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141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39.xml"/>
  <Override ContentType="application/vnd.openxmlformats-officedocument.spreadsheetml.worksheet+xml" PartName="/xl/worksheets/sheet72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133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15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38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40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4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32.xml"/>
  <Override ContentType="application/vnd.openxmlformats-officedocument.drawing+xml" PartName="/xl/drawings/drawing12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30.xml"/>
  <Override ContentType="application/vnd.openxmlformats-officedocument.drawing+xml" PartName="/xl/drawings/drawing148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13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openxmlformats-officedocument.spreadsheetml.styles+xml" PartName="/xl/styles.xml"/>
  <Override ContentType="application/vnd.openxmlformats-officedocument.spreadsheetml.comments+xml" PartName="/xl/comments69.xml"/>
  <Override ContentType="application/vnd.openxmlformats-officedocument.spreadsheetml.comments+xml" PartName="/xl/comments26.xml"/>
  <Override ContentType="application/vnd.openxmlformats-officedocument.spreadsheetml.comments+xml" PartName="/xl/comments34.xml"/>
  <Override ContentType="application/vnd.openxmlformats-officedocument.spreadsheetml.comments+xml" PartName="/xl/comments51.xml"/>
  <Override ContentType="application/vnd.openxmlformats-officedocument.spreadsheetml.comments+xml" PartName="/xl/comments77.xml"/>
  <Override ContentType="application/vnd.openxmlformats-officedocument.spreadsheetml.comments+xml" PartName="/xl/comments9.xml"/>
  <Override ContentType="application/vnd.openxmlformats-officedocument.spreadsheetml.comments+xml" PartName="/xl/comments78.xml"/>
  <Override ContentType="application/vnd.openxmlformats-officedocument.spreadsheetml.comments+xml" PartName="/xl/comments43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27.xml"/>
  <Override ContentType="application/vnd.openxmlformats-officedocument.spreadsheetml.comments+xml" PartName="/xl/comments52.xml"/>
  <Override ContentType="application/vnd.openxmlformats-officedocument.spreadsheetml.comments+xml" PartName="/xl/comments35.xml"/>
  <Override ContentType="application/vnd.openxmlformats-officedocument.spreadsheetml.comments+xml" PartName="/xl/comments61.xml"/>
  <Override ContentType="application/vnd.openxmlformats-officedocument.spreadsheetml.comments+xml" PartName="/xl/comments79.xml"/>
  <Override ContentType="application/vnd.openxmlformats-officedocument.spreadsheetml.comments+xml" PartName="/xl/comments44.xml"/>
  <Override ContentType="application/vnd.openxmlformats-officedocument.spreadsheetml.comments+xml" PartName="/xl/comments53.xml"/>
  <Override ContentType="application/vnd.openxmlformats-officedocument.spreadsheetml.comments+xml" PartName="/xl/comments18.xml"/>
  <Override ContentType="application/vnd.openxmlformats-officedocument.spreadsheetml.comments+xml" PartName="/xl/comments15.xml"/>
  <Override ContentType="application/vnd.openxmlformats-officedocument.spreadsheetml.comments+xml" PartName="/xl/comments45.xml"/>
  <Override ContentType="application/vnd.openxmlformats-officedocument.spreadsheetml.comments+xml" PartName="/xl/comments70.xml"/>
  <Override ContentType="application/vnd.openxmlformats-officedocument.spreadsheetml.comments+xml" PartName="/xl/comments7.xml"/>
  <Override ContentType="application/vnd.openxmlformats-officedocument.spreadsheetml.comments+xml" PartName="/xl/comments32.xml"/>
  <Override ContentType="application/vnd.openxmlformats-officedocument.spreadsheetml.comments+xml" PartName="/xl/comments75.xml"/>
  <Override ContentType="application/vnd.openxmlformats-officedocument.spreadsheetml.comments+xml" PartName="/xl/comments62.xml"/>
  <Override ContentType="application/vnd.openxmlformats-officedocument.spreadsheetml.comments+xml" PartName="/xl/comments6.xml"/>
  <Override ContentType="application/vnd.openxmlformats-officedocument.spreadsheetml.comments+xml" PartName="/xl/comments28.xml"/>
  <Override ContentType="application/vnd.openxmlformats-officedocument.spreadsheetml.comments+xml" PartName="/xl/comments58.xml"/>
  <Override ContentType="application/vnd.openxmlformats-officedocument.spreadsheetml.comments+xml" PartName="/xl/comments46.xml"/>
  <Override ContentType="application/vnd.openxmlformats-officedocument.spreadsheetml.comments+xml" PartName="/xl/comments33.xml"/>
  <Override ContentType="application/vnd.openxmlformats-officedocument.spreadsheetml.comments+xml" PartName="/xl/comments20.xml"/>
  <Override ContentType="application/vnd.openxmlformats-officedocument.spreadsheetml.comments+xml" PartName="/xl/comments50.xml"/>
  <Override ContentType="application/vnd.openxmlformats-officedocument.spreadsheetml.comments+xml" PartName="/xl/comments63.xml"/>
  <Override ContentType="application/vnd.openxmlformats-officedocument.spreadsheetml.comments+xml" PartName="/xl/comments76.xml"/>
  <Override ContentType="application/vnd.openxmlformats-officedocument.spreadsheetml.comments+xml" PartName="/xl/comments5.xml"/>
  <Override ContentType="application/vnd.openxmlformats-officedocument.spreadsheetml.comments+xml" PartName="/xl/comments29.xml"/>
  <Override ContentType="application/vnd.openxmlformats-officedocument.spreadsheetml.comments+xml" PartName="/xl/comments16.xml"/>
  <Override ContentType="application/vnd.openxmlformats-officedocument.spreadsheetml.comments+xml" PartName="/xl/comments59.xml"/>
  <Override ContentType="application/vnd.openxmlformats-officedocument.spreadsheetml.comments+xml" PartName="/xl/comments21.xml"/>
  <Override ContentType="application/vnd.openxmlformats-officedocument.spreadsheetml.comments+xml" PartName="/xl/comments39.xml"/>
  <Override ContentType="application/vnd.openxmlformats-officedocument.spreadsheetml.comments+xml" PartName="/xl/comments64.xml"/>
  <Override ContentType="application/vnd.openxmlformats-officedocument.spreadsheetml.comments+xml" PartName="/xl/comments73.xml"/>
  <Override ContentType="application/vnd.openxmlformats-officedocument.spreadsheetml.comments+xml" PartName="/xl/comments30.xml"/>
  <Override ContentType="application/vnd.openxmlformats-officedocument.spreadsheetml.comments+xml" PartName="/xl/comments13.xml"/>
  <Override ContentType="application/vnd.openxmlformats-officedocument.spreadsheetml.comments+xml" PartName="/xl/comments47.xml"/>
  <Override ContentType="application/vnd.openxmlformats-officedocument.spreadsheetml.comments+xml" PartName="/xl/comments4.xml"/>
  <Override ContentType="application/vnd.openxmlformats-officedocument.spreadsheetml.comments+xml" PartName="/xl/comments56.xml"/>
  <Override ContentType="application/vnd.openxmlformats-officedocument.spreadsheetml.comments+xml" PartName="/xl/comments14.xml"/>
  <Override ContentType="application/vnd.openxmlformats-officedocument.spreadsheetml.comments+xml" PartName="/xl/comments71.xml"/>
  <Override ContentType="application/vnd.openxmlformats-officedocument.spreadsheetml.comments+xml" PartName="/xl/comments65.xml"/>
  <Override ContentType="application/vnd.openxmlformats-officedocument.spreadsheetml.comments+xml" PartName="/xl/comments49.xml"/>
  <Override ContentType="application/vnd.openxmlformats-officedocument.spreadsheetml.comments+xml" PartName="/xl/comments74.xml"/>
  <Override ContentType="application/vnd.openxmlformats-officedocument.spreadsheetml.comments+xml" PartName="/xl/comments22.xml"/>
  <Override ContentType="application/vnd.openxmlformats-officedocument.spreadsheetml.comments+xml" PartName="/xl/comments48.xml"/>
  <Override ContentType="application/vnd.openxmlformats-officedocument.spreadsheetml.comments+xml" PartName="/xl/comments31.xml"/>
  <Override ContentType="application/vnd.openxmlformats-officedocument.spreadsheetml.comments+xml" PartName="/xl/comments66.xml"/>
  <Override ContentType="application/vnd.openxmlformats-officedocument.spreadsheetml.comments+xml" PartName="/xl/comments3.xml"/>
  <Override ContentType="application/vnd.openxmlformats-officedocument.spreadsheetml.comments+xml" PartName="/xl/comments57.xml"/>
  <Override ContentType="application/vnd.openxmlformats-officedocument.spreadsheetml.comments+xml" PartName="/xl/comments40.xml"/>
  <Override ContentType="application/vnd.openxmlformats-officedocument.spreadsheetml.comments+xml" PartName="/xl/comments10.xml"/>
  <Override ContentType="application/vnd.openxmlformats-officedocument.spreadsheetml.comments+xml" PartName="/xl/comments23.xml"/>
  <Override ContentType="application/vnd.openxmlformats-officedocument.spreadsheetml.comments+xml" PartName="/xl/comments37.xml"/>
  <Override ContentType="application/vnd.openxmlformats-officedocument.spreadsheetml.comments+xml" PartName="/xl/comments24.xml"/>
  <Override ContentType="application/vnd.openxmlformats-officedocument.spreadsheetml.comments+xml" PartName="/xl/comments36.xml"/>
  <Override ContentType="application/vnd.openxmlformats-officedocument.spreadsheetml.comments+xml" PartName="/xl/comments54.xml"/>
  <Override ContentType="application/vnd.openxmlformats-officedocument.spreadsheetml.comments+xml" PartName="/xl/comments67.xml"/>
  <Override ContentType="application/vnd.openxmlformats-officedocument.spreadsheetml.comments+xml" PartName="/xl/comments41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11.xml"/>
  <Override ContentType="application/vnd.openxmlformats-officedocument.spreadsheetml.comments+xml" PartName="/xl/comments25.xml"/>
  <Override ContentType="application/vnd.openxmlformats-officedocument.spreadsheetml.comments+xml" PartName="/xl/comments60.xml"/>
  <Override ContentType="application/vnd.openxmlformats-officedocument.spreadsheetml.comments+xml" PartName="/xl/comments38.xml"/>
  <Override ContentType="application/vnd.openxmlformats-officedocument.spreadsheetml.comments+xml" PartName="/xl/comments12.xml"/>
  <Override ContentType="application/vnd.openxmlformats-officedocument.spreadsheetml.comments+xml" PartName="/xl/comments72.xml"/>
  <Override ContentType="application/vnd.openxmlformats-officedocument.spreadsheetml.comments+xml" PartName="/xl/comments1.xml"/>
  <Override ContentType="application/vnd.openxmlformats-officedocument.spreadsheetml.comments+xml" PartName="/xl/comments68.xml"/>
  <Override ContentType="application/vnd.openxmlformats-officedocument.spreadsheetml.comments+xml" PartName="/xl/comments55.xml"/>
  <Override ContentType="application/vnd.openxmlformats-officedocument.spreadsheetml.comments+xml" PartName="/xl/comments4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Week of 46-410" sheetId="1" r:id="rId4"/>
    <sheet state="hidden" name="Week of 413-417" sheetId="2" r:id="rId5"/>
    <sheet state="hidden" name="(Roister)Week of 420- 424" sheetId="3" r:id="rId6"/>
    <sheet state="hidden" name="(Roister) Week of 54- 58" sheetId="4" r:id="rId7"/>
    <sheet state="hidden" name="(Roister) Week of 427-51" sheetId="5" r:id="rId8"/>
    <sheet state="hidden" name="Roister Week of 519- 523" sheetId="6" r:id="rId9"/>
    <sheet state="hidden" name="Roister (511-515)" sheetId="7" r:id="rId10"/>
    <sheet state="hidden" name="Week of 525-529" sheetId="8" r:id="rId11"/>
    <sheet state="hidden" name="Roister week of (61-65)" sheetId="9" r:id="rId12"/>
    <sheet state="hidden" name="Roister week of (68-612)" sheetId="10" r:id="rId13"/>
    <sheet state="hidden" name="Roister week of (615-619)" sheetId="11" r:id="rId14"/>
    <sheet state="hidden" name="Roister week of (621-26)" sheetId="12" r:id="rId15"/>
    <sheet state="hidden" name="Roister week of (629-73)" sheetId="13" r:id="rId16"/>
    <sheet state="hidden" name="Roister week of (75-710)" sheetId="14" r:id="rId17"/>
    <sheet state="hidden" name="Roister week of (712-717)" sheetId="15" r:id="rId18"/>
    <sheet state="hidden" name="Roister week of (719-724)" sheetId="16" r:id="rId19"/>
    <sheet state="hidden" name="Roister week of (726-731)" sheetId="17" r:id="rId20"/>
    <sheet state="hidden" name="Roister week of (82-87)" sheetId="18" r:id="rId21"/>
    <sheet state="hidden" name="Roister week of (89-814)" sheetId="19" r:id="rId22"/>
    <sheet state="hidden" name="Roister week of (816-821)" sheetId="20" r:id="rId23"/>
    <sheet state="hidden" name="Roister (913-918)" sheetId="21" r:id="rId24"/>
    <sheet state="hidden" name="Roister week of (823-828)" sheetId="22" r:id="rId25"/>
    <sheet state="hidden" name="Roister (830-94)" sheetId="23" r:id="rId26"/>
    <sheet state="hidden" name="Roister (96-911)" sheetId="24" r:id="rId27"/>
    <sheet state="hidden" name="Roister (920 - 925)" sheetId="25" r:id="rId28"/>
    <sheet state="hidden" name="Roister (926 - 102)" sheetId="26" r:id="rId29"/>
    <sheet state="hidden" name="Roister (103 - 109)" sheetId="27" r:id="rId30"/>
    <sheet state="hidden" name="Roister (1010 - 1016)" sheetId="28" r:id="rId31"/>
    <sheet state="hidden" name="Roister (1017-1023)" sheetId="29" r:id="rId32"/>
    <sheet state="hidden" name="Roister (1024-1030)" sheetId="30" r:id="rId33"/>
    <sheet state="hidden" name="Roister (1031-116)" sheetId="31" r:id="rId34"/>
    <sheet state="hidden" name="Roister (117-1113)" sheetId="32" r:id="rId35"/>
    <sheet state="hidden" name="Roister (1114-1120)" sheetId="33" r:id="rId36"/>
    <sheet state="hidden" name="Roister (1121-1127)" sheetId="34" r:id="rId37"/>
    <sheet state="hidden" name="Roister (1128 - 124)" sheetId="35" r:id="rId38"/>
    <sheet state="hidden" name="Roister (1205 - 1211)" sheetId="36" r:id="rId39"/>
    <sheet state="hidden" name="Roister (1212 - 1218)" sheetId="37" r:id="rId40"/>
    <sheet state="hidden" name="Roister (1219 - 1225)" sheetId="38" r:id="rId41"/>
    <sheet state="hidden" name="Roister (1226 - 11)" sheetId="39" r:id="rId42"/>
    <sheet state="hidden" name="Roister (12 - 18)" sheetId="40" r:id="rId43"/>
    <sheet state="hidden" name="Roister (19 - 115)" sheetId="41" r:id="rId44"/>
    <sheet state="hidden" name="Roister (116 - 122)" sheetId="42" r:id="rId45"/>
    <sheet state="hidden" name="Roister (123-129)" sheetId="43" r:id="rId46"/>
    <sheet state="hidden" name="Roister (130 - 25)" sheetId="44" r:id="rId47"/>
    <sheet state="hidden" name="Roister (26 - 212)" sheetId="45" r:id="rId48"/>
    <sheet state="hidden" name="Roister (213 - 219)" sheetId="46" r:id="rId49"/>
    <sheet state="hidden" name="Roister (220 - 226)" sheetId="47" r:id="rId50"/>
    <sheet state="hidden" name="Roister (227 - 35)" sheetId="48" r:id="rId51"/>
    <sheet state="hidden" name="Roister (36 - 312)" sheetId="49" r:id="rId52"/>
    <sheet state="hidden" name="Roister (313 - 319)" sheetId="50" r:id="rId53"/>
    <sheet state="hidden" name="Roister (320 - 326)" sheetId="51" r:id="rId54"/>
    <sheet state="hidden" name="Roister (327 - 42)" sheetId="52" r:id="rId55"/>
    <sheet state="hidden" name="Roister (43 - 49)" sheetId="53" r:id="rId56"/>
    <sheet state="hidden" name="Roister (410-416)" sheetId="54" r:id="rId57"/>
    <sheet state="hidden" name="Roister (417-423)" sheetId="55" r:id="rId58"/>
    <sheet state="hidden" name="Roister (424-430)" sheetId="56" r:id="rId59"/>
    <sheet state="hidden" name="Roister (51-57)" sheetId="57" r:id="rId60"/>
    <sheet state="hidden" name="Roister (58-514)" sheetId="58" r:id="rId61"/>
    <sheet state="hidden" name="Roister (515-521)" sheetId="59" r:id="rId62"/>
    <sheet state="hidden" name="Roister (522-528)" sheetId="60" r:id="rId63"/>
    <sheet state="hidden" name="Roister (529-64)" sheetId="61" r:id="rId64"/>
    <sheet state="hidden" name="Roister (65-611)" sheetId="62" r:id="rId65"/>
    <sheet state="hidden" name="Roister (612-618)" sheetId="63" r:id="rId66"/>
    <sheet state="hidden" name="Roister (619-625)" sheetId="64" r:id="rId67"/>
    <sheet state="hidden" name="Roister (626-72)" sheetId="65" r:id="rId68"/>
    <sheet state="hidden" name="Roister (73-79)" sheetId="66" r:id="rId69"/>
    <sheet state="hidden" name="Roister (710-716" sheetId="67" r:id="rId70"/>
    <sheet state="hidden" name="Roister (717-723)" sheetId="68" r:id="rId71"/>
    <sheet state="hidden" name="Roister (724-730)" sheetId="69" r:id="rId72"/>
    <sheet state="hidden" name="Roister (731-86)" sheetId="70" r:id="rId73"/>
    <sheet state="hidden" name=" Roister (-86)" sheetId="71" r:id="rId74"/>
    <sheet state="hidden" name=" Roister (87-813)" sheetId="72" r:id="rId75"/>
    <sheet state="hidden" name="Roister (814-820)" sheetId="73" r:id="rId76"/>
    <sheet state="hidden" name="Roister (821-827)" sheetId="74" r:id="rId77"/>
    <sheet state="hidden" name="Roister (828-93)" sheetId="75" r:id="rId78"/>
    <sheet state="hidden" name="Roister (94-910)" sheetId="76" r:id="rId79"/>
    <sheet state="hidden" name="Roister (911-917)" sheetId="77" r:id="rId80"/>
    <sheet state="hidden" name="Roister (918-924)" sheetId="78" r:id="rId81"/>
    <sheet state="hidden" name="Roister (925-101)" sheetId="79" r:id="rId82"/>
    <sheet state="hidden" name="Roister (102-108)" sheetId="80" r:id="rId83"/>
    <sheet state="hidden" name="Roister (109-1015)" sheetId="81" r:id="rId84"/>
    <sheet state="hidden" name="Roister (1016-1022)" sheetId="82" r:id="rId85"/>
    <sheet state="hidden" name="Roister (1023-1029)" sheetId="83" r:id="rId86"/>
    <sheet state="hidden" name="Roister (1030-1105)" sheetId="84" r:id="rId87"/>
    <sheet state="hidden" name="Roister (1106-1112)" sheetId="85" r:id="rId88"/>
    <sheet state="hidden" name="Roister (1113-1119)" sheetId="86" r:id="rId89"/>
    <sheet state="hidden" name=" Roister (1120-1126)" sheetId="87" r:id="rId90"/>
    <sheet state="hidden" name="Roister (1127-1203)" sheetId="88" r:id="rId91"/>
    <sheet state="hidden" name="Roister (1204-1210)" sheetId="89" r:id="rId92"/>
    <sheet state="hidden" name="Roister (1211-1217)" sheetId="90" r:id="rId93"/>
    <sheet state="hidden" name="Roister (1218-1224)" sheetId="91" r:id="rId94"/>
    <sheet state="hidden" name="Roister (1225-1231)" sheetId="92" r:id="rId95"/>
    <sheet state="hidden" name="Roister (11-17)" sheetId="93" r:id="rId96"/>
    <sheet state="hidden" name="Roister (18-114)" sheetId="94" r:id="rId97"/>
    <sheet state="hidden" name="Roister (115-121)" sheetId="95" r:id="rId98"/>
    <sheet state="hidden" name="Roister (122-128)" sheetId="96" r:id="rId99"/>
    <sheet state="hidden" name="Roister (129-204)" sheetId="97" r:id="rId100"/>
    <sheet state="hidden" name="Roister (25-211)" sheetId="98" r:id="rId101"/>
    <sheet state="hidden" name="Roister (212-218)" sheetId="99" r:id="rId102"/>
    <sheet state="hidden" name="Roister (219-225)" sheetId="100" r:id="rId103"/>
    <sheet state="hidden" name=" Roister (226-33)" sheetId="101" r:id="rId104"/>
    <sheet state="hidden" name="Roister (34-310)" sheetId="102" r:id="rId105"/>
    <sheet state="hidden" name="Roister (311-317)" sheetId="103" r:id="rId106"/>
    <sheet state="hidden" name="Roister (318-324)" sheetId="104" r:id="rId107"/>
    <sheet state="hidden" name="Roister (325-331)" sheetId="105" r:id="rId108"/>
    <sheet state="hidden" name=" Roister (41-47)" sheetId="106" r:id="rId109"/>
    <sheet state="hidden" name="Roister (48-414)" sheetId="107" r:id="rId110"/>
    <sheet state="hidden" name=" Roister (415-421)" sheetId="108" r:id="rId111"/>
    <sheet state="hidden" name="Roister (422-428)" sheetId="109" r:id="rId112"/>
    <sheet state="hidden" name="Roister (429-0505)" sheetId="110" r:id="rId113"/>
    <sheet state="hidden" name=" Roister (0506-0512)" sheetId="111" r:id="rId114"/>
    <sheet state="hidden" name=" Roister (0513-0519)" sheetId="112" r:id="rId115"/>
    <sheet state="hidden" name="Roister (0520-0526)" sheetId="113" r:id="rId116"/>
    <sheet state="hidden" name="Roister (0527-0602)" sheetId="114" r:id="rId117"/>
    <sheet state="hidden" name="Roister (0603-0609)" sheetId="115" r:id="rId118"/>
    <sheet state="hidden" name=" Roister (0610-0616)" sheetId="116" r:id="rId119"/>
    <sheet state="hidden" name="Roister (0617-0623)" sheetId="117" r:id="rId120"/>
    <sheet state="hidden" name="Roister (0624-0630)" sheetId="118" r:id="rId121"/>
    <sheet state="hidden" name="Roister (0701-0707)" sheetId="119" r:id="rId122"/>
    <sheet state="hidden" name="Roister (0708-0714)" sheetId="120" r:id="rId123"/>
    <sheet state="hidden" name="Roister (0715-0721)" sheetId="121" r:id="rId124"/>
    <sheet state="hidden" name="Roister (0722-0728)" sheetId="122" r:id="rId125"/>
    <sheet state="hidden" name="Roister (0729-0804)" sheetId="123" r:id="rId126"/>
    <sheet state="hidden" name="Roister (0805-0811)" sheetId="124" r:id="rId127"/>
    <sheet state="hidden" name="Roister (0812-0818)" sheetId="125" r:id="rId128"/>
    <sheet state="hidden" name=" Roister (0819-0825)" sheetId="126" r:id="rId129"/>
    <sheet state="hidden" name=" Roister (0826-0901)" sheetId="127" r:id="rId130"/>
    <sheet state="hidden" name=" Roister (0902-0908)" sheetId="128" r:id="rId131"/>
    <sheet state="hidden" name="Roister (0909-0915)" sheetId="129" r:id="rId132"/>
    <sheet state="hidden" name="Roister (0916-0922)" sheetId="130" r:id="rId133"/>
    <sheet state="hidden" name=" Roister (0923-0929)" sheetId="131" r:id="rId134"/>
    <sheet state="hidden" name=" Roister (0930-1006)" sheetId="132" r:id="rId135"/>
    <sheet state="hidden" name=" Roister (1007-1013)" sheetId="133" r:id="rId136"/>
    <sheet state="hidden" name="Roister (1014-1020)" sheetId="134" r:id="rId137"/>
    <sheet state="hidden" name="Roister (1021-1027)" sheetId="135" r:id="rId138"/>
    <sheet state="hidden" name="Roister (1028-1103)" sheetId="136" r:id="rId139"/>
    <sheet state="hidden" name="Roister (1104-1110)" sheetId="137" r:id="rId140"/>
    <sheet state="hidden" name="Roister (1111-1117)" sheetId="138" r:id="rId141"/>
    <sheet state="hidden" name="FIRE (1118-1124)" sheetId="139" r:id="rId142"/>
    <sheet state="visible" name=" FIRE (1125-1201)" sheetId="140" r:id="rId143"/>
    <sheet state="visible" name="FIRE (1202-1208)" sheetId="141" r:id="rId144"/>
    <sheet state="visible" name=" FIRE (1209-1215)" sheetId="142" r:id="rId145"/>
    <sheet state="visible" name="FIRE (1216-1222)" sheetId="143" r:id="rId146"/>
    <sheet state="visible" name="FIRE (1223-1229)" sheetId="144" r:id="rId147"/>
    <sheet state="visible" name="FIRE (1230-15)" sheetId="145" r:id="rId148"/>
    <sheet state="visible" name=" FIRE (16-112)" sheetId="146" r:id="rId149"/>
    <sheet state="visible" name="FIRE (113-119)" sheetId="147" r:id="rId150"/>
    <sheet state="visible" name="FIRE (120-126)" sheetId="148" r:id="rId151"/>
    <sheet state="visible" name="FIRE (127-22)" sheetId="149" r:id="rId152"/>
    <sheet state="visible" name=" FIRE (23-29)" sheetId="150" r:id="rId153"/>
    <sheet state="visible" name="FIRE (210-216)" sheetId="151" r:id="rId154"/>
    <sheet state="visible" name=" FIRE (217-223)" sheetId="152" r:id="rId155"/>
    <sheet state="hidden" name="Roister(10)" sheetId="153" r:id="rId156"/>
  </sheets>
  <definedNames>
    <definedName hidden="1" localSheetId="112" name="_xlnm._FilterDatabase">'Roister (0520-0526)'!$A$40:$F$60</definedName>
    <definedName hidden="1" localSheetId="113" name="_xlnm._FilterDatabase">'Roister (0527-0602)'!$A$40:$F$64</definedName>
    <definedName hidden="1" localSheetId="114" name="_xlnm._FilterDatabase">'Roister (0603-0609)'!$A$36:$F$52</definedName>
    <definedName hidden="1" localSheetId="115" name="_xlnm._FilterDatabase">' Roister (0610-0616)'!$A$36:$F$49</definedName>
    <definedName hidden="1" localSheetId="116" name="_xlnm._FilterDatabase">'Roister (0617-0623)'!$A$39:$F$56</definedName>
    <definedName hidden="1" localSheetId="117" name="_xlnm._FilterDatabase">'Roister (0624-0630)'!$A$40:$F$66</definedName>
    <definedName hidden="1" localSheetId="118" name="_xlnm._FilterDatabase">'Roister (0701-0707)'!$A$41:$F$67</definedName>
    <definedName hidden="1" localSheetId="119" name="_xlnm._FilterDatabase">'Roister (0708-0714)'!$A$40:$F$61</definedName>
    <definedName hidden="1" localSheetId="120" name="_xlnm._FilterDatabase">'Roister (0715-0721)'!$A$43:$F$93</definedName>
    <definedName hidden="1" localSheetId="121" name="_xlnm._FilterDatabase">'Roister (0722-0728)'!$A$40:$F$91</definedName>
    <definedName hidden="1" localSheetId="122" name="_xlnm._FilterDatabase">'Roister (0729-0804)'!$A$41:$F$92</definedName>
    <definedName hidden="1" localSheetId="123" name="_xlnm._FilterDatabase">'Roister (0805-0811)'!$A$46:$F$87</definedName>
    <definedName hidden="1" localSheetId="124" name="_xlnm._FilterDatabase">'Roister (0812-0818)'!$A$47:$F$89</definedName>
    <definedName hidden="1" localSheetId="125" name="_xlnm._FilterDatabase">' Roister (0819-0825)'!$A$44:$F$81</definedName>
    <definedName hidden="1" localSheetId="126" name="_xlnm._FilterDatabase">' Roister (0826-0901)'!$A$44:$F$82</definedName>
    <definedName hidden="1" localSheetId="127" name="_xlnm._FilterDatabase">' Roister (0902-0908)'!$A$42:$F$82</definedName>
    <definedName hidden="1" localSheetId="128" name="_xlnm._FilterDatabase">'Roister (0909-0915)'!$A$41:$F$74</definedName>
    <definedName hidden="1" localSheetId="129" name="_xlnm._FilterDatabase">'Roister (0916-0922)'!$A$43:$F$73</definedName>
    <definedName hidden="1" localSheetId="130" name="_xlnm._FilterDatabase">' Roister (0923-0929)'!$A$39:$F$67</definedName>
    <definedName hidden="1" localSheetId="131" name="_xlnm._FilterDatabase">' Roister (0930-1006)'!$A$43:$F$74</definedName>
    <definedName hidden="1" localSheetId="132" name="_xlnm._FilterDatabase">' Roister (1007-1013)'!$A$40:$F$68</definedName>
    <definedName hidden="1" localSheetId="133" name="_xlnm._FilterDatabase">'Roister (1014-1020)'!$A$40:$F$72</definedName>
    <definedName hidden="1" localSheetId="134" name="_xlnm._FilterDatabase">'Roister (1021-1027)'!$A$43:$F$76</definedName>
    <definedName hidden="1" localSheetId="135" name="_xlnm._FilterDatabase">'Roister (1028-1103)'!$A$40:$F$68</definedName>
    <definedName hidden="1" localSheetId="136" name="_xlnm._FilterDatabase">'Roister (1104-1110)'!$A$37:$F$69</definedName>
    <definedName hidden="1" localSheetId="137" name="_xlnm._FilterDatabase">'Roister (1111-1117)'!$A$35:$F$66</definedName>
    <definedName hidden="1" localSheetId="138" name="_xlnm._FilterDatabase">'FIRE (1118-1124)'!$A$34:$F$65</definedName>
    <definedName hidden="1" localSheetId="139" name="_xlnm._FilterDatabase">' FIRE (1125-1201)'!$A$34:$F$95</definedName>
    <definedName hidden="1" localSheetId="140" name="_xlnm._FilterDatabase">'FIRE (1202-1208)'!$A$34:$F$95</definedName>
    <definedName hidden="1" localSheetId="141" name="_xlnm._FilterDatabase">' FIRE (1209-1215)'!$A$35:$F$96</definedName>
    <definedName hidden="1" localSheetId="142" name="_xlnm._FilterDatabase">'FIRE (1216-1222)'!$A$34:$F$95</definedName>
    <definedName hidden="1" localSheetId="143" name="_xlnm._FilterDatabase">'FIRE (1223-1229)'!$A$35:$F$96</definedName>
    <definedName hidden="1" localSheetId="144" name="_xlnm._FilterDatabase">'FIRE (1230-15)'!$A$36:$F$97</definedName>
    <definedName hidden="1" localSheetId="145" name="_xlnm._FilterDatabase">' FIRE (16-112)'!$A$39:$F$100</definedName>
    <definedName hidden="1" localSheetId="146" name="_xlnm._FilterDatabase">'FIRE (113-119)'!$A$38:$F$99</definedName>
    <definedName hidden="1" localSheetId="147" name="_xlnm._FilterDatabase">'FIRE (120-126)'!$A$36:$F$95</definedName>
    <definedName hidden="1" localSheetId="148" name="_xlnm._FilterDatabase">'FIRE (127-22)'!$A$38:$F$95</definedName>
    <definedName hidden="1" localSheetId="149" name="_xlnm._FilterDatabase">' FIRE (23-29)'!$A$37:$F$88</definedName>
    <definedName hidden="1" localSheetId="150" name="_xlnm._FilterDatabase">'FIRE (210-216)'!$A$37:$F$87</definedName>
    <definedName hidden="1" localSheetId="151" name="_xlnm._FilterDatabase">' FIRE (217-223)'!$A$38:$F$89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8">
      <text>
        <t xml:space="preserve">@julie@roisterrestaurant.com Did you end up carrying any scallops into this current week?
_Assigned to julie@roisterrestaurant.com_
	-Anil Thapa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8">
      <text>
        <t xml:space="preserve">placeholder</t>
      </text>
    </comment>
    <comment authorId="0" ref="F8">
      <text>
        <t xml:space="preserve">placeholder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3">
      <text>
        <t xml:space="preserve">Adding these to the 5/29 checkbook so your aware of what till be expensed there.
	-Riley Koresko</t>
      </text>
    </comment>
    <comment authorId="0" ref="F5">
      <text>
        <t xml:space="preserve">Chuck tail that was spread from 5/11
	-Riley Koresko</t>
      </text>
    </comment>
    <comment authorId="0" ref="L5">
      <text>
        <t xml:space="preserve">Cooking Alcohol
	-Riley Koresko</t>
      </text>
    </comment>
    <comment authorId="0" ref="C6">
      <text>
        <t xml:space="preserve">Bellota Ham BNLS from last week
	-Riley Koresko</t>
      </text>
    </comment>
    <comment authorId="0" ref="J4">
      <text>
        <t xml:space="preserve">Ducks that were aged for 3 weeks
	-Riley Koresko</t>
      </text>
    </comment>
    <comment authorId="0" ref="N3">
      <text>
        <t xml:space="preserve">The vendor did not get us invoice so this is the 6 week average spend from cornille.
	-Riley Koresko</t>
      </text>
    </comment>
    <comment authorId="0" ref="Q2">
      <text>
        <t xml:space="preserve">@jorge@roisterrestaurant.com  Hey Chef since these are a standing order it might be worth it to put them in every week for your visibility.
	-Riley Koresko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6">
      <text>
        <t xml:space="preserve">Carrying over for week 6/12
	-Jorge Rivas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$1710.03 Sysco order i didnt add to any of this numbers!
	-Jorge Rivas
Hey Chef we are not including the taste of randolph revenue or expenses for our COGS report. So our numbers will not match.
	-Riley Koresko
Ok, I will go back and re do all the numbers. I was told it was going to be in RS cost!
	-Jorge Rivas
We will send out a report on it once we are done but wont include in the normal reporting we do. I dont know that you need to go through and adjust things. From what I can tell on my end things look good.
	-Riley Koresko</t>
      </text>
    </comment>
    <comment authorId="0" ref="D24">
      <text>
        <t xml:space="preserve">This will carry for week of 6/12-6/18
	-Jorge Rivas</t>
      </text>
    </comment>
    <comment authorId="0" ref="D23">
      <text>
        <t xml:space="preserve">This carries over to week of 6/19-6/25
	-Jorge Rivas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">
      <text>
        <t xml:space="preserve">$638.08 shortrib was carrying from last week.
	-Jorge Rivas</t>
      </text>
    </comment>
    <comment authorId="0" ref="B3">
      <text>
        <t xml:space="preserve">$995.75 of Jamon Iberico was carry over from last week.
	-Jorge Rivas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7">
      <text>
        <t xml:space="preserve">for week of 7/10-7/16
	-Jorge Rivas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3">
      <text>
        <t xml:space="preserve">carry for week of 7/17-7/23
	-Jorge Rivas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7">
      <text>
        <t xml:space="preserve">These were ALL used for the week of 8/7-8/13)
	-Jorge Rivas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">
      <text>
        <t xml:space="preserve">carried over from 10/02
	-Jorge Rivas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0">
      <text>
        <t xml:space="preserve">This is everything that was listed for RS, no SC or staff meal.
	-Taylor Deary</t>
      </text>
    </comment>
    <comment authorId="0" ref="F12">
      <text>
        <t xml:space="preserve">Beef chuck tail ($862) expensed this week
	-Taylor Deary
remainder stemming from fuel charge
	-Taylor Deary</t>
      </text>
    </comment>
    <comment authorId="0" ref="C12">
      <text>
        <t xml:space="preserve">Duck being expensed
	-Taylor Deary
crab meat was also expensed on 10/23 for ($183)
	-Taylor Deary</t>
      </text>
    </comment>
    <comment authorId="0" ref="B2">
      <text>
        <t xml:space="preserve">carrying $486.56 of Canola Oil for week of 10-30
	-Jorge Rivas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">
      <text>
        <t xml:space="preserve">Short ribs expensed this week
	-Diego Cerquera</t>
      </text>
    </comment>
    <comment authorId="0" ref="C7">
      <text>
        <t xml:space="preserve">Duck
	-Diego Cerquera</t>
      </text>
    </comment>
    <comment authorId="0" ref="W5">
      <text>
        <t xml:space="preserve">Mijenta dinner
	-Diego Cerquera</t>
      </text>
    </comment>
    <comment authorId="0" ref="B5">
      <text>
        <t xml:space="preserve">Canola Oil from week October 23
	-Diego Cerquera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1/2 amount Truffles expensed this week
	-Diego Cerquera</t>
      </text>
    </comment>
    <comment authorId="0" ref="G2">
      <text>
        <t xml:space="preserve">Hamachi expensed this week
	-Diego Cerquera</t>
      </text>
    </comment>
    <comment authorId="0" ref="C7">
      <text>
        <t xml:space="preserve">Includes duck
	-Diego Cerquera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Short ribs expensed this week
	-Diego Cerquera</t>
      </text>
    </comment>
    <comment authorId="0" ref="D7">
      <text>
        <t xml:space="preserve">Includes duck
	-Diego Cerquera</t>
      </text>
    </comment>
    <comment authorId="0" ref="T2">
      <text>
        <t xml:space="preserve">Truffles expensed this week
	-Diego Cerquera</t>
      </text>
    </comment>
    <comment authorId="0" ref="O3">
      <text>
        <t xml:space="preserve">Caviar from Nov 06 expensed this week. Half of the caviar from week Nov 13
	-Diego Cerquera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1">
      <text>
        <t xml:space="preserve">Beef Chuck tail
	-Taylor Deary</t>
      </text>
    </comment>
    <comment authorId="0" ref="D11">
      <text>
        <t xml:space="preserve">Bellota Ham
	-Taylor Deary</t>
      </text>
    </comment>
    <comment authorId="0" ref="D7">
      <text>
        <t xml:space="preserve">Includes duck
	-Diego Cerquera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8">
      <text>
        <t xml:space="preserve">1/2 Short ribs expensed this week
	-Diego Cerquera</t>
      </text>
    </comment>
    <comment authorId="0" ref="B8">
      <text>
        <t xml:space="preserve">Jamon Iberico expensed this week
	-Diego Cerquera</t>
      </text>
    </comment>
    <comment authorId="0" ref="O2">
      <text>
        <t xml:space="preserve">Caviar expensed this week
	-Diego Cerquera</t>
      </text>
    </comment>
    <comment authorId="0" ref="I2">
      <text>
        <t xml:space="preserve">Hamachi Collars expensed this week
	-Diego Cerquera</t>
      </text>
    </comment>
    <comment authorId="0" ref="D8">
      <text>
        <t xml:space="preserve">Duck
	-Diego Cerquera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Parmesan, aji panca expensed this week
	-Diego Cerquera</t>
      </text>
    </comment>
    <comment authorId="0" ref="I2">
      <text>
        <t xml:space="preserve">Collars expensed this week
	-Diego Cerquera</t>
      </text>
    </comment>
    <comment authorId="0" ref="O2">
      <text>
        <t xml:space="preserve">Caviar expensed this week
	-Diego Cerquera</t>
      </text>
    </comment>
    <comment authorId="0" ref="D8">
      <text>
        <t xml:space="preserve">Duck
	-Diego Cerquera</t>
      </text>
    </comment>
    <comment authorId="0" ref="G8">
      <text>
        <t xml:space="preserve">1/2 short ribs expensed this week
	-Diego Cerquera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Short Ribs expensed this week
	-Diego Cerquera</t>
      </text>
    </comment>
    <comment authorId="0" ref="I7">
      <text>
        <t xml:space="preserve">Hamachi Collars expensed this week
	-Diego Cerquera</t>
      </text>
    </comment>
    <comment authorId="0" ref="D7">
      <text>
        <t xml:space="preserve">Foie grass $170.88, Pork Belly $362.61 expensed this week
	-Diego Cerquera</t>
      </text>
    </comment>
    <comment authorId="0" ref="O8">
      <text>
        <t xml:space="preserve">Caviar expensed this week
	-Diego Cerquera</t>
      </text>
    </comment>
    <comment authorId="0" ref="D8">
      <text>
        <t xml:space="preserve">4 cs duck
	-Diego Cerquera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Jamon Iberico expensed this week
	-Diego Cerquera</t>
      </text>
    </comment>
    <comment authorId="0" ref="D8">
      <text>
        <t xml:space="preserve">Duck
	-Diego Cerquera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8">
      <text>
        <t xml:space="preserve">4 cs Duck
	-Diego Cerquera</t>
      </text>
    </comment>
  </commentLi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8">
      <text>
        <t xml:space="preserve">4 cs duck
	-Diego Cerquera</t>
      </text>
    </comment>
    <comment authorId="0" ref="O2">
      <text>
        <t xml:space="preserve">Caviar expensed this week
	-Diego Cerquera</t>
      </text>
    </comment>
  </commentLi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1/4 short ribs expensed this week
	-Diego Cerquera</t>
      </text>
    </comment>
    <comment authorId="0" ref="D7">
      <text>
        <t xml:space="preserve">1/2 Oxtail expensed this week
	-Diego Cerquera</t>
      </text>
    </comment>
    <comment authorId="0" ref="D8">
      <text>
        <t xml:space="preserve">Duck
	-Diego Cerquera</t>
      </text>
    </comment>
  </commentList>
</comments>
</file>

<file path=xl/comments2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Duck
	-Taylor Deary</t>
      </text>
    </comment>
    <comment authorId="0" ref="O3">
      <text>
        <t xml:space="preserve">Caviar expensed this week
	-Diego Cerquera</t>
      </text>
    </comment>
    <comment authorId="0" ref="D8">
      <text>
        <t xml:space="preserve">Oxtail expensed this week
	-Diego Cerquera</t>
      </text>
    </comment>
    <comment authorId="0" ref="B8">
      <text>
        <t xml:space="preserve">*Bahnez dinner expensed this week ($778.71), Octopus ($226.10), Short Ribs ($880.11)
	-Diego Cerquera</t>
      </text>
    </comment>
  </commentList>
</comments>
</file>

<file path=xl/comments2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1/4 Short Ribs expensensed this week
	-Diego Cerquera</t>
      </text>
    </comment>
    <comment authorId="0" ref="O2">
      <text>
        <t xml:space="preserve">Caviar expensed this week
	-Diego Cerquera</t>
      </text>
    </comment>
    <comment authorId="0" ref="I2">
      <text>
        <t xml:space="preserve">Hamachi collars expensed this week
	-Diego Cerquera</t>
      </text>
    </comment>
    <comment authorId="0" ref="D8">
      <text>
        <t xml:space="preserve">Crab meat expensed this week
	-Diego Cerquera</t>
      </text>
    </comment>
  </commentList>
</comments>
</file>

<file path=xl/comments2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8">
      <text>
        <t xml:space="preserve">Duck
	-Taylor Deary</t>
      </text>
    </comment>
    <comment authorId="0" ref="B8">
      <text>
        <t xml:space="preserve">Parm $238.46, Jalapeno powder $108.70, Short ribs $502.82 expensed this week
	-Diego Cerquera</t>
      </text>
    </comment>
    <comment authorId="0" ref="O8">
      <text>
        <t xml:space="preserve">Caviar transferred from Next
	-Diego Cerquera</t>
      </text>
    </comment>
    <comment authorId="0" ref="I8">
      <text>
        <t xml:space="preserve">Hamachi expensed this week ($254.78), Oysters expensed this week ($247.5)
	-Diego Cerquera</t>
      </text>
    </comment>
  </commentList>
</comments>
</file>

<file path=xl/comments2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8">
      <text>
        <t xml:space="preserve">Ducks
	-Taylor Deary</t>
      </text>
    </comment>
    <comment authorId="0" ref="I2">
      <text>
        <t xml:space="preserve">Collars expensed this week
	-Diego Cerquera</t>
      </text>
    </comment>
    <comment authorId="0" ref="B8">
      <text>
        <t xml:space="preserve">Jamon Iberico ($350.04)
	-Diego Cerquera</t>
      </text>
    </comment>
  </commentList>
</comments>
</file>

<file path=xl/comments2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8">
      <text>
        <t xml:space="preserve">Duck
	-Diego Cerquera</t>
      </text>
    </comment>
  </commentList>
</comments>
</file>

<file path=xl/comments2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7">
      <text>
        <t xml:space="preserve">Masago-Truffle oil-Coconut powder expensed this week
	-Diego Cerquera</t>
      </text>
    </comment>
    <comment authorId="0" ref="O8">
      <text>
        <t xml:space="preserve">Caviar transfer from Next expensed this week
	-Diego Cerquera</t>
      </text>
    </comment>
    <comment authorId="0" ref="I8">
      <text>
        <t xml:space="preserve">Hamachi, Clams expensed this week
	-Diego Cerquera</t>
      </text>
    </comment>
    <comment authorId="0" ref="B8">
      <text>
        <t xml:space="preserve">Parm expensed this week ($225), Short Rib expensed this week ($450)
	-Diego Cerquera</t>
      </text>
    </comment>
  </commentList>
</comments>
</file>

<file path=xl/comments2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8">
      <text>
        <t xml:space="preserve">Caviar expensed this week
	-Diego Cerquera</t>
      </text>
    </comment>
    <comment authorId="0" ref="I8">
      <text>
        <t xml:space="preserve">Oyster/Shrimp/Hamachi expensed this week
	-Diego Cerquera</t>
      </text>
    </comment>
    <comment authorId="0" ref="B8">
      <text>
        <t xml:space="preserve">Canola expensed this week ($187.50), Short Ribs expensed this week ($450.69).
	-Diego Cerquera</t>
      </text>
    </comment>
  </commentList>
</comments>
</file>

<file path=xl/comments3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Short ribs expensed this week $450.60, jamon iberico $348.24
	-Diego Cerquera</t>
      </text>
    </comment>
  </commentList>
</comments>
</file>

<file path=xl/comments3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">
      <text>
        <t xml:space="preserve">Duck
	-Taylor Deary</t>
      </text>
    </comment>
    <comment authorId="0" ref="B8">
      <text>
        <t xml:space="preserve">Short Ribs expensed this week
	-Diego Cerquera</t>
      </text>
    </comment>
    <comment authorId="0" ref="I8">
      <text>
        <t xml:space="preserve">Oysters expensed this week
	-Diego Cerquera</t>
      </text>
    </comment>
    <comment authorId="0" ref="D8">
      <text>
        <t xml:space="preserve">Goat leg expensed this week ($159.72), Pork belly ($267.30), Duck Legs ($552.17)
	-Diego Cerquera</t>
      </text>
    </comment>
  </commentList>
</comments>
</file>

<file path=xl/comments3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Short ribs expensed this week
	-Diego Cerquera</t>
      </text>
    </comment>
    <comment authorId="0" ref="D8">
      <text>
        <t xml:space="preserve">Duck
	-Diego Cerquera</t>
      </text>
    </comment>
    <comment authorId="0" ref="Q2">
      <text>
        <t xml:space="preserve">Honey expensed this week
	-Diego Cerquera</t>
      </text>
    </comment>
  </commentList>
</comments>
</file>

<file path=xl/comments3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8">
      <text>
        <t xml:space="preserve">Duck
	-Diego Cerquera</t>
      </text>
    </comment>
    <comment authorId="0" ref="B31">
      <text>
        <t xml:space="preserve">Roe $144
	-Diego Cerquera</t>
      </text>
    </comment>
    <comment authorId="0" ref="J8">
      <text>
        <t xml:space="preserve">Oysters expensed this week
	-Diego Cerquera</t>
      </text>
    </comment>
    <comment authorId="0" ref="B8">
      <text>
        <t xml:space="preserve">Short Ribs expensed this week
	-Diego Cerquera</t>
      </text>
    </comment>
  </commentList>
</comments>
</file>

<file path=xl/comments3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8">
      <text>
        <t xml:space="preserve">Red snapper, scallops expensed this week
	-Diego Cerquera</t>
      </text>
    </comment>
    <comment authorId="0" ref="B8">
      <text>
        <t xml:space="preserve">Jamon Iberico expensed this week $426.77, Chicken Crowns $245,07, Parm $251.92
	-Diego Cerquera</t>
      </text>
    </comment>
    <comment authorId="0" ref="P8">
      <text>
        <t xml:space="preserve">Roe, white asparagus expensed this week
	-Diego Cerquera</t>
      </text>
    </comment>
    <comment authorId="0" ref="D8">
      <text>
        <t xml:space="preserve">Duck ($811), Crab expensed this week $158.28
	-Diego Cerquera</t>
      </text>
    </comment>
  </commentList>
</comments>
</file>

<file path=xl/comments3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Beef cheek expensed this week INV 216769-041124
	-Diego Cerquera</t>
      </text>
    </comment>
    <comment authorId="0" ref="R8">
      <text>
        <t xml:space="preserve">Honey expensed this week INV 5422
	-Diego Cerquera</t>
      </text>
    </comment>
    <comment authorId="0" ref="D8">
      <text>
        <t xml:space="preserve">Duck
	-Diego Cerquera</t>
      </text>
    </comment>
    <comment authorId="0" ref="S5">
      <text>
        <t xml:space="preserve">Turnip, beets, ramps, watermelon INV 24246632 expensed this week
	-Diego Cerquera</t>
      </text>
    </comment>
    <comment authorId="0" ref="J8">
      <text>
        <t xml:space="preserve">Oysters expensed this week
	-Diego Cerquera</t>
      </text>
    </comment>
    <comment authorId="0" ref="F8">
      <text>
        <t xml:space="preserve">Dairy expensed this week INV 54106
	-Diego Cerquera</t>
      </text>
    </comment>
    <comment authorId="0" ref="B8">
      <text>
        <t xml:space="preserve">Short ribs expensed this week
	-Diego Cerquera</t>
      </text>
    </comment>
  </commentList>
</comments>
</file>

<file path=xl/comments3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8">
      <text>
        <t xml:space="preserve">duck
	-Beatriz Orduno-Flores</t>
      </text>
    </comment>
    <comment authorId="0" ref="P3">
      <text>
        <t xml:space="preserve">INV 65586
	-Beatriz Orduno-Flores</t>
      </text>
    </comment>
    <comment authorId="0" ref="F8">
      <text>
        <t xml:space="preserve">Dairy
	-Beatriz Orduno-Flores</t>
      </text>
    </comment>
    <comment authorId="0" ref="B8">
      <text>
        <t xml:space="preserve">Short Ribs Expensed
	-Beatriz Orduno-Flores</t>
      </text>
    </comment>
    <comment authorId="0" ref="B5">
      <text>
        <t xml:space="preserve">440.57 carrying ovee for the week of 04.29/05.05
	-Jorge Rivas</t>
      </text>
    </comment>
    <comment authorId="0" ref="F4">
      <text>
        <t xml:space="preserve">$467.86 carrying over for the week of 04.29/05.05
	-Jorge Rivas</t>
      </text>
    </comment>
  </commentList>
</comments>
</file>

<file path=xl/comments3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4">
      <text>
        <t xml:space="preserve">440.57 carrying ovee for the week of 04.29/05.05 - Jorge
	-Beatriz Orduno-Flores</t>
      </text>
    </comment>
    <comment authorId="0" ref="A33">
      <text>
        <t xml:space="preserve">Caviar from NX
	-Beatriz Orduno-Flores</t>
      </text>
    </comment>
    <comment authorId="0" ref="J5">
      <text>
        <t xml:space="preserve">Invoice 548843
	-Beatriz Orduno-Flores</t>
      </text>
    </comment>
    <comment authorId="0" ref="I8">
      <text>
        <t xml:space="preserve">short ribs expensed this week - INV 539984 - $ 467
	-Beatriz Orduno-Flores</t>
      </text>
    </comment>
    <comment authorId="0" ref="D8">
      <text>
        <t xml:space="preserve">Duck expensed this week
	-Beatriz Orduno-Flores</t>
      </text>
    </comment>
    <comment authorId="0" ref="C2">
      <text>
        <t xml:space="preserve">Missing invoice 4681907
	-Beatriz Orduno-Flores</t>
      </text>
    </comment>
    <comment authorId="0" ref="A29">
      <text>
        <t xml:space="preserve">@jorge@roisterrestaurant.com  This invoice had a carry over 3 weeks. Expense date 5/8?
_Assigned to jorge@roisterrestaurant.com_
	-Beatriz Orduno-Flores</t>
      </text>
    </comment>
    <comment authorId="0" ref="A30">
      <text>
        <t xml:space="preserve">@jorge@roisterrestaurant.com This can be deleted. It was expensed last week
_Assigned to jorge@roisterrestaurant.com_
	-Beatriz Orduno-Flores</t>
      </text>
    </comment>
  </commentList>
</comments>
</file>

<file path=xl/comments3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6">
      <text>
        <t xml:space="preserve">Per Notes on INV
	-Beatriz Orduno-Flores</t>
      </text>
    </comment>
    <comment authorId="0" ref="H8">
      <text>
        <t xml:space="preserve">Short ribs INV 541581 expensed this week. Expensing half of IN 547873 Short ribs $913.87
	-Diego Cerquera</t>
      </text>
    </comment>
    <comment authorId="0" ref="B8">
      <text>
        <t xml:space="preserve">Iberico Ham INV 63930336
	-Diego Cerquera</t>
      </text>
    </comment>
    <comment authorId="0" ref="D8">
      <text>
        <t xml:space="preserve">Beef cheek expensed this week INV 226673-041724. Duck INV 215535-041024
	-Diego Cerquera</t>
      </text>
    </comment>
    <comment authorId="0" ref="K2">
      <text>
        <t xml:space="preserve">Caviar expensed this week (transfered from Next)
	-Diego Cerquera</t>
      </text>
    </comment>
    <comment authorId="0" ref="F2">
      <text>
        <t xml:space="preserve">Dairy expensed INV 54343
	-Diego Cerquera</t>
      </text>
    </comment>
  </commentList>
</comments>
</file>

<file path=xl/comments3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8">
      <text>
        <t xml:space="preserve">Caviar from NX
	-Beatriz Orduno-Flores</t>
      </text>
    </comment>
    <comment authorId="0" ref="R6">
      <text>
        <t xml:space="preserve">INV I240517992
	-Beatriz Orduno-Flores</t>
      </text>
    </comment>
    <comment authorId="0" ref="R4">
      <text>
        <t xml:space="preserve">INV I240515980
	-Beatriz Orduno-Flores</t>
      </text>
    </comment>
    <comment authorId="0" ref="E6">
      <text>
        <t xml:space="preserve">INV 34256
	-Beatriz Orduno-Flores</t>
      </text>
    </comment>
    <comment authorId="0" ref="E3">
      <text>
        <t xml:space="preserve">INV 34157
	-Beatriz Orduno-Flores</t>
      </text>
    </comment>
    <comment authorId="0" ref="B7">
      <text>
        <t xml:space="preserve">INV 64144995
	-Beatriz Orduno-Flores</t>
      </text>
    </comment>
    <comment authorId="0" ref="C8">
      <text>
        <t xml:space="preserve">moved - Canola Oil expensed this week
	-Beatriz Orduno-Flores</t>
      </text>
    </comment>
    <comment authorId="0" ref="S8">
      <text>
        <t xml:space="preserve">1/2 Truffles expensed this week
	-Diego Cerquera</t>
      </text>
    </comment>
    <comment authorId="0" ref="D8">
      <text>
        <t xml:space="preserve">3 invoices Duck, scallops
	-Diego Cerquera
_Marked as resolved_
	-Diego Cerquera
_Re-opened_
	-Diego Cerquera</t>
      </text>
    </comment>
    <comment authorId="0" ref="F8">
      <text>
        <t xml:space="preserve">Dairy INV 54585 expensed this week
	-Diego Cerquera</t>
      </text>
    </comment>
    <comment authorId="0" ref="U8">
      <text>
        <t xml:space="preserve">Honey expensed this week INV 5542
	-Diego Cerquera</t>
      </text>
    </comment>
    <comment authorId="0" ref="J8">
      <text>
        <t xml:space="preserve">Hamachi collars INV 075376 expensed this week
	-Diego Cerquera</t>
      </text>
    </comment>
    <comment authorId="0" ref="H8">
      <text>
        <t xml:space="preserve">Short ribs expensed this week INV 547873 $913.87, beef cheek $260.9 INV 257446-050624
	-Diego Cerquera</t>
      </text>
    </comment>
    <comment authorId="0" ref="B8">
      <text>
        <t xml:space="preserve">Canola oil expensed this week $300, smoked salmon $235.39
	-Diego Cerquera</t>
      </text>
    </comment>
  </commentList>
</comments>
</file>

<file path=xl/comments4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4">
      <text>
        <t xml:space="preserve">total $1249.75
	-Beatriz Orduno-Flores</t>
      </text>
    </comment>
    <comment authorId="0" ref="D4">
      <text>
        <t xml:space="preserve">INV 283157-052224
	-Beatriz Orduno-Flores</t>
      </text>
    </comment>
    <comment authorId="0" ref="E6">
      <text>
        <t xml:space="preserve">INV 34405
	-Beatriz Orduno-Flores</t>
      </text>
    </comment>
    <comment authorId="0" ref="A35">
      <text>
        <t xml:space="preserve">INV 2081128, 2080943
	-Diego Cerquera</t>
      </text>
    </comment>
    <comment authorId="0" ref="D8">
      <text>
        <t xml:space="preserve">Duck
	-Diego Cerquera
271070
	-Beatriz Orduno-Flores</t>
      </text>
    </comment>
    <comment authorId="0" ref="R4">
      <text>
        <t xml:space="preserve">INV I240523113
	-Diego Cerquera</t>
      </text>
    </comment>
    <comment authorId="0" ref="K8">
      <text>
        <t xml:space="preserve">Caviar from NX
	-Diego Cerquera</t>
      </text>
    </comment>
    <comment authorId="0" ref="F5">
      <text>
        <t xml:space="preserve">Dairy INV 54963
	-Diego Cerquera</t>
      </text>
    </comment>
    <comment authorId="0" ref="S8">
      <text>
        <t xml:space="preserve">Truffles expensed this week
	-Diego Cerquera</t>
      </text>
    </comment>
  </commentList>
</comments>
</file>

<file path=xl/comments4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8">
      <text>
        <t xml:space="preserve">Transfer of truffles from NXAV
	-Beatriz Orduno-Flores</t>
      </text>
    </comment>
    <comment authorId="0" ref="E6">
      <text>
        <t xml:space="preserve">INV 34612
	-Beatriz Orduno-Flores</t>
      </text>
    </comment>
    <comment authorId="0" ref="C7">
      <text>
        <t xml:space="preserve">INV 4714581 64.85
	-Beatriz Orduno-Flores</t>
      </text>
    </comment>
    <comment authorId="0" ref="A34">
      <text>
        <t xml:space="preserve">INV 302096-060124 and 302112-060124
	-Diego Cerquera</t>
      </text>
    </comment>
    <comment authorId="0" ref="T8">
      <text>
        <t xml:space="preserve">Coconut,lobster,corn powder, crisp (Rare tea)
	-Diego Cerquera</t>
      </text>
    </comment>
    <comment authorId="0" ref="B8">
      <text>
        <t xml:space="preserve">Parm INV 64163571
	-Diego Cerquera</t>
      </text>
    </comment>
    <comment authorId="0" ref="U8">
      <text>
        <t xml:space="preserve">Honey INV 5580
	-Diego Cerquera</t>
      </text>
    </comment>
    <comment authorId="0" ref="D8">
      <text>
        <t xml:space="preserve">Duck other half INV 271070-051424 FORTUNE
	-Diego Cerquera</t>
      </text>
    </comment>
    <comment authorId="0" ref="F8">
      <text>
        <t xml:space="preserve">Dairy INV 54799
	-Diego Cerquera</t>
      </text>
    </comment>
    <comment authorId="0" ref="N8">
      <text>
        <t xml:space="preserve">Morels INV 67098, Liones Maine INV9778
	-Diego Cerquera</t>
      </text>
    </comment>
    <comment authorId="0" ref="H8">
      <text>
        <t xml:space="preserve">1/2 Beef cheek INV 272878-051524
	-Diego Cerquera</t>
      </text>
    </comment>
    <comment authorId="0" ref="Q8">
      <text>
        <t xml:space="preserve">1/2 invoice Ramps
	-Diego Cerquera</t>
      </text>
    </comment>
    <comment authorId="0" ref="I8">
      <text>
        <t xml:space="preserve">Snapper INV 554768
	-Diego Cerquera</t>
      </text>
    </comment>
    <comment authorId="0" ref="J8">
      <text>
        <t xml:space="preserve">Collar INV 075385
	-Diego Cerquera</t>
      </text>
    </comment>
  </commentList>
</comments>
</file>

<file path=xl/comments4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">
      <text>
        <t xml:space="preserve">INV 306061
	-Beatriz Orduno-Flores</t>
      </text>
    </comment>
    <comment authorId="0" ref="E6">
      <text>
        <t xml:space="preserve">INV 34805
	-Beatriz Orduno-Flores</t>
      </text>
    </comment>
    <comment authorId="0" ref="S8">
      <text>
        <t xml:space="preserve">Transfer of truffles from NXAV
	-Beatriz Orduno-Flores</t>
      </text>
    </comment>
    <comment authorId="0" ref="D8">
      <text>
        <t xml:space="preserve">Duck 271070-0510514 FORTUNE
	-Diego Cerquera</t>
      </text>
    </comment>
    <comment authorId="0" ref="H8">
      <text>
        <t xml:space="preserve">Short ribs half INV 553506
	-Diego Cerquera</t>
      </text>
    </comment>
    <comment authorId="0" ref="I8">
      <text>
        <t xml:space="preserve">Snapper expensed this week  INV 556367
	-Diego Cerquera</t>
      </text>
    </comment>
    <comment authorId="0" ref="H7">
      <text>
        <t xml:space="preserve">Beef cheek expensed this week INV 272878-051524
	-Diego Cerquera</t>
      </text>
    </comment>
    <comment authorId="0" ref="F5">
      <text>
        <t xml:space="preserve">Dairy expensed this week INV 54928
	-Diego Cerquera</t>
      </text>
    </comment>
  </commentList>
</comments>
</file>

<file path=xl/comments4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7">
      <text>
        <t xml:space="preserve">I240615220
	-Beatriz Orduno-Flores</t>
      </text>
    </comment>
    <comment authorId="0" ref="R6">
      <text>
        <t xml:space="preserve">INVI240614215
	-Beatriz Orduno-Flores</t>
      </text>
    </comment>
    <comment authorId="0" ref="L6">
      <text>
        <t xml:space="preserve">INV 271149
	-Beatriz Orduno-Flores</t>
      </text>
    </comment>
    <comment authorId="0" ref="E6">
      <text>
        <t xml:space="preserve">INV 34994
	-Beatriz Orduno-Flores</t>
      </text>
    </comment>
    <comment authorId="0" ref="D8">
      <text>
        <t xml:space="preserve">Duck INV 258735-050724 FORTUNE and 283131-052124 FORTUNE
	-Diego Cerquera</t>
      </text>
    </comment>
    <comment authorId="0" ref="F8">
      <text>
        <t xml:space="preserve">Dairy INV 55045
	-Diego Cerquera</t>
      </text>
    </comment>
    <comment authorId="0" ref="H8">
      <text>
        <t xml:space="preserve">Beef cheek INV 302110-060124, Short Ribs INV 553506 (other half)
	-Diego Cerquera</t>
      </text>
    </comment>
  </commentList>
</comments>
</file>

<file path=xl/comments4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Scallops, slab bacon FORTUNE INV 326003-061524
	-Diego Cerquera</t>
      </text>
    </comment>
    <comment authorId="0" ref="F8">
      <text>
        <t xml:space="preserve">Dairy INV 55171
	-Diego Cerquera</t>
      </text>
    </comment>
    <comment authorId="0" ref="D8">
      <text>
        <t xml:space="preserve">1/2 Duck INV 283141-052124 FORTUNE
	-Diego Cerquera</t>
      </text>
    </comment>
  </commentList>
</comments>
</file>

<file path=xl/comments4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6">
      <text>
        <t xml:space="preserve">INV I240628282
	-Beatriz Orduno-Flores</t>
      </text>
    </comment>
    <comment authorId="0" ref="L5">
      <text>
        <t xml:space="preserve">INV 272180 , 272146
	-Beatriz Orduno-Flores</t>
      </text>
    </comment>
    <comment authorId="0" ref="J6">
      <text>
        <t xml:space="preserve">INV 75412
	-Beatriz Orduno-Flores</t>
      </text>
    </comment>
    <comment authorId="0" ref="W5">
      <text>
        <t xml:space="preserve">INV 38847
	-Beatriz Orduno-Flores</t>
      </text>
    </comment>
    <comment authorId="0" ref="E6">
      <text>
        <t xml:space="preserve">INV 35395
	-Beatriz Orduno-Flores</t>
      </text>
    </comment>
    <comment authorId="0" ref="D8">
      <text>
        <t xml:space="preserve">Duck
	-Diego Cerquera</t>
      </text>
    </comment>
    <comment authorId="0" ref="F8">
      <text>
        <t xml:space="preserve">Dairy INV 55291
	-Diego Cerquera</t>
      </text>
    </comment>
  </commentList>
</comments>
</file>

<file path=xl/comments4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8">
      <text>
        <t xml:space="preserve">Truffles INV 562116
	-Diego Cerquera</t>
      </text>
    </comment>
    <comment authorId="0" ref="K8">
      <text>
        <t xml:space="preserve">Caviar  INV19740
	-Diego Cerquera</t>
      </text>
    </comment>
    <comment authorId="0" ref="D8">
      <text>
        <t xml:space="preserve">Duck Legs Fortune INV 337639-062224, Duck 1/2 293455-052824 FORTUNE
	-Diego Cerquera</t>
      </text>
    </comment>
    <comment authorId="0" ref="I8">
      <text>
        <t xml:space="preserve">Snapper INV563585
	-Diego Cerquera</t>
      </text>
    </comment>
    <comment authorId="0" ref="F8">
      <text>
        <t xml:space="preserve">Dairy 1/2 INV 55419
	-Diego Cerquera</t>
      </text>
    </comment>
  </commentList>
</comments>
</file>

<file path=xl/comments4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8">
      <text>
        <t xml:space="preserve">INV I240714354
	-Beatriz Orduno-Flores</t>
      </text>
    </comment>
    <comment authorId="0" ref="R7">
      <text>
        <t xml:space="preserve">INV I240713343
	-Beatriz Orduno-Flores</t>
      </text>
    </comment>
    <comment authorId="0" ref="E6">
      <text>
        <t xml:space="preserve">INV 35796
	-Beatriz Orduno-Flores</t>
      </text>
    </comment>
    <comment authorId="0" ref="B7">
      <text>
        <t xml:space="preserve">INV 1308.92
	-Beatriz Orduno-Flores</t>
      </text>
    </comment>
    <comment authorId="0" ref="H13">
      <text>
        <t xml:space="preserve">Short ribs
	-Diego Cerquera</t>
      </text>
    </comment>
    <comment authorId="0" ref="D13">
      <text>
        <t xml:space="preserve">1 cs Duck
	-Diego Cerquera</t>
      </text>
    </comment>
    <comment authorId="0" ref="J8">
      <text>
        <t xml:space="preserve">Oysters, hamachi INV 075418
	-Diego Cerquera</t>
      </text>
    </comment>
    <comment authorId="0" ref="I8">
      <text>
        <t xml:space="preserve">Snapper INV 564692, 564881
	-Diego Cerquera</t>
      </text>
    </comment>
    <comment authorId="0" ref="H8">
      <text>
        <t xml:space="preserve">1/2 Short Ribs INV 557837
	-Diego Cerquera</t>
      </text>
    </comment>
    <comment authorId="0" ref="S8">
      <text>
        <t xml:space="preserve">Truffles INV 562093, 562082
	-Diego Cerquera</t>
      </text>
    </comment>
    <comment authorId="0" ref="D8">
      <text>
        <t xml:space="preserve">Beef cheeks, Duck (2 cases)
	-Diego Cerquera</t>
      </text>
    </comment>
    <comment authorId="0" ref="F8">
      <text>
        <t xml:space="preserve">Dairy INV 55419, 55519
	-Diego Cerquera</t>
      </text>
    </comment>
  </commentList>
</comments>
</file>

<file path=xl/comments4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8">
      <text>
        <t xml:space="preserve">1/2 Regalis caviar INV 69307
	-Diego Cerquera</t>
      </text>
    </comment>
    <comment authorId="0" ref="H8">
      <text>
        <t xml:space="preserve">1/2 Short ribs INV 560382
	-Diego Cerquera</t>
      </text>
    </comment>
    <comment authorId="0" ref="D2">
      <text>
        <t xml:space="preserve">Duck INV 293455-052824 FORTUNE
	-Diego Cerquera
INV 306075
	-Beatriz Orduno-Flores</t>
      </text>
    </comment>
    <comment authorId="0" ref="S8">
      <text>
        <t xml:space="preserve">Truffles INV 562132
	-Diego Cerquera</t>
      </text>
    </comment>
    <comment authorId="0" ref="F8">
      <text>
        <t xml:space="preserve">Dairy INV 55649
	-Diego Cerquera</t>
      </text>
    </comment>
    <comment authorId="0" ref="D8">
      <text>
        <t xml:space="preserve">Fortune INV 359292-070624
	-Diego Cerquera</t>
      </text>
    </comment>
    <comment authorId="0" ref="T8">
      <text>
        <t xml:space="preserve">Coconut powder, crisp, honey INV 2083147
	-Diego Cerquera</t>
      </text>
    </comment>
  </commentList>
</comments>
</file>

<file path=xl/comments4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6">
      <text>
        <t xml:space="preserve">INV 075434
	-Beatriz Orduno-Flores</t>
      </text>
    </comment>
    <comment authorId="0" ref="Y4">
      <text>
        <t xml:space="preserve">INV 116893709
	-Beatriz Orduno-Flores</t>
      </text>
    </comment>
    <comment authorId="0" ref="M7">
      <text>
        <t xml:space="preserve">INV 149016806
	-Beatriz Orduno-Flores</t>
      </text>
    </comment>
    <comment authorId="0" ref="C4">
      <text>
        <t xml:space="preserve">INV 04775161
	-Beatriz Orduno-Flores</t>
      </text>
    </comment>
    <comment authorId="0" ref="N6">
      <text>
        <t xml:space="preserve">INV FSM9190
	-Beatriz Orduno-Flores</t>
      </text>
    </comment>
    <comment authorId="0" ref="I8">
      <text>
        <t xml:space="preserve">Scallops, clams, mussels, snapper INV 567727
	-Diego Cerquera</t>
      </text>
    </comment>
    <comment authorId="0" ref="J7">
      <text>
        <t xml:space="preserve">Oyster, hamachi INV 075428
	-Diego Cerquera</t>
      </text>
    </comment>
    <comment authorId="0" ref="D8">
      <text>
        <t xml:space="preserve">306075-060424 FORTUNE Duck
	-Diego Cerquera</t>
      </text>
    </comment>
    <comment authorId="0" ref="S8">
      <text>
        <t xml:space="preserve">Truffles INV 562148
	-Diego Cerquera</t>
      </text>
    </comment>
    <comment authorId="0" ref="F8">
      <text>
        <t xml:space="preserve">Dairy INv 55768
	-Diego Cerquera</t>
      </text>
    </comment>
    <comment authorId="0" ref="T8">
      <text>
        <t xml:space="preserve">Coconut powder, crisp, manuka INV 2083552
	-Diego Cerquera</t>
      </text>
    </comment>
    <comment authorId="0" ref="O8">
      <text>
        <t xml:space="preserve">Regalis caviar INV 69307
	-Diego Cerquera</t>
      </text>
    </comment>
    <comment authorId="0" ref="H8">
      <text>
        <t xml:space="preserve">Short Ribs INV 560382
	-Diego Cerquera</t>
      </text>
    </comment>
  </commentList>
</comments>
</file>

<file path=xl/comments5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8">
      <text>
        <t xml:space="preserve">@diego.cerquera@roisterrestaurant.com Quick estimate for Dana Wine Dinner. Let me know if you have any other questions
_Assigned to diego.cerquera@roisterrestaurant.com_
	-Beatriz Orduno-Flores</t>
      </text>
    </comment>
    <comment authorId="0" ref="J8">
      <text>
        <t xml:space="preserve">Oysters , collars INV 0754434
	-Diego Cerquera</t>
      </text>
    </comment>
    <comment authorId="0" ref="D8">
      <text>
        <t xml:space="preserve">Duck
	-Diego Cerquera</t>
      </text>
    </comment>
    <comment authorId="0" ref="N8">
      <text>
        <t xml:space="preserve">Four star mushrooms INV FSM9213
	-Diego Cerquera</t>
      </text>
    </comment>
    <comment authorId="0" ref="I8">
      <text>
        <t xml:space="preserve">Snapper INV 570233
	-Diego Cerquera</t>
      </text>
    </comment>
    <comment authorId="0" ref="F8">
      <text>
        <t xml:space="preserve">Dairy INV 55891
	-Diego Cerquera</t>
      </text>
    </comment>
    <comment authorId="0" ref="S8">
      <text>
        <t xml:space="preserve">Truffles INV 562119
	-Diego Cerquera</t>
      </text>
    </comment>
  </commentList>
</comments>
</file>

<file path=xl/comments5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7">
      <text>
        <t xml:space="preserve">INV 573636 - COD &amp; Red Snapper
	-Beatriz Orduno-Flores</t>
      </text>
    </comment>
    <comment authorId="0" ref="H5">
      <text>
        <t xml:space="preserve">INV 573021
	-Beatriz Orduno-Flores</t>
      </text>
    </comment>
    <comment authorId="0" ref="C7">
      <text>
        <t xml:space="preserve">INV 4794760
	-Beatriz Orduno-Flores</t>
      </text>
    </comment>
    <comment authorId="0" ref="M6">
      <text>
        <t xml:space="preserve">INV 149017069
	-Beatriz Orduno-Flores</t>
      </text>
    </comment>
    <comment authorId="0" ref="D7">
      <text>
        <t xml:space="preserve">Duck 317734-061124 FORTUNE
	-Diego Cerquera</t>
      </text>
    </comment>
    <comment authorId="0" ref="D8">
      <text>
        <t xml:space="preserve">Beef cheeks INV 386539-072324,
	-Diego Cerquera</t>
      </text>
    </comment>
    <comment authorId="0" ref="K8">
      <text>
        <t xml:space="preserve">Regiis Ova INV 20463
	-Diego Cerquera</t>
      </text>
    </comment>
    <comment authorId="0" ref="S8">
      <text>
        <t xml:space="preserve">Truffles INV 563341
	-Diego Cerquera</t>
      </text>
    </comment>
    <comment authorId="0" ref="J8">
      <text>
        <t xml:space="preserve">Collar, oyster Superior
	-Diego Cerquera</t>
      </text>
    </comment>
    <comment authorId="0" ref="F5">
      <text>
        <t xml:space="preserve">Dairy
	-Diego Cerquera</t>
      </text>
    </comment>
  </commentList>
</comments>
</file>

<file path=xl/comments5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6">
      <text>
        <t xml:space="preserve">INV 149017221
	-Beatriz Orduno-Flores</t>
      </text>
    </comment>
    <comment authorId="0" ref="O5">
      <text>
        <t xml:space="preserve">INV I240817558
	-Beatriz Orduno-Flores</t>
      </text>
    </comment>
    <comment authorId="0" ref="J8">
      <text>
        <t xml:space="preserve">oysters  INV 075446
	-Diego Cerquera</t>
      </text>
    </comment>
    <comment authorId="0" ref="K8">
      <text>
        <t xml:space="preserve">1/2 Regiis Ova INV 20463
	-Diego Cerquera</t>
      </text>
    </comment>
    <comment authorId="0" ref="D8">
      <text>
        <t xml:space="preserve">1/2 INV 329654-061824 FORTUNE
	-Diego Cerquera</t>
      </text>
    </comment>
    <comment authorId="0" ref="B8">
      <text>
        <t xml:space="preserve">Parmesan 64901040
	-Diego Cerquera</t>
      </text>
    </comment>
    <comment authorId="0" ref="I8">
      <text>
        <t xml:space="preserve">Scallops INV 573021
	-Diego Cerquera</t>
      </text>
    </comment>
    <comment authorId="0" ref="I7">
      <text>
        <t xml:space="preserve">Snapper INV 573636
	-Diego Cerquera</t>
      </text>
    </comment>
    <comment authorId="0" ref="F7">
      <text>
        <t xml:space="preserve">Dairy INV 56141
	-Diego Cerquera</t>
      </text>
    </comment>
    <comment authorId="0" ref="P7">
      <text>
        <t xml:space="preserve">Truffles INV 564185
	-Diego Cerquera</t>
      </text>
    </comment>
  </commentList>
</comments>
</file>

<file path=xl/comments5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7">
      <text>
        <t xml:space="preserve">Collars INV 075456
	-Diego Cerquera
INV 075453
	-Beatriz Orduno-Flores</t>
      </text>
    </comment>
    <comment authorId="0" ref="P8">
      <text>
        <t xml:space="preserve">Truffles INV 564180
	-Diego Cerquera</t>
      </text>
    </comment>
    <comment authorId="0" ref="F8">
      <text>
        <t xml:space="preserve">Dairy INV 56268
	-Diego Cerquera</t>
      </text>
    </comment>
    <comment authorId="0" ref="T8">
      <text>
        <t xml:space="preserve">Cornille INV,24247686,24247759,
	-Diego Cerquera</t>
      </text>
    </comment>
    <comment authorId="0" ref="C12">
      <text>
        <t xml:space="preserve">Demi Veal INV 65008671 from Inventory
	-Diego Cerquera</t>
      </text>
    </comment>
    <comment authorId="0" ref="D8">
      <text>
        <t xml:space="preserve">Duck 329654-061824 FORTUNE
	-Diego Cerquera</t>
      </text>
    </comment>
    <comment authorId="0" ref="J8">
      <text>
        <t xml:space="preserve">Hamachi, clams INV 075446
	-Diego Cerquera</t>
      </text>
    </comment>
    <comment authorId="0" ref="K8">
      <text>
        <t xml:space="preserve">Regiis Ova INV 20463
	-Diego Cerquera</t>
      </text>
    </comment>
    <comment authorId="0" ref="Q8">
      <text>
        <t xml:space="preserve">Rare tea cellar INV 2084612
	-Diego Cerquera</t>
      </text>
    </comment>
  </commentList>
</comments>
</file>

<file path=xl/comments5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7">
      <text>
        <t xml:space="preserve">Collar INV 075456,
	-Diego Cerquera</t>
      </text>
    </comment>
    <comment authorId="0" ref="T6">
      <text>
        <t xml:space="preserve">1/2 INV 24247687 and 24247760
	-Diego Cerquera</t>
      </text>
    </comment>
    <comment authorId="0" ref="D8">
      <text>
        <t xml:space="preserve">Duck INV 341296-062524 
(Part of the other 1/2, Domaine wine dinner)
	-Diego Cerquera</t>
      </text>
    </comment>
    <comment authorId="0" ref="T8">
      <text>
        <t xml:space="preserve">INV 24247812
	-Diego Cerquera</t>
      </text>
    </comment>
    <comment authorId="0" ref="D13">
      <text>
        <t xml:space="preserve">Scallops INV 435155-082124, Ducks INV 341296-062524 (3 cases $473.64)
	-Diego Cerquera</t>
      </text>
    </comment>
    <comment authorId="0" ref="F8">
      <text>
        <t xml:space="preserve">Dairy INV 56378
	-Diego Cerquera</t>
      </text>
    </comment>
    <comment authorId="0" ref="I13">
      <text>
        <t xml:space="preserve">INV 577056
	-Beatriz Orduno-Flores</t>
      </text>
    </comment>
    <comment authorId="0" ref="H8">
      <text>
        <t xml:space="preserve">1/2 INV 570154 Short Ribs
	-Diego Cerquera</t>
      </text>
    </comment>
    <comment authorId="0" ref="I8">
      <text>
        <t xml:space="preserve">1/2 INV 574134 Octopus
	-Diego Cerquera</t>
      </text>
    </comment>
    <comment authorId="0" ref="J8">
      <text>
        <t xml:space="preserve">Oyster, hamachi INV 075453
	-Diego Cerquera
INV 075460
	-Beatriz Orduno-Flores</t>
      </text>
    </comment>
    <comment authorId="0" ref="B8">
      <text>
        <t xml:space="preserve">Parmesan INV 65069783
	-Diego Cerquera</t>
      </text>
    </comment>
  </commentList>
</comments>
</file>

<file path=xl/comments5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">
      <text>
        <t xml:space="preserve">Sakura Pork collars INV 415338-080924
	-Diego Cerquera</t>
      </text>
    </comment>
    <comment authorId="0" ref="D8">
      <text>
        <t xml:space="preserve">341296-062524 FORTUNE Duck
	-Diego Cerquera</t>
      </text>
    </comment>
    <comment authorId="0" ref="J8">
      <text>
        <t xml:space="preserve">Oyster, hamachi INV 075460
	-Diego Cerquera</t>
      </text>
    </comment>
    <comment authorId="0" ref="F8">
      <text>
        <t xml:space="preserve">Dairy INV56511
	-Diego Cerquera</t>
      </text>
    </comment>
    <comment authorId="0" ref="I8">
      <text>
        <t xml:space="preserve">1/2 Octopus INV 574134
	-Diego Cerquera</t>
      </text>
    </comment>
    <comment authorId="0" ref="T8">
      <text>
        <t xml:space="preserve">1/2 Cornille INV 24247687, 24247760
	-Diego Cerquera</t>
      </text>
    </comment>
    <comment authorId="0" ref="H7">
      <text>
        <t xml:space="preserve">1/2 Beef cheeks INV 413508-080824
	-Diego Cerquera</t>
      </text>
    </comment>
    <comment authorId="0" ref="H8">
      <text>
        <t xml:space="preserve">1/2 Short ribs INV 570154
	-Diego Cerquera</t>
      </text>
    </comment>
  </commentList>
</comments>
</file>

<file path=xl/comments5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2">
      <text>
        <t xml:space="preserve">INV 2085990
	-Beatriz Orduno-Flores</t>
      </text>
    </comment>
    <comment authorId="0" ref="D6">
      <text>
        <t xml:space="preserve">Scallops INV 459372-090524
	-Diego Cerquera</t>
      </text>
    </comment>
    <comment authorId="0" ref="S8">
      <text>
        <t xml:space="preserve">1/3 EVOO-Tomato water INV 4318
	-Diego Cerquera</t>
      </text>
    </comment>
    <comment authorId="0" ref="F12">
      <text>
        <t xml:space="preserve">Dairy INV 56633
	-Diego Cerquera</t>
      </text>
    </comment>
    <comment authorId="0" ref="D8">
      <text>
        <t xml:space="preserve">1/2 INV 352951-070224 FORTUNE Duck
	-Diego Cerquera</t>
      </text>
    </comment>
    <comment authorId="0" ref="H7">
      <text>
        <t xml:space="preserve">1/2 Beef cheeks INV 413508-080824
	-Diego Cerquera</t>
      </text>
    </comment>
    <comment authorId="0" ref="H8">
      <text>
        <t xml:space="preserve">1/2 Short ribs INV 570154
	-Diego Cerquera</t>
      </text>
    </comment>
    <comment authorId="0" ref="T8">
      <text>
        <t xml:space="preserve">1/2 Cornille INV 24247687, 24247760
	-Diego Cerquera</t>
      </text>
    </comment>
  </commentList>
</comments>
</file>

<file path=xl/comments5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7">
      <text>
        <t xml:space="preserve">INV FSM10266
	-Beatriz Orduno-Flores</t>
      </text>
    </comment>
    <comment authorId="0" ref="D8">
      <text>
        <t xml:space="preserve">352951-070224 FORTUNE
	-Diego Cerquera</t>
      </text>
    </comment>
    <comment authorId="0" ref="F8">
      <text>
        <t xml:space="preserve">INV 56754
	-Diego Cerquera</t>
      </text>
    </comment>
    <comment authorId="0" ref="K8">
      <text>
        <t xml:space="preserve">1/2 Caviar INV 20725
	-Diego Cerquera</t>
      </text>
    </comment>
    <comment authorId="0" ref="S8">
      <text>
        <t xml:space="preserve">2/3 EVOO-Tomato water INV 4318
	-Diego Cerquera</t>
      </text>
    </comment>
    <comment authorId="0" ref="J8">
      <text>
        <t xml:space="preserve">Oysters, collars INV 075465
	-Diego Cerquera</t>
      </text>
    </comment>
  </commentList>
</comments>
</file>

<file path=xl/comments5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8">
      <text>
        <t xml:space="preserve">Superior INV 0754472 oyster, hamachi
	-Diego Cerquera</t>
      </text>
    </comment>
    <comment authorId="0" ref="D8">
      <text>
        <t xml:space="preserve">1/2 363291-070224 FORTUNE
	-Diego Cerquera
363291-070924
	-Beatriz Orduno-Flores</t>
      </text>
    </comment>
    <comment authorId="0" ref="B8">
      <text>
        <t xml:space="preserve">Octopus INV 577507
	-Diego Cerquera</t>
      </text>
    </comment>
    <comment authorId="0" ref="T8">
      <text>
        <t xml:space="preserve">Cornille INV 24247935
	-Diego Cerquera</t>
      </text>
    </comment>
    <comment authorId="0" ref="F8">
      <text>
        <t xml:space="preserve">Dairy INV 56876
	-Diego Cerquera</t>
      </text>
    </comment>
    <comment authorId="0" ref="U8">
      <text>
        <t xml:space="preserve">Honey INV 6002
	-Diego Cerquera</t>
      </text>
    </comment>
    <comment authorId="0" ref="K8">
      <text>
        <t xml:space="preserve">1/2 Caviar INV 20725
	-Diego Cerquera</t>
      </text>
    </comment>
    <comment authorId="0" ref="H8">
      <text>
        <t xml:space="preserve">Short ribs INV 571753
	-Diego Cerquera</t>
      </text>
    </comment>
    <comment authorId="0" ref="S8">
      <text>
        <t xml:space="preserve">3/3 EVOO-Tomato water INV 4318
	-Diego Cerquera</t>
      </text>
    </comment>
  </commentList>
</comments>
</file>

<file path=xl/comments5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6">
      <text>
        <t xml:space="preserve">@diego.cerquera@roisterrestaurant.com Truffles pulled on 10/4
_Assigned to diego.cerquera@roisterrestaurant.com_
	-Beatriz Orduno-Flores
expensing 10/7
	-Beatriz Orduno-Flores</t>
      </text>
    </comment>
    <comment authorId="0" ref="Y4">
      <text>
        <t xml:space="preserve">INV 117986470
	-Beatriz Orduno-Flores</t>
      </text>
    </comment>
    <comment authorId="0" ref="D4">
      <text>
        <t xml:space="preserve">1/2 Duck INV 374641-071624 FORTUNE
	-Diego Cerquera</t>
      </text>
    </comment>
    <comment authorId="0" ref="H8">
      <text>
        <t xml:space="preserve">Short ribs INV 578324
	-Diego Cerquera</t>
      </text>
    </comment>
    <comment authorId="0" ref="J2">
      <text>
        <t xml:space="preserve">Superior INV 075477 collars, oysters
	-Diego Cerquera</t>
      </text>
    </comment>
    <comment authorId="0" ref="D7">
      <text>
        <t xml:space="preserve">Beef cheeks 1/2 INV 469520-091124
	-Diego Cerquera</t>
      </text>
    </comment>
    <comment authorId="0" ref="J8">
      <text>
        <t xml:space="preserve">1/2 Octopus  INV 075466
	-Diego Cerquera</t>
      </text>
    </comment>
    <comment authorId="0" ref="D8">
      <text>
        <t xml:space="preserve">Pork collars INV 471304-091224 $380 , Scallops INV 497665-092724 $180.80
	-Diego Cerquera</t>
      </text>
    </comment>
    <comment authorId="0" ref="F8">
      <text>
        <t xml:space="preserve">Dairy INV 56989
	-Diego Cerquera</t>
      </text>
    </comment>
  </commentList>
</comments>
</file>

<file path=xl/comments6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6">
      <text>
        <t xml:space="preserve">@diego.cerquera@roisterrestaurant.com  Here is the breakdown of the spend for LP Dinner
_Assigned to diego.cerquera@roisterrestaurant.com_
	-Beatriz Orduno-Flores</t>
      </text>
    </comment>
    <comment authorId="0" ref="E20">
      <text>
        <t xml:space="preserve">@diego.cerquera@roisterrestaurant.com  Let me know if this helps or if you have more questions we can review! :)
_Assigned to diego.cerquera@roisterrestaurant.com_
	-Beatriz Orduno-Flores</t>
      </text>
    </comment>
    <comment authorId="0" ref="E3">
      <text>
        <t xml:space="preserve">INV 51281
	-Beatriz Orduno-Flores</t>
      </text>
    </comment>
    <comment authorId="0" ref="Q13">
      <text>
        <t xml:space="preserve">INV 2087209
	-Beatriz Orduno-Flores</t>
      </text>
    </comment>
    <comment authorId="0" ref="D13">
      <text>
        <t xml:space="preserve">374641-071624 FORTUNE 2 cs ducks
	-Diego Cerquera
INV 374641 is fully expensed - taking 2 cases from 386522-072324
	-Beatriz Orduno-Flores</t>
      </text>
    </comment>
    <comment authorId="0" ref="K13">
      <text>
        <t xml:space="preserve">1/2 Caviar INV 21171
	-Diego Cerquera</t>
      </text>
    </comment>
    <comment authorId="0" ref="P6">
      <text>
        <t xml:space="preserve">Truffles pulled from 10/4 -
	-Beatriz Orduno-Flores</t>
      </text>
    </comment>
    <comment authorId="0" ref="D3">
      <text>
        <t xml:space="preserve">374641-071624 FORTUNE Duck
	-Diego Cerquera</t>
      </text>
    </comment>
    <comment authorId="0" ref="J2">
      <text>
        <t xml:space="preserve">Collars, oysters INV 075483
	-Diego Cerquera</t>
      </text>
    </comment>
    <comment authorId="0" ref="C8">
      <text>
        <t xml:space="preserve">Get fresh INV 04855827
	-Diego Cerquera</t>
      </text>
    </comment>
    <comment authorId="0" ref="I8">
      <text>
        <t xml:space="preserve">Brazino INV 587587
	-Diego Cerquera</t>
      </text>
    </comment>
    <comment authorId="0" ref="F8">
      <text>
        <t xml:space="preserve">Dairy INV 57118
	-Diego Cerquera</t>
      </text>
    </comment>
    <comment authorId="0" ref="B8">
      <text>
        <t xml:space="preserve">Demi glaze INV 65429614, Chicken crowns INV 65527116
	-Diego Cerquera</t>
      </text>
    </comment>
    <comment authorId="0" ref="D7">
      <text>
        <t xml:space="preserve">Beef cheeks INV 469520-091124,
	-Diego Cerquera</t>
      </text>
    </comment>
    <comment authorId="0" ref="J8">
      <text>
        <t xml:space="preserve">Octopus 075466, 0754472
	-Diego Cerquera</t>
      </text>
    </comment>
    <comment authorId="0" ref="D8">
      <text>
        <t xml:space="preserve">Pork collars INV 497665-092724
	-Diego Cerquera</t>
      </text>
    </comment>
  </commentList>
</comments>
</file>

<file path=xl/comments6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7">
      <text>
        <t xml:space="preserve">INV 590967
	-Beatriz Orduno-Flores</t>
      </text>
    </comment>
    <comment authorId="0" ref="D4">
      <text>
        <t xml:space="preserve">+293.60 - INV 528398-101624
	-Beatriz Orduno-Flores</t>
      </text>
    </comment>
    <comment authorId="0" ref="H8">
      <text>
        <t xml:space="preserve">1/2 Short ribs INV 583848,
	-Diego Cerquera</t>
      </text>
    </comment>
    <comment authorId="0" ref="D7">
      <text>
        <t xml:space="preserve">Duck 386522-072324 ($706)
	-Diego Cerquera</t>
      </text>
    </comment>
    <comment authorId="0" ref="K8">
      <text>
        <t xml:space="preserve">Caviar INV 21171
	-Diego Cerquera</t>
      </text>
    </comment>
    <comment authorId="0" ref="B8">
      <text>
        <t xml:space="preserve">Parmesan INV 65567492
	-Diego Cerquera</t>
      </text>
    </comment>
    <comment authorId="0" ref="J8">
      <text>
        <t xml:space="preserve">1/2 Octopus INV 075477
	-Diego Cerquera</t>
      </text>
    </comment>
    <comment authorId="0" ref="F8">
      <text>
        <t xml:space="preserve">Dairy INV 57233
	-Diego Cerquera</t>
      </text>
    </comment>
    <comment authorId="0" ref="S8">
      <text>
        <t xml:space="preserve">Tomato water, EVOO INV 4475
	-Diego Cerquera</t>
      </text>
    </comment>
    <comment authorId="0" ref="D8">
      <text>
        <t xml:space="preserve">Beef cheeks INV 494956-092624
	-Diego Cerquera</t>
      </text>
    </comment>
  </commentList>
</comments>
</file>

<file path=xl/comments6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8">
      <text>
        <t xml:space="preserve">1/2 EVOO, fish sauce INV 4533
	-Diego Cerquera</t>
      </text>
    </comment>
    <comment authorId="0" ref="U8">
      <text>
        <t xml:space="preserve">1/2 Honey INV 6160
	-Diego Cerquera</t>
      </text>
    </comment>
    <comment authorId="0" ref="D6">
      <text>
        <t xml:space="preserve">1/4 Beef cheeks INV 510997-100524
	-Diego Cerquera</t>
      </text>
    </comment>
    <comment authorId="0" ref="F8">
      <text>
        <t xml:space="preserve">Dairy INV 57349
	-Diego Cerquera</t>
      </text>
    </comment>
    <comment authorId="0" ref="K8">
      <text>
        <t xml:space="preserve">1/3 Caviar INV 21297
	-Diego Cerquera</t>
      </text>
    </comment>
    <comment authorId="0" ref="J8">
      <text>
        <t xml:space="preserve">1/2 Octopus INV 075477,
	-Diego Cerquera</t>
      </text>
    </comment>
    <comment authorId="0" ref="D8">
      <text>
        <t xml:space="preserve">1/2 398066-073024FORTUNE
	-Diego Cerquera</t>
      </text>
    </comment>
  </commentList>
</comments>
</file>

<file path=xl/comments6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INV 4881004
	-Beatriz Orduno-Flores</t>
      </text>
    </comment>
    <comment authorId="0" ref="D8">
      <text>
        <t xml:space="preserve">1 cs Duck 398066-073024FORTUNE
	-Diego Cerquera</t>
      </text>
    </comment>
    <comment authorId="0" ref="I8">
      <text>
        <t xml:space="preserve">Scallops, Bronzino INV 592582
	-Diego Cerquera</t>
      </text>
    </comment>
    <comment authorId="0" ref="J2">
      <text>
        <t xml:space="preserve">Collars INV 075497
	-Diego Cerquera</t>
      </text>
    </comment>
    <comment authorId="0" ref="K13">
      <text>
        <t xml:space="preserve">Caviar INV 21297
	-Diego Cerquera</t>
      </text>
    </comment>
    <comment authorId="0" ref="F8">
      <text>
        <t xml:space="preserve">Dairy INV 57477
	-Diego Cerquera</t>
      </text>
    </comment>
    <comment authorId="0" ref="E13">
      <text>
        <t xml:space="preserve">2 cs Duck 398066-073024FORTUNE, $403.7,  1/2 Invoice Close Loops 51604 $198
	-Diego Cerquera</t>
      </text>
    </comment>
    <comment authorId="0" ref="U13">
      <text>
        <t xml:space="preserve">Honey INV 6183
	-Diego Cerquera</t>
      </text>
    </comment>
    <comment authorId="0" ref="S12">
      <text>
        <t xml:space="preserve">EVOO, fish sauce INV 4533
	-Diego Cerquera</t>
      </text>
    </comment>
    <comment authorId="0" ref="U8">
      <text>
        <t xml:space="preserve">2/2 Honey INV 6160
	-Diego Cerquera</t>
      </text>
    </comment>
    <comment authorId="0" ref="H7">
      <text>
        <t xml:space="preserve">2/4 Beef cheeks INV 510997-100524
	-Diego Cerquera</t>
      </text>
    </comment>
    <comment authorId="0" ref="J8">
      <text>
        <t xml:space="preserve">Octopus 1/3 INV 075488
	-Diego Cerquera</t>
      </text>
    </comment>
    <comment authorId="0" ref="H8">
      <text>
        <t xml:space="preserve">Short ribs INV 583848 ,
	-Diego Cerquera</t>
      </text>
    </comment>
  </commentList>
</comments>
</file>

<file path=xl/comments6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8">
      <text>
        <t xml:space="preserve">INV 24248404
	-Beatriz Orduno-Flores</t>
      </text>
    </comment>
    <comment authorId="0" ref="O5">
      <text>
        <t xml:space="preserve">INV I241107843
	-Beatriz Orduno-Flores</t>
      </text>
    </comment>
    <comment authorId="0" ref="C3">
      <text>
        <t xml:space="preserve">INV 04888526
	-Beatriz Orduno-Flores</t>
      </text>
    </comment>
    <comment authorId="0" ref="J6">
      <text>
        <t xml:space="preserve">Transfer 100 pc oysters to AV
	-Diego Cerquera</t>
      </text>
    </comment>
    <comment authorId="0" ref="H13">
      <text>
        <t xml:space="preserve">1/2 Short ribs INV 585286,
	-Diego Cerquera</t>
      </text>
    </comment>
    <comment authorId="0" ref="D13">
      <text>
        <t xml:space="preserve">1 cs Duck 410028-080624 FORTUNE
	-Diego Cerquera</t>
      </text>
    </comment>
    <comment authorId="0" ref="K8">
      <text>
        <t xml:space="preserve">Caviar INV 21297
	-Diego Cerquera</t>
      </text>
    </comment>
    <comment authorId="0" ref="D2">
      <text>
        <t xml:space="preserve">410028-080624 FORTUNE
	-Diego Cerquera</t>
      </text>
    </comment>
    <comment authorId="0" ref="H8">
      <text>
        <t xml:space="preserve">1/2 Short ribs INV 585286,
	-Diego Cerquera</t>
      </text>
    </comment>
    <comment authorId="0" ref="D7">
      <text>
        <t xml:space="preserve">1/2 Pork collars INV 520712-101124
	-Diego Cerquera</t>
      </text>
    </comment>
    <comment authorId="0" ref="J8">
      <text>
        <t xml:space="preserve">2/3 Octopus INV 075488
	-Diego Cerquera</t>
      </text>
    </comment>
    <comment authorId="0" ref="D8">
      <text>
        <t xml:space="preserve">3/4 Beef cheeks INV 510997-100524
	-Diego Cerquera</t>
      </text>
    </comment>
    <comment authorId="0" ref="F8">
      <text>
        <t xml:space="preserve">Dairy INV 57599
	-Diego Cerquera</t>
      </text>
    </comment>
    <comment authorId="0" ref="U8">
      <text>
        <t xml:space="preserve">Honey INV 6208
	-Diego Cerquera</t>
      </text>
    </comment>
  </commentList>
</comments>
</file>

<file path=xl/comments6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7">
      <text>
        <t xml:space="preserve">4/4 Beef cheeks INV 510997-100524
	-Diego Cerquera</t>
      </text>
    </comment>
    <comment authorId="0" ref="D2">
      <text>
        <t xml:space="preserve">5 cs duck INV 421185-081324FORTUNE
	-Diego Cerquera</t>
      </text>
    </comment>
    <comment authorId="0" ref="D13">
      <text>
        <t xml:space="preserve">3 cs duck INV 421185-081324FORTUNE
	-Diego Cerquera</t>
      </text>
    </comment>
    <comment authorId="0" ref="D8">
      <text>
        <t xml:space="preserve">Pork collars INV 520712-101124
	-Diego Cerquera</t>
      </text>
    </comment>
    <comment authorId="0" ref="J8">
      <text>
        <t xml:space="preserve">Octopus INV 075488
	-Diego Cerquera</t>
      </text>
    </comment>
    <comment authorId="0" ref="F5">
      <text>
        <t xml:space="preserve">Dairy INV 57719
	-Diego Cerquera</t>
      </text>
    </comment>
    <comment authorId="0" ref="K8">
      <text>
        <t xml:space="preserve">Caviar INV 21297
	-Diego Cerquera</t>
      </text>
    </comment>
  </commentList>
</comments>
</file>

<file path=xl/comments6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7">
      <text>
        <t xml:space="preserve">INV FSM11586
	-Beatriz Orduno-Flores</t>
      </text>
    </comment>
    <comment authorId="0" ref="H36">
      <text>
        <t xml:space="preserve">@diego.cerquera@roisterrestaurant.com
_Assigned to diego.cerquera@roisterrestaurant.com_
	-Beatriz Orduno-Flores</t>
      </text>
    </comment>
  </commentList>
</comments>
</file>

<file path=xl/comments6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estimate
	-Beatriz Orduno-Flores
----
R&amp;D
	-Beatriz Orduno-Flores
----
INV 65527116
	-Beatriz Orduno-Flores
----
Beef cheeks INV 469520-091124
	-Diego Cerquera
----
INV 55045
	-Beatriz Orduno-Flores
----
Short ribs expensed this week INV
	-Diego Cerquera</t>
      </text>
    </comment>
    <comment authorId="0" ref="D7">
      <text>
        <t xml:space="preserve">1/2 INV 510997-04889806 Beef cheeks
	-Diego Cerquera</t>
      </text>
    </comment>
  </commentList>
</comments>
</file>

<file path=xl/comments6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8">
      <text>
        <t xml:space="preserve">Short ribs INV 585286
	-Diego Cerquera</t>
      </text>
    </comment>
    <comment authorId="0" ref="D3">
      <text>
        <t xml:space="preserve">Beef cheeks INV 510997-04889806, 578756-111524,
	-Diego Cerquera</t>
      </text>
    </comment>
    <comment authorId="0" ref="D8">
      <text>
        <t xml:space="preserve">Carabineros
	-Diego Cerquera</t>
      </text>
    </comment>
  </commentList>
</comments>
</file>

<file path=xl/comments6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">
      <text>
        <t xml:space="preserve">INV 4926935
	-Beatriz Orduno-Flores</t>
      </text>
    </comment>
    <comment authorId="0" ref="E6">
      <text>
        <t xml:space="preserve">INV 59463
	-Beatriz Orduno-Flores</t>
      </text>
    </comment>
    <comment authorId="0" ref="H8">
      <text>
        <t xml:space="preserve">Short ribs INV 591405
	-Diego Cerquera</t>
      </text>
    </comment>
    <comment authorId="0" ref="D7">
      <text>
        <t xml:space="preserve">Beef cheeks INV 596801-112624,
	-Diego Cerquera</t>
      </text>
    </comment>
    <comment authorId="0" ref="D8">
      <text>
        <t xml:space="preserve">Carabineros
	-Diego Cerquera</t>
      </text>
    </comment>
  </commentList>
</comments>
</file>

<file path=xl/comments7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2">
      <text>
        <t xml:space="preserve">cooking wine/spirits
	-Beatriz Orduno-Flores</t>
      </text>
    </comment>
    <comment authorId="0" ref="D4">
      <text>
        <t xml:space="preserve">Beef cheeks 622337-121224,
	-Diego Cerquera</t>
      </text>
    </comment>
    <comment authorId="0" ref="F6">
      <text>
        <t xml:space="preserve">Dairy
	-Diego Cerquera</t>
      </text>
    </comment>
    <comment authorId="0" ref="H11">
      <text>
        <t xml:space="preserve">Short ribs staff meal
	-Diego Cerquera</t>
      </text>
    </comment>
    <comment authorId="0" ref="D2">
      <text>
        <t xml:space="preserve">Carabineros
	-Diego Cerquera
6 cases
	-Beatriz Orduno-Flores
1 rolled over to next week
	-Beatriz Orduno-Flores</t>
      </text>
    </comment>
    <comment authorId="0" ref="D7">
      <text>
        <t xml:space="preserve">Beef cheeks INV 614403 - 120724,
	-Diego Cerquera</t>
      </text>
    </comment>
    <comment authorId="0" ref="H8">
      <text>
        <t xml:space="preserve">Short ribs INV 596423
	-Diego Cerquera</t>
      </text>
    </comment>
    <comment authorId="0" ref="D8">
      <text>
        <t xml:space="preserve">Halibut INV 626636-121424
	-Diego Cerquera</t>
      </text>
    </comment>
  </commentList>
</comments>
</file>

<file path=xl/comments7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1">
      <text>
        <t xml:space="preserve">Beef cheeks INV 632528-121824,
	-Diego Cerquera</t>
      </text>
    </comment>
    <comment authorId="0" ref="D8">
      <text>
        <t xml:space="preserve">beef cheeks 622337-121224,
	-Diego Cerquera</t>
      </text>
    </comment>
  </commentList>
</comments>
</file>

<file path=xl/comments7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1">
      <text>
        <t xml:space="preserve">Beef cheeks INV 675532-122724,
FAMILY
	-Diego Cerquera</t>
      </text>
    </comment>
    <comment authorId="0" ref="D2">
      <text>
        <t xml:space="preserve">Beef cheeks INV 675532-122724,
	-Diego Cerquera</t>
      </text>
    </comment>
    <comment authorId="0" ref="D8">
      <text>
        <t xml:space="preserve">Beef cheeks INV 632528-121824
	-Diego Cerquera</t>
      </text>
    </comment>
    <comment authorId="0" ref="F8">
      <text>
        <t xml:space="preserve">Dairy INV 58535
	-Diego Cerquera</t>
      </text>
    </comment>
  </commentList>
</comments>
</file>

<file path=xl/comments7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B2">
      <text>
        <t xml:space="preserve">estimate
	-Beatriz Orduno-Flores</t>
      </text>
    </comment>
    <comment authorId="0" ref="D11">
      <text>
        <t xml:space="preserve">Beef cheeks INV 658430-010325
	-Diego Cerquera</t>
      </text>
    </comment>
    <comment authorId="0" ref="D8">
      <text>
        <t xml:space="preserve">Beef cheeks INV 658430-010325
	-Diego Cerquera</t>
      </text>
    </comment>
    <comment authorId="0" ref="K8">
      <text>
        <t xml:space="preserve">Caviar Alinea
	-Diego Cerquera</t>
      </text>
    </comment>
    <comment authorId="0" ref="F8">
      <text>
        <t xml:space="preserve">Dairy INV 58636
	-Diego Cerquera</t>
      </text>
    </comment>
  </commentList>
</comments>
</file>

<file path=xl/comments7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B2">
      <text>
        <t xml:space="preserve">estimated amount
	-Beatriz Orduno-Flores</t>
      </text>
    </comment>
    <comment authorId="0" ref="K8">
      <text>
        <t xml:space="preserve">Caviar
	-Diego Cerquera</t>
      </text>
    </comment>
    <comment authorId="0" ref="D11">
      <text>
        <t xml:space="preserve">Beef cheeks
	-Diego Cerquera</t>
      </text>
    </comment>
    <comment authorId="0" ref="D8">
      <text>
        <t xml:space="preserve">1/2 Beef cheeks INV 658430-010325
	-Diego Cerquera</t>
      </text>
    </comment>
    <comment authorId="0" ref="I8">
      <text>
        <t xml:space="preserve">1/2 Truffles
	-Diego Cerquera</t>
      </text>
    </comment>
    <comment authorId="0" ref="U8">
      <text>
        <t xml:space="preserve">Honey INV 6441
	-Diego Cerquera</t>
      </text>
    </comment>
  </commentList>
</comments>
</file>

<file path=xl/comments7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10">
      <text>
        <t xml:space="preserve">@diego.cerquera@roisterrestaurant.com  This is all the items I have allocated to St Clair
_Assigned to diego.cerquera@roisterrestaurant.com_
	-Beatriz Orduno-Flores</t>
      </text>
    </comment>
    <comment authorId="0" ref="K2">
      <text>
        <t xml:space="preserve">INV 22637
	-Beatriz Orduno-Flores</t>
      </text>
    </comment>
    <comment authorId="0" ref="D6">
      <text>
        <t xml:space="preserve">Halibut INV 681109-011825
	-Diego Cerquera</t>
      </text>
    </comment>
    <comment authorId="0" ref="I8">
      <text>
        <t xml:space="preserve">Truffles
	-Diego Cerquera</t>
      </text>
    </comment>
    <comment authorId="0" ref="D8">
      <text>
        <t xml:space="preserve">Beef cheeks INv 658430-010325. $300 staff meal
	-Diego Cerquera</t>
      </text>
    </comment>
    <comment authorId="0" ref="S8">
      <text>
        <t xml:space="preserve">Cornille INV 25245144: $132 and $35 LA dinner, $60 R&amp;D Chef Achatz
	-Diego Cerquera</t>
      </text>
    </comment>
  </commentList>
</comments>
</file>

<file path=xl/comments7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8">
      <text>
        <t xml:space="preserve">Beef cheeks -$300 Staff
	-Diego Cerquera</t>
      </text>
    </comment>
    <comment authorId="0" ref="M8">
      <text>
        <t xml:space="preserve">Truffle oil, Parmigiano
	-Diego Cerquera</t>
      </text>
    </comment>
    <comment authorId="0" ref="I8">
      <text>
        <t xml:space="preserve">Truffles
	-Diego Cerquera</t>
      </text>
    </comment>
    <comment authorId="0" ref="N8">
      <text>
        <t xml:space="preserve">Maitakes inventory
	-Diego Cerquera</t>
      </text>
    </comment>
  </commentList>
</comments>
</file>

<file path=xl/comments7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7">
      <text>
        <t xml:space="preserve">679653-011725,
	-Diego Cerquera</t>
      </text>
    </comment>
    <comment authorId="0" ref="M6">
      <text>
        <t xml:space="preserve">EVOO Tartuffi
	-Diego Cerquera</t>
      </text>
    </comment>
    <comment authorId="0" ref="J8">
      <text>
        <t xml:space="preserve">Halibut
	-Diego Cerquera</t>
      </text>
    </comment>
    <comment authorId="0" ref="M7">
      <text>
        <t xml:space="preserve">Truffle oil INV 570075
	-Diego Cerquera</t>
      </text>
    </comment>
    <comment authorId="0" ref="M8">
      <text>
        <t xml:space="preserve">Truffles
	-Diego Cerquera</t>
      </text>
    </comment>
  </commentList>
</comments>
</file>

<file path=xl/comments7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1">
      <text>
        <t xml:space="preserve">Beef cheeks INV 684826-012125
	-Diego Cerquera</t>
      </text>
    </comment>
    <comment authorId="0" ref="I8">
      <text>
        <t xml:space="preserve">Truflfles INV 570093
	-Diego Cerquera</t>
      </text>
    </comment>
    <comment authorId="0" ref="J8">
      <text>
        <t xml:space="preserve">Halibut INV 075573
	-Diego Cerquera</t>
      </text>
    </comment>
    <comment authorId="0" ref="K8">
      <text>
        <t xml:space="preserve">Caviar
	-Diego Cerquera</t>
      </text>
    </comment>
    <comment authorId="0" ref="D8">
      <text>
        <t xml:space="preserve">Duck 551813-103025 FORTUNE
	-Diego Cerquera</t>
      </text>
    </comment>
    <comment authorId="0" ref="F5">
      <text>
        <t xml:space="preserve">Dairy INV 59211
	-Diego Cerquera</t>
      </text>
    </comment>
  </commentList>
</comments>
</file>

<file path=xl/comments7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1">
      <text>
        <t xml:space="preserve">$300 Beef cheeks
	-Diego Cerquera</t>
      </text>
    </comment>
    <comment authorId="0" ref="D4">
      <text>
        <t xml:space="preserve">1/2 Beef cheeks INV 699389-013025,
	-Diego Cerquera</t>
      </text>
    </comment>
    <comment authorId="0" ref="D2">
      <text>
        <t xml:space="preserve">Duck 562661-110624 FORTUNE
	-Diego Cerquera</t>
      </text>
    </comment>
    <comment authorId="0" ref="F8">
      <text>
        <t xml:space="preserve">Dairy INV 58851
	-Diego Cerquera</t>
      </text>
    </comment>
    <comment authorId="0" ref="I8">
      <text>
        <t xml:space="preserve">Truffles INV  31001
	-Diego Cerquera</t>
      </text>
    </comment>
    <comment authorId="0" ref="B8">
      <text>
        <t xml:space="preserve">Parm regigano INV 66917157
	-Diego Cerquera</t>
      </text>
    </comment>
    <comment authorId="0" ref="D8">
      <text>
        <t xml:space="preserve">Kombu, carabineros from inventory
	-Diego Cerquera</t>
      </text>
    </comment>
  </commentList>
</comments>
</file>

<file path=xl/sharedStrings.xml><?xml version="1.0" encoding="utf-8"?>
<sst xmlns="http://schemas.openxmlformats.org/spreadsheetml/2006/main" count="12401" uniqueCount="977">
  <si>
    <t>CW</t>
  </si>
  <si>
    <t>Fortune</t>
  </si>
  <si>
    <t>Viola</t>
  </si>
  <si>
    <t>A1 Firewood</t>
  </si>
  <si>
    <t>Wabash</t>
  </si>
  <si>
    <t xml:space="preserve">Superior </t>
  </si>
  <si>
    <t xml:space="preserve">Aya </t>
  </si>
  <si>
    <t>Closed Loop</t>
  </si>
  <si>
    <t xml:space="preserve">Testa </t>
  </si>
  <si>
    <t>Cornille</t>
  </si>
  <si>
    <t>Rare Tea Cellar</t>
  </si>
  <si>
    <t xml:space="preserve">Steve's </t>
  </si>
  <si>
    <t>Turano</t>
  </si>
  <si>
    <t>Daily Spend</t>
  </si>
  <si>
    <t>Daily Revenue</t>
  </si>
  <si>
    <t>Daily Cost %</t>
  </si>
  <si>
    <t>Wednesday</t>
  </si>
  <si>
    <t>Thursday</t>
  </si>
  <si>
    <t>Friday</t>
  </si>
  <si>
    <t>Saturday</t>
  </si>
  <si>
    <t>Sunday</t>
  </si>
  <si>
    <t>N/A</t>
  </si>
  <si>
    <t>Budget</t>
  </si>
  <si>
    <t xml:space="preserve">Total Weekly Spend </t>
  </si>
  <si>
    <t>Remaing Spend</t>
  </si>
  <si>
    <t>Weekly Food Revenue</t>
  </si>
  <si>
    <t>Weekly Cost %</t>
  </si>
  <si>
    <t>End of week status</t>
  </si>
  <si>
    <t>list items over $100</t>
  </si>
  <si>
    <t>Items carrying over</t>
  </si>
  <si>
    <t>Amount</t>
  </si>
  <si>
    <t>Items discarded</t>
  </si>
  <si>
    <t>Duck week 1</t>
  </si>
  <si>
    <t>Duck Week 2</t>
  </si>
  <si>
    <t>Duck Week 3</t>
  </si>
  <si>
    <t>Total</t>
  </si>
  <si>
    <t>Truffles/ carryover</t>
  </si>
  <si>
    <t>Truffles</t>
  </si>
  <si>
    <t>Monday</t>
  </si>
  <si>
    <t>6 ribeyes</t>
  </si>
  <si>
    <t>D'artagnan</t>
  </si>
  <si>
    <t>Short Ribs</t>
  </si>
  <si>
    <t>Regalis</t>
  </si>
  <si>
    <t>Rocker Bros</t>
  </si>
  <si>
    <t>Food Revenue</t>
  </si>
  <si>
    <t>Tuesday (buyout)</t>
  </si>
  <si>
    <t>$966,80</t>
  </si>
  <si>
    <t>Tuesday/Wednesday</t>
  </si>
  <si>
    <t>21k</t>
  </si>
  <si>
    <t>Four Star</t>
  </si>
  <si>
    <t>Duplicate copy from 7/21 total:</t>
  </si>
  <si>
    <t>Jamon</t>
  </si>
  <si>
    <t>Testa</t>
  </si>
  <si>
    <t>Carryover Items from last week</t>
  </si>
  <si>
    <t>Jamon $390.66</t>
  </si>
  <si>
    <t>Crisp Film $212.62</t>
  </si>
  <si>
    <t>Short Ribs $1,138.79</t>
  </si>
  <si>
    <t>Potato Pellets</t>
  </si>
  <si>
    <t>Olives</t>
  </si>
  <si>
    <t>Truffle</t>
  </si>
  <si>
    <t xml:space="preserve">Tuesday </t>
  </si>
  <si>
    <t>Scallops</t>
  </si>
  <si>
    <t>Date delivered</t>
  </si>
  <si>
    <t>Weight billed (lbs)</t>
  </si>
  <si>
    <t>Weight received (lbs)</t>
  </si>
  <si>
    <t>16#</t>
  </si>
  <si>
    <t>4# = 53pc</t>
  </si>
  <si>
    <t>12#</t>
  </si>
  <si>
    <t>Total left at EOW</t>
  </si>
  <si>
    <t>Trout</t>
  </si>
  <si>
    <t>4#</t>
  </si>
  <si>
    <t>Reported on COGS</t>
  </si>
  <si>
    <t xml:space="preserve">Wabash Seafood </t>
  </si>
  <si>
    <t>Trout carry over</t>
  </si>
  <si>
    <t xml:space="preserve">Trout </t>
  </si>
  <si>
    <t>20#</t>
  </si>
  <si>
    <t>8.75#</t>
  </si>
  <si>
    <t>8#</t>
  </si>
  <si>
    <t>Wabash seafood</t>
  </si>
  <si>
    <t>Actuals</t>
  </si>
  <si>
    <t>Difference</t>
  </si>
  <si>
    <t>Short Rib</t>
  </si>
  <si>
    <t>Cheddar</t>
  </si>
  <si>
    <t>Spirit Tea</t>
  </si>
  <si>
    <t>Duck</t>
  </si>
  <si>
    <t>Wine dinner</t>
  </si>
  <si>
    <t>Currently using an estimate</t>
  </si>
  <si>
    <t>Superior - in COGS</t>
  </si>
  <si>
    <t>Steve's - COGS</t>
  </si>
  <si>
    <t>10/26 - 1009.95</t>
  </si>
  <si>
    <t>Includes sunflowers, tax, and delivery fee</t>
  </si>
  <si>
    <t>10/28 - 516.9</t>
  </si>
  <si>
    <t>Oysters</t>
  </si>
  <si>
    <t>Estimate based on 6-week avg</t>
  </si>
  <si>
    <t>$197 in oysterd carried into this week</t>
  </si>
  <si>
    <t>126.72 - Bronzini on 11/3</t>
  </si>
  <si>
    <t>Carried $380 in scallops + $272 of smoked trout</t>
  </si>
  <si>
    <t>Missing sunflowers, tax, and delivery fee</t>
  </si>
  <si>
    <t>Beeef knuckle bones -- Kaysen event + $5 fuel surcharge</t>
  </si>
  <si>
    <t>195 clams kaysen, $295 in oysters. Some for SCSC?</t>
  </si>
  <si>
    <t>Chicken Breasts</t>
  </si>
  <si>
    <t xml:space="preserve">16# short Ribs </t>
  </si>
  <si>
    <t>White Chocolate</t>
  </si>
  <si>
    <t>Collars</t>
  </si>
  <si>
    <t>Mayo</t>
  </si>
  <si>
    <t>Chicken breasts</t>
  </si>
  <si>
    <t>Remaining Spend</t>
  </si>
  <si>
    <t>parm</t>
  </si>
  <si>
    <t>Short ribs</t>
  </si>
  <si>
    <t xml:space="preserve">Jamon </t>
  </si>
  <si>
    <t>Haus select cheddar</t>
  </si>
  <si>
    <t>Caviar</t>
  </si>
  <si>
    <t>mayo</t>
  </si>
  <si>
    <t>chicken thigh</t>
  </si>
  <si>
    <t>chicken breast</t>
  </si>
  <si>
    <t>ground pork</t>
  </si>
  <si>
    <t>00 flour</t>
  </si>
  <si>
    <t>Bacon</t>
  </si>
  <si>
    <t>ICB Stabilizer</t>
  </si>
  <si>
    <t>Chicken Thigh</t>
  </si>
  <si>
    <t>Booze</t>
  </si>
  <si>
    <t>D'amatos</t>
  </si>
  <si>
    <t>V-day Ducks</t>
  </si>
  <si>
    <t>Chicken</t>
  </si>
  <si>
    <t>1/2cs short ribs</t>
  </si>
  <si>
    <t xml:space="preserve">Short Ribs </t>
  </si>
  <si>
    <t>Cream Cheese</t>
  </si>
  <si>
    <t xml:space="preserve">Mixed Olives </t>
  </si>
  <si>
    <t>Ducks</t>
  </si>
  <si>
    <t>Wabash/Allen</t>
  </si>
  <si>
    <t>Lump Crab</t>
  </si>
  <si>
    <t>Pork Belly</t>
  </si>
  <si>
    <t>Ducks (3/27)</t>
  </si>
  <si>
    <t>Ducks (4/3)</t>
  </si>
  <si>
    <t>lump crab</t>
  </si>
  <si>
    <t>Ducks (4/10)</t>
  </si>
  <si>
    <t>Ducks (4/17)</t>
  </si>
  <si>
    <t>Salmon</t>
  </si>
  <si>
    <t>Clam Prices</t>
  </si>
  <si>
    <t>Bill</t>
  </si>
  <si>
    <t>$7.99/12pc</t>
  </si>
  <si>
    <t>$45/50pc</t>
  </si>
  <si>
    <t>$17.50/50pc</t>
  </si>
  <si>
    <t>Cherrystone</t>
  </si>
  <si>
    <t>White Water</t>
  </si>
  <si>
    <t>Littleneck</t>
  </si>
  <si>
    <t>Ducks (week of 5/1)</t>
  </si>
  <si>
    <t>Chuck Flap</t>
  </si>
  <si>
    <t>Tail Flap(short Ribs)</t>
  </si>
  <si>
    <t>Hamachi Collars</t>
  </si>
  <si>
    <t>Bellota Ham BNLS</t>
  </si>
  <si>
    <t>Third week it become Dartagnan spend</t>
  </si>
  <si>
    <t>fortune invoice</t>
  </si>
  <si>
    <t>Other</t>
  </si>
  <si>
    <t>next week: 518.56</t>
  </si>
  <si>
    <t>week 1: 544.97</t>
  </si>
  <si>
    <t>week 2: 544.97</t>
  </si>
  <si>
    <t>Beca Imp</t>
  </si>
  <si>
    <t>week 6/9 $638.08</t>
  </si>
  <si>
    <t>Duck Legs</t>
  </si>
  <si>
    <t>Salmon Glory Bay</t>
  </si>
  <si>
    <t>Murphy's</t>
  </si>
  <si>
    <t>Regiis Ova</t>
  </si>
  <si>
    <t>1 tin (500 grams)</t>
  </si>
  <si>
    <t>Honey</t>
  </si>
  <si>
    <t>Murphy</t>
  </si>
  <si>
    <t>whole leg</t>
  </si>
  <si>
    <t xml:space="preserve">Beca </t>
  </si>
  <si>
    <t>Fermin Bellota Ham BNLs 1lb</t>
  </si>
  <si>
    <t>Move to SC for wine dinner</t>
  </si>
  <si>
    <t>notes</t>
  </si>
  <si>
    <t>Expected use date</t>
  </si>
  <si>
    <t xml:space="preserve">Ribeye CHOICE </t>
  </si>
  <si>
    <t>Aging 60 days</t>
  </si>
  <si>
    <t>Carrying for week of 8/7</t>
  </si>
  <si>
    <t>8/14-8/20</t>
  </si>
  <si>
    <t>from 8/21-9/3</t>
  </si>
  <si>
    <t>2 weeks worth</t>
  </si>
  <si>
    <t>ADD? For this week</t>
  </si>
  <si>
    <t>Beca</t>
  </si>
  <si>
    <t>MushroomM</t>
  </si>
  <si>
    <t>from 10/01</t>
  </si>
  <si>
    <t>until 10/15-10/18</t>
  </si>
  <si>
    <t>by the end of week 10/9</t>
  </si>
  <si>
    <t>10/23-10/30</t>
  </si>
  <si>
    <t>White Truffle</t>
  </si>
  <si>
    <t>10/16-10/23</t>
  </si>
  <si>
    <t>1531,8</t>
  </si>
  <si>
    <t>Spend per COGS</t>
  </si>
  <si>
    <t>week of Nov 6-Nov 12</t>
  </si>
  <si>
    <t>Canola oil</t>
  </si>
  <si>
    <t>week of oct 30-nov 05</t>
  </si>
  <si>
    <t>$547 of canola oil here</t>
  </si>
  <si>
    <t>Amounts subtracted from invoices</t>
  </si>
  <si>
    <t>Family</t>
  </si>
  <si>
    <t>SCSC</t>
  </si>
  <si>
    <t>Mijenta Event</t>
  </si>
  <si>
    <t>Bar</t>
  </si>
  <si>
    <t>Return</t>
  </si>
  <si>
    <t>week of nov 6-nov 12</t>
  </si>
  <si>
    <t>week of nov 6-nov 13</t>
  </si>
  <si>
    <t>week of nov 13-nov 19</t>
  </si>
  <si>
    <t>Get Fresh</t>
  </si>
  <si>
    <t>Allen Brother</t>
  </si>
  <si>
    <t>Sysco</t>
  </si>
  <si>
    <t>Breakthru</t>
  </si>
  <si>
    <t>Vintage Wines</t>
  </si>
  <si>
    <t>Thanksgiving</t>
  </si>
  <si>
    <t>week of nov 20-nov 26</t>
  </si>
  <si>
    <t>Jamon Iberico</t>
  </si>
  <si>
    <t>week of nov 13-dec 3</t>
  </si>
  <si>
    <t>Hamachi collar</t>
  </si>
  <si>
    <t>week of nov 27-dec 10</t>
  </si>
  <si>
    <t>Spend per cogs</t>
  </si>
  <si>
    <t>Negroni dinner</t>
  </si>
  <si>
    <t>week of dec 04-dec 10</t>
  </si>
  <si>
    <t>Truffle dinner</t>
  </si>
  <si>
    <t>Aji panca-amarillo</t>
  </si>
  <si>
    <t>week of dec 11-dec 24</t>
  </si>
  <si>
    <t>Parmesan</t>
  </si>
  <si>
    <t>Foie Grass</t>
  </si>
  <si>
    <t>Jamon Iberico de Bellota</t>
  </si>
  <si>
    <t>week of dec 11-ene 07</t>
  </si>
  <si>
    <t>Macallan</t>
  </si>
  <si>
    <t>Super Bowl</t>
  </si>
  <si>
    <t>Jan 8 - Jan 21</t>
  </si>
  <si>
    <t>Oxtail</t>
  </si>
  <si>
    <t>Jan 15 - Jan 21</t>
  </si>
  <si>
    <t>Jan 22 - Jan 28</t>
  </si>
  <si>
    <t>Octopus</t>
  </si>
  <si>
    <t>Goat-Banhez dinner</t>
  </si>
  <si>
    <t>Lard,Beet juice, Oxaca,beans Bahner</t>
  </si>
  <si>
    <t>Greek yougurt, tomatillo, roma, Bahner</t>
  </si>
  <si>
    <t>Hamachi</t>
  </si>
  <si>
    <t>Crab Meat</t>
  </si>
  <si>
    <t>Jan 29 - Feb 4</t>
  </si>
  <si>
    <t>Super bowl</t>
  </si>
  <si>
    <t>Feb 5- Feb 18</t>
  </si>
  <si>
    <t>Parm</t>
  </si>
  <si>
    <t>Feb 5- Feb 11</t>
  </si>
  <si>
    <t>Jalapeno powder</t>
  </si>
  <si>
    <t>Caviar (Transfer from Next)</t>
  </si>
  <si>
    <t>Makers dinner SCSC</t>
  </si>
  <si>
    <t>w</t>
  </si>
  <si>
    <t>Jamon Iberico Bellota</t>
  </si>
  <si>
    <t>Corison Wine dinner</t>
  </si>
  <si>
    <t>Feb 26 - Mar 10</t>
  </si>
  <si>
    <t>Feb 26- Mar 24</t>
  </si>
  <si>
    <t>Feb 26- Mar 3</t>
  </si>
  <si>
    <t>Masago-Truffle oil-Coconut powder</t>
  </si>
  <si>
    <t>Hamachi, clams</t>
  </si>
  <si>
    <t>Oyster/Shrimp/Hamachi</t>
  </si>
  <si>
    <t>Feb 26- Mar 10</t>
  </si>
  <si>
    <t>Canola</t>
  </si>
  <si>
    <t xml:space="preserve">Jamon Iberico </t>
  </si>
  <si>
    <t>Feb 26 - Mar 17</t>
  </si>
  <si>
    <t>Feb 26- Mar 31</t>
  </si>
  <si>
    <t>Mar 11 - Mar 24</t>
  </si>
  <si>
    <t>Duck legs</t>
  </si>
  <si>
    <t>Wine Dinner</t>
  </si>
  <si>
    <t>Goat leg</t>
  </si>
  <si>
    <t>France vs USA</t>
  </si>
  <si>
    <t>Lamb</t>
  </si>
  <si>
    <t>Ramps</t>
  </si>
  <si>
    <t xml:space="preserve">Kilgus </t>
  </si>
  <si>
    <t>BAR</t>
  </si>
  <si>
    <t>April 1 - April 21</t>
  </si>
  <si>
    <t>Lamb, ramps (Dunn dinner)</t>
  </si>
  <si>
    <t>April 1 - April 14</t>
  </si>
  <si>
    <t>Roe-White asparagus</t>
  </si>
  <si>
    <t>Beef cheeks (Dunn Dinner)</t>
  </si>
  <si>
    <t>Chicken crowns</t>
  </si>
  <si>
    <t>Crab</t>
  </si>
  <si>
    <t>Red snapper-Scallops</t>
  </si>
  <si>
    <t>Spring onion/Caviar (Dunn Dinner)</t>
  </si>
  <si>
    <t>Dunn Dinner</t>
  </si>
  <si>
    <t>Start expensing week 4/15</t>
  </si>
  <si>
    <t>Honey INV 5422</t>
  </si>
  <si>
    <t>4/15-4/22</t>
  </si>
  <si>
    <t>Beef cheek INV 216769-041124</t>
  </si>
  <si>
    <t>Dairy week 4/8 INV 54106</t>
  </si>
  <si>
    <t>Turnip, beets, ramps, watermelon INV 24246632</t>
  </si>
  <si>
    <t>Napa Valley</t>
  </si>
  <si>
    <t>Beef Cheek INV 226673-041724</t>
  </si>
  <si>
    <t>Dairy week 4/15 INV 54216</t>
  </si>
  <si>
    <t>Item</t>
  </si>
  <si>
    <t>Invoice</t>
  </si>
  <si>
    <t>Date</t>
  </si>
  <si>
    <t>Kilgus (milk, heavy cream, half&amp;half)</t>
  </si>
  <si>
    <t>Regalis (trout Roe)</t>
  </si>
  <si>
    <t xml:space="preserve">short rib/beef chucktail </t>
  </si>
  <si>
    <t>Steve's Flower</t>
  </si>
  <si>
    <t>Short Ribs INV 541581</t>
  </si>
  <si>
    <t xml:space="preserve">2.5 weeks </t>
  </si>
  <si>
    <t>Start expensing week 05/06-20</t>
  </si>
  <si>
    <t>Rohan Duck INV 249121-050124</t>
  </si>
  <si>
    <t xml:space="preserve">1 week total </t>
  </si>
  <si>
    <t>startcexpesing week 05/20-26 ending.</t>
  </si>
  <si>
    <t>Dairy week 4/15 INV 54343</t>
  </si>
  <si>
    <t>Short Ribs Invoice 547873</t>
  </si>
  <si>
    <t>Regiis Ova Golden Ossetra 500g</t>
  </si>
  <si>
    <t>Expensing 4/29-5/6</t>
  </si>
  <si>
    <t>Iberico Ham INV 63930336</t>
  </si>
  <si>
    <t>Regiis Caviar</t>
  </si>
  <si>
    <t>Murphy/Chefs Local Choice</t>
  </si>
  <si>
    <t>Instacart</t>
  </si>
  <si>
    <t>Daily Revenue- Accounting</t>
  </si>
  <si>
    <t>Sassicaia wine dinner</t>
  </si>
  <si>
    <t>Accounting</t>
  </si>
  <si>
    <t>Beef cheek INV 257446-050624</t>
  </si>
  <si>
    <t>Hamachi collars INV 075376</t>
  </si>
  <si>
    <t>Honey INV 5542</t>
  </si>
  <si>
    <t>Dairy INV 54585</t>
  </si>
  <si>
    <t>Smoked salmon INV 64069841</t>
  </si>
  <si>
    <t>Scallops INV 265109-051024</t>
  </si>
  <si>
    <t>ACCOUNTING</t>
  </si>
  <si>
    <t>Food Inventory</t>
  </si>
  <si>
    <t>Items Currently in Food Inventory</t>
  </si>
  <si>
    <t>Invoice #</t>
  </si>
  <si>
    <t>INV Date</t>
  </si>
  <si>
    <t>Expense Date</t>
  </si>
  <si>
    <t>Split</t>
  </si>
  <si>
    <t>265109-051024 FORTUNE</t>
  </si>
  <si>
    <t>Scallops, U-10</t>
  </si>
  <si>
    <t>227061-041724 FORTUNE</t>
  </si>
  <si>
    <t>Rohan Duck 1lb</t>
  </si>
  <si>
    <t>237845-042424 FORTUNE</t>
  </si>
  <si>
    <t>249131-050124 FORTUNE</t>
  </si>
  <si>
    <t>258735-050724 FORTUNE</t>
  </si>
  <si>
    <t>5/27 &amp; 6/3</t>
  </si>
  <si>
    <t>559690 TARTUFO</t>
  </si>
  <si>
    <t>Fresh Black Truffle</t>
  </si>
  <si>
    <t>5/13 &amp; 5/20</t>
  </si>
  <si>
    <t>257446-050624 FORTUNE</t>
  </si>
  <si>
    <t>Beef Cheeks</t>
  </si>
  <si>
    <t>64069841 CWH</t>
  </si>
  <si>
    <t>Smoked Salmon</t>
  </si>
  <si>
    <t>75376 Superior Ocean</t>
  </si>
  <si>
    <t>04694227 GET FRESH</t>
  </si>
  <si>
    <t>Canola Oil</t>
  </si>
  <si>
    <t>54585 KILGUS</t>
  </si>
  <si>
    <t xml:space="preserve">Deerland Dairy Butermilk, </t>
  </si>
  <si>
    <t xml:space="preserve">Whoel Galon </t>
  </si>
  <si>
    <t>Heavy Cream 1/2 Gallon</t>
  </si>
  <si>
    <t>Half &amp;Half 1/2 gallon</t>
  </si>
  <si>
    <t>5542 Heaven's Honey</t>
  </si>
  <si>
    <t>Clover Honey</t>
  </si>
  <si>
    <t>5/13,5/20,5/27</t>
  </si>
  <si>
    <t>Castello wine dinner</t>
  </si>
  <si>
    <t>Staglin wine dinner</t>
  </si>
  <si>
    <t>Beef cheek INV 272878-051524</t>
  </si>
  <si>
    <t>Dairy INV 54963</t>
  </si>
  <si>
    <t>271070-0510514 FORTUNE</t>
  </si>
  <si>
    <t>6/10 &amp; 6/17</t>
  </si>
  <si>
    <t>54693 KILGUS</t>
  </si>
  <si>
    <t>Dairy</t>
  </si>
  <si>
    <t>272878-051524 FORTUNE</t>
  </si>
  <si>
    <t>5/27, 6/3,6/10,6/17</t>
  </si>
  <si>
    <t>271070-051424 FORTUNE</t>
  </si>
  <si>
    <t>6/10,6/17</t>
  </si>
  <si>
    <t>Regiis Ova Caviar</t>
  </si>
  <si>
    <t>5/13,5/20</t>
  </si>
  <si>
    <t>Parm INV 64163571</t>
  </si>
  <si>
    <t>Morels INV 67098, Liones Maine INV9778</t>
  </si>
  <si>
    <t>Collar INV 075385</t>
  </si>
  <si>
    <t>Honey INV 5580</t>
  </si>
  <si>
    <t>Short Ribs INV 553506</t>
  </si>
  <si>
    <t>Dairy INV 54799</t>
  </si>
  <si>
    <t>Snapper INV 554768</t>
  </si>
  <si>
    <t>Coconut,lobster,corn powder, crisp  (Rare tea)</t>
  </si>
  <si>
    <t>5/20/2024, &amp; ?</t>
  </si>
  <si>
    <t>283131-052124 FORTUNE</t>
  </si>
  <si>
    <t>283141-052124 FORTUNE</t>
  </si>
  <si>
    <t>5580 Heaven's Honey</t>
  </si>
  <si>
    <t>5/27, 6/3</t>
  </si>
  <si>
    <t>54799 Kilgus</t>
  </si>
  <si>
    <t>2081128 Rare Tea</t>
  </si>
  <si>
    <t>Lobster &amp; corn powder</t>
  </si>
  <si>
    <t>553506 Allen Brothers</t>
  </si>
  <si>
    <t>Beef Chucktail/short ribs</t>
  </si>
  <si>
    <t>075385 Superior</t>
  </si>
  <si>
    <t>64163571 CWH</t>
  </si>
  <si>
    <t>Parm Reggiano</t>
  </si>
  <si>
    <t>67098 Regalis</t>
  </si>
  <si>
    <t xml:space="preserve">Conica Morel </t>
  </si>
  <si>
    <t>2080943 Rare Tea</t>
  </si>
  <si>
    <t>coconu tmilk powder, crisp</t>
  </si>
  <si>
    <t>9778 Four Star</t>
  </si>
  <si>
    <t>Lions Mane</t>
  </si>
  <si>
    <t>554768 Wabash</t>
  </si>
  <si>
    <t>Red Snapper</t>
  </si>
  <si>
    <t>24246995 cornille</t>
  </si>
  <si>
    <t>ramps / leeks</t>
  </si>
  <si>
    <t>6/3,6/10</t>
  </si>
  <si>
    <t>x</t>
  </si>
  <si>
    <t>Dairy INV 54928</t>
  </si>
  <si>
    <t>Beef cheek INV 302110-060124</t>
  </si>
  <si>
    <t>Snapper INV 556367</t>
  </si>
  <si>
    <t>Caviar INV19740</t>
  </si>
  <si>
    <t>293455-052824 FORTUNE</t>
  </si>
  <si>
    <t>302112-060124 Fortune</t>
  </si>
  <si>
    <t>302110-060124 Fortune</t>
  </si>
  <si>
    <t>302096-060124 Fortune</t>
  </si>
  <si>
    <t>556367 Allen Brothers</t>
  </si>
  <si>
    <t xml:space="preserve">Red Snapper / Madai Snapper </t>
  </si>
  <si>
    <t>54928 Kilgus</t>
  </si>
  <si>
    <t>19740 Bishop Keller</t>
  </si>
  <si>
    <t>Truffles NXAV</t>
  </si>
  <si>
    <t>truffles</t>
  </si>
  <si>
    <t>6/2,6/9</t>
  </si>
  <si>
    <t>Rose wine dinner</t>
  </si>
  <si>
    <t>Short Ribs INV 553506, INV 557837</t>
  </si>
  <si>
    <t>Dairy INV 55045</t>
  </si>
  <si>
    <t>306075-060424 FORTUNE</t>
  </si>
  <si>
    <t>55045 Kilgus</t>
  </si>
  <si>
    <t>Dairy &amp; Pork Loin</t>
  </si>
  <si>
    <t>557837 Allen</t>
  </si>
  <si>
    <t>Offsite event</t>
  </si>
  <si>
    <t>Short Ribs INV 557837</t>
  </si>
  <si>
    <t>Scallops, slab bacon FORTUNE INV 326003-061524</t>
  </si>
  <si>
    <t>Dairy INV 55171</t>
  </si>
  <si>
    <t>317734-061124 FORTUNE</t>
  </si>
  <si>
    <t>326003-061524 Fortune</t>
  </si>
  <si>
    <t>Scallops, Sliced bacon</t>
  </si>
  <si>
    <t>55171 Kilgus</t>
  </si>
  <si>
    <t>Gaja Wine dinner</t>
  </si>
  <si>
    <t>Short ribs INV 560382</t>
  </si>
  <si>
    <t>Beef cheeks</t>
  </si>
  <si>
    <t>Dairy INV 55291</t>
  </si>
  <si>
    <t>Truffles INV 562116</t>
  </si>
  <si>
    <t>Duck Legs Fortune INV 337639-062224</t>
  </si>
  <si>
    <t>6/18/2024,6/25</t>
  </si>
  <si>
    <t>329654-061824 FORTUNE</t>
  </si>
  <si>
    <t>329646-061824 Fortune</t>
  </si>
  <si>
    <t>Beef Cheek</t>
  </si>
  <si>
    <t>560382 Allen</t>
  </si>
  <si>
    <t>560383 Allen</t>
  </si>
  <si>
    <t>Ribeye</t>
  </si>
  <si>
    <t>561689 Allen</t>
  </si>
  <si>
    <t>562116 Brodschneider</t>
  </si>
  <si>
    <t>6/24/2024, 7/1</t>
  </si>
  <si>
    <t>Fortune INV 337639-062224</t>
  </si>
  <si>
    <t>Short Ribs INV 557837,560382</t>
  </si>
  <si>
    <t>Truffles INV 562116, 562093</t>
  </si>
  <si>
    <t>Dairy INV 55419</t>
  </si>
  <si>
    <t>Superior INV075412 Clams, oysters, collar</t>
  </si>
  <si>
    <t>Snapper INV563585</t>
  </si>
  <si>
    <t>341296-062524FORTUNE</t>
  </si>
  <si>
    <t>562092 Brodschneider</t>
  </si>
  <si>
    <t>562197 Allen</t>
  </si>
  <si>
    <t>55419 Kilgus</t>
  </si>
  <si>
    <t>Short Ribs INV 557837, 560382</t>
  </si>
  <si>
    <t>Truffles INV 562093</t>
  </si>
  <si>
    <t>Regalis caviar INV 69307</t>
  </si>
  <si>
    <t>Truffles INV 562082</t>
  </si>
  <si>
    <t>Dairy INV 55519</t>
  </si>
  <si>
    <t>Oysters, hamachi INV 075418</t>
  </si>
  <si>
    <t>Snapper INV 564692, 564881</t>
  </si>
  <si>
    <t>352951-070224 FORTUNE</t>
  </si>
  <si>
    <t>6/17/,7/8</t>
  </si>
  <si>
    <t>562082 Brodschneider</t>
  </si>
  <si>
    <t>7/1,7/8</t>
  </si>
  <si>
    <t>INV563585</t>
  </si>
  <si>
    <t>Snapper</t>
  </si>
  <si>
    <t>INV19740</t>
  </si>
  <si>
    <t>6/24,7/1</t>
  </si>
  <si>
    <t>Rhys</t>
  </si>
  <si>
    <t>Fortune INV 359292-070624</t>
  </si>
  <si>
    <t>Short ribs INV , 566513</t>
  </si>
  <si>
    <t>Coconut powder, crisp, honey INV 2083147</t>
  </si>
  <si>
    <t>Truffles INV 562132</t>
  </si>
  <si>
    <t>Dairy INV 55649</t>
  </si>
  <si>
    <t>363291-070924 FORTUNE</t>
  </si>
  <si>
    <t>69307 Regalis</t>
  </si>
  <si>
    <t>359292 Fortune</t>
  </si>
  <si>
    <t xml:space="preserve">seafood, chicken thigh </t>
  </si>
  <si>
    <t>562132 Brodschneider</t>
  </si>
  <si>
    <t>2083147 Rare Tea</t>
  </si>
  <si>
    <t>milk powder, cisp fild, freeze dried manuka honey</t>
  </si>
  <si>
    <t>7/15,7/22</t>
  </si>
  <si>
    <t>55649 Kilgus</t>
  </si>
  <si>
    <t>566513 Allen Brothers</t>
  </si>
  <si>
    <t>Chucktail/ short ribs</t>
  </si>
  <si>
    <t>465344 Allen Brothers</t>
  </si>
  <si>
    <t>Beca Imports</t>
  </si>
  <si>
    <t>Negroni</t>
  </si>
  <si>
    <t>Short Ribs INV 560382</t>
  </si>
  <si>
    <t>Short ribs INV 566513</t>
  </si>
  <si>
    <t>Beef cheeks INV 374660-071624</t>
  </si>
  <si>
    <t>Coconut powder, crisp, manuka INV 2083552</t>
  </si>
  <si>
    <t>Truffles INV 562148</t>
  </si>
  <si>
    <t>Regiis Ova INV 20295</t>
  </si>
  <si>
    <t>Oyster, hamachi INV 075428</t>
  </si>
  <si>
    <t>Scallops, clams, mussels, snapper INV 567727</t>
  </si>
  <si>
    <t>Dairy INv 55768</t>
  </si>
  <si>
    <t>374641-071624 FORTUNE</t>
  </si>
  <si>
    <t>superior INV 075428</t>
  </si>
  <si>
    <t>Oyster, hamachi</t>
  </si>
  <si>
    <t>Rare Tea INV 2083552</t>
  </si>
  <si>
    <t>55768 Kilgus</t>
  </si>
  <si>
    <t>Fortune INV 374660-071624</t>
  </si>
  <si>
    <t>Allen Bros  INV 567727</t>
  </si>
  <si>
    <t>Brodschneider INV 562148</t>
  </si>
  <si>
    <t>Dana Estates wine dinner</t>
  </si>
  <si>
    <t>Short ribs INV 566513, 570154</t>
  </si>
  <si>
    <t>Beef cheeks INV 374660-071624,  386539-072324</t>
  </si>
  <si>
    <t>Truffles INV 562119</t>
  </si>
  <si>
    <t>Dairy INV 55891</t>
  </si>
  <si>
    <t>Four star mushrooms INV FSM9213</t>
  </si>
  <si>
    <t>Snapper INV 570233</t>
  </si>
  <si>
    <t>386522-072324 FORTUNE</t>
  </si>
  <si>
    <t>Brodschneider INV 562119</t>
  </si>
  <si>
    <t>Fortune INV  386539-072324</t>
  </si>
  <si>
    <t>570154 Allen Brothers</t>
  </si>
  <si>
    <t xml:space="preserve">FSM9213 Four Star Mushrooms </t>
  </si>
  <si>
    <t>King trumpet</t>
  </si>
  <si>
    <t>Allen INV 570233</t>
  </si>
  <si>
    <t>55891 Kilgus</t>
  </si>
  <si>
    <t>Superior INV 075434</t>
  </si>
  <si>
    <t>Seafood/placeholder</t>
  </si>
  <si>
    <t>Superior INV 075435</t>
  </si>
  <si>
    <t>oyster</t>
  </si>
  <si>
    <t>Food Revenue for DANA</t>
  </si>
  <si>
    <t>Est. Weekly Spend</t>
  </si>
  <si>
    <t>Short ribs INV 566513, 570154, 571753</t>
  </si>
  <si>
    <t>Beef cheeks INV  386539-072324</t>
  </si>
  <si>
    <t>Truffles INV 563341</t>
  </si>
  <si>
    <t>Regiis Ova INV 20463</t>
  </si>
  <si>
    <t>Collar, oyster</t>
  </si>
  <si>
    <t>Dairy INV 56021</t>
  </si>
  <si>
    <t>398066-073024FORTUNE</t>
  </si>
  <si>
    <t xml:space="preserve">8/4 SC </t>
  </si>
  <si>
    <t>superior INV 075436</t>
  </si>
  <si>
    <t>Allen Bros  INV 571279</t>
  </si>
  <si>
    <t>Salmon, COD</t>
  </si>
  <si>
    <t>Allen Bros  INV 570233</t>
  </si>
  <si>
    <t>caviar</t>
  </si>
  <si>
    <t>Allen Bros  INV 571753</t>
  </si>
  <si>
    <t>chucktail/short rib</t>
  </si>
  <si>
    <t>56021 Kilgus</t>
  </si>
  <si>
    <t xml:space="preserve"> </t>
  </si>
  <si>
    <t>Battle wine dinner</t>
  </si>
  <si>
    <t>Short ribs INV  570154, 571753</t>
  </si>
  <si>
    <t>Truffles INV 564185</t>
  </si>
  <si>
    <t>Beef cheeks INV  386539-072324, 413508-080824</t>
  </si>
  <si>
    <t>Rare tea cellar INV 2084612</t>
  </si>
  <si>
    <t>Scallops INV 573021</t>
  </si>
  <si>
    <t>Dairy INV 56141</t>
  </si>
  <si>
    <t>Hamachi, oysters, clams INV 075446</t>
  </si>
  <si>
    <t>Sakura Pork collars INV 415338-080924</t>
  </si>
  <si>
    <t>Snapper INV 573636</t>
  </si>
  <si>
    <t>Cornille INV 24247685, 24247686, 24247687</t>
  </si>
  <si>
    <t>Parmesan 64901040</t>
  </si>
  <si>
    <t>410028-080624 FORTUNE</t>
  </si>
  <si>
    <t>8/4 SC +8/11 SCSC</t>
  </si>
  <si>
    <t>Kilgus Dairy INV 56141</t>
  </si>
  <si>
    <t>64901040 CWH</t>
  </si>
  <si>
    <t>Mascarpone</t>
  </si>
  <si>
    <t>lobster poweder , fil, fried manuka honey, wild rose</t>
  </si>
  <si>
    <t>Fortune INV 413508-080824</t>
  </si>
  <si>
    <t xml:space="preserve">Allen 573021 </t>
  </si>
  <si>
    <t>Fortune 415338-080924</t>
  </si>
  <si>
    <t>Sakura pork collst butt</t>
  </si>
  <si>
    <t>Superior INV 075446</t>
  </si>
  <si>
    <t>Hamachi, Oysters, clams</t>
  </si>
  <si>
    <t xml:space="preserve">24247685 cornille </t>
  </si>
  <si>
    <t>Herbs</t>
  </si>
  <si>
    <t>24247686 cornille</t>
  </si>
  <si>
    <t>Tomatoes</t>
  </si>
  <si>
    <t>24247687 cornille</t>
  </si>
  <si>
    <t>Produce</t>
  </si>
  <si>
    <t>INV 573636 Allen</t>
  </si>
  <si>
    <t>Octopus INV 574134</t>
  </si>
  <si>
    <t>Oyster, hamachi INV 075453</t>
  </si>
  <si>
    <t>Dairy INV 56268</t>
  </si>
  <si>
    <t>Demi Veal INV 65008671</t>
  </si>
  <si>
    <t>Cornille INV 24247759, 24247760</t>
  </si>
  <si>
    <t>Truffles INV 564180</t>
  </si>
  <si>
    <t>421185-081324FORTUNE</t>
  </si>
  <si>
    <t>Brodschneider INV 564180</t>
  </si>
  <si>
    <t>Allen Bros INV 574134</t>
  </si>
  <si>
    <t>Kilgus INV 56268</t>
  </si>
  <si>
    <t>Superior Ocean INV 075453</t>
  </si>
  <si>
    <t>Oysters, Hamachi</t>
  </si>
  <si>
    <t>Fortune INV 65008671</t>
  </si>
  <si>
    <t>Demi Glace</t>
  </si>
  <si>
    <t>Cornille 24247759</t>
  </si>
  <si>
    <t>turnips, cucumber, cauliflower</t>
  </si>
  <si>
    <t>Cornille 24247760</t>
  </si>
  <si>
    <t>tomatoes, peaches</t>
  </si>
  <si>
    <t>Domaine Wine dinner</t>
  </si>
  <si>
    <t>Cornille INV  24247687</t>
  </si>
  <si>
    <t>Cornille INV 24247760</t>
  </si>
  <si>
    <t>Dairy INV 56378</t>
  </si>
  <si>
    <t>Parmesan INV 65069783</t>
  </si>
  <si>
    <t>Collar INV 075456</t>
  </si>
  <si>
    <t>Scallops INV 435155-082124</t>
  </si>
  <si>
    <t>435143-082124 FORTUNE</t>
  </si>
  <si>
    <t>Brodschneider INV 564196</t>
  </si>
  <si>
    <t>Fortune INV 435155</t>
  </si>
  <si>
    <t>scallops</t>
  </si>
  <si>
    <t>576785 Wabash</t>
  </si>
  <si>
    <t>Cod &amp; Salmon</t>
  </si>
  <si>
    <t>65069783 CWH</t>
  </si>
  <si>
    <t>Parmigiano Reggiano 1lb</t>
  </si>
  <si>
    <t>75456 Superior</t>
  </si>
  <si>
    <t>Regiis Ova INV 20725</t>
  </si>
  <si>
    <t>Wabash INV 577056</t>
  </si>
  <si>
    <t>Halibut</t>
  </si>
  <si>
    <t>Wine dinner on 8/26</t>
  </si>
  <si>
    <t>Kilgus INV 56378</t>
  </si>
  <si>
    <t>Short ribs INV 570154, 571753, 578324</t>
  </si>
  <si>
    <t>Beef cheeks INV  413508-080824</t>
  </si>
  <si>
    <t>Cornille INV  24247687, 24247760</t>
  </si>
  <si>
    <t>Octopus INV 574134, 577507,075459</t>
  </si>
  <si>
    <t>Oyster, hamachi INV 075460</t>
  </si>
  <si>
    <t>Dairy INV56511</t>
  </si>
  <si>
    <t>CWH INV65149523</t>
  </si>
  <si>
    <t>Get Fresh INV 04817250</t>
  </si>
  <si>
    <t>Fortune INV 453134-083124</t>
  </si>
  <si>
    <t>Caviar INV 20725</t>
  </si>
  <si>
    <t>341296-062524 FORTUNE</t>
  </si>
  <si>
    <t>449075-082924 FORTUNE</t>
  </si>
  <si>
    <t>565344 Allen Brothers</t>
  </si>
  <si>
    <t>Cherries</t>
  </si>
  <si>
    <t>Superior Ocean INV 075459</t>
  </si>
  <si>
    <t>octopus</t>
  </si>
  <si>
    <t>Allen  INV 577507</t>
  </si>
  <si>
    <t>Kilgus INV 56511</t>
  </si>
  <si>
    <t>Allen Bros  INV 578324</t>
  </si>
  <si>
    <t>chucktail</t>
  </si>
  <si>
    <t>Superior Ocean INV 075460</t>
  </si>
  <si>
    <t>oysters/hamachi</t>
  </si>
  <si>
    <t>65149523 CWH</t>
  </si>
  <si>
    <t>Fortune INV 453134</t>
  </si>
  <si>
    <t>seafood/meat</t>
  </si>
  <si>
    <t>Off-site</t>
  </si>
  <si>
    <t>Short ribs INV 571753, 578324</t>
  </si>
  <si>
    <t>Octopus INV 577507,075459</t>
  </si>
  <si>
    <t>EVOO-Tomato water INV 4318</t>
  </si>
  <si>
    <t>Dairy INV 56633</t>
  </si>
  <si>
    <t>Oysters, collars INV 075465</t>
  </si>
  <si>
    <t>Scallops INV 459372-090524</t>
  </si>
  <si>
    <t>Honey INV 6002</t>
  </si>
  <si>
    <t>458331-090524 FORTUNE</t>
  </si>
  <si>
    <t>Cornille 24247812</t>
  </si>
  <si>
    <t>Kilgus INV 56633</t>
  </si>
  <si>
    <t>Fortune INV 459372</t>
  </si>
  <si>
    <t>Heaven's Honey 6002</t>
  </si>
  <si>
    <t>Beca 4318</t>
  </si>
  <si>
    <t xml:space="preserve">Olive Oil, Tomato Water </t>
  </si>
  <si>
    <t>65205289 CWH</t>
  </si>
  <si>
    <t>demi veal glace</t>
  </si>
  <si>
    <t>expense week 9/19</t>
  </si>
  <si>
    <t>Cornille 24247935</t>
  </si>
  <si>
    <t>tomatoes, plums, basil</t>
  </si>
  <si>
    <t>EVOO</t>
  </si>
  <si>
    <t>Octopus INV 577507,075459, 075466</t>
  </si>
  <si>
    <t>Pork collars INV 471304-091224</t>
  </si>
  <si>
    <t>Beef cheeks INV 469520-091124</t>
  </si>
  <si>
    <t>471266- 901224 FORTUNE</t>
  </si>
  <si>
    <t>56344 Allen Brothers</t>
  </si>
  <si>
    <t>partial expense 9/15</t>
  </si>
  <si>
    <t xml:space="preserve">75465 superior ocean </t>
  </si>
  <si>
    <t xml:space="preserve">oysters, hamachi </t>
  </si>
  <si>
    <t>Superior Ocean INV 075466</t>
  </si>
  <si>
    <t>baby octopus</t>
  </si>
  <si>
    <t>Fortune INV 469520</t>
  </si>
  <si>
    <t>Wagyu aussie cheek meat</t>
  </si>
  <si>
    <t>Sakura Pork Collar Butt</t>
  </si>
  <si>
    <t>Fortune INV 475814-091424</t>
  </si>
  <si>
    <t>R&amp;D</t>
  </si>
  <si>
    <t>Short ribs INV 571753, 578324, 583848</t>
  </si>
  <si>
    <t>Octopus INV 577507,075466</t>
  </si>
  <si>
    <t>Cornille INV 24247935</t>
  </si>
  <si>
    <t>Superior INV 075472 oyster, octopus, hamachi</t>
  </si>
  <si>
    <t>Dairy INV 56876</t>
  </si>
  <si>
    <t>483601-091924 FORTUNE</t>
  </si>
  <si>
    <t>1/2 expense 9/22</t>
  </si>
  <si>
    <t>1/3 expense 9/15, 9/22</t>
  </si>
  <si>
    <t>Kilgus 56876</t>
  </si>
  <si>
    <t xml:space="preserve">75472 superior ocean </t>
  </si>
  <si>
    <t>583848 Allen Brothers</t>
  </si>
  <si>
    <t>Short ribs INV 578324, 583848, 585286</t>
  </si>
  <si>
    <t>Octopus INV 075466, 0754472, 075477</t>
  </si>
  <si>
    <t>Pork collars INV 471304-091224, 497665-092724</t>
  </si>
  <si>
    <t>Beef cheeks INV 469520-091124, 494956-092624</t>
  </si>
  <si>
    <t>Demi glaze INV 65429614</t>
  </si>
  <si>
    <t>Scallops INV 497665-092724</t>
  </si>
  <si>
    <t xml:space="preserve">Superior INV 075477 collars, oysters </t>
  </si>
  <si>
    <t>Dairy INV 56989</t>
  </si>
  <si>
    <t>495091-092624 FORTUNE</t>
  </si>
  <si>
    <t xml:space="preserve">Total for LP Dinner </t>
  </si>
  <si>
    <t>LP Wine dinner</t>
  </si>
  <si>
    <t>Short ribs INV 583848, 585286</t>
  </si>
  <si>
    <t>Pork collars INV 497665-092724</t>
  </si>
  <si>
    <t>Beef cheeks INV 469520-091124, 494956-092624, 510997-100524</t>
  </si>
  <si>
    <t>Dairy INV 57118</t>
  </si>
  <si>
    <t>Brazino INV 587587</t>
  </si>
  <si>
    <t>Get fresh INV 04855827</t>
  </si>
  <si>
    <t>Chicken crowns INV 65527116</t>
  </si>
  <si>
    <t>Collars, oysters INV 075483</t>
  </si>
  <si>
    <t>Tomato water, EVOO INV 4475</t>
  </si>
  <si>
    <t>507120-10034 FORTUNE</t>
  </si>
  <si>
    <t xml:space="preserve">9/30 &amp; , </t>
  </si>
  <si>
    <t>587587 Allen Brothers</t>
  </si>
  <si>
    <t>Bronzini</t>
  </si>
  <si>
    <t>s INV 65527116 CWH</t>
  </si>
  <si>
    <t>cchicken crown</t>
  </si>
  <si>
    <t>Fortune 510997-100524</t>
  </si>
  <si>
    <t>Beef cheek</t>
  </si>
  <si>
    <t>Kilgus INV 57118</t>
  </si>
  <si>
    <t xml:space="preserve">Dairy </t>
  </si>
  <si>
    <t>Beca INV 4475</t>
  </si>
  <si>
    <t>Tomat water , sicilian EVOO</t>
  </si>
  <si>
    <t xml:space="preserve">Get Fresh </t>
  </si>
  <si>
    <t>Canola oil, radicchio, salt</t>
  </si>
  <si>
    <t>Octopus, hamachi, oysters</t>
  </si>
  <si>
    <t>start expensing 10/7</t>
  </si>
  <si>
    <t>Superior 075483</t>
  </si>
  <si>
    <t>Hamachi , oysters</t>
  </si>
  <si>
    <t>Total for LP Dinner</t>
  </si>
  <si>
    <t>SC - LP wine dinner</t>
  </si>
  <si>
    <t>TOTAL : SCSC + SCSC LP Wine Dinner</t>
  </si>
  <si>
    <t>Weekly Spend (rough estimate)</t>
  </si>
  <si>
    <t>your total expense for LP Dinner from last week</t>
  </si>
  <si>
    <t>your total expense for LP DInner this week</t>
  </si>
  <si>
    <t xml:space="preserve">Ribeye usage for LP Dinner </t>
  </si>
  <si>
    <t>Octopus INV 075477</t>
  </si>
  <si>
    <t>Grand Total for LP Dinner</t>
  </si>
  <si>
    <t>Beef cheeks INV 494956-092624, 510997-100524</t>
  </si>
  <si>
    <t>Caviar INV 21171,21297</t>
  </si>
  <si>
    <t>Dairy INV 57233</t>
  </si>
  <si>
    <t>Pork collars INV 520712-101124</t>
  </si>
  <si>
    <t>Parmesan INV 65567492</t>
  </si>
  <si>
    <t>RIBEYE USAGE</t>
  </si>
  <si>
    <t>Ribeye Currently in Food Inventory</t>
  </si>
  <si>
    <t>QTY</t>
  </si>
  <si>
    <t>$ Invoice Total $</t>
  </si>
  <si>
    <t>Price Per Piece</t>
  </si>
  <si>
    <t>QTY Used</t>
  </si>
  <si>
    <t>Amount to Expense</t>
  </si>
  <si>
    <t># of pieces to Carry Over</t>
  </si>
  <si>
    <t># of pieces left to expense</t>
  </si>
  <si>
    <t>9/30/2024 &amp; 10/7/2024</t>
  </si>
  <si>
    <t>10/13,</t>
  </si>
  <si>
    <t>10/7 - 398.26</t>
  </si>
  <si>
    <t>516744-100924 FORTUNE</t>
  </si>
  <si>
    <t># of pieces</t>
  </si>
  <si>
    <t xml:space="preserve">Amount expensed </t>
  </si>
  <si>
    <t>Entity</t>
  </si>
  <si>
    <t>SC</t>
  </si>
  <si>
    <t>SC - LP Wine Dinner</t>
  </si>
  <si>
    <t>CWH 65567492</t>
  </si>
  <si>
    <t>parmesan</t>
  </si>
  <si>
    <t>Fortune 520712-101124</t>
  </si>
  <si>
    <t>Pork Collar Butt</t>
  </si>
  <si>
    <t>Bishop keller INV 21171</t>
  </si>
  <si>
    <t>Bishop keller INV 21297</t>
  </si>
  <si>
    <t xml:space="preserve">57233 Kilgus </t>
  </si>
  <si>
    <t>RIBEYE</t>
  </si>
  <si>
    <t>Bahnez</t>
  </si>
  <si>
    <t>Octopus INV 075477, 075488</t>
  </si>
  <si>
    <t>Beef cheeks INV  510997-100524</t>
  </si>
  <si>
    <t>Caviar INV 21297</t>
  </si>
  <si>
    <t>Honey INV 6160</t>
  </si>
  <si>
    <t>Heavens honey INV 57349</t>
  </si>
  <si>
    <t>EVOO, fish sauce INV 4533</t>
  </si>
  <si>
    <t>10/7 - 398.26, 10/20 796.51</t>
  </si>
  <si>
    <t>528532-101624 FORTUNE</t>
  </si>
  <si>
    <t>10/13 580 ,10/20/2024  580.00</t>
  </si>
  <si>
    <t>Beca INV 4533</t>
  </si>
  <si>
    <t xml:space="preserve">Oive OIl , Colatura di Alici </t>
  </si>
  <si>
    <t xml:space="preserve">Heavens Honey </t>
  </si>
  <si>
    <t xml:space="preserve">Freeze dried manuka, clover honey </t>
  </si>
  <si>
    <t>Kilgus INV 57349</t>
  </si>
  <si>
    <t>Fortune 532475</t>
  </si>
  <si>
    <t>lamb leg</t>
  </si>
  <si>
    <t>Superior Ocean INV 075488</t>
  </si>
  <si>
    <t xml:space="preserve">Banhez Dinner - </t>
  </si>
  <si>
    <t>Short ribs INV 583848 , 585286, 591405</t>
  </si>
  <si>
    <t>Octopus INV 075488</t>
  </si>
  <si>
    <t>Honey INV 6160, 6183</t>
  </si>
  <si>
    <t>Collars INV 075497</t>
  </si>
  <si>
    <t>Scallops, Bronzino INV 592582</t>
  </si>
  <si>
    <t>Dairy INV 57477</t>
  </si>
  <si>
    <t>540193-102324FORTUNE</t>
  </si>
  <si>
    <t>10/27/2024,</t>
  </si>
  <si>
    <t>Allen 591405</t>
  </si>
  <si>
    <t>Kilgus INV 57477</t>
  </si>
  <si>
    <t>Superior Ocean INV 075497</t>
  </si>
  <si>
    <t>hamachi collars</t>
  </si>
  <si>
    <t>Allen 592582</t>
  </si>
  <si>
    <t>scallops, bronzini</t>
  </si>
  <si>
    <t>51604 closed loop</t>
  </si>
  <si>
    <t>microgreens</t>
  </si>
  <si>
    <t>Dappier</t>
  </si>
  <si>
    <t>Short ribs INV 585286, 591405</t>
  </si>
  <si>
    <t>Pork collars INV 520712-101124, 5 5 7 1 7 9 - 11 0 2 2 4</t>
  </si>
  <si>
    <t>Honey INV 6208</t>
  </si>
  <si>
    <t>Dairy INV 57599</t>
  </si>
  <si>
    <t>10/27, 11/3</t>
  </si>
  <si>
    <t>551813-103025 FORTUNE</t>
  </si>
  <si>
    <t>10/20/2024,10/30</t>
  </si>
  <si>
    <t>10/27/2024,10/30</t>
  </si>
  <si>
    <t>10/27,10/31</t>
  </si>
  <si>
    <t>Heavens Honey 6160</t>
  </si>
  <si>
    <t>BRAND</t>
  </si>
  <si>
    <t>Beef cheeks INV  510997-100524, 04889806</t>
  </si>
  <si>
    <t>Dairy INV 57719</t>
  </si>
  <si>
    <t>562661-110624 FORTUNE</t>
  </si>
  <si>
    <t>AV</t>
  </si>
  <si>
    <t>Cornille 24248404</t>
  </si>
  <si>
    <t>produce</t>
  </si>
  <si>
    <t>57719 Kilgus</t>
  </si>
  <si>
    <t>04889806 Get Fresh</t>
  </si>
  <si>
    <t xml:space="preserve">Gourmet </t>
  </si>
  <si>
    <t>Occidental</t>
  </si>
  <si>
    <t>Short ribs INV 585286, 591405, 596423</t>
  </si>
  <si>
    <t>Beef cheeks INV  510997-04889806, 578756-111524</t>
  </si>
  <si>
    <t xml:space="preserve">16 cases currently </t>
  </si>
  <si>
    <t>duck as an add on going forward</t>
  </si>
  <si>
    <t>580464-111624</t>
  </si>
  <si>
    <t>Prime Ribeye</t>
  </si>
  <si>
    <t>574801-111324 FORTUNE</t>
  </si>
  <si>
    <t>Fortune INV 578756-111524</t>
  </si>
  <si>
    <t>Allen 596423</t>
  </si>
  <si>
    <t xml:space="preserve">Beef Chucktail </t>
  </si>
  <si>
    <t>Spanish Carabinero</t>
  </si>
  <si>
    <t>RS EXPENSE</t>
  </si>
  <si>
    <t>FIRE INVENTORY</t>
  </si>
  <si>
    <t>586381-112024 FORTUNE</t>
  </si>
  <si>
    <t>RS - Staff Meal</t>
  </si>
  <si>
    <t>Beef cheeks INV  510997-04889806, 578756-111524, 596801-112624</t>
  </si>
  <si>
    <t>596801-112624</t>
  </si>
  <si>
    <t>Beef cheeks INV 596801-112624, 614403 - 120724</t>
  </si>
  <si>
    <t>Short ribs INV 596423</t>
  </si>
  <si>
    <t>Beef cheeks INV  614403 - 120724, 622337-121224</t>
  </si>
  <si>
    <t>Halibut INV 626636-121424</t>
  </si>
  <si>
    <t>Staff Meal</t>
  </si>
  <si>
    <t xml:space="preserve"> 622337-121224</t>
  </si>
  <si>
    <t>beef cheek</t>
  </si>
  <si>
    <t>626636-121424</t>
  </si>
  <si>
    <t>Beef cheeks INV 622337-121224, 632528-121824</t>
  </si>
  <si>
    <t>Carabineros</t>
  </si>
  <si>
    <t>beef cheeks</t>
  </si>
  <si>
    <t>Juniper</t>
  </si>
  <si>
    <t>Beef cheeks INV 632528-121824, 675532-122724</t>
  </si>
  <si>
    <t>Dairy INV 58535</t>
  </si>
  <si>
    <t>647532-122724</t>
  </si>
  <si>
    <t>Beef cheeks INV 658430-010325</t>
  </si>
  <si>
    <t>Caviar Alinea</t>
  </si>
  <si>
    <t>Dairy INV 58636</t>
  </si>
  <si>
    <t>658430-010325</t>
  </si>
  <si>
    <t>Tartufi</t>
  </si>
  <si>
    <t>Beef cheeks INV 658430-010325, 663717-010725</t>
  </si>
  <si>
    <t>Truffles INV 30838</t>
  </si>
  <si>
    <t>Truffle oil</t>
  </si>
  <si>
    <t>Honey INV 6441</t>
  </si>
  <si>
    <t>Gourmet - NX transfer</t>
  </si>
  <si>
    <t>Gourmet INV 30838</t>
  </si>
  <si>
    <t xml:space="preserve">Black winter truffles </t>
  </si>
  <si>
    <t xml:space="preserve">Heavne's Honey </t>
  </si>
  <si>
    <t xml:space="preserve">Local clover honey , Smoked honey </t>
  </si>
  <si>
    <t>Fortune 663717-010725</t>
  </si>
  <si>
    <t>17718 tartufi</t>
  </si>
  <si>
    <t>truffle oils</t>
  </si>
  <si>
    <t>5026 Beca</t>
  </si>
  <si>
    <t>Olive Oil, Sicilian Evoo 1L</t>
  </si>
  <si>
    <t>Beef cheeks INV 658430-010325, 663717-010725, 679653-011725</t>
  </si>
  <si>
    <t>EVOO, truffle oil, Parmigiano</t>
  </si>
  <si>
    <t>Halibut INV 681109-011825</t>
  </si>
  <si>
    <t xml:space="preserve">Truffles </t>
  </si>
  <si>
    <t>Cornille INV 25245144</t>
  </si>
  <si>
    <t xml:space="preserve">Carabineros </t>
  </si>
  <si>
    <t>677612-011625 FORTUNE</t>
  </si>
  <si>
    <t>681114-011825FORTUNE</t>
  </si>
  <si>
    <t>679653-011725</t>
  </si>
  <si>
    <t>681109-011825</t>
  </si>
  <si>
    <t>Halibut Fillet</t>
  </si>
  <si>
    <t>677612-011625</t>
  </si>
  <si>
    <t xml:space="preserve">2 cases of carabineros </t>
  </si>
  <si>
    <t>30910 gourmet attitude</t>
  </si>
  <si>
    <t>aviary 2025-01-18 AVFR</t>
  </si>
  <si>
    <t>25245144 cornille</t>
  </si>
  <si>
    <t xml:space="preserve">leeks, galanga, turnip, </t>
  </si>
  <si>
    <t>Weekly Spend</t>
  </si>
  <si>
    <t>Beef cheeks INV 658430-010325, 663717-010725, 679653-011725, 684826-012125</t>
  </si>
  <si>
    <t>688167-012325 FORTUNE</t>
  </si>
  <si>
    <t>expensed $225.66 1/26</t>
  </si>
  <si>
    <t xml:space="preserve">$84.53 used for LA benefit Dinner </t>
  </si>
  <si>
    <t>684826-012125</t>
  </si>
  <si>
    <t>570179 brodsch</t>
  </si>
  <si>
    <t>black truffles</t>
  </si>
  <si>
    <t>Bishop Keller 22637</t>
  </si>
  <si>
    <t>ST CLAIR</t>
  </si>
  <si>
    <t>The Chef's Warehouse Midwest LLC</t>
  </si>
  <si>
    <t>St. Clair</t>
  </si>
  <si>
    <t>Creme Fraiche 1lb</t>
  </si>
  <si>
    <t>Blue Cheese, Crumble 1lb</t>
  </si>
  <si>
    <t>White Cheese Curds 1lb</t>
  </si>
  <si>
    <t>Cream Cheese 1lb</t>
  </si>
  <si>
    <t>Chicken Thighs Bnls Sknls 1lb</t>
  </si>
  <si>
    <t>Fuel Surcharge 1each</t>
  </si>
  <si>
    <t>EGGS XL LOOSE GRADE A 15 DOZEN 1each</t>
  </si>
  <si>
    <t>691912-012525</t>
  </si>
  <si>
    <t>Fortune Fish &amp; Gourmet</t>
  </si>
  <si>
    <t>Sakura Pork Rack 1lb</t>
  </si>
  <si>
    <t>Journal Entry</t>
  </si>
  <si>
    <t>2025-01-26 Ribeye</t>
  </si>
  <si>
    <t>Ribeye, Boneless 1lb</t>
  </si>
  <si>
    <t>Get Fresh Produce</t>
  </si>
  <si>
    <t>Canola Oil 1lb</t>
  </si>
  <si>
    <t>Bonewerk Demi Veal Glace Elite 1lb</t>
  </si>
  <si>
    <t>FSM12700</t>
  </si>
  <si>
    <t>Four Star Mushroooms</t>
  </si>
  <si>
    <t>Blue Oyster Mushrooms 1lb</t>
  </si>
  <si>
    <t>Chestnut Mushrooms 1lb</t>
  </si>
  <si>
    <t>Mashed Potato Pellets 1lb</t>
  </si>
  <si>
    <t>Chives 1lb</t>
  </si>
  <si>
    <t>Cabbage, Red 1lb</t>
  </si>
  <si>
    <t>Iceberg Lettuce 1each</t>
  </si>
  <si>
    <t>Cherry Tomatoes 1pint</t>
  </si>
  <si>
    <t>686438-012225</t>
  </si>
  <si>
    <t>Black Tiger Shrimp 1lb</t>
  </si>
  <si>
    <t>Pink Moon Oyster 1Ct</t>
  </si>
  <si>
    <t>Cod Loin 1lb</t>
  </si>
  <si>
    <t>PRD Ginger Root 1lb</t>
  </si>
  <si>
    <t>Allen Brothers</t>
  </si>
  <si>
    <t>Beef cheeks INV 658430-010325, 663717-010725, 679653-011725, 684826-012125, 699389-013025</t>
  </si>
  <si>
    <t>EVOO Tartuffi</t>
  </si>
  <si>
    <t>Truffle oil INV 570075</t>
  </si>
  <si>
    <t>expensed 1/19,1/24</t>
  </si>
  <si>
    <t>expensed $225.66 1/26, $89.16 expensed 2/2</t>
  </si>
  <si>
    <t>expensed 2/2</t>
  </si>
  <si>
    <t>expensed 1/21</t>
  </si>
  <si>
    <t>699389-013025</t>
  </si>
  <si>
    <t xml:space="preserve"> 701206-013125</t>
  </si>
  <si>
    <t>75568 superior ocean</t>
  </si>
  <si>
    <t>Beef cheeks INV  684826-012125, 699389-013025</t>
  </si>
  <si>
    <t>Truffles INV 570093, 31001</t>
  </si>
  <si>
    <t>Halibut INV 075573</t>
  </si>
  <si>
    <t>Kombu, carabineros</t>
  </si>
  <si>
    <t>Dairy INV 59211</t>
  </si>
  <si>
    <t>exp 2/12</t>
  </si>
  <si>
    <t xml:space="preserve">Fresh Black Truffle </t>
  </si>
  <si>
    <t>31001 Gourmet Attitude</t>
  </si>
  <si>
    <t>59211 Kilgus</t>
  </si>
  <si>
    <t xml:space="preserve">75573 superior </t>
  </si>
  <si>
    <t>Beef cheeks INV  699389-013025, 721346-021325</t>
  </si>
  <si>
    <t>Truffles INV 31001, 570133</t>
  </si>
  <si>
    <t>Dairy INV 58851, 58957, 59089. 59326</t>
  </si>
  <si>
    <t>Parm regigano INV 66917157</t>
  </si>
  <si>
    <t>exp 2/16</t>
  </si>
  <si>
    <t xml:space="preserve">725522-021525 </t>
  </si>
  <si>
    <t>570133 Brods</t>
  </si>
  <si>
    <t xml:space="preserve">Fresh Black Truffle / truffle oils </t>
  </si>
  <si>
    <t xml:space="preserve"> 717790-021125 Fortune</t>
  </si>
  <si>
    <t xml:space="preserve">Duck </t>
  </si>
  <si>
    <t xml:space="preserve">66917157 - CWH </t>
  </si>
  <si>
    <t xml:space="preserve">parm </t>
  </si>
  <si>
    <t>721346-021325 - fortune</t>
  </si>
  <si>
    <t xml:space="preserve">beef cheek </t>
  </si>
  <si>
    <t>22878 Bishop Keller</t>
  </si>
  <si>
    <t>Beef cheeks INV   701206-013125, 721346-021325</t>
  </si>
  <si>
    <t>Truffles INV 570133, 570138, 570140</t>
  </si>
  <si>
    <t>Kombu carabineros</t>
  </si>
  <si>
    <t>grana pagano , parmigiano</t>
  </si>
  <si>
    <t>Dairy INV 58851, 58957, 59089. 59326, 59451</t>
  </si>
  <si>
    <t>Carabineros INV 734361-022125</t>
  </si>
  <si>
    <t xml:space="preserve">exp 2/23 </t>
  </si>
  <si>
    <t>729001-021825 FORTUNE</t>
  </si>
  <si>
    <t xml:space="preserve">$459 FR $300 SC exp 2/23 </t>
  </si>
  <si>
    <t>570138 Brods</t>
  </si>
  <si>
    <t>570140 Brods</t>
  </si>
  <si>
    <t>59451 Get Fresh</t>
  </si>
  <si>
    <t>Dairy /meat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</si>
</sst>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&quot;$&quot;#,##0.00"/>
    <numFmt numFmtId="165" formatCode="dddd m/d"/>
    <numFmt numFmtId="166" formatCode="mm/dd"/>
    <numFmt numFmtId="167" formatCode="m/d"/>
    <numFmt numFmtId="168" formatCode="dddd, m/d"/>
    <numFmt numFmtId="169" formatCode="&quot;$&quot;#,##0"/>
    <numFmt numFmtId="170" formatCode="&quot;$&quot;#,##0.0"/>
    <numFmt numFmtId="171" formatCode="mm/dd/yyyy"/>
    <numFmt numFmtId="172" formatCode="m/d/yyyy"/>
    <numFmt numFmtId="173" formatCode="_(&quot;$&quot;* #,##0.00_);_(&quot;$&quot;* \(#,##0.00\);_(&quot;$&quot;* &quot;-&quot;??_);_(@_)"/>
    <numFmt numFmtId="174" formatCode="m/d/yy"/>
    <numFmt numFmtId="175" formatCode="yyyy/m"/>
  </numFmts>
  <fonts count="46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b/>
      <sz val="11.0"/>
      <color rgb="FF000000"/>
      <name val="Arial"/>
    </font>
    <font>
      <b/>
      <color rgb="FF000000"/>
      <name val="Arial"/>
    </font>
    <font>
      <sz val="11.0"/>
      <color rgb="FF000000"/>
      <name val="Arial"/>
    </font>
    <font/>
    <font>
      <b/>
      <sz val="10.0"/>
      <color theme="1"/>
      <name val="Arial"/>
      <scheme val="minor"/>
    </font>
    <font>
      <b/>
      <sz val="10.0"/>
      <color rgb="FF000000"/>
      <name val="Arial"/>
    </font>
    <font>
      <sz val="8.0"/>
      <color rgb="FF000000"/>
      <name val="Arial"/>
    </font>
    <font>
      <sz val="10.0"/>
      <color rgb="FF000000"/>
      <name val="Calibri"/>
    </font>
    <font>
      <sz val="9.0"/>
      <color rgb="FF1F1F1F"/>
      <name val="&quot;Google Sans&quot;"/>
    </font>
    <font>
      <sz val="9.0"/>
      <color rgb="FF1155CC"/>
      <name val="&quot;Google Sans Mono&quot;"/>
    </font>
    <font>
      <b/>
      <sz val="11.0"/>
      <color theme="1"/>
      <name val="Arial"/>
      <scheme val="minor"/>
    </font>
    <font>
      <sz val="9.0"/>
      <color rgb="FF000000"/>
      <name val="&quot;Google Sans Mono&quot;"/>
    </font>
    <font>
      <color rgb="FF000000"/>
      <name val="Arial"/>
      <scheme val="minor"/>
    </font>
    <font>
      <b/>
      <color rgb="FF000000"/>
      <name val="Arial"/>
      <scheme val="minor"/>
    </font>
    <font>
      <color rgb="FFFFFFFF"/>
      <name val="Arial"/>
      <scheme val="minor"/>
    </font>
    <font>
      <sz val="9.0"/>
      <color rgb="FFFFFFFF"/>
      <name val="&quot;Google Sans Mono&quot;"/>
    </font>
    <font>
      <b/>
      <color rgb="FFFFFFFF"/>
      <name val="Arial"/>
      <scheme val="minor"/>
    </font>
    <font>
      <color rgb="FF222222"/>
      <name val="Arial"/>
    </font>
    <font>
      <b/>
      <color rgb="FF222222"/>
      <name val="Arial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color rgb="FFFF0000"/>
      <name val="Arial"/>
      <scheme val="minor"/>
    </font>
    <font>
      <sz val="9.0"/>
      <color rgb="FFF7981D"/>
      <name val="&quot;Google Sans Mono&quot;"/>
    </font>
    <font>
      <color rgb="FFCC0000"/>
      <name val="Arial"/>
      <scheme val="minor"/>
    </font>
    <font>
      <b/>
      <u/>
      <color theme="1"/>
      <name val="Arial"/>
      <scheme val="minor"/>
    </font>
    <font>
      <sz val="9.0"/>
      <color rgb="FF000000"/>
      <name val="Helvetica"/>
    </font>
    <font>
      <sz val="12.0"/>
      <color rgb="FF000000"/>
      <name val="Arial"/>
      <scheme val="minor"/>
    </font>
    <font>
      <strike/>
      <color theme="1"/>
      <name val="Arial"/>
      <scheme val="minor"/>
    </font>
    <font>
      <color rgb="FF0000FF"/>
      <name val="Arial"/>
      <scheme val="minor"/>
    </font>
    <font>
      <b/>
      <color rgb="FFCC0000"/>
      <name val="Arial"/>
      <scheme val="minor"/>
    </font>
    <font>
      <b/>
      <strike/>
      <sz val="10.0"/>
      <color theme="1"/>
      <name val="Arial"/>
      <scheme val="minor"/>
    </font>
    <font>
      <strike/>
      <color rgb="FF6D9EEB"/>
      <name val="Arial"/>
      <scheme val="minor"/>
    </font>
    <font>
      <strike/>
      <color rgb="FF000000"/>
      <name val="Arial"/>
      <scheme val="minor"/>
    </font>
    <font>
      <b/>
      <strike/>
      <color theme="1"/>
      <name val="Arial"/>
      <scheme val="minor"/>
    </font>
    <font>
      <b/>
      <strike/>
      <sz val="11.0"/>
      <color theme="1"/>
      <name val="Arial"/>
      <scheme val="minor"/>
    </font>
    <font>
      <i/>
      <sz val="11.0"/>
      <color rgb="FF3C4043"/>
      <name val="Roboto"/>
    </font>
    <font>
      <sz val="8.0"/>
      <color theme="1"/>
      <name val="Arial"/>
    </font>
    <font>
      <color theme="1"/>
      <name val="Arial"/>
    </font>
    <font>
      <color rgb="FFA61C00"/>
      <name val="Arial"/>
      <scheme val="minor"/>
    </font>
    <font>
      <color rgb="FF990000"/>
      <name val="Arial"/>
      <scheme val="minor"/>
    </font>
  </fonts>
  <fills count="3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6B26B"/>
        <bgColor rgb="FFF6B26B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8E7CC3"/>
        <bgColor rgb="FF8E7CC3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00FFFF"/>
        <bgColor rgb="FF00FFFF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EAD1DC"/>
        <bgColor rgb="FFEAD1DC"/>
      </patternFill>
    </fill>
    <fill>
      <patternFill patternType="solid">
        <fgColor rgb="FFB7E1CD"/>
        <bgColor rgb="FFB7E1CD"/>
      </patternFill>
    </fill>
    <fill>
      <patternFill patternType="solid">
        <fgColor rgb="FFDDF2F0"/>
        <bgColor rgb="FFDDF2F0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69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164" xfId="0" applyBorder="1" applyFont="1" applyNumberFormat="1"/>
    <xf borderId="1" fillId="0" fontId="4" numFmtId="164" xfId="0" applyBorder="1" applyFont="1" applyNumberFormat="1"/>
    <xf borderId="1" fillId="0" fontId="4" numFmtId="164" xfId="0" applyAlignment="1" applyBorder="1" applyFont="1" applyNumberFormat="1">
      <alignment readingOrder="0"/>
    </xf>
    <xf borderId="1" fillId="0" fontId="4" numFmtId="10" xfId="0" applyBorder="1" applyFont="1" applyNumberFormat="1"/>
    <xf borderId="1" fillId="0" fontId="1" numFmtId="164" xfId="0" applyAlignment="1" applyBorder="1" applyFont="1" applyNumberFormat="1">
      <alignment horizontal="center" readingOrder="0"/>
    </xf>
    <xf borderId="1" fillId="0" fontId="3" numFmtId="164" xfId="0" applyAlignment="1" applyBorder="1" applyFont="1" applyNumberFormat="1">
      <alignment readingOrder="0"/>
    </xf>
    <xf borderId="1" fillId="0" fontId="3" numFmtId="164" xfId="0" applyBorder="1" applyFont="1" applyNumberFormat="1"/>
    <xf borderId="1" fillId="2" fontId="4" numFmtId="0" xfId="0" applyAlignment="1" applyBorder="1" applyFill="1" applyFont="1">
      <alignment readingOrder="0"/>
    </xf>
    <xf borderId="1" fillId="2" fontId="4" numFmtId="164" xfId="0" applyBorder="1" applyFont="1" applyNumberFormat="1"/>
    <xf borderId="1" fillId="2" fontId="4" numFmtId="10" xfId="0" applyBorder="1" applyFont="1" applyNumberFormat="1"/>
    <xf borderId="2" fillId="0" fontId="4" numFmtId="0" xfId="0" applyAlignment="1" applyBorder="1" applyFont="1">
      <alignment readingOrder="0"/>
    </xf>
    <xf borderId="3" fillId="0" fontId="1" numFmtId="0" xfId="0" applyBorder="1" applyFont="1"/>
    <xf borderId="4" fillId="0" fontId="1" numFmtId="0" xfId="0" applyBorder="1" applyFont="1"/>
    <xf borderId="5" fillId="0" fontId="5" numFmtId="0" xfId="0" applyAlignment="1" applyBorder="1" applyFont="1">
      <alignment readingOrder="0"/>
    </xf>
    <xf borderId="6" fillId="0" fontId="1" numFmtId="0" xfId="0" applyBorder="1" applyFont="1"/>
    <xf borderId="7" fillId="0" fontId="1" numFmtId="0" xfId="0" applyBorder="1" applyFont="1"/>
    <xf borderId="2" fillId="3" fontId="4" numFmtId="0" xfId="0" applyAlignment="1" applyBorder="1" applyFill="1" applyFont="1">
      <alignment readingOrder="0" shrinkToFit="0" wrapText="1"/>
    </xf>
    <xf borderId="4" fillId="3" fontId="4" numFmtId="164" xfId="0" applyAlignment="1" applyBorder="1" applyFont="1" applyNumberFormat="1">
      <alignment readingOrder="0" shrinkToFit="0" wrapText="1"/>
    </xf>
    <xf borderId="4" fillId="3" fontId="4" numFmtId="0" xfId="0" applyAlignment="1" applyBorder="1" applyFont="1">
      <alignment horizontal="right" readingOrder="0" shrinkToFit="0" wrapText="1"/>
    </xf>
    <xf borderId="8" fillId="0" fontId="1" numFmtId="0" xfId="0" applyBorder="1" applyFont="1"/>
    <xf borderId="9" fillId="0" fontId="1" numFmtId="164" xfId="0" applyBorder="1" applyFont="1" applyNumberFormat="1"/>
    <xf borderId="9" fillId="0" fontId="1" numFmtId="0" xfId="0" applyBorder="1" applyFont="1"/>
    <xf borderId="8" fillId="0" fontId="1" numFmtId="0" xfId="0" applyAlignment="1" applyBorder="1" applyFont="1">
      <alignment readingOrder="0"/>
    </xf>
    <xf borderId="5" fillId="3" fontId="4" numFmtId="0" xfId="0" applyAlignment="1" applyBorder="1" applyFont="1">
      <alignment readingOrder="0"/>
    </xf>
    <xf borderId="7" fillId="3" fontId="4" numFmtId="164" xfId="0" applyBorder="1" applyFont="1" applyNumberFormat="1"/>
    <xf borderId="5" fillId="3" fontId="4" numFmtId="0" xfId="0" applyBorder="1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4" fontId="6" numFmtId="164" xfId="0" applyAlignment="1" applyFill="1" applyFont="1" applyNumberFormat="1">
      <alignment readingOrder="0"/>
    </xf>
    <xf borderId="0" fillId="0" fontId="6" numFmtId="164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1" fillId="0" fontId="6" numFmtId="164" xfId="0" applyAlignment="1" applyBorder="1" applyFont="1" applyNumberFormat="1">
      <alignment readingOrder="0"/>
    </xf>
    <xf borderId="0" fillId="0" fontId="1" numFmtId="164" xfId="0" applyAlignment="1" applyFont="1" applyNumberFormat="1">
      <alignment readingOrder="0"/>
    </xf>
    <xf borderId="1" fillId="0" fontId="7" numFmtId="164" xfId="0" applyAlignment="1" applyBorder="1" applyFont="1" applyNumberFormat="1">
      <alignment readingOrder="0"/>
    </xf>
    <xf borderId="1" fillId="0" fontId="8" numFmtId="164" xfId="0" applyAlignment="1" applyBorder="1" applyFont="1" applyNumberFormat="1">
      <alignment readingOrder="0"/>
    </xf>
    <xf borderId="9" fillId="0" fontId="1" numFmtId="164" xfId="0" applyAlignment="1" applyBorder="1" applyFont="1" applyNumberFormat="1">
      <alignment readingOrder="0"/>
    </xf>
    <xf borderId="1" fillId="5" fontId="1" numFmtId="164" xfId="0" applyAlignment="1" applyBorder="1" applyFill="1" applyFont="1" applyNumberFormat="1">
      <alignment readingOrder="0"/>
    </xf>
    <xf borderId="1" fillId="2" fontId="4" numFmtId="164" xfId="0" applyAlignment="1" applyBorder="1" applyFont="1" applyNumberFormat="1">
      <alignment readingOrder="0"/>
    </xf>
    <xf borderId="1" fillId="2" fontId="1" numFmtId="164" xfId="0" applyAlignment="1" applyBorder="1" applyFont="1" applyNumberFormat="1">
      <alignment readingOrder="0"/>
    </xf>
    <xf borderId="0" fillId="0" fontId="1" numFmtId="164" xfId="0" applyFont="1" applyNumberFormat="1"/>
    <xf borderId="1" fillId="2" fontId="1" numFmtId="0" xfId="0" applyAlignment="1" applyBorder="1" applyFont="1">
      <alignment readingOrder="0"/>
    </xf>
    <xf borderId="1" fillId="2" fontId="1" numFmtId="0" xfId="0" applyBorder="1" applyFont="1"/>
    <xf borderId="1" fillId="2" fontId="1" numFmtId="165" xfId="0" applyAlignment="1" applyBorder="1" applyFont="1" applyNumberFormat="1">
      <alignment readingOrder="0"/>
    </xf>
    <xf borderId="1" fillId="2" fontId="1" numFmtId="164" xfId="0" applyAlignment="1" applyBorder="1" applyFont="1" applyNumberFormat="1">
      <alignment readingOrder="0"/>
    </xf>
    <xf borderId="0" fillId="5" fontId="1" numFmtId="0" xfId="0" applyFont="1"/>
    <xf borderId="0" fillId="0" fontId="1" numFmtId="164" xfId="0" applyFont="1" applyNumberFormat="1"/>
    <xf borderId="0" fillId="2" fontId="1" numFmtId="0" xfId="0" applyAlignment="1" applyFont="1">
      <alignment readingOrder="0"/>
    </xf>
    <xf borderId="0" fillId="2" fontId="1" numFmtId="0" xfId="0" applyFont="1"/>
    <xf borderId="0" fillId="2" fontId="1" numFmtId="164" xfId="0" applyAlignment="1" applyFont="1" applyNumberFormat="1">
      <alignment readingOrder="0"/>
    </xf>
    <xf borderId="0" fillId="5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8" fillId="2" fontId="1" numFmtId="0" xfId="0" applyAlignment="1" applyBorder="1" applyFont="1">
      <alignment readingOrder="0"/>
    </xf>
    <xf borderId="9" fillId="2" fontId="1" numFmtId="164" xfId="0" applyAlignment="1" applyBorder="1" applyFont="1" applyNumberFormat="1">
      <alignment readingOrder="0"/>
    </xf>
    <xf borderId="1" fillId="0" fontId="4" numFmtId="10" xfId="0" applyAlignment="1" applyBorder="1" applyFont="1" applyNumberFormat="1">
      <alignment readingOrder="0"/>
    </xf>
    <xf borderId="10" fillId="0" fontId="4" numFmtId="0" xfId="0" applyAlignment="1" applyBorder="1" applyFont="1">
      <alignment horizontal="center" readingOrder="0" vertical="center"/>
    </xf>
    <xf borderId="11" fillId="0" fontId="9" numFmtId="0" xfId="0" applyBorder="1" applyFont="1"/>
    <xf borderId="12" fillId="0" fontId="9" numFmtId="0" xfId="0" applyBorder="1" applyFont="1"/>
    <xf borderId="1" fillId="0" fontId="1" numFmtId="0" xfId="0" applyAlignment="1" applyBorder="1" applyFont="1">
      <alignment horizontal="center" readingOrder="0" vertical="center"/>
    </xf>
    <xf borderId="1" fillId="0" fontId="1" numFmtId="166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0" fillId="0" fontId="1" numFmtId="0" xfId="0" applyFont="1"/>
    <xf borderId="1" fillId="0" fontId="4" numFmtId="0" xfId="0" applyAlignment="1" applyBorder="1" applyFont="1">
      <alignment readingOrder="0"/>
    </xf>
    <xf borderId="1" fillId="0" fontId="1" numFmtId="167" xfId="0" applyAlignment="1" applyBorder="1" applyFont="1" applyNumberFormat="1">
      <alignment horizontal="center" readingOrder="0" vertical="center"/>
    </xf>
    <xf borderId="8" fillId="4" fontId="1" numFmtId="0" xfId="0" applyAlignment="1" applyBorder="1" applyFont="1">
      <alignment readingOrder="0"/>
    </xf>
    <xf borderId="9" fillId="4" fontId="1" numFmtId="164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1" fillId="0" fontId="3" numFmtId="168" xfId="0" applyAlignment="1" applyBorder="1" applyFont="1" applyNumberFormat="1">
      <alignment readingOrder="0"/>
    </xf>
    <xf borderId="1" fillId="2" fontId="1" numFmtId="164" xfId="0" applyAlignment="1" applyBorder="1" applyFont="1" applyNumberFormat="1">
      <alignment horizontal="center" readingOrder="0"/>
    </xf>
    <xf borderId="1" fillId="6" fontId="1" numFmtId="164" xfId="0" applyAlignment="1" applyBorder="1" applyFill="1" applyFont="1" applyNumberFormat="1">
      <alignment horizontal="center" readingOrder="0"/>
    </xf>
    <xf borderId="0" fillId="2" fontId="1" numFmtId="167" xfId="0" applyAlignment="1" applyFont="1" applyNumberFormat="1">
      <alignment readingOrder="0"/>
    </xf>
    <xf borderId="0" fillId="4" fontId="1" numFmtId="0" xfId="0" applyAlignment="1" applyFont="1">
      <alignment readingOrder="0"/>
    </xf>
    <xf borderId="0" fillId="4" fontId="1" numFmtId="0" xfId="0" applyFont="1"/>
    <xf borderId="1" fillId="0" fontId="4" numFmtId="164" xfId="0" applyAlignment="1" applyBorder="1" applyFont="1" applyNumberFormat="1">
      <alignment horizontal="center" readingOrder="0"/>
    </xf>
    <xf borderId="1" fillId="6" fontId="4" numFmtId="164" xfId="0" applyAlignment="1" applyBorder="1" applyFont="1" applyNumberFormat="1">
      <alignment horizontal="center" readingOrder="0"/>
    </xf>
    <xf borderId="9" fillId="6" fontId="1" numFmtId="164" xfId="0" applyAlignment="1" applyBorder="1" applyFont="1" applyNumberFormat="1">
      <alignment readingOrder="0"/>
    </xf>
    <xf borderId="1" fillId="0" fontId="1" numFmtId="169" xfId="0" applyAlignment="1" applyBorder="1" applyFont="1" applyNumberFormat="1">
      <alignment readingOrder="0"/>
    </xf>
    <xf borderId="0" fillId="0" fontId="4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166" xfId="0" applyAlignment="1" applyFont="1" applyNumberFormat="1">
      <alignment horizontal="center" readingOrder="0" vertical="center"/>
    </xf>
    <xf borderId="0" fillId="0" fontId="1" numFmtId="167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1" fillId="4" fontId="1" numFmtId="164" xfId="0" applyAlignment="1" applyBorder="1" applyFont="1" applyNumberFormat="1">
      <alignment readingOrder="0"/>
    </xf>
    <xf borderId="1" fillId="0" fontId="1" numFmtId="168" xfId="0" applyBorder="1" applyFont="1" applyNumberFormat="1"/>
    <xf borderId="10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0" numFmtId="164" xfId="0" applyAlignment="1" applyBorder="1" applyFont="1" applyNumberFormat="1">
      <alignment readingOrder="0"/>
    </xf>
    <xf borderId="0" fillId="0" fontId="11" numFmtId="164" xfId="0" applyAlignment="1" applyFont="1" applyNumberFormat="1">
      <alignment readingOrder="0"/>
    </xf>
    <xf borderId="1" fillId="7" fontId="1" numFmtId="164" xfId="0" applyAlignment="1" applyBorder="1" applyFill="1" applyFont="1" applyNumberFormat="1">
      <alignment readingOrder="0"/>
    </xf>
    <xf borderId="0" fillId="2" fontId="12" numFmtId="164" xfId="0" applyAlignment="1" applyFont="1" applyNumberFormat="1">
      <alignment horizontal="right" readingOrder="0" vertical="bottom"/>
    </xf>
    <xf borderId="1" fillId="4" fontId="1" numFmtId="164" xfId="0" applyBorder="1" applyFont="1" applyNumberFormat="1"/>
    <xf borderId="0" fillId="0" fontId="13" numFmtId="0" xfId="0" applyAlignment="1" applyFont="1">
      <alignment horizontal="right" readingOrder="0" vertical="bottom"/>
    </xf>
    <xf borderId="0" fillId="0" fontId="1" numFmtId="3" xfId="0" applyAlignment="1" applyFont="1" applyNumberFormat="1">
      <alignment readingOrder="0"/>
    </xf>
    <xf borderId="0" fillId="0" fontId="8" numFmtId="4" xfId="0" applyAlignment="1" applyFont="1" applyNumberFormat="1">
      <alignment readingOrder="0"/>
    </xf>
    <xf borderId="1" fillId="4" fontId="2" numFmtId="0" xfId="0" applyAlignment="1" applyBorder="1" applyFont="1">
      <alignment horizontal="center" readingOrder="0"/>
    </xf>
    <xf borderId="0" fillId="0" fontId="1" numFmtId="0" xfId="0" applyAlignment="1" applyFont="1">
      <alignment horizontal="left"/>
    </xf>
    <xf borderId="1" fillId="0" fontId="10" numFmtId="164" xfId="0" applyBorder="1" applyFont="1" applyNumberFormat="1"/>
    <xf borderId="0" fillId="4" fontId="11" numFmtId="164" xfId="0" applyAlignment="1" applyFont="1" applyNumberFormat="1">
      <alignment readingOrder="0"/>
    </xf>
    <xf borderId="1" fillId="0" fontId="3" numFmtId="168" xfId="0" applyAlignment="1" applyBorder="1" applyFont="1" applyNumberFormat="1">
      <alignment horizontal="left" readingOrder="0"/>
    </xf>
    <xf borderId="0" fillId="4" fontId="1" numFmtId="164" xfId="0" applyAlignment="1" applyFont="1" applyNumberFormat="1">
      <alignment readingOrder="0"/>
    </xf>
    <xf borderId="0" fillId="4" fontId="12" numFmtId="164" xfId="0" applyAlignment="1" applyFont="1" applyNumberFormat="1">
      <alignment horizontal="right" readingOrder="0" vertical="bottom"/>
    </xf>
    <xf borderId="1" fillId="4" fontId="1" numFmtId="164" xfId="0" applyAlignment="1" applyBorder="1" applyFont="1" applyNumberFormat="1">
      <alignment horizontal="center" readingOrder="0"/>
    </xf>
    <xf borderId="0" fillId="4" fontId="13" numFmtId="0" xfId="0" applyAlignment="1" applyFont="1">
      <alignment horizontal="right" readingOrder="0" vertical="bottom"/>
    </xf>
    <xf borderId="3" fillId="4" fontId="1" numFmtId="0" xfId="0" applyBorder="1" applyFont="1"/>
    <xf borderId="4" fillId="4" fontId="1" numFmtId="0" xfId="0" applyBorder="1" applyFont="1"/>
    <xf borderId="6" fillId="4" fontId="1" numFmtId="0" xfId="0" applyBorder="1" applyFont="1"/>
    <xf borderId="7" fillId="4" fontId="1" numFmtId="0" xfId="0" applyBorder="1" applyFont="1"/>
    <xf borderId="0" fillId="4" fontId="1" numFmtId="0" xfId="0" applyAlignment="1" applyFont="1">
      <alignment horizontal="center" readingOrder="0" vertical="center"/>
    </xf>
    <xf borderId="2" fillId="4" fontId="4" numFmtId="0" xfId="0" applyAlignment="1" applyBorder="1" applyFont="1">
      <alignment readingOrder="0" shrinkToFit="0" wrapText="1"/>
    </xf>
    <xf borderId="4" fillId="4" fontId="4" numFmtId="0" xfId="0" applyAlignment="1" applyBorder="1" applyFont="1">
      <alignment horizontal="right" readingOrder="0" shrinkToFit="0" wrapText="1"/>
    </xf>
    <xf borderId="8" fillId="4" fontId="1" numFmtId="0" xfId="0" applyBorder="1" applyFont="1"/>
    <xf borderId="9" fillId="4" fontId="1" numFmtId="0" xfId="0" applyBorder="1" applyFont="1"/>
    <xf borderId="0" fillId="4" fontId="1" numFmtId="0" xfId="0" applyAlignment="1" applyFont="1">
      <alignment horizontal="center" vertical="center"/>
    </xf>
    <xf borderId="9" fillId="4" fontId="1" numFmtId="0" xfId="0" applyAlignment="1" applyBorder="1" applyFont="1">
      <alignment readingOrder="0"/>
    </xf>
    <xf borderId="0" fillId="4" fontId="1" numFmtId="0" xfId="0" applyAlignment="1" applyFont="1">
      <alignment horizontal="center"/>
    </xf>
    <xf borderId="1" fillId="0" fontId="10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1" numFmtId="169" xfId="0" applyAlignment="1" applyFont="1" applyNumberFormat="1">
      <alignment readingOrder="0"/>
    </xf>
    <xf borderId="0" fillId="0" fontId="10" numFmtId="3" xfId="0" applyAlignment="1" applyFont="1" applyNumberFormat="1">
      <alignment readingOrder="0"/>
    </xf>
    <xf borderId="0" fillId="0" fontId="10" numFmtId="0" xfId="0" applyFont="1"/>
    <xf borderId="0" fillId="0" fontId="10" numFmtId="4" xfId="0" applyAlignment="1" applyFont="1" applyNumberFormat="1">
      <alignment readingOrder="0"/>
    </xf>
    <xf borderId="0" fillId="0" fontId="11" numFmtId="4" xfId="0" applyAlignment="1" applyFont="1" applyNumberFormat="1">
      <alignment readingOrder="0"/>
    </xf>
    <xf borderId="8" fillId="4" fontId="1" numFmtId="169" xfId="0" applyAlignment="1" applyBorder="1" applyFont="1" applyNumberFormat="1">
      <alignment readingOrder="0"/>
    </xf>
    <xf borderId="9" fillId="4" fontId="1" numFmtId="169" xfId="0" applyAlignment="1" applyBorder="1" applyFont="1" applyNumberFormat="1">
      <alignment readingOrder="0"/>
    </xf>
    <xf borderId="9" fillId="4" fontId="1" numFmtId="164" xfId="0" applyAlignment="1" applyBorder="1" applyFont="1" applyNumberFormat="1">
      <alignment readingOrder="0"/>
    </xf>
    <xf borderId="0" fillId="0" fontId="12" numFmtId="4" xfId="0" applyAlignment="1" applyFont="1" applyNumberFormat="1">
      <alignment horizontal="right" readingOrder="0" vertical="bottom"/>
    </xf>
    <xf borderId="0" fillId="2" fontId="12" numFmtId="4" xfId="0" applyAlignment="1" applyFont="1" applyNumberFormat="1">
      <alignment horizontal="right" readingOrder="0" vertical="bottom"/>
    </xf>
    <xf borderId="0" fillId="0" fontId="12" numFmtId="0" xfId="0" applyAlignment="1" applyFont="1">
      <alignment horizontal="left" readingOrder="0" vertical="bottom"/>
    </xf>
    <xf borderId="0" fillId="2" fontId="1" numFmtId="164" xfId="0" applyFont="1" applyNumberFormat="1"/>
    <xf borderId="9" fillId="2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horizontal="center"/>
    </xf>
    <xf borderId="1" fillId="4" fontId="1" numFmtId="164" xfId="0" applyAlignment="1" applyBorder="1" applyFont="1" applyNumberFormat="1">
      <alignment horizontal="center"/>
    </xf>
    <xf borderId="0" fillId="4" fontId="14" numFmtId="164" xfId="0" applyAlignment="1" applyFont="1" applyNumberFormat="1">
      <alignment readingOrder="0"/>
    </xf>
    <xf borderId="0" fillId="4" fontId="1" numFmtId="4" xfId="0" applyAlignment="1" applyFont="1" applyNumberFormat="1">
      <alignment readingOrder="0"/>
    </xf>
    <xf borderId="2" fillId="4" fontId="1" numFmtId="167" xfId="0" applyAlignment="1" applyBorder="1" applyFont="1" applyNumberFormat="1">
      <alignment readingOrder="0"/>
    </xf>
    <xf borderId="9" fillId="0" fontId="1" numFmtId="0" xfId="0" applyAlignment="1" applyBorder="1" applyFont="1">
      <alignment readingOrder="0"/>
    </xf>
    <xf borderId="0" fillId="4" fontId="15" numFmtId="0" xfId="0" applyAlignment="1" applyFont="1">
      <alignment readingOrder="0"/>
    </xf>
    <xf borderId="0" fillId="0" fontId="15" numFmtId="0" xfId="0" applyFont="1"/>
    <xf borderId="5" fillId="4" fontId="1" numFmtId="0" xfId="0" applyBorder="1" applyFont="1"/>
    <xf borderId="7" fillId="0" fontId="4" numFmtId="0" xfId="0" applyBorder="1" applyFont="1"/>
    <xf borderId="0" fillId="0" fontId="15" numFmtId="0" xfId="0" applyAlignment="1" applyFont="1">
      <alignment readingOrder="0"/>
    </xf>
    <xf borderId="9" fillId="0" fontId="1" numFmtId="0" xfId="0" applyAlignment="1" applyBorder="1" applyFont="1">
      <alignment horizontal="right" readingOrder="0"/>
    </xf>
    <xf borderId="5" fillId="4" fontId="1" numFmtId="0" xfId="0" applyAlignment="1" applyBorder="1" applyFont="1">
      <alignment readingOrder="0"/>
    </xf>
    <xf borderId="7" fillId="0" fontId="4" numFmtId="0" xfId="0" applyAlignment="1" applyBorder="1" applyFont="1">
      <alignment horizontal="right" readingOrder="0"/>
    </xf>
    <xf borderId="0" fillId="0" fontId="1" numFmtId="0" xfId="0" applyAlignment="1" applyFont="1">
      <alignment horizontal="right" readingOrder="0"/>
    </xf>
    <xf borderId="4" fillId="0" fontId="1" numFmtId="0" xfId="0" applyAlignment="1" applyBorder="1" applyFont="1">
      <alignment horizontal="right" readingOrder="0"/>
    </xf>
    <xf borderId="4" fillId="0" fontId="1" numFmtId="0" xfId="0" applyAlignment="1" applyBorder="1" applyFont="1">
      <alignment horizontal="right"/>
    </xf>
    <xf borderId="1" fillId="4" fontId="11" numFmtId="164" xfId="0" applyAlignment="1" applyBorder="1" applyFont="1" applyNumberFormat="1">
      <alignment readingOrder="0"/>
    </xf>
    <xf borderId="1" fillId="4" fontId="1" numFmtId="164" xfId="0" applyAlignment="1" applyBorder="1" applyFont="1" applyNumberFormat="1">
      <alignment readingOrder="0"/>
    </xf>
    <xf borderId="1" fillId="4" fontId="14" numFmtId="164" xfId="0" applyAlignment="1" applyBorder="1" applyFont="1" applyNumberFormat="1">
      <alignment readingOrder="0"/>
    </xf>
    <xf borderId="1" fillId="0" fontId="11" numFmtId="164" xfId="0" applyAlignment="1" applyBorder="1" applyFont="1" applyNumberFormat="1">
      <alignment readingOrder="0"/>
    </xf>
    <xf borderId="1" fillId="4" fontId="12" numFmtId="164" xfId="0" applyAlignment="1" applyBorder="1" applyFont="1" applyNumberFormat="1">
      <alignment horizontal="right" readingOrder="0" vertical="bottom"/>
    </xf>
    <xf borderId="0" fillId="0" fontId="3" numFmtId="168" xfId="0" applyAlignment="1" applyFont="1" applyNumberFormat="1">
      <alignment horizontal="right" readingOrder="0"/>
    </xf>
    <xf borderId="0" fillId="0" fontId="16" numFmtId="0" xfId="0" applyAlignment="1" applyFont="1">
      <alignment horizontal="left" readingOrder="0" shrinkToFit="0" wrapText="1"/>
    </xf>
    <xf borderId="1" fillId="0" fontId="3" numFmtId="168" xfId="0" applyAlignment="1" applyBorder="1" applyFont="1" applyNumberFormat="1">
      <alignment horizontal="right" readingOrder="0"/>
    </xf>
    <xf borderId="1" fillId="4" fontId="1" numFmtId="0" xfId="0" applyAlignment="1" applyBorder="1" applyFont="1">
      <alignment readingOrder="0"/>
    </xf>
    <xf borderId="1" fillId="4" fontId="12" numFmtId="0" xfId="0" applyAlignment="1" applyBorder="1" applyFont="1">
      <alignment horizontal="left" readingOrder="0" vertical="bottom"/>
    </xf>
    <xf borderId="1" fillId="4" fontId="1" numFmtId="0" xfId="0" applyBorder="1" applyFont="1"/>
    <xf borderId="1" fillId="0" fontId="10" numFmtId="3" xfId="0" applyAlignment="1" applyBorder="1" applyFont="1" applyNumberFormat="1">
      <alignment readingOrder="0"/>
    </xf>
    <xf borderId="1" fillId="0" fontId="1" numFmtId="0" xfId="0" applyAlignment="1" applyBorder="1" applyFont="1">
      <alignment horizontal="left"/>
    </xf>
    <xf borderId="1" fillId="0" fontId="10" numFmtId="0" xfId="0" applyBorder="1" applyFont="1"/>
    <xf borderId="1" fillId="0" fontId="3" numFmtId="0" xfId="0" applyAlignment="1" applyBorder="1" applyFont="1">
      <alignment horizontal="right" readingOrder="0"/>
    </xf>
    <xf borderId="1" fillId="8" fontId="1" numFmtId="0" xfId="0" applyAlignment="1" applyBorder="1" applyFill="1" applyFont="1">
      <alignment readingOrder="0"/>
    </xf>
    <xf borderId="1" fillId="0" fontId="10" numFmtId="4" xfId="0" applyAlignment="1" applyBorder="1" applyFont="1" applyNumberFormat="1">
      <alignment readingOrder="0"/>
    </xf>
    <xf borderId="0" fillId="0" fontId="15" numFmtId="164" xfId="0" applyAlignment="1" applyFont="1" applyNumberFormat="1">
      <alignment readingOrder="0"/>
    </xf>
    <xf borderId="0" fillId="0" fontId="17" numFmtId="0" xfId="0" applyFont="1"/>
    <xf borderId="0" fillId="0" fontId="17" numFmtId="0" xfId="0" applyAlignment="1" applyFont="1">
      <alignment readingOrder="0"/>
    </xf>
    <xf borderId="1" fillId="9" fontId="1" numFmtId="164" xfId="0" applyAlignment="1" applyBorder="1" applyFill="1" applyFont="1" applyNumberFormat="1">
      <alignment readingOrder="0"/>
    </xf>
    <xf borderId="9" fillId="10" fontId="1" numFmtId="164" xfId="0" applyAlignment="1" applyBorder="1" applyFill="1" applyFont="1" applyNumberFormat="1">
      <alignment readingOrder="0"/>
    </xf>
    <xf borderId="1" fillId="8" fontId="1" numFmtId="164" xfId="0" applyAlignment="1" applyBorder="1" applyFont="1" applyNumberFormat="1">
      <alignment readingOrder="0"/>
    </xf>
    <xf borderId="0" fillId="0" fontId="10" numFmtId="4" xfId="0" applyFont="1" applyNumberFormat="1"/>
    <xf borderId="0" fillId="0" fontId="10" numFmtId="10" xfId="0" applyFont="1" applyNumberFormat="1"/>
    <xf borderId="1" fillId="3" fontId="4" numFmtId="0" xfId="0" applyAlignment="1" applyBorder="1" applyFont="1">
      <alignment readingOrder="0" shrinkToFit="0" wrapText="1"/>
    </xf>
    <xf borderId="1" fillId="3" fontId="4" numFmtId="164" xfId="0" applyAlignment="1" applyBorder="1" applyFont="1" applyNumberFormat="1">
      <alignment readingOrder="0" shrinkToFit="0" wrapText="1"/>
    </xf>
    <xf borderId="1" fillId="4" fontId="4" numFmtId="0" xfId="0" applyAlignment="1" applyBorder="1" applyFont="1">
      <alignment readingOrder="0" shrinkToFit="0" wrapText="1"/>
    </xf>
    <xf borderId="1" fillId="4" fontId="4" numFmtId="0" xfId="0" applyAlignment="1" applyBorder="1" applyFont="1">
      <alignment horizontal="right" readingOrder="0" shrinkToFit="0" wrapText="1"/>
    </xf>
    <xf borderId="1" fillId="4" fontId="1" numFmtId="169" xfId="0" applyAlignment="1" applyBorder="1" applyFont="1" applyNumberFormat="1">
      <alignment readingOrder="0"/>
    </xf>
    <xf borderId="0" fillId="4" fontId="12" numFmtId="0" xfId="0" applyAlignment="1" applyFont="1">
      <alignment horizontal="left" readingOrder="0" vertical="bottom"/>
    </xf>
    <xf borderId="0" fillId="4" fontId="15" numFmtId="164" xfId="0" applyAlignment="1" applyFont="1" applyNumberFormat="1">
      <alignment readingOrder="0"/>
    </xf>
    <xf borderId="0" fillId="4" fontId="15" numFmtId="0" xfId="0" applyFont="1"/>
    <xf borderId="0" fillId="4" fontId="8" numFmtId="164" xfId="0" applyAlignment="1" applyFont="1" applyNumberFormat="1">
      <alignment readingOrder="0"/>
    </xf>
    <xf borderId="0" fillId="4" fontId="1" numFmtId="164" xfId="0" applyAlignment="1" applyFont="1" applyNumberFormat="1">
      <alignment readingOrder="0"/>
    </xf>
    <xf borderId="1" fillId="4" fontId="1" numFmtId="170" xfId="0" applyAlignment="1" applyBorder="1" applyFont="1" applyNumberFormat="1">
      <alignment readingOrder="0"/>
    </xf>
    <xf borderId="1" fillId="8" fontId="1" numFmtId="170" xfId="0" applyAlignment="1" applyBorder="1" applyFont="1" applyNumberFormat="1">
      <alignment readingOrder="0"/>
    </xf>
    <xf borderId="0" fillId="0" fontId="1" numFmtId="10" xfId="0" applyFont="1" applyNumberFormat="1"/>
    <xf borderId="1" fillId="10" fontId="1" numFmtId="0" xfId="0" applyAlignment="1" applyBorder="1" applyFont="1">
      <alignment readingOrder="0"/>
    </xf>
    <xf borderId="1" fillId="10" fontId="1" numFmtId="164" xfId="0" applyAlignment="1" applyBorder="1" applyFont="1" applyNumberFormat="1">
      <alignment readingOrder="0"/>
    </xf>
    <xf borderId="0" fillId="4" fontId="18" numFmtId="0" xfId="0" applyFont="1"/>
    <xf borderId="0" fillId="4" fontId="17" numFmtId="164" xfId="0" applyAlignment="1" applyFont="1" applyNumberFormat="1">
      <alignment readingOrder="0"/>
    </xf>
    <xf borderId="0" fillId="4" fontId="17" numFmtId="0" xfId="0" applyAlignment="1" applyFont="1">
      <alignment readingOrder="0"/>
    </xf>
    <xf borderId="0" fillId="4" fontId="18" numFmtId="0" xfId="0" applyAlignment="1" applyFont="1">
      <alignment readingOrder="0"/>
    </xf>
    <xf borderId="0" fillId="4" fontId="17" numFmtId="0" xfId="0" applyFont="1"/>
    <xf borderId="0" fillId="4" fontId="18" numFmtId="164" xfId="0" applyAlignment="1" applyFont="1" applyNumberFormat="1">
      <alignment readingOrder="0"/>
    </xf>
    <xf borderId="0" fillId="0" fontId="18" numFmtId="0" xfId="0" applyFont="1"/>
    <xf borderId="0" fillId="4" fontId="18" numFmtId="2" xfId="0" applyAlignment="1" applyFont="1" applyNumberFormat="1">
      <alignment readingOrder="0"/>
    </xf>
    <xf borderId="0" fillId="4" fontId="18" numFmtId="10" xfId="0" applyFont="1" applyNumberFormat="1"/>
    <xf borderId="0" fillId="0" fontId="18" numFmtId="164" xfId="0" applyFont="1" applyNumberFormat="1"/>
    <xf borderId="0" fillId="4" fontId="19" numFmtId="0" xfId="0" applyAlignment="1" applyFont="1">
      <alignment horizontal="center" readingOrder="0" vertical="center"/>
    </xf>
    <xf borderId="0" fillId="4" fontId="18" numFmtId="0" xfId="0" applyAlignment="1" applyFont="1">
      <alignment horizontal="center" readingOrder="0" vertical="center"/>
    </xf>
    <xf borderId="0" fillId="4" fontId="18" numFmtId="2" xfId="0" applyFont="1" applyNumberFormat="1"/>
    <xf borderId="0" fillId="4" fontId="18" numFmtId="166" xfId="0" applyAlignment="1" applyFont="1" applyNumberFormat="1">
      <alignment horizontal="center" readingOrder="0" vertical="center"/>
    </xf>
    <xf borderId="0" fillId="4" fontId="1" numFmtId="10" xfId="0" applyAlignment="1" applyFont="1" applyNumberFormat="1">
      <alignment readingOrder="0"/>
    </xf>
    <xf borderId="0" fillId="0" fontId="18" numFmtId="0" xfId="0" applyAlignment="1" applyFont="1">
      <alignment readingOrder="0"/>
    </xf>
    <xf borderId="0" fillId="4" fontId="18" numFmtId="4" xfId="0" applyAlignment="1" applyFont="1" applyNumberFormat="1">
      <alignment readingOrder="0"/>
    </xf>
    <xf borderId="0" fillId="4" fontId="19" numFmtId="164" xfId="0" applyAlignment="1" applyFont="1" applyNumberFormat="1">
      <alignment horizontal="center" readingOrder="0"/>
    </xf>
    <xf borderId="0" fillId="4" fontId="18" numFmtId="10" xfId="0" applyAlignment="1" applyFont="1" applyNumberFormat="1">
      <alignment horizontal="center" readingOrder="0" vertical="center"/>
    </xf>
    <xf borderId="0" fillId="4" fontId="18" numFmtId="10" xfId="0" applyAlignment="1" applyFont="1" applyNumberFormat="1">
      <alignment readingOrder="0"/>
    </xf>
    <xf borderId="0" fillId="4" fontId="20" numFmtId="164" xfId="0" applyAlignment="1" applyFont="1" applyNumberFormat="1">
      <alignment readingOrder="0"/>
    </xf>
    <xf borderId="1" fillId="3" fontId="4" numFmtId="0" xfId="0" applyAlignment="1" applyBorder="1" applyFont="1">
      <alignment horizontal="right" readingOrder="0" shrinkToFit="0" wrapText="1"/>
    </xf>
    <xf borderId="1" fillId="10" fontId="1" numFmtId="0" xfId="0" applyBorder="1" applyFont="1"/>
    <xf borderId="1" fillId="11" fontId="1" numFmtId="0" xfId="0" applyAlignment="1" applyBorder="1" applyFill="1" applyFont="1">
      <alignment readingOrder="0"/>
    </xf>
    <xf borderId="1" fillId="11" fontId="1" numFmtId="164" xfId="0" applyAlignment="1" applyBorder="1" applyFont="1" applyNumberFormat="1">
      <alignment readingOrder="0"/>
    </xf>
    <xf borderId="1" fillId="11" fontId="1" numFmtId="0" xfId="0" applyBorder="1" applyFont="1"/>
    <xf borderId="0" fillId="0" fontId="18" numFmtId="164" xfId="0" applyAlignment="1" applyFont="1" applyNumberFormat="1">
      <alignment readingOrder="0"/>
    </xf>
    <xf borderId="0" fillId="4" fontId="21" numFmtId="164" xfId="0" applyAlignment="1" applyFont="1" applyNumberFormat="1">
      <alignment readingOrder="0"/>
    </xf>
    <xf borderId="0" fillId="4" fontId="20" numFmtId="164" xfId="0" applyFont="1" applyNumberFormat="1"/>
    <xf borderId="0" fillId="4" fontId="20" numFmtId="10" xfId="0" applyFont="1" applyNumberFormat="1"/>
    <xf borderId="0" fillId="4" fontId="20" numFmtId="0" xfId="0" applyFont="1"/>
    <xf borderId="0" fillId="0" fontId="20" numFmtId="10" xfId="0" applyAlignment="1" applyFont="1" applyNumberFormat="1">
      <alignment readingOrder="0"/>
    </xf>
    <xf borderId="0" fillId="4" fontId="22" numFmtId="0" xfId="0" applyAlignment="1" applyFont="1">
      <alignment horizontal="center" readingOrder="0" vertical="center"/>
    </xf>
    <xf borderId="0" fillId="4" fontId="20" numFmtId="0" xfId="0" applyAlignment="1" applyFont="1">
      <alignment horizontal="center" readingOrder="0" vertical="center"/>
    </xf>
    <xf borderId="0" fillId="4" fontId="20" numFmtId="0" xfId="0" applyAlignment="1" applyFont="1">
      <alignment readingOrder="0"/>
    </xf>
    <xf borderId="0" fillId="0" fontId="20" numFmtId="0" xfId="0" applyFont="1"/>
    <xf borderId="1" fillId="9" fontId="1" numFmtId="0" xfId="0" applyAlignment="1" applyBorder="1" applyFont="1">
      <alignment readingOrder="0"/>
    </xf>
    <xf borderId="1" fillId="9" fontId="1" numFmtId="0" xfId="0" applyBorder="1" applyFont="1"/>
    <xf borderId="0" fillId="0" fontId="18" numFmtId="10" xfId="0" applyAlignment="1" applyFont="1" applyNumberFormat="1">
      <alignment readingOrder="0"/>
    </xf>
    <xf borderId="1" fillId="12" fontId="1" numFmtId="0" xfId="0" applyAlignment="1" applyBorder="1" applyFill="1" applyFont="1">
      <alignment readingOrder="0"/>
    </xf>
    <xf borderId="1" fillId="12" fontId="1" numFmtId="164" xfId="0" applyAlignment="1" applyBorder="1" applyFont="1" applyNumberFormat="1">
      <alignment readingOrder="0"/>
    </xf>
    <xf borderId="1" fillId="12" fontId="1" numFmtId="0" xfId="0" applyBorder="1" applyFont="1"/>
    <xf borderId="0" fillId="0" fontId="15" numFmtId="0" xfId="0" applyFont="1"/>
    <xf borderId="1" fillId="8" fontId="1" numFmtId="0" xfId="0" applyBorder="1" applyFont="1"/>
    <xf borderId="0" fillId="4" fontId="1" numFmtId="164" xfId="0" applyFont="1" applyNumberForma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1" fillId="13" fontId="1" numFmtId="0" xfId="0" applyAlignment="1" applyBorder="1" applyFill="1" applyFont="1">
      <alignment readingOrder="0"/>
    </xf>
    <xf borderId="1" fillId="13" fontId="1" numFmtId="164" xfId="0" applyAlignment="1" applyBorder="1" applyFont="1" applyNumberFormat="1">
      <alignment readingOrder="0"/>
    </xf>
    <xf borderId="1" fillId="13" fontId="1" numFmtId="0" xfId="0" applyBorder="1" applyFont="1"/>
    <xf borderId="0" fillId="0" fontId="17" numFmtId="164" xfId="0" applyAlignment="1" applyFont="1" applyNumberFormat="1">
      <alignment readingOrder="0"/>
    </xf>
    <xf borderId="1" fillId="14" fontId="1" numFmtId="0" xfId="0" applyAlignment="1" applyBorder="1" applyFill="1" applyFont="1">
      <alignment readingOrder="0"/>
    </xf>
    <xf borderId="1" fillId="14" fontId="1" numFmtId="164" xfId="0" applyAlignment="1" applyBorder="1" applyFont="1" applyNumberFormat="1">
      <alignment readingOrder="0"/>
    </xf>
    <xf borderId="1" fillId="14" fontId="1" numFmtId="0" xfId="0" applyBorder="1" applyFont="1"/>
    <xf borderId="1" fillId="14" fontId="1" numFmtId="0" xfId="0" applyAlignment="1" applyBorder="1" applyFont="1">
      <alignment horizontal="center" readingOrder="0"/>
    </xf>
    <xf borderId="1" fillId="11" fontId="1" numFmtId="0" xfId="0" applyAlignment="1" applyBorder="1" applyFont="1">
      <alignment horizontal="center" readingOrder="0"/>
    </xf>
    <xf borderId="1" fillId="15" fontId="1" numFmtId="164" xfId="0" applyAlignment="1" applyBorder="1" applyFill="1" applyFont="1" applyNumberFormat="1">
      <alignment readingOrder="0"/>
    </xf>
    <xf borderId="1" fillId="16" fontId="1" numFmtId="164" xfId="0" applyAlignment="1" applyBorder="1" applyFill="1" applyFont="1" applyNumberFormat="1">
      <alignment readingOrder="0"/>
    </xf>
    <xf borderId="0" fillId="0" fontId="25" numFmtId="0" xfId="0" applyAlignment="1" applyFont="1">
      <alignment readingOrder="0"/>
    </xf>
    <xf borderId="0" fillId="0" fontId="1" numFmtId="167" xfId="0" applyAlignment="1" applyFont="1" applyNumberFormat="1">
      <alignment readingOrder="0"/>
    </xf>
    <xf borderId="0" fillId="0" fontId="1" numFmtId="4" xfId="0" applyFont="1" applyNumberFormat="1"/>
    <xf borderId="1" fillId="17" fontId="1" numFmtId="164" xfId="0" applyAlignment="1" applyBorder="1" applyFill="1" applyFont="1" applyNumberFormat="1">
      <alignment readingOrder="0"/>
    </xf>
    <xf borderId="1" fillId="8" fontId="14" numFmtId="164" xfId="0" applyAlignment="1" applyBorder="1" applyFont="1" applyNumberFormat="1">
      <alignment readingOrder="0"/>
    </xf>
    <xf borderId="0" fillId="4" fontId="15" numFmtId="0" xfId="0" applyFont="1"/>
    <xf borderId="0" fillId="4" fontId="26" numFmtId="0" xfId="0" applyAlignment="1" applyFont="1">
      <alignment readingOrder="0"/>
    </xf>
    <xf borderId="0" fillId="4" fontId="1" numFmtId="167" xfId="0" applyAlignment="1" applyFont="1" applyNumberFormat="1">
      <alignment readingOrder="0"/>
    </xf>
    <xf borderId="1" fillId="4" fontId="1" numFmtId="0" xfId="0" applyAlignment="1" applyBorder="1" applyFont="1">
      <alignment horizontal="center" readingOrder="0"/>
    </xf>
    <xf borderId="0" fillId="18" fontId="14" numFmtId="0" xfId="0" applyAlignment="1" applyFill="1" applyFont="1">
      <alignment readingOrder="0"/>
    </xf>
    <xf borderId="0" fillId="0" fontId="27" numFmtId="0" xfId="0" applyAlignment="1" applyFont="1">
      <alignment horizontal="center" readingOrder="0"/>
    </xf>
    <xf borderId="0" fillId="14" fontId="1" numFmtId="164" xfId="0" applyAlignment="1" applyFont="1" applyNumberFormat="1">
      <alignment readingOrder="0"/>
    </xf>
    <xf borderId="0" fillId="0" fontId="27" numFmtId="164" xfId="0" applyFont="1" applyNumberFormat="1"/>
    <xf borderId="0" fillId="14" fontId="1" numFmtId="164" xfId="0" applyFont="1" applyNumberFormat="1"/>
    <xf borderId="1" fillId="0" fontId="4" numFmtId="0" xfId="0" applyBorder="1" applyFont="1"/>
    <xf borderId="0" fillId="18" fontId="18" numFmtId="0" xfId="0" applyAlignment="1" applyFont="1">
      <alignment horizontal="center" readingOrder="0"/>
    </xf>
    <xf borderId="1" fillId="14" fontId="4" numFmtId="164" xfId="0" applyBorder="1" applyFont="1" applyNumberFormat="1"/>
    <xf borderId="1" fillId="14" fontId="4" numFmtId="10" xfId="0" applyBorder="1" applyFont="1" applyNumberFormat="1"/>
    <xf borderId="0" fillId="19" fontId="1" numFmtId="0" xfId="0" applyFill="1" applyFont="1"/>
    <xf borderId="0" fillId="19" fontId="4" numFmtId="0" xfId="0" applyAlignment="1" applyFont="1">
      <alignment horizontal="center" readingOrder="0"/>
    </xf>
    <xf borderId="0" fillId="19" fontId="10" numFmtId="0" xfId="0" applyFont="1"/>
    <xf borderId="0" fillId="19" fontId="1" numFmtId="0" xfId="0" applyAlignment="1" applyFont="1">
      <alignment horizontal="left"/>
    </xf>
    <xf borderId="13" fillId="3" fontId="4" numFmtId="0" xfId="0" applyAlignment="1" applyBorder="1" applyFont="1">
      <alignment horizontal="center" readingOrder="0" shrinkToFit="0" wrapText="1"/>
    </xf>
    <xf borderId="13" fillId="3" fontId="4" numFmtId="164" xfId="0" applyAlignment="1" applyBorder="1" applyFont="1" applyNumberFormat="1">
      <alignment readingOrder="0" shrinkToFit="0" wrapText="1"/>
    </xf>
    <xf borderId="13" fillId="3" fontId="4" numFmtId="0" xfId="0" applyAlignment="1" applyBorder="1" applyFont="1">
      <alignment readingOrder="0" shrinkToFit="0" wrapText="1"/>
    </xf>
    <xf borderId="13" fillId="3" fontId="4" numFmtId="0" xfId="0" applyAlignment="1" applyBorder="1" applyFont="1">
      <alignment horizontal="right" readingOrder="0" shrinkToFit="0" wrapText="1"/>
    </xf>
    <xf borderId="1" fillId="0" fontId="1" numFmtId="0" xfId="0" applyAlignment="1" applyBorder="1" applyFont="1">
      <alignment horizontal="center" readingOrder="0"/>
    </xf>
    <xf borderId="1" fillId="0" fontId="1" numFmtId="171" xfId="0" applyAlignment="1" applyBorder="1" applyFont="1" applyNumberFormat="1">
      <alignment readingOrder="0"/>
    </xf>
    <xf borderId="1" fillId="4" fontId="1" numFmtId="172" xfId="0" applyAlignment="1" applyBorder="1" applyFont="1" applyNumberFormat="1">
      <alignment readingOrder="0"/>
    </xf>
    <xf borderId="1" fillId="4" fontId="1" numFmtId="172" xfId="0" applyAlignment="1" applyBorder="1" applyFont="1" applyNumberFormat="1">
      <alignment horizontal="right" readingOrder="0"/>
    </xf>
    <xf borderId="0" fillId="0" fontId="1" numFmtId="172" xfId="0" applyAlignment="1" applyFont="1" applyNumberFormat="1">
      <alignment readingOrder="0"/>
    </xf>
    <xf borderId="1" fillId="8" fontId="1" numFmtId="164" xfId="0" applyAlignment="1" applyBorder="1" applyFont="1" applyNumberFormat="1">
      <alignment horizontal="center" readingOrder="0"/>
    </xf>
    <xf borderId="1" fillId="3" fontId="1" numFmtId="172" xfId="0" applyAlignment="1" applyBorder="1" applyFont="1" applyNumberFormat="1">
      <alignment readingOrder="0"/>
    </xf>
    <xf borderId="1" fillId="8" fontId="1" numFmtId="0" xfId="0" applyAlignment="1" applyBorder="1" applyFont="1">
      <alignment horizontal="center" readingOrder="0"/>
    </xf>
    <xf borderId="1" fillId="8" fontId="1" numFmtId="171" xfId="0" applyAlignment="1" applyBorder="1" applyFont="1" applyNumberFormat="1">
      <alignment readingOrder="0"/>
    </xf>
    <xf borderId="1" fillId="4" fontId="1" numFmtId="0" xfId="0" applyAlignment="1" applyBorder="1" applyFont="1">
      <alignment horizontal="right" readingOrder="0"/>
    </xf>
    <xf borderId="1" fillId="20" fontId="1" numFmtId="172" xfId="0" applyAlignment="1" applyBorder="1" applyFill="1" applyFont="1" applyNumberFormat="1">
      <alignment readingOrder="0"/>
    </xf>
    <xf borderId="0" fillId="4" fontId="18" numFmtId="0" xfId="0" applyAlignment="1" applyFont="1">
      <alignment horizontal="center" readingOrder="0"/>
    </xf>
    <xf borderId="0" fillId="4" fontId="4" numFmtId="0" xfId="0" applyFont="1"/>
    <xf borderId="0" fillId="4" fontId="4" numFmtId="10" xfId="0" applyFont="1" applyNumberFormat="1"/>
    <xf borderId="1" fillId="20" fontId="1" numFmtId="0" xfId="0" applyAlignment="1" applyBorder="1" applyFont="1">
      <alignment horizontal="center" readingOrder="0"/>
    </xf>
    <xf borderId="0" fillId="20" fontId="1" numFmtId="171" xfId="0" applyAlignment="1" applyFont="1" applyNumberFormat="1">
      <alignment readingOrder="0"/>
    </xf>
    <xf borderId="1" fillId="20" fontId="1" numFmtId="0" xfId="0" applyAlignment="1" applyBorder="1" applyFont="1">
      <alignment readingOrder="0"/>
    </xf>
    <xf borderId="1" fillId="20" fontId="1" numFmtId="164" xfId="0" applyAlignment="1" applyBorder="1" applyFont="1" applyNumberFormat="1">
      <alignment readingOrder="0"/>
    </xf>
    <xf borderId="1" fillId="20" fontId="1" numFmtId="0" xfId="0" applyAlignment="1" applyBorder="1" applyFont="1">
      <alignment horizontal="right" readingOrder="0"/>
    </xf>
    <xf borderId="1" fillId="20" fontId="1" numFmtId="164" xfId="0" applyBorder="1" applyFont="1" applyNumberFormat="1"/>
    <xf borderId="1" fillId="20" fontId="1" numFmtId="171" xfId="0" applyAlignment="1" applyBorder="1" applyFont="1" applyNumberFormat="1">
      <alignment readingOrder="0"/>
    </xf>
    <xf borderId="1" fillId="20" fontId="1" numFmtId="172" xfId="0" applyAlignment="1" applyBorder="1" applyFont="1" applyNumberFormat="1">
      <alignment horizontal="right" readingOrder="0"/>
    </xf>
    <xf borderId="1" fillId="9" fontId="1" numFmtId="0" xfId="0" applyAlignment="1" applyBorder="1" applyFont="1">
      <alignment horizontal="center" readingOrder="0"/>
    </xf>
    <xf borderId="1" fillId="9" fontId="1" numFmtId="171" xfId="0" applyAlignment="1" applyBorder="1" applyFont="1" applyNumberFormat="1">
      <alignment readingOrder="0"/>
    </xf>
    <xf borderId="1" fillId="9" fontId="1" numFmtId="0" xfId="0" applyAlignment="1" applyBorder="1" applyFont="1">
      <alignment horizontal="right" readingOrder="0"/>
    </xf>
    <xf borderId="1" fillId="9" fontId="1" numFmtId="164" xfId="0" applyBorder="1" applyFont="1" applyNumberFormat="1"/>
    <xf borderId="1" fillId="9" fontId="1" numFmtId="172" xfId="0" applyAlignment="1" applyBorder="1" applyFont="1" applyNumberFormat="1">
      <alignment horizontal="right" readingOrder="0"/>
    </xf>
    <xf borderId="1" fillId="21" fontId="1" numFmtId="0" xfId="0" applyAlignment="1" applyBorder="1" applyFill="1" applyFont="1">
      <alignment horizontal="center" readingOrder="0"/>
    </xf>
    <xf borderId="1" fillId="21" fontId="1" numFmtId="171" xfId="0" applyAlignment="1" applyBorder="1" applyFont="1" applyNumberFormat="1">
      <alignment readingOrder="0"/>
    </xf>
    <xf borderId="1" fillId="21" fontId="1" numFmtId="0" xfId="0" applyAlignment="1" applyBorder="1" applyFont="1">
      <alignment readingOrder="0"/>
    </xf>
    <xf borderId="1" fillId="21" fontId="1" numFmtId="164" xfId="0" applyAlignment="1" applyBorder="1" applyFont="1" applyNumberFormat="1">
      <alignment readingOrder="0"/>
    </xf>
    <xf borderId="1" fillId="21" fontId="1" numFmtId="172" xfId="0" applyAlignment="1" applyBorder="1" applyFont="1" applyNumberFormat="1">
      <alignment horizontal="right" readingOrder="0"/>
    </xf>
    <xf borderId="1" fillId="9" fontId="18" numFmtId="0" xfId="0" applyAlignment="1" applyBorder="1" applyFont="1">
      <alignment horizontal="center" readingOrder="0"/>
    </xf>
    <xf borderId="1" fillId="9" fontId="18" numFmtId="171" xfId="0" applyAlignment="1" applyBorder="1" applyFont="1" applyNumberFormat="1">
      <alignment readingOrder="0"/>
    </xf>
    <xf borderId="1" fillId="9" fontId="18" numFmtId="0" xfId="0" applyAlignment="1" applyBorder="1" applyFont="1">
      <alignment readingOrder="0"/>
    </xf>
    <xf borderId="1" fillId="9" fontId="18" numFmtId="164" xfId="0" applyAlignment="1" applyBorder="1" applyFont="1" applyNumberFormat="1">
      <alignment readingOrder="0"/>
    </xf>
    <xf borderId="1" fillId="9" fontId="18" numFmtId="172" xfId="0" applyAlignment="1" applyBorder="1" applyFont="1" applyNumberFormat="1">
      <alignment horizontal="right" readingOrder="0"/>
    </xf>
    <xf borderId="1" fillId="9" fontId="18" numFmtId="164" xfId="0" applyBorder="1" applyFont="1" applyNumberFormat="1"/>
    <xf borderId="1" fillId="0" fontId="27" numFmtId="0" xfId="0" applyAlignment="1" applyBorder="1" applyFont="1">
      <alignment horizontal="center" readingOrder="0"/>
    </xf>
    <xf borderId="1" fillId="0" fontId="27" numFmtId="171" xfId="0" applyAlignment="1" applyBorder="1" applyFont="1" applyNumberFormat="1">
      <alignment readingOrder="0"/>
    </xf>
    <xf borderId="1" fillId="4" fontId="27" numFmtId="0" xfId="0" applyAlignment="1" applyBorder="1" applyFont="1">
      <alignment readingOrder="0"/>
    </xf>
    <xf borderId="1" fillId="4" fontId="27" numFmtId="164" xfId="0" applyAlignment="1" applyBorder="1" applyFont="1" applyNumberFormat="1">
      <alignment readingOrder="0"/>
    </xf>
    <xf borderId="1" fillId="0" fontId="27" numFmtId="172" xfId="0" applyAlignment="1" applyBorder="1" applyFont="1" applyNumberFormat="1">
      <alignment horizontal="right" readingOrder="0"/>
    </xf>
    <xf borderId="1" fillId="0" fontId="27" numFmtId="164" xfId="0" applyBorder="1" applyFont="1" applyNumberFormat="1"/>
    <xf borderId="1" fillId="4" fontId="10" numFmtId="0" xfId="0" applyBorder="1" applyFont="1"/>
    <xf borderId="1" fillId="4" fontId="4" numFmtId="0" xfId="0" applyBorder="1" applyFont="1"/>
    <xf borderId="0" fillId="14" fontId="1" numFmtId="0" xfId="0" applyAlignment="1" applyFont="1">
      <alignment readingOrder="0"/>
    </xf>
    <xf borderId="1" fillId="4" fontId="18" numFmtId="0" xfId="0" applyAlignment="1" applyBorder="1" applyFont="1">
      <alignment readingOrder="0"/>
    </xf>
    <xf borderId="1" fillId="8" fontId="18" numFmtId="0" xfId="0" applyAlignment="1" applyBorder="1" applyFont="1">
      <alignment horizontal="center" readingOrder="0"/>
    </xf>
    <xf borderId="1" fillId="8" fontId="18" numFmtId="171" xfId="0" applyAlignment="1" applyBorder="1" applyFont="1" applyNumberFormat="1">
      <alignment readingOrder="0"/>
    </xf>
    <xf borderId="1" fillId="8" fontId="18" numFmtId="0" xfId="0" applyAlignment="1" applyBorder="1" applyFont="1">
      <alignment readingOrder="0"/>
    </xf>
    <xf borderId="1" fillId="8" fontId="18" numFmtId="164" xfId="0" applyAlignment="1" applyBorder="1" applyFont="1" applyNumberFormat="1">
      <alignment readingOrder="0"/>
    </xf>
    <xf borderId="1" fillId="8" fontId="18" numFmtId="172" xfId="0" applyAlignment="1" applyBorder="1" applyFont="1" applyNumberFormat="1">
      <alignment horizontal="right" readingOrder="0"/>
    </xf>
    <xf borderId="1" fillId="8" fontId="18" numFmtId="164" xfId="0" applyBorder="1" applyFont="1" applyNumberFormat="1"/>
    <xf borderId="1" fillId="8" fontId="1" numFmtId="172" xfId="0" applyAlignment="1" applyBorder="1" applyFont="1" applyNumberFormat="1">
      <alignment horizontal="right" readingOrder="0"/>
    </xf>
    <xf borderId="1" fillId="4" fontId="1" numFmtId="167" xfId="0" applyAlignment="1" applyBorder="1" applyFont="1" applyNumberFormat="1">
      <alignment horizontal="right" readingOrder="0"/>
    </xf>
    <xf borderId="1" fillId="0" fontId="18" numFmtId="0" xfId="0" applyBorder="1" applyFont="1"/>
    <xf borderId="1" fillId="9" fontId="1" numFmtId="173" xfId="0" applyAlignment="1" applyBorder="1" applyFont="1" applyNumberFormat="1">
      <alignment readingOrder="0"/>
    </xf>
    <xf borderId="1" fillId="13" fontId="1" numFmtId="173" xfId="0" applyAlignment="1" applyBorder="1" applyFont="1" applyNumberFormat="1">
      <alignment readingOrder="0"/>
    </xf>
    <xf borderId="1" fillId="11" fontId="1" numFmtId="173" xfId="0" applyAlignment="1" applyBorder="1" applyFont="1" applyNumberFormat="1">
      <alignment readingOrder="0"/>
    </xf>
    <xf borderId="1" fillId="8" fontId="1" numFmtId="0" xfId="0" applyAlignment="1" applyBorder="1" applyFont="1">
      <alignment horizontal="right" readingOrder="0"/>
    </xf>
    <xf borderId="1" fillId="8" fontId="1" numFmtId="164" xfId="0" applyBorder="1" applyFont="1" applyNumberFormat="1"/>
    <xf borderId="1" fillId="8" fontId="1" numFmtId="173" xfId="0" applyAlignment="1" applyBorder="1" applyFont="1" applyNumberFormat="1">
      <alignment readingOrder="0"/>
    </xf>
    <xf borderId="0" fillId="4" fontId="23" numFmtId="164" xfId="0" applyAlignment="1" applyFont="1" applyNumberFormat="1">
      <alignment horizontal="left" readingOrder="0"/>
    </xf>
    <xf borderId="1" fillId="0" fontId="18" numFmtId="0" xfId="0" applyAlignment="1" applyBorder="1" applyFont="1">
      <alignment horizontal="center" readingOrder="0"/>
    </xf>
    <xf borderId="1" fillId="0" fontId="18" numFmtId="171" xfId="0" applyAlignment="1" applyBorder="1" applyFont="1" applyNumberFormat="1">
      <alignment readingOrder="0"/>
    </xf>
    <xf borderId="1" fillId="4" fontId="18" numFmtId="164" xfId="0" applyAlignment="1" applyBorder="1" applyFont="1" applyNumberFormat="1">
      <alignment readingOrder="0"/>
    </xf>
    <xf borderId="1" fillId="4" fontId="18" numFmtId="0" xfId="0" applyAlignment="1" applyBorder="1" applyFont="1">
      <alignment horizontal="right" readingOrder="0"/>
    </xf>
    <xf borderId="1" fillId="0" fontId="18" numFmtId="0" xfId="0" applyAlignment="1" applyBorder="1" applyFont="1">
      <alignment readingOrder="0"/>
    </xf>
    <xf borderId="0" fillId="0" fontId="23" numFmtId="164" xfId="0" applyAlignment="1" applyFont="1" applyNumberFormat="1">
      <alignment readingOrder="0"/>
    </xf>
    <xf borderId="0" fillId="0" fontId="27" numFmtId="0" xfId="0" applyAlignment="1" applyFont="1">
      <alignment readingOrder="0"/>
    </xf>
    <xf borderId="1" fillId="4" fontId="27" numFmtId="0" xfId="0" applyAlignment="1" applyBorder="1" applyFont="1">
      <alignment horizontal="right" readingOrder="0"/>
    </xf>
    <xf borderId="1" fillId="4" fontId="27" numFmtId="167" xfId="0" applyAlignment="1" applyBorder="1" applyFont="1" applyNumberFormat="1">
      <alignment horizontal="right" readingOrder="0"/>
    </xf>
    <xf borderId="0" fillId="0" fontId="27" numFmtId="0" xfId="0" applyFont="1"/>
    <xf borderId="1" fillId="2" fontId="1" numFmtId="0" xfId="0" applyAlignment="1" applyBorder="1" applyFont="1">
      <alignment horizontal="center" readingOrder="0"/>
    </xf>
    <xf borderId="1" fillId="2" fontId="1" numFmtId="171" xfId="0" applyAlignment="1" applyBorder="1" applyFont="1" applyNumberFormat="1">
      <alignment readingOrder="0"/>
    </xf>
    <xf borderId="1" fillId="2" fontId="27" numFmtId="0" xfId="0" applyAlignment="1" applyBorder="1" applyFont="1">
      <alignment horizontal="right" readingOrder="0"/>
    </xf>
    <xf borderId="1" fillId="2" fontId="1" numFmtId="167" xfId="0" applyAlignment="1" applyBorder="1" applyFont="1" applyNumberFormat="1">
      <alignment horizontal="right" readingOrder="0"/>
    </xf>
    <xf borderId="1" fillId="2" fontId="1" numFmtId="0" xfId="0" applyAlignment="1" applyBorder="1" applyFont="1">
      <alignment horizontal="right" readingOrder="0"/>
    </xf>
    <xf borderId="1" fillId="4" fontId="1" numFmtId="164" xfId="0" applyAlignment="1" applyBorder="1" applyFont="1" applyNumberFormat="1">
      <alignment horizontal="right" readingOrder="0"/>
    </xf>
    <xf borderId="0" fillId="0" fontId="28" numFmtId="4" xfId="0" applyFont="1" applyNumberFormat="1"/>
    <xf borderId="0" fillId="0" fontId="28" numFmtId="0" xfId="0" applyFont="1"/>
    <xf borderId="1" fillId="0" fontId="29" numFmtId="0" xfId="0" applyAlignment="1" applyBorder="1" applyFont="1">
      <alignment horizontal="center" readingOrder="0"/>
    </xf>
    <xf borderId="1" fillId="0" fontId="29" numFmtId="171" xfId="0" applyAlignment="1" applyBorder="1" applyFont="1" applyNumberFormat="1">
      <alignment readingOrder="0"/>
    </xf>
    <xf borderId="1" fillId="4" fontId="29" numFmtId="0" xfId="0" applyAlignment="1" applyBorder="1" applyFont="1">
      <alignment readingOrder="0"/>
    </xf>
    <xf borderId="1" fillId="4" fontId="29" numFmtId="164" xfId="0" applyAlignment="1" applyBorder="1" applyFont="1" applyNumberFormat="1">
      <alignment readingOrder="0"/>
    </xf>
    <xf borderId="1" fillId="6" fontId="1" numFmtId="0" xfId="0" applyAlignment="1" applyBorder="1" applyFont="1">
      <alignment horizontal="center" readingOrder="0"/>
    </xf>
    <xf borderId="1" fillId="6" fontId="1" numFmtId="171" xfId="0" applyAlignment="1" applyBorder="1" applyFont="1" applyNumberFormat="1">
      <alignment readingOrder="0"/>
    </xf>
    <xf borderId="1" fillId="6" fontId="1" numFmtId="0" xfId="0" applyAlignment="1" applyBorder="1" applyFont="1">
      <alignment readingOrder="0"/>
    </xf>
    <xf borderId="1" fillId="6" fontId="1" numFmtId="164" xfId="0" applyAlignment="1" applyBorder="1" applyFont="1" applyNumberFormat="1">
      <alignment readingOrder="0"/>
    </xf>
    <xf borderId="1" fillId="2" fontId="10" numFmtId="164" xfId="0" applyAlignment="1" applyBorder="1" applyFont="1" applyNumberFormat="1">
      <alignment readingOrder="0"/>
    </xf>
    <xf borderId="1" fillId="14" fontId="1" numFmtId="173" xfId="0" applyAlignment="1" applyBorder="1" applyFont="1" applyNumberFormat="1">
      <alignment readingOrder="0"/>
    </xf>
    <xf borderId="1" fillId="4" fontId="1" numFmtId="173" xfId="0" applyAlignment="1" applyBorder="1" applyFont="1" applyNumberFormat="1">
      <alignment readingOrder="0"/>
    </xf>
    <xf borderId="0" fillId="4" fontId="3" numFmtId="164" xfId="0" applyAlignment="1" applyFont="1" applyNumberFormat="1">
      <alignment readingOrder="0"/>
    </xf>
    <xf borderId="0" fillId="4" fontId="30" numFmtId="164" xfId="0" applyAlignment="1" applyFont="1" applyNumberFormat="1">
      <alignment readingOrder="0"/>
    </xf>
    <xf borderId="1" fillId="7" fontId="1" numFmtId="0" xfId="0" applyAlignment="1" applyBorder="1" applyFont="1">
      <alignment readingOrder="0"/>
    </xf>
    <xf borderId="1" fillId="7" fontId="1" numFmtId="173" xfId="0" applyAlignment="1" applyBorder="1" applyFont="1" applyNumberFormat="1">
      <alignment readingOrder="0"/>
    </xf>
    <xf borderId="1" fillId="7" fontId="1" numFmtId="0" xfId="0" applyBorder="1" applyFont="1"/>
    <xf borderId="1" fillId="4" fontId="10" numFmtId="164" xfId="0" applyAlignment="1" applyBorder="1" applyFont="1" applyNumberFormat="1">
      <alignment readingOrder="0"/>
    </xf>
    <xf borderId="1" fillId="12" fontId="1" numFmtId="173" xfId="0" applyAlignment="1" applyBorder="1" applyFont="1" applyNumberFormat="1">
      <alignment readingOrder="0"/>
    </xf>
    <xf borderId="1" fillId="14" fontId="10" numFmtId="0" xfId="0" applyAlignment="1" applyBorder="1" applyFont="1">
      <alignment readingOrder="0"/>
    </xf>
    <xf borderId="1" fillId="14" fontId="10" numFmtId="0" xfId="0" applyBorder="1" applyFont="1"/>
    <xf borderId="0" fillId="0" fontId="31" numFmtId="164" xfId="0" applyAlignment="1" applyFont="1" applyNumberFormat="1">
      <alignment readingOrder="0"/>
    </xf>
    <xf borderId="0" fillId="0" fontId="1" numFmtId="174" xfId="0" applyAlignment="1" applyFont="1" applyNumberFormat="1">
      <alignment readingOrder="0"/>
    </xf>
    <xf borderId="1" fillId="4" fontId="10" numFmtId="0" xfId="0" applyAlignment="1" applyBorder="1" applyFont="1">
      <alignment readingOrder="0"/>
    </xf>
    <xf borderId="1" fillId="14" fontId="14" numFmtId="164" xfId="0" applyAlignment="1" applyBorder="1" applyFont="1" applyNumberFormat="1">
      <alignment readingOrder="0"/>
    </xf>
    <xf borderId="0" fillId="0" fontId="15" numFmtId="164" xfId="0" applyFont="1" applyNumberFormat="1"/>
    <xf borderId="0" fillId="0" fontId="32" numFmtId="0" xfId="0" applyAlignment="1" applyFont="1">
      <alignment readingOrder="0"/>
    </xf>
    <xf borderId="1" fillId="0" fontId="33" numFmtId="0" xfId="0" applyAlignment="1" applyBorder="1" applyFont="1">
      <alignment horizontal="center" readingOrder="0"/>
    </xf>
    <xf borderId="1" fillId="0" fontId="33" numFmtId="171" xfId="0" applyAlignment="1" applyBorder="1" applyFont="1" applyNumberFormat="1">
      <alignment readingOrder="0"/>
    </xf>
    <xf borderId="1" fillId="4" fontId="33" numFmtId="0" xfId="0" applyAlignment="1" applyBorder="1" applyFont="1">
      <alignment readingOrder="0"/>
    </xf>
    <xf borderId="1" fillId="4" fontId="33" numFmtId="164" xfId="0" applyAlignment="1" applyBorder="1" applyFont="1" applyNumberFormat="1">
      <alignment readingOrder="0"/>
    </xf>
    <xf borderId="1" fillId="4" fontId="33" numFmtId="0" xfId="0" applyAlignment="1" applyBorder="1" applyFont="1">
      <alignment horizontal="right" readingOrder="0"/>
    </xf>
    <xf borderId="1" fillId="8" fontId="18" numFmtId="173" xfId="0" applyAlignment="1" applyBorder="1" applyFont="1" applyNumberFormat="1">
      <alignment readingOrder="0"/>
    </xf>
    <xf borderId="1" fillId="0" fontId="4" numFmtId="173" xfId="0" applyBorder="1" applyFont="1" applyNumberFormat="1"/>
    <xf borderId="1" fillId="9" fontId="27" numFmtId="0" xfId="0" applyAlignment="1" applyBorder="1" applyFont="1">
      <alignment readingOrder="0"/>
    </xf>
    <xf borderId="1" fillId="9" fontId="27" numFmtId="173" xfId="0" applyAlignment="1" applyBorder="1" applyFont="1" applyNumberFormat="1">
      <alignment readingOrder="0"/>
    </xf>
    <xf borderId="1" fillId="22" fontId="1" numFmtId="0" xfId="0" applyAlignment="1" applyBorder="1" applyFill="1" applyFont="1">
      <alignment readingOrder="0"/>
    </xf>
    <xf borderId="1" fillId="22" fontId="1" numFmtId="173" xfId="0" applyAlignment="1" applyBorder="1" applyFont="1" applyNumberFormat="1">
      <alignment readingOrder="0"/>
    </xf>
    <xf borderId="1" fillId="22" fontId="1" numFmtId="0" xfId="0" applyBorder="1" applyFont="1"/>
    <xf borderId="1" fillId="4" fontId="18" numFmtId="173" xfId="0" applyAlignment="1" applyBorder="1" applyFont="1" applyNumberFormat="1">
      <alignment readingOrder="0"/>
    </xf>
    <xf borderId="0" fillId="4" fontId="18" numFmtId="164" xfId="0" applyAlignment="1" applyFont="1" applyNumberFormat="1">
      <alignment readingOrder="0"/>
    </xf>
    <xf borderId="0" fillId="4" fontId="1" numFmtId="10" xfId="0" applyFont="1" applyNumberFormat="1"/>
    <xf borderId="1" fillId="11" fontId="18" numFmtId="0" xfId="0" applyAlignment="1" applyBorder="1" applyFont="1">
      <alignment readingOrder="0"/>
    </xf>
    <xf borderId="1" fillId="11" fontId="18" numFmtId="173" xfId="0" applyAlignment="1" applyBorder="1" applyFont="1" applyNumberFormat="1">
      <alignment readingOrder="0"/>
    </xf>
    <xf borderId="1" fillId="11" fontId="34" numFmtId="0" xfId="0" applyBorder="1" applyFont="1"/>
    <xf borderId="1" fillId="9" fontId="18" numFmtId="173" xfId="0" applyAlignment="1" applyBorder="1" applyFont="1" applyNumberFormat="1">
      <alignment readingOrder="0"/>
    </xf>
    <xf borderId="1" fillId="9" fontId="34" numFmtId="0" xfId="0" applyBorder="1" applyFont="1"/>
    <xf borderId="1" fillId="22" fontId="18" numFmtId="0" xfId="0" applyAlignment="1" applyBorder="1" applyFont="1">
      <alignment readingOrder="0"/>
    </xf>
    <xf borderId="1" fillId="22" fontId="18" numFmtId="173" xfId="0" applyAlignment="1" applyBorder="1" applyFont="1" applyNumberFormat="1">
      <alignment readingOrder="0"/>
    </xf>
    <xf borderId="1" fillId="22" fontId="34" numFmtId="0" xfId="0" applyBorder="1" applyFont="1"/>
    <xf borderId="1" fillId="23" fontId="1" numFmtId="0" xfId="0" applyAlignment="1" applyBorder="1" applyFill="1" applyFont="1">
      <alignment readingOrder="0"/>
    </xf>
    <xf borderId="1" fillId="23" fontId="1" numFmtId="173" xfId="0" applyAlignment="1" applyBorder="1" applyFont="1" applyNumberFormat="1">
      <alignment readingOrder="0"/>
    </xf>
    <xf borderId="1" fillId="23" fontId="1" numFmtId="0" xfId="0" applyBorder="1" applyFont="1"/>
    <xf borderId="1" fillId="20" fontId="1" numFmtId="173" xfId="0" applyAlignment="1" applyBorder="1" applyFont="1" applyNumberFormat="1">
      <alignment readingOrder="0"/>
    </xf>
    <xf borderId="1" fillId="20" fontId="1" numFmtId="0" xfId="0" applyBorder="1" applyFont="1"/>
    <xf borderId="1" fillId="9" fontId="33" numFmtId="0" xfId="0" applyAlignment="1" applyBorder="1" applyFont="1">
      <alignment horizontal="center" readingOrder="0"/>
    </xf>
    <xf borderId="1" fillId="9" fontId="33" numFmtId="171" xfId="0" applyAlignment="1" applyBorder="1" applyFont="1" applyNumberFormat="1">
      <alignment readingOrder="0"/>
    </xf>
    <xf borderId="1" fillId="9" fontId="33" numFmtId="0" xfId="0" applyAlignment="1" applyBorder="1" applyFont="1">
      <alignment readingOrder="0"/>
    </xf>
    <xf borderId="1" fillId="9" fontId="33" numFmtId="164" xfId="0" applyAlignment="1" applyBorder="1" applyFont="1" applyNumberFormat="1">
      <alignment readingOrder="0"/>
    </xf>
    <xf borderId="1" fillId="9" fontId="33" numFmtId="172" xfId="0" applyAlignment="1" applyBorder="1" applyFont="1" applyNumberFormat="1">
      <alignment horizontal="right" readingOrder="0"/>
    </xf>
    <xf borderId="1" fillId="9" fontId="33" numFmtId="164" xfId="0" applyBorder="1" applyFont="1" applyNumberFormat="1"/>
    <xf borderId="1" fillId="9" fontId="27" numFmtId="0" xfId="0" applyAlignment="1" applyBorder="1" applyFont="1">
      <alignment horizontal="center" readingOrder="0"/>
    </xf>
    <xf borderId="1" fillId="9" fontId="27" numFmtId="171" xfId="0" applyAlignment="1" applyBorder="1" applyFont="1" applyNumberFormat="1">
      <alignment readingOrder="0"/>
    </xf>
    <xf borderId="1" fillId="9" fontId="27" numFmtId="164" xfId="0" applyAlignment="1" applyBorder="1" applyFont="1" applyNumberFormat="1">
      <alignment readingOrder="0"/>
    </xf>
    <xf borderId="0" fillId="4" fontId="1" numFmtId="2" xfId="0" applyFont="1" applyNumberFormat="1"/>
    <xf borderId="0" fillId="4" fontId="18" numFmtId="4" xfId="0" applyFont="1" applyNumberFormat="1"/>
    <xf borderId="1" fillId="8" fontId="27" numFmtId="0" xfId="0" applyBorder="1" applyFont="1"/>
    <xf borderId="1" fillId="24" fontId="1" numFmtId="0" xfId="0" applyAlignment="1" applyBorder="1" applyFill="1" applyFont="1">
      <alignment readingOrder="0"/>
    </xf>
    <xf borderId="1" fillId="24" fontId="1" numFmtId="173" xfId="0" applyAlignment="1" applyBorder="1" applyFont="1" applyNumberFormat="1">
      <alignment readingOrder="0"/>
    </xf>
    <xf borderId="1" fillId="24" fontId="1" numFmtId="0" xfId="0" applyBorder="1" applyFont="1"/>
    <xf borderId="1" fillId="4" fontId="4" numFmtId="164" xfId="0" applyAlignment="1" applyBorder="1" applyFont="1" applyNumberFormat="1">
      <alignment readingOrder="0"/>
    </xf>
    <xf borderId="1" fillId="0" fontId="1" numFmtId="173" xfId="0" applyAlignment="1" applyBorder="1" applyFont="1" applyNumberFormat="1">
      <alignment readingOrder="0"/>
    </xf>
    <xf borderId="1" fillId="25" fontId="1" numFmtId="0" xfId="0" applyAlignment="1" applyBorder="1" applyFill="1" applyFont="1">
      <alignment readingOrder="0"/>
    </xf>
    <xf borderId="1" fillId="25" fontId="1" numFmtId="173" xfId="0" applyAlignment="1" applyBorder="1" applyFont="1" applyNumberFormat="1">
      <alignment readingOrder="0"/>
    </xf>
    <xf borderId="1" fillId="25" fontId="1" numFmtId="0" xfId="0" applyBorder="1" applyFont="1"/>
    <xf borderId="1" fillId="0" fontId="18" numFmtId="164" xfId="0" applyAlignment="1" applyBorder="1" applyFont="1" applyNumberFormat="1">
      <alignment readingOrder="0"/>
    </xf>
    <xf borderId="14" fillId="24" fontId="16" numFmtId="164" xfId="0" applyAlignment="1" applyBorder="1" applyFont="1" applyNumberFormat="1">
      <alignment horizontal="center" readingOrder="0"/>
    </xf>
    <xf borderId="14" fillId="26" fontId="16" numFmtId="0" xfId="0" applyAlignment="1" applyBorder="1" applyFill="1" applyFont="1">
      <alignment horizontal="center" readingOrder="0"/>
    </xf>
    <xf borderId="14" fillId="2" fontId="16" numFmtId="0" xfId="0" applyAlignment="1" applyBorder="1" applyFont="1">
      <alignment horizontal="center" readingOrder="0"/>
    </xf>
    <xf borderId="13" fillId="24" fontId="18" numFmtId="164" xfId="0" applyAlignment="1" applyBorder="1" applyFont="1" applyNumberFormat="1">
      <alignment horizontal="center" readingOrder="0"/>
    </xf>
    <xf borderId="13" fillId="26" fontId="18" numFmtId="164" xfId="0" applyAlignment="1" applyBorder="1" applyFont="1" applyNumberFormat="1">
      <alignment horizontal="center" readingOrder="0"/>
    </xf>
    <xf borderId="13" fillId="2" fontId="18" numFmtId="164" xfId="0" applyAlignment="1" applyBorder="1" applyFont="1" applyNumberFormat="1">
      <alignment horizontal="center" readingOrder="0"/>
    </xf>
    <xf borderId="1" fillId="24" fontId="18" numFmtId="164" xfId="0" applyAlignment="1" applyBorder="1" applyFont="1" applyNumberFormat="1">
      <alignment horizontal="center" readingOrder="0"/>
    </xf>
    <xf borderId="1" fillId="26" fontId="18" numFmtId="164" xfId="0" applyAlignment="1" applyBorder="1" applyFont="1" applyNumberFormat="1">
      <alignment horizontal="center" readingOrder="0"/>
    </xf>
    <xf borderId="1" fillId="2" fontId="18" numFmtId="164" xfId="0" applyAlignment="1" applyBorder="1" applyFont="1" applyNumberFormat="1">
      <alignment horizontal="center" readingOrder="0"/>
    </xf>
    <xf borderId="1" fillId="2" fontId="35" numFmtId="0" xfId="0" applyAlignment="1" applyBorder="1" applyFont="1">
      <alignment readingOrder="0"/>
    </xf>
    <xf borderId="1" fillId="24" fontId="35" numFmtId="10" xfId="0" applyAlignment="1" applyBorder="1" applyFont="1" applyNumberFormat="1">
      <alignment horizontal="center"/>
    </xf>
    <xf borderId="1" fillId="26" fontId="35" numFmtId="10" xfId="0" applyAlignment="1" applyBorder="1" applyFont="1" applyNumberFormat="1">
      <alignment horizontal="center"/>
    </xf>
    <xf borderId="1" fillId="2" fontId="35" numFmtId="10" xfId="0" applyAlignment="1" applyBorder="1" applyFont="1" applyNumberFormat="1">
      <alignment horizontal="center"/>
    </xf>
    <xf borderId="15" fillId="0" fontId="1" numFmtId="0" xfId="0" applyAlignment="1" applyBorder="1" applyFont="1">
      <alignment readingOrder="0"/>
    </xf>
    <xf borderId="0" fillId="0" fontId="4" numFmtId="164" xfId="0" applyFont="1" applyNumberFormat="1"/>
    <xf borderId="16" fillId="0" fontId="4" numFmtId="0" xfId="0" applyAlignment="1" applyBorder="1" applyFont="1">
      <alignment readingOrder="0"/>
    </xf>
    <xf borderId="16" fillId="0" fontId="4" numFmtId="0" xfId="0" applyAlignment="1" applyBorder="1" applyFont="1">
      <alignment horizontal="center" readingOrder="0"/>
    </xf>
    <xf borderId="16" fillId="0" fontId="5" numFmtId="0" xfId="0" applyAlignment="1" applyBorder="1" applyFont="1">
      <alignment readingOrder="0"/>
    </xf>
    <xf borderId="16" fillId="0" fontId="5" numFmtId="0" xfId="0" applyAlignment="1" applyBorder="1" applyFont="1">
      <alignment horizontal="center" readingOrder="0"/>
    </xf>
    <xf borderId="13" fillId="3" fontId="4" numFmtId="0" xfId="0" applyAlignment="1" applyBorder="1" applyFont="1">
      <alignment horizontal="center" readingOrder="0" shrinkToFit="0" vertical="center" wrapText="1"/>
    </xf>
    <xf borderId="13" fillId="3" fontId="4" numFmtId="164" xfId="0" applyAlignment="1" applyBorder="1" applyFont="1" applyNumberFormat="1">
      <alignment horizontal="center" readingOrder="0" shrinkToFit="0" vertical="center" wrapText="1"/>
    </xf>
    <xf borderId="5" fillId="3" fontId="4" numFmtId="0" xfId="0" applyAlignment="1" applyBorder="1" applyFont="1">
      <alignment horizontal="center" readingOrder="0" shrinkToFit="0" vertical="center" wrapText="1"/>
    </xf>
    <xf borderId="17" fillId="0" fontId="16" numFmtId="0" xfId="0" applyAlignment="1" applyBorder="1" applyFont="1">
      <alignment horizontal="center" readingOrder="0" shrinkToFit="0" vertical="center" wrapText="1"/>
    </xf>
    <xf borderId="1" fillId="9" fontId="33" numFmtId="0" xfId="0" applyAlignment="1" applyBorder="1" applyFont="1">
      <alignment horizontal="right" readingOrder="0"/>
    </xf>
    <xf borderId="1" fillId="27" fontId="1" numFmtId="0" xfId="0" applyAlignment="1" applyBorder="1" applyFill="1" applyFont="1">
      <alignment horizontal="center" readingOrder="0"/>
    </xf>
    <xf borderId="1" fillId="27" fontId="1" numFmtId="171" xfId="0" applyAlignment="1" applyBorder="1" applyFont="1" applyNumberFormat="1">
      <alignment readingOrder="0"/>
    </xf>
    <xf borderId="1" fillId="27" fontId="1" numFmtId="0" xfId="0" applyAlignment="1" applyBorder="1" applyFont="1">
      <alignment readingOrder="0"/>
    </xf>
    <xf borderId="1" fillId="27" fontId="1" numFmtId="4" xfId="0" applyAlignment="1" applyBorder="1" applyFont="1" applyNumberFormat="1">
      <alignment readingOrder="0"/>
    </xf>
    <xf borderId="1" fillId="27" fontId="1" numFmtId="164" xfId="0" applyAlignment="1" applyBorder="1" applyFont="1" applyNumberFormat="1">
      <alignment horizontal="right" readingOrder="0"/>
    </xf>
    <xf borderId="1" fillId="27" fontId="1" numFmtId="0" xfId="0" applyAlignment="1" applyBorder="1" applyFont="1">
      <alignment horizontal="right" readingOrder="0"/>
    </xf>
    <xf borderId="1" fillId="27" fontId="1" numFmtId="0" xfId="0" applyBorder="1" applyFont="1"/>
    <xf borderId="10" fillId="27" fontId="1" numFmtId="0" xfId="0" applyAlignment="1" applyBorder="1" applyFont="1">
      <alignment readingOrder="0"/>
    </xf>
    <xf borderId="18" fillId="0" fontId="16" numFmtId="3" xfId="0" applyAlignment="1" applyBorder="1" applyFont="1" applyNumberFormat="1">
      <alignment horizontal="center" readingOrder="0"/>
    </xf>
    <xf borderId="10" fillId="27" fontId="1" numFmtId="0" xfId="0" applyBorder="1" applyFont="1"/>
    <xf borderId="1" fillId="27" fontId="1" numFmtId="172" xfId="0" applyAlignment="1" applyBorder="1" applyFont="1" applyNumberFormat="1">
      <alignment horizontal="right" readingOrder="0"/>
    </xf>
    <xf borderId="19" fillId="0" fontId="16" numFmtId="3" xfId="0" applyAlignment="1" applyBorder="1" applyFont="1" applyNumberFormat="1">
      <alignment horizontal="center" readingOrder="0"/>
    </xf>
    <xf borderId="1" fillId="0" fontId="33" numFmtId="0" xfId="0" applyAlignment="1" applyBorder="1" applyFont="1">
      <alignment readingOrder="0"/>
    </xf>
    <xf borderId="1" fillId="0" fontId="33" numFmtId="164" xfId="0" applyAlignment="1" applyBorder="1" applyFont="1" applyNumberFormat="1">
      <alignment readingOrder="0"/>
    </xf>
    <xf borderId="1" fillId="0" fontId="33" numFmtId="0" xfId="0" applyAlignment="1" applyBorder="1" applyFont="1">
      <alignment horizontal="right" readingOrder="0"/>
    </xf>
    <xf borderId="1" fillId="0" fontId="33" numFmtId="164" xfId="0" applyBorder="1" applyFont="1" applyNumberForma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1" fillId="14" fontId="1" numFmtId="164" xfId="0" applyBorder="1" applyFont="1" applyNumberFormat="1"/>
    <xf borderId="0" fillId="0" fontId="33" numFmtId="0" xfId="0" applyFont="1"/>
    <xf borderId="1" fillId="27" fontId="33" numFmtId="0" xfId="0" applyAlignment="1" applyBorder="1" applyFont="1">
      <alignment horizontal="center" readingOrder="0"/>
    </xf>
    <xf borderId="1" fillId="27" fontId="33" numFmtId="171" xfId="0" applyAlignment="1" applyBorder="1" applyFont="1" applyNumberFormat="1">
      <alignment readingOrder="0"/>
    </xf>
    <xf borderId="1" fillId="27" fontId="33" numFmtId="0" xfId="0" applyAlignment="1" applyBorder="1" applyFont="1">
      <alignment readingOrder="0"/>
    </xf>
    <xf borderId="1" fillId="27" fontId="33" numFmtId="4" xfId="0" applyAlignment="1" applyBorder="1" applyFont="1" applyNumberFormat="1">
      <alignment readingOrder="0"/>
    </xf>
    <xf borderId="1" fillId="27" fontId="33" numFmtId="164" xfId="0" applyAlignment="1" applyBorder="1" applyFont="1" applyNumberFormat="1">
      <alignment horizontal="right" readingOrder="0"/>
    </xf>
    <xf borderId="1" fillId="27" fontId="33" numFmtId="0" xfId="0" applyAlignment="1" applyBorder="1" applyFont="1">
      <alignment horizontal="right" readingOrder="0"/>
    </xf>
    <xf borderId="1" fillId="27" fontId="33" numFmtId="167" xfId="0" applyAlignment="1" applyBorder="1" applyFont="1" applyNumberFormat="1">
      <alignment readingOrder="0"/>
    </xf>
    <xf borderId="0" fillId="4" fontId="33" numFmtId="0" xfId="0" applyFont="1"/>
    <xf borderId="0" fillId="0" fontId="36" numFmtId="0" xfId="0" applyFont="1"/>
    <xf borderId="0" fillId="0" fontId="33" numFmtId="0" xfId="0" applyAlignment="1" applyFont="1">
      <alignment horizontal="left"/>
    </xf>
    <xf borderId="1" fillId="27" fontId="37" numFmtId="0" xfId="0" applyAlignment="1" applyBorder="1" applyFont="1">
      <alignment horizontal="center" readingOrder="0"/>
    </xf>
    <xf borderId="1" fillId="27" fontId="37" numFmtId="171" xfId="0" applyAlignment="1" applyBorder="1" applyFont="1" applyNumberFormat="1">
      <alignment readingOrder="0"/>
    </xf>
    <xf borderId="1" fillId="27" fontId="37" numFmtId="0" xfId="0" applyAlignment="1" applyBorder="1" applyFont="1">
      <alignment readingOrder="0"/>
    </xf>
    <xf borderId="1" fillId="27" fontId="37" numFmtId="4" xfId="0" applyAlignment="1" applyBorder="1" applyFont="1" applyNumberFormat="1">
      <alignment readingOrder="0"/>
    </xf>
    <xf borderId="1" fillId="27" fontId="37" numFmtId="164" xfId="0" applyAlignment="1" applyBorder="1" applyFont="1" applyNumberFormat="1">
      <alignment horizontal="right" readingOrder="0"/>
    </xf>
    <xf borderId="1" fillId="27" fontId="37" numFmtId="0" xfId="0" applyAlignment="1" applyBorder="1" applyFont="1">
      <alignment horizontal="right" readingOrder="0"/>
    </xf>
    <xf borderId="1" fillId="27" fontId="37" numFmtId="164" xfId="0" applyBorder="1" applyFont="1" applyNumberFormat="1"/>
    <xf borderId="1" fillId="27" fontId="37" numFmtId="167" xfId="0" applyAlignment="1" applyBorder="1" applyFont="1" applyNumberFormat="1">
      <alignment readingOrder="0"/>
    </xf>
    <xf borderId="1" fillId="27" fontId="1" numFmtId="0" xfId="0" applyAlignment="1" applyBorder="1" applyFont="1">
      <alignment horizontal="center" readingOrder="0"/>
    </xf>
    <xf borderId="1" fillId="4" fontId="33" numFmtId="167" xfId="0" applyAlignment="1" applyBorder="1" applyFont="1" applyNumberFormat="1">
      <alignment horizontal="right" readingOrder="0"/>
    </xf>
    <xf borderId="0" fillId="0" fontId="1" numFmtId="172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20" fillId="3" fontId="4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10" fillId="3" fontId="4" numFmtId="0" xfId="0" applyAlignment="1" applyBorder="1" applyFont="1">
      <alignment horizontal="center" readingOrder="0" shrinkToFit="0" vertical="center" wrapText="1"/>
    </xf>
    <xf borderId="21" fillId="3" fontId="4" numFmtId="0" xfId="0" applyAlignment="1" applyBorder="1" applyFont="1">
      <alignment horizontal="center" readingOrder="0" shrinkToFit="0" vertical="center" wrapText="1"/>
    </xf>
    <xf borderId="22" fillId="3" fontId="4" numFmtId="0" xfId="0" applyAlignment="1" applyBorder="1" applyFont="1">
      <alignment horizontal="center" readingOrder="0" shrinkToFit="0" vertical="center" wrapText="1"/>
    </xf>
    <xf borderId="10" fillId="27" fontId="33" numFmtId="164" xfId="0" applyAlignment="1" applyBorder="1" applyFont="1" applyNumberFormat="1">
      <alignment horizontal="right" readingOrder="0"/>
    </xf>
    <xf borderId="20" fillId="27" fontId="33" numFmtId="0" xfId="0" applyAlignment="1" applyBorder="1" applyFont="1">
      <alignment horizontal="right" readingOrder="0"/>
    </xf>
    <xf borderId="10" fillId="27" fontId="33" numFmtId="167" xfId="0" applyAlignment="1" applyBorder="1" applyFont="1" applyNumberFormat="1">
      <alignment readingOrder="0"/>
    </xf>
    <xf borderId="23" fillId="27" fontId="33" numFmtId="0" xfId="0" applyAlignment="1" applyBorder="1" applyFont="1">
      <alignment horizontal="right" readingOrder="0"/>
    </xf>
    <xf borderId="20" fillId="27" fontId="1" numFmtId="0" xfId="0" applyBorder="1" applyFont="1"/>
    <xf borderId="1" fillId="27" fontId="38" numFmtId="0" xfId="0" applyAlignment="1" applyBorder="1" applyFont="1">
      <alignment horizontal="center" readingOrder="0"/>
    </xf>
    <xf borderId="1" fillId="27" fontId="38" numFmtId="171" xfId="0" applyAlignment="1" applyBorder="1" applyFont="1" applyNumberFormat="1">
      <alignment readingOrder="0"/>
    </xf>
    <xf borderId="1" fillId="27" fontId="38" numFmtId="0" xfId="0" applyAlignment="1" applyBorder="1" applyFont="1">
      <alignment readingOrder="0"/>
    </xf>
    <xf borderId="1" fillId="27" fontId="38" numFmtId="4" xfId="0" applyAlignment="1" applyBorder="1" applyFont="1" applyNumberFormat="1">
      <alignment readingOrder="0"/>
    </xf>
    <xf borderId="1" fillId="27" fontId="38" numFmtId="164" xfId="0" applyAlignment="1" applyBorder="1" applyFont="1" applyNumberFormat="1">
      <alignment horizontal="right" readingOrder="0"/>
    </xf>
    <xf borderId="10" fillId="27" fontId="38" numFmtId="164" xfId="0" applyAlignment="1" applyBorder="1" applyFont="1" applyNumberFormat="1">
      <alignment horizontal="right" readingOrder="0"/>
    </xf>
    <xf borderId="20" fillId="27" fontId="38" numFmtId="0" xfId="0" applyAlignment="1" applyBorder="1" applyFont="1">
      <alignment horizontal="right" readingOrder="0"/>
    </xf>
    <xf borderId="10" fillId="27" fontId="38" numFmtId="0" xfId="0" applyAlignment="1" applyBorder="1" applyFont="1">
      <alignment readingOrder="0"/>
    </xf>
    <xf borderId="23" fillId="27" fontId="38" numFmtId="0" xfId="0" applyAlignment="1" applyBorder="1" applyFont="1">
      <alignment horizontal="right" readingOrder="0"/>
    </xf>
    <xf borderId="20" fillId="27" fontId="38" numFmtId="0" xfId="0" applyAlignment="1" applyBorder="1" applyFont="1">
      <alignment readingOrder="0"/>
    </xf>
    <xf borderId="1" fillId="27" fontId="38" numFmtId="164" xfId="0" applyBorder="1" applyFont="1" applyNumberFormat="1"/>
    <xf borderId="10" fillId="27" fontId="38" numFmtId="167" xfId="0" applyAlignment="1" applyBorder="1" applyFont="1" applyNumberFormat="1">
      <alignment readingOrder="0"/>
    </xf>
    <xf borderId="20" fillId="27" fontId="18" numFmtId="0" xfId="0" applyBorder="1" applyFont="1"/>
    <xf borderId="1" fillId="27" fontId="18" numFmtId="0" xfId="0" applyBorder="1" applyFont="1"/>
    <xf borderId="10" fillId="27" fontId="18" numFmtId="0" xfId="0" applyBorder="1" applyFont="1"/>
    <xf borderId="10" fillId="27" fontId="33" numFmtId="0" xfId="0" applyAlignment="1" applyBorder="1" applyFont="1">
      <alignment readingOrder="0"/>
    </xf>
    <xf borderId="23" fillId="27" fontId="1" numFmtId="0" xfId="0" applyAlignment="1" applyBorder="1" applyFont="1">
      <alignment horizontal="right" readingOrder="0"/>
    </xf>
    <xf borderId="20" fillId="27" fontId="1" numFmtId="0" xfId="0" applyAlignment="1" applyBorder="1" applyFont="1">
      <alignment readingOrder="0"/>
    </xf>
    <xf borderId="1" fillId="27" fontId="1" numFmtId="164" xfId="0" applyBorder="1" applyFont="1" applyNumberFormat="1"/>
    <xf borderId="10" fillId="27" fontId="1" numFmtId="167" xfId="0" applyAlignment="1" applyBorder="1" applyFont="1" applyNumberFormat="1">
      <alignment readingOrder="0"/>
    </xf>
    <xf borderId="10" fillId="27" fontId="1" numFmtId="164" xfId="0" applyAlignment="1" applyBorder="1" applyFont="1" applyNumberFormat="1">
      <alignment horizontal="right" readingOrder="0"/>
    </xf>
    <xf borderId="20" fillId="27" fontId="1" numFmtId="0" xfId="0" applyAlignment="1" applyBorder="1" applyFont="1">
      <alignment horizontal="right" readingOrder="0"/>
    </xf>
    <xf borderId="10" fillId="27" fontId="1" numFmtId="167" xfId="0" applyAlignment="1" applyBorder="1" applyFont="1" applyNumberFormat="1">
      <alignment horizontal="right" readingOrder="0"/>
    </xf>
    <xf borderId="23" fillId="27" fontId="1" numFmtId="0" xfId="0" applyAlignment="1" applyBorder="1" applyFont="1">
      <alignment readingOrder="0"/>
    </xf>
    <xf borderId="20" fillId="27" fontId="1" numFmtId="172" xfId="0" applyAlignment="1" applyBorder="1" applyFont="1" applyNumberFormat="1">
      <alignment horizontal="right" readingOrder="0"/>
    </xf>
    <xf borderId="10" fillId="27" fontId="1" numFmtId="0" xfId="0" applyAlignment="1" applyBorder="1" applyFont="1">
      <alignment horizontal="right" readingOrder="0"/>
    </xf>
    <xf borderId="1" fillId="0" fontId="4" numFmtId="171" xfId="0" applyAlignment="1" applyBorder="1" applyFont="1" applyNumberFormat="1">
      <alignment readingOrder="0"/>
    </xf>
    <xf borderId="1" fillId="4" fontId="4" numFmtId="0" xfId="0" applyAlignment="1" applyBorder="1" applyFont="1">
      <alignment readingOrder="0"/>
    </xf>
    <xf borderId="1" fillId="4" fontId="4" numFmtId="0" xfId="0" applyAlignment="1" applyBorder="1" applyFont="1">
      <alignment horizontal="right" readingOrder="0"/>
    </xf>
    <xf borderId="0" fillId="4" fontId="1" numFmtId="0" xfId="0" applyAlignment="1" applyFont="1">
      <alignment readingOrder="0"/>
    </xf>
    <xf borderId="0" fillId="4" fontId="17" numFmtId="175" xfId="0" applyAlignment="1" applyFont="1" applyNumberFormat="1">
      <alignment readingOrder="0"/>
    </xf>
    <xf borderId="1" fillId="10" fontId="1" numFmtId="173" xfId="0" applyAlignment="1" applyBorder="1" applyFont="1" applyNumberFormat="1">
      <alignment readingOrder="0"/>
    </xf>
    <xf borderId="1" fillId="9" fontId="39" numFmtId="164" xfId="0" applyAlignment="1" applyBorder="1" applyFont="1" applyNumberFormat="1">
      <alignment readingOrder="0"/>
    </xf>
    <xf borderId="1" fillId="9" fontId="39" numFmtId="0" xfId="0" applyAlignment="1" applyBorder="1" applyFont="1">
      <alignment readingOrder="0"/>
    </xf>
    <xf borderId="10" fillId="27" fontId="33" numFmtId="167" xfId="0" applyAlignment="1" applyBorder="1" applyFont="1" applyNumberFormat="1">
      <alignment horizontal="right" readingOrder="0"/>
    </xf>
    <xf borderId="23" fillId="10" fontId="33" numFmtId="0" xfId="0" applyAlignment="1" applyBorder="1" applyFont="1">
      <alignment readingOrder="0"/>
    </xf>
    <xf borderId="20" fillId="10" fontId="33" numFmtId="0" xfId="0" applyAlignment="1" applyBorder="1" applyFont="1">
      <alignment readingOrder="0"/>
    </xf>
    <xf borderId="1" fillId="10" fontId="33" numFmtId="164" xfId="0" applyBorder="1" applyFont="1" applyNumberFormat="1"/>
    <xf borderId="10" fillId="10" fontId="33" numFmtId="167" xfId="0" applyAlignment="1" applyBorder="1" applyFont="1" applyNumberFormat="1">
      <alignment readingOrder="0"/>
    </xf>
    <xf borderId="20" fillId="9" fontId="1" numFmtId="0" xfId="0" applyAlignment="1" applyBorder="1" applyFont="1">
      <alignment horizontal="right" readingOrder="0"/>
    </xf>
    <xf borderId="1" fillId="9" fontId="1" numFmtId="164" xfId="0" applyAlignment="1" applyBorder="1" applyFont="1" applyNumberFormat="1">
      <alignment horizontal="right" readingOrder="0"/>
    </xf>
    <xf borderId="10" fillId="9" fontId="1" numFmtId="167" xfId="0" applyAlignment="1" applyBorder="1" applyFont="1" applyNumberFormat="1">
      <alignment horizontal="right" readingOrder="0"/>
    </xf>
    <xf borderId="0" fillId="14" fontId="18" numFmtId="0" xfId="0" applyFont="1"/>
    <xf borderId="13" fillId="14" fontId="18" numFmtId="164" xfId="0" applyAlignment="1" applyBorder="1" applyFont="1" applyNumberFormat="1">
      <alignment horizontal="center" readingOrder="0"/>
    </xf>
    <xf borderId="1" fillId="14" fontId="18" numFmtId="164" xfId="0" applyAlignment="1" applyBorder="1" applyFont="1" applyNumberFormat="1">
      <alignment horizontal="center" readingOrder="0"/>
    </xf>
    <xf borderId="1" fillId="14" fontId="35" numFmtId="10" xfId="0" applyAlignment="1" applyBorder="1" applyFont="1" applyNumberFormat="1">
      <alignment horizontal="center"/>
    </xf>
    <xf borderId="13" fillId="14" fontId="4" numFmtId="0" xfId="0" applyAlignment="1" applyBorder="1" applyFont="1">
      <alignment horizontal="center" readingOrder="0" shrinkToFit="0" vertical="center" wrapText="1"/>
    </xf>
    <xf borderId="5" fillId="14" fontId="4" numFmtId="0" xfId="0" applyAlignment="1" applyBorder="1" applyFont="1">
      <alignment horizontal="center" readingOrder="0" shrinkToFit="0" vertical="center" wrapText="1"/>
    </xf>
    <xf borderId="23" fillId="3" fontId="33" numFmtId="0" xfId="0" applyAlignment="1" applyBorder="1" applyFont="1">
      <alignment horizontal="right" readingOrder="0"/>
    </xf>
    <xf borderId="1" fillId="9" fontId="33" numFmtId="0" xfId="0" applyBorder="1" applyFont="1"/>
    <xf borderId="10" fillId="27" fontId="38" numFmtId="0" xfId="0" applyAlignment="1" applyBorder="1" applyFont="1">
      <alignment horizontal="right" readingOrder="0"/>
    </xf>
    <xf borderId="23" fillId="3" fontId="38" numFmtId="0" xfId="0" applyAlignment="1" applyBorder="1" applyFont="1">
      <alignment horizontal="right" readingOrder="0"/>
    </xf>
    <xf borderId="18" fillId="27" fontId="40" numFmtId="3" xfId="0" applyAlignment="1" applyBorder="1" applyFont="1" applyNumberFormat="1">
      <alignment horizontal="center" readingOrder="0"/>
    </xf>
    <xf borderId="10" fillId="27" fontId="33" numFmtId="0" xfId="0" applyAlignment="1" applyBorder="1" applyFont="1">
      <alignment horizontal="right" readingOrder="0"/>
    </xf>
    <xf borderId="20" fillId="27" fontId="33" numFmtId="0" xfId="0" applyAlignment="1" applyBorder="1" applyFont="1">
      <alignment readingOrder="0"/>
    </xf>
    <xf borderId="1" fillId="27" fontId="33" numFmtId="164" xfId="0" applyBorder="1" applyFont="1" applyNumberFormat="1"/>
    <xf borderId="20" fillId="27" fontId="33" numFmtId="0" xfId="0" applyBorder="1" applyFont="1"/>
    <xf borderId="1" fillId="27" fontId="33" numFmtId="0" xfId="0" applyBorder="1" applyFont="1"/>
    <xf borderId="10" fillId="27" fontId="33" numFmtId="0" xfId="0" applyBorder="1" applyFont="1"/>
    <xf borderId="23" fillId="3" fontId="33" numFmtId="0" xfId="0" applyAlignment="1" applyBorder="1" applyFont="1">
      <alignment readingOrder="0"/>
    </xf>
    <xf borderId="1" fillId="27" fontId="33" numFmtId="0" xfId="0" applyAlignment="1" applyBorder="1" applyFont="1">
      <alignment horizontal="center" readingOrder="0"/>
    </xf>
    <xf borderId="20" fillId="28" fontId="33" numFmtId="0" xfId="0" applyAlignment="1" applyBorder="1" applyFill="1" applyFont="1">
      <alignment readingOrder="0"/>
    </xf>
    <xf borderId="1" fillId="28" fontId="33" numFmtId="164" xfId="0" applyBorder="1" applyFont="1" applyNumberFormat="1"/>
    <xf borderId="10" fillId="28" fontId="33" numFmtId="167" xfId="0" applyAlignment="1" applyBorder="1" applyFont="1" applyNumberFormat="1">
      <alignment readingOrder="0"/>
    </xf>
    <xf borderId="20" fillId="28" fontId="33" numFmtId="0" xfId="0" applyAlignment="1" applyBorder="1" applyFont="1">
      <alignment horizontal="right" readingOrder="0"/>
    </xf>
    <xf borderId="1" fillId="28" fontId="33" numFmtId="164" xfId="0" applyAlignment="1" applyBorder="1" applyFont="1" applyNumberFormat="1">
      <alignment horizontal="right" readingOrder="0"/>
    </xf>
    <xf borderId="23" fillId="3" fontId="1" numFmtId="0" xfId="0" applyAlignment="1" applyBorder="1" applyFont="1">
      <alignment readingOrder="0"/>
    </xf>
    <xf borderId="1" fillId="3" fontId="1" numFmtId="0" xfId="0" applyAlignment="1" applyBorder="1" applyFont="1">
      <alignment readingOrder="0"/>
    </xf>
    <xf borderId="0" fillId="0" fontId="27" numFmtId="172" xfId="0" applyAlignment="1" applyFont="1" applyNumberFormat="1">
      <alignment readingOrder="0"/>
    </xf>
    <xf borderId="0" fillId="0" fontId="27" numFmtId="0" xfId="0" applyAlignment="1" applyFont="1">
      <alignment readingOrder="0"/>
    </xf>
    <xf borderId="0" fillId="0" fontId="27" numFmtId="164" xfId="0" applyAlignment="1" applyFont="1" applyNumberFormat="1">
      <alignment readingOrder="0"/>
    </xf>
    <xf borderId="0" fillId="0" fontId="1" numFmtId="2" xfId="0" applyFont="1" applyNumberFormat="1"/>
    <xf borderId="1" fillId="24" fontId="16" numFmtId="164" xfId="0" applyAlignment="1" applyBorder="1" applyFont="1" applyNumberFormat="1">
      <alignment horizontal="center" readingOrder="0"/>
    </xf>
    <xf borderId="0" fillId="4" fontId="18" numFmtId="164" xfId="0" applyAlignment="1" applyFont="1" applyNumberFormat="1">
      <alignment horizontal="center" readingOrder="0"/>
    </xf>
    <xf borderId="0" fillId="4" fontId="35" numFmtId="164" xfId="0" applyAlignment="1" applyFont="1" applyNumberFormat="1">
      <alignment horizontal="center"/>
    </xf>
    <xf borderId="10" fillId="3" fontId="4" numFmtId="0" xfId="0" applyAlignment="1" applyBorder="1" applyFont="1">
      <alignment horizontal="right" readingOrder="0" shrinkToFit="0" wrapText="1"/>
    </xf>
    <xf borderId="10" fillId="11" fontId="34" numFmtId="0" xfId="0" applyBorder="1" applyFont="1"/>
    <xf borderId="20" fillId="28" fontId="1" numFmtId="0" xfId="0" applyAlignment="1" applyBorder="1" applyFont="1">
      <alignment readingOrder="0"/>
    </xf>
    <xf borderId="1" fillId="28" fontId="1" numFmtId="164" xfId="0" applyBorder="1" applyFont="1" applyNumberFormat="1"/>
    <xf borderId="10" fillId="28" fontId="1" numFmtId="167" xfId="0" applyAlignment="1" applyBorder="1" applyFont="1" applyNumberFormat="1">
      <alignment readingOrder="0"/>
    </xf>
    <xf borderId="1" fillId="28" fontId="1" numFmtId="0" xfId="0" applyAlignment="1" applyBorder="1" applyFont="1">
      <alignment horizontal="right" readingOrder="0"/>
    </xf>
    <xf borderId="1" fillId="28" fontId="1" numFmtId="164" xfId="0" applyAlignment="1" applyBorder="1" applyFont="1" applyNumberFormat="1">
      <alignment horizontal="right" readingOrder="0"/>
    </xf>
    <xf borderId="10" fillId="28" fontId="33" numFmtId="167" xfId="0" applyAlignment="1" applyBorder="1" applyFont="1" applyNumberFormat="1">
      <alignment horizontal="right" readingOrder="0"/>
    </xf>
    <xf borderId="24" fillId="0" fontId="5" numFmtId="0" xfId="0" applyAlignment="1" applyBorder="1" applyFont="1">
      <alignment horizontal="center" readingOrder="0"/>
    </xf>
    <xf borderId="1" fillId="0" fontId="16" numFmtId="0" xfId="0" applyAlignment="1" applyBorder="1" applyFont="1">
      <alignment horizontal="center" readingOrder="0" shrinkToFit="0" vertical="center" wrapText="1"/>
    </xf>
    <xf borderId="1" fillId="3" fontId="4" numFmtId="164" xfId="0" applyAlignment="1" applyBorder="1" applyFont="1" applyNumberFormat="1">
      <alignment horizontal="center" readingOrder="0" shrinkToFit="0" vertical="center" wrapText="1"/>
    </xf>
    <xf borderId="1" fillId="14" fontId="4" numFmtId="0" xfId="0" applyAlignment="1" applyBorder="1" applyFont="1">
      <alignment horizontal="center" readingOrder="0" shrinkToFit="0" vertical="center" wrapText="1"/>
    </xf>
    <xf borderId="1" fillId="0" fontId="16" numFmtId="3" xfId="0" applyAlignment="1" applyBorder="1" applyFont="1" applyNumberFormat="1">
      <alignment horizontal="center" readingOrder="0"/>
    </xf>
    <xf borderId="1" fillId="27" fontId="33" numFmtId="167" xfId="0" applyAlignment="1" applyBorder="1" applyFont="1" applyNumberFormat="1">
      <alignment horizontal="right" readingOrder="0"/>
    </xf>
    <xf borderId="1" fillId="28" fontId="1" numFmtId="0" xfId="0" applyAlignment="1" applyBorder="1" applyFont="1">
      <alignment readingOrder="0"/>
    </xf>
    <xf borderId="1" fillId="28" fontId="1" numFmtId="167" xfId="0" applyAlignment="1" applyBorder="1" applyFont="1" applyNumberFormat="1">
      <alignment readingOrder="0"/>
    </xf>
    <xf borderId="1" fillId="28" fontId="33" numFmtId="167" xfId="0" applyAlignment="1" applyBorder="1" applyFont="1" applyNumberFormat="1">
      <alignment horizontal="right" readingOrder="0"/>
    </xf>
    <xf borderId="1" fillId="2" fontId="1" numFmtId="164" xfId="0" applyBorder="1" applyFont="1" applyNumberFormat="1"/>
    <xf borderId="1" fillId="2" fontId="1" numFmtId="167" xfId="0" applyAlignment="1" applyBorder="1" applyFont="1" applyNumberFormat="1">
      <alignment readingOrder="0"/>
    </xf>
    <xf borderId="1" fillId="2" fontId="16" numFmtId="3" xfId="0" applyAlignment="1" applyBorder="1" applyFont="1" applyNumberFormat="1">
      <alignment horizontal="center" readingOrder="0"/>
    </xf>
    <xf borderId="1" fillId="2" fontId="1" numFmtId="0" xfId="0" applyAlignment="1" applyBorder="1" applyFont="1">
      <alignment horizontal="center" readingOrder="0"/>
    </xf>
    <xf borderId="1" fillId="2" fontId="1" numFmtId="4" xfId="0" applyAlignment="1" applyBorder="1" applyFont="1" applyNumberFormat="1">
      <alignment readingOrder="0"/>
    </xf>
    <xf borderId="1" fillId="2" fontId="1" numFmtId="164" xfId="0" applyAlignment="1" applyBorder="1" applyFont="1" applyNumberFormat="1">
      <alignment horizontal="right" readingOrder="0"/>
    </xf>
    <xf borderId="1" fillId="2" fontId="33" numFmtId="0" xfId="0" applyAlignment="1" applyBorder="1" applyFont="1">
      <alignment horizontal="right" readingOrder="0"/>
    </xf>
    <xf borderId="1" fillId="3" fontId="33" numFmtId="0" xfId="0" applyAlignment="1" applyBorder="1" applyFont="1">
      <alignment readingOrder="0"/>
    </xf>
    <xf borderId="1" fillId="4" fontId="4" numFmtId="164" xfId="0" applyBorder="1" applyFont="1" applyNumberFormat="1"/>
    <xf borderId="1" fillId="24" fontId="1" numFmtId="164" xfId="0" applyBorder="1" applyFont="1" applyNumberFormat="1"/>
    <xf borderId="1" fillId="24" fontId="1" numFmtId="167" xfId="0" applyAlignment="1" applyBorder="1" applyFont="1" applyNumberFormat="1">
      <alignment readingOrder="0"/>
    </xf>
    <xf borderId="1" fillId="24" fontId="1" numFmtId="0" xfId="0" applyAlignment="1" applyBorder="1" applyFont="1">
      <alignment horizontal="center" readingOrder="0"/>
    </xf>
    <xf borderId="1" fillId="24" fontId="1" numFmtId="171" xfId="0" applyAlignment="1" applyBorder="1" applyFont="1" applyNumberFormat="1">
      <alignment readingOrder="0"/>
    </xf>
    <xf borderId="1" fillId="24" fontId="1" numFmtId="4" xfId="0" applyAlignment="1" applyBorder="1" applyFont="1" applyNumberFormat="1">
      <alignment readingOrder="0"/>
    </xf>
    <xf borderId="1" fillId="24" fontId="1" numFmtId="164" xfId="0" applyAlignment="1" applyBorder="1" applyFont="1" applyNumberFormat="1">
      <alignment horizontal="right" readingOrder="0"/>
    </xf>
    <xf borderId="1" fillId="24" fontId="33" numFmtId="0" xfId="0" applyAlignment="1" applyBorder="1" applyFont="1">
      <alignment horizontal="right" readingOrder="0"/>
    </xf>
    <xf borderId="1" fillId="27" fontId="1" numFmtId="167" xfId="0" applyAlignment="1" applyBorder="1" applyFont="1" applyNumberFormat="1">
      <alignment horizontal="right" readingOrder="0"/>
    </xf>
    <xf borderId="0" fillId="0" fontId="1" numFmtId="0" xfId="0" applyFont="1"/>
    <xf borderId="0" fillId="4" fontId="1" numFmtId="0" xfId="0" applyFont="1"/>
    <xf borderId="1" fillId="7" fontId="1" numFmtId="164" xfId="0" applyBorder="1" applyFont="1" applyNumberFormat="1"/>
    <xf borderId="1" fillId="7" fontId="1" numFmtId="167" xfId="0" applyAlignment="1" applyBorder="1" applyFont="1" applyNumberFormat="1">
      <alignment readingOrder="0"/>
    </xf>
    <xf borderId="1" fillId="8" fontId="33" numFmtId="0" xfId="0" applyAlignment="1" applyBorder="1" applyFont="1">
      <alignment horizontal="center" readingOrder="0"/>
    </xf>
    <xf borderId="1" fillId="8" fontId="33" numFmtId="171" xfId="0" applyAlignment="1" applyBorder="1" applyFont="1" applyNumberFormat="1">
      <alignment readingOrder="0"/>
    </xf>
    <xf borderId="1" fillId="8" fontId="33" numFmtId="0" xfId="0" applyAlignment="1" applyBorder="1" applyFont="1">
      <alignment readingOrder="0"/>
    </xf>
    <xf borderId="1" fillId="8" fontId="33" numFmtId="164" xfId="0" applyAlignment="1" applyBorder="1" applyFont="1" applyNumberFormat="1">
      <alignment readingOrder="0"/>
    </xf>
    <xf borderId="1" fillId="8" fontId="33" numFmtId="172" xfId="0" applyAlignment="1" applyBorder="1" applyFont="1" applyNumberFormat="1">
      <alignment horizontal="right" readingOrder="0"/>
    </xf>
    <xf borderId="0" fillId="0" fontId="1" numFmtId="167" xfId="0" applyAlignment="1" applyFont="1" applyNumberFormat="1">
      <alignment readingOrder="0"/>
    </xf>
    <xf borderId="1" fillId="29" fontId="1" numFmtId="164" xfId="0" applyAlignment="1" applyBorder="1" applyFill="1" applyFont="1" applyNumberFormat="1">
      <alignment readingOrder="0"/>
    </xf>
    <xf borderId="0" fillId="4" fontId="1" numFmtId="2" xfId="0" applyAlignment="1" applyFont="1" applyNumberFormat="1">
      <alignment readingOrder="0"/>
    </xf>
    <xf borderId="1" fillId="8" fontId="1" numFmtId="164" xfId="0" applyAlignment="1" applyBorder="1" applyFont="1" applyNumberFormat="1">
      <alignment horizontal="right" readingOrder="0"/>
    </xf>
    <xf borderId="1" fillId="8" fontId="1" numFmtId="167" xfId="0" applyAlignment="1" applyBorder="1" applyFont="1" applyNumberFormat="1">
      <alignment horizontal="right" readingOrder="0"/>
    </xf>
    <xf borderId="1" fillId="4" fontId="1" numFmtId="171" xfId="0" applyAlignment="1" applyBorder="1" applyFont="1" applyNumberFormat="1">
      <alignment readingOrder="0"/>
    </xf>
    <xf borderId="0" fillId="4" fontId="1" numFmtId="0" xfId="0" applyAlignment="1" applyFont="1">
      <alignment horizontal="center" readingOrder="0"/>
    </xf>
    <xf borderId="0" fillId="4" fontId="1" numFmtId="171" xfId="0" applyAlignment="1" applyFont="1" applyNumberFormat="1">
      <alignment readingOrder="0"/>
    </xf>
    <xf borderId="0" fillId="4" fontId="1" numFmtId="172" xfId="0" applyAlignment="1" applyFont="1" applyNumberFormat="1">
      <alignment horizontal="right" readingOrder="0"/>
    </xf>
    <xf borderId="0" fillId="4" fontId="1" numFmtId="0" xfId="0" applyAlignment="1" applyFont="1">
      <alignment horizontal="right" readingOrder="0"/>
    </xf>
    <xf borderId="0" fillId="4" fontId="33" numFmtId="167" xfId="0" applyAlignment="1" applyFont="1" applyNumberFormat="1">
      <alignment horizontal="right" readingOrder="0"/>
    </xf>
    <xf borderId="0" fillId="0" fontId="33" numFmtId="164" xfId="0" applyFont="1" applyNumberFormat="1"/>
    <xf borderId="0" fillId="0" fontId="1" numFmtId="0" xfId="0" applyAlignment="1" applyFont="1">
      <alignment horizontal="center" readingOrder="0"/>
    </xf>
    <xf borderId="0" fillId="0" fontId="1" numFmtId="171" xfId="0" applyAlignment="1" applyFont="1" applyNumberFormat="1">
      <alignment readingOrder="0"/>
    </xf>
    <xf borderId="0" fillId="4" fontId="1" numFmtId="167" xfId="0" applyAlignment="1" applyFont="1" applyNumberFormat="1">
      <alignment horizontal="right" readingOrder="0"/>
    </xf>
    <xf borderId="0" fillId="8" fontId="41" numFmtId="164" xfId="0" applyAlignment="1" applyFont="1" applyNumberFormat="1">
      <alignment readingOrder="0"/>
    </xf>
    <xf borderId="1" fillId="4" fontId="1" numFmtId="2" xfId="0" applyAlignment="1" applyBorder="1" applyFont="1" applyNumberFormat="1">
      <alignment readingOrder="0"/>
    </xf>
    <xf borderId="0" fillId="4" fontId="23" numFmtId="164" xfId="0" applyAlignment="1" applyFont="1" applyNumberFormat="1">
      <alignment readingOrder="0"/>
    </xf>
    <xf borderId="1" fillId="24" fontId="1" numFmtId="0" xfId="0" applyAlignment="1" applyBorder="1" applyFont="1">
      <alignment horizontal="right" readingOrder="0"/>
    </xf>
    <xf borderId="1" fillId="24" fontId="1" numFmtId="167" xfId="0" applyAlignment="1" applyBorder="1" applyFont="1" applyNumberFormat="1">
      <alignment horizontal="right" readingOrder="0"/>
    </xf>
    <xf borderId="1" fillId="8" fontId="1" numFmtId="167" xfId="0" applyAlignment="1" applyBorder="1" applyFont="1" applyNumberFormat="1">
      <alignment readingOrder="0"/>
    </xf>
    <xf borderId="1" fillId="4" fontId="27" numFmtId="0" xfId="0" applyAlignment="1" applyBorder="1" applyFont="1">
      <alignment horizontal="center" readingOrder="0"/>
    </xf>
    <xf borderId="1" fillId="4" fontId="27" numFmtId="171" xfId="0" applyAlignment="1" applyBorder="1" applyFont="1" applyNumberFormat="1">
      <alignment readingOrder="0"/>
    </xf>
    <xf borderId="1" fillId="4" fontId="27" numFmtId="172" xfId="0" applyAlignment="1" applyBorder="1" applyFont="1" applyNumberFormat="1">
      <alignment horizontal="right" readingOrder="0"/>
    </xf>
    <xf borderId="0" fillId="0" fontId="10" numFmtId="0" xfId="0" applyFont="1"/>
    <xf borderId="0" fillId="0" fontId="1" numFmtId="0" xfId="0" applyAlignment="1" applyFont="1">
      <alignment horizontal="left"/>
    </xf>
    <xf borderId="0" fillId="2" fontId="27" numFmtId="0" xfId="0" applyAlignment="1" applyFont="1">
      <alignment horizontal="center" readingOrder="0"/>
    </xf>
    <xf borderId="0" fillId="0" fontId="42" numFmtId="171" xfId="0" applyAlignment="1" applyFont="1" applyNumberFormat="1">
      <alignment vertical="bottom"/>
    </xf>
    <xf borderId="0" fillId="0" fontId="42" numFmtId="0" xfId="0" applyAlignment="1" applyFont="1">
      <alignment vertical="bottom"/>
    </xf>
    <xf borderId="0" fillId="0" fontId="42" numFmtId="164" xfId="0" applyAlignment="1" applyFont="1" applyNumberFormat="1">
      <alignment horizontal="right" vertical="bottom"/>
    </xf>
    <xf borderId="0" fillId="0" fontId="42" numFmtId="4" xfId="0" applyAlignment="1" applyFont="1" applyNumberFormat="1">
      <alignment horizontal="right" vertical="bottom"/>
    </xf>
    <xf borderId="0" fillId="0" fontId="43" numFmtId="0" xfId="0" applyAlignment="1" applyFont="1">
      <alignment vertical="bottom"/>
    </xf>
    <xf borderId="0" fillId="0" fontId="42" numFmtId="0" xfId="0" applyAlignment="1" applyFont="1">
      <alignment horizontal="right" vertical="bottom"/>
    </xf>
    <xf borderId="0" fillId="2" fontId="27" numFmtId="164" xfId="0" applyFont="1" applyNumberFormat="1"/>
    <xf borderId="0" fillId="4" fontId="4" numFmtId="0" xfId="0" applyAlignment="1" applyFont="1">
      <alignment horizontal="center" readingOrder="0"/>
    </xf>
    <xf borderId="0" fillId="4" fontId="10" numFmtId="0" xfId="0" applyFont="1"/>
    <xf borderId="0" fillId="4" fontId="1" numFmtId="0" xfId="0" applyAlignment="1" applyFont="1">
      <alignment horizontal="left"/>
    </xf>
    <xf borderId="1" fillId="4" fontId="44" numFmtId="0" xfId="0" applyAlignment="1" applyBorder="1" applyFont="1">
      <alignment horizontal="center" readingOrder="0"/>
    </xf>
    <xf borderId="1" fillId="4" fontId="44" numFmtId="171" xfId="0" applyAlignment="1" applyBorder="1" applyFont="1" applyNumberFormat="1">
      <alignment readingOrder="0"/>
    </xf>
    <xf borderId="1" fillId="4" fontId="44" numFmtId="0" xfId="0" applyAlignment="1" applyBorder="1" applyFont="1">
      <alignment readingOrder="0"/>
    </xf>
    <xf borderId="1" fillId="4" fontId="44" numFmtId="164" xfId="0" applyAlignment="1" applyBorder="1" applyFont="1" applyNumberFormat="1">
      <alignment readingOrder="0"/>
    </xf>
    <xf borderId="1" fillId="4" fontId="1" numFmtId="49" xfId="0" applyAlignment="1" applyBorder="1" applyFont="1" applyNumberFormat="1">
      <alignment horizontal="right" readingOrder="0"/>
    </xf>
    <xf borderId="1" fillId="4" fontId="45" numFmtId="0" xfId="0" applyAlignment="1" applyBorder="1" applyFont="1">
      <alignment horizontal="center" readingOrder="0"/>
    </xf>
    <xf borderId="1" fillId="4" fontId="45" numFmtId="171" xfId="0" applyAlignment="1" applyBorder="1" applyFont="1" applyNumberFormat="1">
      <alignment readingOrder="0"/>
    </xf>
    <xf borderId="1" fillId="4" fontId="45" numFmtId="0" xfId="0" applyAlignment="1" applyBorder="1" applyFont="1">
      <alignment readingOrder="0"/>
    </xf>
    <xf borderId="1" fillId="4" fontId="45" numFmtId="164" xfId="0" applyAlignment="1" applyBorder="1" applyFont="1" applyNumberFormat="1">
      <alignment readingOrder="0"/>
    </xf>
    <xf borderId="1" fillId="4" fontId="1" numFmtId="4" xfId="0" applyAlignment="1" applyBorder="1" applyFont="1" applyNumberFormat="1">
      <alignment horizontal="right" readingOrder="0"/>
    </xf>
    <xf borderId="1" fillId="30" fontId="1" numFmtId="0" xfId="0" applyAlignment="1" applyBorder="1" applyFill="1" applyFont="1">
      <alignment readingOrder="0"/>
    </xf>
    <xf borderId="1" fillId="30" fontId="1" numFmtId="173" xfId="0" applyAlignment="1" applyBorder="1" applyFont="1" applyNumberFormat="1">
      <alignment readingOrder="0"/>
    </xf>
    <xf borderId="1" fillId="30" fontId="1" numFmtId="0" xfId="0" applyBorder="1" applyFont="1"/>
    <xf borderId="1" fillId="4" fontId="27" numFmtId="4" xfId="0" applyAlignment="1" applyBorder="1" applyFont="1" applyNumberFormat="1">
      <alignment horizontal="right" readingOrder="0"/>
    </xf>
    <xf borderId="1" fillId="0" fontId="27" numFmtId="0" xfId="0" applyAlignment="1" applyBorder="1" applyFont="1">
      <alignment readingOrder="0"/>
    </xf>
    <xf borderId="1" fillId="0" fontId="27" numFmtId="164" xfId="0" applyAlignment="1" applyBorder="1" applyFont="1" applyNumberFormat="1">
      <alignment readingOrder="0"/>
    </xf>
    <xf borderId="1" fillId="7" fontId="1" numFmtId="0" xfId="0" applyAlignment="1" applyBorder="1" applyFont="1">
      <alignment horizontal="center" readingOrder="0"/>
    </xf>
    <xf borderId="1" fillId="7" fontId="1" numFmtId="171" xfId="0" applyAlignment="1" applyBorder="1" applyFont="1" applyNumberFormat="1">
      <alignment readingOrder="0"/>
    </xf>
    <xf borderId="1" fillId="7" fontId="1" numFmtId="172" xfId="0" applyAlignment="1" applyBorder="1" applyFont="1" applyNumberFormat="1">
      <alignment horizontal="right" readingOrder="0"/>
    </xf>
    <xf borderId="1" fillId="4" fontId="34" numFmtId="0" xfId="0" applyAlignment="1" applyBorder="1" applyFont="1">
      <alignment horizontal="center" readingOrder="0"/>
    </xf>
    <xf borderId="1" fillId="4" fontId="34" numFmtId="171" xfId="0" applyAlignment="1" applyBorder="1" applyFont="1" applyNumberFormat="1">
      <alignment readingOrder="0"/>
    </xf>
    <xf borderId="1" fillId="4" fontId="34" numFmtId="0" xfId="0" applyAlignment="1" applyBorder="1" applyFont="1">
      <alignment readingOrder="0"/>
    </xf>
    <xf borderId="1" fillId="4" fontId="34" numFmtId="164" xfId="0" applyAlignment="1" applyBorder="1" applyFont="1" applyNumberFormat="1">
      <alignment readingOrder="0"/>
    </xf>
    <xf borderId="1" fillId="4" fontId="18" numFmtId="0" xfId="0" applyAlignment="1" applyBorder="1" applyFont="1">
      <alignment horizontal="center" readingOrder="0"/>
    </xf>
    <xf borderId="1" fillId="4" fontId="18" numFmtId="171" xfId="0" applyAlignment="1" applyBorder="1" applyFont="1" applyNumberFormat="1">
      <alignment readingOrder="0"/>
    </xf>
    <xf borderId="1" fillId="4" fontId="18" numFmtId="172" xfId="0" applyAlignment="1" applyBorder="1" applyFont="1" applyNumberFormat="1">
      <alignment horizontal="right" readingOrder="0"/>
    </xf>
    <xf borderId="1" fillId="4" fontId="34" numFmtId="172" xfId="0" applyAlignment="1" applyBorder="1" applyFont="1" applyNumberFormat="1">
      <alignment horizontal="right"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  <dxf>
      <font>
        <color rgb="FFFF0000"/>
      </font>
      <fill>
        <patternFill patternType="none"/>
      </fill>
      <border/>
    </dxf>
  </dxfs>
  <tableStyles count="31">
    <tableStyle count="3" pivot="0" name=" Roister (1007-1013)-style">
      <tableStyleElement dxfId="5" type="headerRow"/>
      <tableStyleElement dxfId="6" type="firstRowStripe"/>
      <tableStyleElement dxfId="7" type="secondRowStripe"/>
    </tableStyle>
    <tableStyle count="3" pivot="0" name="Roister (1014-1020)-style">
      <tableStyleElement dxfId="5" type="headerRow"/>
      <tableStyleElement dxfId="6" type="firstRowStripe"/>
      <tableStyleElement dxfId="7" type="secondRowStripe"/>
    </tableStyle>
    <tableStyle count="3" pivot="0" name="Roister (1021-1027)-style">
      <tableStyleElement dxfId="5" type="headerRow"/>
      <tableStyleElement dxfId="6" type="firstRowStripe"/>
      <tableStyleElement dxfId="7" type="secondRowStripe"/>
    </tableStyle>
    <tableStyle count="3" pivot="0" name="Roister (1028-1103)-style">
      <tableStyleElement dxfId="5" type="headerRow"/>
      <tableStyleElement dxfId="6" type="firstRowStripe"/>
      <tableStyleElement dxfId="7" type="secondRowStripe"/>
    </tableStyle>
    <tableStyle count="3" pivot="0" name="Roister (1104-1110)-style">
      <tableStyleElement dxfId="5" type="headerRow"/>
      <tableStyleElement dxfId="6" type="firstRowStripe"/>
      <tableStyleElement dxfId="7" type="secondRowStripe"/>
    </tableStyle>
    <tableStyle count="3" pivot="0" name="Roister (1111-1117)-style">
      <tableStyleElement dxfId="5" type="headerRow"/>
      <tableStyleElement dxfId="6" type="firstRowStripe"/>
      <tableStyleElement dxfId="7" type="secondRowStripe"/>
    </tableStyle>
    <tableStyle count="3" pivot="0" name="FIRE (1118-1124)-style">
      <tableStyleElement dxfId="5" type="headerRow"/>
      <tableStyleElement dxfId="6" type="firstRowStripe"/>
      <tableStyleElement dxfId="7" type="secondRowStripe"/>
    </tableStyle>
    <tableStyle count="3" pivot="0" name=" FIRE (1125-1201)-style">
      <tableStyleElement dxfId="5" type="headerRow"/>
      <tableStyleElement dxfId="6" type="firstRowStripe"/>
      <tableStyleElement dxfId="7" type="secondRowStripe"/>
    </tableStyle>
    <tableStyle count="3" pivot="0" name="FIRE (1202-1208)-style">
      <tableStyleElement dxfId="5" type="headerRow"/>
      <tableStyleElement dxfId="6" type="firstRowStripe"/>
      <tableStyleElement dxfId="7" type="secondRowStripe"/>
    </tableStyle>
    <tableStyle count="3" pivot="0" name=" FIRE (1209-1215)-style">
      <tableStyleElement dxfId="5" type="headerRow"/>
      <tableStyleElement dxfId="6" type="firstRowStripe"/>
      <tableStyleElement dxfId="7" type="secondRowStripe"/>
    </tableStyle>
    <tableStyle count="2" pivot="0" name=" FIRE (1209-1215)-style 2">
      <tableStyleElement dxfId="7" type="firstRowStripe"/>
      <tableStyleElement dxfId="6" type="secondRowStripe"/>
    </tableStyle>
    <tableStyle count="3" pivot="0" name="FIRE (1216-1222)-style">
      <tableStyleElement dxfId="5" type="headerRow"/>
      <tableStyleElement dxfId="6" type="firstRowStripe"/>
      <tableStyleElement dxfId="7" type="secondRowStripe"/>
    </tableStyle>
    <tableStyle count="2" pivot="0" name="FIRE (1216-1222)-style 2">
      <tableStyleElement dxfId="7" type="firstRowStripe"/>
      <tableStyleElement dxfId="6" type="secondRowStripe"/>
    </tableStyle>
    <tableStyle count="3" pivot="0" name="FIRE (1223-1229)-style">
      <tableStyleElement dxfId="5" type="headerRow"/>
      <tableStyleElement dxfId="6" type="firstRowStripe"/>
      <tableStyleElement dxfId="7" type="secondRowStripe"/>
    </tableStyle>
    <tableStyle count="2" pivot="0" name="FIRE (1223-1229)-style 2">
      <tableStyleElement dxfId="7" type="firstRowStripe"/>
      <tableStyleElement dxfId="6" type="secondRowStripe"/>
    </tableStyle>
    <tableStyle count="3" pivot="0" name="FIRE (1230-15)-style">
      <tableStyleElement dxfId="5" type="headerRow"/>
      <tableStyleElement dxfId="6" type="firstRowStripe"/>
      <tableStyleElement dxfId="7" type="secondRowStripe"/>
    </tableStyle>
    <tableStyle count="2" pivot="0" name="FIRE (1230-15)-style 2">
      <tableStyleElement dxfId="7" type="firstRowStripe"/>
      <tableStyleElement dxfId="6" type="secondRowStripe"/>
    </tableStyle>
    <tableStyle count="3" pivot="0" name=" FIRE (16-112)-style">
      <tableStyleElement dxfId="5" type="headerRow"/>
      <tableStyleElement dxfId="6" type="firstRowStripe"/>
      <tableStyleElement dxfId="7" type="secondRowStripe"/>
    </tableStyle>
    <tableStyle count="2" pivot="0" name=" FIRE (16-112)-style 2">
      <tableStyleElement dxfId="7" type="firstRowStripe"/>
      <tableStyleElement dxfId="6" type="secondRowStripe"/>
    </tableStyle>
    <tableStyle count="3" pivot="0" name="FIRE (113-119)-style">
      <tableStyleElement dxfId="5" type="headerRow"/>
      <tableStyleElement dxfId="6" type="firstRowStripe"/>
      <tableStyleElement dxfId="7" type="secondRowStripe"/>
    </tableStyle>
    <tableStyle count="2" pivot="0" name="FIRE (113-119)-style 2">
      <tableStyleElement dxfId="7" type="firstRowStripe"/>
      <tableStyleElement dxfId="6" type="secondRowStripe"/>
    </tableStyle>
    <tableStyle count="3" pivot="0" name="FIRE (120-126)-style">
      <tableStyleElement dxfId="5" type="headerRow"/>
      <tableStyleElement dxfId="6" type="firstRowStripe"/>
      <tableStyleElement dxfId="7" type="secondRowStripe"/>
    </tableStyle>
    <tableStyle count="2" pivot="0" name="FIRE (120-126)-style 2">
      <tableStyleElement dxfId="7" type="firstRowStripe"/>
      <tableStyleElement dxfId="6" type="secondRowStripe"/>
    </tableStyle>
    <tableStyle count="3" pivot="0" name="FIRE (127-22)-style">
      <tableStyleElement dxfId="5" type="headerRow"/>
      <tableStyleElement dxfId="6" type="firstRowStripe"/>
      <tableStyleElement dxfId="7" type="secondRowStripe"/>
    </tableStyle>
    <tableStyle count="2" pivot="0" name="FIRE (127-22)-style 2">
      <tableStyleElement dxfId="7" type="firstRowStripe"/>
      <tableStyleElement dxfId="6" type="secondRowStripe"/>
    </tableStyle>
    <tableStyle count="3" pivot="0" name=" FIRE (23-29)-style">
      <tableStyleElement dxfId="5" type="headerRow"/>
      <tableStyleElement dxfId="6" type="firstRowStripe"/>
      <tableStyleElement dxfId="7" type="secondRowStripe"/>
    </tableStyle>
    <tableStyle count="2" pivot="0" name=" FIRE (23-29)-style 2">
      <tableStyleElement dxfId="7" type="firstRowStripe"/>
      <tableStyleElement dxfId="6" type="secondRowStripe"/>
    </tableStyle>
    <tableStyle count="3" pivot="0" name="FIRE (210-216)-style">
      <tableStyleElement dxfId="5" type="headerRow"/>
      <tableStyleElement dxfId="6" type="firstRowStripe"/>
      <tableStyleElement dxfId="7" type="secondRowStripe"/>
    </tableStyle>
    <tableStyle count="2" pivot="0" name="FIRE (210-216)-style 2">
      <tableStyleElement dxfId="7" type="firstRowStripe"/>
      <tableStyleElement dxfId="6" type="secondRowStripe"/>
    </tableStyle>
    <tableStyle count="3" pivot="0" name=" FIRE (217-223)-style">
      <tableStyleElement dxfId="5" type="headerRow"/>
      <tableStyleElement dxfId="6" type="firstRowStripe"/>
      <tableStyleElement dxfId="7" type="secondRowStripe"/>
    </tableStyle>
    <tableStyle count="2" pivot="0" name=" FIRE (217-223)-style 2">
      <tableStyleElement dxfId="7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07" Type="http://schemas.openxmlformats.org/officeDocument/2006/relationships/worksheet" Target="worksheets/sheet104.xml"/><Relationship Id="rId106" Type="http://schemas.openxmlformats.org/officeDocument/2006/relationships/worksheet" Target="worksheets/sheet103.xml"/><Relationship Id="rId105" Type="http://schemas.openxmlformats.org/officeDocument/2006/relationships/worksheet" Target="worksheets/sheet102.xml"/><Relationship Id="rId104" Type="http://schemas.openxmlformats.org/officeDocument/2006/relationships/worksheet" Target="worksheets/sheet101.xml"/><Relationship Id="rId109" Type="http://schemas.openxmlformats.org/officeDocument/2006/relationships/worksheet" Target="worksheets/sheet106.xml"/><Relationship Id="rId108" Type="http://schemas.openxmlformats.org/officeDocument/2006/relationships/worksheet" Target="worksheets/sheet105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103" Type="http://schemas.openxmlformats.org/officeDocument/2006/relationships/worksheet" Target="worksheets/sheet100.xml"/><Relationship Id="rId102" Type="http://schemas.openxmlformats.org/officeDocument/2006/relationships/worksheet" Target="worksheets/sheet99.xml"/><Relationship Id="rId101" Type="http://schemas.openxmlformats.org/officeDocument/2006/relationships/worksheet" Target="worksheets/sheet98.xml"/><Relationship Id="rId100" Type="http://schemas.openxmlformats.org/officeDocument/2006/relationships/worksheet" Target="worksheets/sheet97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29" Type="http://schemas.openxmlformats.org/officeDocument/2006/relationships/worksheet" Target="worksheets/sheet126.xml"/><Relationship Id="rId128" Type="http://schemas.openxmlformats.org/officeDocument/2006/relationships/worksheet" Target="worksheets/sheet125.xml"/><Relationship Id="rId127" Type="http://schemas.openxmlformats.org/officeDocument/2006/relationships/worksheet" Target="worksheets/sheet124.xml"/><Relationship Id="rId126" Type="http://schemas.openxmlformats.org/officeDocument/2006/relationships/worksheet" Target="worksheets/sheet123.xml"/><Relationship Id="rId26" Type="http://schemas.openxmlformats.org/officeDocument/2006/relationships/worksheet" Target="worksheets/sheet23.xml"/><Relationship Id="rId121" Type="http://schemas.openxmlformats.org/officeDocument/2006/relationships/worksheet" Target="worksheets/sheet118.xml"/><Relationship Id="rId25" Type="http://schemas.openxmlformats.org/officeDocument/2006/relationships/worksheet" Target="worksheets/sheet22.xml"/><Relationship Id="rId120" Type="http://schemas.openxmlformats.org/officeDocument/2006/relationships/worksheet" Target="worksheets/sheet117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125" Type="http://schemas.openxmlformats.org/officeDocument/2006/relationships/worksheet" Target="worksheets/sheet122.xml"/><Relationship Id="rId29" Type="http://schemas.openxmlformats.org/officeDocument/2006/relationships/worksheet" Target="worksheets/sheet26.xml"/><Relationship Id="rId124" Type="http://schemas.openxmlformats.org/officeDocument/2006/relationships/worksheet" Target="worksheets/sheet121.xml"/><Relationship Id="rId123" Type="http://schemas.openxmlformats.org/officeDocument/2006/relationships/worksheet" Target="worksheets/sheet120.xml"/><Relationship Id="rId122" Type="http://schemas.openxmlformats.org/officeDocument/2006/relationships/worksheet" Target="worksheets/sheet119.xml"/><Relationship Id="rId95" Type="http://schemas.openxmlformats.org/officeDocument/2006/relationships/worksheet" Target="worksheets/sheet92.xml"/><Relationship Id="rId94" Type="http://schemas.openxmlformats.org/officeDocument/2006/relationships/worksheet" Target="worksheets/sheet91.xml"/><Relationship Id="rId97" Type="http://schemas.openxmlformats.org/officeDocument/2006/relationships/worksheet" Target="worksheets/sheet94.xml"/><Relationship Id="rId96" Type="http://schemas.openxmlformats.org/officeDocument/2006/relationships/worksheet" Target="worksheets/sheet93.xml"/><Relationship Id="rId11" Type="http://schemas.openxmlformats.org/officeDocument/2006/relationships/worksheet" Target="worksheets/sheet8.xml"/><Relationship Id="rId99" Type="http://schemas.openxmlformats.org/officeDocument/2006/relationships/worksheet" Target="worksheets/sheet96.xml"/><Relationship Id="rId10" Type="http://schemas.openxmlformats.org/officeDocument/2006/relationships/worksheet" Target="worksheets/sheet7.xml"/><Relationship Id="rId98" Type="http://schemas.openxmlformats.org/officeDocument/2006/relationships/worksheet" Target="worksheets/sheet95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91" Type="http://schemas.openxmlformats.org/officeDocument/2006/relationships/worksheet" Target="worksheets/sheet88.xml"/><Relationship Id="rId90" Type="http://schemas.openxmlformats.org/officeDocument/2006/relationships/worksheet" Target="worksheets/sheet87.xml"/><Relationship Id="rId93" Type="http://schemas.openxmlformats.org/officeDocument/2006/relationships/worksheet" Target="worksheets/sheet90.xml"/><Relationship Id="rId92" Type="http://schemas.openxmlformats.org/officeDocument/2006/relationships/worksheet" Target="worksheets/sheet89.xml"/><Relationship Id="rId118" Type="http://schemas.openxmlformats.org/officeDocument/2006/relationships/worksheet" Target="worksheets/sheet115.xml"/><Relationship Id="rId117" Type="http://schemas.openxmlformats.org/officeDocument/2006/relationships/worksheet" Target="worksheets/sheet114.xml"/><Relationship Id="rId116" Type="http://schemas.openxmlformats.org/officeDocument/2006/relationships/worksheet" Target="worksheets/sheet113.xml"/><Relationship Id="rId115" Type="http://schemas.openxmlformats.org/officeDocument/2006/relationships/worksheet" Target="worksheets/sheet112.xml"/><Relationship Id="rId119" Type="http://schemas.openxmlformats.org/officeDocument/2006/relationships/worksheet" Target="worksheets/sheet116.xml"/><Relationship Id="rId15" Type="http://schemas.openxmlformats.org/officeDocument/2006/relationships/worksheet" Target="worksheets/sheet12.xml"/><Relationship Id="rId110" Type="http://schemas.openxmlformats.org/officeDocument/2006/relationships/worksheet" Target="worksheets/sheet107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14" Type="http://schemas.openxmlformats.org/officeDocument/2006/relationships/worksheet" Target="worksheets/sheet111.xml"/><Relationship Id="rId18" Type="http://schemas.openxmlformats.org/officeDocument/2006/relationships/worksheet" Target="worksheets/sheet15.xml"/><Relationship Id="rId113" Type="http://schemas.openxmlformats.org/officeDocument/2006/relationships/worksheet" Target="worksheets/sheet110.xml"/><Relationship Id="rId112" Type="http://schemas.openxmlformats.org/officeDocument/2006/relationships/worksheet" Target="worksheets/sheet109.xml"/><Relationship Id="rId111" Type="http://schemas.openxmlformats.org/officeDocument/2006/relationships/worksheet" Target="worksheets/sheet108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86" Type="http://schemas.openxmlformats.org/officeDocument/2006/relationships/worksheet" Target="worksheets/sheet83.xml"/><Relationship Id="rId85" Type="http://schemas.openxmlformats.org/officeDocument/2006/relationships/worksheet" Target="worksheets/sheet82.xml"/><Relationship Id="rId88" Type="http://schemas.openxmlformats.org/officeDocument/2006/relationships/worksheet" Target="worksheets/sheet85.xml"/><Relationship Id="rId150" Type="http://schemas.openxmlformats.org/officeDocument/2006/relationships/worksheet" Target="worksheets/sheet147.xml"/><Relationship Id="rId87" Type="http://schemas.openxmlformats.org/officeDocument/2006/relationships/worksheet" Target="worksheets/sheet84.xml"/><Relationship Id="rId89" Type="http://schemas.openxmlformats.org/officeDocument/2006/relationships/worksheet" Target="worksheets/sheet86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6.xml"/><Relationship Id="rId4" Type="http://schemas.openxmlformats.org/officeDocument/2006/relationships/worksheet" Target="worksheets/sheet1.xml"/><Relationship Id="rId148" Type="http://schemas.openxmlformats.org/officeDocument/2006/relationships/worksheet" Target="worksheets/sheet145.xml"/><Relationship Id="rId9" Type="http://schemas.openxmlformats.org/officeDocument/2006/relationships/worksheet" Target="worksheets/sheet6.xml"/><Relationship Id="rId143" Type="http://schemas.openxmlformats.org/officeDocument/2006/relationships/worksheet" Target="worksheets/sheet140.xml"/><Relationship Id="rId142" Type="http://schemas.openxmlformats.org/officeDocument/2006/relationships/worksheet" Target="worksheets/sheet139.xml"/><Relationship Id="rId141" Type="http://schemas.openxmlformats.org/officeDocument/2006/relationships/worksheet" Target="worksheets/sheet138.xml"/><Relationship Id="rId140" Type="http://schemas.openxmlformats.org/officeDocument/2006/relationships/worksheet" Target="worksheets/sheet137.xml"/><Relationship Id="rId5" Type="http://schemas.openxmlformats.org/officeDocument/2006/relationships/worksheet" Target="worksheets/sheet2.xml"/><Relationship Id="rId147" Type="http://schemas.openxmlformats.org/officeDocument/2006/relationships/worksheet" Target="worksheets/sheet144.xml"/><Relationship Id="rId6" Type="http://schemas.openxmlformats.org/officeDocument/2006/relationships/worksheet" Target="worksheets/sheet3.xml"/><Relationship Id="rId146" Type="http://schemas.openxmlformats.org/officeDocument/2006/relationships/worksheet" Target="worksheets/sheet143.xml"/><Relationship Id="rId7" Type="http://schemas.openxmlformats.org/officeDocument/2006/relationships/worksheet" Target="worksheets/sheet4.xml"/><Relationship Id="rId145" Type="http://schemas.openxmlformats.org/officeDocument/2006/relationships/worksheet" Target="worksheets/sheet142.xml"/><Relationship Id="rId8" Type="http://schemas.openxmlformats.org/officeDocument/2006/relationships/worksheet" Target="worksheets/sheet5.xml"/><Relationship Id="rId144" Type="http://schemas.openxmlformats.org/officeDocument/2006/relationships/worksheet" Target="worksheets/sheet141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75" Type="http://schemas.openxmlformats.org/officeDocument/2006/relationships/worksheet" Target="worksheets/sheet72.xml"/><Relationship Id="rId74" Type="http://schemas.openxmlformats.org/officeDocument/2006/relationships/worksheet" Target="worksheets/sheet71.xml"/><Relationship Id="rId77" Type="http://schemas.openxmlformats.org/officeDocument/2006/relationships/worksheet" Target="worksheets/sheet74.xml"/><Relationship Id="rId76" Type="http://schemas.openxmlformats.org/officeDocument/2006/relationships/worksheet" Target="worksheets/sheet73.xml"/><Relationship Id="rId79" Type="http://schemas.openxmlformats.org/officeDocument/2006/relationships/worksheet" Target="worksheets/sheet76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139" Type="http://schemas.openxmlformats.org/officeDocument/2006/relationships/worksheet" Target="worksheets/sheet136.xml"/><Relationship Id="rId138" Type="http://schemas.openxmlformats.org/officeDocument/2006/relationships/worksheet" Target="worksheets/sheet135.xml"/><Relationship Id="rId137" Type="http://schemas.openxmlformats.org/officeDocument/2006/relationships/worksheet" Target="worksheets/sheet134.xml"/><Relationship Id="rId132" Type="http://schemas.openxmlformats.org/officeDocument/2006/relationships/worksheet" Target="worksheets/sheet129.xml"/><Relationship Id="rId131" Type="http://schemas.openxmlformats.org/officeDocument/2006/relationships/worksheet" Target="worksheets/sheet128.xml"/><Relationship Id="rId130" Type="http://schemas.openxmlformats.org/officeDocument/2006/relationships/worksheet" Target="worksheets/sheet127.xml"/><Relationship Id="rId136" Type="http://schemas.openxmlformats.org/officeDocument/2006/relationships/worksheet" Target="worksheets/sheet133.xml"/><Relationship Id="rId135" Type="http://schemas.openxmlformats.org/officeDocument/2006/relationships/worksheet" Target="worksheets/sheet132.xml"/><Relationship Id="rId134" Type="http://schemas.openxmlformats.org/officeDocument/2006/relationships/worksheet" Target="worksheets/sheet131.xml"/><Relationship Id="rId133" Type="http://schemas.openxmlformats.org/officeDocument/2006/relationships/worksheet" Target="worksheets/sheet130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66" Type="http://schemas.openxmlformats.org/officeDocument/2006/relationships/worksheet" Target="worksheets/sheet63.xml"/><Relationship Id="rId65" Type="http://schemas.openxmlformats.org/officeDocument/2006/relationships/worksheet" Target="worksheets/sheet62.xml"/><Relationship Id="rId68" Type="http://schemas.openxmlformats.org/officeDocument/2006/relationships/worksheet" Target="worksheets/sheet65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69" Type="http://schemas.openxmlformats.org/officeDocument/2006/relationships/worksheet" Target="worksheets/sheet6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54" Type="http://schemas.openxmlformats.org/officeDocument/2006/relationships/worksheet" Target="worksheets/sheet51.xml"/><Relationship Id="rId57" Type="http://schemas.openxmlformats.org/officeDocument/2006/relationships/worksheet" Target="worksheets/sheet54.xml"/><Relationship Id="rId56" Type="http://schemas.openxmlformats.org/officeDocument/2006/relationships/worksheet" Target="worksheets/sheet53.xml"/><Relationship Id="rId59" Type="http://schemas.openxmlformats.org/officeDocument/2006/relationships/worksheet" Target="worksheets/sheet56.xml"/><Relationship Id="rId154" Type="http://schemas.openxmlformats.org/officeDocument/2006/relationships/worksheet" Target="worksheets/sheet151.xml"/><Relationship Id="rId58" Type="http://schemas.openxmlformats.org/officeDocument/2006/relationships/worksheet" Target="worksheets/sheet55.xml"/><Relationship Id="rId153" Type="http://schemas.openxmlformats.org/officeDocument/2006/relationships/worksheet" Target="worksheets/sheet150.xml"/><Relationship Id="rId152" Type="http://schemas.openxmlformats.org/officeDocument/2006/relationships/worksheet" Target="worksheets/sheet149.xml"/><Relationship Id="rId151" Type="http://schemas.openxmlformats.org/officeDocument/2006/relationships/worksheet" Target="worksheets/sheet148.xml"/><Relationship Id="rId156" Type="http://schemas.openxmlformats.org/officeDocument/2006/relationships/worksheet" Target="worksheets/sheet153.xml"/><Relationship Id="rId155" Type="http://schemas.openxmlformats.org/officeDocument/2006/relationships/worksheet" Target="worksheets/sheet15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H55:K68" displayName="Table_1" name="Table_1" id="1">
  <tableColumns count="4">
    <tableColumn name="Date" id="1"/>
    <tableColumn name="# of pieces" id="2"/>
    <tableColumn name="Amount expensed " id="3"/>
    <tableColumn name="Entity" id="4"/>
  </tableColumns>
  <tableStyleInfo name=" Roister (1007-1013)-style" showColumnStripes="0" showFirstColumn="1" showLastColumn="1" showRowStripes="1"/>
</table>
</file>

<file path=xl/tables/table2.xml><?xml version="1.0" encoding="utf-8"?>
<table xmlns="http://schemas.openxmlformats.org/spreadsheetml/2006/main" ref="H55:K68" displayName="Table_2" name="Table_2" id="2">
  <tableColumns count="4">
    <tableColumn name="Date" id="1"/>
    <tableColumn name="# of pieces" id="2"/>
    <tableColumn name="Amount expensed " id="3"/>
    <tableColumn name="Entity" id="4"/>
  </tableColumns>
  <tableStyleInfo name="Roister (1014-1020)-style" showColumnStripes="0" showFirstColumn="1" showLastColumn="1" showRowStripes="1"/>
</table>
</file>

<file path=xl/tables/table3.xml><?xml version="1.0" encoding="utf-8"?>
<table xmlns="http://schemas.openxmlformats.org/spreadsheetml/2006/main" headerRowCount="0" ref="H58:X71" displayName="Table_3" name="Table_3" id="3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Roister (1021-1027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H55:X68" displayName="Table_4" name="Table_4" id="4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Roister (1028-1103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H52:Y65" displayName="Table_5" name="Table_5" id="5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Roister (1104-1110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H50:Y63" displayName="Table_6" name="Table_6" id="6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Roister (1111-1117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H49:Y62" displayName="Table_7" name="Table_7" id="7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FIRE (1118-1124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H49:Y62" displayName="Table_8" name="Table_8" id="8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 FIRE (1125-1201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H49:Y66" displayName="Table_9" name="Table_9" id="9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FIRE (1202-1208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H50:Y63" displayName="Table_10" name="Table_10" id="10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 FIRE (1209-1215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H64:M73" displayName="Table_11" name="Table_11" id="1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 FIRE (1209-1215)-style 2" showColumnStripes="0" showFirstColumn="1" showLastColumn="1" showRowStripes="1"/>
</table>
</file>

<file path=xl/tables/table12.xml><?xml version="1.0" encoding="utf-8"?>
<table xmlns="http://schemas.openxmlformats.org/spreadsheetml/2006/main" headerRowCount="0" ref="H49:Z62" displayName="Table_12" name="Table_12" id="12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FIRE (1216-1222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H63:Y72" displayName="Table_13" name="Table_13" id="13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FIRE (1216-1222)-style 2" showColumnStripes="0" showFirstColumn="1" showLastColumn="1" showRowStripes="1"/>
</table>
</file>

<file path=xl/tables/table14.xml><?xml version="1.0" encoding="utf-8"?>
<table xmlns="http://schemas.openxmlformats.org/spreadsheetml/2006/main" headerRowCount="0" ref="H50:Z63" displayName="Table_14" name="Table_14" id="14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FIRE (1223-1229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5.xml><?xml version="1.0" encoding="utf-8"?>
<table xmlns="http://schemas.openxmlformats.org/spreadsheetml/2006/main" headerRowCount="0" ref="H64:Y73" displayName="Table_15" name="Table_15" id="15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FIRE (1223-1229)-style 2" showColumnStripes="0" showFirstColumn="1" showLastColumn="1" showRowStripes="1"/>
</table>
</file>

<file path=xl/tables/table16.xml><?xml version="1.0" encoding="utf-8"?>
<table xmlns="http://schemas.openxmlformats.org/spreadsheetml/2006/main" headerRowCount="0" ref="H51:Z64" displayName="Table_16" name="Table_16" id="16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FIRE (1230-15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H65:Z74" displayName="Table_17" name="Table_17" id="17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FIRE (1230-15)-style 2" showColumnStripes="0" showFirstColumn="1" showLastColumn="1" showRowStripes="1"/>
</table>
</file>

<file path=xl/tables/table18.xml><?xml version="1.0" encoding="utf-8"?>
<table xmlns="http://schemas.openxmlformats.org/spreadsheetml/2006/main" headerRowCount="0" ref="H54:Z67" displayName="Table_18" name="Table_18" id="18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 FIRE (16-112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9.xml><?xml version="1.0" encoding="utf-8"?>
<table xmlns="http://schemas.openxmlformats.org/spreadsheetml/2006/main" headerRowCount="0" ref="H68:Z77" displayName="Table_19" name="Table_19" id="19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 FIRE (16-112)-style 2" showColumnStripes="0" showFirstColumn="1" showLastColumn="1" showRowStripes="1"/>
</table>
</file>

<file path=xl/tables/table20.xml><?xml version="1.0" encoding="utf-8"?>
<table xmlns="http://schemas.openxmlformats.org/spreadsheetml/2006/main" headerRowCount="0" ref="H53:Z66" displayName="Table_20" name="Table_20" id="20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FIRE (113-119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headerRowCount="0" ref="H67:Z76" displayName="Table_21" name="Table_21" id="21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FIRE (113-119)-style 2" showColumnStripes="0" showFirstColumn="1" showLastColumn="1" showRowStripes="1"/>
</table>
</file>

<file path=xl/tables/table22.xml><?xml version="1.0" encoding="utf-8"?>
<table xmlns="http://schemas.openxmlformats.org/spreadsheetml/2006/main" headerRowCount="0" ref="H51:AG64" displayName="Table_22" name="Table_22" id="22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FIRE (120-126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.xml><?xml version="1.0" encoding="utf-8"?>
<table xmlns="http://schemas.openxmlformats.org/spreadsheetml/2006/main" headerRowCount="0" ref="H65:Y74" displayName="Table_23" name="Table_23" id="23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FIRE (120-126)-style 2" showColumnStripes="0" showFirstColumn="1" showLastColumn="1" showRowStripes="1"/>
</table>
</file>

<file path=xl/tables/table24.xml><?xml version="1.0" encoding="utf-8"?>
<table xmlns="http://schemas.openxmlformats.org/spreadsheetml/2006/main" headerRowCount="0" ref="H53:AG66" displayName="Table_24" name="Table_24" id="24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FIRE (127-22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.xml><?xml version="1.0" encoding="utf-8"?>
<table xmlns="http://schemas.openxmlformats.org/spreadsheetml/2006/main" headerRowCount="0" ref="H67:Y76" displayName="Table_25" name="Table_25" id="25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FIRE (127-22)-style 2" showColumnStripes="0" showFirstColumn="1" showLastColumn="1" showRowStripes="1"/>
</table>
</file>

<file path=xl/tables/table26.xml><?xml version="1.0" encoding="utf-8"?>
<table xmlns="http://schemas.openxmlformats.org/spreadsheetml/2006/main" headerRowCount="0" ref="H52:AG65" displayName="Table_26" name="Table_26" id="26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 FIRE (23-29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.xml><?xml version="1.0" encoding="utf-8"?>
<table xmlns="http://schemas.openxmlformats.org/spreadsheetml/2006/main" headerRowCount="0" ref="H66:Y75" displayName="Table_27" name="Table_27" id="27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 FIRE (23-29)-style 2" showColumnStripes="0" showFirstColumn="1" showLastColumn="1" showRowStripes="1"/>
</table>
</file>

<file path=xl/tables/table28.xml><?xml version="1.0" encoding="utf-8"?>
<table xmlns="http://schemas.openxmlformats.org/spreadsheetml/2006/main" headerRowCount="0" ref="H52:AG65" displayName="Table_28" name="Table_28" id="28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FIRE (210-216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.xml><?xml version="1.0" encoding="utf-8"?>
<table xmlns="http://schemas.openxmlformats.org/spreadsheetml/2006/main" headerRowCount="0" ref="H66:Y75" displayName="Table_29" name="Table_29" id="29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FIRE (210-216)-style 2" showColumnStripes="0" showFirstColumn="1" showLastColumn="1" showRowStripes="1"/>
</table>
</file>

<file path=xl/tables/table30.xml><?xml version="1.0" encoding="utf-8"?>
<table xmlns="http://schemas.openxmlformats.org/spreadsheetml/2006/main" headerRowCount="0" ref="H54:AG67" displayName="Table_30" name="Table_30" id="30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 FIRE (217-223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.xml><?xml version="1.0" encoding="utf-8"?>
<table xmlns="http://schemas.openxmlformats.org/spreadsheetml/2006/main" headerRowCount="0" ref="H68:Y77" displayName="Table_31" name="Table_31" id="3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 FIRE (217-223)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2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0.xml"/><Relationship Id="rId3" Type="http://schemas.openxmlformats.org/officeDocument/2006/relationships/vmlDrawing" Target="../drawings/vmlDrawing3.v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2.xml"/><Relationship Id="rId3" Type="http://schemas.openxmlformats.org/officeDocument/2006/relationships/vmlDrawing" Target="../drawings/vmlDrawing4.v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3.xml"/><Relationship Id="rId3" Type="http://schemas.openxmlformats.org/officeDocument/2006/relationships/vmlDrawing" Target="../drawings/vmlDrawing5.v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4.xml"/><Relationship Id="rId3" Type="http://schemas.openxmlformats.org/officeDocument/2006/relationships/vmlDrawing" Target="../drawings/vmlDrawing6.v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66.xml"/><Relationship Id="rId3" Type="http://schemas.openxmlformats.org/officeDocument/2006/relationships/vmlDrawing" Target="../drawings/vmlDrawing7.v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67.xml"/><Relationship Id="rId3" Type="http://schemas.openxmlformats.org/officeDocument/2006/relationships/vmlDrawing" Target="../drawings/vmlDrawing8.v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72.xml"/><Relationship Id="rId3" Type="http://schemas.openxmlformats.org/officeDocument/2006/relationships/vmlDrawing" Target="../drawings/vmlDrawing9.v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81.xml"/><Relationship Id="rId3" Type="http://schemas.openxmlformats.org/officeDocument/2006/relationships/vmlDrawing" Target="../drawings/vmlDrawing10.v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83.xml"/><Relationship Id="rId3" Type="http://schemas.openxmlformats.org/officeDocument/2006/relationships/vmlDrawing" Target="../drawings/vmlDrawing11.v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84.xml"/><Relationship Id="rId3" Type="http://schemas.openxmlformats.org/officeDocument/2006/relationships/vmlDrawing" Target="../drawings/vmlDrawing12.v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85.xml"/><Relationship Id="rId3" Type="http://schemas.openxmlformats.org/officeDocument/2006/relationships/vmlDrawing" Target="../drawings/vmlDrawing13.v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86.xml"/><Relationship Id="rId3" Type="http://schemas.openxmlformats.org/officeDocument/2006/relationships/vmlDrawing" Target="../drawings/vmlDrawing14.v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88.xml"/><Relationship Id="rId3" Type="http://schemas.openxmlformats.org/officeDocument/2006/relationships/vmlDrawing" Target="../drawings/vmlDrawing15.v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89.xml"/><Relationship Id="rId3" Type="http://schemas.openxmlformats.org/officeDocument/2006/relationships/vmlDrawing" Target="../drawings/vmlDrawing16.v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90.xml"/><Relationship Id="rId3" Type="http://schemas.openxmlformats.org/officeDocument/2006/relationships/vmlDrawing" Target="../drawings/vmlDrawing17.v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91.xml"/><Relationship Id="rId3" Type="http://schemas.openxmlformats.org/officeDocument/2006/relationships/vmlDrawing" Target="../drawings/vmlDrawing18.v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92.xml"/><Relationship Id="rId3" Type="http://schemas.openxmlformats.org/officeDocument/2006/relationships/vmlDrawing" Target="../drawings/vmlDrawing19.v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93.xml"/><Relationship Id="rId3" Type="http://schemas.openxmlformats.org/officeDocument/2006/relationships/vmlDrawing" Target="../drawings/vmlDrawing20.v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94.xml"/><Relationship Id="rId3" Type="http://schemas.openxmlformats.org/officeDocument/2006/relationships/vmlDrawing" Target="../drawings/vmlDrawing21.v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drawing" Target="../drawings/drawing95.xml"/><Relationship Id="rId3" Type="http://schemas.openxmlformats.org/officeDocument/2006/relationships/vmlDrawing" Target="../drawings/vmlDrawing22.v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drawing" Target="../drawings/drawing96.xml"/><Relationship Id="rId3" Type="http://schemas.openxmlformats.org/officeDocument/2006/relationships/vmlDrawing" Target="../drawings/vmlDrawing23.v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drawing" Target="../drawings/drawing97.xml"/><Relationship Id="rId3" Type="http://schemas.openxmlformats.org/officeDocument/2006/relationships/vmlDrawing" Target="../drawings/vmlDrawing24.v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drawing" Target="../drawings/drawing98.xml"/><Relationship Id="rId3" Type="http://schemas.openxmlformats.org/officeDocument/2006/relationships/vmlDrawing" Target="../drawings/vmlDrawing25.v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drawing" Target="../drawings/drawing99.xml"/><Relationship Id="rId3" Type="http://schemas.openxmlformats.org/officeDocument/2006/relationships/vmlDrawing" Target="../drawings/vmlDrawing26.v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drawing" Target="../drawings/drawing100.xml"/><Relationship Id="rId3" Type="http://schemas.openxmlformats.org/officeDocument/2006/relationships/vmlDrawing" Target="../drawings/vmlDrawing27.v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drawing" Target="../drawings/drawing101.xml"/><Relationship Id="rId3" Type="http://schemas.openxmlformats.org/officeDocument/2006/relationships/vmlDrawing" Target="../drawings/vmlDrawing28.v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drawing" Target="../drawings/drawing102.xml"/><Relationship Id="rId3" Type="http://schemas.openxmlformats.org/officeDocument/2006/relationships/vmlDrawing" Target="../drawings/vmlDrawing29.v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drawing" Target="../drawings/drawing103.xml"/><Relationship Id="rId3" Type="http://schemas.openxmlformats.org/officeDocument/2006/relationships/vmlDrawing" Target="../drawings/vmlDrawing30.v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drawing" Target="../drawings/drawing104.xml"/><Relationship Id="rId3" Type="http://schemas.openxmlformats.org/officeDocument/2006/relationships/vmlDrawing" Target="../drawings/vmlDrawing31.v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drawing" Target="../drawings/drawing105.xml"/><Relationship Id="rId3" Type="http://schemas.openxmlformats.org/officeDocument/2006/relationships/vmlDrawing" Target="../drawings/vmlDrawing32.v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drawing" Target="../drawings/drawing106.xml"/><Relationship Id="rId3" Type="http://schemas.openxmlformats.org/officeDocument/2006/relationships/vmlDrawing" Target="../drawings/vmlDrawing33.v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drawing" Target="../drawings/drawing107.xml"/><Relationship Id="rId3" Type="http://schemas.openxmlformats.org/officeDocument/2006/relationships/vmlDrawing" Target="../drawings/vmlDrawing34.v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drawing" Target="../drawings/drawing108.xml"/><Relationship Id="rId3" Type="http://schemas.openxmlformats.org/officeDocument/2006/relationships/vmlDrawing" Target="../drawings/vmlDrawing35.v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drawing" Target="../drawings/drawing109.xml"/><Relationship Id="rId3" Type="http://schemas.openxmlformats.org/officeDocument/2006/relationships/vmlDrawing" Target="../drawings/vmlDrawing36.v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drawing" Target="../drawings/drawing110.xml"/><Relationship Id="rId3" Type="http://schemas.openxmlformats.org/officeDocument/2006/relationships/vmlDrawing" Target="../drawings/vmlDrawing37.v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drawing" Target="../drawings/drawing111.xml"/><Relationship Id="rId3" Type="http://schemas.openxmlformats.org/officeDocument/2006/relationships/vmlDrawing" Target="../drawings/vmlDrawing38.v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comments" Target="../comments39.xml"/><Relationship Id="rId2" Type="http://schemas.openxmlformats.org/officeDocument/2006/relationships/drawing" Target="../drawings/drawing112.xml"/><Relationship Id="rId3" Type="http://schemas.openxmlformats.org/officeDocument/2006/relationships/vmlDrawing" Target="../drawings/vmlDrawing39.v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comments" Target="../comments40.xml"/><Relationship Id="rId2" Type="http://schemas.openxmlformats.org/officeDocument/2006/relationships/drawing" Target="../drawings/drawing113.xml"/><Relationship Id="rId3" Type="http://schemas.openxmlformats.org/officeDocument/2006/relationships/vmlDrawing" Target="../drawings/vmlDrawing40.v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comments" Target="../comments41.xml"/><Relationship Id="rId2" Type="http://schemas.openxmlformats.org/officeDocument/2006/relationships/drawing" Target="../drawings/drawing114.xml"/><Relationship Id="rId3" Type="http://schemas.openxmlformats.org/officeDocument/2006/relationships/vmlDrawing" Target="../drawings/vmlDrawing41.v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comments" Target="../comments42.xml"/><Relationship Id="rId2" Type="http://schemas.openxmlformats.org/officeDocument/2006/relationships/drawing" Target="../drawings/drawing115.xml"/><Relationship Id="rId3" Type="http://schemas.openxmlformats.org/officeDocument/2006/relationships/vmlDrawing" Target="../drawings/vmlDrawing42.v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comments" Target="../comments43.xml"/><Relationship Id="rId2" Type="http://schemas.openxmlformats.org/officeDocument/2006/relationships/drawing" Target="../drawings/drawing116.xml"/><Relationship Id="rId3" Type="http://schemas.openxmlformats.org/officeDocument/2006/relationships/vmlDrawing" Target="../drawings/vmlDrawing43.v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comments" Target="../comments44.xml"/><Relationship Id="rId2" Type="http://schemas.openxmlformats.org/officeDocument/2006/relationships/drawing" Target="../drawings/drawing117.xml"/><Relationship Id="rId3" Type="http://schemas.openxmlformats.org/officeDocument/2006/relationships/vmlDrawing" Target="../drawings/vmlDrawing44.v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comments" Target="../comments45.xml"/><Relationship Id="rId2" Type="http://schemas.openxmlformats.org/officeDocument/2006/relationships/drawing" Target="../drawings/drawing118.xml"/><Relationship Id="rId3" Type="http://schemas.openxmlformats.org/officeDocument/2006/relationships/vmlDrawing" Target="../drawings/vmlDrawing45.v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comments" Target="../comments46.xml"/><Relationship Id="rId2" Type="http://schemas.openxmlformats.org/officeDocument/2006/relationships/drawing" Target="../drawings/drawing119.xml"/><Relationship Id="rId3" Type="http://schemas.openxmlformats.org/officeDocument/2006/relationships/vmlDrawing" Target="../drawings/vmlDrawing46.v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comments" Target="../comments47.xml"/><Relationship Id="rId2" Type="http://schemas.openxmlformats.org/officeDocument/2006/relationships/drawing" Target="../drawings/drawing120.xml"/><Relationship Id="rId3" Type="http://schemas.openxmlformats.org/officeDocument/2006/relationships/vmlDrawing" Target="../drawings/vmlDrawing47.v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comments" Target="../comments48.xml"/><Relationship Id="rId2" Type="http://schemas.openxmlformats.org/officeDocument/2006/relationships/drawing" Target="../drawings/drawing121.xml"/><Relationship Id="rId3" Type="http://schemas.openxmlformats.org/officeDocument/2006/relationships/vmlDrawing" Target="../drawings/vmlDrawing48.v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comments" Target="../comments49.xml"/><Relationship Id="rId2" Type="http://schemas.openxmlformats.org/officeDocument/2006/relationships/drawing" Target="../drawings/drawing122.xml"/><Relationship Id="rId3" Type="http://schemas.openxmlformats.org/officeDocument/2006/relationships/vmlDrawing" Target="../drawings/vmlDrawing49.v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comments" Target="../comments50.xml"/><Relationship Id="rId2" Type="http://schemas.openxmlformats.org/officeDocument/2006/relationships/drawing" Target="../drawings/drawing123.xml"/><Relationship Id="rId3" Type="http://schemas.openxmlformats.org/officeDocument/2006/relationships/vmlDrawing" Target="../drawings/vmlDrawing50.v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comments" Target="../comments51.xml"/><Relationship Id="rId2" Type="http://schemas.openxmlformats.org/officeDocument/2006/relationships/drawing" Target="../drawings/drawing124.xml"/><Relationship Id="rId3" Type="http://schemas.openxmlformats.org/officeDocument/2006/relationships/vmlDrawing" Target="../drawings/vmlDrawing51.v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comments" Target="../comments52.xml"/><Relationship Id="rId2" Type="http://schemas.openxmlformats.org/officeDocument/2006/relationships/drawing" Target="../drawings/drawing125.xml"/><Relationship Id="rId3" Type="http://schemas.openxmlformats.org/officeDocument/2006/relationships/vmlDrawing" Target="../drawings/vmlDrawing52.v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comments" Target="../comments53.xml"/><Relationship Id="rId2" Type="http://schemas.openxmlformats.org/officeDocument/2006/relationships/drawing" Target="../drawings/drawing126.xml"/><Relationship Id="rId3" Type="http://schemas.openxmlformats.org/officeDocument/2006/relationships/vmlDrawing" Target="../drawings/vmlDrawing53.vml"/></Relationships>
</file>

<file path=xl/worksheets/_rels/sheet127.xml.rels><?xml version="1.0" encoding="UTF-8" standalone="yes"?><Relationships xmlns="http://schemas.openxmlformats.org/package/2006/relationships"><Relationship Id="rId1" Type="http://schemas.openxmlformats.org/officeDocument/2006/relationships/comments" Target="../comments54.xml"/><Relationship Id="rId2" Type="http://schemas.openxmlformats.org/officeDocument/2006/relationships/drawing" Target="../drawings/drawing127.xml"/><Relationship Id="rId3" Type="http://schemas.openxmlformats.org/officeDocument/2006/relationships/vmlDrawing" Target="../drawings/vmlDrawing54.vml"/></Relationships>
</file>

<file path=xl/worksheets/_rels/sheet128.xml.rels><?xml version="1.0" encoding="UTF-8" standalone="yes"?><Relationships xmlns="http://schemas.openxmlformats.org/package/2006/relationships"><Relationship Id="rId1" Type="http://schemas.openxmlformats.org/officeDocument/2006/relationships/comments" Target="../comments55.xml"/><Relationship Id="rId2" Type="http://schemas.openxmlformats.org/officeDocument/2006/relationships/drawing" Target="../drawings/drawing128.xml"/><Relationship Id="rId3" Type="http://schemas.openxmlformats.org/officeDocument/2006/relationships/vmlDrawing" Target="../drawings/vmlDrawing55.vml"/></Relationships>
</file>

<file path=xl/worksheets/_rels/sheet129.xml.rels><?xml version="1.0" encoding="UTF-8" standalone="yes"?><Relationships xmlns="http://schemas.openxmlformats.org/package/2006/relationships"><Relationship Id="rId1" Type="http://schemas.openxmlformats.org/officeDocument/2006/relationships/comments" Target="../comments56.xml"/><Relationship Id="rId2" Type="http://schemas.openxmlformats.org/officeDocument/2006/relationships/drawing" Target="../drawings/drawing129.xml"/><Relationship Id="rId3" Type="http://schemas.openxmlformats.org/officeDocument/2006/relationships/vmlDrawing" Target="../drawings/vmlDrawing56.vml"/></Relationships>
</file>

<file path=xl/worksheets/_rels/sheet130.xml.rels><?xml version="1.0" encoding="UTF-8" standalone="yes"?><Relationships xmlns="http://schemas.openxmlformats.org/package/2006/relationships"><Relationship Id="rId1" Type="http://schemas.openxmlformats.org/officeDocument/2006/relationships/comments" Target="../comments57.xml"/><Relationship Id="rId2" Type="http://schemas.openxmlformats.org/officeDocument/2006/relationships/drawing" Target="../drawings/drawing130.xml"/><Relationship Id="rId3" Type="http://schemas.openxmlformats.org/officeDocument/2006/relationships/vmlDrawing" Target="../drawings/vmlDrawing57.vml"/></Relationships>
</file>

<file path=xl/worksheets/_rels/sheet131.xml.rels><?xml version="1.0" encoding="UTF-8" standalone="yes"?><Relationships xmlns="http://schemas.openxmlformats.org/package/2006/relationships"><Relationship Id="rId1" Type="http://schemas.openxmlformats.org/officeDocument/2006/relationships/comments" Target="../comments58.xml"/><Relationship Id="rId2" Type="http://schemas.openxmlformats.org/officeDocument/2006/relationships/drawing" Target="../drawings/drawing131.xml"/><Relationship Id="rId3" Type="http://schemas.openxmlformats.org/officeDocument/2006/relationships/vmlDrawing" Target="../drawings/vmlDrawing58.vml"/></Relationships>
</file>

<file path=xl/worksheets/_rels/sheet132.xml.rels><?xml version="1.0" encoding="UTF-8" standalone="yes"?><Relationships xmlns="http://schemas.openxmlformats.org/package/2006/relationships"><Relationship Id="rId1" Type="http://schemas.openxmlformats.org/officeDocument/2006/relationships/comments" Target="../comments59.xml"/><Relationship Id="rId2" Type="http://schemas.openxmlformats.org/officeDocument/2006/relationships/drawing" Target="../drawings/drawing132.xml"/><Relationship Id="rId3" Type="http://schemas.openxmlformats.org/officeDocument/2006/relationships/vmlDrawing" Target="../drawings/vmlDrawing59.vml"/></Relationships>
</file>

<file path=xl/worksheets/_rels/sheet133.xml.rels><?xml version="1.0" encoding="UTF-8" standalone="yes"?><Relationships xmlns="http://schemas.openxmlformats.org/package/2006/relationships"><Relationship Id="rId1" Type="http://schemas.openxmlformats.org/officeDocument/2006/relationships/comments" Target="../comments60.xml"/><Relationship Id="rId2" Type="http://schemas.openxmlformats.org/officeDocument/2006/relationships/drawing" Target="../drawings/drawing133.xml"/><Relationship Id="rId3" Type="http://schemas.openxmlformats.org/officeDocument/2006/relationships/vmlDrawing" Target="../drawings/vmlDrawing60.vml"/><Relationship Id="rId5" Type="http://schemas.openxmlformats.org/officeDocument/2006/relationships/table" Target="../tables/table1.xml"/></Relationships>
</file>

<file path=xl/worksheets/_rels/sheet134.xml.rels><?xml version="1.0" encoding="UTF-8" standalone="yes"?><Relationships xmlns="http://schemas.openxmlformats.org/package/2006/relationships"><Relationship Id="rId1" Type="http://schemas.openxmlformats.org/officeDocument/2006/relationships/comments" Target="../comments61.xml"/><Relationship Id="rId2" Type="http://schemas.openxmlformats.org/officeDocument/2006/relationships/drawing" Target="../drawings/drawing134.xml"/><Relationship Id="rId3" Type="http://schemas.openxmlformats.org/officeDocument/2006/relationships/vmlDrawing" Target="../drawings/vmlDrawing61.vml"/><Relationship Id="rId5" Type="http://schemas.openxmlformats.org/officeDocument/2006/relationships/table" Target="../tables/table2.xml"/></Relationships>
</file>

<file path=xl/worksheets/_rels/sheet135.xml.rels><?xml version="1.0" encoding="UTF-8" standalone="yes"?><Relationships xmlns="http://schemas.openxmlformats.org/package/2006/relationships"><Relationship Id="rId1" Type="http://schemas.openxmlformats.org/officeDocument/2006/relationships/comments" Target="../comments62.xml"/><Relationship Id="rId2" Type="http://schemas.openxmlformats.org/officeDocument/2006/relationships/drawing" Target="../drawings/drawing135.xml"/><Relationship Id="rId3" Type="http://schemas.openxmlformats.org/officeDocument/2006/relationships/vmlDrawing" Target="../drawings/vmlDrawing62.vml"/><Relationship Id="rId5" Type="http://schemas.openxmlformats.org/officeDocument/2006/relationships/table" Target="../tables/table3.xml"/></Relationships>
</file>

<file path=xl/worksheets/_rels/sheet136.xml.rels><?xml version="1.0" encoding="UTF-8" standalone="yes"?><Relationships xmlns="http://schemas.openxmlformats.org/package/2006/relationships"><Relationship Id="rId1" Type="http://schemas.openxmlformats.org/officeDocument/2006/relationships/comments" Target="../comments63.xml"/><Relationship Id="rId2" Type="http://schemas.openxmlformats.org/officeDocument/2006/relationships/drawing" Target="../drawings/drawing136.xml"/><Relationship Id="rId3" Type="http://schemas.openxmlformats.org/officeDocument/2006/relationships/vmlDrawing" Target="../drawings/vmlDrawing63.vml"/><Relationship Id="rId5" Type="http://schemas.openxmlformats.org/officeDocument/2006/relationships/table" Target="../tables/table4.xml"/></Relationships>
</file>

<file path=xl/worksheets/_rels/sheet137.xml.rels><?xml version="1.0" encoding="UTF-8" standalone="yes"?><Relationships xmlns="http://schemas.openxmlformats.org/package/2006/relationships"><Relationship Id="rId1" Type="http://schemas.openxmlformats.org/officeDocument/2006/relationships/comments" Target="../comments64.xml"/><Relationship Id="rId2" Type="http://schemas.openxmlformats.org/officeDocument/2006/relationships/drawing" Target="../drawings/drawing137.xml"/><Relationship Id="rId3" Type="http://schemas.openxmlformats.org/officeDocument/2006/relationships/vmlDrawing" Target="../drawings/vmlDrawing64.vml"/><Relationship Id="rId5" Type="http://schemas.openxmlformats.org/officeDocument/2006/relationships/table" Target="../tables/table5.xml"/></Relationships>
</file>

<file path=xl/worksheets/_rels/sheet138.xml.rels><?xml version="1.0" encoding="UTF-8" standalone="yes"?><Relationships xmlns="http://schemas.openxmlformats.org/package/2006/relationships"><Relationship Id="rId1" Type="http://schemas.openxmlformats.org/officeDocument/2006/relationships/comments" Target="../comments65.xml"/><Relationship Id="rId2" Type="http://schemas.openxmlformats.org/officeDocument/2006/relationships/drawing" Target="../drawings/drawing138.xml"/><Relationship Id="rId3" Type="http://schemas.openxmlformats.org/officeDocument/2006/relationships/vmlDrawing" Target="../drawings/vmlDrawing65.vml"/><Relationship Id="rId5" Type="http://schemas.openxmlformats.org/officeDocument/2006/relationships/table" Target="../tables/table6.xml"/></Relationships>
</file>

<file path=xl/worksheets/_rels/sheet139.xml.rels><?xml version="1.0" encoding="UTF-8" standalone="yes"?><Relationships xmlns="http://schemas.openxmlformats.org/package/2006/relationships"><Relationship Id="rId1" Type="http://schemas.openxmlformats.org/officeDocument/2006/relationships/comments" Target="../comments66.xml"/><Relationship Id="rId2" Type="http://schemas.openxmlformats.org/officeDocument/2006/relationships/drawing" Target="../drawings/drawing139.xml"/><Relationship Id="rId3" Type="http://schemas.openxmlformats.org/officeDocument/2006/relationships/vmlDrawing" Target="../drawings/vmlDrawing66.vml"/><Relationship Id="rId5" Type="http://schemas.openxmlformats.org/officeDocument/2006/relationships/table" Target="../tables/table7.xml"/></Relationships>
</file>

<file path=xl/worksheets/_rels/sheet140.xml.rels><?xml version="1.0" encoding="UTF-8" standalone="yes"?><Relationships xmlns="http://schemas.openxmlformats.org/package/2006/relationships"><Relationship Id="rId1" Type="http://schemas.openxmlformats.org/officeDocument/2006/relationships/comments" Target="../comments67.xml"/><Relationship Id="rId2" Type="http://schemas.openxmlformats.org/officeDocument/2006/relationships/drawing" Target="../drawings/drawing140.xml"/><Relationship Id="rId3" Type="http://schemas.openxmlformats.org/officeDocument/2006/relationships/vmlDrawing" Target="../drawings/vmlDrawing67.vml"/><Relationship Id="rId5" Type="http://schemas.openxmlformats.org/officeDocument/2006/relationships/table" Target="../tables/table8.xml"/></Relationships>
</file>

<file path=xl/worksheets/_rels/sheet141.xml.rels><?xml version="1.0" encoding="UTF-8" standalone="yes"?><Relationships xmlns="http://schemas.openxmlformats.org/package/2006/relationships"><Relationship Id="rId1" Type="http://schemas.openxmlformats.org/officeDocument/2006/relationships/comments" Target="../comments68.xml"/><Relationship Id="rId2" Type="http://schemas.openxmlformats.org/officeDocument/2006/relationships/drawing" Target="../drawings/drawing141.xml"/><Relationship Id="rId3" Type="http://schemas.openxmlformats.org/officeDocument/2006/relationships/vmlDrawing" Target="../drawings/vmlDrawing68.vml"/><Relationship Id="rId5" Type="http://schemas.openxmlformats.org/officeDocument/2006/relationships/table" Target="../tables/table9.xml"/></Relationships>
</file>

<file path=xl/worksheets/_rels/sheet142.xml.rels><?xml version="1.0" encoding="UTF-8" standalone="yes"?><Relationships xmlns="http://schemas.openxmlformats.org/package/2006/relationships"><Relationship Id="rId1" Type="http://schemas.openxmlformats.org/officeDocument/2006/relationships/comments" Target="../comments69.xml"/><Relationship Id="rId2" Type="http://schemas.openxmlformats.org/officeDocument/2006/relationships/drawing" Target="../drawings/drawing142.xml"/><Relationship Id="rId3" Type="http://schemas.openxmlformats.org/officeDocument/2006/relationships/vmlDrawing" Target="../drawings/vmlDrawing69.vml"/><Relationship Id="rId6" Type="http://schemas.openxmlformats.org/officeDocument/2006/relationships/table" Target="../tables/table10.xml"/><Relationship Id="rId7" Type="http://schemas.openxmlformats.org/officeDocument/2006/relationships/table" Target="../tables/table11.xml"/></Relationships>
</file>

<file path=xl/worksheets/_rels/sheet143.xml.rels><?xml version="1.0" encoding="UTF-8" standalone="yes"?><Relationships xmlns="http://schemas.openxmlformats.org/package/2006/relationships"><Relationship Id="rId1" Type="http://schemas.openxmlformats.org/officeDocument/2006/relationships/comments" Target="../comments70.xml"/><Relationship Id="rId2" Type="http://schemas.openxmlformats.org/officeDocument/2006/relationships/drawing" Target="../drawings/drawing143.xml"/><Relationship Id="rId3" Type="http://schemas.openxmlformats.org/officeDocument/2006/relationships/vmlDrawing" Target="../drawings/vmlDrawing70.vml"/><Relationship Id="rId6" Type="http://schemas.openxmlformats.org/officeDocument/2006/relationships/table" Target="../tables/table12.xml"/><Relationship Id="rId7" Type="http://schemas.openxmlformats.org/officeDocument/2006/relationships/table" Target="../tables/table13.xml"/></Relationships>
</file>

<file path=xl/worksheets/_rels/sheet144.xml.rels><?xml version="1.0" encoding="UTF-8" standalone="yes"?><Relationships xmlns="http://schemas.openxmlformats.org/package/2006/relationships"><Relationship Id="rId1" Type="http://schemas.openxmlformats.org/officeDocument/2006/relationships/comments" Target="../comments71.xml"/><Relationship Id="rId2" Type="http://schemas.openxmlformats.org/officeDocument/2006/relationships/drawing" Target="../drawings/drawing144.xml"/><Relationship Id="rId3" Type="http://schemas.openxmlformats.org/officeDocument/2006/relationships/vmlDrawing" Target="../drawings/vmlDrawing71.vml"/><Relationship Id="rId6" Type="http://schemas.openxmlformats.org/officeDocument/2006/relationships/table" Target="../tables/table14.xml"/><Relationship Id="rId7" Type="http://schemas.openxmlformats.org/officeDocument/2006/relationships/table" Target="../tables/table15.xml"/></Relationships>
</file>

<file path=xl/worksheets/_rels/sheet145.xml.rels><?xml version="1.0" encoding="UTF-8" standalone="yes"?><Relationships xmlns="http://schemas.openxmlformats.org/package/2006/relationships"><Relationship Id="rId1" Type="http://schemas.openxmlformats.org/officeDocument/2006/relationships/comments" Target="../comments72.xml"/><Relationship Id="rId2" Type="http://schemas.openxmlformats.org/officeDocument/2006/relationships/drawing" Target="../drawings/drawing145.xml"/><Relationship Id="rId3" Type="http://schemas.openxmlformats.org/officeDocument/2006/relationships/vmlDrawing" Target="../drawings/vmlDrawing72.vml"/><Relationship Id="rId6" Type="http://schemas.openxmlformats.org/officeDocument/2006/relationships/table" Target="../tables/table16.xml"/><Relationship Id="rId7" Type="http://schemas.openxmlformats.org/officeDocument/2006/relationships/table" Target="../tables/table17.xml"/></Relationships>
</file>

<file path=xl/worksheets/_rels/sheet146.xml.rels><?xml version="1.0" encoding="UTF-8" standalone="yes"?><Relationships xmlns="http://schemas.openxmlformats.org/package/2006/relationships"><Relationship Id="rId1" Type="http://schemas.openxmlformats.org/officeDocument/2006/relationships/comments" Target="../comments73.xml"/><Relationship Id="rId2" Type="http://schemas.openxmlformats.org/officeDocument/2006/relationships/drawing" Target="../drawings/drawing146.xml"/><Relationship Id="rId3" Type="http://schemas.openxmlformats.org/officeDocument/2006/relationships/vmlDrawing" Target="../drawings/vmlDrawing73.vml"/><Relationship Id="rId6" Type="http://schemas.openxmlformats.org/officeDocument/2006/relationships/table" Target="../tables/table18.xml"/><Relationship Id="rId7" Type="http://schemas.openxmlformats.org/officeDocument/2006/relationships/table" Target="../tables/table19.xm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comments" Target="../comments74.xml"/><Relationship Id="rId2" Type="http://schemas.openxmlformats.org/officeDocument/2006/relationships/drawing" Target="../drawings/drawing147.xml"/><Relationship Id="rId3" Type="http://schemas.openxmlformats.org/officeDocument/2006/relationships/vmlDrawing" Target="../drawings/vmlDrawing74.vml"/><Relationship Id="rId6" Type="http://schemas.openxmlformats.org/officeDocument/2006/relationships/table" Target="../tables/table20.xml"/><Relationship Id="rId7" Type="http://schemas.openxmlformats.org/officeDocument/2006/relationships/table" Target="../tables/table21.xml"/></Relationships>
</file>

<file path=xl/worksheets/_rels/sheet148.xml.rels><?xml version="1.0" encoding="UTF-8" standalone="yes"?><Relationships xmlns="http://schemas.openxmlformats.org/package/2006/relationships"><Relationship Id="rId1" Type="http://schemas.openxmlformats.org/officeDocument/2006/relationships/comments" Target="../comments75.xml"/><Relationship Id="rId2" Type="http://schemas.openxmlformats.org/officeDocument/2006/relationships/drawing" Target="../drawings/drawing148.xml"/><Relationship Id="rId3" Type="http://schemas.openxmlformats.org/officeDocument/2006/relationships/vmlDrawing" Target="../drawings/vmlDrawing75.vml"/><Relationship Id="rId6" Type="http://schemas.openxmlformats.org/officeDocument/2006/relationships/table" Target="../tables/table22.xml"/><Relationship Id="rId7" Type="http://schemas.openxmlformats.org/officeDocument/2006/relationships/table" Target="../tables/table23.xml"/></Relationships>
</file>

<file path=xl/worksheets/_rels/sheet149.xml.rels><?xml version="1.0" encoding="UTF-8" standalone="yes"?><Relationships xmlns="http://schemas.openxmlformats.org/package/2006/relationships"><Relationship Id="rId1" Type="http://schemas.openxmlformats.org/officeDocument/2006/relationships/comments" Target="../comments76.xml"/><Relationship Id="rId2" Type="http://schemas.openxmlformats.org/officeDocument/2006/relationships/drawing" Target="../drawings/drawing149.xml"/><Relationship Id="rId3" Type="http://schemas.openxmlformats.org/officeDocument/2006/relationships/vmlDrawing" Target="../drawings/vmlDrawing76.vml"/><Relationship Id="rId6" Type="http://schemas.openxmlformats.org/officeDocument/2006/relationships/table" Target="../tables/table24.xml"/><Relationship Id="rId7" Type="http://schemas.openxmlformats.org/officeDocument/2006/relationships/table" Target="../tables/table25.xml"/></Relationships>
</file>

<file path=xl/worksheets/_rels/sheet150.xml.rels><?xml version="1.0" encoding="UTF-8" standalone="yes"?><Relationships xmlns="http://schemas.openxmlformats.org/package/2006/relationships"><Relationship Id="rId1" Type="http://schemas.openxmlformats.org/officeDocument/2006/relationships/comments" Target="../comments77.xml"/><Relationship Id="rId2" Type="http://schemas.openxmlformats.org/officeDocument/2006/relationships/drawing" Target="../drawings/drawing150.xml"/><Relationship Id="rId3" Type="http://schemas.openxmlformats.org/officeDocument/2006/relationships/vmlDrawing" Target="../drawings/vmlDrawing77.vml"/><Relationship Id="rId6" Type="http://schemas.openxmlformats.org/officeDocument/2006/relationships/table" Target="../tables/table26.xml"/><Relationship Id="rId7" Type="http://schemas.openxmlformats.org/officeDocument/2006/relationships/table" Target="../tables/table27.xml"/></Relationships>
</file>

<file path=xl/worksheets/_rels/sheet151.xml.rels><?xml version="1.0" encoding="UTF-8" standalone="yes"?><Relationships xmlns="http://schemas.openxmlformats.org/package/2006/relationships"><Relationship Id="rId1" Type="http://schemas.openxmlformats.org/officeDocument/2006/relationships/comments" Target="../comments78.xml"/><Relationship Id="rId2" Type="http://schemas.openxmlformats.org/officeDocument/2006/relationships/drawing" Target="../drawings/drawing151.xml"/><Relationship Id="rId3" Type="http://schemas.openxmlformats.org/officeDocument/2006/relationships/vmlDrawing" Target="../drawings/vmlDrawing78.vml"/><Relationship Id="rId6" Type="http://schemas.openxmlformats.org/officeDocument/2006/relationships/table" Target="../tables/table28.xml"/><Relationship Id="rId7" Type="http://schemas.openxmlformats.org/officeDocument/2006/relationships/table" Target="../tables/table29.xml"/></Relationships>
</file>

<file path=xl/worksheets/_rels/sheet152.xml.rels><?xml version="1.0" encoding="UTF-8" standalone="yes"?><Relationships xmlns="http://schemas.openxmlformats.org/package/2006/relationships"><Relationship Id="rId1" Type="http://schemas.openxmlformats.org/officeDocument/2006/relationships/comments" Target="../comments79.xml"/><Relationship Id="rId2" Type="http://schemas.openxmlformats.org/officeDocument/2006/relationships/drawing" Target="../drawings/drawing152.xml"/><Relationship Id="rId3" Type="http://schemas.openxmlformats.org/officeDocument/2006/relationships/vmlDrawing" Target="../drawings/vmlDrawing79.vml"/><Relationship Id="rId6" Type="http://schemas.openxmlformats.org/officeDocument/2006/relationships/table" Target="../tables/table30.xml"/><Relationship Id="rId7" Type="http://schemas.openxmlformats.org/officeDocument/2006/relationships/table" Target="../tables/table31.xml"/></Relationships>
</file>

<file path=xl/worksheets/_rels/sheet1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3" max="3" width="19.25"/>
    <col customWidth="1" min="5" max="5" width="13.0"/>
    <col customWidth="1" min="9" max="9" width="13.25"/>
    <col customWidth="1" min="12" max="12" width="15.38"/>
    <col customWidth="1" min="15" max="15" width="12.5"/>
    <col customWidth="1" min="16" max="16" width="14.75"/>
    <col customWidth="1" min="17" max="17" width="13.0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3" t="s">
        <v>14</v>
      </c>
      <c r="Q1" s="3" t="s">
        <v>15</v>
      </c>
    </row>
    <row r="2">
      <c r="A2" s="4" t="s">
        <v>16</v>
      </c>
      <c r="B2" s="5">
        <v>5570.11</v>
      </c>
      <c r="C2" s="5">
        <v>1407.23</v>
      </c>
      <c r="D2" s="5">
        <v>446.88</v>
      </c>
      <c r="E2" s="5">
        <v>390.0</v>
      </c>
      <c r="F2" s="6"/>
      <c r="G2" s="6"/>
      <c r="H2" s="6"/>
      <c r="I2" s="5">
        <v>242.0</v>
      </c>
      <c r="J2" s="6"/>
      <c r="K2" s="6"/>
      <c r="L2" s="6"/>
      <c r="M2" s="5">
        <v>100.0</v>
      </c>
      <c r="N2" s="6"/>
      <c r="O2" s="7">
        <f t="shared" ref="O2:O5" si="1">SUM(B2:N2)</f>
        <v>8156.22</v>
      </c>
      <c r="P2" s="8">
        <v>7462.0</v>
      </c>
      <c r="Q2" s="9">
        <f t="shared" ref="Q2:Q6" si="2">O2/P2</f>
        <v>1.093034039</v>
      </c>
    </row>
    <row r="3">
      <c r="A3" s="4" t="s">
        <v>17</v>
      </c>
      <c r="B3" s="5">
        <v>2108.57</v>
      </c>
      <c r="C3" s="5">
        <v>261.09</v>
      </c>
      <c r="D3" s="6"/>
      <c r="E3" s="6"/>
      <c r="F3" s="5"/>
      <c r="G3" s="6"/>
      <c r="H3" s="6"/>
      <c r="I3" s="6"/>
      <c r="J3" s="6"/>
      <c r="K3" s="5">
        <v>800.0</v>
      </c>
      <c r="L3" s="6"/>
      <c r="M3" s="6"/>
      <c r="N3" s="6"/>
      <c r="O3" s="7">
        <f t="shared" si="1"/>
        <v>3169.66</v>
      </c>
      <c r="P3" s="8">
        <v>6777.8</v>
      </c>
      <c r="Q3" s="9">
        <f t="shared" si="2"/>
        <v>0.4676532208</v>
      </c>
    </row>
    <row r="4">
      <c r="A4" s="4" t="s">
        <v>18</v>
      </c>
      <c r="B4" s="5">
        <v>1452.79</v>
      </c>
      <c r="C4" s="5">
        <v>266.5</v>
      </c>
      <c r="D4" s="6"/>
      <c r="E4" s="6"/>
      <c r="F4" s="5"/>
      <c r="G4" s="5">
        <v>355.0</v>
      </c>
      <c r="H4" s="5">
        <v>127.3</v>
      </c>
      <c r="I4" s="6"/>
      <c r="J4" s="5">
        <v>370.5</v>
      </c>
      <c r="K4" s="6"/>
      <c r="L4" s="5">
        <v>52.0</v>
      </c>
      <c r="M4" s="5">
        <v>100.0</v>
      </c>
      <c r="N4" s="5">
        <v>277.41</v>
      </c>
      <c r="O4" s="7">
        <f t="shared" si="1"/>
        <v>3001.5</v>
      </c>
      <c r="P4" s="8">
        <v>9749.0</v>
      </c>
      <c r="Q4" s="9">
        <f t="shared" si="2"/>
        <v>0.307877731</v>
      </c>
    </row>
    <row r="5">
      <c r="A5" s="4" t="s">
        <v>19</v>
      </c>
      <c r="B5" s="5">
        <v>1533.03</v>
      </c>
      <c r="C5" s="5">
        <v>928.1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7">
        <f t="shared" si="1"/>
        <v>2461.13</v>
      </c>
      <c r="P5" s="8">
        <f>3555+10500.8</f>
        <v>14055.8</v>
      </c>
      <c r="Q5" s="9">
        <f t="shared" si="2"/>
        <v>0.1750971129</v>
      </c>
    </row>
    <row r="6">
      <c r="A6" s="4" t="s">
        <v>20</v>
      </c>
      <c r="B6" s="10" t="s">
        <v>21</v>
      </c>
      <c r="C6" s="10" t="s">
        <v>21</v>
      </c>
      <c r="D6" s="10" t="s">
        <v>21</v>
      </c>
      <c r="E6" s="10" t="s">
        <v>21</v>
      </c>
      <c r="F6" s="10"/>
      <c r="G6" s="10" t="s">
        <v>21</v>
      </c>
      <c r="H6" s="10">
        <v>45.6</v>
      </c>
      <c r="I6" s="10" t="s">
        <v>21</v>
      </c>
      <c r="J6" s="10" t="s">
        <v>21</v>
      </c>
      <c r="K6" s="10" t="s">
        <v>21</v>
      </c>
      <c r="L6" s="10" t="s">
        <v>21</v>
      </c>
      <c r="M6" s="10" t="s">
        <v>21</v>
      </c>
      <c r="N6" s="10" t="s">
        <v>21</v>
      </c>
      <c r="O6" s="7">
        <v>0.0</v>
      </c>
      <c r="P6" s="8">
        <v>9949.0</v>
      </c>
      <c r="Q6" s="9">
        <f t="shared" si="2"/>
        <v>0</v>
      </c>
    </row>
    <row r="9">
      <c r="A9" s="4" t="s">
        <v>22</v>
      </c>
      <c r="B9" s="11">
        <v>14000.0</v>
      </c>
    </row>
    <row r="10">
      <c r="A10" s="4" t="s">
        <v>23</v>
      </c>
      <c r="B10" s="12">
        <f>SUM(B2:N6)</f>
        <v>16834.11</v>
      </c>
    </row>
    <row r="11">
      <c r="A11" s="4" t="s">
        <v>24</v>
      </c>
      <c r="B11" s="12">
        <f> SUM(B9-B10)</f>
        <v>-2834.11</v>
      </c>
    </row>
    <row r="13">
      <c r="A13" s="13" t="s">
        <v>25</v>
      </c>
      <c r="B13" s="14">
        <f>SUM(P2:P6)</f>
        <v>47993.6</v>
      </c>
    </row>
    <row r="14">
      <c r="A14" s="13" t="s">
        <v>26</v>
      </c>
      <c r="B14" s="15">
        <f>B10/B13</f>
        <v>0.3507573927</v>
      </c>
    </row>
    <row r="17">
      <c r="A17" s="16" t="s">
        <v>27</v>
      </c>
      <c r="B17" s="17"/>
      <c r="C17" s="17"/>
      <c r="D17" s="18"/>
    </row>
    <row r="18">
      <c r="A18" s="19" t="s">
        <v>28</v>
      </c>
      <c r="B18" s="20"/>
      <c r="C18" s="20"/>
      <c r="D18" s="21"/>
    </row>
    <row r="19">
      <c r="A19" s="22" t="s">
        <v>29</v>
      </c>
      <c r="B19" s="23" t="s">
        <v>30</v>
      </c>
      <c r="C19" s="22" t="s">
        <v>31</v>
      </c>
      <c r="D19" s="24" t="s">
        <v>30</v>
      </c>
    </row>
    <row r="20">
      <c r="A20" s="25"/>
      <c r="B20" s="26"/>
      <c r="C20" s="25"/>
      <c r="D20" s="27"/>
    </row>
    <row r="21">
      <c r="A21" s="25"/>
      <c r="B21" s="26"/>
      <c r="C21" s="25"/>
      <c r="D21" s="27"/>
    </row>
    <row r="22">
      <c r="A22" s="25"/>
      <c r="B22" s="26"/>
      <c r="C22" s="25"/>
      <c r="D22" s="27"/>
    </row>
    <row r="23">
      <c r="A23" s="28" t="s">
        <v>32</v>
      </c>
      <c r="B23" s="26"/>
      <c r="C23" s="25"/>
      <c r="D23" s="27"/>
    </row>
    <row r="24">
      <c r="A24" s="25"/>
      <c r="B24" s="26"/>
      <c r="C24" s="25"/>
      <c r="D24" s="27"/>
    </row>
    <row r="25">
      <c r="A25" s="28" t="s">
        <v>33</v>
      </c>
      <c r="B25" s="26"/>
      <c r="C25" s="25"/>
      <c r="D25" s="27"/>
    </row>
    <row r="26">
      <c r="A26" s="25"/>
      <c r="B26" s="26"/>
      <c r="C26" s="25"/>
      <c r="D26" s="27"/>
    </row>
    <row r="27">
      <c r="A27" s="28" t="s">
        <v>34</v>
      </c>
      <c r="B27" s="26"/>
      <c r="C27" s="25"/>
      <c r="D27" s="27"/>
    </row>
    <row r="28">
      <c r="A28" s="25"/>
      <c r="B28" s="26"/>
      <c r="C28" s="25"/>
      <c r="D28" s="27"/>
    </row>
    <row r="29">
      <c r="A29" s="25"/>
      <c r="B29" s="26"/>
      <c r="C29" s="25"/>
      <c r="D29" s="27"/>
    </row>
    <row r="30">
      <c r="A30" s="25"/>
      <c r="B30" s="26"/>
      <c r="C30" s="25"/>
      <c r="D30" s="27"/>
    </row>
    <row r="31">
      <c r="A31" s="25"/>
      <c r="B31" s="26"/>
      <c r="C31" s="25"/>
      <c r="D31" s="27"/>
    </row>
    <row r="32">
      <c r="A32" s="29" t="s">
        <v>35</v>
      </c>
      <c r="B32" s="30">
        <f>sum(B20:B31)</f>
        <v>0</v>
      </c>
      <c r="C32" s="31"/>
      <c r="D32" s="30">
        <f>sum(D20:D31)</f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9" max="9" width="18.25"/>
    <col customWidth="1" min="11" max="11" width="15.3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5</v>
      </c>
      <c r="G1" s="2" t="s">
        <v>6</v>
      </c>
      <c r="H1" s="2" t="s">
        <v>7</v>
      </c>
      <c r="I1" s="2" t="s">
        <v>36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</row>
    <row r="2">
      <c r="A2" s="4" t="s">
        <v>16</v>
      </c>
      <c r="B2" s="5">
        <v>5315.67</v>
      </c>
      <c r="C2" s="5">
        <v>754.4</v>
      </c>
      <c r="D2" s="5"/>
      <c r="E2" s="5">
        <v>390.0</v>
      </c>
      <c r="F2" s="5">
        <v>177.5</v>
      </c>
      <c r="G2" s="6"/>
      <c r="H2" s="5">
        <v>242.0</v>
      </c>
      <c r="I2" s="5">
        <v>500.0</v>
      </c>
      <c r="J2" s="6"/>
      <c r="K2" s="5">
        <v>46.5</v>
      </c>
      <c r="L2" s="5">
        <v>100.0</v>
      </c>
      <c r="M2" s="6"/>
      <c r="N2" s="7">
        <f t="shared" ref="N2:N5" si="1">SUM(B2:M2)</f>
        <v>7526.07</v>
      </c>
      <c r="O2" s="8">
        <v>7831.47</v>
      </c>
      <c r="P2" s="9">
        <f t="shared" ref="P2:P6" si="2">N2/O2</f>
        <v>0.9610034898</v>
      </c>
    </row>
    <row r="3">
      <c r="A3" s="4" t="s">
        <v>17</v>
      </c>
      <c r="B3" s="5">
        <v>1600.5</v>
      </c>
      <c r="C3" s="5">
        <v>90.4</v>
      </c>
      <c r="D3" s="5">
        <v>446.88</v>
      </c>
      <c r="E3" s="6"/>
      <c r="F3" s="6"/>
      <c r="G3" s="6"/>
      <c r="H3" s="6"/>
      <c r="J3" s="5">
        <v>450.0</v>
      </c>
      <c r="K3" s="6"/>
      <c r="L3" s="6"/>
      <c r="M3" s="6"/>
      <c r="N3" s="7">
        <f t="shared" si="1"/>
        <v>2587.78</v>
      </c>
      <c r="O3" s="8">
        <v>8512.1</v>
      </c>
      <c r="P3" s="9">
        <f t="shared" si="2"/>
        <v>0.304011936</v>
      </c>
    </row>
    <row r="4">
      <c r="A4" s="4" t="s">
        <v>18</v>
      </c>
      <c r="B4" s="5">
        <v>1278.77</v>
      </c>
      <c r="C4" s="5">
        <v>473.8</v>
      </c>
      <c r="D4" s="6"/>
      <c r="E4" s="6"/>
      <c r="F4" s="5"/>
      <c r="G4" s="5">
        <v>127.3</v>
      </c>
      <c r="H4" s="6"/>
      <c r="I4" s="5">
        <v>370.5</v>
      </c>
      <c r="J4" s="6"/>
      <c r="K4" s="5"/>
      <c r="L4" s="5">
        <v>100.0</v>
      </c>
      <c r="M4" s="5">
        <v>277.41</v>
      </c>
      <c r="N4" s="7">
        <f t="shared" si="1"/>
        <v>2627.78</v>
      </c>
      <c r="O4" s="8">
        <v>10478.0</v>
      </c>
      <c r="P4" s="9">
        <f t="shared" si="2"/>
        <v>0.2507902271</v>
      </c>
    </row>
    <row r="5">
      <c r="A5" s="4" t="s">
        <v>19</v>
      </c>
      <c r="B5" s="5">
        <v>1675.34</v>
      </c>
      <c r="C5" s="5">
        <v>310.4</v>
      </c>
      <c r="D5" s="6"/>
      <c r="E5" s="6"/>
      <c r="F5" s="6"/>
      <c r="G5" s="6"/>
      <c r="H5" s="6"/>
      <c r="I5" s="5"/>
      <c r="J5" s="6"/>
      <c r="K5" s="5">
        <v>19.0</v>
      </c>
      <c r="L5" s="6"/>
      <c r="M5" s="6"/>
      <c r="N5" s="7">
        <f t="shared" si="1"/>
        <v>2004.74</v>
      </c>
      <c r="O5" s="8">
        <v>13260.0</v>
      </c>
      <c r="P5" s="9">
        <f t="shared" si="2"/>
        <v>0.1511870287</v>
      </c>
    </row>
    <row r="6">
      <c r="A6" s="4" t="s">
        <v>20</v>
      </c>
      <c r="B6" s="10" t="s">
        <v>21</v>
      </c>
      <c r="C6" s="10" t="s">
        <v>21</v>
      </c>
      <c r="D6" s="10" t="s">
        <v>21</v>
      </c>
      <c r="E6" s="10" t="s">
        <v>21</v>
      </c>
      <c r="F6" s="10" t="s">
        <v>21</v>
      </c>
      <c r="G6" s="10" t="s">
        <v>21</v>
      </c>
      <c r="H6" s="10" t="s">
        <v>21</v>
      </c>
      <c r="I6" s="10" t="s">
        <v>21</v>
      </c>
      <c r="J6" s="10" t="s">
        <v>21</v>
      </c>
      <c r="K6" s="10" t="s">
        <v>21</v>
      </c>
      <c r="L6" s="10" t="s">
        <v>21</v>
      </c>
      <c r="M6" s="10" t="s">
        <v>21</v>
      </c>
      <c r="N6" s="7">
        <v>0.0</v>
      </c>
      <c r="O6" s="8">
        <v>10550.0</v>
      </c>
      <c r="P6" s="9">
        <f t="shared" si="2"/>
        <v>0</v>
      </c>
    </row>
    <row r="9">
      <c r="A9" s="4" t="s">
        <v>22</v>
      </c>
      <c r="B9" s="11">
        <v>14000.0</v>
      </c>
    </row>
    <row r="10">
      <c r="A10" s="4" t="s">
        <v>23</v>
      </c>
      <c r="B10" s="12">
        <f>SUM(B2:M6)</f>
        <v>14746.37</v>
      </c>
    </row>
    <row r="11">
      <c r="A11" s="4" t="s">
        <v>24</v>
      </c>
      <c r="B11" s="12">
        <f> SUM(B9-B10)</f>
        <v>-746.37</v>
      </c>
    </row>
    <row r="13">
      <c r="A13" s="13" t="s">
        <v>25</v>
      </c>
      <c r="B13" s="14">
        <f>SUM(O2:O6)</f>
        <v>50631.57</v>
      </c>
    </row>
    <row r="14">
      <c r="A14" s="13" t="s">
        <v>26</v>
      </c>
      <c r="B14" s="15">
        <f>B10/B13</f>
        <v>0.2912485234</v>
      </c>
    </row>
    <row r="17">
      <c r="A17" s="16" t="s">
        <v>27</v>
      </c>
      <c r="B17" s="17"/>
      <c r="C17" s="17"/>
      <c r="D17" s="18"/>
    </row>
    <row r="18">
      <c r="A18" s="19" t="s">
        <v>28</v>
      </c>
      <c r="B18" s="20"/>
      <c r="C18" s="20"/>
      <c r="D18" s="21"/>
    </row>
    <row r="19">
      <c r="A19" s="22" t="s">
        <v>29</v>
      </c>
      <c r="B19" s="23" t="s">
        <v>30</v>
      </c>
      <c r="C19" s="22" t="s">
        <v>31</v>
      </c>
      <c r="D19" s="24" t="s">
        <v>30</v>
      </c>
    </row>
    <row r="20">
      <c r="A20" s="25"/>
      <c r="B20" s="26"/>
      <c r="C20" s="25"/>
      <c r="D20" s="27"/>
    </row>
    <row r="21">
      <c r="A21" s="25"/>
      <c r="B21" s="26"/>
      <c r="C21" s="25"/>
      <c r="D21" s="27"/>
    </row>
    <row r="22">
      <c r="A22" s="25"/>
      <c r="B22" s="26"/>
      <c r="C22" s="25"/>
      <c r="D22" s="27"/>
    </row>
    <row r="23">
      <c r="A23" s="25"/>
      <c r="B23" s="26"/>
      <c r="C23" s="25"/>
      <c r="D23" s="27"/>
    </row>
    <row r="24">
      <c r="A24" s="25"/>
      <c r="B24" s="26"/>
      <c r="C24" s="25"/>
      <c r="D24" s="27"/>
    </row>
    <row r="25">
      <c r="A25" s="25"/>
      <c r="B25" s="26"/>
      <c r="C25" s="25"/>
      <c r="D25" s="27"/>
    </row>
    <row r="26">
      <c r="A26" s="25"/>
      <c r="B26" s="26"/>
      <c r="C26" s="25"/>
      <c r="D26" s="27"/>
    </row>
    <row r="27">
      <c r="A27" s="25"/>
      <c r="B27" s="26"/>
      <c r="C27" s="25"/>
      <c r="D27" s="27"/>
    </row>
    <row r="28">
      <c r="A28" s="25"/>
      <c r="B28" s="26"/>
      <c r="C28" s="25"/>
      <c r="D28" s="27"/>
    </row>
    <row r="29">
      <c r="A29" s="25"/>
      <c r="B29" s="26"/>
      <c r="C29" s="25"/>
      <c r="D29" s="27"/>
    </row>
    <row r="30">
      <c r="A30" s="25"/>
      <c r="B30" s="26"/>
      <c r="C30" s="25"/>
      <c r="D30" s="27"/>
    </row>
    <row r="31">
      <c r="A31" s="25"/>
      <c r="B31" s="26"/>
      <c r="C31" s="25"/>
      <c r="D31" s="27"/>
    </row>
    <row r="32">
      <c r="A32" s="29" t="s">
        <v>35</v>
      </c>
      <c r="B32" s="30">
        <f>sum(B20:B31)</f>
        <v>0</v>
      </c>
      <c r="C32" s="31"/>
      <c r="D32" s="30">
        <f>sum(D20:D31)</f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8" max="8" width="13.25"/>
    <col customWidth="1" min="9" max="9" width="18.25"/>
    <col customWidth="1" min="11" max="11" width="15.3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5</v>
      </c>
      <c r="G1" s="2" t="s">
        <v>6</v>
      </c>
      <c r="H1" s="2" t="s">
        <v>7</v>
      </c>
      <c r="I1" s="2" t="s">
        <v>36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</row>
    <row r="2">
      <c r="A2" s="4" t="s">
        <v>16</v>
      </c>
      <c r="B2" s="5">
        <v>4808.69</v>
      </c>
      <c r="C2" s="5">
        <v>1633.2</v>
      </c>
      <c r="D2" s="5"/>
      <c r="E2" s="5">
        <v>390.0</v>
      </c>
      <c r="F2" s="5"/>
      <c r="G2" s="6"/>
      <c r="H2" s="5">
        <v>242.0</v>
      </c>
      <c r="I2" s="5">
        <v>370.5</v>
      </c>
      <c r="J2" s="6"/>
      <c r="K2" s="5">
        <v>52.0</v>
      </c>
      <c r="L2" s="5">
        <v>100.0</v>
      </c>
      <c r="M2" s="6"/>
      <c r="N2" s="7">
        <f t="shared" ref="N2:N5" si="1">SUM(B2:M2)</f>
        <v>7596.39</v>
      </c>
      <c r="O2" s="8">
        <v>7097.0</v>
      </c>
      <c r="P2" s="9">
        <f t="shared" ref="P2:P6" si="2">N2/O2</f>
        <v>1.070366352</v>
      </c>
    </row>
    <row r="3">
      <c r="A3" s="4" t="s">
        <v>17</v>
      </c>
      <c r="B3" s="5">
        <v>1152.18</v>
      </c>
      <c r="C3" s="5">
        <v>138.7</v>
      </c>
      <c r="D3" s="5">
        <v>446.88</v>
      </c>
      <c r="E3" s="6"/>
      <c r="F3" s="6"/>
      <c r="G3" s="6"/>
      <c r="H3" s="6"/>
      <c r="J3" s="5">
        <v>400.0</v>
      </c>
      <c r="K3" s="6"/>
      <c r="L3" s="6"/>
      <c r="M3" s="6"/>
      <c r="N3" s="7">
        <f t="shared" si="1"/>
        <v>2137.76</v>
      </c>
      <c r="O3" s="8">
        <v>6330.0</v>
      </c>
      <c r="P3" s="9">
        <f t="shared" si="2"/>
        <v>0.3377187994</v>
      </c>
    </row>
    <row r="4">
      <c r="A4" s="4" t="s">
        <v>18</v>
      </c>
      <c r="B4" s="5">
        <v>2399.9</v>
      </c>
      <c r="C4" s="5">
        <v>491.48</v>
      </c>
      <c r="D4" s="6"/>
      <c r="E4" s="6"/>
      <c r="F4" s="5"/>
      <c r="G4" s="5">
        <v>127.3</v>
      </c>
      <c r="H4" s="6"/>
      <c r="I4" s="5"/>
      <c r="J4" s="6"/>
      <c r="K4" s="5"/>
      <c r="L4" s="5">
        <v>100.0</v>
      </c>
      <c r="M4" s="5">
        <v>277.41</v>
      </c>
      <c r="N4" s="7">
        <f t="shared" si="1"/>
        <v>3396.09</v>
      </c>
      <c r="O4" s="8"/>
      <c r="P4" s="9" t="str">
        <f t="shared" si="2"/>
        <v>#DIV/0!</v>
      </c>
    </row>
    <row r="5">
      <c r="A5" s="4" t="s">
        <v>19</v>
      </c>
      <c r="B5" s="5">
        <v>1551.56</v>
      </c>
      <c r="C5" s="5">
        <v>402.25</v>
      </c>
      <c r="D5" s="6"/>
      <c r="E5" s="6"/>
      <c r="F5" s="6"/>
      <c r="G5" s="6"/>
      <c r="H5" s="6"/>
      <c r="I5" s="32">
        <v>370.5</v>
      </c>
      <c r="J5" s="6"/>
      <c r="K5" s="5"/>
      <c r="L5" s="6"/>
      <c r="M5" s="6"/>
      <c r="N5" s="7">
        <f t="shared" si="1"/>
        <v>2324.31</v>
      </c>
      <c r="O5" s="8">
        <v>16070.01</v>
      </c>
      <c r="P5" s="9">
        <f t="shared" si="2"/>
        <v>0.1446364999</v>
      </c>
    </row>
    <row r="6">
      <c r="A6" s="4" t="s">
        <v>20</v>
      </c>
      <c r="B6" s="10" t="s">
        <v>21</v>
      </c>
      <c r="C6" s="10" t="s">
        <v>21</v>
      </c>
      <c r="D6" s="10" t="s">
        <v>21</v>
      </c>
      <c r="E6" s="10" t="s">
        <v>21</v>
      </c>
      <c r="F6" s="10" t="s">
        <v>21</v>
      </c>
      <c r="G6" s="10" t="s">
        <v>21</v>
      </c>
      <c r="H6" s="10" t="s">
        <v>21</v>
      </c>
      <c r="I6" s="10" t="s">
        <v>21</v>
      </c>
      <c r="J6" s="10" t="s">
        <v>21</v>
      </c>
      <c r="K6" s="10" t="s">
        <v>21</v>
      </c>
      <c r="L6" s="10" t="s">
        <v>21</v>
      </c>
      <c r="M6" s="10" t="s">
        <v>21</v>
      </c>
      <c r="N6" s="7">
        <v>0.0</v>
      </c>
      <c r="O6" s="8">
        <v>13009.5</v>
      </c>
      <c r="P6" s="9">
        <f t="shared" si="2"/>
        <v>0</v>
      </c>
    </row>
    <row r="9">
      <c r="A9" s="4" t="s">
        <v>22</v>
      </c>
      <c r="B9" s="11">
        <v>14000.0</v>
      </c>
    </row>
    <row r="10">
      <c r="A10" s="4" t="s">
        <v>23</v>
      </c>
      <c r="B10" s="12">
        <f>SUM(B2:M6)</f>
        <v>15454.55</v>
      </c>
    </row>
    <row r="11">
      <c r="A11" s="4" t="s">
        <v>24</v>
      </c>
      <c r="B11" s="12">
        <f> SUM(B9-B10)</f>
        <v>-1454.55</v>
      </c>
    </row>
    <row r="13">
      <c r="A13" s="13" t="s">
        <v>25</v>
      </c>
      <c r="B13" s="14">
        <f>SUM(O2:O6)</f>
        <v>42506.51</v>
      </c>
    </row>
    <row r="14">
      <c r="A14" s="13" t="s">
        <v>26</v>
      </c>
      <c r="B14" s="15">
        <f>B10/B13</f>
        <v>0.3635807786</v>
      </c>
    </row>
    <row r="17">
      <c r="A17" s="16" t="s">
        <v>27</v>
      </c>
      <c r="B17" s="17"/>
      <c r="C17" s="17"/>
      <c r="D17" s="18"/>
    </row>
    <row r="18">
      <c r="A18" s="19" t="s">
        <v>28</v>
      </c>
      <c r="B18" s="20"/>
      <c r="C18" s="20"/>
      <c r="D18" s="21"/>
    </row>
    <row r="19">
      <c r="A19" s="22" t="s">
        <v>29</v>
      </c>
      <c r="B19" s="23" t="s">
        <v>30</v>
      </c>
      <c r="C19" s="22" t="s">
        <v>31</v>
      </c>
      <c r="D19" s="24" t="s">
        <v>30</v>
      </c>
    </row>
    <row r="20">
      <c r="A20" s="25"/>
      <c r="B20" s="26"/>
      <c r="C20" s="25"/>
      <c r="D20" s="27"/>
    </row>
    <row r="21">
      <c r="A21" s="25"/>
      <c r="B21" s="26"/>
      <c r="C21" s="25"/>
      <c r="D21" s="27"/>
    </row>
    <row r="22">
      <c r="A22" s="25"/>
      <c r="B22" s="26"/>
      <c r="C22" s="25"/>
      <c r="D22" s="27"/>
    </row>
    <row r="23">
      <c r="A23" s="25"/>
      <c r="B23" s="26"/>
      <c r="C23" s="25"/>
      <c r="D23" s="27"/>
    </row>
    <row r="24">
      <c r="A24" s="25"/>
      <c r="B24" s="26"/>
      <c r="C24" s="25"/>
      <c r="D24" s="27"/>
    </row>
    <row r="25">
      <c r="A25" s="25"/>
      <c r="B25" s="26"/>
      <c r="C25" s="25"/>
      <c r="D25" s="27"/>
    </row>
    <row r="26">
      <c r="A26" s="25"/>
      <c r="B26" s="26"/>
      <c r="C26" s="25"/>
      <c r="D26" s="27"/>
    </row>
    <row r="27">
      <c r="A27" s="25"/>
      <c r="B27" s="26"/>
      <c r="C27" s="25"/>
      <c r="D27" s="27"/>
    </row>
    <row r="28">
      <c r="A28" s="25"/>
      <c r="B28" s="26"/>
      <c r="C28" s="25"/>
      <c r="D28" s="27"/>
    </row>
    <row r="29">
      <c r="A29" s="25"/>
      <c r="B29" s="26"/>
      <c r="C29" s="25"/>
      <c r="D29" s="27"/>
    </row>
    <row r="30">
      <c r="A30" s="25"/>
      <c r="B30" s="26"/>
      <c r="C30" s="25"/>
      <c r="D30" s="27"/>
    </row>
    <row r="31">
      <c r="A31" s="25"/>
      <c r="B31" s="26"/>
      <c r="C31" s="25"/>
      <c r="D31" s="27"/>
    </row>
    <row r="32">
      <c r="A32" s="29" t="s">
        <v>35</v>
      </c>
      <c r="B32" s="30">
        <f>sum(B20:B31)</f>
        <v>0</v>
      </c>
      <c r="C32" s="31"/>
      <c r="D32" s="30">
        <f>sum(D20:D31)</f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8.25"/>
    <col customWidth="1" min="11" max="11" width="15.3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5</v>
      </c>
      <c r="G1" s="2" t="s">
        <v>6</v>
      </c>
      <c r="H1" s="2" t="s">
        <v>7</v>
      </c>
      <c r="I1" s="2" t="s">
        <v>36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</row>
    <row r="2">
      <c r="A2" s="4" t="s">
        <v>16</v>
      </c>
      <c r="B2" s="5">
        <v>4940.53</v>
      </c>
      <c r="C2" s="5">
        <v>1684.15</v>
      </c>
      <c r="D2" s="5"/>
      <c r="E2" s="5">
        <v>390.0</v>
      </c>
      <c r="F2" s="5">
        <v>355.0</v>
      </c>
      <c r="G2" s="6"/>
      <c r="H2" s="5">
        <v>242.0</v>
      </c>
      <c r="I2" s="5"/>
      <c r="J2" s="6"/>
      <c r="K2" s="5">
        <v>39.0</v>
      </c>
      <c r="L2" s="5">
        <v>100.0</v>
      </c>
      <c r="M2" s="6"/>
      <c r="N2" s="7">
        <f t="shared" ref="N2:N5" si="1">SUM(B2:M2)</f>
        <v>7750.68</v>
      </c>
      <c r="O2" s="8">
        <v>7362.0</v>
      </c>
      <c r="P2" s="9">
        <f t="shared" ref="P2:P6" si="2">N2/O2</f>
        <v>1.052795436</v>
      </c>
    </row>
    <row r="3">
      <c r="A3" s="4" t="s">
        <v>17</v>
      </c>
      <c r="B3" s="5">
        <v>1751.9</v>
      </c>
      <c r="C3" s="5">
        <v>269.0</v>
      </c>
      <c r="D3" s="5">
        <v>446.88</v>
      </c>
      <c r="E3" s="6"/>
      <c r="F3" s="6"/>
      <c r="G3" s="6"/>
      <c r="H3" s="6"/>
      <c r="I3" s="33"/>
      <c r="J3" s="5">
        <v>350.0</v>
      </c>
      <c r="K3" s="6"/>
      <c r="L3" s="6"/>
      <c r="M3" s="6"/>
      <c r="N3" s="7">
        <f t="shared" si="1"/>
        <v>2817.78</v>
      </c>
      <c r="O3" s="8">
        <v>10200.96</v>
      </c>
      <c r="P3" s="9">
        <f t="shared" si="2"/>
        <v>0.2762269433</v>
      </c>
    </row>
    <row r="4">
      <c r="A4" s="4" t="s">
        <v>18</v>
      </c>
      <c r="B4" s="5">
        <v>1650.04</v>
      </c>
      <c r="C4" s="5">
        <v>593.85</v>
      </c>
      <c r="D4" s="6"/>
      <c r="E4" s="6"/>
      <c r="F4" s="5"/>
      <c r="G4" s="5">
        <v>127.3</v>
      </c>
      <c r="H4" s="6"/>
      <c r="I4" s="5"/>
      <c r="J4" s="6"/>
      <c r="K4" s="5"/>
      <c r="L4" s="5">
        <v>100.0</v>
      </c>
      <c r="M4" s="5">
        <v>277.41</v>
      </c>
      <c r="N4" s="7">
        <f t="shared" si="1"/>
        <v>2748.6</v>
      </c>
      <c r="O4" s="8">
        <v>11475.8</v>
      </c>
      <c r="P4" s="9">
        <f t="shared" si="2"/>
        <v>0.2395127137</v>
      </c>
    </row>
    <row r="5">
      <c r="A5" s="4" t="s">
        <v>19</v>
      </c>
      <c r="B5" s="5">
        <v>2131.75</v>
      </c>
      <c r="C5" s="5">
        <v>200.3</v>
      </c>
      <c r="D5" s="6"/>
      <c r="E5" s="6"/>
      <c r="F5" s="5">
        <v>245.64</v>
      </c>
      <c r="G5" s="5">
        <v>76.0</v>
      </c>
      <c r="H5" s="6"/>
      <c r="I5" s="33"/>
      <c r="J5" s="6"/>
      <c r="K5" s="5"/>
      <c r="L5" s="6"/>
      <c r="M5" s="6"/>
      <c r="N5" s="7">
        <f t="shared" si="1"/>
        <v>2653.69</v>
      </c>
      <c r="O5" s="8">
        <v>17111.5</v>
      </c>
      <c r="P5" s="9">
        <f t="shared" si="2"/>
        <v>0.1550822546</v>
      </c>
    </row>
    <row r="6">
      <c r="A6" s="4" t="s">
        <v>20</v>
      </c>
      <c r="B6" s="10" t="s">
        <v>21</v>
      </c>
      <c r="C6" s="10" t="s">
        <v>21</v>
      </c>
      <c r="D6" s="10" t="s">
        <v>21</v>
      </c>
      <c r="E6" s="10" t="s">
        <v>21</v>
      </c>
      <c r="F6" s="10" t="s">
        <v>21</v>
      </c>
      <c r="G6" s="10" t="s">
        <v>21</v>
      </c>
      <c r="H6" s="10" t="s">
        <v>21</v>
      </c>
      <c r="I6" s="10" t="s">
        <v>21</v>
      </c>
      <c r="J6" s="10" t="s">
        <v>21</v>
      </c>
      <c r="K6" s="10" t="s">
        <v>21</v>
      </c>
      <c r="L6" s="10" t="s">
        <v>21</v>
      </c>
      <c r="M6" s="10" t="s">
        <v>21</v>
      </c>
      <c r="N6" s="7">
        <v>0.0</v>
      </c>
      <c r="O6" s="8">
        <v>12811.0</v>
      </c>
      <c r="P6" s="9">
        <f t="shared" si="2"/>
        <v>0</v>
      </c>
    </row>
    <row r="9">
      <c r="A9" s="4" t="s">
        <v>22</v>
      </c>
      <c r="B9" s="11">
        <v>14000.0</v>
      </c>
    </row>
    <row r="10">
      <c r="A10" s="4" t="s">
        <v>23</v>
      </c>
      <c r="B10" s="12">
        <f>SUM(B2:M6)</f>
        <v>15970.75</v>
      </c>
    </row>
    <row r="11">
      <c r="A11" s="4" t="s">
        <v>24</v>
      </c>
      <c r="B11" s="12">
        <f> SUM(B9-B10)</f>
        <v>-1970.75</v>
      </c>
    </row>
    <row r="13">
      <c r="A13" s="13" t="s">
        <v>25</v>
      </c>
      <c r="B13" s="14">
        <f>SUM(O2:O6)</f>
        <v>58961.26</v>
      </c>
    </row>
    <row r="14">
      <c r="A14" s="13" t="s">
        <v>26</v>
      </c>
      <c r="B14" s="15">
        <f>B10/B13</f>
        <v>0.270868533</v>
      </c>
    </row>
    <row r="17">
      <c r="A17" s="16" t="s">
        <v>27</v>
      </c>
      <c r="B17" s="17"/>
      <c r="C17" s="17"/>
      <c r="D17" s="18"/>
    </row>
    <row r="18">
      <c r="A18" s="19" t="s">
        <v>28</v>
      </c>
      <c r="B18" s="20"/>
      <c r="C18" s="20"/>
      <c r="D18" s="21"/>
    </row>
    <row r="19">
      <c r="A19" s="22" t="s">
        <v>29</v>
      </c>
      <c r="B19" s="23" t="s">
        <v>30</v>
      </c>
      <c r="C19" s="22" t="s">
        <v>31</v>
      </c>
      <c r="D19" s="24" t="s">
        <v>30</v>
      </c>
    </row>
    <row r="20">
      <c r="A20" s="25"/>
      <c r="B20" s="26"/>
      <c r="C20" s="25"/>
      <c r="D20" s="27"/>
    </row>
    <row r="21">
      <c r="A21" s="25"/>
      <c r="B21" s="26"/>
      <c r="C21" s="25"/>
      <c r="D21" s="27"/>
    </row>
    <row r="22">
      <c r="A22" s="25"/>
      <c r="B22" s="26"/>
      <c r="C22" s="25"/>
      <c r="D22" s="27"/>
    </row>
    <row r="23">
      <c r="A23" s="25"/>
      <c r="B23" s="26"/>
      <c r="C23" s="25"/>
      <c r="D23" s="27"/>
    </row>
    <row r="24">
      <c r="A24" s="25"/>
      <c r="B24" s="26"/>
      <c r="C24" s="25"/>
      <c r="D24" s="27"/>
    </row>
    <row r="25">
      <c r="A25" s="25"/>
      <c r="B25" s="26"/>
      <c r="C25" s="25"/>
      <c r="D25" s="27"/>
    </row>
    <row r="26">
      <c r="A26" s="25"/>
      <c r="B26" s="26"/>
      <c r="C26" s="25"/>
      <c r="D26" s="27"/>
    </row>
    <row r="27">
      <c r="A27" s="25"/>
      <c r="B27" s="26"/>
      <c r="C27" s="25"/>
      <c r="D27" s="27"/>
    </row>
    <row r="28">
      <c r="A28" s="25"/>
      <c r="B28" s="26"/>
      <c r="C28" s="25"/>
      <c r="D28" s="27"/>
    </row>
    <row r="29">
      <c r="A29" s="25"/>
      <c r="B29" s="26"/>
      <c r="C29" s="25"/>
      <c r="D29" s="27"/>
    </row>
    <row r="30">
      <c r="A30" s="25"/>
      <c r="B30" s="26"/>
      <c r="C30" s="25"/>
      <c r="D30" s="27"/>
    </row>
    <row r="31">
      <c r="A31" s="25"/>
      <c r="B31" s="26"/>
      <c r="C31" s="25"/>
      <c r="D31" s="27"/>
    </row>
    <row r="32">
      <c r="A32" s="29" t="s">
        <v>35</v>
      </c>
      <c r="B32" s="30">
        <f>sum(B20:B31)</f>
        <v>0</v>
      </c>
      <c r="C32" s="31"/>
      <c r="D32" s="30">
        <f>sum(D20:D31)</f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11.0"/>
    <col customWidth="1" min="5" max="5" width="13.0"/>
    <col customWidth="1" min="8" max="8" width="13.25"/>
    <col customWidth="1" min="9" max="9" width="18.25"/>
    <col customWidth="1" min="11" max="11" width="15.38"/>
    <col customWidth="1" min="15" max="15" width="14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5</v>
      </c>
      <c r="G1" s="2" t="s">
        <v>6</v>
      </c>
      <c r="H1" s="2" t="s">
        <v>7</v>
      </c>
      <c r="I1" s="2" t="s">
        <v>36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</row>
    <row r="2">
      <c r="A2" s="4" t="s">
        <v>16</v>
      </c>
      <c r="B2" s="5">
        <v>5588.35</v>
      </c>
      <c r="C2" s="5">
        <v>1525.0</v>
      </c>
      <c r="D2" s="5"/>
      <c r="E2" s="5">
        <v>390.0</v>
      </c>
      <c r="F2" s="5">
        <v>248.95</v>
      </c>
      <c r="G2" s="6"/>
      <c r="H2" s="5">
        <v>242.0</v>
      </c>
      <c r="I2" s="5"/>
      <c r="J2" s="6"/>
      <c r="K2" s="5">
        <v>15.95</v>
      </c>
      <c r="L2" s="5">
        <v>100.0</v>
      </c>
      <c r="M2" s="6"/>
      <c r="N2" s="7">
        <f t="shared" ref="N2:N5" si="1">SUM(B2:M2)</f>
        <v>8110.25</v>
      </c>
      <c r="O2" s="8">
        <v>7023.01</v>
      </c>
      <c r="P2" s="9">
        <f t="shared" ref="P2:P6" si="2">N2/O2</f>
        <v>1.154811114</v>
      </c>
    </row>
    <row r="3">
      <c r="A3" s="4" t="s">
        <v>17</v>
      </c>
      <c r="B3" s="5">
        <v>2447.87</v>
      </c>
      <c r="C3" s="5">
        <v>243.93</v>
      </c>
      <c r="D3" s="5">
        <v>446.88</v>
      </c>
      <c r="E3" s="6"/>
      <c r="F3" s="6"/>
      <c r="G3" s="6"/>
      <c r="H3" s="6"/>
      <c r="I3" s="33">
        <v>370.15</v>
      </c>
      <c r="J3" s="5"/>
      <c r="K3" s="6"/>
      <c r="L3" s="6"/>
      <c r="M3" s="6"/>
      <c r="N3" s="7">
        <f t="shared" si="1"/>
        <v>3508.83</v>
      </c>
      <c r="O3" s="8">
        <v>8057.0</v>
      </c>
      <c r="P3" s="9">
        <f t="shared" si="2"/>
        <v>0.4355008068</v>
      </c>
    </row>
    <row r="4">
      <c r="A4" s="4" t="s">
        <v>18</v>
      </c>
      <c r="B4" s="5">
        <v>2193.28</v>
      </c>
      <c r="C4" s="5">
        <v>234.15</v>
      </c>
      <c r="D4" s="6"/>
      <c r="E4" s="6"/>
      <c r="F4" s="5"/>
      <c r="G4" s="5">
        <v>127.3</v>
      </c>
      <c r="H4" s="6"/>
      <c r="I4" s="5"/>
      <c r="J4" s="6"/>
      <c r="K4" s="5"/>
      <c r="L4" s="5">
        <v>100.0</v>
      </c>
      <c r="M4" s="5">
        <v>277.41</v>
      </c>
      <c r="N4" s="7">
        <f t="shared" si="1"/>
        <v>2932.14</v>
      </c>
      <c r="O4" s="8">
        <v>10393.4</v>
      </c>
      <c r="P4" s="9">
        <f t="shared" si="2"/>
        <v>0.2821155733</v>
      </c>
    </row>
    <row r="5">
      <c r="A5" s="4" t="s">
        <v>19</v>
      </c>
      <c r="B5" s="5">
        <v>2361.93</v>
      </c>
      <c r="C5" s="5">
        <v>146.8</v>
      </c>
      <c r="D5" s="6"/>
      <c r="E5" s="6"/>
      <c r="F5" s="6"/>
      <c r="G5" s="6"/>
      <c r="H5" s="6"/>
      <c r="I5" s="33">
        <v>370.15</v>
      </c>
      <c r="J5" s="6"/>
      <c r="K5" s="5">
        <v>25.0</v>
      </c>
      <c r="L5" s="6"/>
      <c r="M5" s="6"/>
      <c r="N5" s="7">
        <f t="shared" si="1"/>
        <v>2903.88</v>
      </c>
      <c r="O5" s="8">
        <v>14361.0</v>
      </c>
      <c r="P5" s="9">
        <f t="shared" si="2"/>
        <v>0.2022059745</v>
      </c>
    </row>
    <row r="6">
      <c r="A6" s="4" t="s">
        <v>20</v>
      </c>
      <c r="B6" s="10" t="s">
        <v>21</v>
      </c>
      <c r="C6" s="10" t="s">
        <v>21</v>
      </c>
      <c r="D6" s="10" t="s">
        <v>21</v>
      </c>
      <c r="E6" s="10" t="s">
        <v>21</v>
      </c>
      <c r="F6" s="10" t="s">
        <v>21</v>
      </c>
      <c r="G6" s="10" t="s">
        <v>21</v>
      </c>
      <c r="H6" s="10" t="s">
        <v>21</v>
      </c>
      <c r="I6" s="10" t="s">
        <v>21</v>
      </c>
      <c r="J6" s="10" t="s">
        <v>21</v>
      </c>
      <c r="K6" s="10" t="s">
        <v>21</v>
      </c>
      <c r="L6" s="10" t="s">
        <v>21</v>
      </c>
      <c r="M6" s="10" t="s">
        <v>21</v>
      </c>
      <c r="N6" s="7">
        <v>0.0</v>
      </c>
      <c r="O6" s="8">
        <v>11288.6</v>
      </c>
      <c r="P6" s="9">
        <f t="shared" si="2"/>
        <v>0</v>
      </c>
    </row>
    <row r="9">
      <c r="A9" s="4" t="s">
        <v>22</v>
      </c>
      <c r="B9" s="11">
        <v>14000.0</v>
      </c>
    </row>
    <row r="10">
      <c r="A10" s="4" t="s">
        <v>23</v>
      </c>
      <c r="B10" s="12">
        <f>SUM(B2:M6)</f>
        <v>17455.1</v>
      </c>
    </row>
    <row r="11">
      <c r="A11" s="4" t="s">
        <v>24</v>
      </c>
      <c r="B11" s="12">
        <f> SUM(B9-B10)</f>
        <v>-3455.1</v>
      </c>
    </row>
    <row r="13">
      <c r="A13" s="13" t="s">
        <v>25</v>
      </c>
      <c r="B13" s="14">
        <f>SUM(O2:O6)</f>
        <v>51123.01</v>
      </c>
    </row>
    <row r="14">
      <c r="A14" s="13" t="s">
        <v>26</v>
      </c>
      <c r="B14" s="15">
        <f>B10/B13</f>
        <v>0.3414333389</v>
      </c>
    </row>
    <row r="17">
      <c r="A17" s="16" t="s">
        <v>27</v>
      </c>
      <c r="B17" s="17"/>
      <c r="C17" s="17"/>
      <c r="D17" s="18"/>
    </row>
    <row r="18">
      <c r="A18" s="19" t="s">
        <v>28</v>
      </c>
      <c r="B18" s="20"/>
      <c r="C18" s="20"/>
      <c r="D18" s="21"/>
    </row>
    <row r="19">
      <c r="A19" s="22" t="s">
        <v>29</v>
      </c>
      <c r="B19" s="23" t="s">
        <v>30</v>
      </c>
      <c r="C19" s="22" t="s">
        <v>31</v>
      </c>
      <c r="D19" s="24" t="s">
        <v>30</v>
      </c>
    </row>
    <row r="20">
      <c r="A20" s="25"/>
      <c r="B20" s="26"/>
      <c r="C20" s="25"/>
      <c r="D20" s="27"/>
    </row>
    <row r="21">
      <c r="A21" s="25"/>
      <c r="B21" s="26"/>
      <c r="C21" s="25"/>
      <c r="D21" s="27"/>
    </row>
    <row r="22">
      <c r="A22" s="25"/>
      <c r="B22" s="26"/>
      <c r="C22" s="25"/>
      <c r="D22" s="27"/>
    </row>
    <row r="23">
      <c r="A23" s="25"/>
      <c r="B23" s="26"/>
      <c r="C23" s="25"/>
      <c r="D23" s="27"/>
    </row>
    <row r="24">
      <c r="A24" s="25"/>
      <c r="B24" s="26"/>
      <c r="C24" s="25"/>
      <c r="D24" s="27"/>
    </row>
    <row r="25">
      <c r="A25" s="25"/>
      <c r="B25" s="26"/>
      <c r="C25" s="25"/>
      <c r="D25" s="27"/>
    </row>
    <row r="26">
      <c r="A26" s="25"/>
      <c r="B26" s="26"/>
      <c r="C26" s="25"/>
      <c r="D26" s="27"/>
    </row>
    <row r="27">
      <c r="A27" s="25"/>
      <c r="B27" s="26"/>
      <c r="C27" s="25"/>
      <c r="D27" s="27"/>
    </row>
    <row r="28">
      <c r="A28" s="25"/>
      <c r="B28" s="26"/>
      <c r="C28" s="25"/>
      <c r="D28" s="27"/>
    </row>
    <row r="29">
      <c r="A29" s="25"/>
      <c r="B29" s="26"/>
      <c r="C29" s="25"/>
      <c r="D29" s="27"/>
    </row>
    <row r="30">
      <c r="A30" s="25"/>
      <c r="B30" s="26"/>
      <c r="C30" s="25"/>
      <c r="D30" s="27"/>
    </row>
    <row r="31">
      <c r="A31" s="25"/>
      <c r="B31" s="26"/>
      <c r="C31" s="25"/>
      <c r="D31" s="27"/>
    </row>
    <row r="32">
      <c r="A32" s="29" t="s">
        <v>35</v>
      </c>
      <c r="B32" s="30">
        <f>sum(B20:B31)</f>
        <v>0</v>
      </c>
      <c r="C32" s="31"/>
      <c r="D32" s="30">
        <f>sum(D20:D31)</f>
        <v>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9" max="9" width="18.25"/>
    <col customWidth="1" min="11" max="11" width="15.3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5</v>
      </c>
      <c r="G1" s="2" t="s">
        <v>6</v>
      </c>
      <c r="H1" s="2" t="s">
        <v>7</v>
      </c>
      <c r="I1" s="2" t="s">
        <v>36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</row>
    <row r="2">
      <c r="A2" s="4" t="s">
        <v>16</v>
      </c>
      <c r="B2" s="5">
        <v>3552.49</v>
      </c>
      <c r="C2" s="5">
        <v>309.3</v>
      </c>
      <c r="D2" s="5"/>
      <c r="E2" s="5">
        <v>390.0</v>
      </c>
      <c r="F2" s="5">
        <v>355.0</v>
      </c>
      <c r="G2" s="6"/>
      <c r="H2" s="5">
        <v>242.0</v>
      </c>
      <c r="I2" s="5">
        <v>440.0</v>
      </c>
      <c r="J2" s="6"/>
      <c r="K2" s="5"/>
      <c r="L2" s="5">
        <v>100.0</v>
      </c>
      <c r="M2" s="6"/>
      <c r="N2" s="7">
        <f t="shared" ref="N2:N5" si="1">SUM(B2:M2)</f>
        <v>5388.79</v>
      </c>
      <c r="O2" s="8">
        <v>0.0</v>
      </c>
      <c r="P2" s="9" t="str">
        <f t="shared" ref="P2:P6" si="2">N2/O2</f>
        <v>#DIV/0!</v>
      </c>
    </row>
    <row r="3">
      <c r="A3" s="4" t="s">
        <v>17</v>
      </c>
      <c r="B3" s="5">
        <v>871.14</v>
      </c>
      <c r="C3" s="5">
        <v>532.96</v>
      </c>
      <c r="D3" s="5">
        <v>446.88</v>
      </c>
      <c r="E3" s="6"/>
      <c r="F3" s="6"/>
      <c r="G3" s="6"/>
      <c r="H3" s="6"/>
      <c r="I3" s="33"/>
      <c r="J3" s="5"/>
      <c r="K3" s="6"/>
      <c r="L3" s="6"/>
      <c r="M3" s="6"/>
      <c r="N3" s="7">
        <f t="shared" si="1"/>
        <v>1850.98</v>
      </c>
      <c r="O3" s="34">
        <v>17208.75</v>
      </c>
      <c r="P3" s="9">
        <f t="shared" si="2"/>
        <v>0.1075603981</v>
      </c>
    </row>
    <row r="4">
      <c r="A4" s="4" t="s">
        <v>18</v>
      </c>
      <c r="B4" s="5">
        <v>2065.2</v>
      </c>
      <c r="C4" s="5">
        <v>466.8</v>
      </c>
      <c r="D4" s="6"/>
      <c r="E4" s="6"/>
      <c r="F4" s="5"/>
      <c r="G4" s="5">
        <v>127.3</v>
      </c>
      <c r="H4" s="6"/>
      <c r="I4" s="5"/>
      <c r="J4" s="5">
        <v>800.0</v>
      </c>
      <c r="K4" s="5">
        <v>44.5</v>
      </c>
      <c r="L4" s="5">
        <v>100.0</v>
      </c>
      <c r="M4" s="5">
        <v>277.41</v>
      </c>
      <c r="N4" s="7">
        <f t="shared" si="1"/>
        <v>3881.21</v>
      </c>
      <c r="O4" s="35">
        <v>13514.0</v>
      </c>
      <c r="P4" s="9">
        <f t="shared" si="2"/>
        <v>0.2871992008</v>
      </c>
    </row>
    <row r="5">
      <c r="A5" s="4" t="s">
        <v>19</v>
      </c>
      <c r="B5" s="5">
        <v>2482.46</v>
      </c>
      <c r="C5" s="5">
        <v>1042.79</v>
      </c>
      <c r="D5" s="6"/>
      <c r="E5" s="6"/>
      <c r="F5" s="5"/>
      <c r="G5" s="5"/>
      <c r="H5" s="6"/>
      <c r="I5" s="33"/>
      <c r="J5" s="6"/>
      <c r="K5" s="5"/>
      <c r="L5" s="6"/>
      <c r="M5" s="6"/>
      <c r="N5" s="7">
        <f t="shared" si="1"/>
        <v>3525.25</v>
      </c>
      <c r="O5" s="36">
        <v>20288.1</v>
      </c>
      <c r="P5" s="9">
        <f t="shared" si="2"/>
        <v>0.1737594945</v>
      </c>
    </row>
    <row r="6">
      <c r="A6" s="4" t="s">
        <v>20</v>
      </c>
      <c r="B6" s="10" t="s">
        <v>21</v>
      </c>
      <c r="C6" s="10" t="s">
        <v>21</v>
      </c>
      <c r="D6" s="10" t="s">
        <v>21</v>
      </c>
      <c r="E6" s="10" t="s">
        <v>21</v>
      </c>
      <c r="F6" s="10" t="s">
        <v>21</v>
      </c>
      <c r="G6" s="10" t="s">
        <v>21</v>
      </c>
      <c r="H6" s="10" t="s">
        <v>21</v>
      </c>
      <c r="I6" s="10" t="s">
        <v>21</v>
      </c>
      <c r="J6" s="10" t="s">
        <v>21</v>
      </c>
      <c r="K6" s="10" t="s">
        <v>21</v>
      </c>
      <c r="L6" s="10" t="s">
        <v>21</v>
      </c>
      <c r="M6" s="10" t="s">
        <v>21</v>
      </c>
      <c r="N6" s="7">
        <v>0.0</v>
      </c>
      <c r="O6" s="8">
        <v>20679.0</v>
      </c>
      <c r="P6" s="9">
        <f t="shared" si="2"/>
        <v>0</v>
      </c>
    </row>
    <row r="9">
      <c r="A9" s="4" t="s">
        <v>22</v>
      </c>
      <c r="B9" s="11">
        <v>14000.0</v>
      </c>
    </row>
    <row r="10">
      <c r="A10" s="4" t="s">
        <v>23</v>
      </c>
      <c r="B10" s="12">
        <f>SUM(B2:M6)</f>
        <v>14646.23</v>
      </c>
    </row>
    <row r="11">
      <c r="A11" s="4" t="s">
        <v>24</v>
      </c>
      <c r="B11" s="12">
        <f> SUM(B9-B10)</f>
        <v>-646.23</v>
      </c>
    </row>
    <row r="13">
      <c r="A13" s="13" t="s">
        <v>25</v>
      </c>
      <c r="B13" s="14">
        <f>SUM(O2:O6)</f>
        <v>71689.85</v>
      </c>
    </row>
    <row r="14">
      <c r="A14" s="13" t="s">
        <v>26</v>
      </c>
      <c r="B14" s="15">
        <f>B10/B13</f>
        <v>0.2042999114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9" max="9" width="18.25"/>
    <col customWidth="1" min="10" max="10" width="8.38"/>
    <col customWidth="1" min="11" max="11" width="15.3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5</v>
      </c>
      <c r="G1" s="2" t="s">
        <v>6</v>
      </c>
      <c r="H1" s="2" t="s">
        <v>7</v>
      </c>
      <c r="I1" s="2" t="s">
        <v>36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</row>
    <row r="2">
      <c r="A2" s="4" t="s">
        <v>16</v>
      </c>
      <c r="B2" s="5">
        <v>3196.04</v>
      </c>
      <c r="C2" s="5">
        <v>284.63</v>
      </c>
      <c r="D2" s="5"/>
      <c r="E2" s="5">
        <v>390.0</v>
      </c>
      <c r="F2" s="5"/>
      <c r="G2" s="6"/>
      <c r="H2" s="5">
        <v>242.0</v>
      </c>
      <c r="I2" s="5"/>
      <c r="J2" s="6"/>
      <c r="K2" s="5">
        <v>183.45</v>
      </c>
      <c r="L2" s="5">
        <v>100.0</v>
      </c>
      <c r="M2" s="6"/>
      <c r="N2" s="7">
        <f t="shared" ref="N2:N5" si="1">SUM(B2:M2)</f>
        <v>4396.12</v>
      </c>
      <c r="O2" s="8">
        <v>8400.5</v>
      </c>
      <c r="P2" s="9">
        <f t="shared" ref="P2:P6" si="2">N2/O2</f>
        <v>0.5233164693</v>
      </c>
    </row>
    <row r="3">
      <c r="A3" s="4" t="s">
        <v>17</v>
      </c>
      <c r="B3" s="5">
        <v>1692.44</v>
      </c>
      <c r="C3" s="5">
        <v>550.86</v>
      </c>
      <c r="D3" s="5">
        <v>446.88</v>
      </c>
      <c r="E3" s="6"/>
      <c r="F3" s="6"/>
      <c r="G3" s="6"/>
      <c r="H3" s="6"/>
      <c r="I3" s="33"/>
      <c r="J3" s="5">
        <v>350.0</v>
      </c>
      <c r="K3" s="6"/>
      <c r="L3" s="6"/>
      <c r="M3" s="6"/>
      <c r="N3" s="7">
        <f t="shared" si="1"/>
        <v>3040.18</v>
      </c>
      <c r="O3" s="8">
        <v>10570.5</v>
      </c>
      <c r="P3" s="9">
        <f t="shared" si="2"/>
        <v>0.2876098576</v>
      </c>
    </row>
    <row r="4">
      <c r="A4" s="4" t="s">
        <v>18</v>
      </c>
      <c r="B4" s="5">
        <v>1448.71</v>
      </c>
      <c r="C4" s="5">
        <v>185.0</v>
      </c>
      <c r="D4" s="6"/>
      <c r="E4" s="6"/>
      <c r="F4" s="5"/>
      <c r="G4" s="5"/>
      <c r="H4" s="6"/>
      <c r="I4" s="5">
        <v>1000.0</v>
      </c>
      <c r="J4" s="6"/>
      <c r="K4" s="5"/>
      <c r="L4" s="5"/>
      <c r="M4" s="5"/>
      <c r="N4" s="7">
        <f t="shared" si="1"/>
        <v>2633.71</v>
      </c>
      <c r="O4" s="8">
        <v>15153.0</v>
      </c>
      <c r="P4" s="9">
        <f t="shared" si="2"/>
        <v>0.1738078268</v>
      </c>
    </row>
    <row r="5">
      <c r="A5" s="4" t="s">
        <v>19</v>
      </c>
      <c r="B5" s="5"/>
      <c r="C5" s="5"/>
      <c r="D5" s="6"/>
      <c r="E5" s="6"/>
      <c r="F5" s="5"/>
      <c r="G5" s="5"/>
      <c r="H5" s="6"/>
      <c r="I5" s="33"/>
      <c r="J5" s="6"/>
      <c r="K5" s="5"/>
      <c r="L5" s="6"/>
      <c r="M5" s="6"/>
      <c r="N5" s="7">
        <f t="shared" si="1"/>
        <v>0</v>
      </c>
      <c r="O5" s="8"/>
      <c r="P5" s="9" t="str">
        <f t="shared" si="2"/>
        <v>#DIV/0!</v>
      </c>
    </row>
    <row r="6">
      <c r="A6" s="4" t="s">
        <v>20</v>
      </c>
      <c r="B6" s="10" t="s">
        <v>21</v>
      </c>
      <c r="C6" s="10" t="s">
        <v>21</v>
      </c>
      <c r="D6" s="10" t="s">
        <v>21</v>
      </c>
      <c r="E6" s="10" t="s">
        <v>21</v>
      </c>
      <c r="F6" s="10" t="s">
        <v>21</v>
      </c>
      <c r="G6" s="10" t="s">
        <v>21</v>
      </c>
      <c r="H6" s="10" t="s">
        <v>21</v>
      </c>
      <c r="I6" s="10" t="s">
        <v>21</v>
      </c>
      <c r="J6" s="10" t="s">
        <v>21</v>
      </c>
      <c r="K6" s="10" t="s">
        <v>21</v>
      </c>
      <c r="L6" s="10" t="s">
        <v>21</v>
      </c>
      <c r="M6" s="10" t="s">
        <v>21</v>
      </c>
      <c r="N6" s="7">
        <v>0.0</v>
      </c>
      <c r="O6" s="8"/>
      <c r="P6" s="9" t="str">
        <f t="shared" si="2"/>
        <v>#DIV/0!</v>
      </c>
    </row>
    <row r="9">
      <c r="A9" s="4" t="s">
        <v>22</v>
      </c>
      <c r="B9" s="11">
        <v>14000.0</v>
      </c>
    </row>
    <row r="10">
      <c r="A10" s="4" t="s">
        <v>23</v>
      </c>
      <c r="B10" s="12">
        <f>SUM(B2:M6)</f>
        <v>10070.01</v>
      </c>
    </row>
    <row r="11">
      <c r="A11" s="4" t="s">
        <v>24</v>
      </c>
      <c r="B11" s="12">
        <f> SUM(B9-B10)</f>
        <v>3929.99</v>
      </c>
    </row>
    <row r="13">
      <c r="A13" s="13" t="s">
        <v>25</v>
      </c>
      <c r="B13" s="14">
        <f>SUM(O2:O6)</f>
        <v>34124</v>
      </c>
    </row>
    <row r="14">
      <c r="A14" s="13" t="s">
        <v>26</v>
      </c>
      <c r="B14" s="15">
        <f>B10/B13</f>
        <v>0.2951005158</v>
      </c>
    </row>
    <row r="17">
      <c r="A17" s="16" t="s">
        <v>27</v>
      </c>
      <c r="B17" s="17"/>
      <c r="C17" s="17"/>
      <c r="D17" s="18"/>
    </row>
    <row r="18">
      <c r="A18" s="19" t="s">
        <v>28</v>
      </c>
      <c r="B18" s="20"/>
      <c r="C18" s="20"/>
      <c r="D18" s="21"/>
    </row>
    <row r="19">
      <c r="A19" s="22" t="s">
        <v>29</v>
      </c>
      <c r="B19" s="23" t="s">
        <v>30</v>
      </c>
      <c r="C19" s="22" t="s">
        <v>31</v>
      </c>
      <c r="D19" s="24" t="s">
        <v>30</v>
      </c>
    </row>
    <row r="20">
      <c r="A20" s="25"/>
      <c r="B20" s="26"/>
      <c r="C20" s="25"/>
      <c r="D20" s="27"/>
    </row>
    <row r="21">
      <c r="A21" s="25"/>
      <c r="B21" s="26"/>
      <c r="C21" s="25"/>
      <c r="D21" s="27"/>
    </row>
    <row r="22">
      <c r="A22" s="25"/>
      <c r="B22" s="26"/>
      <c r="C22" s="25"/>
      <c r="D22" s="27"/>
    </row>
    <row r="23">
      <c r="A23" s="25"/>
      <c r="B23" s="26"/>
      <c r="C23" s="25"/>
      <c r="D23" s="27"/>
    </row>
    <row r="24">
      <c r="A24" s="25"/>
      <c r="B24" s="26"/>
      <c r="C24" s="25"/>
      <c r="D24" s="27"/>
    </row>
    <row r="25">
      <c r="A25" s="25"/>
      <c r="B25" s="26"/>
      <c r="C25" s="25"/>
      <c r="D25" s="27"/>
    </row>
    <row r="26">
      <c r="A26" s="25"/>
      <c r="B26" s="26"/>
      <c r="C26" s="25"/>
      <c r="D26" s="27"/>
    </row>
    <row r="27">
      <c r="A27" s="25"/>
      <c r="B27" s="26"/>
      <c r="C27" s="25"/>
      <c r="D27" s="27"/>
    </row>
    <row r="28">
      <c r="A28" s="25"/>
      <c r="B28" s="26"/>
      <c r="C28" s="25"/>
      <c r="D28" s="27"/>
    </row>
    <row r="29">
      <c r="A29" s="25"/>
      <c r="B29" s="26"/>
      <c r="C29" s="25"/>
      <c r="D29" s="27"/>
    </row>
    <row r="30">
      <c r="A30" s="25"/>
      <c r="B30" s="26"/>
      <c r="C30" s="25"/>
      <c r="D30" s="27"/>
    </row>
    <row r="31">
      <c r="A31" s="25"/>
      <c r="B31" s="26"/>
      <c r="C31" s="25"/>
      <c r="D31" s="27"/>
    </row>
    <row r="32">
      <c r="A32" s="29" t="s">
        <v>35</v>
      </c>
      <c r="B32" s="30">
        <f>sum(B20:B31)</f>
        <v>0</v>
      </c>
      <c r="C32" s="31"/>
      <c r="D32" s="30">
        <f>sum(D20:D31)</f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11" max="11" width="15.38"/>
    <col customWidth="1" min="15" max="15" width="14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5</v>
      </c>
      <c r="G1" s="2" t="s">
        <v>6</v>
      </c>
      <c r="H1" s="2" t="s">
        <v>7</v>
      </c>
      <c r="I1" s="2" t="s">
        <v>37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</row>
    <row r="2">
      <c r="A2" s="4" t="s">
        <v>38</v>
      </c>
      <c r="B2" s="5">
        <v>2653.7</v>
      </c>
      <c r="C2" s="5">
        <v>1042.79</v>
      </c>
      <c r="D2" s="6"/>
      <c r="E2" s="6"/>
      <c r="F2" s="6"/>
      <c r="G2" s="6"/>
      <c r="H2" s="6"/>
      <c r="I2" s="5">
        <v>440.0</v>
      </c>
      <c r="J2" s="6"/>
      <c r="K2" s="5">
        <v>49.5</v>
      </c>
      <c r="L2" s="6"/>
      <c r="M2" s="6"/>
      <c r="N2" s="7">
        <f t="shared" ref="N2:N5" si="1">SUM(B2:M2)</f>
        <v>4185.99</v>
      </c>
      <c r="O2" s="8">
        <v>13711.0</v>
      </c>
      <c r="P2" s="9">
        <f t="shared" ref="P2:P7" si="2">N2/O2</f>
        <v>0.3053015827</v>
      </c>
    </row>
    <row r="3">
      <c r="A3" s="4" t="s">
        <v>16</v>
      </c>
      <c r="B3" s="5">
        <v>5982.13</v>
      </c>
      <c r="C3" s="5">
        <v>1314.46</v>
      </c>
      <c r="D3" s="5">
        <v>446.88</v>
      </c>
      <c r="E3" s="5">
        <v>390.0</v>
      </c>
      <c r="F3" s="6"/>
      <c r="G3" s="6"/>
      <c r="H3" s="5">
        <v>242.0</v>
      </c>
      <c r="I3" s="6"/>
      <c r="J3" s="6"/>
      <c r="K3" s="5">
        <v>168.0</v>
      </c>
      <c r="L3" s="5">
        <v>100.0</v>
      </c>
      <c r="M3" s="6"/>
      <c r="N3" s="7">
        <f t="shared" si="1"/>
        <v>8643.47</v>
      </c>
      <c r="O3" s="37">
        <v>8168.6</v>
      </c>
      <c r="P3" s="9">
        <f t="shared" si="2"/>
        <v>1.058133585</v>
      </c>
    </row>
    <row r="4">
      <c r="A4" s="4" t="s">
        <v>17</v>
      </c>
      <c r="B4" s="38">
        <v>3616.3</v>
      </c>
      <c r="C4" s="5">
        <v>1053.03</v>
      </c>
      <c r="D4" s="6"/>
      <c r="E4" s="6"/>
      <c r="F4" s="6"/>
      <c r="G4" s="6"/>
      <c r="H4" s="6"/>
      <c r="I4" s="6"/>
      <c r="J4" s="5"/>
      <c r="K4" s="6"/>
      <c r="L4" s="6"/>
      <c r="M4" s="6"/>
      <c r="N4" s="7">
        <f t="shared" si="1"/>
        <v>4669.33</v>
      </c>
      <c r="O4" s="37">
        <v>9119.2</v>
      </c>
      <c r="P4" s="9">
        <f t="shared" si="2"/>
        <v>0.5120328538</v>
      </c>
    </row>
    <row r="5">
      <c r="A5" s="4" t="s">
        <v>18</v>
      </c>
      <c r="B5" s="5">
        <v>1049.5</v>
      </c>
      <c r="C5" s="5">
        <v>722.07</v>
      </c>
      <c r="D5" s="6"/>
      <c r="E5" s="6"/>
      <c r="F5" s="5">
        <v>248.5</v>
      </c>
      <c r="G5" s="5">
        <v>127.3</v>
      </c>
      <c r="H5" s="6"/>
      <c r="I5" s="5"/>
      <c r="J5" s="6"/>
      <c r="K5" s="5"/>
      <c r="L5" s="5">
        <v>100.0</v>
      </c>
      <c r="M5" s="5">
        <v>277.41</v>
      </c>
      <c r="N5" s="7">
        <f t="shared" si="1"/>
        <v>2524.78</v>
      </c>
      <c r="O5" s="39">
        <v>13446.0</v>
      </c>
      <c r="P5" s="9">
        <f t="shared" si="2"/>
        <v>0.1877718281</v>
      </c>
    </row>
    <row r="6">
      <c r="A6" s="4" t="s">
        <v>19</v>
      </c>
      <c r="B6" s="32">
        <v>2983.87</v>
      </c>
      <c r="C6" s="5">
        <v>722.07</v>
      </c>
      <c r="D6" s="6"/>
      <c r="E6" s="6"/>
      <c r="F6" s="6"/>
      <c r="G6" s="5">
        <v>45.6</v>
      </c>
      <c r="H6" s="6"/>
      <c r="I6" s="6"/>
      <c r="J6" s="6"/>
      <c r="K6" s="5">
        <v>44.5</v>
      </c>
      <c r="L6" s="6"/>
      <c r="M6" s="6"/>
      <c r="N6" s="7">
        <f>SUM(C6:M6)</f>
        <v>812.17</v>
      </c>
      <c r="O6" s="39">
        <v>20810.0</v>
      </c>
      <c r="P6" s="9">
        <f t="shared" si="2"/>
        <v>0.03902787122</v>
      </c>
    </row>
    <row r="7">
      <c r="A7" s="4" t="s">
        <v>20</v>
      </c>
      <c r="B7" s="10" t="s">
        <v>21</v>
      </c>
      <c r="C7" s="10" t="s">
        <v>21</v>
      </c>
      <c r="D7" s="10" t="s">
        <v>21</v>
      </c>
      <c r="E7" s="10" t="s">
        <v>21</v>
      </c>
      <c r="F7" s="10" t="s">
        <v>21</v>
      </c>
      <c r="G7" s="10" t="s">
        <v>21</v>
      </c>
      <c r="H7" s="10" t="s">
        <v>21</v>
      </c>
      <c r="I7" s="10" t="s">
        <v>21</v>
      </c>
      <c r="J7" s="10" t="s">
        <v>21</v>
      </c>
      <c r="K7" s="10" t="s">
        <v>21</v>
      </c>
      <c r="L7" s="10" t="s">
        <v>21</v>
      </c>
      <c r="M7" s="10" t="s">
        <v>21</v>
      </c>
      <c r="N7" s="7">
        <v>0.0</v>
      </c>
      <c r="O7" s="8">
        <v>19021.53</v>
      </c>
      <c r="P7" s="9">
        <f t="shared" si="2"/>
        <v>0</v>
      </c>
    </row>
    <row r="9">
      <c r="A9" s="4" t="s">
        <v>22</v>
      </c>
      <c r="B9" s="11">
        <v>14000.0</v>
      </c>
    </row>
    <row r="10">
      <c r="A10" s="4" t="s">
        <v>23</v>
      </c>
      <c r="B10" s="12">
        <f>SUM(B3:M7)</f>
        <v>19633.62</v>
      </c>
    </row>
    <row r="11">
      <c r="A11" s="4" t="s">
        <v>24</v>
      </c>
      <c r="B11" s="12">
        <f> SUM(B9-B10)</f>
        <v>-5633.62</v>
      </c>
      <c r="I11" s="32" t="s">
        <v>39</v>
      </c>
    </row>
    <row r="13">
      <c r="A13" s="13" t="s">
        <v>25</v>
      </c>
      <c r="B13" s="14">
        <f>SUM(O2:O7)</f>
        <v>84276.33</v>
      </c>
    </row>
    <row r="14">
      <c r="A14" s="13" t="s">
        <v>26</v>
      </c>
      <c r="B14" s="15">
        <f>B10/B13</f>
        <v>0.2329671926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9" max="9" width="18.25"/>
    <col customWidth="1" min="11" max="11" width="15.38"/>
    <col customWidth="1" min="15" max="15" width="14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5</v>
      </c>
      <c r="G1" s="2" t="s">
        <v>6</v>
      </c>
      <c r="H1" s="2" t="s">
        <v>7</v>
      </c>
      <c r="I1" s="2" t="s">
        <v>36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</row>
    <row r="2">
      <c r="A2" s="4" t="s">
        <v>16</v>
      </c>
      <c r="B2" s="5">
        <v>4777.09</v>
      </c>
      <c r="C2" s="5">
        <v>725.25</v>
      </c>
      <c r="D2" s="5"/>
      <c r="E2" s="5">
        <v>390.0</v>
      </c>
      <c r="F2" s="5">
        <v>355.0</v>
      </c>
      <c r="G2" s="6"/>
      <c r="H2" s="5">
        <v>242.0</v>
      </c>
      <c r="I2" s="5"/>
      <c r="J2" s="6"/>
      <c r="K2" s="5">
        <v>67.5</v>
      </c>
      <c r="L2" s="5">
        <v>100.0</v>
      </c>
      <c r="M2" s="6"/>
      <c r="N2" s="7">
        <f t="shared" ref="N2:N5" si="1">SUM(B2:M2)</f>
        <v>6656.84</v>
      </c>
      <c r="O2" s="40">
        <v>8581.0</v>
      </c>
      <c r="P2" s="9">
        <f t="shared" ref="P2:P6" si="2">N2/O2</f>
        <v>0.7757650623</v>
      </c>
    </row>
    <row r="3">
      <c r="A3" s="4" t="s">
        <v>17</v>
      </c>
      <c r="B3" s="5">
        <v>2135.6</v>
      </c>
      <c r="C3" s="5">
        <v>368.04</v>
      </c>
      <c r="D3" s="5">
        <v>510.72</v>
      </c>
      <c r="E3" s="6"/>
      <c r="F3" s="6"/>
      <c r="G3" s="6"/>
      <c r="H3" s="6"/>
      <c r="I3" s="33">
        <v>440.0</v>
      </c>
      <c r="J3" s="5">
        <v>750.0</v>
      </c>
      <c r="K3" s="6"/>
      <c r="L3" s="6"/>
      <c r="M3" s="6"/>
      <c r="N3" s="7">
        <f t="shared" si="1"/>
        <v>4204.36</v>
      </c>
      <c r="O3" s="40">
        <v>0.0</v>
      </c>
      <c r="P3" s="9" t="str">
        <f t="shared" si="2"/>
        <v>#DIV/0!</v>
      </c>
    </row>
    <row r="4">
      <c r="A4" s="4" t="s">
        <v>18</v>
      </c>
      <c r="B4" s="5">
        <v>1113.2</v>
      </c>
      <c r="C4" s="5">
        <v>444.81</v>
      </c>
      <c r="D4" s="6"/>
      <c r="E4" s="6"/>
      <c r="F4" s="5"/>
      <c r="G4" s="5">
        <v>127.3</v>
      </c>
      <c r="H4" s="6"/>
      <c r="I4" s="5"/>
      <c r="J4" s="5"/>
      <c r="K4" s="5"/>
      <c r="L4" s="5">
        <v>100.0</v>
      </c>
      <c r="M4" s="5">
        <v>277.41</v>
      </c>
      <c r="N4" s="7">
        <f t="shared" si="1"/>
        <v>2062.72</v>
      </c>
      <c r="O4" s="40">
        <v>15905.6</v>
      </c>
      <c r="P4" s="9">
        <f t="shared" si="2"/>
        <v>0.1296851423</v>
      </c>
    </row>
    <row r="5">
      <c r="A5" s="4" t="s">
        <v>19</v>
      </c>
      <c r="B5" s="5">
        <v>1834.33</v>
      </c>
      <c r="C5" s="5">
        <v>485.4</v>
      </c>
      <c r="D5" s="6"/>
      <c r="E5" s="6"/>
      <c r="F5" s="5"/>
      <c r="G5" s="5"/>
      <c r="H5" s="6"/>
      <c r="I5" s="33"/>
      <c r="J5" s="6"/>
      <c r="K5" s="5"/>
      <c r="L5" s="6"/>
      <c r="M5" s="6"/>
      <c r="N5" s="7">
        <f t="shared" si="1"/>
        <v>2319.73</v>
      </c>
      <c r="O5" s="40">
        <f>3947+16083</f>
        <v>20030</v>
      </c>
      <c r="P5" s="9">
        <f t="shared" si="2"/>
        <v>0.1158127808</v>
      </c>
    </row>
    <row r="6">
      <c r="A6" s="4" t="s">
        <v>20</v>
      </c>
      <c r="B6" s="10" t="s">
        <v>21</v>
      </c>
      <c r="C6" s="10" t="s">
        <v>21</v>
      </c>
      <c r="D6" s="10" t="s">
        <v>21</v>
      </c>
      <c r="E6" s="10" t="s">
        <v>21</v>
      </c>
      <c r="F6" s="10" t="s">
        <v>21</v>
      </c>
      <c r="G6" s="10" t="s">
        <v>21</v>
      </c>
      <c r="H6" s="10" t="s">
        <v>21</v>
      </c>
      <c r="I6" s="10" t="s">
        <v>21</v>
      </c>
      <c r="J6" s="10" t="s">
        <v>21</v>
      </c>
      <c r="K6" s="10" t="s">
        <v>21</v>
      </c>
      <c r="L6" s="10" t="s">
        <v>21</v>
      </c>
      <c r="M6" s="10" t="s">
        <v>21</v>
      </c>
      <c r="N6" s="7">
        <v>0.0</v>
      </c>
      <c r="O6" s="40">
        <v>13700.2</v>
      </c>
      <c r="P6" s="9">
        <f t="shared" si="2"/>
        <v>0</v>
      </c>
    </row>
    <row r="9">
      <c r="A9" s="4" t="s">
        <v>22</v>
      </c>
      <c r="B9" s="11">
        <v>14000.0</v>
      </c>
    </row>
    <row r="10">
      <c r="A10" s="4" t="s">
        <v>23</v>
      </c>
      <c r="B10" s="12">
        <f>SUM(B2:M6)</f>
        <v>15243.65</v>
      </c>
    </row>
    <row r="11">
      <c r="A11" s="4" t="s">
        <v>24</v>
      </c>
      <c r="B11" s="12">
        <f> SUM(B9-B10)</f>
        <v>-1243.65</v>
      </c>
    </row>
    <row r="13">
      <c r="A13" s="13" t="s">
        <v>25</v>
      </c>
      <c r="B13" s="14">
        <f>SUM(O2:O6)</f>
        <v>58216.8</v>
      </c>
    </row>
    <row r="14">
      <c r="A14" s="13" t="s">
        <v>26</v>
      </c>
      <c r="B14" s="15">
        <f>B10/B13</f>
        <v>0.2618428014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3" max="3" width="19.25"/>
    <col customWidth="1" min="5" max="5" width="13.0"/>
    <col customWidth="1" min="8" max="8" width="13.25"/>
    <col customWidth="1" min="11" max="11" width="15.38"/>
    <col customWidth="1" min="14" max="14" width="12.5"/>
    <col customWidth="1" min="15" max="15" width="14.75"/>
    <col customWidth="1" min="16" max="16" width="13.0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5</v>
      </c>
      <c r="G1" s="2" t="s">
        <v>6</v>
      </c>
      <c r="H1" s="2" t="s">
        <v>7</v>
      </c>
      <c r="I1" s="2" t="s">
        <v>40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</row>
    <row r="2">
      <c r="A2" s="4" t="s">
        <v>16</v>
      </c>
      <c r="B2" s="5">
        <v>5671.82</v>
      </c>
      <c r="C2" s="5">
        <v>698.37</v>
      </c>
      <c r="D2" s="5">
        <v>510.72</v>
      </c>
      <c r="E2" s="5">
        <v>390.0</v>
      </c>
      <c r="F2" s="5">
        <v>783.75</v>
      </c>
      <c r="G2" s="6"/>
      <c r="H2" s="5">
        <v>242.0</v>
      </c>
      <c r="I2" s="5">
        <v>3662.58</v>
      </c>
      <c r="J2" s="6"/>
      <c r="K2" s="5">
        <v>68.0</v>
      </c>
      <c r="L2" s="5">
        <v>100.0</v>
      </c>
      <c r="M2" s="6"/>
      <c r="N2" s="7">
        <f t="shared" ref="N2:N5" si="1">SUM(B2:M2)</f>
        <v>12127.24</v>
      </c>
      <c r="O2" s="8">
        <v>13068.0</v>
      </c>
      <c r="P2" s="9">
        <f t="shared" ref="P2:P6" si="2">N2/O2</f>
        <v>0.9280104071</v>
      </c>
    </row>
    <row r="3">
      <c r="A3" s="4" t="s">
        <v>17</v>
      </c>
      <c r="B3" s="5">
        <v>1982.7</v>
      </c>
      <c r="C3" s="5">
        <v>723.65</v>
      </c>
      <c r="D3" s="6"/>
      <c r="E3" s="6"/>
      <c r="F3" s="6"/>
      <c r="G3" s="6"/>
      <c r="H3" s="6"/>
      <c r="I3" s="6"/>
      <c r="J3" s="5"/>
      <c r="K3" s="6"/>
      <c r="L3" s="6"/>
      <c r="M3" s="6"/>
      <c r="N3" s="7">
        <f t="shared" si="1"/>
        <v>2706.35</v>
      </c>
      <c r="O3" s="8">
        <v>12027.0</v>
      </c>
      <c r="P3" s="9">
        <f t="shared" si="2"/>
        <v>0.2250228652</v>
      </c>
    </row>
    <row r="4">
      <c r="A4" s="4" t="s">
        <v>18</v>
      </c>
      <c r="B4" s="5">
        <v>2547.85</v>
      </c>
      <c r="C4" s="5">
        <v>996.64</v>
      </c>
      <c r="D4" s="6"/>
      <c r="E4" s="6"/>
      <c r="F4" s="5"/>
      <c r="G4" s="5">
        <v>127.3</v>
      </c>
      <c r="H4" s="6"/>
      <c r="I4" s="5">
        <v>1836.89</v>
      </c>
      <c r="J4" s="6"/>
      <c r="K4" s="5"/>
      <c r="L4" s="5">
        <v>100.0</v>
      </c>
      <c r="M4" s="5">
        <v>277.41</v>
      </c>
      <c r="N4" s="7">
        <f t="shared" si="1"/>
        <v>5886.09</v>
      </c>
      <c r="O4" s="8">
        <v>13246.6</v>
      </c>
      <c r="P4" s="9">
        <f t="shared" si="2"/>
        <v>0.4443472287</v>
      </c>
    </row>
    <row r="5">
      <c r="A5" s="4" t="s">
        <v>19</v>
      </c>
      <c r="B5" s="5">
        <v>2786.88</v>
      </c>
      <c r="C5" s="5">
        <v>928.1</v>
      </c>
      <c r="D5" s="6"/>
      <c r="E5" s="6"/>
      <c r="F5" s="6"/>
      <c r="G5" s="5"/>
      <c r="H5" s="6"/>
      <c r="I5" s="6"/>
      <c r="J5" s="6"/>
      <c r="K5" s="6"/>
      <c r="L5" s="6"/>
      <c r="M5" s="6"/>
      <c r="N5" s="7">
        <f t="shared" si="1"/>
        <v>3714.98</v>
      </c>
      <c r="O5" s="8">
        <v>17921.8</v>
      </c>
      <c r="P5" s="9">
        <f t="shared" si="2"/>
        <v>0.2072883304</v>
      </c>
    </row>
    <row r="6">
      <c r="A6" s="4" t="s">
        <v>20</v>
      </c>
      <c r="B6" s="10" t="s">
        <v>21</v>
      </c>
      <c r="C6" s="10" t="s">
        <v>21</v>
      </c>
      <c r="D6" s="10" t="s">
        <v>21</v>
      </c>
      <c r="E6" s="10" t="s">
        <v>21</v>
      </c>
      <c r="F6" s="10" t="s">
        <v>21</v>
      </c>
      <c r="G6" s="10">
        <v>45.6</v>
      </c>
      <c r="H6" s="10" t="s">
        <v>21</v>
      </c>
      <c r="I6" s="10" t="s">
        <v>21</v>
      </c>
      <c r="J6" s="10" t="s">
        <v>21</v>
      </c>
      <c r="K6" s="10" t="s">
        <v>21</v>
      </c>
      <c r="L6" s="10" t="s">
        <v>21</v>
      </c>
      <c r="M6" s="10" t="s">
        <v>21</v>
      </c>
      <c r="N6" s="7">
        <v>0.0</v>
      </c>
      <c r="O6" s="8">
        <v>19133.9</v>
      </c>
      <c r="P6" s="9">
        <f t="shared" si="2"/>
        <v>0</v>
      </c>
    </row>
    <row r="9">
      <c r="A9" s="4" t="s">
        <v>22</v>
      </c>
      <c r="B9" s="11">
        <v>14000.0</v>
      </c>
    </row>
    <row r="10">
      <c r="A10" s="4" t="s">
        <v>23</v>
      </c>
      <c r="B10" s="12">
        <f>SUM(B2:M6)</f>
        <v>24480.26</v>
      </c>
    </row>
    <row r="11">
      <c r="A11" s="4" t="s">
        <v>24</v>
      </c>
      <c r="B11" s="12">
        <f> SUM(B9-B10)</f>
        <v>-10480.26</v>
      </c>
    </row>
    <row r="13">
      <c r="A13" s="13" t="s">
        <v>25</v>
      </c>
      <c r="B13" s="14">
        <f>SUM(O2:O6)</f>
        <v>75397.3</v>
      </c>
    </row>
    <row r="14">
      <c r="A14" s="13" t="s">
        <v>26</v>
      </c>
      <c r="B14" s="15">
        <f>B10/B13</f>
        <v>0.3246835099</v>
      </c>
    </row>
    <row r="17">
      <c r="A17" s="16" t="s">
        <v>27</v>
      </c>
      <c r="B17" s="17"/>
      <c r="C17" s="17"/>
      <c r="D17" s="18"/>
    </row>
    <row r="18">
      <c r="A18" s="19" t="s">
        <v>28</v>
      </c>
      <c r="B18" s="20"/>
      <c r="C18" s="20"/>
      <c r="D18" s="21"/>
    </row>
    <row r="19">
      <c r="A19" s="22" t="s">
        <v>29</v>
      </c>
      <c r="B19" s="23" t="s">
        <v>30</v>
      </c>
      <c r="C19" s="22" t="s">
        <v>31</v>
      </c>
      <c r="D19" s="24" t="s">
        <v>30</v>
      </c>
    </row>
    <row r="20">
      <c r="A20" s="28" t="s">
        <v>41</v>
      </c>
      <c r="B20" s="41">
        <v>3662.58</v>
      </c>
      <c r="C20" s="25"/>
      <c r="D20" s="27"/>
    </row>
    <row r="21">
      <c r="A21" s="25"/>
      <c r="B21" s="26"/>
      <c r="C21" s="25"/>
      <c r="D21" s="27"/>
    </row>
    <row r="22">
      <c r="A22" s="25"/>
      <c r="B22" s="26"/>
      <c r="C22" s="25"/>
      <c r="D22" s="27"/>
    </row>
    <row r="23">
      <c r="A23" s="25"/>
      <c r="B23" s="26"/>
      <c r="C23" s="25"/>
      <c r="D23" s="27"/>
    </row>
    <row r="24">
      <c r="A24" s="25"/>
      <c r="B24" s="26"/>
      <c r="C24" s="25"/>
      <c r="D24" s="27"/>
    </row>
    <row r="25">
      <c r="A25" s="25"/>
      <c r="B25" s="26"/>
      <c r="C25" s="25"/>
      <c r="D25" s="27"/>
    </row>
    <row r="26">
      <c r="A26" s="25"/>
      <c r="B26" s="26"/>
      <c r="C26" s="25"/>
      <c r="D26" s="27"/>
    </row>
    <row r="27">
      <c r="A27" s="25"/>
      <c r="B27" s="26"/>
      <c r="C27" s="25"/>
      <c r="D27" s="27"/>
    </row>
    <row r="28">
      <c r="A28" s="25"/>
      <c r="B28" s="26"/>
      <c r="C28" s="25"/>
      <c r="D28" s="27"/>
    </row>
    <row r="29">
      <c r="A29" s="25"/>
      <c r="B29" s="26"/>
      <c r="C29" s="25"/>
      <c r="D29" s="27"/>
    </row>
    <row r="30">
      <c r="A30" s="25"/>
      <c r="B30" s="26"/>
      <c r="C30" s="25"/>
      <c r="D30" s="27"/>
    </row>
    <row r="31">
      <c r="A31" s="25"/>
      <c r="B31" s="26"/>
      <c r="C31" s="25"/>
      <c r="D31" s="27"/>
    </row>
    <row r="32">
      <c r="A32" s="29" t="s">
        <v>35</v>
      </c>
      <c r="B32" s="30">
        <f>sum(B20:B31)</f>
        <v>3662.58</v>
      </c>
      <c r="C32" s="31"/>
      <c r="D32" s="30">
        <f>sum(D20:D31)</f>
        <v>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3" max="3" width="19.25"/>
    <col customWidth="1" min="5" max="5" width="13.0"/>
    <col customWidth="1" min="9" max="9" width="13.25"/>
    <col customWidth="1" min="12" max="12" width="15.38"/>
    <col customWidth="1" min="16" max="16" width="12.5"/>
    <col customWidth="1" min="17" max="17" width="14.75"/>
    <col customWidth="1" min="18" max="18" width="13.0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5</v>
      </c>
      <c r="G1" s="2" t="s">
        <v>42</v>
      </c>
      <c r="H1" s="2" t="s">
        <v>6</v>
      </c>
      <c r="I1" s="2" t="s">
        <v>7</v>
      </c>
      <c r="J1" s="2" t="s">
        <v>43</v>
      </c>
      <c r="K1" s="2" t="s">
        <v>9</v>
      </c>
      <c r="L1" s="2" t="s">
        <v>10</v>
      </c>
      <c r="M1" s="2" t="s">
        <v>40</v>
      </c>
      <c r="N1" s="2" t="s">
        <v>11</v>
      </c>
      <c r="O1" s="2" t="s">
        <v>12</v>
      </c>
      <c r="P1" s="3" t="s">
        <v>13</v>
      </c>
      <c r="Q1" s="3" t="s">
        <v>44</v>
      </c>
      <c r="R1" s="3" t="s">
        <v>15</v>
      </c>
    </row>
    <row r="2">
      <c r="A2" s="4" t="s">
        <v>16</v>
      </c>
      <c r="B2" s="5">
        <v>4244.06</v>
      </c>
      <c r="C2" s="5">
        <v>1381.57</v>
      </c>
      <c r="D2" s="5"/>
      <c r="E2" s="5">
        <v>390.0</v>
      </c>
      <c r="F2" s="5">
        <v>909.5</v>
      </c>
      <c r="G2" s="5">
        <v>293.95</v>
      </c>
      <c r="H2" s="5">
        <v>19.8</v>
      </c>
      <c r="I2" s="5"/>
      <c r="J2" s="6"/>
      <c r="K2" s="6"/>
      <c r="L2" s="6"/>
      <c r="M2" s="5"/>
      <c r="N2" s="5">
        <v>100.0</v>
      </c>
      <c r="O2" s="6"/>
      <c r="P2" s="7">
        <f t="shared" ref="P2:P5" si="1">SUM(B2:O2)</f>
        <v>7338.88</v>
      </c>
      <c r="Q2" s="8">
        <v>12424.7</v>
      </c>
      <c r="R2" s="9">
        <f t="shared" ref="R2:R6" si="2">P2/Q2</f>
        <v>0.5906685876</v>
      </c>
    </row>
    <row r="3">
      <c r="A3" s="4" t="s">
        <v>17</v>
      </c>
      <c r="B3" s="5">
        <v>2959.02</v>
      </c>
      <c r="C3" s="5">
        <v>483.5</v>
      </c>
      <c r="D3" s="6"/>
      <c r="E3" s="6"/>
      <c r="F3" s="5">
        <v>290.0</v>
      </c>
      <c r="G3" s="6"/>
      <c r="H3" s="6"/>
      <c r="I3" s="6"/>
      <c r="J3" s="6"/>
      <c r="K3" s="5"/>
      <c r="L3" s="5">
        <v>55.0</v>
      </c>
      <c r="M3" s="6"/>
      <c r="N3" s="6"/>
      <c r="O3" s="6"/>
      <c r="P3" s="7">
        <f t="shared" si="1"/>
        <v>3787.52</v>
      </c>
      <c r="Q3" s="8">
        <v>13022.4</v>
      </c>
      <c r="R3" s="9">
        <f t="shared" si="2"/>
        <v>0.2908465413</v>
      </c>
    </row>
    <row r="4">
      <c r="A4" s="4" t="s">
        <v>18</v>
      </c>
      <c r="B4" s="5">
        <v>3798.23</v>
      </c>
      <c r="C4" s="5">
        <v>1120.17</v>
      </c>
      <c r="D4" s="6"/>
      <c r="E4" s="6"/>
      <c r="F4" s="5">
        <v>1346.43</v>
      </c>
      <c r="G4" s="5"/>
      <c r="H4" s="5">
        <v>181.31</v>
      </c>
      <c r="I4" s="6"/>
      <c r="J4" s="5">
        <v>1035.49</v>
      </c>
      <c r="K4" s="6"/>
      <c r="L4" s="5">
        <v>55.95</v>
      </c>
      <c r="M4" s="5">
        <v>2742.04</v>
      </c>
      <c r="N4" s="5">
        <v>100.0</v>
      </c>
      <c r="O4" s="5">
        <v>277.41</v>
      </c>
      <c r="P4" s="7">
        <f t="shared" si="1"/>
        <v>10657.03</v>
      </c>
      <c r="Q4" s="8">
        <v>17201.0</v>
      </c>
      <c r="R4" s="9">
        <f t="shared" si="2"/>
        <v>0.6195587466</v>
      </c>
    </row>
    <row r="5">
      <c r="A5" s="4" t="s">
        <v>19</v>
      </c>
      <c r="B5" s="5">
        <v>2588.44</v>
      </c>
      <c r="C5" s="5">
        <v>1948.4</v>
      </c>
      <c r="D5" s="6"/>
      <c r="E5" s="6"/>
      <c r="F5" s="5">
        <v>293.0</v>
      </c>
      <c r="G5" s="6"/>
      <c r="H5" s="6"/>
      <c r="I5" s="6"/>
      <c r="J5" s="6"/>
      <c r="K5" s="6"/>
      <c r="L5" s="6"/>
      <c r="M5" s="6"/>
      <c r="N5" s="6"/>
      <c r="O5" s="6"/>
      <c r="P5" s="7">
        <f t="shared" si="1"/>
        <v>4829.84</v>
      </c>
      <c r="Q5" s="8">
        <v>23303.25</v>
      </c>
      <c r="R5" s="9">
        <f t="shared" si="2"/>
        <v>0.2072603607</v>
      </c>
    </row>
    <row r="6">
      <c r="A6" s="4" t="s">
        <v>20</v>
      </c>
      <c r="B6" s="10" t="s">
        <v>21</v>
      </c>
      <c r="C6" s="10" t="s">
        <v>21</v>
      </c>
      <c r="D6" s="10" t="s">
        <v>21</v>
      </c>
      <c r="E6" s="10" t="s">
        <v>21</v>
      </c>
      <c r="F6" s="10" t="s">
        <v>21</v>
      </c>
      <c r="G6" s="10"/>
      <c r="H6" s="10">
        <v>45.6</v>
      </c>
      <c r="I6" s="10" t="s">
        <v>21</v>
      </c>
      <c r="J6" s="10" t="s">
        <v>21</v>
      </c>
      <c r="K6" s="10" t="s">
        <v>21</v>
      </c>
      <c r="L6" s="10" t="s">
        <v>21</v>
      </c>
      <c r="M6" s="10"/>
      <c r="N6" s="10" t="s">
        <v>21</v>
      </c>
      <c r="O6" s="10" t="s">
        <v>21</v>
      </c>
      <c r="P6" s="7">
        <v>0.0</v>
      </c>
      <c r="Q6" s="8">
        <v>18482.2</v>
      </c>
      <c r="R6" s="9">
        <f t="shared" si="2"/>
        <v>0</v>
      </c>
    </row>
    <row r="9">
      <c r="A9" s="4" t="s">
        <v>22</v>
      </c>
      <c r="B9" s="11">
        <v>14000.0</v>
      </c>
    </row>
    <row r="10">
      <c r="A10" s="4" t="s">
        <v>23</v>
      </c>
      <c r="B10" s="12">
        <f>SUM(B2:O6)</f>
        <v>26658.87</v>
      </c>
    </row>
    <row r="11">
      <c r="A11" s="4" t="s">
        <v>24</v>
      </c>
      <c r="B11" s="12">
        <f> SUM(B9-B10)</f>
        <v>-12658.87</v>
      </c>
    </row>
    <row r="13">
      <c r="A13" s="13" t="s">
        <v>25</v>
      </c>
      <c r="B13" s="14">
        <f>SUM(Q2:Q6)</f>
        <v>84433.55</v>
      </c>
    </row>
    <row r="14">
      <c r="A14" s="13" t="s">
        <v>26</v>
      </c>
      <c r="B14" s="15">
        <f>B10/B13</f>
        <v>0.3157378791</v>
      </c>
    </row>
    <row r="17">
      <c r="A17" s="16" t="s">
        <v>27</v>
      </c>
      <c r="B17" s="17"/>
      <c r="C17" s="17"/>
      <c r="D17" s="18"/>
    </row>
    <row r="18">
      <c r="A18" s="19" t="s">
        <v>28</v>
      </c>
      <c r="B18" s="20"/>
      <c r="C18" s="20"/>
      <c r="D18" s="21"/>
    </row>
    <row r="19">
      <c r="A19" s="22" t="s">
        <v>29</v>
      </c>
      <c r="B19" s="23" t="s">
        <v>30</v>
      </c>
      <c r="C19" s="22" t="s">
        <v>31</v>
      </c>
      <c r="D19" s="24" t="s">
        <v>30</v>
      </c>
    </row>
    <row r="20">
      <c r="A20" s="25"/>
      <c r="B20" s="26"/>
      <c r="C20" s="25"/>
      <c r="D20" s="27"/>
    </row>
    <row r="21">
      <c r="A21" s="25"/>
      <c r="B21" s="26"/>
      <c r="C21" s="25"/>
      <c r="D21" s="27"/>
    </row>
    <row r="22">
      <c r="A22" s="25"/>
      <c r="B22" s="26"/>
      <c r="C22" s="25"/>
      <c r="D22" s="27"/>
    </row>
    <row r="23">
      <c r="A23" s="25"/>
      <c r="B23" s="26"/>
      <c r="C23" s="25"/>
      <c r="D23" s="27"/>
    </row>
    <row r="24">
      <c r="A24" s="25"/>
      <c r="B24" s="26"/>
      <c r="C24" s="25"/>
      <c r="D24" s="27"/>
    </row>
    <row r="25">
      <c r="A25" s="25"/>
      <c r="B25" s="26"/>
      <c r="C25" s="25"/>
      <c r="D25" s="27"/>
    </row>
    <row r="26">
      <c r="A26" s="25"/>
      <c r="B26" s="26"/>
      <c r="C26" s="25"/>
      <c r="D26" s="27"/>
    </row>
    <row r="27">
      <c r="A27" s="25"/>
      <c r="B27" s="26"/>
      <c r="C27" s="25"/>
      <c r="D27" s="27"/>
    </row>
    <row r="28">
      <c r="A28" s="25"/>
      <c r="B28" s="26"/>
      <c r="C28" s="25"/>
      <c r="D28" s="27"/>
    </row>
    <row r="29">
      <c r="A29" s="25"/>
      <c r="B29" s="26"/>
      <c r="C29" s="25"/>
      <c r="D29" s="27"/>
    </row>
    <row r="30">
      <c r="A30" s="25"/>
      <c r="B30" s="26"/>
      <c r="C30" s="25"/>
      <c r="D30" s="27"/>
    </row>
    <row r="31">
      <c r="A31" s="25"/>
      <c r="B31" s="26"/>
      <c r="C31" s="25"/>
      <c r="D31" s="27"/>
    </row>
    <row r="32">
      <c r="A32" s="29" t="s">
        <v>35</v>
      </c>
      <c r="B32" s="30">
        <f>sum(B20:B31)</f>
        <v>0</v>
      </c>
      <c r="C32" s="31"/>
      <c r="D32" s="30">
        <f>sum(D20:D31)</f>
        <v>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3" max="3" width="19.25"/>
    <col customWidth="1" min="5" max="5" width="13.0"/>
    <col customWidth="1" min="8" max="8" width="13.25"/>
    <col customWidth="1" min="13" max="13" width="15.38"/>
    <col customWidth="1" min="16" max="16" width="12.5"/>
    <col customWidth="1" min="17" max="17" width="14.75"/>
    <col customWidth="1" min="18" max="18" width="13.0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5</v>
      </c>
      <c r="G1" s="2" t="s">
        <v>6</v>
      </c>
      <c r="H1" s="2" t="s">
        <v>7</v>
      </c>
      <c r="I1" s="2" t="s">
        <v>43</v>
      </c>
      <c r="J1" s="2" t="s">
        <v>8</v>
      </c>
      <c r="K1" s="2" t="s">
        <v>42</v>
      </c>
      <c r="L1" s="2" t="s">
        <v>9</v>
      </c>
      <c r="M1" s="2" t="s">
        <v>10</v>
      </c>
      <c r="N1" s="2" t="s">
        <v>11</v>
      </c>
      <c r="O1" s="2" t="s">
        <v>12</v>
      </c>
      <c r="P1" s="3" t="s">
        <v>13</v>
      </c>
      <c r="Q1" s="3" t="s">
        <v>14</v>
      </c>
      <c r="R1" s="3" t="s">
        <v>15</v>
      </c>
    </row>
    <row r="2">
      <c r="A2" s="4" t="s">
        <v>45</v>
      </c>
      <c r="B2" s="5">
        <v>4468.31</v>
      </c>
      <c r="C2" s="5"/>
      <c r="D2" s="5">
        <v>270.08</v>
      </c>
      <c r="E2" s="5">
        <v>390.0</v>
      </c>
      <c r="F2" s="6"/>
      <c r="G2" s="5">
        <v>49.5</v>
      </c>
      <c r="H2" s="5">
        <v>242.0</v>
      </c>
      <c r="I2" s="6"/>
      <c r="J2" s="6"/>
      <c r="K2" s="6"/>
      <c r="L2" s="6"/>
      <c r="M2" s="6"/>
      <c r="N2" s="5">
        <v>100.0</v>
      </c>
      <c r="O2" s="6"/>
      <c r="P2" s="7">
        <f t="shared" ref="P2:P5" si="1">SUM(B2:O2)</f>
        <v>5519.89</v>
      </c>
      <c r="Q2" s="8">
        <v>15600.0</v>
      </c>
      <c r="R2" s="9">
        <f t="shared" ref="R2:R6" si="2">P2/Q2</f>
        <v>0.3538391026</v>
      </c>
    </row>
    <row r="3">
      <c r="A3" s="4" t="s">
        <v>17</v>
      </c>
      <c r="B3" s="5">
        <v>2556.14</v>
      </c>
      <c r="C3" s="5">
        <v>801.43</v>
      </c>
      <c r="D3" s="6"/>
      <c r="E3" s="6"/>
      <c r="F3" s="5">
        <v>2128.55</v>
      </c>
      <c r="G3" s="6"/>
      <c r="H3" s="6"/>
      <c r="I3" s="5">
        <v>3046.55</v>
      </c>
      <c r="J3" s="6"/>
      <c r="K3" s="5">
        <v>339.54</v>
      </c>
      <c r="L3" s="5"/>
      <c r="M3" s="5">
        <v>188.85</v>
      </c>
      <c r="N3" s="6"/>
      <c r="O3" s="6"/>
      <c r="P3" s="7">
        <f t="shared" si="1"/>
        <v>9061.06</v>
      </c>
      <c r="Q3" s="8">
        <v>14013.6</v>
      </c>
      <c r="R3" s="9">
        <f t="shared" si="2"/>
        <v>0.646590455</v>
      </c>
    </row>
    <row r="4">
      <c r="A4" s="4" t="s">
        <v>18</v>
      </c>
      <c r="B4" s="5">
        <v>2139.68</v>
      </c>
      <c r="C4" s="5">
        <v>1796.3</v>
      </c>
      <c r="D4" s="6"/>
      <c r="E4" s="6"/>
      <c r="F4" s="5" t="s">
        <v>46</v>
      </c>
      <c r="G4" s="5">
        <v>166.9</v>
      </c>
      <c r="H4" s="6"/>
      <c r="I4" s="5"/>
      <c r="J4" s="5"/>
      <c r="K4" s="6"/>
      <c r="L4" s="6"/>
      <c r="M4" s="5">
        <v>60.0</v>
      </c>
      <c r="N4" s="5">
        <v>100.0</v>
      </c>
      <c r="O4" s="5">
        <v>277.41</v>
      </c>
      <c r="P4" s="7">
        <f t="shared" si="1"/>
        <v>4540.29</v>
      </c>
      <c r="Q4" s="8">
        <v>18065.0</v>
      </c>
      <c r="R4" s="9">
        <f t="shared" si="2"/>
        <v>0.2513307501</v>
      </c>
    </row>
    <row r="5">
      <c r="A5" s="4" t="s">
        <v>19</v>
      </c>
      <c r="B5" s="5">
        <v>2173.74</v>
      </c>
      <c r="C5" s="5">
        <v>1169.94</v>
      </c>
      <c r="D5" s="6"/>
      <c r="E5" s="6"/>
      <c r="F5" s="6"/>
      <c r="G5" s="5">
        <v>82.5</v>
      </c>
      <c r="H5" s="6"/>
      <c r="I5" s="6"/>
      <c r="J5" s="6"/>
      <c r="K5" s="6"/>
      <c r="L5" s="6"/>
      <c r="M5" s="6"/>
      <c r="N5" s="6"/>
      <c r="O5" s="6"/>
      <c r="P5" s="7">
        <f t="shared" si="1"/>
        <v>3426.18</v>
      </c>
      <c r="Q5" s="8">
        <v>19569.6</v>
      </c>
      <c r="R5" s="9">
        <f t="shared" si="2"/>
        <v>0.1750766495</v>
      </c>
    </row>
    <row r="6">
      <c r="A6" s="4" t="s">
        <v>20</v>
      </c>
      <c r="B6" s="10" t="s">
        <v>21</v>
      </c>
      <c r="C6" s="10" t="s">
        <v>21</v>
      </c>
      <c r="D6" s="10" t="s">
        <v>21</v>
      </c>
      <c r="E6" s="10" t="s">
        <v>21</v>
      </c>
      <c r="F6" s="10" t="s">
        <v>21</v>
      </c>
      <c r="G6" s="10"/>
      <c r="H6" s="10" t="s">
        <v>21</v>
      </c>
      <c r="I6" s="10"/>
      <c r="J6" s="10" t="s">
        <v>21</v>
      </c>
      <c r="K6" s="10"/>
      <c r="L6" s="10" t="s">
        <v>21</v>
      </c>
      <c r="M6" s="10" t="s">
        <v>21</v>
      </c>
      <c r="N6" s="10" t="s">
        <v>21</v>
      </c>
      <c r="O6" s="10" t="s">
        <v>21</v>
      </c>
      <c r="P6" s="7">
        <v>0.0</v>
      </c>
      <c r="Q6" s="8">
        <f>4337.15+10901</f>
        <v>15238.15</v>
      </c>
      <c r="R6" s="9">
        <f t="shared" si="2"/>
        <v>0</v>
      </c>
    </row>
    <row r="9">
      <c r="A9" s="4" t="s">
        <v>22</v>
      </c>
      <c r="B9" s="11">
        <v>14000.0</v>
      </c>
    </row>
    <row r="10">
      <c r="A10" s="4" t="s">
        <v>23</v>
      </c>
      <c r="B10" s="12">
        <f>SUM(B2:O6)</f>
        <v>22547.42</v>
      </c>
    </row>
    <row r="11">
      <c r="A11" s="4" t="s">
        <v>24</v>
      </c>
      <c r="B11" s="12">
        <f> SUM(B9-B10)</f>
        <v>-8547.42</v>
      </c>
    </row>
    <row r="13">
      <c r="A13" s="13" t="s">
        <v>25</v>
      </c>
      <c r="B13" s="14">
        <f>SUM(Q2:Q6)</f>
        <v>82486.35</v>
      </c>
    </row>
    <row r="14">
      <c r="A14" s="13" t="s">
        <v>26</v>
      </c>
      <c r="B14" s="15">
        <f>B10/B13</f>
        <v>0.2733472872</v>
      </c>
    </row>
    <row r="17">
      <c r="A17" s="16" t="s">
        <v>27</v>
      </c>
      <c r="B17" s="17"/>
      <c r="C17" s="17"/>
      <c r="D17" s="18"/>
    </row>
    <row r="18">
      <c r="A18" s="19" t="s">
        <v>28</v>
      </c>
      <c r="B18" s="20"/>
      <c r="C18" s="20"/>
      <c r="D18" s="21"/>
    </row>
    <row r="19">
      <c r="A19" s="22" t="s">
        <v>29</v>
      </c>
      <c r="B19" s="23" t="s">
        <v>30</v>
      </c>
      <c r="C19" s="22" t="s">
        <v>31</v>
      </c>
      <c r="D19" s="24" t="s">
        <v>30</v>
      </c>
    </row>
    <row r="20">
      <c r="A20" s="25"/>
      <c r="B20" s="26"/>
      <c r="C20" s="25"/>
      <c r="D20" s="27"/>
    </row>
    <row r="21">
      <c r="A21" s="25"/>
      <c r="B21" s="26"/>
      <c r="C21" s="25"/>
      <c r="D21" s="27"/>
    </row>
    <row r="22">
      <c r="A22" s="25"/>
      <c r="B22" s="26"/>
      <c r="C22" s="25"/>
      <c r="D22" s="27"/>
    </row>
    <row r="23">
      <c r="A23" s="25"/>
      <c r="B23" s="26"/>
      <c r="C23" s="25"/>
      <c r="D23" s="27"/>
    </row>
    <row r="24">
      <c r="A24" s="25"/>
      <c r="B24" s="26"/>
      <c r="C24" s="25"/>
      <c r="D24" s="27"/>
    </row>
    <row r="25">
      <c r="A25" s="25"/>
      <c r="B25" s="26"/>
      <c r="C25" s="25"/>
      <c r="D25" s="27"/>
    </row>
    <row r="26">
      <c r="A26" s="25"/>
      <c r="B26" s="26"/>
      <c r="C26" s="25"/>
      <c r="D26" s="27"/>
    </row>
    <row r="27">
      <c r="A27" s="25"/>
      <c r="B27" s="26"/>
      <c r="C27" s="25"/>
      <c r="D27" s="27"/>
    </row>
    <row r="28">
      <c r="A28" s="25"/>
      <c r="B28" s="26"/>
      <c r="C28" s="25"/>
      <c r="D28" s="27"/>
    </row>
    <row r="29">
      <c r="A29" s="25"/>
      <c r="B29" s="26"/>
      <c r="C29" s="25"/>
      <c r="D29" s="27"/>
    </row>
    <row r="30">
      <c r="A30" s="25"/>
      <c r="B30" s="26"/>
      <c r="C30" s="25"/>
      <c r="D30" s="27"/>
    </row>
    <row r="31">
      <c r="A31" s="25"/>
      <c r="B31" s="26"/>
      <c r="C31" s="25"/>
      <c r="D31" s="27"/>
    </row>
    <row r="32">
      <c r="A32" s="29" t="s">
        <v>35</v>
      </c>
      <c r="B32" s="30">
        <f>sum(B20:B31)</f>
        <v>0</v>
      </c>
      <c r="C32" s="31"/>
      <c r="D32" s="30">
        <f>sum(D20:D31)</f>
        <v>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3" max="3" width="19.25"/>
    <col customWidth="1" min="4" max="4" width="13.13"/>
    <col customWidth="1" min="5" max="5" width="13.0"/>
    <col customWidth="1" min="11" max="11" width="15.38"/>
    <col customWidth="1" min="14" max="14" width="12.5"/>
    <col customWidth="1" min="15" max="15" width="14.75"/>
    <col customWidth="1" min="16" max="16" width="13.0"/>
  </cols>
  <sheetData>
    <row r="1">
      <c r="A1" s="1"/>
      <c r="B1" s="2" t="s">
        <v>0</v>
      </c>
      <c r="C1" s="2" t="s">
        <v>1</v>
      </c>
      <c r="D1" s="2" t="s">
        <v>7</v>
      </c>
      <c r="E1" s="2" t="s">
        <v>3</v>
      </c>
      <c r="F1" s="2" t="s">
        <v>5</v>
      </c>
      <c r="G1" s="2" t="s">
        <v>6</v>
      </c>
      <c r="H1" s="2" t="s">
        <v>43</v>
      </c>
      <c r="I1" s="2" t="s">
        <v>42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</row>
    <row r="2">
      <c r="A2" s="4" t="s">
        <v>47</v>
      </c>
      <c r="B2" s="5">
        <v>3650.7</v>
      </c>
      <c r="C2" s="5">
        <v>1373.24</v>
      </c>
      <c r="D2" s="5">
        <v>242.0</v>
      </c>
      <c r="E2" s="5">
        <v>390.0</v>
      </c>
      <c r="F2" s="5">
        <v>2982.6</v>
      </c>
      <c r="G2" s="5">
        <v>82.5</v>
      </c>
      <c r="H2" s="5">
        <v>1173.55</v>
      </c>
      <c r="I2" s="6"/>
      <c r="J2" s="6"/>
      <c r="K2" s="5">
        <v>162.65</v>
      </c>
      <c r="L2" s="5">
        <v>100.0</v>
      </c>
      <c r="M2" s="6"/>
      <c r="N2" s="7">
        <f t="shared" ref="N2:N5" si="1">SUM(B2:M2)</f>
        <v>10157.24</v>
      </c>
      <c r="O2" s="8">
        <v>8453.0</v>
      </c>
      <c r="P2" s="9">
        <f t="shared" ref="P2:P6" si="2">N2/O2</f>
        <v>1.201613628</v>
      </c>
    </row>
    <row r="3">
      <c r="A3" s="4" t="s">
        <v>17</v>
      </c>
      <c r="B3" s="5">
        <v>2111.76</v>
      </c>
      <c r="C3" s="5"/>
      <c r="D3" s="6"/>
      <c r="E3" s="6"/>
      <c r="F3" s="5"/>
      <c r="G3" s="6"/>
      <c r="H3" s="5"/>
      <c r="I3" s="5"/>
      <c r="J3" s="5"/>
      <c r="K3" s="5"/>
      <c r="L3" s="6"/>
      <c r="M3" s="6"/>
      <c r="N3" s="7">
        <f t="shared" si="1"/>
        <v>2111.76</v>
      </c>
      <c r="O3" s="8">
        <v>10247.0</v>
      </c>
      <c r="P3" s="9">
        <f t="shared" si="2"/>
        <v>0.2060856836</v>
      </c>
    </row>
    <row r="4">
      <c r="A4" s="4" t="s">
        <v>18</v>
      </c>
      <c r="B4" s="5">
        <v>1538.23</v>
      </c>
      <c r="C4" s="5">
        <v>643.56</v>
      </c>
      <c r="D4" s="6"/>
      <c r="E4" s="6"/>
      <c r="F4" s="5">
        <v>1069.1</v>
      </c>
      <c r="G4" s="5">
        <v>227.5</v>
      </c>
      <c r="H4" s="5"/>
      <c r="I4" s="5">
        <v>56.23</v>
      </c>
      <c r="J4" s="6"/>
      <c r="K4" s="5"/>
      <c r="L4" s="5">
        <v>100.0</v>
      </c>
      <c r="M4" s="5">
        <v>277.41</v>
      </c>
      <c r="N4" s="7">
        <f t="shared" si="1"/>
        <v>3912.03</v>
      </c>
      <c r="O4" s="8">
        <v>13983.8</v>
      </c>
      <c r="P4" s="9">
        <f t="shared" si="2"/>
        <v>0.2797544301</v>
      </c>
    </row>
    <row r="5">
      <c r="A5" s="4" t="s">
        <v>19</v>
      </c>
      <c r="B5" s="5">
        <v>2342.7</v>
      </c>
      <c r="C5" s="5">
        <v>1056.41</v>
      </c>
      <c r="D5" s="6"/>
      <c r="E5" s="6"/>
      <c r="F5" s="6"/>
      <c r="G5" s="5">
        <v>82.5</v>
      </c>
      <c r="H5" s="6"/>
      <c r="I5" s="6"/>
      <c r="J5" s="6"/>
      <c r="K5" s="6"/>
      <c r="L5" s="6"/>
      <c r="M5" s="6"/>
      <c r="N5" s="7">
        <f t="shared" si="1"/>
        <v>3481.61</v>
      </c>
      <c r="O5" s="8">
        <f>3316+15249.5</f>
        <v>18565.5</v>
      </c>
      <c r="P5" s="9">
        <f t="shared" si="2"/>
        <v>0.1875311734</v>
      </c>
    </row>
    <row r="6">
      <c r="A6" s="4" t="s">
        <v>20</v>
      </c>
      <c r="B6" s="10" t="s">
        <v>21</v>
      </c>
      <c r="C6" s="10" t="s">
        <v>21</v>
      </c>
      <c r="D6" s="10" t="s">
        <v>21</v>
      </c>
      <c r="E6" s="10" t="s">
        <v>21</v>
      </c>
      <c r="F6" s="10" t="s">
        <v>21</v>
      </c>
      <c r="G6" s="10" t="s">
        <v>21</v>
      </c>
      <c r="H6" s="10" t="s">
        <v>21</v>
      </c>
      <c r="I6" s="10" t="s">
        <v>21</v>
      </c>
      <c r="J6" s="10" t="s">
        <v>21</v>
      </c>
      <c r="K6" s="10" t="s">
        <v>21</v>
      </c>
      <c r="L6" s="10" t="s">
        <v>21</v>
      </c>
      <c r="M6" s="10" t="s">
        <v>21</v>
      </c>
      <c r="N6" s="7">
        <v>0.0</v>
      </c>
      <c r="O6" s="8">
        <v>18508.8</v>
      </c>
      <c r="P6" s="9">
        <f t="shared" si="2"/>
        <v>0</v>
      </c>
    </row>
    <row r="9">
      <c r="A9" s="4" t="s">
        <v>22</v>
      </c>
      <c r="B9" s="11">
        <v>14000.0</v>
      </c>
    </row>
    <row r="10">
      <c r="A10" s="4" t="s">
        <v>23</v>
      </c>
      <c r="B10" s="12">
        <f>SUM(B2:M6)</f>
        <v>19662.64</v>
      </c>
    </row>
    <row r="11">
      <c r="A11" s="4" t="s">
        <v>24</v>
      </c>
      <c r="B11" s="12">
        <f> SUM(B9-B10)</f>
        <v>-5662.64</v>
      </c>
    </row>
    <row r="13">
      <c r="A13" s="13" t="s">
        <v>25</v>
      </c>
      <c r="B13" s="14">
        <f>SUM(O2:O6)</f>
        <v>69758.1</v>
      </c>
    </row>
    <row r="14">
      <c r="A14" s="13" t="s">
        <v>26</v>
      </c>
      <c r="B14" s="15">
        <f>B10/B13</f>
        <v>0.2818689156</v>
      </c>
    </row>
    <row r="17">
      <c r="A17" s="16" t="s">
        <v>27</v>
      </c>
      <c r="B17" s="17"/>
      <c r="C17" s="17"/>
      <c r="D17" s="18"/>
    </row>
    <row r="18">
      <c r="A18" s="19" t="s">
        <v>28</v>
      </c>
      <c r="B18" s="20"/>
      <c r="C18" s="20"/>
      <c r="D18" s="21"/>
    </row>
    <row r="19">
      <c r="A19" s="22" t="s">
        <v>29</v>
      </c>
      <c r="B19" s="23" t="s">
        <v>30</v>
      </c>
      <c r="C19" s="22" t="s">
        <v>31</v>
      </c>
      <c r="D19" s="24" t="s">
        <v>30</v>
      </c>
    </row>
    <row r="20">
      <c r="A20" s="25"/>
      <c r="B20" s="26"/>
      <c r="C20" s="25"/>
      <c r="D20" s="27"/>
    </row>
    <row r="21">
      <c r="A21" s="25"/>
      <c r="B21" s="26"/>
      <c r="C21" s="25"/>
      <c r="D21" s="27"/>
    </row>
    <row r="22">
      <c r="A22" s="25"/>
      <c r="B22" s="26"/>
      <c r="C22" s="25"/>
      <c r="D22" s="27"/>
    </row>
    <row r="23">
      <c r="A23" s="25"/>
      <c r="B23" s="26"/>
      <c r="C23" s="25"/>
      <c r="D23" s="27"/>
    </row>
    <row r="24">
      <c r="A24" s="25"/>
      <c r="B24" s="26"/>
      <c r="C24" s="25"/>
      <c r="D24" s="27"/>
    </row>
    <row r="25">
      <c r="A25" s="25"/>
      <c r="B25" s="26"/>
      <c r="C25" s="25"/>
      <c r="D25" s="27"/>
    </row>
    <row r="26">
      <c r="A26" s="25"/>
      <c r="B26" s="26"/>
      <c r="C26" s="25"/>
      <c r="D26" s="27"/>
    </row>
    <row r="27">
      <c r="A27" s="25"/>
      <c r="B27" s="26"/>
      <c r="C27" s="25"/>
      <c r="D27" s="27"/>
    </row>
    <row r="28">
      <c r="A28" s="25"/>
      <c r="B28" s="26"/>
      <c r="C28" s="25"/>
      <c r="D28" s="27"/>
    </row>
    <row r="29">
      <c r="A29" s="25"/>
      <c r="B29" s="26"/>
      <c r="C29" s="25"/>
      <c r="D29" s="27"/>
    </row>
    <row r="30">
      <c r="A30" s="25"/>
      <c r="B30" s="26"/>
      <c r="C30" s="25"/>
      <c r="D30" s="27"/>
    </row>
    <row r="31">
      <c r="A31" s="25"/>
      <c r="B31" s="26"/>
      <c r="C31" s="25"/>
      <c r="D31" s="27"/>
    </row>
    <row r="32">
      <c r="A32" s="29" t="s">
        <v>35</v>
      </c>
      <c r="B32" s="30">
        <f>sum(B20:B31)</f>
        <v>0</v>
      </c>
      <c r="C32" s="31"/>
      <c r="D32" s="30">
        <f>sum(D20:D31)</f>
        <v>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3" max="3" width="19.25"/>
    <col customWidth="1" min="4" max="4" width="13.13"/>
    <col customWidth="1" min="5" max="5" width="13.0"/>
    <col customWidth="1" min="12" max="12" width="15.38"/>
    <col customWidth="1" min="15" max="15" width="12.5"/>
    <col customWidth="1" min="16" max="16" width="14.75"/>
    <col customWidth="1" min="17" max="17" width="13.0"/>
  </cols>
  <sheetData>
    <row r="1">
      <c r="A1" s="1"/>
      <c r="B1" s="2" t="s">
        <v>0</v>
      </c>
      <c r="C1" s="2" t="s">
        <v>1</v>
      </c>
      <c r="D1" s="2" t="s">
        <v>7</v>
      </c>
      <c r="E1" s="2" t="s">
        <v>3</v>
      </c>
      <c r="F1" s="2" t="s">
        <v>5</v>
      </c>
      <c r="G1" s="2" t="s">
        <v>6</v>
      </c>
      <c r="H1" s="2" t="s">
        <v>43</v>
      </c>
      <c r="I1" s="2" t="s">
        <v>40</v>
      </c>
      <c r="J1" s="2" t="s">
        <v>42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3" t="s">
        <v>14</v>
      </c>
      <c r="Q1" s="3" t="s">
        <v>15</v>
      </c>
    </row>
    <row r="2">
      <c r="A2" s="4" t="s">
        <v>47</v>
      </c>
      <c r="B2" s="5">
        <v>3430.07</v>
      </c>
      <c r="C2" s="5">
        <v>604.75</v>
      </c>
      <c r="D2" s="5"/>
      <c r="E2" s="5">
        <v>390.0</v>
      </c>
      <c r="F2" s="5"/>
      <c r="G2" s="5">
        <v>82.5</v>
      </c>
      <c r="H2" s="5"/>
      <c r="I2" s="6"/>
      <c r="J2" s="6"/>
      <c r="K2" s="6"/>
      <c r="L2" s="5"/>
      <c r="M2" s="5">
        <v>100.0</v>
      </c>
      <c r="N2" s="6"/>
      <c r="O2" s="7">
        <f t="shared" ref="O2:O5" si="1">SUM(B2:N2)</f>
        <v>4607.32</v>
      </c>
      <c r="P2" s="8">
        <v>7888.0</v>
      </c>
      <c r="Q2" s="9">
        <f t="shared" ref="Q2:Q6" si="2">O2/P2</f>
        <v>0.5840922921</v>
      </c>
    </row>
    <row r="3">
      <c r="A3" s="4" t="s">
        <v>17</v>
      </c>
      <c r="B3" s="5">
        <v>2342.8</v>
      </c>
      <c r="C3" s="5">
        <v>696.9</v>
      </c>
      <c r="D3" s="6"/>
      <c r="E3" s="6"/>
      <c r="F3" s="5">
        <v>870.05</v>
      </c>
      <c r="G3" s="6"/>
      <c r="H3" s="5">
        <v>672.5</v>
      </c>
      <c r="I3" s="5"/>
      <c r="J3" s="5">
        <v>260.72</v>
      </c>
      <c r="K3" s="5"/>
      <c r="L3" s="5">
        <v>39.0</v>
      </c>
      <c r="M3" s="6"/>
      <c r="N3" s="6"/>
      <c r="O3" s="7">
        <f t="shared" si="1"/>
        <v>4881.97</v>
      </c>
      <c r="P3" s="8">
        <v>10906.0</v>
      </c>
      <c r="Q3" s="9">
        <f t="shared" si="2"/>
        <v>0.4476407482</v>
      </c>
    </row>
    <row r="4">
      <c r="A4" s="4" t="s">
        <v>18</v>
      </c>
      <c r="B4" s="5">
        <v>2710.15</v>
      </c>
      <c r="C4" s="5">
        <v>201.78</v>
      </c>
      <c r="D4" s="6"/>
      <c r="E4" s="6"/>
      <c r="F4" s="5">
        <v>1754.05</v>
      </c>
      <c r="G4" s="5">
        <v>49.5</v>
      </c>
      <c r="H4" s="5"/>
      <c r="I4" s="5">
        <v>1252.1</v>
      </c>
      <c r="J4" s="5"/>
      <c r="K4" s="6"/>
      <c r="L4" s="5"/>
      <c r="M4" s="5">
        <v>100.0</v>
      </c>
      <c r="N4" s="5">
        <v>302.37</v>
      </c>
      <c r="O4" s="7">
        <f t="shared" si="1"/>
        <v>6369.95</v>
      </c>
      <c r="P4" s="8">
        <v>14630.0</v>
      </c>
      <c r="Q4" s="9">
        <f t="shared" si="2"/>
        <v>0.4354032809</v>
      </c>
    </row>
    <row r="5">
      <c r="A5" s="4" t="s">
        <v>19</v>
      </c>
      <c r="B5" s="5">
        <v>2621.28</v>
      </c>
      <c r="C5" s="5">
        <v>702.67</v>
      </c>
      <c r="D5" s="6"/>
      <c r="E5" s="6"/>
      <c r="F5" s="6"/>
      <c r="G5" s="5"/>
      <c r="H5" s="6"/>
      <c r="I5" s="6"/>
      <c r="J5" s="5">
        <v>136.58</v>
      </c>
      <c r="K5" s="6"/>
      <c r="L5" s="6"/>
      <c r="M5" s="6"/>
      <c r="N5" s="6"/>
      <c r="O5" s="7">
        <f t="shared" si="1"/>
        <v>3460.53</v>
      </c>
      <c r="P5" s="8">
        <f>4888+14419</f>
        <v>19307</v>
      </c>
      <c r="Q5" s="9">
        <f t="shared" si="2"/>
        <v>0.1792370643</v>
      </c>
    </row>
    <row r="6">
      <c r="A6" s="4" t="s">
        <v>20</v>
      </c>
      <c r="B6" s="10" t="s">
        <v>21</v>
      </c>
      <c r="C6" s="10" t="s">
        <v>21</v>
      </c>
      <c r="D6" s="10" t="s">
        <v>21</v>
      </c>
      <c r="E6" s="10" t="s">
        <v>21</v>
      </c>
      <c r="F6" s="10" t="s">
        <v>21</v>
      </c>
      <c r="G6" s="10" t="s">
        <v>21</v>
      </c>
      <c r="H6" s="10" t="s">
        <v>21</v>
      </c>
      <c r="I6" s="10"/>
      <c r="J6" s="10" t="s">
        <v>21</v>
      </c>
      <c r="K6" s="10" t="s">
        <v>21</v>
      </c>
      <c r="L6" s="10" t="s">
        <v>21</v>
      </c>
      <c r="M6" s="10" t="s">
        <v>21</v>
      </c>
      <c r="N6" s="10" t="s">
        <v>21</v>
      </c>
      <c r="O6" s="7">
        <v>0.0</v>
      </c>
      <c r="P6" s="8">
        <v>17791.6</v>
      </c>
      <c r="Q6" s="9">
        <f t="shared" si="2"/>
        <v>0</v>
      </c>
    </row>
    <row r="9">
      <c r="A9" s="4" t="s">
        <v>22</v>
      </c>
      <c r="B9" s="11">
        <v>14000.0</v>
      </c>
    </row>
    <row r="10">
      <c r="A10" s="4" t="s">
        <v>23</v>
      </c>
      <c r="B10" s="12">
        <f>SUM(B2:N6)</f>
        <v>19319.77</v>
      </c>
    </row>
    <row r="11">
      <c r="A11" s="4" t="s">
        <v>24</v>
      </c>
      <c r="B11" s="12">
        <f> SUM(B9-B10)</f>
        <v>-5319.77</v>
      </c>
    </row>
    <row r="13">
      <c r="A13" s="13" t="s">
        <v>25</v>
      </c>
      <c r="B13" s="14">
        <f>SUM(P2:P6)</f>
        <v>70522.6</v>
      </c>
    </row>
    <row r="14">
      <c r="A14" s="13" t="s">
        <v>26</v>
      </c>
      <c r="B14" s="15">
        <f>B10/B13</f>
        <v>0.2739514709</v>
      </c>
    </row>
    <row r="17">
      <c r="A17" s="16" t="s">
        <v>27</v>
      </c>
      <c r="B17" s="17"/>
      <c r="C17" s="17"/>
      <c r="D17" s="18"/>
    </row>
    <row r="18">
      <c r="A18" s="19" t="s">
        <v>28</v>
      </c>
      <c r="B18" s="20"/>
      <c r="C18" s="20"/>
      <c r="D18" s="21"/>
    </row>
    <row r="19">
      <c r="A19" s="22" t="s">
        <v>29</v>
      </c>
      <c r="B19" s="23" t="s">
        <v>30</v>
      </c>
      <c r="C19" s="22" t="s">
        <v>31</v>
      </c>
      <c r="D19" s="24" t="s">
        <v>30</v>
      </c>
    </row>
    <row r="20">
      <c r="A20" s="25"/>
      <c r="B20" s="26"/>
      <c r="C20" s="25"/>
      <c r="D20" s="27"/>
    </row>
    <row r="21">
      <c r="A21" s="25"/>
      <c r="B21" s="26"/>
      <c r="C21" s="25"/>
      <c r="D21" s="27"/>
    </row>
    <row r="22">
      <c r="A22" s="25"/>
      <c r="B22" s="26"/>
      <c r="C22" s="25"/>
      <c r="D22" s="27"/>
    </row>
    <row r="23">
      <c r="A23" s="25"/>
      <c r="B23" s="26"/>
      <c r="C23" s="25"/>
      <c r="D23" s="27"/>
    </row>
    <row r="24">
      <c r="A24" s="25"/>
      <c r="B24" s="26"/>
      <c r="C24" s="25"/>
      <c r="D24" s="27"/>
    </row>
    <row r="25">
      <c r="A25" s="25"/>
      <c r="B25" s="26"/>
      <c r="C25" s="25"/>
      <c r="D25" s="27"/>
    </row>
    <row r="26">
      <c r="A26" s="25"/>
      <c r="B26" s="26"/>
      <c r="C26" s="25"/>
      <c r="D26" s="27"/>
    </row>
    <row r="27">
      <c r="A27" s="25"/>
      <c r="B27" s="26"/>
      <c r="C27" s="25"/>
      <c r="D27" s="27"/>
    </row>
    <row r="28">
      <c r="A28" s="25"/>
      <c r="B28" s="26"/>
      <c r="C28" s="25"/>
      <c r="D28" s="27"/>
    </row>
    <row r="29">
      <c r="A29" s="25"/>
      <c r="B29" s="26"/>
      <c r="C29" s="25"/>
      <c r="D29" s="27"/>
    </row>
    <row r="30">
      <c r="A30" s="25"/>
      <c r="B30" s="26"/>
      <c r="C30" s="25"/>
      <c r="D30" s="27"/>
    </row>
    <row r="31">
      <c r="A31" s="25"/>
      <c r="B31" s="26"/>
      <c r="C31" s="25"/>
      <c r="D31" s="27"/>
    </row>
    <row r="32">
      <c r="A32" s="29" t="s">
        <v>35</v>
      </c>
      <c r="B32" s="30">
        <f>sum(B20:B31)</f>
        <v>0</v>
      </c>
      <c r="C32" s="31"/>
      <c r="D32" s="30">
        <f>sum(D20:D31)</f>
        <v>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3" max="3" width="19.25"/>
    <col customWidth="1" min="4" max="4" width="13.13"/>
    <col customWidth="1" min="5" max="5" width="13.0"/>
    <col customWidth="1" min="12" max="12" width="15.38"/>
    <col customWidth="1" min="15" max="15" width="12.5"/>
    <col customWidth="1" min="16" max="16" width="14.75"/>
    <col customWidth="1" min="17" max="17" width="13.0"/>
  </cols>
  <sheetData>
    <row r="1">
      <c r="A1" s="1"/>
      <c r="B1" s="2" t="s">
        <v>0</v>
      </c>
      <c r="C1" s="2" t="s">
        <v>1</v>
      </c>
      <c r="D1" s="2" t="s">
        <v>7</v>
      </c>
      <c r="E1" s="2" t="s">
        <v>3</v>
      </c>
      <c r="F1" s="2" t="s">
        <v>5</v>
      </c>
      <c r="G1" s="2" t="s">
        <v>6</v>
      </c>
      <c r="H1" s="2" t="s">
        <v>43</v>
      </c>
      <c r="I1" s="2" t="s">
        <v>40</v>
      </c>
      <c r="J1" s="2" t="s">
        <v>42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3" t="s">
        <v>14</v>
      </c>
      <c r="Q1" s="3" t="s">
        <v>15</v>
      </c>
    </row>
    <row r="2">
      <c r="A2" s="4" t="s">
        <v>47</v>
      </c>
      <c r="B2" s="5">
        <v>4131.8</v>
      </c>
      <c r="C2" s="5">
        <v>618.0</v>
      </c>
      <c r="D2" s="5"/>
      <c r="E2" s="5">
        <v>390.0</v>
      </c>
      <c r="F2" s="5">
        <v>1277.45</v>
      </c>
      <c r="G2" s="5">
        <v>49.5</v>
      </c>
      <c r="H2" s="5"/>
      <c r="I2" s="6"/>
      <c r="J2" s="6"/>
      <c r="K2" s="6"/>
      <c r="L2" s="5"/>
      <c r="M2" s="5">
        <v>100.0</v>
      </c>
      <c r="N2" s="6"/>
      <c r="O2" s="7">
        <f t="shared" ref="O2:O5" si="1">SUM(B2:N2)</f>
        <v>6566.75</v>
      </c>
      <c r="P2" s="8">
        <v>10545.84</v>
      </c>
      <c r="Q2" s="9">
        <f t="shared" ref="Q2:Q6" si="2">O2/P2</f>
        <v>0.6226862915</v>
      </c>
    </row>
    <row r="3">
      <c r="A3" s="4" t="s">
        <v>17</v>
      </c>
      <c r="B3" s="5">
        <v>739.6</v>
      </c>
      <c r="C3" s="5">
        <v>709.33</v>
      </c>
      <c r="D3" s="6"/>
      <c r="E3" s="6"/>
      <c r="F3" s="5">
        <v>904.51</v>
      </c>
      <c r="G3" s="5">
        <v>194.5</v>
      </c>
      <c r="H3" s="5"/>
      <c r="I3" s="5"/>
      <c r="J3" s="5"/>
      <c r="K3" s="5"/>
      <c r="L3" s="5"/>
      <c r="M3" s="6"/>
      <c r="N3" s="6"/>
      <c r="O3" s="7">
        <f t="shared" si="1"/>
        <v>2547.94</v>
      </c>
      <c r="P3" s="8">
        <v>14145.68</v>
      </c>
      <c r="Q3" s="9">
        <f t="shared" si="2"/>
        <v>0.1801214222</v>
      </c>
    </row>
    <row r="4">
      <c r="A4" s="4" t="s">
        <v>18</v>
      </c>
      <c r="B4" s="5">
        <v>2899.89</v>
      </c>
      <c r="C4" s="5">
        <v>764.08</v>
      </c>
      <c r="D4" s="6"/>
      <c r="E4" s="6"/>
      <c r="F4" s="5"/>
      <c r="G4" s="5">
        <v>49.5</v>
      </c>
      <c r="H4" s="5"/>
      <c r="I4" s="5"/>
      <c r="J4" s="5"/>
      <c r="K4" s="6"/>
      <c r="L4" s="5"/>
      <c r="M4" s="5">
        <v>100.0</v>
      </c>
      <c r="N4" s="5">
        <v>302.37</v>
      </c>
      <c r="O4" s="7">
        <f t="shared" si="1"/>
        <v>4115.84</v>
      </c>
      <c r="P4" s="8">
        <v>12887.61</v>
      </c>
      <c r="Q4" s="9">
        <f t="shared" si="2"/>
        <v>0.3193641024</v>
      </c>
    </row>
    <row r="5">
      <c r="A5" s="4" t="s">
        <v>19</v>
      </c>
      <c r="B5" s="5">
        <v>2073.58</v>
      </c>
      <c r="C5" s="5">
        <v>542.98</v>
      </c>
      <c r="D5" s="6"/>
      <c r="E5" s="6"/>
      <c r="F5" s="6"/>
      <c r="G5" s="5"/>
      <c r="H5" s="6"/>
      <c r="I5" s="6"/>
      <c r="J5" s="5"/>
      <c r="K5" s="6"/>
      <c r="L5" s="6"/>
      <c r="M5" s="6"/>
      <c r="N5" s="6"/>
      <c r="O5" s="7">
        <f t="shared" si="1"/>
        <v>2616.56</v>
      </c>
      <c r="P5" s="8">
        <f>4552.1+16729</f>
        <v>21281.1</v>
      </c>
      <c r="Q5" s="9">
        <f t="shared" si="2"/>
        <v>0.122952291</v>
      </c>
    </row>
    <row r="6">
      <c r="A6" s="4" t="s">
        <v>20</v>
      </c>
      <c r="B6" s="10" t="s">
        <v>21</v>
      </c>
      <c r="C6" s="10" t="s">
        <v>21</v>
      </c>
      <c r="D6" s="10" t="s">
        <v>21</v>
      </c>
      <c r="E6" s="10" t="s">
        <v>21</v>
      </c>
      <c r="F6" s="10" t="s">
        <v>21</v>
      </c>
      <c r="G6" s="10" t="s">
        <v>21</v>
      </c>
      <c r="H6" s="10" t="s">
        <v>21</v>
      </c>
      <c r="I6" s="10"/>
      <c r="J6" s="10" t="s">
        <v>21</v>
      </c>
      <c r="K6" s="10" t="s">
        <v>21</v>
      </c>
      <c r="L6" s="10" t="s">
        <v>21</v>
      </c>
      <c r="M6" s="10" t="s">
        <v>21</v>
      </c>
      <c r="N6" s="10" t="s">
        <v>21</v>
      </c>
      <c r="O6" s="7">
        <v>0.0</v>
      </c>
      <c r="P6" s="8">
        <v>14696.6</v>
      </c>
      <c r="Q6" s="9">
        <f t="shared" si="2"/>
        <v>0</v>
      </c>
    </row>
    <row r="9">
      <c r="A9" s="4" t="s">
        <v>22</v>
      </c>
      <c r="B9" s="11">
        <v>14000.0</v>
      </c>
    </row>
    <row r="10">
      <c r="A10" s="4" t="s">
        <v>23</v>
      </c>
      <c r="B10" s="12">
        <f>SUM(B2:N6)</f>
        <v>15847.09</v>
      </c>
      <c r="C10" s="32" t="s">
        <v>48</v>
      </c>
    </row>
    <row r="11">
      <c r="A11" s="4" t="s">
        <v>24</v>
      </c>
      <c r="B11" s="12">
        <f> SUM(B9-B10)</f>
        <v>-1847.09</v>
      </c>
    </row>
    <row r="13">
      <c r="A13" s="13" t="s">
        <v>25</v>
      </c>
      <c r="B13" s="14">
        <f>SUM(P2:P6)</f>
        <v>73556.83</v>
      </c>
    </row>
    <row r="14">
      <c r="A14" s="13" t="s">
        <v>26</v>
      </c>
      <c r="B14" s="15">
        <f>B10/B13</f>
        <v>0.215440089</v>
      </c>
    </row>
    <row r="17">
      <c r="A17" s="16" t="s">
        <v>27</v>
      </c>
      <c r="B17" s="17"/>
      <c r="C17" s="17"/>
      <c r="D17" s="18"/>
    </row>
    <row r="18">
      <c r="A18" s="19" t="s">
        <v>28</v>
      </c>
      <c r="B18" s="20"/>
      <c r="C18" s="20"/>
      <c r="D18" s="21"/>
    </row>
    <row r="19">
      <c r="A19" s="22" t="s">
        <v>29</v>
      </c>
      <c r="B19" s="23" t="s">
        <v>30</v>
      </c>
      <c r="C19" s="22" t="s">
        <v>31</v>
      </c>
      <c r="D19" s="24" t="s">
        <v>30</v>
      </c>
    </row>
    <row r="20">
      <c r="A20" s="25"/>
      <c r="B20" s="26"/>
      <c r="C20" s="25"/>
      <c r="D20" s="27"/>
    </row>
    <row r="21">
      <c r="A21" s="25"/>
      <c r="B21" s="26"/>
      <c r="C21" s="25"/>
      <c r="D21" s="27"/>
    </row>
    <row r="22">
      <c r="A22" s="25"/>
      <c r="B22" s="26"/>
      <c r="C22" s="25"/>
      <c r="D22" s="27"/>
    </row>
    <row r="23">
      <c r="A23" s="25"/>
      <c r="B23" s="26"/>
      <c r="C23" s="25"/>
      <c r="D23" s="27"/>
    </row>
    <row r="24">
      <c r="A24" s="25"/>
      <c r="B24" s="26"/>
      <c r="C24" s="25"/>
      <c r="D24" s="27"/>
    </row>
    <row r="25">
      <c r="A25" s="25"/>
      <c r="B25" s="26"/>
      <c r="C25" s="25"/>
      <c r="D25" s="27"/>
    </row>
    <row r="26">
      <c r="A26" s="25"/>
      <c r="B26" s="26"/>
      <c r="C26" s="25"/>
      <c r="D26" s="27"/>
    </row>
    <row r="27">
      <c r="A27" s="25"/>
      <c r="B27" s="26"/>
      <c r="C27" s="25"/>
      <c r="D27" s="27"/>
    </row>
    <row r="28">
      <c r="A28" s="25"/>
      <c r="B28" s="26"/>
      <c r="C28" s="25"/>
      <c r="D28" s="27"/>
    </row>
    <row r="29">
      <c r="A29" s="25"/>
      <c r="B29" s="26"/>
      <c r="C29" s="25"/>
      <c r="D29" s="27"/>
    </row>
    <row r="30">
      <c r="A30" s="25"/>
      <c r="B30" s="26"/>
      <c r="C30" s="25"/>
      <c r="D30" s="27"/>
    </row>
    <row r="31">
      <c r="A31" s="25"/>
      <c r="B31" s="26"/>
      <c r="C31" s="25"/>
      <c r="D31" s="27"/>
    </row>
    <row r="32">
      <c r="A32" s="29" t="s">
        <v>35</v>
      </c>
      <c r="B32" s="30">
        <f>sum(B20:B31)</f>
        <v>0</v>
      </c>
      <c r="C32" s="31"/>
      <c r="D32" s="30">
        <f>sum(D20:D31)</f>
        <v>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3" max="3" width="19.25"/>
    <col customWidth="1" min="4" max="4" width="13.13"/>
    <col customWidth="1" min="5" max="5" width="13.0"/>
    <col customWidth="1" min="13" max="13" width="15.38"/>
    <col customWidth="1" min="16" max="16" width="12.5"/>
    <col customWidth="1" min="17" max="17" width="14.75"/>
    <col customWidth="1" min="18" max="18" width="13.0"/>
  </cols>
  <sheetData>
    <row r="1">
      <c r="A1" s="1"/>
      <c r="B1" s="2" t="s">
        <v>0</v>
      </c>
      <c r="C1" s="2" t="s">
        <v>1</v>
      </c>
      <c r="D1" s="2" t="s">
        <v>7</v>
      </c>
      <c r="E1" s="2" t="s">
        <v>3</v>
      </c>
      <c r="F1" s="2" t="s">
        <v>5</v>
      </c>
      <c r="G1" s="2" t="s">
        <v>6</v>
      </c>
      <c r="H1" s="2" t="s">
        <v>43</v>
      </c>
      <c r="I1" s="2" t="s">
        <v>40</v>
      </c>
      <c r="J1" s="2" t="s">
        <v>49</v>
      </c>
      <c r="K1" s="2" t="s">
        <v>42</v>
      </c>
      <c r="L1" s="2" t="s">
        <v>9</v>
      </c>
      <c r="M1" s="2" t="s">
        <v>10</v>
      </c>
      <c r="N1" s="2" t="s">
        <v>11</v>
      </c>
      <c r="O1" s="2" t="s">
        <v>12</v>
      </c>
      <c r="P1" s="3" t="s">
        <v>13</v>
      </c>
      <c r="Q1" s="3" t="s">
        <v>14</v>
      </c>
      <c r="R1" s="3" t="s">
        <v>15</v>
      </c>
    </row>
    <row r="2">
      <c r="A2" s="4" t="s">
        <v>47</v>
      </c>
      <c r="B2" s="5">
        <v>4051.48</v>
      </c>
      <c r="C2" s="5">
        <v>1270.4</v>
      </c>
      <c r="D2" s="5"/>
      <c r="E2" s="5">
        <v>260.0</v>
      </c>
      <c r="F2" s="5">
        <v>933.6</v>
      </c>
      <c r="G2" s="5">
        <v>49.5</v>
      </c>
      <c r="H2" s="5">
        <v>1793.0</v>
      </c>
      <c r="I2" s="42"/>
      <c r="J2" s="5">
        <v>180.0</v>
      </c>
      <c r="K2" s="6"/>
      <c r="L2" s="6"/>
      <c r="M2" s="5">
        <v>33.9</v>
      </c>
      <c r="N2" s="5">
        <v>100.0</v>
      </c>
      <c r="O2" s="6"/>
      <c r="P2" s="7">
        <f t="shared" ref="P2:P5" si="1">SUM(B2:O2)</f>
        <v>8671.88</v>
      </c>
      <c r="Q2" s="8">
        <v>15069.64</v>
      </c>
      <c r="R2" s="9">
        <f t="shared" ref="R2:R6" si="2">P2/Q2</f>
        <v>0.5754536937</v>
      </c>
    </row>
    <row r="3">
      <c r="A3" s="4" t="s">
        <v>17</v>
      </c>
      <c r="B3" s="5">
        <v>2002.14</v>
      </c>
      <c r="C3" s="5">
        <v>205.09</v>
      </c>
      <c r="D3" s="6"/>
      <c r="E3" s="6"/>
      <c r="F3" s="5"/>
      <c r="G3" s="5">
        <v>194.5</v>
      </c>
      <c r="H3" s="5"/>
      <c r="I3" s="5"/>
      <c r="J3" s="5"/>
      <c r="K3" s="5"/>
      <c r="L3" s="5"/>
      <c r="M3" s="5"/>
      <c r="N3" s="6"/>
      <c r="O3" s="6"/>
      <c r="P3" s="7">
        <f t="shared" si="1"/>
        <v>2401.73</v>
      </c>
      <c r="Q3" s="8">
        <v>13352.1</v>
      </c>
      <c r="R3" s="9">
        <f t="shared" si="2"/>
        <v>0.1798765737</v>
      </c>
    </row>
    <row r="4">
      <c r="A4" s="4" t="s">
        <v>18</v>
      </c>
      <c r="B4" s="5">
        <v>2457.27</v>
      </c>
      <c r="C4" s="5">
        <v>1386.56</v>
      </c>
      <c r="D4" s="6"/>
      <c r="E4" s="5"/>
      <c r="F4" s="5">
        <v>870.95</v>
      </c>
      <c r="G4" s="5">
        <v>49.5</v>
      </c>
      <c r="H4" s="5">
        <v>1099.31</v>
      </c>
      <c r="I4" s="5"/>
      <c r="J4" s="5"/>
      <c r="K4" s="5">
        <v>57.85</v>
      </c>
      <c r="L4" s="43">
        <v>3000.0</v>
      </c>
      <c r="M4" s="5">
        <v>25.0</v>
      </c>
      <c r="N4" s="5">
        <v>100.0</v>
      </c>
      <c r="O4" s="5">
        <v>302.37</v>
      </c>
      <c r="P4" s="7">
        <f t="shared" si="1"/>
        <v>9348.81</v>
      </c>
      <c r="Q4" s="8">
        <v>13200.2</v>
      </c>
      <c r="R4" s="9">
        <f t="shared" si="2"/>
        <v>0.708232451</v>
      </c>
    </row>
    <row r="5">
      <c r="A5" s="4" t="s">
        <v>19</v>
      </c>
      <c r="B5" s="44">
        <v>4291.02</v>
      </c>
      <c r="C5" s="5">
        <v>1098.12</v>
      </c>
      <c r="D5" s="6"/>
      <c r="E5" s="6"/>
      <c r="F5" s="5">
        <v>126.0</v>
      </c>
      <c r="G5" s="5"/>
      <c r="H5" s="6"/>
      <c r="I5" s="6"/>
      <c r="J5" s="5"/>
      <c r="K5" s="5"/>
      <c r="L5" s="6"/>
      <c r="M5" s="6"/>
      <c r="N5" s="6"/>
      <c r="O5" s="6"/>
      <c r="P5" s="7">
        <f t="shared" si="1"/>
        <v>5515.14</v>
      </c>
      <c r="Q5" s="8">
        <v>19915.74</v>
      </c>
      <c r="R5" s="9">
        <f t="shared" si="2"/>
        <v>0.2769236795</v>
      </c>
    </row>
    <row r="6">
      <c r="A6" s="4" t="s">
        <v>20</v>
      </c>
      <c r="B6" s="10" t="s">
        <v>21</v>
      </c>
      <c r="C6" s="10" t="s">
        <v>21</v>
      </c>
      <c r="D6" s="10" t="s">
        <v>21</v>
      </c>
      <c r="E6" s="10" t="s">
        <v>21</v>
      </c>
      <c r="F6" s="10" t="s">
        <v>21</v>
      </c>
      <c r="G6" s="10" t="s">
        <v>21</v>
      </c>
      <c r="H6" s="10" t="s">
        <v>21</v>
      </c>
      <c r="I6" s="10" t="s">
        <v>21</v>
      </c>
      <c r="J6" s="10" t="s">
        <v>21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7">
        <v>0.0</v>
      </c>
      <c r="Q6" s="8">
        <v>15444.0</v>
      </c>
      <c r="R6" s="9">
        <f t="shared" si="2"/>
        <v>0</v>
      </c>
    </row>
    <row r="7">
      <c r="B7" s="45">
        <f>sum(B2:B5)</f>
        <v>12801.91</v>
      </c>
    </row>
    <row r="8">
      <c r="B8" s="38">
        <v>13211.75</v>
      </c>
      <c r="C8" s="45">
        <f>B8-B7</f>
        <v>409.84</v>
      </c>
      <c r="E8" s="46" t="s">
        <v>0</v>
      </c>
      <c r="F8" s="47"/>
    </row>
    <row r="9">
      <c r="A9" s="4" t="s">
        <v>22</v>
      </c>
      <c r="B9" s="11">
        <v>14000.0</v>
      </c>
      <c r="E9" s="48">
        <v>44760.0</v>
      </c>
      <c r="F9" s="49">
        <v>0.0</v>
      </c>
    </row>
    <row r="10">
      <c r="A10" s="4" t="s">
        <v>23</v>
      </c>
      <c r="B10" s="12">
        <f>SUM(B2:O6)</f>
        <v>25937.56</v>
      </c>
      <c r="E10" s="48">
        <v>44761.0</v>
      </c>
      <c r="F10" s="49">
        <v>2233.88</v>
      </c>
    </row>
    <row r="11">
      <c r="A11" s="4" t="s">
        <v>24</v>
      </c>
      <c r="B11" s="12">
        <f> SUM(B9-B10)</f>
        <v>-11937.56</v>
      </c>
      <c r="E11" s="48">
        <v>44762.0</v>
      </c>
      <c r="F11" s="49">
        <v>1925.2</v>
      </c>
      <c r="G11" s="33">
        <v>4159.08</v>
      </c>
    </row>
    <row r="12">
      <c r="E12" s="48">
        <v>44763.0</v>
      </c>
      <c r="F12" s="49">
        <v>2018.1</v>
      </c>
    </row>
    <row r="13">
      <c r="A13" s="13" t="s">
        <v>25</v>
      </c>
      <c r="B13" s="14">
        <f>SUM(Q2:Q6)</f>
        <v>76981.68</v>
      </c>
      <c r="E13" s="48">
        <v>44764.0</v>
      </c>
      <c r="F13" s="49">
        <v>2467.58</v>
      </c>
    </row>
    <row r="14">
      <c r="A14" s="13" t="s">
        <v>26</v>
      </c>
      <c r="B14" s="15">
        <f>B10/B13</f>
        <v>0.336931592</v>
      </c>
      <c r="E14" s="48">
        <v>44765.0</v>
      </c>
      <c r="F14" s="49">
        <v>4291.02</v>
      </c>
    </row>
    <row r="15">
      <c r="E15" s="48">
        <v>44766.0</v>
      </c>
      <c r="F15" s="49">
        <v>0.0</v>
      </c>
    </row>
    <row r="16">
      <c r="E16" s="50"/>
      <c r="F16" s="49">
        <v>12935.78</v>
      </c>
      <c r="G16" s="32">
        <v>13211.75</v>
      </c>
      <c r="H16" s="51">
        <f>G16-F16</f>
        <v>275.97</v>
      </c>
    </row>
    <row r="17">
      <c r="A17" s="16" t="s">
        <v>27</v>
      </c>
      <c r="B17" s="17"/>
      <c r="C17" s="17"/>
      <c r="D17" s="18"/>
    </row>
    <row r="18">
      <c r="A18" s="19" t="s">
        <v>28</v>
      </c>
      <c r="B18" s="20"/>
      <c r="C18" s="20"/>
      <c r="D18" s="21"/>
      <c r="E18" s="52" t="s">
        <v>50</v>
      </c>
      <c r="F18" s="53"/>
      <c r="G18" s="54"/>
    </row>
    <row r="19">
      <c r="A19" s="22" t="s">
        <v>29</v>
      </c>
      <c r="B19" s="23" t="s">
        <v>30</v>
      </c>
      <c r="C19" s="22" t="s">
        <v>31</v>
      </c>
      <c r="D19" s="24" t="s">
        <v>30</v>
      </c>
    </row>
    <row r="20">
      <c r="A20" s="28" t="s">
        <v>41</v>
      </c>
      <c r="B20" s="41">
        <v>1138.79</v>
      </c>
      <c r="C20" s="25"/>
      <c r="D20" s="27"/>
    </row>
    <row r="21">
      <c r="A21" s="28" t="s">
        <v>51</v>
      </c>
      <c r="B21" s="41">
        <v>390.66</v>
      </c>
      <c r="C21" s="25"/>
      <c r="D21" s="27"/>
    </row>
    <row r="22">
      <c r="A22" s="25"/>
      <c r="B22" s="26"/>
      <c r="C22" s="25"/>
      <c r="D22" s="27"/>
    </row>
    <row r="23">
      <c r="A23" s="25"/>
      <c r="B23" s="26"/>
      <c r="C23" s="25"/>
      <c r="D23" s="27"/>
    </row>
    <row r="24">
      <c r="A24" s="25"/>
      <c r="B24" s="26"/>
      <c r="C24" s="25"/>
      <c r="D24" s="27"/>
    </row>
    <row r="25">
      <c r="A25" s="25"/>
      <c r="B25" s="26"/>
      <c r="C25" s="25"/>
      <c r="D25" s="27"/>
    </row>
    <row r="26">
      <c r="A26" s="25"/>
      <c r="B26" s="26"/>
      <c r="C26" s="25"/>
      <c r="D26" s="27"/>
    </row>
    <row r="27">
      <c r="A27" s="25"/>
      <c r="B27" s="26"/>
      <c r="C27" s="25"/>
      <c r="D27" s="27"/>
    </row>
    <row r="28">
      <c r="A28" s="25"/>
      <c r="B28" s="26"/>
      <c r="C28" s="25"/>
      <c r="D28" s="27"/>
    </row>
    <row r="29">
      <c r="A29" s="25"/>
      <c r="B29" s="26"/>
      <c r="C29" s="25"/>
      <c r="D29" s="27"/>
    </row>
    <row r="30">
      <c r="A30" s="25"/>
      <c r="B30" s="26"/>
      <c r="C30" s="25"/>
      <c r="D30" s="27"/>
    </row>
    <row r="31">
      <c r="A31" s="25"/>
      <c r="B31" s="26"/>
      <c r="C31" s="25"/>
      <c r="D31" s="27"/>
    </row>
    <row r="32">
      <c r="A32" s="29" t="s">
        <v>35</v>
      </c>
      <c r="B32" s="30">
        <f>sum(B20:B31)</f>
        <v>1529.45</v>
      </c>
      <c r="C32" s="31"/>
      <c r="D32" s="30">
        <f>sum(D20:D31)</f>
        <v>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3" max="3" width="19.25"/>
    <col customWidth="1" min="4" max="4" width="13.13"/>
    <col customWidth="1" min="5" max="5" width="13.0"/>
    <col customWidth="1" min="14" max="14" width="15.38"/>
    <col customWidth="1" min="17" max="17" width="12.5"/>
    <col customWidth="1" min="18" max="18" width="14.75"/>
    <col customWidth="1" min="19" max="19" width="13.0"/>
  </cols>
  <sheetData>
    <row r="1">
      <c r="A1" s="1"/>
      <c r="B1" s="2" t="s">
        <v>0</v>
      </c>
      <c r="C1" s="2" t="s">
        <v>1</v>
      </c>
      <c r="D1" s="2" t="s">
        <v>7</v>
      </c>
      <c r="E1" s="2" t="s">
        <v>3</v>
      </c>
      <c r="F1" s="2" t="s">
        <v>5</v>
      </c>
      <c r="G1" s="2" t="s">
        <v>6</v>
      </c>
      <c r="H1" s="2" t="s">
        <v>43</v>
      </c>
      <c r="I1" s="2" t="s">
        <v>40</v>
      </c>
      <c r="J1" s="2" t="s">
        <v>49</v>
      </c>
      <c r="K1" s="2" t="s">
        <v>42</v>
      </c>
      <c r="L1" s="2" t="s">
        <v>52</v>
      </c>
      <c r="M1" s="2" t="s">
        <v>9</v>
      </c>
      <c r="N1" s="2" t="s">
        <v>10</v>
      </c>
      <c r="O1" s="2" t="s">
        <v>11</v>
      </c>
      <c r="P1" s="2" t="s">
        <v>12</v>
      </c>
      <c r="Q1" s="3" t="s">
        <v>13</v>
      </c>
      <c r="R1" s="3" t="s">
        <v>14</v>
      </c>
      <c r="S1" s="3" t="s">
        <v>15</v>
      </c>
    </row>
    <row r="2">
      <c r="A2" s="4" t="s">
        <v>47</v>
      </c>
      <c r="B2" s="5">
        <v>3937.84</v>
      </c>
      <c r="C2" s="5">
        <v>486.24</v>
      </c>
      <c r="D2" s="5"/>
      <c r="E2" s="5">
        <v>260.0</v>
      </c>
      <c r="F2" s="5">
        <v>504.0</v>
      </c>
      <c r="G2" s="5">
        <v>49.5</v>
      </c>
      <c r="H2" s="5"/>
      <c r="I2" s="44">
        <v>1138.79</v>
      </c>
      <c r="J2" s="5">
        <v>180.0</v>
      </c>
      <c r="K2" s="5">
        <v>147.19</v>
      </c>
      <c r="L2" s="6"/>
      <c r="M2" s="6"/>
      <c r="N2" s="5"/>
      <c r="O2" s="5">
        <v>100.0</v>
      </c>
      <c r="P2" s="6"/>
      <c r="Q2" s="7">
        <f t="shared" ref="Q2:Q5" si="1">SUM(B2:P2)</f>
        <v>6803.56</v>
      </c>
      <c r="R2" s="8">
        <v>9127.34</v>
      </c>
      <c r="S2" s="9">
        <f t="shared" ref="S2:S6" si="2">Q2/R2</f>
        <v>0.7454044661</v>
      </c>
    </row>
    <row r="3">
      <c r="A3" s="4" t="s">
        <v>17</v>
      </c>
      <c r="B3" s="5">
        <v>1487.48</v>
      </c>
      <c r="C3" s="5">
        <v>819.54</v>
      </c>
      <c r="D3" s="6"/>
      <c r="E3" s="6"/>
      <c r="F3" s="5"/>
      <c r="G3" s="5">
        <v>194.5</v>
      </c>
      <c r="H3" s="5"/>
      <c r="I3" s="5"/>
      <c r="J3" s="5"/>
      <c r="K3" s="5"/>
      <c r="L3" s="5"/>
      <c r="M3" s="5"/>
      <c r="N3" s="5"/>
      <c r="O3" s="6"/>
      <c r="P3" s="6"/>
      <c r="Q3" s="7">
        <f t="shared" si="1"/>
        <v>2501.52</v>
      </c>
      <c r="R3" s="8">
        <v>9555.0</v>
      </c>
      <c r="S3" s="9">
        <f t="shared" si="2"/>
        <v>0.2618021978</v>
      </c>
    </row>
    <row r="4">
      <c r="A4" s="4" t="s">
        <v>18</v>
      </c>
      <c r="B4" s="5">
        <v>1804.99</v>
      </c>
      <c r="C4" s="5">
        <v>144.9</v>
      </c>
      <c r="D4" s="6"/>
      <c r="E4" s="5"/>
      <c r="F4" s="5">
        <v>272.98</v>
      </c>
      <c r="G4" s="5">
        <v>49.5</v>
      </c>
      <c r="H4" s="5">
        <v>1067.72</v>
      </c>
      <c r="I4" s="5"/>
      <c r="J4" s="5"/>
      <c r="K4" s="5"/>
      <c r="L4" s="5">
        <v>136.35</v>
      </c>
      <c r="M4" s="6"/>
      <c r="N4" s="5"/>
      <c r="O4" s="5">
        <v>100.0</v>
      </c>
      <c r="P4" s="5">
        <v>302.37</v>
      </c>
      <c r="Q4" s="7">
        <f t="shared" si="1"/>
        <v>3878.81</v>
      </c>
      <c r="R4" s="8">
        <v>12853.4</v>
      </c>
      <c r="S4" s="9">
        <f t="shared" si="2"/>
        <v>0.3017730717</v>
      </c>
    </row>
    <row r="5">
      <c r="A5" s="4" t="s">
        <v>19</v>
      </c>
      <c r="B5" s="5">
        <v>1153.48</v>
      </c>
      <c r="C5" s="5">
        <v>580.1</v>
      </c>
      <c r="D5" s="6"/>
      <c r="E5" s="6"/>
      <c r="F5" s="5"/>
      <c r="G5" s="5"/>
      <c r="H5" s="6"/>
      <c r="I5" s="6"/>
      <c r="J5" s="5"/>
      <c r="K5" s="5"/>
      <c r="L5" s="6"/>
      <c r="M5" s="5">
        <v>1674.5</v>
      </c>
      <c r="N5" s="6"/>
      <c r="O5" s="6"/>
      <c r="P5" s="6"/>
      <c r="Q5" s="7">
        <f t="shared" si="1"/>
        <v>3408.08</v>
      </c>
      <c r="R5" s="8">
        <v>16202.0</v>
      </c>
      <c r="S5" s="9">
        <f t="shared" si="2"/>
        <v>0.2103493396</v>
      </c>
    </row>
    <row r="6">
      <c r="A6" s="4" t="s">
        <v>20</v>
      </c>
      <c r="B6" s="10" t="s">
        <v>21</v>
      </c>
      <c r="C6" s="10" t="s">
        <v>21</v>
      </c>
      <c r="D6" s="10" t="s">
        <v>21</v>
      </c>
      <c r="E6" s="10" t="s">
        <v>21</v>
      </c>
      <c r="F6" s="10" t="s">
        <v>21</v>
      </c>
      <c r="G6" s="10" t="s">
        <v>21</v>
      </c>
      <c r="H6" s="10" t="s">
        <v>21</v>
      </c>
      <c r="I6" s="10" t="s">
        <v>21</v>
      </c>
      <c r="J6" s="10" t="s">
        <v>21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7">
        <v>0.0</v>
      </c>
      <c r="R6" s="8">
        <v>12304.46</v>
      </c>
      <c r="S6" s="9">
        <f t="shared" si="2"/>
        <v>0</v>
      </c>
    </row>
    <row r="7">
      <c r="B7" s="45">
        <f t="shared" ref="B7:Q7" si="3">sum(B2:B5)</f>
        <v>8383.79</v>
      </c>
      <c r="C7" s="45">
        <f t="shared" si="3"/>
        <v>2030.78</v>
      </c>
      <c r="D7" s="45">
        <f t="shared" si="3"/>
        <v>0</v>
      </c>
      <c r="E7" s="45">
        <f t="shared" si="3"/>
        <v>260</v>
      </c>
      <c r="F7" s="45">
        <f t="shared" si="3"/>
        <v>776.98</v>
      </c>
      <c r="G7" s="45">
        <f t="shared" si="3"/>
        <v>293.5</v>
      </c>
      <c r="H7" s="45">
        <f t="shared" si="3"/>
        <v>1067.72</v>
      </c>
      <c r="I7" s="45">
        <f t="shared" si="3"/>
        <v>1138.79</v>
      </c>
      <c r="J7" s="45">
        <f t="shared" si="3"/>
        <v>180</v>
      </c>
      <c r="K7" s="45">
        <f t="shared" si="3"/>
        <v>147.19</v>
      </c>
      <c r="L7" s="45">
        <f t="shared" si="3"/>
        <v>136.35</v>
      </c>
      <c r="M7" s="45">
        <f t="shared" si="3"/>
        <v>1674.5</v>
      </c>
      <c r="N7" s="45">
        <f t="shared" si="3"/>
        <v>0</v>
      </c>
      <c r="O7" s="45">
        <f t="shared" si="3"/>
        <v>200</v>
      </c>
      <c r="P7" s="45">
        <f t="shared" si="3"/>
        <v>302.37</v>
      </c>
      <c r="Q7" s="45">
        <f t="shared" si="3"/>
        <v>16591.97</v>
      </c>
    </row>
    <row r="8">
      <c r="A8" s="55"/>
      <c r="B8" s="55"/>
    </row>
    <row r="9">
      <c r="A9" s="4" t="s">
        <v>22</v>
      </c>
      <c r="B9" s="11">
        <v>14000.0</v>
      </c>
    </row>
    <row r="10">
      <c r="A10" s="4" t="s">
        <v>23</v>
      </c>
      <c r="B10" s="12">
        <f>SUM(B2:P6)</f>
        <v>16591.97</v>
      </c>
      <c r="D10" s="32" t="s">
        <v>53</v>
      </c>
      <c r="F10" s="32" t="s">
        <v>54</v>
      </c>
    </row>
    <row r="11">
      <c r="A11" s="4" t="s">
        <v>24</v>
      </c>
      <c r="B11" s="12">
        <f> SUM(B9-B10)</f>
        <v>-2591.97</v>
      </c>
      <c r="F11" s="32" t="s">
        <v>55</v>
      </c>
    </row>
    <row r="12">
      <c r="F12" s="32" t="s">
        <v>56</v>
      </c>
    </row>
    <row r="13">
      <c r="A13" s="13" t="s">
        <v>25</v>
      </c>
      <c r="B13" s="14">
        <f>SUM(R2:R6)</f>
        <v>60042.2</v>
      </c>
    </row>
    <row r="14">
      <c r="A14" s="13" t="s">
        <v>26</v>
      </c>
      <c r="B14" s="15">
        <f>B10/B13</f>
        <v>0.2763384753</v>
      </c>
    </row>
    <row r="17">
      <c r="A17" s="16" t="s">
        <v>27</v>
      </c>
      <c r="B17" s="17"/>
      <c r="C17" s="17"/>
      <c r="D17" s="18"/>
    </row>
    <row r="18">
      <c r="A18" s="19" t="s">
        <v>28</v>
      </c>
      <c r="B18" s="20"/>
      <c r="C18" s="20"/>
      <c r="D18" s="21"/>
    </row>
    <row r="19">
      <c r="A19" s="22" t="s">
        <v>29</v>
      </c>
      <c r="B19" s="23" t="s">
        <v>30</v>
      </c>
      <c r="C19" s="22" t="s">
        <v>31</v>
      </c>
      <c r="D19" s="24" t="s">
        <v>30</v>
      </c>
    </row>
    <row r="20">
      <c r="A20" s="28" t="s">
        <v>57</v>
      </c>
      <c r="B20" s="41">
        <v>136.35</v>
      </c>
      <c r="C20" s="25"/>
      <c r="D20" s="27"/>
    </row>
    <row r="21">
      <c r="A21" s="28" t="s">
        <v>58</v>
      </c>
      <c r="B21" s="41">
        <v>101.28</v>
      </c>
      <c r="C21" s="25"/>
      <c r="D21" s="27"/>
    </row>
    <row r="22">
      <c r="A22" s="25"/>
      <c r="B22" s="26"/>
      <c r="C22" s="25"/>
      <c r="D22" s="27"/>
    </row>
    <row r="23">
      <c r="A23" s="25"/>
      <c r="B23" s="26"/>
      <c r="C23" s="25"/>
      <c r="D23" s="27"/>
    </row>
    <row r="24">
      <c r="A24" s="25"/>
      <c r="B24" s="26"/>
      <c r="C24" s="25"/>
      <c r="D24" s="27"/>
    </row>
    <row r="25">
      <c r="A25" s="25"/>
      <c r="B25" s="26"/>
      <c r="C25" s="25"/>
      <c r="D25" s="27"/>
    </row>
    <row r="26">
      <c r="A26" s="25"/>
      <c r="B26" s="26"/>
      <c r="C26" s="25"/>
      <c r="D26" s="27"/>
    </row>
    <row r="27">
      <c r="A27" s="25"/>
      <c r="B27" s="26"/>
      <c r="C27" s="25"/>
      <c r="D27" s="27"/>
    </row>
    <row r="28">
      <c r="A28" s="25"/>
      <c r="B28" s="26"/>
      <c r="C28" s="25"/>
      <c r="D28" s="27"/>
    </row>
    <row r="29">
      <c r="A29" s="25"/>
      <c r="B29" s="26"/>
      <c r="C29" s="25"/>
      <c r="D29" s="27"/>
    </row>
    <row r="30">
      <c r="A30" s="25"/>
      <c r="B30" s="26"/>
      <c r="C30" s="25"/>
      <c r="D30" s="27"/>
    </row>
    <row r="31">
      <c r="A31" s="25"/>
      <c r="B31" s="26"/>
      <c r="C31" s="25"/>
      <c r="D31" s="27"/>
    </row>
    <row r="32">
      <c r="A32" s="29" t="s">
        <v>35</v>
      </c>
      <c r="B32" s="30">
        <f>sum(B20:B31)</f>
        <v>237.63</v>
      </c>
      <c r="C32" s="31"/>
      <c r="D32" s="30">
        <f>sum(D20:D31)</f>
        <v>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3" max="3" width="19.25"/>
    <col customWidth="1" min="4" max="4" width="13.13"/>
    <col customWidth="1" min="5" max="5" width="13.0"/>
    <col customWidth="1" min="14" max="14" width="15.38"/>
    <col customWidth="1" min="17" max="17" width="12.5"/>
    <col customWidth="1" min="18" max="18" width="14.75"/>
    <col customWidth="1" min="19" max="19" width="13.0"/>
  </cols>
  <sheetData>
    <row r="1">
      <c r="A1" s="1"/>
      <c r="B1" s="2" t="s">
        <v>0</v>
      </c>
      <c r="C1" s="2" t="s">
        <v>1</v>
      </c>
      <c r="D1" s="2" t="s">
        <v>7</v>
      </c>
      <c r="E1" s="2" t="s">
        <v>3</v>
      </c>
      <c r="F1" s="2" t="s">
        <v>5</v>
      </c>
      <c r="G1" s="2" t="s">
        <v>6</v>
      </c>
      <c r="H1" s="2" t="s">
        <v>43</v>
      </c>
      <c r="I1" s="2" t="s">
        <v>40</v>
      </c>
      <c r="J1" s="2" t="s">
        <v>49</v>
      </c>
      <c r="K1" s="2" t="s">
        <v>37</v>
      </c>
      <c r="L1" s="2" t="s">
        <v>42</v>
      </c>
      <c r="M1" s="2" t="s">
        <v>9</v>
      </c>
      <c r="N1" s="2" t="s">
        <v>10</v>
      </c>
      <c r="O1" s="2" t="s">
        <v>11</v>
      </c>
      <c r="P1" s="2" t="s">
        <v>12</v>
      </c>
      <c r="Q1" s="3" t="s">
        <v>13</v>
      </c>
      <c r="R1" s="3" t="s">
        <v>14</v>
      </c>
      <c r="S1" s="3" t="s">
        <v>15</v>
      </c>
    </row>
    <row r="2">
      <c r="A2" s="4" t="s">
        <v>47</v>
      </c>
      <c r="B2" s="5">
        <v>4299.5</v>
      </c>
      <c r="C2" s="5">
        <v>960.39</v>
      </c>
      <c r="D2" s="5"/>
      <c r="E2" s="5">
        <v>390.0</v>
      </c>
      <c r="F2" s="5">
        <v>504.0</v>
      </c>
      <c r="G2" s="5">
        <v>49.5</v>
      </c>
      <c r="H2" s="44">
        <v>1020.11</v>
      </c>
      <c r="I2" s="42"/>
      <c r="J2" s="5">
        <v>180.0</v>
      </c>
      <c r="K2" s="6"/>
      <c r="L2" s="6"/>
      <c r="M2" s="6"/>
      <c r="N2" s="5"/>
      <c r="O2" s="5">
        <v>100.0</v>
      </c>
      <c r="P2" s="6"/>
      <c r="Q2" s="7">
        <f t="shared" ref="Q2:Q5" si="1">SUM(B2:P2)</f>
        <v>7503.5</v>
      </c>
      <c r="R2" s="8">
        <v>8503.0</v>
      </c>
      <c r="S2" s="9">
        <f t="shared" ref="S2:S6" si="2">Q2/R2</f>
        <v>0.8824532518</v>
      </c>
    </row>
    <row r="3">
      <c r="A3" s="4" t="s">
        <v>17</v>
      </c>
      <c r="B3" s="5">
        <v>881.83</v>
      </c>
      <c r="C3" s="5">
        <v>0.0</v>
      </c>
      <c r="D3" s="6"/>
      <c r="E3" s="6"/>
      <c r="F3" s="5"/>
      <c r="G3" s="5"/>
      <c r="H3" s="5"/>
      <c r="I3" s="5">
        <v>492.0</v>
      </c>
      <c r="J3" s="5"/>
      <c r="K3" s="5"/>
      <c r="L3" s="5"/>
      <c r="M3" s="5"/>
      <c r="N3" s="5"/>
      <c r="O3" s="6"/>
      <c r="P3" s="6"/>
      <c r="Q3" s="7">
        <f t="shared" si="1"/>
        <v>1373.83</v>
      </c>
      <c r="R3" s="8">
        <v>11756.0</v>
      </c>
      <c r="S3" s="9">
        <f t="shared" si="2"/>
        <v>0.1168620279</v>
      </c>
    </row>
    <row r="4">
      <c r="A4" s="4" t="s">
        <v>18</v>
      </c>
      <c r="B4" s="5">
        <v>1427.35</v>
      </c>
      <c r="C4" s="5">
        <v>324.9</v>
      </c>
      <c r="D4" s="6"/>
      <c r="E4" s="6"/>
      <c r="F4" s="5">
        <v>493.65</v>
      </c>
      <c r="G4" s="5">
        <v>161.5</v>
      </c>
      <c r="H4" s="5"/>
      <c r="I4" s="5"/>
      <c r="J4" s="5"/>
      <c r="K4" s="5"/>
      <c r="L4" s="5"/>
      <c r="M4" s="6"/>
      <c r="N4" s="5">
        <v>39.0</v>
      </c>
      <c r="O4" s="5">
        <v>100.0</v>
      </c>
      <c r="P4" s="5">
        <v>302.37</v>
      </c>
      <c r="Q4" s="7">
        <f t="shared" si="1"/>
        <v>2848.77</v>
      </c>
      <c r="R4" s="8">
        <v>13016.0</v>
      </c>
      <c r="S4" s="9">
        <f t="shared" si="2"/>
        <v>0.2188667793</v>
      </c>
    </row>
    <row r="5">
      <c r="A5" s="4" t="s">
        <v>19</v>
      </c>
      <c r="B5" s="5">
        <v>999.72</v>
      </c>
      <c r="C5" s="5">
        <v>135.3</v>
      </c>
      <c r="D5" s="44">
        <v>600.0</v>
      </c>
      <c r="E5" s="6"/>
      <c r="F5" s="5">
        <v>189.38</v>
      </c>
      <c r="G5" s="5">
        <v>33.0</v>
      </c>
      <c r="H5" s="6"/>
      <c r="I5" s="6"/>
      <c r="J5" s="5"/>
      <c r="K5" s="5">
        <v>440.0</v>
      </c>
      <c r="L5" s="5"/>
      <c r="M5" s="5">
        <v>1421.35</v>
      </c>
      <c r="N5" s="6"/>
      <c r="O5" s="6"/>
      <c r="P5" s="6"/>
      <c r="Q5" s="7">
        <f t="shared" si="1"/>
        <v>3818.75</v>
      </c>
      <c r="R5" s="8">
        <v>15453.6</v>
      </c>
      <c r="S5" s="9">
        <f t="shared" si="2"/>
        <v>0.2471107056</v>
      </c>
    </row>
    <row r="6">
      <c r="A6" s="4" t="s">
        <v>20</v>
      </c>
      <c r="B6" s="10" t="s">
        <v>21</v>
      </c>
      <c r="C6" s="10" t="s">
        <v>21</v>
      </c>
      <c r="D6" s="10" t="s">
        <v>21</v>
      </c>
      <c r="E6" s="10" t="s">
        <v>21</v>
      </c>
      <c r="F6" s="10" t="s">
        <v>21</v>
      </c>
      <c r="G6" s="10" t="s">
        <v>21</v>
      </c>
      <c r="H6" s="10" t="s">
        <v>21</v>
      </c>
      <c r="I6" s="10" t="s">
        <v>21</v>
      </c>
      <c r="J6" s="10" t="s">
        <v>21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7">
        <v>0.0</v>
      </c>
      <c r="R6" s="8">
        <v>15326.6</v>
      </c>
      <c r="S6" s="9">
        <f t="shared" si="2"/>
        <v>0</v>
      </c>
    </row>
    <row r="7">
      <c r="B7" s="53">
        <f>8135.61</f>
        <v>8135.61</v>
      </c>
      <c r="C7" s="52">
        <v>1425.59</v>
      </c>
      <c r="D7" s="52">
        <v>747.0</v>
      </c>
      <c r="E7" s="52">
        <v>340.0</v>
      </c>
      <c r="F7" s="52">
        <v>997.65</v>
      </c>
      <c r="G7" s="52">
        <v>244.0</v>
      </c>
      <c r="H7" s="52">
        <v>1269.47</v>
      </c>
      <c r="I7" s="52">
        <v>569.4</v>
      </c>
      <c r="J7" s="52">
        <v>180.0</v>
      </c>
      <c r="K7" s="53"/>
      <c r="L7" s="53"/>
      <c r="M7" s="52">
        <v>1421.35</v>
      </c>
      <c r="N7" s="52">
        <v>39.0</v>
      </c>
      <c r="O7" s="53"/>
      <c r="P7" s="53"/>
    </row>
    <row r="8">
      <c r="B8" s="45">
        <f t="shared" ref="B8:J8" si="3">sum(B2:B5)-B7</f>
        <v>-527.21</v>
      </c>
      <c r="C8" s="45">
        <f t="shared" si="3"/>
        <v>-5</v>
      </c>
      <c r="D8" s="45">
        <f t="shared" si="3"/>
        <v>-147</v>
      </c>
      <c r="E8" s="45">
        <f t="shared" si="3"/>
        <v>50</v>
      </c>
      <c r="F8" s="45">
        <f t="shared" si="3"/>
        <v>189.38</v>
      </c>
      <c r="G8" s="45">
        <f t="shared" si="3"/>
        <v>0</v>
      </c>
      <c r="H8" s="45">
        <f t="shared" si="3"/>
        <v>-249.36</v>
      </c>
      <c r="I8" s="45">
        <f t="shared" si="3"/>
        <v>-77.4</v>
      </c>
      <c r="J8" s="45">
        <f t="shared" si="3"/>
        <v>0</v>
      </c>
      <c r="M8" s="45">
        <f t="shared" ref="M8:N8" si="4">sum(M2:M5)-M7</f>
        <v>0</v>
      </c>
      <c r="N8" s="45">
        <f t="shared" si="4"/>
        <v>0</v>
      </c>
    </row>
    <row r="9">
      <c r="A9" s="4" t="s">
        <v>22</v>
      </c>
      <c r="B9" s="11">
        <v>12000.0</v>
      </c>
      <c r="E9" s="32" t="s">
        <v>59</v>
      </c>
      <c r="F9" s="32">
        <v>440.0</v>
      </c>
    </row>
    <row r="10">
      <c r="A10" s="4" t="s">
        <v>23</v>
      </c>
      <c r="B10" s="12">
        <f>SUM(B2:P6)</f>
        <v>15544.85</v>
      </c>
      <c r="E10" s="56"/>
    </row>
    <row r="11">
      <c r="A11" s="4" t="s">
        <v>24</v>
      </c>
      <c r="B11" s="12">
        <f> SUM(B9-B10)</f>
        <v>-3544.85</v>
      </c>
    </row>
    <row r="13">
      <c r="A13" s="13" t="s">
        <v>25</v>
      </c>
      <c r="B13" s="14">
        <f>SUM(R2:R6)</f>
        <v>64055.2</v>
      </c>
    </row>
    <row r="14">
      <c r="A14" s="13" t="s">
        <v>26</v>
      </c>
      <c r="B14" s="15">
        <f>B10/B13</f>
        <v>0.2426789706</v>
      </c>
    </row>
    <row r="17">
      <c r="A17" s="16" t="s">
        <v>27</v>
      </c>
      <c r="B17" s="17"/>
      <c r="C17" s="17"/>
      <c r="D17" s="18"/>
    </row>
    <row r="18">
      <c r="A18" s="19" t="s">
        <v>28</v>
      </c>
      <c r="B18" s="20"/>
      <c r="C18" s="20"/>
      <c r="D18" s="21"/>
    </row>
    <row r="19">
      <c r="A19" s="22" t="s">
        <v>29</v>
      </c>
      <c r="B19" s="23" t="s">
        <v>30</v>
      </c>
      <c r="C19" s="22" t="s">
        <v>31</v>
      </c>
      <c r="D19" s="24" t="s">
        <v>30</v>
      </c>
    </row>
    <row r="20">
      <c r="A20" s="57" t="s">
        <v>41</v>
      </c>
      <c r="B20" s="58">
        <v>492.45</v>
      </c>
      <c r="C20" s="25"/>
      <c r="D20" s="27"/>
    </row>
    <row r="21">
      <c r="A21" s="28"/>
      <c r="B21" s="41"/>
      <c r="C21" s="25"/>
      <c r="D21" s="27"/>
    </row>
    <row r="22">
      <c r="A22" s="25"/>
      <c r="B22" s="26"/>
      <c r="C22" s="25"/>
      <c r="D22" s="27"/>
    </row>
    <row r="23">
      <c r="A23" s="25"/>
      <c r="B23" s="26"/>
      <c r="C23" s="25"/>
      <c r="D23" s="27"/>
    </row>
    <row r="24">
      <c r="A24" s="25"/>
      <c r="B24" s="26"/>
      <c r="C24" s="25"/>
      <c r="D24" s="27"/>
    </row>
    <row r="25">
      <c r="A25" s="25"/>
      <c r="B25" s="26"/>
      <c r="C25" s="25"/>
      <c r="D25" s="27"/>
    </row>
    <row r="26">
      <c r="A26" s="25"/>
      <c r="B26" s="26"/>
      <c r="C26" s="25"/>
      <c r="D26" s="27"/>
    </row>
    <row r="27">
      <c r="A27" s="25"/>
      <c r="B27" s="26"/>
      <c r="C27" s="25"/>
      <c r="D27" s="27"/>
    </row>
    <row r="28">
      <c r="A28" s="25"/>
      <c r="B28" s="26"/>
      <c r="C28" s="25"/>
      <c r="D28" s="27"/>
    </row>
    <row r="29">
      <c r="A29" s="25"/>
      <c r="B29" s="26"/>
      <c r="C29" s="25"/>
      <c r="D29" s="27"/>
    </row>
    <row r="30">
      <c r="A30" s="25"/>
      <c r="B30" s="26"/>
      <c r="C30" s="25"/>
      <c r="D30" s="27"/>
    </row>
    <row r="31">
      <c r="A31" s="25"/>
      <c r="B31" s="26"/>
      <c r="C31" s="25"/>
      <c r="D31" s="27"/>
    </row>
    <row r="32">
      <c r="A32" s="29" t="s">
        <v>35</v>
      </c>
      <c r="B32" s="30">
        <f>sum(B20:B31)</f>
        <v>492.45</v>
      </c>
      <c r="C32" s="31"/>
      <c r="D32" s="30">
        <f>sum(D20:D31)</f>
        <v>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3" max="3" width="19.25"/>
    <col customWidth="1" min="4" max="4" width="13.13"/>
    <col customWidth="1" min="5" max="5" width="13.0"/>
    <col customWidth="1" min="8" max="9" width="16.63"/>
    <col customWidth="1" min="13" max="14" width="15.38"/>
    <col customWidth="1" min="17" max="17" width="12.5"/>
    <col customWidth="1" min="18" max="18" width="14.75"/>
    <col customWidth="1" min="19" max="19" width="13.0"/>
  </cols>
  <sheetData>
    <row r="1">
      <c r="A1" s="1"/>
      <c r="B1" s="2" t="s">
        <v>0</v>
      </c>
      <c r="C1" s="2" t="s">
        <v>1</v>
      </c>
      <c r="D1" s="2" t="s">
        <v>7</v>
      </c>
      <c r="E1" s="2" t="s">
        <v>3</v>
      </c>
      <c r="F1" s="2" t="s">
        <v>5</v>
      </c>
      <c r="G1" s="2" t="s">
        <v>6</v>
      </c>
      <c r="H1" s="2" t="s">
        <v>43</v>
      </c>
      <c r="I1" s="2" t="s">
        <v>40</v>
      </c>
      <c r="J1" s="2" t="s">
        <v>49</v>
      </c>
      <c r="K1" s="2" t="s">
        <v>42</v>
      </c>
      <c r="L1" s="2" t="s">
        <v>9</v>
      </c>
      <c r="M1" s="2" t="s">
        <v>37</v>
      </c>
      <c r="N1" s="2" t="s">
        <v>10</v>
      </c>
      <c r="O1" s="2" t="s">
        <v>11</v>
      </c>
      <c r="P1" s="2" t="s">
        <v>12</v>
      </c>
      <c r="Q1" s="3" t="s">
        <v>13</v>
      </c>
      <c r="R1" s="3" t="s">
        <v>14</v>
      </c>
      <c r="S1" s="3" t="s">
        <v>15</v>
      </c>
    </row>
    <row r="2">
      <c r="A2" s="4" t="s">
        <v>60</v>
      </c>
      <c r="B2" s="5">
        <v>3152.12</v>
      </c>
      <c r="C2" s="5">
        <v>625.65</v>
      </c>
      <c r="D2" s="5"/>
      <c r="E2" s="5"/>
      <c r="F2" s="5"/>
      <c r="G2" s="5"/>
      <c r="H2" s="5"/>
      <c r="I2" s="42"/>
      <c r="J2" s="5"/>
      <c r="K2" s="6"/>
      <c r="L2" s="6"/>
      <c r="M2" s="5"/>
      <c r="N2" s="5"/>
      <c r="O2" s="5"/>
      <c r="P2" s="6"/>
      <c r="Q2" s="7">
        <f t="shared" ref="Q2:Q6" si="1">SUM(B2:P2)</f>
        <v>3777.77</v>
      </c>
      <c r="R2" s="8">
        <v>0.0</v>
      </c>
      <c r="S2" s="59" t="str">
        <f t="shared" ref="S2:S7" si="2">Q2/R2</f>
        <v>#DIV/0!</v>
      </c>
    </row>
    <row r="3">
      <c r="A3" s="4" t="s">
        <v>16</v>
      </c>
      <c r="B3" s="5">
        <v>740.16</v>
      </c>
      <c r="C3" s="5"/>
      <c r="D3" s="5"/>
      <c r="E3" s="5">
        <v>390.0</v>
      </c>
      <c r="F3" s="5">
        <v>685.63</v>
      </c>
      <c r="G3" s="5">
        <v>49.5</v>
      </c>
      <c r="H3" s="5"/>
      <c r="I3" s="44">
        <v>492.45</v>
      </c>
      <c r="J3" s="5">
        <v>180.0</v>
      </c>
      <c r="K3" s="6"/>
      <c r="L3" s="6"/>
      <c r="M3" s="5"/>
      <c r="N3" s="5">
        <v>44.5</v>
      </c>
      <c r="O3" s="5">
        <v>100.0</v>
      </c>
      <c r="P3" s="6"/>
      <c r="Q3" s="7">
        <f t="shared" si="1"/>
        <v>2682.24</v>
      </c>
      <c r="R3" s="8">
        <v>8392.2</v>
      </c>
      <c r="S3" s="59">
        <f t="shared" si="2"/>
        <v>0.3196110674</v>
      </c>
    </row>
    <row r="4">
      <c r="A4" s="4" t="s">
        <v>17</v>
      </c>
      <c r="B4" s="5">
        <v>1042.57</v>
      </c>
      <c r="C4" s="5">
        <v>189.45</v>
      </c>
      <c r="D4" s="6"/>
      <c r="E4" s="6"/>
      <c r="F4" s="5"/>
      <c r="G4" s="5"/>
      <c r="H4" s="5"/>
      <c r="I4" s="5"/>
      <c r="J4" s="5"/>
      <c r="K4" s="5"/>
      <c r="L4" s="5"/>
      <c r="M4" s="5"/>
      <c r="N4" s="5"/>
      <c r="O4" s="6"/>
      <c r="P4" s="6"/>
      <c r="Q4" s="7">
        <f t="shared" si="1"/>
        <v>1232.02</v>
      </c>
      <c r="R4" s="8">
        <v>11455.0</v>
      </c>
      <c r="S4" s="59">
        <f t="shared" si="2"/>
        <v>0.1075530336</v>
      </c>
    </row>
    <row r="5">
      <c r="A5" s="4" t="s">
        <v>18</v>
      </c>
      <c r="B5" s="5">
        <v>2162.55</v>
      </c>
      <c r="C5" s="5">
        <v>491.16</v>
      </c>
      <c r="D5" s="6"/>
      <c r="E5" s="6"/>
      <c r="F5" s="5">
        <v>449.5</v>
      </c>
      <c r="G5" s="5">
        <v>161.5</v>
      </c>
      <c r="H5" s="5"/>
      <c r="I5" s="5"/>
      <c r="J5" s="5"/>
      <c r="K5" s="5"/>
      <c r="L5" s="6"/>
      <c r="M5" s="5"/>
      <c r="N5" s="5"/>
      <c r="O5" s="5">
        <v>100.0</v>
      </c>
      <c r="P5" s="5">
        <v>306.93</v>
      </c>
      <c r="Q5" s="7">
        <f t="shared" si="1"/>
        <v>3671.64</v>
      </c>
      <c r="R5" s="8">
        <v>13821.0</v>
      </c>
      <c r="S5" s="59">
        <f t="shared" si="2"/>
        <v>0.2656566095</v>
      </c>
    </row>
    <row r="6">
      <c r="A6" s="4" t="s">
        <v>19</v>
      </c>
      <c r="B6" s="5">
        <v>2486.32</v>
      </c>
      <c r="C6" s="5">
        <v>460.9</v>
      </c>
      <c r="D6" s="5"/>
      <c r="E6" s="6"/>
      <c r="F6" s="5"/>
      <c r="G6" s="5">
        <v>33.0</v>
      </c>
      <c r="H6" s="5">
        <v>1122.96</v>
      </c>
      <c r="I6" s="6"/>
      <c r="J6" s="5"/>
      <c r="K6" s="5">
        <v>84.83</v>
      </c>
      <c r="L6" s="5">
        <v>1191.5</v>
      </c>
      <c r="M6" s="5">
        <v>440.0</v>
      </c>
      <c r="N6" s="6"/>
      <c r="O6" s="6"/>
      <c r="P6" s="6"/>
      <c r="Q6" s="7">
        <f t="shared" si="1"/>
        <v>5819.51</v>
      </c>
      <c r="R6" s="8">
        <v>18719.4</v>
      </c>
      <c r="S6" s="59">
        <f t="shared" si="2"/>
        <v>0.3108812248</v>
      </c>
    </row>
    <row r="7">
      <c r="A7" s="4" t="s">
        <v>20</v>
      </c>
      <c r="B7" s="10" t="s">
        <v>21</v>
      </c>
      <c r="C7" s="10" t="s">
        <v>21</v>
      </c>
      <c r="D7" s="10" t="s">
        <v>21</v>
      </c>
      <c r="E7" s="10" t="s">
        <v>21</v>
      </c>
      <c r="F7" s="10" t="s">
        <v>21</v>
      </c>
      <c r="G7" s="10" t="s">
        <v>21</v>
      </c>
      <c r="H7" s="10" t="s">
        <v>21</v>
      </c>
      <c r="I7" s="10" t="s">
        <v>21</v>
      </c>
      <c r="J7" s="10" t="s">
        <v>21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7">
        <v>0.0</v>
      </c>
      <c r="R7" s="8">
        <v>12914.6</v>
      </c>
      <c r="S7" s="59">
        <f t="shared" si="2"/>
        <v>0</v>
      </c>
    </row>
    <row r="8">
      <c r="B8" s="45">
        <f t="shared" ref="B8:P8" si="3">sum(B2:B6)</f>
        <v>9583.72</v>
      </c>
      <c r="C8" s="45">
        <f t="shared" si="3"/>
        <v>1767.16</v>
      </c>
      <c r="D8" s="45">
        <f t="shared" si="3"/>
        <v>0</v>
      </c>
      <c r="E8" s="45">
        <f t="shared" si="3"/>
        <v>390</v>
      </c>
      <c r="F8" s="45">
        <f t="shared" si="3"/>
        <v>1135.13</v>
      </c>
      <c r="G8" s="45">
        <f t="shared" si="3"/>
        <v>244</v>
      </c>
      <c r="H8" s="45">
        <f t="shared" si="3"/>
        <v>1122.96</v>
      </c>
      <c r="I8" s="45">
        <f t="shared" si="3"/>
        <v>492.45</v>
      </c>
      <c r="J8" s="45">
        <f t="shared" si="3"/>
        <v>180</v>
      </c>
      <c r="K8" s="45">
        <f t="shared" si="3"/>
        <v>84.83</v>
      </c>
      <c r="L8" s="45">
        <f t="shared" si="3"/>
        <v>1191.5</v>
      </c>
      <c r="M8" s="45">
        <f t="shared" si="3"/>
        <v>440</v>
      </c>
      <c r="N8" s="45">
        <f t="shared" si="3"/>
        <v>44.5</v>
      </c>
      <c r="O8" s="45">
        <f t="shared" si="3"/>
        <v>200</v>
      </c>
      <c r="P8" s="45">
        <f t="shared" si="3"/>
        <v>306.93</v>
      </c>
    </row>
    <row r="9">
      <c r="B9" s="32">
        <v>10446.05</v>
      </c>
      <c r="C9" s="32">
        <v>1922.0</v>
      </c>
      <c r="D9" s="32">
        <v>477.0</v>
      </c>
      <c r="E9" s="32">
        <v>390.0</v>
      </c>
      <c r="F9" s="32">
        <v>1420.03</v>
      </c>
      <c r="G9" s="32">
        <v>244.0</v>
      </c>
      <c r="H9" s="55">
        <v>1122.96</v>
      </c>
      <c r="J9" s="32">
        <v>180.0</v>
      </c>
      <c r="K9" s="32">
        <v>84.83</v>
      </c>
      <c r="L9" s="32">
        <v>1191.5</v>
      </c>
      <c r="M9" s="32">
        <v>440.0</v>
      </c>
      <c r="N9" s="32">
        <v>44.5</v>
      </c>
      <c r="P9" s="32">
        <v>306.93</v>
      </c>
    </row>
    <row r="10">
      <c r="A10" s="4" t="s">
        <v>22</v>
      </c>
      <c r="B10" s="11">
        <v>14000.0</v>
      </c>
      <c r="C10" s="45">
        <f>B8-B9</f>
        <v>-862.33</v>
      </c>
      <c r="F10" s="45">
        <f>F8-F9</f>
        <v>-284.9</v>
      </c>
    </row>
    <row r="11">
      <c r="A11" s="4" t="s">
        <v>23</v>
      </c>
      <c r="B11" s="12">
        <f>SUM(B2:P7)</f>
        <v>17183.18</v>
      </c>
      <c r="E11" s="56"/>
    </row>
    <row r="12">
      <c r="A12" s="4" t="s">
        <v>24</v>
      </c>
      <c r="B12" s="12">
        <f> SUM(B10-B11)</f>
        <v>-3183.18</v>
      </c>
    </row>
    <row r="14">
      <c r="A14" s="13" t="s">
        <v>25</v>
      </c>
      <c r="B14" s="14">
        <f>SUM(R3:R7)</f>
        <v>65302.2</v>
      </c>
    </row>
    <row r="15">
      <c r="A15" s="13" t="s">
        <v>26</v>
      </c>
      <c r="B15" s="15">
        <f>B11/B14</f>
        <v>0.2631332482</v>
      </c>
    </row>
    <row r="18">
      <c r="A18" s="16" t="s">
        <v>27</v>
      </c>
      <c r="B18" s="17"/>
      <c r="C18" s="17"/>
      <c r="D18" s="18"/>
      <c r="G18" s="60" t="s">
        <v>61</v>
      </c>
      <c r="H18" s="61"/>
      <c r="I18" s="62"/>
    </row>
    <row r="19">
      <c r="A19" s="19" t="s">
        <v>28</v>
      </c>
      <c r="B19" s="20"/>
      <c r="C19" s="20"/>
      <c r="D19" s="21"/>
      <c r="G19" s="63" t="s">
        <v>62</v>
      </c>
      <c r="H19" s="63" t="s">
        <v>63</v>
      </c>
      <c r="I19" s="63" t="s">
        <v>64</v>
      </c>
    </row>
    <row r="20">
      <c r="A20" s="22" t="s">
        <v>29</v>
      </c>
      <c r="B20" s="23" t="s">
        <v>30</v>
      </c>
      <c r="C20" s="22" t="s">
        <v>31</v>
      </c>
      <c r="D20" s="24" t="s">
        <v>30</v>
      </c>
      <c r="G20" s="64">
        <v>44783.0</v>
      </c>
      <c r="H20" s="63" t="s">
        <v>65</v>
      </c>
      <c r="I20" s="63" t="s">
        <v>65</v>
      </c>
      <c r="J20" s="32" t="s">
        <v>66</v>
      </c>
    </row>
    <row r="21">
      <c r="A21" s="28" t="s">
        <v>51</v>
      </c>
      <c r="B21" s="41">
        <v>584.45</v>
      </c>
      <c r="C21" s="25"/>
      <c r="D21" s="27"/>
      <c r="G21" s="64">
        <v>44785.0</v>
      </c>
      <c r="H21" s="63" t="s">
        <v>67</v>
      </c>
      <c r="I21" s="63" t="s">
        <v>67</v>
      </c>
    </row>
    <row r="22">
      <c r="A22" s="28" t="s">
        <v>41</v>
      </c>
      <c r="B22" s="41">
        <v>1078.63</v>
      </c>
      <c r="C22" s="25"/>
      <c r="D22" s="27"/>
      <c r="G22" s="65"/>
      <c r="H22" s="65"/>
      <c r="I22" s="65"/>
    </row>
    <row r="23">
      <c r="A23" s="25"/>
      <c r="B23" s="26"/>
      <c r="C23" s="25"/>
      <c r="D23" s="27"/>
      <c r="G23" s="65"/>
      <c r="H23" s="65"/>
      <c r="I23" s="65"/>
    </row>
    <row r="24">
      <c r="A24" s="25"/>
      <c r="B24" s="26"/>
      <c r="C24" s="25"/>
      <c r="D24" s="27"/>
      <c r="G24" s="65"/>
      <c r="H24" s="65"/>
      <c r="I24" s="65"/>
    </row>
    <row r="25">
      <c r="A25" s="25"/>
      <c r="B25" s="26"/>
      <c r="C25" s="25"/>
      <c r="D25" s="27"/>
      <c r="G25" s="65"/>
      <c r="H25" s="65"/>
      <c r="I25" s="65"/>
    </row>
    <row r="26">
      <c r="A26" s="25"/>
      <c r="B26" s="26"/>
      <c r="C26" s="25"/>
      <c r="D26" s="27"/>
      <c r="G26" s="65"/>
      <c r="H26" s="65"/>
      <c r="I26" s="65"/>
    </row>
    <row r="27">
      <c r="A27" s="25"/>
      <c r="B27" s="26"/>
      <c r="C27" s="25"/>
      <c r="D27" s="27"/>
    </row>
    <row r="28">
      <c r="A28" s="25"/>
      <c r="B28" s="26"/>
      <c r="C28" s="25"/>
      <c r="D28" s="27"/>
      <c r="H28" s="66" t="s">
        <v>68</v>
      </c>
      <c r="I28" s="67"/>
    </row>
    <row r="29">
      <c r="A29" s="25"/>
      <c r="B29" s="26"/>
      <c r="C29" s="25"/>
      <c r="D29" s="27"/>
    </row>
    <row r="30">
      <c r="A30" s="25"/>
      <c r="B30" s="26"/>
      <c r="C30" s="25"/>
      <c r="D30" s="27"/>
      <c r="I30" s="68">
        <f>16+12</f>
        <v>28</v>
      </c>
    </row>
    <row r="31">
      <c r="A31" s="25"/>
      <c r="B31" s="26"/>
      <c r="C31" s="25"/>
      <c r="D31" s="27"/>
      <c r="I31" s="68">
        <f>I30/90</f>
        <v>0.3111111111</v>
      </c>
    </row>
    <row r="32">
      <c r="A32" s="25"/>
      <c r="B32" s="26"/>
      <c r="C32" s="25"/>
      <c r="D32" s="27"/>
    </row>
    <row r="33">
      <c r="A33" s="29" t="s">
        <v>35</v>
      </c>
      <c r="B33" s="30">
        <f>sum(B21:B32)</f>
        <v>1663.08</v>
      </c>
      <c r="C33" s="31"/>
      <c r="D33" s="30">
        <f>sum(D21:D32)</f>
        <v>0</v>
      </c>
    </row>
  </sheetData>
  <mergeCells count="1">
    <mergeCell ref="G18:I18"/>
  </mergeCells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3" max="3" width="19.25"/>
    <col customWidth="1" min="4" max="4" width="13.13"/>
    <col customWidth="1" min="5" max="5" width="13.0"/>
    <col customWidth="1" min="8" max="9" width="16.63"/>
    <col customWidth="1" min="13" max="14" width="15.38"/>
    <col customWidth="1" min="17" max="17" width="12.5"/>
    <col customWidth="1" min="18" max="18" width="14.75"/>
    <col customWidth="1" min="19" max="19" width="13.0"/>
  </cols>
  <sheetData>
    <row r="1">
      <c r="A1" s="1"/>
      <c r="B1" s="2" t="s">
        <v>0</v>
      </c>
      <c r="C1" s="2" t="s">
        <v>1</v>
      </c>
      <c r="D1" s="2" t="s">
        <v>7</v>
      </c>
      <c r="E1" s="2" t="s">
        <v>3</v>
      </c>
      <c r="F1" s="2" t="s">
        <v>5</v>
      </c>
      <c r="G1" s="2" t="s">
        <v>6</v>
      </c>
      <c r="H1" s="2" t="s">
        <v>43</v>
      </c>
      <c r="I1" s="2" t="s">
        <v>40</v>
      </c>
      <c r="J1" s="2" t="s">
        <v>49</v>
      </c>
      <c r="K1" s="2" t="s">
        <v>42</v>
      </c>
      <c r="L1" s="2" t="s">
        <v>9</v>
      </c>
      <c r="M1" s="2" t="s">
        <v>37</v>
      </c>
      <c r="N1" s="2" t="s">
        <v>10</v>
      </c>
      <c r="O1" s="2" t="s">
        <v>11</v>
      </c>
      <c r="P1" s="2" t="s">
        <v>12</v>
      </c>
      <c r="Q1" s="3" t="s">
        <v>13</v>
      </c>
      <c r="R1" s="3" t="s">
        <v>14</v>
      </c>
      <c r="S1" s="3" t="s">
        <v>15</v>
      </c>
    </row>
    <row r="2">
      <c r="A2" s="4" t="s">
        <v>60</v>
      </c>
      <c r="B2" s="5">
        <v>3999.84</v>
      </c>
      <c r="C2" s="5"/>
      <c r="D2" s="5"/>
      <c r="E2" s="5"/>
      <c r="F2" s="5">
        <v>374.4</v>
      </c>
      <c r="G2" s="5"/>
      <c r="H2" s="5"/>
      <c r="I2" s="42">
        <v>1078.63</v>
      </c>
      <c r="J2" s="5"/>
      <c r="K2" s="6"/>
      <c r="L2" s="6"/>
      <c r="M2" s="5"/>
      <c r="N2" s="5"/>
      <c r="O2" s="5"/>
      <c r="P2" s="6"/>
      <c r="Q2" s="7">
        <f t="shared" ref="Q2:Q6" si="1">SUM(B2:P2)</f>
        <v>5452.87</v>
      </c>
      <c r="R2" s="8">
        <v>0.0</v>
      </c>
      <c r="S2" s="69" t="str">
        <f t="shared" ref="S2:S7" si="2">Q2/R2</f>
        <v>#DIV/0!</v>
      </c>
    </row>
    <row r="3">
      <c r="A3" s="4" t="s">
        <v>16</v>
      </c>
      <c r="B3" s="5">
        <v>629.22</v>
      </c>
      <c r="C3" s="5">
        <v>433.37</v>
      </c>
      <c r="D3" s="5"/>
      <c r="E3" s="5">
        <v>290.0</v>
      </c>
      <c r="F3" s="5">
        <v>298.51</v>
      </c>
      <c r="G3" s="5">
        <v>49.5</v>
      </c>
      <c r="H3" s="5">
        <v>1038.96</v>
      </c>
      <c r="I3" s="42"/>
      <c r="J3" s="5">
        <v>180.0</v>
      </c>
      <c r="K3" s="5">
        <v>60.45</v>
      </c>
      <c r="L3" s="6"/>
      <c r="M3" s="5">
        <v>440.0</v>
      </c>
      <c r="N3" s="5"/>
      <c r="O3" s="5">
        <v>100.0</v>
      </c>
      <c r="P3" s="6"/>
      <c r="Q3" s="7">
        <f t="shared" si="1"/>
        <v>3520.01</v>
      </c>
      <c r="R3" s="8">
        <v>10638.8</v>
      </c>
      <c r="S3" s="59">
        <f t="shared" si="2"/>
        <v>0.3308653232</v>
      </c>
    </row>
    <row r="4">
      <c r="A4" s="4" t="s">
        <v>17</v>
      </c>
      <c r="B4" s="5">
        <v>1126.01</v>
      </c>
      <c r="C4" s="5">
        <v>161.66</v>
      </c>
      <c r="D4" s="6"/>
      <c r="E4" s="6"/>
      <c r="F4" s="5"/>
      <c r="G4" s="5"/>
      <c r="H4" s="5"/>
      <c r="I4" s="5"/>
      <c r="J4" s="5"/>
      <c r="K4" s="5"/>
      <c r="L4" s="5"/>
      <c r="M4" s="5"/>
      <c r="N4" s="5"/>
      <c r="O4" s="6"/>
      <c r="P4" s="6"/>
      <c r="Q4" s="7">
        <f t="shared" si="1"/>
        <v>1287.67</v>
      </c>
      <c r="R4" s="8">
        <v>14444.95</v>
      </c>
      <c r="S4" s="59">
        <f t="shared" si="2"/>
        <v>0.0891432646</v>
      </c>
    </row>
    <row r="5">
      <c r="A5" s="4" t="s">
        <v>18</v>
      </c>
      <c r="B5" s="5">
        <v>934.83</v>
      </c>
      <c r="C5" s="5"/>
      <c r="D5" s="6"/>
      <c r="E5" s="6"/>
      <c r="F5" s="5">
        <v>120.0</v>
      </c>
      <c r="G5" s="5">
        <v>161.5</v>
      </c>
      <c r="H5" s="5"/>
      <c r="I5" s="5"/>
      <c r="J5" s="5"/>
      <c r="K5" s="5">
        <v>69.95</v>
      </c>
      <c r="L5" s="6"/>
      <c r="M5" s="5"/>
      <c r="N5" s="5"/>
      <c r="O5" s="5">
        <v>100.0</v>
      </c>
      <c r="P5" s="5">
        <v>302.37</v>
      </c>
      <c r="Q5" s="7">
        <f t="shared" si="1"/>
        <v>1688.65</v>
      </c>
      <c r="R5" s="8">
        <v>14415.6</v>
      </c>
      <c r="S5" s="59">
        <f t="shared" si="2"/>
        <v>0.1171404589</v>
      </c>
    </row>
    <row r="6">
      <c r="A6" s="4" t="s">
        <v>19</v>
      </c>
      <c r="B6" s="5">
        <v>2025.52</v>
      </c>
      <c r="C6" s="5">
        <v>762.15</v>
      </c>
      <c r="D6" s="44">
        <v>600.0</v>
      </c>
      <c r="E6" s="6"/>
      <c r="F6" s="5"/>
      <c r="G6" s="5">
        <v>33.0</v>
      </c>
      <c r="H6" s="6"/>
      <c r="I6" s="6"/>
      <c r="J6" s="5"/>
      <c r="K6" s="5"/>
      <c r="L6" s="5">
        <v>416.5</v>
      </c>
      <c r="M6" s="6"/>
      <c r="N6" s="6"/>
      <c r="O6" s="6"/>
      <c r="P6" s="6"/>
      <c r="Q6" s="7">
        <f t="shared" si="1"/>
        <v>3837.17</v>
      </c>
      <c r="R6" s="8">
        <v>18145.2</v>
      </c>
      <c r="S6" s="59">
        <f t="shared" si="2"/>
        <v>0.2114702511</v>
      </c>
    </row>
    <row r="7">
      <c r="A7" s="4" t="s">
        <v>20</v>
      </c>
      <c r="B7" s="10" t="s">
        <v>21</v>
      </c>
      <c r="C7" s="10" t="s">
        <v>21</v>
      </c>
      <c r="D7" s="10" t="s">
        <v>21</v>
      </c>
      <c r="E7" s="10" t="s">
        <v>21</v>
      </c>
      <c r="F7" s="10" t="s">
        <v>21</v>
      </c>
      <c r="G7" s="10" t="s">
        <v>21</v>
      </c>
      <c r="H7" s="10" t="s">
        <v>21</v>
      </c>
      <c r="I7" s="10" t="s">
        <v>21</v>
      </c>
      <c r="J7" s="10" t="s">
        <v>21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7">
        <v>0.0</v>
      </c>
      <c r="R7" s="8">
        <v>13500.0</v>
      </c>
      <c r="S7" s="59">
        <f t="shared" si="2"/>
        <v>0</v>
      </c>
    </row>
    <row r="8">
      <c r="B8" s="32">
        <v>8363.82</v>
      </c>
      <c r="C8" s="32">
        <v>1591.91</v>
      </c>
      <c r="E8" s="32">
        <v>290.0</v>
      </c>
      <c r="F8" s="32">
        <v>898.51</v>
      </c>
      <c r="G8" s="32">
        <v>244.0</v>
      </c>
      <c r="H8" s="32">
        <v>1038.96</v>
      </c>
      <c r="I8" s="32">
        <v>1078.63</v>
      </c>
      <c r="J8" s="32">
        <v>180.0</v>
      </c>
      <c r="K8" s="32">
        <v>129.4</v>
      </c>
      <c r="L8" s="32">
        <v>416.5</v>
      </c>
      <c r="M8" s="32">
        <v>440.0</v>
      </c>
    </row>
    <row r="9">
      <c r="B9" s="45">
        <f t="shared" ref="B9:C9" si="3">SUM(B2:B6)-B8</f>
        <v>351.6</v>
      </c>
      <c r="C9" s="45">
        <f t="shared" si="3"/>
        <v>-234.73</v>
      </c>
      <c r="E9" s="45">
        <f t="shared" ref="E9:M9" si="4">SUM(E2:E6)-E8</f>
        <v>0</v>
      </c>
      <c r="F9" s="45">
        <f t="shared" si="4"/>
        <v>-105.6</v>
      </c>
      <c r="G9" s="45">
        <f t="shared" si="4"/>
        <v>0</v>
      </c>
      <c r="H9" s="45">
        <f t="shared" si="4"/>
        <v>0</v>
      </c>
      <c r="I9" s="45">
        <f t="shared" si="4"/>
        <v>0</v>
      </c>
      <c r="J9" s="45">
        <f t="shared" si="4"/>
        <v>0</v>
      </c>
      <c r="K9" s="45">
        <f t="shared" si="4"/>
        <v>1</v>
      </c>
      <c r="L9" s="45">
        <f t="shared" si="4"/>
        <v>0</v>
      </c>
      <c r="M9" s="45">
        <f t="shared" si="4"/>
        <v>0</v>
      </c>
      <c r="O9" s="45">
        <f t="shared" ref="O9:P9" si="5">SUM(O2:O6)-O8</f>
        <v>200</v>
      </c>
      <c r="P9" s="45">
        <f t="shared" si="5"/>
        <v>302.37</v>
      </c>
    </row>
    <row r="10">
      <c r="A10" s="4" t="s">
        <v>22</v>
      </c>
      <c r="B10" s="11">
        <v>12000.0</v>
      </c>
    </row>
    <row r="11">
      <c r="A11" s="4" t="s">
        <v>23</v>
      </c>
      <c r="B11" s="12">
        <f>SUM(B2:P7)</f>
        <v>15786.37</v>
      </c>
      <c r="E11" s="56"/>
    </row>
    <row r="12">
      <c r="A12" s="4" t="s">
        <v>24</v>
      </c>
      <c r="B12" s="12">
        <f> SUM(B10-B11)</f>
        <v>-3786.37</v>
      </c>
    </row>
    <row r="14">
      <c r="A14" s="13" t="s">
        <v>25</v>
      </c>
      <c r="B14" s="14">
        <f>SUM(R3:R7)</f>
        <v>71144.55</v>
      </c>
    </row>
    <row r="15">
      <c r="A15" s="13" t="s">
        <v>26</v>
      </c>
      <c r="B15" s="15">
        <f>B11/B14</f>
        <v>0.2218914871</v>
      </c>
    </row>
    <row r="18">
      <c r="A18" s="16" t="s">
        <v>27</v>
      </c>
      <c r="B18" s="17"/>
      <c r="C18" s="17"/>
      <c r="D18" s="18"/>
      <c r="G18" s="60" t="s">
        <v>61</v>
      </c>
      <c r="H18" s="61"/>
      <c r="I18" s="62"/>
    </row>
    <row r="19">
      <c r="A19" s="19" t="s">
        <v>28</v>
      </c>
      <c r="B19" s="20"/>
      <c r="C19" s="20"/>
      <c r="D19" s="21"/>
      <c r="G19" s="63" t="s">
        <v>62</v>
      </c>
      <c r="H19" s="63" t="s">
        <v>63</v>
      </c>
      <c r="I19" s="63" t="s">
        <v>64</v>
      </c>
    </row>
    <row r="20">
      <c r="A20" s="22" t="s">
        <v>29</v>
      </c>
      <c r="B20" s="23" t="s">
        <v>30</v>
      </c>
      <c r="C20" s="22" t="s">
        <v>31</v>
      </c>
      <c r="D20" s="24" t="s">
        <v>30</v>
      </c>
      <c r="G20" s="64">
        <v>44790.0</v>
      </c>
      <c r="H20" s="63" t="s">
        <v>65</v>
      </c>
      <c r="I20" s="63" t="s">
        <v>65</v>
      </c>
      <c r="J20" s="32"/>
    </row>
    <row r="21">
      <c r="A21" s="28" t="s">
        <v>69</v>
      </c>
      <c r="B21" s="41">
        <v>597.02</v>
      </c>
      <c r="C21" s="25"/>
      <c r="D21" s="27"/>
      <c r="G21" s="70">
        <v>44792.0</v>
      </c>
      <c r="H21" s="63" t="s">
        <v>70</v>
      </c>
      <c r="I21" s="63" t="s">
        <v>70</v>
      </c>
    </row>
    <row r="22">
      <c r="A22" s="28" t="s">
        <v>41</v>
      </c>
      <c r="B22" s="41">
        <v>1045.05</v>
      </c>
      <c r="C22" s="25"/>
      <c r="D22" s="27"/>
      <c r="G22" s="65"/>
      <c r="H22" s="65"/>
      <c r="I22" s="65"/>
    </row>
    <row r="23">
      <c r="A23" s="28"/>
      <c r="B23" s="41"/>
      <c r="C23" s="25"/>
      <c r="D23" s="27"/>
      <c r="G23" s="65"/>
      <c r="H23" s="65"/>
      <c r="I23" s="65"/>
    </row>
    <row r="24">
      <c r="A24" s="25"/>
      <c r="B24" s="26"/>
      <c r="C24" s="25"/>
      <c r="D24" s="27"/>
      <c r="G24" s="65"/>
      <c r="H24" s="65"/>
      <c r="I24" s="65"/>
    </row>
    <row r="25">
      <c r="A25" s="25"/>
      <c r="B25" s="26"/>
      <c r="C25" s="25"/>
      <c r="D25" s="27"/>
      <c r="G25" s="65"/>
      <c r="H25" s="65"/>
      <c r="I25" s="65"/>
    </row>
    <row r="26">
      <c r="A26" s="25"/>
      <c r="B26" s="26"/>
      <c r="C26" s="25"/>
      <c r="D26" s="27"/>
      <c r="G26" s="65"/>
      <c r="H26" s="65"/>
      <c r="I26" s="65"/>
    </row>
    <row r="27">
      <c r="A27" s="25"/>
      <c r="B27" s="26"/>
      <c r="C27" s="25"/>
      <c r="D27" s="27"/>
    </row>
    <row r="28">
      <c r="A28" s="25"/>
      <c r="B28" s="26"/>
      <c r="C28" s="25"/>
      <c r="D28" s="27"/>
      <c r="H28" s="66" t="s">
        <v>68</v>
      </c>
      <c r="I28" s="67"/>
    </row>
    <row r="29">
      <c r="A29" s="25"/>
      <c r="B29" s="26"/>
      <c r="C29" s="25"/>
      <c r="D29" s="27"/>
    </row>
    <row r="30">
      <c r="A30" s="25"/>
      <c r="B30" s="26"/>
      <c r="C30" s="25"/>
      <c r="D30" s="27"/>
    </row>
    <row r="31">
      <c r="A31" s="25"/>
      <c r="B31" s="26"/>
      <c r="C31" s="25"/>
      <c r="D31" s="27"/>
    </row>
    <row r="32">
      <c r="A32" s="25"/>
      <c r="B32" s="26"/>
      <c r="C32" s="25"/>
      <c r="D32" s="27"/>
    </row>
    <row r="33">
      <c r="A33" s="29" t="s">
        <v>35</v>
      </c>
      <c r="B33" s="30">
        <f>sum(B21:B32)</f>
        <v>1642.07</v>
      </c>
      <c r="C33" s="31"/>
      <c r="D33" s="30">
        <f>sum(D21:D32)</f>
        <v>0</v>
      </c>
    </row>
  </sheetData>
  <mergeCells count="1">
    <mergeCell ref="G18:I18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</cols>
  <sheetData>
    <row r="1">
      <c r="A1" s="1"/>
      <c r="B1" s="2" t="s">
        <v>0</v>
      </c>
      <c r="C1" s="2" t="s">
        <v>1</v>
      </c>
      <c r="D1" s="2" t="s">
        <v>7</v>
      </c>
      <c r="E1" s="2" t="s">
        <v>3</v>
      </c>
      <c r="F1" s="2" t="s">
        <v>5</v>
      </c>
      <c r="G1" s="2" t="s">
        <v>6</v>
      </c>
      <c r="H1" s="2" t="s">
        <v>43</v>
      </c>
      <c r="I1" s="2" t="s">
        <v>40</v>
      </c>
      <c r="J1" s="2" t="s">
        <v>49</v>
      </c>
      <c r="K1" s="2" t="s">
        <v>42</v>
      </c>
      <c r="L1" s="2" t="s">
        <v>9</v>
      </c>
      <c r="M1" s="2" t="s">
        <v>37</v>
      </c>
      <c r="N1" s="2" t="s">
        <v>10</v>
      </c>
      <c r="O1" s="2" t="s">
        <v>11</v>
      </c>
      <c r="P1" s="2" t="s">
        <v>12</v>
      </c>
      <c r="Q1" s="3" t="s">
        <v>13</v>
      </c>
      <c r="R1" s="3" t="s">
        <v>14</v>
      </c>
      <c r="S1" s="3" t="s">
        <v>15</v>
      </c>
    </row>
    <row r="2">
      <c r="A2" s="4" t="s">
        <v>60</v>
      </c>
      <c r="B2" s="5">
        <v>3642.14</v>
      </c>
      <c r="C2" s="5"/>
      <c r="D2" s="5"/>
      <c r="E2" s="5"/>
      <c r="F2" s="5"/>
      <c r="G2" s="5"/>
      <c r="H2" s="5"/>
      <c r="I2" s="42"/>
      <c r="J2" s="5"/>
      <c r="K2" s="6"/>
      <c r="L2" s="6"/>
      <c r="M2" s="5"/>
      <c r="N2" s="5"/>
      <c r="O2" s="5"/>
      <c r="P2" s="6"/>
      <c r="Q2" s="7">
        <f t="shared" ref="Q2:Q6" si="1">SUM(B2:P2)</f>
        <v>3642.14</v>
      </c>
      <c r="R2" s="8"/>
      <c r="S2" s="69" t="str">
        <f t="shared" ref="S2:S7" si="2">Q2/R2</f>
        <v>#DIV/0!</v>
      </c>
    </row>
    <row r="3">
      <c r="A3" s="4" t="s">
        <v>16</v>
      </c>
      <c r="B3" s="5">
        <v>839.16</v>
      </c>
      <c r="C3" s="5">
        <v>628.09</v>
      </c>
      <c r="D3" s="5"/>
      <c r="E3" s="5">
        <v>390.0</v>
      </c>
      <c r="F3" s="5">
        <v>764.9</v>
      </c>
      <c r="G3" s="5">
        <v>49.5</v>
      </c>
      <c r="H3" s="5">
        <v>1087.23</v>
      </c>
      <c r="I3" s="42"/>
      <c r="J3" s="5">
        <v>180.0</v>
      </c>
      <c r="K3" s="5"/>
      <c r="L3" s="6"/>
      <c r="M3" s="5"/>
      <c r="N3" s="5"/>
      <c r="O3" s="5">
        <v>100.0</v>
      </c>
      <c r="P3" s="6"/>
      <c r="Q3" s="7">
        <f t="shared" si="1"/>
        <v>4038.88</v>
      </c>
      <c r="R3" s="8">
        <v>7126.0</v>
      </c>
      <c r="S3" s="59">
        <f t="shared" si="2"/>
        <v>0.5667808027</v>
      </c>
    </row>
    <row r="4">
      <c r="A4" s="4" t="s">
        <v>17</v>
      </c>
      <c r="B4" s="5">
        <v>1663.26</v>
      </c>
      <c r="C4" s="5">
        <v>664.86</v>
      </c>
      <c r="D4" s="6"/>
      <c r="E4" s="6"/>
      <c r="F4" s="5"/>
      <c r="G4" s="5"/>
      <c r="H4" s="5"/>
      <c r="I4" s="5"/>
      <c r="J4" s="5"/>
      <c r="K4" s="5">
        <v>82.6</v>
      </c>
      <c r="L4" s="5"/>
      <c r="M4" s="5"/>
      <c r="N4" s="5"/>
      <c r="O4" s="6"/>
      <c r="P4" s="6"/>
      <c r="Q4" s="7">
        <f t="shared" si="1"/>
        <v>2410.72</v>
      </c>
      <c r="R4" s="8">
        <v>11095.83</v>
      </c>
      <c r="S4" s="59">
        <f t="shared" si="2"/>
        <v>0.2172636026</v>
      </c>
    </row>
    <row r="5">
      <c r="A5" s="4" t="s">
        <v>18</v>
      </c>
      <c r="B5" s="5">
        <v>2077.72</v>
      </c>
      <c r="C5" s="5">
        <v>196.19</v>
      </c>
      <c r="D5" s="6"/>
      <c r="E5" s="6"/>
      <c r="F5" s="5">
        <v>404.9</v>
      </c>
      <c r="G5" s="5">
        <v>142.5</v>
      </c>
      <c r="H5" s="5"/>
      <c r="I5" s="5"/>
      <c r="J5" s="5"/>
      <c r="K5" s="5">
        <v>41.42</v>
      </c>
      <c r="L5" s="6"/>
      <c r="M5" s="5"/>
      <c r="N5" s="5"/>
      <c r="O5" s="5">
        <v>100.0</v>
      </c>
      <c r="P5" s="5">
        <v>221.94</v>
      </c>
      <c r="Q5" s="7">
        <f t="shared" si="1"/>
        <v>3184.67</v>
      </c>
      <c r="R5" s="8">
        <v>13477.0</v>
      </c>
      <c r="S5" s="59">
        <f t="shared" si="2"/>
        <v>0.2363040736</v>
      </c>
    </row>
    <row r="6">
      <c r="A6" s="4" t="s">
        <v>19</v>
      </c>
      <c r="B6" s="5">
        <v>1499.73</v>
      </c>
      <c r="C6" s="5">
        <v>350.89</v>
      </c>
      <c r="D6" s="5"/>
      <c r="E6" s="6"/>
      <c r="F6" s="5"/>
      <c r="G6" s="5">
        <v>33.0</v>
      </c>
      <c r="H6" s="6"/>
      <c r="I6" s="6"/>
      <c r="J6" s="5"/>
      <c r="K6" s="5"/>
      <c r="L6" s="5">
        <v>924.7</v>
      </c>
      <c r="M6" s="6"/>
      <c r="N6" s="6"/>
      <c r="O6" s="6"/>
      <c r="P6" s="6"/>
      <c r="Q6" s="7">
        <f t="shared" si="1"/>
        <v>2808.32</v>
      </c>
      <c r="R6" s="8">
        <v>18696.8</v>
      </c>
      <c r="S6" s="59">
        <f t="shared" si="2"/>
        <v>0.1502032433</v>
      </c>
    </row>
    <row r="7">
      <c r="A7" s="4" t="s">
        <v>20</v>
      </c>
      <c r="B7" s="10" t="s">
        <v>21</v>
      </c>
      <c r="C7" s="10" t="s">
        <v>21</v>
      </c>
      <c r="D7" s="10" t="s">
        <v>21</v>
      </c>
      <c r="E7" s="10" t="s">
        <v>21</v>
      </c>
      <c r="F7" s="10" t="s">
        <v>21</v>
      </c>
      <c r="G7" s="10" t="s">
        <v>21</v>
      </c>
      <c r="H7" s="10" t="s">
        <v>21</v>
      </c>
      <c r="I7" s="10" t="s">
        <v>21</v>
      </c>
      <c r="J7" s="10" t="s">
        <v>21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7">
        <v>0.0</v>
      </c>
      <c r="R7" s="8">
        <v>8958.0</v>
      </c>
      <c r="S7" s="59">
        <f t="shared" si="2"/>
        <v>0</v>
      </c>
    </row>
    <row r="8">
      <c r="A8" s="32" t="s">
        <v>71</v>
      </c>
      <c r="B8" s="32">
        <v>9795.36</v>
      </c>
      <c r="C8" s="32">
        <v>1948.6</v>
      </c>
      <c r="D8" s="32">
        <v>847.0</v>
      </c>
      <c r="E8" s="32">
        <v>390.0</v>
      </c>
      <c r="F8" s="32">
        <v>1628.93</v>
      </c>
      <c r="G8" s="32">
        <v>225.0</v>
      </c>
      <c r="H8" s="32">
        <v>1087.24</v>
      </c>
      <c r="J8" s="32">
        <v>180.0</v>
      </c>
      <c r="K8" s="32">
        <v>124.02</v>
      </c>
      <c r="L8" s="32">
        <v>924.7</v>
      </c>
      <c r="O8" s="32">
        <v>316.96</v>
      </c>
      <c r="P8" s="32">
        <v>221.94</v>
      </c>
      <c r="Q8" s="32">
        <v>325.55</v>
      </c>
    </row>
    <row r="9">
      <c r="B9" s="38">
        <f t="shared" ref="B9:H9" si="3">sum(B2:B6)-B8</f>
        <v>-73.35</v>
      </c>
      <c r="C9" s="38">
        <f t="shared" si="3"/>
        <v>-108.57</v>
      </c>
      <c r="D9" s="38">
        <f t="shared" si="3"/>
        <v>-847</v>
      </c>
      <c r="E9" s="38">
        <f t="shared" si="3"/>
        <v>0</v>
      </c>
      <c r="F9" s="38">
        <f t="shared" si="3"/>
        <v>-459.13</v>
      </c>
      <c r="G9" s="38">
        <f t="shared" si="3"/>
        <v>0</v>
      </c>
      <c r="H9" s="38">
        <f t="shared" si="3"/>
        <v>-0.01</v>
      </c>
      <c r="J9" s="38">
        <f t="shared" ref="J9:L9" si="4">sum(J2:J6)-J8</f>
        <v>0</v>
      </c>
      <c r="K9" s="38">
        <f t="shared" si="4"/>
        <v>0</v>
      </c>
      <c r="L9" s="38">
        <f t="shared" si="4"/>
        <v>0</v>
      </c>
      <c r="O9" s="38">
        <f t="shared" ref="O9:P9" si="5">sum(O2:O6)-O8</f>
        <v>-116.96</v>
      </c>
      <c r="P9" s="38">
        <f t="shared" si="5"/>
        <v>0</v>
      </c>
      <c r="Q9" s="68">
        <f>0-Q8</f>
        <v>-325.55</v>
      </c>
      <c r="R9" s="32" t="s">
        <v>72</v>
      </c>
    </row>
    <row r="10">
      <c r="A10" s="4" t="s">
        <v>22</v>
      </c>
      <c r="B10" s="11">
        <v>12000.0</v>
      </c>
      <c r="F10" s="32" t="s">
        <v>73</v>
      </c>
    </row>
    <row r="11">
      <c r="A11" s="4" t="s">
        <v>23</v>
      </c>
      <c r="B11" s="12">
        <f>SUM(B2:P7)</f>
        <v>16084.73</v>
      </c>
      <c r="E11" s="56"/>
    </row>
    <row r="12">
      <c r="A12" s="4" t="s">
        <v>24</v>
      </c>
      <c r="B12" s="12">
        <f> SUM(B10-B11)</f>
        <v>-4084.73</v>
      </c>
    </row>
    <row r="14">
      <c r="A14" s="13" t="s">
        <v>25</v>
      </c>
      <c r="B14" s="14">
        <f>SUM(R3:R7)</f>
        <v>59353.63</v>
      </c>
    </row>
    <row r="15">
      <c r="A15" s="13" t="s">
        <v>26</v>
      </c>
      <c r="B15" s="15">
        <f>B11/B14</f>
        <v>0.2709982523</v>
      </c>
    </row>
    <row r="18">
      <c r="A18" s="16" t="s">
        <v>27</v>
      </c>
      <c r="B18" s="17"/>
      <c r="C18" s="17"/>
      <c r="D18" s="18"/>
      <c r="G18" s="60" t="s">
        <v>61</v>
      </c>
      <c r="H18" s="61"/>
      <c r="I18" s="62"/>
    </row>
    <row r="19">
      <c r="A19" s="19" t="s">
        <v>28</v>
      </c>
      <c r="B19" s="20"/>
      <c r="C19" s="20"/>
      <c r="D19" s="21"/>
      <c r="G19" s="63" t="s">
        <v>62</v>
      </c>
      <c r="H19" s="63" t="s">
        <v>63</v>
      </c>
      <c r="I19" s="63" t="s">
        <v>64</v>
      </c>
    </row>
    <row r="20">
      <c r="A20" s="22" t="s">
        <v>29</v>
      </c>
      <c r="B20" s="23" t="s">
        <v>30</v>
      </c>
      <c r="C20" s="22" t="s">
        <v>31</v>
      </c>
      <c r="D20" s="24" t="s">
        <v>30</v>
      </c>
      <c r="G20" s="64"/>
      <c r="H20" s="63"/>
      <c r="I20" s="63"/>
      <c r="J20" s="32"/>
    </row>
    <row r="21">
      <c r="A21" s="28" t="s">
        <v>51</v>
      </c>
      <c r="B21" s="41">
        <v>511.12</v>
      </c>
      <c r="C21" s="25"/>
      <c r="D21" s="27"/>
      <c r="G21" s="70">
        <v>44818.0</v>
      </c>
      <c r="H21" s="63" t="s">
        <v>65</v>
      </c>
      <c r="I21" s="63" t="s">
        <v>65</v>
      </c>
    </row>
    <row r="22">
      <c r="A22" s="28" t="s">
        <v>41</v>
      </c>
      <c r="B22" s="41">
        <v>696.7</v>
      </c>
      <c r="C22" s="25"/>
      <c r="D22" s="27"/>
      <c r="G22" s="70">
        <v>44820.0</v>
      </c>
      <c r="H22" s="63" t="s">
        <v>70</v>
      </c>
      <c r="I22" s="63" t="s">
        <v>70</v>
      </c>
    </row>
    <row r="23">
      <c r="A23" s="71"/>
      <c r="B23" s="72"/>
      <c r="C23" s="25"/>
      <c r="D23" s="27"/>
      <c r="G23" s="65"/>
      <c r="H23" s="65"/>
      <c r="I23" s="65"/>
    </row>
    <row r="24">
      <c r="A24" s="28"/>
      <c r="B24" s="26"/>
      <c r="C24" s="25"/>
      <c r="D24" s="27"/>
      <c r="G24" s="65"/>
      <c r="H24" s="65"/>
      <c r="I24" s="65"/>
    </row>
    <row r="25">
      <c r="A25" s="25"/>
      <c r="B25" s="26"/>
      <c r="C25" s="25"/>
      <c r="D25" s="27"/>
      <c r="G25" s="65"/>
      <c r="H25" s="65"/>
      <c r="I25" s="65"/>
    </row>
    <row r="26">
      <c r="A26" s="25"/>
      <c r="B26" s="26"/>
      <c r="C26" s="25"/>
      <c r="D26" s="27"/>
      <c r="G26" s="65"/>
      <c r="H26" s="65"/>
      <c r="I26" s="65"/>
    </row>
    <row r="27">
      <c r="A27" s="25"/>
      <c r="B27" s="26"/>
      <c r="C27" s="25"/>
      <c r="D27" s="27"/>
    </row>
    <row r="28">
      <c r="A28" s="25"/>
      <c r="B28" s="26"/>
      <c r="C28" s="25"/>
      <c r="D28" s="27"/>
      <c r="H28" s="66" t="s">
        <v>68</v>
      </c>
      <c r="I28" s="67"/>
    </row>
    <row r="29">
      <c r="A29" s="25"/>
      <c r="B29" s="26"/>
      <c r="C29" s="25"/>
      <c r="D29" s="27"/>
    </row>
    <row r="30">
      <c r="A30" s="25"/>
      <c r="B30" s="26"/>
      <c r="C30" s="25"/>
      <c r="D30" s="27"/>
    </row>
    <row r="31">
      <c r="A31" s="25"/>
      <c r="B31" s="26"/>
      <c r="C31" s="25"/>
      <c r="D31" s="27"/>
    </row>
    <row r="32">
      <c r="A32" s="25"/>
      <c r="B32" s="26"/>
      <c r="C32" s="25"/>
      <c r="D32" s="27"/>
    </row>
    <row r="33">
      <c r="A33" s="29" t="s">
        <v>35</v>
      </c>
      <c r="B33" s="30">
        <f>sum(B21:B32)</f>
        <v>1207.82</v>
      </c>
      <c r="C33" s="31"/>
      <c r="D33" s="30">
        <f>sum(D21:D32)</f>
        <v>0</v>
      </c>
    </row>
  </sheetData>
  <mergeCells count="1">
    <mergeCell ref="G18:I18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3" max="3" width="19.25"/>
    <col customWidth="1" min="4" max="4" width="13.13"/>
    <col customWidth="1" min="5" max="5" width="13.0"/>
    <col customWidth="1" min="9" max="10" width="16.63"/>
    <col customWidth="1" min="14" max="15" width="15.38"/>
    <col customWidth="1" min="18" max="18" width="12.5"/>
    <col customWidth="1" min="19" max="19" width="14.75"/>
    <col customWidth="1" min="20" max="20" width="13.0"/>
  </cols>
  <sheetData>
    <row r="1">
      <c r="A1" s="1"/>
      <c r="B1" s="2" t="s">
        <v>0</v>
      </c>
      <c r="C1" s="2" t="s">
        <v>1</v>
      </c>
      <c r="D1" s="2" t="s">
        <v>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43</v>
      </c>
      <c r="J1" s="2" t="s">
        <v>40</v>
      </c>
      <c r="K1" s="2" t="s">
        <v>49</v>
      </c>
      <c r="L1" s="2" t="s">
        <v>42</v>
      </c>
      <c r="M1" s="2" t="s">
        <v>9</v>
      </c>
      <c r="N1" s="2" t="s">
        <v>37</v>
      </c>
      <c r="O1" s="2" t="s">
        <v>10</v>
      </c>
      <c r="P1" s="2" t="s">
        <v>11</v>
      </c>
      <c r="Q1" s="2" t="s">
        <v>12</v>
      </c>
      <c r="R1" s="3" t="s">
        <v>13</v>
      </c>
      <c r="S1" s="3" t="s">
        <v>14</v>
      </c>
      <c r="T1" s="3" t="s">
        <v>15</v>
      </c>
    </row>
    <row r="2">
      <c r="A2" s="4" t="s">
        <v>60</v>
      </c>
      <c r="B2" s="5">
        <v>4162.17</v>
      </c>
      <c r="C2" s="5">
        <v>531.65</v>
      </c>
      <c r="D2" s="5"/>
      <c r="E2" s="5"/>
      <c r="F2" s="5"/>
      <c r="G2" s="5">
        <v>298.51</v>
      </c>
      <c r="H2" s="5"/>
      <c r="I2" s="5"/>
      <c r="J2" s="42">
        <v>1045.05</v>
      </c>
      <c r="K2" s="5"/>
      <c r="L2" s="6"/>
      <c r="M2" s="6"/>
      <c r="N2" s="5"/>
      <c r="O2" s="5">
        <v>126.9</v>
      </c>
      <c r="P2" s="5"/>
      <c r="Q2" s="6"/>
      <c r="R2" s="7">
        <f t="shared" ref="R2:R6" si="1">SUM(B2:Q2)</f>
        <v>6164.28</v>
      </c>
      <c r="S2" s="8">
        <v>0.0</v>
      </c>
      <c r="T2" s="69" t="str">
        <f t="shared" ref="T2:T7" si="2">R2/S2</f>
        <v>#DIV/0!</v>
      </c>
    </row>
    <row r="3">
      <c r="A3" s="4" t="s">
        <v>16</v>
      </c>
      <c r="B3" s="5">
        <v>355.18</v>
      </c>
      <c r="C3" s="5">
        <v>441.51</v>
      </c>
      <c r="D3" s="5"/>
      <c r="E3" s="5"/>
      <c r="F3" s="5">
        <v>289.58</v>
      </c>
      <c r="G3" s="5">
        <v>765.68</v>
      </c>
      <c r="H3" s="5">
        <v>49.5</v>
      </c>
      <c r="I3" s="5"/>
      <c r="J3" s="42"/>
      <c r="K3" s="5">
        <v>180.0</v>
      </c>
      <c r="L3" s="6"/>
      <c r="M3" s="6"/>
      <c r="N3" s="5"/>
      <c r="O3" s="5"/>
      <c r="P3" s="5">
        <v>100.0</v>
      </c>
      <c r="Q3" s="6"/>
      <c r="R3" s="7">
        <f t="shared" si="1"/>
        <v>2181.45</v>
      </c>
      <c r="S3" s="8">
        <v>9165.0</v>
      </c>
      <c r="T3" s="59">
        <f t="shared" si="2"/>
        <v>0.2380196399</v>
      </c>
    </row>
    <row r="4">
      <c r="A4" s="4" t="s">
        <v>17</v>
      </c>
      <c r="B4" s="5">
        <v>1003.5</v>
      </c>
      <c r="C4" s="5"/>
      <c r="D4" s="6"/>
      <c r="E4" s="6"/>
      <c r="F4" s="5"/>
      <c r="G4" s="5"/>
      <c r="H4" s="5"/>
      <c r="I4" s="5"/>
      <c r="J4" s="5"/>
      <c r="K4" s="5"/>
      <c r="L4" s="5"/>
      <c r="M4" s="5"/>
      <c r="N4" s="5"/>
      <c r="O4" s="5"/>
      <c r="P4" s="6"/>
      <c r="Q4" s="6"/>
      <c r="R4" s="7">
        <f t="shared" si="1"/>
        <v>1003.5</v>
      </c>
      <c r="S4" s="8">
        <v>11088.0</v>
      </c>
      <c r="T4" s="59">
        <f t="shared" si="2"/>
        <v>0.09050324675</v>
      </c>
    </row>
    <row r="5">
      <c r="A5" s="4" t="s">
        <v>18</v>
      </c>
      <c r="B5" s="5">
        <v>1384.57</v>
      </c>
      <c r="C5" s="5">
        <v>238.0</v>
      </c>
      <c r="D5" s="6"/>
      <c r="E5" s="6"/>
      <c r="F5" s="5"/>
      <c r="G5" s="5">
        <v>120.0</v>
      </c>
      <c r="H5" s="5">
        <v>142.5</v>
      </c>
      <c r="I5" s="5">
        <v>795.83</v>
      </c>
      <c r="J5" s="5"/>
      <c r="K5" s="5"/>
      <c r="L5" s="5"/>
      <c r="M5" s="6"/>
      <c r="N5" s="5">
        <v>440.0</v>
      </c>
      <c r="O5" s="5"/>
      <c r="P5" s="5">
        <v>100.0</v>
      </c>
      <c r="Q5" s="5">
        <v>302.37</v>
      </c>
      <c r="R5" s="7">
        <f t="shared" si="1"/>
        <v>3523.27</v>
      </c>
      <c r="S5" s="8">
        <v>13991.2</v>
      </c>
      <c r="T5" s="59">
        <f t="shared" si="2"/>
        <v>0.25182043</v>
      </c>
    </row>
    <row r="6">
      <c r="A6" s="4" t="s">
        <v>19</v>
      </c>
      <c r="B6" s="5">
        <v>1493.52</v>
      </c>
      <c r="C6" s="5">
        <v>637.17</v>
      </c>
      <c r="D6" s="44">
        <v>600.0</v>
      </c>
      <c r="E6" s="6"/>
      <c r="F6" s="5"/>
      <c r="G6" s="5"/>
      <c r="H6" s="5">
        <v>33.0</v>
      </c>
      <c r="I6" s="6"/>
      <c r="J6" s="6"/>
      <c r="K6" s="5"/>
      <c r="L6" s="5"/>
      <c r="M6" s="5">
        <v>1485.5</v>
      </c>
      <c r="N6" s="6"/>
      <c r="O6" s="6"/>
      <c r="P6" s="6"/>
      <c r="Q6" s="6"/>
      <c r="R6" s="7">
        <f t="shared" si="1"/>
        <v>4249.19</v>
      </c>
      <c r="S6" s="8">
        <v>18492.8</v>
      </c>
      <c r="T6" s="59">
        <f t="shared" si="2"/>
        <v>0.229775372</v>
      </c>
    </row>
    <row r="7">
      <c r="A7" s="4" t="s">
        <v>20</v>
      </c>
      <c r="B7" s="10" t="s">
        <v>21</v>
      </c>
      <c r="C7" s="10" t="s">
        <v>21</v>
      </c>
      <c r="D7" s="10" t="s">
        <v>21</v>
      </c>
      <c r="E7" s="10" t="s">
        <v>21</v>
      </c>
      <c r="F7" s="10"/>
      <c r="G7" s="10" t="s">
        <v>21</v>
      </c>
      <c r="H7" s="10" t="s">
        <v>21</v>
      </c>
      <c r="I7" s="10" t="s">
        <v>21</v>
      </c>
      <c r="J7" s="10" t="s">
        <v>21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0" t="s">
        <v>21</v>
      </c>
      <c r="R7" s="7">
        <v>0.0</v>
      </c>
      <c r="S7" s="8">
        <v>14128.0</v>
      </c>
      <c r="T7" s="59">
        <f t="shared" si="2"/>
        <v>0</v>
      </c>
    </row>
    <row r="8">
      <c r="B8" s="32">
        <v>8650.91</v>
      </c>
      <c r="C8" s="32">
        <v>1995.44</v>
      </c>
      <c r="D8" s="32">
        <v>427.0</v>
      </c>
      <c r="E8" s="32">
        <v>280.0</v>
      </c>
      <c r="F8" s="32">
        <v>297.53</v>
      </c>
      <c r="G8" s="32">
        <v>885.68</v>
      </c>
      <c r="H8" s="32">
        <v>225.0</v>
      </c>
      <c r="I8" s="32">
        <v>795.83</v>
      </c>
      <c r="K8" s="32">
        <v>180.0</v>
      </c>
      <c r="M8" s="32">
        <v>1485.5</v>
      </c>
      <c r="N8" s="32">
        <v>440.0</v>
      </c>
      <c r="O8" s="32">
        <v>126.9</v>
      </c>
    </row>
    <row r="9">
      <c r="B9" s="45">
        <f t="shared" ref="B9:Q9" si="3">sum(B2:B6)-B8</f>
        <v>-251.97</v>
      </c>
      <c r="C9" s="45">
        <f t="shared" si="3"/>
        <v>-147.11</v>
      </c>
      <c r="D9" s="45">
        <f t="shared" si="3"/>
        <v>173</v>
      </c>
      <c r="E9" s="45">
        <f t="shared" si="3"/>
        <v>-280</v>
      </c>
      <c r="F9" s="45">
        <f t="shared" si="3"/>
        <v>-7.95</v>
      </c>
      <c r="G9" s="45">
        <f t="shared" si="3"/>
        <v>298.51</v>
      </c>
      <c r="H9" s="45">
        <f t="shared" si="3"/>
        <v>0</v>
      </c>
      <c r="I9" s="45">
        <f t="shared" si="3"/>
        <v>0</v>
      </c>
      <c r="J9" s="45">
        <f t="shared" si="3"/>
        <v>1045.05</v>
      </c>
      <c r="K9" s="45">
        <f t="shared" si="3"/>
        <v>0</v>
      </c>
      <c r="L9" s="45">
        <f t="shared" si="3"/>
        <v>0</v>
      </c>
      <c r="M9" s="45">
        <f t="shared" si="3"/>
        <v>0</v>
      </c>
      <c r="N9" s="45">
        <f t="shared" si="3"/>
        <v>0</v>
      </c>
      <c r="O9" s="45">
        <f t="shared" si="3"/>
        <v>0</v>
      </c>
      <c r="P9" s="45">
        <f t="shared" si="3"/>
        <v>200</v>
      </c>
      <c r="Q9" s="45">
        <f t="shared" si="3"/>
        <v>302.37</v>
      </c>
    </row>
    <row r="10">
      <c r="A10" s="4" t="s">
        <v>22</v>
      </c>
      <c r="B10" s="11">
        <v>14000.0</v>
      </c>
    </row>
    <row r="11">
      <c r="A11" s="4" t="s">
        <v>23</v>
      </c>
      <c r="B11" s="12">
        <f>SUM(B2:Q7)</f>
        <v>17121.69</v>
      </c>
      <c r="E11" s="56"/>
    </row>
    <row r="12">
      <c r="A12" s="4" t="s">
        <v>24</v>
      </c>
      <c r="B12" s="12">
        <f> SUM(B10-B11)</f>
        <v>-3121.69</v>
      </c>
    </row>
    <row r="14">
      <c r="A14" s="13" t="s">
        <v>25</v>
      </c>
      <c r="B14" s="14">
        <f>SUM(S3:S7)</f>
        <v>66865</v>
      </c>
    </row>
    <row r="15">
      <c r="A15" s="13" t="s">
        <v>26</v>
      </c>
      <c r="B15" s="15">
        <f>B11/B14</f>
        <v>0.2560635609</v>
      </c>
    </row>
    <row r="18">
      <c r="A18" s="16" t="s">
        <v>27</v>
      </c>
      <c r="B18" s="17"/>
      <c r="C18" s="17"/>
      <c r="D18" s="18"/>
      <c r="H18" s="60" t="s">
        <v>61</v>
      </c>
      <c r="I18" s="61"/>
      <c r="J18" s="62"/>
    </row>
    <row r="19">
      <c r="A19" s="19" t="s">
        <v>28</v>
      </c>
      <c r="B19" s="20"/>
      <c r="C19" s="20"/>
      <c r="D19" s="21"/>
      <c r="H19" s="63" t="s">
        <v>62</v>
      </c>
      <c r="I19" s="63" t="s">
        <v>63</v>
      </c>
      <c r="J19" s="63" t="s">
        <v>64</v>
      </c>
    </row>
    <row r="20">
      <c r="A20" s="22" t="s">
        <v>29</v>
      </c>
      <c r="B20" s="23" t="s">
        <v>30</v>
      </c>
      <c r="C20" s="22" t="s">
        <v>31</v>
      </c>
      <c r="D20" s="24" t="s">
        <v>30</v>
      </c>
      <c r="H20" s="64">
        <v>44797.0</v>
      </c>
      <c r="I20" s="63" t="s">
        <v>65</v>
      </c>
      <c r="J20" s="63"/>
      <c r="K20" s="32"/>
    </row>
    <row r="21">
      <c r="A21" s="28" t="s">
        <v>69</v>
      </c>
      <c r="B21" s="41">
        <v>298.51</v>
      </c>
      <c r="C21" s="25"/>
      <c r="D21" s="27"/>
      <c r="H21" s="70">
        <v>44799.0</v>
      </c>
      <c r="I21" s="63" t="s">
        <v>70</v>
      </c>
      <c r="J21" s="65"/>
    </row>
    <row r="22">
      <c r="A22" s="28" t="s">
        <v>57</v>
      </c>
      <c r="B22" s="41">
        <v>161.7</v>
      </c>
      <c r="C22" s="25"/>
      <c r="D22" s="27"/>
      <c r="H22" s="65"/>
      <c r="I22" s="65"/>
      <c r="J22" s="65"/>
    </row>
    <row r="23">
      <c r="A23" s="28" t="s">
        <v>51</v>
      </c>
      <c r="B23" s="41">
        <v>441.51</v>
      </c>
      <c r="C23" s="25"/>
      <c r="D23" s="27"/>
      <c r="H23" s="65"/>
      <c r="I23" s="65"/>
      <c r="J23" s="65"/>
    </row>
    <row r="24">
      <c r="A24" s="28" t="s">
        <v>69</v>
      </c>
      <c r="B24" s="41">
        <v>895.0</v>
      </c>
      <c r="C24" s="25"/>
      <c r="D24" s="27"/>
      <c r="H24" s="65"/>
      <c r="I24" s="65"/>
      <c r="J24" s="65"/>
    </row>
    <row r="25">
      <c r="A25" s="25"/>
      <c r="B25" s="26"/>
      <c r="C25" s="25"/>
      <c r="D25" s="27"/>
      <c r="H25" s="65"/>
      <c r="I25" s="65"/>
      <c r="J25" s="65"/>
    </row>
    <row r="26">
      <c r="A26" s="25"/>
      <c r="B26" s="26"/>
      <c r="C26" s="25"/>
      <c r="D26" s="27"/>
      <c r="H26" s="65"/>
      <c r="I26" s="65"/>
      <c r="J26" s="65"/>
    </row>
    <row r="27">
      <c r="A27" s="25"/>
      <c r="B27" s="26"/>
      <c r="C27" s="25"/>
      <c r="D27" s="27"/>
    </row>
    <row r="28">
      <c r="A28" s="25"/>
      <c r="B28" s="26"/>
      <c r="C28" s="25"/>
      <c r="D28" s="27"/>
      <c r="I28" s="66" t="s">
        <v>68</v>
      </c>
      <c r="J28" s="67"/>
    </row>
    <row r="29">
      <c r="A29" s="25"/>
      <c r="B29" s="26"/>
      <c r="C29" s="25"/>
      <c r="D29" s="27"/>
    </row>
    <row r="30">
      <c r="A30" s="25"/>
      <c r="B30" s="26"/>
      <c r="C30" s="25"/>
      <c r="D30" s="27"/>
    </row>
    <row r="31">
      <c r="A31" s="25"/>
      <c r="B31" s="26"/>
      <c r="C31" s="25"/>
      <c r="D31" s="27"/>
    </row>
    <row r="32">
      <c r="A32" s="25"/>
      <c r="B32" s="26"/>
      <c r="C32" s="25"/>
      <c r="D32" s="27"/>
    </row>
    <row r="33">
      <c r="A33" s="29" t="s">
        <v>35</v>
      </c>
      <c r="B33" s="30">
        <f>sum(B21:B32)</f>
        <v>1796.72</v>
      </c>
      <c r="C33" s="31"/>
      <c r="D33" s="30">
        <f>sum(D21:D32)</f>
        <v>0</v>
      </c>
    </row>
  </sheetData>
  <mergeCells count="1">
    <mergeCell ref="H18:J18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3" max="3" width="19.25"/>
    <col customWidth="1" min="4" max="4" width="13.13"/>
    <col customWidth="1" min="5" max="5" width="13.0"/>
    <col customWidth="1" min="8" max="9" width="16.63"/>
    <col customWidth="1" min="13" max="14" width="15.38"/>
    <col customWidth="1" min="17" max="17" width="12.5"/>
    <col customWidth="1" min="18" max="18" width="14.75"/>
    <col customWidth="1" min="19" max="19" width="13.0"/>
  </cols>
  <sheetData>
    <row r="1">
      <c r="A1" s="1"/>
      <c r="B1" s="2" t="s">
        <v>0</v>
      </c>
      <c r="C1" s="2" t="s">
        <v>1</v>
      </c>
      <c r="D1" s="2" t="s">
        <v>7</v>
      </c>
      <c r="E1" s="2" t="s">
        <v>3</v>
      </c>
      <c r="F1" s="2" t="s">
        <v>5</v>
      </c>
      <c r="G1" s="2" t="s">
        <v>6</v>
      </c>
      <c r="H1" s="2" t="s">
        <v>43</v>
      </c>
      <c r="I1" s="2" t="s">
        <v>40</v>
      </c>
      <c r="J1" s="2" t="s">
        <v>49</v>
      </c>
      <c r="K1" s="2" t="s">
        <v>42</v>
      </c>
      <c r="L1" s="2" t="s">
        <v>9</v>
      </c>
      <c r="M1" s="2" t="s">
        <v>37</v>
      </c>
      <c r="N1" s="2" t="s">
        <v>10</v>
      </c>
      <c r="O1" s="2" t="s">
        <v>11</v>
      </c>
      <c r="P1" s="2" t="s">
        <v>12</v>
      </c>
      <c r="Q1" s="3" t="s">
        <v>13</v>
      </c>
      <c r="R1" s="3" t="s">
        <v>14</v>
      </c>
      <c r="S1" s="3" t="s">
        <v>15</v>
      </c>
    </row>
    <row r="2">
      <c r="A2" s="4" t="s">
        <v>60</v>
      </c>
      <c r="B2" s="5">
        <v>4048.52</v>
      </c>
      <c r="C2" s="5">
        <v>855.57</v>
      </c>
      <c r="D2" s="5"/>
      <c r="E2" s="5"/>
      <c r="F2" s="5">
        <v>298.51</v>
      </c>
      <c r="G2" s="5"/>
      <c r="H2" s="5"/>
      <c r="I2" s="42">
        <v>561.0</v>
      </c>
      <c r="J2" s="5"/>
      <c r="K2" s="6"/>
      <c r="L2" s="6"/>
      <c r="M2" s="5"/>
      <c r="N2" s="5"/>
      <c r="O2" s="5"/>
      <c r="P2" s="6"/>
      <c r="Q2" s="7">
        <f t="shared" ref="Q2:Q6" si="1">SUM(B2:P2)</f>
        <v>5763.6</v>
      </c>
      <c r="R2" s="8"/>
      <c r="S2" s="59" t="str">
        <f t="shared" ref="S2:S7" si="2">Q2/R2</f>
        <v>#DIV/0!</v>
      </c>
    </row>
    <row r="3">
      <c r="A3" s="4" t="s">
        <v>16</v>
      </c>
      <c r="B3" s="5">
        <v>1258.75</v>
      </c>
      <c r="C3" s="5">
        <v>82.05</v>
      </c>
      <c r="D3" s="5"/>
      <c r="E3" s="5">
        <v>290.0</v>
      </c>
      <c r="F3" s="5">
        <v>1224.02</v>
      </c>
      <c r="G3" s="5">
        <v>49.5</v>
      </c>
      <c r="H3" s="5"/>
      <c r="I3" s="42"/>
      <c r="J3" s="5">
        <v>180.0</v>
      </c>
      <c r="K3" s="6"/>
      <c r="L3" s="6"/>
      <c r="M3" s="5"/>
      <c r="N3" s="5"/>
      <c r="O3" s="5">
        <v>100.0</v>
      </c>
      <c r="P3" s="6"/>
      <c r="Q3" s="7">
        <f t="shared" si="1"/>
        <v>3184.32</v>
      </c>
      <c r="R3" s="8">
        <v>9178.0</v>
      </c>
      <c r="S3" s="59">
        <f t="shared" si="2"/>
        <v>0.3469514055</v>
      </c>
    </row>
    <row r="4">
      <c r="A4" s="4" t="s">
        <v>17</v>
      </c>
      <c r="B4" s="5">
        <v>1054.62</v>
      </c>
      <c r="C4" s="5"/>
      <c r="D4" s="6"/>
      <c r="E4" s="6"/>
      <c r="F4" s="5"/>
      <c r="G4" s="5">
        <v>142.5</v>
      </c>
      <c r="H4" s="5"/>
      <c r="I4" s="5">
        <v>507.84</v>
      </c>
      <c r="J4" s="5"/>
      <c r="K4" s="5"/>
      <c r="L4" s="5"/>
      <c r="M4" s="5"/>
      <c r="N4" s="5">
        <v>58.9</v>
      </c>
      <c r="O4" s="6"/>
      <c r="P4" s="6"/>
      <c r="Q4" s="7">
        <f t="shared" si="1"/>
        <v>1763.86</v>
      </c>
      <c r="R4" s="8">
        <v>7985.0</v>
      </c>
      <c r="S4" s="59">
        <f t="shared" si="2"/>
        <v>0.2208966813</v>
      </c>
    </row>
    <row r="5">
      <c r="A5" s="4" t="s">
        <v>18</v>
      </c>
      <c r="B5" s="5">
        <v>2230.81</v>
      </c>
      <c r="C5" s="5">
        <v>528.45</v>
      </c>
      <c r="D5" s="6"/>
      <c r="E5" s="6"/>
      <c r="F5" s="5">
        <v>120.0</v>
      </c>
      <c r="G5" s="5"/>
      <c r="H5" s="5"/>
      <c r="I5" s="5"/>
      <c r="J5" s="5"/>
      <c r="K5" s="5"/>
      <c r="L5" s="6"/>
      <c r="M5" s="5"/>
      <c r="N5" s="5"/>
      <c r="O5" s="5">
        <v>100.0</v>
      </c>
      <c r="P5" s="5">
        <v>306.93</v>
      </c>
      <c r="Q5" s="7">
        <f t="shared" si="1"/>
        <v>3286.19</v>
      </c>
      <c r="R5" s="8">
        <v>14292.8</v>
      </c>
      <c r="S5" s="59">
        <f t="shared" si="2"/>
        <v>0.22991926</v>
      </c>
    </row>
    <row r="6">
      <c r="A6" s="4" t="s">
        <v>19</v>
      </c>
      <c r="B6" s="5">
        <v>1367.3</v>
      </c>
      <c r="C6" s="5">
        <v>381.18</v>
      </c>
      <c r="D6" s="5">
        <v>600.0</v>
      </c>
      <c r="E6" s="6"/>
      <c r="F6" s="5"/>
      <c r="G6" s="5">
        <v>71.0</v>
      </c>
      <c r="H6" s="5">
        <v>1132.12</v>
      </c>
      <c r="I6" s="6"/>
      <c r="J6" s="5"/>
      <c r="K6" s="5"/>
      <c r="L6" s="5">
        <v>972.5</v>
      </c>
      <c r="M6" s="5">
        <v>440.0</v>
      </c>
      <c r="N6" s="6"/>
      <c r="O6" s="6"/>
      <c r="P6" s="6"/>
      <c r="Q6" s="7">
        <f t="shared" si="1"/>
        <v>4964.1</v>
      </c>
      <c r="R6" s="8">
        <v>18043.26</v>
      </c>
      <c r="S6" s="59">
        <f t="shared" si="2"/>
        <v>0.2751221232</v>
      </c>
    </row>
    <row r="7">
      <c r="A7" s="4" t="s">
        <v>20</v>
      </c>
      <c r="B7" s="10" t="s">
        <v>21</v>
      </c>
      <c r="C7" s="10" t="s">
        <v>21</v>
      </c>
      <c r="D7" s="10" t="s">
        <v>21</v>
      </c>
      <c r="E7" s="10" t="s">
        <v>21</v>
      </c>
      <c r="F7" s="10" t="s">
        <v>21</v>
      </c>
      <c r="G7" s="10" t="s">
        <v>21</v>
      </c>
      <c r="H7" s="10" t="s">
        <v>21</v>
      </c>
      <c r="I7" s="10" t="s">
        <v>21</v>
      </c>
      <c r="J7" s="10" t="s">
        <v>21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7">
        <v>0.0</v>
      </c>
      <c r="R7" s="8">
        <v>21919.0</v>
      </c>
      <c r="S7" s="59">
        <f t="shared" si="2"/>
        <v>0</v>
      </c>
    </row>
    <row r="10">
      <c r="A10" s="4" t="s">
        <v>22</v>
      </c>
      <c r="B10" s="11">
        <v>14000.0</v>
      </c>
    </row>
    <row r="11">
      <c r="A11" s="4" t="s">
        <v>23</v>
      </c>
      <c r="B11" s="12">
        <f>SUM(B2:P7)+sum(B21:B24)</f>
        <v>21662.43</v>
      </c>
      <c r="E11" s="56"/>
    </row>
    <row r="12">
      <c r="A12" s="4" t="s">
        <v>24</v>
      </c>
      <c r="B12" s="12">
        <f> SUM(B10-B11)</f>
        <v>-7662.43</v>
      </c>
    </row>
    <row r="14">
      <c r="A14" s="13" t="s">
        <v>25</v>
      </c>
      <c r="B14" s="14">
        <f>SUM(R3:R7)</f>
        <v>71418.06</v>
      </c>
    </row>
    <row r="15">
      <c r="A15" s="13" t="s">
        <v>26</v>
      </c>
      <c r="B15" s="15">
        <f>B11/B14</f>
        <v>0.3033186564</v>
      </c>
    </row>
    <row r="18">
      <c r="A18" s="16" t="s">
        <v>27</v>
      </c>
      <c r="B18" s="17"/>
      <c r="C18" s="17"/>
      <c r="D18" s="18"/>
      <c r="G18" s="60" t="s">
        <v>61</v>
      </c>
      <c r="H18" s="61"/>
      <c r="I18" s="62"/>
    </row>
    <row r="19">
      <c r="A19" s="19" t="s">
        <v>28</v>
      </c>
      <c r="B19" s="20"/>
      <c r="C19" s="20"/>
      <c r="D19" s="21"/>
      <c r="G19" s="63" t="s">
        <v>62</v>
      </c>
      <c r="H19" s="63" t="s">
        <v>63</v>
      </c>
      <c r="I19" s="63" t="s">
        <v>64</v>
      </c>
    </row>
    <row r="20">
      <c r="A20" s="22" t="s">
        <v>29</v>
      </c>
      <c r="B20" s="23" t="s">
        <v>30</v>
      </c>
      <c r="C20" s="22" t="s">
        <v>31</v>
      </c>
      <c r="D20" s="24" t="s">
        <v>30</v>
      </c>
      <c r="G20" s="70">
        <v>44804.0</v>
      </c>
      <c r="H20" s="63" t="s">
        <v>65</v>
      </c>
      <c r="I20" s="63" t="s">
        <v>65</v>
      </c>
      <c r="J20" s="32"/>
    </row>
    <row r="21">
      <c r="A21" s="28" t="s">
        <v>69</v>
      </c>
      <c r="B21" s="41">
        <v>298.51</v>
      </c>
      <c r="C21" s="25"/>
      <c r="D21" s="27"/>
      <c r="G21" s="70">
        <v>44806.0</v>
      </c>
      <c r="H21" s="63" t="s">
        <v>70</v>
      </c>
      <c r="I21" s="63" t="s">
        <v>70</v>
      </c>
    </row>
    <row r="22">
      <c r="A22" s="28" t="s">
        <v>51</v>
      </c>
      <c r="B22" s="41">
        <v>441.51</v>
      </c>
      <c r="C22" s="25"/>
      <c r="D22" s="27"/>
      <c r="G22" s="65"/>
      <c r="H22" s="65"/>
      <c r="I22" s="65"/>
    </row>
    <row r="23">
      <c r="A23" s="57" t="s">
        <v>74</v>
      </c>
      <c r="B23" s="58">
        <v>895.0</v>
      </c>
      <c r="C23" s="25"/>
      <c r="D23" s="27"/>
      <c r="G23" s="65"/>
      <c r="H23" s="65"/>
      <c r="I23" s="65"/>
    </row>
    <row r="24">
      <c r="A24" s="28" t="s">
        <v>41</v>
      </c>
      <c r="B24" s="41">
        <v>1065.34</v>
      </c>
      <c r="C24" s="25"/>
      <c r="D24" s="27"/>
      <c r="G24" s="65"/>
      <c r="H24" s="65"/>
      <c r="I24" s="65"/>
    </row>
    <row r="25">
      <c r="A25" s="25"/>
      <c r="B25" s="26"/>
      <c r="C25" s="25"/>
      <c r="D25" s="27"/>
      <c r="G25" s="65"/>
      <c r="H25" s="65"/>
      <c r="I25" s="65"/>
    </row>
    <row r="26">
      <c r="A26" s="25"/>
      <c r="B26" s="26"/>
      <c r="C26" s="25"/>
      <c r="D26" s="27"/>
      <c r="G26" s="65"/>
      <c r="H26" s="65"/>
      <c r="I26" s="65"/>
    </row>
    <row r="27">
      <c r="A27" s="25"/>
      <c r="B27" s="26"/>
      <c r="C27" s="25"/>
      <c r="D27" s="27"/>
    </row>
    <row r="28">
      <c r="A28" s="25"/>
      <c r="B28" s="26"/>
      <c r="C28" s="25"/>
      <c r="D28" s="27"/>
      <c r="H28" s="66" t="s">
        <v>68</v>
      </c>
      <c r="I28" s="67"/>
    </row>
    <row r="29">
      <c r="A29" s="25"/>
      <c r="B29" s="26"/>
      <c r="C29" s="25"/>
      <c r="D29" s="27"/>
    </row>
    <row r="30">
      <c r="A30" s="25"/>
      <c r="B30" s="26"/>
      <c r="C30" s="25"/>
      <c r="D30" s="27"/>
    </row>
    <row r="31">
      <c r="A31" s="25"/>
      <c r="B31" s="26"/>
      <c r="C31" s="25"/>
      <c r="D31" s="27"/>
    </row>
    <row r="32">
      <c r="A32" s="25"/>
      <c r="B32" s="26"/>
      <c r="C32" s="25"/>
      <c r="D32" s="27"/>
    </row>
    <row r="33">
      <c r="A33" s="29" t="s">
        <v>35</v>
      </c>
      <c r="B33" s="30">
        <f>sum(B21:B32)</f>
        <v>2700.36</v>
      </c>
      <c r="C33" s="31"/>
      <c r="D33" s="30">
        <f>sum(D21:D32)</f>
        <v>0</v>
      </c>
    </row>
  </sheetData>
  <mergeCells count="1">
    <mergeCell ref="G18:I18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3" max="3" width="19.25"/>
    <col customWidth="1" min="4" max="4" width="13.13"/>
    <col customWidth="1" min="5" max="5" width="13.0"/>
    <col customWidth="1" min="8" max="9" width="16.63"/>
    <col customWidth="1" min="13" max="14" width="15.38"/>
    <col customWidth="1" min="17" max="17" width="12.5"/>
    <col customWidth="1" min="18" max="18" width="14.75"/>
    <col customWidth="1" min="19" max="19" width="13.0"/>
  </cols>
  <sheetData>
    <row r="1">
      <c r="A1" s="1"/>
      <c r="B1" s="2" t="s">
        <v>0</v>
      </c>
      <c r="C1" s="2" t="s">
        <v>1</v>
      </c>
      <c r="D1" s="2" t="s">
        <v>7</v>
      </c>
      <c r="E1" s="2" t="s">
        <v>3</v>
      </c>
      <c r="F1" s="2" t="s">
        <v>5</v>
      </c>
      <c r="G1" s="2" t="s">
        <v>6</v>
      </c>
      <c r="H1" s="2" t="s">
        <v>43</v>
      </c>
      <c r="I1" s="2" t="s">
        <v>40</v>
      </c>
      <c r="J1" s="2" t="s">
        <v>49</v>
      </c>
      <c r="K1" s="2" t="s">
        <v>42</v>
      </c>
      <c r="L1" s="2" t="s">
        <v>9</v>
      </c>
      <c r="M1" s="2" t="s">
        <v>37</v>
      </c>
      <c r="N1" s="2" t="s">
        <v>10</v>
      </c>
      <c r="O1" s="2" t="s">
        <v>11</v>
      </c>
      <c r="P1" s="2" t="s">
        <v>12</v>
      </c>
      <c r="Q1" s="3" t="s">
        <v>13</v>
      </c>
      <c r="R1" s="3" t="s">
        <v>14</v>
      </c>
      <c r="S1" s="3" t="s">
        <v>15</v>
      </c>
    </row>
    <row r="2">
      <c r="A2" s="4" t="s">
        <v>60</v>
      </c>
      <c r="B2" s="5">
        <v>3362.87</v>
      </c>
      <c r="C2" s="5"/>
      <c r="D2" s="5"/>
      <c r="E2" s="5"/>
      <c r="F2" s="5">
        <v>459.15</v>
      </c>
      <c r="G2" s="5"/>
      <c r="H2" s="5"/>
      <c r="I2" s="42">
        <v>1065.34</v>
      </c>
      <c r="J2" s="5"/>
      <c r="K2" s="6"/>
      <c r="L2" s="6"/>
      <c r="M2" s="5"/>
      <c r="N2" s="5"/>
      <c r="O2" s="5"/>
      <c r="P2" s="6"/>
      <c r="Q2" s="7">
        <f t="shared" ref="Q2:Q6" si="1">SUM(B2:P2)</f>
        <v>4887.36</v>
      </c>
      <c r="R2" s="8"/>
      <c r="S2" s="69" t="str">
        <f t="shared" ref="S2:S7" si="2">Q2/R2</f>
        <v>#DIV/0!</v>
      </c>
    </row>
    <row r="3">
      <c r="A3" s="4" t="s">
        <v>16</v>
      </c>
      <c r="B3" s="5">
        <v>1263.4</v>
      </c>
      <c r="C3" s="5">
        <v>767.89</v>
      </c>
      <c r="D3" s="5"/>
      <c r="E3" s="5">
        <v>390.0</v>
      </c>
      <c r="F3" s="5">
        <v>884.9</v>
      </c>
      <c r="G3" s="5">
        <v>49.5</v>
      </c>
      <c r="H3" s="5"/>
      <c r="I3" s="42"/>
      <c r="J3" s="5">
        <v>180.0</v>
      </c>
      <c r="K3" s="5">
        <v>326.99</v>
      </c>
      <c r="L3" s="6"/>
      <c r="M3" s="5"/>
      <c r="N3" s="5"/>
      <c r="O3" s="5">
        <v>100.0</v>
      </c>
      <c r="P3" s="6"/>
      <c r="Q3" s="7">
        <f t="shared" si="1"/>
        <v>3962.68</v>
      </c>
      <c r="R3" s="8">
        <v>11182.98</v>
      </c>
      <c r="S3" s="59">
        <f t="shared" si="2"/>
        <v>0.3543491985</v>
      </c>
    </row>
    <row r="4">
      <c r="A4" s="4" t="s">
        <v>17</v>
      </c>
      <c r="B4" s="5">
        <v>1331.79</v>
      </c>
      <c r="C4" s="5"/>
      <c r="D4" s="6"/>
      <c r="E4" s="6"/>
      <c r="F4" s="5"/>
      <c r="G4" s="5"/>
      <c r="H4" s="5"/>
      <c r="I4" s="5"/>
      <c r="J4" s="5"/>
      <c r="K4" s="5"/>
      <c r="L4" s="5"/>
      <c r="M4" s="5"/>
      <c r="N4" s="5">
        <v>64.0</v>
      </c>
      <c r="O4" s="6"/>
      <c r="P4" s="6"/>
      <c r="Q4" s="7">
        <f t="shared" si="1"/>
        <v>1395.79</v>
      </c>
      <c r="R4" s="8">
        <v>7765.5</v>
      </c>
      <c r="S4" s="59">
        <f t="shared" si="2"/>
        <v>0.1797424506</v>
      </c>
    </row>
    <row r="5">
      <c r="A5" s="4" t="s">
        <v>18</v>
      </c>
      <c r="B5" s="5">
        <v>1928.48</v>
      </c>
      <c r="C5" s="5">
        <v>673.95</v>
      </c>
      <c r="D5" s="6"/>
      <c r="E5" s="6"/>
      <c r="F5" s="5">
        <v>284.9</v>
      </c>
      <c r="G5" s="5">
        <v>142.5</v>
      </c>
      <c r="H5" s="5"/>
      <c r="I5" s="5"/>
      <c r="J5" s="5"/>
      <c r="K5" s="5">
        <v>100.66</v>
      </c>
      <c r="L5" s="6"/>
      <c r="M5" s="5">
        <v>440.0</v>
      </c>
      <c r="N5" s="5"/>
      <c r="O5" s="5">
        <v>100.0</v>
      </c>
      <c r="P5" s="5">
        <v>306.93</v>
      </c>
      <c r="Q5" s="7">
        <f t="shared" si="1"/>
        <v>3977.42</v>
      </c>
      <c r="R5" s="8">
        <v>13255.0</v>
      </c>
      <c r="S5" s="59">
        <f t="shared" si="2"/>
        <v>0.3000694078</v>
      </c>
    </row>
    <row r="6">
      <c r="A6" s="4" t="s">
        <v>19</v>
      </c>
      <c r="B6" s="5">
        <v>2049.67</v>
      </c>
      <c r="C6" s="5">
        <v>197.24</v>
      </c>
      <c r="D6" s="44">
        <v>600.0</v>
      </c>
      <c r="E6" s="6"/>
      <c r="F6" s="5"/>
      <c r="G6" s="5">
        <v>33.0</v>
      </c>
      <c r="H6" s="5">
        <v>716.37</v>
      </c>
      <c r="I6" s="6"/>
      <c r="J6" s="5"/>
      <c r="K6" s="5"/>
      <c r="L6" s="5">
        <v>1482.2</v>
      </c>
      <c r="M6" s="6"/>
      <c r="N6" s="6"/>
      <c r="O6" s="6"/>
      <c r="P6" s="6"/>
      <c r="Q6" s="7">
        <f t="shared" si="1"/>
        <v>5078.48</v>
      </c>
      <c r="R6" s="8">
        <v>17911.9</v>
      </c>
      <c r="S6" s="59">
        <f t="shared" si="2"/>
        <v>0.2835254775</v>
      </c>
    </row>
    <row r="7">
      <c r="A7" s="4" t="s">
        <v>20</v>
      </c>
      <c r="B7" s="10" t="s">
        <v>21</v>
      </c>
      <c r="C7" s="10" t="s">
        <v>21</v>
      </c>
      <c r="D7" s="10" t="s">
        <v>21</v>
      </c>
      <c r="E7" s="10" t="s">
        <v>21</v>
      </c>
      <c r="F7" s="10" t="s">
        <v>21</v>
      </c>
      <c r="G7" s="10" t="s">
        <v>21</v>
      </c>
      <c r="H7" s="10" t="s">
        <v>21</v>
      </c>
      <c r="I7" s="10" t="s">
        <v>21</v>
      </c>
      <c r="J7" s="10" t="s">
        <v>21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7">
        <v>0.0</v>
      </c>
      <c r="R7" s="8">
        <v>11186.2</v>
      </c>
      <c r="S7" s="59">
        <f t="shared" si="2"/>
        <v>0</v>
      </c>
    </row>
    <row r="10">
      <c r="A10" s="4" t="s">
        <v>22</v>
      </c>
      <c r="B10" s="11">
        <v>14000.0</v>
      </c>
    </row>
    <row r="11">
      <c r="A11" s="4" t="s">
        <v>23</v>
      </c>
      <c r="B11" s="12">
        <f>SUM(B2:P7)</f>
        <v>19301.73</v>
      </c>
      <c r="E11" s="56"/>
    </row>
    <row r="12">
      <c r="A12" s="4" t="s">
        <v>24</v>
      </c>
      <c r="B12" s="12">
        <f> SUM(B10-B11)</f>
        <v>-5301.73</v>
      </c>
    </row>
    <row r="14">
      <c r="A14" s="13" t="s">
        <v>25</v>
      </c>
      <c r="B14" s="14">
        <f>SUM(R3:R7)</f>
        <v>61301.58</v>
      </c>
    </row>
    <row r="15">
      <c r="A15" s="13" t="s">
        <v>26</v>
      </c>
      <c r="B15" s="15">
        <f>B11/B14</f>
        <v>0.3148651307</v>
      </c>
    </row>
    <row r="18">
      <c r="A18" s="16" t="s">
        <v>27</v>
      </c>
      <c r="B18" s="17"/>
      <c r="C18" s="17"/>
      <c r="D18" s="18"/>
      <c r="G18" s="60" t="s">
        <v>61</v>
      </c>
      <c r="H18" s="61"/>
      <c r="I18" s="62"/>
    </row>
    <row r="19">
      <c r="A19" s="19" t="s">
        <v>28</v>
      </c>
      <c r="B19" s="20"/>
      <c r="C19" s="20"/>
      <c r="D19" s="21"/>
      <c r="G19" s="63" t="s">
        <v>62</v>
      </c>
      <c r="H19" s="63" t="s">
        <v>63</v>
      </c>
      <c r="I19" s="63" t="s">
        <v>64</v>
      </c>
    </row>
    <row r="20">
      <c r="A20" s="22" t="s">
        <v>29</v>
      </c>
      <c r="B20" s="23" t="s">
        <v>30</v>
      </c>
      <c r="C20" s="22" t="s">
        <v>31</v>
      </c>
      <c r="D20" s="24" t="s">
        <v>30</v>
      </c>
      <c r="G20" s="64">
        <v>44811.0</v>
      </c>
      <c r="H20" s="63" t="s">
        <v>75</v>
      </c>
      <c r="I20" s="63" t="s">
        <v>75</v>
      </c>
      <c r="J20" s="32"/>
    </row>
    <row r="21">
      <c r="A21" s="28" t="s">
        <v>69</v>
      </c>
      <c r="B21" s="41">
        <v>459.13</v>
      </c>
      <c r="C21" s="25"/>
      <c r="D21" s="27"/>
      <c r="G21" s="65"/>
      <c r="H21" s="65"/>
      <c r="I21" s="65"/>
    </row>
    <row r="22">
      <c r="A22" s="28" t="s">
        <v>41</v>
      </c>
      <c r="B22" s="41">
        <v>1065.35</v>
      </c>
      <c r="C22" s="25"/>
      <c r="D22" s="27"/>
      <c r="G22" s="65"/>
      <c r="H22" s="65"/>
      <c r="I22" s="65"/>
    </row>
    <row r="23">
      <c r="A23" s="57"/>
      <c r="B23" s="58"/>
      <c r="C23" s="25"/>
      <c r="D23" s="27"/>
      <c r="G23" s="65"/>
      <c r="H23" s="65"/>
      <c r="I23" s="65"/>
    </row>
    <row r="24">
      <c r="A24" s="28"/>
      <c r="B24" s="26"/>
      <c r="C24" s="25"/>
      <c r="D24" s="27"/>
      <c r="G24" s="65"/>
      <c r="H24" s="65"/>
      <c r="I24" s="65"/>
    </row>
    <row r="25">
      <c r="A25" s="25"/>
      <c r="B25" s="26"/>
      <c r="C25" s="25"/>
      <c r="D25" s="27"/>
      <c r="G25" s="65"/>
      <c r="H25" s="65"/>
      <c r="I25" s="65"/>
    </row>
    <row r="26">
      <c r="A26" s="25"/>
      <c r="B26" s="26"/>
      <c r="C26" s="25"/>
      <c r="D26" s="27"/>
      <c r="G26" s="65"/>
      <c r="H26" s="65"/>
      <c r="I26" s="65"/>
    </row>
    <row r="27">
      <c r="A27" s="25"/>
      <c r="B27" s="26"/>
      <c r="C27" s="25"/>
      <c r="D27" s="27"/>
    </row>
    <row r="28">
      <c r="A28" s="25"/>
      <c r="B28" s="26"/>
      <c r="C28" s="25"/>
      <c r="D28" s="27"/>
      <c r="H28" s="66" t="s">
        <v>68</v>
      </c>
      <c r="I28" s="67"/>
    </row>
    <row r="29">
      <c r="A29" s="25"/>
      <c r="B29" s="26"/>
      <c r="C29" s="25"/>
      <c r="D29" s="27"/>
    </row>
    <row r="30">
      <c r="A30" s="25"/>
      <c r="B30" s="26"/>
      <c r="C30" s="25"/>
      <c r="D30" s="27"/>
    </row>
    <row r="31">
      <c r="A31" s="25"/>
      <c r="B31" s="26"/>
      <c r="C31" s="25"/>
      <c r="D31" s="27"/>
    </row>
    <row r="32">
      <c r="A32" s="25"/>
      <c r="B32" s="26"/>
      <c r="C32" s="25"/>
      <c r="D32" s="27"/>
    </row>
    <row r="33">
      <c r="A33" s="29" t="s">
        <v>35</v>
      </c>
      <c r="B33" s="30">
        <f>sum(B21:B32)</f>
        <v>1524.48</v>
      </c>
      <c r="C33" s="31"/>
      <c r="D33" s="30">
        <f>sum(D21:D32)</f>
        <v>0</v>
      </c>
    </row>
  </sheetData>
  <mergeCells count="1">
    <mergeCell ref="G18:I18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</cols>
  <sheetData>
    <row r="1">
      <c r="A1" s="1"/>
      <c r="B1" s="2" t="s">
        <v>0</v>
      </c>
      <c r="C1" s="2" t="s">
        <v>1</v>
      </c>
      <c r="D1" s="2" t="s">
        <v>7</v>
      </c>
      <c r="E1" s="2" t="s">
        <v>3</v>
      </c>
      <c r="F1" s="2" t="s">
        <v>5</v>
      </c>
      <c r="G1" s="2" t="s">
        <v>6</v>
      </c>
      <c r="H1" s="2" t="s">
        <v>43</v>
      </c>
      <c r="I1" s="2" t="s">
        <v>40</v>
      </c>
      <c r="J1" s="2" t="s">
        <v>49</v>
      </c>
      <c r="K1" s="2" t="s">
        <v>42</v>
      </c>
      <c r="L1" s="2" t="s">
        <v>9</v>
      </c>
      <c r="M1" s="2" t="s">
        <v>37</v>
      </c>
      <c r="N1" s="2" t="s">
        <v>10</v>
      </c>
      <c r="O1" s="2" t="s">
        <v>11</v>
      </c>
      <c r="P1" s="2" t="s">
        <v>12</v>
      </c>
      <c r="Q1" s="3" t="s">
        <v>13</v>
      </c>
      <c r="R1" s="3" t="s">
        <v>14</v>
      </c>
      <c r="S1" s="3" t="s">
        <v>15</v>
      </c>
    </row>
    <row r="2">
      <c r="A2" s="4" t="s">
        <v>60</v>
      </c>
      <c r="B2" s="5">
        <v>3745.04</v>
      </c>
      <c r="C2" s="5">
        <v>511.22</v>
      </c>
      <c r="D2" s="5"/>
      <c r="E2" s="5"/>
      <c r="F2" s="5"/>
      <c r="G2" s="5"/>
      <c r="H2" s="5"/>
      <c r="I2" s="42">
        <v>696.7</v>
      </c>
      <c r="J2" s="5"/>
      <c r="K2" s="6"/>
      <c r="L2" s="6"/>
      <c r="M2" s="5"/>
      <c r="N2" s="5"/>
      <c r="O2" s="5"/>
      <c r="P2" s="6"/>
      <c r="Q2" s="7">
        <f t="shared" ref="Q2:Q6" si="1">SUM(B2:P2)</f>
        <v>4952.96</v>
      </c>
      <c r="R2" s="8">
        <v>13096.56</v>
      </c>
      <c r="S2" s="59">
        <f t="shared" ref="S2:S7" si="2">Q2/R2</f>
        <v>0.37818786</v>
      </c>
    </row>
    <row r="3">
      <c r="A3" s="4" t="s">
        <v>16</v>
      </c>
      <c r="B3" s="5">
        <v>1080.82</v>
      </c>
      <c r="C3" s="5">
        <v>432.52</v>
      </c>
      <c r="D3" s="5"/>
      <c r="E3" s="5">
        <v>390.0</v>
      </c>
      <c r="F3" s="5"/>
      <c r="G3" s="5">
        <v>49.5</v>
      </c>
      <c r="H3" s="5"/>
      <c r="I3" s="42"/>
      <c r="J3" s="5">
        <v>180.0</v>
      </c>
      <c r="K3" s="5"/>
      <c r="L3" s="6"/>
      <c r="M3" s="5"/>
      <c r="N3" s="5"/>
      <c r="O3" s="5">
        <v>100.0</v>
      </c>
      <c r="P3" s="6"/>
      <c r="Q3" s="7">
        <f t="shared" si="1"/>
        <v>2232.84</v>
      </c>
      <c r="R3" s="8">
        <v>23246.0</v>
      </c>
      <c r="S3" s="59">
        <f t="shared" si="2"/>
        <v>0.09605265422</v>
      </c>
    </row>
    <row r="4">
      <c r="A4" s="4" t="s">
        <v>17</v>
      </c>
      <c r="B4" s="5"/>
      <c r="C4" s="5"/>
      <c r="D4" s="6"/>
      <c r="E4" s="6"/>
      <c r="F4" s="5"/>
      <c r="G4" s="5"/>
      <c r="H4" s="5"/>
      <c r="I4" s="5"/>
      <c r="J4" s="5"/>
      <c r="K4" s="5"/>
      <c r="L4" s="5"/>
      <c r="M4" s="5"/>
      <c r="N4" s="5"/>
      <c r="O4" s="6"/>
      <c r="P4" s="6"/>
      <c r="Q4" s="7">
        <f t="shared" si="1"/>
        <v>0</v>
      </c>
      <c r="R4" s="8"/>
      <c r="S4" s="59" t="str">
        <f t="shared" si="2"/>
        <v>#DIV/0!</v>
      </c>
    </row>
    <row r="5">
      <c r="A5" s="4" t="s">
        <v>18</v>
      </c>
      <c r="B5" s="5">
        <v>2387.65</v>
      </c>
      <c r="C5" s="5"/>
      <c r="D5" s="6"/>
      <c r="E5" s="6"/>
      <c r="F5" s="5">
        <v>764.9</v>
      </c>
      <c r="G5" s="5">
        <v>142.5</v>
      </c>
      <c r="H5" s="5"/>
      <c r="I5" s="5"/>
      <c r="J5" s="5"/>
      <c r="K5" s="5"/>
      <c r="L5" s="6"/>
      <c r="M5" s="5">
        <v>440.0</v>
      </c>
      <c r="N5" s="5">
        <v>72.9</v>
      </c>
      <c r="O5" s="5">
        <v>100.0</v>
      </c>
      <c r="P5" s="5">
        <v>302.37</v>
      </c>
      <c r="Q5" s="7">
        <f t="shared" si="1"/>
        <v>4210.32</v>
      </c>
      <c r="R5" s="8">
        <v>13789.26</v>
      </c>
      <c r="S5" s="59">
        <f t="shared" si="2"/>
        <v>0.3053332811</v>
      </c>
    </row>
    <row r="6">
      <c r="A6" s="4" t="s">
        <v>19</v>
      </c>
      <c r="B6" s="5">
        <v>1348.79</v>
      </c>
      <c r="C6" s="5">
        <v>610.44</v>
      </c>
      <c r="D6" s="5">
        <v>473.0</v>
      </c>
      <c r="E6" s="6"/>
      <c r="F6" s="5"/>
      <c r="G6" s="5"/>
      <c r="H6" s="5">
        <v>943.7</v>
      </c>
      <c r="I6" s="6"/>
      <c r="J6" s="5"/>
      <c r="K6" s="5"/>
      <c r="L6" s="5">
        <v>577.0</v>
      </c>
      <c r="M6" s="6"/>
      <c r="N6" s="6"/>
      <c r="O6" s="6"/>
      <c r="P6" s="6"/>
      <c r="Q6" s="7">
        <f t="shared" si="1"/>
        <v>3952.93</v>
      </c>
      <c r="R6" s="8">
        <v>17199.04</v>
      </c>
      <c r="S6" s="59">
        <f t="shared" si="2"/>
        <v>0.2298343396</v>
      </c>
    </row>
    <row r="7">
      <c r="A7" s="4" t="s">
        <v>20</v>
      </c>
      <c r="B7" s="10" t="s">
        <v>21</v>
      </c>
      <c r="C7" s="10" t="s">
        <v>21</v>
      </c>
      <c r="D7" s="10" t="s">
        <v>21</v>
      </c>
      <c r="E7" s="10" t="s">
        <v>21</v>
      </c>
      <c r="F7" s="10" t="s">
        <v>21</v>
      </c>
      <c r="G7" s="10" t="s">
        <v>21</v>
      </c>
      <c r="H7" s="10" t="s">
        <v>21</v>
      </c>
      <c r="I7" s="10" t="s">
        <v>21</v>
      </c>
      <c r="J7" s="10" t="s">
        <v>21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7">
        <v>0.0</v>
      </c>
      <c r="R7" s="8">
        <v>16078.0</v>
      </c>
      <c r="S7" s="59">
        <f t="shared" si="2"/>
        <v>0</v>
      </c>
    </row>
    <row r="8">
      <c r="A8" s="73" t="s">
        <v>71</v>
      </c>
      <c r="B8" s="33">
        <v>8338.39</v>
      </c>
      <c r="C8" s="33">
        <v>1188.51</v>
      </c>
      <c r="D8" s="33">
        <v>473.0</v>
      </c>
      <c r="E8" s="32">
        <v>390.0</v>
      </c>
      <c r="F8" s="32">
        <v>764.9</v>
      </c>
      <c r="G8" s="32">
        <v>225.0</v>
      </c>
      <c r="H8" s="32">
        <v>1518.7</v>
      </c>
      <c r="I8" s="33">
        <v>2147.46</v>
      </c>
      <c r="J8" s="33">
        <v>180.0</v>
      </c>
      <c r="L8" s="32">
        <v>577.0</v>
      </c>
      <c r="M8" s="32">
        <v>440.0</v>
      </c>
      <c r="P8" s="33">
        <v>221.94</v>
      </c>
    </row>
    <row r="9">
      <c r="B9" s="38">
        <f t="shared" ref="B9:M9" si="3">sum(B2:B6)-B8</f>
        <v>223.91</v>
      </c>
      <c r="C9" s="38">
        <f t="shared" si="3"/>
        <v>365.67</v>
      </c>
      <c r="D9" s="38">
        <f t="shared" si="3"/>
        <v>0</v>
      </c>
      <c r="E9" s="38">
        <f t="shared" si="3"/>
        <v>0</v>
      </c>
      <c r="F9" s="38">
        <f t="shared" si="3"/>
        <v>0</v>
      </c>
      <c r="G9" s="38">
        <f t="shared" si="3"/>
        <v>-33</v>
      </c>
      <c r="H9" s="38">
        <f t="shared" si="3"/>
        <v>-575</v>
      </c>
      <c r="I9" s="38">
        <f t="shared" si="3"/>
        <v>-1450.76</v>
      </c>
      <c r="J9" s="38">
        <f t="shared" si="3"/>
        <v>0</v>
      </c>
      <c r="K9" s="38">
        <f t="shared" si="3"/>
        <v>0</v>
      </c>
      <c r="L9" s="38">
        <f t="shared" si="3"/>
        <v>0</v>
      </c>
      <c r="M9" s="38">
        <f t="shared" si="3"/>
        <v>0</v>
      </c>
      <c r="O9" s="38">
        <f t="shared" ref="O9:P9" si="4">sum(O2:O6)-O8</f>
        <v>200</v>
      </c>
      <c r="P9" s="38">
        <f t="shared" si="4"/>
        <v>80.43</v>
      </c>
      <c r="Q9" s="68">
        <f>0-Q8</f>
        <v>0</v>
      </c>
    </row>
    <row r="10">
      <c r="A10" s="4" t="s">
        <v>22</v>
      </c>
      <c r="B10" s="11">
        <v>12000.0</v>
      </c>
    </row>
    <row r="11">
      <c r="A11" s="4" t="s">
        <v>23</v>
      </c>
      <c r="B11" s="12">
        <f>SUM(B2:P7)</f>
        <v>15349.05</v>
      </c>
      <c r="E11" s="56"/>
      <c r="L11" s="32"/>
      <c r="M11" s="32"/>
    </row>
    <row r="12">
      <c r="A12" s="4" t="s">
        <v>24</v>
      </c>
      <c r="B12" s="12">
        <f> SUM(B10-B11)</f>
        <v>-3349.05</v>
      </c>
    </row>
    <row r="14">
      <c r="A14" s="13" t="s">
        <v>25</v>
      </c>
      <c r="B14" s="14">
        <f>SUM(R3:R7)</f>
        <v>70312.3</v>
      </c>
    </row>
    <row r="15">
      <c r="A15" s="13" t="s">
        <v>26</v>
      </c>
      <c r="B15" s="15">
        <f>B11/B14</f>
        <v>0.2182982209</v>
      </c>
    </row>
    <row r="18">
      <c r="A18" s="16" t="s">
        <v>27</v>
      </c>
      <c r="B18" s="17"/>
      <c r="C18" s="17"/>
      <c r="D18" s="18"/>
      <c r="G18" s="60" t="s">
        <v>61</v>
      </c>
      <c r="H18" s="61"/>
      <c r="I18" s="62"/>
    </row>
    <row r="19">
      <c r="A19" s="19" t="s">
        <v>28</v>
      </c>
      <c r="B19" s="20"/>
      <c r="C19" s="20"/>
      <c r="D19" s="21"/>
      <c r="G19" s="63" t="s">
        <v>62</v>
      </c>
      <c r="H19" s="63" t="s">
        <v>63</v>
      </c>
      <c r="I19" s="63" t="s">
        <v>64</v>
      </c>
    </row>
    <row r="20">
      <c r="A20" s="22" t="s">
        <v>29</v>
      </c>
      <c r="B20" s="23" t="s">
        <v>30</v>
      </c>
      <c r="C20" s="22" t="s">
        <v>31</v>
      </c>
      <c r="D20" s="24" t="s">
        <v>30</v>
      </c>
      <c r="G20" s="64">
        <v>44827.0</v>
      </c>
      <c r="H20" s="63" t="s">
        <v>65</v>
      </c>
      <c r="I20" s="63" t="s">
        <v>65</v>
      </c>
      <c r="J20" s="32"/>
    </row>
    <row r="21">
      <c r="A21" s="28" t="s">
        <v>51</v>
      </c>
      <c r="B21" s="41">
        <v>511.12</v>
      </c>
      <c r="C21" s="25"/>
      <c r="D21" s="27"/>
      <c r="G21" s="65"/>
      <c r="H21" s="65"/>
      <c r="I21" s="65"/>
    </row>
    <row r="22">
      <c r="A22" s="28" t="s">
        <v>41</v>
      </c>
      <c r="B22" s="41">
        <v>1061.84</v>
      </c>
      <c r="C22" s="25"/>
      <c r="D22" s="27"/>
      <c r="G22" s="65"/>
      <c r="H22" s="65"/>
      <c r="I22" s="65"/>
    </row>
    <row r="23">
      <c r="A23" s="71"/>
      <c r="B23" s="72"/>
      <c r="C23" s="25"/>
      <c r="D23" s="27"/>
      <c r="G23" s="65"/>
      <c r="H23" s="65"/>
      <c r="I23" s="65"/>
    </row>
    <row r="24">
      <c r="A24" s="28"/>
      <c r="B24" s="26"/>
      <c r="C24" s="25"/>
      <c r="D24" s="27"/>
      <c r="G24" s="65"/>
      <c r="H24" s="65"/>
      <c r="I24" s="65"/>
    </row>
    <row r="25">
      <c r="A25" s="25"/>
      <c r="B25" s="26"/>
      <c r="C25" s="25"/>
      <c r="D25" s="27"/>
      <c r="G25" s="65"/>
      <c r="H25" s="65"/>
      <c r="I25" s="65"/>
    </row>
    <row r="26">
      <c r="A26" s="25"/>
      <c r="B26" s="26"/>
      <c r="C26" s="25"/>
      <c r="D26" s="27"/>
      <c r="G26" s="65"/>
      <c r="H26" s="65"/>
      <c r="I26" s="65"/>
    </row>
    <row r="27">
      <c r="A27" s="25"/>
      <c r="B27" s="26"/>
      <c r="C27" s="25"/>
      <c r="D27" s="27"/>
    </row>
    <row r="28">
      <c r="A28" s="25"/>
      <c r="B28" s="26"/>
      <c r="C28" s="25"/>
      <c r="D28" s="27"/>
      <c r="H28" s="66" t="s">
        <v>68</v>
      </c>
      <c r="I28" s="67"/>
    </row>
    <row r="29">
      <c r="A29" s="25"/>
      <c r="B29" s="26"/>
      <c r="C29" s="25"/>
      <c r="D29" s="27"/>
    </row>
    <row r="30">
      <c r="A30" s="25"/>
      <c r="B30" s="26"/>
      <c r="C30" s="25"/>
      <c r="D30" s="27"/>
    </row>
    <row r="31">
      <c r="A31" s="25"/>
      <c r="B31" s="26"/>
      <c r="C31" s="25"/>
      <c r="D31" s="27"/>
    </row>
    <row r="32">
      <c r="A32" s="25"/>
      <c r="B32" s="26"/>
      <c r="C32" s="25"/>
      <c r="D32" s="27"/>
    </row>
    <row r="33">
      <c r="A33" s="29" t="s">
        <v>35</v>
      </c>
      <c r="B33" s="30">
        <f>sum(B21:B32)</f>
        <v>1572.96</v>
      </c>
      <c r="C33" s="31"/>
      <c r="D33" s="30">
        <f>sum(D21:D32)</f>
        <v>0</v>
      </c>
    </row>
  </sheetData>
  <mergeCells count="1">
    <mergeCell ref="G18:I18"/>
  </mergeCells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</cols>
  <sheetData>
    <row r="1">
      <c r="A1" s="1"/>
      <c r="B1" s="2" t="s">
        <v>0</v>
      </c>
      <c r="C1" s="2" t="s">
        <v>1</v>
      </c>
      <c r="D1" s="2" t="s">
        <v>7</v>
      </c>
      <c r="E1" s="2" t="s">
        <v>3</v>
      </c>
      <c r="F1" s="2" t="s">
        <v>5</v>
      </c>
      <c r="G1" s="2" t="s">
        <v>6</v>
      </c>
      <c r="H1" s="2" t="s">
        <v>43</v>
      </c>
      <c r="I1" s="2" t="s">
        <v>40</v>
      </c>
      <c r="J1" s="2" t="s">
        <v>49</v>
      </c>
      <c r="K1" s="2" t="s">
        <v>42</v>
      </c>
      <c r="L1" s="2" t="s">
        <v>9</v>
      </c>
      <c r="M1" s="2" t="s">
        <v>37</v>
      </c>
      <c r="N1" s="2" t="s">
        <v>10</v>
      </c>
      <c r="O1" s="2" t="s">
        <v>11</v>
      </c>
      <c r="P1" s="2" t="s">
        <v>12</v>
      </c>
      <c r="Q1" s="3" t="s">
        <v>13</v>
      </c>
      <c r="R1" s="3" t="s">
        <v>14</v>
      </c>
      <c r="S1" s="3" t="s">
        <v>15</v>
      </c>
    </row>
    <row r="2">
      <c r="A2" s="4" t="s">
        <v>38</v>
      </c>
      <c r="B2" s="5">
        <v>2822.86</v>
      </c>
      <c r="C2" s="5">
        <v>444.21</v>
      </c>
      <c r="D2" s="5"/>
      <c r="E2" s="5"/>
      <c r="F2" s="5"/>
      <c r="G2" s="5"/>
      <c r="H2" s="5"/>
      <c r="I2" s="42"/>
      <c r="J2" s="5"/>
      <c r="K2" s="6"/>
      <c r="L2" s="6"/>
      <c r="M2" s="5"/>
      <c r="N2" s="5"/>
      <c r="O2" s="5"/>
      <c r="P2" s="6"/>
      <c r="Q2" s="7">
        <f t="shared" ref="Q2:Q7" si="1">SUM(B2:P2)</f>
        <v>3267.07</v>
      </c>
      <c r="R2" s="8">
        <v>5074.85</v>
      </c>
      <c r="S2" s="59">
        <f t="shared" ref="S2:S8" si="2">Q2/R2</f>
        <v>0.6437766633</v>
      </c>
    </row>
    <row r="3">
      <c r="A3" s="4" t="s">
        <v>60</v>
      </c>
      <c r="B3" s="5">
        <v>1615.02</v>
      </c>
      <c r="C3" s="5"/>
      <c r="D3" s="5"/>
      <c r="E3" s="5"/>
      <c r="F3" s="5">
        <v>566.65</v>
      </c>
      <c r="G3" s="5"/>
      <c r="H3" s="5"/>
      <c r="I3" s="42">
        <v>1061.84</v>
      </c>
      <c r="J3" s="5"/>
      <c r="K3" s="6"/>
      <c r="L3" s="6"/>
      <c r="M3" s="5"/>
      <c r="N3" s="5"/>
      <c r="O3" s="5"/>
      <c r="P3" s="6"/>
      <c r="Q3" s="7">
        <f t="shared" si="1"/>
        <v>3243.51</v>
      </c>
      <c r="R3" s="8">
        <v>4921.0</v>
      </c>
      <c r="S3" s="59">
        <f t="shared" si="2"/>
        <v>0.6591160333</v>
      </c>
    </row>
    <row r="4">
      <c r="A4" s="4" t="s">
        <v>16</v>
      </c>
      <c r="B4" s="5">
        <v>1946.22</v>
      </c>
      <c r="C4" s="5">
        <v>344.86</v>
      </c>
      <c r="D4" s="5"/>
      <c r="E4" s="5">
        <v>390.0</v>
      </c>
      <c r="F4" s="5">
        <v>240.0</v>
      </c>
      <c r="G4" s="5">
        <v>49.5</v>
      </c>
      <c r="H4" s="5"/>
      <c r="I4" s="42"/>
      <c r="J4" s="5">
        <v>180.0</v>
      </c>
      <c r="K4" s="5"/>
      <c r="L4" s="6"/>
      <c r="M4" s="5"/>
      <c r="N4" s="5">
        <v>85.0</v>
      </c>
      <c r="O4" s="5">
        <v>100.0</v>
      </c>
      <c r="P4" s="6"/>
      <c r="Q4" s="7">
        <f t="shared" si="1"/>
        <v>3335.58</v>
      </c>
      <c r="R4" s="8">
        <v>7563.4</v>
      </c>
      <c r="S4" s="59">
        <f t="shared" si="2"/>
        <v>0.4410159452</v>
      </c>
    </row>
    <row r="5">
      <c r="A5" s="4" t="s">
        <v>17</v>
      </c>
      <c r="B5" s="5">
        <v>1896.93</v>
      </c>
      <c r="C5" s="5">
        <v>318.91</v>
      </c>
      <c r="D5" s="6"/>
      <c r="E5" s="6"/>
      <c r="F5" s="5"/>
      <c r="G5" s="5"/>
      <c r="H5" s="5"/>
      <c r="I5" s="5"/>
      <c r="J5" s="5"/>
      <c r="K5" s="5"/>
      <c r="L5" s="5"/>
      <c r="M5" s="5"/>
      <c r="N5" s="5"/>
      <c r="O5" s="6"/>
      <c r="P5" s="6"/>
      <c r="Q5" s="7">
        <f t="shared" si="1"/>
        <v>2215.84</v>
      </c>
      <c r="R5" s="8">
        <v>9782.85</v>
      </c>
      <c r="S5" s="59">
        <f t="shared" si="2"/>
        <v>0.2265025018</v>
      </c>
    </row>
    <row r="6">
      <c r="A6" s="4" t="s">
        <v>18</v>
      </c>
      <c r="B6" s="5">
        <v>1692.84</v>
      </c>
      <c r="C6" s="5">
        <v>65.79</v>
      </c>
      <c r="D6" s="6"/>
      <c r="E6" s="6"/>
      <c r="F6" s="5">
        <v>284.9</v>
      </c>
      <c r="G6" s="5">
        <v>142.5</v>
      </c>
      <c r="H6" s="5"/>
      <c r="I6" s="5"/>
      <c r="J6" s="5"/>
      <c r="K6" s="5"/>
      <c r="L6" s="6"/>
      <c r="M6" s="5">
        <v>440.0</v>
      </c>
      <c r="N6" s="5"/>
      <c r="O6" s="5">
        <v>100.0</v>
      </c>
      <c r="P6" s="5">
        <v>302.37</v>
      </c>
      <c r="Q6" s="7">
        <f t="shared" si="1"/>
        <v>3028.4</v>
      </c>
      <c r="R6" s="8">
        <v>27222.3</v>
      </c>
      <c r="S6" s="59">
        <f t="shared" si="2"/>
        <v>0.1112470291</v>
      </c>
    </row>
    <row r="7">
      <c r="A7" s="4" t="s">
        <v>19</v>
      </c>
      <c r="B7" s="5">
        <v>1743.99</v>
      </c>
      <c r="C7" s="5">
        <v>323.7</v>
      </c>
      <c r="D7" s="5">
        <v>438.0</v>
      </c>
      <c r="E7" s="6"/>
      <c r="F7" s="5"/>
      <c r="G7" s="5">
        <v>33.0</v>
      </c>
      <c r="H7" s="5">
        <v>1038.22</v>
      </c>
      <c r="I7" s="6"/>
      <c r="J7" s="5"/>
      <c r="K7" s="5"/>
      <c r="L7" s="5">
        <v>453.0</v>
      </c>
      <c r="M7" s="6"/>
      <c r="N7" s="6"/>
      <c r="O7" s="6"/>
      <c r="P7" s="6"/>
      <c r="Q7" s="7">
        <f t="shared" si="1"/>
        <v>4029.91</v>
      </c>
      <c r="R7" s="8">
        <v>20347.16</v>
      </c>
      <c r="S7" s="59">
        <f t="shared" si="2"/>
        <v>0.1980576159</v>
      </c>
    </row>
    <row r="8">
      <c r="A8" s="4" t="s">
        <v>20</v>
      </c>
      <c r="B8" s="10" t="s">
        <v>21</v>
      </c>
      <c r="C8" s="10" t="s">
        <v>21</v>
      </c>
      <c r="D8" s="10" t="s">
        <v>21</v>
      </c>
      <c r="E8" s="10" t="s">
        <v>21</v>
      </c>
      <c r="F8" s="10" t="s">
        <v>21</v>
      </c>
      <c r="G8" s="10" t="s">
        <v>21</v>
      </c>
      <c r="H8" s="10" t="s">
        <v>21</v>
      </c>
      <c r="I8" s="10" t="s">
        <v>21</v>
      </c>
      <c r="J8" s="10" t="s">
        <v>21</v>
      </c>
      <c r="K8" s="10" t="s">
        <v>21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7">
        <v>0.0</v>
      </c>
      <c r="R8" s="8"/>
      <c r="S8" s="59" t="str">
        <f t="shared" si="2"/>
        <v>#DIV/0!</v>
      </c>
    </row>
    <row r="9">
      <c r="B9" s="33">
        <v>11558.76</v>
      </c>
      <c r="C9" s="33">
        <v>1873.21</v>
      </c>
      <c r="D9" s="33">
        <v>906.0</v>
      </c>
      <c r="E9" s="33">
        <v>390.0</v>
      </c>
      <c r="F9" s="33">
        <v>1091.55</v>
      </c>
      <c r="G9" s="33">
        <v>225.0</v>
      </c>
      <c r="H9" s="33">
        <v>1049.76</v>
      </c>
      <c r="J9" s="33">
        <v>180.0</v>
      </c>
      <c r="L9" s="33">
        <v>595.0</v>
      </c>
      <c r="M9" s="32">
        <v>440.0</v>
      </c>
      <c r="N9" s="32">
        <v>85.0</v>
      </c>
      <c r="P9" s="32">
        <v>221.94</v>
      </c>
    </row>
    <row r="10">
      <c r="B10" s="45">
        <f t="shared" ref="B10:P10" si="3">sum(B2:B7)-B9</f>
        <v>159.1</v>
      </c>
      <c r="C10" s="45">
        <f t="shared" si="3"/>
        <v>-375.74</v>
      </c>
      <c r="D10" s="45">
        <f t="shared" si="3"/>
        <v>-468</v>
      </c>
      <c r="E10" s="45">
        <f t="shared" si="3"/>
        <v>0</v>
      </c>
      <c r="F10" s="45">
        <f t="shared" si="3"/>
        <v>0</v>
      </c>
      <c r="G10" s="45">
        <f t="shared" si="3"/>
        <v>0</v>
      </c>
      <c r="H10" s="45">
        <f t="shared" si="3"/>
        <v>-11.54</v>
      </c>
      <c r="I10" s="45">
        <f t="shared" si="3"/>
        <v>1061.84</v>
      </c>
      <c r="J10" s="45">
        <f t="shared" si="3"/>
        <v>0</v>
      </c>
      <c r="K10" s="45">
        <f t="shared" si="3"/>
        <v>0</v>
      </c>
      <c r="L10" s="45">
        <f t="shared" si="3"/>
        <v>-142</v>
      </c>
      <c r="M10" s="45">
        <f t="shared" si="3"/>
        <v>0</v>
      </c>
      <c r="N10" s="45">
        <f t="shared" si="3"/>
        <v>0</v>
      </c>
      <c r="O10" s="45">
        <f t="shared" si="3"/>
        <v>200</v>
      </c>
      <c r="P10" s="45">
        <f t="shared" si="3"/>
        <v>80.43</v>
      </c>
    </row>
    <row r="11">
      <c r="A11" s="4" t="s">
        <v>22</v>
      </c>
      <c r="B11" s="11">
        <v>12000.0</v>
      </c>
    </row>
    <row r="12">
      <c r="A12" s="4" t="s">
        <v>23</v>
      </c>
      <c r="B12" s="12">
        <f>SUM(B2:P8)</f>
        <v>19120.31</v>
      </c>
      <c r="E12" s="56"/>
    </row>
    <row r="13">
      <c r="A13" s="4" t="s">
        <v>24</v>
      </c>
      <c r="B13" s="12">
        <f> SUM(B11-B12)</f>
        <v>-7120.31</v>
      </c>
    </row>
    <row r="15">
      <c r="A15" s="13" t="s">
        <v>25</v>
      </c>
      <c r="B15" s="14">
        <f>SUM(R2:R8)</f>
        <v>74911.56</v>
      </c>
    </row>
    <row r="16">
      <c r="A16" s="13" t="s">
        <v>26</v>
      </c>
      <c r="B16" s="15">
        <f>B12/B15</f>
        <v>0.2552384438</v>
      </c>
    </row>
    <row r="19">
      <c r="A19" s="16" t="s">
        <v>27</v>
      </c>
      <c r="B19" s="17"/>
      <c r="C19" s="17"/>
      <c r="D19" s="18"/>
      <c r="G19" s="60" t="s">
        <v>61</v>
      </c>
      <c r="H19" s="61"/>
      <c r="I19" s="62"/>
    </row>
    <row r="20">
      <c r="A20" s="19" t="s">
        <v>28</v>
      </c>
      <c r="B20" s="20"/>
      <c r="C20" s="20"/>
      <c r="D20" s="21"/>
      <c r="G20" s="63" t="s">
        <v>62</v>
      </c>
      <c r="H20" s="63" t="s">
        <v>63</v>
      </c>
      <c r="I20" s="63" t="s">
        <v>64</v>
      </c>
    </row>
    <row r="21">
      <c r="A21" s="22" t="s">
        <v>29</v>
      </c>
      <c r="B21" s="23" t="s">
        <v>30</v>
      </c>
      <c r="C21" s="22" t="s">
        <v>31</v>
      </c>
      <c r="D21" s="24" t="s">
        <v>30</v>
      </c>
      <c r="G21" s="64">
        <v>44831.0</v>
      </c>
      <c r="H21" s="63" t="s">
        <v>76</v>
      </c>
      <c r="I21" s="63" t="s">
        <v>76</v>
      </c>
      <c r="J21" s="32"/>
    </row>
    <row r="22">
      <c r="A22" s="28" t="s">
        <v>41</v>
      </c>
      <c r="B22" s="41">
        <v>1453.28</v>
      </c>
      <c r="C22" s="25"/>
      <c r="D22" s="27"/>
      <c r="G22" s="70">
        <v>44832.0</v>
      </c>
      <c r="H22" s="63" t="s">
        <v>77</v>
      </c>
      <c r="I22" s="63" t="s">
        <v>77</v>
      </c>
    </row>
    <row r="23">
      <c r="A23" s="28"/>
      <c r="B23" s="41"/>
      <c r="C23" s="25"/>
      <c r="D23" s="27"/>
      <c r="G23" s="65"/>
      <c r="H23" s="65"/>
      <c r="I23" s="65"/>
    </row>
    <row r="24">
      <c r="A24" s="71"/>
      <c r="B24" s="72"/>
      <c r="C24" s="25"/>
      <c r="D24" s="27"/>
      <c r="G24" s="65"/>
      <c r="H24" s="65"/>
      <c r="I24" s="65"/>
    </row>
    <row r="25">
      <c r="A25" s="28"/>
      <c r="B25" s="26"/>
      <c r="C25" s="25"/>
      <c r="D25" s="27"/>
      <c r="G25" s="65"/>
      <c r="H25" s="65"/>
      <c r="I25" s="65"/>
    </row>
    <row r="26">
      <c r="A26" s="25"/>
      <c r="B26" s="26"/>
      <c r="C26" s="25"/>
      <c r="D26" s="27"/>
      <c r="G26" s="65"/>
      <c r="H26" s="65"/>
      <c r="I26" s="65"/>
    </row>
    <row r="27">
      <c r="A27" s="25"/>
      <c r="B27" s="26"/>
      <c r="C27" s="25"/>
      <c r="D27" s="27"/>
      <c r="G27" s="65"/>
      <c r="H27" s="65"/>
      <c r="I27" s="65"/>
    </row>
    <row r="28">
      <c r="A28" s="25"/>
      <c r="B28" s="26"/>
      <c r="C28" s="25"/>
      <c r="D28" s="27"/>
    </row>
    <row r="29">
      <c r="A29" s="25"/>
      <c r="B29" s="26"/>
      <c r="C29" s="25"/>
      <c r="D29" s="27"/>
      <c r="H29" s="66" t="s">
        <v>68</v>
      </c>
      <c r="I29" s="67"/>
    </row>
    <row r="30">
      <c r="A30" s="25"/>
      <c r="B30" s="26"/>
      <c r="C30" s="25"/>
      <c r="D30" s="27"/>
    </row>
    <row r="31">
      <c r="A31" s="25"/>
      <c r="B31" s="26"/>
      <c r="C31" s="25"/>
      <c r="D31" s="27"/>
    </row>
    <row r="32">
      <c r="A32" s="25"/>
      <c r="B32" s="26"/>
      <c r="C32" s="25"/>
      <c r="D32" s="27"/>
    </row>
    <row r="33">
      <c r="A33" s="25"/>
      <c r="B33" s="26"/>
      <c r="C33" s="25"/>
      <c r="D33" s="27"/>
    </row>
    <row r="34">
      <c r="A34" s="29" t="s">
        <v>35</v>
      </c>
      <c r="B34" s="30">
        <f>sum(B22:B33)</f>
        <v>1453.28</v>
      </c>
      <c r="C34" s="31"/>
      <c r="D34" s="30">
        <f>sum(D22:D33)</f>
        <v>0</v>
      </c>
    </row>
  </sheetData>
  <mergeCells count="1">
    <mergeCell ref="G19:I19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0" max="20" width="20.25"/>
  </cols>
  <sheetData>
    <row r="1">
      <c r="A1" s="1"/>
      <c r="B1" s="2" t="s">
        <v>0</v>
      </c>
      <c r="C1" s="2" t="s">
        <v>1</v>
      </c>
      <c r="D1" s="2" t="s">
        <v>7</v>
      </c>
      <c r="E1" s="2" t="s">
        <v>3</v>
      </c>
      <c r="F1" s="2" t="s">
        <v>5</v>
      </c>
      <c r="G1" s="2" t="s">
        <v>6</v>
      </c>
      <c r="H1" s="2" t="s">
        <v>43</v>
      </c>
      <c r="I1" s="2" t="s">
        <v>40</v>
      </c>
      <c r="J1" s="2" t="s">
        <v>49</v>
      </c>
      <c r="K1" s="2" t="s">
        <v>42</v>
      </c>
      <c r="L1" s="2" t="s">
        <v>9</v>
      </c>
      <c r="M1" s="2" t="s">
        <v>37</v>
      </c>
      <c r="N1" s="2" t="s">
        <v>10</v>
      </c>
      <c r="O1" s="2" t="s">
        <v>11</v>
      </c>
      <c r="P1" s="2" t="s">
        <v>12</v>
      </c>
      <c r="Q1" s="3" t="s">
        <v>13</v>
      </c>
      <c r="R1" s="3" t="s">
        <v>14</v>
      </c>
      <c r="S1" s="3" t="s">
        <v>15</v>
      </c>
    </row>
    <row r="2">
      <c r="A2" s="74">
        <v>44837.0</v>
      </c>
      <c r="B2" s="5">
        <v>2583.21</v>
      </c>
      <c r="C2" s="5">
        <v>1070.23</v>
      </c>
      <c r="D2" s="5"/>
      <c r="E2" s="5"/>
      <c r="F2" s="5"/>
      <c r="G2" s="5"/>
      <c r="H2" s="5"/>
      <c r="I2" s="42">
        <v>1453.28</v>
      </c>
      <c r="J2" s="5"/>
      <c r="K2" s="6"/>
      <c r="L2" s="6"/>
      <c r="M2" s="5"/>
      <c r="N2" s="5"/>
      <c r="O2" s="5"/>
      <c r="P2" s="6"/>
      <c r="Q2" s="7">
        <f t="shared" ref="Q2:Q7" si="1">SUM(B2:P2)</f>
        <v>5106.72</v>
      </c>
      <c r="R2" s="8">
        <v>6942.4</v>
      </c>
      <c r="S2" s="59">
        <f t="shared" ref="S2:S8" si="2">Q2/R2</f>
        <v>0.735584236</v>
      </c>
      <c r="T2" s="74">
        <f t="shared" ref="T2:T8" si="3">A2</f>
        <v>44837</v>
      </c>
    </row>
    <row r="3">
      <c r="A3" s="74">
        <v>44838.0</v>
      </c>
      <c r="B3" s="5">
        <v>2262.57</v>
      </c>
      <c r="C3" s="5">
        <v>133.15</v>
      </c>
      <c r="D3" s="5"/>
      <c r="E3" s="5"/>
      <c r="F3" s="5"/>
      <c r="G3" s="5"/>
      <c r="H3" s="5"/>
      <c r="I3" s="42"/>
      <c r="J3" s="5"/>
      <c r="K3" s="6"/>
      <c r="L3" s="6"/>
      <c r="M3" s="5"/>
      <c r="N3" s="5"/>
      <c r="O3" s="5"/>
      <c r="P3" s="6"/>
      <c r="Q3" s="7">
        <f t="shared" si="1"/>
        <v>2395.72</v>
      </c>
      <c r="R3" s="8">
        <v>6371.65</v>
      </c>
      <c r="S3" s="59">
        <f t="shared" si="2"/>
        <v>0.3759967983</v>
      </c>
      <c r="T3" s="74">
        <f t="shared" si="3"/>
        <v>44838</v>
      </c>
    </row>
    <row r="4">
      <c r="A4" s="74">
        <v>44839.0</v>
      </c>
      <c r="B4" s="5">
        <v>1448.37</v>
      </c>
      <c r="C4" s="5"/>
      <c r="D4" s="5"/>
      <c r="E4" s="5">
        <v>390.0</v>
      </c>
      <c r="F4" s="5">
        <v>748.9</v>
      </c>
      <c r="G4" s="5">
        <v>49.5</v>
      </c>
      <c r="H4" s="5"/>
      <c r="I4" s="42"/>
      <c r="J4" s="5">
        <v>300.0</v>
      </c>
      <c r="K4" s="5"/>
      <c r="L4" s="6"/>
      <c r="M4" s="5">
        <v>440.0</v>
      </c>
      <c r="N4" s="5"/>
      <c r="O4" s="5">
        <v>100.0</v>
      </c>
      <c r="P4" s="6"/>
      <c r="Q4" s="7">
        <f t="shared" si="1"/>
        <v>3476.77</v>
      </c>
      <c r="R4" s="8">
        <v>7168.0</v>
      </c>
      <c r="S4" s="59">
        <f t="shared" si="2"/>
        <v>0.4850404576</v>
      </c>
      <c r="T4" s="74">
        <f t="shared" si="3"/>
        <v>44839</v>
      </c>
    </row>
    <row r="5">
      <c r="A5" s="74">
        <v>44840.0</v>
      </c>
      <c r="B5" s="5">
        <v>1487.24</v>
      </c>
      <c r="C5" s="5">
        <v>50.0</v>
      </c>
      <c r="D5" s="6"/>
      <c r="E5" s="6"/>
      <c r="F5" s="5"/>
      <c r="G5" s="5"/>
      <c r="H5" s="5"/>
      <c r="I5" s="5"/>
      <c r="J5" s="5"/>
      <c r="K5" s="5"/>
      <c r="L5" s="5"/>
      <c r="M5" s="5"/>
      <c r="N5" s="5">
        <v>50.85</v>
      </c>
      <c r="O5" s="6"/>
      <c r="P5" s="6"/>
      <c r="Q5" s="7">
        <f t="shared" si="1"/>
        <v>1588.09</v>
      </c>
      <c r="R5" s="8">
        <v>8632.0</v>
      </c>
      <c r="S5" s="59">
        <f t="shared" si="2"/>
        <v>0.1839770621</v>
      </c>
      <c r="T5" s="74">
        <f t="shared" si="3"/>
        <v>44840</v>
      </c>
    </row>
    <row r="6">
      <c r="A6" s="74">
        <v>44841.0</v>
      </c>
      <c r="B6" s="5">
        <v>2456.99</v>
      </c>
      <c r="C6" s="5"/>
      <c r="D6" s="6"/>
      <c r="E6" s="6"/>
      <c r="F6" s="5">
        <v>516.9</v>
      </c>
      <c r="G6" s="5">
        <v>142.5</v>
      </c>
      <c r="H6" s="5"/>
      <c r="I6" s="5"/>
      <c r="J6" s="5"/>
      <c r="K6" s="5"/>
      <c r="L6" s="6"/>
      <c r="M6" s="5"/>
      <c r="N6" s="5"/>
      <c r="O6" s="5">
        <v>100.0</v>
      </c>
      <c r="P6" s="5">
        <v>221.94</v>
      </c>
      <c r="Q6" s="7">
        <f t="shared" si="1"/>
        <v>3438.33</v>
      </c>
      <c r="R6" s="8">
        <v>11710.0</v>
      </c>
      <c r="S6" s="59">
        <f t="shared" si="2"/>
        <v>0.2936233988</v>
      </c>
      <c r="T6" s="74">
        <f t="shared" si="3"/>
        <v>44841</v>
      </c>
    </row>
    <row r="7">
      <c r="A7" s="74">
        <v>44842.0</v>
      </c>
      <c r="B7" s="5">
        <v>1573.9</v>
      </c>
      <c r="C7" s="5">
        <v>449.52</v>
      </c>
      <c r="D7" s="5">
        <v>882.0</v>
      </c>
      <c r="E7" s="6"/>
      <c r="F7" s="5"/>
      <c r="G7" s="5">
        <v>33.0</v>
      </c>
      <c r="H7" s="5">
        <v>495.48</v>
      </c>
      <c r="I7" s="6"/>
      <c r="J7" s="5"/>
      <c r="K7" s="5"/>
      <c r="L7" s="5">
        <v>1000.0</v>
      </c>
      <c r="M7" s="6"/>
      <c r="N7" s="6"/>
      <c r="O7" s="6"/>
      <c r="P7" s="6"/>
      <c r="Q7" s="7">
        <f t="shared" si="1"/>
        <v>4433.9</v>
      </c>
      <c r="R7" s="8">
        <v>17551.0</v>
      </c>
      <c r="S7" s="59">
        <f t="shared" si="2"/>
        <v>0.2526294798</v>
      </c>
      <c r="T7" s="74">
        <f t="shared" si="3"/>
        <v>44842</v>
      </c>
    </row>
    <row r="8">
      <c r="A8" s="74">
        <v>44843.0</v>
      </c>
      <c r="B8" s="10" t="s">
        <v>21</v>
      </c>
      <c r="C8" s="10" t="s">
        <v>21</v>
      </c>
      <c r="D8" s="10" t="s">
        <v>21</v>
      </c>
      <c r="E8" s="10" t="s">
        <v>21</v>
      </c>
      <c r="F8" s="10" t="s">
        <v>21</v>
      </c>
      <c r="G8" s="10" t="s">
        <v>21</v>
      </c>
      <c r="H8" s="10" t="s">
        <v>21</v>
      </c>
      <c r="I8" s="10" t="s">
        <v>21</v>
      </c>
      <c r="J8" s="10" t="s">
        <v>21</v>
      </c>
      <c r="K8" s="10" t="s">
        <v>21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7">
        <v>0.0</v>
      </c>
      <c r="R8" s="8">
        <v>13629.15</v>
      </c>
      <c r="S8" s="59">
        <f t="shared" si="2"/>
        <v>0</v>
      </c>
      <c r="T8" s="74">
        <f t="shared" si="3"/>
        <v>44843</v>
      </c>
    </row>
    <row r="9">
      <c r="Q9" s="32" t="s">
        <v>78</v>
      </c>
    </row>
    <row r="10">
      <c r="A10" s="4" t="s">
        <v>79</v>
      </c>
      <c r="B10" s="10">
        <v>11334.13</v>
      </c>
      <c r="C10" s="10">
        <v>1702.9</v>
      </c>
      <c r="D10" s="10">
        <v>882.0</v>
      </c>
      <c r="E10" s="10">
        <v>390.0</v>
      </c>
      <c r="F10" s="10">
        <v>1265.8</v>
      </c>
      <c r="G10" s="10">
        <v>258.0</v>
      </c>
      <c r="H10" s="10">
        <v>495.48</v>
      </c>
      <c r="I10" s="10">
        <v>1453.28</v>
      </c>
      <c r="J10" s="10"/>
      <c r="K10" s="10"/>
      <c r="L10" s="10">
        <v>969.0</v>
      </c>
      <c r="M10" s="10">
        <v>513.98</v>
      </c>
      <c r="N10" s="10">
        <v>50.85</v>
      </c>
      <c r="O10" s="10">
        <v>466.62</v>
      </c>
      <c r="P10" s="10">
        <v>221.94</v>
      </c>
      <c r="Q10" s="8">
        <v>488.35</v>
      </c>
      <c r="R10" s="8"/>
      <c r="S10" s="59"/>
      <c r="T10" s="74"/>
    </row>
    <row r="11">
      <c r="A11" s="4" t="s">
        <v>80</v>
      </c>
      <c r="B11" s="10">
        <f t="shared" ref="B11:P11" si="4">sum(B2:B8)-B10</f>
        <v>478.15</v>
      </c>
      <c r="C11" s="10">
        <f t="shared" si="4"/>
        <v>0</v>
      </c>
      <c r="D11" s="10">
        <f t="shared" si="4"/>
        <v>0</v>
      </c>
      <c r="E11" s="10">
        <f t="shared" si="4"/>
        <v>0</v>
      </c>
      <c r="F11" s="10">
        <f t="shared" si="4"/>
        <v>0</v>
      </c>
      <c r="G11" s="10">
        <f t="shared" si="4"/>
        <v>-33</v>
      </c>
      <c r="H11" s="10">
        <f t="shared" si="4"/>
        <v>0</v>
      </c>
      <c r="I11" s="10">
        <f t="shared" si="4"/>
        <v>0</v>
      </c>
      <c r="J11" s="10">
        <f t="shared" si="4"/>
        <v>300</v>
      </c>
      <c r="K11" s="10">
        <f t="shared" si="4"/>
        <v>0</v>
      </c>
      <c r="L11" s="10">
        <f t="shared" si="4"/>
        <v>31</v>
      </c>
      <c r="M11" s="10">
        <f t="shared" si="4"/>
        <v>-73.98</v>
      </c>
      <c r="N11" s="10">
        <f t="shared" si="4"/>
        <v>0</v>
      </c>
      <c r="O11" s="10">
        <f t="shared" si="4"/>
        <v>-266.62</v>
      </c>
      <c r="P11" s="10">
        <f t="shared" si="4"/>
        <v>0</v>
      </c>
      <c r="Q11" s="10">
        <f>Q10-0</f>
        <v>488.35</v>
      </c>
      <c r="R11" s="8"/>
      <c r="S11" s="59"/>
      <c r="T11" s="74"/>
    </row>
    <row r="13">
      <c r="A13" s="4" t="s">
        <v>22</v>
      </c>
      <c r="B13" s="11">
        <v>12000.0</v>
      </c>
    </row>
    <row r="14">
      <c r="A14" s="4" t="s">
        <v>23</v>
      </c>
      <c r="B14" s="12">
        <f>SUM(B2:P8)</f>
        <v>20439.53</v>
      </c>
      <c r="E14" s="56"/>
    </row>
    <row r="15">
      <c r="A15" s="4" t="s">
        <v>24</v>
      </c>
      <c r="B15" s="12">
        <f> SUM(B13-B14)</f>
        <v>-8439.53</v>
      </c>
    </row>
    <row r="17">
      <c r="A17" s="13" t="s">
        <v>25</v>
      </c>
      <c r="B17" s="14">
        <f>SUM(R2:R8)</f>
        <v>72004.2</v>
      </c>
    </row>
    <row r="18">
      <c r="A18" s="13" t="s">
        <v>26</v>
      </c>
      <c r="B18" s="15">
        <f>B14/B17</f>
        <v>0.2838658023</v>
      </c>
    </row>
    <row r="21">
      <c r="A21" s="16" t="s">
        <v>27</v>
      </c>
      <c r="B21" s="17"/>
      <c r="C21" s="17"/>
      <c r="D21" s="18"/>
      <c r="G21" s="60" t="s">
        <v>61</v>
      </c>
      <c r="H21" s="61"/>
      <c r="I21" s="62"/>
    </row>
    <row r="22">
      <c r="A22" s="19" t="s">
        <v>28</v>
      </c>
      <c r="B22" s="20"/>
      <c r="C22" s="20"/>
      <c r="D22" s="21"/>
      <c r="G22" s="63" t="s">
        <v>62</v>
      </c>
      <c r="H22" s="63" t="s">
        <v>63</v>
      </c>
      <c r="I22" s="63" t="s">
        <v>64</v>
      </c>
    </row>
    <row r="23">
      <c r="A23" s="22" t="s">
        <v>29</v>
      </c>
      <c r="B23" s="23" t="s">
        <v>30</v>
      </c>
      <c r="C23" s="22" t="s">
        <v>31</v>
      </c>
      <c r="D23" s="24" t="s">
        <v>30</v>
      </c>
      <c r="G23" s="64"/>
      <c r="H23" s="63"/>
      <c r="I23" s="63"/>
      <c r="J23" s="32"/>
    </row>
    <row r="24">
      <c r="A24" s="28" t="s">
        <v>51</v>
      </c>
      <c r="B24" s="41">
        <v>431.37</v>
      </c>
      <c r="C24" s="25"/>
      <c r="D24" s="27"/>
      <c r="G24" s="70"/>
      <c r="H24" s="63"/>
      <c r="I24" s="63"/>
    </row>
    <row r="25">
      <c r="A25" s="28"/>
      <c r="B25" s="41"/>
      <c r="C25" s="25"/>
      <c r="D25" s="27"/>
      <c r="G25" s="65"/>
      <c r="H25" s="65"/>
      <c r="I25" s="65"/>
    </row>
    <row r="26">
      <c r="A26" s="71"/>
      <c r="B26" s="72"/>
      <c r="C26" s="25"/>
      <c r="D26" s="27"/>
      <c r="G26" s="65"/>
      <c r="H26" s="65"/>
      <c r="I26" s="65"/>
    </row>
    <row r="27">
      <c r="A27" s="28"/>
      <c r="B27" s="26"/>
      <c r="C27" s="25"/>
      <c r="D27" s="27"/>
      <c r="G27" s="65"/>
      <c r="H27" s="65"/>
      <c r="I27" s="65"/>
    </row>
    <row r="28">
      <c r="A28" s="25"/>
      <c r="B28" s="26"/>
      <c r="C28" s="25"/>
      <c r="D28" s="27"/>
      <c r="G28" s="65"/>
      <c r="H28" s="65"/>
      <c r="I28" s="65"/>
    </row>
    <row r="29">
      <c r="A29" s="25"/>
      <c r="B29" s="26"/>
      <c r="C29" s="25"/>
      <c r="D29" s="27"/>
      <c r="G29" s="65"/>
      <c r="H29" s="65"/>
      <c r="I29" s="65"/>
    </row>
    <row r="30">
      <c r="A30" s="25"/>
      <c r="B30" s="26"/>
      <c r="C30" s="25"/>
      <c r="D30" s="27"/>
    </row>
    <row r="31">
      <c r="A31" s="25"/>
      <c r="B31" s="26"/>
      <c r="C31" s="25"/>
      <c r="D31" s="27"/>
      <c r="H31" s="66" t="s">
        <v>68</v>
      </c>
      <c r="I31" s="67"/>
    </row>
    <row r="32">
      <c r="A32" s="25"/>
      <c r="B32" s="26"/>
      <c r="C32" s="25"/>
      <c r="D32" s="27"/>
    </row>
    <row r="33">
      <c r="A33" s="25"/>
      <c r="B33" s="26"/>
      <c r="C33" s="25"/>
      <c r="D33" s="27"/>
    </row>
    <row r="34">
      <c r="A34" s="25"/>
      <c r="B34" s="26"/>
      <c r="C34" s="25"/>
      <c r="D34" s="27"/>
    </row>
    <row r="35">
      <c r="A35" s="25"/>
      <c r="B35" s="26"/>
      <c r="C35" s="25"/>
      <c r="D35" s="27"/>
    </row>
    <row r="36">
      <c r="A36" s="29" t="s">
        <v>35</v>
      </c>
      <c r="B36" s="30">
        <f>sum(B24:B35)</f>
        <v>431.37</v>
      </c>
      <c r="C36" s="31"/>
      <c r="D36" s="30">
        <f>sum(D24:D35)</f>
        <v>0</v>
      </c>
    </row>
  </sheetData>
  <mergeCells count="1">
    <mergeCell ref="G21:I21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0" max="20" width="20.75"/>
  </cols>
  <sheetData>
    <row r="1">
      <c r="A1" s="1"/>
      <c r="B1" s="2" t="s">
        <v>0</v>
      </c>
      <c r="C1" s="2" t="s">
        <v>1</v>
      </c>
      <c r="D1" s="2" t="s">
        <v>7</v>
      </c>
      <c r="E1" s="2" t="s">
        <v>3</v>
      </c>
      <c r="F1" s="2" t="s">
        <v>5</v>
      </c>
      <c r="G1" s="2" t="s">
        <v>6</v>
      </c>
      <c r="H1" s="2" t="s">
        <v>43</v>
      </c>
      <c r="I1" s="2" t="s">
        <v>40</v>
      </c>
      <c r="J1" s="2" t="s">
        <v>49</v>
      </c>
      <c r="K1" s="2" t="s">
        <v>42</v>
      </c>
      <c r="L1" s="2" t="s">
        <v>9</v>
      </c>
      <c r="M1" s="2" t="s">
        <v>37</v>
      </c>
      <c r="N1" s="2" t="s">
        <v>10</v>
      </c>
      <c r="O1" s="2" t="s">
        <v>11</v>
      </c>
      <c r="P1" s="2" t="s">
        <v>12</v>
      </c>
      <c r="Q1" s="3" t="s">
        <v>13</v>
      </c>
      <c r="R1" s="3" t="s">
        <v>14</v>
      </c>
      <c r="S1" s="3" t="s">
        <v>15</v>
      </c>
    </row>
    <row r="2">
      <c r="A2" s="74">
        <v>44844.0</v>
      </c>
      <c r="B2" s="5">
        <v>3070.18</v>
      </c>
      <c r="C2" s="5">
        <v>50.0</v>
      </c>
      <c r="D2" s="5"/>
      <c r="E2" s="5"/>
      <c r="F2" s="5"/>
      <c r="G2" s="5"/>
      <c r="H2" s="5"/>
      <c r="I2" s="42"/>
      <c r="J2" s="5">
        <v>180.0</v>
      </c>
      <c r="K2" s="6"/>
      <c r="L2" s="6"/>
      <c r="M2" s="5"/>
      <c r="N2" s="5"/>
      <c r="O2" s="5"/>
      <c r="P2" s="6"/>
      <c r="Q2" s="7">
        <f t="shared" ref="Q2:Q7" si="1">SUM(B2:P2)</f>
        <v>3300.18</v>
      </c>
      <c r="R2" s="8">
        <v>8964.0</v>
      </c>
      <c r="S2" s="59">
        <f t="shared" ref="S2:S8" si="2">Q2/R2</f>
        <v>0.3681593039</v>
      </c>
      <c r="T2" s="74">
        <f>'Roister (1010 - 1016)'!A2</f>
        <v>44844</v>
      </c>
    </row>
    <row r="3">
      <c r="A3" s="74">
        <v>44845.0</v>
      </c>
      <c r="B3" s="5">
        <v>2364.25</v>
      </c>
      <c r="C3" s="5">
        <v>604.66</v>
      </c>
      <c r="D3" s="5"/>
      <c r="E3" s="5"/>
      <c r="F3" s="5"/>
      <c r="G3" s="5"/>
      <c r="H3" s="5"/>
      <c r="I3" s="42"/>
      <c r="J3" s="5"/>
      <c r="K3" s="6"/>
      <c r="L3" s="6"/>
      <c r="M3" s="5"/>
      <c r="N3" s="5"/>
      <c r="O3" s="5"/>
      <c r="P3" s="6"/>
      <c r="Q3" s="7">
        <f t="shared" si="1"/>
        <v>2968.91</v>
      </c>
      <c r="R3" s="8">
        <v>6832.0</v>
      </c>
      <c r="S3" s="59">
        <f t="shared" si="2"/>
        <v>0.4345594262</v>
      </c>
      <c r="T3" s="74">
        <f>'Roister (1010 - 1016)'!A3</f>
        <v>44845</v>
      </c>
    </row>
    <row r="4">
      <c r="A4" s="74">
        <v>44846.0</v>
      </c>
      <c r="B4" s="5">
        <v>1820.05</v>
      </c>
      <c r="C4" s="5">
        <v>204.17</v>
      </c>
      <c r="D4" s="5"/>
      <c r="E4" s="5">
        <v>390.0</v>
      </c>
      <c r="F4" s="5">
        <v>922.9</v>
      </c>
      <c r="G4" s="5">
        <v>49.5</v>
      </c>
      <c r="H4" s="5"/>
      <c r="I4" s="42"/>
      <c r="J4" s="5"/>
      <c r="K4" s="5"/>
      <c r="L4" s="6"/>
      <c r="M4" s="5"/>
      <c r="N4" s="5"/>
      <c r="O4" s="5">
        <v>100.0</v>
      </c>
      <c r="P4" s="6"/>
      <c r="Q4" s="7">
        <f t="shared" si="1"/>
        <v>3486.62</v>
      </c>
      <c r="R4" s="8">
        <v>7365.6</v>
      </c>
      <c r="S4" s="59">
        <f t="shared" si="2"/>
        <v>0.4733653742</v>
      </c>
      <c r="T4" s="74">
        <f>'Roister (1010 - 1016)'!A4</f>
        <v>44846</v>
      </c>
    </row>
    <row r="5">
      <c r="A5" s="74">
        <v>44847.0</v>
      </c>
      <c r="B5" s="5">
        <v>1934.91</v>
      </c>
      <c r="C5" s="5">
        <v>209.2</v>
      </c>
      <c r="D5" s="6"/>
      <c r="E5" s="6"/>
      <c r="F5" s="5"/>
      <c r="G5" s="5"/>
      <c r="H5" s="5"/>
      <c r="I5" s="5"/>
      <c r="J5" s="5"/>
      <c r="K5" s="5">
        <v>129.19</v>
      </c>
      <c r="L5" s="5"/>
      <c r="M5" s="5"/>
      <c r="N5" s="5"/>
      <c r="O5" s="6"/>
      <c r="P5" s="6"/>
      <c r="Q5" s="7">
        <f t="shared" si="1"/>
        <v>2273.3</v>
      </c>
      <c r="R5" s="8">
        <v>7981.4</v>
      </c>
      <c r="S5" s="59">
        <f t="shared" si="2"/>
        <v>0.2848247175</v>
      </c>
      <c r="T5" s="74">
        <f>'Roister (1010 - 1016)'!A5</f>
        <v>44847</v>
      </c>
    </row>
    <row r="6">
      <c r="A6" s="74">
        <v>44848.0</v>
      </c>
      <c r="B6" s="5">
        <v>1401.16</v>
      </c>
      <c r="C6" s="5">
        <v>537.49</v>
      </c>
      <c r="D6" s="6"/>
      <c r="E6" s="6"/>
      <c r="F6" s="5">
        <v>632.9</v>
      </c>
      <c r="G6" s="5">
        <v>142.5</v>
      </c>
      <c r="H6" s="5"/>
      <c r="I6" s="5"/>
      <c r="J6" s="5"/>
      <c r="K6" s="5"/>
      <c r="L6" s="6"/>
      <c r="M6" s="5"/>
      <c r="N6" s="5"/>
      <c r="O6" s="5">
        <v>100.0</v>
      </c>
      <c r="P6" s="5">
        <v>302.37</v>
      </c>
      <c r="Q6" s="7">
        <f t="shared" si="1"/>
        <v>3116.42</v>
      </c>
      <c r="R6" s="8">
        <v>12383.2</v>
      </c>
      <c r="S6" s="59">
        <f t="shared" si="2"/>
        <v>0.2516651592</v>
      </c>
      <c r="T6" s="74">
        <f>'Roister (1010 - 1016)'!A6</f>
        <v>44848</v>
      </c>
    </row>
    <row r="7">
      <c r="A7" s="74">
        <v>44849.0</v>
      </c>
      <c r="B7" s="5">
        <v>1905.34</v>
      </c>
      <c r="C7" s="5">
        <v>290.91</v>
      </c>
      <c r="D7" s="5">
        <v>228.5</v>
      </c>
      <c r="E7" s="6"/>
      <c r="F7" s="5"/>
      <c r="G7" s="5">
        <v>33.0</v>
      </c>
      <c r="H7" s="5">
        <v>885.7</v>
      </c>
      <c r="I7" s="6"/>
      <c r="J7" s="5"/>
      <c r="K7" s="5"/>
      <c r="L7" s="44">
        <v>1727.5</v>
      </c>
      <c r="M7" s="6"/>
      <c r="N7" s="6"/>
      <c r="O7" s="6"/>
      <c r="P7" s="6"/>
      <c r="Q7" s="7">
        <f t="shared" si="1"/>
        <v>5070.95</v>
      </c>
      <c r="R7" s="8">
        <v>17276.0</v>
      </c>
      <c r="S7" s="59">
        <f t="shared" si="2"/>
        <v>0.2935257004</v>
      </c>
      <c r="T7" s="74">
        <f>'Roister (1010 - 1016)'!A7</f>
        <v>44849</v>
      </c>
    </row>
    <row r="8">
      <c r="A8" s="74">
        <v>44850.0</v>
      </c>
      <c r="B8" s="10" t="s">
        <v>21</v>
      </c>
      <c r="C8" s="10" t="s">
        <v>21</v>
      </c>
      <c r="D8" s="10" t="s">
        <v>21</v>
      </c>
      <c r="E8" s="10" t="s">
        <v>21</v>
      </c>
      <c r="F8" s="10" t="s">
        <v>21</v>
      </c>
      <c r="G8" s="10" t="s">
        <v>21</v>
      </c>
      <c r="H8" s="10" t="s">
        <v>21</v>
      </c>
      <c r="I8" s="10" t="s">
        <v>21</v>
      </c>
      <c r="J8" s="10" t="s">
        <v>21</v>
      </c>
      <c r="K8" s="10" t="s">
        <v>21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7">
        <v>0.0</v>
      </c>
      <c r="R8" s="8">
        <v>11233.0</v>
      </c>
      <c r="S8" s="59">
        <f t="shared" si="2"/>
        <v>0</v>
      </c>
      <c r="T8" s="74">
        <f>'Roister (1010 - 1016)'!A8</f>
        <v>44850</v>
      </c>
    </row>
    <row r="11">
      <c r="A11" s="4" t="s">
        <v>22</v>
      </c>
      <c r="B11" s="11">
        <v>14000.0</v>
      </c>
    </row>
    <row r="12">
      <c r="A12" s="4" t="s">
        <v>23</v>
      </c>
      <c r="B12" s="12">
        <f>SUM(B2:P8)</f>
        <v>20216.38</v>
      </c>
      <c r="E12" s="56"/>
    </row>
    <row r="13">
      <c r="A13" s="4" t="s">
        <v>24</v>
      </c>
      <c r="B13" s="12">
        <f> SUM(B11-B12)</f>
        <v>-6216.38</v>
      </c>
    </row>
    <row r="15">
      <c r="A15" s="13" t="s">
        <v>25</v>
      </c>
      <c r="B15" s="14">
        <f>SUM(R2:R8)</f>
        <v>72035.2</v>
      </c>
    </row>
    <row r="16">
      <c r="A16" s="13" t="s">
        <v>26</v>
      </c>
      <c r="B16" s="15">
        <f>B12/B15</f>
        <v>0.2806458509</v>
      </c>
    </row>
    <row r="19">
      <c r="A19" s="16" t="s">
        <v>27</v>
      </c>
      <c r="B19" s="17"/>
      <c r="C19" s="17"/>
      <c r="D19" s="18"/>
      <c r="G19" s="60" t="s">
        <v>61</v>
      </c>
      <c r="H19" s="61"/>
      <c r="I19" s="62"/>
    </row>
    <row r="20">
      <c r="A20" s="19" t="s">
        <v>28</v>
      </c>
      <c r="B20" s="20"/>
      <c r="C20" s="20"/>
      <c r="D20" s="21"/>
      <c r="G20" s="63" t="s">
        <v>62</v>
      </c>
      <c r="H20" s="63" t="s">
        <v>63</v>
      </c>
      <c r="I20" s="63" t="s">
        <v>64</v>
      </c>
    </row>
    <row r="21">
      <c r="A21" s="22" t="s">
        <v>29</v>
      </c>
      <c r="B21" s="23" t="s">
        <v>30</v>
      </c>
      <c r="C21" s="22" t="s">
        <v>31</v>
      </c>
      <c r="D21" s="24" t="s">
        <v>30</v>
      </c>
      <c r="G21" s="64"/>
      <c r="H21" s="63"/>
      <c r="I21" s="63"/>
      <c r="J21" s="32"/>
    </row>
    <row r="22">
      <c r="A22" s="28" t="s">
        <v>81</v>
      </c>
      <c r="B22" s="41">
        <v>1338.36</v>
      </c>
      <c r="C22" s="25"/>
      <c r="D22" s="27"/>
      <c r="G22" s="70"/>
      <c r="H22" s="63"/>
      <c r="I22" s="63"/>
    </row>
    <row r="23">
      <c r="A23" s="28" t="s">
        <v>69</v>
      </c>
      <c r="B23" s="41">
        <v>686.64</v>
      </c>
      <c r="C23" s="25"/>
      <c r="D23" s="27"/>
      <c r="G23" s="65"/>
      <c r="H23" s="65"/>
      <c r="I23" s="65"/>
    </row>
    <row r="24">
      <c r="A24" s="71" t="s">
        <v>82</v>
      </c>
      <c r="B24" s="72">
        <v>129.19</v>
      </c>
      <c r="C24" s="25"/>
      <c r="D24" s="27"/>
      <c r="G24" s="65"/>
      <c r="H24" s="65"/>
      <c r="I24" s="65"/>
    </row>
    <row r="25">
      <c r="A25" s="28"/>
      <c r="B25" s="26"/>
      <c r="C25" s="25"/>
      <c r="D25" s="27"/>
      <c r="G25" s="65"/>
      <c r="H25" s="65"/>
      <c r="I25" s="65"/>
    </row>
    <row r="26">
      <c r="A26" s="25"/>
      <c r="B26" s="26"/>
      <c r="C26" s="25"/>
      <c r="D26" s="27"/>
      <c r="G26" s="65"/>
      <c r="H26" s="65"/>
      <c r="I26" s="65"/>
    </row>
    <row r="27">
      <c r="A27" s="25"/>
      <c r="B27" s="26"/>
      <c r="C27" s="25"/>
      <c r="D27" s="27"/>
      <c r="G27" s="65"/>
      <c r="H27" s="65"/>
      <c r="I27" s="65"/>
    </row>
    <row r="28">
      <c r="A28" s="25"/>
      <c r="B28" s="26"/>
      <c r="C28" s="25"/>
      <c r="D28" s="27"/>
    </row>
    <row r="29">
      <c r="A29" s="25"/>
      <c r="B29" s="26"/>
      <c r="C29" s="25"/>
      <c r="D29" s="27"/>
      <c r="H29" s="66" t="s">
        <v>68</v>
      </c>
      <c r="I29" s="67"/>
    </row>
    <row r="30">
      <c r="A30" s="25"/>
      <c r="B30" s="26"/>
      <c r="C30" s="25"/>
      <c r="D30" s="27"/>
    </row>
    <row r="31">
      <c r="A31" s="25"/>
      <c r="B31" s="26"/>
      <c r="C31" s="25"/>
      <c r="D31" s="27"/>
    </row>
    <row r="32">
      <c r="A32" s="25"/>
      <c r="B32" s="26"/>
      <c r="C32" s="25"/>
      <c r="D32" s="27"/>
    </row>
    <row r="33">
      <c r="A33" s="25"/>
      <c r="B33" s="26"/>
      <c r="C33" s="25"/>
      <c r="D33" s="27"/>
    </row>
    <row r="34">
      <c r="A34" s="29" t="s">
        <v>35</v>
      </c>
      <c r="B34" s="30">
        <f>sum(B22:B33)</f>
        <v>2154.19</v>
      </c>
      <c r="C34" s="31"/>
      <c r="D34" s="30">
        <f>sum(D22:D33)</f>
        <v>0</v>
      </c>
    </row>
  </sheetData>
  <mergeCells count="1">
    <mergeCell ref="G19:I19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0" max="20" width="26.38"/>
  </cols>
  <sheetData>
    <row r="1">
      <c r="A1" s="1"/>
      <c r="B1" s="2" t="s">
        <v>0</v>
      </c>
      <c r="C1" s="2" t="s">
        <v>1</v>
      </c>
      <c r="D1" s="2" t="s">
        <v>7</v>
      </c>
      <c r="E1" s="2" t="s">
        <v>3</v>
      </c>
      <c r="F1" s="2" t="s">
        <v>5</v>
      </c>
      <c r="G1" s="2" t="s">
        <v>6</v>
      </c>
      <c r="H1" s="2" t="s">
        <v>43</v>
      </c>
      <c r="I1" s="2" t="s">
        <v>40</v>
      </c>
      <c r="J1" s="2" t="s">
        <v>49</v>
      </c>
      <c r="K1" s="2" t="s">
        <v>42</v>
      </c>
      <c r="L1" s="2" t="s">
        <v>9</v>
      </c>
      <c r="M1" s="2" t="s">
        <v>37</v>
      </c>
      <c r="N1" s="2" t="s">
        <v>10</v>
      </c>
      <c r="O1" s="2" t="s">
        <v>11</v>
      </c>
      <c r="P1" s="2" t="s">
        <v>12</v>
      </c>
      <c r="Q1" s="3" t="s">
        <v>13</v>
      </c>
      <c r="R1" s="3" t="s">
        <v>14</v>
      </c>
      <c r="S1" s="3" t="s">
        <v>15</v>
      </c>
    </row>
    <row r="2">
      <c r="A2" s="74">
        <v>44851.0</v>
      </c>
      <c r="B2" s="5">
        <v>3671.82</v>
      </c>
      <c r="C2" s="5">
        <v>594.91</v>
      </c>
      <c r="D2" s="5"/>
      <c r="E2" s="5"/>
      <c r="F2" s="5">
        <v>343.32</v>
      </c>
      <c r="G2" s="5"/>
      <c r="H2" s="5"/>
      <c r="I2" s="44">
        <v>1338.36</v>
      </c>
      <c r="J2" s="5">
        <v>441.97</v>
      </c>
      <c r="K2" s="5">
        <v>129.19</v>
      </c>
      <c r="L2" s="6"/>
      <c r="M2" s="5"/>
      <c r="N2" s="5"/>
      <c r="O2" s="5">
        <v>100.0</v>
      </c>
      <c r="P2" s="6"/>
      <c r="Q2" s="7">
        <f t="shared" ref="Q2:Q7" si="1">SUM(B2:P2)</f>
        <v>6619.57</v>
      </c>
      <c r="R2" s="8">
        <v>7080.5</v>
      </c>
      <c r="S2" s="59">
        <f t="shared" ref="S2:S8" si="2">Q2/R2</f>
        <v>0.93490149</v>
      </c>
      <c r="T2" s="74">
        <f t="shared" ref="T2:T8" si="3">A2</f>
        <v>44851</v>
      </c>
    </row>
    <row r="3">
      <c r="A3" s="74">
        <v>44852.0</v>
      </c>
      <c r="B3" s="5">
        <v>1298.79</v>
      </c>
      <c r="C3" s="5">
        <v>63.45</v>
      </c>
      <c r="D3" s="5"/>
      <c r="E3" s="5"/>
      <c r="F3" s="5"/>
      <c r="G3" s="5"/>
      <c r="H3" s="5"/>
      <c r="I3" s="42"/>
      <c r="J3" s="5"/>
      <c r="K3" s="6"/>
      <c r="L3" s="6"/>
      <c r="M3" s="5"/>
      <c r="N3" s="5"/>
      <c r="O3" s="5"/>
      <c r="P3" s="6"/>
      <c r="Q3" s="7">
        <f t="shared" si="1"/>
        <v>1362.24</v>
      </c>
      <c r="R3" s="8">
        <v>6313.1</v>
      </c>
      <c r="S3" s="59">
        <f t="shared" si="2"/>
        <v>0.2157798863</v>
      </c>
      <c r="T3" s="74">
        <f t="shared" si="3"/>
        <v>44852</v>
      </c>
    </row>
    <row r="4">
      <c r="A4" s="74">
        <v>44853.0</v>
      </c>
      <c r="B4" s="5">
        <v>855.25</v>
      </c>
      <c r="C4" s="5">
        <v>574.78</v>
      </c>
      <c r="D4" s="5"/>
      <c r="E4" s="5">
        <v>390.0</v>
      </c>
      <c r="F4" s="5">
        <v>748.9</v>
      </c>
      <c r="G4" s="5">
        <v>49.5</v>
      </c>
      <c r="H4" s="5"/>
      <c r="I4" s="42"/>
      <c r="J4" s="5"/>
      <c r="K4" s="5"/>
      <c r="L4" s="6"/>
      <c r="M4" s="5"/>
      <c r="N4" s="5"/>
      <c r="O4" s="5">
        <v>100.0</v>
      </c>
      <c r="P4" s="6"/>
      <c r="Q4" s="7">
        <f t="shared" si="1"/>
        <v>2718.43</v>
      </c>
      <c r="R4" s="8">
        <v>6976.0</v>
      </c>
      <c r="S4" s="59">
        <f t="shared" si="2"/>
        <v>0.3896831995</v>
      </c>
      <c r="T4" s="74">
        <f t="shared" si="3"/>
        <v>44853</v>
      </c>
    </row>
    <row r="5">
      <c r="A5" s="74">
        <v>44854.0</v>
      </c>
      <c r="B5" s="5">
        <v>2150.1</v>
      </c>
      <c r="C5" s="5">
        <v>315.71</v>
      </c>
      <c r="D5" s="6"/>
      <c r="E5" s="6"/>
      <c r="F5" s="5"/>
      <c r="G5" s="5"/>
      <c r="H5" s="5"/>
      <c r="I5" s="5"/>
      <c r="J5" s="5"/>
      <c r="K5" s="5"/>
      <c r="L5" s="5"/>
      <c r="M5" s="5"/>
      <c r="N5" s="5">
        <v>61.9</v>
      </c>
      <c r="O5" s="6"/>
      <c r="P5" s="6"/>
      <c r="Q5" s="7">
        <f t="shared" si="1"/>
        <v>2527.71</v>
      </c>
      <c r="R5" s="8">
        <v>7550.4</v>
      </c>
      <c r="S5" s="59">
        <f t="shared" si="2"/>
        <v>0.3347782899</v>
      </c>
      <c r="T5" s="74">
        <f t="shared" si="3"/>
        <v>44854</v>
      </c>
    </row>
    <row r="6">
      <c r="A6" s="74">
        <v>44855.0</v>
      </c>
      <c r="B6" s="5">
        <v>2000.37</v>
      </c>
      <c r="C6" s="5">
        <v>247.26</v>
      </c>
      <c r="D6" s="6"/>
      <c r="E6" s="6"/>
      <c r="F6" s="5">
        <v>748.9</v>
      </c>
      <c r="G6" s="5">
        <v>142.5</v>
      </c>
      <c r="H6" s="5"/>
      <c r="I6" s="5"/>
      <c r="J6" s="5"/>
      <c r="K6" s="5">
        <v>116.45</v>
      </c>
      <c r="L6" s="6"/>
      <c r="M6" s="5"/>
      <c r="N6" s="5"/>
      <c r="O6" s="5">
        <v>100.0</v>
      </c>
      <c r="P6" s="5">
        <v>221.94</v>
      </c>
      <c r="Q6" s="7">
        <f t="shared" si="1"/>
        <v>3577.42</v>
      </c>
      <c r="R6" s="8">
        <v>11938.6</v>
      </c>
      <c r="S6" s="59">
        <f t="shared" si="2"/>
        <v>0.2996515504</v>
      </c>
      <c r="T6" s="74">
        <f t="shared" si="3"/>
        <v>44855</v>
      </c>
    </row>
    <row r="7">
      <c r="A7" s="74">
        <v>44856.0</v>
      </c>
      <c r="B7" s="5">
        <v>2206.37</v>
      </c>
      <c r="C7" s="5">
        <v>332.41</v>
      </c>
      <c r="D7" s="5">
        <v>876.0</v>
      </c>
      <c r="E7" s="6"/>
      <c r="F7" s="5"/>
      <c r="G7" s="5">
        <v>33.0</v>
      </c>
      <c r="H7" s="5">
        <v>379.35</v>
      </c>
      <c r="I7" s="6"/>
      <c r="J7" s="5"/>
      <c r="K7" s="5"/>
      <c r="L7" s="5">
        <v>912.0</v>
      </c>
      <c r="M7" s="6"/>
      <c r="N7" s="6"/>
      <c r="O7" s="6"/>
      <c r="P7" s="6"/>
      <c r="Q7" s="7">
        <f t="shared" si="1"/>
        <v>4739.13</v>
      </c>
      <c r="R7" s="8">
        <v>13995.4</v>
      </c>
      <c r="S7" s="59">
        <f t="shared" si="2"/>
        <v>0.3386205468</v>
      </c>
      <c r="T7" s="74">
        <f t="shared" si="3"/>
        <v>44856</v>
      </c>
    </row>
    <row r="8">
      <c r="A8" s="74">
        <v>44857.0</v>
      </c>
      <c r="B8" s="10" t="s">
        <v>21</v>
      </c>
      <c r="C8" s="10" t="s">
        <v>21</v>
      </c>
      <c r="D8" s="10" t="s">
        <v>21</v>
      </c>
      <c r="E8" s="10" t="s">
        <v>21</v>
      </c>
      <c r="F8" s="10" t="s">
        <v>21</v>
      </c>
      <c r="G8" s="10" t="s">
        <v>21</v>
      </c>
      <c r="H8" s="10" t="s">
        <v>21</v>
      </c>
      <c r="I8" s="10" t="s">
        <v>21</v>
      </c>
      <c r="J8" s="10" t="s">
        <v>21</v>
      </c>
      <c r="K8" s="10" t="s">
        <v>21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7">
        <v>0.0</v>
      </c>
      <c r="R8" s="8">
        <v>10065.2</v>
      </c>
      <c r="S8" s="59">
        <f t="shared" si="2"/>
        <v>0</v>
      </c>
      <c r="T8" s="74">
        <f t="shared" si="3"/>
        <v>44857</v>
      </c>
    </row>
    <row r="9">
      <c r="Q9" s="32" t="s">
        <v>83</v>
      </c>
      <c r="R9" s="32" t="s">
        <v>4</v>
      </c>
    </row>
    <row r="10">
      <c r="A10" s="4" t="s">
        <v>79</v>
      </c>
      <c r="B10" s="10">
        <v>13968.7</v>
      </c>
      <c r="C10" s="10">
        <v>2850.99</v>
      </c>
      <c r="D10" s="10">
        <v>876.0</v>
      </c>
      <c r="E10" s="10">
        <v>390.0</v>
      </c>
      <c r="F10" s="10">
        <v>1841.12</v>
      </c>
      <c r="G10" s="10">
        <v>225.0</v>
      </c>
      <c r="H10" s="10">
        <v>663.53</v>
      </c>
      <c r="I10" s="75">
        <v>1898.41</v>
      </c>
      <c r="J10" s="10">
        <v>441.97</v>
      </c>
      <c r="K10" s="10">
        <v>245.64</v>
      </c>
      <c r="L10" s="10">
        <v>912.0</v>
      </c>
      <c r="M10" s="75">
        <v>424.0</v>
      </c>
      <c r="N10" s="10">
        <v>61.9</v>
      </c>
      <c r="O10" s="10">
        <v>316.96</v>
      </c>
      <c r="P10" s="10">
        <v>221.94</v>
      </c>
      <c r="Q10" s="8">
        <v>242.77</v>
      </c>
      <c r="R10" s="8">
        <v>415.43</v>
      </c>
      <c r="S10" s="59"/>
      <c r="T10" s="74"/>
    </row>
    <row r="11">
      <c r="A11" s="4" t="s">
        <v>80</v>
      </c>
      <c r="B11" s="10">
        <f t="shared" ref="B11:P11" si="4">sum(B2:B8)-B10</f>
        <v>-1786</v>
      </c>
      <c r="C11" s="10">
        <f t="shared" si="4"/>
        <v>-722.47</v>
      </c>
      <c r="D11" s="10">
        <f t="shared" si="4"/>
        <v>0</v>
      </c>
      <c r="E11" s="10">
        <f t="shared" si="4"/>
        <v>0</v>
      </c>
      <c r="F11" s="10">
        <f t="shared" si="4"/>
        <v>0</v>
      </c>
      <c r="G11" s="10">
        <f t="shared" si="4"/>
        <v>0</v>
      </c>
      <c r="H11" s="10">
        <f t="shared" si="4"/>
        <v>-284.18</v>
      </c>
      <c r="I11" s="76">
        <f t="shared" si="4"/>
        <v>-560.05</v>
      </c>
      <c r="J11" s="10">
        <f t="shared" si="4"/>
        <v>0</v>
      </c>
      <c r="K11" s="10">
        <f t="shared" si="4"/>
        <v>0</v>
      </c>
      <c r="L11" s="10">
        <f t="shared" si="4"/>
        <v>0</v>
      </c>
      <c r="M11" s="76">
        <f t="shared" si="4"/>
        <v>-424</v>
      </c>
      <c r="N11" s="10">
        <f t="shared" si="4"/>
        <v>0</v>
      </c>
      <c r="O11" s="10">
        <f t="shared" si="4"/>
        <v>-16.96</v>
      </c>
      <c r="P11" s="10">
        <f t="shared" si="4"/>
        <v>0</v>
      </c>
      <c r="Q11" s="10">
        <f t="shared" ref="Q11:R11" si="5">Q10-0</f>
        <v>242.77</v>
      </c>
      <c r="R11" s="10">
        <f t="shared" si="5"/>
        <v>415.43</v>
      </c>
      <c r="S11" s="59"/>
      <c r="T11" s="74"/>
    </row>
    <row r="12">
      <c r="E12" s="52" t="s">
        <v>0</v>
      </c>
      <c r="F12" s="53"/>
    </row>
    <row r="13">
      <c r="A13" s="4" t="s">
        <v>22</v>
      </c>
      <c r="B13" s="11">
        <v>12000.0</v>
      </c>
      <c r="E13" s="77">
        <v>44851.0</v>
      </c>
      <c r="F13" s="54">
        <v>3671.74</v>
      </c>
    </row>
    <row r="14">
      <c r="A14" s="4" t="s">
        <v>23</v>
      </c>
      <c r="B14" s="12">
        <f>SUM(B2:P8)</f>
        <v>21544.5</v>
      </c>
      <c r="E14" s="77">
        <v>44852.0</v>
      </c>
      <c r="F14" s="54">
        <v>1298.79</v>
      </c>
    </row>
    <row r="15">
      <c r="A15" s="4" t="s">
        <v>24</v>
      </c>
      <c r="B15" s="12">
        <f> SUM(B13-B14)</f>
        <v>-9544.5</v>
      </c>
      <c r="E15" s="77">
        <v>44853.0</v>
      </c>
      <c r="F15" s="54">
        <v>825.31</v>
      </c>
    </row>
    <row r="16">
      <c r="E16" s="77">
        <v>44854.0</v>
      </c>
      <c r="F16" s="54">
        <v>2016.69</v>
      </c>
    </row>
    <row r="17">
      <c r="A17" s="13" t="s">
        <v>25</v>
      </c>
      <c r="B17" s="14">
        <f>SUM(R2:R8)</f>
        <v>63919.2</v>
      </c>
      <c r="E17" s="77">
        <v>44855.0</v>
      </c>
      <c r="F17" s="54">
        <v>1994.43</v>
      </c>
    </row>
    <row r="18">
      <c r="A18" s="13" t="s">
        <v>26</v>
      </c>
      <c r="B18" s="15">
        <f>B14/B17</f>
        <v>0.3370583487</v>
      </c>
      <c r="E18" s="77">
        <v>44856.0</v>
      </c>
      <c r="F18" s="54">
        <v>1961.87</v>
      </c>
    </row>
    <row r="19">
      <c r="E19" s="52" t="s">
        <v>35</v>
      </c>
      <c r="F19" s="54">
        <v>11768.83</v>
      </c>
    </row>
    <row r="21">
      <c r="A21" s="16" t="s">
        <v>27</v>
      </c>
      <c r="B21" s="17"/>
      <c r="C21" s="17"/>
      <c r="D21" s="18"/>
      <c r="G21" s="60" t="s">
        <v>61</v>
      </c>
      <c r="H21" s="61"/>
      <c r="I21" s="62"/>
    </row>
    <row r="22">
      <c r="A22" s="19" t="s">
        <v>28</v>
      </c>
      <c r="B22" s="20"/>
      <c r="C22" s="20"/>
      <c r="D22" s="21"/>
      <c r="G22" s="63" t="s">
        <v>62</v>
      </c>
      <c r="H22" s="63" t="s">
        <v>63</v>
      </c>
      <c r="I22" s="63" t="s">
        <v>64</v>
      </c>
    </row>
    <row r="23">
      <c r="A23" s="22" t="s">
        <v>29</v>
      </c>
      <c r="B23" s="23" t="s">
        <v>30</v>
      </c>
      <c r="C23" s="22" t="s">
        <v>31</v>
      </c>
      <c r="D23" s="24" t="s">
        <v>30</v>
      </c>
      <c r="G23" s="64">
        <v>44853.0</v>
      </c>
      <c r="H23" s="63"/>
      <c r="I23" s="63"/>
      <c r="J23" s="32"/>
    </row>
    <row r="24">
      <c r="A24" s="28" t="s">
        <v>69</v>
      </c>
      <c r="B24" s="41">
        <v>343.32</v>
      </c>
      <c r="C24" s="25"/>
      <c r="D24" s="27"/>
      <c r="G24" s="70"/>
      <c r="H24" s="63"/>
      <c r="I24" s="63"/>
    </row>
    <row r="25">
      <c r="A25" s="28" t="s">
        <v>84</v>
      </c>
      <c r="B25" s="41">
        <v>381.3</v>
      </c>
      <c r="C25" s="25"/>
      <c r="D25" s="27"/>
      <c r="G25" s="65"/>
      <c r="H25" s="65"/>
      <c r="I25" s="65"/>
    </row>
    <row r="26">
      <c r="A26" s="71" t="s">
        <v>51</v>
      </c>
      <c r="B26" s="58">
        <v>465.59</v>
      </c>
      <c r="C26" s="25"/>
      <c r="D26" s="27"/>
      <c r="G26" s="65"/>
      <c r="H26" s="65"/>
      <c r="I26" s="65"/>
    </row>
    <row r="27">
      <c r="A27" s="28" t="s">
        <v>81</v>
      </c>
      <c r="B27" s="58">
        <v>560.05</v>
      </c>
      <c r="C27" s="25"/>
      <c r="D27" s="27"/>
      <c r="G27" s="65"/>
      <c r="H27" s="65"/>
      <c r="I27" s="65"/>
    </row>
    <row r="28">
      <c r="A28" s="28" t="s">
        <v>81</v>
      </c>
      <c r="B28" s="41">
        <v>312.78</v>
      </c>
      <c r="C28" s="25"/>
      <c r="D28" s="27"/>
      <c r="G28" s="65"/>
      <c r="H28" s="65"/>
      <c r="I28" s="65"/>
    </row>
    <row r="29">
      <c r="A29" s="25"/>
      <c r="B29" s="26"/>
      <c r="C29" s="25"/>
      <c r="D29" s="27"/>
      <c r="G29" s="65"/>
      <c r="H29" s="65"/>
      <c r="I29" s="65"/>
    </row>
    <row r="30">
      <c r="A30" s="25"/>
      <c r="B30" s="26"/>
      <c r="C30" s="25"/>
      <c r="D30" s="27"/>
    </row>
    <row r="31">
      <c r="A31" s="25"/>
      <c r="B31" s="26"/>
      <c r="C31" s="25"/>
      <c r="D31" s="27"/>
      <c r="H31" s="66" t="s">
        <v>68</v>
      </c>
      <c r="I31" s="67"/>
    </row>
    <row r="32">
      <c r="A32" s="25"/>
      <c r="B32" s="26"/>
      <c r="C32" s="25"/>
      <c r="D32" s="27"/>
    </row>
    <row r="33">
      <c r="A33" s="25"/>
      <c r="B33" s="26"/>
      <c r="C33" s="25"/>
      <c r="D33" s="27"/>
    </row>
    <row r="34">
      <c r="A34" s="25"/>
      <c r="B34" s="26"/>
      <c r="C34" s="25"/>
      <c r="D34" s="27"/>
    </row>
    <row r="35">
      <c r="A35" s="25"/>
      <c r="B35" s="26"/>
      <c r="C35" s="25"/>
      <c r="D35" s="27"/>
    </row>
    <row r="36">
      <c r="A36" s="29" t="s">
        <v>35</v>
      </c>
      <c r="B36" s="30">
        <f>sum(B24:B35)</f>
        <v>2063.04</v>
      </c>
      <c r="C36" s="31"/>
      <c r="D36" s="30">
        <f>sum(D24:D35)</f>
        <v>0</v>
      </c>
    </row>
  </sheetData>
  <mergeCells count="1">
    <mergeCell ref="G21:I21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0" max="20" width="19.63"/>
  </cols>
  <sheetData>
    <row r="1">
      <c r="A1" s="1"/>
      <c r="B1" s="2" t="s">
        <v>0</v>
      </c>
      <c r="C1" s="2" t="s">
        <v>1</v>
      </c>
      <c r="D1" s="2" t="s">
        <v>7</v>
      </c>
      <c r="E1" s="2" t="s">
        <v>3</v>
      </c>
      <c r="F1" s="2" t="s">
        <v>5</v>
      </c>
      <c r="G1" s="2" t="s">
        <v>6</v>
      </c>
      <c r="H1" s="2" t="s">
        <v>43</v>
      </c>
      <c r="I1" s="2" t="s">
        <v>40</v>
      </c>
      <c r="J1" s="2" t="s">
        <v>49</v>
      </c>
      <c r="K1" s="2" t="s">
        <v>42</v>
      </c>
      <c r="L1" s="2" t="s">
        <v>9</v>
      </c>
      <c r="M1" s="2" t="s">
        <v>37</v>
      </c>
      <c r="N1" s="2" t="s">
        <v>10</v>
      </c>
      <c r="O1" s="2" t="s">
        <v>11</v>
      </c>
      <c r="P1" s="2" t="s">
        <v>12</v>
      </c>
      <c r="Q1" s="3" t="s">
        <v>13</v>
      </c>
      <c r="R1" s="3" t="s">
        <v>14</v>
      </c>
      <c r="S1" s="3" t="s">
        <v>15</v>
      </c>
    </row>
    <row r="2">
      <c r="A2" s="74">
        <v>44858.0</v>
      </c>
      <c r="B2" s="5">
        <v>1880.22</v>
      </c>
      <c r="C2" s="5">
        <v>778.37</v>
      </c>
      <c r="D2" s="5"/>
      <c r="E2" s="5"/>
      <c r="F2" s="5">
        <v>343.32</v>
      </c>
      <c r="G2" s="5"/>
      <c r="H2" s="5">
        <v>381.3</v>
      </c>
      <c r="I2" s="42">
        <v>560.05</v>
      </c>
      <c r="J2" s="5">
        <v>180.0</v>
      </c>
      <c r="K2" s="6"/>
      <c r="L2" s="6"/>
      <c r="M2" s="5">
        <v>424.0</v>
      </c>
      <c r="N2" s="5"/>
      <c r="O2" s="5">
        <v>100.0</v>
      </c>
      <c r="P2" s="6"/>
      <c r="Q2" s="7">
        <f t="shared" ref="Q2:Q7" si="1">SUM(B2:P2)</f>
        <v>4647.26</v>
      </c>
      <c r="R2" s="8">
        <v>5113.6</v>
      </c>
      <c r="S2" s="59">
        <f t="shared" ref="S2:S8" si="2">Q2/R2</f>
        <v>0.9088039737</v>
      </c>
      <c r="T2" s="74">
        <f t="shared" ref="T2:T8" si="3">A2</f>
        <v>44858</v>
      </c>
    </row>
    <row r="3">
      <c r="A3" s="74">
        <v>44859.0</v>
      </c>
      <c r="B3" s="5">
        <v>1957.31</v>
      </c>
      <c r="C3" s="5">
        <v>242.4</v>
      </c>
      <c r="D3" s="5"/>
      <c r="E3" s="5"/>
      <c r="F3" s="5"/>
      <c r="G3" s="5"/>
      <c r="H3" s="5"/>
      <c r="I3" s="42"/>
      <c r="J3" s="5"/>
      <c r="K3" s="5">
        <v>97.75</v>
      </c>
      <c r="L3" s="6"/>
      <c r="M3" s="5"/>
      <c r="N3" s="5">
        <v>16.95</v>
      </c>
      <c r="O3" s="5"/>
      <c r="P3" s="6"/>
      <c r="Q3" s="7">
        <f t="shared" si="1"/>
        <v>2314.41</v>
      </c>
      <c r="R3" s="8">
        <v>7416.4</v>
      </c>
      <c r="S3" s="59">
        <f t="shared" si="2"/>
        <v>0.3120665013</v>
      </c>
      <c r="T3" s="74">
        <f t="shared" si="3"/>
        <v>44859</v>
      </c>
    </row>
    <row r="4">
      <c r="A4" s="74">
        <v>44860.0</v>
      </c>
      <c r="B4" s="5">
        <v>1227.57</v>
      </c>
      <c r="C4" s="5">
        <v>718.67</v>
      </c>
      <c r="D4" s="5"/>
      <c r="E4" s="5">
        <v>390.0</v>
      </c>
      <c r="F4" s="5">
        <v>649.95</v>
      </c>
      <c r="G4" s="5">
        <v>49.5</v>
      </c>
      <c r="H4" s="5"/>
      <c r="I4" s="42"/>
      <c r="J4" s="5"/>
      <c r="K4" s="5"/>
      <c r="L4" s="6"/>
      <c r="M4" s="5"/>
      <c r="N4" s="5"/>
      <c r="O4" s="5">
        <v>100.0</v>
      </c>
      <c r="P4" s="6"/>
      <c r="Q4" s="7">
        <f t="shared" si="1"/>
        <v>3135.69</v>
      </c>
      <c r="R4" s="8">
        <v>7212.26</v>
      </c>
      <c r="S4" s="59">
        <f t="shared" si="2"/>
        <v>0.4347721796</v>
      </c>
      <c r="T4" s="74">
        <f t="shared" si="3"/>
        <v>44860</v>
      </c>
    </row>
    <row r="5">
      <c r="A5" s="74">
        <v>44861.0</v>
      </c>
      <c r="B5" s="5">
        <v>1133.02</v>
      </c>
      <c r="C5" s="5">
        <v>93.28</v>
      </c>
      <c r="D5" s="6"/>
      <c r="E5" s="6"/>
      <c r="F5" s="5"/>
      <c r="G5" s="5"/>
      <c r="H5" s="5"/>
      <c r="I5" s="5"/>
      <c r="J5" s="5"/>
      <c r="K5" s="5"/>
      <c r="L5" s="5"/>
      <c r="M5" s="5"/>
      <c r="N5" s="5"/>
      <c r="O5" s="6"/>
      <c r="P5" s="6"/>
      <c r="Q5" s="7">
        <f t="shared" si="1"/>
        <v>1226.3</v>
      </c>
      <c r="R5" s="8">
        <v>6019.0</v>
      </c>
      <c r="S5" s="59">
        <f t="shared" si="2"/>
        <v>0.2037381625</v>
      </c>
      <c r="T5" s="74">
        <f t="shared" si="3"/>
        <v>44861</v>
      </c>
    </row>
    <row r="6">
      <c r="A6" s="74">
        <v>44862.0</v>
      </c>
      <c r="B6" s="5">
        <v>1687.16</v>
      </c>
      <c r="C6" s="5">
        <v>238.59</v>
      </c>
      <c r="D6" s="6"/>
      <c r="E6" s="6"/>
      <c r="F6" s="5"/>
      <c r="G6" s="5">
        <v>142.5</v>
      </c>
      <c r="H6" s="5"/>
      <c r="I6" s="5"/>
      <c r="J6" s="5"/>
      <c r="K6" s="5"/>
      <c r="L6" s="6"/>
      <c r="M6" s="5"/>
      <c r="N6" s="5"/>
      <c r="O6" s="5">
        <v>100.0</v>
      </c>
      <c r="P6" s="5">
        <v>221.94</v>
      </c>
      <c r="Q6" s="7">
        <f t="shared" si="1"/>
        <v>2390.19</v>
      </c>
      <c r="R6" s="8">
        <v>10827.0</v>
      </c>
      <c r="S6" s="59">
        <f t="shared" si="2"/>
        <v>0.2207619839</v>
      </c>
      <c r="T6" s="74">
        <f t="shared" si="3"/>
        <v>44862</v>
      </c>
    </row>
    <row r="7">
      <c r="A7" s="74">
        <v>44863.0</v>
      </c>
      <c r="B7" s="5">
        <v>1034.79</v>
      </c>
      <c r="C7" s="5">
        <v>192.23</v>
      </c>
      <c r="D7" s="44">
        <v>362.0</v>
      </c>
      <c r="E7" s="6"/>
      <c r="F7" s="5"/>
      <c r="G7" s="5">
        <v>33.0</v>
      </c>
      <c r="H7" s="5">
        <v>625.07</v>
      </c>
      <c r="I7" s="6"/>
      <c r="J7" s="5"/>
      <c r="K7" s="5"/>
      <c r="L7" s="44">
        <v>766.5</v>
      </c>
      <c r="M7" s="6"/>
      <c r="N7" s="6"/>
      <c r="O7" s="6"/>
      <c r="P7" s="6"/>
      <c r="Q7" s="7">
        <f t="shared" si="1"/>
        <v>3013.59</v>
      </c>
      <c r="R7" s="8">
        <v>13140.5</v>
      </c>
      <c r="S7" s="59">
        <f t="shared" si="2"/>
        <v>0.2293360222</v>
      </c>
      <c r="T7" s="74">
        <f t="shared" si="3"/>
        <v>44863</v>
      </c>
    </row>
    <row r="8">
      <c r="A8" s="74">
        <v>44864.0</v>
      </c>
      <c r="B8" s="10" t="s">
        <v>21</v>
      </c>
      <c r="C8" s="10" t="s">
        <v>21</v>
      </c>
      <c r="D8" s="10" t="s">
        <v>21</v>
      </c>
      <c r="E8" s="10" t="s">
        <v>21</v>
      </c>
      <c r="F8" s="10" t="s">
        <v>21</v>
      </c>
      <c r="G8" s="10" t="s">
        <v>21</v>
      </c>
      <c r="H8" s="10" t="s">
        <v>21</v>
      </c>
      <c r="I8" s="10" t="s">
        <v>21</v>
      </c>
      <c r="J8" s="10" t="s">
        <v>21</v>
      </c>
      <c r="K8" s="10" t="s">
        <v>21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7">
        <v>0.0</v>
      </c>
      <c r="R8" s="8">
        <v>8890.5</v>
      </c>
      <c r="S8" s="59">
        <f t="shared" si="2"/>
        <v>0</v>
      </c>
      <c r="T8" s="74">
        <f t="shared" si="3"/>
        <v>44864</v>
      </c>
    </row>
    <row r="9">
      <c r="Q9" s="32" t="s">
        <v>4</v>
      </c>
      <c r="R9" s="32" t="s">
        <v>85</v>
      </c>
    </row>
    <row r="10">
      <c r="A10" s="4" t="s">
        <v>79</v>
      </c>
      <c r="B10" s="10">
        <v>8904.62</v>
      </c>
      <c r="C10" s="10">
        <v>2463.54</v>
      </c>
      <c r="D10" s="10">
        <v>418.0</v>
      </c>
      <c r="E10" s="10">
        <v>390.0</v>
      </c>
      <c r="F10" s="10">
        <v>1526.85</v>
      </c>
      <c r="G10" s="10">
        <v>225.0</v>
      </c>
      <c r="H10" s="10">
        <v>625.07</v>
      </c>
      <c r="I10" s="10">
        <v>2046.35</v>
      </c>
      <c r="J10" s="10">
        <v>180.0</v>
      </c>
      <c r="K10" s="10">
        <v>97.75</v>
      </c>
      <c r="L10" s="10">
        <v>810.75</v>
      </c>
      <c r="M10" s="10">
        <v>424.0</v>
      </c>
      <c r="N10" s="10">
        <v>16.95</v>
      </c>
      <c r="O10" s="10">
        <v>466.62</v>
      </c>
      <c r="P10" s="10"/>
      <c r="Q10" s="8">
        <v>257.99</v>
      </c>
      <c r="R10" s="8">
        <v>413.23</v>
      </c>
      <c r="S10" s="59"/>
      <c r="T10" s="74"/>
    </row>
    <row r="11">
      <c r="A11" s="4" t="s">
        <v>80</v>
      </c>
      <c r="B11" s="10">
        <f t="shared" ref="B11:P11" si="4">sum(B2:B8)-B10</f>
        <v>15.45</v>
      </c>
      <c r="C11" s="10">
        <f t="shared" si="4"/>
        <v>-200</v>
      </c>
      <c r="D11" s="76">
        <f t="shared" si="4"/>
        <v>-56</v>
      </c>
      <c r="E11" s="10">
        <f t="shared" si="4"/>
        <v>0</v>
      </c>
      <c r="F11" s="10">
        <f t="shared" si="4"/>
        <v>-533.58</v>
      </c>
      <c r="G11" s="10">
        <f t="shared" si="4"/>
        <v>0</v>
      </c>
      <c r="H11" s="10">
        <f t="shared" si="4"/>
        <v>381.3</v>
      </c>
      <c r="I11" s="76">
        <f t="shared" si="4"/>
        <v>-1486.3</v>
      </c>
      <c r="J11" s="10">
        <f t="shared" si="4"/>
        <v>0</v>
      </c>
      <c r="K11" s="10">
        <f t="shared" si="4"/>
        <v>0</v>
      </c>
      <c r="L11" s="10">
        <f t="shared" si="4"/>
        <v>-44.25</v>
      </c>
      <c r="M11" s="10">
        <f t="shared" si="4"/>
        <v>0</v>
      </c>
      <c r="N11" s="10">
        <f t="shared" si="4"/>
        <v>0</v>
      </c>
      <c r="O11" s="10">
        <f t="shared" si="4"/>
        <v>-166.62</v>
      </c>
      <c r="P11" s="10">
        <f t="shared" si="4"/>
        <v>221.94</v>
      </c>
      <c r="Q11" s="10">
        <f t="shared" ref="Q11:R11" si="5">Q10-0</f>
        <v>257.99</v>
      </c>
      <c r="R11" s="10">
        <f t="shared" si="5"/>
        <v>413.23</v>
      </c>
      <c r="S11" s="59"/>
      <c r="T11" s="74"/>
    </row>
    <row r="12">
      <c r="L12" s="32" t="s">
        <v>86</v>
      </c>
    </row>
    <row r="13">
      <c r="A13" s="4" t="s">
        <v>22</v>
      </c>
      <c r="B13" s="11">
        <v>12000.0</v>
      </c>
      <c r="F13" s="32" t="s">
        <v>87</v>
      </c>
      <c r="O13" s="32" t="s">
        <v>88</v>
      </c>
    </row>
    <row r="14">
      <c r="A14" s="4" t="s">
        <v>23</v>
      </c>
      <c r="B14" s="12">
        <f>SUM(B2:P8)</f>
        <v>16727.44</v>
      </c>
      <c r="C14" s="32">
        <v>18414.0</v>
      </c>
      <c r="D14" s="45">
        <f>C14-B14</f>
        <v>1686.56</v>
      </c>
      <c r="E14" s="56"/>
      <c r="F14" s="32" t="s">
        <v>89</v>
      </c>
      <c r="O14" s="32" t="s">
        <v>90</v>
      </c>
    </row>
    <row r="15">
      <c r="A15" s="4" t="s">
        <v>24</v>
      </c>
      <c r="B15" s="12">
        <f> SUM(B13-B14)</f>
        <v>-4727.44</v>
      </c>
      <c r="F15" s="32" t="s">
        <v>91</v>
      </c>
    </row>
    <row r="17">
      <c r="A17" s="13" t="s">
        <v>25</v>
      </c>
      <c r="B17" s="14">
        <f>SUM(R2:R8)</f>
        <v>58619.26</v>
      </c>
    </row>
    <row r="18">
      <c r="A18" s="13" t="s">
        <v>26</v>
      </c>
      <c r="B18" s="15">
        <f>B14/B17</f>
        <v>0.2853574064</v>
      </c>
    </row>
    <row r="21">
      <c r="A21" s="16" t="s">
        <v>27</v>
      </c>
      <c r="B21" s="17"/>
      <c r="C21" s="17"/>
      <c r="D21" s="18"/>
      <c r="G21" s="60" t="s">
        <v>61</v>
      </c>
      <c r="H21" s="61"/>
      <c r="I21" s="62"/>
    </row>
    <row r="22">
      <c r="A22" s="19" t="s">
        <v>28</v>
      </c>
      <c r="B22" s="20"/>
      <c r="C22" s="20"/>
      <c r="D22" s="21"/>
      <c r="G22" s="63" t="s">
        <v>62</v>
      </c>
      <c r="H22" s="63" t="s">
        <v>63</v>
      </c>
      <c r="I22" s="63" t="s">
        <v>64</v>
      </c>
    </row>
    <row r="23">
      <c r="A23" s="22" t="s">
        <v>29</v>
      </c>
      <c r="B23" s="23" t="s">
        <v>30</v>
      </c>
      <c r="C23" s="22" t="s">
        <v>31</v>
      </c>
      <c r="D23" s="24" t="s">
        <v>30</v>
      </c>
      <c r="G23" s="64">
        <v>44858.0</v>
      </c>
      <c r="H23" s="63" t="s">
        <v>65</v>
      </c>
      <c r="I23" s="63" t="s">
        <v>65</v>
      </c>
      <c r="J23" s="32"/>
    </row>
    <row r="24">
      <c r="A24" s="28" t="s">
        <v>61</v>
      </c>
      <c r="B24" s="58">
        <v>380.0</v>
      </c>
      <c r="C24" s="25"/>
      <c r="D24" s="27"/>
      <c r="G24" s="70">
        <v>44862.0</v>
      </c>
      <c r="H24" s="63" t="s">
        <v>77</v>
      </c>
      <c r="I24" s="63"/>
    </row>
    <row r="25">
      <c r="A25" s="28" t="s">
        <v>92</v>
      </c>
      <c r="B25" s="58">
        <v>200.0</v>
      </c>
      <c r="C25" s="25"/>
      <c r="D25" s="27"/>
      <c r="G25" s="65"/>
      <c r="H25" s="65"/>
      <c r="I25" s="65"/>
    </row>
    <row r="26">
      <c r="A26" s="71"/>
      <c r="B26" s="72"/>
      <c r="C26" s="25"/>
      <c r="D26" s="27"/>
      <c r="G26" s="65"/>
      <c r="H26" s="65"/>
      <c r="I26" s="65"/>
    </row>
    <row r="27">
      <c r="A27" s="28"/>
      <c r="B27" s="26"/>
      <c r="C27" s="25"/>
      <c r="D27" s="27"/>
      <c r="G27" s="65"/>
      <c r="H27" s="65"/>
      <c r="I27" s="65"/>
    </row>
    <row r="28">
      <c r="A28" s="25"/>
      <c r="B28" s="26"/>
      <c r="C28" s="25"/>
      <c r="D28" s="27"/>
      <c r="G28" s="65"/>
      <c r="H28" s="65"/>
      <c r="I28" s="65"/>
    </row>
    <row r="29">
      <c r="A29" s="25"/>
      <c r="B29" s="26"/>
      <c r="C29" s="25"/>
      <c r="D29" s="27"/>
      <c r="G29" s="65"/>
      <c r="H29" s="65"/>
      <c r="I29" s="65"/>
    </row>
    <row r="30">
      <c r="A30" s="25"/>
      <c r="B30" s="26"/>
      <c r="C30" s="25"/>
      <c r="D30" s="27"/>
    </row>
    <row r="31">
      <c r="A31" s="25"/>
      <c r="B31" s="26"/>
      <c r="C31" s="25"/>
      <c r="D31" s="27"/>
      <c r="H31" s="66" t="s">
        <v>68</v>
      </c>
      <c r="I31" s="67"/>
    </row>
    <row r="32">
      <c r="A32" s="25"/>
      <c r="B32" s="26"/>
      <c r="C32" s="25"/>
      <c r="D32" s="27"/>
    </row>
    <row r="33">
      <c r="A33" s="25"/>
      <c r="B33" s="26"/>
      <c r="C33" s="25"/>
      <c r="D33" s="27"/>
    </row>
    <row r="34">
      <c r="A34" s="25"/>
      <c r="B34" s="26"/>
      <c r="C34" s="25"/>
      <c r="D34" s="27"/>
    </row>
    <row r="35">
      <c r="A35" s="25"/>
      <c r="B35" s="26"/>
      <c r="C35" s="25"/>
      <c r="D35" s="27"/>
    </row>
    <row r="36">
      <c r="A36" s="29" t="s">
        <v>35</v>
      </c>
      <c r="B36" s="30">
        <f>sum(B24:B35)</f>
        <v>580</v>
      </c>
      <c r="C36" s="31"/>
      <c r="D36" s="30">
        <f>sum(D24:D35)</f>
        <v>0</v>
      </c>
    </row>
  </sheetData>
  <mergeCells count="1">
    <mergeCell ref="G21:I21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19" max="19" width="15.88"/>
    <col customWidth="1" min="20" max="20" width="15.13"/>
    <col customWidth="1" min="21" max="21" width="21.88"/>
  </cols>
  <sheetData>
    <row r="1">
      <c r="B1" s="2" t="s">
        <v>0</v>
      </c>
      <c r="C1" s="2" t="s">
        <v>1</v>
      </c>
      <c r="D1" s="2" t="s">
        <v>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43</v>
      </c>
      <c r="J1" s="2" t="s">
        <v>40</v>
      </c>
      <c r="K1" s="2" t="s">
        <v>49</v>
      </c>
      <c r="L1" s="2" t="s">
        <v>42</v>
      </c>
      <c r="M1" s="2" t="s">
        <v>9</v>
      </c>
      <c r="N1" s="2" t="s">
        <v>37</v>
      </c>
      <c r="O1" s="2" t="s">
        <v>10</v>
      </c>
      <c r="P1" s="2" t="s">
        <v>11</v>
      </c>
      <c r="Q1" s="2" t="s">
        <v>12</v>
      </c>
      <c r="R1" s="3" t="s">
        <v>13</v>
      </c>
      <c r="S1" s="3" t="s">
        <v>14</v>
      </c>
      <c r="T1" s="3" t="s">
        <v>15</v>
      </c>
    </row>
    <row r="2">
      <c r="A2" s="74">
        <v>44865.0</v>
      </c>
      <c r="B2" s="5">
        <v>1230.47</v>
      </c>
      <c r="C2" s="5">
        <v>315.71</v>
      </c>
      <c r="D2" s="5"/>
      <c r="E2" s="5"/>
      <c r="F2" s="5"/>
      <c r="G2" s="5">
        <v>380.0</v>
      </c>
      <c r="H2" s="5"/>
      <c r="I2" s="5"/>
      <c r="J2" s="42">
        <v>1335.17</v>
      </c>
      <c r="K2" s="5">
        <v>180.0</v>
      </c>
      <c r="L2" s="6"/>
      <c r="M2" s="6"/>
      <c r="N2" s="5">
        <v>424.0</v>
      </c>
      <c r="O2" s="5"/>
      <c r="P2" s="5">
        <v>100.0</v>
      </c>
      <c r="Q2" s="6"/>
      <c r="R2" s="7">
        <f t="shared" ref="R2:R7" si="1">SUM(B2:Q2)</f>
        <v>3965.35</v>
      </c>
      <c r="S2" s="8">
        <v>2368.2</v>
      </c>
      <c r="T2" s="59">
        <f t="shared" ref="T2:T8" si="2">R2/S2</f>
        <v>1.674415168</v>
      </c>
      <c r="U2" s="74">
        <f t="shared" ref="U2:U8" si="3">A2</f>
        <v>44865</v>
      </c>
    </row>
    <row r="3">
      <c r="A3" s="74">
        <v>44866.0</v>
      </c>
      <c r="B3" s="5">
        <v>3004.87</v>
      </c>
      <c r="C3" s="33">
        <v>103.35</v>
      </c>
      <c r="D3" s="5"/>
      <c r="E3" s="5"/>
      <c r="F3" s="5"/>
      <c r="G3" s="5"/>
      <c r="H3" s="5"/>
      <c r="I3" s="5"/>
      <c r="J3" s="42"/>
      <c r="K3" s="5"/>
      <c r="L3" s="5"/>
      <c r="M3" s="6"/>
      <c r="N3" s="5"/>
      <c r="O3" s="5">
        <v>16.95</v>
      </c>
      <c r="P3" s="5"/>
      <c r="Q3" s="5">
        <v>221.94</v>
      </c>
      <c r="R3" s="7">
        <f t="shared" si="1"/>
        <v>3347.11</v>
      </c>
      <c r="S3" s="8">
        <v>5955.3</v>
      </c>
      <c r="T3" s="59">
        <f t="shared" si="2"/>
        <v>0.5620388561</v>
      </c>
      <c r="U3" s="74">
        <f t="shared" si="3"/>
        <v>44866</v>
      </c>
    </row>
    <row r="4">
      <c r="A4" s="74">
        <v>44867.0</v>
      </c>
      <c r="B4" s="5">
        <v>1001.9</v>
      </c>
      <c r="C4" s="5">
        <v>52.88</v>
      </c>
      <c r="D4" s="5"/>
      <c r="E4" s="5">
        <v>240.0</v>
      </c>
      <c r="F4" s="5"/>
      <c r="G4" s="5"/>
      <c r="H4" s="5">
        <v>49.5</v>
      </c>
      <c r="I4" s="5"/>
      <c r="J4" s="42"/>
      <c r="K4" s="5"/>
      <c r="L4" s="5"/>
      <c r="M4" s="6"/>
      <c r="N4" s="5"/>
      <c r="O4" s="5"/>
      <c r="P4" s="5">
        <v>100.0</v>
      </c>
      <c r="Q4" s="6"/>
      <c r="R4" s="7">
        <f t="shared" si="1"/>
        <v>1444.28</v>
      </c>
      <c r="S4" s="8">
        <f>6755+369</f>
        <v>7124</v>
      </c>
      <c r="T4" s="59">
        <f t="shared" si="2"/>
        <v>0.2027344189</v>
      </c>
      <c r="U4" s="74">
        <f t="shared" si="3"/>
        <v>44867</v>
      </c>
    </row>
    <row r="5">
      <c r="A5" s="74">
        <v>44868.0</v>
      </c>
      <c r="B5" s="5">
        <v>1773.17</v>
      </c>
      <c r="C5" s="5">
        <v>422.3</v>
      </c>
      <c r="D5" s="6"/>
      <c r="E5" s="6"/>
      <c r="F5" s="5"/>
      <c r="G5" s="5">
        <v>126.72</v>
      </c>
      <c r="H5" s="5"/>
      <c r="I5" s="5"/>
      <c r="J5" s="5"/>
      <c r="K5" s="5"/>
      <c r="L5" s="5"/>
      <c r="M5" s="5"/>
      <c r="N5" s="5"/>
      <c r="O5" s="5"/>
      <c r="P5" s="6"/>
      <c r="Q5" s="6"/>
      <c r="R5" s="7">
        <f t="shared" si="1"/>
        <v>2322.19</v>
      </c>
      <c r="S5" s="8">
        <v>8641.3</v>
      </c>
      <c r="T5" s="59">
        <f t="shared" si="2"/>
        <v>0.2687315566</v>
      </c>
      <c r="U5" s="74">
        <f t="shared" si="3"/>
        <v>44868</v>
      </c>
    </row>
    <row r="6">
      <c r="A6" s="74">
        <v>44869.0</v>
      </c>
      <c r="B6" s="5">
        <v>982.6</v>
      </c>
      <c r="C6" s="5"/>
      <c r="D6" s="6"/>
      <c r="E6" s="6"/>
      <c r="F6" s="5"/>
      <c r="G6" s="5">
        <v>516.9</v>
      </c>
      <c r="H6" s="5">
        <v>142.5</v>
      </c>
      <c r="I6" s="5"/>
      <c r="J6" s="5"/>
      <c r="K6" s="5"/>
      <c r="L6" s="5"/>
      <c r="M6" s="6"/>
      <c r="N6" s="5"/>
      <c r="O6" s="5"/>
      <c r="P6" s="5">
        <v>100.0</v>
      </c>
      <c r="Q6" s="5"/>
      <c r="R6" s="7">
        <f t="shared" si="1"/>
        <v>1742</v>
      </c>
      <c r="S6" s="8">
        <v>13867.0</v>
      </c>
      <c r="T6" s="59">
        <f t="shared" si="2"/>
        <v>0.1256219802</v>
      </c>
      <c r="U6" s="74">
        <f t="shared" si="3"/>
        <v>44869</v>
      </c>
    </row>
    <row r="7">
      <c r="A7" s="74">
        <v>44870.0</v>
      </c>
      <c r="B7" s="5">
        <v>2056.02</v>
      </c>
      <c r="C7" s="5">
        <v>326.95</v>
      </c>
      <c r="D7" s="44">
        <v>800.0</v>
      </c>
      <c r="E7" s="6"/>
      <c r="F7" s="5"/>
      <c r="G7" s="5"/>
      <c r="H7" s="5">
        <v>33.0</v>
      </c>
      <c r="I7" s="5"/>
      <c r="J7" s="6"/>
      <c r="K7" s="5"/>
      <c r="L7" s="5"/>
      <c r="M7" s="44">
        <v>800.0</v>
      </c>
      <c r="N7" s="6"/>
      <c r="O7" s="6"/>
      <c r="P7" s="6"/>
      <c r="Q7" s="6"/>
      <c r="R7" s="7">
        <f t="shared" si="1"/>
        <v>4015.97</v>
      </c>
      <c r="S7" s="8">
        <v>15821.01</v>
      </c>
      <c r="T7" s="59">
        <f t="shared" si="2"/>
        <v>0.2538377765</v>
      </c>
      <c r="U7" s="74">
        <f t="shared" si="3"/>
        <v>44870</v>
      </c>
    </row>
    <row r="8">
      <c r="A8" s="74">
        <v>44871.0</v>
      </c>
      <c r="B8" s="10" t="s">
        <v>21</v>
      </c>
      <c r="C8" s="10" t="s">
        <v>21</v>
      </c>
      <c r="D8" s="10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0" t="s">
        <v>21</v>
      </c>
      <c r="K8" s="10" t="s">
        <v>21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0" t="s">
        <v>21</v>
      </c>
      <c r="R8" s="7">
        <v>0.0</v>
      </c>
      <c r="S8" s="8">
        <v>9909.2</v>
      </c>
      <c r="T8" s="59">
        <f t="shared" si="2"/>
        <v>0</v>
      </c>
      <c r="U8" s="74">
        <f t="shared" si="3"/>
        <v>44871</v>
      </c>
    </row>
    <row r="10">
      <c r="A10" s="4" t="s">
        <v>79</v>
      </c>
      <c r="B10" s="10">
        <v>10564.26</v>
      </c>
      <c r="C10" s="10">
        <v>1664.25</v>
      </c>
      <c r="D10" s="10">
        <v>679.0</v>
      </c>
      <c r="E10" s="10">
        <v>290.0</v>
      </c>
      <c r="F10" s="10">
        <v>132.97</v>
      </c>
      <c r="G10" s="10">
        <v>1169.87</v>
      </c>
      <c r="H10" s="10">
        <v>225.0</v>
      </c>
      <c r="I10" s="10"/>
      <c r="J10" s="10">
        <v>1460.63</v>
      </c>
      <c r="K10" s="10">
        <v>180.0</v>
      </c>
      <c r="L10" s="10"/>
      <c r="M10" s="10">
        <v>828.33</v>
      </c>
      <c r="N10" s="10"/>
      <c r="O10" s="10"/>
      <c r="P10" s="10">
        <v>616.28</v>
      </c>
      <c r="Q10" s="5">
        <v>221.94</v>
      </c>
      <c r="R10" s="8"/>
      <c r="S10" s="59"/>
      <c r="T10" s="74"/>
    </row>
    <row r="11">
      <c r="A11" s="4" t="s">
        <v>80</v>
      </c>
      <c r="B11" s="10">
        <f t="shared" ref="B11:P11" si="4">sum(B2:B8)-B10</f>
        <v>-515.23</v>
      </c>
      <c r="C11" s="10">
        <f t="shared" si="4"/>
        <v>-443.06</v>
      </c>
      <c r="D11" s="10">
        <f t="shared" si="4"/>
        <v>121</v>
      </c>
      <c r="E11" s="10">
        <f t="shared" si="4"/>
        <v>-50</v>
      </c>
      <c r="F11" s="10">
        <f t="shared" si="4"/>
        <v>-132.97</v>
      </c>
      <c r="G11" s="10">
        <f t="shared" si="4"/>
        <v>-146.25</v>
      </c>
      <c r="H11" s="10">
        <f t="shared" si="4"/>
        <v>0</v>
      </c>
      <c r="I11" s="10">
        <f t="shared" si="4"/>
        <v>0</v>
      </c>
      <c r="J11" s="10">
        <f t="shared" si="4"/>
        <v>-125.46</v>
      </c>
      <c r="K11" s="10">
        <f t="shared" si="4"/>
        <v>0</v>
      </c>
      <c r="L11" s="10">
        <f t="shared" si="4"/>
        <v>0</v>
      </c>
      <c r="M11" s="10">
        <f t="shared" si="4"/>
        <v>-28.33</v>
      </c>
      <c r="N11" s="10">
        <f t="shared" si="4"/>
        <v>424</v>
      </c>
      <c r="O11" s="10">
        <f t="shared" si="4"/>
        <v>16.95</v>
      </c>
      <c r="P11" s="10">
        <f t="shared" si="4"/>
        <v>-316.28</v>
      </c>
      <c r="Q11" s="10">
        <f t="shared" ref="Q11:R11" si="5">Q10-0</f>
        <v>221.94</v>
      </c>
      <c r="R11" s="10">
        <f t="shared" si="5"/>
        <v>0</v>
      </c>
      <c r="S11" s="59"/>
      <c r="T11" s="74"/>
    </row>
    <row r="12">
      <c r="M12" s="32" t="s">
        <v>93</v>
      </c>
    </row>
    <row r="13">
      <c r="C13" s="32">
        <v>383.47</v>
      </c>
      <c r="D13" s="32" t="s">
        <v>94</v>
      </c>
      <c r="F13" s="32" t="s">
        <v>95</v>
      </c>
    </row>
    <row r="14">
      <c r="A14" s="4" t="s">
        <v>22</v>
      </c>
      <c r="B14" s="11">
        <v>12000.0</v>
      </c>
      <c r="C14" s="32">
        <v>103.35</v>
      </c>
      <c r="E14" s="78"/>
      <c r="F14" s="79"/>
      <c r="G14" s="32" t="s">
        <v>96</v>
      </c>
      <c r="P14" s="32" t="s">
        <v>97</v>
      </c>
    </row>
    <row r="15">
      <c r="A15" s="4" t="s">
        <v>23</v>
      </c>
      <c r="B15" s="12">
        <f>SUM(B2:Q8)</f>
        <v>16836.9</v>
      </c>
      <c r="C15" s="32">
        <v>133.38</v>
      </c>
      <c r="D15" s="32" t="s">
        <v>98</v>
      </c>
      <c r="E15" s="56"/>
    </row>
    <row r="16">
      <c r="A16" s="4" t="s">
        <v>24</v>
      </c>
      <c r="B16" s="12">
        <f> SUM(B14-B15)</f>
        <v>-4836.9</v>
      </c>
      <c r="C16" s="32">
        <v>722.1</v>
      </c>
      <c r="D16" s="32" t="s">
        <v>99</v>
      </c>
    </row>
    <row r="18">
      <c r="A18" s="13" t="s">
        <v>25</v>
      </c>
      <c r="B18" s="14">
        <f>SUM(S2:S8)</f>
        <v>63686.01</v>
      </c>
      <c r="C18" s="32">
        <v>321.95</v>
      </c>
    </row>
    <row r="19">
      <c r="A19" s="13" t="s">
        <v>26</v>
      </c>
      <c r="B19" s="15">
        <f>B15/B18</f>
        <v>0.2643736042</v>
      </c>
    </row>
    <row r="22">
      <c r="A22" s="16" t="s">
        <v>27</v>
      </c>
      <c r="B22" s="17"/>
      <c r="C22" s="17"/>
      <c r="D22" s="18"/>
      <c r="H22" s="60" t="s">
        <v>61</v>
      </c>
      <c r="I22" s="61"/>
      <c r="J22" s="62"/>
    </row>
    <row r="23">
      <c r="A23" s="19" t="s">
        <v>28</v>
      </c>
      <c r="B23" s="20"/>
      <c r="C23" s="20"/>
      <c r="D23" s="21"/>
      <c r="H23" s="63" t="s">
        <v>62</v>
      </c>
      <c r="I23" s="63" t="s">
        <v>63</v>
      </c>
      <c r="J23" s="63" t="s">
        <v>64</v>
      </c>
    </row>
    <row r="24">
      <c r="A24" s="22" t="s">
        <v>29</v>
      </c>
      <c r="B24" s="23" t="s">
        <v>30</v>
      </c>
      <c r="C24" s="22" t="s">
        <v>31</v>
      </c>
      <c r="D24" s="24" t="s">
        <v>30</v>
      </c>
      <c r="H24" s="64">
        <v>44869.0</v>
      </c>
      <c r="I24" s="63" t="s">
        <v>70</v>
      </c>
      <c r="J24" s="63" t="s">
        <v>70</v>
      </c>
      <c r="K24" s="32"/>
    </row>
    <row r="25">
      <c r="A25" s="28" t="s">
        <v>100</v>
      </c>
      <c r="B25" s="72">
        <v>208.5</v>
      </c>
      <c r="C25" s="25"/>
      <c r="D25" s="27"/>
      <c r="H25" s="70"/>
      <c r="I25" s="63" t="s">
        <v>77</v>
      </c>
      <c r="J25" s="63"/>
    </row>
    <row r="26">
      <c r="A26" s="28" t="s">
        <v>101</v>
      </c>
      <c r="B26" s="72">
        <v>255.84</v>
      </c>
      <c r="C26" s="25"/>
      <c r="D26" s="27"/>
      <c r="H26" s="65"/>
      <c r="I26" s="65"/>
      <c r="J26" s="65"/>
    </row>
    <row r="27">
      <c r="A27" s="71" t="s">
        <v>102</v>
      </c>
      <c r="B27" s="72">
        <v>104.55</v>
      </c>
      <c r="C27" s="25"/>
      <c r="D27" s="27"/>
      <c r="H27" s="65"/>
      <c r="I27" s="65"/>
      <c r="J27" s="65"/>
    </row>
    <row r="28">
      <c r="A28" s="28"/>
      <c r="B28" s="26"/>
      <c r="C28" s="25"/>
      <c r="D28" s="27"/>
      <c r="H28" s="65"/>
      <c r="I28" s="65"/>
      <c r="J28" s="65"/>
    </row>
    <row r="29">
      <c r="A29" s="25"/>
      <c r="B29" s="26"/>
      <c r="C29" s="25"/>
      <c r="D29" s="27"/>
      <c r="H29" s="65"/>
      <c r="I29" s="65"/>
      <c r="J29" s="65"/>
    </row>
    <row r="30">
      <c r="A30" s="25"/>
      <c r="B30" s="26"/>
      <c r="C30" s="25"/>
      <c r="D30" s="27"/>
      <c r="H30" s="65"/>
      <c r="I30" s="65"/>
      <c r="J30" s="65"/>
    </row>
    <row r="31">
      <c r="A31" s="25"/>
      <c r="B31" s="26"/>
      <c r="C31" s="25"/>
      <c r="D31" s="27"/>
    </row>
    <row r="32">
      <c r="A32" s="25"/>
      <c r="B32" s="26"/>
      <c r="C32" s="25"/>
      <c r="D32" s="27"/>
      <c r="I32" s="66" t="s">
        <v>68</v>
      </c>
      <c r="J32" s="67"/>
    </row>
  </sheetData>
  <mergeCells count="1">
    <mergeCell ref="H22:J22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1" max="21" width="21.0"/>
  </cols>
  <sheetData>
    <row r="1">
      <c r="B1" s="2" t="s">
        <v>0</v>
      </c>
      <c r="C1" s="2" t="s">
        <v>1</v>
      </c>
      <c r="D1" s="2" t="s">
        <v>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43</v>
      </c>
      <c r="J1" s="2" t="s">
        <v>40</v>
      </c>
      <c r="K1" s="2" t="s">
        <v>49</v>
      </c>
      <c r="L1" s="2" t="s">
        <v>42</v>
      </c>
      <c r="M1" s="2" t="s">
        <v>9</v>
      </c>
      <c r="N1" s="2" t="s">
        <v>37</v>
      </c>
      <c r="O1" s="2" t="s">
        <v>10</v>
      </c>
      <c r="P1" s="2" t="s">
        <v>11</v>
      </c>
      <c r="Q1" s="2" t="s">
        <v>12</v>
      </c>
      <c r="R1" s="3" t="s">
        <v>13</v>
      </c>
      <c r="S1" s="3" t="s">
        <v>14</v>
      </c>
      <c r="T1" s="3" t="s">
        <v>15</v>
      </c>
    </row>
    <row r="2">
      <c r="A2" s="74">
        <v>44872.0</v>
      </c>
      <c r="B2" s="5">
        <v>2133.64</v>
      </c>
      <c r="C2" s="5">
        <v>1221.35</v>
      </c>
      <c r="D2" s="5"/>
      <c r="E2" s="5">
        <v>190.0</v>
      </c>
      <c r="F2" s="5">
        <v>157.72</v>
      </c>
      <c r="G2" s="5"/>
      <c r="H2" s="5"/>
      <c r="I2" s="5"/>
      <c r="J2" s="42">
        <v>255.84</v>
      </c>
      <c r="K2" s="5">
        <v>180.0</v>
      </c>
      <c r="L2" s="6"/>
      <c r="M2" s="6"/>
      <c r="N2" s="5"/>
      <c r="O2" s="5"/>
      <c r="P2" s="5">
        <v>100.0</v>
      </c>
      <c r="Q2" s="6"/>
      <c r="R2" s="7">
        <f t="shared" ref="R2:R7" si="1">SUM(B2:Q2)</f>
        <v>4238.55</v>
      </c>
      <c r="S2" s="8">
        <v>4604.4</v>
      </c>
      <c r="T2" s="59">
        <f t="shared" ref="T2:T8" si="2">R2/S2</f>
        <v>0.9205433933</v>
      </c>
      <c r="U2" s="74">
        <f t="shared" ref="U2:U8" si="3">A2</f>
        <v>44872</v>
      </c>
    </row>
    <row r="3">
      <c r="A3" s="74">
        <v>44873.0</v>
      </c>
      <c r="B3" s="5">
        <v>1813.64</v>
      </c>
      <c r="C3" s="33">
        <v>781.22</v>
      </c>
      <c r="D3" s="5"/>
      <c r="E3" s="5"/>
      <c r="F3" s="5"/>
      <c r="G3" s="5">
        <v>232.0</v>
      </c>
      <c r="H3" s="5"/>
      <c r="I3" s="5"/>
      <c r="J3" s="42">
        <v>607.94</v>
      </c>
      <c r="K3" s="5"/>
      <c r="L3" s="5"/>
      <c r="M3" s="6"/>
      <c r="N3" s="5"/>
      <c r="O3" s="5">
        <v>80.0</v>
      </c>
      <c r="P3" s="5"/>
      <c r="Q3" s="5"/>
      <c r="R3" s="7">
        <f t="shared" si="1"/>
        <v>3514.8</v>
      </c>
      <c r="S3" s="8">
        <v>5745.0</v>
      </c>
      <c r="T3" s="59">
        <f t="shared" si="2"/>
        <v>0.6118015666</v>
      </c>
      <c r="U3" s="74">
        <f t="shared" si="3"/>
        <v>44873</v>
      </c>
    </row>
    <row r="4">
      <c r="A4" s="74">
        <v>44874.0</v>
      </c>
      <c r="B4" s="5">
        <v>679.96</v>
      </c>
      <c r="C4" s="5">
        <v>29.0</v>
      </c>
      <c r="D4" s="5"/>
      <c r="E4" s="5">
        <v>390.0</v>
      </c>
      <c r="F4" s="5">
        <v>516.9</v>
      </c>
      <c r="G4" s="5"/>
      <c r="H4" s="5">
        <v>49.5</v>
      </c>
      <c r="I4" s="5"/>
      <c r="J4" s="42"/>
      <c r="K4" s="5"/>
      <c r="L4" s="5"/>
      <c r="M4" s="6"/>
      <c r="N4" s="5"/>
      <c r="O4" s="5">
        <v>19.0</v>
      </c>
      <c r="P4" s="5">
        <v>100.0</v>
      </c>
      <c r="Q4" s="5">
        <v>221.78</v>
      </c>
      <c r="R4" s="7">
        <f t="shared" si="1"/>
        <v>2006.14</v>
      </c>
      <c r="S4" s="8">
        <v>8323.0</v>
      </c>
      <c r="T4" s="59">
        <f t="shared" si="2"/>
        <v>0.2410356842</v>
      </c>
      <c r="U4" s="74">
        <f t="shared" si="3"/>
        <v>44874</v>
      </c>
    </row>
    <row r="5">
      <c r="A5" s="74">
        <v>44875.0</v>
      </c>
      <c r="B5" s="5">
        <v>1879.41</v>
      </c>
      <c r="C5" s="5"/>
      <c r="D5" s="6"/>
      <c r="E5" s="6"/>
      <c r="F5" s="5"/>
      <c r="G5" s="5"/>
      <c r="H5" s="5"/>
      <c r="I5" s="5"/>
      <c r="J5" s="5"/>
      <c r="K5" s="5"/>
      <c r="L5" s="5"/>
      <c r="M5" s="5"/>
      <c r="N5" s="5"/>
      <c r="O5" s="5"/>
      <c r="P5" s="6"/>
      <c r="Q5" s="6"/>
      <c r="R5" s="7">
        <f t="shared" si="1"/>
        <v>1879.41</v>
      </c>
      <c r="S5" s="8">
        <v>7674.4</v>
      </c>
      <c r="T5" s="59">
        <f t="shared" si="2"/>
        <v>0.2448934119</v>
      </c>
      <c r="U5" s="74">
        <f t="shared" si="3"/>
        <v>44875</v>
      </c>
    </row>
    <row r="6">
      <c r="A6" s="74">
        <v>44876.0</v>
      </c>
      <c r="B6" s="5">
        <v>2227.33</v>
      </c>
      <c r="C6" s="5">
        <v>234.15</v>
      </c>
      <c r="D6" s="6"/>
      <c r="E6" s="6"/>
      <c r="F6" s="5"/>
      <c r="G6" s="5">
        <v>846.82</v>
      </c>
      <c r="H6" s="5">
        <v>142.5</v>
      </c>
      <c r="I6" s="5"/>
      <c r="J6" s="5"/>
      <c r="K6" s="5"/>
      <c r="L6" s="5"/>
      <c r="M6" s="6"/>
      <c r="N6" s="5"/>
      <c r="O6" s="5"/>
      <c r="P6" s="5">
        <v>100.0</v>
      </c>
      <c r="Q6" s="5"/>
      <c r="R6" s="7">
        <f t="shared" si="1"/>
        <v>3550.8</v>
      </c>
      <c r="S6" s="8">
        <v>13619.95</v>
      </c>
      <c r="T6" s="59">
        <f t="shared" si="2"/>
        <v>0.2607058029</v>
      </c>
      <c r="U6" s="74">
        <f t="shared" si="3"/>
        <v>44876</v>
      </c>
    </row>
    <row r="7">
      <c r="A7" s="74">
        <v>44877.0</v>
      </c>
      <c r="B7" s="5">
        <v>1035.32</v>
      </c>
      <c r="C7" s="5">
        <v>228.39</v>
      </c>
      <c r="D7" s="44">
        <v>800.0</v>
      </c>
      <c r="E7" s="5">
        <v>190.0</v>
      </c>
      <c r="F7" s="5"/>
      <c r="G7" s="5"/>
      <c r="H7" s="5">
        <v>33.0</v>
      </c>
      <c r="I7" s="5"/>
      <c r="J7" s="6"/>
      <c r="K7" s="5"/>
      <c r="L7" s="5"/>
      <c r="M7" s="44">
        <v>401.0</v>
      </c>
      <c r="N7" s="6"/>
      <c r="O7" s="6"/>
      <c r="P7" s="6"/>
      <c r="Q7" s="6"/>
      <c r="R7" s="7">
        <f t="shared" si="1"/>
        <v>2687.71</v>
      </c>
      <c r="S7" s="8">
        <v>15575.4</v>
      </c>
      <c r="T7" s="59">
        <f t="shared" si="2"/>
        <v>0.1725612183</v>
      </c>
      <c r="U7" s="74">
        <f t="shared" si="3"/>
        <v>44877</v>
      </c>
    </row>
    <row r="8">
      <c r="A8" s="74">
        <v>44878.0</v>
      </c>
      <c r="B8" s="10" t="s">
        <v>21</v>
      </c>
      <c r="C8" s="10" t="s">
        <v>21</v>
      </c>
      <c r="D8" s="10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0" t="s">
        <v>21</v>
      </c>
      <c r="K8" s="10" t="s">
        <v>21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0" t="s">
        <v>21</v>
      </c>
      <c r="R8" s="7">
        <v>0.0</v>
      </c>
      <c r="S8" s="8">
        <v>9738.0</v>
      </c>
      <c r="T8" s="59">
        <f t="shared" si="2"/>
        <v>0</v>
      </c>
      <c r="U8" s="74">
        <f t="shared" si="3"/>
        <v>44878</v>
      </c>
    </row>
    <row r="10">
      <c r="A10" s="4" t="s">
        <v>79</v>
      </c>
      <c r="B10" s="10">
        <v>9967.53</v>
      </c>
      <c r="C10" s="10">
        <v>2499.11</v>
      </c>
      <c r="D10" s="10">
        <v>714.0</v>
      </c>
      <c r="E10" s="10">
        <v>670.0</v>
      </c>
      <c r="F10" s="80">
        <v>169.15</v>
      </c>
      <c r="G10" s="80">
        <v>1595.72</v>
      </c>
      <c r="H10" s="10">
        <v>225.0</v>
      </c>
      <c r="I10" s="10"/>
      <c r="J10" s="10">
        <v>863.78</v>
      </c>
      <c r="K10" s="10">
        <v>180.0</v>
      </c>
      <c r="L10" s="10"/>
      <c r="M10" s="10">
        <v>401.0</v>
      </c>
      <c r="N10" s="10"/>
      <c r="O10" s="10">
        <v>99.0</v>
      </c>
      <c r="P10" s="10">
        <v>299.32</v>
      </c>
      <c r="Q10" s="5"/>
      <c r="R10" s="8"/>
      <c r="S10" s="59"/>
      <c r="T10" s="74"/>
    </row>
    <row r="11">
      <c r="A11" s="4" t="s">
        <v>80</v>
      </c>
      <c r="B11" s="10">
        <f t="shared" ref="B11:P11" si="4">sum(B2:B8)-B10</f>
        <v>-198.23</v>
      </c>
      <c r="C11" s="10">
        <f t="shared" si="4"/>
        <v>-5</v>
      </c>
      <c r="D11" s="10">
        <f t="shared" si="4"/>
        <v>86</v>
      </c>
      <c r="E11" s="10">
        <f t="shared" si="4"/>
        <v>100</v>
      </c>
      <c r="F11" s="80">
        <f t="shared" si="4"/>
        <v>505.47</v>
      </c>
      <c r="G11" s="81">
        <f t="shared" si="4"/>
        <v>-516.9</v>
      </c>
      <c r="H11" s="10">
        <f t="shared" si="4"/>
        <v>0</v>
      </c>
      <c r="I11" s="10">
        <f t="shared" si="4"/>
        <v>0</v>
      </c>
      <c r="J11" s="10">
        <f t="shared" si="4"/>
        <v>0</v>
      </c>
      <c r="K11" s="10">
        <f t="shared" si="4"/>
        <v>0</v>
      </c>
      <c r="L11" s="10">
        <f t="shared" si="4"/>
        <v>0</v>
      </c>
      <c r="M11" s="10">
        <f t="shared" si="4"/>
        <v>0</v>
      </c>
      <c r="N11" s="10">
        <f t="shared" si="4"/>
        <v>0</v>
      </c>
      <c r="O11" s="10">
        <f t="shared" si="4"/>
        <v>0</v>
      </c>
      <c r="P11" s="10">
        <f t="shared" si="4"/>
        <v>0.68</v>
      </c>
      <c r="Q11" s="10">
        <f t="shared" ref="Q11:R11" si="5">Q10-0</f>
        <v>0</v>
      </c>
      <c r="R11" s="10">
        <f t="shared" si="5"/>
        <v>0</v>
      </c>
      <c r="S11" s="59"/>
      <c r="T11" s="74"/>
    </row>
    <row r="14">
      <c r="A14" s="4" t="s">
        <v>22</v>
      </c>
      <c r="B14" s="11">
        <v>12000.0</v>
      </c>
      <c r="E14" s="78"/>
      <c r="F14" s="79"/>
    </row>
    <row r="15">
      <c r="A15" s="4" t="s">
        <v>23</v>
      </c>
      <c r="B15" s="12">
        <f>SUM(B2:Q8)</f>
        <v>17877.41</v>
      </c>
      <c r="E15" s="56"/>
    </row>
    <row r="16">
      <c r="A16" s="4" t="s">
        <v>24</v>
      </c>
      <c r="B16" s="12">
        <f> SUM(B14-B15)</f>
        <v>-5877.41</v>
      </c>
    </row>
    <row r="18">
      <c r="A18" s="13" t="s">
        <v>25</v>
      </c>
      <c r="B18" s="14">
        <f>SUM(S2:S8)</f>
        <v>65280.15</v>
      </c>
    </row>
    <row r="19">
      <c r="A19" s="13" t="s">
        <v>26</v>
      </c>
      <c r="B19" s="15">
        <f>B15/B18</f>
        <v>0.2738567543</v>
      </c>
    </row>
    <row r="22">
      <c r="A22" s="16" t="s">
        <v>27</v>
      </c>
      <c r="B22" s="17"/>
      <c r="C22" s="17"/>
      <c r="D22" s="18"/>
      <c r="H22" s="60" t="s">
        <v>61</v>
      </c>
      <c r="I22" s="61"/>
      <c r="J22" s="62"/>
    </row>
    <row r="23">
      <c r="A23" s="19" t="s">
        <v>28</v>
      </c>
      <c r="B23" s="20"/>
      <c r="C23" s="20"/>
      <c r="D23" s="21"/>
      <c r="H23" s="63" t="s">
        <v>62</v>
      </c>
      <c r="I23" s="63" t="s">
        <v>63</v>
      </c>
      <c r="J23" s="63" t="s">
        <v>64</v>
      </c>
    </row>
    <row r="24">
      <c r="A24" s="22" t="s">
        <v>29</v>
      </c>
      <c r="B24" s="23" t="s">
        <v>30</v>
      </c>
      <c r="C24" s="22" t="s">
        <v>31</v>
      </c>
      <c r="D24" s="24" t="s">
        <v>30</v>
      </c>
      <c r="H24" s="64"/>
      <c r="I24" s="63" t="s">
        <v>77</v>
      </c>
      <c r="J24" s="63"/>
      <c r="K24" s="32"/>
    </row>
    <row r="25">
      <c r="A25" s="28" t="s">
        <v>51</v>
      </c>
      <c r="B25" s="72">
        <v>490.94</v>
      </c>
      <c r="C25" s="25"/>
      <c r="D25" s="27"/>
      <c r="H25" s="70"/>
      <c r="I25" s="63" t="s">
        <v>77</v>
      </c>
      <c r="J25" s="63"/>
    </row>
    <row r="26">
      <c r="A26" s="28" t="s">
        <v>41</v>
      </c>
      <c r="B26" s="72">
        <v>607.94</v>
      </c>
      <c r="C26" s="25"/>
      <c r="D26" s="27"/>
      <c r="H26" s="65"/>
      <c r="I26" s="65"/>
      <c r="J26" s="65"/>
    </row>
    <row r="27">
      <c r="A27" s="71" t="s">
        <v>69</v>
      </c>
      <c r="B27" s="82">
        <v>248.36</v>
      </c>
      <c r="C27" s="25"/>
      <c r="D27" s="27"/>
      <c r="H27" s="65"/>
      <c r="I27" s="65"/>
      <c r="J27" s="65"/>
    </row>
    <row r="28">
      <c r="A28" s="28" t="s">
        <v>103</v>
      </c>
      <c r="B28" s="82">
        <v>142.45</v>
      </c>
      <c r="C28" s="25"/>
      <c r="D28" s="27"/>
      <c r="H28" s="65"/>
      <c r="I28" s="65"/>
      <c r="J28" s="65"/>
    </row>
    <row r="29">
      <c r="A29" s="28" t="s">
        <v>61</v>
      </c>
      <c r="B29" s="82">
        <v>116.0</v>
      </c>
      <c r="C29" s="25"/>
      <c r="D29" s="27"/>
      <c r="H29" s="65"/>
      <c r="I29" s="65"/>
      <c r="J29" s="65"/>
    </row>
    <row r="30">
      <c r="A30" s="25"/>
      <c r="B30" s="26"/>
      <c r="C30" s="25"/>
      <c r="D30" s="27"/>
      <c r="H30" s="65"/>
      <c r="I30" s="65"/>
      <c r="J30" s="65"/>
    </row>
    <row r="31">
      <c r="A31" s="25"/>
      <c r="B31" s="26"/>
      <c r="C31" s="25"/>
      <c r="D31" s="27"/>
    </row>
    <row r="32">
      <c r="A32" s="25"/>
      <c r="B32" s="26"/>
      <c r="C32" s="25"/>
      <c r="D32" s="27"/>
      <c r="I32" s="66" t="s">
        <v>68</v>
      </c>
      <c r="J32" s="67"/>
    </row>
  </sheetData>
  <mergeCells count="1">
    <mergeCell ref="H22:J22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1" max="21" width="23.0"/>
  </cols>
  <sheetData>
    <row r="1">
      <c r="B1" s="2" t="s">
        <v>0</v>
      </c>
      <c r="C1" s="2" t="s">
        <v>1</v>
      </c>
      <c r="D1" s="2" t="s">
        <v>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43</v>
      </c>
      <c r="J1" s="2" t="s">
        <v>40</v>
      </c>
      <c r="K1" s="2" t="s">
        <v>49</v>
      </c>
      <c r="L1" s="2" t="s">
        <v>42</v>
      </c>
      <c r="M1" s="2" t="s">
        <v>9</v>
      </c>
      <c r="N1" s="2" t="s">
        <v>37</v>
      </c>
      <c r="O1" s="2" t="s">
        <v>10</v>
      </c>
      <c r="P1" s="2" t="s">
        <v>11</v>
      </c>
      <c r="Q1" s="2" t="s">
        <v>12</v>
      </c>
      <c r="R1" s="3" t="s">
        <v>13</v>
      </c>
      <c r="S1" s="3" t="s">
        <v>14</v>
      </c>
      <c r="T1" s="3" t="s">
        <v>15</v>
      </c>
    </row>
    <row r="2">
      <c r="A2" s="74">
        <v>44879.0</v>
      </c>
      <c r="B2" s="5">
        <v>3213.91</v>
      </c>
      <c r="C2" s="5">
        <v>797.34</v>
      </c>
      <c r="D2" s="5"/>
      <c r="E2" s="5">
        <v>190.0</v>
      </c>
      <c r="F2" s="5"/>
      <c r="G2" s="5">
        <v>506.81</v>
      </c>
      <c r="H2" s="5"/>
      <c r="I2" s="5"/>
      <c r="J2" s="42">
        <v>607.94</v>
      </c>
      <c r="K2" s="5">
        <v>180.0</v>
      </c>
      <c r="L2" s="6"/>
      <c r="M2" s="6"/>
      <c r="N2" s="5"/>
      <c r="O2" s="5"/>
      <c r="P2" s="5">
        <v>100.0</v>
      </c>
      <c r="Q2" s="6"/>
      <c r="R2" s="7">
        <f t="shared" ref="R2:R7" si="1">SUM(B2:Q2)</f>
        <v>5596</v>
      </c>
      <c r="S2" s="8">
        <v>5665.0</v>
      </c>
      <c r="T2" s="59">
        <f t="shared" ref="T2:T8" si="2">R2/S2</f>
        <v>0.987819947</v>
      </c>
      <c r="U2" s="74">
        <f t="shared" ref="U2:U8" si="3">A2</f>
        <v>44879</v>
      </c>
    </row>
    <row r="3">
      <c r="A3" s="74">
        <v>44880.0</v>
      </c>
      <c r="B3" s="5">
        <v>712.94</v>
      </c>
      <c r="C3" s="33"/>
      <c r="D3" s="5"/>
      <c r="E3" s="5"/>
      <c r="F3" s="5"/>
      <c r="G3" s="5"/>
      <c r="H3" s="5"/>
      <c r="I3" s="5"/>
      <c r="J3" s="42"/>
      <c r="K3" s="5"/>
      <c r="L3" s="5"/>
      <c r="M3" s="6"/>
      <c r="N3" s="5"/>
      <c r="O3" s="5"/>
      <c r="P3" s="5"/>
      <c r="Q3" s="5">
        <v>221.94</v>
      </c>
      <c r="R3" s="7">
        <f t="shared" si="1"/>
        <v>934.88</v>
      </c>
      <c r="S3" s="8">
        <v>6862.0</v>
      </c>
      <c r="T3" s="59">
        <f t="shared" si="2"/>
        <v>0.1362401632</v>
      </c>
      <c r="U3" s="74">
        <f t="shared" si="3"/>
        <v>44880</v>
      </c>
    </row>
    <row r="4">
      <c r="A4" s="74">
        <v>44881.0</v>
      </c>
      <c r="B4" s="5">
        <v>1002.7</v>
      </c>
      <c r="C4" s="5">
        <v>505.24</v>
      </c>
      <c r="D4" s="5"/>
      <c r="E4" s="5"/>
      <c r="F4" s="5"/>
      <c r="G4" s="5">
        <v>827.14</v>
      </c>
      <c r="H4" s="5">
        <v>49.5</v>
      </c>
      <c r="I4" s="5"/>
      <c r="J4" s="42"/>
      <c r="K4" s="5"/>
      <c r="L4" s="5"/>
      <c r="M4" s="6"/>
      <c r="N4" s="5"/>
      <c r="O4" s="83">
        <v>58.0</v>
      </c>
      <c r="P4" s="5">
        <v>100.0</v>
      </c>
      <c r="Q4" s="6"/>
      <c r="R4" s="7">
        <f t="shared" si="1"/>
        <v>2542.58</v>
      </c>
      <c r="S4" s="8">
        <v>11288.0</v>
      </c>
      <c r="T4" s="59">
        <f t="shared" si="2"/>
        <v>0.2252462792</v>
      </c>
      <c r="U4" s="74">
        <f t="shared" si="3"/>
        <v>44881</v>
      </c>
    </row>
    <row r="5">
      <c r="A5" s="74">
        <v>44882.0</v>
      </c>
      <c r="B5" s="5">
        <v>1748.03</v>
      </c>
      <c r="C5" s="5">
        <v>252.96</v>
      </c>
      <c r="D5" s="6"/>
      <c r="E5" s="5">
        <v>390.0</v>
      </c>
      <c r="F5" s="5">
        <v>55.46</v>
      </c>
      <c r="G5" s="5"/>
      <c r="H5" s="5"/>
      <c r="I5" s="5"/>
      <c r="J5" s="5"/>
      <c r="K5" s="5"/>
      <c r="L5" s="5"/>
      <c r="M5" s="5"/>
      <c r="N5" s="5"/>
      <c r="O5" s="5"/>
      <c r="P5" s="6"/>
      <c r="Q5" s="6"/>
      <c r="R5" s="7">
        <f t="shared" si="1"/>
        <v>2446.45</v>
      </c>
      <c r="S5" s="8">
        <f>8787.13+433</f>
        <v>9220.13</v>
      </c>
      <c r="T5" s="59">
        <f t="shared" si="2"/>
        <v>0.2653379074</v>
      </c>
      <c r="U5" s="74">
        <f t="shared" si="3"/>
        <v>44882</v>
      </c>
    </row>
    <row r="6">
      <c r="A6" s="74">
        <v>44883.0</v>
      </c>
      <c r="B6" s="5">
        <v>1566.26</v>
      </c>
      <c r="C6" s="5"/>
      <c r="D6" s="6"/>
      <c r="E6" s="6"/>
      <c r="F6" s="5"/>
      <c r="G6" s="5">
        <v>686.9</v>
      </c>
      <c r="H6" s="5">
        <v>142.5</v>
      </c>
      <c r="I6" s="5"/>
      <c r="J6" s="5"/>
      <c r="K6" s="5"/>
      <c r="L6" s="5"/>
      <c r="M6" s="6"/>
      <c r="N6" s="5"/>
      <c r="O6" s="5"/>
      <c r="P6" s="5">
        <v>100.0</v>
      </c>
      <c r="Q6" s="5"/>
      <c r="R6" s="7">
        <f t="shared" si="1"/>
        <v>2495.66</v>
      </c>
      <c r="S6" s="8">
        <v>9112.21</v>
      </c>
      <c r="T6" s="59">
        <f t="shared" si="2"/>
        <v>0.2738808697</v>
      </c>
      <c r="U6" s="74">
        <f t="shared" si="3"/>
        <v>44883</v>
      </c>
    </row>
    <row r="7">
      <c r="A7" s="74">
        <v>44884.0</v>
      </c>
      <c r="B7" s="5">
        <v>1506.27</v>
      </c>
      <c r="C7" s="5">
        <v>66.8</v>
      </c>
      <c r="D7" s="44">
        <v>800.0</v>
      </c>
      <c r="E7" s="5">
        <v>190.0</v>
      </c>
      <c r="F7" s="5"/>
      <c r="G7" s="5"/>
      <c r="H7" s="5">
        <v>33.0</v>
      </c>
      <c r="I7" s="5"/>
      <c r="J7" s="6"/>
      <c r="K7" s="5"/>
      <c r="L7" s="5"/>
      <c r="M7" s="44">
        <v>628.5</v>
      </c>
      <c r="N7" s="6"/>
      <c r="O7" s="6"/>
      <c r="P7" s="6"/>
      <c r="Q7" s="6"/>
      <c r="R7" s="7">
        <f t="shared" si="1"/>
        <v>3224.57</v>
      </c>
      <c r="S7" s="8">
        <v>12970.8</v>
      </c>
      <c r="T7" s="59">
        <f t="shared" si="2"/>
        <v>0.248602245</v>
      </c>
      <c r="U7" s="74">
        <f t="shared" si="3"/>
        <v>44884</v>
      </c>
    </row>
    <row r="8">
      <c r="A8" s="74">
        <v>44885.0</v>
      </c>
      <c r="B8" s="10" t="s">
        <v>21</v>
      </c>
      <c r="C8" s="10" t="s">
        <v>21</v>
      </c>
      <c r="D8" s="10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0" t="s">
        <v>21</v>
      </c>
      <c r="K8" s="10" t="s">
        <v>21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0" t="s">
        <v>21</v>
      </c>
      <c r="R8" s="7">
        <v>0.0</v>
      </c>
      <c r="S8" s="8">
        <f>3457+5428</f>
        <v>8885</v>
      </c>
      <c r="T8" s="59">
        <f t="shared" si="2"/>
        <v>0</v>
      </c>
      <c r="U8" s="74">
        <f t="shared" si="3"/>
        <v>44885</v>
      </c>
    </row>
    <row r="10">
      <c r="A10" s="4" t="s">
        <v>79</v>
      </c>
      <c r="B10" s="10">
        <v>10519.55</v>
      </c>
      <c r="C10" s="10">
        <v>1617.34</v>
      </c>
      <c r="D10" s="10">
        <v>47.5</v>
      </c>
      <c r="E10" s="10">
        <v>580.0</v>
      </c>
      <c r="F10" s="10">
        <v>57.96</v>
      </c>
      <c r="G10" s="10">
        <v>2022.77</v>
      </c>
      <c r="H10" s="10">
        <v>225.0</v>
      </c>
      <c r="I10" s="10"/>
      <c r="J10" s="10">
        <v>1225.96</v>
      </c>
      <c r="K10" s="10">
        <v>120.0</v>
      </c>
      <c r="L10" s="10"/>
      <c r="M10" s="10">
        <v>628.5</v>
      </c>
      <c r="N10" s="10"/>
      <c r="O10" s="10">
        <v>58.0</v>
      </c>
      <c r="P10" s="10">
        <v>422.52</v>
      </c>
      <c r="Q10" s="5">
        <v>221.78</v>
      </c>
      <c r="R10" s="8"/>
      <c r="S10" s="59"/>
      <c r="T10" s="74"/>
    </row>
    <row r="11">
      <c r="A11" s="4" t="s">
        <v>80</v>
      </c>
      <c r="B11" s="10">
        <f t="shared" ref="B11:P11" si="4">sum(B2:B8)-B10</f>
        <v>-769.44</v>
      </c>
      <c r="C11" s="10">
        <f t="shared" si="4"/>
        <v>5</v>
      </c>
      <c r="D11" s="10">
        <f t="shared" si="4"/>
        <v>752.5</v>
      </c>
      <c r="E11" s="10">
        <f t="shared" si="4"/>
        <v>190</v>
      </c>
      <c r="F11" s="10">
        <f t="shared" si="4"/>
        <v>-2.5</v>
      </c>
      <c r="G11" s="10">
        <f t="shared" si="4"/>
        <v>-1.92</v>
      </c>
      <c r="H11" s="10">
        <f t="shared" si="4"/>
        <v>0</v>
      </c>
      <c r="I11" s="10">
        <f t="shared" si="4"/>
        <v>0</v>
      </c>
      <c r="J11" s="76">
        <f t="shared" si="4"/>
        <v>-618.02</v>
      </c>
      <c r="K11" s="10">
        <f t="shared" si="4"/>
        <v>60</v>
      </c>
      <c r="L11" s="10">
        <f t="shared" si="4"/>
        <v>0</v>
      </c>
      <c r="M11" s="10">
        <f t="shared" si="4"/>
        <v>0</v>
      </c>
      <c r="N11" s="10">
        <f t="shared" si="4"/>
        <v>0</v>
      </c>
      <c r="O11" s="10">
        <f t="shared" si="4"/>
        <v>0</v>
      </c>
      <c r="P11" s="10">
        <f t="shared" si="4"/>
        <v>-122.52</v>
      </c>
      <c r="Q11" s="10">
        <f t="shared" ref="Q11:R11" si="5">Q10-0</f>
        <v>221.78</v>
      </c>
      <c r="R11" s="10">
        <f t="shared" si="5"/>
        <v>0</v>
      </c>
      <c r="S11" s="59"/>
      <c r="T11" s="74"/>
    </row>
    <row r="14">
      <c r="A14" s="4" t="s">
        <v>22</v>
      </c>
      <c r="B14" s="11">
        <v>12000.0</v>
      </c>
      <c r="E14" s="78"/>
      <c r="F14" s="79"/>
    </row>
    <row r="15">
      <c r="A15" s="4" t="s">
        <v>23</v>
      </c>
      <c r="B15" s="12">
        <f>SUM(B2:Q8)</f>
        <v>17240.14</v>
      </c>
      <c r="E15" s="56"/>
    </row>
    <row r="16">
      <c r="A16" s="4" t="s">
        <v>24</v>
      </c>
      <c r="B16" s="12">
        <f> SUM(B14-B15)</f>
        <v>-5240.14</v>
      </c>
    </row>
    <row r="18">
      <c r="A18" s="13" t="s">
        <v>25</v>
      </c>
      <c r="B18" s="14">
        <f>SUM(S2:S8)</f>
        <v>64003.14</v>
      </c>
    </row>
    <row r="19">
      <c r="A19" s="13" t="s">
        <v>26</v>
      </c>
      <c r="B19" s="15">
        <f>B15/B18</f>
        <v>0.2693639718</v>
      </c>
    </row>
    <row r="22">
      <c r="A22" s="16" t="s">
        <v>27</v>
      </c>
      <c r="B22" s="17"/>
      <c r="C22" s="17"/>
      <c r="D22" s="18"/>
      <c r="H22" s="60" t="s">
        <v>61</v>
      </c>
      <c r="I22" s="61"/>
      <c r="J22" s="62"/>
    </row>
    <row r="23">
      <c r="A23" s="19" t="s">
        <v>28</v>
      </c>
      <c r="B23" s="20"/>
      <c r="C23" s="20"/>
      <c r="D23" s="21"/>
      <c r="H23" s="63" t="s">
        <v>62</v>
      </c>
      <c r="I23" s="63" t="s">
        <v>63</v>
      </c>
      <c r="J23" s="63" t="s">
        <v>64</v>
      </c>
    </row>
    <row r="24">
      <c r="A24" s="22" t="s">
        <v>29</v>
      </c>
      <c r="B24" s="23" t="s">
        <v>30</v>
      </c>
      <c r="C24" s="22" t="s">
        <v>31</v>
      </c>
      <c r="D24" s="24" t="s">
        <v>30</v>
      </c>
      <c r="H24" s="64"/>
      <c r="I24" s="63"/>
      <c r="J24" s="63"/>
      <c r="K24" s="32"/>
    </row>
    <row r="25">
      <c r="A25" s="28" t="s">
        <v>41</v>
      </c>
      <c r="B25" s="82">
        <v>618.01</v>
      </c>
      <c r="C25" s="25"/>
      <c r="D25" s="27"/>
      <c r="H25" s="70"/>
      <c r="I25" s="63"/>
      <c r="J25" s="63"/>
    </row>
    <row r="26">
      <c r="A26" s="28"/>
      <c r="B26" s="72"/>
      <c r="C26" s="25"/>
      <c r="D26" s="27"/>
      <c r="H26" s="65"/>
      <c r="I26" s="65"/>
      <c r="J26" s="65"/>
    </row>
    <row r="27">
      <c r="A27" s="71"/>
      <c r="B27" s="72"/>
      <c r="C27" s="25"/>
      <c r="D27" s="27"/>
      <c r="H27" s="65"/>
      <c r="I27" s="65"/>
      <c r="J27" s="65"/>
    </row>
    <row r="28">
      <c r="A28" s="28"/>
      <c r="B28" s="26"/>
      <c r="C28" s="25"/>
      <c r="D28" s="27"/>
      <c r="H28" s="65"/>
      <c r="I28" s="65"/>
      <c r="J28" s="65"/>
    </row>
    <row r="29">
      <c r="A29" s="25"/>
      <c r="B29" s="26"/>
      <c r="C29" s="25"/>
      <c r="D29" s="27"/>
      <c r="H29" s="65"/>
      <c r="I29" s="65"/>
      <c r="J29" s="65"/>
    </row>
    <row r="30">
      <c r="A30" s="25"/>
      <c r="B30" s="26"/>
      <c r="C30" s="25"/>
      <c r="D30" s="27"/>
      <c r="H30" s="65"/>
      <c r="I30" s="65"/>
      <c r="J30" s="65"/>
    </row>
    <row r="31">
      <c r="A31" s="25"/>
      <c r="B31" s="26"/>
      <c r="C31" s="25"/>
      <c r="D31" s="27"/>
    </row>
    <row r="32">
      <c r="A32" s="25"/>
      <c r="B32" s="26"/>
      <c r="C32" s="25"/>
      <c r="D32" s="27"/>
      <c r="I32" s="66" t="s">
        <v>68</v>
      </c>
      <c r="J32" s="67"/>
    </row>
  </sheetData>
  <mergeCells count="1">
    <mergeCell ref="H22:J22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1" max="21" width="26.63"/>
  </cols>
  <sheetData>
    <row r="1">
      <c r="B1" s="2" t="s">
        <v>0</v>
      </c>
      <c r="C1" s="2" t="s">
        <v>1</v>
      </c>
      <c r="D1" s="2" t="s">
        <v>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43</v>
      </c>
      <c r="J1" s="2" t="s">
        <v>40</v>
      </c>
      <c r="K1" s="2" t="s">
        <v>49</v>
      </c>
      <c r="L1" s="2" t="s">
        <v>42</v>
      </c>
      <c r="M1" s="2" t="s">
        <v>9</v>
      </c>
      <c r="N1" s="2" t="s">
        <v>37</v>
      </c>
      <c r="O1" s="2" t="s">
        <v>10</v>
      </c>
      <c r="P1" s="2" t="s">
        <v>11</v>
      </c>
      <c r="Q1" s="2" t="s">
        <v>12</v>
      </c>
      <c r="R1" s="3" t="s">
        <v>13</v>
      </c>
      <c r="S1" s="3" t="s">
        <v>14</v>
      </c>
      <c r="T1" s="3" t="s">
        <v>15</v>
      </c>
    </row>
    <row r="2">
      <c r="A2" s="74">
        <v>44886.0</v>
      </c>
      <c r="B2" s="5"/>
      <c r="C2" s="5"/>
      <c r="D2" s="5"/>
      <c r="E2" s="5"/>
      <c r="F2" s="5"/>
      <c r="G2" s="5"/>
      <c r="H2" s="5"/>
      <c r="I2" s="5"/>
      <c r="J2" s="42">
        <v>618.01</v>
      </c>
      <c r="K2" s="5">
        <v>180.0</v>
      </c>
      <c r="L2" s="6"/>
      <c r="M2" s="6"/>
      <c r="N2" s="5"/>
      <c r="O2" s="5"/>
      <c r="P2" s="5">
        <v>100.0</v>
      </c>
      <c r="Q2" s="6"/>
      <c r="R2" s="7">
        <f t="shared" ref="R2:R7" si="1">SUM(B2:Q2)</f>
        <v>898.01</v>
      </c>
      <c r="S2" s="8">
        <v>0.0</v>
      </c>
      <c r="T2" s="59" t="str">
        <f t="shared" ref="T2:T8" si="2">R2/S2</f>
        <v>#DIV/0!</v>
      </c>
      <c r="U2" s="74">
        <f t="shared" ref="U2:U8" si="3">A2</f>
        <v>44886</v>
      </c>
    </row>
    <row r="3">
      <c r="A3" s="74">
        <v>44887.0</v>
      </c>
      <c r="B3" s="5"/>
      <c r="C3" s="33"/>
      <c r="D3" s="5"/>
      <c r="E3" s="5"/>
      <c r="G3" s="5"/>
      <c r="H3" s="5"/>
      <c r="I3" s="5"/>
      <c r="J3" s="42"/>
      <c r="K3" s="5"/>
      <c r="L3" s="5"/>
      <c r="M3" s="6"/>
      <c r="N3" s="5"/>
      <c r="O3" s="5"/>
      <c r="P3" s="5"/>
      <c r="Q3" s="5">
        <v>221.94</v>
      </c>
      <c r="R3" s="7">
        <f t="shared" si="1"/>
        <v>221.94</v>
      </c>
      <c r="S3" s="8">
        <v>0.0</v>
      </c>
      <c r="T3" s="59" t="str">
        <f t="shared" si="2"/>
        <v>#DIV/0!</v>
      </c>
      <c r="U3" s="74">
        <f t="shared" si="3"/>
        <v>44887</v>
      </c>
    </row>
    <row r="4">
      <c r="A4" s="74">
        <v>44888.0</v>
      </c>
      <c r="B4" s="5"/>
      <c r="C4" s="5"/>
      <c r="D4" s="5"/>
      <c r="E4" s="5"/>
      <c r="G4" s="5"/>
      <c r="H4" s="5"/>
      <c r="I4" s="5"/>
      <c r="J4" s="42"/>
      <c r="K4" s="5"/>
      <c r="L4" s="5"/>
      <c r="M4" s="6"/>
      <c r="N4" s="5"/>
      <c r="O4" s="83"/>
      <c r="P4" s="5">
        <v>100.0</v>
      </c>
      <c r="Q4" s="6"/>
      <c r="R4" s="7">
        <f t="shared" si="1"/>
        <v>100</v>
      </c>
      <c r="S4" s="8">
        <v>0.0</v>
      </c>
      <c r="T4" s="59" t="str">
        <f t="shared" si="2"/>
        <v>#DIV/0!</v>
      </c>
      <c r="U4" s="74">
        <f t="shared" si="3"/>
        <v>44888</v>
      </c>
    </row>
    <row r="5">
      <c r="A5" s="74">
        <v>44889.0</v>
      </c>
      <c r="B5" s="5"/>
      <c r="C5" s="5"/>
      <c r="D5" s="6"/>
      <c r="E5" s="5"/>
      <c r="G5" s="5"/>
      <c r="H5" s="5"/>
      <c r="I5" s="5"/>
      <c r="J5" s="5"/>
      <c r="K5" s="5"/>
      <c r="L5" s="5"/>
      <c r="M5" s="5"/>
      <c r="N5" s="5"/>
      <c r="O5" s="5"/>
      <c r="P5" s="6"/>
      <c r="Q5" s="6"/>
      <c r="R5" s="7">
        <f t="shared" si="1"/>
        <v>0</v>
      </c>
      <c r="S5" s="8">
        <v>0.0</v>
      </c>
      <c r="T5" s="59" t="str">
        <f t="shared" si="2"/>
        <v>#DIV/0!</v>
      </c>
      <c r="U5" s="74">
        <f t="shared" si="3"/>
        <v>44889</v>
      </c>
    </row>
    <row r="6">
      <c r="A6" s="74">
        <v>44890.0</v>
      </c>
      <c r="B6" s="5">
        <v>2112.52</v>
      </c>
      <c r="C6" s="5"/>
      <c r="D6" s="5"/>
      <c r="E6" s="5"/>
      <c r="G6" s="5"/>
      <c r="H6" s="5"/>
      <c r="I6" s="5"/>
      <c r="J6" s="5"/>
      <c r="K6" s="5"/>
      <c r="L6" s="5"/>
      <c r="M6" s="6"/>
      <c r="N6" s="5"/>
      <c r="O6" s="5"/>
      <c r="P6" s="5">
        <v>100.0</v>
      </c>
      <c r="Q6" s="5"/>
      <c r="R6" s="7">
        <f t="shared" si="1"/>
        <v>2212.52</v>
      </c>
      <c r="S6" s="8">
        <v>0.0</v>
      </c>
      <c r="T6" s="59" t="str">
        <f t="shared" si="2"/>
        <v>#DIV/0!</v>
      </c>
      <c r="U6" s="74">
        <f t="shared" si="3"/>
        <v>44890</v>
      </c>
    </row>
    <row r="7">
      <c r="A7" s="74">
        <v>44891.0</v>
      </c>
      <c r="B7" s="5">
        <v>1199.04</v>
      </c>
      <c r="C7" s="5">
        <v>960.37</v>
      </c>
      <c r="D7" s="44">
        <v>266.0</v>
      </c>
      <c r="E7" s="5">
        <v>190.0</v>
      </c>
      <c r="G7" s="5">
        <v>804.15</v>
      </c>
      <c r="H7" s="5">
        <v>109.0</v>
      </c>
      <c r="I7" s="5"/>
      <c r="J7" s="6"/>
      <c r="K7" s="5"/>
      <c r="L7" s="5"/>
      <c r="M7" s="44">
        <v>298.5</v>
      </c>
      <c r="N7" s="6"/>
      <c r="O7" s="6"/>
      <c r="P7" s="6"/>
      <c r="Q7" s="6"/>
      <c r="R7" s="7">
        <f t="shared" si="1"/>
        <v>3827.06</v>
      </c>
      <c r="S7" s="8">
        <v>7680.0</v>
      </c>
      <c r="T7" s="59">
        <f t="shared" si="2"/>
        <v>0.4983151042</v>
      </c>
      <c r="U7" s="74">
        <f t="shared" si="3"/>
        <v>44891</v>
      </c>
    </row>
    <row r="8">
      <c r="A8" s="74">
        <v>44892.0</v>
      </c>
      <c r="B8" s="10" t="s">
        <v>21</v>
      </c>
      <c r="C8" s="10" t="s">
        <v>21</v>
      </c>
      <c r="D8" s="10" t="s">
        <v>21</v>
      </c>
      <c r="E8" s="10" t="s">
        <v>21</v>
      </c>
      <c r="G8" s="10" t="s">
        <v>21</v>
      </c>
      <c r="H8" s="10" t="s">
        <v>21</v>
      </c>
      <c r="I8" s="10" t="s">
        <v>21</v>
      </c>
      <c r="J8" s="10" t="s">
        <v>21</v>
      </c>
      <c r="K8" s="10" t="s">
        <v>21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0" t="s">
        <v>21</v>
      </c>
      <c r="R8" s="7">
        <v>0.0</v>
      </c>
      <c r="S8" s="8">
        <v>9344.0</v>
      </c>
      <c r="T8" s="59">
        <f t="shared" si="2"/>
        <v>0</v>
      </c>
      <c r="U8" s="74">
        <f t="shared" si="3"/>
        <v>44892</v>
      </c>
    </row>
    <row r="11">
      <c r="A11" s="4" t="s">
        <v>22</v>
      </c>
      <c r="B11" s="11">
        <v>12000.0</v>
      </c>
      <c r="E11" s="78"/>
    </row>
    <row r="12">
      <c r="A12" s="4" t="s">
        <v>23</v>
      </c>
      <c r="B12" s="12">
        <f>SUM(B2:Q8)</f>
        <v>7259.53</v>
      </c>
      <c r="E12" s="56"/>
    </row>
    <row r="13">
      <c r="A13" s="4" t="s">
        <v>24</v>
      </c>
      <c r="B13" s="12">
        <f> SUM(B11-B12)</f>
        <v>4740.47</v>
      </c>
    </row>
    <row r="15">
      <c r="A15" s="13" t="s">
        <v>25</v>
      </c>
      <c r="B15" s="14">
        <f>SUM(S2:S8)</f>
        <v>17024</v>
      </c>
    </row>
    <row r="16">
      <c r="A16" s="13" t="s">
        <v>26</v>
      </c>
      <c r="B16" s="15">
        <f>B12/B15</f>
        <v>0.4264291588</v>
      </c>
    </row>
    <row r="19">
      <c r="A19" s="16" t="s">
        <v>27</v>
      </c>
      <c r="B19" s="17"/>
      <c r="C19" s="17"/>
      <c r="D19" s="18"/>
      <c r="H19" s="60" t="s">
        <v>61</v>
      </c>
      <c r="I19" s="61"/>
      <c r="J19" s="62"/>
    </row>
    <row r="20">
      <c r="A20" s="19" t="s">
        <v>28</v>
      </c>
      <c r="B20" s="20"/>
      <c r="C20" s="20"/>
      <c r="D20" s="21"/>
      <c r="H20" s="63" t="s">
        <v>62</v>
      </c>
      <c r="I20" s="63" t="s">
        <v>63</v>
      </c>
      <c r="J20" s="63" t="s">
        <v>64</v>
      </c>
    </row>
    <row r="21">
      <c r="A21" s="22" t="s">
        <v>29</v>
      </c>
      <c r="B21" s="23" t="s">
        <v>30</v>
      </c>
      <c r="C21" s="22" t="s">
        <v>31</v>
      </c>
      <c r="D21" s="24" t="s">
        <v>30</v>
      </c>
      <c r="H21" s="64"/>
      <c r="I21" s="63"/>
      <c r="J21" s="63"/>
      <c r="K21" s="32"/>
    </row>
    <row r="22">
      <c r="A22" s="28" t="s">
        <v>51</v>
      </c>
      <c r="B22" s="72">
        <v>365.04</v>
      </c>
      <c r="C22" s="25"/>
      <c r="D22" s="27"/>
      <c r="H22" s="70"/>
      <c r="I22" s="63"/>
      <c r="J22" s="63"/>
    </row>
    <row r="23">
      <c r="A23" s="28"/>
      <c r="B23" s="72"/>
      <c r="C23" s="25"/>
      <c r="D23" s="27"/>
      <c r="H23" s="65"/>
      <c r="I23" s="65"/>
      <c r="J23" s="65"/>
    </row>
    <row r="24">
      <c r="A24" s="71"/>
      <c r="B24" s="72"/>
      <c r="C24" s="25"/>
      <c r="D24" s="27"/>
      <c r="H24" s="65"/>
      <c r="I24" s="65"/>
      <c r="J24" s="65"/>
    </row>
    <row r="25">
      <c r="A25" s="28"/>
      <c r="B25" s="26"/>
      <c r="C25" s="25"/>
      <c r="D25" s="27"/>
      <c r="H25" s="65"/>
      <c r="I25" s="65"/>
      <c r="J25" s="65"/>
    </row>
    <row r="26">
      <c r="A26" s="25"/>
      <c r="B26" s="26"/>
      <c r="C26" s="25"/>
      <c r="D26" s="27"/>
      <c r="H26" s="65"/>
      <c r="I26" s="65"/>
      <c r="J26" s="65"/>
    </row>
    <row r="27">
      <c r="A27" s="25"/>
      <c r="B27" s="26"/>
      <c r="C27" s="25"/>
      <c r="D27" s="27"/>
      <c r="H27" s="65"/>
      <c r="I27" s="65"/>
      <c r="J27" s="65"/>
    </row>
    <row r="28">
      <c r="A28" s="25"/>
      <c r="B28" s="26"/>
      <c r="C28" s="25"/>
      <c r="D28" s="27"/>
    </row>
    <row r="29">
      <c r="A29" s="25"/>
      <c r="B29" s="26"/>
      <c r="C29" s="25"/>
      <c r="D29" s="27"/>
      <c r="I29" s="66" t="s">
        <v>68</v>
      </c>
      <c r="J29" s="67"/>
    </row>
  </sheetData>
  <mergeCells count="1">
    <mergeCell ref="H19:J19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19" max="19" width="16.5"/>
    <col customWidth="1" min="21" max="21" width="22.63"/>
  </cols>
  <sheetData>
    <row r="1">
      <c r="B1" s="2" t="s">
        <v>0</v>
      </c>
      <c r="C1" s="2" t="s">
        <v>1</v>
      </c>
      <c r="D1" s="2" t="s">
        <v>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43</v>
      </c>
      <c r="J1" s="2" t="s">
        <v>40</v>
      </c>
      <c r="K1" s="2" t="s">
        <v>49</v>
      </c>
      <c r="L1" s="2" t="s">
        <v>42</v>
      </c>
      <c r="M1" s="2" t="s">
        <v>9</v>
      </c>
      <c r="N1" s="2" t="s">
        <v>37</v>
      </c>
      <c r="O1" s="2" t="s">
        <v>10</v>
      </c>
      <c r="P1" s="2" t="s">
        <v>11</v>
      </c>
      <c r="Q1" s="2" t="s">
        <v>12</v>
      </c>
      <c r="R1" s="3" t="s">
        <v>13</v>
      </c>
      <c r="S1" s="3" t="s">
        <v>14</v>
      </c>
      <c r="T1" s="3" t="s">
        <v>15</v>
      </c>
    </row>
    <row r="2">
      <c r="A2" s="74">
        <v>44893.0</v>
      </c>
      <c r="B2" s="5">
        <v>3126.3</v>
      </c>
      <c r="C2" s="5">
        <v>604.51</v>
      </c>
      <c r="D2" s="5"/>
      <c r="E2" s="5"/>
      <c r="F2" s="5">
        <v>330.68</v>
      </c>
      <c r="G2" s="5"/>
      <c r="H2" s="5"/>
      <c r="I2" s="5"/>
      <c r="J2" s="42"/>
      <c r="K2" s="5">
        <v>180.0</v>
      </c>
      <c r="L2" s="6"/>
      <c r="M2" s="6"/>
      <c r="N2" s="5"/>
      <c r="O2" s="5"/>
      <c r="P2" s="5">
        <v>100.0</v>
      </c>
      <c r="Q2" s="6"/>
      <c r="R2" s="7">
        <f t="shared" ref="R2:R7" si="1">SUM(B2:Q2)</f>
        <v>4341.49</v>
      </c>
      <c r="S2" s="8">
        <v>5133.1</v>
      </c>
      <c r="T2" s="59">
        <f t="shared" ref="T2:T8" si="2">R2/S2</f>
        <v>0.8457832499</v>
      </c>
      <c r="U2" s="74">
        <f t="shared" ref="U2:U8" si="3">A2</f>
        <v>44893</v>
      </c>
    </row>
    <row r="3">
      <c r="A3" s="74">
        <v>44894.0</v>
      </c>
      <c r="B3" s="5">
        <v>1127.07</v>
      </c>
      <c r="C3" s="33">
        <v>356.42</v>
      </c>
      <c r="D3" s="5"/>
      <c r="E3" s="5"/>
      <c r="F3" s="5"/>
      <c r="G3" s="5"/>
      <c r="H3" s="5"/>
      <c r="I3" s="5"/>
      <c r="J3" s="42"/>
      <c r="K3" s="5"/>
      <c r="L3" s="5"/>
      <c r="M3" s="6"/>
      <c r="N3" s="5"/>
      <c r="O3" s="5"/>
      <c r="P3" s="5"/>
      <c r="Q3" s="5">
        <v>221.94</v>
      </c>
      <c r="R3" s="7">
        <f t="shared" si="1"/>
        <v>1705.43</v>
      </c>
      <c r="S3" s="8">
        <v>5907.0</v>
      </c>
      <c r="T3" s="59">
        <f t="shared" si="2"/>
        <v>0.2887133909</v>
      </c>
      <c r="U3" s="74">
        <f t="shared" si="3"/>
        <v>44894</v>
      </c>
    </row>
    <row r="4">
      <c r="A4" s="74">
        <v>44895.0</v>
      </c>
      <c r="B4" s="5">
        <v>2081.34</v>
      </c>
      <c r="C4" s="5"/>
      <c r="D4" s="5"/>
      <c r="E4" s="5"/>
      <c r="F4" s="5"/>
      <c r="G4" s="5">
        <v>729.4</v>
      </c>
      <c r="H4" s="5">
        <v>49.5</v>
      </c>
      <c r="I4" s="5"/>
      <c r="J4" s="42">
        <v>823.48</v>
      </c>
      <c r="K4" s="5"/>
      <c r="L4" s="5"/>
      <c r="M4" s="6"/>
      <c r="N4" s="5"/>
      <c r="O4" s="83"/>
      <c r="P4" s="5">
        <v>100.0</v>
      </c>
      <c r="Q4" s="6"/>
      <c r="R4" s="7">
        <f t="shared" si="1"/>
        <v>3783.72</v>
      </c>
      <c r="S4" s="8">
        <f>7087+305</f>
        <v>7392</v>
      </c>
      <c r="T4" s="59">
        <f t="shared" si="2"/>
        <v>0.5118668831</v>
      </c>
      <c r="U4" s="74">
        <f t="shared" si="3"/>
        <v>44895</v>
      </c>
    </row>
    <row r="5">
      <c r="A5" s="74">
        <v>44896.0</v>
      </c>
      <c r="B5" s="5">
        <v>1948.12</v>
      </c>
      <c r="C5" s="5">
        <v>226.22</v>
      </c>
      <c r="D5" s="6"/>
      <c r="E5" s="5">
        <v>290.0</v>
      </c>
      <c r="F5" s="5">
        <v>168.96</v>
      </c>
      <c r="G5" s="5"/>
      <c r="H5" s="5"/>
      <c r="I5" s="5"/>
      <c r="J5" s="5"/>
      <c r="K5" s="5"/>
      <c r="L5" s="5"/>
      <c r="M5" s="5"/>
      <c r="N5" s="5"/>
      <c r="O5" s="5"/>
      <c r="P5" s="6"/>
      <c r="Q5" s="6"/>
      <c r="R5" s="7">
        <f t="shared" si="1"/>
        <v>2633.3</v>
      </c>
      <c r="S5" s="8">
        <v>7085.75</v>
      </c>
      <c r="T5" s="59">
        <f t="shared" si="2"/>
        <v>0.3716332075</v>
      </c>
      <c r="U5" s="74">
        <f t="shared" si="3"/>
        <v>44896</v>
      </c>
    </row>
    <row r="6">
      <c r="A6" s="74">
        <v>44897.0</v>
      </c>
      <c r="B6" s="5">
        <v>1059.6</v>
      </c>
      <c r="C6" s="5">
        <v>430.81</v>
      </c>
      <c r="D6" s="5"/>
      <c r="E6" s="5"/>
      <c r="F6" s="5"/>
      <c r="G6" s="5">
        <v>170.0</v>
      </c>
      <c r="H6" s="5">
        <v>142.5</v>
      </c>
      <c r="I6" s="5"/>
      <c r="J6" s="5"/>
      <c r="K6" s="5"/>
      <c r="L6" s="5"/>
      <c r="M6" s="6"/>
      <c r="N6" s="5"/>
      <c r="O6" s="5">
        <v>49.0</v>
      </c>
      <c r="P6" s="5">
        <v>100.0</v>
      </c>
      <c r="Q6" s="5"/>
      <c r="R6" s="7">
        <f t="shared" si="1"/>
        <v>1951.91</v>
      </c>
      <c r="S6" s="8">
        <f>10454.4+612</f>
        <v>11066.4</v>
      </c>
      <c r="T6" s="59">
        <f t="shared" si="2"/>
        <v>0.1763816598</v>
      </c>
      <c r="U6" s="74">
        <f t="shared" si="3"/>
        <v>44897</v>
      </c>
    </row>
    <row r="7">
      <c r="A7" s="74">
        <v>44898.0</v>
      </c>
      <c r="B7" s="5">
        <v>1737.69</v>
      </c>
      <c r="C7" s="5">
        <v>149.2</v>
      </c>
      <c r="D7" s="44">
        <v>400.0</v>
      </c>
      <c r="E7" s="5">
        <v>190.0</v>
      </c>
      <c r="F7" s="5">
        <v>370.1</v>
      </c>
      <c r="G7" s="5"/>
      <c r="H7" s="5">
        <v>33.0</v>
      </c>
      <c r="I7" s="5"/>
      <c r="J7" s="6"/>
      <c r="K7" s="5"/>
      <c r="L7" s="5"/>
      <c r="M7" s="44">
        <v>460.5</v>
      </c>
      <c r="N7" s="6"/>
      <c r="O7" s="6"/>
      <c r="P7" s="6"/>
      <c r="Q7" s="6"/>
      <c r="R7" s="7">
        <f t="shared" si="1"/>
        <v>3340.49</v>
      </c>
      <c r="S7" s="8">
        <v>13261.0</v>
      </c>
      <c r="T7" s="59">
        <f t="shared" si="2"/>
        <v>0.2519033255</v>
      </c>
      <c r="U7" s="74">
        <f t="shared" si="3"/>
        <v>44898</v>
      </c>
    </row>
    <row r="8">
      <c r="A8" s="74">
        <v>44899.0</v>
      </c>
      <c r="B8" s="10" t="s">
        <v>21</v>
      </c>
      <c r="C8" s="10" t="s">
        <v>21</v>
      </c>
      <c r="D8" s="10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0" t="s">
        <v>21</v>
      </c>
      <c r="K8" s="10" t="s">
        <v>21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0" t="s">
        <v>21</v>
      </c>
      <c r="R8" s="7">
        <v>0.0</v>
      </c>
      <c r="S8" s="8">
        <v>6332.0</v>
      </c>
      <c r="T8" s="59">
        <f t="shared" si="2"/>
        <v>0</v>
      </c>
      <c r="U8" s="74">
        <f t="shared" si="3"/>
        <v>44899</v>
      </c>
    </row>
    <row r="11">
      <c r="A11" s="4" t="s">
        <v>22</v>
      </c>
      <c r="B11" s="11">
        <v>14000.0</v>
      </c>
      <c r="E11" s="78"/>
      <c r="F11" s="79"/>
    </row>
    <row r="12">
      <c r="A12" s="4" t="s">
        <v>23</v>
      </c>
      <c r="B12" s="12">
        <f>SUM(B2:Q8)</f>
        <v>17756.34</v>
      </c>
      <c r="E12" s="56"/>
    </row>
    <row r="13">
      <c r="A13" s="4" t="s">
        <v>24</v>
      </c>
      <c r="B13" s="12">
        <f> SUM(B11-B12)</f>
        <v>-3756.34</v>
      </c>
    </row>
    <row r="15">
      <c r="A15" s="13" t="s">
        <v>25</v>
      </c>
      <c r="B15" s="14">
        <f>SUM(S2:S8)</f>
        <v>56177.25</v>
      </c>
    </row>
    <row r="16">
      <c r="A16" s="13" t="s">
        <v>26</v>
      </c>
      <c r="B16" s="15">
        <f>B12/B15</f>
        <v>0.3160770597</v>
      </c>
    </row>
    <row r="19">
      <c r="A19" s="16" t="s">
        <v>27</v>
      </c>
      <c r="B19" s="17"/>
      <c r="C19" s="17"/>
      <c r="D19" s="18"/>
      <c r="H19" s="60" t="s">
        <v>61</v>
      </c>
      <c r="I19" s="61"/>
      <c r="J19" s="62"/>
    </row>
    <row r="20">
      <c r="A20" s="19" t="s">
        <v>28</v>
      </c>
      <c r="B20" s="20"/>
      <c r="C20" s="20"/>
      <c r="D20" s="21"/>
      <c r="H20" s="63" t="s">
        <v>62</v>
      </c>
      <c r="I20" s="63" t="s">
        <v>63</v>
      </c>
      <c r="J20" s="63" t="s">
        <v>64</v>
      </c>
    </row>
    <row r="21">
      <c r="A21" s="22" t="s">
        <v>29</v>
      </c>
      <c r="B21" s="23" t="s">
        <v>30</v>
      </c>
      <c r="C21" s="22" t="s">
        <v>31</v>
      </c>
      <c r="D21" s="24" t="s">
        <v>30</v>
      </c>
      <c r="H21" s="64"/>
      <c r="I21" s="63"/>
      <c r="J21" s="63"/>
      <c r="K21" s="32"/>
    </row>
    <row r="22">
      <c r="A22" s="28" t="s">
        <v>41</v>
      </c>
      <c r="B22" s="72">
        <v>823.48</v>
      </c>
      <c r="C22" s="25"/>
      <c r="D22" s="27"/>
      <c r="H22" s="70"/>
      <c r="I22" s="63"/>
      <c r="J22" s="63"/>
    </row>
    <row r="23">
      <c r="A23" s="28" t="s">
        <v>104</v>
      </c>
      <c r="B23" s="72">
        <v>106.91</v>
      </c>
      <c r="C23" s="25"/>
      <c r="D23" s="27"/>
      <c r="H23" s="65"/>
      <c r="I23" s="65"/>
      <c r="J23" s="65"/>
    </row>
    <row r="24">
      <c r="A24" s="71" t="s">
        <v>92</v>
      </c>
      <c r="B24" s="72">
        <v>250.0</v>
      </c>
      <c r="C24" s="25"/>
      <c r="D24" s="27"/>
      <c r="H24" s="65"/>
      <c r="I24" s="65"/>
      <c r="J24" s="65"/>
    </row>
    <row r="25">
      <c r="A25" s="28" t="s">
        <v>105</v>
      </c>
      <c r="B25" s="41">
        <v>200.0</v>
      </c>
      <c r="C25" s="25"/>
      <c r="D25" s="27"/>
      <c r="H25" s="65"/>
      <c r="I25" s="65"/>
      <c r="J25" s="65"/>
    </row>
    <row r="26">
      <c r="A26" s="25"/>
      <c r="B26" s="26"/>
      <c r="C26" s="25"/>
      <c r="D26" s="27"/>
      <c r="H26" s="65"/>
      <c r="I26" s="65"/>
      <c r="J26" s="65"/>
    </row>
    <row r="27">
      <c r="A27" s="25"/>
      <c r="B27" s="26"/>
      <c r="C27" s="25"/>
      <c r="D27" s="27"/>
      <c r="H27" s="65"/>
      <c r="I27" s="65"/>
      <c r="J27" s="65"/>
    </row>
    <row r="28">
      <c r="A28" s="25"/>
      <c r="B28" s="26"/>
      <c r="C28" s="25"/>
      <c r="D28" s="27"/>
    </row>
    <row r="29">
      <c r="A29" s="25"/>
      <c r="B29" s="26"/>
      <c r="C29" s="25"/>
      <c r="D29" s="27"/>
      <c r="I29" s="66" t="s">
        <v>68</v>
      </c>
      <c r="J29" s="67"/>
    </row>
  </sheetData>
  <mergeCells count="1">
    <mergeCell ref="H19:J19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1" max="21" width="20.63"/>
  </cols>
  <sheetData>
    <row r="1">
      <c r="B1" s="2" t="s">
        <v>0</v>
      </c>
      <c r="C1" s="2" t="s">
        <v>1</v>
      </c>
      <c r="D1" s="2" t="s">
        <v>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43</v>
      </c>
      <c r="J1" s="2" t="s">
        <v>40</v>
      </c>
      <c r="K1" s="2" t="s">
        <v>49</v>
      </c>
      <c r="L1" s="2" t="s">
        <v>42</v>
      </c>
      <c r="M1" s="2" t="s">
        <v>9</v>
      </c>
      <c r="N1" s="2" t="s">
        <v>37</v>
      </c>
      <c r="O1" s="2" t="s">
        <v>10</v>
      </c>
      <c r="P1" s="2" t="s">
        <v>11</v>
      </c>
      <c r="Q1" s="2" t="s">
        <v>12</v>
      </c>
      <c r="R1" s="3" t="s">
        <v>13</v>
      </c>
      <c r="S1" s="3" t="s">
        <v>14</v>
      </c>
      <c r="T1" s="3" t="s">
        <v>15</v>
      </c>
    </row>
    <row r="2">
      <c r="A2" s="74">
        <v>44900.0</v>
      </c>
      <c r="B2" s="5">
        <v>1570.77</v>
      </c>
      <c r="C2" s="5">
        <v>280.56</v>
      </c>
      <c r="D2" s="5"/>
      <c r="E2" s="5"/>
      <c r="F2" s="5">
        <v>568.14</v>
      </c>
      <c r="G2" s="5"/>
      <c r="H2" s="5"/>
      <c r="I2" s="5"/>
      <c r="J2" s="42">
        <v>823.48</v>
      </c>
      <c r="K2" s="5">
        <v>180.0</v>
      </c>
      <c r="L2" s="5">
        <v>63.18</v>
      </c>
      <c r="M2" s="6"/>
      <c r="N2" s="5"/>
      <c r="O2" s="5"/>
      <c r="P2" s="5">
        <v>100.0</v>
      </c>
      <c r="Q2" s="6"/>
      <c r="R2" s="7">
        <f t="shared" ref="R2:R7" si="1">SUM(B2:Q2)</f>
        <v>3586.13</v>
      </c>
      <c r="S2" s="8">
        <v>4188.5</v>
      </c>
      <c r="T2" s="59">
        <f t="shared" ref="T2:T8" si="2">R2/S2</f>
        <v>0.8561847917</v>
      </c>
      <c r="U2" s="74">
        <f t="shared" ref="U2:U8" si="3">A2</f>
        <v>44900</v>
      </c>
    </row>
    <row r="3">
      <c r="A3" s="74">
        <v>44901.0</v>
      </c>
      <c r="B3" s="5">
        <v>1335.54</v>
      </c>
      <c r="C3" s="33">
        <v>227.36</v>
      </c>
      <c r="D3" s="5"/>
      <c r="E3" s="5"/>
      <c r="F3" s="5"/>
      <c r="G3" s="5"/>
      <c r="H3" s="5"/>
      <c r="I3" s="5">
        <v>322.8</v>
      </c>
      <c r="J3" s="42"/>
      <c r="K3" s="5"/>
      <c r="L3" s="5"/>
      <c r="M3" s="6"/>
      <c r="N3" s="5"/>
      <c r="O3" s="5"/>
      <c r="P3" s="5"/>
      <c r="Q3" s="5">
        <v>221.94</v>
      </c>
      <c r="R3" s="7">
        <f t="shared" si="1"/>
        <v>2107.64</v>
      </c>
      <c r="S3" s="8">
        <v>5218.0</v>
      </c>
      <c r="T3" s="59">
        <f t="shared" si="2"/>
        <v>0.4039172097</v>
      </c>
      <c r="U3" s="74">
        <f t="shared" si="3"/>
        <v>44901</v>
      </c>
    </row>
    <row r="4">
      <c r="A4" s="74">
        <v>44902.0</v>
      </c>
      <c r="B4" s="5">
        <v>2501.03</v>
      </c>
      <c r="C4" s="5"/>
      <c r="D4" s="5"/>
      <c r="E4" s="5"/>
      <c r="F4" s="5"/>
      <c r="G4" s="5">
        <v>454.9</v>
      </c>
      <c r="H4" s="5">
        <v>49.5</v>
      </c>
      <c r="I4" s="5"/>
      <c r="J4" s="42">
        <v>811.17</v>
      </c>
      <c r="K4" s="5"/>
      <c r="L4" s="5"/>
      <c r="M4" s="6"/>
      <c r="N4" s="5"/>
      <c r="O4" s="83"/>
      <c r="P4" s="5">
        <v>100.0</v>
      </c>
      <c r="Q4" s="6"/>
      <c r="R4" s="7">
        <f t="shared" si="1"/>
        <v>3916.6</v>
      </c>
      <c r="S4" s="8">
        <v>5696.3</v>
      </c>
      <c r="T4" s="59">
        <f t="shared" si="2"/>
        <v>0.6875691238</v>
      </c>
      <c r="U4" s="74">
        <f t="shared" si="3"/>
        <v>44902</v>
      </c>
    </row>
    <row r="5">
      <c r="A5" s="74">
        <v>44903.0</v>
      </c>
      <c r="B5" s="5">
        <v>1561.42</v>
      </c>
      <c r="C5" s="5">
        <v>198.69</v>
      </c>
      <c r="D5" s="6"/>
      <c r="E5" s="5">
        <v>290.0</v>
      </c>
      <c r="F5" s="5"/>
      <c r="G5" s="5"/>
      <c r="H5" s="5"/>
      <c r="I5" s="5"/>
      <c r="J5" s="5"/>
      <c r="K5" s="5"/>
      <c r="L5" s="5"/>
      <c r="M5" s="5"/>
      <c r="N5" s="5"/>
      <c r="O5" s="5"/>
      <c r="P5" s="6"/>
      <c r="Q5" s="6"/>
      <c r="R5" s="7">
        <f t="shared" si="1"/>
        <v>2050.11</v>
      </c>
      <c r="S5" s="8">
        <v>12995.2</v>
      </c>
      <c r="T5" s="59">
        <f t="shared" si="2"/>
        <v>0.1577590187</v>
      </c>
      <c r="U5" s="74">
        <f t="shared" si="3"/>
        <v>44903</v>
      </c>
    </row>
    <row r="6">
      <c r="A6" s="74">
        <v>44904.0</v>
      </c>
      <c r="B6" s="5">
        <v>1256.27</v>
      </c>
      <c r="C6" s="5">
        <v>578.6</v>
      </c>
      <c r="D6" s="5"/>
      <c r="E6" s="5"/>
      <c r="F6" s="5">
        <v>85.8</v>
      </c>
      <c r="G6" s="5">
        <v>709.9</v>
      </c>
      <c r="H6" s="5">
        <v>114.0</v>
      </c>
      <c r="I6" s="5"/>
      <c r="J6" s="5"/>
      <c r="K6" s="5"/>
      <c r="L6" s="5"/>
      <c r="M6" s="6"/>
      <c r="N6" s="5"/>
      <c r="O6" s="5"/>
      <c r="P6" s="5">
        <v>100.0</v>
      </c>
      <c r="Q6" s="5"/>
      <c r="R6" s="7">
        <f t="shared" si="1"/>
        <v>2844.57</v>
      </c>
      <c r="S6" s="8">
        <v>11736.5</v>
      </c>
      <c r="T6" s="59">
        <f t="shared" si="2"/>
        <v>0.242369531</v>
      </c>
      <c r="U6" s="74">
        <f t="shared" si="3"/>
        <v>44904</v>
      </c>
    </row>
    <row r="7">
      <c r="A7" s="74">
        <v>44905.0</v>
      </c>
      <c r="B7" s="5">
        <v>1454.81</v>
      </c>
      <c r="C7" s="5">
        <v>84.0</v>
      </c>
      <c r="D7" s="44">
        <v>298.0</v>
      </c>
      <c r="E7" s="5">
        <v>190.0</v>
      </c>
      <c r="F7" s="5">
        <v>310.75</v>
      </c>
      <c r="G7" s="5"/>
      <c r="H7" s="5">
        <v>33.0</v>
      </c>
      <c r="I7" s="5"/>
      <c r="J7" s="6"/>
      <c r="K7" s="5"/>
      <c r="L7" s="5"/>
      <c r="M7" s="44">
        <v>496.0</v>
      </c>
      <c r="N7" s="6"/>
      <c r="O7" s="6"/>
      <c r="P7" s="6"/>
      <c r="Q7" s="6"/>
      <c r="R7" s="7">
        <f t="shared" si="1"/>
        <v>2866.56</v>
      </c>
      <c r="S7" s="8">
        <v>15580.7</v>
      </c>
      <c r="T7" s="59">
        <f t="shared" si="2"/>
        <v>0.1839814642</v>
      </c>
      <c r="U7" s="74">
        <f t="shared" si="3"/>
        <v>44905</v>
      </c>
    </row>
    <row r="8">
      <c r="A8" s="74">
        <v>44906.0</v>
      </c>
      <c r="B8" s="10" t="s">
        <v>21</v>
      </c>
      <c r="C8" s="10" t="s">
        <v>21</v>
      </c>
      <c r="D8" s="10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0" t="s">
        <v>21</v>
      </c>
      <c r="K8" s="10" t="s">
        <v>21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0" t="s">
        <v>21</v>
      </c>
      <c r="R8" s="8">
        <v>0.0</v>
      </c>
      <c r="S8" s="8">
        <v>9820.0</v>
      </c>
      <c r="T8" s="59">
        <f t="shared" si="2"/>
        <v>0</v>
      </c>
      <c r="U8" s="74">
        <f t="shared" si="3"/>
        <v>44906</v>
      </c>
    </row>
    <row r="10">
      <c r="A10" s="4" t="s">
        <v>79</v>
      </c>
      <c r="B10" s="10">
        <v>9575.14</v>
      </c>
      <c r="C10" s="10">
        <v>1606.11</v>
      </c>
      <c r="D10" s="10">
        <v>298.0</v>
      </c>
      <c r="E10" s="10">
        <v>480.0</v>
      </c>
      <c r="F10" s="10">
        <v>964.4</v>
      </c>
      <c r="G10" s="10">
        <v>1164.8</v>
      </c>
      <c r="H10" s="10">
        <v>196.5</v>
      </c>
      <c r="I10" s="10">
        <v>322.8</v>
      </c>
      <c r="J10" s="10">
        <v>1634.66</v>
      </c>
      <c r="K10" s="10">
        <v>195.0</v>
      </c>
      <c r="L10" s="10">
        <v>63.18</v>
      </c>
      <c r="M10" s="10">
        <v>551.0</v>
      </c>
      <c r="N10" s="10">
        <v>540.84</v>
      </c>
      <c r="O10" s="10"/>
      <c r="P10" s="10">
        <v>466.62</v>
      </c>
      <c r="Q10" s="5">
        <v>221.78</v>
      </c>
      <c r="R10" s="8"/>
      <c r="S10" s="59"/>
      <c r="T10" s="74"/>
    </row>
    <row r="11">
      <c r="A11" s="4" t="s">
        <v>80</v>
      </c>
      <c r="B11" s="10">
        <f t="shared" ref="B11:Q11" si="4">sum(B2:B8)-B10</f>
        <v>104.7</v>
      </c>
      <c r="C11" s="10">
        <f t="shared" si="4"/>
        <v>-236.9</v>
      </c>
      <c r="D11" s="10">
        <f t="shared" si="4"/>
        <v>0</v>
      </c>
      <c r="E11" s="10">
        <f t="shared" si="4"/>
        <v>0</v>
      </c>
      <c r="F11" s="10">
        <f t="shared" si="4"/>
        <v>0.29</v>
      </c>
      <c r="G11" s="10">
        <f t="shared" si="4"/>
        <v>0</v>
      </c>
      <c r="H11" s="10">
        <f t="shared" si="4"/>
        <v>0</v>
      </c>
      <c r="I11" s="10">
        <f t="shared" si="4"/>
        <v>0</v>
      </c>
      <c r="J11" s="10">
        <f t="shared" si="4"/>
        <v>-0.01</v>
      </c>
      <c r="K11" s="10">
        <f t="shared" si="4"/>
        <v>-15</v>
      </c>
      <c r="L11" s="10">
        <f t="shared" si="4"/>
        <v>0</v>
      </c>
      <c r="M11" s="10">
        <f t="shared" si="4"/>
        <v>-55</v>
      </c>
      <c r="N11" s="10">
        <f t="shared" si="4"/>
        <v>-540.84</v>
      </c>
      <c r="O11" s="10">
        <f t="shared" si="4"/>
        <v>0</v>
      </c>
      <c r="P11" s="10">
        <f t="shared" si="4"/>
        <v>-166.62</v>
      </c>
      <c r="Q11" s="10">
        <f t="shared" si="4"/>
        <v>0.16</v>
      </c>
      <c r="R11" s="10">
        <f>R10-0</f>
        <v>0</v>
      </c>
      <c r="S11" s="59"/>
      <c r="T11" s="74"/>
    </row>
    <row r="13">
      <c r="A13" s="4" t="s">
        <v>22</v>
      </c>
      <c r="B13" s="11">
        <v>12000.0</v>
      </c>
      <c r="E13" s="78"/>
      <c r="F13" s="79"/>
    </row>
    <row r="14">
      <c r="A14" s="4" t="s">
        <v>23</v>
      </c>
      <c r="B14" s="12">
        <f>SUM(B2:Q8)</f>
        <v>17371.61</v>
      </c>
      <c r="E14" s="56"/>
    </row>
    <row r="15">
      <c r="A15" s="4" t="s">
        <v>24</v>
      </c>
      <c r="B15" s="12">
        <f> SUM(B13-B14)</f>
        <v>-5371.61</v>
      </c>
    </row>
    <row r="17">
      <c r="A17" s="13" t="s">
        <v>25</v>
      </c>
      <c r="B17" s="14">
        <f>SUM(S2:S8)</f>
        <v>65235.2</v>
      </c>
    </row>
    <row r="18">
      <c r="A18" s="13" t="s">
        <v>26</v>
      </c>
      <c r="B18" s="15">
        <f>B14/B17</f>
        <v>0.2662919712</v>
      </c>
    </row>
    <row r="21">
      <c r="A21" s="16" t="s">
        <v>27</v>
      </c>
      <c r="B21" s="17"/>
      <c r="C21" s="17"/>
      <c r="D21" s="18"/>
      <c r="H21" s="60" t="s">
        <v>61</v>
      </c>
      <c r="I21" s="61"/>
      <c r="J21" s="62"/>
    </row>
    <row r="22">
      <c r="A22" s="19" t="s">
        <v>28</v>
      </c>
      <c r="B22" s="20"/>
      <c r="C22" s="20"/>
      <c r="D22" s="21"/>
      <c r="H22" s="63" t="s">
        <v>62</v>
      </c>
      <c r="I22" s="63" t="s">
        <v>63</v>
      </c>
      <c r="J22" s="63" t="s">
        <v>64</v>
      </c>
    </row>
    <row r="23">
      <c r="A23" s="22" t="s">
        <v>29</v>
      </c>
      <c r="B23" s="23" t="s">
        <v>30</v>
      </c>
      <c r="C23" s="22" t="s">
        <v>31</v>
      </c>
      <c r="D23" s="24" t="s">
        <v>30</v>
      </c>
      <c r="H23" s="64"/>
      <c r="I23" s="63"/>
      <c r="J23" s="63"/>
      <c r="K23" s="32"/>
    </row>
    <row r="24">
      <c r="A24" s="28" t="s">
        <v>41</v>
      </c>
      <c r="B24" s="72">
        <v>811.17</v>
      </c>
      <c r="C24" s="25"/>
      <c r="D24" s="27"/>
      <c r="H24" s="70"/>
      <c r="I24" s="63"/>
      <c r="J24" s="63"/>
    </row>
    <row r="25">
      <c r="A25" s="28" t="s">
        <v>51</v>
      </c>
      <c r="B25" s="72">
        <v>471.51</v>
      </c>
      <c r="C25" s="25"/>
      <c r="D25" s="27"/>
      <c r="H25" s="65"/>
      <c r="I25" s="65"/>
      <c r="J25" s="65"/>
    </row>
    <row r="26">
      <c r="A26" s="71"/>
      <c r="B26" s="72"/>
      <c r="C26" s="25"/>
      <c r="D26" s="27"/>
      <c r="H26" s="65"/>
      <c r="I26" s="65"/>
      <c r="J26" s="65"/>
    </row>
    <row r="27">
      <c r="A27" s="28"/>
      <c r="B27" s="26"/>
      <c r="C27" s="25"/>
      <c r="D27" s="27"/>
      <c r="H27" s="65"/>
      <c r="I27" s="65"/>
      <c r="J27" s="65"/>
    </row>
    <row r="28">
      <c r="A28" s="25"/>
      <c r="B28" s="26"/>
      <c r="C28" s="25"/>
      <c r="D28" s="27"/>
      <c r="H28" s="65"/>
      <c r="I28" s="65"/>
      <c r="J28" s="65"/>
    </row>
    <row r="29">
      <c r="A29" s="25"/>
      <c r="B29" s="26"/>
      <c r="C29" s="25"/>
      <c r="D29" s="27"/>
      <c r="H29" s="65"/>
      <c r="I29" s="65"/>
      <c r="J29" s="65"/>
    </row>
    <row r="30">
      <c r="A30" s="25"/>
      <c r="B30" s="26"/>
      <c r="C30" s="25"/>
      <c r="D30" s="27"/>
    </row>
    <row r="31">
      <c r="A31" s="25"/>
      <c r="B31" s="26"/>
      <c r="C31" s="25"/>
      <c r="D31" s="27"/>
      <c r="I31" s="66" t="s">
        <v>68</v>
      </c>
      <c r="J31" s="67"/>
    </row>
  </sheetData>
  <mergeCells count="1">
    <mergeCell ref="H21:J21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1" max="21" width="21.38"/>
  </cols>
  <sheetData>
    <row r="1">
      <c r="B1" s="2" t="s">
        <v>0</v>
      </c>
      <c r="C1" s="2" t="s">
        <v>1</v>
      </c>
      <c r="D1" s="2" t="s">
        <v>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43</v>
      </c>
      <c r="J1" s="2" t="s">
        <v>40</v>
      </c>
      <c r="K1" s="2" t="s">
        <v>49</v>
      </c>
      <c r="L1" s="2" t="s">
        <v>42</v>
      </c>
      <c r="M1" s="2" t="s">
        <v>9</v>
      </c>
      <c r="N1" s="2" t="s">
        <v>37</v>
      </c>
      <c r="O1" s="2" t="s">
        <v>10</v>
      </c>
      <c r="P1" s="2" t="s">
        <v>11</v>
      </c>
      <c r="Q1" s="2" t="s">
        <v>12</v>
      </c>
      <c r="R1" s="3" t="s">
        <v>13</v>
      </c>
      <c r="S1" s="3" t="s">
        <v>14</v>
      </c>
      <c r="T1" s="3" t="s">
        <v>15</v>
      </c>
    </row>
    <row r="2">
      <c r="A2" s="74">
        <v>44907.0</v>
      </c>
      <c r="B2" s="5">
        <v>1482.69</v>
      </c>
      <c r="C2" s="5">
        <v>1181.37</v>
      </c>
      <c r="D2" s="5"/>
      <c r="E2" s="5"/>
      <c r="F2" s="5">
        <v>156.41</v>
      </c>
      <c r="G2" s="5"/>
      <c r="H2" s="5"/>
      <c r="I2" s="5"/>
      <c r="J2" s="72">
        <v>811.17</v>
      </c>
      <c r="K2" s="5">
        <v>180.0</v>
      </c>
      <c r="L2" s="5"/>
      <c r="M2" s="6"/>
      <c r="N2" s="5"/>
      <c r="O2" s="5">
        <v>19.0</v>
      </c>
      <c r="P2" s="5">
        <v>100.0</v>
      </c>
      <c r="Q2" s="6"/>
      <c r="R2" s="7">
        <f t="shared" ref="R2:R7" si="1">SUM(B2:Q2)</f>
        <v>3930.64</v>
      </c>
      <c r="S2" s="8">
        <v>5290.0</v>
      </c>
      <c r="T2" s="59">
        <f t="shared" ref="T2:T8" si="2">R2/S2</f>
        <v>0.7430321361</v>
      </c>
      <c r="U2" s="74">
        <f t="shared" ref="U2:U8" si="3">A2</f>
        <v>44907</v>
      </c>
    </row>
    <row r="3">
      <c r="A3" s="74">
        <v>44908.0</v>
      </c>
      <c r="B3" s="5">
        <v>2316.18</v>
      </c>
      <c r="C3" s="33">
        <v>239.62</v>
      </c>
      <c r="D3" s="5"/>
      <c r="E3" s="5"/>
      <c r="F3" s="5">
        <v>161.01</v>
      </c>
      <c r="G3" s="5"/>
      <c r="H3" s="5"/>
      <c r="I3" s="5"/>
      <c r="J3" s="42"/>
      <c r="K3" s="5"/>
      <c r="L3" s="5"/>
      <c r="M3" s="6"/>
      <c r="N3" s="5"/>
      <c r="O3" s="5"/>
      <c r="P3" s="5"/>
      <c r="Q3" s="5">
        <v>208.59</v>
      </c>
      <c r="R3" s="7">
        <f t="shared" si="1"/>
        <v>2925.4</v>
      </c>
      <c r="S3" s="8">
        <v>6434.04</v>
      </c>
      <c r="T3" s="59">
        <f t="shared" si="2"/>
        <v>0.454675445</v>
      </c>
      <c r="U3" s="74">
        <f t="shared" si="3"/>
        <v>44908</v>
      </c>
    </row>
    <row r="4">
      <c r="A4" s="74">
        <v>44909.0</v>
      </c>
      <c r="B4" s="5">
        <v>1847.76</v>
      </c>
      <c r="C4" s="5"/>
      <c r="D4" s="5"/>
      <c r="E4" s="5">
        <v>290.0</v>
      </c>
      <c r="F4" s="5">
        <v>345.85</v>
      </c>
      <c r="G4" s="5"/>
      <c r="H4" s="5">
        <v>33.0</v>
      </c>
      <c r="I4" s="5"/>
      <c r="J4" s="42"/>
      <c r="K4" s="5"/>
      <c r="L4" s="5"/>
      <c r="M4" s="6"/>
      <c r="N4" s="5"/>
      <c r="O4" s="83"/>
      <c r="P4" s="5">
        <v>100.0</v>
      </c>
      <c r="Q4" s="6"/>
      <c r="R4" s="7">
        <f t="shared" si="1"/>
        <v>2616.61</v>
      </c>
      <c r="S4" s="8">
        <f>651+22528.8</f>
        <v>23179.8</v>
      </c>
      <c r="T4" s="59">
        <f t="shared" si="2"/>
        <v>0.1128832</v>
      </c>
      <c r="U4" s="74">
        <f t="shared" si="3"/>
        <v>44909</v>
      </c>
    </row>
    <row r="5">
      <c r="A5" s="74">
        <v>44910.0</v>
      </c>
      <c r="B5" s="5">
        <v>1731.62</v>
      </c>
      <c r="C5" s="5">
        <v>173.86</v>
      </c>
      <c r="D5" s="6"/>
      <c r="E5" s="5"/>
      <c r="F5" s="5">
        <v>109.88</v>
      </c>
      <c r="G5" s="5">
        <v>284.9</v>
      </c>
      <c r="H5" s="5">
        <v>114.0</v>
      </c>
      <c r="I5" s="5"/>
      <c r="J5" s="5">
        <v>678.61</v>
      </c>
      <c r="K5" s="5"/>
      <c r="L5" s="5"/>
      <c r="M5" s="5"/>
      <c r="N5" s="5"/>
      <c r="O5" s="5"/>
      <c r="P5" s="6"/>
      <c r="Q5" s="6"/>
      <c r="R5" s="7">
        <f t="shared" si="1"/>
        <v>3092.87</v>
      </c>
      <c r="S5" s="8">
        <f>2721+9316</f>
        <v>12037</v>
      </c>
      <c r="T5" s="59">
        <f t="shared" si="2"/>
        <v>0.2569469137</v>
      </c>
      <c r="U5" s="74">
        <f t="shared" si="3"/>
        <v>44910</v>
      </c>
    </row>
    <row r="6">
      <c r="A6" s="74">
        <v>44911.0</v>
      </c>
      <c r="B6" s="5">
        <v>1374.68</v>
      </c>
      <c r="C6" s="5">
        <v>142.8</v>
      </c>
      <c r="D6" s="5"/>
      <c r="E6" s="5"/>
      <c r="F6" s="5">
        <v>273.02</v>
      </c>
      <c r="G6" s="5">
        <v>454.9</v>
      </c>
      <c r="H6" s="5"/>
      <c r="I6" s="5"/>
      <c r="J6" s="5"/>
      <c r="K6" s="5"/>
      <c r="L6" s="5"/>
      <c r="M6" s="6"/>
      <c r="N6" s="5"/>
      <c r="O6" s="5"/>
      <c r="P6" s="5">
        <v>100.0</v>
      </c>
      <c r="Q6" s="5"/>
      <c r="R6" s="7">
        <f t="shared" si="1"/>
        <v>2345.4</v>
      </c>
      <c r="S6" s="8">
        <f>3113.4+11208.4</f>
        <v>14321.8</v>
      </c>
      <c r="T6" s="59">
        <f t="shared" si="2"/>
        <v>0.1637643313</v>
      </c>
      <c r="U6" s="74">
        <f t="shared" si="3"/>
        <v>44911</v>
      </c>
    </row>
    <row r="7">
      <c r="A7" s="74">
        <v>44912.0</v>
      </c>
      <c r="B7" s="5">
        <v>2131.34</v>
      </c>
      <c r="C7" s="5">
        <v>353.37</v>
      </c>
      <c r="D7" s="44">
        <v>300.0</v>
      </c>
      <c r="E7" s="5"/>
      <c r="F7" s="5">
        <v>159.2</v>
      </c>
      <c r="G7" s="5"/>
      <c r="H7" s="5">
        <v>33.0</v>
      </c>
      <c r="I7" s="5"/>
      <c r="J7" s="6"/>
      <c r="K7" s="5"/>
      <c r="L7" s="5"/>
      <c r="M7" s="44">
        <v>400.0</v>
      </c>
      <c r="N7" s="6"/>
      <c r="O7" s="6"/>
      <c r="P7" s="6"/>
      <c r="Q7" s="5">
        <v>92.08</v>
      </c>
      <c r="R7" s="7">
        <f t="shared" si="1"/>
        <v>3468.99</v>
      </c>
      <c r="S7" s="8">
        <f>4643+12368</f>
        <v>17011</v>
      </c>
      <c r="T7" s="59">
        <f t="shared" si="2"/>
        <v>0.203926283</v>
      </c>
      <c r="U7" s="74">
        <f t="shared" si="3"/>
        <v>44912</v>
      </c>
    </row>
    <row r="8">
      <c r="A8" s="74">
        <v>44913.0</v>
      </c>
      <c r="B8" s="10" t="s">
        <v>21</v>
      </c>
      <c r="C8" s="10" t="s">
        <v>21</v>
      </c>
      <c r="D8" s="10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0" t="s">
        <v>21</v>
      </c>
      <c r="K8" s="10" t="s">
        <v>21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0" t="s">
        <v>21</v>
      </c>
      <c r="R8" s="7">
        <v>0.0</v>
      </c>
      <c r="S8" s="8">
        <v>10072.6</v>
      </c>
      <c r="T8" s="59">
        <f t="shared" si="2"/>
        <v>0</v>
      </c>
      <c r="U8" s="74">
        <f t="shared" si="3"/>
        <v>44913</v>
      </c>
    </row>
    <row r="11">
      <c r="A11" s="4" t="s">
        <v>22</v>
      </c>
      <c r="B11" s="11">
        <v>12000.0</v>
      </c>
      <c r="E11" s="78"/>
      <c r="F11" s="79"/>
    </row>
    <row r="12">
      <c r="A12" s="4" t="s">
        <v>23</v>
      </c>
      <c r="B12" s="12">
        <f>SUM(B2:Q8)</f>
        <v>18379.91</v>
      </c>
      <c r="E12" s="56"/>
    </row>
    <row r="13">
      <c r="A13" s="4" t="s">
        <v>24</v>
      </c>
      <c r="B13" s="12">
        <f> SUM(B11-B12)</f>
        <v>-6379.91</v>
      </c>
    </row>
    <row r="15">
      <c r="A15" s="13" t="s">
        <v>25</v>
      </c>
      <c r="B15" s="14">
        <f>SUM(S2:S8)</f>
        <v>88346.24</v>
      </c>
    </row>
    <row r="16">
      <c r="A16" s="13" t="s">
        <v>26</v>
      </c>
      <c r="B16" s="15">
        <f>B12/B15</f>
        <v>0.2080440548</v>
      </c>
    </row>
    <row r="19">
      <c r="A19" s="16" t="s">
        <v>27</v>
      </c>
      <c r="B19" s="17"/>
      <c r="C19" s="17"/>
      <c r="D19" s="18"/>
      <c r="H19" s="60" t="s">
        <v>61</v>
      </c>
      <c r="I19" s="61"/>
      <c r="J19" s="62"/>
    </row>
    <row r="20">
      <c r="A20" s="19" t="s">
        <v>28</v>
      </c>
      <c r="B20" s="20"/>
      <c r="C20" s="20"/>
      <c r="D20" s="21"/>
      <c r="H20" s="63" t="s">
        <v>62</v>
      </c>
      <c r="I20" s="63" t="s">
        <v>63</v>
      </c>
      <c r="J20" s="63" t="s">
        <v>64</v>
      </c>
    </row>
    <row r="21">
      <c r="A21" s="22" t="s">
        <v>29</v>
      </c>
      <c r="B21" s="23" t="s">
        <v>30</v>
      </c>
      <c r="C21" s="22" t="s">
        <v>31</v>
      </c>
      <c r="D21" s="24" t="s">
        <v>30</v>
      </c>
      <c r="H21" s="64"/>
      <c r="I21" s="63"/>
      <c r="J21" s="63"/>
      <c r="K21" s="32"/>
    </row>
    <row r="22">
      <c r="A22" s="28" t="s">
        <v>41</v>
      </c>
      <c r="B22" s="72">
        <v>678.61</v>
      </c>
      <c r="C22" s="25"/>
      <c r="D22" s="27"/>
      <c r="H22" s="70"/>
      <c r="I22" s="63"/>
      <c r="J22" s="63"/>
    </row>
    <row r="23">
      <c r="A23" s="28"/>
      <c r="B23" s="72"/>
      <c r="C23" s="25"/>
      <c r="D23" s="27"/>
      <c r="H23" s="65"/>
      <c r="I23" s="65"/>
      <c r="J23" s="65"/>
    </row>
    <row r="24">
      <c r="A24" s="71"/>
      <c r="B24" s="72"/>
      <c r="C24" s="25"/>
      <c r="D24" s="27"/>
      <c r="H24" s="65"/>
      <c r="I24" s="65"/>
      <c r="J24" s="65"/>
    </row>
    <row r="25">
      <c r="A25" s="28"/>
      <c r="B25" s="26"/>
      <c r="C25" s="25"/>
      <c r="D25" s="27"/>
      <c r="H25" s="65"/>
      <c r="I25" s="65"/>
      <c r="J25" s="65"/>
    </row>
    <row r="26">
      <c r="A26" s="25"/>
      <c r="B26" s="26"/>
      <c r="C26" s="25"/>
      <c r="D26" s="27"/>
      <c r="H26" s="65"/>
      <c r="I26" s="65"/>
      <c r="J26" s="65"/>
    </row>
    <row r="27">
      <c r="A27" s="25"/>
      <c r="B27" s="26"/>
      <c r="C27" s="25"/>
      <c r="D27" s="27"/>
      <c r="H27" s="65"/>
      <c r="I27" s="65"/>
      <c r="J27" s="65"/>
    </row>
    <row r="28">
      <c r="A28" s="25"/>
      <c r="B28" s="26"/>
      <c r="C28" s="25"/>
      <c r="D28" s="27"/>
    </row>
    <row r="29">
      <c r="A29" s="25"/>
      <c r="B29" s="26"/>
      <c r="C29" s="25"/>
      <c r="D29" s="27"/>
      <c r="I29" s="66" t="s">
        <v>68</v>
      </c>
      <c r="J29" s="67"/>
    </row>
  </sheetData>
  <mergeCells count="1">
    <mergeCell ref="H19:J19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1" max="21" width="18.0"/>
  </cols>
  <sheetData>
    <row r="1">
      <c r="B1" s="2" t="s">
        <v>0</v>
      </c>
      <c r="C1" s="2" t="s">
        <v>1</v>
      </c>
      <c r="D1" s="2" t="s">
        <v>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43</v>
      </c>
      <c r="J1" s="2" t="s">
        <v>40</v>
      </c>
      <c r="K1" s="2" t="s">
        <v>49</v>
      </c>
      <c r="L1" s="2" t="s">
        <v>42</v>
      </c>
      <c r="M1" s="2" t="s">
        <v>9</v>
      </c>
      <c r="N1" s="2" t="s">
        <v>37</v>
      </c>
      <c r="O1" s="2" t="s">
        <v>10</v>
      </c>
      <c r="P1" s="2" t="s">
        <v>11</v>
      </c>
      <c r="Q1" s="2" t="s">
        <v>12</v>
      </c>
      <c r="R1" s="3" t="s">
        <v>13</v>
      </c>
      <c r="S1" s="3" t="s">
        <v>14</v>
      </c>
      <c r="T1" s="3" t="s">
        <v>15</v>
      </c>
    </row>
    <row r="2">
      <c r="A2" s="74">
        <v>44914.0</v>
      </c>
      <c r="B2" s="5">
        <v>2119.0</v>
      </c>
      <c r="C2" s="5">
        <v>285.2</v>
      </c>
      <c r="D2" s="5"/>
      <c r="E2" s="5"/>
      <c r="F2" s="5">
        <v>152.28</v>
      </c>
      <c r="G2" s="5"/>
      <c r="H2" s="5"/>
      <c r="I2" s="5"/>
      <c r="J2" s="72">
        <v>678.61</v>
      </c>
      <c r="K2" s="5">
        <v>180.0</v>
      </c>
      <c r="L2" s="5"/>
      <c r="M2" s="6"/>
      <c r="N2" s="5"/>
      <c r="O2" s="5"/>
      <c r="P2" s="5">
        <v>100.0</v>
      </c>
      <c r="Q2" s="6"/>
      <c r="R2" s="7">
        <f t="shared" ref="R2:R7" si="1">SUM(B2:Q2)</f>
        <v>3515.09</v>
      </c>
      <c r="S2" s="8">
        <v>6634.4</v>
      </c>
      <c r="T2" s="59">
        <f t="shared" ref="T2:T8" si="2">R2/S2</f>
        <v>0.5298278669</v>
      </c>
      <c r="U2" s="74">
        <f t="shared" ref="U2:U8" si="3">A2</f>
        <v>44914</v>
      </c>
    </row>
    <row r="3">
      <c r="A3" s="74">
        <v>44915.0</v>
      </c>
      <c r="B3" s="5">
        <v>1398.71</v>
      </c>
      <c r="C3" s="33"/>
      <c r="D3" s="5"/>
      <c r="E3" s="5"/>
      <c r="F3" s="5">
        <v>223.83</v>
      </c>
      <c r="G3" s="5"/>
      <c r="H3" s="5">
        <v>33.0</v>
      </c>
      <c r="I3" s="5"/>
      <c r="J3" s="42"/>
      <c r="K3" s="5"/>
      <c r="L3" s="5"/>
      <c r="M3" s="6"/>
      <c r="N3" s="5"/>
      <c r="O3" s="5"/>
      <c r="P3" s="5"/>
      <c r="Q3" s="5">
        <v>208.59</v>
      </c>
      <c r="R3" s="7">
        <f t="shared" si="1"/>
        <v>1864.13</v>
      </c>
      <c r="S3" s="8">
        <v>7955.0</v>
      </c>
      <c r="T3" s="59">
        <f t="shared" si="2"/>
        <v>0.2343343809</v>
      </c>
      <c r="U3" s="74">
        <f t="shared" si="3"/>
        <v>44915</v>
      </c>
    </row>
    <row r="4">
      <c r="A4" s="74">
        <v>44916.0</v>
      </c>
      <c r="B4" s="5">
        <v>2290.94</v>
      </c>
      <c r="C4" s="5">
        <v>246.04</v>
      </c>
      <c r="D4" s="5"/>
      <c r="E4" s="5">
        <v>290.0</v>
      </c>
      <c r="F4" s="5">
        <v>190.62</v>
      </c>
      <c r="G4" s="5">
        <v>340.0</v>
      </c>
      <c r="H4" s="5"/>
      <c r="I4" s="5"/>
      <c r="J4" s="42">
        <v>900.03</v>
      </c>
      <c r="K4" s="5"/>
      <c r="L4" s="5"/>
      <c r="M4" s="6"/>
      <c r="N4" s="5"/>
      <c r="O4" s="83">
        <v>87.5</v>
      </c>
      <c r="P4" s="5">
        <v>100.0</v>
      </c>
      <c r="Q4" s="6"/>
      <c r="R4" s="7">
        <f t="shared" si="1"/>
        <v>4445.13</v>
      </c>
      <c r="S4" s="8">
        <f>2131+3256.5</f>
        <v>5387.5</v>
      </c>
      <c r="T4" s="59">
        <f t="shared" si="2"/>
        <v>0.8250821346</v>
      </c>
      <c r="U4" s="74">
        <f t="shared" si="3"/>
        <v>44916</v>
      </c>
    </row>
    <row r="5">
      <c r="A5" s="74">
        <v>44917.0</v>
      </c>
      <c r="B5" s="5">
        <v>797.5</v>
      </c>
      <c r="C5" s="5"/>
      <c r="D5" s="6"/>
      <c r="E5" s="5"/>
      <c r="F5" s="5">
        <v>208.27</v>
      </c>
      <c r="G5" s="5"/>
      <c r="H5" s="5"/>
      <c r="I5" s="5"/>
      <c r="J5" s="5"/>
      <c r="K5" s="5"/>
      <c r="L5" s="5"/>
      <c r="M5" s="5"/>
      <c r="N5" s="5"/>
      <c r="O5" s="5"/>
      <c r="P5" s="6"/>
      <c r="Q5" s="6"/>
      <c r="R5" s="7">
        <f t="shared" si="1"/>
        <v>1005.77</v>
      </c>
      <c r="S5" s="8">
        <f>2909+1072</f>
        <v>3981</v>
      </c>
      <c r="T5" s="59">
        <f t="shared" si="2"/>
        <v>0.2526425521</v>
      </c>
      <c r="U5" s="74">
        <f t="shared" si="3"/>
        <v>44917</v>
      </c>
    </row>
    <row r="6">
      <c r="A6" s="74">
        <v>44918.0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"/>
      <c r="N6" s="5"/>
      <c r="O6" s="5"/>
      <c r="P6" s="5">
        <v>100.0</v>
      </c>
      <c r="Q6" s="5"/>
      <c r="R6" s="7">
        <f t="shared" si="1"/>
        <v>100</v>
      </c>
      <c r="S6" s="8">
        <f>1398.6+4749</f>
        <v>6147.6</v>
      </c>
      <c r="T6" s="59">
        <f t="shared" si="2"/>
        <v>0.01626651051</v>
      </c>
      <c r="U6" s="74">
        <f t="shared" si="3"/>
        <v>44918</v>
      </c>
    </row>
    <row r="7">
      <c r="A7" s="74">
        <v>44919.0</v>
      </c>
      <c r="B7" s="5"/>
      <c r="C7" s="5"/>
      <c r="D7" s="44"/>
      <c r="E7" s="5"/>
      <c r="F7" s="5"/>
      <c r="G7" s="5"/>
      <c r="H7" s="5"/>
      <c r="I7" s="5"/>
      <c r="J7" s="6"/>
      <c r="K7" s="5"/>
      <c r="L7" s="5"/>
      <c r="M7" s="44">
        <v>604.25</v>
      </c>
      <c r="N7" s="6"/>
      <c r="O7" s="6"/>
      <c r="P7" s="6"/>
      <c r="Q7" s="6"/>
      <c r="R7" s="7">
        <f t="shared" si="1"/>
        <v>604.25</v>
      </c>
      <c r="S7" s="8">
        <v>0.0</v>
      </c>
      <c r="T7" s="59" t="str">
        <f t="shared" si="2"/>
        <v>#DIV/0!</v>
      </c>
      <c r="U7" s="74">
        <f t="shared" si="3"/>
        <v>44919</v>
      </c>
    </row>
    <row r="8">
      <c r="A8" s="74">
        <v>44920.0</v>
      </c>
      <c r="B8" s="10" t="s">
        <v>21</v>
      </c>
      <c r="C8" s="10" t="s">
        <v>21</v>
      </c>
      <c r="D8" s="10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0" t="s">
        <v>21</v>
      </c>
      <c r="K8" s="10" t="s">
        <v>21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0" t="s">
        <v>21</v>
      </c>
      <c r="R8" s="7">
        <v>0.0</v>
      </c>
      <c r="S8" s="8">
        <v>0.0</v>
      </c>
      <c r="T8" s="59" t="str">
        <f t="shared" si="2"/>
        <v>#DIV/0!</v>
      </c>
      <c r="U8" s="74">
        <f t="shared" si="3"/>
        <v>44920</v>
      </c>
    </row>
    <row r="11">
      <c r="A11" s="4" t="s">
        <v>22</v>
      </c>
      <c r="B11" s="11">
        <v>12000.0</v>
      </c>
      <c r="E11" s="78"/>
      <c r="F11" s="79"/>
    </row>
    <row r="12">
      <c r="A12" s="4" t="s">
        <v>23</v>
      </c>
      <c r="B12" s="12">
        <f>SUM(B2:Q8)</f>
        <v>11534.37</v>
      </c>
      <c r="E12" s="56"/>
    </row>
    <row r="13">
      <c r="A13" s="4" t="s">
        <v>106</v>
      </c>
      <c r="B13" s="12">
        <f> SUM(B11-B12)</f>
        <v>465.63</v>
      </c>
    </row>
    <row r="15">
      <c r="A15" s="13" t="s">
        <v>25</v>
      </c>
      <c r="B15" s="14">
        <f>SUM(S2:S8)</f>
        <v>30105.5</v>
      </c>
    </row>
    <row r="16">
      <c r="A16" s="13" t="s">
        <v>26</v>
      </c>
      <c r="B16" s="15">
        <f>B12/B15</f>
        <v>0.3831316537</v>
      </c>
    </row>
    <row r="19">
      <c r="A19" s="16" t="s">
        <v>27</v>
      </c>
      <c r="B19" s="17"/>
      <c r="C19" s="17"/>
      <c r="D19" s="18"/>
      <c r="H19" s="60" t="s">
        <v>61</v>
      </c>
      <c r="I19" s="61"/>
      <c r="J19" s="62"/>
    </row>
    <row r="20">
      <c r="A20" s="19" t="s">
        <v>28</v>
      </c>
      <c r="B20" s="20"/>
      <c r="C20" s="20"/>
      <c r="D20" s="21"/>
      <c r="H20" s="63" t="s">
        <v>62</v>
      </c>
      <c r="I20" s="63" t="s">
        <v>63</v>
      </c>
      <c r="J20" s="63" t="s">
        <v>64</v>
      </c>
    </row>
    <row r="21">
      <c r="A21" s="22" t="s">
        <v>29</v>
      </c>
      <c r="B21" s="23" t="s">
        <v>30</v>
      </c>
      <c r="C21" s="22" t="s">
        <v>31</v>
      </c>
      <c r="D21" s="24" t="s">
        <v>30</v>
      </c>
      <c r="H21" s="64"/>
      <c r="I21" s="63"/>
      <c r="J21" s="63"/>
      <c r="K21" s="32"/>
    </row>
    <row r="22">
      <c r="A22" s="28" t="s">
        <v>41</v>
      </c>
      <c r="B22" s="72">
        <v>900.03</v>
      </c>
      <c r="C22" s="25"/>
      <c r="D22" s="27"/>
      <c r="H22" s="70"/>
      <c r="I22" s="63"/>
      <c r="J22" s="63"/>
    </row>
    <row r="23">
      <c r="A23" s="28" t="s">
        <v>107</v>
      </c>
      <c r="B23" s="72">
        <v>106.3</v>
      </c>
      <c r="C23" s="25"/>
      <c r="D23" s="27"/>
      <c r="H23" s="65"/>
      <c r="I23" s="65"/>
      <c r="J23" s="65"/>
    </row>
    <row r="24">
      <c r="A24" s="71"/>
      <c r="B24" s="72"/>
      <c r="C24" s="25"/>
      <c r="D24" s="27"/>
      <c r="H24" s="65"/>
      <c r="I24" s="65"/>
      <c r="J24" s="65"/>
    </row>
    <row r="25">
      <c r="A25" s="28"/>
      <c r="B25" s="26"/>
      <c r="C25" s="25"/>
      <c r="D25" s="27"/>
      <c r="H25" s="65"/>
      <c r="I25" s="65"/>
      <c r="J25" s="65"/>
    </row>
    <row r="26">
      <c r="A26" s="25"/>
      <c r="B26" s="26"/>
      <c r="C26" s="25"/>
      <c r="D26" s="27"/>
      <c r="H26" s="65"/>
      <c r="I26" s="65"/>
      <c r="J26" s="65"/>
    </row>
    <row r="27">
      <c r="A27" s="25"/>
      <c r="B27" s="26"/>
      <c r="C27" s="25"/>
      <c r="D27" s="27"/>
      <c r="H27" s="65"/>
      <c r="I27" s="65"/>
      <c r="J27" s="65"/>
    </row>
    <row r="28">
      <c r="A28" s="25"/>
      <c r="B28" s="26"/>
      <c r="C28" s="25"/>
      <c r="D28" s="27"/>
    </row>
    <row r="29">
      <c r="A29" s="25"/>
      <c r="B29" s="26"/>
      <c r="C29" s="25"/>
      <c r="D29" s="27"/>
      <c r="I29" s="66" t="s">
        <v>68</v>
      </c>
      <c r="J29" s="67"/>
    </row>
  </sheetData>
  <mergeCells count="1">
    <mergeCell ref="H19:J19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1" max="21" width="18.25"/>
  </cols>
  <sheetData>
    <row r="1">
      <c r="B1" s="2" t="s">
        <v>0</v>
      </c>
      <c r="C1" s="2" t="s">
        <v>1</v>
      </c>
      <c r="D1" s="2" t="s">
        <v>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43</v>
      </c>
      <c r="J1" s="2" t="s">
        <v>40</v>
      </c>
      <c r="K1" s="2" t="s">
        <v>49</v>
      </c>
      <c r="L1" s="2" t="s">
        <v>42</v>
      </c>
      <c r="M1" s="2" t="s">
        <v>9</v>
      </c>
      <c r="N1" s="2" t="s">
        <v>37</v>
      </c>
      <c r="O1" s="2" t="s">
        <v>10</v>
      </c>
      <c r="P1" s="2" t="s">
        <v>11</v>
      </c>
      <c r="Q1" s="2" t="s">
        <v>12</v>
      </c>
      <c r="R1" s="3" t="s">
        <v>13</v>
      </c>
      <c r="S1" s="3" t="s">
        <v>14</v>
      </c>
      <c r="T1" s="3" t="s">
        <v>15</v>
      </c>
    </row>
    <row r="2">
      <c r="A2" s="74">
        <v>44921.0</v>
      </c>
      <c r="B2" s="5">
        <v>106.3</v>
      </c>
      <c r="C2" s="5"/>
      <c r="D2" s="5"/>
      <c r="E2" s="5"/>
      <c r="F2" s="5"/>
      <c r="G2" s="5"/>
      <c r="H2" s="5"/>
      <c r="I2" s="5"/>
      <c r="J2" s="72">
        <v>900.03</v>
      </c>
      <c r="K2" s="5">
        <v>180.0</v>
      </c>
      <c r="L2" s="5"/>
      <c r="M2" s="6"/>
      <c r="N2" s="5"/>
      <c r="O2" s="5"/>
      <c r="P2" s="5">
        <v>100.0</v>
      </c>
      <c r="Q2" s="6"/>
      <c r="R2" s="7">
        <f t="shared" ref="R2:R7" si="1">SUM(B2:Q2)</f>
        <v>1286.33</v>
      </c>
      <c r="S2" s="8">
        <v>0.0</v>
      </c>
      <c r="T2" s="59" t="str">
        <f t="shared" ref="T2:T8" si="2">R2/S2</f>
        <v>#DIV/0!</v>
      </c>
      <c r="U2" s="74">
        <f t="shared" ref="U2:U8" si="3">A2</f>
        <v>44921</v>
      </c>
    </row>
    <row r="3">
      <c r="A3" s="74">
        <v>44922.0</v>
      </c>
      <c r="B3" s="5">
        <v>1728.94</v>
      </c>
      <c r="C3" s="33">
        <v>501.92</v>
      </c>
      <c r="D3" s="5"/>
      <c r="E3" s="5"/>
      <c r="F3" s="5"/>
      <c r="G3" s="5"/>
      <c r="H3" s="5">
        <v>33.0</v>
      </c>
      <c r="I3" s="5"/>
      <c r="J3" s="42"/>
      <c r="K3" s="5"/>
      <c r="L3" s="5"/>
      <c r="M3" s="6"/>
      <c r="N3" s="5"/>
      <c r="O3" s="5"/>
      <c r="P3" s="5"/>
      <c r="Q3" s="5">
        <v>208.59</v>
      </c>
      <c r="R3" s="7">
        <f t="shared" si="1"/>
        <v>2472.45</v>
      </c>
      <c r="S3" s="8">
        <v>7741.8</v>
      </c>
      <c r="T3" s="59">
        <f t="shared" si="2"/>
        <v>0.3193637139</v>
      </c>
      <c r="U3" s="74">
        <f t="shared" si="3"/>
        <v>44922</v>
      </c>
    </row>
    <row r="4">
      <c r="A4" s="74">
        <v>44923.0</v>
      </c>
      <c r="B4" s="5">
        <v>2213.45</v>
      </c>
      <c r="C4" s="5">
        <v>437.32</v>
      </c>
      <c r="D4" s="5"/>
      <c r="E4" s="5"/>
      <c r="F4" s="5">
        <v>416.42</v>
      </c>
      <c r="G4" s="5">
        <v>340.0</v>
      </c>
      <c r="H4" s="5"/>
      <c r="I4" s="5"/>
      <c r="J4" s="42"/>
      <c r="K4" s="5"/>
      <c r="L4" s="5"/>
      <c r="M4" s="6"/>
      <c r="N4" s="5"/>
      <c r="O4" s="83"/>
      <c r="P4" s="5">
        <v>100.0</v>
      </c>
      <c r="Q4" s="6"/>
      <c r="R4" s="7">
        <f t="shared" si="1"/>
        <v>3507.19</v>
      </c>
      <c r="S4" s="8">
        <f>2041+7402.4</f>
        <v>9443.4</v>
      </c>
      <c r="T4" s="59">
        <f t="shared" si="2"/>
        <v>0.3713906008</v>
      </c>
      <c r="U4" s="74">
        <f t="shared" si="3"/>
        <v>44923</v>
      </c>
    </row>
    <row r="5">
      <c r="A5" s="74">
        <v>44924.0</v>
      </c>
      <c r="B5" s="5">
        <v>1377.37</v>
      </c>
      <c r="C5" s="5">
        <v>247.8</v>
      </c>
      <c r="D5" s="6"/>
      <c r="E5" s="5"/>
      <c r="F5" s="5"/>
      <c r="G5" s="5"/>
      <c r="H5" s="5"/>
      <c r="I5" s="5"/>
      <c r="J5" s="5">
        <v>879.45</v>
      </c>
      <c r="K5" s="5"/>
      <c r="L5" s="5"/>
      <c r="M5" s="5"/>
      <c r="N5" s="5"/>
      <c r="O5" s="5"/>
      <c r="P5" s="6"/>
      <c r="Q5" s="6"/>
      <c r="R5" s="7">
        <f t="shared" si="1"/>
        <v>2504.62</v>
      </c>
      <c r="S5" s="8">
        <f>2605+8349.5</f>
        <v>10954.5</v>
      </c>
      <c r="T5" s="59">
        <f t="shared" si="2"/>
        <v>0.2286384591</v>
      </c>
      <c r="U5" s="74">
        <f t="shared" si="3"/>
        <v>44924</v>
      </c>
    </row>
    <row r="6">
      <c r="A6" s="74">
        <v>44925.0</v>
      </c>
      <c r="B6" s="5">
        <v>1347.55</v>
      </c>
      <c r="C6" s="5">
        <v>457.14</v>
      </c>
      <c r="D6" s="5"/>
      <c r="E6" s="5"/>
      <c r="F6" s="5"/>
      <c r="G6" s="5"/>
      <c r="H6" s="5"/>
      <c r="I6" s="5"/>
      <c r="J6" s="5"/>
      <c r="K6" s="5"/>
      <c r="L6" s="5"/>
      <c r="M6" s="6"/>
      <c r="N6" s="5"/>
      <c r="O6" s="5"/>
      <c r="P6" s="5">
        <v>100.0</v>
      </c>
      <c r="Q6" s="5"/>
      <c r="R6" s="7">
        <f t="shared" si="1"/>
        <v>1904.69</v>
      </c>
      <c r="S6" s="8">
        <v>13294.6</v>
      </c>
      <c r="T6" s="59">
        <f t="shared" si="2"/>
        <v>0.1432679434</v>
      </c>
      <c r="U6" s="74">
        <f t="shared" si="3"/>
        <v>44925</v>
      </c>
    </row>
    <row r="7">
      <c r="A7" s="74">
        <v>44926.0</v>
      </c>
      <c r="B7" s="5">
        <v>1578.81</v>
      </c>
      <c r="C7" s="5">
        <v>503.82</v>
      </c>
      <c r="D7" s="44"/>
      <c r="E7" s="5">
        <v>190.0</v>
      </c>
      <c r="F7" s="5"/>
      <c r="G7" s="5"/>
      <c r="H7" s="5">
        <v>33.0</v>
      </c>
      <c r="I7" s="5">
        <v>134.5</v>
      </c>
      <c r="J7" s="6"/>
      <c r="K7" s="5"/>
      <c r="L7" s="44">
        <v>720.0</v>
      </c>
      <c r="M7" s="44">
        <v>652.0</v>
      </c>
      <c r="N7" s="6"/>
      <c r="O7" s="6"/>
      <c r="P7" s="6"/>
      <c r="Q7" s="6"/>
      <c r="R7" s="7">
        <f t="shared" si="1"/>
        <v>3812.13</v>
      </c>
      <c r="S7" s="8">
        <v>24311.01</v>
      </c>
      <c r="T7" s="59">
        <f t="shared" si="2"/>
        <v>0.1568067308</v>
      </c>
      <c r="U7" s="74">
        <f t="shared" si="3"/>
        <v>44926</v>
      </c>
    </row>
    <row r="8">
      <c r="A8" s="74">
        <v>44927.0</v>
      </c>
      <c r="B8" s="10" t="s">
        <v>21</v>
      </c>
      <c r="C8" s="10" t="s">
        <v>21</v>
      </c>
      <c r="D8" s="10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0" t="s">
        <v>21</v>
      </c>
      <c r="K8" s="10" t="s">
        <v>21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0" t="s">
        <v>21</v>
      </c>
      <c r="R8" s="7">
        <v>0.0</v>
      </c>
      <c r="S8" s="8">
        <v>0.0</v>
      </c>
      <c r="T8" s="59" t="str">
        <f t="shared" si="2"/>
        <v>#DIV/0!</v>
      </c>
      <c r="U8" s="74">
        <f t="shared" si="3"/>
        <v>44927</v>
      </c>
    </row>
    <row r="11">
      <c r="A11" s="4" t="s">
        <v>22</v>
      </c>
      <c r="B11" s="11">
        <v>12000.0</v>
      </c>
      <c r="E11" s="78"/>
      <c r="F11" s="79"/>
    </row>
    <row r="12">
      <c r="A12" s="4" t="s">
        <v>23</v>
      </c>
      <c r="B12" s="12">
        <f>SUM(B2:Q8)</f>
        <v>15487.41</v>
      </c>
      <c r="E12" s="56"/>
    </row>
    <row r="13">
      <c r="A13" s="4" t="s">
        <v>24</v>
      </c>
      <c r="B13" s="12">
        <f> SUM(B11-B12)</f>
        <v>-3487.41</v>
      </c>
    </row>
    <row r="15">
      <c r="A15" s="13" t="s">
        <v>25</v>
      </c>
      <c r="B15" s="14">
        <f>SUM(S2:S8)</f>
        <v>65745.31</v>
      </c>
    </row>
    <row r="16">
      <c r="A16" s="13" t="s">
        <v>26</v>
      </c>
      <c r="B16" s="15">
        <f>B12/B15</f>
        <v>0.2355667651</v>
      </c>
    </row>
    <row r="19">
      <c r="A19" s="16" t="s">
        <v>27</v>
      </c>
      <c r="B19" s="17"/>
      <c r="C19" s="17"/>
      <c r="D19" s="18"/>
      <c r="H19" s="84"/>
    </row>
    <row r="20">
      <c r="A20" s="19" t="s">
        <v>28</v>
      </c>
      <c r="B20" s="20"/>
      <c r="C20" s="20"/>
      <c r="D20" s="21"/>
      <c r="H20" s="85"/>
      <c r="I20" s="85"/>
      <c r="J20" s="85"/>
    </row>
    <row r="21">
      <c r="A21" s="22" t="s">
        <v>29</v>
      </c>
      <c r="B21" s="23" t="s">
        <v>30</v>
      </c>
      <c r="C21" s="22" t="s">
        <v>31</v>
      </c>
      <c r="D21" s="24" t="s">
        <v>30</v>
      </c>
      <c r="H21" s="86"/>
      <c r="I21" s="85"/>
      <c r="J21" s="85"/>
    </row>
    <row r="22">
      <c r="A22" s="28" t="s">
        <v>108</v>
      </c>
      <c r="B22" s="72">
        <v>879.45</v>
      </c>
      <c r="C22" s="25"/>
      <c r="D22" s="27"/>
      <c r="H22" s="87"/>
      <c r="I22" s="85"/>
      <c r="J22" s="85"/>
    </row>
    <row r="23">
      <c r="A23" s="28" t="s">
        <v>109</v>
      </c>
      <c r="B23" s="72">
        <v>457.14</v>
      </c>
      <c r="C23" s="25"/>
      <c r="D23" s="27"/>
      <c r="H23" s="88"/>
      <c r="I23" s="88"/>
      <c r="J23" s="88"/>
    </row>
    <row r="24">
      <c r="A24" s="71" t="s">
        <v>110</v>
      </c>
      <c r="B24" s="72">
        <v>267.28</v>
      </c>
      <c r="C24" s="25"/>
      <c r="D24" s="27"/>
      <c r="H24" s="88"/>
      <c r="I24" s="88"/>
      <c r="J24" s="88"/>
    </row>
    <row r="25">
      <c r="A25" s="28" t="s">
        <v>111</v>
      </c>
      <c r="B25" s="41">
        <v>480.0</v>
      </c>
      <c r="C25" s="25"/>
      <c r="D25" s="27"/>
      <c r="H25" s="88"/>
      <c r="I25" s="88"/>
      <c r="J25" s="88"/>
    </row>
    <row r="26">
      <c r="A26" s="25"/>
      <c r="B26" s="26"/>
      <c r="C26" s="25"/>
      <c r="D26" s="27"/>
      <c r="H26" s="88"/>
      <c r="I26" s="88"/>
      <c r="J26" s="88"/>
    </row>
    <row r="27">
      <c r="A27" s="25"/>
      <c r="B27" s="26"/>
      <c r="C27" s="25"/>
      <c r="D27" s="27"/>
      <c r="H27" s="88"/>
      <c r="I27" s="88"/>
      <c r="J27" s="88"/>
    </row>
    <row r="28">
      <c r="A28" s="25"/>
      <c r="B28" s="26"/>
      <c r="C28" s="25"/>
      <c r="D28" s="27"/>
    </row>
    <row r="29">
      <c r="A29" s="25"/>
      <c r="B29" s="26"/>
      <c r="C29" s="25"/>
      <c r="D29" s="27"/>
      <c r="I29" s="89"/>
      <c r="J29" s="90"/>
    </row>
  </sheetData>
  <mergeCells count="1">
    <mergeCell ref="H19:J19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1" max="21" width="19.88"/>
  </cols>
  <sheetData>
    <row r="1">
      <c r="B1" s="2" t="s">
        <v>0</v>
      </c>
      <c r="C1" s="2" t="s">
        <v>1</v>
      </c>
      <c r="D1" s="2" t="s">
        <v>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43</v>
      </c>
      <c r="J1" s="2" t="s">
        <v>40</v>
      </c>
      <c r="K1" s="2" t="s">
        <v>49</v>
      </c>
      <c r="L1" s="2" t="s">
        <v>42</v>
      </c>
      <c r="M1" s="2" t="s">
        <v>9</v>
      </c>
      <c r="N1" s="2" t="s">
        <v>37</v>
      </c>
      <c r="O1" s="2" t="s">
        <v>10</v>
      </c>
      <c r="P1" s="2" t="s">
        <v>11</v>
      </c>
      <c r="Q1" s="2" t="s">
        <v>12</v>
      </c>
      <c r="R1" s="3" t="s">
        <v>13</v>
      </c>
      <c r="S1" s="3" t="s">
        <v>14</v>
      </c>
      <c r="T1" s="3" t="s">
        <v>15</v>
      </c>
    </row>
    <row r="2">
      <c r="A2" s="74">
        <v>44928.0</v>
      </c>
      <c r="B2" s="5"/>
      <c r="C2" s="5">
        <v>724.42</v>
      </c>
      <c r="D2" s="5"/>
      <c r="E2" s="5"/>
      <c r="F2" s="5"/>
      <c r="G2" s="5"/>
      <c r="H2" s="5"/>
      <c r="I2" s="5"/>
      <c r="J2" s="72">
        <v>879.45</v>
      </c>
      <c r="K2" s="5">
        <v>180.0</v>
      </c>
      <c r="L2" s="5">
        <v>480.0</v>
      </c>
      <c r="M2" s="6"/>
      <c r="N2" s="5"/>
      <c r="O2" s="5"/>
      <c r="P2" s="5">
        <v>105.65</v>
      </c>
      <c r="Q2" s="6"/>
      <c r="R2" s="7">
        <f t="shared" ref="R2:R7" si="1">SUM(B2:Q2)</f>
        <v>2369.52</v>
      </c>
      <c r="S2" s="8">
        <v>0.0</v>
      </c>
      <c r="T2" s="59" t="str">
        <f t="shared" ref="T2:T8" si="2">R2/S2</f>
        <v>#DIV/0!</v>
      </c>
      <c r="U2" s="74">
        <f t="shared" ref="U2:U8" si="3">A2</f>
        <v>44928</v>
      </c>
    </row>
    <row r="3">
      <c r="A3" s="74">
        <v>44929.0</v>
      </c>
      <c r="B3" s="5">
        <v>2062.9</v>
      </c>
      <c r="C3" s="33">
        <v>436.81</v>
      </c>
      <c r="D3" s="5"/>
      <c r="E3" s="5"/>
      <c r="F3" s="5">
        <v>147.7</v>
      </c>
      <c r="G3" s="5"/>
      <c r="H3" s="5">
        <v>33.0</v>
      </c>
      <c r="I3" s="5"/>
      <c r="J3" s="42"/>
      <c r="K3" s="5"/>
      <c r="L3" s="5"/>
      <c r="M3" s="6"/>
      <c r="N3" s="5"/>
      <c r="O3" s="5"/>
      <c r="P3" s="5"/>
      <c r="Q3" s="5">
        <v>208.59</v>
      </c>
      <c r="R3" s="7">
        <f t="shared" si="1"/>
        <v>2889</v>
      </c>
      <c r="S3" s="8">
        <v>4065.8</v>
      </c>
      <c r="T3" s="59">
        <f t="shared" si="2"/>
        <v>0.7105612672</v>
      </c>
      <c r="U3" s="74">
        <f t="shared" si="3"/>
        <v>44929</v>
      </c>
    </row>
    <row r="4">
      <c r="A4" s="74">
        <v>44930.0</v>
      </c>
      <c r="B4" s="5">
        <v>2137.57</v>
      </c>
      <c r="C4" s="5">
        <v>189.54</v>
      </c>
      <c r="D4" s="5"/>
      <c r="E4" s="5">
        <v>190.0</v>
      </c>
      <c r="F4" s="5"/>
      <c r="G4" s="5">
        <v>255.0</v>
      </c>
      <c r="H4" s="5">
        <v>38.0</v>
      </c>
      <c r="I4" s="5"/>
      <c r="J4" s="42"/>
      <c r="K4" s="5"/>
      <c r="L4" s="5"/>
      <c r="M4" s="6"/>
      <c r="N4" s="5"/>
      <c r="O4" s="83">
        <v>25.0</v>
      </c>
      <c r="P4" s="5">
        <v>105.65</v>
      </c>
      <c r="Q4" s="6"/>
      <c r="R4" s="7">
        <f t="shared" si="1"/>
        <v>2940.76</v>
      </c>
      <c r="S4" s="8">
        <f>1020+3068.4</f>
        <v>4088.4</v>
      </c>
      <c r="T4" s="59">
        <f t="shared" si="2"/>
        <v>0.7192936112</v>
      </c>
      <c r="U4" s="74">
        <f t="shared" si="3"/>
        <v>44930</v>
      </c>
    </row>
    <row r="5">
      <c r="A5" s="74">
        <v>44931.0</v>
      </c>
      <c r="B5" s="5">
        <v>1595.24</v>
      </c>
      <c r="C5" s="5">
        <v>119.1</v>
      </c>
      <c r="D5" s="6"/>
      <c r="E5" s="5"/>
      <c r="F5" s="5">
        <v>243.1</v>
      </c>
      <c r="G5" s="5"/>
      <c r="H5" s="5"/>
      <c r="I5" s="5"/>
      <c r="J5" s="5"/>
      <c r="K5" s="5"/>
      <c r="L5" s="5"/>
      <c r="M5" s="5"/>
      <c r="N5" s="5"/>
      <c r="O5" s="5"/>
      <c r="P5" s="6"/>
      <c r="Q5" s="6"/>
      <c r="R5" s="7">
        <f t="shared" si="1"/>
        <v>1957.44</v>
      </c>
      <c r="S5" s="8">
        <v>6039.6</v>
      </c>
      <c r="T5" s="59">
        <f t="shared" si="2"/>
        <v>0.3241009338</v>
      </c>
      <c r="U5" s="74">
        <f t="shared" si="3"/>
        <v>44931</v>
      </c>
    </row>
    <row r="6">
      <c r="A6" s="74">
        <v>44932.0</v>
      </c>
      <c r="B6" s="5">
        <v>642.7</v>
      </c>
      <c r="C6" s="5"/>
      <c r="D6" s="5"/>
      <c r="E6" s="5"/>
      <c r="F6" s="5"/>
      <c r="G6" s="5">
        <v>170.0</v>
      </c>
      <c r="H6" s="5"/>
      <c r="I6" s="5"/>
      <c r="J6" s="5"/>
      <c r="K6" s="5"/>
      <c r="L6" s="5"/>
      <c r="M6" s="6"/>
      <c r="N6" s="5"/>
      <c r="O6" s="5"/>
      <c r="P6" s="5">
        <v>105.65</v>
      </c>
      <c r="Q6" s="5"/>
      <c r="R6" s="7">
        <f t="shared" si="1"/>
        <v>918.35</v>
      </c>
      <c r="S6" s="8">
        <v>10449.2</v>
      </c>
      <c r="T6" s="59">
        <f t="shared" si="2"/>
        <v>0.08788711098</v>
      </c>
      <c r="U6" s="74">
        <f t="shared" si="3"/>
        <v>44932</v>
      </c>
    </row>
    <row r="7">
      <c r="A7" s="74">
        <v>44933.0</v>
      </c>
      <c r="B7" s="5">
        <v>340.81</v>
      </c>
      <c r="C7" s="5"/>
      <c r="D7" s="44">
        <v>191.0</v>
      </c>
      <c r="E7" s="5">
        <v>190.0</v>
      </c>
      <c r="F7" s="5"/>
      <c r="G7" s="5"/>
      <c r="H7" s="5">
        <v>38.0</v>
      </c>
      <c r="I7" s="5"/>
      <c r="J7" s="6"/>
      <c r="K7" s="5"/>
      <c r="L7" s="5"/>
      <c r="M7" s="44">
        <v>406.0</v>
      </c>
      <c r="N7" s="6"/>
      <c r="O7" s="6"/>
      <c r="P7" s="6"/>
      <c r="Q7" s="5">
        <v>57.55</v>
      </c>
      <c r="R7" s="7">
        <f t="shared" si="1"/>
        <v>1223.36</v>
      </c>
      <c r="S7" s="8">
        <v>12483.0</v>
      </c>
      <c r="T7" s="59">
        <f t="shared" si="2"/>
        <v>0.09800208283</v>
      </c>
      <c r="U7" s="74">
        <f t="shared" si="3"/>
        <v>44933</v>
      </c>
    </row>
    <row r="8">
      <c r="A8" s="74">
        <v>44934.0</v>
      </c>
      <c r="B8" s="10" t="s">
        <v>21</v>
      </c>
      <c r="C8" s="10" t="s">
        <v>21</v>
      </c>
      <c r="D8" s="10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0" t="s">
        <v>21</v>
      </c>
      <c r="K8" s="10" t="s">
        <v>21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0" t="s">
        <v>21</v>
      </c>
      <c r="R8" s="7">
        <v>0.0</v>
      </c>
      <c r="S8" s="8">
        <v>5660.0</v>
      </c>
      <c r="T8" s="59">
        <f t="shared" si="2"/>
        <v>0</v>
      </c>
      <c r="U8" s="74">
        <f t="shared" si="3"/>
        <v>44934</v>
      </c>
    </row>
    <row r="10">
      <c r="A10" s="4" t="s">
        <v>79</v>
      </c>
      <c r="B10" s="80">
        <v>7105.04</v>
      </c>
      <c r="C10" s="10">
        <v>1471.87</v>
      </c>
      <c r="D10" s="80">
        <v>191.0</v>
      </c>
      <c r="E10" s="10">
        <v>380.0</v>
      </c>
      <c r="F10" s="10">
        <v>441.31</v>
      </c>
      <c r="G10" s="10">
        <v>425.0</v>
      </c>
      <c r="H10" s="80">
        <v>190.0</v>
      </c>
      <c r="I10" s="10"/>
      <c r="J10" s="10">
        <v>879.45</v>
      </c>
      <c r="K10" s="10">
        <v>195.0</v>
      </c>
      <c r="L10" s="10">
        <v>480.0</v>
      </c>
      <c r="M10" s="80"/>
      <c r="N10" s="10"/>
      <c r="O10" s="10">
        <v>25.0</v>
      </c>
      <c r="P10" s="10">
        <v>316.96</v>
      </c>
      <c r="Q10" s="5">
        <v>266.14</v>
      </c>
      <c r="R10" s="8"/>
      <c r="S10" s="59"/>
      <c r="T10" s="74"/>
    </row>
    <row r="11">
      <c r="A11" s="4" t="s">
        <v>80</v>
      </c>
      <c r="B11" s="10">
        <f t="shared" ref="B11:L11" si="4">sum(B2:B8)-B10</f>
        <v>-325.82</v>
      </c>
      <c r="C11" s="10">
        <f t="shared" si="4"/>
        <v>-2</v>
      </c>
      <c r="D11" s="10">
        <f t="shared" si="4"/>
        <v>0</v>
      </c>
      <c r="E11" s="10">
        <f t="shared" si="4"/>
        <v>0</v>
      </c>
      <c r="F11" s="10">
        <f t="shared" si="4"/>
        <v>-50.51</v>
      </c>
      <c r="G11" s="10">
        <f t="shared" si="4"/>
        <v>0</v>
      </c>
      <c r="H11" s="10">
        <f t="shared" si="4"/>
        <v>-81</v>
      </c>
      <c r="I11" s="10">
        <f t="shared" si="4"/>
        <v>0</v>
      </c>
      <c r="J11" s="10">
        <f t="shared" si="4"/>
        <v>0</v>
      </c>
      <c r="K11" s="10">
        <f t="shared" si="4"/>
        <v>-15</v>
      </c>
      <c r="L11" s="10">
        <f t="shared" si="4"/>
        <v>0</v>
      </c>
      <c r="M11" s="10"/>
      <c r="N11" s="10">
        <f t="shared" ref="N11:Q11" si="5">sum(N2:N8)-N10</f>
        <v>0</v>
      </c>
      <c r="O11" s="10">
        <f t="shared" si="5"/>
        <v>0</v>
      </c>
      <c r="P11" s="10">
        <f t="shared" si="5"/>
        <v>-0.01</v>
      </c>
      <c r="Q11" s="10">
        <f t="shared" si="5"/>
        <v>0</v>
      </c>
      <c r="R11" s="10">
        <f>R10-0</f>
        <v>0</v>
      </c>
      <c r="S11" s="59"/>
      <c r="T11" s="74"/>
    </row>
    <row r="12">
      <c r="A12" s="91"/>
      <c r="B12" s="92"/>
      <c r="E12" s="78"/>
      <c r="F12" s="79"/>
    </row>
    <row r="13">
      <c r="A13" s="4" t="s">
        <v>22</v>
      </c>
      <c r="B13" s="11">
        <v>11200.0</v>
      </c>
      <c r="E13" s="78"/>
      <c r="F13" s="79"/>
    </row>
    <row r="14">
      <c r="A14" s="4" t="s">
        <v>23</v>
      </c>
      <c r="B14" s="12">
        <f>SUM(B2:Q8)</f>
        <v>12298.43</v>
      </c>
      <c r="E14" s="56"/>
    </row>
    <row r="15">
      <c r="A15" s="4" t="s">
        <v>24</v>
      </c>
      <c r="B15" s="12">
        <f> SUM(B13-B14)</f>
        <v>-1098.43</v>
      </c>
    </row>
    <row r="17">
      <c r="A17" s="13" t="s">
        <v>25</v>
      </c>
      <c r="B17" s="14">
        <f>SUM(S2:S8)</f>
        <v>42786</v>
      </c>
    </row>
    <row r="18">
      <c r="A18" s="13" t="s">
        <v>26</v>
      </c>
      <c r="B18" s="15">
        <f>B14/B17</f>
        <v>0.2874405179</v>
      </c>
    </row>
    <row r="21">
      <c r="A21" s="16" t="s">
        <v>27</v>
      </c>
      <c r="B21" s="17"/>
      <c r="C21" s="17"/>
      <c r="D21" s="18"/>
      <c r="H21" s="84"/>
    </row>
    <row r="22">
      <c r="A22" s="19" t="s">
        <v>28</v>
      </c>
      <c r="B22" s="20"/>
      <c r="C22" s="20"/>
      <c r="D22" s="21"/>
      <c r="H22" s="85"/>
      <c r="I22" s="85"/>
      <c r="J22" s="85"/>
    </row>
    <row r="23">
      <c r="A23" s="22" t="s">
        <v>29</v>
      </c>
      <c r="B23" s="23" t="s">
        <v>30</v>
      </c>
      <c r="C23" s="22" t="s">
        <v>31</v>
      </c>
      <c r="D23" s="24" t="s">
        <v>30</v>
      </c>
      <c r="H23" s="86"/>
      <c r="I23" s="85"/>
      <c r="J23" s="85"/>
    </row>
    <row r="24">
      <c r="A24" s="28" t="s">
        <v>112</v>
      </c>
      <c r="B24" s="72">
        <v>102.01</v>
      </c>
      <c r="C24" s="25"/>
      <c r="D24" s="27"/>
      <c r="H24" s="87"/>
      <c r="I24" s="85"/>
      <c r="J24" s="85"/>
    </row>
    <row r="25">
      <c r="A25" s="28" t="s">
        <v>113</v>
      </c>
      <c r="B25" s="72">
        <v>231.2</v>
      </c>
      <c r="C25" s="25"/>
      <c r="D25" s="27"/>
      <c r="H25" s="88"/>
      <c r="I25" s="88"/>
      <c r="J25" s="88"/>
    </row>
    <row r="26">
      <c r="A26" s="71" t="s">
        <v>114</v>
      </c>
      <c r="B26" s="72">
        <v>175.6</v>
      </c>
      <c r="C26" s="25"/>
      <c r="D26" s="27"/>
      <c r="H26" s="88"/>
      <c r="I26" s="88"/>
      <c r="J26" s="88"/>
    </row>
    <row r="27">
      <c r="A27" s="28" t="s">
        <v>115</v>
      </c>
      <c r="B27" s="41">
        <v>41.5</v>
      </c>
      <c r="C27" s="25"/>
      <c r="D27" s="27"/>
      <c r="H27" s="88"/>
      <c r="I27" s="88"/>
      <c r="J27" s="88"/>
    </row>
    <row r="28">
      <c r="A28" s="28" t="s">
        <v>116</v>
      </c>
      <c r="B28" s="41">
        <v>99.11</v>
      </c>
      <c r="C28" s="25"/>
      <c r="D28" s="27"/>
      <c r="H28" s="88"/>
      <c r="I28" s="88"/>
      <c r="J28" s="88"/>
    </row>
    <row r="29">
      <c r="A29" s="25"/>
      <c r="B29" s="26"/>
      <c r="C29" s="25"/>
      <c r="D29" s="27"/>
      <c r="H29" s="88"/>
      <c r="I29" s="88"/>
      <c r="J29" s="88"/>
    </row>
    <row r="30">
      <c r="A30" s="25"/>
      <c r="B30" s="26"/>
      <c r="C30" s="25"/>
      <c r="D30" s="27"/>
    </row>
    <row r="31">
      <c r="A31" s="25"/>
      <c r="B31" s="26"/>
      <c r="C31" s="25"/>
      <c r="D31" s="27"/>
      <c r="I31" s="89"/>
      <c r="J31" s="90"/>
    </row>
  </sheetData>
  <mergeCells count="1">
    <mergeCell ref="H21:J21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1" max="21" width="20.5"/>
  </cols>
  <sheetData>
    <row r="1">
      <c r="B1" s="2" t="s">
        <v>0</v>
      </c>
      <c r="C1" s="2" t="s">
        <v>1</v>
      </c>
      <c r="D1" s="2" t="s">
        <v>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43</v>
      </c>
      <c r="J1" s="2" t="s">
        <v>40</v>
      </c>
      <c r="K1" s="2" t="s">
        <v>49</v>
      </c>
      <c r="L1" s="2" t="s">
        <v>42</v>
      </c>
      <c r="M1" s="2" t="s">
        <v>9</v>
      </c>
      <c r="N1" s="2" t="s">
        <v>37</v>
      </c>
      <c r="O1" s="2" t="s">
        <v>10</v>
      </c>
      <c r="P1" s="2" t="s">
        <v>11</v>
      </c>
      <c r="Q1" s="2" t="s">
        <v>12</v>
      </c>
      <c r="R1" s="3" t="s">
        <v>13</v>
      </c>
      <c r="S1" s="3" t="s">
        <v>14</v>
      </c>
      <c r="T1" s="3" t="s">
        <v>15</v>
      </c>
    </row>
    <row r="2">
      <c r="A2" s="74">
        <v>44935.0</v>
      </c>
      <c r="B2" s="5">
        <v>2269.34</v>
      </c>
      <c r="C2" s="5">
        <v>510.51</v>
      </c>
      <c r="D2" s="5"/>
      <c r="E2" s="5"/>
      <c r="F2" s="5">
        <v>193.8</v>
      </c>
      <c r="G2" s="5"/>
      <c r="H2" s="5"/>
      <c r="I2" s="5"/>
      <c r="J2" s="72"/>
      <c r="K2" s="5">
        <v>180.0</v>
      </c>
      <c r="L2" s="5"/>
      <c r="M2" s="6"/>
      <c r="N2" s="5"/>
      <c r="O2" s="5"/>
      <c r="P2" s="5">
        <v>105.65</v>
      </c>
      <c r="Q2" s="6"/>
      <c r="R2" s="7">
        <f t="shared" ref="R2:R7" si="1">SUM(B2:Q2)</f>
        <v>3259.3</v>
      </c>
      <c r="S2" s="8">
        <v>1663.0</v>
      </c>
      <c r="T2" s="59">
        <f t="shared" ref="T2:T8" si="2">R2/S2</f>
        <v>1.959891762</v>
      </c>
      <c r="U2" s="74">
        <f t="shared" ref="U2:U8" si="3">A2</f>
        <v>44935</v>
      </c>
    </row>
    <row r="3">
      <c r="A3" s="74">
        <v>44936.0</v>
      </c>
      <c r="B3" s="5">
        <v>930.18</v>
      </c>
      <c r="C3" s="33">
        <v>213.9</v>
      </c>
      <c r="D3" s="5"/>
      <c r="E3" s="5"/>
      <c r="F3" s="5">
        <v>109.13</v>
      </c>
      <c r="G3" s="5"/>
      <c r="H3" s="5">
        <v>38.0</v>
      </c>
      <c r="I3" s="5"/>
      <c r="J3" s="42"/>
      <c r="K3" s="5"/>
      <c r="L3" s="5"/>
      <c r="M3" s="6"/>
      <c r="N3" s="5"/>
      <c r="O3" s="5"/>
      <c r="P3" s="5"/>
      <c r="Q3" s="5">
        <v>208.59</v>
      </c>
      <c r="R3" s="7">
        <f t="shared" si="1"/>
        <v>1499.8</v>
      </c>
      <c r="S3" s="8">
        <v>4947.6</v>
      </c>
      <c r="T3" s="59">
        <f t="shared" si="2"/>
        <v>0.3031368744</v>
      </c>
      <c r="U3" s="74">
        <f t="shared" si="3"/>
        <v>44936</v>
      </c>
    </row>
    <row r="4">
      <c r="A4" s="74">
        <v>44937.0</v>
      </c>
      <c r="B4" s="5">
        <v>982.75</v>
      </c>
      <c r="C4" s="5">
        <v>260.73</v>
      </c>
      <c r="D4" s="5"/>
      <c r="E4" s="5">
        <v>290.0</v>
      </c>
      <c r="F4" s="5"/>
      <c r="G4" s="5">
        <v>170.0</v>
      </c>
      <c r="H4" s="5">
        <v>38.0</v>
      </c>
      <c r="I4" s="5"/>
      <c r="J4" s="42"/>
      <c r="K4" s="5"/>
      <c r="L4" s="5"/>
      <c r="M4" s="6"/>
      <c r="N4" s="5"/>
      <c r="O4" s="83">
        <v>39.0</v>
      </c>
      <c r="P4" s="5">
        <v>105.65</v>
      </c>
      <c r="Q4" s="6"/>
      <c r="R4" s="7">
        <f t="shared" si="1"/>
        <v>1886.13</v>
      </c>
      <c r="S4" s="8">
        <v>6502.0</v>
      </c>
      <c r="T4" s="59">
        <f t="shared" si="2"/>
        <v>0.2900845894</v>
      </c>
      <c r="U4" s="74">
        <f t="shared" si="3"/>
        <v>44937</v>
      </c>
    </row>
    <row r="5">
      <c r="A5" s="74">
        <v>44938.0</v>
      </c>
      <c r="B5" s="5">
        <v>1203.4</v>
      </c>
      <c r="C5" s="5"/>
      <c r="D5" s="6"/>
      <c r="E5" s="5">
        <v>190.0</v>
      </c>
      <c r="F5" s="5">
        <v>259.3</v>
      </c>
      <c r="G5" s="5"/>
      <c r="H5" s="5">
        <v>114.0</v>
      </c>
      <c r="I5" s="5"/>
      <c r="J5" s="5"/>
      <c r="K5" s="5"/>
      <c r="L5" s="5"/>
      <c r="M5" s="5"/>
      <c r="N5" s="5"/>
      <c r="O5" s="5"/>
      <c r="P5" s="6"/>
      <c r="Q5" s="6"/>
      <c r="R5" s="7">
        <f t="shared" si="1"/>
        <v>1766.7</v>
      </c>
      <c r="S5" s="8">
        <v>6999.0</v>
      </c>
      <c r="T5" s="59">
        <f t="shared" si="2"/>
        <v>0.2524217745</v>
      </c>
      <c r="U5" s="74">
        <f t="shared" si="3"/>
        <v>44938</v>
      </c>
    </row>
    <row r="6">
      <c r="A6" s="74">
        <v>44939.0</v>
      </c>
      <c r="B6" s="5">
        <v>1535.24</v>
      </c>
      <c r="C6" s="5">
        <v>58.0</v>
      </c>
      <c r="D6" s="5"/>
      <c r="E6" s="5"/>
      <c r="F6" s="5">
        <v>196.54</v>
      </c>
      <c r="G6" s="5">
        <v>340.0</v>
      </c>
      <c r="H6" s="5">
        <v>38.0</v>
      </c>
      <c r="I6" s="5"/>
      <c r="J6" s="5"/>
      <c r="K6" s="5"/>
      <c r="L6" s="5"/>
      <c r="M6" s="6"/>
      <c r="N6" s="5"/>
      <c r="O6" s="5"/>
      <c r="P6" s="5">
        <v>105.65</v>
      </c>
      <c r="Q6" s="5"/>
      <c r="R6" s="7">
        <f t="shared" si="1"/>
        <v>2273.43</v>
      </c>
      <c r="S6" s="8">
        <v>9940.0</v>
      </c>
      <c r="T6" s="59">
        <f t="shared" si="2"/>
        <v>0.2287152918</v>
      </c>
      <c r="U6" s="74">
        <f t="shared" si="3"/>
        <v>44939</v>
      </c>
    </row>
    <row r="7">
      <c r="A7" s="74">
        <v>44940.0</v>
      </c>
      <c r="B7" s="5">
        <v>1457.7</v>
      </c>
      <c r="C7" s="5">
        <v>97.65</v>
      </c>
      <c r="D7" s="44">
        <v>100.5</v>
      </c>
      <c r="E7" s="5">
        <v>190.0</v>
      </c>
      <c r="F7" s="5"/>
      <c r="G7" s="5"/>
      <c r="H7" s="5"/>
      <c r="I7" s="5"/>
      <c r="J7" s="6"/>
      <c r="K7" s="5"/>
      <c r="L7" s="5"/>
      <c r="M7" s="44">
        <v>400.0</v>
      </c>
      <c r="N7" s="6"/>
      <c r="O7" s="6"/>
      <c r="P7" s="6"/>
      <c r="Q7" s="6"/>
      <c r="R7" s="7">
        <f t="shared" si="1"/>
        <v>2245.85</v>
      </c>
      <c r="S7" s="8">
        <v>15048.39</v>
      </c>
      <c r="T7" s="59">
        <f t="shared" si="2"/>
        <v>0.149241879</v>
      </c>
      <c r="U7" s="74">
        <f t="shared" si="3"/>
        <v>44940</v>
      </c>
    </row>
    <row r="8">
      <c r="A8" s="74">
        <v>44941.0</v>
      </c>
      <c r="B8" s="10" t="s">
        <v>21</v>
      </c>
      <c r="C8" s="10" t="s">
        <v>21</v>
      </c>
      <c r="D8" s="10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0" t="s">
        <v>21</v>
      </c>
      <c r="K8" s="10" t="s">
        <v>21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0" t="s">
        <v>21</v>
      </c>
      <c r="R8" s="7">
        <v>0.0</v>
      </c>
      <c r="S8" s="8">
        <v>11205.0</v>
      </c>
      <c r="T8" s="59">
        <f t="shared" si="2"/>
        <v>0</v>
      </c>
      <c r="U8" s="74">
        <f t="shared" si="3"/>
        <v>44941</v>
      </c>
    </row>
    <row r="11">
      <c r="A11" s="4" t="s">
        <v>22</v>
      </c>
      <c r="B11" s="11">
        <v>13000.0</v>
      </c>
      <c r="E11" s="78"/>
      <c r="F11" s="79"/>
    </row>
    <row r="12">
      <c r="A12" s="4" t="s">
        <v>23</v>
      </c>
      <c r="B12" s="12">
        <f>SUM(B2:Q8)</f>
        <v>12931.21</v>
      </c>
      <c r="E12" s="56"/>
    </row>
    <row r="13">
      <c r="A13" s="4" t="s">
        <v>24</v>
      </c>
      <c r="B13" s="12">
        <f> SUM(B11-B12)</f>
        <v>68.79</v>
      </c>
    </row>
    <row r="15">
      <c r="A15" s="13" t="s">
        <v>25</v>
      </c>
      <c r="B15" s="14">
        <f>SUM(S2:S8)</f>
        <v>56304.99</v>
      </c>
    </row>
    <row r="16">
      <c r="A16" s="13" t="s">
        <v>26</v>
      </c>
      <c r="B16" s="15">
        <f>B12/B15</f>
        <v>0.2296636586</v>
      </c>
    </row>
    <row r="19">
      <c r="A19" s="16" t="s">
        <v>27</v>
      </c>
      <c r="B19" s="17"/>
      <c r="C19" s="17"/>
      <c r="D19" s="18"/>
      <c r="H19" s="60" t="s">
        <v>61</v>
      </c>
      <c r="I19" s="61"/>
      <c r="J19" s="62"/>
    </row>
    <row r="20">
      <c r="A20" s="19" t="s">
        <v>28</v>
      </c>
      <c r="B20" s="20"/>
      <c r="C20" s="20"/>
      <c r="D20" s="21"/>
      <c r="H20" s="63" t="s">
        <v>62</v>
      </c>
      <c r="I20" s="63" t="s">
        <v>63</v>
      </c>
      <c r="J20" s="63" t="s">
        <v>64</v>
      </c>
    </row>
    <row r="21">
      <c r="A21" s="22" t="s">
        <v>29</v>
      </c>
      <c r="B21" s="23" t="s">
        <v>30</v>
      </c>
      <c r="C21" s="22" t="s">
        <v>31</v>
      </c>
      <c r="D21" s="24" t="s">
        <v>30</v>
      </c>
      <c r="H21" s="64"/>
      <c r="I21" s="63"/>
      <c r="J21" s="63"/>
      <c r="K21" s="32"/>
    </row>
    <row r="22">
      <c r="A22" s="28"/>
      <c r="B22" s="72"/>
      <c r="C22" s="25"/>
      <c r="D22" s="27"/>
      <c r="H22" s="70"/>
      <c r="I22" s="63"/>
      <c r="J22" s="63"/>
    </row>
    <row r="23">
      <c r="A23" s="28"/>
      <c r="B23" s="72"/>
      <c r="C23" s="25"/>
      <c r="D23" s="27"/>
      <c r="H23" s="65"/>
      <c r="I23" s="65"/>
      <c r="J23" s="65"/>
    </row>
    <row r="24">
      <c r="A24" s="71"/>
      <c r="B24" s="72"/>
      <c r="C24" s="25"/>
      <c r="D24" s="27"/>
      <c r="H24" s="65"/>
      <c r="I24" s="65"/>
      <c r="J24" s="65"/>
    </row>
    <row r="25">
      <c r="A25" s="28"/>
      <c r="B25" s="26"/>
      <c r="C25" s="25"/>
      <c r="D25" s="27"/>
      <c r="H25" s="65"/>
      <c r="I25" s="65"/>
      <c r="J25" s="65"/>
    </row>
    <row r="26">
      <c r="A26" s="25"/>
      <c r="B26" s="26"/>
      <c r="C26" s="25"/>
      <c r="D26" s="27"/>
      <c r="H26" s="65"/>
      <c r="I26" s="65"/>
      <c r="J26" s="65"/>
    </row>
    <row r="27">
      <c r="A27" s="25"/>
      <c r="B27" s="26"/>
      <c r="C27" s="25"/>
      <c r="D27" s="27"/>
      <c r="H27" s="65"/>
      <c r="I27" s="65"/>
      <c r="J27" s="65"/>
    </row>
    <row r="28">
      <c r="A28" s="25"/>
      <c r="B28" s="26"/>
      <c r="C28" s="25"/>
      <c r="D28" s="27"/>
    </row>
    <row r="29">
      <c r="A29" s="25"/>
      <c r="B29" s="26"/>
      <c r="C29" s="25"/>
      <c r="D29" s="27"/>
      <c r="I29" s="66" t="s">
        <v>68</v>
      </c>
      <c r="J29" s="67"/>
    </row>
  </sheetData>
  <mergeCells count="1">
    <mergeCell ref="H19:J19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1" max="21" width="21.13"/>
  </cols>
  <sheetData>
    <row r="1">
      <c r="B1" s="2" t="s">
        <v>0</v>
      </c>
      <c r="C1" s="2" t="s">
        <v>1</v>
      </c>
      <c r="D1" s="2" t="s">
        <v>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43</v>
      </c>
      <c r="J1" s="2" t="s">
        <v>40</v>
      </c>
      <c r="K1" s="2" t="s">
        <v>49</v>
      </c>
      <c r="L1" s="2" t="s">
        <v>42</v>
      </c>
      <c r="M1" s="2" t="s">
        <v>9</v>
      </c>
      <c r="N1" s="2" t="s">
        <v>37</v>
      </c>
      <c r="O1" s="2" t="s">
        <v>10</v>
      </c>
      <c r="P1" s="2" t="s">
        <v>11</v>
      </c>
      <c r="Q1" s="2" t="s">
        <v>12</v>
      </c>
      <c r="R1" s="3" t="s">
        <v>13</v>
      </c>
      <c r="S1" s="3" t="s">
        <v>14</v>
      </c>
      <c r="T1" s="3" t="s">
        <v>15</v>
      </c>
    </row>
    <row r="2">
      <c r="A2" s="74">
        <v>44942.0</v>
      </c>
      <c r="B2" s="5">
        <v>2451.06</v>
      </c>
      <c r="C2" s="5">
        <v>364.59</v>
      </c>
      <c r="D2" s="5"/>
      <c r="E2" s="5"/>
      <c r="F2" s="5">
        <v>271.78</v>
      </c>
      <c r="G2" s="5"/>
      <c r="H2" s="5"/>
      <c r="I2" s="5"/>
      <c r="J2" s="72">
        <v>822.28</v>
      </c>
      <c r="K2" s="5">
        <v>180.0</v>
      </c>
      <c r="L2" s="5"/>
      <c r="M2" s="6"/>
      <c r="N2" s="5"/>
      <c r="O2" s="5">
        <v>39.95</v>
      </c>
      <c r="P2" s="5">
        <v>105.65</v>
      </c>
      <c r="Q2" s="6"/>
      <c r="R2" s="7">
        <f t="shared" ref="R2:R7" si="1">SUM(B2:Q2)</f>
        <v>4235.31</v>
      </c>
      <c r="S2" s="8">
        <v>3290.5</v>
      </c>
      <c r="T2" s="59">
        <f t="shared" ref="T2:T8" si="2">R2/S2</f>
        <v>1.287132655</v>
      </c>
      <c r="U2" s="74">
        <f t="shared" ref="U2:U8" si="3">A2</f>
        <v>44942</v>
      </c>
    </row>
    <row r="3">
      <c r="A3" s="74">
        <v>44943.0</v>
      </c>
      <c r="B3" s="5">
        <v>967.94</v>
      </c>
      <c r="C3" s="33"/>
      <c r="D3" s="5"/>
      <c r="E3" s="5"/>
      <c r="F3" s="5"/>
      <c r="G3" s="5">
        <v>170.0</v>
      </c>
      <c r="H3" s="5">
        <v>38.0</v>
      </c>
      <c r="I3" s="5"/>
      <c r="J3" s="42"/>
      <c r="K3" s="5"/>
      <c r="L3" s="5"/>
      <c r="M3" s="6"/>
      <c r="N3" s="5"/>
      <c r="O3" s="5"/>
      <c r="P3" s="5"/>
      <c r="Q3" s="5">
        <v>208.59</v>
      </c>
      <c r="R3" s="7">
        <f t="shared" si="1"/>
        <v>1384.53</v>
      </c>
      <c r="S3" s="8">
        <v>3913.0</v>
      </c>
      <c r="T3" s="59">
        <f t="shared" si="2"/>
        <v>0.3538282648</v>
      </c>
      <c r="U3" s="74">
        <f t="shared" si="3"/>
        <v>44943</v>
      </c>
    </row>
    <row r="4">
      <c r="A4" s="74">
        <v>44944.0</v>
      </c>
      <c r="B4" s="5">
        <v>1371.49</v>
      </c>
      <c r="C4" s="5">
        <v>211.01</v>
      </c>
      <c r="D4" s="5"/>
      <c r="E4" s="5">
        <v>390.0</v>
      </c>
      <c r="F4" s="5"/>
      <c r="G4" s="5"/>
      <c r="H4" s="5"/>
      <c r="I4" s="5"/>
      <c r="J4" s="42"/>
      <c r="K4" s="5"/>
      <c r="L4" s="5"/>
      <c r="M4" s="6"/>
      <c r="N4" s="5"/>
      <c r="O4" s="83"/>
      <c r="P4" s="5"/>
      <c r="Q4" s="6"/>
      <c r="R4" s="7">
        <f t="shared" si="1"/>
        <v>1972.5</v>
      </c>
      <c r="S4" s="8">
        <f>1013+5937</f>
        <v>6950</v>
      </c>
      <c r="T4" s="59">
        <f t="shared" si="2"/>
        <v>0.2838129496</v>
      </c>
      <c r="U4" s="74">
        <f t="shared" si="3"/>
        <v>44944</v>
      </c>
    </row>
    <row r="5">
      <c r="A5" s="74">
        <v>44945.0</v>
      </c>
      <c r="B5" s="5">
        <v>1647.76</v>
      </c>
      <c r="C5" s="5">
        <v>238.05</v>
      </c>
      <c r="D5" s="6"/>
      <c r="E5" s="5"/>
      <c r="F5" s="5">
        <v>461.67</v>
      </c>
      <c r="G5" s="5"/>
      <c r="H5" s="5">
        <v>114.0</v>
      </c>
      <c r="I5" s="5"/>
      <c r="J5" s="5"/>
      <c r="K5" s="5"/>
      <c r="L5" s="5"/>
      <c r="M5" s="5"/>
      <c r="N5" s="5"/>
      <c r="O5" s="5"/>
      <c r="P5" s="6"/>
      <c r="Q5" s="6"/>
      <c r="R5" s="7">
        <f t="shared" si="1"/>
        <v>2461.48</v>
      </c>
      <c r="S5" s="8">
        <v>13215.6</v>
      </c>
      <c r="T5" s="59">
        <f t="shared" si="2"/>
        <v>0.1862556373</v>
      </c>
      <c r="U5" s="74">
        <f t="shared" si="3"/>
        <v>44945</v>
      </c>
    </row>
    <row r="6">
      <c r="A6" s="74">
        <v>44946.0</v>
      </c>
      <c r="B6" s="5">
        <v>2042.8</v>
      </c>
      <c r="C6" s="5">
        <v>304.5</v>
      </c>
      <c r="D6" s="5"/>
      <c r="E6" s="5"/>
      <c r="F6" s="5"/>
      <c r="G6" s="5"/>
      <c r="H6" s="5">
        <v>38.0</v>
      </c>
      <c r="I6" s="5"/>
      <c r="J6" s="5"/>
      <c r="K6" s="5"/>
      <c r="L6" s="5"/>
      <c r="M6" s="6"/>
      <c r="N6" s="5"/>
      <c r="O6" s="5">
        <v>68.0</v>
      </c>
      <c r="P6" s="5">
        <v>105.65</v>
      </c>
      <c r="Q6" s="5"/>
      <c r="R6" s="7">
        <f t="shared" si="1"/>
        <v>2558.95</v>
      </c>
      <c r="S6" s="8">
        <v>11791.0</v>
      </c>
      <c r="T6" s="59">
        <f t="shared" si="2"/>
        <v>0.2170256976</v>
      </c>
      <c r="U6" s="74">
        <f t="shared" si="3"/>
        <v>44946</v>
      </c>
    </row>
    <row r="7">
      <c r="A7" s="74">
        <v>44947.0</v>
      </c>
      <c r="B7" s="5">
        <v>1515.75</v>
      </c>
      <c r="C7" s="5">
        <v>214.05</v>
      </c>
      <c r="D7" s="44">
        <v>167.0</v>
      </c>
      <c r="E7" s="5"/>
      <c r="F7" s="5">
        <v>214.38</v>
      </c>
      <c r="G7" s="5"/>
      <c r="H7" s="5"/>
      <c r="I7" s="5"/>
      <c r="J7" s="6"/>
      <c r="K7" s="5"/>
      <c r="L7" s="5"/>
      <c r="M7" s="44">
        <v>1187.2</v>
      </c>
      <c r="N7" s="6"/>
      <c r="O7" s="6"/>
      <c r="P7" s="6"/>
      <c r="Q7" s="6"/>
      <c r="R7" s="7">
        <f t="shared" si="1"/>
        <v>3298.38</v>
      </c>
      <c r="S7" s="8">
        <f>2322+13839.5</f>
        <v>16161.5</v>
      </c>
      <c r="T7" s="59">
        <f t="shared" si="2"/>
        <v>0.2040887294</v>
      </c>
      <c r="U7" s="74">
        <f t="shared" si="3"/>
        <v>44947</v>
      </c>
    </row>
    <row r="8">
      <c r="A8" s="74">
        <v>44948.0</v>
      </c>
      <c r="B8" s="10" t="s">
        <v>21</v>
      </c>
      <c r="C8" s="10" t="s">
        <v>21</v>
      </c>
      <c r="D8" s="10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0" t="s">
        <v>21</v>
      </c>
      <c r="K8" s="10" t="s">
        <v>21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0" t="s">
        <v>21</v>
      </c>
      <c r="R8" s="7">
        <v>0.0</v>
      </c>
      <c r="S8" s="8">
        <v>6136.9</v>
      </c>
      <c r="T8" s="59">
        <f t="shared" si="2"/>
        <v>0</v>
      </c>
      <c r="U8" s="74">
        <f t="shared" si="3"/>
        <v>44948</v>
      </c>
    </row>
    <row r="10">
      <c r="A10" s="4" t="s">
        <v>79</v>
      </c>
      <c r="B10" s="80">
        <v>10183.99</v>
      </c>
      <c r="C10" s="10">
        <v>1380.94</v>
      </c>
      <c r="D10" s="80">
        <v>167.0</v>
      </c>
      <c r="E10" s="10">
        <v>390.0</v>
      </c>
      <c r="F10" s="10">
        <f>526.56+271.78</f>
        <v>798.34</v>
      </c>
      <c r="G10" s="10">
        <v>170.0</v>
      </c>
      <c r="H10" s="80">
        <v>190.0</v>
      </c>
      <c r="I10" s="10"/>
      <c r="J10" s="10">
        <v>822.29</v>
      </c>
      <c r="K10" s="10">
        <v>375.0</v>
      </c>
      <c r="L10" s="10"/>
      <c r="M10" s="80">
        <v>1187.2</v>
      </c>
      <c r="N10" s="10"/>
      <c r="O10" s="10">
        <v>122.9</v>
      </c>
      <c r="P10" s="10">
        <v>158.48</v>
      </c>
      <c r="Q10" s="5">
        <v>208.59</v>
      </c>
      <c r="R10" s="8"/>
      <c r="S10" s="59"/>
      <c r="T10" s="74"/>
    </row>
    <row r="11">
      <c r="A11" s="4" t="s">
        <v>80</v>
      </c>
      <c r="B11" s="10">
        <f t="shared" ref="B11:Q11" si="4">sum(B2:B8)-B10</f>
        <v>-187.19</v>
      </c>
      <c r="C11" s="10">
        <f t="shared" si="4"/>
        <v>-48.74</v>
      </c>
      <c r="D11" s="10">
        <f t="shared" si="4"/>
        <v>0</v>
      </c>
      <c r="E11" s="10">
        <f t="shared" si="4"/>
        <v>0</v>
      </c>
      <c r="F11" s="10">
        <f t="shared" si="4"/>
        <v>149.49</v>
      </c>
      <c r="G11" s="10">
        <f t="shared" si="4"/>
        <v>0</v>
      </c>
      <c r="H11" s="10">
        <f t="shared" si="4"/>
        <v>0</v>
      </c>
      <c r="I11" s="10">
        <f t="shared" si="4"/>
        <v>0</v>
      </c>
      <c r="J11" s="10">
        <f t="shared" si="4"/>
        <v>-0.01</v>
      </c>
      <c r="K11" s="10">
        <f t="shared" si="4"/>
        <v>-195</v>
      </c>
      <c r="L11" s="10">
        <f t="shared" si="4"/>
        <v>0</v>
      </c>
      <c r="M11" s="10">
        <f t="shared" si="4"/>
        <v>0</v>
      </c>
      <c r="N11" s="10">
        <f t="shared" si="4"/>
        <v>0</v>
      </c>
      <c r="O11" s="10">
        <f t="shared" si="4"/>
        <v>-14.95</v>
      </c>
      <c r="P11" s="10">
        <f t="shared" si="4"/>
        <v>52.82</v>
      </c>
      <c r="Q11" s="10">
        <f t="shared" si="4"/>
        <v>0</v>
      </c>
      <c r="R11" s="10">
        <f>R10-0</f>
        <v>0</v>
      </c>
      <c r="S11" s="59"/>
      <c r="T11" s="74"/>
    </row>
    <row r="13">
      <c r="A13" s="4" t="s">
        <v>22</v>
      </c>
      <c r="B13" s="11">
        <v>13000.0</v>
      </c>
      <c r="E13" s="78"/>
      <c r="F13" s="79"/>
    </row>
    <row r="14">
      <c r="A14" s="4" t="s">
        <v>23</v>
      </c>
      <c r="B14" s="12">
        <f>SUM(B2:Q8)</f>
        <v>15911.15</v>
      </c>
      <c r="E14" s="56"/>
    </row>
    <row r="15">
      <c r="A15" s="4" t="s">
        <v>24</v>
      </c>
      <c r="B15" s="12">
        <f> SUM(B13-B14)</f>
        <v>-2911.15</v>
      </c>
    </row>
    <row r="17">
      <c r="A17" s="13" t="s">
        <v>25</v>
      </c>
      <c r="B17" s="14">
        <f>SUM(S2:S8)</f>
        <v>61458.5</v>
      </c>
    </row>
    <row r="18">
      <c r="A18" s="13" t="s">
        <v>26</v>
      </c>
      <c r="B18" s="15">
        <f>B14/B17</f>
        <v>0.2588925861</v>
      </c>
    </row>
    <row r="21">
      <c r="A21" s="16" t="s">
        <v>27</v>
      </c>
      <c r="B21" s="17"/>
      <c r="C21" s="17"/>
      <c r="D21" s="18"/>
      <c r="H21" s="60" t="s">
        <v>61</v>
      </c>
      <c r="I21" s="61"/>
      <c r="J21" s="62"/>
    </row>
    <row r="22">
      <c r="A22" s="19" t="s">
        <v>28</v>
      </c>
      <c r="B22" s="20"/>
      <c r="C22" s="20"/>
      <c r="D22" s="21"/>
      <c r="H22" s="63" t="s">
        <v>62</v>
      </c>
      <c r="I22" s="63" t="s">
        <v>63</v>
      </c>
      <c r="J22" s="63" t="s">
        <v>64</v>
      </c>
    </row>
    <row r="23">
      <c r="A23" s="22" t="s">
        <v>29</v>
      </c>
      <c r="B23" s="23" t="s">
        <v>30</v>
      </c>
      <c r="C23" s="22" t="s">
        <v>31</v>
      </c>
      <c r="D23" s="24" t="s">
        <v>30</v>
      </c>
      <c r="H23" s="64"/>
      <c r="I23" s="63"/>
      <c r="J23" s="63"/>
      <c r="K23" s="32"/>
    </row>
    <row r="24">
      <c r="A24" s="28" t="s">
        <v>108</v>
      </c>
      <c r="B24" s="72">
        <v>822.28</v>
      </c>
      <c r="C24" s="25"/>
      <c r="D24" s="27"/>
      <c r="H24" s="70"/>
      <c r="I24" s="63"/>
      <c r="J24" s="63"/>
    </row>
    <row r="25">
      <c r="A25" s="28"/>
      <c r="B25" s="72"/>
      <c r="C25" s="25"/>
      <c r="D25" s="27"/>
      <c r="H25" s="65"/>
      <c r="I25" s="65"/>
      <c r="J25" s="65"/>
    </row>
    <row r="26">
      <c r="A26" s="71"/>
      <c r="B26" s="72"/>
      <c r="C26" s="25"/>
      <c r="D26" s="27"/>
      <c r="H26" s="65"/>
      <c r="I26" s="65"/>
      <c r="J26" s="65"/>
    </row>
    <row r="27">
      <c r="A27" s="28"/>
      <c r="B27" s="26"/>
      <c r="C27" s="25"/>
      <c r="D27" s="27"/>
      <c r="H27" s="65"/>
      <c r="I27" s="65"/>
      <c r="J27" s="65"/>
    </row>
    <row r="28">
      <c r="A28" s="25"/>
      <c r="B28" s="26"/>
      <c r="C28" s="25"/>
      <c r="D28" s="27"/>
      <c r="H28" s="65"/>
      <c r="I28" s="65"/>
      <c r="J28" s="65"/>
    </row>
    <row r="29">
      <c r="A29" s="25"/>
      <c r="B29" s="26"/>
      <c r="C29" s="25"/>
      <c r="D29" s="27"/>
      <c r="H29" s="65"/>
      <c r="I29" s="65"/>
      <c r="J29" s="65"/>
    </row>
    <row r="30">
      <c r="A30" s="25"/>
      <c r="B30" s="26"/>
      <c r="C30" s="25"/>
      <c r="D30" s="27"/>
    </row>
    <row r="31">
      <c r="A31" s="25"/>
      <c r="B31" s="26"/>
      <c r="C31" s="25"/>
      <c r="D31" s="27"/>
      <c r="I31" s="66" t="s">
        <v>68</v>
      </c>
      <c r="J31" s="67"/>
    </row>
  </sheetData>
  <mergeCells count="1">
    <mergeCell ref="H21:J21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1" max="21" width="19.38"/>
  </cols>
  <sheetData>
    <row r="1">
      <c r="B1" s="2" t="s">
        <v>0</v>
      </c>
      <c r="C1" s="2" t="s">
        <v>1</v>
      </c>
      <c r="D1" s="2" t="s">
        <v>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43</v>
      </c>
      <c r="J1" s="2" t="s">
        <v>40</v>
      </c>
      <c r="K1" s="2" t="s">
        <v>49</v>
      </c>
      <c r="L1" s="2" t="s">
        <v>42</v>
      </c>
      <c r="M1" s="2" t="s">
        <v>9</v>
      </c>
      <c r="N1" s="2" t="s">
        <v>37</v>
      </c>
      <c r="O1" s="2" t="s">
        <v>10</v>
      </c>
      <c r="P1" s="2" t="s">
        <v>11</v>
      </c>
      <c r="Q1" s="2" t="s">
        <v>12</v>
      </c>
      <c r="R1" s="3" t="s">
        <v>13</v>
      </c>
      <c r="S1" s="3" t="s">
        <v>14</v>
      </c>
      <c r="T1" s="3" t="s">
        <v>15</v>
      </c>
    </row>
    <row r="2">
      <c r="A2" s="74">
        <v>44949.0</v>
      </c>
      <c r="B2" s="5">
        <v>1933.97</v>
      </c>
      <c r="C2" s="5">
        <v>719.57</v>
      </c>
      <c r="D2" s="5"/>
      <c r="E2" s="5"/>
      <c r="F2" s="5">
        <v>283.9</v>
      </c>
      <c r="G2" s="5"/>
      <c r="H2" s="5"/>
      <c r="I2" s="5"/>
      <c r="J2" s="72">
        <v>822.28</v>
      </c>
      <c r="K2" s="5">
        <v>180.0</v>
      </c>
      <c r="L2" s="5"/>
      <c r="M2" s="6"/>
      <c r="N2" s="5"/>
      <c r="O2" s="5"/>
      <c r="P2" s="5">
        <v>105.65</v>
      </c>
      <c r="Q2" s="6"/>
      <c r="R2" s="7">
        <f t="shared" ref="R2:R7" si="1">SUM(B2:Q2)</f>
        <v>4045.37</v>
      </c>
      <c r="S2" s="8">
        <v>5087.6</v>
      </c>
      <c r="T2" s="59">
        <f t="shared" ref="T2:T8" si="2">R2/S2</f>
        <v>0.795143093</v>
      </c>
      <c r="U2" s="74">
        <f t="shared" ref="U2:U8" si="3">A2</f>
        <v>44949</v>
      </c>
    </row>
    <row r="3">
      <c r="A3" s="74">
        <v>44950.0</v>
      </c>
      <c r="B3" s="5">
        <v>1124.96</v>
      </c>
      <c r="C3" s="33">
        <v>137.15</v>
      </c>
      <c r="D3" s="5"/>
      <c r="E3" s="5"/>
      <c r="F3" s="5"/>
      <c r="G3" s="5"/>
      <c r="H3" s="5">
        <v>38.0</v>
      </c>
      <c r="I3" s="5"/>
      <c r="J3" s="42">
        <v>762.64</v>
      </c>
      <c r="K3" s="5"/>
      <c r="L3" s="5"/>
      <c r="M3" s="6"/>
      <c r="N3" s="5"/>
      <c r="O3" s="5"/>
      <c r="P3" s="5"/>
      <c r="Q3" s="5">
        <v>208.59</v>
      </c>
      <c r="R3" s="7">
        <f t="shared" si="1"/>
        <v>2271.34</v>
      </c>
      <c r="S3" s="8">
        <v>5667.8</v>
      </c>
      <c r="T3" s="59">
        <f t="shared" si="2"/>
        <v>0.400744557</v>
      </c>
      <c r="U3" s="74">
        <f t="shared" si="3"/>
        <v>44950</v>
      </c>
    </row>
    <row r="4">
      <c r="A4" s="74">
        <v>44951.0</v>
      </c>
      <c r="B4" s="5">
        <v>1621.88</v>
      </c>
      <c r="C4" s="5">
        <v>443.14</v>
      </c>
      <c r="D4" s="5"/>
      <c r="E4" s="5">
        <v>280.0</v>
      </c>
      <c r="F4" s="5">
        <v>664.55</v>
      </c>
      <c r="G4" s="5">
        <v>255.0</v>
      </c>
      <c r="H4" s="5">
        <v>33.0</v>
      </c>
      <c r="I4" s="5"/>
      <c r="J4" s="42"/>
      <c r="K4" s="5"/>
      <c r="L4" s="5"/>
      <c r="M4" s="6"/>
      <c r="N4" s="5"/>
      <c r="O4" s="83"/>
      <c r="P4" s="5"/>
      <c r="Q4" s="6"/>
      <c r="R4" s="7">
        <f t="shared" si="1"/>
        <v>3297.57</v>
      </c>
      <c r="S4" s="8">
        <v>6034.6</v>
      </c>
      <c r="T4" s="59">
        <f t="shared" si="2"/>
        <v>0.5464438405</v>
      </c>
      <c r="U4" s="74">
        <f t="shared" si="3"/>
        <v>44951</v>
      </c>
    </row>
    <row r="5">
      <c r="A5" s="74">
        <v>44952.0</v>
      </c>
      <c r="B5" s="5">
        <v>1437.65</v>
      </c>
      <c r="C5" s="5">
        <v>156.53</v>
      </c>
      <c r="D5" s="6"/>
      <c r="E5" s="5"/>
      <c r="F5" s="5"/>
      <c r="G5" s="5"/>
      <c r="H5" s="5">
        <v>114.0</v>
      </c>
      <c r="I5" s="5"/>
      <c r="J5" s="5"/>
      <c r="K5" s="5"/>
      <c r="L5" s="5"/>
      <c r="M5" s="5"/>
      <c r="N5" s="5"/>
      <c r="O5" s="5"/>
      <c r="P5" s="6"/>
      <c r="Q5" s="6"/>
      <c r="R5" s="7">
        <f t="shared" si="1"/>
        <v>1708.18</v>
      </c>
      <c r="S5" s="8">
        <v>7042.6</v>
      </c>
      <c r="T5" s="59">
        <f t="shared" si="2"/>
        <v>0.2425496266</v>
      </c>
      <c r="U5" s="74">
        <f t="shared" si="3"/>
        <v>44952</v>
      </c>
    </row>
    <row r="6">
      <c r="A6" s="74">
        <v>44953.0</v>
      </c>
      <c r="B6" s="5">
        <v>520.65</v>
      </c>
      <c r="C6" s="5">
        <v>211.0</v>
      </c>
      <c r="D6" s="5"/>
      <c r="E6" s="5"/>
      <c r="F6" s="5"/>
      <c r="G6" s="5">
        <v>284.9</v>
      </c>
      <c r="H6" s="5">
        <v>38.0</v>
      </c>
      <c r="I6" s="5"/>
      <c r="J6" s="5"/>
      <c r="K6" s="5"/>
      <c r="L6" s="5"/>
      <c r="M6" s="6"/>
      <c r="N6" s="5"/>
      <c r="O6" s="5"/>
      <c r="P6" s="5">
        <v>105.65</v>
      </c>
      <c r="Q6" s="5"/>
      <c r="R6" s="7">
        <f t="shared" si="1"/>
        <v>1160.2</v>
      </c>
      <c r="S6" s="8">
        <v>12211.0</v>
      </c>
      <c r="T6" s="59">
        <f t="shared" si="2"/>
        <v>0.09501269347</v>
      </c>
      <c r="U6" s="74">
        <f t="shared" si="3"/>
        <v>44953</v>
      </c>
    </row>
    <row r="7">
      <c r="A7" s="74">
        <v>44954.0</v>
      </c>
      <c r="B7" s="5">
        <v>2029.88</v>
      </c>
      <c r="C7" s="5"/>
      <c r="D7" s="44">
        <v>200.0</v>
      </c>
      <c r="E7" s="5"/>
      <c r="F7" s="5"/>
      <c r="G7" s="5"/>
      <c r="H7" s="5"/>
      <c r="I7" s="5"/>
      <c r="J7" s="6"/>
      <c r="K7" s="5"/>
      <c r="L7" s="5"/>
      <c r="M7" s="44">
        <v>400.0</v>
      </c>
      <c r="N7" s="6"/>
      <c r="O7" s="6"/>
      <c r="P7" s="6"/>
      <c r="Q7" s="6"/>
      <c r="R7" s="7">
        <f t="shared" si="1"/>
        <v>2629.88</v>
      </c>
      <c r="S7" s="8">
        <v>14070.0</v>
      </c>
      <c r="T7" s="59">
        <f t="shared" si="2"/>
        <v>0.1869140014</v>
      </c>
      <c r="U7" s="74">
        <f t="shared" si="3"/>
        <v>44954</v>
      </c>
    </row>
    <row r="8">
      <c r="A8" s="74">
        <v>44955.0</v>
      </c>
      <c r="B8" s="10" t="s">
        <v>21</v>
      </c>
      <c r="C8" s="10" t="s">
        <v>21</v>
      </c>
      <c r="D8" s="10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0" t="s">
        <v>21</v>
      </c>
      <c r="K8" s="10" t="s">
        <v>21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0" t="s">
        <v>21</v>
      </c>
      <c r="R8" s="7">
        <v>0.0</v>
      </c>
      <c r="S8" s="8">
        <v>6634.7</v>
      </c>
      <c r="T8" s="59">
        <f t="shared" si="2"/>
        <v>0</v>
      </c>
      <c r="U8" s="74">
        <f t="shared" si="3"/>
        <v>44955</v>
      </c>
    </row>
    <row r="11">
      <c r="A11" s="4" t="s">
        <v>22</v>
      </c>
      <c r="B11" s="11">
        <v>13000.0</v>
      </c>
      <c r="E11" s="78"/>
      <c r="F11" s="79"/>
    </row>
    <row r="12">
      <c r="A12" s="4" t="s">
        <v>23</v>
      </c>
      <c r="B12" s="12">
        <f>SUM(B2:Q8)</f>
        <v>15112.54</v>
      </c>
      <c r="E12" s="56"/>
    </row>
    <row r="13">
      <c r="A13" s="4" t="s">
        <v>24</v>
      </c>
      <c r="B13" s="12">
        <f> SUM(B11-B12)</f>
        <v>-2112.54</v>
      </c>
    </row>
    <row r="15">
      <c r="A15" s="13" t="s">
        <v>25</v>
      </c>
      <c r="B15" s="14">
        <f>SUM(S2:S8)</f>
        <v>56748.3</v>
      </c>
    </row>
    <row r="16">
      <c r="A16" s="13" t="s">
        <v>26</v>
      </c>
      <c r="B16" s="15">
        <f>B12/B15</f>
        <v>0.2663082418</v>
      </c>
    </row>
    <row r="19">
      <c r="A19" s="16" t="s">
        <v>27</v>
      </c>
      <c r="B19" s="17"/>
      <c r="C19" s="17"/>
      <c r="D19" s="18"/>
      <c r="H19" s="84"/>
    </row>
    <row r="20">
      <c r="A20" s="19" t="s">
        <v>28</v>
      </c>
      <c r="B20" s="20"/>
      <c r="C20" s="20"/>
      <c r="D20" s="21"/>
      <c r="H20" s="85"/>
      <c r="I20" s="85"/>
      <c r="J20" s="85"/>
    </row>
    <row r="21">
      <c r="A21" s="22" t="s">
        <v>29</v>
      </c>
      <c r="B21" s="23" t="s">
        <v>30</v>
      </c>
      <c r="C21" s="22" t="s">
        <v>31</v>
      </c>
      <c r="D21" s="24" t="s">
        <v>30</v>
      </c>
      <c r="H21" s="86"/>
      <c r="I21" s="85"/>
      <c r="J21" s="85"/>
    </row>
    <row r="22">
      <c r="A22" s="28" t="s">
        <v>109</v>
      </c>
      <c r="B22" s="72">
        <v>350.67</v>
      </c>
      <c r="C22" s="25"/>
      <c r="D22" s="27"/>
      <c r="H22" s="87"/>
      <c r="I22" s="85"/>
      <c r="J22" s="85"/>
    </row>
    <row r="23">
      <c r="A23" s="28" t="s">
        <v>41</v>
      </c>
      <c r="B23" s="72">
        <v>953.31</v>
      </c>
      <c r="C23" s="25"/>
      <c r="D23" s="27"/>
      <c r="H23" s="88"/>
      <c r="I23" s="88"/>
      <c r="J23" s="88"/>
    </row>
    <row r="24">
      <c r="A24" s="71" t="s">
        <v>117</v>
      </c>
      <c r="B24" s="72">
        <v>112.49</v>
      </c>
      <c r="C24" s="25"/>
      <c r="D24" s="27"/>
      <c r="H24" s="88"/>
      <c r="I24" s="88"/>
      <c r="J24" s="88"/>
    </row>
    <row r="25">
      <c r="A25" s="28" t="s">
        <v>118</v>
      </c>
      <c r="B25" s="41">
        <v>114.4</v>
      </c>
      <c r="C25" s="25"/>
      <c r="D25" s="27"/>
      <c r="H25" s="88"/>
      <c r="I25" s="88"/>
      <c r="J25" s="88"/>
    </row>
    <row r="26">
      <c r="A26" s="28" t="s">
        <v>112</v>
      </c>
      <c r="B26" s="41">
        <v>102.01</v>
      </c>
      <c r="C26" s="25"/>
      <c r="D26" s="27"/>
      <c r="H26" s="88"/>
      <c r="I26" s="88"/>
      <c r="J26" s="88"/>
    </row>
    <row r="27">
      <c r="A27" s="28" t="s">
        <v>119</v>
      </c>
      <c r="B27" s="41">
        <v>119.6</v>
      </c>
      <c r="C27" s="25"/>
      <c r="D27" s="27"/>
      <c r="H27" s="88"/>
      <c r="I27" s="88"/>
      <c r="J27" s="88"/>
    </row>
    <row r="28">
      <c r="A28" s="25"/>
      <c r="B28" s="26"/>
      <c r="C28" s="25"/>
      <c r="D28" s="27"/>
    </row>
    <row r="29">
      <c r="A29" s="25"/>
      <c r="B29" s="26"/>
      <c r="C29" s="25"/>
      <c r="D29" s="27"/>
      <c r="I29" s="89"/>
      <c r="J29" s="90"/>
    </row>
  </sheetData>
  <mergeCells count="1">
    <mergeCell ref="H19:J19"/>
  </mergeCell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1" max="21" width="21.38"/>
  </cols>
  <sheetData>
    <row r="1">
      <c r="B1" s="2" t="s">
        <v>0</v>
      </c>
      <c r="C1" s="2" t="s">
        <v>1</v>
      </c>
      <c r="D1" s="2" t="s">
        <v>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43</v>
      </c>
      <c r="J1" s="2" t="s">
        <v>40</v>
      </c>
      <c r="K1" s="2" t="s">
        <v>49</v>
      </c>
      <c r="L1" s="2" t="s">
        <v>42</v>
      </c>
      <c r="M1" s="2" t="s">
        <v>9</v>
      </c>
      <c r="N1" s="2" t="s">
        <v>37</v>
      </c>
      <c r="O1" s="2" t="s">
        <v>10</v>
      </c>
      <c r="P1" s="2" t="s">
        <v>11</v>
      </c>
      <c r="Q1" s="2" t="s">
        <v>12</v>
      </c>
      <c r="R1" s="3" t="s">
        <v>13</v>
      </c>
      <c r="S1" s="3" t="s">
        <v>14</v>
      </c>
      <c r="T1" s="3" t="s">
        <v>15</v>
      </c>
    </row>
    <row r="2">
      <c r="A2" s="74">
        <v>44956.0</v>
      </c>
      <c r="B2" s="5">
        <v>1991.59</v>
      </c>
      <c r="C2" s="5">
        <v>782.92</v>
      </c>
      <c r="D2" s="5"/>
      <c r="E2" s="5"/>
      <c r="F2" s="5">
        <v>317.54</v>
      </c>
      <c r="G2" s="5"/>
      <c r="H2" s="5"/>
      <c r="I2" s="5"/>
      <c r="J2" s="72">
        <v>1143.97</v>
      </c>
      <c r="K2" s="5">
        <v>180.0</v>
      </c>
      <c r="L2" s="5"/>
      <c r="M2" s="6"/>
      <c r="N2" s="5"/>
      <c r="O2" s="5">
        <v>139.5</v>
      </c>
      <c r="P2" s="5">
        <v>105.65</v>
      </c>
      <c r="Q2" s="6"/>
      <c r="R2" s="7">
        <f t="shared" ref="R2:R7" si="1">SUM(B2:Q2)</f>
        <v>4661.17</v>
      </c>
      <c r="S2" s="8">
        <v>4200.0</v>
      </c>
      <c r="T2" s="59">
        <f t="shared" ref="T2:T8" si="2">R2/S2</f>
        <v>1.109802381</v>
      </c>
      <c r="U2" s="74">
        <f t="shared" ref="U2:U8" si="3">A2</f>
        <v>44956</v>
      </c>
    </row>
    <row r="3">
      <c r="A3" s="74">
        <v>44957.0</v>
      </c>
      <c r="B3" s="5">
        <v>1139.94</v>
      </c>
      <c r="C3" s="33">
        <v>112.35</v>
      </c>
      <c r="D3" s="5"/>
      <c r="E3" s="5">
        <v>280.0</v>
      </c>
      <c r="F3" s="5">
        <v>110.17</v>
      </c>
      <c r="G3" s="5"/>
      <c r="H3" s="5">
        <v>38.0</v>
      </c>
      <c r="I3" s="5"/>
      <c r="J3" s="42">
        <v>995.19</v>
      </c>
      <c r="K3" s="5"/>
      <c r="L3" s="5"/>
      <c r="M3" s="6"/>
      <c r="N3" s="5"/>
      <c r="O3" s="5"/>
      <c r="P3" s="5"/>
      <c r="Q3" s="5">
        <v>208.59</v>
      </c>
      <c r="R3" s="7">
        <f t="shared" si="1"/>
        <v>2884.24</v>
      </c>
      <c r="S3" s="8">
        <v>8985.75</v>
      </c>
      <c r="T3" s="59">
        <f t="shared" si="2"/>
        <v>0.3209793284</v>
      </c>
      <c r="U3" s="74">
        <f t="shared" si="3"/>
        <v>44957</v>
      </c>
    </row>
    <row r="4">
      <c r="A4" s="74">
        <v>44958.0</v>
      </c>
      <c r="B4" s="5">
        <v>1782.19</v>
      </c>
      <c r="C4" s="5">
        <v>66.22</v>
      </c>
      <c r="D4" s="5"/>
      <c r="E4" s="5">
        <v>180.0</v>
      </c>
      <c r="F4" s="5"/>
      <c r="G4" s="5">
        <v>340.0</v>
      </c>
      <c r="H4" s="5">
        <v>38.0</v>
      </c>
      <c r="I4" s="5"/>
      <c r="J4" s="42"/>
      <c r="K4" s="5"/>
      <c r="L4" s="5"/>
      <c r="M4" s="6"/>
      <c r="N4" s="5"/>
      <c r="O4" s="83"/>
      <c r="P4" s="5"/>
      <c r="Q4" s="6"/>
      <c r="R4" s="7">
        <f t="shared" si="1"/>
        <v>2406.41</v>
      </c>
      <c r="S4" s="8">
        <v>3982.0</v>
      </c>
      <c r="T4" s="59">
        <f t="shared" si="2"/>
        <v>0.6043219488</v>
      </c>
      <c r="U4" s="74">
        <f t="shared" si="3"/>
        <v>44958</v>
      </c>
    </row>
    <row r="5">
      <c r="A5" s="74">
        <v>44959.0</v>
      </c>
      <c r="B5" s="5">
        <v>1240.42</v>
      </c>
      <c r="C5" s="5">
        <v>164.6</v>
      </c>
      <c r="D5" s="6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6"/>
      <c r="Q5" s="6"/>
      <c r="R5" s="7">
        <f t="shared" si="1"/>
        <v>1405.02</v>
      </c>
      <c r="S5" s="8">
        <v>6103.0</v>
      </c>
      <c r="T5" s="59">
        <f t="shared" si="2"/>
        <v>0.2302179256</v>
      </c>
      <c r="U5" s="74">
        <f t="shared" si="3"/>
        <v>44959</v>
      </c>
    </row>
    <row r="6">
      <c r="A6" s="74">
        <v>44960.0</v>
      </c>
      <c r="B6" s="5">
        <v>1566.01</v>
      </c>
      <c r="C6" s="5"/>
      <c r="D6" s="5"/>
      <c r="E6" s="5"/>
      <c r="F6" s="5">
        <v>247.07</v>
      </c>
      <c r="G6" s="5">
        <v>170.0</v>
      </c>
      <c r="H6" s="5">
        <v>38.0</v>
      </c>
      <c r="I6" s="5"/>
      <c r="J6" s="5"/>
      <c r="K6" s="5"/>
      <c r="L6" s="5"/>
      <c r="M6" s="6"/>
      <c r="N6" s="5"/>
      <c r="O6" s="5"/>
      <c r="P6" s="5">
        <v>105.65</v>
      </c>
      <c r="Q6" s="5"/>
      <c r="R6" s="7">
        <f t="shared" si="1"/>
        <v>2126.73</v>
      </c>
      <c r="S6" s="8">
        <v>9375.0</v>
      </c>
      <c r="T6" s="59">
        <f t="shared" si="2"/>
        <v>0.2268512</v>
      </c>
      <c r="U6" s="74">
        <f t="shared" si="3"/>
        <v>44960</v>
      </c>
    </row>
    <row r="7">
      <c r="A7" s="74">
        <v>44961.0</v>
      </c>
      <c r="B7" s="5">
        <v>1099.39</v>
      </c>
      <c r="C7" s="5"/>
      <c r="D7" s="44">
        <v>200.0</v>
      </c>
      <c r="E7" s="5"/>
      <c r="F7" s="5">
        <v>263.04</v>
      </c>
      <c r="G7" s="5"/>
      <c r="H7" s="5">
        <v>33.0</v>
      </c>
      <c r="I7" s="5"/>
      <c r="J7" s="6"/>
      <c r="K7" s="5"/>
      <c r="L7" s="5"/>
      <c r="M7" s="44">
        <v>400.0</v>
      </c>
      <c r="N7" s="6"/>
      <c r="O7" s="6"/>
      <c r="P7" s="6"/>
      <c r="Q7" s="6"/>
      <c r="R7" s="7">
        <f t="shared" si="1"/>
        <v>1995.43</v>
      </c>
      <c r="S7" s="8">
        <v>15844.5</v>
      </c>
      <c r="T7" s="59">
        <f t="shared" si="2"/>
        <v>0.1259383382</v>
      </c>
      <c r="U7" s="74">
        <f t="shared" si="3"/>
        <v>44961</v>
      </c>
    </row>
    <row r="8">
      <c r="A8" s="74">
        <v>44962.0</v>
      </c>
      <c r="B8" s="10" t="s">
        <v>21</v>
      </c>
      <c r="C8" s="10" t="s">
        <v>21</v>
      </c>
      <c r="D8" s="10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0" t="s">
        <v>21</v>
      </c>
      <c r="K8" s="10" t="s">
        <v>21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0" t="s">
        <v>21</v>
      </c>
      <c r="R8" s="7">
        <v>0.0</v>
      </c>
      <c r="S8" s="8">
        <v>10229.4</v>
      </c>
      <c r="T8" s="59">
        <f t="shared" si="2"/>
        <v>0</v>
      </c>
      <c r="U8" s="74">
        <f t="shared" si="3"/>
        <v>44962</v>
      </c>
    </row>
    <row r="11">
      <c r="A11" s="4" t="s">
        <v>22</v>
      </c>
      <c r="B11" s="11">
        <v>13000.0</v>
      </c>
      <c r="E11" s="78"/>
      <c r="F11" s="79"/>
    </row>
    <row r="12">
      <c r="A12" s="4" t="s">
        <v>23</v>
      </c>
      <c r="B12" s="12">
        <f>SUM(B2:Q8)</f>
        <v>15479</v>
      </c>
      <c r="E12" s="56"/>
    </row>
    <row r="13">
      <c r="A13" s="4" t="s">
        <v>24</v>
      </c>
      <c r="B13" s="12">
        <f> SUM(B11-B12)</f>
        <v>-2479</v>
      </c>
    </row>
    <row r="15">
      <c r="A15" s="13" t="s">
        <v>25</v>
      </c>
      <c r="B15" s="14">
        <f>SUM(S2:S8)</f>
        <v>58719.65</v>
      </c>
    </row>
    <row r="16">
      <c r="A16" s="13" t="s">
        <v>26</v>
      </c>
      <c r="B16" s="15">
        <f>B12/B15</f>
        <v>0.2636085195</v>
      </c>
    </row>
    <row r="19">
      <c r="A19" s="16" t="s">
        <v>27</v>
      </c>
      <c r="B19" s="17"/>
      <c r="C19" s="17"/>
      <c r="D19" s="18"/>
      <c r="H19" s="60" t="s">
        <v>61</v>
      </c>
      <c r="I19" s="61"/>
      <c r="J19" s="62"/>
    </row>
    <row r="20">
      <c r="A20" s="19" t="s">
        <v>28</v>
      </c>
      <c r="B20" s="20"/>
      <c r="C20" s="20"/>
      <c r="D20" s="21"/>
      <c r="H20" s="63" t="s">
        <v>62</v>
      </c>
      <c r="I20" s="63" t="s">
        <v>63</v>
      </c>
      <c r="J20" s="63" t="s">
        <v>64</v>
      </c>
    </row>
    <row r="21">
      <c r="A21" s="22" t="s">
        <v>29</v>
      </c>
      <c r="B21" s="23" t="s">
        <v>30</v>
      </c>
      <c r="C21" s="22" t="s">
        <v>31</v>
      </c>
      <c r="D21" s="24" t="s">
        <v>30</v>
      </c>
      <c r="H21" s="64"/>
      <c r="I21" s="63"/>
      <c r="J21" s="63"/>
      <c r="K21" s="32"/>
    </row>
    <row r="22">
      <c r="A22" s="28" t="s">
        <v>108</v>
      </c>
      <c r="B22" s="72">
        <v>995.19</v>
      </c>
      <c r="C22" s="25"/>
      <c r="D22" s="27"/>
      <c r="H22" s="70"/>
      <c r="I22" s="63"/>
      <c r="J22" s="63"/>
    </row>
    <row r="23">
      <c r="A23" s="28"/>
      <c r="B23" s="72"/>
      <c r="C23" s="25"/>
      <c r="D23" s="27"/>
      <c r="H23" s="65"/>
      <c r="I23" s="65"/>
      <c r="J23" s="65"/>
    </row>
    <row r="24">
      <c r="A24" s="71"/>
      <c r="B24" s="72"/>
      <c r="C24" s="25"/>
      <c r="D24" s="27"/>
      <c r="H24" s="65"/>
      <c r="I24" s="65"/>
      <c r="J24" s="65"/>
    </row>
    <row r="25">
      <c r="A25" s="28"/>
      <c r="B25" s="26"/>
      <c r="C25" s="25"/>
      <c r="D25" s="27"/>
      <c r="H25" s="65"/>
      <c r="I25" s="65"/>
      <c r="J25" s="65"/>
    </row>
    <row r="26">
      <c r="A26" s="25"/>
      <c r="B26" s="26"/>
      <c r="C26" s="25"/>
      <c r="D26" s="27"/>
      <c r="H26" s="65"/>
      <c r="I26" s="65"/>
      <c r="J26" s="65"/>
    </row>
    <row r="27">
      <c r="A27" s="25"/>
      <c r="B27" s="26"/>
      <c r="C27" s="25"/>
      <c r="D27" s="27"/>
      <c r="H27" s="65"/>
      <c r="I27" s="65"/>
      <c r="J27" s="65"/>
    </row>
    <row r="28">
      <c r="A28" s="25"/>
      <c r="B28" s="26"/>
      <c r="C28" s="25"/>
      <c r="D28" s="27"/>
    </row>
    <row r="29">
      <c r="A29" s="25"/>
      <c r="B29" s="26"/>
      <c r="C29" s="25"/>
      <c r="D29" s="27"/>
      <c r="I29" s="66" t="s">
        <v>68</v>
      </c>
      <c r="J29" s="67"/>
    </row>
  </sheetData>
  <mergeCells count="1">
    <mergeCell ref="H19:J19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</cols>
  <sheetData>
    <row r="1">
      <c r="B1" s="2" t="s">
        <v>0</v>
      </c>
      <c r="C1" s="2" t="s">
        <v>1</v>
      </c>
      <c r="D1" s="2" t="s">
        <v>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43</v>
      </c>
      <c r="J1" s="2" t="s">
        <v>40</v>
      </c>
      <c r="K1" s="2" t="s">
        <v>49</v>
      </c>
      <c r="L1" s="2" t="s">
        <v>120</v>
      </c>
      <c r="M1" s="2" t="s">
        <v>9</v>
      </c>
      <c r="N1" s="2" t="s">
        <v>121</v>
      </c>
      <c r="O1" s="2" t="s">
        <v>10</v>
      </c>
      <c r="P1" s="2" t="s">
        <v>11</v>
      </c>
      <c r="Q1" s="2" t="s">
        <v>12</v>
      </c>
      <c r="R1" s="3" t="s">
        <v>13</v>
      </c>
      <c r="S1" s="3" t="s">
        <v>14</v>
      </c>
      <c r="T1" s="3" t="s">
        <v>15</v>
      </c>
    </row>
    <row r="2">
      <c r="A2" s="74">
        <v>44963.0</v>
      </c>
      <c r="B2" s="5">
        <v>1959.53</v>
      </c>
      <c r="C2" s="5">
        <v>225.94</v>
      </c>
      <c r="D2" s="5"/>
      <c r="E2" s="5"/>
      <c r="F2" s="5">
        <v>370.72</v>
      </c>
      <c r="G2" s="5">
        <v>454.9</v>
      </c>
      <c r="H2" s="5"/>
      <c r="I2" s="5"/>
      <c r="J2" s="72">
        <v>995.19</v>
      </c>
      <c r="K2" s="5">
        <v>180.0</v>
      </c>
      <c r="L2" s="5"/>
      <c r="M2" s="6"/>
      <c r="N2" s="5"/>
      <c r="O2" s="5"/>
      <c r="P2" s="5">
        <v>105.65</v>
      </c>
      <c r="Q2" s="6"/>
      <c r="R2" s="7">
        <f t="shared" ref="R2:R7" si="1">SUM(B2:Q2)</f>
        <v>4291.93</v>
      </c>
      <c r="S2" s="8">
        <v>4397.0</v>
      </c>
      <c r="T2" s="59">
        <f t="shared" ref="T2:T8" si="2">R2/S2</f>
        <v>0.9761041619</v>
      </c>
      <c r="U2" s="74">
        <f t="shared" ref="U2:U8" si="3">A2</f>
        <v>44963</v>
      </c>
    </row>
    <row r="3">
      <c r="A3" s="74">
        <v>44964.0</v>
      </c>
      <c r="B3" s="5">
        <v>1636.22</v>
      </c>
      <c r="C3" s="33">
        <v>312.95</v>
      </c>
      <c r="D3" s="5"/>
      <c r="E3" s="5"/>
      <c r="F3" s="5"/>
      <c r="G3" s="5"/>
      <c r="H3" s="5">
        <v>38.0</v>
      </c>
      <c r="I3" s="5"/>
      <c r="J3" s="42">
        <v>199.76</v>
      </c>
      <c r="K3" s="5"/>
      <c r="L3" s="5"/>
      <c r="M3" s="6"/>
      <c r="N3" s="5"/>
      <c r="O3" s="5"/>
      <c r="P3" s="5"/>
      <c r="Q3" s="5">
        <v>219.08</v>
      </c>
      <c r="R3" s="7">
        <f t="shared" si="1"/>
        <v>2406.01</v>
      </c>
      <c r="S3" s="8">
        <v>4109.0</v>
      </c>
      <c r="T3" s="59">
        <f t="shared" si="2"/>
        <v>0.5855463616</v>
      </c>
      <c r="U3" s="74">
        <f t="shared" si="3"/>
        <v>44964</v>
      </c>
    </row>
    <row r="4">
      <c r="A4" s="74">
        <v>44965.0</v>
      </c>
      <c r="B4" s="5">
        <v>1030.56</v>
      </c>
      <c r="C4" s="5"/>
      <c r="D4" s="5"/>
      <c r="E4" s="5">
        <v>280.0</v>
      </c>
      <c r="F4" s="5"/>
      <c r="G4" s="5"/>
      <c r="H4" s="5"/>
      <c r="I4" s="5"/>
      <c r="J4" s="42"/>
      <c r="K4" s="5"/>
      <c r="L4" s="5">
        <v>21.47</v>
      </c>
      <c r="M4" s="6"/>
      <c r="N4" s="5">
        <v>21.6</v>
      </c>
      <c r="O4" s="83"/>
      <c r="P4" s="5"/>
      <c r="Q4" s="6"/>
      <c r="R4" s="7">
        <f t="shared" si="1"/>
        <v>1353.63</v>
      </c>
      <c r="S4" s="8">
        <v>4658.0</v>
      </c>
      <c r="T4" s="59">
        <f t="shared" si="2"/>
        <v>0.2906032632</v>
      </c>
      <c r="U4" s="74">
        <f t="shared" si="3"/>
        <v>44965</v>
      </c>
    </row>
    <row r="5">
      <c r="A5" s="74">
        <v>44966.0</v>
      </c>
      <c r="B5" s="5">
        <v>579.26</v>
      </c>
      <c r="C5" s="5">
        <v>125.45</v>
      </c>
      <c r="D5" s="6"/>
      <c r="E5" s="5"/>
      <c r="F5" s="5">
        <v>266.57</v>
      </c>
      <c r="G5" s="5">
        <v>255.0</v>
      </c>
      <c r="H5" s="5">
        <v>91.2</v>
      </c>
      <c r="I5" s="5"/>
      <c r="J5" s="5"/>
      <c r="K5" s="5"/>
      <c r="L5" s="5"/>
      <c r="M5" s="5"/>
      <c r="N5" s="5"/>
      <c r="O5" s="5">
        <v>59.45</v>
      </c>
      <c r="P5" s="6"/>
      <c r="Q5" s="6"/>
      <c r="R5" s="7">
        <f t="shared" si="1"/>
        <v>1376.93</v>
      </c>
      <c r="S5" s="8">
        <v>6201.0</v>
      </c>
      <c r="T5" s="59">
        <f t="shared" si="2"/>
        <v>0.2220496694</v>
      </c>
      <c r="U5" s="74">
        <f t="shared" si="3"/>
        <v>44966</v>
      </c>
    </row>
    <row r="6">
      <c r="A6" s="74">
        <v>44967.0</v>
      </c>
      <c r="B6" s="5">
        <v>1399.46</v>
      </c>
      <c r="C6" s="5"/>
      <c r="D6" s="5"/>
      <c r="E6" s="5"/>
      <c r="F6" s="5"/>
      <c r="G6" s="5"/>
      <c r="H6" s="5"/>
      <c r="I6" s="5"/>
      <c r="J6" s="5"/>
      <c r="K6" s="5"/>
      <c r="L6" s="5"/>
      <c r="M6" s="6"/>
      <c r="N6" s="5"/>
      <c r="O6" s="5"/>
      <c r="P6" s="5"/>
      <c r="Q6" s="5"/>
      <c r="R6" s="7">
        <f t="shared" si="1"/>
        <v>1399.46</v>
      </c>
      <c r="S6" s="8">
        <v>11816.0</v>
      </c>
      <c r="T6" s="59">
        <f t="shared" si="2"/>
        <v>0.1184377116</v>
      </c>
      <c r="U6" s="74">
        <f t="shared" si="3"/>
        <v>44967</v>
      </c>
    </row>
    <row r="7">
      <c r="A7" s="74">
        <v>44968.0</v>
      </c>
      <c r="B7" s="5">
        <v>2017.41</v>
      </c>
      <c r="C7" s="5">
        <v>442.0</v>
      </c>
      <c r="D7" s="44">
        <v>200.0</v>
      </c>
      <c r="E7" s="5">
        <v>180.0</v>
      </c>
      <c r="F7" s="5">
        <v>467.48</v>
      </c>
      <c r="G7" s="5"/>
      <c r="H7" s="5">
        <v>10.2</v>
      </c>
      <c r="I7" s="5"/>
      <c r="J7" s="6"/>
      <c r="K7" s="5"/>
      <c r="L7" s="5"/>
      <c r="M7" s="44">
        <v>324.5</v>
      </c>
      <c r="N7" s="6"/>
      <c r="O7" s="6"/>
      <c r="P7" s="6"/>
      <c r="Q7" s="6"/>
      <c r="R7" s="7">
        <f t="shared" si="1"/>
        <v>3641.59</v>
      </c>
      <c r="S7" s="8">
        <v>16212.0</v>
      </c>
      <c r="T7" s="59">
        <f t="shared" si="2"/>
        <v>0.2246231187</v>
      </c>
      <c r="U7" s="74">
        <f t="shared" si="3"/>
        <v>44968</v>
      </c>
    </row>
    <row r="8">
      <c r="A8" s="74">
        <v>44969.0</v>
      </c>
      <c r="B8" s="10" t="s">
        <v>21</v>
      </c>
      <c r="C8" s="10" t="s">
        <v>21</v>
      </c>
      <c r="D8" s="10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0" t="s">
        <v>21</v>
      </c>
      <c r="K8" s="10" t="s">
        <v>21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0" t="s">
        <v>21</v>
      </c>
      <c r="R8" s="7">
        <v>0.0</v>
      </c>
      <c r="S8" s="8">
        <v>4458.6</v>
      </c>
      <c r="T8" s="59">
        <f t="shared" si="2"/>
        <v>0</v>
      </c>
      <c r="U8" s="74">
        <f t="shared" si="3"/>
        <v>44969</v>
      </c>
    </row>
    <row r="11">
      <c r="A11" s="4" t="s">
        <v>22</v>
      </c>
      <c r="B11" s="11">
        <v>13000.0</v>
      </c>
      <c r="E11" s="78"/>
      <c r="F11" s="79"/>
    </row>
    <row r="12">
      <c r="A12" s="4" t="s">
        <v>23</v>
      </c>
      <c r="B12" s="12">
        <f>SUM(B2:Q8)</f>
        <v>14469.55</v>
      </c>
      <c r="E12" s="56"/>
    </row>
    <row r="13">
      <c r="A13" s="4" t="s">
        <v>24</v>
      </c>
      <c r="B13" s="12">
        <f> SUM(B11-B12)</f>
        <v>-1469.55</v>
      </c>
    </row>
    <row r="15">
      <c r="A15" s="13" t="s">
        <v>25</v>
      </c>
      <c r="B15" s="14">
        <f>SUM(S2:S8)</f>
        <v>51851.6</v>
      </c>
    </row>
    <row r="16">
      <c r="A16" s="13" t="s">
        <v>26</v>
      </c>
      <c r="B16" s="15">
        <f>B12/B15</f>
        <v>0.2790569626</v>
      </c>
    </row>
    <row r="19">
      <c r="A19" s="16" t="s">
        <v>27</v>
      </c>
      <c r="B19" s="17"/>
      <c r="C19" s="17"/>
      <c r="D19" s="18"/>
      <c r="H19" s="84"/>
    </row>
    <row r="20">
      <c r="A20" s="19" t="s">
        <v>28</v>
      </c>
      <c r="B20" s="20"/>
      <c r="C20" s="20"/>
      <c r="D20" s="21"/>
      <c r="H20" s="85"/>
      <c r="I20" s="85"/>
      <c r="J20" s="85"/>
    </row>
    <row r="21">
      <c r="A21" s="22" t="s">
        <v>29</v>
      </c>
      <c r="B21" s="23" t="s">
        <v>30</v>
      </c>
      <c r="C21" s="22" t="s">
        <v>31</v>
      </c>
      <c r="D21" s="24" t="s">
        <v>30</v>
      </c>
      <c r="H21" s="86"/>
      <c r="I21" s="85"/>
      <c r="J21" s="85"/>
    </row>
    <row r="22">
      <c r="A22" s="28" t="s">
        <v>41</v>
      </c>
      <c r="B22" s="72">
        <v>1005.89</v>
      </c>
      <c r="C22" s="25"/>
      <c r="D22" s="27"/>
      <c r="H22" s="87"/>
      <c r="I22" s="85"/>
      <c r="J22" s="85"/>
    </row>
    <row r="23">
      <c r="A23" s="28" t="s">
        <v>122</v>
      </c>
      <c r="B23" s="72">
        <v>1381.38</v>
      </c>
      <c r="C23" s="25"/>
      <c r="D23" s="27"/>
      <c r="H23" s="88"/>
      <c r="I23" s="88"/>
      <c r="J23" s="88"/>
    </row>
    <row r="24">
      <c r="A24" s="71" t="s">
        <v>57</v>
      </c>
      <c r="B24" s="72">
        <v>117.78</v>
      </c>
      <c r="C24" s="25"/>
      <c r="D24" s="27"/>
      <c r="H24" s="88"/>
      <c r="I24" s="88"/>
      <c r="J24" s="88"/>
    </row>
    <row r="25">
      <c r="A25" s="28" t="s">
        <v>51</v>
      </c>
      <c r="B25" s="41">
        <v>486.72</v>
      </c>
      <c r="C25" s="25"/>
      <c r="D25" s="27"/>
      <c r="H25" s="88"/>
      <c r="I25" s="88"/>
      <c r="J25" s="88"/>
    </row>
    <row r="26">
      <c r="A26" s="28" t="s">
        <v>123</v>
      </c>
      <c r="B26" s="41">
        <v>281.0</v>
      </c>
      <c r="C26" s="25"/>
      <c r="D26" s="27"/>
      <c r="H26" s="88"/>
      <c r="I26" s="88"/>
      <c r="J26" s="88"/>
    </row>
    <row r="27">
      <c r="A27" s="25"/>
      <c r="B27" s="26"/>
      <c r="C27" s="25"/>
      <c r="D27" s="27"/>
      <c r="H27" s="88"/>
      <c r="I27" s="88"/>
      <c r="J27" s="88"/>
    </row>
    <row r="28">
      <c r="A28" s="25"/>
      <c r="B28" s="26"/>
      <c r="C28" s="25"/>
      <c r="D28" s="27"/>
    </row>
    <row r="29">
      <c r="A29" s="25"/>
      <c r="B29" s="26"/>
      <c r="C29" s="25"/>
      <c r="D29" s="27"/>
      <c r="I29" s="89"/>
      <c r="J29" s="90"/>
    </row>
  </sheetData>
  <mergeCells count="1">
    <mergeCell ref="H19:J19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2" max="22" width="19.88"/>
  </cols>
  <sheetData>
    <row r="1">
      <c r="B1" s="2" t="s">
        <v>0</v>
      </c>
      <c r="C1" s="2" t="s">
        <v>1</v>
      </c>
      <c r="D1" s="2" t="s">
        <v>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43</v>
      </c>
      <c r="J1" s="2" t="s">
        <v>40</v>
      </c>
      <c r="K1" s="2" t="s">
        <v>49</v>
      </c>
      <c r="L1" s="2" t="s">
        <v>42</v>
      </c>
      <c r="M1" s="2" t="s">
        <v>121</v>
      </c>
      <c r="N1" s="2" t="s">
        <v>9</v>
      </c>
      <c r="O1" s="2" t="s">
        <v>37</v>
      </c>
      <c r="P1" s="2" t="s">
        <v>10</v>
      </c>
      <c r="Q1" s="2" t="s">
        <v>11</v>
      </c>
      <c r="R1" s="2" t="s">
        <v>12</v>
      </c>
      <c r="S1" s="3" t="s">
        <v>13</v>
      </c>
      <c r="T1" s="3" t="s">
        <v>14</v>
      </c>
      <c r="U1" s="3" t="s">
        <v>15</v>
      </c>
    </row>
    <row r="2">
      <c r="A2" s="74">
        <v>44970.0</v>
      </c>
      <c r="B2" s="5">
        <v>2931.32</v>
      </c>
      <c r="C2" s="5">
        <v>281.0</v>
      </c>
      <c r="D2" s="5"/>
      <c r="E2" s="5"/>
      <c r="F2" s="5"/>
      <c r="G2" s="5">
        <v>759.9</v>
      </c>
      <c r="H2" s="5"/>
      <c r="I2" s="5"/>
      <c r="J2" s="72">
        <v>1036.11</v>
      </c>
      <c r="K2" s="5">
        <v>180.0</v>
      </c>
      <c r="L2" s="5"/>
      <c r="M2" s="6"/>
      <c r="N2" s="6"/>
      <c r="O2" s="5"/>
      <c r="P2" s="5"/>
      <c r="Q2" s="5">
        <v>105.65</v>
      </c>
      <c r="R2" s="6"/>
      <c r="S2" s="7">
        <f t="shared" ref="S2:S7" si="1">SUM(B2:R2)</f>
        <v>5293.98</v>
      </c>
      <c r="T2" s="8">
        <v>7067.0</v>
      </c>
      <c r="U2" s="59">
        <f t="shared" ref="U2:U8" si="2">S2/T2</f>
        <v>0.7491127777</v>
      </c>
      <c r="V2" s="74">
        <f t="shared" ref="V2:V8" si="3">A2</f>
        <v>44970</v>
      </c>
    </row>
    <row r="3">
      <c r="A3" s="74">
        <v>44971.0</v>
      </c>
      <c r="B3" s="5">
        <v>1737.53</v>
      </c>
      <c r="C3" s="33">
        <v>677.82</v>
      </c>
      <c r="D3" s="5"/>
      <c r="E3" s="5"/>
      <c r="F3" s="5">
        <v>349.39</v>
      </c>
      <c r="G3" s="5"/>
      <c r="H3" s="5"/>
      <c r="I3" s="5"/>
      <c r="J3" s="42"/>
      <c r="K3" s="5"/>
      <c r="L3" s="5"/>
      <c r="M3" s="6"/>
      <c r="N3" s="6"/>
      <c r="O3" s="44">
        <v>424.0</v>
      </c>
      <c r="P3" s="5"/>
      <c r="Q3" s="5"/>
      <c r="R3" s="5">
        <v>219.08</v>
      </c>
      <c r="S3" s="7">
        <f t="shared" si="1"/>
        <v>3407.82</v>
      </c>
      <c r="T3" s="8">
        <v>18077.47</v>
      </c>
      <c r="U3" s="59">
        <f t="shared" si="2"/>
        <v>0.1885119986</v>
      </c>
      <c r="V3" s="74">
        <f t="shared" si="3"/>
        <v>44971</v>
      </c>
    </row>
    <row r="4">
      <c r="A4" s="74">
        <v>44972.0</v>
      </c>
      <c r="B4" s="5">
        <v>1338.85</v>
      </c>
      <c r="C4" s="5"/>
      <c r="D4" s="5"/>
      <c r="E4" s="5">
        <v>280.0</v>
      </c>
      <c r="F4" s="5">
        <v>95.0</v>
      </c>
      <c r="G4" s="5"/>
      <c r="H4" s="5">
        <v>38.0</v>
      </c>
      <c r="I4" s="5"/>
      <c r="J4" s="42"/>
      <c r="K4" s="5"/>
      <c r="L4" s="5"/>
      <c r="M4" s="5">
        <v>21.6</v>
      </c>
      <c r="N4" s="6"/>
      <c r="O4" s="5"/>
      <c r="P4" s="83"/>
      <c r="Q4" s="5"/>
      <c r="R4" s="6"/>
      <c r="S4" s="7">
        <f t="shared" si="1"/>
        <v>1773.45</v>
      </c>
      <c r="T4" s="8">
        <v>8616.4</v>
      </c>
      <c r="U4" s="59">
        <f t="shared" si="2"/>
        <v>0.2058226173</v>
      </c>
      <c r="V4" s="74">
        <f t="shared" si="3"/>
        <v>44972</v>
      </c>
    </row>
    <row r="5">
      <c r="A5" s="74">
        <v>44973.0</v>
      </c>
      <c r="B5" s="5">
        <v>1263.64</v>
      </c>
      <c r="C5" s="5">
        <v>132.05</v>
      </c>
      <c r="D5" s="6"/>
      <c r="E5" s="5"/>
      <c r="F5" s="5">
        <v>140.08</v>
      </c>
      <c r="G5" s="5"/>
      <c r="H5" s="5"/>
      <c r="I5" s="5"/>
      <c r="J5" s="5">
        <v>413.31</v>
      </c>
      <c r="K5" s="5"/>
      <c r="L5" s="5"/>
      <c r="M5" s="5"/>
      <c r="N5" s="5"/>
      <c r="O5" s="5"/>
      <c r="P5" s="5"/>
      <c r="Q5" s="6"/>
      <c r="R5" s="6"/>
      <c r="S5" s="7">
        <f t="shared" si="1"/>
        <v>1949.08</v>
      </c>
      <c r="T5" s="8">
        <v>7706.47</v>
      </c>
      <c r="U5" s="59">
        <f t="shared" si="2"/>
        <v>0.2529147586</v>
      </c>
      <c r="V5" s="74">
        <f t="shared" si="3"/>
        <v>44973</v>
      </c>
    </row>
    <row r="6">
      <c r="A6" s="74">
        <v>44974.0</v>
      </c>
      <c r="B6" s="5">
        <v>1097.03</v>
      </c>
      <c r="C6" s="5"/>
      <c r="D6" s="5"/>
      <c r="E6" s="5"/>
      <c r="F6" s="5"/>
      <c r="G6" s="5"/>
      <c r="H6" s="5">
        <v>114.0</v>
      </c>
      <c r="I6" s="5"/>
      <c r="J6" s="5"/>
      <c r="K6" s="5"/>
      <c r="L6" s="5"/>
      <c r="M6" s="5">
        <v>21.6</v>
      </c>
      <c r="N6" s="6"/>
      <c r="O6" s="5"/>
      <c r="P6" s="5"/>
      <c r="Q6" s="5">
        <v>105.65</v>
      </c>
      <c r="R6" s="5"/>
      <c r="S6" s="7">
        <f t="shared" si="1"/>
        <v>1338.28</v>
      </c>
      <c r="T6" s="8">
        <v>12478.0</v>
      </c>
      <c r="U6" s="59">
        <f t="shared" si="2"/>
        <v>0.107251162</v>
      </c>
      <c r="V6" s="74">
        <f t="shared" si="3"/>
        <v>44974</v>
      </c>
    </row>
    <row r="7">
      <c r="A7" s="74">
        <v>44975.0</v>
      </c>
      <c r="B7" s="5">
        <v>2361.77</v>
      </c>
      <c r="C7" s="5">
        <v>219.34</v>
      </c>
      <c r="D7" s="44">
        <v>200.0</v>
      </c>
      <c r="E7" s="5"/>
      <c r="F7" s="5">
        <v>190.0</v>
      </c>
      <c r="G7" s="5"/>
      <c r="H7" s="5">
        <v>33.0</v>
      </c>
      <c r="I7" s="5"/>
      <c r="J7" s="6"/>
      <c r="K7" s="5"/>
      <c r="L7" s="5"/>
      <c r="M7" s="93"/>
      <c r="N7" s="44">
        <v>129.5</v>
      </c>
      <c r="O7" s="6"/>
      <c r="P7" s="6"/>
      <c r="Q7" s="6"/>
      <c r="R7" s="5">
        <v>36.27</v>
      </c>
      <c r="S7" s="7">
        <f t="shared" si="1"/>
        <v>3169.88</v>
      </c>
      <c r="T7" s="8">
        <v>15467.1</v>
      </c>
      <c r="U7" s="59">
        <f t="shared" si="2"/>
        <v>0.204943396</v>
      </c>
      <c r="V7" s="74">
        <f t="shared" si="3"/>
        <v>44975</v>
      </c>
    </row>
    <row r="8">
      <c r="A8" s="74">
        <v>44976.0</v>
      </c>
      <c r="B8" s="10" t="s">
        <v>21</v>
      </c>
      <c r="C8" s="10" t="s">
        <v>21</v>
      </c>
      <c r="D8" s="10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0" t="s">
        <v>21</v>
      </c>
      <c r="K8" s="10" t="s">
        <v>21</v>
      </c>
      <c r="L8" s="10" t="s">
        <v>21</v>
      </c>
      <c r="M8" s="10"/>
      <c r="N8" s="10" t="s">
        <v>21</v>
      </c>
      <c r="O8" s="10" t="s">
        <v>21</v>
      </c>
      <c r="P8" s="10" t="s">
        <v>21</v>
      </c>
      <c r="Q8" s="10" t="s">
        <v>21</v>
      </c>
      <c r="R8" s="10" t="s">
        <v>21</v>
      </c>
      <c r="S8" s="7">
        <v>0.0</v>
      </c>
      <c r="T8" s="8">
        <v>9645.8</v>
      </c>
      <c r="U8" s="59">
        <f t="shared" si="2"/>
        <v>0</v>
      </c>
      <c r="V8" s="74">
        <f t="shared" si="3"/>
        <v>44976</v>
      </c>
    </row>
    <row r="11">
      <c r="A11" s="4" t="s">
        <v>22</v>
      </c>
      <c r="B11" s="11">
        <v>13000.0</v>
      </c>
      <c r="E11" s="78"/>
      <c r="F11" s="79"/>
    </row>
    <row r="12">
      <c r="A12" s="4" t="s">
        <v>23</v>
      </c>
      <c r="B12" s="12">
        <f>SUM(B2:R8)</f>
        <v>16932.49</v>
      </c>
      <c r="E12" s="56"/>
    </row>
    <row r="13">
      <c r="A13" s="4" t="s">
        <v>24</v>
      </c>
      <c r="B13" s="12">
        <f> SUM(B11-B12)</f>
        <v>-3932.49</v>
      </c>
    </row>
    <row r="15">
      <c r="A15" s="13" t="s">
        <v>25</v>
      </c>
      <c r="B15" s="14">
        <f>SUM(T2:T8)</f>
        <v>79058.24</v>
      </c>
    </row>
    <row r="16">
      <c r="A16" s="13" t="s">
        <v>26</v>
      </c>
      <c r="B16" s="15">
        <f>B12/B15</f>
        <v>0.2141774216</v>
      </c>
    </row>
    <row r="19">
      <c r="A19" s="16" t="s">
        <v>27</v>
      </c>
      <c r="B19" s="17"/>
      <c r="C19" s="17"/>
      <c r="D19" s="18"/>
      <c r="H19" s="84"/>
    </row>
    <row r="20">
      <c r="A20" s="19" t="s">
        <v>28</v>
      </c>
      <c r="B20" s="20"/>
      <c r="C20" s="20"/>
      <c r="D20" s="21"/>
      <c r="H20" s="85"/>
      <c r="I20" s="85"/>
      <c r="J20" s="85"/>
    </row>
    <row r="21">
      <c r="A21" s="22" t="s">
        <v>29</v>
      </c>
      <c r="B21" s="23" t="s">
        <v>30</v>
      </c>
      <c r="C21" s="22" t="s">
        <v>31</v>
      </c>
      <c r="D21" s="24" t="s">
        <v>30</v>
      </c>
      <c r="H21" s="86"/>
      <c r="I21" s="85"/>
      <c r="J21" s="85"/>
    </row>
    <row r="22">
      <c r="A22" s="28" t="s">
        <v>124</v>
      </c>
      <c r="B22" s="72">
        <v>345.25</v>
      </c>
      <c r="C22" s="25"/>
      <c r="D22" s="27"/>
      <c r="H22" s="87"/>
      <c r="I22" s="85"/>
      <c r="J22" s="85"/>
    </row>
    <row r="23">
      <c r="A23" s="28"/>
      <c r="B23" s="72"/>
      <c r="C23" s="25"/>
      <c r="D23" s="27"/>
      <c r="H23" s="88"/>
      <c r="I23" s="88"/>
      <c r="J23" s="88"/>
    </row>
    <row r="24">
      <c r="A24" s="71"/>
      <c r="B24" s="72"/>
      <c r="C24" s="25"/>
      <c r="D24" s="27"/>
      <c r="H24" s="88"/>
      <c r="I24" s="88"/>
      <c r="J24" s="88"/>
    </row>
    <row r="25">
      <c r="A25" s="28"/>
      <c r="B25" s="26"/>
      <c r="C25" s="25"/>
      <c r="D25" s="27"/>
      <c r="H25" s="88"/>
      <c r="I25" s="88"/>
      <c r="J25" s="88"/>
    </row>
    <row r="26">
      <c r="A26" s="25"/>
      <c r="B26" s="26"/>
      <c r="C26" s="25"/>
      <c r="D26" s="27"/>
      <c r="H26" s="88"/>
      <c r="I26" s="88"/>
      <c r="J26" s="88"/>
    </row>
    <row r="27">
      <c r="A27" s="25"/>
      <c r="B27" s="26"/>
      <c r="C27" s="25"/>
      <c r="D27" s="27"/>
      <c r="H27" s="88"/>
      <c r="I27" s="88"/>
      <c r="J27" s="88"/>
    </row>
    <row r="28">
      <c r="A28" s="25"/>
      <c r="B28" s="26"/>
      <c r="C28" s="25"/>
      <c r="D28" s="27"/>
    </row>
    <row r="29">
      <c r="A29" s="25"/>
      <c r="B29" s="26"/>
      <c r="C29" s="25"/>
      <c r="D29" s="27"/>
      <c r="I29" s="89"/>
      <c r="J29" s="90"/>
    </row>
  </sheetData>
  <mergeCells count="1">
    <mergeCell ref="H19:J19"/>
  </mergeCell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2" max="22" width="20.88"/>
  </cols>
  <sheetData>
    <row r="1">
      <c r="B1" s="2" t="s">
        <v>0</v>
      </c>
      <c r="C1" s="2" t="s">
        <v>1</v>
      </c>
      <c r="D1" s="2" t="s">
        <v>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43</v>
      </c>
      <c r="J1" s="2" t="s">
        <v>40</v>
      </c>
      <c r="K1" s="2" t="s">
        <v>49</v>
      </c>
      <c r="L1" s="2" t="s">
        <v>42</v>
      </c>
      <c r="M1" s="2" t="s">
        <v>121</v>
      </c>
      <c r="N1" s="2" t="s">
        <v>9</v>
      </c>
      <c r="O1" s="2" t="s">
        <v>37</v>
      </c>
      <c r="P1" s="2" t="s">
        <v>10</v>
      </c>
      <c r="Q1" s="2" t="s">
        <v>11</v>
      </c>
      <c r="R1" s="2" t="s">
        <v>12</v>
      </c>
      <c r="S1" s="3" t="s">
        <v>13</v>
      </c>
      <c r="T1" s="3" t="s">
        <v>14</v>
      </c>
      <c r="U1" s="3" t="s">
        <v>15</v>
      </c>
    </row>
    <row r="2">
      <c r="A2" s="74">
        <v>44977.0</v>
      </c>
      <c r="B2" s="5">
        <v>1991.71</v>
      </c>
      <c r="C2" s="5">
        <v>724.7</v>
      </c>
      <c r="D2" s="5"/>
      <c r="E2" s="5"/>
      <c r="F2" s="5">
        <v>265.52</v>
      </c>
      <c r="G2" s="5"/>
      <c r="H2" s="5"/>
      <c r="I2" s="5"/>
      <c r="J2" s="72">
        <v>345.25</v>
      </c>
      <c r="K2" s="5">
        <v>180.0</v>
      </c>
      <c r="L2" s="5"/>
      <c r="M2" s="6"/>
      <c r="N2" s="6"/>
      <c r="O2" s="5"/>
      <c r="P2" s="5"/>
      <c r="Q2" s="5">
        <v>105.65</v>
      </c>
      <c r="R2" s="6"/>
      <c r="S2" s="7">
        <f t="shared" ref="S2:S7" si="1">SUM(B2:R2)</f>
        <v>3612.83</v>
      </c>
      <c r="T2" s="8">
        <v>2400.8</v>
      </c>
      <c r="U2" s="59">
        <f t="shared" ref="U2:U8" si="2">S2/T2</f>
        <v>1.504844219</v>
      </c>
      <c r="V2" s="74">
        <f t="shared" ref="V2:V8" si="3">A2</f>
        <v>44977</v>
      </c>
    </row>
    <row r="3">
      <c r="A3" s="74">
        <v>44978.0</v>
      </c>
      <c r="B3" s="5">
        <v>867.16</v>
      </c>
      <c r="C3" s="33">
        <v>274.1</v>
      </c>
      <c r="D3" s="5"/>
      <c r="E3" s="5"/>
      <c r="F3" s="5"/>
      <c r="G3" s="5"/>
      <c r="H3" s="5"/>
      <c r="I3" s="5"/>
      <c r="J3" s="42">
        <v>923.06</v>
      </c>
      <c r="K3" s="5"/>
      <c r="L3" s="5"/>
      <c r="M3" s="6"/>
      <c r="N3" s="6"/>
      <c r="O3" s="93"/>
      <c r="P3" s="5"/>
      <c r="Q3" s="5"/>
      <c r="R3" s="5">
        <v>179.96</v>
      </c>
      <c r="S3" s="7">
        <f t="shared" si="1"/>
        <v>2244.28</v>
      </c>
      <c r="T3" s="8">
        <v>5443.0</v>
      </c>
      <c r="U3" s="59">
        <f t="shared" si="2"/>
        <v>0.412324086</v>
      </c>
      <c r="V3" s="74">
        <f t="shared" si="3"/>
        <v>44978</v>
      </c>
    </row>
    <row r="4">
      <c r="A4" s="74">
        <v>44979.0</v>
      </c>
      <c r="B4" s="5">
        <v>1552.82</v>
      </c>
      <c r="C4" s="5">
        <v>589.75</v>
      </c>
      <c r="D4" s="5"/>
      <c r="E4" s="93">
        <v>480.0</v>
      </c>
      <c r="F4" s="5">
        <v>581.08</v>
      </c>
      <c r="G4" s="5"/>
      <c r="H4" s="5">
        <v>38.0</v>
      </c>
      <c r="I4" s="5"/>
      <c r="J4" s="42"/>
      <c r="K4" s="5"/>
      <c r="L4" s="5"/>
      <c r="M4" s="5">
        <v>21.6</v>
      </c>
      <c r="N4" s="6"/>
      <c r="O4" s="5"/>
      <c r="P4" s="83">
        <v>39.0</v>
      </c>
      <c r="Q4" s="5"/>
      <c r="R4" s="6"/>
      <c r="S4" s="7">
        <f t="shared" si="1"/>
        <v>3302.25</v>
      </c>
      <c r="T4" s="8">
        <v>6826.0</v>
      </c>
      <c r="U4" s="59">
        <f t="shared" si="2"/>
        <v>0.483775271</v>
      </c>
      <c r="V4" s="74">
        <f t="shared" si="3"/>
        <v>44979</v>
      </c>
    </row>
    <row r="5">
      <c r="A5" s="74">
        <v>44980.0</v>
      </c>
      <c r="B5" s="5">
        <v>1450.0</v>
      </c>
      <c r="C5" s="5">
        <v>175.63</v>
      </c>
      <c r="D5" s="6"/>
      <c r="E5" s="5"/>
      <c r="F5" s="5"/>
      <c r="G5" s="5"/>
      <c r="H5" s="5">
        <v>114.0</v>
      </c>
      <c r="I5" s="5"/>
      <c r="J5" s="5"/>
      <c r="K5" s="5"/>
      <c r="L5" s="5"/>
      <c r="M5" s="5">
        <v>21.6</v>
      </c>
      <c r="N5" s="5"/>
      <c r="O5" s="5"/>
      <c r="P5" s="5">
        <v>19.0</v>
      </c>
      <c r="Q5" s="6"/>
      <c r="R5" s="6"/>
      <c r="S5" s="7">
        <f t="shared" si="1"/>
        <v>1780.23</v>
      </c>
      <c r="T5" s="8">
        <v>7563.2</v>
      </c>
      <c r="U5" s="59">
        <f t="shared" si="2"/>
        <v>0.2353805268</v>
      </c>
      <c r="V5" s="74">
        <f t="shared" si="3"/>
        <v>44980</v>
      </c>
    </row>
    <row r="6">
      <c r="A6" s="74">
        <v>44981.0</v>
      </c>
      <c r="B6" s="5">
        <v>1381.36</v>
      </c>
      <c r="C6" s="5">
        <v>58.0</v>
      </c>
      <c r="D6" s="5"/>
      <c r="E6" s="5"/>
      <c r="F6" s="5"/>
      <c r="G6" s="5">
        <v>474.9</v>
      </c>
      <c r="H6" s="5">
        <v>38.0</v>
      </c>
      <c r="I6" s="5"/>
      <c r="J6" s="5"/>
      <c r="K6" s="5"/>
      <c r="L6" s="5"/>
      <c r="M6" s="5">
        <v>21.6</v>
      </c>
      <c r="N6" s="6"/>
      <c r="O6" s="5"/>
      <c r="P6" s="5"/>
      <c r="Q6" s="5">
        <v>105.65</v>
      </c>
      <c r="R6" s="5"/>
      <c r="S6" s="7">
        <f t="shared" si="1"/>
        <v>2079.51</v>
      </c>
      <c r="T6" s="8">
        <v>11291.8</v>
      </c>
      <c r="U6" s="59">
        <f t="shared" si="2"/>
        <v>0.1841610726</v>
      </c>
      <c r="V6" s="74">
        <f t="shared" si="3"/>
        <v>44981</v>
      </c>
    </row>
    <row r="7">
      <c r="A7" s="74">
        <v>44982.0</v>
      </c>
      <c r="B7" s="5">
        <v>1414.91</v>
      </c>
      <c r="C7" s="5">
        <v>161.0</v>
      </c>
      <c r="D7" s="44">
        <v>200.0</v>
      </c>
      <c r="E7" s="5"/>
      <c r="F7" s="5">
        <v>152.35</v>
      </c>
      <c r="G7" s="5"/>
      <c r="H7" s="5"/>
      <c r="I7" s="5"/>
      <c r="J7" s="6"/>
      <c r="K7" s="5"/>
      <c r="L7" s="5"/>
      <c r="M7" s="93"/>
      <c r="N7" s="44">
        <v>85.0</v>
      </c>
      <c r="O7" s="6"/>
      <c r="P7" s="6"/>
      <c r="Q7" s="6"/>
      <c r="R7" s="5"/>
      <c r="S7" s="7">
        <f t="shared" si="1"/>
        <v>2013.26</v>
      </c>
      <c r="T7" s="8">
        <v>16064.0</v>
      </c>
      <c r="U7" s="59">
        <f t="shared" si="2"/>
        <v>0.1253274402</v>
      </c>
      <c r="V7" s="74">
        <f t="shared" si="3"/>
        <v>44982</v>
      </c>
    </row>
    <row r="8">
      <c r="A8" s="74">
        <v>44983.0</v>
      </c>
      <c r="B8" s="10" t="s">
        <v>21</v>
      </c>
      <c r="C8" s="10" t="s">
        <v>21</v>
      </c>
      <c r="D8" s="10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0" t="s">
        <v>21</v>
      </c>
      <c r="K8" s="10" t="s">
        <v>21</v>
      </c>
      <c r="L8" s="10" t="s">
        <v>21</v>
      </c>
      <c r="M8" s="10"/>
      <c r="N8" s="10" t="s">
        <v>21</v>
      </c>
      <c r="O8" s="10" t="s">
        <v>21</v>
      </c>
      <c r="P8" s="10" t="s">
        <v>21</v>
      </c>
      <c r="Q8" s="10" t="s">
        <v>21</v>
      </c>
      <c r="R8" s="10" t="s">
        <v>21</v>
      </c>
      <c r="S8" s="7">
        <v>0.0</v>
      </c>
      <c r="T8" s="8">
        <v>8296.6</v>
      </c>
      <c r="U8" s="59">
        <f t="shared" si="2"/>
        <v>0</v>
      </c>
      <c r="V8" s="74">
        <f t="shared" si="3"/>
        <v>44983</v>
      </c>
    </row>
    <row r="11">
      <c r="A11" s="4" t="s">
        <v>22</v>
      </c>
      <c r="B11" s="11">
        <v>13000.0</v>
      </c>
      <c r="E11" s="78"/>
      <c r="F11" s="79"/>
    </row>
    <row r="12">
      <c r="A12" s="4" t="s">
        <v>23</v>
      </c>
      <c r="B12" s="12">
        <f>SUM(B2:R8)</f>
        <v>15032.36</v>
      </c>
      <c r="E12" s="56"/>
    </row>
    <row r="13">
      <c r="A13" s="4" t="s">
        <v>24</v>
      </c>
      <c r="B13" s="12">
        <f> SUM(B11-B12)</f>
        <v>-2032.36</v>
      </c>
    </row>
    <row r="15">
      <c r="A15" s="13" t="s">
        <v>25</v>
      </c>
      <c r="B15" s="14">
        <f>SUM(T2:T8)</f>
        <v>57885.4</v>
      </c>
    </row>
    <row r="16">
      <c r="A16" s="13" t="s">
        <v>26</v>
      </c>
      <c r="B16" s="15">
        <f>B12/B15</f>
        <v>0.2596917357</v>
      </c>
    </row>
    <row r="19">
      <c r="A19" s="16" t="s">
        <v>27</v>
      </c>
      <c r="B19" s="17"/>
      <c r="C19" s="17"/>
      <c r="D19" s="18"/>
      <c r="H19" s="84"/>
    </row>
    <row r="20">
      <c r="A20" s="19" t="s">
        <v>28</v>
      </c>
      <c r="B20" s="20"/>
      <c r="C20" s="20"/>
      <c r="D20" s="21"/>
      <c r="H20" s="85"/>
      <c r="I20" s="85"/>
      <c r="J20" s="85"/>
    </row>
    <row r="21">
      <c r="A21" s="22" t="s">
        <v>29</v>
      </c>
      <c r="B21" s="23" t="s">
        <v>30</v>
      </c>
      <c r="C21" s="22" t="s">
        <v>31</v>
      </c>
      <c r="D21" s="24" t="s">
        <v>30</v>
      </c>
      <c r="H21" s="86"/>
      <c r="I21" s="85"/>
      <c r="J21" s="85"/>
    </row>
    <row r="22">
      <c r="A22" s="28" t="s">
        <v>125</v>
      </c>
      <c r="B22" s="72">
        <v>923.06</v>
      </c>
      <c r="C22" s="25"/>
      <c r="D22" s="27"/>
      <c r="H22" s="87"/>
      <c r="I22" s="85"/>
      <c r="J22" s="85"/>
    </row>
    <row r="23">
      <c r="A23" s="28" t="s">
        <v>1</v>
      </c>
      <c r="B23" s="72">
        <v>484.18</v>
      </c>
      <c r="C23" s="25"/>
      <c r="D23" s="27"/>
      <c r="H23" s="88"/>
      <c r="I23" s="88"/>
      <c r="J23" s="88"/>
    </row>
    <row r="24">
      <c r="A24" s="71"/>
      <c r="B24" s="72"/>
      <c r="C24" s="25"/>
      <c r="D24" s="27"/>
      <c r="H24" s="88"/>
      <c r="I24" s="88"/>
      <c r="J24" s="88"/>
    </row>
    <row r="25">
      <c r="A25" s="28"/>
      <c r="B25" s="26"/>
      <c r="C25" s="25"/>
      <c r="D25" s="27"/>
      <c r="H25" s="88"/>
      <c r="I25" s="88"/>
      <c r="J25" s="88"/>
    </row>
    <row r="26">
      <c r="A26" s="25"/>
      <c r="B26" s="26"/>
      <c r="C26" s="25"/>
      <c r="D26" s="27"/>
      <c r="H26" s="88"/>
      <c r="I26" s="88"/>
      <c r="J26" s="88"/>
    </row>
    <row r="27">
      <c r="A27" s="25"/>
      <c r="B27" s="26"/>
      <c r="C27" s="25"/>
      <c r="D27" s="27"/>
      <c r="H27" s="88"/>
      <c r="I27" s="88"/>
      <c r="J27" s="88"/>
    </row>
    <row r="28">
      <c r="A28" s="25"/>
      <c r="B28" s="26"/>
      <c r="C28" s="25"/>
      <c r="D28" s="27"/>
    </row>
    <row r="29">
      <c r="A29" s="25"/>
      <c r="B29" s="26"/>
      <c r="C29" s="25"/>
      <c r="D29" s="27"/>
      <c r="I29" s="89"/>
      <c r="J29" s="90"/>
    </row>
  </sheetData>
  <mergeCells count="1">
    <mergeCell ref="H19:J19"/>
  </mergeCell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2" max="22" width="26.25"/>
  </cols>
  <sheetData>
    <row r="1">
      <c r="B1" s="2" t="s">
        <v>0</v>
      </c>
      <c r="C1" s="2" t="s">
        <v>1</v>
      </c>
      <c r="D1" s="2" t="s">
        <v>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43</v>
      </c>
      <c r="J1" s="2" t="s">
        <v>40</v>
      </c>
      <c r="K1" s="2" t="s">
        <v>49</v>
      </c>
      <c r="L1" s="2" t="s">
        <v>42</v>
      </c>
      <c r="M1" s="2" t="s">
        <v>121</v>
      </c>
      <c r="N1" s="2" t="s">
        <v>9</v>
      </c>
      <c r="O1" s="2" t="s">
        <v>37</v>
      </c>
      <c r="P1" s="2" t="s">
        <v>10</v>
      </c>
      <c r="Q1" s="2" t="s">
        <v>11</v>
      </c>
      <c r="R1" s="2" t="s">
        <v>12</v>
      </c>
      <c r="S1" s="3" t="s">
        <v>13</v>
      </c>
      <c r="T1" s="3" t="s">
        <v>14</v>
      </c>
      <c r="U1" s="3" t="s">
        <v>15</v>
      </c>
    </row>
    <row r="2">
      <c r="A2" s="74">
        <v>44984.0</v>
      </c>
      <c r="B2" s="5">
        <v>2240.67</v>
      </c>
      <c r="C2" s="5">
        <v>554.72</v>
      </c>
      <c r="D2" s="5"/>
      <c r="E2" s="5"/>
      <c r="F2" s="5">
        <v>445.17</v>
      </c>
      <c r="G2" s="5"/>
      <c r="H2" s="5"/>
      <c r="I2" s="5"/>
      <c r="J2" s="72">
        <v>923.06</v>
      </c>
      <c r="K2" s="5">
        <v>180.0</v>
      </c>
      <c r="L2" s="5"/>
      <c r="M2" s="6"/>
      <c r="N2" s="6"/>
      <c r="O2" s="5"/>
      <c r="P2" s="5"/>
      <c r="Q2" s="5">
        <v>105.65</v>
      </c>
      <c r="R2" s="6"/>
      <c r="S2" s="7">
        <f t="shared" ref="S2:S7" si="1">SUM(B2:R2)</f>
        <v>4449.27</v>
      </c>
      <c r="T2" s="8">
        <v>9503.0</v>
      </c>
      <c r="U2" s="59">
        <f t="shared" ref="U2:U8" si="2">S2/T2</f>
        <v>0.468196359</v>
      </c>
      <c r="V2" s="74">
        <f t="shared" ref="V2:V8" si="3">A2</f>
        <v>44984</v>
      </c>
    </row>
    <row r="3">
      <c r="A3" s="74">
        <v>44985.0</v>
      </c>
      <c r="B3" s="5">
        <v>1479.19</v>
      </c>
      <c r="C3" s="33">
        <v>277.45</v>
      </c>
      <c r="D3" s="5"/>
      <c r="E3" s="5"/>
      <c r="F3" s="5">
        <v>350.9</v>
      </c>
      <c r="G3" s="5"/>
      <c r="H3" s="5">
        <v>33.0</v>
      </c>
      <c r="I3" s="5"/>
      <c r="J3" s="42">
        <v>827.41</v>
      </c>
      <c r="K3" s="5"/>
      <c r="L3" s="5"/>
      <c r="M3" s="6"/>
      <c r="N3" s="6"/>
      <c r="O3" s="93"/>
      <c r="P3" s="5"/>
      <c r="Q3" s="5"/>
      <c r="R3" s="5">
        <v>179.96</v>
      </c>
      <c r="S3" s="7">
        <f t="shared" si="1"/>
        <v>3147.91</v>
      </c>
      <c r="T3" s="8">
        <v>5464.0</v>
      </c>
      <c r="U3" s="59">
        <f t="shared" si="2"/>
        <v>0.5761182284</v>
      </c>
      <c r="V3" s="74">
        <f t="shared" si="3"/>
        <v>44985</v>
      </c>
    </row>
    <row r="4">
      <c r="A4" s="74">
        <v>44986.0</v>
      </c>
      <c r="B4" s="5">
        <v>475.86</v>
      </c>
      <c r="C4" s="5">
        <v>52.2</v>
      </c>
      <c r="D4" s="5"/>
      <c r="E4" s="5">
        <v>280.0</v>
      </c>
      <c r="F4" s="5"/>
      <c r="G4" s="5">
        <v>284.9</v>
      </c>
      <c r="H4" s="5"/>
      <c r="I4" s="5"/>
      <c r="J4" s="42"/>
      <c r="K4" s="5"/>
      <c r="L4" s="5"/>
      <c r="M4" s="5">
        <v>21.6</v>
      </c>
      <c r="N4" s="6"/>
      <c r="O4" s="5"/>
      <c r="P4" s="83"/>
      <c r="Q4" s="5"/>
      <c r="R4" s="6"/>
      <c r="S4" s="7">
        <f t="shared" si="1"/>
        <v>1114.56</v>
      </c>
      <c r="T4" s="8">
        <v>4234.0</v>
      </c>
      <c r="U4" s="59">
        <f t="shared" si="2"/>
        <v>0.2632404346</v>
      </c>
      <c r="V4" s="74">
        <f t="shared" si="3"/>
        <v>44986</v>
      </c>
    </row>
    <row r="5">
      <c r="A5" s="74">
        <v>44987.0</v>
      </c>
      <c r="B5" s="5">
        <v>699.98</v>
      </c>
      <c r="C5" s="5"/>
      <c r="D5" s="6"/>
      <c r="E5" s="5"/>
      <c r="F5" s="5"/>
      <c r="G5" s="5"/>
      <c r="H5" s="5">
        <v>114.0</v>
      </c>
      <c r="I5" s="5"/>
      <c r="J5" s="5"/>
      <c r="K5" s="5"/>
      <c r="L5" s="5"/>
      <c r="M5" s="5">
        <v>21.6</v>
      </c>
      <c r="N5" s="5"/>
      <c r="O5" s="5"/>
      <c r="P5" s="5"/>
      <c r="Q5" s="6"/>
      <c r="R5" s="6"/>
      <c r="S5" s="7">
        <f t="shared" si="1"/>
        <v>835.58</v>
      </c>
      <c r="T5" s="8">
        <v>6429.8</v>
      </c>
      <c r="U5" s="59">
        <f t="shared" si="2"/>
        <v>0.1299542754</v>
      </c>
      <c r="V5" s="74">
        <f t="shared" si="3"/>
        <v>44987</v>
      </c>
    </row>
    <row r="6">
      <c r="A6" s="74">
        <v>44988.0</v>
      </c>
      <c r="B6" s="5">
        <v>1920.22</v>
      </c>
      <c r="C6" s="5"/>
      <c r="D6" s="5"/>
      <c r="E6" s="5"/>
      <c r="F6" s="5">
        <v>265.61</v>
      </c>
      <c r="G6" s="5">
        <v>664.9</v>
      </c>
      <c r="H6" s="5"/>
      <c r="I6" s="5"/>
      <c r="J6" s="5"/>
      <c r="K6" s="5"/>
      <c r="L6" s="5"/>
      <c r="M6" s="5">
        <v>21.6</v>
      </c>
      <c r="N6" s="6"/>
      <c r="O6" s="5"/>
      <c r="P6" s="5">
        <v>63.5</v>
      </c>
      <c r="Q6" s="5">
        <v>105.65</v>
      </c>
      <c r="R6" s="5"/>
      <c r="S6" s="7">
        <f t="shared" si="1"/>
        <v>3041.48</v>
      </c>
      <c r="T6" s="8">
        <v>9601.5</v>
      </c>
      <c r="U6" s="59">
        <f t="shared" si="2"/>
        <v>0.3167713378</v>
      </c>
      <c r="V6" s="74">
        <f t="shared" si="3"/>
        <v>44988</v>
      </c>
    </row>
    <row r="7">
      <c r="A7" s="74">
        <v>44989.0</v>
      </c>
      <c r="B7" s="5">
        <v>1177.91</v>
      </c>
      <c r="C7" s="5">
        <v>131.78</v>
      </c>
      <c r="D7" s="44">
        <v>200.0</v>
      </c>
      <c r="E7" s="5">
        <v>280.0</v>
      </c>
      <c r="F7" s="5"/>
      <c r="G7" s="5"/>
      <c r="H7" s="5">
        <v>33.0</v>
      </c>
      <c r="I7" s="5"/>
      <c r="J7" s="6"/>
      <c r="K7" s="5"/>
      <c r="L7" s="5"/>
      <c r="M7" s="93"/>
      <c r="N7" s="44">
        <v>200.0</v>
      </c>
      <c r="O7" s="6"/>
      <c r="P7" s="6"/>
      <c r="Q7" s="6"/>
      <c r="R7" s="5">
        <v>49.17</v>
      </c>
      <c r="S7" s="7">
        <f t="shared" si="1"/>
        <v>2071.86</v>
      </c>
      <c r="T7" s="8">
        <v>13943.0</v>
      </c>
      <c r="U7" s="59">
        <f t="shared" si="2"/>
        <v>0.1485949939</v>
      </c>
      <c r="V7" s="74">
        <f t="shared" si="3"/>
        <v>44989</v>
      </c>
    </row>
    <row r="8">
      <c r="A8" s="74">
        <v>44990.0</v>
      </c>
      <c r="B8" s="10" t="s">
        <v>21</v>
      </c>
      <c r="C8" s="10" t="s">
        <v>21</v>
      </c>
      <c r="D8" s="10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0" t="s">
        <v>21</v>
      </c>
      <c r="K8" s="10" t="s">
        <v>21</v>
      </c>
      <c r="L8" s="10" t="s">
        <v>21</v>
      </c>
      <c r="M8" s="10"/>
      <c r="N8" s="10" t="s">
        <v>21</v>
      </c>
      <c r="O8" s="10" t="s">
        <v>21</v>
      </c>
      <c r="P8" s="10" t="s">
        <v>21</v>
      </c>
      <c r="Q8" s="10" t="s">
        <v>21</v>
      </c>
      <c r="R8" s="10" t="s">
        <v>21</v>
      </c>
      <c r="S8" s="7">
        <v>0.0</v>
      </c>
      <c r="T8" s="8"/>
      <c r="U8" s="59" t="str">
        <f t="shared" si="2"/>
        <v>#DIV/0!</v>
      </c>
      <c r="V8" s="74">
        <f t="shared" si="3"/>
        <v>44990</v>
      </c>
    </row>
    <row r="11">
      <c r="A11" s="4" t="s">
        <v>22</v>
      </c>
      <c r="B11" s="11">
        <v>13000.0</v>
      </c>
      <c r="E11" s="78"/>
      <c r="F11" s="79"/>
    </row>
    <row r="12">
      <c r="A12" s="4" t="s">
        <v>23</v>
      </c>
      <c r="B12" s="12">
        <f>SUM(B2:R8)</f>
        <v>14660.66</v>
      </c>
      <c r="E12" s="56"/>
    </row>
    <row r="13">
      <c r="A13" s="4" t="s">
        <v>24</v>
      </c>
      <c r="B13" s="12">
        <f> SUM(B11-B12)</f>
        <v>-1660.66</v>
      </c>
    </row>
    <row r="15">
      <c r="A15" s="13" t="s">
        <v>25</v>
      </c>
      <c r="B15" s="14">
        <f>SUM(T2:T8)</f>
        <v>49175.3</v>
      </c>
    </row>
    <row r="16">
      <c r="A16" s="13" t="s">
        <v>26</v>
      </c>
      <c r="B16" s="15">
        <f>B12/B15</f>
        <v>0.2981305655</v>
      </c>
    </row>
    <row r="19">
      <c r="A19" s="16" t="s">
        <v>27</v>
      </c>
      <c r="B19" s="17"/>
      <c r="C19" s="17"/>
      <c r="D19" s="18"/>
      <c r="H19" s="84"/>
    </row>
    <row r="20">
      <c r="A20" s="19" t="s">
        <v>28</v>
      </c>
      <c r="B20" s="20"/>
      <c r="C20" s="20"/>
      <c r="D20" s="21"/>
      <c r="H20" s="85"/>
      <c r="I20" s="85"/>
      <c r="J20" s="85"/>
    </row>
    <row r="21">
      <c r="A21" s="22" t="s">
        <v>29</v>
      </c>
      <c r="B21" s="23" t="s">
        <v>30</v>
      </c>
      <c r="C21" s="22" t="s">
        <v>31</v>
      </c>
      <c r="D21" s="24" t="s">
        <v>30</v>
      </c>
      <c r="H21" s="86"/>
      <c r="I21" s="85"/>
      <c r="J21" s="85"/>
    </row>
    <row r="22">
      <c r="A22" s="28" t="s">
        <v>41</v>
      </c>
      <c r="B22" s="72">
        <v>827.41</v>
      </c>
      <c r="C22" s="25"/>
      <c r="D22" s="27"/>
      <c r="H22" s="87"/>
      <c r="I22" s="85"/>
      <c r="J22" s="85"/>
    </row>
    <row r="23">
      <c r="A23" s="28" t="s">
        <v>126</v>
      </c>
      <c r="B23" s="72">
        <v>108.54</v>
      </c>
      <c r="C23" s="25"/>
      <c r="D23" s="27"/>
      <c r="H23" s="88"/>
      <c r="I23" s="88"/>
      <c r="J23" s="88"/>
    </row>
    <row r="24">
      <c r="A24" s="71"/>
      <c r="B24" s="72"/>
      <c r="C24" s="25"/>
      <c r="D24" s="27"/>
      <c r="H24" s="88"/>
      <c r="I24" s="88"/>
      <c r="J24" s="88"/>
    </row>
    <row r="25">
      <c r="A25" s="28"/>
      <c r="B25" s="26"/>
      <c r="C25" s="25"/>
      <c r="D25" s="27"/>
      <c r="H25" s="88"/>
      <c r="I25" s="88"/>
      <c r="J25" s="88"/>
    </row>
    <row r="26">
      <c r="A26" s="25"/>
      <c r="B26" s="26"/>
      <c r="C26" s="25"/>
      <c r="D26" s="27"/>
      <c r="H26" s="88"/>
      <c r="I26" s="88"/>
      <c r="J26" s="88"/>
    </row>
    <row r="27">
      <c r="A27" s="25"/>
      <c r="B27" s="26"/>
      <c r="C27" s="25"/>
      <c r="D27" s="27"/>
      <c r="H27" s="88"/>
      <c r="I27" s="88"/>
      <c r="J27" s="88"/>
    </row>
    <row r="28">
      <c r="A28" s="25"/>
      <c r="B28" s="26"/>
      <c r="C28" s="25"/>
      <c r="D28" s="27"/>
    </row>
    <row r="29">
      <c r="A29" s="25"/>
      <c r="B29" s="26"/>
      <c r="C29" s="25"/>
      <c r="D29" s="27"/>
      <c r="I29" s="89"/>
      <c r="J29" s="90"/>
    </row>
  </sheetData>
  <mergeCells count="1">
    <mergeCell ref="H19:J19"/>
  </mergeCell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2" max="22" width="24.0"/>
  </cols>
  <sheetData>
    <row r="1">
      <c r="B1" s="2" t="s">
        <v>0</v>
      </c>
      <c r="C1" s="2" t="s">
        <v>1</v>
      </c>
      <c r="D1" s="2" t="s">
        <v>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43</v>
      </c>
      <c r="J1" s="2" t="s">
        <v>40</v>
      </c>
      <c r="K1" s="2" t="s">
        <v>49</v>
      </c>
      <c r="L1" s="2" t="s">
        <v>42</v>
      </c>
      <c r="M1" s="2" t="s">
        <v>121</v>
      </c>
      <c r="N1" s="2" t="s">
        <v>9</v>
      </c>
      <c r="O1" s="2" t="s">
        <v>37</v>
      </c>
      <c r="P1" s="2" t="s">
        <v>10</v>
      </c>
      <c r="Q1" s="2" t="s">
        <v>11</v>
      </c>
      <c r="R1" s="2" t="s">
        <v>12</v>
      </c>
      <c r="S1" s="3" t="s">
        <v>13</v>
      </c>
      <c r="T1" s="3" t="s">
        <v>14</v>
      </c>
      <c r="U1" s="3" t="s">
        <v>15</v>
      </c>
    </row>
    <row r="2">
      <c r="A2" s="74">
        <v>44991.0</v>
      </c>
      <c r="B2" s="5">
        <v>2053.51</v>
      </c>
      <c r="C2" s="5">
        <v>161.94</v>
      </c>
      <c r="D2" s="5"/>
      <c r="E2" s="5"/>
      <c r="F2" s="5"/>
      <c r="G2" s="5"/>
      <c r="H2" s="5"/>
      <c r="I2" s="5"/>
      <c r="J2" s="72">
        <v>827.41</v>
      </c>
      <c r="K2" s="5">
        <v>180.0</v>
      </c>
      <c r="L2" s="5"/>
      <c r="M2" s="6"/>
      <c r="N2" s="6"/>
      <c r="O2" s="5"/>
      <c r="P2" s="5"/>
      <c r="Q2" s="5">
        <v>105.65</v>
      </c>
      <c r="R2" s="6"/>
      <c r="S2" s="7">
        <f t="shared" ref="S2:S7" si="1">SUM(B2:R2)</f>
        <v>3328.51</v>
      </c>
      <c r="T2" s="8">
        <v>3954.4</v>
      </c>
      <c r="U2" s="59">
        <f t="shared" ref="U2:U8" si="2">S2/T2</f>
        <v>0.8417231438</v>
      </c>
      <c r="V2" s="74">
        <f t="shared" ref="V2:V8" si="3">A2</f>
        <v>44991</v>
      </c>
    </row>
    <row r="3">
      <c r="A3" s="74">
        <v>44992.0</v>
      </c>
      <c r="B3" s="5">
        <v>904.49</v>
      </c>
      <c r="C3" s="33">
        <v>263.17</v>
      </c>
      <c r="D3" s="5"/>
      <c r="E3" s="5"/>
      <c r="F3" s="5">
        <v>314.08</v>
      </c>
      <c r="G3" s="5"/>
      <c r="H3" s="5">
        <v>33.0</v>
      </c>
      <c r="I3" s="5"/>
      <c r="J3" s="42"/>
      <c r="K3" s="5"/>
      <c r="L3" s="5"/>
      <c r="M3" s="6"/>
      <c r="N3" s="6"/>
      <c r="O3" s="93"/>
      <c r="P3" s="5"/>
      <c r="Q3" s="5"/>
      <c r="R3" s="5">
        <v>179.96</v>
      </c>
      <c r="S3" s="7">
        <f t="shared" si="1"/>
        <v>1694.7</v>
      </c>
      <c r="T3" s="8">
        <v>0.0</v>
      </c>
      <c r="U3" s="59" t="str">
        <f t="shared" si="2"/>
        <v>#DIV/0!</v>
      </c>
      <c r="V3" s="74">
        <f t="shared" si="3"/>
        <v>44992</v>
      </c>
    </row>
    <row r="4">
      <c r="A4" s="74">
        <v>44993.0</v>
      </c>
      <c r="B4" s="5">
        <v>876.49</v>
      </c>
      <c r="C4" s="5">
        <v>117.7</v>
      </c>
      <c r="D4" s="5"/>
      <c r="E4" s="5">
        <v>280.0</v>
      </c>
      <c r="F4" s="5"/>
      <c r="G4" s="5"/>
      <c r="H4" s="5"/>
      <c r="I4" s="5"/>
      <c r="J4" s="42"/>
      <c r="K4" s="5"/>
      <c r="L4" s="5"/>
      <c r="M4" s="5">
        <v>21.6</v>
      </c>
      <c r="N4" s="6"/>
      <c r="O4" s="5"/>
      <c r="P4" s="83">
        <v>49.0</v>
      </c>
      <c r="Q4" s="5"/>
      <c r="R4" s="6"/>
      <c r="S4" s="7">
        <f t="shared" si="1"/>
        <v>1344.79</v>
      </c>
      <c r="T4" s="8">
        <v>0.0</v>
      </c>
      <c r="U4" s="59" t="str">
        <f t="shared" si="2"/>
        <v>#DIV/0!</v>
      </c>
      <c r="V4" s="74">
        <f t="shared" si="3"/>
        <v>44993</v>
      </c>
    </row>
    <row r="5">
      <c r="A5" s="74">
        <v>44994.0</v>
      </c>
      <c r="B5" s="5">
        <v>125.68</v>
      </c>
      <c r="C5" s="5"/>
      <c r="D5" s="6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6"/>
      <c r="R5" s="6"/>
      <c r="S5" s="7">
        <f t="shared" si="1"/>
        <v>125.68</v>
      </c>
      <c r="T5" s="8">
        <v>2719.0</v>
      </c>
      <c r="U5" s="59">
        <f t="shared" si="2"/>
        <v>0.04622287606</v>
      </c>
      <c r="V5" s="74">
        <f t="shared" si="3"/>
        <v>44994</v>
      </c>
    </row>
    <row r="6">
      <c r="A6" s="74">
        <v>44995.0</v>
      </c>
      <c r="B6" s="5">
        <v>1164.33</v>
      </c>
      <c r="C6" s="5">
        <v>382.3</v>
      </c>
      <c r="D6" s="5"/>
      <c r="E6" s="5"/>
      <c r="F6" s="5">
        <v>192.39</v>
      </c>
      <c r="G6" s="5">
        <v>474.9</v>
      </c>
      <c r="H6" s="5">
        <v>114.0</v>
      </c>
      <c r="I6" s="5"/>
      <c r="J6" s="5"/>
      <c r="K6" s="5"/>
      <c r="L6" s="5"/>
      <c r="M6" s="5">
        <v>21.6</v>
      </c>
      <c r="N6" s="6"/>
      <c r="O6" s="5"/>
      <c r="P6" s="5"/>
      <c r="Q6" s="5">
        <v>105.65</v>
      </c>
      <c r="R6" s="5"/>
      <c r="S6" s="7">
        <f t="shared" si="1"/>
        <v>2455.17</v>
      </c>
      <c r="T6" s="8">
        <v>8972.0</v>
      </c>
      <c r="U6" s="59">
        <f t="shared" si="2"/>
        <v>0.273648016</v>
      </c>
      <c r="V6" s="74">
        <f t="shared" si="3"/>
        <v>44995</v>
      </c>
    </row>
    <row r="7">
      <c r="A7" s="74">
        <v>44996.0</v>
      </c>
      <c r="B7" s="5">
        <v>1488.04</v>
      </c>
      <c r="C7" s="5">
        <v>330.6</v>
      </c>
      <c r="D7" s="44">
        <v>200.0</v>
      </c>
      <c r="E7" s="5">
        <v>180.0</v>
      </c>
      <c r="F7" s="5"/>
      <c r="G7" s="5"/>
      <c r="H7" s="5">
        <v>33.0</v>
      </c>
      <c r="I7" s="5"/>
      <c r="J7" s="6"/>
      <c r="K7" s="5"/>
      <c r="L7" s="5"/>
      <c r="M7" s="93"/>
      <c r="N7" s="44">
        <v>200.0</v>
      </c>
      <c r="O7" s="6"/>
      <c r="P7" s="6"/>
      <c r="Q7" s="6"/>
      <c r="R7" s="5">
        <v>24.18</v>
      </c>
      <c r="S7" s="7">
        <f t="shared" si="1"/>
        <v>2455.82</v>
      </c>
      <c r="T7" s="8">
        <v>13707.0</v>
      </c>
      <c r="U7" s="59">
        <f t="shared" si="2"/>
        <v>0.1791653899</v>
      </c>
      <c r="V7" s="74">
        <f t="shared" si="3"/>
        <v>44996</v>
      </c>
    </row>
    <row r="8">
      <c r="A8" s="74">
        <v>44997.0</v>
      </c>
      <c r="B8" s="10" t="s">
        <v>21</v>
      </c>
      <c r="C8" s="10" t="s">
        <v>21</v>
      </c>
      <c r="D8" s="10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0" t="s">
        <v>21</v>
      </c>
      <c r="K8" s="10" t="s">
        <v>21</v>
      </c>
      <c r="L8" s="10" t="s">
        <v>21</v>
      </c>
      <c r="M8" s="10"/>
      <c r="N8" s="10" t="s">
        <v>21</v>
      </c>
      <c r="O8" s="10" t="s">
        <v>21</v>
      </c>
      <c r="P8" s="10" t="s">
        <v>21</v>
      </c>
      <c r="Q8" s="10" t="s">
        <v>21</v>
      </c>
      <c r="R8" s="10" t="s">
        <v>21</v>
      </c>
      <c r="S8" s="7">
        <v>0.0</v>
      </c>
      <c r="T8" s="8">
        <v>6485.0</v>
      </c>
      <c r="U8" s="59">
        <f t="shared" si="2"/>
        <v>0</v>
      </c>
      <c r="V8" s="74">
        <f t="shared" si="3"/>
        <v>44997</v>
      </c>
    </row>
    <row r="11">
      <c r="A11" s="4" t="s">
        <v>22</v>
      </c>
      <c r="B11" s="11">
        <v>13000.0</v>
      </c>
      <c r="E11" s="78"/>
      <c r="F11" s="79"/>
    </row>
    <row r="12">
      <c r="A12" s="4" t="s">
        <v>23</v>
      </c>
      <c r="B12" s="12">
        <f>SUM(B2:R8)</f>
        <v>11404.67</v>
      </c>
      <c r="E12" s="56"/>
    </row>
    <row r="13">
      <c r="A13" s="4" t="s">
        <v>24</v>
      </c>
      <c r="B13" s="12">
        <f> SUM(B11-B12)</f>
        <v>1595.33</v>
      </c>
    </row>
    <row r="15">
      <c r="A15" s="13" t="s">
        <v>25</v>
      </c>
      <c r="B15" s="14">
        <f>SUM(T2:T8)</f>
        <v>35837.4</v>
      </c>
    </row>
    <row r="16">
      <c r="A16" s="13" t="s">
        <v>26</v>
      </c>
      <c r="B16" s="15">
        <f>B12/B15</f>
        <v>0.3182337446</v>
      </c>
    </row>
    <row r="19">
      <c r="A19" s="16" t="s">
        <v>27</v>
      </c>
      <c r="B19" s="17"/>
      <c r="C19" s="17"/>
      <c r="D19" s="18"/>
      <c r="H19" s="84"/>
    </row>
    <row r="20">
      <c r="A20" s="19" t="s">
        <v>28</v>
      </c>
      <c r="B20" s="20"/>
      <c r="C20" s="20"/>
      <c r="D20" s="21"/>
      <c r="H20" s="85"/>
      <c r="I20" s="85"/>
      <c r="J20" s="85"/>
    </row>
    <row r="21">
      <c r="A21" s="22" t="s">
        <v>29</v>
      </c>
      <c r="B21" s="23" t="s">
        <v>30</v>
      </c>
      <c r="C21" s="22" t="s">
        <v>31</v>
      </c>
      <c r="D21" s="24" t="s">
        <v>30</v>
      </c>
      <c r="H21" s="86"/>
      <c r="I21" s="85"/>
      <c r="J21" s="85"/>
    </row>
    <row r="22">
      <c r="A22" s="28" t="s">
        <v>127</v>
      </c>
      <c r="B22" s="72">
        <v>100.82</v>
      </c>
      <c r="C22" s="25"/>
      <c r="D22" s="27"/>
      <c r="H22" s="87"/>
      <c r="I22" s="85"/>
      <c r="J22" s="85"/>
    </row>
    <row r="23">
      <c r="A23" s="28" t="s">
        <v>126</v>
      </c>
      <c r="B23" s="72">
        <v>108.54</v>
      </c>
      <c r="C23" s="25"/>
      <c r="D23" s="27"/>
      <c r="H23" s="88"/>
      <c r="I23" s="88"/>
      <c r="J23" s="88"/>
    </row>
    <row r="24">
      <c r="A24" s="71" t="s">
        <v>128</v>
      </c>
      <c r="B24" s="72">
        <v>399.97</v>
      </c>
      <c r="C24" s="25"/>
      <c r="D24" s="27"/>
      <c r="H24" s="88"/>
      <c r="I24" s="88"/>
      <c r="J24" s="88"/>
    </row>
    <row r="25">
      <c r="A25" s="28"/>
      <c r="B25" s="26"/>
      <c r="C25" s="25"/>
      <c r="D25" s="27"/>
      <c r="H25" s="88"/>
      <c r="I25" s="88"/>
      <c r="J25" s="88"/>
    </row>
    <row r="26">
      <c r="A26" s="25"/>
      <c r="B26" s="26"/>
      <c r="C26" s="25"/>
      <c r="D26" s="27"/>
      <c r="H26" s="88"/>
      <c r="I26" s="88"/>
      <c r="J26" s="88"/>
    </row>
    <row r="27">
      <c r="A27" s="25"/>
      <c r="B27" s="26"/>
      <c r="C27" s="25"/>
      <c r="D27" s="27"/>
      <c r="H27" s="88"/>
      <c r="I27" s="88"/>
      <c r="J27" s="88"/>
    </row>
    <row r="28">
      <c r="A28" s="25"/>
      <c r="B28" s="26"/>
      <c r="C28" s="25"/>
      <c r="D28" s="27"/>
    </row>
    <row r="29">
      <c r="A29" s="25"/>
      <c r="B29" s="26"/>
      <c r="C29" s="25"/>
      <c r="D29" s="27"/>
      <c r="I29" s="89"/>
      <c r="J29" s="90"/>
    </row>
  </sheetData>
  <mergeCells count="1">
    <mergeCell ref="H19:J19"/>
  </mergeCell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2" max="22" width="15.88"/>
  </cols>
  <sheetData>
    <row r="1">
      <c r="B1" s="2" t="s">
        <v>0</v>
      </c>
      <c r="C1" s="2" t="s">
        <v>1</v>
      </c>
      <c r="D1" s="2" t="s">
        <v>7</v>
      </c>
      <c r="E1" s="2" t="s">
        <v>3</v>
      </c>
      <c r="F1" s="2" t="s">
        <v>129</v>
      </c>
      <c r="G1" s="2" t="s">
        <v>5</v>
      </c>
      <c r="H1" s="2" t="s">
        <v>6</v>
      </c>
      <c r="I1" s="2" t="s">
        <v>43</v>
      </c>
      <c r="J1" s="2" t="s">
        <v>40</v>
      </c>
      <c r="K1" s="2" t="s">
        <v>49</v>
      </c>
      <c r="L1" s="2" t="s">
        <v>42</v>
      </c>
      <c r="M1" s="2" t="s">
        <v>121</v>
      </c>
      <c r="N1" s="2" t="s">
        <v>9</v>
      </c>
      <c r="O1" s="2" t="s">
        <v>37</v>
      </c>
      <c r="P1" s="2" t="s">
        <v>10</v>
      </c>
      <c r="Q1" s="2" t="s">
        <v>11</v>
      </c>
      <c r="R1" s="2" t="s">
        <v>12</v>
      </c>
      <c r="S1" s="3" t="s">
        <v>13</v>
      </c>
      <c r="T1" s="3" t="s">
        <v>14</v>
      </c>
      <c r="U1" s="3" t="s">
        <v>15</v>
      </c>
    </row>
    <row r="2">
      <c r="A2" s="74">
        <v>44998.0</v>
      </c>
      <c r="B2" s="5">
        <v>1791.96</v>
      </c>
      <c r="C2" s="5">
        <v>466.99</v>
      </c>
      <c r="D2" s="5"/>
      <c r="E2" s="5"/>
      <c r="F2" s="5"/>
      <c r="G2" s="5"/>
      <c r="H2" s="5"/>
      <c r="I2" s="5"/>
      <c r="J2" s="72">
        <v>827.41</v>
      </c>
      <c r="K2" s="5">
        <v>180.0</v>
      </c>
      <c r="L2" s="5"/>
      <c r="M2" s="6"/>
      <c r="N2" s="6"/>
      <c r="O2" s="5"/>
      <c r="P2" s="5"/>
      <c r="Q2" s="5">
        <v>105.65</v>
      </c>
      <c r="R2" s="6"/>
      <c r="S2" s="7">
        <f t="shared" ref="S2:S7" si="1">SUM(B2:R2)</f>
        <v>3372.01</v>
      </c>
      <c r="T2" s="8">
        <v>4227.0</v>
      </c>
      <c r="U2" s="59">
        <f t="shared" ref="U2:U8" si="2">S2/T2</f>
        <v>0.7977312515</v>
      </c>
      <c r="V2" s="74">
        <f t="shared" ref="V2:V8" si="3">A2</f>
        <v>44998</v>
      </c>
    </row>
    <row r="3">
      <c r="A3" s="74">
        <v>44999.0</v>
      </c>
      <c r="B3" s="5">
        <v>1149.58</v>
      </c>
      <c r="C3" s="33">
        <v>517.24</v>
      </c>
      <c r="D3" s="5"/>
      <c r="E3" s="5"/>
      <c r="F3" s="5">
        <v>129.25</v>
      </c>
      <c r="G3" s="5"/>
      <c r="H3" s="5"/>
      <c r="I3" s="5"/>
      <c r="J3" s="42"/>
      <c r="K3" s="5"/>
      <c r="L3" s="5"/>
      <c r="M3" s="6"/>
      <c r="N3" s="6"/>
      <c r="O3" s="93"/>
      <c r="P3" s="5"/>
      <c r="Q3" s="5"/>
      <c r="R3" s="5">
        <v>179.96</v>
      </c>
      <c r="S3" s="7">
        <f t="shared" si="1"/>
        <v>1976.03</v>
      </c>
      <c r="T3" s="8">
        <v>4285.63</v>
      </c>
      <c r="U3" s="59">
        <f t="shared" si="2"/>
        <v>0.4610827346</v>
      </c>
      <c r="V3" s="74">
        <f t="shared" si="3"/>
        <v>44999</v>
      </c>
    </row>
    <row r="4">
      <c r="A4" s="74">
        <v>45000.0</v>
      </c>
      <c r="B4" s="5">
        <v>1258.63</v>
      </c>
      <c r="C4" s="5">
        <v>157.26</v>
      </c>
      <c r="D4" s="5"/>
      <c r="E4" s="5">
        <v>190.0</v>
      </c>
      <c r="F4" s="5">
        <v>196.68</v>
      </c>
      <c r="G4" s="5">
        <v>95.0</v>
      </c>
      <c r="H4" s="5">
        <v>39.0</v>
      </c>
      <c r="I4" s="5"/>
      <c r="J4" s="42"/>
      <c r="K4" s="5"/>
      <c r="L4" s="5"/>
      <c r="M4" s="5">
        <v>18.5</v>
      </c>
      <c r="N4" s="6"/>
      <c r="O4" s="5"/>
      <c r="P4" s="83"/>
      <c r="Q4" s="5"/>
      <c r="R4" s="6"/>
      <c r="S4" s="7">
        <f t="shared" si="1"/>
        <v>1955.07</v>
      </c>
      <c r="T4" s="8">
        <v>9699.69</v>
      </c>
      <c r="U4" s="59">
        <f t="shared" si="2"/>
        <v>0.2015600499</v>
      </c>
      <c r="V4" s="74">
        <f t="shared" si="3"/>
        <v>45000</v>
      </c>
    </row>
    <row r="5">
      <c r="A5" s="74">
        <v>45001.0</v>
      </c>
      <c r="B5" s="5">
        <v>1262.8</v>
      </c>
      <c r="C5" s="5">
        <v>260.71</v>
      </c>
      <c r="D5" s="6"/>
      <c r="E5" s="5"/>
      <c r="F5" s="5">
        <v>868.11</v>
      </c>
      <c r="G5" s="5"/>
      <c r="H5" s="5"/>
      <c r="I5" s="5"/>
      <c r="J5" s="5"/>
      <c r="K5" s="5">
        <v>375.0</v>
      </c>
      <c r="L5" s="5"/>
      <c r="M5" s="5">
        <v>18.5</v>
      </c>
      <c r="N5" s="5"/>
      <c r="O5" s="5"/>
      <c r="P5" s="5"/>
      <c r="Q5" s="6"/>
      <c r="R5" s="6"/>
      <c r="S5" s="7">
        <f t="shared" si="1"/>
        <v>2785.12</v>
      </c>
      <c r="T5" s="8">
        <v>5179.2</v>
      </c>
      <c r="U5" s="59">
        <f t="shared" si="2"/>
        <v>0.537751004</v>
      </c>
      <c r="V5" s="74">
        <f t="shared" si="3"/>
        <v>45001</v>
      </c>
    </row>
    <row r="6">
      <c r="A6" s="74">
        <v>45002.0</v>
      </c>
      <c r="B6" s="5">
        <v>1302.15</v>
      </c>
      <c r="C6" s="5">
        <v>29.45</v>
      </c>
      <c r="D6" s="5"/>
      <c r="E6" s="5"/>
      <c r="G6" s="5">
        <v>285.0</v>
      </c>
      <c r="H6" s="5">
        <v>114.0</v>
      </c>
      <c r="I6" s="5"/>
      <c r="J6" s="5"/>
      <c r="K6" s="5"/>
      <c r="L6" s="5"/>
      <c r="M6" s="5">
        <v>18.5</v>
      </c>
      <c r="N6" s="6"/>
      <c r="O6" s="5"/>
      <c r="P6" s="5">
        <v>129.0</v>
      </c>
      <c r="Q6" s="5">
        <v>105.65</v>
      </c>
      <c r="R6" s="5"/>
      <c r="S6" s="7">
        <f t="shared" si="1"/>
        <v>1983.75</v>
      </c>
      <c r="T6" s="8">
        <v>10543.78</v>
      </c>
      <c r="U6" s="59">
        <f t="shared" si="2"/>
        <v>0.1881441001</v>
      </c>
      <c r="V6" s="74">
        <f t="shared" si="3"/>
        <v>45002</v>
      </c>
    </row>
    <row r="7">
      <c r="A7" s="74">
        <v>45003.0</v>
      </c>
      <c r="B7" s="5">
        <v>1183.09</v>
      </c>
      <c r="C7" s="5"/>
      <c r="D7" s="44">
        <v>200.0</v>
      </c>
      <c r="E7" s="5"/>
      <c r="F7" s="5"/>
      <c r="G7" s="5"/>
      <c r="H7" s="5">
        <v>39.0</v>
      </c>
      <c r="I7" s="5"/>
      <c r="J7" s="6"/>
      <c r="K7" s="5"/>
      <c r="L7" s="5"/>
      <c r="M7" s="93"/>
      <c r="N7" s="44">
        <v>100.0</v>
      </c>
      <c r="O7" s="6"/>
      <c r="P7" s="6"/>
      <c r="Q7" s="6"/>
      <c r="R7" s="5"/>
      <c r="S7" s="7">
        <f t="shared" si="1"/>
        <v>1522.09</v>
      </c>
      <c r="T7" s="8">
        <v>17562.98</v>
      </c>
      <c r="U7" s="59">
        <f t="shared" si="2"/>
        <v>0.08666467763</v>
      </c>
      <c r="V7" s="74">
        <f t="shared" si="3"/>
        <v>45003</v>
      </c>
    </row>
    <row r="8">
      <c r="A8" s="74">
        <v>45004.0</v>
      </c>
      <c r="B8" s="10" t="s">
        <v>21</v>
      </c>
      <c r="C8" s="10" t="s">
        <v>21</v>
      </c>
      <c r="D8" s="10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0" t="s">
        <v>21</v>
      </c>
      <c r="K8" s="10" t="s">
        <v>21</v>
      </c>
      <c r="L8" s="10" t="s">
        <v>21</v>
      </c>
      <c r="M8" s="10"/>
      <c r="N8" s="10" t="s">
        <v>21</v>
      </c>
      <c r="O8" s="10" t="s">
        <v>21</v>
      </c>
      <c r="P8" s="10" t="s">
        <v>21</v>
      </c>
      <c r="Q8" s="10" t="s">
        <v>21</v>
      </c>
      <c r="R8" s="10" t="s">
        <v>21</v>
      </c>
      <c r="S8" s="7">
        <v>0.0</v>
      </c>
      <c r="T8" s="8">
        <v>10633.22</v>
      </c>
      <c r="U8" s="59">
        <f t="shared" si="2"/>
        <v>0</v>
      </c>
      <c r="V8" s="74">
        <f t="shared" si="3"/>
        <v>45004</v>
      </c>
    </row>
    <row r="11">
      <c r="A11" s="4" t="s">
        <v>22</v>
      </c>
      <c r="B11" s="11">
        <v>13000.0</v>
      </c>
      <c r="E11" s="78"/>
      <c r="F11" s="79"/>
    </row>
    <row r="12">
      <c r="A12" s="4" t="s">
        <v>23</v>
      </c>
      <c r="B12" s="12">
        <f>SUM(B2:R8)</f>
        <v>13594.07</v>
      </c>
      <c r="E12" s="56"/>
    </row>
    <row r="13">
      <c r="A13" s="4" t="s">
        <v>24</v>
      </c>
      <c r="B13" s="12">
        <f> SUM(B11-B12)</f>
        <v>-594.07</v>
      </c>
    </row>
    <row r="15">
      <c r="A15" s="13" t="s">
        <v>25</v>
      </c>
      <c r="B15" s="14">
        <f>SUM(T2:T8)</f>
        <v>62131.5</v>
      </c>
    </row>
    <row r="16">
      <c r="A16" s="13" t="s">
        <v>26</v>
      </c>
      <c r="B16" s="15">
        <f>B12/B15</f>
        <v>0.2187951361</v>
      </c>
    </row>
    <row r="19">
      <c r="A19" s="16" t="s">
        <v>27</v>
      </c>
      <c r="B19" s="17"/>
      <c r="C19" s="17"/>
      <c r="D19" s="18"/>
      <c r="H19" s="84"/>
    </row>
    <row r="20">
      <c r="A20" s="19" t="s">
        <v>28</v>
      </c>
      <c r="B20" s="20"/>
      <c r="C20" s="20"/>
      <c r="D20" s="21"/>
      <c r="H20" s="85"/>
      <c r="I20" s="85"/>
      <c r="J20" s="85"/>
    </row>
    <row r="21">
      <c r="A21" s="22" t="s">
        <v>29</v>
      </c>
      <c r="B21" s="23" t="s">
        <v>30</v>
      </c>
      <c r="C21" s="22" t="s">
        <v>31</v>
      </c>
      <c r="D21" s="24" t="s">
        <v>30</v>
      </c>
      <c r="H21" s="86"/>
      <c r="I21" s="85"/>
      <c r="J21" s="85"/>
    </row>
    <row r="22">
      <c r="A22" s="28" t="s">
        <v>128</v>
      </c>
      <c r="B22" s="72">
        <v>620.54</v>
      </c>
      <c r="C22" s="25"/>
      <c r="D22" s="27"/>
      <c r="H22" s="87"/>
      <c r="I22" s="85"/>
      <c r="J22" s="85"/>
    </row>
    <row r="23">
      <c r="A23" s="28" t="s">
        <v>41</v>
      </c>
      <c r="B23" s="72">
        <v>513.7</v>
      </c>
      <c r="C23" s="25"/>
      <c r="D23" s="27"/>
      <c r="H23" s="88"/>
      <c r="I23" s="88"/>
      <c r="J23" s="88"/>
    </row>
    <row r="24">
      <c r="A24" s="71" t="s">
        <v>130</v>
      </c>
      <c r="B24" s="72">
        <v>138.0</v>
      </c>
      <c r="C24" s="25"/>
      <c r="D24" s="27"/>
      <c r="H24" s="88"/>
      <c r="I24" s="88"/>
      <c r="J24" s="88"/>
    </row>
    <row r="25">
      <c r="A25" s="28" t="s">
        <v>131</v>
      </c>
      <c r="B25" s="41">
        <v>253.69</v>
      </c>
      <c r="C25" s="25"/>
      <c r="D25" s="27"/>
      <c r="H25" s="88"/>
      <c r="I25" s="88"/>
      <c r="J25" s="88"/>
    </row>
    <row r="26">
      <c r="A26" s="25"/>
      <c r="B26" s="26"/>
      <c r="C26" s="25"/>
      <c r="D26" s="27"/>
      <c r="H26" s="88"/>
      <c r="I26" s="88"/>
      <c r="J26" s="88"/>
    </row>
    <row r="27">
      <c r="A27" s="25"/>
      <c r="B27" s="26"/>
      <c r="C27" s="25"/>
      <c r="D27" s="27"/>
      <c r="H27" s="88"/>
      <c r="I27" s="88"/>
      <c r="J27" s="88"/>
    </row>
    <row r="28">
      <c r="A28" s="25"/>
      <c r="B28" s="26"/>
      <c r="C28" s="25"/>
      <c r="D28" s="27"/>
    </row>
    <row r="29">
      <c r="A29" s="25"/>
      <c r="B29" s="26"/>
      <c r="C29" s="25"/>
      <c r="D29" s="27"/>
      <c r="I29" s="89"/>
      <c r="J29" s="90"/>
    </row>
  </sheetData>
  <mergeCells count="1">
    <mergeCell ref="H19:J19"/>
  </mergeCell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1" max="21" width="14.38"/>
    <col customWidth="1" min="22" max="22" width="17.25"/>
  </cols>
  <sheetData>
    <row r="1">
      <c r="B1" s="2" t="s">
        <v>0</v>
      </c>
      <c r="C1" s="2" t="s">
        <v>1</v>
      </c>
      <c r="D1" s="2" t="s">
        <v>7</v>
      </c>
      <c r="E1" s="2" t="s">
        <v>3</v>
      </c>
      <c r="F1" s="2" t="s">
        <v>129</v>
      </c>
      <c r="G1" s="2" t="s">
        <v>5</v>
      </c>
      <c r="H1" s="2" t="s">
        <v>6</v>
      </c>
      <c r="I1" s="2" t="s">
        <v>43</v>
      </c>
      <c r="J1" s="2" t="s">
        <v>40</v>
      </c>
      <c r="K1" s="2" t="s">
        <v>49</v>
      </c>
      <c r="L1" s="2" t="s">
        <v>42</v>
      </c>
      <c r="M1" s="2" t="s">
        <v>121</v>
      </c>
      <c r="N1" s="2" t="s">
        <v>9</v>
      </c>
      <c r="O1" s="2" t="s">
        <v>37</v>
      </c>
      <c r="P1" s="2" t="s">
        <v>10</v>
      </c>
      <c r="Q1" s="2" t="s">
        <v>11</v>
      </c>
      <c r="R1" s="2" t="s">
        <v>12</v>
      </c>
      <c r="S1" s="3" t="s">
        <v>13</v>
      </c>
      <c r="T1" s="3" t="s">
        <v>14</v>
      </c>
      <c r="U1" s="3" t="s">
        <v>15</v>
      </c>
    </row>
    <row r="2">
      <c r="A2" s="74">
        <v>45005.0</v>
      </c>
      <c r="B2" s="5">
        <v>2696.61</v>
      </c>
      <c r="C2" s="5">
        <v>807.79</v>
      </c>
      <c r="D2" s="5"/>
      <c r="E2" s="5"/>
      <c r="F2" s="5">
        <v>624.91</v>
      </c>
      <c r="G2" s="5"/>
      <c r="H2" s="5"/>
      <c r="I2" s="5"/>
      <c r="J2" s="72">
        <v>620.54</v>
      </c>
      <c r="K2" s="5">
        <v>385.0</v>
      </c>
      <c r="L2" s="5"/>
      <c r="M2" s="6"/>
      <c r="N2" s="6"/>
      <c r="O2" s="5"/>
      <c r="P2" s="5"/>
      <c r="Q2" s="5">
        <v>105.65</v>
      </c>
      <c r="R2" s="6"/>
      <c r="S2" s="7">
        <f t="shared" ref="S2:S7" si="1">SUM(B2:R2)</f>
        <v>5240.5</v>
      </c>
      <c r="T2" s="8">
        <v>3520.4</v>
      </c>
      <c r="U2" s="59">
        <f t="shared" ref="U2:U8" si="2">S2/T2</f>
        <v>1.488609249</v>
      </c>
      <c r="V2" s="94">
        <f t="shared" ref="V2:V8" si="3">A2</f>
        <v>45005</v>
      </c>
    </row>
    <row r="3">
      <c r="A3" s="74">
        <v>45006.0</v>
      </c>
      <c r="B3" s="5">
        <v>1049.47</v>
      </c>
      <c r="C3" s="33">
        <v>256.49</v>
      </c>
      <c r="D3" s="5"/>
      <c r="E3" s="5"/>
      <c r="F3" s="5">
        <v>339.35</v>
      </c>
      <c r="G3" s="5"/>
      <c r="H3" s="5"/>
      <c r="I3" s="5"/>
      <c r="J3" s="42"/>
      <c r="K3" s="5"/>
      <c r="L3" s="5"/>
      <c r="M3" s="6"/>
      <c r="N3" s="6"/>
      <c r="O3" s="93"/>
      <c r="P3" s="5"/>
      <c r="Q3" s="5"/>
      <c r="R3" s="5">
        <v>179.96</v>
      </c>
      <c r="S3" s="7">
        <f t="shared" si="1"/>
        <v>1825.27</v>
      </c>
      <c r="T3" s="8">
        <v>8341.77</v>
      </c>
      <c r="U3" s="59">
        <f t="shared" si="2"/>
        <v>0.2188108759</v>
      </c>
      <c r="V3" s="94">
        <f t="shared" si="3"/>
        <v>45006</v>
      </c>
    </row>
    <row r="4">
      <c r="A4" s="74">
        <v>45007.0</v>
      </c>
      <c r="B4" s="5">
        <v>1154.15</v>
      </c>
      <c r="C4" s="5">
        <v>113.4</v>
      </c>
      <c r="D4" s="5"/>
      <c r="E4" s="5"/>
      <c r="F4" s="5">
        <v>219.18</v>
      </c>
      <c r="G4" s="5">
        <v>142.5</v>
      </c>
      <c r="H4" s="5"/>
      <c r="I4" s="5"/>
      <c r="J4" s="42"/>
      <c r="K4" s="5"/>
      <c r="L4" s="5"/>
      <c r="M4" s="5">
        <v>18.5</v>
      </c>
      <c r="N4" s="6"/>
      <c r="O4" s="5"/>
      <c r="P4" s="83"/>
      <c r="Q4" s="5"/>
      <c r="R4" s="6"/>
      <c r="S4" s="7">
        <f t="shared" si="1"/>
        <v>1647.73</v>
      </c>
      <c r="T4" s="8">
        <v>5673.88</v>
      </c>
      <c r="U4" s="59">
        <f t="shared" si="2"/>
        <v>0.2904062123</v>
      </c>
      <c r="V4" s="94">
        <f t="shared" si="3"/>
        <v>45007</v>
      </c>
    </row>
    <row r="5">
      <c r="A5" s="74">
        <v>45008.0</v>
      </c>
      <c r="B5" s="5">
        <v>722.03</v>
      </c>
      <c r="C5" s="5">
        <v>243.06</v>
      </c>
      <c r="D5" s="6"/>
      <c r="E5" s="5"/>
      <c r="F5" s="5"/>
      <c r="G5" s="5"/>
      <c r="H5" s="5"/>
      <c r="I5" s="5"/>
      <c r="J5" s="5"/>
      <c r="K5" s="5"/>
      <c r="L5" s="5"/>
      <c r="M5" s="5">
        <v>18.5</v>
      </c>
      <c r="N5" s="5"/>
      <c r="O5" s="5"/>
      <c r="P5" s="5"/>
      <c r="Q5" s="6"/>
      <c r="R5" s="6"/>
      <c r="S5" s="7">
        <f t="shared" si="1"/>
        <v>983.59</v>
      </c>
      <c r="T5" s="8">
        <v>6073.88</v>
      </c>
      <c r="U5" s="59">
        <f t="shared" si="2"/>
        <v>0.1619376741</v>
      </c>
      <c r="V5" s="94">
        <f t="shared" si="3"/>
        <v>45008</v>
      </c>
    </row>
    <row r="6">
      <c r="A6" s="74">
        <v>45009.0</v>
      </c>
      <c r="B6" s="5">
        <v>1820.46</v>
      </c>
      <c r="C6" s="5">
        <v>117.3</v>
      </c>
      <c r="D6" s="5"/>
      <c r="E6" s="5"/>
      <c r="F6" s="5">
        <v>289.42</v>
      </c>
      <c r="G6" s="5">
        <v>285.0</v>
      </c>
      <c r="H6" s="5">
        <v>123.0</v>
      </c>
      <c r="I6" s="5"/>
      <c r="J6" s="5"/>
      <c r="K6" s="5"/>
      <c r="L6" s="5"/>
      <c r="M6" s="5">
        <v>18.5</v>
      </c>
      <c r="N6" s="6"/>
      <c r="O6" s="5"/>
      <c r="P6" s="5"/>
      <c r="Q6" s="5">
        <v>105.65</v>
      </c>
      <c r="R6" s="5"/>
      <c r="S6" s="7">
        <f t="shared" si="1"/>
        <v>2759.33</v>
      </c>
      <c r="T6" s="8">
        <v>9213.0</v>
      </c>
      <c r="U6" s="59">
        <f t="shared" si="2"/>
        <v>0.2995039618</v>
      </c>
      <c r="V6" s="94">
        <f t="shared" si="3"/>
        <v>45009</v>
      </c>
    </row>
    <row r="7">
      <c r="A7" s="74">
        <v>45010.0</v>
      </c>
      <c r="B7" s="5">
        <v>1362.9</v>
      </c>
      <c r="C7" s="5">
        <v>346.0</v>
      </c>
      <c r="D7" s="44">
        <v>200.0</v>
      </c>
      <c r="E7" s="5"/>
      <c r="F7" s="5">
        <v>167.3</v>
      </c>
      <c r="G7" s="5"/>
      <c r="H7" s="5"/>
      <c r="I7" s="5"/>
      <c r="J7" s="6"/>
      <c r="K7" s="5"/>
      <c r="L7" s="5"/>
      <c r="M7" s="93"/>
      <c r="N7" s="44">
        <v>200.0</v>
      </c>
      <c r="O7" s="6"/>
      <c r="P7" s="5">
        <v>19.5</v>
      </c>
      <c r="Q7" s="6"/>
      <c r="R7" s="5">
        <v>24.18</v>
      </c>
      <c r="S7" s="7">
        <f t="shared" si="1"/>
        <v>2319.88</v>
      </c>
      <c r="T7" s="8">
        <v>14288.82</v>
      </c>
      <c r="U7" s="59">
        <f t="shared" si="2"/>
        <v>0.1623563037</v>
      </c>
      <c r="V7" s="94">
        <f t="shared" si="3"/>
        <v>45010</v>
      </c>
    </row>
    <row r="8">
      <c r="A8" s="74">
        <v>45011.0</v>
      </c>
      <c r="B8" s="10" t="s">
        <v>21</v>
      </c>
      <c r="C8" s="10" t="s">
        <v>21</v>
      </c>
      <c r="D8" s="10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0" t="s">
        <v>21</v>
      </c>
      <c r="K8" s="10" t="s">
        <v>21</v>
      </c>
      <c r="L8" s="10" t="s">
        <v>21</v>
      </c>
      <c r="M8" s="10"/>
      <c r="N8" s="10" t="s">
        <v>21</v>
      </c>
      <c r="O8" s="10" t="s">
        <v>21</v>
      </c>
      <c r="P8" s="10" t="s">
        <v>21</v>
      </c>
      <c r="Q8" s="10" t="s">
        <v>21</v>
      </c>
      <c r="R8" s="10" t="s">
        <v>21</v>
      </c>
      <c r="S8" s="7">
        <v>0.0</v>
      </c>
      <c r="T8" s="8">
        <v>9031.95</v>
      </c>
      <c r="U8" s="59">
        <f t="shared" si="2"/>
        <v>0</v>
      </c>
      <c r="V8" s="94">
        <f t="shared" si="3"/>
        <v>45011</v>
      </c>
    </row>
    <row r="11">
      <c r="A11" s="4" t="s">
        <v>22</v>
      </c>
      <c r="B11" s="11">
        <v>13000.0</v>
      </c>
      <c r="E11" s="78"/>
      <c r="F11" s="79"/>
    </row>
    <row r="12">
      <c r="A12" s="4" t="s">
        <v>23</v>
      </c>
      <c r="B12" s="12">
        <f>SUM(B2:R8)</f>
        <v>14776.3</v>
      </c>
      <c r="E12" s="56"/>
    </row>
    <row r="13">
      <c r="A13" s="4" t="s">
        <v>24</v>
      </c>
      <c r="B13" s="12">
        <f> SUM(B11-B12)</f>
        <v>-1776.3</v>
      </c>
    </row>
    <row r="15">
      <c r="A15" s="13" t="s">
        <v>25</v>
      </c>
      <c r="B15" s="14">
        <f>SUM(T2:T8)</f>
        <v>56143.7</v>
      </c>
    </row>
    <row r="16">
      <c r="A16" s="13" t="s">
        <v>26</v>
      </c>
      <c r="B16" s="15">
        <f>B12/B15</f>
        <v>0.263187143</v>
      </c>
    </row>
    <row r="19">
      <c r="A19" s="16" t="s">
        <v>27</v>
      </c>
      <c r="B19" s="17"/>
      <c r="C19" s="17"/>
      <c r="D19" s="18"/>
      <c r="H19" s="84"/>
    </row>
    <row r="20">
      <c r="A20" s="19" t="s">
        <v>28</v>
      </c>
      <c r="B20" s="20"/>
      <c r="C20" s="20"/>
      <c r="D20" s="21"/>
      <c r="H20" s="85"/>
      <c r="I20" s="85"/>
      <c r="J20" s="85"/>
    </row>
    <row r="21">
      <c r="A21" s="22" t="s">
        <v>29</v>
      </c>
      <c r="B21" s="23" t="s">
        <v>30</v>
      </c>
      <c r="C21" s="22" t="s">
        <v>31</v>
      </c>
      <c r="D21" s="24" t="s">
        <v>30</v>
      </c>
      <c r="H21" s="86"/>
      <c r="I21" s="85"/>
      <c r="J21" s="85"/>
    </row>
    <row r="22">
      <c r="A22" s="28" t="s">
        <v>132</v>
      </c>
      <c r="B22" s="72">
        <v>1165.98</v>
      </c>
      <c r="C22" s="25"/>
      <c r="D22" s="27"/>
      <c r="H22" s="87"/>
      <c r="I22" s="85"/>
      <c r="J22" s="85"/>
    </row>
    <row r="23">
      <c r="A23" s="28" t="s">
        <v>133</v>
      </c>
      <c r="B23" s="72">
        <v>1133.55</v>
      </c>
      <c r="C23" s="25"/>
      <c r="D23" s="27"/>
      <c r="H23" s="88"/>
      <c r="I23" s="88"/>
      <c r="J23" s="88"/>
    </row>
    <row r="24">
      <c r="A24" s="71" t="s">
        <v>51</v>
      </c>
      <c r="B24" s="72">
        <v>496.56</v>
      </c>
      <c r="C24" s="25"/>
      <c r="D24" s="27"/>
      <c r="H24" s="88"/>
      <c r="I24" s="88"/>
      <c r="J24" s="88"/>
    </row>
    <row r="25">
      <c r="A25" s="28" t="s">
        <v>134</v>
      </c>
      <c r="B25" s="41">
        <v>103.5</v>
      </c>
      <c r="C25" s="25"/>
      <c r="D25" s="27"/>
      <c r="H25" s="88"/>
      <c r="I25" s="88"/>
      <c r="J25" s="88"/>
    </row>
    <row r="26">
      <c r="A26" s="25"/>
      <c r="B26" s="26"/>
      <c r="C26" s="25"/>
      <c r="D26" s="27"/>
      <c r="H26" s="88"/>
      <c r="I26" s="88"/>
      <c r="J26" s="88"/>
    </row>
    <row r="27">
      <c r="A27" s="25"/>
      <c r="B27" s="26"/>
      <c r="C27" s="25"/>
      <c r="D27" s="27"/>
      <c r="H27" s="88"/>
      <c r="I27" s="88"/>
      <c r="J27" s="88"/>
    </row>
    <row r="28">
      <c r="A28" s="25"/>
      <c r="B28" s="26"/>
      <c r="C28" s="25"/>
      <c r="D28" s="27"/>
    </row>
    <row r="29">
      <c r="A29" s="25"/>
      <c r="B29" s="26"/>
      <c r="C29" s="25"/>
      <c r="D29" s="27"/>
      <c r="I29" s="89"/>
      <c r="J29" s="90"/>
    </row>
  </sheetData>
  <mergeCells count="1">
    <mergeCell ref="H19:J19"/>
  </mergeCell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0" max="20" width="20.5"/>
  </cols>
  <sheetData>
    <row r="1">
      <c r="B1" s="2" t="s">
        <v>0</v>
      </c>
      <c r="C1" s="2" t="s">
        <v>1</v>
      </c>
      <c r="D1" s="2" t="s">
        <v>7</v>
      </c>
      <c r="E1" s="2" t="s">
        <v>3</v>
      </c>
      <c r="F1" s="2" t="s">
        <v>129</v>
      </c>
      <c r="G1" s="2" t="s">
        <v>5</v>
      </c>
      <c r="H1" s="2" t="s">
        <v>6</v>
      </c>
      <c r="I1" s="2" t="s">
        <v>40</v>
      </c>
      <c r="J1" s="2" t="s">
        <v>49</v>
      </c>
      <c r="K1" s="2" t="s">
        <v>42</v>
      </c>
      <c r="L1" s="2" t="s">
        <v>121</v>
      </c>
      <c r="M1" s="2" t="s">
        <v>9</v>
      </c>
      <c r="N1" s="2" t="s">
        <v>10</v>
      </c>
      <c r="O1" s="2" t="s">
        <v>11</v>
      </c>
      <c r="P1" s="2" t="s">
        <v>12</v>
      </c>
      <c r="Q1" s="3" t="s">
        <v>13</v>
      </c>
      <c r="R1" s="3" t="s">
        <v>14</v>
      </c>
      <c r="S1" s="3" t="s">
        <v>15</v>
      </c>
    </row>
    <row r="2">
      <c r="A2" s="74">
        <v>45012.0</v>
      </c>
      <c r="B2" s="5">
        <v>3149.31</v>
      </c>
      <c r="C2" s="5">
        <v>331.46</v>
      </c>
      <c r="D2" s="5"/>
      <c r="E2" s="5"/>
      <c r="F2" s="5"/>
      <c r="G2" s="5"/>
      <c r="H2" s="5"/>
      <c r="I2" s="72">
        <v>1165.98</v>
      </c>
      <c r="J2" s="5">
        <v>385.0</v>
      </c>
      <c r="K2" s="5"/>
      <c r="L2" s="6"/>
      <c r="M2" s="6"/>
      <c r="N2" s="5"/>
      <c r="O2" s="5">
        <v>105.65</v>
      </c>
      <c r="P2" s="6"/>
      <c r="Q2" s="7">
        <f t="shared" ref="Q2:Q7" si="1">SUM(B2:P2)</f>
        <v>5137.4</v>
      </c>
      <c r="R2" s="8">
        <v>4840.9</v>
      </c>
      <c r="S2" s="59">
        <f t="shared" ref="S2:S8" si="2">Q2/R2</f>
        <v>1.061248941</v>
      </c>
      <c r="T2" s="74">
        <f t="shared" ref="T2:T8" si="3">A2</f>
        <v>45012</v>
      </c>
    </row>
    <row r="3">
      <c r="A3" s="74">
        <v>45013.0</v>
      </c>
      <c r="B3" s="5">
        <v>391.84</v>
      </c>
      <c r="C3" s="33"/>
      <c r="D3" s="5"/>
      <c r="E3" s="5"/>
      <c r="F3" s="5">
        <v>104.44</v>
      </c>
      <c r="G3" s="5"/>
      <c r="H3" s="5"/>
      <c r="I3" s="42"/>
      <c r="J3" s="5"/>
      <c r="K3" s="5"/>
      <c r="L3" s="6"/>
      <c r="M3" s="6"/>
      <c r="N3" s="5"/>
      <c r="O3" s="5"/>
      <c r="P3" s="5">
        <v>179.96</v>
      </c>
      <c r="Q3" s="7">
        <f t="shared" si="1"/>
        <v>676.24</v>
      </c>
      <c r="R3" s="8">
        <v>7064.86</v>
      </c>
      <c r="S3" s="59">
        <f t="shared" si="2"/>
        <v>0.09571881113</v>
      </c>
      <c r="T3" s="74">
        <f t="shared" si="3"/>
        <v>45013</v>
      </c>
    </row>
    <row r="4">
      <c r="A4" s="74">
        <v>45014.0</v>
      </c>
      <c r="B4" s="5">
        <v>968.32</v>
      </c>
      <c r="C4" s="5">
        <v>498.59</v>
      </c>
      <c r="D4" s="5"/>
      <c r="E4" s="5"/>
      <c r="F4" s="5"/>
      <c r="G4" s="5">
        <v>270.0</v>
      </c>
      <c r="H4" s="5"/>
      <c r="I4" s="42"/>
      <c r="J4" s="5"/>
      <c r="K4" s="5"/>
      <c r="L4" s="5">
        <v>18.5</v>
      </c>
      <c r="M4" s="6"/>
      <c r="N4" s="83"/>
      <c r="O4" s="5"/>
      <c r="P4" s="6"/>
      <c r="Q4" s="7">
        <f t="shared" si="1"/>
        <v>1755.41</v>
      </c>
      <c r="R4" s="8">
        <v>4474.65</v>
      </c>
      <c r="S4" s="59">
        <f t="shared" si="2"/>
        <v>0.3923010738</v>
      </c>
      <c r="T4" s="74">
        <f t="shared" si="3"/>
        <v>45014</v>
      </c>
    </row>
    <row r="5">
      <c r="A5" s="74">
        <v>45015.0</v>
      </c>
      <c r="B5" s="5">
        <v>974.2</v>
      </c>
      <c r="C5" s="5">
        <v>551.65</v>
      </c>
      <c r="D5" s="6"/>
      <c r="E5" s="5"/>
      <c r="F5" s="5">
        <v>398.89</v>
      </c>
      <c r="G5" s="5"/>
      <c r="H5" s="5"/>
      <c r="I5" s="5"/>
      <c r="J5" s="5"/>
      <c r="K5" s="5"/>
      <c r="L5" s="5">
        <v>18.5</v>
      </c>
      <c r="M5" s="5"/>
      <c r="N5" s="5"/>
      <c r="O5" s="6"/>
      <c r="P5" s="6"/>
      <c r="Q5" s="7">
        <f t="shared" si="1"/>
        <v>1943.24</v>
      </c>
      <c r="R5" s="8">
        <v>6931.0</v>
      </c>
      <c r="S5" s="59">
        <f t="shared" si="2"/>
        <v>0.2803693551</v>
      </c>
      <c r="T5" s="74">
        <f t="shared" si="3"/>
        <v>45015</v>
      </c>
    </row>
    <row r="6">
      <c r="A6" s="74">
        <v>45016.0</v>
      </c>
      <c r="B6" s="5">
        <v>963.18</v>
      </c>
      <c r="C6" s="5">
        <v>166.5</v>
      </c>
      <c r="D6" s="5"/>
      <c r="E6" s="5"/>
      <c r="F6" s="5"/>
      <c r="G6" s="5"/>
      <c r="H6" s="5">
        <v>123.0</v>
      </c>
      <c r="I6" s="5"/>
      <c r="J6" s="5"/>
      <c r="K6" s="5"/>
      <c r="L6" s="5">
        <v>18.5</v>
      </c>
      <c r="M6" s="6"/>
      <c r="N6" s="5"/>
      <c r="O6" s="5">
        <v>105.65</v>
      </c>
      <c r="P6" s="5"/>
      <c r="Q6" s="7">
        <f t="shared" si="1"/>
        <v>1376.83</v>
      </c>
      <c r="R6" s="8">
        <v>10944.2</v>
      </c>
      <c r="S6" s="59">
        <f t="shared" si="2"/>
        <v>0.1258045357</v>
      </c>
      <c r="T6" s="74">
        <f t="shared" si="3"/>
        <v>45016</v>
      </c>
    </row>
    <row r="7">
      <c r="A7" s="74">
        <v>45017.0</v>
      </c>
      <c r="B7" s="5">
        <v>1638.35</v>
      </c>
      <c r="C7" s="5">
        <v>552.5</v>
      </c>
      <c r="D7" s="44">
        <v>200.0</v>
      </c>
      <c r="E7" s="5"/>
      <c r="F7" s="5">
        <v>163.27</v>
      </c>
      <c r="G7" s="5"/>
      <c r="H7" s="5"/>
      <c r="I7" s="6"/>
      <c r="J7" s="5"/>
      <c r="K7" s="5"/>
      <c r="L7" s="93"/>
      <c r="M7" s="44">
        <v>100.0</v>
      </c>
      <c r="N7" s="6"/>
      <c r="O7" s="6"/>
      <c r="P7" s="5">
        <v>37.08</v>
      </c>
      <c r="Q7" s="7">
        <f t="shared" si="1"/>
        <v>2691.2</v>
      </c>
      <c r="R7" s="8">
        <v>14841.08</v>
      </c>
      <c r="S7" s="59">
        <f t="shared" si="2"/>
        <v>0.181334512</v>
      </c>
      <c r="T7" s="74">
        <f t="shared" si="3"/>
        <v>45017</v>
      </c>
    </row>
    <row r="8">
      <c r="A8" s="74">
        <v>45018.0</v>
      </c>
      <c r="B8" s="10" t="s">
        <v>21</v>
      </c>
      <c r="C8" s="10" t="s">
        <v>21</v>
      </c>
      <c r="D8" s="10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0" t="s">
        <v>21</v>
      </c>
      <c r="K8" s="10" t="s">
        <v>21</v>
      </c>
      <c r="L8" s="10"/>
      <c r="M8" s="10" t="s">
        <v>21</v>
      </c>
      <c r="N8" s="10" t="s">
        <v>21</v>
      </c>
      <c r="O8" s="10" t="s">
        <v>21</v>
      </c>
      <c r="P8" s="10" t="s">
        <v>21</v>
      </c>
      <c r="Q8" s="7">
        <v>0.0</v>
      </c>
      <c r="R8" s="8">
        <v>6608.69</v>
      </c>
      <c r="S8" s="59">
        <f t="shared" si="2"/>
        <v>0</v>
      </c>
      <c r="T8" s="74">
        <f t="shared" si="3"/>
        <v>45018</v>
      </c>
    </row>
    <row r="11">
      <c r="A11" s="4" t="s">
        <v>22</v>
      </c>
      <c r="B11" s="11">
        <v>13000.0</v>
      </c>
      <c r="E11" s="78"/>
      <c r="F11" s="79"/>
    </row>
    <row r="12">
      <c r="A12" s="4" t="s">
        <v>23</v>
      </c>
      <c r="B12" s="12">
        <f>SUM(B2:P8)</f>
        <v>13580.32</v>
      </c>
      <c r="E12" s="56"/>
    </row>
    <row r="13">
      <c r="A13" s="4" t="s">
        <v>24</v>
      </c>
      <c r="B13" s="12">
        <f> SUM(B11-B12)</f>
        <v>-580.32</v>
      </c>
    </row>
    <row r="15">
      <c r="A15" s="13" t="s">
        <v>25</v>
      </c>
      <c r="B15" s="14">
        <f>SUM(R2:R8)</f>
        <v>55705.38</v>
      </c>
    </row>
    <row r="16">
      <c r="A16" s="13" t="s">
        <v>26</v>
      </c>
      <c r="B16" s="15">
        <f>B12/B15</f>
        <v>0.243788302</v>
      </c>
    </row>
    <row r="19">
      <c r="A19" s="16" t="s">
        <v>27</v>
      </c>
      <c r="B19" s="17"/>
      <c r="C19" s="17"/>
      <c r="D19" s="18"/>
      <c r="H19" s="84"/>
    </row>
    <row r="20">
      <c r="A20" s="19" t="s">
        <v>28</v>
      </c>
      <c r="B20" s="20"/>
      <c r="C20" s="20"/>
      <c r="D20" s="21"/>
      <c r="H20" s="85"/>
      <c r="I20" s="85"/>
    </row>
    <row r="21">
      <c r="A21" s="22" t="s">
        <v>29</v>
      </c>
      <c r="B21" s="23" t="s">
        <v>30</v>
      </c>
      <c r="C21" s="22" t="s">
        <v>31</v>
      </c>
      <c r="D21" s="24" t="s">
        <v>30</v>
      </c>
      <c r="H21" s="86"/>
      <c r="I21" s="85"/>
    </row>
    <row r="22">
      <c r="A22" s="28" t="s">
        <v>135</v>
      </c>
      <c r="B22" s="72">
        <v>1214.86</v>
      </c>
      <c r="C22" s="25"/>
      <c r="D22" s="27"/>
      <c r="H22" s="87"/>
      <c r="I22" s="85"/>
    </row>
    <row r="23">
      <c r="A23" s="28" t="s">
        <v>41</v>
      </c>
      <c r="B23" s="72">
        <v>598.32</v>
      </c>
      <c r="C23" s="25"/>
      <c r="D23" s="27"/>
      <c r="H23" s="88"/>
      <c r="I23" s="88"/>
    </row>
    <row r="24">
      <c r="A24" s="71" t="s">
        <v>136</v>
      </c>
      <c r="B24" s="72">
        <v>1563.2</v>
      </c>
      <c r="C24" s="25"/>
      <c r="D24" s="27"/>
      <c r="H24" s="88"/>
      <c r="I24" s="88"/>
    </row>
    <row r="25">
      <c r="A25" s="28"/>
      <c r="B25" s="26"/>
      <c r="C25" s="25"/>
      <c r="D25" s="27"/>
      <c r="H25" s="88"/>
      <c r="I25" s="88"/>
    </row>
    <row r="26">
      <c r="A26" s="25"/>
      <c r="B26" s="26"/>
      <c r="C26" s="25"/>
      <c r="D26" s="27"/>
      <c r="H26" s="88"/>
      <c r="I26" s="88"/>
    </row>
    <row r="27">
      <c r="A27" s="25"/>
      <c r="B27" s="26"/>
      <c r="C27" s="25"/>
      <c r="D27" s="27"/>
      <c r="H27" s="88"/>
      <c r="I27" s="88"/>
    </row>
    <row r="28">
      <c r="A28" s="25"/>
      <c r="B28" s="26"/>
      <c r="C28" s="25"/>
      <c r="D28" s="27"/>
    </row>
    <row r="29">
      <c r="A29" s="25"/>
      <c r="B29" s="26"/>
      <c r="C29" s="25"/>
      <c r="D29" s="27"/>
      <c r="I29" s="90"/>
    </row>
  </sheetData>
  <mergeCells count="1">
    <mergeCell ref="H19:I19"/>
  </mergeCell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</cols>
  <sheetData>
    <row r="1">
      <c r="B1" s="2" t="s">
        <v>0</v>
      </c>
      <c r="C1" s="2" t="s">
        <v>1</v>
      </c>
      <c r="D1" s="2" t="s">
        <v>7</v>
      </c>
      <c r="E1" s="2" t="s">
        <v>3</v>
      </c>
      <c r="F1" s="2" t="s">
        <v>129</v>
      </c>
      <c r="G1" s="2" t="s">
        <v>5</v>
      </c>
      <c r="H1" s="2" t="s">
        <v>6</v>
      </c>
      <c r="I1" s="2" t="s">
        <v>43</v>
      </c>
      <c r="J1" s="2" t="s">
        <v>40</v>
      </c>
      <c r="K1" s="2" t="s">
        <v>49</v>
      </c>
      <c r="L1" s="2" t="s">
        <v>42</v>
      </c>
      <c r="M1" s="2" t="s">
        <v>121</v>
      </c>
      <c r="N1" s="2" t="s">
        <v>9</v>
      </c>
      <c r="O1" s="2" t="s">
        <v>37</v>
      </c>
      <c r="P1" s="2" t="s">
        <v>10</v>
      </c>
      <c r="Q1" s="2" t="s">
        <v>11</v>
      </c>
      <c r="R1" s="2" t="s">
        <v>12</v>
      </c>
      <c r="S1" s="3" t="s">
        <v>13</v>
      </c>
      <c r="T1" s="3" t="s">
        <v>14</v>
      </c>
      <c r="U1" s="3" t="s">
        <v>15</v>
      </c>
    </row>
    <row r="2">
      <c r="A2" s="74">
        <v>45019.0</v>
      </c>
      <c r="B2" s="5">
        <v>2798.99</v>
      </c>
      <c r="C2" s="5">
        <v>947.86</v>
      </c>
      <c r="D2" s="5"/>
      <c r="E2" s="5"/>
      <c r="F2" s="5">
        <v>819.44</v>
      </c>
      <c r="G2" s="5"/>
      <c r="H2" s="5"/>
      <c r="I2" s="5"/>
      <c r="J2" s="72">
        <v>1133.55</v>
      </c>
      <c r="K2" s="5">
        <v>445.0</v>
      </c>
      <c r="L2" s="5"/>
      <c r="M2" s="6"/>
      <c r="N2" s="6"/>
      <c r="O2" s="5"/>
      <c r="P2" s="5">
        <v>34.45</v>
      </c>
      <c r="Q2" s="5">
        <v>105.65</v>
      </c>
      <c r="R2" s="6"/>
      <c r="S2" s="7">
        <f t="shared" ref="S2:S7" si="1">SUM(B2:R2)</f>
        <v>6284.94</v>
      </c>
      <c r="T2" s="8">
        <v>3612.0</v>
      </c>
      <c r="U2" s="59">
        <f t="shared" ref="U2:U8" si="2">S2/T2</f>
        <v>1.740016611</v>
      </c>
    </row>
    <row r="3">
      <c r="A3" s="74">
        <v>45020.0</v>
      </c>
      <c r="B3" s="5">
        <v>320.98</v>
      </c>
      <c r="C3" s="33"/>
      <c r="D3" s="5"/>
      <c r="E3" s="5"/>
      <c r="F3" s="5">
        <v>163.18</v>
      </c>
      <c r="G3" s="5"/>
      <c r="H3" s="5"/>
      <c r="I3" s="5">
        <v>322.8</v>
      </c>
      <c r="J3" s="42"/>
      <c r="K3" s="5"/>
      <c r="L3" s="5"/>
      <c r="M3" s="6"/>
      <c r="N3" s="6"/>
      <c r="O3" s="93"/>
      <c r="P3" s="5"/>
      <c r="Q3" s="5"/>
      <c r="R3" s="5">
        <v>179.96</v>
      </c>
      <c r="S3" s="7">
        <f t="shared" si="1"/>
        <v>986.92</v>
      </c>
      <c r="T3" s="8">
        <v>10018.41</v>
      </c>
      <c r="U3" s="59">
        <f t="shared" si="2"/>
        <v>0.09851064191</v>
      </c>
    </row>
    <row r="4">
      <c r="A4" s="74">
        <v>45021.0</v>
      </c>
      <c r="B4" s="5">
        <v>2030.44</v>
      </c>
      <c r="C4" s="5">
        <v>173.68</v>
      </c>
      <c r="D4" s="5"/>
      <c r="E4" s="5"/>
      <c r="F4" s="5">
        <v>205.09</v>
      </c>
      <c r="G4" s="5">
        <v>95.0</v>
      </c>
      <c r="H4" s="5"/>
      <c r="I4" s="5"/>
      <c r="J4" s="42"/>
      <c r="K4" s="5"/>
      <c r="L4" s="5"/>
      <c r="M4" s="5">
        <v>18.5</v>
      </c>
      <c r="N4" s="6"/>
      <c r="O4" s="5"/>
      <c r="P4" s="83"/>
      <c r="Q4" s="5"/>
      <c r="R4" s="6"/>
      <c r="S4" s="7">
        <f t="shared" si="1"/>
        <v>2522.71</v>
      </c>
      <c r="T4" s="8">
        <v>8916.29</v>
      </c>
      <c r="U4" s="59">
        <f t="shared" si="2"/>
        <v>0.2829326996</v>
      </c>
    </row>
    <row r="5">
      <c r="A5" s="74">
        <v>45022.0</v>
      </c>
      <c r="B5" s="5">
        <v>2097.89</v>
      </c>
      <c r="C5" s="5">
        <v>240.63</v>
      </c>
      <c r="D5" s="6"/>
      <c r="E5" s="5"/>
      <c r="F5" s="5"/>
      <c r="G5" s="5"/>
      <c r="H5" s="5"/>
      <c r="I5" s="5"/>
      <c r="J5" s="5"/>
      <c r="K5" s="5"/>
      <c r="L5" s="5"/>
      <c r="M5" s="5">
        <v>18.5</v>
      </c>
      <c r="N5" s="5"/>
      <c r="O5" s="5"/>
      <c r="P5" s="5"/>
      <c r="Q5" s="6"/>
      <c r="R5" s="6"/>
      <c r="S5" s="7">
        <f t="shared" si="1"/>
        <v>2357.02</v>
      </c>
      <c r="T5" s="8">
        <v>6758.5</v>
      </c>
      <c r="U5" s="59">
        <f t="shared" si="2"/>
        <v>0.3487489828</v>
      </c>
    </row>
    <row r="6">
      <c r="A6" s="74">
        <v>45023.0</v>
      </c>
      <c r="B6" s="5">
        <v>1621.73</v>
      </c>
      <c r="C6" s="5">
        <v>300.08</v>
      </c>
      <c r="D6" s="5"/>
      <c r="E6" s="5">
        <v>180.0</v>
      </c>
      <c r="F6" s="5"/>
      <c r="G6" s="5">
        <v>569.9</v>
      </c>
      <c r="H6" s="5">
        <v>328.0</v>
      </c>
      <c r="I6" s="5"/>
      <c r="J6" s="5"/>
      <c r="K6" s="5"/>
      <c r="L6" s="5"/>
      <c r="M6" s="5">
        <v>18.5</v>
      </c>
      <c r="N6" s="6"/>
      <c r="O6" s="5"/>
      <c r="P6" s="5"/>
      <c r="Q6" s="5">
        <v>105.65</v>
      </c>
      <c r="R6" s="5"/>
      <c r="S6" s="7">
        <f t="shared" si="1"/>
        <v>3123.86</v>
      </c>
      <c r="T6" s="8">
        <v>10444.0</v>
      </c>
      <c r="U6" s="59">
        <f t="shared" si="2"/>
        <v>0.2991057066</v>
      </c>
    </row>
    <row r="7">
      <c r="A7" s="74">
        <v>45024.0</v>
      </c>
      <c r="B7" s="5">
        <v>2341.16</v>
      </c>
      <c r="C7" s="5"/>
      <c r="D7" s="44">
        <v>200.0</v>
      </c>
      <c r="E7" s="5"/>
      <c r="F7" s="5">
        <v>221.72</v>
      </c>
      <c r="G7" s="5"/>
      <c r="H7" s="5"/>
      <c r="I7" s="5"/>
      <c r="J7" s="6"/>
      <c r="K7" s="5"/>
      <c r="L7" s="5"/>
      <c r="M7" s="93"/>
      <c r="N7" s="44">
        <v>200.0</v>
      </c>
      <c r="O7" s="6"/>
      <c r="P7" s="5">
        <v>39.0</v>
      </c>
      <c r="Q7" s="6"/>
      <c r="R7" s="5">
        <v>73.35</v>
      </c>
      <c r="S7" s="7">
        <f t="shared" si="1"/>
        <v>3075.23</v>
      </c>
      <c r="T7" s="8">
        <v>12435.62</v>
      </c>
      <c r="U7" s="59">
        <f t="shared" si="2"/>
        <v>0.247292053</v>
      </c>
    </row>
    <row r="8">
      <c r="A8" s="74">
        <v>45025.0</v>
      </c>
      <c r="B8" s="10" t="s">
        <v>21</v>
      </c>
      <c r="C8" s="10" t="s">
        <v>21</v>
      </c>
      <c r="D8" s="10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0" t="s">
        <v>21</v>
      </c>
      <c r="K8" s="10" t="s">
        <v>21</v>
      </c>
      <c r="L8" s="10" t="s">
        <v>21</v>
      </c>
      <c r="M8" s="10"/>
      <c r="N8" s="10" t="s">
        <v>21</v>
      </c>
      <c r="O8" s="10" t="s">
        <v>21</v>
      </c>
      <c r="P8" s="10" t="s">
        <v>21</v>
      </c>
      <c r="Q8" s="10" t="s">
        <v>21</v>
      </c>
      <c r="R8" s="10" t="s">
        <v>21</v>
      </c>
      <c r="S8" s="7">
        <v>0.0</v>
      </c>
      <c r="T8" s="8">
        <v>17886.89</v>
      </c>
      <c r="U8" s="59">
        <f t="shared" si="2"/>
        <v>0</v>
      </c>
    </row>
    <row r="11">
      <c r="A11" s="4" t="s">
        <v>22</v>
      </c>
      <c r="B11" s="11">
        <v>13000.0</v>
      </c>
      <c r="E11" s="78"/>
      <c r="F11" s="79"/>
    </row>
    <row r="12">
      <c r="A12" s="4" t="s">
        <v>23</v>
      </c>
      <c r="B12" s="12">
        <f>SUM(B2:R8)</f>
        <v>18350.68</v>
      </c>
      <c r="E12" s="56"/>
    </row>
    <row r="13">
      <c r="A13" s="4" t="s">
        <v>24</v>
      </c>
      <c r="B13" s="12">
        <f> SUM(B11-B12)</f>
        <v>-5350.68</v>
      </c>
    </row>
    <row r="15">
      <c r="A15" s="13" t="s">
        <v>25</v>
      </c>
      <c r="B15" s="14">
        <f>SUM(T2:T8)</f>
        <v>70071.71</v>
      </c>
    </row>
    <row r="16">
      <c r="A16" s="13" t="s">
        <v>26</v>
      </c>
      <c r="B16" s="15">
        <f>B12/B15</f>
        <v>0.2618842897</v>
      </c>
    </row>
    <row r="19">
      <c r="A19" s="16" t="s">
        <v>27</v>
      </c>
      <c r="B19" s="17"/>
      <c r="C19" s="17"/>
      <c r="D19" s="18"/>
      <c r="H19" s="84"/>
    </row>
    <row r="20">
      <c r="A20" s="19" t="s">
        <v>28</v>
      </c>
      <c r="B20" s="20"/>
      <c r="C20" s="20"/>
      <c r="D20" s="21"/>
      <c r="H20" s="85"/>
      <c r="I20" s="85"/>
      <c r="J20" s="85"/>
    </row>
    <row r="21">
      <c r="A21" s="22" t="s">
        <v>29</v>
      </c>
      <c r="B21" s="23" t="s">
        <v>30</v>
      </c>
      <c r="C21" s="22" t="s">
        <v>31</v>
      </c>
      <c r="D21" s="24" t="s">
        <v>30</v>
      </c>
      <c r="H21" s="86"/>
      <c r="I21" s="85"/>
      <c r="J21" s="85"/>
    </row>
    <row r="22">
      <c r="A22" s="28" t="s">
        <v>51</v>
      </c>
      <c r="B22" s="72">
        <v>463.24</v>
      </c>
      <c r="C22" s="25"/>
      <c r="D22" s="27"/>
      <c r="H22" s="87"/>
      <c r="I22" s="85"/>
      <c r="J22" s="85"/>
    </row>
    <row r="23">
      <c r="A23" s="28" t="s">
        <v>137</v>
      </c>
      <c r="B23" s="72">
        <v>138.26</v>
      </c>
      <c r="C23" s="25"/>
      <c r="D23" s="27"/>
      <c r="H23" s="88"/>
      <c r="I23" s="88"/>
      <c r="J23" s="88"/>
    </row>
    <row r="24">
      <c r="A24" s="71" t="s">
        <v>128</v>
      </c>
      <c r="B24" s="72">
        <v>1280.64</v>
      </c>
      <c r="C24" s="25"/>
      <c r="D24" s="27"/>
      <c r="H24" s="88"/>
      <c r="I24" s="88"/>
      <c r="J24" s="88"/>
    </row>
    <row r="25">
      <c r="A25" s="28"/>
      <c r="B25" s="26"/>
      <c r="C25" s="25"/>
      <c r="D25" s="27"/>
      <c r="H25" s="88"/>
      <c r="I25" s="88"/>
      <c r="J25" s="88"/>
    </row>
    <row r="26">
      <c r="A26" s="25"/>
      <c r="B26" s="26"/>
      <c r="C26" s="25"/>
      <c r="D26" s="27"/>
      <c r="H26" s="88"/>
      <c r="I26" s="88"/>
      <c r="J26" s="88"/>
    </row>
    <row r="27">
      <c r="A27" s="25"/>
      <c r="B27" s="26"/>
      <c r="C27" s="25"/>
      <c r="D27" s="27"/>
      <c r="H27" s="88"/>
      <c r="I27" s="88"/>
      <c r="J27" s="88"/>
    </row>
    <row r="28">
      <c r="A28" s="25"/>
      <c r="B28" s="26"/>
      <c r="C28" s="25"/>
      <c r="D28" s="27"/>
    </row>
    <row r="29">
      <c r="A29" s="25"/>
      <c r="B29" s="26"/>
      <c r="C29" s="25"/>
      <c r="D29" s="27"/>
      <c r="I29" s="89"/>
      <c r="J29" s="90"/>
    </row>
  </sheetData>
  <mergeCells count="1">
    <mergeCell ref="H19:J19"/>
  </mergeCell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</cols>
  <sheetData>
    <row r="1">
      <c r="B1" s="2" t="s">
        <v>0</v>
      </c>
      <c r="C1" s="2" t="s">
        <v>1</v>
      </c>
      <c r="D1" s="2" t="s">
        <v>7</v>
      </c>
      <c r="E1" s="2" t="s">
        <v>3</v>
      </c>
      <c r="F1" s="2" t="s">
        <v>129</v>
      </c>
      <c r="G1" s="2" t="s">
        <v>5</v>
      </c>
      <c r="H1" s="2" t="s">
        <v>6</v>
      </c>
      <c r="I1" s="2" t="s">
        <v>43</v>
      </c>
      <c r="J1" s="2" t="s">
        <v>40</v>
      </c>
      <c r="K1" s="2" t="s">
        <v>49</v>
      </c>
      <c r="L1" s="2" t="s">
        <v>42</v>
      </c>
      <c r="M1" s="2" t="s">
        <v>121</v>
      </c>
      <c r="N1" s="2" t="s">
        <v>9</v>
      </c>
      <c r="O1" s="2" t="s">
        <v>37</v>
      </c>
      <c r="P1" s="2" t="s">
        <v>10</v>
      </c>
      <c r="Q1" s="2" t="s">
        <v>11</v>
      </c>
      <c r="R1" s="2" t="s">
        <v>12</v>
      </c>
      <c r="S1" s="3" t="s">
        <v>13</v>
      </c>
      <c r="T1" s="3" t="s">
        <v>14</v>
      </c>
      <c r="U1" s="3" t="s">
        <v>15</v>
      </c>
    </row>
    <row r="2">
      <c r="A2" s="74">
        <v>45026.0</v>
      </c>
      <c r="B2" s="5">
        <v>2376.41</v>
      </c>
      <c r="C2" s="5">
        <v>1980.51</v>
      </c>
      <c r="D2" s="5"/>
      <c r="E2" s="5"/>
      <c r="F2" s="5">
        <v>247.07</v>
      </c>
      <c r="G2" s="5"/>
      <c r="H2" s="5"/>
      <c r="I2" s="5"/>
      <c r="J2" s="72">
        <v>1214.86</v>
      </c>
      <c r="K2" s="5">
        <v>325.0</v>
      </c>
      <c r="L2" s="5"/>
      <c r="M2" s="6"/>
      <c r="N2" s="6"/>
      <c r="O2" s="5"/>
      <c r="P2" s="5">
        <v>30.0</v>
      </c>
      <c r="Q2" s="5">
        <v>105.65</v>
      </c>
      <c r="R2" s="6"/>
      <c r="S2" s="7">
        <f t="shared" ref="S2:S7" si="1">SUM(B2:R2)</f>
        <v>6279.5</v>
      </c>
      <c r="T2" s="8">
        <v>5480.2</v>
      </c>
      <c r="U2" s="59">
        <f t="shared" ref="U2:U8" si="2">S2/T2</f>
        <v>1.145852341</v>
      </c>
    </row>
    <row r="3">
      <c r="A3" s="74">
        <v>45027.0</v>
      </c>
      <c r="B3" s="5">
        <v>443.73</v>
      </c>
      <c r="C3" s="33">
        <v>59.25</v>
      </c>
      <c r="D3" s="5"/>
      <c r="E3" s="5"/>
      <c r="F3" s="5">
        <v>144.6</v>
      </c>
      <c r="G3" s="5"/>
      <c r="H3" s="5"/>
      <c r="I3" s="5"/>
      <c r="J3" s="42"/>
      <c r="K3" s="5"/>
      <c r="L3" s="5"/>
      <c r="M3" s="6"/>
      <c r="N3" s="6"/>
      <c r="O3" s="93"/>
      <c r="P3" s="5"/>
      <c r="Q3" s="5"/>
      <c r="R3" s="5">
        <v>179.96</v>
      </c>
      <c r="S3" s="7">
        <f t="shared" si="1"/>
        <v>827.54</v>
      </c>
      <c r="T3" s="8">
        <v>4740.0</v>
      </c>
      <c r="U3" s="59">
        <f t="shared" si="2"/>
        <v>0.1745864979</v>
      </c>
    </row>
    <row r="4">
      <c r="A4" s="74">
        <v>45028.0</v>
      </c>
      <c r="B4" s="5">
        <v>685.88</v>
      </c>
      <c r="C4" s="5"/>
      <c r="D4" s="5"/>
      <c r="E4" s="5"/>
      <c r="F4" s="5"/>
      <c r="G4" s="5">
        <v>140.0</v>
      </c>
      <c r="H4" s="5"/>
      <c r="I4" s="5"/>
      <c r="J4" s="42"/>
      <c r="K4" s="5"/>
      <c r="L4" s="5"/>
      <c r="M4" s="5">
        <v>18.5</v>
      </c>
      <c r="N4" s="6"/>
      <c r="O4" s="5"/>
      <c r="P4" s="83">
        <v>38.5</v>
      </c>
      <c r="Q4" s="5"/>
      <c r="R4" s="6"/>
      <c r="S4" s="7">
        <f t="shared" si="1"/>
        <v>882.88</v>
      </c>
      <c r="T4" s="8">
        <v>5528.43</v>
      </c>
      <c r="U4" s="59">
        <f t="shared" si="2"/>
        <v>0.1596981421</v>
      </c>
    </row>
    <row r="5">
      <c r="A5" s="74">
        <v>45029.0</v>
      </c>
      <c r="B5" s="5">
        <v>1418.5</v>
      </c>
      <c r="C5" s="5">
        <v>380.28</v>
      </c>
      <c r="D5" s="6"/>
      <c r="E5" s="5">
        <v>180.0</v>
      </c>
      <c r="F5" s="5">
        <v>733.32</v>
      </c>
      <c r="G5" s="5"/>
      <c r="H5" s="5">
        <v>123.0</v>
      </c>
      <c r="I5" s="5"/>
      <c r="J5" s="5"/>
      <c r="K5" s="5"/>
      <c r="L5" s="5"/>
      <c r="M5" s="5">
        <v>18.5</v>
      </c>
      <c r="N5" s="5"/>
      <c r="O5" s="5"/>
      <c r="P5" s="5"/>
      <c r="Q5" s="6"/>
      <c r="R5" s="6"/>
      <c r="S5" s="7">
        <f t="shared" si="1"/>
        <v>2853.6</v>
      </c>
      <c r="T5" s="8">
        <v>7394.3</v>
      </c>
      <c r="U5" s="59">
        <f t="shared" si="2"/>
        <v>0.3859188835</v>
      </c>
    </row>
    <row r="6">
      <c r="A6" s="74">
        <v>45030.0</v>
      </c>
      <c r="B6" s="5">
        <v>1074.66</v>
      </c>
      <c r="C6" s="5">
        <v>208.2</v>
      </c>
      <c r="D6" s="5"/>
      <c r="E6" s="5"/>
      <c r="F6" s="5"/>
      <c r="G6" s="5">
        <v>380.0</v>
      </c>
      <c r="H6" s="5"/>
      <c r="I6" s="5"/>
      <c r="J6" s="5"/>
      <c r="K6" s="5"/>
      <c r="L6" s="5"/>
      <c r="M6" s="5">
        <v>18.5</v>
      </c>
      <c r="N6" s="6"/>
      <c r="O6" s="5"/>
      <c r="P6" s="5"/>
      <c r="Q6" s="5">
        <v>105.65</v>
      </c>
      <c r="R6" s="5"/>
      <c r="S6" s="7">
        <f t="shared" si="1"/>
        <v>1787.01</v>
      </c>
      <c r="T6" s="8">
        <v>11354.0</v>
      </c>
      <c r="U6" s="59">
        <f t="shared" si="2"/>
        <v>0.157390347</v>
      </c>
    </row>
    <row r="7">
      <c r="A7" s="74">
        <v>45031.0</v>
      </c>
      <c r="B7" s="5">
        <v>1777.21</v>
      </c>
      <c r="C7" s="5">
        <v>212.8</v>
      </c>
      <c r="D7" s="44">
        <v>200.0</v>
      </c>
      <c r="E7" s="5"/>
      <c r="F7" s="5">
        <v>322.82</v>
      </c>
      <c r="G7" s="5"/>
      <c r="H7" s="5"/>
      <c r="I7" s="5"/>
      <c r="J7" s="6"/>
      <c r="K7" s="5"/>
      <c r="L7" s="5"/>
      <c r="M7" s="93"/>
      <c r="N7" s="44">
        <v>200.0</v>
      </c>
      <c r="O7" s="6"/>
      <c r="P7" s="6"/>
      <c r="Q7" s="6"/>
      <c r="R7" s="5"/>
      <c r="S7" s="7">
        <f t="shared" si="1"/>
        <v>2712.83</v>
      </c>
      <c r="T7" s="8">
        <v>16435.05</v>
      </c>
      <c r="U7" s="59">
        <f t="shared" si="2"/>
        <v>0.1650636901</v>
      </c>
    </row>
    <row r="8">
      <c r="A8" s="74">
        <v>45032.0</v>
      </c>
      <c r="B8" s="10" t="s">
        <v>21</v>
      </c>
      <c r="C8" s="10" t="s">
        <v>21</v>
      </c>
      <c r="D8" s="10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0" t="s">
        <v>21</v>
      </c>
      <c r="K8" s="10" t="s">
        <v>21</v>
      </c>
      <c r="L8" s="10" t="s">
        <v>21</v>
      </c>
      <c r="M8" s="10"/>
      <c r="N8" s="10" t="s">
        <v>21</v>
      </c>
      <c r="O8" s="10" t="s">
        <v>21</v>
      </c>
      <c r="P8" s="10" t="s">
        <v>21</v>
      </c>
      <c r="Q8" s="10" t="s">
        <v>21</v>
      </c>
      <c r="R8" s="10" t="s">
        <v>21</v>
      </c>
      <c r="S8" s="7">
        <v>0.0</v>
      </c>
      <c r="T8" s="8"/>
      <c r="U8" s="59" t="str">
        <f t="shared" si="2"/>
        <v>#DIV/0!</v>
      </c>
    </row>
    <row r="11">
      <c r="A11" s="4" t="s">
        <v>22</v>
      </c>
      <c r="B11" s="11">
        <v>13000.0</v>
      </c>
      <c r="E11" s="78"/>
      <c r="F11" s="79"/>
    </row>
    <row r="12">
      <c r="A12" s="4" t="s">
        <v>23</v>
      </c>
      <c r="B12" s="12">
        <f>SUM(B2:R8)</f>
        <v>15343.36</v>
      </c>
      <c r="E12" s="56"/>
    </row>
    <row r="13">
      <c r="A13" s="4" t="s">
        <v>24</v>
      </c>
      <c r="B13" s="12">
        <f> SUM(B11-B12)</f>
        <v>-2343.36</v>
      </c>
    </row>
    <row r="14">
      <c r="H14" s="95" t="s">
        <v>138</v>
      </c>
      <c r="I14" s="61"/>
      <c r="J14" s="61"/>
      <c r="K14" s="62"/>
    </row>
    <row r="15">
      <c r="A15" s="13" t="s">
        <v>25</v>
      </c>
      <c r="B15" s="14">
        <f>SUM(T2:T8)</f>
        <v>50931.98</v>
      </c>
      <c r="H15" s="96" t="s">
        <v>1</v>
      </c>
      <c r="I15" s="96" t="s">
        <v>139</v>
      </c>
      <c r="J15" s="96" t="s">
        <v>1</v>
      </c>
      <c r="K15" s="1"/>
    </row>
    <row r="16">
      <c r="A16" s="13" t="s">
        <v>26</v>
      </c>
      <c r="B16" s="15">
        <f>B12/B15</f>
        <v>0.3012519835</v>
      </c>
      <c r="H16" s="96" t="s">
        <v>140</v>
      </c>
      <c r="I16" s="96" t="s">
        <v>141</v>
      </c>
      <c r="J16" s="96" t="s">
        <v>142</v>
      </c>
      <c r="K16" s="1"/>
    </row>
    <row r="17">
      <c r="H17" s="96" t="s">
        <v>143</v>
      </c>
      <c r="I17" s="96" t="s">
        <v>144</v>
      </c>
      <c r="J17" s="96" t="s">
        <v>145</v>
      </c>
      <c r="K17" s="1"/>
    </row>
    <row r="18">
      <c r="H18" s="1"/>
      <c r="I18" s="1"/>
      <c r="J18" s="1"/>
      <c r="K18" s="1"/>
    </row>
    <row r="19">
      <c r="A19" s="16" t="s">
        <v>27</v>
      </c>
      <c r="B19" s="17"/>
      <c r="C19" s="17"/>
      <c r="D19" s="18"/>
      <c r="H19" s="84"/>
    </row>
    <row r="20">
      <c r="A20" s="19" t="s">
        <v>28</v>
      </c>
      <c r="B20" s="20"/>
      <c r="C20" s="20"/>
      <c r="D20" s="21"/>
      <c r="H20" s="85"/>
      <c r="I20" s="85"/>
      <c r="J20" s="85"/>
    </row>
    <row r="21">
      <c r="A21" s="22" t="s">
        <v>29</v>
      </c>
      <c r="B21" s="23" t="s">
        <v>30</v>
      </c>
      <c r="C21" s="22" t="s">
        <v>31</v>
      </c>
      <c r="D21" s="24" t="s">
        <v>30</v>
      </c>
      <c r="H21" s="86"/>
      <c r="I21" s="85"/>
      <c r="J21" s="85"/>
    </row>
    <row r="22">
      <c r="A22" s="28" t="s">
        <v>51</v>
      </c>
      <c r="B22" s="72">
        <v>541.5</v>
      </c>
      <c r="C22" s="25"/>
      <c r="D22" s="27"/>
      <c r="H22" s="87"/>
      <c r="I22" s="85"/>
      <c r="J22" s="85"/>
    </row>
    <row r="23">
      <c r="A23" s="28" t="s">
        <v>146</v>
      </c>
      <c r="B23" s="72">
        <v>1440.71</v>
      </c>
      <c r="C23" s="25"/>
      <c r="D23" s="27"/>
      <c r="H23" s="88"/>
      <c r="I23" s="88"/>
      <c r="J23" s="88"/>
    </row>
    <row r="24">
      <c r="A24" s="71" t="s">
        <v>147</v>
      </c>
      <c r="B24" s="72">
        <v>528.23</v>
      </c>
      <c r="C24" s="25"/>
      <c r="D24" s="27"/>
      <c r="H24" s="88"/>
      <c r="I24" s="88"/>
      <c r="J24" s="88"/>
    </row>
    <row r="25">
      <c r="A25" s="28"/>
      <c r="B25" s="26"/>
      <c r="C25" s="25"/>
      <c r="D25" s="27"/>
      <c r="H25" s="88"/>
      <c r="I25" s="88"/>
      <c r="J25" s="88"/>
    </row>
    <row r="26">
      <c r="A26" s="25"/>
      <c r="B26" s="26"/>
      <c r="C26" s="25"/>
      <c r="D26" s="27"/>
      <c r="H26" s="88"/>
      <c r="I26" s="88"/>
      <c r="J26" s="88"/>
    </row>
    <row r="27">
      <c r="A27" s="25"/>
      <c r="B27" s="26"/>
      <c r="C27" s="25"/>
      <c r="D27" s="27"/>
      <c r="H27" s="88"/>
      <c r="I27" s="88"/>
      <c r="J27" s="88"/>
    </row>
    <row r="28">
      <c r="A28" s="25"/>
      <c r="B28" s="26"/>
      <c r="C28" s="25"/>
      <c r="D28" s="27"/>
    </row>
    <row r="29">
      <c r="A29" s="25"/>
      <c r="B29" s="26"/>
      <c r="C29" s="25"/>
      <c r="D29" s="27"/>
      <c r="I29" s="89"/>
      <c r="J29" s="90"/>
    </row>
  </sheetData>
  <mergeCells count="2">
    <mergeCell ref="H14:K14"/>
    <mergeCell ref="H19:J19"/>
  </mergeCell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</cols>
  <sheetData>
    <row r="1">
      <c r="B1" s="2" t="s">
        <v>0</v>
      </c>
      <c r="C1" s="2" t="s">
        <v>1</v>
      </c>
      <c r="D1" s="2" t="s">
        <v>7</v>
      </c>
      <c r="E1" s="2" t="s">
        <v>3</v>
      </c>
      <c r="F1" s="2" t="s">
        <v>129</v>
      </c>
      <c r="G1" s="2" t="s">
        <v>5</v>
      </c>
      <c r="H1" s="2" t="s">
        <v>6</v>
      </c>
      <c r="I1" s="2" t="s">
        <v>43</v>
      </c>
      <c r="J1" s="2" t="s">
        <v>40</v>
      </c>
      <c r="K1" s="2" t="s">
        <v>49</v>
      </c>
      <c r="L1" s="2" t="s">
        <v>42</v>
      </c>
      <c r="M1" s="2" t="s">
        <v>121</v>
      </c>
      <c r="N1" s="2" t="s">
        <v>9</v>
      </c>
      <c r="O1" s="2" t="s">
        <v>37</v>
      </c>
      <c r="P1" s="2" t="s">
        <v>10</v>
      </c>
      <c r="Q1" s="2" t="s">
        <v>11</v>
      </c>
      <c r="R1" s="2" t="s">
        <v>12</v>
      </c>
      <c r="S1" s="3" t="s">
        <v>13</v>
      </c>
      <c r="T1" s="3" t="s">
        <v>14</v>
      </c>
      <c r="U1" s="3" t="s">
        <v>15</v>
      </c>
    </row>
    <row r="2">
      <c r="A2" s="74">
        <v>45033.0</v>
      </c>
      <c r="B2" s="5">
        <v>2012.59</v>
      </c>
      <c r="C2" s="5">
        <v>1463.61</v>
      </c>
      <c r="D2" s="5"/>
      <c r="E2" s="5"/>
      <c r="F2" s="5">
        <v>783.83</v>
      </c>
      <c r="G2" s="5"/>
      <c r="H2" s="5"/>
      <c r="I2" s="5"/>
      <c r="J2" s="72">
        <v>1563.2</v>
      </c>
      <c r="K2" s="5">
        <v>130.0</v>
      </c>
      <c r="L2" s="5"/>
      <c r="M2" s="6"/>
      <c r="N2" s="6"/>
      <c r="O2" s="5"/>
      <c r="P2" s="5"/>
      <c r="Q2" s="5">
        <v>105.65</v>
      </c>
      <c r="R2" s="6"/>
      <c r="S2" s="7">
        <f t="shared" ref="S2:S7" si="1">SUM(B2:R2)</f>
        <v>6058.88</v>
      </c>
      <c r="T2" s="8">
        <v>4882.0</v>
      </c>
      <c r="U2" s="59">
        <f t="shared" ref="U2:U8" si="2">S2/T2</f>
        <v>1.241065137</v>
      </c>
    </row>
    <row r="3">
      <c r="A3" s="74">
        <v>45034.0</v>
      </c>
      <c r="B3" s="5">
        <v>694.49</v>
      </c>
      <c r="C3" s="33">
        <v>516.7</v>
      </c>
      <c r="D3" s="5"/>
      <c r="E3" s="5"/>
      <c r="F3" s="5"/>
      <c r="G3" s="5"/>
      <c r="H3" s="5"/>
      <c r="I3" s="5"/>
      <c r="J3" s="42"/>
      <c r="K3" s="5"/>
      <c r="L3" s="5"/>
      <c r="M3" s="6"/>
      <c r="N3" s="6"/>
      <c r="O3" s="93"/>
      <c r="P3" s="5"/>
      <c r="Q3" s="5"/>
      <c r="R3" s="5">
        <v>179.96</v>
      </c>
      <c r="S3" s="7">
        <f t="shared" si="1"/>
        <v>1391.15</v>
      </c>
      <c r="T3" s="8">
        <v>6916.35</v>
      </c>
      <c r="U3" s="59">
        <f t="shared" si="2"/>
        <v>0.2011393293</v>
      </c>
    </row>
    <row r="4">
      <c r="A4" s="74">
        <v>45035.0</v>
      </c>
      <c r="B4" s="5">
        <v>1178.4</v>
      </c>
      <c r="C4" s="5">
        <v>250.14</v>
      </c>
      <c r="D4" s="5"/>
      <c r="E4" s="5"/>
      <c r="F4" s="5">
        <v>198.32</v>
      </c>
      <c r="G4" s="5"/>
      <c r="H4" s="5"/>
      <c r="I4" s="5"/>
      <c r="J4" s="42"/>
      <c r="K4" s="5">
        <v>160.0</v>
      </c>
      <c r="L4" s="5"/>
      <c r="M4" s="5">
        <v>18.5</v>
      </c>
      <c r="N4" s="6"/>
      <c r="O4" s="5"/>
      <c r="P4" s="83"/>
      <c r="Q4" s="5"/>
      <c r="R4" s="6"/>
      <c r="S4" s="7">
        <f t="shared" si="1"/>
        <v>1805.36</v>
      </c>
      <c r="T4" s="8">
        <v>8139.31</v>
      </c>
      <c r="U4" s="59">
        <f t="shared" si="2"/>
        <v>0.2218074997</v>
      </c>
    </row>
    <row r="5">
      <c r="A5" s="74">
        <v>45036.0</v>
      </c>
      <c r="B5" s="5">
        <v>1460.62</v>
      </c>
      <c r="C5" s="5">
        <v>341.2</v>
      </c>
      <c r="D5" s="6"/>
      <c r="E5" s="5"/>
      <c r="F5" s="5"/>
      <c r="G5" s="5"/>
      <c r="H5" s="5"/>
      <c r="I5" s="5"/>
      <c r="J5" s="5"/>
      <c r="K5" s="5"/>
      <c r="L5" s="5"/>
      <c r="M5" s="5">
        <v>18.5</v>
      </c>
      <c r="N5" s="5"/>
      <c r="O5" s="5"/>
      <c r="P5" s="5">
        <v>89.0</v>
      </c>
      <c r="Q5" s="6"/>
      <c r="R5" s="6"/>
      <c r="S5" s="7">
        <f t="shared" si="1"/>
        <v>1909.32</v>
      </c>
      <c r="T5" s="8">
        <v>7176.2</v>
      </c>
      <c r="U5" s="59">
        <f t="shared" si="2"/>
        <v>0.2660628188</v>
      </c>
    </row>
    <row r="6">
      <c r="A6" s="74">
        <v>45037.0</v>
      </c>
      <c r="B6" s="5">
        <v>1351.97</v>
      </c>
      <c r="C6" s="5">
        <v>170.17</v>
      </c>
      <c r="D6" s="5"/>
      <c r="E6" s="5"/>
      <c r="F6" s="5">
        <v>261.71</v>
      </c>
      <c r="G6" s="5">
        <v>285.0</v>
      </c>
      <c r="H6" s="5">
        <v>114.8</v>
      </c>
      <c r="I6" s="5"/>
      <c r="J6" s="5"/>
      <c r="K6" s="5"/>
      <c r="L6" s="5"/>
      <c r="M6" s="5">
        <v>18.5</v>
      </c>
      <c r="N6" s="6"/>
      <c r="O6" s="5"/>
      <c r="P6" s="5"/>
      <c r="Q6" s="5">
        <v>105.65</v>
      </c>
      <c r="R6" s="5"/>
      <c r="S6" s="7">
        <f t="shared" si="1"/>
        <v>2307.8</v>
      </c>
      <c r="T6" s="8">
        <v>10164.8</v>
      </c>
      <c r="U6" s="59">
        <f t="shared" si="2"/>
        <v>0.2270384071</v>
      </c>
    </row>
    <row r="7">
      <c r="A7" s="74">
        <v>45038.0</v>
      </c>
      <c r="B7" s="5">
        <v>1976.13</v>
      </c>
      <c r="C7" s="5"/>
      <c r="D7" s="44">
        <v>200.0</v>
      </c>
      <c r="E7" s="5"/>
      <c r="F7" s="5">
        <v>210.83</v>
      </c>
      <c r="G7" s="5"/>
      <c r="H7" s="5"/>
      <c r="I7" s="5"/>
      <c r="J7" s="6"/>
      <c r="K7" s="5"/>
      <c r="L7" s="5"/>
      <c r="M7" s="93"/>
      <c r="N7" s="44">
        <v>200.0</v>
      </c>
      <c r="O7" s="6"/>
      <c r="P7" s="6"/>
      <c r="Q7" s="6"/>
      <c r="R7" s="5">
        <v>36.27</v>
      </c>
      <c r="S7" s="7">
        <f t="shared" si="1"/>
        <v>2623.23</v>
      </c>
      <c r="T7" s="8">
        <v>22073.19</v>
      </c>
      <c r="U7" s="59">
        <f t="shared" si="2"/>
        <v>0.1188423603</v>
      </c>
    </row>
    <row r="8">
      <c r="A8" s="74">
        <v>45039.0</v>
      </c>
      <c r="B8" s="10" t="s">
        <v>21</v>
      </c>
      <c r="C8" s="10" t="s">
        <v>21</v>
      </c>
      <c r="D8" s="10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0" t="s">
        <v>21</v>
      </c>
      <c r="K8" s="10" t="s">
        <v>21</v>
      </c>
      <c r="L8" s="10" t="s">
        <v>21</v>
      </c>
      <c r="M8" s="10"/>
      <c r="N8" s="10" t="s">
        <v>21</v>
      </c>
      <c r="O8" s="10" t="s">
        <v>21</v>
      </c>
      <c r="P8" s="10" t="s">
        <v>21</v>
      </c>
      <c r="Q8" s="10" t="s">
        <v>21</v>
      </c>
      <c r="R8" s="10" t="s">
        <v>21</v>
      </c>
      <c r="S8" s="7">
        <v>0.0</v>
      </c>
      <c r="T8" s="8">
        <v>8421.24</v>
      </c>
      <c r="U8" s="59">
        <f t="shared" si="2"/>
        <v>0</v>
      </c>
    </row>
    <row r="11">
      <c r="A11" s="4" t="s">
        <v>22</v>
      </c>
      <c r="B11" s="11">
        <v>13000.0</v>
      </c>
      <c r="E11" s="78"/>
      <c r="F11" s="79"/>
    </row>
    <row r="12">
      <c r="A12" s="4" t="s">
        <v>23</v>
      </c>
      <c r="B12" s="12">
        <f>SUM(B2:R8)</f>
        <v>16095.74</v>
      </c>
      <c r="E12" s="56"/>
    </row>
    <row r="13">
      <c r="A13" s="4" t="s">
        <v>24</v>
      </c>
      <c r="B13" s="12">
        <f> SUM(B11-B12)</f>
        <v>-3095.74</v>
      </c>
    </row>
    <row r="15">
      <c r="A15" s="13" t="s">
        <v>25</v>
      </c>
      <c r="B15" s="14">
        <f>SUM(T2:T8)</f>
        <v>67773.09</v>
      </c>
    </row>
    <row r="16">
      <c r="A16" s="13" t="s">
        <v>26</v>
      </c>
      <c r="B16" s="15">
        <f>B12/B15</f>
        <v>0.2374945572</v>
      </c>
    </row>
    <row r="19">
      <c r="A19" s="16" t="s">
        <v>27</v>
      </c>
      <c r="B19" s="17"/>
      <c r="C19" s="17"/>
      <c r="D19" s="18"/>
      <c r="H19" s="84"/>
    </row>
    <row r="20">
      <c r="A20" s="19" t="s">
        <v>28</v>
      </c>
      <c r="B20" s="20"/>
      <c r="C20" s="20"/>
      <c r="D20" s="21"/>
      <c r="H20" s="85"/>
      <c r="I20" s="85"/>
      <c r="J20" s="85"/>
    </row>
    <row r="21">
      <c r="A21" s="22" t="s">
        <v>29</v>
      </c>
      <c r="B21" s="23" t="s">
        <v>30</v>
      </c>
      <c r="C21" s="22" t="s">
        <v>31</v>
      </c>
      <c r="D21" s="24" t="s">
        <v>30</v>
      </c>
      <c r="H21" s="86"/>
      <c r="I21" s="85"/>
      <c r="J21" s="85"/>
    </row>
    <row r="22">
      <c r="A22" s="28"/>
      <c r="B22" s="72"/>
      <c r="C22" s="25"/>
      <c r="D22" s="27"/>
      <c r="H22" s="87"/>
      <c r="I22" s="85"/>
      <c r="J22" s="85"/>
    </row>
    <row r="23">
      <c r="A23" s="28"/>
      <c r="B23" s="72"/>
      <c r="C23" s="25"/>
      <c r="D23" s="27"/>
      <c r="H23" s="88"/>
      <c r="I23" s="88"/>
      <c r="J23" s="88"/>
    </row>
    <row r="24">
      <c r="A24" s="71"/>
      <c r="B24" s="72"/>
      <c r="C24" s="25"/>
      <c r="D24" s="27"/>
      <c r="H24" s="88"/>
      <c r="I24" s="88"/>
      <c r="J24" s="88"/>
    </row>
    <row r="25">
      <c r="A25" s="28"/>
      <c r="B25" s="26"/>
      <c r="C25" s="25"/>
      <c r="D25" s="27"/>
      <c r="H25" s="88"/>
      <c r="I25" s="88"/>
      <c r="J25" s="88"/>
    </row>
    <row r="26">
      <c r="A26" s="25"/>
      <c r="B26" s="26"/>
      <c r="C26" s="25"/>
      <c r="D26" s="27"/>
      <c r="H26" s="88"/>
      <c r="I26" s="88"/>
      <c r="J26" s="88"/>
    </row>
    <row r="27">
      <c r="A27" s="25"/>
      <c r="B27" s="26"/>
      <c r="C27" s="25"/>
      <c r="D27" s="27"/>
      <c r="H27" s="88"/>
      <c r="I27" s="88"/>
      <c r="J27" s="88"/>
    </row>
    <row r="28">
      <c r="A28" s="25"/>
      <c r="B28" s="26"/>
      <c r="C28" s="25"/>
      <c r="D28" s="27"/>
    </row>
    <row r="29">
      <c r="A29" s="25"/>
      <c r="B29" s="26"/>
      <c r="C29" s="25"/>
      <c r="D29" s="27"/>
      <c r="I29" s="89"/>
      <c r="J29" s="90"/>
    </row>
  </sheetData>
  <mergeCells count="1">
    <mergeCell ref="H19:J19"/>
  </mergeCell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</cols>
  <sheetData>
    <row r="1">
      <c r="B1" s="2" t="s">
        <v>0</v>
      </c>
      <c r="C1" s="2" t="s">
        <v>1</v>
      </c>
      <c r="D1" s="2" t="s">
        <v>7</v>
      </c>
      <c r="E1" s="2" t="s">
        <v>3</v>
      </c>
      <c r="F1" s="2" t="s">
        <v>129</v>
      </c>
      <c r="G1" s="2" t="s">
        <v>5</v>
      </c>
      <c r="H1" s="2" t="s">
        <v>6</v>
      </c>
      <c r="I1" s="2" t="s">
        <v>43</v>
      </c>
      <c r="J1" s="2" t="s">
        <v>40</v>
      </c>
      <c r="K1" s="2" t="s">
        <v>49</v>
      </c>
      <c r="L1" s="2" t="s">
        <v>42</v>
      </c>
      <c r="M1" s="2" t="s">
        <v>121</v>
      </c>
      <c r="N1" s="2" t="s">
        <v>9</v>
      </c>
      <c r="O1" s="2" t="s">
        <v>37</v>
      </c>
      <c r="P1" s="2" t="s">
        <v>10</v>
      </c>
      <c r="Q1" s="2" t="s">
        <v>11</v>
      </c>
      <c r="R1" s="2" t="s">
        <v>12</v>
      </c>
      <c r="S1" s="3" t="s">
        <v>13</v>
      </c>
      <c r="T1" s="3" t="s">
        <v>14</v>
      </c>
      <c r="U1" s="3" t="s">
        <v>15</v>
      </c>
    </row>
    <row r="2">
      <c r="A2" s="74">
        <v>45040.0</v>
      </c>
      <c r="B2" s="5">
        <v>1919.71</v>
      </c>
      <c r="C2" s="5">
        <v>430.1</v>
      </c>
      <c r="D2" s="5"/>
      <c r="E2" s="5"/>
      <c r="F2" s="5">
        <v>92.44</v>
      </c>
      <c r="G2" s="5"/>
      <c r="H2" s="5"/>
      <c r="I2" s="5"/>
      <c r="J2" s="72">
        <v>1280.64</v>
      </c>
      <c r="K2" s="5">
        <v>120.0</v>
      </c>
      <c r="L2" s="5"/>
      <c r="M2" s="6"/>
      <c r="N2" s="6"/>
      <c r="O2" s="5"/>
      <c r="P2" s="5"/>
      <c r="Q2" s="5">
        <v>105.65</v>
      </c>
      <c r="R2" s="6"/>
      <c r="S2" s="7">
        <f t="shared" ref="S2:S7" si="1">SUM(B2:R2)</f>
        <v>3948.54</v>
      </c>
      <c r="T2" s="8">
        <v>4986.0</v>
      </c>
      <c r="U2" s="59">
        <f t="shared" ref="U2:U8" si="2">S2/T2</f>
        <v>0.7919253911</v>
      </c>
    </row>
    <row r="3">
      <c r="A3" s="74">
        <v>45041.0</v>
      </c>
      <c r="B3" s="5">
        <v>638.8</v>
      </c>
      <c r="C3" s="33">
        <v>485.74</v>
      </c>
      <c r="D3" s="5"/>
      <c r="E3" s="5"/>
      <c r="F3" s="5"/>
      <c r="G3" s="5"/>
      <c r="H3" s="5"/>
      <c r="I3" s="5"/>
      <c r="J3" s="42"/>
      <c r="K3" s="5"/>
      <c r="L3" s="5"/>
      <c r="M3" s="6"/>
      <c r="N3" s="6"/>
      <c r="O3" s="93"/>
      <c r="P3" s="5"/>
      <c r="Q3" s="5"/>
      <c r="R3" s="5">
        <v>173.47</v>
      </c>
      <c r="S3" s="7">
        <f t="shared" si="1"/>
        <v>1298.01</v>
      </c>
      <c r="T3" s="8">
        <v>5422.2</v>
      </c>
      <c r="U3" s="59">
        <f t="shared" si="2"/>
        <v>0.2393880713</v>
      </c>
    </row>
    <row r="4">
      <c r="A4" s="74">
        <v>45042.0</v>
      </c>
      <c r="B4" s="5">
        <v>1423.76</v>
      </c>
      <c r="C4" s="5">
        <v>412.0</v>
      </c>
      <c r="D4" s="5"/>
      <c r="E4" s="5"/>
      <c r="F4" s="5"/>
      <c r="G4" s="5">
        <v>664.9</v>
      </c>
      <c r="H4" s="5"/>
      <c r="I4" s="5"/>
      <c r="J4" s="42"/>
      <c r="K4" s="5"/>
      <c r="L4" s="5"/>
      <c r="M4" s="5">
        <v>18.5</v>
      </c>
      <c r="N4" s="6"/>
      <c r="O4" s="5"/>
      <c r="P4" s="83"/>
      <c r="Q4" s="5"/>
      <c r="R4" s="6"/>
      <c r="S4" s="7">
        <f t="shared" si="1"/>
        <v>2519.16</v>
      </c>
      <c r="T4" s="8">
        <v>8271.77</v>
      </c>
      <c r="U4" s="59">
        <f t="shared" si="2"/>
        <v>0.3045490868</v>
      </c>
    </row>
    <row r="5">
      <c r="A5" s="74">
        <v>45043.0</v>
      </c>
      <c r="B5" s="5">
        <v>799.66</v>
      </c>
      <c r="C5" s="5">
        <v>252.65</v>
      </c>
      <c r="D5" s="6"/>
      <c r="E5" s="5">
        <v>180.0</v>
      </c>
      <c r="F5" s="5">
        <v>197.53</v>
      </c>
      <c r="G5" s="5"/>
      <c r="H5" s="5"/>
      <c r="I5" s="5"/>
      <c r="J5" s="5"/>
      <c r="K5" s="5"/>
      <c r="L5" s="5"/>
      <c r="M5" s="5">
        <v>18.5</v>
      </c>
      <c r="N5" s="5"/>
      <c r="O5" s="5"/>
      <c r="P5" s="5"/>
      <c r="Q5" s="6"/>
      <c r="R5" s="6"/>
      <c r="S5" s="7">
        <f t="shared" si="1"/>
        <v>1448.34</v>
      </c>
      <c r="T5" s="8">
        <v>7712.5</v>
      </c>
      <c r="U5" s="59">
        <f t="shared" si="2"/>
        <v>0.187791248</v>
      </c>
    </row>
    <row r="6">
      <c r="A6" s="74">
        <v>45044.0</v>
      </c>
      <c r="B6" s="5">
        <v>1870.7</v>
      </c>
      <c r="C6" s="5">
        <v>224.72</v>
      </c>
      <c r="D6" s="5"/>
      <c r="E6" s="5"/>
      <c r="F6" s="5"/>
      <c r="G6" s="5">
        <v>190.0</v>
      </c>
      <c r="H6" s="5">
        <v>114.8</v>
      </c>
      <c r="I6" s="5"/>
      <c r="J6" s="5"/>
      <c r="K6" s="5"/>
      <c r="L6" s="5"/>
      <c r="M6" s="5">
        <v>18.5</v>
      </c>
      <c r="N6" s="6"/>
      <c r="O6" s="5"/>
      <c r="P6" s="5"/>
      <c r="Q6" s="5">
        <v>105.65</v>
      </c>
      <c r="R6" s="5"/>
      <c r="S6" s="7">
        <f t="shared" si="1"/>
        <v>2524.37</v>
      </c>
      <c r="T6" s="8">
        <v>10935.6</v>
      </c>
      <c r="U6" s="59">
        <f t="shared" si="2"/>
        <v>0.230839643</v>
      </c>
    </row>
    <row r="7">
      <c r="A7" s="74">
        <v>45045.0</v>
      </c>
      <c r="B7" s="5">
        <v>1625.67</v>
      </c>
      <c r="C7" s="5">
        <v>437.35</v>
      </c>
      <c r="D7" s="44">
        <v>200.0</v>
      </c>
      <c r="E7" s="5"/>
      <c r="F7" s="5"/>
      <c r="G7" s="5"/>
      <c r="H7" s="5"/>
      <c r="I7" s="5"/>
      <c r="J7" s="6"/>
      <c r="K7" s="5"/>
      <c r="L7" s="5"/>
      <c r="M7" s="93"/>
      <c r="N7" s="44">
        <v>200.0</v>
      </c>
      <c r="O7" s="6"/>
      <c r="P7" s="5">
        <v>39.0</v>
      </c>
      <c r="Q7" s="6"/>
      <c r="R7" s="5"/>
      <c r="S7" s="7">
        <f t="shared" si="1"/>
        <v>2502.02</v>
      </c>
      <c r="T7" s="8">
        <v>16080.43</v>
      </c>
      <c r="U7" s="59">
        <f t="shared" si="2"/>
        <v>0.1555940979</v>
      </c>
    </row>
    <row r="8">
      <c r="A8" s="74">
        <v>45046.0</v>
      </c>
      <c r="B8" s="10" t="s">
        <v>21</v>
      </c>
      <c r="C8" s="10" t="s">
        <v>21</v>
      </c>
      <c r="D8" s="10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0" t="s">
        <v>21</v>
      </c>
      <c r="K8" s="10" t="s">
        <v>21</v>
      </c>
      <c r="L8" s="10" t="s">
        <v>21</v>
      </c>
      <c r="M8" s="10"/>
      <c r="N8" s="10" t="s">
        <v>21</v>
      </c>
      <c r="O8" s="10" t="s">
        <v>21</v>
      </c>
      <c r="P8" s="10" t="s">
        <v>21</v>
      </c>
      <c r="Q8" s="10" t="s">
        <v>21</v>
      </c>
      <c r="R8" s="10" t="s">
        <v>21</v>
      </c>
      <c r="S8" s="7">
        <v>0.0</v>
      </c>
      <c r="T8" s="8">
        <v>10669.0</v>
      </c>
      <c r="U8" s="59">
        <f t="shared" si="2"/>
        <v>0</v>
      </c>
    </row>
    <row r="11">
      <c r="A11" s="4" t="s">
        <v>22</v>
      </c>
      <c r="B11" s="11">
        <v>13000.0</v>
      </c>
      <c r="E11" s="78"/>
      <c r="F11" s="79"/>
    </row>
    <row r="12">
      <c r="A12" s="4" t="s">
        <v>23</v>
      </c>
      <c r="B12" s="12">
        <f>SUM(B2:R8)</f>
        <v>14240.44</v>
      </c>
      <c r="E12" s="56"/>
    </row>
    <row r="13">
      <c r="A13" s="4" t="s">
        <v>24</v>
      </c>
      <c r="B13" s="12">
        <f> SUM(B11-B12)</f>
        <v>-1240.44</v>
      </c>
    </row>
    <row r="15">
      <c r="A15" s="13" t="s">
        <v>25</v>
      </c>
      <c r="B15" s="14">
        <f>SUM(T2:T8)</f>
        <v>64077.5</v>
      </c>
    </row>
    <row r="16">
      <c r="A16" s="13" t="s">
        <v>26</v>
      </c>
      <c r="B16" s="15">
        <f>B12/B15</f>
        <v>0.222237759</v>
      </c>
    </row>
    <row r="19">
      <c r="A19" s="16" t="s">
        <v>27</v>
      </c>
      <c r="B19" s="17"/>
      <c r="C19" s="17"/>
      <c r="D19" s="18"/>
      <c r="H19" s="84"/>
    </row>
    <row r="20">
      <c r="A20" s="19" t="s">
        <v>28</v>
      </c>
      <c r="B20" s="20"/>
      <c r="C20" s="20"/>
      <c r="D20" s="21"/>
      <c r="H20" s="85"/>
      <c r="I20" s="85"/>
      <c r="J20" s="85"/>
    </row>
    <row r="21">
      <c r="A21" s="22" t="s">
        <v>29</v>
      </c>
      <c r="B21" s="23" t="s">
        <v>30</v>
      </c>
      <c r="C21" s="22" t="s">
        <v>31</v>
      </c>
      <c r="D21" s="24" t="s">
        <v>30</v>
      </c>
      <c r="H21" s="86"/>
      <c r="I21" s="85"/>
      <c r="J21" s="85"/>
    </row>
    <row r="22">
      <c r="A22" s="28" t="s">
        <v>51</v>
      </c>
      <c r="B22" s="72">
        <v>323.55</v>
      </c>
      <c r="C22" s="25"/>
      <c r="D22" s="27"/>
      <c r="H22" s="87"/>
      <c r="I22" s="85"/>
      <c r="J22" s="85"/>
    </row>
    <row r="23">
      <c r="A23" s="28"/>
      <c r="B23" s="72"/>
      <c r="C23" s="25"/>
      <c r="D23" s="27"/>
      <c r="H23" s="88"/>
      <c r="I23" s="88"/>
      <c r="J23" s="88"/>
    </row>
    <row r="24">
      <c r="A24" s="71"/>
      <c r="B24" s="72"/>
      <c r="C24" s="25"/>
      <c r="D24" s="27"/>
      <c r="H24" s="88"/>
      <c r="I24" s="88"/>
      <c r="J24" s="88"/>
    </row>
    <row r="25">
      <c r="A25" s="28"/>
      <c r="B25" s="26"/>
      <c r="C25" s="25"/>
      <c r="D25" s="27"/>
      <c r="H25" s="88"/>
      <c r="I25" s="88"/>
      <c r="J25" s="88"/>
    </row>
    <row r="26">
      <c r="A26" s="25"/>
      <c r="B26" s="26"/>
      <c r="C26" s="25"/>
      <c r="D26" s="27"/>
      <c r="H26" s="88"/>
      <c r="I26" s="88"/>
      <c r="J26" s="88"/>
    </row>
    <row r="27">
      <c r="A27" s="25"/>
      <c r="B27" s="26"/>
      <c r="C27" s="25"/>
      <c r="D27" s="27"/>
      <c r="H27" s="88"/>
      <c r="I27" s="88"/>
      <c r="J27" s="88"/>
    </row>
    <row r="28">
      <c r="A28" s="25"/>
      <c r="B28" s="26"/>
      <c r="C28" s="25"/>
      <c r="D28" s="27"/>
    </row>
    <row r="29">
      <c r="A29" s="25"/>
      <c r="B29" s="26"/>
      <c r="C29" s="25"/>
      <c r="D29" s="27"/>
      <c r="I29" s="89"/>
      <c r="J29" s="90"/>
    </row>
  </sheetData>
  <mergeCells count="1">
    <mergeCell ref="H19:J19"/>
  </mergeCell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</cols>
  <sheetData>
    <row r="1">
      <c r="B1" s="2" t="s">
        <v>0</v>
      </c>
      <c r="C1" s="2" t="s">
        <v>1</v>
      </c>
      <c r="D1" s="2" t="s">
        <v>7</v>
      </c>
      <c r="E1" s="2" t="s">
        <v>3</v>
      </c>
      <c r="F1" s="2" t="s">
        <v>129</v>
      </c>
      <c r="G1" s="2" t="s">
        <v>5</v>
      </c>
      <c r="H1" s="2" t="s">
        <v>6</v>
      </c>
      <c r="I1" s="2" t="s">
        <v>43</v>
      </c>
      <c r="J1" s="2" t="s">
        <v>40</v>
      </c>
      <c r="K1" s="2" t="s">
        <v>49</v>
      </c>
      <c r="L1" s="2" t="s">
        <v>42</v>
      </c>
      <c r="M1" s="2" t="s">
        <v>121</v>
      </c>
      <c r="N1" s="2" t="s">
        <v>9</v>
      </c>
      <c r="O1" s="2" t="s">
        <v>37</v>
      </c>
      <c r="P1" s="2" t="s">
        <v>10</v>
      </c>
      <c r="Q1" s="2" t="s">
        <v>11</v>
      </c>
      <c r="R1" s="2" t="s">
        <v>12</v>
      </c>
      <c r="S1" s="3" t="s">
        <v>13</v>
      </c>
      <c r="T1" s="3" t="s">
        <v>14</v>
      </c>
      <c r="U1" s="3" t="s">
        <v>15</v>
      </c>
    </row>
    <row r="2">
      <c r="A2" s="74">
        <v>45047.0</v>
      </c>
      <c r="B2" s="5">
        <v>2039.95</v>
      </c>
      <c r="C2" s="5">
        <v>75.98</v>
      </c>
      <c r="D2" s="5"/>
      <c r="E2" s="5"/>
      <c r="F2" s="5">
        <v>248.57</v>
      </c>
      <c r="G2" s="5"/>
      <c r="H2" s="5"/>
      <c r="I2" s="5"/>
      <c r="J2" s="72">
        <v>1440.0</v>
      </c>
      <c r="K2" s="5">
        <v>120.0</v>
      </c>
      <c r="L2" s="5"/>
      <c r="M2" s="6"/>
      <c r="N2" s="6"/>
      <c r="O2" s="5"/>
      <c r="P2" s="5"/>
      <c r="Q2" s="5">
        <v>105.65</v>
      </c>
      <c r="R2" s="6"/>
      <c r="S2" s="7">
        <f t="shared" ref="S2:S7" si="1">SUM(B2:R2)</f>
        <v>4030.15</v>
      </c>
      <c r="T2" s="8">
        <v>5048.73</v>
      </c>
      <c r="U2" s="59">
        <f t="shared" ref="U2:U8" si="2">S2/T2</f>
        <v>0.798250253</v>
      </c>
    </row>
    <row r="3">
      <c r="A3" s="74">
        <v>45048.0</v>
      </c>
      <c r="B3" s="5">
        <v>1094.75</v>
      </c>
      <c r="C3" s="33"/>
      <c r="D3" s="5"/>
      <c r="E3" s="5"/>
      <c r="F3" s="5"/>
      <c r="G3" s="5">
        <v>284.9</v>
      </c>
      <c r="H3" s="5"/>
      <c r="I3" s="5"/>
      <c r="J3" s="42"/>
      <c r="K3" s="5"/>
      <c r="L3" s="5"/>
      <c r="M3" s="6"/>
      <c r="N3" s="6"/>
      <c r="O3" s="93"/>
      <c r="P3" s="5"/>
      <c r="Q3" s="5"/>
      <c r="R3" s="5">
        <v>173.47</v>
      </c>
      <c r="S3" s="7">
        <f t="shared" si="1"/>
        <v>1553.12</v>
      </c>
      <c r="T3" s="8">
        <v>4345.99</v>
      </c>
      <c r="U3" s="59">
        <f t="shared" si="2"/>
        <v>0.3573685167</v>
      </c>
    </row>
    <row r="4">
      <c r="A4" s="74">
        <v>45049.0</v>
      </c>
      <c r="B4" s="5">
        <v>1281.63</v>
      </c>
      <c r="C4" s="5">
        <v>277.4</v>
      </c>
      <c r="D4" s="5"/>
      <c r="E4" s="5"/>
      <c r="F4" s="5">
        <v>360.73</v>
      </c>
      <c r="G4" s="5">
        <v>190.0</v>
      </c>
      <c r="H4" s="5">
        <v>47.0</v>
      </c>
      <c r="I4" s="5"/>
      <c r="J4" s="42"/>
      <c r="K4" s="5"/>
      <c r="L4" s="5"/>
      <c r="M4" s="5">
        <v>18.5</v>
      </c>
      <c r="N4" s="6"/>
      <c r="O4" s="5"/>
      <c r="P4" s="83"/>
      <c r="Q4" s="5"/>
      <c r="R4" s="6"/>
      <c r="S4" s="7">
        <f t="shared" si="1"/>
        <v>2175.26</v>
      </c>
      <c r="T4" s="8">
        <v>6211.7</v>
      </c>
      <c r="U4" s="59">
        <f t="shared" si="2"/>
        <v>0.3501875493</v>
      </c>
    </row>
    <row r="5">
      <c r="A5" s="74">
        <v>45050.0</v>
      </c>
      <c r="B5" s="5">
        <v>979.19</v>
      </c>
      <c r="C5" s="5">
        <v>477.03</v>
      </c>
      <c r="D5" s="6"/>
      <c r="E5" s="5"/>
      <c r="F5" s="5">
        <v>491.01</v>
      </c>
      <c r="G5" s="5"/>
      <c r="H5" s="5">
        <v>123.0</v>
      </c>
      <c r="I5" s="5"/>
      <c r="J5" s="5"/>
      <c r="K5" s="5"/>
      <c r="L5" s="5"/>
      <c r="M5" s="5">
        <v>18.5</v>
      </c>
      <c r="N5" s="5"/>
      <c r="O5" s="5"/>
      <c r="P5" s="5"/>
      <c r="Q5" s="6"/>
      <c r="R5" s="6"/>
      <c r="S5" s="7">
        <f t="shared" si="1"/>
        <v>2088.73</v>
      </c>
      <c r="T5" s="8">
        <v>8245.0</v>
      </c>
      <c r="U5" s="59">
        <f t="shared" si="2"/>
        <v>0.253332929</v>
      </c>
    </row>
    <row r="6">
      <c r="A6" s="74">
        <v>45051.0</v>
      </c>
      <c r="B6" s="5">
        <v>1851.67</v>
      </c>
      <c r="C6" s="5">
        <v>231.4</v>
      </c>
      <c r="D6" s="5"/>
      <c r="E6" s="5"/>
      <c r="F6" s="5">
        <v>140.08</v>
      </c>
      <c r="G6" s="5">
        <v>664.9</v>
      </c>
      <c r="H6" s="5"/>
      <c r="I6" s="5"/>
      <c r="J6" s="5"/>
      <c r="K6" s="5"/>
      <c r="L6" s="5"/>
      <c r="M6" s="5">
        <v>18.5</v>
      </c>
      <c r="N6" s="6"/>
      <c r="O6" s="5"/>
      <c r="P6" s="5"/>
      <c r="Q6" s="5">
        <v>105.65</v>
      </c>
      <c r="R6" s="5"/>
      <c r="S6" s="7">
        <f t="shared" si="1"/>
        <v>3012.2</v>
      </c>
      <c r="T6" s="8">
        <v>11875.5</v>
      </c>
      <c r="U6" s="59">
        <f t="shared" si="2"/>
        <v>0.2536482674</v>
      </c>
    </row>
    <row r="7">
      <c r="A7" s="74">
        <v>45052.0</v>
      </c>
      <c r="B7" s="5">
        <v>1850.79</v>
      </c>
      <c r="C7" s="5">
        <v>130.95</v>
      </c>
      <c r="D7" s="44">
        <v>200.0</v>
      </c>
      <c r="E7" s="5"/>
      <c r="F7" s="5">
        <v>176.94</v>
      </c>
      <c r="G7" s="5"/>
      <c r="H7" s="5"/>
      <c r="I7" s="5"/>
      <c r="J7" s="6"/>
      <c r="K7" s="5"/>
      <c r="L7" s="5"/>
      <c r="M7" s="93"/>
      <c r="N7" s="44">
        <v>200.0</v>
      </c>
      <c r="O7" s="6"/>
      <c r="P7" s="6"/>
      <c r="Q7" s="6"/>
      <c r="R7" s="5">
        <v>62.07</v>
      </c>
      <c r="S7" s="7">
        <f t="shared" si="1"/>
        <v>2620.75</v>
      </c>
      <c r="T7" s="8">
        <v>15937.74</v>
      </c>
      <c r="U7" s="59">
        <f t="shared" si="2"/>
        <v>0.1644367395</v>
      </c>
    </row>
    <row r="8">
      <c r="A8" s="74">
        <v>45053.0</v>
      </c>
      <c r="B8" s="10" t="s">
        <v>21</v>
      </c>
      <c r="C8" s="10" t="s">
        <v>21</v>
      </c>
      <c r="D8" s="10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0" t="s">
        <v>21</v>
      </c>
      <c r="K8" s="10" t="s">
        <v>21</v>
      </c>
      <c r="L8" s="10" t="s">
        <v>21</v>
      </c>
      <c r="M8" s="10"/>
      <c r="N8" s="10" t="s">
        <v>21</v>
      </c>
      <c r="O8" s="10" t="s">
        <v>21</v>
      </c>
      <c r="P8" s="10" t="s">
        <v>21</v>
      </c>
      <c r="Q8" s="10" t="s">
        <v>21</v>
      </c>
      <c r="R8" s="10" t="s">
        <v>21</v>
      </c>
      <c r="S8" s="7">
        <v>0.0</v>
      </c>
      <c r="T8" s="8">
        <v>11349.26</v>
      </c>
      <c r="U8" s="59">
        <f t="shared" si="2"/>
        <v>0</v>
      </c>
    </row>
    <row r="11">
      <c r="A11" s="4" t="s">
        <v>22</v>
      </c>
      <c r="B11" s="11">
        <v>13000.0</v>
      </c>
      <c r="E11" s="78"/>
      <c r="F11" s="79"/>
    </row>
    <row r="12">
      <c r="A12" s="4" t="s">
        <v>23</v>
      </c>
      <c r="B12" s="12">
        <f>SUM(B2:R8)</f>
        <v>15480.21</v>
      </c>
      <c r="E12" s="56"/>
    </row>
    <row r="13">
      <c r="A13" s="4" t="s">
        <v>24</v>
      </c>
      <c r="B13" s="12">
        <f> SUM(B11-B12)</f>
        <v>-2480.21</v>
      </c>
    </row>
    <row r="14">
      <c r="H14" s="32"/>
    </row>
    <row r="15">
      <c r="A15" s="13" t="s">
        <v>25</v>
      </c>
      <c r="B15" s="14">
        <f>SUM(T2:T8)</f>
        <v>63013.92</v>
      </c>
      <c r="H15" s="32"/>
      <c r="I15" s="32"/>
      <c r="J15" s="32"/>
    </row>
    <row r="16">
      <c r="A16" s="13" t="s">
        <v>26</v>
      </c>
      <c r="B16" s="15">
        <f>B12/B15</f>
        <v>0.2456633391</v>
      </c>
      <c r="H16" s="32"/>
      <c r="I16" s="32"/>
      <c r="J16" s="32"/>
    </row>
    <row r="17">
      <c r="H17" s="32"/>
      <c r="I17" s="32"/>
      <c r="J17" s="32"/>
    </row>
    <row r="19">
      <c r="A19" s="16" t="s">
        <v>27</v>
      </c>
      <c r="B19" s="17"/>
      <c r="C19" s="17"/>
      <c r="D19" s="18"/>
      <c r="H19" s="84"/>
    </row>
    <row r="20">
      <c r="A20" s="19" t="s">
        <v>28</v>
      </c>
      <c r="B20" s="20"/>
      <c r="C20" s="20"/>
      <c r="D20" s="21"/>
      <c r="H20" s="85"/>
      <c r="I20" s="85"/>
      <c r="J20" s="85"/>
    </row>
    <row r="21">
      <c r="A21" s="22" t="s">
        <v>29</v>
      </c>
      <c r="B21" s="23" t="s">
        <v>30</v>
      </c>
      <c r="C21" s="22" t="s">
        <v>31</v>
      </c>
      <c r="D21" s="24" t="s">
        <v>30</v>
      </c>
      <c r="H21" s="86"/>
      <c r="I21" s="85"/>
      <c r="J21" s="85"/>
    </row>
    <row r="22">
      <c r="A22" s="28" t="s">
        <v>148</v>
      </c>
      <c r="B22" s="72">
        <v>491.01</v>
      </c>
      <c r="C22" s="25"/>
      <c r="D22" s="27"/>
      <c r="H22" s="87"/>
      <c r="I22" s="85"/>
      <c r="J22" s="85"/>
    </row>
    <row r="23">
      <c r="A23" s="28"/>
      <c r="B23" s="72"/>
      <c r="C23" s="25"/>
      <c r="D23" s="27"/>
      <c r="H23" s="88"/>
      <c r="I23" s="88"/>
      <c r="J23" s="88"/>
    </row>
    <row r="24">
      <c r="A24" s="71"/>
      <c r="B24" s="72"/>
      <c r="C24" s="25"/>
      <c r="D24" s="27"/>
      <c r="H24" s="88"/>
      <c r="I24" s="88"/>
      <c r="J24" s="88"/>
    </row>
    <row r="25">
      <c r="A25" s="28"/>
      <c r="B25" s="26"/>
      <c r="C25" s="25"/>
      <c r="D25" s="27"/>
      <c r="H25" s="88"/>
      <c r="I25" s="88"/>
      <c r="J25" s="88"/>
    </row>
    <row r="26">
      <c r="A26" s="25"/>
      <c r="B26" s="26"/>
      <c r="C26" s="25"/>
      <c r="D26" s="27"/>
      <c r="H26" s="88"/>
      <c r="I26" s="88"/>
      <c r="J26" s="88"/>
    </row>
    <row r="27">
      <c r="A27" s="25"/>
      <c r="B27" s="26"/>
      <c r="C27" s="25"/>
      <c r="D27" s="27"/>
      <c r="H27" s="88"/>
      <c r="I27" s="88"/>
      <c r="J27" s="88"/>
    </row>
    <row r="28">
      <c r="A28" s="25"/>
      <c r="B28" s="26"/>
      <c r="C28" s="25"/>
      <c r="D28" s="27"/>
    </row>
    <row r="29">
      <c r="A29" s="25"/>
      <c r="B29" s="26"/>
      <c r="C29" s="25"/>
      <c r="D29" s="27"/>
      <c r="I29" s="89"/>
      <c r="J29" s="90"/>
    </row>
  </sheetData>
  <mergeCells count="2">
    <mergeCell ref="H14:K14"/>
    <mergeCell ref="H19:J19"/>
  </mergeCell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B1" s="2" t="s">
        <v>0</v>
      </c>
      <c r="C1" s="2" t="s">
        <v>1</v>
      </c>
      <c r="D1" s="2" t="s">
        <v>7</v>
      </c>
      <c r="E1" s="2" t="s">
        <v>3</v>
      </c>
      <c r="F1" s="2" t="s">
        <v>129</v>
      </c>
      <c r="G1" s="2" t="s">
        <v>5</v>
      </c>
      <c r="H1" s="2" t="s">
        <v>6</v>
      </c>
      <c r="I1" s="2" t="s">
        <v>43</v>
      </c>
      <c r="J1" s="2" t="s">
        <v>40</v>
      </c>
      <c r="K1" s="2" t="s">
        <v>49</v>
      </c>
      <c r="L1" s="2" t="s">
        <v>42</v>
      </c>
      <c r="M1" s="2" t="s">
        <v>121</v>
      </c>
      <c r="N1" s="2" t="s">
        <v>9</v>
      </c>
      <c r="O1" s="2" t="s">
        <v>37</v>
      </c>
      <c r="P1" s="2" t="s">
        <v>10</v>
      </c>
      <c r="Q1" s="2" t="s">
        <v>11</v>
      </c>
      <c r="R1" s="2" t="s">
        <v>12</v>
      </c>
      <c r="S1" s="3" t="s">
        <v>13</v>
      </c>
      <c r="T1" s="3" t="s">
        <v>14</v>
      </c>
      <c r="U1" s="3" t="s">
        <v>15</v>
      </c>
    </row>
    <row r="2">
      <c r="A2" s="74">
        <v>45054.0</v>
      </c>
      <c r="B2" s="5">
        <v>2844.59</v>
      </c>
      <c r="C2" s="5">
        <v>407.2</v>
      </c>
      <c r="D2" s="5"/>
      <c r="E2" s="5"/>
      <c r="F2" s="5">
        <v>479.88</v>
      </c>
      <c r="G2" s="5"/>
      <c r="H2" s="5"/>
      <c r="I2" s="5"/>
      <c r="J2" s="72">
        <v>74.68</v>
      </c>
      <c r="K2" s="5">
        <v>130.0</v>
      </c>
      <c r="L2" s="5"/>
      <c r="M2" s="6"/>
      <c r="N2" s="6"/>
      <c r="O2" s="5"/>
      <c r="P2" s="5">
        <v>39.0</v>
      </c>
      <c r="Q2" s="5"/>
      <c r="R2" s="6"/>
      <c r="S2" s="7">
        <f t="shared" ref="S2:S7" si="1">SUM(B2:R2)</f>
        <v>3975.35</v>
      </c>
      <c r="T2" s="8">
        <v>6101.4</v>
      </c>
      <c r="U2" s="59">
        <f t="shared" ref="U2:U8" si="2">S2/T2</f>
        <v>0.6515471859</v>
      </c>
      <c r="V2" s="74">
        <f t="shared" ref="V2:V8" si="3">A2</f>
        <v>45054</v>
      </c>
    </row>
    <row r="3">
      <c r="A3" s="74">
        <v>45055.0</v>
      </c>
      <c r="B3" s="5">
        <v>556.88</v>
      </c>
      <c r="C3" s="33">
        <v>29.0</v>
      </c>
      <c r="D3" s="5"/>
      <c r="E3" s="5"/>
      <c r="F3" s="5"/>
      <c r="G3" s="5"/>
      <c r="H3" s="5">
        <v>42.0</v>
      </c>
      <c r="I3" s="5"/>
      <c r="J3" s="42"/>
      <c r="K3" s="5"/>
      <c r="L3" s="5"/>
      <c r="M3" s="6"/>
      <c r="N3" s="6"/>
      <c r="O3" s="93"/>
      <c r="P3" s="5"/>
      <c r="Q3" s="5"/>
      <c r="R3" s="5">
        <v>179.96</v>
      </c>
      <c r="S3" s="7">
        <f t="shared" si="1"/>
        <v>807.84</v>
      </c>
      <c r="T3" s="8">
        <v>6687.17</v>
      </c>
      <c r="U3" s="59">
        <f t="shared" si="2"/>
        <v>0.1208044659</v>
      </c>
      <c r="V3" s="74">
        <f t="shared" si="3"/>
        <v>45055</v>
      </c>
    </row>
    <row r="4">
      <c r="A4" s="74">
        <v>45056.0</v>
      </c>
      <c r="B4" s="5">
        <v>2371.02</v>
      </c>
      <c r="C4" s="5">
        <v>422.46</v>
      </c>
      <c r="D4" s="5"/>
      <c r="E4" s="5"/>
      <c r="F4" s="5"/>
      <c r="G4" s="5"/>
      <c r="H4" s="5"/>
      <c r="I4" s="5"/>
      <c r="J4" s="42"/>
      <c r="K4" s="5"/>
      <c r="L4" s="5"/>
      <c r="M4" s="5">
        <v>18.5</v>
      </c>
      <c r="N4" s="6"/>
      <c r="O4" s="5"/>
      <c r="P4" s="83"/>
      <c r="Q4" s="5"/>
      <c r="R4" s="6"/>
      <c r="S4" s="7">
        <f t="shared" si="1"/>
        <v>2811.98</v>
      </c>
      <c r="T4" s="8">
        <v>5383.53</v>
      </c>
      <c r="U4" s="59">
        <f t="shared" si="2"/>
        <v>0.522330144</v>
      </c>
      <c r="V4" s="74">
        <f t="shared" si="3"/>
        <v>45056</v>
      </c>
    </row>
    <row r="5">
      <c r="A5" s="74">
        <v>45057.0</v>
      </c>
      <c r="B5" s="5">
        <v>2280.81</v>
      </c>
      <c r="C5" s="5">
        <v>1265.26</v>
      </c>
      <c r="D5" s="6"/>
      <c r="E5" s="5">
        <v>180.0</v>
      </c>
      <c r="F5" s="5">
        <v>904.68</v>
      </c>
      <c r="G5" s="5"/>
      <c r="H5" s="5">
        <v>278.8</v>
      </c>
      <c r="I5" s="5"/>
      <c r="J5" s="5"/>
      <c r="K5" s="5">
        <v>360.0</v>
      </c>
      <c r="L5" s="5"/>
      <c r="M5" s="5">
        <v>18.5</v>
      </c>
      <c r="N5" s="5"/>
      <c r="O5" s="5"/>
      <c r="P5" s="5">
        <v>88.5</v>
      </c>
      <c r="Q5" s="6"/>
      <c r="R5" s="6"/>
      <c r="S5" s="7">
        <f t="shared" si="1"/>
        <v>5376.55</v>
      </c>
      <c r="T5" s="8">
        <v>8139.0</v>
      </c>
      <c r="U5" s="59">
        <f t="shared" si="2"/>
        <v>0.6605909817</v>
      </c>
      <c r="V5" s="74">
        <f t="shared" si="3"/>
        <v>45057</v>
      </c>
    </row>
    <row r="6">
      <c r="A6" s="74">
        <v>45058.0</v>
      </c>
      <c r="B6" s="5">
        <v>1355.79</v>
      </c>
      <c r="C6" s="5">
        <v>475.16</v>
      </c>
      <c r="D6" s="5"/>
      <c r="E6" s="5"/>
      <c r="G6" s="5"/>
      <c r="H6" s="5"/>
      <c r="I6" s="5"/>
      <c r="J6" s="5"/>
      <c r="K6" s="5"/>
      <c r="L6" s="5"/>
      <c r="M6" s="5">
        <v>18.5</v>
      </c>
      <c r="N6" s="6"/>
      <c r="O6" s="5"/>
      <c r="P6" s="5"/>
      <c r="Q6" s="5">
        <v>105.65</v>
      </c>
      <c r="R6" s="5"/>
      <c r="S6" s="7">
        <f t="shared" si="1"/>
        <v>1955.1</v>
      </c>
      <c r="T6" s="8">
        <v>11242.05</v>
      </c>
      <c r="U6" s="59">
        <f t="shared" si="2"/>
        <v>0.1739095628</v>
      </c>
      <c r="V6" s="74">
        <f t="shared" si="3"/>
        <v>45058</v>
      </c>
    </row>
    <row r="7">
      <c r="A7" s="74">
        <v>45059.0</v>
      </c>
      <c r="B7" s="5">
        <v>1873.0</v>
      </c>
      <c r="C7" s="5">
        <v>344.82</v>
      </c>
      <c r="D7" s="44">
        <v>200.0</v>
      </c>
      <c r="E7" s="5"/>
      <c r="F7" s="5">
        <v>109.66</v>
      </c>
      <c r="G7" s="5"/>
      <c r="H7" s="5"/>
      <c r="I7" s="5"/>
      <c r="J7" s="6"/>
      <c r="K7" s="5"/>
      <c r="L7" s="5"/>
      <c r="M7" s="93"/>
      <c r="N7" s="44">
        <v>100.0</v>
      </c>
      <c r="O7" s="6"/>
      <c r="P7" s="6"/>
      <c r="Q7" s="6"/>
      <c r="R7" s="5"/>
      <c r="S7" s="7">
        <f t="shared" si="1"/>
        <v>2627.48</v>
      </c>
      <c r="T7" s="8">
        <v>19082.37</v>
      </c>
      <c r="U7" s="59">
        <f t="shared" si="2"/>
        <v>0.1376914922</v>
      </c>
      <c r="V7" s="74">
        <f t="shared" si="3"/>
        <v>45059</v>
      </c>
    </row>
    <row r="8">
      <c r="A8" s="74">
        <v>45060.0</v>
      </c>
      <c r="B8" s="10" t="s">
        <v>21</v>
      </c>
      <c r="C8" s="10" t="s">
        <v>21</v>
      </c>
      <c r="D8" s="10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0" t="s">
        <v>21</v>
      </c>
      <c r="K8" s="10" t="s">
        <v>21</v>
      </c>
      <c r="L8" s="10" t="s">
        <v>21</v>
      </c>
      <c r="M8" s="10"/>
      <c r="N8" s="10" t="s">
        <v>21</v>
      </c>
      <c r="O8" s="10" t="s">
        <v>21</v>
      </c>
      <c r="P8" s="10" t="s">
        <v>21</v>
      </c>
      <c r="Q8" s="10" t="s">
        <v>21</v>
      </c>
      <c r="R8" s="10" t="s">
        <v>21</v>
      </c>
      <c r="S8" s="7">
        <v>0.0</v>
      </c>
      <c r="T8" s="8">
        <v>21972.0</v>
      </c>
      <c r="U8" s="59">
        <f t="shared" si="2"/>
        <v>0</v>
      </c>
      <c r="V8" s="74">
        <f t="shared" si="3"/>
        <v>45060</v>
      </c>
    </row>
    <row r="11">
      <c r="A11" s="4" t="s">
        <v>22</v>
      </c>
      <c r="B11" s="11">
        <v>13000.0</v>
      </c>
      <c r="E11" s="78"/>
      <c r="F11" s="79"/>
    </row>
    <row r="12">
      <c r="A12" s="4" t="s">
        <v>23</v>
      </c>
      <c r="B12" s="12">
        <f>SUM(B2:R8)</f>
        <v>17554.3</v>
      </c>
      <c r="E12" s="56"/>
    </row>
    <row r="13">
      <c r="A13" s="4" t="s">
        <v>24</v>
      </c>
      <c r="B13" s="12">
        <f> SUM(B11-B12)</f>
        <v>-4554.3</v>
      </c>
    </row>
    <row r="15">
      <c r="A15" s="13" t="s">
        <v>25</v>
      </c>
      <c r="B15" s="14">
        <f>SUM(T2:T8)</f>
        <v>78607.52</v>
      </c>
    </row>
    <row r="16">
      <c r="A16" s="13" t="s">
        <v>26</v>
      </c>
      <c r="B16" s="15">
        <f>B12/B15</f>
        <v>0.2233157845</v>
      </c>
    </row>
    <row r="19">
      <c r="A19" s="16" t="s">
        <v>27</v>
      </c>
      <c r="B19" s="17"/>
      <c r="C19" s="17"/>
      <c r="D19" s="18"/>
      <c r="H19" s="84"/>
    </row>
    <row r="20">
      <c r="A20" s="19" t="s">
        <v>28</v>
      </c>
      <c r="B20" s="20"/>
      <c r="C20" s="20"/>
      <c r="D20" s="21"/>
      <c r="H20" s="85"/>
      <c r="I20" s="85"/>
      <c r="J20" s="85"/>
    </row>
    <row r="21">
      <c r="A21" s="22" t="s">
        <v>29</v>
      </c>
      <c r="B21" s="23" t="s">
        <v>30</v>
      </c>
      <c r="C21" s="22" t="s">
        <v>31</v>
      </c>
      <c r="D21" s="24" t="s">
        <v>30</v>
      </c>
      <c r="H21" s="86"/>
      <c r="I21" s="85"/>
      <c r="J21" s="85"/>
    </row>
    <row r="22">
      <c r="A22" s="28" t="s">
        <v>149</v>
      </c>
      <c r="B22" s="72">
        <v>284.9</v>
      </c>
      <c r="C22" s="25"/>
      <c r="D22" s="27"/>
      <c r="H22" s="87"/>
      <c r="I22" s="85"/>
      <c r="J22" s="85"/>
    </row>
    <row r="23">
      <c r="A23" s="28" t="s">
        <v>150</v>
      </c>
      <c r="B23" s="72">
        <v>551.39</v>
      </c>
      <c r="C23" s="25"/>
      <c r="D23" s="27"/>
      <c r="H23" s="88"/>
      <c r="I23" s="88"/>
      <c r="J23" s="88"/>
    </row>
    <row r="24">
      <c r="A24" s="71"/>
      <c r="B24" s="72"/>
      <c r="C24" s="25"/>
      <c r="D24" s="27"/>
      <c r="H24" s="88"/>
      <c r="I24" s="88"/>
      <c r="J24" s="88"/>
    </row>
    <row r="25">
      <c r="A25" s="28"/>
      <c r="B25" s="41"/>
      <c r="C25" s="25"/>
      <c r="D25" s="27"/>
      <c r="H25" s="88"/>
      <c r="I25" s="88"/>
      <c r="J25" s="88"/>
    </row>
    <row r="26">
      <c r="A26" s="28" t="s">
        <v>32</v>
      </c>
      <c r="B26" s="26"/>
      <c r="C26" s="25"/>
      <c r="D26" s="27"/>
      <c r="H26" s="88"/>
      <c r="I26" s="88"/>
      <c r="J26" s="88"/>
    </row>
    <row r="27">
      <c r="A27" s="25"/>
      <c r="B27" s="26"/>
      <c r="C27" s="25"/>
      <c r="D27" s="27"/>
      <c r="H27" s="88"/>
      <c r="I27" s="88"/>
      <c r="J27" s="88"/>
    </row>
    <row r="28">
      <c r="A28" s="28" t="s">
        <v>33</v>
      </c>
      <c r="B28" s="26"/>
      <c r="C28" s="25"/>
      <c r="D28" s="27"/>
    </row>
    <row r="29">
      <c r="A29" s="25"/>
      <c r="B29" s="26"/>
      <c r="C29" s="25"/>
      <c r="D29" s="27"/>
      <c r="I29" s="89"/>
      <c r="J29" s="90"/>
    </row>
    <row r="30">
      <c r="A30" s="32" t="s">
        <v>151</v>
      </c>
    </row>
  </sheetData>
  <mergeCells count="1">
    <mergeCell ref="H19:J19"/>
  </mergeCell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B1" s="2" t="s">
        <v>0</v>
      </c>
      <c r="C1" s="2" t="s">
        <v>1</v>
      </c>
      <c r="D1" s="2" t="s">
        <v>7</v>
      </c>
      <c r="E1" s="2" t="s">
        <v>3</v>
      </c>
      <c r="F1" s="2" t="s">
        <v>129</v>
      </c>
      <c r="G1" s="2" t="s">
        <v>5</v>
      </c>
      <c r="H1" s="2" t="s">
        <v>6</v>
      </c>
      <c r="I1" s="2" t="s">
        <v>43</v>
      </c>
      <c r="J1" s="2" t="s">
        <v>40</v>
      </c>
      <c r="K1" s="2" t="s">
        <v>49</v>
      </c>
      <c r="L1" s="2" t="s">
        <v>42</v>
      </c>
      <c r="M1" s="2" t="s">
        <v>121</v>
      </c>
      <c r="N1" s="2" t="s">
        <v>9</v>
      </c>
      <c r="O1" s="2" t="s">
        <v>37</v>
      </c>
      <c r="P1" s="2" t="s">
        <v>10</v>
      </c>
      <c r="Q1" s="2" t="s">
        <v>11</v>
      </c>
      <c r="R1" s="2" t="s">
        <v>12</v>
      </c>
      <c r="S1" s="3" t="s">
        <v>13</v>
      </c>
      <c r="T1" s="3" t="s">
        <v>14</v>
      </c>
      <c r="U1" s="3" t="s">
        <v>15</v>
      </c>
    </row>
    <row r="2">
      <c r="A2" s="74">
        <v>45061.0</v>
      </c>
      <c r="B2" s="5">
        <v>2481.64</v>
      </c>
      <c r="C2" s="5">
        <v>903.19</v>
      </c>
      <c r="D2" s="5"/>
      <c r="E2" s="5"/>
      <c r="F2" s="5">
        <v>152.0</v>
      </c>
      <c r="G2" s="5"/>
      <c r="H2" s="5"/>
      <c r="I2" s="5"/>
      <c r="J2" s="72"/>
      <c r="K2" s="5">
        <v>130.0</v>
      </c>
      <c r="L2" s="5"/>
      <c r="M2" s="6"/>
      <c r="N2" s="44">
        <v>298.0</v>
      </c>
      <c r="O2" s="5"/>
      <c r="P2" s="5">
        <v>57.5</v>
      </c>
      <c r="Q2" s="44">
        <v>109.97</v>
      </c>
      <c r="R2" s="5"/>
      <c r="S2" s="7">
        <f t="shared" ref="S2:S7" si="1">SUM(B2:R2)</f>
        <v>4132.3</v>
      </c>
      <c r="T2" s="97">
        <v>6135.08</v>
      </c>
      <c r="U2" s="59">
        <f t="shared" ref="U2:U8" si="2">S2/T2</f>
        <v>0.6735527491</v>
      </c>
      <c r="V2" s="74">
        <f t="shared" ref="V2:V8" si="3">A2</f>
        <v>45061</v>
      </c>
    </row>
    <row r="3">
      <c r="A3" s="74">
        <v>45062.0</v>
      </c>
      <c r="B3" s="5">
        <v>630.74</v>
      </c>
      <c r="C3" s="33">
        <v>452.71</v>
      </c>
      <c r="D3" s="44">
        <v>156.0</v>
      </c>
      <c r="E3" s="5"/>
      <c r="F3" s="5"/>
      <c r="G3" s="5">
        <v>284.9</v>
      </c>
      <c r="H3" s="5">
        <v>42.0</v>
      </c>
      <c r="I3" s="5"/>
      <c r="J3" s="42"/>
      <c r="K3" s="5"/>
      <c r="L3" s="5"/>
      <c r="M3" s="6"/>
      <c r="N3" s="6"/>
      <c r="O3" s="93"/>
      <c r="P3" s="5"/>
      <c r="Q3" s="5"/>
      <c r="R3" s="5">
        <v>179.96</v>
      </c>
      <c r="S3" s="7">
        <f t="shared" si="1"/>
        <v>1746.31</v>
      </c>
      <c r="T3" s="97">
        <v>7295.32</v>
      </c>
      <c r="U3" s="59">
        <f t="shared" si="2"/>
        <v>0.2393740096</v>
      </c>
      <c r="V3" s="74">
        <f t="shared" si="3"/>
        <v>45062</v>
      </c>
    </row>
    <row r="4">
      <c r="A4" s="74">
        <v>45063.0</v>
      </c>
      <c r="B4" s="5">
        <v>1544.58</v>
      </c>
      <c r="C4" s="5"/>
      <c r="D4" s="5"/>
      <c r="E4" s="5"/>
      <c r="F4" s="5">
        <v>381.51</v>
      </c>
      <c r="G4" s="5"/>
      <c r="H4" s="5"/>
      <c r="I4" s="5"/>
      <c r="J4" s="42">
        <v>226.65</v>
      </c>
      <c r="K4" s="5"/>
      <c r="L4" s="5"/>
      <c r="M4" s="5">
        <v>18.5</v>
      </c>
      <c r="N4" s="44">
        <v>168.0</v>
      </c>
      <c r="O4" s="5"/>
      <c r="P4" s="83"/>
      <c r="Q4" s="44">
        <v>109.97</v>
      </c>
      <c r="R4" s="6"/>
      <c r="S4" s="7">
        <f t="shared" si="1"/>
        <v>2449.21</v>
      </c>
      <c r="T4" s="97">
        <v>11110.01</v>
      </c>
      <c r="U4" s="59">
        <f t="shared" si="2"/>
        <v>0.2204507467</v>
      </c>
      <c r="V4" s="74">
        <f t="shared" si="3"/>
        <v>45063</v>
      </c>
    </row>
    <row r="5">
      <c r="A5" s="74">
        <v>45064.0</v>
      </c>
      <c r="B5" s="5">
        <v>1721.81</v>
      </c>
      <c r="C5" s="5">
        <v>363.4</v>
      </c>
      <c r="D5" s="6"/>
      <c r="E5" s="5">
        <v>180.0</v>
      </c>
      <c r="F5" s="5"/>
      <c r="G5" s="5"/>
      <c r="H5" s="5">
        <v>123.0</v>
      </c>
      <c r="I5" s="5"/>
      <c r="J5" s="5"/>
      <c r="K5" s="5"/>
      <c r="L5" s="5"/>
      <c r="M5" s="5">
        <v>18.5</v>
      </c>
      <c r="N5" s="5"/>
      <c r="O5" s="5"/>
      <c r="P5" s="5"/>
      <c r="Q5" s="6"/>
      <c r="R5" s="6"/>
      <c r="S5" s="7">
        <f t="shared" si="1"/>
        <v>2406.71</v>
      </c>
      <c r="T5" s="98">
        <v>26922.01</v>
      </c>
      <c r="U5" s="59">
        <f t="shared" si="2"/>
        <v>0.08939562834</v>
      </c>
      <c r="V5" s="74">
        <f t="shared" si="3"/>
        <v>45064</v>
      </c>
    </row>
    <row r="6">
      <c r="A6" s="74">
        <v>45065.0</v>
      </c>
      <c r="B6" s="5">
        <v>1408.87</v>
      </c>
      <c r="C6" s="99">
        <v>933.57</v>
      </c>
      <c r="D6" s="93"/>
      <c r="E6" s="5"/>
      <c r="G6" s="5">
        <v>569.9</v>
      </c>
      <c r="H6" s="5"/>
      <c r="I6" s="5"/>
      <c r="J6" s="100">
        <v>1624.13</v>
      </c>
      <c r="K6" s="5">
        <v>120.0</v>
      </c>
      <c r="L6" s="5"/>
      <c r="M6" s="5"/>
      <c r="N6" s="101"/>
      <c r="O6" s="5"/>
      <c r="P6" s="5">
        <v>117.0</v>
      </c>
      <c r="Q6" s="44">
        <v>109.97</v>
      </c>
      <c r="R6" s="5"/>
      <c r="S6" s="7">
        <f t="shared" si="1"/>
        <v>4883.44</v>
      </c>
      <c r="T6" s="97">
        <v>21020.0</v>
      </c>
      <c r="U6" s="59">
        <f t="shared" si="2"/>
        <v>0.2323235014</v>
      </c>
      <c r="V6" s="74">
        <f t="shared" si="3"/>
        <v>45065</v>
      </c>
    </row>
    <row r="7">
      <c r="A7" s="74">
        <v>45066.0</v>
      </c>
      <c r="B7" s="5">
        <v>2141.54</v>
      </c>
      <c r="C7" s="5">
        <v>1091.32</v>
      </c>
      <c r="D7" s="5"/>
      <c r="E7" s="5"/>
      <c r="F7" s="5"/>
      <c r="G7" s="5"/>
      <c r="H7" s="5"/>
      <c r="I7" s="5"/>
      <c r="J7" s="6"/>
      <c r="K7" s="5"/>
      <c r="L7" s="5"/>
      <c r="M7" s="93"/>
      <c r="N7" s="44">
        <v>270.0</v>
      </c>
      <c r="O7" s="6"/>
      <c r="P7" s="6"/>
      <c r="Q7" s="6"/>
      <c r="R7" s="5">
        <v>67.71</v>
      </c>
      <c r="S7" s="7">
        <f t="shared" si="1"/>
        <v>3570.57</v>
      </c>
      <c r="T7" s="97">
        <v>29430.71</v>
      </c>
      <c r="U7" s="59">
        <f t="shared" si="2"/>
        <v>0.1213212321</v>
      </c>
      <c r="V7" s="74">
        <f t="shared" si="3"/>
        <v>45066</v>
      </c>
    </row>
    <row r="8">
      <c r="A8" s="74">
        <v>45067.0</v>
      </c>
      <c r="B8" s="10" t="s">
        <v>21</v>
      </c>
      <c r="C8" s="10" t="s">
        <v>21</v>
      </c>
      <c r="D8" s="10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0" t="s">
        <v>21</v>
      </c>
      <c r="K8" s="10" t="s">
        <v>21</v>
      </c>
      <c r="L8" s="10" t="s">
        <v>21</v>
      </c>
      <c r="M8" s="10"/>
      <c r="N8" s="10" t="s">
        <v>21</v>
      </c>
      <c r="O8" s="10" t="s">
        <v>21</v>
      </c>
      <c r="P8" s="10" t="s">
        <v>21</v>
      </c>
      <c r="Q8" s="10" t="s">
        <v>21</v>
      </c>
      <c r="R8" s="10" t="s">
        <v>21</v>
      </c>
      <c r="S8" s="7">
        <v>0.0</v>
      </c>
      <c r="T8" s="8">
        <v>17579.54</v>
      </c>
      <c r="U8" s="59">
        <f t="shared" si="2"/>
        <v>0</v>
      </c>
      <c r="V8" s="74">
        <f t="shared" si="3"/>
        <v>45067</v>
      </c>
    </row>
    <row r="9">
      <c r="B9" s="32" t="s">
        <v>152</v>
      </c>
      <c r="C9" s="102">
        <v>683163.0</v>
      </c>
      <c r="T9" s="103"/>
    </row>
    <row r="11">
      <c r="A11" s="4" t="s">
        <v>22</v>
      </c>
      <c r="B11" s="11">
        <v>13000.0</v>
      </c>
      <c r="E11" s="78"/>
      <c r="F11" s="79"/>
      <c r="T11" s="56"/>
    </row>
    <row r="12">
      <c r="A12" s="4" t="s">
        <v>23</v>
      </c>
      <c r="B12" s="12">
        <f>SUM(B2:R8)</f>
        <v>19188.54</v>
      </c>
      <c r="E12" s="56"/>
    </row>
    <row r="13">
      <c r="A13" s="4" t="s">
        <v>24</v>
      </c>
      <c r="B13" s="12">
        <f> SUM(B11-B12)</f>
        <v>-6188.54</v>
      </c>
    </row>
    <row r="15">
      <c r="A15" s="13" t="s">
        <v>25</v>
      </c>
      <c r="B15" s="14">
        <f>SUM(T2:T8)</f>
        <v>119492.67</v>
      </c>
      <c r="C15" s="45">
        <f>B15*0.1175</f>
        <v>14040.38873</v>
      </c>
      <c r="D15" s="45">
        <f>B15-C15</f>
        <v>105452.2813</v>
      </c>
    </row>
    <row r="16">
      <c r="A16" s="13" t="s">
        <v>26</v>
      </c>
      <c r="B16" s="15">
        <f>B12/B15</f>
        <v>0.1605834065</v>
      </c>
    </row>
    <row r="19">
      <c r="A19" s="16" t="s">
        <v>27</v>
      </c>
      <c r="B19" s="17"/>
      <c r="C19" s="17"/>
      <c r="D19" s="18"/>
      <c r="H19" s="84"/>
    </row>
    <row r="20">
      <c r="A20" s="19" t="s">
        <v>28</v>
      </c>
      <c r="B20" s="20"/>
      <c r="C20" s="20"/>
      <c r="D20" s="21"/>
      <c r="H20" s="85"/>
      <c r="I20" s="85"/>
      <c r="J20" s="85"/>
    </row>
    <row r="21">
      <c r="A21" s="22" t="s">
        <v>29</v>
      </c>
      <c r="B21" s="23" t="s">
        <v>30</v>
      </c>
      <c r="C21" s="22" t="s">
        <v>31</v>
      </c>
      <c r="D21" s="24" t="s">
        <v>30</v>
      </c>
      <c r="H21" s="86"/>
      <c r="I21" s="85"/>
      <c r="J21" s="85"/>
    </row>
    <row r="22">
      <c r="A22" s="28" t="s">
        <v>149</v>
      </c>
      <c r="B22" s="72"/>
      <c r="C22" s="25"/>
      <c r="D22" s="27"/>
      <c r="H22" s="87"/>
      <c r="I22" s="85"/>
      <c r="J22" s="85"/>
    </row>
    <row r="23">
      <c r="A23" s="28" t="s">
        <v>150</v>
      </c>
      <c r="B23" s="72"/>
      <c r="C23" s="25"/>
      <c r="D23" s="27"/>
      <c r="H23" s="88"/>
      <c r="I23" s="88"/>
      <c r="J23" s="88"/>
    </row>
    <row r="24">
      <c r="A24" s="71"/>
      <c r="B24" s="72"/>
      <c r="C24" s="25"/>
      <c r="D24" s="27"/>
      <c r="H24" s="88"/>
      <c r="I24" s="88"/>
      <c r="J24" s="88"/>
    </row>
    <row r="25">
      <c r="A25" s="28"/>
      <c r="B25" s="41"/>
      <c r="C25" s="25"/>
      <c r="D25" s="27"/>
      <c r="H25" s="88"/>
      <c r="I25" s="88"/>
      <c r="J25" s="88"/>
    </row>
    <row r="26">
      <c r="A26" s="25"/>
      <c r="B26" s="26"/>
      <c r="C26" s="25"/>
      <c r="D26" s="27"/>
      <c r="H26" s="88"/>
      <c r="I26" s="88"/>
      <c r="J26" s="88"/>
    </row>
    <row r="27">
      <c r="A27" s="25"/>
      <c r="B27" s="26"/>
      <c r="C27" s="25"/>
      <c r="D27" s="27"/>
      <c r="H27" s="88"/>
      <c r="I27" s="88"/>
      <c r="J27" s="88"/>
    </row>
    <row r="28">
      <c r="A28" s="25"/>
      <c r="B28" s="26"/>
      <c r="C28" s="25"/>
      <c r="D28" s="27"/>
      <c r="T28" s="104"/>
    </row>
    <row r="29">
      <c r="A29" s="25"/>
      <c r="B29" s="26"/>
      <c r="C29" s="25"/>
      <c r="D29" s="27"/>
      <c r="I29" s="89"/>
      <c r="J29" s="90"/>
    </row>
  </sheetData>
  <mergeCells count="1">
    <mergeCell ref="H19:J19"/>
  </mergeCell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2" max="22" width="17.0"/>
  </cols>
  <sheetData>
    <row r="1">
      <c r="B1" s="2" t="s">
        <v>0</v>
      </c>
      <c r="C1" s="105" t="s">
        <v>1</v>
      </c>
      <c r="D1" s="105" t="s">
        <v>7</v>
      </c>
      <c r="E1" s="2" t="s">
        <v>3</v>
      </c>
      <c r="F1" s="2" t="s">
        <v>129</v>
      </c>
      <c r="G1" s="2" t="s">
        <v>5</v>
      </c>
      <c r="H1" s="2" t="s">
        <v>6</v>
      </c>
      <c r="I1" s="2" t="s">
        <v>43</v>
      </c>
      <c r="J1" s="105" t="s">
        <v>40</v>
      </c>
      <c r="K1" s="2" t="s">
        <v>49</v>
      </c>
      <c r="L1" s="2" t="s">
        <v>153</v>
      </c>
      <c r="M1" s="2" t="s">
        <v>121</v>
      </c>
      <c r="N1" s="105" t="s">
        <v>9</v>
      </c>
      <c r="O1" s="2" t="s">
        <v>37</v>
      </c>
      <c r="P1" s="2" t="s">
        <v>10</v>
      </c>
      <c r="Q1" s="105" t="s">
        <v>11</v>
      </c>
      <c r="R1" s="2" t="s">
        <v>12</v>
      </c>
      <c r="S1" s="3" t="s">
        <v>13</v>
      </c>
      <c r="T1" s="3" t="s">
        <v>14</v>
      </c>
      <c r="U1" s="3" t="s">
        <v>15</v>
      </c>
      <c r="V1" s="106"/>
    </row>
    <row r="2">
      <c r="A2" s="74">
        <v>45068.0</v>
      </c>
      <c r="B2" s="5">
        <v>2850.03</v>
      </c>
      <c r="C2" s="93">
        <v>627.54</v>
      </c>
      <c r="D2" s="93"/>
      <c r="E2" s="5"/>
      <c r="F2" s="5">
        <v>304.75</v>
      </c>
      <c r="G2" s="5"/>
      <c r="H2" s="5"/>
      <c r="I2" s="5"/>
      <c r="J2" s="72"/>
      <c r="K2" s="5">
        <v>240.0</v>
      </c>
      <c r="L2" s="5"/>
      <c r="M2" s="5">
        <v>18.5</v>
      </c>
      <c r="N2" s="93"/>
      <c r="O2" s="5"/>
      <c r="P2" s="5"/>
      <c r="Q2" s="44">
        <v>109.97</v>
      </c>
      <c r="R2" s="5"/>
      <c r="S2" s="107">
        <f t="shared" ref="S2:S7" si="1">SUM(B2:R2)</f>
        <v>4150.79</v>
      </c>
      <c r="T2" s="108">
        <v>9972.5</v>
      </c>
      <c r="U2" s="59">
        <f t="shared" ref="U2:U8" si="2">S2/T2</f>
        <v>0.4162236149</v>
      </c>
      <c r="V2" s="109">
        <f t="shared" ref="V2:V8" si="3">A2</f>
        <v>45068</v>
      </c>
    </row>
    <row r="3">
      <c r="A3" s="74">
        <v>45069.0</v>
      </c>
      <c r="B3" s="5">
        <v>1292.84</v>
      </c>
      <c r="C3" s="110">
        <v>744.76</v>
      </c>
      <c r="D3" s="44">
        <v>132.0</v>
      </c>
      <c r="E3" s="5"/>
      <c r="F3" s="5">
        <v>460.92</v>
      </c>
      <c r="G3" s="5">
        <v>759.8</v>
      </c>
      <c r="H3" s="5">
        <v>42.0</v>
      </c>
      <c r="I3" s="5"/>
      <c r="J3" s="93"/>
      <c r="K3" s="5"/>
      <c r="L3" s="5"/>
      <c r="M3" s="6"/>
      <c r="N3" s="44">
        <v>468.0</v>
      </c>
      <c r="O3" s="93"/>
      <c r="P3" s="5"/>
      <c r="Q3" s="93"/>
      <c r="R3" s="5">
        <v>179.96</v>
      </c>
      <c r="S3" s="7">
        <f t="shared" si="1"/>
        <v>4080.28</v>
      </c>
      <c r="T3" s="97">
        <v>6433.6</v>
      </c>
      <c r="U3" s="59">
        <f t="shared" si="2"/>
        <v>0.6342141258</v>
      </c>
      <c r="V3" s="109">
        <f t="shared" si="3"/>
        <v>45069</v>
      </c>
    </row>
    <row r="4">
      <c r="A4" s="74">
        <v>45070.0</v>
      </c>
      <c r="B4" s="5">
        <v>1701.01</v>
      </c>
      <c r="C4" s="93">
        <v>286.6</v>
      </c>
      <c r="D4" s="93"/>
      <c r="E4" s="5"/>
      <c r="F4" s="5"/>
      <c r="G4" s="5"/>
      <c r="H4" s="5"/>
      <c r="I4" s="5"/>
      <c r="J4" s="100">
        <v>1011.59</v>
      </c>
      <c r="K4" s="5"/>
      <c r="L4" s="5"/>
      <c r="M4" s="5">
        <v>18.5</v>
      </c>
      <c r="N4" s="93"/>
      <c r="O4" s="5"/>
      <c r="P4" s="83"/>
      <c r="Q4" s="44">
        <v>109.97</v>
      </c>
      <c r="R4" s="6"/>
      <c r="S4" s="7">
        <f t="shared" si="1"/>
        <v>3127.67</v>
      </c>
      <c r="T4" s="97">
        <v>7004.0</v>
      </c>
      <c r="U4" s="59">
        <f t="shared" si="2"/>
        <v>0.4465548258</v>
      </c>
      <c r="V4" s="109">
        <f t="shared" si="3"/>
        <v>45070</v>
      </c>
    </row>
    <row r="5">
      <c r="A5" s="74">
        <v>45071.0</v>
      </c>
      <c r="B5" s="5">
        <v>1456.08</v>
      </c>
      <c r="C5" s="93">
        <v>586.72</v>
      </c>
      <c r="D5" s="101"/>
      <c r="E5" s="5">
        <v>180.0</v>
      </c>
      <c r="F5" s="44">
        <v>551.53</v>
      </c>
      <c r="G5" s="5">
        <v>95.0</v>
      </c>
      <c r="H5" s="5">
        <v>123.0</v>
      </c>
      <c r="I5" s="5"/>
      <c r="J5" s="93"/>
      <c r="K5" s="5"/>
      <c r="L5" s="44">
        <v>180.0</v>
      </c>
      <c r="M5" s="5">
        <v>18.5</v>
      </c>
      <c r="N5" s="93"/>
      <c r="O5" s="5"/>
      <c r="P5" s="5"/>
      <c r="Q5" s="101"/>
      <c r="R5" s="6"/>
      <c r="S5" s="7">
        <f t="shared" si="1"/>
        <v>3190.83</v>
      </c>
      <c r="T5" s="98">
        <v>6770.0</v>
      </c>
      <c r="U5" s="59">
        <f t="shared" si="2"/>
        <v>0.4713190547</v>
      </c>
      <c r="V5" s="109">
        <f t="shared" si="3"/>
        <v>45071</v>
      </c>
    </row>
    <row r="6">
      <c r="A6" s="74">
        <v>45072.0</v>
      </c>
      <c r="B6" s="5">
        <v>1210.35</v>
      </c>
      <c r="C6" s="100">
        <v>518.56</v>
      </c>
      <c r="D6" s="44">
        <v>221.0</v>
      </c>
      <c r="E6" s="5"/>
      <c r="F6" s="32">
        <v>209.5</v>
      </c>
      <c r="G6" s="5"/>
      <c r="H6" s="5"/>
      <c r="I6" s="5"/>
      <c r="J6" s="111"/>
      <c r="K6" s="5"/>
      <c r="L6" s="5"/>
      <c r="M6" s="5">
        <v>18.5</v>
      </c>
      <c r="N6" s="101"/>
      <c r="O6" s="5"/>
      <c r="P6" s="5"/>
      <c r="Q6" s="44">
        <v>109.97</v>
      </c>
      <c r="R6" s="5"/>
      <c r="S6" s="7">
        <f t="shared" si="1"/>
        <v>2287.88</v>
      </c>
      <c r="T6" s="97">
        <v>12624.05</v>
      </c>
      <c r="U6" s="59">
        <f t="shared" si="2"/>
        <v>0.1812318551</v>
      </c>
      <c r="V6" s="109">
        <f t="shared" si="3"/>
        <v>45072</v>
      </c>
    </row>
    <row r="7">
      <c r="A7" s="74">
        <v>45073.0</v>
      </c>
      <c r="B7" s="5">
        <v>1661.93</v>
      </c>
      <c r="C7" s="93">
        <v>133.05</v>
      </c>
      <c r="D7" s="93"/>
      <c r="E7" s="5"/>
      <c r="F7" s="5"/>
      <c r="G7" s="5"/>
      <c r="H7" s="5"/>
      <c r="I7" s="5"/>
      <c r="J7" s="101"/>
      <c r="K7" s="5"/>
      <c r="L7" s="5"/>
      <c r="M7" s="93"/>
      <c r="N7" s="93"/>
      <c r="O7" s="6"/>
      <c r="P7" s="6"/>
      <c r="Q7" s="101"/>
      <c r="R7" s="5">
        <v>61.26</v>
      </c>
      <c r="S7" s="7">
        <f t="shared" si="1"/>
        <v>1856.24</v>
      </c>
      <c r="T7" s="97">
        <v>19342.4</v>
      </c>
      <c r="U7" s="59">
        <f t="shared" si="2"/>
        <v>0.09596740839</v>
      </c>
      <c r="V7" s="109">
        <f t="shared" si="3"/>
        <v>45073</v>
      </c>
    </row>
    <row r="8">
      <c r="A8" s="74">
        <v>45074.0</v>
      </c>
      <c r="B8" s="10" t="s">
        <v>21</v>
      </c>
      <c r="C8" s="112" t="s">
        <v>21</v>
      </c>
      <c r="D8" s="112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12" t="s">
        <v>21</v>
      </c>
      <c r="K8" s="10" t="s">
        <v>21</v>
      </c>
      <c r="L8" s="10" t="s">
        <v>21</v>
      </c>
      <c r="M8" s="10"/>
      <c r="N8" s="112" t="s">
        <v>21</v>
      </c>
      <c r="O8" s="10" t="s">
        <v>21</v>
      </c>
      <c r="P8" s="10" t="s">
        <v>21</v>
      </c>
      <c r="Q8" s="112" t="s">
        <v>21</v>
      </c>
      <c r="R8" s="10" t="s">
        <v>21</v>
      </c>
      <c r="S8" s="7">
        <v>0.0</v>
      </c>
      <c r="T8" s="8">
        <v>15176.5</v>
      </c>
      <c r="U8" s="59">
        <f t="shared" si="2"/>
        <v>0</v>
      </c>
      <c r="V8" s="109">
        <f t="shared" si="3"/>
        <v>45074</v>
      </c>
    </row>
    <row r="9">
      <c r="C9" s="113"/>
      <c r="D9" s="79"/>
      <c r="J9" s="79"/>
      <c r="N9" s="79"/>
      <c r="Q9" s="79"/>
      <c r="T9" s="103"/>
      <c r="V9" s="106"/>
    </row>
    <row r="10">
      <c r="C10" s="79"/>
      <c r="D10" s="79"/>
      <c r="J10" s="79"/>
      <c r="N10" s="79"/>
      <c r="Q10" s="79"/>
      <c r="V10" s="106"/>
    </row>
    <row r="11">
      <c r="A11" s="4" t="s">
        <v>22</v>
      </c>
      <c r="B11" s="11">
        <v>13000.0</v>
      </c>
      <c r="C11" s="79"/>
      <c r="D11" s="79"/>
      <c r="E11" s="78"/>
      <c r="F11" s="79"/>
      <c r="J11" s="79"/>
      <c r="N11" s="79"/>
      <c r="Q11" s="79"/>
      <c r="T11" s="56"/>
      <c r="V11" s="106"/>
    </row>
    <row r="12">
      <c r="A12" s="4" t="s">
        <v>23</v>
      </c>
      <c r="B12" s="12">
        <f>SUM(B2:R8)</f>
        <v>18693.69</v>
      </c>
      <c r="C12" s="79"/>
      <c r="D12" s="79"/>
      <c r="E12" s="56"/>
      <c r="J12" s="79"/>
      <c r="N12" s="79"/>
      <c r="Q12" s="79"/>
      <c r="V12" s="106"/>
    </row>
    <row r="13">
      <c r="A13" s="4" t="s">
        <v>24</v>
      </c>
      <c r="B13" s="12">
        <f> SUM(B11-B12)</f>
        <v>-5693.69</v>
      </c>
      <c r="C13" s="79"/>
      <c r="D13" s="79"/>
      <c r="J13" s="79"/>
      <c r="N13" s="79"/>
      <c r="Q13" s="79"/>
      <c r="V13" s="106"/>
    </row>
    <row r="14">
      <c r="C14" s="79"/>
      <c r="D14" s="79"/>
      <c r="J14" s="79"/>
      <c r="N14" s="79"/>
      <c r="Q14" s="79"/>
      <c r="V14" s="106"/>
    </row>
    <row r="15">
      <c r="A15" s="13" t="s">
        <v>25</v>
      </c>
      <c r="B15" s="14">
        <f>SUM(T2:T8)</f>
        <v>77323.05</v>
      </c>
      <c r="C15" s="79"/>
      <c r="D15" s="79"/>
      <c r="J15" s="79"/>
      <c r="N15" s="79"/>
      <c r="Q15" s="79"/>
      <c r="V15" s="106"/>
    </row>
    <row r="16">
      <c r="A16" s="13" t="s">
        <v>26</v>
      </c>
      <c r="B16" s="15">
        <f>B12/B15</f>
        <v>0.2417608979</v>
      </c>
      <c r="C16" s="79"/>
      <c r="D16" s="79"/>
      <c r="J16" s="79"/>
      <c r="N16" s="79"/>
      <c r="Q16" s="79"/>
      <c r="V16" s="106"/>
    </row>
    <row r="17">
      <c r="C17" s="79"/>
      <c r="D17" s="79"/>
      <c r="J17" s="79"/>
      <c r="N17" s="79"/>
      <c r="Q17" s="79"/>
      <c r="V17" s="106"/>
    </row>
    <row r="18">
      <c r="C18" s="79"/>
      <c r="D18" s="79"/>
      <c r="J18" s="79"/>
      <c r="N18" s="79"/>
      <c r="Q18" s="79"/>
      <c r="V18" s="106"/>
    </row>
    <row r="19">
      <c r="A19" s="16" t="s">
        <v>27</v>
      </c>
      <c r="B19" s="17"/>
      <c r="C19" s="114"/>
      <c r="D19" s="115"/>
      <c r="H19" s="84"/>
      <c r="N19" s="79"/>
      <c r="Q19" s="79"/>
      <c r="V19" s="106"/>
    </row>
    <row r="20">
      <c r="A20" s="19" t="s">
        <v>28</v>
      </c>
      <c r="B20" s="20"/>
      <c r="C20" s="116"/>
      <c r="D20" s="117"/>
      <c r="H20" s="85"/>
      <c r="I20" s="85"/>
      <c r="J20" s="118"/>
      <c r="N20" s="79"/>
      <c r="Q20" s="79"/>
      <c r="V20" s="106"/>
    </row>
    <row r="21">
      <c r="A21" s="22" t="s">
        <v>29</v>
      </c>
      <c r="B21" s="23" t="s">
        <v>30</v>
      </c>
      <c r="C21" s="119" t="s">
        <v>31</v>
      </c>
      <c r="D21" s="120" t="s">
        <v>30</v>
      </c>
      <c r="H21" s="86"/>
      <c r="I21" s="85"/>
      <c r="J21" s="118"/>
      <c r="N21" s="79"/>
      <c r="Q21" s="79"/>
      <c r="V21" s="106"/>
    </row>
    <row r="22">
      <c r="A22" s="28" t="s">
        <v>149</v>
      </c>
      <c r="B22" s="72"/>
      <c r="C22" s="121"/>
      <c r="D22" s="122"/>
      <c r="H22" s="87"/>
      <c r="I22" s="85"/>
      <c r="J22" s="118"/>
      <c r="N22" s="79"/>
      <c r="Q22" s="79"/>
      <c r="V22" s="106"/>
    </row>
    <row r="23">
      <c r="A23" s="28" t="s">
        <v>150</v>
      </c>
      <c r="B23" s="72"/>
      <c r="C23" s="57" t="s">
        <v>154</v>
      </c>
      <c r="D23" s="122"/>
      <c r="H23" s="88"/>
      <c r="I23" s="88"/>
      <c r="J23" s="123"/>
      <c r="N23" s="79"/>
      <c r="Q23" s="79"/>
      <c r="V23" s="106"/>
    </row>
    <row r="24">
      <c r="A24" s="71" t="s">
        <v>108</v>
      </c>
      <c r="B24" s="72">
        <v>1089.93</v>
      </c>
      <c r="C24" s="57" t="s">
        <v>155</v>
      </c>
      <c r="D24" s="124" t="s">
        <v>156</v>
      </c>
      <c r="H24" s="88"/>
      <c r="I24" s="88"/>
      <c r="J24" s="123"/>
      <c r="N24" s="79"/>
      <c r="Q24" s="79"/>
      <c r="V24" s="106"/>
    </row>
    <row r="25">
      <c r="A25" s="28"/>
      <c r="B25" s="41"/>
      <c r="C25" s="121"/>
      <c r="D25" s="122"/>
      <c r="H25" s="88"/>
      <c r="I25" s="88"/>
      <c r="J25" s="123"/>
      <c r="N25" s="79"/>
      <c r="Q25" s="79"/>
      <c r="V25" s="106"/>
    </row>
    <row r="26">
      <c r="A26" s="25"/>
      <c r="B26" s="26"/>
      <c r="C26" s="121"/>
      <c r="D26" s="122"/>
      <c r="H26" s="88"/>
      <c r="I26" s="88"/>
      <c r="J26" s="123"/>
      <c r="N26" s="79"/>
      <c r="Q26" s="79"/>
      <c r="V26" s="106"/>
    </row>
    <row r="27">
      <c r="A27" s="25"/>
      <c r="B27" s="26"/>
      <c r="C27" s="121"/>
      <c r="D27" s="122"/>
      <c r="H27" s="88"/>
      <c r="I27" s="88"/>
      <c r="J27" s="123"/>
      <c r="N27" s="79"/>
      <c r="Q27" s="79"/>
      <c r="V27" s="106"/>
    </row>
    <row r="28">
      <c r="A28" s="25"/>
      <c r="B28" s="26"/>
      <c r="C28" s="121"/>
      <c r="D28" s="122"/>
      <c r="J28" s="79"/>
      <c r="N28" s="79"/>
      <c r="Q28" s="79"/>
      <c r="T28" s="104"/>
      <c r="V28" s="106"/>
    </row>
    <row r="29">
      <c r="A29" s="25"/>
      <c r="B29" s="26"/>
      <c r="C29" s="121"/>
      <c r="D29" s="122"/>
      <c r="I29" s="89"/>
      <c r="J29" s="125"/>
      <c r="N29" s="79"/>
      <c r="Q29" s="79"/>
      <c r="V29" s="106"/>
    </row>
    <row r="30">
      <c r="C30" s="79"/>
      <c r="D30" s="79"/>
      <c r="J30" s="79"/>
      <c r="N30" s="79"/>
      <c r="Q30" s="79"/>
      <c r="V30" s="106"/>
    </row>
    <row r="31">
      <c r="C31" s="79"/>
      <c r="D31" s="79"/>
      <c r="J31" s="79"/>
      <c r="N31" s="79"/>
      <c r="Q31" s="79"/>
      <c r="V31" s="106"/>
    </row>
    <row r="32">
      <c r="C32" s="79"/>
      <c r="D32" s="79"/>
      <c r="J32" s="79"/>
      <c r="N32" s="79"/>
      <c r="Q32" s="79"/>
      <c r="V32" s="106"/>
    </row>
    <row r="33">
      <c r="C33" s="79"/>
      <c r="D33" s="79"/>
      <c r="J33" s="79"/>
      <c r="N33" s="79"/>
      <c r="Q33" s="79"/>
      <c r="V33" s="106"/>
    </row>
    <row r="34">
      <c r="C34" s="79"/>
      <c r="D34" s="79"/>
      <c r="J34" s="79"/>
      <c r="N34" s="79"/>
      <c r="Q34" s="79"/>
      <c r="V34" s="106"/>
    </row>
    <row r="35">
      <c r="C35" s="79"/>
      <c r="D35" s="79"/>
      <c r="J35" s="79"/>
      <c r="N35" s="79"/>
      <c r="Q35" s="79"/>
      <c r="V35" s="106"/>
    </row>
    <row r="36">
      <c r="C36" s="79"/>
      <c r="D36" s="79"/>
      <c r="J36" s="79"/>
      <c r="N36" s="79"/>
      <c r="Q36" s="79"/>
      <c r="V36" s="106"/>
    </row>
    <row r="37">
      <c r="C37" s="79"/>
      <c r="D37" s="79"/>
      <c r="J37" s="79"/>
      <c r="N37" s="79"/>
      <c r="Q37" s="79"/>
      <c r="V37" s="106"/>
    </row>
    <row r="38">
      <c r="C38" s="79"/>
      <c r="D38" s="79"/>
      <c r="J38" s="79"/>
      <c r="N38" s="79"/>
      <c r="Q38" s="79"/>
      <c r="V38" s="106"/>
    </row>
    <row r="39">
      <c r="C39" s="79"/>
      <c r="D39" s="79"/>
      <c r="J39" s="79"/>
      <c r="N39" s="79"/>
      <c r="Q39" s="79"/>
      <c r="V39" s="106"/>
    </row>
    <row r="40">
      <c r="C40" s="79"/>
      <c r="D40" s="79"/>
      <c r="J40" s="79"/>
      <c r="N40" s="79"/>
      <c r="Q40" s="79"/>
      <c r="V40" s="106"/>
    </row>
    <row r="41">
      <c r="C41" s="79"/>
      <c r="D41" s="79"/>
      <c r="J41" s="79"/>
      <c r="N41" s="79"/>
      <c r="Q41" s="79"/>
      <c r="V41" s="106"/>
    </row>
    <row r="42">
      <c r="C42" s="79"/>
      <c r="D42" s="79"/>
      <c r="J42" s="79"/>
      <c r="N42" s="79"/>
      <c r="Q42" s="79"/>
      <c r="V42" s="106"/>
    </row>
    <row r="43">
      <c r="C43" s="79"/>
      <c r="D43" s="79"/>
      <c r="J43" s="79"/>
      <c r="N43" s="79"/>
      <c r="Q43" s="79"/>
      <c r="V43" s="106"/>
    </row>
    <row r="44">
      <c r="C44" s="79"/>
      <c r="D44" s="79"/>
      <c r="J44" s="79"/>
      <c r="N44" s="79"/>
      <c r="Q44" s="79"/>
      <c r="V44" s="106"/>
    </row>
    <row r="45">
      <c r="C45" s="79"/>
      <c r="D45" s="79"/>
      <c r="J45" s="79"/>
      <c r="N45" s="79"/>
      <c r="Q45" s="79"/>
      <c r="V45" s="106"/>
    </row>
    <row r="46">
      <c r="C46" s="79"/>
      <c r="D46" s="79"/>
      <c r="J46" s="79"/>
      <c r="N46" s="79"/>
      <c r="Q46" s="79"/>
      <c r="V46" s="106"/>
    </row>
    <row r="47">
      <c r="C47" s="79"/>
      <c r="D47" s="79"/>
      <c r="J47" s="79"/>
      <c r="N47" s="79"/>
      <c r="Q47" s="79"/>
      <c r="V47" s="106"/>
    </row>
    <row r="48">
      <c r="C48" s="79"/>
      <c r="D48" s="79"/>
      <c r="J48" s="79"/>
      <c r="N48" s="79"/>
      <c r="Q48" s="79"/>
      <c r="V48" s="106"/>
    </row>
    <row r="49">
      <c r="C49" s="79"/>
      <c r="D49" s="79"/>
      <c r="J49" s="79"/>
      <c r="N49" s="79"/>
      <c r="Q49" s="79"/>
      <c r="V49" s="106"/>
    </row>
    <row r="50">
      <c r="C50" s="79"/>
      <c r="D50" s="79"/>
      <c r="J50" s="79"/>
      <c r="N50" s="79"/>
      <c r="Q50" s="79"/>
      <c r="V50" s="106"/>
    </row>
    <row r="51">
      <c r="C51" s="79"/>
      <c r="D51" s="79"/>
      <c r="J51" s="79"/>
      <c r="N51" s="79"/>
      <c r="Q51" s="79"/>
      <c r="V51" s="106"/>
    </row>
    <row r="52">
      <c r="C52" s="79"/>
      <c r="D52" s="79"/>
      <c r="J52" s="79"/>
      <c r="N52" s="79"/>
      <c r="Q52" s="79"/>
      <c r="V52" s="106"/>
    </row>
    <row r="53">
      <c r="C53" s="79"/>
      <c r="D53" s="79"/>
      <c r="J53" s="79"/>
      <c r="N53" s="79"/>
      <c r="Q53" s="79"/>
      <c r="V53" s="106"/>
    </row>
    <row r="54">
      <c r="C54" s="79"/>
      <c r="D54" s="79"/>
      <c r="J54" s="79"/>
      <c r="N54" s="79"/>
      <c r="Q54" s="79"/>
      <c r="V54" s="106"/>
    </row>
    <row r="55">
      <c r="C55" s="79"/>
      <c r="D55" s="79"/>
      <c r="J55" s="79"/>
      <c r="N55" s="79"/>
      <c r="Q55" s="79"/>
      <c r="V55" s="106"/>
    </row>
    <row r="56">
      <c r="C56" s="79"/>
      <c r="D56" s="79"/>
      <c r="J56" s="79"/>
      <c r="N56" s="79"/>
      <c r="Q56" s="79"/>
      <c r="V56" s="106"/>
    </row>
    <row r="57">
      <c r="C57" s="79"/>
      <c r="D57" s="79"/>
      <c r="J57" s="79"/>
      <c r="N57" s="79"/>
      <c r="Q57" s="79"/>
      <c r="V57" s="106"/>
    </row>
    <row r="58">
      <c r="C58" s="79"/>
      <c r="D58" s="79"/>
      <c r="J58" s="79"/>
      <c r="N58" s="79"/>
      <c r="Q58" s="79"/>
      <c r="V58" s="106"/>
    </row>
    <row r="59">
      <c r="C59" s="79"/>
      <c r="D59" s="79"/>
      <c r="J59" s="79"/>
      <c r="N59" s="79"/>
      <c r="Q59" s="79"/>
      <c r="V59" s="106"/>
    </row>
    <row r="60">
      <c r="C60" s="79"/>
      <c r="D60" s="79"/>
      <c r="J60" s="79"/>
      <c r="N60" s="79"/>
      <c r="Q60" s="79"/>
      <c r="V60" s="106"/>
    </row>
    <row r="61">
      <c r="C61" s="79"/>
      <c r="D61" s="79"/>
      <c r="J61" s="79"/>
      <c r="N61" s="79"/>
      <c r="Q61" s="79"/>
      <c r="V61" s="106"/>
    </row>
    <row r="62">
      <c r="C62" s="79"/>
      <c r="D62" s="79"/>
      <c r="J62" s="79"/>
      <c r="N62" s="79"/>
      <c r="Q62" s="79"/>
      <c r="V62" s="106"/>
    </row>
    <row r="63">
      <c r="C63" s="79"/>
      <c r="D63" s="79"/>
      <c r="J63" s="79"/>
      <c r="N63" s="79"/>
      <c r="Q63" s="79"/>
      <c r="V63" s="106"/>
    </row>
    <row r="64">
      <c r="C64" s="79"/>
      <c r="D64" s="79"/>
      <c r="J64" s="79"/>
      <c r="N64" s="79"/>
      <c r="Q64" s="79"/>
      <c r="V64" s="106"/>
    </row>
    <row r="65">
      <c r="C65" s="79"/>
      <c r="D65" s="79"/>
      <c r="J65" s="79"/>
      <c r="N65" s="79"/>
      <c r="Q65" s="79"/>
      <c r="V65" s="106"/>
    </row>
    <row r="66">
      <c r="C66" s="79"/>
      <c r="D66" s="79"/>
      <c r="J66" s="79"/>
      <c r="N66" s="79"/>
      <c r="Q66" s="79"/>
      <c r="V66" s="106"/>
    </row>
    <row r="67">
      <c r="C67" s="79"/>
      <c r="D67" s="79"/>
      <c r="J67" s="79"/>
      <c r="N67" s="79"/>
      <c r="Q67" s="79"/>
      <c r="V67" s="106"/>
    </row>
    <row r="68">
      <c r="C68" s="79"/>
      <c r="D68" s="79"/>
      <c r="J68" s="79"/>
      <c r="N68" s="79"/>
      <c r="Q68" s="79"/>
      <c r="V68" s="106"/>
    </row>
    <row r="69">
      <c r="C69" s="79"/>
      <c r="D69" s="79"/>
      <c r="J69" s="79"/>
      <c r="N69" s="79"/>
      <c r="Q69" s="79"/>
      <c r="V69" s="106"/>
    </row>
    <row r="70">
      <c r="C70" s="79"/>
      <c r="D70" s="79"/>
      <c r="J70" s="79"/>
      <c r="N70" s="79"/>
      <c r="Q70" s="79"/>
      <c r="V70" s="106"/>
    </row>
    <row r="71">
      <c r="C71" s="79"/>
      <c r="D71" s="79"/>
      <c r="J71" s="79"/>
      <c r="N71" s="79"/>
      <c r="Q71" s="79"/>
      <c r="V71" s="106"/>
    </row>
    <row r="72">
      <c r="C72" s="79"/>
      <c r="D72" s="79"/>
      <c r="J72" s="79"/>
      <c r="N72" s="79"/>
      <c r="Q72" s="79"/>
      <c r="V72" s="106"/>
    </row>
    <row r="73">
      <c r="C73" s="79"/>
      <c r="D73" s="79"/>
      <c r="J73" s="79"/>
      <c r="N73" s="79"/>
      <c r="Q73" s="79"/>
      <c r="V73" s="106"/>
    </row>
    <row r="74">
      <c r="C74" s="79"/>
      <c r="D74" s="79"/>
      <c r="J74" s="79"/>
      <c r="N74" s="79"/>
      <c r="Q74" s="79"/>
      <c r="V74" s="106"/>
    </row>
    <row r="75">
      <c r="C75" s="79"/>
      <c r="D75" s="79"/>
      <c r="J75" s="79"/>
      <c r="N75" s="79"/>
      <c r="Q75" s="79"/>
      <c r="V75" s="106"/>
    </row>
    <row r="76">
      <c r="C76" s="79"/>
      <c r="D76" s="79"/>
      <c r="J76" s="79"/>
      <c r="N76" s="79"/>
      <c r="Q76" s="79"/>
      <c r="V76" s="106"/>
    </row>
    <row r="77">
      <c r="C77" s="79"/>
      <c r="D77" s="79"/>
      <c r="J77" s="79"/>
      <c r="N77" s="79"/>
      <c r="Q77" s="79"/>
      <c r="V77" s="106"/>
    </row>
    <row r="78">
      <c r="C78" s="79"/>
      <c r="D78" s="79"/>
      <c r="J78" s="79"/>
      <c r="N78" s="79"/>
      <c r="Q78" s="79"/>
      <c r="V78" s="106"/>
    </row>
    <row r="79">
      <c r="C79" s="79"/>
      <c r="D79" s="79"/>
      <c r="J79" s="79"/>
      <c r="N79" s="79"/>
      <c r="Q79" s="79"/>
      <c r="V79" s="106"/>
    </row>
    <row r="80">
      <c r="C80" s="79"/>
      <c r="D80" s="79"/>
      <c r="J80" s="79"/>
      <c r="N80" s="79"/>
      <c r="Q80" s="79"/>
      <c r="V80" s="106"/>
    </row>
    <row r="81">
      <c r="C81" s="79"/>
      <c r="D81" s="79"/>
      <c r="J81" s="79"/>
      <c r="N81" s="79"/>
      <c r="Q81" s="79"/>
      <c r="V81" s="106"/>
    </row>
    <row r="82">
      <c r="C82" s="79"/>
      <c r="D82" s="79"/>
      <c r="J82" s="79"/>
      <c r="N82" s="79"/>
      <c r="Q82" s="79"/>
      <c r="V82" s="106"/>
    </row>
    <row r="83">
      <c r="C83" s="79"/>
      <c r="D83" s="79"/>
      <c r="J83" s="79"/>
      <c r="N83" s="79"/>
      <c r="Q83" s="79"/>
      <c r="V83" s="106"/>
    </row>
    <row r="84">
      <c r="C84" s="79"/>
      <c r="D84" s="79"/>
      <c r="J84" s="79"/>
      <c r="N84" s="79"/>
      <c r="Q84" s="79"/>
      <c r="V84" s="106"/>
    </row>
    <row r="85">
      <c r="C85" s="79"/>
      <c r="D85" s="79"/>
      <c r="J85" s="79"/>
      <c r="N85" s="79"/>
      <c r="Q85" s="79"/>
      <c r="V85" s="106"/>
    </row>
    <row r="86">
      <c r="C86" s="79"/>
      <c r="D86" s="79"/>
      <c r="J86" s="79"/>
      <c r="N86" s="79"/>
      <c r="Q86" s="79"/>
      <c r="V86" s="106"/>
    </row>
    <row r="87">
      <c r="C87" s="79"/>
      <c r="D87" s="79"/>
      <c r="J87" s="79"/>
      <c r="N87" s="79"/>
      <c r="Q87" s="79"/>
      <c r="V87" s="106"/>
    </row>
    <row r="88">
      <c r="C88" s="79"/>
      <c r="D88" s="79"/>
      <c r="J88" s="79"/>
      <c r="N88" s="79"/>
      <c r="Q88" s="79"/>
      <c r="V88" s="106"/>
    </row>
    <row r="89">
      <c r="C89" s="79"/>
      <c r="D89" s="79"/>
      <c r="J89" s="79"/>
      <c r="N89" s="79"/>
      <c r="Q89" s="79"/>
      <c r="V89" s="106"/>
    </row>
    <row r="90">
      <c r="C90" s="79"/>
      <c r="D90" s="79"/>
      <c r="J90" s="79"/>
      <c r="N90" s="79"/>
      <c r="Q90" s="79"/>
      <c r="V90" s="106"/>
    </row>
    <row r="91">
      <c r="C91" s="79"/>
      <c r="D91" s="79"/>
      <c r="J91" s="79"/>
      <c r="N91" s="79"/>
      <c r="Q91" s="79"/>
      <c r="V91" s="106"/>
    </row>
    <row r="92">
      <c r="C92" s="79"/>
      <c r="D92" s="79"/>
      <c r="J92" s="79"/>
      <c r="N92" s="79"/>
      <c r="Q92" s="79"/>
      <c r="V92" s="106"/>
    </row>
    <row r="93">
      <c r="C93" s="79"/>
      <c r="D93" s="79"/>
      <c r="J93" s="79"/>
      <c r="N93" s="79"/>
      <c r="Q93" s="79"/>
      <c r="V93" s="106"/>
    </row>
    <row r="94">
      <c r="C94" s="79"/>
      <c r="D94" s="79"/>
      <c r="J94" s="79"/>
      <c r="N94" s="79"/>
      <c r="Q94" s="79"/>
      <c r="V94" s="106"/>
    </row>
    <row r="95">
      <c r="C95" s="79"/>
      <c r="D95" s="79"/>
      <c r="J95" s="79"/>
      <c r="N95" s="79"/>
      <c r="Q95" s="79"/>
      <c r="V95" s="106"/>
    </row>
    <row r="96">
      <c r="C96" s="79"/>
      <c r="D96" s="79"/>
      <c r="J96" s="79"/>
      <c r="N96" s="79"/>
      <c r="Q96" s="79"/>
      <c r="V96" s="106"/>
    </row>
    <row r="97">
      <c r="C97" s="79"/>
      <c r="D97" s="79"/>
      <c r="J97" s="79"/>
      <c r="N97" s="79"/>
      <c r="Q97" s="79"/>
      <c r="V97" s="106"/>
    </row>
    <row r="98">
      <c r="C98" s="79"/>
      <c r="D98" s="79"/>
      <c r="J98" s="79"/>
      <c r="N98" s="79"/>
      <c r="Q98" s="79"/>
      <c r="V98" s="106"/>
    </row>
    <row r="99">
      <c r="C99" s="79"/>
      <c r="D99" s="79"/>
      <c r="J99" s="79"/>
      <c r="N99" s="79"/>
      <c r="Q99" s="79"/>
      <c r="V99" s="106"/>
    </row>
    <row r="100">
      <c r="C100" s="79"/>
      <c r="D100" s="79"/>
      <c r="J100" s="79"/>
      <c r="N100" s="79"/>
      <c r="Q100" s="79"/>
      <c r="V100" s="106"/>
    </row>
    <row r="101">
      <c r="C101" s="79"/>
      <c r="D101" s="79"/>
      <c r="J101" s="79"/>
      <c r="N101" s="79"/>
      <c r="Q101" s="79"/>
      <c r="V101" s="106"/>
    </row>
    <row r="102">
      <c r="C102" s="79"/>
      <c r="D102" s="79"/>
      <c r="J102" s="79"/>
      <c r="N102" s="79"/>
      <c r="Q102" s="79"/>
      <c r="V102" s="106"/>
    </row>
    <row r="103">
      <c r="C103" s="79"/>
      <c r="D103" s="79"/>
      <c r="J103" s="79"/>
      <c r="N103" s="79"/>
      <c r="Q103" s="79"/>
      <c r="V103" s="106"/>
    </row>
    <row r="104">
      <c r="C104" s="79"/>
      <c r="D104" s="79"/>
      <c r="J104" s="79"/>
      <c r="N104" s="79"/>
      <c r="Q104" s="79"/>
      <c r="V104" s="106"/>
    </row>
    <row r="105">
      <c r="C105" s="79"/>
      <c r="D105" s="79"/>
      <c r="J105" s="79"/>
      <c r="N105" s="79"/>
      <c r="Q105" s="79"/>
      <c r="V105" s="106"/>
    </row>
    <row r="106">
      <c r="C106" s="79"/>
      <c r="D106" s="79"/>
      <c r="J106" s="79"/>
      <c r="N106" s="79"/>
      <c r="Q106" s="79"/>
      <c r="V106" s="106"/>
    </row>
    <row r="107">
      <c r="C107" s="79"/>
      <c r="D107" s="79"/>
      <c r="J107" s="79"/>
      <c r="N107" s="79"/>
      <c r="Q107" s="79"/>
      <c r="V107" s="106"/>
    </row>
    <row r="108">
      <c r="C108" s="79"/>
      <c r="D108" s="79"/>
      <c r="J108" s="79"/>
      <c r="N108" s="79"/>
      <c r="Q108" s="79"/>
      <c r="V108" s="106"/>
    </row>
    <row r="109">
      <c r="C109" s="79"/>
      <c r="D109" s="79"/>
      <c r="J109" s="79"/>
      <c r="N109" s="79"/>
      <c r="Q109" s="79"/>
      <c r="V109" s="106"/>
    </row>
    <row r="110">
      <c r="C110" s="79"/>
      <c r="D110" s="79"/>
      <c r="J110" s="79"/>
      <c r="N110" s="79"/>
      <c r="Q110" s="79"/>
      <c r="V110" s="106"/>
    </row>
    <row r="111">
      <c r="C111" s="79"/>
      <c r="D111" s="79"/>
      <c r="J111" s="79"/>
      <c r="N111" s="79"/>
      <c r="Q111" s="79"/>
      <c r="V111" s="106"/>
    </row>
    <row r="112">
      <c r="C112" s="79"/>
      <c r="D112" s="79"/>
      <c r="J112" s="79"/>
      <c r="N112" s="79"/>
      <c r="Q112" s="79"/>
      <c r="V112" s="106"/>
    </row>
    <row r="113">
      <c r="C113" s="79"/>
      <c r="D113" s="79"/>
      <c r="J113" s="79"/>
      <c r="N113" s="79"/>
      <c r="Q113" s="79"/>
      <c r="V113" s="106"/>
    </row>
    <row r="114">
      <c r="C114" s="79"/>
      <c r="D114" s="79"/>
      <c r="J114" s="79"/>
      <c r="N114" s="79"/>
      <c r="Q114" s="79"/>
      <c r="V114" s="106"/>
    </row>
    <row r="115">
      <c r="C115" s="79"/>
      <c r="D115" s="79"/>
      <c r="J115" s="79"/>
      <c r="N115" s="79"/>
      <c r="Q115" s="79"/>
      <c r="V115" s="106"/>
    </row>
    <row r="116">
      <c r="C116" s="79"/>
      <c r="D116" s="79"/>
      <c r="J116" s="79"/>
      <c r="N116" s="79"/>
      <c r="Q116" s="79"/>
      <c r="V116" s="106"/>
    </row>
    <row r="117">
      <c r="C117" s="79"/>
      <c r="D117" s="79"/>
      <c r="J117" s="79"/>
      <c r="N117" s="79"/>
      <c r="Q117" s="79"/>
      <c r="V117" s="106"/>
    </row>
    <row r="118">
      <c r="C118" s="79"/>
      <c r="D118" s="79"/>
      <c r="J118" s="79"/>
      <c r="N118" s="79"/>
      <c r="Q118" s="79"/>
      <c r="V118" s="106"/>
    </row>
    <row r="119">
      <c r="C119" s="79"/>
      <c r="D119" s="79"/>
      <c r="J119" s="79"/>
      <c r="N119" s="79"/>
      <c r="Q119" s="79"/>
      <c r="V119" s="106"/>
    </row>
    <row r="120">
      <c r="C120" s="79"/>
      <c r="D120" s="79"/>
      <c r="J120" s="79"/>
      <c r="N120" s="79"/>
      <c r="Q120" s="79"/>
      <c r="V120" s="106"/>
    </row>
    <row r="121">
      <c r="C121" s="79"/>
      <c r="D121" s="79"/>
      <c r="J121" s="79"/>
      <c r="N121" s="79"/>
      <c r="Q121" s="79"/>
      <c r="V121" s="106"/>
    </row>
    <row r="122">
      <c r="C122" s="79"/>
      <c r="D122" s="79"/>
      <c r="J122" s="79"/>
      <c r="N122" s="79"/>
      <c r="Q122" s="79"/>
      <c r="V122" s="106"/>
    </row>
    <row r="123">
      <c r="C123" s="79"/>
      <c r="D123" s="79"/>
      <c r="J123" s="79"/>
      <c r="N123" s="79"/>
      <c r="Q123" s="79"/>
      <c r="V123" s="106"/>
    </row>
    <row r="124">
      <c r="C124" s="79"/>
      <c r="D124" s="79"/>
      <c r="J124" s="79"/>
      <c r="N124" s="79"/>
      <c r="Q124" s="79"/>
      <c r="V124" s="106"/>
    </row>
    <row r="125">
      <c r="C125" s="79"/>
      <c r="D125" s="79"/>
      <c r="J125" s="79"/>
      <c r="N125" s="79"/>
      <c r="Q125" s="79"/>
      <c r="V125" s="106"/>
    </row>
    <row r="126">
      <c r="C126" s="79"/>
      <c r="D126" s="79"/>
      <c r="J126" s="79"/>
      <c r="N126" s="79"/>
      <c r="Q126" s="79"/>
      <c r="V126" s="106"/>
    </row>
    <row r="127">
      <c r="C127" s="79"/>
      <c r="D127" s="79"/>
      <c r="J127" s="79"/>
      <c r="N127" s="79"/>
      <c r="Q127" s="79"/>
      <c r="V127" s="106"/>
    </row>
    <row r="128">
      <c r="C128" s="79"/>
      <c r="D128" s="79"/>
      <c r="J128" s="79"/>
      <c r="N128" s="79"/>
      <c r="Q128" s="79"/>
      <c r="V128" s="106"/>
    </row>
    <row r="129">
      <c r="C129" s="79"/>
      <c r="D129" s="79"/>
      <c r="J129" s="79"/>
      <c r="N129" s="79"/>
      <c r="Q129" s="79"/>
      <c r="V129" s="106"/>
    </row>
    <row r="130">
      <c r="C130" s="79"/>
      <c r="D130" s="79"/>
      <c r="J130" s="79"/>
      <c r="N130" s="79"/>
      <c r="Q130" s="79"/>
      <c r="V130" s="106"/>
    </row>
    <row r="131">
      <c r="C131" s="79"/>
      <c r="D131" s="79"/>
      <c r="J131" s="79"/>
      <c r="N131" s="79"/>
      <c r="Q131" s="79"/>
      <c r="V131" s="106"/>
    </row>
    <row r="132">
      <c r="C132" s="79"/>
      <c r="D132" s="79"/>
      <c r="J132" s="79"/>
      <c r="N132" s="79"/>
      <c r="Q132" s="79"/>
      <c r="V132" s="106"/>
    </row>
    <row r="133">
      <c r="C133" s="79"/>
      <c r="D133" s="79"/>
      <c r="J133" s="79"/>
      <c r="N133" s="79"/>
      <c r="Q133" s="79"/>
      <c r="V133" s="106"/>
    </row>
    <row r="134">
      <c r="C134" s="79"/>
      <c r="D134" s="79"/>
      <c r="J134" s="79"/>
      <c r="N134" s="79"/>
      <c r="Q134" s="79"/>
      <c r="V134" s="106"/>
    </row>
    <row r="135">
      <c r="C135" s="79"/>
      <c r="D135" s="79"/>
      <c r="J135" s="79"/>
      <c r="N135" s="79"/>
      <c r="Q135" s="79"/>
      <c r="V135" s="106"/>
    </row>
    <row r="136">
      <c r="C136" s="79"/>
      <c r="D136" s="79"/>
      <c r="J136" s="79"/>
      <c r="N136" s="79"/>
      <c r="Q136" s="79"/>
      <c r="V136" s="106"/>
    </row>
    <row r="137">
      <c r="C137" s="79"/>
      <c r="D137" s="79"/>
      <c r="J137" s="79"/>
      <c r="N137" s="79"/>
      <c r="Q137" s="79"/>
      <c r="V137" s="106"/>
    </row>
    <row r="138">
      <c r="C138" s="79"/>
      <c r="D138" s="79"/>
      <c r="J138" s="79"/>
      <c r="N138" s="79"/>
      <c r="Q138" s="79"/>
      <c r="V138" s="106"/>
    </row>
    <row r="139">
      <c r="C139" s="79"/>
      <c r="D139" s="79"/>
      <c r="J139" s="79"/>
      <c r="N139" s="79"/>
      <c r="Q139" s="79"/>
      <c r="V139" s="106"/>
    </row>
    <row r="140">
      <c r="C140" s="79"/>
      <c r="D140" s="79"/>
      <c r="J140" s="79"/>
      <c r="N140" s="79"/>
      <c r="Q140" s="79"/>
      <c r="V140" s="106"/>
    </row>
    <row r="141">
      <c r="C141" s="79"/>
      <c r="D141" s="79"/>
      <c r="J141" s="79"/>
      <c r="N141" s="79"/>
      <c r="Q141" s="79"/>
      <c r="V141" s="106"/>
    </row>
    <row r="142">
      <c r="C142" s="79"/>
      <c r="D142" s="79"/>
      <c r="J142" s="79"/>
      <c r="N142" s="79"/>
      <c r="Q142" s="79"/>
      <c r="V142" s="106"/>
    </row>
    <row r="143">
      <c r="C143" s="79"/>
      <c r="D143" s="79"/>
      <c r="J143" s="79"/>
      <c r="N143" s="79"/>
      <c r="Q143" s="79"/>
      <c r="V143" s="106"/>
    </row>
    <row r="144">
      <c r="C144" s="79"/>
      <c r="D144" s="79"/>
      <c r="J144" s="79"/>
      <c r="N144" s="79"/>
      <c r="Q144" s="79"/>
      <c r="V144" s="106"/>
    </row>
    <row r="145">
      <c r="C145" s="79"/>
      <c r="D145" s="79"/>
      <c r="J145" s="79"/>
      <c r="N145" s="79"/>
      <c r="Q145" s="79"/>
      <c r="V145" s="106"/>
    </row>
    <row r="146">
      <c r="C146" s="79"/>
      <c r="D146" s="79"/>
      <c r="J146" s="79"/>
      <c r="N146" s="79"/>
      <c r="Q146" s="79"/>
      <c r="V146" s="106"/>
    </row>
    <row r="147">
      <c r="C147" s="79"/>
      <c r="D147" s="79"/>
      <c r="J147" s="79"/>
      <c r="N147" s="79"/>
      <c r="Q147" s="79"/>
      <c r="V147" s="106"/>
    </row>
    <row r="148">
      <c r="C148" s="79"/>
      <c r="D148" s="79"/>
      <c r="J148" s="79"/>
      <c r="N148" s="79"/>
      <c r="Q148" s="79"/>
      <c r="V148" s="106"/>
    </row>
    <row r="149">
      <c r="C149" s="79"/>
      <c r="D149" s="79"/>
      <c r="J149" s="79"/>
      <c r="N149" s="79"/>
      <c r="Q149" s="79"/>
      <c r="V149" s="106"/>
    </row>
    <row r="150">
      <c r="C150" s="79"/>
      <c r="D150" s="79"/>
      <c r="J150" s="79"/>
      <c r="N150" s="79"/>
      <c r="Q150" s="79"/>
      <c r="V150" s="106"/>
    </row>
    <row r="151">
      <c r="C151" s="79"/>
      <c r="D151" s="79"/>
      <c r="J151" s="79"/>
      <c r="N151" s="79"/>
      <c r="Q151" s="79"/>
      <c r="V151" s="106"/>
    </row>
    <row r="152">
      <c r="C152" s="79"/>
      <c r="D152" s="79"/>
      <c r="J152" s="79"/>
      <c r="N152" s="79"/>
      <c r="Q152" s="79"/>
      <c r="V152" s="106"/>
    </row>
    <row r="153">
      <c r="C153" s="79"/>
      <c r="D153" s="79"/>
      <c r="J153" s="79"/>
      <c r="N153" s="79"/>
      <c r="Q153" s="79"/>
      <c r="V153" s="106"/>
    </row>
    <row r="154">
      <c r="C154" s="79"/>
      <c r="D154" s="79"/>
      <c r="J154" s="79"/>
      <c r="N154" s="79"/>
      <c r="Q154" s="79"/>
      <c r="V154" s="106"/>
    </row>
    <row r="155">
      <c r="C155" s="79"/>
      <c r="D155" s="79"/>
      <c r="J155" s="79"/>
      <c r="N155" s="79"/>
      <c r="Q155" s="79"/>
      <c r="V155" s="106"/>
    </row>
    <row r="156">
      <c r="C156" s="79"/>
      <c r="D156" s="79"/>
      <c r="J156" s="79"/>
      <c r="N156" s="79"/>
      <c r="Q156" s="79"/>
      <c r="V156" s="106"/>
    </row>
    <row r="157">
      <c r="C157" s="79"/>
      <c r="D157" s="79"/>
      <c r="J157" s="79"/>
      <c r="N157" s="79"/>
      <c r="Q157" s="79"/>
      <c r="V157" s="106"/>
    </row>
    <row r="158">
      <c r="C158" s="79"/>
      <c r="D158" s="79"/>
      <c r="J158" s="79"/>
      <c r="N158" s="79"/>
      <c r="Q158" s="79"/>
      <c r="V158" s="106"/>
    </row>
    <row r="159">
      <c r="C159" s="79"/>
      <c r="D159" s="79"/>
      <c r="J159" s="79"/>
      <c r="N159" s="79"/>
      <c r="Q159" s="79"/>
      <c r="V159" s="106"/>
    </row>
    <row r="160">
      <c r="C160" s="79"/>
      <c r="D160" s="79"/>
      <c r="J160" s="79"/>
      <c r="N160" s="79"/>
      <c r="Q160" s="79"/>
      <c r="V160" s="106"/>
    </row>
    <row r="161">
      <c r="C161" s="79"/>
      <c r="D161" s="79"/>
      <c r="J161" s="79"/>
      <c r="N161" s="79"/>
      <c r="Q161" s="79"/>
      <c r="V161" s="106"/>
    </row>
    <row r="162">
      <c r="C162" s="79"/>
      <c r="D162" s="79"/>
      <c r="J162" s="79"/>
      <c r="N162" s="79"/>
      <c r="Q162" s="79"/>
      <c r="V162" s="106"/>
    </row>
    <row r="163">
      <c r="C163" s="79"/>
      <c r="D163" s="79"/>
      <c r="J163" s="79"/>
      <c r="N163" s="79"/>
      <c r="Q163" s="79"/>
      <c r="V163" s="106"/>
    </row>
    <row r="164">
      <c r="C164" s="79"/>
      <c r="D164" s="79"/>
      <c r="J164" s="79"/>
      <c r="N164" s="79"/>
      <c r="Q164" s="79"/>
      <c r="V164" s="106"/>
    </row>
    <row r="165">
      <c r="C165" s="79"/>
      <c r="D165" s="79"/>
      <c r="J165" s="79"/>
      <c r="N165" s="79"/>
      <c r="Q165" s="79"/>
      <c r="V165" s="106"/>
    </row>
    <row r="166">
      <c r="C166" s="79"/>
      <c r="D166" s="79"/>
      <c r="J166" s="79"/>
      <c r="N166" s="79"/>
      <c r="Q166" s="79"/>
      <c r="V166" s="106"/>
    </row>
    <row r="167">
      <c r="C167" s="79"/>
      <c r="D167" s="79"/>
      <c r="J167" s="79"/>
      <c r="N167" s="79"/>
      <c r="Q167" s="79"/>
      <c r="V167" s="106"/>
    </row>
    <row r="168">
      <c r="C168" s="79"/>
      <c r="D168" s="79"/>
      <c r="J168" s="79"/>
      <c r="N168" s="79"/>
      <c r="Q168" s="79"/>
      <c r="V168" s="106"/>
    </row>
    <row r="169">
      <c r="C169" s="79"/>
      <c r="D169" s="79"/>
      <c r="J169" s="79"/>
      <c r="N169" s="79"/>
      <c r="Q169" s="79"/>
      <c r="V169" s="106"/>
    </row>
    <row r="170">
      <c r="C170" s="79"/>
      <c r="D170" s="79"/>
      <c r="J170" s="79"/>
      <c r="N170" s="79"/>
      <c r="Q170" s="79"/>
      <c r="V170" s="106"/>
    </row>
    <row r="171">
      <c r="C171" s="79"/>
      <c r="D171" s="79"/>
      <c r="J171" s="79"/>
      <c r="N171" s="79"/>
      <c r="Q171" s="79"/>
      <c r="V171" s="106"/>
    </row>
    <row r="172">
      <c r="C172" s="79"/>
      <c r="D172" s="79"/>
      <c r="J172" s="79"/>
      <c r="N172" s="79"/>
      <c r="Q172" s="79"/>
      <c r="V172" s="106"/>
    </row>
    <row r="173">
      <c r="C173" s="79"/>
      <c r="D173" s="79"/>
      <c r="J173" s="79"/>
      <c r="N173" s="79"/>
      <c r="Q173" s="79"/>
      <c r="V173" s="106"/>
    </row>
    <row r="174">
      <c r="C174" s="79"/>
      <c r="D174" s="79"/>
      <c r="J174" s="79"/>
      <c r="N174" s="79"/>
      <c r="Q174" s="79"/>
      <c r="V174" s="106"/>
    </row>
    <row r="175">
      <c r="C175" s="79"/>
      <c r="D175" s="79"/>
      <c r="J175" s="79"/>
      <c r="N175" s="79"/>
      <c r="Q175" s="79"/>
      <c r="V175" s="106"/>
    </row>
    <row r="176">
      <c r="C176" s="79"/>
      <c r="D176" s="79"/>
      <c r="J176" s="79"/>
      <c r="N176" s="79"/>
      <c r="Q176" s="79"/>
      <c r="V176" s="106"/>
    </row>
    <row r="177">
      <c r="C177" s="79"/>
      <c r="D177" s="79"/>
      <c r="J177" s="79"/>
      <c r="N177" s="79"/>
      <c r="Q177" s="79"/>
      <c r="V177" s="106"/>
    </row>
    <row r="178">
      <c r="C178" s="79"/>
      <c r="D178" s="79"/>
      <c r="J178" s="79"/>
      <c r="N178" s="79"/>
      <c r="Q178" s="79"/>
      <c r="V178" s="106"/>
    </row>
    <row r="179">
      <c r="C179" s="79"/>
      <c r="D179" s="79"/>
      <c r="J179" s="79"/>
      <c r="N179" s="79"/>
      <c r="Q179" s="79"/>
      <c r="V179" s="106"/>
    </row>
    <row r="180">
      <c r="C180" s="79"/>
      <c r="D180" s="79"/>
      <c r="J180" s="79"/>
      <c r="N180" s="79"/>
      <c r="Q180" s="79"/>
      <c r="V180" s="106"/>
    </row>
    <row r="181">
      <c r="C181" s="79"/>
      <c r="D181" s="79"/>
      <c r="J181" s="79"/>
      <c r="N181" s="79"/>
      <c r="Q181" s="79"/>
      <c r="V181" s="106"/>
    </row>
    <row r="182">
      <c r="C182" s="79"/>
      <c r="D182" s="79"/>
      <c r="J182" s="79"/>
      <c r="N182" s="79"/>
      <c r="Q182" s="79"/>
      <c r="V182" s="106"/>
    </row>
    <row r="183">
      <c r="C183" s="79"/>
      <c r="D183" s="79"/>
      <c r="J183" s="79"/>
      <c r="N183" s="79"/>
      <c r="Q183" s="79"/>
      <c r="V183" s="106"/>
    </row>
    <row r="184">
      <c r="C184" s="79"/>
      <c r="D184" s="79"/>
      <c r="J184" s="79"/>
      <c r="N184" s="79"/>
      <c r="Q184" s="79"/>
      <c r="V184" s="106"/>
    </row>
    <row r="185">
      <c r="C185" s="79"/>
      <c r="D185" s="79"/>
      <c r="J185" s="79"/>
      <c r="N185" s="79"/>
      <c r="Q185" s="79"/>
      <c r="V185" s="106"/>
    </row>
    <row r="186">
      <c r="C186" s="79"/>
      <c r="D186" s="79"/>
      <c r="J186" s="79"/>
      <c r="N186" s="79"/>
      <c r="Q186" s="79"/>
      <c r="V186" s="106"/>
    </row>
    <row r="187">
      <c r="C187" s="79"/>
      <c r="D187" s="79"/>
      <c r="J187" s="79"/>
      <c r="N187" s="79"/>
      <c r="Q187" s="79"/>
      <c r="V187" s="106"/>
    </row>
    <row r="188">
      <c r="C188" s="79"/>
      <c r="D188" s="79"/>
      <c r="J188" s="79"/>
      <c r="N188" s="79"/>
      <c r="Q188" s="79"/>
      <c r="V188" s="106"/>
    </row>
    <row r="189">
      <c r="C189" s="79"/>
      <c r="D189" s="79"/>
      <c r="J189" s="79"/>
      <c r="N189" s="79"/>
      <c r="Q189" s="79"/>
      <c r="V189" s="106"/>
    </row>
    <row r="190">
      <c r="C190" s="79"/>
      <c r="D190" s="79"/>
      <c r="J190" s="79"/>
      <c r="N190" s="79"/>
      <c r="Q190" s="79"/>
      <c r="V190" s="106"/>
    </row>
    <row r="191">
      <c r="C191" s="79"/>
      <c r="D191" s="79"/>
      <c r="J191" s="79"/>
      <c r="N191" s="79"/>
      <c r="Q191" s="79"/>
      <c r="V191" s="106"/>
    </row>
    <row r="192">
      <c r="C192" s="79"/>
      <c r="D192" s="79"/>
      <c r="J192" s="79"/>
      <c r="N192" s="79"/>
      <c r="Q192" s="79"/>
      <c r="V192" s="106"/>
    </row>
    <row r="193">
      <c r="C193" s="79"/>
      <c r="D193" s="79"/>
      <c r="J193" s="79"/>
      <c r="N193" s="79"/>
      <c r="Q193" s="79"/>
      <c r="V193" s="106"/>
    </row>
    <row r="194">
      <c r="C194" s="79"/>
      <c r="D194" s="79"/>
      <c r="J194" s="79"/>
      <c r="N194" s="79"/>
      <c r="Q194" s="79"/>
      <c r="V194" s="106"/>
    </row>
    <row r="195">
      <c r="C195" s="79"/>
      <c r="D195" s="79"/>
      <c r="J195" s="79"/>
      <c r="N195" s="79"/>
      <c r="Q195" s="79"/>
      <c r="V195" s="106"/>
    </row>
    <row r="196">
      <c r="C196" s="79"/>
      <c r="D196" s="79"/>
      <c r="J196" s="79"/>
      <c r="N196" s="79"/>
      <c r="Q196" s="79"/>
      <c r="V196" s="106"/>
    </row>
    <row r="197">
      <c r="C197" s="79"/>
      <c r="D197" s="79"/>
      <c r="J197" s="79"/>
      <c r="N197" s="79"/>
      <c r="Q197" s="79"/>
      <c r="V197" s="106"/>
    </row>
    <row r="198">
      <c r="C198" s="79"/>
      <c r="D198" s="79"/>
      <c r="J198" s="79"/>
      <c r="N198" s="79"/>
      <c r="Q198" s="79"/>
      <c r="V198" s="106"/>
    </row>
    <row r="199">
      <c r="C199" s="79"/>
      <c r="D199" s="79"/>
      <c r="J199" s="79"/>
      <c r="N199" s="79"/>
      <c r="Q199" s="79"/>
      <c r="V199" s="106"/>
    </row>
    <row r="200">
      <c r="C200" s="79"/>
      <c r="D200" s="79"/>
      <c r="J200" s="79"/>
      <c r="N200" s="79"/>
      <c r="Q200" s="79"/>
      <c r="V200" s="106"/>
    </row>
    <row r="201">
      <c r="C201" s="79"/>
      <c r="D201" s="79"/>
      <c r="J201" s="79"/>
      <c r="N201" s="79"/>
      <c r="Q201" s="79"/>
      <c r="V201" s="106"/>
    </row>
    <row r="202">
      <c r="C202" s="79"/>
      <c r="D202" s="79"/>
      <c r="J202" s="79"/>
      <c r="N202" s="79"/>
      <c r="Q202" s="79"/>
      <c r="V202" s="106"/>
    </row>
    <row r="203">
      <c r="C203" s="79"/>
      <c r="D203" s="79"/>
      <c r="J203" s="79"/>
      <c r="N203" s="79"/>
      <c r="Q203" s="79"/>
      <c r="V203" s="106"/>
    </row>
    <row r="204">
      <c r="C204" s="79"/>
      <c r="D204" s="79"/>
      <c r="J204" s="79"/>
      <c r="N204" s="79"/>
      <c r="Q204" s="79"/>
      <c r="V204" s="106"/>
    </row>
    <row r="205">
      <c r="C205" s="79"/>
      <c r="D205" s="79"/>
      <c r="J205" s="79"/>
      <c r="N205" s="79"/>
      <c r="Q205" s="79"/>
      <c r="V205" s="106"/>
    </row>
    <row r="206">
      <c r="C206" s="79"/>
      <c r="D206" s="79"/>
      <c r="J206" s="79"/>
      <c r="N206" s="79"/>
      <c r="Q206" s="79"/>
      <c r="V206" s="106"/>
    </row>
    <row r="207">
      <c r="C207" s="79"/>
      <c r="D207" s="79"/>
      <c r="J207" s="79"/>
      <c r="N207" s="79"/>
      <c r="Q207" s="79"/>
      <c r="V207" s="106"/>
    </row>
    <row r="208">
      <c r="C208" s="79"/>
      <c r="D208" s="79"/>
      <c r="J208" s="79"/>
      <c r="N208" s="79"/>
      <c r="Q208" s="79"/>
      <c r="V208" s="106"/>
    </row>
    <row r="209">
      <c r="C209" s="79"/>
      <c r="D209" s="79"/>
      <c r="J209" s="79"/>
      <c r="N209" s="79"/>
      <c r="Q209" s="79"/>
      <c r="V209" s="106"/>
    </row>
    <row r="210">
      <c r="C210" s="79"/>
      <c r="D210" s="79"/>
      <c r="J210" s="79"/>
      <c r="N210" s="79"/>
      <c r="Q210" s="79"/>
      <c r="V210" s="106"/>
    </row>
    <row r="211">
      <c r="C211" s="79"/>
      <c r="D211" s="79"/>
      <c r="J211" s="79"/>
      <c r="N211" s="79"/>
      <c r="Q211" s="79"/>
      <c r="V211" s="106"/>
    </row>
    <row r="212">
      <c r="C212" s="79"/>
      <c r="D212" s="79"/>
      <c r="J212" s="79"/>
      <c r="N212" s="79"/>
      <c r="Q212" s="79"/>
      <c r="V212" s="106"/>
    </row>
    <row r="213">
      <c r="C213" s="79"/>
      <c r="D213" s="79"/>
      <c r="J213" s="79"/>
      <c r="N213" s="79"/>
      <c r="Q213" s="79"/>
      <c r="V213" s="106"/>
    </row>
    <row r="214">
      <c r="C214" s="79"/>
      <c r="D214" s="79"/>
      <c r="J214" s="79"/>
      <c r="N214" s="79"/>
      <c r="Q214" s="79"/>
      <c r="V214" s="106"/>
    </row>
    <row r="215">
      <c r="C215" s="79"/>
      <c r="D215" s="79"/>
      <c r="J215" s="79"/>
      <c r="N215" s="79"/>
      <c r="Q215" s="79"/>
      <c r="V215" s="106"/>
    </row>
    <row r="216">
      <c r="C216" s="79"/>
      <c r="D216" s="79"/>
      <c r="J216" s="79"/>
      <c r="N216" s="79"/>
      <c r="Q216" s="79"/>
      <c r="V216" s="106"/>
    </row>
    <row r="217">
      <c r="C217" s="79"/>
      <c r="D217" s="79"/>
      <c r="J217" s="79"/>
      <c r="N217" s="79"/>
      <c r="Q217" s="79"/>
      <c r="V217" s="106"/>
    </row>
    <row r="218">
      <c r="C218" s="79"/>
      <c r="D218" s="79"/>
      <c r="J218" s="79"/>
      <c r="N218" s="79"/>
      <c r="Q218" s="79"/>
      <c r="V218" s="106"/>
    </row>
    <row r="219">
      <c r="C219" s="79"/>
      <c r="D219" s="79"/>
      <c r="J219" s="79"/>
      <c r="N219" s="79"/>
      <c r="Q219" s="79"/>
      <c r="V219" s="106"/>
    </row>
    <row r="220">
      <c r="C220" s="79"/>
      <c r="D220" s="79"/>
      <c r="J220" s="79"/>
      <c r="N220" s="79"/>
      <c r="Q220" s="79"/>
      <c r="V220" s="106"/>
    </row>
    <row r="221">
      <c r="C221" s="79"/>
      <c r="D221" s="79"/>
      <c r="J221" s="79"/>
      <c r="N221" s="79"/>
      <c r="Q221" s="79"/>
      <c r="V221" s="106"/>
    </row>
    <row r="222">
      <c r="C222" s="79"/>
      <c r="D222" s="79"/>
      <c r="J222" s="79"/>
      <c r="N222" s="79"/>
      <c r="Q222" s="79"/>
      <c r="V222" s="106"/>
    </row>
    <row r="223">
      <c r="C223" s="79"/>
      <c r="D223" s="79"/>
      <c r="J223" s="79"/>
      <c r="N223" s="79"/>
      <c r="Q223" s="79"/>
      <c r="V223" s="106"/>
    </row>
    <row r="224">
      <c r="C224" s="79"/>
      <c r="D224" s="79"/>
      <c r="J224" s="79"/>
      <c r="N224" s="79"/>
      <c r="Q224" s="79"/>
      <c r="V224" s="106"/>
    </row>
    <row r="225">
      <c r="C225" s="79"/>
      <c r="D225" s="79"/>
      <c r="J225" s="79"/>
      <c r="N225" s="79"/>
      <c r="Q225" s="79"/>
      <c r="V225" s="106"/>
    </row>
    <row r="226">
      <c r="C226" s="79"/>
      <c r="D226" s="79"/>
      <c r="J226" s="79"/>
      <c r="N226" s="79"/>
      <c r="Q226" s="79"/>
      <c r="V226" s="106"/>
    </row>
    <row r="227">
      <c r="C227" s="79"/>
      <c r="D227" s="79"/>
      <c r="J227" s="79"/>
      <c r="N227" s="79"/>
      <c r="Q227" s="79"/>
      <c r="V227" s="106"/>
    </row>
    <row r="228">
      <c r="C228" s="79"/>
      <c r="D228" s="79"/>
      <c r="J228" s="79"/>
      <c r="N228" s="79"/>
      <c r="Q228" s="79"/>
      <c r="V228" s="106"/>
    </row>
    <row r="229">
      <c r="C229" s="79"/>
      <c r="D229" s="79"/>
      <c r="J229" s="79"/>
      <c r="N229" s="79"/>
      <c r="Q229" s="79"/>
      <c r="V229" s="106"/>
    </row>
    <row r="230">
      <c r="C230" s="79"/>
      <c r="D230" s="79"/>
      <c r="J230" s="79"/>
      <c r="N230" s="79"/>
      <c r="Q230" s="79"/>
      <c r="V230" s="106"/>
    </row>
    <row r="231">
      <c r="C231" s="79"/>
      <c r="D231" s="79"/>
      <c r="J231" s="79"/>
      <c r="N231" s="79"/>
      <c r="Q231" s="79"/>
      <c r="V231" s="106"/>
    </row>
    <row r="232">
      <c r="C232" s="79"/>
      <c r="D232" s="79"/>
      <c r="J232" s="79"/>
      <c r="N232" s="79"/>
      <c r="Q232" s="79"/>
      <c r="V232" s="106"/>
    </row>
    <row r="233">
      <c r="C233" s="79"/>
      <c r="D233" s="79"/>
      <c r="J233" s="79"/>
      <c r="N233" s="79"/>
      <c r="Q233" s="79"/>
      <c r="V233" s="106"/>
    </row>
    <row r="234">
      <c r="C234" s="79"/>
      <c r="D234" s="79"/>
      <c r="J234" s="79"/>
      <c r="N234" s="79"/>
      <c r="Q234" s="79"/>
      <c r="V234" s="106"/>
    </row>
    <row r="235">
      <c r="C235" s="79"/>
      <c r="D235" s="79"/>
      <c r="J235" s="79"/>
      <c r="N235" s="79"/>
      <c r="Q235" s="79"/>
      <c r="V235" s="106"/>
    </row>
    <row r="236">
      <c r="C236" s="79"/>
      <c r="D236" s="79"/>
      <c r="J236" s="79"/>
      <c r="N236" s="79"/>
      <c r="Q236" s="79"/>
      <c r="V236" s="106"/>
    </row>
    <row r="237">
      <c r="C237" s="79"/>
      <c r="D237" s="79"/>
      <c r="J237" s="79"/>
      <c r="N237" s="79"/>
      <c r="Q237" s="79"/>
      <c r="V237" s="106"/>
    </row>
    <row r="238">
      <c r="C238" s="79"/>
      <c r="D238" s="79"/>
      <c r="J238" s="79"/>
      <c r="N238" s="79"/>
      <c r="Q238" s="79"/>
      <c r="V238" s="106"/>
    </row>
    <row r="239">
      <c r="C239" s="79"/>
      <c r="D239" s="79"/>
      <c r="J239" s="79"/>
      <c r="N239" s="79"/>
      <c r="Q239" s="79"/>
      <c r="V239" s="106"/>
    </row>
    <row r="240">
      <c r="C240" s="79"/>
      <c r="D240" s="79"/>
      <c r="J240" s="79"/>
      <c r="N240" s="79"/>
      <c r="Q240" s="79"/>
      <c r="V240" s="106"/>
    </row>
    <row r="241">
      <c r="C241" s="79"/>
      <c r="D241" s="79"/>
      <c r="J241" s="79"/>
      <c r="N241" s="79"/>
      <c r="Q241" s="79"/>
      <c r="V241" s="106"/>
    </row>
    <row r="242">
      <c r="C242" s="79"/>
      <c r="D242" s="79"/>
      <c r="J242" s="79"/>
      <c r="N242" s="79"/>
      <c r="Q242" s="79"/>
      <c r="V242" s="106"/>
    </row>
    <row r="243">
      <c r="C243" s="79"/>
      <c r="D243" s="79"/>
      <c r="J243" s="79"/>
      <c r="N243" s="79"/>
      <c r="Q243" s="79"/>
      <c r="V243" s="106"/>
    </row>
    <row r="244">
      <c r="C244" s="79"/>
      <c r="D244" s="79"/>
      <c r="J244" s="79"/>
      <c r="N244" s="79"/>
      <c r="Q244" s="79"/>
      <c r="V244" s="106"/>
    </row>
    <row r="245">
      <c r="C245" s="79"/>
      <c r="D245" s="79"/>
      <c r="J245" s="79"/>
      <c r="N245" s="79"/>
      <c r="Q245" s="79"/>
      <c r="V245" s="106"/>
    </row>
    <row r="246">
      <c r="C246" s="79"/>
      <c r="D246" s="79"/>
      <c r="J246" s="79"/>
      <c r="N246" s="79"/>
      <c r="Q246" s="79"/>
      <c r="V246" s="106"/>
    </row>
    <row r="247">
      <c r="C247" s="79"/>
      <c r="D247" s="79"/>
      <c r="J247" s="79"/>
      <c r="N247" s="79"/>
      <c r="Q247" s="79"/>
      <c r="V247" s="106"/>
    </row>
    <row r="248">
      <c r="C248" s="79"/>
      <c r="D248" s="79"/>
      <c r="J248" s="79"/>
      <c r="N248" s="79"/>
      <c r="Q248" s="79"/>
      <c r="V248" s="106"/>
    </row>
    <row r="249">
      <c r="C249" s="79"/>
      <c r="D249" s="79"/>
      <c r="J249" s="79"/>
      <c r="N249" s="79"/>
      <c r="Q249" s="79"/>
      <c r="V249" s="106"/>
    </row>
    <row r="250">
      <c r="C250" s="79"/>
      <c r="D250" s="79"/>
      <c r="J250" s="79"/>
      <c r="N250" s="79"/>
      <c r="Q250" s="79"/>
      <c r="V250" s="106"/>
    </row>
    <row r="251">
      <c r="C251" s="79"/>
      <c r="D251" s="79"/>
      <c r="J251" s="79"/>
      <c r="N251" s="79"/>
      <c r="Q251" s="79"/>
      <c r="V251" s="106"/>
    </row>
    <row r="252">
      <c r="C252" s="79"/>
      <c r="D252" s="79"/>
      <c r="J252" s="79"/>
      <c r="N252" s="79"/>
      <c r="Q252" s="79"/>
      <c r="V252" s="106"/>
    </row>
    <row r="253">
      <c r="C253" s="79"/>
      <c r="D253" s="79"/>
      <c r="J253" s="79"/>
      <c r="N253" s="79"/>
      <c r="Q253" s="79"/>
      <c r="V253" s="106"/>
    </row>
    <row r="254">
      <c r="C254" s="79"/>
      <c r="D254" s="79"/>
      <c r="J254" s="79"/>
      <c r="N254" s="79"/>
      <c r="Q254" s="79"/>
      <c r="V254" s="106"/>
    </row>
    <row r="255">
      <c r="C255" s="79"/>
      <c r="D255" s="79"/>
      <c r="J255" s="79"/>
      <c r="N255" s="79"/>
      <c r="Q255" s="79"/>
      <c r="V255" s="106"/>
    </row>
    <row r="256">
      <c r="C256" s="79"/>
      <c r="D256" s="79"/>
      <c r="J256" s="79"/>
      <c r="N256" s="79"/>
      <c r="Q256" s="79"/>
      <c r="V256" s="106"/>
    </row>
    <row r="257">
      <c r="C257" s="79"/>
      <c r="D257" s="79"/>
      <c r="J257" s="79"/>
      <c r="N257" s="79"/>
      <c r="Q257" s="79"/>
      <c r="V257" s="106"/>
    </row>
    <row r="258">
      <c r="C258" s="79"/>
      <c r="D258" s="79"/>
      <c r="J258" s="79"/>
      <c r="N258" s="79"/>
      <c r="Q258" s="79"/>
      <c r="V258" s="106"/>
    </row>
    <row r="259">
      <c r="C259" s="79"/>
      <c r="D259" s="79"/>
      <c r="J259" s="79"/>
      <c r="N259" s="79"/>
      <c r="Q259" s="79"/>
      <c r="V259" s="106"/>
    </row>
    <row r="260">
      <c r="C260" s="79"/>
      <c r="D260" s="79"/>
      <c r="J260" s="79"/>
      <c r="N260" s="79"/>
      <c r="Q260" s="79"/>
      <c r="V260" s="106"/>
    </row>
    <row r="261">
      <c r="C261" s="79"/>
      <c r="D261" s="79"/>
      <c r="J261" s="79"/>
      <c r="N261" s="79"/>
      <c r="Q261" s="79"/>
      <c r="V261" s="106"/>
    </row>
    <row r="262">
      <c r="C262" s="79"/>
      <c r="D262" s="79"/>
      <c r="J262" s="79"/>
      <c r="N262" s="79"/>
      <c r="Q262" s="79"/>
      <c r="V262" s="106"/>
    </row>
    <row r="263">
      <c r="C263" s="79"/>
      <c r="D263" s="79"/>
      <c r="J263" s="79"/>
      <c r="N263" s="79"/>
      <c r="Q263" s="79"/>
      <c r="V263" s="106"/>
    </row>
    <row r="264">
      <c r="C264" s="79"/>
      <c r="D264" s="79"/>
      <c r="J264" s="79"/>
      <c r="N264" s="79"/>
      <c r="Q264" s="79"/>
      <c r="V264" s="106"/>
    </row>
    <row r="265">
      <c r="C265" s="79"/>
      <c r="D265" s="79"/>
      <c r="J265" s="79"/>
      <c r="N265" s="79"/>
      <c r="Q265" s="79"/>
      <c r="V265" s="106"/>
    </row>
    <row r="266">
      <c r="C266" s="79"/>
      <c r="D266" s="79"/>
      <c r="J266" s="79"/>
      <c r="N266" s="79"/>
      <c r="Q266" s="79"/>
      <c r="V266" s="106"/>
    </row>
    <row r="267">
      <c r="C267" s="79"/>
      <c r="D267" s="79"/>
      <c r="J267" s="79"/>
      <c r="N267" s="79"/>
      <c r="Q267" s="79"/>
      <c r="V267" s="106"/>
    </row>
    <row r="268">
      <c r="C268" s="79"/>
      <c r="D268" s="79"/>
      <c r="J268" s="79"/>
      <c r="N268" s="79"/>
      <c r="Q268" s="79"/>
      <c r="V268" s="106"/>
    </row>
    <row r="269">
      <c r="C269" s="79"/>
      <c r="D269" s="79"/>
      <c r="J269" s="79"/>
      <c r="N269" s="79"/>
      <c r="Q269" s="79"/>
      <c r="V269" s="106"/>
    </row>
    <row r="270">
      <c r="C270" s="79"/>
      <c r="D270" s="79"/>
      <c r="J270" s="79"/>
      <c r="N270" s="79"/>
      <c r="Q270" s="79"/>
      <c r="V270" s="106"/>
    </row>
    <row r="271">
      <c r="C271" s="79"/>
      <c r="D271" s="79"/>
      <c r="J271" s="79"/>
      <c r="N271" s="79"/>
      <c r="Q271" s="79"/>
      <c r="V271" s="106"/>
    </row>
    <row r="272">
      <c r="C272" s="79"/>
      <c r="D272" s="79"/>
      <c r="J272" s="79"/>
      <c r="N272" s="79"/>
      <c r="Q272" s="79"/>
      <c r="V272" s="106"/>
    </row>
    <row r="273">
      <c r="C273" s="79"/>
      <c r="D273" s="79"/>
      <c r="J273" s="79"/>
      <c r="N273" s="79"/>
      <c r="Q273" s="79"/>
      <c r="V273" s="106"/>
    </row>
    <row r="274">
      <c r="C274" s="79"/>
      <c r="D274" s="79"/>
      <c r="J274" s="79"/>
      <c r="N274" s="79"/>
      <c r="Q274" s="79"/>
      <c r="V274" s="106"/>
    </row>
    <row r="275">
      <c r="C275" s="79"/>
      <c r="D275" s="79"/>
      <c r="J275" s="79"/>
      <c r="N275" s="79"/>
      <c r="Q275" s="79"/>
      <c r="V275" s="106"/>
    </row>
    <row r="276">
      <c r="C276" s="79"/>
      <c r="D276" s="79"/>
      <c r="J276" s="79"/>
      <c r="N276" s="79"/>
      <c r="Q276" s="79"/>
      <c r="V276" s="106"/>
    </row>
    <row r="277">
      <c r="C277" s="79"/>
      <c r="D277" s="79"/>
      <c r="J277" s="79"/>
      <c r="N277" s="79"/>
      <c r="Q277" s="79"/>
      <c r="V277" s="106"/>
    </row>
    <row r="278">
      <c r="C278" s="79"/>
      <c r="D278" s="79"/>
      <c r="J278" s="79"/>
      <c r="N278" s="79"/>
      <c r="Q278" s="79"/>
      <c r="V278" s="106"/>
    </row>
    <row r="279">
      <c r="C279" s="79"/>
      <c r="D279" s="79"/>
      <c r="J279" s="79"/>
      <c r="N279" s="79"/>
      <c r="Q279" s="79"/>
      <c r="V279" s="106"/>
    </row>
    <row r="280">
      <c r="C280" s="79"/>
      <c r="D280" s="79"/>
      <c r="J280" s="79"/>
      <c r="N280" s="79"/>
      <c r="Q280" s="79"/>
      <c r="V280" s="106"/>
    </row>
    <row r="281">
      <c r="C281" s="79"/>
      <c r="D281" s="79"/>
      <c r="J281" s="79"/>
      <c r="N281" s="79"/>
      <c r="Q281" s="79"/>
      <c r="V281" s="106"/>
    </row>
    <row r="282">
      <c r="C282" s="79"/>
      <c r="D282" s="79"/>
      <c r="J282" s="79"/>
      <c r="N282" s="79"/>
      <c r="Q282" s="79"/>
      <c r="V282" s="106"/>
    </row>
    <row r="283">
      <c r="C283" s="79"/>
      <c r="D283" s="79"/>
      <c r="J283" s="79"/>
      <c r="N283" s="79"/>
      <c r="Q283" s="79"/>
      <c r="V283" s="106"/>
    </row>
    <row r="284">
      <c r="C284" s="79"/>
      <c r="D284" s="79"/>
      <c r="J284" s="79"/>
      <c r="N284" s="79"/>
      <c r="Q284" s="79"/>
      <c r="V284" s="106"/>
    </row>
    <row r="285">
      <c r="C285" s="79"/>
      <c r="D285" s="79"/>
      <c r="J285" s="79"/>
      <c r="N285" s="79"/>
      <c r="Q285" s="79"/>
      <c r="V285" s="106"/>
    </row>
    <row r="286">
      <c r="C286" s="79"/>
      <c r="D286" s="79"/>
      <c r="J286" s="79"/>
      <c r="N286" s="79"/>
      <c r="Q286" s="79"/>
      <c r="V286" s="106"/>
    </row>
    <row r="287">
      <c r="C287" s="79"/>
      <c r="D287" s="79"/>
      <c r="J287" s="79"/>
      <c r="N287" s="79"/>
      <c r="Q287" s="79"/>
      <c r="V287" s="106"/>
    </row>
    <row r="288">
      <c r="C288" s="79"/>
      <c r="D288" s="79"/>
      <c r="J288" s="79"/>
      <c r="N288" s="79"/>
      <c r="Q288" s="79"/>
      <c r="V288" s="106"/>
    </row>
    <row r="289">
      <c r="C289" s="79"/>
      <c r="D289" s="79"/>
      <c r="J289" s="79"/>
      <c r="N289" s="79"/>
      <c r="Q289" s="79"/>
      <c r="V289" s="106"/>
    </row>
    <row r="290">
      <c r="C290" s="79"/>
      <c r="D290" s="79"/>
      <c r="J290" s="79"/>
      <c r="N290" s="79"/>
      <c r="Q290" s="79"/>
      <c r="V290" s="106"/>
    </row>
    <row r="291">
      <c r="C291" s="79"/>
      <c r="D291" s="79"/>
      <c r="J291" s="79"/>
      <c r="N291" s="79"/>
      <c r="Q291" s="79"/>
      <c r="V291" s="106"/>
    </row>
    <row r="292">
      <c r="C292" s="79"/>
      <c r="D292" s="79"/>
      <c r="J292" s="79"/>
      <c r="N292" s="79"/>
      <c r="Q292" s="79"/>
      <c r="V292" s="106"/>
    </row>
    <row r="293">
      <c r="C293" s="79"/>
      <c r="D293" s="79"/>
      <c r="J293" s="79"/>
      <c r="N293" s="79"/>
      <c r="Q293" s="79"/>
      <c r="V293" s="106"/>
    </row>
    <row r="294">
      <c r="C294" s="79"/>
      <c r="D294" s="79"/>
      <c r="J294" s="79"/>
      <c r="N294" s="79"/>
      <c r="Q294" s="79"/>
      <c r="V294" s="106"/>
    </row>
    <row r="295">
      <c r="C295" s="79"/>
      <c r="D295" s="79"/>
      <c r="J295" s="79"/>
      <c r="N295" s="79"/>
      <c r="Q295" s="79"/>
      <c r="V295" s="106"/>
    </row>
    <row r="296">
      <c r="C296" s="79"/>
      <c r="D296" s="79"/>
      <c r="J296" s="79"/>
      <c r="N296" s="79"/>
      <c r="Q296" s="79"/>
      <c r="V296" s="106"/>
    </row>
    <row r="297">
      <c r="C297" s="79"/>
      <c r="D297" s="79"/>
      <c r="J297" s="79"/>
      <c r="N297" s="79"/>
      <c r="Q297" s="79"/>
      <c r="V297" s="106"/>
    </row>
    <row r="298">
      <c r="C298" s="79"/>
      <c r="D298" s="79"/>
      <c r="J298" s="79"/>
      <c r="N298" s="79"/>
      <c r="Q298" s="79"/>
      <c r="V298" s="106"/>
    </row>
    <row r="299">
      <c r="C299" s="79"/>
      <c r="D299" s="79"/>
      <c r="J299" s="79"/>
      <c r="N299" s="79"/>
      <c r="Q299" s="79"/>
      <c r="V299" s="106"/>
    </row>
    <row r="300">
      <c r="C300" s="79"/>
      <c r="D300" s="79"/>
      <c r="J300" s="79"/>
      <c r="N300" s="79"/>
      <c r="Q300" s="79"/>
      <c r="V300" s="106"/>
    </row>
    <row r="301">
      <c r="C301" s="79"/>
      <c r="D301" s="79"/>
      <c r="J301" s="79"/>
      <c r="N301" s="79"/>
      <c r="Q301" s="79"/>
      <c r="V301" s="106"/>
    </row>
    <row r="302">
      <c r="C302" s="79"/>
      <c r="D302" s="79"/>
      <c r="J302" s="79"/>
      <c r="N302" s="79"/>
      <c r="Q302" s="79"/>
      <c r="V302" s="106"/>
    </row>
    <row r="303">
      <c r="C303" s="79"/>
      <c r="D303" s="79"/>
      <c r="J303" s="79"/>
      <c r="N303" s="79"/>
      <c r="Q303" s="79"/>
      <c r="V303" s="106"/>
    </row>
    <row r="304">
      <c r="C304" s="79"/>
      <c r="D304" s="79"/>
      <c r="J304" s="79"/>
      <c r="N304" s="79"/>
      <c r="Q304" s="79"/>
      <c r="V304" s="106"/>
    </row>
    <row r="305">
      <c r="C305" s="79"/>
      <c r="D305" s="79"/>
      <c r="J305" s="79"/>
      <c r="N305" s="79"/>
      <c r="Q305" s="79"/>
      <c r="V305" s="106"/>
    </row>
    <row r="306">
      <c r="C306" s="79"/>
      <c r="D306" s="79"/>
      <c r="J306" s="79"/>
      <c r="N306" s="79"/>
      <c r="Q306" s="79"/>
      <c r="V306" s="106"/>
    </row>
    <row r="307">
      <c r="C307" s="79"/>
      <c r="D307" s="79"/>
      <c r="J307" s="79"/>
      <c r="N307" s="79"/>
      <c r="Q307" s="79"/>
      <c r="V307" s="106"/>
    </row>
    <row r="308">
      <c r="C308" s="79"/>
      <c r="D308" s="79"/>
      <c r="J308" s="79"/>
      <c r="N308" s="79"/>
      <c r="Q308" s="79"/>
      <c r="V308" s="106"/>
    </row>
    <row r="309">
      <c r="C309" s="79"/>
      <c r="D309" s="79"/>
      <c r="J309" s="79"/>
      <c r="N309" s="79"/>
      <c r="Q309" s="79"/>
      <c r="V309" s="106"/>
    </row>
    <row r="310">
      <c r="C310" s="79"/>
      <c r="D310" s="79"/>
      <c r="J310" s="79"/>
      <c r="N310" s="79"/>
      <c r="Q310" s="79"/>
      <c r="V310" s="106"/>
    </row>
    <row r="311">
      <c r="C311" s="79"/>
      <c r="D311" s="79"/>
      <c r="J311" s="79"/>
      <c r="N311" s="79"/>
      <c r="Q311" s="79"/>
      <c r="V311" s="106"/>
    </row>
    <row r="312">
      <c r="C312" s="79"/>
      <c r="D312" s="79"/>
      <c r="J312" s="79"/>
      <c r="N312" s="79"/>
      <c r="Q312" s="79"/>
      <c r="V312" s="106"/>
    </row>
    <row r="313">
      <c r="C313" s="79"/>
      <c r="D313" s="79"/>
      <c r="J313" s="79"/>
      <c r="N313" s="79"/>
      <c r="Q313" s="79"/>
      <c r="V313" s="106"/>
    </row>
    <row r="314">
      <c r="C314" s="79"/>
      <c r="D314" s="79"/>
      <c r="J314" s="79"/>
      <c r="N314" s="79"/>
      <c r="Q314" s="79"/>
      <c r="V314" s="106"/>
    </row>
    <row r="315">
      <c r="C315" s="79"/>
      <c r="D315" s="79"/>
      <c r="J315" s="79"/>
      <c r="N315" s="79"/>
      <c r="Q315" s="79"/>
      <c r="V315" s="106"/>
    </row>
    <row r="316">
      <c r="C316" s="79"/>
      <c r="D316" s="79"/>
      <c r="J316" s="79"/>
      <c r="N316" s="79"/>
      <c r="Q316" s="79"/>
      <c r="V316" s="106"/>
    </row>
    <row r="317">
      <c r="C317" s="79"/>
      <c r="D317" s="79"/>
      <c r="J317" s="79"/>
      <c r="N317" s="79"/>
      <c r="Q317" s="79"/>
      <c r="V317" s="106"/>
    </row>
    <row r="318">
      <c r="C318" s="79"/>
      <c r="D318" s="79"/>
      <c r="J318" s="79"/>
      <c r="N318" s="79"/>
      <c r="Q318" s="79"/>
      <c r="V318" s="106"/>
    </row>
    <row r="319">
      <c r="C319" s="79"/>
      <c r="D319" s="79"/>
      <c r="J319" s="79"/>
      <c r="N319" s="79"/>
      <c r="Q319" s="79"/>
      <c r="V319" s="106"/>
    </row>
    <row r="320">
      <c r="C320" s="79"/>
      <c r="D320" s="79"/>
      <c r="J320" s="79"/>
      <c r="N320" s="79"/>
      <c r="Q320" s="79"/>
      <c r="V320" s="106"/>
    </row>
    <row r="321">
      <c r="C321" s="79"/>
      <c r="D321" s="79"/>
      <c r="J321" s="79"/>
      <c r="N321" s="79"/>
      <c r="Q321" s="79"/>
      <c r="V321" s="106"/>
    </row>
    <row r="322">
      <c r="C322" s="79"/>
      <c r="D322" s="79"/>
      <c r="J322" s="79"/>
      <c r="N322" s="79"/>
      <c r="Q322" s="79"/>
      <c r="V322" s="106"/>
    </row>
    <row r="323">
      <c r="C323" s="79"/>
      <c r="D323" s="79"/>
      <c r="J323" s="79"/>
      <c r="N323" s="79"/>
      <c r="Q323" s="79"/>
      <c r="V323" s="106"/>
    </row>
    <row r="324">
      <c r="C324" s="79"/>
      <c r="D324" s="79"/>
      <c r="J324" s="79"/>
      <c r="N324" s="79"/>
      <c r="Q324" s="79"/>
      <c r="V324" s="106"/>
    </row>
    <row r="325">
      <c r="C325" s="79"/>
      <c r="D325" s="79"/>
      <c r="J325" s="79"/>
      <c r="N325" s="79"/>
      <c r="Q325" s="79"/>
      <c r="V325" s="106"/>
    </row>
    <row r="326">
      <c r="C326" s="79"/>
      <c r="D326" s="79"/>
      <c r="J326" s="79"/>
      <c r="N326" s="79"/>
      <c r="Q326" s="79"/>
      <c r="V326" s="106"/>
    </row>
    <row r="327">
      <c r="C327" s="79"/>
      <c r="D327" s="79"/>
      <c r="J327" s="79"/>
      <c r="N327" s="79"/>
      <c r="Q327" s="79"/>
      <c r="V327" s="106"/>
    </row>
    <row r="328">
      <c r="C328" s="79"/>
      <c r="D328" s="79"/>
      <c r="J328" s="79"/>
      <c r="N328" s="79"/>
      <c r="Q328" s="79"/>
      <c r="V328" s="106"/>
    </row>
    <row r="329">
      <c r="C329" s="79"/>
      <c r="D329" s="79"/>
      <c r="J329" s="79"/>
      <c r="N329" s="79"/>
      <c r="Q329" s="79"/>
      <c r="V329" s="106"/>
    </row>
    <row r="330">
      <c r="C330" s="79"/>
      <c r="D330" s="79"/>
      <c r="J330" s="79"/>
      <c r="N330" s="79"/>
      <c r="Q330" s="79"/>
      <c r="V330" s="106"/>
    </row>
    <row r="331">
      <c r="C331" s="79"/>
      <c r="D331" s="79"/>
      <c r="J331" s="79"/>
      <c r="N331" s="79"/>
      <c r="Q331" s="79"/>
      <c r="V331" s="106"/>
    </row>
    <row r="332">
      <c r="C332" s="79"/>
      <c r="D332" s="79"/>
      <c r="J332" s="79"/>
      <c r="N332" s="79"/>
      <c r="Q332" s="79"/>
      <c r="V332" s="106"/>
    </row>
    <row r="333">
      <c r="C333" s="79"/>
      <c r="D333" s="79"/>
      <c r="J333" s="79"/>
      <c r="N333" s="79"/>
      <c r="Q333" s="79"/>
      <c r="V333" s="106"/>
    </row>
    <row r="334">
      <c r="C334" s="79"/>
      <c r="D334" s="79"/>
      <c r="J334" s="79"/>
      <c r="N334" s="79"/>
      <c r="Q334" s="79"/>
      <c r="V334" s="106"/>
    </row>
    <row r="335">
      <c r="C335" s="79"/>
      <c r="D335" s="79"/>
      <c r="J335" s="79"/>
      <c r="N335" s="79"/>
      <c r="Q335" s="79"/>
      <c r="V335" s="106"/>
    </row>
    <row r="336">
      <c r="C336" s="79"/>
      <c r="D336" s="79"/>
      <c r="J336" s="79"/>
      <c r="N336" s="79"/>
      <c r="Q336" s="79"/>
      <c r="V336" s="106"/>
    </row>
    <row r="337">
      <c r="C337" s="79"/>
      <c r="D337" s="79"/>
      <c r="J337" s="79"/>
      <c r="N337" s="79"/>
      <c r="Q337" s="79"/>
      <c r="V337" s="106"/>
    </row>
    <row r="338">
      <c r="C338" s="79"/>
      <c r="D338" s="79"/>
      <c r="J338" s="79"/>
      <c r="N338" s="79"/>
      <c r="Q338" s="79"/>
      <c r="V338" s="106"/>
    </row>
    <row r="339">
      <c r="C339" s="79"/>
      <c r="D339" s="79"/>
      <c r="J339" s="79"/>
      <c r="N339" s="79"/>
      <c r="Q339" s="79"/>
      <c r="V339" s="106"/>
    </row>
    <row r="340">
      <c r="C340" s="79"/>
      <c r="D340" s="79"/>
      <c r="J340" s="79"/>
      <c r="N340" s="79"/>
      <c r="Q340" s="79"/>
      <c r="V340" s="106"/>
    </row>
    <row r="341">
      <c r="C341" s="79"/>
      <c r="D341" s="79"/>
      <c r="J341" s="79"/>
      <c r="N341" s="79"/>
      <c r="Q341" s="79"/>
      <c r="V341" s="106"/>
    </row>
    <row r="342">
      <c r="C342" s="79"/>
      <c r="D342" s="79"/>
      <c r="J342" s="79"/>
      <c r="N342" s="79"/>
      <c r="Q342" s="79"/>
      <c r="V342" s="106"/>
    </row>
    <row r="343">
      <c r="C343" s="79"/>
      <c r="D343" s="79"/>
      <c r="J343" s="79"/>
      <c r="N343" s="79"/>
      <c r="Q343" s="79"/>
      <c r="V343" s="106"/>
    </row>
    <row r="344">
      <c r="C344" s="79"/>
      <c r="D344" s="79"/>
      <c r="J344" s="79"/>
      <c r="N344" s="79"/>
      <c r="Q344" s="79"/>
      <c r="V344" s="106"/>
    </row>
    <row r="345">
      <c r="C345" s="79"/>
      <c r="D345" s="79"/>
      <c r="J345" s="79"/>
      <c r="N345" s="79"/>
      <c r="Q345" s="79"/>
      <c r="V345" s="106"/>
    </row>
    <row r="346">
      <c r="C346" s="79"/>
      <c r="D346" s="79"/>
      <c r="J346" s="79"/>
      <c r="N346" s="79"/>
      <c r="Q346" s="79"/>
      <c r="V346" s="106"/>
    </row>
    <row r="347">
      <c r="C347" s="79"/>
      <c r="D347" s="79"/>
      <c r="J347" s="79"/>
      <c r="N347" s="79"/>
      <c r="Q347" s="79"/>
      <c r="V347" s="106"/>
    </row>
    <row r="348">
      <c r="C348" s="79"/>
      <c r="D348" s="79"/>
      <c r="J348" s="79"/>
      <c r="N348" s="79"/>
      <c r="Q348" s="79"/>
      <c r="V348" s="106"/>
    </row>
    <row r="349">
      <c r="C349" s="79"/>
      <c r="D349" s="79"/>
      <c r="J349" s="79"/>
      <c r="N349" s="79"/>
      <c r="Q349" s="79"/>
      <c r="V349" s="106"/>
    </row>
    <row r="350">
      <c r="C350" s="79"/>
      <c r="D350" s="79"/>
      <c r="J350" s="79"/>
      <c r="N350" s="79"/>
      <c r="Q350" s="79"/>
      <c r="V350" s="106"/>
    </row>
    <row r="351">
      <c r="C351" s="79"/>
      <c r="D351" s="79"/>
      <c r="J351" s="79"/>
      <c r="N351" s="79"/>
      <c r="Q351" s="79"/>
      <c r="V351" s="106"/>
    </row>
    <row r="352">
      <c r="C352" s="79"/>
      <c r="D352" s="79"/>
      <c r="J352" s="79"/>
      <c r="N352" s="79"/>
      <c r="Q352" s="79"/>
      <c r="V352" s="106"/>
    </row>
    <row r="353">
      <c r="C353" s="79"/>
      <c r="D353" s="79"/>
      <c r="J353" s="79"/>
      <c r="N353" s="79"/>
      <c r="Q353" s="79"/>
      <c r="V353" s="106"/>
    </row>
    <row r="354">
      <c r="C354" s="79"/>
      <c r="D354" s="79"/>
      <c r="J354" s="79"/>
      <c r="N354" s="79"/>
      <c r="Q354" s="79"/>
      <c r="V354" s="106"/>
    </row>
    <row r="355">
      <c r="C355" s="79"/>
      <c r="D355" s="79"/>
      <c r="J355" s="79"/>
      <c r="N355" s="79"/>
      <c r="Q355" s="79"/>
      <c r="V355" s="106"/>
    </row>
    <row r="356">
      <c r="C356" s="79"/>
      <c r="D356" s="79"/>
      <c r="J356" s="79"/>
      <c r="N356" s="79"/>
      <c r="Q356" s="79"/>
      <c r="V356" s="106"/>
    </row>
    <row r="357">
      <c r="C357" s="79"/>
      <c r="D357" s="79"/>
      <c r="J357" s="79"/>
      <c r="N357" s="79"/>
      <c r="Q357" s="79"/>
      <c r="V357" s="106"/>
    </row>
    <row r="358">
      <c r="C358" s="79"/>
      <c r="D358" s="79"/>
      <c r="J358" s="79"/>
      <c r="N358" s="79"/>
      <c r="Q358" s="79"/>
      <c r="V358" s="106"/>
    </row>
    <row r="359">
      <c r="C359" s="79"/>
      <c r="D359" s="79"/>
      <c r="J359" s="79"/>
      <c r="N359" s="79"/>
      <c r="Q359" s="79"/>
      <c r="V359" s="106"/>
    </row>
    <row r="360">
      <c r="C360" s="79"/>
      <c r="D360" s="79"/>
      <c r="J360" s="79"/>
      <c r="N360" s="79"/>
      <c r="Q360" s="79"/>
      <c r="V360" s="106"/>
    </row>
    <row r="361">
      <c r="C361" s="79"/>
      <c r="D361" s="79"/>
      <c r="J361" s="79"/>
      <c r="N361" s="79"/>
      <c r="Q361" s="79"/>
      <c r="V361" s="106"/>
    </row>
    <row r="362">
      <c r="C362" s="79"/>
      <c r="D362" s="79"/>
      <c r="J362" s="79"/>
      <c r="N362" s="79"/>
      <c r="Q362" s="79"/>
      <c r="V362" s="106"/>
    </row>
    <row r="363">
      <c r="C363" s="79"/>
      <c r="D363" s="79"/>
      <c r="J363" s="79"/>
      <c r="N363" s="79"/>
      <c r="Q363" s="79"/>
      <c r="V363" s="106"/>
    </row>
    <row r="364">
      <c r="C364" s="79"/>
      <c r="D364" s="79"/>
      <c r="J364" s="79"/>
      <c r="N364" s="79"/>
      <c r="Q364" s="79"/>
      <c r="V364" s="106"/>
    </row>
    <row r="365">
      <c r="C365" s="79"/>
      <c r="D365" s="79"/>
      <c r="J365" s="79"/>
      <c r="N365" s="79"/>
      <c r="Q365" s="79"/>
      <c r="V365" s="106"/>
    </row>
    <row r="366">
      <c r="C366" s="79"/>
      <c r="D366" s="79"/>
      <c r="J366" s="79"/>
      <c r="N366" s="79"/>
      <c r="Q366" s="79"/>
      <c r="V366" s="106"/>
    </row>
    <row r="367">
      <c r="C367" s="79"/>
      <c r="D367" s="79"/>
      <c r="J367" s="79"/>
      <c r="N367" s="79"/>
      <c r="Q367" s="79"/>
      <c r="V367" s="106"/>
    </row>
    <row r="368">
      <c r="C368" s="79"/>
      <c r="D368" s="79"/>
      <c r="J368" s="79"/>
      <c r="N368" s="79"/>
      <c r="Q368" s="79"/>
      <c r="V368" s="106"/>
    </row>
    <row r="369">
      <c r="C369" s="79"/>
      <c r="D369" s="79"/>
      <c r="J369" s="79"/>
      <c r="N369" s="79"/>
      <c r="Q369" s="79"/>
      <c r="V369" s="106"/>
    </row>
    <row r="370">
      <c r="C370" s="79"/>
      <c r="D370" s="79"/>
      <c r="J370" s="79"/>
      <c r="N370" s="79"/>
      <c r="Q370" s="79"/>
      <c r="V370" s="106"/>
    </row>
    <row r="371">
      <c r="C371" s="79"/>
      <c r="D371" s="79"/>
      <c r="J371" s="79"/>
      <c r="N371" s="79"/>
      <c r="Q371" s="79"/>
      <c r="V371" s="106"/>
    </row>
    <row r="372">
      <c r="C372" s="79"/>
      <c r="D372" s="79"/>
      <c r="J372" s="79"/>
      <c r="N372" s="79"/>
      <c r="Q372" s="79"/>
      <c r="V372" s="106"/>
    </row>
    <row r="373">
      <c r="C373" s="79"/>
      <c r="D373" s="79"/>
      <c r="J373" s="79"/>
      <c r="N373" s="79"/>
      <c r="Q373" s="79"/>
      <c r="V373" s="106"/>
    </row>
    <row r="374">
      <c r="C374" s="79"/>
      <c r="D374" s="79"/>
      <c r="J374" s="79"/>
      <c r="N374" s="79"/>
      <c r="Q374" s="79"/>
      <c r="V374" s="106"/>
    </row>
    <row r="375">
      <c r="C375" s="79"/>
      <c r="D375" s="79"/>
      <c r="J375" s="79"/>
      <c r="N375" s="79"/>
      <c r="Q375" s="79"/>
      <c r="V375" s="106"/>
    </row>
    <row r="376">
      <c r="C376" s="79"/>
      <c r="D376" s="79"/>
      <c r="J376" s="79"/>
      <c r="N376" s="79"/>
      <c r="Q376" s="79"/>
      <c r="V376" s="106"/>
    </row>
    <row r="377">
      <c r="C377" s="79"/>
      <c r="D377" s="79"/>
      <c r="J377" s="79"/>
      <c r="N377" s="79"/>
      <c r="Q377" s="79"/>
      <c r="V377" s="106"/>
    </row>
    <row r="378">
      <c r="C378" s="79"/>
      <c r="D378" s="79"/>
      <c r="J378" s="79"/>
      <c r="N378" s="79"/>
      <c r="Q378" s="79"/>
      <c r="V378" s="106"/>
    </row>
    <row r="379">
      <c r="C379" s="79"/>
      <c r="D379" s="79"/>
      <c r="J379" s="79"/>
      <c r="N379" s="79"/>
      <c r="Q379" s="79"/>
      <c r="V379" s="106"/>
    </row>
    <row r="380">
      <c r="C380" s="79"/>
      <c r="D380" s="79"/>
      <c r="J380" s="79"/>
      <c r="N380" s="79"/>
      <c r="Q380" s="79"/>
      <c r="V380" s="106"/>
    </row>
    <row r="381">
      <c r="C381" s="79"/>
      <c r="D381" s="79"/>
      <c r="J381" s="79"/>
      <c r="N381" s="79"/>
      <c r="Q381" s="79"/>
      <c r="V381" s="106"/>
    </row>
    <row r="382">
      <c r="C382" s="79"/>
      <c r="D382" s="79"/>
      <c r="J382" s="79"/>
      <c r="N382" s="79"/>
      <c r="Q382" s="79"/>
      <c r="V382" s="106"/>
    </row>
    <row r="383">
      <c r="C383" s="79"/>
      <c r="D383" s="79"/>
      <c r="J383" s="79"/>
      <c r="N383" s="79"/>
      <c r="Q383" s="79"/>
      <c r="V383" s="106"/>
    </row>
    <row r="384">
      <c r="C384" s="79"/>
      <c r="D384" s="79"/>
      <c r="J384" s="79"/>
      <c r="N384" s="79"/>
      <c r="Q384" s="79"/>
      <c r="V384" s="106"/>
    </row>
    <row r="385">
      <c r="C385" s="79"/>
      <c r="D385" s="79"/>
      <c r="J385" s="79"/>
      <c r="N385" s="79"/>
      <c r="Q385" s="79"/>
      <c r="V385" s="106"/>
    </row>
    <row r="386">
      <c r="C386" s="79"/>
      <c r="D386" s="79"/>
      <c r="J386" s="79"/>
      <c r="N386" s="79"/>
      <c r="Q386" s="79"/>
      <c r="V386" s="106"/>
    </row>
    <row r="387">
      <c r="C387" s="79"/>
      <c r="D387" s="79"/>
      <c r="J387" s="79"/>
      <c r="N387" s="79"/>
      <c r="Q387" s="79"/>
      <c r="V387" s="106"/>
    </row>
    <row r="388">
      <c r="C388" s="79"/>
      <c r="D388" s="79"/>
      <c r="J388" s="79"/>
      <c r="N388" s="79"/>
      <c r="Q388" s="79"/>
      <c r="V388" s="106"/>
    </row>
    <row r="389">
      <c r="C389" s="79"/>
      <c r="D389" s="79"/>
      <c r="J389" s="79"/>
      <c r="N389" s="79"/>
      <c r="Q389" s="79"/>
      <c r="V389" s="106"/>
    </row>
    <row r="390">
      <c r="C390" s="79"/>
      <c r="D390" s="79"/>
      <c r="J390" s="79"/>
      <c r="N390" s="79"/>
      <c r="Q390" s="79"/>
      <c r="V390" s="106"/>
    </row>
    <row r="391">
      <c r="C391" s="79"/>
      <c r="D391" s="79"/>
      <c r="J391" s="79"/>
      <c r="N391" s="79"/>
      <c r="Q391" s="79"/>
      <c r="V391" s="106"/>
    </row>
    <row r="392">
      <c r="C392" s="79"/>
      <c r="D392" s="79"/>
      <c r="J392" s="79"/>
      <c r="N392" s="79"/>
      <c r="Q392" s="79"/>
      <c r="V392" s="106"/>
    </row>
    <row r="393">
      <c r="C393" s="79"/>
      <c r="D393" s="79"/>
      <c r="J393" s="79"/>
      <c r="N393" s="79"/>
      <c r="Q393" s="79"/>
      <c r="V393" s="106"/>
    </row>
    <row r="394">
      <c r="C394" s="79"/>
      <c r="D394" s="79"/>
      <c r="J394" s="79"/>
      <c r="N394" s="79"/>
      <c r="Q394" s="79"/>
      <c r="V394" s="106"/>
    </row>
    <row r="395">
      <c r="C395" s="79"/>
      <c r="D395" s="79"/>
      <c r="J395" s="79"/>
      <c r="N395" s="79"/>
      <c r="Q395" s="79"/>
      <c r="V395" s="106"/>
    </row>
    <row r="396">
      <c r="C396" s="79"/>
      <c r="D396" s="79"/>
      <c r="J396" s="79"/>
      <c r="N396" s="79"/>
      <c r="Q396" s="79"/>
      <c r="V396" s="106"/>
    </row>
    <row r="397">
      <c r="C397" s="79"/>
      <c r="D397" s="79"/>
      <c r="J397" s="79"/>
      <c r="N397" s="79"/>
      <c r="Q397" s="79"/>
      <c r="V397" s="106"/>
    </row>
    <row r="398">
      <c r="C398" s="79"/>
      <c r="D398" s="79"/>
      <c r="J398" s="79"/>
      <c r="N398" s="79"/>
      <c r="Q398" s="79"/>
      <c r="V398" s="106"/>
    </row>
    <row r="399">
      <c r="C399" s="79"/>
      <c r="D399" s="79"/>
      <c r="J399" s="79"/>
      <c r="N399" s="79"/>
      <c r="Q399" s="79"/>
      <c r="V399" s="106"/>
    </row>
    <row r="400">
      <c r="C400" s="79"/>
      <c r="D400" s="79"/>
      <c r="J400" s="79"/>
      <c r="N400" s="79"/>
      <c r="Q400" s="79"/>
      <c r="V400" s="106"/>
    </row>
    <row r="401">
      <c r="C401" s="79"/>
      <c r="D401" s="79"/>
      <c r="J401" s="79"/>
      <c r="N401" s="79"/>
      <c r="Q401" s="79"/>
      <c r="V401" s="106"/>
    </row>
    <row r="402">
      <c r="C402" s="79"/>
      <c r="D402" s="79"/>
      <c r="J402" s="79"/>
      <c r="N402" s="79"/>
      <c r="Q402" s="79"/>
      <c r="V402" s="106"/>
    </row>
    <row r="403">
      <c r="C403" s="79"/>
      <c r="D403" s="79"/>
      <c r="J403" s="79"/>
      <c r="N403" s="79"/>
      <c r="Q403" s="79"/>
      <c r="V403" s="106"/>
    </row>
    <row r="404">
      <c r="C404" s="79"/>
      <c r="D404" s="79"/>
      <c r="J404" s="79"/>
      <c r="N404" s="79"/>
      <c r="Q404" s="79"/>
      <c r="V404" s="106"/>
    </row>
    <row r="405">
      <c r="C405" s="79"/>
      <c r="D405" s="79"/>
      <c r="J405" s="79"/>
      <c r="N405" s="79"/>
      <c r="Q405" s="79"/>
      <c r="V405" s="106"/>
    </row>
    <row r="406">
      <c r="C406" s="79"/>
      <c r="D406" s="79"/>
      <c r="J406" s="79"/>
      <c r="N406" s="79"/>
      <c r="Q406" s="79"/>
      <c r="V406" s="106"/>
    </row>
    <row r="407">
      <c r="C407" s="79"/>
      <c r="D407" s="79"/>
      <c r="J407" s="79"/>
      <c r="N407" s="79"/>
      <c r="Q407" s="79"/>
      <c r="V407" s="106"/>
    </row>
    <row r="408">
      <c r="C408" s="79"/>
      <c r="D408" s="79"/>
      <c r="J408" s="79"/>
      <c r="N408" s="79"/>
      <c r="Q408" s="79"/>
      <c r="V408" s="106"/>
    </row>
    <row r="409">
      <c r="C409" s="79"/>
      <c r="D409" s="79"/>
      <c r="J409" s="79"/>
      <c r="N409" s="79"/>
      <c r="Q409" s="79"/>
      <c r="V409" s="106"/>
    </row>
    <row r="410">
      <c r="C410" s="79"/>
      <c r="D410" s="79"/>
      <c r="J410" s="79"/>
      <c r="N410" s="79"/>
      <c r="Q410" s="79"/>
      <c r="V410" s="106"/>
    </row>
    <row r="411">
      <c r="C411" s="79"/>
      <c r="D411" s="79"/>
      <c r="J411" s="79"/>
      <c r="N411" s="79"/>
      <c r="Q411" s="79"/>
      <c r="V411" s="106"/>
    </row>
    <row r="412">
      <c r="C412" s="79"/>
      <c r="D412" s="79"/>
      <c r="J412" s="79"/>
      <c r="N412" s="79"/>
      <c r="Q412" s="79"/>
      <c r="V412" s="106"/>
    </row>
    <row r="413">
      <c r="C413" s="79"/>
      <c r="D413" s="79"/>
      <c r="J413" s="79"/>
      <c r="N413" s="79"/>
      <c r="Q413" s="79"/>
      <c r="V413" s="106"/>
    </row>
    <row r="414">
      <c r="C414" s="79"/>
      <c r="D414" s="79"/>
      <c r="J414" s="79"/>
      <c r="N414" s="79"/>
      <c r="Q414" s="79"/>
      <c r="V414" s="106"/>
    </row>
    <row r="415">
      <c r="C415" s="79"/>
      <c r="D415" s="79"/>
      <c r="J415" s="79"/>
      <c r="N415" s="79"/>
      <c r="Q415" s="79"/>
      <c r="V415" s="106"/>
    </row>
    <row r="416">
      <c r="C416" s="79"/>
      <c r="D416" s="79"/>
      <c r="J416" s="79"/>
      <c r="N416" s="79"/>
      <c r="Q416" s="79"/>
      <c r="V416" s="106"/>
    </row>
    <row r="417">
      <c r="C417" s="79"/>
      <c r="D417" s="79"/>
      <c r="J417" s="79"/>
      <c r="N417" s="79"/>
      <c r="Q417" s="79"/>
      <c r="V417" s="106"/>
    </row>
    <row r="418">
      <c r="C418" s="79"/>
      <c r="D418" s="79"/>
      <c r="J418" s="79"/>
      <c r="N418" s="79"/>
      <c r="Q418" s="79"/>
      <c r="V418" s="106"/>
    </row>
    <row r="419">
      <c r="C419" s="79"/>
      <c r="D419" s="79"/>
      <c r="J419" s="79"/>
      <c r="N419" s="79"/>
      <c r="Q419" s="79"/>
      <c r="V419" s="106"/>
    </row>
    <row r="420">
      <c r="C420" s="79"/>
      <c r="D420" s="79"/>
      <c r="J420" s="79"/>
      <c r="N420" s="79"/>
      <c r="Q420" s="79"/>
      <c r="V420" s="106"/>
    </row>
    <row r="421">
      <c r="C421" s="79"/>
      <c r="D421" s="79"/>
      <c r="J421" s="79"/>
      <c r="N421" s="79"/>
      <c r="Q421" s="79"/>
      <c r="V421" s="106"/>
    </row>
    <row r="422">
      <c r="C422" s="79"/>
      <c r="D422" s="79"/>
      <c r="J422" s="79"/>
      <c r="N422" s="79"/>
      <c r="Q422" s="79"/>
      <c r="V422" s="106"/>
    </row>
    <row r="423">
      <c r="C423" s="79"/>
      <c r="D423" s="79"/>
      <c r="J423" s="79"/>
      <c r="N423" s="79"/>
      <c r="Q423" s="79"/>
      <c r="V423" s="106"/>
    </row>
    <row r="424">
      <c r="C424" s="79"/>
      <c r="D424" s="79"/>
      <c r="J424" s="79"/>
      <c r="N424" s="79"/>
      <c r="Q424" s="79"/>
      <c r="V424" s="106"/>
    </row>
    <row r="425">
      <c r="C425" s="79"/>
      <c r="D425" s="79"/>
      <c r="J425" s="79"/>
      <c r="N425" s="79"/>
      <c r="Q425" s="79"/>
      <c r="V425" s="106"/>
    </row>
    <row r="426">
      <c r="C426" s="79"/>
      <c r="D426" s="79"/>
      <c r="J426" s="79"/>
      <c r="N426" s="79"/>
      <c r="Q426" s="79"/>
      <c r="V426" s="106"/>
    </row>
    <row r="427">
      <c r="C427" s="79"/>
      <c r="D427" s="79"/>
      <c r="J427" s="79"/>
      <c r="N427" s="79"/>
      <c r="Q427" s="79"/>
      <c r="V427" s="106"/>
    </row>
    <row r="428">
      <c r="C428" s="79"/>
      <c r="D428" s="79"/>
      <c r="J428" s="79"/>
      <c r="N428" s="79"/>
      <c r="Q428" s="79"/>
      <c r="V428" s="106"/>
    </row>
    <row r="429">
      <c r="C429" s="79"/>
      <c r="D429" s="79"/>
      <c r="J429" s="79"/>
      <c r="N429" s="79"/>
      <c r="Q429" s="79"/>
      <c r="V429" s="106"/>
    </row>
    <row r="430">
      <c r="C430" s="79"/>
      <c r="D430" s="79"/>
      <c r="J430" s="79"/>
      <c r="N430" s="79"/>
      <c r="Q430" s="79"/>
      <c r="V430" s="106"/>
    </row>
    <row r="431">
      <c r="C431" s="79"/>
      <c r="D431" s="79"/>
      <c r="J431" s="79"/>
      <c r="N431" s="79"/>
      <c r="Q431" s="79"/>
      <c r="V431" s="106"/>
    </row>
    <row r="432">
      <c r="C432" s="79"/>
      <c r="D432" s="79"/>
      <c r="J432" s="79"/>
      <c r="N432" s="79"/>
      <c r="Q432" s="79"/>
      <c r="V432" s="106"/>
    </row>
    <row r="433">
      <c r="C433" s="79"/>
      <c r="D433" s="79"/>
      <c r="J433" s="79"/>
      <c r="N433" s="79"/>
      <c r="Q433" s="79"/>
      <c r="V433" s="106"/>
    </row>
    <row r="434">
      <c r="C434" s="79"/>
      <c r="D434" s="79"/>
      <c r="J434" s="79"/>
      <c r="N434" s="79"/>
      <c r="Q434" s="79"/>
      <c r="V434" s="106"/>
    </row>
    <row r="435">
      <c r="C435" s="79"/>
      <c r="D435" s="79"/>
      <c r="J435" s="79"/>
      <c r="N435" s="79"/>
      <c r="Q435" s="79"/>
      <c r="V435" s="106"/>
    </row>
    <row r="436">
      <c r="C436" s="79"/>
      <c r="D436" s="79"/>
      <c r="J436" s="79"/>
      <c r="N436" s="79"/>
      <c r="Q436" s="79"/>
      <c r="V436" s="106"/>
    </row>
    <row r="437">
      <c r="C437" s="79"/>
      <c r="D437" s="79"/>
      <c r="J437" s="79"/>
      <c r="N437" s="79"/>
      <c r="Q437" s="79"/>
      <c r="V437" s="106"/>
    </row>
    <row r="438">
      <c r="C438" s="79"/>
      <c r="D438" s="79"/>
      <c r="J438" s="79"/>
      <c r="N438" s="79"/>
      <c r="Q438" s="79"/>
      <c r="V438" s="106"/>
    </row>
    <row r="439">
      <c r="C439" s="79"/>
      <c r="D439" s="79"/>
      <c r="J439" s="79"/>
      <c r="N439" s="79"/>
      <c r="Q439" s="79"/>
      <c r="V439" s="106"/>
    </row>
    <row r="440">
      <c r="C440" s="79"/>
      <c r="D440" s="79"/>
      <c r="J440" s="79"/>
      <c r="N440" s="79"/>
      <c r="Q440" s="79"/>
      <c r="V440" s="106"/>
    </row>
    <row r="441">
      <c r="C441" s="79"/>
      <c r="D441" s="79"/>
      <c r="J441" s="79"/>
      <c r="N441" s="79"/>
      <c r="Q441" s="79"/>
      <c r="V441" s="106"/>
    </row>
    <row r="442">
      <c r="C442" s="79"/>
      <c r="D442" s="79"/>
      <c r="J442" s="79"/>
      <c r="N442" s="79"/>
      <c r="Q442" s="79"/>
      <c r="V442" s="106"/>
    </row>
    <row r="443">
      <c r="C443" s="79"/>
      <c r="D443" s="79"/>
      <c r="J443" s="79"/>
      <c r="N443" s="79"/>
      <c r="Q443" s="79"/>
      <c r="V443" s="106"/>
    </row>
    <row r="444">
      <c r="C444" s="79"/>
      <c r="D444" s="79"/>
      <c r="J444" s="79"/>
      <c r="N444" s="79"/>
      <c r="Q444" s="79"/>
      <c r="V444" s="106"/>
    </row>
    <row r="445">
      <c r="C445" s="79"/>
      <c r="D445" s="79"/>
      <c r="J445" s="79"/>
      <c r="N445" s="79"/>
      <c r="Q445" s="79"/>
      <c r="V445" s="106"/>
    </row>
    <row r="446">
      <c r="C446" s="79"/>
      <c r="D446" s="79"/>
      <c r="J446" s="79"/>
      <c r="N446" s="79"/>
      <c r="Q446" s="79"/>
      <c r="V446" s="106"/>
    </row>
    <row r="447">
      <c r="C447" s="79"/>
      <c r="D447" s="79"/>
      <c r="J447" s="79"/>
      <c r="N447" s="79"/>
      <c r="Q447" s="79"/>
      <c r="V447" s="106"/>
    </row>
    <row r="448">
      <c r="C448" s="79"/>
      <c r="D448" s="79"/>
      <c r="J448" s="79"/>
      <c r="N448" s="79"/>
      <c r="Q448" s="79"/>
      <c r="V448" s="106"/>
    </row>
    <row r="449">
      <c r="C449" s="79"/>
      <c r="D449" s="79"/>
      <c r="J449" s="79"/>
      <c r="N449" s="79"/>
      <c r="Q449" s="79"/>
      <c r="V449" s="106"/>
    </row>
    <row r="450">
      <c r="C450" s="79"/>
      <c r="D450" s="79"/>
      <c r="J450" s="79"/>
      <c r="N450" s="79"/>
      <c r="Q450" s="79"/>
      <c r="V450" s="106"/>
    </row>
    <row r="451">
      <c r="C451" s="79"/>
      <c r="D451" s="79"/>
      <c r="J451" s="79"/>
      <c r="N451" s="79"/>
      <c r="Q451" s="79"/>
      <c r="V451" s="106"/>
    </row>
    <row r="452">
      <c r="C452" s="79"/>
      <c r="D452" s="79"/>
      <c r="J452" s="79"/>
      <c r="N452" s="79"/>
      <c r="Q452" s="79"/>
      <c r="V452" s="106"/>
    </row>
    <row r="453">
      <c r="C453" s="79"/>
      <c r="D453" s="79"/>
      <c r="J453" s="79"/>
      <c r="N453" s="79"/>
      <c r="Q453" s="79"/>
      <c r="V453" s="106"/>
    </row>
    <row r="454">
      <c r="C454" s="79"/>
      <c r="D454" s="79"/>
      <c r="J454" s="79"/>
      <c r="N454" s="79"/>
      <c r="Q454" s="79"/>
      <c r="V454" s="106"/>
    </row>
    <row r="455">
      <c r="C455" s="79"/>
      <c r="D455" s="79"/>
      <c r="J455" s="79"/>
      <c r="N455" s="79"/>
      <c r="Q455" s="79"/>
      <c r="V455" s="106"/>
    </row>
    <row r="456">
      <c r="C456" s="79"/>
      <c r="D456" s="79"/>
      <c r="J456" s="79"/>
      <c r="N456" s="79"/>
      <c r="Q456" s="79"/>
      <c r="V456" s="106"/>
    </row>
    <row r="457">
      <c r="C457" s="79"/>
      <c r="D457" s="79"/>
      <c r="J457" s="79"/>
      <c r="N457" s="79"/>
      <c r="Q457" s="79"/>
      <c r="V457" s="106"/>
    </row>
    <row r="458">
      <c r="C458" s="79"/>
      <c r="D458" s="79"/>
      <c r="J458" s="79"/>
      <c r="N458" s="79"/>
      <c r="Q458" s="79"/>
      <c r="V458" s="106"/>
    </row>
    <row r="459">
      <c r="C459" s="79"/>
      <c r="D459" s="79"/>
      <c r="J459" s="79"/>
      <c r="N459" s="79"/>
      <c r="Q459" s="79"/>
      <c r="V459" s="106"/>
    </row>
    <row r="460">
      <c r="C460" s="79"/>
      <c r="D460" s="79"/>
      <c r="J460" s="79"/>
      <c r="N460" s="79"/>
      <c r="Q460" s="79"/>
      <c r="V460" s="106"/>
    </row>
    <row r="461">
      <c r="C461" s="79"/>
      <c r="D461" s="79"/>
      <c r="J461" s="79"/>
      <c r="N461" s="79"/>
      <c r="Q461" s="79"/>
      <c r="V461" s="106"/>
    </row>
    <row r="462">
      <c r="C462" s="79"/>
      <c r="D462" s="79"/>
      <c r="J462" s="79"/>
      <c r="N462" s="79"/>
      <c r="Q462" s="79"/>
      <c r="V462" s="106"/>
    </row>
    <row r="463">
      <c r="C463" s="79"/>
      <c r="D463" s="79"/>
      <c r="J463" s="79"/>
      <c r="N463" s="79"/>
      <c r="Q463" s="79"/>
      <c r="V463" s="106"/>
    </row>
    <row r="464">
      <c r="C464" s="79"/>
      <c r="D464" s="79"/>
      <c r="J464" s="79"/>
      <c r="N464" s="79"/>
      <c r="Q464" s="79"/>
      <c r="V464" s="106"/>
    </row>
    <row r="465">
      <c r="C465" s="79"/>
      <c r="D465" s="79"/>
      <c r="J465" s="79"/>
      <c r="N465" s="79"/>
      <c r="Q465" s="79"/>
      <c r="V465" s="106"/>
    </row>
    <row r="466">
      <c r="C466" s="79"/>
      <c r="D466" s="79"/>
      <c r="J466" s="79"/>
      <c r="N466" s="79"/>
      <c r="Q466" s="79"/>
      <c r="V466" s="106"/>
    </row>
    <row r="467">
      <c r="C467" s="79"/>
      <c r="D467" s="79"/>
      <c r="J467" s="79"/>
      <c r="N467" s="79"/>
      <c r="Q467" s="79"/>
      <c r="V467" s="106"/>
    </row>
    <row r="468">
      <c r="C468" s="79"/>
      <c r="D468" s="79"/>
      <c r="J468" s="79"/>
      <c r="N468" s="79"/>
      <c r="Q468" s="79"/>
      <c r="V468" s="106"/>
    </row>
    <row r="469">
      <c r="C469" s="79"/>
      <c r="D469" s="79"/>
      <c r="J469" s="79"/>
      <c r="N469" s="79"/>
      <c r="Q469" s="79"/>
      <c r="V469" s="106"/>
    </row>
    <row r="470">
      <c r="C470" s="79"/>
      <c r="D470" s="79"/>
      <c r="J470" s="79"/>
      <c r="N470" s="79"/>
      <c r="Q470" s="79"/>
      <c r="V470" s="106"/>
    </row>
    <row r="471">
      <c r="C471" s="79"/>
      <c r="D471" s="79"/>
      <c r="J471" s="79"/>
      <c r="N471" s="79"/>
      <c r="Q471" s="79"/>
      <c r="V471" s="106"/>
    </row>
    <row r="472">
      <c r="C472" s="79"/>
      <c r="D472" s="79"/>
      <c r="J472" s="79"/>
      <c r="N472" s="79"/>
      <c r="Q472" s="79"/>
      <c r="V472" s="106"/>
    </row>
    <row r="473">
      <c r="C473" s="79"/>
      <c r="D473" s="79"/>
      <c r="J473" s="79"/>
      <c r="N473" s="79"/>
      <c r="Q473" s="79"/>
      <c r="V473" s="106"/>
    </row>
    <row r="474">
      <c r="C474" s="79"/>
      <c r="D474" s="79"/>
      <c r="J474" s="79"/>
      <c r="N474" s="79"/>
      <c r="Q474" s="79"/>
      <c r="V474" s="106"/>
    </row>
    <row r="475">
      <c r="C475" s="79"/>
      <c r="D475" s="79"/>
      <c r="J475" s="79"/>
      <c r="N475" s="79"/>
      <c r="Q475" s="79"/>
      <c r="V475" s="106"/>
    </row>
    <row r="476">
      <c r="C476" s="79"/>
      <c r="D476" s="79"/>
      <c r="J476" s="79"/>
      <c r="N476" s="79"/>
      <c r="Q476" s="79"/>
      <c r="V476" s="106"/>
    </row>
    <row r="477">
      <c r="C477" s="79"/>
      <c r="D477" s="79"/>
      <c r="J477" s="79"/>
      <c r="N477" s="79"/>
      <c r="Q477" s="79"/>
      <c r="V477" s="106"/>
    </row>
    <row r="478">
      <c r="C478" s="79"/>
      <c r="D478" s="79"/>
      <c r="J478" s="79"/>
      <c r="N478" s="79"/>
      <c r="Q478" s="79"/>
      <c r="V478" s="106"/>
    </row>
    <row r="479">
      <c r="C479" s="79"/>
      <c r="D479" s="79"/>
      <c r="J479" s="79"/>
      <c r="N479" s="79"/>
      <c r="Q479" s="79"/>
      <c r="V479" s="106"/>
    </row>
    <row r="480">
      <c r="C480" s="79"/>
      <c r="D480" s="79"/>
      <c r="J480" s="79"/>
      <c r="N480" s="79"/>
      <c r="Q480" s="79"/>
      <c r="V480" s="106"/>
    </row>
    <row r="481">
      <c r="C481" s="79"/>
      <c r="D481" s="79"/>
      <c r="J481" s="79"/>
      <c r="N481" s="79"/>
      <c r="Q481" s="79"/>
      <c r="V481" s="106"/>
    </row>
    <row r="482">
      <c r="C482" s="79"/>
      <c r="D482" s="79"/>
      <c r="J482" s="79"/>
      <c r="N482" s="79"/>
      <c r="Q482" s="79"/>
      <c r="V482" s="106"/>
    </row>
    <row r="483">
      <c r="C483" s="79"/>
      <c r="D483" s="79"/>
      <c r="J483" s="79"/>
      <c r="N483" s="79"/>
      <c r="Q483" s="79"/>
      <c r="V483" s="106"/>
    </row>
    <row r="484">
      <c r="C484" s="79"/>
      <c r="D484" s="79"/>
      <c r="J484" s="79"/>
      <c r="N484" s="79"/>
      <c r="Q484" s="79"/>
      <c r="V484" s="106"/>
    </row>
    <row r="485">
      <c r="C485" s="79"/>
      <c r="D485" s="79"/>
      <c r="J485" s="79"/>
      <c r="N485" s="79"/>
      <c r="Q485" s="79"/>
      <c r="V485" s="106"/>
    </row>
    <row r="486">
      <c r="C486" s="79"/>
      <c r="D486" s="79"/>
      <c r="J486" s="79"/>
      <c r="N486" s="79"/>
      <c r="Q486" s="79"/>
      <c r="V486" s="106"/>
    </row>
    <row r="487">
      <c r="C487" s="79"/>
      <c r="D487" s="79"/>
      <c r="J487" s="79"/>
      <c r="N487" s="79"/>
      <c r="Q487" s="79"/>
      <c r="V487" s="106"/>
    </row>
    <row r="488">
      <c r="C488" s="79"/>
      <c r="D488" s="79"/>
      <c r="J488" s="79"/>
      <c r="N488" s="79"/>
      <c r="Q488" s="79"/>
      <c r="V488" s="106"/>
    </row>
    <row r="489">
      <c r="C489" s="79"/>
      <c r="D489" s="79"/>
      <c r="J489" s="79"/>
      <c r="N489" s="79"/>
      <c r="Q489" s="79"/>
      <c r="V489" s="106"/>
    </row>
    <row r="490">
      <c r="C490" s="79"/>
      <c r="D490" s="79"/>
      <c r="J490" s="79"/>
      <c r="N490" s="79"/>
      <c r="Q490" s="79"/>
      <c r="V490" s="106"/>
    </row>
    <row r="491">
      <c r="C491" s="79"/>
      <c r="D491" s="79"/>
      <c r="J491" s="79"/>
      <c r="N491" s="79"/>
      <c r="Q491" s="79"/>
      <c r="V491" s="106"/>
    </row>
    <row r="492">
      <c r="C492" s="79"/>
      <c r="D492" s="79"/>
      <c r="J492" s="79"/>
      <c r="N492" s="79"/>
      <c r="Q492" s="79"/>
      <c r="V492" s="106"/>
    </row>
    <row r="493">
      <c r="C493" s="79"/>
      <c r="D493" s="79"/>
      <c r="J493" s="79"/>
      <c r="N493" s="79"/>
      <c r="Q493" s="79"/>
      <c r="V493" s="106"/>
    </row>
    <row r="494">
      <c r="C494" s="79"/>
      <c r="D494" s="79"/>
      <c r="J494" s="79"/>
      <c r="N494" s="79"/>
      <c r="Q494" s="79"/>
      <c r="V494" s="106"/>
    </row>
    <row r="495">
      <c r="C495" s="79"/>
      <c r="D495" s="79"/>
      <c r="J495" s="79"/>
      <c r="N495" s="79"/>
      <c r="Q495" s="79"/>
      <c r="V495" s="106"/>
    </row>
    <row r="496">
      <c r="C496" s="79"/>
      <c r="D496" s="79"/>
      <c r="J496" s="79"/>
      <c r="N496" s="79"/>
      <c r="Q496" s="79"/>
      <c r="V496" s="106"/>
    </row>
    <row r="497">
      <c r="C497" s="79"/>
      <c r="D497" s="79"/>
      <c r="J497" s="79"/>
      <c r="N497" s="79"/>
      <c r="Q497" s="79"/>
      <c r="V497" s="106"/>
    </row>
    <row r="498">
      <c r="C498" s="79"/>
      <c r="D498" s="79"/>
      <c r="J498" s="79"/>
      <c r="N498" s="79"/>
      <c r="Q498" s="79"/>
      <c r="V498" s="106"/>
    </row>
    <row r="499">
      <c r="C499" s="79"/>
      <c r="D499" s="79"/>
      <c r="J499" s="79"/>
      <c r="N499" s="79"/>
      <c r="Q499" s="79"/>
      <c r="V499" s="106"/>
    </row>
    <row r="500">
      <c r="C500" s="79"/>
      <c r="D500" s="79"/>
      <c r="J500" s="79"/>
      <c r="N500" s="79"/>
      <c r="Q500" s="79"/>
      <c r="V500" s="106"/>
    </row>
    <row r="501">
      <c r="C501" s="79"/>
      <c r="D501" s="79"/>
      <c r="J501" s="79"/>
      <c r="N501" s="79"/>
      <c r="Q501" s="79"/>
      <c r="V501" s="106"/>
    </row>
    <row r="502">
      <c r="C502" s="79"/>
      <c r="D502" s="79"/>
      <c r="J502" s="79"/>
      <c r="N502" s="79"/>
      <c r="Q502" s="79"/>
      <c r="V502" s="106"/>
    </row>
    <row r="503">
      <c r="C503" s="79"/>
      <c r="D503" s="79"/>
      <c r="J503" s="79"/>
      <c r="N503" s="79"/>
      <c r="Q503" s="79"/>
      <c r="V503" s="106"/>
    </row>
    <row r="504">
      <c r="C504" s="79"/>
      <c r="D504" s="79"/>
      <c r="J504" s="79"/>
      <c r="N504" s="79"/>
      <c r="Q504" s="79"/>
      <c r="V504" s="106"/>
    </row>
    <row r="505">
      <c r="C505" s="79"/>
      <c r="D505" s="79"/>
      <c r="J505" s="79"/>
      <c r="N505" s="79"/>
      <c r="Q505" s="79"/>
      <c r="V505" s="106"/>
    </row>
    <row r="506">
      <c r="C506" s="79"/>
      <c r="D506" s="79"/>
      <c r="J506" s="79"/>
      <c r="N506" s="79"/>
      <c r="Q506" s="79"/>
      <c r="V506" s="106"/>
    </row>
    <row r="507">
      <c r="C507" s="79"/>
      <c r="D507" s="79"/>
      <c r="J507" s="79"/>
      <c r="N507" s="79"/>
      <c r="Q507" s="79"/>
      <c r="V507" s="106"/>
    </row>
    <row r="508">
      <c r="C508" s="79"/>
      <c r="D508" s="79"/>
      <c r="J508" s="79"/>
      <c r="N508" s="79"/>
      <c r="Q508" s="79"/>
      <c r="V508" s="106"/>
    </row>
    <row r="509">
      <c r="C509" s="79"/>
      <c r="D509" s="79"/>
      <c r="J509" s="79"/>
      <c r="N509" s="79"/>
      <c r="Q509" s="79"/>
      <c r="V509" s="106"/>
    </row>
    <row r="510">
      <c r="C510" s="79"/>
      <c r="D510" s="79"/>
      <c r="J510" s="79"/>
      <c r="N510" s="79"/>
      <c r="Q510" s="79"/>
      <c r="V510" s="106"/>
    </row>
    <row r="511">
      <c r="C511" s="79"/>
      <c r="D511" s="79"/>
      <c r="J511" s="79"/>
      <c r="N511" s="79"/>
      <c r="Q511" s="79"/>
      <c r="V511" s="106"/>
    </row>
    <row r="512">
      <c r="C512" s="79"/>
      <c r="D512" s="79"/>
      <c r="J512" s="79"/>
      <c r="N512" s="79"/>
      <c r="Q512" s="79"/>
      <c r="V512" s="106"/>
    </row>
    <row r="513">
      <c r="C513" s="79"/>
      <c r="D513" s="79"/>
      <c r="J513" s="79"/>
      <c r="N513" s="79"/>
      <c r="Q513" s="79"/>
      <c r="V513" s="106"/>
    </row>
    <row r="514">
      <c r="C514" s="79"/>
      <c r="D514" s="79"/>
      <c r="J514" s="79"/>
      <c r="N514" s="79"/>
      <c r="Q514" s="79"/>
      <c r="V514" s="106"/>
    </row>
    <row r="515">
      <c r="C515" s="79"/>
      <c r="D515" s="79"/>
      <c r="J515" s="79"/>
      <c r="N515" s="79"/>
      <c r="Q515" s="79"/>
      <c r="V515" s="106"/>
    </row>
    <row r="516">
      <c r="C516" s="79"/>
      <c r="D516" s="79"/>
      <c r="J516" s="79"/>
      <c r="N516" s="79"/>
      <c r="Q516" s="79"/>
      <c r="V516" s="106"/>
    </row>
    <row r="517">
      <c r="C517" s="79"/>
      <c r="D517" s="79"/>
      <c r="J517" s="79"/>
      <c r="N517" s="79"/>
      <c r="Q517" s="79"/>
      <c r="V517" s="106"/>
    </row>
    <row r="518">
      <c r="C518" s="79"/>
      <c r="D518" s="79"/>
      <c r="J518" s="79"/>
      <c r="N518" s="79"/>
      <c r="Q518" s="79"/>
      <c r="V518" s="106"/>
    </row>
    <row r="519">
      <c r="C519" s="79"/>
      <c r="D519" s="79"/>
      <c r="J519" s="79"/>
      <c r="N519" s="79"/>
      <c r="Q519" s="79"/>
      <c r="V519" s="106"/>
    </row>
    <row r="520">
      <c r="C520" s="79"/>
      <c r="D520" s="79"/>
      <c r="J520" s="79"/>
      <c r="N520" s="79"/>
      <c r="Q520" s="79"/>
      <c r="V520" s="106"/>
    </row>
    <row r="521">
      <c r="C521" s="79"/>
      <c r="D521" s="79"/>
      <c r="J521" s="79"/>
      <c r="N521" s="79"/>
      <c r="Q521" s="79"/>
      <c r="V521" s="106"/>
    </row>
    <row r="522">
      <c r="C522" s="79"/>
      <c r="D522" s="79"/>
      <c r="J522" s="79"/>
      <c r="N522" s="79"/>
      <c r="Q522" s="79"/>
      <c r="V522" s="106"/>
    </row>
    <row r="523">
      <c r="C523" s="79"/>
      <c r="D523" s="79"/>
      <c r="J523" s="79"/>
      <c r="N523" s="79"/>
      <c r="Q523" s="79"/>
      <c r="V523" s="106"/>
    </row>
    <row r="524">
      <c r="C524" s="79"/>
      <c r="D524" s="79"/>
      <c r="J524" s="79"/>
      <c r="N524" s="79"/>
      <c r="Q524" s="79"/>
      <c r="V524" s="106"/>
    </row>
    <row r="525">
      <c r="C525" s="79"/>
      <c r="D525" s="79"/>
      <c r="J525" s="79"/>
      <c r="N525" s="79"/>
      <c r="Q525" s="79"/>
      <c r="V525" s="106"/>
    </row>
    <row r="526">
      <c r="C526" s="79"/>
      <c r="D526" s="79"/>
      <c r="J526" s="79"/>
      <c r="N526" s="79"/>
      <c r="Q526" s="79"/>
      <c r="V526" s="106"/>
    </row>
    <row r="527">
      <c r="C527" s="79"/>
      <c r="D527" s="79"/>
      <c r="J527" s="79"/>
      <c r="N527" s="79"/>
      <c r="Q527" s="79"/>
      <c r="V527" s="106"/>
    </row>
    <row r="528">
      <c r="C528" s="79"/>
      <c r="D528" s="79"/>
      <c r="J528" s="79"/>
      <c r="N528" s="79"/>
      <c r="Q528" s="79"/>
      <c r="V528" s="106"/>
    </row>
    <row r="529">
      <c r="C529" s="79"/>
      <c r="D529" s="79"/>
      <c r="J529" s="79"/>
      <c r="N529" s="79"/>
      <c r="Q529" s="79"/>
      <c r="V529" s="106"/>
    </row>
    <row r="530">
      <c r="C530" s="79"/>
      <c r="D530" s="79"/>
      <c r="J530" s="79"/>
      <c r="N530" s="79"/>
      <c r="Q530" s="79"/>
      <c r="V530" s="106"/>
    </row>
    <row r="531">
      <c r="C531" s="79"/>
      <c r="D531" s="79"/>
      <c r="J531" s="79"/>
      <c r="N531" s="79"/>
      <c r="Q531" s="79"/>
      <c r="V531" s="106"/>
    </row>
    <row r="532">
      <c r="C532" s="79"/>
      <c r="D532" s="79"/>
      <c r="J532" s="79"/>
      <c r="N532" s="79"/>
      <c r="Q532" s="79"/>
      <c r="V532" s="106"/>
    </row>
    <row r="533">
      <c r="C533" s="79"/>
      <c r="D533" s="79"/>
      <c r="J533" s="79"/>
      <c r="N533" s="79"/>
      <c r="Q533" s="79"/>
      <c r="V533" s="106"/>
    </row>
    <row r="534">
      <c r="C534" s="79"/>
      <c r="D534" s="79"/>
      <c r="J534" s="79"/>
      <c r="N534" s="79"/>
      <c r="Q534" s="79"/>
      <c r="V534" s="106"/>
    </row>
    <row r="535">
      <c r="C535" s="79"/>
      <c r="D535" s="79"/>
      <c r="J535" s="79"/>
      <c r="N535" s="79"/>
      <c r="Q535" s="79"/>
      <c r="V535" s="106"/>
    </row>
    <row r="536">
      <c r="C536" s="79"/>
      <c r="D536" s="79"/>
      <c r="J536" s="79"/>
      <c r="N536" s="79"/>
      <c r="Q536" s="79"/>
      <c r="V536" s="106"/>
    </row>
    <row r="537">
      <c r="C537" s="79"/>
      <c r="D537" s="79"/>
      <c r="J537" s="79"/>
      <c r="N537" s="79"/>
      <c r="Q537" s="79"/>
      <c r="V537" s="106"/>
    </row>
    <row r="538">
      <c r="C538" s="79"/>
      <c r="D538" s="79"/>
      <c r="J538" s="79"/>
      <c r="N538" s="79"/>
      <c r="Q538" s="79"/>
      <c r="V538" s="106"/>
    </row>
    <row r="539">
      <c r="C539" s="79"/>
      <c r="D539" s="79"/>
      <c r="J539" s="79"/>
      <c r="N539" s="79"/>
      <c r="Q539" s="79"/>
      <c r="V539" s="106"/>
    </row>
    <row r="540">
      <c r="C540" s="79"/>
      <c r="D540" s="79"/>
      <c r="J540" s="79"/>
      <c r="N540" s="79"/>
      <c r="Q540" s="79"/>
      <c r="V540" s="106"/>
    </row>
    <row r="541">
      <c r="C541" s="79"/>
      <c r="D541" s="79"/>
      <c r="J541" s="79"/>
      <c r="N541" s="79"/>
      <c r="Q541" s="79"/>
      <c r="V541" s="106"/>
    </row>
    <row r="542">
      <c r="C542" s="79"/>
      <c r="D542" s="79"/>
      <c r="J542" s="79"/>
      <c r="N542" s="79"/>
      <c r="Q542" s="79"/>
      <c r="V542" s="106"/>
    </row>
    <row r="543">
      <c r="C543" s="79"/>
      <c r="D543" s="79"/>
      <c r="J543" s="79"/>
      <c r="N543" s="79"/>
      <c r="Q543" s="79"/>
      <c r="V543" s="106"/>
    </row>
    <row r="544">
      <c r="C544" s="79"/>
      <c r="D544" s="79"/>
      <c r="J544" s="79"/>
      <c r="N544" s="79"/>
      <c r="Q544" s="79"/>
      <c r="V544" s="106"/>
    </row>
    <row r="545">
      <c r="C545" s="79"/>
      <c r="D545" s="79"/>
      <c r="J545" s="79"/>
      <c r="N545" s="79"/>
      <c r="Q545" s="79"/>
      <c r="V545" s="106"/>
    </row>
    <row r="546">
      <c r="C546" s="79"/>
      <c r="D546" s="79"/>
      <c r="J546" s="79"/>
      <c r="N546" s="79"/>
      <c r="Q546" s="79"/>
      <c r="V546" s="106"/>
    </row>
    <row r="547">
      <c r="C547" s="79"/>
      <c r="D547" s="79"/>
      <c r="J547" s="79"/>
      <c r="N547" s="79"/>
      <c r="Q547" s="79"/>
      <c r="V547" s="106"/>
    </row>
    <row r="548">
      <c r="C548" s="79"/>
      <c r="D548" s="79"/>
      <c r="J548" s="79"/>
      <c r="N548" s="79"/>
      <c r="Q548" s="79"/>
      <c r="V548" s="106"/>
    </row>
    <row r="549">
      <c r="C549" s="79"/>
      <c r="D549" s="79"/>
      <c r="J549" s="79"/>
      <c r="N549" s="79"/>
      <c r="Q549" s="79"/>
      <c r="V549" s="106"/>
    </row>
    <row r="550">
      <c r="C550" s="79"/>
      <c r="D550" s="79"/>
      <c r="J550" s="79"/>
      <c r="N550" s="79"/>
      <c r="Q550" s="79"/>
      <c r="V550" s="106"/>
    </row>
    <row r="551">
      <c r="C551" s="79"/>
      <c r="D551" s="79"/>
      <c r="J551" s="79"/>
      <c r="N551" s="79"/>
      <c r="Q551" s="79"/>
      <c r="V551" s="106"/>
    </row>
    <row r="552">
      <c r="C552" s="79"/>
      <c r="D552" s="79"/>
      <c r="J552" s="79"/>
      <c r="N552" s="79"/>
      <c r="Q552" s="79"/>
      <c r="V552" s="106"/>
    </row>
    <row r="553">
      <c r="C553" s="79"/>
      <c r="D553" s="79"/>
      <c r="J553" s="79"/>
      <c r="N553" s="79"/>
      <c r="Q553" s="79"/>
      <c r="V553" s="106"/>
    </row>
    <row r="554">
      <c r="C554" s="79"/>
      <c r="D554" s="79"/>
      <c r="J554" s="79"/>
      <c r="N554" s="79"/>
      <c r="Q554" s="79"/>
      <c r="V554" s="106"/>
    </row>
    <row r="555">
      <c r="C555" s="79"/>
      <c r="D555" s="79"/>
      <c r="J555" s="79"/>
      <c r="N555" s="79"/>
      <c r="Q555" s="79"/>
      <c r="V555" s="106"/>
    </row>
    <row r="556">
      <c r="C556" s="79"/>
      <c r="D556" s="79"/>
      <c r="J556" s="79"/>
      <c r="N556" s="79"/>
      <c r="Q556" s="79"/>
      <c r="V556" s="106"/>
    </row>
    <row r="557">
      <c r="C557" s="79"/>
      <c r="D557" s="79"/>
      <c r="J557" s="79"/>
      <c r="N557" s="79"/>
      <c r="Q557" s="79"/>
      <c r="V557" s="106"/>
    </row>
    <row r="558">
      <c r="C558" s="79"/>
      <c r="D558" s="79"/>
      <c r="J558" s="79"/>
      <c r="N558" s="79"/>
      <c r="Q558" s="79"/>
      <c r="V558" s="106"/>
    </row>
    <row r="559">
      <c r="C559" s="79"/>
      <c r="D559" s="79"/>
      <c r="J559" s="79"/>
      <c r="N559" s="79"/>
      <c r="Q559" s="79"/>
      <c r="V559" s="106"/>
    </row>
    <row r="560">
      <c r="C560" s="79"/>
      <c r="D560" s="79"/>
      <c r="J560" s="79"/>
      <c r="N560" s="79"/>
      <c r="Q560" s="79"/>
      <c r="V560" s="106"/>
    </row>
    <row r="561">
      <c r="C561" s="79"/>
      <c r="D561" s="79"/>
      <c r="J561" s="79"/>
      <c r="N561" s="79"/>
      <c r="Q561" s="79"/>
      <c r="V561" s="106"/>
    </row>
    <row r="562">
      <c r="C562" s="79"/>
      <c r="D562" s="79"/>
      <c r="J562" s="79"/>
      <c r="N562" s="79"/>
      <c r="Q562" s="79"/>
      <c r="V562" s="106"/>
    </row>
    <row r="563">
      <c r="C563" s="79"/>
      <c r="D563" s="79"/>
      <c r="J563" s="79"/>
      <c r="N563" s="79"/>
      <c r="Q563" s="79"/>
      <c r="V563" s="106"/>
    </row>
    <row r="564">
      <c r="C564" s="79"/>
      <c r="D564" s="79"/>
      <c r="J564" s="79"/>
      <c r="N564" s="79"/>
      <c r="Q564" s="79"/>
      <c r="V564" s="106"/>
    </row>
    <row r="565">
      <c r="C565" s="79"/>
      <c r="D565" s="79"/>
      <c r="J565" s="79"/>
      <c r="N565" s="79"/>
      <c r="Q565" s="79"/>
      <c r="V565" s="106"/>
    </row>
    <row r="566">
      <c r="C566" s="79"/>
      <c r="D566" s="79"/>
      <c r="J566" s="79"/>
      <c r="N566" s="79"/>
      <c r="Q566" s="79"/>
      <c r="V566" s="106"/>
    </row>
    <row r="567">
      <c r="C567" s="79"/>
      <c r="D567" s="79"/>
      <c r="J567" s="79"/>
      <c r="N567" s="79"/>
      <c r="Q567" s="79"/>
      <c r="V567" s="106"/>
    </row>
    <row r="568">
      <c r="C568" s="79"/>
      <c r="D568" s="79"/>
      <c r="J568" s="79"/>
      <c r="N568" s="79"/>
      <c r="Q568" s="79"/>
      <c r="V568" s="106"/>
    </row>
    <row r="569">
      <c r="C569" s="79"/>
      <c r="D569" s="79"/>
      <c r="J569" s="79"/>
      <c r="N569" s="79"/>
      <c r="Q569" s="79"/>
      <c r="V569" s="106"/>
    </row>
    <row r="570">
      <c r="C570" s="79"/>
      <c r="D570" s="79"/>
      <c r="J570" s="79"/>
      <c r="N570" s="79"/>
      <c r="Q570" s="79"/>
      <c r="V570" s="106"/>
    </row>
    <row r="571">
      <c r="C571" s="79"/>
      <c r="D571" s="79"/>
      <c r="J571" s="79"/>
      <c r="N571" s="79"/>
      <c r="Q571" s="79"/>
      <c r="V571" s="106"/>
    </row>
    <row r="572">
      <c r="C572" s="79"/>
      <c r="D572" s="79"/>
      <c r="J572" s="79"/>
      <c r="N572" s="79"/>
      <c r="Q572" s="79"/>
      <c r="V572" s="106"/>
    </row>
    <row r="573">
      <c r="C573" s="79"/>
      <c r="D573" s="79"/>
      <c r="J573" s="79"/>
      <c r="N573" s="79"/>
      <c r="Q573" s="79"/>
      <c r="V573" s="106"/>
    </row>
    <row r="574">
      <c r="C574" s="79"/>
      <c r="D574" s="79"/>
      <c r="J574" s="79"/>
      <c r="N574" s="79"/>
      <c r="Q574" s="79"/>
      <c r="V574" s="106"/>
    </row>
    <row r="575">
      <c r="C575" s="79"/>
      <c r="D575" s="79"/>
      <c r="J575" s="79"/>
      <c r="N575" s="79"/>
      <c r="Q575" s="79"/>
      <c r="V575" s="106"/>
    </row>
    <row r="576">
      <c r="C576" s="79"/>
      <c r="D576" s="79"/>
      <c r="J576" s="79"/>
      <c r="N576" s="79"/>
      <c r="Q576" s="79"/>
      <c r="V576" s="106"/>
    </row>
    <row r="577">
      <c r="C577" s="79"/>
      <c r="D577" s="79"/>
      <c r="J577" s="79"/>
      <c r="N577" s="79"/>
      <c r="Q577" s="79"/>
      <c r="V577" s="106"/>
    </row>
    <row r="578">
      <c r="C578" s="79"/>
      <c r="D578" s="79"/>
      <c r="J578" s="79"/>
      <c r="N578" s="79"/>
      <c r="Q578" s="79"/>
      <c r="V578" s="106"/>
    </row>
    <row r="579">
      <c r="C579" s="79"/>
      <c r="D579" s="79"/>
      <c r="J579" s="79"/>
      <c r="N579" s="79"/>
      <c r="Q579" s="79"/>
      <c r="V579" s="106"/>
    </row>
    <row r="580">
      <c r="C580" s="79"/>
      <c r="D580" s="79"/>
      <c r="J580" s="79"/>
      <c r="N580" s="79"/>
      <c r="Q580" s="79"/>
      <c r="V580" s="106"/>
    </row>
    <row r="581">
      <c r="C581" s="79"/>
      <c r="D581" s="79"/>
      <c r="J581" s="79"/>
      <c r="N581" s="79"/>
      <c r="Q581" s="79"/>
      <c r="V581" s="106"/>
    </row>
    <row r="582">
      <c r="C582" s="79"/>
      <c r="D582" s="79"/>
      <c r="J582" s="79"/>
      <c r="N582" s="79"/>
      <c r="Q582" s="79"/>
      <c r="V582" s="106"/>
    </row>
    <row r="583">
      <c r="C583" s="79"/>
      <c r="D583" s="79"/>
      <c r="J583" s="79"/>
      <c r="N583" s="79"/>
      <c r="Q583" s="79"/>
      <c r="V583" s="106"/>
    </row>
    <row r="584">
      <c r="C584" s="79"/>
      <c r="D584" s="79"/>
      <c r="J584" s="79"/>
      <c r="N584" s="79"/>
      <c r="Q584" s="79"/>
      <c r="V584" s="106"/>
    </row>
    <row r="585">
      <c r="C585" s="79"/>
      <c r="D585" s="79"/>
      <c r="J585" s="79"/>
      <c r="N585" s="79"/>
      <c r="Q585" s="79"/>
      <c r="V585" s="106"/>
    </row>
    <row r="586">
      <c r="C586" s="79"/>
      <c r="D586" s="79"/>
      <c r="J586" s="79"/>
      <c r="N586" s="79"/>
      <c r="Q586" s="79"/>
      <c r="V586" s="106"/>
    </row>
    <row r="587">
      <c r="C587" s="79"/>
      <c r="D587" s="79"/>
      <c r="J587" s="79"/>
      <c r="N587" s="79"/>
      <c r="Q587" s="79"/>
      <c r="V587" s="106"/>
    </row>
    <row r="588">
      <c r="C588" s="79"/>
      <c r="D588" s="79"/>
      <c r="J588" s="79"/>
      <c r="N588" s="79"/>
      <c r="Q588" s="79"/>
      <c r="V588" s="106"/>
    </row>
    <row r="589">
      <c r="C589" s="79"/>
      <c r="D589" s="79"/>
      <c r="J589" s="79"/>
      <c r="N589" s="79"/>
      <c r="Q589" s="79"/>
      <c r="V589" s="106"/>
    </row>
    <row r="590">
      <c r="C590" s="79"/>
      <c r="D590" s="79"/>
      <c r="J590" s="79"/>
      <c r="N590" s="79"/>
      <c r="Q590" s="79"/>
      <c r="V590" s="106"/>
    </row>
    <row r="591">
      <c r="C591" s="79"/>
      <c r="D591" s="79"/>
      <c r="J591" s="79"/>
      <c r="N591" s="79"/>
      <c r="Q591" s="79"/>
      <c r="V591" s="106"/>
    </row>
    <row r="592">
      <c r="C592" s="79"/>
      <c r="D592" s="79"/>
      <c r="J592" s="79"/>
      <c r="N592" s="79"/>
      <c r="Q592" s="79"/>
      <c r="V592" s="106"/>
    </row>
    <row r="593">
      <c r="C593" s="79"/>
      <c r="D593" s="79"/>
      <c r="J593" s="79"/>
      <c r="N593" s="79"/>
      <c r="Q593" s="79"/>
      <c r="V593" s="106"/>
    </row>
    <row r="594">
      <c r="C594" s="79"/>
      <c r="D594" s="79"/>
      <c r="J594" s="79"/>
      <c r="N594" s="79"/>
      <c r="Q594" s="79"/>
      <c r="V594" s="106"/>
    </row>
    <row r="595">
      <c r="C595" s="79"/>
      <c r="D595" s="79"/>
      <c r="J595" s="79"/>
      <c r="N595" s="79"/>
      <c r="Q595" s="79"/>
      <c r="V595" s="106"/>
    </row>
    <row r="596">
      <c r="C596" s="79"/>
      <c r="D596" s="79"/>
      <c r="J596" s="79"/>
      <c r="N596" s="79"/>
      <c r="Q596" s="79"/>
      <c r="V596" s="106"/>
    </row>
    <row r="597">
      <c r="C597" s="79"/>
      <c r="D597" s="79"/>
      <c r="J597" s="79"/>
      <c r="N597" s="79"/>
      <c r="Q597" s="79"/>
      <c r="V597" s="106"/>
    </row>
    <row r="598">
      <c r="C598" s="79"/>
      <c r="D598" s="79"/>
      <c r="J598" s="79"/>
      <c r="N598" s="79"/>
      <c r="Q598" s="79"/>
      <c r="V598" s="106"/>
    </row>
    <row r="599">
      <c r="C599" s="79"/>
      <c r="D599" s="79"/>
      <c r="J599" s="79"/>
      <c r="N599" s="79"/>
      <c r="Q599" s="79"/>
      <c r="V599" s="106"/>
    </row>
    <row r="600">
      <c r="C600" s="79"/>
      <c r="D600" s="79"/>
      <c r="J600" s="79"/>
      <c r="N600" s="79"/>
      <c r="Q600" s="79"/>
      <c r="V600" s="106"/>
    </row>
    <row r="601">
      <c r="C601" s="79"/>
      <c r="D601" s="79"/>
      <c r="J601" s="79"/>
      <c r="N601" s="79"/>
      <c r="Q601" s="79"/>
      <c r="V601" s="106"/>
    </row>
    <row r="602">
      <c r="C602" s="79"/>
      <c r="D602" s="79"/>
      <c r="J602" s="79"/>
      <c r="N602" s="79"/>
      <c r="Q602" s="79"/>
      <c r="V602" s="106"/>
    </row>
    <row r="603">
      <c r="C603" s="79"/>
      <c r="D603" s="79"/>
      <c r="J603" s="79"/>
      <c r="N603" s="79"/>
      <c r="Q603" s="79"/>
      <c r="V603" s="106"/>
    </row>
    <row r="604">
      <c r="C604" s="79"/>
      <c r="D604" s="79"/>
      <c r="J604" s="79"/>
      <c r="N604" s="79"/>
      <c r="Q604" s="79"/>
      <c r="V604" s="106"/>
    </row>
    <row r="605">
      <c r="C605" s="79"/>
      <c r="D605" s="79"/>
      <c r="J605" s="79"/>
      <c r="N605" s="79"/>
      <c r="Q605" s="79"/>
      <c r="V605" s="106"/>
    </row>
    <row r="606">
      <c r="C606" s="79"/>
      <c r="D606" s="79"/>
      <c r="J606" s="79"/>
      <c r="N606" s="79"/>
      <c r="Q606" s="79"/>
      <c r="V606" s="106"/>
    </row>
    <row r="607">
      <c r="C607" s="79"/>
      <c r="D607" s="79"/>
      <c r="J607" s="79"/>
      <c r="N607" s="79"/>
      <c r="Q607" s="79"/>
      <c r="V607" s="106"/>
    </row>
    <row r="608">
      <c r="C608" s="79"/>
      <c r="D608" s="79"/>
      <c r="J608" s="79"/>
      <c r="N608" s="79"/>
      <c r="Q608" s="79"/>
      <c r="V608" s="106"/>
    </row>
    <row r="609">
      <c r="C609" s="79"/>
      <c r="D609" s="79"/>
      <c r="J609" s="79"/>
      <c r="N609" s="79"/>
      <c r="Q609" s="79"/>
      <c r="V609" s="106"/>
    </row>
    <row r="610">
      <c r="C610" s="79"/>
      <c r="D610" s="79"/>
      <c r="J610" s="79"/>
      <c r="N610" s="79"/>
      <c r="Q610" s="79"/>
      <c r="V610" s="106"/>
    </row>
    <row r="611">
      <c r="C611" s="79"/>
      <c r="D611" s="79"/>
      <c r="J611" s="79"/>
      <c r="N611" s="79"/>
      <c r="Q611" s="79"/>
      <c r="V611" s="106"/>
    </row>
    <row r="612">
      <c r="C612" s="79"/>
      <c r="D612" s="79"/>
      <c r="J612" s="79"/>
      <c r="N612" s="79"/>
      <c r="Q612" s="79"/>
      <c r="V612" s="106"/>
    </row>
    <row r="613">
      <c r="C613" s="79"/>
      <c r="D613" s="79"/>
      <c r="J613" s="79"/>
      <c r="N613" s="79"/>
      <c r="Q613" s="79"/>
      <c r="V613" s="106"/>
    </row>
    <row r="614">
      <c r="C614" s="79"/>
      <c r="D614" s="79"/>
      <c r="J614" s="79"/>
      <c r="N614" s="79"/>
      <c r="Q614" s="79"/>
      <c r="V614" s="106"/>
    </row>
    <row r="615">
      <c r="C615" s="79"/>
      <c r="D615" s="79"/>
      <c r="J615" s="79"/>
      <c r="N615" s="79"/>
      <c r="Q615" s="79"/>
      <c r="V615" s="106"/>
    </row>
    <row r="616">
      <c r="C616" s="79"/>
      <c r="D616" s="79"/>
      <c r="J616" s="79"/>
      <c r="N616" s="79"/>
      <c r="Q616" s="79"/>
      <c r="V616" s="106"/>
    </row>
    <row r="617">
      <c r="C617" s="79"/>
      <c r="D617" s="79"/>
      <c r="J617" s="79"/>
      <c r="N617" s="79"/>
      <c r="Q617" s="79"/>
      <c r="V617" s="106"/>
    </row>
    <row r="618">
      <c r="C618" s="79"/>
      <c r="D618" s="79"/>
      <c r="J618" s="79"/>
      <c r="N618" s="79"/>
      <c r="Q618" s="79"/>
      <c r="V618" s="106"/>
    </row>
    <row r="619">
      <c r="C619" s="79"/>
      <c r="D619" s="79"/>
      <c r="J619" s="79"/>
      <c r="N619" s="79"/>
      <c r="Q619" s="79"/>
      <c r="V619" s="106"/>
    </row>
    <row r="620">
      <c r="C620" s="79"/>
      <c r="D620" s="79"/>
      <c r="J620" s="79"/>
      <c r="N620" s="79"/>
      <c r="Q620" s="79"/>
      <c r="V620" s="106"/>
    </row>
    <row r="621">
      <c r="C621" s="79"/>
      <c r="D621" s="79"/>
      <c r="J621" s="79"/>
      <c r="N621" s="79"/>
      <c r="Q621" s="79"/>
      <c r="V621" s="106"/>
    </row>
    <row r="622">
      <c r="C622" s="79"/>
      <c r="D622" s="79"/>
      <c r="J622" s="79"/>
      <c r="N622" s="79"/>
      <c r="Q622" s="79"/>
      <c r="V622" s="106"/>
    </row>
    <row r="623">
      <c r="C623" s="79"/>
      <c r="D623" s="79"/>
      <c r="J623" s="79"/>
      <c r="N623" s="79"/>
      <c r="Q623" s="79"/>
      <c r="V623" s="106"/>
    </row>
    <row r="624">
      <c r="C624" s="79"/>
      <c r="D624" s="79"/>
      <c r="J624" s="79"/>
      <c r="N624" s="79"/>
      <c r="Q624" s="79"/>
      <c r="V624" s="106"/>
    </row>
    <row r="625">
      <c r="C625" s="79"/>
      <c r="D625" s="79"/>
      <c r="J625" s="79"/>
      <c r="N625" s="79"/>
      <c r="Q625" s="79"/>
      <c r="V625" s="106"/>
    </row>
    <row r="626">
      <c r="C626" s="79"/>
      <c r="D626" s="79"/>
      <c r="J626" s="79"/>
      <c r="N626" s="79"/>
      <c r="Q626" s="79"/>
      <c r="V626" s="106"/>
    </row>
    <row r="627">
      <c r="C627" s="79"/>
      <c r="D627" s="79"/>
      <c r="J627" s="79"/>
      <c r="N627" s="79"/>
      <c r="Q627" s="79"/>
      <c r="V627" s="106"/>
    </row>
    <row r="628">
      <c r="C628" s="79"/>
      <c r="D628" s="79"/>
      <c r="J628" s="79"/>
      <c r="N628" s="79"/>
      <c r="Q628" s="79"/>
      <c r="V628" s="106"/>
    </row>
    <row r="629">
      <c r="C629" s="79"/>
      <c r="D629" s="79"/>
      <c r="J629" s="79"/>
      <c r="N629" s="79"/>
      <c r="Q629" s="79"/>
      <c r="V629" s="106"/>
    </row>
    <row r="630">
      <c r="C630" s="79"/>
      <c r="D630" s="79"/>
      <c r="J630" s="79"/>
      <c r="N630" s="79"/>
      <c r="Q630" s="79"/>
      <c r="V630" s="106"/>
    </row>
    <row r="631">
      <c r="C631" s="79"/>
      <c r="D631" s="79"/>
      <c r="J631" s="79"/>
      <c r="N631" s="79"/>
      <c r="Q631" s="79"/>
      <c r="V631" s="106"/>
    </row>
    <row r="632">
      <c r="C632" s="79"/>
      <c r="D632" s="79"/>
      <c r="J632" s="79"/>
      <c r="N632" s="79"/>
      <c r="Q632" s="79"/>
      <c r="V632" s="106"/>
    </row>
    <row r="633">
      <c r="C633" s="79"/>
      <c r="D633" s="79"/>
      <c r="J633" s="79"/>
      <c r="N633" s="79"/>
      <c r="Q633" s="79"/>
      <c r="V633" s="106"/>
    </row>
    <row r="634">
      <c r="C634" s="79"/>
      <c r="D634" s="79"/>
      <c r="J634" s="79"/>
      <c r="N634" s="79"/>
      <c r="Q634" s="79"/>
      <c r="V634" s="106"/>
    </row>
    <row r="635">
      <c r="C635" s="79"/>
      <c r="D635" s="79"/>
      <c r="J635" s="79"/>
      <c r="N635" s="79"/>
      <c r="Q635" s="79"/>
      <c r="V635" s="106"/>
    </row>
    <row r="636">
      <c r="C636" s="79"/>
      <c r="D636" s="79"/>
      <c r="J636" s="79"/>
      <c r="N636" s="79"/>
      <c r="Q636" s="79"/>
      <c r="V636" s="106"/>
    </row>
    <row r="637">
      <c r="C637" s="79"/>
      <c r="D637" s="79"/>
      <c r="J637" s="79"/>
      <c r="N637" s="79"/>
      <c r="Q637" s="79"/>
      <c r="V637" s="106"/>
    </row>
    <row r="638">
      <c r="C638" s="79"/>
      <c r="D638" s="79"/>
      <c r="J638" s="79"/>
      <c r="N638" s="79"/>
      <c r="Q638" s="79"/>
      <c r="V638" s="106"/>
    </row>
    <row r="639">
      <c r="C639" s="79"/>
      <c r="D639" s="79"/>
      <c r="J639" s="79"/>
      <c r="N639" s="79"/>
      <c r="Q639" s="79"/>
      <c r="V639" s="106"/>
    </row>
    <row r="640">
      <c r="C640" s="79"/>
      <c r="D640" s="79"/>
      <c r="J640" s="79"/>
      <c r="N640" s="79"/>
      <c r="Q640" s="79"/>
      <c r="V640" s="106"/>
    </row>
    <row r="641">
      <c r="C641" s="79"/>
      <c r="D641" s="79"/>
      <c r="J641" s="79"/>
      <c r="N641" s="79"/>
      <c r="Q641" s="79"/>
      <c r="V641" s="106"/>
    </row>
    <row r="642">
      <c r="C642" s="79"/>
      <c r="D642" s="79"/>
      <c r="J642" s="79"/>
      <c r="N642" s="79"/>
      <c r="Q642" s="79"/>
      <c r="V642" s="106"/>
    </row>
    <row r="643">
      <c r="C643" s="79"/>
      <c r="D643" s="79"/>
      <c r="J643" s="79"/>
      <c r="N643" s="79"/>
      <c r="Q643" s="79"/>
      <c r="V643" s="106"/>
    </row>
    <row r="644">
      <c r="C644" s="79"/>
      <c r="D644" s="79"/>
      <c r="J644" s="79"/>
      <c r="N644" s="79"/>
      <c r="Q644" s="79"/>
      <c r="V644" s="106"/>
    </row>
    <row r="645">
      <c r="C645" s="79"/>
      <c r="D645" s="79"/>
      <c r="J645" s="79"/>
      <c r="N645" s="79"/>
      <c r="Q645" s="79"/>
      <c r="V645" s="106"/>
    </row>
    <row r="646">
      <c r="C646" s="79"/>
      <c r="D646" s="79"/>
      <c r="J646" s="79"/>
      <c r="N646" s="79"/>
      <c r="Q646" s="79"/>
      <c r="V646" s="106"/>
    </row>
    <row r="647">
      <c r="C647" s="79"/>
      <c r="D647" s="79"/>
      <c r="J647" s="79"/>
      <c r="N647" s="79"/>
      <c r="Q647" s="79"/>
      <c r="V647" s="106"/>
    </row>
    <row r="648">
      <c r="C648" s="79"/>
      <c r="D648" s="79"/>
      <c r="J648" s="79"/>
      <c r="N648" s="79"/>
      <c r="Q648" s="79"/>
      <c r="V648" s="106"/>
    </row>
    <row r="649">
      <c r="C649" s="79"/>
      <c r="D649" s="79"/>
      <c r="J649" s="79"/>
      <c r="N649" s="79"/>
      <c r="Q649" s="79"/>
      <c r="V649" s="106"/>
    </row>
    <row r="650">
      <c r="C650" s="79"/>
      <c r="D650" s="79"/>
      <c r="J650" s="79"/>
      <c r="N650" s="79"/>
      <c r="Q650" s="79"/>
      <c r="V650" s="106"/>
    </row>
    <row r="651">
      <c r="C651" s="79"/>
      <c r="D651" s="79"/>
      <c r="J651" s="79"/>
      <c r="N651" s="79"/>
      <c r="Q651" s="79"/>
      <c r="V651" s="106"/>
    </row>
    <row r="652">
      <c r="C652" s="79"/>
      <c r="D652" s="79"/>
      <c r="J652" s="79"/>
      <c r="N652" s="79"/>
      <c r="Q652" s="79"/>
      <c r="V652" s="106"/>
    </row>
    <row r="653">
      <c r="C653" s="79"/>
      <c r="D653" s="79"/>
      <c r="J653" s="79"/>
      <c r="N653" s="79"/>
      <c r="Q653" s="79"/>
      <c r="V653" s="106"/>
    </row>
    <row r="654">
      <c r="C654" s="79"/>
      <c r="D654" s="79"/>
      <c r="J654" s="79"/>
      <c r="N654" s="79"/>
      <c r="Q654" s="79"/>
      <c r="V654" s="106"/>
    </row>
    <row r="655">
      <c r="C655" s="79"/>
      <c r="D655" s="79"/>
      <c r="J655" s="79"/>
      <c r="N655" s="79"/>
      <c r="Q655" s="79"/>
      <c r="V655" s="106"/>
    </row>
    <row r="656">
      <c r="C656" s="79"/>
      <c r="D656" s="79"/>
      <c r="J656" s="79"/>
      <c r="N656" s="79"/>
      <c r="Q656" s="79"/>
      <c r="V656" s="106"/>
    </row>
    <row r="657">
      <c r="C657" s="79"/>
      <c r="D657" s="79"/>
      <c r="J657" s="79"/>
      <c r="N657" s="79"/>
      <c r="Q657" s="79"/>
      <c r="V657" s="106"/>
    </row>
    <row r="658">
      <c r="C658" s="79"/>
      <c r="D658" s="79"/>
      <c r="J658" s="79"/>
      <c r="N658" s="79"/>
      <c r="Q658" s="79"/>
      <c r="V658" s="106"/>
    </row>
    <row r="659">
      <c r="C659" s="79"/>
      <c r="D659" s="79"/>
      <c r="J659" s="79"/>
      <c r="N659" s="79"/>
      <c r="Q659" s="79"/>
      <c r="V659" s="106"/>
    </row>
    <row r="660">
      <c r="C660" s="79"/>
      <c r="D660" s="79"/>
      <c r="J660" s="79"/>
      <c r="N660" s="79"/>
      <c r="Q660" s="79"/>
      <c r="V660" s="106"/>
    </row>
    <row r="661">
      <c r="C661" s="79"/>
      <c r="D661" s="79"/>
      <c r="J661" s="79"/>
      <c r="N661" s="79"/>
      <c r="Q661" s="79"/>
      <c r="V661" s="106"/>
    </row>
    <row r="662">
      <c r="C662" s="79"/>
      <c r="D662" s="79"/>
      <c r="J662" s="79"/>
      <c r="N662" s="79"/>
      <c r="Q662" s="79"/>
      <c r="V662" s="106"/>
    </row>
    <row r="663">
      <c r="C663" s="79"/>
      <c r="D663" s="79"/>
      <c r="J663" s="79"/>
      <c r="N663" s="79"/>
      <c r="Q663" s="79"/>
      <c r="V663" s="106"/>
    </row>
    <row r="664">
      <c r="C664" s="79"/>
      <c r="D664" s="79"/>
      <c r="J664" s="79"/>
      <c r="N664" s="79"/>
      <c r="Q664" s="79"/>
      <c r="V664" s="106"/>
    </row>
    <row r="665">
      <c r="C665" s="79"/>
      <c r="D665" s="79"/>
      <c r="J665" s="79"/>
      <c r="N665" s="79"/>
      <c r="Q665" s="79"/>
      <c r="V665" s="106"/>
    </row>
    <row r="666">
      <c r="C666" s="79"/>
      <c r="D666" s="79"/>
      <c r="J666" s="79"/>
      <c r="N666" s="79"/>
      <c r="Q666" s="79"/>
      <c r="V666" s="106"/>
    </row>
    <row r="667">
      <c r="C667" s="79"/>
      <c r="D667" s="79"/>
      <c r="J667" s="79"/>
      <c r="N667" s="79"/>
      <c r="Q667" s="79"/>
      <c r="V667" s="106"/>
    </row>
    <row r="668">
      <c r="C668" s="79"/>
      <c r="D668" s="79"/>
      <c r="J668" s="79"/>
      <c r="N668" s="79"/>
      <c r="Q668" s="79"/>
      <c r="V668" s="106"/>
    </row>
    <row r="669">
      <c r="C669" s="79"/>
      <c r="D669" s="79"/>
      <c r="J669" s="79"/>
      <c r="N669" s="79"/>
      <c r="Q669" s="79"/>
      <c r="V669" s="106"/>
    </row>
    <row r="670">
      <c r="C670" s="79"/>
      <c r="D670" s="79"/>
      <c r="J670" s="79"/>
      <c r="N670" s="79"/>
      <c r="Q670" s="79"/>
      <c r="V670" s="106"/>
    </row>
    <row r="671">
      <c r="C671" s="79"/>
      <c r="D671" s="79"/>
      <c r="J671" s="79"/>
      <c r="N671" s="79"/>
      <c r="Q671" s="79"/>
      <c r="V671" s="106"/>
    </row>
    <row r="672">
      <c r="C672" s="79"/>
      <c r="D672" s="79"/>
      <c r="J672" s="79"/>
      <c r="N672" s="79"/>
      <c r="Q672" s="79"/>
      <c r="V672" s="106"/>
    </row>
    <row r="673">
      <c r="C673" s="79"/>
      <c r="D673" s="79"/>
      <c r="J673" s="79"/>
      <c r="N673" s="79"/>
      <c r="Q673" s="79"/>
      <c r="V673" s="106"/>
    </row>
    <row r="674">
      <c r="C674" s="79"/>
      <c r="D674" s="79"/>
      <c r="J674" s="79"/>
      <c r="N674" s="79"/>
      <c r="Q674" s="79"/>
      <c r="V674" s="106"/>
    </row>
    <row r="675">
      <c r="C675" s="79"/>
      <c r="D675" s="79"/>
      <c r="J675" s="79"/>
      <c r="N675" s="79"/>
      <c r="Q675" s="79"/>
      <c r="V675" s="106"/>
    </row>
    <row r="676">
      <c r="C676" s="79"/>
      <c r="D676" s="79"/>
      <c r="J676" s="79"/>
      <c r="N676" s="79"/>
      <c r="Q676" s="79"/>
      <c r="V676" s="106"/>
    </row>
    <row r="677">
      <c r="C677" s="79"/>
      <c r="D677" s="79"/>
      <c r="J677" s="79"/>
      <c r="N677" s="79"/>
      <c r="Q677" s="79"/>
      <c r="V677" s="106"/>
    </row>
    <row r="678">
      <c r="C678" s="79"/>
      <c r="D678" s="79"/>
      <c r="J678" s="79"/>
      <c r="N678" s="79"/>
      <c r="Q678" s="79"/>
      <c r="V678" s="106"/>
    </row>
    <row r="679">
      <c r="C679" s="79"/>
      <c r="D679" s="79"/>
      <c r="J679" s="79"/>
      <c r="N679" s="79"/>
      <c r="Q679" s="79"/>
      <c r="V679" s="106"/>
    </row>
    <row r="680">
      <c r="C680" s="79"/>
      <c r="D680" s="79"/>
      <c r="J680" s="79"/>
      <c r="N680" s="79"/>
      <c r="Q680" s="79"/>
      <c r="V680" s="106"/>
    </row>
    <row r="681">
      <c r="C681" s="79"/>
      <c r="D681" s="79"/>
      <c r="J681" s="79"/>
      <c r="N681" s="79"/>
      <c r="Q681" s="79"/>
      <c r="V681" s="106"/>
    </row>
    <row r="682">
      <c r="C682" s="79"/>
      <c r="D682" s="79"/>
      <c r="J682" s="79"/>
      <c r="N682" s="79"/>
      <c r="Q682" s="79"/>
      <c r="V682" s="106"/>
    </row>
    <row r="683">
      <c r="C683" s="79"/>
      <c r="D683" s="79"/>
      <c r="J683" s="79"/>
      <c r="N683" s="79"/>
      <c r="Q683" s="79"/>
      <c r="V683" s="106"/>
    </row>
    <row r="684">
      <c r="C684" s="79"/>
      <c r="D684" s="79"/>
      <c r="J684" s="79"/>
      <c r="N684" s="79"/>
      <c r="Q684" s="79"/>
      <c r="V684" s="106"/>
    </row>
    <row r="685">
      <c r="C685" s="79"/>
      <c r="D685" s="79"/>
      <c r="J685" s="79"/>
      <c r="N685" s="79"/>
      <c r="Q685" s="79"/>
      <c r="V685" s="106"/>
    </row>
    <row r="686">
      <c r="C686" s="79"/>
      <c r="D686" s="79"/>
      <c r="J686" s="79"/>
      <c r="N686" s="79"/>
      <c r="Q686" s="79"/>
      <c r="V686" s="106"/>
    </row>
    <row r="687">
      <c r="C687" s="79"/>
      <c r="D687" s="79"/>
      <c r="J687" s="79"/>
      <c r="N687" s="79"/>
      <c r="Q687" s="79"/>
      <c r="V687" s="106"/>
    </row>
    <row r="688">
      <c r="C688" s="79"/>
      <c r="D688" s="79"/>
      <c r="J688" s="79"/>
      <c r="N688" s="79"/>
      <c r="Q688" s="79"/>
      <c r="V688" s="106"/>
    </row>
    <row r="689">
      <c r="C689" s="79"/>
      <c r="D689" s="79"/>
      <c r="J689" s="79"/>
      <c r="N689" s="79"/>
      <c r="Q689" s="79"/>
      <c r="V689" s="106"/>
    </row>
    <row r="690">
      <c r="C690" s="79"/>
      <c r="D690" s="79"/>
      <c r="J690" s="79"/>
      <c r="N690" s="79"/>
      <c r="Q690" s="79"/>
      <c r="V690" s="106"/>
    </row>
    <row r="691">
      <c r="C691" s="79"/>
      <c r="D691" s="79"/>
      <c r="J691" s="79"/>
      <c r="N691" s="79"/>
      <c r="Q691" s="79"/>
      <c r="V691" s="106"/>
    </row>
    <row r="692">
      <c r="C692" s="79"/>
      <c r="D692" s="79"/>
      <c r="J692" s="79"/>
      <c r="N692" s="79"/>
      <c r="Q692" s="79"/>
      <c r="V692" s="106"/>
    </row>
    <row r="693">
      <c r="C693" s="79"/>
      <c r="D693" s="79"/>
      <c r="J693" s="79"/>
      <c r="N693" s="79"/>
      <c r="Q693" s="79"/>
      <c r="V693" s="106"/>
    </row>
    <row r="694">
      <c r="C694" s="79"/>
      <c r="D694" s="79"/>
      <c r="J694" s="79"/>
      <c r="N694" s="79"/>
      <c r="Q694" s="79"/>
      <c r="V694" s="106"/>
    </row>
    <row r="695">
      <c r="C695" s="79"/>
      <c r="D695" s="79"/>
      <c r="J695" s="79"/>
      <c r="N695" s="79"/>
      <c r="Q695" s="79"/>
      <c r="V695" s="106"/>
    </row>
    <row r="696">
      <c r="C696" s="79"/>
      <c r="D696" s="79"/>
      <c r="J696" s="79"/>
      <c r="N696" s="79"/>
      <c r="Q696" s="79"/>
      <c r="V696" s="106"/>
    </row>
    <row r="697">
      <c r="C697" s="79"/>
      <c r="D697" s="79"/>
      <c r="J697" s="79"/>
      <c r="N697" s="79"/>
      <c r="Q697" s="79"/>
      <c r="V697" s="106"/>
    </row>
    <row r="698">
      <c r="C698" s="79"/>
      <c r="D698" s="79"/>
      <c r="J698" s="79"/>
      <c r="N698" s="79"/>
      <c r="Q698" s="79"/>
      <c r="V698" s="106"/>
    </row>
    <row r="699">
      <c r="C699" s="79"/>
      <c r="D699" s="79"/>
      <c r="J699" s="79"/>
      <c r="N699" s="79"/>
      <c r="Q699" s="79"/>
      <c r="V699" s="106"/>
    </row>
    <row r="700">
      <c r="C700" s="79"/>
      <c r="D700" s="79"/>
      <c r="J700" s="79"/>
      <c r="N700" s="79"/>
      <c r="Q700" s="79"/>
      <c r="V700" s="106"/>
    </row>
    <row r="701">
      <c r="C701" s="79"/>
      <c r="D701" s="79"/>
      <c r="J701" s="79"/>
      <c r="N701" s="79"/>
      <c r="Q701" s="79"/>
      <c r="V701" s="106"/>
    </row>
    <row r="702">
      <c r="C702" s="79"/>
      <c r="D702" s="79"/>
      <c r="J702" s="79"/>
      <c r="N702" s="79"/>
      <c r="Q702" s="79"/>
      <c r="V702" s="106"/>
    </row>
    <row r="703">
      <c r="C703" s="79"/>
      <c r="D703" s="79"/>
      <c r="J703" s="79"/>
      <c r="N703" s="79"/>
      <c r="Q703" s="79"/>
      <c r="V703" s="106"/>
    </row>
    <row r="704">
      <c r="C704" s="79"/>
      <c r="D704" s="79"/>
      <c r="J704" s="79"/>
      <c r="N704" s="79"/>
      <c r="Q704" s="79"/>
      <c r="V704" s="106"/>
    </row>
    <row r="705">
      <c r="C705" s="79"/>
      <c r="D705" s="79"/>
      <c r="J705" s="79"/>
      <c r="N705" s="79"/>
      <c r="Q705" s="79"/>
      <c r="V705" s="106"/>
    </row>
    <row r="706">
      <c r="C706" s="79"/>
      <c r="D706" s="79"/>
      <c r="J706" s="79"/>
      <c r="N706" s="79"/>
      <c r="Q706" s="79"/>
      <c r="V706" s="106"/>
    </row>
    <row r="707">
      <c r="C707" s="79"/>
      <c r="D707" s="79"/>
      <c r="J707" s="79"/>
      <c r="N707" s="79"/>
      <c r="Q707" s="79"/>
      <c r="V707" s="106"/>
    </row>
    <row r="708">
      <c r="C708" s="79"/>
      <c r="D708" s="79"/>
      <c r="J708" s="79"/>
      <c r="N708" s="79"/>
      <c r="Q708" s="79"/>
      <c r="V708" s="106"/>
    </row>
    <row r="709">
      <c r="C709" s="79"/>
      <c r="D709" s="79"/>
      <c r="J709" s="79"/>
      <c r="N709" s="79"/>
      <c r="Q709" s="79"/>
      <c r="V709" s="106"/>
    </row>
    <row r="710">
      <c r="C710" s="79"/>
      <c r="D710" s="79"/>
      <c r="J710" s="79"/>
      <c r="N710" s="79"/>
      <c r="Q710" s="79"/>
      <c r="V710" s="106"/>
    </row>
    <row r="711">
      <c r="C711" s="79"/>
      <c r="D711" s="79"/>
      <c r="J711" s="79"/>
      <c r="N711" s="79"/>
      <c r="Q711" s="79"/>
      <c r="V711" s="106"/>
    </row>
    <row r="712">
      <c r="C712" s="79"/>
      <c r="D712" s="79"/>
      <c r="J712" s="79"/>
      <c r="N712" s="79"/>
      <c r="Q712" s="79"/>
      <c r="V712" s="106"/>
    </row>
    <row r="713">
      <c r="C713" s="79"/>
      <c r="D713" s="79"/>
      <c r="J713" s="79"/>
      <c r="N713" s="79"/>
      <c r="Q713" s="79"/>
      <c r="V713" s="106"/>
    </row>
    <row r="714">
      <c r="C714" s="79"/>
      <c r="D714" s="79"/>
      <c r="J714" s="79"/>
      <c r="N714" s="79"/>
      <c r="Q714" s="79"/>
      <c r="V714" s="106"/>
    </row>
    <row r="715">
      <c r="C715" s="79"/>
      <c r="D715" s="79"/>
      <c r="J715" s="79"/>
      <c r="N715" s="79"/>
      <c r="Q715" s="79"/>
      <c r="V715" s="106"/>
    </row>
    <row r="716">
      <c r="C716" s="79"/>
      <c r="D716" s="79"/>
      <c r="J716" s="79"/>
      <c r="N716" s="79"/>
      <c r="Q716" s="79"/>
      <c r="V716" s="106"/>
    </row>
    <row r="717">
      <c r="C717" s="79"/>
      <c r="D717" s="79"/>
      <c r="J717" s="79"/>
      <c r="N717" s="79"/>
      <c r="Q717" s="79"/>
      <c r="V717" s="106"/>
    </row>
    <row r="718">
      <c r="C718" s="79"/>
      <c r="D718" s="79"/>
      <c r="J718" s="79"/>
      <c r="N718" s="79"/>
      <c r="Q718" s="79"/>
      <c r="V718" s="106"/>
    </row>
    <row r="719">
      <c r="C719" s="79"/>
      <c r="D719" s="79"/>
      <c r="J719" s="79"/>
      <c r="N719" s="79"/>
      <c r="Q719" s="79"/>
      <c r="V719" s="106"/>
    </row>
    <row r="720">
      <c r="C720" s="79"/>
      <c r="D720" s="79"/>
      <c r="J720" s="79"/>
      <c r="N720" s="79"/>
      <c r="Q720" s="79"/>
      <c r="V720" s="106"/>
    </row>
    <row r="721">
      <c r="C721" s="79"/>
      <c r="D721" s="79"/>
      <c r="J721" s="79"/>
      <c r="N721" s="79"/>
      <c r="Q721" s="79"/>
      <c r="V721" s="106"/>
    </row>
    <row r="722">
      <c r="C722" s="79"/>
      <c r="D722" s="79"/>
      <c r="J722" s="79"/>
      <c r="N722" s="79"/>
      <c r="Q722" s="79"/>
      <c r="V722" s="106"/>
    </row>
    <row r="723">
      <c r="C723" s="79"/>
      <c r="D723" s="79"/>
      <c r="J723" s="79"/>
      <c r="N723" s="79"/>
      <c r="Q723" s="79"/>
      <c r="V723" s="106"/>
    </row>
    <row r="724">
      <c r="C724" s="79"/>
      <c r="D724" s="79"/>
      <c r="J724" s="79"/>
      <c r="N724" s="79"/>
      <c r="Q724" s="79"/>
      <c r="V724" s="106"/>
    </row>
    <row r="725">
      <c r="C725" s="79"/>
      <c r="D725" s="79"/>
      <c r="J725" s="79"/>
      <c r="N725" s="79"/>
      <c r="Q725" s="79"/>
      <c r="V725" s="106"/>
    </row>
    <row r="726">
      <c r="C726" s="79"/>
      <c r="D726" s="79"/>
      <c r="J726" s="79"/>
      <c r="N726" s="79"/>
      <c r="Q726" s="79"/>
      <c r="V726" s="106"/>
    </row>
    <row r="727">
      <c r="C727" s="79"/>
      <c r="D727" s="79"/>
      <c r="J727" s="79"/>
      <c r="N727" s="79"/>
      <c r="Q727" s="79"/>
      <c r="V727" s="106"/>
    </row>
    <row r="728">
      <c r="C728" s="79"/>
      <c r="D728" s="79"/>
      <c r="J728" s="79"/>
      <c r="N728" s="79"/>
      <c r="Q728" s="79"/>
      <c r="V728" s="106"/>
    </row>
    <row r="729">
      <c r="C729" s="79"/>
      <c r="D729" s="79"/>
      <c r="J729" s="79"/>
      <c r="N729" s="79"/>
      <c r="Q729" s="79"/>
      <c r="V729" s="106"/>
    </row>
    <row r="730">
      <c r="C730" s="79"/>
      <c r="D730" s="79"/>
      <c r="J730" s="79"/>
      <c r="N730" s="79"/>
      <c r="Q730" s="79"/>
      <c r="V730" s="106"/>
    </row>
    <row r="731">
      <c r="C731" s="79"/>
      <c r="D731" s="79"/>
      <c r="J731" s="79"/>
      <c r="N731" s="79"/>
      <c r="Q731" s="79"/>
      <c r="V731" s="106"/>
    </row>
    <row r="732">
      <c r="C732" s="79"/>
      <c r="D732" s="79"/>
      <c r="J732" s="79"/>
      <c r="N732" s="79"/>
      <c r="Q732" s="79"/>
      <c r="V732" s="106"/>
    </row>
    <row r="733">
      <c r="C733" s="79"/>
      <c r="D733" s="79"/>
      <c r="J733" s="79"/>
      <c r="N733" s="79"/>
      <c r="Q733" s="79"/>
      <c r="V733" s="106"/>
    </row>
    <row r="734">
      <c r="C734" s="79"/>
      <c r="D734" s="79"/>
      <c r="J734" s="79"/>
      <c r="N734" s="79"/>
      <c r="Q734" s="79"/>
      <c r="V734" s="106"/>
    </row>
    <row r="735">
      <c r="C735" s="79"/>
      <c r="D735" s="79"/>
      <c r="J735" s="79"/>
      <c r="N735" s="79"/>
      <c r="Q735" s="79"/>
      <c r="V735" s="106"/>
    </row>
    <row r="736">
      <c r="C736" s="79"/>
      <c r="D736" s="79"/>
      <c r="J736" s="79"/>
      <c r="N736" s="79"/>
      <c r="Q736" s="79"/>
      <c r="V736" s="106"/>
    </row>
    <row r="737">
      <c r="C737" s="79"/>
      <c r="D737" s="79"/>
      <c r="J737" s="79"/>
      <c r="N737" s="79"/>
      <c r="Q737" s="79"/>
      <c r="V737" s="106"/>
    </row>
    <row r="738">
      <c r="C738" s="79"/>
      <c r="D738" s="79"/>
      <c r="J738" s="79"/>
      <c r="N738" s="79"/>
      <c r="Q738" s="79"/>
      <c r="V738" s="106"/>
    </row>
    <row r="739">
      <c r="C739" s="79"/>
      <c r="D739" s="79"/>
      <c r="J739" s="79"/>
      <c r="N739" s="79"/>
      <c r="Q739" s="79"/>
      <c r="V739" s="106"/>
    </row>
    <row r="740">
      <c r="C740" s="79"/>
      <c r="D740" s="79"/>
      <c r="J740" s="79"/>
      <c r="N740" s="79"/>
      <c r="Q740" s="79"/>
      <c r="V740" s="106"/>
    </row>
    <row r="741">
      <c r="C741" s="79"/>
      <c r="D741" s="79"/>
      <c r="J741" s="79"/>
      <c r="N741" s="79"/>
      <c r="Q741" s="79"/>
      <c r="V741" s="106"/>
    </row>
    <row r="742">
      <c r="C742" s="79"/>
      <c r="D742" s="79"/>
      <c r="J742" s="79"/>
      <c r="N742" s="79"/>
      <c r="Q742" s="79"/>
      <c r="V742" s="106"/>
    </row>
    <row r="743">
      <c r="C743" s="79"/>
      <c r="D743" s="79"/>
      <c r="J743" s="79"/>
      <c r="N743" s="79"/>
      <c r="Q743" s="79"/>
      <c r="V743" s="106"/>
    </row>
    <row r="744">
      <c r="C744" s="79"/>
      <c r="D744" s="79"/>
      <c r="J744" s="79"/>
      <c r="N744" s="79"/>
      <c r="Q744" s="79"/>
      <c r="V744" s="106"/>
    </row>
    <row r="745">
      <c r="C745" s="79"/>
      <c r="D745" s="79"/>
      <c r="J745" s="79"/>
      <c r="N745" s="79"/>
      <c r="Q745" s="79"/>
      <c r="V745" s="106"/>
    </row>
    <row r="746">
      <c r="C746" s="79"/>
      <c r="D746" s="79"/>
      <c r="J746" s="79"/>
      <c r="N746" s="79"/>
      <c r="Q746" s="79"/>
      <c r="V746" s="106"/>
    </row>
    <row r="747">
      <c r="C747" s="79"/>
      <c r="D747" s="79"/>
      <c r="J747" s="79"/>
      <c r="N747" s="79"/>
      <c r="Q747" s="79"/>
      <c r="V747" s="106"/>
    </row>
    <row r="748">
      <c r="C748" s="79"/>
      <c r="D748" s="79"/>
      <c r="J748" s="79"/>
      <c r="N748" s="79"/>
      <c r="Q748" s="79"/>
      <c r="V748" s="106"/>
    </row>
    <row r="749">
      <c r="C749" s="79"/>
      <c r="D749" s="79"/>
      <c r="J749" s="79"/>
      <c r="N749" s="79"/>
      <c r="Q749" s="79"/>
      <c r="V749" s="106"/>
    </row>
    <row r="750">
      <c r="C750" s="79"/>
      <c r="D750" s="79"/>
      <c r="J750" s="79"/>
      <c r="N750" s="79"/>
      <c r="Q750" s="79"/>
      <c r="V750" s="106"/>
    </row>
    <row r="751">
      <c r="C751" s="79"/>
      <c r="D751" s="79"/>
      <c r="J751" s="79"/>
      <c r="N751" s="79"/>
      <c r="Q751" s="79"/>
      <c r="V751" s="106"/>
    </row>
    <row r="752">
      <c r="C752" s="79"/>
      <c r="D752" s="79"/>
      <c r="J752" s="79"/>
      <c r="N752" s="79"/>
      <c r="Q752" s="79"/>
      <c r="V752" s="106"/>
    </row>
    <row r="753">
      <c r="C753" s="79"/>
      <c r="D753" s="79"/>
      <c r="J753" s="79"/>
      <c r="N753" s="79"/>
      <c r="Q753" s="79"/>
      <c r="V753" s="106"/>
    </row>
    <row r="754">
      <c r="C754" s="79"/>
      <c r="D754" s="79"/>
      <c r="J754" s="79"/>
      <c r="N754" s="79"/>
      <c r="Q754" s="79"/>
      <c r="V754" s="106"/>
    </row>
    <row r="755">
      <c r="C755" s="79"/>
      <c r="D755" s="79"/>
      <c r="J755" s="79"/>
      <c r="N755" s="79"/>
      <c r="Q755" s="79"/>
      <c r="V755" s="106"/>
    </row>
    <row r="756">
      <c r="C756" s="79"/>
      <c r="D756" s="79"/>
      <c r="J756" s="79"/>
      <c r="N756" s="79"/>
      <c r="Q756" s="79"/>
      <c r="V756" s="106"/>
    </row>
    <row r="757">
      <c r="C757" s="79"/>
      <c r="D757" s="79"/>
      <c r="J757" s="79"/>
      <c r="N757" s="79"/>
      <c r="Q757" s="79"/>
      <c r="V757" s="106"/>
    </row>
    <row r="758">
      <c r="C758" s="79"/>
      <c r="D758" s="79"/>
      <c r="J758" s="79"/>
      <c r="N758" s="79"/>
      <c r="Q758" s="79"/>
      <c r="V758" s="106"/>
    </row>
    <row r="759">
      <c r="C759" s="79"/>
      <c r="D759" s="79"/>
      <c r="J759" s="79"/>
      <c r="N759" s="79"/>
      <c r="Q759" s="79"/>
      <c r="V759" s="106"/>
    </row>
    <row r="760">
      <c r="C760" s="79"/>
      <c r="D760" s="79"/>
      <c r="J760" s="79"/>
      <c r="N760" s="79"/>
      <c r="Q760" s="79"/>
      <c r="V760" s="106"/>
    </row>
    <row r="761">
      <c r="C761" s="79"/>
      <c r="D761" s="79"/>
      <c r="J761" s="79"/>
      <c r="N761" s="79"/>
      <c r="Q761" s="79"/>
      <c r="V761" s="106"/>
    </row>
    <row r="762">
      <c r="C762" s="79"/>
      <c r="D762" s="79"/>
      <c r="J762" s="79"/>
      <c r="N762" s="79"/>
      <c r="Q762" s="79"/>
      <c r="V762" s="106"/>
    </row>
    <row r="763">
      <c r="C763" s="79"/>
      <c r="D763" s="79"/>
      <c r="J763" s="79"/>
      <c r="N763" s="79"/>
      <c r="Q763" s="79"/>
      <c r="V763" s="106"/>
    </row>
    <row r="764">
      <c r="C764" s="79"/>
      <c r="D764" s="79"/>
      <c r="J764" s="79"/>
      <c r="N764" s="79"/>
      <c r="Q764" s="79"/>
      <c r="V764" s="106"/>
    </row>
    <row r="765">
      <c r="C765" s="79"/>
      <c r="D765" s="79"/>
      <c r="J765" s="79"/>
      <c r="N765" s="79"/>
      <c r="Q765" s="79"/>
      <c r="V765" s="106"/>
    </row>
    <row r="766">
      <c r="C766" s="79"/>
      <c r="D766" s="79"/>
      <c r="J766" s="79"/>
      <c r="N766" s="79"/>
      <c r="Q766" s="79"/>
      <c r="V766" s="106"/>
    </row>
    <row r="767">
      <c r="C767" s="79"/>
      <c r="D767" s="79"/>
      <c r="J767" s="79"/>
      <c r="N767" s="79"/>
      <c r="Q767" s="79"/>
      <c r="V767" s="106"/>
    </row>
    <row r="768">
      <c r="C768" s="79"/>
      <c r="D768" s="79"/>
      <c r="J768" s="79"/>
      <c r="N768" s="79"/>
      <c r="Q768" s="79"/>
      <c r="V768" s="106"/>
    </row>
    <row r="769">
      <c r="C769" s="79"/>
      <c r="D769" s="79"/>
      <c r="J769" s="79"/>
      <c r="N769" s="79"/>
      <c r="Q769" s="79"/>
      <c r="V769" s="106"/>
    </row>
    <row r="770">
      <c r="C770" s="79"/>
      <c r="D770" s="79"/>
      <c r="J770" s="79"/>
      <c r="N770" s="79"/>
      <c r="Q770" s="79"/>
      <c r="V770" s="106"/>
    </row>
    <row r="771">
      <c r="C771" s="79"/>
      <c r="D771" s="79"/>
      <c r="J771" s="79"/>
      <c r="N771" s="79"/>
      <c r="Q771" s="79"/>
      <c r="V771" s="106"/>
    </row>
    <row r="772">
      <c r="C772" s="79"/>
      <c r="D772" s="79"/>
      <c r="J772" s="79"/>
      <c r="N772" s="79"/>
      <c r="Q772" s="79"/>
      <c r="V772" s="106"/>
    </row>
    <row r="773">
      <c r="C773" s="79"/>
      <c r="D773" s="79"/>
      <c r="J773" s="79"/>
      <c r="N773" s="79"/>
      <c r="Q773" s="79"/>
      <c r="V773" s="106"/>
    </row>
    <row r="774">
      <c r="C774" s="79"/>
      <c r="D774" s="79"/>
      <c r="J774" s="79"/>
      <c r="N774" s="79"/>
      <c r="Q774" s="79"/>
      <c r="V774" s="106"/>
    </row>
    <row r="775">
      <c r="C775" s="79"/>
      <c r="D775" s="79"/>
      <c r="J775" s="79"/>
      <c r="N775" s="79"/>
      <c r="Q775" s="79"/>
      <c r="V775" s="106"/>
    </row>
    <row r="776">
      <c r="C776" s="79"/>
      <c r="D776" s="79"/>
      <c r="J776" s="79"/>
      <c r="N776" s="79"/>
      <c r="Q776" s="79"/>
      <c r="V776" s="106"/>
    </row>
    <row r="777">
      <c r="C777" s="79"/>
      <c r="D777" s="79"/>
      <c r="J777" s="79"/>
      <c r="N777" s="79"/>
      <c r="Q777" s="79"/>
      <c r="V777" s="106"/>
    </row>
    <row r="778">
      <c r="C778" s="79"/>
      <c r="D778" s="79"/>
      <c r="J778" s="79"/>
      <c r="N778" s="79"/>
      <c r="Q778" s="79"/>
      <c r="V778" s="106"/>
    </row>
    <row r="779">
      <c r="C779" s="79"/>
      <c r="D779" s="79"/>
      <c r="J779" s="79"/>
      <c r="N779" s="79"/>
      <c r="Q779" s="79"/>
      <c r="V779" s="106"/>
    </row>
    <row r="780">
      <c r="C780" s="79"/>
      <c r="D780" s="79"/>
      <c r="J780" s="79"/>
      <c r="N780" s="79"/>
      <c r="Q780" s="79"/>
      <c r="V780" s="106"/>
    </row>
    <row r="781">
      <c r="C781" s="79"/>
      <c r="D781" s="79"/>
      <c r="J781" s="79"/>
      <c r="N781" s="79"/>
      <c r="Q781" s="79"/>
      <c r="V781" s="106"/>
    </row>
    <row r="782">
      <c r="C782" s="79"/>
      <c r="D782" s="79"/>
      <c r="J782" s="79"/>
      <c r="N782" s="79"/>
      <c r="Q782" s="79"/>
      <c r="V782" s="106"/>
    </row>
    <row r="783">
      <c r="C783" s="79"/>
      <c r="D783" s="79"/>
      <c r="J783" s="79"/>
      <c r="N783" s="79"/>
      <c r="Q783" s="79"/>
      <c r="V783" s="106"/>
    </row>
    <row r="784">
      <c r="C784" s="79"/>
      <c r="D784" s="79"/>
      <c r="J784" s="79"/>
      <c r="N784" s="79"/>
      <c r="Q784" s="79"/>
      <c r="V784" s="106"/>
    </row>
    <row r="785">
      <c r="C785" s="79"/>
      <c r="D785" s="79"/>
      <c r="J785" s="79"/>
      <c r="N785" s="79"/>
      <c r="Q785" s="79"/>
      <c r="V785" s="106"/>
    </row>
    <row r="786">
      <c r="C786" s="79"/>
      <c r="D786" s="79"/>
      <c r="J786" s="79"/>
      <c r="N786" s="79"/>
      <c r="Q786" s="79"/>
      <c r="V786" s="106"/>
    </row>
    <row r="787">
      <c r="C787" s="79"/>
      <c r="D787" s="79"/>
      <c r="J787" s="79"/>
      <c r="N787" s="79"/>
      <c r="Q787" s="79"/>
      <c r="V787" s="106"/>
    </row>
    <row r="788">
      <c r="C788" s="79"/>
      <c r="D788" s="79"/>
      <c r="J788" s="79"/>
      <c r="N788" s="79"/>
      <c r="Q788" s="79"/>
      <c r="V788" s="106"/>
    </row>
    <row r="789">
      <c r="C789" s="79"/>
      <c r="D789" s="79"/>
      <c r="J789" s="79"/>
      <c r="N789" s="79"/>
      <c r="Q789" s="79"/>
      <c r="V789" s="106"/>
    </row>
    <row r="790">
      <c r="C790" s="79"/>
      <c r="D790" s="79"/>
      <c r="J790" s="79"/>
      <c r="N790" s="79"/>
      <c r="Q790" s="79"/>
      <c r="V790" s="106"/>
    </row>
    <row r="791">
      <c r="C791" s="79"/>
      <c r="D791" s="79"/>
      <c r="J791" s="79"/>
      <c r="N791" s="79"/>
      <c r="Q791" s="79"/>
      <c r="V791" s="106"/>
    </row>
    <row r="792">
      <c r="C792" s="79"/>
      <c r="D792" s="79"/>
      <c r="J792" s="79"/>
      <c r="N792" s="79"/>
      <c r="Q792" s="79"/>
      <c r="V792" s="106"/>
    </row>
    <row r="793">
      <c r="C793" s="79"/>
      <c r="D793" s="79"/>
      <c r="J793" s="79"/>
      <c r="N793" s="79"/>
      <c r="Q793" s="79"/>
      <c r="V793" s="106"/>
    </row>
    <row r="794">
      <c r="C794" s="79"/>
      <c r="D794" s="79"/>
      <c r="J794" s="79"/>
      <c r="N794" s="79"/>
      <c r="Q794" s="79"/>
      <c r="V794" s="106"/>
    </row>
    <row r="795">
      <c r="C795" s="79"/>
      <c r="D795" s="79"/>
      <c r="J795" s="79"/>
      <c r="N795" s="79"/>
      <c r="Q795" s="79"/>
      <c r="V795" s="106"/>
    </row>
    <row r="796">
      <c r="C796" s="79"/>
      <c r="D796" s="79"/>
      <c r="J796" s="79"/>
      <c r="N796" s="79"/>
      <c r="Q796" s="79"/>
      <c r="V796" s="106"/>
    </row>
    <row r="797">
      <c r="C797" s="79"/>
      <c r="D797" s="79"/>
      <c r="J797" s="79"/>
      <c r="N797" s="79"/>
      <c r="Q797" s="79"/>
      <c r="V797" s="106"/>
    </row>
    <row r="798">
      <c r="C798" s="79"/>
      <c r="D798" s="79"/>
      <c r="J798" s="79"/>
      <c r="N798" s="79"/>
      <c r="Q798" s="79"/>
      <c r="V798" s="106"/>
    </row>
    <row r="799">
      <c r="C799" s="79"/>
      <c r="D799" s="79"/>
      <c r="J799" s="79"/>
      <c r="N799" s="79"/>
      <c r="Q799" s="79"/>
      <c r="V799" s="106"/>
    </row>
    <row r="800">
      <c r="C800" s="79"/>
      <c r="D800" s="79"/>
      <c r="J800" s="79"/>
      <c r="N800" s="79"/>
      <c r="Q800" s="79"/>
      <c r="V800" s="106"/>
    </row>
    <row r="801">
      <c r="C801" s="79"/>
      <c r="D801" s="79"/>
      <c r="J801" s="79"/>
      <c r="N801" s="79"/>
      <c r="Q801" s="79"/>
      <c r="V801" s="106"/>
    </row>
    <row r="802">
      <c r="C802" s="79"/>
      <c r="D802" s="79"/>
      <c r="J802" s="79"/>
      <c r="N802" s="79"/>
      <c r="Q802" s="79"/>
      <c r="V802" s="106"/>
    </row>
    <row r="803">
      <c r="C803" s="79"/>
      <c r="D803" s="79"/>
      <c r="J803" s="79"/>
      <c r="N803" s="79"/>
      <c r="Q803" s="79"/>
      <c r="V803" s="106"/>
    </row>
    <row r="804">
      <c r="C804" s="79"/>
      <c r="D804" s="79"/>
      <c r="J804" s="79"/>
      <c r="N804" s="79"/>
      <c r="Q804" s="79"/>
      <c r="V804" s="106"/>
    </row>
    <row r="805">
      <c r="C805" s="79"/>
      <c r="D805" s="79"/>
      <c r="J805" s="79"/>
      <c r="N805" s="79"/>
      <c r="Q805" s="79"/>
      <c r="V805" s="106"/>
    </row>
    <row r="806">
      <c r="C806" s="79"/>
      <c r="D806" s="79"/>
      <c r="J806" s="79"/>
      <c r="N806" s="79"/>
      <c r="Q806" s="79"/>
      <c r="V806" s="106"/>
    </row>
    <row r="807">
      <c r="C807" s="79"/>
      <c r="D807" s="79"/>
      <c r="J807" s="79"/>
      <c r="N807" s="79"/>
      <c r="Q807" s="79"/>
      <c r="V807" s="106"/>
    </row>
    <row r="808">
      <c r="C808" s="79"/>
      <c r="D808" s="79"/>
      <c r="J808" s="79"/>
      <c r="N808" s="79"/>
      <c r="Q808" s="79"/>
      <c r="V808" s="106"/>
    </row>
    <row r="809">
      <c r="C809" s="79"/>
      <c r="D809" s="79"/>
      <c r="J809" s="79"/>
      <c r="N809" s="79"/>
      <c r="Q809" s="79"/>
      <c r="V809" s="106"/>
    </row>
    <row r="810">
      <c r="C810" s="79"/>
      <c r="D810" s="79"/>
      <c r="J810" s="79"/>
      <c r="N810" s="79"/>
      <c r="Q810" s="79"/>
      <c r="V810" s="106"/>
    </row>
    <row r="811">
      <c r="C811" s="79"/>
      <c r="D811" s="79"/>
      <c r="J811" s="79"/>
      <c r="N811" s="79"/>
      <c r="Q811" s="79"/>
      <c r="V811" s="106"/>
    </row>
    <row r="812">
      <c r="C812" s="79"/>
      <c r="D812" s="79"/>
      <c r="J812" s="79"/>
      <c r="N812" s="79"/>
      <c r="Q812" s="79"/>
      <c r="V812" s="106"/>
    </row>
    <row r="813">
      <c r="C813" s="79"/>
      <c r="D813" s="79"/>
      <c r="J813" s="79"/>
      <c r="N813" s="79"/>
      <c r="Q813" s="79"/>
      <c r="V813" s="106"/>
    </row>
    <row r="814">
      <c r="C814" s="79"/>
      <c r="D814" s="79"/>
      <c r="J814" s="79"/>
      <c r="N814" s="79"/>
      <c r="Q814" s="79"/>
      <c r="V814" s="106"/>
    </row>
    <row r="815">
      <c r="C815" s="79"/>
      <c r="D815" s="79"/>
      <c r="J815" s="79"/>
      <c r="N815" s="79"/>
      <c r="Q815" s="79"/>
      <c r="V815" s="106"/>
    </row>
    <row r="816">
      <c r="C816" s="79"/>
      <c r="D816" s="79"/>
      <c r="J816" s="79"/>
      <c r="N816" s="79"/>
      <c r="Q816" s="79"/>
      <c r="V816" s="106"/>
    </row>
    <row r="817">
      <c r="C817" s="79"/>
      <c r="D817" s="79"/>
      <c r="J817" s="79"/>
      <c r="N817" s="79"/>
      <c r="Q817" s="79"/>
      <c r="V817" s="106"/>
    </row>
    <row r="818">
      <c r="C818" s="79"/>
      <c r="D818" s="79"/>
      <c r="J818" s="79"/>
      <c r="N818" s="79"/>
      <c r="Q818" s="79"/>
      <c r="V818" s="106"/>
    </row>
    <row r="819">
      <c r="C819" s="79"/>
      <c r="D819" s="79"/>
      <c r="J819" s="79"/>
      <c r="N819" s="79"/>
      <c r="Q819" s="79"/>
      <c r="V819" s="106"/>
    </row>
    <row r="820">
      <c r="C820" s="79"/>
      <c r="D820" s="79"/>
      <c r="J820" s="79"/>
      <c r="N820" s="79"/>
      <c r="Q820" s="79"/>
      <c r="V820" s="106"/>
    </row>
    <row r="821">
      <c r="C821" s="79"/>
      <c r="D821" s="79"/>
      <c r="J821" s="79"/>
      <c r="N821" s="79"/>
      <c r="Q821" s="79"/>
      <c r="V821" s="106"/>
    </row>
    <row r="822">
      <c r="C822" s="79"/>
      <c r="D822" s="79"/>
      <c r="J822" s="79"/>
      <c r="N822" s="79"/>
      <c r="Q822" s="79"/>
      <c r="V822" s="106"/>
    </row>
    <row r="823">
      <c r="C823" s="79"/>
      <c r="D823" s="79"/>
      <c r="J823" s="79"/>
      <c r="N823" s="79"/>
      <c r="Q823" s="79"/>
      <c r="V823" s="106"/>
    </row>
    <row r="824">
      <c r="C824" s="79"/>
      <c r="D824" s="79"/>
      <c r="J824" s="79"/>
      <c r="N824" s="79"/>
      <c r="Q824" s="79"/>
      <c r="V824" s="106"/>
    </row>
    <row r="825">
      <c r="C825" s="79"/>
      <c r="D825" s="79"/>
      <c r="J825" s="79"/>
      <c r="N825" s="79"/>
      <c r="Q825" s="79"/>
      <c r="V825" s="106"/>
    </row>
    <row r="826">
      <c r="C826" s="79"/>
      <c r="D826" s="79"/>
      <c r="J826" s="79"/>
      <c r="N826" s="79"/>
      <c r="Q826" s="79"/>
      <c r="V826" s="106"/>
    </row>
    <row r="827">
      <c r="C827" s="79"/>
      <c r="D827" s="79"/>
      <c r="J827" s="79"/>
      <c r="N827" s="79"/>
      <c r="Q827" s="79"/>
      <c r="V827" s="106"/>
    </row>
    <row r="828">
      <c r="C828" s="79"/>
      <c r="D828" s="79"/>
      <c r="J828" s="79"/>
      <c r="N828" s="79"/>
      <c r="Q828" s="79"/>
      <c r="V828" s="106"/>
    </row>
    <row r="829">
      <c r="C829" s="79"/>
      <c r="D829" s="79"/>
      <c r="J829" s="79"/>
      <c r="N829" s="79"/>
      <c r="Q829" s="79"/>
      <c r="V829" s="106"/>
    </row>
    <row r="830">
      <c r="C830" s="79"/>
      <c r="D830" s="79"/>
      <c r="J830" s="79"/>
      <c r="N830" s="79"/>
      <c r="Q830" s="79"/>
      <c r="V830" s="106"/>
    </row>
    <row r="831">
      <c r="C831" s="79"/>
      <c r="D831" s="79"/>
      <c r="J831" s="79"/>
      <c r="N831" s="79"/>
      <c r="Q831" s="79"/>
      <c r="V831" s="106"/>
    </row>
    <row r="832">
      <c r="C832" s="79"/>
      <c r="D832" s="79"/>
      <c r="J832" s="79"/>
      <c r="N832" s="79"/>
      <c r="Q832" s="79"/>
      <c r="V832" s="106"/>
    </row>
    <row r="833">
      <c r="C833" s="79"/>
      <c r="D833" s="79"/>
      <c r="J833" s="79"/>
      <c r="N833" s="79"/>
      <c r="Q833" s="79"/>
      <c r="V833" s="106"/>
    </row>
    <row r="834">
      <c r="C834" s="79"/>
      <c r="D834" s="79"/>
      <c r="J834" s="79"/>
      <c r="N834" s="79"/>
      <c r="Q834" s="79"/>
      <c r="V834" s="106"/>
    </row>
    <row r="835">
      <c r="C835" s="79"/>
      <c r="D835" s="79"/>
      <c r="J835" s="79"/>
      <c r="N835" s="79"/>
      <c r="Q835" s="79"/>
      <c r="V835" s="106"/>
    </row>
    <row r="836">
      <c r="C836" s="79"/>
      <c r="D836" s="79"/>
      <c r="J836" s="79"/>
      <c r="N836" s="79"/>
      <c r="Q836" s="79"/>
      <c r="V836" s="106"/>
    </row>
    <row r="837">
      <c r="C837" s="79"/>
      <c r="D837" s="79"/>
      <c r="J837" s="79"/>
      <c r="N837" s="79"/>
      <c r="Q837" s="79"/>
      <c r="V837" s="106"/>
    </row>
    <row r="838">
      <c r="C838" s="79"/>
      <c r="D838" s="79"/>
      <c r="J838" s="79"/>
      <c r="N838" s="79"/>
      <c r="Q838" s="79"/>
      <c r="V838" s="106"/>
    </row>
    <row r="839">
      <c r="C839" s="79"/>
      <c r="D839" s="79"/>
      <c r="J839" s="79"/>
      <c r="N839" s="79"/>
      <c r="Q839" s="79"/>
      <c r="V839" s="106"/>
    </row>
    <row r="840">
      <c r="C840" s="79"/>
      <c r="D840" s="79"/>
      <c r="J840" s="79"/>
      <c r="N840" s="79"/>
      <c r="Q840" s="79"/>
      <c r="V840" s="106"/>
    </row>
    <row r="841">
      <c r="C841" s="79"/>
      <c r="D841" s="79"/>
      <c r="J841" s="79"/>
      <c r="N841" s="79"/>
      <c r="Q841" s="79"/>
      <c r="V841" s="106"/>
    </row>
    <row r="842">
      <c r="C842" s="79"/>
      <c r="D842" s="79"/>
      <c r="J842" s="79"/>
      <c r="N842" s="79"/>
      <c r="Q842" s="79"/>
      <c r="V842" s="106"/>
    </row>
    <row r="843">
      <c r="C843" s="79"/>
      <c r="D843" s="79"/>
      <c r="J843" s="79"/>
      <c r="N843" s="79"/>
      <c r="Q843" s="79"/>
      <c r="V843" s="106"/>
    </row>
    <row r="844">
      <c r="C844" s="79"/>
      <c r="D844" s="79"/>
      <c r="J844" s="79"/>
      <c r="N844" s="79"/>
      <c r="Q844" s="79"/>
      <c r="V844" s="106"/>
    </row>
    <row r="845">
      <c r="C845" s="79"/>
      <c r="D845" s="79"/>
      <c r="J845" s="79"/>
      <c r="N845" s="79"/>
      <c r="Q845" s="79"/>
      <c r="V845" s="106"/>
    </row>
    <row r="846">
      <c r="C846" s="79"/>
      <c r="D846" s="79"/>
      <c r="J846" s="79"/>
      <c r="N846" s="79"/>
      <c r="Q846" s="79"/>
      <c r="V846" s="106"/>
    </row>
    <row r="847">
      <c r="C847" s="79"/>
      <c r="D847" s="79"/>
      <c r="J847" s="79"/>
      <c r="N847" s="79"/>
      <c r="Q847" s="79"/>
      <c r="V847" s="106"/>
    </row>
    <row r="848">
      <c r="C848" s="79"/>
      <c r="D848" s="79"/>
      <c r="J848" s="79"/>
      <c r="N848" s="79"/>
      <c r="Q848" s="79"/>
      <c r="V848" s="106"/>
    </row>
    <row r="849">
      <c r="C849" s="79"/>
      <c r="D849" s="79"/>
      <c r="J849" s="79"/>
      <c r="N849" s="79"/>
      <c r="Q849" s="79"/>
      <c r="V849" s="106"/>
    </row>
    <row r="850">
      <c r="C850" s="79"/>
      <c r="D850" s="79"/>
      <c r="J850" s="79"/>
      <c r="N850" s="79"/>
      <c r="Q850" s="79"/>
      <c r="V850" s="106"/>
    </row>
    <row r="851">
      <c r="C851" s="79"/>
      <c r="D851" s="79"/>
      <c r="J851" s="79"/>
      <c r="N851" s="79"/>
      <c r="Q851" s="79"/>
      <c r="V851" s="106"/>
    </row>
    <row r="852">
      <c r="C852" s="79"/>
      <c r="D852" s="79"/>
      <c r="J852" s="79"/>
      <c r="N852" s="79"/>
      <c r="Q852" s="79"/>
      <c r="V852" s="106"/>
    </row>
    <row r="853">
      <c r="C853" s="79"/>
      <c r="D853" s="79"/>
      <c r="J853" s="79"/>
      <c r="N853" s="79"/>
      <c r="Q853" s="79"/>
      <c r="V853" s="106"/>
    </row>
    <row r="854">
      <c r="C854" s="79"/>
      <c r="D854" s="79"/>
      <c r="J854" s="79"/>
      <c r="N854" s="79"/>
      <c r="Q854" s="79"/>
      <c r="V854" s="106"/>
    </row>
    <row r="855">
      <c r="C855" s="79"/>
      <c r="D855" s="79"/>
      <c r="J855" s="79"/>
      <c r="N855" s="79"/>
      <c r="Q855" s="79"/>
      <c r="V855" s="106"/>
    </row>
    <row r="856">
      <c r="C856" s="79"/>
      <c r="D856" s="79"/>
      <c r="J856" s="79"/>
      <c r="N856" s="79"/>
      <c r="Q856" s="79"/>
      <c r="V856" s="106"/>
    </row>
    <row r="857">
      <c r="C857" s="79"/>
      <c r="D857" s="79"/>
      <c r="J857" s="79"/>
      <c r="N857" s="79"/>
      <c r="Q857" s="79"/>
      <c r="V857" s="106"/>
    </row>
    <row r="858">
      <c r="C858" s="79"/>
      <c r="D858" s="79"/>
      <c r="J858" s="79"/>
      <c r="N858" s="79"/>
      <c r="Q858" s="79"/>
      <c r="V858" s="106"/>
    </row>
    <row r="859">
      <c r="C859" s="79"/>
      <c r="D859" s="79"/>
      <c r="J859" s="79"/>
      <c r="N859" s="79"/>
      <c r="Q859" s="79"/>
      <c r="V859" s="106"/>
    </row>
    <row r="860">
      <c r="C860" s="79"/>
      <c r="D860" s="79"/>
      <c r="J860" s="79"/>
      <c r="N860" s="79"/>
      <c r="Q860" s="79"/>
      <c r="V860" s="106"/>
    </row>
    <row r="861">
      <c r="C861" s="79"/>
      <c r="D861" s="79"/>
      <c r="J861" s="79"/>
      <c r="N861" s="79"/>
      <c r="Q861" s="79"/>
      <c r="V861" s="106"/>
    </row>
    <row r="862">
      <c r="C862" s="79"/>
      <c r="D862" s="79"/>
      <c r="J862" s="79"/>
      <c r="N862" s="79"/>
      <c r="Q862" s="79"/>
      <c r="V862" s="106"/>
    </row>
    <row r="863">
      <c r="C863" s="79"/>
      <c r="D863" s="79"/>
      <c r="J863" s="79"/>
      <c r="N863" s="79"/>
      <c r="Q863" s="79"/>
      <c r="V863" s="106"/>
    </row>
    <row r="864">
      <c r="C864" s="79"/>
      <c r="D864" s="79"/>
      <c r="J864" s="79"/>
      <c r="N864" s="79"/>
      <c r="Q864" s="79"/>
      <c r="V864" s="106"/>
    </row>
    <row r="865">
      <c r="C865" s="79"/>
      <c r="D865" s="79"/>
      <c r="J865" s="79"/>
      <c r="N865" s="79"/>
      <c r="Q865" s="79"/>
      <c r="V865" s="106"/>
    </row>
    <row r="866">
      <c r="C866" s="79"/>
      <c r="D866" s="79"/>
      <c r="J866" s="79"/>
      <c r="N866" s="79"/>
      <c r="Q866" s="79"/>
      <c r="V866" s="106"/>
    </row>
    <row r="867">
      <c r="C867" s="79"/>
      <c r="D867" s="79"/>
      <c r="J867" s="79"/>
      <c r="N867" s="79"/>
      <c r="Q867" s="79"/>
      <c r="V867" s="106"/>
    </row>
    <row r="868">
      <c r="C868" s="79"/>
      <c r="D868" s="79"/>
      <c r="J868" s="79"/>
      <c r="N868" s="79"/>
      <c r="Q868" s="79"/>
      <c r="V868" s="106"/>
    </row>
    <row r="869">
      <c r="C869" s="79"/>
      <c r="D869" s="79"/>
      <c r="J869" s="79"/>
      <c r="N869" s="79"/>
      <c r="Q869" s="79"/>
      <c r="V869" s="106"/>
    </row>
    <row r="870">
      <c r="C870" s="79"/>
      <c r="D870" s="79"/>
      <c r="J870" s="79"/>
      <c r="N870" s="79"/>
      <c r="Q870" s="79"/>
      <c r="V870" s="106"/>
    </row>
    <row r="871">
      <c r="C871" s="79"/>
      <c r="D871" s="79"/>
      <c r="J871" s="79"/>
      <c r="N871" s="79"/>
      <c r="Q871" s="79"/>
      <c r="V871" s="106"/>
    </row>
    <row r="872">
      <c r="C872" s="79"/>
      <c r="D872" s="79"/>
      <c r="J872" s="79"/>
      <c r="N872" s="79"/>
      <c r="Q872" s="79"/>
      <c r="V872" s="106"/>
    </row>
    <row r="873">
      <c r="C873" s="79"/>
      <c r="D873" s="79"/>
      <c r="J873" s="79"/>
      <c r="N873" s="79"/>
      <c r="Q873" s="79"/>
      <c r="V873" s="106"/>
    </row>
    <row r="874">
      <c r="C874" s="79"/>
      <c r="D874" s="79"/>
      <c r="J874" s="79"/>
      <c r="N874" s="79"/>
      <c r="Q874" s="79"/>
      <c r="V874" s="106"/>
    </row>
    <row r="875">
      <c r="C875" s="79"/>
      <c r="D875" s="79"/>
      <c r="J875" s="79"/>
      <c r="N875" s="79"/>
      <c r="Q875" s="79"/>
      <c r="V875" s="106"/>
    </row>
    <row r="876">
      <c r="C876" s="79"/>
      <c r="D876" s="79"/>
      <c r="J876" s="79"/>
      <c r="N876" s="79"/>
      <c r="Q876" s="79"/>
      <c r="V876" s="106"/>
    </row>
    <row r="877">
      <c r="C877" s="79"/>
      <c r="D877" s="79"/>
      <c r="J877" s="79"/>
      <c r="N877" s="79"/>
      <c r="Q877" s="79"/>
      <c r="V877" s="106"/>
    </row>
    <row r="878">
      <c r="C878" s="79"/>
      <c r="D878" s="79"/>
      <c r="J878" s="79"/>
      <c r="N878" s="79"/>
      <c r="Q878" s="79"/>
      <c r="V878" s="106"/>
    </row>
    <row r="879">
      <c r="C879" s="79"/>
      <c r="D879" s="79"/>
      <c r="J879" s="79"/>
      <c r="N879" s="79"/>
      <c r="Q879" s="79"/>
      <c r="V879" s="106"/>
    </row>
    <row r="880">
      <c r="C880" s="79"/>
      <c r="D880" s="79"/>
      <c r="J880" s="79"/>
      <c r="N880" s="79"/>
      <c r="Q880" s="79"/>
      <c r="V880" s="106"/>
    </row>
    <row r="881">
      <c r="C881" s="79"/>
      <c r="D881" s="79"/>
      <c r="J881" s="79"/>
      <c r="N881" s="79"/>
      <c r="Q881" s="79"/>
      <c r="V881" s="106"/>
    </row>
    <row r="882">
      <c r="C882" s="79"/>
      <c r="D882" s="79"/>
      <c r="J882" s="79"/>
      <c r="N882" s="79"/>
      <c r="Q882" s="79"/>
      <c r="V882" s="106"/>
    </row>
    <row r="883">
      <c r="C883" s="79"/>
      <c r="D883" s="79"/>
      <c r="J883" s="79"/>
      <c r="N883" s="79"/>
      <c r="Q883" s="79"/>
      <c r="V883" s="106"/>
    </row>
    <row r="884">
      <c r="C884" s="79"/>
      <c r="D884" s="79"/>
      <c r="J884" s="79"/>
      <c r="N884" s="79"/>
      <c r="Q884" s="79"/>
      <c r="V884" s="106"/>
    </row>
    <row r="885">
      <c r="C885" s="79"/>
      <c r="D885" s="79"/>
      <c r="J885" s="79"/>
      <c r="N885" s="79"/>
      <c r="Q885" s="79"/>
      <c r="V885" s="106"/>
    </row>
    <row r="886">
      <c r="C886" s="79"/>
      <c r="D886" s="79"/>
      <c r="J886" s="79"/>
      <c r="N886" s="79"/>
      <c r="Q886" s="79"/>
      <c r="V886" s="106"/>
    </row>
    <row r="887">
      <c r="C887" s="79"/>
      <c r="D887" s="79"/>
      <c r="J887" s="79"/>
      <c r="N887" s="79"/>
      <c r="Q887" s="79"/>
      <c r="V887" s="106"/>
    </row>
    <row r="888">
      <c r="C888" s="79"/>
      <c r="D888" s="79"/>
      <c r="J888" s="79"/>
      <c r="N888" s="79"/>
      <c r="Q888" s="79"/>
      <c r="V888" s="106"/>
    </row>
    <row r="889">
      <c r="C889" s="79"/>
      <c r="D889" s="79"/>
      <c r="J889" s="79"/>
      <c r="N889" s="79"/>
      <c r="Q889" s="79"/>
      <c r="V889" s="106"/>
    </row>
    <row r="890">
      <c r="C890" s="79"/>
      <c r="D890" s="79"/>
      <c r="J890" s="79"/>
      <c r="N890" s="79"/>
      <c r="Q890" s="79"/>
      <c r="V890" s="106"/>
    </row>
    <row r="891">
      <c r="C891" s="79"/>
      <c r="D891" s="79"/>
      <c r="J891" s="79"/>
      <c r="N891" s="79"/>
      <c r="Q891" s="79"/>
      <c r="V891" s="106"/>
    </row>
    <row r="892">
      <c r="C892" s="79"/>
      <c r="D892" s="79"/>
      <c r="J892" s="79"/>
      <c r="N892" s="79"/>
      <c r="Q892" s="79"/>
      <c r="V892" s="106"/>
    </row>
    <row r="893">
      <c r="C893" s="79"/>
      <c r="D893" s="79"/>
      <c r="J893" s="79"/>
      <c r="N893" s="79"/>
      <c r="Q893" s="79"/>
      <c r="V893" s="106"/>
    </row>
    <row r="894">
      <c r="C894" s="79"/>
      <c r="D894" s="79"/>
      <c r="J894" s="79"/>
      <c r="N894" s="79"/>
      <c r="Q894" s="79"/>
      <c r="V894" s="106"/>
    </row>
    <row r="895">
      <c r="C895" s="79"/>
      <c r="D895" s="79"/>
      <c r="J895" s="79"/>
      <c r="N895" s="79"/>
      <c r="Q895" s="79"/>
      <c r="V895" s="106"/>
    </row>
    <row r="896">
      <c r="C896" s="79"/>
      <c r="D896" s="79"/>
      <c r="J896" s="79"/>
      <c r="N896" s="79"/>
      <c r="Q896" s="79"/>
      <c r="V896" s="106"/>
    </row>
    <row r="897">
      <c r="C897" s="79"/>
      <c r="D897" s="79"/>
      <c r="J897" s="79"/>
      <c r="N897" s="79"/>
      <c r="Q897" s="79"/>
      <c r="V897" s="106"/>
    </row>
    <row r="898">
      <c r="C898" s="79"/>
      <c r="D898" s="79"/>
      <c r="J898" s="79"/>
      <c r="N898" s="79"/>
      <c r="Q898" s="79"/>
      <c r="V898" s="106"/>
    </row>
    <row r="899">
      <c r="C899" s="79"/>
      <c r="D899" s="79"/>
      <c r="J899" s="79"/>
      <c r="N899" s="79"/>
      <c r="Q899" s="79"/>
      <c r="V899" s="106"/>
    </row>
    <row r="900">
      <c r="C900" s="79"/>
      <c r="D900" s="79"/>
      <c r="J900" s="79"/>
      <c r="N900" s="79"/>
      <c r="Q900" s="79"/>
      <c r="V900" s="106"/>
    </row>
    <row r="901">
      <c r="C901" s="79"/>
      <c r="D901" s="79"/>
      <c r="J901" s="79"/>
      <c r="N901" s="79"/>
      <c r="Q901" s="79"/>
      <c r="V901" s="106"/>
    </row>
    <row r="902">
      <c r="C902" s="79"/>
      <c r="D902" s="79"/>
      <c r="J902" s="79"/>
      <c r="N902" s="79"/>
      <c r="Q902" s="79"/>
      <c r="V902" s="106"/>
    </row>
    <row r="903">
      <c r="C903" s="79"/>
      <c r="D903" s="79"/>
      <c r="J903" s="79"/>
      <c r="N903" s="79"/>
      <c r="Q903" s="79"/>
      <c r="V903" s="106"/>
    </row>
    <row r="904">
      <c r="C904" s="79"/>
      <c r="D904" s="79"/>
      <c r="J904" s="79"/>
      <c r="N904" s="79"/>
      <c r="Q904" s="79"/>
      <c r="V904" s="106"/>
    </row>
    <row r="905">
      <c r="C905" s="79"/>
      <c r="D905" s="79"/>
      <c r="J905" s="79"/>
      <c r="N905" s="79"/>
      <c r="Q905" s="79"/>
      <c r="V905" s="106"/>
    </row>
    <row r="906">
      <c r="C906" s="79"/>
      <c r="D906" s="79"/>
      <c r="J906" s="79"/>
      <c r="N906" s="79"/>
      <c r="Q906" s="79"/>
      <c r="V906" s="106"/>
    </row>
    <row r="907">
      <c r="C907" s="79"/>
      <c r="D907" s="79"/>
      <c r="J907" s="79"/>
      <c r="N907" s="79"/>
      <c r="Q907" s="79"/>
      <c r="V907" s="106"/>
    </row>
    <row r="908">
      <c r="C908" s="79"/>
      <c r="D908" s="79"/>
      <c r="J908" s="79"/>
      <c r="N908" s="79"/>
      <c r="Q908" s="79"/>
      <c r="V908" s="106"/>
    </row>
    <row r="909">
      <c r="C909" s="79"/>
      <c r="D909" s="79"/>
      <c r="J909" s="79"/>
      <c r="N909" s="79"/>
      <c r="Q909" s="79"/>
      <c r="V909" s="106"/>
    </row>
    <row r="910">
      <c r="C910" s="79"/>
      <c r="D910" s="79"/>
      <c r="J910" s="79"/>
      <c r="N910" s="79"/>
      <c r="Q910" s="79"/>
      <c r="V910" s="106"/>
    </row>
    <row r="911">
      <c r="C911" s="79"/>
      <c r="D911" s="79"/>
      <c r="J911" s="79"/>
      <c r="N911" s="79"/>
      <c r="Q911" s="79"/>
      <c r="V911" s="106"/>
    </row>
    <row r="912">
      <c r="C912" s="79"/>
      <c r="D912" s="79"/>
      <c r="J912" s="79"/>
      <c r="N912" s="79"/>
      <c r="Q912" s="79"/>
      <c r="V912" s="106"/>
    </row>
    <row r="913">
      <c r="C913" s="79"/>
      <c r="D913" s="79"/>
      <c r="J913" s="79"/>
      <c r="N913" s="79"/>
      <c r="Q913" s="79"/>
      <c r="V913" s="106"/>
    </row>
    <row r="914">
      <c r="C914" s="79"/>
      <c r="D914" s="79"/>
      <c r="J914" s="79"/>
      <c r="N914" s="79"/>
      <c r="Q914" s="79"/>
      <c r="V914" s="106"/>
    </row>
    <row r="915">
      <c r="C915" s="79"/>
      <c r="D915" s="79"/>
      <c r="J915" s="79"/>
      <c r="N915" s="79"/>
      <c r="Q915" s="79"/>
      <c r="V915" s="106"/>
    </row>
    <row r="916">
      <c r="C916" s="79"/>
      <c r="D916" s="79"/>
      <c r="J916" s="79"/>
      <c r="N916" s="79"/>
      <c r="Q916" s="79"/>
      <c r="V916" s="106"/>
    </row>
    <row r="917">
      <c r="C917" s="79"/>
      <c r="D917" s="79"/>
      <c r="J917" s="79"/>
      <c r="N917" s="79"/>
      <c r="Q917" s="79"/>
      <c r="V917" s="106"/>
    </row>
    <row r="918">
      <c r="C918" s="79"/>
      <c r="D918" s="79"/>
      <c r="J918" s="79"/>
      <c r="N918" s="79"/>
      <c r="Q918" s="79"/>
      <c r="V918" s="106"/>
    </row>
    <row r="919">
      <c r="C919" s="79"/>
      <c r="D919" s="79"/>
      <c r="J919" s="79"/>
      <c r="N919" s="79"/>
      <c r="Q919" s="79"/>
      <c r="V919" s="106"/>
    </row>
    <row r="920">
      <c r="C920" s="79"/>
      <c r="D920" s="79"/>
      <c r="J920" s="79"/>
      <c r="N920" s="79"/>
      <c r="Q920" s="79"/>
      <c r="V920" s="106"/>
    </row>
    <row r="921">
      <c r="C921" s="79"/>
      <c r="D921" s="79"/>
      <c r="J921" s="79"/>
      <c r="N921" s="79"/>
      <c r="Q921" s="79"/>
      <c r="V921" s="106"/>
    </row>
    <row r="922">
      <c r="C922" s="79"/>
      <c r="D922" s="79"/>
      <c r="J922" s="79"/>
      <c r="N922" s="79"/>
      <c r="Q922" s="79"/>
      <c r="V922" s="106"/>
    </row>
    <row r="923">
      <c r="C923" s="79"/>
      <c r="D923" s="79"/>
      <c r="J923" s="79"/>
      <c r="N923" s="79"/>
      <c r="Q923" s="79"/>
      <c r="V923" s="106"/>
    </row>
    <row r="924">
      <c r="C924" s="79"/>
      <c r="D924" s="79"/>
      <c r="J924" s="79"/>
      <c r="N924" s="79"/>
      <c r="Q924" s="79"/>
      <c r="V924" s="106"/>
    </row>
    <row r="925">
      <c r="C925" s="79"/>
      <c r="D925" s="79"/>
      <c r="J925" s="79"/>
      <c r="N925" s="79"/>
      <c r="Q925" s="79"/>
      <c r="V925" s="106"/>
    </row>
    <row r="926">
      <c r="C926" s="79"/>
      <c r="D926" s="79"/>
      <c r="J926" s="79"/>
      <c r="N926" s="79"/>
      <c r="Q926" s="79"/>
      <c r="V926" s="106"/>
    </row>
    <row r="927">
      <c r="C927" s="79"/>
      <c r="D927" s="79"/>
      <c r="J927" s="79"/>
      <c r="N927" s="79"/>
      <c r="Q927" s="79"/>
      <c r="V927" s="106"/>
    </row>
    <row r="928">
      <c r="C928" s="79"/>
      <c r="D928" s="79"/>
      <c r="J928" s="79"/>
      <c r="N928" s="79"/>
      <c r="Q928" s="79"/>
      <c r="V928" s="106"/>
    </row>
    <row r="929">
      <c r="C929" s="79"/>
      <c r="D929" s="79"/>
      <c r="J929" s="79"/>
      <c r="N929" s="79"/>
      <c r="Q929" s="79"/>
      <c r="V929" s="106"/>
    </row>
    <row r="930">
      <c r="C930" s="79"/>
      <c r="D930" s="79"/>
      <c r="J930" s="79"/>
      <c r="N930" s="79"/>
      <c r="Q930" s="79"/>
      <c r="V930" s="106"/>
    </row>
    <row r="931">
      <c r="C931" s="79"/>
      <c r="D931" s="79"/>
      <c r="J931" s="79"/>
      <c r="N931" s="79"/>
      <c r="Q931" s="79"/>
      <c r="V931" s="106"/>
    </row>
    <row r="932">
      <c r="C932" s="79"/>
      <c r="D932" s="79"/>
      <c r="J932" s="79"/>
      <c r="N932" s="79"/>
      <c r="Q932" s="79"/>
      <c r="V932" s="106"/>
    </row>
    <row r="933">
      <c r="C933" s="79"/>
      <c r="D933" s="79"/>
      <c r="J933" s="79"/>
      <c r="N933" s="79"/>
      <c r="Q933" s="79"/>
      <c r="V933" s="106"/>
    </row>
    <row r="934">
      <c r="C934" s="79"/>
      <c r="D934" s="79"/>
      <c r="J934" s="79"/>
      <c r="N934" s="79"/>
      <c r="Q934" s="79"/>
      <c r="V934" s="106"/>
    </row>
    <row r="935">
      <c r="C935" s="79"/>
      <c r="D935" s="79"/>
      <c r="J935" s="79"/>
      <c r="N935" s="79"/>
      <c r="Q935" s="79"/>
      <c r="V935" s="106"/>
    </row>
    <row r="936">
      <c r="C936" s="79"/>
      <c r="D936" s="79"/>
      <c r="J936" s="79"/>
      <c r="N936" s="79"/>
      <c r="Q936" s="79"/>
      <c r="V936" s="106"/>
    </row>
    <row r="937">
      <c r="C937" s="79"/>
      <c r="D937" s="79"/>
      <c r="J937" s="79"/>
      <c r="N937" s="79"/>
      <c r="Q937" s="79"/>
      <c r="V937" s="106"/>
    </row>
    <row r="938">
      <c r="C938" s="79"/>
      <c r="D938" s="79"/>
      <c r="J938" s="79"/>
      <c r="N938" s="79"/>
      <c r="Q938" s="79"/>
      <c r="V938" s="106"/>
    </row>
    <row r="939">
      <c r="C939" s="79"/>
      <c r="D939" s="79"/>
      <c r="J939" s="79"/>
      <c r="N939" s="79"/>
      <c r="Q939" s="79"/>
      <c r="V939" s="106"/>
    </row>
    <row r="940">
      <c r="C940" s="79"/>
      <c r="D940" s="79"/>
      <c r="J940" s="79"/>
      <c r="N940" s="79"/>
      <c r="Q940" s="79"/>
      <c r="V940" s="106"/>
    </row>
    <row r="941">
      <c r="C941" s="79"/>
      <c r="D941" s="79"/>
      <c r="J941" s="79"/>
      <c r="N941" s="79"/>
      <c r="Q941" s="79"/>
      <c r="V941" s="106"/>
    </row>
    <row r="942">
      <c r="C942" s="79"/>
      <c r="D942" s="79"/>
      <c r="J942" s="79"/>
      <c r="N942" s="79"/>
      <c r="Q942" s="79"/>
      <c r="V942" s="106"/>
    </row>
    <row r="943">
      <c r="C943" s="79"/>
      <c r="D943" s="79"/>
      <c r="J943" s="79"/>
      <c r="N943" s="79"/>
      <c r="Q943" s="79"/>
      <c r="V943" s="106"/>
    </row>
    <row r="944">
      <c r="C944" s="79"/>
      <c r="D944" s="79"/>
      <c r="J944" s="79"/>
      <c r="N944" s="79"/>
      <c r="Q944" s="79"/>
      <c r="V944" s="106"/>
    </row>
    <row r="945">
      <c r="C945" s="79"/>
      <c r="D945" s="79"/>
      <c r="J945" s="79"/>
      <c r="N945" s="79"/>
      <c r="Q945" s="79"/>
      <c r="V945" s="106"/>
    </row>
    <row r="946">
      <c r="C946" s="79"/>
      <c r="D946" s="79"/>
      <c r="J946" s="79"/>
      <c r="N946" s="79"/>
      <c r="Q946" s="79"/>
      <c r="V946" s="106"/>
    </row>
    <row r="947">
      <c r="C947" s="79"/>
      <c r="D947" s="79"/>
      <c r="J947" s="79"/>
      <c r="N947" s="79"/>
      <c r="Q947" s="79"/>
      <c r="V947" s="106"/>
    </row>
    <row r="948">
      <c r="C948" s="79"/>
      <c r="D948" s="79"/>
      <c r="J948" s="79"/>
      <c r="N948" s="79"/>
      <c r="Q948" s="79"/>
      <c r="V948" s="106"/>
    </row>
    <row r="949">
      <c r="C949" s="79"/>
      <c r="D949" s="79"/>
      <c r="J949" s="79"/>
      <c r="N949" s="79"/>
      <c r="Q949" s="79"/>
      <c r="V949" s="106"/>
    </row>
    <row r="950">
      <c r="C950" s="79"/>
      <c r="D950" s="79"/>
      <c r="J950" s="79"/>
      <c r="N950" s="79"/>
      <c r="Q950" s="79"/>
      <c r="V950" s="106"/>
    </row>
    <row r="951">
      <c r="C951" s="79"/>
      <c r="D951" s="79"/>
      <c r="J951" s="79"/>
      <c r="N951" s="79"/>
      <c r="Q951" s="79"/>
      <c r="V951" s="106"/>
    </row>
    <row r="952">
      <c r="C952" s="79"/>
      <c r="D952" s="79"/>
      <c r="J952" s="79"/>
      <c r="N952" s="79"/>
      <c r="Q952" s="79"/>
      <c r="V952" s="106"/>
    </row>
    <row r="953">
      <c r="C953" s="79"/>
      <c r="D953" s="79"/>
      <c r="J953" s="79"/>
      <c r="N953" s="79"/>
      <c r="Q953" s="79"/>
      <c r="V953" s="106"/>
    </row>
    <row r="954">
      <c r="C954" s="79"/>
      <c r="D954" s="79"/>
      <c r="J954" s="79"/>
      <c r="N954" s="79"/>
      <c r="Q954" s="79"/>
      <c r="V954" s="106"/>
    </row>
    <row r="955">
      <c r="C955" s="79"/>
      <c r="D955" s="79"/>
      <c r="J955" s="79"/>
      <c r="N955" s="79"/>
      <c r="Q955" s="79"/>
      <c r="V955" s="106"/>
    </row>
    <row r="956">
      <c r="C956" s="79"/>
      <c r="D956" s="79"/>
      <c r="J956" s="79"/>
      <c r="N956" s="79"/>
      <c r="Q956" s="79"/>
      <c r="V956" s="106"/>
    </row>
    <row r="957">
      <c r="C957" s="79"/>
      <c r="D957" s="79"/>
      <c r="J957" s="79"/>
      <c r="N957" s="79"/>
      <c r="Q957" s="79"/>
      <c r="V957" s="106"/>
    </row>
    <row r="958">
      <c r="C958" s="79"/>
      <c r="D958" s="79"/>
      <c r="J958" s="79"/>
      <c r="N958" s="79"/>
      <c r="Q958" s="79"/>
      <c r="V958" s="106"/>
    </row>
    <row r="959">
      <c r="C959" s="79"/>
      <c r="D959" s="79"/>
      <c r="J959" s="79"/>
      <c r="N959" s="79"/>
      <c r="Q959" s="79"/>
      <c r="V959" s="106"/>
    </row>
    <row r="960">
      <c r="C960" s="79"/>
      <c r="D960" s="79"/>
      <c r="J960" s="79"/>
      <c r="N960" s="79"/>
      <c r="Q960" s="79"/>
      <c r="V960" s="106"/>
    </row>
    <row r="961">
      <c r="C961" s="79"/>
      <c r="D961" s="79"/>
      <c r="J961" s="79"/>
      <c r="N961" s="79"/>
      <c r="Q961" s="79"/>
      <c r="V961" s="106"/>
    </row>
    <row r="962">
      <c r="C962" s="79"/>
      <c r="D962" s="79"/>
      <c r="J962" s="79"/>
      <c r="N962" s="79"/>
      <c r="Q962" s="79"/>
      <c r="V962" s="106"/>
    </row>
    <row r="963">
      <c r="C963" s="79"/>
      <c r="D963" s="79"/>
      <c r="J963" s="79"/>
      <c r="N963" s="79"/>
      <c r="Q963" s="79"/>
      <c r="V963" s="106"/>
    </row>
    <row r="964">
      <c r="C964" s="79"/>
      <c r="D964" s="79"/>
      <c r="J964" s="79"/>
      <c r="N964" s="79"/>
      <c r="Q964" s="79"/>
      <c r="V964" s="106"/>
    </row>
    <row r="965">
      <c r="C965" s="79"/>
      <c r="D965" s="79"/>
      <c r="J965" s="79"/>
      <c r="N965" s="79"/>
      <c r="Q965" s="79"/>
      <c r="V965" s="106"/>
    </row>
    <row r="966">
      <c r="C966" s="79"/>
      <c r="D966" s="79"/>
      <c r="J966" s="79"/>
      <c r="N966" s="79"/>
      <c r="Q966" s="79"/>
      <c r="V966" s="106"/>
    </row>
    <row r="967">
      <c r="C967" s="79"/>
      <c r="D967" s="79"/>
      <c r="J967" s="79"/>
      <c r="N967" s="79"/>
      <c r="Q967" s="79"/>
      <c r="V967" s="106"/>
    </row>
    <row r="968">
      <c r="C968" s="79"/>
      <c r="D968" s="79"/>
      <c r="J968" s="79"/>
      <c r="N968" s="79"/>
      <c r="Q968" s="79"/>
      <c r="V968" s="106"/>
    </row>
    <row r="969">
      <c r="C969" s="79"/>
      <c r="D969" s="79"/>
      <c r="J969" s="79"/>
      <c r="N969" s="79"/>
      <c r="Q969" s="79"/>
      <c r="V969" s="106"/>
    </row>
    <row r="970">
      <c r="C970" s="79"/>
      <c r="D970" s="79"/>
      <c r="J970" s="79"/>
      <c r="N970" s="79"/>
      <c r="Q970" s="79"/>
      <c r="V970" s="106"/>
    </row>
    <row r="971">
      <c r="C971" s="79"/>
      <c r="D971" s="79"/>
      <c r="J971" s="79"/>
      <c r="N971" s="79"/>
      <c r="Q971" s="79"/>
      <c r="V971" s="106"/>
    </row>
    <row r="972">
      <c r="C972" s="79"/>
      <c r="D972" s="79"/>
      <c r="J972" s="79"/>
      <c r="N972" s="79"/>
      <c r="Q972" s="79"/>
      <c r="V972" s="106"/>
    </row>
    <row r="973">
      <c r="C973" s="79"/>
      <c r="D973" s="79"/>
      <c r="J973" s="79"/>
      <c r="N973" s="79"/>
      <c r="Q973" s="79"/>
      <c r="V973" s="106"/>
    </row>
    <row r="974">
      <c r="C974" s="79"/>
      <c r="D974" s="79"/>
      <c r="J974" s="79"/>
      <c r="N974" s="79"/>
      <c r="Q974" s="79"/>
      <c r="V974" s="106"/>
    </row>
    <row r="975">
      <c r="C975" s="79"/>
      <c r="D975" s="79"/>
      <c r="J975" s="79"/>
      <c r="N975" s="79"/>
      <c r="Q975" s="79"/>
      <c r="V975" s="106"/>
    </row>
    <row r="976">
      <c r="C976" s="79"/>
      <c r="D976" s="79"/>
      <c r="J976" s="79"/>
      <c r="N976" s="79"/>
      <c r="Q976" s="79"/>
      <c r="V976" s="106"/>
    </row>
    <row r="977">
      <c r="C977" s="79"/>
      <c r="D977" s="79"/>
      <c r="J977" s="79"/>
      <c r="N977" s="79"/>
      <c r="Q977" s="79"/>
      <c r="V977" s="106"/>
    </row>
    <row r="978">
      <c r="C978" s="79"/>
      <c r="D978" s="79"/>
      <c r="J978" s="79"/>
      <c r="N978" s="79"/>
      <c r="Q978" s="79"/>
      <c r="V978" s="106"/>
    </row>
    <row r="979">
      <c r="C979" s="79"/>
      <c r="D979" s="79"/>
      <c r="J979" s="79"/>
      <c r="N979" s="79"/>
      <c r="Q979" s="79"/>
      <c r="V979" s="106"/>
    </row>
    <row r="980">
      <c r="C980" s="79"/>
      <c r="D980" s="79"/>
      <c r="J980" s="79"/>
      <c r="N980" s="79"/>
      <c r="Q980" s="79"/>
      <c r="V980" s="106"/>
    </row>
    <row r="981">
      <c r="C981" s="79"/>
      <c r="D981" s="79"/>
      <c r="J981" s="79"/>
      <c r="N981" s="79"/>
      <c r="Q981" s="79"/>
      <c r="V981" s="106"/>
    </row>
    <row r="982">
      <c r="C982" s="79"/>
      <c r="D982" s="79"/>
      <c r="J982" s="79"/>
      <c r="N982" s="79"/>
      <c r="Q982" s="79"/>
      <c r="V982" s="106"/>
    </row>
    <row r="983">
      <c r="C983" s="79"/>
      <c r="D983" s="79"/>
      <c r="J983" s="79"/>
      <c r="N983" s="79"/>
      <c r="Q983" s="79"/>
      <c r="V983" s="106"/>
    </row>
    <row r="984">
      <c r="C984" s="79"/>
      <c r="D984" s="79"/>
      <c r="J984" s="79"/>
      <c r="N984" s="79"/>
      <c r="Q984" s="79"/>
      <c r="V984" s="106"/>
    </row>
    <row r="985">
      <c r="C985" s="79"/>
      <c r="D985" s="79"/>
      <c r="J985" s="79"/>
      <c r="N985" s="79"/>
      <c r="Q985" s="79"/>
      <c r="V985" s="106"/>
    </row>
    <row r="986">
      <c r="C986" s="79"/>
      <c r="D986" s="79"/>
      <c r="J986" s="79"/>
      <c r="N986" s="79"/>
      <c r="Q986" s="79"/>
      <c r="V986" s="106"/>
    </row>
    <row r="987">
      <c r="C987" s="79"/>
      <c r="D987" s="79"/>
      <c r="J987" s="79"/>
      <c r="N987" s="79"/>
      <c r="Q987" s="79"/>
      <c r="V987" s="106"/>
    </row>
    <row r="988">
      <c r="C988" s="79"/>
      <c r="D988" s="79"/>
      <c r="J988" s="79"/>
      <c r="N988" s="79"/>
      <c r="Q988" s="79"/>
      <c r="V988" s="106"/>
    </row>
    <row r="989">
      <c r="C989" s="79"/>
      <c r="D989" s="79"/>
      <c r="J989" s="79"/>
      <c r="N989" s="79"/>
      <c r="Q989" s="79"/>
      <c r="V989" s="106"/>
    </row>
    <row r="990">
      <c r="C990" s="79"/>
      <c r="D990" s="79"/>
      <c r="J990" s="79"/>
      <c r="N990" s="79"/>
      <c r="Q990" s="79"/>
      <c r="V990" s="106"/>
    </row>
    <row r="991">
      <c r="C991" s="79"/>
      <c r="D991" s="79"/>
      <c r="J991" s="79"/>
      <c r="N991" s="79"/>
      <c r="Q991" s="79"/>
      <c r="V991" s="106"/>
    </row>
    <row r="992">
      <c r="C992" s="79"/>
      <c r="D992" s="79"/>
      <c r="J992" s="79"/>
      <c r="N992" s="79"/>
      <c r="Q992" s="79"/>
      <c r="V992" s="106"/>
    </row>
    <row r="993">
      <c r="C993" s="79"/>
      <c r="D993" s="79"/>
      <c r="J993" s="79"/>
      <c r="N993" s="79"/>
      <c r="Q993" s="79"/>
      <c r="V993" s="106"/>
    </row>
    <row r="994">
      <c r="C994" s="79"/>
      <c r="D994" s="79"/>
      <c r="J994" s="79"/>
      <c r="N994" s="79"/>
      <c r="Q994" s="79"/>
      <c r="V994" s="106"/>
    </row>
    <row r="995">
      <c r="C995" s="79"/>
      <c r="D995" s="79"/>
      <c r="J995" s="79"/>
      <c r="N995" s="79"/>
      <c r="Q995" s="79"/>
      <c r="V995" s="106"/>
    </row>
    <row r="996">
      <c r="C996" s="79"/>
      <c r="D996" s="79"/>
      <c r="J996" s="79"/>
      <c r="N996" s="79"/>
      <c r="Q996" s="79"/>
      <c r="V996" s="106"/>
    </row>
    <row r="997">
      <c r="C997" s="79"/>
      <c r="D997" s="79"/>
      <c r="J997" s="79"/>
      <c r="N997" s="79"/>
      <c r="Q997" s="79"/>
      <c r="V997" s="106"/>
    </row>
    <row r="998">
      <c r="C998" s="79"/>
      <c r="D998" s="79"/>
      <c r="J998" s="79"/>
      <c r="N998" s="79"/>
      <c r="Q998" s="79"/>
      <c r="V998" s="106"/>
    </row>
    <row r="999">
      <c r="C999" s="79"/>
      <c r="D999" s="79"/>
      <c r="J999" s="79"/>
      <c r="N999" s="79"/>
      <c r="Q999" s="79"/>
      <c r="V999" s="106"/>
    </row>
    <row r="1000">
      <c r="C1000" s="79"/>
      <c r="D1000" s="79"/>
      <c r="J1000" s="79"/>
      <c r="N1000" s="79"/>
      <c r="Q1000" s="79"/>
      <c r="V1000" s="106"/>
    </row>
  </sheetData>
  <mergeCells count="1">
    <mergeCell ref="H19:J19"/>
  </mergeCells>
  <drawing r:id="rId2"/>
  <legacyDrawing r:id="rId3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2" max="22" width="17.0"/>
  </cols>
  <sheetData>
    <row r="1">
      <c r="B1" s="2" t="s">
        <v>0</v>
      </c>
      <c r="C1" s="105" t="s">
        <v>1</v>
      </c>
      <c r="D1" s="105" t="s">
        <v>7</v>
      </c>
      <c r="E1" s="2" t="s">
        <v>3</v>
      </c>
      <c r="F1" s="2" t="s">
        <v>129</v>
      </c>
      <c r="G1" s="2" t="s">
        <v>5</v>
      </c>
      <c r="H1" s="2" t="s">
        <v>6</v>
      </c>
      <c r="I1" s="2" t="s">
        <v>43</v>
      </c>
      <c r="J1" s="105" t="s">
        <v>40</v>
      </c>
      <c r="K1" s="2" t="s">
        <v>49</v>
      </c>
      <c r="L1" s="2" t="s">
        <v>42</v>
      </c>
      <c r="M1" s="2" t="s">
        <v>121</v>
      </c>
      <c r="N1" s="105" t="s">
        <v>9</v>
      </c>
      <c r="O1" s="2" t="s">
        <v>37</v>
      </c>
      <c r="P1" s="2" t="s">
        <v>10</v>
      </c>
      <c r="Q1" s="105" t="s">
        <v>11</v>
      </c>
      <c r="R1" s="2" t="s">
        <v>12</v>
      </c>
      <c r="S1" s="3" t="s">
        <v>13</v>
      </c>
      <c r="T1" s="3" t="s">
        <v>14</v>
      </c>
      <c r="U1" s="3" t="s">
        <v>15</v>
      </c>
      <c r="V1" s="106"/>
    </row>
    <row r="2">
      <c r="A2" s="74">
        <v>45075.0</v>
      </c>
      <c r="B2" s="5">
        <v>544.97</v>
      </c>
      <c r="C2" s="93"/>
      <c r="D2" s="93"/>
      <c r="E2" s="5"/>
      <c r="F2" s="5"/>
      <c r="G2" s="5"/>
      <c r="H2" s="5"/>
      <c r="I2" s="5"/>
      <c r="J2" s="58">
        <v>1002.0</v>
      </c>
      <c r="K2" s="5">
        <v>168.0</v>
      </c>
      <c r="L2" s="5"/>
      <c r="M2" s="5"/>
      <c r="N2" s="93"/>
      <c r="O2" s="5"/>
      <c r="P2" s="5"/>
      <c r="Q2" s="93"/>
      <c r="R2" s="5"/>
      <c r="S2" s="107">
        <f t="shared" ref="S2:S7" si="1">SUM(B2:R2)</f>
        <v>1714.97</v>
      </c>
      <c r="T2" s="108">
        <v>3041.2</v>
      </c>
      <c r="U2" s="59">
        <f t="shared" ref="U2:U8" si="2">S2/T2</f>
        <v>0.5639122715</v>
      </c>
      <c r="V2" s="109">
        <f t="shared" ref="V2:V8" si="3">A2</f>
        <v>45075</v>
      </c>
    </row>
    <row r="3">
      <c r="A3" s="74">
        <v>45076.0</v>
      </c>
      <c r="B3" s="5">
        <v>1057.49</v>
      </c>
      <c r="C3" s="110">
        <v>1221.64</v>
      </c>
      <c r="D3" s="93"/>
      <c r="E3" s="5"/>
      <c r="F3" s="5">
        <v>334.06</v>
      </c>
      <c r="G3" s="5">
        <v>757.06</v>
      </c>
      <c r="H3" s="5">
        <v>42.0</v>
      </c>
      <c r="I3" s="5"/>
      <c r="J3" s="93">
        <v>199.36</v>
      </c>
      <c r="K3" s="5"/>
      <c r="L3" s="5"/>
      <c r="M3" s="6"/>
      <c r="N3" s="44">
        <v>226.25</v>
      </c>
      <c r="O3" s="93"/>
      <c r="P3" s="5"/>
      <c r="Q3" s="93"/>
      <c r="R3" s="44">
        <v>179.96</v>
      </c>
      <c r="S3" s="7">
        <f t="shared" si="1"/>
        <v>4017.82</v>
      </c>
      <c r="T3" s="97">
        <v>4959.46</v>
      </c>
      <c r="U3" s="59">
        <f t="shared" si="2"/>
        <v>0.8101325548</v>
      </c>
      <c r="V3" s="109">
        <f t="shared" si="3"/>
        <v>45076</v>
      </c>
    </row>
    <row r="4">
      <c r="A4" s="74">
        <v>45077.0</v>
      </c>
      <c r="B4" s="5">
        <v>1745.99</v>
      </c>
      <c r="C4" s="93">
        <v>427.76</v>
      </c>
      <c r="D4" s="93"/>
      <c r="E4" s="5"/>
      <c r="F4" s="5"/>
      <c r="G4" s="5"/>
      <c r="H4" s="5"/>
      <c r="I4" s="5"/>
      <c r="J4" s="93"/>
      <c r="K4" s="5"/>
      <c r="L4" s="5"/>
      <c r="M4" s="5">
        <v>18.5</v>
      </c>
      <c r="N4" s="93"/>
      <c r="O4" s="5"/>
      <c r="P4" s="83"/>
      <c r="Q4" s="44">
        <v>109.97</v>
      </c>
      <c r="R4" s="6"/>
      <c r="S4" s="7">
        <f t="shared" si="1"/>
        <v>2302.22</v>
      </c>
      <c r="T4" s="97">
        <v>6953.0</v>
      </c>
      <c r="U4" s="59">
        <f t="shared" si="2"/>
        <v>0.3311117503</v>
      </c>
      <c r="V4" s="109">
        <f t="shared" si="3"/>
        <v>45077</v>
      </c>
    </row>
    <row r="5">
      <c r="A5" s="74">
        <v>45078.0</v>
      </c>
      <c r="B5" s="5">
        <v>959.41</v>
      </c>
      <c r="C5" s="93">
        <v>328.0</v>
      </c>
      <c r="D5" s="101"/>
      <c r="E5" s="5">
        <v>180.0</v>
      </c>
      <c r="F5" s="5">
        <v>577.48</v>
      </c>
      <c r="G5" s="5"/>
      <c r="H5" s="5">
        <v>123.0</v>
      </c>
      <c r="I5" s="5"/>
      <c r="J5" s="93"/>
      <c r="K5" s="5"/>
      <c r="L5" s="5"/>
      <c r="M5" s="5">
        <v>18.5</v>
      </c>
      <c r="N5" s="44">
        <v>38.0</v>
      </c>
      <c r="O5" s="5"/>
      <c r="P5" s="5">
        <v>76.5</v>
      </c>
      <c r="Q5" s="101"/>
      <c r="R5" s="6"/>
      <c r="S5" s="7">
        <f t="shared" si="1"/>
        <v>2300.89</v>
      </c>
      <c r="T5" s="98">
        <v>8590.01</v>
      </c>
      <c r="U5" s="59">
        <f t="shared" si="2"/>
        <v>0.2678564984</v>
      </c>
      <c r="V5" s="109">
        <f t="shared" si="3"/>
        <v>45078</v>
      </c>
    </row>
    <row r="6">
      <c r="A6" s="74">
        <v>45079.0</v>
      </c>
      <c r="B6" s="5">
        <v>1208.46</v>
      </c>
      <c r="C6" s="93">
        <v>780.3</v>
      </c>
      <c r="D6" s="44">
        <v>244.0</v>
      </c>
      <c r="E6" s="5"/>
      <c r="G6" s="5"/>
      <c r="H6" s="5"/>
      <c r="I6" s="5"/>
      <c r="J6" s="111"/>
      <c r="K6" s="5">
        <v>168.0</v>
      </c>
      <c r="L6" s="5"/>
      <c r="M6" s="5">
        <v>18.5</v>
      </c>
      <c r="N6" s="44">
        <v>166.0</v>
      </c>
      <c r="O6" s="5"/>
      <c r="P6" s="5">
        <v>180.0</v>
      </c>
      <c r="Q6" s="44">
        <v>109.97</v>
      </c>
      <c r="R6" s="5"/>
      <c r="S6" s="7">
        <f t="shared" si="1"/>
        <v>2875.23</v>
      </c>
      <c r="T6" s="97">
        <v>15942.0</v>
      </c>
      <c r="U6" s="59">
        <f t="shared" si="2"/>
        <v>0.1803556643</v>
      </c>
      <c r="V6" s="109">
        <f t="shared" si="3"/>
        <v>45079</v>
      </c>
    </row>
    <row r="7">
      <c r="A7" s="74">
        <v>45080.0</v>
      </c>
      <c r="B7" s="5">
        <v>1163.84</v>
      </c>
      <c r="C7" s="93">
        <v>256.06</v>
      </c>
      <c r="D7" s="93"/>
      <c r="E7" s="5"/>
      <c r="F7" s="5">
        <v>183.34</v>
      </c>
      <c r="G7" s="5">
        <v>380.0</v>
      </c>
      <c r="H7" s="5"/>
      <c r="I7" s="5"/>
      <c r="J7" s="101"/>
      <c r="K7" s="5"/>
      <c r="L7" s="5"/>
      <c r="M7" s="93"/>
      <c r="N7" s="44">
        <v>135.0</v>
      </c>
      <c r="O7" s="6"/>
      <c r="P7" s="6"/>
      <c r="Q7" s="101"/>
      <c r="R7" s="5">
        <v>48.36</v>
      </c>
      <c r="S7" s="7">
        <f t="shared" si="1"/>
        <v>2166.6</v>
      </c>
      <c r="T7" s="97">
        <v>20130.0</v>
      </c>
      <c r="U7" s="59">
        <f t="shared" si="2"/>
        <v>0.1076304024</v>
      </c>
      <c r="V7" s="109">
        <f t="shared" si="3"/>
        <v>45080</v>
      </c>
    </row>
    <row r="8">
      <c r="A8" s="74">
        <v>45081.0</v>
      </c>
      <c r="B8" s="10" t="s">
        <v>21</v>
      </c>
      <c r="C8" s="112" t="s">
        <v>21</v>
      </c>
      <c r="D8" s="112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12" t="s">
        <v>21</v>
      </c>
      <c r="K8" s="10" t="s">
        <v>21</v>
      </c>
      <c r="L8" s="10" t="s">
        <v>21</v>
      </c>
      <c r="M8" s="10"/>
      <c r="N8" s="112" t="s">
        <v>21</v>
      </c>
      <c r="O8" s="10" t="s">
        <v>21</v>
      </c>
      <c r="P8" s="10" t="s">
        <v>21</v>
      </c>
      <c r="Q8" s="112" t="s">
        <v>21</v>
      </c>
      <c r="R8" s="10" t="s">
        <v>21</v>
      </c>
      <c r="S8" s="7">
        <v>0.0</v>
      </c>
      <c r="T8" s="8">
        <v>11502.05</v>
      </c>
      <c r="U8" s="59">
        <f t="shared" si="2"/>
        <v>0</v>
      </c>
      <c r="V8" s="109">
        <f t="shared" si="3"/>
        <v>45081</v>
      </c>
    </row>
    <row r="9">
      <c r="C9" s="113"/>
      <c r="D9" s="79"/>
      <c r="J9" s="79"/>
      <c r="N9" s="79"/>
      <c r="Q9" s="79"/>
      <c r="T9" s="103"/>
      <c r="V9" s="106"/>
    </row>
    <row r="10">
      <c r="C10" s="79"/>
      <c r="D10" s="79"/>
      <c r="J10" s="79"/>
      <c r="N10" s="79"/>
      <c r="Q10" s="79"/>
      <c r="V10" s="106"/>
    </row>
    <row r="11">
      <c r="A11" s="4" t="s">
        <v>22</v>
      </c>
      <c r="B11" s="11">
        <v>13000.0</v>
      </c>
      <c r="C11" s="79"/>
      <c r="D11" s="79"/>
      <c r="E11" s="78"/>
      <c r="F11" s="79"/>
      <c r="J11" s="79"/>
      <c r="N11" s="79"/>
      <c r="Q11" s="79"/>
      <c r="T11" s="56"/>
      <c r="V11" s="106"/>
    </row>
    <row r="12">
      <c r="A12" s="4" t="s">
        <v>23</v>
      </c>
      <c r="B12" s="12">
        <f>SUM(B2:R8)</f>
        <v>15377.73</v>
      </c>
      <c r="C12" s="79"/>
      <c r="D12" s="79"/>
      <c r="E12" s="56"/>
      <c r="J12" s="79"/>
      <c r="N12" s="79"/>
      <c r="Q12" s="79"/>
      <c r="V12" s="106"/>
    </row>
    <row r="13">
      <c r="A13" s="4" t="s">
        <v>24</v>
      </c>
      <c r="B13" s="12">
        <f> SUM(B11-B12)</f>
        <v>-2377.73</v>
      </c>
      <c r="C13" s="79"/>
      <c r="D13" s="79"/>
      <c r="J13" s="79"/>
      <c r="N13" s="79"/>
      <c r="Q13" s="79"/>
      <c r="V13" s="106"/>
    </row>
    <row r="14">
      <c r="C14" s="79"/>
      <c r="D14" s="79"/>
      <c r="J14" s="79"/>
      <c r="N14" s="79"/>
      <c r="Q14" s="79"/>
      <c r="V14" s="106"/>
    </row>
    <row r="15">
      <c r="A15" s="13" t="s">
        <v>25</v>
      </c>
      <c r="B15" s="14">
        <f>SUM(T2:T8)</f>
        <v>71117.72</v>
      </c>
      <c r="C15" s="79"/>
      <c r="D15" s="79"/>
      <c r="J15" s="79"/>
      <c r="N15" s="79"/>
      <c r="Q15" s="79"/>
      <c r="V15" s="106"/>
    </row>
    <row r="16">
      <c r="A16" s="13" t="s">
        <v>26</v>
      </c>
      <c r="B16" s="15">
        <f>B12/B15</f>
        <v>0.2162292323</v>
      </c>
      <c r="C16" s="79"/>
      <c r="D16" s="79"/>
      <c r="J16" s="79"/>
      <c r="N16" s="79"/>
      <c r="Q16" s="79"/>
      <c r="V16" s="106"/>
    </row>
    <row r="17">
      <c r="C17" s="79"/>
      <c r="D17" s="79"/>
      <c r="J17" s="79"/>
      <c r="N17" s="79"/>
      <c r="Q17" s="79"/>
      <c r="V17" s="106"/>
    </row>
    <row r="18">
      <c r="C18" s="79"/>
      <c r="D18" s="79"/>
      <c r="J18" s="79"/>
      <c r="N18" s="79"/>
      <c r="Q18" s="79"/>
      <c r="V18" s="106"/>
    </row>
    <row r="19">
      <c r="A19" s="16" t="s">
        <v>27</v>
      </c>
      <c r="B19" s="17"/>
      <c r="C19" s="114"/>
      <c r="D19" s="115"/>
      <c r="H19" s="84"/>
      <c r="N19" s="79"/>
      <c r="Q19" s="79"/>
      <c r="V19" s="106"/>
    </row>
    <row r="20">
      <c r="A20" s="19" t="s">
        <v>28</v>
      </c>
      <c r="B20" s="20"/>
      <c r="C20" s="116"/>
      <c r="D20" s="117"/>
      <c r="H20" s="85"/>
      <c r="I20" s="85"/>
      <c r="J20" s="118"/>
      <c r="N20" s="79"/>
      <c r="Q20" s="79"/>
      <c r="V20" s="106"/>
    </row>
    <row r="21">
      <c r="A21" s="22" t="s">
        <v>29</v>
      </c>
      <c r="B21" s="23" t="s">
        <v>30</v>
      </c>
      <c r="C21" s="119" t="s">
        <v>31</v>
      </c>
      <c r="D21" s="120" t="s">
        <v>30</v>
      </c>
      <c r="H21" s="86"/>
      <c r="I21" s="85"/>
      <c r="J21" s="118"/>
      <c r="N21" s="79"/>
      <c r="Q21" s="79"/>
      <c r="V21" s="106"/>
    </row>
    <row r="22">
      <c r="A22" s="28" t="s">
        <v>149</v>
      </c>
      <c r="B22" s="72"/>
      <c r="C22" s="121"/>
      <c r="D22" s="122"/>
      <c r="H22" s="87"/>
      <c r="I22" s="85"/>
      <c r="J22" s="118"/>
      <c r="N22" s="79"/>
      <c r="Q22" s="79"/>
      <c r="V22" s="106"/>
    </row>
    <row r="23">
      <c r="A23" s="28" t="s">
        <v>150</v>
      </c>
      <c r="B23" s="72"/>
      <c r="C23" s="121"/>
      <c r="D23" s="122"/>
      <c r="H23" s="88"/>
      <c r="I23" s="88"/>
      <c r="J23" s="123"/>
      <c r="N23" s="79"/>
      <c r="Q23" s="79"/>
      <c r="V23" s="106"/>
    </row>
    <row r="24">
      <c r="A24" s="71" t="s">
        <v>108</v>
      </c>
      <c r="B24" s="72">
        <v>544.97</v>
      </c>
      <c r="C24" s="71"/>
      <c r="D24" s="124" t="s">
        <v>156</v>
      </c>
      <c r="H24" s="88"/>
      <c r="I24" s="88"/>
      <c r="J24" s="123"/>
      <c r="N24" s="79"/>
      <c r="Q24" s="79"/>
      <c r="V24" s="106"/>
    </row>
    <row r="25">
      <c r="A25" s="28"/>
      <c r="B25" s="41"/>
      <c r="C25" s="121"/>
      <c r="D25" s="122"/>
      <c r="H25" s="88"/>
      <c r="I25" s="88"/>
      <c r="J25" s="123"/>
      <c r="N25" s="79"/>
      <c r="Q25" s="79"/>
      <c r="V25" s="106"/>
    </row>
    <row r="26">
      <c r="A26" s="25"/>
      <c r="B26" s="26"/>
      <c r="C26" s="121"/>
      <c r="D26" s="122"/>
      <c r="H26" s="88"/>
      <c r="I26" s="88"/>
      <c r="J26" s="123"/>
      <c r="N26" s="79"/>
      <c r="Q26" s="79"/>
      <c r="V26" s="106"/>
    </row>
    <row r="27">
      <c r="A27" s="25"/>
      <c r="B27" s="26"/>
      <c r="C27" s="121"/>
      <c r="D27" s="122"/>
      <c r="H27" s="88"/>
      <c r="I27" s="88"/>
      <c r="J27" s="123"/>
      <c r="N27" s="79"/>
      <c r="Q27" s="79"/>
      <c r="V27" s="106"/>
    </row>
    <row r="28">
      <c r="A28" s="25"/>
      <c r="B28" s="26"/>
      <c r="C28" s="121"/>
      <c r="D28" s="122"/>
      <c r="J28" s="79"/>
      <c r="N28" s="79"/>
      <c r="Q28" s="79"/>
      <c r="T28" s="104"/>
      <c r="V28" s="106"/>
    </row>
    <row r="29">
      <c r="A29" s="25"/>
      <c r="B29" s="26"/>
      <c r="C29" s="121"/>
      <c r="D29" s="122"/>
      <c r="I29" s="89"/>
      <c r="J29" s="125"/>
      <c r="N29" s="79"/>
      <c r="Q29" s="79"/>
      <c r="V29" s="106"/>
    </row>
    <row r="30">
      <c r="C30" s="79"/>
      <c r="D30" s="79"/>
      <c r="J30" s="79"/>
      <c r="N30" s="79"/>
      <c r="Q30" s="79"/>
      <c r="V30" s="106"/>
    </row>
    <row r="31">
      <c r="C31" s="79"/>
      <c r="D31" s="79"/>
      <c r="J31" s="79"/>
      <c r="N31" s="79"/>
      <c r="Q31" s="79"/>
      <c r="V31" s="106"/>
    </row>
    <row r="32">
      <c r="C32" s="79"/>
      <c r="D32" s="79"/>
      <c r="J32" s="79"/>
      <c r="N32" s="79"/>
      <c r="Q32" s="79"/>
      <c r="V32" s="106"/>
    </row>
    <row r="33">
      <c r="C33" s="79"/>
      <c r="D33" s="79"/>
      <c r="J33" s="79"/>
      <c r="N33" s="79"/>
      <c r="Q33" s="79"/>
      <c r="V33" s="106"/>
    </row>
    <row r="34">
      <c r="C34" s="79"/>
      <c r="D34" s="79"/>
      <c r="J34" s="79"/>
      <c r="N34" s="79"/>
      <c r="Q34" s="79"/>
      <c r="V34" s="106"/>
    </row>
    <row r="35">
      <c r="C35" s="79"/>
      <c r="D35" s="79"/>
      <c r="J35" s="79"/>
      <c r="N35" s="79"/>
      <c r="Q35" s="79"/>
      <c r="V35" s="106"/>
    </row>
    <row r="36">
      <c r="C36" s="79"/>
      <c r="D36" s="79"/>
      <c r="J36" s="79"/>
      <c r="N36" s="79"/>
      <c r="Q36" s="79"/>
      <c r="V36" s="106"/>
    </row>
    <row r="37">
      <c r="C37" s="79"/>
      <c r="D37" s="79"/>
      <c r="J37" s="79"/>
      <c r="N37" s="79"/>
      <c r="Q37" s="79"/>
      <c r="V37" s="106"/>
    </row>
    <row r="38">
      <c r="C38" s="79"/>
      <c r="D38" s="79"/>
      <c r="J38" s="79"/>
      <c r="N38" s="79"/>
      <c r="Q38" s="79"/>
      <c r="V38" s="106"/>
    </row>
    <row r="39">
      <c r="C39" s="79"/>
      <c r="D39" s="79"/>
      <c r="J39" s="79"/>
      <c r="N39" s="79"/>
      <c r="Q39" s="79"/>
      <c r="V39" s="106"/>
    </row>
    <row r="40">
      <c r="C40" s="79"/>
      <c r="D40" s="79"/>
      <c r="J40" s="79"/>
      <c r="N40" s="79"/>
      <c r="Q40" s="79"/>
      <c r="V40" s="106"/>
    </row>
    <row r="41">
      <c r="C41" s="79"/>
      <c r="D41" s="79"/>
      <c r="J41" s="79"/>
      <c r="N41" s="79"/>
      <c r="Q41" s="79"/>
      <c r="V41" s="106"/>
    </row>
    <row r="42">
      <c r="C42" s="79"/>
      <c r="D42" s="79"/>
      <c r="J42" s="79"/>
      <c r="N42" s="79"/>
      <c r="Q42" s="79"/>
      <c r="V42" s="106"/>
    </row>
    <row r="43">
      <c r="C43" s="79"/>
      <c r="D43" s="79"/>
      <c r="J43" s="79"/>
      <c r="N43" s="79"/>
      <c r="Q43" s="79"/>
      <c r="V43" s="106"/>
    </row>
    <row r="44">
      <c r="C44" s="79"/>
      <c r="D44" s="79"/>
      <c r="J44" s="79"/>
      <c r="N44" s="79"/>
      <c r="Q44" s="79"/>
      <c r="V44" s="106"/>
    </row>
    <row r="45">
      <c r="C45" s="79"/>
      <c r="D45" s="79"/>
      <c r="J45" s="79"/>
      <c r="N45" s="79"/>
      <c r="Q45" s="79"/>
      <c r="V45" s="106"/>
    </row>
    <row r="46">
      <c r="C46" s="79"/>
      <c r="D46" s="79"/>
      <c r="J46" s="79"/>
      <c r="N46" s="79"/>
      <c r="Q46" s="79"/>
      <c r="V46" s="106"/>
    </row>
    <row r="47">
      <c r="C47" s="79"/>
      <c r="D47" s="79"/>
      <c r="J47" s="79"/>
      <c r="N47" s="79"/>
      <c r="Q47" s="79"/>
      <c r="V47" s="106"/>
    </row>
    <row r="48">
      <c r="C48" s="79"/>
      <c r="D48" s="79"/>
      <c r="J48" s="79"/>
      <c r="N48" s="79"/>
      <c r="Q48" s="79"/>
      <c r="V48" s="106"/>
    </row>
    <row r="49">
      <c r="C49" s="79"/>
      <c r="D49" s="79"/>
      <c r="J49" s="79"/>
      <c r="N49" s="79"/>
      <c r="Q49" s="79"/>
      <c r="V49" s="106"/>
    </row>
    <row r="50">
      <c r="C50" s="79"/>
      <c r="D50" s="79"/>
      <c r="J50" s="79"/>
      <c r="N50" s="79"/>
      <c r="Q50" s="79"/>
      <c r="V50" s="106"/>
    </row>
    <row r="51">
      <c r="C51" s="79"/>
      <c r="D51" s="79"/>
      <c r="J51" s="79"/>
      <c r="N51" s="79"/>
      <c r="Q51" s="79"/>
      <c r="V51" s="106"/>
    </row>
    <row r="52">
      <c r="C52" s="79"/>
      <c r="D52" s="79"/>
      <c r="J52" s="79"/>
      <c r="N52" s="79"/>
      <c r="Q52" s="79"/>
      <c r="V52" s="106"/>
    </row>
    <row r="53">
      <c r="C53" s="79"/>
      <c r="D53" s="79"/>
      <c r="J53" s="79"/>
      <c r="N53" s="79"/>
      <c r="Q53" s="79"/>
      <c r="V53" s="106"/>
    </row>
    <row r="54">
      <c r="C54" s="79"/>
      <c r="D54" s="79"/>
      <c r="J54" s="79"/>
      <c r="N54" s="79"/>
      <c r="Q54" s="79"/>
      <c r="V54" s="106"/>
    </row>
    <row r="55">
      <c r="C55" s="79"/>
      <c r="D55" s="79"/>
      <c r="J55" s="79"/>
      <c r="N55" s="79"/>
      <c r="Q55" s="79"/>
      <c r="V55" s="106"/>
    </row>
    <row r="56">
      <c r="C56" s="79"/>
      <c r="D56" s="79"/>
      <c r="J56" s="79"/>
      <c r="N56" s="79"/>
      <c r="Q56" s="79"/>
      <c r="V56" s="106"/>
    </row>
    <row r="57">
      <c r="C57" s="79"/>
      <c r="D57" s="79"/>
      <c r="J57" s="79"/>
      <c r="N57" s="79"/>
      <c r="Q57" s="79"/>
      <c r="V57" s="106"/>
    </row>
    <row r="58">
      <c r="C58" s="79"/>
      <c r="D58" s="79"/>
      <c r="J58" s="79"/>
      <c r="N58" s="79"/>
      <c r="Q58" s="79"/>
      <c r="V58" s="106"/>
    </row>
    <row r="59">
      <c r="C59" s="79"/>
      <c r="D59" s="79"/>
      <c r="J59" s="79"/>
      <c r="N59" s="79"/>
      <c r="Q59" s="79"/>
      <c r="V59" s="106"/>
    </row>
    <row r="60">
      <c r="C60" s="79"/>
      <c r="D60" s="79"/>
      <c r="J60" s="79"/>
      <c r="N60" s="79"/>
      <c r="Q60" s="79"/>
      <c r="V60" s="106"/>
    </row>
    <row r="61">
      <c r="C61" s="79"/>
      <c r="D61" s="79"/>
      <c r="J61" s="79"/>
      <c r="N61" s="79"/>
      <c r="Q61" s="79"/>
      <c r="V61" s="106"/>
    </row>
    <row r="62">
      <c r="C62" s="79"/>
      <c r="D62" s="79"/>
      <c r="J62" s="79"/>
      <c r="N62" s="79"/>
      <c r="Q62" s="79"/>
      <c r="V62" s="106"/>
    </row>
    <row r="63">
      <c r="C63" s="79"/>
      <c r="D63" s="79"/>
      <c r="J63" s="79"/>
      <c r="N63" s="79"/>
      <c r="Q63" s="79"/>
      <c r="V63" s="106"/>
    </row>
    <row r="64">
      <c r="C64" s="79"/>
      <c r="D64" s="79"/>
      <c r="J64" s="79"/>
      <c r="N64" s="79"/>
      <c r="Q64" s="79"/>
      <c r="V64" s="106"/>
    </row>
    <row r="65">
      <c r="C65" s="79"/>
      <c r="D65" s="79"/>
      <c r="J65" s="79"/>
      <c r="N65" s="79"/>
      <c r="Q65" s="79"/>
      <c r="V65" s="106"/>
    </row>
    <row r="66">
      <c r="C66" s="79"/>
      <c r="D66" s="79"/>
      <c r="J66" s="79"/>
      <c r="N66" s="79"/>
      <c r="Q66" s="79"/>
      <c r="V66" s="106"/>
    </row>
    <row r="67">
      <c r="C67" s="79"/>
      <c r="D67" s="79"/>
      <c r="J67" s="79"/>
      <c r="N67" s="79"/>
      <c r="Q67" s="79"/>
      <c r="V67" s="106"/>
    </row>
    <row r="68">
      <c r="C68" s="79"/>
      <c r="D68" s="79"/>
      <c r="J68" s="79"/>
      <c r="N68" s="79"/>
      <c r="Q68" s="79"/>
      <c r="V68" s="106"/>
    </row>
    <row r="69">
      <c r="C69" s="79"/>
      <c r="D69" s="79"/>
      <c r="J69" s="79"/>
      <c r="N69" s="79"/>
      <c r="Q69" s="79"/>
      <c r="V69" s="106"/>
    </row>
    <row r="70">
      <c r="C70" s="79"/>
      <c r="D70" s="79"/>
      <c r="J70" s="79"/>
      <c r="N70" s="79"/>
      <c r="Q70" s="79"/>
      <c r="V70" s="106"/>
    </row>
    <row r="71">
      <c r="C71" s="79"/>
      <c r="D71" s="79"/>
      <c r="J71" s="79"/>
      <c r="N71" s="79"/>
      <c r="Q71" s="79"/>
      <c r="V71" s="106"/>
    </row>
    <row r="72">
      <c r="C72" s="79"/>
      <c r="D72" s="79"/>
      <c r="J72" s="79"/>
      <c r="N72" s="79"/>
      <c r="Q72" s="79"/>
      <c r="V72" s="106"/>
    </row>
    <row r="73">
      <c r="C73" s="79"/>
      <c r="D73" s="79"/>
      <c r="J73" s="79"/>
      <c r="N73" s="79"/>
      <c r="Q73" s="79"/>
      <c r="V73" s="106"/>
    </row>
    <row r="74">
      <c r="C74" s="79"/>
      <c r="D74" s="79"/>
      <c r="J74" s="79"/>
      <c r="N74" s="79"/>
      <c r="Q74" s="79"/>
      <c r="V74" s="106"/>
    </row>
    <row r="75">
      <c r="C75" s="79"/>
      <c r="D75" s="79"/>
      <c r="J75" s="79"/>
      <c r="N75" s="79"/>
      <c r="Q75" s="79"/>
      <c r="V75" s="106"/>
    </row>
    <row r="76">
      <c r="C76" s="79"/>
      <c r="D76" s="79"/>
      <c r="J76" s="79"/>
      <c r="N76" s="79"/>
      <c r="Q76" s="79"/>
      <c r="V76" s="106"/>
    </row>
    <row r="77">
      <c r="C77" s="79"/>
      <c r="D77" s="79"/>
      <c r="J77" s="79"/>
      <c r="N77" s="79"/>
      <c r="Q77" s="79"/>
      <c r="V77" s="106"/>
    </row>
    <row r="78">
      <c r="C78" s="79"/>
      <c r="D78" s="79"/>
      <c r="J78" s="79"/>
      <c r="N78" s="79"/>
      <c r="Q78" s="79"/>
      <c r="V78" s="106"/>
    </row>
    <row r="79">
      <c r="C79" s="79"/>
      <c r="D79" s="79"/>
      <c r="J79" s="79"/>
      <c r="N79" s="79"/>
      <c r="Q79" s="79"/>
      <c r="V79" s="106"/>
    </row>
    <row r="80">
      <c r="C80" s="79"/>
      <c r="D80" s="79"/>
      <c r="J80" s="79"/>
      <c r="N80" s="79"/>
      <c r="Q80" s="79"/>
      <c r="V80" s="106"/>
    </row>
    <row r="81">
      <c r="C81" s="79"/>
      <c r="D81" s="79"/>
      <c r="J81" s="79"/>
      <c r="N81" s="79"/>
      <c r="Q81" s="79"/>
      <c r="V81" s="106"/>
    </row>
    <row r="82">
      <c r="C82" s="79"/>
      <c r="D82" s="79"/>
      <c r="J82" s="79"/>
      <c r="N82" s="79"/>
      <c r="Q82" s="79"/>
      <c r="V82" s="106"/>
    </row>
    <row r="83">
      <c r="C83" s="79"/>
      <c r="D83" s="79"/>
      <c r="J83" s="79"/>
      <c r="N83" s="79"/>
      <c r="Q83" s="79"/>
      <c r="V83" s="106"/>
    </row>
    <row r="84">
      <c r="C84" s="79"/>
      <c r="D84" s="79"/>
      <c r="J84" s="79"/>
      <c r="N84" s="79"/>
      <c r="Q84" s="79"/>
      <c r="V84" s="106"/>
    </row>
    <row r="85">
      <c r="C85" s="79"/>
      <c r="D85" s="79"/>
      <c r="J85" s="79"/>
      <c r="N85" s="79"/>
      <c r="Q85" s="79"/>
      <c r="V85" s="106"/>
    </row>
    <row r="86">
      <c r="C86" s="79"/>
      <c r="D86" s="79"/>
      <c r="J86" s="79"/>
      <c r="N86" s="79"/>
      <c r="Q86" s="79"/>
      <c r="V86" s="106"/>
    </row>
    <row r="87">
      <c r="C87" s="79"/>
      <c r="D87" s="79"/>
      <c r="J87" s="79"/>
      <c r="N87" s="79"/>
      <c r="Q87" s="79"/>
      <c r="V87" s="106"/>
    </row>
    <row r="88">
      <c r="C88" s="79"/>
      <c r="D88" s="79"/>
      <c r="J88" s="79"/>
      <c r="N88" s="79"/>
      <c r="Q88" s="79"/>
      <c r="V88" s="106"/>
    </row>
    <row r="89">
      <c r="C89" s="79"/>
      <c r="D89" s="79"/>
      <c r="J89" s="79"/>
      <c r="N89" s="79"/>
      <c r="Q89" s="79"/>
      <c r="V89" s="106"/>
    </row>
    <row r="90">
      <c r="C90" s="79"/>
      <c r="D90" s="79"/>
      <c r="J90" s="79"/>
      <c r="N90" s="79"/>
      <c r="Q90" s="79"/>
      <c r="V90" s="106"/>
    </row>
    <row r="91">
      <c r="C91" s="79"/>
      <c r="D91" s="79"/>
      <c r="J91" s="79"/>
      <c r="N91" s="79"/>
      <c r="Q91" s="79"/>
      <c r="V91" s="106"/>
    </row>
    <row r="92">
      <c r="C92" s="79"/>
      <c r="D92" s="79"/>
      <c r="J92" s="79"/>
      <c r="N92" s="79"/>
      <c r="Q92" s="79"/>
      <c r="V92" s="106"/>
    </row>
    <row r="93">
      <c r="C93" s="79"/>
      <c r="D93" s="79"/>
      <c r="J93" s="79"/>
      <c r="N93" s="79"/>
      <c r="Q93" s="79"/>
      <c r="V93" s="106"/>
    </row>
    <row r="94">
      <c r="C94" s="79"/>
      <c r="D94" s="79"/>
      <c r="J94" s="79"/>
      <c r="N94" s="79"/>
      <c r="Q94" s="79"/>
      <c r="V94" s="106"/>
    </row>
    <row r="95">
      <c r="C95" s="79"/>
      <c r="D95" s="79"/>
      <c r="J95" s="79"/>
      <c r="N95" s="79"/>
      <c r="Q95" s="79"/>
      <c r="V95" s="106"/>
    </row>
    <row r="96">
      <c r="C96" s="79"/>
      <c r="D96" s="79"/>
      <c r="J96" s="79"/>
      <c r="N96" s="79"/>
      <c r="Q96" s="79"/>
      <c r="V96" s="106"/>
    </row>
    <row r="97">
      <c r="C97" s="79"/>
      <c r="D97" s="79"/>
      <c r="J97" s="79"/>
      <c r="N97" s="79"/>
      <c r="Q97" s="79"/>
      <c r="V97" s="106"/>
    </row>
    <row r="98">
      <c r="C98" s="79"/>
      <c r="D98" s="79"/>
      <c r="J98" s="79"/>
      <c r="N98" s="79"/>
      <c r="Q98" s="79"/>
      <c r="V98" s="106"/>
    </row>
    <row r="99">
      <c r="C99" s="79"/>
      <c r="D99" s="79"/>
      <c r="J99" s="79"/>
      <c r="N99" s="79"/>
      <c r="Q99" s="79"/>
      <c r="V99" s="106"/>
    </row>
    <row r="100">
      <c r="C100" s="79"/>
      <c r="D100" s="79"/>
      <c r="J100" s="79"/>
      <c r="N100" s="79"/>
      <c r="Q100" s="79"/>
      <c r="V100" s="106"/>
    </row>
    <row r="101">
      <c r="C101" s="79"/>
      <c r="D101" s="79"/>
      <c r="J101" s="79"/>
      <c r="N101" s="79"/>
      <c r="Q101" s="79"/>
      <c r="V101" s="106"/>
    </row>
    <row r="102">
      <c r="C102" s="79"/>
      <c r="D102" s="79"/>
      <c r="J102" s="79"/>
      <c r="N102" s="79"/>
      <c r="Q102" s="79"/>
      <c r="V102" s="106"/>
    </row>
    <row r="103">
      <c r="C103" s="79"/>
      <c r="D103" s="79"/>
      <c r="J103" s="79"/>
      <c r="N103" s="79"/>
      <c r="Q103" s="79"/>
      <c r="V103" s="106"/>
    </row>
    <row r="104">
      <c r="C104" s="79"/>
      <c r="D104" s="79"/>
      <c r="J104" s="79"/>
      <c r="N104" s="79"/>
      <c r="Q104" s="79"/>
      <c r="V104" s="106"/>
    </row>
    <row r="105">
      <c r="C105" s="79"/>
      <c r="D105" s="79"/>
      <c r="J105" s="79"/>
      <c r="N105" s="79"/>
      <c r="Q105" s="79"/>
      <c r="V105" s="106"/>
    </row>
    <row r="106">
      <c r="C106" s="79"/>
      <c r="D106" s="79"/>
      <c r="J106" s="79"/>
      <c r="N106" s="79"/>
      <c r="Q106" s="79"/>
      <c r="V106" s="106"/>
    </row>
    <row r="107">
      <c r="C107" s="79"/>
      <c r="D107" s="79"/>
      <c r="J107" s="79"/>
      <c r="N107" s="79"/>
      <c r="Q107" s="79"/>
      <c r="V107" s="106"/>
    </row>
    <row r="108">
      <c r="C108" s="79"/>
      <c r="D108" s="79"/>
      <c r="J108" s="79"/>
      <c r="N108" s="79"/>
      <c r="Q108" s="79"/>
      <c r="V108" s="106"/>
    </row>
    <row r="109">
      <c r="C109" s="79"/>
      <c r="D109" s="79"/>
      <c r="J109" s="79"/>
      <c r="N109" s="79"/>
      <c r="Q109" s="79"/>
      <c r="V109" s="106"/>
    </row>
    <row r="110">
      <c r="C110" s="79"/>
      <c r="D110" s="79"/>
      <c r="J110" s="79"/>
      <c r="N110" s="79"/>
      <c r="Q110" s="79"/>
      <c r="V110" s="106"/>
    </row>
    <row r="111">
      <c r="C111" s="79"/>
      <c r="D111" s="79"/>
      <c r="J111" s="79"/>
      <c r="N111" s="79"/>
      <c r="Q111" s="79"/>
      <c r="V111" s="106"/>
    </row>
    <row r="112">
      <c r="C112" s="79"/>
      <c r="D112" s="79"/>
      <c r="J112" s="79"/>
      <c r="N112" s="79"/>
      <c r="Q112" s="79"/>
      <c r="V112" s="106"/>
    </row>
    <row r="113">
      <c r="C113" s="79"/>
      <c r="D113" s="79"/>
      <c r="J113" s="79"/>
      <c r="N113" s="79"/>
      <c r="Q113" s="79"/>
      <c r="V113" s="106"/>
    </row>
    <row r="114">
      <c r="C114" s="79"/>
      <c r="D114" s="79"/>
      <c r="J114" s="79"/>
      <c r="N114" s="79"/>
      <c r="Q114" s="79"/>
      <c r="V114" s="106"/>
    </row>
    <row r="115">
      <c r="C115" s="79"/>
      <c r="D115" s="79"/>
      <c r="J115" s="79"/>
      <c r="N115" s="79"/>
      <c r="Q115" s="79"/>
      <c r="V115" s="106"/>
    </row>
    <row r="116">
      <c r="C116" s="79"/>
      <c r="D116" s="79"/>
      <c r="J116" s="79"/>
      <c r="N116" s="79"/>
      <c r="Q116" s="79"/>
      <c r="V116" s="106"/>
    </row>
    <row r="117">
      <c r="C117" s="79"/>
      <c r="D117" s="79"/>
      <c r="J117" s="79"/>
      <c r="N117" s="79"/>
      <c r="Q117" s="79"/>
      <c r="V117" s="106"/>
    </row>
    <row r="118">
      <c r="C118" s="79"/>
      <c r="D118" s="79"/>
      <c r="J118" s="79"/>
      <c r="N118" s="79"/>
      <c r="Q118" s="79"/>
      <c r="V118" s="106"/>
    </row>
    <row r="119">
      <c r="C119" s="79"/>
      <c r="D119" s="79"/>
      <c r="J119" s="79"/>
      <c r="N119" s="79"/>
      <c r="Q119" s="79"/>
      <c r="V119" s="106"/>
    </row>
    <row r="120">
      <c r="C120" s="79"/>
      <c r="D120" s="79"/>
      <c r="J120" s="79"/>
      <c r="N120" s="79"/>
      <c r="Q120" s="79"/>
      <c r="V120" s="106"/>
    </row>
    <row r="121">
      <c r="C121" s="79"/>
      <c r="D121" s="79"/>
      <c r="J121" s="79"/>
      <c r="N121" s="79"/>
      <c r="Q121" s="79"/>
      <c r="V121" s="106"/>
    </row>
    <row r="122">
      <c r="C122" s="79"/>
      <c r="D122" s="79"/>
      <c r="J122" s="79"/>
      <c r="N122" s="79"/>
      <c r="Q122" s="79"/>
      <c r="V122" s="106"/>
    </row>
    <row r="123">
      <c r="C123" s="79"/>
      <c r="D123" s="79"/>
      <c r="J123" s="79"/>
      <c r="N123" s="79"/>
      <c r="Q123" s="79"/>
      <c r="V123" s="106"/>
    </row>
    <row r="124">
      <c r="C124" s="79"/>
      <c r="D124" s="79"/>
      <c r="J124" s="79"/>
      <c r="N124" s="79"/>
      <c r="Q124" s="79"/>
      <c r="V124" s="106"/>
    </row>
    <row r="125">
      <c r="C125" s="79"/>
      <c r="D125" s="79"/>
      <c r="J125" s="79"/>
      <c r="N125" s="79"/>
      <c r="Q125" s="79"/>
      <c r="V125" s="106"/>
    </row>
    <row r="126">
      <c r="C126" s="79"/>
      <c r="D126" s="79"/>
      <c r="J126" s="79"/>
      <c r="N126" s="79"/>
      <c r="Q126" s="79"/>
      <c r="V126" s="106"/>
    </row>
    <row r="127">
      <c r="C127" s="79"/>
      <c r="D127" s="79"/>
      <c r="J127" s="79"/>
      <c r="N127" s="79"/>
      <c r="Q127" s="79"/>
      <c r="V127" s="106"/>
    </row>
    <row r="128">
      <c r="C128" s="79"/>
      <c r="D128" s="79"/>
      <c r="J128" s="79"/>
      <c r="N128" s="79"/>
      <c r="Q128" s="79"/>
      <c r="V128" s="106"/>
    </row>
    <row r="129">
      <c r="C129" s="79"/>
      <c r="D129" s="79"/>
      <c r="J129" s="79"/>
      <c r="N129" s="79"/>
      <c r="Q129" s="79"/>
      <c r="V129" s="106"/>
    </row>
    <row r="130">
      <c r="C130" s="79"/>
      <c r="D130" s="79"/>
      <c r="J130" s="79"/>
      <c r="N130" s="79"/>
      <c r="Q130" s="79"/>
      <c r="V130" s="106"/>
    </row>
    <row r="131">
      <c r="C131" s="79"/>
      <c r="D131" s="79"/>
      <c r="J131" s="79"/>
      <c r="N131" s="79"/>
      <c r="Q131" s="79"/>
      <c r="V131" s="106"/>
    </row>
    <row r="132">
      <c r="C132" s="79"/>
      <c r="D132" s="79"/>
      <c r="J132" s="79"/>
      <c r="N132" s="79"/>
      <c r="Q132" s="79"/>
      <c r="V132" s="106"/>
    </row>
    <row r="133">
      <c r="C133" s="79"/>
      <c r="D133" s="79"/>
      <c r="J133" s="79"/>
      <c r="N133" s="79"/>
      <c r="Q133" s="79"/>
      <c r="V133" s="106"/>
    </row>
    <row r="134">
      <c r="C134" s="79"/>
      <c r="D134" s="79"/>
      <c r="J134" s="79"/>
      <c r="N134" s="79"/>
      <c r="Q134" s="79"/>
      <c r="V134" s="106"/>
    </row>
    <row r="135">
      <c r="C135" s="79"/>
      <c r="D135" s="79"/>
      <c r="J135" s="79"/>
      <c r="N135" s="79"/>
      <c r="Q135" s="79"/>
      <c r="V135" s="106"/>
    </row>
    <row r="136">
      <c r="C136" s="79"/>
      <c r="D136" s="79"/>
      <c r="J136" s="79"/>
      <c r="N136" s="79"/>
      <c r="Q136" s="79"/>
      <c r="V136" s="106"/>
    </row>
    <row r="137">
      <c r="C137" s="79"/>
      <c r="D137" s="79"/>
      <c r="J137" s="79"/>
      <c r="N137" s="79"/>
      <c r="Q137" s="79"/>
      <c r="V137" s="106"/>
    </row>
    <row r="138">
      <c r="C138" s="79"/>
      <c r="D138" s="79"/>
      <c r="J138" s="79"/>
      <c r="N138" s="79"/>
      <c r="Q138" s="79"/>
      <c r="V138" s="106"/>
    </row>
    <row r="139">
      <c r="C139" s="79"/>
      <c r="D139" s="79"/>
      <c r="J139" s="79"/>
      <c r="N139" s="79"/>
      <c r="Q139" s="79"/>
      <c r="V139" s="106"/>
    </row>
    <row r="140">
      <c r="C140" s="79"/>
      <c r="D140" s="79"/>
      <c r="J140" s="79"/>
      <c r="N140" s="79"/>
      <c r="Q140" s="79"/>
      <c r="V140" s="106"/>
    </row>
    <row r="141">
      <c r="C141" s="79"/>
      <c r="D141" s="79"/>
      <c r="J141" s="79"/>
      <c r="N141" s="79"/>
      <c r="Q141" s="79"/>
      <c r="V141" s="106"/>
    </row>
    <row r="142">
      <c r="C142" s="79"/>
      <c r="D142" s="79"/>
      <c r="J142" s="79"/>
      <c r="N142" s="79"/>
      <c r="Q142" s="79"/>
      <c r="V142" s="106"/>
    </row>
    <row r="143">
      <c r="C143" s="79"/>
      <c r="D143" s="79"/>
      <c r="J143" s="79"/>
      <c r="N143" s="79"/>
      <c r="Q143" s="79"/>
      <c r="V143" s="106"/>
    </row>
    <row r="144">
      <c r="C144" s="79"/>
      <c r="D144" s="79"/>
      <c r="J144" s="79"/>
      <c r="N144" s="79"/>
      <c r="Q144" s="79"/>
      <c r="V144" s="106"/>
    </row>
    <row r="145">
      <c r="C145" s="79"/>
      <c r="D145" s="79"/>
      <c r="J145" s="79"/>
      <c r="N145" s="79"/>
      <c r="Q145" s="79"/>
      <c r="V145" s="106"/>
    </row>
    <row r="146">
      <c r="C146" s="79"/>
      <c r="D146" s="79"/>
      <c r="J146" s="79"/>
      <c r="N146" s="79"/>
      <c r="Q146" s="79"/>
      <c r="V146" s="106"/>
    </row>
    <row r="147">
      <c r="C147" s="79"/>
      <c r="D147" s="79"/>
      <c r="J147" s="79"/>
      <c r="N147" s="79"/>
      <c r="Q147" s="79"/>
      <c r="V147" s="106"/>
    </row>
    <row r="148">
      <c r="C148" s="79"/>
      <c r="D148" s="79"/>
      <c r="J148" s="79"/>
      <c r="N148" s="79"/>
      <c r="Q148" s="79"/>
      <c r="V148" s="106"/>
    </row>
    <row r="149">
      <c r="C149" s="79"/>
      <c r="D149" s="79"/>
      <c r="J149" s="79"/>
      <c r="N149" s="79"/>
      <c r="Q149" s="79"/>
      <c r="V149" s="106"/>
    </row>
    <row r="150">
      <c r="C150" s="79"/>
      <c r="D150" s="79"/>
      <c r="J150" s="79"/>
      <c r="N150" s="79"/>
      <c r="Q150" s="79"/>
      <c r="V150" s="106"/>
    </row>
    <row r="151">
      <c r="C151" s="79"/>
      <c r="D151" s="79"/>
      <c r="J151" s="79"/>
      <c r="N151" s="79"/>
      <c r="Q151" s="79"/>
      <c r="V151" s="106"/>
    </row>
    <row r="152">
      <c r="C152" s="79"/>
      <c r="D152" s="79"/>
      <c r="J152" s="79"/>
      <c r="N152" s="79"/>
      <c r="Q152" s="79"/>
      <c r="V152" s="106"/>
    </row>
    <row r="153">
      <c r="C153" s="79"/>
      <c r="D153" s="79"/>
      <c r="J153" s="79"/>
      <c r="N153" s="79"/>
      <c r="Q153" s="79"/>
      <c r="V153" s="106"/>
    </row>
    <row r="154">
      <c r="C154" s="79"/>
      <c r="D154" s="79"/>
      <c r="J154" s="79"/>
      <c r="N154" s="79"/>
      <c r="Q154" s="79"/>
      <c r="V154" s="106"/>
    </row>
    <row r="155">
      <c r="C155" s="79"/>
      <c r="D155" s="79"/>
      <c r="J155" s="79"/>
      <c r="N155" s="79"/>
      <c r="Q155" s="79"/>
      <c r="V155" s="106"/>
    </row>
    <row r="156">
      <c r="C156" s="79"/>
      <c r="D156" s="79"/>
      <c r="J156" s="79"/>
      <c r="N156" s="79"/>
      <c r="Q156" s="79"/>
      <c r="V156" s="106"/>
    </row>
    <row r="157">
      <c r="C157" s="79"/>
      <c r="D157" s="79"/>
      <c r="J157" s="79"/>
      <c r="N157" s="79"/>
      <c r="Q157" s="79"/>
      <c r="V157" s="106"/>
    </row>
    <row r="158">
      <c r="C158" s="79"/>
      <c r="D158" s="79"/>
      <c r="J158" s="79"/>
      <c r="N158" s="79"/>
      <c r="Q158" s="79"/>
      <c r="V158" s="106"/>
    </row>
    <row r="159">
      <c r="C159" s="79"/>
      <c r="D159" s="79"/>
      <c r="J159" s="79"/>
      <c r="N159" s="79"/>
      <c r="Q159" s="79"/>
      <c r="V159" s="106"/>
    </row>
    <row r="160">
      <c r="C160" s="79"/>
      <c r="D160" s="79"/>
      <c r="J160" s="79"/>
      <c r="N160" s="79"/>
      <c r="Q160" s="79"/>
      <c r="V160" s="106"/>
    </row>
    <row r="161">
      <c r="C161" s="79"/>
      <c r="D161" s="79"/>
      <c r="J161" s="79"/>
      <c r="N161" s="79"/>
      <c r="Q161" s="79"/>
      <c r="V161" s="106"/>
    </row>
    <row r="162">
      <c r="C162" s="79"/>
      <c r="D162" s="79"/>
      <c r="J162" s="79"/>
      <c r="N162" s="79"/>
      <c r="Q162" s="79"/>
      <c r="V162" s="106"/>
    </row>
    <row r="163">
      <c r="C163" s="79"/>
      <c r="D163" s="79"/>
      <c r="J163" s="79"/>
      <c r="N163" s="79"/>
      <c r="Q163" s="79"/>
      <c r="V163" s="106"/>
    </row>
    <row r="164">
      <c r="C164" s="79"/>
      <c r="D164" s="79"/>
      <c r="J164" s="79"/>
      <c r="N164" s="79"/>
      <c r="Q164" s="79"/>
      <c r="V164" s="106"/>
    </row>
    <row r="165">
      <c r="C165" s="79"/>
      <c r="D165" s="79"/>
      <c r="J165" s="79"/>
      <c r="N165" s="79"/>
      <c r="Q165" s="79"/>
      <c r="V165" s="106"/>
    </row>
    <row r="166">
      <c r="C166" s="79"/>
      <c r="D166" s="79"/>
      <c r="J166" s="79"/>
      <c r="N166" s="79"/>
      <c r="Q166" s="79"/>
      <c r="V166" s="106"/>
    </row>
    <row r="167">
      <c r="C167" s="79"/>
      <c r="D167" s="79"/>
      <c r="J167" s="79"/>
      <c r="N167" s="79"/>
      <c r="Q167" s="79"/>
      <c r="V167" s="106"/>
    </row>
    <row r="168">
      <c r="C168" s="79"/>
      <c r="D168" s="79"/>
      <c r="J168" s="79"/>
      <c r="N168" s="79"/>
      <c r="Q168" s="79"/>
      <c r="V168" s="106"/>
    </row>
    <row r="169">
      <c r="C169" s="79"/>
      <c r="D169" s="79"/>
      <c r="J169" s="79"/>
      <c r="N169" s="79"/>
      <c r="Q169" s="79"/>
      <c r="V169" s="106"/>
    </row>
    <row r="170">
      <c r="C170" s="79"/>
      <c r="D170" s="79"/>
      <c r="J170" s="79"/>
      <c r="N170" s="79"/>
      <c r="Q170" s="79"/>
      <c r="V170" s="106"/>
    </row>
    <row r="171">
      <c r="C171" s="79"/>
      <c r="D171" s="79"/>
      <c r="J171" s="79"/>
      <c r="N171" s="79"/>
      <c r="Q171" s="79"/>
      <c r="V171" s="106"/>
    </row>
    <row r="172">
      <c r="C172" s="79"/>
      <c r="D172" s="79"/>
      <c r="J172" s="79"/>
      <c r="N172" s="79"/>
      <c r="Q172" s="79"/>
      <c r="V172" s="106"/>
    </row>
    <row r="173">
      <c r="C173" s="79"/>
      <c r="D173" s="79"/>
      <c r="J173" s="79"/>
      <c r="N173" s="79"/>
      <c r="Q173" s="79"/>
      <c r="V173" s="106"/>
    </row>
    <row r="174">
      <c r="C174" s="79"/>
      <c r="D174" s="79"/>
      <c r="J174" s="79"/>
      <c r="N174" s="79"/>
      <c r="Q174" s="79"/>
      <c r="V174" s="106"/>
    </row>
    <row r="175">
      <c r="C175" s="79"/>
      <c r="D175" s="79"/>
      <c r="J175" s="79"/>
      <c r="N175" s="79"/>
      <c r="Q175" s="79"/>
      <c r="V175" s="106"/>
    </row>
    <row r="176">
      <c r="C176" s="79"/>
      <c r="D176" s="79"/>
      <c r="J176" s="79"/>
      <c r="N176" s="79"/>
      <c r="Q176" s="79"/>
      <c r="V176" s="106"/>
    </row>
    <row r="177">
      <c r="C177" s="79"/>
      <c r="D177" s="79"/>
      <c r="J177" s="79"/>
      <c r="N177" s="79"/>
      <c r="Q177" s="79"/>
      <c r="V177" s="106"/>
    </row>
    <row r="178">
      <c r="C178" s="79"/>
      <c r="D178" s="79"/>
      <c r="J178" s="79"/>
      <c r="N178" s="79"/>
      <c r="Q178" s="79"/>
      <c r="V178" s="106"/>
    </row>
    <row r="179">
      <c r="C179" s="79"/>
      <c r="D179" s="79"/>
      <c r="J179" s="79"/>
      <c r="N179" s="79"/>
      <c r="Q179" s="79"/>
      <c r="V179" s="106"/>
    </row>
    <row r="180">
      <c r="C180" s="79"/>
      <c r="D180" s="79"/>
      <c r="J180" s="79"/>
      <c r="N180" s="79"/>
      <c r="Q180" s="79"/>
      <c r="V180" s="106"/>
    </row>
    <row r="181">
      <c r="C181" s="79"/>
      <c r="D181" s="79"/>
      <c r="J181" s="79"/>
      <c r="N181" s="79"/>
      <c r="Q181" s="79"/>
      <c r="V181" s="106"/>
    </row>
    <row r="182">
      <c r="C182" s="79"/>
      <c r="D182" s="79"/>
      <c r="J182" s="79"/>
      <c r="N182" s="79"/>
      <c r="Q182" s="79"/>
      <c r="V182" s="106"/>
    </row>
    <row r="183">
      <c r="C183" s="79"/>
      <c r="D183" s="79"/>
      <c r="J183" s="79"/>
      <c r="N183" s="79"/>
      <c r="Q183" s="79"/>
      <c r="V183" s="106"/>
    </row>
    <row r="184">
      <c r="C184" s="79"/>
      <c r="D184" s="79"/>
      <c r="J184" s="79"/>
      <c r="N184" s="79"/>
      <c r="Q184" s="79"/>
      <c r="V184" s="106"/>
    </row>
    <row r="185">
      <c r="C185" s="79"/>
      <c r="D185" s="79"/>
      <c r="J185" s="79"/>
      <c r="N185" s="79"/>
      <c r="Q185" s="79"/>
      <c r="V185" s="106"/>
    </row>
    <row r="186">
      <c r="C186" s="79"/>
      <c r="D186" s="79"/>
      <c r="J186" s="79"/>
      <c r="N186" s="79"/>
      <c r="Q186" s="79"/>
      <c r="V186" s="106"/>
    </row>
    <row r="187">
      <c r="C187" s="79"/>
      <c r="D187" s="79"/>
      <c r="J187" s="79"/>
      <c r="N187" s="79"/>
      <c r="Q187" s="79"/>
      <c r="V187" s="106"/>
    </row>
    <row r="188">
      <c r="C188" s="79"/>
      <c r="D188" s="79"/>
      <c r="J188" s="79"/>
      <c r="N188" s="79"/>
      <c r="Q188" s="79"/>
      <c r="V188" s="106"/>
    </row>
    <row r="189">
      <c r="C189" s="79"/>
      <c r="D189" s="79"/>
      <c r="J189" s="79"/>
      <c r="N189" s="79"/>
      <c r="Q189" s="79"/>
      <c r="V189" s="106"/>
    </row>
    <row r="190">
      <c r="C190" s="79"/>
      <c r="D190" s="79"/>
      <c r="J190" s="79"/>
      <c r="N190" s="79"/>
      <c r="Q190" s="79"/>
      <c r="V190" s="106"/>
    </row>
    <row r="191">
      <c r="C191" s="79"/>
      <c r="D191" s="79"/>
      <c r="J191" s="79"/>
      <c r="N191" s="79"/>
      <c r="Q191" s="79"/>
      <c r="V191" s="106"/>
    </row>
    <row r="192">
      <c r="C192" s="79"/>
      <c r="D192" s="79"/>
      <c r="J192" s="79"/>
      <c r="N192" s="79"/>
      <c r="Q192" s="79"/>
      <c r="V192" s="106"/>
    </row>
    <row r="193">
      <c r="C193" s="79"/>
      <c r="D193" s="79"/>
      <c r="J193" s="79"/>
      <c r="N193" s="79"/>
      <c r="Q193" s="79"/>
      <c r="V193" s="106"/>
    </row>
    <row r="194">
      <c r="C194" s="79"/>
      <c r="D194" s="79"/>
      <c r="J194" s="79"/>
      <c r="N194" s="79"/>
      <c r="Q194" s="79"/>
      <c r="V194" s="106"/>
    </row>
    <row r="195">
      <c r="C195" s="79"/>
      <c r="D195" s="79"/>
      <c r="J195" s="79"/>
      <c r="N195" s="79"/>
      <c r="Q195" s="79"/>
      <c r="V195" s="106"/>
    </row>
    <row r="196">
      <c r="C196" s="79"/>
      <c r="D196" s="79"/>
      <c r="J196" s="79"/>
      <c r="N196" s="79"/>
      <c r="Q196" s="79"/>
      <c r="V196" s="106"/>
    </row>
    <row r="197">
      <c r="C197" s="79"/>
      <c r="D197" s="79"/>
      <c r="J197" s="79"/>
      <c r="N197" s="79"/>
      <c r="Q197" s="79"/>
      <c r="V197" s="106"/>
    </row>
    <row r="198">
      <c r="C198" s="79"/>
      <c r="D198" s="79"/>
      <c r="J198" s="79"/>
      <c r="N198" s="79"/>
      <c r="Q198" s="79"/>
      <c r="V198" s="106"/>
    </row>
    <row r="199">
      <c r="C199" s="79"/>
      <c r="D199" s="79"/>
      <c r="J199" s="79"/>
      <c r="N199" s="79"/>
      <c r="Q199" s="79"/>
      <c r="V199" s="106"/>
    </row>
    <row r="200">
      <c r="C200" s="79"/>
      <c r="D200" s="79"/>
      <c r="J200" s="79"/>
      <c r="N200" s="79"/>
      <c r="Q200" s="79"/>
      <c r="V200" s="106"/>
    </row>
    <row r="201">
      <c r="C201" s="79"/>
      <c r="D201" s="79"/>
      <c r="J201" s="79"/>
      <c r="N201" s="79"/>
      <c r="Q201" s="79"/>
      <c r="V201" s="106"/>
    </row>
    <row r="202">
      <c r="C202" s="79"/>
      <c r="D202" s="79"/>
      <c r="J202" s="79"/>
      <c r="N202" s="79"/>
      <c r="Q202" s="79"/>
      <c r="V202" s="106"/>
    </row>
    <row r="203">
      <c r="C203" s="79"/>
      <c r="D203" s="79"/>
      <c r="J203" s="79"/>
      <c r="N203" s="79"/>
      <c r="Q203" s="79"/>
      <c r="V203" s="106"/>
    </row>
    <row r="204">
      <c r="C204" s="79"/>
      <c r="D204" s="79"/>
      <c r="J204" s="79"/>
      <c r="N204" s="79"/>
      <c r="Q204" s="79"/>
      <c r="V204" s="106"/>
    </row>
    <row r="205">
      <c r="C205" s="79"/>
      <c r="D205" s="79"/>
      <c r="J205" s="79"/>
      <c r="N205" s="79"/>
      <c r="Q205" s="79"/>
      <c r="V205" s="106"/>
    </row>
    <row r="206">
      <c r="C206" s="79"/>
      <c r="D206" s="79"/>
      <c r="J206" s="79"/>
      <c r="N206" s="79"/>
      <c r="Q206" s="79"/>
      <c r="V206" s="106"/>
    </row>
    <row r="207">
      <c r="C207" s="79"/>
      <c r="D207" s="79"/>
      <c r="J207" s="79"/>
      <c r="N207" s="79"/>
      <c r="Q207" s="79"/>
      <c r="V207" s="106"/>
    </row>
    <row r="208">
      <c r="C208" s="79"/>
      <c r="D208" s="79"/>
      <c r="J208" s="79"/>
      <c r="N208" s="79"/>
      <c r="Q208" s="79"/>
      <c r="V208" s="106"/>
    </row>
    <row r="209">
      <c r="C209" s="79"/>
      <c r="D209" s="79"/>
      <c r="J209" s="79"/>
      <c r="N209" s="79"/>
      <c r="Q209" s="79"/>
      <c r="V209" s="106"/>
    </row>
    <row r="210">
      <c r="C210" s="79"/>
      <c r="D210" s="79"/>
      <c r="J210" s="79"/>
      <c r="N210" s="79"/>
      <c r="Q210" s="79"/>
      <c r="V210" s="106"/>
    </row>
    <row r="211">
      <c r="C211" s="79"/>
      <c r="D211" s="79"/>
      <c r="J211" s="79"/>
      <c r="N211" s="79"/>
      <c r="Q211" s="79"/>
      <c r="V211" s="106"/>
    </row>
    <row r="212">
      <c r="C212" s="79"/>
      <c r="D212" s="79"/>
      <c r="J212" s="79"/>
      <c r="N212" s="79"/>
      <c r="Q212" s="79"/>
      <c r="V212" s="106"/>
    </row>
    <row r="213">
      <c r="C213" s="79"/>
      <c r="D213" s="79"/>
      <c r="J213" s="79"/>
      <c r="N213" s="79"/>
      <c r="Q213" s="79"/>
      <c r="V213" s="106"/>
    </row>
    <row r="214">
      <c r="C214" s="79"/>
      <c r="D214" s="79"/>
      <c r="J214" s="79"/>
      <c r="N214" s="79"/>
      <c r="Q214" s="79"/>
      <c r="V214" s="106"/>
    </row>
    <row r="215">
      <c r="C215" s="79"/>
      <c r="D215" s="79"/>
      <c r="J215" s="79"/>
      <c r="N215" s="79"/>
      <c r="Q215" s="79"/>
      <c r="V215" s="106"/>
    </row>
    <row r="216">
      <c r="C216" s="79"/>
      <c r="D216" s="79"/>
      <c r="J216" s="79"/>
      <c r="N216" s="79"/>
      <c r="Q216" s="79"/>
      <c r="V216" s="106"/>
    </row>
    <row r="217">
      <c r="C217" s="79"/>
      <c r="D217" s="79"/>
      <c r="J217" s="79"/>
      <c r="N217" s="79"/>
      <c r="Q217" s="79"/>
      <c r="V217" s="106"/>
    </row>
    <row r="218">
      <c r="C218" s="79"/>
      <c r="D218" s="79"/>
      <c r="J218" s="79"/>
      <c r="N218" s="79"/>
      <c r="Q218" s="79"/>
      <c r="V218" s="106"/>
    </row>
    <row r="219">
      <c r="C219" s="79"/>
      <c r="D219" s="79"/>
      <c r="J219" s="79"/>
      <c r="N219" s="79"/>
      <c r="Q219" s="79"/>
      <c r="V219" s="106"/>
    </row>
    <row r="220">
      <c r="C220" s="79"/>
      <c r="D220" s="79"/>
      <c r="J220" s="79"/>
      <c r="N220" s="79"/>
      <c r="Q220" s="79"/>
      <c r="V220" s="106"/>
    </row>
    <row r="221">
      <c r="C221" s="79"/>
      <c r="D221" s="79"/>
      <c r="J221" s="79"/>
      <c r="N221" s="79"/>
      <c r="Q221" s="79"/>
      <c r="V221" s="106"/>
    </row>
    <row r="222">
      <c r="C222" s="79"/>
      <c r="D222" s="79"/>
      <c r="J222" s="79"/>
      <c r="N222" s="79"/>
      <c r="Q222" s="79"/>
      <c r="V222" s="106"/>
    </row>
    <row r="223">
      <c r="C223" s="79"/>
      <c r="D223" s="79"/>
      <c r="J223" s="79"/>
      <c r="N223" s="79"/>
      <c r="Q223" s="79"/>
      <c r="V223" s="106"/>
    </row>
    <row r="224">
      <c r="C224" s="79"/>
      <c r="D224" s="79"/>
      <c r="J224" s="79"/>
      <c r="N224" s="79"/>
      <c r="Q224" s="79"/>
      <c r="V224" s="106"/>
    </row>
    <row r="225">
      <c r="C225" s="79"/>
      <c r="D225" s="79"/>
      <c r="J225" s="79"/>
      <c r="N225" s="79"/>
      <c r="Q225" s="79"/>
      <c r="V225" s="106"/>
    </row>
    <row r="226">
      <c r="C226" s="79"/>
      <c r="D226" s="79"/>
      <c r="J226" s="79"/>
      <c r="N226" s="79"/>
      <c r="Q226" s="79"/>
      <c r="V226" s="106"/>
    </row>
    <row r="227">
      <c r="C227" s="79"/>
      <c r="D227" s="79"/>
      <c r="J227" s="79"/>
      <c r="N227" s="79"/>
      <c r="Q227" s="79"/>
      <c r="V227" s="106"/>
    </row>
    <row r="228">
      <c r="C228" s="79"/>
      <c r="D228" s="79"/>
      <c r="J228" s="79"/>
      <c r="N228" s="79"/>
      <c r="Q228" s="79"/>
      <c r="V228" s="106"/>
    </row>
    <row r="229">
      <c r="C229" s="79"/>
      <c r="D229" s="79"/>
      <c r="J229" s="79"/>
      <c r="N229" s="79"/>
      <c r="Q229" s="79"/>
      <c r="V229" s="106"/>
    </row>
    <row r="230">
      <c r="C230" s="79"/>
      <c r="D230" s="79"/>
      <c r="J230" s="79"/>
      <c r="N230" s="79"/>
      <c r="Q230" s="79"/>
      <c r="V230" s="106"/>
    </row>
    <row r="231">
      <c r="C231" s="79"/>
      <c r="D231" s="79"/>
      <c r="J231" s="79"/>
      <c r="N231" s="79"/>
      <c r="Q231" s="79"/>
      <c r="V231" s="106"/>
    </row>
    <row r="232">
      <c r="C232" s="79"/>
      <c r="D232" s="79"/>
      <c r="J232" s="79"/>
      <c r="N232" s="79"/>
      <c r="Q232" s="79"/>
      <c r="V232" s="106"/>
    </row>
    <row r="233">
      <c r="C233" s="79"/>
      <c r="D233" s="79"/>
      <c r="J233" s="79"/>
      <c r="N233" s="79"/>
      <c r="Q233" s="79"/>
      <c r="V233" s="106"/>
    </row>
    <row r="234">
      <c r="C234" s="79"/>
      <c r="D234" s="79"/>
      <c r="J234" s="79"/>
      <c r="N234" s="79"/>
      <c r="Q234" s="79"/>
      <c r="V234" s="106"/>
    </row>
    <row r="235">
      <c r="C235" s="79"/>
      <c r="D235" s="79"/>
      <c r="J235" s="79"/>
      <c r="N235" s="79"/>
      <c r="Q235" s="79"/>
      <c r="V235" s="106"/>
    </row>
    <row r="236">
      <c r="C236" s="79"/>
      <c r="D236" s="79"/>
      <c r="J236" s="79"/>
      <c r="N236" s="79"/>
      <c r="Q236" s="79"/>
      <c r="V236" s="106"/>
    </row>
    <row r="237">
      <c r="C237" s="79"/>
      <c r="D237" s="79"/>
      <c r="J237" s="79"/>
      <c r="N237" s="79"/>
      <c r="Q237" s="79"/>
      <c r="V237" s="106"/>
    </row>
    <row r="238">
      <c r="C238" s="79"/>
      <c r="D238" s="79"/>
      <c r="J238" s="79"/>
      <c r="N238" s="79"/>
      <c r="Q238" s="79"/>
      <c r="V238" s="106"/>
    </row>
    <row r="239">
      <c r="C239" s="79"/>
      <c r="D239" s="79"/>
      <c r="J239" s="79"/>
      <c r="N239" s="79"/>
      <c r="Q239" s="79"/>
      <c r="V239" s="106"/>
    </row>
    <row r="240">
      <c r="C240" s="79"/>
      <c r="D240" s="79"/>
      <c r="J240" s="79"/>
      <c r="N240" s="79"/>
      <c r="Q240" s="79"/>
      <c r="V240" s="106"/>
    </row>
    <row r="241">
      <c r="C241" s="79"/>
      <c r="D241" s="79"/>
      <c r="J241" s="79"/>
      <c r="N241" s="79"/>
      <c r="Q241" s="79"/>
      <c r="V241" s="106"/>
    </row>
    <row r="242">
      <c r="C242" s="79"/>
      <c r="D242" s="79"/>
      <c r="J242" s="79"/>
      <c r="N242" s="79"/>
      <c r="Q242" s="79"/>
      <c r="V242" s="106"/>
    </row>
    <row r="243">
      <c r="C243" s="79"/>
      <c r="D243" s="79"/>
      <c r="J243" s="79"/>
      <c r="N243" s="79"/>
      <c r="Q243" s="79"/>
      <c r="V243" s="106"/>
    </row>
    <row r="244">
      <c r="C244" s="79"/>
      <c r="D244" s="79"/>
      <c r="J244" s="79"/>
      <c r="N244" s="79"/>
      <c r="Q244" s="79"/>
      <c r="V244" s="106"/>
    </row>
    <row r="245">
      <c r="C245" s="79"/>
      <c r="D245" s="79"/>
      <c r="J245" s="79"/>
      <c r="N245" s="79"/>
      <c r="Q245" s="79"/>
      <c r="V245" s="106"/>
    </row>
    <row r="246">
      <c r="C246" s="79"/>
      <c r="D246" s="79"/>
      <c r="J246" s="79"/>
      <c r="N246" s="79"/>
      <c r="Q246" s="79"/>
      <c r="V246" s="106"/>
    </row>
    <row r="247">
      <c r="C247" s="79"/>
      <c r="D247" s="79"/>
      <c r="J247" s="79"/>
      <c r="N247" s="79"/>
      <c r="Q247" s="79"/>
      <c r="V247" s="106"/>
    </row>
    <row r="248">
      <c r="C248" s="79"/>
      <c r="D248" s="79"/>
      <c r="J248" s="79"/>
      <c r="N248" s="79"/>
      <c r="Q248" s="79"/>
      <c r="V248" s="106"/>
    </row>
    <row r="249">
      <c r="C249" s="79"/>
      <c r="D249" s="79"/>
      <c r="J249" s="79"/>
      <c r="N249" s="79"/>
      <c r="Q249" s="79"/>
      <c r="V249" s="106"/>
    </row>
    <row r="250">
      <c r="C250" s="79"/>
      <c r="D250" s="79"/>
      <c r="J250" s="79"/>
      <c r="N250" s="79"/>
      <c r="Q250" s="79"/>
      <c r="V250" s="106"/>
    </row>
    <row r="251">
      <c r="C251" s="79"/>
      <c r="D251" s="79"/>
      <c r="J251" s="79"/>
      <c r="N251" s="79"/>
      <c r="Q251" s="79"/>
      <c r="V251" s="106"/>
    </row>
    <row r="252">
      <c r="C252" s="79"/>
      <c r="D252" s="79"/>
      <c r="J252" s="79"/>
      <c r="N252" s="79"/>
      <c r="Q252" s="79"/>
      <c r="V252" s="106"/>
    </row>
    <row r="253">
      <c r="C253" s="79"/>
      <c r="D253" s="79"/>
      <c r="J253" s="79"/>
      <c r="N253" s="79"/>
      <c r="Q253" s="79"/>
      <c r="V253" s="106"/>
    </row>
    <row r="254">
      <c r="C254" s="79"/>
      <c r="D254" s="79"/>
      <c r="J254" s="79"/>
      <c r="N254" s="79"/>
      <c r="Q254" s="79"/>
      <c r="V254" s="106"/>
    </row>
    <row r="255">
      <c r="C255" s="79"/>
      <c r="D255" s="79"/>
      <c r="J255" s="79"/>
      <c r="N255" s="79"/>
      <c r="Q255" s="79"/>
      <c r="V255" s="106"/>
    </row>
    <row r="256">
      <c r="C256" s="79"/>
      <c r="D256" s="79"/>
      <c r="J256" s="79"/>
      <c r="N256" s="79"/>
      <c r="Q256" s="79"/>
      <c r="V256" s="106"/>
    </row>
    <row r="257">
      <c r="C257" s="79"/>
      <c r="D257" s="79"/>
      <c r="J257" s="79"/>
      <c r="N257" s="79"/>
      <c r="Q257" s="79"/>
      <c r="V257" s="106"/>
    </row>
    <row r="258">
      <c r="C258" s="79"/>
      <c r="D258" s="79"/>
      <c r="J258" s="79"/>
      <c r="N258" s="79"/>
      <c r="Q258" s="79"/>
      <c r="V258" s="106"/>
    </row>
    <row r="259">
      <c r="C259" s="79"/>
      <c r="D259" s="79"/>
      <c r="J259" s="79"/>
      <c r="N259" s="79"/>
      <c r="Q259" s="79"/>
      <c r="V259" s="106"/>
    </row>
    <row r="260">
      <c r="C260" s="79"/>
      <c r="D260" s="79"/>
      <c r="J260" s="79"/>
      <c r="N260" s="79"/>
      <c r="Q260" s="79"/>
      <c r="V260" s="106"/>
    </row>
    <row r="261">
      <c r="C261" s="79"/>
      <c r="D261" s="79"/>
      <c r="J261" s="79"/>
      <c r="N261" s="79"/>
      <c r="Q261" s="79"/>
      <c r="V261" s="106"/>
    </row>
    <row r="262">
      <c r="C262" s="79"/>
      <c r="D262" s="79"/>
      <c r="J262" s="79"/>
      <c r="N262" s="79"/>
      <c r="Q262" s="79"/>
      <c r="V262" s="106"/>
    </row>
    <row r="263">
      <c r="C263" s="79"/>
      <c r="D263" s="79"/>
      <c r="J263" s="79"/>
      <c r="N263" s="79"/>
      <c r="Q263" s="79"/>
      <c r="V263" s="106"/>
    </row>
    <row r="264">
      <c r="C264" s="79"/>
      <c r="D264" s="79"/>
      <c r="J264" s="79"/>
      <c r="N264" s="79"/>
      <c r="Q264" s="79"/>
      <c r="V264" s="106"/>
    </row>
    <row r="265">
      <c r="C265" s="79"/>
      <c r="D265" s="79"/>
      <c r="J265" s="79"/>
      <c r="N265" s="79"/>
      <c r="Q265" s="79"/>
      <c r="V265" s="106"/>
    </row>
    <row r="266">
      <c r="C266" s="79"/>
      <c r="D266" s="79"/>
      <c r="J266" s="79"/>
      <c r="N266" s="79"/>
      <c r="Q266" s="79"/>
      <c r="V266" s="106"/>
    </row>
    <row r="267">
      <c r="C267" s="79"/>
      <c r="D267" s="79"/>
      <c r="J267" s="79"/>
      <c r="N267" s="79"/>
      <c r="Q267" s="79"/>
      <c r="V267" s="106"/>
    </row>
    <row r="268">
      <c r="C268" s="79"/>
      <c r="D268" s="79"/>
      <c r="J268" s="79"/>
      <c r="N268" s="79"/>
      <c r="Q268" s="79"/>
      <c r="V268" s="106"/>
    </row>
    <row r="269">
      <c r="C269" s="79"/>
      <c r="D269" s="79"/>
      <c r="J269" s="79"/>
      <c r="N269" s="79"/>
      <c r="Q269" s="79"/>
      <c r="V269" s="106"/>
    </row>
    <row r="270">
      <c r="C270" s="79"/>
      <c r="D270" s="79"/>
      <c r="J270" s="79"/>
      <c r="N270" s="79"/>
      <c r="Q270" s="79"/>
      <c r="V270" s="106"/>
    </row>
    <row r="271">
      <c r="C271" s="79"/>
      <c r="D271" s="79"/>
      <c r="J271" s="79"/>
      <c r="N271" s="79"/>
      <c r="Q271" s="79"/>
      <c r="V271" s="106"/>
    </row>
    <row r="272">
      <c r="C272" s="79"/>
      <c r="D272" s="79"/>
      <c r="J272" s="79"/>
      <c r="N272" s="79"/>
      <c r="Q272" s="79"/>
      <c r="V272" s="106"/>
    </row>
    <row r="273">
      <c r="C273" s="79"/>
      <c r="D273" s="79"/>
      <c r="J273" s="79"/>
      <c r="N273" s="79"/>
      <c r="Q273" s="79"/>
      <c r="V273" s="106"/>
    </row>
    <row r="274">
      <c r="C274" s="79"/>
      <c r="D274" s="79"/>
      <c r="J274" s="79"/>
      <c r="N274" s="79"/>
      <c r="Q274" s="79"/>
      <c r="V274" s="106"/>
    </row>
    <row r="275">
      <c r="C275" s="79"/>
      <c r="D275" s="79"/>
      <c r="J275" s="79"/>
      <c r="N275" s="79"/>
      <c r="Q275" s="79"/>
      <c r="V275" s="106"/>
    </row>
    <row r="276">
      <c r="C276" s="79"/>
      <c r="D276" s="79"/>
      <c r="J276" s="79"/>
      <c r="N276" s="79"/>
      <c r="Q276" s="79"/>
      <c r="V276" s="106"/>
    </row>
    <row r="277">
      <c r="C277" s="79"/>
      <c r="D277" s="79"/>
      <c r="J277" s="79"/>
      <c r="N277" s="79"/>
      <c r="Q277" s="79"/>
      <c r="V277" s="106"/>
    </row>
    <row r="278">
      <c r="C278" s="79"/>
      <c r="D278" s="79"/>
      <c r="J278" s="79"/>
      <c r="N278" s="79"/>
      <c r="Q278" s="79"/>
      <c r="V278" s="106"/>
    </row>
    <row r="279">
      <c r="C279" s="79"/>
      <c r="D279" s="79"/>
      <c r="J279" s="79"/>
      <c r="N279" s="79"/>
      <c r="Q279" s="79"/>
      <c r="V279" s="106"/>
    </row>
    <row r="280">
      <c r="C280" s="79"/>
      <c r="D280" s="79"/>
      <c r="J280" s="79"/>
      <c r="N280" s="79"/>
      <c r="Q280" s="79"/>
      <c r="V280" s="106"/>
    </row>
    <row r="281">
      <c r="C281" s="79"/>
      <c r="D281" s="79"/>
      <c r="J281" s="79"/>
      <c r="N281" s="79"/>
      <c r="Q281" s="79"/>
      <c r="V281" s="106"/>
    </row>
    <row r="282">
      <c r="C282" s="79"/>
      <c r="D282" s="79"/>
      <c r="J282" s="79"/>
      <c r="N282" s="79"/>
      <c r="Q282" s="79"/>
      <c r="V282" s="106"/>
    </row>
    <row r="283">
      <c r="C283" s="79"/>
      <c r="D283" s="79"/>
      <c r="J283" s="79"/>
      <c r="N283" s="79"/>
      <c r="Q283" s="79"/>
      <c r="V283" s="106"/>
    </row>
    <row r="284">
      <c r="C284" s="79"/>
      <c r="D284" s="79"/>
      <c r="J284" s="79"/>
      <c r="N284" s="79"/>
      <c r="Q284" s="79"/>
      <c r="V284" s="106"/>
    </row>
    <row r="285">
      <c r="C285" s="79"/>
      <c r="D285" s="79"/>
      <c r="J285" s="79"/>
      <c r="N285" s="79"/>
      <c r="Q285" s="79"/>
      <c r="V285" s="106"/>
    </row>
    <row r="286">
      <c r="C286" s="79"/>
      <c r="D286" s="79"/>
      <c r="J286" s="79"/>
      <c r="N286" s="79"/>
      <c r="Q286" s="79"/>
      <c r="V286" s="106"/>
    </row>
    <row r="287">
      <c r="C287" s="79"/>
      <c r="D287" s="79"/>
      <c r="J287" s="79"/>
      <c r="N287" s="79"/>
      <c r="Q287" s="79"/>
      <c r="V287" s="106"/>
    </row>
    <row r="288">
      <c r="C288" s="79"/>
      <c r="D288" s="79"/>
      <c r="J288" s="79"/>
      <c r="N288" s="79"/>
      <c r="Q288" s="79"/>
      <c r="V288" s="106"/>
    </row>
    <row r="289">
      <c r="C289" s="79"/>
      <c r="D289" s="79"/>
      <c r="J289" s="79"/>
      <c r="N289" s="79"/>
      <c r="Q289" s="79"/>
      <c r="V289" s="106"/>
    </row>
    <row r="290">
      <c r="C290" s="79"/>
      <c r="D290" s="79"/>
      <c r="J290" s="79"/>
      <c r="N290" s="79"/>
      <c r="Q290" s="79"/>
      <c r="V290" s="106"/>
    </row>
    <row r="291">
      <c r="C291" s="79"/>
      <c r="D291" s="79"/>
      <c r="J291" s="79"/>
      <c r="N291" s="79"/>
      <c r="Q291" s="79"/>
      <c r="V291" s="106"/>
    </row>
    <row r="292">
      <c r="C292" s="79"/>
      <c r="D292" s="79"/>
      <c r="J292" s="79"/>
      <c r="N292" s="79"/>
      <c r="Q292" s="79"/>
      <c r="V292" s="106"/>
    </row>
    <row r="293">
      <c r="C293" s="79"/>
      <c r="D293" s="79"/>
      <c r="J293" s="79"/>
      <c r="N293" s="79"/>
      <c r="Q293" s="79"/>
      <c r="V293" s="106"/>
    </row>
    <row r="294">
      <c r="C294" s="79"/>
      <c r="D294" s="79"/>
      <c r="J294" s="79"/>
      <c r="N294" s="79"/>
      <c r="Q294" s="79"/>
      <c r="V294" s="106"/>
    </row>
    <row r="295">
      <c r="C295" s="79"/>
      <c r="D295" s="79"/>
      <c r="J295" s="79"/>
      <c r="N295" s="79"/>
      <c r="Q295" s="79"/>
      <c r="V295" s="106"/>
    </row>
    <row r="296">
      <c r="C296" s="79"/>
      <c r="D296" s="79"/>
      <c r="J296" s="79"/>
      <c r="N296" s="79"/>
      <c r="Q296" s="79"/>
      <c r="V296" s="106"/>
    </row>
    <row r="297">
      <c r="C297" s="79"/>
      <c r="D297" s="79"/>
      <c r="J297" s="79"/>
      <c r="N297" s="79"/>
      <c r="Q297" s="79"/>
      <c r="V297" s="106"/>
    </row>
    <row r="298">
      <c r="C298" s="79"/>
      <c r="D298" s="79"/>
      <c r="J298" s="79"/>
      <c r="N298" s="79"/>
      <c r="Q298" s="79"/>
      <c r="V298" s="106"/>
    </row>
    <row r="299">
      <c r="C299" s="79"/>
      <c r="D299" s="79"/>
      <c r="J299" s="79"/>
      <c r="N299" s="79"/>
      <c r="Q299" s="79"/>
      <c r="V299" s="106"/>
    </row>
    <row r="300">
      <c r="C300" s="79"/>
      <c r="D300" s="79"/>
      <c r="J300" s="79"/>
      <c r="N300" s="79"/>
      <c r="Q300" s="79"/>
      <c r="V300" s="106"/>
    </row>
    <row r="301">
      <c r="C301" s="79"/>
      <c r="D301" s="79"/>
      <c r="J301" s="79"/>
      <c r="N301" s="79"/>
      <c r="Q301" s="79"/>
      <c r="V301" s="106"/>
    </row>
    <row r="302">
      <c r="C302" s="79"/>
      <c r="D302" s="79"/>
      <c r="J302" s="79"/>
      <c r="N302" s="79"/>
      <c r="Q302" s="79"/>
      <c r="V302" s="106"/>
    </row>
    <row r="303">
      <c r="C303" s="79"/>
      <c r="D303" s="79"/>
      <c r="J303" s="79"/>
      <c r="N303" s="79"/>
      <c r="Q303" s="79"/>
      <c r="V303" s="106"/>
    </row>
    <row r="304">
      <c r="C304" s="79"/>
      <c r="D304" s="79"/>
      <c r="J304" s="79"/>
      <c r="N304" s="79"/>
      <c r="Q304" s="79"/>
      <c r="V304" s="106"/>
    </row>
    <row r="305">
      <c r="C305" s="79"/>
      <c r="D305" s="79"/>
      <c r="J305" s="79"/>
      <c r="N305" s="79"/>
      <c r="Q305" s="79"/>
      <c r="V305" s="106"/>
    </row>
    <row r="306">
      <c r="C306" s="79"/>
      <c r="D306" s="79"/>
      <c r="J306" s="79"/>
      <c r="N306" s="79"/>
      <c r="Q306" s="79"/>
      <c r="V306" s="106"/>
    </row>
    <row r="307">
      <c r="C307" s="79"/>
      <c r="D307" s="79"/>
      <c r="J307" s="79"/>
      <c r="N307" s="79"/>
      <c r="Q307" s="79"/>
      <c r="V307" s="106"/>
    </row>
    <row r="308">
      <c r="C308" s="79"/>
      <c r="D308" s="79"/>
      <c r="J308" s="79"/>
      <c r="N308" s="79"/>
      <c r="Q308" s="79"/>
      <c r="V308" s="106"/>
    </row>
    <row r="309">
      <c r="C309" s="79"/>
      <c r="D309" s="79"/>
      <c r="J309" s="79"/>
      <c r="N309" s="79"/>
      <c r="Q309" s="79"/>
      <c r="V309" s="106"/>
    </row>
    <row r="310">
      <c r="C310" s="79"/>
      <c r="D310" s="79"/>
      <c r="J310" s="79"/>
      <c r="N310" s="79"/>
      <c r="Q310" s="79"/>
      <c r="V310" s="106"/>
    </row>
    <row r="311">
      <c r="C311" s="79"/>
      <c r="D311" s="79"/>
      <c r="J311" s="79"/>
      <c r="N311" s="79"/>
      <c r="Q311" s="79"/>
      <c r="V311" s="106"/>
    </row>
    <row r="312">
      <c r="C312" s="79"/>
      <c r="D312" s="79"/>
      <c r="J312" s="79"/>
      <c r="N312" s="79"/>
      <c r="Q312" s="79"/>
      <c r="V312" s="106"/>
    </row>
    <row r="313">
      <c r="C313" s="79"/>
      <c r="D313" s="79"/>
      <c r="J313" s="79"/>
      <c r="N313" s="79"/>
      <c r="Q313" s="79"/>
      <c r="V313" s="106"/>
    </row>
    <row r="314">
      <c r="C314" s="79"/>
      <c r="D314" s="79"/>
      <c r="J314" s="79"/>
      <c r="N314" s="79"/>
      <c r="Q314" s="79"/>
      <c r="V314" s="106"/>
    </row>
    <row r="315">
      <c r="C315" s="79"/>
      <c r="D315" s="79"/>
      <c r="J315" s="79"/>
      <c r="N315" s="79"/>
      <c r="Q315" s="79"/>
      <c r="V315" s="106"/>
    </row>
    <row r="316">
      <c r="C316" s="79"/>
      <c r="D316" s="79"/>
      <c r="J316" s="79"/>
      <c r="N316" s="79"/>
      <c r="Q316" s="79"/>
      <c r="V316" s="106"/>
    </row>
    <row r="317">
      <c r="C317" s="79"/>
      <c r="D317" s="79"/>
      <c r="J317" s="79"/>
      <c r="N317" s="79"/>
      <c r="Q317" s="79"/>
      <c r="V317" s="106"/>
    </row>
    <row r="318">
      <c r="C318" s="79"/>
      <c r="D318" s="79"/>
      <c r="J318" s="79"/>
      <c r="N318" s="79"/>
      <c r="Q318" s="79"/>
      <c r="V318" s="106"/>
    </row>
    <row r="319">
      <c r="C319" s="79"/>
      <c r="D319" s="79"/>
      <c r="J319" s="79"/>
      <c r="N319" s="79"/>
      <c r="Q319" s="79"/>
      <c r="V319" s="106"/>
    </row>
    <row r="320">
      <c r="C320" s="79"/>
      <c r="D320" s="79"/>
      <c r="J320" s="79"/>
      <c r="N320" s="79"/>
      <c r="Q320" s="79"/>
      <c r="V320" s="106"/>
    </row>
    <row r="321">
      <c r="C321" s="79"/>
      <c r="D321" s="79"/>
      <c r="J321" s="79"/>
      <c r="N321" s="79"/>
      <c r="Q321" s="79"/>
      <c r="V321" s="106"/>
    </row>
    <row r="322">
      <c r="C322" s="79"/>
      <c r="D322" s="79"/>
      <c r="J322" s="79"/>
      <c r="N322" s="79"/>
      <c r="Q322" s="79"/>
      <c r="V322" s="106"/>
    </row>
    <row r="323">
      <c r="C323" s="79"/>
      <c r="D323" s="79"/>
      <c r="J323" s="79"/>
      <c r="N323" s="79"/>
      <c r="Q323" s="79"/>
      <c r="V323" s="106"/>
    </row>
    <row r="324">
      <c r="C324" s="79"/>
      <c r="D324" s="79"/>
      <c r="J324" s="79"/>
      <c r="N324" s="79"/>
      <c r="Q324" s="79"/>
      <c r="V324" s="106"/>
    </row>
    <row r="325">
      <c r="C325" s="79"/>
      <c r="D325" s="79"/>
      <c r="J325" s="79"/>
      <c r="N325" s="79"/>
      <c r="Q325" s="79"/>
      <c r="V325" s="106"/>
    </row>
    <row r="326">
      <c r="C326" s="79"/>
      <c r="D326" s="79"/>
      <c r="J326" s="79"/>
      <c r="N326" s="79"/>
      <c r="Q326" s="79"/>
      <c r="V326" s="106"/>
    </row>
    <row r="327">
      <c r="C327" s="79"/>
      <c r="D327" s="79"/>
      <c r="J327" s="79"/>
      <c r="N327" s="79"/>
      <c r="Q327" s="79"/>
      <c r="V327" s="106"/>
    </row>
    <row r="328">
      <c r="C328" s="79"/>
      <c r="D328" s="79"/>
      <c r="J328" s="79"/>
      <c r="N328" s="79"/>
      <c r="Q328" s="79"/>
      <c r="V328" s="106"/>
    </row>
    <row r="329">
      <c r="C329" s="79"/>
      <c r="D329" s="79"/>
      <c r="J329" s="79"/>
      <c r="N329" s="79"/>
      <c r="Q329" s="79"/>
      <c r="V329" s="106"/>
    </row>
    <row r="330">
      <c r="C330" s="79"/>
      <c r="D330" s="79"/>
      <c r="J330" s="79"/>
      <c r="N330" s="79"/>
      <c r="Q330" s="79"/>
      <c r="V330" s="106"/>
    </row>
    <row r="331">
      <c r="C331" s="79"/>
      <c r="D331" s="79"/>
      <c r="J331" s="79"/>
      <c r="N331" s="79"/>
      <c r="Q331" s="79"/>
      <c r="V331" s="106"/>
    </row>
    <row r="332">
      <c r="C332" s="79"/>
      <c r="D332" s="79"/>
      <c r="J332" s="79"/>
      <c r="N332" s="79"/>
      <c r="Q332" s="79"/>
      <c r="V332" s="106"/>
    </row>
    <row r="333">
      <c r="C333" s="79"/>
      <c r="D333" s="79"/>
      <c r="J333" s="79"/>
      <c r="N333" s="79"/>
      <c r="Q333" s="79"/>
      <c r="V333" s="106"/>
    </row>
    <row r="334">
      <c r="C334" s="79"/>
      <c r="D334" s="79"/>
      <c r="J334" s="79"/>
      <c r="N334" s="79"/>
      <c r="Q334" s="79"/>
      <c r="V334" s="106"/>
    </row>
    <row r="335">
      <c r="C335" s="79"/>
      <c r="D335" s="79"/>
      <c r="J335" s="79"/>
      <c r="N335" s="79"/>
      <c r="Q335" s="79"/>
      <c r="V335" s="106"/>
    </row>
    <row r="336">
      <c r="C336" s="79"/>
      <c r="D336" s="79"/>
      <c r="J336" s="79"/>
      <c r="N336" s="79"/>
      <c r="Q336" s="79"/>
      <c r="V336" s="106"/>
    </row>
    <row r="337">
      <c r="C337" s="79"/>
      <c r="D337" s="79"/>
      <c r="J337" s="79"/>
      <c r="N337" s="79"/>
      <c r="Q337" s="79"/>
      <c r="V337" s="106"/>
    </row>
    <row r="338">
      <c r="C338" s="79"/>
      <c r="D338" s="79"/>
      <c r="J338" s="79"/>
      <c r="N338" s="79"/>
      <c r="Q338" s="79"/>
      <c r="V338" s="106"/>
    </row>
    <row r="339">
      <c r="C339" s="79"/>
      <c r="D339" s="79"/>
      <c r="J339" s="79"/>
      <c r="N339" s="79"/>
      <c r="Q339" s="79"/>
      <c r="V339" s="106"/>
    </row>
    <row r="340">
      <c r="C340" s="79"/>
      <c r="D340" s="79"/>
      <c r="J340" s="79"/>
      <c r="N340" s="79"/>
      <c r="Q340" s="79"/>
      <c r="V340" s="106"/>
    </row>
    <row r="341">
      <c r="C341" s="79"/>
      <c r="D341" s="79"/>
      <c r="J341" s="79"/>
      <c r="N341" s="79"/>
      <c r="Q341" s="79"/>
      <c r="V341" s="106"/>
    </row>
    <row r="342">
      <c r="C342" s="79"/>
      <c r="D342" s="79"/>
      <c r="J342" s="79"/>
      <c r="N342" s="79"/>
      <c r="Q342" s="79"/>
      <c r="V342" s="106"/>
    </row>
    <row r="343">
      <c r="C343" s="79"/>
      <c r="D343" s="79"/>
      <c r="J343" s="79"/>
      <c r="N343" s="79"/>
      <c r="Q343" s="79"/>
      <c r="V343" s="106"/>
    </row>
    <row r="344">
      <c r="C344" s="79"/>
      <c r="D344" s="79"/>
      <c r="J344" s="79"/>
      <c r="N344" s="79"/>
      <c r="Q344" s="79"/>
      <c r="V344" s="106"/>
    </row>
    <row r="345">
      <c r="C345" s="79"/>
      <c r="D345" s="79"/>
      <c r="J345" s="79"/>
      <c r="N345" s="79"/>
      <c r="Q345" s="79"/>
      <c r="V345" s="106"/>
    </row>
    <row r="346">
      <c r="C346" s="79"/>
      <c r="D346" s="79"/>
      <c r="J346" s="79"/>
      <c r="N346" s="79"/>
      <c r="Q346" s="79"/>
      <c r="V346" s="106"/>
    </row>
    <row r="347">
      <c r="C347" s="79"/>
      <c r="D347" s="79"/>
      <c r="J347" s="79"/>
      <c r="N347" s="79"/>
      <c r="Q347" s="79"/>
      <c r="V347" s="106"/>
    </row>
    <row r="348">
      <c r="C348" s="79"/>
      <c r="D348" s="79"/>
      <c r="J348" s="79"/>
      <c r="N348" s="79"/>
      <c r="Q348" s="79"/>
      <c r="V348" s="106"/>
    </row>
    <row r="349">
      <c r="C349" s="79"/>
      <c r="D349" s="79"/>
      <c r="J349" s="79"/>
      <c r="N349" s="79"/>
      <c r="Q349" s="79"/>
      <c r="V349" s="106"/>
    </row>
    <row r="350">
      <c r="C350" s="79"/>
      <c r="D350" s="79"/>
      <c r="J350" s="79"/>
      <c r="N350" s="79"/>
      <c r="Q350" s="79"/>
      <c r="V350" s="106"/>
    </row>
    <row r="351">
      <c r="C351" s="79"/>
      <c r="D351" s="79"/>
      <c r="J351" s="79"/>
      <c r="N351" s="79"/>
      <c r="Q351" s="79"/>
      <c r="V351" s="106"/>
    </row>
    <row r="352">
      <c r="C352" s="79"/>
      <c r="D352" s="79"/>
      <c r="J352" s="79"/>
      <c r="N352" s="79"/>
      <c r="Q352" s="79"/>
      <c r="V352" s="106"/>
    </row>
    <row r="353">
      <c r="C353" s="79"/>
      <c r="D353" s="79"/>
      <c r="J353" s="79"/>
      <c r="N353" s="79"/>
      <c r="Q353" s="79"/>
      <c r="V353" s="106"/>
    </row>
    <row r="354">
      <c r="C354" s="79"/>
      <c r="D354" s="79"/>
      <c r="J354" s="79"/>
      <c r="N354" s="79"/>
      <c r="Q354" s="79"/>
      <c r="V354" s="106"/>
    </row>
    <row r="355">
      <c r="C355" s="79"/>
      <c r="D355" s="79"/>
      <c r="J355" s="79"/>
      <c r="N355" s="79"/>
      <c r="Q355" s="79"/>
      <c r="V355" s="106"/>
    </row>
    <row r="356">
      <c r="C356" s="79"/>
      <c r="D356" s="79"/>
      <c r="J356" s="79"/>
      <c r="N356" s="79"/>
      <c r="Q356" s="79"/>
      <c r="V356" s="106"/>
    </row>
    <row r="357">
      <c r="C357" s="79"/>
      <c r="D357" s="79"/>
      <c r="J357" s="79"/>
      <c r="N357" s="79"/>
      <c r="Q357" s="79"/>
      <c r="V357" s="106"/>
    </row>
    <row r="358">
      <c r="C358" s="79"/>
      <c r="D358" s="79"/>
      <c r="J358" s="79"/>
      <c r="N358" s="79"/>
      <c r="Q358" s="79"/>
      <c r="V358" s="106"/>
    </row>
    <row r="359">
      <c r="C359" s="79"/>
      <c r="D359" s="79"/>
      <c r="J359" s="79"/>
      <c r="N359" s="79"/>
      <c r="Q359" s="79"/>
      <c r="V359" s="106"/>
    </row>
    <row r="360">
      <c r="C360" s="79"/>
      <c r="D360" s="79"/>
      <c r="J360" s="79"/>
      <c r="N360" s="79"/>
      <c r="Q360" s="79"/>
      <c r="V360" s="106"/>
    </row>
    <row r="361">
      <c r="C361" s="79"/>
      <c r="D361" s="79"/>
      <c r="J361" s="79"/>
      <c r="N361" s="79"/>
      <c r="Q361" s="79"/>
      <c r="V361" s="106"/>
    </row>
    <row r="362">
      <c r="C362" s="79"/>
      <c r="D362" s="79"/>
      <c r="J362" s="79"/>
      <c r="N362" s="79"/>
      <c r="Q362" s="79"/>
      <c r="V362" s="106"/>
    </row>
    <row r="363">
      <c r="C363" s="79"/>
      <c r="D363" s="79"/>
      <c r="J363" s="79"/>
      <c r="N363" s="79"/>
      <c r="Q363" s="79"/>
      <c r="V363" s="106"/>
    </row>
    <row r="364">
      <c r="C364" s="79"/>
      <c r="D364" s="79"/>
      <c r="J364" s="79"/>
      <c r="N364" s="79"/>
      <c r="Q364" s="79"/>
      <c r="V364" s="106"/>
    </row>
    <row r="365">
      <c r="C365" s="79"/>
      <c r="D365" s="79"/>
      <c r="J365" s="79"/>
      <c r="N365" s="79"/>
      <c r="Q365" s="79"/>
      <c r="V365" s="106"/>
    </row>
    <row r="366">
      <c r="C366" s="79"/>
      <c r="D366" s="79"/>
      <c r="J366" s="79"/>
      <c r="N366" s="79"/>
      <c r="Q366" s="79"/>
      <c r="V366" s="106"/>
    </row>
    <row r="367">
      <c r="C367" s="79"/>
      <c r="D367" s="79"/>
      <c r="J367" s="79"/>
      <c r="N367" s="79"/>
      <c r="Q367" s="79"/>
      <c r="V367" s="106"/>
    </row>
    <row r="368">
      <c r="C368" s="79"/>
      <c r="D368" s="79"/>
      <c r="J368" s="79"/>
      <c r="N368" s="79"/>
      <c r="Q368" s="79"/>
      <c r="V368" s="106"/>
    </row>
    <row r="369">
      <c r="C369" s="79"/>
      <c r="D369" s="79"/>
      <c r="J369" s="79"/>
      <c r="N369" s="79"/>
      <c r="Q369" s="79"/>
      <c r="V369" s="106"/>
    </row>
    <row r="370">
      <c r="C370" s="79"/>
      <c r="D370" s="79"/>
      <c r="J370" s="79"/>
      <c r="N370" s="79"/>
      <c r="Q370" s="79"/>
      <c r="V370" s="106"/>
    </row>
    <row r="371">
      <c r="C371" s="79"/>
      <c r="D371" s="79"/>
      <c r="J371" s="79"/>
      <c r="N371" s="79"/>
      <c r="Q371" s="79"/>
      <c r="V371" s="106"/>
    </row>
    <row r="372">
      <c r="C372" s="79"/>
      <c r="D372" s="79"/>
      <c r="J372" s="79"/>
      <c r="N372" s="79"/>
      <c r="Q372" s="79"/>
      <c r="V372" s="106"/>
    </row>
    <row r="373">
      <c r="C373" s="79"/>
      <c r="D373" s="79"/>
      <c r="J373" s="79"/>
      <c r="N373" s="79"/>
      <c r="Q373" s="79"/>
      <c r="V373" s="106"/>
    </row>
    <row r="374">
      <c r="C374" s="79"/>
      <c r="D374" s="79"/>
      <c r="J374" s="79"/>
      <c r="N374" s="79"/>
      <c r="Q374" s="79"/>
      <c r="V374" s="106"/>
    </row>
    <row r="375">
      <c r="C375" s="79"/>
      <c r="D375" s="79"/>
      <c r="J375" s="79"/>
      <c r="N375" s="79"/>
      <c r="Q375" s="79"/>
      <c r="V375" s="106"/>
    </row>
    <row r="376">
      <c r="C376" s="79"/>
      <c r="D376" s="79"/>
      <c r="J376" s="79"/>
      <c r="N376" s="79"/>
      <c r="Q376" s="79"/>
      <c r="V376" s="106"/>
    </row>
    <row r="377">
      <c r="C377" s="79"/>
      <c r="D377" s="79"/>
      <c r="J377" s="79"/>
      <c r="N377" s="79"/>
      <c r="Q377" s="79"/>
      <c r="V377" s="106"/>
    </row>
    <row r="378">
      <c r="C378" s="79"/>
      <c r="D378" s="79"/>
      <c r="J378" s="79"/>
      <c r="N378" s="79"/>
      <c r="Q378" s="79"/>
      <c r="V378" s="106"/>
    </row>
    <row r="379">
      <c r="C379" s="79"/>
      <c r="D379" s="79"/>
      <c r="J379" s="79"/>
      <c r="N379" s="79"/>
      <c r="Q379" s="79"/>
      <c r="V379" s="106"/>
    </row>
    <row r="380">
      <c r="C380" s="79"/>
      <c r="D380" s="79"/>
      <c r="J380" s="79"/>
      <c r="N380" s="79"/>
      <c r="Q380" s="79"/>
      <c r="V380" s="106"/>
    </row>
    <row r="381">
      <c r="C381" s="79"/>
      <c r="D381" s="79"/>
      <c r="J381" s="79"/>
      <c r="N381" s="79"/>
      <c r="Q381" s="79"/>
      <c r="V381" s="106"/>
    </row>
    <row r="382">
      <c r="C382" s="79"/>
      <c r="D382" s="79"/>
      <c r="J382" s="79"/>
      <c r="N382" s="79"/>
      <c r="Q382" s="79"/>
      <c r="V382" s="106"/>
    </row>
    <row r="383">
      <c r="C383" s="79"/>
      <c r="D383" s="79"/>
      <c r="J383" s="79"/>
      <c r="N383" s="79"/>
      <c r="Q383" s="79"/>
      <c r="V383" s="106"/>
    </row>
    <row r="384">
      <c r="C384" s="79"/>
      <c r="D384" s="79"/>
      <c r="J384" s="79"/>
      <c r="N384" s="79"/>
      <c r="Q384" s="79"/>
      <c r="V384" s="106"/>
    </row>
    <row r="385">
      <c r="C385" s="79"/>
      <c r="D385" s="79"/>
      <c r="J385" s="79"/>
      <c r="N385" s="79"/>
      <c r="Q385" s="79"/>
      <c r="V385" s="106"/>
    </row>
    <row r="386">
      <c r="C386" s="79"/>
      <c r="D386" s="79"/>
      <c r="J386" s="79"/>
      <c r="N386" s="79"/>
      <c r="Q386" s="79"/>
      <c r="V386" s="106"/>
    </row>
    <row r="387">
      <c r="C387" s="79"/>
      <c r="D387" s="79"/>
      <c r="J387" s="79"/>
      <c r="N387" s="79"/>
      <c r="Q387" s="79"/>
      <c r="V387" s="106"/>
    </row>
    <row r="388">
      <c r="C388" s="79"/>
      <c r="D388" s="79"/>
      <c r="J388" s="79"/>
      <c r="N388" s="79"/>
      <c r="Q388" s="79"/>
      <c r="V388" s="106"/>
    </row>
    <row r="389">
      <c r="C389" s="79"/>
      <c r="D389" s="79"/>
      <c r="J389" s="79"/>
      <c r="N389" s="79"/>
      <c r="Q389" s="79"/>
      <c r="V389" s="106"/>
    </row>
    <row r="390">
      <c r="C390" s="79"/>
      <c r="D390" s="79"/>
      <c r="J390" s="79"/>
      <c r="N390" s="79"/>
      <c r="Q390" s="79"/>
      <c r="V390" s="106"/>
    </row>
    <row r="391">
      <c r="C391" s="79"/>
      <c r="D391" s="79"/>
      <c r="J391" s="79"/>
      <c r="N391" s="79"/>
      <c r="Q391" s="79"/>
      <c r="V391" s="106"/>
    </row>
    <row r="392">
      <c r="C392" s="79"/>
      <c r="D392" s="79"/>
      <c r="J392" s="79"/>
      <c r="N392" s="79"/>
      <c r="Q392" s="79"/>
      <c r="V392" s="106"/>
    </row>
    <row r="393">
      <c r="C393" s="79"/>
      <c r="D393" s="79"/>
      <c r="J393" s="79"/>
      <c r="N393" s="79"/>
      <c r="Q393" s="79"/>
      <c r="V393" s="106"/>
    </row>
    <row r="394">
      <c r="C394" s="79"/>
      <c r="D394" s="79"/>
      <c r="J394" s="79"/>
      <c r="N394" s="79"/>
      <c r="Q394" s="79"/>
      <c r="V394" s="106"/>
    </row>
    <row r="395">
      <c r="C395" s="79"/>
      <c r="D395" s="79"/>
      <c r="J395" s="79"/>
      <c r="N395" s="79"/>
      <c r="Q395" s="79"/>
      <c r="V395" s="106"/>
    </row>
    <row r="396">
      <c r="C396" s="79"/>
      <c r="D396" s="79"/>
      <c r="J396" s="79"/>
      <c r="N396" s="79"/>
      <c r="Q396" s="79"/>
      <c r="V396" s="106"/>
    </row>
    <row r="397">
      <c r="C397" s="79"/>
      <c r="D397" s="79"/>
      <c r="J397" s="79"/>
      <c r="N397" s="79"/>
      <c r="Q397" s="79"/>
      <c r="V397" s="106"/>
    </row>
    <row r="398">
      <c r="C398" s="79"/>
      <c r="D398" s="79"/>
      <c r="J398" s="79"/>
      <c r="N398" s="79"/>
      <c r="Q398" s="79"/>
      <c r="V398" s="106"/>
    </row>
    <row r="399">
      <c r="C399" s="79"/>
      <c r="D399" s="79"/>
      <c r="J399" s="79"/>
      <c r="N399" s="79"/>
      <c r="Q399" s="79"/>
      <c r="V399" s="106"/>
    </row>
    <row r="400">
      <c r="C400" s="79"/>
      <c r="D400" s="79"/>
      <c r="J400" s="79"/>
      <c r="N400" s="79"/>
      <c r="Q400" s="79"/>
      <c r="V400" s="106"/>
    </row>
    <row r="401">
      <c r="C401" s="79"/>
      <c r="D401" s="79"/>
      <c r="J401" s="79"/>
      <c r="N401" s="79"/>
      <c r="Q401" s="79"/>
      <c r="V401" s="106"/>
    </row>
    <row r="402">
      <c r="C402" s="79"/>
      <c r="D402" s="79"/>
      <c r="J402" s="79"/>
      <c r="N402" s="79"/>
      <c r="Q402" s="79"/>
      <c r="V402" s="106"/>
    </row>
    <row r="403">
      <c r="C403" s="79"/>
      <c r="D403" s="79"/>
      <c r="J403" s="79"/>
      <c r="N403" s="79"/>
      <c r="Q403" s="79"/>
      <c r="V403" s="106"/>
    </row>
    <row r="404">
      <c r="C404" s="79"/>
      <c r="D404" s="79"/>
      <c r="J404" s="79"/>
      <c r="N404" s="79"/>
      <c r="Q404" s="79"/>
      <c r="V404" s="106"/>
    </row>
    <row r="405">
      <c r="C405" s="79"/>
      <c r="D405" s="79"/>
      <c r="J405" s="79"/>
      <c r="N405" s="79"/>
      <c r="Q405" s="79"/>
      <c r="V405" s="106"/>
    </row>
    <row r="406">
      <c r="C406" s="79"/>
      <c r="D406" s="79"/>
      <c r="J406" s="79"/>
      <c r="N406" s="79"/>
      <c r="Q406" s="79"/>
      <c r="V406" s="106"/>
    </row>
    <row r="407">
      <c r="C407" s="79"/>
      <c r="D407" s="79"/>
      <c r="J407" s="79"/>
      <c r="N407" s="79"/>
      <c r="Q407" s="79"/>
      <c r="V407" s="106"/>
    </row>
    <row r="408">
      <c r="C408" s="79"/>
      <c r="D408" s="79"/>
      <c r="J408" s="79"/>
      <c r="N408" s="79"/>
      <c r="Q408" s="79"/>
      <c r="V408" s="106"/>
    </row>
    <row r="409">
      <c r="C409" s="79"/>
      <c r="D409" s="79"/>
      <c r="J409" s="79"/>
      <c r="N409" s="79"/>
      <c r="Q409" s="79"/>
      <c r="V409" s="106"/>
    </row>
    <row r="410">
      <c r="C410" s="79"/>
      <c r="D410" s="79"/>
      <c r="J410" s="79"/>
      <c r="N410" s="79"/>
      <c r="Q410" s="79"/>
      <c r="V410" s="106"/>
    </row>
    <row r="411">
      <c r="C411" s="79"/>
      <c r="D411" s="79"/>
      <c r="J411" s="79"/>
      <c r="N411" s="79"/>
      <c r="Q411" s="79"/>
      <c r="V411" s="106"/>
    </row>
    <row r="412">
      <c r="C412" s="79"/>
      <c r="D412" s="79"/>
      <c r="J412" s="79"/>
      <c r="N412" s="79"/>
      <c r="Q412" s="79"/>
      <c r="V412" s="106"/>
    </row>
    <row r="413">
      <c r="C413" s="79"/>
      <c r="D413" s="79"/>
      <c r="J413" s="79"/>
      <c r="N413" s="79"/>
      <c r="Q413" s="79"/>
      <c r="V413" s="106"/>
    </row>
    <row r="414">
      <c r="C414" s="79"/>
      <c r="D414" s="79"/>
      <c r="J414" s="79"/>
      <c r="N414" s="79"/>
      <c r="Q414" s="79"/>
      <c r="V414" s="106"/>
    </row>
    <row r="415">
      <c r="C415" s="79"/>
      <c r="D415" s="79"/>
      <c r="J415" s="79"/>
      <c r="N415" s="79"/>
      <c r="Q415" s="79"/>
      <c r="V415" s="106"/>
    </row>
    <row r="416">
      <c r="C416" s="79"/>
      <c r="D416" s="79"/>
      <c r="J416" s="79"/>
      <c r="N416" s="79"/>
      <c r="Q416" s="79"/>
      <c r="V416" s="106"/>
    </row>
    <row r="417">
      <c r="C417" s="79"/>
      <c r="D417" s="79"/>
      <c r="J417" s="79"/>
      <c r="N417" s="79"/>
      <c r="Q417" s="79"/>
      <c r="V417" s="106"/>
    </row>
    <row r="418">
      <c r="C418" s="79"/>
      <c r="D418" s="79"/>
      <c r="J418" s="79"/>
      <c r="N418" s="79"/>
      <c r="Q418" s="79"/>
      <c r="V418" s="106"/>
    </row>
    <row r="419">
      <c r="C419" s="79"/>
      <c r="D419" s="79"/>
      <c r="J419" s="79"/>
      <c r="N419" s="79"/>
      <c r="Q419" s="79"/>
      <c r="V419" s="106"/>
    </row>
    <row r="420">
      <c r="C420" s="79"/>
      <c r="D420" s="79"/>
      <c r="J420" s="79"/>
      <c r="N420" s="79"/>
      <c r="Q420" s="79"/>
      <c r="V420" s="106"/>
    </row>
    <row r="421">
      <c r="C421" s="79"/>
      <c r="D421" s="79"/>
      <c r="J421" s="79"/>
      <c r="N421" s="79"/>
      <c r="Q421" s="79"/>
      <c r="V421" s="106"/>
    </row>
    <row r="422">
      <c r="C422" s="79"/>
      <c r="D422" s="79"/>
      <c r="J422" s="79"/>
      <c r="N422" s="79"/>
      <c r="Q422" s="79"/>
      <c r="V422" s="106"/>
    </row>
    <row r="423">
      <c r="C423" s="79"/>
      <c r="D423" s="79"/>
      <c r="J423" s="79"/>
      <c r="N423" s="79"/>
      <c r="Q423" s="79"/>
      <c r="V423" s="106"/>
    </row>
    <row r="424">
      <c r="C424" s="79"/>
      <c r="D424" s="79"/>
      <c r="J424" s="79"/>
      <c r="N424" s="79"/>
      <c r="Q424" s="79"/>
      <c r="V424" s="106"/>
    </row>
    <row r="425">
      <c r="C425" s="79"/>
      <c r="D425" s="79"/>
      <c r="J425" s="79"/>
      <c r="N425" s="79"/>
      <c r="Q425" s="79"/>
      <c r="V425" s="106"/>
    </row>
    <row r="426">
      <c r="C426" s="79"/>
      <c r="D426" s="79"/>
      <c r="J426" s="79"/>
      <c r="N426" s="79"/>
      <c r="Q426" s="79"/>
      <c r="V426" s="106"/>
    </row>
    <row r="427">
      <c r="C427" s="79"/>
      <c r="D427" s="79"/>
      <c r="J427" s="79"/>
      <c r="N427" s="79"/>
      <c r="Q427" s="79"/>
      <c r="V427" s="106"/>
    </row>
    <row r="428">
      <c r="C428" s="79"/>
      <c r="D428" s="79"/>
      <c r="J428" s="79"/>
      <c r="N428" s="79"/>
      <c r="Q428" s="79"/>
      <c r="V428" s="106"/>
    </row>
    <row r="429">
      <c r="C429" s="79"/>
      <c r="D429" s="79"/>
      <c r="J429" s="79"/>
      <c r="N429" s="79"/>
      <c r="Q429" s="79"/>
      <c r="V429" s="106"/>
    </row>
    <row r="430">
      <c r="C430" s="79"/>
      <c r="D430" s="79"/>
      <c r="J430" s="79"/>
      <c r="N430" s="79"/>
      <c r="Q430" s="79"/>
      <c r="V430" s="106"/>
    </row>
    <row r="431">
      <c r="C431" s="79"/>
      <c r="D431" s="79"/>
      <c r="J431" s="79"/>
      <c r="N431" s="79"/>
      <c r="Q431" s="79"/>
      <c r="V431" s="106"/>
    </row>
    <row r="432">
      <c r="C432" s="79"/>
      <c r="D432" s="79"/>
      <c r="J432" s="79"/>
      <c r="N432" s="79"/>
      <c r="Q432" s="79"/>
      <c r="V432" s="106"/>
    </row>
    <row r="433">
      <c r="C433" s="79"/>
      <c r="D433" s="79"/>
      <c r="J433" s="79"/>
      <c r="N433" s="79"/>
      <c r="Q433" s="79"/>
      <c r="V433" s="106"/>
    </row>
    <row r="434">
      <c r="C434" s="79"/>
      <c r="D434" s="79"/>
      <c r="J434" s="79"/>
      <c r="N434" s="79"/>
      <c r="Q434" s="79"/>
      <c r="V434" s="106"/>
    </row>
    <row r="435">
      <c r="C435" s="79"/>
      <c r="D435" s="79"/>
      <c r="J435" s="79"/>
      <c r="N435" s="79"/>
      <c r="Q435" s="79"/>
      <c r="V435" s="106"/>
    </row>
    <row r="436">
      <c r="C436" s="79"/>
      <c r="D436" s="79"/>
      <c r="J436" s="79"/>
      <c r="N436" s="79"/>
      <c r="Q436" s="79"/>
      <c r="V436" s="106"/>
    </row>
    <row r="437">
      <c r="C437" s="79"/>
      <c r="D437" s="79"/>
      <c r="J437" s="79"/>
      <c r="N437" s="79"/>
      <c r="Q437" s="79"/>
      <c r="V437" s="106"/>
    </row>
    <row r="438">
      <c r="C438" s="79"/>
      <c r="D438" s="79"/>
      <c r="J438" s="79"/>
      <c r="N438" s="79"/>
      <c r="Q438" s="79"/>
      <c r="V438" s="106"/>
    </row>
    <row r="439">
      <c r="C439" s="79"/>
      <c r="D439" s="79"/>
      <c r="J439" s="79"/>
      <c r="N439" s="79"/>
      <c r="Q439" s="79"/>
      <c r="V439" s="106"/>
    </row>
    <row r="440">
      <c r="C440" s="79"/>
      <c r="D440" s="79"/>
      <c r="J440" s="79"/>
      <c r="N440" s="79"/>
      <c r="Q440" s="79"/>
      <c r="V440" s="106"/>
    </row>
    <row r="441">
      <c r="C441" s="79"/>
      <c r="D441" s="79"/>
      <c r="J441" s="79"/>
      <c r="N441" s="79"/>
      <c r="Q441" s="79"/>
      <c r="V441" s="106"/>
    </row>
    <row r="442">
      <c r="C442" s="79"/>
      <c r="D442" s="79"/>
      <c r="J442" s="79"/>
      <c r="N442" s="79"/>
      <c r="Q442" s="79"/>
      <c r="V442" s="106"/>
    </row>
    <row r="443">
      <c r="C443" s="79"/>
      <c r="D443" s="79"/>
      <c r="J443" s="79"/>
      <c r="N443" s="79"/>
      <c r="Q443" s="79"/>
      <c r="V443" s="106"/>
    </row>
    <row r="444">
      <c r="C444" s="79"/>
      <c r="D444" s="79"/>
      <c r="J444" s="79"/>
      <c r="N444" s="79"/>
      <c r="Q444" s="79"/>
      <c r="V444" s="106"/>
    </row>
    <row r="445">
      <c r="C445" s="79"/>
      <c r="D445" s="79"/>
      <c r="J445" s="79"/>
      <c r="N445" s="79"/>
      <c r="Q445" s="79"/>
      <c r="V445" s="106"/>
    </row>
    <row r="446">
      <c r="C446" s="79"/>
      <c r="D446" s="79"/>
      <c r="J446" s="79"/>
      <c r="N446" s="79"/>
      <c r="Q446" s="79"/>
      <c r="V446" s="106"/>
    </row>
    <row r="447">
      <c r="C447" s="79"/>
      <c r="D447" s="79"/>
      <c r="J447" s="79"/>
      <c r="N447" s="79"/>
      <c r="Q447" s="79"/>
      <c r="V447" s="106"/>
    </row>
    <row r="448">
      <c r="C448" s="79"/>
      <c r="D448" s="79"/>
      <c r="J448" s="79"/>
      <c r="N448" s="79"/>
      <c r="Q448" s="79"/>
      <c r="V448" s="106"/>
    </row>
    <row r="449">
      <c r="C449" s="79"/>
      <c r="D449" s="79"/>
      <c r="J449" s="79"/>
      <c r="N449" s="79"/>
      <c r="Q449" s="79"/>
      <c r="V449" s="106"/>
    </row>
    <row r="450">
      <c r="C450" s="79"/>
      <c r="D450" s="79"/>
      <c r="J450" s="79"/>
      <c r="N450" s="79"/>
      <c r="Q450" s="79"/>
      <c r="V450" s="106"/>
    </row>
    <row r="451">
      <c r="C451" s="79"/>
      <c r="D451" s="79"/>
      <c r="J451" s="79"/>
      <c r="N451" s="79"/>
      <c r="Q451" s="79"/>
      <c r="V451" s="106"/>
    </row>
    <row r="452">
      <c r="C452" s="79"/>
      <c r="D452" s="79"/>
      <c r="J452" s="79"/>
      <c r="N452" s="79"/>
      <c r="Q452" s="79"/>
      <c r="V452" s="106"/>
    </row>
    <row r="453">
      <c r="C453" s="79"/>
      <c r="D453" s="79"/>
      <c r="J453" s="79"/>
      <c r="N453" s="79"/>
      <c r="Q453" s="79"/>
      <c r="V453" s="106"/>
    </row>
    <row r="454">
      <c r="C454" s="79"/>
      <c r="D454" s="79"/>
      <c r="J454" s="79"/>
      <c r="N454" s="79"/>
      <c r="Q454" s="79"/>
      <c r="V454" s="106"/>
    </row>
    <row r="455">
      <c r="C455" s="79"/>
      <c r="D455" s="79"/>
      <c r="J455" s="79"/>
      <c r="N455" s="79"/>
      <c r="Q455" s="79"/>
      <c r="V455" s="106"/>
    </row>
    <row r="456">
      <c r="C456" s="79"/>
      <c r="D456" s="79"/>
      <c r="J456" s="79"/>
      <c r="N456" s="79"/>
      <c r="Q456" s="79"/>
      <c r="V456" s="106"/>
    </row>
    <row r="457">
      <c r="C457" s="79"/>
      <c r="D457" s="79"/>
      <c r="J457" s="79"/>
      <c r="N457" s="79"/>
      <c r="Q457" s="79"/>
      <c r="V457" s="106"/>
    </row>
    <row r="458">
      <c r="C458" s="79"/>
      <c r="D458" s="79"/>
      <c r="J458" s="79"/>
      <c r="N458" s="79"/>
      <c r="Q458" s="79"/>
      <c r="V458" s="106"/>
    </row>
    <row r="459">
      <c r="C459" s="79"/>
      <c r="D459" s="79"/>
      <c r="J459" s="79"/>
      <c r="N459" s="79"/>
      <c r="Q459" s="79"/>
      <c r="V459" s="106"/>
    </row>
    <row r="460">
      <c r="C460" s="79"/>
      <c r="D460" s="79"/>
      <c r="J460" s="79"/>
      <c r="N460" s="79"/>
      <c r="Q460" s="79"/>
      <c r="V460" s="106"/>
    </row>
    <row r="461">
      <c r="C461" s="79"/>
      <c r="D461" s="79"/>
      <c r="J461" s="79"/>
      <c r="N461" s="79"/>
      <c r="Q461" s="79"/>
      <c r="V461" s="106"/>
    </row>
    <row r="462">
      <c r="C462" s="79"/>
      <c r="D462" s="79"/>
      <c r="J462" s="79"/>
      <c r="N462" s="79"/>
      <c r="Q462" s="79"/>
      <c r="V462" s="106"/>
    </row>
    <row r="463">
      <c r="C463" s="79"/>
      <c r="D463" s="79"/>
      <c r="J463" s="79"/>
      <c r="N463" s="79"/>
      <c r="Q463" s="79"/>
      <c r="V463" s="106"/>
    </row>
    <row r="464">
      <c r="C464" s="79"/>
      <c r="D464" s="79"/>
      <c r="J464" s="79"/>
      <c r="N464" s="79"/>
      <c r="Q464" s="79"/>
      <c r="V464" s="106"/>
    </row>
    <row r="465">
      <c r="C465" s="79"/>
      <c r="D465" s="79"/>
      <c r="J465" s="79"/>
      <c r="N465" s="79"/>
      <c r="Q465" s="79"/>
      <c r="V465" s="106"/>
    </row>
    <row r="466">
      <c r="C466" s="79"/>
      <c r="D466" s="79"/>
      <c r="J466" s="79"/>
      <c r="N466" s="79"/>
      <c r="Q466" s="79"/>
      <c r="V466" s="106"/>
    </row>
    <row r="467">
      <c r="C467" s="79"/>
      <c r="D467" s="79"/>
      <c r="J467" s="79"/>
      <c r="N467" s="79"/>
      <c r="Q467" s="79"/>
      <c r="V467" s="106"/>
    </row>
    <row r="468">
      <c r="C468" s="79"/>
      <c r="D468" s="79"/>
      <c r="J468" s="79"/>
      <c r="N468" s="79"/>
      <c r="Q468" s="79"/>
      <c r="V468" s="106"/>
    </row>
    <row r="469">
      <c r="C469" s="79"/>
      <c r="D469" s="79"/>
      <c r="J469" s="79"/>
      <c r="N469" s="79"/>
      <c r="Q469" s="79"/>
      <c r="V469" s="106"/>
    </row>
    <row r="470">
      <c r="C470" s="79"/>
      <c r="D470" s="79"/>
      <c r="J470" s="79"/>
      <c r="N470" s="79"/>
      <c r="Q470" s="79"/>
      <c r="V470" s="106"/>
    </row>
    <row r="471">
      <c r="C471" s="79"/>
      <c r="D471" s="79"/>
      <c r="J471" s="79"/>
      <c r="N471" s="79"/>
      <c r="Q471" s="79"/>
      <c r="V471" s="106"/>
    </row>
    <row r="472">
      <c r="C472" s="79"/>
      <c r="D472" s="79"/>
      <c r="J472" s="79"/>
      <c r="N472" s="79"/>
      <c r="Q472" s="79"/>
      <c r="V472" s="106"/>
    </row>
    <row r="473">
      <c r="C473" s="79"/>
      <c r="D473" s="79"/>
      <c r="J473" s="79"/>
      <c r="N473" s="79"/>
      <c r="Q473" s="79"/>
      <c r="V473" s="106"/>
    </row>
    <row r="474">
      <c r="C474" s="79"/>
      <c r="D474" s="79"/>
      <c r="J474" s="79"/>
      <c r="N474" s="79"/>
      <c r="Q474" s="79"/>
      <c r="V474" s="106"/>
    </row>
    <row r="475">
      <c r="C475" s="79"/>
      <c r="D475" s="79"/>
      <c r="J475" s="79"/>
      <c r="N475" s="79"/>
      <c r="Q475" s="79"/>
      <c r="V475" s="106"/>
    </row>
    <row r="476">
      <c r="C476" s="79"/>
      <c r="D476" s="79"/>
      <c r="J476" s="79"/>
      <c r="N476" s="79"/>
      <c r="Q476" s="79"/>
      <c r="V476" s="106"/>
    </row>
    <row r="477">
      <c r="C477" s="79"/>
      <c r="D477" s="79"/>
      <c r="J477" s="79"/>
      <c r="N477" s="79"/>
      <c r="Q477" s="79"/>
      <c r="V477" s="106"/>
    </row>
    <row r="478">
      <c r="C478" s="79"/>
      <c r="D478" s="79"/>
      <c r="J478" s="79"/>
      <c r="N478" s="79"/>
      <c r="Q478" s="79"/>
      <c r="V478" s="106"/>
    </row>
    <row r="479">
      <c r="C479" s="79"/>
      <c r="D479" s="79"/>
      <c r="J479" s="79"/>
      <c r="N479" s="79"/>
      <c r="Q479" s="79"/>
      <c r="V479" s="106"/>
    </row>
    <row r="480">
      <c r="C480" s="79"/>
      <c r="D480" s="79"/>
      <c r="J480" s="79"/>
      <c r="N480" s="79"/>
      <c r="Q480" s="79"/>
      <c r="V480" s="106"/>
    </row>
    <row r="481">
      <c r="C481" s="79"/>
      <c r="D481" s="79"/>
      <c r="J481" s="79"/>
      <c r="N481" s="79"/>
      <c r="Q481" s="79"/>
      <c r="V481" s="106"/>
    </row>
    <row r="482">
      <c r="C482" s="79"/>
      <c r="D482" s="79"/>
      <c r="J482" s="79"/>
      <c r="N482" s="79"/>
      <c r="Q482" s="79"/>
      <c r="V482" s="106"/>
    </row>
    <row r="483">
      <c r="C483" s="79"/>
      <c r="D483" s="79"/>
      <c r="J483" s="79"/>
      <c r="N483" s="79"/>
      <c r="Q483" s="79"/>
      <c r="V483" s="106"/>
    </row>
    <row r="484">
      <c r="C484" s="79"/>
      <c r="D484" s="79"/>
      <c r="J484" s="79"/>
      <c r="N484" s="79"/>
      <c r="Q484" s="79"/>
      <c r="V484" s="106"/>
    </row>
    <row r="485">
      <c r="C485" s="79"/>
      <c r="D485" s="79"/>
      <c r="J485" s="79"/>
      <c r="N485" s="79"/>
      <c r="Q485" s="79"/>
      <c r="V485" s="106"/>
    </row>
    <row r="486">
      <c r="C486" s="79"/>
      <c r="D486" s="79"/>
      <c r="J486" s="79"/>
      <c r="N486" s="79"/>
      <c r="Q486" s="79"/>
      <c r="V486" s="106"/>
    </row>
    <row r="487">
      <c r="C487" s="79"/>
      <c r="D487" s="79"/>
      <c r="J487" s="79"/>
      <c r="N487" s="79"/>
      <c r="Q487" s="79"/>
      <c r="V487" s="106"/>
    </row>
    <row r="488">
      <c r="C488" s="79"/>
      <c r="D488" s="79"/>
      <c r="J488" s="79"/>
      <c r="N488" s="79"/>
      <c r="Q488" s="79"/>
      <c r="V488" s="106"/>
    </row>
    <row r="489">
      <c r="C489" s="79"/>
      <c r="D489" s="79"/>
      <c r="J489" s="79"/>
      <c r="N489" s="79"/>
      <c r="Q489" s="79"/>
      <c r="V489" s="106"/>
    </row>
    <row r="490">
      <c r="C490" s="79"/>
      <c r="D490" s="79"/>
      <c r="J490" s="79"/>
      <c r="N490" s="79"/>
      <c r="Q490" s="79"/>
      <c r="V490" s="106"/>
    </row>
    <row r="491">
      <c r="C491" s="79"/>
      <c r="D491" s="79"/>
      <c r="J491" s="79"/>
      <c r="N491" s="79"/>
      <c r="Q491" s="79"/>
      <c r="V491" s="106"/>
    </row>
    <row r="492">
      <c r="C492" s="79"/>
      <c r="D492" s="79"/>
      <c r="J492" s="79"/>
      <c r="N492" s="79"/>
      <c r="Q492" s="79"/>
      <c r="V492" s="106"/>
    </row>
    <row r="493">
      <c r="C493" s="79"/>
      <c r="D493" s="79"/>
      <c r="J493" s="79"/>
      <c r="N493" s="79"/>
      <c r="Q493" s="79"/>
      <c r="V493" s="106"/>
    </row>
    <row r="494">
      <c r="C494" s="79"/>
      <c r="D494" s="79"/>
      <c r="J494" s="79"/>
      <c r="N494" s="79"/>
      <c r="Q494" s="79"/>
      <c r="V494" s="106"/>
    </row>
    <row r="495">
      <c r="C495" s="79"/>
      <c r="D495" s="79"/>
      <c r="J495" s="79"/>
      <c r="N495" s="79"/>
      <c r="Q495" s="79"/>
      <c r="V495" s="106"/>
    </row>
    <row r="496">
      <c r="C496" s="79"/>
      <c r="D496" s="79"/>
      <c r="J496" s="79"/>
      <c r="N496" s="79"/>
      <c r="Q496" s="79"/>
      <c r="V496" s="106"/>
    </row>
    <row r="497">
      <c r="C497" s="79"/>
      <c r="D497" s="79"/>
      <c r="J497" s="79"/>
      <c r="N497" s="79"/>
      <c r="Q497" s="79"/>
      <c r="V497" s="106"/>
    </row>
    <row r="498">
      <c r="C498" s="79"/>
      <c r="D498" s="79"/>
      <c r="J498" s="79"/>
      <c r="N498" s="79"/>
      <c r="Q498" s="79"/>
      <c r="V498" s="106"/>
    </row>
    <row r="499">
      <c r="C499" s="79"/>
      <c r="D499" s="79"/>
      <c r="J499" s="79"/>
      <c r="N499" s="79"/>
      <c r="Q499" s="79"/>
      <c r="V499" s="106"/>
    </row>
    <row r="500">
      <c r="C500" s="79"/>
      <c r="D500" s="79"/>
      <c r="J500" s="79"/>
      <c r="N500" s="79"/>
      <c r="Q500" s="79"/>
      <c r="V500" s="106"/>
    </row>
    <row r="501">
      <c r="C501" s="79"/>
      <c r="D501" s="79"/>
      <c r="J501" s="79"/>
      <c r="N501" s="79"/>
      <c r="Q501" s="79"/>
      <c r="V501" s="106"/>
    </row>
    <row r="502">
      <c r="C502" s="79"/>
      <c r="D502" s="79"/>
      <c r="J502" s="79"/>
      <c r="N502" s="79"/>
      <c r="Q502" s="79"/>
      <c r="V502" s="106"/>
    </row>
    <row r="503">
      <c r="C503" s="79"/>
      <c r="D503" s="79"/>
      <c r="J503" s="79"/>
      <c r="N503" s="79"/>
      <c r="Q503" s="79"/>
      <c r="V503" s="106"/>
    </row>
    <row r="504">
      <c r="C504" s="79"/>
      <c r="D504" s="79"/>
      <c r="J504" s="79"/>
      <c r="N504" s="79"/>
      <c r="Q504" s="79"/>
      <c r="V504" s="106"/>
    </row>
    <row r="505">
      <c r="C505" s="79"/>
      <c r="D505" s="79"/>
      <c r="J505" s="79"/>
      <c r="N505" s="79"/>
      <c r="Q505" s="79"/>
      <c r="V505" s="106"/>
    </row>
    <row r="506">
      <c r="C506" s="79"/>
      <c r="D506" s="79"/>
      <c r="J506" s="79"/>
      <c r="N506" s="79"/>
      <c r="Q506" s="79"/>
      <c r="V506" s="106"/>
    </row>
    <row r="507">
      <c r="C507" s="79"/>
      <c r="D507" s="79"/>
      <c r="J507" s="79"/>
      <c r="N507" s="79"/>
      <c r="Q507" s="79"/>
      <c r="V507" s="106"/>
    </row>
    <row r="508">
      <c r="C508" s="79"/>
      <c r="D508" s="79"/>
      <c r="J508" s="79"/>
      <c r="N508" s="79"/>
      <c r="Q508" s="79"/>
      <c r="V508" s="106"/>
    </row>
    <row r="509">
      <c r="C509" s="79"/>
      <c r="D509" s="79"/>
      <c r="J509" s="79"/>
      <c r="N509" s="79"/>
      <c r="Q509" s="79"/>
      <c r="V509" s="106"/>
    </row>
    <row r="510">
      <c r="C510" s="79"/>
      <c r="D510" s="79"/>
      <c r="J510" s="79"/>
      <c r="N510" s="79"/>
      <c r="Q510" s="79"/>
      <c r="V510" s="106"/>
    </row>
    <row r="511">
      <c r="C511" s="79"/>
      <c r="D511" s="79"/>
      <c r="J511" s="79"/>
      <c r="N511" s="79"/>
      <c r="Q511" s="79"/>
      <c r="V511" s="106"/>
    </row>
    <row r="512">
      <c r="C512" s="79"/>
      <c r="D512" s="79"/>
      <c r="J512" s="79"/>
      <c r="N512" s="79"/>
      <c r="Q512" s="79"/>
      <c r="V512" s="106"/>
    </row>
    <row r="513">
      <c r="C513" s="79"/>
      <c r="D513" s="79"/>
      <c r="J513" s="79"/>
      <c r="N513" s="79"/>
      <c r="Q513" s="79"/>
      <c r="V513" s="106"/>
    </row>
    <row r="514">
      <c r="C514" s="79"/>
      <c r="D514" s="79"/>
      <c r="J514" s="79"/>
      <c r="N514" s="79"/>
      <c r="Q514" s="79"/>
      <c r="V514" s="106"/>
    </row>
    <row r="515">
      <c r="C515" s="79"/>
      <c r="D515" s="79"/>
      <c r="J515" s="79"/>
      <c r="N515" s="79"/>
      <c r="Q515" s="79"/>
      <c r="V515" s="106"/>
    </row>
    <row r="516">
      <c r="C516" s="79"/>
      <c r="D516" s="79"/>
      <c r="J516" s="79"/>
      <c r="N516" s="79"/>
      <c r="Q516" s="79"/>
      <c r="V516" s="106"/>
    </row>
    <row r="517">
      <c r="C517" s="79"/>
      <c r="D517" s="79"/>
      <c r="J517" s="79"/>
      <c r="N517" s="79"/>
      <c r="Q517" s="79"/>
      <c r="V517" s="106"/>
    </row>
    <row r="518">
      <c r="C518" s="79"/>
      <c r="D518" s="79"/>
      <c r="J518" s="79"/>
      <c r="N518" s="79"/>
      <c r="Q518" s="79"/>
      <c r="V518" s="106"/>
    </row>
    <row r="519">
      <c r="C519" s="79"/>
      <c r="D519" s="79"/>
      <c r="J519" s="79"/>
      <c r="N519" s="79"/>
      <c r="Q519" s="79"/>
      <c r="V519" s="106"/>
    </row>
    <row r="520">
      <c r="C520" s="79"/>
      <c r="D520" s="79"/>
      <c r="J520" s="79"/>
      <c r="N520" s="79"/>
      <c r="Q520" s="79"/>
      <c r="V520" s="106"/>
    </row>
    <row r="521">
      <c r="C521" s="79"/>
      <c r="D521" s="79"/>
      <c r="J521" s="79"/>
      <c r="N521" s="79"/>
      <c r="Q521" s="79"/>
      <c r="V521" s="106"/>
    </row>
    <row r="522">
      <c r="C522" s="79"/>
      <c r="D522" s="79"/>
      <c r="J522" s="79"/>
      <c r="N522" s="79"/>
      <c r="Q522" s="79"/>
      <c r="V522" s="106"/>
    </row>
    <row r="523">
      <c r="C523" s="79"/>
      <c r="D523" s="79"/>
      <c r="J523" s="79"/>
      <c r="N523" s="79"/>
      <c r="Q523" s="79"/>
      <c r="V523" s="106"/>
    </row>
    <row r="524">
      <c r="C524" s="79"/>
      <c r="D524" s="79"/>
      <c r="J524" s="79"/>
      <c r="N524" s="79"/>
      <c r="Q524" s="79"/>
      <c r="V524" s="106"/>
    </row>
    <row r="525">
      <c r="C525" s="79"/>
      <c r="D525" s="79"/>
      <c r="J525" s="79"/>
      <c r="N525" s="79"/>
      <c r="Q525" s="79"/>
      <c r="V525" s="106"/>
    </row>
    <row r="526">
      <c r="C526" s="79"/>
      <c r="D526" s="79"/>
      <c r="J526" s="79"/>
      <c r="N526" s="79"/>
      <c r="Q526" s="79"/>
      <c r="V526" s="106"/>
    </row>
    <row r="527">
      <c r="C527" s="79"/>
      <c r="D527" s="79"/>
      <c r="J527" s="79"/>
      <c r="N527" s="79"/>
      <c r="Q527" s="79"/>
      <c r="V527" s="106"/>
    </row>
    <row r="528">
      <c r="C528" s="79"/>
      <c r="D528" s="79"/>
      <c r="J528" s="79"/>
      <c r="N528" s="79"/>
      <c r="Q528" s="79"/>
      <c r="V528" s="106"/>
    </row>
    <row r="529">
      <c r="C529" s="79"/>
      <c r="D529" s="79"/>
      <c r="J529" s="79"/>
      <c r="N529" s="79"/>
      <c r="Q529" s="79"/>
      <c r="V529" s="106"/>
    </row>
    <row r="530">
      <c r="C530" s="79"/>
      <c r="D530" s="79"/>
      <c r="J530" s="79"/>
      <c r="N530" s="79"/>
      <c r="Q530" s="79"/>
      <c r="V530" s="106"/>
    </row>
    <row r="531">
      <c r="C531" s="79"/>
      <c r="D531" s="79"/>
      <c r="J531" s="79"/>
      <c r="N531" s="79"/>
      <c r="Q531" s="79"/>
      <c r="V531" s="106"/>
    </row>
    <row r="532">
      <c r="C532" s="79"/>
      <c r="D532" s="79"/>
      <c r="J532" s="79"/>
      <c r="N532" s="79"/>
      <c r="Q532" s="79"/>
      <c r="V532" s="106"/>
    </row>
    <row r="533">
      <c r="C533" s="79"/>
      <c r="D533" s="79"/>
      <c r="J533" s="79"/>
      <c r="N533" s="79"/>
      <c r="Q533" s="79"/>
      <c r="V533" s="106"/>
    </row>
    <row r="534">
      <c r="C534" s="79"/>
      <c r="D534" s="79"/>
      <c r="J534" s="79"/>
      <c r="N534" s="79"/>
      <c r="Q534" s="79"/>
      <c r="V534" s="106"/>
    </row>
    <row r="535">
      <c r="C535" s="79"/>
      <c r="D535" s="79"/>
      <c r="J535" s="79"/>
      <c r="N535" s="79"/>
      <c r="Q535" s="79"/>
      <c r="V535" s="106"/>
    </row>
    <row r="536">
      <c r="C536" s="79"/>
      <c r="D536" s="79"/>
      <c r="J536" s="79"/>
      <c r="N536" s="79"/>
      <c r="Q536" s="79"/>
      <c r="V536" s="106"/>
    </row>
    <row r="537">
      <c r="C537" s="79"/>
      <c r="D537" s="79"/>
      <c r="J537" s="79"/>
      <c r="N537" s="79"/>
      <c r="Q537" s="79"/>
      <c r="V537" s="106"/>
    </row>
    <row r="538">
      <c r="C538" s="79"/>
      <c r="D538" s="79"/>
      <c r="J538" s="79"/>
      <c r="N538" s="79"/>
      <c r="Q538" s="79"/>
      <c r="V538" s="106"/>
    </row>
    <row r="539">
      <c r="C539" s="79"/>
      <c r="D539" s="79"/>
      <c r="J539" s="79"/>
      <c r="N539" s="79"/>
      <c r="Q539" s="79"/>
      <c r="V539" s="106"/>
    </row>
    <row r="540">
      <c r="C540" s="79"/>
      <c r="D540" s="79"/>
      <c r="J540" s="79"/>
      <c r="N540" s="79"/>
      <c r="Q540" s="79"/>
      <c r="V540" s="106"/>
    </row>
    <row r="541">
      <c r="C541" s="79"/>
      <c r="D541" s="79"/>
      <c r="J541" s="79"/>
      <c r="N541" s="79"/>
      <c r="Q541" s="79"/>
      <c r="V541" s="106"/>
    </row>
    <row r="542">
      <c r="C542" s="79"/>
      <c r="D542" s="79"/>
      <c r="J542" s="79"/>
      <c r="N542" s="79"/>
      <c r="Q542" s="79"/>
      <c r="V542" s="106"/>
    </row>
    <row r="543">
      <c r="C543" s="79"/>
      <c r="D543" s="79"/>
      <c r="J543" s="79"/>
      <c r="N543" s="79"/>
      <c r="Q543" s="79"/>
      <c r="V543" s="106"/>
    </row>
    <row r="544">
      <c r="C544" s="79"/>
      <c r="D544" s="79"/>
      <c r="J544" s="79"/>
      <c r="N544" s="79"/>
      <c r="Q544" s="79"/>
      <c r="V544" s="106"/>
    </row>
    <row r="545">
      <c r="C545" s="79"/>
      <c r="D545" s="79"/>
      <c r="J545" s="79"/>
      <c r="N545" s="79"/>
      <c r="Q545" s="79"/>
      <c r="V545" s="106"/>
    </row>
    <row r="546">
      <c r="C546" s="79"/>
      <c r="D546" s="79"/>
      <c r="J546" s="79"/>
      <c r="N546" s="79"/>
      <c r="Q546" s="79"/>
      <c r="V546" s="106"/>
    </row>
    <row r="547">
      <c r="C547" s="79"/>
      <c r="D547" s="79"/>
      <c r="J547" s="79"/>
      <c r="N547" s="79"/>
      <c r="Q547" s="79"/>
      <c r="V547" s="106"/>
    </row>
    <row r="548">
      <c r="C548" s="79"/>
      <c r="D548" s="79"/>
      <c r="J548" s="79"/>
      <c r="N548" s="79"/>
      <c r="Q548" s="79"/>
      <c r="V548" s="106"/>
    </row>
    <row r="549">
      <c r="C549" s="79"/>
      <c r="D549" s="79"/>
      <c r="J549" s="79"/>
      <c r="N549" s="79"/>
      <c r="Q549" s="79"/>
      <c r="V549" s="106"/>
    </row>
    <row r="550">
      <c r="C550" s="79"/>
      <c r="D550" s="79"/>
      <c r="J550" s="79"/>
      <c r="N550" s="79"/>
      <c r="Q550" s="79"/>
      <c r="V550" s="106"/>
    </row>
    <row r="551">
      <c r="C551" s="79"/>
      <c r="D551" s="79"/>
      <c r="J551" s="79"/>
      <c r="N551" s="79"/>
      <c r="Q551" s="79"/>
      <c r="V551" s="106"/>
    </row>
    <row r="552">
      <c r="C552" s="79"/>
      <c r="D552" s="79"/>
      <c r="J552" s="79"/>
      <c r="N552" s="79"/>
      <c r="Q552" s="79"/>
      <c r="V552" s="106"/>
    </row>
    <row r="553">
      <c r="C553" s="79"/>
      <c r="D553" s="79"/>
      <c r="J553" s="79"/>
      <c r="N553" s="79"/>
      <c r="Q553" s="79"/>
      <c r="V553" s="106"/>
    </row>
    <row r="554">
      <c r="C554" s="79"/>
      <c r="D554" s="79"/>
      <c r="J554" s="79"/>
      <c r="N554" s="79"/>
      <c r="Q554" s="79"/>
      <c r="V554" s="106"/>
    </row>
    <row r="555">
      <c r="C555" s="79"/>
      <c r="D555" s="79"/>
      <c r="J555" s="79"/>
      <c r="N555" s="79"/>
      <c r="Q555" s="79"/>
      <c r="V555" s="106"/>
    </row>
    <row r="556">
      <c r="C556" s="79"/>
      <c r="D556" s="79"/>
      <c r="J556" s="79"/>
      <c r="N556" s="79"/>
      <c r="Q556" s="79"/>
      <c r="V556" s="106"/>
    </row>
    <row r="557">
      <c r="C557" s="79"/>
      <c r="D557" s="79"/>
      <c r="J557" s="79"/>
      <c r="N557" s="79"/>
      <c r="Q557" s="79"/>
      <c r="V557" s="106"/>
    </row>
    <row r="558">
      <c r="C558" s="79"/>
      <c r="D558" s="79"/>
      <c r="J558" s="79"/>
      <c r="N558" s="79"/>
      <c r="Q558" s="79"/>
      <c r="V558" s="106"/>
    </row>
    <row r="559">
      <c r="C559" s="79"/>
      <c r="D559" s="79"/>
      <c r="J559" s="79"/>
      <c r="N559" s="79"/>
      <c r="Q559" s="79"/>
      <c r="V559" s="106"/>
    </row>
    <row r="560">
      <c r="C560" s="79"/>
      <c r="D560" s="79"/>
      <c r="J560" s="79"/>
      <c r="N560" s="79"/>
      <c r="Q560" s="79"/>
      <c r="V560" s="106"/>
    </row>
    <row r="561">
      <c r="C561" s="79"/>
      <c r="D561" s="79"/>
      <c r="J561" s="79"/>
      <c r="N561" s="79"/>
      <c r="Q561" s="79"/>
      <c r="V561" s="106"/>
    </row>
    <row r="562">
      <c r="C562" s="79"/>
      <c r="D562" s="79"/>
      <c r="J562" s="79"/>
      <c r="N562" s="79"/>
      <c r="Q562" s="79"/>
      <c r="V562" s="106"/>
    </row>
    <row r="563">
      <c r="C563" s="79"/>
      <c r="D563" s="79"/>
      <c r="J563" s="79"/>
      <c r="N563" s="79"/>
      <c r="Q563" s="79"/>
      <c r="V563" s="106"/>
    </row>
    <row r="564">
      <c r="C564" s="79"/>
      <c r="D564" s="79"/>
      <c r="J564" s="79"/>
      <c r="N564" s="79"/>
      <c r="Q564" s="79"/>
      <c r="V564" s="106"/>
    </row>
    <row r="565">
      <c r="C565" s="79"/>
      <c r="D565" s="79"/>
      <c r="J565" s="79"/>
      <c r="N565" s="79"/>
      <c r="Q565" s="79"/>
      <c r="V565" s="106"/>
    </row>
    <row r="566">
      <c r="C566" s="79"/>
      <c r="D566" s="79"/>
      <c r="J566" s="79"/>
      <c r="N566" s="79"/>
      <c r="Q566" s="79"/>
      <c r="V566" s="106"/>
    </row>
    <row r="567">
      <c r="C567" s="79"/>
      <c r="D567" s="79"/>
      <c r="J567" s="79"/>
      <c r="N567" s="79"/>
      <c r="Q567" s="79"/>
      <c r="V567" s="106"/>
    </row>
    <row r="568">
      <c r="C568" s="79"/>
      <c r="D568" s="79"/>
      <c r="J568" s="79"/>
      <c r="N568" s="79"/>
      <c r="Q568" s="79"/>
      <c r="V568" s="106"/>
    </row>
    <row r="569">
      <c r="C569" s="79"/>
      <c r="D569" s="79"/>
      <c r="J569" s="79"/>
      <c r="N569" s="79"/>
      <c r="Q569" s="79"/>
      <c r="V569" s="106"/>
    </row>
    <row r="570">
      <c r="C570" s="79"/>
      <c r="D570" s="79"/>
      <c r="J570" s="79"/>
      <c r="N570" s="79"/>
      <c r="Q570" s="79"/>
      <c r="V570" s="106"/>
    </row>
    <row r="571">
      <c r="C571" s="79"/>
      <c r="D571" s="79"/>
      <c r="J571" s="79"/>
      <c r="N571" s="79"/>
      <c r="Q571" s="79"/>
      <c r="V571" s="106"/>
    </row>
    <row r="572">
      <c r="C572" s="79"/>
      <c r="D572" s="79"/>
      <c r="J572" s="79"/>
      <c r="N572" s="79"/>
      <c r="Q572" s="79"/>
      <c r="V572" s="106"/>
    </row>
    <row r="573">
      <c r="C573" s="79"/>
      <c r="D573" s="79"/>
      <c r="J573" s="79"/>
      <c r="N573" s="79"/>
      <c r="Q573" s="79"/>
      <c r="V573" s="106"/>
    </row>
    <row r="574">
      <c r="C574" s="79"/>
      <c r="D574" s="79"/>
      <c r="J574" s="79"/>
      <c r="N574" s="79"/>
      <c r="Q574" s="79"/>
      <c r="V574" s="106"/>
    </row>
    <row r="575">
      <c r="C575" s="79"/>
      <c r="D575" s="79"/>
      <c r="J575" s="79"/>
      <c r="N575" s="79"/>
      <c r="Q575" s="79"/>
      <c r="V575" s="106"/>
    </row>
    <row r="576">
      <c r="C576" s="79"/>
      <c r="D576" s="79"/>
      <c r="J576" s="79"/>
      <c r="N576" s="79"/>
      <c r="Q576" s="79"/>
      <c r="V576" s="106"/>
    </row>
    <row r="577">
      <c r="C577" s="79"/>
      <c r="D577" s="79"/>
      <c r="J577" s="79"/>
      <c r="N577" s="79"/>
      <c r="Q577" s="79"/>
      <c r="V577" s="106"/>
    </row>
    <row r="578">
      <c r="C578" s="79"/>
      <c r="D578" s="79"/>
      <c r="J578" s="79"/>
      <c r="N578" s="79"/>
      <c r="Q578" s="79"/>
      <c r="V578" s="106"/>
    </row>
    <row r="579">
      <c r="C579" s="79"/>
      <c r="D579" s="79"/>
      <c r="J579" s="79"/>
      <c r="N579" s="79"/>
      <c r="Q579" s="79"/>
      <c r="V579" s="106"/>
    </row>
    <row r="580">
      <c r="C580" s="79"/>
      <c r="D580" s="79"/>
      <c r="J580" s="79"/>
      <c r="N580" s="79"/>
      <c r="Q580" s="79"/>
      <c r="V580" s="106"/>
    </row>
    <row r="581">
      <c r="C581" s="79"/>
      <c r="D581" s="79"/>
      <c r="J581" s="79"/>
      <c r="N581" s="79"/>
      <c r="Q581" s="79"/>
      <c r="V581" s="106"/>
    </row>
    <row r="582">
      <c r="C582" s="79"/>
      <c r="D582" s="79"/>
      <c r="J582" s="79"/>
      <c r="N582" s="79"/>
      <c r="Q582" s="79"/>
      <c r="V582" s="106"/>
    </row>
    <row r="583">
      <c r="C583" s="79"/>
      <c r="D583" s="79"/>
      <c r="J583" s="79"/>
      <c r="N583" s="79"/>
      <c r="Q583" s="79"/>
      <c r="V583" s="106"/>
    </row>
    <row r="584">
      <c r="C584" s="79"/>
      <c r="D584" s="79"/>
      <c r="J584" s="79"/>
      <c r="N584" s="79"/>
      <c r="Q584" s="79"/>
      <c r="V584" s="106"/>
    </row>
    <row r="585">
      <c r="C585" s="79"/>
      <c r="D585" s="79"/>
      <c r="J585" s="79"/>
      <c r="N585" s="79"/>
      <c r="Q585" s="79"/>
      <c r="V585" s="106"/>
    </row>
    <row r="586">
      <c r="C586" s="79"/>
      <c r="D586" s="79"/>
      <c r="J586" s="79"/>
      <c r="N586" s="79"/>
      <c r="Q586" s="79"/>
      <c r="V586" s="106"/>
    </row>
    <row r="587">
      <c r="C587" s="79"/>
      <c r="D587" s="79"/>
      <c r="J587" s="79"/>
      <c r="N587" s="79"/>
      <c r="Q587" s="79"/>
      <c r="V587" s="106"/>
    </row>
    <row r="588">
      <c r="C588" s="79"/>
      <c r="D588" s="79"/>
      <c r="J588" s="79"/>
      <c r="N588" s="79"/>
      <c r="Q588" s="79"/>
      <c r="V588" s="106"/>
    </row>
    <row r="589">
      <c r="C589" s="79"/>
      <c r="D589" s="79"/>
      <c r="J589" s="79"/>
      <c r="N589" s="79"/>
      <c r="Q589" s="79"/>
      <c r="V589" s="106"/>
    </row>
    <row r="590">
      <c r="C590" s="79"/>
      <c r="D590" s="79"/>
      <c r="J590" s="79"/>
      <c r="N590" s="79"/>
      <c r="Q590" s="79"/>
      <c r="V590" s="106"/>
    </row>
    <row r="591">
      <c r="C591" s="79"/>
      <c r="D591" s="79"/>
      <c r="J591" s="79"/>
      <c r="N591" s="79"/>
      <c r="Q591" s="79"/>
      <c r="V591" s="106"/>
    </row>
    <row r="592">
      <c r="C592" s="79"/>
      <c r="D592" s="79"/>
      <c r="J592" s="79"/>
      <c r="N592" s="79"/>
      <c r="Q592" s="79"/>
      <c r="V592" s="106"/>
    </row>
    <row r="593">
      <c r="C593" s="79"/>
      <c r="D593" s="79"/>
      <c r="J593" s="79"/>
      <c r="N593" s="79"/>
      <c r="Q593" s="79"/>
      <c r="V593" s="106"/>
    </row>
    <row r="594">
      <c r="C594" s="79"/>
      <c r="D594" s="79"/>
      <c r="J594" s="79"/>
      <c r="N594" s="79"/>
      <c r="Q594" s="79"/>
      <c r="V594" s="106"/>
    </row>
    <row r="595">
      <c r="C595" s="79"/>
      <c r="D595" s="79"/>
      <c r="J595" s="79"/>
      <c r="N595" s="79"/>
      <c r="Q595" s="79"/>
      <c r="V595" s="106"/>
    </row>
    <row r="596">
      <c r="C596" s="79"/>
      <c r="D596" s="79"/>
      <c r="J596" s="79"/>
      <c r="N596" s="79"/>
      <c r="Q596" s="79"/>
      <c r="V596" s="106"/>
    </row>
    <row r="597">
      <c r="C597" s="79"/>
      <c r="D597" s="79"/>
      <c r="J597" s="79"/>
      <c r="N597" s="79"/>
      <c r="Q597" s="79"/>
      <c r="V597" s="106"/>
    </row>
    <row r="598">
      <c r="C598" s="79"/>
      <c r="D598" s="79"/>
      <c r="J598" s="79"/>
      <c r="N598" s="79"/>
      <c r="Q598" s="79"/>
      <c r="V598" s="106"/>
    </row>
    <row r="599">
      <c r="C599" s="79"/>
      <c r="D599" s="79"/>
      <c r="J599" s="79"/>
      <c r="N599" s="79"/>
      <c r="Q599" s="79"/>
      <c r="V599" s="106"/>
    </row>
    <row r="600">
      <c r="C600" s="79"/>
      <c r="D600" s="79"/>
      <c r="J600" s="79"/>
      <c r="N600" s="79"/>
      <c r="Q600" s="79"/>
      <c r="V600" s="106"/>
    </row>
    <row r="601">
      <c r="C601" s="79"/>
      <c r="D601" s="79"/>
      <c r="J601" s="79"/>
      <c r="N601" s="79"/>
      <c r="Q601" s="79"/>
      <c r="V601" s="106"/>
    </row>
    <row r="602">
      <c r="C602" s="79"/>
      <c r="D602" s="79"/>
      <c r="J602" s="79"/>
      <c r="N602" s="79"/>
      <c r="Q602" s="79"/>
      <c r="V602" s="106"/>
    </row>
    <row r="603">
      <c r="C603" s="79"/>
      <c r="D603" s="79"/>
      <c r="J603" s="79"/>
      <c r="N603" s="79"/>
      <c r="Q603" s="79"/>
      <c r="V603" s="106"/>
    </row>
    <row r="604">
      <c r="C604" s="79"/>
      <c r="D604" s="79"/>
      <c r="J604" s="79"/>
      <c r="N604" s="79"/>
      <c r="Q604" s="79"/>
      <c r="V604" s="106"/>
    </row>
    <row r="605">
      <c r="C605" s="79"/>
      <c r="D605" s="79"/>
      <c r="J605" s="79"/>
      <c r="N605" s="79"/>
      <c r="Q605" s="79"/>
      <c r="V605" s="106"/>
    </row>
    <row r="606">
      <c r="C606" s="79"/>
      <c r="D606" s="79"/>
      <c r="J606" s="79"/>
      <c r="N606" s="79"/>
      <c r="Q606" s="79"/>
      <c r="V606" s="106"/>
    </row>
    <row r="607">
      <c r="C607" s="79"/>
      <c r="D607" s="79"/>
      <c r="J607" s="79"/>
      <c r="N607" s="79"/>
      <c r="Q607" s="79"/>
      <c r="V607" s="106"/>
    </row>
    <row r="608">
      <c r="C608" s="79"/>
      <c r="D608" s="79"/>
      <c r="J608" s="79"/>
      <c r="N608" s="79"/>
      <c r="Q608" s="79"/>
      <c r="V608" s="106"/>
    </row>
    <row r="609">
      <c r="C609" s="79"/>
      <c r="D609" s="79"/>
      <c r="J609" s="79"/>
      <c r="N609" s="79"/>
      <c r="Q609" s="79"/>
      <c r="V609" s="106"/>
    </row>
    <row r="610">
      <c r="C610" s="79"/>
      <c r="D610" s="79"/>
      <c r="J610" s="79"/>
      <c r="N610" s="79"/>
      <c r="Q610" s="79"/>
      <c r="V610" s="106"/>
    </row>
    <row r="611">
      <c r="C611" s="79"/>
      <c r="D611" s="79"/>
      <c r="J611" s="79"/>
      <c r="N611" s="79"/>
      <c r="Q611" s="79"/>
      <c r="V611" s="106"/>
    </row>
    <row r="612">
      <c r="C612" s="79"/>
      <c r="D612" s="79"/>
      <c r="J612" s="79"/>
      <c r="N612" s="79"/>
      <c r="Q612" s="79"/>
      <c r="V612" s="106"/>
    </row>
    <row r="613">
      <c r="C613" s="79"/>
      <c r="D613" s="79"/>
      <c r="J613" s="79"/>
      <c r="N613" s="79"/>
      <c r="Q613" s="79"/>
      <c r="V613" s="106"/>
    </row>
    <row r="614">
      <c r="C614" s="79"/>
      <c r="D614" s="79"/>
      <c r="J614" s="79"/>
      <c r="N614" s="79"/>
      <c r="Q614" s="79"/>
      <c r="V614" s="106"/>
    </row>
    <row r="615">
      <c r="C615" s="79"/>
      <c r="D615" s="79"/>
      <c r="J615" s="79"/>
      <c r="N615" s="79"/>
      <c r="Q615" s="79"/>
      <c r="V615" s="106"/>
    </row>
    <row r="616">
      <c r="C616" s="79"/>
      <c r="D616" s="79"/>
      <c r="J616" s="79"/>
      <c r="N616" s="79"/>
      <c r="Q616" s="79"/>
      <c r="V616" s="106"/>
    </row>
    <row r="617">
      <c r="C617" s="79"/>
      <c r="D617" s="79"/>
      <c r="J617" s="79"/>
      <c r="N617" s="79"/>
      <c r="Q617" s="79"/>
      <c r="V617" s="106"/>
    </row>
    <row r="618">
      <c r="C618" s="79"/>
      <c r="D618" s="79"/>
      <c r="J618" s="79"/>
      <c r="N618" s="79"/>
      <c r="Q618" s="79"/>
      <c r="V618" s="106"/>
    </row>
    <row r="619">
      <c r="C619" s="79"/>
      <c r="D619" s="79"/>
      <c r="J619" s="79"/>
      <c r="N619" s="79"/>
      <c r="Q619" s="79"/>
      <c r="V619" s="106"/>
    </row>
    <row r="620">
      <c r="C620" s="79"/>
      <c r="D620" s="79"/>
      <c r="J620" s="79"/>
      <c r="N620" s="79"/>
      <c r="Q620" s="79"/>
      <c r="V620" s="106"/>
    </row>
    <row r="621">
      <c r="C621" s="79"/>
      <c r="D621" s="79"/>
      <c r="J621" s="79"/>
      <c r="N621" s="79"/>
      <c r="Q621" s="79"/>
      <c r="V621" s="106"/>
    </row>
    <row r="622">
      <c r="C622" s="79"/>
      <c r="D622" s="79"/>
      <c r="J622" s="79"/>
      <c r="N622" s="79"/>
      <c r="Q622" s="79"/>
      <c r="V622" s="106"/>
    </row>
    <row r="623">
      <c r="C623" s="79"/>
      <c r="D623" s="79"/>
      <c r="J623" s="79"/>
      <c r="N623" s="79"/>
      <c r="Q623" s="79"/>
      <c r="V623" s="106"/>
    </row>
    <row r="624">
      <c r="C624" s="79"/>
      <c r="D624" s="79"/>
      <c r="J624" s="79"/>
      <c r="N624" s="79"/>
      <c r="Q624" s="79"/>
      <c r="V624" s="106"/>
    </row>
    <row r="625">
      <c r="C625" s="79"/>
      <c r="D625" s="79"/>
      <c r="J625" s="79"/>
      <c r="N625" s="79"/>
      <c r="Q625" s="79"/>
      <c r="V625" s="106"/>
    </row>
    <row r="626">
      <c r="C626" s="79"/>
      <c r="D626" s="79"/>
      <c r="J626" s="79"/>
      <c r="N626" s="79"/>
      <c r="Q626" s="79"/>
      <c r="V626" s="106"/>
    </row>
    <row r="627">
      <c r="C627" s="79"/>
      <c r="D627" s="79"/>
      <c r="J627" s="79"/>
      <c r="N627" s="79"/>
      <c r="Q627" s="79"/>
      <c r="V627" s="106"/>
    </row>
    <row r="628">
      <c r="C628" s="79"/>
      <c r="D628" s="79"/>
      <c r="J628" s="79"/>
      <c r="N628" s="79"/>
      <c r="Q628" s="79"/>
      <c r="V628" s="106"/>
    </row>
    <row r="629">
      <c r="C629" s="79"/>
      <c r="D629" s="79"/>
      <c r="J629" s="79"/>
      <c r="N629" s="79"/>
      <c r="Q629" s="79"/>
      <c r="V629" s="106"/>
    </row>
    <row r="630">
      <c r="C630" s="79"/>
      <c r="D630" s="79"/>
      <c r="J630" s="79"/>
      <c r="N630" s="79"/>
      <c r="Q630" s="79"/>
      <c r="V630" s="106"/>
    </row>
    <row r="631">
      <c r="C631" s="79"/>
      <c r="D631" s="79"/>
      <c r="J631" s="79"/>
      <c r="N631" s="79"/>
      <c r="Q631" s="79"/>
      <c r="V631" s="106"/>
    </row>
    <row r="632">
      <c r="C632" s="79"/>
      <c r="D632" s="79"/>
      <c r="J632" s="79"/>
      <c r="N632" s="79"/>
      <c r="Q632" s="79"/>
      <c r="V632" s="106"/>
    </row>
    <row r="633">
      <c r="C633" s="79"/>
      <c r="D633" s="79"/>
      <c r="J633" s="79"/>
      <c r="N633" s="79"/>
      <c r="Q633" s="79"/>
      <c r="V633" s="106"/>
    </row>
    <row r="634">
      <c r="C634" s="79"/>
      <c r="D634" s="79"/>
      <c r="J634" s="79"/>
      <c r="N634" s="79"/>
      <c r="Q634" s="79"/>
      <c r="V634" s="106"/>
    </row>
    <row r="635">
      <c r="C635" s="79"/>
      <c r="D635" s="79"/>
      <c r="J635" s="79"/>
      <c r="N635" s="79"/>
      <c r="Q635" s="79"/>
      <c r="V635" s="106"/>
    </row>
    <row r="636">
      <c r="C636" s="79"/>
      <c r="D636" s="79"/>
      <c r="J636" s="79"/>
      <c r="N636" s="79"/>
      <c r="Q636" s="79"/>
      <c r="V636" s="106"/>
    </row>
    <row r="637">
      <c r="C637" s="79"/>
      <c r="D637" s="79"/>
      <c r="J637" s="79"/>
      <c r="N637" s="79"/>
      <c r="Q637" s="79"/>
      <c r="V637" s="106"/>
    </row>
    <row r="638">
      <c r="C638" s="79"/>
      <c r="D638" s="79"/>
      <c r="J638" s="79"/>
      <c r="N638" s="79"/>
      <c r="Q638" s="79"/>
      <c r="V638" s="106"/>
    </row>
    <row r="639">
      <c r="C639" s="79"/>
      <c r="D639" s="79"/>
      <c r="J639" s="79"/>
      <c r="N639" s="79"/>
      <c r="Q639" s="79"/>
      <c r="V639" s="106"/>
    </row>
    <row r="640">
      <c r="C640" s="79"/>
      <c r="D640" s="79"/>
      <c r="J640" s="79"/>
      <c r="N640" s="79"/>
      <c r="Q640" s="79"/>
      <c r="V640" s="106"/>
    </row>
    <row r="641">
      <c r="C641" s="79"/>
      <c r="D641" s="79"/>
      <c r="J641" s="79"/>
      <c r="N641" s="79"/>
      <c r="Q641" s="79"/>
      <c r="V641" s="106"/>
    </row>
    <row r="642">
      <c r="C642" s="79"/>
      <c r="D642" s="79"/>
      <c r="J642" s="79"/>
      <c r="N642" s="79"/>
      <c r="Q642" s="79"/>
      <c r="V642" s="106"/>
    </row>
    <row r="643">
      <c r="C643" s="79"/>
      <c r="D643" s="79"/>
      <c r="J643" s="79"/>
      <c r="N643" s="79"/>
      <c r="Q643" s="79"/>
      <c r="V643" s="106"/>
    </row>
    <row r="644">
      <c r="C644" s="79"/>
      <c r="D644" s="79"/>
      <c r="J644" s="79"/>
      <c r="N644" s="79"/>
      <c r="Q644" s="79"/>
      <c r="V644" s="106"/>
    </row>
    <row r="645">
      <c r="C645" s="79"/>
      <c r="D645" s="79"/>
      <c r="J645" s="79"/>
      <c r="N645" s="79"/>
      <c r="Q645" s="79"/>
      <c r="V645" s="106"/>
    </row>
    <row r="646">
      <c r="C646" s="79"/>
      <c r="D646" s="79"/>
      <c r="J646" s="79"/>
      <c r="N646" s="79"/>
      <c r="Q646" s="79"/>
      <c r="V646" s="106"/>
    </row>
    <row r="647">
      <c r="C647" s="79"/>
      <c r="D647" s="79"/>
      <c r="J647" s="79"/>
      <c r="N647" s="79"/>
      <c r="Q647" s="79"/>
      <c r="V647" s="106"/>
    </row>
    <row r="648">
      <c r="C648" s="79"/>
      <c r="D648" s="79"/>
      <c r="J648" s="79"/>
      <c r="N648" s="79"/>
      <c r="Q648" s="79"/>
      <c r="V648" s="106"/>
    </row>
    <row r="649">
      <c r="C649" s="79"/>
      <c r="D649" s="79"/>
      <c r="J649" s="79"/>
      <c r="N649" s="79"/>
      <c r="Q649" s="79"/>
      <c r="V649" s="106"/>
    </row>
    <row r="650">
      <c r="C650" s="79"/>
      <c r="D650" s="79"/>
      <c r="J650" s="79"/>
      <c r="N650" s="79"/>
      <c r="Q650" s="79"/>
      <c r="V650" s="106"/>
    </row>
    <row r="651">
      <c r="C651" s="79"/>
      <c r="D651" s="79"/>
      <c r="J651" s="79"/>
      <c r="N651" s="79"/>
      <c r="Q651" s="79"/>
      <c r="V651" s="106"/>
    </row>
    <row r="652">
      <c r="C652" s="79"/>
      <c r="D652" s="79"/>
      <c r="J652" s="79"/>
      <c r="N652" s="79"/>
      <c r="Q652" s="79"/>
      <c r="V652" s="106"/>
    </row>
    <row r="653">
      <c r="C653" s="79"/>
      <c r="D653" s="79"/>
      <c r="J653" s="79"/>
      <c r="N653" s="79"/>
      <c r="Q653" s="79"/>
      <c r="V653" s="106"/>
    </row>
    <row r="654">
      <c r="C654" s="79"/>
      <c r="D654" s="79"/>
      <c r="J654" s="79"/>
      <c r="N654" s="79"/>
      <c r="Q654" s="79"/>
      <c r="V654" s="106"/>
    </row>
    <row r="655">
      <c r="C655" s="79"/>
      <c r="D655" s="79"/>
      <c r="J655" s="79"/>
      <c r="N655" s="79"/>
      <c r="Q655" s="79"/>
      <c r="V655" s="106"/>
    </row>
    <row r="656">
      <c r="C656" s="79"/>
      <c r="D656" s="79"/>
      <c r="J656" s="79"/>
      <c r="N656" s="79"/>
      <c r="Q656" s="79"/>
      <c r="V656" s="106"/>
    </row>
    <row r="657">
      <c r="C657" s="79"/>
      <c r="D657" s="79"/>
      <c r="J657" s="79"/>
      <c r="N657" s="79"/>
      <c r="Q657" s="79"/>
      <c r="V657" s="106"/>
    </row>
    <row r="658">
      <c r="C658" s="79"/>
      <c r="D658" s="79"/>
      <c r="J658" s="79"/>
      <c r="N658" s="79"/>
      <c r="Q658" s="79"/>
      <c r="V658" s="106"/>
    </row>
    <row r="659">
      <c r="C659" s="79"/>
      <c r="D659" s="79"/>
      <c r="J659" s="79"/>
      <c r="N659" s="79"/>
      <c r="Q659" s="79"/>
      <c r="V659" s="106"/>
    </row>
    <row r="660">
      <c r="C660" s="79"/>
      <c r="D660" s="79"/>
      <c r="J660" s="79"/>
      <c r="N660" s="79"/>
      <c r="Q660" s="79"/>
      <c r="V660" s="106"/>
    </row>
    <row r="661">
      <c r="C661" s="79"/>
      <c r="D661" s="79"/>
      <c r="J661" s="79"/>
      <c r="N661" s="79"/>
      <c r="Q661" s="79"/>
      <c r="V661" s="106"/>
    </row>
    <row r="662">
      <c r="C662" s="79"/>
      <c r="D662" s="79"/>
      <c r="J662" s="79"/>
      <c r="N662" s="79"/>
      <c r="Q662" s="79"/>
      <c r="V662" s="106"/>
    </row>
    <row r="663">
      <c r="C663" s="79"/>
      <c r="D663" s="79"/>
      <c r="J663" s="79"/>
      <c r="N663" s="79"/>
      <c r="Q663" s="79"/>
      <c r="V663" s="106"/>
    </row>
    <row r="664">
      <c r="C664" s="79"/>
      <c r="D664" s="79"/>
      <c r="J664" s="79"/>
      <c r="N664" s="79"/>
      <c r="Q664" s="79"/>
      <c r="V664" s="106"/>
    </row>
    <row r="665">
      <c r="C665" s="79"/>
      <c r="D665" s="79"/>
      <c r="J665" s="79"/>
      <c r="N665" s="79"/>
      <c r="Q665" s="79"/>
      <c r="V665" s="106"/>
    </row>
    <row r="666">
      <c r="C666" s="79"/>
      <c r="D666" s="79"/>
      <c r="J666" s="79"/>
      <c r="N666" s="79"/>
      <c r="Q666" s="79"/>
      <c r="V666" s="106"/>
    </row>
    <row r="667">
      <c r="C667" s="79"/>
      <c r="D667" s="79"/>
      <c r="J667" s="79"/>
      <c r="N667" s="79"/>
      <c r="Q667" s="79"/>
      <c r="V667" s="106"/>
    </row>
    <row r="668">
      <c r="C668" s="79"/>
      <c r="D668" s="79"/>
      <c r="J668" s="79"/>
      <c r="N668" s="79"/>
      <c r="Q668" s="79"/>
      <c r="V668" s="106"/>
    </row>
    <row r="669">
      <c r="C669" s="79"/>
      <c r="D669" s="79"/>
      <c r="J669" s="79"/>
      <c r="N669" s="79"/>
      <c r="Q669" s="79"/>
      <c r="V669" s="106"/>
    </row>
    <row r="670">
      <c r="C670" s="79"/>
      <c r="D670" s="79"/>
      <c r="J670" s="79"/>
      <c r="N670" s="79"/>
      <c r="Q670" s="79"/>
      <c r="V670" s="106"/>
    </row>
    <row r="671">
      <c r="C671" s="79"/>
      <c r="D671" s="79"/>
      <c r="J671" s="79"/>
      <c r="N671" s="79"/>
      <c r="Q671" s="79"/>
      <c r="V671" s="106"/>
    </row>
    <row r="672">
      <c r="C672" s="79"/>
      <c r="D672" s="79"/>
      <c r="J672" s="79"/>
      <c r="N672" s="79"/>
      <c r="Q672" s="79"/>
      <c r="V672" s="106"/>
    </row>
    <row r="673">
      <c r="C673" s="79"/>
      <c r="D673" s="79"/>
      <c r="J673" s="79"/>
      <c r="N673" s="79"/>
      <c r="Q673" s="79"/>
      <c r="V673" s="106"/>
    </row>
    <row r="674">
      <c r="C674" s="79"/>
      <c r="D674" s="79"/>
      <c r="J674" s="79"/>
      <c r="N674" s="79"/>
      <c r="Q674" s="79"/>
      <c r="V674" s="106"/>
    </row>
    <row r="675">
      <c r="C675" s="79"/>
      <c r="D675" s="79"/>
      <c r="J675" s="79"/>
      <c r="N675" s="79"/>
      <c r="Q675" s="79"/>
      <c r="V675" s="106"/>
    </row>
    <row r="676">
      <c r="C676" s="79"/>
      <c r="D676" s="79"/>
      <c r="J676" s="79"/>
      <c r="N676" s="79"/>
      <c r="Q676" s="79"/>
      <c r="V676" s="106"/>
    </row>
    <row r="677">
      <c r="C677" s="79"/>
      <c r="D677" s="79"/>
      <c r="J677" s="79"/>
      <c r="N677" s="79"/>
      <c r="Q677" s="79"/>
      <c r="V677" s="106"/>
    </row>
    <row r="678">
      <c r="C678" s="79"/>
      <c r="D678" s="79"/>
      <c r="J678" s="79"/>
      <c r="N678" s="79"/>
      <c r="Q678" s="79"/>
      <c r="V678" s="106"/>
    </row>
    <row r="679">
      <c r="C679" s="79"/>
      <c r="D679" s="79"/>
      <c r="J679" s="79"/>
      <c r="N679" s="79"/>
      <c r="Q679" s="79"/>
      <c r="V679" s="106"/>
    </row>
    <row r="680">
      <c r="C680" s="79"/>
      <c r="D680" s="79"/>
      <c r="J680" s="79"/>
      <c r="N680" s="79"/>
      <c r="Q680" s="79"/>
      <c r="V680" s="106"/>
    </row>
    <row r="681">
      <c r="C681" s="79"/>
      <c r="D681" s="79"/>
      <c r="J681" s="79"/>
      <c r="N681" s="79"/>
      <c r="Q681" s="79"/>
      <c r="V681" s="106"/>
    </row>
    <row r="682">
      <c r="C682" s="79"/>
      <c r="D682" s="79"/>
      <c r="J682" s="79"/>
      <c r="N682" s="79"/>
      <c r="Q682" s="79"/>
      <c r="V682" s="106"/>
    </row>
    <row r="683">
      <c r="C683" s="79"/>
      <c r="D683" s="79"/>
      <c r="J683" s="79"/>
      <c r="N683" s="79"/>
      <c r="Q683" s="79"/>
      <c r="V683" s="106"/>
    </row>
    <row r="684">
      <c r="C684" s="79"/>
      <c r="D684" s="79"/>
      <c r="J684" s="79"/>
      <c r="N684" s="79"/>
      <c r="Q684" s="79"/>
      <c r="V684" s="106"/>
    </row>
    <row r="685">
      <c r="C685" s="79"/>
      <c r="D685" s="79"/>
      <c r="J685" s="79"/>
      <c r="N685" s="79"/>
      <c r="Q685" s="79"/>
      <c r="V685" s="106"/>
    </row>
    <row r="686">
      <c r="C686" s="79"/>
      <c r="D686" s="79"/>
      <c r="J686" s="79"/>
      <c r="N686" s="79"/>
      <c r="Q686" s="79"/>
      <c r="V686" s="106"/>
    </row>
    <row r="687">
      <c r="C687" s="79"/>
      <c r="D687" s="79"/>
      <c r="J687" s="79"/>
      <c r="N687" s="79"/>
      <c r="Q687" s="79"/>
      <c r="V687" s="106"/>
    </row>
    <row r="688">
      <c r="C688" s="79"/>
      <c r="D688" s="79"/>
      <c r="J688" s="79"/>
      <c r="N688" s="79"/>
      <c r="Q688" s="79"/>
      <c r="V688" s="106"/>
    </row>
    <row r="689">
      <c r="C689" s="79"/>
      <c r="D689" s="79"/>
      <c r="J689" s="79"/>
      <c r="N689" s="79"/>
      <c r="Q689" s="79"/>
      <c r="V689" s="106"/>
    </row>
    <row r="690">
      <c r="C690" s="79"/>
      <c r="D690" s="79"/>
      <c r="J690" s="79"/>
      <c r="N690" s="79"/>
      <c r="Q690" s="79"/>
      <c r="V690" s="106"/>
    </row>
    <row r="691">
      <c r="C691" s="79"/>
      <c r="D691" s="79"/>
      <c r="J691" s="79"/>
      <c r="N691" s="79"/>
      <c r="Q691" s="79"/>
      <c r="V691" s="106"/>
    </row>
    <row r="692">
      <c r="C692" s="79"/>
      <c r="D692" s="79"/>
      <c r="J692" s="79"/>
      <c r="N692" s="79"/>
      <c r="Q692" s="79"/>
      <c r="V692" s="106"/>
    </row>
    <row r="693">
      <c r="C693" s="79"/>
      <c r="D693" s="79"/>
      <c r="J693" s="79"/>
      <c r="N693" s="79"/>
      <c r="Q693" s="79"/>
      <c r="V693" s="106"/>
    </row>
    <row r="694">
      <c r="C694" s="79"/>
      <c r="D694" s="79"/>
      <c r="J694" s="79"/>
      <c r="N694" s="79"/>
      <c r="Q694" s="79"/>
      <c r="V694" s="106"/>
    </row>
    <row r="695">
      <c r="C695" s="79"/>
      <c r="D695" s="79"/>
      <c r="J695" s="79"/>
      <c r="N695" s="79"/>
      <c r="Q695" s="79"/>
      <c r="V695" s="106"/>
    </row>
    <row r="696">
      <c r="C696" s="79"/>
      <c r="D696" s="79"/>
      <c r="J696" s="79"/>
      <c r="N696" s="79"/>
      <c r="Q696" s="79"/>
      <c r="V696" s="106"/>
    </row>
    <row r="697">
      <c r="C697" s="79"/>
      <c r="D697" s="79"/>
      <c r="J697" s="79"/>
      <c r="N697" s="79"/>
      <c r="Q697" s="79"/>
      <c r="V697" s="106"/>
    </row>
    <row r="698">
      <c r="C698" s="79"/>
      <c r="D698" s="79"/>
      <c r="J698" s="79"/>
      <c r="N698" s="79"/>
      <c r="Q698" s="79"/>
      <c r="V698" s="106"/>
    </row>
    <row r="699">
      <c r="C699" s="79"/>
      <c r="D699" s="79"/>
      <c r="J699" s="79"/>
      <c r="N699" s="79"/>
      <c r="Q699" s="79"/>
      <c r="V699" s="106"/>
    </row>
    <row r="700">
      <c r="C700" s="79"/>
      <c r="D700" s="79"/>
      <c r="J700" s="79"/>
      <c r="N700" s="79"/>
      <c r="Q700" s="79"/>
      <c r="V700" s="106"/>
    </row>
    <row r="701">
      <c r="C701" s="79"/>
      <c r="D701" s="79"/>
      <c r="J701" s="79"/>
      <c r="N701" s="79"/>
      <c r="Q701" s="79"/>
      <c r="V701" s="106"/>
    </row>
    <row r="702">
      <c r="C702" s="79"/>
      <c r="D702" s="79"/>
      <c r="J702" s="79"/>
      <c r="N702" s="79"/>
      <c r="Q702" s="79"/>
      <c r="V702" s="106"/>
    </row>
    <row r="703">
      <c r="C703" s="79"/>
      <c r="D703" s="79"/>
      <c r="J703" s="79"/>
      <c r="N703" s="79"/>
      <c r="Q703" s="79"/>
      <c r="V703" s="106"/>
    </row>
    <row r="704">
      <c r="C704" s="79"/>
      <c r="D704" s="79"/>
      <c r="J704" s="79"/>
      <c r="N704" s="79"/>
      <c r="Q704" s="79"/>
      <c r="V704" s="106"/>
    </row>
    <row r="705">
      <c r="C705" s="79"/>
      <c r="D705" s="79"/>
      <c r="J705" s="79"/>
      <c r="N705" s="79"/>
      <c r="Q705" s="79"/>
      <c r="V705" s="106"/>
    </row>
    <row r="706">
      <c r="C706" s="79"/>
      <c r="D706" s="79"/>
      <c r="J706" s="79"/>
      <c r="N706" s="79"/>
      <c r="Q706" s="79"/>
      <c r="V706" s="106"/>
    </row>
    <row r="707">
      <c r="C707" s="79"/>
      <c r="D707" s="79"/>
      <c r="J707" s="79"/>
      <c r="N707" s="79"/>
      <c r="Q707" s="79"/>
      <c r="V707" s="106"/>
    </row>
    <row r="708">
      <c r="C708" s="79"/>
      <c r="D708" s="79"/>
      <c r="J708" s="79"/>
      <c r="N708" s="79"/>
      <c r="Q708" s="79"/>
      <c r="V708" s="106"/>
    </row>
    <row r="709">
      <c r="C709" s="79"/>
      <c r="D709" s="79"/>
      <c r="J709" s="79"/>
      <c r="N709" s="79"/>
      <c r="Q709" s="79"/>
      <c r="V709" s="106"/>
    </row>
    <row r="710">
      <c r="C710" s="79"/>
      <c r="D710" s="79"/>
      <c r="J710" s="79"/>
      <c r="N710" s="79"/>
      <c r="Q710" s="79"/>
      <c r="V710" s="106"/>
    </row>
    <row r="711">
      <c r="C711" s="79"/>
      <c r="D711" s="79"/>
      <c r="J711" s="79"/>
      <c r="N711" s="79"/>
      <c r="Q711" s="79"/>
      <c r="V711" s="106"/>
    </row>
    <row r="712">
      <c r="C712" s="79"/>
      <c r="D712" s="79"/>
      <c r="J712" s="79"/>
      <c r="N712" s="79"/>
      <c r="Q712" s="79"/>
      <c r="V712" s="106"/>
    </row>
    <row r="713">
      <c r="C713" s="79"/>
      <c r="D713" s="79"/>
      <c r="J713" s="79"/>
      <c r="N713" s="79"/>
      <c r="Q713" s="79"/>
      <c r="V713" s="106"/>
    </row>
    <row r="714">
      <c r="C714" s="79"/>
      <c r="D714" s="79"/>
      <c r="J714" s="79"/>
      <c r="N714" s="79"/>
      <c r="Q714" s="79"/>
      <c r="V714" s="106"/>
    </row>
    <row r="715">
      <c r="C715" s="79"/>
      <c r="D715" s="79"/>
      <c r="J715" s="79"/>
      <c r="N715" s="79"/>
      <c r="Q715" s="79"/>
      <c r="V715" s="106"/>
    </row>
    <row r="716">
      <c r="C716" s="79"/>
      <c r="D716" s="79"/>
      <c r="J716" s="79"/>
      <c r="N716" s="79"/>
      <c r="Q716" s="79"/>
      <c r="V716" s="106"/>
    </row>
    <row r="717">
      <c r="C717" s="79"/>
      <c r="D717" s="79"/>
      <c r="J717" s="79"/>
      <c r="N717" s="79"/>
      <c r="Q717" s="79"/>
      <c r="V717" s="106"/>
    </row>
    <row r="718">
      <c r="C718" s="79"/>
      <c r="D718" s="79"/>
      <c r="J718" s="79"/>
      <c r="N718" s="79"/>
      <c r="Q718" s="79"/>
      <c r="V718" s="106"/>
    </row>
    <row r="719">
      <c r="C719" s="79"/>
      <c r="D719" s="79"/>
      <c r="J719" s="79"/>
      <c r="N719" s="79"/>
      <c r="Q719" s="79"/>
      <c r="V719" s="106"/>
    </row>
    <row r="720">
      <c r="C720" s="79"/>
      <c r="D720" s="79"/>
      <c r="J720" s="79"/>
      <c r="N720" s="79"/>
      <c r="Q720" s="79"/>
      <c r="V720" s="106"/>
    </row>
    <row r="721">
      <c r="C721" s="79"/>
      <c r="D721" s="79"/>
      <c r="J721" s="79"/>
      <c r="N721" s="79"/>
      <c r="Q721" s="79"/>
      <c r="V721" s="106"/>
    </row>
    <row r="722">
      <c r="C722" s="79"/>
      <c r="D722" s="79"/>
      <c r="J722" s="79"/>
      <c r="N722" s="79"/>
      <c r="Q722" s="79"/>
      <c r="V722" s="106"/>
    </row>
    <row r="723">
      <c r="C723" s="79"/>
      <c r="D723" s="79"/>
      <c r="J723" s="79"/>
      <c r="N723" s="79"/>
      <c r="Q723" s="79"/>
      <c r="V723" s="106"/>
    </row>
    <row r="724">
      <c r="C724" s="79"/>
      <c r="D724" s="79"/>
      <c r="J724" s="79"/>
      <c r="N724" s="79"/>
      <c r="Q724" s="79"/>
      <c r="V724" s="106"/>
    </row>
    <row r="725">
      <c r="C725" s="79"/>
      <c r="D725" s="79"/>
      <c r="J725" s="79"/>
      <c r="N725" s="79"/>
      <c r="Q725" s="79"/>
      <c r="V725" s="106"/>
    </row>
    <row r="726">
      <c r="C726" s="79"/>
      <c r="D726" s="79"/>
      <c r="J726" s="79"/>
      <c r="N726" s="79"/>
      <c r="Q726" s="79"/>
      <c r="V726" s="106"/>
    </row>
    <row r="727">
      <c r="C727" s="79"/>
      <c r="D727" s="79"/>
      <c r="J727" s="79"/>
      <c r="N727" s="79"/>
      <c r="Q727" s="79"/>
      <c r="V727" s="106"/>
    </row>
    <row r="728">
      <c r="C728" s="79"/>
      <c r="D728" s="79"/>
      <c r="J728" s="79"/>
      <c r="N728" s="79"/>
      <c r="Q728" s="79"/>
      <c r="V728" s="106"/>
    </row>
    <row r="729">
      <c r="C729" s="79"/>
      <c r="D729" s="79"/>
      <c r="J729" s="79"/>
      <c r="N729" s="79"/>
      <c r="Q729" s="79"/>
      <c r="V729" s="106"/>
    </row>
    <row r="730">
      <c r="C730" s="79"/>
      <c r="D730" s="79"/>
      <c r="J730" s="79"/>
      <c r="N730" s="79"/>
      <c r="Q730" s="79"/>
      <c r="V730" s="106"/>
    </row>
    <row r="731">
      <c r="C731" s="79"/>
      <c r="D731" s="79"/>
      <c r="J731" s="79"/>
      <c r="N731" s="79"/>
      <c r="Q731" s="79"/>
      <c r="V731" s="106"/>
    </row>
    <row r="732">
      <c r="C732" s="79"/>
      <c r="D732" s="79"/>
      <c r="J732" s="79"/>
      <c r="N732" s="79"/>
      <c r="Q732" s="79"/>
      <c r="V732" s="106"/>
    </row>
    <row r="733">
      <c r="C733" s="79"/>
      <c r="D733" s="79"/>
      <c r="J733" s="79"/>
      <c r="N733" s="79"/>
      <c r="Q733" s="79"/>
      <c r="V733" s="106"/>
    </row>
    <row r="734">
      <c r="C734" s="79"/>
      <c r="D734" s="79"/>
      <c r="J734" s="79"/>
      <c r="N734" s="79"/>
      <c r="Q734" s="79"/>
      <c r="V734" s="106"/>
    </row>
    <row r="735">
      <c r="C735" s="79"/>
      <c r="D735" s="79"/>
      <c r="J735" s="79"/>
      <c r="N735" s="79"/>
      <c r="Q735" s="79"/>
      <c r="V735" s="106"/>
    </row>
    <row r="736">
      <c r="C736" s="79"/>
      <c r="D736" s="79"/>
      <c r="J736" s="79"/>
      <c r="N736" s="79"/>
      <c r="Q736" s="79"/>
      <c r="V736" s="106"/>
    </row>
    <row r="737">
      <c r="C737" s="79"/>
      <c r="D737" s="79"/>
      <c r="J737" s="79"/>
      <c r="N737" s="79"/>
      <c r="Q737" s="79"/>
      <c r="V737" s="106"/>
    </row>
    <row r="738">
      <c r="C738" s="79"/>
      <c r="D738" s="79"/>
      <c r="J738" s="79"/>
      <c r="N738" s="79"/>
      <c r="Q738" s="79"/>
      <c r="V738" s="106"/>
    </row>
    <row r="739">
      <c r="C739" s="79"/>
      <c r="D739" s="79"/>
      <c r="J739" s="79"/>
      <c r="N739" s="79"/>
      <c r="Q739" s="79"/>
      <c r="V739" s="106"/>
    </row>
    <row r="740">
      <c r="C740" s="79"/>
      <c r="D740" s="79"/>
      <c r="J740" s="79"/>
      <c r="N740" s="79"/>
      <c r="Q740" s="79"/>
      <c r="V740" s="106"/>
    </row>
    <row r="741">
      <c r="C741" s="79"/>
      <c r="D741" s="79"/>
      <c r="J741" s="79"/>
      <c r="N741" s="79"/>
      <c r="Q741" s="79"/>
      <c r="V741" s="106"/>
    </row>
    <row r="742">
      <c r="C742" s="79"/>
      <c r="D742" s="79"/>
      <c r="J742" s="79"/>
      <c r="N742" s="79"/>
      <c r="Q742" s="79"/>
      <c r="V742" s="106"/>
    </row>
    <row r="743">
      <c r="C743" s="79"/>
      <c r="D743" s="79"/>
      <c r="J743" s="79"/>
      <c r="N743" s="79"/>
      <c r="Q743" s="79"/>
      <c r="V743" s="106"/>
    </row>
    <row r="744">
      <c r="C744" s="79"/>
      <c r="D744" s="79"/>
      <c r="J744" s="79"/>
      <c r="N744" s="79"/>
      <c r="Q744" s="79"/>
      <c r="V744" s="106"/>
    </row>
    <row r="745">
      <c r="C745" s="79"/>
      <c r="D745" s="79"/>
      <c r="J745" s="79"/>
      <c r="N745" s="79"/>
      <c r="Q745" s="79"/>
      <c r="V745" s="106"/>
    </row>
    <row r="746">
      <c r="C746" s="79"/>
      <c r="D746" s="79"/>
      <c r="J746" s="79"/>
      <c r="N746" s="79"/>
      <c r="Q746" s="79"/>
      <c r="V746" s="106"/>
    </row>
    <row r="747">
      <c r="C747" s="79"/>
      <c r="D747" s="79"/>
      <c r="J747" s="79"/>
      <c r="N747" s="79"/>
      <c r="Q747" s="79"/>
      <c r="V747" s="106"/>
    </row>
    <row r="748">
      <c r="C748" s="79"/>
      <c r="D748" s="79"/>
      <c r="J748" s="79"/>
      <c r="N748" s="79"/>
      <c r="Q748" s="79"/>
      <c r="V748" s="106"/>
    </row>
    <row r="749">
      <c r="C749" s="79"/>
      <c r="D749" s="79"/>
      <c r="J749" s="79"/>
      <c r="N749" s="79"/>
      <c r="Q749" s="79"/>
      <c r="V749" s="106"/>
    </row>
    <row r="750">
      <c r="C750" s="79"/>
      <c r="D750" s="79"/>
      <c r="J750" s="79"/>
      <c r="N750" s="79"/>
      <c r="Q750" s="79"/>
      <c r="V750" s="106"/>
    </row>
    <row r="751">
      <c r="C751" s="79"/>
      <c r="D751" s="79"/>
      <c r="J751" s="79"/>
      <c r="N751" s="79"/>
      <c r="Q751" s="79"/>
      <c r="V751" s="106"/>
    </row>
    <row r="752">
      <c r="C752" s="79"/>
      <c r="D752" s="79"/>
      <c r="J752" s="79"/>
      <c r="N752" s="79"/>
      <c r="Q752" s="79"/>
      <c r="V752" s="106"/>
    </row>
    <row r="753">
      <c r="C753" s="79"/>
      <c r="D753" s="79"/>
      <c r="J753" s="79"/>
      <c r="N753" s="79"/>
      <c r="Q753" s="79"/>
      <c r="V753" s="106"/>
    </row>
    <row r="754">
      <c r="C754" s="79"/>
      <c r="D754" s="79"/>
      <c r="J754" s="79"/>
      <c r="N754" s="79"/>
      <c r="Q754" s="79"/>
      <c r="V754" s="106"/>
    </row>
    <row r="755">
      <c r="C755" s="79"/>
      <c r="D755" s="79"/>
      <c r="J755" s="79"/>
      <c r="N755" s="79"/>
      <c r="Q755" s="79"/>
      <c r="V755" s="106"/>
    </row>
    <row r="756">
      <c r="C756" s="79"/>
      <c r="D756" s="79"/>
      <c r="J756" s="79"/>
      <c r="N756" s="79"/>
      <c r="Q756" s="79"/>
      <c r="V756" s="106"/>
    </row>
    <row r="757">
      <c r="C757" s="79"/>
      <c r="D757" s="79"/>
      <c r="J757" s="79"/>
      <c r="N757" s="79"/>
      <c r="Q757" s="79"/>
      <c r="V757" s="106"/>
    </row>
    <row r="758">
      <c r="C758" s="79"/>
      <c r="D758" s="79"/>
      <c r="J758" s="79"/>
      <c r="N758" s="79"/>
      <c r="Q758" s="79"/>
      <c r="V758" s="106"/>
    </row>
    <row r="759">
      <c r="C759" s="79"/>
      <c r="D759" s="79"/>
      <c r="J759" s="79"/>
      <c r="N759" s="79"/>
      <c r="Q759" s="79"/>
      <c r="V759" s="106"/>
    </row>
    <row r="760">
      <c r="C760" s="79"/>
      <c r="D760" s="79"/>
      <c r="J760" s="79"/>
      <c r="N760" s="79"/>
      <c r="Q760" s="79"/>
      <c r="V760" s="106"/>
    </row>
    <row r="761">
      <c r="C761" s="79"/>
      <c r="D761" s="79"/>
      <c r="J761" s="79"/>
      <c r="N761" s="79"/>
      <c r="Q761" s="79"/>
      <c r="V761" s="106"/>
    </row>
    <row r="762">
      <c r="C762" s="79"/>
      <c r="D762" s="79"/>
      <c r="J762" s="79"/>
      <c r="N762" s="79"/>
      <c r="Q762" s="79"/>
      <c r="V762" s="106"/>
    </row>
    <row r="763">
      <c r="C763" s="79"/>
      <c r="D763" s="79"/>
      <c r="J763" s="79"/>
      <c r="N763" s="79"/>
      <c r="Q763" s="79"/>
      <c r="V763" s="106"/>
    </row>
    <row r="764">
      <c r="C764" s="79"/>
      <c r="D764" s="79"/>
      <c r="J764" s="79"/>
      <c r="N764" s="79"/>
      <c r="Q764" s="79"/>
      <c r="V764" s="106"/>
    </row>
    <row r="765">
      <c r="C765" s="79"/>
      <c r="D765" s="79"/>
      <c r="J765" s="79"/>
      <c r="N765" s="79"/>
      <c r="Q765" s="79"/>
      <c r="V765" s="106"/>
    </row>
    <row r="766">
      <c r="C766" s="79"/>
      <c r="D766" s="79"/>
      <c r="J766" s="79"/>
      <c r="N766" s="79"/>
      <c r="Q766" s="79"/>
      <c r="V766" s="106"/>
    </row>
    <row r="767">
      <c r="C767" s="79"/>
      <c r="D767" s="79"/>
      <c r="J767" s="79"/>
      <c r="N767" s="79"/>
      <c r="Q767" s="79"/>
      <c r="V767" s="106"/>
    </row>
    <row r="768">
      <c r="C768" s="79"/>
      <c r="D768" s="79"/>
      <c r="J768" s="79"/>
      <c r="N768" s="79"/>
      <c r="Q768" s="79"/>
      <c r="V768" s="106"/>
    </row>
    <row r="769">
      <c r="C769" s="79"/>
      <c r="D769" s="79"/>
      <c r="J769" s="79"/>
      <c r="N769" s="79"/>
      <c r="Q769" s="79"/>
      <c r="V769" s="106"/>
    </row>
    <row r="770">
      <c r="C770" s="79"/>
      <c r="D770" s="79"/>
      <c r="J770" s="79"/>
      <c r="N770" s="79"/>
      <c r="Q770" s="79"/>
      <c r="V770" s="106"/>
    </row>
    <row r="771">
      <c r="C771" s="79"/>
      <c r="D771" s="79"/>
      <c r="J771" s="79"/>
      <c r="N771" s="79"/>
      <c r="Q771" s="79"/>
      <c r="V771" s="106"/>
    </row>
    <row r="772">
      <c r="C772" s="79"/>
      <c r="D772" s="79"/>
      <c r="J772" s="79"/>
      <c r="N772" s="79"/>
      <c r="Q772" s="79"/>
      <c r="V772" s="106"/>
    </row>
    <row r="773">
      <c r="C773" s="79"/>
      <c r="D773" s="79"/>
      <c r="J773" s="79"/>
      <c r="N773" s="79"/>
      <c r="Q773" s="79"/>
      <c r="V773" s="106"/>
    </row>
    <row r="774">
      <c r="C774" s="79"/>
      <c r="D774" s="79"/>
      <c r="J774" s="79"/>
      <c r="N774" s="79"/>
      <c r="Q774" s="79"/>
      <c r="V774" s="106"/>
    </row>
    <row r="775">
      <c r="C775" s="79"/>
      <c r="D775" s="79"/>
      <c r="J775" s="79"/>
      <c r="N775" s="79"/>
      <c r="Q775" s="79"/>
      <c r="V775" s="106"/>
    </row>
    <row r="776">
      <c r="C776" s="79"/>
      <c r="D776" s="79"/>
      <c r="J776" s="79"/>
      <c r="N776" s="79"/>
      <c r="Q776" s="79"/>
      <c r="V776" s="106"/>
    </row>
    <row r="777">
      <c r="C777" s="79"/>
      <c r="D777" s="79"/>
      <c r="J777" s="79"/>
      <c r="N777" s="79"/>
      <c r="Q777" s="79"/>
      <c r="V777" s="106"/>
    </row>
    <row r="778">
      <c r="C778" s="79"/>
      <c r="D778" s="79"/>
      <c r="J778" s="79"/>
      <c r="N778" s="79"/>
      <c r="Q778" s="79"/>
      <c r="V778" s="106"/>
    </row>
    <row r="779">
      <c r="C779" s="79"/>
      <c r="D779" s="79"/>
      <c r="J779" s="79"/>
      <c r="N779" s="79"/>
      <c r="Q779" s="79"/>
      <c r="V779" s="106"/>
    </row>
    <row r="780">
      <c r="C780" s="79"/>
      <c r="D780" s="79"/>
      <c r="J780" s="79"/>
      <c r="N780" s="79"/>
      <c r="Q780" s="79"/>
      <c r="V780" s="106"/>
    </row>
    <row r="781">
      <c r="C781" s="79"/>
      <c r="D781" s="79"/>
      <c r="J781" s="79"/>
      <c r="N781" s="79"/>
      <c r="Q781" s="79"/>
      <c r="V781" s="106"/>
    </row>
    <row r="782">
      <c r="C782" s="79"/>
      <c r="D782" s="79"/>
      <c r="J782" s="79"/>
      <c r="N782" s="79"/>
      <c r="Q782" s="79"/>
      <c r="V782" s="106"/>
    </row>
    <row r="783">
      <c r="C783" s="79"/>
      <c r="D783" s="79"/>
      <c r="J783" s="79"/>
      <c r="N783" s="79"/>
      <c r="Q783" s="79"/>
      <c r="V783" s="106"/>
    </row>
    <row r="784">
      <c r="C784" s="79"/>
      <c r="D784" s="79"/>
      <c r="J784" s="79"/>
      <c r="N784" s="79"/>
      <c r="Q784" s="79"/>
      <c r="V784" s="106"/>
    </row>
    <row r="785">
      <c r="C785" s="79"/>
      <c r="D785" s="79"/>
      <c r="J785" s="79"/>
      <c r="N785" s="79"/>
      <c r="Q785" s="79"/>
      <c r="V785" s="106"/>
    </row>
    <row r="786">
      <c r="C786" s="79"/>
      <c r="D786" s="79"/>
      <c r="J786" s="79"/>
      <c r="N786" s="79"/>
      <c r="Q786" s="79"/>
      <c r="V786" s="106"/>
    </row>
    <row r="787">
      <c r="C787" s="79"/>
      <c r="D787" s="79"/>
      <c r="J787" s="79"/>
      <c r="N787" s="79"/>
      <c r="Q787" s="79"/>
      <c r="V787" s="106"/>
    </row>
    <row r="788">
      <c r="C788" s="79"/>
      <c r="D788" s="79"/>
      <c r="J788" s="79"/>
      <c r="N788" s="79"/>
      <c r="Q788" s="79"/>
      <c r="V788" s="106"/>
    </row>
    <row r="789">
      <c r="C789" s="79"/>
      <c r="D789" s="79"/>
      <c r="J789" s="79"/>
      <c r="N789" s="79"/>
      <c r="Q789" s="79"/>
      <c r="V789" s="106"/>
    </row>
    <row r="790">
      <c r="C790" s="79"/>
      <c r="D790" s="79"/>
      <c r="J790" s="79"/>
      <c r="N790" s="79"/>
      <c r="Q790" s="79"/>
      <c r="V790" s="106"/>
    </row>
    <row r="791">
      <c r="C791" s="79"/>
      <c r="D791" s="79"/>
      <c r="J791" s="79"/>
      <c r="N791" s="79"/>
      <c r="Q791" s="79"/>
      <c r="V791" s="106"/>
    </row>
    <row r="792">
      <c r="C792" s="79"/>
      <c r="D792" s="79"/>
      <c r="J792" s="79"/>
      <c r="N792" s="79"/>
      <c r="Q792" s="79"/>
      <c r="V792" s="106"/>
    </row>
    <row r="793">
      <c r="C793" s="79"/>
      <c r="D793" s="79"/>
      <c r="J793" s="79"/>
      <c r="N793" s="79"/>
      <c r="Q793" s="79"/>
      <c r="V793" s="106"/>
    </row>
    <row r="794">
      <c r="C794" s="79"/>
      <c r="D794" s="79"/>
      <c r="J794" s="79"/>
      <c r="N794" s="79"/>
      <c r="Q794" s="79"/>
      <c r="V794" s="106"/>
    </row>
    <row r="795">
      <c r="C795" s="79"/>
      <c r="D795" s="79"/>
      <c r="J795" s="79"/>
      <c r="N795" s="79"/>
      <c r="Q795" s="79"/>
      <c r="V795" s="106"/>
    </row>
    <row r="796">
      <c r="C796" s="79"/>
      <c r="D796" s="79"/>
      <c r="J796" s="79"/>
      <c r="N796" s="79"/>
      <c r="Q796" s="79"/>
      <c r="V796" s="106"/>
    </row>
    <row r="797">
      <c r="C797" s="79"/>
      <c r="D797" s="79"/>
      <c r="J797" s="79"/>
      <c r="N797" s="79"/>
      <c r="Q797" s="79"/>
      <c r="V797" s="106"/>
    </row>
    <row r="798">
      <c r="C798" s="79"/>
      <c r="D798" s="79"/>
      <c r="J798" s="79"/>
      <c r="N798" s="79"/>
      <c r="Q798" s="79"/>
      <c r="V798" s="106"/>
    </row>
    <row r="799">
      <c r="C799" s="79"/>
      <c r="D799" s="79"/>
      <c r="J799" s="79"/>
      <c r="N799" s="79"/>
      <c r="Q799" s="79"/>
      <c r="V799" s="106"/>
    </row>
    <row r="800">
      <c r="C800" s="79"/>
      <c r="D800" s="79"/>
      <c r="J800" s="79"/>
      <c r="N800" s="79"/>
      <c r="Q800" s="79"/>
      <c r="V800" s="106"/>
    </row>
    <row r="801">
      <c r="C801" s="79"/>
      <c r="D801" s="79"/>
      <c r="J801" s="79"/>
      <c r="N801" s="79"/>
      <c r="Q801" s="79"/>
      <c r="V801" s="106"/>
    </row>
    <row r="802">
      <c r="C802" s="79"/>
      <c r="D802" s="79"/>
      <c r="J802" s="79"/>
      <c r="N802" s="79"/>
      <c r="Q802" s="79"/>
      <c r="V802" s="106"/>
    </row>
    <row r="803">
      <c r="C803" s="79"/>
      <c r="D803" s="79"/>
      <c r="J803" s="79"/>
      <c r="N803" s="79"/>
      <c r="Q803" s="79"/>
      <c r="V803" s="106"/>
    </row>
    <row r="804">
      <c r="C804" s="79"/>
      <c r="D804" s="79"/>
      <c r="J804" s="79"/>
      <c r="N804" s="79"/>
      <c r="Q804" s="79"/>
      <c r="V804" s="106"/>
    </row>
    <row r="805">
      <c r="C805" s="79"/>
      <c r="D805" s="79"/>
      <c r="J805" s="79"/>
      <c r="N805" s="79"/>
      <c r="Q805" s="79"/>
      <c r="V805" s="106"/>
    </row>
    <row r="806">
      <c r="C806" s="79"/>
      <c r="D806" s="79"/>
      <c r="J806" s="79"/>
      <c r="N806" s="79"/>
      <c r="Q806" s="79"/>
      <c r="V806" s="106"/>
    </row>
    <row r="807">
      <c r="C807" s="79"/>
      <c r="D807" s="79"/>
      <c r="J807" s="79"/>
      <c r="N807" s="79"/>
      <c r="Q807" s="79"/>
      <c r="V807" s="106"/>
    </row>
    <row r="808">
      <c r="C808" s="79"/>
      <c r="D808" s="79"/>
      <c r="J808" s="79"/>
      <c r="N808" s="79"/>
      <c r="Q808" s="79"/>
      <c r="V808" s="106"/>
    </row>
    <row r="809">
      <c r="C809" s="79"/>
      <c r="D809" s="79"/>
      <c r="J809" s="79"/>
      <c r="N809" s="79"/>
      <c r="Q809" s="79"/>
      <c r="V809" s="106"/>
    </row>
    <row r="810">
      <c r="C810" s="79"/>
      <c r="D810" s="79"/>
      <c r="J810" s="79"/>
      <c r="N810" s="79"/>
      <c r="Q810" s="79"/>
      <c r="V810" s="106"/>
    </row>
    <row r="811">
      <c r="C811" s="79"/>
      <c r="D811" s="79"/>
      <c r="J811" s="79"/>
      <c r="N811" s="79"/>
      <c r="Q811" s="79"/>
      <c r="V811" s="106"/>
    </row>
    <row r="812">
      <c r="C812" s="79"/>
      <c r="D812" s="79"/>
      <c r="J812" s="79"/>
      <c r="N812" s="79"/>
      <c r="Q812" s="79"/>
      <c r="V812" s="106"/>
    </row>
    <row r="813">
      <c r="C813" s="79"/>
      <c r="D813" s="79"/>
      <c r="J813" s="79"/>
      <c r="N813" s="79"/>
      <c r="Q813" s="79"/>
      <c r="V813" s="106"/>
    </row>
    <row r="814">
      <c r="C814" s="79"/>
      <c r="D814" s="79"/>
      <c r="J814" s="79"/>
      <c r="N814" s="79"/>
      <c r="Q814" s="79"/>
      <c r="V814" s="106"/>
    </row>
    <row r="815">
      <c r="C815" s="79"/>
      <c r="D815" s="79"/>
      <c r="J815" s="79"/>
      <c r="N815" s="79"/>
      <c r="Q815" s="79"/>
      <c r="V815" s="106"/>
    </row>
    <row r="816">
      <c r="C816" s="79"/>
      <c r="D816" s="79"/>
      <c r="J816" s="79"/>
      <c r="N816" s="79"/>
      <c r="Q816" s="79"/>
      <c r="V816" s="106"/>
    </row>
    <row r="817">
      <c r="C817" s="79"/>
      <c r="D817" s="79"/>
      <c r="J817" s="79"/>
      <c r="N817" s="79"/>
      <c r="Q817" s="79"/>
      <c r="V817" s="106"/>
    </row>
    <row r="818">
      <c r="C818" s="79"/>
      <c r="D818" s="79"/>
      <c r="J818" s="79"/>
      <c r="N818" s="79"/>
      <c r="Q818" s="79"/>
      <c r="V818" s="106"/>
    </row>
    <row r="819">
      <c r="C819" s="79"/>
      <c r="D819" s="79"/>
      <c r="J819" s="79"/>
      <c r="N819" s="79"/>
      <c r="Q819" s="79"/>
      <c r="V819" s="106"/>
    </row>
    <row r="820">
      <c r="C820" s="79"/>
      <c r="D820" s="79"/>
      <c r="J820" s="79"/>
      <c r="N820" s="79"/>
      <c r="Q820" s="79"/>
      <c r="V820" s="106"/>
    </row>
    <row r="821">
      <c r="C821" s="79"/>
      <c r="D821" s="79"/>
      <c r="J821" s="79"/>
      <c r="N821" s="79"/>
      <c r="Q821" s="79"/>
      <c r="V821" s="106"/>
    </row>
    <row r="822">
      <c r="C822" s="79"/>
      <c r="D822" s="79"/>
      <c r="J822" s="79"/>
      <c r="N822" s="79"/>
      <c r="Q822" s="79"/>
      <c r="V822" s="106"/>
    </row>
    <row r="823">
      <c r="C823" s="79"/>
      <c r="D823" s="79"/>
      <c r="J823" s="79"/>
      <c r="N823" s="79"/>
      <c r="Q823" s="79"/>
      <c r="V823" s="106"/>
    </row>
    <row r="824">
      <c r="C824" s="79"/>
      <c r="D824" s="79"/>
      <c r="J824" s="79"/>
      <c r="N824" s="79"/>
      <c r="Q824" s="79"/>
      <c r="V824" s="106"/>
    </row>
    <row r="825">
      <c r="C825" s="79"/>
      <c r="D825" s="79"/>
      <c r="J825" s="79"/>
      <c r="N825" s="79"/>
      <c r="Q825" s="79"/>
      <c r="V825" s="106"/>
    </row>
    <row r="826">
      <c r="C826" s="79"/>
      <c r="D826" s="79"/>
      <c r="J826" s="79"/>
      <c r="N826" s="79"/>
      <c r="Q826" s="79"/>
      <c r="V826" s="106"/>
    </row>
    <row r="827">
      <c r="C827" s="79"/>
      <c r="D827" s="79"/>
      <c r="J827" s="79"/>
      <c r="N827" s="79"/>
      <c r="Q827" s="79"/>
      <c r="V827" s="106"/>
    </row>
    <row r="828">
      <c r="C828" s="79"/>
      <c r="D828" s="79"/>
      <c r="J828" s="79"/>
      <c r="N828" s="79"/>
      <c r="Q828" s="79"/>
      <c r="V828" s="106"/>
    </row>
    <row r="829">
      <c r="C829" s="79"/>
      <c r="D829" s="79"/>
      <c r="J829" s="79"/>
      <c r="N829" s="79"/>
      <c r="Q829" s="79"/>
      <c r="V829" s="106"/>
    </row>
    <row r="830">
      <c r="C830" s="79"/>
      <c r="D830" s="79"/>
      <c r="J830" s="79"/>
      <c r="N830" s="79"/>
      <c r="Q830" s="79"/>
      <c r="V830" s="106"/>
    </row>
    <row r="831">
      <c r="C831" s="79"/>
      <c r="D831" s="79"/>
      <c r="J831" s="79"/>
      <c r="N831" s="79"/>
      <c r="Q831" s="79"/>
      <c r="V831" s="106"/>
    </row>
    <row r="832">
      <c r="C832" s="79"/>
      <c r="D832" s="79"/>
      <c r="J832" s="79"/>
      <c r="N832" s="79"/>
      <c r="Q832" s="79"/>
      <c r="V832" s="106"/>
    </row>
    <row r="833">
      <c r="C833" s="79"/>
      <c r="D833" s="79"/>
      <c r="J833" s="79"/>
      <c r="N833" s="79"/>
      <c r="Q833" s="79"/>
      <c r="V833" s="106"/>
    </row>
    <row r="834">
      <c r="C834" s="79"/>
      <c r="D834" s="79"/>
      <c r="J834" s="79"/>
      <c r="N834" s="79"/>
      <c r="Q834" s="79"/>
      <c r="V834" s="106"/>
    </row>
    <row r="835">
      <c r="C835" s="79"/>
      <c r="D835" s="79"/>
      <c r="J835" s="79"/>
      <c r="N835" s="79"/>
      <c r="Q835" s="79"/>
      <c r="V835" s="106"/>
    </row>
    <row r="836">
      <c r="C836" s="79"/>
      <c r="D836" s="79"/>
      <c r="J836" s="79"/>
      <c r="N836" s="79"/>
      <c r="Q836" s="79"/>
      <c r="V836" s="106"/>
    </row>
    <row r="837">
      <c r="C837" s="79"/>
      <c r="D837" s="79"/>
      <c r="J837" s="79"/>
      <c r="N837" s="79"/>
      <c r="Q837" s="79"/>
      <c r="V837" s="106"/>
    </row>
    <row r="838">
      <c r="C838" s="79"/>
      <c r="D838" s="79"/>
      <c r="J838" s="79"/>
      <c r="N838" s="79"/>
      <c r="Q838" s="79"/>
      <c r="V838" s="106"/>
    </row>
    <row r="839">
      <c r="C839" s="79"/>
      <c r="D839" s="79"/>
      <c r="J839" s="79"/>
      <c r="N839" s="79"/>
      <c r="Q839" s="79"/>
      <c r="V839" s="106"/>
    </row>
    <row r="840">
      <c r="C840" s="79"/>
      <c r="D840" s="79"/>
      <c r="J840" s="79"/>
      <c r="N840" s="79"/>
      <c r="Q840" s="79"/>
      <c r="V840" s="106"/>
    </row>
    <row r="841">
      <c r="C841" s="79"/>
      <c r="D841" s="79"/>
      <c r="J841" s="79"/>
      <c r="N841" s="79"/>
      <c r="Q841" s="79"/>
      <c r="V841" s="106"/>
    </row>
    <row r="842">
      <c r="C842" s="79"/>
      <c r="D842" s="79"/>
      <c r="J842" s="79"/>
      <c r="N842" s="79"/>
      <c r="Q842" s="79"/>
      <c r="V842" s="106"/>
    </row>
    <row r="843">
      <c r="C843" s="79"/>
      <c r="D843" s="79"/>
      <c r="J843" s="79"/>
      <c r="N843" s="79"/>
      <c r="Q843" s="79"/>
      <c r="V843" s="106"/>
    </row>
    <row r="844">
      <c r="C844" s="79"/>
      <c r="D844" s="79"/>
      <c r="J844" s="79"/>
      <c r="N844" s="79"/>
      <c r="Q844" s="79"/>
      <c r="V844" s="106"/>
    </row>
    <row r="845">
      <c r="C845" s="79"/>
      <c r="D845" s="79"/>
      <c r="J845" s="79"/>
      <c r="N845" s="79"/>
      <c r="Q845" s="79"/>
      <c r="V845" s="106"/>
    </row>
    <row r="846">
      <c r="C846" s="79"/>
      <c r="D846" s="79"/>
      <c r="J846" s="79"/>
      <c r="N846" s="79"/>
      <c r="Q846" s="79"/>
      <c r="V846" s="106"/>
    </row>
    <row r="847">
      <c r="C847" s="79"/>
      <c r="D847" s="79"/>
      <c r="J847" s="79"/>
      <c r="N847" s="79"/>
      <c r="Q847" s="79"/>
      <c r="V847" s="106"/>
    </row>
    <row r="848">
      <c r="C848" s="79"/>
      <c r="D848" s="79"/>
      <c r="J848" s="79"/>
      <c r="N848" s="79"/>
      <c r="Q848" s="79"/>
      <c r="V848" s="106"/>
    </row>
    <row r="849">
      <c r="C849" s="79"/>
      <c r="D849" s="79"/>
      <c r="J849" s="79"/>
      <c r="N849" s="79"/>
      <c r="Q849" s="79"/>
      <c r="V849" s="106"/>
    </row>
    <row r="850">
      <c r="C850" s="79"/>
      <c r="D850" s="79"/>
      <c r="J850" s="79"/>
      <c r="N850" s="79"/>
      <c r="Q850" s="79"/>
      <c r="V850" s="106"/>
    </row>
    <row r="851">
      <c r="C851" s="79"/>
      <c r="D851" s="79"/>
      <c r="J851" s="79"/>
      <c r="N851" s="79"/>
      <c r="Q851" s="79"/>
      <c r="V851" s="106"/>
    </row>
    <row r="852">
      <c r="C852" s="79"/>
      <c r="D852" s="79"/>
      <c r="J852" s="79"/>
      <c r="N852" s="79"/>
      <c r="Q852" s="79"/>
      <c r="V852" s="106"/>
    </row>
    <row r="853">
      <c r="C853" s="79"/>
      <c r="D853" s="79"/>
      <c r="J853" s="79"/>
      <c r="N853" s="79"/>
      <c r="Q853" s="79"/>
      <c r="V853" s="106"/>
    </row>
    <row r="854">
      <c r="C854" s="79"/>
      <c r="D854" s="79"/>
      <c r="J854" s="79"/>
      <c r="N854" s="79"/>
      <c r="Q854" s="79"/>
      <c r="V854" s="106"/>
    </row>
    <row r="855">
      <c r="C855" s="79"/>
      <c r="D855" s="79"/>
      <c r="J855" s="79"/>
      <c r="N855" s="79"/>
      <c r="Q855" s="79"/>
      <c r="V855" s="106"/>
    </row>
    <row r="856">
      <c r="C856" s="79"/>
      <c r="D856" s="79"/>
      <c r="J856" s="79"/>
      <c r="N856" s="79"/>
      <c r="Q856" s="79"/>
      <c r="V856" s="106"/>
    </row>
    <row r="857">
      <c r="C857" s="79"/>
      <c r="D857" s="79"/>
      <c r="J857" s="79"/>
      <c r="N857" s="79"/>
      <c r="Q857" s="79"/>
      <c r="V857" s="106"/>
    </row>
    <row r="858">
      <c r="C858" s="79"/>
      <c r="D858" s="79"/>
      <c r="J858" s="79"/>
      <c r="N858" s="79"/>
      <c r="Q858" s="79"/>
      <c r="V858" s="106"/>
    </row>
    <row r="859">
      <c r="C859" s="79"/>
      <c r="D859" s="79"/>
      <c r="J859" s="79"/>
      <c r="N859" s="79"/>
      <c r="Q859" s="79"/>
      <c r="V859" s="106"/>
    </row>
    <row r="860">
      <c r="C860" s="79"/>
      <c r="D860" s="79"/>
      <c r="J860" s="79"/>
      <c r="N860" s="79"/>
      <c r="Q860" s="79"/>
      <c r="V860" s="106"/>
    </row>
    <row r="861">
      <c r="C861" s="79"/>
      <c r="D861" s="79"/>
      <c r="J861" s="79"/>
      <c r="N861" s="79"/>
      <c r="Q861" s="79"/>
      <c r="V861" s="106"/>
    </row>
    <row r="862">
      <c r="C862" s="79"/>
      <c r="D862" s="79"/>
      <c r="J862" s="79"/>
      <c r="N862" s="79"/>
      <c r="Q862" s="79"/>
      <c r="V862" s="106"/>
    </row>
    <row r="863">
      <c r="C863" s="79"/>
      <c r="D863" s="79"/>
      <c r="J863" s="79"/>
      <c r="N863" s="79"/>
      <c r="Q863" s="79"/>
      <c r="V863" s="106"/>
    </row>
    <row r="864">
      <c r="C864" s="79"/>
      <c r="D864" s="79"/>
      <c r="J864" s="79"/>
      <c r="N864" s="79"/>
      <c r="Q864" s="79"/>
      <c r="V864" s="106"/>
    </row>
    <row r="865">
      <c r="C865" s="79"/>
      <c r="D865" s="79"/>
      <c r="J865" s="79"/>
      <c r="N865" s="79"/>
      <c r="Q865" s="79"/>
      <c r="V865" s="106"/>
    </row>
    <row r="866">
      <c r="C866" s="79"/>
      <c r="D866" s="79"/>
      <c r="J866" s="79"/>
      <c r="N866" s="79"/>
      <c r="Q866" s="79"/>
      <c r="V866" s="106"/>
    </row>
    <row r="867">
      <c r="C867" s="79"/>
      <c r="D867" s="79"/>
      <c r="J867" s="79"/>
      <c r="N867" s="79"/>
      <c r="Q867" s="79"/>
      <c r="V867" s="106"/>
    </row>
    <row r="868">
      <c r="C868" s="79"/>
      <c r="D868" s="79"/>
      <c r="J868" s="79"/>
      <c r="N868" s="79"/>
      <c r="Q868" s="79"/>
      <c r="V868" s="106"/>
    </row>
    <row r="869">
      <c r="C869" s="79"/>
      <c r="D869" s="79"/>
      <c r="J869" s="79"/>
      <c r="N869" s="79"/>
      <c r="Q869" s="79"/>
      <c r="V869" s="106"/>
    </row>
    <row r="870">
      <c r="C870" s="79"/>
      <c r="D870" s="79"/>
      <c r="J870" s="79"/>
      <c r="N870" s="79"/>
      <c r="Q870" s="79"/>
      <c r="V870" s="106"/>
    </row>
    <row r="871">
      <c r="C871" s="79"/>
      <c r="D871" s="79"/>
      <c r="J871" s="79"/>
      <c r="N871" s="79"/>
      <c r="Q871" s="79"/>
      <c r="V871" s="106"/>
    </row>
    <row r="872">
      <c r="C872" s="79"/>
      <c r="D872" s="79"/>
      <c r="J872" s="79"/>
      <c r="N872" s="79"/>
      <c r="Q872" s="79"/>
      <c r="V872" s="106"/>
    </row>
    <row r="873">
      <c r="C873" s="79"/>
      <c r="D873" s="79"/>
      <c r="J873" s="79"/>
      <c r="N873" s="79"/>
      <c r="Q873" s="79"/>
      <c r="V873" s="106"/>
    </row>
    <row r="874">
      <c r="C874" s="79"/>
      <c r="D874" s="79"/>
      <c r="J874" s="79"/>
      <c r="N874" s="79"/>
      <c r="Q874" s="79"/>
      <c r="V874" s="106"/>
    </row>
    <row r="875">
      <c r="C875" s="79"/>
      <c r="D875" s="79"/>
      <c r="J875" s="79"/>
      <c r="N875" s="79"/>
      <c r="Q875" s="79"/>
      <c r="V875" s="106"/>
    </row>
    <row r="876">
      <c r="C876" s="79"/>
      <c r="D876" s="79"/>
      <c r="J876" s="79"/>
      <c r="N876" s="79"/>
      <c r="Q876" s="79"/>
      <c r="V876" s="106"/>
    </row>
    <row r="877">
      <c r="C877" s="79"/>
      <c r="D877" s="79"/>
      <c r="J877" s="79"/>
      <c r="N877" s="79"/>
      <c r="Q877" s="79"/>
      <c r="V877" s="106"/>
    </row>
    <row r="878">
      <c r="C878" s="79"/>
      <c r="D878" s="79"/>
      <c r="J878" s="79"/>
      <c r="N878" s="79"/>
      <c r="Q878" s="79"/>
      <c r="V878" s="106"/>
    </row>
    <row r="879">
      <c r="C879" s="79"/>
      <c r="D879" s="79"/>
      <c r="J879" s="79"/>
      <c r="N879" s="79"/>
      <c r="Q879" s="79"/>
      <c r="V879" s="106"/>
    </row>
    <row r="880">
      <c r="C880" s="79"/>
      <c r="D880" s="79"/>
      <c r="J880" s="79"/>
      <c r="N880" s="79"/>
      <c r="Q880" s="79"/>
      <c r="V880" s="106"/>
    </row>
    <row r="881">
      <c r="C881" s="79"/>
      <c r="D881" s="79"/>
      <c r="J881" s="79"/>
      <c r="N881" s="79"/>
      <c r="Q881" s="79"/>
      <c r="V881" s="106"/>
    </row>
    <row r="882">
      <c r="C882" s="79"/>
      <c r="D882" s="79"/>
      <c r="J882" s="79"/>
      <c r="N882" s="79"/>
      <c r="Q882" s="79"/>
      <c r="V882" s="106"/>
    </row>
    <row r="883">
      <c r="C883" s="79"/>
      <c r="D883" s="79"/>
      <c r="J883" s="79"/>
      <c r="N883" s="79"/>
      <c r="Q883" s="79"/>
      <c r="V883" s="106"/>
    </row>
    <row r="884">
      <c r="C884" s="79"/>
      <c r="D884" s="79"/>
      <c r="J884" s="79"/>
      <c r="N884" s="79"/>
      <c r="Q884" s="79"/>
      <c r="V884" s="106"/>
    </row>
    <row r="885">
      <c r="C885" s="79"/>
      <c r="D885" s="79"/>
      <c r="J885" s="79"/>
      <c r="N885" s="79"/>
      <c r="Q885" s="79"/>
      <c r="V885" s="106"/>
    </row>
    <row r="886">
      <c r="C886" s="79"/>
      <c r="D886" s="79"/>
      <c r="J886" s="79"/>
      <c r="N886" s="79"/>
      <c r="Q886" s="79"/>
      <c r="V886" s="106"/>
    </row>
    <row r="887">
      <c r="C887" s="79"/>
      <c r="D887" s="79"/>
      <c r="J887" s="79"/>
      <c r="N887" s="79"/>
      <c r="Q887" s="79"/>
      <c r="V887" s="106"/>
    </row>
    <row r="888">
      <c r="C888" s="79"/>
      <c r="D888" s="79"/>
      <c r="J888" s="79"/>
      <c r="N888" s="79"/>
      <c r="Q888" s="79"/>
      <c r="V888" s="106"/>
    </row>
    <row r="889">
      <c r="C889" s="79"/>
      <c r="D889" s="79"/>
      <c r="J889" s="79"/>
      <c r="N889" s="79"/>
      <c r="Q889" s="79"/>
      <c r="V889" s="106"/>
    </row>
    <row r="890">
      <c r="C890" s="79"/>
      <c r="D890" s="79"/>
      <c r="J890" s="79"/>
      <c r="N890" s="79"/>
      <c r="Q890" s="79"/>
      <c r="V890" s="106"/>
    </row>
    <row r="891">
      <c r="C891" s="79"/>
      <c r="D891" s="79"/>
      <c r="J891" s="79"/>
      <c r="N891" s="79"/>
      <c r="Q891" s="79"/>
      <c r="V891" s="106"/>
    </row>
    <row r="892">
      <c r="C892" s="79"/>
      <c r="D892" s="79"/>
      <c r="J892" s="79"/>
      <c r="N892" s="79"/>
      <c r="Q892" s="79"/>
      <c r="V892" s="106"/>
    </row>
    <row r="893">
      <c r="C893" s="79"/>
      <c r="D893" s="79"/>
      <c r="J893" s="79"/>
      <c r="N893" s="79"/>
      <c r="Q893" s="79"/>
      <c r="V893" s="106"/>
    </row>
    <row r="894">
      <c r="C894" s="79"/>
      <c r="D894" s="79"/>
      <c r="J894" s="79"/>
      <c r="N894" s="79"/>
      <c r="Q894" s="79"/>
      <c r="V894" s="106"/>
    </row>
    <row r="895">
      <c r="C895" s="79"/>
      <c r="D895" s="79"/>
      <c r="J895" s="79"/>
      <c r="N895" s="79"/>
      <c r="Q895" s="79"/>
      <c r="V895" s="106"/>
    </row>
    <row r="896">
      <c r="C896" s="79"/>
      <c r="D896" s="79"/>
      <c r="J896" s="79"/>
      <c r="N896" s="79"/>
      <c r="Q896" s="79"/>
      <c r="V896" s="106"/>
    </row>
    <row r="897">
      <c r="C897" s="79"/>
      <c r="D897" s="79"/>
      <c r="J897" s="79"/>
      <c r="N897" s="79"/>
      <c r="Q897" s="79"/>
      <c r="V897" s="106"/>
    </row>
    <row r="898">
      <c r="C898" s="79"/>
      <c r="D898" s="79"/>
      <c r="J898" s="79"/>
      <c r="N898" s="79"/>
      <c r="Q898" s="79"/>
      <c r="V898" s="106"/>
    </row>
    <row r="899">
      <c r="C899" s="79"/>
      <c r="D899" s="79"/>
      <c r="J899" s="79"/>
      <c r="N899" s="79"/>
      <c r="Q899" s="79"/>
      <c r="V899" s="106"/>
    </row>
    <row r="900">
      <c r="C900" s="79"/>
      <c r="D900" s="79"/>
      <c r="J900" s="79"/>
      <c r="N900" s="79"/>
      <c r="Q900" s="79"/>
      <c r="V900" s="106"/>
    </row>
    <row r="901">
      <c r="C901" s="79"/>
      <c r="D901" s="79"/>
      <c r="J901" s="79"/>
      <c r="N901" s="79"/>
      <c r="Q901" s="79"/>
      <c r="V901" s="106"/>
    </row>
    <row r="902">
      <c r="C902" s="79"/>
      <c r="D902" s="79"/>
      <c r="J902" s="79"/>
      <c r="N902" s="79"/>
      <c r="Q902" s="79"/>
      <c r="V902" s="106"/>
    </row>
    <row r="903">
      <c r="C903" s="79"/>
      <c r="D903" s="79"/>
      <c r="J903" s="79"/>
      <c r="N903" s="79"/>
      <c r="Q903" s="79"/>
      <c r="V903" s="106"/>
    </row>
    <row r="904">
      <c r="C904" s="79"/>
      <c r="D904" s="79"/>
      <c r="J904" s="79"/>
      <c r="N904" s="79"/>
      <c r="Q904" s="79"/>
      <c r="V904" s="106"/>
    </row>
    <row r="905">
      <c r="C905" s="79"/>
      <c r="D905" s="79"/>
      <c r="J905" s="79"/>
      <c r="N905" s="79"/>
      <c r="Q905" s="79"/>
      <c r="V905" s="106"/>
    </row>
    <row r="906">
      <c r="C906" s="79"/>
      <c r="D906" s="79"/>
      <c r="J906" s="79"/>
      <c r="N906" s="79"/>
      <c r="Q906" s="79"/>
      <c r="V906" s="106"/>
    </row>
    <row r="907">
      <c r="C907" s="79"/>
      <c r="D907" s="79"/>
      <c r="J907" s="79"/>
      <c r="N907" s="79"/>
      <c r="Q907" s="79"/>
      <c r="V907" s="106"/>
    </row>
    <row r="908">
      <c r="C908" s="79"/>
      <c r="D908" s="79"/>
      <c r="J908" s="79"/>
      <c r="N908" s="79"/>
      <c r="Q908" s="79"/>
      <c r="V908" s="106"/>
    </row>
    <row r="909">
      <c r="C909" s="79"/>
      <c r="D909" s="79"/>
      <c r="J909" s="79"/>
      <c r="N909" s="79"/>
      <c r="Q909" s="79"/>
      <c r="V909" s="106"/>
    </row>
    <row r="910">
      <c r="C910" s="79"/>
      <c r="D910" s="79"/>
      <c r="J910" s="79"/>
      <c r="N910" s="79"/>
      <c r="Q910" s="79"/>
      <c r="V910" s="106"/>
    </row>
    <row r="911">
      <c r="C911" s="79"/>
      <c r="D911" s="79"/>
      <c r="J911" s="79"/>
      <c r="N911" s="79"/>
      <c r="Q911" s="79"/>
      <c r="V911" s="106"/>
    </row>
    <row r="912">
      <c r="C912" s="79"/>
      <c r="D912" s="79"/>
      <c r="J912" s="79"/>
      <c r="N912" s="79"/>
      <c r="Q912" s="79"/>
      <c r="V912" s="106"/>
    </row>
    <row r="913">
      <c r="C913" s="79"/>
      <c r="D913" s="79"/>
      <c r="J913" s="79"/>
      <c r="N913" s="79"/>
      <c r="Q913" s="79"/>
      <c r="V913" s="106"/>
    </row>
    <row r="914">
      <c r="C914" s="79"/>
      <c r="D914" s="79"/>
      <c r="J914" s="79"/>
      <c r="N914" s="79"/>
      <c r="Q914" s="79"/>
      <c r="V914" s="106"/>
    </row>
    <row r="915">
      <c r="C915" s="79"/>
      <c r="D915" s="79"/>
      <c r="J915" s="79"/>
      <c r="N915" s="79"/>
      <c r="Q915" s="79"/>
      <c r="V915" s="106"/>
    </row>
    <row r="916">
      <c r="C916" s="79"/>
      <c r="D916" s="79"/>
      <c r="J916" s="79"/>
      <c r="N916" s="79"/>
      <c r="Q916" s="79"/>
      <c r="V916" s="106"/>
    </row>
    <row r="917">
      <c r="C917" s="79"/>
      <c r="D917" s="79"/>
      <c r="J917" s="79"/>
      <c r="N917" s="79"/>
      <c r="Q917" s="79"/>
      <c r="V917" s="106"/>
    </row>
    <row r="918">
      <c r="C918" s="79"/>
      <c r="D918" s="79"/>
      <c r="J918" s="79"/>
      <c r="N918" s="79"/>
      <c r="Q918" s="79"/>
      <c r="V918" s="106"/>
    </row>
    <row r="919">
      <c r="C919" s="79"/>
      <c r="D919" s="79"/>
      <c r="J919" s="79"/>
      <c r="N919" s="79"/>
      <c r="Q919" s="79"/>
      <c r="V919" s="106"/>
    </row>
    <row r="920">
      <c r="C920" s="79"/>
      <c r="D920" s="79"/>
      <c r="J920" s="79"/>
      <c r="N920" s="79"/>
      <c r="Q920" s="79"/>
      <c r="V920" s="106"/>
    </row>
    <row r="921">
      <c r="C921" s="79"/>
      <c r="D921" s="79"/>
      <c r="J921" s="79"/>
      <c r="N921" s="79"/>
      <c r="Q921" s="79"/>
      <c r="V921" s="106"/>
    </row>
    <row r="922">
      <c r="C922" s="79"/>
      <c r="D922" s="79"/>
      <c r="J922" s="79"/>
      <c r="N922" s="79"/>
      <c r="Q922" s="79"/>
      <c r="V922" s="106"/>
    </row>
    <row r="923">
      <c r="C923" s="79"/>
      <c r="D923" s="79"/>
      <c r="J923" s="79"/>
      <c r="N923" s="79"/>
      <c r="Q923" s="79"/>
      <c r="V923" s="106"/>
    </row>
    <row r="924">
      <c r="C924" s="79"/>
      <c r="D924" s="79"/>
      <c r="J924" s="79"/>
      <c r="N924" s="79"/>
      <c r="Q924" s="79"/>
      <c r="V924" s="106"/>
    </row>
    <row r="925">
      <c r="C925" s="79"/>
      <c r="D925" s="79"/>
      <c r="J925" s="79"/>
      <c r="N925" s="79"/>
      <c r="Q925" s="79"/>
      <c r="V925" s="106"/>
    </row>
    <row r="926">
      <c r="C926" s="79"/>
      <c r="D926" s="79"/>
      <c r="J926" s="79"/>
      <c r="N926" s="79"/>
      <c r="Q926" s="79"/>
      <c r="V926" s="106"/>
    </row>
    <row r="927">
      <c r="C927" s="79"/>
      <c r="D927" s="79"/>
      <c r="J927" s="79"/>
      <c r="N927" s="79"/>
      <c r="Q927" s="79"/>
      <c r="V927" s="106"/>
    </row>
    <row r="928">
      <c r="C928" s="79"/>
      <c r="D928" s="79"/>
      <c r="J928" s="79"/>
      <c r="N928" s="79"/>
      <c r="Q928" s="79"/>
      <c r="V928" s="106"/>
    </row>
    <row r="929">
      <c r="C929" s="79"/>
      <c r="D929" s="79"/>
      <c r="J929" s="79"/>
      <c r="N929" s="79"/>
      <c r="Q929" s="79"/>
      <c r="V929" s="106"/>
    </row>
    <row r="930">
      <c r="C930" s="79"/>
      <c r="D930" s="79"/>
      <c r="J930" s="79"/>
      <c r="N930" s="79"/>
      <c r="Q930" s="79"/>
      <c r="V930" s="106"/>
    </row>
    <row r="931">
      <c r="C931" s="79"/>
      <c r="D931" s="79"/>
      <c r="J931" s="79"/>
      <c r="N931" s="79"/>
      <c r="Q931" s="79"/>
      <c r="V931" s="106"/>
    </row>
    <row r="932">
      <c r="C932" s="79"/>
      <c r="D932" s="79"/>
      <c r="J932" s="79"/>
      <c r="N932" s="79"/>
      <c r="Q932" s="79"/>
      <c r="V932" s="106"/>
    </row>
    <row r="933">
      <c r="C933" s="79"/>
      <c r="D933" s="79"/>
      <c r="J933" s="79"/>
      <c r="N933" s="79"/>
      <c r="Q933" s="79"/>
      <c r="V933" s="106"/>
    </row>
    <row r="934">
      <c r="C934" s="79"/>
      <c r="D934" s="79"/>
      <c r="J934" s="79"/>
      <c r="N934" s="79"/>
      <c r="Q934" s="79"/>
      <c r="V934" s="106"/>
    </row>
    <row r="935">
      <c r="C935" s="79"/>
      <c r="D935" s="79"/>
      <c r="J935" s="79"/>
      <c r="N935" s="79"/>
      <c r="Q935" s="79"/>
      <c r="V935" s="106"/>
    </row>
    <row r="936">
      <c r="C936" s="79"/>
      <c r="D936" s="79"/>
      <c r="J936" s="79"/>
      <c r="N936" s="79"/>
      <c r="Q936" s="79"/>
      <c r="V936" s="106"/>
    </row>
    <row r="937">
      <c r="C937" s="79"/>
      <c r="D937" s="79"/>
      <c r="J937" s="79"/>
      <c r="N937" s="79"/>
      <c r="Q937" s="79"/>
      <c r="V937" s="106"/>
    </row>
    <row r="938">
      <c r="C938" s="79"/>
      <c r="D938" s="79"/>
      <c r="J938" s="79"/>
      <c r="N938" s="79"/>
      <c r="Q938" s="79"/>
      <c r="V938" s="106"/>
    </row>
    <row r="939">
      <c r="C939" s="79"/>
      <c r="D939" s="79"/>
      <c r="J939" s="79"/>
      <c r="N939" s="79"/>
      <c r="Q939" s="79"/>
      <c r="V939" s="106"/>
    </row>
    <row r="940">
      <c r="C940" s="79"/>
      <c r="D940" s="79"/>
      <c r="J940" s="79"/>
      <c r="N940" s="79"/>
      <c r="Q940" s="79"/>
      <c r="V940" s="106"/>
    </row>
    <row r="941">
      <c r="C941" s="79"/>
      <c r="D941" s="79"/>
      <c r="J941" s="79"/>
      <c r="N941" s="79"/>
      <c r="Q941" s="79"/>
      <c r="V941" s="106"/>
    </row>
    <row r="942">
      <c r="C942" s="79"/>
      <c r="D942" s="79"/>
      <c r="J942" s="79"/>
      <c r="N942" s="79"/>
      <c r="Q942" s="79"/>
      <c r="V942" s="106"/>
    </row>
    <row r="943">
      <c r="C943" s="79"/>
      <c r="D943" s="79"/>
      <c r="J943" s="79"/>
      <c r="N943" s="79"/>
      <c r="Q943" s="79"/>
      <c r="V943" s="106"/>
    </row>
    <row r="944">
      <c r="C944" s="79"/>
      <c r="D944" s="79"/>
      <c r="J944" s="79"/>
      <c r="N944" s="79"/>
      <c r="Q944" s="79"/>
      <c r="V944" s="106"/>
    </row>
    <row r="945">
      <c r="C945" s="79"/>
      <c r="D945" s="79"/>
      <c r="J945" s="79"/>
      <c r="N945" s="79"/>
      <c r="Q945" s="79"/>
      <c r="V945" s="106"/>
    </row>
    <row r="946">
      <c r="C946" s="79"/>
      <c r="D946" s="79"/>
      <c r="J946" s="79"/>
      <c r="N946" s="79"/>
      <c r="Q946" s="79"/>
      <c r="V946" s="106"/>
    </row>
    <row r="947">
      <c r="C947" s="79"/>
      <c r="D947" s="79"/>
      <c r="J947" s="79"/>
      <c r="N947" s="79"/>
      <c r="Q947" s="79"/>
      <c r="V947" s="106"/>
    </row>
    <row r="948">
      <c r="C948" s="79"/>
      <c r="D948" s="79"/>
      <c r="J948" s="79"/>
      <c r="N948" s="79"/>
      <c r="Q948" s="79"/>
      <c r="V948" s="106"/>
    </row>
    <row r="949">
      <c r="C949" s="79"/>
      <c r="D949" s="79"/>
      <c r="J949" s="79"/>
      <c r="N949" s="79"/>
      <c r="Q949" s="79"/>
      <c r="V949" s="106"/>
    </row>
    <row r="950">
      <c r="C950" s="79"/>
      <c r="D950" s="79"/>
      <c r="J950" s="79"/>
      <c r="N950" s="79"/>
      <c r="Q950" s="79"/>
      <c r="V950" s="106"/>
    </row>
    <row r="951">
      <c r="C951" s="79"/>
      <c r="D951" s="79"/>
      <c r="J951" s="79"/>
      <c r="N951" s="79"/>
      <c r="Q951" s="79"/>
      <c r="V951" s="106"/>
    </row>
    <row r="952">
      <c r="C952" s="79"/>
      <c r="D952" s="79"/>
      <c r="J952" s="79"/>
      <c r="N952" s="79"/>
      <c r="Q952" s="79"/>
      <c r="V952" s="106"/>
    </row>
    <row r="953">
      <c r="C953" s="79"/>
      <c r="D953" s="79"/>
      <c r="J953" s="79"/>
      <c r="N953" s="79"/>
      <c r="Q953" s="79"/>
      <c r="V953" s="106"/>
    </row>
    <row r="954">
      <c r="C954" s="79"/>
      <c r="D954" s="79"/>
      <c r="J954" s="79"/>
      <c r="N954" s="79"/>
      <c r="Q954" s="79"/>
      <c r="V954" s="106"/>
    </row>
    <row r="955">
      <c r="C955" s="79"/>
      <c r="D955" s="79"/>
      <c r="J955" s="79"/>
      <c r="N955" s="79"/>
      <c r="Q955" s="79"/>
      <c r="V955" s="106"/>
    </row>
    <row r="956">
      <c r="C956" s="79"/>
      <c r="D956" s="79"/>
      <c r="J956" s="79"/>
      <c r="N956" s="79"/>
      <c r="Q956" s="79"/>
      <c r="V956" s="106"/>
    </row>
    <row r="957">
      <c r="C957" s="79"/>
      <c r="D957" s="79"/>
      <c r="J957" s="79"/>
      <c r="N957" s="79"/>
      <c r="Q957" s="79"/>
      <c r="V957" s="106"/>
    </row>
    <row r="958">
      <c r="C958" s="79"/>
      <c r="D958" s="79"/>
      <c r="J958" s="79"/>
      <c r="N958" s="79"/>
      <c r="Q958" s="79"/>
      <c r="V958" s="106"/>
    </row>
    <row r="959">
      <c r="C959" s="79"/>
      <c r="D959" s="79"/>
      <c r="J959" s="79"/>
      <c r="N959" s="79"/>
      <c r="Q959" s="79"/>
      <c r="V959" s="106"/>
    </row>
    <row r="960">
      <c r="C960" s="79"/>
      <c r="D960" s="79"/>
      <c r="J960" s="79"/>
      <c r="N960" s="79"/>
      <c r="Q960" s="79"/>
      <c r="V960" s="106"/>
    </row>
    <row r="961">
      <c r="C961" s="79"/>
      <c r="D961" s="79"/>
      <c r="J961" s="79"/>
      <c r="N961" s="79"/>
      <c r="Q961" s="79"/>
      <c r="V961" s="106"/>
    </row>
    <row r="962">
      <c r="C962" s="79"/>
      <c r="D962" s="79"/>
      <c r="J962" s="79"/>
      <c r="N962" s="79"/>
      <c r="Q962" s="79"/>
      <c r="V962" s="106"/>
    </row>
    <row r="963">
      <c r="C963" s="79"/>
      <c r="D963" s="79"/>
      <c r="J963" s="79"/>
      <c r="N963" s="79"/>
      <c r="Q963" s="79"/>
      <c r="V963" s="106"/>
    </row>
    <row r="964">
      <c r="C964" s="79"/>
      <c r="D964" s="79"/>
      <c r="J964" s="79"/>
      <c r="N964" s="79"/>
      <c r="Q964" s="79"/>
      <c r="V964" s="106"/>
    </row>
    <row r="965">
      <c r="C965" s="79"/>
      <c r="D965" s="79"/>
      <c r="J965" s="79"/>
      <c r="N965" s="79"/>
      <c r="Q965" s="79"/>
      <c r="V965" s="106"/>
    </row>
    <row r="966">
      <c r="C966" s="79"/>
      <c r="D966" s="79"/>
      <c r="J966" s="79"/>
      <c r="N966" s="79"/>
      <c r="Q966" s="79"/>
      <c r="V966" s="106"/>
    </row>
    <row r="967">
      <c r="C967" s="79"/>
      <c r="D967" s="79"/>
      <c r="J967" s="79"/>
      <c r="N967" s="79"/>
      <c r="Q967" s="79"/>
      <c r="V967" s="106"/>
    </row>
    <row r="968">
      <c r="C968" s="79"/>
      <c r="D968" s="79"/>
      <c r="J968" s="79"/>
      <c r="N968" s="79"/>
      <c r="Q968" s="79"/>
      <c r="V968" s="106"/>
    </row>
    <row r="969">
      <c r="C969" s="79"/>
      <c r="D969" s="79"/>
      <c r="J969" s="79"/>
      <c r="N969" s="79"/>
      <c r="Q969" s="79"/>
      <c r="V969" s="106"/>
    </row>
    <row r="970">
      <c r="C970" s="79"/>
      <c r="D970" s="79"/>
      <c r="J970" s="79"/>
      <c r="N970" s="79"/>
      <c r="Q970" s="79"/>
      <c r="V970" s="106"/>
    </row>
    <row r="971">
      <c r="C971" s="79"/>
      <c r="D971" s="79"/>
      <c r="J971" s="79"/>
      <c r="N971" s="79"/>
      <c r="Q971" s="79"/>
      <c r="V971" s="106"/>
    </row>
    <row r="972">
      <c r="C972" s="79"/>
      <c r="D972" s="79"/>
      <c r="J972" s="79"/>
      <c r="N972" s="79"/>
      <c r="Q972" s="79"/>
      <c r="V972" s="106"/>
    </row>
    <row r="973">
      <c r="C973" s="79"/>
      <c r="D973" s="79"/>
      <c r="J973" s="79"/>
      <c r="N973" s="79"/>
      <c r="Q973" s="79"/>
      <c r="V973" s="106"/>
    </row>
    <row r="974">
      <c r="C974" s="79"/>
      <c r="D974" s="79"/>
      <c r="J974" s="79"/>
      <c r="N974" s="79"/>
      <c r="Q974" s="79"/>
      <c r="V974" s="106"/>
    </row>
    <row r="975">
      <c r="C975" s="79"/>
      <c r="D975" s="79"/>
      <c r="J975" s="79"/>
      <c r="N975" s="79"/>
      <c r="Q975" s="79"/>
      <c r="V975" s="106"/>
    </row>
    <row r="976">
      <c r="C976" s="79"/>
      <c r="D976" s="79"/>
      <c r="J976" s="79"/>
      <c r="N976" s="79"/>
      <c r="Q976" s="79"/>
      <c r="V976" s="106"/>
    </row>
    <row r="977">
      <c r="C977" s="79"/>
      <c r="D977" s="79"/>
      <c r="J977" s="79"/>
      <c r="N977" s="79"/>
      <c r="Q977" s="79"/>
      <c r="V977" s="106"/>
    </row>
    <row r="978">
      <c r="C978" s="79"/>
      <c r="D978" s="79"/>
      <c r="J978" s="79"/>
      <c r="N978" s="79"/>
      <c r="Q978" s="79"/>
      <c r="V978" s="106"/>
    </row>
    <row r="979">
      <c r="C979" s="79"/>
      <c r="D979" s="79"/>
      <c r="J979" s="79"/>
      <c r="N979" s="79"/>
      <c r="Q979" s="79"/>
      <c r="V979" s="106"/>
    </row>
    <row r="980">
      <c r="C980" s="79"/>
      <c r="D980" s="79"/>
      <c r="J980" s="79"/>
      <c r="N980" s="79"/>
      <c r="Q980" s="79"/>
      <c r="V980" s="106"/>
    </row>
    <row r="981">
      <c r="C981" s="79"/>
      <c r="D981" s="79"/>
      <c r="J981" s="79"/>
      <c r="N981" s="79"/>
      <c r="Q981" s="79"/>
      <c r="V981" s="106"/>
    </row>
    <row r="982">
      <c r="C982" s="79"/>
      <c r="D982" s="79"/>
      <c r="J982" s="79"/>
      <c r="N982" s="79"/>
      <c r="Q982" s="79"/>
      <c r="V982" s="106"/>
    </row>
    <row r="983">
      <c r="C983" s="79"/>
      <c r="D983" s="79"/>
      <c r="J983" s="79"/>
      <c r="N983" s="79"/>
      <c r="Q983" s="79"/>
      <c r="V983" s="106"/>
    </row>
    <row r="984">
      <c r="C984" s="79"/>
      <c r="D984" s="79"/>
      <c r="J984" s="79"/>
      <c r="N984" s="79"/>
      <c r="Q984" s="79"/>
      <c r="V984" s="106"/>
    </row>
    <row r="985">
      <c r="C985" s="79"/>
      <c r="D985" s="79"/>
      <c r="J985" s="79"/>
      <c r="N985" s="79"/>
      <c r="Q985" s="79"/>
      <c r="V985" s="106"/>
    </row>
    <row r="986">
      <c r="C986" s="79"/>
      <c r="D986" s="79"/>
      <c r="J986" s="79"/>
      <c r="N986" s="79"/>
      <c r="Q986" s="79"/>
      <c r="V986" s="106"/>
    </row>
    <row r="987">
      <c r="C987" s="79"/>
      <c r="D987" s="79"/>
      <c r="J987" s="79"/>
      <c r="N987" s="79"/>
      <c r="Q987" s="79"/>
      <c r="V987" s="106"/>
    </row>
    <row r="988">
      <c r="C988" s="79"/>
      <c r="D988" s="79"/>
      <c r="J988" s="79"/>
      <c r="N988" s="79"/>
      <c r="Q988" s="79"/>
      <c r="V988" s="106"/>
    </row>
    <row r="989">
      <c r="C989" s="79"/>
      <c r="D989" s="79"/>
      <c r="J989" s="79"/>
      <c r="N989" s="79"/>
      <c r="Q989" s="79"/>
      <c r="V989" s="106"/>
    </row>
    <row r="990">
      <c r="C990" s="79"/>
      <c r="D990" s="79"/>
      <c r="J990" s="79"/>
      <c r="N990" s="79"/>
      <c r="Q990" s="79"/>
      <c r="V990" s="106"/>
    </row>
    <row r="991">
      <c r="C991" s="79"/>
      <c r="D991" s="79"/>
      <c r="J991" s="79"/>
      <c r="N991" s="79"/>
      <c r="Q991" s="79"/>
      <c r="V991" s="106"/>
    </row>
    <row r="992">
      <c r="C992" s="79"/>
      <c r="D992" s="79"/>
      <c r="J992" s="79"/>
      <c r="N992" s="79"/>
      <c r="Q992" s="79"/>
      <c r="V992" s="106"/>
    </row>
    <row r="993">
      <c r="C993" s="79"/>
      <c r="D993" s="79"/>
      <c r="J993" s="79"/>
      <c r="N993" s="79"/>
      <c r="Q993" s="79"/>
      <c r="V993" s="106"/>
    </row>
    <row r="994">
      <c r="C994" s="79"/>
      <c r="D994" s="79"/>
      <c r="J994" s="79"/>
      <c r="N994" s="79"/>
      <c r="Q994" s="79"/>
      <c r="V994" s="106"/>
    </row>
    <row r="995">
      <c r="C995" s="79"/>
      <c r="D995" s="79"/>
      <c r="J995" s="79"/>
      <c r="N995" s="79"/>
      <c r="Q995" s="79"/>
      <c r="V995" s="106"/>
    </row>
    <row r="996">
      <c r="C996" s="79"/>
      <c r="D996" s="79"/>
      <c r="J996" s="79"/>
      <c r="N996" s="79"/>
      <c r="Q996" s="79"/>
      <c r="V996" s="106"/>
    </row>
    <row r="997">
      <c r="C997" s="79"/>
      <c r="D997" s="79"/>
      <c r="J997" s="79"/>
      <c r="N997" s="79"/>
      <c r="Q997" s="79"/>
      <c r="V997" s="106"/>
    </row>
    <row r="998">
      <c r="C998" s="79"/>
      <c r="D998" s="79"/>
      <c r="J998" s="79"/>
      <c r="N998" s="79"/>
      <c r="Q998" s="79"/>
      <c r="V998" s="106"/>
    </row>
    <row r="999">
      <c r="C999" s="79"/>
      <c r="D999" s="79"/>
      <c r="J999" s="79"/>
      <c r="N999" s="79"/>
      <c r="Q999" s="79"/>
      <c r="V999" s="106"/>
    </row>
    <row r="1000">
      <c r="C1000" s="79"/>
      <c r="D1000" s="79"/>
      <c r="J1000" s="79"/>
      <c r="N1000" s="79"/>
      <c r="Q1000" s="79"/>
      <c r="V1000" s="106"/>
    </row>
  </sheetData>
  <mergeCells count="1">
    <mergeCell ref="H19:J19"/>
  </mergeCell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3" max="23" width="17.0"/>
  </cols>
  <sheetData>
    <row r="1">
      <c r="B1" s="2" t="s">
        <v>0</v>
      </c>
      <c r="C1" s="105" t="s">
        <v>1</v>
      </c>
      <c r="D1" s="105" t="s">
        <v>7</v>
      </c>
      <c r="E1" s="2" t="s">
        <v>3</v>
      </c>
      <c r="F1" s="2" t="s">
        <v>129</v>
      </c>
      <c r="G1" s="2" t="s">
        <v>5</v>
      </c>
      <c r="H1" s="2" t="s">
        <v>6</v>
      </c>
      <c r="I1" s="2" t="s">
        <v>43</v>
      </c>
      <c r="J1" s="105" t="s">
        <v>40</v>
      </c>
      <c r="K1" s="2" t="s">
        <v>49</v>
      </c>
      <c r="L1" s="2" t="s">
        <v>42</v>
      </c>
      <c r="M1" s="2" t="s">
        <v>121</v>
      </c>
      <c r="N1" s="105" t="s">
        <v>9</v>
      </c>
      <c r="O1" s="2" t="s">
        <v>37</v>
      </c>
      <c r="P1" s="2" t="s">
        <v>10</v>
      </c>
      <c r="Q1" s="105" t="s">
        <v>11</v>
      </c>
      <c r="R1" s="2" t="s">
        <v>12</v>
      </c>
      <c r="S1" s="2" t="s">
        <v>157</v>
      </c>
      <c r="T1" s="3" t="s">
        <v>13</v>
      </c>
      <c r="U1" s="126" t="s">
        <v>14</v>
      </c>
      <c r="V1" s="3" t="s">
        <v>15</v>
      </c>
      <c r="W1" s="106"/>
      <c r="X1" s="127" t="s">
        <v>157</v>
      </c>
    </row>
    <row r="2">
      <c r="A2" s="74">
        <v>45082.0</v>
      </c>
      <c r="B2" s="5">
        <v>2307.68</v>
      </c>
      <c r="C2" s="93">
        <v>1395.86</v>
      </c>
      <c r="D2" s="93"/>
      <c r="E2" s="5"/>
      <c r="F2" s="5">
        <v>232.09</v>
      </c>
      <c r="G2" s="5"/>
      <c r="H2" s="5"/>
      <c r="I2" s="5"/>
      <c r="J2" s="72">
        <v>205.07</v>
      </c>
      <c r="K2" s="5">
        <v>168.0</v>
      </c>
      <c r="L2" s="5"/>
      <c r="M2" s="5"/>
      <c r="N2" s="93"/>
      <c r="O2" s="5"/>
      <c r="P2" s="5"/>
      <c r="Q2" s="44">
        <v>109.97</v>
      </c>
      <c r="R2" s="5"/>
      <c r="S2" s="5">
        <v>44.0</v>
      </c>
      <c r="T2" s="107">
        <f t="shared" ref="T2:T7" si="1">SUM(B2:S2)</f>
        <v>4462.67</v>
      </c>
      <c r="U2" s="108">
        <f>8094.7-2394</f>
        <v>5700.7</v>
      </c>
      <c r="V2" s="59">
        <f t="shared" ref="V2:V8" si="2">T2/U2</f>
        <v>0.7828284246</v>
      </c>
      <c r="W2" s="109">
        <f t="shared" ref="W2:W8" si="3">A2</f>
        <v>45082</v>
      </c>
      <c r="X2" s="128">
        <v>44.0</v>
      </c>
      <c r="Z2" s="56"/>
    </row>
    <row r="3">
      <c r="A3" s="74">
        <v>45083.0</v>
      </c>
      <c r="B3" s="5">
        <v>1038.72</v>
      </c>
      <c r="C3" s="110">
        <v>663.49</v>
      </c>
      <c r="D3" s="44">
        <v>205.0</v>
      </c>
      <c r="E3" s="5"/>
      <c r="F3" s="5"/>
      <c r="G3" s="5"/>
      <c r="H3" s="5">
        <v>42.0</v>
      </c>
      <c r="I3" s="5"/>
      <c r="J3" s="93"/>
      <c r="K3" s="5"/>
      <c r="L3" s="5"/>
      <c r="M3" s="6"/>
      <c r="N3" s="44">
        <v>399.0</v>
      </c>
      <c r="O3" s="93"/>
      <c r="P3" s="5"/>
      <c r="Q3" s="93"/>
      <c r="R3" s="44">
        <v>179.0</v>
      </c>
      <c r="S3" s="6"/>
      <c r="T3" s="107">
        <f t="shared" si="1"/>
        <v>2527.21</v>
      </c>
      <c r="U3" s="97">
        <f>21058.5-8925-5250</f>
        <v>6883.5</v>
      </c>
      <c r="V3" s="59">
        <f t="shared" si="2"/>
        <v>0.3671402629</v>
      </c>
      <c r="W3" s="109">
        <f t="shared" si="3"/>
        <v>45083</v>
      </c>
      <c r="Z3" s="56"/>
    </row>
    <row r="4">
      <c r="A4" s="74">
        <v>45084.0</v>
      </c>
      <c r="B4" s="5">
        <v>2078.61</v>
      </c>
      <c r="C4" s="93">
        <v>945.97</v>
      </c>
      <c r="D4" s="93"/>
      <c r="E4" s="5"/>
      <c r="F4" s="44">
        <v>316.0</v>
      </c>
      <c r="G4" s="5">
        <v>473.08</v>
      </c>
      <c r="H4" s="5"/>
      <c r="I4" s="5"/>
      <c r="J4" s="93"/>
      <c r="K4" s="5"/>
      <c r="L4" s="5"/>
      <c r="M4" s="5">
        <v>18.5</v>
      </c>
      <c r="N4" s="93"/>
      <c r="O4" s="5"/>
      <c r="P4" s="83"/>
      <c r="Q4" s="44">
        <v>109.97</v>
      </c>
      <c r="R4" s="6"/>
      <c r="S4" s="5"/>
      <c r="T4" s="107">
        <f t="shared" si="1"/>
        <v>3942.13</v>
      </c>
      <c r="U4" s="97">
        <f>17841-1144</f>
        <v>16697</v>
      </c>
      <c r="V4" s="59">
        <f t="shared" si="2"/>
        <v>0.2360981015</v>
      </c>
      <c r="W4" s="109">
        <f t="shared" si="3"/>
        <v>45084</v>
      </c>
      <c r="Z4" s="56"/>
    </row>
    <row r="5">
      <c r="A5" s="74">
        <v>45085.0</v>
      </c>
      <c r="B5" s="5">
        <v>1824.66</v>
      </c>
      <c r="C5" s="93"/>
      <c r="D5" s="101"/>
      <c r="E5" s="5">
        <v>280.0</v>
      </c>
      <c r="F5" s="5">
        <v>415.78</v>
      </c>
      <c r="G5" s="5"/>
      <c r="H5" s="5">
        <v>123.0</v>
      </c>
      <c r="I5" s="5"/>
      <c r="J5" s="93"/>
      <c r="K5" s="5"/>
      <c r="L5" s="5"/>
      <c r="M5" s="5">
        <v>18.5</v>
      </c>
      <c r="N5" s="93"/>
      <c r="O5" s="5"/>
      <c r="P5" s="5">
        <v>134.0</v>
      </c>
      <c r="Q5" s="101"/>
      <c r="R5" s="6"/>
      <c r="S5" s="5"/>
      <c r="T5" s="107">
        <f t="shared" si="1"/>
        <v>2795.94</v>
      </c>
      <c r="U5" s="98">
        <f>12556.2-2870</f>
        <v>9686.2</v>
      </c>
      <c r="V5" s="59">
        <f t="shared" si="2"/>
        <v>0.2886518965</v>
      </c>
      <c r="W5" s="109">
        <f t="shared" si="3"/>
        <v>45085</v>
      </c>
      <c r="Z5" s="56"/>
    </row>
    <row r="6">
      <c r="A6" s="74">
        <v>45086.0</v>
      </c>
      <c r="B6" s="5">
        <v>2568.33</v>
      </c>
      <c r="C6" s="93">
        <v>585.0</v>
      </c>
      <c r="D6" s="93"/>
      <c r="E6" s="5"/>
      <c r="F6" s="32">
        <v>109.12</v>
      </c>
      <c r="G6" s="5">
        <v>758.8</v>
      </c>
      <c r="H6" s="5"/>
      <c r="I6" s="5"/>
      <c r="J6" s="111"/>
      <c r="K6" s="5"/>
      <c r="L6" s="5"/>
      <c r="M6" s="5">
        <v>18.5</v>
      </c>
      <c r="N6" s="93"/>
      <c r="O6" s="5"/>
      <c r="P6" s="5"/>
      <c r="Q6" s="44">
        <v>109.97</v>
      </c>
      <c r="R6" s="5"/>
      <c r="S6" s="5"/>
      <c r="T6" s="107">
        <f t="shared" si="1"/>
        <v>4149.72</v>
      </c>
      <c r="U6" s="97">
        <f>15287.6-2916.5</f>
        <v>12371.1</v>
      </c>
      <c r="V6" s="59">
        <f t="shared" si="2"/>
        <v>0.3354366225</v>
      </c>
      <c r="W6" s="109">
        <f t="shared" si="3"/>
        <v>45086</v>
      </c>
      <c r="Z6" s="56"/>
    </row>
    <row r="7">
      <c r="A7" s="74">
        <v>45087.0</v>
      </c>
      <c r="B7" s="5">
        <v>1697.56</v>
      </c>
      <c r="C7" s="93">
        <v>206.4</v>
      </c>
      <c r="D7" s="93"/>
      <c r="E7" s="5"/>
      <c r="F7" s="5"/>
      <c r="G7" s="5"/>
      <c r="H7" s="5"/>
      <c r="I7" s="5"/>
      <c r="J7" s="101"/>
      <c r="K7" s="5"/>
      <c r="L7" s="5"/>
      <c r="M7" s="93"/>
      <c r="N7" s="93"/>
      <c r="O7" s="6"/>
      <c r="P7" s="6"/>
      <c r="Q7" s="101"/>
      <c r="R7" s="5">
        <v>43.32</v>
      </c>
      <c r="S7" s="93"/>
      <c r="T7" s="107">
        <f t="shared" si="1"/>
        <v>1947.28</v>
      </c>
      <c r="U7" s="97">
        <f>23987.1-4382</f>
        <v>19605.1</v>
      </c>
      <c r="V7" s="59">
        <f t="shared" si="2"/>
        <v>0.09932517559</v>
      </c>
      <c r="W7" s="109">
        <f t="shared" si="3"/>
        <v>45087</v>
      </c>
      <c r="Z7" s="56"/>
    </row>
    <row r="8">
      <c r="A8" s="74">
        <v>45088.0</v>
      </c>
      <c r="B8" s="10" t="s">
        <v>21</v>
      </c>
      <c r="C8" s="112" t="s">
        <v>21</v>
      </c>
      <c r="D8" s="112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12" t="s">
        <v>21</v>
      </c>
      <c r="K8" s="10" t="s">
        <v>21</v>
      </c>
      <c r="L8" s="10" t="s">
        <v>21</v>
      </c>
      <c r="M8" s="10"/>
      <c r="N8" s="112" t="s">
        <v>21</v>
      </c>
      <c r="O8" s="10" t="s">
        <v>21</v>
      </c>
      <c r="P8" s="10" t="s">
        <v>21</v>
      </c>
      <c r="Q8" s="112" t="s">
        <v>21</v>
      </c>
      <c r="R8" s="10" t="s">
        <v>21</v>
      </c>
      <c r="S8" s="10" t="s">
        <v>21</v>
      </c>
      <c r="T8" s="7">
        <v>0.0</v>
      </c>
      <c r="U8" s="97">
        <f>11650.6-1335.6</f>
        <v>10315</v>
      </c>
      <c r="V8" s="59">
        <f t="shared" si="2"/>
        <v>0</v>
      </c>
      <c r="W8" s="109">
        <f t="shared" si="3"/>
        <v>45088</v>
      </c>
      <c r="Z8" s="56"/>
    </row>
    <row r="9">
      <c r="B9" s="45">
        <f t="shared" ref="B9:C9" si="4">SUM(B2:B8)</f>
        <v>11515.56</v>
      </c>
      <c r="C9" s="45">
        <f t="shared" si="4"/>
        <v>3796.72</v>
      </c>
      <c r="D9" s="79"/>
      <c r="J9" s="79"/>
      <c r="N9" s="79"/>
      <c r="Q9" s="79"/>
      <c r="U9" s="129"/>
      <c r="W9" s="106"/>
    </row>
    <row r="10">
      <c r="C10" s="79"/>
      <c r="D10" s="79"/>
      <c r="J10" s="79"/>
      <c r="N10" s="79"/>
      <c r="Q10" s="79"/>
      <c r="U10" s="130"/>
      <c r="W10" s="106"/>
    </row>
    <row r="11">
      <c r="A11" s="4" t="s">
        <v>22</v>
      </c>
      <c r="B11" s="11">
        <v>13000.0</v>
      </c>
      <c r="C11" s="79"/>
      <c r="D11" s="79"/>
      <c r="E11" s="78"/>
      <c r="F11" s="79"/>
      <c r="J11" s="79"/>
      <c r="N11" s="79"/>
      <c r="Q11" s="79"/>
      <c r="U11" s="131"/>
      <c r="W11" s="106"/>
    </row>
    <row r="12">
      <c r="A12" s="4" t="s">
        <v>23</v>
      </c>
      <c r="B12" s="12">
        <f>SUM(B2:R8)</f>
        <v>19780.95</v>
      </c>
      <c r="C12" s="79"/>
      <c r="D12" s="79"/>
      <c r="E12" s="56"/>
      <c r="J12" s="79"/>
      <c r="N12" s="79"/>
      <c r="Q12" s="79"/>
      <c r="U12" s="130"/>
      <c r="W12" s="106"/>
    </row>
    <row r="13">
      <c r="A13" s="4" t="s">
        <v>24</v>
      </c>
      <c r="B13" s="12">
        <f> SUM(B11-B12)</f>
        <v>-6780.95</v>
      </c>
      <c r="C13" s="79"/>
      <c r="D13" s="79"/>
      <c r="J13" s="79"/>
      <c r="N13" s="79"/>
      <c r="Q13" s="79"/>
      <c r="U13" s="130"/>
      <c r="W13" s="106"/>
    </row>
    <row r="14">
      <c r="C14" s="79"/>
      <c r="D14" s="79"/>
      <c r="J14" s="79"/>
      <c r="N14" s="79"/>
      <c r="Q14" s="79"/>
      <c r="U14" s="130"/>
      <c r="W14" s="106"/>
    </row>
    <row r="15">
      <c r="A15" s="13" t="s">
        <v>25</v>
      </c>
      <c r="B15" s="14">
        <f>SUM(U2:U8)</f>
        <v>81258.6</v>
      </c>
      <c r="C15" s="79"/>
      <c r="D15" s="79"/>
      <c r="J15" s="79"/>
      <c r="N15" s="79"/>
      <c r="Q15" s="79"/>
      <c r="U15" s="130"/>
      <c r="W15" s="106"/>
    </row>
    <row r="16">
      <c r="A16" s="13" t="s">
        <v>26</v>
      </c>
      <c r="B16" s="15">
        <f>B12/B15</f>
        <v>0.2434320798</v>
      </c>
      <c r="C16" s="79"/>
      <c r="D16" s="79"/>
      <c r="J16" s="79"/>
      <c r="N16" s="79"/>
      <c r="Q16" s="79"/>
      <c r="U16" s="130"/>
      <c r="W16" s="106"/>
    </row>
    <row r="17">
      <c r="C17" s="79"/>
      <c r="D17" s="79"/>
      <c r="J17" s="79"/>
      <c r="N17" s="79"/>
      <c r="Q17" s="79"/>
      <c r="U17" s="130"/>
      <c r="W17" s="106"/>
    </row>
    <row r="18">
      <c r="C18" s="79"/>
      <c r="D18" s="79"/>
      <c r="J18" s="79"/>
      <c r="N18" s="79"/>
      <c r="Q18" s="79"/>
      <c r="U18" s="130"/>
      <c r="W18" s="106"/>
    </row>
    <row r="19">
      <c r="A19" s="16" t="s">
        <v>27</v>
      </c>
      <c r="B19" s="17"/>
      <c r="C19" s="114"/>
      <c r="D19" s="115"/>
      <c r="H19" s="84"/>
      <c r="N19" s="79"/>
      <c r="Q19" s="79"/>
      <c r="U19" s="130"/>
      <c r="W19" s="106"/>
    </row>
    <row r="20">
      <c r="A20" s="19" t="s">
        <v>28</v>
      </c>
      <c r="B20" s="20"/>
      <c r="C20" s="116"/>
      <c r="D20" s="117"/>
      <c r="H20" s="85"/>
      <c r="I20" s="85"/>
      <c r="J20" s="118"/>
      <c r="N20" s="79"/>
      <c r="Q20" s="79"/>
      <c r="U20" s="130"/>
      <c r="W20" s="106"/>
    </row>
    <row r="21">
      <c r="A21" s="22" t="s">
        <v>29</v>
      </c>
      <c r="B21" s="23" t="s">
        <v>30</v>
      </c>
      <c r="C21" s="119" t="s">
        <v>31</v>
      </c>
      <c r="D21" s="120" t="s">
        <v>30</v>
      </c>
      <c r="H21" s="86"/>
      <c r="I21" s="85"/>
      <c r="J21" s="118"/>
      <c r="N21" s="79"/>
      <c r="Q21" s="79"/>
      <c r="U21" s="130"/>
      <c r="W21" s="106"/>
    </row>
    <row r="22">
      <c r="A22" s="28" t="s">
        <v>149</v>
      </c>
      <c r="B22" s="72"/>
      <c r="C22" s="121"/>
      <c r="D22" s="122"/>
      <c r="H22" s="87"/>
      <c r="I22" s="85"/>
      <c r="J22" s="118"/>
      <c r="N22" s="79"/>
      <c r="Q22" s="79"/>
      <c r="U22" s="130"/>
      <c r="W22" s="106"/>
    </row>
    <row r="23">
      <c r="A23" s="28" t="s">
        <v>150</v>
      </c>
      <c r="B23" s="72"/>
      <c r="C23" s="121"/>
      <c r="D23" s="122"/>
      <c r="H23" s="88"/>
      <c r="I23" s="88"/>
      <c r="J23" s="123"/>
      <c r="N23" s="79"/>
      <c r="Q23" s="79"/>
      <c r="U23" s="130"/>
      <c r="W23" s="106"/>
    </row>
    <row r="24">
      <c r="A24" s="71" t="s">
        <v>108</v>
      </c>
      <c r="B24" s="72" t="s">
        <v>158</v>
      </c>
      <c r="C24" s="71"/>
      <c r="D24" s="124">
        <v>1277.61</v>
      </c>
      <c r="H24" s="88"/>
      <c r="I24" s="88"/>
      <c r="J24" s="123"/>
      <c r="N24" s="79"/>
      <c r="Q24" s="79"/>
      <c r="U24" s="130"/>
      <c r="W24" s="106"/>
    </row>
    <row r="25">
      <c r="A25" s="28" t="s">
        <v>159</v>
      </c>
      <c r="B25" s="41">
        <v>560.53</v>
      </c>
      <c r="C25" s="121"/>
      <c r="D25" s="124">
        <v>560.53</v>
      </c>
      <c r="H25" s="88"/>
      <c r="I25" s="88"/>
      <c r="J25" s="123"/>
      <c r="N25" s="79"/>
      <c r="Q25" s="79"/>
      <c r="U25" s="130"/>
      <c r="W25" s="106"/>
    </row>
    <row r="26">
      <c r="A26" s="28" t="s">
        <v>160</v>
      </c>
      <c r="B26" s="41">
        <v>185.13</v>
      </c>
      <c r="C26" s="71"/>
      <c r="D26" s="124">
        <v>185.13</v>
      </c>
      <c r="H26" s="88"/>
      <c r="I26" s="88"/>
      <c r="J26" s="123"/>
      <c r="N26" s="79"/>
      <c r="Q26" s="79"/>
      <c r="U26" s="130"/>
      <c r="W26" s="106"/>
    </row>
    <row r="27">
      <c r="A27" s="25"/>
      <c r="B27" s="26"/>
      <c r="C27" s="121"/>
      <c r="D27" s="122"/>
      <c r="H27" s="88"/>
      <c r="I27" s="88"/>
      <c r="J27" s="123"/>
      <c r="N27" s="79"/>
      <c r="Q27" s="79"/>
      <c r="U27" s="130"/>
      <c r="W27" s="106"/>
    </row>
    <row r="28">
      <c r="A28" s="25"/>
      <c r="B28" s="26"/>
      <c r="C28" s="121"/>
      <c r="D28" s="122"/>
      <c r="J28" s="79"/>
      <c r="N28" s="79"/>
      <c r="Q28" s="79"/>
      <c r="U28" s="132"/>
      <c r="W28" s="106"/>
    </row>
    <row r="29">
      <c r="A29" s="25"/>
      <c r="B29" s="26"/>
      <c r="C29" s="121"/>
      <c r="D29" s="122"/>
      <c r="I29" s="89"/>
      <c r="J29" s="125"/>
      <c r="N29" s="79"/>
      <c r="Q29" s="79"/>
      <c r="U29" s="130"/>
      <c r="W29" s="106"/>
    </row>
    <row r="30">
      <c r="C30" s="79"/>
      <c r="D30" s="79"/>
      <c r="J30" s="79"/>
      <c r="N30" s="79"/>
      <c r="Q30" s="79"/>
      <c r="U30" s="130"/>
      <c r="W30" s="106"/>
    </row>
    <row r="31">
      <c r="C31" s="79"/>
      <c r="D31" s="79"/>
      <c r="J31" s="79"/>
      <c r="N31" s="79"/>
      <c r="Q31" s="79"/>
      <c r="U31" s="130"/>
      <c r="W31" s="106"/>
    </row>
    <row r="32">
      <c r="C32" s="79"/>
      <c r="D32" s="79"/>
      <c r="J32" s="79"/>
      <c r="N32" s="79"/>
      <c r="Q32" s="79"/>
      <c r="U32" s="130"/>
      <c r="W32" s="106"/>
    </row>
    <row r="33">
      <c r="C33" s="79"/>
      <c r="D33" s="79"/>
      <c r="J33" s="79"/>
      <c r="N33" s="79"/>
      <c r="Q33" s="79"/>
      <c r="U33" s="130"/>
      <c r="W33" s="106"/>
    </row>
    <row r="34">
      <c r="C34" s="79"/>
      <c r="D34" s="79"/>
      <c r="J34" s="79"/>
      <c r="N34" s="79"/>
      <c r="Q34" s="79"/>
      <c r="U34" s="130"/>
      <c r="W34" s="106"/>
    </row>
    <row r="35">
      <c r="C35" s="79"/>
      <c r="D35" s="79"/>
      <c r="J35" s="79"/>
      <c r="N35" s="79"/>
      <c r="Q35" s="79"/>
      <c r="U35" s="130"/>
      <c r="W35" s="106"/>
    </row>
    <row r="36">
      <c r="C36" s="79"/>
      <c r="D36" s="79"/>
      <c r="J36" s="79"/>
      <c r="N36" s="79"/>
      <c r="Q36" s="79"/>
      <c r="U36" s="130"/>
      <c r="W36" s="106"/>
    </row>
    <row r="37">
      <c r="C37" s="79"/>
      <c r="D37" s="79"/>
      <c r="J37" s="79"/>
      <c r="N37" s="79"/>
      <c r="Q37" s="79"/>
      <c r="U37" s="130"/>
      <c r="W37" s="106"/>
    </row>
    <row r="38">
      <c r="C38" s="79"/>
      <c r="D38" s="79"/>
      <c r="J38" s="79"/>
      <c r="N38" s="79"/>
      <c r="Q38" s="79"/>
      <c r="U38" s="130"/>
      <c r="W38" s="106"/>
    </row>
    <row r="39">
      <c r="C39" s="79"/>
      <c r="D39" s="79"/>
      <c r="J39" s="79"/>
      <c r="N39" s="79"/>
      <c r="Q39" s="79"/>
      <c r="U39" s="130"/>
      <c r="W39" s="106"/>
    </row>
    <row r="40">
      <c r="C40" s="79"/>
      <c r="D40" s="79"/>
      <c r="J40" s="79"/>
      <c r="N40" s="79"/>
      <c r="Q40" s="79"/>
      <c r="U40" s="130"/>
      <c r="W40" s="106"/>
    </row>
    <row r="41">
      <c r="C41" s="79"/>
      <c r="D41" s="79"/>
      <c r="J41" s="79"/>
      <c r="N41" s="79"/>
      <c r="Q41" s="79"/>
      <c r="U41" s="130"/>
      <c r="W41" s="106"/>
    </row>
    <row r="42">
      <c r="C42" s="79"/>
      <c r="D42" s="79"/>
      <c r="J42" s="79"/>
      <c r="N42" s="79"/>
      <c r="Q42" s="79"/>
      <c r="U42" s="130"/>
      <c r="W42" s="106"/>
    </row>
    <row r="43">
      <c r="C43" s="79"/>
      <c r="D43" s="79"/>
      <c r="J43" s="79"/>
      <c r="N43" s="79"/>
      <c r="Q43" s="79"/>
      <c r="U43" s="130"/>
      <c r="W43" s="106"/>
    </row>
    <row r="44">
      <c r="C44" s="79"/>
      <c r="D44" s="79"/>
      <c r="J44" s="79"/>
      <c r="N44" s="79"/>
      <c r="Q44" s="79"/>
      <c r="U44" s="130"/>
      <c r="W44" s="106"/>
    </row>
    <row r="45">
      <c r="C45" s="79"/>
      <c r="D45" s="79"/>
      <c r="J45" s="79"/>
      <c r="N45" s="79"/>
      <c r="Q45" s="79"/>
      <c r="U45" s="130"/>
      <c r="W45" s="106"/>
    </row>
    <row r="46">
      <c r="C46" s="79"/>
      <c r="D46" s="79"/>
      <c r="J46" s="79"/>
      <c r="N46" s="79"/>
      <c r="Q46" s="79"/>
      <c r="U46" s="130"/>
      <c r="W46" s="106"/>
    </row>
    <row r="47">
      <c r="C47" s="79"/>
      <c r="D47" s="79"/>
      <c r="J47" s="79"/>
      <c r="N47" s="79"/>
      <c r="Q47" s="79"/>
      <c r="U47" s="130"/>
      <c r="W47" s="106"/>
    </row>
    <row r="48">
      <c r="C48" s="79"/>
      <c r="D48" s="79"/>
      <c r="J48" s="79"/>
      <c r="N48" s="79"/>
      <c r="Q48" s="79"/>
      <c r="U48" s="130"/>
      <c r="W48" s="106"/>
    </row>
    <row r="49">
      <c r="C49" s="79"/>
      <c r="D49" s="79"/>
      <c r="J49" s="79"/>
      <c r="N49" s="79"/>
      <c r="Q49" s="79"/>
      <c r="U49" s="130"/>
      <c r="W49" s="106"/>
    </row>
    <row r="50">
      <c r="C50" s="79"/>
      <c r="D50" s="79"/>
      <c r="J50" s="79"/>
      <c r="N50" s="79"/>
      <c r="Q50" s="79"/>
      <c r="U50" s="130"/>
      <c r="W50" s="106"/>
    </row>
    <row r="51">
      <c r="C51" s="79"/>
      <c r="D51" s="79"/>
      <c r="J51" s="79"/>
      <c r="N51" s="79"/>
      <c r="Q51" s="79"/>
      <c r="U51" s="130"/>
      <c r="W51" s="106"/>
    </row>
    <row r="52">
      <c r="C52" s="79"/>
      <c r="D52" s="79"/>
      <c r="J52" s="79"/>
      <c r="N52" s="79"/>
      <c r="Q52" s="79"/>
      <c r="U52" s="130"/>
      <c r="W52" s="106"/>
    </row>
    <row r="53">
      <c r="C53" s="79"/>
      <c r="D53" s="79"/>
      <c r="J53" s="79"/>
      <c r="N53" s="79"/>
      <c r="Q53" s="79"/>
      <c r="U53" s="130"/>
      <c r="W53" s="106"/>
    </row>
    <row r="54">
      <c r="C54" s="79"/>
      <c r="D54" s="79"/>
      <c r="J54" s="79"/>
      <c r="N54" s="79"/>
      <c r="Q54" s="79"/>
      <c r="U54" s="130"/>
      <c r="W54" s="106"/>
    </row>
    <row r="55">
      <c r="C55" s="79"/>
      <c r="D55" s="79"/>
      <c r="J55" s="79"/>
      <c r="N55" s="79"/>
      <c r="Q55" s="79"/>
      <c r="U55" s="130"/>
      <c r="W55" s="106"/>
    </row>
    <row r="56">
      <c r="C56" s="79"/>
      <c r="D56" s="79"/>
      <c r="J56" s="79"/>
      <c r="N56" s="79"/>
      <c r="Q56" s="79"/>
      <c r="U56" s="130"/>
      <c r="W56" s="106"/>
    </row>
    <row r="57">
      <c r="C57" s="79"/>
      <c r="D57" s="79"/>
      <c r="J57" s="79"/>
      <c r="N57" s="79"/>
      <c r="Q57" s="79"/>
      <c r="U57" s="130"/>
      <c r="W57" s="106"/>
    </row>
    <row r="58">
      <c r="C58" s="79"/>
      <c r="D58" s="79"/>
      <c r="J58" s="79"/>
      <c r="N58" s="79"/>
      <c r="Q58" s="79"/>
      <c r="U58" s="130"/>
      <c r="W58" s="106"/>
    </row>
    <row r="59">
      <c r="C59" s="79"/>
      <c r="D59" s="79"/>
      <c r="J59" s="79"/>
      <c r="N59" s="79"/>
      <c r="Q59" s="79"/>
      <c r="U59" s="130"/>
      <c r="W59" s="106"/>
    </row>
    <row r="60">
      <c r="C60" s="79"/>
      <c r="D60" s="79"/>
      <c r="J60" s="79"/>
      <c r="N60" s="79"/>
      <c r="Q60" s="79"/>
      <c r="U60" s="130"/>
      <c r="W60" s="106"/>
    </row>
    <row r="61">
      <c r="C61" s="79"/>
      <c r="D61" s="79"/>
      <c r="J61" s="79"/>
      <c r="N61" s="79"/>
      <c r="Q61" s="79"/>
      <c r="U61" s="130"/>
      <c r="W61" s="106"/>
    </row>
    <row r="62">
      <c r="C62" s="79"/>
      <c r="D62" s="79"/>
      <c r="J62" s="79"/>
      <c r="N62" s="79"/>
      <c r="Q62" s="79"/>
      <c r="U62" s="130"/>
      <c r="W62" s="106"/>
    </row>
    <row r="63">
      <c r="C63" s="79"/>
      <c r="D63" s="79"/>
      <c r="J63" s="79"/>
      <c r="N63" s="79"/>
      <c r="Q63" s="79"/>
      <c r="U63" s="130"/>
      <c r="W63" s="106"/>
    </row>
    <row r="64">
      <c r="C64" s="79"/>
      <c r="D64" s="79"/>
      <c r="J64" s="79"/>
      <c r="N64" s="79"/>
      <c r="Q64" s="79"/>
      <c r="U64" s="130"/>
      <c r="W64" s="106"/>
    </row>
    <row r="65">
      <c r="C65" s="79"/>
      <c r="D65" s="79"/>
      <c r="J65" s="79"/>
      <c r="N65" s="79"/>
      <c r="Q65" s="79"/>
      <c r="U65" s="130"/>
      <c r="W65" s="106"/>
    </row>
    <row r="66">
      <c r="C66" s="79"/>
      <c r="D66" s="79"/>
      <c r="J66" s="79"/>
      <c r="N66" s="79"/>
      <c r="Q66" s="79"/>
      <c r="U66" s="130"/>
      <c r="W66" s="106"/>
    </row>
    <row r="67">
      <c r="C67" s="79"/>
      <c r="D67" s="79"/>
      <c r="J67" s="79"/>
      <c r="N67" s="79"/>
      <c r="Q67" s="79"/>
      <c r="U67" s="130"/>
      <c r="W67" s="106"/>
    </row>
    <row r="68">
      <c r="C68" s="79"/>
      <c r="D68" s="79"/>
      <c r="J68" s="79"/>
      <c r="N68" s="79"/>
      <c r="Q68" s="79"/>
      <c r="U68" s="130"/>
      <c r="W68" s="106"/>
    </row>
    <row r="69">
      <c r="C69" s="79"/>
      <c r="D69" s="79"/>
      <c r="J69" s="79"/>
      <c r="N69" s="79"/>
      <c r="Q69" s="79"/>
      <c r="U69" s="130"/>
      <c r="W69" s="106"/>
    </row>
    <row r="70">
      <c r="C70" s="79"/>
      <c r="D70" s="79"/>
      <c r="J70" s="79"/>
      <c r="N70" s="79"/>
      <c r="Q70" s="79"/>
      <c r="U70" s="130"/>
      <c r="W70" s="106"/>
    </row>
    <row r="71">
      <c r="C71" s="79"/>
      <c r="D71" s="79"/>
      <c r="J71" s="79"/>
      <c r="N71" s="79"/>
      <c r="Q71" s="79"/>
      <c r="U71" s="130"/>
      <c r="W71" s="106"/>
    </row>
    <row r="72">
      <c r="C72" s="79"/>
      <c r="D72" s="79"/>
      <c r="J72" s="79"/>
      <c r="N72" s="79"/>
      <c r="Q72" s="79"/>
      <c r="U72" s="130"/>
      <c r="W72" s="106"/>
    </row>
    <row r="73">
      <c r="C73" s="79"/>
      <c r="D73" s="79"/>
      <c r="J73" s="79"/>
      <c r="N73" s="79"/>
      <c r="Q73" s="79"/>
      <c r="U73" s="130"/>
      <c r="W73" s="106"/>
    </row>
    <row r="74">
      <c r="C74" s="79"/>
      <c r="D74" s="79"/>
      <c r="J74" s="79"/>
      <c r="N74" s="79"/>
      <c r="Q74" s="79"/>
      <c r="U74" s="130"/>
      <c r="W74" s="106"/>
    </row>
    <row r="75">
      <c r="C75" s="79"/>
      <c r="D75" s="79"/>
      <c r="J75" s="79"/>
      <c r="N75" s="79"/>
      <c r="Q75" s="79"/>
      <c r="U75" s="130"/>
      <c r="W75" s="106"/>
    </row>
    <row r="76">
      <c r="C76" s="79"/>
      <c r="D76" s="79"/>
      <c r="J76" s="79"/>
      <c r="N76" s="79"/>
      <c r="Q76" s="79"/>
      <c r="U76" s="130"/>
      <c r="W76" s="106"/>
    </row>
    <row r="77">
      <c r="C77" s="79"/>
      <c r="D77" s="79"/>
      <c r="J77" s="79"/>
      <c r="N77" s="79"/>
      <c r="Q77" s="79"/>
      <c r="U77" s="130"/>
      <c r="W77" s="106"/>
    </row>
    <row r="78">
      <c r="C78" s="79"/>
      <c r="D78" s="79"/>
      <c r="J78" s="79"/>
      <c r="N78" s="79"/>
      <c r="Q78" s="79"/>
      <c r="U78" s="130"/>
      <c r="W78" s="106"/>
    </row>
    <row r="79">
      <c r="C79" s="79"/>
      <c r="D79" s="79"/>
      <c r="J79" s="79"/>
      <c r="N79" s="79"/>
      <c r="Q79" s="79"/>
      <c r="U79" s="130"/>
      <c r="W79" s="106"/>
    </row>
    <row r="80">
      <c r="C80" s="79"/>
      <c r="D80" s="79"/>
      <c r="J80" s="79"/>
      <c r="N80" s="79"/>
      <c r="Q80" s="79"/>
      <c r="U80" s="130"/>
      <c r="W80" s="106"/>
    </row>
    <row r="81">
      <c r="C81" s="79"/>
      <c r="D81" s="79"/>
      <c r="J81" s="79"/>
      <c r="N81" s="79"/>
      <c r="Q81" s="79"/>
      <c r="U81" s="130"/>
      <c r="W81" s="106"/>
    </row>
    <row r="82">
      <c r="C82" s="79"/>
      <c r="D82" s="79"/>
      <c r="J82" s="79"/>
      <c r="N82" s="79"/>
      <c r="Q82" s="79"/>
      <c r="U82" s="130"/>
      <c r="W82" s="106"/>
    </row>
    <row r="83">
      <c r="C83" s="79"/>
      <c r="D83" s="79"/>
      <c r="J83" s="79"/>
      <c r="N83" s="79"/>
      <c r="Q83" s="79"/>
      <c r="U83" s="130"/>
      <c r="W83" s="106"/>
    </row>
    <row r="84">
      <c r="C84" s="79"/>
      <c r="D84" s="79"/>
      <c r="J84" s="79"/>
      <c r="N84" s="79"/>
      <c r="Q84" s="79"/>
      <c r="U84" s="130"/>
      <c r="W84" s="106"/>
    </row>
    <row r="85">
      <c r="C85" s="79"/>
      <c r="D85" s="79"/>
      <c r="J85" s="79"/>
      <c r="N85" s="79"/>
      <c r="Q85" s="79"/>
      <c r="U85" s="130"/>
      <c r="W85" s="106"/>
    </row>
    <row r="86">
      <c r="C86" s="79"/>
      <c r="D86" s="79"/>
      <c r="J86" s="79"/>
      <c r="N86" s="79"/>
      <c r="Q86" s="79"/>
      <c r="U86" s="130"/>
      <c r="W86" s="106"/>
    </row>
    <row r="87">
      <c r="C87" s="79"/>
      <c r="D87" s="79"/>
      <c r="J87" s="79"/>
      <c r="N87" s="79"/>
      <c r="Q87" s="79"/>
      <c r="U87" s="130"/>
      <c r="W87" s="106"/>
    </row>
    <row r="88">
      <c r="C88" s="79"/>
      <c r="D88" s="79"/>
      <c r="J88" s="79"/>
      <c r="N88" s="79"/>
      <c r="Q88" s="79"/>
      <c r="U88" s="130"/>
      <c r="W88" s="106"/>
    </row>
    <row r="89">
      <c r="C89" s="79"/>
      <c r="D89" s="79"/>
      <c r="J89" s="79"/>
      <c r="N89" s="79"/>
      <c r="Q89" s="79"/>
      <c r="U89" s="130"/>
      <c r="W89" s="106"/>
    </row>
    <row r="90">
      <c r="C90" s="79"/>
      <c r="D90" s="79"/>
      <c r="J90" s="79"/>
      <c r="N90" s="79"/>
      <c r="Q90" s="79"/>
      <c r="U90" s="130"/>
      <c r="W90" s="106"/>
    </row>
    <row r="91">
      <c r="C91" s="79"/>
      <c r="D91" s="79"/>
      <c r="J91" s="79"/>
      <c r="N91" s="79"/>
      <c r="Q91" s="79"/>
      <c r="U91" s="130"/>
      <c r="W91" s="106"/>
    </row>
    <row r="92">
      <c r="C92" s="79"/>
      <c r="D92" s="79"/>
      <c r="J92" s="79"/>
      <c r="N92" s="79"/>
      <c r="Q92" s="79"/>
      <c r="U92" s="130"/>
      <c r="W92" s="106"/>
    </row>
    <row r="93">
      <c r="C93" s="79"/>
      <c r="D93" s="79"/>
      <c r="J93" s="79"/>
      <c r="N93" s="79"/>
      <c r="Q93" s="79"/>
      <c r="U93" s="130"/>
      <c r="W93" s="106"/>
    </row>
    <row r="94">
      <c r="C94" s="79"/>
      <c r="D94" s="79"/>
      <c r="J94" s="79"/>
      <c r="N94" s="79"/>
      <c r="Q94" s="79"/>
      <c r="U94" s="130"/>
      <c r="W94" s="106"/>
    </row>
    <row r="95">
      <c r="C95" s="79"/>
      <c r="D95" s="79"/>
      <c r="J95" s="79"/>
      <c r="N95" s="79"/>
      <c r="Q95" s="79"/>
      <c r="U95" s="130"/>
      <c r="W95" s="106"/>
    </row>
    <row r="96">
      <c r="C96" s="79"/>
      <c r="D96" s="79"/>
      <c r="J96" s="79"/>
      <c r="N96" s="79"/>
      <c r="Q96" s="79"/>
      <c r="U96" s="130"/>
      <c r="W96" s="106"/>
    </row>
    <row r="97">
      <c r="C97" s="79"/>
      <c r="D97" s="79"/>
      <c r="J97" s="79"/>
      <c r="N97" s="79"/>
      <c r="Q97" s="79"/>
      <c r="U97" s="130"/>
      <c r="W97" s="106"/>
    </row>
    <row r="98">
      <c r="C98" s="79"/>
      <c r="D98" s="79"/>
      <c r="J98" s="79"/>
      <c r="N98" s="79"/>
      <c r="Q98" s="79"/>
      <c r="U98" s="130"/>
      <c r="W98" s="106"/>
    </row>
    <row r="99">
      <c r="C99" s="79"/>
      <c r="D99" s="79"/>
      <c r="J99" s="79"/>
      <c r="N99" s="79"/>
      <c r="Q99" s="79"/>
      <c r="U99" s="130"/>
      <c r="W99" s="106"/>
    </row>
    <row r="100">
      <c r="C100" s="79"/>
      <c r="D100" s="79"/>
      <c r="J100" s="79"/>
      <c r="N100" s="79"/>
      <c r="Q100" s="79"/>
      <c r="U100" s="130"/>
      <c r="W100" s="106"/>
    </row>
    <row r="101">
      <c r="C101" s="79"/>
      <c r="D101" s="79"/>
      <c r="J101" s="79"/>
      <c r="N101" s="79"/>
      <c r="Q101" s="79"/>
      <c r="U101" s="130"/>
      <c r="W101" s="106"/>
    </row>
    <row r="102">
      <c r="C102" s="79"/>
      <c r="D102" s="79"/>
      <c r="J102" s="79"/>
      <c r="N102" s="79"/>
      <c r="Q102" s="79"/>
      <c r="U102" s="130"/>
      <c r="W102" s="106"/>
    </row>
    <row r="103">
      <c r="C103" s="79"/>
      <c r="D103" s="79"/>
      <c r="J103" s="79"/>
      <c r="N103" s="79"/>
      <c r="Q103" s="79"/>
      <c r="U103" s="130"/>
      <c r="W103" s="106"/>
    </row>
    <row r="104">
      <c r="C104" s="79"/>
      <c r="D104" s="79"/>
      <c r="J104" s="79"/>
      <c r="N104" s="79"/>
      <c r="Q104" s="79"/>
      <c r="U104" s="130"/>
      <c r="W104" s="106"/>
    </row>
    <row r="105">
      <c r="C105" s="79"/>
      <c r="D105" s="79"/>
      <c r="J105" s="79"/>
      <c r="N105" s="79"/>
      <c r="Q105" s="79"/>
      <c r="U105" s="130"/>
      <c r="W105" s="106"/>
    </row>
    <row r="106">
      <c r="C106" s="79"/>
      <c r="D106" s="79"/>
      <c r="J106" s="79"/>
      <c r="N106" s="79"/>
      <c r="Q106" s="79"/>
      <c r="U106" s="130"/>
      <c r="W106" s="106"/>
    </row>
    <row r="107">
      <c r="C107" s="79"/>
      <c r="D107" s="79"/>
      <c r="J107" s="79"/>
      <c r="N107" s="79"/>
      <c r="Q107" s="79"/>
      <c r="U107" s="130"/>
      <c r="W107" s="106"/>
    </row>
    <row r="108">
      <c r="C108" s="79"/>
      <c r="D108" s="79"/>
      <c r="J108" s="79"/>
      <c r="N108" s="79"/>
      <c r="Q108" s="79"/>
      <c r="U108" s="130"/>
      <c r="W108" s="106"/>
    </row>
    <row r="109">
      <c r="C109" s="79"/>
      <c r="D109" s="79"/>
      <c r="J109" s="79"/>
      <c r="N109" s="79"/>
      <c r="Q109" s="79"/>
      <c r="U109" s="130"/>
      <c r="W109" s="106"/>
    </row>
    <row r="110">
      <c r="C110" s="79"/>
      <c r="D110" s="79"/>
      <c r="J110" s="79"/>
      <c r="N110" s="79"/>
      <c r="Q110" s="79"/>
      <c r="U110" s="130"/>
      <c r="W110" s="106"/>
    </row>
    <row r="111">
      <c r="C111" s="79"/>
      <c r="D111" s="79"/>
      <c r="J111" s="79"/>
      <c r="N111" s="79"/>
      <c r="Q111" s="79"/>
      <c r="U111" s="130"/>
      <c r="W111" s="106"/>
    </row>
    <row r="112">
      <c r="C112" s="79"/>
      <c r="D112" s="79"/>
      <c r="J112" s="79"/>
      <c r="N112" s="79"/>
      <c r="Q112" s="79"/>
      <c r="U112" s="130"/>
      <c r="W112" s="106"/>
    </row>
    <row r="113">
      <c r="C113" s="79"/>
      <c r="D113" s="79"/>
      <c r="J113" s="79"/>
      <c r="N113" s="79"/>
      <c r="Q113" s="79"/>
      <c r="U113" s="130"/>
      <c r="W113" s="106"/>
    </row>
    <row r="114">
      <c r="C114" s="79"/>
      <c r="D114" s="79"/>
      <c r="J114" s="79"/>
      <c r="N114" s="79"/>
      <c r="Q114" s="79"/>
      <c r="U114" s="130"/>
      <c r="W114" s="106"/>
    </row>
    <row r="115">
      <c r="C115" s="79"/>
      <c r="D115" s="79"/>
      <c r="J115" s="79"/>
      <c r="N115" s="79"/>
      <c r="Q115" s="79"/>
      <c r="U115" s="130"/>
      <c r="W115" s="106"/>
    </row>
    <row r="116">
      <c r="C116" s="79"/>
      <c r="D116" s="79"/>
      <c r="J116" s="79"/>
      <c r="N116" s="79"/>
      <c r="Q116" s="79"/>
      <c r="U116" s="130"/>
      <c r="W116" s="106"/>
    </row>
    <row r="117">
      <c r="C117" s="79"/>
      <c r="D117" s="79"/>
      <c r="J117" s="79"/>
      <c r="N117" s="79"/>
      <c r="Q117" s="79"/>
      <c r="U117" s="130"/>
      <c r="W117" s="106"/>
    </row>
    <row r="118">
      <c r="C118" s="79"/>
      <c r="D118" s="79"/>
      <c r="J118" s="79"/>
      <c r="N118" s="79"/>
      <c r="Q118" s="79"/>
      <c r="U118" s="130"/>
      <c r="W118" s="106"/>
    </row>
    <row r="119">
      <c r="C119" s="79"/>
      <c r="D119" s="79"/>
      <c r="J119" s="79"/>
      <c r="N119" s="79"/>
      <c r="Q119" s="79"/>
      <c r="U119" s="130"/>
      <c r="W119" s="106"/>
    </row>
    <row r="120">
      <c r="C120" s="79"/>
      <c r="D120" s="79"/>
      <c r="J120" s="79"/>
      <c r="N120" s="79"/>
      <c r="Q120" s="79"/>
      <c r="U120" s="130"/>
      <c r="W120" s="106"/>
    </row>
    <row r="121">
      <c r="C121" s="79"/>
      <c r="D121" s="79"/>
      <c r="J121" s="79"/>
      <c r="N121" s="79"/>
      <c r="Q121" s="79"/>
      <c r="U121" s="130"/>
      <c r="W121" s="106"/>
    </row>
    <row r="122">
      <c r="C122" s="79"/>
      <c r="D122" s="79"/>
      <c r="J122" s="79"/>
      <c r="N122" s="79"/>
      <c r="Q122" s="79"/>
      <c r="U122" s="130"/>
      <c r="W122" s="106"/>
    </row>
    <row r="123">
      <c r="C123" s="79"/>
      <c r="D123" s="79"/>
      <c r="J123" s="79"/>
      <c r="N123" s="79"/>
      <c r="Q123" s="79"/>
      <c r="U123" s="130"/>
      <c r="W123" s="106"/>
    </row>
    <row r="124">
      <c r="C124" s="79"/>
      <c r="D124" s="79"/>
      <c r="J124" s="79"/>
      <c r="N124" s="79"/>
      <c r="Q124" s="79"/>
      <c r="U124" s="130"/>
      <c r="W124" s="106"/>
    </row>
    <row r="125">
      <c r="C125" s="79"/>
      <c r="D125" s="79"/>
      <c r="J125" s="79"/>
      <c r="N125" s="79"/>
      <c r="Q125" s="79"/>
      <c r="U125" s="130"/>
      <c r="W125" s="106"/>
    </row>
    <row r="126">
      <c r="C126" s="79"/>
      <c r="D126" s="79"/>
      <c r="J126" s="79"/>
      <c r="N126" s="79"/>
      <c r="Q126" s="79"/>
      <c r="U126" s="130"/>
      <c r="W126" s="106"/>
    </row>
    <row r="127">
      <c r="C127" s="79"/>
      <c r="D127" s="79"/>
      <c r="J127" s="79"/>
      <c r="N127" s="79"/>
      <c r="Q127" s="79"/>
      <c r="U127" s="130"/>
      <c r="W127" s="106"/>
    </row>
    <row r="128">
      <c r="C128" s="79"/>
      <c r="D128" s="79"/>
      <c r="J128" s="79"/>
      <c r="N128" s="79"/>
      <c r="Q128" s="79"/>
      <c r="U128" s="130"/>
      <c r="W128" s="106"/>
    </row>
    <row r="129">
      <c r="C129" s="79"/>
      <c r="D129" s="79"/>
      <c r="J129" s="79"/>
      <c r="N129" s="79"/>
      <c r="Q129" s="79"/>
      <c r="U129" s="130"/>
      <c r="W129" s="106"/>
    </row>
    <row r="130">
      <c r="C130" s="79"/>
      <c r="D130" s="79"/>
      <c r="J130" s="79"/>
      <c r="N130" s="79"/>
      <c r="Q130" s="79"/>
      <c r="U130" s="130"/>
      <c r="W130" s="106"/>
    </row>
    <row r="131">
      <c r="C131" s="79"/>
      <c r="D131" s="79"/>
      <c r="J131" s="79"/>
      <c r="N131" s="79"/>
      <c r="Q131" s="79"/>
      <c r="U131" s="130"/>
      <c r="W131" s="106"/>
    </row>
    <row r="132">
      <c r="C132" s="79"/>
      <c r="D132" s="79"/>
      <c r="J132" s="79"/>
      <c r="N132" s="79"/>
      <c r="Q132" s="79"/>
      <c r="U132" s="130"/>
      <c r="W132" s="106"/>
    </row>
    <row r="133">
      <c r="C133" s="79"/>
      <c r="D133" s="79"/>
      <c r="J133" s="79"/>
      <c r="N133" s="79"/>
      <c r="Q133" s="79"/>
      <c r="U133" s="130"/>
      <c r="W133" s="106"/>
    </row>
    <row r="134">
      <c r="C134" s="79"/>
      <c r="D134" s="79"/>
      <c r="J134" s="79"/>
      <c r="N134" s="79"/>
      <c r="Q134" s="79"/>
      <c r="U134" s="130"/>
      <c r="W134" s="106"/>
    </row>
    <row r="135">
      <c r="C135" s="79"/>
      <c r="D135" s="79"/>
      <c r="J135" s="79"/>
      <c r="N135" s="79"/>
      <c r="Q135" s="79"/>
      <c r="U135" s="130"/>
      <c r="W135" s="106"/>
    </row>
    <row r="136">
      <c r="C136" s="79"/>
      <c r="D136" s="79"/>
      <c r="J136" s="79"/>
      <c r="N136" s="79"/>
      <c r="Q136" s="79"/>
      <c r="U136" s="130"/>
      <c r="W136" s="106"/>
    </row>
    <row r="137">
      <c r="C137" s="79"/>
      <c r="D137" s="79"/>
      <c r="J137" s="79"/>
      <c r="N137" s="79"/>
      <c r="Q137" s="79"/>
      <c r="U137" s="130"/>
      <c r="W137" s="106"/>
    </row>
    <row r="138">
      <c r="C138" s="79"/>
      <c r="D138" s="79"/>
      <c r="J138" s="79"/>
      <c r="N138" s="79"/>
      <c r="Q138" s="79"/>
      <c r="U138" s="130"/>
      <c r="W138" s="106"/>
    </row>
    <row r="139">
      <c r="C139" s="79"/>
      <c r="D139" s="79"/>
      <c r="J139" s="79"/>
      <c r="N139" s="79"/>
      <c r="Q139" s="79"/>
      <c r="U139" s="130"/>
      <c r="W139" s="106"/>
    </row>
    <row r="140">
      <c r="C140" s="79"/>
      <c r="D140" s="79"/>
      <c r="J140" s="79"/>
      <c r="N140" s="79"/>
      <c r="Q140" s="79"/>
      <c r="U140" s="130"/>
      <c r="W140" s="106"/>
    </row>
    <row r="141">
      <c r="C141" s="79"/>
      <c r="D141" s="79"/>
      <c r="J141" s="79"/>
      <c r="N141" s="79"/>
      <c r="Q141" s="79"/>
      <c r="U141" s="130"/>
      <c r="W141" s="106"/>
    </row>
    <row r="142">
      <c r="C142" s="79"/>
      <c r="D142" s="79"/>
      <c r="J142" s="79"/>
      <c r="N142" s="79"/>
      <c r="Q142" s="79"/>
      <c r="U142" s="130"/>
      <c r="W142" s="106"/>
    </row>
    <row r="143">
      <c r="C143" s="79"/>
      <c r="D143" s="79"/>
      <c r="J143" s="79"/>
      <c r="N143" s="79"/>
      <c r="Q143" s="79"/>
      <c r="U143" s="130"/>
      <c r="W143" s="106"/>
    </row>
    <row r="144">
      <c r="C144" s="79"/>
      <c r="D144" s="79"/>
      <c r="J144" s="79"/>
      <c r="N144" s="79"/>
      <c r="Q144" s="79"/>
      <c r="U144" s="130"/>
      <c r="W144" s="106"/>
    </row>
    <row r="145">
      <c r="C145" s="79"/>
      <c r="D145" s="79"/>
      <c r="J145" s="79"/>
      <c r="N145" s="79"/>
      <c r="Q145" s="79"/>
      <c r="U145" s="130"/>
      <c r="W145" s="106"/>
    </row>
    <row r="146">
      <c r="C146" s="79"/>
      <c r="D146" s="79"/>
      <c r="J146" s="79"/>
      <c r="N146" s="79"/>
      <c r="Q146" s="79"/>
      <c r="U146" s="130"/>
      <c r="W146" s="106"/>
    </row>
    <row r="147">
      <c r="C147" s="79"/>
      <c r="D147" s="79"/>
      <c r="J147" s="79"/>
      <c r="N147" s="79"/>
      <c r="Q147" s="79"/>
      <c r="U147" s="130"/>
      <c r="W147" s="106"/>
    </row>
    <row r="148">
      <c r="C148" s="79"/>
      <c r="D148" s="79"/>
      <c r="J148" s="79"/>
      <c r="N148" s="79"/>
      <c r="Q148" s="79"/>
      <c r="U148" s="130"/>
      <c r="W148" s="106"/>
    </row>
    <row r="149">
      <c r="C149" s="79"/>
      <c r="D149" s="79"/>
      <c r="J149" s="79"/>
      <c r="N149" s="79"/>
      <c r="Q149" s="79"/>
      <c r="U149" s="130"/>
      <c r="W149" s="106"/>
    </row>
    <row r="150">
      <c r="C150" s="79"/>
      <c r="D150" s="79"/>
      <c r="J150" s="79"/>
      <c r="N150" s="79"/>
      <c r="Q150" s="79"/>
      <c r="U150" s="130"/>
      <c r="W150" s="106"/>
    </row>
    <row r="151">
      <c r="C151" s="79"/>
      <c r="D151" s="79"/>
      <c r="J151" s="79"/>
      <c r="N151" s="79"/>
      <c r="Q151" s="79"/>
      <c r="U151" s="130"/>
      <c r="W151" s="106"/>
    </row>
    <row r="152">
      <c r="C152" s="79"/>
      <c r="D152" s="79"/>
      <c r="J152" s="79"/>
      <c r="N152" s="79"/>
      <c r="Q152" s="79"/>
      <c r="U152" s="130"/>
      <c r="W152" s="106"/>
    </row>
    <row r="153">
      <c r="C153" s="79"/>
      <c r="D153" s="79"/>
      <c r="J153" s="79"/>
      <c r="N153" s="79"/>
      <c r="Q153" s="79"/>
      <c r="U153" s="130"/>
      <c r="W153" s="106"/>
    </row>
    <row r="154">
      <c r="C154" s="79"/>
      <c r="D154" s="79"/>
      <c r="J154" s="79"/>
      <c r="N154" s="79"/>
      <c r="Q154" s="79"/>
      <c r="U154" s="130"/>
      <c r="W154" s="106"/>
    </row>
    <row r="155">
      <c r="C155" s="79"/>
      <c r="D155" s="79"/>
      <c r="J155" s="79"/>
      <c r="N155" s="79"/>
      <c r="Q155" s="79"/>
      <c r="U155" s="130"/>
      <c r="W155" s="106"/>
    </row>
    <row r="156">
      <c r="C156" s="79"/>
      <c r="D156" s="79"/>
      <c r="J156" s="79"/>
      <c r="N156" s="79"/>
      <c r="Q156" s="79"/>
      <c r="U156" s="130"/>
      <c r="W156" s="106"/>
    </row>
    <row r="157">
      <c r="C157" s="79"/>
      <c r="D157" s="79"/>
      <c r="J157" s="79"/>
      <c r="N157" s="79"/>
      <c r="Q157" s="79"/>
      <c r="U157" s="130"/>
      <c r="W157" s="106"/>
    </row>
    <row r="158">
      <c r="C158" s="79"/>
      <c r="D158" s="79"/>
      <c r="J158" s="79"/>
      <c r="N158" s="79"/>
      <c r="Q158" s="79"/>
      <c r="U158" s="130"/>
      <c r="W158" s="106"/>
    </row>
    <row r="159">
      <c r="C159" s="79"/>
      <c r="D159" s="79"/>
      <c r="J159" s="79"/>
      <c r="N159" s="79"/>
      <c r="Q159" s="79"/>
      <c r="U159" s="130"/>
      <c r="W159" s="106"/>
    </row>
    <row r="160">
      <c r="C160" s="79"/>
      <c r="D160" s="79"/>
      <c r="J160" s="79"/>
      <c r="N160" s="79"/>
      <c r="Q160" s="79"/>
      <c r="U160" s="130"/>
      <c r="W160" s="106"/>
    </row>
    <row r="161">
      <c r="C161" s="79"/>
      <c r="D161" s="79"/>
      <c r="J161" s="79"/>
      <c r="N161" s="79"/>
      <c r="Q161" s="79"/>
      <c r="U161" s="130"/>
      <c r="W161" s="106"/>
    </row>
    <row r="162">
      <c r="C162" s="79"/>
      <c r="D162" s="79"/>
      <c r="J162" s="79"/>
      <c r="N162" s="79"/>
      <c r="Q162" s="79"/>
      <c r="U162" s="130"/>
      <c r="W162" s="106"/>
    </row>
    <row r="163">
      <c r="C163" s="79"/>
      <c r="D163" s="79"/>
      <c r="J163" s="79"/>
      <c r="N163" s="79"/>
      <c r="Q163" s="79"/>
      <c r="U163" s="130"/>
      <c r="W163" s="106"/>
    </row>
    <row r="164">
      <c r="C164" s="79"/>
      <c r="D164" s="79"/>
      <c r="J164" s="79"/>
      <c r="N164" s="79"/>
      <c r="Q164" s="79"/>
      <c r="U164" s="130"/>
      <c r="W164" s="106"/>
    </row>
    <row r="165">
      <c r="C165" s="79"/>
      <c r="D165" s="79"/>
      <c r="J165" s="79"/>
      <c r="N165" s="79"/>
      <c r="Q165" s="79"/>
      <c r="U165" s="130"/>
      <c r="W165" s="106"/>
    </row>
    <row r="166">
      <c r="C166" s="79"/>
      <c r="D166" s="79"/>
      <c r="J166" s="79"/>
      <c r="N166" s="79"/>
      <c r="Q166" s="79"/>
      <c r="U166" s="130"/>
      <c r="W166" s="106"/>
    </row>
    <row r="167">
      <c r="C167" s="79"/>
      <c r="D167" s="79"/>
      <c r="J167" s="79"/>
      <c r="N167" s="79"/>
      <c r="Q167" s="79"/>
      <c r="U167" s="130"/>
      <c r="W167" s="106"/>
    </row>
    <row r="168">
      <c r="C168" s="79"/>
      <c r="D168" s="79"/>
      <c r="J168" s="79"/>
      <c r="N168" s="79"/>
      <c r="Q168" s="79"/>
      <c r="U168" s="130"/>
      <c r="W168" s="106"/>
    </row>
    <row r="169">
      <c r="C169" s="79"/>
      <c r="D169" s="79"/>
      <c r="J169" s="79"/>
      <c r="N169" s="79"/>
      <c r="Q169" s="79"/>
      <c r="U169" s="130"/>
      <c r="W169" s="106"/>
    </row>
    <row r="170">
      <c r="C170" s="79"/>
      <c r="D170" s="79"/>
      <c r="J170" s="79"/>
      <c r="N170" s="79"/>
      <c r="Q170" s="79"/>
      <c r="U170" s="130"/>
      <c r="W170" s="106"/>
    </row>
    <row r="171">
      <c r="C171" s="79"/>
      <c r="D171" s="79"/>
      <c r="J171" s="79"/>
      <c r="N171" s="79"/>
      <c r="Q171" s="79"/>
      <c r="U171" s="130"/>
      <c r="W171" s="106"/>
    </row>
    <row r="172">
      <c r="C172" s="79"/>
      <c r="D172" s="79"/>
      <c r="J172" s="79"/>
      <c r="N172" s="79"/>
      <c r="Q172" s="79"/>
      <c r="U172" s="130"/>
      <c r="W172" s="106"/>
    </row>
    <row r="173">
      <c r="C173" s="79"/>
      <c r="D173" s="79"/>
      <c r="J173" s="79"/>
      <c r="N173" s="79"/>
      <c r="Q173" s="79"/>
      <c r="U173" s="130"/>
      <c r="W173" s="106"/>
    </row>
    <row r="174">
      <c r="C174" s="79"/>
      <c r="D174" s="79"/>
      <c r="J174" s="79"/>
      <c r="N174" s="79"/>
      <c r="Q174" s="79"/>
      <c r="U174" s="130"/>
      <c r="W174" s="106"/>
    </row>
    <row r="175">
      <c r="C175" s="79"/>
      <c r="D175" s="79"/>
      <c r="J175" s="79"/>
      <c r="N175" s="79"/>
      <c r="Q175" s="79"/>
      <c r="U175" s="130"/>
      <c r="W175" s="106"/>
    </row>
    <row r="176">
      <c r="C176" s="79"/>
      <c r="D176" s="79"/>
      <c r="J176" s="79"/>
      <c r="N176" s="79"/>
      <c r="Q176" s="79"/>
      <c r="U176" s="130"/>
      <c r="W176" s="106"/>
    </row>
    <row r="177">
      <c r="C177" s="79"/>
      <c r="D177" s="79"/>
      <c r="J177" s="79"/>
      <c r="N177" s="79"/>
      <c r="Q177" s="79"/>
      <c r="U177" s="130"/>
      <c r="W177" s="106"/>
    </row>
    <row r="178">
      <c r="C178" s="79"/>
      <c r="D178" s="79"/>
      <c r="J178" s="79"/>
      <c r="N178" s="79"/>
      <c r="Q178" s="79"/>
      <c r="U178" s="130"/>
      <c r="W178" s="106"/>
    </row>
    <row r="179">
      <c r="C179" s="79"/>
      <c r="D179" s="79"/>
      <c r="J179" s="79"/>
      <c r="N179" s="79"/>
      <c r="Q179" s="79"/>
      <c r="U179" s="130"/>
      <c r="W179" s="106"/>
    </row>
    <row r="180">
      <c r="C180" s="79"/>
      <c r="D180" s="79"/>
      <c r="J180" s="79"/>
      <c r="N180" s="79"/>
      <c r="Q180" s="79"/>
      <c r="U180" s="130"/>
      <c r="W180" s="106"/>
    </row>
    <row r="181">
      <c r="C181" s="79"/>
      <c r="D181" s="79"/>
      <c r="J181" s="79"/>
      <c r="N181" s="79"/>
      <c r="Q181" s="79"/>
      <c r="U181" s="130"/>
      <c r="W181" s="106"/>
    </row>
    <row r="182">
      <c r="C182" s="79"/>
      <c r="D182" s="79"/>
      <c r="J182" s="79"/>
      <c r="N182" s="79"/>
      <c r="Q182" s="79"/>
      <c r="U182" s="130"/>
      <c r="W182" s="106"/>
    </row>
    <row r="183">
      <c r="C183" s="79"/>
      <c r="D183" s="79"/>
      <c r="J183" s="79"/>
      <c r="N183" s="79"/>
      <c r="Q183" s="79"/>
      <c r="U183" s="130"/>
      <c r="W183" s="106"/>
    </row>
    <row r="184">
      <c r="C184" s="79"/>
      <c r="D184" s="79"/>
      <c r="J184" s="79"/>
      <c r="N184" s="79"/>
      <c r="Q184" s="79"/>
      <c r="U184" s="130"/>
      <c r="W184" s="106"/>
    </row>
    <row r="185">
      <c r="C185" s="79"/>
      <c r="D185" s="79"/>
      <c r="J185" s="79"/>
      <c r="N185" s="79"/>
      <c r="Q185" s="79"/>
      <c r="U185" s="130"/>
      <c r="W185" s="106"/>
    </row>
    <row r="186">
      <c r="C186" s="79"/>
      <c r="D186" s="79"/>
      <c r="J186" s="79"/>
      <c r="N186" s="79"/>
      <c r="Q186" s="79"/>
      <c r="U186" s="130"/>
      <c r="W186" s="106"/>
    </row>
    <row r="187">
      <c r="C187" s="79"/>
      <c r="D187" s="79"/>
      <c r="J187" s="79"/>
      <c r="N187" s="79"/>
      <c r="Q187" s="79"/>
      <c r="U187" s="130"/>
      <c r="W187" s="106"/>
    </row>
    <row r="188">
      <c r="C188" s="79"/>
      <c r="D188" s="79"/>
      <c r="J188" s="79"/>
      <c r="N188" s="79"/>
      <c r="Q188" s="79"/>
      <c r="U188" s="130"/>
      <c r="W188" s="106"/>
    </row>
    <row r="189">
      <c r="C189" s="79"/>
      <c r="D189" s="79"/>
      <c r="J189" s="79"/>
      <c r="N189" s="79"/>
      <c r="Q189" s="79"/>
      <c r="U189" s="130"/>
      <c r="W189" s="106"/>
    </row>
    <row r="190">
      <c r="C190" s="79"/>
      <c r="D190" s="79"/>
      <c r="J190" s="79"/>
      <c r="N190" s="79"/>
      <c r="Q190" s="79"/>
      <c r="U190" s="130"/>
      <c r="W190" s="106"/>
    </row>
    <row r="191">
      <c r="C191" s="79"/>
      <c r="D191" s="79"/>
      <c r="J191" s="79"/>
      <c r="N191" s="79"/>
      <c r="Q191" s="79"/>
      <c r="U191" s="130"/>
      <c r="W191" s="106"/>
    </row>
    <row r="192">
      <c r="C192" s="79"/>
      <c r="D192" s="79"/>
      <c r="J192" s="79"/>
      <c r="N192" s="79"/>
      <c r="Q192" s="79"/>
      <c r="U192" s="130"/>
      <c r="W192" s="106"/>
    </row>
    <row r="193">
      <c r="C193" s="79"/>
      <c r="D193" s="79"/>
      <c r="J193" s="79"/>
      <c r="N193" s="79"/>
      <c r="Q193" s="79"/>
      <c r="U193" s="130"/>
      <c r="W193" s="106"/>
    </row>
    <row r="194">
      <c r="C194" s="79"/>
      <c r="D194" s="79"/>
      <c r="J194" s="79"/>
      <c r="N194" s="79"/>
      <c r="Q194" s="79"/>
      <c r="U194" s="130"/>
      <c r="W194" s="106"/>
    </row>
    <row r="195">
      <c r="C195" s="79"/>
      <c r="D195" s="79"/>
      <c r="J195" s="79"/>
      <c r="N195" s="79"/>
      <c r="Q195" s="79"/>
      <c r="U195" s="130"/>
      <c r="W195" s="106"/>
    </row>
    <row r="196">
      <c r="C196" s="79"/>
      <c r="D196" s="79"/>
      <c r="J196" s="79"/>
      <c r="N196" s="79"/>
      <c r="Q196" s="79"/>
      <c r="U196" s="130"/>
      <c r="W196" s="106"/>
    </row>
    <row r="197">
      <c r="C197" s="79"/>
      <c r="D197" s="79"/>
      <c r="J197" s="79"/>
      <c r="N197" s="79"/>
      <c r="Q197" s="79"/>
      <c r="U197" s="130"/>
      <c r="W197" s="106"/>
    </row>
    <row r="198">
      <c r="C198" s="79"/>
      <c r="D198" s="79"/>
      <c r="J198" s="79"/>
      <c r="N198" s="79"/>
      <c r="Q198" s="79"/>
      <c r="U198" s="130"/>
      <c r="W198" s="106"/>
    </row>
    <row r="199">
      <c r="C199" s="79"/>
      <c r="D199" s="79"/>
      <c r="J199" s="79"/>
      <c r="N199" s="79"/>
      <c r="Q199" s="79"/>
      <c r="U199" s="130"/>
      <c r="W199" s="106"/>
    </row>
    <row r="200">
      <c r="C200" s="79"/>
      <c r="D200" s="79"/>
      <c r="J200" s="79"/>
      <c r="N200" s="79"/>
      <c r="Q200" s="79"/>
      <c r="U200" s="130"/>
      <c r="W200" s="106"/>
    </row>
    <row r="201">
      <c r="C201" s="79"/>
      <c r="D201" s="79"/>
      <c r="J201" s="79"/>
      <c r="N201" s="79"/>
      <c r="Q201" s="79"/>
      <c r="U201" s="130"/>
      <c r="W201" s="106"/>
    </row>
    <row r="202">
      <c r="C202" s="79"/>
      <c r="D202" s="79"/>
      <c r="J202" s="79"/>
      <c r="N202" s="79"/>
      <c r="Q202" s="79"/>
      <c r="U202" s="130"/>
      <c r="W202" s="106"/>
    </row>
    <row r="203">
      <c r="C203" s="79"/>
      <c r="D203" s="79"/>
      <c r="J203" s="79"/>
      <c r="N203" s="79"/>
      <c r="Q203" s="79"/>
      <c r="U203" s="130"/>
      <c r="W203" s="106"/>
    </row>
    <row r="204">
      <c r="C204" s="79"/>
      <c r="D204" s="79"/>
      <c r="J204" s="79"/>
      <c r="N204" s="79"/>
      <c r="Q204" s="79"/>
      <c r="U204" s="130"/>
      <c r="W204" s="106"/>
    </row>
    <row r="205">
      <c r="C205" s="79"/>
      <c r="D205" s="79"/>
      <c r="J205" s="79"/>
      <c r="N205" s="79"/>
      <c r="Q205" s="79"/>
      <c r="U205" s="130"/>
      <c r="W205" s="106"/>
    </row>
    <row r="206">
      <c r="C206" s="79"/>
      <c r="D206" s="79"/>
      <c r="J206" s="79"/>
      <c r="N206" s="79"/>
      <c r="Q206" s="79"/>
      <c r="U206" s="130"/>
      <c r="W206" s="106"/>
    </row>
    <row r="207">
      <c r="C207" s="79"/>
      <c r="D207" s="79"/>
      <c r="J207" s="79"/>
      <c r="N207" s="79"/>
      <c r="Q207" s="79"/>
      <c r="U207" s="130"/>
      <c r="W207" s="106"/>
    </row>
    <row r="208">
      <c r="C208" s="79"/>
      <c r="D208" s="79"/>
      <c r="J208" s="79"/>
      <c r="N208" s="79"/>
      <c r="Q208" s="79"/>
      <c r="U208" s="130"/>
      <c r="W208" s="106"/>
    </row>
    <row r="209">
      <c r="C209" s="79"/>
      <c r="D209" s="79"/>
      <c r="J209" s="79"/>
      <c r="N209" s="79"/>
      <c r="Q209" s="79"/>
      <c r="U209" s="130"/>
      <c r="W209" s="106"/>
    </row>
    <row r="210">
      <c r="C210" s="79"/>
      <c r="D210" s="79"/>
      <c r="J210" s="79"/>
      <c r="N210" s="79"/>
      <c r="Q210" s="79"/>
      <c r="U210" s="130"/>
      <c r="W210" s="106"/>
    </row>
    <row r="211">
      <c r="C211" s="79"/>
      <c r="D211" s="79"/>
      <c r="J211" s="79"/>
      <c r="N211" s="79"/>
      <c r="Q211" s="79"/>
      <c r="U211" s="130"/>
      <c r="W211" s="106"/>
    </row>
    <row r="212">
      <c r="C212" s="79"/>
      <c r="D212" s="79"/>
      <c r="J212" s="79"/>
      <c r="N212" s="79"/>
      <c r="Q212" s="79"/>
      <c r="U212" s="130"/>
      <c r="W212" s="106"/>
    </row>
    <row r="213">
      <c r="C213" s="79"/>
      <c r="D213" s="79"/>
      <c r="J213" s="79"/>
      <c r="N213" s="79"/>
      <c r="Q213" s="79"/>
      <c r="U213" s="130"/>
      <c r="W213" s="106"/>
    </row>
    <row r="214">
      <c r="C214" s="79"/>
      <c r="D214" s="79"/>
      <c r="J214" s="79"/>
      <c r="N214" s="79"/>
      <c r="Q214" s="79"/>
      <c r="U214" s="130"/>
      <c r="W214" s="106"/>
    </row>
    <row r="215">
      <c r="C215" s="79"/>
      <c r="D215" s="79"/>
      <c r="J215" s="79"/>
      <c r="N215" s="79"/>
      <c r="Q215" s="79"/>
      <c r="U215" s="130"/>
      <c r="W215" s="106"/>
    </row>
    <row r="216">
      <c r="C216" s="79"/>
      <c r="D216" s="79"/>
      <c r="J216" s="79"/>
      <c r="N216" s="79"/>
      <c r="Q216" s="79"/>
      <c r="U216" s="130"/>
      <c r="W216" s="106"/>
    </row>
    <row r="217">
      <c r="C217" s="79"/>
      <c r="D217" s="79"/>
      <c r="J217" s="79"/>
      <c r="N217" s="79"/>
      <c r="Q217" s="79"/>
      <c r="U217" s="130"/>
      <c r="W217" s="106"/>
    </row>
    <row r="218">
      <c r="C218" s="79"/>
      <c r="D218" s="79"/>
      <c r="J218" s="79"/>
      <c r="N218" s="79"/>
      <c r="Q218" s="79"/>
      <c r="U218" s="130"/>
      <c r="W218" s="106"/>
    </row>
    <row r="219">
      <c r="C219" s="79"/>
      <c r="D219" s="79"/>
      <c r="J219" s="79"/>
      <c r="N219" s="79"/>
      <c r="Q219" s="79"/>
      <c r="U219" s="130"/>
      <c r="W219" s="106"/>
    </row>
    <row r="220">
      <c r="C220" s="79"/>
      <c r="D220" s="79"/>
      <c r="J220" s="79"/>
      <c r="N220" s="79"/>
      <c r="Q220" s="79"/>
      <c r="U220" s="130"/>
      <c r="W220" s="106"/>
    </row>
    <row r="221">
      <c r="C221" s="79"/>
      <c r="D221" s="79"/>
      <c r="J221" s="79"/>
      <c r="N221" s="79"/>
      <c r="Q221" s="79"/>
      <c r="U221" s="130"/>
      <c r="W221" s="106"/>
    </row>
    <row r="222">
      <c r="C222" s="79"/>
      <c r="D222" s="79"/>
      <c r="J222" s="79"/>
      <c r="N222" s="79"/>
      <c r="Q222" s="79"/>
      <c r="U222" s="130"/>
      <c r="W222" s="106"/>
    </row>
    <row r="223">
      <c r="C223" s="79"/>
      <c r="D223" s="79"/>
      <c r="J223" s="79"/>
      <c r="N223" s="79"/>
      <c r="Q223" s="79"/>
      <c r="U223" s="130"/>
      <c r="W223" s="106"/>
    </row>
    <row r="224">
      <c r="C224" s="79"/>
      <c r="D224" s="79"/>
      <c r="J224" s="79"/>
      <c r="N224" s="79"/>
      <c r="Q224" s="79"/>
      <c r="U224" s="130"/>
      <c r="W224" s="106"/>
    </row>
    <row r="225">
      <c r="C225" s="79"/>
      <c r="D225" s="79"/>
      <c r="J225" s="79"/>
      <c r="N225" s="79"/>
      <c r="Q225" s="79"/>
      <c r="U225" s="130"/>
      <c r="W225" s="106"/>
    </row>
    <row r="226">
      <c r="C226" s="79"/>
      <c r="D226" s="79"/>
      <c r="J226" s="79"/>
      <c r="N226" s="79"/>
      <c r="Q226" s="79"/>
      <c r="U226" s="130"/>
      <c r="W226" s="106"/>
    </row>
    <row r="227">
      <c r="C227" s="79"/>
      <c r="D227" s="79"/>
      <c r="J227" s="79"/>
      <c r="N227" s="79"/>
      <c r="Q227" s="79"/>
      <c r="U227" s="130"/>
      <c r="W227" s="106"/>
    </row>
    <row r="228">
      <c r="C228" s="79"/>
      <c r="D228" s="79"/>
      <c r="J228" s="79"/>
      <c r="N228" s="79"/>
      <c r="Q228" s="79"/>
      <c r="U228" s="130"/>
      <c r="W228" s="106"/>
    </row>
    <row r="229">
      <c r="C229" s="79"/>
      <c r="D229" s="79"/>
      <c r="J229" s="79"/>
      <c r="N229" s="79"/>
      <c r="Q229" s="79"/>
      <c r="U229" s="130"/>
      <c r="W229" s="106"/>
    </row>
    <row r="230">
      <c r="C230" s="79"/>
      <c r="D230" s="79"/>
      <c r="J230" s="79"/>
      <c r="N230" s="79"/>
      <c r="Q230" s="79"/>
      <c r="U230" s="130"/>
      <c r="W230" s="106"/>
    </row>
    <row r="231">
      <c r="C231" s="79"/>
      <c r="D231" s="79"/>
      <c r="J231" s="79"/>
      <c r="N231" s="79"/>
      <c r="Q231" s="79"/>
      <c r="U231" s="130"/>
      <c r="W231" s="106"/>
    </row>
    <row r="232">
      <c r="C232" s="79"/>
      <c r="D232" s="79"/>
      <c r="J232" s="79"/>
      <c r="N232" s="79"/>
      <c r="Q232" s="79"/>
      <c r="U232" s="130"/>
      <c r="W232" s="106"/>
    </row>
    <row r="233">
      <c r="C233" s="79"/>
      <c r="D233" s="79"/>
      <c r="J233" s="79"/>
      <c r="N233" s="79"/>
      <c r="Q233" s="79"/>
      <c r="U233" s="130"/>
      <c r="W233" s="106"/>
    </row>
    <row r="234">
      <c r="C234" s="79"/>
      <c r="D234" s="79"/>
      <c r="J234" s="79"/>
      <c r="N234" s="79"/>
      <c r="Q234" s="79"/>
      <c r="U234" s="130"/>
      <c r="W234" s="106"/>
    </row>
    <row r="235">
      <c r="C235" s="79"/>
      <c r="D235" s="79"/>
      <c r="J235" s="79"/>
      <c r="N235" s="79"/>
      <c r="Q235" s="79"/>
      <c r="U235" s="130"/>
      <c r="W235" s="106"/>
    </row>
    <row r="236">
      <c r="C236" s="79"/>
      <c r="D236" s="79"/>
      <c r="J236" s="79"/>
      <c r="N236" s="79"/>
      <c r="Q236" s="79"/>
      <c r="U236" s="130"/>
      <c r="W236" s="106"/>
    </row>
    <row r="237">
      <c r="C237" s="79"/>
      <c r="D237" s="79"/>
      <c r="J237" s="79"/>
      <c r="N237" s="79"/>
      <c r="Q237" s="79"/>
      <c r="U237" s="130"/>
      <c r="W237" s="106"/>
    </row>
    <row r="238">
      <c r="C238" s="79"/>
      <c r="D238" s="79"/>
      <c r="J238" s="79"/>
      <c r="N238" s="79"/>
      <c r="Q238" s="79"/>
      <c r="U238" s="130"/>
      <c r="W238" s="106"/>
    </row>
    <row r="239">
      <c r="C239" s="79"/>
      <c r="D239" s="79"/>
      <c r="J239" s="79"/>
      <c r="N239" s="79"/>
      <c r="Q239" s="79"/>
      <c r="U239" s="130"/>
      <c r="W239" s="106"/>
    </row>
    <row r="240">
      <c r="C240" s="79"/>
      <c r="D240" s="79"/>
      <c r="J240" s="79"/>
      <c r="N240" s="79"/>
      <c r="Q240" s="79"/>
      <c r="U240" s="130"/>
      <c r="W240" s="106"/>
    </row>
    <row r="241">
      <c r="C241" s="79"/>
      <c r="D241" s="79"/>
      <c r="J241" s="79"/>
      <c r="N241" s="79"/>
      <c r="Q241" s="79"/>
      <c r="U241" s="130"/>
      <c r="W241" s="106"/>
    </row>
    <row r="242">
      <c r="C242" s="79"/>
      <c r="D242" s="79"/>
      <c r="J242" s="79"/>
      <c r="N242" s="79"/>
      <c r="Q242" s="79"/>
      <c r="U242" s="130"/>
      <c r="W242" s="106"/>
    </row>
    <row r="243">
      <c r="C243" s="79"/>
      <c r="D243" s="79"/>
      <c r="J243" s="79"/>
      <c r="N243" s="79"/>
      <c r="Q243" s="79"/>
      <c r="U243" s="130"/>
      <c r="W243" s="106"/>
    </row>
    <row r="244">
      <c r="C244" s="79"/>
      <c r="D244" s="79"/>
      <c r="J244" s="79"/>
      <c r="N244" s="79"/>
      <c r="Q244" s="79"/>
      <c r="U244" s="130"/>
      <c r="W244" s="106"/>
    </row>
    <row r="245">
      <c r="C245" s="79"/>
      <c r="D245" s="79"/>
      <c r="J245" s="79"/>
      <c r="N245" s="79"/>
      <c r="Q245" s="79"/>
      <c r="U245" s="130"/>
      <c r="W245" s="106"/>
    </row>
    <row r="246">
      <c r="C246" s="79"/>
      <c r="D246" s="79"/>
      <c r="J246" s="79"/>
      <c r="N246" s="79"/>
      <c r="Q246" s="79"/>
      <c r="U246" s="130"/>
      <c r="W246" s="106"/>
    </row>
    <row r="247">
      <c r="C247" s="79"/>
      <c r="D247" s="79"/>
      <c r="J247" s="79"/>
      <c r="N247" s="79"/>
      <c r="Q247" s="79"/>
      <c r="U247" s="130"/>
      <c r="W247" s="106"/>
    </row>
    <row r="248">
      <c r="C248" s="79"/>
      <c r="D248" s="79"/>
      <c r="J248" s="79"/>
      <c r="N248" s="79"/>
      <c r="Q248" s="79"/>
      <c r="U248" s="130"/>
      <c r="W248" s="106"/>
    </row>
    <row r="249">
      <c r="C249" s="79"/>
      <c r="D249" s="79"/>
      <c r="J249" s="79"/>
      <c r="N249" s="79"/>
      <c r="Q249" s="79"/>
      <c r="U249" s="130"/>
      <c r="W249" s="106"/>
    </row>
    <row r="250">
      <c r="C250" s="79"/>
      <c r="D250" s="79"/>
      <c r="J250" s="79"/>
      <c r="N250" s="79"/>
      <c r="Q250" s="79"/>
      <c r="U250" s="130"/>
      <c r="W250" s="106"/>
    </row>
    <row r="251">
      <c r="C251" s="79"/>
      <c r="D251" s="79"/>
      <c r="J251" s="79"/>
      <c r="N251" s="79"/>
      <c r="Q251" s="79"/>
      <c r="U251" s="130"/>
      <c r="W251" s="106"/>
    </row>
    <row r="252">
      <c r="C252" s="79"/>
      <c r="D252" s="79"/>
      <c r="J252" s="79"/>
      <c r="N252" s="79"/>
      <c r="Q252" s="79"/>
      <c r="U252" s="130"/>
      <c r="W252" s="106"/>
    </row>
    <row r="253">
      <c r="C253" s="79"/>
      <c r="D253" s="79"/>
      <c r="J253" s="79"/>
      <c r="N253" s="79"/>
      <c r="Q253" s="79"/>
      <c r="U253" s="130"/>
      <c r="W253" s="106"/>
    </row>
    <row r="254">
      <c r="C254" s="79"/>
      <c r="D254" s="79"/>
      <c r="J254" s="79"/>
      <c r="N254" s="79"/>
      <c r="Q254" s="79"/>
      <c r="U254" s="130"/>
      <c r="W254" s="106"/>
    </row>
    <row r="255">
      <c r="C255" s="79"/>
      <c r="D255" s="79"/>
      <c r="J255" s="79"/>
      <c r="N255" s="79"/>
      <c r="Q255" s="79"/>
      <c r="U255" s="130"/>
      <c r="W255" s="106"/>
    </row>
    <row r="256">
      <c r="C256" s="79"/>
      <c r="D256" s="79"/>
      <c r="J256" s="79"/>
      <c r="N256" s="79"/>
      <c r="Q256" s="79"/>
      <c r="U256" s="130"/>
      <c r="W256" s="106"/>
    </row>
    <row r="257">
      <c r="C257" s="79"/>
      <c r="D257" s="79"/>
      <c r="J257" s="79"/>
      <c r="N257" s="79"/>
      <c r="Q257" s="79"/>
      <c r="U257" s="130"/>
      <c r="W257" s="106"/>
    </row>
    <row r="258">
      <c r="C258" s="79"/>
      <c r="D258" s="79"/>
      <c r="J258" s="79"/>
      <c r="N258" s="79"/>
      <c r="Q258" s="79"/>
      <c r="U258" s="130"/>
      <c r="W258" s="106"/>
    </row>
    <row r="259">
      <c r="C259" s="79"/>
      <c r="D259" s="79"/>
      <c r="J259" s="79"/>
      <c r="N259" s="79"/>
      <c r="Q259" s="79"/>
      <c r="U259" s="130"/>
      <c r="W259" s="106"/>
    </row>
    <row r="260">
      <c r="C260" s="79"/>
      <c r="D260" s="79"/>
      <c r="J260" s="79"/>
      <c r="N260" s="79"/>
      <c r="Q260" s="79"/>
      <c r="U260" s="130"/>
      <c r="W260" s="106"/>
    </row>
    <row r="261">
      <c r="C261" s="79"/>
      <c r="D261" s="79"/>
      <c r="J261" s="79"/>
      <c r="N261" s="79"/>
      <c r="Q261" s="79"/>
      <c r="U261" s="130"/>
      <c r="W261" s="106"/>
    </row>
    <row r="262">
      <c r="C262" s="79"/>
      <c r="D262" s="79"/>
      <c r="J262" s="79"/>
      <c r="N262" s="79"/>
      <c r="Q262" s="79"/>
      <c r="U262" s="130"/>
      <c r="W262" s="106"/>
    </row>
    <row r="263">
      <c r="C263" s="79"/>
      <c r="D263" s="79"/>
      <c r="J263" s="79"/>
      <c r="N263" s="79"/>
      <c r="Q263" s="79"/>
      <c r="U263" s="130"/>
      <c r="W263" s="106"/>
    </row>
    <row r="264">
      <c r="C264" s="79"/>
      <c r="D264" s="79"/>
      <c r="J264" s="79"/>
      <c r="N264" s="79"/>
      <c r="Q264" s="79"/>
      <c r="U264" s="130"/>
      <c r="W264" s="106"/>
    </row>
    <row r="265">
      <c r="C265" s="79"/>
      <c r="D265" s="79"/>
      <c r="J265" s="79"/>
      <c r="N265" s="79"/>
      <c r="Q265" s="79"/>
      <c r="U265" s="130"/>
      <c r="W265" s="106"/>
    </row>
    <row r="266">
      <c r="C266" s="79"/>
      <c r="D266" s="79"/>
      <c r="J266" s="79"/>
      <c r="N266" s="79"/>
      <c r="Q266" s="79"/>
      <c r="U266" s="130"/>
      <c r="W266" s="106"/>
    </row>
    <row r="267">
      <c r="C267" s="79"/>
      <c r="D267" s="79"/>
      <c r="J267" s="79"/>
      <c r="N267" s="79"/>
      <c r="Q267" s="79"/>
      <c r="U267" s="130"/>
      <c r="W267" s="106"/>
    </row>
    <row r="268">
      <c r="C268" s="79"/>
      <c r="D268" s="79"/>
      <c r="J268" s="79"/>
      <c r="N268" s="79"/>
      <c r="Q268" s="79"/>
      <c r="U268" s="130"/>
      <c r="W268" s="106"/>
    </row>
    <row r="269">
      <c r="C269" s="79"/>
      <c r="D269" s="79"/>
      <c r="J269" s="79"/>
      <c r="N269" s="79"/>
      <c r="Q269" s="79"/>
      <c r="U269" s="130"/>
      <c r="W269" s="106"/>
    </row>
    <row r="270">
      <c r="C270" s="79"/>
      <c r="D270" s="79"/>
      <c r="J270" s="79"/>
      <c r="N270" s="79"/>
      <c r="Q270" s="79"/>
      <c r="U270" s="130"/>
      <c r="W270" s="106"/>
    </row>
    <row r="271">
      <c r="C271" s="79"/>
      <c r="D271" s="79"/>
      <c r="J271" s="79"/>
      <c r="N271" s="79"/>
      <c r="Q271" s="79"/>
      <c r="U271" s="130"/>
      <c r="W271" s="106"/>
    </row>
    <row r="272">
      <c r="C272" s="79"/>
      <c r="D272" s="79"/>
      <c r="J272" s="79"/>
      <c r="N272" s="79"/>
      <c r="Q272" s="79"/>
      <c r="U272" s="130"/>
      <c r="W272" s="106"/>
    </row>
    <row r="273">
      <c r="C273" s="79"/>
      <c r="D273" s="79"/>
      <c r="J273" s="79"/>
      <c r="N273" s="79"/>
      <c r="Q273" s="79"/>
      <c r="U273" s="130"/>
      <c r="W273" s="106"/>
    </row>
    <row r="274">
      <c r="C274" s="79"/>
      <c r="D274" s="79"/>
      <c r="J274" s="79"/>
      <c r="N274" s="79"/>
      <c r="Q274" s="79"/>
      <c r="U274" s="130"/>
      <c r="W274" s="106"/>
    </row>
    <row r="275">
      <c r="C275" s="79"/>
      <c r="D275" s="79"/>
      <c r="J275" s="79"/>
      <c r="N275" s="79"/>
      <c r="Q275" s="79"/>
      <c r="U275" s="130"/>
      <c r="W275" s="106"/>
    </row>
    <row r="276">
      <c r="C276" s="79"/>
      <c r="D276" s="79"/>
      <c r="J276" s="79"/>
      <c r="N276" s="79"/>
      <c r="Q276" s="79"/>
      <c r="U276" s="130"/>
      <c r="W276" s="106"/>
    </row>
    <row r="277">
      <c r="C277" s="79"/>
      <c r="D277" s="79"/>
      <c r="J277" s="79"/>
      <c r="N277" s="79"/>
      <c r="Q277" s="79"/>
      <c r="U277" s="130"/>
      <c r="W277" s="106"/>
    </row>
    <row r="278">
      <c r="C278" s="79"/>
      <c r="D278" s="79"/>
      <c r="J278" s="79"/>
      <c r="N278" s="79"/>
      <c r="Q278" s="79"/>
      <c r="U278" s="130"/>
      <c r="W278" s="106"/>
    </row>
    <row r="279">
      <c r="C279" s="79"/>
      <c r="D279" s="79"/>
      <c r="J279" s="79"/>
      <c r="N279" s="79"/>
      <c r="Q279" s="79"/>
      <c r="U279" s="130"/>
      <c r="W279" s="106"/>
    </row>
    <row r="280">
      <c r="C280" s="79"/>
      <c r="D280" s="79"/>
      <c r="J280" s="79"/>
      <c r="N280" s="79"/>
      <c r="Q280" s="79"/>
      <c r="U280" s="130"/>
      <c r="W280" s="106"/>
    </row>
    <row r="281">
      <c r="C281" s="79"/>
      <c r="D281" s="79"/>
      <c r="J281" s="79"/>
      <c r="N281" s="79"/>
      <c r="Q281" s="79"/>
      <c r="U281" s="130"/>
      <c r="W281" s="106"/>
    </row>
    <row r="282">
      <c r="C282" s="79"/>
      <c r="D282" s="79"/>
      <c r="J282" s="79"/>
      <c r="N282" s="79"/>
      <c r="Q282" s="79"/>
      <c r="U282" s="130"/>
      <c r="W282" s="106"/>
    </row>
    <row r="283">
      <c r="C283" s="79"/>
      <c r="D283" s="79"/>
      <c r="J283" s="79"/>
      <c r="N283" s="79"/>
      <c r="Q283" s="79"/>
      <c r="U283" s="130"/>
      <c r="W283" s="106"/>
    </row>
    <row r="284">
      <c r="C284" s="79"/>
      <c r="D284" s="79"/>
      <c r="J284" s="79"/>
      <c r="N284" s="79"/>
      <c r="Q284" s="79"/>
      <c r="U284" s="130"/>
      <c r="W284" s="106"/>
    </row>
    <row r="285">
      <c r="C285" s="79"/>
      <c r="D285" s="79"/>
      <c r="J285" s="79"/>
      <c r="N285" s="79"/>
      <c r="Q285" s="79"/>
      <c r="U285" s="130"/>
      <c r="W285" s="106"/>
    </row>
    <row r="286">
      <c r="C286" s="79"/>
      <c r="D286" s="79"/>
      <c r="J286" s="79"/>
      <c r="N286" s="79"/>
      <c r="Q286" s="79"/>
      <c r="U286" s="130"/>
      <c r="W286" s="106"/>
    </row>
    <row r="287">
      <c r="C287" s="79"/>
      <c r="D287" s="79"/>
      <c r="J287" s="79"/>
      <c r="N287" s="79"/>
      <c r="Q287" s="79"/>
      <c r="U287" s="130"/>
      <c r="W287" s="106"/>
    </row>
    <row r="288">
      <c r="C288" s="79"/>
      <c r="D288" s="79"/>
      <c r="J288" s="79"/>
      <c r="N288" s="79"/>
      <c r="Q288" s="79"/>
      <c r="U288" s="130"/>
      <c r="W288" s="106"/>
    </row>
    <row r="289">
      <c r="C289" s="79"/>
      <c r="D289" s="79"/>
      <c r="J289" s="79"/>
      <c r="N289" s="79"/>
      <c r="Q289" s="79"/>
      <c r="U289" s="130"/>
      <c r="W289" s="106"/>
    </row>
    <row r="290">
      <c r="C290" s="79"/>
      <c r="D290" s="79"/>
      <c r="J290" s="79"/>
      <c r="N290" s="79"/>
      <c r="Q290" s="79"/>
      <c r="U290" s="130"/>
      <c r="W290" s="106"/>
    </row>
    <row r="291">
      <c r="C291" s="79"/>
      <c r="D291" s="79"/>
      <c r="J291" s="79"/>
      <c r="N291" s="79"/>
      <c r="Q291" s="79"/>
      <c r="U291" s="130"/>
      <c r="W291" s="106"/>
    </row>
    <row r="292">
      <c r="C292" s="79"/>
      <c r="D292" s="79"/>
      <c r="J292" s="79"/>
      <c r="N292" s="79"/>
      <c r="Q292" s="79"/>
      <c r="U292" s="130"/>
      <c r="W292" s="106"/>
    </row>
    <row r="293">
      <c r="C293" s="79"/>
      <c r="D293" s="79"/>
      <c r="J293" s="79"/>
      <c r="N293" s="79"/>
      <c r="Q293" s="79"/>
      <c r="U293" s="130"/>
      <c r="W293" s="106"/>
    </row>
    <row r="294">
      <c r="C294" s="79"/>
      <c r="D294" s="79"/>
      <c r="J294" s="79"/>
      <c r="N294" s="79"/>
      <c r="Q294" s="79"/>
      <c r="U294" s="130"/>
      <c r="W294" s="106"/>
    </row>
    <row r="295">
      <c r="C295" s="79"/>
      <c r="D295" s="79"/>
      <c r="J295" s="79"/>
      <c r="N295" s="79"/>
      <c r="Q295" s="79"/>
      <c r="U295" s="130"/>
      <c r="W295" s="106"/>
    </row>
    <row r="296">
      <c r="C296" s="79"/>
      <c r="D296" s="79"/>
      <c r="J296" s="79"/>
      <c r="N296" s="79"/>
      <c r="Q296" s="79"/>
      <c r="U296" s="130"/>
      <c r="W296" s="106"/>
    </row>
    <row r="297">
      <c r="C297" s="79"/>
      <c r="D297" s="79"/>
      <c r="J297" s="79"/>
      <c r="N297" s="79"/>
      <c r="Q297" s="79"/>
      <c r="U297" s="130"/>
      <c r="W297" s="106"/>
    </row>
    <row r="298">
      <c r="C298" s="79"/>
      <c r="D298" s="79"/>
      <c r="J298" s="79"/>
      <c r="N298" s="79"/>
      <c r="Q298" s="79"/>
      <c r="U298" s="130"/>
      <c r="W298" s="106"/>
    </row>
    <row r="299">
      <c r="C299" s="79"/>
      <c r="D299" s="79"/>
      <c r="J299" s="79"/>
      <c r="N299" s="79"/>
      <c r="Q299" s="79"/>
      <c r="U299" s="130"/>
      <c r="W299" s="106"/>
    </row>
    <row r="300">
      <c r="C300" s="79"/>
      <c r="D300" s="79"/>
      <c r="J300" s="79"/>
      <c r="N300" s="79"/>
      <c r="Q300" s="79"/>
      <c r="U300" s="130"/>
      <c r="W300" s="106"/>
    </row>
    <row r="301">
      <c r="C301" s="79"/>
      <c r="D301" s="79"/>
      <c r="J301" s="79"/>
      <c r="N301" s="79"/>
      <c r="Q301" s="79"/>
      <c r="U301" s="130"/>
      <c r="W301" s="106"/>
    </row>
    <row r="302">
      <c r="C302" s="79"/>
      <c r="D302" s="79"/>
      <c r="J302" s="79"/>
      <c r="N302" s="79"/>
      <c r="Q302" s="79"/>
      <c r="U302" s="130"/>
      <c r="W302" s="106"/>
    </row>
    <row r="303">
      <c r="C303" s="79"/>
      <c r="D303" s="79"/>
      <c r="J303" s="79"/>
      <c r="N303" s="79"/>
      <c r="Q303" s="79"/>
      <c r="U303" s="130"/>
      <c r="W303" s="106"/>
    </row>
    <row r="304">
      <c r="C304" s="79"/>
      <c r="D304" s="79"/>
      <c r="J304" s="79"/>
      <c r="N304" s="79"/>
      <c r="Q304" s="79"/>
      <c r="U304" s="130"/>
      <c r="W304" s="106"/>
    </row>
    <row r="305">
      <c r="C305" s="79"/>
      <c r="D305" s="79"/>
      <c r="J305" s="79"/>
      <c r="N305" s="79"/>
      <c r="Q305" s="79"/>
      <c r="U305" s="130"/>
      <c r="W305" s="106"/>
    </row>
    <row r="306">
      <c r="C306" s="79"/>
      <c r="D306" s="79"/>
      <c r="J306" s="79"/>
      <c r="N306" s="79"/>
      <c r="Q306" s="79"/>
      <c r="U306" s="130"/>
      <c r="W306" s="106"/>
    </row>
    <row r="307">
      <c r="C307" s="79"/>
      <c r="D307" s="79"/>
      <c r="J307" s="79"/>
      <c r="N307" s="79"/>
      <c r="Q307" s="79"/>
      <c r="U307" s="130"/>
      <c r="W307" s="106"/>
    </row>
    <row r="308">
      <c r="C308" s="79"/>
      <c r="D308" s="79"/>
      <c r="J308" s="79"/>
      <c r="N308" s="79"/>
      <c r="Q308" s="79"/>
      <c r="U308" s="130"/>
      <c r="W308" s="106"/>
    </row>
    <row r="309">
      <c r="C309" s="79"/>
      <c r="D309" s="79"/>
      <c r="J309" s="79"/>
      <c r="N309" s="79"/>
      <c r="Q309" s="79"/>
      <c r="U309" s="130"/>
      <c r="W309" s="106"/>
    </row>
    <row r="310">
      <c r="C310" s="79"/>
      <c r="D310" s="79"/>
      <c r="J310" s="79"/>
      <c r="N310" s="79"/>
      <c r="Q310" s="79"/>
      <c r="U310" s="130"/>
      <c r="W310" s="106"/>
    </row>
    <row r="311">
      <c r="C311" s="79"/>
      <c r="D311" s="79"/>
      <c r="J311" s="79"/>
      <c r="N311" s="79"/>
      <c r="Q311" s="79"/>
      <c r="U311" s="130"/>
      <c r="W311" s="106"/>
    </row>
    <row r="312">
      <c r="C312" s="79"/>
      <c r="D312" s="79"/>
      <c r="J312" s="79"/>
      <c r="N312" s="79"/>
      <c r="Q312" s="79"/>
      <c r="U312" s="130"/>
      <c r="W312" s="106"/>
    </row>
    <row r="313">
      <c r="C313" s="79"/>
      <c r="D313" s="79"/>
      <c r="J313" s="79"/>
      <c r="N313" s="79"/>
      <c r="Q313" s="79"/>
      <c r="U313" s="130"/>
      <c r="W313" s="106"/>
    </row>
    <row r="314">
      <c r="C314" s="79"/>
      <c r="D314" s="79"/>
      <c r="J314" s="79"/>
      <c r="N314" s="79"/>
      <c r="Q314" s="79"/>
      <c r="U314" s="130"/>
      <c r="W314" s="106"/>
    </row>
    <row r="315">
      <c r="C315" s="79"/>
      <c r="D315" s="79"/>
      <c r="J315" s="79"/>
      <c r="N315" s="79"/>
      <c r="Q315" s="79"/>
      <c r="U315" s="130"/>
      <c r="W315" s="106"/>
    </row>
    <row r="316">
      <c r="C316" s="79"/>
      <c r="D316" s="79"/>
      <c r="J316" s="79"/>
      <c r="N316" s="79"/>
      <c r="Q316" s="79"/>
      <c r="U316" s="130"/>
      <c r="W316" s="106"/>
    </row>
    <row r="317">
      <c r="C317" s="79"/>
      <c r="D317" s="79"/>
      <c r="J317" s="79"/>
      <c r="N317" s="79"/>
      <c r="Q317" s="79"/>
      <c r="U317" s="130"/>
      <c r="W317" s="106"/>
    </row>
    <row r="318">
      <c r="C318" s="79"/>
      <c r="D318" s="79"/>
      <c r="J318" s="79"/>
      <c r="N318" s="79"/>
      <c r="Q318" s="79"/>
      <c r="U318" s="130"/>
      <c r="W318" s="106"/>
    </row>
    <row r="319">
      <c r="C319" s="79"/>
      <c r="D319" s="79"/>
      <c r="J319" s="79"/>
      <c r="N319" s="79"/>
      <c r="Q319" s="79"/>
      <c r="U319" s="130"/>
      <c r="W319" s="106"/>
    </row>
    <row r="320">
      <c r="C320" s="79"/>
      <c r="D320" s="79"/>
      <c r="J320" s="79"/>
      <c r="N320" s="79"/>
      <c r="Q320" s="79"/>
      <c r="U320" s="130"/>
      <c r="W320" s="106"/>
    </row>
    <row r="321">
      <c r="C321" s="79"/>
      <c r="D321" s="79"/>
      <c r="J321" s="79"/>
      <c r="N321" s="79"/>
      <c r="Q321" s="79"/>
      <c r="U321" s="130"/>
      <c r="W321" s="106"/>
    </row>
    <row r="322">
      <c r="C322" s="79"/>
      <c r="D322" s="79"/>
      <c r="J322" s="79"/>
      <c r="N322" s="79"/>
      <c r="Q322" s="79"/>
      <c r="U322" s="130"/>
      <c r="W322" s="106"/>
    </row>
    <row r="323">
      <c r="C323" s="79"/>
      <c r="D323" s="79"/>
      <c r="J323" s="79"/>
      <c r="N323" s="79"/>
      <c r="Q323" s="79"/>
      <c r="U323" s="130"/>
      <c r="W323" s="106"/>
    </row>
    <row r="324">
      <c r="C324" s="79"/>
      <c r="D324" s="79"/>
      <c r="J324" s="79"/>
      <c r="N324" s="79"/>
      <c r="Q324" s="79"/>
      <c r="U324" s="130"/>
      <c r="W324" s="106"/>
    </row>
    <row r="325">
      <c r="C325" s="79"/>
      <c r="D325" s="79"/>
      <c r="J325" s="79"/>
      <c r="N325" s="79"/>
      <c r="Q325" s="79"/>
      <c r="U325" s="130"/>
      <c r="W325" s="106"/>
    </row>
    <row r="326">
      <c r="C326" s="79"/>
      <c r="D326" s="79"/>
      <c r="J326" s="79"/>
      <c r="N326" s="79"/>
      <c r="Q326" s="79"/>
      <c r="U326" s="130"/>
      <c r="W326" s="106"/>
    </row>
    <row r="327">
      <c r="C327" s="79"/>
      <c r="D327" s="79"/>
      <c r="J327" s="79"/>
      <c r="N327" s="79"/>
      <c r="Q327" s="79"/>
      <c r="U327" s="130"/>
      <c r="W327" s="106"/>
    </row>
    <row r="328">
      <c r="C328" s="79"/>
      <c r="D328" s="79"/>
      <c r="J328" s="79"/>
      <c r="N328" s="79"/>
      <c r="Q328" s="79"/>
      <c r="U328" s="130"/>
      <c r="W328" s="106"/>
    </row>
    <row r="329">
      <c r="C329" s="79"/>
      <c r="D329" s="79"/>
      <c r="J329" s="79"/>
      <c r="N329" s="79"/>
      <c r="Q329" s="79"/>
      <c r="U329" s="130"/>
      <c r="W329" s="106"/>
    </row>
    <row r="330">
      <c r="C330" s="79"/>
      <c r="D330" s="79"/>
      <c r="J330" s="79"/>
      <c r="N330" s="79"/>
      <c r="Q330" s="79"/>
      <c r="U330" s="130"/>
      <c r="W330" s="106"/>
    </row>
    <row r="331">
      <c r="C331" s="79"/>
      <c r="D331" s="79"/>
      <c r="J331" s="79"/>
      <c r="N331" s="79"/>
      <c r="Q331" s="79"/>
      <c r="U331" s="130"/>
      <c r="W331" s="106"/>
    </row>
    <row r="332">
      <c r="C332" s="79"/>
      <c r="D332" s="79"/>
      <c r="J332" s="79"/>
      <c r="N332" s="79"/>
      <c r="Q332" s="79"/>
      <c r="U332" s="130"/>
      <c r="W332" s="106"/>
    </row>
    <row r="333">
      <c r="C333" s="79"/>
      <c r="D333" s="79"/>
      <c r="J333" s="79"/>
      <c r="N333" s="79"/>
      <c r="Q333" s="79"/>
      <c r="U333" s="130"/>
      <c r="W333" s="106"/>
    </row>
    <row r="334">
      <c r="C334" s="79"/>
      <c r="D334" s="79"/>
      <c r="J334" s="79"/>
      <c r="N334" s="79"/>
      <c r="Q334" s="79"/>
      <c r="U334" s="130"/>
      <c r="W334" s="106"/>
    </row>
    <row r="335">
      <c r="C335" s="79"/>
      <c r="D335" s="79"/>
      <c r="J335" s="79"/>
      <c r="N335" s="79"/>
      <c r="Q335" s="79"/>
      <c r="U335" s="130"/>
      <c r="W335" s="106"/>
    </row>
    <row r="336">
      <c r="C336" s="79"/>
      <c r="D336" s="79"/>
      <c r="J336" s="79"/>
      <c r="N336" s="79"/>
      <c r="Q336" s="79"/>
      <c r="U336" s="130"/>
      <c r="W336" s="106"/>
    </row>
    <row r="337">
      <c r="C337" s="79"/>
      <c r="D337" s="79"/>
      <c r="J337" s="79"/>
      <c r="N337" s="79"/>
      <c r="Q337" s="79"/>
      <c r="U337" s="130"/>
      <c r="W337" s="106"/>
    </row>
    <row r="338">
      <c r="C338" s="79"/>
      <c r="D338" s="79"/>
      <c r="J338" s="79"/>
      <c r="N338" s="79"/>
      <c r="Q338" s="79"/>
      <c r="U338" s="130"/>
      <c r="W338" s="106"/>
    </row>
    <row r="339">
      <c r="C339" s="79"/>
      <c r="D339" s="79"/>
      <c r="J339" s="79"/>
      <c r="N339" s="79"/>
      <c r="Q339" s="79"/>
      <c r="U339" s="130"/>
      <c r="W339" s="106"/>
    </row>
    <row r="340">
      <c r="C340" s="79"/>
      <c r="D340" s="79"/>
      <c r="J340" s="79"/>
      <c r="N340" s="79"/>
      <c r="Q340" s="79"/>
      <c r="U340" s="130"/>
      <c r="W340" s="106"/>
    </row>
    <row r="341">
      <c r="C341" s="79"/>
      <c r="D341" s="79"/>
      <c r="J341" s="79"/>
      <c r="N341" s="79"/>
      <c r="Q341" s="79"/>
      <c r="U341" s="130"/>
      <c r="W341" s="106"/>
    </row>
    <row r="342">
      <c r="C342" s="79"/>
      <c r="D342" s="79"/>
      <c r="J342" s="79"/>
      <c r="N342" s="79"/>
      <c r="Q342" s="79"/>
      <c r="U342" s="130"/>
      <c r="W342" s="106"/>
    </row>
    <row r="343">
      <c r="C343" s="79"/>
      <c r="D343" s="79"/>
      <c r="J343" s="79"/>
      <c r="N343" s="79"/>
      <c r="Q343" s="79"/>
      <c r="U343" s="130"/>
      <c r="W343" s="106"/>
    </row>
    <row r="344">
      <c r="C344" s="79"/>
      <c r="D344" s="79"/>
      <c r="J344" s="79"/>
      <c r="N344" s="79"/>
      <c r="Q344" s="79"/>
      <c r="U344" s="130"/>
      <c r="W344" s="106"/>
    </row>
    <row r="345">
      <c r="C345" s="79"/>
      <c r="D345" s="79"/>
      <c r="J345" s="79"/>
      <c r="N345" s="79"/>
      <c r="Q345" s="79"/>
      <c r="U345" s="130"/>
      <c r="W345" s="106"/>
    </row>
    <row r="346">
      <c r="C346" s="79"/>
      <c r="D346" s="79"/>
      <c r="J346" s="79"/>
      <c r="N346" s="79"/>
      <c r="Q346" s="79"/>
      <c r="U346" s="130"/>
      <c r="W346" s="106"/>
    </row>
    <row r="347">
      <c r="C347" s="79"/>
      <c r="D347" s="79"/>
      <c r="J347" s="79"/>
      <c r="N347" s="79"/>
      <c r="Q347" s="79"/>
      <c r="U347" s="130"/>
      <c r="W347" s="106"/>
    </row>
    <row r="348">
      <c r="C348" s="79"/>
      <c r="D348" s="79"/>
      <c r="J348" s="79"/>
      <c r="N348" s="79"/>
      <c r="Q348" s="79"/>
      <c r="U348" s="130"/>
      <c r="W348" s="106"/>
    </row>
    <row r="349">
      <c r="C349" s="79"/>
      <c r="D349" s="79"/>
      <c r="J349" s="79"/>
      <c r="N349" s="79"/>
      <c r="Q349" s="79"/>
      <c r="U349" s="130"/>
      <c r="W349" s="106"/>
    </row>
    <row r="350">
      <c r="C350" s="79"/>
      <c r="D350" s="79"/>
      <c r="J350" s="79"/>
      <c r="N350" s="79"/>
      <c r="Q350" s="79"/>
      <c r="U350" s="130"/>
      <c r="W350" s="106"/>
    </row>
    <row r="351">
      <c r="C351" s="79"/>
      <c r="D351" s="79"/>
      <c r="J351" s="79"/>
      <c r="N351" s="79"/>
      <c r="Q351" s="79"/>
      <c r="U351" s="130"/>
      <c r="W351" s="106"/>
    </row>
    <row r="352">
      <c r="C352" s="79"/>
      <c r="D352" s="79"/>
      <c r="J352" s="79"/>
      <c r="N352" s="79"/>
      <c r="Q352" s="79"/>
      <c r="U352" s="130"/>
      <c r="W352" s="106"/>
    </row>
    <row r="353">
      <c r="C353" s="79"/>
      <c r="D353" s="79"/>
      <c r="J353" s="79"/>
      <c r="N353" s="79"/>
      <c r="Q353" s="79"/>
      <c r="U353" s="130"/>
      <c r="W353" s="106"/>
    </row>
    <row r="354">
      <c r="C354" s="79"/>
      <c r="D354" s="79"/>
      <c r="J354" s="79"/>
      <c r="N354" s="79"/>
      <c r="Q354" s="79"/>
      <c r="U354" s="130"/>
      <c r="W354" s="106"/>
    </row>
    <row r="355">
      <c r="C355" s="79"/>
      <c r="D355" s="79"/>
      <c r="J355" s="79"/>
      <c r="N355" s="79"/>
      <c r="Q355" s="79"/>
      <c r="U355" s="130"/>
      <c r="W355" s="106"/>
    </row>
    <row r="356">
      <c r="C356" s="79"/>
      <c r="D356" s="79"/>
      <c r="J356" s="79"/>
      <c r="N356" s="79"/>
      <c r="Q356" s="79"/>
      <c r="U356" s="130"/>
      <c r="W356" s="106"/>
    </row>
    <row r="357">
      <c r="C357" s="79"/>
      <c r="D357" s="79"/>
      <c r="J357" s="79"/>
      <c r="N357" s="79"/>
      <c r="Q357" s="79"/>
      <c r="U357" s="130"/>
      <c r="W357" s="106"/>
    </row>
    <row r="358">
      <c r="C358" s="79"/>
      <c r="D358" s="79"/>
      <c r="J358" s="79"/>
      <c r="N358" s="79"/>
      <c r="Q358" s="79"/>
      <c r="U358" s="130"/>
      <c r="W358" s="106"/>
    </row>
    <row r="359">
      <c r="C359" s="79"/>
      <c r="D359" s="79"/>
      <c r="J359" s="79"/>
      <c r="N359" s="79"/>
      <c r="Q359" s="79"/>
      <c r="U359" s="130"/>
      <c r="W359" s="106"/>
    </row>
    <row r="360">
      <c r="C360" s="79"/>
      <c r="D360" s="79"/>
      <c r="J360" s="79"/>
      <c r="N360" s="79"/>
      <c r="Q360" s="79"/>
      <c r="U360" s="130"/>
      <c r="W360" s="106"/>
    </row>
    <row r="361">
      <c r="C361" s="79"/>
      <c r="D361" s="79"/>
      <c r="J361" s="79"/>
      <c r="N361" s="79"/>
      <c r="Q361" s="79"/>
      <c r="U361" s="130"/>
      <c r="W361" s="106"/>
    </row>
    <row r="362">
      <c r="C362" s="79"/>
      <c r="D362" s="79"/>
      <c r="J362" s="79"/>
      <c r="N362" s="79"/>
      <c r="Q362" s="79"/>
      <c r="U362" s="130"/>
      <c r="W362" s="106"/>
    </row>
    <row r="363">
      <c r="C363" s="79"/>
      <c r="D363" s="79"/>
      <c r="J363" s="79"/>
      <c r="N363" s="79"/>
      <c r="Q363" s="79"/>
      <c r="U363" s="130"/>
      <c r="W363" s="106"/>
    </row>
    <row r="364">
      <c r="C364" s="79"/>
      <c r="D364" s="79"/>
      <c r="J364" s="79"/>
      <c r="N364" s="79"/>
      <c r="Q364" s="79"/>
      <c r="U364" s="130"/>
      <c r="W364" s="106"/>
    </row>
    <row r="365">
      <c r="C365" s="79"/>
      <c r="D365" s="79"/>
      <c r="J365" s="79"/>
      <c r="N365" s="79"/>
      <c r="Q365" s="79"/>
      <c r="U365" s="130"/>
      <c r="W365" s="106"/>
    </row>
    <row r="366">
      <c r="C366" s="79"/>
      <c r="D366" s="79"/>
      <c r="J366" s="79"/>
      <c r="N366" s="79"/>
      <c r="Q366" s="79"/>
      <c r="U366" s="130"/>
      <c r="W366" s="106"/>
    </row>
    <row r="367">
      <c r="C367" s="79"/>
      <c r="D367" s="79"/>
      <c r="J367" s="79"/>
      <c r="N367" s="79"/>
      <c r="Q367" s="79"/>
      <c r="U367" s="130"/>
      <c r="W367" s="106"/>
    </row>
    <row r="368">
      <c r="C368" s="79"/>
      <c r="D368" s="79"/>
      <c r="J368" s="79"/>
      <c r="N368" s="79"/>
      <c r="Q368" s="79"/>
      <c r="U368" s="130"/>
      <c r="W368" s="106"/>
    </row>
    <row r="369">
      <c r="C369" s="79"/>
      <c r="D369" s="79"/>
      <c r="J369" s="79"/>
      <c r="N369" s="79"/>
      <c r="Q369" s="79"/>
      <c r="U369" s="130"/>
      <c r="W369" s="106"/>
    </row>
    <row r="370">
      <c r="C370" s="79"/>
      <c r="D370" s="79"/>
      <c r="J370" s="79"/>
      <c r="N370" s="79"/>
      <c r="Q370" s="79"/>
      <c r="U370" s="130"/>
      <c r="W370" s="106"/>
    </row>
    <row r="371">
      <c r="C371" s="79"/>
      <c r="D371" s="79"/>
      <c r="J371" s="79"/>
      <c r="N371" s="79"/>
      <c r="Q371" s="79"/>
      <c r="U371" s="130"/>
      <c r="W371" s="106"/>
    </row>
    <row r="372">
      <c r="C372" s="79"/>
      <c r="D372" s="79"/>
      <c r="J372" s="79"/>
      <c r="N372" s="79"/>
      <c r="Q372" s="79"/>
      <c r="U372" s="130"/>
      <c r="W372" s="106"/>
    </row>
    <row r="373">
      <c r="C373" s="79"/>
      <c r="D373" s="79"/>
      <c r="J373" s="79"/>
      <c r="N373" s="79"/>
      <c r="Q373" s="79"/>
      <c r="U373" s="130"/>
      <c r="W373" s="106"/>
    </row>
    <row r="374">
      <c r="C374" s="79"/>
      <c r="D374" s="79"/>
      <c r="J374" s="79"/>
      <c r="N374" s="79"/>
      <c r="Q374" s="79"/>
      <c r="U374" s="130"/>
      <c r="W374" s="106"/>
    </row>
    <row r="375">
      <c r="C375" s="79"/>
      <c r="D375" s="79"/>
      <c r="J375" s="79"/>
      <c r="N375" s="79"/>
      <c r="Q375" s="79"/>
      <c r="U375" s="130"/>
      <c r="W375" s="106"/>
    </row>
    <row r="376">
      <c r="C376" s="79"/>
      <c r="D376" s="79"/>
      <c r="J376" s="79"/>
      <c r="N376" s="79"/>
      <c r="Q376" s="79"/>
      <c r="U376" s="130"/>
      <c r="W376" s="106"/>
    </row>
    <row r="377">
      <c r="C377" s="79"/>
      <c r="D377" s="79"/>
      <c r="J377" s="79"/>
      <c r="N377" s="79"/>
      <c r="Q377" s="79"/>
      <c r="U377" s="130"/>
      <c r="W377" s="106"/>
    </row>
    <row r="378">
      <c r="C378" s="79"/>
      <c r="D378" s="79"/>
      <c r="J378" s="79"/>
      <c r="N378" s="79"/>
      <c r="Q378" s="79"/>
      <c r="U378" s="130"/>
      <c r="W378" s="106"/>
    </row>
    <row r="379">
      <c r="C379" s="79"/>
      <c r="D379" s="79"/>
      <c r="J379" s="79"/>
      <c r="N379" s="79"/>
      <c r="Q379" s="79"/>
      <c r="U379" s="130"/>
      <c r="W379" s="106"/>
    </row>
    <row r="380">
      <c r="C380" s="79"/>
      <c r="D380" s="79"/>
      <c r="J380" s="79"/>
      <c r="N380" s="79"/>
      <c r="Q380" s="79"/>
      <c r="U380" s="130"/>
      <c r="W380" s="106"/>
    </row>
    <row r="381">
      <c r="C381" s="79"/>
      <c r="D381" s="79"/>
      <c r="J381" s="79"/>
      <c r="N381" s="79"/>
      <c r="Q381" s="79"/>
      <c r="U381" s="130"/>
      <c r="W381" s="106"/>
    </row>
    <row r="382">
      <c r="C382" s="79"/>
      <c r="D382" s="79"/>
      <c r="J382" s="79"/>
      <c r="N382" s="79"/>
      <c r="Q382" s="79"/>
      <c r="U382" s="130"/>
      <c r="W382" s="106"/>
    </row>
    <row r="383">
      <c r="C383" s="79"/>
      <c r="D383" s="79"/>
      <c r="J383" s="79"/>
      <c r="N383" s="79"/>
      <c r="Q383" s="79"/>
      <c r="U383" s="130"/>
      <c r="W383" s="106"/>
    </row>
    <row r="384">
      <c r="C384" s="79"/>
      <c r="D384" s="79"/>
      <c r="J384" s="79"/>
      <c r="N384" s="79"/>
      <c r="Q384" s="79"/>
      <c r="U384" s="130"/>
      <c r="W384" s="106"/>
    </row>
    <row r="385">
      <c r="C385" s="79"/>
      <c r="D385" s="79"/>
      <c r="J385" s="79"/>
      <c r="N385" s="79"/>
      <c r="Q385" s="79"/>
      <c r="U385" s="130"/>
      <c r="W385" s="106"/>
    </row>
    <row r="386">
      <c r="C386" s="79"/>
      <c r="D386" s="79"/>
      <c r="J386" s="79"/>
      <c r="N386" s="79"/>
      <c r="Q386" s="79"/>
      <c r="U386" s="130"/>
      <c r="W386" s="106"/>
    </row>
    <row r="387">
      <c r="C387" s="79"/>
      <c r="D387" s="79"/>
      <c r="J387" s="79"/>
      <c r="N387" s="79"/>
      <c r="Q387" s="79"/>
      <c r="U387" s="130"/>
      <c r="W387" s="106"/>
    </row>
    <row r="388">
      <c r="C388" s="79"/>
      <c r="D388" s="79"/>
      <c r="J388" s="79"/>
      <c r="N388" s="79"/>
      <c r="Q388" s="79"/>
      <c r="U388" s="130"/>
      <c r="W388" s="106"/>
    </row>
    <row r="389">
      <c r="C389" s="79"/>
      <c r="D389" s="79"/>
      <c r="J389" s="79"/>
      <c r="N389" s="79"/>
      <c r="Q389" s="79"/>
      <c r="U389" s="130"/>
      <c r="W389" s="106"/>
    </row>
    <row r="390">
      <c r="C390" s="79"/>
      <c r="D390" s="79"/>
      <c r="J390" s="79"/>
      <c r="N390" s="79"/>
      <c r="Q390" s="79"/>
      <c r="U390" s="130"/>
      <c r="W390" s="106"/>
    </row>
    <row r="391">
      <c r="C391" s="79"/>
      <c r="D391" s="79"/>
      <c r="J391" s="79"/>
      <c r="N391" s="79"/>
      <c r="Q391" s="79"/>
      <c r="U391" s="130"/>
      <c r="W391" s="106"/>
    </row>
    <row r="392">
      <c r="C392" s="79"/>
      <c r="D392" s="79"/>
      <c r="J392" s="79"/>
      <c r="N392" s="79"/>
      <c r="Q392" s="79"/>
      <c r="U392" s="130"/>
      <c r="W392" s="106"/>
    </row>
    <row r="393">
      <c r="C393" s="79"/>
      <c r="D393" s="79"/>
      <c r="J393" s="79"/>
      <c r="N393" s="79"/>
      <c r="Q393" s="79"/>
      <c r="U393" s="130"/>
      <c r="W393" s="106"/>
    </row>
    <row r="394">
      <c r="C394" s="79"/>
      <c r="D394" s="79"/>
      <c r="J394" s="79"/>
      <c r="N394" s="79"/>
      <c r="Q394" s="79"/>
      <c r="U394" s="130"/>
      <c r="W394" s="106"/>
    </row>
    <row r="395">
      <c r="C395" s="79"/>
      <c r="D395" s="79"/>
      <c r="J395" s="79"/>
      <c r="N395" s="79"/>
      <c r="Q395" s="79"/>
      <c r="U395" s="130"/>
      <c r="W395" s="106"/>
    </row>
    <row r="396">
      <c r="C396" s="79"/>
      <c r="D396" s="79"/>
      <c r="J396" s="79"/>
      <c r="N396" s="79"/>
      <c r="Q396" s="79"/>
      <c r="U396" s="130"/>
      <c r="W396" s="106"/>
    </row>
    <row r="397">
      <c r="C397" s="79"/>
      <c r="D397" s="79"/>
      <c r="J397" s="79"/>
      <c r="N397" s="79"/>
      <c r="Q397" s="79"/>
      <c r="U397" s="130"/>
      <c r="W397" s="106"/>
    </row>
    <row r="398">
      <c r="C398" s="79"/>
      <c r="D398" s="79"/>
      <c r="J398" s="79"/>
      <c r="N398" s="79"/>
      <c r="Q398" s="79"/>
      <c r="U398" s="130"/>
      <c r="W398" s="106"/>
    </row>
    <row r="399">
      <c r="C399" s="79"/>
      <c r="D399" s="79"/>
      <c r="J399" s="79"/>
      <c r="N399" s="79"/>
      <c r="Q399" s="79"/>
      <c r="U399" s="130"/>
      <c r="W399" s="106"/>
    </row>
    <row r="400">
      <c r="C400" s="79"/>
      <c r="D400" s="79"/>
      <c r="J400" s="79"/>
      <c r="N400" s="79"/>
      <c r="Q400" s="79"/>
      <c r="U400" s="130"/>
      <c r="W400" s="106"/>
    </row>
    <row r="401">
      <c r="C401" s="79"/>
      <c r="D401" s="79"/>
      <c r="J401" s="79"/>
      <c r="N401" s="79"/>
      <c r="Q401" s="79"/>
      <c r="U401" s="130"/>
      <c r="W401" s="106"/>
    </row>
    <row r="402">
      <c r="C402" s="79"/>
      <c r="D402" s="79"/>
      <c r="J402" s="79"/>
      <c r="N402" s="79"/>
      <c r="Q402" s="79"/>
      <c r="U402" s="130"/>
      <c r="W402" s="106"/>
    </row>
    <row r="403">
      <c r="C403" s="79"/>
      <c r="D403" s="79"/>
      <c r="J403" s="79"/>
      <c r="N403" s="79"/>
      <c r="Q403" s="79"/>
      <c r="U403" s="130"/>
      <c r="W403" s="106"/>
    </row>
    <row r="404">
      <c r="C404" s="79"/>
      <c r="D404" s="79"/>
      <c r="J404" s="79"/>
      <c r="N404" s="79"/>
      <c r="Q404" s="79"/>
      <c r="U404" s="130"/>
      <c r="W404" s="106"/>
    </row>
    <row r="405">
      <c r="C405" s="79"/>
      <c r="D405" s="79"/>
      <c r="J405" s="79"/>
      <c r="N405" s="79"/>
      <c r="Q405" s="79"/>
      <c r="U405" s="130"/>
      <c r="W405" s="106"/>
    </row>
    <row r="406">
      <c r="C406" s="79"/>
      <c r="D406" s="79"/>
      <c r="J406" s="79"/>
      <c r="N406" s="79"/>
      <c r="Q406" s="79"/>
      <c r="U406" s="130"/>
      <c r="W406" s="106"/>
    </row>
    <row r="407">
      <c r="C407" s="79"/>
      <c r="D407" s="79"/>
      <c r="J407" s="79"/>
      <c r="N407" s="79"/>
      <c r="Q407" s="79"/>
      <c r="U407" s="130"/>
      <c r="W407" s="106"/>
    </row>
    <row r="408">
      <c r="C408" s="79"/>
      <c r="D408" s="79"/>
      <c r="J408" s="79"/>
      <c r="N408" s="79"/>
      <c r="Q408" s="79"/>
      <c r="U408" s="130"/>
      <c r="W408" s="106"/>
    </row>
    <row r="409">
      <c r="C409" s="79"/>
      <c r="D409" s="79"/>
      <c r="J409" s="79"/>
      <c r="N409" s="79"/>
      <c r="Q409" s="79"/>
      <c r="U409" s="130"/>
      <c r="W409" s="106"/>
    </row>
    <row r="410">
      <c r="C410" s="79"/>
      <c r="D410" s="79"/>
      <c r="J410" s="79"/>
      <c r="N410" s="79"/>
      <c r="Q410" s="79"/>
      <c r="U410" s="130"/>
      <c r="W410" s="106"/>
    </row>
    <row r="411">
      <c r="C411" s="79"/>
      <c r="D411" s="79"/>
      <c r="J411" s="79"/>
      <c r="N411" s="79"/>
      <c r="Q411" s="79"/>
      <c r="U411" s="130"/>
      <c r="W411" s="106"/>
    </row>
    <row r="412">
      <c r="C412" s="79"/>
      <c r="D412" s="79"/>
      <c r="J412" s="79"/>
      <c r="N412" s="79"/>
      <c r="Q412" s="79"/>
      <c r="U412" s="130"/>
      <c r="W412" s="106"/>
    </row>
    <row r="413">
      <c r="C413" s="79"/>
      <c r="D413" s="79"/>
      <c r="J413" s="79"/>
      <c r="N413" s="79"/>
      <c r="Q413" s="79"/>
      <c r="U413" s="130"/>
      <c r="W413" s="106"/>
    </row>
    <row r="414">
      <c r="C414" s="79"/>
      <c r="D414" s="79"/>
      <c r="J414" s="79"/>
      <c r="N414" s="79"/>
      <c r="Q414" s="79"/>
      <c r="U414" s="130"/>
      <c r="W414" s="106"/>
    </row>
    <row r="415">
      <c r="C415" s="79"/>
      <c r="D415" s="79"/>
      <c r="J415" s="79"/>
      <c r="N415" s="79"/>
      <c r="Q415" s="79"/>
      <c r="U415" s="130"/>
      <c r="W415" s="106"/>
    </row>
    <row r="416">
      <c r="C416" s="79"/>
      <c r="D416" s="79"/>
      <c r="J416" s="79"/>
      <c r="N416" s="79"/>
      <c r="Q416" s="79"/>
      <c r="U416" s="130"/>
      <c r="W416" s="106"/>
    </row>
    <row r="417">
      <c r="C417" s="79"/>
      <c r="D417" s="79"/>
      <c r="J417" s="79"/>
      <c r="N417" s="79"/>
      <c r="Q417" s="79"/>
      <c r="U417" s="130"/>
      <c r="W417" s="106"/>
    </row>
    <row r="418">
      <c r="C418" s="79"/>
      <c r="D418" s="79"/>
      <c r="J418" s="79"/>
      <c r="N418" s="79"/>
      <c r="Q418" s="79"/>
      <c r="U418" s="130"/>
      <c r="W418" s="106"/>
    </row>
    <row r="419">
      <c r="C419" s="79"/>
      <c r="D419" s="79"/>
      <c r="J419" s="79"/>
      <c r="N419" s="79"/>
      <c r="Q419" s="79"/>
      <c r="U419" s="130"/>
      <c r="W419" s="106"/>
    </row>
    <row r="420">
      <c r="C420" s="79"/>
      <c r="D420" s="79"/>
      <c r="J420" s="79"/>
      <c r="N420" s="79"/>
      <c r="Q420" s="79"/>
      <c r="U420" s="130"/>
      <c r="W420" s="106"/>
    </row>
    <row r="421">
      <c r="C421" s="79"/>
      <c r="D421" s="79"/>
      <c r="J421" s="79"/>
      <c r="N421" s="79"/>
      <c r="Q421" s="79"/>
      <c r="U421" s="130"/>
      <c r="W421" s="106"/>
    </row>
    <row r="422">
      <c r="C422" s="79"/>
      <c r="D422" s="79"/>
      <c r="J422" s="79"/>
      <c r="N422" s="79"/>
      <c r="Q422" s="79"/>
      <c r="U422" s="130"/>
      <c r="W422" s="106"/>
    </row>
    <row r="423">
      <c r="C423" s="79"/>
      <c r="D423" s="79"/>
      <c r="J423" s="79"/>
      <c r="N423" s="79"/>
      <c r="Q423" s="79"/>
      <c r="U423" s="130"/>
      <c r="W423" s="106"/>
    </row>
    <row r="424">
      <c r="C424" s="79"/>
      <c r="D424" s="79"/>
      <c r="J424" s="79"/>
      <c r="N424" s="79"/>
      <c r="Q424" s="79"/>
      <c r="U424" s="130"/>
      <c r="W424" s="106"/>
    </row>
    <row r="425">
      <c r="C425" s="79"/>
      <c r="D425" s="79"/>
      <c r="J425" s="79"/>
      <c r="N425" s="79"/>
      <c r="Q425" s="79"/>
      <c r="U425" s="130"/>
      <c r="W425" s="106"/>
    </row>
    <row r="426">
      <c r="C426" s="79"/>
      <c r="D426" s="79"/>
      <c r="J426" s="79"/>
      <c r="N426" s="79"/>
      <c r="Q426" s="79"/>
      <c r="U426" s="130"/>
      <c r="W426" s="106"/>
    </row>
    <row r="427">
      <c r="C427" s="79"/>
      <c r="D427" s="79"/>
      <c r="J427" s="79"/>
      <c r="N427" s="79"/>
      <c r="Q427" s="79"/>
      <c r="U427" s="130"/>
      <c r="W427" s="106"/>
    </row>
    <row r="428">
      <c r="C428" s="79"/>
      <c r="D428" s="79"/>
      <c r="J428" s="79"/>
      <c r="N428" s="79"/>
      <c r="Q428" s="79"/>
      <c r="U428" s="130"/>
      <c r="W428" s="106"/>
    </row>
    <row r="429">
      <c r="C429" s="79"/>
      <c r="D429" s="79"/>
      <c r="J429" s="79"/>
      <c r="N429" s="79"/>
      <c r="Q429" s="79"/>
      <c r="U429" s="130"/>
      <c r="W429" s="106"/>
    </row>
    <row r="430">
      <c r="C430" s="79"/>
      <c r="D430" s="79"/>
      <c r="J430" s="79"/>
      <c r="N430" s="79"/>
      <c r="Q430" s="79"/>
      <c r="U430" s="130"/>
      <c r="W430" s="106"/>
    </row>
    <row r="431">
      <c r="C431" s="79"/>
      <c r="D431" s="79"/>
      <c r="J431" s="79"/>
      <c r="N431" s="79"/>
      <c r="Q431" s="79"/>
      <c r="U431" s="130"/>
      <c r="W431" s="106"/>
    </row>
    <row r="432">
      <c r="C432" s="79"/>
      <c r="D432" s="79"/>
      <c r="J432" s="79"/>
      <c r="N432" s="79"/>
      <c r="Q432" s="79"/>
      <c r="U432" s="130"/>
      <c r="W432" s="106"/>
    </row>
    <row r="433">
      <c r="C433" s="79"/>
      <c r="D433" s="79"/>
      <c r="J433" s="79"/>
      <c r="N433" s="79"/>
      <c r="Q433" s="79"/>
      <c r="U433" s="130"/>
      <c r="W433" s="106"/>
    </row>
    <row r="434">
      <c r="C434" s="79"/>
      <c r="D434" s="79"/>
      <c r="J434" s="79"/>
      <c r="N434" s="79"/>
      <c r="Q434" s="79"/>
      <c r="U434" s="130"/>
      <c r="W434" s="106"/>
    </row>
    <row r="435">
      <c r="C435" s="79"/>
      <c r="D435" s="79"/>
      <c r="J435" s="79"/>
      <c r="N435" s="79"/>
      <c r="Q435" s="79"/>
      <c r="U435" s="130"/>
      <c r="W435" s="106"/>
    </row>
    <row r="436">
      <c r="C436" s="79"/>
      <c r="D436" s="79"/>
      <c r="J436" s="79"/>
      <c r="N436" s="79"/>
      <c r="Q436" s="79"/>
      <c r="U436" s="130"/>
      <c r="W436" s="106"/>
    </row>
    <row r="437">
      <c r="C437" s="79"/>
      <c r="D437" s="79"/>
      <c r="J437" s="79"/>
      <c r="N437" s="79"/>
      <c r="Q437" s="79"/>
      <c r="U437" s="130"/>
      <c r="W437" s="106"/>
    </row>
    <row r="438">
      <c r="C438" s="79"/>
      <c r="D438" s="79"/>
      <c r="J438" s="79"/>
      <c r="N438" s="79"/>
      <c r="Q438" s="79"/>
      <c r="U438" s="130"/>
      <c r="W438" s="106"/>
    </row>
    <row r="439">
      <c r="C439" s="79"/>
      <c r="D439" s="79"/>
      <c r="J439" s="79"/>
      <c r="N439" s="79"/>
      <c r="Q439" s="79"/>
      <c r="U439" s="130"/>
      <c r="W439" s="106"/>
    </row>
    <row r="440">
      <c r="C440" s="79"/>
      <c r="D440" s="79"/>
      <c r="J440" s="79"/>
      <c r="N440" s="79"/>
      <c r="Q440" s="79"/>
      <c r="U440" s="130"/>
      <c r="W440" s="106"/>
    </row>
    <row r="441">
      <c r="C441" s="79"/>
      <c r="D441" s="79"/>
      <c r="J441" s="79"/>
      <c r="N441" s="79"/>
      <c r="Q441" s="79"/>
      <c r="U441" s="130"/>
      <c r="W441" s="106"/>
    </row>
    <row r="442">
      <c r="C442" s="79"/>
      <c r="D442" s="79"/>
      <c r="J442" s="79"/>
      <c r="N442" s="79"/>
      <c r="Q442" s="79"/>
      <c r="U442" s="130"/>
      <c r="W442" s="106"/>
    </row>
    <row r="443">
      <c r="C443" s="79"/>
      <c r="D443" s="79"/>
      <c r="J443" s="79"/>
      <c r="N443" s="79"/>
      <c r="Q443" s="79"/>
      <c r="U443" s="130"/>
      <c r="W443" s="106"/>
    </row>
    <row r="444">
      <c r="C444" s="79"/>
      <c r="D444" s="79"/>
      <c r="J444" s="79"/>
      <c r="N444" s="79"/>
      <c r="Q444" s="79"/>
      <c r="U444" s="130"/>
      <c r="W444" s="106"/>
    </row>
    <row r="445">
      <c r="C445" s="79"/>
      <c r="D445" s="79"/>
      <c r="J445" s="79"/>
      <c r="N445" s="79"/>
      <c r="Q445" s="79"/>
      <c r="U445" s="130"/>
      <c r="W445" s="106"/>
    </row>
    <row r="446">
      <c r="C446" s="79"/>
      <c r="D446" s="79"/>
      <c r="J446" s="79"/>
      <c r="N446" s="79"/>
      <c r="Q446" s="79"/>
      <c r="U446" s="130"/>
      <c r="W446" s="106"/>
    </row>
    <row r="447">
      <c r="C447" s="79"/>
      <c r="D447" s="79"/>
      <c r="J447" s="79"/>
      <c r="N447" s="79"/>
      <c r="Q447" s="79"/>
      <c r="U447" s="130"/>
      <c r="W447" s="106"/>
    </row>
    <row r="448">
      <c r="C448" s="79"/>
      <c r="D448" s="79"/>
      <c r="J448" s="79"/>
      <c r="N448" s="79"/>
      <c r="Q448" s="79"/>
      <c r="U448" s="130"/>
      <c r="W448" s="106"/>
    </row>
    <row r="449">
      <c r="C449" s="79"/>
      <c r="D449" s="79"/>
      <c r="J449" s="79"/>
      <c r="N449" s="79"/>
      <c r="Q449" s="79"/>
      <c r="U449" s="130"/>
      <c r="W449" s="106"/>
    </row>
    <row r="450">
      <c r="C450" s="79"/>
      <c r="D450" s="79"/>
      <c r="J450" s="79"/>
      <c r="N450" s="79"/>
      <c r="Q450" s="79"/>
      <c r="U450" s="130"/>
      <c r="W450" s="106"/>
    </row>
    <row r="451">
      <c r="C451" s="79"/>
      <c r="D451" s="79"/>
      <c r="J451" s="79"/>
      <c r="N451" s="79"/>
      <c r="Q451" s="79"/>
      <c r="U451" s="130"/>
      <c r="W451" s="106"/>
    </row>
    <row r="452">
      <c r="C452" s="79"/>
      <c r="D452" s="79"/>
      <c r="J452" s="79"/>
      <c r="N452" s="79"/>
      <c r="Q452" s="79"/>
      <c r="U452" s="130"/>
      <c r="W452" s="106"/>
    </row>
    <row r="453">
      <c r="C453" s="79"/>
      <c r="D453" s="79"/>
      <c r="J453" s="79"/>
      <c r="N453" s="79"/>
      <c r="Q453" s="79"/>
      <c r="U453" s="130"/>
      <c r="W453" s="106"/>
    </row>
    <row r="454">
      <c r="C454" s="79"/>
      <c r="D454" s="79"/>
      <c r="J454" s="79"/>
      <c r="N454" s="79"/>
      <c r="Q454" s="79"/>
      <c r="U454" s="130"/>
      <c r="W454" s="106"/>
    </row>
    <row r="455">
      <c r="C455" s="79"/>
      <c r="D455" s="79"/>
      <c r="J455" s="79"/>
      <c r="N455" s="79"/>
      <c r="Q455" s="79"/>
      <c r="U455" s="130"/>
      <c r="W455" s="106"/>
    </row>
    <row r="456">
      <c r="C456" s="79"/>
      <c r="D456" s="79"/>
      <c r="J456" s="79"/>
      <c r="N456" s="79"/>
      <c r="Q456" s="79"/>
      <c r="U456" s="130"/>
      <c r="W456" s="106"/>
    </row>
    <row r="457">
      <c r="C457" s="79"/>
      <c r="D457" s="79"/>
      <c r="J457" s="79"/>
      <c r="N457" s="79"/>
      <c r="Q457" s="79"/>
      <c r="U457" s="130"/>
      <c r="W457" s="106"/>
    </row>
    <row r="458">
      <c r="C458" s="79"/>
      <c r="D458" s="79"/>
      <c r="J458" s="79"/>
      <c r="N458" s="79"/>
      <c r="Q458" s="79"/>
      <c r="U458" s="130"/>
      <c r="W458" s="106"/>
    </row>
    <row r="459">
      <c r="C459" s="79"/>
      <c r="D459" s="79"/>
      <c r="J459" s="79"/>
      <c r="N459" s="79"/>
      <c r="Q459" s="79"/>
      <c r="U459" s="130"/>
      <c r="W459" s="106"/>
    </row>
    <row r="460">
      <c r="C460" s="79"/>
      <c r="D460" s="79"/>
      <c r="J460" s="79"/>
      <c r="N460" s="79"/>
      <c r="Q460" s="79"/>
      <c r="U460" s="130"/>
      <c r="W460" s="106"/>
    </row>
    <row r="461">
      <c r="C461" s="79"/>
      <c r="D461" s="79"/>
      <c r="J461" s="79"/>
      <c r="N461" s="79"/>
      <c r="Q461" s="79"/>
      <c r="U461" s="130"/>
      <c r="W461" s="106"/>
    </row>
    <row r="462">
      <c r="C462" s="79"/>
      <c r="D462" s="79"/>
      <c r="J462" s="79"/>
      <c r="N462" s="79"/>
      <c r="Q462" s="79"/>
      <c r="U462" s="130"/>
      <c r="W462" s="106"/>
    </row>
    <row r="463">
      <c r="C463" s="79"/>
      <c r="D463" s="79"/>
      <c r="J463" s="79"/>
      <c r="N463" s="79"/>
      <c r="Q463" s="79"/>
      <c r="U463" s="130"/>
      <c r="W463" s="106"/>
    </row>
    <row r="464">
      <c r="C464" s="79"/>
      <c r="D464" s="79"/>
      <c r="J464" s="79"/>
      <c r="N464" s="79"/>
      <c r="Q464" s="79"/>
      <c r="U464" s="130"/>
      <c r="W464" s="106"/>
    </row>
    <row r="465">
      <c r="C465" s="79"/>
      <c r="D465" s="79"/>
      <c r="J465" s="79"/>
      <c r="N465" s="79"/>
      <c r="Q465" s="79"/>
      <c r="U465" s="130"/>
      <c r="W465" s="106"/>
    </row>
    <row r="466">
      <c r="C466" s="79"/>
      <c r="D466" s="79"/>
      <c r="J466" s="79"/>
      <c r="N466" s="79"/>
      <c r="Q466" s="79"/>
      <c r="U466" s="130"/>
      <c r="W466" s="106"/>
    </row>
    <row r="467">
      <c r="C467" s="79"/>
      <c r="D467" s="79"/>
      <c r="J467" s="79"/>
      <c r="N467" s="79"/>
      <c r="Q467" s="79"/>
      <c r="U467" s="130"/>
      <c r="W467" s="106"/>
    </row>
    <row r="468">
      <c r="C468" s="79"/>
      <c r="D468" s="79"/>
      <c r="J468" s="79"/>
      <c r="N468" s="79"/>
      <c r="Q468" s="79"/>
      <c r="U468" s="130"/>
      <c r="W468" s="106"/>
    </row>
    <row r="469">
      <c r="C469" s="79"/>
      <c r="D469" s="79"/>
      <c r="J469" s="79"/>
      <c r="N469" s="79"/>
      <c r="Q469" s="79"/>
      <c r="U469" s="130"/>
      <c r="W469" s="106"/>
    </row>
    <row r="470">
      <c r="C470" s="79"/>
      <c r="D470" s="79"/>
      <c r="J470" s="79"/>
      <c r="N470" s="79"/>
      <c r="Q470" s="79"/>
      <c r="U470" s="130"/>
      <c r="W470" s="106"/>
    </row>
    <row r="471">
      <c r="C471" s="79"/>
      <c r="D471" s="79"/>
      <c r="J471" s="79"/>
      <c r="N471" s="79"/>
      <c r="Q471" s="79"/>
      <c r="U471" s="130"/>
      <c r="W471" s="106"/>
    </row>
    <row r="472">
      <c r="C472" s="79"/>
      <c r="D472" s="79"/>
      <c r="J472" s="79"/>
      <c r="N472" s="79"/>
      <c r="Q472" s="79"/>
      <c r="U472" s="130"/>
      <c r="W472" s="106"/>
    </row>
    <row r="473">
      <c r="C473" s="79"/>
      <c r="D473" s="79"/>
      <c r="J473" s="79"/>
      <c r="N473" s="79"/>
      <c r="Q473" s="79"/>
      <c r="U473" s="130"/>
      <c r="W473" s="106"/>
    </row>
    <row r="474">
      <c r="C474" s="79"/>
      <c r="D474" s="79"/>
      <c r="J474" s="79"/>
      <c r="N474" s="79"/>
      <c r="Q474" s="79"/>
      <c r="U474" s="130"/>
      <c r="W474" s="106"/>
    </row>
    <row r="475">
      <c r="C475" s="79"/>
      <c r="D475" s="79"/>
      <c r="J475" s="79"/>
      <c r="N475" s="79"/>
      <c r="Q475" s="79"/>
      <c r="U475" s="130"/>
      <c r="W475" s="106"/>
    </row>
    <row r="476">
      <c r="C476" s="79"/>
      <c r="D476" s="79"/>
      <c r="J476" s="79"/>
      <c r="N476" s="79"/>
      <c r="Q476" s="79"/>
      <c r="U476" s="130"/>
      <c r="W476" s="106"/>
    </row>
    <row r="477">
      <c r="C477" s="79"/>
      <c r="D477" s="79"/>
      <c r="J477" s="79"/>
      <c r="N477" s="79"/>
      <c r="Q477" s="79"/>
      <c r="U477" s="130"/>
      <c r="W477" s="106"/>
    </row>
    <row r="478">
      <c r="C478" s="79"/>
      <c r="D478" s="79"/>
      <c r="J478" s="79"/>
      <c r="N478" s="79"/>
      <c r="Q478" s="79"/>
      <c r="U478" s="130"/>
      <c r="W478" s="106"/>
    </row>
    <row r="479">
      <c r="C479" s="79"/>
      <c r="D479" s="79"/>
      <c r="J479" s="79"/>
      <c r="N479" s="79"/>
      <c r="Q479" s="79"/>
      <c r="U479" s="130"/>
      <c r="W479" s="106"/>
    </row>
    <row r="480">
      <c r="C480" s="79"/>
      <c r="D480" s="79"/>
      <c r="J480" s="79"/>
      <c r="N480" s="79"/>
      <c r="Q480" s="79"/>
      <c r="U480" s="130"/>
      <c r="W480" s="106"/>
    </row>
    <row r="481">
      <c r="C481" s="79"/>
      <c r="D481" s="79"/>
      <c r="J481" s="79"/>
      <c r="N481" s="79"/>
      <c r="Q481" s="79"/>
      <c r="U481" s="130"/>
      <c r="W481" s="106"/>
    </row>
    <row r="482">
      <c r="C482" s="79"/>
      <c r="D482" s="79"/>
      <c r="J482" s="79"/>
      <c r="N482" s="79"/>
      <c r="Q482" s="79"/>
      <c r="U482" s="130"/>
      <c r="W482" s="106"/>
    </row>
    <row r="483">
      <c r="C483" s="79"/>
      <c r="D483" s="79"/>
      <c r="J483" s="79"/>
      <c r="N483" s="79"/>
      <c r="Q483" s="79"/>
      <c r="U483" s="130"/>
      <c r="W483" s="106"/>
    </row>
    <row r="484">
      <c r="C484" s="79"/>
      <c r="D484" s="79"/>
      <c r="J484" s="79"/>
      <c r="N484" s="79"/>
      <c r="Q484" s="79"/>
      <c r="U484" s="130"/>
      <c r="W484" s="106"/>
    </row>
    <row r="485">
      <c r="C485" s="79"/>
      <c r="D485" s="79"/>
      <c r="J485" s="79"/>
      <c r="N485" s="79"/>
      <c r="Q485" s="79"/>
      <c r="U485" s="130"/>
      <c r="W485" s="106"/>
    </row>
    <row r="486">
      <c r="C486" s="79"/>
      <c r="D486" s="79"/>
      <c r="J486" s="79"/>
      <c r="N486" s="79"/>
      <c r="Q486" s="79"/>
      <c r="U486" s="130"/>
      <c r="W486" s="106"/>
    </row>
    <row r="487">
      <c r="C487" s="79"/>
      <c r="D487" s="79"/>
      <c r="J487" s="79"/>
      <c r="N487" s="79"/>
      <c r="Q487" s="79"/>
      <c r="U487" s="130"/>
      <c r="W487" s="106"/>
    </row>
    <row r="488">
      <c r="C488" s="79"/>
      <c r="D488" s="79"/>
      <c r="J488" s="79"/>
      <c r="N488" s="79"/>
      <c r="Q488" s="79"/>
      <c r="U488" s="130"/>
      <c r="W488" s="106"/>
    </row>
    <row r="489">
      <c r="C489" s="79"/>
      <c r="D489" s="79"/>
      <c r="J489" s="79"/>
      <c r="N489" s="79"/>
      <c r="Q489" s="79"/>
      <c r="U489" s="130"/>
      <c r="W489" s="106"/>
    </row>
    <row r="490">
      <c r="C490" s="79"/>
      <c r="D490" s="79"/>
      <c r="J490" s="79"/>
      <c r="N490" s="79"/>
      <c r="Q490" s="79"/>
      <c r="U490" s="130"/>
      <c r="W490" s="106"/>
    </row>
    <row r="491">
      <c r="C491" s="79"/>
      <c r="D491" s="79"/>
      <c r="J491" s="79"/>
      <c r="N491" s="79"/>
      <c r="Q491" s="79"/>
      <c r="U491" s="130"/>
      <c r="W491" s="106"/>
    </row>
    <row r="492">
      <c r="C492" s="79"/>
      <c r="D492" s="79"/>
      <c r="J492" s="79"/>
      <c r="N492" s="79"/>
      <c r="Q492" s="79"/>
      <c r="U492" s="130"/>
      <c r="W492" s="106"/>
    </row>
    <row r="493">
      <c r="C493" s="79"/>
      <c r="D493" s="79"/>
      <c r="J493" s="79"/>
      <c r="N493" s="79"/>
      <c r="Q493" s="79"/>
      <c r="U493" s="130"/>
      <c r="W493" s="106"/>
    </row>
    <row r="494">
      <c r="C494" s="79"/>
      <c r="D494" s="79"/>
      <c r="J494" s="79"/>
      <c r="N494" s="79"/>
      <c r="Q494" s="79"/>
      <c r="U494" s="130"/>
      <c r="W494" s="106"/>
    </row>
    <row r="495">
      <c r="C495" s="79"/>
      <c r="D495" s="79"/>
      <c r="J495" s="79"/>
      <c r="N495" s="79"/>
      <c r="Q495" s="79"/>
      <c r="U495" s="130"/>
      <c r="W495" s="106"/>
    </row>
    <row r="496">
      <c r="C496" s="79"/>
      <c r="D496" s="79"/>
      <c r="J496" s="79"/>
      <c r="N496" s="79"/>
      <c r="Q496" s="79"/>
      <c r="U496" s="130"/>
      <c r="W496" s="106"/>
    </row>
    <row r="497">
      <c r="C497" s="79"/>
      <c r="D497" s="79"/>
      <c r="J497" s="79"/>
      <c r="N497" s="79"/>
      <c r="Q497" s="79"/>
      <c r="U497" s="130"/>
      <c r="W497" s="106"/>
    </row>
    <row r="498">
      <c r="C498" s="79"/>
      <c r="D498" s="79"/>
      <c r="J498" s="79"/>
      <c r="N498" s="79"/>
      <c r="Q498" s="79"/>
      <c r="U498" s="130"/>
      <c r="W498" s="106"/>
    </row>
    <row r="499">
      <c r="C499" s="79"/>
      <c r="D499" s="79"/>
      <c r="J499" s="79"/>
      <c r="N499" s="79"/>
      <c r="Q499" s="79"/>
      <c r="U499" s="130"/>
      <c r="W499" s="106"/>
    </row>
    <row r="500">
      <c r="C500" s="79"/>
      <c r="D500" s="79"/>
      <c r="J500" s="79"/>
      <c r="N500" s="79"/>
      <c r="Q500" s="79"/>
      <c r="U500" s="130"/>
      <c r="W500" s="106"/>
    </row>
    <row r="501">
      <c r="C501" s="79"/>
      <c r="D501" s="79"/>
      <c r="J501" s="79"/>
      <c r="N501" s="79"/>
      <c r="Q501" s="79"/>
      <c r="U501" s="130"/>
      <c r="W501" s="106"/>
    </row>
    <row r="502">
      <c r="C502" s="79"/>
      <c r="D502" s="79"/>
      <c r="J502" s="79"/>
      <c r="N502" s="79"/>
      <c r="Q502" s="79"/>
      <c r="U502" s="130"/>
      <c r="W502" s="106"/>
    </row>
    <row r="503">
      <c r="C503" s="79"/>
      <c r="D503" s="79"/>
      <c r="J503" s="79"/>
      <c r="N503" s="79"/>
      <c r="Q503" s="79"/>
      <c r="U503" s="130"/>
      <c r="W503" s="106"/>
    </row>
    <row r="504">
      <c r="C504" s="79"/>
      <c r="D504" s="79"/>
      <c r="J504" s="79"/>
      <c r="N504" s="79"/>
      <c r="Q504" s="79"/>
      <c r="U504" s="130"/>
      <c r="W504" s="106"/>
    </row>
    <row r="505">
      <c r="C505" s="79"/>
      <c r="D505" s="79"/>
      <c r="J505" s="79"/>
      <c r="N505" s="79"/>
      <c r="Q505" s="79"/>
      <c r="U505" s="130"/>
      <c r="W505" s="106"/>
    </row>
    <row r="506">
      <c r="C506" s="79"/>
      <c r="D506" s="79"/>
      <c r="J506" s="79"/>
      <c r="N506" s="79"/>
      <c r="Q506" s="79"/>
      <c r="U506" s="130"/>
      <c r="W506" s="106"/>
    </row>
    <row r="507">
      <c r="C507" s="79"/>
      <c r="D507" s="79"/>
      <c r="J507" s="79"/>
      <c r="N507" s="79"/>
      <c r="Q507" s="79"/>
      <c r="U507" s="130"/>
      <c r="W507" s="106"/>
    </row>
    <row r="508">
      <c r="C508" s="79"/>
      <c r="D508" s="79"/>
      <c r="J508" s="79"/>
      <c r="N508" s="79"/>
      <c r="Q508" s="79"/>
      <c r="U508" s="130"/>
      <c r="W508" s="106"/>
    </row>
    <row r="509">
      <c r="C509" s="79"/>
      <c r="D509" s="79"/>
      <c r="J509" s="79"/>
      <c r="N509" s="79"/>
      <c r="Q509" s="79"/>
      <c r="U509" s="130"/>
      <c r="W509" s="106"/>
    </row>
    <row r="510">
      <c r="C510" s="79"/>
      <c r="D510" s="79"/>
      <c r="J510" s="79"/>
      <c r="N510" s="79"/>
      <c r="Q510" s="79"/>
      <c r="U510" s="130"/>
      <c r="W510" s="106"/>
    </row>
    <row r="511">
      <c r="C511" s="79"/>
      <c r="D511" s="79"/>
      <c r="J511" s="79"/>
      <c r="N511" s="79"/>
      <c r="Q511" s="79"/>
      <c r="U511" s="130"/>
      <c r="W511" s="106"/>
    </row>
    <row r="512">
      <c r="C512" s="79"/>
      <c r="D512" s="79"/>
      <c r="J512" s="79"/>
      <c r="N512" s="79"/>
      <c r="Q512" s="79"/>
      <c r="U512" s="130"/>
      <c r="W512" s="106"/>
    </row>
    <row r="513">
      <c r="C513" s="79"/>
      <c r="D513" s="79"/>
      <c r="J513" s="79"/>
      <c r="N513" s="79"/>
      <c r="Q513" s="79"/>
      <c r="U513" s="130"/>
      <c r="W513" s="106"/>
    </row>
    <row r="514">
      <c r="C514" s="79"/>
      <c r="D514" s="79"/>
      <c r="J514" s="79"/>
      <c r="N514" s="79"/>
      <c r="Q514" s="79"/>
      <c r="U514" s="130"/>
      <c r="W514" s="106"/>
    </row>
    <row r="515">
      <c r="C515" s="79"/>
      <c r="D515" s="79"/>
      <c r="J515" s="79"/>
      <c r="N515" s="79"/>
      <c r="Q515" s="79"/>
      <c r="U515" s="130"/>
      <c r="W515" s="106"/>
    </row>
    <row r="516">
      <c r="C516" s="79"/>
      <c r="D516" s="79"/>
      <c r="J516" s="79"/>
      <c r="N516" s="79"/>
      <c r="Q516" s="79"/>
      <c r="U516" s="130"/>
      <c r="W516" s="106"/>
    </row>
    <row r="517">
      <c r="C517" s="79"/>
      <c r="D517" s="79"/>
      <c r="J517" s="79"/>
      <c r="N517" s="79"/>
      <c r="Q517" s="79"/>
      <c r="U517" s="130"/>
      <c r="W517" s="106"/>
    </row>
    <row r="518">
      <c r="C518" s="79"/>
      <c r="D518" s="79"/>
      <c r="J518" s="79"/>
      <c r="N518" s="79"/>
      <c r="Q518" s="79"/>
      <c r="U518" s="130"/>
      <c r="W518" s="106"/>
    </row>
    <row r="519">
      <c r="C519" s="79"/>
      <c r="D519" s="79"/>
      <c r="J519" s="79"/>
      <c r="N519" s="79"/>
      <c r="Q519" s="79"/>
      <c r="U519" s="130"/>
      <c r="W519" s="106"/>
    </row>
    <row r="520">
      <c r="C520" s="79"/>
      <c r="D520" s="79"/>
      <c r="J520" s="79"/>
      <c r="N520" s="79"/>
      <c r="Q520" s="79"/>
      <c r="U520" s="130"/>
      <c r="W520" s="106"/>
    </row>
    <row r="521">
      <c r="C521" s="79"/>
      <c r="D521" s="79"/>
      <c r="J521" s="79"/>
      <c r="N521" s="79"/>
      <c r="Q521" s="79"/>
      <c r="U521" s="130"/>
      <c r="W521" s="106"/>
    </row>
    <row r="522">
      <c r="C522" s="79"/>
      <c r="D522" s="79"/>
      <c r="J522" s="79"/>
      <c r="N522" s="79"/>
      <c r="Q522" s="79"/>
      <c r="U522" s="130"/>
      <c r="W522" s="106"/>
    </row>
    <row r="523">
      <c r="C523" s="79"/>
      <c r="D523" s="79"/>
      <c r="J523" s="79"/>
      <c r="N523" s="79"/>
      <c r="Q523" s="79"/>
      <c r="U523" s="130"/>
      <c r="W523" s="106"/>
    </row>
    <row r="524">
      <c r="C524" s="79"/>
      <c r="D524" s="79"/>
      <c r="J524" s="79"/>
      <c r="N524" s="79"/>
      <c r="Q524" s="79"/>
      <c r="U524" s="130"/>
      <c r="W524" s="106"/>
    </row>
    <row r="525">
      <c r="C525" s="79"/>
      <c r="D525" s="79"/>
      <c r="J525" s="79"/>
      <c r="N525" s="79"/>
      <c r="Q525" s="79"/>
      <c r="U525" s="130"/>
      <c r="W525" s="106"/>
    </row>
    <row r="526">
      <c r="C526" s="79"/>
      <c r="D526" s="79"/>
      <c r="J526" s="79"/>
      <c r="N526" s="79"/>
      <c r="Q526" s="79"/>
      <c r="U526" s="130"/>
      <c r="W526" s="106"/>
    </row>
    <row r="527">
      <c r="C527" s="79"/>
      <c r="D527" s="79"/>
      <c r="J527" s="79"/>
      <c r="N527" s="79"/>
      <c r="Q527" s="79"/>
      <c r="U527" s="130"/>
      <c r="W527" s="106"/>
    </row>
    <row r="528">
      <c r="C528" s="79"/>
      <c r="D528" s="79"/>
      <c r="J528" s="79"/>
      <c r="N528" s="79"/>
      <c r="Q528" s="79"/>
      <c r="U528" s="130"/>
      <c r="W528" s="106"/>
    </row>
    <row r="529">
      <c r="C529" s="79"/>
      <c r="D529" s="79"/>
      <c r="J529" s="79"/>
      <c r="N529" s="79"/>
      <c r="Q529" s="79"/>
      <c r="U529" s="130"/>
      <c r="W529" s="106"/>
    </row>
    <row r="530">
      <c r="C530" s="79"/>
      <c r="D530" s="79"/>
      <c r="J530" s="79"/>
      <c r="N530" s="79"/>
      <c r="Q530" s="79"/>
      <c r="U530" s="130"/>
      <c r="W530" s="106"/>
    </row>
    <row r="531">
      <c r="C531" s="79"/>
      <c r="D531" s="79"/>
      <c r="J531" s="79"/>
      <c r="N531" s="79"/>
      <c r="Q531" s="79"/>
      <c r="U531" s="130"/>
      <c r="W531" s="106"/>
    </row>
    <row r="532">
      <c r="C532" s="79"/>
      <c r="D532" s="79"/>
      <c r="J532" s="79"/>
      <c r="N532" s="79"/>
      <c r="Q532" s="79"/>
      <c r="U532" s="130"/>
      <c r="W532" s="106"/>
    </row>
    <row r="533">
      <c r="C533" s="79"/>
      <c r="D533" s="79"/>
      <c r="J533" s="79"/>
      <c r="N533" s="79"/>
      <c r="Q533" s="79"/>
      <c r="U533" s="130"/>
      <c r="W533" s="106"/>
    </row>
    <row r="534">
      <c r="C534" s="79"/>
      <c r="D534" s="79"/>
      <c r="J534" s="79"/>
      <c r="N534" s="79"/>
      <c r="Q534" s="79"/>
      <c r="U534" s="130"/>
      <c r="W534" s="106"/>
    </row>
    <row r="535">
      <c r="C535" s="79"/>
      <c r="D535" s="79"/>
      <c r="J535" s="79"/>
      <c r="N535" s="79"/>
      <c r="Q535" s="79"/>
      <c r="U535" s="130"/>
      <c r="W535" s="106"/>
    </row>
    <row r="536">
      <c r="C536" s="79"/>
      <c r="D536" s="79"/>
      <c r="J536" s="79"/>
      <c r="N536" s="79"/>
      <c r="Q536" s="79"/>
      <c r="U536" s="130"/>
      <c r="W536" s="106"/>
    </row>
    <row r="537">
      <c r="C537" s="79"/>
      <c r="D537" s="79"/>
      <c r="J537" s="79"/>
      <c r="N537" s="79"/>
      <c r="Q537" s="79"/>
      <c r="U537" s="130"/>
      <c r="W537" s="106"/>
    </row>
    <row r="538">
      <c r="C538" s="79"/>
      <c r="D538" s="79"/>
      <c r="J538" s="79"/>
      <c r="N538" s="79"/>
      <c r="Q538" s="79"/>
      <c r="U538" s="130"/>
      <c r="W538" s="106"/>
    </row>
    <row r="539">
      <c r="C539" s="79"/>
      <c r="D539" s="79"/>
      <c r="J539" s="79"/>
      <c r="N539" s="79"/>
      <c r="Q539" s="79"/>
      <c r="U539" s="130"/>
      <c r="W539" s="106"/>
    </row>
    <row r="540">
      <c r="C540" s="79"/>
      <c r="D540" s="79"/>
      <c r="J540" s="79"/>
      <c r="N540" s="79"/>
      <c r="Q540" s="79"/>
      <c r="U540" s="130"/>
      <c r="W540" s="106"/>
    </row>
    <row r="541">
      <c r="C541" s="79"/>
      <c r="D541" s="79"/>
      <c r="J541" s="79"/>
      <c r="N541" s="79"/>
      <c r="Q541" s="79"/>
      <c r="U541" s="130"/>
      <c r="W541" s="106"/>
    </row>
    <row r="542">
      <c r="C542" s="79"/>
      <c r="D542" s="79"/>
      <c r="J542" s="79"/>
      <c r="N542" s="79"/>
      <c r="Q542" s="79"/>
      <c r="U542" s="130"/>
      <c r="W542" s="106"/>
    </row>
    <row r="543">
      <c r="C543" s="79"/>
      <c r="D543" s="79"/>
      <c r="J543" s="79"/>
      <c r="N543" s="79"/>
      <c r="Q543" s="79"/>
      <c r="U543" s="130"/>
      <c r="W543" s="106"/>
    </row>
    <row r="544">
      <c r="C544" s="79"/>
      <c r="D544" s="79"/>
      <c r="J544" s="79"/>
      <c r="N544" s="79"/>
      <c r="Q544" s="79"/>
      <c r="U544" s="130"/>
      <c r="W544" s="106"/>
    </row>
    <row r="545">
      <c r="C545" s="79"/>
      <c r="D545" s="79"/>
      <c r="J545" s="79"/>
      <c r="N545" s="79"/>
      <c r="Q545" s="79"/>
      <c r="U545" s="130"/>
      <c r="W545" s="106"/>
    </row>
    <row r="546">
      <c r="C546" s="79"/>
      <c r="D546" s="79"/>
      <c r="J546" s="79"/>
      <c r="N546" s="79"/>
      <c r="Q546" s="79"/>
      <c r="U546" s="130"/>
      <c r="W546" s="106"/>
    </row>
    <row r="547">
      <c r="C547" s="79"/>
      <c r="D547" s="79"/>
      <c r="J547" s="79"/>
      <c r="N547" s="79"/>
      <c r="Q547" s="79"/>
      <c r="U547" s="130"/>
      <c r="W547" s="106"/>
    </row>
    <row r="548">
      <c r="C548" s="79"/>
      <c r="D548" s="79"/>
      <c r="J548" s="79"/>
      <c r="N548" s="79"/>
      <c r="Q548" s="79"/>
      <c r="U548" s="130"/>
      <c r="W548" s="106"/>
    </row>
    <row r="549">
      <c r="C549" s="79"/>
      <c r="D549" s="79"/>
      <c r="J549" s="79"/>
      <c r="N549" s="79"/>
      <c r="Q549" s="79"/>
      <c r="U549" s="130"/>
      <c r="W549" s="106"/>
    </row>
    <row r="550">
      <c r="C550" s="79"/>
      <c r="D550" s="79"/>
      <c r="J550" s="79"/>
      <c r="N550" s="79"/>
      <c r="Q550" s="79"/>
      <c r="U550" s="130"/>
      <c r="W550" s="106"/>
    </row>
    <row r="551">
      <c r="C551" s="79"/>
      <c r="D551" s="79"/>
      <c r="J551" s="79"/>
      <c r="N551" s="79"/>
      <c r="Q551" s="79"/>
      <c r="U551" s="130"/>
      <c r="W551" s="106"/>
    </row>
    <row r="552">
      <c r="C552" s="79"/>
      <c r="D552" s="79"/>
      <c r="J552" s="79"/>
      <c r="N552" s="79"/>
      <c r="Q552" s="79"/>
      <c r="U552" s="130"/>
      <c r="W552" s="106"/>
    </row>
    <row r="553">
      <c r="C553" s="79"/>
      <c r="D553" s="79"/>
      <c r="J553" s="79"/>
      <c r="N553" s="79"/>
      <c r="Q553" s="79"/>
      <c r="U553" s="130"/>
      <c r="W553" s="106"/>
    </row>
    <row r="554">
      <c r="C554" s="79"/>
      <c r="D554" s="79"/>
      <c r="J554" s="79"/>
      <c r="N554" s="79"/>
      <c r="Q554" s="79"/>
      <c r="U554" s="130"/>
      <c r="W554" s="106"/>
    </row>
    <row r="555">
      <c r="C555" s="79"/>
      <c r="D555" s="79"/>
      <c r="J555" s="79"/>
      <c r="N555" s="79"/>
      <c r="Q555" s="79"/>
      <c r="U555" s="130"/>
      <c r="W555" s="106"/>
    </row>
    <row r="556">
      <c r="C556" s="79"/>
      <c r="D556" s="79"/>
      <c r="J556" s="79"/>
      <c r="N556" s="79"/>
      <c r="Q556" s="79"/>
      <c r="U556" s="130"/>
      <c r="W556" s="106"/>
    </row>
    <row r="557">
      <c r="C557" s="79"/>
      <c r="D557" s="79"/>
      <c r="J557" s="79"/>
      <c r="N557" s="79"/>
      <c r="Q557" s="79"/>
      <c r="U557" s="130"/>
      <c r="W557" s="106"/>
    </row>
    <row r="558">
      <c r="C558" s="79"/>
      <c r="D558" s="79"/>
      <c r="J558" s="79"/>
      <c r="N558" s="79"/>
      <c r="Q558" s="79"/>
      <c r="U558" s="130"/>
      <c r="W558" s="106"/>
    </row>
    <row r="559">
      <c r="C559" s="79"/>
      <c r="D559" s="79"/>
      <c r="J559" s="79"/>
      <c r="N559" s="79"/>
      <c r="Q559" s="79"/>
      <c r="U559" s="130"/>
      <c r="W559" s="106"/>
    </row>
    <row r="560">
      <c r="C560" s="79"/>
      <c r="D560" s="79"/>
      <c r="J560" s="79"/>
      <c r="N560" s="79"/>
      <c r="Q560" s="79"/>
      <c r="U560" s="130"/>
      <c r="W560" s="106"/>
    </row>
    <row r="561">
      <c r="C561" s="79"/>
      <c r="D561" s="79"/>
      <c r="J561" s="79"/>
      <c r="N561" s="79"/>
      <c r="Q561" s="79"/>
      <c r="U561" s="130"/>
      <c r="W561" s="106"/>
    </row>
    <row r="562">
      <c r="C562" s="79"/>
      <c r="D562" s="79"/>
      <c r="J562" s="79"/>
      <c r="N562" s="79"/>
      <c r="Q562" s="79"/>
      <c r="U562" s="130"/>
      <c r="W562" s="106"/>
    </row>
    <row r="563">
      <c r="C563" s="79"/>
      <c r="D563" s="79"/>
      <c r="J563" s="79"/>
      <c r="N563" s="79"/>
      <c r="Q563" s="79"/>
      <c r="U563" s="130"/>
      <c r="W563" s="106"/>
    </row>
    <row r="564">
      <c r="C564" s="79"/>
      <c r="D564" s="79"/>
      <c r="J564" s="79"/>
      <c r="N564" s="79"/>
      <c r="Q564" s="79"/>
      <c r="U564" s="130"/>
      <c r="W564" s="106"/>
    </row>
    <row r="565">
      <c r="C565" s="79"/>
      <c r="D565" s="79"/>
      <c r="J565" s="79"/>
      <c r="N565" s="79"/>
      <c r="Q565" s="79"/>
      <c r="U565" s="130"/>
      <c r="W565" s="106"/>
    </row>
    <row r="566">
      <c r="C566" s="79"/>
      <c r="D566" s="79"/>
      <c r="J566" s="79"/>
      <c r="N566" s="79"/>
      <c r="Q566" s="79"/>
      <c r="U566" s="130"/>
      <c r="W566" s="106"/>
    </row>
    <row r="567">
      <c r="C567" s="79"/>
      <c r="D567" s="79"/>
      <c r="J567" s="79"/>
      <c r="N567" s="79"/>
      <c r="Q567" s="79"/>
      <c r="U567" s="130"/>
      <c r="W567" s="106"/>
    </row>
    <row r="568">
      <c r="C568" s="79"/>
      <c r="D568" s="79"/>
      <c r="J568" s="79"/>
      <c r="N568" s="79"/>
      <c r="Q568" s="79"/>
      <c r="U568" s="130"/>
      <c r="W568" s="106"/>
    </row>
    <row r="569">
      <c r="C569" s="79"/>
      <c r="D569" s="79"/>
      <c r="J569" s="79"/>
      <c r="N569" s="79"/>
      <c r="Q569" s="79"/>
      <c r="U569" s="130"/>
      <c r="W569" s="106"/>
    </row>
    <row r="570">
      <c r="C570" s="79"/>
      <c r="D570" s="79"/>
      <c r="J570" s="79"/>
      <c r="N570" s="79"/>
      <c r="Q570" s="79"/>
      <c r="U570" s="130"/>
      <c r="W570" s="106"/>
    </row>
    <row r="571">
      <c r="C571" s="79"/>
      <c r="D571" s="79"/>
      <c r="J571" s="79"/>
      <c r="N571" s="79"/>
      <c r="Q571" s="79"/>
      <c r="U571" s="130"/>
      <c r="W571" s="106"/>
    </row>
    <row r="572">
      <c r="C572" s="79"/>
      <c r="D572" s="79"/>
      <c r="J572" s="79"/>
      <c r="N572" s="79"/>
      <c r="Q572" s="79"/>
      <c r="U572" s="130"/>
      <c r="W572" s="106"/>
    </row>
    <row r="573">
      <c r="C573" s="79"/>
      <c r="D573" s="79"/>
      <c r="J573" s="79"/>
      <c r="N573" s="79"/>
      <c r="Q573" s="79"/>
      <c r="U573" s="130"/>
      <c r="W573" s="106"/>
    </row>
    <row r="574">
      <c r="C574" s="79"/>
      <c r="D574" s="79"/>
      <c r="J574" s="79"/>
      <c r="N574" s="79"/>
      <c r="Q574" s="79"/>
      <c r="U574" s="130"/>
      <c r="W574" s="106"/>
    </row>
    <row r="575">
      <c r="C575" s="79"/>
      <c r="D575" s="79"/>
      <c r="J575" s="79"/>
      <c r="N575" s="79"/>
      <c r="Q575" s="79"/>
      <c r="U575" s="130"/>
      <c r="W575" s="106"/>
    </row>
    <row r="576">
      <c r="C576" s="79"/>
      <c r="D576" s="79"/>
      <c r="J576" s="79"/>
      <c r="N576" s="79"/>
      <c r="Q576" s="79"/>
      <c r="U576" s="130"/>
      <c r="W576" s="106"/>
    </row>
    <row r="577">
      <c r="C577" s="79"/>
      <c r="D577" s="79"/>
      <c r="J577" s="79"/>
      <c r="N577" s="79"/>
      <c r="Q577" s="79"/>
      <c r="U577" s="130"/>
      <c r="W577" s="106"/>
    </row>
    <row r="578">
      <c r="C578" s="79"/>
      <c r="D578" s="79"/>
      <c r="J578" s="79"/>
      <c r="N578" s="79"/>
      <c r="Q578" s="79"/>
      <c r="U578" s="130"/>
      <c r="W578" s="106"/>
    </row>
    <row r="579">
      <c r="C579" s="79"/>
      <c r="D579" s="79"/>
      <c r="J579" s="79"/>
      <c r="N579" s="79"/>
      <c r="Q579" s="79"/>
      <c r="U579" s="130"/>
      <c r="W579" s="106"/>
    </row>
    <row r="580">
      <c r="C580" s="79"/>
      <c r="D580" s="79"/>
      <c r="J580" s="79"/>
      <c r="N580" s="79"/>
      <c r="Q580" s="79"/>
      <c r="U580" s="130"/>
      <c r="W580" s="106"/>
    </row>
    <row r="581">
      <c r="C581" s="79"/>
      <c r="D581" s="79"/>
      <c r="J581" s="79"/>
      <c r="N581" s="79"/>
      <c r="Q581" s="79"/>
      <c r="U581" s="130"/>
      <c r="W581" s="106"/>
    </row>
    <row r="582">
      <c r="C582" s="79"/>
      <c r="D582" s="79"/>
      <c r="J582" s="79"/>
      <c r="N582" s="79"/>
      <c r="Q582" s="79"/>
      <c r="U582" s="130"/>
      <c r="W582" s="106"/>
    </row>
    <row r="583">
      <c r="C583" s="79"/>
      <c r="D583" s="79"/>
      <c r="J583" s="79"/>
      <c r="N583" s="79"/>
      <c r="Q583" s="79"/>
      <c r="U583" s="130"/>
      <c r="W583" s="106"/>
    </row>
    <row r="584">
      <c r="C584" s="79"/>
      <c r="D584" s="79"/>
      <c r="J584" s="79"/>
      <c r="N584" s="79"/>
      <c r="Q584" s="79"/>
      <c r="U584" s="130"/>
      <c r="W584" s="106"/>
    </row>
    <row r="585">
      <c r="C585" s="79"/>
      <c r="D585" s="79"/>
      <c r="J585" s="79"/>
      <c r="N585" s="79"/>
      <c r="Q585" s="79"/>
      <c r="U585" s="130"/>
      <c r="W585" s="106"/>
    </row>
    <row r="586">
      <c r="C586" s="79"/>
      <c r="D586" s="79"/>
      <c r="J586" s="79"/>
      <c r="N586" s="79"/>
      <c r="Q586" s="79"/>
      <c r="U586" s="130"/>
      <c r="W586" s="106"/>
    </row>
    <row r="587">
      <c r="C587" s="79"/>
      <c r="D587" s="79"/>
      <c r="J587" s="79"/>
      <c r="N587" s="79"/>
      <c r="Q587" s="79"/>
      <c r="U587" s="130"/>
      <c r="W587" s="106"/>
    </row>
    <row r="588">
      <c r="C588" s="79"/>
      <c r="D588" s="79"/>
      <c r="J588" s="79"/>
      <c r="N588" s="79"/>
      <c r="Q588" s="79"/>
      <c r="U588" s="130"/>
      <c r="W588" s="106"/>
    </row>
    <row r="589">
      <c r="C589" s="79"/>
      <c r="D589" s="79"/>
      <c r="J589" s="79"/>
      <c r="N589" s="79"/>
      <c r="Q589" s="79"/>
      <c r="U589" s="130"/>
      <c r="W589" s="106"/>
    </row>
    <row r="590">
      <c r="C590" s="79"/>
      <c r="D590" s="79"/>
      <c r="J590" s="79"/>
      <c r="N590" s="79"/>
      <c r="Q590" s="79"/>
      <c r="U590" s="130"/>
      <c r="W590" s="106"/>
    </row>
    <row r="591">
      <c r="C591" s="79"/>
      <c r="D591" s="79"/>
      <c r="J591" s="79"/>
      <c r="N591" s="79"/>
      <c r="Q591" s="79"/>
      <c r="U591" s="130"/>
      <c r="W591" s="106"/>
    </row>
    <row r="592">
      <c r="C592" s="79"/>
      <c r="D592" s="79"/>
      <c r="J592" s="79"/>
      <c r="N592" s="79"/>
      <c r="Q592" s="79"/>
      <c r="U592" s="130"/>
      <c r="W592" s="106"/>
    </row>
    <row r="593">
      <c r="C593" s="79"/>
      <c r="D593" s="79"/>
      <c r="J593" s="79"/>
      <c r="N593" s="79"/>
      <c r="Q593" s="79"/>
      <c r="U593" s="130"/>
      <c r="W593" s="106"/>
    </row>
    <row r="594">
      <c r="C594" s="79"/>
      <c r="D594" s="79"/>
      <c r="J594" s="79"/>
      <c r="N594" s="79"/>
      <c r="Q594" s="79"/>
      <c r="U594" s="130"/>
      <c r="W594" s="106"/>
    </row>
    <row r="595">
      <c r="C595" s="79"/>
      <c r="D595" s="79"/>
      <c r="J595" s="79"/>
      <c r="N595" s="79"/>
      <c r="Q595" s="79"/>
      <c r="U595" s="130"/>
      <c r="W595" s="106"/>
    </row>
    <row r="596">
      <c r="C596" s="79"/>
      <c r="D596" s="79"/>
      <c r="J596" s="79"/>
      <c r="N596" s="79"/>
      <c r="Q596" s="79"/>
      <c r="U596" s="130"/>
      <c r="W596" s="106"/>
    </row>
    <row r="597">
      <c r="C597" s="79"/>
      <c r="D597" s="79"/>
      <c r="J597" s="79"/>
      <c r="N597" s="79"/>
      <c r="Q597" s="79"/>
      <c r="U597" s="130"/>
      <c r="W597" s="106"/>
    </row>
    <row r="598">
      <c r="C598" s="79"/>
      <c r="D598" s="79"/>
      <c r="J598" s="79"/>
      <c r="N598" s="79"/>
      <c r="Q598" s="79"/>
      <c r="U598" s="130"/>
      <c r="W598" s="106"/>
    </row>
    <row r="599">
      <c r="C599" s="79"/>
      <c r="D599" s="79"/>
      <c r="J599" s="79"/>
      <c r="N599" s="79"/>
      <c r="Q599" s="79"/>
      <c r="U599" s="130"/>
      <c r="W599" s="106"/>
    </row>
    <row r="600">
      <c r="C600" s="79"/>
      <c r="D600" s="79"/>
      <c r="J600" s="79"/>
      <c r="N600" s="79"/>
      <c r="Q600" s="79"/>
      <c r="U600" s="130"/>
      <c r="W600" s="106"/>
    </row>
    <row r="601">
      <c r="C601" s="79"/>
      <c r="D601" s="79"/>
      <c r="J601" s="79"/>
      <c r="N601" s="79"/>
      <c r="Q601" s="79"/>
      <c r="U601" s="130"/>
      <c r="W601" s="106"/>
    </row>
    <row r="602">
      <c r="C602" s="79"/>
      <c r="D602" s="79"/>
      <c r="J602" s="79"/>
      <c r="N602" s="79"/>
      <c r="Q602" s="79"/>
      <c r="U602" s="130"/>
      <c r="W602" s="106"/>
    </row>
    <row r="603">
      <c r="C603" s="79"/>
      <c r="D603" s="79"/>
      <c r="J603" s="79"/>
      <c r="N603" s="79"/>
      <c r="Q603" s="79"/>
      <c r="U603" s="130"/>
      <c r="W603" s="106"/>
    </row>
    <row r="604">
      <c r="C604" s="79"/>
      <c r="D604" s="79"/>
      <c r="J604" s="79"/>
      <c r="N604" s="79"/>
      <c r="Q604" s="79"/>
      <c r="U604" s="130"/>
      <c r="W604" s="106"/>
    </row>
    <row r="605">
      <c r="C605" s="79"/>
      <c r="D605" s="79"/>
      <c r="J605" s="79"/>
      <c r="N605" s="79"/>
      <c r="Q605" s="79"/>
      <c r="U605" s="130"/>
      <c r="W605" s="106"/>
    </row>
    <row r="606">
      <c r="C606" s="79"/>
      <c r="D606" s="79"/>
      <c r="J606" s="79"/>
      <c r="N606" s="79"/>
      <c r="Q606" s="79"/>
      <c r="U606" s="130"/>
      <c r="W606" s="106"/>
    </row>
    <row r="607">
      <c r="C607" s="79"/>
      <c r="D607" s="79"/>
      <c r="J607" s="79"/>
      <c r="N607" s="79"/>
      <c r="Q607" s="79"/>
      <c r="U607" s="130"/>
      <c r="W607" s="106"/>
    </row>
    <row r="608">
      <c r="C608" s="79"/>
      <c r="D608" s="79"/>
      <c r="J608" s="79"/>
      <c r="N608" s="79"/>
      <c r="Q608" s="79"/>
      <c r="U608" s="130"/>
      <c r="W608" s="106"/>
    </row>
    <row r="609">
      <c r="C609" s="79"/>
      <c r="D609" s="79"/>
      <c r="J609" s="79"/>
      <c r="N609" s="79"/>
      <c r="Q609" s="79"/>
      <c r="U609" s="130"/>
      <c r="W609" s="106"/>
    </row>
    <row r="610">
      <c r="C610" s="79"/>
      <c r="D610" s="79"/>
      <c r="J610" s="79"/>
      <c r="N610" s="79"/>
      <c r="Q610" s="79"/>
      <c r="U610" s="130"/>
      <c r="W610" s="106"/>
    </row>
    <row r="611">
      <c r="C611" s="79"/>
      <c r="D611" s="79"/>
      <c r="J611" s="79"/>
      <c r="N611" s="79"/>
      <c r="Q611" s="79"/>
      <c r="U611" s="130"/>
      <c r="W611" s="106"/>
    </row>
    <row r="612">
      <c r="C612" s="79"/>
      <c r="D612" s="79"/>
      <c r="J612" s="79"/>
      <c r="N612" s="79"/>
      <c r="Q612" s="79"/>
      <c r="U612" s="130"/>
      <c r="W612" s="106"/>
    </row>
    <row r="613">
      <c r="C613" s="79"/>
      <c r="D613" s="79"/>
      <c r="J613" s="79"/>
      <c r="N613" s="79"/>
      <c r="Q613" s="79"/>
      <c r="U613" s="130"/>
      <c r="W613" s="106"/>
    </row>
    <row r="614">
      <c r="C614" s="79"/>
      <c r="D614" s="79"/>
      <c r="J614" s="79"/>
      <c r="N614" s="79"/>
      <c r="Q614" s="79"/>
      <c r="U614" s="130"/>
      <c r="W614" s="106"/>
    </row>
    <row r="615">
      <c r="C615" s="79"/>
      <c r="D615" s="79"/>
      <c r="J615" s="79"/>
      <c r="N615" s="79"/>
      <c r="Q615" s="79"/>
      <c r="U615" s="130"/>
      <c r="W615" s="106"/>
    </row>
    <row r="616">
      <c r="C616" s="79"/>
      <c r="D616" s="79"/>
      <c r="J616" s="79"/>
      <c r="N616" s="79"/>
      <c r="Q616" s="79"/>
      <c r="U616" s="130"/>
      <c r="W616" s="106"/>
    </row>
    <row r="617">
      <c r="C617" s="79"/>
      <c r="D617" s="79"/>
      <c r="J617" s="79"/>
      <c r="N617" s="79"/>
      <c r="Q617" s="79"/>
      <c r="U617" s="130"/>
      <c r="W617" s="106"/>
    </row>
    <row r="618">
      <c r="C618" s="79"/>
      <c r="D618" s="79"/>
      <c r="J618" s="79"/>
      <c r="N618" s="79"/>
      <c r="Q618" s="79"/>
      <c r="U618" s="130"/>
      <c r="W618" s="106"/>
    </row>
    <row r="619">
      <c r="C619" s="79"/>
      <c r="D619" s="79"/>
      <c r="J619" s="79"/>
      <c r="N619" s="79"/>
      <c r="Q619" s="79"/>
      <c r="U619" s="130"/>
      <c r="W619" s="106"/>
    </row>
    <row r="620">
      <c r="C620" s="79"/>
      <c r="D620" s="79"/>
      <c r="J620" s="79"/>
      <c r="N620" s="79"/>
      <c r="Q620" s="79"/>
      <c r="U620" s="130"/>
      <c r="W620" s="106"/>
    </row>
    <row r="621">
      <c r="C621" s="79"/>
      <c r="D621" s="79"/>
      <c r="J621" s="79"/>
      <c r="N621" s="79"/>
      <c r="Q621" s="79"/>
      <c r="U621" s="130"/>
      <c r="W621" s="106"/>
    </row>
    <row r="622">
      <c r="C622" s="79"/>
      <c r="D622" s="79"/>
      <c r="J622" s="79"/>
      <c r="N622" s="79"/>
      <c r="Q622" s="79"/>
      <c r="U622" s="130"/>
      <c r="W622" s="106"/>
    </row>
    <row r="623">
      <c r="C623" s="79"/>
      <c r="D623" s="79"/>
      <c r="J623" s="79"/>
      <c r="N623" s="79"/>
      <c r="Q623" s="79"/>
      <c r="U623" s="130"/>
      <c r="W623" s="106"/>
    </row>
    <row r="624">
      <c r="C624" s="79"/>
      <c r="D624" s="79"/>
      <c r="J624" s="79"/>
      <c r="N624" s="79"/>
      <c r="Q624" s="79"/>
      <c r="U624" s="130"/>
      <c r="W624" s="106"/>
    </row>
    <row r="625">
      <c r="C625" s="79"/>
      <c r="D625" s="79"/>
      <c r="J625" s="79"/>
      <c r="N625" s="79"/>
      <c r="Q625" s="79"/>
      <c r="U625" s="130"/>
      <c r="W625" s="106"/>
    </row>
    <row r="626">
      <c r="C626" s="79"/>
      <c r="D626" s="79"/>
      <c r="J626" s="79"/>
      <c r="N626" s="79"/>
      <c r="Q626" s="79"/>
      <c r="U626" s="130"/>
      <c r="W626" s="106"/>
    </row>
    <row r="627">
      <c r="C627" s="79"/>
      <c r="D627" s="79"/>
      <c r="J627" s="79"/>
      <c r="N627" s="79"/>
      <c r="Q627" s="79"/>
      <c r="U627" s="130"/>
      <c r="W627" s="106"/>
    </row>
    <row r="628">
      <c r="C628" s="79"/>
      <c r="D628" s="79"/>
      <c r="J628" s="79"/>
      <c r="N628" s="79"/>
      <c r="Q628" s="79"/>
      <c r="U628" s="130"/>
      <c r="W628" s="106"/>
    </row>
    <row r="629">
      <c r="C629" s="79"/>
      <c r="D629" s="79"/>
      <c r="J629" s="79"/>
      <c r="N629" s="79"/>
      <c r="Q629" s="79"/>
      <c r="U629" s="130"/>
      <c r="W629" s="106"/>
    </row>
    <row r="630">
      <c r="C630" s="79"/>
      <c r="D630" s="79"/>
      <c r="J630" s="79"/>
      <c r="N630" s="79"/>
      <c r="Q630" s="79"/>
      <c r="U630" s="130"/>
      <c r="W630" s="106"/>
    </row>
    <row r="631">
      <c r="C631" s="79"/>
      <c r="D631" s="79"/>
      <c r="J631" s="79"/>
      <c r="N631" s="79"/>
      <c r="Q631" s="79"/>
      <c r="U631" s="130"/>
      <c r="W631" s="106"/>
    </row>
    <row r="632">
      <c r="C632" s="79"/>
      <c r="D632" s="79"/>
      <c r="J632" s="79"/>
      <c r="N632" s="79"/>
      <c r="Q632" s="79"/>
      <c r="U632" s="130"/>
      <c r="W632" s="106"/>
    </row>
    <row r="633">
      <c r="C633" s="79"/>
      <c r="D633" s="79"/>
      <c r="J633" s="79"/>
      <c r="N633" s="79"/>
      <c r="Q633" s="79"/>
      <c r="U633" s="130"/>
      <c r="W633" s="106"/>
    </row>
    <row r="634">
      <c r="C634" s="79"/>
      <c r="D634" s="79"/>
      <c r="J634" s="79"/>
      <c r="N634" s="79"/>
      <c r="Q634" s="79"/>
      <c r="U634" s="130"/>
      <c r="W634" s="106"/>
    </row>
    <row r="635">
      <c r="C635" s="79"/>
      <c r="D635" s="79"/>
      <c r="J635" s="79"/>
      <c r="N635" s="79"/>
      <c r="Q635" s="79"/>
      <c r="U635" s="130"/>
      <c r="W635" s="106"/>
    </row>
    <row r="636">
      <c r="C636" s="79"/>
      <c r="D636" s="79"/>
      <c r="J636" s="79"/>
      <c r="N636" s="79"/>
      <c r="Q636" s="79"/>
      <c r="U636" s="130"/>
      <c r="W636" s="106"/>
    </row>
    <row r="637">
      <c r="C637" s="79"/>
      <c r="D637" s="79"/>
      <c r="J637" s="79"/>
      <c r="N637" s="79"/>
      <c r="Q637" s="79"/>
      <c r="U637" s="130"/>
      <c r="W637" s="106"/>
    </row>
    <row r="638">
      <c r="C638" s="79"/>
      <c r="D638" s="79"/>
      <c r="J638" s="79"/>
      <c r="N638" s="79"/>
      <c r="Q638" s="79"/>
      <c r="U638" s="130"/>
      <c r="W638" s="106"/>
    </row>
    <row r="639">
      <c r="C639" s="79"/>
      <c r="D639" s="79"/>
      <c r="J639" s="79"/>
      <c r="N639" s="79"/>
      <c r="Q639" s="79"/>
      <c r="U639" s="130"/>
      <c r="W639" s="106"/>
    </row>
    <row r="640">
      <c r="C640" s="79"/>
      <c r="D640" s="79"/>
      <c r="J640" s="79"/>
      <c r="N640" s="79"/>
      <c r="Q640" s="79"/>
      <c r="U640" s="130"/>
      <c r="W640" s="106"/>
    </row>
    <row r="641">
      <c r="C641" s="79"/>
      <c r="D641" s="79"/>
      <c r="J641" s="79"/>
      <c r="N641" s="79"/>
      <c r="Q641" s="79"/>
      <c r="U641" s="130"/>
      <c r="W641" s="106"/>
    </row>
    <row r="642">
      <c r="C642" s="79"/>
      <c r="D642" s="79"/>
      <c r="J642" s="79"/>
      <c r="N642" s="79"/>
      <c r="Q642" s="79"/>
      <c r="U642" s="130"/>
      <c r="W642" s="106"/>
    </row>
    <row r="643">
      <c r="C643" s="79"/>
      <c r="D643" s="79"/>
      <c r="J643" s="79"/>
      <c r="N643" s="79"/>
      <c r="Q643" s="79"/>
      <c r="U643" s="130"/>
      <c r="W643" s="106"/>
    </row>
    <row r="644">
      <c r="C644" s="79"/>
      <c r="D644" s="79"/>
      <c r="J644" s="79"/>
      <c r="N644" s="79"/>
      <c r="Q644" s="79"/>
      <c r="U644" s="130"/>
      <c r="W644" s="106"/>
    </row>
    <row r="645">
      <c r="C645" s="79"/>
      <c r="D645" s="79"/>
      <c r="J645" s="79"/>
      <c r="N645" s="79"/>
      <c r="Q645" s="79"/>
      <c r="U645" s="130"/>
      <c r="W645" s="106"/>
    </row>
    <row r="646">
      <c r="C646" s="79"/>
      <c r="D646" s="79"/>
      <c r="J646" s="79"/>
      <c r="N646" s="79"/>
      <c r="Q646" s="79"/>
      <c r="U646" s="130"/>
      <c r="W646" s="106"/>
    </row>
    <row r="647">
      <c r="C647" s="79"/>
      <c r="D647" s="79"/>
      <c r="J647" s="79"/>
      <c r="N647" s="79"/>
      <c r="Q647" s="79"/>
      <c r="U647" s="130"/>
      <c r="W647" s="106"/>
    </row>
    <row r="648">
      <c r="C648" s="79"/>
      <c r="D648" s="79"/>
      <c r="J648" s="79"/>
      <c r="N648" s="79"/>
      <c r="Q648" s="79"/>
      <c r="U648" s="130"/>
      <c r="W648" s="106"/>
    </row>
    <row r="649">
      <c r="C649" s="79"/>
      <c r="D649" s="79"/>
      <c r="J649" s="79"/>
      <c r="N649" s="79"/>
      <c r="Q649" s="79"/>
      <c r="U649" s="130"/>
      <c r="W649" s="106"/>
    </row>
    <row r="650">
      <c r="C650" s="79"/>
      <c r="D650" s="79"/>
      <c r="J650" s="79"/>
      <c r="N650" s="79"/>
      <c r="Q650" s="79"/>
      <c r="U650" s="130"/>
      <c r="W650" s="106"/>
    </row>
    <row r="651">
      <c r="C651" s="79"/>
      <c r="D651" s="79"/>
      <c r="J651" s="79"/>
      <c r="N651" s="79"/>
      <c r="Q651" s="79"/>
      <c r="U651" s="130"/>
      <c r="W651" s="106"/>
    </row>
    <row r="652">
      <c r="C652" s="79"/>
      <c r="D652" s="79"/>
      <c r="J652" s="79"/>
      <c r="N652" s="79"/>
      <c r="Q652" s="79"/>
      <c r="U652" s="130"/>
      <c r="W652" s="106"/>
    </row>
    <row r="653">
      <c r="C653" s="79"/>
      <c r="D653" s="79"/>
      <c r="J653" s="79"/>
      <c r="N653" s="79"/>
      <c r="Q653" s="79"/>
      <c r="U653" s="130"/>
      <c r="W653" s="106"/>
    </row>
    <row r="654">
      <c r="C654" s="79"/>
      <c r="D654" s="79"/>
      <c r="J654" s="79"/>
      <c r="N654" s="79"/>
      <c r="Q654" s="79"/>
      <c r="U654" s="130"/>
      <c r="W654" s="106"/>
    </row>
    <row r="655">
      <c r="C655" s="79"/>
      <c r="D655" s="79"/>
      <c r="J655" s="79"/>
      <c r="N655" s="79"/>
      <c r="Q655" s="79"/>
      <c r="U655" s="130"/>
      <c r="W655" s="106"/>
    </row>
    <row r="656">
      <c r="C656" s="79"/>
      <c r="D656" s="79"/>
      <c r="J656" s="79"/>
      <c r="N656" s="79"/>
      <c r="Q656" s="79"/>
      <c r="U656" s="130"/>
      <c r="W656" s="106"/>
    </row>
    <row r="657">
      <c r="C657" s="79"/>
      <c r="D657" s="79"/>
      <c r="J657" s="79"/>
      <c r="N657" s="79"/>
      <c r="Q657" s="79"/>
      <c r="U657" s="130"/>
      <c r="W657" s="106"/>
    </row>
    <row r="658">
      <c r="C658" s="79"/>
      <c r="D658" s="79"/>
      <c r="J658" s="79"/>
      <c r="N658" s="79"/>
      <c r="Q658" s="79"/>
      <c r="U658" s="130"/>
      <c r="W658" s="106"/>
    </row>
    <row r="659">
      <c r="C659" s="79"/>
      <c r="D659" s="79"/>
      <c r="J659" s="79"/>
      <c r="N659" s="79"/>
      <c r="Q659" s="79"/>
      <c r="U659" s="130"/>
      <c r="W659" s="106"/>
    </row>
    <row r="660">
      <c r="C660" s="79"/>
      <c r="D660" s="79"/>
      <c r="J660" s="79"/>
      <c r="N660" s="79"/>
      <c r="Q660" s="79"/>
      <c r="U660" s="130"/>
      <c r="W660" s="106"/>
    </row>
    <row r="661">
      <c r="C661" s="79"/>
      <c r="D661" s="79"/>
      <c r="J661" s="79"/>
      <c r="N661" s="79"/>
      <c r="Q661" s="79"/>
      <c r="U661" s="130"/>
      <c r="W661" s="106"/>
    </row>
    <row r="662">
      <c r="C662" s="79"/>
      <c r="D662" s="79"/>
      <c r="J662" s="79"/>
      <c r="N662" s="79"/>
      <c r="Q662" s="79"/>
      <c r="U662" s="130"/>
      <c r="W662" s="106"/>
    </row>
    <row r="663">
      <c r="C663" s="79"/>
      <c r="D663" s="79"/>
      <c r="J663" s="79"/>
      <c r="N663" s="79"/>
      <c r="Q663" s="79"/>
      <c r="U663" s="130"/>
      <c r="W663" s="106"/>
    </row>
    <row r="664">
      <c r="C664" s="79"/>
      <c r="D664" s="79"/>
      <c r="J664" s="79"/>
      <c r="N664" s="79"/>
      <c r="Q664" s="79"/>
      <c r="U664" s="130"/>
      <c r="W664" s="106"/>
    </row>
    <row r="665">
      <c r="C665" s="79"/>
      <c r="D665" s="79"/>
      <c r="J665" s="79"/>
      <c r="N665" s="79"/>
      <c r="Q665" s="79"/>
      <c r="U665" s="130"/>
      <c r="W665" s="106"/>
    </row>
    <row r="666">
      <c r="C666" s="79"/>
      <c r="D666" s="79"/>
      <c r="J666" s="79"/>
      <c r="N666" s="79"/>
      <c r="Q666" s="79"/>
      <c r="U666" s="130"/>
      <c r="W666" s="106"/>
    </row>
    <row r="667">
      <c r="C667" s="79"/>
      <c r="D667" s="79"/>
      <c r="J667" s="79"/>
      <c r="N667" s="79"/>
      <c r="Q667" s="79"/>
      <c r="U667" s="130"/>
      <c r="W667" s="106"/>
    </row>
    <row r="668">
      <c r="C668" s="79"/>
      <c r="D668" s="79"/>
      <c r="J668" s="79"/>
      <c r="N668" s="79"/>
      <c r="Q668" s="79"/>
      <c r="U668" s="130"/>
      <c r="W668" s="106"/>
    </row>
    <row r="669">
      <c r="C669" s="79"/>
      <c r="D669" s="79"/>
      <c r="J669" s="79"/>
      <c r="N669" s="79"/>
      <c r="Q669" s="79"/>
      <c r="U669" s="130"/>
      <c r="W669" s="106"/>
    </row>
    <row r="670">
      <c r="C670" s="79"/>
      <c r="D670" s="79"/>
      <c r="J670" s="79"/>
      <c r="N670" s="79"/>
      <c r="Q670" s="79"/>
      <c r="U670" s="130"/>
      <c r="W670" s="106"/>
    </row>
    <row r="671">
      <c r="C671" s="79"/>
      <c r="D671" s="79"/>
      <c r="J671" s="79"/>
      <c r="N671" s="79"/>
      <c r="Q671" s="79"/>
      <c r="U671" s="130"/>
      <c r="W671" s="106"/>
    </row>
    <row r="672">
      <c r="C672" s="79"/>
      <c r="D672" s="79"/>
      <c r="J672" s="79"/>
      <c r="N672" s="79"/>
      <c r="Q672" s="79"/>
      <c r="U672" s="130"/>
      <c r="W672" s="106"/>
    </row>
    <row r="673">
      <c r="C673" s="79"/>
      <c r="D673" s="79"/>
      <c r="J673" s="79"/>
      <c r="N673" s="79"/>
      <c r="Q673" s="79"/>
      <c r="U673" s="130"/>
      <c r="W673" s="106"/>
    </row>
    <row r="674">
      <c r="C674" s="79"/>
      <c r="D674" s="79"/>
      <c r="J674" s="79"/>
      <c r="N674" s="79"/>
      <c r="Q674" s="79"/>
      <c r="U674" s="130"/>
      <c r="W674" s="106"/>
    </row>
    <row r="675">
      <c r="C675" s="79"/>
      <c r="D675" s="79"/>
      <c r="J675" s="79"/>
      <c r="N675" s="79"/>
      <c r="Q675" s="79"/>
      <c r="U675" s="130"/>
      <c r="W675" s="106"/>
    </row>
    <row r="676">
      <c r="C676" s="79"/>
      <c r="D676" s="79"/>
      <c r="J676" s="79"/>
      <c r="N676" s="79"/>
      <c r="Q676" s="79"/>
      <c r="U676" s="130"/>
      <c r="W676" s="106"/>
    </row>
    <row r="677">
      <c r="C677" s="79"/>
      <c r="D677" s="79"/>
      <c r="J677" s="79"/>
      <c r="N677" s="79"/>
      <c r="Q677" s="79"/>
      <c r="U677" s="130"/>
      <c r="W677" s="106"/>
    </row>
    <row r="678">
      <c r="C678" s="79"/>
      <c r="D678" s="79"/>
      <c r="J678" s="79"/>
      <c r="N678" s="79"/>
      <c r="Q678" s="79"/>
      <c r="U678" s="130"/>
      <c r="W678" s="106"/>
    </row>
    <row r="679">
      <c r="C679" s="79"/>
      <c r="D679" s="79"/>
      <c r="J679" s="79"/>
      <c r="N679" s="79"/>
      <c r="Q679" s="79"/>
      <c r="U679" s="130"/>
      <c r="W679" s="106"/>
    </row>
    <row r="680">
      <c r="C680" s="79"/>
      <c r="D680" s="79"/>
      <c r="J680" s="79"/>
      <c r="N680" s="79"/>
      <c r="Q680" s="79"/>
      <c r="U680" s="130"/>
      <c r="W680" s="106"/>
    </row>
    <row r="681">
      <c r="C681" s="79"/>
      <c r="D681" s="79"/>
      <c r="J681" s="79"/>
      <c r="N681" s="79"/>
      <c r="Q681" s="79"/>
      <c r="U681" s="130"/>
      <c r="W681" s="106"/>
    </row>
    <row r="682">
      <c r="C682" s="79"/>
      <c r="D682" s="79"/>
      <c r="J682" s="79"/>
      <c r="N682" s="79"/>
      <c r="Q682" s="79"/>
      <c r="U682" s="130"/>
      <c r="W682" s="106"/>
    </row>
    <row r="683">
      <c r="C683" s="79"/>
      <c r="D683" s="79"/>
      <c r="J683" s="79"/>
      <c r="N683" s="79"/>
      <c r="Q683" s="79"/>
      <c r="U683" s="130"/>
      <c r="W683" s="106"/>
    </row>
    <row r="684">
      <c r="C684" s="79"/>
      <c r="D684" s="79"/>
      <c r="J684" s="79"/>
      <c r="N684" s="79"/>
      <c r="Q684" s="79"/>
      <c r="U684" s="130"/>
      <c r="W684" s="106"/>
    </row>
    <row r="685">
      <c r="C685" s="79"/>
      <c r="D685" s="79"/>
      <c r="J685" s="79"/>
      <c r="N685" s="79"/>
      <c r="Q685" s="79"/>
      <c r="U685" s="130"/>
      <c r="W685" s="106"/>
    </row>
    <row r="686">
      <c r="C686" s="79"/>
      <c r="D686" s="79"/>
      <c r="J686" s="79"/>
      <c r="N686" s="79"/>
      <c r="Q686" s="79"/>
      <c r="U686" s="130"/>
      <c r="W686" s="106"/>
    </row>
    <row r="687">
      <c r="C687" s="79"/>
      <c r="D687" s="79"/>
      <c r="J687" s="79"/>
      <c r="N687" s="79"/>
      <c r="Q687" s="79"/>
      <c r="U687" s="130"/>
      <c r="W687" s="106"/>
    </row>
    <row r="688">
      <c r="C688" s="79"/>
      <c r="D688" s="79"/>
      <c r="J688" s="79"/>
      <c r="N688" s="79"/>
      <c r="Q688" s="79"/>
      <c r="U688" s="130"/>
      <c r="W688" s="106"/>
    </row>
    <row r="689">
      <c r="C689" s="79"/>
      <c r="D689" s="79"/>
      <c r="J689" s="79"/>
      <c r="N689" s="79"/>
      <c r="Q689" s="79"/>
      <c r="U689" s="130"/>
      <c r="W689" s="106"/>
    </row>
    <row r="690">
      <c r="C690" s="79"/>
      <c r="D690" s="79"/>
      <c r="J690" s="79"/>
      <c r="N690" s="79"/>
      <c r="Q690" s="79"/>
      <c r="U690" s="130"/>
      <c r="W690" s="106"/>
    </row>
    <row r="691">
      <c r="C691" s="79"/>
      <c r="D691" s="79"/>
      <c r="J691" s="79"/>
      <c r="N691" s="79"/>
      <c r="Q691" s="79"/>
      <c r="U691" s="130"/>
      <c r="W691" s="106"/>
    </row>
    <row r="692">
      <c r="C692" s="79"/>
      <c r="D692" s="79"/>
      <c r="J692" s="79"/>
      <c r="N692" s="79"/>
      <c r="Q692" s="79"/>
      <c r="U692" s="130"/>
      <c r="W692" s="106"/>
    </row>
    <row r="693">
      <c r="C693" s="79"/>
      <c r="D693" s="79"/>
      <c r="J693" s="79"/>
      <c r="N693" s="79"/>
      <c r="Q693" s="79"/>
      <c r="U693" s="130"/>
      <c r="W693" s="106"/>
    </row>
    <row r="694">
      <c r="C694" s="79"/>
      <c r="D694" s="79"/>
      <c r="J694" s="79"/>
      <c r="N694" s="79"/>
      <c r="Q694" s="79"/>
      <c r="U694" s="130"/>
      <c r="W694" s="106"/>
    </row>
    <row r="695">
      <c r="C695" s="79"/>
      <c r="D695" s="79"/>
      <c r="J695" s="79"/>
      <c r="N695" s="79"/>
      <c r="Q695" s="79"/>
      <c r="U695" s="130"/>
      <c r="W695" s="106"/>
    </row>
    <row r="696">
      <c r="C696" s="79"/>
      <c r="D696" s="79"/>
      <c r="J696" s="79"/>
      <c r="N696" s="79"/>
      <c r="Q696" s="79"/>
      <c r="U696" s="130"/>
      <c r="W696" s="106"/>
    </row>
    <row r="697">
      <c r="C697" s="79"/>
      <c r="D697" s="79"/>
      <c r="J697" s="79"/>
      <c r="N697" s="79"/>
      <c r="Q697" s="79"/>
      <c r="U697" s="130"/>
      <c r="W697" s="106"/>
    </row>
    <row r="698">
      <c r="C698" s="79"/>
      <c r="D698" s="79"/>
      <c r="J698" s="79"/>
      <c r="N698" s="79"/>
      <c r="Q698" s="79"/>
      <c r="U698" s="130"/>
      <c r="W698" s="106"/>
    </row>
    <row r="699">
      <c r="C699" s="79"/>
      <c r="D699" s="79"/>
      <c r="J699" s="79"/>
      <c r="N699" s="79"/>
      <c r="Q699" s="79"/>
      <c r="U699" s="130"/>
      <c r="W699" s="106"/>
    </row>
    <row r="700">
      <c r="C700" s="79"/>
      <c r="D700" s="79"/>
      <c r="J700" s="79"/>
      <c r="N700" s="79"/>
      <c r="Q700" s="79"/>
      <c r="U700" s="130"/>
      <c r="W700" s="106"/>
    </row>
    <row r="701">
      <c r="C701" s="79"/>
      <c r="D701" s="79"/>
      <c r="J701" s="79"/>
      <c r="N701" s="79"/>
      <c r="Q701" s="79"/>
      <c r="U701" s="130"/>
      <c r="W701" s="106"/>
    </row>
    <row r="702">
      <c r="C702" s="79"/>
      <c r="D702" s="79"/>
      <c r="J702" s="79"/>
      <c r="N702" s="79"/>
      <c r="Q702" s="79"/>
      <c r="U702" s="130"/>
      <c r="W702" s="106"/>
    </row>
    <row r="703">
      <c r="C703" s="79"/>
      <c r="D703" s="79"/>
      <c r="J703" s="79"/>
      <c r="N703" s="79"/>
      <c r="Q703" s="79"/>
      <c r="U703" s="130"/>
      <c r="W703" s="106"/>
    </row>
    <row r="704">
      <c r="C704" s="79"/>
      <c r="D704" s="79"/>
      <c r="J704" s="79"/>
      <c r="N704" s="79"/>
      <c r="Q704" s="79"/>
      <c r="U704" s="130"/>
      <c r="W704" s="106"/>
    </row>
    <row r="705">
      <c r="C705" s="79"/>
      <c r="D705" s="79"/>
      <c r="J705" s="79"/>
      <c r="N705" s="79"/>
      <c r="Q705" s="79"/>
      <c r="U705" s="130"/>
      <c r="W705" s="106"/>
    </row>
    <row r="706">
      <c r="C706" s="79"/>
      <c r="D706" s="79"/>
      <c r="J706" s="79"/>
      <c r="N706" s="79"/>
      <c r="Q706" s="79"/>
      <c r="U706" s="130"/>
      <c r="W706" s="106"/>
    </row>
    <row r="707">
      <c r="C707" s="79"/>
      <c r="D707" s="79"/>
      <c r="J707" s="79"/>
      <c r="N707" s="79"/>
      <c r="Q707" s="79"/>
      <c r="U707" s="130"/>
      <c r="W707" s="106"/>
    </row>
    <row r="708">
      <c r="C708" s="79"/>
      <c r="D708" s="79"/>
      <c r="J708" s="79"/>
      <c r="N708" s="79"/>
      <c r="Q708" s="79"/>
      <c r="U708" s="130"/>
      <c r="W708" s="106"/>
    </row>
    <row r="709">
      <c r="C709" s="79"/>
      <c r="D709" s="79"/>
      <c r="J709" s="79"/>
      <c r="N709" s="79"/>
      <c r="Q709" s="79"/>
      <c r="U709" s="130"/>
      <c r="W709" s="106"/>
    </row>
    <row r="710">
      <c r="C710" s="79"/>
      <c r="D710" s="79"/>
      <c r="J710" s="79"/>
      <c r="N710" s="79"/>
      <c r="Q710" s="79"/>
      <c r="U710" s="130"/>
      <c r="W710" s="106"/>
    </row>
    <row r="711">
      <c r="C711" s="79"/>
      <c r="D711" s="79"/>
      <c r="J711" s="79"/>
      <c r="N711" s="79"/>
      <c r="Q711" s="79"/>
      <c r="U711" s="130"/>
      <c r="W711" s="106"/>
    </row>
    <row r="712">
      <c r="C712" s="79"/>
      <c r="D712" s="79"/>
      <c r="J712" s="79"/>
      <c r="N712" s="79"/>
      <c r="Q712" s="79"/>
      <c r="U712" s="130"/>
      <c r="W712" s="106"/>
    </row>
    <row r="713">
      <c r="C713" s="79"/>
      <c r="D713" s="79"/>
      <c r="J713" s="79"/>
      <c r="N713" s="79"/>
      <c r="Q713" s="79"/>
      <c r="U713" s="130"/>
      <c r="W713" s="106"/>
    </row>
    <row r="714">
      <c r="C714" s="79"/>
      <c r="D714" s="79"/>
      <c r="J714" s="79"/>
      <c r="N714" s="79"/>
      <c r="Q714" s="79"/>
      <c r="U714" s="130"/>
      <c r="W714" s="106"/>
    </row>
    <row r="715">
      <c r="C715" s="79"/>
      <c r="D715" s="79"/>
      <c r="J715" s="79"/>
      <c r="N715" s="79"/>
      <c r="Q715" s="79"/>
      <c r="U715" s="130"/>
      <c r="W715" s="106"/>
    </row>
    <row r="716">
      <c r="C716" s="79"/>
      <c r="D716" s="79"/>
      <c r="J716" s="79"/>
      <c r="N716" s="79"/>
      <c r="Q716" s="79"/>
      <c r="U716" s="130"/>
      <c r="W716" s="106"/>
    </row>
    <row r="717">
      <c r="C717" s="79"/>
      <c r="D717" s="79"/>
      <c r="J717" s="79"/>
      <c r="N717" s="79"/>
      <c r="Q717" s="79"/>
      <c r="U717" s="130"/>
      <c r="W717" s="106"/>
    </row>
    <row r="718">
      <c r="C718" s="79"/>
      <c r="D718" s="79"/>
      <c r="J718" s="79"/>
      <c r="N718" s="79"/>
      <c r="Q718" s="79"/>
      <c r="U718" s="130"/>
      <c r="W718" s="106"/>
    </row>
    <row r="719">
      <c r="C719" s="79"/>
      <c r="D719" s="79"/>
      <c r="J719" s="79"/>
      <c r="N719" s="79"/>
      <c r="Q719" s="79"/>
      <c r="U719" s="130"/>
      <c r="W719" s="106"/>
    </row>
    <row r="720">
      <c r="C720" s="79"/>
      <c r="D720" s="79"/>
      <c r="J720" s="79"/>
      <c r="N720" s="79"/>
      <c r="Q720" s="79"/>
      <c r="U720" s="130"/>
      <c r="W720" s="106"/>
    </row>
    <row r="721">
      <c r="C721" s="79"/>
      <c r="D721" s="79"/>
      <c r="J721" s="79"/>
      <c r="N721" s="79"/>
      <c r="Q721" s="79"/>
      <c r="U721" s="130"/>
      <c r="W721" s="106"/>
    </row>
    <row r="722">
      <c r="C722" s="79"/>
      <c r="D722" s="79"/>
      <c r="J722" s="79"/>
      <c r="N722" s="79"/>
      <c r="Q722" s="79"/>
      <c r="U722" s="130"/>
      <c r="W722" s="106"/>
    </row>
    <row r="723">
      <c r="C723" s="79"/>
      <c r="D723" s="79"/>
      <c r="J723" s="79"/>
      <c r="N723" s="79"/>
      <c r="Q723" s="79"/>
      <c r="U723" s="130"/>
      <c r="W723" s="106"/>
    </row>
    <row r="724">
      <c r="C724" s="79"/>
      <c r="D724" s="79"/>
      <c r="J724" s="79"/>
      <c r="N724" s="79"/>
      <c r="Q724" s="79"/>
      <c r="U724" s="130"/>
      <c r="W724" s="106"/>
    </row>
    <row r="725">
      <c r="C725" s="79"/>
      <c r="D725" s="79"/>
      <c r="J725" s="79"/>
      <c r="N725" s="79"/>
      <c r="Q725" s="79"/>
      <c r="U725" s="130"/>
      <c r="W725" s="106"/>
    </row>
    <row r="726">
      <c r="C726" s="79"/>
      <c r="D726" s="79"/>
      <c r="J726" s="79"/>
      <c r="N726" s="79"/>
      <c r="Q726" s="79"/>
      <c r="U726" s="130"/>
      <c r="W726" s="106"/>
    </row>
    <row r="727">
      <c r="C727" s="79"/>
      <c r="D727" s="79"/>
      <c r="J727" s="79"/>
      <c r="N727" s="79"/>
      <c r="Q727" s="79"/>
      <c r="U727" s="130"/>
      <c r="W727" s="106"/>
    </row>
    <row r="728">
      <c r="C728" s="79"/>
      <c r="D728" s="79"/>
      <c r="J728" s="79"/>
      <c r="N728" s="79"/>
      <c r="Q728" s="79"/>
      <c r="U728" s="130"/>
      <c r="W728" s="106"/>
    </row>
    <row r="729">
      <c r="C729" s="79"/>
      <c r="D729" s="79"/>
      <c r="J729" s="79"/>
      <c r="N729" s="79"/>
      <c r="Q729" s="79"/>
      <c r="U729" s="130"/>
      <c r="W729" s="106"/>
    </row>
    <row r="730">
      <c r="C730" s="79"/>
      <c r="D730" s="79"/>
      <c r="J730" s="79"/>
      <c r="N730" s="79"/>
      <c r="Q730" s="79"/>
      <c r="U730" s="130"/>
      <c r="W730" s="106"/>
    </row>
    <row r="731">
      <c r="C731" s="79"/>
      <c r="D731" s="79"/>
      <c r="J731" s="79"/>
      <c r="N731" s="79"/>
      <c r="Q731" s="79"/>
      <c r="U731" s="130"/>
      <c r="W731" s="106"/>
    </row>
    <row r="732">
      <c r="C732" s="79"/>
      <c r="D732" s="79"/>
      <c r="J732" s="79"/>
      <c r="N732" s="79"/>
      <c r="Q732" s="79"/>
      <c r="U732" s="130"/>
      <c r="W732" s="106"/>
    </row>
    <row r="733">
      <c r="C733" s="79"/>
      <c r="D733" s="79"/>
      <c r="J733" s="79"/>
      <c r="N733" s="79"/>
      <c r="Q733" s="79"/>
      <c r="U733" s="130"/>
      <c r="W733" s="106"/>
    </row>
    <row r="734">
      <c r="C734" s="79"/>
      <c r="D734" s="79"/>
      <c r="J734" s="79"/>
      <c r="N734" s="79"/>
      <c r="Q734" s="79"/>
      <c r="U734" s="130"/>
      <c r="W734" s="106"/>
    </row>
    <row r="735">
      <c r="C735" s="79"/>
      <c r="D735" s="79"/>
      <c r="J735" s="79"/>
      <c r="N735" s="79"/>
      <c r="Q735" s="79"/>
      <c r="U735" s="130"/>
      <c r="W735" s="106"/>
    </row>
    <row r="736">
      <c r="C736" s="79"/>
      <c r="D736" s="79"/>
      <c r="J736" s="79"/>
      <c r="N736" s="79"/>
      <c r="Q736" s="79"/>
      <c r="U736" s="130"/>
      <c r="W736" s="106"/>
    </row>
    <row r="737">
      <c r="C737" s="79"/>
      <c r="D737" s="79"/>
      <c r="J737" s="79"/>
      <c r="N737" s="79"/>
      <c r="Q737" s="79"/>
      <c r="U737" s="130"/>
      <c r="W737" s="106"/>
    </row>
    <row r="738">
      <c r="C738" s="79"/>
      <c r="D738" s="79"/>
      <c r="J738" s="79"/>
      <c r="N738" s="79"/>
      <c r="Q738" s="79"/>
      <c r="U738" s="130"/>
      <c r="W738" s="106"/>
    </row>
    <row r="739">
      <c r="C739" s="79"/>
      <c r="D739" s="79"/>
      <c r="J739" s="79"/>
      <c r="N739" s="79"/>
      <c r="Q739" s="79"/>
      <c r="U739" s="130"/>
      <c r="W739" s="106"/>
    </row>
    <row r="740">
      <c r="C740" s="79"/>
      <c r="D740" s="79"/>
      <c r="J740" s="79"/>
      <c r="N740" s="79"/>
      <c r="Q740" s="79"/>
      <c r="U740" s="130"/>
      <c r="W740" s="106"/>
    </row>
    <row r="741">
      <c r="C741" s="79"/>
      <c r="D741" s="79"/>
      <c r="J741" s="79"/>
      <c r="N741" s="79"/>
      <c r="Q741" s="79"/>
      <c r="U741" s="130"/>
      <c r="W741" s="106"/>
    </row>
    <row r="742">
      <c r="C742" s="79"/>
      <c r="D742" s="79"/>
      <c r="J742" s="79"/>
      <c r="N742" s="79"/>
      <c r="Q742" s="79"/>
      <c r="U742" s="130"/>
      <c r="W742" s="106"/>
    </row>
    <row r="743">
      <c r="C743" s="79"/>
      <c r="D743" s="79"/>
      <c r="J743" s="79"/>
      <c r="N743" s="79"/>
      <c r="Q743" s="79"/>
      <c r="U743" s="130"/>
      <c r="W743" s="106"/>
    </row>
    <row r="744">
      <c r="C744" s="79"/>
      <c r="D744" s="79"/>
      <c r="J744" s="79"/>
      <c r="N744" s="79"/>
      <c r="Q744" s="79"/>
      <c r="U744" s="130"/>
      <c r="W744" s="106"/>
    </row>
    <row r="745">
      <c r="C745" s="79"/>
      <c r="D745" s="79"/>
      <c r="J745" s="79"/>
      <c r="N745" s="79"/>
      <c r="Q745" s="79"/>
      <c r="U745" s="130"/>
      <c r="W745" s="106"/>
    </row>
    <row r="746">
      <c r="C746" s="79"/>
      <c r="D746" s="79"/>
      <c r="J746" s="79"/>
      <c r="N746" s="79"/>
      <c r="Q746" s="79"/>
      <c r="U746" s="130"/>
      <c r="W746" s="106"/>
    </row>
    <row r="747">
      <c r="C747" s="79"/>
      <c r="D747" s="79"/>
      <c r="J747" s="79"/>
      <c r="N747" s="79"/>
      <c r="Q747" s="79"/>
      <c r="U747" s="130"/>
      <c r="W747" s="106"/>
    </row>
    <row r="748">
      <c r="C748" s="79"/>
      <c r="D748" s="79"/>
      <c r="J748" s="79"/>
      <c r="N748" s="79"/>
      <c r="Q748" s="79"/>
      <c r="U748" s="130"/>
      <c r="W748" s="106"/>
    </row>
    <row r="749">
      <c r="C749" s="79"/>
      <c r="D749" s="79"/>
      <c r="J749" s="79"/>
      <c r="N749" s="79"/>
      <c r="Q749" s="79"/>
      <c r="U749" s="130"/>
      <c r="W749" s="106"/>
    </row>
    <row r="750">
      <c r="C750" s="79"/>
      <c r="D750" s="79"/>
      <c r="J750" s="79"/>
      <c r="N750" s="79"/>
      <c r="Q750" s="79"/>
      <c r="U750" s="130"/>
      <c r="W750" s="106"/>
    </row>
    <row r="751">
      <c r="C751" s="79"/>
      <c r="D751" s="79"/>
      <c r="J751" s="79"/>
      <c r="N751" s="79"/>
      <c r="Q751" s="79"/>
      <c r="U751" s="130"/>
      <c r="W751" s="106"/>
    </row>
    <row r="752">
      <c r="C752" s="79"/>
      <c r="D752" s="79"/>
      <c r="J752" s="79"/>
      <c r="N752" s="79"/>
      <c r="Q752" s="79"/>
      <c r="U752" s="130"/>
      <c r="W752" s="106"/>
    </row>
    <row r="753">
      <c r="C753" s="79"/>
      <c r="D753" s="79"/>
      <c r="J753" s="79"/>
      <c r="N753" s="79"/>
      <c r="Q753" s="79"/>
      <c r="U753" s="130"/>
      <c r="W753" s="106"/>
    </row>
    <row r="754">
      <c r="C754" s="79"/>
      <c r="D754" s="79"/>
      <c r="J754" s="79"/>
      <c r="N754" s="79"/>
      <c r="Q754" s="79"/>
      <c r="U754" s="130"/>
      <c r="W754" s="106"/>
    </row>
    <row r="755">
      <c r="C755" s="79"/>
      <c r="D755" s="79"/>
      <c r="J755" s="79"/>
      <c r="N755" s="79"/>
      <c r="Q755" s="79"/>
      <c r="U755" s="130"/>
      <c r="W755" s="106"/>
    </row>
    <row r="756">
      <c r="C756" s="79"/>
      <c r="D756" s="79"/>
      <c r="J756" s="79"/>
      <c r="N756" s="79"/>
      <c r="Q756" s="79"/>
      <c r="U756" s="130"/>
      <c r="W756" s="106"/>
    </row>
    <row r="757">
      <c r="C757" s="79"/>
      <c r="D757" s="79"/>
      <c r="J757" s="79"/>
      <c r="N757" s="79"/>
      <c r="Q757" s="79"/>
      <c r="U757" s="130"/>
      <c r="W757" s="106"/>
    </row>
    <row r="758">
      <c r="C758" s="79"/>
      <c r="D758" s="79"/>
      <c r="J758" s="79"/>
      <c r="N758" s="79"/>
      <c r="Q758" s="79"/>
      <c r="U758" s="130"/>
      <c r="W758" s="106"/>
    </row>
    <row r="759">
      <c r="C759" s="79"/>
      <c r="D759" s="79"/>
      <c r="J759" s="79"/>
      <c r="N759" s="79"/>
      <c r="Q759" s="79"/>
      <c r="U759" s="130"/>
      <c r="W759" s="106"/>
    </row>
    <row r="760">
      <c r="C760" s="79"/>
      <c r="D760" s="79"/>
      <c r="J760" s="79"/>
      <c r="N760" s="79"/>
      <c r="Q760" s="79"/>
      <c r="U760" s="130"/>
      <c r="W760" s="106"/>
    </row>
    <row r="761">
      <c r="C761" s="79"/>
      <c r="D761" s="79"/>
      <c r="J761" s="79"/>
      <c r="N761" s="79"/>
      <c r="Q761" s="79"/>
      <c r="U761" s="130"/>
      <c r="W761" s="106"/>
    </row>
    <row r="762">
      <c r="C762" s="79"/>
      <c r="D762" s="79"/>
      <c r="J762" s="79"/>
      <c r="N762" s="79"/>
      <c r="Q762" s="79"/>
      <c r="U762" s="130"/>
      <c r="W762" s="106"/>
    </row>
    <row r="763">
      <c r="C763" s="79"/>
      <c r="D763" s="79"/>
      <c r="J763" s="79"/>
      <c r="N763" s="79"/>
      <c r="Q763" s="79"/>
      <c r="U763" s="130"/>
      <c r="W763" s="106"/>
    </row>
    <row r="764">
      <c r="C764" s="79"/>
      <c r="D764" s="79"/>
      <c r="J764" s="79"/>
      <c r="N764" s="79"/>
      <c r="Q764" s="79"/>
      <c r="U764" s="130"/>
      <c r="W764" s="106"/>
    </row>
    <row r="765">
      <c r="C765" s="79"/>
      <c r="D765" s="79"/>
      <c r="J765" s="79"/>
      <c r="N765" s="79"/>
      <c r="Q765" s="79"/>
      <c r="U765" s="130"/>
      <c r="W765" s="106"/>
    </row>
    <row r="766">
      <c r="C766" s="79"/>
      <c r="D766" s="79"/>
      <c r="J766" s="79"/>
      <c r="N766" s="79"/>
      <c r="Q766" s="79"/>
      <c r="U766" s="130"/>
      <c r="W766" s="106"/>
    </row>
    <row r="767">
      <c r="C767" s="79"/>
      <c r="D767" s="79"/>
      <c r="J767" s="79"/>
      <c r="N767" s="79"/>
      <c r="Q767" s="79"/>
      <c r="U767" s="130"/>
      <c r="W767" s="106"/>
    </row>
    <row r="768">
      <c r="C768" s="79"/>
      <c r="D768" s="79"/>
      <c r="J768" s="79"/>
      <c r="N768" s="79"/>
      <c r="Q768" s="79"/>
      <c r="U768" s="130"/>
      <c r="W768" s="106"/>
    </row>
    <row r="769">
      <c r="C769" s="79"/>
      <c r="D769" s="79"/>
      <c r="J769" s="79"/>
      <c r="N769" s="79"/>
      <c r="Q769" s="79"/>
      <c r="U769" s="130"/>
      <c r="W769" s="106"/>
    </row>
    <row r="770">
      <c r="C770" s="79"/>
      <c r="D770" s="79"/>
      <c r="J770" s="79"/>
      <c r="N770" s="79"/>
      <c r="Q770" s="79"/>
      <c r="U770" s="130"/>
      <c r="W770" s="106"/>
    </row>
    <row r="771">
      <c r="C771" s="79"/>
      <c r="D771" s="79"/>
      <c r="J771" s="79"/>
      <c r="N771" s="79"/>
      <c r="Q771" s="79"/>
      <c r="U771" s="130"/>
      <c r="W771" s="106"/>
    </row>
    <row r="772">
      <c r="C772" s="79"/>
      <c r="D772" s="79"/>
      <c r="J772" s="79"/>
      <c r="N772" s="79"/>
      <c r="Q772" s="79"/>
      <c r="U772" s="130"/>
      <c r="W772" s="106"/>
    </row>
    <row r="773">
      <c r="C773" s="79"/>
      <c r="D773" s="79"/>
      <c r="J773" s="79"/>
      <c r="N773" s="79"/>
      <c r="Q773" s="79"/>
      <c r="U773" s="130"/>
      <c r="W773" s="106"/>
    </row>
    <row r="774">
      <c r="C774" s="79"/>
      <c r="D774" s="79"/>
      <c r="J774" s="79"/>
      <c r="N774" s="79"/>
      <c r="Q774" s="79"/>
      <c r="U774" s="130"/>
      <c r="W774" s="106"/>
    </row>
    <row r="775">
      <c r="C775" s="79"/>
      <c r="D775" s="79"/>
      <c r="J775" s="79"/>
      <c r="N775" s="79"/>
      <c r="Q775" s="79"/>
      <c r="U775" s="130"/>
      <c r="W775" s="106"/>
    </row>
    <row r="776">
      <c r="C776" s="79"/>
      <c r="D776" s="79"/>
      <c r="J776" s="79"/>
      <c r="N776" s="79"/>
      <c r="Q776" s="79"/>
      <c r="U776" s="130"/>
      <c r="W776" s="106"/>
    </row>
    <row r="777">
      <c r="C777" s="79"/>
      <c r="D777" s="79"/>
      <c r="J777" s="79"/>
      <c r="N777" s="79"/>
      <c r="Q777" s="79"/>
      <c r="U777" s="130"/>
      <c r="W777" s="106"/>
    </row>
    <row r="778">
      <c r="C778" s="79"/>
      <c r="D778" s="79"/>
      <c r="J778" s="79"/>
      <c r="N778" s="79"/>
      <c r="Q778" s="79"/>
      <c r="U778" s="130"/>
      <c r="W778" s="106"/>
    </row>
    <row r="779">
      <c r="C779" s="79"/>
      <c r="D779" s="79"/>
      <c r="J779" s="79"/>
      <c r="N779" s="79"/>
      <c r="Q779" s="79"/>
      <c r="U779" s="130"/>
      <c r="W779" s="106"/>
    </row>
    <row r="780">
      <c r="C780" s="79"/>
      <c r="D780" s="79"/>
      <c r="J780" s="79"/>
      <c r="N780" s="79"/>
      <c r="Q780" s="79"/>
      <c r="U780" s="130"/>
      <c r="W780" s="106"/>
    </row>
    <row r="781">
      <c r="C781" s="79"/>
      <c r="D781" s="79"/>
      <c r="J781" s="79"/>
      <c r="N781" s="79"/>
      <c r="Q781" s="79"/>
      <c r="U781" s="130"/>
      <c r="W781" s="106"/>
    </row>
    <row r="782">
      <c r="C782" s="79"/>
      <c r="D782" s="79"/>
      <c r="J782" s="79"/>
      <c r="N782" s="79"/>
      <c r="Q782" s="79"/>
      <c r="U782" s="130"/>
      <c r="W782" s="106"/>
    </row>
    <row r="783">
      <c r="C783" s="79"/>
      <c r="D783" s="79"/>
      <c r="J783" s="79"/>
      <c r="N783" s="79"/>
      <c r="Q783" s="79"/>
      <c r="U783" s="130"/>
      <c r="W783" s="106"/>
    </row>
    <row r="784">
      <c r="C784" s="79"/>
      <c r="D784" s="79"/>
      <c r="J784" s="79"/>
      <c r="N784" s="79"/>
      <c r="Q784" s="79"/>
      <c r="U784" s="130"/>
      <c r="W784" s="106"/>
    </row>
    <row r="785">
      <c r="C785" s="79"/>
      <c r="D785" s="79"/>
      <c r="J785" s="79"/>
      <c r="N785" s="79"/>
      <c r="Q785" s="79"/>
      <c r="U785" s="130"/>
      <c r="W785" s="106"/>
    </row>
    <row r="786">
      <c r="C786" s="79"/>
      <c r="D786" s="79"/>
      <c r="J786" s="79"/>
      <c r="N786" s="79"/>
      <c r="Q786" s="79"/>
      <c r="U786" s="130"/>
      <c r="W786" s="106"/>
    </row>
    <row r="787">
      <c r="C787" s="79"/>
      <c r="D787" s="79"/>
      <c r="J787" s="79"/>
      <c r="N787" s="79"/>
      <c r="Q787" s="79"/>
      <c r="U787" s="130"/>
      <c r="W787" s="106"/>
    </row>
    <row r="788">
      <c r="C788" s="79"/>
      <c r="D788" s="79"/>
      <c r="J788" s="79"/>
      <c r="N788" s="79"/>
      <c r="Q788" s="79"/>
      <c r="U788" s="130"/>
      <c r="W788" s="106"/>
    </row>
    <row r="789">
      <c r="C789" s="79"/>
      <c r="D789" s="79"/>
      <c r="J789" s="79"/>
      <c r="N789" s="79"/>
      <c r="Q789" s="79"/>
      <c r="U789" s="130"/>
      <c r="W789" s="106"/>
    </row>
    <row r="790">
      <c r="C790" s="79"/>
      <c r="D790" s="79"/>
      <c r="J790" s="79"/>
      <c r="N790" s="79"/>
      <c r="Q790" s="79"/>
      <c r="U790" s="130"/>
      <c r="W790" s="106"/>
    </row>
    <row r="791">
      <c r="C791" s="79"/>
      <c r="D791" s="79"/>
      <c r="J791" s="79"/>
      <c r="N791" s="79"/>
      <c r="Q791" s="79"/>
      <c r="U791" s="130"/>
      <c r="W791" s="106"/>
    </row>
    <row r="792">
      <c r="C792" s="79"/>
      <c r="D792" s="79"/>
      <c r="J792" s="79"/>
      <c r="N792" s="79"/>
      <c r="Q792" s="79"/>
      <c r="U792" s="130"/>
      <c r="W792" s="106"/>
    </row>
    <row r="793">
      <c r="C793" s="79"/>
      <c r="D793" s="79"/>
      <c r="J793" s="79"/>
      <c r="N793" s="79"/>
      <c r="Q793" s="79"/>
      <c r="U793" s="130"/>
      <c r="W793" s="106"/>
    </row>
    <row r="794">
      <c r="C794" s="79"/>
      <c r="D794" s="79"/>
      <c r="J794" s="79"/>
      <c r="N794" s="79"/>
      <c r="Q794" s="79"/>
      <c r="U794" s="130"/>
      <c r="W794" s="106"/>
    </row>
    <row r="795">
      <c r="C795" s="79"/>
      <c r="D795" s="79"/>
      <c r="J795" s="79"/>
      <c r="N795" s="79"/>
      <c r="Q795" s="79"/>
      <c r="U795" s="130"/>
      <c r="W795" s="106"/>
    </row>
    <row r="796">
      <c r="C796" s="79"/>
      <c r="D796" s="79"/>
      <c r="J796" s="79"/>
      <c r="N796" s="79"/>
      <c r="Q796" s="79"/>
      <c r="U796" s="130"/>
      <c r="W796" s="106"/>
    </row>
    <row r="797">
      <c r="C797" s="79"/>
      <c r="D797" s="79"/>
      <c r="J797" s="79"/>
      <c r="N797" s="79"/>
      <c r="Q797" s="79"/>
      <c r="U797" s="130"/>
      <c r="W797" s="106"/>
    </row>
    <row r="798">
      <c r="C798" s="79"/>
      <c r="D798" s="79"/>
      <c r="J798" s="79"/>
      <c r="N798" s="79"/>
      <c r="Q798" s="79"/>
      <c r="U798" s="130"/>
      <c r="W798" s="106"/>
    </row>
    <row r="799">
      <c r="C799" s="79"/>
      <c r="D799" s="79"/>
      <c r="J799" s="79"/>
      <c r="N799" s="79"/>
      <c r="Q799" s="79"/>
      <c r="U799" s="130"/>
      <c r="W799" s="106"/>
    </row>
    <row r="800">
      <c r="C800" s="79"/>
      <c r="D800" s="79"/>
      <c r="J800" s="79"/>
      <c r="N800" s="79"/>
      <c r="Q800" s="79"/>
      <c r="U800" s="130"/>
      <c r="W800" s="106"/>
    </row>
    <row r="801">
      <c r="C801" s="79"/>
      <c r="D801" s="79"/>
      <c r="J801" s="79"/>
      <c r="N801" s="79"/>
      <c r="Q801" s="79"/>
      <c r="U801" s="130"/>
      <c r="W801" s="106"/>
    </row>
    <row r="802">
      <c r="C802" s="79"/>
      <c r="D802" s="79"/>
      <c r="J802" s="79"/>
      <c r="N802" s="79"/>
      <c r="Q802" s="79"/>
      <c r="U802" s="130"/>
      <c r="W802" s="106"/>
    </row>
    <row r="803">
      <c r="C803" s="79"/>
      <c r="D803" s="79"/>
      <c r="J803" s="79"/>
      <c r="N803" s="79"/>
      <c r="Q803" s="79"/>
      <c r="U803" s="130"/>
      <c r="W803" s="106"/>
    </row>
    <row r="804">
      <c r="C804" s="79"/>
      <c r="D804" s="79"/>
      <c r="J804" s="79"/>
      <c r="N804" s="79"/>
      <c r="Q804" s="79"/>
      <c r="U804" s="130"/>
      <c r="W804" s="106"/>
    </row>
    <row r="805">
      <c r="C805" s="79"/>
      <c r="D805" s="79"/>
      <c r="J805" s="79"/>
      <c r="N805" s="79"/>
      <c r="Q805" s="79"/>
      <c r="U805" s="130"/>
      <c r="W805" s="106"/>
    </row>
    <row r="806">
      <c r="C806" s="79"/>
      <c r="D806" s="79"/>
      <c r="J806" s="79"/>
      <c r="N806" s="79"/>
      <c r="Q806" s="79"/>
      <c r="U806" s="130"/>
      <c r="W806" s="106"/>
    </row>
    <row r="807">
      <c r="C807" s="79"/>
      <c r="D807" s="79"/>
      <c r="J807" s="79"/>
      <c r="N807" s="79"/>
      <c r="Q807" s="79"/>
      <c r="U807" s="130"/>
      <c r="W807" s="106"/>
    </row>
    <row r="808">
      <c r="C808" s="79"/>
      <c r="D808" s="79"/>
      <c r="J808" s="79"/>
      <c r="N808" s="79"/>
      <c r="Q808" s="79"/>
      <c r="U808" s="130"/>
      <c r="W808" s="106"/>
    </row>
    <row r="809">
      <c r="C809" s="79"/>
      <c r="D809" s="79"/>
      <c r="J809" s="79"/>
      <c r="N809" s="79"/>
      <c r="Q809" s="79"/>
      <c r="U809" s="130"/>
      <c r="W809" s="106"/>
    </row>
    <row r="810">
      <c r="C810" s="79"/>
      <c r="D810" s="79"/>
      <c r="J810" s="79"/>
      <c r="N810" s="79"/>
      <c r="Q810" s="79"/>
      <c r="U810" s="130"/>
      <c r="W810" s="106"/>
    </row>
    <row r="811">
      <c r="C811" s="79"/>
      <c r="D811" s="79"/>
      <c r="J811" s="79"/>
      <c r="N811" s="79"/>
      <c r="Q811" s="79"/>
      <c r="U811" s="130"/>
      <c r="W811" s="106"/>
    </row>
    <row r="812">
      <c r="C812" s="79"/>
      <c r="D812" s="79"/>
      <c r="J812" s="79"/>
      <c r="N812" s="79"/>
      <c r="Q812" s="79"/>
      <c r="U812" s="130"/>
      <c r="W812" s="106"/>
    </row>
    <row r="813">
      <c r="C813" s="79"/>
      <c r="D813" s="79"/>
      <c r="J813" s="79"/>
      <c r="N813" s="79"/>
      <c r="Q813" s="79"/>
      <c r="U813" s="130"/>
      <c r="W813" s="106"/>
    </row>
    <row r="814">
      <c r="C814" s="79"/>
      <c r="D814" s="79"/>
      <c r="J814" s="79"/>
      <c r="N814" s="79"/>
      <c r="Q814" s="79"/>
      <c r="U814" s="130"/>
      <c r="W814" s="106"/>
    </row>
    <row r="815">
      <c r="C815" s="79"/>
      <c r="D815" s="79"/>
      <c r="J815" s="79"/>
      <c r="N815" s="79"/>
      <c r="Q815" s="79"/>
      <c r="U815" s="130"/>
      <c r="W815" s="106"/>
    </row>
    <row r="816">
      <c r="C816" s="79"/>
      <c r="D816" s="79"/>
      <c r="J816" s="79"/>
      <c r="N816" s="79"/>
      <c r="Q816" s="79"/>
      <c r="U816" s="130"/>
      <c r="W816" s="106"/>
    </row>
    <row r="817">
      <c r="C817" s="79"/>
      <c r="D817" s="79"/>
      <c r="J817" s="79"/>
      <c r="N817" s="79"/>
      <c r="Q817" s="79"/>
      <c r="U817" s="130"/>
      <c r="W817" s="106"/>
    </row>
    <row r="818">
      <c r="C818" s="79"/>
      <c r="D818" s="79"/>
      <c r="J818" s="79"/>
      <c r="N818" s="79"/>
      <c r="Q818" s="79"/>
      <c r="U818" s="130"/>
      <c r="W818" s="106"/>
    </row>
    <row r="819">
      <c r="C819" s="79"/>
      <c r="D819" s="79"/>
      <c r="J819" s="79"/>
      <c r="N819" s="79"/>
      <c r="Q819" s="79"/>
      <c r="U819" s="130"/>
      <c r="W819" s="106"/>
    </row>
    <row r="820">
      <c r="C820" s="79"/>
      <c r="D820" s="79"/>
      <c r="J820" s="79"/>
      <c r="N820" s="79"/>
      <c r="Q820" s="79"/>
      <c r="U820" s="130"/>
      <c r="W820" s="106"/>
    </row>
    <row r="821">
      <c r="C821" s="79"/>
      <c r="D821" s="79"/>
      <c r="J821" s="79"/>
      <c r="N821" s="79"/>
      <c r="Q821" s="79"/>
      <c r="U821" s="130"/>
      <c r="W821" s="106"/>
    </row>
    <row r="822">
      <c r="C822" s="79"/>
      <c r="D822" s="79"/>
      <c r="J822" s="79"/>
      <c r="N822" s="79"/>
      <c r="Q822" s="79"/>
      <c r="U822" s="130"/>
      <c r="W822" s="106"/>
    </row>
    <row r="823">
      <c r="C823" s="79"/>
      <c r="D823" s="79"/>
      <c r="J823" s="79"/>
      <c r="N823" s="79"/>
      <c r="Q823" s="79"/>
      <c r="U823" s="130"/>
      <c r="W823" s="106"/>
    </row>
    <row r="824">
      <c r="C824" s="79"/>
      <c r="D824" s="79"/>
      <c r="J824" s="79"/>
      <c r="N824" s="79"/>
      <c r="Q824" s="79"/>
      <c r="U824" s="130"/>
      <c r="W824" s="106"/>
    </row>
    <row r="825">
      <c r="C825" s="79"/>
      <c r="D825" s="79"/>
      <c r="J825" s="79"/>
      <c r="N825" s="79"/>
      <c r="Q825" s="79"/>
      <c r="U825" s="130"/>
      <c r="W825" s="106"/>
    </row>
    <row r="826">
      <c r="C826" s="79"/>
      <c r="D826" s="79"/>
      <c r="J826" s="79"/>
      <c r="N826" s="79"/>
      <c r="Q826" s="79"/>
      <c r="U826" s="130"/>
      <c r="W826" s="106"/>
    </row>
    <row r="827">
      <c r="C827" s="79"/>
      <c r="D827" s="79"/>
      <c r="J827" s="79"/>
      <c r="N827" s="79"/>
      <c r="Q827" s="79"/>
      <c r="U827" s="130"/>
      <c r="W827" s="106"/>
    </row>
    <row r="828">
      <c r="C828" s="79"/>
      <c r="D828" s="79"/>
      <c r="J828" s="79"/>
      <c r="N828" s="79"/>
      <c r="Q828" s="79"/>
      <c r="U828" s="130"/>
      <c r="W828" s="106"/>
    </row>
    <row r="829">
      <c r="C829" s="79"/>
      <c r="D829" s="79"/>
      <c r="J829" s="79"/>
      <c r="N829" s="79"/>
      <c r="Q829" s="79"/>
      <c r="U829" s="130"/>
      <c r="W829" s="106"/>
    </row>
    <row r="830">
      <c r="C830" s="79"/>
      <c r="D830" s="79"/>
      <c r="J830" s="79"/>
      <c r="N830" s="79"/>
      <c r="Q830" s="79"/>
      <c r="U830" s="130"/>
      <c r="W830" s="106"/>
    </row>
    <row r="831">
      <c r="C831" s="79"/>
      <c r="D831" s="79"/>
      <c r="J831" s="79"/>
      <c r="N831" s="79"/>
      <c r="Q831" s="79"/>
      <c r="U831" s="130"/>
      <c r="W831" s="106"/>
    </row>
    <row r="832">
      <c r="C832" s="79"/>
      <c r="D832" s="79"/>
      <c r="J832" s="79"/>
      <c r="N832" s="79"/>
      <c r="Q832" s="79"/>
      <c r="U832" s="130"/>
      <c r="W832" s="106"/>
    </row>
    <row r="833">
      <c r="C833" s="79"/>
      <c r="D833" s="79"/>
      <c r="J833" s="79"/>
      <c r="N833" s="79"/>
      <c r="Q833" s="79"/>
      <c r="U833" s="130"/>
      <c r="W833" s="106"/>
    </row>
    <row r="834">
      <c r="C834" s="79"/>
      <c r="D834" s="79"/>
      <c r="J834" s="79"/>
      <c r="N834" s="79"/>
      <c r="Q834" s="79"/>
      <c r="U834" s="130"/>
      <c r="W834" s="106"/>
    </row>
    <row r="835">
      <c r="C835" s="79"/>
      <c r="D835" s="79"/>
      <c r="J835" s="79"/>
      <c r="N835" s="79"/>
      <c r="Q835" s="79"/>
      <c r="U835" s="130"/>
      <c r="W835" s="106"/>
    </row>
    <row r="836">
      <c r="C836" s="79"/>
      <c r="D836" s="79"/>
      <c r="J836" s="79"/>
      <c r="N836" s="79"/>
      <c r="Q836" s="79"/>
      <c r="U836" s="130"/>
      <c r="W836" s="106"/>
    </row>
    <row r="837">
      <c r="C837" s="79"/>
      <c r="D837" s="79"/>
      <c r="J837" s="79"/>
      <c r="N837" s="79"/>
      <c r="Q837" s="79"/>
      <c r="U837" s="130"/>
      <c r="W837" s="106"/>
    </row>
    <row r="838">
      <c r="C838" s="79"/>
      <c r="D838" s="79"/>
      <c r="J838" s="79"/>
      <c r="N838" s="79"/>
      <c r="Q838" s="79"/>
      <c r="U838" s="130"/>
      <c r="W838" s="106"/>
    </row>
    <row r="839">
      <c r="C839" s="79"/>
      <c r="D839" s="79"/>
      <c r="J839" s="79"/>
      <c r="N839" s="79"/>
      <c r="Q839" s="79"/>
      <c r="U839" s="130"/>
      <c r="W839" s="106"/>
    </row>
    <row r="840">
      <c r="C840" s="79"/>
      <c r="D840" s="79"/>
      <c r="J840" s="79"/>
      <c r="N840" s="79"/>
      <c r="Q840" s="79"/>
      <c r="U840" s="130"/>
      <c r="W840" s="106"/>
    </row>
    <row r="841">
      <c r="C841" s="79"/>
      <c r="D841" s="79"/>
      <c r="J841" s="79"/>
      <c r="N841" s="79"/>
      <c r="Q841" s="79"/>
      <c r="U841" s="130"/>
      <c r="W841" s="106"/>
    </row>
    <row r="842">
      <c r="C842" s="79"/>
      <c r="D842" s="79"/>
      <c r="J842" s="79"/>
      <c r="N842" s="79"/>
      <c r="Q842" s="79"/>
      <c r="U842" s="130"/>
      <c r="W842" s="106"/>
    </row>
    <row r="843">
      <c r="C843" s="79"/>
      <c r="D843" s="79"/>
      <c r="J843" s="79"/>
      <c r="N843" s="79"/>
      <c r="Q843" s="79"/>
      <c r="U843" s="130"/>
      <c r="W843" s="106"/>
    </row>
    <row r="844">
      <c r="C844" s="79"/>
      <c r="D844" s="79"/>
      <c r="J844" s="79"/>
      <c r="N844" s="79"/>
      <c r="Q844" s="79"/>
      <c r="U844" s="130"/>
      <c r="W844" s="106"/>
    </row>
    <row r="845">
      <c r="C845" s="79"/>
      <c r="D845" s="79"/>
      <c r="J845" s="79"/>
      <c r="N845" s="79"/>
      <c r="Q845" s="79"/>
      <c r="U845" s="130"/>
      <c r="W845" s="106"/>
    </row>
    <row r="846">
      <c r="C846" s="79"/>
      <c r="D846" s="79"/>
      <c r="J846" s="79"/>
      <c r="N846" s="79"/>
      <c r="Q846" s="79"/>
      <c r="U846" s="130"/>
      <c r="W846" s="106"/>
    </row>
    <row r="847">
      <c r="C847" s="79"/>
      <c r="D847" s="79"/>
      <c r="J847" s="79"/>
      <c r="N847" s="79"/>
      <c r="Q847" s="79"/>
      <c r="U847" s="130"/>
      <c r="W847" s="106"/>
    </row>
    <row r="848">
      <c r="C848" s="79"/>
      <c r="D848" s="79"/>
      <c r="J848" s="79"/>
      <c r="N848" s="79"/>
      <c r="Q848" s="79"/>
      <c r="U848" s="130"/>
      <c r="W848" s="106"/>
    </row>
    <row r="849">
      <c r="C849" s="79"/>
      <c r="D849" s="79"/>
      <c r="J849" s="79"/>
      <c r="N849" s="79"/>
      <c r="Q849" s="79"/>
      <c r="U849" s="130"/>
      <c r="W849" s="106"/>
    </row>
    <row r="850">
      <c r="C850" s="79"/>
      <c r="D850" s="79"/>
      <c r="J850" s="79"/>
      <c r="N850" s="79"/>
      <c r="Q850" s="79"/>
      <c r="U850" s="130"/>
      <c r="W850" s="106"/>
    </row>
    <row r="851">
      <c r="C851" s="79"/>
      <c r="D851" s="79"/>
      <c r="J851" s="79"/>
      <c r="N851" s="79"/>
      <c r="Q851" s="79"/>
      <c r="U851" s="130"/>
      <c r="W851" s="106"/>
    </row>
    <row r="852">
      <c r="C852" s="79"/>
      <c r="D852" s="79"/>
      <c r="J852" s="79"/>
      <c r="N852" s="79"/>
      <c r="Q852" s="79"/>
      <c r="U852" s="130"/>
      <c r="W852" s="106"/>
    </row>
    <row r="853">
      <c r="C853" s="79"/>
      <c r="D853" s="79"/>
      <c r="J853" s="79"/>
      <c r="N853" s="79"/>
      <c r="Q853" s="79"/>
      <c r="U853" s="130"/>
      <c r="W853" s="106"/>
    </row>
    <row r="854">
      <c r="C854" s="79"/>
      <c r="D854" s="79"/>
      <c r="J854" s="79"/>
      <c r="N854" s="79"/>
      <c r="Q854" s="79"/>
      <c r="U854" s="130"/>
      <c r="W854" s="106"/>
    </row>
    <row r="855">
      <c r="C855" s="79"/>
      <c r="D855" s="79"/>
      <c r="J855" s="79"/>
      <c r="N855" s="79"/>
      <c r="Q855" s="79"/>
      <c r="U855" s="130"/>
      <c r="W855" s="106"/>
    </row>
    <row r="856">
      <c r="C856" s="79"/>
      <c r="D856" s="79"/>
      <c r="J856" s="79"/>
      <c r="N856" s="79"/>
      <c r="Q856" s="79"/>
      <c r="U856" s="130"/>
      <c r="W856" s="106"/>
    </row>
    <row r="857">
      <c r="C857" s="79"/>
      <c r="D857" s="79"/>
      <c r="J857" s="79"/>
      <c r="N857" s="79"/>
      <c r="Q857" s="79"/>
      <c r="U857" s="130"/>
      <c r="W857" s="106"/>
    </row>
    <row r="858">
      <c r="C858" s="79"/>
      <c r="D858" s="79"/>
      <c r="J858" s="79"/>
      <c r="N858" s="79"/>
      <c r="Q858" s="79"/>
      <c r="U858" s="130"/>
      <c r="W858" s="106"/>
    </row>
    <row r="859">
      <c r="C859" s="79"/>
      <c r="D859" s="79"/>
      <c r="J859" s="79"/>
      <c r="N859" s="79"/>
      <c r="Q859" s="79"/>
      <c r="U859" s="130"/>
      <c r="W859" s="106"/>
    </row>
    <row r="860">
      <c r="C860" s="79"/>
      <c r="D860" s="79"/>
      <c r="J860" s="79"/>
      <c r="N860" s="79"/>
      <c r="Q860" s="79"/>
      <c r="U860" s="130"/>
      <c r="W860" s="106"/>
    </row>
    <row r="861">
      <c r="C861" s="79"/>
      <c r="D861" s="79"/>
      <c r="J861" s="79"/>
      <c r="N861" s="79"/>
      <c r="Q861" s="79"/>
      <c r="U861" s="130"/>
      <c r="W861" s="106"/>
    </row>
    <row r="862">
      <c r="C862" s="79"/>
      <c r="D862" s="79"/>
      <c r="J862" s="79"/>
      <c r="N862" s="79"/>
      <c r="Q862" s="79"/>
      <c r="U862" s="130"/>
      <c r="W862" s="106"/>
    </row>
    <row r="863">
      <c r="C863" s="79"/>
      <c r="D863" s="79"/>
      <c r="J863" s="79"/>
      <c r="N863" s="79"/>
      <c r="Q863" s="79"/>
      <c r="U863" s="130"/>
      <c r="W863" s="106"/>
    </row>
    <row r="864">
      <c r="C864" s="79"/>
      <c r="D864" s="79"/>
      <c r="J864" s="79"/>
      <c r="N864" s="79"/>
      <c r="Q864" s="79"/>
      <c r="U864" s="130"/>
      <c r="W864" s="106"/>
    </row>
    <row r="865">
      <c r="C865" s="79"/>
      <c r="D865" s="79"/>
      <c r="J865" s="79"/>
      <c r="N865" s="79"/>
      <c r="Q865" s="79"/>
      <c r="U865" s="130"/>
      <c r="W865" s="106"/>
    </row>
    <row r="866">
      <c r="C866" s="79"/>
      <c r="D866" s="79"/>
      <c r="J866" s="79"/>
      <c r="N866" s="79"/>
      <c r="Q866" s="79"/>
      <c r="U866" s="130"/>
      <c r="W866" s="106"/>
    </row>
    <row r="867">
      <c r="C867" s="79"/>
      <c r="D867" s="79"/>
      <c r="J867" s="79"/>
      <c r="N867" s="79"/>
      <c r="Q867" s="79"/>
      <c r="U867" s="130"/>
      <c r="W867" s="106"/>
    </row>
    <row r="868">
      <c r="C868" s="79"/>
      <c r="D868" s="79"/>
      <c r="J868" s="79"/>
      <c r="N868" s="79"/>
      <c r="Q868" s="79"/>
      <c r="U868" s="130"/>
      <c r="W868" s="106"/>
    </row>
    <row r="869">
      <c r="C869" s="79"/>
      <c r="D869" s="79"/>
      <c r="J869" s="79"/>
      <c r="N869" s="79"/>
      <c r="Q869" s="79"/>
      <c r="U869" s="130"/>
      <c r="W869" s="106"/>
    </row>
    <row r="870">
      <c r="C870" s="79"/>
      <c r="D870" s="79"/>
      <c r="J870" s="79"/>
      <c r="N870" s="79"/>
      <c r="Q870" s="79"/>
      <c r="U870" s="130"/>
      <c r="W870" s="106"/>
    </row>
    <row r="871">
      <c r="C871" s="79"/>
      <c r="D871" s="79"/>
      <c r="J871" s="79"/>
      <c r="N871" s="79"/>
      <c r="Q871" s="79"/>
      <c r="U871" s="130"/>
      <c r="W871" s="106"/>
    </row>
    <row r="872">
      <c r="C872" s="79"/>
      <c r="D872" s="79"/>
      <c r="J872" s="79"/>
      <c r="N872" s="79"/>
      <c r="Q872" s="79"/>
      <c r="U872" s="130"/>
      <c r="W872" s="106"/>
    </row>
    <row r="873">
      <c r="C873" s="79"/>
      <c r="D873" s="79"/>
      <c r="J873" s="79"/>
      <c r="N873" s="79"/>
      <c r="Q873" s="79"/>
      <c r="U873" s="130"/>
      <c r="W873" s="106"/>
    </row>
    <row r="874">
      <c r="C874" s="79"/>
      <c r="D874" s="79"/>
      <c r="J874" s="79"/>
      <c r="N874" s="79"/>
      <c r="Q874" s="79"/>
      <c r="U874" s="130"/>
      <c r="W874" s="106"/>
    </row>
    <row r="875">
      <c r="C875" s="79"/>
      <c r="D875" s="79"/>
      <c r="J875" s="79"/>
      <c r="N875" s="79"/>
      <c r="Q875" s="79"/>
      <c r="U875" s="130"/>
      <c r="W875" s="106"/>
    </row>
    <row r="876">
      <c r="C876" s="79"/>
      <c r="D876" s="79"/>
      <c r="J876" s="79"/>
      <c r="N876" s="79"/>
      <c r="Q876" s="79"/>
      <c r="U876" s="130"/>
      <c r="W876" s="106"/>
    </row>
    <row r="877">
      <c r="C877" s="79"/>
      <c r="D877" s="79"/>
      <c r="J877" s="79"/>
      <c r="N877" s="79"/>
      <c r="Q877" s="79"/>
      <c r="U877" s="130"/>
      <c r="W877" s="106"/>
    </row>
    <row r="878">
      <c r="C878" s="79"/>
      <c r="D878" s="79"/>
      <c r="J878" s="79"/>
      <c r="N878" s="79"/>
      <c r="Q878" s="79"/>
      <c r="U878" s="130"/>
      <c r="W878" s="106"/>
    </row>
    <row r="879">
      <c r="C879" s="79"/>
      <c r="D879" s="79"/>
      <c r="J879" s="79"/>
      <c r="N879" s="79"/>
      <c r="Q879" s="79"/>
      <c r="U879" s="130"/>
      <c r="W879" s="106"/>
    </row>
    <row r="880">
      <c r="C880" s="79"/>
      <c r="D880" s="79"/>
      <c r="J880" s="79"/>
      <c r="N880" s="79"/>
      <c r="Q880" s="79"/>
      <c r="U880" s="130"/>
      <c r="W880" s="106"/>
    </row>
    <row r="881">
      <c r="C881" s="79"/>
      <c r="D881" s="79"/>
      <c r="J881" s="79"/>
      <c r="N881" s="79"/>
      <c r="Q881" s="79"/>
      <c r="U881" s="130"/>
      <c r="W881" s="106"/>
    </row>
    <row r="882">
      <c r="C882" s="79"/>
      <c r="D882" s="79"/>
      <c r="J882" s="79"/>
      <c r="N882" s="79"/>
      <c r="Q882" s="79"/>
      <c r="U882" s="130"/>
      <c r="W882" s="106"/>
    </row>
    <row r="883">
      <c r="C883" s="79"/>
      <c r="D883" s="79"/>
      <c r="J883" s="79"/>
      <c r="N883" s="79"/>
      <c r="Q883" s="79"/>
      <c r="U883" s="130"/>
      <c r="W883" s="106"/>
    </row>
    <row r="884">
      <c r="C884" s="79"/>
      <c r="D884" s="79"/>
      <c r="J884" s="79"/>
      <c r="N884" s="79"/>
      <c r="Q884" s="79"/>
      <c r="U884" s="130"/>
      <c r="W884" s="106"/>
    </row>
    <row r="885">
      <c r="C885" s="79"/>
      <c r="D885" s="79"/>
      <c r="J885" s="79"/>
      <c r="N885" s="79"/>
      <c r="Q885" s="79"/>
      <c r="U885" s="130"/>
      <c r="W885" s="106"/>
    </row>
    <row r="886">
      <c r="C886" s="79"/>
      <c r="D886" s="79"/>
      <c r="J886" s="79"/>
      <c r="N886" s="79"/>
      <c r="Q886" s="79"/>
      <c r="U886" s="130"/>
      <c r="W886" s="106"/>
    </row>
    <row r="887">
      <c r="C887" s="79"/>
      <c r="D887" s="79"/>
      <c r="J887" s="79"/>
      <c r="N887" s="79"/>
      <c r="Q887" s="79"/>
      <c r="U887" s="130"/>
      <c r="W887" s="106"/>
    </row>
    <row r="888">
      <c r="C888" s="79"/>
      <c r="D888" s="79"/>
      <c r="J888" s="79"/>
      <c r="N888" s="79"/>
      <c r="Q888" s="79"/>
      <c r="U888" s="130"/>
      <c r="W888" s="106"/>
    </row>
    <row r="889">
      <c r="C889" s="79"/>
      <c r="D889" s="79"/>
      <c r="J889" s="79"/>
      <c r="N889" s="79"/>
      <c r="Q889" s="79"/>
      <c r="U889" s="130"/>
      <c r="W889" s="106"/>
    </row>
    <row r="890">
      <c r="C890" s="79"/>
      <c r="D890" s="79"/>
      <c r="J890" s="79"/>
      <c r="N890" s="79"/>
      <c r="Q890" s="79"/>
      <c r="U890" s="130"/>
      <c r="W890" s="106"/>
    </row>
    <row r="891">
      <c r="C891" s="79"/>
      <c r="D891" s="79"/>
      <c r="J891" s="79"/>
      <c r="N891" s="79"/>
      <c r="Q891" s="79"/>
      <c r="U891" s="130"/>
      <c r="W891" s="106"/>
    </row>
    <row r="892">
      <c r="C892" s="79"/>
      <c r="D892" s="79"/>
      <c r="J892" s="79"/>
      <c r="N892" s="79"/>
      <c r="Q892" s="79"/>
      <c r="U892" s="130"/>
      <c r="W892" s="106"/>
    </row>
    <row r="893">
      <c r="C893" s="79"/>
      <c r="D893" s="79"/>
      <c r="J893" s="79"/>
      <c r="N893" s="79"/>
      <c r="Q893" s="79"/>
      <c r="U893" s="130"/>
      <c r="W893" s="106"/>
    </row>
    <row r="894">
      <c r="C894" s="79"/>
      <c r="D894" s="79"/>
      <c r="J894" s="79"/>
      <c r="N894" s="79"/>
      <c r="Q894" s="79"/>
      <c r="U894" s="130"/>
      <c r="W894" s="106"/>
    </row>
    <row r="895">
      <c r="C895" s="79"/>
      <c r="D895" s="79"/>
      <c r="J895" s="79"/>
      <c r="N895" s="79"/>
      <c r="Q895" s="79"/>
      <c r="U895" s="130"/>
      <c r="W895" s="106"/>
    </row>
    <row r="896">
      <c r="C896" s="79"/>
      <c r="D896" s="79"/>
      <c r="J896" s="79"/>
      <c r="N896" s="79"/>
      <c r="Q896" s="79"/>
      <c r="U896" s="130"/>
      <c r="W896" s="106"/>
    </row>
    <row r="897">
      <c r="C897" s="79"/>
      <c r="D897" s="79"/>
      <c r="J897" s="79"/>
      <c r="N897" s="79"/>
      <c r="Q897" s="79"/>
      <c r="U897" s="130"/>
      <c r="W897" s="106"/>
    </row>
    <row r="898">
      <c r="C898" s="79"/>
      <c r="D898" s="79"/>
      <c r="J898" s="79"/>
      <c r="N898" s="79"/>
      <c r="Q898" s="79"/>
      <c r="U898" s="130"/>
      <c r="W898" s="106"/>
    </row>
    <row r="899">
      <c r="C899" s="79"/>
      <c r="D899" s="79"/>
      <c r="J899" s="79"/>
      <c r="N899" s="79"/>
      <c r="Q899" s="79"/>
      <c r="U899" s="130"/>
      <c r="W899" s="106"/>
    </row>
    <row r="900">
      <c r="C900" s="79"/>
      <c r="D900" s="79"/>
      <c r="J900" s="79"/>
      <c r="N900" s="79"/>
      <c r="Q900" s="79"/>
      <c r="U900" s="130"/>
      <c r="W900" s="106"/>
    </row>
    <row r="901">
      <c r="C901" s="79"/>
      <c r="D901" s="79"/>
      <c r="J901" s="79"/>
      <c r="N901" s="79"/>
      <c r="Q901" s="79"/>
      <c r="U901" s="130"/>
      <c r="W901" s="106"/>
    </row>
    <row r="902">
      <c r="C902" s="79"/>
      <c r="D902" s="79"/>
      <c r="J902" s="79"/>
      <c r="N902" s="79"/>
      <c r="Q902" s="79"/>
      <c r="U902" s="130"/>
      <c r="W902" s="106"/>
    </row>
    <row r="903">
      <c r="C903" s="79"/>
      <c r="D903" s="79"/>
      <c r="J903" s="79"/>
      <c r="N903" s="79"/>
      <c r="Q903" s="79"/>
      <c r="U903" s="130"/>
      <c r="W903" s="106"/>
    </row>
    <row r="904">
      <c r="C904" s="79"/>
      <c r="D904" s="79"/>
      <c r="J904" s="79"/>
      <c r="N904" s="79"/>
      <c r="Q904" s="79"/>
      <c r="U904" s="130"/>
      <c r="W904" s="106"/>
    </row>
    <row r="905">
      <c r="C905" s="79"/>
      <c r="D905" s="79"/>
      <c r="J905" s="79"/>
      <c r="N905" s="79"/>
      <c r="Q905" s="79"/>
      <c r="U905" s="130"/>
      <c r="W905" s="106"/>
    </row>
    <row r="906">
      <c r="C906" s="79"/>
      <c r="D906" s="79"/>
      <c r="J906" s="79"/>
      <c r="N906" s="79"/>
      <c r="Q906" s="79"/>
      <c r="U906" s="130"/>
      <c r="W906" s="106"/>
    </row>
    <row r="907">
      <c r="C907" s="79"/>
      <c r="D907" s="79"/>
      <c r="J907" s="79"/>
      <c r="N907" s="79"/>
      <c r="Q907" s="79"/>
      <c r="U907" s="130"/>
      <c r="W907" s="106"/>
    </row>
    <row r="908">
      <c r="C908" s="79"/>
      <c r="D908" s="79"/>
      <c r="J908" s="79"/>
      <c r="N908" s="79"/>
      <c r="Q908" s="79"/>
      <c r="U908" s="130"/>
      <c r="W908" s="106"/>
    </row>
    <row r="909">
      <c r="C909" s="79"/>
      <c r="D909" s="79"/>
      <c r="J909" s="79"/>
      <c r="N909" s="79"/>
      <c r="Q909" s="79"/>
      <c r="U909" s="130"/>
      <c r="W909" s="106"/>
    </row>
    <row r="910">
      <c r="C910" s="79"/>
      <c r="D910" s="79"/>
      <c r="J910" s="79"/>
      <c r="N910" s="79"/>
      <c r="Q910" s="79"/>
      <c r="U910" s="130"/>
      <c r="W910" s="106"/>
    </row>
    <row r="911">
      <c r="C911" s="79"/>
      <c r="D911" s="79"/>
      <c r="J911" s="79"/>
      <c r="N911" s="79"/>
      <c r="Q911" s="79"/>
      <c r="U911" s="130"/>
      <c r="W911" s="106"/>
    </row>
    <row r="912">
      <c r="C912" s="79"/>
      <c r="D912" s="79"/>
      <c r="J912" s="79"/>
      <c r="N912" s="79"/>
      <c r="Q912" s="79"/>
      <c r="U912" s="130"/>
      <c r="W912" s="106"/>
    </row>
    <row r="913">
      <c r="C913" s="79"/>
      <c r="D913" s="79"/>
      <c r="J913" s="79"/>
      <c r="N913" s="79"/>
      <c r="Q913" s="79"/>
      <c r="U913" s="130"/>
      <c r="W913" s="106"/>
    </row>
    <row r="914">
      <c r="C914" s="79"/>
      <c r="D914" s="79"/>
      <c r="J914" s="79"/>
      <c r="N914" s="79"/>
      <c r="Q914" s="79"/>
      <c r="U914" s="130"/>
      <c r="W914" s="106"/>
    </row>
    <row r="915">
      <c r="C915" s="79"/>
      <c r="D915" s="79"/>
      <c r="J915" s="79"/>
      <c r="N915" s="79"/>
      <c r="Q915" s="79"/>
      <c r="U915" s="130"/>
      <c r="W915" s="106"/>
    </row>
    <row r="916">
      <c r="C916" s="79"/>
      <c r="D916" s="79"/>
      <c r="J916" s="79"/>
      <c r="N916" s="79"/>
      <c r="Q916" s="79"/>
      <c r="U916" s="130"/>
      <c r="W916" s="106"/>
    </row>
    <row r="917">
      <c r="C917" s="79"/>
      <c r="D917" s="79"/>
      <c r="J917" s="79"/>
      <c r="N917" s="79"/>
      <c r="Q917" s="79"/>
      <c r="U917" s="130"/>
      <c r="W917" s="106"/>
    </row>
    <row r="918">
      <c r="C918" s="79"/>
      <c r="D918" s="79"/>
      <c r="J918" s="79"/>
      <c r="N918" s="79"/>
      <c r="Q918" s="79"/>
      <c r="U918" s="130"/>
      <c r="W918" s="106"/>
    </row>
    <row r="919">
      <c r="C919" s="79"/>
      <c r="D919" s="79"/>
      <c r="J919" s="79"/>
      <c r="N919" s="79"/>
      <c r="Q919" s="79"/>
      <c r="U919" s="130"/>
      <c r="W919" s="106"/>
    </row>
    <row r="920">
      <c r="C920" s="79"/>
      <c r="D920" s="79"/>
      <c r="J920" s="79"/>
      <c r="N920" s="79"/>
      <c r="Q920" s="79"/>
      <c r="U920" s="130"/>
      <c r="W920" s="106"/>
    </row>
    <row r="921">
      <c r="C921" s="79"/>
      <c r="D921" s="79"/>
      <c r="J921" s="79"/>
      <c r="N921" s="79"/>
      <c r="Q921" s="79"/>
      <c r="U921" s="130"/>
      <c r="W921" s="106"/>
    </row>
    <row r="922">
      <c r="C922" s="79"/>
      <c r="D922" s="79"/>
      <c r="J922" s="79"/>
      <c r="N922" s="79"/>
      <c r="Q922" s="79"/>
      <c r="U922" s="130"/>
      <c r="W922" s="106"/>
    </row>
    <row r="923">
      <c r="C923" s="79"/>
      <c r="D923" s="79"/>
      <c r="J923" s="79"/>
      <c r="N923" s="79"/>
      <c r="Q923" s="79"/>
      <c r="U923" s="130"/>
      <c r="W923" s="106"/>
    </row>
    <row r="924">
      <c r="C924" s="79"/>
      <c r="D924" s="79"/>
      <c r="J924" s="79"/>
      <c r="N924" s="79"/>
      <c r="Q924" s="79"/>
      <c r="U924" s="130"/>
      <c r="W924" s="106"/>
    </row>
    <row r="925">
      <c r="C925" s="79"/>
      <c r="D925" s="79"/>
      <c r="J925" s="79"/>
      <c r="N925" s="79"/>
      <c r="Q925" s="79"/>
      <c r="U925" s="130"/>
      <c r="W925" s="106"/>
    </row>
    <row r="926">
      <c r="C926" s="79"/>
      <c r="D926" s="79"/>
      <c r="J926" s="79"/>
      <c r="N926" s="79"/>
      <c r="Q926" s="79"/>
      <c r="U926" s="130"/>
      <c r="W926" s="106"/>
    </row>
    <row r="927">
      <c r="C927" s="79"/>
      <c r="D927" s="79"/>
      <c r="J927" s="79"/>
      <c r="N927" s="79"/>
      <c r="Q927" s="79"/>
      <c r="U927" s="130"/>
      <c r="W927" s="106"/>
    </row>
    <row r="928">
      <c r="C928" s="79"/>
      <c r="D928" s="79"/>
      <c r="J928" s="79"/>
      <c r="N928" s="79"/>
      <c r="Q928" s="79"/>
      <c r="U928" s="130"/>
      <c r="W928" s="106"/>
    </row>
    <row r="929">
      <c r="C929" s="79"/>
      <c r="D929" s="79"/>
      <c r="J929" s="79"/>
      <c r="N929" s="79"/>
      <c r="Q929" s="79"/>
      <c r="U929" s="130"/>
      <c r="W929" s="106"/>
    </row>
    <row r="930">
      <c r="C930" s="79"/>
      <c r="D930" s="79"/>
      <c r="J930" s="79"/>
      <c r="N930" s="79"/>
      <c r="Q930" s="79"/>
      <c r="U930" s="130"/>
      <c r="W930" s="106"/>
    </row>
    <row r="931">
      <c r="C931" s="79"/>
      <c r="D931" s="79"/>
      <c r="J931" s="79"/>
      <c r="N931" s="79"/>
      <c r="Q931" s="79"/>
      <c r="U931" s="130"/>
      <c r="W931" s="106"/>
    </row>
    <row r="932">
      <c r="C932" s="79"/>
      <c r="D932" s="79"/>
      <c r="J932" s="79"/>
      <c r="N932" s="79"/>
      <c r="Q932" s="79"/>
      <c r="U932" s="130"/>
      <c r="W932" s="106"/>
    </row>
    <row r="933">
      <c r="C933" s="79"/>
      <c r="D933" s="79"/>
      <c r="J933" s="79"/>
      <c r="N933" s="79"/>
      <c r="Q933" s="79"/>
      <c r="U933" s="130"/>
      <c r="W933" s="106"/>
    </row>
    <row r="934">
      <c r="C934" s="79"/>
      <c r="D934" s="79"/>
      <c r="J934" s="79"/>
      <c r="N934" s="79"/>
      <c r="Q934" s="79"/>
      <c r="U934" s="130"/>
      <c r="W934" s="106"/>
    </row>
    <row r="935">
      <c r="C935" s="79"/>
      <c r="D935" s="79"/>
      <c r="J935" s="79"/>
      <c r="N935" s="79"/>
      <c r="Q935" s="79"/>
      <c r="U935" s="130"/>
      <c r="W935" s="106"/>
    </row>
    <row r="936">
      <c r="C936" s="79"/>
      <c r="D936" s="79"/>
      <c r="J936" s="79"/>
      <c r="N936" s="79"/>
      <c r="Q936" s="79"/>
      <c r="U936" s="130"/>
      <c r="W936" s="106"/>
    </row>
    <row r="937">
      <c r="C937" s="79"/>
      <c r="D937" s="79"/>
      <c r="J937" s="79"/>
      <c r="N937" s="79"/>
      <c r="Q937" s="79"/>
      <c r="U937" s="130"/>
      <c r="W937" s="106"/>
    </row>
    <row r="938">
      <c r="C938" s="79"/>
      <c r="D938" s="79"/>
      <c r="J938" s="79"/>
      <c r="N938" s="79"/>
      <c r="Q938" s="79"/>
      <c r="U938" s="130"/>
      <c r="W938" s="106"/>
    </row>
    <row r="939">
      <c r="C939" s="79"/>
      <c r="D939" s="79"/>
      <c r="J939" s="79"/>
      <c r="N939" s="79"/>
      <c r="Q939" s="79"/>
      <c r="U939" s="130"/>
      <c r="W939" s="106"/>
    </row>
    <row r="940">
      <c r="C940" s="79"/>
      <c r="D940" s="79"/>
      <c r="J940" s="79"/>
      <c r="N940" s="79"/>
      <c r="Q940" s="79"/>
      <c r="U940" s="130"/>
      <c r="W940" s="106"/>
    </row>
    <row r="941">
      <c r="C941" s="79"/>
      <c r="D941" s="79"/>
      <c r="J941" s="79"/>
      <c r="N941" s="79"/>
      <c r="Q941" s="79"/>
      <c r="U941" s="130"/>
      <c r="W941" s="106"/>
    </row>
    <row r="942">
      <c r="C942" s="79"/>
      <c r="D942" s="79"/>
      <c r="J942" s="79"/>
      <c r="N942" s="79"/>
      <c r="Q942" s="79"/>
      <c r="U942" s="130"/>
      <c r="W942" s="106"/>
    </row>
    <row r="943">
      <c r="C943" s="79"/>
      <c r="D943" s="79"/>
      <c r="J943" s="79"/>
      <c r="N943" s="79"/>
      <c r="Q943" s="79"/>
      <c r="U943" s="130"/>
      <c r="W943" s="106"/>
    </row>
    <row r="944">
      <c r="C944" s="79"/>
      <c r="D944" s="79"/>
      <c r="J944" s="79"/>
      <c r="N944" s="79"/>
      <c r="Q944" s="79"/>
      <c r="U944" s="130"/>
      <c r="W944" s="106"/>
    </row>
    <row r="945">
      <c r="C945" s="79"/>
      <c r="D945" s="79"/>
      <c r="J945" s="79"/>
      <c r="N945" s="79"/>
      <c r="Q945" s="79"/>
      <c r="U945" s="130"/>
      <c r="W945" s="106"/>
    </row>
    <row r="946">
      <c r="C946" s="79"/>
      <c r="D946" s="79"/>
      <c r="J946" s="79"/>
      <c r="N946" s="79"/>
      <c r="Q946" s="79"/>
      <c r="U946" s="130"/>
      <c r="W946" s="106"/>
    </row>
    <row r="947">
      <c r="C947" s="79"/>
      <c r="D947" s="79"/>
      <c r="J947" s="79"/>
      <c r="N947" s="79"/>
      <c r="Q947" s="79"/>
      <c r="U947" s="130"/>
      <c r="W947" s="106"/>
    </row>
    <row r="948">
      <c r="C948" s="79"/>
      <c r="D948" s="79"/>
      <c r="J948" s="79"/>
      <c r="N948" s="79"/>
      <c r="Q948" s="79"/>
      <c r="U948" s="130"/>
      <c r="W948" s="106"/>
    </row>
    <row r="949">
      <c r="C949" s="79"/>
      <c r="D949" s="79"/>
      <c r="J949" s="79"/>
      <c r="N949" s="79"/>
      <c r="Q949" s="79"/>
      <c r="U949" s="130"/>
      <c r="W949" s="106"/>
    </row>
    <row r="950">
      <c r="C950" s="79"/>
      <c r="D950" s="79"/>
      <c r="J950" s="79"/>
      <c r="N950" s="79"/>
      <c r="Q950" s="79"/>
      <c r="U950" s="130"/>
      <c r="W950" s="106"/>
    </row>
    <row r="951">
      <c r="C951" s="79"/>
      <c r="D951" s="79"/>
      <c r="J951" s="79"/>
      <c r="N951" s="79"/>
      <c r="Q951" s="79"/>
      <c r="U951" s="130"/>
      <c r="W951" s="106"/>
    </row>
    <row r="952">
      <c r="C952" s="79"/>
      <c r="D952" s="79"/>
      <c r="J952" s="79"/>
      <c r="N952" s="79"/>
      <c r="Q952" s="79"/>
      <c r="U952" s="130"/>
      <c r="W952" s="106"/>
    </row>
    <row r="953">
      <c r="C953" s="79"/>
      <c r="D953" s="79"/>
      <c r="J953" s="79"/>
      <c r="N953" s="79"/>
      <c r="Q953" s="79"/>
      <c r="U953" s="130"/>
      <c r="W953" s="106"/>
    </row>
    <row r="954">
      <c r="C954" s="79"/>
      <c r="D954" s="79"/>
      <c r="J954" s="79"/>
      <c r="N954" s="79"/>
      <c r="Q954" s="79"/>
      <c r="U954" s="130"/>
      <c r="W954" s="106"/>
    </row>
    <row r="955">
      <c r="C955" s="79"/>
      <c r="D955" s="79"/>
      <c r="J955" s="79"/>
      <c r="N955" s="79"/>
      <c r="Q955" s="79"/>
      <c r="U955" s="130"/>
      <c r="W955" s="106"/>
    </row>
    <row r="956">
      <c r="C956" s="79"/>
      <c r="D956" s="79"/>
      <c r="J956" s="79"/>
      <c r="N956" s="79"/>
      <c r="Q956" s="79"/>
      <c r="U956" s="130"/>
      <c r="W956" s="106"/>
    </row>
    <row r="957">
      <c r="C957" s="79"/>
      <c r="D957" s="79"/>
      <c r="J957" s="79"/>
      <c r="N957" s="79"/>
      <c r="Q957" s="79"/>
      <c r="U957" s="130"/>
      <c r="W957" s="106"/>
    </row>
    <row r="958">
      <c r="C958" s="79"/>
      <c r="D958" s="79"/>
      <c r="J958" s="79"/>
      <c r="N958" s="79"/>
      <c r="Q958" s="79"/>
      <c r="U958" s="130"/>
      <c r="W958" s="106"/>
    </row>
    <row r="959">
      <c r="C959" s="79"/>
      <c r="D959" s="79"/>
      <c r="J959" s="79"/>
      <c r="N959" s="79"/>
      <c r="Q959" s="79"/>
      <c r="U959" s="130"/>
      <c r="W959" s="106"/>
    </row>
    <row r="960">
      <c r="C960" s="79"/>
      <c r="D960" s="79"/>
      <c r="J960" s="79"/>
      <c r="N960" s="79"/>
      <c r="Q960" s="79"/>
      <c r="U960" s="130"/>
      <c r="W960" s="106"/>
    </row>
    <row r="961">
      <c r="C961" s="79"/>
      <c r="D961" s="79"/>
      <c r="J961" s="79"/>
      <c r="N961" s="79"/>
      <c r="Q961" s="79"/>
      <c r="U961" s="130"/>
      <c r="W961" s="106"/>
    </row>
    <row r="962">
      <c r="C962" s="79"/>
      <c r="D962" s="79"/>
      <c r="J962" s="79"/>
      <c r="N962" s="79"/>
      <c r="Q962" s="79"/>
      <c r="U962" s="130"/>
      <c r="W962" s="106"/>
    </row>
    <row r="963">
      <c r="C963" s="79"/>
      <c r="D963" s="79"/>
      <c r="J963" s="79"/>
      <c r="N963" s="79"/>
      <c r="Q963" s="79"/>
      <c r="U963" s="130"/>
      <c r="W963" s="106"/>
    </row>
    <row r="964">
      <c r="C964" s="79"/>
      <c r="D964" s="79"/>
      <c r="J964" s="79"/>
      <c r="N964" s="79"/>
      <c r="Q964" s="79"/>
      <c r="U964" s="130"/>
      <c r="W964" s="106"/>
    </row>
    <row r="965">
      <c r="C965" s="79"/>
      <c r="D965" s="79"/>
      <c r="J965" s="79"/>
      <c r="N965" s="79"/>
      <c r="Q965" s="79"/>
      <c r="U965" s="130"/>
      <c r="W965" s="106"/>
    </row>
    <row r="966">
      <c r="C966" s="79"/>
      <c r="D966" s="79"/>
      <c r="J966" s="79"/>
      <c r="N966" s="79"/>
      <c r="Q966" s="79"/>
      <c r="U966" s="130"/>
      <c r="W966" s="106"/>
    </row>
    <row r="967">
      <c r="C967" s="79"/>
      <c r="D967" s="79"/>
      <c r="J967" s="79"/>
      <c r="N967" s="79"/>
      <c r="Q967" s="79"/>
      <c r="U967" s="130"/>
      <c r="W967" s="106"/>
    </row>
    <row r="968">
      <c r="C968" s="79"/>
      <c r="D968" s="79"/>
      <c r="J968" s="79"/>
      <c r="N968" s="79"/>
      <c r="Q968" s="79"/>
      <c r="U968" s="130"/>
      <c r="W968" s="106"/>
    </row>
    <row r="969">
      <c r="C969" s="79"/>
      <c r="D969" s="79"/>
      <c r="J969" s="79"/>
      <c r="N969" s="79"/>
      <c r="Q969" s="79"/>
      <c r="U969" s="130"/>
      <c r="W969" s="106"/>
    </row>
    <row r="970">
      <c r="C970" s="79"/>
      <c r="D970" s="79"/>
      <c r="J970" s="79"/>
      <c r="N970" s="79"/>
      <c r="Q970" s="79"/>
      <c r="U970" s="130"/>
      <c r="W970" s="106"/>
    </row>
    <row r="971">
      <c r="C971" s="79"/>
      <c r="D971" s="79"/>
      <c r="J971" s="79"/>
      <c r="N971" s="79"/>
      <c r="Q971" s="79"/>
      <c r="U971" s="130"/>
      <c r="W971" s="106"/>
    </row>
    <row r="972">
      <c r="C972" s="79"/>
      <c r="D972" s="79"/>
      <c r="J972" s="79"/>
      <c r="N972" s="79"/>
      <c r="Q972" s="79"/>
      <c r="U972" s="130"/>
      <c r="W972" s="106"/>
    </row>
    <row r="973">
      <c r="C973" s="79"/>
      <c r="D973" s="79"/>
      <c r="J973" s="79"/>
      <c r="N973" s="79"/>
      <c r="Q973" s="79"/>
      <c r="U973" s="130"/>
      <c r="W973" s="106"/>
    </row>
    <row r="974">
      <c r="C974" s="79"/>
      <c r="D974" s="79"/>
      <c r="J974" s="79"/>
      <c r="N974" s="79"/>
      <c r="Q974" s="79"/>
      <c r="U974" s="130"/>
      <c r="W974" s="106"/>
    </row>
    <row r="975">
      <c r="C975" s="79"/>
      <c r="D975" s="79"/>
      <c r="J975" s="79"/>
      <c r="N975" s="79"/>
      <c r="Q975" s="79"/>
      <c r="U975" s="130"/>
      <c r="W975" s="106"/>
    </row>
    <row r="976">
      <c r="C976" s="79"/>
      <c r="D976" s="79"/>
      <c r="J976" s="79"/>
      <c r="N976" s="79"/>
      <c r="Q976" s="79"/>
      <c r="U976" s="130"/>
      <c r="W976" s="106"/>
    </row>
    <row r="977">
      <c r="C977" s="79"/>
      <c r="D977" s="79"/>
      <c r="J977" s="79"/>
      <c r="N977" s="79"/>
      <c r="Q977" s="79"/>
      <c r="U977" s="130"/>
      <c r="W977" s="106"/>
    </row>
    <row r="978">
      <c r="C978" s="79"/>
      <c r="D978" s="79"/>
      <c r="J978" s="79"/>
      <c r="N978" s="79"/>
      <c r="Q978" s="79"/>
      <c r="U978" s="130"/>
      <c r="W978" s="106"/>
    </row>
    <row r="979">
      <c r="C979" s="79"/>
      <c r="D979" s="79"/>
      <c r="J979" s="79"/>
      <c r="N979" s="79"/>
      <c r="Q979" s="79"/>
      <c r="U979" s="130"/>
      <c r="W979" s="106"/>
    </row>
    <row r="980">
      <c r="C980" s="79"/>
      <c r="D980" s="79"/>
      <c r="J980" s="79"/>
      <c r="N980" s="79"/>
      <c r="Q980" s="79"/>
      <c r="U980" s="130"/>
      <c r="W980" s="106"/>
    </row>
    <row r="981">
      <c r="C981" s="79"/>
      <c r="D981" s="79"/>
      <c r="J981" s="79"/>
      <c r="N981" s="79"/>
      <c r="Q981" s="79"/>
      <c r="U981" s="130"/>
      <c r="W981" s="106"/>
    </row>
    <row r="982">
      <c r="C982" s="79"/>
      <c r="D982" s="79"/>
      <c r="J982" s="79"/>
      <c r="N982" s="79"/>
      <c r="Q982" s="79"/>
      <c r="U982" s="130"/>
      <c r="W982" s="106"/>
    </row>
    <row r="983">
      <c r="C983" s="79"/>
      <c r="D983" s="79"/>
      <c r="J983" s="79"/>
      <c r="N983" s="79"/>
      <c r="Q983" s="79"/>
      <c r="U983" s="130"/>
      <c r="W983" s="106"/>
    </row>
    <row r="984">
      <c r="C984" s="79"/>
      <c r="D984" s="79"/>
      <c r="J984" s="79"/>
      <c r="N984" s="79"/>
      <c r="Q984" s="79"/>
      <c r="U984" s="130"/>
      <c r="W984" s="106"/>
    </row>
    <row r="985">
      <c r="C985" s="79"/>
      <c r="D985" s="79"/>
      <c r="J985" s="79"/>
      <c r="N985" s="79"/>
      <c r="Q985" s="79"/>
      <c r="U985" s="130"/>
      <c r="W985" s="106"/>
    </row>
    <row r="986">
      <c r="C986" s="79"/>
      <c r="D986" s="79"/>
      <c r="J986" s="79"/>
      <c r="N986" s="79"/>
      <c r="Q986" s="79"/>
      <c r="U986" s="130"/>
      <c r="W986" s="106"/>
    </row>
    <row r="987">
      <c r="C987" s="79"/>
      <c r="D987" s="79"/>
      <c r="J987" s="79"/>
      <c r="N987" s="79"/>
      <c r="Q987" s="79"/>
      <c r="U987" s="130"/>
      <c r="W987" s="106"/>
    </row>
    <row r="988">
      <c r="C988" s="79"/>
      <c r="D988" s="79"/>
      <c r="J988" s="79"/>
      <c r="N988" s="79"/>
      <c r="Q988" s="79"/>
      <c r="U988" s="130"/>
      <c r="W988" s="106"/>
    </row>
    <row r="989">
      <c r="C989" s="79"/>
      <c r="D989" s="79"/>
      <c r="J989" s="79"/>
      <c r="N989" s="79"/>
      <c r="Q989" s="79"/>
      <c r="U989" s="130"/>
      <c r="W989" s="106"/>
    </row>
    <row r="990">
      <c r="C990" s="79"/>
      <c r="D990" s="79"/>
      <c r="J990" s="79"/>
      <c r="N990" s="79"/>
      <c r="Q990" s="79"/>
      <c r="U990" s="130"/>
      <c r="W990" s="106"/>
    </row>
    <row r="991">
      <c r="C991" s="79"/>
      <c r="D991" s="79"/>
      <c r="J991" s="79"/>
      <c r="N991" s="79"/>
      <c r="Q991" s="79"/>
      <c r="U991" s="130"/>
      <c r="W991" s="106"/>
    </row>
    <row r="992">
      <c r="C992" s="79"/>
      <c r="D992" s="79"/>
      <c r="J992" s="79"/>
      <c r="N992" s="79"/>
      <c r="Q992" s="79"/>
      <c r="U992" s="130"/>
      <c r="W992" s="106"/>
    </row>
    <row r="993">
      <c r="C993" s="79"/>
      <c r="D993" s="79"/>
      <c r="J993" s="79"/>
      <c r="N993" s="79"/>
      <c r="Q993" s="79"/>
      <c r="U993" s="130"/>
      <c r="W993" s="106"/>
    </row>
    <row r="994">
      <c r="C994" s="79"/>
      <c r="D994" s="79"/>
      <c r="J994" s="79"/>
      <c r="N994" s="79"/>
      <c r="Q994" s="79"/>
      <c r="U994" s="130"/>
      <c r="W994" s="106"/>
    </row>
    <row r="995">
      <c r="C995" s="79"/>
      <c r="D995" s="79"/>
      <c r="J995" s="79"/>
      <c r="N995" s="79"/>
      <c r="Q995" s="79"/>
      <c r="U995" s="130"/>
      <c r="W995" s="106"/>
    </row>
    <row r="996">
      <c r="C996" s="79"/>
      <c r="D996" s="79"/>
      <c r="J996" s="79"/>
      <c r="N996" s="79"/>
      <c r="Q996" s="79"/>
      <c r="U996" s="130"/>
      <c r="W996" s="106"/>
    </row>
    <row r="997">
      <c r="C997" s="79"/>
      <c r="D997" s="79"/>
      <c r="J997" s="79"/>
      <c r="N997" s="79"/>
      <c r="Q997" s="79"/>
      <c r="U997" s="130"/>
      <c r="W997" s="106"/>
    </row>
    <row r="998">
      <c r="C998" s="79"/>
      <c r="D998" s="79"/>
      <c r="J998" s="79"/>
      <c r="N998" s="79"/>
      <c r="Q998" s="79"/>
      <c r="U998" s="130"/>
      <c r="W998" s="106"/>
    </row>
    <row r="999">
      <c r="C999" s="79"/>
      <c r="D999" s="79"/>
      <c r="J999" s="79"/>
      <c r="N999" s="79"/>
      <c r="Q999" s="79"/>
      <c r="U999" s="130"/>
      <c r="W999" s="106"/>
    </row>
    <row r="1000">
      <c r="C1000" s="79"/>
      <c r="D1000" s="79"/>
      <c r="J1000" s="79"/>
      <c r="N1000" s="79"/>
      <c r="Q1000" s="79"/>
      <c r="U1000" s="130"/>
      <c r="W1000" s="106"/>
    </row>
  </sheetData>
  <mergeCells count="1">
    <mergeCell ref="H19:J19"/>
  </mergeCells>
  <drawing r:id="rId2"/>
  <legacyDrawing r:id="rId3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2" max="22" width="17.0"/>
  </cols>
  <sheetData>
    <row r="1">
      <c r="B1" s="2" t="s">
        <v>0</v>
      </c>
      <c r="C1" s="105" t="s">
        <v>1</v>
      </c>
      <c r="D1" s="105" t="s">
        <v>7</v>
      </c>
      <c r="E1" s="2" t="s">
        <v>3</v>
      </c>
      <c r="F1" s="2" t="s">
        <v>129</v>
      </c>
      <c r="G1" s="2" t="s">
        <v>5</v>
      </c>
      <c r="H1" s="2" t="s">
        <v>6</v>
      </c>
      <c r="I1" s="2" t="s">
        <v>43</v>
      </c>
      <c r="J1" s="105" t="s">
        <v>40</v>
      </c>
      <c r="K1" s="2" t="s">
        <v>49</v>
      </c>
      <c r="L1" s="2" t="s">
        <v>42</v>
      </c>
      <c r="M1" s="2" t="s">
        <v>121</v>
      </c>
      <c r="N1" s="105" t="s">
        <v>9</v>
      </c>
      <c r="O1" s="2" t="s">
        <v>37</v>
      </c>
      <c r="P1" s="2" t="s">
        <v>10</v>
      </c>
      <c r="Q1" s="105" t="s">
        <v>11</v>
      </c>
      <c r="R1" s="2" t="s">
        <v>12</v>
      </c>
      <c r="S1" s="3" t="s">
        <v>13</v>
      </c>
      <c r="T1" s="126" t="s">
        <v>14</v>
      </c>
      <c r="U1" s="3" t="s">
        <v>15</v>
      </c>
      <c r="V1" s="106"/>
    </row>
    <row r="2">
      <c r="A2" s="74">
        <v>45089.0</v>
      </c>
      <c r="B2" s="5">
        <v>2839.56</v>
      </c>
      <c r="C2" s="93">
        <v>445.0</v>
      </c>
      <c r="D2" s="93"/>
      <c r="E2" s="5"/>
      <c r="F2" s="5">
        <v>281.09</v>
      </c>
      <c r="G2" s="5"/>
      <c r="H2" s="5"/>
      <c r="I2" s="5"/>
      <c r="J2" s="72"/>
      <c r="K2" s="5">
        <v>168.0</v>
      </c>
      <c r="L2" s="5">
        <v>144.0</v>
      </c>
      <c r="M2" s="5"/>
      <c r="N2" s="93"/>
      <c r="O2" s="5"/>
      <c r="P2" s="5"/>
      <c r="Q2" s="93"/>
      <c r="R2" s="5"/>
      <c r="S2" s="107">
        <f t="shared" ref="S2:S7" si="1">SUM(B2:R2)</f>
        <v>3877.65</v>
      </c>
      <c r="T2" s="108">
        <v>12152.01</v>
      </c>
      <c r="U2" s="59">
        <f t="shared" ref="U2:U8" si="2">S2/T2</f>
        <v>0.3190953595</v>
      </c>
      <c r="V2" s="109">
        <f t="shared" ref="V2:V8" si="3">A2</f>
        <v>45089</v>
      </c>
    </row>
    <row r="3">
      <c r="A3" s="74">
        <v>45090.0</v>
      </c>
      <c r="B3" s="5">
        <v>1003.47</v>
      </c>
      <c r="C3" s="110">
        <v>2226.63</v>
      </c>
      <c r="D3" s="93"/>
      <c r="E3" s="5"/>
      <c r="F3" s="5">
        <v>185.13</v>
      </c>
      <c r="G3" s="5"/>
      <c r="H3" s="5">
        <v>42.0</v>
      </c>
      <c r="I3" s="5"/>
      <c r="J3" s="93"/>
      <c r="K3" s="5"/>
      <c r="L3" s="5"/>
      <c r="M3" s="6"/>
      <c r="N3" s="93"/>
      <c r="O3" s="93"/>
      <c r="P3" s="5"/>
      <c r="Q3" s="93"/>
      <c r="R3" s="93">
        <v>179.76</v>
      </c>
      <c r="S3" s="7">
        <f t="shared" si="1"/>
        <v>3636.99</v>
      </c>
      <c r="T3" s="97">
        <v>8141.5</v>
      </c>
      <c r="U3" s="59">
        <f t="shared" si="2"/>
        <v>0.4467223485</v>
      </c>
      <c r="V3" s="109">
        <f t="shared" si="3"/>
        <v>45090</v>
      </c>
    </row>
    <row r="4">
      <c r="A4" s="74">
        <v>45091.0</v>
      </c>
      <c r="B4" s="5">
        <v>1598.87</v>
      </c>
      <c r="C4" s="93">
        <v>445.0</v>
      </c>
      <c r="D4" s="93"/>
      <c r="E4" s="5">
        <v>280.0</v>
      </c>
      <c r="F4" s="5">
        <v>137.91</v>
      </c>
      <c r="G4" s="5">
        <v>285.0</v>
      </c>
      <c r="H4" s="5"/>
      <c r="I4" s="5"/>
      <c r="J4" s="93"/>
      <c r="K4" s="5"/>
      <c r="L4" s="5"/>
      <c r="M4" s="5">
        <v>18.5</v>
      </c>
      <c r="N4" s="93"/>
      <c r="O4" s="5"/>
      <c r="P4" s="83"/>
      <c r="Q4" s="93"/>
      <c r="R4" s="6"/>
      <c r="S4" s="7">
        <f t="shared" si="1"/>
        <v>2765.28</v>
      </c>
      <c r="T4" s="97">
        <v>9053.07</v>
      </c>
      <c r="U4" s="59">
        <f t="shared" si="2"/>
        <v>0.3054521836</v>
      </c>
      <c r="V4" s="109">
        <f t="shared" si="3"/>
        <v>45091</v>
      </c>
    </row>
    <row r="5">
      <c r="A5" s="74">
        <v>45092.0</v>
      </c>
      <c r="B5" s="5">
        <v>2746.44</v>
      </c>
      <c r="C5" s="93">
        <v>750.36</v>
      </c>
      <c r="D5" s="101"/>
      <c r="E5" s="5"/>
      <c r="F5" s="5">
        <v>71.69</v>
      </c>
      <c r="G5" s="5"/>
      <c r="H5" s="5">
        <v>123.0</v>
      </c>
      <c r="I5" s="5"/>
      <c r="J5" s="93"/>
      <c r="K5" s="5"/>
      <c r="L5" s="5"/>
      <c r="M5" s="5">
        <v>18.5</v>
      </c>
      <c r="N5" s="93"/>
      <c r="O5" s="5"/>
      <c r="P5" s="5"/>
      <c r="Q5" s="101"/>
      <c r="R5" s="5">
        <v>1462.5</v>
      </c>
      <c r="S5" s="7">
        <f t="shared" si="1"/>
        <v>5172.49</v>
      </c>
      <c r="T5" s="98">
        <v>6837.8</v>
      </c>
      <c r="U5" s="59">
        <f t="shared" si="2"/>
        <v>0.7564552926</v>
      </c>
      <c r="V5" s="109">
        <f t="shared" si="3"/>
        <v>45092</v>
      </c>
    </row>
    <row r="6">
      <c r="A6" s="74">
        <v>45093.0</v>
      </c>
      <c r="B6" s="5">
        <v>1373.52</v>
      </c>
      <c r="C6" s="93">
        <v>1504.2</v>
      </c>
      <c r="D6" s="93"/>
      <c r="E6" s="5"/>
      <c r="F6" s="32">
        <v>529.51</v>
      </c>
      <c r="G6" s="5">
        <v>285.0</v>
      </c>
      <c r="H6" s="5"/>
      <c r="I6" s="5"/>
      <c r="J6" s="111"/>
      <c r="K6" s="5"/>
      <c r="L6" s="5"/>
      <c r="M6" s="5">
        <v>18.5</v>
      </c>
      <c r="N6" s="93"/>
      <c r="O6" s="5"/>
      <c r="P6" s="5"/>
      <c r="Q6" s="93"/>
      <c r="R6" s="5"/>
      <c r="S6" s="7">
        <f t="shared" si="1"/>
        <v>3710.73</v>
      </c>
      <c r="T6" s="97">
        <v>19975.41</v>
      </c>
      <c r="U6" s="59">
        <f t="shared" si="2"/>
        <v>0.1857648979</v>
      </c>
      <c r="V6" s="109">
        <f t="shared" si="3"/>
        <v>45093</v>
      </c>
    </row>
    <row r="7">
      <c r="A7" s="74">
        <v>45094.0</v>
      </c>
      <c r="B7" s="5">
        <v>2021.04</v>
      </c>
      <c r="C7" s="93">
        <v>144.09</v>
      </c>
      <c r="D7" s="93"/>
      <c r="E7" s="5"/>
      <c r="F7" s="5"/>
      <c r="G7" s="5"/>
      <c r="H7" s="5"/>
      <c r="I7" s="5"/>
      <c r="J7" s="101"/>
      <c r="K7" s="5"/>
      <c r="L7" s="5"/>
      <c r="M7" s="93"/>
      <c r="N7" s="93"/>
      <c r="O7" s="6"/>
      <c r="P7" s="6"/>
      <c r="Q7" s="101"/>
      <c r="R7" s="5"/>
      <c r="S7" s="7">
        <f t="shared" si="1"/>
        <v>2165.13</v>
      </c>
      <c r="T7" s="97">
        <v>36252.54</v>
      </c>
      <c r="U7" s="59">
        <f t="shared" si="2"/>
        <v>0.05972353937</v>
      </c>
      <c r="V7" s="109">
        <f t="shared" si="3"/>
        <v>45094</v>
      </c>
    </row>
    <row r="8">
      <c r="A8" s="74">
        <v>45095.0</v>
      </c>
      <c r="B8" s="10" t="s">
        <v>21</v>
      </c>
      <c r="C8" s="112" t="s">
        <v>21</v>
      </c>
      <c r="D8" s="112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12" t="s">
        <v>21</v>
      </c>
      <c r="K8" s="10" t="s">
        <v>21</v>
      </c>
      <c r="L8" s="10" t="s">
        <v>21</v>
      </c>
      <c r="M8" s="10"/>
      <c r="N8" s="112" t="s">
        <v>21</v>
      </c>
      <c r="O8" s="10" t="s">
        <v>21</v>
      </c>
      <c r="P8" s="10" t="s">
        <v>21</v>
      </c>
      <c r="Q8" s="112" t="s">
        <v>21</v>
      </c>
      <c r="R8" s="10" t="s">
        <v>21</v>
      </c>
      <c r="S8" s="7">
        <v>0.0</v>
      </c>
      <c r="T8" s="97">
        <v>26781.01</v>
      </c>
      <c r="U8" s="59">
        <f t="shared" si="2"/>
        <v>0</v>
      </c>
      <c r="V8" s="109">
        <f t="shared" si="3"/>
        <v>45095</v>
      </c>
    </row>
    <row r="9">
      <c r="C9" s="113"/>
      <c r="D9" s="79"/>
      <c r="J9" s="79"/>
      <c r="N9" s="79"/>
      <c r="Q9" s="79"/>
      <c r="T9" s="129"/>
      <c r="V9" s="106"/>
    </row>
    <row r="10">
      <c r="C10" s="79"/>
      <c r="D10" s="79"/>
      <c r="J10" s="79"/>
      <c r="N10" s="79"/>
      <c r="Q10" s="79"/>
      <c r="T10" s="130"/>
      <c r="V10" s="106"/>
    </row>
    <row r="11">
      <c r="A11" s="4" t="s">
        <v>22</v>
      </c>
      <c r="B11" s="11">
        <v>13000.0</v>
      </c>
      <c r="C11" s="79"/>
      <c r="D11" s="79"/>
      <c r="E11" s="78"/>
      <c r="F11" s="79"/>
      <c r="J11" s="79"/>
      <c r="N11" s="79"/>
      <c r="Q11" s="79"/>
      <c r="T11" s="131"/>
      <c r="V11" s="106"/>
    </row>
    <row r="12">
      <c r="A12" s="4" t="s">
        <v>23</v>
      </c>
      <c r="B12" s="12">
        <f>SUM(B2:R8)</f>
        <v>21328.27</v>
      </c>
      <c r="C12" s="79"/>
      <c r="D12" s="79"/>
      <c r="E12" s="56"/>
      <c r="J12" s="79"/>
      <c r="N12" s="79"/>
      <c r="Q12" s="79"/>
      <c r="T12" s="130"/>
      <c r="V12" s="106"/>
    </row>
    <row r="13">
      <c r="A13" s="4" t="s">
        <v>24</v>
      </c>
      <c r="B13" s="12">
        <f> SUM(B11-B12)</f>
        <v>-8328.27</v>
      </c>
      <c r="C13" s="79"/>
      <c r="D13" s="79"/>
      <c r="J13" s="79"/>
      <c r="N13" s="79"/>
      <c r="Q13" s="79"/>
      <c r="T13" s="130"/>
      <c r="V13" s="106"/>
    </row>
    <row r="14">
      <c r="C14" s="79"/>
      <c r="D14" s="79"/>
      <c r="J14" s="79"/>
      <c r="N14" s="79"/>
      <c r="Q14" s="79"/>
      <c r="T14" s="130"/>
      <c r="V14" s="106"/>
    </row>
    <row r="15">
      <c r="A15" s="13" t="s">
        <v>25</v>
      </c>
      <c r="B15" s="14">
        <f>SUM(T2:T8)</f>
        <v>119193.34</v>
      </c>
      <c r="C15" s="79"/>
      <c r="D15" s="79"/>
      <c r="J15" s="79"/>
      <c r="N15" s="79"/>
      <c r="Q15" s="79"/>
      <c r="T15" s="130"/>
      <c r="V15" s="106"/>
    </row>
    <row r="16">
      <c r="A16" s="13" t="s">
        <v>26</v>
      </c>
      <c r="B16" s="15">
        <f>B12/B15</f>
        <v>0.1789384373</v>
      </c>
      <c r="C16" s="79"/>
      <c r="D16" s="79"/>
      <c r="J16" s="79"/>
      <c r="N16" s="79"/>
      <c r="Q16" s="79"/>
      <c r="T16" s="130"/>
      <c r="V16" s="106"/>
    </row>
    <row r="17">
      <c r="C17" s="79"/>
      <c r="D17" s="79"/>
      <c r="J17" s="79"/>
      <c r="N17" s="79"/>
      <c r="Q17" s="79"/>
      <c r="T17" s="130"/>
      <c r="V17" s="106"/>
    </row>
    <row r="18">
      <c r="C18" s="79"/>
      <c r="D18" s="79"/>
      <c r="J18" s="79"/>
      <c r="N18" s="79"/>
      <c r="Q18" s="79"/>
      <c r="T18" s="130"/>
      <c r="V18" s="106"/>
    </row>
    <row r="19">
      <c r="A19" s="16" t="s">
        <v>27</v>
      </c>
      <c r="B19" s="17"/>
      <c r="C19" s="114"/>
      <c r="D19" s="115"/>
      <c r="H19" s="84"/>
      <c r="N19" s="79"/>
      <c r="Q19" s="79"/>
      <c r="T19" s="130"/>
      <c r="V19" s="106"/>
    </row>
    <row r="20">
      <c r="A20" s="19" t="s">
        <v>28</v>
      </c>
      <c r="B20" s="20"/>
      <c r="C20" s="116"/>
      <c r="D20" s="117"/>
      <c r="H20" s="85"/>
      <c r="I20" s="85"/>
      <c r="J20" s="118"/>
      <c r="N20" s="79"/>
      <c r="Q20" s="79"/>
      <c r="T20" s="130"/>
      <c r="V20" s="106"/>
    </row>
    <row r="21">
      <c r="A21" s="22" t="s">
        <v>29</v>
      </c>
      <c r="B21" s="23" t="s">
        <v>30</v>
      </c>
      <c r="C21" s="119" t="s">
        <v>31</v>
      </c>
      <c r="D21" s="120" t="s">
        <v>30</v>
      </c>
      <c r="H21" s="86"/>
      <c r="I21" s="85"/>
      <c r="J21" s="118"/>
      <c r="N21" s="79"/>
      <c r="Q21" s="79"/>
      <c r="T21" s="130"/>
      <c r="V21" s="106"/>
    </row>
    <row r="22">
      <c r="A22" s="28" t="s">
        <v>149</v>
      </c>
      <c r="B22" s="72"/>
      <c r="C22" s="121"/>
      <c r="D22" s="122"/>
      <c r="H22" s="87"/>
      <c r="I22" s="85"/>
      <c r="J22" s="118"/>
      <c r="N22" s="79"/>
      <c r="Q22" s="79"/>
      <c r="T22" s="130"/>
      <c r="V22" s="106"/>
    </row>
    <row r="23">
      <c r="A23" s="28" t="s">
        <v>150</v>
      </c>
      <c r="B23" s="72">
        <v>995.75</v>
      </c>
      <c r="C23" s="121"/>
      <c r="D23" s="124">
        <v>995.75</v>
      </c>
      <c r="H23" s="88"/>
      <c r="I23" s="88"/>
      <c r="J23" s="123"/>
      <c r="N23" s="79"/>
      <c r="Q23" s="79"/>
      <c r="T23" s="130"/>
      <c r="V23" s="106"/>
    </row>
    <row r="24">
      <c r="A24" s="71" t="s">
        <v>108</v>
      </c>
      <c r="B24" s="72" t="s">
        <v>158</v>
      </c>
      <c r="C24" s="71"/>
      <c r="D24" s="124">
        <v>638.08</v>
      </c>
      <c r="H24" s="88"/>
      <c r="I24" s="88"/>
      <c r="J24" s="123"/>
      <c r="N24" s="79"/>
      <c r="Q24" s="79"/>
      <c r="T24" s="130"/>
      <c r="V24" s="106"/>
    </row>
    <row r="25">
      <c r="A25" s="28" t="s">
        <v>159</v>
      </c>
      <c r="B25" s="41"/>
      <c r="C25" s="121"/>
      <c r="D25" s="124"/>
      <c r="H25" s="88"/>
      <c r="I25" s="88"/>
      <c r="J25" s="123"/>
      <c r="N25" s="79"/>
      <c r="Q25" s="79"/>
      <c r="T25" s="130"/>
      <c r="V25" s="106"/>
    </row>
    <row r="26">
      <c r="A26" s="28" t="s">
        <v>160</v>
      </c>
      <c r="B26" s="41"/>
      <c r="C26" s="71"/>
      <c r="D26" s="124"/>
      <c r="H26" s="88"/>
      <c r="I26" s="88"/>
      <c r="J26" s="123"/>
      <c r="N26" s="79"/>
      <c r="Q26" s="79"/>
      <c r="T26" s="130"/>
      <c r="V26" s="106"/>
    </row>
    <row r="27">
      <c r="A27" s="25"/>
      <c r="B27" s="26"/>
      <c r="C27" s="121"/>
      <c r="D27" s="122"/>
      <c r="H27" s="88"/>
      <c r="I27" s="88"/>
      <c r="J27" s="123"/>
      <c r="N27" s="79"/>
      <c r="Q27" s="79"/>
      <c r="T27" s="130"/>
      <c r="V27" s="106"/>
    </row>
    <row r="28">
      <c r="A28" s="25"/>
      <c r="B28" s="26"/>
      <c r="C28" s="121"/>
      <c r="D28" s="122"/>
      <c r="J28" s="79"/>
      <c r="N28" s="79"/>
      <c r="Q28" s="79"/>
      <c r="T28" s="132"/>
      <c r="V28" s="106"/>
    </row>
    <row r="29">
      <c r="A29" s="25"/>
      <c r="B29" s="26"/>
      <c r="C29" s="121"/>
      <c r="D29" s="122"/>
      <c r="I29" s="89"/>
      <c r="J29" s="125"/>
      <c r="N29" s="79"/>
      <c r="Q29" s="79"/>
      <c r="T29" s="130"/>
      <c r="V29" s="106"/>
    </row>
    <row r="30">
      <c r="C30" s="79"/>
      <c r="D30" s="79"/>
      <c r="J30" s="79"/>
      <c r="N30" s="79"/>
      <c r="Q30" s="79"/>
      <c r="T30" s="130"/>
      <c r="V30" s="106"/>
    </row>
    <row r="31">
      <c r="C31" s="79"/>
      <c r="D31" s="79"/>
      <c r="J31" s="79"/>
      <c r="N31" s="79"/>
      <c r="Q31" s="79"/>
      <c r="T31" s="130"/>
      <c r="V31" s="106"/>
    </row>
    <row r="32">
      <c r="C32" s="79"/>
      <c r="D32" s="79"/>
      <c r="J32" s="79"/>
      <c r="N32" s="79"/>
      <c r="Q32" s="79"/>
      <c r="T32" s="130"/>
      <c r="V32" s="106"/>
    </row>
    <row r="33">
      <c r="C33" s="79"/>
      <c r="D33" s="79"/>
      <c r="J33" s="79"/>
      <c r="N33" s="79"/>
      <c r="Q33" s="79"/>
      <c r="T33" s="130"/>
      <c r="V33" s="106"/>
    </row>
    <row r="34">
      <c r="C34" s="79"/>
      <c r="D34" s="79"/>
      <c r="J34" s="79"/>
      <c r="N34" s="79"/>
      <c r="Q34" s="79"/>
      <c r="T34" s="130"/>
      <c r="V34" s="106"/>
    </row>
    <row r="35">
      <c r="C35" s="79"/>
      <c r="D35" s="79"/>
      <c r="J35" s="79"/>
      <c r="N35" s="79"/>
      <c r="Q35" s="79"/>
      <c r="T35" s="130"/>
      <c r="V35" s="106"/>
    </row>
    <row r="36">
      <c r="C36" s="79"/>
      <c r="D36" s="79"/>
      <c r="J36" s="79"/>
      <c r="N36" s="79"/>
      <c r="Q36" s="79"/>
      <c r="T36" s="130"/>
      <c r="V36" s="106"/>
    </row>
    <row r="37">
      <c r="C37" s="79"/>
      <c r="D37" s="79"/>
      <c r="J37" s="79"/>
      <c r="N37" s="79"/>
      <c r="Q37" s="79"/>
      <c r="T37" s="130"/>
      <c r="V37" s="106"/>
    </row>
    <row r="38">
      <c r="C38" s="79"/>
      <c r="D38" s="79"/>
      <c r="J38" s="79"/>
      <c r="N38" s="79"/>
      <c r="Q38" s="79"/>
      <c r="T38" s="130"/>
      <c r="V38" s="106"/>
    </row>
    <row r="39">
      <c r="C39" s="79"/>
      <c r="D39" s="79"/>
      <c r="J39" s="79"/>
      <c r="N39" s="79"/>
      <c r="Q39" s="79"/>
      <c r="T39" s="130"/>
      <c r="V39" s="106"/>
    </row>
    <row r="40">
      <c r="C40" s="79"/>
      <c r="D40" s="79"/>
      <c r="J40" s="79"/>
      <c r="N40" s="79"/>
      <c r="Q40" s="79"/>
      <c r="T40" s="130"/>
      <c r="V40" s="106"/>
    </row>
    <row r="41">
      <c r="C41" s="79"/>
      <c r="D41" s="79"/>
      <c r="J41" s="79"/>
      <c r="N41" s="79"/>
      <c r="Q41" s="79"/>
      <c r="T41" s="130"/>
      <c r="V41" s="106"/>
    </row>
    <row r="42">
      <c r="C42" s="79"/>
      <c r="D42" s="79"/>
      <c r="J42" s="79"/>
      <c r="N42" s="79"/>
      <c r="Q42" s="79"/>
      <c r="T42" s="130"/>
      <c r="V42" s="106"/>
    </row>
    <row r="43">
      <c r="C43" s="79"/>
      <c r="D43" s="79"/>
      <c r="J43" s="79"/>
      <c r="N43" s="79"/>
      <c r="Q43" s="79"/>
      <c r="T43" s="130"/>
      <c r="V43" s="106"/>
    </row>
    <row r="44">
      <c r="C44" s="79"/>
      <c r="D44" s="79"/>
      <c r="J44" s="79"/>
      <c r="N44" s="79"/>
      <c r="Q44" s="79"/>
      <c r="T44" s="130"/>
      <c r="V44" s="106"/>
    </row>
    <row r="45">
      <c r="C45" s="79"/>
      <c r="D45" s="79"/>
      <c r="J45" s="79"/>
      <c r="N45" s="79"/>
      <c r="Q45" s="79"/>
      <c r="T45" s="130"/>
      <c r="V45" s="106"/>
    </row>
    <row r="46">
      <c r="C46" s="79"/>
      <c r="D46" s="79"/>
      <c r="J46" s="79"/>
      <c r="N46" s="79"/>
      <c r="Q46" s="79"/>
      <c r="T46" s="130"/>
      <c r="V46" s="106"/>
    </row>
    <row r="47">
      <c r="C47" s="79"/>
      <c r="D47" s="79"/>
      <c r="J47" s="79"/>
      <c r="N47" s="79"/>
      <c r="Q47" s="79"/>
      <c r="T47" s="130"/>
      <c r="V47" s="106"/>
    </row>
    <row r="48">
      <c r="C48" s="79"/>
      <c r="D48" s="79"/>
      <c r="J48" s="79"/>
      <c r="N48" s="79"/>
      <c r="Q48" s="79"/>
      <c r="T48" s="130"/>
      <c r="V48" s="106"/>
    </row>
    <row r="49">
      <c r="C49" s="79"/>
      <c r="D49" s="79"/>
      <c r="J49" s="79"/>
      <c r="N49" s="79"/>
      <c r="Q49" s="79"/>
      <c r="T49" s="130"/>
      <c r="V49" s="106"/>
    </row>
    <row r="50">
      <c r="C50" s="79"/>
      <c r="D50" s="79"/>
      <c r="J50" s="79"/>
      <c r="N50" s="79"/>
      <c r="Q50" s="79"/>
      <c r="T50" s="130"/>
      <c r="V50" s="106"/>
    </row>
    <row r="51">
      <c r="C51" s="79"/>
      <c r="D51" s="79"/>
      <c r="J51" s="79"/>
      <c r="N51" s="79"/>
      <c r="Q51" s="79"/>
      <c r="T51" s="130"/>
      <c r="V51" s="106"/>
    </row>
    <row r="52">
      <c r="C52" s="79"/>
      <c r="D52" s="79"/>
      <c r="J52" s="79"/>
      <c r="N52" s="79"/>
      <c r="Q52" s="79"/>
      <c r="T52" s="130"/>
      <c r="V52" s="106"/>
    </row>
    <row r="53">
      <c r="C53" s="79"/>
      <c r="D53" s="79"/>
      <c r="J53" s="79"/>
      <c r="N53" s="79"/>
      <c r="Q53" s="79"/>
      <c r="T53" s="130"/>
      <c r="V53" s="106"/>
    </row>
    <row r="54">
      <c r="C54" s="79"/>
      <c r="D54" s="79"/>
      <c r="J54" s="79"/>
      <c r="N54" s="79"/>
      <c r="Q54" s="79"/>
      <c r="T54" s="130"/>
      <c r="V54" s="106"/>
    </row>
    <row r="55">
      <c r="C55" s="79"/>
      <c r="D55" s="79"/>
      <c r="J55" s="79"/>
      <c r="N55" s="79"/>
      <c r="Q55" s="79"/>
      <c r="T55" s="130"/>
      <c r="V55" s="106"/>
    </row>
    <row r="56">
      <c r="C56" s="79"/>
      <c r="D56" s="79"/>
      <c r="J56" s="79"/>
      <c r="N56" s="79"/>
      <c r="Q56" s="79"/>
      <c r="T56" s="130"/>
      <c r="V56" s="106"/>
    </row>
    <row r="57">
      <c r="C57" s="79"/>
      <c r="D57" s="79"/>
      <c r="J57" s="79"/>
      <c r="N57" s="79"/>
      <c r="Q57" s="79"/>
      <c r="T57" s="130"/>
      <c r="V57" s="106"/>
    </row>
    <row r="58">
      <c r="C58" s="79"/>
      <c r="D58" s="79"/>
      <c r="J58" s="79"/>
      <c r="N58" s="79"/>
      <c r="Q58" s="79"/>
      <c r="T58" s="130"/>
      <c r="V58" s="106"/>
    </row>
    <row r="59">
      <c r="C59" s="79"/>
      <c r="D59" s="79"/>
      <c r="J59" s="79"/>
      <c r="N59" s="79"/>
      <c r="Q59" s="79"/>
      <c r="T59" s="130"/>
      <c r="V59" s="106"/>
    </row>
    <row r="60">
      <c r="C60" s="79"/>
      <c r="D60" s="79"/>
      <c r="J60" s="79"/>
      <c r="N60" s="79"/>
      <c r="Q60" s="79"/>
      <c r="T60" s="130"/>
      <c r="V60" s="106"/>
    </row>
    <row r="61">
      <c r="C61" s="79"/>
      <c r="D61" s="79"/>
      <c r="J61" s="79"/>
      <c r="N61" s="79"/>
      <c r="Q61" s="79"/>
      <c r="T61" s="130"/>
      <c r="V61" s="106"/>
    </row>
    <row r="62">
      <c r="C62" s="79"/>
      <c r="D62" s="79"/>
      <c r="J62" s="79"/>
      <c r="N62" s="79"/>
      <c r="Q62" s="79"/>
      <c r="T62" s="130"/>
      <c r="V62" s="106"/>
    </row>
    <row r="63">
      <c r="C63" s="79"/>
      <c r="D63" s="79"/>
      <c r="J63" s="79"/>
      <c r="N63" s="79"/>
      <c r="Q63" s="79"/>
      <c r="T63" s="130"/>
      <c r="V63" s="106"/>
    </row>
    <row r="64">
      <c r="C64" s="79"/>
      <c r="D64" s="79"/>
      <c r="J64" s="79"/>
      <c r="N64" s="79"/>
      <c r="Q64" s="79"/>
      <c r="T64" s="130"/>
      <c r="V64" s="106"/>
    </row>
    <row r="65">
      <c r="C65" s="79"/>
      <c r="D65" s="79"/>
      <c r="J65" s="79"/>
      <c r="N65" s="79"/>
      <c r="Q65" s="79"/>
      <c r="T65" s="130"/>
      <c r="V65" s="106"/>
    </row>
    <row r="66">
      <c r="C66" s="79"/>
      <c r="D66" s="79"/>
      <c r="J66" s="79"/>
      <c r="N66" s="79"/>
      <c r="Q66" s="79"/>
      <c r="T66" s="130"/>
      <c r="V66" s="106"/>
    </row>
    <row r="67">
      <c r="C67" s="79"/>
      <c r="D67" s="79"/>
      <c r="J67" s="79"/>
      <c r="N67" s="79"/>
      <c r="Q67" s="79"/>
      <c r="T67" s="130"/>
      <c r="V67" s="106"/>
    </row>
    <row r="68">
      <c r="C68" s="79"/>
      <c r="D68" s="79"/>
      <c r="J68" s="79"/>
      <c r="N68" s="79"/>
      <c r="Q68" s="79"/>
      <c r="T68" s="130"/>
      <c r="V68" s="106"/>
    </row>
    <row r="69">
      <c r="C69" s="79"/>
      <c r="D69" s="79"/>
      <c r="J69" s="79"/>
      <c r="N69" s="79"/>
      <c r="Q69" s="79"/>
      <c r="T69" s="130"/>
      <c r="V69" s="106"/>
    </row>
    <row r="70">
      <c r="C70" s="79"/>
      <c r="D70" s="79"/>
      <c r="J70" s="79"/>
      <c r="N70" s="79"/>
      <c r="Q70" s="79"/>
      <c r="T70" s="130"/>
      <c r="V70" s="106"/>
    </row>
    <row r="71">
      <c r="C71" s="79"/>
      <c r="D71" s="79"/>
      <c r="J71" s="79"/>
      <c r="N71" s="79"/>
      <c r="Q71" s="79"/>
      <c r="T71" s="130"/>
      <c r="V71" s="106"/>
    </row>
    <row r="72">
      <c r="C72" s="79"/>
      <c r="D72" s="79"/>
      <c r="J72" s="79"/>
      <c r="N72" s="79"/>
      <c r="Q72" s="79"/>
      <c r="T72" s="130"/>
      <c r="V72" s="106"/>
    </row>
    <row r="73">
      <c r="C73" s="79"/>
      <c r="D73" s="79"/>
      <c r="J73" s="79"/>
      <c r="N73" s="79"/>
      <c r="Q73" s="79"/>
      <c r="T73" s="130"/>
      <c r="V73" s="106"/>
    </row>
    <row r="74">
      <c r="C74" s="79"/>
      <c r="D74" s="79"/>
      <c r="J74" s="79"/>
      <c r="N74" s="79"/>
      <c r="Q74" s="79"/>
      <c r="T74" s="130"/>
      <c r="V74" s="106"/>
    </row>
    <row r="75">
      <c r="C75" s="79"/>
      <c r="D75" s="79"/>
      <c r="J75" s="79"/>
      <c r="N75" s="79"/>
      <c r="Q75" s="79"/>
      <c r="T75" s="130"/>
      <c r="V75" s="106"/>
    </row>
    <row r="76">
      <c r="C76" s="79"/>
      <c r="D76" s="79"/>
      <c r="J76" s="79"/>
      <c r="N76" s="79"/>
      <c r="Q76" s="79"/>
      <c r="T76" s="130"/>
      <c r="V76" s="106"/>
    </row>
    <row r="77">
      <c r="C77" s="79"/>
      <c r="D77" s="79"/>
      <c r="J77" s="79"/>
      <c r="N77" s="79"/>
      <c r="Q77" s="79"/>
      <c r="T77" s="130"/>
      <c r="V77" s="106"/>
    </row>
    <row r="78">
      <c r="C78" s="79"/>
      <c r="D78" s="79"/>
      <c r="J78" s="79"/>
      <c r="N78" s="79"/>
      <c r="Q78" s="79"/>
      <c r="T78" s="130"/>
      <c r="V78" s="106"/>
    </row>
    <row r="79">
      <c r="C79" s="79"/>
      <c r="D79" s="79"/>
      <c r="J79" s="79"/>
      <c r="N79" s="79"/>
      <c r="Q79" s="79"/>
      <c r="T79" s="130"/>
      <c r="V79" s="106"/>
    </row>
    <row r="80">
      <c r="C80" s="79"/>
      <c r="D80" s="79"/>
      <c r="J80" s="79"/>
      <c r="N80" s="79"/>
      <c r="Q80" s="79"/>
      <c r="T80" s="130"/>
      <c r="V80" s="106"/>
    </row>
    <row r="81">
      <c r="C81" s="79"/>
      <c r="D81" s="79"/>
      <c r="J81" s="79"/>
      <c r="N81" s="79"/>
      <c r="Q81" s="79"/>
      <c r="T81" s="130"/>
      <c r="V81" s="106"/>
    </row>
    <row r="82">
      <c r="C82" s="79"/>
      <c r="D82" s="79"/>
      <c r="J82" s="79"/>
      <c r="N82" s="79"/>
      <c r="Q82" s="79"/>
      <c r="T82" s="130"/>
      <c r="V82" s="106"/>
    </row>
    <row r="83">
      <c r="C83" s="79"/>
      <c r="D83" s="79"/>
      <c r="J83" s="79"/>
      <c r="N83" s="79"/>
      <c r="Q83" s="79"/>
      <c r="T83" s="130"/>
      <c r="V83" s="106"/>
    </row>
    <row r="84">
      <c r="C84" s="79"/>
      <c r="D84" s="79"/>
      <c r="J84" s="79"/>
      <c r="N84" s="79"/>
      <c r="Q84" s="79"/>
      <c r="T84" s="130"/>
      <c r="V84" s="106"/>
    </row>
    <row r="85">
      <c r="C85" s="79"/>
      <c r="D85" s="79"/>
      <c r="J85" s="79"/>
      <c r="N85" s="79"/>
      <c r="Q85" s="79"/>
      <c r="T85" s="130"/>
      <c r="V85" s="106"/>
    </row>
    <row r="86">
      <c r="C86" s="79"/>
      <c r="D86" s="79"/>
      <c r="J86" s="79"/>
      <c r="N86" s="79"/>
      <c r="Q86" s="79"/>
      <c r="T86" s="130"/>
      <c r="V86" s="106"/>
    </row>
    <row r="87">
      <c r="C87" s="79"/>
      <c r="D87" s="79"/>
      <c r="J87" s="79"/>
      <c r="N87" s="79"/>
      <c r="Q87" s="79"/>
      <c r="T87" s="130"/>
      <c r="V87" s="106"/>
    </row>
    <row r="88">
      <c r="C88" s="79"/>
      <c r="D88" s="79"/>
      <c r="J88" s="79"/>
      <c r="N88" s="79"/>
      <c r="Q88" s="79"/>
      <c r="T88" s="130"/>
      <c r="V88" s="106"/>
    </row>
    <row r="89">
      <c r="C89" s="79"/>
      <c r="D89" s="79"/>
      <c r="J89" s="79"/>
      <c r="N89" s="79"/>
      <c r="Q89" s="79"/>
      <c r="T89" s="130"/>
      <c r="V89" s="106"/>
    </row>
    <row r="90">
      <c r="C90" s="79"/>
      <c r="D90" s="79"/>
      <c r="J90" s="79"/>
      <c r="N90" s="79"/>
      <c r="Q90" s="79"/>
      <c r="T90" s="130"/>
      <c r="V90" s="106"/>
    </row>
    <row r="91">
      <c r="C91" s="79"/>
      <c r="D91" s="79"/>
      <c r="J91" s="79"/>
      <c r="N91" s="79"/>
      <c r="Q91" s="79"/>
      <c r="T91" s="130"/>
      <c r="V91" s="106"/>
    </row>
    <row r="92">
      <c r="C92" s="79"/>
      <c r="D92" s="79"/>
      <c r="J92" s="79"/>
      <c r="N92" s="79"/>
      <c r="Q92" s="79"/>
      <c r="T92" s="130"/>
      <c r="V92" s="106"/>
    </row>
    <row r="93">
      <c r="C93" s="79"/>
      <c r="D93" s="79"/>
      <c r="J93" s="79"/>
      <c r="N93" s="79"/>
      <c r="Q93" s="79"/>
      <c r="T93" s="130"/>
      <c r="V93" s="106"/>
    </row>
    <row r="94">
      <c r="C94" s="79"/>
      <c r="D94" s="79"/>
      <c r="J94" s="79"/>
      <c r="N94" s="79"/>
      <c r="Q94" s="79"/>
      <c r="T94" s="130"/>
      <c r="V94" s="106"/>
    </row>
    <row r="95">
      <c r="C95" s="79"/>
      <c r="D95" s="79"/>
      <c r="J95" s="79"/>
      <c r="N95" s="79"/>
      <c r="Q95" s="79"/>
      <c r="T95" s="130"/>
      <c r="V95" s="106"/>
    </row>
    <row r="96">
      <c r="C96" s="79"/>
      <c r="D96" s="79"/>
      <c r="J96" s="79"/>
      <c r="N96" s="79"/>
      <c r="Q96" s="79"/>
      <c r="T96" s="130"/>
      <c r="V96" s="106"/>
    </row>
    <row r="97">
      <c r="C97" s="79"/>
      <c r="D97" s="79"/>
      <c r="J97" s="79"/>
      <c r="N97" s="79"/>
      <c r="Q97" s="79"/>
      <c r="T97" s="130"/>
      <c r="V97" s="106"/>
    </row>
    <row r="98">
      <c r="C98" s="79"/>
      <c r="D98" s="79"/>
      <c r="J98" s="79"/>
      <c r="N98" s="79"/>
      <c r="Q98" s="79"/>
      <c r="T98" s="130"/>
      <c r="V98" s="106"/>
    </row>
    <row r="99">
      <c r="C99" s="79"/>
      <c r="D99" s="79"/>
      <c r="J99" s="79"/>
      <c r="N99" s="79"/>
      <c r="Q99" s="79"/>
      <c r="T99" s="130"/>
      <c r="V99" s="106"/>
    </row>
    <row r="100">
      <c r="C100" s="79"/>
      <c r="D100" s="79"/>
      <c r="J100" s="79"/>
      <c r="N100" s="79"/>
      <c r="Q100" s="79"/>
      <c r="T100" s="130"/>
      <c r="V100" s="106"/>
    </row>
    <row r="101">
      <c r="C101" s="79"/>
      <c r="D101" s="79"/>
      <c r="J101" s="79"/>
      <c r="N101" s="79"/>
      <c r="Q101" s="79"/>
      <c r="T101" s="130"/>
      <c r="V101" s="106"/>
    </row>
    <row r="102">
      <c r="C102" s="79"/>
      <c r="D102" s="79"/>
      <c r="J102" s="79"/>
      <c r="N102" s="79"/>
      <c r="Q102" s="79"/>
      <c r="T102" s="130"/>
      <c r="V102" s="106"/>
    </row>
    <row r="103">
      <c r="C103" s="79"/>
      <c r="D103" s="79"/>
      <c r="J103" s="79"/>
      <c r="N103" s="79"/>
      <c r="Q103" s="79"/>
      <c r="T103" s="130"/>
      <c r="V103" s="106"/>
    </row>
    <row r="104">
      <c r="C104" s="79"/>
      <c r="D104" s="79"/>
      <c r="J104" s="79"/>
      <c r="N104" s="79"/>
      <c r="Q104" s="79"/>
      <c r="T104" s="130"/>
      <c r="V104" s="106"/>
    </row>
    <row r="105">
      <c r="C105" s="79"/>
      <c r="D105" s="79"/>
      <c r="J105" s="79"/>
      <c r="N105" s="79"/>
      <c r="Q105" s="79"/>
      <c r="T105" s="130"/>
      <c r="V105" s="106"/>
    </row>
    <row r="106">
      <c r="C106" s="79"/>
      <c r="D106" s="79"/>
      <c r="J106" s="79"/>
      <c r="N106" s="79"/>
      <c r="Q106" s="79"/>
      <c r="T106" s="130"/>
      <c r="V106" s="106"/>
    </row>
    <row r="107">
      <c r="C107" s="79"/>
      <c r="D107" s="79"/>
      <c r="J107" s="79"/>
      <c r="N107" s="79"/>
      <c r="Q107" s="79"/>
      <c r="T107" s="130"/>
      <c r="V107" s="106"/>
    </row>
    <row r="108">
      <c r="C108" s="79"/>
      <c r="D108" s="79"/>
      <c r="J108" s="79"/>
      <c r="N108" s="79"/>
      <c r="Q108" s="79"/>
      <c r="T108" s="130"/>
      <c r="V108" s="106"/>
    </row>
    <row r="109">
      <c r="C109" s="79"/>
      <c r="D109" s="79"/>
      <c r="J109" s="79"/>
      <c r="N109" s="79"/>
      <c r="Q109" s="79"/>
      <c r="T109" s="130"/>
      <c r="V109" s="106"/>
    </row>
    <row r="110">
      <c r="C110" s="79"/>
      <c r="D110" s="79"/>
      <c r="J110" s="79"/>
      <c r="N110" s="79"/>
      <c r="Q110" s="79"/>
      <c r="T110" s="130"/>
      <c r="V110" s="106"/>
    </row>
    <row r="111">
      <c r="C111" s="79"/>
      <c r="D111" s="79"/>
      <c r="J111" s="79"/>
      <c r="N111" s="79"/>
      <c r="Q111" s="79"/>
      <c r="T111" s="130"/>
      <c r="V111" s="106"/>
    </row>
    <row r="112">
      <c r="C112" s="79"/>
      <c r="D112" s="79"/>
      <c r="J112" s="79"/>
      <c r="N112" s="79"/>
      <c r="Q112" s="79"/>
      <c r="T112" s="130"/>
      <c r="V112" s="106"/>
    </row>
    <row r="113">
      <c r="C113" s="79"/>
      <c r="D113" s="79"/>
      <c r="J113" s="79"/>
      <c r="N113" s="79"/>
      <c r="Q113" s="79"/>
      <c r="T113" s="130"/>
      <c r="V113" s="106"/>
    </row>
    <row r="114">
      <c r="C114" s="79"/>
      <c r="D114" s="79"/>
      <c r="J114" s="79"/>
      <c r="N114" s="79"/>
      <c r="Q114" s="79"/>
      <c r="T114" s="130"/>
      <c r="V114" s="106"/>
    </row>
    <row r="115">
      <c r="C115" s="79"/>
      <c r="D115" s="79"/>
      <c r="J115" s="79"/>
      <c r="N115" s="79"/>
      <c r="Q115" s="79"/>
      <c r="T115" s="130"/>
      <c r="V115" s="106"/>
    </row>
    <row r="116">
      <c r="C116" s="79"/>
      <c r="D116" s="79"/>
      <c r="J116" s="79"/>
      <c r="N116" s="79"/>
      <c r="Q116" s="79"/>
      <c r="T116" s="130"/>
      <c r="V116" s="106"/>
    </row>
    <row r="117">
      <c r="C117" s="79"/>
      <c r="D117" s="79"/>
      <c r="J117" s="79"/>
      <c r="N117" s="79"/>
      <c r="Q117" s="79"/>
      <c r="T117" s="130"/>
      <c r="V117" s="106"/>
    </row>
    <row r="118">
      <c r="C118" s="79"/>
      <c r="D118" s="79"/>
      <c r="J118" s="79"/>
      <c r="N118" s="79"/>
      <c r="Q118" s="79"/>
      <c r="T118" s="130"/>
      <c r="V118" s="106"/>
    </row>
    <row r="119">
      <c r="C119" s="79"/>
      <c r="D119" s="79"/>
      <c r="J119" s="79"/>
      <c r="N119" s="79"/>
      <c r="Q119" s="79"/>
      <c r="T119" s="130"/>
      <c r="V119" s="106"/>
    </row>
    <row r="120">
      <c r="C120" s="79"/>
      <c r="D120" s="79"/>
      <c r="J120" s="79"/>
      <c r="N120" s="79"/>
      <c r="Q120" s="79"/>
      <c r="T120" s="130"/>
      <c r="V120" s="106"/>
    </row>
    <row r="121">
      <c r="C121" s="79"/>
      <c r="D121" s="79"/>
      <c r="J121" s="79"/>
      <c r="N121" s="79"/>
      <c r="Q121" s="79"/>
      <c r="T121" s="130"/>
      <c r="V121" s="106"/>
    </row>
    <row r="122">
      <c r="C122" s="79"/>
      <c r="D122" s="79"/>
      <c r="J122" s="79"/>
      <c r="N122" s="79"/>
      <c r="Q122" s="79"/>
      <c r="T122" s="130"/>
      <c r="V122" s="106"/>
    </row>
    <row r="123">
      <c r="C123" s="79"/>
      <c r="D123" s="79"/>
      <c r="J123" s="79"/>
      <c r="N123" s="79"/>
      <c r="Q123" s="79"/>
      <c r="T123" s="130"/>
      <c r="V123" s="106"/>
    </row>
    <row r="124">
      <c r="C124" s="79"/>
      <c r="D124" s="79"/>
      <c r="J124" s="79"/>
      <c r="N124" s="79"/>
      <c r="Q124" s="79"/>
      <c r="T124" s="130"/>
      <c r="V124" s="106"/>
    </row>
    <row r="125">
      <c r="C125" s="79"/>
      <c r="D125" s="79"/>
      <c r="J125" s="79"/>
      <c r="N125" s="79"/>
      <c r="Q125" s="79"/>
      <c r="T125" s="130"/>
      <c r="V125" s="106"/>
    </row>
    <row r="126">
      <c r="C126" s="79"/>
      <c r="D126" s="79"/>
      <c r="J126" s="79"/>
      <c r="N126" s="79"/>
      <c r="Q126" s="79"/>
      <c r="T126" s="130"/>
      <c r="V126" s="106"/>
    </row>
    <row r="127">
      <c r="C127" s="79"/>
      <c r="D127" s="79"/>
      <c r="J127" s="79"/>
      <c r="N127" s="79"/>
      <c r="Q127" s="79"/>
      <c r="T127" s="130"/>
      <c r="V127" s="106"/>
    </row>
    <row r="128">
      <c r="C128" s="79"/>
      <c r="D128" s="79"/>
      <c r="J128" s="79"/>
      <c r="N128" s="79"/>
      <c r="Q128" s="79"/>
      <c r="T128" s="130"/>
      <c r="V128" s="106"/>
    </row>
    <row r="129">
      <c r="C129" s="79"/>
      <c r="D129" s="79"/>
      <c r="J129" s="79"/>
      <c r="N129" s="79"/>
      <c r="Q129" s="79"/>
      <c r="T129" s="130"/>
      <c r="V129" s="106"/>
    </row>
    <row r="130">
      <c r="C130" s="79"/>
      <c r="D130" s="79"/>
      <c r="J130" s="79"/>
      <c r="N130" s="79"/>
      <c r="Q130" s="79"/>
      <c r="T130" s="130"/>
      <c r="V130" s="106"/>
    </row>
    <row r="131">
      <c r="C131" s="79"/>
      <c r="D131" s="79"/>
      <c r="J131" s="79"/>
      <c r="N131" s="79"/>
      <c r="Q131" s="79"/>
      <c r="T131" s="130"/>
      <c r="V131" s="106"/>
    </row>
    <row r="132">
      <c r="C132" s="79"/>
      <c r="D132" s="79"/>
      <c r="J132" s="79"/>
      <c r="N132" s="79"/>
      <c r="Q132" s="79"/>
      <c r="T132" s="130"/>
      <c r="V132" s="106"/>
    </row>
    <row r="133">
      <c r="C133" s="79"/>
      <c r="D133" s="79"/>
      <c r="J133" s="79"/>
      <c r="N133" s="79"/>
      <c r="Q133" s="79"/>
      <c r="T133" s="130"/>
      <c r="V133" s="106"/>
    </row>
    <row r="134">
      <c r="C134" s="79"/>
      <c r="D134" s="79"/>
      <c r="J134" s="79"/>
      <c r="N134" s="79"/>
      <c r="Q134" s="79"/>
      <c r="T134" s="130"/>
      <c r="V134" s="106"/>
    </row>
    <row r="135">
      <c r="C135" s="79"/>
      <c r="D135" s="79"/>
      <c r="J135" s="79"/>
      <c r="N135" s="79"/>
      <c r="Q135" s="79"/>
      <c r="T135" s="130"/>
      <c r="V135" s="106"/>
    </row>
    <row r="136">
      <c r="C136" s="79"/>
      <c r="D136" s="79"/>
      <c r="J136" s="79"/>
      <c r="N136" s="79"/>
      <c r="Q136" s="79"/>
      <c r="T136" s="130"/>
      <c r="V136" s="106"/>
    </row>
    <row r="137">
      <c r="C137" s="79"/>
      <c r="D137" s="79"/>
      <c r="J137" s="79"/>
      <c r="N137" s="79"/>
      <c r="Q137" s="79"/>
      <c r="T137" s="130"/>
      <c r="V137" s="106"/>
    </row>
    <row r="138">
      <c r="C138" s="79"/>
      <c r="D138" s="79"/>
      <c r="J138" s="79"/>
      <c r="N138" s="79"/>
      <c r="Q138" s="79"/>
      <c r="T138" s="130"/>
      <c r="V138" s="106"/>
    </row>
    <row r="139">
      <c r="C139" s="79"/>
      <c r="D139" s="79"/>
      <c r="J139" s="79"/>
      <c r="N139" s="79"/>
      <c r="Q139" s="79"/>
      <c r="T139" s="130"/>
      <c r="V139" s="106"/>
    </row>
    <row r="140">
      <c r="C140" s="79"/>
      <c r="D140" s="79"/>
      <c r="J140" s="79"/>
      <c r="N140" s="79"/>
      <c r="Q140" s="79"/>
      <c r="T140" s="130"/>
      <c r="V140" s="106"/>
    </row>
    <row r="141">
      <c r="C141" s="79"/>
      <c r="D141" s="79"/>
      <c r="J141" s="79"/>
      <c r="N141" s="79"/>
      <c r="Q141" s="79"/>
      <c r="T141" s="130"/>
      <c r="V141" s="106"/>
    </row>
    <row r="142">
      <c r="C142" s="79"/>
      <c r="D142" s="79"/>
      <c r="J142" s="79"/>
      <c r="N142" s="79"/>
      <c r="Q142" s="79"/>
      <c r="T142" s="130"/>
      <c r="V142" s="106"/>
    </row>
    <row r="143">
      <c r="C143" s="79"/>
      <c r="D143" s="79"/>
      <c r="J143" s="79"/>
      <c r="N143" s="79"/>
      <c r="Q143" s="79"/>
      <c r="T143" s="130"/>
      <c r="V143" s="106"/>
    </row>
    <row r="144">
      <c r="C144" s="79"/>
      <c r="D144" s="79"/>
      <c r="J144" s="79"/>
      <c r="N144" s="79"/>
      <c r="Q144" s="79"/>
      <c r="T144" s="130"/>
      <c r="V144" s="106"/>
    </row>
    <row r="145">
      <c r="C145" s="79"/>
      <c r="D145" s="79"/>
      <c r="J145" s="79"/>
      <c r="N145" s="79"/>
      <c r="Q145" s="79"/>
      <c r="T145" s="130"/>
      <c r="V145" s="106"/>
    </row>
    <row r="146">
      <c r="C146" s="79"/>
      <c r="D146" s="79"/>
      <c r="J146" s="79"/>
      <c r="N146" s="79"/>
      <c r="Q146" s="79"/>
      <c r="T146" s="130"/>
      <c r="V146" s="106"/>
    </row>
    <row r="147">
      <c r="C147" s="79"/>
      <c r="D147" s="79"/>
      <c r="J147" s="79"/>
      <c r="N147" s="79"/>
      <c r="Q147" s="79"/>
      <c r="T147" s="130"/>
      <c r="V147" s="106"/>
    </row>
    <row r="148">
      <c r="C148" s="79"/>
      <c r="D148" s="79"/>
      <c r="J148" s="79"/>
      <c r="N148" s="79"/>
      <c r="Q148" s="79"/>
      <c r="T148" s="130"/>
      <c r="V148" s="106"/>
    </row>
    <row r="149">
      <c r="C149" s="79"/>
      <c r="D149" s="79"/>
      <c r="J149" s="79"/>
      <c r="N149" s="79"/>
      <c r="Q149" s="79"/>
      <c r="T149" s="130"/>
      <c r="V149" s="106"/>
    </row>
    <row r="150">
      <c r="C150" s="79"/>
      <c r="D150" s="79"/>
      <c r="J150" s="79"/>
      <c r="N150" s="79"/>
      <c r="Q150" s="79"/>
      <c r="T150" s="130"/>
      <c r="V150" s="106"/>
    </row>
    <row r="151">
      <c r="C151" s="79"/>
      <c r="D151" s="79"/>
      <c r="J151" s="79"/>
      <c r="N151" s="79"/>
      <c r="Q151" s="79"/>
      <c r="T151" s="130"/>
      <c r="V151" s="106"/>
    </row>
    <row r="152">
      <c r="C152" s="79"/>
      <c r="D152" s="79"/>
      <c r="J152" s="79"/>
      <c r="N152" s="79"/>
      <c r="Q152" s="79"/>
      <c r="T152" s="130"/>
      <c r="V152" s="106"/>
    </row>
    <row r="153">
      <c r="C153" s="79"/>
      <c r="D153" s="79"/>
      <c r="J153" s="79"/>
      <c r="N153" s="79"/>
      <c r="Q153" s="79"/>
      <c r="T153" s="130"/>
      <c r="V153" s="106"/>
    </row>
    <row r="154">
      <c r="C154" s="79"/>
      <c r="D154" s="79"/>
      <c r="J154" s="79"/>
      <c r="N154" s="79"/>
      <c r="Q154" s="79"/>
      <c r="T154" s="130"/>
      <c r="V154" s="106"/>
    </row>
    <row r="155">
      <c r="C155" s="79"/>
      <c r="D155" s="79"/>
      <c r="J155" s="79"/>
      <c r="N155" s="79"/>
      <c r="Q155" s="79"/>
      <c r="T155" s="130"/>
      <c r="V155" s="106"/>
    </row>
    <row r="156">
      <c r="C156" s="79"/>
      <c r="D156" s="79"/>
      <c r="J156" s="79"/>
      <c r="N156" s="79"/>
      <c r="Q156" s="79"/>
      <c r="T156" s="130"/>
      <c r="V156" s="106"/>
    </row>
    <row r="157">
      <c r="C157" s="79"/>
      <c r="D157" s="79"/>
      <c r="J157" s="79"/>
      <c r="N157" s="79"/>
      <c r="Q157" s="79"/>
      <c r="T157" s="130"/>
      <c r="V157" s="106"/>
    </row>
    <row r="158">
      <c r="C158" s="79"/>
      <c r="D158" s="79"/>
      <c r="J158" s="79"/>
      <c r="N158" s="79"/>
      <c r="Q158" s="79"/>
      <c r="T158" s="130"/>
      <c r="V158" s="106"/>
    </row>
    <row r="159">
      <c r="C159" s="79"/>
      <c r="D159" s="79"/>
      <c r="J159" s="79"/>
      <c r="N159" s="79"/>
      <c r="Q159" s="79"/>
      <c r="T159" s="130"/>
      <c r="V159" s="106"/>
    </row>
    <row r="160">
      <c r="C160" s="79"/>
      <c r="D160" s="79"/>
      <c r="J160" s="79"/>
      <c r="N160" s="79"/>
      <c r="Q160" s="79"/>
      <c r="T160" s="130"/>
      <c r="V160" s="106"/>
    </row>
    <row r="161">
      <c r="C161" s="79"/>
      <c r="D161" s="79"/>
      <c r="J161" s="79"/>
      <c r="N161" s="79"/>
      <c r="Q161" s="79"/>
      <c r="T161" s="130"/>
      <c r="V161" s="106"/>
    </row>
    <row r="162">
      <c r="C162" s="79"/>
      <c r="D162" s="79"/>
      <c r="J162" s="79"/>
      <c r="N162" s="79"/>
      <c r="Q162" s="79"/>
      <c r="T162" s="130"/>
      <c r="V162" s="106"/>
    </row>
    <row r="163">
      <c r="C163" s="79"/>
      <c r="D163" s="79"/>
      <c r="J163" s="79"/>
      <c r="N163" s="79"/>
      <c r="Q163" s="79"/>
      <c r="T163" s="130"/>
      <c r="V163" s="106"/>
    </row>
    <row r="164">
      <c r="C164" s="79"/>
      <c r="D164" s="79"/>
      <c r="J164" s="79"/>
      <c r="N164" s="79"/>
      <c r="Q164" s="79"/>
      <c r="T164" s="130"/>
      <c r="V164" s="106"/>
    </row>
    <row r="165">
      <c r="C165" s="79"/>
      <c r="D165" s="79"/>
      <c r="J165" s="79"/>
      <c r="N165" s="79"/>
      <c r="Q165" s="79"/>
      <c r="T165" s="130"/>
      <c r="V165" s="106"/>
    </row>
    <row r="166">
      <c r="C166" s="79"/>
      <c r="D166" s="79"/>
      <c r="J166" s="79"/>
      <c r="N166" s="79"/>
      <c r="Q166" s="79"/>
      <c r="T166" s="130"/>
      <c r="V166" s="106"/>
    </row>
    <row r="167">
      <c r="C167" s="79"/>
      <c r="D167" s="79"/>
      <c r="J167" s="79"/>
      <c r="N167" s="79"/>
      <c r="Q167" s="79"/>
      <c r="T167" s="130"/>
      <c r="V167" s="106"/>
    </row>
    <row r="168">
      <c r="C168" s="79"/>
      <c r="D168" s="79"/>
      <c r="J168" s="79"/>
      <c r="N168" s="79"/>
      <c r="Q168" s="79"/>
      <c r="T168" s="130"/>
      <c r="V168" s="106"/>
    </row>
    <row r="169">
      <c r="C169" s="79"/>
      <c r="D169" s="79"/>
      <c r="J169" s="79"/>
      <c r="N169" s="79"/>
      <c r="Q169" s="79"/>
      <c r="T169" s="130"/>
      <c r="V169" s="106"/>
    </row>
    <row r="170">
      <c r="C170" s="79"/>
      <c r="D170" s="79"/>
      <c r="J170" s="79"/>
      <c r="N170" s="79"/>
      <c r="Q170" s="79"/>
      <c r="T170" s="130"/>
      <c r="V170" s="106"/>
    </row>
    <row r="171">
      <c r="C171" s="79"/>
      <c r="D171" s="79"/>
      <c r="J171" s="79"/>
      <c r="N171" s="79"/>
      <c r="Q171" s="79"/>
      <c r="T171" s="130"/>
      <c r="V171" s="106"/>
    </row>
    <row r="172">
      <c r="C172" s="79"/>
      <c r="D172" s="79"/>
      <c r="J172" s="79"/>
      <c r="N172" s="79"/>
      <c r="Q172" s="79"/>
      <c r="T172" s="130"/>
      <c r="V172" s="106"/>
    </row>
    <row r="173">
      <c r="C173" s="79"/>
      <c r="D173" s="79"/>
      <c r="J173" s="79"/>
      <c r="N173" s="79"/>
      <c r="Q173" s="79"/>
      <c r="T173" s="130"/>
      <c r="V173" s="106"/>
    </row>
    <row r="174">
      <c r="C174" s="79"/>
      <c r="D174" s="79"/>
      <c r="J174" s="79"/>
      <c r="N174" s="79"/>
      <c r="Q174" s="79"/>
      <c r="T174" s="130"/>
      <c r="V174" s="106"/>
    </row>
    <row r="175">
      <c r="C175" s="79"/>
      <c r="D175" s="79"/>
      <c r="J175" s="79"/>
      <c r="N175" s="79"/>
      <c r="Q175" s="79"/>
      <c r="T175" s="130"/>
      <c r="V175" s="106"/>
    </row>
    <row r="176">
      <c r="C176" s="79"/>
      <c r="D176" s="79"/>
      <c r="J176" s="79"/>
      <c r="N176" s="79"/>
      <c r="Q176" s="79"/>
      <c r="T176" s="130"/>
      <c r="V176" s="106"/>
    </row>
    <row r="177">
      <c r="C177" s="79"/>
      <c r="D177" s="79"/>
      <c r="J177" s="79"/>
      <c r="N177" s="79"/>
      <c r="Q177" s="79"/>
      <c r="T177" s="130"/>
      <c r="V177" s="106"/>
    </row>
    <row r="178">
      <c r="C178" s="79"/>
      <c r="D178" s="79"/>
      <c r="J178" s="79"/>
      <c r="N178" s="79"/>
      <c r="Q178" s="79"/>
      <c r="T178" s="130"/>
      <c r="V178" s="106"/>
    </row>
    <row r="179">
      <c r="C179" s="79"/>
      <c r="D179" s="79"/>
      <c r="J179" s="79"/>
      <c r="N179" s="79"/>
      <c r="Q179" s="79"/>
      <c r="T179" s="130"/>
      <c r="V179" s="106"/>
    </row>
    <row r="180">
      <c r="C180" s="79"/>
      <c r="D180" s="79"/>
      <c r="J180" s="79"/>
      <c r="N180" s="79"/>
      <c r="Q180" s="79"/>
      <c r="T180" s="130"/>
      <c r="V180" s="106"/>
    </row>
    <row r="181">
      <c r="C181" s="79"/>
      <c r="D181" s="79"/>
      <c r="J181" s="79"/>
      <c r="N181" s="79"/>
      <c r="Q181" s="79"/>
      <c r="T181" s="130"/>
      <c r="V181" s="106"/>
    </row>
    <row r="182">
      <c r="C182" s="79"/>
      <c r="D182" s="79"/>
      <c r="J182" s="79"/>
      <c r="N182" s="79"/>
      <c r="Q182" s="79"/>
      <c r="T182" s="130"/>
      <c r="V182" s="106"/>
    </row>
    <row r="183">
      <c r="C183" s="79"/>
      <c r="D183" s="79"/>
      <c r="J183" s="79"/>
      <c r="N183" s="79"/>
      <c r="Q183" s="79"/>
      <c r="T183" s="130"/>
      <c r="V183" s="106"/>
    </row>
    <row r="184">
      <c r="C184" s="79"/>
      <c r="D184" s="79"/>
      <c r="J184" s="79"/>
      <c r="N184" s="79"/>
      <c r="Q184" s="79"/>
      <c r="T184" s="130"/>
      <c r="V184" s="106"/>
    </row>
    <row r="185">
      <c r="C185" s="79"/>
      <c r="D185" s="79"/>
      <c r="J185" s="79"/>
      <c r="N185" s="79"/>
      <c r="Q185" s="79"/>
      <c r="T185" s="130"/>
      <c r="V185" s="106"/>
    </row>
    <row r="186">
      <c r="C186" s="79"/>
      <c r="D186" s="79"/>
      <c r="J186" s="79"/>
      <c r="N186" s="79"/>
      <c r="Q186" s="79"/>
      <c r="T186" s="130"/>
      <c r="V186" s="106"/>
    </row>
    <row r="187">
      <c r="C187" s="79"/>
      <c r="D187" s="79"/>
      <c r="J187" s="79"/>
      <c r="N187" s="79"/>
      <c r="Q187" s="79"/>
      <c r="T187" s="130"/>
      <c r="V187" s="106"/>
    </row>
    <row r="188">
      <c r="C188" s="79"/>
      <c r="D188" s="79"/>
      <c r="J188" s="79"/>
      <c r="N188" s="79"/>
      <c r="Q188" s="79"/>
      <c r="T188" s="130"/>
      <c r="V188" s="106"/>
    </row>
    <row r="189">
      <c r="C189" s="79"/>
      <c r="D189" s="79"/>
      <c r="J189" s="79"/>
      <c r="N189" s="79"/>
      <c r="Q189" s="79"/>
      <c r="T189" s="130"/>
      <c r="V189" s="106"/>
    </row>
    <row r="190">
      <c r="C190" s="79"/>
      <c r="D190" s="79"/>
      <c r="J190" s="79"/>
      <c r="N190" s="79"/>
      <c r="Q190" s="79"/>
      <c r="T190" s="130"/>
      <c r="V190" s="106"/>
    </row>
    <row r="191">
      <c r="C191" s="79"/>
      <c r="D191" s="79"/>
      <c r="J191" s="79"/>
      <c r="N191" s="79"/>
      <c r="Q191" s="79"/>
      <c r="T191" s="130"/>
      <c r="V191" s="106"/>
    </row>
    <row r="192">
      <c r="C192" s="79"/>
      <c r="D192" s="79"/>
      <c r="J192" s="79"/>
      <c r="N192" s="79"/>
      <c r="Q192" s="79"/>
      <c r="T192" s="130"/>
      <c r="V192" s="106"/>
    </row>
    <row r="193">
      <c r="C193" s="79"/>
      <c r="D193" s="79"/>
      <c r="J193" s="79"/>
      <c r="N193" s="79"/>
      <c r="Q193" s="79"/>
      <c r="T193" s="130"/>
      <c r="V193" s="106"/>
    </row>
    <row r="194">
      <c r="C194" s="79"/>
      <c r="D194" s="79"/>
      <c r="J194" s="79"/>
      <c r="N194" s="79"/>
      <c r="Q194" s="79"/>
      <c r="T194" s="130"/>
      <c r="V194" s="106"/>
    </row>
    <row r="195">
      <c r="C195" s="79"/>
      <c r="D195" s="79"/>
      <c r="J195" s="79"/>
      <c r="N195" s="79"/>
      <c r="Q195" s="79"/>
      <c r="T195" s="130"/>
      <c r="V195" s="106"/>
    </row>
    <row r="196">
      <c r="C196" s="79"/>
      <c r="D196" s="79"/>
      <c r="J196" s="79"/>
      <c r="N196" s="79"/>
      <c r="Q196" s="79"/>
      <c r="T196" s="130"/>
      <c r="V196" s="106"/>
    </row>
    <row r="197">
      <c r="C197" s="79"/>
      <c r="D197" s="79"/>
      <c r="J197" s="79"/>
      <c r="N197" s="79"/>
      <c r="Q197" s="79"/>
      <c r="T197" s="130"/>
      <c r="V197" s="106"/>
    </row>
    <row r="198">
      <c r="C198" s="79"/>
      <c r="D198" s="79"/>
      <c r="J198" s="79"/>
      <c r="N198" s="79"/>
      <c r="Q198" s="79"/>
      <c r="T198" s="130"/>
      <c r="V198" s="106"/>
    </row>
    <row r="199">
      <c r="C199" s="79"/>
      <c r="D199" s="79"/>
      <c r="J199" s="79"/>
      <c r="N199" s="79"/>
      <c r="Q199" s="79"/>
      <c r="T199" s="130"/>
      <c r="V199" s="106"/>
    </row>
    <row r="200">
      <c r="C200" s="79"/>
      <c r="D200" s="79"/>
      <c r="J200" s="79"/>
      <c r="N200" s="79"/>
      <c r="Q200" s="79"/>
      <c r="T200" s="130"/>
      <c r="V200" s="106"/>
    </row>
    <row r="201">
      <c r="C201" s="79"/>
      <c r="D201" s="79"/>
      <c r="J201" s="79"/>
      <c r="N201" s="79"/>
      <c r="Q201" s="79"/>
      <c r="T201" s="130"/>
      <c r="V201" s="106"/>
    </row>
    <row r="202">
      <c r="C202" s="79"/>
      <c r="D202" s="79"/>
      <c r="J202" s="79"/>
      <c r="N202" s="79"/>
      <c r="Q202" s="79"/>
      <c r="T202" s="130"/>
      <c r="V202" s="106"/>
    </row>
    <row r="203">
      <c r="C203" s="79"/>
      <c r="D203" s="79"/>
      <c r="J203" s="79"/>
      <c r="N203" s="79"/>
      <c r="Q203" s="79"/>
      <c r="T203" s="130"/>
      <c r="V203" s="106"/>
    </row>
    <row r="204">
      <c r="C204" s="79"/>
      <c r="D204" s="79"/>
      <c r="J204" s="79"/>
      <c r="N204" s="79"/>
      <c r="Q204" s="79"/>
      <c r="T204" s="130"/>
      <c r="V204" s="106"/>
    </row>
    <row r="205">
      <c r="C205" s="79"/>
      <c r="D205" s="79"/>
      <c r="J205" s="79"/>
      <c r="N205" s="79"/>
      <c r="Q205" s="79"/>
      <c r="T205" s="130"/>
      <c r="V205" s="106"/>
    </row>
    <row r="206">
      <c r="C206" s="79"/>
      <c r="D206" s="79"/>
      <c r="J206" s="79"/>
      <c r="N206" s="79"/>
      <c r="Q206" s="79"/>
      <c r="T206" s="130"/>
      <c r="V206" s="106"/>
    </row>
    <row r="207">
      <c r="C207" s="79"/>
      <c r="D207" s="79"/>
      <c r="J207" s="79"/>
      <c r="N207" s="79"/>
      <c r="Q207" s="79"/>
      <c r="T207" s="130"/>
      <c r="V207" s="106"/>
    </row>
    <row r="208">
      <c r="C208" s="79"/>
      <c r="D208" s="79"/>
      <c r="J208" s="79"/>
      <c r="N208" s="79"/>
      <c r="Q208" s="79"/>
      <c r="T208" s="130"/>
      <c r="V208" s="106"/>
    </row>
    <row r="209">
      <c r="C209" s="79"/>
      <c r="D209" s="79"/>
      <c r="J209" s="79"/>
      <c r="N209" s="79"/>
      <c r="Q209" s="79"/>
      <c r="T209" s="130"/>
      <c r="V209" s="106"/>
    </row>
    <row r="210">
      <c r="C210" s="79"/>
      <c r="D210" s="79"/>
      <c r="J210" s="79"/>
      <c r="N210" s="79"/>
      <c r="Q210" s="79"/>
      <c r="T210" s="130"/>
      <c r="V210" s="106"/>
    </row>
    <row r="211">
      <c r="C211" s="79"/>
      <c r="D211" s="79"/>
      <c r="J211" s="79"/>
      <c r="N211" s="79"/>
      <c r="Q211" s="79"/>
      <c r="T211" s="130"/>
      <c r="V211" s="106"/>
    </row>
    <row r="212">
      <c r="C212" s="79"/>
      <c r="D212" s="79"/>
      <c r="J212" s="79"/>
      <c r="N212" s="79"/>
      <c r="Q212" s="79"/>
      <c r="T212" s="130"/>
      <c r="V212" s="106"/>
    </row>
    <row r="213">
      <c r="C213" s="79"/>
      <c r="D213" s="79"/>
      <c r="J213" s="79"/>
      <c r="N213" s="79"/>
      <c r="Q213" s="79"/>
      <c r="T213" s="130"/>
      <c r="V213" s="106"/>
    </row>
    <row r="214">
      <c r="C214" s="79"/>
      <c r="D214" s="79"/>
      <c r="J214" s="79"/>
      <c r="N214" s="79"/>
      <c r="Q214" s="79"/>
      <c r="T214" s="130"/>
      <c r="V214" s="106"/>
    </row>
    <row r="215">
      <c r="C215" s="79"/>
      <c r="D215" s="79"/>
      <c r="J215" s="79"/>
      <c r="N215" s="79"/>
      <c r="Q215" s="79"/>
      <c r="T215" s="130"/>
      <c r="V215" s="106"/>
    </row>
    <row r="216">
      <c r="C216" s="79"/>
      <c r="D216" s="79"/>
      <c r="J216" s="79"/>
      <c r="N216" s="79"/>
      <c r="Q216" s="79"/>
      <c r="T216" s="130"/>
      <c r="V216" s="106"/>
    </row>
    <row r="217">
      <c r="C217" s="79"/>
      <c r="D217" s="79"/>
      <c r="J217" s="79"/>
      <c r="N217" s="79"/>
      <c r="Q217" s="79"/>
      <c r="T217" s="130"/>
      <c r="V217" s="106"/>
    </row>
    <row r="218">
      <c r="C218" s="79"/>
      <c r="D218" s="79"/>
      <c r="J218" s="79"/>
      <c r="N218" s="79"/>
      <c r="Q218" s="79"/>
      <c r="T218" s="130"/>
      <c r="V218" s="106"/>
    </row>
    <row r="219">
      <c r="C219" s="79"/>
      <c r="D219" s="79"/>
      <c r="J219" s="79"/>
      <c r="N219" s="79"/>
      <c r="Q219" s="79"/>
      <c r="T219" s="130"/>
      <c r="V219" s="106"/>
    </row>
    <row r="220">
      <c r="C220" s="79"/>
      <c r="D220" s="79"/>
      <c r="J220" s="79"/>
      <c r="N220" s="79"/>
      <c r="Q220" s="79"/>
      <c r="T220" s="130"/>
      <c r="V220" s="106"/>
    </row>
    <row r="221">
      <c r="C221" s="79"/>
      <c r="D221" s="79"/>
      <c r="J221" s="79"/>
      <c r="N221" s="79"/>
      <c r="Q221" s="79"/>
      <c r="T221" s="130"/>
      <c r="V221" s="106"/>
    </row>
    <row r="222">
      <c r="C222" s="79"/>
      <c r="D222" s="79"/>
      <c r="J222" s="79"/>
      <c r="N222" s="79"/>
      <c r="Q222" s="79"/>
      <c r="T222" s="130"/>
      <c r="V222" s="106"/>
    </row>
    <row r="223">
      <c r="C223" s="79"/>
      <c r="D223" s="79"/>
      <c r="J223" s="79"/>
      <c r="N223" s="79"/>
      <c r="Q223" s="79"/>
      <c r="T223" s="130"/>
      <c r="V223" s="106"/>
    </row>
    <row r="224">
      <c r="C224" s="79"/>
      <c r="D224" s="79"/>
      <c r="J224" s="79"/>
      <c r="N224" s="79"/>
      <c r="Q224" s="79"/>
      <c r="T224" s="130"/>
      <c r="V224" s="106"/>
    </row>
    <row r="225">
      <c r="C225" s="79"/>
      <c r="D225" s="79"/>
      <c r="J225" s="79"/>
      <c r="N225" s="79"/>
      <c r="Q225" s="79"/>
      <c r="T225" s="130"/>
      <c r="V225" s="106"/>
    </row>
    <row r="226">
      <c r="C226" s="79"/>
      <c r="D226" s="79"/>
      <c r="J226" s="79"/>
      <c r="N226" s="79"/>
      <c r="Q226" s="79"/>
      <c r="T226" s="130"/>
      <c r="V226" s="106"/>
    </row>
    <row r="227">
      <c r="C227" s="79"/>
      <c r="D227" s="79"/>
      <c r="J227" s="79"/>
      <c r="N227" s="79"/>
      <c r="Q227" s="79"/>
      <c r="T227" s="130"/>
      <c r="V227" s="106"/>
    </row>
    <row r="228">
      <c r="C228" s="79"/>
      <c r="D228" s="79"/>
      <c r="J228" s="79"/>
      <c r="N228" s="79"/>
      <c r="Q228" s="79"/>
      <c r="T228" s="130"/>
      <c r="V228" s="106"/>
    </row>
    <row r="229">
      <c r="C229" s="79"/>
      <c r="D229" s="79"/>
      <c r="J229" s="79"/>
      <c r="N229" s="79"/>
      <c r="Q229" s="79"/>
      <c r="T229" s="130"/>
      <c r="V229" s="106"/>
    </row>
    <row r="230">
      <c r="C230" s="79"/>
      <c r="D230" s="79"/>
      <c r="J230" s="79"/>
      <c r="N230" s="79"/>
      <c r="Q230" s="79"/>
      <c r="T230" s="130"/>
      <c r="V230" s="106"/>
    </row>
    <row r="231">
      <c r="C231" s="79"/>
      <c r="D231" s="79"/>
      <c r="J231" s="79"/>
      <c r="N231" s="79"/>
      <c r="Q231" s="79"/>
      <c r="T231" s="130"/>
      <c r="V231" s="106"/>
    </row>
    <row r="232">
      <c r="C232" s="79"/>
      <c r="D232" s="79"/>
      <c r="J232" s="79"/>
      <c r="N232" s="79"/>
      <c r="Q232" s="79"/>
      <c r="T232" s="130"/>
      <c r="V232" s="106"/>
    </row>
    <row r="233">
      <c r="C233" s="79"/>
      <c r="D233" s="79"/>
      <c r="J233" s="79"/>
      <c r="N233" s="79"/>
      <c r="Q233" s="79"/>
      <c r="T233" s="130"/>
      <c r="V233" s="106"/>
    </row>
    <row r="234">
      <c r="C234" s="79"/>
      <c r="D234" s="79"/>
      <c r="J234" s="79"/>
      <c r="N234" s="79"/>
      <c r="Q234" s="79"/>
      <c r="T234" s="130"/>
      <c r="V234" s="106"/>
    </row>
    <row r="235">
      <c r="C235" s="79"/>
      <c r="D235" s="79"/>
      <c r="J235" s="79"/>
      <c r="N235" s="79"/>
      <c r="Q235" s="79"/>
      <c r="T235" s="130"/>
      <c r="V235" s="106"/>
    </row>
    <row r="236">
      <c r="C236" s="79"/>
      <c r="D236" s="79"/>
      <c r="J236" s="79"/>
      <c r="N236" s="79"/>
      <c r="Q236" s="79"/>
      <c r="T236" s="130"/>
      <c r="V236" s="106"/>
    </row>
    <row r="237">
      <c r="C237" s="79"/>
      <c r="D237" s="79"/>
      <c r="J237" s="79"/>
      <c r="N237" s="79"/>
      <c r="Q237" s="79"/>
      <c r="T237" s="130"/>
      <c r="V237" s="106"/>
    </row>
    <row r="238">
      <c r="C238" s="79"/>
      <c r="D238" s="79"/>
      <c r="J238" s="79"/>
      <c r="N238" s="79"/>
      <c r="Q238" s="79"/>
      <c r="T238" s="130"/>
      <c r="V238" s="106"/>
    </row>
    <row r="239">
      <c r="C239" s="79"/>
      <c r="D239" s="79"/>
      <c r="J239" s="79"/>
      <c r="N239" s="79"/>
      <c r="Q239" s="79"/>
      <c r="T239" s="130"/>
      <c r="V239" s="106"/>
    </row>
    <row r="240">
      <c r="C240" s="79"/>
      <c r="D240" s="79"/>
      <c r="J240" s="79"/>
      <c r="N240" s="79"/>
      <c r="Q240" s="79"/>
      <c r="T240" s="130"/>
      <c r="V240" s="106"/>
    </row>
    <row r="241">
      <c r="C241" s="79"/>
      <c r="D241" s="79"/>
      <c r="J241" s="79"/>
      <c r="N241" s="79"/>
      <c r="Q241" s="79"/>
      <c r="T241" s="130"/>
      <c r="V241" s="106"/>
    </row>
    <row r="242">
      <c r="C242" s="79"/>
      <c r="D242" s="79"/>
      <c r="J242" s="79"/>
      <c r="N242" s="79"/>
      <c r="Q242" s="79"/>
      <c r="T242" s="130"/>
      <c r="V242" s="106"/>
    </row>
    <row r="243">
      <c r="C243" s="79"/>
      <c r="D243" s="79"/>
      <c r="J243" s="79"/>
      <c r="N243" s="79"/>
      <c r="Q243" s="79"/>
      <c r="T243" s="130"/>
      <c r="V243" s="106"/>
    </row>
    <row r="244">
      <c r="C244" s="79"/>
      <c r="D244" s="79"/>
      <c r="J244" s="79"/>
      <c r="N244" s="79"/>
      <c r="Q244" s="79"/>
      <c r="T244" s="130"/>
      <c r="V244" s="106"/>
    </row>
    <row r="245">
      <c r="C245" s="79"/>
      <c r="D245" s="79"/>
      <c r="J245" s="79"/>
      <c r="N245" s="79"/>
      <c r="Q245" s="79"/>
      <c r="T245" s="130"/>
      <c r="V245" s="106"/>
    </row>
    <row r="246">
      <c r="C246" s="79"/>
      <c r="D246" s="79"/>
      <c r="J246" s="79"/>
      <c r="N246" s="79"/>
      <c r="Q246" s="79"/>
      <c r="T246" s="130"/>
      <c r="V246" s="106"/>
    </row>
    <row r="247">
      <c r="C247" s="79"/>
      <c r="D247" s="79"/>
      <c r="J247" s="79"/>
      <c r="N247" s="79"/>
      <c r="Q247" s="79"/>
      <c r="T247" s="130"/>
      <c r="V247" s="106"/>
    </row>
    <row r="248">
      <c r="C248" s="79"/>
      <c r="D248" s="79"/>
      <c r="J248" s="79"/>
      <c r="N248" s="79"/>
      <c r="Q248" s="79"/>
      <c r="T248" s="130"/>
      <c r="V248" s="106"/>
    </row>
    <row r="249">
      <c r="C249" s="79"/>
      <c r="D249" s="79"/>
      <c r="J249" s="79"/>
      <c r="N249" s="79"/>
      <c r="Q249" s="79"/>
      <c r="T249" s="130"/>
      <c r="V249" s="106"/>
    </row>
    <row r="250">
      <c r="C250" s="79"/>
      <c r="D250" s="79"/>
      <c r="J250" s="79"/>
      <c r="N250" s="79"/>
      <c r="Q250" s="79"/>
      <c r="T250" s="130"/>
      <c r="V250" s="106"/>
    </row>
    <row r="251">
      <c r="C251" s="79"/>
      <c r="D251" s="79"/>
      <c r="J251" s="79"/>
      <c r="N251" s="79"/>
      <c r="Q251" s="79"/>
      <c r="T251" s="130"/>
      <c r="V251" s="106"/>
    </row>
    <row r="252">
      <c r="C252" s="79"/>
      <c r="D252" s="79"/>
      <c r="J252" s="79"/>
      <c r="N252" s="79"/>
      <c r="Q252" s="79"/>
      <c r="T252" s="130"/>
      <c r="V252" s="106"/>
    </row>
    <row r="253">
      <c r="C253" s="79"/>
      <c r="D253" s="79"/>
      <c r="J253" s="79"/>
      <c r="N253" s="79"/>
      <c r="Q253" s="79"/>
      <c r="T253" s="130"/>
      <c r="V253" s="106"/>
    </row>
    <row r="254">
      <c r="C254" s="79"/>
      <c r="D254" s="79"/>
      <c r="J254" s="79"/>
      <c r="N254" s="79"/>
      <c r="Q254" s="79"/>
      <c r="T254" s="130"/>
      <c r="V254" s="106"/>
    </row>
    <row r="255">
      <c r="C255" s="79"/>
      <c r="D255" s="79"/>
      <c r="J255" s="79"/>
      <c r="N255" s="79"/>
      <c r="Q255" s="79"/>
      <c r="T255" s="130"/>
      <c r="V255" s="106"/>
    </row>
    <row r="256">
      <c r="C256" s="79"/>
      <c r="D256" s="79"/>
      <c r="J256" s="79"/>
      <c r="N256" s="79"/>
      <c r="Q256" s="79"/>
      <c r="T256" s="130"/>
      <c r="V256" s="106"/>
    </row>
    <row r="257">
      <c r="C257" s="79"/>
      <c r="D257" s="79"/>
      <c r="J257" s="79"/>
      <c r="N257" s="79"/>
      <c r="Q257" s="79"/>
      <c r="T257" s="130"/>
      <c r="V257" s="106"/>
    </row>
    <row r="258">
      <c r="C258" s="79"/>
      <c r="D258" s="79"/>
      <c r="J258" s="79"/>
      <c r="N258" s="79"/>
      <c r="Q258" s="79"/>
      <c r="T258" s="130"/>
      <c r="V258" s="106"/>
    </row>
    <row r="259">
      <c r="C259" s="79"/>
      <c r="D259" s="79"/>
      <c r="J259" s="79"/>
      <c r="N259" s="79"/>
      <c r="Q259" s="79"/>
      <c r="T259" s="130"/>
      <c r="V259" s="106"/>
    </row>
    <row r="260">
      <c r="C260" s="79"/>
      <c r="D260" s="79"/>
      <c r="J260" s="79"/>
      <c r="N260" s="79"/>
      <c r="Q260" s="79"/>
      <c r="T260" s="130"/>
      <c r="V260" s="106"/>
    </row>
    <row r="261">
      <c r="C261" s="79"/>
      <c r="D261" s="79"/>
      <c r="J261" s="79"/>
      <c r="N261" s="79"/>
      <c r="Q261" s="79"/>
      <c r="T261" s="130"/>
      <c r="V261" s="106"/>
    </row>
    <row r="262">
      <c r="C262" s="79"/>
      <c r="D262" s="79"/>
      <c r="J262" s="79"/>
      <c r="N262" s="79"/>
      <c r="Q262" s="79"/>
      <c r="T262" s="130"/>
      <c r="V262" s="106"/>
    </row>
    <row r="263">
      <c r="C263" s="79"/>
      <c r="D263" s="79"/>
      <c r="J263" s="79"/>
      <c r="N263" s="79"/>
      <c r="Q263" s="79"/>
      <c r="T263" s="130"/>
      <c r="V263" s="106"/>
    </row>
    <row r="264">
      <c r="C264" s="79"/>
      <c r="D264" s="79"/>
      <c r="J264" s="79"/>
      <c r="N264" s="79"/>
      <c r="Q264" s="79"/>
      <c r="T264" s="130"/>
      <c r="V264" s="106"/>
    </row>
    <row r="265">
      <c r="C265" s="79"/>
      <c r="D265" s="79"/>
      <c r="J265" s="79"/>
      <c r="N265" s="79"/>
      <c r="Q265" s="79"/>
      <c r="T265" s="130"/>
      <c r="V265" s="106"/>
    </row>
    <row r="266">
      <c r="C266" s="79"/>
      <c r="D266" s="79"/>
      <c r="J266" s="79"/>
      <c r="N266" s="79"/>
      <c r="Q266" s="79"/>
      <c r="T266" s="130"/>
      <c r="V266" s="106"/>
    </row>
    <row r="267">
      <c r="C267" s="79"/>
      <c r="D267" s="79"/>
      <c r="J267" s="79"/>
      <c r="N267" s="79"/>
      <c r="Q267" s="79"/>
      <c r="T267" s="130"/>
      <c r="V267" s="106"/>
    </row>
    <row r="268">
      <c r="C268" s="79"/>
      <c r="D268" s="79"/>
      <c r="J268" s="79"/>
      <c r="N268" s="79"/>
      <c r="Q268" s="79"/>
      <c r="T268" s="130"/>
      <c r="V268" s="106"/>
    </row>
    <row r="269">
      <c r="C269" s="79"/>
      <c r="D269" s="79"/>
      <c r="J269" s="79"/>
      <c r="N269" s="79"/>
      <c r="Q269" s="79"/>
      <c r="T269" s="130"/>
      <c r="V269" s="106"/>
    </row>
    <row r="270">
      <c r="C270" s="79"/>
      <c r="D270" s="79"/>
      <c r="J270" s="79"/>
      <c r="N270" s="79"/>
      <c r="Q270" s="79"/>
      <c r="T270" s="130"/>
      <c r="V270" s="106"/>
    </row>
    <row r="271">
      <c r="C271" s="79"/>
      <c r="D271" s="79"/>
      <c r="J271" s="79"/>
      <c r="N271" s="79"/>
      <c r="Q271" s="79"/>
      <c r="T271" s="130"/>
      <c r="V271" s="106"/>
    </row>
    <row r="272">
      <c r="C272" s="79"/>
      <c r="D272" s="79"/>
      <c r="J272" s="79"/>
      <c r="N272" s="79"/>
      <c r="Q272" s="79"/>
      <c r="T272" s="130"/>
      <c r="V272" s="106"/>
    </row>
    <row r="273">
      <c r="C273" s="79"/>
      <c r="D273" s="79"/>
      <c r="J273" s="79"/>
      <c r="N273" s="79"/>
      <c r="Q273" s="79"/>
      <c r="T273" s="130"/>
      <c r="V273" s="106"/>
    </row>
    <row r="274">
      <c r="C274" s="79"/>
      <c r="D274" s="79"/>
      <c r="J274" s="79"/>
      <c r="N274" s="79"/>
      <c r="Q274" s="79"/>
      <c r="T274" s="130"/>
      <c r="V274" s="106"/>
    </row>
    <row r="275">
      <c r="C275" s="79"/>
      <c r="D275" s="79"/>
      <c r="J275" s="79"/>
      <c r="N275" s="79"/>
      <c r="Q275" s="79"/>
      <c r="T275" s="130"/>
      <c r="V275" s="106"/>
    </row>
    <row r="276">
      <c r="C276" s="79"/>
      <c r="D276" s="79"/>
      <c r="J276" s="79"/>
      <c r="N276" s="79"/>
      <c r="Q276" s="79"/>
      <c r="T276" s="130"/>
      <c r="V276" s="106"/>
    </row>
    <row r="277">
      <c r="C277" s="79"/>
      <c r="D277" s="79"/>
      <c r="J277" s="79"/>
      <c r="N277" s="79"/>
      <c r="Q277" s="79"/>
      <c r="T277" s="130"/>
      <c r="V277" s="106"/>
    </row>
    <row r="278">
      <c r="C278" s="79"/>
      <c r="D278" s="79"/>
      <c r="J278" s="79"/>
      <c r="N278" s="79"/>
      <c r="Q278" s="79"/>
      <c r="T278" s="130"/>
      <c r="V278" s="106"/>
    </row>
    <row r="279">
      <c r="C279" s="79"/>
      <c r="D279" s="79"/>
      <c r="J279" s="79"/>
      <c r="N279" s="79"/>
      <c r="Q279" s="79"/>
      <c r="T279" s="130"/>
      <c r="V279" s="106"/>
    </row>
    <row r="280">
      <c r="C280" s="79"/>
      <c r="D280" s="79"/>
      <c r="J280" s="79"/>
      <c r="N280" s="79"/>
      <c r="Q280" s="79"/>
      <c r="T280" s="130"/>
      <c r="V280" s="106"/>
    </row>
    <row r="281">
      <c r="C281" s="79"/>
      <c r="D281" s="79"/>
      <c r="J281" s="79"/>
      <c r="N281" s="79"/>
      <c r="Q281" s="79"/>
      <c r="T281" s="130"/>
      <c r="V281" s="106"/>
    </row>
    <row r="282">
      <c r="C282" s="79"/>
      <c r="D282" s="79"/>
      <c r="J282" s="79"/>
      <c r="N282" s="79"/>
      <c r="Q282" s="79"/>
      <c r="T282" s="130"/>
      <c r="V282" s="106"/>
    </row>
    <row r="283">
      <c r="C283" s="79"/>
      <c r="D283" s="79"/>
      <c r="J283" s="79"/>
      <c r="N283" s="79"/>
      <c r="Q283" s="79"/>
      <c r="T283" s="130"/>
      <c r="V283" s="106"/>
    </row>
    <row r="284">
      <c r="C284" s="79"/>
      <c r="D284" s="79"/>
      <c r="J284" s="79"/>
      <c r="N284" s="79"/>
      <c r="Q284" s="79"/>
      <c r="T284" s="130"/>
      <c r="V284" s="106"/>
    </row>
    <row r="285">
      <c r="C285" s="79"/>
      <c r="D285" s="79"/>
      <c r="J285" s="79"/>
      <c r="N285" s="79"/>
      <c r="Q285" s="79"/>
      <c r="T285" s="130"/>
      <c r="V285" s="106"/>
    </row>
    <row r="286">
      <c r="C286" s="79"/>
      <c r="D286" s="79"/>
      <c r="J286" s="79"/>
      <c r="N286" s="79"/>
      <c r="Q286" s="79"/>
      <c r="T286" s="130"/>
      <c r="V286" s="106"/>
    </row>
    <row r="287">
      <c r="C287" s="79"/>
      <c r="D287" s="79"/>
      <c r="J287" s="79"/>
      <c r="N287" s="79"/>
      <c r="Q287" s="79"/>
      <c r="T287" s="130"/>
      <c r="V287" s="106"/>
    </row>
    <row r="288">
      <c r="C288" s="79"/>
      <c r="D288" s="79"/>
      <c r="J288" s="79"/>
      <c r="N288" s="79"/>
      <c r="Q288" s="79"/>
      <c r="T288" s="130"/>
      <c r="V288" s="106"/>
    </row>
    <row r="289">
      <c r="C289" s="79"/>
      <c r="D289" s="79"/>
      <c r="J289" s="79"/>
      <c r="N289" s="79"/>
      <c r="Q289" s="79"/>
      <c r="T289" s="130"/>
      <c r="V289" s="106"/>
    </row>
    <row r="290">
      <c r="C290" s="79"/>
      <c r="D290" s="79"/>
      <c r="J290" s="79"/>
      <c r="N290" s="79"/>
      <c r="Q290" s="79"/>
      <c r="T290" s="130"/>
      <c r="V290" s="106"/>
    </row>
    <row r="291">
      <c r="C291" s="79"/>
      <c r="D291" s="79"/>
      <c r="J291" s="79"/>
      <c r="N291" s="79"/>
      <c r="Q291" s="79"/>
      <c r="T291" s="130"/>
      <c r="V291" s="106"/>
    </row>
    <row r="292">
      <c r="C292" s="79"/>
      <c r="D292" s="79"/>
      <c r="J292" s="79"/>
      <c r="N292" s="79"/>
      <c r="Q292" s="79"/>
      <c r="T292" s="130"/>
      <c r="V292" s="106"/>
    </row>
    <row r="293">
      <c r="C293" s="79"/>
      <c r="D293" s="79"/>
      <c r="J293" s="79"/>
      <c r="N293" s="79"/>
      <c r="Q293" s="79"/>
      <c r="T293" s="130"/>
      <c r="V293" s="106"/>
    </row>
    <row r="294">
      <c r="C294" s="79"/>
      <c r="D294" s="79"/>
      <c r="J294" s="79"/>
      <c r="N294" s="79"/>
      <c r="Q294" s="79"/>
      <c r="T294" s="130"/>
      <c r="V294" s="106"/>
    </row>
    <row r="295">
      <c r="C295" s="79"/>
      <c r="D295" s="79"/>
      <c r="J295" s="79"/>
      <c r="N295" s="79"/>
      <c r="Q295" s="79"/>
      <c r="T295" s="130"/>
      <c r="V295" s="106"/>
    </row>
    <row r="296">
      <c r="C296" s="79"/>
      <c r="D296" s="79"/>
      <c r="J296" s="79"/>
      <c r="N296" s="79"/>
      <c r="Q296" s="79"/>
      <c r="T296" s="130"/>
      <c r="V296" s="106"/>
    </row>
    <row r="297">
      <c r="C297" s="79"/>
      <c r="D297" s="79"/>
      <c r="J297" s="79"/>
      <c r="N297" s="79"/>
      <c r="Q297" s="79"/>
      <c r="T297" s="130"/>
      <c r="V297" s="106"/>
    </row>
    <row r="298">
      <c r="C298" s="79"/>
      <c r="D298" s="79"/>
      <c r="J298" s="79"/>
      <c r="N298" s="79"/>
      <c r="Q298" s="79"/>
      <c r="T298" s="130"/>
      <c r="V298" s="106"/>
    </row>
    <row r="299">
      <c r="C299" s="79"/>
      <c r="D299" s="79"/>
      <c r="J299" s="79"/>
      <c r="N299" s="79"/>
      <c r="Q299" s="79"/>
      <c r="T299" s="130"/>
      <c r="V299" s="106"/>
    </row>
    <row r="300">
      <c r="C300" s="79"/>
      <c r="D300" s="79"/>
      <c r="J300" s="79"/>
      <c r="N300" s="79"/>
      <c r="Q300" s="79"/>
      <c r="T300" s="130"/>
      <c r="V300" s="106"/>
    </row>
    <row r="301">
      <c r="C301" s="79"/>
      <c r="D301" s="79"/>
      <c r="J301" s="79"/>
      <c r="N301" s="79"/>
      <c r="Q301" s="79"/>
      <c r="T301" s="130"/>
      <c r="V301" s="106"/>
    </row>
    <row r="302">
      <c r="C302" s="79"/>
      <c r="D302" s="79"/>
      <c r="J302" s="79"/>
      <c r="N302" s="79"/>
      <c r="Q302" s="79"/>
      <c r="T302" s="130"/>
      <c r="V302" s="106"/>
    </row>
    <row r="303">
      <c r="C303" s="79"/>
      <c r="D303" s="79"/>
      <c r="J303" s="79"/>
      <c r="N303" s="79"/>
      <c r="Q303" s="79"/>
      <c r="T303" s="130"/>
      <c r="V303" s="106"/>
    </row>
    <row r="304">
      <c r="C304" s="79"/>
      <c r="D304" s="79"/>
      <c r="J304" s="79"/>
      <c r="N304" s="79"/>
      <c r="Q304" s="79"/>
      <c r="T304" s="130"/>
      <c r="V304" s="106"/>
    </row>
    <row r="305">
      <c r="C305" s="79"/>
      <c r="D305" s="79"/>
      <c r="J305" s="79"/>
      <c r="N305" s="79"/>
      <c r="Q305" s="79"/>
      <c r="T305" s="130"/>
      <c r="V305" s="106"/>
    </row>
    <row r="306">
      <c r="C306" s="79"/>
      <c r="D306" s="79"/>
      <c r="J306" s="79"/>
      <c r="N306" s="79"/>
      <c r="Q306" s="79"/>
      <c r="T306" s="130"/>
      <c r="V306" s="106"/>
    </row>
    <row r="307">
      <c r="C307" s="79"/>
      <c r="D307" s="79"/>
      <c r="J307" s="79"/>
      <c r="N307" s="79"/>
      <c r="Q307" s="79"/>
      <c r="T307" s="130"/>
      <c r="V307" s="106"/>
    </row>
    <row r="308">
      <c r="C308" s="79"/>
      <c r="D308" s="79"/>
      <c r="J308" s="79"/>
      <c r="N308" s="79"/>
      <c r="Q308" s="79"/>
      <c r="T308" s="130"/>
      <c r="V308" s="106"/>
    </row>
    <row r="309">
      <c r="C309" s="79"/>
      <c r="D309" s="79"/>
      <c r="J309" s="79"/>
      <c r="N309" s="79"/>
      <c r="Q309" s="79"/>
      <c r="T309" s="130"/>
      <c r="V309" s="106"/>
    </row>
    <row r="310">
      <c r="C310" s="79"/>
      <c r="D310" s="79"/>
      <c r="J310" s="79"/>
      <c r="N310" s="79"/>
      <c r="Q310" s="79"/>
      <c r="T310" s="130"/>
      <c r="V310" s="106"/>
    </row>
    <row r="311">
      <c r="C311" s="79"/>
      <c r="D311" s="79"/>
      <c r="J311" s="79"/>
      <c r="N311" s="79"/>
      <c r="Q311" s="79"/>
      <c r="T311" s="130"/>
      <c r="V311" s="106"/>
    </row>
    <row r="312">
      <c r="C312" s="79"/>
      <c r="D312" s="79"/>
      <c r="J312" s="79"/>
      <c r="N312" s="79"/>
      <c r="Q312" s="79"/>
      <c r="T312" s="130"/>
      <c r="V312" s="106"/>
    </row>
    <row r="313">
      <c r="C313" s="79"/>
      <c r="D313" s="79"/>
      <c r="J313" s="79"/>
      <c r="N313" s="79"/>
      <c r="Q313" s="79"/>
      <c r="T313" s="130"/>
      <c r="V313" s="106"/>
    </row>
    <row r="314">
      <c r="C314" s="79"/>
      <c r="D314" s="79"/>
      <c r="J314" s="79"/>
      <c r="N314" s="79"/>
      <c r="Q314" s="79"/>
      <c r="T314" s="130"/>
      <c r="V314" s="106"/>
    </row>
    <row r="315">
      <c r="C315" s="79"/>
      <c r="D315" s="79"/>
      <c r="J315" s="79"/>
      <c r="N315" s="79"/>
      <c r="Q315" s="79"/>
      <c r="T315" s="130"/>
      <c r="V315" s="106"/>
    </row>
    <row r="316">
      <c r="C316" s="79"/>
      <c r="D316" s="79"/>
      <c r="J316" s="79"/>
      <c r="N316" s="79"/>
      <c r="Q316" s="79"/>
      <c r="T316" s="130"/>
      <c r="V316" s="106"/>
    </row>
    <row r="317">
      <c r="C317" s="79"/>
      <c r="D317" s="79"/>
      <c r="J317" s="79"/>
      <c r="N317" s="79"/>
      <c r="Q317" s="79"/>
      <c r="T317" s="130"/>
      <c r="V317" s="106"/>
    </row>
    <row r="318">
      <c r="C318" s="79"/>
      <c r="D318" s="79"/>
      <c r="J318" s="79"/>
      <c r="N318" s="79"/>
      <c r="Q318" s="79"/>
      <c r="T318" s="130"/>
      <c r="V318" s="106"/>
    </row>
    <row r="319">
      <c r="C319" s="79"/>
      <c r="D319" s="79"/>
      <c r="J319" s="79"/>
      <c r="N319" s="79"/>
      <c r="Q319" s="79"/>
      <c r="T319" s="130"/>
      <c r="V319" s="106"/>
    </row>
    <row r="320">
      <c r="C320" s="79"/>
      <c r="D320" s="79"/>
      <c r="J320" s="79"/>
      <c r="N320" s="79"/>
      <c r="Q320" s="79"/>
      <c r="T320" s="130"/>
      <c r="V320" s="106"/>
    </row>
    <row r="321">
      <c r="C321" s="79"/>
      <c r="D321" s="79"/>
      <c r="J321" s="79"/>
      <c r="N321" s="79"/>
      <c r="Q321" s="79"/>
      <c r="T321" s="130"/>
      <c r="V321" s="106"/>
    </row>
    <row r="322">
      <c r="C322" s="79"/>
      <c r="D322" s="79"/>
      <c r="J322" s="79"/>
      <c r="N322" s="79"/>
      <c r="Q322" s="79"/>
      <c r="T322" s="130"/>
      <c r="V322" s="106"/>
    </row>
    <row r="323">
      <c r="C323" s="79"/>
      <c r="D323" s="79"/>
      <c r="J323" s="79"/>
      <c r="N323" s="79"/>
      <c r="Q323" s="79"/>
      <c r="T323" s="130"/>
      <c r="V323" s="106"/>
    </row>
    <row r="324">
      <c r="C324" s="79"/>
      <c r="D324" s="79"/>
      <c r="J324" s="79"/>
      <c r="N324" s="79"/>
      <c r="Q324" s="79"/>
      <c r="T324" s="130"/>
      <c r="V324" s="106"/>
    </row>
    <row r="325">
      <c r="C325" s="79"/>
      <c r="D325" s="79"/>
      <c r="J325" s="79"/>
      <c r="N325" s="79"/>
      <c r="Q325" s="79"/>
      <c r="T325" s="130"/>
      <c r="V325" s="106"/>
    </row>
    <row r="326">
      <c r="C326" s="79"/>
      <c r="D326" s="79"/>
      <c r="J326" s="79"/>
      <c r="N326" s="79"/>
      <c r="Q326" s="79"/>
      <c r="T326" s="130"/>
      <c r="V326" s="106"/>
    </row>
    <row r="327">
      <c r="C327" s="79"/>
      <c r="D327" s="79"/>
      <c r="J327" s="79"/>
      <c r="N327" s="79"/>
      <c r="Q327" s="79"/>
      <c r="T327" s="130"/>
      <c r="V327" s="106"/>
    </row>
    <row r="328">
      <c r="C328" s="79"/>
      <c r="D328" s="79"/>
      <c r="J328" s="79"/>
      <c r="N328" s="79"/>
      <c r="Q328" s="79"/>
      <c r="T328" s="130"/>
      <c r="V328" s="106"/>
    </row>
    <row r="329">
      <c r="C329" s="79"/>
      <c r="D329" s="79"/>
      <c r="J329" s="79"/>
      <c r="N329" s="79"/>
      <c r="Q329" s="79"/>
      <c r="T329" s="130"/>
      <c r="V329" s="106"/>
    </row>
    <row r="330">
      <c r="C330" s="79"/>
      <c r="D330" s="79"/>
      <c r="J330" s="79"/>
      <c r="N330" s="79"/>
      <c r="Q330" s="79"/>
      <c r="T330" s="130"/>
      <c r="V330" s="106"/>
    </row>
    <row r="331">
      <c r="C331" s="79"/>
      <c r="D331" s="79"/>
      <c r="J331" s="79"/>
      <c r="N331" s="79"/>
      <c r="Q331" s="79"/>
      <c r="T331" s="130"/>
      <c r="V331" s="106"/>
    </row>
    <row r="332">
      <c r="C332" s="79"/>
      <c r="D332" s="79"/>
      <c r="J332" s="79"/>
      <c r="N332" s="79"/>
      <c r="Q332" s="79"/>
      <c r="T332" s="130"/>
      <c r="V332" s="106"/>
    </row>
    <row r="333">
      <c r="C333" s="79"/>
      <c r="D333" s="79"/>
      <c r="J333" s="79"/>
      <c r="N333" s="79"/>
      <c r="Q333" s="79"/>
      <c r="T333" s="130"/>
      <c r="V333" s="106"/>
    </row>
    <row r="334">
      <c r="C334" s="79"/>
      <c r="D334" s="79"/>
      <c r="J334" s="79"/>
      <c r="N334" s="79"/>
      <c r="Q334" s="79"/>
      <c r="T334" s="130"/>
      <c r="V334" s="106"/>
    </row>
    <row r="335">
      <c r="C335" s="79"/>
      <c r="D335" s="79"/>
      <c r="J335" s="79"/>
      <c r="N335" s="79"/>
      <c r="Q335" s="79"/>
      <c r="T335" s="130"/>
      <c r="V335" s="106"/>
    </row>
    <row r="336">
      <c r="C336" s="79"/>
      <c r="D336" s="79"/>
      <c r="J336" s="79"/>
      <c r="N336" s="79"/>
      <c r="Q336" s="79"/>
      <c r="T336" s="130"/>
      <c r="V336" s="106"/>
    </row>
    <row r="337">
      <c r="C337" s="79"/>
      <c r="D337" s="79"/>
      <c r="J337" s="79"/>
      <c r="N337" s="79"/>
      <c r="Q337" s="79"/>
      <c r="T337" s="130"/>
      <c r="V337" s="106"/>
    </row>
    <row r="338">
      <c r="C338" s="79"/>
      <c r="D338" s="79"/>
      <c r="J338" s="79"/>
      <c r="N338" s="79"/>
      <c r="Q338" s="79"/>
      <c r="T338" s="130"/>
      <c r="V338" s="106"/>
    </row>
    <row r="339">
      <c r="C339" s="79"/>
      <c r="D339" s="79"/>
      <c r="J339" s="79"/>
      <c r="N339" s="79"/>
      <c r="Q339" s="79"/>
      <c r="T339" s="130"/>
      <c r="V339" s="106"/>
    </row>
    <row r="340">
      <c r="C340" s="79"/>
      <c r="D340" s="79"/>
      <c r="J340" s="79"/>
      <c r="N340" s="79"/>
      <c r="Q340" s="79"/>
      <c r="T340" s="130"/>
      <c r="V340" s="106"/>
    </row>
    <row r="341">
      <c r="C341" s="79"/>
      <c r="D341" s="79"/>
      <c r="J341" s="79"/>
      <c r="N341" s="79"/>
      <c r="Q341" s="79"/>
      <c r="T341" s="130"/>
      <c r="V341" s="106"/>
    </row>
    <row r="342">
      <c r="C342" s="79"/>
      <c r="D342" s="79"/>
      <c r="J342" s="79"/>
      <c r="N342" s="79"/>
      <c r="Q342" s="79"/>
      <c r="T342" s="130"/>
      <c r="V342" s="106"/>
    </row>
    <row r="343">
      <c r="C343" s="79"/>
      <c r="D343" s="79"/>
      <c r="J343" s="79"/>
      <c r="N343" s="79"/>
      <c r="Q343" s="79"/>
      <c r="T343" s="130"/>
      <c r="V343" s="106"/>
    </row>
    <row r="344">
      <c r="C344" s="79"/>
      <c r="D344" s="79"/>
      <c r="J344" s="79"/>
      <c r="N344" s="79"/>
      <c r="Q344" s="79"/>
      <c r="T344" s="130"/>
      <c r="V344" s="106"/>
    </row>
    <row r="345">
      <c r="C345" s="79"/>
      <c r="D345" s="79"/>
      <c r="J345" s="79"/>
      <c r="N345" s="79"/>
      <c r="Q345" s="79"/>
      <c r="T345" s="130"/>
      <c r="V345" s="106"/>
    </row>
    <row r="346">
      <c r="C346" s="79"/>
      <c r="D346" s="79"/>
      <c r="J346" s="79"/>
      <c r="N346" s="79"/>
      <c r="Q346" s="79"/>
      <c r="T346" s="130"/>
      <c r="V346" s="106"/>
    </row>
    <row r="347">
      <c r="C347" s="79"/>
      <c r="D347" s="79"/>
      <c r="J347" s="79"/>
      <c r="N347" s="79"/>
      <c r="Q347" s="79"/>
      <c r="T347" s="130"/>
      <c r="V347" s="106"/>
    </row>
    <row r="348">
      <c r="C348" s="79"/>
      <c r="D348" s="79"/>
      <c r="J348" s="79"/>
      <c r="N348" s="79"/>
      <c r="Q348" s="79"/>
      <c r="T348" s="130"/>
      <c r="V348" s="106"/>
    </row>
    <row r="349">
      <c r="C349" s="79"/>
      <c r="D349" s="79"/>
      <c r="J349" s="79"/>
      <c r="N349" s="79"/>
      <c r="Q349" s="79"/>
      <c r="T349" s="130"/>
      <c r="V349" s="106"/>
    </row>
    <row r="350">
      <c r="C350" s="79"/>
      <c r="D350" s="79"/>
      <c r="J350" s="79"/>
      <c r="N350" s="79"/>
      <c r="Q350" s="79"/>
      <c r="T350" s="130"/>
      <c r="V350" s="106"/>
    </row>
    <row r="351">
      <c r="C351" s="79"/>
      <c r="D351" s="79"/>
      <c r="J351" s="79"/>
      <c r="N351" s="79"/>
      <c r="Q351" s="79"/>
      <c r="T351" s="130"/>
      <c r="V351" s="106"/>
    </row>
    <row r="352">
      <c r="C352" s="79"/>
      <c r="D352" s="79"/>
      <c r="J352" s="79"/>
      <c r="N352" s="79"/>
      <c r="Q352" s="79"/>
      <c r="T352" s="130"/>
      <c r="V352" s="106"/>
    </row>
    <row r="353">
      <c r="C353" s="79"/>
      <c r="D353" s="79"/>
      <c r="J353" s="79"/>
      <c r="N353" s="79"/>
      <c r="Q353" s="79"/>
      <c r="T353" s="130"/>
      <c r="V353" s="106"/>
    </row>
    <row r="354">
      <c r="C354" s="79"/>
      <c r="D354" s="79"/>
      <c r="J354" s="79"/>
      <c r="N354" s="79"/>
      <c r="Q354" s="79"/>
      <c r="T354" s="130"/>
      <c r="V354" s="106"/>
    </row>
    <row r="355">
      <c r="C355" s="79"/>
      <c r="D355" s="79"/>
      <c r="J355" s="79"/>
      <c r="N355" s="79"/>
      <c r="Q355" s="79"/>
      <c r="T355" s="130"/>
      <c r="V355" s="106"/>
    </row>
    <row r="356">
      <c r="C356" s="79"/>
      <c r="D356" s="79"/>
      <c r="J356" s="79"/>
      <c r="N356" s="79"/>
      <c r="Q356" s="79"/>
      <c r="T356" s="130"/>
      <c r="V356" s="106"/>
    </row>
    <row r="357">
      <c r="C357" s="79"/>
      <c r="D357" s="79"/>
      <c r="J357" s="79"/>
      <c r="N357" s="79"/>
      <c r="Q357" s="79"/>
      <c r="T357" s="130"/>
      <c r="V357" s="106"/>
    </row>
    <row r="358">
      <c r="C358" s="79"/>
      <c r="D358" s="79"/>
      <c r="J358" s="79"/>
      <c r="N358" s="79"/>
      <c r="Q358" s="79"/>
      <c r="T358" s="130"/>
      <c r="V358" s="106"/>
    </row>
    <row r="359">
      <c r="C359" s="79"/>
      <c r="D359" s="79"/>
      <c r="J359" s="79"/>
      <c r="N359" s="79"/>
      <c r="Q359" s="79"/>
      <c r="T359" s="130"/>
      <c r="V359" s="106"/>
    </row>
    <row r="360">
      <c r="C360" s="79"/>
      <c r="D360" s="79"/>
      <c r="J360" s="79"/>
      <c r="N360" s="79"/>
      <c r="Q360" s="79"/>
      <c r="T360" s="130"/>
      <c r="V360" s="106"/>
    </row>
    <row r="361">
      <c r="C361" s="79"/>
      <c r="D361" s="79"/>
      <c r="J361" s="79"/>
      <c r="N361" s="79"/>
      <c r="Q361" s="79"/>
      <c r="T361" s="130"/>
      <c r="V361" s="106"/>
    </row>
    <row r="362">
      <c r="C362" s="79"/>
      <c r="D362" s="79"/>
      <c r="J362" s="79"/>
      <c r="N362" s="79"/>
      <c r="Q362" s="79"/>
      <c r="T362" s="130"/>
      <c r="V362" s="106"/>
    </row>
    <row r="363">
      <c r="C363" s="79"/>
      <c r="D363" s="79"/>
      <c r="J363" s="79"/>
      <c r="N363" s="79"/>
      <c r="Q363" s="79"/>
      <c r="T363" s="130"/>
      <c r="V363" s="106"/>
    </row>
    <row r="364">
      <c r="C364" s="79"/>
      <c r="D364" s="79"/>
      <c r="J364" s="79"/>
      <c r="N364" s="79"/>
      <c r="Q364" s="79"/>
      <c r="T364" s="130"/>
      <c r="V364" s="106"/>
    </row>
    <row r="365">
      <c r="C365" s="79"/>
      <c r="D365" s="79"/>
      <c r="J365" s="79"/>
      <c r="N365" s="79"/>
      <c r="Q365" s="79"/>
      <c r="T365" s="130"/>
      <c r="V365" s="106"/>
    </row>
    <row r="366">
      <c r="C366" s="79"/>
      <c r="D366" s="79"/>
      <c r="J366" s="79"/>
      <c r="N366" s="79"/>
      <c r="Q366" s="79"/>
      <c r="T366" s="130"/>
      <c r="V366" s="106"/>
    </row>
    <row r="367">
      <c r="C367" s="79"/>
      <c r="D367" s="79"/>
      <c r="J367" s="79"/>
      <c r="N367" s="79"/>
      <c r="Q367" s="79"/>
      <c r="T367" s="130"/>
      <c r="V367" s="106"/>
    </row>
    <row r="368">
      <c r="C368" s="79"/>
      <c r="D368" s="79"/>
      <c r="J368" s="79"/>
      <c r="N368" s="79"/>
      <c r="Q368" s="79"/>
      <c r="T368" s="130"/>
      <c r="V368" s="106"/>
    </row>
    <row r="369">
      <c r="C369" s="79"/>
      <c r="D369" s="79"/>
      <c r="J369" s="79"/>
      <c r="N369" s="79"/>
      <c r="Q369" s="79"/>
      <c r="T369" s="130"/>
      <c r="V369" s="106"/>
    </row>
    <row r="370">
      <c r="C370" s="79"/>
      <c r="D370" s="79"/>
      <c r="J370" s="79"/>
      <c r="N370" s="79"/>
      <c r="Q370" s="79"/>
      <c r="T370" s="130"/>
      <c r="V370" s="106"/>
    </row>
    <row r="371">
      <c r="C371" s="79"/>
      <c r="D371" s="79"/>
      <c r="J371" s="79"/>
      <c r="N371" s="79"/>
      <c r="Q371" s="79"/>
      <c r="T371" s="130"/>
      <c r="V371" s="106"/>
    </row>
    <row r="372">
      <c r="C372" s="79"/>
      <c r="D372" s="79"/>
      <c r="J372" s="79"/>
      <c r="N372" s="79"/>
      <c r="Q372" s="79"/>
      <c r="T372" s="130"/>
      <c r="V372" s="106"/>
    </row>
    <row r="373">
      <c r="C373" s="79"/>
      <c r="D373" s="79"/>
      <c r="J373" s="79"/>
      <c r="N373" s="79"/>
      <c r="Q373" s="79"/>
      <c r="T373" s="130"/>
      <c r="V373" s="106"/>
    </row>
    <row r="374">
      <c r="C374" s="79"/>
      <c r="D374" s="79"/>
      <c r="J374" s="79"/>
      <c r="N374" s="79"/>
      <c r="Q374" s="79"/>
      <c r="T374" s="130"/>
      <c r="V374" s="106"/>
    </row>
    <row r="375">
      <c r="C375" s="79"/>
      <c r="D375" s="79"/>
      <c r="J375" s="79"/>
      <c r="N375" s="79"/>
      <c r="Q375" s="79"/>
      <c r="T375" s="130"/>
      <c r="V375" s="106"/>
    </row>
    <row r="376">
      <c r="C376" s="79"/>
      <c r="D376" s="79"/>
      <c r="J376" s="79"/>
      <c r="N376" s="79"/>
      <c r="Q376" s="79"/>
      <c r="T376" s="130"/>
      <c r="V376" s="106"/>
    </row>
    <row r="377">
      <c r="C377" s="79"/>
      <c r="D377" s="79"/>
      <c r="J377" s="79"/>
      <c r="N377" s="79"/>
      <c r="Q377" s="79"/>
      <c r="T377" s="130"/>
      <c r="V377" s="106"/>
    </row>
    <row r="378">
      <c r="C378" s="79"/>
      <c r="D378" s="79"/>
      <c r="J378" s="79"/>
      <c r="N378" s="79"/>
      <c r="Q378" s="79"/>
      <c r="T378" s="130"/>
      <c r="V378" s="106"/>
    </row>
    <row r="379">
      <c r="C379" s="79"/>
      <c r="D379" s="79"/>
      <c r="J379" s="79"/>
      <c r="N379" s="79"/>
      <c r="Q379" s="79"/>
      <c r="T379" s="130"/>
      <c r="V379" s="106"/>
    </row>
    <row r="380">
      <c r="C380" s="79"/>
      <c r="D380" s="79"/>
      <c r="J380" s="79"/>
      <c r="N380" s="79"/>
      <c r="Q380" s="79"/>
      <c r="T380" s="130"/>
      <c r="V380" s="106"/>
    </row>
    <row r="381">
      <c r="C381" s="79"/>
      <c r="D381" s="79"/>
      <c r="J381" s="79"/>
      <c r="N381" s="79"/>
      <c r="Q381" s="79"/>
      <c r="T381" s="130"/>
      <c r="V381" s="106"/>
    </row>
    <row r="382">
      <c r="C382" s="79"/>
      <c r="D382" s="79"/>
      <c r="J382" s="79"/>
      <c r="N382" s="79"/>
      <c r="Q382" s="79"/>
      <c r="T382" s="130"/>
      <c r="V382" s="106"/>
    </row>
    <row r="383">
      <c r="C383" s="79"/>
      <c r="D383" s="79"/>
      <c r="J383" s="79"/>
      <c r="N383" s="79"/>
      <c r="Q383" s="79"/>
      <c r="T383" s="130"/>
      <c r="V383" s="106"/>
    </row>
    <row r="384">
      <c r="C384" s="79"/>
      <c r="D384" s="79"/>
      <c r="J384" s="79"/>
      <c r="N384" s="79"/>
      <c r="Q384" s="79"/>
      <c r="T384" s="130"/>
      <c r="V384" s="106"/>
    </row>
    <row r="385">
      <c r="C385" s="79"/>
      <c r="D385" s="79"/>
      <c r="J385" s="79"/>
      <c r="N385" s="79"/>
      <c r="Q385" s="79"/>
      <c r="T385" s="130"/>
      <c r="V385" s="106"/>
    </row>
    <row r="386">
      <c r="C386" s="79"/>
      <c r="D386" s="79"/>
      <c r="J386" s="79"/>
      <c r="N386" s="79"/>
      <c r="Q386" s="79"/>
      <c r="T386" s="130"/>
      <c r="V386" s="106"/>
    </row>
    <row r="387">
      <c r="C387" s="79"/>
      <c r="D387" s="79"/>
      <c r="J387" s="79"/>
      <c r="N387" s="79"/>
      <c r="Q387" s="79"/>
      <c r="T387" s="130"/>
      <c r="V387" s="106"/>
    </row>
    <row r="388">
      <c r="C388" s="79"/>
      <c r="D388" s="79"/>
      <c r="J388" s="79"/>
      <c r="N388" s="79"/>
      <c r="Q388" s="79"/>
      <c r="T388" s="130"/>
      <c r="V388" s="106"/>
    </row>
    <row r="389">
      <c r="C389" s="79"/>
      <c r="D389" s="79"/>
      <c r="J389" s="79"/>
      <c r="N389" s="79"/>
      <c r="Q389" s="79"/>
      <c r="T389" s="130"/>
      <c r="V389" s="106"/>
    </row>
    <row r="390">
      <c r="C390" s="79"/>
      <c r="D390" s="79"/>
      <c r="J390" s="79"/>
      <c r="N390" s="79"/>
      <c r="Q390" s="79"/>
      <c r="T390" s="130"/>
      <c r="V390" s="106"/>
    </row>
    <row r="391">
      <c r="C391" s="79"/>
      <c r="D391" s="79"/>
      <c r="J391" s="79"/>
      <c r="N391" s="79"/>
      <c r="Q391" s="79"/>
      <c r="T391" s="130"/>
      <c r="V391" s="106"/>
    </row>
    <row r="392">
      <c r="C392" s="79"/>
      <c r="D392" s="79"/>
      <c r="J392" s="79"/>
      <c r="N392" s="79"/>
      <c r="Q392" s="79"/>
      <c r="T392" s="130"/>
      <c r="V392" s="106"/>
    </row>
    <row r="393">
      <c r="C393" s="79"/>
      <c r="D393" s="79"/>
      <c r="J393" s="79"/>
      <c r="N393" s="79"/>
      <c r="Q393" s="79"/>
      <c r="T393" s="130"/>
      <c r="V393" s="106"/>
    </row>
    <row r="394">
      <c r="C394" s="79"/>
      <c r="D394" s="79"/>
      <c r="J394" s="79"/>
      <c r="N394" s="79"/>
      <c r="Q394" s="79"/>
      <c r="T394" s="130"/>
      <c r="V394" s="106"/>
    </row>
    <row r="395">
      <c r="C395" s="79"/>
      <c r="D395" s="79"/>
      <c r="J395" s="79"/>
      <c r="N395" s="79"/>
      <c r="Q395" s="79"/>
      <c r="T395" s="130"/>
      <c r="V395" s="106"/>
    </row>
    <row r="396">
      <c r="C396" s="79"/>
      <c r="D396" s="79"/>
      <c r="J396" s="79"/>
      <c r="N396" s="79"/>
      <c r="Q396" s="79"/>
      <c r="T396" s="130"/>
      <c r="V396" s="106"/>
    </row>
    <row r="397">
      <c r="C397" s="79"/>
      <c r="D397" s="79"/>
      <c r="J397" s="79"/>
      <c r="N397" s="79"/>
      <c r="Q397" s="79"/>
      <c r="T397" s="130"/>
      <c r="V397" s="106"/>
    </row>
    <row r="398">
      <c r="C398" s="79"/>
      <c r="D398" s="79"/>
      <c r="J398" s="79"/>
      <c r="N398" s="79"/>
      <c r="Q398" s="79"/>
      <c r="T398" s="130"/>
      <c r="V398" s="106"/>
    </row>
    <row r="399">
      <c r="C399" s="79"/>
      <c r="D399" s="79"/>
      <c r="J399" s="79"/>
      <c r="N399" s="79"/>
      <c r="Q399" s="79"/>
      <c r="T399" s="130"/>
      <c r="V399" s="106"/>
    </row>
    <row r="400">
      <c r="C400" s="79"/>
      <c r="D400" s="79"/>
      <c r="J400" s="79"/>
      <c r="N400" s="79"/>
      <c r="Q400" s="79"/>
      <c r="T400" s="130"/>
      <c r="V400" s="106"/>
    </row>
    <row r="401">
      <c r="C401" s="79"/>
      <c r="D401" s="79"/>
      <c r="J401" s="79"/>
      <c r="N401" s="79"/>
      <c r="Q401" s="79"/>
      <c r="T401" s="130"/>
      <c r="V401" s="106"/>
    </row>
    <row r="402">
      <c r="C402" s="79"/>
      <c r="D402" s="79"/>
      <c r="J402" s="79"/>
      <c r="N402" s="79"/>
      <c r="Q402" s="79"/>
      <c r="T402" s="130"/>
      <c r="V402" s="106"/>
    </row>
    <row r="403">
      <c r="C403" s="79"/>
      <c r="D403" s="79"/>
      <c r="J403" s="79"/>
      <c r="N403" s="79"/>
      <c r="Q403" s="79"/>
      <c r="T403" s="130"/>
      <c r="V403" s="106"/>
    </row>
    <row r="404">
      <c r="C404" s="79"/>
      <c r="D404" s="79"/>
      <c r="J404" s="79"/>
      <c r="N404" s="79"/>
      <c r="Q404" s="79"/>
      <c r="T404" s="130"/>
      <c r="V404" s="106"/>
    </row>
    <row r="405">
      <c r="C405" s="79"/>
      <c r="D405" s="79"/>
      <c r="J405" s="79"/>
      <c r="N405" s="79"/>
      <c r="Q405" s="79"/>
      <c r="T405" s="130"/>
      <c r="V405" s="106"/>
    </row>
    <row r="406">
      <c r="C406" s="79"/>
      <c r="D406" s="79"/>
      <c r="J406" s="79"/>
      <c r="N406" s="79"/>
      <c r="Q406" s="79"/>
      <c r="T406" s="130"/>
      <c r="V406" s="106"/>
    </row>
    <row r="407">
      <c r="C407" s="79"/>
      <c r="D407" s="79"/>
      <c r="J407" s="79"/>
      <c r="N407" s="79"/>
      <c r="Q407" s="79"/>
      <c r="T407" s="130"/>
      <c r="V407" s="106"/>
    </row>
    <row r="408">
      <c r="C408" s="79"/>
      <c r="D408" s="79"/>
      <c r="J408" s="79"/>
      <c r="N408" s="79"/>
      <c r="Q408" s="79"/>
      <c r="T408" s="130"/>
      <c r="V408" s="106"/>
    </row>
    <row r="409">
      <c r="C409" s="79"/>
      <c r="D409" s="79"/>
      <c r="J409" s="79"/>
      <c r="N409" s="79"/>
      <c r="Q409" s="79"/>
      <c r="T409" s="130"/>
      <c r="V409" s="106"/>
    </row>
    <row r="410">
      <c r="C410" s="79"/>
      <c r="D410" s="79"/>
      <c r="J410" s="79"/>
      <c r="N410" s="79"/>
      <c r="Q410" s="79"/>
      <c r="T410" s="130"/>
      <c r="V410" s="106"/>
    </row>
    <row r="411">
      <c r="C411" s="79"/>
      <c r="D411" s="79"/>
      <c r="J411" s="79"/>
      <c r="N411" s="79"/>
      <c r="Q411" s="79"/>
      <c r="T411" s="130"/>
      <c r="V411" s="106"/>
    </row>
    <row r="412">
      <c r="C412" s="79"/>
      <c r="D412" s="79"/>
      <c r="J412" s="79"/>
      <c r="N412" s="79"/>
      <c r="Q412" s="79"/>
      <c r="T412" s="130"/>
      <c r="V412" s="106"/>
    </row>
    <row r="413">
      <c r="C413" s="79"/>
      <c r="D413" s="79"/>
      <c r="J413" s="79"/>
      <c r="N413" s="79"/>
      <c r="Q413" s="79"/>
      <c r="T413" s="130"/>
      <c r="V413" s="106"/>
    </row>
    <row r="414">
      <c r="C414" s="79"/>
      <c r="D414" s="79"/>
      <c r="J414" s="79"/>
      <c r="N414" s="79"/>
      <c r="Q414" s="79"/>
      <c r="T414" s="130"/>
      <c r="V414" s="106"/>
    </row>
    <row r="415">
      <c r="C415" s="79"/>
      <c r="D415" s="79"/>
      <c r="J415" s="79"/>
      <c r="N415" s="79"/>
      <c r="Q415" s="79"/>
      <c r="T415" s="130"/>
      <c r="V415" s="106"/>
    </row>
    <row r="416">
      <c r="C416" s="79"/>
      <c r="D416" s="79"/>
      <c r="J416" s="79"/>
      <c r="N416" s="79"/>
      <c r="Q416" s="79"/>
      <c r="T416" s="130"/>
      <c r="V416" s="106"/>
    </row>
    <row r="417">
      <c r="C417" s="79"/>
      <c r="D417" s="79"/>
      <c r="J417" s="79"/>
      <c r="N417" s="79"/>
      <c r="Q417" s="79"/>
      <c r="T417" s="130"/>
      <c r="V417" s="106"/>
    </row>
    <row r="418">
      <c r="C418" s="79"/>
      <c r="D418" s="79"/>
      <c r="J418" s="79"/>
      <c r="N418" s="79"/>
      <c r="Q418" s="79"/>
      <c r="T418" s="130"/>
      <c r="V418" s="106"/>
    </row>
    <row r="419">
      <c r="C419" s="79"/>
      <c r="D419" s="79"/>
      <c r="J419" s="79"/>
      <c r="N419" s="79"/>
      <c r="Q419" s="79"/>
      <c r="T419" s="130"/>
      <c r="V419" s="106"/>
    </row>
    <row r="420">
      <c r="C420" s="79"/>
      <c r="D420" s="79"/>
      <c r="J420" s="79"/>
      <c r="N420" s="79"/>
      <c r="Q420" s="79"/>
      <c r="T420" s="130"/>
      <c r="V420" s="106"/>
    </row>
    <row r="421">
      <c r="C421" s="79"/>
      <c r="D421" s="79"/>
      <c r="J421" s="79"/>
      <c r="N421" s="79"/>
      <c r="Q421" s="79"/>
      <c r="T421" s="130"/>
      <c r="V421" s="106"/>
    </row>
    <row r="422">
      <c r="C422" s="79"/>
      <c r="D422" s="79"/>
      <c r="J422" s="79"/>
      <c r="N422" s="79"/>
      <c r="Q422" s="79"/>
      <c r="T422" s="130"/>
      <c r="V422" s="106"/>
    </row>
    <row r="423">
      <c r="C423" s="79"/>
      <c r="D423" s="79"/>
      <c r="J423" s="79"/>
      <c r="N423" s="79"/>
      <c r="Q423" s="79"/>
      <c r="T423" s="130"/>
      <c r="V423" s="106"/>
    </row>
    <row r="424">
      <c r="C424" s="79"/>
      <c r="D424" s="79"/>
      <c r="J424" s="79"/>
      <c r="N424" s="79"/>
      <c r="Q424" s="79"/>
      <c r="T424" s="130"/>
      <c r="V424" s="106"/>
    </row>
    <row r="425">
      <c r="C425" s="79"/>
      <c r="D425" s="79"/>
      <c r="J425" s="79"/>
      <c r="N425" s="79"/>
      <c r="Q425" s="79"/>
      <c r="T425" s="130"/>
      <c r="V425" s="106"/>
    </row>
    <row r="426">
      <c r="C426" s="79"/>
      <c r="D426" s="79"/>
      <c r="J426" s="79"/>
      <c r="N426" s="79"/>
      <c r="Q426" s="79"/>
      <c r="T426" s="130"/>
      <c r="V426" s="106"/>
    </row>
    <row r="427">
      <c r="C427" s="79"/>
      <c r="D427" s="79"/>
      <c r="J427" s="79"/>
      <c r="N427" s="79"/>
      <c r="Q427" s="79"/>
      <c r="T427" s="130"/>
      <c r="V427" s="106"/>
    </row>
    <row r="428">
      <c r="C428" s="79"/>
      <c r="D428" s="79"/>
      <c r="J428" s="79"/>
      <c r="N428" s="79"/>
      <c r="Q428" s="79"/>
      <c r="T428" s="130"/>
      <c r="V428" s="106"/>
    </row>
    <row r="429">
      <c r="C429" s="79"/>
      <c r="D429" s="79"/>
      <c r="J429" s="79"/>
      <c r="N429" s="79"/>
      <c r="Q429" s="79"/>
      <c r="T429" s="130"/>
      <c r="V429" s="106"/>
    </row>
    <row r="430">
      <c r="C430" s="79"/>
      <c r="D430" s="79"/>
      <c r="J430" s="79"/>
      <c r="N430" s="79"/>
      <c r="Q430" s="79"/>
      <c r="T430" s="130"/>
      <c r="V430" s="106"/>
    </row>
    <row r="431">
      <c r="C431" s="79"/>
      <c r="D431" s="79"/>
      <c r="J431" s="79"/>
      <c r="N431" s="79"/>
      <c r="Q431" s="79"/>
      <c r="T431" s="130"/>
      <c r="V431" s="106"/>
    </row>
    <row r="432">
      <c r="C432" s="79"/>
      <c r="D432" s="79"/>
      <c r="J432" s="79"/>
      <c r="N432" s="79"/>
      <c r="Q432" s="79"/>
      <c r="T432" s="130"/>
      <c r="V432" s="106"/>
    </row>
    <row r="433">
      <c r="C433" s="79"/>
      <c r="D433" s="79"/>
      <c r="J433" s="79"/>
      <c r="N433" s="79"/>
      <c r="Q433" s="79"/>
      <c r="T433" s="130"/>
      <c r="V433" s="106"/>
    </row>
    <row r="434">
      <c r="C434" s="79"/>
      <c r="D434" s="79"/>
      <c r="J434" s="79"/>
      <c r="N434" s="79"/>
      <c r="Q434" s="79"/>
      <c r="T434" s="130"/>
      <c r="V434" s="106"/>
    </row>
    <row r="435">
      <c r="C435" s="79"/>
      <c r="D435" s="79"/>
      <c r="J435" s="79"/>
      <c r="N435" s="79"/>
      <c r="Q435" s="79"/>
      <c r="T435" s="130"/>
      <c r="V435" s="106"/>
    </row>
    <row r="436">
      <c r="C436" s="79"/>
      <c r="D436" s="79"/>
      <c r="J436" s="79"/>
      <c r="N436" s="79"/>
      <c r="Q436" s="79"/>
      <c r="T436" s="130"/>
      <c r="V436" s="106"/>
    </row>
    <row r="437">
      <c r="C437" s="79"/>
      <c r="D437" s="79"/>
      <c r="J437" s="79"/>
      <c r="N437" s="79"/>
      <c r="Q437" s="79"/>
      <c r="T437" s="130"/>
      <c r="V437" s="106"/>
    </row>
    <row r="438">
      <c r="C438" s="79"/>
      <c r="D438" s="79"/>
      <c r="J438" s="79"/>
      <c r="N438" s="79"/>
      <c r="Q438" s="79"/>
      <c r="T438" s="130"/>
      <c r="V438" s="106"/>
    </row>
    <row r="439">
      <c r="C439" s="79"/>
      <c r="D439" s="79"/>
      <c r="J439" s="79"/>
      <c r="N439" s="79"/>
      <c r="Q439" s="79"/>
      <c r="T439" s="130"/>
      <c r="V439" s="106"/>
    </row>
    <row r="440">
      <c r="C440" s="79"/>
      <c r="D440" s="79"/>
      <c r="J440" s="79"/>
      <c r="N440" s="79"/>
      <c r="Q440" s="79"/>
      <c r="T440" s="130"/>
      <c r="V440" s="106"/>
    </row>
    <row r="441">
      <c r="C441" s="79"/>
      <c r="D441" s="79"/>
      <c r="J441" s="79"/>
      <c r="N441" s="79"/>
      <c r="Q441" s="79"/>
      <c r="T441" s="130"/>
      <c r="V441" s="106"/>
    </row>
    <row r="442">
      <c r="C442" s="79"/>
      <c r="D442" s="79"/>
      <c r="J442" s="79"/>
      <c r="N442" s="79"/>
      <c r="Q442" s="79"/>
      <c r="T442" s="130"/>
      <c r="V442" s="106"/>
    </row>
    <row r="443">
      <c r="C443" s="79"/>
      <c r="D443" s="79"/>
      <c r="J443" s="79"/>
      <c r="N443" s="79"/>
      <c r="Q443" s="79"/>
      <c r="T443" s="130"/>
      <c r="V443" s="106"/>
    </row>
    <row r="444">
      <c r="C444" s="79"/>
      <c r="D444" s="79"/>
      <c r="J444" s="79"/>
      <c r="N444" s="79"/>
      <c r="Q444" s="79"/>
      <c r="T444" s="130"/>
      <c r="V444" s="106"/>
    </row>
    <row r="445">
      <c r="C445" s="79"/>
      <c r="D445" s="79"/>
      <c r="J445" s="79"/>
      <c r="N445" s="79"/>
      <c r="Q445" s="79"/>
      <c r="T445" s="130"/>
      <c r="V445" s="106"/>
    </row>
    <row r="446">
      <c r="C446" s="79"/>
      <c r="D446" s="79"/>
      <c r="J446" s="79"/>
      <c r="N446" s="79"/>
      <c r="Q446" s="79"/>
      <c r="T446" s="130"/>
      <c r="V446" s="106"/>
    </row>
    <row r="447">
      <c r="C447" s="79"/>
      <c r="D447" s="79"/>
      <c r="J447" s="79"/>
      <c r="N447" s="79"/>
      <c r="Q447" s="79"/>
      <c r="T447" s="130"/>
      <c r="V447" s="106"/>
    </row>
    <row r="448">
      <c r="C448" s="79"/>
      <c r="D448" s="79"/>
      <c r="J448" s="79"/>
      <c r="N448" s="79"/>
      <c r="Q448" s="79"/>
      <c r="T448" s="130"/>
      <c r="V448" s="106"/>
    </row>
    <row r="449">
      <c r="C449" s="79"/>
      <c r="D449" s="79"/>
      <c r="J449" s="79"/>
      <c r="N449" s="79"/>
      <c r="Q449" s="79"/>
      <c r="T449" s="130"/>
      <c r="V449" s="106"/>
    </row>
    <row r="450">
      <c r="C450" s="79"/>
      <c r="D450" s="79"/>
      <c r="J450" s="79"/>
      <c r="N450" s="79"/>
      <c r="Q450" s="79"/>
      <c r="T450" s="130"/>
      <c r="V450" s="106"/>
    </row>
    <row r="451">
      <c r="C451" s="79"/>
      <c r="D451" s="79"/>
      <c r="J451" s="79"/>
      <c r="N451" s="79"/>
      <c r="Q451" s="79"/>
      <c r="T451" s="130"/>
      <c r="V451" s="106"/>
    </row>
    <row r="452">
      <c r="C452" s="79"/>
      <c r="D452" s="79"/>
      <c r="J452" s="79"/>
      <c r="N452" s="79"/>
      <c r="Q452" s="79"/>
      <c r="T452" s="130"/>
      <c r="V452" s="106"/>
    </row>
    <row r="453">
      <c r="C453" s="79"/>
      <c r="D453" s="79"/>
      <c r="J453" s="79"/>
      <c r="N453" s="79"/>
      <c r="Q453" s="79"/>
      <c r="T453" s="130"/>
      <c r="V453" s="106"/>
    </row>
    <row r="454">
      <c r="C454" s="79"/>
      <c r="D454" s="79"/>
      <c r="J454" s="79"/>
      <c r="N454" s="79"/>
      <c r="Q454" s="79"/>
      <c r="T454" s="130"/>
      <c r="V454" s="106"/>
    </row>
    <row r="455">
      <c r="C455" s="79"/>
      <c r="D455" s="79"/>
      <c r="J455" s="79"/>
      <c r="N455" s="79"/>
      <c r="Q455" s="79"/>
      <c r="T455" s="130"/>
      <c r="V455" s="106"/>
    </row>
    <row r="456">
      <c r="C456" s="79"/>
      <c r="D456" s="79"/>
      <c r="J456" s="79"/>
      <c r="N456" s="79"/>
      <c r="Q456" s="79"/>
      <c r="T456" s="130"/>
      <c r="V456" s="106"/>
    </row>
    <row r="457">
      <c r="C457" s="79"/>
      <c r="D457" s="79"/>
      <c r="J457" s="79"/>
      <c r="N457" s="79"/>
      <c r="Q457" s="79"/>
      <c r="T457" s="130"/>
      <c r="V457" s="106"/>
    </row>
    <row r="458">
      <c r="C458" s="79"/>
      <c r="D458" s="79"/>
      <c r="J458" s="79"/>
      <c r="N458" s="79"/>
      <c r="Q458" s="79"/>
      <c r="T458" s="130"/>
      <c r="V458" s="106"/>
    </row>
    <row r="459">
      <c r="C459" s="79"/>
      <c r="D459" s="79"/>
      <c r="J459" s="79"/>
      <c r="N459" s="79"/>
      <c r="Q459" s="79"/>
      <c r="T459" s="130"/>
      <c r="V459" s="106"/>
    </row>
    <row r="460">
      <c r="C460" s="79"/>
      <c r="D460" s="79"/>
      <c r="J460" s="79"/>
      <c r="N460" s="79"/>
      <c r="Q460" s="79"/>
      <c r="T460" s="130"/>
      <c r="V460" s="106"/>
    </row>
    <row r="461">
      <c r="C461" s="79"/>
      <c r="D461" s="79"/>
      <c r="J461" s="79"/>
      <c r="N461" s="79"/>
      <c r="Q461" s="79"/>
      <c r="T461" s="130"/>
      <c r="V461" s="106"/>
    </row>
    <row r="462">
      <c r="C462" s="79"/>
      <c r="D462" s="79"/>
      <c r="J462" s="79"/>
      <c r="N462" s="79"/>
      <c r="Q462" s="79"/>
      <c r="T462" s="130"/>
      <c r="V462" s="106"/>
    </row>
    <row r="463">
      <c r="C463" s="79"/>
      <c r="D463" s="79"/>
      <c r="J463" s="79"/>
      <c r="N463" s="79"/>
      <c r="Q463" s="79"/>
      <c r="T463" s="130"/>
      <c r="V463" s="106"/>
    </row>
    <row r="464">
      <c r="C464" s="79"/>
      <c r="D464" s="79"/>
      <c r="J464" s="79"/>
      <c r="N464" s="79"/>
      <c r="Q464" s="79"/>
      <c r="T464" s="130"/>
      <c r="V464" s="106"/>
    </row>
    <row r="465">
      <c r="C465" s="79"/>
      <c r="D465" s="79"/>
      <c r="J465" s="79"/>
      <c r="N465" s="79"/>
      <c r="Q465" s="79"/>
      <c r="T465" s="130"/>
      <c r="V465" s="106"/>
    </row>
    <row r="466">
      <c r="C466" s="79"/>
      <c r="D466" s="79"/>
      <c r="J466" s="79"/>
      <c r="N466" s="79"/>
      <c r="Q466" s="79"/>
      <c r="T466" s="130"/>
      <c r="V466" s="106"/>
    </row>
    <row r="467">
      <c r="C467" s="79"/>
      <c r="D467" s="79"/>
      <c r="J467" s="79"/>
      <c r="N467" s="79"/>
      <c r="Q467" s="79"/>
      <c r="T467" s="130"/>
      <c r="V467" s="106"/>
    </row>
    <row r="468">
      <c r="C468" s="79"/>
      <c r="D468" s="79"/>
      <c r="J468" s="79"/>
      <c r="N468" s="79"/>
      <c r="Q468" s="79"/>
      <c r="T468" s="130"/>
      <c r="V468" s="106"/>
    </row>
    <row r="469">
      <c r="C469" s="79"/>
      <c r="D469" s="79"/>
      <c r="J469" s="79"/>
      <c r="N469" s="79"/>
      <c r="Q469" s="79"/>
      <c r="T469" s="130"/>
      <c r="V469" s="106"/>
    </row>
    <row r="470">
      <c r="C470" s="79"/>
      <c r="D470" s="79"/>
      <c r="J470" s="79"/>
      <c r="N470" s="79"/>
      <c r="Q470" s="79"/>
      <c r="T470" s="130"/>
      <c r="V470" s="106"/>
    </row>
    <row r="471">
      <c r="C471" s="79"/>
      <c r="D471" s="79"/>
      <c r="J471" s="79"/>
      <c r="N471" s="79"/>
      <c r="Q471" s="79"/>
      <c r="T471" s="130"/>
      <c r="V471" s="106"/>
    </row>
    <row r="472">
      <c r="C472" s="79"/>
      <c r="D472" s="79"/>
      <c r="J472" s="79"/>
      <c r="N472" s="79"/>
      <c r="Q472" s="79"/>
      <c r="T472" s="130"/>
      <c r="V472" s="106"/>
    </row>
    <row r="473">
      <c r="C473" s="79"/>
      <c r="D473" s="79"/>
      <c r="J473" s="79"/>
      <c r="N473" s="79"/>
      <c r="Q473" s="79"/>
      <c r="T473" s="130"/>
      <c r="V473" s="106"/>
    </row>
    <row r="474">
      <c r="C474" s="79"/>
      <c r="D474" s="79"/>
      <c r="J474" s="79"/>
      <c r="N474" s="79"/>
      <c r="Q474" s="79"/>
      <c r="T474" s="130"/>
      <c r="V474" s="106"/>
    </row>
    <row r="475">
      <c r="C475" s="79"/>
      <c r="D475" s="79"/>
      <c r="J475" s="79"/>
      <c r="N475" s="79"/>
      <c r="Q475" s="79"/>
      <c r="T475" s="130"/>
      <c r="V475" s="106"/>
    </row>
    <row r="476">
      <c r="C476" s="79"/>
      <c r="D476" s="79"/>
      <c r="J476" s="79"/>
      <c r="N476" s="79"/>
      <c r="Q476" s="79"/>
      <c r="T476" s="130"/>
      <c r="V476" s="106"/>
    </row>
    <row r="477">
      <c r="C477" s="79"/>
      <c r="D477" s="79"/>
      <c r="J477" s="79"/>
      <c r="N477" s="79"/>
      <c r="Q477" s="79"/>
      <c r="T477" s="130"/>
      <c r="V477" s="106"/>
    </row>
    <row r="478">
      <c r="C478" s="79"/>
      <c r="D478" s="79"/>
      <c r="J478" s="79"/>
      <c r="N478" s="79"/>
      <c r="Q478" s="79"/>
      <c r="T478" s="130"/>
      <c r="V478" s="106"/>
    </row>
    <row r="479">
      <c r="C479" s="79"/>
      <c r="D479" s="79"/>
      <c r="J479" s="79"/>
      <c r="N479" s="79"/>
      <c r="Q479" s="79"/>
      <c r="T479" s="130"/>
      <c r="V479" s="106"/>
    </row>
    <row r="480">
      <c r="C480" s="79"/>
      <c r="D480" s="79"/>
      <c r="J480" s="79"/>
      <c r="N480" s="79"/>
      <c r="Q480" s="79"/>
      <c r="T480" s="130"/>
      <c r="V480" s="106"/>
    </row>
    <row r="481">
      <c r="C481" s="79"/>
      <c r="D481" s="79"/>
      <c r="J481" s="79"/>
      <c r="N481" s="79"/>
      <c r="Q481" s="79"/>
      <c r="T481" s="130"/>
      <c r="V481" s="106"/>
    </row>
    <row r="482">
      <c r="C482" s="79"/>
      <c r="D482" s="79"/>
      <c r="J482" s="79"/>
      <c r="N482" s="79"/>
      <c r="Q482" s="79"/>
      <c r="T482" s="130"/>
      <c r="V482" s="106"/>
    </row>
    <row r="483">
      <c r="C483" s="79"/>
      <c r="D483" s="79"/>
      <c r="J483" s="79"/>
      <c r="N483" s="79"/>
      <c r="Q483" s="79"/>
      <c r="T483" s="130"/>
      <c r="V483" s="106"/>
    </row>
    <row r="484">
      <c r="C484" s="79"/>
      <c r="D484" s="79"/>
      <c r="J484" s="79"/>
      <c r="N484" s="79"/>
      <c r="Q484" s="79"/>
      <c r="T484" s="130"/>
      <c r="V484" s="106"/>
    </row>
    <row r="485">
      <c r="C485" s="79"/>
      <c r="D485" s="79"/>
      <c r="J485" s="79"/>
      <c r="N485" s="79"/>
      <c r="Q485" s="79"/>
      <c r="T485" s="130"/>
      <c r="V485" s="106"/>
    </row>
    <row r="486">
      <c r="C486" s="79"/>
      <c r="D486" s="79"/>
      <c r="J486" s="79"/>
      <c r="N486" s="79"/>
      <c r="Q486" s="79"/>
      <c r="T486" s="130"/>
      <c r="V486" s="106"/>
    </row>
    <row r="487">
      <c r="C487" s="79"/>
      <c r="D487" s="79"/>
      <c r="J487" s="79"/>
      <c r="N487" s="79"/>
      <c r="Q487" s="79"/>
      <c r="T487" s="130"/>
      <c r="V487" s="106"/>
    </row>
    <row r="488">
      <c r="C488" s="79"/>
      <c r="D488" s="79"/>
      <c r="J488" s="79"/>
      <c r="N488" s="79"/>
      <c r="Q488" s="79"/>
      <c r="T488" s="130"/>
      <c r="V488" s="106"/>
    </row>
    <row r="489">
      <c r="C489" s="79"/>
      <c r="D489" s="79"/>
      <c r="J489" s="79"/>
      <c r="N489" s="79"/>
      <c r="Q489" s="79"/>
      <c r="T489" s="130"/>
      <c r="V489" s="106"/>
    </row>
    <row r="490">
      <c r="C490" s="79"/>
      <c r="D490" s="79"/>
      <c r="J490" s="79"/>
      <c r="N490" s="79"/>
      <c r="Q490" s="79"/>
      <c r="T490" s="130"/>
      <c r="V490" s="106"/>
    </row>
    <row r="491">
      <c r="C491" s="79"/>
      <c r="D491" s="79"/>
      <c r="J491" s="79"/>
      <c r="N491" s="79"/>
      <c r="Q491" s="79"/>
      <c r="T491" s="130"/>
      <c r="V491" s="106"/>
    </row>
    <row r="492">
      <c r="C492" s="79"/>
      <c r="D492" s="79"/>
      <c r="J492" s="79"/>
      <c r="N492" s="79"/>
      <c r="Q492" s="79"/>
      <c r="T492" s="130"/>
      <c r="V492" s="106"/>
    </row>
    <row r="493">
      <c r="C493" s="79"/>
      <c r="D493" s="79"/>
      <c r="J493" s="79"/>
      <c r="N493" s="79"/>
      <c r="Q493" s="79"/>
      <c r="T493" s="130"/>
      <c r="V493" s="106"/>
    </row>
    <row r="494">
      <c r="C494" s="79"/>
      <c r="D494" s="79"/>
      <c r="J494" s="79"/>
      <c r="N494" s="79"/>
      <c r="Q494" s="79"/>
      <c r="T494" s="130"/>
      <c r="V494" s="106"/>
    </row>
    <row r="495">
      <c r="C495" s="79"/>
      <c r="D495" s="79"/>
      <c r="J495" s="79"/>
      <c r="N495" s="79"/>
      <c r="Q495" s="79"/>
      <c r="T495" s="130"/>
      <c r="V495" s="106"/>
    </row>
    <row r="496">
      <c r="C496" s="79"/>
      <c r="D496" s="79"/>
      <c r="J496" s="79"/>
      <c r="N496" s="79"/>
      <c r="Q496" s="79"/>
      <c r="T496" s="130"/>
      <c r="V496" s="106"/>
    </row>
    <row r="497">
      <c r="C497" s="79"/>
      <c r="D497" s="79"/>
      <c r="J497" s="79"/>
      <c r="N497" s="79"/>
      <c r="Q497" s="79"/>
      <c r="T497" s="130"/>
      <c r="V497" s="106"/>
    </row>
    <row r="498">
      <c r="C498" s="79"/>
      <c r="D498" s="79"/>
      <c r="J498" s="79"/>
      <c r="N498" s="79"/>
      <c r="Q498" s="79"/>
      <c r="T498" s="130"/>
      <c r="V498" s="106"/>
    </row>
    <row r="499">
      <c r="C499" s="79"/>
      <c r="D499" s="79"/>
      <c r="J499" s="79"/>
      <c r="N499" s="79"/>
      <c r="Q499" s="79"/>
      <c r="T499" s="130"/>
      <c r="V499" s="106"/>
    </row>
    <row r="500">
      <c r="C500" s="79"/>
      <c r="D500" s="79"/>
      <c r="J500" s="79"/>
      <c r="N500" s="79"/>
      <c r="Q500" s="79"/>
      <c r="T500" s="130"/>
      <c r="V500" s="106"/>
    </row>
    <row r="501">
      <c r="C501" s="79"/>
      <c r="D501" s="79"/>
      <c r="J501" s="79"/>
      <c r="N501" s="79"/>
      <c r="Q501" s="79"/>
      <c r="T501" s="130"/>
      <c r="V501" s="106"/>
    </row>
    <row r="502">
      <c r="C502" s="79"/>
      <c r="D502" s="79"/>
      <c r="J502" s="79"/>
      <c r="N502" s="79"/>
      <c r="Q502" s="79"/>
      <c r="T502" s="130"/>
      <c r="V502" s="106"/>
    </row>
    <row r="503">
      <c r="C503" s="79"/>
      <c r="D503" s="79"/>
      <c r="J503" s="79"/>
      <c r="N503" s="79"/>
      <c r="Q503" s="79"/>
      <c r="T503" s="130"/>
      <c r="V503" s="106"/>
    </row>
    <row r="504">
      <c r="C504" s="79"/>
      <c r="D504" s="79"/>
      <c r="J504" s="79"/>
      <c r="N504" s="79"/>
      <c r="Q504" s="79"/>
      <c r="T504" s="130"/>
      <c r="V504" s="106"/>
    </row>
    <row r="505">
      <c r="C505" s="79"/>
      <c r="D505" s="79"/>
      <c r="J505" s="79"/>
      <c r="N505" s="79"/>
      <c r="Q505" s="79"/>
      <c r="T505" s="130"/>
      <c r="V505" s="106"/>
    </row>
    <row r="506">
      <c r="C506" s="79"/>
      <c r="D506" s="79"/>
      <c r="J506" s="79"/>
      <c r="N506" s="79"/>
      <c r="Q506" s="79"/>
      <c r="T506" s="130"/>
      <c r="V506" s="106"/>
    </row>
    <row r="507">
      <c r="C507" s="79"/>
      <c r="D507" s="79"/>
      <c r="J507" s="79"/>
      <c r="N507" s="79"/>
      <c r="Q507" s="79"/>
      <c r="T507" s="130"/>
      <c r="V507" s="106"/>
    </row>
    <row r="508">
      <c r="C508" s="79"/>
      <c r="D508" s="79"/>
      <c r="J508" s="79"/>
      <c r="N508" s="79"/>
      <c r="Q508" s="79"/>
      <c r="T508" s="130"/>
      <c r="V508" s="106"/>
    </row>
    <row r="509">
      <c r="C509" s="79"/>
      <c r="D509" s="79"/>
      <c r="J509" s="79"/>
      <c r="N509" s="79"/>
      <c r="Q509" s="79"/>
      <c r="T509" s="130"/>
      <c r="V509" s="106"/>
    </row>
    <row r="510">
      <c r="C510" s="79"/>
      <c r="D510" s="79"/>
      <c r="J510" s="79"/>
      <c r="N510" s="79"/>
      <c r="Q510" s="79"/>
      <c r="T510" s="130"/>
      <c r="V510" s="106"/>
    </row>
    <row r="511">
      <c r="C511" s="79"/>
      <c r="D511" s="79"/>
      <c r="J511" s="79"/>
      <c r="N511" s="79"/>
      <c r="Q511" s="79"/>
      <c r="T511" s="130"/>
      <c r="V511" s="106"/>
    </row>
    <row r="512">
      <c r="C512" s="79"/>
      <c r="D512" s="79"/>
      <c r="J512" s="79"/>
      <c r="N512" s="79"/>
      <c r="Q512" s="79"/>
      <c r="T512" s="130"/>
      <c r="V512" s="106"/>
    </row>
    <row r="513">
      <c r="C513" s="79"/>
      <c r="D513" s="79"/>
      <c r="J513" s="79"/>
      <c r="N513" s="79"/>
      <c r="Q513" s="79"/>
      <c r="T513" s="130"/>
      <c r="V513" s="106"/>
    </row>
    <row r="514">
      <c r="C514" s="79"/>
      <c r="D514" s="79"/>
      <c r="J514" s="79"/>
      <c r="N514" s="79"/>
      <c r="Q514" s="79"/>
      <c r="T514" s="130"/>
      <c r="V514" s="106"/>
    </row>
    <row r="515">
      <c r="C515" s="79"/>
      <c r="D515" s="79"/>
      <c r="J515" s="79"/>
      <c r="N515" s="79"/>
      <c r="Q515" s="79"/>
      <c r="T515" s="130"/>
      <c r="V515" s="106"/>
    </row>
    <row r="516">
      <c r="C516" s="79"/>
      <c r="D516" s="79"/>
      <c r="J516" s="79"/>
      <c r="N516" s="79"/>
      <c r="Q516" s="79"/>
      <c r="T516" s="130"/>
      <c r="V516" s="106"/>
    </row>
    <row r="517">
      <c r="C517" s="79"/>
      <c r="D517" s="79"/>
      <c r="J517" s="79"/>
      <c r="N517" s="79"/>
      <c r="Q517" s="79"/>
      <c r="T517" s="130"/>
      <c r="V517" s="106"/>
    </row>
    <row r="518">
      <c r="C518" s="79"/>
      <c r="D518" s="79"/>
      <c r="J518" s="79"/>
      <c r="N518" s="79"/>
      <c r="Q518" s="79"/>
      <c r="T518" s="130"/>
      <c r="V518" s="106"/>
    </row>
    <row r="519">
      <c r="C519" s="79"/>
      <c r="D519" s="79"/>
      <c r="J519" s="79"/>
      <c r="N519" s="79"/>
      <c r="Q519" s="79"/>
      <c r="T519" s="130"/>
      <c r="V519" s="106"/>
    </row>
    <row r="520">
      <c r="C520" s="79"/>
      <c r="D520" s="79"/>
      <c r="J520" s="79"/>
      <c r="N520" s="79"/>
      <c r="Q520" s="79"/>
      <c r="T520" s="130"/>
      <c r="V520" s="106"/>
    </row>
    <row r="521">
      <c r="C521" s="79"/>
      <c r="D521" s="79"/>
      <c r="J521" s="79"/>
      <c r="N521" s="79"/>
      <c r="Q521" s="79"/>
      <c r="T521" s="130"/>
      <c r="V521" s="106"/>
    </row>
    <row r="522">
      <c r="C522" s="79"/>
      <c r="D522" s="79"/>
      <c r="J522" s="79"/>
      <c r="N522" s="79"/>
      <c r="Q522" s="79"/>
      <c r="T522" s="130"/>
      <c r="V522" s="106"/>
    </row>
    <row r="523">
      <c r="C523" s="79"/>
      <c r="D523" s="79"/>
      <c r="J523" s="79"/>
      <c r="N523" s="79"/>
      <c r="Q523" s="79"/>
      <c r="T523" s="130"/>
      <c r="V523" s="106"/>
    </row>
    <row r="524">
      <c r="C524" s="79"/>
      <c r="D524" s="79"/>
      <c r="J524" s="79"/>
      <c r="N524" s="79"/>
      <c r="Q524" s="79"/>
      <c r="T524" s="130"/>
      <c r="V524" s="106"/>
    </row>
    <row r="525">
      <c r="C525" s="79"/>
      <c r="D525" s="79"/>
      <c r="J525" s="79"/>
      <c r="N525" s="79"/>
      <c r="Q525" s="79"/>
      <c r="T525" s="130"/>
      <c r="V525" s="106"/>
    </row>
    <row r="526">
      <c r="C526" s="79"/>
      <c r="D526" s="79"/>
      <c r="J526" s="79"/>
      <c r="N526" s="79"/>
      <c r="Q526" s="79"/>
      <c r="T526" s="130"/>
      <c r="V526" s="106"/>
    </row>
    <row r="527">
      <c r="C527" s="79"/>
      <c r="D527" s="79"/>
      <c r="J527" s="79"/>
      <c r="N527" s="79"/>
      <c r="Q527" s="79"/>
      <c r="T527" s="130"/>
      <c r="V527" s="106"/>
    </row>
    <row r="528">
      <c r="C528" s="79"/>
      <c r="D528" s="79"/>
      <c r="J528" s="79"/>
      <c r="N528" s="79"/>
      <c r="Q528" s="79"/>
      <c r="T528" s="130"/>
      <c r="V528" s="106"/>
    </row>
    <row r="529">
      <c r="C529" s="79"/>
      <c r="D529" s="79"/>
      <c r="J529" s="79"/>
      <c r="N529" s="79"/>
      <c r="Q529" s="79"/>
      <c r="T529" s="130"/>
      <c r="V529" s="106"/>
    </row>
    <row r="530">
      <c r="C530" s="79"/>
      <c r="D530" s="79"/>
      <c r="J530" s="79"/>
      <c r="N530" s="79"/>
      <c r="Q530" s="79"/>
      <c r="T530" s="130"/>
      <c r="V530" s="106"/>
    </row>
    <row r="531">
      <c r="C531" s="79"/>
      <c r="D531" s="79"/>
      <c r="J531" s="79"/>
      <c r="N531" s="79"/>
      <c r="Q531" s="79"/>
      <c r="T531" s="130"/>
      <c r="V531" s="106"/>
    </row>
    <row r="532">
      <c r="C532" s="79"/>
      <c r="D532" s="79"/>
      <c r="J532" s="79"/>
      <c r="N532" s="79"/>
      <c r="Q532" s="79"/>
      <c r="T532" s="130"/>
      <c r="V532" s="106"/>
    </row>
    <row r="533">
      <c r="C533" s="79"/>
      <c r="D533" s="79"/>
      <c r="J533" s="79"/>
      <c r="N533" s="79"/>
      <c r="Q533" s="79"/>
      <c r="T533" s="130"/>
      <c r="V533" s="106"/>
    </row>
    <row r="534">
      <c r="C534" s="79"/>
      <c r="D534" s="79"/>
      <c r="J534" s="79"/>
      <c r="N534" s="79"/>
      <c r="Q534" s="79"/>
      <c r="T534" s="130"/>
      <c r="V534" s="106"/>
    </row>
    <row r="535">
      <c r="C535" s="79"/>
      <c r="D535" s="79"/>
      <c r="J535" s="79"/>
      <c r="N535" s="79"/>
      <c r="Q535" s="79"/>
      <c r="T535" s="130"/>
      <c r="V535" s="106"/>
    </row>
    <row r="536">
      <c r="C536" s="79"/>
      <c r="D536" s="79"/>
      <c r="J536" s="79"/>
      <c r="N536" s="79"/>
      <c r="Q536" s="79"/>
      <c r="T536" s="130"/>
      <c r="V536" s="106"/>
    </row>
    <row r="537">
      <c r="C537" s="79"/>
      <c r="D537" s="79"/>
      <c r="J537" s="79"/>
      <c r="N537" s="79"/>
      <c r="Q537" s="79"/>
      <c r="T537" s="130"/>
      <c r="V537" s="106"/>
    </row>
    <row r="538">
      <c r="C538" s="79"/>
      <c r="D538" s="79"/>
      <c r="J538" s="79"/>
      <c r="N538" s="79"/>
      <c r="Q538" s="79"/>
      <c r="T538" s="130"/>
      <c r="V538" s="106"/>
    </row>
    <row r="539">
      <c r="C539" s="79"/>
      <c r="D539" s="79"/>
      <c r="J539" s="79"/>
      <c r="N539" s="79"/>
      <c r="Q539" s="79"/>
      <c r="T539" s="130"/>
      <c r="V539" s="106"/>
    </row>
    <row r="540">
      <c r="C540" s="79"/>
      <c r="D540" s="79"/>
      <c r="J540" s="79"/>
      <c r="N540" s="79"/>
      <c r="Q540" s="79"/>
      <c r="T540" s="130"/>
      <c r="V540" s="106"/>
    </row>
    <row r="541">
      <c r="C541" s="79"/>
      <c r="D541" s="79"/>
      <c r="J541" s="79"/>
      <c r="N541" s="79"/>
      <c r="Q541" s="79"/>
      <c r="T541" s="130"/>
      <c r="V541" s="106"/>
    </row>
    <row r="542">
      <c r="C542" s="79"/>
      <c r="D542" s="79"/>
      <c r="J542" s="79"/>
      <c r="N542" s="79"/>
      <c r="Q542" s="79"/>
      <c r="T542" s="130"/>
      <c r="V542" s="106"/>
    </row>
    <row r="543">
      <c r="C543" s="79"/>
      <c r="D543" s="79"/>
      <c r="J543" s="79"/>
      <c r="N543" s="79"/>
      <c r="Q543" s="79"/>
      <c r="T543" s="130"/>
      <c r="V543" s="106"/>
    </row>
    <row r="544">
      <c r="C544" s="79"/>
      <c r="D544" s="79"/>
      <c r="J544" s="79"/>
      <c r="N544" s="79"/>
      <c r="Q544" s="79"/>
      <c r="T544" s="130"/>
      <c r="V544" s="106"/>
    </row>
    <row r="545">
      <c r="C545" s="79"/>
      <c r="D545" s="79"/>
      <c r="J545" s="79"/>
      <c r="N545" s="79"/>
      <c r="Q545" s="79"/>
      <c r="T545" s="130"/>
      <c r="V545" s="106"/>
    </row>
    <row r="546">
      <c r="C546" s="79"/>
      <c r="D546" s="79"/>
      <c r="J546" s="79"/>
      <c r="N546" s="79"/>
      <c r="Q546" s="79"/>
      <c r="T546" s="130"/>
      <c r="V546" s="106"/>
    </row>
    <row r="547">
      <c r="C547" s="79"/>
      <c r="D547" s="79"/>
      <c r="J547" s="79"/>
      <c r="N547" s="79"/>
      <c r="Q547" s="79"/>
      <c r="T547" s="130"/>
      <c r="V547" s="106"/>
    </row>
    <row r="548">
      <c r="C548" s="79"/>
      <c r="D548" s="79"/>
      <c r="J548" s="79"/>
      <c r="N548" s="79"/>
      <c r="Q548" s="79"/>
      <c r="T548" s="130"/>
      <c r="V548" s="106"/>
    </row>
    <row r="549">
      <c r="C549" s="79"/>
      <c r="D549" s="79"/>
      <c r="J549" s="79"/>
      <c r="N549" s="79"/>
      <c r="Q549" s="79"/>
      <c r="T549" s="130"/>
      <c r="V549" s="106"/>
    </row>
    <row r="550">
      <c r="C550" s="79"/>
      <c r="D550" s="79"/>
      <c r="J550" s="79"/>
      <c r="N550" s="79"/>
      <c r="Q550" s="79"/>
      <c r="T550" s="130"/>
      <c r="V550" s="106"/>
    </row>
    <row r="551">
      <c r="C551" s="79"/>
      <c r="D551" s="79"/>
      <c r="J551" s="79"/>
      <c r="N551" s="79"/>
      <c r="Q551" s="79"/>
      <c r="T551" s="130"/>
      <c r="V551" s="106"/>
    </row>
    <row r="552">
      <c r="C552" s="79"/>
      <c r="D552" s="79"/>
      <c r="J552" s="79"/>
      <c r="N552" s="79"/>
      <c r="Q552" s="79"/>
      <c r="T552" s="130"/>
      <c r="V552" s="106"/>
    </row>
    <row r="553">
      <c r="C553" s="79"/>
      <c r="D553" s="79"/>
      <c r="J553" s="79"/>
      <c r="N553" s="79"/>
      <c r="Q553" s="79"/>
      <c r="T553" s="130"/>
      <c r="V553" s="106"/>
    </row>
    <row r="554">
      <c r="C554" s="79"/>
      <c r="D554" s="79"/>
      <c r="J554" s="79"/>
      <c r="N554" s="79"/>
      <c r="Q554" s="79"/>
      <c r="T554" s="130"/>
      <c r="V554" s="106"/>
    </row>
    <row r="555">
      <c r="C555" s="79"/>
      <c r="D555" s="79"/>
      <c r="J555" s="79"/>
      <c r="N555" s="79"/>
      <c r="Q555" s="79"/>
      <c r="T555" s="130"/>
      <c r="V555" s="106"/>
    </row>
    <row r="556">
      <c r="C556" s="79"/>
      <c r="D556" s="79"/>
      <c r="J556" s="79"/>
      <c r="N556" s="79"/>
      <c r="Q556" s="79"/>
      <c r="T556" s="130"/>
      <c r="V556" s="106"/>
    </row>
    <row r="557">
      <c r="C557" s="79"/>
      <c r="D557" s="79"/>
      <c r="J557" s="79"/>
      <c r="N557" s="79"/>
      <c r="Q557" s="79"/>
      <c r="T557" s="130"/>
      <c r="V557" s="106"/>
    </row>
    <row r="558">
      <c r="C558" s="79"/>
      <c r="D558" s="79"/>
      <c r="J558" s="79"/>
      <c r="N558" s="79"/>
      <c r="Q558" s="79"/>
      <c r="T558" s="130"/>
      <c r="V558" s="106"/>
    </row>
    <row r="559">
      <c r="C559" s="79"/>
      <c r="D559" s="79"/>
      <c r="J559" s="79"/>
      <c r="N559" s="79"/>
      <c r="Q559" s="79"/>
      <c r="T559" s="130"/>
      <c r="V559" s="106"/>
    </row>
    <row r="560">
      <c r="C560" s="79"/>
      <c r="D560" s="79"/>
      <c r="J560" s="79"/>
      <c r="N560" s="79"/>
      <c r="Q560" s="79"/>
      <c r="T560" s="130"/>
      <c r="V560" s="106"/>
    </row>
    <row r="561">
      <c r="C561" s="79"/>
      <c r="D561" s="79"/>
      <c r="J561" s="79"/>
      <c r="N561" s="79"/>
      <c r="Q561" s="79"/>
      <c r="T561" s="130"/>
      <c r="V561" s="106"/>
    </row>
    <row r="562">
      <c r="C562" s="79"/>
      <c r="D562" s="79"/>
      <c r="J562" s="79"/>
      <c r="N562" s="79"/>
      <c r="Q562" s="79"/>
      <c r="T562" s="130"/>
      <c r="V562" s="106"/>
    </row>
    <row r="563">
      <c r="C563" s="79"/>
      <c r="D563" s="79"/>
      <c r="J563" s="79"/>
      <c r="N563" s="79"/>
      <c r="Q563" s="79"/>
      <c r="T563" s="130"/>
      <c r="V563" s="106"/>
    </row>
    <row r="564">
      <c r="C564" s="79"/>
      <c r="D564" s="79"/>
      <c r="J564" s="79"/>
      <c r="N564" s="79"/>
      <c r="Q564" s="79"/>
      <c r="T564" s="130"/>
      <c r="V564" s="106"/>
    </row>
    <row r="565">
      <c r="C565" s="79"/>
      <c r="D565" s="79"/>
      <c r="J565" s="79"/>
      <c r="N565" s="79"/>
      <c r="Q565" s="79"/>
      <c r="T565" s="130"/>
      <c r="V565" s="106"/>
    </row>
    <row r="566">
      <c r="C566" s="79"/>
      <c r="D566" s="79"/>
      <c r="J566" s="79"/>
      <c r="N566" s="79"/>
      <c r="Q566" s="79"/>
      <c r="T566" s="130"/>
      <c r="V566" s="106"/>
    </row>
    <row r="567">
      <c r="C567" s="79"/>
      <c r="D567" s="79"/>
      <c r="J567" s="79"/>
      <c r="N567" s="79"/>
      <c r="Q567" s="79"/>
      <c r="T567" s="130"/>
      <c r="V567" s="106"/>
    </row>
    <row r="568">
      <c r="C568" s="79"/>
      <c r="D568" s="79"/>
      <c r="J568" s="79"/>
      <c r="N568" s="79"/>
      <c r="Q568" s="79"/>
      <c r="T568" s="130"/>
      <c r="V568" s="106"/>
    </row>
    <row r="569">
      <c r="C569" s="79"/>
      <c r="D569" s="79"/>
      <c r="J569" s="79"/>
      <c r="N569" s="79"/>
      <c r="Q569" s="79"/>
      <c r="T569" s="130"/>
      <c r="V569" s="106"/>
    </row>
    <row r="570">
      <c r="C570" s="79"/>
      <c r="D570" s="79"/>
      <c r="J570" s="79"/>
      <c r="N570" s="79"/>
      <c r="Q570" s="79"/>
      <c r="T570" s="130"/>
      <c r="V570" s="106"/>
    </row>
    <row r="571">
      <c r="C571" s="79"/>
      <c r="D571" s="79"/>
      <c r="J571" s="79"/>
      <c r="N571" s="79"/>
      <c r="Q571" s="79"/>
      <c r="T571" s="130"/>
      <c r="V571" s="106"/>
    </row>
    <row r="572">
      <c r="C572" s="79"/>
      <c r="D572" s="79"/>
      <c r="J572" s="79"/>
      <c r="N572" s="79"/>
      <c r="Q572" s="79"/>
      <c r="T572" s="130"/>
      <c r="V572" s="106"/>
    </row>
    <row r="573">
      <c r="C573" s="79"/>
      <c r="D573" s="79"/>
      <c r="J573" s="79"/>
      <c r="N573" s="79"/>
      <c r="Q573" s="79"/>
      <c r="T573" s="130"/>
      <c r="V573" s="106"/>
    </row>
    <row r="574">
      <c r="C574" s="79"/>
      <c r="D574" s="79"/>
      <c r="J574" s="79"/>
      <c r="N574" s="79"/>
      <c r="Q574" s="79"/>
      <c r="T574" s="130"/>
      <c r="V574" s="106"/>
    </row>
    <row r="575">
      <c r="C575" s="79"/>
      <c r="D575" s="79"/>
      <c r="J575" s="79"/>
      <c r="N575" s="79"/>
      <c r="Q575" s="79"/>
      <c r="T575" s="130"/>
      <c r="V575" s="106"/>
    </row>
    <row r="576">
      <c r="C576" s="79"/>
      <c r="D576" s="79"/>
      <c r="J576" s="79"/>
      <c r="N576" s="79"/>
      <c r="Q576" s="79"/>
      <c r="T576" s="130"/>
      <c r="V576" s="106"/>
    </row>
    <row r="577">
      <c r="C577" s="79"/>
      <c r="D577" s="79"/>
      <c r="J577" s="79"/>
      <c r="N577" s="79"/>
      <c r="Q577" s="79"/>
      <c r="T577" s="130"/>
      <c r="V577" s="106"/>
    </row>
    <row r="578">
      <c r="C578" s="79"/>
      <c r="D578" s="79"/>
      <c r="J578" s="79"/>
      <c r="N578" s="79"/>
      <c r="Q578" s="79"/>
      <c r="T578" s="130"/>
      <c r="V578" s="106"/>
    </row>
    <row r="579">
      <c r="C579" s="79"/>
      <c r="D579" s="79"/>
      <c r="J579" s="79"/>
      <c r="N579" s="79"/>
      <c r="Q579" s="79"/>
      <c r="T579" s="130"/>
      <c r="V579" s="106"/>
    </row>
    <row r="580">
      <c r="C580" s="79"/>
      <c r="D580" s="79"/>
      <c r="J580" s="79"/>
      <c r="N580" s="79"/>
      <c r="Q580" s="79"/>
      <c r="T580" s="130"/>
      <c r="V580" s="106"/>
    </row>
    <row r="581">
      <c r="C581" s="79"/>
      <c r="D581" s="79"/>
      <c r="J581" s="79"/>
      <c r="N581" s="79"/>
      <c r="Q581" s="79"/>
      <c r="T581" s="130"/>
      <c r="V581" s="106"/>
    </row>
    <row r="582">
      <c r="C582" s="79"/>
      <c r="D582" s="79"/>
      <c r="J582" s="79"/>
      <c r="N582" s="79"/>
      <c r="Q582" s="79"/>
      <c r="T582" s="130"/>
      <c r="V582" s="106"/>
    </row>
    <row r="583">
      <c r="C583" s="79"/>
      <c r="D583" s="79"/>
      <c r="J583" s="79"/>
      <c r="N583" s="79"/>
      <c r="Q583" s="79"/>
      <c r="T583" s="130"/>
      <c r="V583" s="106"/>
    </row>
    <row r="584">
      <c r="C584" s="79"/>
      <c r="D584" s="79"/>
      <c r="J584" s="79"/>
      <c r="N584" s="79"/>
      <c r="Q584" s="79"/>
      <c r="T584" s="130"/>
      <c r="V584" s="106"/>
    </row>
    <row r="585">
      <c r="C585" s="79"/>
      <c r="D585" s="79"/>
      <c r="J585" s="79"/>
      <c r="N585" s="79"/>
      <c r="Q585" s="79"/>
      <c r="T585" s="130"/>
      <c r="V585" s="106"/>
    </row>
    <row r="586">
      <c r="C586" s="79"/>
      <c r="D586" s="79"/>
      <c r="J586" s="79"/>
      <c r="N586" s="79"/>
      <c r="Q586" s="79"/>
      <c r="T586" s="130"/>
      <c r="V586" s="106"/>
    </row>
    <row r="587">
      <c r="C587" s="79"/>
      <c r="D587" s="79"/>
      <c r="J587" s="79"/>
      <c r="N587" s="79"/>
      <c r="Q587" s="79"/>
      <c r="T587" s="130"/>
      <c r="V587" s="106"/>
    </row>
    <row r="588">
      <c r="C588" s="79"/>
      <c r="D588" s="79"/>
      <c r="J588" s="79"/>
      <c r="N588" s="79"/>
      <c r="Q588" s="79"/>
      <c r="T588" s="130"/>
      <c r="V588" s="106"/>
    </row>
    <row r="589">
      <c r="C589" s="79"/>
      <c r="D589" s="79"/>
      <c r="J589" s="79"/>
      <c r="N589" s="79"/>
      <c r="Q589" s="79"/>
      <c r="T589" s="130"/>
      <c r="V589" s="106"/>
    </row>
    <row r="590">
      <c r="C590" s="79"/>
      <c r="D590" s="79"/>
      <c r="J590" s="79"/>
      <c r="N590" s="79"/>
      <c r="Q590" s="79"/>
      <c r="T590" s="130"/>
      <c r="V590" s="106"/>
    </row>
    <row r="591">
      <c r="C591" s="79"/>
      <c r="D591" s="79"/>
      <c r="J591" s="79"/>
      <c r="N591" s="79"/>
      <c r="Q591" s="79"/>
      <c r="T591" s="130"/>
      <c r="V591" s="106"/>
    </row>
    <row r="592">
      <c r="C592" s="79"/>
      <c r="D592" s="79"/>
      <c r="J592" s="79"/>
      <c r="N592" s="79"/>
      <c r="Q592" s="79"/>
      <c r="T592" s="130"/>
      <c r="V592" s="106"/>
    </row>
    <row r="593">
      <c r="C593" s="79"/>
      <c r="D593" s="79"/>
      <c r="J593" s="79"/>
      <c r="N593" s="79"/>
      <c r="Q593" s="79"/>
      <c r="T593" s="130"/>
      <c r="V593" s="106"/>
    </row>
    <row r="594">
      <c r="C594" s="79"/>
      <c r="D594" s="79"/>
      <c r="J594" s="79"/>
      <c r="N594" s="79"/>
      <c r="Q594" s="79"/>
      <c r="T594" s="130"/>
      <c r="V594" s="106"/>
    </row>
    <row r="595">
      <c r="C595" s="79"/>
      <c r="D595" s="79"/>
      <c r="J595" s="79"/>
      <c r="N595" s="79"/>
      <c r="Q595" s="79"/>
      <c r="T595" s="130"/>
      <c r="V595" s="106"/>
    </row>
    <row r="596">
      <c r="C596" s="79"/>
      <c r="D596" s="79"/>
      <c r="J596" s="79"/>
      <c r="N596" s="79"/>
      <c r="Q596" s="79"/>
      <c r="T596" s="130"/>
      <c r="V596" s="106"/>
    </row>
    <row r="597">
      <c r="C597" s="79"/>
      <c r="D597" s="79"/>
      <c r="J597" s="79"/>
      <c r="N597" s="79"/>
      <c r="Q597" s="79"/>
      <c r="T597" s="130"/>
      <c r="V597" s="106"/>
    </row>
    <row r="598">
      <c r="C598" s="79"/>
      <c r="D598" s="79"/>
      <c r="J598" s="79"/>
      <c r="N598" s="79"/>
      <c r="Q598" s="79"/>
      <c r="T598" s="130"/>
      <c r="V598" s="106"/>
    </row>
    <row r="599">
      <c r="C599" s="79"/>
      <c r="D599" s="79"/>
      <c r="J599" s="79"/>
      <c r="N599" s="79"/>
      <c r="Q599" s="79"/>
      <c r="T599" s="130"/>
      <c r="V599" s="106"/>
    </row>
    <row r="600">
      <c r="C600" s="79"/>
      <c r="D600" s="79"/>
      <c r="J600" s="79"/>
      <c r="N600" s="79"/>
      <c r="Q600" s="79"/>
      <c r="T600" s="130"/>
      <c r="V600" s="106"/>
    </row>
    <row r="601">
      <c r="C601" s="79"/>
      <c r="D601" s="79"/>
      <c r="J601" s="79"/>
      <c r="N601" s="79"/>
      <c r="Q601" s="79"/>
      <c r="T601" s="130"/>
      <c r="V601" s="106"/>
    </row>
    <row r="602">
      <c r="C602" s="79"/>
      <c r="D602" s="79"/>
      <c r="J602" s="79"/>
      <c r="N602" s="79"/>
      <c r="Q602" s="79"/>
      <c r="T602" s="130"/>
      <c r="V602" s="106"/>
    </row>
    <row r="603">
      <c r="C603" s="79"/>
      <c r="D603" s="79"/>
      <c r="J603" s="79"/>
      <c r="N603" s="79"/>
      <c r="Q603" s="79"/>
      <c r="T603" s="130"/>
      <c r="V603" s="106"/>
    </row>
    <row r="604">
      <c r="C604" s="79"/>
      <c r="D604" s="79"/>
      <c r="J604" s="79"/>
      <c r="N604" s="79"/>
      <c r="Q604" s="79"/>
      <c r="T604" s="130"/>
      <c r="V604" s="106"/>
    </row>
    <row r="605">
      <c r="C605" s="79"/>
      <c r="D605" s="79"/>
      <c r="J605" s="79"/>
      <c r="N605" s="79"/>
      <c r="Q605" s="79"/>
      <c r="T605" s="130"/>
      <c r="V605" s="106"/>
    </row>
    <row r="606">
      <c r="C606" s="79"/>
      <c r="D606" s="79"/>
      <c r="J606" s="79"/>
      <c r="N606" s="79"/>
      <c r="Q606" s="79"/>
      <c r="T606" s="130"/>
      <c r="V606" s="106"/>
    </row>
    <row r="607">
      <c r="C607" s="79"/>
      <c r="D607" s="79"/>
      <c r="J607" s="79"/>
      <c r="N607" s="79"/>
      <c r="Q607" s="79"/>
      <c r="T607" s="130"/>
      <c r="V607" s="106"/>
    </row>
    <row r="608">
      <c r="C608" s="79"/>
      <c r="D608" s="79"/>
      <c r="J608" s="79"/>
      <c r="N608" s="79"/>
      <c r="Q608" s="79"/>
      <c r="T608" s="130"/>
      <c r="V608" s="106"/>
    </row>
    <row r="609">
      <c r="C609" s="79"/>
      <c r="D609" s="79"/>
      <c r="J609" s="79"/>
      <c r="N609" s="79"/>
      <c r="Q609" s="79"/>
      <c r="T609" s="130"/>
      <c r="V609" s="106"/>
    </row>
    <row r="610">
      <c r="C610" s="79"/>
      <c r="D610" s="79"/>
      <c r="J610" s="79"/>
      <c r="N610" s="79"/>
      <c r="Q610" s="79"/>
      <c r="T610" s="130"/>
      <c r="V610" s="106"/>
    </row>
    <row r="611">
      <c r="C611" s="79"/>
      <c r="D611" s="79"/>
      <c r="J611" s="79"/>
      <c r="N611" s="79"/>
      <c r="Q611" s="79"/>
      <c r="T611" s="130"/>
      <c r="V611" s="106"/>
    </row>
    <row r="612">
      <c r="C612" s="79"/>
      <c r="D612" s="79"/>
      <c r="J612" s="79"/>
      <c r="N612" s="79"/>
      <c r="Q612" s="79"/>
      <c r="T612" s="130"/>
      <c r="V612" s="106"/>
    </row>
    <row r="613">
      <c r="C613" s="79"/>
      <c r="D613" s="79"/>
      <c r="J613" s="79"/>
      <c r="N613" s="79"/>
      <c r="Q613" s="79"/>
      <c r="T613" s="130"/>
      <c r="V613" s="106"/>
    </row>
    <row r="614">
      <c r="C614" s="79"/>
      <c r="D614" s="79"/>
      <c r="J614" s="79"/>
      <c r="N614" s="79"/>
      <c r="Q614" s="79"/>
      <c r="T614" s="130"/>
      <c r="V614" s="106"/>
    </row>
    <row r="615">
      <c r="C615" s="79"/>
      <c r="D615" s="79"/>
      <c r="J615" s="79"/>
      <c r="N615" s="79"/>
      <c r="Q615" s="79"/>
      <c r="T615" s="130"/>
      <c r="V615" s="106"/>
    </row>
    <row r="616">
      <c r="C616" s="79"/>
      <c r="D616" s="79"/>
      <c r="J616" s="79"/>
      <c r="N616" s="79"/>
      <c r="Q616" s="79"/>
      <c r="T616" s="130"/>
      <c r="V616" s="106"/>
    </row>
    <row r="617">
      <c r="C617" s="79"/>
      <c r="D617" s="79"/>
      <c r="J617" s="79"/>
      <c r="N617" s="79"/>
      <c r="Q617" s="79"/>
      <c r="T617" s="130"/>
      <c r="V617" s="106"/>
    </row>
    <row r="618">
      <c r="C618" s="79"/>
      <c r="D618" s="79"/>
      <c r="J618" s="79"/>
      <c r="N618" s="79"/>
      <c r="Q618" s="79"/>
      <c r="T618" s="130"/>
      <c r="V618" s="106"/>
    </row>
    <row r="619">
      <c r="C619" s="79"/>
      <c r="D619" s="79"/>
      <c r="J619" s="79"/>
      <c r="N619" s="79"/>
      <c r="Q619" s="79"/>
      <c r="T619" s="130"/>
      <c r="V619" s="106"/>
    </row>
    <row r="620">
      <c r="C620" s="79"/>
      <c r="D620" s="79"/>
      <c r="J620" s="79"/>
      <c r="N620" s="79"/>
      <c r="Q620" s="79"/>
      <c r="T620" s="130"/>
      <c r="V620" s="106"/>
    </row>
    <row r="621">
      <c r="C621" s="79"/>
      <c r="D621" s="79"/>
      <c r="J621" s="79"/>
      <c r="N621" s="79"/>
      <c r="Q621" s="79"/>
      <c r="T621" s="130"/>
      <c r="V621" s="106"/>
    </row>
    <row r="622">
      <c r="C622" s="79"/>
      <c r="D622" s="79"/>
      <c r="J622" s="79"/>
      <c r="N622" s="79"/>
      <c r="Q622" s="79"/>
      <c r="T622" s="130"/>
      <c r="V622" s="106"/>
    </row>
    <row r="623">
      <c r="C623" s="79"/>
      <c r="D623" s="79"/>
      <c r="J623" s="79"/>
      <c r="N623" s="79"/>
      <c r="Q623" s="79"/>
      <c r="T623" s="130"/>
      <c r="V623" s="106"/>
    </row>
    <row r="624">
      <c r="C624" s="79"/>
      <c r="D624" s="79"/>
      <c r="J624" s="79"/>
      <c r="N624" s="79"/>
      <c r="Q624" s="79"/>
      <c r="T624" s="130"/>
      <c r="V624" s="106"/>
    </row>
    <row r="625">
      <c r="C625" s="79"/>
      <c r="D625" s="79"/>
      <c r="J625" s="79"/>
      <c r="N625" s="79"/>
      <c r="Q625" s="79"/>
      <c r="T625" s="130"/>
      <c r="V625" s="106"/>
    </row>
    <row r="626">
      <c r="C626" s="79"/>
      <c r="D626" s="79"/>
      <c r="J626" s="79"/>
      <c r="N626" s="79"/>
      <c r="Q626" s="79"/>
      <c r="T626" s="130"/>
      <c r="V626" s="106"/>
    </row>
    <row r="627">
      <c r="C627" s="79"/>
      <c r="D627" s="79"/>
      <c r="J627" s="79"/>
      <c r="N627" s="79"/>
      <c r="Q627" s="79"/>
      <c r="T627" s="130"/>
      <c r="V627" s="106"/>
    </row>
    <row r="628">
      <c r="C628" s="79"/>
      <c r="D628" s="79"/>
      <c r="J628" s="79"/>
      <c r="N628" s="79"/>
      <c r="Q628" s="79"/>
      <c r="T628" s="130"/>
      <c r="V628" s="106"/>
    </row>
    <row r="629">
      <c r="C629" s="79"/>
      <c r="D629" s="79"/>
      <c r="J629" s="79"/>
      <c r="N629" s="79"/>
      <c r="Q629" s="79"/>
      <c r="T629" s="130"/>
      <c r="V629" s="106"/>
    </row>
    <row r="630">
      <c r="C630" s="79"/>
      <c r="D630" s="79"/>
      <c r="J630" s="79"/>
      <c r="N630" s="79"/>
      <c r="Q630" s="79"/>
      <c r="T630" s="130"/>
      <c r="V630" s="106"/>
    </row>
    <row r="631">
      <c r="C631" s="79"/>
      <c r="D631" s="79"/>
      <c r="J631" s="79"/>
      <c r="N631" s="79"/>
      <c r="Q631" s="79"/>
      <c r="T631" s="130"/>
      <c r="V631" s="106"/>
    </row>
    <row r="632">
      <c r="C632" s="79"/>
      <c r="D632" s="79"/>
      <c r="J632" s="79"/>
      <c r="N632" s="79"/>
      <c r="Q632" s="79"/>
      <c r="T632" s="130"/>
      <c r="V632" s="106"/>
    </row>
    <row r="633">
      <c r="C633" s="79"/>
      <c r="D633" s="79"/>
      <c r="J633" s="79"/>
      <c r="N633" s="79"/>
      <c r="Q633" s="79"/>
      <c r="T633" s="130"/>
      <c r="V633" s="106"/>
    </row>
    <row r="634">
      <c r="C634" s="79"/>
      <c r="D634" s="79"/>
      <c r="J634" s="79"/>
      <c r="N634" s="79"/>
      <c r="Q634" s="79"/>
      <c r="T634" s="130"/>
      <c r="V634" s="106"/>
    </row>
    <row r="635">
      <c r="C635" s="79"/>
      <c r="D635" s="79"/>
      <c r="J635" s="79"/>
      <c r="N635" s="79"/>
      <c r="Q635" s="79"/>
      <c r="T635" s="130"/>
      <c r="V635" s="106"/>
    </row>
    <row r="636">
      <c r="C636" s="79"/>
      <c r="D636" s="79"/>
      <c r="J636" s="79"/>
      <c r="N636" s="79"/>
      <c r="Q636" s="79"/>
      <c r="T636" s="130"/>
      <c r="V636" s="106"/>
    </row>
    <row r="637">
      <c r="C637" s="79"/>
      <c r="D637" s="79"/>
      <c r="J637" s="79"/>
      <c r="N637" s="79"/>
      <c r="Q637" s="79"/>
      <c r="T637" s="130"/>
      <c r="V637" s="106"/>
    </row>
    <row r="638">
      <c r="C638" s="79"/>
      <c r="D638" s="79"/>
      <c r="J638" s="79"/>
      <c r="N638" s="79"/>
      <c r="Q638" s="79"/>
      <c r="T638" s="130"/>
      <c r="V638" s="106"/>
    </row>
    <row r="639">
      <c r="C639" s="79"/>
      <c r="D639" s="79"/>
      <c r="J639" s="79"/>
      <c r="N639" s="79"/>
      <c r="Q639" s="79"/>
      <c r="T639" s="130"/>
      <c r="V639" s="106"/>
    </row>
    <row r="640">
      <c r="C640" s="79"/>
      <c r="D640" s="79"/>
      <c r="J640" s="79"/>
      <c r="N640" s="79"/>
      <c r="Q640" s="79"/>
      <c r="T640" s="130"/>
      <c r="V640" s="106"/>
    </row>
    <row r="641">
      <c r="C641" s="79"/>
      <c r="D641" s="79"/>
      <c r="J641" s="79"/>
      <c r="N641" s="79"/>
      <c r="Q641" s="79"/>
      <c r="T641" s="130"/>
      <c r="V641" s="106"/>
    </row>
    <row r="642">
      <c r="C642" s="79"/>
      <c r="D642" s="79"/>
      <c r="J642" s="79"/>
      <c r="N642" s="79"/>
      <c r="Q642" s="79"/>
      <c r="T642" s="130"/>
      <c r="V642" s="106"/>
    </row>
    <row r="643">
      <c r="C643" s="79"/>
      <c r="D643" s="79"/>
      <c r="J643" s="79"/>
      <c r="N643" s="79"/>
      <c r="Q643" s="79"/>
      <c r="T643" s="130"/>
      <c r="V643" s="106"/>
    </row>
    <row r="644">
      <c r="C644" s="79"/>
      <c r="D644" s="79"/>
      <c r="J644" s="79"/>
      <c r="N644" s="79"/>
      <c r="Q644" s="79"/>
      <c r="T644" s="130"/>
      <c r="V644" s="106"/>
    </row>
    <row r="645">
      <c r="C645" s="79"/>
      <c r="D645" s="79"/>
      <c r="J645" s="79"/>
      <c r="N645" s="79"/>
      <c r="Q645" s="79"/>
      <c r="T645" s="130"/>
      <c r="V645" s="106"/>
    </row>
    <row r="646">
      <c r="C646" s="79"/>
      <c r="D646" s="79"/>
      <c r="J646" s="79"/>
      <c r="N646" s="79"/>
      <c r="Q646" s="79"/>
      <c r="T646" s="130"/>
      <c r="V646" s="106"/>
    </row>
    <row r="647">
      <c r="C647" s="79"/>
      <c r="D647" s="79"/>
      <c r="J647" s="79"/>
      <c r="N647" s="79"/>
      <c r="Q647" s="79"/>
      <c r="T647" s="130"/>
      <c r="V647" s="106"/>
    </row>
    <row r="648">
      <c r="C648" s="79"/>
      <c r="D648" s="79"/>
      <c r="J648" s="79"/>
      <c r="N648" s="79"/>
      <c r="Q648" s="79"/>
      <c r="T648" s="130"/>
      <c r="V648" s="106"/>
    </row>
    <row r="649">
      <c r="C649" s="79"/>
      <c r="D649" s="79"/>
      <c r="J649" s="79"/>
      <c r="N649" s="79"/>
      <c r="Q649" s="79"/>
      <c r="T649" s="130"/>
      <c r="V649" s="106"/>
    </row>
    <row r="650">
      <c r="C650" s="79"/>
      <c r="D650" s="79"/>
      <c r="J650" s="79"/>
      <c r="N650" s="79"/>
      <c r="Q650" s="79"/>
      <c r="T650" s="130"/>
      <c r="V650" s="106"/>
    </row>
    <row r="651">
      <c r="C651" s="79"/>
      <c r="D651" s="79"/>
      <c r="J651" s="79"/>
      <c r="N651" s="79"/>
      <c r="Q651" s="79"/>
      <c r="T651" s="130"/>
      <c r="V651" s="106"/>
    </row>
    <row r="652">
      <c r="C652" s="79"/>
      <c r="D652" s="79"/>
      <c r="J652" s="79"/>
      <c r="N652" s="79"/>
      <c r="Q652" s="79"/>
      <c r="T652" s="130"/>
      <c r="V652" s="106"/>
    </row>
    <row r="653">
      <c r="C653" s="79"/>
      <c r="D653" s="79"/>
      <c r="J653" s="79"/>
      <c r="N653" s="79"/>
      <c r="Q653" s="79"/>
      <c r="T653" s="130"/>
      <c r="V653" s="106"/>
    </row>
    <row r="654">
      <c r="C654" s="79"/>
      <c r="D654" s="79"/>
      <c r="J654" s="79"/>
      <c r="N654" s="79"/>
      <c r="Q654" s="79"/>
      <c r="T654" s="130"/>
      <c r="V654" s="106"/>
    </row>
    <row r="655">
      <c r="C655" s="79"/>
      <c r="D655" s="79"/>
      <c r="J655" s="79"/>
      <c r="N655" s="79"/>
      <c r="Q655" s="79"/>
      <c r="T655" s="130"/>
      <c r="V655" s="106"/>
    </row>
    <row r="656">
      <c r="C656" s="79"/>
      <c r="D656" s="79"/>
      <c r="J656" s="79"/>
      <c r="N656" s="79"/>
      <c r="Q656" s="79"/>
      <c r="T656" s="130"/>
      <c r="V656" s="106"/>
    </row>
    <row r="657">
      <c r="C657" s="79"/>
      <c r="D657" s="79"/>
      <c r="J657" s="79"/>
      <c r="N657" s="79"/>
      <c r="Q657" s="79"/>
      <c r="T657" s="130"/>
      <c r="V657" s="106"/>
    </row>
    <row r="658">
      <c r="C658" s="79"/>
      <c r="D658" s="79"/>
      <c r="J658" s="79"/>
      <c r="N658" s="79"/>
      <c r="Q658" s="79"/>
      <c r="T658" s="130"/>
      <c r="V658" s="106"/>
    </row>
    <row r="659">
      <c r="C659" s="79"/>
      <c r="D659" s="79"/>
      <c r="J659" s="79"/>
      <c r="N659" s="79"/>
      <c r="Q659" s="79"/>
      <c r="T659" s="130"/>
      <c r="V659" s="106"/>
    </row>
    <row r="660">
      <c r="C660" s="79"/>
      <c r="D660" s="79"/>
      <c r="J660" s="79"/>
      <c r="N660" s="79"/>
      <c r="Q660" s="79"/>
      <c r="T660" s="130"/>
      <c r="V660" s="106"/>
    </row>
    <row r="661">
      <c r="C661" s="79"/>
      <c r="D661" s="79"/>
      <c r="J661" s="79"/>
      <c r="N661" s="79"/>
      <c r="Q661" s="79"/>
      <c r="T661" s="130"/>
      <c r="V661" s="106"/>
    </row>
    <row r="662">
      <c r="C662" s="79"/>
      <c r="D662" s="79"/>
      <c r="J662" s="79"/>
      <c r="N662" s="79"/>
      <c r="Q662" s="79"/>
      <c r="T662" s="130"/>
      <c r="V662" s="106"/>
    </row>
    <row r="663">
      <c r="C663" s="79"/>
      <c r="D663" s="79"/>
      <c r="J663" s="79"/>
      <c r="N663" s="79"/>
      <c r="Q663" s="79"/>
      <c r="T663" s="130"/>
      <c r="V663" s="106"/>
    </row>
    <row r="664">
      <c r="C664" s="79"/>
      <c r="D664" s="79"/>
      <c r="J664" s="79"/>
      <c r="N664" s="79"/>
      <c r="Q664" s="79"/>
      <c r="T664" s="130"/>
      <c r="V664" s="106"/>
    </row>
    <row r="665">
      <c r="C665" s="79"/>
      <c r="D665" s="79"/>
      <c r="J665" s="79"/>
      <c r="N665" s="79"/>
      <c r="Q665" s="79"/>
      <c r="T665" s="130"/>
      <c r="V665" s="106"/>
    </row>
    <row r="666">
      <c r="C666" s="79"/>
      <c r="D666" s="79"/>
      <c r="J666" s="79"/>
      <c r="N666" s="79"/>
      <c r="Q666" s="79"/>
      <c r="T666" s="130"/>
      <c r="V666" s="106"/>
    </row>
    <row r="667">
      <c r="C667" s="79"/>
      <c r="D667" s="79"/>
      <c r="J667" s="79"/>
      <c r="N667" s="79"/>
      <c r="Q667" s="79"/>
      <c r="T667" s="130"/>
      <c r="V667" s="106"/>
    </row>
    <row r="668">
      <c r="C668" s="79"/>
      <c r="D668" s="79"/>
      <c r="J668" s="79"/>
      <c r="N668" s="79"/>
      <c r="Q668" s="79"/>
      <c r="T668" s="130"/>
      <c r="V668" s="106"/>
    </row>
    <row r="669">
      <c r="C669" s="79"/>
      <c r="D669" s="79"/>
      <c r="J669" s="79"/>
      <c r="N669" s="79"/>
      <c r="Q669" s="79"/>
      <c r="T669" s="130"/>
      <c r="V669" s="106"/>
    </row>
    <row r="670">
      <c r="C670" s="79"/>
      <c r="D670" s="79"/>
      <c r="J670" s="79"/>
      <c r="N670" s="79"/>
      <c r="Q670" s="79"/>
      <c r="T670" s="130"/>
      <c r="V670" s="106"/>
    </row>
    <row r="671">
      <c r="C671" s="79"/>
      <c r="D671" s="79"/>
      <c r="J671" s="79"/>
      <c r="N671" s="79"/>
      <c r="Q671" s="79"/>
      <c r="T671" s="130"/>
      <c r="V671" s="106"/>
    </row>
    <row r="672">
      <c r="C672" s="79"/>
      <c r="D672" s="79"/>
      <c r="J672" s="79"/>
      <c r="N672" s="79"/>
      <c r="Q672" s="79"/>
      <c r="T672" s="130"/>
      <c r="V672" s="106"/>
    </row>
    <row r="673">
      <c r="C673" s="79"/>
      <c r="D673" s="79"/>
      <c r="J673" s="79"/>
      <c r="N673" s="79"/>
      <c r="Q673" s="79"/>
      <c r="T673" s="130"/>
      <c r="V673" s="106"/>
    </row>
    <row r="674">
      <c r="C674" s="79"/>
      <c r="D674" s="79"/>
      <c r="J674" s="79"/>
      <c r="N674" s="79"/>
      <c r="Q674" s="79"/>
      <c r="T674" s="130"/>
      <c r="V674" s="106"/>
    </row>
    <row r="675">
      <c r="C675" s="79"/>
      <c r="D675" s="79"/>
      <c r="J675" s="79"/>
      <c r="N675" s="79"/>
      <c r="Q675" s="79"/>
      <c r="T675" s="130"/>
      <c r="V675" s="106"/>
    </row>
    <row r="676">
      <c r="C676" s="79"/>
      <c r="D676" s="79"/>
      <c r="J676" s="79"/>
      <c r="N676" s="79"/>
      <c r="Q676" s="79"/>
      <c r="T676" s="130"/>
      <c r="V676" s="106"/>
    </row>
    <row r="677">
      <c r="C677" s="79"/>
      <c r="D677" s="79"/>
      <c r="J677" s="79"/>
      <c r="N677" s="79"/>
      <c r="Q677" s="79"/>
      <c r="T677" s="130"/>
      <c r="V677" s="106"/>
    </row>
    <row r="678">
      <c r="C678" s="79"/>
      <c r="D678" s="79"/>
      <c r="J678" s="79"/>
      <c r="N678" s="79"/>
      <c r="Q678" s="79"/>
      <c r="T678" s="130"/>
      <c r="V678" s="106"/>
    </row>
    <row r="679">
      <c r="C679" s="79"/>
      <c r="D679" s="79"/>
      <c r="J679" s="79"/>
      <c r="N679" s="79"/>
      <c r="Q679" s="79"/>
      <c r="T679" s="130"/>
      <c r="V679" s="106"/>
    </row>
    <row r="680">
      <c r="C680" s="79"/>
      <c r="D680" s="79"/>
      <c r="J680" s="79"/>
      <c r="N680" s="79"/>
      <c r="Q680" s="79"/>
      <c r="T680" s="130"/>
      <c r="V680" s="106"/>
    </row>
    <row r="681">
      <c r="C681" s="79"/>
      <c r="D681" s="79"/>
      <c r="J681" s="79"/>
      <c r="N681" s="79"/>
      <c r="Q681" s="79"/>
      <c r="T681" s="130"/>
      <c r="V681" s="106"/>
    </row>
    <row r="682">
      <c r="C682" s="79"/>
      <c r="D682" s="79"/>
      <c r="J682" s="79"/>
      <c r="N682" s="79"/>
      <c r="Q682" s="79"/>
      <c r="T682" s="130"/>
      <c r="V682" s="106"/>
    </row>
    <row r="683">
      <c r="C683" s="79"/>
      <c r="D683" s="79"/>
      <c r="J683" s="79"/>
      <c r="N683" s="79"/>
      <c r="Q683" s="79"/>
      <c r="T683" s="130"/>
      <c r="V683" s="106"/>
    </row>
    <row r="684">
      <c r="C684" s="79"/>
      <c r="D684" s="79"/>
      <c r="J684" s="79"/>
      <c r="N684" s="79"/>
      <c r="Q684" s="79"/>
      <c r="T684" s="130"/>
      <c r="V684" s="106"/>
    </row>
    <row r="685">
      <c r="C685" s="79"/>
      <c r="D685" s="79"/>
      <c r="J685" s="79"/>
      <c r="N685" s="79"/>
      <c r="Q685" s="79"/>
      <c r="T685" s="130"/>
      <c r="V685" s="106"/>
    </row>
    <row r="686">
      <c r="C686" s="79"/>
      <c r="D686" s="79"/>
      <c r="J686" s="79"/>
      <c r="N686" s="79"/>
      <c r="Q686" s="79"/>
      <c r="T686" s="130"/>
      <c r="V686" s="106"/>
    </row>
    <row r="687">
      <c r="C687" s="79"/>
      <c r="D687" s="79"/>
      <c r="J687" s="79"/>
      <c r="N687" s="79"/>
      <c r="Q687" s="79"/>
      <c r="T687" s="130"/>
      <c r="V687" s="106"/>
    </row>
    <row r="688">
      <c r="C688" s="79"/>
      <c r="D688" s="79"/>
      <c r="J688" s="79"/>
      <c r="N688" s="79"/>
      <c r="Q688" s="79"/>
      <c r="T688" s="130"/>
      <c r="V688" s="106"/>
    </row>
    <row r="689">
      <c r="C689" s="79"/>
      <c r="D689" s="79"/>
      <c r="J689" s="79"/>
      <c r="N689" s="79"/>
      <c r="Q689" s="79"/>
      <c r="T689" s="130"/>
      <c r="V689" s="106"/>
    </row>
    <row r="690">
      <c r="C690" s="79"/>
      <c r="D690" s="79"/>
      <c r="J690" s="79"/>
      <c r="N690" s="79"/>
      <c r="Q690" s="79"/>
      <c r="T690" s="130"/>
      <c r="V690" s="106"/>
    </row>
    <row r="691">
      <c r="C691" s="79"/>
      <c r="D691" s="79"/>
      <c r="J691" s="79"/>
      <c r="N691" s="79"/>
      <c r="Q691" s="79"/>
      <c r="T691" s="130"/>
      <c r="V691" s="106"/>
    </row>
    <row r="692">
      <c r="C692" s="79"/>
      <c r="D692" s="79"/>
      <c r="J692" s="79"/>
      <c r="N692" s="79"/>
      <c r="Q692" s="79"/>
      <c r="T692" s="130"/>
      <c r="V692" s="106"/>
    </row>
    <row r="693">
      <c r="C693" s="79"/>
      <c r="D693" s="79"/>
      <c r="J693" s="79"/>
      <c r="N693" s="79"/>
      <c r="Q693" s="79"/>
      <c r="T693" s="130"/>
      <c r="V693" s="106"/>
    </row>
    <row r="694">
      <c r="C694" s="79"/>
      <c r="D694" s="79"/>
      <c r="J694" s="79"/>
      <c r="N694" s="79"/>
      <c r="Q694" s="79"/>
      <c r="T694" s="130"/>
      <c r="V694" s="106"/>
    </row>
    <row r="695">
      <c r="C695" s="79"/>
      <c r="D695" s="79"/>
      <c r="J695" s="79"/>
      <c r="N695" s="79"/>
      <c r="Q695" s="79"/>
      <c r="T695" s="130"/>
      <c r="V695" s="106"/>
    </row>
    <row r="696">
      <c r="C696" s="79"/>
      <c r="D696" s="79"/>
      <c r="J696" s="79"/>
      <c r="N696" s="79"/>
      <c r="Q696" s="79"/>
      <c r="T696" s="130"/>
      <c r="V696" s="106"/>
    </row>
    <row r="697">
      <c r="C697" s="79"/>
      <c r="D697" s="79"/>
      <c r="J697" s="79"/>
      <c r="N697" s="79"/>
      <c r="Q697" s="79"/>
      <c r="T697" s="130"/>
      <c r="V697" s="106"/>
    </row>
    <row r="698">
      <c r="C698" s="79"/>
      <c r="D698" s="79"/>
      <c r="J698" s="79"/>
      <c r="N698" s="79"/>
      <c r="Q698" s="79"/>
      <c r="T698" s="130"/>
      <c r="V698" s="106"/>
    </row>
    <row r="699">
      <c r="C699" s="79"/>
      <c r="D699" s="79"/>
      <c r="J699" s="79"/>
      <c r="N699" s="79"/>
      <c r="Q699" s="79"/>
      <c r="T699" s="130"/>
      <c r="V699" s="106"/>
    </row>
    <row r="700">
      <c r="C700" s="79"/>
      <c r="D700" s="79"/>
      <c r="J700" s="79"/>
      <c r="N700" s="79"/>
      <c r="Q700" s="79"/>
      <c r="T700" s="130"/>
      <c r="V700" s="106"/>
    </row>
    <row r="701">
      <c r="C701" s="79"/>
      <c r="D701" s="79"/>
      <c r="J701" s="79"/>
      <c r="N701" s="79"/>
      <c r="Q701" s="79"/>
      <c r="T701" s="130"/>
      <c r="V701" s="106"/>
    </row>
    <row r="702">
      <c r="C702" s="79"/>
      <c r="D702" s="79"/>
      <c r="J702" s="79"/>
      <c r="N702" s="79"/>
      <c r="Q702" s="79"/>
      <c r="T702" s="130"/>
      <c r="V702" s="106"/>
    </row>
    <row r="703">
      <c r="C703" s="79"/>
      <c r="D703" s="79"/>
      <c r="J703" s="79"/>
      <c r="N703" s="79"/>
      <c r="Q703" s="79"/>
      <c r="T703" s="130"/>
      <c r="V703" s="106"/>
    </row>
    <row r="704">
      <c r="C704" s="79"/>
      <c r="D704" s="79"/>
      <c r="J704" s="79"/>
      <c r="N704" s="79"/>
      <c r="Q704" s="79"/>
      <c r="T704" s="130"/>
      <c r="V704" s="106"/>
    </row>
    <row r="705">
      <c r="C705" s="79"/>
      <c r="D705" s="79"/>
      <c r="J705" s="79"/>
      <c r="N705" s="79"/>
      <c r="Q705" s="79"/>
      <c r="T705" s="130"/>
      <c r="V705" s="106"/>
    </row>
    <row r="706">
      <c r="C706" s="79"/>
      <c r="D706" s="79"/>
      <c r="J706" s="79"/>
      <c r="N706" s="79"/>
      <c r="Q706" s="79"/>
      <c r="T706" s="130"/>
      <c r="V706" s="106"/>
    </row>
    <row r="707">
      <c r="C707" s="79"/>
      <c r="D707" s="79"/>
      <c r="J707" s="79"/>
      <c r="N707" s="79"/>
      <c r="Q707" s="79"/>
      <c r="T707" s="130"/>
      <c r="V707" s="106"/>
    </row>
    <row r="708">
      <c r="C708" s="79"/>
      <c r="D708" s="79"/>
      <c r="J708" s="79"/>
      <c r="N708" s="79"/>
      <c r="Q708" s="79"/>
      <c r="T708" s="130"/>
      <c r="V708" s="106"/>
    </row>
    <row r="709">
      <c r="C709" s="79"/>
      <c r="D709" s="79"/>
      <c r="J709" s="79"/>
      <c r="N709" s="79"/>
      <c r="Q709" s="79"/>
      <c r="T709" s="130"/>
      <c r="V709" s="106"/>
    </row>
    <row r="710">
      <c r="C710" s="79"/>
      <c r="D710" s="79"/>
      <c r="J710" s="79"/>
      <c r="N710" s="79"/>
      <c r="Q710" s="79"/>
      <c r="T710" s="130"/>
      <c r="V710" s="106"/>
    </row>
    <row r="711">
      <c r="C711" s="79"/>
      <c r="D711" s="79"/>
      <c r="J711" s="79"/>
      <c r="N711" s="79"/>
      <c r="Q711" s="79"/>
      <c r="T711" s="130"/>
      <c r="V711" s="106"/>
    </row>
    <row r="712">
      <c r="C712" s="79"/>
      <c r="D712" s="79"/>
      <c r="J712" s="79"/>
      <c r="N712" s="79"/>
      <c r="Q712" s="79"/>
      <c r="T712" s="130"/>
      <c r="V712" s="106"/>
    </row>
    <row r="713">
      <c r="C713" s="79"/>
      <c r="D713" s="79"/>
      <c r="J713" s="79"/>
      <c r="N713" s="79"/>
      <c r="Q713" s="79"/>
      <c r="T713" s="130"/>
      <c r="V713" s="106"/>
    </row>
    <row r="714">
      <c r="C714" s="79"/>
      <c r="D714" s="79"/>
      <c r="J714" s="79"/>
      <c r="N714" s="79"/>
      <c r="Q714" s="79"/>
      <c r="T714" s="130"/>
      <c r="V714" s="106"/>
    </row>
    <row r="715">
      <c r="C715" s="79"/>
      <c r="D715" s="79"/>
      <c r="J715" s="79"/>
      <c r="N715" s="79"/>
      <c r="Q715" s="79"/>
      <c r="T715" s="130"/>
      <c r="V715" s="106"/>
    </row>
    <row r="716">
      <c r="C716" s="79"/>
      <c r="D716" s="79"/>
      <c r="J716" s="79"/>
      <c r="N716" s="79"/>
      <c r="Q716" s="79"/>
      <c r="T716" s="130"/>
      <c r="V716" s="106"/>
    </row>
    <row r="717">
      <c r="C717" s="79"/>
      <c r="D717" s="79"/>
      <c r="J717" s="79"/>
      <c r="N717" s="79"/>
      <c r="Q717" s="79"/>
      <c r="T717" s="130"/>
      <c r="V717" s="106"/>
    </row>
    <row r="718">
      <c r="C718" s="79"/>
      <c r="D718" s="79"/>
      <c r="J718" s="79"/>
      <c r="N718" s="79"/>
      <c r="Q718" s="79"/>
      <c r="T718" s="130"/>
      <c r="V718" s="106"/>
    </row>
    <row r="719">
      <c r="C719" s="79"/>
      <c r="D719" s="79"/>
      <c r="J719" s="79"/>
      <c r="N719" s="79"/>
      <c r="Q719" s="79"/>
      <c r="T719" s="130"/>
      <c r="V719" s="106"/>
    </row>
    <row r="720">
      <c r="C720" s="79"/>
      <c r="D720" s="79"/>
      <c r="J720" s="79"/>
      <c r="N720" s="79"/>
      <c r="Q720" s="79"/>
      <c r="T720" s="130"/>
      <c r="V720" s="106"/>
    </row>
    <row r="721">
      <c r="C721" s="79"/>
      <c r="D721" s="79"/>
      <c r="J721" s="79"/>
      <c r="N721" s="79"/>
      <c r="Q721" s="79"/>
      <c r="T721" s="130"/>
      <c r="V721" s="106"/>
    </row>
    <row r="722">
      <c r="C722" s="79"/>
      <c r="D722" s="79"/>
      <c r="J722" s="79"/>
      <c r="N722" s="79"/>
      <c r="Q722" s="79"/>
      <c r="T722" s="130"/>
      <c r="V722" s="106"/>
    </row>
    <row r="723">
      <c r="C723" s="79"/>
      <c r="D723" s="79"/>
      <c r="J723" s="79"/>
      <c r="N723" s="79"/>
      <c r="Q723" s="79"/>
      <c r="T723" s="130"/>
      <c r="V723" s="106"/>
    </row>
    <row r="724">
      <c r="C724" s="79"/>
      <c r="D724" s="79"/>
      <c r="J724" s="79"/>
      <c r="N724" s="79"/>
      <c r="Q724" s="79"/>
      <c r="T724" s="130"/>
      <c r="V724" s="106"/>
    </row>
    <row r="725">
      <c r="C725" s="79"/>
      <c r="D725" s="79"/>
      <c r="J725" s="79"/>
      <c r="N725" s="79"/>
      <c r="Q725" s="79"/>
      <c r="T725" s="130"/>
      <c r="V725" s="106"/>
    </row>
    <row r="726">
      <c r="C726" s="79"/>
      <c r="D726" s="79"/>
      <c r="J726" s="79"/>
      <c r="N726" s="79"/>
      <c r="Q726" s="79"/>
      <c r="T726" s="130"/>
      <c r="V726" s="106"/>
    </row>
    <row r="727">
      <c r="C727" s="79"/>
      <c r="D727" s="79"/>
      <c r="J727" s="79"/>
      <c r="N727" s="79"/>
      <c r="Q727" s="79"/>
      <c r="T727" s="130"/>
      <c r="V727" s="106"/>
    </row>
    <row r="728">
      <c r="C728" s="79"/>
      <c r="D728" s="79"/>
      <c r="J728" s="79"/>
      <c r="N728" s="79"/>
      <c r="Q728" s="79"/>
      <c r="T728" s="130"/>
      <c r="V728" s="106"/>
    </row>
    <row r="729">
      <c r="C729" s="79"/>
      <c r="D729" s="79"/>
      <c r="J729" s="79"/>
      <c r="N729" s="79"/>
      <c r="Q729" s="79"/>
      <c r="T729" s="130"/>
      <c r="V729" s="106"/>
    </row>
    <row r="730">
      <c r="C730" s="79"/>
      <c r="D730" s="79"/>
      <c r="J730" s="79"/>
      <c r="N730" s="79"/>
      <c r="Q730" s="79"/>
      <c r="T730" s="130"/>
      <c r="V730" s="106"/>
    </row>
    <row r="731">
      <c r="C731" s="79"/>
      <c r="D731" s="79"/>
      <c r="J731" s="79"/>
      <c r="N731" s="79"/>
      <c r="Q731" s="79"/>
      <c r="T731" s="130"/>
      <c r="V731" s="106"/>
    </row>
    <row r="732">
      <c r="C732" s="79"/>
      <c r="D732" s="79"/>
      <c r="J732" s="79"/>
      <c r="N732" s="79"/>
      <c r="Q732" s="79"/>
      <c r="T732" s="130"/>
      <c r="V732" s="106"/>
    </row>
    <row r="733">
      <c r="C733" s="79"/>
      <c r="D733" s="79"/>
      <c r="J733" s="79"/>
      <c r="N733" s="79"/>
      <c r="Q733" s="79"/>
      <c r="T733" s="130"/>
      <c r="V733" s="106"/>
    </row>
    <row r="734">
      <c r="C734" s="79"/>
      <c r="D734" s="79"/>
      <c r="J734" s="79"/>
      <c r="N734" s="79"/>
      <c r="Q734" s="79"/>
      <c r="T734" s="130"/>
      <c r="V734" s="106"/>
    </row>
    <row r="735">
      <c r="C735" s="79"/>
      <c r="D735" s="79"/>
      <c r="J735" s="79"/>
      <c r="N735" s="79"/>
      <c r="Q735" s="79"/>
      <c r="T735" s="130"/>
      <c r="V735" s="106"/>
    </row>
    <row r="736">
      <c r="C736" s="79"/>
      <c r="D736" s="79"/>
      <c r="J736" s="79"/>
      <c r="N736" s="79"/>
      <c r="Q736" s="79"/>
      <c r="T736" s="130"/>
      <c r="V736" s="106"/>
    </row>
    <row r="737">
      <c r="C737" s="79"/>
      <c r="D737" s="79"/>
      <c r="J737" s="79"/>
      <c r="N737" s="79"/>
      <c r="Q737" s="79"/>
      <c r="T737" s="130"/>
      <c r="V737" s="106"/>
    </row>
    <row r="738">
      <c r="C738" s="79"/>
      <c r="D738" s="79"/>
      <c r="J738" s="79"/>
      <c r="N738" s="79"/>
      <c r="Q738" s="79"/>
      <c r="T738" s="130"/>
      <c r="V738" s="106"/>
    </row>
    <row r="739">
      <c r="C739" s="79"/>
      <c r="D739" s="79"/>
      <c r="J739" s="79"/>
      <c r="N739" s="79"/>
      <c r="Q739" s="79"/>
      <c r="T739" s="130"/>
      <c r="V739" s="106"/>
    </row>
    <row r="740">
      <c r="C740" s="79"/>
      <c r="D740" s="79"/>
      <c r="J740" s="79"/>
      <c r="N740" s="79"/>
      <c r="Q740" s="79"/>
      <c r="T740" s="130"/>
      <c r="V740" s="106"/>
    </row>
    <row r="741">
      <c r="C741" s="79"/>
      <c r="D741" s="79"/>
      <c r="J741" s="79"/>
      <c r="N741" s="79"/>
      <c r="Q741" s="79"/>
      <c r="T741" s="130"/>
      <c r="V741" s="106"/>
    </row>
    <row r="742">
      <c r="C742" s="79"/>
      <c r="D742" s="79"/>
      <c r="J742" s="79"/>
      <c r="N742" s="79"/>
      <c r="Q742" s="79"/>
      <c r="T742" s="130"/>
      <c r="V742" s="106"/>
    </row>
    <row r="743">
      <c r="C743" s="79"/>
      <c r="D743" s="79"/>
      <c r="J743" s="79"/>
      <c r="N743" s="79"/>
      <c r="Q743" s="79"/>
      <c r="T743" s="130"/>
      <c r="V743" s="106"/>
    </row>
    <row r="744">
      <c r="C744" s="79"/>
      <c r="D744" s="79"/>
      <c r="J744" s="79"/>
      <c r="N744" s="79"/>
      <c r="Q744" s="79"/>
      <c r="T744" s="130"/>
      <c r="V744" s="106"/>
    </row>
    <row r="745">
      <c r="C745" s="79"/>
      <c r="D745" s="79"/>
      <c r="J745" s="79"/>
      <c r="N745" s="79"/>
      <c r="Q745" s="79"/>
      <c r="T745" s="130"/>
      <c r="V745" s="106"/>
    </row>
    <row r="746">
      <c r="C746" s="79"/>
      <c r="D746" s="79"/>
      <c r="J746" s="79"/>
      <c r="N746" s="79"/>
      <c r="Q746" s="79"/>
      <c r="T746" s="130"/>
      <c r="V746" s="106"/>
    </row>
    <row r="747">
      <c r="C747" s="79"/>
      <c r="D747" s="79"/>
      <c r="J747" s="79"/>
      <c r="N747" s="79"/>
      <c r="Q747" s="79"/>
      <c r="T747" s="130"/>
      <c r="V747" s="106"/>
    </row>
    <row r="748">
      <c r="C748" s="79"/>
      <c r="D748" s="79"/>
      <c r="J748" s="79"/>
      <c r="N748" s="79"/>
      <c r="Q748" s="79"/>
      <c r="T748" s="130"/>
      <c r="V748" s="106"/>
    </row>
    <row r="749">
      <c r="C749" s="79"/>
      <c r="D749" s="79"/>
      <c r="J749" s="79"/>
      <c r="N749" s="79"/>
      <c r="Q749" s="79"/>
      <c r="T749" s="130"/>
      <c r="V749" s="106"/>
    </row>
    <row r="750">
      <c r="C750" s="79"/>
      <c r="D750" s="79"/>
      <c r="J750" s="79"/>
      <c r="N750" s="79"/>
      <c r="Q750" s="79"/>
      <c r="T750" s="130"/>
      <c r="V750" s="106"/>
    </row>
    <row r="751">
      <c r="C751" s="79"/>
      <c r="D751" s="79"/>
      <c r="J751" s="79"/>
      <c r="N751" s="79"/>
      <c r="Q751" s="79"/>
      <c r="T751" s="130"/>
      <c r="V751" s="106"/>
    </row>
    <row r="752">
      <c r="C752" s="79"/>
      <c r="D752" s="79"/>
      <c r="J752" s="79"/>
      <c r="N752" s="79"/>
      <c r="Q752" s="79"/>
      <c r="T752" s="130"/>
      <c r="V752" s="106"/>
    </row>
    <row r="753">
      <c r="C753" s="79"/>
      <c r="D753" s="79"/>
      <c r="J753" s="79"/>
      <c r="N753" s="79"/>
      <c r="Q753" s="79"/>
      <c r="T753" s="130"/>
      <c r="V753" s="106"/>
    </row>
    <row r="754">
      <c r="C754" s="79"/>
      <c r="D754" s="79"/>
      <c r="J754" s="79"/>
      <c r="N754" s="79"/>
      <c r="Q754" s="79"/>
      <c r="T754" s="130"/>
      <c r="V754" s="106"/>
    </row>
    <row r="755">
      <c r="C755" s="79"/>
      <c r="D755" s="79"/>
      <c r="J755" s="79"/>
      <c r="N755" s="79"/>
      <c r="Q755" s="79"/>
      <c r="T755" s="130"/>
      <c r="V755" s="106"/>
    </row>
    <row r="756">
      <c r="C756" s="79"/>
      <c r="D756" s="79"/>
      <c r="J756" s="79"/>
      <c r="N756" s="79"/>
      <c r="Q756" s="79"/>
      <c r="T756" s="130"/>
      <c r="V756" s="106"/>
    </row>
    <row r="757">
      <c r="C757" s="79"/>
      <c r="D757" s="79"/>
      <c r="J757" s="79"/>
      <c r="N757" s="79"/>
      <c r="Q757" s="79"/>
      <c r="T757" s="130"/>
      <c r="V757" s="106"/>
    </row>
    <row r="758">
      <c r="C758" s="79"/>
      <c r="D758" s="79"/>
      <c r="J758" s="79"/>
      <c r="N758" s="79"/>
      <c r="Q758" s="79"/>
      <c r="T758" s="130"/>
      <c r="V758" s="106"/>
    </row>
    <row r="759">
      <c r="C759" s="79"/>
      <c r="D759" s="79"/>
      <c r="J759" s="79"/>
      <c r="N759" s="79"/>
      <c r="Q759" s="79"/>
      <c r="T759" s="130"/>
      <c r="V759" s="106"/>
    </row>
    <row r="760">
      <c r="C760" s="79"/>
      <c r="D760" s="79"/>
      <c r="J760" s="79"/>
      <c r="N760" s="79"/>
      <c r="Q760" s="79"/>
      <c r="T760" s="130"/>
      <c r="V760" s="106"/>
    </row>
    <row r="761">
      <c r="C761" s="79"/>
      <c r="D761" s="79"/>
      <c r="J761" s="79"/>
      <c r="N761" s="79"/>
      <c r="Q761" s="79"/>
      <c r="T761" s="130"/>
      <c r="V761" s="106"/>
    </row>
    <row r="762">
      <c r="C762" s="79"/>
      <c r="D762" s="79"/>
      <c r="J762" s="79"/>
      <c r="N762" s="79"/>
      <c r="Q762" s="79"/>
      <c r="T762" s="130"/>
      <c r="V762" s="106"/>
    </row>
    <row r="763">
      <c r="C763" s="79"/>
      <c r="D763" s="79"/>
      <c r="J763" s="79"/>
      <c r="N763" s="79"/>
      <c r="Q763" s="79"/>
      <c r="T763" s="130"/>
      <c r="V763" s="106"/>
    </row>
    <row r="764">
      <c r="C764" s="79"/>
      <c r="D764" s="79"/>
      <c r="J764" s="79"/>
      <c r="N764" s="79"/>
      <c r="Q764" s="79"/>
      <c r="T764" s="130"/>
      <c r="V764" s="106"/>
    </row>
    <row r="765">
      <c r="C765" s="79"/>
      <c r="D765" s="79"/>
      <c r="J765" s="79"/>
      <c r="N765" s="79"/>
      <c r="Q765" s="79"/>
      <c r="T765" s="130"/>
      <c r="V765" s="106"/>
    </row>
    <row r="766">
      <c r="C766" s="79"/>
      <c r="D766" s="79"/>
      <c r="J766" s="79"/>
      <c r="N766" s="79"/>
      <c r="Q766" s="79"/>
      <c r="T766" s="130"/>
      <c r="V766" s="106"/>
    </row>
    <row r="767">
      <c r="C767" s="79"/>
      <c r="D767" s="79"/>
      <c r="J767" s="79"/>
      <c r="N767" s="79"/>
      <c r="Q767" s="79"/>
      <c r="T767" s="130"/>
      <c r="V767" s="106"/>
    </row>
    <row r="768">
      <c r="C768" s="79"/>
      <c r="D768" s="79"/>
      <c r="J768" s="79"/>
      <c r="N768" s="79"/>
      <c r="Q768" s="79"/>
      <c r="T768" s="130"/>
      <c r="V768" s="106"/>
    </row>
    <row r="769">
      <c r="C769" s="79"/>
      <c r="D769" s="79"/>
      <c r="J769" s="79"/>
      <c r="N769" s="79"/>
      <c r="Q769" s="79"/>
      <c r="T769" s="130"/>
      <c r="V769" s="106"/>
    </row>
    <row r="770">
      <c r="C770" s="79"/>
      <c r="D770" s="79"/>
      <c r="J770" s="79"/>
      <c r="N770" s="79"/>
      <c r="Q770" s="79"/>
      <c r="T770" s="130"/>
      <c r="V770" s="106"/>
    </row>
    <row r="771">
      <c r="C771" s="79"/>
      <c r="D771" s="79"/>
      <c r="J771" s="79"/>
      <c r="N771" s="79"/>
      <c r="Q771" s="79"/>
      <c r="T771" s="130"/>
      <c r="V771" s="106"/>
    </row>
    <row r="772">
      <c r="C772" s="79"/>
      <c r="D772" s="79"/>
      <c r="J772" s="79"/>
      <c r="N772" s="79"/>
      <c r="Q772" s="79"/>
      <c r="T772" s="130"/>
      <c r="V772" s="106"/>
    </row>
    <row r="773">
      <c r="C773" s="79"/>
      <c r="D773" s="79"/>
      <c r="J773" s="79"/>
      <c r="N773" s="79"/>
      <c r="Q773" s="79"/>
      <c r="T773" s="130"/>
      <c r="V773" s="106"/>
    </row>
    <row r="774">
      <c r="C774" s="79"/>
      <c r="D774" s="79"/>
      <c r="J774" s="79"/>
      <c r="N774" s="79"/>
      <c r="Q774" s="79"/>
      <c r="T774" s="130"/>
      <c r="V774" s="106"/>
    </row>
    <row r="775">
      <c r="C775" s="79"/>
      <c r="D775" s="79"/>
      <c r="J775" s="79"/>
      <c r="N775" s="79"/>
      <c r="Q775" s="79"/>
      <c r="T775" s="130"/>
      <c r="V775" s="106"/>
    </row>
    <row r="776">
      <c r="C776" s="79"/>
      <c r="D776" s="79"/>
      <c r="J776" s="79"/>
      <c r="N776" s="79"/>
      <c r="Q776" s="79"/>
      <c r="T776" s="130"/>
      <c r="V776" s="106"/>
    </row>
    <row r="777">
      <c r="C777" s="79"/>
      <c r="D777" s="79"/>
      <c r="J777" s="79"/>
      <c r="N777" s="79"/>
      <c r="Q777" s="79"/>
      <c r="T777" s="130"/>
      <c r="V777" s="106"/>
    </row>
    <row r="778">
      <c r="C778" s="79"/>
      <c r="D778" s="79"/>
      <c r="J778" s="79"/>
      <c r="N778" s="79"/>
      <c r="Q778" s="79"/>
      <c r="T778" s="130"/>
      <c r="V778" s="106"/>
    </row>
    <row r="779">
      <c r="C779" s="79"/>
      <c r="D779" s="79"/>
      <c r="J779" s="79"/>
      <c r="N779" s="79"/>
      <c r="Q779" s="79"/>
      <c r="T779" s="130"/>
      <c r="V779" s="106"/>
    </row>
    <row r="780">
      <c r="C780" s="79"/>
      <c r="D780" s="79"/>
      <c r="J780" s="79"/>
      <c r="N780" s="79"/>
      <c r="Q780" s="79"/>
      <c r="T780" s="130"/>
      <c r="V780" s="106"/>
    </row>
    <row r="781">
      <c r="C781" s="79"/>
      <c r="D781" s="79"/>
      <c r="J781" s="79"/>
      <c r="N781" s="79"/>
      <c r="Q781" s="79"/>
      <c r="T781" s="130"/>
      <c r="V781" s="106"/>
    </row>
    <row r="782">
      <c r="C782" s="79"/>
      <c r="D782" s="79"/>
      <c r="J782" s="79"/>
      <c r="N782" s="79"/>
      <c r="Q782" s="79"/>
      <c r="T782" s="130"/>
      <c r="V782" s="106"/>
    </row>
    <row r="783">
      <c r="C783" s="79"/>
      <c r="D783" s="79"/>
      <c r="J783" s="79"/>
      <c r="N783" s="79"/>
      <c r="Q783" s="79"/>
      <c r="T783" s="130"/>
      <c r="V783" s="106"/>
    </row>
    <row r="784">
      <c r="C784" s="79"/>
      <c r="D784" s="79"/>
      <c r="J784" s="79"/>
      <c r="N784" s="79"/>
      <c r="Q784" s="79"/>
      <c r="T784" s="130"/>
      <c r="V784" s="106"/>
    </row>
    <row r="785">
      <c r="C785" s="79"/>
      <c r="D785" s="79"/>
      <c r="J785" s="79"/>
      <c r="N785" s="79"/>
      <c r="Q785" s="79"/>
      <c r="T785" s="130"/>
      <c r="V785" s="106"/>
    </row>
    <row r="786">
      <c r="C786" s="79"/>
      <c r="D786" s="79"/>
      <c r="J786" s="79"/>
      <c r="N786" s="79"/>
      <c r="Q786" s="79"/>
      <c r="T786" s="130"/>
      <c r="V786" s="106"/>
    </row>
    <row r="787">
      <c r="C787" s="79"/>
      <c r="D787" s="79"/>
      <c r="J787" s="79"/>
      <c r="N787" s="79"/>
      <c r="Q787" s="79"/>
      <c r="T787" s="130"/>
      <c r="V787" s="106"/>
    </row>
    <row r="788">
      <c r="C788" s="79"/>
      <c r="D788" s="79"/>
      <c r="J788" s="79"/>
      <c r="N788" s="79"/>
      <c r="Q788" s="79"/>
      <c r="T788" s="130"/>
      <c r="V788" s="106"/>
    </row>
    <row r="789">
      <c r="C789" s="79"/>
      <c r="D789" s="79"/>
      <c r="J789" s="79"/>
      <c r="N789" s="79"/>
      <c r="Q789" s="79"/>
      <c r="T789" s="130"/>
      <c r="V789" s="106"/>
    </row>
    <row r="790">
      <c r="C790" s="79"/>
      <c r="D790" s="79"/>
      <c r="J790" s="79"/>
      <c r="N790" s="79"/>
      <c r="Q790" s="79"/>
      <c r="T790" s="130"/>
      <c r="V790" s="106"/>
    </row>
    <row r="791">
      <c r="C791" s="79"/>
      <c r="D791" s="79"/>
      <c r="J791" s="79"/>
      <c r="N791" s="79"/>
      <c r="Q791" s="79"/>
      <c r="T791" s="130"/>
      <c r="V791" s="106"/>
    </row>
    <row r="792">
      <c r="C792" s="79"/>
      <c r="D792" s="79"/>
      <c r="J792" s="79"/>
      <c r="N792" s="79"/>
      <c r="Q792" s="79"/>
      <c r="T792" s="130"/>
      <c r="V792" s="106"/>
    </row>
    <row r="793">
      <c r="C793" s="79"/>
      <c r="D793" s="79"/>
      <c r="J793" s="79"/>
      <c r="N793" s="79"/>
      <c r="Q793" s="79"/>
      <c r="T793" s="130"/>
      <c r="V793" s="106"/>
    </row>
    <row r="794">
      <c r="C794" s="79"/>
      <c r="D794" s="79"/>
      <c r="J794" s="79"/>
      <c r="N794" s="79"/>
      <c r="Q794" s="79"/>
      <c r="T794" s="130"/>
      <c r="V794" s="106"/>
    </row>
    <row r="795">
      <c r="C795" s="79"/>
      <c r="D795" s="79"/>
      <c r="J795" s="79"/>
      <c r="N795" s="79"/>
      <c r="Q795" s="79"/>
      <c r="T795" s="130"/>
      <c r="V795" s="106"/>
    </row>
    <row r="796">
      <c r="C796" s="79"/>
      <c r="D796" s="79"/>
      <c r="J796" s="79"/>
      <c r="N796" s="79"/>
      <c r="Q796" s="79"/>
      <c r="T796" s="130"/>
      <c r="V796" s="106"/>
    </row>
    <row r="797">
      <c r="C797" s="79"/>
      <c r="D797" s="79"/>
      <c r="J797" s="79"/>
      <c r="N797" s="79"/>
      <c r="Q797" s="79"/>
      <c r="T797" s="130"/>
      <c r="V797" s="106"/>
    </row>
    <row r="798">
      <c r="C798" s="79"/>
      <c r="D798" s="79"/>
      <c r="J798" s="79"/>
      <c r="N798" s="79"/>
      <c r="Q798" s="79"/>
      <c r="T798" s="130"/>
      <c r="V798" s="106"/>
    </row>
    <row r="799">
      <c r="C799" s="79"/>
      <c r="D799" s="79"/>
      <c r="J799" s="79"/>
      <c r="N799" s="79"/>
      <c r="Q799" s="79"/>
      <c r="T799" s="130"/>
      <c r="V799" s="106"/>
    </row>
    <row r="800">
      <c r="C800" s="79"/>
      <c r="D800" s="79"/>
      <c r="J800" s="79"/>
      <c r="N800" s="79"/>
      <c r="Q800" s="79"/>
      <c r="T800" s="130"/>
      <c r="V800" s="106"/>
    </row>
    <row r="801">
      <c r="C801" s="79"/>
      <c r="D801" s="79"/>
      <c r="J801" s="79"/>
      <c r="N801" s="79"/>
      <c r="Q801" s="79"/>
      <c r="T801" s="130"/>
      <c r="V801" s="106"/>
    </row>
    <row r="802">
      <c r="C802" s="79"/>
      <c r="D802" s="79"/>
      <c r="J802" s="79"/>
      <c r="N802" s="79"/>
      <c r="Q802" s="79"/>
      <c r="T802" s="130"/>
      <c r="V802" s="106"/>
    </row>
    <row r="803">
      <c r="C803" s="79"/>
      <c r="D803" s="79"/>
      <c r="J803" s="79"/>
      <c r="N803" s="79"/>
      <c r="Q803" s="79"/>
      <c r="T803" s="130"/>
      <c r="V803" s="106"/>
    </row>
    <row r="804">
      <c r="C804" s="79"/>
      <c r="D804" s="79"/>
      <c r="J804" s="79"/>
      <c r="N804" s="79"/>
      <c r="Q804" s="79"/>
      <c r="T804" s="130"/>
      <c r="V804" s="106"/>
    </row>
    <row r="805">
      <c r="C805" s="79"/>
      <c r="D805" s="79"/>
      <c r="J805" s="79"/>
      <c r="N805" s="79"/>
      <c r="Q805" s="79"/>
      <c r="T805" s="130"/>
      <c r="V805" s="106"/>
    </row>
    <row r="806">
      <c r="C806" s="79"/>
      <c r="D806" s="79"/>
      <c r="J806" s="79"/>
      <c r="N806" s="79"/>
      <c r="Q806" s="79"/>
      <c r="T806" s="130"/>
      <c r="V806" s="106"/>
    </row>
    <row r="807">
      <c r="C807" s="79"/>
      <c r="D807" s="79"/>
      <c r="J807" s="79"/>
      <c r="N807" s="79"/>
      <c r="Q807" s="79"/>
      <c r="T807" s="130"/>
      <c r="V807" s="106"/>
    </row>
    <row r="808">
      <c r="C808" s="79"/>
      <c r="D808" s="79"/>
      <c r="J808" s="79"/>
      <c r="N808" s="79"/>
      <c r="Q808" s="79"/>
      <c r="T808" s="130"/>
      <c r="V808" s="106"/>
    </row>
    <row r="809">
      <c r="C809" s="79"/>
      <c r="D809" s="79"/>
      <c r="J809" s="79"/>
      <c r="N809" s="79"/>
      <c r="Q809" s="79"/>
      <c r="T809" s="130"/>
      <c r="V809" s="106"/>
    </row>
    <row r="810">
      <c r="C810" s="79"/>
      <c r="D810" s="79"/>
      <c r="J810" s="79"/>
      <c r="N810" s="79"/>
      <c r="Q810" s="79"/>
      <c r="T810" s="130"/>
      <c r="V810" s="106"/>
    </row>
    <row r="811">
      <c r="C811" s="79"/>
      <c r="D811" s="79"/>
      <c r="J811" s="79"/>
      <c r="N811" s="79"/>
      <c r="Q811" s="79"/>
      <c r="T811" s="130"/>
      <c r="V811" s="106"/>
    </row>
    <row r="812">
      <c r="C812" s="79"/>
      <c r="D812" s="79"/>
      <c r="J812" s="79"/>
      <c r="N812" s="79"/>
      <c r="Q812" s="79"/>
      <c r="T812" s="130"/>
      <c r="V812" s="106"/>
    </row>
    <row r="813">
      <c r="C813" s="79"/>
      <c r="D813" s="79"/>
      <c r="J813" s="79"/>
      <c r="N813" s="79"/>
      <c r="Q813" s="79"/>
      <c r="T813" s="130"/>
      <c r="V813" s="106"/>
    </row>
    <row r="814">
      <c r="C814" s="79"/>
      <c r="D814" s="79"/>
      <c r="J814" s="79"/>
      <c r="N814" s="79"/>
      <c r="Q814" s="79"/>
      <c r="T814" s="130"/>
      <c r="V814" s="106"/>
    </row>
    <row r="815">
      <c r="C815" s="79"/>
      <c r="D815" s="79"/>
      <c r="J815" s="79"/>
      <c r="N815" s="79"/>
      <c r="Q815" s="79"/>
      <c r="T815" s="130"/>
      <c r="V815" s="106"/>
    </row>
    <row r="816">
      <c r="C816" s="79"/>
      <c r="D816" s="79"/>
      <c r="J816" s="79"/>
      <c r="N816" s="79"/>
      <c r="Q816" s="79"/>
      <c r="T816" s="130"/>
      <c r="V816" s="106"/>
    </row>
    <row r="817">
      <c r="C817" s="79"/>
      <c r="D817" s="79"/>
      <c r="J817" s="79"/>
      <c r="N817" s="79"/>
      <c r="Q817" s="79"/>
      <c r="T817" s="130"/>
      <c r="V817" s="106"/>
    </row>
    <row r="818">
      <c r="C818" s="79"/>
      <c r="D818" s="79"/>
      <c r="J818" s="79"/>
      <c r="N818" s="79"/>
      <c r="Q818" s="79"/>
      <c r="T818" s="130"/>
      <c r="V818" s="106"/>
    </row>
    <row r="819">
      <c r="C819" s="79"/>
      <c r="D819" s="79"/>
      <c r="J819" s="79"/>
      <c r="N819" s="79"/>
      <c r="Q819" s="79"/>
      <c r="T819" s="130"/>
      <c r="V819" s="106"/>
    </row>
    <row r="820">
      <c r="C820" s="79"/>
      <c r="D820" s="79"/>
      <c r="J820" s="79"/>
      <c r="N820" s="79"/>
      <c r="Q820" s="79"/>
      <c r="T820" s="130"/>
      <c r="V820" s="106"/>
    </row>
    <row r="821">
      <c r="C821" s="79"/>
      <c r="D821" s="79"/>
      <c r="J821" s="79"/>
      <c r="N821" s="79"/>
      <c r="Q821" s="79"/>
      <c r="T821" s="130"/>
      <c r="V821" s="106"/>
    </row>
    <row r="822">
      <c r="C822" s="79"/>
      <c r="D822" s="79"/>
      <c r="J822" s="79"/>
      <c r="N822" s="79"/>
      <c r="Q822" s="79"/>
      <c r="T822" s="130"/>
      <c r="V822" s="106"/>
    </row>
    <row r="823">
      <c r="C823" s="79"/>
      <c r="D823" s="79"/>
      <c r="J823" s="79"/>
      <c r="N823" s="79"/>
      <c r="Q823" s="79"/>
      <c r="T823" s="130"/>
      <c r="V823" s="106"/>
    </row>
    <row r="824">
      <c r="C824" s="79"/>
      <c r="D824" s="79"/>
      <c r="J824" s="79"/>
      <c r="N824" s="79"/>
      <c r="Q824" s="79"/>
      <c r="T824" s="130"/>
      <c r="V824" s="106"/>
    </row>
    <row r="825">
      <c r="C825" s="79"/>
      <c r="D825" s="79"/>
      <c r="J825" s="79"/>
      <c r="N825" s="79"/>
      <c r="Q825" s="79"/>
      <c r="T825" s="130"/>
      <c r="V825" s="106"/>
    </row>
    <row r="826">
      <c r="C826" s="79"/>
      <c r="D826" s="79"/>
      <c r="J826" s="79"/>
      <c r="N826" s="79"/>
      <c r="Q826" s="79"/>
      <c r="T826" s="130"/>
      <c r="V826" s="106"/>
    </row>
    <row r="827">
      <c r="C827" s="79"/>
      <c r="D827" s="79"/>
      <c r="J827" s="79"/>
      <c r="N827" s="79"/>
      <c r="Q827" s="79"/>
      <c r="T827" s="130"/>
      <c r="V827" s="106"/>
    </row>
    <row r="828">
      <c r="C828" s="79"/>
      <c r="D828" s="79"/>
      <c r="J828" s="79"/>
      <c r="N828" s="79"/>
      <c r="Q828" s="79"/>
      <c r="T828" s="130"/>
      <c r="V828" s="106"/>
    </row>
    <row r="829">
      <c r="C829" s="79"/>
      <c r="D829" s="79"/>
      <c r="J829" s="79"/>
      <c r="N829" s="79"/>
      <c r="Q829" s="79"/>
      <c r="T829" s="130"/>
      <c r="V829" s="106"/>
    </row>
    <row r="830">
      <c r="C830" s="79"/>
      <c r="D830" s="79"/>
      <c r="J830" s="79"/>
      <c r="N830" s="79"/>
      <c r="Q830" s="79"/>
      <c r="T830" s="130"/>
      <c r="V830" s="106"/>
    </row>
    <row r="831">
      <c r="C831" s="79"/>
      <c r="D831" s="79"/>
      <c r="J831" s="79"/>
      <c r="N831" s="79"/>
      <c r="Q831" s="79"/>
      <c r="T831" s="130"/>
      <c r="V831" s="106"/>
    </row>
    <row r="832">
      <c r="C832" s="79"/>
      <c r="D832" s="79"/>
      <c r="J832" s="79"/>
      <c r="N832" s="79"/>
      <c r="Q832" s="79"/>
      <c r="T832" s="130"/>
      <c r="V832" s="106"/>
    </row>
    <row r="833">
      <c r="C833" s="79"/>
      <c r="D833" s="79"/>
      <c r="J833" s="79"/>
      <c r="N833" s="79"/>
      <c r="Q833" s="79"/>
      <c r="T833" s="130"/>
      <c r="V833" s="106"/>
    </row>
    <row r="834">
      <c r="C834" s="79"/>
      <c r="D834" s="79"/>
      <c r="J834" s="79"/>
      <c r="N834" s="79"/>
      <c r="Q834" s="79"/>
      <c r="T834" s="130"/>
      <c r="V834" s="106"/>
    </row>
    <row r="835">
      <c r="C835" s="79"/>
      <c r="D835" s="79"/>
      <c r="J835" s="79"/>
      <c r="N835" s="79"/>
      <c r="Q835" s="79"/>
      <c r="T835" s="130"/>
      <c r="V835" s="106"/>
    </row>
    <row r="836">
      <c r="C836" s="79"/>
      <c r="D836" s="79"/>
      <c r="J836" s="79"/>
      <c r="N836" s="79"/>
      <c r="Q836" s="79"/>
      <c r="T836" s="130"/>
      <c r="V836" s="106"/>
    </row>
    <row r="837">
      <c r="C837" s="79"/>
      <c r="D837" s="79"/>
      <c r="J837" s="79"/>
      <c r="N837" s="79"/>
      <c r="Q837" s="79"/>
      <c r="T837" s="130"/>
      <c r="V837" s="106"/>
    </row>
    <row r="838">
      <c r="C838" s="79"/>
      <c r="D838" s="79"/>
      <c r="J838" s="79"/>
      <c r="N838" s="79"/>
      <c r="Q838" s="79"/>
      <c r="T838" s="130"/>
      <c r="V838" s="106"/>
    </row>
    <row r="839">
      <c r="C839" s="79"/>
      <c r="D839" s="79"/>
      <c r="J839" s="79"/>
      <c r="N839" s="79"/>
      <c r="Q839" s="79"/>
      <c r="T839" s="130"/>
      <c r="V839" s="106"/>
    </row>
    <row r="840">
      <c r="C840" s="79"/>
      <c r="D840" s="79"/>
      <c r="J840" s="79"/>
      <c r="N840" s="79"/>
      <c r="Q840" s="79"/>
      <c r="T840" s="130"/>
      <c r="V840" s="106"/>
    </row>
    <row r="841">
      <c r="C841" s="79"/>
      <c r="D841" s="79"/>
      <c r="J841" s="79"/>
      <c r="N841" s="79"/>
      <c r="Q841" s="79"/>
      <c r="T841" s="130"/>
      <c r="V841" s="106"/>
    </row>
    <row r="842">
      <c r="C842" s="79"/>
      <c r="D842" s="79"/>
      <c r="J842" s="79"/>
      <c r="N842" s="79"/>
      <c r="Q842" s="79"/>
      <c r="T842" s="130"/>
      <c r="V842" s="106"/>
    </row>
    <row r="843">
      <c r="C843" s="79"/>
      <c r="D843" s="79"/>
      <c r="J843" s="79"/>
      <c r="N843" s="79"/>
      <c r="Q843" s="79"/>
      <c r="T843" s="130"/>
      <c r="V843" s="106"/>
    </row>
    <row r="844">
      <c r="C844" s="79"/>
      <c r="D844" s="79"/>
      <c r="J844" s="79"/>
      <c r="N844" s="79"/>
      <c r="Q844" s="79"/>
      <c r="T844" s="130"/>
      <c r="V844" s="106"/>
    </row>
    <row r="845">
      <c r="C845" s="79"/>
      <c r="D845" s="79"/>
      <c r="J845" s="79"/>
      <c r="N845" s="79"/>
      <c r="Q845" s="79"/>
      <c r="T845" s="130"/>
      <c r="V845" s="106"/>
    </row>
    <row r="846">
      <c r="C846" s="79"/>
      <c r="D846" s="79"/>
      <c r="J846" s="79"/>
      <c r="N846" s="79"/>
      <c r="Q846" s="79"/>
      <c r="T846" s="130"/>
      <c r="V846" s="106"/>
    </row>
    <row r="847">
      <c r="C847" s="79"/>
      <c r="D847" s="79"/>
      <c r="J847" s="79"/>
      <c r="N847" s="79"/>
      <c r="Q847" s="79"/>
      <c r="T847" s="130"/>
      <c r="V847" s="106"/>
    </row>
    <row r="848">
      <c r="C848" s="79"/>
      <c r="D848" s="79"/>
      <c r="J848" s="79"/>
      <c r="N848" s="79"/>
      <c r="Q848" s="79"/>
      <c r="T848" s="130"/>
      <c r="V848" s="106"/>
    </row>
    <row r="849">
      <c r="C849" s="79"/>
      <c r="D849" s="79"/>
      <c r="J849" s="79"/>
      <c r="N849" s="79"/>
      <c r="Q849" s="79"/>
      <c r="T849" s="130"/>
      <c r="V849" s="106"/>
    </row>
    <row r="850">
      <c r="C850" s="79"/>
      <c r="D850" s="79"/>
      <c r="J850" s="79"/>
      <c r="N850" s="79"/>
      <c r="Q850" s="79"/>
      <c r="T850" s="130"/>
      <c r="V850" s="106"/>
    </row>
    <row r="851">
      <c r="C851" s="79"/>
      <c r="D851" s="79"/>
      <c r="J851" s="79"/>
      <c r="N851" s="79"/>
      <c r="Q851" s="79"/>
      <c r="T851" s="130"/>
      <c r="V851" s="106"/>
    </row>
    <row r="852">
      <c r="C852" s="79"/>
      <c r="D852" s="79"/>
      <c r="J852" s="79"/>
      <c r="N852" s="79"/>
      <c r="Q852" s="79"/>
      <c r="T852" s="130"/>
      <c r="V852" s="106"/>
    </row>
    <row r="853">
      <c r="C853" s="79"/>
      <c r="D853" s="79"/>
      <c r="J853" s="79"/>
      <c r="N853" s="79"/>
      <c r="Q853" s="79"/>
      <c r="T853" s="130"/>
      <c r="V853" s="106"/>
    </row>
    <row r="854">
      <c r="C854" s="79"/>
      <c r="D854" s="79"/>
      <c r="J854" s="79"/>
      <c r="N854" s="79"/>
      <c r="Q854" s="79"/>
      <c r="T854" s="130"/>
      <c r="V854" s="106"/>
    </row>
    <row r="855">
      <c r="C855" s="79"/>
      <c r="D855" s="79"/>
      <c r="J855" s="79"/>
      <c r="N855" s="79"/>
      <c r="Q855" s="79"/>
      <c r="T855" s="130"/>
      <c r="V855" s="106"/>
    </row>
    <row r="856">
      <c r="C856" s="79"/>
      <c r="D856" s="79"/>
      <c r="J856" s="79"/>
      <c r="N856" s="79"/>
      <c r="Q856" s="79"/>
      <c r="T856" s="130"/>
      <c r="V856" s="106"/>
    </row>
    <row r="857">
      <c r="C857" s="79"/>
      <c r="D857" s="79"/>
      <c r="J857" s="79"/>
      <c r="N857" s="79"/>
      <c r="Q857" s="79"/>
      <c r="T857" s="130"/>
      <c r="V857" s="106"/>
    </row>
    <row r="858">
      <c r="C858" s="79"/>
      <c r="D858" s="79"/>
      <c r="J858" s="79"/>
      <c r="N858" s="79"/>
      <c r="Q858" s="79"/>
      <c r="T858" s="130"/>
      <c r="V858" s="106"/>
    </row>
    <row r="859">
      <c r="C859" s="79"/>
      <c r="D859" s="79"/>
      <c r="J859" s="79"/>
      <c r="N859" s="79"/>
      <c r="Q859" s="79"/>
      <c r="T859" s="130"/>
      <c r="V859" s="106"/>
    </row>
    <row r="860">
      <c r="C860" s="79"/>
      <c r="D860" s="79"/>
      <c r="J860" s="79"/>
      <c r="N860" s="79"/>
      <c r="Q860" s="79"/>
      <c r="T860" s="130"/>
      <c r="V860" s="106"/>
    </row>
    <row r="861">
      <c r="C861" s="79"/>
      <c r="D861" s="79"/>
      <c r="J861" s="79"/>
      <c r="N861" s="79"/>
      <c r="Q861" s="79"/>
      <c r="T861" s="130"/>
      <c r="V861" s="106"/>
    </row>
    <row r="862">
      <c r="C862" s="79"/>
      <c r="D862" s="79"/>
      <c r="J862" s="79"/>
      <c r="N862" s="79"/>
      <c r="Q862" s="79"/>
      <c r="T862" s="130"/>
      <c r="V862" s="106"/>
    </row>
    <row r="863">
      <c r="C863" s="79"/>
      <c r="D863" s="79"/>
      <c r="J863" s="79"/>
      <c r="N863" s="79"/>
      <c r="Q863" s="79"/>
      <c r="T863" s="130"/>
      <c r="V863" s="106"/>
    </row>
    <row r="864">
      <c r="C864" s="79"/>
      <c r="D864" s="79"/>
      <c r="J864" s="79"/>
      <c r="N864" s="79"/>
      <c r="Q864" s="79"/>
      <c r="T864" s="130"/>
      <c r="V864" s="106"/>
    </row>
    <row r="865">
      <c r="C865" s="79"/>
      <c r="D865" s="79"/>
      <c r="J865" s="79"/>
      <c r="N865" s="79"/>
      <c r="Q865" s="79"/>
      <c r="T865" s="130"/>
      <c r="V865" s="106"/>
    </row>
    <row r="866">
      <c r="C866" s="79"/>
      <c r="D866" s="79"/>
      <c r="J866" s="79"/>
      <c r="N866" s="79"/>
      <c r="Q866" s="79"/>
      <c r="T866" s="130"/>
      <c r="V866" s="106"/>
    </row>
    <row r="867">
      <c r="C867" s="79"/>
      <c r="D867" s="79"/>
      <c r="J867" s="79"/>
      <c r="N867" s="79"/>
      <c r="Q867" s="79"/>
      <c r="T867" s="130"/>
      <c r="V867" s="106"/>
    </row>
    <row r="868">
      <c r="C868" s="79"/>
      <c r="D868" s="79"/>
      <c r="J868" s="79"/>
      <c r="N868" s="79"/>
      <c r="Q868" s="79"/>
      <c r="T868" s="130"/>
      <c r="V868" s="106"/>
    </row>
    <row r="869">
      <c r="C869" s="79"/>
      <c r="D869" s="79"/>
      <c r="J869" s="79"/>
      <c r="N869" s="79"/>
      <c r="Q869" s="79"/>
      <c r="T869" s="130"/>
      <c r="V869" s="106"/>
    </row>
    <row r="870">
      <c r="C870" s="79"/>
      <c r="D870" s="79"/>
      <c r="J870" s="79"/>
      <c r="N870" s="79"/>
      <c r="Q870" s="79"/>
      <c r="T870" s="130"/>
      <c r="V870" s="106"/>
    </row>
    <row r="871">
      <c r="C871" s="79"/>
      <c r="D871" s="79"/>
      <c r="J871" s="79"/>
      <c r="N871" s="79"/>
      <c r="Q871" s="79"/>
      <c r="T871" s="130"/>
      <c r="V871" s="106"/>
    </row>
    <row r="872">
      <c r="C872" s="79"/>
      <c r="D872" s="79"/>
      <c r="J872" s="79"/>
      <c r="N872" s="79"/>
      <c r="Q872" s="79"/>
      <c r="T872" s="130"/>
      <c r="V872" s="106"/>
    </row>
    <row r="873">
      <c r="C873" s="79"/>
      <c r="D873" s="79"/>
      <c r="J873" s="79"/>
      <c r="N873" s="79"/>
      <c r="Q873" s="79"/>
      <c r="T873" s="130"/>
      <c r="V873" s="106"/>
    </row>
    <row r="874">
      <c r="C874" s="79"/>
      <c r="D874" s="79"/>
      <c r="J874" s="79"/>
      <c r="N874" s="79"/>
      <c r="Q874" s="79"/>
      <c r="T874" s="130"/>
      <c r="V874" s="106"/>
    </row>
    <row r="875">
      <c r="C875" s="79"/>
      <c r="D875" s="79"/>
      <c r="J875" s="79"/>
      <c r="N875" s="79"/>
      <c r="Q875" s="79"/>
      <c r="T875" s="130"/>
      <c r="V875" s="106"/>
    </row>
    <row r="876">
      <c r="C876" s="79"/>
      <c r="D876" s="79"/>
      <c r="J876" s="79"/>
      <c r="N876" s="79"/>
      <c r="Q876" s="79"/>
      <c r="T876" s="130"/>
      <c r="V876" s="106"/>
    </row>
    <row r="877">
      <c r="C877" s="79"/>
      <c r="D877" s="79"/>
      <c r="J877" s="79"/>
      <c r="N877" s="79"/>
      <c r="Q877" s="79"/>
      <c r="T877" s="130"/>
      <c r="V877" s="106"/>
    </row>
    <row r="878">
      <c r="C878" s="79"/>
      <c r="D878" s="79"/>
      <c r="J878" s="79"/>
      <c r="N878" s="79"/>
      <c r="Q878" s="79"/>
      <c r="T878" s="130"/>
      <c r="V878" s="106"/>
    </row>
    <row r="879">
      <c r="C879" s="79"/>
      <c r="D879" s="79"/>
      <c r="J879" s="79"/>
      <c r="N879" s="79"/>
      <c r="Q879" s="79"/>
      <c r="T879" s="130"/>
      <c r="V879" s="106"/>
    </row>
    <row r="880">
      <c r="C880" s="79"/>
      <c r="D880" s="79"/>
      <c r="J880" s="79"/>
      <c r="N880" s="79"/>
      <c r="Q880" s="79"/>
      <c r="T880" s="130"/>
      <c r="V880" s="106"/>
    </row>
    <row r="881">
      <c r="C881" s="79"/>
      <c r="D881" s="79"/>
      <c r="J881" s="79"/>
      <c r="N881" s="79"/>
      <c r="Q881" s="79"/>
      <c r="T881" s="130"/>
      <c r="V881" s="106"/>
    </row>
    <row r="882">
      <c r="C882" s="79"/>
      <c r="D882" s="79"/>
      <c r="J882" s="79"/>
      <c r="N882" s="79"/>
      <c r="Q882" s="79"/>
      <c r="T882" s="130"/>
      <c r="V882" s="106"/>
    </row>
    <row r="883">
      <c r="C883" s="79"/>
      <c r="D883" s="79"/>
      <c r="J883" s="79"/>
      <c r="N883" s="79"/>
      <c r="Q883" s="79"/>
      <c r="T883" s="130"/>
      <c r="V883" s="106"/>
    </row>
    <row r="884">
      <c r="C884" s="79"/>
      <c r="D884" s="79"/>
      <c r="J884" s="79"/>
      <c r="N884" s="79"/>
      <c r="Q884" s="79"/>
      <c r="T884" s="130"/>
      <c r="V884" s="106"/>
    </row>
    <row r="885">
      <c r="C885" s="79"/>
      <c r="D885" s="79"/>
      <c r="J885" s="79"/>
      <c r="N885" s="79"/>
      <c r="Q885" s="79"/>
      <c r="T885" s="130"/>
      <c r="V885" s="106"/>
    </row>
    <row r="886">
      <c r="C886" s="79"/>
      <c r="D886" s="79"/>
      <c r="J886" s="79"/>
      <c r="N886" s="79"/>
      <c r="Q886" s="79"/>
      <c r="T886" s="130"/>
      <c r="V886" s="106"/>
    </row>
    <row r="887">
      <c r="C887" s="79"/>
      <c r="D887" s="79"/>
      <c r="J887" s="79"/>
      <c r="N887" s="79"/>
      <c r="Q887" s="79"/>
      <c r="T887" s="130"/>
      <c r="V887" s="106"/>
    </row>
    <row r="888">
      <c r="C888" s="79"/>
      <c r="D888" s="79"/>
      <c r="J888" s="79"/>
      <c r="N888" s="79"/>
      <c r="Q888" s="79"/>
      <c r="T888" s="130"/>
      <c r="V888" s="106"/>
    </row>
    <row r="889">
      <c r="C889" s="79"/>
      <c r="D889" s="79"/>
      <c r="J889" s="79"/>
      <c r="N889" s="79"/>
      <c r="Q889" s="79"/>
      <c r="T889" s="130"/>
      <c r="V889" s="106"/>
    </row>
    <row r="890">
      <c r="C890" s="79"/>
      <c r="D890" s="79"/>
      <c r="J890" s="79"/>
      <c r="N890" s="79"/>
      <c r="Q890" s="79"/>
      <c r="T890" s="130"/>
      <c r="V890" s="106"/>
    </row>
    <row r="891">
      <c r="C891" s="79"/>
      <c r="D891" s="79"/>
      <c r="J891" s="79"/>
      <c r="N891" s="79"/>
      <c r="Q891" s="79"/>
      <c r="T891" s="130"/>
      <c r="V891" s="106"/>
    </row>
    <row r="892">
      <c r="C892" s="79"/>
      <c r="D892" s="79"/>
      <c r="J892" s="79"/>
      <c r="N892" s="79"/>
      <c r="Q892" s="79"/>
      <c r="T892" s="130"/>
      <c r="V892" s="106"/>
    </row>
    <row r="893">
      <c r="C893" s="79"/>
      <c r="D893" s="79"/>
      <c r="J893" s="79"/>
      <c r="N893" s="79"/>
      <c r="Q893" s="79"/>
      <c r="T893" s="130"/>
      <c r="V893" s="106"/>
    </row>
    <row r="894">
      <c r="C894" s="79"/>
      <c r="D894" s="79"/>
      <c r="J894" s="79"/>
      <c r="N894" s="79"/>
      <c r="Q894" s="79"/>
      <c r="T894" s="130"/>
      <c r="V894" s="106"/>
    </row>
    <row r="895">
      <c r="C895" s="79"/>
      <c r="D895" s="79"/>
      <c r="J895" s="79"/>
      <c r="N895" s="79"/>
      <c r="Q895" s="79"/>
      <c r="T895" s="130"/>
      <c r="V895" s="106"/>
    </row>
    <row r="896">
      <c r="C896" s="79"/>
      <c r="D896" s="79"/>
      <c r="J896" s="79"/>
      <c r="N896" s="79"/>
      <c r="Q896" s="79"/>
      <c r="T896" s="130"/>
      <c r="V896" s="106"/>
    </row>
    <row r="897">
      <c r="C897" s="79"/>
      <c r="D897" s="79"/>
      <c r="J897" s="79"/>
      <c r="N897" s="79"/>
      <c r="Q897" s="79"/>
      <c r="T897" s="130"/>
      <c r="V897" s="106"/>
    </row>
    <row r="898">
      <c r="C898" s="79"/>
      <c r="D898" s="79"/>
      <c r="J898" s="79"/>
      <c r="N898" s="79"/>
      <c r="Q898" s="79"/>
      <c r="T898" s="130"/>
      <c r="V898" s="106"/>
    </row>
    <row r="899">
      <c r="C899" s="79"/>
      <c r="D899" s="79"/>
      <c r="J899" s="79"/>
      <c r="N899" s="79"/>
      <c r="Q899" s="79"/>
      <c r="T899" s="130"/>
      <c r="V899" s="106"/>
    </row>
    <row r="900">
      <c r="C900" s="79"/>
      <c r="D900" s="79"/>
      <c r="J900" s="79"/>
      <c r="N900" s="79"/>
      <c r="Q900" s="79"/>
      <c r="T900" s="130"/>
      <c r="V900" s="106"/>
    </row>
    <row r="901">
      <c r="C901" s="79"/>
      <c r="D901" s="79"/>
      <c r="J901" s="79"/>
      <c r="N901" s="79"/>
      <c r="Q901" s="79"/>
      <c r="T901" s="130"/>
      <c r="V901" s="106"/>
    </row>
    <row r="902">
      <c r="C902" s="79"/>
      <c r="D902" s="79"/>
      <c r="J902" s="79"/>
      <c r="N902" s="79"/>
      <c r="Q902" s="79"/>
      <c r="T902" s="130"/>
      <c r="V902" s="106"/>
    </row>
    <row r="903">
      <c r="C903" s="79"/>
      <c r="D903" s="79"/>
      <c r="J903" s="79"/>
      <c r="N903" s="79"/>
      <c r="Q903" s="79"/>
      <c r="T903" s="130"/>
      <c r="V903" s="106"/>
    </row>
    <row r="904">
      <c r="C904" s="79"/>
      <c r="D904" s="79"/>
      <c r="J904" s="79"/>
      <c r="N904" s="79"/>
      <c r="Q904" s="79"/>
      <c r="T904" s="130"/>
      <c r="V904" s="106"/>
    </row>
    <row r="905">
      <c r="C905" s="79"/>
      <c r="D905" s="79"/>
      <c r="J905" s="79"/>
      <c r="N905" s="79"/>
      <c r="Q905" s="79"/>
      <c r="T905" s="130"/>
      <c r="V905" s="106"/>
    </row>
    <row r="906">
      <c r="C906" s="79"/>
      <c r="D906" s="79"/>
      <c r="J906" s="79"/>
      <c r="N906" s="79"/>
      <c r="Q906" s="79"/>
      <c r="T906" s="130"/>
      <c r="V906" s="106"/>
    </row>
    <row r="907">
      <c r="C907" s="79"/>
      <c r="D907" s="79"/>
      <c r="J907" s="79"/>
      <c r="N907" s="79"/>
      <c r="Q907" s="79"/>
      <c r="T907" s="130"/>
      <c r="V907" s="106"/>
    </row>
    <row r="908">
      <c r="C908" s="79"/>
      <c r="D908" s="79"/>
      <c r="J908" s="79"/>
      <c r="N908" s="79"/>
      <c r="Q908" s="79"/>
      <c r="T908" s="130"/>
      <c r="V908" s="106"/>
    </row>
    <row r="909">
      <c r="C909" s="79"/>
      <c r="D909" s="79"/>
      <c r="J909" s="79"/>
      <c r="N909" s="79"/>
      <c r="Q909" s="79"/>
      <c r="T909" s="130"/>
      <c r="V909" s="106"/>
    </row>
    <row r="910">
      <c r="C910" s="79"/>
      <c r="D910" s="79"/>
      <c r="J910" s="79"/>
      <c r="N910" s="79"/>
      <c r="Q910" s="79"/>
      <c r="T910" s="130"/>
      <c r="V910" s="106"/>
    </row>
    <row r="911">
      <c r="C911" s="79"/>
      <c r="D911" s="79"/>
      <c r="J911" s="79"/>
      <c r="N911" s="79"/>
      <c r="Q911" s="79"/>
      <c r="T911" s="130"/>
      <c r="V911" s="106"/>
    </row>
    <row r="912">
      <c r="C912" s="79"/>
      <c r="D912" s="79"/>
      <c r="J912" s="79"/>
      <c r="N912" s="79"/>
      <c r="Q912" s="79"/>
      <c r="T912" s="130"/>
      <c r="V912" s="106"/>
    </row>
    <row r="913">
      <c r="C913" s="79"/>
      <c r="D913" s="79"/>
      <c r="J913" s="79"/>
      <c r="N913" s="79"/>
      <c r="Q913" s="79"/>
      <c r="T913" s="130"/>
      <c r="V913" s="106"/>
    </row>
    <row r="914">
      <c r="C914" s="79"/>
      <c r="D914" s="79"/>
      <c r="J914" s="79"/>
      <c r="N914" s="79"/>
      <c r="Q914" s="79"/>
      <c r="T914" s="130"/>
      <c r="V914" s="106"/>
    </row>
    <row r="915">
      <c r="C915" s="79"/>
      <c r="D915" s="79"/>
      <c r="J915" s="79"/>
      <c r="N915" s="79"/>
      <c r="Q915" s="79"/>
      <c r="T915" s="130"/>
      <c r="V915" s="106"/>
    </row>
    <row r="916">
      <c r="C916" s="79"/>
      <c r="D916" s="79"/>
      <c r="J916" s="79"/>
      <c r="N916" s="79"/>
      <c r="Q916" s="79"/>
      <c r="T916" s="130"/>
      <c r="V916" s="106"/>
    </row>
    <row r="917">
      <c r="C917" s="79"/>
      <c r="D917" s="79"/>
      <c r="J917" s="79"/>
      <c r="N917" s="79"/>
      <c r="Q917" s="79"/>
      <c r="T917" s="130"/>
      <c r="V917" s="106"/>
    </row>
    <row r="918">
      <c r="C918" s="79"/>
      <c r="D918" s="79"/>
      <c r="J918" s="79"/>
      <c r="N918" s="79"/>
      <c r="Q918" s="79"/>
      <c r="T918" s="130"/>
      <c r="V918" s="106"/>
    </row>
    <row r="919">
      <c r="C919" s="79"/>
      <c r="D919" s="79"/>
      <c r="J919" s="79"/>
      <c r="N919" s="79"/>
      <c r="Q919" s="79"/>
      <c r="T919" s="130"/>
      <c r="V919" s="106"/>
    </row>
    <row r="920">
      <c r="C920" s="79"/>
      <c r="D920" s="79"/>
      <c r="J920" s="79"/>
      <c r="N920" s="79"/>
      <c r="Q920" s="79"/>
      <c r="T920" s="130"/>
      <c r="V920" s="106"/>
    </row>
    <row r="921">
      <c r="C921" s="79"/>
      <c r="D921" s="79"/>
      <c r="J921" s="79"/>
      <c r="N921" s="79"/>
      <c r="Q921" s="79"/>
      <c r="T921" s="130"/>
      <c r="V921" s="106"/>
    </row>
    <row r="922">
      <c r="C922" s="79"/>
      <c r="D922" s="79"/>
      <c r="J922" s="79"/>
      <c r="N922" s="79"/>
      <c r="Q922" s="79"/>
      <c r="T922" s="130"/>
      <c r="V922" s="106"/>
    </row>
    <row r="923">
      <c r="C923" s="79"/>
      <c r="D923" s="79"/>
      <c r="J923" s="79"/>
      <c r="N923" s="79"/>
      <c r="Q923" s="79"/>
      <c r="T923" s="130"/>
      <c r="V923" s="106"/>
    </row>
    <row r="924">
      <c r="C924" s="79"/>
      <c r="D924" s="79"/>
      <c r="J924" s="79"/>
      <c r="N924" s="79"/>
      <c r="Q924" s="79"/>
      <c r="T924" s="130"/>
      <c r="V924" s="106"/>
    </row>
    <row r="925">
      <c r="C925" s="79"/>
      <c r="D925" s="79"/>
      <c r="J925" s="79"/>
      <c r="N925" s="79"/>
      <c r="Q925" s="79"/>
      <c r="T925" s="130"/>
      <c r="V925" s="106"/>
    </row>
    <row r="926">
      <c r="C926" s="79"/>
      <c r="D926" s="79"/>
      <c r="J926" s="79"/>
      <c r="N926" s="79"/>
      <c r="Q926" s="79"/>
      <c r="T926" s="130"/>
      <c r="V926" s="106"/>
    </row>
    <row r="927">
      <c r="C927" s="79"/>
      <c r="D927" s="79"/>
      <c r="J927" s="79"/>
      <c r="N927" s="79"/>
      <c r="Q927" s="79"/>
      <c r="T927" s="130"/>
      <c r="V927" s="106"/>
    </row>
    <row r="928">
      <c r="C928" s="79"/>
      <c r="D928" s="79"/>
      <c r="J928" s="79"/>
      <c r="N928" s="79"/>
      <c r="Q928" s="79"/>
      <c r="T928" s="130"/>
      <c r="V928" s="106"/>
    </row>
    <row r="929">
      <c r="C929" s="79"/>
      <c r="D929" s="79"/>
      <c r="J929" s="79"/>
      <c r="N929" s="79"/>
      <c r="Q929" s="79"/>
      <c r="T929" s="130"/>
      <c r="V929" s="106"/>
    </row>
    <row r="930">
      <c r="C930" s="79"/>
      <c r="D930" s="79"/>
      <c r="J930" s="79"/>
      <c r="N930" s="79"/>
      <c r="Q930" s="79"/>
      <c r="T930" s="130"/>
      <c r="V930" s="106"/>
    </row>
    <row r="931">
      <c r="C931" s="79"/>
      <c r="D931" s="79"/>
      <c r="J931" s="79"/>
      <c r="N931" s="79"/>
      <c r="Q931" s="79"/>
      <c r="T931" s="130"/>
      <c r="V931" s="106"/>
    </row>
    <row r="932">
      <c r="C932" s="79"/>
      <c r="D932" s="79"/>
      <c r="J932" s="79"/>
      <c r="N932" s="79"/>
      <c r="Q932" s="79"/>
      <c r="T932" s="130"/>
      <c r="V932" s="106"/>
    </row>
    <row r="933">
      <c r="C933" s="79"/>
      <c r="D933" s="79"/>
      <c r="J933" s="79"/>
      <c r="N933" s="79"/>
      <c r="Q933" s="79"/>
      <c r="T933" s="130"/>
      <c r="V933" s="106"/>
    </row>
    <row r="934">
      <c r="C934" s="79"/>
      <c r="D934" s="79"/>
      <c r="J934" s="79"/>
      <c r="N934" s="79"/>
      <c r="Q934" s="79"/>
      <c r="T934" s="130"/>
      <c r="V934" s="106"/>
    </row>
    <row r="935">
      <c r="C935" s="79"/>
      <c r="D935" s="79"/>
      <c r="J935" s="79"/>
      <c r="N935" s="79"/>
      <c r="Q935" s="79"/>
      <c r="T935" s="130"/>
      <c r="V935" s="106"/>
    </row>
    <row r="936">
      <c r="C936" s="79"/>
      <c r="D936" s="79"/>
      <c r="J936" s="79"/>
      <c r="N936" s="79"/>
      <c r="Q936" s="79"/>
      <c r="T936" s="130"/>
      <c r="V936" s="106"/>
    </row>
    <row r="937">
      <c r="C937" s="79"/>
      <c r="D937" s="79"/>
      <c r="J937" s="79"/>
      <c r="N937" s="79"/>
      <c r="Q937" s="79"/>
      <c r="T937" s="130"/>
      <c r="V937" s="106"/>
    </row>
    <row r="938">
      <c r="C938" s="79"/>
      <c r="D938" s="79"/>
      <c r="J938" s="79"/>
      <c r="N938" s="79"/>
      <c r="Q938" s="79"/>
      <c r="T938" s="130"/>
      <c r="V938" s="106"/>
    </row>
    <row r="939">
      <c r="C939" s="79"/>
      <c r="D939" s="79"/>
      <c r="J939" s="79"/>
      <c r="N939" s="79"/>
      <c r="Q939" s="79"/>
      <c r="T939" s="130"/>
      <c r="V939" s="106"/>
    </row>
    <row r="940">
      <c r="C940" s="79"/>
      <c r="D940" s="79"/>
      <c r="J940" s="79"/>
      <c r="N940" s="79"/>
      <c r="Q940" s="79"/>
      <c r="T940" s="130"/>
      <c r="V940" s="106"/>
    </row>
    <row r="941">
      <c r="C941" s="79"/>
      <c r="D941" s="79"/>
      <c r="J941" s="79"/>
      <c r="N941" s="79"/>
      <c r="Q941" s="79"/>
      <c r="T941" s="130"/>
      <c r="V941" s="106"/>
    </row>
    <row r="942">
      <c r="C942" s="79"/>
      <c r="D942" s="79"/>
      <c r="J942" s="79"/>
      <c r="N942" s="79"/>
      <c r="Q942" s="79"/>
      <c r="T942" s="130"/>
      <c r="V942" s="106"/>
    </row>
    <row r="943">
      <c r="C943" s="79"/>
      <c r="D943" s="79"/>
      <c r="J943" s="79"/>
      <c r="N943" s="79"/>
      <c r="Q943" s="79"/>
      <c r="T943" s="130"/>
      <c r="V943" s="106"/>
    </row>
    <row r="944">
      <c r="C944" s="79"/>
      <c r="D944" s="79"/>
      <c r="J944" s="79"/>
      <c r="N944" s="79"/>
      <c r="Q944" s="79"/>
      <c r="T944" s="130"/>
      <c r="V944" s="106"/>
    </row>
    <row r="945">
      <c r="C945" s="79"/>
      <c r="D945" s="79"/>
      <c r="J945" s="79"/>
      <c r="N945" s="79"/>
      <c r="Q945" s="79"/>
      <c r="T945" s="130"/>
      <c r="V945" s="106"/>
    </row>
    <row r="946">
      <c r="C946" s="79"/>
      <c r="D946" s="79"/>
      <c r="J946" s="79"/>
      <c r="N946" s="79"/>
      <c r="Q946" s="79"/>
      <c r="T946" s="130"/>
      <c r="V946" s="106"/>
    </row>
    <row r="947">
      <c r="C947" s="79"/>
      <c r="D947" s="79"/>
      <c r="J947" s="79"/>
      <c r="N947" s="79"/>
      <c r="Q947" s="79"/>
      <c r="T947" s="130"/>
      <c r="V947" s="106"/>
    </row>
    <row r="948">
      <c r="C948" s="79"/>
      <c r="D948" s="79"/>
      <c r="J948" s="79"/>
      <c r="N948" s="79"/>
      <c r="Q948" s="79"/>
      <c r="T948" s="130"/>
      <c r="V948" s="106"/>
    </row>
    <row r="949">
      <c r="C949" s="79"/>
      <c r="D949" s="79"/>
      <c r="J949" s="79"/>
      <c r="N949" s="79"/>
      <c r="Q949" s="79"/>
      <c r="T949" s="130"/>
      <c r="V949" s="106"/>
    </row>
    <row r="950">
      <c r="C950" s="79"/>
      <c r="D950" s="79"/>
      <c r="J950" s="79"/>
      <c r="N950" s="79"/>
      <c r="Q950" s="79"/>
      <c r="T950" s="130"/>
      <c r="V950" s="106"/>
    </row>
    <row r="951">
      <c r="C951" s="79"/>
      <c r="D951" s="79"/>
      <c r="J951" s="79"/>
      <c r="N951" s="79"/>
      <c r="Q951" s="79"/>
      <c r="T951" s="130"/>
      <c r="V951" s="106"/>
    </row>
    <row r="952">
      <c r="C952" s="79"/>
      <c r="D952" s="79"/>
      <c r="J952" s="79"/>
      <c r="N952" s="79"/>
      <c r="Q952" s="79"/>
      <c r="T952" s="130"/>
      <c r="V952" s="106"/>
    </row>
    <row r="953">
      <c r="C953" s="79"/>
      <c r="D953" s="79"/>
      <c r="J953" s="79"/>
      <c r="N953" s="79"/>
      <c r="Q953" s="79"/>
      <c r="T953" s="130"/>
      <c r="V953" s="106"/>
    </row>
    <row r="954">
      <c r="C954" s="79"/>
      <c r="D954" s="79"/>
      <c r="J954" s="79"/>
      <c r="N954" s="79"/>
      <c r="Q954" s="79"/>
      <c r="T954" s="130"/>
      <c r="V954" s="106"/>
    </row>
    <row r="955">
      <c r="C955" s="79"/>
      <c r="D955" s="79"/>
      <c r="J955" s="79"/>
      <c r="N955" s="79"/>
      <c r="Q955" s="79"/>
      <c r="T955" s="130"/>
      <c r="V955" s="106"/>
    </row>
    <row r="956">
      <c r="C956" s="79"/>
      <c r="D956" s="79"/>
      <c r="J956" s="79"/>
      <c r="N956" s="79"/>
      <c r="Q956" s="79"/>
      <c r="T956" s="130"/>
      <c r="V956" s="106"/>
    </row>
    <row r="957">
      <c r="C957" s="79"/>
      <c r="D957" s="79"/>
      <c r="J957" s="79"/>
      <c r="N957" s="79"/>
      <c r="Q957" s="79"/>
      <c r="T957" s="130"/>
      <c r="V957" s="106"/>
    </row>
    <row r="958">
      <c r="C958" s="79"/>
      <c r="D958" s="79"/>
      <c r="J958" s="79"/>
      <c r="N958" s="79"/>
      <c r="Q958" s="79"/>
      <c r="T958" s="130"/>
      <c r="V958" s="106"/>
    </row>
    <row r="959">
      <c r="C959" s="79"/>
      <c r="D959" s="79"/>
      <c r="J959" s="79"/>
      <c r="N959" s="79"/>
      <c r="Q959" s="79"/>
      <c r="T959" s="130"/>
      <c r="V959" s="106"/>
    </row>
    <row r="960">
      <c r="C960" s="79"/>
      <c r="D960" s="79"/>
      <c r="J960" s="79"/>
      <c r="N960" s="79"/>
      <c r="Q960" s="79"/>
      <c r="T960" s="130"/>
      <c r="V960" s="106"/>
    </row>
    <row r="961">
      <c r="C961" s="79"/>
      <c r="D961" s="79"/>
      <c r="J961" s="79"/>
      <c r="N961" s="79"/>
      <c r="Q961" s="79"/>
      <c r="T961" s="130"/>
      <c r="V961" s="106"/>
    </row>
    <row r="962">
      <c r="C962" s="79"/>
      <c r="D962" s="79"/>
      <c r="J962" s="79"/>
      <c r="N962" s="79"/>
      <c r="Q962" s="79"/>
      <c r="T962" s="130"/>
      <c r="V962" s="106"/>
    </row>
    <row r="963">
      <c r="C963" s="79"/>
      <c r="D963" s="79"/>
      <c r="J963" s="79"/>
      <c r="N963" s="79"/>
      <c r="Q963" s="79"/>
      <c r="T963" s="130"/>
      <c r="V963" s="106"/>
    </row>
    <row r="964">
      <c r="C964" s="79"/>
      <c r="D964" s="79"/>
      <c r="J964" s="79"/>
      <c r="N964" s="79"/>
      <c r="Q964" s="79"/>
      <c r="T964" s="130"/>
      <c r="V964" s="106"/>
    </row>
    <row r="965">
      <c r="C965" s="79"/>
      <c r="D965" s="79"/>
      <c r="J965" s="79"/>
      <c r="N965" s="79"/>
      <c r="Q965" s="79"/>
      <c r="T965" s="130"/>
      <c r="V965" s="106"/>
    </row>
    <row r="966">
      <c r="C966" s="79"/>
      <c r="D966" s="79"/>
      <c r="J966" s="79"/>
      <c r="N966" s="79"/>
      <c r="Q966" s="79"/>
      <c r="T966" s="130"/>
      <c r="V966" s="106"/>
    </row>
    <row r="967">
      <c r="C967" s="79"/>
      <c r="D967" s="79"/>
      <c r="J967" s="79"/>
      <c r="N967" s="79"/>
      <c r="Q967" s="79"/>
      <c r="T967" s="130"/>
      <c r="V967" s="106"/>
    </row>
    <row r="968">
      <c r="C968" s="79"/>
      <c r="D968" s="79"/>
      <c r="J968" s="79"/>
      <c r="N968" s="79"/>
      <c r="Q968" s="79"/>
      <c r="T968" s="130"/>
      <c r="V968" s="106"/>
    </row>
    <row r="969">
      <c r="C969" s="79"/>
      <c r="D969" s="79"/>
      <c r="J969" s="79"/>
      <c r="N969" s="79"/>
      <c r="Q969" s="79"/>
      <c r="T969" s="130"/>
      <c r="V969" s="106"/>
    </row>
    <row r="970">
      <c r="C970" s="79"/>
      <c r="D970" s="79"/>
      <c r="J970" s="79"/>
      <c r="N970" s="79"/>
      <c r="Q970" s="79"/>
      <c r="T970" s="130"/>
      <c r="V970" s="106"/>
    </row>
    <row r="971">
      <c r="C971" s="79"/>
      <c r="D971" s="79"/>
      <c r="J971" s="79"/>
      <c r="N971" s="79"/>
      <c r="Q971" s="79"/>
      <c r="T971" s="130"/>
      <c r="V971" s="106"/>
    </row>
    <row r="972">
      <c r="C972" s="79"/>
      <c r="D972" s="79"/>
      <c r="J972" s="79"/>
      <c r="N972" s="79"/>
      <c r="Q972" s="79"/>
      <c r="T972" s="130"/>
      <c r="V972" s="106"/>
    </row>
    <row r="973">
      <c r="C973" s="79"/>
      <c r="D973" s="79"/>
      <c r="J973" s="79"/>
      <c r="N973" s="79"/>
      <c r="Q973" s="79"/>
      <c r="T973" s="130"/>
      <c r="V973" s="106"/>
    </row>
    <row r="974">
      <c r="C974" s="79"/>
      <c r="D974" s="79"/>
      <c r="J974" s="79"/>
      <c r="N974" s="79"/>
      <c r="Q974" s="79"/>
      <c r="T974" s="130"/>
      <c r="V974" s="106"/>
    </row>
    <row r="975">
      <c r="C975" s="79"/>
      <c r="D975" s="79"/>
      <c r="J975" s="79"/>
      <c r="N975" s="79"/>
      <c r="Q975" s="79"/>
      <c r="T975" s="130"/>
      <c r="V975" s="106"/>
    </row>
    <row r="976">
      <c r="C976" s="79"/>
      <c r="D976" s="79"/>
      <c r="J976" s="79"/>
      <c r="N976" s="79"/>
      <c r="Q976" s="79"/>
      <c r="T976" s="130"/>
      <c r="V976" s="106"/>
    </row>
    <row r="977">
      <c r="C977" s="79"/>
      <c r="D977" s="79"/>
      <c r="J977" s="79"/>
      <c r="N977" s="79"/>
      <c r="Q977" s="79"/>
      <c r="T977" s="130"/>
      <c r="V977" s="106"/>
    </row>
    <row r="978">
      <c r="C978" s="79"/>
      <c r="D978" s="79"/>
      <c r="J978" s="79"/>
      <c r="N978" s="79"/>
      <c r="Q978" s="79"/>
      <c r="T978" s="130"/>
      <c r="V978" s="106"/>
    </row>
    <row r="979">
      <c r="C979" s="79"/>
      <c r="D979" s="79"/>
      <c r="J979" s="79"/>
      <c r="N979" s="79"/>
      <c r="Q979" s="79"/>
      <c r="T979" s="130"/>
      <c r="V979" s="106"/>
    </row>
    <row r="980">
      <c r="C980" s="79"/>
      <c r="D980" s="79"/>
      <c r="J980" s="79"/>
      <c r="N980" s="79"/>
      <c r="Q980" s="79"/>
      <c r="T980" s="130"/>
      <c r="V980" s="106"/>
    </row>
    <row r="981">
      <c r="C981" s="79"/>
      <c r="D981" s="79"/>
      <c r="J981" s="79"/>
      <c r="N981" s="79"/>
      <c r="Q981" s="79"/>
      <c r="T981" s="130"/>
      <c r="V981" s="106"/>
    </row>
    <row r="982">
      <c r="C982" s="79"/>
      <c r="D982" s="79"/>
      <c r="J982" s="79"/>
      <c r="N982" s="79"/>
      <c r="Q982" s="79"/>
      <c r="T982" s="130"/>
      <c r="V982" s="106"/>
    </row>
    <row r="983">
      <c r="C983" s="79"/>
      <c r="D983" s="79"/>
      <c r="J983" s="79"/>
      <c r="N983" s="79"/>
      <c r="Q983" s="79"/>
      <c r="T983" s="130"/>
      <c r="V983" s="106"/>
    </row>
    <row r="984">
      <c r="C984" s="79"/>
      <c r="D984" s="79"/>
      <c r="J984" s="79"/>
      <c r="N984" s="79"/>
      <c r="Q984" s="79"/>
      <c r="T984" s="130"/>
      <c r="V984" s="106"/>
    </row>
    <row r="985">
      <c r="C985" s="79"/>
      <c r="D985" s="79"/>
      <c r="J985" s="79"/>
      <c r="N985" s="79"/>
      <c r="Q985" s="79"/>
      <c r="T985" s="130"/>
      <c r="V985" s="106"/>
    </row>
    <row r="986">
      <c r="C986" s="79"/>
      <c r="D986" s="79"/>
      <c r="J986" s="79"/>
      <c r="N986" s="79"/>
      <c r="Q986" s="79"/>
      <c r="T986" s="130"/>
      <c r="V986" s="106"/>
    </row>
    <row r="987">
      <c r="C987" s="79"/>
      <c r="D987" s="79"/>
      <c r="J987" s="79"/>
      <c r="N987" s="79"/>
      <c r="Q987" s="79"/>
      <c r="T987" s="130"/>
      <c r="V987" s="106"/>
    </row>
    <row r="988">
      <c r="C988" s="79"/>
      <c r="D988" s="79"/>
      <c r="J988" s="79"/>
      <c r="N988" s="79"/>
      <c r="Q988" s="79"/>
      <c r="T988" s="130"/>
      <c r="V988" s="106"/>
    </row>
    <row r="989">
      <c r="C989" s="79"/>
      <c r="D989" s="79"/>
      <c r="J989" s="79"/>
      <c r="N989" s="79"/>
      <c r="Q989" s="79"/>
      <c r="T989" s="130"/>
      <c r="V989" s="106"/>
    </row>
    <row r="990">
      <c r="C990" s="79"/>
      <c r="D990" s="79"/>
      <c r="J990" s="79"/>
      <c r="N990" s="79"/>
      <c r="Q990" s="79"/>
      <c r="T990" s="130"/>
      <c r="V990" s="106"/>
    </row>
    <row r="991">
      <c r="C991" s="79"/>
      <c r="D991" s="79"/>
      <c r="J991" s="79"/>
      <c r="N991" s="79"/>
      <c r="Q991" s="79"/>
      <c r="T991" s="130"/>
      <c r="V991" s="106"/>
    </row>
    <row r="992">
      <c r="C992" s="79"/>
      <c r="D992" s="79"/>
      <c r="J992" s="79"/>
      <c r="N992" s="79"/>
      <c r="Q992" s="79"/>
      <c r="T992" s="130"/>
      <c r="V992" s="106"/>
    </row>
    <row r="993">
      <c r="C993" s="79"/>
      <c r="D993" s="79"/>
      <c r="J993" s="79"/>
      <c r="N993" s="79"/>
      <c r="Q993" s="79"/>
      <c r="T993" s="130"/>
      <c r="V993" s="106"/>
    </row>
    <row r="994">
      <c r="C994" s="79"/>
      <c r="D994" s="79"/>
      <c r="J994" s="79"/>
      <c r="N994" s="79"/>
      <c r="Q994" s="79"/>
      <c r="T994" s="130"/>
      <c r="V994" s="106"/>
    </row>
    <row r="995">
      <c r="C995" s="79"/>
      <c r="D995" s="79"/>
      <c r="J995" s="79"/>
      <c r="N995" s="79"/>
      <c r="Q995" s="79"/>
      <c r="T995" s="130"/>
      <c r="V995" s="106"/>
    </row>
    <row r="996">
      <c r="C996" s="79"/>
      <c r="D996" s="79"/>
      <c r="J996" s="79"/>
      <c r="N996" s="79"/>
      <c r="Q996" s="79"/>
      <c r="T996" s="130"/>
      <c r="V996" s="106"/>
    </row>
    <row r="997">
      <c r="C997" s="79"/>
      <c r="D997" s="79"/>
      <c r="J997" s="79"/>
      <c r="N997" s="79"/>
      <c r="Q997" s="79"/>
      <c r="T997" s="130"/>
      <c r="V997" s="106"/>
    </row>
    <row r="998">
      <c r="C998" s="79"/>
      <c r="D998" s="79"/>
      <c r="J998" s="79"/>
      <c r="N998" s="79"/>
      <c r="Q998" s="79"/>
      <c r="T998" s="130"/>
      <c r="V998" s="106"/>
    </row>
    <row r="999">
      <c r="C999" s="79"/>
      <c r="D999" s="79"/>
      <c r="J999" s="79"/>
      <c r="N999" s="79"/>
      <c r="Q999" s="79"/>
      <c r="T999" s="130"/>
      <c r="V999" s="106"/>
    </row>
    <row r="1000">
      <c r="C1000" s="79"/>
      <c r="D1000" s="79"/>
      <c r="J1000" s="79"/>
      <c r="N1000" s="79"/>
      <c r="Q1000" s="79"/>
      <c r="T1000" s="130"/>
      <c r="V1000" s="106"/>
    </row>
  </sheetData>
  <mergeCells count="1">
    <mergeCell ref="H19:J19"/>
  </mergeCells>
  <drawing r:id="rId2"/>
  <legacyDrawing r:id="rId3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2" max="22" width="17.0"/>
  </cols>
  <sheetData>
    <row r="1">
      <c r="B1" s="2" t="s">
        <v>0</v>
      </c>
      <c r="C1" s="105" t="s">
        <v>1</v>
      </c>
      <c r="D1" s="105" t="s">
        <v>7</v>
      </c>
      <c r="E1" s="2" t="s">
        <v>3</v>
      </c>
      <c r="F1" s="2" t="s">
        <v>129</v>
      </c>
      <c r="G1" s="2" t="s">
        <v>5</v>
      </c>
      <c r="H1" s="2" t="s">
        <v>6</v>
      </c>
      <c r="I1" s="2" t="s">
        <v>43</v>
      </c>
      <c r="J1" s="105" t="s">
        <v>40</v>
      </c>
      <c r="K1" s="2" t="s">
        <v>49</v>
      </c>
      <c r="L1" s="2" t="s">
        <v>42</v>
      </c>
      <c r="M1" s="2" t="s">
        <v>121</v>
      </c>
      <c r="N1" s="105" t="s">
        <v>9</v>
      </c>
      <c r="O1" s="2" t="s">
        <v>37</v>
      </c>
      <c r="P1" s="2" t="s">
        <v>10</v>
      </c>
      <c r="Q1" s="105" t="s">
        <v>11</v>
      </c>
      <c r="R1" s="2" t="s">
        <v>12</v>
      </c>
      <c r="S1" s="3" t="s">
        <v>13</v>
      </c>
      <c r="T1" s="126" t="s">
        <v>14</v>
      </c>
      <c r="U1" s="3" t="s">
        <v>15</v>
      </c>
      <c r="V1" s="106"/>
    </row>
    <row r="2">
      <c r="A2" s="74">
        <v>45096.0</v>
      </c>
      <c r="B2" s="5">
        <v>1956.0</v>
      </c>
      <c r="C2" s="93">
        <v>857.18</v>
      </c>
      <c r="D2" s="93"/>
      <c r="E2" s="5"/>
      <c r="F2" s="5">
        <v>670.23</v>
      </c>
      <c r="G2" s="5"/>
      <c r="H2" s="5"/>
      <c r="I2" s="5"/>
      <c r="J2" s="72"/>
      <c r="K2" s="5">
        <v>168.0</v>
      </c>
      <c r="L2" s="5"/>
      <c r="M2" s="5"/>
      <c r="N2" s="93"/>
      <c r="O2" s="5"/>
      <c r="P2" s="5">
        <v>57.05</v>
      </c>
      <c r="Q2" s="93"/>
      <c r="R2" s="5"/>
      <c r="S2" s="107">
        <f t="shared" ref="S2:S7" si="1">SUM(B2:R2)</f>
        <v>3708.46</v>
      </c>
      <c r="T2" s="108">
        <v>14733.6</v>
      </c>
      <c r="U2" s="59">
        <f t="shared" ref="U2:U8" si="2">S2/T2</f>
        <v>0.2517008742</v>
      </c>
      <c r="V2" s="109">
        <f t="shared" ref="V2:V8" si="3">A2</f>
        <v>45096</v>
      </c>
    </row>
    <row r="3">
      <c r="A3" s="74">
        <v>45097.0</v>
      </c>
      <c r="B3" s="5">
        <v>1517.44</v>
      </c>
      <c r="C3" s="110"/>
      <c r="D3" s="93"/>
      <c r="E3" s="5"/>
      <c r="F3" s="5">
        <v>105.42</v>
      </c>
      <c r="G3" s="5">
        <v>852.06</v>
      </c>
      <c r="H3" s="5">
        <v>42.0</v>
      </c>
      <c r="I3" s="5"/>
      <c r="J3" s="93"/>
      <c r="K3" s="5"/>
      <c r="L3" s="5"/>
      <c r="M3" s="6"/>
      <c r="N3" s="93"/>
      <c r="O3" s="93"/>
      <c r="P3" s="5"/>
      <c r="Q3" s="93"/>
      <c r="R3" s="93">
        <v>179.96</v>
      </c>
      <c r="S3" s="7">
        <f t="shared" si="1"/>
        <v>2696.88</v>
      </c>
      <c r="T3" s="97">
        <v>6258.6</v>
      </c>
      <c r="U3" s="59">
        <f t="shared" si="2"/>
        <v>0.4309078708</v>
      </c>
      <c r="V3" s="109">
        <f t="shared" si="3"/>
        <v>45097</v>
      </c>
    </row>
    <row r="4">
      <c r="A4" s="74">
        <v>45098.0</v>
      </c>
      <c r="B4" s="5">
        <v>1139.81</v>
      </c>
      <c r="C4" s="93">
        <v>1244.07</v>
      </c>
      <c r="D4" s="93"/>
      <c r="E4" s="5"/>
      <c r="F4" s="5"/>
      <c r="G4" s="5"/>
      <c r="H4" s="5"/>
      <c r="I4" s="5"/>
      <c r="J4" s="93"/>
      <c r="K4" s="5"/>
      <c r="L4" s="5"/>
      <c r="M4" s="5">
        <v>18.5</v>
      </c>
      <c r="N4" s="93"/>
      <c r="O4" s="5"/>
      <c r="P4" s="83"/>
      <c r="Q4" s="93"/>
      <c r="R4" s="6"/>
      <c r="S4" s="7">
        <f t="shared" si="1"/>
        <v>2402.38</v>
      </c>
      <c r="T4" s="97">
        <v>9381.91</v>
      </c>
      <c r="U4" s="59">
        <f t="shared" si="2"/>
        <v>0.2560651296</v>
      </c>
      <c r="V4" s="109">
        <f t="shared" si="3"/>
        <v>45098</v>
      </c>
    </row>
    <row r="5">
      <c r="A5" s="74">
        <v>45099.0</v>
      </c>
      <c r="B5" s="5">
        <v>1213.54</v>
      </c>
      <c r="C5" s="93">
        <v>394.21</v>
      </c>
      <c r="D5" s="101"/>
      <c r="E5" s="5">
        <v>280.0</v>
      </c>
      <c r="F5" s="5">
        <v>211.2</v>
      </c>
      <c r="G5" s="5"/>
      <c r="H5" s="5">
        <v>123.0</v>
      </c>
      <c r="I5" s="5"/>
      <c r="J5" s="93"/>
      <c r="K5" s="5"/>
      <c r="L5" s="5"/>
      <c r="M5" s="5">
        <v>18.5</v>
      </c>
      <c r="N5" s="93"/>
      <c r="O5" s="5"/>
      <c r="P5" s="5"/>
      <c r="Q5" s="101"/>
      <c r="R5" s="6"/>
      <c r="S5" s="7">
        <f t="shared" si="1"/>
        <v>2240.45</v>
      </c>
      <c r="T5" s="98">
        <v>8142.01</v>
      </c>
      <c r="U5" s="59">
        <f t="shared" si="2"/>
        <v>0.27517161</v>
      </c>
      <c r="V5" s="109">
        <f t="shared" si="3"/>
        <v>45099</v>
      </c>
    </row>
    <row r="6">
      <c r="A6" s="74">
        <v>45100.0</v>
      </c>
      <c r="B6" s="5">
        <v>1621.05</v>
      </c>
      <c r="C6" s="93">
        <v>1131.8</v>
      </c>
      <c r="D6" s="93"/>
      <c r="E6" s="5"/>
      <c r="F6" s="32">
        <v>72.93</v>
      </c>
      <c r="G6" s="5">
        <v>190.0</v>
      </c>
      <c r="H6" s="5"/>
      <c r="I6" s="5"/>
      <c r="J6" s="111"/>
      <c r="K6" s="5"/>
      <c r="L6" s="5"/>
      <c r="M6" s="5">
        <v>18.5</v>
      </c>
      <c r="N6" s="93"/>
      <c r="O6" s="5"/>
      <c r="P6" s="5"/>
      <c r="Q6" s="93"/>
      <c r="R6" s="5"/>
      <c r="S6" s="7">
        <f t="shared" si="1"/>
        <v>3034.28</v>
      </c>
      <c r="T6" s="97">
        <v>10087.0</v>
      </c>
      <c r="U6" s="59">
        <f t="shared" si="2"/>
        <v>0.3008109448</v>
      </c>
      <c r="V6" s="109">
        <f t="shared" si="3"/>
        <v>45100</v>
      </c>
    </row>
    <row r="7">
      <c r="A7" s="74">
        <v>45101.0</v>
      </c>
      <c r="B7" s="5">
        <v>2067.79</v>
      </c>
      <c r="C7" s="93">
        <v>211.4</v>
      </c>
      <c r="D7" s="93"/>
      <c r="E7" s="5"/>
      <c r="F7" s="5"/>
      <c r="G7" s="5"/>
      <c r="H7" s="5"/>
      <c r="I7" s="5"/>
      <c r="J7" s="101"/>
      <c r="K7" s="5"/>
      <c r="L7" s="5"/>
      <c r="M7" s="93">
        <v>86.25</v>
      </c>
      <c r="N7" s="93"/>
      <c r="O7" s="6"/>
      <c r="P7" s="6"/>
      <c r="Q7" s="101"/>
      <c r="R7" s="5"/>
      <c r="S7" s="7">
        <f t="shared" si="1"/>
        <v>2365.44</v>
      </c>
      <c r="T7" s="97">
        <v>15108.0</v>
      </c>
      <c r="U7" s="59">
        <f t="shared" si="2"/>
        <v>0.1565687053</v>
      </c>
      <c r="V7" s="109">
        <f t="shared" si="3"/>
        <v>45101</v>
      </c>
    </row>
    <row r="8">
      <c r="A8" s="74">
        <v>45102.0</v>
      </c>
      <c r="B8" s="10" t="s">
        <v>21</v>
      </c>
      <c r="C8" s="112" t="s">
        <v>21</v>
      </c>
      <c r="D8" s="112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12" t="s">
        <v>21</v>
      </c>
      <c r="K8" s="10" t="s">
        <v>21</v>
      </c>
      <c r="L8" s="10" t="s">
        <v>21</v>
      </c>
      <c r="M8" s="10"/>
      <c r="N8" s="112" t="s">
        <v>21</v>
      </c>
      <c r="O8" s="10" t="s">
        <v>21</v>
      </c>
      <c r="P8" s="10" t="s">
        <v>21</v>
      </c>
      <c r="Q8" s="112" t="s">
        <v>21</v>
      </c>
      <c r="R8" s="10" t="s">
        <v>21</v>
      </c>
      <c r="S8" s="7">
        <v>0.0</v>
      </c>
      <c r="T8" s="97">
        <v>11847.04</v>
      </c>
      <c r="U8" s="59">
        <f t="shared" si="2"/>
        <v>0</v>
      </c>
      <c r="V8" s="109">
        <f t="shared" si="3"/>
        <v>45102</v>
      </c>
    </row>
    <row r="9">
      <c r="C9" s="113"/>
      <c r="D9" s="79"/>
      <c r="J9" s="79"/>
      <c r="N9" s="79"/>
      <c r="Q9" s="79"/>
      <c r="T9" s="129"/>
      <c r="V9" s="106"/>
    </row>
    <row r="10">
      <c r="C10" s="79"/>
      <c r="D10" s="79"/>
      <c r="J10" s="79"/>
      <c r="N10" s="79"/>
      <c r="Q10" s="79"/>
      <c r="T10" s="130"/>
      <c r="V10" s="106"/>
    </row>
    <row r="11">
      <c r="A11" s="4" t="s">
        <v>22</v>
      </c>
      <c r="B11" s="11">
        <v>13000.0</v>
      </c>
      <c r="C11" s="79"/>
      <c r="D11" s="79"/>
      <c r="E11" s="78"/>
      <c r="F11" s="79"/>
      <c r="J11" s="79"/>
      <c r="N11" s="79"/>
      <c r="Q11" s="79"/>
      <c r="T11" s="131"/>
      <c r="V11" s="106"/>
    </row>
    <row r="12">
      <c r="A12" s="4" t="s">
        <v>23</v>
      </c>
      <c r="B12" s="12">
        <f>SUM(B2:R8)</f>
        <v>16447.89</v>
      </c>
      <c r="C12" s="79"/>
      <c r="D12" s="79"/>
      <c r="E12" s="56"/>
      <c r="J12" s="79"/>
      <c r="N12" s="79"/>
      <c r="Q12" s="79"/>
      <c r="T12" s="130"/>
      <c r="V12" s="106"/>
    </row>
    <row r="13">
      <c r="A13" s="4" t="s">
        <v>24</v>
      </c>
      <c r="B13" s="12">
        <f> SUM(B11-B12)</f>
        <v>-3447.89</v>
      </c>
      <c r="C13" s="79"/>
      <c r="D13" s="79"/>
      <c r="J13" s="79"/>
      <c r="N13" s="79"/>
      <c r="Q13" s="79"/>
      <c r="T13" s="130"/>
      <c r="V13" s="106"/>
    </row>
    <row r="14">
      <c r="C14" s="79"/>
      <c r="D14" s="79"/>
      <c r="J14" s="79"/>
      <c r="N14" s="79"/>
      <c r="Q14" s="79"/>
      <c r="T14" s="130"/>
      <c r="V14" s="106"/>
    </row>
    <row r="15">
      <c r="A15" s="13" t="s">
        <v>25</v>
      </c>
      <c r="B15" s="14">
        <f>SUM(T2:T8)</f>
        <v>75558.16</v>
      </c>
      <c r="C15" s="79"/>
      <c r="D15" s="124"/>
      <c r="J15" s="79"/>
      <c r="N15" s="79"/>
      <c r="Q15" s="79"/>
      <c r="T15" s="130"/>
      <c r="V15" s="106"/>
    </row>
    <row r="16">
      <c r="A16" s="13" t="s">
        <v>26</v>
      </c>
      <c r="B16" s="15">
        <f>B12/B15</f>
        <v>0.217685158</v>
      </c>
      <c r="C16" s="79"/>
      <c r="D16" s="79"/>
      <c r="J16" s="79"/>
      <c r="N16" s="79"/>
      <c r="Q16" s="79"/>
      <c r="T16" s="130"/>
      <c r="V16" s="106"/>
    </row>
    <row r="17">
      <c r="C17" s="79"/>
      <c r="D17" s="79"/>
      <c r="J17" s="79"/>
      <c r="N17" s="79"/>
      <c r="Q17" s="79"/>
      <c r="T17" s="130"/>
      <c r="V17" s="106"/>
    </row>
    <row r="18">
      <c r="C18" s="79"/>
      <c r="D18" s="79"/>
      <c r="J18" s="79"/>
      <c r="N18" s="79"/>
      <c r="Q18" s="79"/>
      <c r="T18" s="130"/>
      <c r="V18" s="106"/>
    </row>
    <row r="19">
      <c r="A19" s="16" t="s">
        <v>27</v>
      </c>
      <c r="B19" s="17"/>
      <c r="C19" s="114"/>
      <c r="D19" s="115"/>
      <c r="H19" s="84"/>
      <c r="N19" s="79"/>
      <c r="Q19" s="79"/>
      <c r="T19" s="130"/>
      <c r="V19" s="106"/>
    </row>
    <row r="20">
      <c r="A20" s="19" t="s">
        <v>28</v>
      </c>
      <c r="B20" s="20"/>
      <c r="C20" s="116"/>
      <c r="D20" s="117"/>
      <c r="H20" s="85"/>
      <c r="I20" s="85"/>
      <c r="J20" s="118"/>
      <c r="N20" s="79"/>
      <c r="Q20" s="79"/>
      <c r="T20" s="130"/>
      <c r="V20" s="106"/>
    </row>
    <row r="21">
      <c r="A21" s="22" t="s">
        <v>29</v>
      </c>
      <c r="B21" s="23" t="s">
        <v>30</v>
      </c>
      <c r="C21" s="119" t="s">
        <v>31</v>
      </c>
      <c r="D21" s="120" t="s">
        <v>30</v>
      </c>
      <c r="H21" s="86"/>
      <c r="I21" s="85"/>
      <c r="J21" s="118"/>
      <c r="N21" s="79"/>
      <c r="Q21" s="79"/>
      <c r="T21" s="130"/>
      <c r="V21" s="106"/>
    </row>
    <row r="22">
      <c r="A22" s="28" t="s">
        <v>149</v>
      </c>
      <c r="B22" s="72"/>
      <c r="C22" s="121"/>
      <c r="D22" s="122"/>
      <c r="H22" s="87"/>
      <c r="I22" s="85"/>
      <c r="J22" s="118"/>
      <c r="N22" s="79"/>
      <c r="Q22" s="79"/>
      <c r="T22" s="130"/>
      <c r="V22" s="106"/>
    </row>
    <row r="23">
      <c r="A23" s="28" t="s">
        <v>150</v>
      </c>
      <c r="B23" s="72"/>
      <c r="C23" s="121"/>
      <c r="D23" s="122"/>
      <c r="H23" s="88"/>
      <c r="I23" s="88"/>
      <c r="J23" s="123"/>
      <c r="N23" s="79"/>
      <c r="Q23" s="79"/>
      <c r="T23" s="130"/>
      <c r="V23" s="106"/>
    </row>
    <row r="24">
      <c r="A24" s="71" t="s">
        <v>108</v>
      </c>
      <c r="B24" s="72"/>
      <c r="C24" s="71"/>
      <c r="D24" s="124"/>
      <c r="H24" s="88"/>
      <c r="I24" s="88"/>
      <c r="J24" s="123"/>
      <c r="N24" s="79"/>
      <c r="Q24" s="79"/>
      <c r="T24" s="130"/>
      <c r="V24" s="106"/>
    </row>
    <row r="25">
      <c r="A25" s="28" t="s">
        <v>159</v>
      </c>
      <c r="B25" s="41"/>
      <c r="C25" s="121"/>
      <c r="D25" s="124"/>
      <c r="H25" s="88"/>
      <c r="I25" s="88"/>
      <c r="J25" s="123"/>
      <c r="N25" s="79"/>
      <c r="Q25" s="79"/>
      <c r="T25" s="130"/>
      <c r="V25" s="106"/>
    </row>
    <row r="26">
      <c r="A26" s="28" t="s">
        <v>160</v>
      </c>
      <c r="B26" s="41"/>
      <c r="C26" s="71"/>
      <c r="D26" s="124"/>
      <c r="H26" s="88"/>
      <c r="I26" s="88"/>
      <c r="J26" s="123"/>
      <c r="N26" s="79"/>
      <c r="Q26" s="79"/>
      <c r="T26" s="130"/>
      <c r="V26" s="106"/>
    </row>
    <row r="27">
      <c r="A27" s="25"/>
      <c r="B27" s="26"/>
      <c r="C27" s="121"/>
      <c r="D27" s="122"/>
      <c r="H27" s="88"/>
      <c r="I27" s="88"/>
      <c r="J27" s="123"/>
      <c r="N27" s="79"/>
      <c r="Q27" s="79"/>
      <c r="T27" s="130"/>
      <c r="V27" s="106"/>
    </row>
    <row r="28">
      <c r="A28" s="25"/>
      <c r="B28" s="26"/>
      <c r="C28" s="121"/>
      <c r="D28" s="122"/>
      <c r="J28" s="79"/>
      <c r="N28" s="79"/>
      <c r="Q28" s="79"/>
      <c r="T28" s="132"/>
      <c r="V28" s="106"/>
    </row>
    <row r="29">
      <c r="A29" s="25"/>
      <c r="B29" s="26"/>
      <c r="C29" s="121"/>
      <c r="D29" s="122"/>
      <c r="I29" s="89"/>
      <c r="J29" s="125"/>
      <c r="N29" s="79"/>
      <c r="Q29" s="79"/>
      <c r="T29" s="130"/>
      <c r="V29" s="106"/>
    </row>
    <row r="30">
      <c r="C30" s="79"/>
      <c r="D30" s="79"/>
      <c r="J30" s="79"/>
      <c r="N30" s="79"/>
      <c r="Q30" s="79"/>
      <c r="T30" s="130"/>
      <c r="V30" s="106"/>
    </row>
    <row r="31">
      <c r="C31" s="79"/>
      <c r="D31" s="79"/>
      <c r="J31" s="79"/>
      <c r="N31" s="79"/>
      <c r="Q31" s="79"/>
      <c r="T31" s="130"/>
      <c r="V31" s="106"/>
    </row>
    <row r="32">
      <c r="C32" s="79"/>
      <c r="D32" s="79"/>
      <c r="J32" s="79"/>
      <c r="N32" s="79"/>
      <c r="Q32" s="79"/>
      <c r="T32" s="130"/>
      <c r="V32" s="106"/>
    </row>
    <row r="33">
      <c r="C33" s="79"/>
      <c r="D33" s="79"/>
      <c r="J33" s="79"/>
      <c r="N33" s="79"/>
      <c r="Q33" s="79"/>
      <c r="T33" s="130"/>
      <c r="V33" s="106"/>
    </row>
    <row r="34">
      <c r="C34" s="79"/>
      <c r="D34" s="79"/>
      <c r="J34" s="79"/>
      <c r="N34" s="79"/>
      <c r="Q34" s="79"/>
      <c r="T34" s="130"/>
      <c r="V34" s="106"/>
    </row>
    <row r="35">
      <c r="C35" s="79"/>
      <c r="D35" s="79"/>
      <c r="J35" s="79"/>
      <c r="N35" s="79"/>
      <c r="Q35" s="79"/>
      <c r="T35" s="130"/>
      <c r="V35" s="106"/>
    </row>
    <row r="36">
      <c r="C36" s="79"/>
      <c r="D36" s="79"/>
      <c r="J36" s="79"/>
      <c r="N36" s="79"/>
      <c r="Q36" s="79"/>
      <c r="T36" s="130"/>
      <c r="V36" s="106"/>
    </row>
    <row r="37">
      <c r="C37" s="79"/>
      <c r="D37" s="79"/>
      <c r="J37" s="79"/>
      <c r="N37" s="79"/>
      <c r="Q37" s="79"/>
      <c r="T37" s="130"/>
      <c r="V37" s="106"/>
    </row>
    <row r="38">
      <c r="C38" s="79"/>
      <c r="D38" s="79"/>
      <c r="J38" s="79"/>
      <c r="N38" s="79"/>
      <c r="Q38" s="79"/>
      <c r="T38" s="130"/>
      <c r="V38" s="106"/>
    </row>
    <row r="39">
      <c r="C39" s="79"/>
      <c r="D39" s="79"/>
      <c r="J39" s="79"/>
      <c r="N39" s="79"/>
      <c r="Q39" s="79"/>
      <c r="T39" s="130"/>
      <c r="V39" s="106"/>
    </row>
    <row r="40">
      <c r="C40" s="79"/>
      <c r="D40" s="79"/>
      <c r="J40" s="79"/>
      <c r="N40" s="79"/>
      <c r="Q40" s="79"/>
      <c r="T40" s="130"/>
      <c r="V40" s="106"/>
    </row>
    <row r="41">
      <c r="C41" s="79"/>
      <c r="D41" s="79"/>
      <c r="J41" s="79"/>
      <c r="N41" s="79"/>
      <c r="Q41" s="79"/>
      <c r="T41" s="130"/>
      <c r="V41" s="106"/>
    </row>
    <row r="42">
      <c r="C42" s="79"/>
      <c r="D42" s="79"/>
      <c r="J42" s="79"/>
      <c r="N42" s="79"/>
      <c r="Q42" s="79"/>
      <c r="T42" s="130"/>
      <c r="V42" s="106"/>
    </row>
    <row r="43">
      <c r="C43" s="79"/>
      <c r="D43" s="79"/>
      <c r="J43" s="79"/>
      <c r="N43" s="79"/>
      <c r="Q43" s="79"/>
      <c r="T43" s="130"/>
      <c r="V43" s="106"/>
    </row>
    <row r="44">
      <c r="C44" s="79"/>
      <c r="D44" s="79"/>
      <c r="J44" s="79"/>
      <c r="N44" s="79"/>
      <c r="Q44" s="79"/>
      <c r="T44" s="130"/>
      <c r="V44" s="106"/>
    </row>
    <row r="45">
      <c r="C45" s="79"/>
      <c r="D45" s="79"/>
      <c r="J45" s="79"/>
      <c r="N45" s="79"/>
      <c r="Q45" s="79"/>
      <c r="T45" s="130"/>
      <c r="V45" s="106"/>
    </row>
    <row r="46">
      <c r="C46" s="79"/>
      <c r="D46" s="79"/>
      <c r="J46" s="79"/>
      <c r="N46" s="79"/>
      <c r="Q46" s="79"/>
      <c r="T46" s="130"/>
      <c r="V46" s="106"/>
    </row>
    <row r="47">
      <c r="C47" s="79"/>
      <c r="D47" s="79"/>
      <c r="J47" s="79"/>
      <c r="N47" s="79"/>
      <c r="Q47" s="79"/>
      <c r="T47" s="130"/>
      <c r="V47" s="106"/>
    </row>
    <row r="48">
      <c r="C48" s="79"/>
      <c r="D48" s="79"/>
      <c r="J48" s="79"/>
      <c r="N48" s="79"/>
      <c r="Q48" s="79"/>
      <c r="T48" s="130"/>
      <c r="V48" s="106"/>
    </row>
    <row r="49">
      <c r="C49" s="79"/>
      <c r="D49" s="79"/>
      <c r="J49" s="79"/>
      <c r="N49" s="79"/>
      <c r="Q49" s="79"/>
      <c r="T49" s="130"/>
      <c r="V49" s="106"/>
    </row>
    <row r="50">
      <c r="C50" s="79"/>
      <c r="D50" s="79"/>
      <c r="J50" s="79"/>
      <c r="N50" s="79"/>
      <c r="Q50" s="79"/>
      <c r="T50" s="130"/>
      <c r="V50" s="106"/>
    </row>
    <row r="51">
      <c r="C51" s="79"/>
      <c r="D51" s="79"/>
      <c r="J51" s="79"/>
      <c r="N51" s="79"/>
      <c r="Q51" s="79"/>
      <c r="T51" s="130"/>
      <c r="V51" s="106"/>
    </row>
    <row r="52">
      <c r="C52" s="79"/>
      <c r="D52" s="79"/>
      <c r="J52" s="79"/>
      <c r="N52" s="79"/>
      <c r="Q52" s="79"/>
      <c r="T52" s="130"/>
      <c r="V52" s="106"/>
    </row>
    <row r="53">
      <c r="C53" s="79"/>
      <c r="D53" s="79"/>
      <c r="J53" s="79"/>
      <c r="N53" s="79"/>
      <c r="Q53" s="79"/>
      <c r="T53" s="130"/>
      <c r="V53" s="106"/>
    </row>
    <row r="54">
      <c r="C54" s="79"/>
      <c r="D54" s="79"/>
      <c r="J54" s="79"/>
      <c r="N54" s="79"/>
      <c r="Q54" s="79"/>
      <c r="T54" s="130"/>
      <c r="V54" s="106"/>
    </row>
    <row r="55">
      <c r="C55" s="79"/>
      <c r="D55" s="79"/>
      <c r="J55" s="79"/>
      <c r="N55" s="79"/>
      <c r="Q55" s="79"/>
      <c r="T55" s="130"/>
      <c r="V55" s="106"/>
    </row>
    <row r="56">
      <c r="C56" s="79"/>
      <c r="D56" s="79"/>
      <c r="J56" s="79"/>
      <c r="N56" s="79"/>
      <c r="Q56" s="79"/>
      <c r="T56" s="130"/>
      <c r="V56" s="106"/>
    </row>
    <row r="57">
      <c r="C57" s="79"/>
      <c r="D57" s="79"/>
      <c r="J57" s="79"/>
      <c r="N57" s="79"/>
      <c r="Q57" s="79"/>
      <c r="T57" s="130"/>
      <c r="V57" s="106"/>
    </row>
    <row r="58">
      <c r="C58" s="79"/>
      <c r="D58" s="79"/>
      <c r="J58" s="79"/>
      <c r="N58" s="79"/>
      <c r="Q58" s="79"/>
      <c r="T58" s="130"/>
      <c r="V58" s="106"/>
    </row>
    <row r="59">
      <c r="C59" s="79"/>
      <c r="D59" s="79"/>
      <c r="J59" s="79"/>
      <c r="N59" s="79"/>
      <c r="Q59" s="79"/>
      <c r="T59" s="130"/>
      <c r="V59" s="106"/>
    </row>
    <row r="60">
      <c r="C60" s="79"/>
      <c r="D60" s="79"/>
      <c r="J60" s="79"/>
      <c r="N60" s="79"/>
      <c r="Q60" s="79"/>
      <c r="T60" s="130"/>
      <c r="V60" s="106"/>
    </row>
    <row r="61">
      <c r="C61" s="79"/>
      <c r="D61" s="79"/>
      <c r="J61" s="79"/>
      <c r="N61" s="79"/>
      <c r="Q61" s="79"/>
      <c r="T61" s="130"/>
      <c r="V61" s="106"/>
    </row>
    <row r="62">
      <c r="C62" s="79"/>
      <c r="D62" s="79"/>
      <c r="J62" s="79"/>
      <c r="N62" s="79"/>
      <c r="Q62" s="79"/>
      <c r="T62" s="130"/>
      <c r="V62" s="106"/>
    </row>
    <row r="63">
      <c r="C63" s="79"/>
      <c r="D63" s="79"/>
      <c r="J63" s="79"/>
      <c r="N63" s="79"/>
      <c r="Q63" s="79"/>
      <c r="T63" s="130"/>
      <c r="V63" s="106"/>
    </row>
    <row r="64">
      <c r="C64" s="79"/>
      <c r="D64" s="79"/>
      <c r="J64" s="79"/>
      <c r="N64" s="79"/>
      <c r="Q64" s="79"/>
      <c r="T64" s="130"/>
      <c r="V64" s="106"/>
    </row>
    <row r="65">
      <c r="C65" s="79"/>
      <c r="D65" s="79"/>
      <c r="J65" s="79"/>
      <c r="N65" s="79"/>
      <c r="Q65" s="79"/>
      <c r="T65" s="130"/>
      <c r="V65" s="106"/>
    </row>
    <row r="66">
      <c r="C66" s="79"/>
      <c r="D66" s="79"/>
      <c r="J66" s="79"/>
      <c r="N66" s="79"/>
      <c r="Q66" s="79"/>
      <c r="T66" s="130"/>
      <c r="V66" s="106"/>
    </row>
    <row r="67">
      <c r="C67" s="79"/>
      <c r="D67" s="79"/>
      <c r="J67" s="79"/>
      <c r="N67" s="79"/>
      <c r="Q67" s="79"/>
      <c r="T67" s="130"/>
      <c r="V67" s="106"/>
    </row>
    <row r="68">
      <c r="C68" s="79"/>
      <c r="D68" s="79"/>
      <c r="J68" s="79"/>
      <c r="N68" s="79"/>
      <c r="Q68" s="79"/>
      <c r="T68" s="130"/>
      <c r="V68" s="106"/>
    </row>
    <row r="69">
      <c r="C69" s="79"/>
      <c r="D69" s="79"/>
      <c r="J69" s="79"/>
      <c r="N69" s="79"/>
      <c r="Q69" s="79"/>
      <c r="T69" s="130"/>
      <c r="V69" s="106"/>
    </row>
    <row r="70">
      <c r="C70" s="79"/>
      <c r="D70" s="79"/>
      <c r="J70" s="79"/>
      <c r="N70" s="79"/>
      <c r="Q70" s="79"/>
      <c r="T70" s="130"/>
      <c r="V70" s="106"/>
    </row>
    <row r="71">
      <c r="C71" s="79"/>
      <c r="D71" s="79"/>
      <c r="J71" s="79"/>
      <c r="N71" s="79"/>
      <c r="Q71" s="79"/>
      <c r="T71" s="130"/>
      <c r="V71" s="106"/>
    </row>
    <row r="72">
      <c r="C72" s="79"/>
      <c r="D72" s="79"/>
      <c r="J72" s="79"/>
      <c r="N72" s="79"/>
      <c r="Q72" s="79"/>
      <c r="T72" s="130"/>
      <c r="V72" s="106"/>
    </row>
    <row r="73">
      <c r="C73" s="79"/>
      <c r="D73" s="79"/>
      <c r="J73" s="79"/>
      <c r="N73" s="79"/>
      <c r="Q73" s="79"/>
      <c r="T73" s="130"/>
      <c r="V73" s="106"/>
    </row>
    <row r="74">
      <c r="C74" s="79"/>
      <c r="D74" s="79"/>
      <c r="J74" s="79"/>
      <c r="N74" s="79"/>
      <c r="Q74" s="79"/>
      <c r="T74" s="130"/>
      <c r="V74" s="106"/>
    </row>
    <row r="75">
      <c r="C75" s="79"/>
      <c r="D75" s="79"/>
      <c r="J75" s="79"/>
      <c r="N75" s="79"/>
      <c r="Q75" s="79"/>
      <c r="T75" s="130"/>
      <c r="V75" s="106"/>
    </row>
    <row r="76">
      <c r="C76" s="79"/>
      <c r="D76" s="79"/>
      <c r="J76" s="79"/>
      <c r="N76" s="79"/>
      <c r="Q76" s="79"/>
      <c r="T76" s="130"/>
      <c r="V76" s="106"/>
    </row>
    <row r="77">
      <c r="C77" s="79"/>
      <c r="D77" s="79"/>
      <c r="J77" s="79"/>
      <c r="N77" s="79"/>
      <c r="Q77" s="79"/>
      <c r="T77" s="130"/>
      <c r="V77" s="106"/>
    </row>
    <row r="78">
      <c r="C78" s="79"/>
      <c r="D78" s="79"/>
      <c r="J78" s="79"/>
      <c r="N78" s="79"/>
      <c r="Q78" s="79"/>
      <c r="T78" s="130"/>
      <c r="V78" s="106"/>
    </row>
    <row r="79">
      <c r="C79" s="79"/>
      <c r="D79" s="79"/>
      <c r="J79" s="79"/>
      <c r="N79" s="79"/>
      <c r="Q79" s="79"/>
      <c r="T79" s="130"/>
      <c r="V79" s="106"/>
    </row>
    <row r="80">
      <c r="C80" s="79"/>
      <c r="D80" s="79"/>
      <c r="J80" s="79"/>
      <c r="N80" s="79"/>
      <c r="Q80" s="79"/>
      <c r="T80" s="130"/>
      <c r="V80" s="106"/>
    </row>
    <row r="81">
      <c r="C81" s="79"/>
      <c r="D81" s="79"/>
      <c r="J81" s="79"/>
      <c r="N81" s="79"/>
      <c r="Q81" s="79"/>
      <c r="T81" s="130"/>
      <c r="V81" s="106"/>
    </row>
    <row r="82">
      <c r="C82" s="79"/>
      <c r="D82" s="79"/>
      <c r="J82" s="79"/>
      <c r="N82" s="79"/>
      <c r="Q82" s="79"/>
      <c r="T82" s="130"/>
      <c r="V82" s="106"/>
    </row>
    <row r="83">
      <c r="C83" s="79"/>
      <c r="D83" s="79"/>
      <c r="J83" s="79"/>
      <c r="N83" s="79"/>
      <c r="Q83" s="79"/>
      <c r="T83" s="130"/>
      <c r="V83" s="106"/>
    </row>
    <row r="84">
      <c r="C84" s="79"/>
      <c r="D84" s="79"/>
      <c r="J84" s="79"/>
      <c r="N84" s="79"/>
      <c r="Q84" s="79"/>
      <c r="T84" s="130"/>
      <c r="V84" s="106"/>
    </row>
    <row r="85">
      <c r="C85" s="79"/>
      <c r="D85" s="79"/>
      <c r="J85" s="79"/>
      <c r="N85" s="79"/>
      <c r="Q85" s="79"/>
      <c r="T85" s="130"/>
      <c r="V85" s="106"/>
    </row>
    <row r="86">
      <c r="C86" s="79"/>
      <c r="D86" s="79"/>
      <c r="J86" s="79"/>
      <c r="N86" s="79"/>
      <c r="Q86" s="79"/>
      <c r="T86" s="130"/>
      <c r="V86" s="106"/>
    </row>
    <row r="87">
      <c r="C87" s="79"/>
      <c r="D87" s="79"/>
      <c r="J87" s="79"/>
      <c r="N87" s="79"/>
      <c r="Q87" s="79"/>
      <c r="T87" s="130"/>
      <c r="V87" s="106"/>
    </row>
    <row r="88">
      <c r="C88" s="79"/>
      <c r="D88" s="79"/>
      <c r="J88" s="79"/>
      <c r="N88" s="79"/>
      <c r="Q88" s="79"/>
      <c r="T88" s="130"/>
      <c r="V88" s="106"/>
    </row>
    <row r="89">
      <c r="C89" s="79"/>
      <c r="D89" s="79"/>
      <c r="J89" s="79"/>
      <c r="N89" s="79"/>
      <c r="Q89" s="79"/>
      <c r="T89" s="130"/>
      <c r="V89" s="106"/>
    </row>
    <row r="90">
      <c r="C90" s="79"/>
      <c r="D90" s="79"/>
      <c r="J90" s="79"/>
      <c r="N90" s="79"/>
      <c r="Q90" s="79"/>
      <c r="T90" s="130"/>
      <c r="V90" s="106"/>
    </row>
    <row r="91">
      <c r="C91" s="79"/>
      <c r="D91" s="79"/>
      <c r="J91" s="79"/>
      <c r="N91" s="79"/>
      <c r="Q91" s="79"/>
      <c r="T91" s="130"/>
      <c r="V91" s="106"/>
    </row>
    <row r="92">
      <c r="C92" s="79"/>
      <c r="D92" s="79"/>
      <c r="J92" s="79"/>
      <c r="N92" s="79"/>
      <c r="Q92" s="79"/>
      <c r="T92" s="130"/>
      <c r="V92" s="106"/>
    </row>
    <row r="93">
      <c r="C93" s="79"/>
      <c r="D93" s="79"/>
      <c r="J93" s="79"/>
      <c r="N93" s="79"/>
      <c r="Q93" s="79"/>
      <c r="T93" s="130"/>
      <c r="V93" s="106"/>
    </row>
    <row r="94">
      <c r="C94" s="79"/>
      <c r="D94" s="79"/>
      <c r="J94" s="79"/>
      <c r="N94" s="79"/>
      <c r="Q94" s="79"/>
      <c r="T94" s="130"/>
      <c r="V94" s="106"/>
    </row>
    <row r="95">
      <c r="C95" s="79"/>
      <c r="D95" s="79"/>
      <c r="J95" s="79"/>
      <c r="N95" s="79"/>
      <c r="Q95" s="79"/>
      <c r="T95" s="130"/>
      <c r="V95" s="106"/>
    </row>
    <row r="96">
      <c r="C96" s="79"/>
      <c r="D96" s="79"/>
      <c r="J96" s="79"/>
      <c r="N96" s="79"/>
      <c r="Q96" s="79"/>
      <c r="T96" s="130"/>
      <c r="V96" s="106"/>
    </row>
    <row r="97">
      <c r="C97" s="79"/>
      <c r="D97" s="79"/>
      <c r="J97" s="79"/>
      <c r="N97" s="79"/>
      <c r="Q97" s="79"/>
      <c r="T97" s="130"/>
      <c r="V97" s="106"/>
    </row>
    <row r="98">
      <c r="C98" s="79"/>
      <c r="D98" s="79"/>
      <c r="J98" s="79"/>
      <c r="N98" s="79"/>
      <c r="Q98" s="79"/>
      <c r="T98" s="130"/>
      <c r="V98" s="106"/>
    </row>
    <row r="99">
      <c r="C99" s="79"/>
      <c r="D99" s="79"/>
      <c r="J99" s="79"/>
      <c r="N99" s="79"/>
      <c r="Q99" s="79"/>
      <c r="T99" s="130"/>
      <c r="V99" s="106"/>
    </row>
    <row r="100">
      <c r="C100" s="79"/>
      <c r="D100" s="79"/>
      <c r="J100" s="79"/>
      <c r="N100" s="79"/>
      <c r="Q100" s="79"/>
      <c r="T100" s="130"/>
      <c r="V100" s="106"/>
    </row>
    <row r="101">
      <c r="C101" s="79"/>
      <c r="D101" s="79"/>
      <c r="J101" s="79"/>
      <c r="N101" s="79"/>
      <c r="Q101" s="79"/>
      <c r="T101" s="130"/>
      <c r="V101" s="106"/>
    </row>
    <row r="102">
      <c r="C102" s="79"/>
      <c r="D102" s="79"/>
      <c r="J102" s="79"/>
      <c r="N102" s="79"/>
      <c r="Q102" s="79"/>
      <c r="T102" s="130"/>
      <c r="V102" s="106"/>
    </row>
    <row r="103">
      <c r="C103" s="79"/>
      <c r="D103" s="79"/>
      <c r="J103" s="79"/>
      <c r="N103" s="79"/>
      <c r="Q103" s="79"/>
      <c r="T103" s="130"/>
      <c r="V103" s="106"/>
    </row>
    <row r="104">
      <c r="C104" s="79"/>
      <c r="D104" s="79"/>
      <c r="J104" s="79"/>
      <c r="N104" s="79"/>
      <c r="Q104" s="79"/>
      <c r="T104" s="130"/>
      <c r="V104" s="106"/>
    </row>
    <row r="105">
      <c r="C105" s="79"/>
      <c r="D105" s="79"/>
      <c r="J105" s="79"/>
      <c r="N105" s="79"/>
      <c r="Q105" s="79"/>
      <c r="T105" s="130"/>
      <c r="V105" s="106"/>
    </row>
    <row r="106">
      <c r="C106" s="79"/>
      <c r="D106" s="79"/>
      <c r="J106" s="79"/>
      <c r="N106" s="79"/>
      <c r="Q106" s="79"/>
      <c r="T106" s="130"/>
      <c r="V106" s="106"/>
    </row>
    <row r="107">
      <c r="C107" s="79"/>
      <c r="D107" s="79"/>
      <c r="J107" s="79"/>
      <c r="N107" s="79"/>
      <c r="Q107" s="79"/>
      <c r="T107" s="130"/>
      <c r="V107" s="106"/>
    </row>
    <row r="108">
      <c r="C108" s="79"/>
      <c r="D108" s="79"/>
      <c r="J108" s="79"/>
      <c r="N108" s="79"/>
      <c r="Q108" s="79"/>
      <c r="T108" s="130"/>
      <c r="V108" s="106"/>
    </row>
    <row r="109">
      <c r="C109" s="79"/>
      <c r="D109" s="79"/>
      <c r="J109" s="79"/>
      <c r="N109" s="79"/>
      <c r="Q109" s="79"/>
      <c r="T109" s="130"/>
      <c r="V109" s="106"/>
    </row>
    <row r="110">
      <c r="C110" s="79"/>
      <c r="D110" s="79"/>
      <c r="J110" s="79"/>
      <c r="N110" s="79"/>
      <c r="Q110" s="79"/>
      <c r="T110" s="130"/>
      <c r="V110" s="106"/>
    </row>
    <row r="111">
      <c r="C111" s="79"/>
      <c r="D111" s="79"/>
      <c r="J111" s="79"/>
      <c r="N111" s="79"/>
      <c r="Q111" s="79"/>
      <c r="T111" s="130"/>
      <c r="V111" s="106"/>
    </row>
    <row r="112">
      <c r="C112" s="79"/>
      <c r="D112" s="79"/>
      <c r="J112" s="79"/>
      <c r="N112" s="79"/>
      <c r="Q112" s="79"/>
      <c r="T112" s="130"/>
      <c r="V112" s="106"/>
    </row>
    <row r="113">
      <c r="C113" s="79"/>
      <c r="D113" s="79"/>
      <c r="J113" s="79"/>
      <c r="N113" s="79"/>
      <c r="Q113" s="79"/>
      <c r="T113" s="130"/>
      <c r="V113" s="106"/>
    </row>
    <row r="114">
      <c r="C114" s="79"/>
      <c r="D114" s="79"/>
      <c r="J114" s="79"/>
      <c r="N114" s="79"/>
      <c r="Q114" s="79"/>
      <c r="T114" s="130"/>
      <c r="V114" s="106"/>
    </row>
    <row r="115">
      <c r="C115" s="79"/>
      <c r="D115" s="79"/>
      <c r="J115" s="79"/>
      <c r="N115" s="79"/>
      <c r="Q115" s="79"/>
      <c r="T115" s="130"/>
      <c r="V115" s="106"/>
    </row>
    <row r="116">
      <c r="C116" s="79"/>
      <c r="D116" s="79"/>
      <c r="J116" s="79"/>
      <c r="N116" s="79"/>
      <c r="Q116" s="79"/>
      <c r="T116" s="130"/>
      <c r="V116" s="106"/>
    </row>
    <row r="117">
      <c r="C117" s="79"/>
      <c r="D117" s="79"/>
      <c r="J117" s="79"/>
      <c r="N117" s="79"/>
      <c r="Q117" s="79"/>
      <c r="T117" s="130"/>
      <c r="V117" s="106"/>
    </row>
    <row r="118">
      <c r="C118" s="79"/>
      <c r="D118" s="79"/>
      <c r="J118" s="79"/>
      <c r="N118" s="79"/>
      <c r="Q118" s="79"/>
      <c r="T118" s="130"/>
      <c r="V118" s="106"/>
    </row>
    <row r="119">
      <c r="C119" s="79"/>
      <c r="D119" s="79"/>
      <c r="J119" s="79"/>
      <c r="N119" s="79"/>
      <c r="Q119" s="79"/>
      <c r="T119" s="130"/>
      <c r="V119" s="106"/>
    </row>
    <row r="120">
      <c r="C120" s="79"/>
      <c r="D120" s="79"/>
      <c r="J120" s="79"/>
      <c r="N120" s="79"/>
      <c r="Q120" s="79"/>
      <c r="T120" s="130"/>
      <c r="V120" s="106"/>
    </row>
    <row r="121">
      <c r="C121" s="79"/>
      <c r="D121" s="79"/>
      <c r="J121" s="79"/>
      <c r="N121" s="79"/>
      <c r="Q121" s="79"/>
      <c r="T121" s="130"/>
      <c r="V121" s="106"/>
    </row>
    <row r="122">
      <c r="C122" s="79"/>
      <c r="D122" s="79"/>
      <c r="J122" s="79"/>
      <c r="N122" s="79"/>
      <c r="Q122" s="79"/>
      <c r="T122" s="130"/>
      <c r="V122" s="106"/>
    </row>
    <row r="123">
      <c r="C123" s="79"/>
      <c r="D123" s="79"/>
      <c r="J123" s="79"/>
      <c r="N123" s="79"/>
      <c r="Q123" s="79"/>
      <c r="T123" s="130"/>
      <c r="V123" s="106"/>
    </row>
    <row r="124">
      <c r="C124" s="79"/>
      <c r="D124" s="79"/>
      <c r="J124" s="79"/>
      <c r="N124" s="79"/>
      <c r="Q124" s="79"/>
      <c r="T124" s="130"/>
      <c r="V124" s="106"/>
    </row>
    <row r="125">
      <c r="C125" s="79"/>
      <c r="D125" s="79"/>
      <c r="J125" s="79"/>
      <c r="N125" s="79"/>
      <c r="Q125" s="79"/>
      <c r="T125" s="130"/>
      <c r="V125" s="106"/>
    </row>
    <row r="126">
      <c r="C126" s="79"/>
      <c r="D126" s="79"/>
      <c r="J126" s="79"/>
      <c r="N126" s="79"/>
      <c r="Q126" s="79"/>
      <c r="T126" s="130"/>
      <c r="V126" s="106"/>
    </row>
    <row r="127">
      <c r="C127" s="79"/>
      <c r="D127" s="79"/>
      <c r="J127" s="79"/>
      <c r="N127" s="79"/>
      <c r="Q127" s="79"/>
      <c r="T127" s="130"/>
      <c r="V127" s="106"/>
    </row>
    <row r="128">
      <c r="C128" s="79"/>
      <c r="D128" s="79"/>
      <c r="J128" s="79"/>
      <c r="N128" s="79"/>
      <c r="Q128" s="79"/>
      <c r="T128" s="130"/>
      <c r="V128" s="106"/>
    </row>
    <row r="129">
      <c r="C129" s="79"/>
      <c r="D129" s="79"/>
      <c r="J129" s="79"/>
      <c r="N129" s="79"/>
      <c r="Q129" s="79"/>
      <c r="T129" s="130"/>
      <c r="V129" s="106"/>
    </row>
    <row r="130">
      <c r="C130" s="79"/>
      <c r="D130" s="79"/>
      <c r="J130" s="79"/>
      <c r="N130" s="79"/>
      <c r="Q130" s="79"/>
      <c r="T130" s="130"/>
      <c r="V130" s="106"/>
    </row>
    <row r="131">
      <c r="C131" s="79"/>
      <c r="D131" s="79"/>
      <c r="J131" s="79"/>
      <c r="N131" s="79"/>
      <c r="Q131" s="79"/>
      <c r="T131" s="130"/>
      <c r="V131" s="106"/>
    </row>
    <row r="132">
      <c r="C132" s="79"/>
      <c r="D132" s="79"/>
      <c r="J132" s="79"/>
      <c r="N132" s="79"/>
      <c r="Q132" s="79"/>
      <c r="T132" s="130"/>
      <c r="V132" s="106"/>
    </row>
    <row r="133">
      <c r="C133" s="79"/>
      <c r="D133" s="79"/>
      <c r="J133" s="79"/>
      <c r="N133" s="79"/>
      <c r="Q133" s="79"/>
      <c r="T133" s="130"/>
      <c r="V133" s="106"/>
    </row>
    <row r="134">
      <c r="C134" s="79"/>
      <c r="D134" s="79"/>
      <c r="J134" s="79"/>
      <c r="N134" s="79"/>
      <c r="Q134" s="79"/>
      <c r="T134" s="130"/>
      <c r="V134" s="106"/>
    </row>
    <row r="135">
      <c r="C135" s="79"/>
      <c r="D135" s="79"/>
      <c r="J135" s="79"/>
      <c r="N135" s="79"/>
      <c r="Q135" s="79"/>
      <c r="T135" s="130"/>
      <c r="V135" s="106"/>
    </row>
    <row r="136">
      <c r="C136" s="79"/>
      <c r="D136" s="79"/>
      <c r="J136" s="79"/>
      <c r="N136" s="79"/>
      <c r="Q136" s="79"/>
      <c r="T136" s="130"/>
      <c r="V136" s="106"/>
    </row>
    <row r="137">
      <c r="C137" s="79"/>
      <c r="D137" s="79"/>
      <c r="J137" s="79"/>
      <c r="N137" s="79"/>
      <c r="Q137" s="79"/>
      <c r="T137" s="130"/>
      <c r="V137" s="106"/>
    </row>
    <row r="138">
      <c r="C138" s="79"/>
      <c r="D138" s="79"/>
      <c r="J138" s="79"/>
      <c r="N138" s="79"/>
      <c r="Q138" s="79"/>
      <c r="T138" s="130"/>
      <c r="V138" s="106"/>
    </row>
    <row r="139">
      <c r="C139" s="79"/>
      <c r="D139" s="79"/>
      <c r="J139" s="79"/>
      <c r="N139" s="79"/>
      <c r="Q139" s="79"/>
      <c r="T139" s="130"/>
      <c r="V139" s="106"/>
    </row>
    <row r="140">
      <c r="C140" s="79"/>
      <c r="D140" s="79"/>
      <c r="J140" s="79"/>
      <c r="N140" s="79"/>
      <c r="Q140" s="79"/>
      <c r="T140" s="130"/>
      <c r="V140" s="106"/>
    </row>
    <row r="141">
      <c r="C141" s="79"/>
      <c r="D141" s="79"/>
      <c r="J141" s="79"/>
      <c r="N141" s="79"/>
      <c r="Q141" s="79"/>
      <c r="T141" s="130"/>
      <c r="V141" s="106"/>
    </row>
    <row r="142">
      <c r="C142" s="79"/>
      <c r="D142" s="79"/>
      <c r="J142" s="79"/>
      <c r="N142" s="79"/>
      <c r="Q142" s="79"/>
      <c r="T142" s="130"/>
      <c r="V142" s="106"/>
    </row>
    <row r="143">
      <c r="C143" s="79"/>
      <c r="D143" s="79"/>
      <c r="J143" s="79"/>
      <c r="N143" s="79"/>
      <c r="Q143" s="79"/>
      <c r="T143" s="130"/>
      <c r="V143" s="106"/>
    </row>
    <row r="144">
      <c r="C144" s="79"/>
      <c r="D144" s="79"/>
      <c r="J144" s="79"/>
      <c r="N144" s="79"/>
      <c r="Q144" s="79"/>
      <c r="T144" s="130"/>
      <c r="V144" s="106"/>
    </row>
    <row r="145">
      <c r="C145" s="79"/>
      <c r="D145" s="79"/>
      <c r="J145" s="79"/>
      <c r="N145" s="79"/>
      <c r="Q145" s="79"/>
      <c r="T145" s="130"/>
      <c r="V145" s="106"/>
    </row>
    <row r="146">
      <c r="C146" s="79"/>
      <c r="D146" s="79"/>
      <c r="J146" s="79"/>
      <c r="N146" s="79"/>
      <c r="Q146" s="79"/>
      <c r="T146" s="130"/>
      <c r="V146" s="106"/>
    </row>
    <row r="147">
      <c r="C147" s="79"/>
      <c r="D147" s="79"/>
      <c r="J147" s="79"/>
      <c r="N147" s="79"/>
      <c r="Q147" s="79"/>
      <c r="T147" s="130"/>
      <c r="V147" s="106"/>
    </row>
    <row r="148">
      <c r="C148" s="79"/>
      <c r="D148" s="79"/>
      <c r="J148" s="79"/>
      <c r="N148" s="79"/>
      <c r="Q148" s="79"/>
      <c r="T148" s="130"/>
      <c r="V148" s="106"/>
    </row>
    <row r="149">
      <c r="C149" s="79"/>
      <c r="D149" s="79"/>
      <c r="J149" s="79"/>
      <c r="N149" s="79"/>
      <c r="Q149" s="79"/>
      <c r="T149" s="130"/>
      <c r="V149" s="106"/>
    </row>
    <row r="150">
      <c r="C150" s="79"/>
      <c r="D150" s="79"/>
      <c r="J150" s="79"/>
      <c r="N150" s="79"/>
      <c r="Q150" s="79"/>
      <c r="T150" s="130"/>
      <c r="V150" s="106"/>
    </row>
    <row r="151">
      <c r="C151" s="79"/>
      <c r="D151" s="79"/>
      <c r="J151" s="79"/>
      <c r="N151" s="79"/>
      <c r="Q151" s="79"/>
      <c r="T151" s="130"/>
      <c r="V151" s="106"/>
    </row>
    <row r="152">
      <c r="C152" s="79"/>
      <c r="D152" s="79"/>
      <c r="J152" s="79"/>
      <c r="N152" s="79"/>
      <c r="Q152" s="79"/>
      <c r="T152" s="130"/>
      <c r="V152" s="106"/>
    </row>
    <row r="153">
      <c r="C153" s="79"/>
      <c r="D153" s="79"/>
      <c r="J153" s="79"/>
      <c r="N153" s="79"/>
      <c r="Q153" s="79"/>
      <c r="T153" s="130"/>
      <c r="V153" s="106"/>
    </row>
    <row r="154">
      <c r="C154" s="79"/>
      <c r="D154" s="79"/>
      <c r="J154" s="79"/>
      <c r="N154" s="79"/>
      <c r="Q154" s="79"/>
      <c r="T154" s="130"/>
      <c r="V154" s="106"/>
    </row>
    <row r="155">
      <c r="C155" s="79"/>
      <c r="D155" s="79"/>
      <c r="J155" s="79"/>
      <c r="N155" s="79"/>
      <c r="Q155" s="79"/>
      <c r="T155" s="130"/>
      <c r="V155" s="106"/>
    </row>
    <row r="156">
      <c r="C156" s="79"/>
      <c r="D156" s="79"/>
      <c r="J156" s="79"/>
      <c r="N156" s="79"/>
      <c r="Q156" s="79"/>
      <c r="T156" s="130"/>
      <c r="V156" s="106"/>
    </row>
    <row r="157">
      <c r="C157" s="79"/>
      <c r="D157" s="79"/>
      <c r="J157" s="79"/>
      <c r="N157" s="79"/>
      <c r="Q157" s="79"/>
      <c r="T157" s="130"/>
      <c r="V157" s="106"/>
    </row>
    <row r="158">
      <c r="C158" s="79"/>
      <c r="D158" s="79"/>
      <c r="J158" s="79"/>
      <c r="N158" s="79"/>
      <c r="Q158" s="79"/>
      <c r="T158" s="130"/>
      <c r="V158" s="106"/>
    </row>
    <row r="159">
      <c r="C159" s="79"/>
      <c r="D159" s="79"/>
      <c r="J159" s="79"/>
      <c r="N159" s="79"/>
      <c r="Q159" s="79"/>
      <c r="T159" s="130"/>
      <c r="V159" s="106"/>
    </row>
    <row r="160">
      <c r="C160" s="79"/>
      <c r="D160" s="79"/>
      <c r="J160" s="79"/>
      <c r="N160" s="79"/>
      <c r="Q160" s="79"/>
      <c r="T160" s="130"/>
      <c r="V160" s="106"/>
    </row>
    <row r="161">
      <c r="C161" s="79"/>
      <c r="D161" s="79"/>
      <c r="J161" s="79"/>
      <c r="N161" s="79"/>
      <c r="Q161" s="79"/>
      <c r="T161" s="130"/>
      <c r="V161" s="106"/>
    </row>
    <row r="162">
      <c r="C162" s="79"/>
      <c r="D162" s="79"/>
      <c r="J162" s="79"/>
      <c r="N162" s="79"/>
      <c r="Q162" s="79"/>
      <c r="T162" s="130"/>
      <c r="V162" s="106"/>
    </row>
    <row r="163">
      <c r="C163" s="79"/>
      <c r="D163" s="79"/>
      <c r="J163" s="79"/>
      <c r="N163" s="79"/>
      <c r="Q163" s="79"/>
      <c r="T163" s="130"/>
      <c r="V163" s="106"/>
    </row>
    <row r="164">
      <c r="C164" s="79"/>
      <c r="D164" s="79"/>
      <c r="J164" s="79"/>
      <c r="N164" s="79"/>
      <c r="Q164" s="79"/>
      <c r="T164" s="130"/>
      <c r="V164" s="106"/>
    </row>
    <row r="165">
      <c r="C165" s="79"/>
      <c r="D165" s="79"/>
      <c r="J165" s="79"/>
      <c r="N165" s="79"/>
      <c r="Q165" s="79"/>
      <c r="T165" s="130"/>
      <c r="V165" s="106"/>
    </row>
    <row r="166">
      <c r="C166" s="79"/>
      <c r="D166" s="79"/>
      <c r="J166" s="79"/>
      <c r="N166" s="79"/>
      <c r="Q166" s="79"/>
      <c r="T166" s="130"/>
      <c r="V166" s="106"/>
    </row>
    <row r="167">
      <c r="C167" s="79"/>
      <c r="D167" s="79"/>
      <c r="J167" s="79"/>
      <c r="N167" s="79"/>
      <c r="Q167" s="79"/>
      <c r="T167" s="130"/>
      <c r="V167" s="106"/>
    </row>
    <row r="168">
      <c r="C168" s="79"/>
      <c r="D168" s="79"/>
      <c r="J168" s="79"/>
      <c r="N168" s="79"/>
      <c r="Q168" s="79"/>
      <c r="T168" s="130"/>
      <c r="V168" s="106"/>
    </row>
    <row r="169">
      <c r="C169" s="79"/>
      <c r="D169" s="79"/>
      <c r="J169" s="79"/>
      <c r="N169" s="79"/>
      <c r="Q169" s="79"/>
      <c r="T169" s="130"/>
      <c r="V169" s="106"/>
    </row>
    <row r="170">
      <c r="C170" s="79"/>
      <c r="D170" s="79"/>
      <c r="J170" s="79"/>
      <c r="N170" s="79"/>
      <c r="Q170" s="79"/>
      <c r="T170" s="130"/>
      <c r="V170" s="106"/>
    </row>
    <row r="171">
      <c r="C171" s="79"/>
      <c r="D171" s="79"/>
      <c r="J171" s="79"/>
      <c r="N171" s="79"/>
      <c r="Q171" s="79"/>
      <c r="T171" s="130"/>
      <c r="V171" s="106"/>
    </row>
    <row r="172">
      <c r="C172" s="79"/>
      <c r="D172" s="79"/>
      <c r="J172" s="79"/>
      <c r="N172" s="79"/>
      <c r="Q172" s="79"/>
      <c r="T172" s="130"/>
      <c r="V172" s="106"/>
    </row>
    <row r="173">
      <c r="C173" s="79"/>
      <c r="D173" s="79"/>
      <c r="J173" s="79"/>
      <c r="N173" s="79"/>
      <c r="Q173" s="79"/>
      <c r="T173" s="130"/>
      <c r="V173" s="106"/>
    </row>
    <row r="174">
      <c r="C174" s="79"/>
      <c r="D174" s="79"/>
      <c r="J174" s="79"/>
      <c r="N174" s="79"/>
      <c r="Q174" s="79"/>
      <c r="T174" s="130"/>
      <c r="V174" s="106"/>
    </row>
    <row r="175">
      <c r="C175" s="79"/>
      <c r="D175" s="79"/>
      <c r="J175" s="79"/>
      <c r="N175" s="79"/>
      <c r="Q175" s="79"/>
      <c r="T175" s="130"/>
      <c r="V175" s="106"/>
    </row>
    <row r="176">
      <c r="C176" s="79"/>
      <c r="D176" s="79"/>
      <c r="J176" s="79"/>
      <c r="N176" s="79"/>
      <c r="Q176" s="79"/>
      <c r="T176" s="130"/>
      <c r="V176" s="106"/>
    </row>
    <row r="177">
      <c r="C177" s="79"/>
      <c r="D177" s="79"/>
      <c r="J177" s="79"/>
      <c r="N177" s="79"/>
      <c r="Q177" s="79"/>
      <c r="T177" s="130"/>
      <c r="V177" s="106"/>
    </row>
    <row r="178">
      <c r="C178" s="79"/>
      <c r="D178" s="79"/>
      <c r="J178" s="79"/>
      <c r="N178" s="79"/>
      <c r="Q178" s="79"/>
      <c r="T178" s="130"/>
      <c r="V178" s="106"/>
    </row>
    <row r="179">
      <c r="C179" s="79"/>
      <c r="D179" s="79"/>
      <c r="J179" s="79"/>
      <c r="N179" s="79"/>
      <c r="Q179" s="79"/>
      <c r="T179" s="130"/>
      <c r="V179" s="106"/>
    </row>
    <row r="180">
      <c r="C180" s="79"/>
      <c r="D180" s="79"/>
      <c r="J180" s="79"/>
      <c r="N180" s="79"/>
      <c r="Q180" s="79"/>
      <c r="T180" s="130"/>
      <c r="V180" s="106"/>
    </row>
    <row r="181">
      <c r="C181" s="79"/>
      <c r="D181" s="79"/>
      <c r="J181" s="79"/>
      <c r="N181" s="79"/>
      <c r="Q181" s="79"/>
      <c r="T181" s="130"/>
      <c r="V181" s="106"/>
    </row>
    <row r="182">
      <c r="C182" s="79"/>
      <c r="D182" s="79"/>
      <c r="J182" s="79"/>
      <c r="N182" s="79"/>
      <c r="Q182" s="79"/>
      <c r="T182" s="130"/>
      <c r="V182" s="106"/>
    </row>
    <row r="183">
      <c r="C183" s="79"/>
      <c r="D183" s="79"/>
      <c r="J183" s="79"/>
      <c r="N183" s="79"/>
      <c r="Q183" s="79"/>
      <c r="T183" s="130"/>
      <c r="V183" s="106"/>
    </row>
    <row r="184">
      <c r="C184" s="79"/>
      <c r="D184" s="79"/>
      <c r="J184" s="79"/>
      <c r="N184" s="79"/>
      <c r="Q184" s="79"/>
      <c r="T184" s="130"/>
      <c r="V184" s="106"/>
    </row>
    <row r="185">
      <c r="C185" s="79"/>
      <c r="D185" s="79"/>
      <c r="J185" s="79"/>
      <c r="N185" s="79"/>
      <c r="Q185" s="79"/>
      <c r="T185" s="130"/>
      <c r="V185" s="106"/>
    </row>
    <row r="186">
      <c r="C186" s="79"/>
      <c r="D186" s="79"/>
      <c r="J186" s="79"/>
      <c r="N186" s="79"/>
      <c r="Q186" s="79"/>
      <c r="T186" s="130"/>
      <c r="V186" s="106"/>
    </row>
    <row r="187">
      <c r="C187" s="79"/>
      <c r="D187" s="79"/>
      <c r="J187" s="79"/>
      <c r="N187" s="79"/>
      <c r="Q187" s="79"/>
      <c r="T187" s="130"/>
      <c r="V187" s="106"/>
    </row>
    <row r="188">
      <c r="C188" s="79"/>
      <c r="D188" s="79"/>
      <c r="J188" s="79"/>
      <c r="N188" s="79"/>
      <c r="Q188" s="79"/>
      <c r="T188" s="130"/>
      <c r="V188" s="106"/>
    </row>
    <row r="189">
      <c r="C189" s="79"/>
      <c r="D189" s="79"/>
      <c r="J189" s="79"/>
      <c r="N189" s="79"/>
      <c r="Q189" s="79"/>
      <c r="T189" s="130"/>
      <c r="V189" s="106"/>
    </row>
    <row r="190">
      <c r="C190" s="79"/>
      <c r="D190" s="79"/>
      <c r="J190" s="79"/>
      <c r="N190" s="79"/>
      <c r="Q190" s="79"/>
      <c r="T190" s="130"/>
      <c r="V190" s="106"/>
    </row>
    <row r="191">
      <c r="C191" s="79"/>
      <c r="D191" s="79"/>
      <c r="J191" s="79"/>
      <c r="N191" s="79"/>
      <c r="Q191" s="79"/>
      <c r="T191" s="130"/>
      <c r="V191" s="106"/>
    </row>
    <row r="192">
      <c r="C192" s="79"/>
      <c r="D192" s="79"/>
      <c r="J192" s="79"/>
      <c r="N192" s="79"/>
      <c r="Q192" s="79"/>
      <c r="T192" s="130"/>
      <c r="V192" s="106"/>
    </row>
    <row r="193">
      <c r="C193" s="79"/>
      <c r="D193" s="79"/>
      <c r="J193" s="79"/>
      <c r="N193" s="79"/>
      <c r="Q193" s="79"/>
      <c r="T193" s="130"/>
      <c r="V193" s="106"/>
    </row>
    <row r="194">
      <c r="C194" s="79"/>
      <c r="D194" s="79"/>
      <c r="J194" s="79"/>
      <c r="N194" s="79"/>
      <c r="Q194" s="79"/>
      <c r="T194" s="130"/>
      <c r="V194" s="106"/>
    </row>
    <row r="195">
      <c r="C195" s="79"/>
      <c r="D195" s="79"/>
      <c r="J195" s="79"/>
      <c r="N195" s="79"/>
      <c r="Q195" s="79"/>
      <c r="T195" s="130"/>
      <c r="V195" s="106"/>
    </row>
    <row r="196">
      <c r="C196" s="79"/>
      <c r="D196" s="79"/>
      <c r="J196" s="79"/>
      <c r="N196" s="79"/>
      <c r="Q196" s="79"/>
      <c r="T196" s="130"/>
      <c r="V196" s="106"/>
    </row>
    <row r="197">
      <c r="C197" s="79"/>
      <c r="D197" s="79"/>
      <c r="J197" s="79"/>
      <c r="N197" s="79"/>
      <c r="Q197" s="79"/>
      <c r="T197" s="130"/>
      <c r="V197" s="106"/>
    </row>
    <row r="198">
      <c r="C198" s="79"/>
      <c r="D198" s="79"/>
      <c r="J198" s="79"/>
      <c r="N198" s="79"/>
      <c r="Q198" s="79"/>
      <c r="T198" s="130"/>
      <c r="V198" s="106"/>
    </row>
    <row r="199">
      <c r="C199" s="79"/>
      <c r="D199" s="79"/>
      <c r="J199" s="79"/>
      <c r="N199" s="79"/>
      <c r="Q199" s="79"/>
      <c r="T199" s="130"/>
      <c r="V199" s="106"/>
    </row>
    <row r="200">
      <c r="C200" s="79"/>
      <c r="D200" s="79"/>
      <c r="J200" s="79"/>
      <c r="N200" s="79"/>
      <c r="Q200" s="79"/>
      <c r="T200" s="130"/>
      <c r="V200" s="106"/>
    </row>
    <row r="201">
      <c r="C201" s="79"/>
      <c r="D201" s="79"/>
      <c r="J201" s="79"/>
      <c r="N201" s="79"/>
      <c r="Q201" s="79"/>
      <c r="T201" s="130"/>
      <c r="V201" s="106"/>
    </row>
    <row r="202">
      <c r="C202" s="79"/>
      <c r="D202" s="79"/>
      <c r="J202" s="79"/>
      <c r="N202" s="79"/>
      <c r="Q202" s="79"/>
      <c r="T202" s="130"/>
      <c r="V202" s="106"/>
    </row>
    <row r="203">
      <c r="C203" s="79"/>
      <c r="D203" s="79"/>
      <c r="J203" s="79"/>
      <c r="N203" s="79"/>
      <c r="Q203" s="79"/>
      <c r="T203" s="130"/>
      <c r="V203" s="106"/>
    </row>
    <row r="204">
      <c r="C204" s="79"/>
      <c r="D204" s="79"/>
      <c r="J204" s="79"/>
      <c r="N204" s="79"/>
      <c r="Q204" s="79"/>
      <c r="T204" s="130"/>
      <c r="V204" s="106"/>
    </row>
    <row r="205">
      <c r="C205" s="79"/>
      <c r="D205" s="79"/>
      <c r="J205" s="79"/>
      <c r="N205" s="79"/>
      <c r="Q205" s="79"/>
      <c r="T205" s="130"/>
      <c r="V205" s="106"/>
    </row>
    <row r="206">
      <c r="C206" s="79"/>
      <c r="D206" s="79"/>
      <c r="J206" s="79"/>
      <c r="N206" s="79"/>
      <c r="Q206" s="79"/>
      <c r="T206" s="130"/>
      <c r="V206" s="106"/>
    </row>
    <row r="207">
      <c r="C207" s="79"/>
      <c r="D207" s="79"/>
      <c r="J207" s="79"/>
      <c r="N207" s="79"/>
      <c r="Q207" s="79"/>
      <c r="T207" s="130"/>
      <c r="V207" s="106"/>
    </row>
    <row r="208">
      <c r="C208" s="79"/>
      <c r="D208" s="79"/>
      <c r="J208" s="79"/>
      <c r="N208" s="79"/>
      <c r="Q208" s="79"/>
      <c r="T208" s="130"/>
      <c r="V208" s="106"/>
    </row>
    <row r="209">
      <c r="C209" s="79"/>
      <c r="D209" s="79"/>
      <c r="J209" s="79"/>
      <c r="N209" s="79"/>
      <c r="Q209" s="79"/>
      <c r="T209" s="130"/>
      <c r="V209" s="106"/>
    </row>
    <row r="210">
      <c r="C210" s="79"/>
      <c r="D210" s="79"/>
      <c r="J210" s="79"/>
      <c r="N210" s="79"/>
      <c r="Q210" s="79"/>
      <c r="T210" s="130"/>
      <c r="V210" s="106"/>
    </row>
    <row r="211">
      <c r="C211" s="79"/>
      <c r="D211" s="79"/>
      <c r="J211" s="79"/>
      <c r="N211" s="79"/>
      <c r="Q211" s="79"/>
      <c r="T211" s="130"/>
      <c r="V211" s="106"/>
    </row>
    <row r="212">
      <c r="C212" s="79"/>
      <c r="D212" s="79"/>
      <c r="J212" s="79"/>
      <c r="N212" s="79"/>
      <c r="Q212" s="79"/>
      <c r="T212" s="130"/>
      <c r="V212" s="106"/>
    </row>
    <row r="213">
      <c r="C213" s="79"/>
      <c r="D213" s="79"/>
      <c r="J213" s="79"/>
      <c r="N213" s="79"/>
      <c r="Q213" s="79"/>
      <c r="T213" s="130"/>
      <c r="V213" s="106"/>
    </row>
    <row r="214">
      <c r="C214" s="79"/>
      <c r="D214" s="79"/>
      <c r="J214" s="79"/>
      <c r="N214" s="79"/>
      <c r="Q214" s="79"/>
      <c r="T214" s="130"/>
      <c r="V214" s="106"/>
    </row>
    <row r="215">
      <c r="C215" s="79"/>
      <c r="D215" s="79"/>
      <c r="J215" s="79"/>
      <c r="N215" s="79"/>
      <c r="Q215" s="79"/>
      <c r="T215" s="130"/>
      <c r="V215" s="106"/>
    </row>
    <row r="216">
      <c r="C216" s="79"/>
      <c r="D216" s="79"/>
      <c r="J216" s="79"/>
      <c r="N216" s="79"/>
      <c r="Q216" s="79"/>
      <c r="T216" s="130"/>
      <c r="V216" s="106"/>
    </row>
    <row r="217">
      <c r="C217" s="79"/>
      <c r="D217" s="79"/>
      <c r="J217" s="79"/>
      <c r="N217" s="79"/>
      <c r="Q217" s="79"/>
      <c r="T217" s="130"/>
      <c r="V217" s="106"/>
    </row>
    <row r="218">
      <c r="C218" s="79"/>
      <c r="D218" s="79"/>
      <c r="J218" s="79"/>
      <c r="N218" s="79"/>
      <c r="Q218" s="79"/>
      <c r="T218" s="130"/>
      <c r="V218" s="106"/>
    </row>
    <row r="219">
      <c r="C219" s="79"/>
      <c r="D219" s="79"/>
      <c r="J219" s="79"/>
      <c r="N219" s="79"/>
      <c r="Q219" s="79"/>
      <c r="T219" s="130"/>
      <c r="V219" s="106"/>
    </row>
    <row r="220">
      <c r="C220" s="79"/>
      <c r="D220" s="79"/>
      <c r="J220" s="79"/>
      <c r="N220" s="79"/>
      <c r="Q220" s="79"/>
      <c r="T220" s="130"/>
      <c r="V220" s="106"/>
    </row>
    <row r="221">
      <c r="C221" s="79"/>
      <c r="D221" s="79"/>
      <c r="J221" s="79"/>
      <c r="N221" s="79"/>
      <c r="Q221" s="79"/>
      <c r="T221" s="130"/>
      <c r="V221" s="106"/>
    </row>
    <row r="222">
      <c r="C222" s="79"/>
      <c r="D222" s="79"/>
      <c r="J222" s="79"/>
      <c r="N222" s="79"/>
      <c r="Q222" s="79"/>
      <c r="T222" s="130"/>
      <c r="V222" s="106"/>
    </row>
    <row r="223">
      <c r="C223" s="79"/>
      <c r="D223" s="79"/>
      <c r="J223" s="79"/>
      <c r="N223" s="79"/>
      <c r="Q223" s="79"/>
      <c r="T223" s="130"/>
      <c r="V223" s="106"/>
    </row>
    <row r="224">
      <c r="C224" s="79"/>
      <c r="D224" s="79"/>
      <c r="J224" s="79"/>
      <c r="N224" s="79"/>
      <c r="Q224" s="79"/>
      <c r="T224" s="130"/>
      <c r="V224" s="106"/>
    </row>
    <row r="225">
      <c r="C225" s="79"/>
      <c r="D225" s="79"/>
      <c r="J225" s="79"/>
      <c r="N225" s="79"/>
      <c r="Q225" s="79"/>
      <c r="T225" s="130"/>
      <c r="V225" s="106"/>
    </row>
    <row r="226">
      <c r="C226" s="79"/>
      <c r="D226" s="79"/>
      <c r="J226" s="79"/>
      <c r="N226" s="79"/>
      <c r="Q226" s="79"/>
      <c r="T226" s="130"/>
      <c r="V226" s="106"/>
    </row>
    <row r="227">
      <c r="C227" s="79"/>
      <c r="D227" s="79"/>
      <c r="J227" s="79"/>
      <c r="N227" s="79"/>
      <c r="Q227" s="79"/>
      <c r="T227" s="130"/>
      <c r="V227" s="106"/>
    </row>
    <row r="228">
      <c r="C228" s="79"/>
      <c r="D228" s="79"/>
      <c r="J228" s="79"/>
      <c r="N228" s="79"/>
      <c r="Q228" s="79"/>
      <c r="T228" s="130"/>
      <c r="V228" s="106"/>
    </row>
    <row r="229">
      <c r="C229" s="79"/>
      <c r="D229" s="79"/>
      <c r="J229" s="79"/>
      <c r="N229" s="79"/>
      <c r="Q229" s="79"/>
      <c r="T229" s="130"/>
      <c r="V229" s="106"/>
    </row>
    <row r="230">
      <c r="C230" s="79"/>
      <c r="D230" s="79"/>
      <c r="J230" s="79"/>
      <c r="N230" s="79"/>
      <c r="Q230" s="79"/>
      <c r="T230" s="130"/>
      <c r="V230" s="106"/>
    </row>
    <row r="231">
      <c r="C231" s="79"/>
      <c r="D231" s="79"/>
      <c r="J231" s="79"/>
      <c r="N231" s="79"/>
      <c r="Q231" s="79"/>
      <c r="T231" s="130"/>
      <c r="V231" s="106"/>
    </row>
    <row r="232">
      <c r="C232" s="79"/>
      <c r="D232" s="79"/>
      <c r="J232" s="79"/>
      <c r="N232" s="79"/>
      <c r="Q232" s="79"/>
      <c r="T232" s="130"/>
      <c r="V232" s="106"/>
    </row>
    <row r="233">
      <c r="C233" s="79"/>
      <c r="D233" s="79"/>
      <c r="J233" s="79"/>
      <c r="N233" s="79"/>
      <c r="Q233" s="79"/>
      <c r="T233" s="130"/>
      <c r="V233" s="106"/>
    </row>
    <row r="234">
      <c r="C234" s="79"/>
      <c r="D234" s="79"/>
      <c r="J234" s="79"/>
      <c r="N234" s="79"/>
      <c r="Q234" s="79"/>
      <c r="T234" s="130"/>
      <c r="V234" s="106"/>
    </row>
    <row r="235">
      <c r="C235" s="79"/>
      <c r="D235" s="79"/>
      <c r="J235" s="79"/>
      <c r="N235" s="79"/>
      <c r="Q235" s="79"/>
      <c r="T235" s="130"/>
      <c r="V235" s="106"/>
    </row>
    <row r="236">
      <c r="C236" s="79"/>
      <c r="D236" s="79"/>
      <c r="J236" s="79"/>
      <c r="N236" s="79"/>
      <c r="Q236" s="79"/>
      <c r="T236" s="130"/>
      <c r="V236" s="106"/>
    </row>
    <row r="237">
      <c r="C237" s="79"/>
      <c r="D237" s="79"/>
      <c r="J237" s="79"/>
      <c r="N237" s="79"/>
      <c r="Q237" s="79"/>
      <c r="T237" s="130"/>
      <c r="V237" s="106"/>
    </row>
    <row r="238">
      <c r="C238" s="79"/>
      <c r="D238" s="79"/>
      <c r="J238" s="79"/>
      <c r="N238" s="79"/>
      <c r="Q238" s="79"/>
      <c r="T238" s="130"/>
      <c r="V238" s="106"/>
    </row>
    <row r="239">
      <c r="C239" s="79"/>
      <c r="D239" s="79"/>
      <c r="J239" s="79"/>
      <c r="N239" s="79"/>
      <c r="Q239" s="79"/>
      <c r="T239" s="130"/>
      <c r="V239" s="106"/>
    </row>
    <row r="240">
      <c r="C240" s="79"/>
      <c r="D240" s="79"/>
      <c r="J240" s="79"/>
      <c r="N240" s="79"/>
      <c r="Q240" s="79"/>
      <c r="T240" s="130"/>
      <c r="V240" s="106"/>
    </row>
    <row r="241">
      <c r="C241" s="79"/>
      <c r="D241" s="79"/>
      <c r="J241" s="79"/>
      <c r="N241" s="79"/>
      <c r="Q241" s="79"/>
      <c r="T241" s="130"/>
      <c r="V241" s="106"/>
    </row>
    <row r="242">
      <c r="C242" s="79"/>
      <c r="D242" s="79"/>
      <c r="J242" s="79"/>
      <c r="N242" s="79"/>
      <c r="Q242" s="79"/>
      <c r="T242" s="130"/>
      <c r="V242" s="106"/>
    </row>
    <row r="243">
      <c r="C243" s="79"/>
      <c r="D243" s="79"/>
      <c r="J243" s="79"/>
      <c r="N243" s="79"/>
      <c r="Q243" s="79"/>
      <c r="T243" s="130"/>
      <c r="V243" s="106"/>
    </row>
    <row r="244">
      <c r="C244" s="79"/>
      <c r="D244" s="79"/>
      <c r="J244" s="79"/>
      <c r="N244" s="79"/>
      <c r="Q244" s="79"/>
      <c r="T244" s="130"/>
      <c r="V244" s="106"/>
    </row>
    <row r="245">
      <c r="C245" s="79"/>
      <c r="D245" s="79"/>
      <c r="J245" s="79"/>
      <c r="N245" s="79"/>
      <c r="Q245" s="79"/>
      <c r="T245" s="130"/>
      <c r="V245" s="106"/>
    </row>
    <row r="246">
      <c r="C246" s="79"/>
      <c r="D246" s="79"/>
      <c r="J246" s="79"/>
      <c r="N246" s="79"/>
      <c r="Q246" s="79"/>
      <c r="T246" s="130"/>
      <c r="V246" s="106"/>
    </row>
    <row r="247">
      <c r="C247" s="79"/>
      <c r="D247" s="79"/>
      <c r="J247" s="79"/>
      <c r="N247" s="79"/>
      <c r="Q247" s="79"/>
      <c r="T247" s="130"/>
      <c r="V247" s="106"/>
    </row>
    <row r="248">
      <c r="C248" s="79"/>
      <c r="D248" s="79"/>
      <c r="J248" s="79"/>
      <c r="N248" s="79"/>
      <c r="Q248" s="79"/>
      <c r="T248" s="130"/>
      <c r="V248" s="106"/>
    </row>
    <row r="249">
      <c r="C249" s="79"/>
      <c r="D249" s="79"/>
      <c r="J249" s="79"/>
      <c r="N249" s="79"/>
      <c r="Q249" s="79"/>
      <c r="T249" s="130"/>
      <c r="V249" s="106"/>
    </row>
    <row r="250">
      <c r="C250" s="79"/>
      <c r="D250" s="79"/>
      <c r="J250" s="79"/>
      <c r="N250" s="79"/>
      <c r="Q250" s="79"/>
      <c r="T250" s="130"/>
      <c r="V250" s="106"/>
    </row>
    <row r="251">
      <c r="C251" s="79"/>
      <c r="D251" s="79"/>
      <c r="J251" s="79"/>
      <c r="N251" s="79"/>
      <c r="Q251" s="79"/>
      <c r="T251" s="130"/>
      <c r="V251" s="106"/>
    </row>
    <row r="252">
      <c r="C252" s="79"/>
      <c r="D252" s="79"/>
      <c r="J252" s="79"/>
      <c r="N252" s="79"/>
      <c r="Q252" s="79"/>
      <c r="T252" s="130"/>
      <c r="V252" s="106"/>
    </row>
    <row r="253">
      <c r="C253" s="79"/>
      <c r="D253" s="79"/>
      <c r="J253" s="79"/>
      <c r="N253" s="79"/>
      <c r="Q253" s="79"/>
      <c r="T253" s="130"/>
      <c r="V253" s="106"/>
    </row>
    <row r="254">
      <c r="C254" s="79"/>
      <c r="D254" s="79"/>
      <c r="J254" s="79"/>
      <c r="N254" s="79"/>
      <c r="Q254" s="79"/>
      <c r="T254" s="130"/>
      <c r="V254" s="106"/>
    </row>
    <row r="255">
      <c r="C255" s="79"/>
      <c r="D255" s="79"/>
      <c r="J255" s="79"/>
      <c r="N255" s="79"/>
      <c r="Q255" s="79"/>
      <c r="T255" s="130"/>
      <c r="V255" s="106"/>
    </row>
    <row r="256">
      <c r="C256" s="79"/>
      <c r="D256" s="79"/>
      <c r="J256" s="79"/>
      <c r="N256" s="79"/>
      <c r="Q256" s="79"/>
      <c r="T256" s="130"/>
      <c r="V256" s="106"/>
    </row>
    <row r="257">
      <c r="C257" s="79"/>
      <c r="D257" s="79"/>
      <c r="J257" s="79"/>
      <c r="N257" s="79"/>
      <c r="Q257" s="79"/>
      <c r="T257" s="130"/>
      <c r="V257" s="106"/>
    </row>
    <row r="258">
      <c r="C258" s="79"/>
      <c r="D258" s="79"/>
      <c r="J258" s="79"/>
      <c r="N258" s="79"/>
      <c r="Q258" s="79"/>
      <c r="T258" s="130"/>
      <c r="V258" s="106"/>
    </row>
    <row r="259">
      <c r="C259" s="79"/>
      <c r="D259" s="79"/>
      <c r="J259" s="79"/>
      <c r="N259" s="79"/>
      <c r="Q259" s="79"/>
      <c r="T259" s="130"/>
      <c r="V259" s="106"/>
    </row>
    <row r="260">
      <c r="C260" s="79"/>
      <c r="D260" s="79"/>
      <c r="J260" s="79"/>
      <c r="N260" s="79"/>
      <c r="Q260" s="79"/>
      <c r="T260" s="130"/>
      <c r="V260" s="106"/>
    </row>
    <row r="261">
      <c r="C261" s="79"/>
      <c r="D261" s="79"/>
      <c r="J261" s="79"/>
      <c r="N261" s="79"/>
      <c r="Q261" s="79"/>
      <c r="T261" s="130"/>
      <c r="V261" s="106"/>
    </row>
    <row r="262">
      <c r="C262" s="79"/>
      <c r="D262" s="79"/>
      <c r="J262" s="79"/>
      <c r="N262" s="79"/>
      <c r="Q262" s="79"/>
      <c r="T262" s="130"/>
      <c r="V262" s="106"/>
    </row>
    <row r="263">
      <c r="C263" s="79"/>
      <c r="D263" s="79"/>
      <c r="J263" s="79"/>
      <c r="N263" s="79"/>
      <c r="Q263" s="79"/>
      <c r="T263" s="130"/>
      <c r="V263" s="106"/>
    </row>
    <row r="264">
      <c r="C264" s="79"/>
      <c r="D264" s="79"/>
      <c r="J264" s="79"/>
      <c r="N264" s="79"/>
      <c r="Q264" s="79"/>
      <c r="T264" s="130"/>
      <c r="V264" s="106"/>
    </row>
    <row r="265">
      <c r="C265" s="79"/>
      <c r="D265" s="79"/>
      <c r="J265" s="79"/>
      <c r="N265" s="79"/>
      <c r="Q265" s="79"/>
      <c r="T265" s="130"/>
      <c r="V265" s="106"/>
    </row>
    <row r="266">
      <c r="C266" s="79"/>
      <c r="D266" s="79"/>
      <c r="J266" s="79"/>
      <c r="N266" s="79"/>
      <c r="Q266" s="79"/>
      <c r="T266" s="130"/>
      <c r="V266" s="106"/>
    </row>
    <row r="267">
      <c r="C267" s="79"/>
      <c r="D267" s="79"/>
      <c r="J267" s="79"/>
      <c r="N267" s="79"/>
      <c r="Q267" s="79"/>
      <c r="T267" s="130"/>
      <c r="V267" s="106"/>
    </row>
    <row r="268">
      <c r="C268" s="79"/>
      <c r="D268" s="79"/>
      <c r="J268" s="79"/>
      <c r="N268" s="79"/>
      <c r="Q268" s="79"/>
      <c r="T268" s="130"/>
      <c r="V268" s="106"/>
    </row>
    <row r="269">
      <c r="C269" s="79"/>
      <c r="D269" s="79"/>
      <c r="J269" s="79"/>
      <c r="N269" s="79"/>
      <c r="Q269" s="79"/>
      <c r="T269" s="130"/>
      <c r="V269" s="106"/>
    </row>
    <row r="270">
      <c r="C270" s="79"/>
      <c r="D270" s="79"/>
      <c r="J270" s="79"/>
      <c r="N270" s="79"/>
      <c r="Q270" s="79"/>
      <c r="T270" s="130"/>
      <c r="V270" s="106"/>
    </row>
    <row r="271">
      <c r="C271" s="79"/>
      <c r="D271" s="79"/>
      <c r="J271" s="79"/>
      <c r="N271" s="79"/>
      <c r="Q271" s="79"/>
      <c r="T271" s="130"/>
      <c r="V271" s="106"/>
    </row>
    <row r="272">
      <c r="C272" s="79"/>
      <c r="D272" s="79"/>
      <c r="J272" s="79"/>
      <c r="N272" s="79"/>
      <c r="Q272" s="79"/>
      <c r="T272" s="130"/>
      <c r="V272" s="106"/>
    </row>
    <row r="273">
      <c r="C273" s="79"/>
      <c r="D273" s="79"/>
      <c r="J273" s="79"/>
      <c r="N273" s="79"/>
      <c r="Q273" s="79"/>
      <c r="T273" s="130"/>
      <c r="V273" s="106"/>
    </row>
    <row r="274">
      <c r="C274" s="79"/>
      <c r="D274" s="79"/>
      <c r="J274" s="79"/>
      <c r="N274" s="79"/>
      <c r="Q274" s="79"/>
      <c r="T274" s="130"/>
      <c r="V274" s="106"/>
    </row>
    <row r="275">
      <c r="C275" s="79"/>
      <c r="D275" s="79"/>
      <c r="J275" s="79"/>
      <c r="N275" s="79"/>
      <c r="Q275" s="79"/>
      <c r="T275" s="130"/>
      <c r="V275" s="106"/>
    </row>
    <row r="276">
      <c r="C276" s="79"/>
      <c r="D276" s="79"/>
      <c r="J276" s="79"/>
      <c r="N276" s="79"/>
      <c r="Q276" s="79"/>
      <c r="T276" s="130"/>
      <c r="V276" s="106"/>
    </row>
    <row r="277">
      <c r="C277" s="79"/>
      <c r="D277" s="79"/>
      <c r="J277" s="79"/>
      <c r="N277" s="79"/>
      <c r="Q277" s="79"/>
      <c r="T277" s="130"/>
      <c r="V277" s="106"/>
    </row>
    <row r="278">
      <c r="C278" s="79"/>
      <c r="D278" s="79"/>
      <c r="J278" s="79"/>
      <c r="N278" s="79"/>
      <c r="Q278" s="79"/>
      <c r="T278" s="130"/>
      <c r="V278" s="106"/>
    </row>
    <row r="279">
      <c r="C279" s="79"/>
      <c r="D279" s="79"/>
      <c r="J279" s="79"/>
      <c r="N279" s="79"/>
      <c r="Q279" s="79"/>
      <c r="T279" s="130"/>
      <c r="V279" s="106"/>
    </row>
    <row r="280">
      <c r="C280" s="79"/>
      <c r="D280" s="79"/>
      <c r="J280" s="79"/>
      <c r="N280" s="79"/>
      <c r="Q280" s="79"/>
      <c r="T280" s="130"/>
      <c r="V280" s="106"/>
    </row>
    <row r="281">
      <c r="C281" s="79"/>
      <c r="D281" s="79"/>
      <c r="J281" s="79"/>
      <c r="N281" s="79"/>
      <c r="Q281" s="79"/>
      <c r="T281" s="130"/>
      <c r="V281" s="106"/>
    </row>
    <row r="282">
      <c r="C282" s="79"/>
      <c r="D282" s="79"/>
      <c r="J282" s="79"/>
      <c r="N282" s="79"/>
      <c r="Q282" s="79"/>
      <c r="T282" s="130"/>
      <c r="V282" s="106"/>
    </row>
    <row r="283">
      <c r="C283" s="79"/>
      <c r="D283" s="79"/>
      <c r="J283" s="79"/>
      <c r="N283" s="79"/>
      <c r="Q283" s="79"/>
      <c r="T283" s="130"/>
      <c r="V283" s="106"/>
    </row>
    <row r="284">
      <c r="C284" s="79"/>
      <c r="D284" s="79"/>
      <c r="J284" s="79"/>
      <c r="N284" s="79"/>
      <c r="Q284" s="79"/>
      <c r="T284" s="130"/>
      <c r="V284" s="106"/>
    </row>
    <row r="285">
      <c r="C285" s="79"/>
      <c r="D285" s="79"/>
      <c r="J285" s="79"/>
      <c r="N285" s="79"/>
      <c r="Q285" s="79"/>
      <c r="T285" s="130"/>
      <c r="V285" s="106"/>
    </row>
    <row r="286">
      <c r="C286" s="79"/>
      <c r="D286" s="79"/>
      <c r="J286" s="79"/>
      <c r="N286" s="79"/>
      <c r="Q286" s="79"/>
      <c r="T286" s="130"/>
      <c r="V286" s="106"/>
    </row>
    <row r="287">
      <c r="C287" s="79"/>
      <c r="D287" s="79"/>
      <c r="J287" s="79"/>
      <c r="N287" s="79"/>
      <c r="Q287" s="79"/>
      <c r="T287" s="130"/>
      <c r="V287" s="106"/>
    </row>
    <row r="288">
      <c r="C288" s="79"/>
      <c r="D288" s="79"/>
      <c r="J288" s="79"/>
      <c r="N288" s="79"/>
      <c r="Q288" s="79"/>
      <c r="T288" s="130"/>
      <c r="V288" s="106"/>
    </row>
    <row r="289">
      <c r="C289" s="79"/>
      <c r="D289" s="79"/>
      <c r="J289" s="79"/>
      <c r="N289" s="79"/>
      <c r="Q289" s="79"/>
      <c r="T289" s="130"/>
      <c r="V289" s="106"/>
    </row>
    <row r="290">
      <c r="C290" s="79"/>
      <c r="D290" s="79"/>
      <c r="J290" s="79"/>
      <c r="N290" s="79"/>
      <c r="Q290" s="79"/>
      <c r="T290" s="130"/>
      <c r="V290" s="106"/>
    </row>
    <row r="291">
      <c r="C291" s="79"/>
      <c r="D291" s="79"/>
      <c r="J291" s="79"/>
      <c r="N291" s="79"/>
      <c r="Q291" s="79"/>
      <c r="T291" s="130"/>
      <c r="V291" s="106"/>
    </row>
    <row r="292">
      <c r="C292" s="79"/>
      <c r="D292" s="79"/>
      <c r="J292" s="79"/>
      <c r="N292" s="79"/>
      <c r="Q292" s="79"/>
      <c r="T292" s="130"/>
      <c r="V292" s="106"/>
    </row>
    <row r="293">
      <c r="C293" s="79"/>
      <c r="D293" s="79"/>
      <c r="J293" s="79"/>
      <c r="N293" s="79"/>
      <c r="Q293" s="79"/>
      <c r="T293" s="130"/>
      <c r="V293" s="106"/>
    </row>
    <row r="294">
      <c r="C294" s="79"/>
      <c r="D294" s="79"/>
      <c r="J294" s="79"/>
      <c r="N294" s="79"/>
      <c r="Q294" s="79"/>
      <c r="T294" s="130"/>
      <c r="V294" s="106"/>
    </row>
    <row r="295">
      <c r="C295" s="79"/>
      <c r="D295" s="79"/>
      <c r="J295" s="79"/>
      <c r="N295" s="79"/>
      <c r="Q295" s="79"/>
      <c r="T295" s="130"/>
      <c r="V295" s="106"/>
    </row>
    <row r="296">
      <c r="C296" s="79"/>
      <c r="D296" s="79"/>
      <c r="J296" s="79"/>
      <c r="N296" s="79"/>
      <c r="Q296" s="79"/>
      <c r="T296" s="130"/>
      <c r="V296" s="106"/>
    </row>
    <row r="297">
      <c r="C297" s="79"/>
      <c r="D297" s="79"/>
      <c r="J297" s="79"/>
      <c r="N297" s="79"/>
      <c r="Q297" s="79"/>
      <c r="T297" s="130"/>
      <c r="V297" s="106"/>
    </row>
    <row r="298">
      <c r="C298" s="79"/>
      <c r="D298" s="79"/>
      <c r="J298" s="79"/>
      <c r="N298" s="79"/>
      <c r="Q298" s="79"/>
      <c r="T298" s="130"/>
      <c r="V298" s="106"/>
    </row>
    <row r="299">
      <c r="C299" s="79"/>
      <c r="D299" s="79"/>
      <c r="J299" s="79"/>
      <c r="N299" s="79"/>
      <c r="Q299" s="79"/>
      <c r="T299" s="130"/>
      <c r="V299" s="106"/>
    </row>
    <row r="300">
      <c r="C300" s="79"/>
      <c r="D300" s="79"/>
      <c r="J300" s="79"/>
      <c r="N300" s="79"/>
      <c r="Q300" s="79"/>
      <c r="T300" s="130"/>
      <c r="V300" s="106"/>
    </row>
    <row r="301">
      <c r="C301" s="79"/>
      <c r="D301" s="79"/>
      <c r="J301" s="79"/>
      <c r="N301" s="79"/>
      <c r="Q301" s="79"/>
      <c r="T301" s="130"/>
      <c r="V301" s="106"/>
    </row>
    <row r="302">
      <c r="C302" s="79"/>
      <c r="D302" s="79"/>
      <c r="J302" s="79"/>
      <c r="N302" s="79"/>
      <c r="Q302" s="79"/>
      <c r="T302" s="130"/>
      <c r="V302" s="106"/>
    </row>
    <row r="303">
      <c r="C303" s="79"/>
      <c r="D303" s="79"/>
      <c r="J303" s="79"/>
      <c r="N303" s="79"/>
      <c r="Q303" s="79"/>
      <c r="T303" s="130"/>
      <c r="V303" s="106"/>
    </row>
    <row r="304">
      <c r="C304" s="79"/>
      <c r="D304" s="79"/>
      <c r="J304" s="79"/>
      <c r="N304" s="79"/>
      <c r="Q304" s="79"/>
      <c r="T304" s="130"/>
      <c r="V304" s="106"/>
    </row>
    <row r="305">
      <c r="C305" s="79"/>
      <c r="D305" s="79"/>
      <c r="J305" s="79"/>
      <c r="N305" s="79"/>
      <c r="Q305" s="79"/>
      <c r="T305" s="130"/>
      <c r="V305" s="106"/>
    </row>
    <row r="306">
      <c r="C306" s="79"/>
      <c r="D306" s="79"/>
      <c r="J306" s="79"/>
      <c r="N306" s="79"/>
      <c r="Q306" s="79"/>
      <c r="T306" s="130"/>
      <c r="V306" s="106"/>
    </row>
    <row r="307">
      <c r="C307" s="79"/>
      <c r="D307" s="79"/>
      <c r="J307" s="79"/>
      <c r="N307" s="79"/>
      <c r="Q307" s="79"/>
      <c r="T307" s="130"/>
      <c r="V307" s="106"/>
    </row>
    <row r="308">
      <c r="C308" s="79"/>
      <c r="D308" s="79"/>
      <c r="J308" s="79"/>
      <c r="N308" s="79"/>
      <c r="Q308" s="79"/>
      <c r="T308" s="130"/>
      <c r="V308" s="106"/>
    </row>
    <row r="309">
      <c r="C309" s="79"/>
      <c r="D309" s="79"/>
      <c r="J309" s="79"/>
      <c r="N309" s="79"/>
      <c r="Q309" s="79"/>
      <c r="T309" s="130"/>
      <c r="V309" s="106"/>
    </row>
    <row r="310">
      <c r="C310" s="79"/>
      <c r="D310" s="79"/>
      <c r="J310" s="79"/>
      <c r="N310" s="79"/>
      <c r="Q310" s="79"/>
      <c r="T310" s="130"/>
      <c r="V310" s="106"/>
    </row>
    <row r="311">
      <c r="C311" s="79"/>
      <c r="D311" s="79"/>
      <c r="J311" s="79"/>
      <c r="N311" s="79"/>
      <c r="Q311" s="79"/>
      <c r="T311" s="130"/>
      <c r="V311" s="106"/>
    </row>
    <row r="312">
      <c r="C312" s="79"/>
      <c r="D312" s="79"/>
      <c r="J312" s="79"/>
      <c r="N312" s="79"/>
      <c r="Q312" s="79"/>
      <c r="T312" s="130"/>
      <c r="V312" s="106"/>
    </row>
    <row r="313">
      <c r="C313" s="79"/>
      <c r="D313" s="79"/>
      <c r="J313" s="79"/>
      <c r="N313" s="79"/>
      <c r="Q313" s="79"/>
      <c r="T313" s="130"/>
      <c r="V313" s="106"/>
    </row>
    <row r="314">
      <c r="C314" s="79"/>
      <c r="D314" s="79"/>
      <c r="J314" s="79"/>
      <c r="N314" s="79"/>
      <c r="Q314" s="79"/>
      <c r="T314" s="130"/>
      <c r="V314" s="106"/>
    </row>
    <row r="315">
      <c r="C315" s="79"/>
      <c r="D315" s="79"/>
      <c r="J315" s="79"/>
      <c r="N315" s="79"/>
      <c r="Q315" s="79"/>
      <c r="T315" s="130"/>
      <c r="V315" s="106"/>
    </row>
    <row r="316">
      <c r="C316" s="79"/>
      <c r="D316" s="79"/>
      <c r="J316" s="79"/>
      <c r="N316" s="79"/>
      <c r="Q316" s="79"/>
      <c r="T316" s="130"/>
      <c r="V316" s="106"/>
    </row>
    <row r="317">
      <c r="C317" s="79"/>
      <c r="D317" s="79"/>
      <c r="J317" s="79"/>
      <c r="N317" s="79"/>
      <c r="Q317" s="79"/>
      <c r="T317" s="130"/>
      <c r="V317" s="106"/>
    </row>
    <row r="318">
      <c r="C318" s="79"/>
      <c r="D318" s="79"/>
      <c r="J318" s="79"/>
      <c r="N318" s="79"/>
      <c r="Q318" s="79"/>
      <c r="T318" s="130"/>
      <c r="V318" s="106"/>
    </row>
    <row r="319">
      <c r="C319" s="79"/>
      <c r="D319" s="79"/>
      <c r="J319" s="79"/>
      <c r="N319" s="79"/>
      <c r="Q319" s="79"/>
      <c r="T319" s="130"/>
      <c r="V319" s="106"/>
    </row>
    <row r="320">
      <c r="C320" s="79"/>
      <c r="D320" s="79"/>
      <c r="J320" s="79"/>
      <c r="N320" s="79"/>
      <c r="Q320" s="79"/>
      <c r="T320" s="130"/>
      <c r="V320" s="106"/>
    </row>
    <row r="321">
      <c r="C321" s="79"/>
      <c r="D321" s="79"/>
      <c r="J321" s="79"/>
      <c r="N321" s="79"/>
      <c r="Q321" s="79"/>
      <c r="T321" s="130"/>
      <c r="V321" s="106"/>
    </row>
    <row r="322">
      <c r="C322" s="79"/>
      <c r="D322" s="79"/>
      <c r="J322" s="79"/>
      <c r="N322" s="79"/>
      <c r="Q322" s="79"/>
      <c r="T322" s="130"/>
      <c r="V322" s="106"/>
    </row>
    <row r="323">
      <c r="C323" s="79"/>
      <c r="D323" s="79"/>
      <c r="J323" s="79"/>
      <c r="N323" s="79"/>
      <c r="Q323" s="79"/>
      <c r="T323" s="130"/>
      <c r="V323" s="106"/>
    </row>
    <row r="324">
      <c r="C324" s="79"/>
      <c r="D324" s="79"/>
      <c r="J324" s="79"/>
      <c r="N324" s="79"/>
      <c r="Q324" s="79"/>
      <c r="T324" s="130"/>
      <c r="V324" s="106"/>
    </row>
    <row r="325">
      <c r="C325" s="79"/>
      <c r="D325" s="79"/>
      <c r="J325" s="79"/>
      <c r="N325" s="79"/>
      <c r="Q325" s="79"/>
      <c r="T325" s="130"/>
      <c r="V325" s="106"/>
    </row>
    <row r="326">
      <c r="C326" s="79"/>
      <c r="D326" s="79"/>
      <c r="J326" s="79"/>
      <c r="N326" s="79"/>
      <c r="Q326" s="79"/>
      <c r="T326" s="130"/>
      <c r="V326" s="106"/>
    </row>
    <row r="327">
      <c r="C327" s="79"/>
      <c r="D327" s="79"/>
      <c r="J327" s="79"/>
      <c r="N327" s="79"/>
      <c r="Q327" s="79"/>
      <c r="T327" s="130"/>
      <c r="V327" s="106"/>
    </row>
    <row r="328">
      <c r="C328" s="79"/>
      <c r="D328" s="79"/>
      <c r="J328" s="79"/>
      <c r="N328" s="79"/>
      <c r="Q328" s="79"/>
      <c r="T328" s="130"/>
      <c r="V328" s="106"/>
    </row>
    <row r="329">
      <c r="C329" s="79"/>
      <c r="D329" s="79"/>
      <c r="J329" s="79"/>
      <c r="N329" s="79"/>
      <c r="Q329" s="79"/>
      <c r="T329" s="130"/>
      <c r="V329" s="106"/>
    </row>
    <row r="330">
      <c r="C330" s="79"/>
      <c r="D330" s="79"/>
      <c r="J330" s="79"/>
      <c r="N330" s="79"/>
      <c r="Q330" s="79"/>
      <c r="T330" s="130"/>
      <c r="V330" s="106"/>
    </row>
    <row r="331">
      <c r="C331" s="79"/>
      <c r="D331" s="79"/>
      <c r="J331" s="79"/>
      <c r="N331" s="79"/>
      <c r="Q331" s="79"/>
      <c r="T331" s="130"/>
      <c r="V331" s="106"/>
    </row>
    <row r="332">
      <c r="C332" s="79"/>
      <c r="D332" s="79"/>
      <c r="J332" s="79"/>
      <c r="N332" s="79"/>
      <c r="Q332" s="79"/>
      <c r="T332" s="130"/>
      <c r="V332" s="106"/>
    </row>
    <row r="333">
      <c r="C333" s="79"/>
      <c r="D333" s="79"/>
      <c r="J333" s="79"/>
      <c r="N333" s="79"/>
      <c r="Q333" s="79"/>
      <c r="T333" s="130"/>
      <c r="V333" s="106"/>
    </row>
    <row r="334">
      <c r="C334" s="79"/>
      <c r="D334" s="79"/>
      <c r="J334" s="79"/>
      <c r="N334" s="79"/>
      <c r="Q334" s="79"/>
      <c r="T334" s="130"/>
      <c r="V334" s="106"/>
    </row>
    <row r="335">
      <c r="C335" s="79"/>
      <c r="D335" s="79"/>
      <c r="J335" s="79"/>
      <c r="N335" s="79"/>
      <c r="Q335" s="79"/>
      <c r="T335" s="130"/>
      <c r="V335" s="106"/>
    </row>
    <row r="336">
      <c r="C336" s="79"/>
      <c r="D336" s="79"/>
      <c r="J336" s="79"/>
      <c r="N336" s="79"/>
      <c r="Q336" s="79"/>
      <c r="T336" s="130"/>
      <c r="V336" s="106"/>
    </row>
    <row r="337">
      <c r="C337" s="79"/>
      <c r="D337" s="79"/>
      <c r="J337" s="79"/>
      <c r="N337" s="79"/>
      <c r="Q337" s="79"/>
      <c r="T337" s="130"/>
      <c r="V337" s="106"/>
    </row>
    <row r="338">
      <c r="C338" s="79"/>
      <c r="D338" s="79"/>
      <c r="J338" s="79"/>
      <c r="N338" s="79"/>
      <c r="Q338" s="79"/>
      <c r="T338" s="130"/>
      <c r="V338" s="106"/>
    </row>
    <row r="339">
      <c r="C339" s="79"/>
      <c r="D339" s="79"/>
      <c r="J339" s="79"/>
      <c r="N339" s="79"/>
      <c r="Q339" s="79"/>
      <c r="T339" s="130"/>
      <c r="V339" s="106"/>
    </row>
    <row r="340">
      <c r="C340" s="79"/>
      <c r="D340" s="79"/>
      <c r="J340" s="79"/>
      <c r="N340" s="79"/>
      <c r="Q340" s="79"/>
      <c r="T340" s="130"/>
      <c r="V340" s="106"/>
    </row>
    <row r="341">
      <c r="C341" s="79"/>
      <c r="D341" s="79"/>
      <c r="J341" s="79"/>
      <c r="N341" s="79"/>
      <c r="Q341" s="79"/>
      <c r="T341" s="130"/>
      <c r="V341" s="106"/>
    </row>
    <row r="342">
      <c r="C342" s="79"/>
      <c r="D342" s="79"/>
      <c r="J342" s="79"/>
      <c r="N342" s="79"/>
      <c r="Q342" s="79"/>
      <c r="T342" s="130"/>
      <c r="V342" s="106"/>
    </row>
    <row r="343">
      <c r="C343" s="79"/>
      <c r="D343" s="79"/>
      <c r="J343" s="79"/>
      <c r="N343" s="79"/>
      <c r="Q343" s="79"/>
      <c r="T343" s="130"/>
      <c r="V343" s="106"/>
    </row>
    <row r="344">
      <c r="C344" s="79"/>
      <c r="D344" s="79"/>
      <c r="J344" s="79"/>
      <c r="N344" s="79"/>
      <c r="Q344" s="79"/>
      <c r="T344" s="130"/>
      <c r="V344" s="106"/>
    </row>
    <row r="345">
      <c r="C345" s="79"/>
      <c r="D345" s="79"/>
      <c r="J345" s="79"/>
      <c r="N345" s="79"/>
      <c r="Q345" s="79"/>
      <c r="T345" s="130"/>
      <c r="V345" s="106"/>
    </row>
    <row r="346">
      <c r="C346" s="79"/>
      <c r="D346" s="79"/>
      <c r="J346" s="79"/>
      <c r="N346" s="79"/>
      <c r="Q346" s="79"/>
      <c r="T346" s="130"/>
      <c r="V346" s="106"/>
    </row>
    <row r="347">
      <c r="C347" s="79"/>
      <c r="D347" s="79"/>
      <c r="J347" s="79"/>
      <c r="N347" s="79"/>
      <c r="Q347" s="79"/>
      <c r="T347" s="130"/>
      <c r="V347" s="106"/>
    </row>
    <row r="348">
      <c r="C348" s="79"/>
      <c r="D348" s="79"/>
      <c r="J348" s="79"/>
      <c r="N348" s="79"/>
      <c r="Q348" s="79"/>
      <c r="T348" s="130"/>
      <c r="V348" s="106"/>
    </row>
    <row r="349">
      <c r="C349" s="79"/>
      <c r="D349" s="79"/>
      <c r="J349" s="79"/>
      <c r="N349" s="79"/>
      <c r="Q349" s="79"/>
      <c r="T349" s="130"/>
      <c r="V349" s="106"/>
    </row>
    <row r="350">
      <c r="C350" s="79"/>
      <c r="D350" s="79"/>
      <c r="J350" s="79"/>
      <c r="N350" s="79"/>
      <c r="Q350" s="79"/>
      <c r="T350" s="130"/>
      <c r="V350" s="106"/>
    </row>
    <row r="351">
      <c r="C351" s="79"/>
      <c r="D351" s="79"/>
      <c r="J351" s="79"/>
      <c r="N351" s="79"/>
      <c r="Q351" s="79"/>
      <c r="T351" s="130"/>
      <c r="V351" s="106"/>
    </row>
    <row r="352">
      <c r="C352" s="79"/>
      <c r="D352" s="79"/>
      <c r="J352" s="79"/>
      <c r="N352" s="79"/>
      <c r="Q352" s="79"/>
      <c r="T352" s="130"/>
      <c r="V352" s="106"/>
    </row>
    <row r="353">
      <c r="C353" s="79"/>
      <c r="D353" s="79"/>
      <c r="J353" s="79"/>
      <c r="N353" s="79"/>
      <c r="Q353" s="79"/>
      <c r="T353" s="130"/>
      <c r="V353" s="106"/>
    </row>
    <row r="354">
      <c r="C354" s="79"/>
      <c r="D354" s="79"/>
      <c r="J354" s="79"/>
      <c r="N354" s="79"/>
      <c r="Q354" s="79"/>
      <c r="T354" s="130"/>
      <c r="V354" s="106"/>
    </row>
    <row r="355">
      <c r="C355" s="79"/>
      <c r="D355" s="79"/>
      <c r="J355" s="79"/>
      <c r="N355" s="79"/>
      <c r="Q355" s="79"/>
      <c r="T355" s="130"/>
      <c r="V355" s="106"/>
    </row>
    <row r="356">
      <c r="C356" s="79"/>
      <c r="D356" s="79"/>
      <c r="J356" s="79"/>
      <c r="N356" s="79"/>
      <c r="Q356" s="79"/>
      <c r="T356" s="130"/>
      <c r="V356" s="106"/>
    </row>
    <row r="357">
      <c r="C357" s="79"/>
      <c r="D357" s="79"/>
      <c r="J357" s="79"/>
      <c r="N357" s="79"/>
      <c r="Q357" s="79"/>
      <c r="T357" s="130"/>
      <c r="V357" s="106"/>
    </row>
    <row r="358">
      <c r="C358" s="79"/>
      <c r="D358" s="79"/>
      <c r="J358" s="79"/>
      <c r="N358" s="79"/>
      <c r="Q358" s="79"/>
      <c r="T358" s="130"/>
      <c r="V358" s="106"/>
    </row>
    <row r="359">
      <c r="C359" s="79"/>
      <c r="D359" s="79"/>
      <c r="J359" s="79"/>
      <c r="N359" s="79"/>
      <c r="Q359" s="79"/>
      <c r="T359" s="130"/>
      <c r="V359" s="106"/>
    </row>
    <row r="360">
      <c r="C360" s="79"/>
      <c r="D360" s="79"/>
      <c r="J360" s="79"/>
      <c r="N360" s="79"/>
      <c r="Q360" s="79"/>
      <c r="T360" s="130"/>
      <c r="V360" s="106"/>
    </row>
    <row r="361">
      <c r="C361" s="79"/>
      <c r="D361" s="79"/>
      <c r="J361" s="79"/>
      <c r="N361" s="79"/>
      <c r="Q361" s="79"/>
      <c r="T361" s="130"/>
      <c r="V361" s="106"/>
    </row>
    <row r="362">
      <c r="C362" s="79"/>
      <c r="D362" s="79"/>
      <c r="J362" s="79"/>
      <c r="N362" s="79"/>
      <c r="Q362" s="79"/>
      <c r="T362" s="130"/>
      <c r="V362" s="106"/>
    </row>
    <row r="363">
      <c r="C363" s="79"/>
      <c r="D363" s="79"/>
      <c r="J363" s="79"/>
      <c r="N363" s="79"/>
      <c r="Q363" s="79"/>
      <c r="T363" s="130"/>
      <c r="V363" s="106"/>
    </row>
    <row r="364">
      <c r="C364" s="79"/>
      <c r="D364" s="79"/>
      <c r="J364" s="79"/>
      <c r="N364" s="79"/>
      <c r="Q364" s="79"/>
      <c r="T364" s="130"/>
      <c r="V364" s="106"/>
    </row>
    <row r="365">
      <c r="C365" s="79"/>
      <c r="D365" s="79"/>
      <c r="J365" s="79"/>
      <c r="N365" s="79"/>
      <c r="Q365" s="79"/>
      <c r="T365" s="130"/>
      <c r="V365" s="106"/>
    </row>
    <row r="366">
      <c r="C366" s="79"/>
      <c r="D366" s="79"/>
      <c r="J366" s="79"/>
      <c r="N366" s="79"/>
      <c r="Q366" s="79"/>
      <c r="T366" s="130"/>
      <c r="V366" s="106"/>
    </row>
    <row r="367">
      <c r="C367" s="79"/>
      <c r="D367" s="79"/>
      <c r="J367" s="79"/>
      <c r="N367" s="79"/>
      <c r="Q367" s="79"/>
      <c r="T367" s="130"/>
      <c r="V367" s="106"/>
    </row>
    <row r="368">
      <c r="C368" s="79"/>
      <c r="D368" s="79"/>
      <c r="J368" s="79"/>
      <c r="N368" s="79"/>
      <c r="Q368" s="79"/>
      <c r="T368" s="130"/>
      <c r="V368" s="106"/>
    </row>
    <row r="369">
      <c r="C369" s="79"/>
      <c r="D369" s="79"/>
      <c r="J369" s="79"/>
      <c r="N369" s="79"/>
      <c r="Q369" s="79"/>
      <c r="T369" s="130"/>
      <c r="V369" s="106"/>
    </row>
    <row r="370">
      <c r="C370" s="79"/>
      <c r="D370" s="79"/>
      <c r="J370" s="79"/>
      <c r="N370" s="79"/>
      <c r="Q370" s="79"/>
      <c r="T370" s="130"/>
      <c r="V370" s="106"/>
    </row>
    <row r="371">
      <c r="C371" s="79"/>
      <c r="D371" s="79"/>
      <c r="J371" s="79"/>
      <c r="N371" s="79"/>
      <c r="Q371" s="79"/>
      <c r="T371" s="130"/>
      <c r="V371" s="106"/>
    </row>
    <row r="372">
      <c r="C372" s="79"/>
      <c r="D372" s="79"/>
      <c r="J372" s="79"/>
      <c r="N372" s="79"/>
      <c r="Q372" s="79"/>
      <c r="T372" s="130"/>
      <c r="V372" s="106"/>
    </row>
    <row r="373">
      <c r="C373" s="79"/>
      <c r="D373" s="79"/>
      <c r="J373" s="79"/>
      <c r="N373" s="79"/>
      <c r="Q373" s="79"/>
      <c r="T373" s="130"/>
      <c r="V373" s="106"/>
    </row>
    <row r="374">
      <c r="C374" s="79"/>
      <c r="D374" s="79"/>
      <c r="J374" s="79"/>
      <c r="N374" s="79"/>
      <c r="Q374" s="79"/>
      <c r="T374" s="130"/>
      <c r="V374" s="106"/>
    </row>
    <row r="375">
      <c r="C375" s="79"/>
      <c r="D375" s="79"/>
      <c r="J375" s="79"/>
      <c r="N375" s="79"/>
      <c r="Q375" s="79"/>
      <c r="T375" s="130"/>
      <c r="V375" s="106"/>
    </row>
    <row r="376">
      <c r="C376" s="79"/>
      <c r="D376" s="79"/>
      <c r="J376" s="79"/>
      <c r="N376" s="79"/>
      <c r="Q376" s="79"/>
      <c r="T376" s="130"/>
      <c r="V376" s="106"/>
    </row>
    <row r="377">
      <c r="C377" s="79"/>
      <c r="D377" s="79"/>
      <c r="J377" s="79"/>
      <c r="N377" s="79"/>
      <c r="Q377" s="79"/>
      <c r="T377" s="130"/>
      <c r="V377" s="106"/>
    </row>
    <row r="378">
      <c r="C378" s="79"/>
      <c r="D378" s="79"/>
      <c r="J378" s="79"/>
      <c r="N378" s="79"/>
      <c r="Q378" s="79"/>
      <c r="T378" s="130"/>
      <c r="V378" s="106"/>
    </row>
    <row r="379">
      <c r="C379" s="79"/>
      <c r="D379" s="79"/>
      <c r="J379" s="79"/>
      <c r="N379" s="79"/>
      <c r="Q379" s="79"/>
      <c r="T379" s="130"/>
      <c r="V379" s="106"/>
    </row>
    <row r="380">
      <c r="C380" s="79"/>
      <c r="D380" s="79"/>
      <c r="J380" s="79"/>
      <c r="N380" s="79"/>
      <c r="Q380" s="79"/>
      <c r="T380" s="130"/>
      <c r="V380" s="106"/>
    </row>
    <row r="381">
      <c r="C381" s="79"/>
      <c r="D381" s="79"/>
      <c r="J381" s="79"/>
      <c r="N381" s="79"/>
      <c r="Q381" s="79"/>
      <c r="T381" s="130"/>
      <c r="V381" s="106"/>
    </row>
    <row r="382">
      <c r="C382" s="79"/>
      <c r="D382" s="79"/>
      <c r="J382" s="79"/>
      <c r="N382" s="79"/>
      <c r="Q382" s="79"/>
      <c r="T382" s="130"/>
      <c r="V382" s="106"/>
    </row>
    <row r="383">
      <c r="C383" s="79"/>
      <c r="D383" s="79"/>
      <c r="J383" s="79"/>
      <c r="N383" s="79"/>
      <c r="Q383" s="79"/>
      <c r="T383" s="130"/>
      <c r="V383" s="106"/>
    </row>
    <row r="384">
      <c r="C384" s="79"/>
      <c r="D384" s="79"/>
      <c r="J384" s="79"/>
      <c r="N384" s="79"/>
      <c r="Q384" s="79"/>
      <c r="T384" s="130"/>
      <c r="V384" s="106"/>
    </row>
    <row r="385">
      <c r="C385" s="79"/>
      <c r="D385" s="79"/>
      <c r="J385" s="79"/>
      <c r="N385" s="79"/>
      <c r="Q385" s="79"/>
      <c r="T385" s="130"/>
      <c r="V385" s="106"/>
    </row>
    <row r="386">
      <c r="C386" s="79"/>
      <c r="D386" s="79"/>
      <c r="J386" s="79"/>
      <c r="N386" s="79"/>
      <c r="Q386" s="79"/>
      <c r="T386" s="130"/>
      <c r="V386" s="106"/>
    </row>
    <row r="387">
      <c r="C387" s="79"/>
      <c r="D387" s="79"/>
      <c r="J387" s="79"/>
      <c r="N387" s="79"/>
      <c r="Q387" s="79"/>
      <c r="T387" s="130"/>
      <c r="V387" s="106"/>
    </row>
    <row r="388">
      <c r="C388" s="79"/>
      <c r="D388" s="79"/>
      <c r="J388" s="79"/>
      <c r="N388" s="79"/>
      <c r="Q388" s="79"/>
      <c r="T388" s="130"/>
      <c r="V388" s="106"/>
    </row>
    <row r="389">
      <c r="C389" s="79"/>
      <c r="D389" s="79"/>
      <c r="J389" s="79"/>
      <c r="N389" s="79"/>
      <c r="Q389" s="79"/>
      <c r="T389" s="130"/>
      <c r="V389" s="106"/>
    </row>
    <row r="390">
      <c r="C390" s="79"/>
      <c r="D390" s="79"/>
      <c r="J390" s="79"/>
      <c r="N390" s="79"/>
      <c r="Q390" s="79"/>
      <c r="T390" s="130"/>
      <c r="V390" s="106"/>
    </row>
    <row r="391">
      <c r="C391" s="79"/>
      <c r="D391" s="79"/>
      <c r="J391" s="79"/>
      <c r="N391" s="79"/>
      <c r="Q391" s="79"/>
      <c r="T391" s="130"/>
      <c r="V391" s="106"/>
    </row>
    <row r="392">
      <c r="C392" s="79"/>
      <c r="D392" s="79"/>
      <c r="J392" s="79"/>
      <c r="N392" s="79"/>
      <c r="Q392" s="79"/>
      <c r="T392" s="130"/>
      <c r="V392" s="106"/>
    </row>
    <row r="393">
      <c r="C393" s="79"/>
      <c r="D393" s="79"/>
      <c r="J393" s="79"/>
      <c r="N393" s="79"/>
      <c r="Q393" s="79"/>
      <c r="T393" s="130"/>
      <c r="V393" s="106"/>
    </row>
    <row r="394">
      <c r="C394" s="79"/>
      <c r="D394" s="79"/>
      <c r="J394" s="79"/>
      <c r="N394" s="79"/>
      <c r="Q394" s="79"/>
      <c r="T394" s="130"/>
      <c r="V394" s="106"/>
    </row>
    <row r="395">
      <c r="C395" s="79"/>
      <c r="D395" s="79"/>
      <c r="J395" s="79"/>
      <c r="N395" s="79"/>
      <c r="Q395" s="79"/>
      <c r="T395" s="130"/>
      <c r="V395" s="106"/>
    </row>
    <row r="396">
      <c r="C396" s="79"/>
      <c r="D396" s="79"/>
      <c r="J396" s="79"/>
      <c r="N396" s="79"/>
      <c r="Q396" s="79"/>
      <c r="T396" s="130"/>
      <c r="V396" s="106"/>
    </row>
    <row r="397">
      <c r="C397" s="79"/>
      <c r="D397" s="79"/>
      <c r="J397" s="79"/>
      <c r="N397" s="79"/>
      <c r="Q397" s="79"/>
      <c r="T397" s="130"/>
      <c r="V397" s="106"/>
    </row>
    <row r="398">
      <c r="C398" s="79"/>
      <c r="D398" s="79"/>
      <c r="J398" s="79"/>
      <c r="N398" s="79"/>
      <c r="Q398" s="79"/>
      <c r="T398" s="130"/>
      <c r="V398" s="106"/>
    </row>
    <row r="399">
      <c r="C399" s="79"/>
      <c r="D399" s="79"/>
      <c r="J399" s="79"/>
      <c r="N399" s="79"/>
      <c r="Q399" s="79"/>
      <c r="T399" s="130"/>
      <c r="V399" s="106"/>
    </row>
    <row r="400">
      <c r="C400" s="79"/>
      <c r="D400" s="79"/>
      <c r="J400" s="79"/>
      <c r="N400" s="79"/>
      <c r="Q400" s="79"/>
      <c r="T400" s="130"/>
      <c r="V400" s="106"/>
    </row>
    <row r="401">
      <c r="C401" s="79"/>
      <c r="D401" s="79"/>
      <c r="J401" s="79"/>
      <c r="N401" s="79"/>
      <c r="Q401" s="79"/>
      <c r="T401" s="130"/>
      <c r="V401" s="106"/>
    </row>
    <row r="402">
      <c r="C402" s="79"/>
      <c r="D402" s="79"/>
      <c r="J402" s="79"/>
      <c r="N402" s="79"/>
      <c r="Q402" s="79"/>
      <c r="T402" s="130"/>
      <c r="V402" s="106"/>
    </row>
    <row r="403">
      <c r="C403" s="79"/>
      <c r="D403" s="79"/>
      <c r="J403" s="79"/>
      <c r="N403" s="79"/>
      <c r="Q403" s="79"/>
      <c r="T403" s="130"/>
      <c r="V403" s="106"/>
    </row>
    <row r="404">
      <c r="C404" s="79"/>
      <c r="D404" s="79"/>
      <c r="J404" s="79"/>
      <c r="N404" s="79"/>
      <c r="Q404" s="79"/>
      <c r="T404" s="130"/>
      <c r="V404" s="106"/>
    </row>
    <row r="405">
      <c r="C405" s="79"/>
      <c r="D405" s="79"/>
      <c r="J405" s="79"/>
      <c r="N405" s="79"/>
      <c r="Q405" s="79"/>
      <c r="T405" s="130"/>
      <c r="V405" s="106"/>
    </row>
    <row r="406">
      <c r="C406" s="79"/>
      <c r="D406" s="79"/>
      <c r="J406" s="79"/>
      <c r="N406" s="79"/>
      <c r="Q406" s="79"/>
      <c r="T406" s="130"/>
      <c r="V406" s="106"/>
    </row>
    <row r="407">
      <c r="C407" s="79"/>
      <c r="D407" s="79"/>
      <c r="J407" s="79"/>
      <c r="N407" s="79"/>
      <c r="Q407" s="79"/>
      <c r="T407" s="130"/>
      <c r="V407" s="106"/>
    </row>
    <row r="408">
      <c r="C408" s="79"/>
      <c r="D408" s="79"/>
      <c r="J408" s="79"/>
      <c r="N408" s="79"/>
      <c r="Q408" s="79"/>
      <c r="T408" s="130"/>
      <c r="V408" s="106"/>
    </row>
    <row r="409">
      <c r="C409" s="79"/>
      <c r="D409" s="79"/>
      <c r="J409" s="79"/>
      <c r="N409" s="79"/>
      <c r="Q409" s="79"/>
      <c r="T409" s="130"/>
      <c r="V409" s="106"/>
    </row>
    <row r="410">
      <c r="C410" s="79"/>
      <c r="D410" s="79"/>
      <c r="J410" s="79"/>
      <c r="N410" s="79"/>
      <c r="Q410" s="79"/>
      <c r="T410" s="130"/>
      <c r="V410" s="106"/>
    </row>
    <row r="411">
      <c r="C411" s="79"/>
      <c r="D411" s="79"/>
      <c r="J411" s="79"/>
      <c r="N411" s="79"/>
      <c r="Q411" s="79"/>
      <c r="T411" s="130"/>
      <c r="V411" s="106"/>
    </row>
    <row r="412">
      <c r="C412" s="79"/>
      <c r="D412" s="79"/>
      <c r="J412" s="79"/>
      <c r="N412" s="79"/>
      <c r="Q412" s="79"/>
      <c r="T412" s="130"/>
      <c r="V412" s="106"/>
    </row>
    <row r="413">
      <c r="C413" s="79"/>
      <c r="D413" s="79"/>
      <c r="J413" s="79"/>
      <c r="N413" s="79"/>
      <c r="Q413" s="79"/>
      <c r="T413" s="130"/>
      <c r="V413" s="106"/>
    </row>
    <row r="414">
      <c r="C414" s="79"/>
      <c r="D414" s="79"/>
      <c r="J414" s="79"/>
      <c r="N414" s="79"/>
      <c r="Q414" s="79"/>
      <c r="T414" s="130"/>
      <c r="V414" s="106"/>
    </row>
    <row r="415">
      <c r="C415" s="79"/>
      <c r="D415" s="79"/>
      <c r="J415" s="79"/>
      <c r="N415" s="79"/>
      <c r="Q415" s="79"/>
      <c r="T415" s="130"/>
      <c r="V415" s="106"/>
    </row>
    <row r="416">
      <c r="C416" s="79"/>
      <c r="D416" s="79"/>
      <c r="J416" s="79"/>
      <c r="N416" s="79"/>
      <c r="Q416" s="79"/>
      <c r="T416" s="130"/>
      <c r="V416" s="106"/>
    </row>
    <row r="417">
      <c r="C417" s="79"/>
      <c r="D417" s="79"/>
      <c r="J417" s="79"/>
      <c r="N417" s="79"/>
      <c r="Q417" s="79"/>
      <c r="T417" s="130"/>
      <c r="V417" s="106"/>
    </row>
    <row r="418">
      <c r="C418" s="79"/>
      <c r="D418" s="79"/>
      <c r="J418" s="79"/>
      <c r="N418" s="79"/>
      <c r="Q418" s="79"/>
      <c r="T418" s="130"/>
      <c r="V418" s="106"/>
    </row>
    <row r="419">
      <c r="C419" s="79"/>
      <c r="D419" s="79"/>
      <c r="J419" s="79"/>
      <c r="N419" s="79"/>
      <c r="Q419" s="79"/>
      <c r="T419" s="130"/>
      <c r="V419" s="106"/>
    </row>
    <row r="420">
      <c r="C420" s="79"/>
      <c r="D420" s="79"/>
      <c r="J420" s="79"/>
      <c r="N420" s="79"/>
      <c r="Q420" s="79"/>
      <c r="T420" s="130"/>
      <c r="V420" s="106"/>
    </row>
    <row r="421">
      <c r="C421" s="79"/>
      <c r="D421" s="79"/>
      <c r="J421" s="79"/>
      <c r="N421" s="79"/>
      <c r="Q421" s="79"/>
      <c r="T421" s="130"/>
      <c r="V421" s="106"/>
    </row>
    <row r="422">
      <c r="C422" s="79"/>
      <c r="D422" s="79"/>
      <c r="J422" s="79"/>
      <c r="N422" s="79"/>
      <c r="Q422" s="79"/>
      <c r="T422" s="130"/>
      <c r="V422" s="106"/>
    </row>
    <row r="423">
      <c r="C423" s="79"/>
      <c r="D423" s="79"/>
      <c r="J423" s="79"/>
      <c r="N423" s="79"/>
      <c r="Q423" s="79"/>
      <c r="T423" s="130"/>
      <c r="V423" s="106"/>
    </row>
    <row r="424">
      <c r="C424" s="79"/>
      <c r="D424" s="79"/>
      <c r="J424" s="79"/>
      <c r="N424" s="79"/>
      <c r="Q424" s="79"/>
      <c r="T424" s="130"/>
      <c r="V424" s="106"/>
    </row>
    <row r="425">
      <c r="C425" s="79"/>
      <c r="D425" s="79"/>
      <c r="J425" s="79"/>
      <c r="N425" s="79"/>
      <c r="Q425" s="79"/>
      <c r="T425" s="130"/>
      <c r="V425" s="106"/>
    </row>
    <row r="426">
      <c r="C426" s="79"/>
      <c r="D426" s="79"/>
      <c r="J426" s="79"/>
      <c r="N426" s="79"/>
      <c r="Q426" s="79"/>
      <c r="T426" s="130"/>
      <c r="V426" s="106"/>
    </row>
    <row r="427">
      <c r="C427" s="79"/>
      <c r="D427" s="79"/>
      <c r="J427" s="79"/>
      <c r="N427" s="79"/>
      <c r="Q427" s="79"/>
      <c r="T427" s="130"/>
      <c r="V427" s="106"/>
    </row>
    <row r="428">
      <c r="C428" s="79"/>
      <c r="D428" s="79"/>
      <c r="J428" s="79"/>
      <c r="N428" s="79"/>
      <c r="Q428" s="79"/>
      <c r="T428" s="130"/>
      <c r="V428" s="106"/>
    </row>
    <row r="429">
      <c r="C429" s="79"/>
      <c r="D429" s="79"/>
      <c r="J429" s="79"/>
      <c r="N429" s="79"/>
      <c r="Q429" s="79"/>
      <c r="T429" s="130"/>
      <c r="V429" s="106"/>
    </row>
    <row r="430">
      <c r="C430" s="79"/>
      <c r="D430" s="79"/>
      <c r="J430" s="79"/>
      <c r="N430" s="79"/>
      <c r="Q430" s="79"/>
      <c r="T430" s="130"/>
      <c r="V430" s="106"/>
    </row>
    <row r="431">
      <c r="C431" s="79"/>
      <c r="D431" s="79"/>
      <c r="J431" s="79"/>
      <c r="N431" s="79"/>
      <c r="Q431" s="79"/>
      <c r="T431" s="130"/>
      <c r="V431" s="106"/>
    </row>
    <row r="432">
      <c r="C432" s="79"/>
      <c r="D432" s="79"/>
      <c r="J432" s="79"/>
      <c r="N432" s="79"/>
      <c r="Q432" s="79"/>
      <c r="T432" s="130"/>
      <c r="V432" s="106"/>
    </row>
    <row r="433">
      <c r="C433" s="79"/>
      <c r="D433" s="79"/>
      <c r="J433" s="79"/>
      <c r="N433" s="79"/>
      <c r="Q433" s="79"/>
      <c r="T433" s="130"/>
      <c r="V433" s="106"/>
    </row>
    <row r="434">
      <c r="C434" s="79"/>
      <c r="D434" s="79"/>
      <c r="J434" s="79"/>
      <c r="N434" s="79"/>
      <c r="Q434" s="79"/>
      <c r="T434" s="130"/>
      <c r="V434" s="106"/>
    </row>
    <row r="435">
      <c r="C435" s="79"/>
      <c r="D435" s="79"/>
      <c r="J435" s="79"/>
      <c r="N435" s="79"/>
      <c r="Q435" s="79"/>
      <c r="T435" s="130"/>
      <c r="V435" s="106"/>
    </row>
    <row r="436">
      <c r="C436" s="79"/>
      <c r="D436" s="79"/>
      <c r="J436" s="79"/>
      <c r="N436" s="79"/>
      <c r="Q436" s="79"/>
      <c r="T436" s="130"/>
      <c r="V436" s="106"/>
    </row>
    <row r="437">
      <c r="C437" s="79"/>
      <c r="D437" s="79"/>
      <c r="J437" s="79"/>
      <c r="N437" s="79"/>
      <c r="Q437" s="79"/>
      <c r="T437" s="130"/>
      <c r="V437" s="106"/>
    </row>
    <row r="438">
      <c r="C438" s="79"/>
      <c r="D438" s="79"/>
      <c r="J438" s="79"/>
      <c r="N438" s="79"/>
      <c r="Q438" s="79"/>
      <c r="T438" s="130"/>
      <c r="V438" s="106"/>
    </row>
    <row r="439">
      <c r="C439" s="79"/>
      <c r="D439" s="79"/>
      <c r="J439" s="79"/>
      <c r="N439" s="79"/>
      <c r="Q439" s="79"/>
      <c r="T439" s="130"/>
      <c r="V439" s="106"/>
    </row>
    <row r="440">
      <c r="C440" s="79"/>
      <c r="D440" s="79"/>
      <c r="J440" s="79"/>
      <c r="N440" s="79"/>
      <c r="Q440" s="79"/>
      <c r="T440" s="130"/>
      <c r="V440" s="106"/>
    </row>
    <row r="441">
      <c r="C441" s="79"/>
      <c r="D441" s="79"/>
      <c r="J441" s="79"/>
      <c r="N441" s="79"/>
      <c r="Q441" s="79"/>
      <c r="T441" s="130"/>
      <c r="V441" s="106"/>
    </row>
    <row r="442">
      <c r="C442" s="79"/>
      <c r="D442" s="79"/>
      <c r="J442" s="79"/>
      <c r="N442" s="79"/>
      <c r="Q442" s="79"/>
      <c r="T442" s="130"/>
      <c r="V442" s="106"/>
    </row>
    <row r="443">
      <c r="C443" s="79"/>
      <c r="D443" s="79"/>
      <c r="J443" s="79"/>
      <c r="N443" s="79"/>
      <c r="Q443" s="79"/>
      <c r="T443" s="130"/>
      <c r="V443" s="106"/>
    </row>
    <row r="444">
      <c r="C444" s="79"/>
      <c r="D444" s="79"/>
      <c r="J444" s="79"/>
      <c r="N444" s="79"/>
      <c r="Q444" s="79"/>
      <c r="T444" s="130"/>
      <c r="V444" s="106"/>
    </row>
    <row r="445">
      <c r="C445" s="79"/>
      <c r="D445" s="79"/>
      <c r="J445" s="79"/>
      <c r="N445" s="79"/>
      <c r="Q445" s="79"/>
      <c r="T445" s="130"/>
      <c r="V445" s="106"/>
    </row>
    <row r="446">
      <c r="C446" s="79"/>
      <c r="D446" s="79"/>
      <c r="J446" s="79"/>
      <c r="N446" s="79"/>
      <c r="Q446" s="79"/>
      <c r="T446" s="130"/>
      <c r="V446" s="106"/>
    </row>
    <row r="447">
      <c r="C447" s="79"/>
      <c r="D447" s="79"/>
      <c r="J447" s="79"/>
      <c r="N447" s="79"/>
      <c r="Q447" s="79"/>
      <c r="T447" s="130"/>
      <c r="V447" s="106"/>
    </row>
    <row r="448">
      <c r="C448" s="79"/>
      <c r="D448" s="79"/>
      <c r="J448" s="79"/>
      <c r="N448" s="79"/>
      <c r="Q448" s="79"/>
      <c r="T448" s="130"/>
      <c r="V448" s="106"/>
    </row>
    <row r="449">
      <c r="C449" s="79"/>
      <c r="D449" s="79"/>
      <c r="J449" s="79"/>
      <c r="N449" s="79"/>
      <c r="Q449" s="79"/>
      <c r="T449" s="130"/>
      <c r="V449" s="106"/>
    </row>
    <row r="450">
      <c r="C450" s="79"/>
      <c r="D450" s="79"/>
      <c r="J450" s="79"/>
      <c r="N450" s="79"/>
      <c r="Q450" s="79"/>
      <c r="T450" s="130"/>
      <c r="V450" s="106"/>
    </row>
    <row r="451">
      <c r="C451" s="79"/>
      <c r="D451" s="79"/>
      <c r="J451" s="79"/>
      <c r="N451" s="79"/>
      <c r="Q451" s="79"/>
      <c r="T451" s="130"/>
      <c r="V451" s="106"/>
    </row>
    <row r="452">
      <c r="C452" s="79"/>
      <c r="D452" s="79"/>
      <c r="J452" s="79"/>
      <c r="N452" s="79"/>
      <c r="Q452" s="79"/>
      <c r="T452" s="130"/>
      <c r="V452" s="106"/>
    </row>
    <row r="453">
      <c r="C453" s="79"/>
      <c r="D453" s="79"/>
      <c r="J453" s="79"/>
      <c r="N453" s="79"/>
      <c r="Q453" s="79"/>
      <c r="T453" s="130"/>
      <c r="V453" s="106"/>
    </row>
    <row r="454">
      <c r="C454" s="79"/>
      <c r="D454" s="79"/>
      <c r="J454" s="79"/>
      <c r="N454" s="79"/>
      <c r="Q454" s="79"/>
      <c r="T454" s="130"/>
      <c r="V454" s="106"/>
    </row>
    <row r="455">
      <c r="C455" s="79"/>
      <c r="D455" s="79"/>
      <c r="J455" s="79"/>
      <c r="N455" s="79"/>
      <c r="Q455" s="79"/>
      <c r="T455" s="130"/>
      <c r="V455" s="106"/>
    </row>
    <row r="456">
      <c r="C456" s="79"/>
      <c r="D456" s="79"/>
      <c r="J456" s="79"/>
      <c r="N456" s="79"/>
      <c r="Q456" s="79"/>
      <c r="T456" s="130"/>
      <c r="V456" s="106"/>
    </row>
    <row r="457">
      <c r="C457" s="79"/>
      <c r="D457" s="79"/>
      <c r="J457" s="79"/>
      <c r="N457" s="79"/>
      <c r="Q457" s="79"/>
      <c r="T457" s="130"/>
      <c r="V457" s="106"/>
    </row>
    <row r="458">
      <c r="C458" s="79"/>
      <c r="D458" s="79"/>
      <c r="J458" s="79"/>
      <c r="N458" s="79"/>
      <c r="Q458" s="79"/>
      <c r="T458" s="130"/>
      <c r="V458" s="106"/>
    </row>
    <row r="459">
      <c r="C459" s="79"/>
      <c r="D459" s="79"/>
      <c r="J459" s="79"/>
      <c r="N459" s="79"/>
      <c r="Q459" s="79"/>
      <c r="T459" s="130"/>
      <c r="V459" s="106"/>
    </row>
    <row r="460">
      <c r="C460" s="79"/>
      <c r="D460" s="79"/>
      <c r="J460" s="79"/>
      <c r="N460" s="79"/>
      <c r="Q460" s="79"/>
      <c r="T460" s="130"/>
      <c r="V460" s="106"/>
    </row>
    <row r="461">
      <c r="C461" s="79"/>
      <c r="D461" s="79"/>
      <c r="J461" s="79"/>
      <c r="N461" s="79"/>
      <c r="Q461" s="79"/>
      <c r="T461" s="130"/>
      <c r="V461" s="106"/>
    </row>
    <row r="462">
      <c r="C462" s="79"/>
      <c r="D462" s="79"/>
      <c r="J462" s="79"/>
      <c r="N462" s="79"/>
      <c r="Q462" s="79"/>
      <c r="T462" s="130"/>
      <c r="V462" s="106"/>
    </row>
    <row r="463">
      <c r="C463" s="79"/>
      <c r="D463" s="79"/>
      <c r="J463" s="79"/>
      <c r="N463" s="79"/>
      <c r="Q463" s="79"/>
      <c r="T463" s="130"/>
      <c r="V463" s="106"/>
    </row>
    <row r="464">
      <c r="C464" s="79"/>
      <c r="D464" s="79"/>
      <c r="J464" s="79"/>
      <c r="N464" s="79"/>
      <c r="Q464" s="79"/>
      <c r="T464" s="130"/>
      <c r="V464" s="106"/>
    </row>
    <row r="465">
      <c r="C465" s="79"/>
      <c r="D465" s="79"/>
      <c r="J465" s="79"/>
      <c r="N465" s="79"/>
      <c r="Q465" s="79"/>
      <c r="T465" s="130"/>
      <c r="V465" s="106"/>
    </row>
    <row r="466">
      <c r="C466" s="79"/>
      <c r="D466" s="79"/>
      <c r="J466" s="79"/>
      <c r="N466" s="79"/>
      <c r="Q466" s="79"/>
      <c r="T466" s="130"/>
      <c r="V466" s="106"/>
    </row>
    <row r="467">
      <c r="C467" s="79"/>
      <c r="D467" s="79"/>
      <c r="J467" s="79"/>
      <c r="N467" s="79"/>
      <c r="Q467" s="79"/>
      <c r="T467" s="130"/>
      <c r="V467" s="106"/>
    </row>
    <row r="468">
      <c r="C468" s="79"/>
      <c r="D468" s="79"/>
      <c r="J468" s="79"/>
      <c r="N468" s="79"/>
      <c r="Q468" s="79"/>
      <c r="T468" s="130"/>
      <c r="V468" s="106"/>
    </row>
    <row r="469">
      <c r="C469" s="79"/>
      <c r="D469" s="79"/>
      <c r="J469" s="79"/>
      <c r="N469" s="79"/>
      <c r="Q469" s="79"/>
      <c r="T469" s="130"/>
      <c r="V469" s="106"/>
    </row>
    <row r="470">
      <c r="C470" s="79"/>
      <c r="D470" s="79"/>
      <c r="J470" s="79"/>
      <c r="N470" s="79"/>
      <c r="Q470" s="79"/>
      <c r="T470" s="130"/>
      <c r="V470" s="106"/>
    </row>
    <row r="471">
      <c r="C471" s="79"/>
      <c r="D471" s="79"/>
      <c r="J471" s="79"/>
      <c r="N471" s="79"/>
      <c r="Q471" s="79"/>
      <c r="T471" s="130"/>
      <c r="V471" s="106"/>
    </row>
    <row r="472">
      <c r="C472" s="79"/>
      <c r="D472" s="79"/>
      <c r="J472" s="79"/>
      <c r="N472" s="79"/>
      <c r="Q472" s="79"/>
      <c r="T472" s="130"/>
      <c r="V472" s="106"/>
    </row>
    <row r="473">
      <c r="C473" s="79"/>
      <c r="D473" s="79"/>
      <c r="J473" s="79"/>
      <c r="N473" s="79"/>
      <c r="Q473" s="79"/>
      <c r="T473" s="130"/>
      <c r="V473" s="106"/>
    </row>
    <row r="474">
      <c r="C474" s="79"/>
      <c r="D474" s="79"/>
      <c r="J474" s="79"/>
      <c r="N474" s="79"/>
      <c r="Q474" s="79"/>
      <c r="T474" s="130"/>
      <c r="V474" s="106"/>
    </row>
    <row r="475">
      <c r="C475" s="79"/>
      <c r="D475" s="79"/>
      <c r="J475" s="79"/>
      <c r="N475" s="79"/>
      <c r="Q475" s="79"/>
      <c r="T475" s="130"/>
      <c r="V475" s="106"/>
    </row>
    <row r="476">
      <c r="C476" s="79"/>
      <c r="D476" s="79"/>
      <c r="J476" s="79"/>
      <c r="N476" s="79"/>
      <c r="Q476" s="79"/>
      <c r="T476" s="130"/>
      <c r="V476" s="106"/>
    </row>
    <row r="477">
      <c r="C477" s="79"/>
      <c r="D477" s="79"/>
      <c r="J477" s="79"/>
      <c r="N477" s="79"/>
      <c r="Q477" s="79"/>
      <c r="T477" s="130"/>
      <c r="V477" s="106"/>
    </row>
    <row r="478">
      <c r="C478" s="79"/>
      <c r="D478" s="79"/>
      <c r="J478" s="79"/>
      <c r="N478" s="79"/>
      <c r="Q478" s="79"/>
      <c r="T478" s="130"/>
      <c r="V478" s="106"/>
    </row>
    <row r="479">
      <c r="C479" s="79"/>
      <c r="D479" s="79"/>
      <c r="J479" s="79"/>
      <c r="N479" s="79"/>
      <c r="Q479" s="79"/>
      <c r="T479" s="130"/>
      <c r="V479" s="106"/>
    </row>
    <row r="480">
      <c r="C480" s="79"/>
      <c r="D480" s="79"/>
      <c r="J480" s="79"/>
      <c r="N480" s="79"/>
      <c r="Q480" s="79"/>
      <c r="T480" s="130"/>
      <c r="V480" s="106"/>
    </row>
    <row r="481">
      <c r="C481" s="79"/>
      <c r="D481" s="79"/>
      <c r="J481" s="79"/>
      <c r="N481" s="79"/>
      <c r="Q481" s="79"/>
      <c r="T481" s="130"/>
      <c r="V481" s="106"/>
    </row>
    <row r="482">
      <c r="C482" s="79"/>
      <c r="D482" s="79"/>
      <c r="J482" s="79"/>
      <c r="N482" s="79"/>
      <c r="Q482" s="79"/>
      <c r="T482" s="130"/>
      <c r="V482" s="106"/>
    </row>
    <row r="483">
      <c r="C483" s="79"/>
      <c r="D483" s="79"/>
      <c r="J483" s="79"/>
      <c r="N483" s="79"/>
      <c r="Q483" s="79"/>
      <c r="T483" s="130"/>
      <c r="V483" s="106"/>
    </row>
    <row r="484">
      <c r="C484" s="79"/>
      <c r="D484" s="79"/>
      <c r="J484" s="79"/>
      <c r="N484" s="79"/>
      <c r="Q484" s="79"/>
      <c r="T484" s="130"/>
      <c r="V484" s="106"/>
    </row>
    <row r="485">
      <c r="C485" s="79"/>
      <c r="D485" s="79"/>
      <c r="J485" s="79"/>
      <c r="N485" s="79"/>
      <c r="Q485" s="79"/>
      <c r="T485" s="130"/>
      <c r="V485" s="106"/>
    </row>
    <row r="486">
      <c r="C486" s="79"/>
      <c r="D486" s="79"/>
      <c r="J486" s="79"/>
      <c r="N486" s="79"/>
      <c r="Q486" s="79"/>
      <c r="T486" s="130"/>
      <c r="V486" s="106"/>
    </row>
    <row r="487">
      <c r="C487" s="79"/>
      <c r="D487" s="79"/>
      <c r="J487" s="79"/>
      <c r="N487" s="79"/>
      <c r="Q487" s="79"/>
      <c r="T487" s="130"/>
      <c r="V487" s="106"/>
    </row>
    <row r="488">
      <c r="C488" s="79"/>
      <c r="D488" s="79"/>
      <c r="J488" s="79"/>
      <c r="N488" s="79"/>
      <c r="Q488" s="79"/>
      <c r="T488" s="130"/>
      <c r="V488" s="106"/>
    </row>
    <row r="489">
      <c r="C489" s="79"/>
      <c r="D489" s="79"/>
      <c r="J489" s="79"/>
      <c r="N489" s="79"/>
      <c r="Q489" s="79"/>
      <c r="T489" s="130"/>
      <c r="V489" s="106"/>
    </row>
    <row r="490">
      <c r="C490" s="79"/>
      <c r="D490" s="79"/>
      <c r="J490" s="79"/>
      <c r="N490" s="79"/>
      <c r="Q490" s="79"/>
      <c r="T490" s="130"/>
      <c r="V490" s="106"/>
    </row>
    <row r="491">
      <c r="C491" s="79"/>
      <c r="D491" s="79"/>
      <c r="J491" s="79"/>
      <c r="N491" s="79"/>
      <c r="Q491" s="79"/>
      <c r="T491" s="130"/>
      <c r="V491" s="106"/>
    </row>
    <row r="492">
      <c r="C492" s="79"/>
      <c r="D492" s="79"/>
      <c r="J492" s="79"/>
      <c r="N492" s="79"/>
      <c r="Q492" s="79"/>
      <c r="T492" s="130"/>
      <c r="V492" s="106"/>
    </row>
    <row r="493">
      <c r="C493" s="79"/>
      <c r="D493" s="79"/>
      <c r="J493" s="79"/>
      <c r="N493" s="79"/>
      <c r="Q493" s="79"/>
      <c r="T493" s="130"/>
      <c r="V493" s="106"/>
    </row>
    <row r="494">
      <c r="C494" s="79"/>
      <c r="D494" s="79"/>
      <c r="J494" s="79"/>
      <c r="N494" s="79"/>
      <c r="Q494" s="79"/>
      <c r="T494" s="130"/>
      <c r="V494" s="106"/>
    </row>
    <row r="495">
      <c r="C495" s="79"/>
      <c r="D495" s="79"/>
      <c r="J495" s="79"/>
      <c r="N495" s="79"/>
      <c r="Q495" s="79"/>
      <c r="T495" s="130"/>
      <c r="V495" s="106"/>
    </row>
    <row r="496">
      <c r="C496" s="79"/>
      <c r="D496" s="79"/>
      <c r="J496" s="79"/>
      <c r="N496" s="79"/>
      <c r="Q496" s="79"/>
      <c r="T496" s="130"/>
      <c r="V496" s="106"/>
    </row>
    <row r="497">
      <c r="C497" s="79"/>
      <c r="D497" s="79"/>
      <c r="J497" s="79"/>
      <c r="N497" s="79"/>
      <c r="Q497" s="79"/>
      <c r="T497" s="130"/>
      <c r="V497" s="106"/>
    </row>
    <row r="498">
      <c r="C498" s="79"/>
      <c r="D498" s="79"/>
      <c r="J498" s="79"/>
      <c r="N498" s="79"/>
      <c r="Q498" s="79"/>
      <c r="T498" s="130"/>
      <c r="V498" s="106"/>
    </row>
    <row r="499">
      <c r="C499" s="79"/>
      <c r="D499" s="79"/>
      <c r="J499" s="79"/>
      <c r="N499" s="79"/>
      <c r="Q499" s="79"/>
      <c r="T499" s="130"/>
      <c r="V499" s="106"/>
    </row>
    <row r="500">
      <c r="C500" s="79"/>
      <c r="D500" s="79"/>
      <c r="J500" s="79"/>
      <c r="N500" s="79"/>
      <c r="Q500" s="79"/>
      <c r="T500" s="130"/>
      <c r="V500" s="106"/>
    </row>
    <row r="501">
      <c r="C501" s="79"/>
      <c r="D501" s="79"/>
      <c r="J501" s="79"/>
      <c r="N501" s="79"/>
      <c r="Q501" s="79"/>
      <c r="T501" s="130"/>
      <c r="V501" s="106"/>
    </row>
    <row r="502">
      <c r="C502" s="79"/>
      <c r="D502" s="79"/>
      <c r="J502" s="79"/>
      <c r="N502" s="79"/>
      <c r="Q502" s="79"/>
      <c r="T502" s="130"/>
      <c r="V502" s="106"/>
    </row>
    <row r="503">
      <c r="C503" s="79"/>
      <c r="D503" s="79"/>
      <c r="J503" s="79"/>
      <c r="N503" s="79"/>
      <c r="Q503" s="79"/>
      <c r="T503" s="130"/>
      <c r="V503" s="106"/>
    </row>
    <row r="504">
      <c r="C504" s="79"/>
      <c r="D504" s="79"/>
      <c r="J504" s="79"/>
      <c r="N504" s="79"/>
      <c r="Q504" s="79"/>
      <c r="T504" s="130"/>
      <c r="V504" s="106"/>
    </row>
    <row r="505">
      <c r="C505" s="79"/>
      <c r="D505" s="79"/>
      <c r="J505" s="79"/>
      <c r="N505" s="79"/>
      <c r="Q505" s="79"/>
      <c r="T505" s="130"/>
      <c r="V505" s="106"/>
    </row>
    <row r="506">
      <c r="C506" s="79"/>
      <c r="D506" s="79"/>
      <c r="J506" s="79"/>
      <c r="N506" s="79"/>
      <c r="Q506" s="79"/>
      <c r="T506" s="130"/>
      <c r="V506" s="106"/>
    </row>
    <row r="507">
      <c r="C507" s="79"/>
      <c r="D507" s="79"/>
      <c r="J507" s="79"/>
      <c r="N507" s="79"/>
      <c r="Q507" s="79"/>
      <c r="T507" s="130"/>
      <c r="V507" s="106"/>
    </row>
    <row r="508">
      <c r="C508" s="79"/>
      <c r="D508" s="79"/>
      <c r="J508" s="79"/>
      <c r="N508" s="79"/>
      <c r="Q508" s="79"/>
      <c r="T508" s="130"/>
      <c r="V508" s="106"/>
    </row>
    <row r="509">
      <c r="C509" s="79"/>
      <c r="D509" s="79"/>
      <c r="J509" s="79"/>
      <c r="N509" s="79"/>
      <c r="Q509" s="79"/>
      <c r="T509" s="130"/>
      <c r="V509" s="106"/>
    </row>
    <row r="510">
      <c r="C510" s="79"/>
      <c r="D510" s="79"/>
      <c r="J510" s="79"/>
      <c r="N510" s="79"/>
      <c r="Q510" s="79"/>
      <c r="T510" s="130"/>
      <c r="V510" s="106"/>
    </row>
    <row r="511">
      <c r="C511" s="79"/>
      <c r="D511" s="79"/>
      <c r="J511" s="79"/>
      <c r="N511" s="79"/>
      <c r="Q511" s="79"/>
      <c r="T511" s="130"/>
      <c r="V511" s="106"/>
    </row>
    <row r="512">
      <c r="C512" s="79"/>
      <c r="D512" s="79"/>
      <c r="J512" s="79"/>
      <c r="N512" s="79"/>
      <c r="Q512" s="79"/>
      <c r="T512" s="130"/>
      <c r="V512" s="106"/>
    </row>
    <row r="513">
      <c r="C513" s="79"/>
      <c r="D513" s="79"/>
      <c r="J513" s="79"/>
      <c r="N513" s="79"/>
      <c r="Q513" s="79"/>
      <c r="T513" s="130"/>
      <c r="V513" s="106"/>
    </row>
    <row r="514">
      <c r="C514" s="79"/>
      <c r="D514" s="79"/>
      <c r="J514" s="79"/>
      <c r="N514" s="79"/>
      <c r="Q514" s="79"/>
      <c r="T514" s="130"/>
      <c r="V514" s="106"/>
    </row>
    <row r="515">
      <c r="C515" s="79"/>
      <c r="D515" s="79"/>
      <c r="J515" s="79"/>
      <c r="N515" s="79"/>
      <c r="Q515" s="79"/>
      <c r="T515" s="130"/>
      <c r="V515" s="106"/>
    </row>
    <row r="516">
      <c r="C516" s="79"/>
      <c r="D516" s="79"/>
      <c r="J516" s="79"/>
      <c r="N516" s="79"/>
      <c r="Q516" s="79"/>
      <c r="T516" s="130"/>
      <c r="V516" s="106"/>
    </row>
    <row r="517">
      <c r="C517" s="79"/>
      <c r="D517" s="79"/>
      <c r="J517" s="79"/>
      <c r="N517" s="79"/>
      <c r="Q517" s="79"/>
      <c r="T517" s="130"/>
      <c r="V517" s="106"/>
    </row>
    <row r="518">
      <c r="C518" s="79"/>
      <c r="D518" s="79"/>
      <c r="J518" s="79"/>
      <c r="N518" s="79"/>
      <c r="Q518" s="79"/>
      <c r="T518" s="130"/>
      <c r="V518" s="106"/>
    </row>
    <row r="519">
      <c r="C519" s="79"/>
      <c r="D519" s="79"/>
      <c r="J519" s="79"/>
      <c r="N519" s="79"/>
      <c r="Q519" s="79"/>
      <c r="T519" s="130"/>
      <c r="V519" s="106"/>
    </row>
    <row r="520">
      <c r="C520" s="79"/>
      <c r="D520" s="79"/>
      <c r="J520" s="79"/>
      <c r="N520" s="79"/>
      <c r="Q520" s="79"/>
      <c r="T520" s="130"/>
      <c r="V520" s="106"/>
    </row>
    <row r="521">
      <c r="C521" s="79"/>
      <c r="D521" s="79"/>
      <c r="J521" s="79"/>
      <c r="N521" s="79"/>
      <c r="Q521" s="79"/>
      <c r="T521" s="130"/>
      <c r="V521" s="106"/>
    </row>
    <row r="522">
      <c r="C522" s="79"/>
      <c r="D522" s="79"/>
      <c r="J522" s="79"/>
      <c r="N522" s="79"/>
      <c r="Q522" s="79"/>
      <c r="T522" s="130"/>
      <c r="V522" s="106"/>
    </row>
    <row r="523">
      <c r="C523" s="79"/>
      <c r="D523" s="79"/>
      <c r="J523" s="79"/>
      <c r="N523" s="79"/>
      <c r="Q523" s="79"/>
      <c r="T523" s="130"/>
      <c r="V523" s="106"/>
    </row>
    <row r="524">
      <c r="C524" s="79"/>
      <c r="D524" s="79"/>
      <c r="J524" s="79"/>
      <c r="N524" s="79"/>
      <c r="Q524" s="79"/>
      <c r="T524" s="130"/>
      <c r="V524" s="106"/>
    </row>
    <row r="525">
      <c r="C525" s="79"/>
      <c r="D525" s="79"/>
      <c r="J525" s="79"/>
      <c r="N525" s="79"/>
      <c r="Q525" s="79"/>
      <c r="T525" s="130"/>
      <c r="V525" s="106"/>
    </row>
    <row r="526">
      <c r="C526" s="79"/>
      <c r="D526" s="79"/>
      <c r="J526" s="79"/>
      <c r="N526" s="79"/>
      <c r="Q526" s="79"/>
      <c r="T526" s="130"/>
      <c r="V526" s="106"/>
    </row>
    <row r="527">
      <c r="C527" s="79"/>
      <c r="D527" s="79"/>
      <c r="J527" s="79"/>
      <c r="N527" s="79"/>
      <c r="Q527" s="79"/>
      <c r="T527" s="130"/>
      <c r="V527" s="106"/>
    </row>
    <row r="528">
      <c r="C528" s="79"/>
      <c r="D528" s="79"/>
      <c r="J528" s="79"/>
      <c r="N528" s="79"/>
      <c r="Q528" s="79"/>
      <c r="T528" s="130"/>
      <c r="V528" s="106"/>
    </row>
    <row r="529">
      <c r="C529" s="79"/>
      <c r="D529" s="79"/>
      <c r="J529" s="79"/>
      <c r="N529" s="79"/>
      <c r="Q529" s="79"/>
      <c r="T529" s="130"/>
      <c r="V529" s="106"/>
    </row>
    <row r="530">
      <c r="C530" s="79"/>
      <c r="D530" s="79"/>
      <c r="J530" s="79"/>
      <c r="N530" s="79"/>
      <c r="Q530" s="79"/>
      <c r="T530" s="130"/>
      <c r="V530" s="106"/>
    </row>
    <row r="531">
      <c r="C531" s="79"/>
      <c r="D531" s="79"/>
      <c r="J531" s="79"/>
      <c r="N531" s="79"/>
      <c r="Q531" s="79"/>
      <c r="T531" s="130"/>
      <c r="V531" s="106"/>
    </row>
    <row r="532">
      <c r="C532" s="79"/>
      <c r="D532" s="79"/>
      <c r="J532" s="79"/>
      <c r="N532" s="79"/>
      <c r="Q532" s="79"/>
      <c r="T532" s="130"/>
      <c r="V532" s="106"/>
    </row>
    <row r="533">
      <c r="C533" s="79"/>
      <c r="D533" s="79"/>
      <c r="J533" s="79"/>
      <c r="N533" s="79"/>
      <c r="Q533" s="79"/>
      <c r="T533" s="130"/>
      <c r="V533" s="106"/>
    </row>
    <row r="534">
      <c r="C534" s="79"/>
      <c r="D534" s="79"/>
      <c r="J534" s="79"/>
      <c r="N534" s="79"/>
      <c r="Q534" s="79"/>
      <c r="T534" s="130"/>
      <c r="V534" s="106"/>
    </row>
    <row r="535">
      <c r="C535" s="79"/>
      <c r="D535" s="79"/>
      <c r="J535" s="79"/>
      <c r="N535" s="79"/>
      <c r="Q535" s="79"/>
      <c r="T535" s="130"/>
      <c r="V535" s="106"/>
    </row>
    <row r="536">
      <c r="C536" s="79"/>
      <c r="D536" s="79"/>
      <c r="J536" s="79"/>
      <c r="N536" s="79"/>
      <c r="Q536" s="79"/>
      <c r="T536" s="130"/>
      <c r="V536" s="106"/>
    </row>
    <row r="537">
      <c r="C537" s="79"/>
      <c r="D537" s="79"/>
      <c r="J537" s="79"/>
      <c r="N537" s="79"/>
      <c r="Q537" s="79"/>
      <c r="T537" s="130"/>
      <c r="V537" s="106"/>
    </row>
    <row r="538">
      <c r="C538" s="79"/>
      <c r="D538" s="79"/>
      <c r="J538" s="79"/>
      <c r="N538" s="79"/>
      <c r="Q538" s="79"/>
      <c r="T538" s="130"/>
      <c r="V538" s="106"/>
    </row>
    <row r="539">
      <c r="C539" s="79"/>
      <c r="D539" s="79"/>
      <c r="J539" s="79"/>
      <c r="N539" s="79"/>
      <c r="Q539" s="79"/>
      <c r="T539" s="130"/>
      <c r="V539" s="106"/>
    </row>
    <row r="540">
      <c r="C540" s="79"/>
      <c r="D540" s="79"/>
      <c r="J540" s="79"/>
      <c r="N540" s="79"/>
      <c r="Q540" s="79"/>
      <c r="T540" s="130"/>
      <c r="V540" s="106"/>
    </row>
    <row r="541">
      <c r="C541" s="79"/>
      <c r="D541" s="79"/>
      <c r="J541" s="79"/>
      <c r="N541" s="79"/>
      <c r="Q541" s="79"/>
      <c r="T541" s="130"/>
      <c r="V541" s="106"/>
    </row>
    <row r="542">
      <c r="C542" s="79"/>
      <c r="D542" s="79"/>
      <c r="J542" s="79"/>
      <c r="N542" s="79"/>
      <c r="Q542" s="79"/>
      <c r="T542" s="130"/>
      <c r="V542" s="106"/>
    </row>
    <row r="543">
      <c r="C543" s="79"/>
      <c r="D543" s="79"/>
      <c r="J543" s="79"/>
      <c r="N543" s="79"/>
      <c r="Q543" s="79"/>
      <c r="T543" s="130"/>
      <c r="V543" s="106"/>
    </row>
    <row r="544">
      <c r="C544" s="79"/>
      <c r="D544" s="79"/>
      <c r="J544" s="79"/>
      <c r="N544" s="79"/>
      <c r="Q544" s="79"/>
      <c r="T544" s="130"/>
      <c r="V544" s="106"/>
    </row>
    <row r="545">
      <c r="C545" s="79"/>
      <c r="D545" s="79"/>
      <c r="J545" s="79"/>
      <c r="N545" s="79"/>
      <c r="Q545" s="79"/>
      <c r="T545" s="130"/>
      <c r="V545" s="106"/>
    </row>
    <row r="546">
      <c r="C546" s="79"/>
      <c r="D546" s="79"/>
      <c r="J546" s="79"/>
      <c r="N546" s="79"/>
      <c r="Q546" s="79"/>
      <c r="T546" s="130"/>
      <c r="V546" s="106"/>
    </row>
    <row r="547">
      <c r="C547" s="79"/>
      <c r="D547" s="79"/>
      <c r="J547" s="79"/>
      <c r="N547" s="79"/>
      <c r="Q547" s="79"/>
      <c r="T547" s="130"/>
      <c r="V547" s="106"/>
    </row>
    <row r="548">
      <c r="C548" s="79"/>
      <c r="D548" s="79"/>
      <c r="J548" s="79"/>
      <c r="N548" s="79"/>
      <c r="Q548" s="79"/>
      <c r="T548" s="130"/>
      <c r="V548" s="106"/>
    </row>
    <row r="549">
      <c r="C549" s="79"/>
      <c r="D549" s="79"/>
      <c r="J549" s="79"/>
      <c r="N549" s="79"/>
      <c r="Q549" s="79"/>
      <c r="T549" s="130"/>
      <c r="V549" s="106"/>
    </row>
    <row r="550">
      <c r="C550" s="79"/>
      <c r="D550" s="79"/>
      <c r="J550" s="79"/>
      <c r="N550" s="79"/>
      <c r="Q550" s="79"/>
      <c r="T550" s="130"/>
      <c r="V550" s="106"/>
    </row>
    <row r="551">
      <c r="C551" s="79"/>
      <c r="D551" s="79"/>
      <c r="J551" s="79"/>
      <c r="N551" s="79"/>
      <c r="Q551" s="79"/>
      <c r="T551" s="130"/>
      <c r="V551" s="106"/>
    </row>
    <row r="552">
      <c r="C552" s="79"/>
      <c r="D552" s="79"/>
      <c r="J552" s="79"/>
      <c r="N552" s="79"/>
      <c r="Q552" s="79"/>
      <c r="T552" s="130"/>
      <c r="V552" s="106"/>
    </row>
    <row r="553">
      <c r="C553" s="79"/>
      <c r="D553" s="79"/>
      <c r="J553" s="79"/>
      <c r="N553" s="79"/>
      <c r="Q553" s="79"/>
      <c r="T553" s="130"/>
      <c r="V553" s="106"/>
    </row>
    <row r="554">
      <c r="C554" s="79"/>
      <c r="D554" s="79"/>
      <c r="J554" s="79"/>
      <c r="N554" s="79"/>
      <c r="Q554" s="79"/>
      <c r="T554" s="130"/>
      <c r="V554" s="106"/>
    </row>
    <row r="555">
      <c r="C555" s="79"/>
      <c r="D555" s="79"/>
      <c r="J555" s="79"/>
      <c r="N555" s="79"/>
      <c r="Q555" s="79"/>
      <c r="T555" s="130"/>
      <c r="V555" s="106"/>
    </row>
    <row r="556">
      <c r="C556" s="79"/>
      <c r="D556" s="79"/>
      <c r="J556" s="79"/>
      <c r="N556" s="79"/>
      <c r="Q556" s="79"/>
      <c r="T556" s="130"/>
      <c r="V556" s="106"/>
    </row>
    <row r="557">
      <c r="C557" s="79"/>
      <c r="D557" s="79"/>
      <c r="J557" s="79"/>
      <c r="N557" s="79"/>
      <c r="Q557" s="79"/>
      <c r="T557" s="130"/>
      <c r="V557" s="106"/>
    </row>
    <row r="558">
      <c r="C558" s="79"/>
      <c r="D558" s="79"/>
      <c r="J558" s="79"/>
      <c r="N558" s="79"/>
      <c r="Q558" s="79"/>
      <c r="T558" s="130"/>
      <c r="V558" s="106"/>
    </row>
    <row r="559">
      <c r="C559" s="79"/>
      <c r="D559" s="79"/>
      <c r="J559" s="79"/>
      <c r="N559" s="79"/>
      <c r="Q559" s="79"/>
      <c r="T559" s="130"/>
      <c r="V559" s="106"/>
    </row>
    <row r="560">
      <c r="C560" s="79"/>
      <c r="D560" s="79"/>
      <c r="J560" s="79"/>
      <c r="N560" s="79"/>
      <c r="Q560" s="79"/>
      <c r="T560" s="130"/>
      <c r="V560" s="106"/>
    </row>
    <row r="561">
      <c r="C561" s="79"/>
      <c r="D561" s="79"/>
      <c r="J561" s="79"/>
      <c r="N561" s="79"/>
      <c r="Q561" s="79"/>
      <c r="T561" s="130"/>
      <c r="V561" s="106"/>
    </row>
    <row r="562">
      <c r="C562" s="79"/>
      <c r="D562" s="79"/>
      <c r="J562" s="79"/>
      <c r="N562" s="79"/>
      <c r="Q562" s="79"/>
      <c r="T562" s="130"/>
      <c r="V562" s="106"/>
    </row>
    <row r="563">
      <c r="C563" s="79"/>
      <c r="D563" s="79"/>
      <c r="J563" s="79"/>
      <c r="N563" s="79"/>
      <c r="Q563" s="79"/>
      <c r="T563" s="130"/>
      <c r="V563" s="106"/>
    </row>
    <row r="564">
      <c r="C564" s="79"/>
      <c r="D564" s="79"/>
      <c r="J564" s="79"/>
      <c r="N564" s="79"/>
      <c r="Q564" s="79"/>
      <c r="T564" s="130"/>
      <c r="V564" s="106"/>
    </row>
    <row r="565">
      <c r="C565" s="79"/>
      <c r="D565" s="79"/>
      <c r="J565" s="79"/>
      <c r="N565" s="79"/>
      <c r="Q565" s="79"/>
      <c r="T565" s="130"/>
      <c r="V565" s="106"/>
    </row>
    <row r="566">
      <c r="C566" s="79"/>
      <c r="D566" s="79"/>
      <c r="J566" s="79"/>
      <c r="N566" s="79"/>
      <c r="Q566" s="79"/>
      <c r="T566" s="130"/>
      <c r="V566" s="106"/>
    </row>
    <row r="567">
      <c r="C567" s="79"/>
      <c r="D567" s="79"/>
      <c r="J567" s="79"/>
      <c r="N567" s="79"/>
      <c r="Q567" s="79"/>
      <c r="T567" s="130"/>
      <c r="V567" s="106"/>
    </row>
    <row r="568">
      <c r="C568" s="79"/>
      <c r="D568" s="79"/>
      <c r="J568" s="79"/>
      <c r="N568" s="79"/>
      <c r="Q568" s="79"/>
      <c r="T568" s="130"/>
      <c r="V568" s="106"/>
    </row>
    <row r="569">
      <c r="C569" s="79"/>
      <c r="D569" s="79"/>
      <c r="J569" s="79"/>
      <c r="N569" s="79"/>
      <c r="Q569" s="79"/>
      <c r="T569" s="130"/>
      <c r="V569" s="106"/>
    </row>
    <row r="570">
      <c r="C570" s="79"/>
      <c r="D570" s="79"/>
      <c r="J570" s="79"/>
      <c r="N570" s="79"/>
      <c r="Q570" s="79"/>
      <c r="T570" s="130"/>
      <c r="V570" s="106"/>
    </row>
    <row r="571">
      <c r="C571" s="79"/>
      <c r="D571" s="79"/>
      <c r="J571" s="79"/>
      <c r="N571" s="79"/>
      <c r="Q571" s="79"/>
      <c r="T571" s="130"/>
      <c r="V571" s="106"/>
    </row>
    <row r="572">
      <c r="C572" s="79"/>
      <c r="D572" s="79"/>
      <c r="J572" s="79"/>
      <c r="N572" s="79"/>
      <c r="Q572" s="79"/>
      <c r="T572" s="130"/>
      <c r="V572" s="106"/>
    </row>
    <row r="573">
      <c r="C573" s="79"/>
      <c r="D573" s="79"/>
      <c r="J573" s="79"/>
      <c r="N573" s="79"/>
      <c r="Q573" s="79"/>
      <c r="T573" s="130"/>
      <c r="V573" s="106"/>
    </row>
    <row r="574">
      <c r="C574" s="79"/>
      <c r="D574" s="79"/>
      <c r="J574" s="79"/>
      <c r="N574" s="79"/>
      <c r="Q574" s="79"/>
      <c r="T574" s="130"/>
      <c r="V574" s="106"/>
    </row>
    <row r="575">
      <c r="C575" s="79"/>
      <c r="D575" s="79"/>
      <c r="J575" s="79"/>
      <c r="N575" s="79"/>
      <c r="Q575" s="79"/>
      <c r="T575" s="130"/>
      <c r="V575" s="106"/>
    </row>
    <row r="576">
      <c r="C576" s="79"/>
      <c r="D576" s="79"/>
      <c r="J576" s="79"/>
      <c r="N576" s="79"/>
      <c r="Q576" s="79"/>
      <c r="T576" s="130"/>
      <c r="V576" s="106"/>
    </row>
    <row r="577">
      <c r="C577" s="79"/>
      <c r="D577" s="79"/>
      <c r="J577" s="79"/>
      <c r="N577" s="79"/>
      <c r="Q577" s="79"/>
      <c r="T577" s="130"/>
      <c r="V577" s="106"/>
    </row>
    <row r="578">
      <c r="C578" s="79"/>
      <c r="D578" s="79"/>
      <c r="J578" s="79"/>
      <c r="N578" s="79"/>
      <c r="Q578" s="79"/>
      <c r="T578" s="130"/>
      <c r="V578" s="106"/>
    </row>
    <row r="579">
      <c r="C579" s="79"/>
      <c r="D579" s="79"/>
      <c r="J579" s="79"/>
      <c r="N579" s="79"/>
      <c r="Q579" s="79"/>
      <c r="T579" s="130"/>
      <c r="V579" s="106"/>
    </row>
    <row r="580">
      <c r="C580" s="79"/>
      <c r="D580" s="79"/>
      <c r="J580" s="79"/>
      <c r="N580" s="79"/>
      <c r="Q580" s="79"/>
      <c r="T580" s="130"/>
      <c r="V580" s="106"/>
    </row>
    <row r="581">
      <c r="C581" s="79"/>
      <c r="D581" s="79"/>
      <c r="J581" s="79"/>
      <c r="N581" s="79"/>
      <c r="Q581" s="79"/>
      <c r="T581" s="130"/>
      <c r="V581" s="106"/>
    </row>
    <row r="582">
      <c r="C582" s="79"/>
      <c r="D582" s="79"/>
      <c r="J582" s="79"/>
      <c r="N582" s="79"/>
      <c r="Q582" s="79"/>
      <c r="T582" s="130"/>
      <c r="V582" s="106"/>
    </row>
    <row r="583">
      <c r="C583" s="79"/>
      <c r="D583" s="79"/>
      <c r="J583" s="79"/>
      <c r="N583" s="79"/>
      <c r="Q583" s="79"/>
      <c r="T583" s="130"/>
      <c r="V583" s="106"/>
    </row>
    <row r="584">
      <c r="C584" s="79"/>
      <c r="D584" s="79"/>
      <c r="J584" s="79"/>
      <c r="N584" s="79"/>
      <c r="Q584" s="79"/>
      <c r="T584" s="130"/>
      <c r="V584" s="106"/>
    </row>
    <row r="585">
      <c r="C585" s="79"/>
      <c r="D585" s="79"/>
      <c r="J585" s="79"/>
      <c r="N585" s="79"/>
      <c r="Q585" s="79"/>
      <c r="T585" s="130"/>
      <c r="V585" s="106"/>
    </row>
    <row r="586">
      <c r="C586" s="79"/>
      <c r="D586" s="79"/>
      <c r="J586" s="79"/>
      <c r="N586" s="79"/>
      <c r="Q586" s="79"/>
      <c r="T586" s="130"/>
      <c r="V586" s="106"/>
    </row>
    <row r="587">
      <c r="C587" s="79"/>
      <c r="D587" s="79"/>
      <c r="J587" s="79"/>
      <c r="N587" s="79"/>
      <c r="Q587" s="79"/>
      <c r="T587" s="130"/>
      <c r="V587" s="106"/>
    </row>
    <row r="588">
      <c r="C588" s="79"/>
      <c r="D588" s="79"/>
      <c r="J588" s="79"/>
      <c r="N588" s="79"/>
      <c r="Q588" s="79"/>
      <c r="T588" s="130"/>
      <c r="V588" s="106"/>
    </row>
    <row r="589">
      <c r="C589" s="79"/>
      <c r="D589" s="79"/>
      <c r="J589" s="79"/>
      <c r="N589" s="79"/>
      <c r="Q589" s="79"/>
      <c r="T589" s="130"/>
      <c r="V589" s="106"/>
    </row>
    <row r="590">
      <c r="C590" s="79"/>
      <c r="D590" s="79"/>
      <c r="J590" s="79"/>
      <c r="N590" s="79"/>
      <c r="Q590" s="79"/>
      <c r="T590" s="130"/>
      <c r="V590" s="106"/>
    </row>
    <row r="591">
      <c r="C591" s="79"/>
      <c r="D591" s="79"/>
      <c r="J591" s="79"/>
      <c r="N591" s="79"/>
      <c r="Q591" s="79"/>
      <c r="T591" s="130"/>
      <c r="V591" s="106"/>
    </row>
    <row r="592">
      <c r="C592" s="79"/>
      <c r="D592" s="79"/>
      <c r="J592" s="79"/>
      <c r="N592" s="79"/>
      <c r="Q592" s="79"/>
      <c r="T592" s="130"/>
      <c r="V592" s="106"/>
    </row>
    <row r="593">
      <c r="C593" s="79"/>
      <c r="D593" s="79"/>
      <c r="J593" s="79"/>
      <c r="N593" s="79"/>
      <c r="Q593" s="79"/>
      <c r="T593" s="130"/>
      <c r="V593" s="106"/>
    </row>
    <row r="594">
      <c r="C594" s="79"/>
      <c r="D594" s="79"/>
      <c r="J594" s="79"/>
      <c r="N594" s="79"/>
      <c r="Q594" s="79"/>
      <c r="T594" s="130"/>
      <c r="V594" s="106"/>
    </row>
    <row r="595">
      <c r="C595" s="79"/>
      <c r="D595" s="79"/>
      <c r="J595" s="79"/>
      <c r="N595" s="79"/>
      <c r="Q595" s="79"/>
      <c r="T595" s="130"/>
      <c r="V595" s="106"/>
    </row>
    <row r="596">
      <c r="C596" s="79"/>
      <c r="D596" s="79"/>
      <c r="J596" s="79"/>
      <c r="N596" s="79"/>
      <c r="Q596" s="79"/>
      <c r="T596" s="130"/>
      <c r="V596" s="106"/>
    </row>
    <row r="597">
      <c r="C597" s="79"/>
      <c r="D597" s="79"/>
      <c r="J597" s="79"/>
      <c r="N597" s="79"/>
      <c r="Q597" s="79"/>
      <c r="T597" s="130"/>
      <c r="V597" s="106"/>
    </row>
    <row r="598">
      <c r="C598" s="79"/>
      <c r="D598" s="79"/>
      <c r="J598" s="79"/>
      <c r="N598" s="79"/>
      <c r="Q598" s="79"/>
      <c r="T598" s="130"/>
      <c r="V598" s="106"/>
    </row>
    <row r="599">
      <c r="C599" s="79"/>
      <c r="D599" s="79"/>
      <c r="J599" s="79"/>
      <c r="N599" s="79"/>
      <c r="Q599" s="79"/>
      <c r="T599" s="130"/>
      <c r="V599" s="106"/>
    </row>
    <row r="600">
      <c r="C600" s="79"/>
      <c r="D600" s="79"/>
      <c r="J600" s="79"/>
      <c r="N600" s="79"/>
      <c r="Q600" s="79"/>
      <c r="T600" s="130"/>
      <c r="V600" s="106"/>
    </row>
    <row r="601">
      <c r="C601" s="79"/>
      <c r="D601" s="79"/>
      <c r="J601" s="79"/>
      <c r="N601" s="79"/>
      <c r="Q601" s="79"/>
      <c r="T601" s="130"/>
      <c r="V601" s="106"/>
    </row>
    <row r="602">
      <c r="C602" s="79"/>
      <c r="D602" s="79"/>
      <c r="J602" s="79"/>
      <c r="N602" s="79"/>
      <c r="Q602" s="79"/>
      <c r="T602" s="130"/>
      <c r="V602" s="106"/>
    </row>
    <row r="603">
      <c r="C603" s="79"/>
      <c r="D603" s="79"/>
      <c r="J603" s="79"/>
      <c r="N603" s="79"/>
      <c r="Q603" s="79"/>
      <c r="T603" s="130"/>
      <c r="V603" s="106"/>
    </row>
    <row r="604">
      <c r="C604" s="79"/>
      <c r="D604" s="79"/>
      <c r="J604" s="79"/>
      <c r="N604" s="79"/>
      <c r="Q604" s="79"/>
      <c r="T604" s="130"/>
      <c r="V604" s="106"/>
    </row>
    <row r="605">
      <c r="C605" s="79"/>
      <c r="D605" s="79"/>
      <c r="J605" s="79"/>
      <c r="N605" s="79"/>
      <c r="Q605" s="79"/>
      <c r="T605" s="130"/>
      <c r="V605" s="106"/>
    </row>
    <row r="606">
      <c r="C606" s="79"/>
      <c r="D606" s="79"/>
      <c r="J606" s="79"/>
      <c r="N606" s="79"/>
      <c r="Q606" s="79"/>
      <c r="T606" s="130"/>
      <c r="V606" s="106"/>
    </row>
    <row r="607">
      <c r="C607" s="79"/>
      <c r="D607" s="79"/>
      <c r="J607" s="79"/>
      <c r="N607" s="79"/>
      <c r="Q607" s="79"/>
      <c r="T607" s="130"/>
      <c r="V607" s="106"/>
    </row>
    <row r="608">
      <c r="C608" s="79"/>
      <c r="D608" s="79"/>
      <c r="J608" s="79"/>
      <c r="N608" s="79"/>
      <c r="Q608" s="79"/>
      <c r="T608" s="130"/>
      <c r="V608" s="106"/>
    </row>
    <row r="609">
      <c r="C609" s="79"/>
      <c r="D609" s="79"/>
      <c r="J609" s="79"/>
      <c r="N609" s="79"/>
      <c r="Q609" s="79"/>
      <c r="T609" s="130"/>
      <c r="V609" s="106"/>
    </row>
    <row r="610">
      <c r="C610" s="79"/>
      <c r="D610" s="79"/>
      <c r="J610" s="79"/>
      <c r="N610" s="79"/>
      <c r="Q610" s="79"/>
      <c r="T610" s="130"/>
      <c r="V610" s="106"/>
    </row>
    <row r="611">
      <c r="C611" s="79"/>
      <c r="D611" s="79"/>
      <c r="J611" s="79"/>
      <c r="N611" s="79"/>
      <c r="Q611" s="79"/>
      <c r="T611" s="130"/>
      <c r="V611" s="106"/>
    </row>
    <row r="612">
      <c r="C612" s="79"/>
      <c r="D612" s="79"/>
      <c r="J612" s="79"/>
      <c r="N612" s="79"/>
      <c r="Q612" s="79"/>
      <c r="T612" s="130"/>
      <c r="V612" s="106"/>
    </row>
    <row r="613">
      <c r="C613" s="79"/>
      <c r="D613" s="79"/>
      <c r="J613" s="79"/>
      <c r="N613" s="79"/>
      <c r="Q613" s="79"/>
      <c r="T613" s="130"/>
      <c r="V613" s="106"/>
    </row>
    <row r="614">
      <c r="C614" s="79"/>
      <c r="D614" s="79"/>
      <c r="J614" s="79"/>
      <c r="N614" s="79"/>
      <c r="Q614" s="79"/>
      <c r="T614" s="130"/>
      <c r="V614" s="106"/>
    </row>
    <row r="615">
      <c r="C615" s="79"/>
      <c r="D615" s="79"/>
      <c r="J615" s="79"/>
      <c r="N615" s="79"/>
      <c r="Q615" s="79"/>
      <c r="T615" s="130"/>
      <c r="V615" s="106"/>
    </row>
    <row r="616">
      <c r="C616" s="79"/>
      <c r="D616" s="79"/>
      <c r="J616" s="79"/>
      <c r="N616" s="79"/>
      <c r="Q616" s="79"/>
      <c r="T616" s="130"/>
      <c r="V616" s="106"/>
    </row>
    <row r="617">
      <c r="C617" s="79"/>
      <c r="D617" s="79"/>
      <c r="J617" s="79"/>
      <c r="N617" s="79"/>
      <c r="Q617" s="79"/>
      <c r="T617" s="130"/>
      <c r="V617" s="106"/>
    </row>
    <row r="618">
      <c r="C618" s="79"/>
      <c r="D618" s="79"/>
      <c r="J618" s="79"/>
      <c r="N618" s="79"/>
      <c r="Q618" s="79"/>
      <c r="T618" s="130"/>
      <c r="V618" s="106"/>
    </row>
    <row r="619">
      <c r="C619" s="79"/>
      <c r="D619" s="79"/>
      <c r="J619" s="79"/>
      <c r="N619" s="79"/>
      <c r="Q619" s="79"/>
      <c r="T619" s="130"/>
      <c r="V619" s="106"/>
    </row>
    <row r="620">
      <c r="C620" s="79"/>
      <c r="D620" s="79"/>
      <c r="J620" s="79"/>
      <c r="N620" s="79"/>
      <c r="Q620" s="79"/>
      <c r="T620" s="130"/>
      <c r="V620" s="106"/>
    </row>
    <row r="621">
      <c r="C621" s="79"/>
      <c r="D621" s="79"/>
      <c r="J621" s="79"/>
      <c r="N621" s="79"/>
      <c r="Q621" s="79"/>
      <c r="T621" s="130"/>
      <c r="V621" s="106"/>
    </row>
    <row r="622">
      <c r="C622" s="79"/>
      <c r="D622" s="79"/>
      <c r="J622" s="79"/>
      <c r="N622" s="79"/>
      <c r="Q622" s="79"/>
      <c r="T622" s="130"/>
      <c r="V622" s="106"/>
    </row>
    <row r="623">
      <c r="C623" s="79"/>
      <c r="D623" s="79"/>
      <c r="J623" s="79"/>
      <c r="N623" s="79"/>
      <c r="Q623" s="79"/>
      <c r="T623" s="130"/>
      <c r="V623" s="106"/>
    </row>
    <row r="624">
      <c r="C624" s="79"/>
      <c r="D624" s="79"/>
      <c r="J624" s="79"/>
      <c r="N624" s="79"/>
      <c r="Q624" s="79"/>
      <c r="T624" s="130"/>
      <c r="V624" s="106"/>
    </row>
    <row r="625">
      <c r="C625" s="79"/>
      <c r="D625" s="79"/>
      <c r="J625" s="79"/>
      <c r="N625" s="79"/>
      <c r="Q625" s="79"/>
      <c r="T625" s="130"/>
      <c r="V625" s="106"/>
    </row>
    <row r="626">
      <c r="C626" s="79"/>
      <c r="D626" s="79"/>
      <c r="J626" s="79"/>
      <c r="N626" s="79"/>
      <c r="Q626" s="79"/>
      <c r="T626" s="130"/>
      <c r="V626" s="106"/>
    </row>
    <row r="627">
      <c r="C627" s="79"/>
      <c r="D627" s="79"/>
      <c r="J627" s="79"/>
      <c r="N627" s="79"/>
      <c r="Q627" s="79"/>
      <c r="T627" s="130"/>
      <c r="V627" s="106"/>
    </row>
    <row r="628">
      <c r="C628" s="79"/>
      <c r="D628" s="79"/>
      <c r="J628" s="79"/>
      <c r="N628" s="79"/>
      <c r="Q628" s="79"/>
      <c r="T628" s="130"/>
      <c r="V628" s="106"/>
    </row>
    <row r="629">
      <c r="C629" s="79"/>
      <c r="D629" s="79"/>
      <c r="J629" s="79"/>
      <c r="N629" s="79"/>
      <c r="Q629" s="79"/>
      <c r="T629" s="130"/>
      <c r="V629" s="106"/>
    </row>
    <row r="630">
      <c r="C630" s="79"/>
      <c r="D630" s="79"/>
      <c r="J630" s="79"/>
      <c r="N630" s="79"/>
      <c r="Q630" s="79"/>
      <c r="T630" s="130"/>
      <c r="V630" s="106"/>
    </row>
    <row r="631">
      <c r="C631" s="79"/>
      <c r="D631" s="79"/>
      <c r="J631" s="79"/>
      <c r="N631" s="79"/>
      <c r="Q631" s="79"/>
      <c r="T631" s="130"/>
      <c r="V631" s="106"/>
    </row>
    <row r="632">
      <c r="C632" s="79"/>
      <c r="D632" s="79"/>
      <c r="J632" s="79"/>
      <c r="N632" s="79"/>
      <c r="Q632" s="79"/>
      <c r="T632" s="130"/>
      <c r="V632" s="106"/>
    </row>
    <row r="633">
      <c r="C633" s="79"/>
      <c r="D633" s="79"/>
      <c r="J633" s="79"/>
      <c r="N633" s="79"/>
      <c r="Q633" s="79"/>
      <c r="T633" s="130"/>
      <c r="V633" s="106"/>
    </row>
    <row r="634">
      <c r="C634" s="79"/>
      <c r="D634" s="79"/>
      <c r="J634" s="79"/>
      <c r="N634" s="79"/>
      <c r="Q634" s="79"/>
      <c r="T634" s="130"/>
      <c r="V634" s="106"/>
    </row>
    <row r="635">
      <c r="C635" s="79"/>
      <c r="D635" s="79"/>
      <c r="J635" s="79"/>
      <c r="N635" s="79"/>
      <c r="Q635" s="79"/>
      <c r="T635" s="130"/>
      <c r="V635" s="106"/>
    </row>
    <row r="636">
      <c r="C636" s="79"/>
      <c r="D636" s="79"/>
      <c r="J636" s="79"/>
      <c r="N636" s="79"/>
      <c r="Q636" s="79"/>
      <c r="T636" s="130"/>
      <c r="V636" s="106"/>
    </row>
    <row r="637">
      <c r="C637" s="79"/>
      <c r="D637" s="79"/>
      <c r="J637" s="79"/>
      <c r="N637" s="79"/>
      <c r="Q637" s="79"/>
      <c r="T637" s="130"/>
      <c r="V637" s="106"/>
    </row>
    <row r="638">
      <c r="C638" s="79"/>
      <c r="D638" s="79"/>
      <c r="J638" s="79"/>
      <c r="N638" s="79"/>
      <c r="Q638" s="79"/>
      <c r="T638" s="130"/>
      <c r="V638" s="106"/>
    </row>
    <row r="639">
      <c r="C639" s="79"/>
      <c r="D639" s="79"/>
      <c r="J639" s="79"/>
      <c r="N639" s="79"/>
      <c r="Q639" s="79"/>
      <c r="T639" s="130"/>
      <c r="V639" s="106"/>
    </row>
    <row r="640">
      <c r="C640" s="79"/>
      <c r="D640" s="79"/>
      <c r="J640" s="79"/>
      <c r="N640" s="79"/>
      <c r="Q640" s="79"/>
      <c r="T640" s="130"/>
      <c r="V640" s="106"/>
    </row>
    <row r="641">
      <c r="C641" s="79"/>
      <c r="D641" s="79"/>
      <c r="J641" s="79"/>
      <c r="N641" s="79"/>
      <c r="Q641" s="79"/>
      <c r="T641" s="130"/>
      <c r="V641" s="106"/>
    </row>
    <row r="642">
      <c r="C642" s="79"/>
      <c r="D642" s="79"/>
      <c r="J642" s="79"/>
      <c r="N642" s="79"/>
      <c r="Q642" s="79"/>
      <c r="T642" s="130"/>
      <c r="V642" s="106"/>
    </row>
    <row r="643">
      <c r="C643" s="79"/>
      <c r="D643" s="79"/>
      <c r="J643" s="79"/>
      <c r="N643" s="79"/>
      <c r="Q643" s="79"/>
      <c r="T643" s="130"/>
      <c r="V643" s="106"/>
    </row>
    <row r="644">
      <c r="C644" s="79"/>
      <c r="D644" s="79"/>
      <c r="J644" s="79"/>
      <c r="N644" s="79"/>
      <c r="Q644" s="79"/>
      <c r="T644" s="130"/>
      <c r="V644" s="106"/>
    </row>
    <row r="645">
      <c r="C645" s="79"/>
      <c r="D645" s="79"/>
      <c r="J645" s="79"/>
      <c r="N645" s="79"/>
      <c r="Q645" s="79"/>
      <c r="T645" s="130"/>
      <c r="V645" s="106"/>
    </row>
    <row r="646">
      <c r="C646" s="79"/>
      <c r="D646" s="79"/>
      <c r="J646" s="79"/>
      <c r="N646" s="79"/>
      <c r="Q646" s="79"/>
      <c r="T646" s="130"/>
      <c r="V646" s="106"/>
    </row>
    <row r="647">
      <c r="C647" s="79"/>
      <c r="D647" s="79"/>
      <c r="J647" s="79"/>
      <c r="N647" s="79"/>
      <c r="Q647" s="79"/>
      <c r="T647" s="130"/>
      <c r="V647" s="106"/>
    </row>
    <row r="648">
      <c r="C648" s="79"/>
      <c r="D648" s="79"/>
      <c r="J648" s="79"/>
      <c r="N648" s="79"/>
      <c r="Q648" s="79"/>
      <c r="T648" s="130"/>
      <c r="V648" s="106"/>
    </row>
    <row r="649">
      <c r="C649" s="79"/>
      <c r="D649" s="79"/>
      <c r="J649" s="79"/>
      <c r="N649" s="79"/>
      <c r="Q649" s="79"/>
      <c r="T649" s="130"/>
      <c r="V649" s="106"/>
    </row>
    <row r="650">
      <c r="C650" s="79"/>
      <c r="D650" s="79"/>
      <c r="J650" s="79"/>
      <c r="N650" s="79"/>
      <c r="Q650" s="79"/>
      <c r="T650" s="130"/>
      <c r="V650" s="106"/>
    </row>
    <row r="651">
      <c r="C651" s="79"/>
      <c r="D651" s="79"/>
      <c r="J651" s="79"/>
      <c r="N651" s="79"/>
      <c r="Q651" s="79"/>
      <c r="T651" s="130"/>
      <c r="V651" s="106"/>
    </row>
    <row r="652">
      <c r="C652" s="79"/>
      <c r="D652" s="79"/>
      <c r="J652" s="79"/>
      <c r="N652" s="79"/>
      <c r="Q652" s="79"/>
      <c r="T652" s="130"/>
      <c r="V652" s="106"/>
    </row>
    <row r="653">
      <c r="C653" s="79"/>
      <c r="D653" s="79"/>
      <c r="J653" s="79"/>
      <c r="N653" s="79"/>
      <c r="Q653" s="79"/>
      <c r="T653" s="130"/>
      <c r="V653" s="106"/>
    </row>
    <row r="654">
      <c r="C654" s="79"/>
      <c r="D654" s="79"/>
      <c r="J654" s="79"/>
      <c r="N654" s="79"/>
      <c r="Q654" s="79"/>
      <c r="T654" s="130"/>
      <c r="V654" s="106"/>
    </row>
    <row r="655">
      <c r="C655" s="79"/>
      <c r="D655" s="79"/>
      <c r="J655" s="79"/>
      <c r="N655" s="79"/>
      <c r="Q655" s="79"/>
      <c r="T655" s="130"/>
      <c r="V655" s="106"/>
    </row>
    <row r="656">
      <c r="C656" s="79"/>
      <c r="D656" s="79"/>
      <c r="J656" s="79"/>
      <c r="N656" s="79"/>
      <c r="Q656" s="79"/>
      <c r="T656" s="130"/>
      <c r="V656" s="106"/>
    </row>
    <row r="657">
      <c r="C657" s="79"/>
      <c r="D657" s="79"/>
      <c r="J657" s="79"/>
      <c r="N657" s="79"/>
      <c r="Q657" s="79"/>
      <c r="T657" s="130"/>
      <c r="V657" s="106"/>
    </row>
    <row r="658">
      <c r="C658" s="79"/>
      <c r="D658" s="79"/>
      <c r="J658" s="79"/>
      <c r="N658" s="79"/>
      <c r="Q658" s="79"/>
      <c r="T658" s="130"/>
      <c r="V658" s="106"/>
    </row>
    <row r="659">
      <c r="C659" s="79"/>
      <c r="D659" s="79"/>
      <c r="J659" s="79"/>
      <c r="N659" s="79"/>
      <c r="Q659" s="79"/>
      <c r="T659" s="130"/>
      <c r="V659" s="106"/>
    </row>
    <row r="660">
      <c r="C660" s="79"/>
      <c r="D660" s="79"/>
      <c r="J660" s="79"/>
      <c r="N660" s="79"/>
      <c r="Q660" s="79"/>
      <c r="T660" s="130"/>
      <c r="V660" s="106"/>
    </row>
    <row r="661">
      <c r="C661" s="79"/>
      <c r="D661" s="79"/>
      <c r="J661" s="79"/>
      <c r="N661" s="79"/>
      <c r="Q661" s="79"/>
      <c r="T661" s="130"/>
      <c r="V661" s="106"/>
    </row>
    <row r="662">
      <c r="C662" s="79"/>
      <c r="D662" s="79"/>
      <c r="J662" s="79"/>
      <c r="N662" s="79"/>
      <c r="Q662" s="79"/>
      <c r="T662" s="130"/>
      <c r="V662" s="106"/>
    </row>
    <row r="663">
      <c r="C663" s="79"/>
      <c r="D663" s="79"/>
      <c r="J663" s="79"/>
      <c r="N663" s="79"/>
      <c r="Q663" s="79"/>
      <c r="T663" s="130"/>
      <c r="V663" s="106"/>
    </row>
    <row r="664">
      <c r="C664" s="79"/>
      <c r="D664" s="79"/>
      <c r="J664" s="79"/>
      <c r="N664" s="79"/>
      <c r="Q664" s="79"/>
      <c r="T664" s="130"/>
      <c r="V664" s="106"/>
    </row>
    <row r="665">
      <c r="C665" s="79"/>
      <c r="D665" s="79"/>
      <c r="J665" s="79"/>
      <c r="N665" s="79"/>
      <c r="Q665" s="79"/>
      <c r="T665" s="130"/>
      <c r="V665" s="106"/>
    </row>
    <row r="666">
      <c r="C666" s="79"/>
      <c r="D666" s="79"/>
      <c r="J666" s="79"/>
      <c r="N666" s="79"/>
      <c r="Q666" s="79"/>
      <c r="T666" s="130"/>
      <c r="V666" s="106"/>
    </row>
    <row r="667">
      <c r="C667" s="79"/>
      <c r="D667" s="79"/>
      <c r="J667" s="79"/>
      <c r="N667" s="79"/>
      <c r="Q667" s="79"/>
      <c r="T667" s="130"/>
      <c r="V667" s="106"/>
    </row>
    <row r="668">
      <c r="C668" s="79"/>
      <c r="D668" s="79"/>
      <c r="J668" s="79"/>
      <c r="N668" s="79"/>
      <c r="Q668" s="79"/>
      <c r="T668" s="130"/>
      <c r="V668" s="106"/>
    </row>
    <row r="669">
      <c r="C669" s="79"/>
      <c r="D669" s="79"/>
      <c r="J669" s="79"/>
      <c r="N669" s="79"/>
      <c r="Q669" s="79"/>
      <c r="T669" s="130"/>
      <c r="V669" s="106"/>
    </row>
    <row r="670">
      <c r="C670" s="79"/>
      <c r="D670" s="79"/>
      <c r="J670" s="79"/>
      <c r="N670" s="79"/>
      <c r="Q670" s="79"/>
      <c r="T670" s="130"/>
      <c r="V670" s="106"/>
    </row>
    <row r="671">
      <c r="C671" s="79"/>
      <c r="D671" s="79"/>
      <c r="J671" s="79"/>
      <c r="N671" s="79"/>
      <c r="Q671" s="79"/>
      <c r="T671" s="130"/>
      <c r="V671" s="106"/>
    </row>
    <row r="672">
      <c r="C672" s="79"/>
      <c r="D672" s="79"/>
      <c r="J672" s="79"/>
      <c r="N672" s="79"/>
      <c r="Q672" s="79"/>
      <c r="T672" s="130"/>
      <c r="V672" s="106"/>
    </row>
    <row r="673">
      <c r="C673" s="79"/>
      <c r="D673" s="79"/>
      <c r="J673" s="79"/>
      <c r="N673" s="79"/>
      <c r="Q673" s="79"/>
      <c r="T673" s="130"/>
      <c r="V673" s="106"/>
    </row>
    <row r="674">
      <c r="C674" s="79"/>
      <c r="D674" s="79"/>
      <c r="J674" s="79"/>
      <c r="N674" s="79"/>
      <c r="Q674" s="79"/>
      <c r="T674" s="130"/>
      <c r="V674" s="106"/>
    </row>
    <row r="675">
      <c r="C675" s="79"/>
      <c r="D675" s="79"/>
      <c r="J675" s="79"/>
      <c r="N675" s="79"/>
      <c r="Q675" s="79"/>
      <c r="T675" s="130"/>
      <c r="V675" s="106"/>
    </row>
    <row r="676">
      <c r="C676" s="79"/>
      <c r="D676" s="79"/>
      <c r="J676" s="79"/>
      <c r="N676" s="79"/>
      <c r="Q676" s="79"/>
      <c r="T676" s="130"/>
      <c r="V676" s="106"/>
    </row>
    <row r="677">
      <c r="C677" s="79"/>
      <c r="D677" s="79"/>
      <c r="J677" s="79"/>
      <c r="N677" s="79"/>
      <c r="Q677" s="79"/>
      <c r="T677" s="130"/>
      <c r="V677" s="106"/>
    </row>
    <row r="678">
      <c r="C678" s="79"/>
      <c r="D678" s="79"/>
      <c r="J678" s="79"/>
      <c r="N678" s="79"/>
      <c r="Q678" s="79"/>
      <c r="T678" s="130"/>
      <c r="V678" s="106"/>
    </row>
    <row r="679">
      <c r="C679" s="79"/>
      <c r="D679" s="79"/>
      <c r="J679" s="79"/>
      <c r="N679" s="79"/>
      <c r="Q679" s="79"/>
      <c r="T679" s="130"/>
      <c r="V679" s="106"/>
    </row>
    <row r="680">
      <c r="C680" s="79"/>
      <c r="D680" s="79"/>
      <c r="J680" s="79"/>
      <c r="N680" s="79"/>
      <c r="Q680" s="79"/>
      <c r="T680" s="130"/>
      <c r="V680" s="106"/>
    </row>
    <row r="681">
      <c r="C681" s="79"/>
      <c r="D681" s="79"/>
      <c r="J681" s="79"/>
      <c r="N681" s="79"/>
      <c r="Q681" s="79"/>
      <c r="T681" s="130"/>
      <c r="V681" s="106"/>
    </row>
    <row r="682">
      <c r="C682" s="79"/>
      <c r="D682" s="79"/>
      <c r="J682" s="79"/>
      <c r="N682" s="79"/>
      <c r="Q682" s="79"/>
      <c r="T682" s="130"/>
      <c r="V682" s="106"/>
    </row>
    <row r="683">
      <c r="C683" s="79"/>
      <c r="D683" s="79"/>
      <c r="J683" s="79"/>
      <c r="N683" s="79"/>
      <c r="Q683" s="79"/>
      <c r="T683" s="130"/>
      <c r="V683" s="106"/>
    </row>
    <row r="684">
      <c r="C684" s="79"/>
      <c r="D684" s="79"/>
      <c r="J684" s="79"/>
      <c r="N684" s="79"/>
      <c r="Q684" s="79"/>
      <c r="T684" s="130"/>
      <c r="V684" s="106"/>
    </row>
    <row r="685">
      <c r="C685" s="79"/>
      <c r="D685" s="79"/>
      <c r="J685" s="79"/>
      <c r="N685" s="79"/>
      <c r="Q685" s="79"/>
      <c r="T685" s="130"/>
      <c r="V685" s="106"/>
    </row>
    <row r="686">
      <c r="C686" s="79"/>
      <c r="D686" s="79"/>
      <c r="J686" s="79"/>
      <c r="N686" s="79"/>
      <c r="Q686" s="79"/>
      <c r="T686" s="130"/>
      <c r="V686" s="106"/>
    </row>
    <row r="687">
      <c r="C687" s="79"/>
      <c r="D687" s="79"/>
      <c r="J687" s="79"/>
      <c r="N687" s="79"/>
      <c r="Q687" s="79"/>
      <c r="T687" s="130"/>
      <c r="V687" s="106"/>
    </row>
    <row r="688">
      <c r="C688" s="79"/>
      <c r="D688" s="79"/>
      <c r="J688" s="79"/>
      <c r="N688" s="79"/>
      <c r="Q688" s="79"/>
      <c r="T688" s="130"/>
      <c r="V688" s="106"/>
    </row>
    <row r="689">
      <c r="C689" s="79"/>
      <c r="D689" s="79"/>
      <c r="J689" s="79"/>
      <c r="N689" s="79"/>
      <c r="Q689" s="79"/>
      <c r="T689" s="130"/>
      <c r="V689" s="106"/>
    </row>
    <row r="690">
      <c r="C690" s="79"/>
      <c r="D690" s="79"/>
      <c r="J690" s="79"/>
      <c r="N690" s="79"/>
      <c r="Q690" s="79"/>
      <c r="T690" s="130"/>
      <c r="V690" s="106"/>
    </row>
    <row r="691">
      <c r="C691" s="79"/>
      <c r="D691" s="79"/>
      <c r="J691" s="79"/>
      <c r="N691" s="79"/>
      <c r="Q691" s="79"/>
      <c r="T691" s="130"/>
      <c r="V691" s="106"/>
    </row>
    <row r="692">
      <c r="C692" s="79"/>
      <c r="D692" s="79"/>
      <c r="J692" s="79"/>
      <c r="N692" s="79"/>
      <c r="Q692" s="79"/>
      <c r="T692" s="130"/>
      <c r="V692" s="106"/>
    </row>
    <row r="693">
      <c r="C693" s="79"/>
      <c r="D693" s="79"/>
      <c r="J693" s="79"/>
      <c r="N693" s="79"/>
      <c r="Q693" s="79"/>
      <c r="T693" s="130"/>
      <c r="V693" s="106"/>
    </row>
    <row r="694">
      <c r="C694" s="79"/>
      <c r="D694" s="79"/>
      <c r="J694" s="79"/>
      <c r="N694" s="79"/>
      <c r="Q694" s="79"/>
      <c r="T694" s="130"/>
      <c r="V694" s="106"/>
    </row>
    <row r="695">
      <c r="C695" s="79"/>
      <c r="D695" s="79"/>
      <c r="J695" s="79"/>
      <c r="N695" s="79"/>
      <c r="Q695" s="79"/>
      <c r="T695" s="130"/>
      <c r="V695" s="106"/>
    </row>
    <row r="696">
      <c r="C696" s="79"/>
      <c r="D696" s="79"/>
      <c r="J696" s="79"/>
      <c r="N696" s="79"/>
      <c r="Q696" s="79"/>
      <c r="T696" s="130"/>
      <c r="V696" s="106"/>
    </row>
    <row r="697">
      <c r="C697" s="79"/>
      <c r="D697" s="79"/>
      <c r="J697" s="79"/>
      <c r="N697" s="79"/>
      <c r="Q697" s="79"/>
      <c r="T697" s="130"/>
      <c r="V697" s="106"/>
    </row>
    <row r="698">
      <c r="C698" s="79"/>
      <c r="D698" s="79"/>
      <c r="J698" s="79"/>
      <c r="N698" s="79"/>
      <c r="Q698" s="79"/>
      <c r="T698" s="130"/>
      <c r="V698" s="106"/>
    </row>
    <row r="699">
      <c r="C699" s="79"/>
      <c r="D699" s="79"/>
      <c r="J699" s="79"/>
      <c r="N699" s="79"/>
      <c r="Q699" s="79"/>
      <c r="T699" s="130"/>
      <c r="V699" s="106"/>
    </row>
    <row r="700">
      <c r="C700" s="79"/>
      <c r="D700" s="79"/>
      <c r="J700" s="79"/>
      <c r="N700" s="79"/>
      <c r="Q700" s="79"/>
      <c r="T700" s="130"/>
      <c r="V700" s="106"/>
    </row>
    <row r="701">
      <c r="C701" s="79"/>
      <c r="D701" s="79"/>
      <c r="J701" s="79"/>
      <c r="N701" s="79"/>
      <c r="Q701" s="79"/>
      <c r="T701" s="130"/>
      <c r="V701" s="106"/>
    </row>
    <row r="702">
      <c r="C702" s="79"/>
      <c r="D702" s="79"/>
      <c r="J702" s="79"/>
      <c r="N702" s="79"/>
      <c r="Q702" s="79"/>
      <c r="T702" s="130"/>
      <c r="V702" s="106"/>
    </row>
    <row r="703">
      <c r="C703" s="79"/>
      <c r="D703" s="79"/>
      <c r="J703" s="79"/>
      <c r="N703" s="79"/>
      <c r="Q703" s="79"/>
      <c r="T703" s="130"/>
      <c r="V703" s="106"/>
    </row>
    <row r="704">
      <c r="C704" s="79"/>
      <c r="D704" s="79"/>
      <c r="J704" s="79"/>
      <c r="N704" s="79"/>
      <c r="Q704" s="79"/>
      <c r="T704" s="130"/>
      <c r="V704" s="106"/>
    </row>
    <row r="705">
      <c r="C705" s="79"/>
      <c r="D705" s="79"/>
      <c r="J705" s="79"/>
      <c r="N705" s="79"/>
      <c r="Q705" s="79"/>
      <c r="T705" s="130"/>
      <c r="V705" s="106"/>
    </row>
    <row r="706">
      <c r="C706" s="79"/>
      <c r="D706" s="79"/>
      <c r="J706" s="79"/>
      <c r="N706" s="79"/>
      <c r="Q706" s="79"/>
      <c r="T706" s="130"/>
      <c r="V706" s="106"/>
    </row>
    <row r="707">
      <c r="C707" s="79"/>
      <c r="D707" s="79"/>
      <c r="J707" s="79"/>
      <c r="N707" s="79"/>
      <c r="Q707" s="79"/>
      <c r="T707" s="130"/>
      <c r="V707" s="106"/>
    </row>
    <row r="708">
      <c r="C708" s="79"/>
      <c r="D708" s="79"/>
      <c r="J708" s="79"/>
      <c r="N708" s="79"/>
      <c r="Q708" s="79"/>
      <c r="T708" s="130"/>
      <c r="V708" s="106"/>
    </row>
    <row r="709">
      <c r="C709" s="79"/>
      <c r="D709" s="79"/>
      <c r="J709" s="79"/>
      <c r="N709" s="79"/>
      <c r="Q709" s="79"/>
      <c r="T709" s="130"/>
      <c r="V709" s="106"/>
    </row>
    <row r="710">
      <c r="C710" s="79"/>
      <c r="D710" s="79"/>
      <c r="J710" s="79"/>
      <c r="N710" s="79"/>
      <c r="Q710" s="79"/>
      <c r="T710" s="130"/>
      <c r="V710" s="106"/>
    </row>
    <row r="711">
      <c r="C711" s="79"/>
      <c r="D711" s="79"/>
      <c r="J711" s="79"/>
      <c r="N711" s="79"/>
      <c r="Q711" s="79"/>
      <c r="T711" s="130"/>
      <c r="V711" s="106"/>
    </row>
    <row r="712">
      <c r="C712" s="79"/>
      <c r="D712" s="79"/>
      <c r="J712" s="79"/>
      <c r="N712" s="79"/>
      <c r="Q712" s="79"/>
      <c r="T712" s="130"/>
      <c r="V712" s="106"/>
    </row>
    <row r="713">
      <c r="C713" s="79"/>
      <c r="D713" s="79"/>
      <c r="J713" s="79"/>
      <c r="N713" s="79"/>
      <c r="Q713" s="79"/>
      <c r="T713" s="130"/>
      <c r="V713" s="106"/>
    </row>
    <row r="714">
      <c r="C714" s="79"/>
      <c r="D714" s="79"/>
      <c r="J714" s="79"/>
      <c r="N714" s="79"/>
      <c r="Q714" s="79"/>
      <c r="T714" s="130"/>
      <c r="V714" s="106"/>
    </row>
    <row r="715">
      <c r="C715" s="79"/>
      <c r="D715" s="79"/>
      <c r="J715" s="79"/>
      <c r="N715" s="79"/>
      <c r="Q715" s="79"/>
      <c r="T715" s="130"/>
      <c r="V715" s="106"/>
    </row>
    <row r="716">
      <c r="C716" s="79"/>
      <c r="D716" s="79"/>
      <c r="J716" s="79"/>
      <c r="N716" s="79"/>
      <c r="Q716" s="79"/>
      <c r="T716" s="130"/>
      <c r="V716" s="106"/>
    </row>
    <row r="717">
      <c r="C717" s="79"/>
      <c r="D717" s="79"/>
      <c r="J717" s="79"/>
      <c r="N717" s="79"/>
      <c r="Q717" s="79"/>
      <c r="T717" s="130"/>
      <c r="V717" s="106"/>
    </row>
    <row r="718">
      <c r="C718" s="79"/>
      <c r="D718" s="79"/>
      <c r="J718" s="79"/>
      <c r="N718" s="79"/>
      <c r="Q718" s="79"/>
      <c r="T718" s="130"/>
      <c r="V718" s="106"/>
    </row>
    <row r="719">
      <c r="C719" s="79"/>
      <c r="D719" s="79"/>
      <c r="J719" s="79"/>
      <c r="N719" s="79"/>
      <c r="Q719" s="79"/>
      <c r="T719" s="130"/>
      <c r="V719" s="106"/>
    </row>
    <row r="720">
      <c r="C720" s="79"/>
      <c r="D720" s="79"/>
      <c r="J720" s="79"/>
      <c r="N720" s="79"/>
      <c r="Q720" s="79"/>
      <c r="T720" s="130"/>
      <c r="V720" s="106"/>
    </row>
    <row r="721">
      <c r="C721" s="79"/>
      <c r="D721" s="79"/>
      <c r="J721" s="79"/>
      <c r="N721" s="79"/>
      <c r="Q721" s="79"/>
      <c r="T721" s="130"/>
      <c r="V721" s="106"/>
    </row>
    <row r="722">
      <c r="C722" s="79"/>
      <c r="D722" s="79"/>
      <c r="J722" s="79"/>
      <c r="N722" s="79"/>
      <c r="Q722" s="79"/>
      <c r="T722" s="130"/>
      <c r="V722" s="106"/>
    </row>
    <row r="723">
      <c r="C723" s="79"/>
      <c r="D723" s="79"/>
      <c r="J723" s="79"/>
      <c r="N723" s="79"/>
      <c r="Q723" s="79"/>
      <c r="T723" s="130"/>
      <c r="V723" s="106"/>
    </row>
    <row r="724">
      <c r="C724" s="79"/>
      <c r="D724" s="79"/>
      <c r="J724" s="79"/>
      <c r="N724" s="79"/>
      <c r="Q724" s="79"/>
      <c r="T724" s="130"/>
      <c r="V724" s="106"/>
    </row>
    <row r="725">
      <c r="C725" s="79"/>
      <c r="D725" s="79"/>
      <c r="J725" s="79"/>
      <c r="N725" s="79"/>
      <c r="Q725" s="79"/>
      <c r="T725" s="130"/>
      <c r="V725" s="106"/>
    </row>
    <row r="726">
      <c r="C726" s="79"/>
      <c r="D726" s="79"/>
      <c r="J726" s="79"/>
      <c r="N726" s="79"/>
      <c r="Q726" s="79"/>
      <c r="T726" s="130"/>
      <c r="V726" s="106"/>
    </row>
    <row r="727">
      <c r="C727" s="79"/>
      <c r="D727" s="79"/>
      <c r="J727" s="79"/>
      <c r="N727" s="79"/>
      <c r="Q727" s="79"/>
      <c r="T727" s="130"/>
      <c r="V727" s="106"/>
    </row>
    <row r="728">
      <c r="C728" s="79"/>
      <c r="D728" s="79"/>
      <c r="J728" s="79"/>
      <c r="N728" s="79"/>
      <c r="Q728" s="79"/>
      <c r="T728" s="130"/>
      <c r="V728" s="106"/>
    </row>
    <row r="729">
      <c r="C729" s="79"/>
      <c r="D729" s="79"/>
      <c r="J729" s="79"/>
      <c r="N729" s="79"/>
      <c r="Q729" s="79"/>
      <c r="T729" s="130"/>
      <c r="V729" s="106"/>
    </row>
    <row r="730">
      <c r="C730" s="79"/>
      <c r="D730" s="79"/>
      <c r="J730" s="79"/>
      <c r="N730" s="79"/>
      <c r="Q730" s="79"/>
      <c r="T730" s="130"/>
      <c r="V730" s="106"/>
    </row>
    <row r="731">
      <c r="C731" s="79"/>
      <c r="D731" s="79"/>
      <c r="J731" s="79"/>
      <c r="N731" s="79"/>
      <c r="Q731" s="79"/>
      <c r="T731" s="130"/>
      <c r="V731" s="106"/>
    </row>
    <row r="732">
      <c r="C732" s="79"/>
      <c r="D732" s="79"/>
      <c r="J732" s="79"/>
      <c r="N732" s="79"/>
      <c r="Q732" s="79"/>
      <c r="T732" s="130"/>
      <c r="V732" s="106"/>
    </row>
    <row r="733">
      <c r="C733" s="79"/>
      <c r="D733" s="79"/>
      <c r="J733" s="79"/>
      <c r="N733" s="79"/>
      <c r="Q733" s="79"/>
      <c r="T733" s="130"/>
      <c r="V733" s="106"/>
    </row>
    <row r="734">
      <c r="C734" s="79"/>
      <c r="D734" s="79"/>
      <c r="J734" s="79"/>
      <c r="N734" s="79"/>
      <c r="Q734" s="79"/>
      <c r="T734" s="130"/>
      <c r="V734" s="106"/>
    </row>
    <row r="735">
      <c r="C735" s="79"/>
      <c r="D735" s="79"/>
      <c r="J735" s="79"/>
      <c r="N735" s="79"/>
      <c r="Q735" s="79"/>
      <c r="T735" s="130"/>
      <c r="V735" s="106"/>
    </row>
    <row r="736">
      <c r="C736" s="79"/>
      <c r="D736" s="79"/>
      <c r="J736" s="79"/>
      <c r="N736" s="79"/>
      <c r="Q736" s="79"/>
      <c r="T736" s="130"/>
      <c r="V736" s="106"/>
    </row>
    <row r="737">
      <c r="C737" s="79"/>
      <c r="D737" s="79"/>
      <c r="J737" s="79"/>
      <c r="N737" s="79"/>
      <c r="Q737" s="79"/>
      <c r="T737" s="130"/>
      <c r="V737" s="106"/>
    </row>
    <row r="738">
      <c r="C738" s="79"/>
      <c r="D738" s="79"/>
      <c r="J738" s="79"/>
      <c r="N738" s="79"/>
      <c r="Q738" s="79"/>
      <c r="T738" s="130"/>
      <c r="V738" s="106"/>
    </row>
    <row r="739">
      <c r="C739" s="79"/>
      <c r="D739" s="79"/>
      <c r="J739" s="79"/>
      <c r="N739" s="79"/>
      <c r="Q739" s="79"/>
      <c r="T739" s="130"/>
      <c r="V739" s="106"/>
    </row>
    <row r="740">
      <c r="C740" s="79"/>
      <c r="D740" s="79"/>
      <c r="J740" s="79"/>
      <c r="N740" s="79"/>
      <c r="Q740" s="79"/>
      <c r="T740" s="130"/>
      <c r="V740" s="106"/>
    </row>
    <row r="741">
      <c r="C741" s="79"/>
      <c r="D741" s="79"/>
      <c r="J741" s="79"/>
      <c r="N741" s="79"/>
      <c r="Q741" s="79"/>
      <c r="T741" s="130"/>
      <c r="V741" s="106"/>
    </row>
    <row r="742">
      <c r="C742" s="79"/>
      <c r="D742" s="79"/>
      <c r="J742" s="79"/>
      <c r="N742" s="79"/>
      <c r="Q742" s="79"/>
      <c r="T742" s="130"/>
      <c r="V742" s="106"/>
    </row>
    <row r="743">
      <c r="C743" s="79"/>
      <c r="D743" s="79"/>
      <c r="J743" s="79"/>
      <c r="N743" s="79"/>
      <c r="Q743" s="79"/>
      <c r="T743" s="130"/>
      <c r="V743" s="106"/>
    </row>
    <row r="744">
      <c r="C744" s="79"/>
      <c r="D744" s="79"/>
      <c r="J744" s="79"/>
      <c r="N744" s="79"/>
      <c r="Q744" s="79"/>
      <c r="T744" s="130"/>
      <c r="V744" s="106"/>
    </row>
    <row r="745">
      <c r="C745" s="79"/>
      <c r="D745" s="79"/>
      <c r="J745" s="79"/>
      <c r="N745" s="79"/>
      <c r="Q745" s="79"/>
      <c r="T745" s="130"/>
      <c r="V745" s="106"/>
    </row>
    <row r="746">
      <c r="C746" s="79"/>
      <c r="D746" s="79"/>
      <c r="J746" s="79"/>
      <c r="N746" s="79"/>
      <c r="Q746" s="79"/>
      <c r="T746" s="130"/>
      <c r="V746" s="106"/>
    </row>
    <row r="747">
      <c r="C747" s="79"/>
      <c r="D747" s="79"/>
      <c r="J747" s="79"/>
      <c r="N747" s="79"/>
      <c r="Q747" s="79"/>
      <c r="T747" s="130"/>
      <c r="V747" s="106"/>
    </row>
    <row r="748">
      <c r="C748" s="79"/>
      <c r="D748" s="79"/>
      <c r="J748" s="79"/>
      <c r="N748" s="79"/>
      <c r="Q748" s="79"/>
      <c r="T748" s="130"/>
      <c r="V748" s="106"/>
    </row>
    <row r="749">
      <c r="C749" s="79"/>
      <c r="D749" s="79"/>
      <c r="J749" s="79"/>
      <c r="N749" s="79"/>
      <c r="Q749" s="79"/>
      <c r="T749" s="130"/>
      <c r="V749" s="106"/>
    </row>
    <row r="750">
      <c r="C750" s="79"/>
      <c r="D750" s="79"/>
      <c r="J750" s="79"/>
      <c r="N750" s="79"/>
      <c r="Q750" s="79"/>
      <c r="T750" s="130"/>
      <c r="V750" s="106"/>
    </row>
    <row r="751">
      <c r="C751" s="79"/>
      <c r="D751" s="79"/>
      <c r="J751" s="79"/>
      <c r="N751" s="79"/>
      <c r="Q751" s="79"/>
      <c r="T751" s="130"/>
      <c r="V751" s="106"/>
    </row>
    <row r="752">
      <c r="C752" s="79"/>
      <c r="D752" s="79"/>
      <c r="J752" s="79"/>
      <c r="N752" s="79"/>
      <c r="Q752" s="79"/>
      <c r="T752" s="130"/>
      <c r="V752" s="106"/>
    </row>
    <row r="753">
      <c r="C753" s="79"/>
      <c r="D753" s="79"/>
      <c r="J753" s="79"/>
      <c r="N753" s="79"/>
      <c r="Q753" s="79"/>
      <c r="T753" s="130"/>
      <c r="V753" s="106"/>
    </row>
    <row r="754">
      <c r="C754" s="79"/>
      <c r="D754" s="79"/>
      <c r="J754" s="79"/>
      <c r="N754" s="79"/>
      <c r="Q754" s="79"/>
      <c r="T754" s="130"/>
      <c r="V754" s="106"/>
    </row>
    <row r="755">
      <c r="C755" s="79"/>
      <c r="D755" s="79"/>
      <c r="J755" s="79"/>
      <c r="N755" s="79"/>
      <c r="Q755" s="79"/>
      <c r="T755" s="130"/>
      <c r="V755" s="106"/>
    </row>
    <row r="756">
      <c r="C756" s="79"/>
      <c r="D756" s="79"/>
      <c r="J756" s="79"/>
      <c r="N756" s="79"/>
      <c r="Q756" s="79"/>
      <c r="T756" s="130"/>
      <c r="V756" s="106"/>
    </row>
    <row r="757">
      <c r="C757" s="79"/>
      <c r="D757" s="79"/>
      <c r="J757" s="79"/>
      <c r="N757" s="79"/>
      <c r="Q757" s="79"/>
      <c r="T757" s="130"/>
      <c r="V757" s="106"/>
    </row>
    <row r="758">
      <c r="C758" s="79"/>
      <c r="D758" s="79"/>
      <c r="J758" s="79"/>
      <c r="N758" s="79"/>
      <c r="Q758" s="79"/>
      <c r="T758" s="130"/>
      <c r="V758" s="106"/>
    </row>
    <row r="759">
      <c r="C759" s="79"/>
      <c r="D759" s="79"/>
      <c r="J759" s="79"/>
      <c r="N759" s="79"/>
      <c r="Q759" s="79"/>
      <c r="T759" s="130"/>
      <c r="V759" s="106"/>
    </row>
    <row r="760">
      <c r="C760" s="79"/>
      <c r="D760" s="79"/>
      <c r="J760" s="79"/>
      <c r="N760" s="79"/>
      <c r="Q760" s="79"/>
      <c r="T760" s="130"/>
      <c r="V760" s="106"/>
    </row>
    <row r="761">
      <c r="C761" s="79"/>
      <c r="D761" s="79"/>
      <c r="J761" s="79"/>
      <c r="N761" s="79"/>
      <c r="Q761" s="79"/>
      <c r="T761" s="130"/>
      <c r="V761" s="106"/>
    </row>
    <row r="762">
      <c r="C762" s="79"/>
      <c r="D762" s="79"/>
      <c r="J762" s="79"/>
      <c r="N762" s="79"/>
      <c r="Q762" s="79"/>
      <c r="T762" s="130"/>
      <c r="V762" s="106"/>
    </row>
    <row r="763">
      <c r="C763" s="79"/>
      <c r="D763" s="79"/>
      <c r="J763" s="79"/>
      <c r="N763" s="79"/>
      <c r="Q763" s="79"/>
      <c r="T763" s="130"/>
      <c r="V763" s="106"/>
    </row>
    <row r="764">
      <c r="C764" s="79"/>
      <c r="D764" s="79"/>
      <c r="J764" s="79"/>
      <c r="N764" s="79"/>
      <c r="Q764" s="79"/>
      <c r="T764" s="130"/>
      <c r="V764" s="106"/>
    </row>
    <row r="765">
      <c r="C765" s="79"/>
      <c r="D765" s="79"/>
      <c r="J765" s="79"/>
      <c r="N765" s="79"/>
      <c r="Q765" s="79"/>
      <c r="T765" s="130"/>
      <c r="V765" s="106"/>
    </row>
    <row r="766">
      <c r="C766" s="79"/>
      <c r="D766" s="79"/>
      <c r="J766" s="79"/>
      <c r="N766" s="79"/>
      <c r="Q766" s="79"/>
      <c r="T766" s="130"/>
      <c r="V766" s="106"/>
    </row>
    <row r="767">
      <c r="C767" s="79"/>
      <c r="D767" s="79"/>
      <c r="J767" s="79"/>
      <c r="N767" s="79"/>
      <c r="Q767" s="79"/>
      <c r="T767" s="130"/>
      <c r="V767" s="106"/>
    </row>
    <row r="768">
      <c r="C768" s="79"/>
      <c r="D768" s="79"/>
      <c r="J768" s="79"/>
      <c r="N768" s="79"/>
      <c r="Q768" s="79"/>
      <c r="T768" s="130"/>
      <c r="V768" s="106"/>
    </row>
    <row r="769">
      <c r="C769" s="79"/>
      <c r="D769" s="79"/>
      <c r="J769" s="79"/>
      <c r="N769" s="79"/>
      <c r="Q769" s="79"/>
      <c r="T769" s="130"/>
      <c r="V769" s="106"/>
    </row>
    <row r="770">
      <c r="C770" s="79"/>
      <c r="D770" s="79"/>
      <c r="J770" s="79"/>
      <c r="N770" s="79"/>
      <c r="Q770" s="79"/>
      <c r="T770" s="130"/>
      <c r="V770" s="106"/>
    </row>
    <row r="771">
      <c r="C771" s="79"/>
      <c r="D771" s="79"/>
      <c r="J771" s="79"/>
      <c r="N771" s="79"/>
      <c r="Q771" s="79"/>
      <c r="T771" s="130"/>
      <c r="V771" s="106"/>
    </row>
    <row r="772">
      <c r="C772" s="79"/>
      <c r="D772" s="79"/>
      <c r="J772" s="79"/>
      <c r="N772" s="79"/>
      <c r="Q772" s="79"/>
      <c r="T772" s="130"/>
      <c r="V772" s="106"/>
    </row>
    <row r="773">
      <c r="C773" s="79"/>
      <c r="D773" s="79"/>
      <c r="J773" s="79"/>
      <c r="N773" s="79"/>
      <c r="Q773" s="79"/>
      <c r="T773" s="130"/>
      <c r="V773" s="106"/>
    </row>
    <row r="774">
      <c r="C774" s="79"/>
      <c r="D774" s="79"/>
      <c r="J774" s="79"/>
      <c r="N774" s="79"/>
      <c r="Q774" s="79"/>
      <c r="T774" s="130"/>
      <c r="V774" s="106"/>
    </row>
    <row r="775">
      <c r="C775" s="79"/>
      <c r="D775" s="79"/>
      <c r="J775" s="79"/>
      <c r="N775" s="79"/>
      <c r="Q775" s="79"/>
      <c r="T775" s="130"/>
      <c r="V775" s="106"/>
    </row>
    <row r="776">
      <c r="C776" s="79"/>
      <c r="D776" s="79"/>
      <c r="J776" s="79"/>
      <c r="N776" s="79"/>
      <c r="Q776" s="79"/>
      <c r="T776" s="130"/>
      <c r="V776" s="106"/>
    </row>
    <row r="777">
      <c r="C777" s="79"/>
      <c r="D777" s="79"/>
      <c r="J777" s="79"/>
      <c r="N777" s="79"/>
      <c r="Q777" s="79"/>
      <c r="T777" s="130"/>
      <c r="V777" s="106"/>
    </row>
    <row r="778">
      <c r="C778" s="79"/>
      <c r="D778" s="79"/>
      <c r="J778" s="79"/>
      <c r="N778" s="79"/>
      <c r="Q778" s="79"/>
      <c r="T778" s="130"/>
      <c r="V778" s="106"/>
    </row>
    <row r="779">
      <c r="C779" s="79"/>
      <c r="D779" s="79"/>
      <c r="J779" s="79"/>
      <c r="N779" s="79"/>
      <c r="Q779" s="79"/>
      <c r="T779" s="130"/>
      <c r="V779" s="106"/>
    </row>
    <row r="780">
      <c r="C780" s="79"/>
      <c r="D780" s="79"/>
      <c r="J780" s="79"/>
      <c r="N780" s="79"/>
      <c r="Q780" s="79"/>
      <c r="T780" s="130"/>
      <c r="V780" s="106"/>
    </row>
    <row r="781">
      <c r="C781" s="79"/>
      <c r="D781" s="79"/>
      <c r="J781" s="79"/>
      <c r="N781" s="79"/>
      <c r="Q781" s="79"/>
      <c r="T781" s="130"/>
      <c r="V781" s="106"/>
    </row>
    <row r="782">
      <c r="C782" s="79"/>
      <c r="D782" s="79"/>
      <c r="J782" s="79"/>
      <c r="N782" s="79"/>
      <c r="Q782" s="79"/>
      <c r="T782" s="130"/>
      <c r="V782" s="106"/>
    </row>
    <row r="783">
      <c r="C783" s="79"/>
      <c r="D783" s="79"/>
      <c r="J783" s="79"/>
      <c r="N783" s="79"/>
      <c r="Q783" s="79"/>
      <c r="T783" s="130"/>
      <c r="V783" s="106"/>
    </row>
    <row r="784">
      <c r="C784" s="79"/>
      <c r="D784" s="79"/>
      <c r="J784" s="79"/>
      <c r="N784" s="79"/>
      <c r="Q784" s="79"/>
      <c r="T784" s="130"/>
      <c r="V784" s="106"/>
    </row>
    <row r="785">
      <c r="C785" s="79"/>
      <c r="D785" s="79"/>
      <c r="J785" s="79"/>
      <c r="N785" s="79"/>
      <c r="Q785" s="79"/>
      <c r="T785" s="130"/>
      <c r="V785" s="106"/>
    </row>
    <row r="786">
      <c r="C786" s="79"/>
      <c r="D786" s="79"/>
      <c r="J786" s="79"/>
      <c r="N786" s="79"/>
      <c r="Q786" s="79"/>
      <c r="T786" s="130"/>
      <c r="V786" s="106"/>
    </row>
    <row r="787">
      <c r="C787" s="79"/>
      <c r="D787" s="79"/>
      <c r="J787" s="79"/>
      <c r="N787" s="79"/>
      <c r="Q787" s="79"/>
      <c r="T787" s="130"/>
      <c r="V787" s="106"/>
    </row>
    <row r="788">
      <c r="C788" s="79"/>
      <c r="D788" s="79"/>
      <c r="J788" s="79"/>
      <c r="N788" s="79"/>
      <c r="Q788" s="79"/>
      <c r="T788" s="130"/>
      <c r="V788" s="106"/>
    </row>
    <row r="789">
      <c r="C789" s="79"/>
      <c r="D789" s="79"/>
      <c r="J789" s="79"/>
      <c r="N789" s="79"/>
      <c r="Q789" s="79"/>
      <c r="T789" s="130"/>
      <c r="V789" s="106"/>
    </row>
    <row r="790">
      <c r="C790" s="79"/>
      <c r="D790" s="79"/>
      <c r="J790" s="79"/>
      <c r="N790" s="79"/>
      <c r="Q790" s="79"/>
      <c r="T790" s="130"/>
      <c r="V790" s="106"/>
    </row>
    <row r="791">
      <c r="C791" s="79"/>
      <c r="D791" s="79"/>
      <c r="J791" s="79"/>
      <c r="N791" s="79"/>
      <c r="Q791" s="79"/>
      <c r="T791" s="130"/>
      <c r="V791" s="106"/>
    </row>
    <row r="792">
      <c r="C792" s="79"/>
      <c r="D792" s="79"/>
      <c r="J792" s="79"/>
      <c r="N792" s="79"/>
      <c r="Q792" s="79"/>
      <c r="T792" s="130"/>
      <c r="V792" s="106"/>
    </row>
    <row r="793">
      <c r="C793" s="79"/>
      <c r="D793" s="79"/>
      <c r="J793" s="79"/>
      <c r="N793" s="79"/>
      <c r="Q793" s="79"/>
      <c r="T793" s="130"/>
      <c r="V793" s="106"/>
    </row>
    <row r="794">
      <c r="C794" s="79"/>
      <c r="D794" s="79"/>
      <c r="J794" s="79"/>
      <c r="N794" s="79"/>
      <c r="Q794" s="79"/>
      <c r="T794" s="130"/>
      <c r="V794" s="106"/>
    </row>
    <row r="795">
      <c r="C795" s="79"/>
      <c r="D795" s="79"/>
      <c r="J795" s="79"/>
      <c r="N795" s="79"/>
      <c r="Q795" s="79"/>
      <c r="T795" s="130"/>
      <c r="V795" s="106"/>
    </row>
    <row r="796">
      <c r="C796" s="79"/>
      <c r="D796" s="79"/>
      <c r="J796" s="79"/>
      <c r="N796" s="79"/>
      <c r="Q796" s="79"/>
      <c r="T796" s="130"/>
      <c r="V796" s="106"/>
    </row>
    <row r="797">
      <c r="C797" s="79"/>
      <c r="D797" s="79"/>
      <c r="J797" s="79"/>
      <c r="N797" s="79"/>
      <c r="Q797" s="79"/>
      <c r="T797" s="130"/>
      <c r="V797" s="106"/>
    </row>
    <row r="798">
      <c r="C798" s="79"/>
      <c r="D798" s="79"/>
      <c r="J798" s="79"/>
      <c r="N798" s="79"/>
      <c r="Q798" s="79"/>
      <c r="T798" s="130"/>
      <c r="V798" s="106"/>
    </row>
    <row r="799">
      <c r="C799" s="79"/>
      <c r="D799" s="79"/>
      <c r="J799" s="79"/>
      <c r="N799" s="79"/>
      <c r="Q799" s="79"/>
      <c r="T799" s="130"/>
      <c r="V799" s="106"/>
    </row>
    <row r="800">
      <c r="C800" s="79"/>
      <c r="D800" s="79"/>
      <c r="J800" s="79"/>
      <c r="N800" s="79"/>
      <c r="Q800" s="79"/>
      <c r="T800" s="130"/>
      <c r="V800" s="106"/>
    </row>
    <row r="801">
      <c r="C801" s="79"/>
      <c r="D801" s="79"/>
      <c r="J801" s="79"/>
      <c r="N801" s="79"/>
      <c r="Q801" s="79"/>
      <c r="T801" s="130"/>
      <c r="V801" s="106"/>
    </row>
    <row r="802">
      <c r="C802" s="79"/>
      <c r="D802" s="79"/>
      <c r="J802" s="79"/>
      <c r="N802" s="79"/>
      <c r="Q802" s="79"/>
      <c r="T802" s="130"/>
      <c r="V802" s="106"/>
    </row>
    <row r="803">
      <c r="C803" s="79"/>
      <c r="D803" s="79"/>
      <c r="J803" s="79"/>
      <c r="N803" s="79"/>
      <c r="Q803" s="79"/>
      <c r="T803" s="130"/>
      <c r="V803" s="106"/>
    </row>
    <row r="804">
      <c r="C804" s="79"/>
      <c r="D804" s="79"/>
      <c r="J804" s="79"/>
      <c r="N804" s="79"/>
      <c r="Q804" s="79"/>
      <c r="T804" s="130"/>
      <c r="V804" s="106"/>
    </row>
    <row r="805">
      <c r="C805" s="79"/>
      <c r="D805" s="79"/>
      <c r="J805" s="79"/>
      <c r="N805" s="79"/>
      <c r="Q805" s="79"/>
      <c r="T805" s="130"/>
      <c r="V805" s="106"/>
    </row>
    <row r="806">
      <c r="C806" s="79"/>
      <c r="D806" s="79"/>
      <c r="J806" s="79"/>
      <c r="N806" s="79"/>
      <c r="Q806" s="79"/>
      <c r="T806" s="130"/>
      <c r="V806" s="106"/>
    </row>
    <row r="807">
      <c r="C807" s="79"/>
      <c r="D807" s="79"/>
      <c r="J807" s="79"/>
      <c r="N807" s="79"/>
      <c r="Q807" s="79"/>
      <c r="T807" s="130"/>
      <c r="V807" s="106"/>
    </row>
    <row r="808">
      <c r="C808" s="79"/>
      <c r="D808" s="79"/>
      <c r="J808" s="79"/>
      <c r="N808" s="79"/>
      <c r="Q808" s="79"/>
      <c r="T808" s="130"/>
      <c r="V808" s="106"/>
    </row>
    <row r="809">
      <c r="C809" s="79"/>
      <c r="D809" s="79"/>
      <c r="J809" s="79"/>
      <c r="N809" s="79"/>
      <c r="Q809" s="79"/>
      <c r="T809" s="130"/>
      <c r="V809" s="106"/>
    </row>
    <row r="810">
      <c r="C810" s="79"/>
      <c r="D810" s="79"/>
      <c r="J810" s="79"/>
      <c r="N810" s="79"/>
      <c r="Q810" s="79"/>
      <c r="T810" s="130"/>
      <c r="V810" s="106"/>
    </row>
    <row r="811">
      <c r="C811" s="79"/>
      <c r="D811" s="79"/>
      <c r="J811" s="79"/>
      <c r="N811" s="79"/>
      <c r="Q811" s="79"/>
      <c r="T811" s="130"/>
      <c r="V811" s="106"/>
    </row>
    <row r="812">
      <c r="C812" s="79"/>
      <c r="D812" s="79"/>
      <c r="J812" s="79"/>
      <c r="N812" s="79"/>
      <c r="Q812" s="79"/>
      <c r="T812" s="130"/>
      <c r="V812" s="106"/>
    </row>
    <row r="813">
      <c r="C813" s="79"/>
      <c r="D813" s="79"/>
      <c r="J813" s="79"/>
      <c r="N813" s="79"/>
      <c r="Q813" s="79"/>
      <c r="T813" s="130"/>
      <c r="V813" s="106"/>
    </row>
    <row r="814">
      <c r="C814" s="79"/>
      <c r="D814" s="79"/>
      <c r="J814" s="79"/>
      <c r="N814" s="79"/>
      <c r="Q814" s="79"/>
      <c r="T814" s="130"/>
      <c r="V814" s="106"/>
    </row>
    <row r="815">
      <c r="C815" s="79"/>
      <c r="D815" s="79"/>
      <c r="J815" s="79"/>
      <c r="N815" s="79"/>
      <c r="Q815" s="79"/>
      <c r="T815" s="130"/>
      <c r="V815" s="106"/>
    </row>
    <row r="816">
      <c r="C816" s="79"/>
      <c r="D816" s="79"/>
      <c r="J816" s="79"/>
      <c r="N816" s="79"/>
      <c r="Q816" s="79"/>
      <c r="T816" s="130"/>
      <c r="V816" s="106"/>
    </row>
    <row r="817">
      <c r="C817" s="79"/>
      <c r="D817" s="79"/>
      <c r="J817" s="79"/>
      <c r="N817" s="79"/>
      <c r="Q817" s="79"/>
      <c r="T817" s="130"/>
      <c r="V817" s="106"/>
    </row>
    <row r="818">
      <c r="C818" s="79"/>
      <c r="D818" s="79"/>
      <c r="J818" s="79"/>
      <c r="N818" s="79"/>
      <c r="Q818" s="79"/>
      <c r="T818" s="130"/>
      <c r="V818" s="106"/>
    </row>
    <row r="819">
      <c r="C819" s="79"/>
      <c r="D819" s="79"/>
      <c r="J819" s="79"/>
      <c r="N819" s="79"/>
      <c r="Q819" s="79"/>
      <c r="T819" s="130"/>
      <c r="V819" s="106"/>
    </row>
    <row r="820">
      <c r="C820" s="79"/>
      <c r="D820" s="79"/>
      <c r="J820" s="79"/>
      <c r="N820" s="79"/>
      <c r="Q820" s="79"/>
      <c r="T820" s="130"/>
      <c r="V820" s="106"/>
    </row>
    <row r="821">
      <c r="C821" s="79"/>
      <c r="D821" s="79"/>
      <c r="J821" s="79"/>
      <c r="N821" s="79"/>
      <c r="Q821" s="79"/>
      <c r="T821" s="130"/>
      <c r="V821" s="106"/>
    </row>
    <row r="822">
      <c r="C822" s="79"/>
      <c r="D822" s="79"/>
      <c r="J822" s="79"/>
      <c r="N822" s="79"/>
      <c r="Q822" s="79"/>
      <c r="T822" s="130"/>
      <c r="V822" s="106"/>
    </row>
    <row r="823">
      <c r="C823" s="79"/>
      <c r="D823" s="79"/>
      <c r="J823" s="79"/>
      <c r="N823" s="79"/>
      <c r="Q823" s="79"/>
      <c r="T823" s="130"/>
      <c r="V823" s="106"/>
    </row>
    <row r="824">
      <c r="C824" s="79"/>
      <c r="D824" s="79"/>
      <c r="J824" s="79"/>
      <c r="N824" s="79"/>
      <c r="Q824" s="79"/>
      <c r="T824" s="130"/>
      <c r="V824" s="106"/>
    </row>
    <row r="825">
      <c r="C825" s="79"/>
      <c r="D825" s="79"/>
      <c r="J825" s="79"/>
      <c r="N825" s="79"/>
      <c r="Q825" s="79"/>
      <c r="T825" s="130"/>
      <c r="V825" s="106"/>
    </row>
    <row r="826">
      <c r="C826" s="79"/>
      <c r="D826" s="79"/>
      <c r="J826" s="79"/>
      <c r="N826" s="79"/>
      <c r="Q826" s="79"/>
      <c r="T826" s="130"/>
      <c r="V826" s="106"/>
    </row>
    <row r="827">
      <c r="C827" s="79"/>
      <c r="D827" s="79"/>
      <c r="J827" s="79"/>
      <c r="N827" s="79"/>
      <c r="Q827" s="79"/>
      <c r="T827" s="130"/>
      <c r="V827" s="106"/>
    </row>
    <row r="828">
      <c r="C828" s="79"/>
      <c r="D828" s="79"/>
      <c r="J828" s="79"/>
      <c r="N828" s="79"/>
      <c r="Q828" s="79"/>
      <c r="T828" s="130"/>
      <c r="V828" s="106"/>
    </row>
    <row r="829">
      <c r="C829" s="79"/>
      <c r="D829" s="79"/>
      <c r="J829" s="79"/>
      <c r="N829" s="79"/>
      <c r="Q829" s="79"/>
      <c r="T829" s="130"/>
      <c r="V829" s="106"/>
    </row>
    <row r="830">
      <c r="C830" s="79"/>
      <c r="D830" s="79"/>
      <c r="J830" s="79"/>
      <c r="N830" s="79"/>
      <c r="Q830" s="79"/>
      <c r="T830" s="130"/>
      <c r="V830" s="106"/>
    </row>
    <row r="831">
      <c r="C831" s="79"/>
      <c r="D831" s="79"/>
      <c r="J831" s="79"/>
      <c r="N831" s="79"/>
      <c r="Q831" s="79"/>
      <c r="T831" s="130"/>
      <c r="V831" s="106"/>
    </row>
    <row r="832">
      <c r="C832" s="79"/>
      <c r="D832" s="79"/>
      <c r="J832" s="79"/>
      <c r="N832" s="79"/>
      <c r="Q832" s="79"/>
      <c r="T832" s="130"/>
      <c r="V832" s="106"/>
    </row>
    <row r="833">
      <c r="C833" s="79"/>
      <c r="D833" s="79"/>
      <c r="J833" s="79"/>
      <c r="N833" s="79"/>
      <c r="Q833" s="79"/>
      <c r="T833" s="130"/>
      <c r="V833" s="106"/>
    </row>
    <row r="834">
      <c r="C834" s="79"/>
      <c r="D834" s="79"/>
      <c r="J834" s="79"/>
      <c r="N834" s="79"/>
      <c r="Q834" s="79"/>
      <c r="T834" s="130"/>
      <c r="V834" s="106"/>
    </row>
    <row r="835">
      <c r="C835" s="79"/>
      <c r="D835" s="79"/>
      <c r="J835" s="79"/>
      <c r="N835" s="79"/>
      <c r="Q835" s="79"/>
      <c r="T835" s="130"/>
      <c r="V835" s="106"/>
    </row>
    <row r="836">
      <c r="C836" s="79"/>
      <c r="D836" s="79"/>
      <c r="J836" s="79"/>
      <c r="N836" s="79"/>
      <c r="Q836" s="79"/>
      <c r="T836" s="130"/>
      <c r="V836" s="106"/>
    </row>
    <row r="837">
      <c r="C837" s="79"/>
      <c r="D837" s="79"/>
      <c r="J837" s="79"/>
      <c r="N837" s="79"/>
      <c r="Q837" s="79"/>
      <c r="T837" s="130"/>
      <c r="V837" s="106"/>
    </row>
    <row r="838">
      <c r="C838" s="79"/>
      <c r="D838" s="79"/>
      <c r="J838" s="79"/>
      <c r="N838" s="79"/>
      <c r="Q838" s="79"/>
      <c r="T838" s="130"/>
      <c r="V838" s="106"/>
    </row>
    <row r="839">
      <c r="C839" s="79"/>
      <c r="D839" s="79"/>
      <c r="J839" s="79"/>
      <c r="N839" s="79"/>
      <c r="Q839" s="79"/>
      <c r="T839" s="130"/>
      <c r="V839" s="106"/>
    </row>
    <row r="840">
      <c r="C840" s="79"/>
      <c r="D840" s="79"/>
      <c r="J840" s="79"/>
      <c r="N840" s="79"/>
      <c r="Q840" s="79"/>
      <c r="T840" s="130"/>
      <c r="V840" s="106"/>
    </row>
    <row r="841">
      <c r="C841" s="79"/>
      <c r="D841" s="79"/>
      <c r="J841" s="79"/>
      <c r="N841" s="79"/>
      <c r="Q841" s="79"/>
      <c r="T841" s="130"/>
      <c r="V841" s="106"/>
    </row>
    <row r="842">
      <c r="C842" s="79"/>
      <c r="D842" s="79"/>
      <c r="J842" s="79"/>
      <c r="N842" s="79"/>
      <c r="Q842" s="79"/>
      <c r="T842" s="130"/>
      <c r="V842" s="106"/>
    </row>
    <row r="843">
      <c r="C843" s="79"/>
      <c r="D843" s="79"/>
      <c r="J843" s="79"/>
      <c r="N843" s="79"/>
      <c r="Q843" s="79"/>
      <c r="T843" s="130"/>
      <c r="V843" s="106"/>
    </row>
    <row r="844">
      <c r="C844" s="79"/>
      <c r="D844" s="79"/>
      <c r="J844" s="79"/>
      <c r="N844" s="79"/>
      <c r="Q844" s="79"/>
      <c r="T844" s="130"/>
      <c r="V844" s="106"/>
    </row>
    <row r="845">
      <c r="C845" s="79"/>
      <c r="D845" s="79"/>
      <c r="J845" s="79"/>
      <c r="N845" s="79"/>
      <c r="Q845" s="79"/>
      <c r="T845" s="130"/>
      <c r="V845" s="106"/>
    </row>
    <row r="846">
      <c r="C846" s="79"/>
      <c r="D846" s="79"/>
      <c r="J846" s="79"/>
      <c r="N846" s="79"/>
      <c r="Q846" s="79"/>
      <c r="T846" s="130"/>
      <c r="V846" s="106"/>
    </row>
    <row r="847">
      <c r="C847" s="79"/>
      <c r="D847" s="79"/>
      <c r="J847" s="79"/>
      <c r="N847" s="79"/>
      <c r="Q847" s="79"/>
      <c r="T847" s="130"/>
      <c r="V847" s="106"/>
    </row>
    <row r="848">
      <c r="C848" s="79"/>
      <c r="D848" s="79"/>
      <c r="J848" s="79"/>
      <c r="N848" s="79"/>
      <c r="Q848" s="79"/>
      <c r="T848" s="130"/>
      <c r="V848" s="106"/>
    </row>
    <row r="849">
      <c r="C849" s="79"/>
      <c r="D849" s="79"/>
      <c r="J849" s="79"/>
      <c r="N849" s="79"/>
      <c r="Q849" s="79"/>
      <c r="T849" s="130"/>
      <c r="V849" s="106"/>
    </row>
    <row r="850">
      <c r="C850" s="79"/>
      <c r="D850" s="79"/>
      <c r="J850" s="79"/>
      <c r="N850" s="79"/>
      <c r="Q850" s="79"/>
      <c r="T850" s="130"/>
      <c r="V850" s="106"/>
    </row>
    <row r="851">
      <c r="C851" s="79"/>
      <c r="D851" s="79"/>
      <c r="J851" s="79"/>
      <c r="N851" s="79"/>
      <c r="Q851" s="79"/>
      <c r="T851" s="130"/>
      <c r="V851" s="106"/>
    </row>
    <row r="852">
      <c r="C852" s="79"/>
      <c r="D852" s="79"/>
      <c r="J852" s="79"/>
      <c r="N852" s="79"/>
      <c r="Q852" s="79"/>
      <c r="T852" s="130"/>
      <c r="V852" s="106"/>
    </row>
    <row r="853">
      <c r="C853" s="79"/>
      <c r="D853" s="79"/>
      <c r="J853" s="79"/>
      <c r="N853" s="79"/>
      <c r="Q853" s="79"/>
      <c r="T853" s="130"/>
      <c r="V853" s="106"/>
    </row>
    <row r="854">
      <c r="C854" s="79"/>
      <c r="D854" s="79"/>
      <c r="J854" s="79"/>
      <c r="N854" s="79"/>
      <c r="Q854" s="79"/>
      <c r="T854" s="130"/>
      <c r="V854" s="106"/>
    </row>
    <row r="855">
      <c r="C855" s="79"/>
      <c r="D855" s="79"/>
      <c r="J855" s="79"/>
      <c r="N855" s="79"/>
      <c r="Q855" s="79"/>
      <c r="T855" s="130"/>
      <c r="V855" s="106"/>
    </row>
    <row r="856">
      <c r="C856" s="79"/>
      <c r="D856" s="79"/>
      <c r="J856" s="79"/>
      <c r="N856" s="79"/>
      <c r="Q856" s="79"/>
      <c r="T856" s="130"/>
      <c r="V856" s="106"/>
    </row>
    <row r="857">
      <c r="C857" s="79"/>
      <c r="D857" s="79"/>
      <c r="J857" s="79"/>
      <c r="N857" s="79"/>
      <c r="Q857" s="79"/>
      <c r="T857" s="130"/>
      <c r="V857" s="106"/>
    </row>
    <row r="858">
      <c r="C858" s="79"/>
      <c r="D858" s="79"/>
      <c r="J858" s="79"/>
      <c r="N858" s="79"/>
      <c r="Q858" s="79"/>
      <c r="T858" s="130"/>
      <c r="V858" s="106"/>
    </row>
    <row r="859">
      <c r="C859" s="79"/>
      <c r="D859" s="79"/>
      <c r="J859" s="79"/>
      <c r="N859" s="79"/>
      <c r="Q859" s="79"/>
      <c r="T859" s="130"/>
      <c r="V859" s="106"/>
    </row>
    <row r="860">
      <c r="C860" s="79"/>
      <c r="D860" s="79"/>
      <c r="J860" s="79"/>
      <c r="N860" s="79"/>
      <c r="Q860" s="79"/>
      <c r="T860" s="130"/>
      <c r="V860" s="106"/>
    </row>
    <row r="861">
      <c r="C861" s="79"/>
      <c r="D861" s="79"/>
      <c r="J861" s="79"/>
      <c r="N861" s="79"/>
      <c r="Q861" s="79"/>
      <c r="T861" s="130"/>
      <c r="V861" s="106"/>
    </row>
    <row r="862">
      <c r="C862" s="79"/>
      <c r="D862" s="79"/>
      <c r="J862" s="79"/>
      <c r="N862" s="79"/>
      <c r="Q862" s="79"/>
      <c r="T862" s="130"/>
      <c r="V862" s="106"/>
    </row>
    <row r="863">
      <c r="C863" s="79"/>
      <c r="D863" s="79"/>
      <c r="J863" s="79"/>
      <c r="N863" s="79"/>
      <c r="Q863" s="79"/>
      <c r="T863" s="130"/>
      <c r="V863" s="106"/>
    </row>
    <row r="864">
      <c r="C864" s="79"/>
      <c r="D864" s="79"/>
      <c r="J864" s="79"/>
      <c r="N864" s="79"/>
      <c r="Q864" s="79"/>
      <c r="T864" s="130"/>
      <c r="V864" s="106"/>
    </row>
    <row r="865">
      <c r="C865" s="79"/>
      <c r="D865" s="79"/>
      <c r="J865" s="79"/>
      <c r="N865" s="79"/>
      <c r="Q865" s="79"/>
      <c r="T865" s="130"/>
      <c r="V865" s="106"/>
    </row>
    <row r="866">
      <c r="C866" s="79"/>
      <c r="D866" s="79"/>
      <c r="J866" s="79"/>
      <c r="N866" s="79"/>
      <c r="Q866" s="79"/>
      <c r="T866" s="130"/>
      <c r="V866" s="106"/>
    </row>
    <row r="867">
      <c r="C867" s="79"/>
      <c r="D867" s="79"/>
      <c r="J867" s="79"/>
      <c r="N867" s="79"/>
      <c r="Q867" s="79"/>
      <c r="T867" s="130"/>
      <c r="V867" s="106"/>
    </row>
    <row r="868">
      <c r="C868" s="79"/>
      <c r="D868" s="79"/>
      <c r="J868" s="79"/>
      <c r="N868" s="79"/>
      <c r="Q868" s="79"/>
      <c r="T868" s="130"/>
      <c r="V868" s="106"/>
    </row>
    <row r="869">
      <c r="C869" s="79"/>
      <c r="D869" s="79"/>
      <c r="J869" s="79"/>
      <c r="N869" s="79"/>
      <c r="Q869" s="79"/>
      <c r="T869" s="130"/>
      <c r="V869" s="106"/>
    </row>
    <row r="870">
      <c r="C870" s="79"/>
      <c r="D870" s="79"/>
      <c r="J870" s="79"/>
      <c r="N870" s="79"/>
      <c r="Q870" s="79"/>
      <c r="T870" s="130"/>
      <c r="V870" s="106"/>
    </row>
    <row r="871">
      <c r="C871" s="79"/>
      <c r="D871" s="79"/>
      <c r="J871" s="79"/>
      <c r="N871" s="79"/>
      <c r="Q871" s="79"/>
      <c r="T871" s="130"/>
      <c r="V871" s="106"/>
    </row>
    <row r="872">
      <c r="C872" s="79"/>
      <c r="D872" s="79"/>
      <c r="J872" s="79"/>
      <c r="N872" s="79"/>
      <c r="Q872" s="79"/>
      <c r="T872" s="130"/>
      <c r="V872" s="106"/>
    </row>
    <row r="873">
      <c r="C873" s="79"/>
      <c r="D873" s="79"/>
      <c r="J873" s="79"/>
      <c r="N873" s="79"/>
      <c r="Q873" s="79"/>
      <c r="T873" s="130"/>
      <c r="V873" s="106"/>
    </row>
    <row r="874">
      <c r="C874" s="79"/>
      <c r="D874" s="79"/>
      <c r="J874" s="79"/>
      <c r="N874" s="79"/>
      <c r="Q874" s="79"/>
      <c r="T874" s="130"/>
      <c r="V874" s="106"/>
    </row>
    <row r="875">
      <c r="C875" s="79"/>
      <c r="D875" s="79"/>
      <c r="J875" s="79"/>
      <c r="N875" s="79"/>
      <c r="Q875" s="79"/>
      <c r="T875" s="130"/>
      <c r="V875" s="106"/>
    </row>
    <row r="876">
      <c r="C876" s="79"/>
      <c r="D876" s="79"/>
      <c r="J876" s="79"/>
      <c r="N876" s="79"/>
      <c r="Q876" s="79"/>
      <c r="T876" s="130"/>
      <c r="V876" s="106"/>
    </row>
    <row r="877">
      <c r="C877" s="79"/>
      <c r="D877" s="79"/>
      <c r="J877" s="79"/>
      <c r="N877" s="79"/>
      <c r="Q877" s="79"/>
      <c r="T877" s="130"/>
      <c r="V877" s="106"/>
    </row>
    <row r="878">
      <c r="C878" s="79"/>
      <c r="D878" s="79"/>
      <c r="J878" s="79"/>
      <c r="N878" s="79"/>
      <c r="Q878" s="79"/>
      <c r="T878" s="130"/>
      <c r="V878" s="106"/>
    </row>
    <row r="879">
      <c r="C879" s="79"/>
      <c r="D879" s="79"/>
      <c r="J879" s="79"/>
      <c r="N879" s="79"/>
      <c r="Q879" s="79"/>
      <c r="T879" s="130"/>
      <c r="V879" s="106"/>
    </row>
    <row r="880">
      <c r="C880" s="79"/>
      <c r="D880" s="79"/>
      <c r="J880" s="79"/>
      <c r="N880" s="79"/>
      <c r="Q880" s="79"/>
      <c r="T880" s="130"/>
      <c r="V880" s="106"/>
    </row>
    <row r="881">
      <c r="C881" s="79"/>
      <c r="D881" s="79"/>
      <c r="J881" s="79"/>
      <c r="N881" s="79"/>
      <c r="Q881" s="79"/>
      <c r="T881" s="130"/>
      <c r="V881" s="106"/>
    </row>
    <row r="882">
      <c r="C882" s="79"/>
      <c r="D882" s="79"/>
      <c r="J882" s="79"/>
      <c r="N882" s="79"/>
      <c r="Q882" s="79"/>
      <c r="T882" s="130"/>
      <c r="V882" s="106"/>
    </row>
    <row r="883">
      <c r="C883" s="79"/>
      <c r="D883" s="79"/>
      <c r="J883" s="79"/>
      <c r="N883" s="79"/>
      <c r="Q883" s="79"/>
      <c r="T883" s="130"/>
      <c r="V883" s="106"/>
    </row>
    <row r="884">
      <c r="C884" s="79"/>
      <c r="D884" s="79"/>
      <c r="J884" s="79"/>
      <c r="N884" s="79"/>
      <c r="Q884" s="79"/>
      <c r="T884" s="130"/>
      <c r="V884" s="106"/>
    </row>
    <row r="885">
      <c r="C885" s="79"/>
      <c r="D885" s="79"/>
      <c r="J885" s="79"/>
      <c r="N885" s="79"/>
      <c r="Q885" s="79"/>
      <c r="T885" s="130"/>
      <c r="V885" s="106"/>
    </row>
    <row r="886">
      <c r="C886" s="79"/>
      <c r="D886" s="79"/>
      <c r="J886" s="79"/>
      <c r="N886" s="79"/>
      <c r="Q886" s="79"/>
      <c r="T886" s="130"/>
      <c r="V886" s="106"/>
    </row>
    <row r="887">
      <c r="C887" s="79"/>
      <c r="D887" s="79"/>
      <c r="J887" s="79"/>
      <c r="N887" s="79"/>
      <c r="Q887" s="79"/>
      <c r="T887" s="130"/>
      <c r="V887" s="106"/>
    </row>
    <row r="888">
      <c r="C888" s="79"/>
      <c r="D888" s="79"/>
      <c r="J888" s="79"/>
      <c r="N888" s="79"/>
      <c r="Q888" s="79"/>
      <c r="T888" s="130"/>
      <c r="V888" s="106"/>
    </row>
    <row r="889">
      <c r="C889" s="79"/>
      <c r="D889" s="79"/>
      <c r="J889" s="79"/>
      <c r="N889" s="79"/>
      <c r="Q889" s="79"/>
      <c r="T889" s="130"/>
      <c r="V889" s="106"/>
    </row>
    <row r="890">
      <c r="C890" s="79"/>
      <c r="D890" s="79"/>
      <c r="J890" s="79"/>
      <c r="N890" s="79"/>
      <c r="Q890" s="79"/>
      <c r="T890" s="130"/>
      <c r="V890" s="106"/>
    </row>
    <row r="891">
      <c r="C891" s="79"/>
      <c r="D891" s="79"/>
      <c r="J891" s="79"/>
      <c r="N891" s="79"/>
      <c r="Q891" s="79"/>
      <c r="T891" s="130"/>
      <c r="V891" s="106"/>
    </row>
    <row r="892">
      <c r="C892" s="79"/>
      <c r="D892" s="79"/>
      <c r="J892" s="79"/>
      <c r="N892" s="79"/>
      <c r="Q892" s="79"/>
      <c r="T892" s="130"/>
      <c r="V892" s="106"/>
    </row>
    <row r="893">
      <c r="C893" s="79"/>
      <c r="D893" s="79"/>
      <c r="J893" s="79"/>
      <c r="N893" s="79"/>
      <c r="Q893" s="79"/>
      <c r="T893" s="130"/>
      <c r="V893" s="106"/>
    </row>
    <row r="894">
      <c r="C894" s="79"/>
      <c r="D894" s="79"/>
      <c r="J894" s="79"/>
      <c r="N894" s="79"/>
      <c r="Q894" s="79"/>
      <c r="T894" s="130"/>
      <c r="V894" s="106"/>
    </row>
    <row r="895">
      <c r="C895" s="79"/>
      <c r="D895" s="79"/>
      <c r="J895" s="79"/>
      <c r="N895" s="79"/>
      <c r="Q895" s="79"/>
      <c r="T895" s="130"/>
      <c r="V895" s="106"/>
    </row>
    <row r="896">
      <c r="C896" s="79"/>
      <c r="D896" s="79"/>
      <c r="J896" s="79"/>
      <c r="N896" s="79"/>
      <c r="Q896" s="79"/>
      <c r="T896" s="130"/>
      <c r="V896" s="106"/>
    </row>
    <row r="897">
      <c r="C897" s="79"/>
      <c r="D897" s="79"/>
      <c r="J897" s="79"/>
      <c r="N897" s="79"/>
      <c r="Q897" s="79"/>
      <c r="T897" s="130"/>
      <c r="V897" s="106"/>
    </row>
    <row r="898">
      <c r="C898" s="79"/>
      <c r="D898" s="79"/>
      <c r="J898" s="79"/>
      <c r="N898" s="79"/>
      <c r="Q898" s="79"/>
      <c r="T898" s="130"/>
      <c r="V898" s="106"/>
    </row>
    <row r="899">
      <c r="C899" s="79"/>
      <c r="D899" s="79"/>
      <c r="J899" s="79"/>
      <c r="N899" s="79"/>
      <c r="Q899" s="79"/>
      <c r="T899" s="130"/>
      <c r="V899" s="106"/>
    </row>
    <row r="900">
      <c r="C900" s="79"/>
      <c r="D900" s="79"/>
      <c r="J900" s="79"/>
      <c r="N900" s="79"/>
      <c r="Q900" s="79"/>
      <c r="T900" s="130"/>
      <c r="V900" s="106"/>
    </row>
    <row r="901">
      <c r="C901" s="79"/>
      <c r="D901" s="79"/>
      <c r="J901" s="79"/>
      <c r="N901" s="79"/>
      <c r="Q901" s="79"/>
      <c r="T901" s="130"/>
      <c r="V901" s="106"/>
    </row>
    <row r="902">
      <c r="C902" s="79"/>
      <c r="D902" s="79"/>
      <c r="J902" s="79"/>
      <c r="N902" s="79"/>
      <c r="Q902" s="79"/>
      <c r="T902" s="130"/>
      <c r="V902" s="106"/>
    </row>
    <row r="903">
      <c r="C903" s="79"/>
      <c r="D903" s="79"/>
      <c r="J903" s="79"/>
      <c r="N903" s="79"/>
      <c r="Q903" s="79"/>
      <c r="T903" s="130"/>
      <c r="V903" s="106"/>
    </row>
    <row r="904">
      <c r="C904" s="79"/>
      <c r="D904" s="79"/>
      <c r="J904" s="79"/>
      <c r="N904" s="79"/>
      <c r="Q904" s="79"/>
      <c r="T904" s="130"/>
      <c r="V904" s="106"/>
    </row>
    <row r="905">
      <c r="C905" s="79"/>
      <c r="D905" s="79"/>
      <c r="J905" s="79"/>
      <c r="N905" s="79"/>
      <c r="Q905" s="79"/>
      <c r="T905" s="130"/>
      <c r="V905" s="106"/>
    </row>
    <row r="906">
      <c r="C906" s="79"/>
      <c r="D906" s="79"/>
      <c r="J906" s="79"/>
      <c r="N906" s="79"/>
      <c r="Q906" s="79"/>
      <c r="T906" s="130"/>
      <c r="V906" s="106"/>
    </row>
    <row r="907">
      <c r="C907" s="79"/>
      <c r="D907" s="79"/>
      <c r="J907" s="79"/>
      <c r="N907" s="79"/>
      <c r="Q907" s="79"/>
      <c r="T907" s="130"/>
      <c r="V907" s="106"/>
    </row>
    <row r="908">
      <c r="C908" s="79"/>
      <c r="D908" s="79"/>
      <c r="J908" s="79"/>
      <c r="N908" s="79"/>
      <c r="Q908" s="79"/>
      <c r="T908" s="130"/>
      <c r="V908" s="106"/>
    </row>
    <row r="909">
      <c r="C909" s="79"/>
      <c r="D909" s="79"/>
      <c r="J909" s="79"/>
      <c r="N909" s="79"/>
      <c r="Q909" s="79"/>
      <c r="T909" s="130"/>
      <c r="V909" s="106"/>
    </row>
    <row r="910">
      <c r="C910" s="79"/>
      <c r="D910" s="79"/>
      <c r="J910" s="79"/>
      <c r="N910" s="79"/>
      <c r="Q910" s="79"/>
      <c r="T910" s="130"/>
      <c r="V910" s="106"/>
    </row>
    <row r="911">
      <c r="C911" s="79"/>
      <c r="D911" s="79"/>
      <c r="J911" s="79"/>
      <c r="N911" s="79"/>
      <c r="Q911" s="79"/>
      <c r="T911" s="130"/>
      <c r="V911" s="106"/>
    </row>
    <row r="912">
      <c r="C912" s="79"/>
      <c r="D912" s="79"/>
      <c r="J912" s="79"/>
      <c r="N912" s="79"/>
      <c r="Q912" s="79"/>
      <c r="T912" s="130"/>
      <c r="V912" s="106"/>
    </row>
    <row r="913">
      <c r="C913" s="79"/>
      <c r="D913" s="79"/>
      <c r="J913" s="79"/>
      <c r="N913" s="79"/>
      <c r="Q913" s="79"/>
      <c r="T913" s="130"/>
      <c r="V913" s="106"/>
    </row>
    <row r="914">
      <c r="C914" s="79"/>
      <c r="D914" s="79"/>
      <c r="J914" s="79"/>
      <c r="N914" s="79"/>
      <c r="Q914" s="79"/>
      <c r="T914" s="130"/>
      <c r="V914" s="106"/>
    </row>
    <row r="915">
      <c r="C915" s="79"/>
      <c r="D915" s="79"/>
      <c r="J915" s="79"/>
      <c r="N915" s="79"/>
      <c r="Q915" s="79"/>
      <c r="T915" s="130"/>
      <c r="V915" s="106"/>
    </row>
    <row r="916">
      <c r="C916" s="79"/>
      <c r="D916" s="79"/>
      <c r="J916" s="79"/>
      <c r="N916" s="79"/>
      <c r="Q916" s="79"/>
      <c r="T916" s="130"/>
      <c r="V916" s="106"/>
    </row>
    <row r="917">
      <c r="C917" s="79"/>
      <c r="D917" s="79"/>
      <c r="J917" s="79"/>
      <c r="N917" s="79"/>
      <c r="Q917" s="79"/>
      <c r="T917" s="130"/>
      <c r="V917" s="106"/>
    </row>
    <row r="918">
      <c r="C918" s="79"/>
      <c r="D918" s="79"/>
      <c r="J918" s="79"/>
      <c r="N918" s="79"/>
      <c r="Q918" s="79"/>
      <c r="T918" s="130"/>
      <c r="V918" s="106"/>
    </row>
    <row r="919">
      <c r="C919" s="79"/>
      <c r="D919" s="79"/>
      <c r="J919" s="79"/>
      <c r="N919" s="79"/>
      <c r="Q919" s="79"/>
      <c r="T919" s="130"/>
      <c r="V919" s="106"/>
    </row>
    <row r="920">
      <c r="C920" s="79"/>
      <c r="D920" s="79"/>
      <c r="J920" s="79"/>
      <c r="N920" s="79"/>
      <c r="Q920" s="79"/>
      <c r="T920" s="130"/>
      <c r="V920" s="106"/>
    </row>
    <row r="921">
      <c r="C921" s="79"/>
      <c r="D921" s="79"/>
      <c r="J921" s="79"/>
      <c r="N921" s="79"/>
      <c r="Q921" s="79"/>
      <c r="T921" s="130"/>
      <c r="V921" s="106"/>
    </row>
    <row r="922">
      <c r="C922" s="79"/>
      <c r="D922" s="79"/>
      <c r="J922" s="79"/>
      <c r="N922" s="79"/>
      <c r="Q922" s="79"/>
      <c r="T922" s="130"/>
      <c r="V922" s="106"/>
    </row>
    <row r="923">
      <c r="C923" s="79"/>
      <c r="D923" s="79"/>
      <c r="J923" s="79"/>
      <c r="N923" s="79"/>
      <c r="Q923" s="79"/>
      <c r="T923" s="130"/>
      <c r="V923" s="106"/>
    </row>
    <row r="924">
      <c r="C924" s="79"/>
      <c r="D924" s="79"/>
      <c r="J924" s="79"/>
      <c r="N924" s="79"/>
      <c r="Q924" s="79"/>
      <c r="T924" s="130"/>
      <c r="V924" s="106"/>
    </row>
    <row r="925">
      <c r="C925" s="79"/>
      <c r="D925" s="79"/>
      <c r="J925" s="79"/>
      <c r="N925" s="79"/>
      <c r="Q925" s="79"/>
      <c r="T925" s="130"/>
      <c r="V925" s="106"/>
    </row>
    <row r="926">
      <c r="C926" s="79"/>
      <c r="D926" s="79"/>
      <c r="J926" s="79"/>
      <c r="N926" s="79"/>
      <c r="Q926" s="79"/>
      <c r="T926" s="130"/>
      <c r="V926" s="106"/>
    </row>
    <row r="927">
      <c r="C927" s="79"/>
      <c r="D927" s="79"/>
      <c r="J927" s="79"/>
      <c r="N927" s="79"/>
      <c r="Q927" s="79"/>
      <c r="T927" s="130"/>
      <c r="V927" s="106"/>
    </row>
    <row r="928">
      <c r="C928" s="79"/>
      <c r="D928" s="79"/>
      <c r="J928" s="79"/>
      <c r="N928" s="79"/>
      <c r="Q928" s="79"/>
      <c r="T928" s="130"/>
      <c r="V928" s="106"/>
    </row>
    <row r="929">
      <c r="C929" s="79"/>
      <c r="D929" s="79"/>
      <c r="J929" s="79"/>
      <c r="N929" s="79"/>
      <c r="Q929" s="79"/>
      <c r="T929" s="130"/>
      <c r="V929" s="106"/>
    </row>
    <row r="930">
      <c r="C930" s="79"/>
      <c r="D930" s="79"/>
      <c r="J930" s="79"/>
      <c r="N930" s="79"/>
      <c r="Q930" s="79"/>
      <c r="T930" s="130"/>
      <c r="V930" s="106"/>
    </row>
    <row r="931">
      <c r="C931" s="79"/>
      <c r="D931" s="79"/>
      <c r="J931" s="79"/>
      <c r="N931" s="79"/>
      <c r="Q931" s="79"/>
      <c r="T931" s="130"/>
      <c r="V931" s="106"/>
    </row>
    <row r="932">
      <c r="C932" s="79"/>
      <c r="D932" s="79"/>
      <c r="J932" s="79"/>
      <c r="N932" s="79"/>
      <c r="Q932" s="79"/>
      <c r="T932" s="130"/>
      <c r="V932" s="106"/>
    </row>
    <row r="933">
      <c r="C933" s="79"/>
      <c r="D933" s="79"/>
      <c r="J933" s="79"/>
      <c r="N933" s="79"/>
      <c r="Q933" s="79"/>
      <c r="T933" s="130"/>
      <c r="V933" s="106"/>
    </row>
    <row r="934">
      <c r="C934" s="79"/>
      <c r="D934" s="79"/>
      <c r="J934" s="79"/>
      <c r="N934" s="79"/>
      <c r="Q934" s="79"/>
      <c r="T934" s="130"/>
      <c r="V934" s="106"/>
    </row>
    <row r="935">
      <c r="C935" s="79"/>
      <c r="D935" s="79"/>
      <c r="J935" s="79"/>
      <c r="N935" s="79"/>
      <c r="Q935" s="79"/>
      <c r="T935" s="130"/>
      <c r="V935" s="106"/>
    </row>
    <row r="936">
      <c r="C936" s="79"/>
      <c r="D936" s="79"/>
      <c r="J936" s="79"/>
      <c r="N936" s="79"/>
      <c r="Q936" s="79"/>
      <c r="T936" s="130"/>
      <c r="V936" s="106"/>
    </row>
    <row r="937">
      <c r="C937" s="79"/>
      <c r="D937" s="79"/>
      <c r="J937" s="79"/>
      <c r="N937" s="79"/>
      <c r="Q937" s="79"/>
      <c r="T937" s="130"/>
      <c r="V937" s="106"/>
    </row>
    <row r="938">
      <c r="C938" s="79"/>
      <c r="D938" s="79"/>
      <c r="J938" s="79"/>
      <c r="N938" s="79"/>
      <c r="Q938" s="79"/>
      <c r="T938" s="130"/>
      <c r="V938" s="106"/>
    </row>
    <row r="939">
      <c r="C939" s="79"/>
      <c r="D939" s="79"/>
      <c r="J939" s="79"/>
      <c r="N939" s="79"/>
      <c r="Q939" s="79"/>
      <c r="T939" s="130"/>
      <c r="V939" s="106"/>
    </row>
    <row r="940">
      <c r="C940" s="79"/>
      <c r="D940" s="79"/>
      <c r="J940" s="79"/>
      <c r="N940" s="79"/>
      <c r="Q940" s="79"/>
      <c r="T940" s="130"/>
      <c r="V940" s="106"/>
    </row>
    <row r="941">
      <c r="C941" s="79"/>
      <c r="D941" s="79"/>
      <c r="J941" s="79"/>
      <c r="N941" s="79"/>
      <c r="Q941" s="79"/>
      <c r="T941" s="130"/>
      <c r="V941" s="106"/>
    </row>
    <row r="942">
      <c r="C942" s="79"/>
      <c r="D942" s="79"/>
      <c r="J942" s="79"/>
      <c r="N942" s="79"/>
      <c r="Q942" s="79"/>
      <c r="T942" s="130"/>
      <c r="V942" s="106"/>
    </row>
    <row r="943">
      <c r="C943" s="79"/>
      <c r="D943" s="79"/>
      <c r="J943" s="79"/>
      <c r="N943" s="79"/>
      <c r="Q943" s="79"/>
      <c r="T943" s="130"/>
      <c r="V943" s="106"/>
    </row>
    <row r="944">
      <c r="C944" s="79"/>
      <c r="D944" s="79"/>
      <c r="J944" s="79"/>
      <c r="N944" s="79"/>
      <c r="Q944" s="79"/>
      <c r="T944" s="130"/>
      <c r="V944" s="106"/>
    </row>
    <row r="945">
      <c r="C945" s="79"/>
      <c r="D945" s="79"/>
      <c r="J945" s="79"/>
      <c r="N945" s="79"/>
      <c r="Q945" s="79"/>
      <c r="T945" s="130"/>
      <c r="V945" s="106"/>
    </row>
    <row r="946">
      <c r="C946" s="79"/>
      <c r="D946" s="79"/>
      <c r="J946" s="79"/>
      <c r="N946" s="79"/>
      <c r="Q946" s="79"/>
      <c r="T946" s="130"/>
      <c r="V946" s="106"/>
    </row>
    <row r="947">
      <c r="C947" s="79"/>
      <c r="D947" s="79"/>
      <c r="J947" s="79"/>
      <c r="N947" s="79"/>
      <c r="Q947" s="79"/>
      <c r="T947" s="130"/>
      <c r="V947" s="106"/>
    </row>
    <row r="948">
      <c r="C948" s="79"/>
      <c r="D948" s="79"/>
      <c r="J948" s="79"/>
      <c r="N948" s="79"/>
      <c r="Q948" s="79"/>
      <c r="T948" s="130"/>
      <c r="V948" s="106"/>
    </row>
    <row r="949">
      <c r="C949" s="79"/>
      <c r="D949" s="79"/>
      <c r="J949" s="79"/>
      <c r="N949" s="79"/>
      <c r="Q949" s="79"/>
      <c r="T949" s="130"/>
      <c r="V949" s="106"/>
    </row>
    <row r="950">
      <c r="C950" s="79"/>
      <c r="D950" s="79"/>
      <c r="J950" s="79"/>
      <c r="N950" s="79"/>
      <c r="Q950" s="79"/>
      <c r="T950" s="130"/>
      <c r="V950" s="106"/>
    </row>
    <row r="951">
      <c r="C951" s="79"/>
      <c r="D951" s="79"/>
      <c r="J951" s="79"/>
      <c r="N951" s="79"/>
      <c r="Q951" s="79"/>
      <c r="T951" s="130"/>
      <c r="V951" s="106"/>
    </row>
    <row r="952">
      <c r="C952" s="79"/>
      <c r="D952" s="79"/>
      <c r="J952" s="79"/>
      <c r="N952" s="79"/>
      <c r="Q952" s="79"/>
      <c r="T952" s="130"/>
      <c r="V952" s="106"/>
    </row>
    <row r="953">
      <c r="C953" s="79"/>
      <c r="D953" s="79"/>
      <c r="J953" s="79"/>
      <c r="N953" s="79"/>
      <c r="Q953" s="79"/>
      <c r="T953" s="130"/>
      <c r="V953" s="106"/>
    </row>
    <row r="954">
      <c r="C954" s="79"/>
      <c r="D954" s="79"/>
      <c r="J954" s="79"/>
      <c r="N954" s="79"/>
      <c r="Q954" s="79"/>
      <c r="T954" s="130"/>
      <c r="V954" s="106"/>
    </row>
    <row r="955">
      <c r="C955" s="79"/>
      <c r="D955" s="79"/>
      <c r="J955" s="79"/>
      <c r="N955" s="79"/>
      <c r="Q955" s="79"/>
      <c r="T955" s="130"/>
      <c r="V955" s="106"/>
    </row>
    <row r="956">
      <c r="C956" s="79"/>
      <c r="D956" s="79"/>
      <c r="J956" s="79"/>
      <c r="N956" s="79"/>
      <c r="Q956" s="79"/>
      <c r="T956" s="130"/>
      <c r="V956" s="106"/>
    </row>
    <row r="957">
      <c r="C957" s="79"/>
      <c r="D957" s="79"/>
      <c r="J957" s="79"/>
      <c r="N957" s="79"/>
      <c r="Q957" s="79"/>
      <c r="T957" s="130"/>
      <c r="V957" s="106"/>
    </row>
    <row r="958">
      <c r="C958" s="79"/>
      <c r="D958" s="79"/>
      <c r="J958" s="79"/>
      <c r="N958" s="79"/>
      <c r="Q958" s="79"/>
      <c r="T958" s="130"/>
      <c r="V958" s="106"/>
    </row>
    <row r="959">
      <c r="C959" s="79"/>
      <c r="D959" s="79"/>
      <c r="J959" s="79"/>
      <c r="N959" s="79"/>
      <c r="Q959" s="79"/>
      <c r="T959" s="130"/>
      <c r="V959" s="106"/>
    </row>
    <row r="960">
      <c r="C960" s="79"/>
      <c r="D960" s="79"/>
      <c r="J960" s="79"/>
      <c r="N960" s="79"/>
      <c r="Q960" s="79"/>
      <c r="T960" s="130"/>
      <c r="V960" s="106"/>
    </row>
    <row r="961">
      <c r="C961" s="79"/>
      <c r="D961" s="79"/>
      <c r="J961" s="79"/>
      <c r="N961" s="79"/>
      <c r="Q961" s="79"/>
      <c r="T961" s="130"/>
      <c r="V961" s="106"/>
    </row>
    <row r="962">
      <c r="C962" s="79"/>
      <c r="D962" s="79"/>
      <c r="J962" s="79"/>
      <c r="N962" s="79"/>
      <c r="Q962" s="79"/>
      <c r="T962" s="130"/>
      <c r="V962" s="106"/>
    </row>
    <row r="963">
      <c r="C963" s="79"/>
      <c r="D963" s="79"/>
      <c r="J963" s="79"/>
      <c r="N963" s="79"/>
      <c r="Q963" s="79"/>
      <c r="T963" s="130"/>
      <c r="V963" s="106"/>
    </row>
    <row r="964">
      <c r="C964" s="79"/>
      <c r="D964" s="79"/>
      <c r="J964" s="79"/>
      <c r="N964" s="79"/>
      <c r="Q964" s="79"/>
      <c r="T964" s="130"/>
      <c r="V964" s="106"/>
    </row>
    <row r="965">
      <c r="C965" s="79"/>
      <c r="D965" s="79"/>
      <c r="J965" s="79"/>
      <c r="N965" s="79"/>
      <c r="Q965" s="79"/>
      <c r="T965" s="130"/>
      <c r="V965" s="106"/>
    </row>
    <row r="966">
      <c r="C966" s="79"/>
      <c r="D966" s="79"/>
      <c r="J966" s="79"/>
      <c r="N966" s="79"/>
      <c r="Q966" s="79"/>
      <c r="T966" s="130"/>
      <c r="V966" s="106"/>
    </row>
    <row r="967">
      <c r="C967" s="79"/>
      <c r="D967" s="79"/>
      <c r="J967" s="79"/>
      <c r="N967" s="79"/>
      <c r="Q967" s="79"/>
      <c r="T967" s="130"/>
      <c r="V967" s="106"/>
    </row>
    <row r="968">
      <c r="C968" s="79"/>
      <c r="D968" s="79"/>
      <c r="J968" s="79"/>
      <c r="N968" s="79"/>
      <c r="Q968" s="79"/>
      <c r="T968" s="130"/>
      <c r="V968" s="106"/>
    </row>
    <row r="969">
      <c r="C969" s="79"/>
      <c r="D969" s="79"/>
      <c r="J969" s="79"/>
      <c r="N969" s="79"/>
      <c r="Q969" s="79"/>
      <c r="T969" s="130"/>
      <c r="V969" s="106"/>
    </row>
    <row r="970">
      <c r="C970" s="79"/>
      <c r="D970" s="79"/>
      <c r="J970" s="79"/>
      <c r="N970" s="79"/>
      <c r="Q970" s="79"/>
      <c r="T970" s="130"/>
      <c r="V970" s="106"/>
    </row>
    <row r="971">
      <c r="C971" s="79"/>
      <c r="D971" s="79"/>
      <c r="J971" s="79"/>
      <c r="N971" s="79"/>
      <c r="Q971" s="79"/>
      <c r="T971" s="130"/>
      <c r="V971" s="106"/>
    </row>
    <row r="972">
      <c r="C972" s="79"/>
      <c r="D972" s="79"/>
      <c r="J972" s="79"/>
      <c r="N972" s="79"/>
      <c r="Q972" s="79"/>
      <c r="T972" s="130"/>
      <c r="V972" s="106"/>
    </row>
    <row r="973">
      <c r="C973" s="79"/>
      <c r="D973" s="79"/>
      <c r="J973" s="79"/>
      <c r="N973" s="79"/>
      <c r="Q973" s="79"/>
      <c r="T973" s="130"/>
      <c r="V973" s="106"/>
    </row>
    <row r="974">
      <c r="C974" s="79"/>
      <c r="D974" s="79"/>
      <c r="J974" s="79"/>
      <c r="N974" s="79"/>
      <c r="Q974" s="79"/>
      <c r="T974" s="130"/>
      <c r="V974" s="106"/>
    </row>
    <row r="975">
      <c r="C975" s="79"/>
      <c r="D975" s="79"/>
      <c r="J975" s="79"/>
      <c r="N975" s="79"/>
      <c r="Q975" s="79"/>
      <c r="T975" s="130"/>
      <c r="V975" s="106"/>
    </row>
    <row r="976">
      <c r="C976" s="79"/>
      <c r="D976" s="79"/>
      <c r="J976" s="79"/>
      <c r="N976" s="79"/>
      <c r="Q976" s="79"/>
      <c r="T976" s="130"/>
      <c r="V976" s="106"/>
    </row>
    <row r="977">
      <c r="C977" s="79"/>
      <c r="D977" s="79"/>
      <c r="J977" s="79"/>
      <c r="N977" s="79"/>
      <c r="Q977" s="79"/>
      <c r="T977" s="130"/>
      <c r="V977" s="106"/>
    </row>
    <row r="978">
      <c r="C978" s="79"/>
      <c r="D978" s="79"/>
      <c r="J978" s="79"/>
      <c r="N978" s="79"/>
      <c r="Q978" s="79"/>
      <c r="T978" s="130"/>
      <c r="V978" s="106"/>
    </row>
    <row r="979">
      <c r="C979" s="79"/>
      <c r="D979" s="79"/>
      <c r="J979" s="79"/>
      <c r="N979" s="79"/>
      <c r="Q979" s="79"/>
      <c r="T979" s="130"/>
      <c r="V979" s="106"/>
    </row>
    <row r="980">
      <c r="C980" s="79"/>
      <c r="D980" s="79"/>
      <c r="J980" s="79"/>
      <c r="N980" s="79"/>
      <c r="Q980" s="79"/>
      <c r="T980" s="130"/>
      <c r="V980" s="106"/>
    </row>
    <row r="981">
      <c r="C981" s="79"/>
      <c r="D981" s="79"/>
      <c r="J981" s="79"/>
      <c r="N981" s="79"/>
      <c r="Q981" s="79"/>
      <c r="T981" s="130"/>
      <c r="V981" s="106"/>
    </row>
    <row r="982">
      <c r="C982" s="79"/>
      <c r="D982" s="79"/>
      <c r="J982" s="79"/>
      <c r="N982" s="79"/>
      <c r="Q982" s="79"/>
      <c r="T982" s="130"/>
      <c r="V982" s="106"/>
    </row>
    <row r="983">
      <c r="C983" s="79"/>
      <c r="D983" s="79"/>
      <c r="J983" s="79"/>
      <c r="N983" s="79"/>
      <c r="Q983" s="79"/>
      <c r="T983" s="130"/>
      <c r="V983" s="106"/>
    </row>
    <row r="984">
      <c r="C984" s="79"/>
      <c r="D984" s="79"/>
      <c r="J984" s="79"/>
      <c r="N984" s="79"/>
      <c r="Q984" s="79"/>
      <c r="T984" s="130"/>
      <c r="V984" s="106"/>
    </row>
    <row r="985">
      <c r="C985" s="79"/>
      <c r="D985" s="79"/>
      <c r="J985" s="79"/>
      <c r="N985" s="79"/>
      <c r="Q985" s="79"/>
      <c r="T985" s="130"/>
      <c r="V985" s="106"/>
    </row>
    <row r="986">
      <c r="C986" s="79"/>
      <c r="D986" s="79"/>
      <c r="J986" s="79"/>
      <c r="N986" s="79"/>
      <c r="Q986" s="79"/>
      <c r="T986" s="130"/>
      <c r="V986" s="106"/>
    </row>
    <row r="987">
      <c r="C987" s="79"/>
      <c r="D987" s="79"/>
      <c r="J987" s="79"/>
      <c r="N987" s="79"/>
      <c r="Q987" s="79"/>
      <c r="T987" s="130"/>
      <c r="V987" s="106"/>
    </row>
    <row r="988">
      <c r="C988" s="79"/>
      <c r="D988" s="79"/>
      <c r="J988" s="79"/>
      <c r="N988" s="79"/>
      <c r="Q988" s="79"/>
      <c r="T988" s="130"/>
      <c r="V988" s="106"/>
    </row>
    <row r="989">
      <c r="C989" s="79"/>
      <c r="D989" s="79"/>
      <c r="J989" s="79"/>
      <c r="N989" s="79"/>
      <c r="Q989" s="79"/>
      <c r="T989" s="130"/>
      <c r="V989" s="106"/>
    </row>
    <row r="990">
      <c r="C990" s="79"/>
      <c r="D990" s="79"/>
      <c r="J990" s="79"/>
      <c r="N990" s="79"/>
      <c r="Q990" s="79"/>
      <c r="T990" s="130"/>
      <c r="V990" s="106"/>
    </row>
    <row r="991">
      <c r="C991" s="79"/>
      <c r="D991" s="79"/>
      <c r="J991" s="79"/>
      <c r="N991" s="79"/>
      <c r="Q991" s="79"/>
      <c r="T991" s="130"/>
      <c r="V991" s="106"/>
    </row>
    <row r="992">
      <c r="C992" s="79"/>
      <c r="D992" s="79"/>
      <c r="J992" s="79"/>
      <c r="N992" s="79"/>
      <c r="Q992" s="79"/>
      <c r="T992" s="130"/>
      <c r="V992" s="106"/>
    </row>
    <row r="993">
      <c r="C993" s="79"/>
      <c r="D993" s="79"/>
      <c r="J993" s="79"/>
      <c r="N993" s="79"/>
      <c r="Q993" s="79"/>
      <c r="T993" s="130"/>
      <c r="V993" s="106"/>
    </row>
    <row r="994">
      <c r="C994" s="79"/>
      <c r="D994" s="79"/>
      <c r="J994" s="79"/>
      <c r="N994" s="79"/>
      <c r="Q994" s="79"/>
      <c r="T994" s="130"/>
      <c r="V994" s="106"/>
    </row>
    <row r="995">
      <c r="C995" s="79"/>
      <c r="D995" s="79"/>
      <c r="J995" s="79"/>
      <c r="N995" s="79"/>
      <c r="Q995" s="79"/>
      <c r="T995" s="130"/>
      <c r="V995" s="106"/>
    </row>
    <row r="996">
      <c r="C996" s="79"/>
      <c r="D996" s="79"/>
      <c r="J996" s="79"/>
      <c r="N996" s="79"/>
      <c r="Q996" s="79"/>
      <c r="T996" s="130"/>
      <c r="V996" s="106"/>
    </row>
    <row r="997">
      <c r="C997" s="79"/>
      <c r="D997" s="79"/>
      <c r="J997" s="79"/>
      <c r="N997" s="79"/>
      <c r="Q997" s="79"/>
      <c r="T997" s="130"/>
      <c r="V997" s="106"/>
    </row>
    <row r="998">
      <c r="C998" s="79"/>
      <c r="D998" s="79"/>
      <c r="J998" s="79"/>
      <c r="N998" s="79"/>
      <c r="Q998" s="79"/>
      <c r="T998" s="130"/>
      <c r="V998" s="106"/>
    </row>
    <row r="999">
      <c r="C999" s="79"/>
      <c r="D999" s="79"/>
      <c r="J999" s="79"/>
      <c r="N999" s="79"/>
      <c r="Q999" s="79"/>
      <c r="T999" s="130"/>
      <c r="V999" s="106"/>
    </row>
    <row r="1000">
      <c r="C1000" s="79"/>
      <c r="D1000" s="79"/>
      <c r="J1000" s="79"/>
      <c r="N1000" s="79"/>
      <c r="Q1000" s="79"/>
      <c r="T1000" s="130"/>
      <c r="V1000" s="106"/>
    </row>
  </sheetData>
  <mergeCells count="1">
    <mergeCell ref="H19:J19"/>
  </mergeCells>
  <drawing r:id="rId2"/>
  <legacyDrawing r:id="rId3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2" max="22" width="17.0"/>
  </cols>
  <sheetData>
    <row r="1">
      <c r="B1" s="2" t="s">
        <v>0</v>
      </c>
      <c r="C1" s="105" t="s">
        <v>1</v>
      </c>
      <c r="D1" s="105" t="s">
        <v>7</v>
      </c>
      <c r="E1" s="2" t="s">
        <v>3</v>
      </c>
      <c r="F1" s="2" t="s">
        <v>129</v>
      </c>
      <c r="G1" s="2" t="s">
        <v>5</v>
      </c>
      <c r="H1" s="2" t="s">
        <v>6</v>
      </c>
      <c r="I1" s="2" t="s">
        <v>43</v>
      </c>
      <c r="J1" s="105" t="s">
        <v>40</v>
      </c>
      <c r="K1" s="2" t="s">
        <v>49</v>
      </c>
      <c r="L1" s="2" t="s">
        <v>42</v>
      </c>
      <c r="M1" s="2" t="s">
        <v>121</v>
      </c>
      <c r="N1" s="105" t="s">
        <v>9</v>
      </c>
      <c r="O1" s="2" t="s">
        <v>37</v>
      </c>
      <c r="P1" s="2" t="s">
        <v>10</v>
      </c>
      <c r="Q1" s="105" t="s">
        <v>11</v>
      </c>
      <c r="R1" s="2" t="s">
        <v>12</v>
      </c>
      <c r="S1" s="3" t="s">
        <v>13</v>
      </c>
      <c r="T1" s="126" t="s">
        <v>14</v>
      </c>
      <c r="U1" s="3" t="s">
        <v>15</v>
      </c>
      <c r="V1" s="106"/>
    </row>
    <row r="2">
      <c r="A2" s="74">
        <v>45082.0</v>
      </c>
      <c r="B2" s="5"/>
      <c r="C2" s="93"/>
      <c r="D2" s="93"/>
      <c r="E2" s="5"/>
      <c r="F2" s="5"/>
      <c r="G2" s="5"/>
      <c r="H2" s="5"/>
      <c r="I2" s="5"/>
      <c r="J2" s="72"/>
      <c r="K2" s="5"/>
      <c r="L2" s="5"/>
      <c r="M2" s="5"/>
      <c r="N2" s="93"/>
      <c r="O2" s="5"/>
      <c r="P2" s="5"/>
      <c r="Q2" s="93"/>
      <c r="R2" s="5"/>
      <c r="S2" s="107">
        <f t="shared" ref="S2:S7" si="1">SUM(B2:R2)</f>
        <v>0</v>
      </c>
      <c r="T2" s="108"/>
      <c r="U2" s="59" t="str">
        <f t="shared" ref="U2:U8" si="2">S2/T2</f>
        <v>#DIV/0!</v>
      </c>
      <c r="V2" s="109">
        <f t="shared" ref="V2:V8" si="3">A2</f>
        <v>45082</v>
      </c>
    </row>
    <row r="3">
      <c r="A3" s="74">
        <v>45083.0</v>
      </c>
      <c r="B3" s="5"/>
      <c r="C3" s="110"/>
      <c r="D3" s="93"/>
      <c r="E3" s="5"/>
      <c r="F3" s="5"/>
      <c r="G3" s="5"/>
      <c r="H3" s="5"/>
      <c r="I3" s="5"/>
      <c r="J3" s="93"/>
      <c r="K3" s="5"/>
      <c r="L3" s="5"/>
      <c r="M3" s="6"/>
      <c r="N3" s="93"/>
      <c r="O3" s="93"/>
      <c r="P3" s="5"/>
      <c r="Q3" s="93"/>
      <c r="R3" s="93"/>
      <c r="S3" s="7">
        <f t="shared" si="1"/>
        <v>0</v>
      </c>
      <c r="T3" s="97"/>
      <c r="U3" s="59" t="str">
        <f t="shared" si="2"/>
        <v>#DIV/0!</v>
      </c>
      <c r="V3" s="109">
        <f t="shared" si="3"/>
        <v>45083</v>
      </c>
    </row>
    <row r="4">
      <c r="A4" s="74">
        <v>45084.0</v>
      </c>
      <c r="B4" s="5"/>
      <c r="C4" s="93"/>
      <c r="D4" s="93"/>
      <c r="E4" s="5"/>
      <c r="F4" s="5"/>
      <c r="G4" s="5"/>
      <c r="H4" s="5"/>
      <c r="I4" s="5"/>
      <c r="J4" s="93"/>
      <c r="K4" s="5"/>
      <c r="L4" s="5"/>
      <c r="M4" s="5"/>
      <c r="N4" s="93"/>
      <c r="O4" s="5"/>
      <c r="P4" s="83"/>
      <c r="Q4" s="93"/>
      <c r="R4" s="6"/>
      <c r="S4" s="7">
        <f t="shared" si="1"/>
        <v>0</v>
      </c>
      <c r="T4" s="97"/>
      <c r="U4" s="59" t="str">
        <f t="shared" si="2"/>
        <v>#DIV/0!</v>
      </c>
      <c r="V4" s="109">
        <f t="shared" si="3"/>
        <v>45084</v>
      </c>
    </row>
    <row r="5">
      <c r="A5" s="74">
        <v>45085.0</v>
      </c>
      <c r="B5" s="5"/>
      <c r="C5" s="93"/>
      <c r="D5" s="101"/>
      <c r="E5" s="5"/>
      <c r="F5" s="5"/>
      <c r="G5" s="5"/>
      <c r="H5" s="5"/>
      <c r="I5" s="5"/>
      <c r="J5" s="93"/>
      <c r="K5" s="5"/>
      <c r="L5" s="5"/>
      <c r="M5" s="5"/>
      <c r="N5" s="93"/>
      <c r="O5" s="5"/>
      <c r="P5" s="5"/>
      <c r="Q5" s="101"/>
      <c r="R5" s="6"/>
      <c r="S5" s="7">
        <f t="shared" si="1"/>
        <v>0</v>
      </c>
      <c r="T5" s="98"/>
      <c r="U5" s="59" t="str">
        <f t="shared" si="2"/>
        <v>#DIV/0!</v>
      </c>
      <c r="V5" s="109">
        <f t="shared" si="3"/>
        <v>45085</v>
      </c>
    </row>
    <row r="6">
      <c r="A6" s="74">
        <v>45086.0</v>
      </c>
      <c r="B6" s="5"/>
      <c r="C6" s="93"/>
      <c r="D6" s="93"/>
      <c r="E6" s="5"/>
      <c r="G6" s="5"/>
      <c r="H6" s="5"/>
      <c r="I6" s="5"/>
      <c r="J6" s="111"/>
      <c r="K6" s="5"/>
      <c r="L6" s="5"/>
      <c r="M6" s="5"/>
      <c r="N6" s="93"/>
      <c r="O6" s="5"/>
      <c r="P6" s="5"/>
      <c r="Q6" s="93"/>
      <c r="R6" s="5"/>
      <c r="S6" s="7">
        <f t="shared" si="1"/>
        <v>0</v>
      </c>
      <c r="T6" s="97"/>
      <c r="U6" s="59" t="str">
        <f t="shared" si="2"/>
        <v>#DIV/0!</v>
      </c>
      <c r="V6" s="109">
        <f t="shared" si="3"/>
        <v>45086</v>
      </c>
    </row>
    <row r="7">
      <c r="A7" s="74">
        <v>45087.0</v>
      </c>
      <c r="B7" s="5"/>
      <c r="C7" s="93"/>
      <c r="D7" s="93"/>
      <c r="E7" s="5"/>
      <c r="F7" s="5"/>
      <c r="G7" s="5"/>
      <c r="H7" s="5"/>
      <c r="I7" s="5"/>
      <c r="J7" s="101"/>
      <c r="K7" s="5"/>
      <c r="L7" s="5"/>
      <c r="M7" s="93"/>
      <c r="N7" s="93"/>
      <c r="O7" s="6"/>
      <c r="P7" s="6"/>
      <c r="Q7" s="101"/>
      <c r="R7" s="5"/>
      <c r="S7" s="7">
        <f t="shared" si="1"/>
        <v>0</v>
      </c>
      <c r="T7" s="97"/>
      <c r="U7" s="59" t="str">
        <f t="shared" si="2"/>
        <v>#DIV/0!</v>
      </c>
      <c r="V7" s="109">
        <f t="shared" si="3"/>
        <v>45087</v>
      </c>
    </row>
    <row r="8">
      <c r="A8" s="74">
        <v>45088.0</v>
      </c>
      <c r="B8" s="10" t="s">
        <v>21</v>
      </c>
      <c r="C8" s="112" t="s">
        <v>21</v>
      </c>
      <c r="D8" s="112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12" t="s">
        <v>21</v>
      </c>
      <c r="K8" s="10" t="s">
        <v>21</v>
      </c>
      <c r="L8" s="10" t="s">
        <v>21</v>
      </c>
      <c r="M8" s="10"/>
      <c r="N8" s="112" t="s">
        <v>21</v>
      </c>
      <c r="O8" s="10" t="s">
        <v>21</v>
      </c>
      <c r="P8" s="10" t="s">
        <v>21</v>
      </c>
      <c r="Q8" s="112" t="s">
        <v>21</v>
      </c>
      <c r="R8" s="10" t="s">
        <v>21</v>
      </c>
      <c r="S8" s="7">
        <v>0.0</v>
      </c>
      <c r="T8" s="97"/>
      <c r="U8" s="59" t="str">
        <f t="shared" si="2"/>
        <v>#DIV/0!</v>
      </c>
      <c r="V8" s="109">
        <f t="shared" si="3"/>
        <v>45088</v>
      </c>
    </row>
    <row r="9">
      <c r="C9" s="113"/>
      <c r="D9" s="79"/>
      <c r="J9" s="79"/>
      <c r="N9" s="79"/>
      <c r="Q9" s="79"/>
      <c r="T9" s="129"/>
      <c r="V9" s="106"/>
    </row>
    <row r="10">
      <c r="C10" s="79"/>
      <c r="D10" s="79"/>
      <c r="J10" s="79"/>
      <c r="N10" s="79"/>
      <c r="Q10" s="79"/>
      <c r="T10" s="130"/>
      <c r="V10" s="106"/>
    </row>
    <row r="11">
      <c r="A11" s="4" t="s">
        <v>22</v>
      </c>
      <c r="B11" s="11">
        <v>13000.0</v>
      </c>
      <c r="C11" s="79"/>
      <c r="D11" s="79"/>
      <c r="E11" s="78"/>
      <c r="F11" s="79"/>
      <c r="J11" s="79"/>
      <c r="N11" s="79"/>
      <c r="Q11" s="79"/>
      <c r="T11" s="131"/>
      <c r="V11" s="106"/>
    </row>
    <row r="12">
      <c r="A12" s="4" t="s">
        <v>23</v>
      </c>
      <c r="B12" s="12">
        <f>SUM(B2:R8)</f>
        <v>0</v>
      </c>
      <c r="C12" s="79"/>
      <c r="D12" s="79"/>
      <c r="E12" s="56"/>
      <c r="J12" s="79"/>
      <c r="N12" s="79"/>
      <c r="Q12" s="79"/>
      <c r="T12" s="130"/>
      <c r="V12" s="106"/>
    </row>
    <row r="13">
      <c r="A13" s="4" t="s">
        <v>24</v>
      </c>
      <c r="B13" s="12">
        <f> SUM(B11-B12)</f>
        <v>13000</v>
      </c>
      <c r="C13" s="79"/>
      <c r="D13" s="79"/>
      <c r="J13" s="79"/>
      <c r="N13" s="79"/>
      <c r="Q13" s="79"/>
      <c r="T13" s="130"/>
      <c r="V13" s="106"/>
    </row>
    <row r="14">
      <c r="C14" s="79"/>
      <c r="D14" s="79"/>
      <c r="J14" s="79"/>
      <c r="N14" s="79"/>
      <c r="Q14" s="79"/>
      <c r="T14" s="130"/>
      <c r="V14" s="106"/>
    </row>
    <row r="15">
      <c r="A15" s="13" t="s">
        <v>25</v>
      </c>
      <c r="B15" s="14">
        <f>SUM(T2:T8)</f>
        <v>0</v>
      </c>
      <c r="C15" s="79"/>
      <c r="D15" s="79"/>
      <c r="J15" s="79"/>
      <c r="N15" s="79"/>
      <c r="Q15" s="79"/>
      <c r="T15" s="130"/>
      <c r="V15" s="106"/>
    </row>
    <row r="16">
      <c r="A16" s="13" t="s">
        <v>26</v>
      </c>
      <c r="B16" s="15" t="str">
        <f>B12/B15</f>
        <v>#DIV/0!</v>
      </c>
      <c r="C16" s="79"/>
      <c r="D16" s="79"/>
      <c r="J16" s="79"/>
      <c r="N16" s="79"/>
      <c r="Q16" s="79"/>
      <c r="T16" s="130"/>
      <c r="V16" s="106"/>
    </row>
    <row r="17">
      <c r="C17" s="79"/>
      <c r="D17" s="79"/>
      <c r="J17" s="79"/>
      <c r="N17" s="79"/>
      <c r="Q17" s="79"/>
      <c r="T17" s="130"/>
      <c r="V17" s="106"/>
    </row>
    <row r="18">
      <c r="C18" s="79"/>
      <c r="D18" s="79"/>
      <c r="J18" s="79"/>
      <c r="N18" s="79"/>
      <c r="Q18" s="79"/>
      <c r="T18" s="130"/>
      <c r="V18" s="106"/>
    </row>
    <row r="19">
      <c r="A19" s="16" t="s">
        <v>27</v>
      </c>
      <c r="B19" s="17"/>
      <c r="C19" s="114"/>
      <c r="D19" s="115"/>
      <c r="H19" s="84"/>
      <c r="N19" s="79"/>
      <c r="Q19" s="79"/>
      <c r="T19" s="130"/>
      <c r="V19" s="106"/>
    </row>
    <row r="20">
      <c r="A20" s="19" t="s">
        <v>28</v>
      </c>
      <c r="B20" s="20"/>
      <c r="C20" s="116"/>
      <c r="D20" s="117"/>
      <c r="H20" s="85"/>
      <c r="I20" s="85"/>
      <c r="J20" s="118"/>
      <c r="N20" s="79"/>
      <c r="Q20" s="79"/>
      <c r="T20" s="130"/>
      <c r="V20" s="106"/>
    </row>
    <row r="21">
      <c r="A21" s="22" t="s">
        <v>29</v>
      </c>
      <c r="B21" s="23" t="s">
        <v>30</v>
      </c>
      <c r="C21" s="119" t="s">
        <v>31</v>
      </c>
      <c r="D21" s="120" t="s">
        <v>30</v>
      </c>
      <c r="H21" s="86"/>
      <c r="I21" s="85"/>
      <c r="J21" s="118"/>
      <c r="N21" s="79"/>
      <c r="Q21" s="79"/>
      <c r="T21" s="130"/>
      <c r="V21" s="106"/>
    </row>
    <row r="22">
      <c r="A22" s="28" t="s">
        <v>149</v>
      </c>
      <c r="B22" s="72"/>
      <c r="C22" s="121"/>
      <c r="D22" s="122"/>
      <c r="H22" s="87"/>
      <c r="I22" s="85"/>
      <c r="J22" s="118"/>
      <c r="N22" s="79"/>
      <c r="Q22" s="79"/>
      <c r="T22" s="130"/>
      <c r="V22" s="106"/>
    </row>
    <row r="23">
      <c r="A23" s="28" t="s">
        <v>150</v>
      </c>
      <c r="B23" s="72"/>
      <c r="C23" s="121"/>
      <c r="D23" s="122"/>
      <c r="H23" s="88"/>
      <c r="I23" s="88"/>
      <c r="J23" s="123"/>
      <c r="N23" s="79"/>
      <c r="Q23" s="79"/>
      <c r="T23" s="130"/>
      <c r="V23" s="106"/>
    </row>
    <row r="24">
      <c r="A24" s="71" t="s">
        <v>108</v>
      </c>
      <c r="B24" s="72"/>
      <c r="C24" s="71"/>
      <c r="D24" s="124"/>
      <c r="H24" s="88"/>
      <c r="I24" s="88"/>
      <c r="J24" s="123"/>
      <c r="N24" s="79"/>
      <c r="Q24" s="79"/>
      <c r="T24" s="130"/>
      <c r="V24" s="106"/>
    </row>
    <row r="25">
      <c r="A25" s="28" t="s">
        <v>159</v>
      </c>
      <c r="B25" s="41"/>
      <c r="C25" s="121"/>
      <c r="D25" s="124"/>
      <c r="H25" s="88"/>
      <c r="I25" s="88"/>
      <c r="J25" s="123"/>
      <c r="N25" s="79"/>
      <c r="Q25" s="79"/>
      <c r="T25" s="130"/>
      <c r="V25" s="106"/>
    </row>
    <row r="26">
      <c r="A26" s="28" t="s">
        <v>160</v>
      </c>
      <c r="B26" s="41"/>
      <c r="C26" s="71"/>
      <c r="D26" s="124"/>
      <c r="H26" s="88"/>
      <c r="I26" s="88"/>
      <c r="J26" s="123"/>
      <c r="N26" s="79"/>
      <c r="Q26" s="79"/>
      <c r="T26" s="130"/>
      <c r="V26" s="106"/>
    </row>
    <row r="27">
      <c r="A27" s="25"/>
      <c r="B27" s="26"/>
      <c r="C27" s="121"/>
      <c r="D27" s="122"/>
      <c r="H27" s="88"/>
      <c r="I27" s="88"/>
      <c r="J27" s="123"/>
      <c r="N27" s="79"/>
      <c r="Q27" s="79"/>
      <c r="T27" s="130"/>
      <c r="V27" s="106"/>
    </row>
    <row r="28">
      <c r="A28" s="25"/>
      <c r="B28" s="26"/>
      <c r="C28" s="121"/>
      <c r="D28" s="122"/>
      <c r="J28" s="79"/>
      <c r="N28" s="79"/>
      <c r="Q28" s="79"/>
      <c r="T28" s="132"/>
      <c r="V28" s="106"/>
    </row>
    <row r="29">
      <c r="A29" s="25"/>
      <c r="B29" s="26"/>
      <c r="C29" s="121"/>
      <c r="D29" s="122"/>
      <c r="I29" s="89"/>
      <c r="J29" s="125"/>
      <c r="N29" s="79"/>
      <c r="Q29" s="79"/>
      <c r="T29" s="130"/>
      <c r="V29" s="106"/>
    </row>
    <row r="30">
      <c r="C30" s="79"/>
      <c r="D30" s="79"/>
      <c r="J30" s="79"/>
      <c r="N30" s="79"/>
      <c r="Q30" s="79"/>
      <c r="T30" s="130"/>
      <c r="V30" s="106"/>
    </row>
    <row r="31">
      <c r="C31" s="79"/>
      <c r="D31" s="79"/>
      <c r="J31" s="79"/>
      <c r="N31" s="79"/>
      <c r="Q31" s="79"/>
      <c r="T31" s="130"/>
      <c r="V31" s="106"/>
    </row>
    <row r="32">
      <c r="C32" s="79"/>
      <c r="D32" s="79"/>
      <c r="J32" s="79"/>
      <c r="N32" s="79"/>
      <c r="Q32" s="79"/>
      <c r="T32" s="130"/>
      <c r="V32" s="106"/>
    </row>
    <row r="33">
      <c r="C33" s="79"/>
      <c r="D33" s="79"/>
      <c r="J33" s="79"/>
      <c r="N33" s="79"/>
      <c r="Q33" s="79"/>
      <c r="T33" s="130"/>
      <c r="V33" s="106"/>
    </row>
    <row r="34">
      <c r="C34" s="79"/>
      <c r="D34" s="79"/>
      <c r="J34" s="79"/>
      <c r="N34" s="79"/>
      <c r="Q34" s="79"/>
      <c r="T34" s="130"/>
      <c r="V34" s="106"/>
    </row>
    <row r="35">
      <c r="C35" s="79"/>
      <c r="D35" s="79"/>
      <c r="J35" s="79"/>
      <c r="N35" s="79"/>
      <c r="Q35" s="79"/>
      <c r="T35" s="130"/>
      <c r="V35" s="106"/>
    </row>
    <row r="36">
      <c r="C36" s="79"/>
      <c r="D36" s="79"/>
      <c r="J36" s="79"/>
      <c r="N36" s="79"/>
      <c r="Q36" s="79"/>
      <c r="T36" s="130"/>
      <c r="V36" s="106"/>
    </row>
    <row r="37">
      <c r="C37" s="79"/>
      <c r="D37" s="79"/>
      <c r="J37" s="79"/>
      <c r="N37" s="79"/>
      <c r="Q37" s="79"/>
      <c r="T37" s="130"/>
      <c r="V37" s="106"/>
    </row>
    <row r="38">
      <c r="C38" s="79"/>
      <c r="D38" s="79"/>
      <c r="J38" s="79"/>
      <c r="N38" s="79"/>
      <c r="Q38" s="79"/>
      <c r="T38" s="130"/>
      <c r="V38" s="106"/>
    </row>
    <row r="39">
      <c r="C39" s="79"/>
      <c r="D39" s="79"/>
      <c r="J39" s="79"/>
      <c r="N39" s="79"/>
      <c r="Q39" s="79"/>
      <c r="T39" s="130"/>
      <c r="V39" s="106"/>
    </row>
    <row r="40">
      <c r="C40" s="79"/>
      <c r="D40" s="79"/>
      <c r="J40" s="79"/>
      <c r="N40" s="79"/>
      <c r="Q40" s="79"/>
      <c r="T40" s="130"/>
      <c r="V40" s="106"/>
    </row>
    <row r="41">
      <c r="C41" s="79"/>
      <c r="D41" s="79"/>
      <c r="J41" s="79"/>
      <c r="N41" s="79"/>
      <c r="Q41" s="79"/>
      <c r="T41" s="130"/>
      <c r="V41" s="106"/>
    </row>
    <row r="42">
      <c r="C42" s="79"/>
      <c r="D42" s="79"/>
      <c r="J42" s="79"/>
      <c r="N42" s="79"/>
      <c r="Q42" s="79"/>
      <c r="T42" s="130"/>
      <c r="V42" s="106"/>
    </row>
    <row r="43">
      <c r="C43" s="79"/>
      <c r="D43" s="79"/>
      <c r="J43" s="79"/>
      <c r="N43" s="79"/>
      <c r="Q43" s="79"/>
      <c r="T43" s="130"/>
      <c r="V43" s="106"/>
    </row>
    <row r="44">
      <c r="C44" s="79"/>
      <c r="D44" s="79"/>
      <c r="J44" s="79"/>
      <c r="N44" s="79"/>
      <c r="Q44" s="79"/>
      <c r="T44" s="130"/>
      <c r="V44" s="106"/>
    </row>
    <row r="45">
      <c r="C45" s="79"/>
      <c r="D45" s="79"/>
      <c r="J45" s="79"/>
      <c r="N45" s="79"/>
      <c r="Q45" s="79"/>
      <c r="T45" s="130"/>
      <c r="V45" s="106"/>
    </row>
    <row r="46">
      <c r="C46" s="79"/>
      <c r="D46" s="79"/>
      <c r="J46" s="79"/>
      <c r="N46" s="79"/>
      <c r="Q46" s="79"/>
      <c r="T46" s="130"/>
      <c r="V46" s="106"/>
    </row>
    <row r="47">
      <c r="C47" s="79"/>
      <c r="D47" s="79"/>
      <c r="J47" s="79"/>
      <c r="N47" s="79"/>
      <c r="Q47" s="79"/>
      <c r="T47" s="130"/>
      <c r="V47" s="106"/>
    </row>
    <row r="48">
      <c r="C48" s="79"/>
      <c r="D48" s="79"/>
      <c r="J48" s="79"/>
      <c r="N48" s="79"/>
      <c r="Q48" s="79"/>
      <c r="T48" s="130"/>
      <c r="V48" s="106"/>
    </row>
    <row r="49">
      <c r="C49" s="79"/>
      <c r="D49" s="79"/>
      <c r="J49" s="79"/>
      <c r="N49" s="79"/>
      <c r="Q49" s="79"/>
      <c r="T49" s="130"/>
      <c r="V49" s="106"/>
    </row>
    <row r="50">
      <c r="C50" s="79"/>
      <c r="D50" s="79"/>
      <c r="J50" s="79"/>
      <c r="N50" s="79"/>
      <c r="Q50" s="79"/>
      <c r="T50" s="130"/>
      <c r="V50" s="106"/>
    </row>
    <row r="51">
      <c r="C51" s="79"/>
      <c r="D51" s="79"/>
      <c r="J51" s="79"/>
      <c r="N51" s="79"/>
      <c r="Q51" s="79"/>
      <c r="T51" s="130"/>
      <c r="V51" s="106"/>
    </row>
    <row r="52">
      <c r="C52" s="79"/>
      <c r="D52" s="79"/>
      <c r="J52" s="79"/>
      <c r="N52" s="79"/>
      <c r="Q52" s="79"/>
      <c r="T52" s="130"/>
      <c r="V52" s="106"/>
    </row>
    <row r="53">
      <c r="C53" s="79"/>
      <c r="D53" s="79"/>
      <c r="J53" s="79"/>
      <c r="N53" s="79"/>
      <c r="Q53" s="79"/>
      <c r="T53" s="130"/>
      <c r="V53" s="106"/>
    </row>
    <row r="54">
      <c r="C54" s="79"/>
      <c r="D54" s="79"/>
      <c r="J54" s="79"/>
      <c r="N54" s="79"/>
      <c r="Q54" s="79"/>
      <c r="T54" s="130"/>
      <c r="V54" s="106"/>
    </row>
    <row r="55">
      <c r="C55" s="79"/>
      <c r="D55" s="79"/>
      <c r="J55" s="79"/>
      <c r="N55" s="79"/>
      <c r="Q55" s="79"/>
      <c r="T55" s="130"/>
      <c r="V55" s="106"/>
    </row>
    <row r="56">
      <c r="C56" s="79"/>
      <c r="D56" s="79"/>
      <c r="J56" s="79"/>
      <c r="N56" s="79"/>
      <c r="Q56" s="79"/>
      <c r="T56" s="130"/>
      <c r="V56" s="106"/>
    </row>
    <row r="57">
      <c r="C57" s="79"/>
      <c r="D57" s="79"/>
      <c r="J57" s="79"/>
      <c r="N57" s="79"/>
      <c r="Q57" s="79"/>
      <c r="T57" s="130"/>
      <c r="V57" s="106"/>
    </row>
    <row r="58">
      <c r="C58" s="79"/>
      <c r="D58" s="79"/>
      <c r="J58" s="79"/>
      <c r="N58" s="79"/>
      <c r="Q58" s="79"/>
      <c r="T58" s="130"/>
      <c r="V58" s="106"/>
    </row>
    <row r="59">
      <c r="C59" s="79"/>
      <c r="D59" s="79"/>
      <c r="J59" s="79"/>
      <c r="N59" s="79"/>
      <c r="Q59" s="79"/>
      <c r="T59" s="130"/>
      <c r="V59" s="106"/>
    </row>
    <row r="60">
      <c r="C60" s="79"/>
      <c r="D60" s="79"/>
      <c r="J60" s="79"/>
      <c r="N60" s="79"/>
      <c r="Q60" s="79"/>
      <c r="T60" s="130"/>
      <c r="V60" s="106"/>
    </row>
    <row r="61">
      <c r="C61" s="79"/>
      <c r="D61" s="79"/>
      <c r="J61" s="79"/>
      <c r="N61" s="79"/>
      <c r="Q61" s="79"/>
      <c r="T61" s="130"/>
      <c r="V61" s="106"/>
    </row>
    <row r="62">
      <c r="C62" s="79"/>
      <c r="D62" s="79"/>
      <c r="J62" s="79"/>
      <c r="N62" s="79"/>
      <c r="Q62" s="79"/>
      <c r="T62" s="130"/>
      <c r="V62" s="106"/>
    </row>
    <row r="63">
      <c r="C63" s="79"/>
      <c r="D63" s="79"/>
      <c r="J63" s="79"/>
      <c r="N63" s="79"/>
      <c r="Q63" s="79"/>
      <c r="T63" s="130"/>
      <c r="V63" s="106"/>
    </row>
    <row r="64">
      <c r="C64" s="79"/>
      <c r="D64" s="79"/>
      <c r="J64" s="79"/>
      <c r="N64" s="79"/>
      <c r="Q64" s="79"/>
      <c r="T64" s="130"/>
      <c r="V64" s="106"/>
    </row>
    <row r="65">
      <c r="C65" s="79"/>
      <c r="D65" s="79"/>
      <c r="J65" s="79"/>
      <c r="N65" s="79"/>
      <c r="Q65" s="79"/>
      <c r="T65" s="130"/>
      <c r="V65" s="106"/>
    </row>
    <row r="66">
      <c r="C66" s="79"/>
      <c r="D66" s="79"/>
      <c r="J66" s="79"/>
      <c r="N66" s="79"/>
      <c r="Q66" s="79"/>
      <c r="T66" s="130"/>
      <c r="V66" s="106"/>
    </row>
    <row r="67">
      <c r="C67" s="79"/>
      <c r="D67" s="79"/>
      <c r="J67" s="79"/>
      <c r="N67" s="79"/>
      <c r="Q67" s="79"/>
      <c r="T67" s="130"/>
      <c r="V67" s="106"/>
    </row>
    <row r="68">
      <c r="C68" s="79"/>
      <c r="D68" s="79"/>
      <c r="J68" s="79"/>
      <c r="N68" s="79"/>
      <c r="Q68" s="79"/>
      <c r="T68" s="130"/>
      <c r="V68" s="106"/>
    </row>
    <row r="69">
      <c r="C69" s="79"/>
      <c r="D69" s="79"/>
      <c r="J69" s="79"/>
      <c r="N69" s="79"/>
      <c r="Q69" s="79"/>
      <c r="T69" s="130"/>
      <c r="V69" s="106"/>
    </row>
    <row r="70">
      <c r="C70" s="79"/>
      <c r="D70" s="79"/>
      <c r="J70" s="79"/>
      <c r="N70" s="79"/>
      <c r="Q70" s="79"/>
      <c r="T70" s="130"/>
      <c r="V70" s="106"/>
    </row>
    <row r="71">
      <c r="C71" s="79"/>
      <c r="D71" s="79"/>
      <c r="J71" s="79"/>
      <c r="N71" s="79"/>
      <c r="Q71" s="79"/>
      <c r="T71" s="130"/>
      <c r="V71" s="106"/>
    </row>
    <row r="72">
      <c r="C72" s="79"/>
      <c r="D72" s="79"/>
      <c r="J72" s="79"/>
      <c r="N72" s="79"/>
      <c r="Q72" s="79"/>
      <c r="T72" s="130"/>
      <c r="V72" s="106"/>
    </row>
    <row r="73">
      <c r="C73" s="79"/>
      <c r="D73" s="79"/>
      <c r="J73" s="79"/>
      <c r="N73" s="79"/>
      <c r="Q73" s="79"/>
      <c r="T73" s="130"/>
      <c r="V73" s="106"/>
    </row>
    <row r="74">
      <c r="C74" s="79"/>
      <c r="D74" s="79"/>
      <c r="J74" s="79"/>
      <c r="N74" s="79"/>
      <c r="Q74" s="79"/>
      <c r="T74" s="130"/>
      <c r="V74" s="106"/>
    </row>
    <row r="75">
      <c r="C75" s="79"/>
      <c r="D75" s="79"/>
      <c r="J75" s="79"/>
      <c r="N75" s="79"/>
      <c r="Q75" s="79"/>
      <c r="T75" s="130"/>
      <c r="V75" s="106"/>
    </row>
    <row r="76">
      <c r="C76" s="79"/>
      <c r="D76" s="79"/>
      <c r="J76" s="79"/>
      <c r="N76" s="79"/>
      <c r="Q76" s="79"/>
      <c r="T76" s="130"/>
      <c r="V76" s="106"/>
    </row>
    <row r="77">
      <c r="C77" s="79"/>
      <c r="D77" s="79"/>
      <c r="J77" s="79"/>
      <c r="N77" s="79"/>
      <c r="Q77" s="79"/>
      <c r="T77" s="130"/>
      <c r="V77" s="106"/>
    </row>
    <row r="78">
      <c r="C78" s="79"/>
      <c r="D78" s="79"/>
      <c r="J78" s="79"/>
      <c r="N78" s="79"/>
      <c r="Q78" s="79"/>
      <c r="T78" s="130"/>
      <c r="V78" s="106"/>
    </row>
    <row r="79">
      <c r="C79" s="79"/>
      <c r="D79" s="79"/>
      <c r="J79" s="79"/>
      <c r="N79" s="79"/>
      <c r="Q79" s="79"/>
      <c r="T79" s="130"/>
      <c r="V79" s="106"/>
    </row>
    <row r="80">
      <c r="C80" s="79"/>
      <c r="D80" s="79"/>
      <c r="J80" s="79"/>
      <c r="N80" s="79"/>
      <c r="Q80" s="79"/>
      <c r="T80" s="130"/>
      <c r="V80" s="106"/>
    </row>
    <row r="81">
      <c r="C81" s="79"/>
      <c r="D81" s="79"/>
      <c r="J81" s="79"/>
      <c r="N81" s="79"/>
      <c r="Q81" s="79"/>
      <c r="T81" s="130"/>
      <c r="V81" s="106"/>
    </row>
    <row r="82">
      <c r="C82" s="79"/>
      <c r="D82" s="79"/>
      <c r="J82" s="79"/>
      <c r="N82" s="79"/>
      <c r="Q82" s="79"/>
      <c r="T82" s="130"/>
      <c r="V82" s="106"/>
    </row>
    <row r="83">
      <c r="C83" s="79"/>
      <c r="D83" s="79"/>
      <c r="J83" s="79"/>
      <c r="N83" s="79"/>
      <c r="Q83" s="79"/>
      <c r="T83" s="130"/>
      <c r="V83" s="106"/>
    </row>
    <row r="84">
      <c r="C84" s="79"/>
      <c r="D84" s="79"/>
      <c r="J84" s="79"/>
      <c r="N84" s="79"/>
      <c r="Q84" s="79"/>
      <c r="T84" s="130"/>
      <c r="V84" s="106"/>
    </row>
    <row r="85">
      <c r="C85" s="79"/>
      <c r="D85" s="79"/>
      <c r="J85" s="79"/>
      <c r="N85" s="79"/>
      <c r="Q85" s="79"/>
      <c r="T85" s="130"/>
      <c r="V85" s="106"/>
    </row>
    <row r="86">
      <c r="C86" s="79"/>
      <c r="D86" s="79"/>
      <c r="J86" s="79"/>
      <c r="N86" s="79"/>
      <c r="Q86" s="79"/>
      <c r="T86" s="130"/>
      <c r="V86" s="106"/>
    </row>
    <row r="87">
      <c r="C87" s="79"/>
      <c r="D87" s="79"/>
      <c r="J87" s="79"/>
      <c r="N87" s="79"/>
      <c r="Q87" s="79"/>
      <c r="T87" s="130"/>
      <c r="V87" s="106"/>
    </row>
    <row r="88">
      <c r="C88" s="79"/>
      <c r="D88" s="79"/>
      <c r="J88" s="79"/>
      <c r="N88" s="79"/>
      <c r="Q88" s="79"/>
      <c r="T88" s="130"/>
      <c r="V88" s="106"/>
    </row>
    <row r="89">
      <c r="C89" s="79"/>
      <c r="D89" s="79"/>
      <c r="J89" s="79"/>
      <c r="N89" s="79"/>
      <c r="Q89" s="79"/>
      <c r="T89" s="130"/>
      <c r="V89" s="106"/>
    </row>
    <row r="90">
      <c r="C90" s="79"/>
      <c r="D90" s="79"/>
      <c r="J90" s="79"/>
      <c r="N90" s="79"/>
      <c r="Q90" s="79"/>
      <c r="T90" s="130"/>
      <c r="V90" s="106"/>
    </row>
    <row r="91">
      <c r="C91" s="79"/>
      <c r="D91" s="79"/>
      <c r="J91" s="79"/>
      <c r="N91" s="79"/>
      <c r="Q91" s="79"/>
      <c r="T91" s="130"/>
      <c r="V91" s="106"/>
    </row>
    <row r="92">
      <c r="C92" s="79"/>
      <c r="D92" s="79"/>
      <c r="J92" s="79"/>
      <c r="N92" s="79"/>
      <c r="Q92" s="79"/>
      <c r="T92" s="130"/>
      <c r="V92" s="106"/>
    </row>
    <row r="93">
      <c r="C93" s="79"/>
      <c r="D93" s="79"/>
      <c r="J93" s="79"/>
      <c r="N93" s="79"/>
      <c r="Q93" s="79"/>
      <c r="T93" s="130"/>
      <c r="V93" s="106"/>
    </row>
    <row r="94">
      <c r="C94" s="79"/>
      <c r="D94" s="79"/>
      <c r="J94" s="79"/>
      <c r="N94" s="79"/>
      <c r="Q94" s="79"/>
      <c r="T94" s="130"/>
      <c r="V94" s="106"/>
    </row>
    <row r="95">
      <c r="C95" s="79"/>
      <c r="D95" s="79"/>
      <c r="J95" s="79"/>
      <c r="N95" s="79"/>
      <c r="Q95" s="79"/>
      <c r="T95" s="130"/>
      <c r="V95" s="106"/>
    </row>
    <row r="96">
      <c r="C96" s="79"/>
      <c r="D96" s="79"/>
      <c r="J96" s="79"/>
      <c r="N96" s="79"/>
      <c r="Q96" s="79"/>
      <c r="T96" s="130"/>
      <c r="V96" s="106"/>
    </row>
    <row r="97">
      <c r="C97" s="79"/>
      <c r="D97" s="79"/>
      <c r="J97" s="79"/>
      <c r="N97" s="79"/>
      <c r="Q97" s="79"/>
      <c r="T97" s="130"/>
      <c r="V97" s="106"/>
    </row>
    <row r="98">
      <c r="C98" s="79"/>
      <c r="D98" s="79"/>
      <c r="J98" s="79"/>
      <c r="N98" s="79"/>
      <c r="Q98" s="79"/>
      <c r="T98" s="130"/>
      <c r="V98" s="106"/>
    </row>
    <row r="99">
      <c r="C99" s="79"/>
      <c r="D99" s="79"/>
      <c r="J99" s="79"/>
      <c r="N99" s="79"/>
      <c r="Q99" s="79"/>
      <c r="T99" s="130"/>
      <c r="V99" s="106"/>
    </row>
    <row r="100">
      <c r="C100" s="79"/>
      <c r="D100" s="79"/>
      <c r="J100" s="79"/>
      <c r="N100" s="79"/>
      <c r="Q100" s="79"/>
      <c r="T100" s="130"/>
      <c r="V100" s="106"/>
    </row>
    <row r="101">
      <c r="C101" s="79"/>
      <c r="D101" s="79"/>
      <c r="J101" s="79"/>
      <c r="N101" s="79"/>
      <c r="Q101" s="79"/>
      <c r="T101" s="130"/>
      <c r="V101" s="106"/>
    </row>
    <row r="102">
      <c r="C102" s="79"/>
      <c r="D102" s="79"/>
      <c r="J102" s="79"/>
      <c r="N102" s="79"/>
      <c r="Q102" s="79"/>
      <c r="T102" s="130"/>
      <c r="V102" s="106"/>
    </row>
    <row r="103">
      <c r="C103" s="79"/>
      <c r="D103" s="79"/>
      <c r="J103" s="79"/>
      <c r="N103" s="79"/>
      <c r="Q103" s="79"/>
      <c r="T103" s="130"/>
      <c r="V103" s="106"/>
    </row>
    <row r="104">
      <c r="C104" s="79"/>
      <c r="D104" s="79"/>
      <c r="J104" s="79"/>
      <c r="N104" s="79"/>
      <c r="Q104" s="79"/>
      <c r="T104" s="130"/>
      <c r="V104" s="106"/>
    </row>
    <row r="105">
      <c r="C105" s="79"/>
      <c r="D105" s="79"/>
      <c r="J105" s="79"/>
      <c r="N105" s="79"/>
      <c r="Q105" s="79"/>
      <c r="T105" s="130"/>
      <c r="V105" s="106"/>
    </row>
    <row r="106">
      <c r="C106" s="79"/>
      <c r="D106" s="79"/>
      <c r="J106" s="79"/>
      <c r="N106" s="79"/>
      <c r="Q106" s="79"/>
      <c r="T106" s="130"/>
      <c r="V106" s="106"/>
    </row>
    <row r="107">
      <c r="C107" s="79"/>
      <c r="D107" s="79"/>
      <c r="J107" s="79"/>
      <c r="N107" s="79"/>
      <c r="Q107" s="79"/>
      <c r="T107" s="130"/>
      <c r="V107" s="106"/>
    </row>
    <row r="108">
      <c r="C108" s="79"/>
      <c r="D108" s="79"/>
      <c r="J108" s="79"/>
      <c r="N108" s="79"/>
      <c r="Q108" s="79"/>
      <c r="T108" s="130"/>
      <c r="V108" s="106"/>
    </row>
    <row r="109">
      <c r="C109" s="79"/>
      <c r="D109" s="79"/>
      <c r="J109" s="79"/>
      <c r="N109" s="79"/>
      <c r="Q109" s="79"/>
      <c r="T109" s="130"/>
      <c r="V109" s="106"/>
    </row>
    <row r="110">
      <c r="C110" s="79"/>
      <c r="D110" s="79"/>
      <c r="J110" s="79"/>
      <c r="N110" s="79"/>
      <c r="Q110" s="79"/>
      <c r="T110" s="130"/>
      <c r="V110" s="106"/>
    </row>
    <row r="111">
      <c r="C111" s="79"/>
      <c r="D111" s="79"/>
      <c r="J111" s="79"/>
      <c r="N111" s="79"/>
      <c r="Q111" s="79"/>
      <c r="T111" s="130"/>
      <c r="V111" s="106"/>
    </row>
    <row r="112">
      <c r="C112" s="79"/>
      <c r="D112" s="79"/>
      <c r="J112" s="79"/>
      <c r="N112" s="79"/>
      <c r="Q112" s="79"/>
      <c r="T112" s="130"/>
      <c r="V112" s="106"/>
    </row>
    <row r="113">
      <c r="C113" s="79"/>
      <c r="D113" s="79"/>
      <c r="J113" s="79"/>
      <c r="N113" s="79"/>
      <c r="Q113" s="79"/>
      <c r="T113" s="130"/>
      <c r="V113" s="106"/>
    </row>
    <row r="114">
      <c r="C114" s="79"/>
      <c r="D114" s="79"/>
      <c r="J114" s="79"/>
      <c r="N114" s="79"/>
      <c r="Q114" s="79"/>
      <c r="T114" s="130"/>
      <c r="V114" s="106"/>
    </row>
    <row r="115">
      <c r="C115" s="79"/>
      <c r="D115" s="79"/>
      <c r="J115" s="79"/>
      <c r="N115" s="79"/>
      <c r="Q115" s="79"/>
      <c r="T115" s="130"/>
      <c r="V115" s="106"/>
    </row>
    <row r="116">
      <c r="C116" s="79"/>
      <c r="D116" s="79"/>
      <c r="J116" s="79"/>
      <c r="N116" s="79"/>
      <c r="Q116" s="79"/>
      <c r="T116" s="130"/>
      <c r="V116" s="106"/>
    </row>
    <row r="117">
      <c r="C117" s="79"/>
      <c r="D117" s="79"/>
      <c r="J117" s="79"/>
      <c r="N117" s="79"/>
      <c r="Q117" s="79"/>
      <c r="T117" s="130"/>
      <c r="V117" s="106"/>
    </row>
    <row r="118">
      <c r="C118" s="79"/>
      <c r="D118" s="79"/>
      <c r="J118" s="79"/>
      <c r="N118" s="79"/>
      <c r="Q118" s="79"/>
      <c r="T118" s="130"/>
      <c r="V118" s="106"/>
    </row>
    <row r="119">
      <c r="C119" s="79"/>
      <c r="D119" s="79"/>
      <c r="J119" s="79"/>
      <c r="N119" s="79"/>
      <c r="Q119" s="79"/>
      <c r="T119" s="130"/>
      <c r="V119" s="106"/>
    </row>
    <row r="120">
      <c r="C120" s="79"/>
      <c r="D120" s="79"/>
      <c r="J120" s="79"/>
      <c r="N120" s="79"/>
      <c r="Q120" s="79"/>
      <c r="T120" s="130"/>
      <c r="V120" s="106"/>
    </row>
    <row r="121">
      <c r="C121" s="79"/>
      <c r="D121" s="79"/>
      <c r="J121" s="79"/>
      <c r="N121" s="79"/>
      <c r="Q121" s="79"/>
      <c r="T121" s="130"/>
      <c r="V121" s="106"/>
    </row>
    <row r="122">
      <c r="C122" s="79"/>
      <c r="D122" s="79"/>
      <c r="J122" s="79"/>
      <c r="N122" s="79"/>
      <c r="Q122" s="79"/>
      <c r="T122" s="130"/>
      <c r="V122" s="106"/>
    </row>
    <row r="123">
      <c r="C123" s="79"/>
      <c r="D123" s="79"/>
      <c r="J123" s="79"/>
      <c r="N123" s="79"/>
      <c r="Q123" s="79"/>
      <c r="T123" s="130"/>
      <c r="V123" s="106"/>
    </row>
    <row r="124">
      <c r="C124" s="79"/>
      <c r="D124" s="79"/>
      <c r="J124" s="79"/>
      <c r="N124" s="79"/>
      <c r="Q124" s="79"/>
      <c r="T124" s="130"/>
      <c r="V124" s="106"/>
    </row>
    <row r="125">
      <c r="C125" s="79"/>
      <c r="D125" s="79"/>
      <c r="J125" s="79"/>
      <c r="N125" s="79"/>
      <c r="Q125" s="79"/>
      <c r="T125" s="130"/>
      <c r="V125" s="106"/>
    </row>
    <row r="126">
      <c r="C126" s="79"/>
      <c r="D126" s="79"/>
      <c r="J126" s="79"/>
      <c r="N126" s="79"/>
      <c r="Q126" s="79"/>
      <c r="T126" s="130"/>
      <c r="V126" s="106"/>
    </row>
    <row r="127">
      <c r="C127" s="79"/>
      <c r="D127" s="79"/>
      <c r="J127" s="79"/>
      <c r="N127" s="79"/>
      <c r="Q127" s="79"/>
      <c r="T127" s="130"/>
      <c r="V127" s="106"/>
    </row>
    <row r="128">
      <c r="C128" s="79"/>
      <c r="D128" s="79"/>
      <c r="J128" s="79"/>
      <c r="N128" s="79"/>
      <c r="Q128" s="79"/>
      <c r="T128" s="130"/>
      <c r="V128" s="106"/>
    </row>
    <row r="129">
      <c r="C129" s="79"/>
      <c r="D129" s="79"/>
      <c r="J129" s="79"/>
      <c r="N129" s="79"/>
      <c r="Q129" s="79"/>
      <c r="T129" s="130"/>
      <c r="V129" s="106"/>
    </row>
    <row r="130">
      <c r="C130" s="79"/>
      <c r="D130" s="79"/>
      <c r="J130" s="79"/>
      <c r="N130" s="79"/>
      <c r="Q130" s="79"/>
      <c r="T130" s="130"/>
      <c r="V130" s="106"/>
    </row>
    <row r="131">
      <c r="C131" s="79"/>
      <c r="D131" s="79"/>
      <c r="J131" s="79"/>
      <c r="N131" s="79"/>
      <c r="Q131" s="79"/>
      <c r="T131" s="130"/>
      <c r="V131" s="106"/>
    </row>
    <row r="132">
      <c r="C132" s="79"/>
      <c r="D132" s="79"/>
      <c r="J132" s="79"/>
      <c r="N132" s="79"/>
      <c r="Q132" s="79"/>
      <c r="T132" s="130"/>
      <c r="V132" s="106"/>
    </row>
    <row r="133">
      <c r="C133" s="79"/>
      <c r="D133" s="79"/>
      <c r="J133" s="79"/>
      <c r="N133" s="79"/>
      <c r="Q133" s="79"/>
      <c r="T133" s="130"/>
      <c r="V133" s="106"/>
    </row>
    <row r="134">
      <c r="C134" s="79"/>
      <c r="D134" s="79"/>
      <c r="J134" s="79"/>
      <c r="N134" s="79"/>
      <c r="Q134" s="79"/>
      <c r="T134" s="130"/>
      <c r="V134" s="106"/>
    </row>
    <row r="135">
      <c r="C135" s="79"/>
      <c r="D135" s="79"/>
      <c r="J135" s="79"/>
      <c r="N135" s="79"/>
      <c r="Q135" s="79"/>
      <c r="T135" s="130"/>
      <c r="V135" s="106"/>
    </row>
    <row r="136">
      <c r="C136" s="79"/>
      <c r="D136" s="79"/>
      <c r="J136" s="79"/>
      <c r="N136" s="79"/>
      <c r="Q136" s="79"/>
      <c r="T136" s="130"/>
      <c r="V136" s="106"/>
    </row>
    <row r="137">
      <c r="C137" s="79"/>
      <c r="D137" s="79"/>
      <c r="J137" s="79"/>
      <c r="N137" s="79"/>
      <c r="Q137" s="79"/>
      <c r="T137" s="130"/>
      <c r="V137" s="106"/>
    </row>
    <row r="138">
      <c r="C138" s="79"/>
      <c r="D138" s="79"/>
      <c r="J138" s="79"/>
      <c r="N138" s="79"/>
      <c r="Q138" s="79"/>
      <c r="T138" s="130"/>
      <c r="V138" s="106"/>
    </row>
    <row r="139">
      <c r="C139" s="79"/>
      <c r="D139" s="79"/>
      <c r="J139" s="79"/>
      <c r="N139" s="79"/>
      <c r="Q139" s="79"/>
      <c r="T139" s="130"/>
      <c r="V139" s="106"/>
    </row>
    <row r="140">
      <c r="C140" s="79"/>
      <c r="D140" s="79"/>
      <c r="J140" s="79"/>
      <c r="N140" s="79"/>
      <c r="Q140" s="79"/>
      <c r="T140" s="130"/>
      <c r="V140" s="106"/>
    </row>
    <row r="141">
      <c r="C141" s="79"/>
      <c r="D141" s="79"/>
      <c r="J141" s="79"/>
      <c r="N141" s="79"/>
      <c r="Q141" s="79"/>
      <c r="T141" s="130"/>
      <c r="V141" s="106"/>
    </row>
    <row r="142">
      <c r="C142" s="79"/>
      <c r="D142" s="79"/>
      <c r="J142" s="79"/>
      <c r="N142" s="79"/>
      <c r="Q142" s="79"/>
      <c r="T142" s="130"/>
      <c r="V142" s="106"/>
    </row>
    <row r="143">
      <c r="C143" s="79"/>
      <c r="D143" s="79"/>
      <c r="J143" s="79"/>
      <c r="N143" s="79"/>
      <c r="Q143" s="79"/>
      <c r="T143" s="130"/>
      <c r="V143" s="106"/>
    </row>
    <row r="144">
      <c r="C144" s="79"/>
      <c r="D144" s="79"/>
      <c r="J144" s="79"/>
      <c r="N144" s="79"/>
      <c r="Q144" s="79"/>
      <c r="T144" s="130"/>
      <c r="V144" s="106"/>
    </row>
    <row r="145">
      <c r="C145" s="79"/>
      <c r="D145" s="79"/>
      <c r="J145" s="79"/>
      <c r="N145" s="79"/>
      <c r="Q145" s="79"/>
      <c r="T145" s="130"/>
      <c r="V145" s="106"/>
    </row>
    <row r="146">
      <c r="C146" s="79"/>
      <c r="D146" s="79"/>
      <c r="J146" s="79"/>
      <c r="N146" s="79"/>
      <c r="Q146" s="79"/>
      <c r="T146" s="130"/>
      <c r="V146" s="106"/>
    </row>
    <row r="147">
      <c r="C147" s="79"/>
      <c r="D147" s="79"/>
      <c r="J147" s="79"/>
      <c r="N147" s="79"/>
      <c r="Q147" s="79"/>
      <c r="T147" s="130"/>
      <c r="V147" s="106"/>
    </row>
    <row r="148">
      <c r="C148" s="79"/>
      <c r="D148" s="79"/>
      <c r="J148" s="79"/>
      <c r="N148" s="79"/>
      <c r="Q148" s="79"/>
      <c r="T148" s="130"/>
      <c r="V148" s="106"/>
    </row>
    <row r="149">
      <c r="C149" s="79"/>
      <c r="D149" s="79"/>
      <c r="J149" s="79"/>
      <c r="N149" s="79"/>
      <c r="Q149" s="79"/>
      <c r="T149" s="130"/>
      <c r="V149" s="106"/>
    </row>
    <row r="150">
      <c r="C150" s="79"/>
      <c r="D150" s="79"/>
      <c r="J150" s="79"/>
      <c r="N150" s="79"/>
      <c r="Q150" s="79"/>
      <c r="T150" s="130"/>
      <c r="V150" s="106"/>
    </row>
    <row r="151">
      <c r="C151" s="79"/>
      <c r="D151" s="79"/>
      <c r="J151" s="79"/>
      <c r="N151" s="79"/>
      <c r="Q151" s="79"/>
      <c r="T151" s="130"/>
      <c r="V151" s="106"/>
    </row>
    <row r="152">
      <c r="C152" s="79"/>
      <c r="D152" s="79"/>
      <c r="J152" s="79"/>
      <c r="N152" s="79"/>
      <c r="Q152" s="79"/>
      <c r="T152" s="130"/>
      <c r="V152" s="106"/>
    </row>
    <row r="153">
      <c r="C153" s="79"/>
      <c r="D153" s="79"/>
      <c r="J153" s="79"/>
      <c r="N153" s="79"/>
      <c r="Q153" s="79"/>
      <c r="T153" s="130"/>
      <c r="V153" s="106"/>
    </row>
    <row r="154">
      <c r="C154" s="79"/>
      <c r="D154" s="79"/>
      <c r="J154" s="79"/>
      <c r="N154" s="79"/>
      <c r="Q154" s="79"/>
      <c r="T154" s="130"/>
      <c r="V154" s="106"/>
    </row>
    <row r="155">
      <c r="C155" s="79"/>
      <c r="D155" s="79"/>
      <c r="J155" s="79"/>
      <c r="N155" s="79"/>
      <c r="Q155" s="79"/>
      <c r="T155" s="130"/>
      <c r="V155" s="106"/>
    </row>
    <row r="156">
      <c r="C156" s="79"/>
      <c r="D156" s="79"/>
      <c r="J156" s="79"/>
      <c r="N156" s="79"/>
      <c r="Q156" s="79"/>
      <c r="T156" s="130"/>
      <c r="V156" s="106"/>
    </row>
    <row r="157">
      <c r="C157" s="79"/>
      <c r="D157" s="79"/>
      <c r="J157" s="79"/>
      <c r="N157" s="79"/>
      <c r="Q157" s="79"/>
      <c r="T157" s="130"/>
      <c r="V157" s="106"/>
    </row>
    <row r="158">
      <c r="C158" s="79"/>
      <c r="D158" s="79"/>
      <c r="J158" s="79"/>
      <c r="N158" s="79"/>
      <c r="Q158" s="79"/>
      <c r="T158" s="130"/>
      <c r="V158" s="106"/>
    </row>
    <row r="159">
      <c r="C159" s="79"/>
      <c r="D159" s="79"/>
      <c r="J159" s="79"/>
      <c r="N159" s="79"/>
      <c r="Q159" s="79"/>
      <c r="T159" s="130"/>
      <c r="V159" s="106"/>
    </row>
    <row r="160">
      <c r="C160" s="79"/>
      <c r="D160" s="79"/>
      <c r="J160" s="79"/>
      <c r="N160" s="79"/>
      <c r="Q160" s="79"/>
      <c r="T160" s="130"/>
      <c r="V160" s="106"/>
    </row>
    <row r="161">
      <c r="C161" s="79"/>
      <c r="D161" s="79"/>
      <c r="J161" s="79"/>
      <c r="N161" s="79"/>
      <c r="Q161" s="79"/>
      <c r="T161" s="130"/>
      <c r="V161" s="106"/>
    </row>
    <row r="162">
      <c r="C162" s="79"/>
      <c r="D162" s="79"/>
      <c r="J162" s="79"/>
      <c r="N162" s="79"/>
      <c r="Q162" s="79"/>
      <c r="T162" s="130"/>
      <c r="V162" s="106"/>
    </row>
    <row r="163">
      <c r="C163" s="79"/>
      <c r="D163" s="79"/>
      <c r="J163" s="79"/>
      <c r="N163" s="79"/>
      <c r="Q163" s="79"/>
      <c r="T163" s="130"/>
      <c r="V163" s="106"/>
    </row>
    <row r="164">
      <c r="C164" s="79"/>
      <c r="D164" s="79"/>
      <c r="J164" s="79"/>
      <c r="N164" s="79"/>
      <c r="Q164" s="79"/>
      <c r="T164" s="130"/>
      <c r="V164" s="106"/>
    </row>
    <row r="165">
      <c r="C165" s="79"/>
      <c r="D165" s="79"/>
      <c r="J165" s="79"/>
      <c r="N165" s="79"/>
      <c r="Q165" s="79"/>
      <c r="T165" s="130"/>
      <c r="V165" s="106"/>
    </row>
    <row r="166">
      <c r="C166" s="79"/>
      <c r="D166" s="79"/>
      <c r="J166" s="79"/>
      <c r="N166" s="79"/>
      <c r="Q166" s="79"/>
      <c r="T166" s="130"/>
      <c r="V166" s="106"/>
    </row>
    <row r="167">
      <c r="C167" s="79"/>
      <c r="D167" s="79"/>
      <c r="J167" s="79"/>
      <c r="N167" s="79"/>
      <c r="Q167" s="79"/>
      <c r="T167" s="130"/>
      <c r="V167" s="106"/>
    </row>
    <row r="168">
      <c r="C168" s="79"/>
      <c r="D168" s="79"/>
      <c r="J168" s="79"/>
      <c r="N168" s="79"/>
      <c r="Q168" s="79"/>
      <c r="T168" s="130"/>
      <c r="V168" s="106"/>
    </row>
    <row r="169">
      <c r="C169" s="79"/>
      <c r="D169" s="79"/>
      <c r="J169" s="79"/>
      <c r="N169" s="79"/>
      <c r="Q169" s="79"/>
      <c r="T169" s="130"/>
      <c r="V169" s="106"/>
    </row>
    <row r="170">
      <c r="C170" s="79"/>
      <c r="D170" s="79"/>
      <c r="J170" s="79"/>
      <c r="N170" s="79"/>
      <c r="Q170" s="79"/>
      <c r="T170" s="130"/>
      <c r="V170" s="106"/>
    </row>
    <row r="171">
      <c r="C171" s="79"/>
      <c r="D171" s="79"/>
      <c r="J171" s="79"/>
      <c r="N171" s="79"/>
      <c r="Q171" s="79"/>
      <c r="T171" s="130"/>
      <c r="V171" s="106"/>
    </row>
    <row r="172">
      <c r="C172" s="79"/>
      <c r="D172" s="79"/>
      <c r="J172" s="79"/>
      <c r="N172" s="79"/>
      <c r="Q172" s="79"/>
      <c r="T172" s="130"/>
      <c r="V172" s="106"/>
    </row>
    <row r="173">
      <c r="C173" s="79"/>
      <c r="D173" s="79"/>
      <c r="J173" s="79"/>
      <c r="N173" s="79"/>
      <c r="Q173" s="79"/>
      <c r="T173" s="130"/>
      <c r="V173" s="106"/>
    </row>
    <row r="174">
      <c r="C174" s="79"/>
      <c r="D174" s="79"/>
      <c r="J174" s="79"/>
      <c r="N174" s="79"/>
      <c r="Q174" s="79"/>
      <c r="T174" s="130"/>
      <c r="V174" s="106"/>
    </row>
    <row r="175">
      <c r="C175" s="79"/>
      <c r="D175" s="79"/>
      <c r="J175" s="79"/>
      <c r="N175" s="79"/>
      <c r="Q175" s="79"/>
      <c r="T175" s="130"/>
      <c r="V175" s="106"/>
    </row>
    <row r="176">
      <c r="C176" s="79"/>
      <c r="D176" s="79"/>
      <c r="J176" s="79"/>
      <c r="N176" s="79"/>
      <c r="Q176" s="79"/>
      <c r="T176" s="130"/>
      <c r="V176" s="106"/>
    </row>
    <row r="177">
      <c r="C177" s="79"/>
      <c r="D177" s="79"/>
      <c r="J177" s="79"/>
      <c r="N177" s="79"/>
      <c r="Q177" s="79"/>
      <c r="T177" s="130"/>
      <c r="V177" s="106"/>
    </row>
    <row r="178">
      <c r="C178" s="79"/>
      <c r="D178" s="79"/>
      <c r="J178" s="79"/>
      <c r="N178" s="79"/>
      <c r="Q178" s="79"/>
      <c r="T178" s="130"/>
      <c r="V178" s="106"/>
    </row>
    <row r="179">
      <c r="C179" s="79"/>
      <c r="D179" s="79"/>
      <c r="J179" s="79"/>
      <c r="N179" s="79"/>
      <c r="Q179" s="79"/>
      <c r="T179" s="130"/>
      <c r="V179" s="106"/>
    </row>
    <row r="180">
      <c r="C180" s="79"/>
      <c r="D180" s="79"/>
      <c r="J180" s="79"/>
      <c r="N180" s="79"/>
      <c r="Q180" s="79"/>
      <c r="T180" s="130"/>
      <c r="V180" s="106"/>
    </row>
    <row r="181">
      <c r="C181" s="79"/>
      <c r="D181" s="79"/>
      <c r="J181" s="79"/>
      <c r="N181" s="79"/>
      <c r="Q181" s="79"/>
      <c r="T181" s="130"/>
      <c r="V181" s="106"/>
    </row>
    <row r="182">
      <c r="C182" s="79"/>
      <c r="D182" s="79"/>
      <c r="J182" s="79"/>
      <c r="N182" s="79"/>
      <c r="Q182" s="79"/>
      <c r="T182" s="130"/>
      <c r="V182" s="106"/>
    </row>
    <row r="183">
      <c r="C183" s="79"/>
      <c r="D183" s="79"/>
      <c r="J183" s="79"/>
      <c r="N183" s="79"/>
      <c r="Q183" s="79"/>
      <c r="T183" s="130"/>
      <c r="V183" s="106"/>
    </row>
    <row r="184">
      <c r="C184" s="79"/>
      <c r="D184" s="79"/>
      <c r="J184" s="79"/>
      <c r="N184" s="79"/>
      <c r="Q184" s="79"/>
      <c r="T184" s="130"/>
      <c r="V184" s="106"/>
    </row>
    <row r="185">
      <c r="C185" s="79"/>
      <c r="D185" s="79"/>
      <c r="J185" s="79"/>
      <c r="N185" s="79"/>
      <c r="Q185" s="79"/>
      <c r="T185" s="130"/>
      <c r="V185" s="106"/>
    </row>
    <row r="186">
      <c r="C186" s="79"/>
      <c r="D186" s="79"/>
      <c r="J186" s="79"/>
      <c r="N186" s="79"/>
      <c r="Q186" s="79"/>
      <c r="T186" s="130"/>
      <c r="V186" s="106"/>
    </row>
    <row r="187">
      <c r="C187" s="79"/>
      <c r="D187" s="79"/>
      <c r="J187" s="79"/>
      <c r="N187" s="79"/>
      <c r="Q187" s="79"/>
      <c r="T187" s="130"/>
      <c r="V187" s="106"/>
    </row>
    <row r="188">
      <c r="C188" s="79"/>
      <c r="D188" s="79"/>
      <c r="J188" s="79"/>
      <c r="N188" s="79"/>
      <c r="Q188" s="79"/>
      <c r="T188" s="130"/>
      <c r="V188" s="106"/>
    </row>
    <row r="189">
      <c r="C189" s="79"/>
      <c r="D189" s="79"/>
      <c r="J189" s="79"/>
      <c r="N189" s="79"/>
      <c r="Q189" s="79"/>
      <c r="T189" s="130"/>
      <c r="V189" s="106"/>
    </row>
    <row r="190">
      <c r="C190" s="79"/>
      <c r="D190" s="79"/>
      <c r="J190" s="79"/>
      <c r="N190" s="79"/>
      <c r="Q190" s="79"/>
      <c r="T190" s="130"/>
      <c r="V190" s="106"/>
    </row>
    <row r="191">
      <c r="C191" s="79"/>
      <c r="D191" s="79"/>
      <c r="J191" s="79"/>
      <c r="N191" s="79"/>
      <c r="Q191" s="79"/>
      <c r="T191" s="130"/>
      <c r="V191" s="106"/>
    </row>
    <row r="192">
      <c r="C192" s="79"/>
      <c r="D192" s="79"/>
      <c r="J192" s="79"/>
      <c r="N192" s="79"/>
      <c r="Q192" s="79"/>
      <c r="T192" s="130"/>
      <c r="V192" s="106"/>
    </row>
    <row r="193">
      <c r="C193" s="79"/>
      <c r="D193" s="79"/>
      <c r="J193" s="79"/>
      <c r="N193" s="79"/>
      <c r="Q193" s="79"/>
      <c r="T193" s="130"/>
      <c r="V193" s="106"/>
    </row>
    <row r="194">
      <c r="C194" s="79"/>
      <c r="D194" s="79"/>
      <c r="J194" s="79"/>
      <c r="N194" s="79"/>
      <c r="Q194" s="79"/>
      <c r="T194" s="130"/>
      <c r="V194" s="106"/>
    </row>
    <row r="195">
      <c r="C195" s="79"/>
      <c r="D195" s="79"/>
      <c r="J195" s="79"/>
      <c r="N195" s="79"/>
      <c r="Q195" s="79"/>
      <c r="T195" s="130"/>
      <c r="V195" s="106"/>
    </row>
    <row r="196">
      <c r="C196" s="79"/>
      <c r="D196" s="79"/>
      <c r="J196" s="79"/>
      <c r="N196" s="79"/>
      <c r="Q196" s="79"/>
      <c r="T196" s="130"/>
      <c r="V196" s="106"/>
    </row>
    <row r="197">
      <c r="C197" s="79"/>
      <c r="D197" s="79"/>
      <c r="J197" s="79"/>
      <c r="N197" s="79"/>
      <c r="Q197" s="79"/>
      <c r="T197" s="130"/>
      <c r="V197" s="106"/>
    </row>
    <row r="198">
      <c r="C198" s="79"/>
      <c r="D198" s="79"/>
      <c r="J198" s="79"/>
      <c r="N198" s="79"/>
      <c r="Q198" s="79"/>
      <c r="T198" s="130"/>
      <c r="V198" s="106"/>
    </row>
    <row r="199">
      <c r="C199" s="79"/>
      <c r="D199" s="79"/>
      <c r="J199" s="79"/>
      <c r="N199" s="79"/>
      <c r="Q199" s="79"/>
      <c r="T199" s="130"/>
      <c r="V199" s="106"/>
    </row>
    <row r="200">
      <c r="C200" s="79"/>
      <c r="D200" s="79"/>
      <c r="J200" s="79"/>
      <c r="N200" s="79"/>
      <c r="Q200" s="79"/>
      <c r="T200" s="130"/>
      <c r="V200" s="106"/>
    </row>
    <row r="201">
      <c r="C201" s="79"/>
      <c r="D201" s="79"/>
      <c r="J201" s="79"/>
      <c r="N201" s="79"/>
      <c r="Q201" s="79"/>
      <c r="T201" s="130"/>
      <c r="V201" s="106"/>
    </row>
    <row r="202">
      <c r="C202" s="79"/>
      <c r="D202" s="79"/>
      <c r="J202" s="79"/>
      <c r="N202" s="79"/>
      <c r="Q202" s="79"/>
      <c r="T202" s="130"/>
      <c r="V202" s="106"/>
    </row>
    <row r="203">
      <c r="C203" s="79"/>
      <c r="D203" s="79"/>
      <c r="J203" s="79"/>
      <c r="N203" s="79"/>
      <c r="Q203" s="79"/>
      <c r="T203" s="130"/>
      <c r="V203" s="106"/>
    </row>
    <row r="204">
      <c r="C204" s="79"/>
      <c r="D204" s="79"/>
      <c r="J204" s="79"/>
      <c r="N204" s="79"/>
      <c r="Q204" s="79"/>
      <c r="T204" s="130"/>
      <c r="V204" s="106"/>
    </row>
    <row r="205">
      <c r="C205" s="79"/>
      <c r="D205" s="79"/>
      <c r="J205" s="79"/>
      <c r="N205" s="79"/>
      <c r="Q205" s="79"/>
      <c r="T205" s="130"/>
      <c r="V205" s="106"/>
    </row>
    <row r="206">
      <c r="C206" s="79"/>
      <c r="D206" s="79"/>
      <c r="J206" s="79"/>
      <c r="N206" s="79"/>
      <c r="Q206" s="79"/>
      <c r="T206" s="130"/>
      <c r="V206" s="106"/>
    </row>
    <row r="207">
      <c r="C207" s="79"/>
      <c r="D207" s="79"/>
      <c r="J207" s="79"/>
      <c r="N207" s="79"/>
      <c r="Q207" s="79"/>
      <c r="T207" s="130"/>
      <c r="V207" s="106"/>
    </row>
    <row r="208">
      <c r="C208" s="79"/>
      <c r="D208" s="79"/>
      <c r="J208" s="79"/>
      <c r="N208" s="79"/>
      <c r="Q208" s="79"/>
      <c r="T208" s="130"/>
      <c r="V208" s="106"/>
    </row>
    <row r="209">
      <c r="C209" s="79"/>
      <c r="D209" s="79"/>
      <c r="J209" s="79"/>
      <c r="N209" s="79"/>
      <c r="Q209" s="79"/>
      <c r="T209" s="130"/>
      <c r="V209" s="106"/>
    </row>
    <row r="210">
      <c r="C210" s="79"/>
      <c r="D210" s="79"/>
      <c r="J210" s="79"/>
      <c r="N210" s="79"/>
      <c r="Q210" s="79"/>
      <c r="T210" s="130"/>
      <c r="V210" s="106"/>
    </row>
    <row r="211">
      <c r="C211" s="79"/>
      <c r="D211" s="79"/>
      <c r="J211" s="79"/>
      <c r="N211" s="79"/>
      <c r="Q211" s="79"/>
      <c r="T211" s="130"/>
      <c r="V211" s="106"/>
    </row>
    <row r="212">
      <c r="C212" s="79"/>
      <c r="D212" s="79"/>
      <c r="J212" s="79"/>
      <c r="N212" s="79"/>
      <c r="Q212" s="79"/>
      <c r="T212" s="130"/>
      <c r="V212" s="106"/>
    </row>
    <row r="213">
      <c r="C213" s="79"/>
      <c r="D213" s="79"/>
      <c r="J213" s="79"/>
      <c r="N213" s="79"/>
      <c r="Q213" s="79"/>
      <c r="T213" s="130"/>
      <c r="V213" s="106"/>
    </row>
    <row r="214">
      <c r="C214" s="79"/>
      <c r="D214" s="79"/>
      <c r="J214" s="79"/>
      <c r="N214" s="79"/>
      <c r="Q214" s="79"/>
      <c r="T214" s="130"/>
      <c r="V214" s="106"/>
    </row>
    <row r="215">
      <c r="C215" s="79"/>
      <c r="D215" s="79"/>
      <c r="J215" s="79"/>
      <c r="N215" s="79"/>
      <c r="Q215" s="79"/>
      <c r="T215" s="130"/>
      <c r="V215" s="106"/>
    </row>
    <row r="216">
      <c r="C216" s="79"/>
      <c r="D216" s="79"/>
      <c r="J216" s="79"/>
      <c r="N216" s="79"/>
      <c r="Q216" s="79"/>
      <c r="T216" s="130"/>
      <c r="V216" s="106"/>
    </row>
    <row r="217">
      <c r="C217" s="79"/>
      <c r="D217" s="79"/>
      <c r="J217" s="79"/>
      <c r="N217" s="79"/>
      <c r="Q217" s="79"/>
      <c r="T217" s="130"/>
      <c r="V217" s="106"/>
    </row>
    <row r="218">
      <c r="C218" s="79"/>
      <c r="D218" s="79"/>
      <c r="J218" s="79"/>
      <c r="N218" s="79"/>
      <c r="Q218" s="79"/>
      <c r="T218" s="130"/>
      <c r="V218" s="106"/>
    </row>
    <row r="219">
      <c r="C219" s="79"/>
      <c r="D219" s="79"/>
      <c r="J219" s="79"/>
      <c r="N219" s="79"/>
      <c r="Q219" s="79"/>
      <c r="T219" s="130"/>
      <c r="V219" s="106"/>
    </row>
    <row r="220">
      <c r="C220" s="79"/>
      <c r="D220" s="79"/>
      <c r="J220" s="79"/>
      <c r="N220" s="79"/>
      <c r="Q220" s="79"/>
      <c r="T220" s="130"/>
      <c r="V220" s="106"/>
    </row>
    <row r="221">
      <c r="C221" s="79"/>
      <c r="D221" s="79"/>
      <c r="J221" s="79"/>
      <c r="N221" s="79"/>
      <c r="Q221" s="79"/>
      <c r="T221" s="130"/>
      <c r="V221" s="106"/>
    </row>
    <row r="222">
      <c r="C222" s="79"/>
      <c r="D222" s="79"/>
      <c r="J222" s="79"/>
      <c r="N222" s="79"/>
      <c r="Q222" s="79"/>
      <c r="T222" s="130"/>
      <c r="V222" s="106"/>
    </row>
    <row r="223">
      <c r="C223" s="79"/>
      <c r="D223" s="79"/>
      <c r="J223" s="79"/>
      <c r="N223" s="79"/>
      <c r="Q223" s="79"/>
      <c r="T223" s="130"/>
      <c r="V223" s="106"/>
    </row>
    <row r="224">
      <c r="C224" s="79"/>
      <c r="D224" s="79"/>
      <c r="J224" s="79"/>
      <c r="N224" s="79"/>
      <c r="Q224" s="79"/>
      <c r="T224" s="130"/>
      <c r="V224" s="106"/>
    </row>
    <row r="225">
      <c r="C225" s="79"/>
      <c r="D225" s="79"/>
      <c r="J225" s="79"/>
      <c r="N225" s="79"/>
      <c r="Q225" s="79"/>
      <c r="T225" s="130"/>
      <c r="V225" s="106"/>
    </row>
    <row r="226">
      <c r="C226" s="79"/>
      <c r="D226" s="79"/>
      <c r="J226" s="79"/>
      <c r="N226" s="79"/>
      <c r="Q226" s="79"/>
      <c r="T226" s="130"/>
      <c r="V226" s="106"/>
    </row>
    <row r="227">
      <c r="C227" s="79"/>
      <c r="D227" s="79"/>
      <c r="J227" s="79"/>
      <c r="N227" s="79"/>
      <c r="Q227" s="79"/>
      <c r="T227" s="130"/>
      <c r="V227" s="106"/>
    </row>
    <row r="228">
      <c r="C228" s="79"/>
      <c r="D228" s="79"/>
      <c r="J228" s="79"/>
      <c r="N228" s="79"/>
      <c r="Q228" s="79"/>
      <c r="T228" s="130"/>
      <c r="V228" s="106"/>
    </row>
    <row r="229">
      <c r="C229" s="79"/>
      <c r="D229" s="79"/>
      <c r="J229" s="79"/>
      <c r="N229" s="79"/>
      <c r="Q229" s="79"/>
      <c r="T229" s="130"/>
      <c r="V229" s="106"/>
    </row>
    <row r="230">
      <c r="C230" s="79"/>
      <c r="D230" s="79"/>
      <c r="J230" s="79"/>
      <c r="N230" s="79"/>
      <c r="Q230" s="79"/>
      <c r="T230" s="130"/>
      <c r="V230" s="106"/>
    </row>
    <row r="231">
      <c r="C231" s="79"/>
      <c r="D231" s="79"/>
      <c r="J231" s="79"/>
      <c r="N231" s="79"/>
      <c r="Q231" s="79"/>
      <c r="T231" s="130"/>
      <c r="V231" s="106"/>
    </row>
    <row r="232">
      <c r="C232" s="79"/>
      <c r="D232" s="79"/>
      <c r="J232" s="79"/>
      <c r="N232" s="79"/>
      <c r="Q232" s="79"/>
      <c r="T232" s="130"/>
      <c r="V232" s="106"/>
    </row>
    <row r="233">
      <c r="C233" s="79"/>
      <c r="D233" s="79"/>
      <c r="J233" s="79"/>
      <c r="N233" s="79"/>
      <c r="Q233" s="79"/>
      <c r="T233" s="130"/>
      <c r="V233" s="106"/>
    </row>
    <row r="234">
      <c r="C234" s="79"/>
      <c r="D234" s="79"/>
      <c r="J234" s="79"/>
      <c r="N234" s="79"/>
      <c r="Q234" s="79"/>
      <c r="T234" s="130"/>
      <c r="V234" s="106"/>
    </row>
    <row r="235">
      <c r="C235" s="79"/>
      <c r="D235" s="79"/>
      <c r="J235" s="79"/>
      <c r="N235" s="79"/>
      <c r="Q235" s="79"/>
      <c r="T235" s="130"/>
      <c r="V235" s="106"/>
    </row>
    <row r="236">
      <c r="C236" s="79"/>
      <c r="D236" s="79"/>
      <c r="J236" s="79"/>
      <c r="N236" s="79"/>
      <c r="Q236" s="79"/>
      <c r="T236" s="130"/>
      <c r="V236" s="106"/>
    </row>
    <row r="237">
      <c r="C237" s="79"/>
      <c r="D237" s="79"/>
      <c r="J237" s="79"/>
      <c r="N237" s="79"/>
      <c r="Q237" s="79"/>
      <c r="T237" s="130"/>
      <c r="V237" s="106"/>
    </row>
    <row r="238">
      <c r="C238" s="79"/>
      <c r="D238" s="79"/>
      <c r="J238" s="79"/>
      <c r="N238" s="79"/>
      <c r="Q238" s="79"/>
      <c r="T238" s="130"/>
      <c r="V238" s="106"/>
    </row>
    <row r="239">
      <c r="C239" s="79"/>
      <c r="D239" s="79"/>
      <c r="J239" s="79"/>
      <c r="N239" s="79"/>
      <c r="Q239" s="79"/>
      <c r="T239" s="130"/>
      <c r="V239" s="106"/>
    </row>
    <row r="240">
      <c r="C240" s="79"/>
      <c r="D240" s="79"/>
      <c r="J240" s="79"/>
      <c r="N240" s="79"/>
      <c r="Q240" s="79"/>
      <c r="T240" s="130"/>
      <c r="V240" s="106"/>
    </row>
    <row r="241">
      <c r="C241" s="79"/>
      <c r="D241" s="79"/>
      <c r="J241" s="79"/>
      <c r="N241" s="79"/>
      <c r="Q241" s="79"/>
      <c r="T241" s="130"/>
      <c r="V241" s="106"/>
    </row>
    <row r="242">
      <c r="C242" s="79"/>
      <c r="D242" s="79"/>
      <c r="J242" s="79"/>
      <c r="N242" s="79"/>
      <c r="Q242" s="79"/>
      <c r="T242" s="130"/>
      <c r="V242" s="106"/>
    </row>
    <row r="243">
      <c r="C243" s="79"/>
      <c r="D243" s="79"/>
      <c r="J243" s="79"/>
      <c r="N243" s="79"/>
      <c r="Q243" s="79"/>
      <c r="T243" s="130"/>
      <c r="V243" s="106"/>
    </row>
    <row r="244">
      <c r="C244" s="79"/>
      <c r="D244" s="79"/>
      <c r="J244" s="79"/>
      <c r="N244" s="79"/>
      <c r="Q244" s="79"/>
      <c r="T244" s="130"/>
      <c r="V244" s="106"/>
    </row>
    <row r="245">
      <c r="C245" s="79"/>
      <c r="D245" s="79"/>
      <c r="J245" s="79"/>
      <c r="N245" s="79"/>
      <c r="Q245" s="79"/>
      <c r="T245" s="130"/>
      <c r="V245" s="106"/>
    </row>
    <row r="246">
      <c r="C246" s="79"/>
      <c r="D246" s="79"/>
      <c r="J246" s="79"/>
      <c r="N246" s="79"/>
      <c r="Q246" s="79"/>
      <c r="T246" s="130"/>
      <c r="V246" s="106"/>
    </row>
    <row r="247">
      <c r="C247" s="79"/>
      <c r="D247" s="79"/>
      <c r="J247" s="79"/>
      <c r="N247" s="79"/>
      <c r="Q247" s="79"/>
      <c r="T247" s="130"/>
      <c r="V247" s="106"/>
    </row>
    <row r="248">
      <c r="C248" s="79"/>
      <c r="D248" s="79"/>
      <c r="J248" s="79"/>
      <c r="N248" s="79"/>
      <c r="Q248" s="79"/>
      <c r="T248" s="130"/>
      <c r="V248" s="106"/>
    </row>
    <row r="249">
      <c r="C249" s="79"/>
      <c r="D249" s="79"/>
      <c r="J249" s="79"/>
      <c r="N249" s="79"/>
      <c r="Q249" s="79"/>
      <c r="T249" s="130"/>
      <c r="V249" s="106"/>
    </row>
    <row r="250">
      <c r="C250" s="79"/>
      <c r="D250" s="79"/>
      <c r="J250" s="79"/>
      <c r="N250" s="79"/>
      <c r="Q250" s="79"/>
      <c r="T250" s="130"/>
      <c r="V250" s="106"/>
    </row>
    <row r="251">
      <c r="C251" s="79"/>
      <c r="D251" s="79"/>
      <c r="J251" s="79"/>
      <c r="N251" s="79"/>
      <c r="Q251" s="79"/>
      <c r="T251" s="130"/>
      <c r="V251" s="106"/>
    </row>
    <row r="252">
      <c r="C252" s="79"/>
      <c r="D252" s="79"/>
      <c r="J252" s="79"/>
      <c r="N252" s="79"/>
      <c r="Q252" s="79"/>
      <c r="T252" s="130"/>
      <c r="V252" s="106"/>
    </row>
    <row r="253">
      <c r="C253" s="79"/>
      <c r="D253" s="79"/>
      <c r="J253" s="79"/>
      <c r="N253" s="79"/>
      <c r="Q253" s="79"/>
      <c r="T253" s="130"/>
      <c r="V253" s="106"/>
    </row>
    <row r="254">
      <c r="C254" s="79"/>
      <c r="D254" s="79"/>
      <c r="J254" s="79"/>
      <c r="N254" s="79"/>
      <c r="Q254" s="79"/>
      <c r="T254" s="130"/>
      <c r="V254" s="106"/>
    </row>
    <row r="255">
      <c r="C255" s="79"/>
      <c r="D255" s="79"/>
      <c r="J255" s="79"/>
      <c r="N255" s="79"/>
      <c r="Q255" s="79"/>
      <c r="T255" s="130"/>
      <c r="V255" s="106"/>
    </row>
    <row r="256">
      <c r="C256" s="79"/>
      <c r="D256" s="79"/>
      <c r="J256" s="79"/>
      <c r="N256" s="79"/>
      <c r="Q256" s="79"/>
      <c r="T256" s="130"/>
      <c r="V256" s="106"/>
    </row>
    <row r="257">
      <c r="C257" s="79"/>
      <c r="D257" s="79"/>
      <c r="J257" s="79"/>
      <c r="N257" s="79"/>
      <c r="Q257" s="79"/>
      <c r="T257" s="130"/>
      <c r="V257" s="106"/>
    </row>
    <row r="258">
      <c r="C258" s="79"/>
      <c r="D258" s="79"/>
      <c r="J258" s="79"/>
      <c r="N258" s="79"/>
      <c r="Q258" s="79"/>
      <c r="T258" s="130"/>
      <c r="V258" s="106"/>
    </row>
    <row r="259">
      <c r="C259" s="79"/>
      <c r="D259" s="79"/>
      <c r="J259" s="79"/>
      <c r="N259" s="79"/>
      <c r="Q259" s="79"/>
      <c r="T259" s="130"/>
      <c r="V259" s="106"/>
    </row>
    <row r="260">
      <c r="C260" s="79"/>
      <c r="D260" s="79"/>
      <c r="J260" s="79"/>
      <c r="N260" s="79"/>
      <c r="Q260" s="79"/>
      <c r="T260" s="130"/>
      <c r="V260" s="106"/>
    </row>
    <row r="261">
      <c r="C261" s="79"/>
      <c r="D261" s="79"/>
      <c r="J261" s="79"/>
      <c r="N261" s="79"/>
      <c r="Q261" s="79"/>
      <c r="T261" s="130"/>
      <c r="V261" s="106"/>
    </row>
    <row r="262">
      <c r="C262" s="79"/>
      <c r="D262" s="79"/>
      <c r="J262" s="79"/>
      <c r="N262" s="79"/>
      <c r="Q262" s="79"/>
      <c r="T262" s="130"/>
      <c r="V262" s="106"/>
    </row>
    <row r="263">
      <c r="C263" s="79"/>
      <c r="D263" s="79"/>
      <c r="J263" s="79"/>
      <c r="N263" s="79"/>
      <c r="Q263" s="79"/>
      <c r="T263" s="130"/>
      <c r="V263" s="106"/>
    </row>
    <row r="264">
      <c r="C264" s="79"/>
      <c r="D264" s="79"/>
      <c r="J264" s="79"/>
      <c r="N264" s="79"/>
      <c r="Q264" s="79"/>
      <c r="T264" s="130"/>
      <c r="V264" s="106"/>
    </row>
    <row r="265">
      <c r="C265" s="79"/>
      <c r="D265" s="79"/>
      <c r="J265" s="79"/>
      <c r="N265" s="79"/>
      <c r="Q265" s="79"/>
      <c r="T265" s="130"/>
      <c r="V265" s="106"/>
    </row>
    <row r="266">
      <c r="C266" s="79"/>
      <c r="D266" s="79"/>
      <c r="J266" s="79"/>
      <c r="N266" s="79"/>
      <c r="Q266" s="79"/>
      <c r="T266" s="130"/>
      <c r="V266" s="106"/>
    </row>
    <row r="267">
      <c r="C267" s="79"/>
      <c r="D267" s="79"/>
      <c r="J267" s="79"/>
      <c r="N267" s="79"/>
      <c r="Q267" s="79"/>
      <c r="T267" s="130"/>
      <c r="V267" s="106"/>
    </row>
    <row r="268">
      <c r="C268" s="79"/>
      <c r="D268" s="79"/>
      <c r="J268" s="79"/>
      <c r="N268" s="79"/>
      <c r="Q268" s="79"/>
      <c r="T268" s="130"/>
      <c r="V268" s="106"/>
    </row>
    <row r="269">
      <c r="C269" s="79"/>
      <c r="D269" s="79"/>
      <c r="J269" s="79"/>
      <c r="N269" s="79"/>
      <c r="Q269" s="79"/>
      <c r="T269" s="130"/>
      <c r="V269" s="106"/>
    </row>
    <row r="270">
      <c r="C270" s="79"/>
      <c r="D270" s="79"/>
      <c r="J270" s="79"/>
      <c r="N270" s="79"/>
      <c r="Q270" s="79"/>
      <c r="T270" s="130"/>
      <c r="V270" s="106"/>
    </row>
    <row r="271">
      <c r="C271" s="79"/>
      <c r="D271" s="79"/>
      <c r="J271" s="79"/>
      <c r="N271" s="79"/>
      <c r="Q271" s="79"/>
      <c r="T271" s="130"/>
      <c r="V271" s="106"/>
    </row>
    <row r="272">
      <c r="C272" s="79"/>
      <c r="D272" s="79"/>
      <c r="J272" s="79"/>
      <c r="N272" s="79"/>
      <c r="Q272" s="79"/>
      <c r="T272" s="130"/>
      <c r="V272" s="106"/>
    </row>
    <row r="273">
      <c r="C273" s="79"/>
      <c r="D273" s="79"/>
      <c r="J273" s="79"/>
      <c r="N273" s="79"/>
      <c r="Q273" s="79"/>
      <c r="T273" s="130"/>
      <c r="V273" s="106"/>
    </row>
    <row r="274">
      <c r="C274" s="79"/>
      <c r="D274" s="79"/>
      <c r="J274" s="79"/>
      <c r="N274" s="79"/>
      <c r="Q274" s="79"/>
      <c r="T274" s="130"/>
      <c r="V274" s="106"/>
    </row>
    <row r="275">
      <c r="C275" s="79"/>
      <c r="D275" s="79"/>
      <c r="J275" s="79"/>
      <c r="N275" s="79"/>
      <c r="Q275" s="79"/>
      <c r="T275" s="130"/>
      <c r="V275" s="106"/>
    </row>
    <row r="276">
      <c r="C276" s="79"/>
      <c r="D276" s="79"/>
      <c r="J276" s="79"/>
      <c r="N276" s="79"/>
      <c r="Q276" s="79"/>
      <c r="T276" s="130"/>
      <c r="V276" s="106"/>
    </row>
    <row r="277">
      <c r="C277" s="79"/>
      <c r="D277" s="79"/>
      <c r="J277" s="79"/>
      <c r="N277" s="79"/>
      <c r="Q277" s="79"/>
      <c r="T277" s="130"/>
      <c r="V277" s="106"/>
    </row>
    <row r="278">
      <c r="C278" s="79"/>
      <c r="D278" s="79"/>
      <c r="J278" s="79"/>
      <c r="N278" s="79"/>
      <c r="Q278" s="79"/>
      <c r="T278" s="130"/>
      <c r="V278" s="106"/>
    </row>
    <row r="279">
      <c r="C279" s="79"/>
      <c r="D279" s="79"/>
      <c r="J279" s="79"/>
      <c r="N279" s="79"/>
      <c r="Q279" s="79"/>
      <c r="T279" s="130"/>
      <c r="V279" s="106"/>
    </row>
    <row r="280">
      <c r="C280" s="79"/>
      <c r="D280" s="79"/>
      <c r="J280" s="79"/>
      <c r="N280" s="79"/>
      <c r="Q280" s="79"/>
      <c r="T280" s="130"/>
      <c r="V280" s="106"/>
    </row>
    <row r="281">
      <c r="C281" s="79"/>
      <c r="D281" s="79"/>
      <c r="J281" s="79"/>
      <c r="N281" s="79"/>
      <c r="Q281" s="79"/>
      <c r="T281" s="130"/>
      <c r="V281" s="106"/>
    </row>
    <row r="282">
      <c r="C282" s="79"/>
      <c r="D282" s="79"/>
      <c r="J282" s="79"/>
      <c r="N282" s="79"/>
      <c r="Q282" s="79"/>
      <c r="T282" s="130"/>
      <c r="V282" s="106"/>
    </row>
    <row r="283">
      <c r="C283" s="79"/>
      <c r="D283" s="79"/>
      <c r="J283" s="79"/>
      <c r="N283" s="79"/>
      <c r="Q283" s="79"/>
      <c r="T283" s="130"/>
      <c r="V283" s="106"/>
    </row>
    <row r="284">
      <c r="C284" s="79"/>
      <c r="D284" s="79"/>
      <c r="J284" s="79"/>
      <c r="N284" s="79"/>
      <c r="Q284" s="79"/>
      <c r="T284" s="130"/>
      <c r="V284" s="106"/>
    </row>
    <row r="285">
      <c r="C285" s="79"/>
      <c r="D285" s="79"/>
      <c r="J285" s="79"/>
      <c r="N285" s="79"/>
      <c r="Q285" s="79"/>
      <c r="T285" s="130"/>
      <c r="V285" s="106"/>
    </row>
    <row r="286">
      <c r="C286" s="79"/>
      <c r="D286" s="79"/>
      <c r="J286" s="79"/>
      <c r="N286" s="79"/>
      <c r="Q286" s="79"/>
      <c r="T286" s="130"/>
      <c r="V286" s="106"/>
    </row>
    <row r="287">
      <c r="C287" s="79"/>
      <c r="D287" s="79"/>
      <c r="J287" s="79"/>
      <c r="N287" s="79"/>
      <c r="Q287" s="79"/>
      <c r="T287" s="130"/>
      <c r="V287" s="106"/>
    </row>
    <row r="288">
      <c r="C288" s="79"/>
      <c r="D288" s="79"/>
      <c r="J288" s="79"/>
      <c r="N288" s="79"/>
      <c r="Q288" s="79"/>
      <c r="T288" s="130"/>
      <c r="V288" s="106"/>
    </row>
    <row r="289">
      <c r="C289" s="79"/>
      <c r="D289" s="79"/>
      <c r="J289" s="79"/>
      <c r="N289" s="79"/>
      <c r="Q289" s="79"/>
      <c r="T289" s="130"/>
      <c r="V289" s="106"/>
    </row>
    <row r="290">
      <c r="C290" s="79"/>
      <c r="D290" s="79"/>
      <c r="J290" s="79"/>
      <c r="N290" s="79"/>
      <c r="Q290" s="79"/>
      <c r="T290" s="130"/>
      <c r="V290" s="106"/>
    </row>
    <row r="291">
      <c r="C291" s="79"/>
      <c r="D291" s="79"/>
      <c r="J291" s="79"/>
      <c r="N291" s="79"/>
      <c r="Q291" s="79"/>
      <c r="T291" s="130"/>
      <c r="V291" s="106"/>
    </row>
    <row r="292">
      <c r="C292" s="79"/>
      <c r="D292" s="79"/>
      <c r="J292" s="79"/>
      <c r="N292" s="79"/>
      <c r="Q292" s="79"/>
      <c r="T292" s="130"/>
      <c r="V292" s="106"/>
    </row>
    <row r="293">
      <c r="C293" s="79"/>
      <c r="D293" s="79"/>
      <c r="J293" s="79"/>
      <c r="N293" s="79"/>
      <c r="Q293" s="79"/>
      <c r="T293" s="130"/>
      <c r="V293" s="106"/>
    </row>
    <row r="294">
      <c r="C294" s="79"/>
      <c r="D294" s="79"/>
      <c r="J294" s="79"/>
      <c r="N294" s="79"/>
      <c r="Q294" s="79"/>
      <c r="T294" s="130"/>
      <c r="V294" s="106"/>
    </row>
    <row r="295">
      <c r="C295" s="79"/>
      <c r="D295" s="79"/>
      <c r="J295" s="79"/>
      <c r="N295" s="79"/>
      <c r="Q295" s="79"/>
      <c r="T295" s="130"/>
      <c r="V295" s="106"/>
    </row>
    <row r="296">
      <c r="C296" s="79"/>
      <c r="D296" s="79"/>
      <c r="J296" s="79"/>
      <c r="N296" s="79"/>
      <c r="Q296" s="79"/>
      <c r="T296" s="130"/>
      <c r="V296" s="106"/>
    </row>
    <row r="297">
      <c r="C297" s="79"/>
      <c r="D297" s="79"/>
      <c r="J297" s="79"/>
      <c r="N297" s="79"/>
      <c r="Q297" s="79"/>
      <c r="T297" s="130"/>
      <c r="V297" s="106"/>
    </row>
    <row r="298">
      <c r="C298" s="79"/>
      <c r="D298" s="79"/>
      <c r="J298" s="79"/>
      <c r="N298" s="79"/>
      <c r="Q298" s="79"/>
      <c r="T298" s="130"/>
      <c r="V298" s="106"/>
    </row>
    <row r="299">
      <c r="C299" s="79"/>
      <c r="D299" s="79"/>
      <c r="J299" s="79"/>
      <c r="N299" s="79"/>
      <c r="Q299" s="79"/>
      <c r="T299" s="130"/>
      <c r="V299" s="106"/>
    </row>
    <row r="300">
      <c r="C300" s="79"/>
      <c r="D300" s="79"/>
      <c r="J300" s="79"/>
      <c r="N300" s="79"/>
      <c r="Q300" s="79"/>
      <c r="T300" s="130"/>
      <c r="V300" s="106"/>
    </row>
    <row r="301">
      <c r="C301" s="79"/>
      <c r="D301" s="79"/>
      <c r="J301" s="79"/>
      <c r="N301" s="79"/>
      <c r="Q301" s="79"/>
      <c r="T301" s="130"/>
      <c r="V301" s="106"/>
    </row>
    <row r="302">
      <c r="C302" s="79"/>
      <c r="D302" s="79"/>
      <c r="J302" s="79"/>
      <c r="N302" s="79"/>
      <c r="Q302" s="79"/>
      <c r="T302" s="130"/>
      <c r="V302" s="106"/>
    </row>
    <row r="303">
      <c r="C303" s="79"/>
      <c r="D303" s="79"/>
      <c r="J303" s="79"/>
      <c r="N303" s="79"/>
      <c r="Q303" s="79"/>
      <c r="T303" s="130"/>
      <c r="V303" s="106"/>
    </row>
    <row r="304">
      <c r="C304" s="79"/>
      <c r="D304" s="79"/>
      <c r="J304" s="79"/>
      <c r="N304" s="79"/>
      <c r="Q304" s="79"/>
      <c r="T304" s="130"/>
      <c r="V304" s="106"/>
    </row>
    <row r="305">
      <c r="C305" s="79"/>
      <c r="D305" s="79"/>
      <c r="J305" s="79"/>
      <c r="N305" s="79"/>
      <c r="Q305" s="79"/>
      <c r="T305" s="130"/>
      <c r="V305" s="106"/>
    </row>
    <row r="306">
      <c r="C306" s="79"/>
      <c r="D306" s="79"/>
      <c r="J306" s="79"/>
      <c r="N306" s="79"/>
      <c r="Q306" s="79"/>
      <c r="T306" s="130"/>
      <c r="V306" s="106"/>
    </row>
    <row r="307">
      <c r="C307" s="79"/>
      <c r="D307" s="79"/>
      <c r="J307" s="79"/>
      <c r="N307" s="79"/>
      <c r="Q307" s="79"/>
      <c r="T307" s="130"/>
      <c r="V307" s="106"/>
    </row>
    <row r="308">
      <c r="C308" s="79"/>
      <c r="D308" s="79"/>
      <c r="J308" s="79"/>
      <c r="N308" s="79"/>
      <c r="Q308" s="79"/>
      <c r="T308" s="130"/>
      <c r="V308" s="106"/>
    </row>
    <row r="309">
      <c r="C309" s="79"/>
      <c r="D309" s="79"/>
      <c r="J309" s="79"/>
      <c r="N309" s="79"/>
      <c r="Q309" s="79"/>
      <c r="T309" s="130"/>
      <c r="V309" s="106"/>
    </row>
    <row r="310">
      <c r="C310" s="79"/>
      <c r="D310" s="79"/>
      <c r="J310" s="79"/>
      <c r="N310" s="79"/>
      <c r="Q310" s="79"/>
      <c r="T310" s="130"/>
      <c r="V310" s="106"/>
    </row>
    <row r="311">
      <c r="C311" s="79"/>
      <c r="D311" s="79"/>
      <c r="J311" s="79"/>
      <c r="N311" s="79"/>
      <c r="Q311" s="79"/>
      <c r="T311" s="130"/>
      <c r="V311" s="106"/>
    </row>
    <row r="312">
      <c r="C312" s="79"/>
      <c r="D312" s="79"/>
      <c r="J312" s="79"/>
      <c r="N312" s="79"/>
      <c r="Q312" s="79"/>
      <c r="T312" s="130"/>
      <c r="V312" s="106"/>
    </row>
    <row r="313">
      <c r="C313" s="79"/>
      <c r="D313" s="79"/>
      <c r="J313" s="79"/>
      <c r="N313" s="79"/>
      <c r="Q313" s="79"/>
      <c r="T313" s="130"/>
      <c r="V313" s="106"/>
    </row>
    <row r="314">
      <c r="C314" s="79"/>
      <c r="D314" s="79"/>
      <c r="J314" s="79"/>
      <c r="N314" s="79"/>
      <c r="Q314" s="79"/>
      <c r="T314" s="130"/>
      <c r="V314" s="106"/>
    </row>
    <row r="315">
      <c r="C315" s="79"/>
      <c r="D315" s="79"/>
      <c r="J315" s="79"/>
      <c r="N315" s="79"/>
      <c r="Q315" s="79"/>
      <c r="T315" s="130"/>
      <c r="V315" s="106"/>
    </row>
    <row r="316">
      <c r="C316" s="79"/>
      <c r="D316" s="79"/>
      <c r="J316" s="79"/>
      <c r="N316" s="79"/>
      <c r="Q316" s="79"/>
      <c r="T316" s="130"/>
      <c r="V316" s="106"/>
    </row>
    <row r="317">
      <c r="C317" s="79"/>
      <c r="D317" s="79"/>
      <c r="J317" s="79"/>
      <c r="N317" s="79"/>
      <c r="Q317" s="79"/>
      <c r="T317" s="130"/>
      <c r="V317" s="106"/>
    </row>
    <row r="318">
      <c r="C318" s="79"/>
      <c r="D318" s="79"/>
      <c r="J318" s="79"/>
      <c r="N318" s="79"/>
      <c r="Q318" s="79"/>
      <c r="T318" s="130"/>
      <c r="V318" s="106"/>
    </row>
    <row r="319">
      <c r="C319" s="79"/>
      <c r="D319" s="79"/>
      <c r="J319" s="79"/>
      <c r="N319" s="79"/>
      <c r="Q319" s="79"/>
      <c r="T319" s="130"/>
      <c r="V319" s="106"/>
    </row>
    <row r="320">
      <c r="C320" s="79"/>
      <c r="D320" s="79"/>
      <c r="J320" s="79"/>
      <c r="N320" s="79"/>
      <c r="Q320" s="79"/>
      <c r="T320" s="130"/>
      <c r="V320" s="106"/>
    </row>
    <row r="321">
      <c r="C321" s="79"/>
      <c r="D321" s="79"/>
      <c r="J321" s="79"/>
      <c r="N321" s="79"/>
      <c r="Q321" s="79"/>
      <c r="T321" s="130"/>
      <c r="V321" s="106"/>
    </row>
    <row r="322">
      <c r="C322" s="79"/>
      <c r="D322" s="79"/>
      <c r="J322" s="79"/>
      <c r="N322" s="79"/>
      <c r="Q322" s="79"/>
      <c r="T322" s="130"/>
      <c r="V322" s="106"/>
    </row>
    <row r="323">
      <c r="C323" s="79"/>
      <c r="D323" s="79"/>
      <c r="J323" s="79"/>
      <c r="N323" s="79"/>
      <c r="Q323" s="79"/>
      <c r="T323" s="130"/>
      <c r="V323" s="106"/>
    </row>
    <row r="324">
      <c r="C324" s="79"/>
      <c r="D324" s="79"/>
      <c r="J324" s="79"/>
      <c r="N324" s="79"/>
      <c r="Q324" s="79"/>
      <c r="T324" s="130"/>
      <c r="V324" s="106"/>
    </row>
    <row r="325">
      <c r="C325" s="79"/>
      <c r="D325" s="79"/>
      <c r="J325" s="79"/>
      <c r="N325" s="79"/>
      <c r="Q325" s="79"/>
      <c r="T325" s="130"/>
      <c r="V325" s="106"/>
    </row>
    <row r="326">
      <c r="C326" s="79"/>
      <c r="D326" s="79"/>
      <c r="J326" s="79"/>
      <c r="N326" s="79"/>
      <c r="Q326" s="79"/>
      <c r="T326" s="130"/>
      <c r="V326" s="106"/>
    </row>
    <row r="327">
      <c r="C327" s="79"/>
      <c r="D327" s="79"/>
      <c r="J327" s="79"/>
      <c r="N327" s="79"/>
      <c r="Q327" s="79"/>
      <c r="T327" s="130"/>
      <c r="V327" s="106"/>
    </row>
    <row r="328">
      <c r="C328" s="79"/>
      <c r="D328" s="79"/>
      <c r="J328" s="79"/>
      <c r="N328" s="79"/>
      <c r="Q328" s="79"/>
      <c r="T328" s="130"/>
      <c r="V328" s="106"/>
    </row>
    <row r="329">
      <c r="C329" s="79"/>
      <c r="D329" s="79"/>
      <c r="J329" s="79"/>
      <c r="N329" s="79"/>
      <c r="Q329" s="79"/>
      <c r="T329" s="130"/>
      <c r="V329" s="106"/>
    </row>
    <row r="330">
      <c r="C330" s="79"/>
      <c r="D330" s="79"/>
      <c r="J330" s="79"/>
      <c r="N330" s="79"/>
      <c r="Q330" s="79"/>
      <c r="T330" s="130"/>
      <c r="V330" s="106"/>
    </row>
    <row r="331">
      <c r="C331" s="79"/>
      <c r="D331" s="79"/>
      <c r="J331" s="79"/>
      <c r="N331" s="79"/>
      <c r="Q331" s="79"/>
      <c r="T331" s="130"/>
      <c r="V331" s="106"/>
    </row>
    <row r="332">
      <c r="C332" s="79"/>
      <c r="D332" s="79"/>
      <c r="J332" s="79"/>
      <c r="N332" s="79"/>
      <c r="Q332" s="79"/>
      <c r="T332" s="130"/>
      <c r="V332" s="106"/>
    </row>
    <row r="333">
      <c r="C333" s="79"/>
      <c r="D333" s="79"/>
      <c r="J333" s="79"/>
      <c r="N333" s="79"/>
      <c r="Q333" s="79"/>
      <c r="T333" s="130"/>
      <c r="V333" s="106"/>
    </row>
    <row r="334">
      <c r="C334" s="79"/>
      <c r="D334" s="79"/>
      <c r="J334" s="79"/>
      <c r="N334" s="79"/>
      <c r="Q334" s="79"/>
      <c r="T334" s="130"/>
      <c r="V334" s="106"/>
    </row>
    <row r="335">
      <c r="C335" s="79"/>
      <c r="D335" s="79"/>
      <c r="J335" s="79"/>
      <c r="N335" s="79"/>
      <c r="Q335" s="79"/>
      <c r="T335" s="130"/>
      <c r="V335" s="106"/>
    </row>
    <row r="336">
      <c r="C336" s="79"/>
      <c r="D336" s="79"/>
      <c r="J336" s="79"/>
      <c r="N336" s="79"/>
      <c r="Q336" s="79"/>
      <c r="T336" s="130"/>
      <c r="V336" s="106"/>
    </row>
    <row r="337">
      <c r="C337" s="79"/>
      <c r="D337" s="79"/>
      <c r="J337" s="79"/>
      <c r="N337" s="79"/>
      <c r="Q337" s="79"/>
      <c r="T337" s="130"/>
      <c r="V337" s="106"/>
    </row>
    <row r="338">
      <c r="C338" s="79"/>
      <c r="D338" s="79"/>
      <c r="J338" s="79"/>
      <c r="N338" s="79"/>
      <c r="Q338" s="79"/>
      <c r="T338" s="130"/>
      <c r="V338" s="106"/>
    </row>
    <row r="339">
      <c r="C339" s="79"/>
      <c r="D339" s="79"/>
      <c r="J339" s="79"/>
      <c r="N339" s="79"/>
      <c r="Q339" s="79"/>
      <c r="T339" s="130"/>
      <c r="V339" s="106"/>
    </row>
    <row r="340">
      <c r="C340" s="79"/>
      <c r="D340" s="79"/>
      <c r="J340" s="79"/>
      <c r="N340" s="79"/>
      <c r="Q340" s="79"/>
      <c r="T340" s="130"/>
      <c r="V340" s="106"/>
    </row>
    <row r="341">
      <c r="C341" s="79"/>
      <c r="D341" s="79"/>
      <c r="J341" s="79"/>
      <c r="N341" s="79"/>
      <c r="Q341" s="79"/>
      <c r="T341" s="130"/>
      <c r="V341" s="106"/>
    </row>
    <row r="342">
      <c r="C342" s="79"/>
      <c r="D342" s="79"/>
      <c r="J342" s="79"/>
      <c r="N342" s="79"/>
      <c r="Q342" s="79"/>
      <c r="T342" s="130"/>
      <c r="V342" s="106"/>
    </row>
    <row r="343">
      <c r="C343" s="79"/>
      <c r="D343" s="79"/>
      <c r="J343" s="79"/>
      <c r="N343" s="79"/>
      <c r="Q343" s="79"/>
      <c r="T343" s="130"/>
      <c r="V343" s="106"/>
    </row>
    <row r="344">
      <c r="C344" s="79"/>
      <c r="D344" s="79"/>
      <c r="J344" s="79"/>
      <c r="N344" s="79"/>
      <c r="Q344" s="79"/>
      <c r="T344" s="130"/>
      <c r="V344" s="106"/>
    </row>
    <row r="345">
      <c r="C345" s="79"/>
      <c r="D345" s="79"/>
      <c r="J345" s="79"/>
      <c r="N345" s="79"/>
      <c r="Q345" s="79"/>
      <c r="T345" s="130"/>
      <c r="V345" s="106"/>
    </row>
    <row r="346">
      <c r="C346" s="79"/>
      <c r="D346" s="79"/>
      <c r="J346" s="79"/>
      <c r="N346" s="79"/>
      <c r="Q346" s="79"/>
      <c r="T346" s="130"/>
      <c r="V346" s="106"/>
    </row>
    <row r="347">
      <c r="C347" s="79"/>
      <c r="D347" s="79"/>
      <c r="J347" s="79"/>
      <c r="N347" s="79"/>
      <c r="Q347" s="79"/>
      <c r="T347" s="130"/>
      <c r="V347" s="106"/>
    </row>
    <row r="348">
      <c r="C348" s="79"/>
      <c r="D348" s="79"/>
      <c r="J348" s="79"/>
      <c r="N348" s="79"/>
      <c r="Q348" s="79"/>
      <c r="T348" s="130"/>
      <c r="V348" s="106"/>
    </row>
    <row r="349">
      <c r="C349" s="79"/>
      <c r="D349" s="79"/>
      <c r="J349" s="79"/>
      <c r="N349" s="79"/>
      <c r="Q349" s="79"/>
      <c r="T349" s="130"/>
      <c r="V349" s="106"/>
    </row>
    <row r="350">
      <c r="C350" s="79"/>
      <c r="D350" s="79"/>
      <c r="J350" s="79"/>
      <c r="N350" s="79"/>
      <c r="Q350" s="79"/>
      <c r="T350" s="130"/>
      <c r="V350" s="106"/>
    </row>
    <row r="351">
      <c r="C351" s="79"/>
      <c r="D351" s="79"/>
      <c r="J351" s="79"/>
      <c r="N351" s="79"/>
      <c r="Q351" s="79"/>
      <c r="T351" s="130"/>
      <c r="V351" s="106"/>
    </row>
    <row r="352">
      <c r="C352" s="79"/>
      <c r="D352" s="79"/>
      <c r="J352" s="79"/>
      <c r="N352" s="79"/>
      <c r="Q352" s="79"/>
      <c r="T352" s="130"/>
      <c r="V352" s="106"/>
    </row>
    <row r="353">
      <c r="C353" s="79"/>
      <c r="D353" s="79"/>
      <c r="J353" s="79"/>
      <c r="N353" s="79"/>
      <c r="Q353" s="79"/>
      <c r="T353" s="130"/>
      <c r="V353" s="106"/>
    </row>
    <row r="354">
      <c r="C354" s="79"/>
      <c r="D354" s="79"/>
      <c r="J354" s="79"/>
      <c r="N354" s="79"/>
      <c r="Q354" s="79"/>
      <c r="T354" s="130"/>
      <c r="V354" s="106"/>
    </row>
    <row r="355">
      <c r="C355" s="79"/>
      <c r="D355" s="79"/>
      <c r="J355" s="79"/>
      <c r="N355" s="79"/>
      <c r="Q355" s="79"/>
      <c r="T355" s="130"/>
      <c r="V355" s="106"/>
    </row>
    <row r="356">
      <c r="C356" s="79"/>
      <c r="D356" s="79"/>
      <c r="J356" s="79"/>
      <c r="N356" s="79"/>
      <c r="Q356" s="79"/>
      <c r="T356" s="130"/>
      <c r="V356" s="106"/>
    </row>
    <row r="357">
      <c r="C357" s="79"/>
      <c r="D357" s="79"/>
      <c r="J357" s="79"/>
      <c r="N357" s="79"/>
      <c r="Q357" s="79"/>
      <c r="T357" s="130"/>
      <c r="V357" s="106"/>
    </row>
    <row r="358">
      <c r="C358" s="79"/>
      <c r="D358" s="79"/>
      <c r="J358" s="79"/>
      <c r="N358" s="79"/>
      <c r="Q358" s="79"/>
      <c r="T358" s="130"/>
      <c r="V358" s="106"/>
    </row>
    <row r="359">
      <c r="C359" s="79"/>
      <c r="D359" s="79"/>
      <c r="J359" s="79"/>
      <c r="N359" s="79"/>
      <c r="Q359" s="79"/>
      <c r="T359" s="130"/>
      <c r="V359" s="106"/>
    </row>
    <row r="360">
      <c r="C360" s="79"/>
      <c r="D360" s="79"/>
      <c r="J360" s="79"/>
      <c r="N360" s="79"/>
      <c r="Q360" s="79"/>
      <c r="T360" s="130"/>
      <c r="V360" s="106"/>
    </row>
    <row r="361">
      <c r="C361" s="79"/>
      <c r="D361" s="79"/>
      <c r="J361" s="79"/>
      <c r="N361" s="79"/>
      <c r="Q361" s="79"/>
      <c r="T361" s="130"/>
      <c r="V361" s="106"/>
    </row>
    <row r="362">
      <c r="C362" s="79"/>
      <c r="D362" s="79"/>
      <c r="J362" s="79"/>
      <c r="N362" s="79"/>
      <c r="Q362" s="79"/>
      <c r="T362" s="130"/>
      <c r="V362" s="106"/>
    </row>
    <row r="363">
      <c r="C363" s="79"/>
      <c r="D363" s="79"/>
      <c r="J363" s="79"/>
      <c r="N363" s="79"/>
      <c r="Q363" s="79"/>
      <c r="T363" s="130"/>
      <c r="V363" s="106"/>
    </row>
    <row r="364">
      <c r="C364" s="79"/>
      <c r="D364" s="79"/>
      <c r="J364" s="79"/>
      <c r="N364" s="79"/>
      <c r="Q364" s="79"/>
      <c r="T364" s="130"/>
      <c r="V364" s="106"/>
    </row>
    <row r="365">
      <c r="C365" s="79"/>
      <c r="D365" s="79"/>
      <c r="J365" s="79"/>
      <c r="N365" s="79"/>
      <c r="Q365" s="79"/>
      <c r="T365" s="130"/>
      <c r="V365" s="106"/>
    </row>
    <row r="366">
      <c r="C366" s="79"/>
      <c r="D366" s="79"/>
      <c r="J366" s="79"/>
      <c r="N366" s="79"/>
      <c r="Q366" s="79"/>
      <c r="T366" s="130"/>
      <c r="V366" s="106"/>
    </row>
    <row r="367">
      <c r="C367" s="79"/>
      <c r="D367" s="79"/>
      <c r="J367" s="79"/>
      <c r="N367" s="79"/>
      <c r="Q367" s="79"/>
      <c r="T367" s="130"/>
      <c r="V367" s="106"/>
    </row>
    <row r="368">
      <c r="C368" s="79"/>
      <c r="D368" s="79"/>
      <c r="J368" s="79"/>
      <c r="N368" s="79"/>
      <c r="Q368" s="79"/>
      <c r="T368" s="130"/>
      <c r="V368" s="106"/>
    </row>
    <row r="369">
      <c r="C369" s="79"/>
      <c r="D369" s="79"/>
      <c r="J369" s="79"/>
      <c r="N369" s="79"/>
      <c r="Q369" s="79"/>
      <c r="T369" s="130"/>
      <c r="V369" s="106"/>
    </row>
    <row r="370">
      <c r="C370" s="79"/>
      <c r="D370" s="79"/>
      <c r="J370" s="79"/>
      <c r="N370" s="79"/>
      <c r="Q370" s="79"/>
      <c r="T370" s="130"/>
      <c r="V370" s="106"/>
    </row>
    <row r="371">
      <c r="C371" s="79"/>
      <c r="D371" s="79"/>
      <c r="J371" s="79"/>
      <c r="N371" s="79"/>
      <c r="Q371" s="79"/>
      <c r="T371" s="130"/>
      <c r="V371" s="106"/>
    </row>
    <row r="372">
      <c r="C372" s="79"/>
      <c r="D372" s="79"/>
      <c r="J372" s="79"/>
      <c r="N372" s="79"/>
      <c r="Q372" s="79"/>
      <c r="T372" s="130"/>
      <c r="V372" s="106"/>
    </row>
    <row r="373">
      <c r="C373" s="79"/>
      <c r="D373" s="79"/>
      <c r="J373" s="79"/>
      <c r="N373" s="79"/>
      <c r="Q373" s="79"/>
      <c r="T373" s="130"/>
      <c r="V373" s="106"/>
    </row>
    <row r="374">
      <c r="C374" s="79"/>
      <c r="D374" s="79"/>
      <c r="J374" s="79"/>
      <c r="N374" s="79"/>
      <c r="Q374" s="79"/>
      <c r="T374" s="130"/>
      <c r="V374" s="106"/>
    </row>
    <row r="375">
      <c r="C375" s="79"/>
      <c r="D375" s="79"/>
      <c r="J375" s="79"/>
      <c r="N375" s="79"/>
      <c r="Q375" s="79"/>
      <c r="T375" s="130"/>
      <c r="V375" s="106"/>
    </row>
    <row r="376">
      <c r="C376" s="79"/>
      <c r="D376" s="79"/>
      <c r="J376" s="79"/>
      <c r="N376" s="79"/>
      <c r="Q376" s="79"/>
      <c r="T376" s="130"/>
      <c r="V376" s="106"/>
    </row>
    <row r="377">
      <c r="C377" s="79"/>
      <c r="D377" s="79"/>
      <c r="J377" s="79"/>
      <c r="N377" s="79"/>
      <c r="Q377" s="79"/>
      <c r="T377" s="130"/>
      <c r="V377" s="106"/>
    </row>
    <row r="378">
      <c r="C378" s="79"/>
      <c r="D378" s="79"/>
      <c r="J378" s="79"/>
      <c r="N378" s="79"/>
      <c r="Q378" s="79"/>
      <c r="T378" s="130"/>
      <c r="V378" s="106"/>
    </row>
    <row r="379">
      <c r="C379" s="79"/>
      <c r="D379" s="79"/>
      <c r="J379" s="79"/>
      <c r="N379" s="79"/>
      <c r="Q379" s="79"/>
      <c r="T379" s="130"/>
      <c r="V379" s="106"/>
    </row>
    <row r="380">
      <c r="C380" s="79"/>
      <c r="D380" s="79"/>
      <c r="J380" s="79"/>
      <c r="N380" s="79"/>
      <c r="Q380" s="79"/>
      <c r="T380" s="130"/>
      <c r="V380" s="106"/>
    </row>
    <row r="381">
      <c r="C381" s="79"/>
      <c r="D381" s="79"/>
      <c r="J381" s="79"/>
      <c r="N381" s="79"/>
      <c r="Q381" s="79"/>
      <c r="T381" s="130"/>
      <c r="V381" s="106"/>
    </row>
    <row r="382">
      <c r="C382" s="79"/>
      <c r="D382" s="79"/>
      <c r="J382" s="79"/>
      <c r="N382" s="79"/>
      <c r="Q382" s="79"/>
      <c r="T382" s="130"/>
      <c r="V382" s="106"/>
    </row>
    <row r="383">
      <c r="C383" s="79"/>
      <c r="D383" s="79"/>
      <c r="J383" s="79"/>
      <c r="N383" s="79"/>
      <c r="Q383" s="79"/>
      <c r="T383" s="130"/>
      <c r="V383" s="106"/>
    </row>
    <row r="384">
      <c r="C384" s="79"/>
      <c r="D384" s="79"/>
      <c r="J384" s="79"/>
      <c r="N384" s="79"/>
      <c r="Q384" s="79"/>
      <c r="T384" s="130"/>
      <c r="V384" s="106"/>
    </row>
    <row r="385">
      <c r="C385" s="79"/>
      <c r="D385" s="79"/>
      <c r="J385" s="79"/>
      <c r="N385" s="79"/>
      <c r="Q385" s="79"/>
      <c r="T385" s="130"/>
      <c r="V385" s="106"/>
    </row>
    <row r="386">
      <c r="C386" s="79"/>
      <c r="D386" s="79"/>
      <c r="J386" s="79"/>
      <c r="N386" s="79"/>
      <c r="Q386" s="79"/>
      <c r="T386" s="130"/>
      <c r="V386" s="106"/>
    </row>
    <row r="387">
      <c r="C387" s="79"/>
      <c r="D387" s="79"/>
      <c r="J387" s="79"/>
      <c r="N387" s="79"/>
      <c r="Q387" s="79"/>
      <c r="T387" s="130"/>
      <c r="V387" s="106"/>
    </row>
    <row r="388">
      <c r="C388" s="79"/>
      <c r="D388" s="79"/>
      <c r="J388" s="79"/>
      <c r="N388" s="79"/>
      <c r="Q388" s="79"/>
      <c r="T388" s="130"/>
      <c r="V388" s="106"/>
    </row>
    <row r="389">
      <c r="C389" s="79"/>
      <c r="D389" s="79"/>
      <c r="J389" s="79"/>
      <c r="N389" s="79"/>
      <c r="Q389" s="79"/>
      <c r="T389" s="130"/>
      <c r="V389" s="106"/>
    </row>
    <row r="390">
      <c r="C390" s="79"/>
      <c r="D390" s="79"/>
      <c r="J390" s="79"/>
      <c r="N390" s="79"/>
      <c r="Q390" s="79"/>
      <c r="T390" s="130"/>
      <c r="V390" s="106"/>
    </row>
    <row r="391">
      <c r="C391" s="79"/>
      <c r="D391" s="79"/>
      <c r="J391" s="79"/>
      <c r="N391" s="79"/>
      <c r="Q391" s="79"/>
      <c r="T391" s="130"/>
      <c r="V391" s="106"/>
    </row>
    <row r="392">
      <c r="C392" s="79"/>
      <c r="D392" s="79"/>
      <c r="J392" s="79"/>
      <c r="N392" s="79"/>
      <c r="Q392" s="79"/>
      <c r="T392" s="130"/>
      <c r="V392" s="106"/>
    </row>
    <row r="393">
      <c r="C393" s="79"/>
      <c r="D393" s="79"/>
      <c r="J393" s="79"/>
      <c r="N393" s="79"/>
      <c r="Q393" s="79"/>
      <c r="T393" s="130"/>
      <c r="V393" s="106"/>
    </row>
    <row r="394">
      <c r="C394" s="79"/>
      <c r="D394" s="79"/>
      <c r="J394" s="79"/>
      <c r="N394" s="79"/>
      <c r="Q394" s="79"/>
      <c r="T394" s="130"/>
      <c r="V394" s="106"/>
    </row>
    <row r="395">
      <c r="C395" s="79"/>
      <c r="D395" s="79"/>
      <c r="J395" s="79"/>
      <c r="N395" s="79"/>
      <c r="Q395" s="79"/>
      <c r="T395" s="130"/>
      <c r="V395" s="106"/>
    </row>
    <row r="396">
      <c r="C396" s="79"/>
      <c r="D396" s="79"/>
      <c r="J396" s="79"/>
      <c r="N396" s="79"/>
      <c r="Q396" s="79"/>
      <c r="T396" s="130"/>
      <c r="V396" s="106"/>
    </row>
    <row r="397">
      <c r="C397" s="79"/>
      <c r="D397" s="79"/>
      <c r="J397" s="79"/>
      <c r="N397" s="79"/>
      <c r="Q397" s="79"/>
      <c r="T397" s="130"/>
      <c r="V397" s="106"/>
    </row>
    <row r="398">
      <c r="C398" s="79"/>
      <c r="D398" s="79"/>
      <c r="J398" s="79"/>
      <c r="N398" s="79"/>
      <c r="Q398" s="79"/>
      <c r="T398" s="130"/>
      <c r="V398" s="106"/>
    </row>
    <row r="399">
      <c r="C399" s="79"/>
      <c r="D399" s="79"/>
      <c r="J399" s="79"/>
      <c r="N399" s="79"/>
      <c r="Q399" s="79"/>
      <c r="T399" s="130"/>
      <c r="V399" s="106"/>
    </row>
    <row r="400">
      <c r="C400" s="79"/>
      <c r="D400" s="79"/>
      <c r="J400" s="79"/>
      <c r="N400" s="79"/>
      <c r="Q400" s="79"/>
      <c r="T400" s="130"/>
      <c r="V400" s="106"/>
    </row>
    <row r="401">
      <c r="C401" s="79"/>
      <c r="D401" s="79"/>
      <c r="J401" s="79"/>
      <c r="N401" s="79"/>
      <c r="Q401" s="79"/>
      <c r="T401" s="130"/>
      <c r="V401" s="106"/>
    </row>
    <row r="402">
      <c r="C402" s="79"/>
      <c r="D402" s="79"/>
      <c r="J402" s="79"/>
      <c r="N402" s="79"/>
      <c r="Q402" s="79"/>
      <c r="T402" s="130"/>
      <c r="V402" s="106"/>
    </row>
    <row r="403">
      <c r="C403" s="79"/>
      <c r="D403" s="79"/>
      <c r="J403" s="79"/>
      <c r="N403" s="79"/>
      <c r="Q403" s="79"/>
      <c r="T403" s="130"/>
      <c r="V403" s="106"/>
    </row>
    <row r="404">
      <c r="C404" s="79"/>
      <c r="D404" s="79"/>
      <c r="J404" s="79"/>
      <c r="N404" s="79"/>
      <c r="Q404" s="79"/>
      <c r="T404" s="130"/>
      <c r="V404" s="106"/>
    </row>
    <row r="405">
      <c r="C405" s="79"/>
      <c r="D405" s="79"/>
      <c r="J405" s="79"/>
      <c r="N405" s="79"/>
      <c r="Q405" s="79"/>
      <c r="T405" s="130"/>
      <c r="V405" s="106"/>
    </row>
    <row r="406">
      <c r="C406" s="79"/>
      <c r="D406" s="79"/>
      <c r="J406" s="79"/>
      <c r="N406" s="79"/>
      <c r="Q406" s="79"/>
      <c r="T406" s="130"/>
      <c r="V406" s="106"/>
    </row>
    <row r="407">
      <c r="C407" s="79"/>
      <c r="D407" s="79"/>
      <c r="J407" s="79"/>
      <c r="N407" s="79"/>
      <c r="Q407" s="79"/>
      <c r="T407" s="130"/>
      <c r="V407" s="106"/>
    </row>
    <row r="408">
      <c r="C408" s="79"/>
      <c r="D408" s="79"/>
      <c r="J408" s="79"/>
      <c r="N408" s="79"/>
      <c r="Q408" s="79"/>
      <c r="T408" s="130"/>
      <c r="V408" s="106"/>
    </row>
    <row r="409">
      <c r="C409" s="79"/>
      <c r="D409" s="79"/>
      <c r="J409" s="79"/>
      <c r="N409" s="79"/>
      <c r="Q409" s="79"/>
      <c r="T409" s="130"/>
      <c r="V409" s="106"/>
    </row>
    <row r="410">
      <c r="C410" s="79"/>
      <c r="D410" s="79"/>
      <c r="J410" s="79"/>
      <c r="N410" s="79"/>
      <c r="Q410" s="79"/>
      <c r="T410" s="130"/>
      <c r="V410" s="106"/>
    </row>
    <row r="411">
      <c r="C411" s="79"/>
      <c r="D411" s="79"/>
      <c r="J411" s="79"/>
      <c r="N411" s="79"/>
      <c r="Q411" s="79"/>
      <c r="T411" s="130"/>
      <c r="V411" s="106"/>
    </row>
    <row r="412">
      <c r="C412" s="79"/>
      <c r="D412" s="79"/>
      <c r="J412" s="79"/>
      <c r="N412" s="79"/>
      <c r="Q412" s="79"/>
      <c r="T412" s="130"/>
      <c r="V412" s="106"/>
    </row>
    <row r="413">
      <c r="C413" s="79"/>
      <c r="D413" s="79"/>
      <c r="J413" s="79"/>
      <c r="N413" s="79"/>
      <c r="Q413" s="79"/>
      <c r="T413" s="130"/>
      <c r="V413" s="106"/>
    </row>
    <row r="414">
      <c r="C414" s="79"/>
      <c r="D414" s="79"/>
      <c r="J414" s="79"/>
      <c r="N414" s="79"/>
      <c r="Q414" s="79"/>
      <c r="T414" s="130"/>
      <c r="V414" s="106"/>
    </row>
    <row r="415">
      <c r="C415" s="79"/>
      <c r="D415" s="79"/>
      <c r="J415" s="79"/>
      <c r="N415" s="79"/>
      <c r="Q415" s="79"/>
      <c r="T415" s="130"/>
      <c r="V415" s="106"/>
    </row>
    <row r="416">
      <c r="C416" s="79"/>
      <c r="D416" s="79"/>
      <c r="J416" s="79"/>
      <c r="N416" s="79"/>
      <c r="Q416" s="79"/>
      <c r="T416" s="130"/>
      <c r="V416" s="106"/>
    </row>
    <row r="417">
      <c r="C417" s="79"/>
      <c r="D417" s="79"/>
      <c r="J417" s="79"/>
      <c r="N417" s="79"/>
      <c r="Q417" s="79"/>
      <c r="T417" s="130"/>
      <c r="V417" s="106"/>
    </row>
    <row r="418">
      <c r="C418" s="79"/>
      <c r="D418" s="79"/>
      <c r="J418" s="79"/>
      <c r="N418" s="79"/>
      <c r="Q418" s="79"/>
      <c r="T418" s="130"/>
      <c r="V418" s="106"/>
    </row>
    <row r="419">
      <c r="C419" s="79"/>
      <c r="D419" s="79"/>
      <c r="J419" s="79"/>
      <c r="N419" s="79"/>
      <c r="Q419" s="79"/>
      <c r="T419" s="130"/>
      <c r="V419" s="106"/>
    </row>
    <row r="420">
      <c r="C420" s="79"/>
      <c r="D420" s="79"/>
      <c r="J420" s="79"/>
      <c r="N420" s="79"/>
      <c r="Q420" s="79"/>
      <c r="T420" s="130"/>
      <c r="V420" s="106"/>
    </row>
    <row r="421">
      <c r="C421" s="79"/>
      <c r="D421" s="79"/>
      <c r="J421" s="79"/>
      <c r="N421" s="79"/>
      <c r="Q421" s="79"/>
      <c r="T421" s="130"/>
      <c r="V421" s="106"/>
    </row>
    <row r="422">
      <c r="C422" s="79"/>
      <c r="D422" s="79"/>
      <c r="J422" s="79"/>
      <c r="N422" s="79"/>
      <c r="Q422" s="79"/>
      <c r="T422" s="130"/>
      <c r="V422" s="106"/>
    </row>
    <row r="423">
      <c r="C423" s="79"/>
      <c r="D423" s="79"/>
      <c r="J423" s="79"/>
      <c r="N423" s="79"/>
      <c r="Q423" s="79"/>
      <c r="T423" s="130"/>
      <c r="V423" s="106"/>
    </row>
    <row r="424">
      <c r="C424" s="79"/>
      <c r="D424" s="79"/>
      <c r="J424" s="79"/>
      <c r="N424" s="79"/>
      <c r="Q424" s="79"/>
      <c r="T424" s="130"/>
      <c r="V424" s="106"/>
    </row>
    <row r="425">
      <c r="C425" s="79"/>
      <c r="D425" s="79"/>
      <c r="J425" s="79"/>
      <c r="N425" s="79"/>
      <c r="Q425" s="79"/>
      <c r="T425" s="130"/>
      <c r="V425" s="106"/>
    </row>
    <row r="426">
      <c r="C426" s="79"/>
      <c r="D426" s="79"/>
      <c r="J426" s="79"/>
      <c r="N426" s="79"/>
      <c r="Q426" s="79"/>
      <c r="T426" s="130"/>
      <c r="V426" s="106"/>
    </row>
    <row r="427">
      <c r="C427" s="79"/>
      <c r="D427" s="79"/>
      <c r="J427" s="79"/>
      <c r="N427" s="79"/>
      <c r="Q427" s="79"/>
      <c r="T427" s="130"/>
      <c r="V427" s="106"/>
    </row>
    <row r="428">
      <c r="C428" s="79"/>
      <c r="D428" s="79"/>
      <c r="J428" s="79"/>
      <c r="N428" s="79"/>
      <c r="Q428" s="79"/>
      <c r="T428" s="130"/>
      <c r="V428" s="106"/>
    </row>
    <row r="429">
      <c r="C429" s="79"/>
      <c r="D429" s="79"/>
      <c r="J429" s="79"/>
      <c r="N429" s="79"/>
      <c r="Q429" s="79"/>
      <c r="T429" s="130"/>
      <c r="V429" s="106"/>
    </row>
    <row r="430">
      <c r="C430" s="79"/>
      <c r="D430" s="79"/>
      <c r="J430" s="79"/>
      <c r="N430" s="79"/>
      <c r="Q430" s="79"/>
      <c r="T430" s="130"/>
      <c r="V430" s="106"/>
    </row>
    <row r="431">
      <c r="C431" s="79"/>
      <c r="D431" s="79"/>
      <c r="J431" s="79"/>
      <c r="N431" s="79"/>
      <c r="Q431" s="79"/>
      <c r="T431" s="130"/>
      <c r="V431" s="106"/>
    </row>
    <row r="432">
      <c r="C432" s="79"/>
      <c r="D432" s="79"/>
      <c r="J432" s="79"/>
      <c r="N432" s="79"/>
      <c r="Q432" s="79"/>
      <c r="T432" s="130"/>
      <c r="V432" s="106"/>
    </row>
    <row r="433">
      <c r="C433" s="79"/>
      <c r="D433" s="79"/>
      <c r="J433" s="79"/>
      <c r="N433" s="79"/>
      <c r="Q433" s="79"/>
      <c r="T433" s="130"/>
      <c r="V433" s="106"/>
    </row>
    <row r="434">
      <c r="C434" s="79"/>
      <c r="D434" s="79"/>
      <c r="J434" s="79"/>
      <c r="N434" s="79"/>
      <c r="Q434" s="79"/>
      <c r="T434" s="130"/>
      <c r="V434" s="106"/>
    </row>
    <row r="435">
      <c r="C435" s="79"/>
      <c r="D435" s="79"/>
      <c r="J435" s="79"/>
      <c r="N435" s="79"/>
      <c r="Q435" s="79"/>
      <c r="T435" s="130"/>
      <c r="V435" s="106"/>
    </row>
    <row r="436">
      <c r="C436" s="79"/>
      <c r="D436" s="79"/>
      <c r="J436" s="79"/>
      <c r="N436" s="79"/>
      <c r="Q436" s="79"/>
      <c r="T436" s="130"/>
      <c r="V436" s="106"/>
    </row>
    <row r="437">
      <c r="C437" s="79"/>
      <c r="D437" s="79"/>
      <c r="J437" s="79"/>
      <c r="N437" s="79"/>
      <c r="Q437" s="79"/>
      <c r="T437" s="130"/>
      <c r="V437" s="106"/>
    </row>
    <row r="438">
      <c r="C438" s="79"/>
      <c r="D438" s="79"/>
      <c r="J438" s="79"/>
      <c r="N438" s="79"/>
      <c r="Q438" s="79"/>
      <c r="T438" s="130"/>
      <c r="V438" s="106"/>
    </row>
    <row r="439">
      <c r="C439" s="79"/>
      <c r="D439" s="79"/>
      <c r="J439" s="79"/>
      <c r="N439" s="79"/>
      <c r="Q439" s="79"/>
      <c r="T439" s="130"/>
      <c r="V439" s="106"/>
    </row>
    <row r="440">
      <c r="C440" s="79"/>
      <c r="D440" s="79"/>
      <c r="J440" s="79"/>
      <c r="N440" s="79"/>
      <c r="Q440" s="79"/>
      <c r="T440" s="130"/>
      <c r="V440" s="106"/>
    </row>
    <row r="441">
      <c r="C441" s="79"/>
      <c r="D441" s="79"/>
      <c r="J441" s="79"/>
      <c r="N441" s="79"/>
      <c r="Q441" s="79"/>
      <c r="T441" s="130"/>
      <c r="V441" s="106"/>
    </row>
    <row r="442">
      <c r="C442" s="79"/>
      <c r="D442" s="79"/>
      <c r="J442" s="79"/>
      <c r="N442" s="79"/>
      <c r="Q442" s="79"/>
      <c r="T442" s="130"/>
      <c r="V442" s="106"/>
    </row>
    <row r="443">
      <c r="C443" s="79"/>
      <c r="D443" s="79"/>
      <c r="J443" s="79"/>
      <c r="N443" s="79"/>
      <c r="Q443" s="79"/>
      <c r="T443" s="130"/>
      <c r="V443" s="106"/>
    </row>
    <row r="444">
      <c r="C444" s="79"/>
      <c r="D444" s="79"/>
      <c r="J444" s="79"/>
      <c r="N444" s="79"/>
      <c r="Q444" s="79"/>
      <c r="T444" s="130"/>
      <c r="V444" s="106"/>
    </row>
    <row r="445">
      <c r="C445" s="79"/>
      <c r="D445" s="79"/>
      <c r="J445" s="79"/>
      <c r="N445" s="79"/>
      <c r="Q445" s="79"/>
      <c r="T445" s="130"/>
      <c r="V445" s="106"/>
    </row>
    <row r="446">
      <c r="C446" s="79"/>
      <c r="D446" s="79"/>
      <c r="J446" s="79"/>
      <c r="N446" s="79"/>
      <c r="Q446" s="79"/>
      <c r="T446" s="130"/>
      <c r="V446" s="106"/>
    </row>
    <row r="447">
      <c r="C447" s="79"/>
      <c r="D447" s="79"/>
      <c r="J447" s="79"/>
      <c r="N447" s="79"/>
      <c r="Q447" s="79"/>
      <c r="T447" s="130"/>
      <c r="V447" s="106"/>
    </row>
    <row r="448">
      <c r="C448" s="79"/>
      <c r="D448" s="79"/>
      <c r="J448" s="79"/>
      <c r="N448" s="79"/>
      <c r="Q448" s="79"/>
      <c r="T448" s="130"/>
      <c r="V448" s="106"/>
    </row>
    <row r="449">
      <c r="C449" s="79"/>
      <c r="D449" s="79"/>
      <c r="J449" s="79"/>
      <c r="N449" s="79"/>
      <c r="Q449" s="79"/>
      <c r="T449" s="130"/>
      <c r="V449" s="106"/>
    </row>
    <row r="450">
      <c r="C450" s="79"/>
      <c r="D450" s="79"/>
      <c r="J450" s="79"/>
      <c r="N450" s="79"/>
      <c r="Q450" s="79"/>
      <c r="T450" s="130"/>
      <c r="V450" s="106"/>
    </row>
    <row r="451">
      <c r="C451" s="79"/>
      <c r="D451" s="79"/>
      <c r="J451" s="79"/>
      <c r="N451" s="79"/>
      <c r="Q451" s="79"/>
      <c r="T451" s="130"/>
      <c r="V451" s="106"/>
    </row>
    <row r="452">
      <c r="C452" s="79"/>
      <c r="D452" s="79"/>
      <c r="J452" s="79"/>
      <c r="N452" s="79"/>
      <c r="Q452" s="79"/>
      <c r="T452" s="130"/>
      <c r="V452" s="106"/>
    </row>
    <row r="453">
      <c r="C453" s="79"/>
      <c r="D453" s="79"/>
      <c r="J453" s="79"/>
      <c r="N453" s="79"/>
      <c r="Q453" s="79"/>
      <c r="T453" s="130"/>
      <c r="V453" s="106"/>
    </row>
    <row r="454">
      <c r="C454" s="79"/>
      <c r="D454" s="79"/>
      <c r="J454" s="79"/>
      <c r="N454" s="79"/>
      <c r="Q454" s="79"/>
      <c r="T454" s="130"/>
      <c r="V454" s="106"/>
    </row>
    <row r="455">
      <c r="C455" s="79"/>
      <c r="D455" s="79"/>
      <c r="J455" s="79"/>
      <c r="N455" s="79"/>
      <c r="Q455" s="79"/>
      <c r="T455" s="130"/>
      <c r="V455" s="106"/>
    </row>
    <row r="456">
      <c r="C456" s="79"/>
      <c r="D456" s="79"/>
      <c r="J456" s="79"/>
      <c r="N456" s="79"/>
      <c r="Q456" s="79"/>
      <c r="T456" s="130"/>
      <c r="V456" s="106"/>
    </row>
    <row r="457">
      <c r="C457" s="79"/>
      <c r="D457" s="79"/>
      <c r="J457" s="79"/>
      <c r="N457" s="79"/>
      <c r="Q457" s="79"/>
      <c r="T457" s="130"/>
      <c r="V457" s="106"/>
    </row>
    <row r="458">
      <c r="C458" s="79"/>
      <c r="D458" s="79"/>
      <c r="J458" s="79"/>
      <c r="N458" s="79"/>
      <c r="Q458" s="79"/>
      <c r="T458" s="130"/>
      <c r="V458" s="106"/>
    </row>
    <row r="459">
      <c r="C459" s="79"/>
      <c r="D459" s="79"/>
      <c r="J459" s="79"/>
      <c r="N459" s="79"/>
      <c r="Q459" s="79"/>
      <c r="T459" s="130"/>
      <c r="V459" s="106"/>
    </row>
    <row r="460">
      <c r="C460" s="79"/>
      <c r="D460" s="79"/>
      <c r="J460" s="79"/>
      <c r="N460" s="79"/>
      <c r="Q460" s="79"/>
      <c r="T460" s="130"/>
      <c r="V460" s="106"/>
    </row>
    <row r="461">
      <c r="C461" s="79"/>
      <c r="D461" s="79"/>
      <c r="J461" s="79"/>
      <c r="N461" s="79"/>
      <c r="Q461" s="79"/>
      <c r="T461" s="130"/>
      <c r="V461" s="106"/>
    </row>
    <row r="462">
      <c r="C462" s="79"/>
      <c r="D462" s="79"/>
      <c r="J462" s="79"/>
      <c r="N462" s="79"/>
      <c r="Q462" s="79"/>
      <c r="T462" s="130"/>
      <c r="V462" s="106"/>
    </row>
    <row r="463">
      <c r="C463" s="79"/>
      <c r="D463" s="79"/>
      <c r="J463" s="79"/>
      <c r="N463" s="79"/>
      <c r="Q463" s="79"/>
      <c r="T463" s="130"/>
      <c r="V463" s="106"/>
    </row>
    <row r="464">
      <c r="C464" s="79"/>
      <c r="D464" s="79"/>
      <c r="J464" s="79"/>
      <c r="N464" s="79"/>
      <c r="Q464" s="79"/>
      <c r="T464" s="130"/>
      <c r="V464" s="106"/>
    </row>
    <row r="465">
      <c r="C465" s="79"/>
      <c r="D465" s="79"/>
      <c r="J465" s="79"/>
      <c r="N465" s="79"/>
      <c r="Q465" s="79"/>
      <c r="T465" s="130"/>
      <c r="V465" s="106"/>
    </row>
    <row r="466">
      <c r="C466" s="79"/>
      <c r="D466" s="79"/>
      <c r="J466" s="79"/>
      <c r="N466" s="79"/>
      <c r="Q466" s="79"/>
      <c r="T466" s="130"/>
      <c r="V466" s="106"/>
    </row>
    <row r="467">
      <c r="C467" s="79"/>
      <c r="D467" s="79"/>
      <c r="J467" s="79"/>
      <c r="N467" s="79"/>
      <c r="Q467" s="79"/>
      <c r="T467" s="130"/>
      <c r="V467" s="106"/>
    </row>
    <row r="468">
      <c r="C468" s="79"/>
      <c r="D468" s="79"/>
      <c r="J468" s="79"/>
      <c r="N468" s="79"/>
      <c r="Q468" s="79"/>
      <c r="T468" s="130"/>
      <c r="V468" s="106"/>
    </row>
    <row r="469">
      <c r="C469" s="79"/>
      <c r="D469" s="79"/>
      <c r="J469" s="79"/>
      <c r="N469" s="79"/>
      <c r="Q469" s="79"/>
      <c r="T469" s="130"/>
      <c r="V469" s="106"/>
    </row>
    <row r="470">
      <c r="C470" s="79"/>
      <c r="D470" s="79"/>
      <c r="J470" s="79"/>
      <c r="N470" s="79"/>
      <c r="Q470" s="79"/>
      <c r="T470" s="130"/>
      <c r="V470" s="106"/>
    </row>
    <row r="471">
      <c r="C471" s="79"/>
      <c r="D471" s="79"/>
      <c r="J471" s="79"/>
      <c r="N471" s="79"/>
      <c r="Q471" s="79"/>
      <c r="T471" s="130"/>
      <c r="V471" s="106"/>
    </row>
    <row r="472">
      <c r="C472" s="79"/>
      <c r="D472" s="79"/>
      <c r="J472" s="79"/>
      <c r="N472" s="79"/>
      <c r="Q472" s="79"/>
      <c r="T472" s="130"/>
      <c r="V472" s="106"/>
    </row>
    <row r="473">
      <c r="C473" s="79"/>
      <c r="D473" s="79"/>
      <c r="J473" s="79"/>
      <c r="N473" s="79"/>
      <c r="Q473" s="79"/>
      <c r="T473" s="130"/>
      <c r="V473" s="106"/>
    </row>
    <row r="474">
      <c r="C474" s="79"/>
      <c r="D474" s="79"/>
      <c r="J474" s="79"/>
      <c r="N474" s="79"/>
      <c r="Q474" s="79"/>
      <c r="T474" s="130"/>
      <c r="V474" s="106"/>
    </row>
    <row r="475">
      <c r="C475" s="79"/>
      <c r="D475" s="79"/>
      <c r="J475" s="79"/>
      <c r="N475" s="79"/>
      <c r="Q475" s="79"/>
      <c r="T475" s="130"/>
      <c r="V475" s="106"/>
    </row>
    <row r="476">
      <c r="C476" s="79"/>
      <c r="D476" s="79"/>
      <c r="J476" s="79"/>
      <c r="N476" s="79"/>
      <c r="Q476" s="79"/>
      <c r="T476" s="130"/>
      <c r="V476" s="106"/>
    </row>
    <row r="477">
      <c r="C477" s="79"/>
      <c r="D477" s="79"/>
      <c r="J477" s="79"/>
      <c r="N477" s="79"/>
      <c r="Q477" s="79"/>
      <c r="T477" s="130"/>
      <c r="V477" s="106"/>
    </row>
    <row r="478">
      <c r="C478" s="79"/>
      <c r="D478" s="79"/>
      <c r="J478" s="79"/>
      <c r="N478" s="79"/>
      <c r="Q478" s="79"/>
      <c r="T478" s="130"/>
      <c r="V478" s="106"/>
    </row>
    <row r="479">
      <c r="C479" s="79"/>
      <c r="D479" s="79"/>
      <c r="J479" s="79"/>
      <c r="N479" s="79"/>
      <c r="Q479" s="79"/>
      <c r="T479" s="130"/>
      <c r="V479" s="106"/>
    </row>
    <row r="480">
      <c r="C480" s="79"/>
      <c r="D480" s="79"/>
      <c r="J480" s="79"/>
      <c r="N480" s="79"/>
      <c r="Q480" s="79"/>
      <c r="T480" s="130"/>
      <c r="V480" s="106"/>
    </row>
    <row r="481">
      <c r="C481" s="79"/>
      <c r="D481" s="79"/>
      <c r="J481" s="79"/>
      <c r="N481" s="79"/>
      <c r="Q481" s="79"/>
      <c r="T481" s="130"/>
      <c r="V481" s="106"/>
    </row>
    <row r="482">
      <c r="C482" s="79"/>
      <c r="D482" s="79"/>
      <c r="J482" s="79"/>
      <c r="N482" s="79"/>
      <c r="Q482" s="79"/>
      <c r="T482" s="130"/>
      <c r="V482" s="106"/>
    </row>
    <row r="483">
      <c r="C483" s="79"/>
      <c r="D483" s="79"/>
      <c r="J483" s="79"/>
      <c r="N483" s="79"/>
      <c r="Q483" s="79"/>
      <c r="T483" s="130"/>
      <c r="V483" s="106"/>
    </row>
    <row r="484">
      <c r="C484" s="79"/>
      <c r="D484" s="79"/>
      <c r="J484" s="79"/>
      <c r="N484" s="79"/>
      <c r="Q484" s="79"/>
      <c r="T484" s="130"/>
      <c r="V484" s="106"/>
    </row>
    <row r="485">
      <c r="C485" s="79"/>
      <c r="D485" s="79"/>
      <c r="J485" s="79"/>
      <c r="N485" s="79"/>
      <c r="Q485" s="79"/>
      <c r="T485" s="130"/>
      <c r="V485" s="106"/>
    </row>
    <row r="486">
      <c r="C486" s="79"/>
      <c r="D486" s="79"/>
      <c r="J486" s="79"/>
      <c r="N486" s="79"/>
      <c r="Q486" s="79"/>
      <c r="T486" s="130"/>
      <c r="V486" s="106"/>
    </row>
    <row r="487">
      <c r="C487" s="79"/>
      <c r="D487" s="79"/>
      <c r="J487" s="79"/>
      <c r="N487" s="79"/>
      <c r="Q487" s="79"/>
      <c r="T487" s="130"/>
      <c r="V487" s="106"/>
    </row>
    <row r="488">
      <c r="C488" s="79"/>
      <c r="D488" s="79"/>
      <c r="J488" s="79"/>
      <c r="N488" s="79"/>
      <c r="Q488" s="79"/>
      <c r="T488" s="130"/>
      <c r="V488" s="106"/>
    </row>
    <row r="489">
      <c r="C489" s="79"/>
      <c r="D489" s="79"/>
      <c r="J489" s="79"/>
      <c r="N489" s="79"/>
      <c r="Q489" s="79"/>
      <c r="T489" s="130"/>
      <c r="V489" s="106"/>
    </row>
    <row r="490">
      <c r="C490" s="79"/>
      <c r="D490" s="79"/>
      <c r="J490" s="79"/>
      <c r="N490" s="79"/>
      <c r="Q490" s="79"/>
      <c r="T490" s="130"/>
      <c r="V490" s="106"/>
    </row>
    <row r="491">
      <c r="C491" s="79"/>
      <c r="D491" s="79"/>
      <c r="J491" s="79"/>
      <c r="N491" s="79"/>
      <c r="Q491" s="79"/>
      <c r="T491" s="130"/>
      <c r="V491" s="106"/>
    </row>
    <row r="492">
      <c r="C492" s="79"/>
      <c r="D492" s="79"/>
      <c r="J492" s="79"/>
      <c r="N492" s="79"/>
      <c r="Q492" s="79"/>
      <c r="T492" s="130"/>
      <c r="V492" s="106"/>
    </row>
    <row r="493">
      <c r="C493" s="79"/>
      <c r="D493" s="79"/>
      <c r="J493" s="79"/>
      <c r="N493" s="79"/>
      <c r="Q493" s="79"/>
      <c r="T493" s="130"/>
      <c r="V493" s="106"/>
    </row>
    <row r="494">
      <c r="C494" s="79"/>
      <c r="D494" s="79"/>
      <c r="J494" s="79"/>
      <c r="N494" s="79"/>
      <c r="Q494" s="79"/>
      <c r="T494" s="130"/>
      <c r="V494" s="106"/>
    </row>
    <row r="495">
      <c r="C495" s="79"/>
      <c r="D495" s="79"/>
      <c r="J495" s="79"/>
      <c r="N495" s="79"/>
      <c r="Q495" s="79"/>
      <c r="T495" s="130"/>
      <c r="V495" s="106"/>
    </row>
    <row r="496">
      <c r="C496" s="79"/>
      <c r="D496" s="79"/>
      <c r="J496" s="79"/>
      <c r="N496" s="79"/>
      <c r="Q496" s="79"/>
      <c r="T496" s="130"/>
      <c r="V496" s="106"/>
    </row>
    <row r="497">
      <c r="C497" s="79"/>
      <c r="D497" s="79"/>
      <c r="J497" s="79"/>
      <c r="N497" s="79"/>
      <c r="Q497" s="79"/>
      <c r="T497" s="130"/>
      <c r="V497" s="106"/>
    </row>
    <row r="498">
      <c r="C498" s="79"/>
      <c r="D498" s="79"/>
      <c r="J498" s="79"/>
      <c r="N498" s="79"/>
      <c r="Q498" s="79"/>
      <c r="T498" s="130"/>
      <c r="V498" s="106"/>
    </row>
    <row r="499">
      <c r="C499" s="79"/>
      <c r="D499" s="79"/>
      <c r="J499" s="79"/>
      <c r="N499" s="79"/>
      <c r="Q499" s="79"/>
      <c r="T499" s="130"/>
      <c r="V499" s="106"/>
    </row>
    <row r="500">
      <c r="C500" s="79"/>
      <c r="D500" s="79"/>
      <c r="J500" s="79"/>
      <c r="N500" s="79"/>
      <c r="Q500" s="79"/>
      <c r="T500" s="130"/>
      <c r="V500" s="106"/>
    </row>
    <row r="501">
      <c r="C501" s="79"/>
      <c r="D501" s="79"/>
      <c r="J501" s="79"/>
      <c r="N501" s="79"/>
      <c r="Q501" s="79"/>
      <c r="T501" s="130"/>
      <c r="V501" s="106"/>
    </row>
    <row r="502">
      <c r="C502" s="79"/>
      <c r="D502" s="79"/>
      <c r="J502" s="79"/>
      <c r="N502" s="79"/>
      <c r="Q502" s="79"/>
      <c r="T502" s="130"/>
      <c r="V502" s="106"/>
    </row>
    <row r="503">
      <c r="C503" s="79"/>
      <c r="D503" s="79"/>
      <c r="J503" s="79"/>
      <c r="N503" s="79"/>
      <c r="Q503" s="79"/>
      <c r="T503" s="130"/>
      <c r="V503" s="106"/>
    </row>
    <row r="504">
      <c r="C504" s="79"/>
      <c r="D504" s="79"/>
      <c r="J504" s="79"/>
      <c r="N504" s="79"/>
      <c r="Q504" s="79"/>
      <c r="T504" s="130"/>
      <c r="V504" s="106"/>
    </row>
    <row r="505">
      <c r="C505" s="79"/>
      <c r="D505" s="79"/>
      <c r="J505" s="79"/>
      <c r="N505" s="79"/>
      <c r="Q505" s="79"/>
      <c r="T505" s="130"/>
      <c r="V505" s="106"/>
    </row>
    <row r="506">
      <c r="C506" s="79"/>
      <c r="D506" s="79"/>
      <c r="J506" s="79"/>
      <c r="N506" s="79"/>
      <c r="Q506" s="79"/>
      <c r="T506" s="130"/>
      <c r="V506" s="106"/>
    </row>
    <row r="507">
      <c r="C507" s="79"/>
      <c r="D507" s="79"/>
      <c r="J507" s="79"/>
      <c r="N507" s="79"/>
      <c r="Q507" s="79"/>
      <c r="T507" s="130"/>
      <c r="V507" s="106"/>
    </row>
    <row r="508">
      <c r="C508" s="79"/>
      <c r="D508" s="79"/>
      <c r="J508" s="79"/>
      <c r="N508" s="79"/>
      <c r="Q508" s="79"/>
      <c r="T508" s="130"/>
      <c r="V508" s="106"/>
    </row>
    <row r="509">
      <c r="C509" s="79"/>
      <c r="D509" s="79"/>
      <c r="J509" s="79"/>
      <c r="N509" s="79"/>
      <c r="Q509" s="79"/>
      <c r="T509" s="130"/>
      <c r="V509" s="106"/>
    </row>
    <row r="510">
      <c r="C510" s="79"/>
      <c r="D510" s="79"/>
      <c r="J510" s="79"/>
      <c r="N510" s="79"/>
      <c r="Q510" s="79"/>
      <c r="T510" s="130"/>
      <c r="V510" s="106"/>
    </row>
    <row r="511">
      <c r="C511" s="79"/>
      <c r="D511" s="79"/>
      <c r="J511" s="79"/>
      <c r="N511" s="79"/>
      <c r="Q511" s="79"/>
      <c r="T511" s="130"/>
      <c r="V511" s="106"/>
    </row>
    <row r="512">
      <c r="C512" s="79"/>
      <c r="D512" s="79"/>
      <c r="J512" s="79"/>
      <c r="N512" s="79"/>
      <c r="Q512" s="79"/>
      <c r="T512" s="130"/>
      <c r="V512" s="106"/>
    </row>
    <row r="513">
      <c r="C513" s="79"/>
      <c r="D513" s="79"/>
      <c r="J513" s="79"/>
      <c r="N513" s="79"/>
      <c r="Q513" s="79"/>
      <c r="T513" s="130"/>
      <c r="V513" s="106"/>
    </row>
    <row r="514">
      <c r="C514" s="79"/>
      <c r="D514" s="79"/>
      <c r="J514" s="79"/>
      <c r="N514" s="79"/>
      <c r="Q514" s="79"/>
      <c r="T514" s="130"/>
      <c r="V514" s="106"/>
    </row>
    <row r="515">
      <c r="C515" s="79"/>
      <c r="D515" s="79"/>
      <c r="J515" s="79"/>
      <c r="N515" s="79"/>
      <c r="Q515" s="79"/>
      <c r="T515" s="130"/>
      <c r="V515" s="106"/>
    </row>
    <row r="516">
      <c r="C516" s="79"/>
      <c r="D516" s="79"/>
      <c r="J516" s="79"/>
      <c r="N516" s="79"/>
      <c r="Q516" s="79"/>
      <c r="T516" s="130"/>
      <c r="V516" s="106"/>
    </row>
    <row r="517">
      <c r="C517" s="79"/>
      <c r="D517" s="79"/>
      <c r="J517" s="79"/>
      <c r="N517" s="79"/>
      <c r="Q517" s="79"/>
      <c r="T517" s="130"/>
      <c r="V517" s="106"/>
    </row>
    <row r="518">
      <c r="C518" s="79"/>
      <c r="D518" s="79"/>
      <c r="J518" s="79"/>
      <c r="N518" s="79"/>
      <c r="Q518" s="79"/>
      <c r="T518" s="130"/>
      <c r="V518" s="106"/>
    </row>
    <row r="519">
      <c r="C519" s="79"/>
      <c r="D519" s="79"/>
      <c r="J519" s="79"/>
      <c r="N519" s="79"/>
      <c r="Q519" s="79"/>
      <c r="T519" s="130"/>
      <c r="V519" s="106"/>
    </row>
    <row r="520">
      <c r="C520" s="79"/>
      <c r="D520" s="79"/>
      <c r="J520" s="79"/>
      <c r="N520" s="79"/>
      <c r="Q520" s="79"/>
      <c r="T520" s="130"/>
      <c r="V520" s="106"/>
    </row>
    <row r="521">
      <c r="C521" s="79"/>
      <c r="D521" s="79"/>
      <c r="J521" s="79"/>
      <c r="N521" s="79"/>
      <c r="Q521" s="79"/>
      <c r="T521" s="130"/>
      <c r="V521" s="106"/>
    </row>
    <row r="522">
      <c r="C522" s="79"/>
      <c r="D522" s="79"/>
      <c r="J522" s="79"/>
      <c r="N522" s="79"/>
      <c r="Q522" s="79"/>
      <c r="T522" s="130"/>
      <c r="V522" s="106"/>
    </row>
    <row r="523">
      <c r="C523" s="79"/>
      <c r="D523" s="79"/>
      <c r="J523" s="79"/>
      <c r="N523" s="79"/>
      <c r="Q523" s="79"/>
      <c r="T523" s="130"/>
      <c r="V523" s="106"/>
    </row>
    <row r="524">
      <c r="C524" s="79"/>
      <c r="D524" s="79"/>
      <c r="J524" s="79"/>
      <c r="N524" s="79"/>
      <c r="Q524" s="79"/>
      <c r="T524" s="130"/>
      <c r="V524" s="106"/>
    </row>
    <row r="525">
      <c r="C525" s="79"/>
      <c r="D525" s="79"/>
      <c r="J525" s="79"/>
      <c r="N525" s="79"/>
      <c r="Q525" s="79"/>
      <c r="T525" s="130"/>
      <c r="V525" s="106"/>
    </row>
    <row r="526">
      <c r="C526" s="79"/>
      <c r="D526" s="79"/>
      <c r="J526" s="79"/>
      <c r="N526" s="79"/>
      <c r="Q526" s="79"/>
      <c r="T526" s="130"/>
      <c r="V526" s="106"/>
    </row>
    <row r="527">
      <c r="C527" s="79"/>
      <c r="D527" s="79"/>
      <c r="J527" s="79"/>
      <c r="N527" s="79"/>
      <c r="Q527" s="79"/>
      <c r="T527" s="130"/>
      <c r="V527" s="106"/>
    </row>
    <row r="528">
      <c r="C528" s="79"/>
      <c r="D528" s="79"/>
      <c r="J528" s="79"/>
      <c r="N528" s="79"/>
      <c r="Q528" s="79"/>
      <c r="T528" s="130"/>
      <c r="V528" s="106"/>
    </row>
    <row r="529">
      <c r="C529" s="79"/>
      <c r="D529" s="79"/>
      <c r="J529" s="79"/>
      <c r="N529" s="79"/>
      <c r="Q529" s="79"/>
      <c r="T529" s="130"/>
      <c r="V529" s="106"/>
    </row>
    <row r="530">
      <c r="C530" s="79"/>
      <c r="D530" s="79"/>
      <c r="J530" s="79"/>
      <c r="N530" s="79"/>
      <c r="Q530" s="79"/>
      <c r="T530" s="130"/>
      <c r="V530" s="106"/>
    </row>
    <row r="531">
      <c r="C531" s="79"/>
      <c r="D531" s="79"/>
      <c r="J531" s="79"/>
      <c r="N531" s="79"/>
      <c r="Q531" s="79"/>
      <c r="T531" s="130"/>
      <c r="V531" s="106"/>
    </row>
    <row r="532">
      <c r="C532" s="79"/>
      <c r="D532" s="79"/>
      <c r="J532" s="79"/>
      <c r="N532" s="79"/>
      <c r="Q532" s="79"/>
      <c r="T532" s="130"/>
      <c r="V532" s="106"/>
    </row>
    <row r="533">
      <c r="C533" s="79"/>
      <c r="D533" s="79"/>
      <c r="J533" s="79"/>
      <c r="N533" s="79"/>
      <c r="Q533" s="79"/>
      <c r="T533" s="130"/>
      <c r="V533" s="106"/>
    </row>
    <row r="534">
      <c r="C534" s="79"/>
      <c r="D534" s="79"/>
      <c r="J534" s="79"/>
      <c r="N534" s="79"/>
      <c r="Q534" s="79"/>
      <c r="T534" s="130"/>
      <c r="V534" s="106"/>
    </row>
    <row r="535">
      <c r="C535" s="79"/>
      <c r="D535" s="79"/>
      <c r="J535" s="79"/>
      <c r="N535" s="79"/>
      <c r="Q535" s="79"/>
      <c r="T535" s="130"/>
      <c r="V535" s="106"/>
    </row>
    <row r="536">
      <c r="C536" s="79"/>
      <c r="D536" s="79"/>
      <c r="J536" s="79"/>
      <c r="N536" s="79"/>
      <c r="Q536" s="79"/>
      <c r="T536" s="130"/>
      <c r="V536" s="106"/>
    </row>
    <row r="537">
      <c r="C537" s="79"/>
      <c r="D537" s="79"/>
      <c r="J537" s="79"/>
      <c r="N537" s="79"/>
      <c r="Q537" s="79"/>
      <c r="T537" s="130"/>
      <c r="V537" s="106"/>
    </row>
    <row r="538">
      <c r="C538" s="79"/>
      <c r="D538" s="79"/>
      <c r="J538" s="79"/>
      <c r="N538" s="79"/>
      <c r="Q538" s="79"/>
      <c r="T538" s="130"/>
      <c r="V538" s="106"/>
    </row>
    <row r="539">
      <c r="C539" s="79"/>
      <c r="D539" s="79"/>
      <c r="J539" s="79"/>
      <c r="N539" s="79"/>
      <c r="Q539" s="79"/>
      <c r="T539" s="130"/>
      <c r="V539" s="106"/>
    </row>
    <row r="540">
      <c r="C540" s="79"/>
      <c r="D540" s="79"/>
      <c r="J540" s="79"/>
      <c r="N540" s="79"/>
      <c r="Q540" s="79"/>
      <c r="T540" s="130"/>
      <c r="V540" s="106"/>
    </row>
    <row r="541">
      <c r="C541" s="79"/>
      <c r="D541" s="79"/>
      <c r="J541" s="79"/>
      <c r="N541" s="79"/>
      <c r="Q541" s="79"/>
      <c r="T541" s="130"/>
      <c r="V541" s="106"/>
    </row>
    <row r="542">
      <c r="C542" s="79"/>
      <c r="D542" s="79"/>
      <c r="J542" s="79"/>
      <c r="N542" s="79"/>
      <c r="Q542" s="79"/>
      <c r="T542" s="130"/>
      <c r="V542" s="106"/>
    </row>
    <row r="543">
      <c r="C543" s="79"/>
      <c r="D543" s="79"/>
      <c r="J543" s="79"/>
      <c r="N543" s="79"/>
      <c r="Q543" s="79"/>
      <c r="T543" s="130"/>
      <c r="V543" s="106"/>
    </row>
    <row r="544">
      <c r="C544" s="79"/>
      <c r="D544" s="79"/>
      <c r="J544" s="79"/>
      <c r="N544" s="79"/>
      <c r="Q544" s="79"/>
      <c r="T544" s="130"/>
      <c r="V544" s="106"/>
    </row>
    <row r="545">
      <c r="C545" s="79"/>
      <c r="D545" s="79"/>
      <c r="J545" s="79"/>
      <c r="N545" s="79"/>
      <c r="Q545" s="79"/>
      <c r="T545" s="130"/>
      <c r="V545" s="106"/>
    </row>
    <row r="546">
      <c r="C546" s="79"/>
      <c r="D546" s="79"/>
      <c r="J546" s="79"/>
      <c r="N546" s="79"/>
      <c r="Q546" s="79"/>
      <c r="T546" s="130"/>
      <c r="V546" s="106"/>
    </row>
    <row r="547">
      <c r="C547" s="79"/>
      <c r="D547" s="79"/>
      <c r="J547" s="79"/>
      <c r="N547" s="79"/>
      <c r="Q547" s="79"/>
      <c r="T547" s="130"/>
      <c r="V547" s="106"/>
    </row>
    <row r="548">
      <c r="C548" s="79"/>
      <c r="D548" s="79"/>
      <c r="J548" s="79"/>
      <c r="N548" s="79"/>
      <c r="Q548" s="79"/>
      <c r="T548" s="130"/>
      <c r="V548" s="106"/>
    </row>
    <row r="549">
      <c r="C549" s="79"/>
      <c r="D549" s="79"/>
      <c r="J549" s="79"/>
      <c r="N549" s="79"/>
      <c r="Q549" s="79"/>
      <c r="T549" s="130"/>
      <c r="V549" s="106"/>
    </row>
    <row r="550">
      <c r="C550" s="79"/>
      <c r="D550" s="79"/>
      <c r="J550" s="79"/>
      <c r="N550" s="79"/>
      <c r="Q550" s="79"/>
      <c r="T550" s="130"/>
      <c r="V550" s="106"/>
    </row>
    <row r="551">
      <c r="C551" s="79"/>
      <c r="D551" s="79"/>
      <c r="J551" s="79"/>
      <c r="N551" s="79"/>
      <c r="Q551" s="79"/>
      <c r="T551" s="130"/>
      <c r="V551" s="106"/>
    </row>
    <row r="552">
      <c r="C552" s="79"/>
      <c r="D552" s="79"/>
      <c r="J552" s="79"/>
      <c r="N552" s="79"/>
      <c r="Q552" s="79"/>
      <c r="T552" s="130"/>
      <c r="V552" s="106"/>
    </row>
    <row r="553">
      <c r="C553" s="79"/>
      <c r="D553" s="79"/>
      <c r="J553" s="79"/>
      <c r="N553" s="79"/>
      <c r="Q553" s="79"/>
      <c r="T553" s="130"/>
      <c r="V553" s="106"/>
    </row>
    <row r="554">
      <c r="C554" s="79"/>
      <c r="D554" s="79"/>
      <c r="J554" s="79"/>
      <c r="N554" s="79"/>
      <c r="Q554" s="79"/>
      <c r="T554" s="130"/>
      <c r="V554" s="106"/>
    </row>
    <row r="555">
      <c r="C555" s="79"/>
      <c r="D555" s="79"/>
      <c r="J555" s="79"/>
      <c r="N555" s="79"/>
      <c r="Q555" s="79"/>
      <c r="T555" s="130"/>
      <c r="V555" s="106"/>
    </row>
    <row r="556">
      <c r="C556" s="79"/>
      <c r="D556" s="79"/>
      <c r="J556" s="79"/>
      <c r="N556" s="79"/>
      <c r="Q556" s="79"/>
      <c r="T556" s="130"/>
      <c r="V556" s="106"/>
    </row>
    <row r="557">
      <c r="C557" s="79"/>
      <c r="D557" s="79"/>
      <c r="J557" s="79"/>
      <c r="N557" s="79"/>
      <c r="Q557" s="79"/>
      <c r="T557" s="130"/>
      <c r="V557" s="106"/>
    </row>
    <row r="558">
      <c r="C558" s="79"/>
      <c r="D558" s="79"/>
      <c r="J558" s="79"/>
      <c r="N558" s="79"/>
      <c r="Q558" s="79"/>
      <c r="T558" s="130"/>
      <c r="V558" s="106"/>
    </row>
    <row r="559">
      <c r="C559" s="79"/>
      <c r="D559" s="79"/>
      <c r="J559" s="79"/>
      <c r="N559" s="79"/>
      <c r="Q559" s="79"/>
      <c r="T559" s="130"/>
      <c r="V559" s="106"/>
    </row>
    <row r="560">
      <c r="C560" s="79"/>
      <c r="D560" s="79"/>
      <c r="J560" s="79"/>
      <c r="N560" s="79"/>
      <c r="Q560" s="79"/>
      <c r="T560" s="130"/>
      <c r="V560" s="106"/>
    </row>
    <row r="561">
      <c r="C561" s="79"/>
      <c r="D561" s="79"/>
      <c r="J561" s="79"/>
      <c r="N561" s="79"/>
      <c r="Q561" s="79"/>
      <c r="T561" s="130"/>
      <c r="V561" s="106"/>
    </row>
    <row r="562">
      <c r="C562" s="79"/>
      <c r="D562" s="79"/>
      <c r="J562" s="79"/>
      <c r="N562" s="79"/>
      <c r="Q562" s="79"/>
      <c r="T562" s="130"/>
      <c r="V562" s="106"/>
    </row>
    <row r="563">
      <c r="C563" s="79"/>
      <c r="D563" s="79"/>
      <c r="J563" s="79"/>
      <c r="N563" s="79"/>
      <c r="Q563" s="79"/>
      <c r="T563" s="130"/>
      <c r="V563" s="106"/>
    </row>
    <row r="564">
      <c r="C564" s="79"/>
      <c r="D564" s="79"/>
      <c r="J564" s="79"/>
      <c r="N564" s="79"/>
      <c r="Q564" s="79"/>
      <c r="T564" s="130"/>
      <c r="V564" s="106"/>
    </row>
    <row r="565">
      <c r="C565" s="79"/>
      <c r="D565" s="79"/>
      <c r="J565" s="79"/>
      <c r="N565" s="79"/>
      <c r="Q565" s="79"/>
      <c r="T565" s="130"/>
      <c r="V565" s="106"/>
    </row>
    <row r="566">
      <c r="C566" s="79"/>
      <c r="D566" s="79"/>
      <c r="J566" s="79"/>
      <c r="N566" s="79"/>
      <c r="Q566" s="79"/>
      <c r="T566" s="130"/>
      <c r="V566" s="106"/>
    </row>
    <row r="567">
      <c r="C567" s="79"/>
      <c r="D567" s="79"/>
      <c r="J567" s="79"/>
      <c r="N567" s="79"/>
      <c r="Q567" s="79"/>
      <c r="T567" s="130"/>
      <c r="V567" s="106"/>
    </row>
    <row r="568">
      <c r="C568" s="79"/>
      <c r="D568" s="79"/>
      <c r="J568" s="79"/>
      <c r="N568" s="79"/>
      <c r="Q568" s="79"/>
      <c r="T568" s="130"/>
      <c r="V568" s="106"/>
    </row>
    <row r="569">
      <c r="C569" s="79"/>
      <c r="D569" s="79"/>
      <c r="J569" s="79"/>
      <c r="N569" s="79"/>
      <c r="Q569" s="79"/>
      <c r="T569" s="130"/>
      <c r="V569" s="106"/>
    </row>
    <row r="570">
      <c r="C570" s="79"/>
      <c r="D570" s="79"/>
      <c r="J570" s="79"/>
      <c r="N570" s="79"/>
      <c r="Q570" s="79"/>
      <c r="T570" s="130"/>
      <c r="V570" s="106"/>
    </row>
    <row r="571">
      <c r="C571" s="79"/>
      <c r="D571" s="79"/>
      <c r="J571" s="79"/>
      <c r="N571" s="79"/>
      <c r="Q571" s="79"/>
      <c r="T571" s="130"/>
      <c r="V571" s="106"/>
    </row>
    <row r="572">
      <c r="C572" s="79"/>
      <c r="D572" s="79"/>
      <c r="J572" s="79"/>
      <c r="N572" s="79"/>
      <c r="Q572" s="79"/>
      <c r="T572" s="130"/>
      <c r="V572" s="106"/>
    </row>
    <row r="573">
      <c r="C573" s="79"/>
      <c r="D573" s="79"/>
      <c r="J573" s="79"/>
      <c r="N573" s="79"/>
      <c r="Q573" s="79"/>
      <c r="T573" s="130"/>
      <c r="V573" s="106"/>
    </row>
    <row r="574">
      <c r="C574" s="79"/>
      <c r="D574" s="79"/>
      <c r="J574" s="79"/>
      <c r="N574" s="79"/>
      <c r="Q574" s="79"/>
      <c r="T574" s="130"/>
      <c r="V574" s="106"/>
    </row>
    <row r="575">
      <c r="C575" s="79"/>
      <c r="D575" s="79"/>
      <c r="J575" s="79"/>
      <c r="N575" s="79"/>
      <c r="Q575" s="79"/>
      <c r="T575" s="130"/>
      <c r="V575" s="106"/>
    </row>
    <row r="576">
      <c r="C576" s="79"/>
      <c r="D576" s="79"/>
      <c r="J576" s="79"/>
      <c r="N576" s="79"/>
      <c r="Q576" s="79"/>
      <c r="T576" s="130"/>
      <c r="V576" s="106"/>
    </row>
    <row r="577">
      <c r="C577" s="79"/>
      <c r="D577" s="79"/>
      <c r="J577" s="79"/>
      <c r="N577" s="79"/>
      <c r="Q577" s="79"/>
      <c r="T577" s="130"/>
      <c r="V577" s="106"/>
    </row>
    <row r="578">
      <c r="C578" s="79"/>
      <c r="D578" s="79"/>
      <c r="J578" s="79"/>
      <c r="N578" s="79"/>
      <c r="Q578" s="79"/>
      <c r="T578" s="130"/>
      <c r="V578" s="106"/>
    </row>
    <row r="579">
      <c r="C579" s="79"/>
      <c r="D579" s="79"/>
      <c r="J579" s="79"/>
      <c r="N579" s="79"/>
      <c r="Q579" s="79"/>
      <c r="T579" s="130"/>
      <c r="V579" s="106"/>
    </row>
    <row r="580">
      <c r="C580" s="79"/>
      <c r="D580" s="79"/>
      <c r="J580" s="79"/>
      <c r="N580" s="79"/>
      <c r="Q580" s="79"/>
      <c r="T580" s="130"/>
      <c r="V580" s="106"/>
    </row>
    <row r="581">
      <c r="C581" s="79"/>
      <c r="D581" s="79"/>
      <c r="J581" s="79"/>
      <c r="N581" s="79"/>
      <c r="Q581" s="79"/>
      <c r="T581" s="130"/>
      <c r="V581" s="106"/>
    </row>
    <row r="582">
      <c r="C582" s="79"/>
      <c r="D582" s="79"/>
      <c r="J582" s="79"/>
      <c r="N582" s="79"/>
      <c r="Q582" s="79"/>
      <c r="T582" s="130"/>
      <c r="V582" s="106"/>
    </row>
    <row r="583">
      <c r="C583" s="79"/>
      <c r="D583" s="79"/>
      <c r="J583" s="79"/>
      <c r="N583" s="79"/>
      <c r="Q583" s="79"/>
      <c r="T583" s="130"/>
      <c r="V583" s="106"/>
    </row>
    <row r="584">
      <c r="C584" s="79"/>
      <c r="D584" s="79"/>
      <c r="J584" s="79"/>
      <c r="N584" s="79"/>
      <c r="Q584" s="79"/>
      <c r="T584" s="130"/>
      <c r="V584" s="106"/>
    </row>
    <row r="585">
      <c r="C585" s="79"/>
      <c r="D585" s="79"/>
      <c r="J585" s="79"/>
      <c r="N585" s="79"/>
      <c r="Q585" s="79"/>
      <c r="T585" s="130"/>
      <c r="V585" s="106"/>
    </row>
    <row r="586">
      <c r="C586" s="79"/>
      <c r="D586" s="79"/>
      <c r="J586" s="79"/>
      <c r="N586" s="79"/>
      <c r="Q586" s="79"/>
      <c r="T586" s="130"/>
      <c r="V586" s="106"/>
    </row>
    <row r="587">
      <c r="C587" s="79"/>
      <c r="D587" s="79"/>
      <c r="J587" s="79"/>
      <c r="N587" s="79"/>
      <c r="Q587" s="79"/>
      <c r="T587" s="130"/>
      <c r="V587" s="106"/>
    </row>
    <row r="588">
      <c r="C588" s="79"/>
      <c r="D588" s="79"/>
      <c r="J588" s="79"/>
      <c r="N588" s="79"/>
      <c r="Q588" s="79"/>
      <c r="T588" s="130"/>
      <c r="V588" s="106"/>
    </row>
    <row r="589">
      <c r="C589" s="79"/>
      <c r="D589" s="79"/>
      <c r="J589" s="79"/>
      <c r="N589" s="79"/>
      <c r="Q589" s="79"/>
      <c r="T589" s="130"/>
      <c r="V589" s="106"/>
    </row>
    <row r="590">
      <c r="C590" s="79"/>
      <c r="D590" s="79"/>
      <c r="J590" s="79"/>
      <c r="N590" s="79"/>
      <c r="Q590" s="79"/>
      <c r="T590" s="130"/>
      <c r="V590" s="106"/>
    </row>
    <row r="591">
      <c r="C591" s="79"/>
      <c r="D591" s="79"/>
      <c r="J591" s="79"/>
      <c r="N591" s="79"/>
      <c r="Q591" s="79"/>
      <c r="T591" s="130"/>
      <c r="V591" s="106"/>
    </row>
    <row r="592">
      <c r="C592" s="79"/>
      <c r="D592" s="79"/>
      <c r="J592" s="79"/>
      <c r="N592" s="79"/>
      <c r="Q592" s="79"/>
      <c r="T592" s="130"/>
      <c r="V592" s="106"/>
    </row>
    <row r="593">
      <c r="C593" s="79"/>
      <c r="D593" s="79"/>
      <c r="J593" s="79"/>
      <c r="N593" s="79"/>
      <c r="Q593" s="79"/>
      <c r="T593" s="130"/>
      <c r="V593" s="106"/>
    </row>
    <row r="594">
      <c r="C594" s="79"/>
      <c r="D594" s="79"/>
      <c r="J594" s="79"/>
      <c r="N594" s="79"/>
      <c r="Q594" s="79"/>
      <c r="T594" s="130"/>
      <c r="V594" s="106"/>
    </row>
    <row r="595">
      <c r="C595" s="79"/>
      <c r="D595" s="79"/>
      <c r="J595" s="79"/>
      <c r="N595" s="79"/>
      <c r="Q595" s="79"/>
      <c r="T595" s="130"/>
      <c r="V595" s="106"/>
    </row>
    <row r="596">
      <c r="C596" s="79"/>
      <c r="D596" s="79"/>
      <c r="J596" s="79"/>
      <c r="N596" s="79"/>
      <c r="Q596" s="79"/>
      <c r="T596" s="130"/>
      <c r="V596" s="106"/>
    </row>
    <row r="597">
      <c r="C597" s="79"/>
      <c r="D597" s="79"/>
      <c r="J597" s="79"/>
      <c r="N597" s="79"/>
      <c r="Q597" s="79"/>
      <c r="T597" s="130"/>
      <c r="V597" s="106"/>
    </row>
    <row r="598">
      <c r="C598" s="79"/>
      <c r="D598" s="79"/>
      <c r="J598" s="79"/>
      <c r="N598" s="79"/>
      <c r="Q598" s="79"/>
      <c r="T598" s="130"/>
      <c r="V598" s="106"/>
    </row>
    <row r="599">
      <c r="C599" s="79"/>
      <c r="D599" s="79"/>
      <c r="J599" s="79"/>
      <c r="N599" s="79"/>
      <c r="Q599" s="79"/>
      <c r="T599" s="130"/>
      <c r="V599" s="106"/>
    </row>
    <row r="600">
      <c r="C600" s="79"/>
      <c r="D600" s="79"/>
      <c r="J600" s="79"/>
      <c r="N600" s="79"/>
      <c r="Q600" s="79"/>
      <c r="T600" s="130"/>
      <c r="V600" s="106"/>
    </row>
    <row r="601">
      <c r="C601" s="79"/>
      <c r="D601" s="79"/>
      <c r="J601" s="79"/>
      <c r="N601" s="79"/>
      <c r="Q601" s="79"/>
      <c r="T601" s="130"/>
      <c r="V601" s="106"/>
    </row>
    <row r="602">
      <c r="C602" s="79"/>
      <c r="D602" s="79"/>
      <c r="J602" s="79"/>
      <c r="N602" s="79"/>
      <c r="Q602" s="79"/>
      <c r="T602" s="130"/>
      <c r="V602" s="106"/>
    </row>
    <row r="603">
      <c r="C603" s="79"/>
      <c r="D603" s="79"/>
      <c r="J603" s="79"/>
      <c r="N603" s="79"/>
      <c r="Q603" s="79"/>
      <c r="T603" s="130"/>
      <c r="V603" s="106"/>
    </row>
    <row r="604">
      <c r="C604" s="79"/>
      <c r="D604" s="79"/>
      <c r="J604" s="79"/>
      <c r="N604" s="79"/>
      <c r="Q604" s="79"/>
      <c r="T604" s="130"/>
      <c r="V604" s="106"/>
    </row>
    <row r="605">
      <c r="C605" s="79"/>
      <c r="D605" s="79"/>
      <c r="J605" s="79"/>
      <c r="N605" s="79"/>
      <c r="Q605" s="79"/>
      <c r="T605" s="130"/>
      <c r="V605" s="106"/>
    </row>
    <row r="606">
      <c r="C606" s="79"/>
      <c r="D606" s="79"/>
      <c r="J606" s="79"/>
      <c r="N606" s="79"/>
      <c r="Q606" s="79"/>
      <c r="T606" s="130"/>
      <c r="V606" s="106"/>
    </row>
    <row r="607">
      <c r="C607" s="79"/>
      <c r="D607" s="79"/>
      <c r="J607" s="79"/>
      <c r="N607" s="79"/>
      <c r="Q607" s="79"/>
      <c r="T607" s="130"/>
      <c r="V607" s="106"/>
    </row>
    <row r="608">
      <c r="C608" s="79"/>
      <c r="D608" s="79"/>
      <c r="J608" s="79"/>
      <c r="N608" s="79"/>
      <c r="Q608" s="79"/>
      <c r="T608" s="130"/>
      <c r="V608" s="106"/>
    </row>
    <row r="609">
      <c r="C609" s="79"/>
      <c r="D609" s="79"/>
      <c r="J609" s="79"/>
      <c r="N609" s="79"/>
      <c r="Q609" s="79"/>
      <c r="T609" s="130"/>
      <c r="V609" s="106"/>
    </row>
    <row r="610">
      <c r="C610" s="79"/>
      <c r="D610" s="79"/>
      <c r="J610" s="79"/>
      <c r="N610" s="79"/>
      <c r="Q610" s="79"/>
      <c r="T610" s="130"/>
      <c r="V610" s="106"/>
    </row>
    <row r="611">
      <c r="C611" s="79"/>
      <c r="D611" s="79"/>
      <c r="J611" s="79"/>
      <c r="N611" s="79"/>
      <c r="Q611" s="79"/>
      <c r="T611" s="130"/>
      <c r="V611" s="106"/>
    </row>
    <row r="612">
      <c r="C612" s="79"/>
      <c r="D612" s="79"/>
      <c r="J612" s="79"/>
      <c r="N612" s="79"/>
      <c r="Q612" s="79"/>
      <c r="T612" s="130"/>
      <c r="V612" s="106"/>
    </row>
    <row r="613">
      <c r="C613" s="79"/>
      <c r="D613" s="79"/>
      <c r="J613" s="79"/>
      <c r="N613" s="79"/>
      <c r="Q613" s="79"/>
      <c r="T613" s="130"/>
      <c r="V613" s="106"/>
    </row>
    <row r="614">
      <c r="C614" s="79"/>
      <c r="D614" s="79"/>
      <c r="J614" s="79"/>
      <c r="N614" s="79"/>
      <c r="Q614" s="79"/>
      <c r="T614" s="130"/>
      <c r="V614" s="106"/>
    </row>
    <row r="615">
      <c r="C615" s="79"/>
      <c r="D615" s="79"/>
      <c r="J615" s="79"/>
      <c r="N615" s="79"/>
      <c r="Q615" s="79"/>
      <c r="T615" s="130"/>
      <c r="V615" s="106"/>
    </row>
    <row r="616">
      <c r="C616" s="79"/>
      <c r="D616" s="79"/>
      <c r="J616" s="79"/>
      <c r="N616" s="79"/>
      <c r="Q616" s="79"/>
      <c r="T616" s="130"/>
      <c r="V616" s="106"/>
    </row>
    <row r="617">
      <c r="C617" s="79"/>
      <c r="D617" s="79"/>
      <c r="J617" s="79"/>
      <c r="N617" s="79"/>
      <c r="Q617" s="79"/>
      <c r="T617" s="130"/>
      <c r="V617" s="106"/>
    </row>
    <row r="618">
      <c r="C618" s="79"/>
      <c r="D618" s="79"/>
      <c r="J618" s="79"/>
      <c r="N618" s="79"/>
      <c r="Q618" s="79"/>
      <c r="T618" s="130"/>
      <c r="V618" s="106"/>
    </row>
    <row r="619">
      <c r="C619" s="79"/>
      <c r="D619" s="79"/>
      <c r="J619" s="79"/>
      <c r="N619" s="79"/>
      <c r="Q619" s="79"/>
      <c r="T619" s="130"/>
      <c r="V619" s="106"/>
    </row>
    <row r="620">
      <c r="C620" s="79"/>
      <c r="D620" s="79"/>
      <c r="J620" s="79"/>
      <c r="N620" s="79"/>
      <c r="Q620" s="79"/>
      <c r="T620" s="130"/>
      <c r="V620" s="106"/>
    </row>
    <row r="621">
      <c r="C621" s="79"/>
      <c r="D621" s="79"/>
      <c r="J621" s="79"/>
      <c r="N621" s="79"/>
      <c r="Q621" s="79"/>
      <c r="T621" s="130"/>
      <c r="V621" s="106"/>
    </row>
    <row r="622">
      <c r="C622" s="79"/>
      <c r="D622" s="79"/>
      <c r="J622" s="79"/>
      <c r="N622" s="79"/>
      <c r="Q622" s="79"/>
      <c r="T622" s="130"/>
      <c r="V622" s="106"/>
    </row>
    <row r="623">
      <c r="C623" s="79"/>
      <c r="D623" s="79"/>
      <c r="J623" s="79"/>
      <c r="N623" s="79"/>
      <c r="Q623" s="79"/>
      <c r="T623" s="130"/>
      <c r="V623" s="106"/>
    </row>
    <row r="624">
      <c r="C624" s="79"/>
      <c r="D624" s="79"/>
      <c r="J624" s="79"/>
      <c r="N624" s="79"/>
      <c r="Q624" s="79"/>
      <c r="T624" s="130"/>
      <c r="V624" s="106"/>
    </row>
    <row r="625">
      <c r="C625" s="79"/>
      <c r="D625" s="79"/>
      <c r="J625" s="79"/>
      <c r="N625" s="79"/>
      <c r="Q625" s="79"/>
      <c r="T625" s="130"/>
      <c r="V625" s="106"/>
    </row>
    <row r="626">
      <c r="C626" s="79"/>
      <c r="D626" s="79"/>
      <c r="J626" s="79"/>
      <c r="N626" s="79"/>
      <c r="Q626" s="79"/>
      <c r="T626" s="130"/>
      <c r="V626" s="106"/>
    </row>
    <row r="627">
      <c r="C627" s="79"/>
      <c r="D627" s="79"/>
      <c r="J627" s="79"/>
      <c r="N627" s="79"/>
      <c r="Q627" s="79"/>
      <c r="T627" s="130"/>
      <c r="V627" s="106"/>
    </row>
    <row r="628">
      <c r="C628" s="79"/>
      <c r="D628" s="79"/>
      <c r="J628" s="79"/>
      <c r="N628" s="79"/>
      <c r="Q628" s="79"/>
      <c r="T628" s="130"/>
      <c r="V628" s="106"/>
    </row>
    <row r="629">
      <c r="C629" s="79"/>
      <c r="D629" s="79"/>
      <c r="J629" s="79"/>
      <c r="N629" s="79"/>
      <c r="Q629" s="79"/>
      <c r="T629" s="130"/>
      <c r="V629" s="106"/>
    </row>
    <row r="630">
      <c r="C630" s="79"/>
      <c r="D630" s="79"/>
      <c r="J630" s="79"/>
      <c r="N630" s="79"/>
      <c r="Q630" s="79"/>
      <c r="T630" s="130"/>
      <c r="V630" s="106"/>
    </row>
    <row r="631">
      <c r="C631" s="79"/>
      <c r="D631" s="79"/>
      <c r="J631" s="79"/>
      <c r="N631" s="79"/>
      <c r="Q631" s="79"/>
      <c r="T631" s="130"/>
      <c r="V631" s="106"/>
    </row>
    <row r="632">
      <c r="C632" s="79"/>
      <c r="D632" s="79"/>
      <c r="J632" s="79"/>
      <c r="N632" s="79"/>
      <c r="Q632" s="79"/>
      <c r="T632" s="130"/>
      <c r="V632" s="106"/>
    </row>
    <row r="633">
      <c r="C633" s="79"/>
      <c r="D633" s="79"/>
      <c r="J633" s="79"/>
      <c r="N633" s="79"/>
      <c r="Q633" s="79"/>
      <c r="T633" s="130"/>
      <c r="V633" s="106"/>
    </row>
    <row r="634">
      <c r="C634" s="79"/>
      <c r="D634" s="79"/>
      <c r="J634" s="79"/>
      <c r="N634" s="79"/>
      <c r="Q634" s="79"/>
      <c r="T634" s="130"/>
      <c r="V634" s="106"/>
    </row>
    <row r="635">
      <c r="C635" s="79"/>
      <c r="D635" s="79"/>
      <c r="J635" s="79"/>
      <c r="N635" s="79"/>
      <c r="Q635" s="79"/>
      <c r="T635" s="130"/>
      <c r="V635" s="106"/>
    </row>
    <row r="636">
      <c r="C636" s="79"/>
      <c r="D636" s="79"/>
      <c r="J636" s="79"/>
      <c r="N636" s="79"/>
      <c r="Q636" s="79"/>
      <c r="T636" s="130"/>
      <c r="V636" s="106"/>
    </row>
    <row r="637">
      <c r="C637" s="79"/>
      <c r="D637" s="79"/>
      <c r="J637" s="79"/>
      <c r="N637" s="79"/>
      <c r="Q637" s="79"/>
      <c r="T637" s="130"/>
      <c r="V637" s="106"/>
    </row>
    <row r="638">
      <c r="C638" s="79"/>
      <c r="D638" s="79"/>
      <c r="J638" s="79"/>
      <c r="N638" s="79"/>
      <c r="Q638" s="79"/>
      <c r="T638" s="130"/>
      <c r="V638" s="106"/>
    </row>
    <row r="639">
      <c r="C639" s="79"/>
      <c r="D639" s="79"/>
      <c r="J639" s="79"/>
      <c r="N639" s="79"/>
      <c r="Q639" s="79"/>
      <c r="T639" s="130"/>
      <c r="V639" s="106"/>
    </row>
    <row r="640">
      <c r="C640" s="79"/>
      <c r="D640" s="79"/>
      <c r="J640" s="79"/>
      <c r="N640" s="79"/>
      <c r="Q640" s="79"/>
      <c r="T640" s="130"/>
      <c r="V640" s="106"/>
    </row>
    <row r="641">
      <c r="C641" s="79"/>
      <c r="D641" s="79"/>
      <c r="J641" s="79"/>
      <c r="N641" s="79"/>
      <c r="Q641" s="79"/>
      <c r="T641" s="130"/>
      <c r="V641" s="106"/>
    </row>
    <row r="642">
      <c r="C642" s="79"/>
      <c r="D642" s="79"/>
      <c r="J642" s="79"/>
      <c r="N642" s="79"/>
      <c r="Q642" s="79"/>
      <c r="T642" s="130"/>
      <c r="V642" s="106"/>
    </row>
    <row r="643">
      <c r="C643" s="79"/>
      <c r="D643" s="79"/>
      <c r="J643" s="79"/>
      <c r="N643" s="79"/>
      <c r="Q643" s="79"/>
      <c r="T643" s="130"/>
      <c r="V643" s="106"/>
    </row>
    <row r="644">
      <c r="C644" s="79"/>
      <c r="D644" s="79"/>
      <c r="J644" s="79"/>
      <c r="N644" s="79"/>
      <c r="Q644" s="79"/>
      <c r="T644" s="130"/>
      <c r="V644" s="106"/>
    </row>
    <row r="645">
      <c r="C645" s="79"/>
      <c r="D645" s="79"/>
      <c r="J645" s="79"/>
      <c r="N645" s="79"/>
      <c r="Q645" s="79"/>
      <c r="T645" s="130"/>
      <c r="V645" s="106"/>
    </row>
    <row r="646">
      <c r="C646" s="79"/>
      <c r="D646" s="79"/>
      <c r="J646" s="79"/>
      <c r="N646" s="79"/>
      <c r="Q646" s="79"/>
      <c r="T646" s="130"/>
      <c r="V646" s="106"/>
    </row>
    <row r="647">
      <c r="C647" s="79"/>
      <c r="D647" s="79"/>
      <c r="J647" s="79"/>
      <c r="N647" s="79"/>
      <c r="Q647" s="79"/>
      <c r="T647" s="130"/>
      <c r="V647" s="106"/>
    </row>
    <row r="648">
      <c r="C648" s="79"/>
      <c r="D648" s="79"/>
      <c r="J648" s="79"/>
      <c r="N648" s="79"/>
      <c r="Q648" s="79"/>
      <c r="T648" s="130"/>
      <c r="V648" s="106"/>
    </row>
    <row r="649">
      <c r="C649" s="79"/>
      <c r="D649" s="79"/>
      <c r="J649" s="79"/>
      <c r="N649" s="79"/>
      <c r="Q649" s="79"/>
      <c r="T649" s="130"/>
      <c r="V649" s="106"/>
    </row>
    <row r="650">
      <c r="C650" s="79"/>
      <c r="D650" s="79"/>
      <c r="J650" s="79"/>
      <c r="N650" s="79"/>
      <c r="Q650" s="79"/>
      <c r="T650" s="130"/>
      <c r="V650" s="106"/>
    </row>
    <row r="651">
      <c r="C651" s="79"/>
      <c r="D651" s="79"/>
      <c r="J651" s="79"/>
      <c r="N651" s="79"/>
      <c r="Q651" s="79"/>
      <c r="T651" s="130"/>
      <c r="V651" s="106"/>
    </row>
    <row r="652">
      <c r="C652" s="79"/>
      <c r="D652" s="79"/>
      <c r="J652" s="79"/>
      <c r="N652" s="79"/>
      <c r="Q652" s="79"/>
      <c r="T652" s="130"/>
      <c r="V652" s="106"/>
    </row>
    <row r="653">
      <c r="C653" s="79"/>
      <c r="D653" s="79"/>
      <c r="J653" s="79"/>
      <c r="N653" s="79"/>
      <c r="Q653" s="79"/>
      <c r="T653" s="130"/>
      <c r="V653" s="106"/>
    </row>
    <row r="654">
      <c r="C654" s="79"/>
      <c r="D654" s="79"/>
      <c r="J654" s="79"/>
      <c r="N654" s="79"/>
      <c r="Q654" s="79"/>
      <c r="T654" s="130"/>
      <c r="V654" s="106"/>
    </row>
    <row r="655">
      <c r="C655" s="79"/>
      <c r="D655" s="79"/>
      <c r="J655" s="79"/>
      <c r="N655" s="79"/>
      <c r="Q655" s="79"/>
      <c r="T655" s="130"/>
      <c r="V655" s="106"/>
    </row>
    <row r="656">
      <c r="C656" s="79"/>
      <c r="D656" s="79"/>
      <c r="J656" s="79"/>
      <c r="N656" s="79"/>
      <c r="Q656" s="79"/>
      <c r="T656" s="130"/>
      <c r="V656" s="106"/>
    </row>
    <row r="657">
      <c r="C657" s="79"/>
      <c r="D657" s="79"/>
      <c r="J657" s="79"/>
      <c r="N657" s="79"/>
      <c r="Q657" s="79"/>
      <c r="T657" s="130"/>
      <c r="V657" s="106"/>
    </row>
    <row r="658">
      <c r="C658" s="79"/>
      <c r="D658" s="79"/>
      <c r="J658" s="79"/>
      <c r="N658" s="79"/>
      <c r="Q658" s="79"/>
      <c r="T658" s="130"/>
      <c r="V658" s="106"/>
    </row>
    <row r="659">
      <c r="C659" s="79"/>
      <c r="D659" s="79"/>
      <c r="J659" s="79"/>
      <c r="N659" s="79"/>
      <c r="Q659" s="79"/>
      <c r="T659" s="130"/>
      <c r="V659" s="106"/>
    </row>
    <row r="660">
      <c r="C660" s="79"/>
      <c r="D660" s="79"/>
      <c r="J660" s="79"/>
      <c r="N660" s="79"/>
      <c r="Q660" s="79"/>
      <c r="T660" s="130"/>
      <c r="V660" s="106"/>
    </row>
    <row r="661">
      <c r="C661" s="79"/>
      <c r="D661" s="79"/>
      <c r="J661" s="79"/>
      <c r="N661" s="79"/>
      <c r="Q661" s="79"/>
      <c r="T661" s="130"/>
      <c r="V661" s="106"/>
    </row>
    <row r="662">
      <c r="C662" s="79"/>
      <c r="D662" s="79"/>
      <c r="J662" s="79"/>
      <c r="N662" s="79"/>
      <c r="Q662" s="79"/>
      <c r="T662" s="130"/>
      <c r="V662" s="106"/>
    </row>
    <row r="663">
      <c r="C663" s="79"/>
      <c r="D663" s="79"/>
      <c r="J663" s="79"/>
      <c r="N663" s="79"/>
      <c r="Q663" s="79"/>
      <c r="T663" s="130"/>
      <c r="V663" s="106"/>
    </row>
    <row r="664">
      <c r="C664" s="79"/>
      <c r="D664" s="79"/>
      <c r="J664" s="79"/>
      <c r="N664" s="79"/>
      <c r="Q664" s="79"/>
      <c r="T664" s="130"/>
      <c r="V664" s="106"/>
    </row>
    <row r="665">
      <c r="C665" s="79"/>
      <c r="D665" s="79"/>
      <c r="J665" s="79"/>
      <c r="N665" s="79"/>
      <c r="Q665" s="79"/>
      <c r="T665" s="130"/>
      <c r="V665" s="106"/>
    </row>
    <row r="666">
      <c r="C666" s="79"/>
      <c r="D666" s="79"/>
      <c r="J666" s="79"/>
      <c r="N666" s="79"/>
      <c r="Q666" s="79"/>
      <c r="T666" s="130"/>
      <c r="V666" s="106"/>
    </row>
    <row r="667">
      <c r="C667" s="79"/>
      <c r="D667" s="79"/>
      <c r="J667" s="79"/>
      <c r="N667" s="79"/>
      <c r="Q667" s="79"/>
      <c r="T667" s="130"/>
      <c r="V667" s="106"/>
    </row>
    <row r="668">
      <c r="C668" s="79"/>
      <c r="D668" s="79"/>
      <c r="J668" s="79"/>
      <c r="N668" s="79"/>
      <c r="Q668" s="79"/>
      <c r="T668" s="130"/>
      <c r="V668" s="106"/>
    </row>
    <row r="669">
      <c r="C669" s="79"/>
      <c r="D669" s="79"/>
      <c r="J669" s="79"/>
      <c r="N669" s="79"/>
      <c r="Q669" s="79"/>
      <c r="T669" s="130"/>
      <c r="V669" s="106"/>
    </row>
    <row r="670">
      <c r="C670" s="79"/>
      <c r="D670" s="79"/>
      <c r="J670" s="79"/>
      <c r="N670" s="79"/>
      <c r="Q670" s="79"/>
      <c r="T670" s="130"/>
      <c r="V670" s="106"/>
    </row>
    <row r="671">
      <c r="C671" s="79"/>
      <c r="D671" s="79"/>
      <c r="J671" s="79"/>
      <c r="N671" s="79"/>
      <c r="Q671" s="79"/>
      <c r="T671" s="130"/>
      <c r="V671" s="106"/>
    </row>
    <row r="672">
      <c r="C672" s="79"/>
      <c r="D672" s="79"/>
      <c r="J672" s="79"/>
      <c r="N672" s="79"/>
      <c r="Q672" s="79"/>
      <c r="T672" s="130"/>
      <c r="V672" s="106"/>
    </row>
    <row r="673">
      <c r="C673" s="79"/>
      <c r="D673" s="79"/>
      <c r="J673" s="79"/>
      <c r="N673" s="79"/>
      <c r="Q673" s="79"/>
      <c r="T673" s="130"/>
      <c r="V673" s="106"/>
    </row>
    <row r="674">
      <c r="C674" s="79"/>
      <c r="D674" s="79"/>
      <c r="J674" s="79"/>
      <c r="N674" s="79"/>
      <c r="Q674" s="79"/>
      <c r="T674" s="130"/>
      <c r="V674" s="106"/>
    </row>
    <row r="675">
      <c r="C675" s="79"/>
      <c r="D675" s="79"/>
      <c r="J675" s="79"/>
      <c r="N675" s="79"/>
      <c r="Q675" s="79"/>
      <c r="T675" s="130"/>
      <c r="V675" s="106"/>
    </row>
    <row r="676">
      <c r="C676" s="79"/>
      <c r="D676" s="79"/>
      <c r="J676" s="79"/>
      <c r="N676" s="79"/>
      <c r="Q676" s="79"/>
      <c r="T676" s="130"/>
      <c r="V676" s="106"/>
    </row>
    <row r="677">
      <c r="C677" s="79"/>
      <c r="D677" s="79"/>
      <c r="J677" s="79"/>
      <c r="N677" s="79"/>
      <c r="Q677" s="79"/>
      <c r="T677" s="130"/>
      <c r="V677" s="106"/>
    </row>
    <row r="678">
      <c r="C678" s="79"/>
      <c r="D678" s="79"/>
      <c r="J678" s="79"/>
      <c r="N678" s="79"/>
      <c r="Q678" s="79"/>
      <c r="T678" s="130"/>
      <c r="V678" s="106"/>
    </row>
    <row r="679">
      <c r="C679" s="79"/>
      <c r="D679" s="79"/>
      <c r="J679" s="79"/>
      <c r="N679" s="79"/>
      <c r="Q679" s="79"/>
      <c r="T679" s="130"/>
      <c r="V679" s="106"/>
    </row>
    <row r="680">
      <c r="C680" s="79"/>
      <c r="D680" s="79"/>
      <c r="J680" s="79"/>
      <c r="N680" s="79"/>
      <c r="Q680" s="79"/>
      <c r="T680" s="130"/>
      <c r="V680" s="106"/>
    </row>
    <row r="681">
      <c r="C681" s="79"/>
      <c r="D681" s="79"/>
      <c r="J681" s="79"/>
      <c r="N681" s="79"/>
      <c r="Q681" s="79"/>
      <c r="T681" s="130"/>
      <c r="V681" s="106"/>
    </row>
    <row r="682">
      <c r="C682" s="79"/>
      <c r="D682" s="79"/>
      <c r="J682" s="79"/>
      <c r="N682" s="79"/>
      <c r="Q682" s="79"/>
      <c r="T682" s="130"/>
      <c r="V682" s="106"/>
    </row>
    <row r="683">
      <c r="C683" s="79"/>
      <c r="D683" s="79"/>
      <c r="J683" s="79"/>
      <c r="N683" s="79"/>
      <c r="Q683" s="79"/>
      <c r="T683" s="130"/>
      <c r="V683" s="106"/>
    </row>
    <row r="684">
      <c r="C684" s="79"/>
      <c r="D684" s="79"/>
      <c r="J684" s="79"/>
      <c r="N684" s="79"/>
      <c r="Q684" s="79"/>
      <c r="T684" s="130"/>
      <c r="V684" s="106"/>
    </row>
    <row r="685">
      <c r="C685" s="79"/>
      <c r="D685" s="79"/>
      <c r="J685" s="79"/>
      <c r="N685" s="79"/>
      <c r="Q685" s="79"/>
      <c r="T685" s="130"/>
      <c r="V685" s="106"/>
    </row>
    <row r="686">
      <c r="C686" s="79"/>
      <c r="D686" s="79"/>
      <c r="J686" s="79"/>
      <c r="N686" s="79"/>
      <c r="Q686" s="79"/>
      <c r="T686" s="130"/>
      <c r="V686" s="106"/>
    </row>
    <row r="687">
      <c r="C687" s="79"/>
      <c r="D687" s="79"/>
      <c r="J687" s="79"/>
      <c r="N687" s="79"/>
      <c r="Q687" s="79"/>
      <c r="T687" s="130"/>
      <c r="V687" s="106"/>
    </row>
    <row r="688">
      <c r="C688" s="79"/>
      <c r="D688" s="79"/>
      <c r="J688" s="79"/>
      <c r="N688" s="79"/>
      <c r="Q688" s="79"/>
      <c r="T688" s="130"/>
      <c r="V688" s="106"/>
    </row>
    <row r="689">
      <c r="C689" s="79"/>
      <c r="D689" s="79"/>
      <c r="J689" s="79"/>
      <c r="N689" s="79"/>
      <c r="Q689" s="79"/>
      <c r="T689" s="130"/>
      <c r="V689" s="106"/>
    </row>
    <row r="690">
      <c r="C690" s="79"/>
      <c r="D690" s="79"/>
      <c r="J690" s="79"/>
      <c r="N690" s="79"/>
      <c r="Q690" s="79"/>
      <c r="T690" s="130"/>
      <c r="V690" s="106"/>
    </row>
    <row r="691">
      <c r="C691" s="79"/>
      <c r="D691" s="79"/>
      <c r="J691" s="79"/>
      <c r="N691" s="79"/>
      <c r="Q691" s="79"/>
      <c r="T691" s="130"/>
      <c r="V691" s="106"/>
    </row>
    <row r="692">
      <c r="C692" s="79"/>
      <c r="D692" s="79"/>
      <c r="J692" s="79"/>
      <c r="N692" s="79"/>
      <c r="Q692" s="79"/>
      <c r="T692" s="130"/>
      <c r="V692" s="106"/>
    </row>
    <row r="693">
      <c r="C693" s="79"/>
      <c r="D693" s="79"/>
      <c r="J693" s="79"/>
      <c r="N693" s="79"/>
      <c r="Q693" s="79"/>
      <c r="T693" s="130"/>
      <c r="V693" s="106"/>
    </row>
    <row r="694">
      <c r="C694" s="79"/>
      <c r="D694" s="79"/>
      <c r="J694" s="79"/>
      <c r="N694" s="79"/>
      <c r="Q694" s="79"/>
      <c r="T694" s="130"/>
      <c r="V694" s="106"/>
    </row>
    <row r="695">
      <c r="C695" s="79"/>
      <c r="D695" s="79"/>
      <c r="J695" s="79"/>
      <c r="N695" s="79"/>
      <c r="Q695" s="79"/>
      <c r="T695" s="130"/>
      <c r="V695" s="106"/>
    </row>
    <row r="696">
      <c r="C696" s="79"/>
      <c r="D696" s="79"/>
      <c r="J696" s="79"/>
      <c r="N696" s="79"/>
      <c r="Q696" s="79"/>
      <c r="T696" s="130"/>
      <c r="V696" s="106"/>
    </row>
    <row r="697">
      <c r="C697" s="79"/>
      <c r="D697" s="79"/>
      <c r="J697" s="79"/>
      <c r="N697" s="79"/>
      <c r="Q697" s="79"/>
      <c r="T697" s="130"/>
      <c r="V697" s="106"/>
    </row>
    <row r="698">
      <c r="C698" s="79"/>
      <c r="D698" s="79"/>
      <c r="J698" s="79"/>
      <c r="N698" s="79"/>
      <c r="Q698" s="79"/>
      <c r="T698" s="130"/>
      <c r="V698" s="106"/>
    </row>
    <row r="699">
      <c r="C699" s="79"/>
      <c r="D699" s="79"/>
      <c r="J699" s="79"/>
      <c r="N699" s="79"/>
      <c r="Q699" s="79"/>
      <c r="T699" s="130"/>
      <c r="V699" s="106"/>
    </row>
    <row r="700">
      <c r="C700" s="79"/>
      <c r="D700" s="79"/>
      <c r="J700" s="79"/>
      <c r="N700" s="79"/>
      <c r="Q700" s="79"/>
      <c r="T700" s="130"/>
      <c r="V700" s="106"/>
    </row>
    <row r="701">
      <c r="C701" s="79"/>
      <c r="D701" s="79"/>
      <c r="J701" s="79"/>
      <c r="N701" s="79"/>
      <c r="Q701" s="79"/>
      <c r="T701" s="130"/>
      <c r="V701" s="106"/>
    </row>
    <row r="702">
      <c r="C702" s="79"/>
      <c r="D702" s="79"/>
      <c r="J702" s="79"/>
      <c r="N702" s="79"/>
      <c r="Q702" s="79"/>
      <c r="T702" s="130"/>
      <c r="V702" s="106"/>
    </row>
    <row r="703">
      <c r="C703" s="79"/>
      <c r="D703" s="79"/>
      <c r="J703" s="79"/>
      <c r="N703" s="79"/>
      <c r="Q703" s="79"/>
      <c r="T703" s="130"/>
      <c r="V703" s="106"/>
    </row>
    <row r="704">
      <c r="C704" s="79"/>
      <c r="D704" s="79"/>
      <c r="J704" s="79"/>
      <c r="N704" s="79"/>
      <c r="Q704" s="79"/>
      <c r="T704" s="130"/>
      <c r="V704" s="106"/>
    </row>
    <row r="705">
      <c r="C705" s="79"/>
      <c r="D705" s="79"/>
      <c r="J705" s="79"/>
      <c r="N705" s="79"/>
      <c r="Q705" s="79"/>
      <c r="T705" s="130"/>
      <c r="V705" s="106"/>
    </row>
    <row r="706">
      <c r="C706" s="79"/>
      <c r="D706" s="79"/>
      <c r="J706" s="79"/>
      <c r="N706" s="79"/>
      <c r="Q706" s="79"/>
      <c r="T706" s="130"/>
      <c r="V706" s="106"/>
    </row>
    <row r="707">
      <c r="C707" s="79"/>
      <c r="D707" s="79"/>
      <c r="J707" s="79"/>
      <c r="N707" s="79"/>
      <c r="Q707" s="79"/>
      <c r="T707" s="130"/>
      <c r="V707" s="106"/>
    </row>
    <row r="708">
      <c r="C708" s="79"/>
      <c r="D708" s="79"/>
      <c r="J708" s="79"/>
      <c r="N708" s="79"/>
      <c r="Q708" s="79"/>
      <c r="T708" s="130"/>
      <c r="V708" s="106"/>
    </row>
    <row r="709">
      <c r="C709" s="79"/>
      <c r="D709" s="79"/>
      <c r="J709" s="79"/>
      <c r="N709" s="79"/>
      <c r="Q709" s="79"/>
      <c r="T709" s="130"/>
      <c r="V709" s="106"/>
    </row>
    <row r="710">
      <c r="C710" s="79"/>
      <c r="D710" s="79"/>
      <c r="J710" s="79"/>
      <c r="N710" s="79"/>
      <c r="Q710" s="79"/>
      <c r="T710" s="130"/>
      <c r="V710" s="106"/>
    </row>
    <row r="711">
      <c r="C711" s="79"/>
      <c r="D711" s="79"/>
      <c r="J711" s="79"/>
      <c r="N711" s="79"/>
      <c r="Q711" s="79"/>
      <c r="T711" s="130"/>
      <c r="V711" s="106"/>
    </row>
    <row r="712">
      <c r="C712" s="79"/>
      <c r="D712" s="79"/>
      <c r="J712" s="79"/>
      <c r="N712" s="79"/>
      <c r="Q712" s="79"/>
      <c r="T712" s="130"/>
      <c r="V712" s="106"/>
    </row>
    <row r="713">
      <c r="C713" s="79"/>
      <c r="D713" s="79"/>
      <c r="J713" s="79"/>
      <c r="N713" s="79"/>
      <c r="Q713" s="79"/>
      <c r="T713" s="130"/>
      <c r="V713" s="106"/>
    </row>
    <row r="714">
      <c r="C714" s="79"/>
      <c r="D714" s="79"/>
      <c r="J714" s="79"/>
      <c r="N714" s="79"/>
      <c r="Q714" s="79"/>
      <c r="T714" s="130"/>
      <c r="V714" s="106"/>
    </row>
    <row r="715">
      <c r="C715" s="79"/>
      <c r="D715" s="79"/>
      <c r="J715" s="79"/>
      <c r="N715" s="79"/>
      <c r="Q715" s="79"/>
      <c r="T715" s="130"/>
      <c r="V715" s="106"/>
    </row>
    <row r="716">
      <c r="C716" s="79"/>
      <c r="D716" s="79"/>
      <c r="J716" s="79"/>
      <c r="N716" s="79"/>
      <c r="Q716" s="79"/>
      <c r="T716" s="130"/>
      <c r="V716" s="106"/>
    </row>
    <row r="717">
      <c r="C717" s="79"/>
      <c r="D717" s="79"/>
      <c r="J717" s="79"/>
      <c r="N717" s="79"/>
      <c r="Q717" s="79"/>
      <c r="T717" s="130"/>
      <c r="V717" s="106"/>
    </row>
    <row r="718">
      <c r="C718" s="79"/>
      <c r="D718" s="79"/>
      <c r="J718" s="79"/>
      <c r="N718" s="79"/>
      <c r="Q718" s="79"/>
      <c r="T718" s="130"/>
      <c r="V718" s="106"/>
    </row>
    <row r="719">
      <c r="C719" s="79"/>
      <c r="D719" s="79"/>
      <c r="J719" s="79"/>
      <c r="N719" s="79"/>
      <c r="Q719" s="79"/>
      <c r="T719" s="130"/>
      <c r="V719" s="106"/>
    </row>
    <row r="720">
      <c r="C720" s="79"/>
      <c r="D720" s="79"/>
      <c r="J720" s="79"/>
      <c r="N720" s="79"/>
      <c r="Q720" s="79"/>
      <c r="T720" s="130"/>
      <c r="V720" s="106"/>
    </row>
    <row r="721">
      <c r="C721" s="79"/>
      <c r="D721" s="79"/>
      <c r="J721" s="79"/>
      <c r="N721" s="79"/>
      <c r="Q721" s="79"/>
      <c r="T721" s="130"/>
      <c r="V721" s="106"/>
    </row>
    <row r="722">
      <c r="C722" s="79"/>
      <c r="D722" s="79"/>
      <c r="J722" s="79"/>
      <c r="N722" s="79"/>
      <c r="Q722" s="79"/>
      <c r="T722" s="130"/>
      <c r="V722" s="106"/>
    </row>
    <row r="723">
      <c r="C723" s="79"/>
      <c r="D723" s="79"/>
      <c r="J723" s="79"/>
      <c r="N723" s="79"/>
      <c r="Q723" s="79"/>
      <c r="T723" s="130"/>
      <c r="V723" s="106"/>
    </row>
    <row r="724">
      <c r="C724" s="79"/>
      <c r="D724" s="79"/>
      <c r="J724" s="79"/>
      <c r="N724" s="79"/>
      <c r="Q724" s="79"/>
      <c r="T724" s="130"/>
      <c r="V724" s="106"/>
    </row>
    <row r="725">
      <c r="C725" s="79"/>
      <c r="D725" s="79"/>
      <c r="J725" s="79"/>
      <c r="N725" s="79"/>
      <c r="Q725" s="79"/>
      <c r="T725" s="130"/>
      <c r="V725" s="106"/>
    </row>
    <row r="726">
      <c r="C726" s="79"/>
      <c r="D726" s="79"/>
      <c r="J726" s="79"/>
      <c r="N726" s="79"/>
      <c r="Q726" s="79"/>
      <c r="T726" s="130"/>
      <c r="V726" s="106"/>
    </row>
    <row r="727">
      <c r="C727" s="79"/>
      <c r="D727" s="79"/>
      <c r="J727" s="79"/>
      <c r="N727" s="79"/>
      <c r="Q727" s="79"/>
      <c r="T727" s="130"/>
      <c r="V727" s="106"/>
    </row>
    <row r="728">
      <c r="C728" s="79"/>
      <c r="D728" s="79"/>
      <c r="J728" s="79"/>
      <c r="N728" s="79"/>
      <c r="Q728" s="79"/>
      <c r="T728" s="130"/>
      <c r="V728" s="106"/>
    </row>
    <row r="729">
      <c r="C729" s="79"/>
      <c r="D729" s="79"/>
      <c r="J729" s="79"/>
      <c r="N729" s="79"/>
      <c r="Q729" s="79"/>
      <c r="T729" s="130"/>
      <c r="V729" s="106"/>
    </row>
    <row r="730">
      <c r="C730" s="79"/>
      <c r="D730" s="79"/>
      <c r="J730" s="79"/>
      <c r="N730" s="79"/>
      <c r="Q730" s="79"/>
      <c r="T730" s="130"/>
      <c r="V730" s="106"/>
    </row>
    <row r="731">
      <c r="C731" s="79"/>
      <c r="D731" s="79"/>
      <c r="J731" s="79"/>
      <c r="N731" s="79"/>
      <c r="Q731" s="79"/>
      <c r="T731" s="130"/>
      <c r="V731" s="106"/>
    </row>
    <row r="732">
      <c r="C732" s="79"/>
      <c r="D732" s="79"/>
      <c r="J732" s="79"/>
      <c r="N732" s="79"/>
      <c r="Q732" s="79"/>
      <c r="T732" s="130"/>
      <c r="V732" s="106"/>
    </row>
    <row r="733">
      <c r="C733" s="79"/>
      <c r="D733" s="79"/>
      <c r="J733" s="79"/>
      <c r="N733" s="79"/>
      <c r="Q733" s="79"/>
      <c r="T733" s="130"/>
      <c r="V733" s="106"/>
    </row>
    <row r="734">
      <c r="C734" s="79"/>
      <c r="D734" s="79"/>
      <c r="J734" s="79"/>
      <c r="N734" s="79"/>
      <c r="Q734" s="79"/>
      <c r="T734" s="130"/>
      <c r="V734" s="106"/>
    </row>
    <row r="735">
      <c r="C735" s="79"/>
      <c r="D735" s="79"/>
      <c r="J735" s="79"/>
      <c r="N735" s="79"/>
      <c r="Q735" s="79"/>
      <c r="T735" s="130"/>
      <c r="V735" s="106"/>
    </row>
    <row r="736">
      <c r="C736" s="79"/>
      <c r="D736" s="79"/>
      <c r="J736" s="79"/>
      <c r="N736" s="79"/>
      <c r="Q736" s="79"/>
      <c r="T736" s="130"/>
      <c r="V736" s="106"/>
    </row>
    <row r="737">
      <c r="C737" s="79"/>
      <c r="D737" s="79"/>
      <c r="J737" s="79"/>
      <c r="N737" s="79"/>
      <c r="Q737" s="79"/>
      <c r="T737" s="130"/>
      <c r="V737" s="106"/>
    </row>
    <row r="738">
      <c r="C738" s="79"/>
      <c r="D738" s="79"/>
      <c r="J738" s="79"/>
      <c r="N738" s="79"/>
      <c r="Q738" s="79"/>
      <c r="T738" s="130"/>
      <c r="V738" s="106"/>
    </row>
    <row r="739">
      <c r="C739" s="79"/>
      <c r="D739" s="79"/>
      <c r="J739" s="79"/>
      <c r="N739" s="79"/>
      <c r="Q739" s="79"/>
      <c r="T739" s="130"/>
      <c r="V739" s="106"/>
    </row>
    <row r="740">
      <c r="C740" s="79"/>
      <c r="D740" s="79"/>
      <c r="J740" s="79"/>
      <c r="N740" s="79"/>
      <c r="Q740" s="79"/>
      <c r="T740" s="130"/>
      <c r="V740" s="106"/>
    </row>
    <row r="741">
      <c r="C741" s="79"/>
      <c r="D741" s="79"/>
      <c r="J741" s="79"/>
      <c r="N741" s="79"/>
      <c r="Q741" s="79"/>
      <c r="T741" s="130"/>
      <c r="V741" s="106"/>
    </row>
    <row r="742">
      <c r="C742" s="79"/>
      <c r="D742" s="79"/>
      <c r="J742" s="79"/>
      <c r="N742" s="79"/>
      <c r="Q742" s="79"/>
      <c r="T742" s="130"/>
      <c r="V742" s="106"/>
    </row>
    <row r="743">
      <c r="C743" s="79"/>
      <c r="D743" s="79"/>
      <c r="J743" s="79"/>
      <c r="N743" s="79"/>
      <c r="Q743" s="79"/>
      <c r="T743" s="130"/>
      <c r="V743" s="106"/>
    </row>
    <row r="744">
      <c r="C744" s="79"/>
      <c r="D744" s="79"/>
      <c r="J744" s="79"/>
      <c r="N744" s="79"/>
      <c r="Q744" s="79"/>
      <c r="T744" s="130"/>
      <c r="V744" s="106"/>
    </row>
    <row r="745">
      <c r="C745" s="79"/>
      <c r="D745" s="79"/>
      <c r="J745" s="79"/>
      <c r="N745" s="79"/>
      <c r="Q745" s="79"/>
      <c r="T745" s="130"/>
      <c r="V745" s="106"/>
    </row>
    <row r="746">
      <c r="C746" s="79"/>
      <c r="D746" s="79"/>
      <c r="J746" s="79"/>
      <c r="N746" s="79"/>
      <c r="Q746" s="79"/>
      <c r="T746" s="130"/>
      <c r="V746" s="106"/>
    </row>
    <row r="747">
      <c r="C747" s="79"/>
      <c r="D747" s="79"/>
      <c r="J747" s="79"/>
      <c r="N747" s="79"/>
      <c r="Q747" s="79"/>
      <c r="T747" s="130"/>
      <c r="V747" s="106"/>
    </row>
    <row r="748">
      <c r="C748" s="79"/>
      <c r="D748" s="79"/>
      <c r="J748" s="79"/>
      <c r="N748" s="79"/>
      <c r="Q748" s="79"/>
      <c r="T748" s="130"/>
      <c r="V748" s="106"/>
    </row>
    <row r="749">
      <c r="C749" s="79"/>
      <c r="D749" s="79"/>
      <c r="J749" s="79"/>
      <c r="N749" s="79"/>
      <c r="Q749" s="79"/>
      <c r="T749" s="130"/>
      <c r="V749" s="106"/>
    </row>
    <row r="750">
      <c r="C750" s="79"/>
      <c r="D750" s="79"/>
      <c r="J750" s="79"/>
      <c r="N750" s="79"/>
      <c r="Q750" s="79"/>
      <c r="T750" s="130"/>
      <c r="V750" s="106"/>
    </row>
    <row r="751">
      <c r="C751" s="79"/>
      <c r="D751" s="79"/>
      <c r="J751" s="79"/>
      <c r="N751" s="79"/>
      <c r="Q751" s="79"/>
      <c r="T751" s="130"/>
      <c r="V751" s="106"/>
    </row>
    <row r="752">
      <c r="C752" s="79"/>
      <c r="D752" s="79"/>
      <c r="J752" s="79"/>
      <c r="N752" s="79"/>
      <c r="Q752" s="79"/>
      <c r="T752" s="130"/>
      <c r="V752" s="106"/>
    </row>
    <row r="753">
      <c r="C753" s="79"/>
      <c r="D753" s="79"/>
      <c r="J753" s="79"/>
      <c r="N753" s="79"/>
      <c r="Q753" s="79"/>
      <c r="T753" s="130"/>
      <c r="V753" s="106"/>
    </row>
    <row r="754">
      <c r="C754" s="79"/>
      <c r="D754" s="79"/>
      <c r="J754" s="79"/>
      <c r="N754" s="79"/>
      <c r="Q754" s="79"/>
      <c r="T754" s="130"/>
      <c r="V754" s="106"/>
    </row>
    <row r="755">
      <c r="C755" s="79"/>
      <c r="D755" s="79"/>
      <c r="J755" s="79"/>
      <c r="N755" s="79"/>
      <c r="Q755" s="79"/>
      <c r="T755" s="130"/>
      <c r="V755" s="106"/>
    </row>
    <row r="756">
      <c r="C756" s="79"/>
      <c r="D756" s="79"/>
      <c r="J756" s="79"/>
      <c r="N756" s="79"/>
      <c r="Q756" s="79"/>
      <c r="T756" s="130"/>
      <c r="V756" s="106"/>
    </row>
    <row r="757">
      <c r="C757" s="79"/>
      <c r="D757" s="79"/>
      <c r="J757" s="79"/>
      <c r="N757" s="79"/>
      <c r="Q757" s="79"/>
      <c r="T757" s="130"/>
      <c r="V757" s="106"/>
    </row>
    <row r="758">
      <c r="C758" s="79"/>
      <c r="D758" s="79"/>
      <c r="J758" s="79"/>
      <c r="N758" s="79"/>
      <c r="Q758" s="79"/>
      <c r="T758" s="130"/>
      <c r="V758" s="106"/>
    </row>
    <row r="759">
      <c r="C759" s="79"/>
      <c r="D759" s="79"/>
      <c r="J759" s="79"/>
      <c r="N759" s="79"/>
      <c r="Q759" s="79"/>
      <c r="T759" s="130"/>
      <c r="V759" s="106"/>
    </row>
    <row r="760">
      <c r="C760" s="79"/>
      <c r="D760" s="79"/>
      <c r="J760" s="79"/>
      <c r="N760" s="79"/>
      <c r="Q760" s="79"/>
      <c r="T760" s="130"/>
      <c r="V760" s="106"/>
    </row>
    <row r="761">
      <c r="C761" s="79"/>
      <c r="D761" s="79"/>
      <c r="J761" s="79"/>
      <c r="N761" s="79"/>
      <c r="Q761" s="79"/>
      <c r="T761" s="130"/>
      <c r="V761" s="106"/>
    </row>
    <row r="762">
      <c r="C762" s="79"/>
      <c r="D762" s="79"/>
      <c r="J762" s="79"/>
      <c r="N762" s="79"/>
      <c r="Q762" s="79"/>
      <c r="T762" s="130"/>
      <c r="V762" s="106"/>
    </row>
    <row r="763">
      <c r="C763" s="79"/>
      <c r="D763" s="79"/>
      <c r="J763" s="79"/>
      <c r="N763" s="79"/>
      <c r="Q763" s="79"/>
      <c r="T763" s="130"/>
      <c r="V763" s="106"/>
    </row>
    <row r="764">
      <c r="C764" s="79"/>
      <c r="D764" s="79"/>
      <c r="J764" s="79"/>
      <c r="N764" s="79"/>
      <c r="Q764" s="79"/>
      <c r="T764" s="130"/>
      <c r="V764" s="106"/>
    </row>
    <row r="765">
      <c r="C765" s="79"/>
      <c r="D765" s="79"/>
      <c r="J765" s="79"/>
      <c r="N765" s="79"/>
      <c r="Q765" s="79"/>
      <c r="T765" s="130"/>
      <c r="V765" s="106"/>
    </row>
    <row r="766">
      <c r="C766" s="79"/>
      <c r="D766" s="79"/>
      <c r="J766" s="79"/>
      <c r="N766" s="79"/>
      <c r="Q766" s="79"/>
      <c r="T766" s="130"/>
      <c r="V766" s="106"/>
    </row>
    <row r="767">
      <c r="C767" s="79"/>
      <c r="D767" s="79"/>
      <c r="J767" s="79"/>
      <c r="N767" s="79"/>
      <c r="Q767" s="79"/>
      <c r="T767" s="130"/>
      <c r="V767" s="106"/>
    </row>
    <row r="768">
      <c r="C768" s="79"/>
      <c r="D768" s="79"/>
      <c r="J768" s="79"/>
      <c r="N768" s="79"/>
      <c r="Q768" s="79"/>
      <c r="T768" s="130"/>
      <c r="V768" s="106"/>
    </row>
    <row r="769">
      <c r="C769" s="79"/>
      <c r="D769" s="79"/>
      <c r="J769" s="79"/>
      <c r="N769" s="79"/>
      <c r="Q769" s="79"/>
      <c r="T769" s="130"/>
      <c r="V769" s="106"/>
    </row>
    <row r="770">
      <c r="C770" s="79"/>
      <c r="D770" s="79"/>
      <c r="J770" s="79"/>
      <c r="N770" s="79"/>
      <c r="Q770" s="79"/>
      <c r="T770" s="130"/>
      <c r="V770" s="106"/>
    </row>
    <row r="771">
      <c r="C771" s="79"/>
      <c r="D771" s="79"/>
      <c r="J771" s="79"/>
      <c r="N771" s="79"/>
      <c r="Q771" s="79"/>
      <c r="T771" s="130"/>
      <c r="V771" s="106"/>
    </row>
    <row r="772">
      <c r="C772" s="79"/>
      <c r="D772" s="79"/>
      <c r="J772" s="79"/>
      <c r="N772" s="79"/>
      <c r="Q772" s="79"/>
      <c r="T772" s="130"/>
      <c r="V772" s="106"/>
    </row>
    <row r="773">
      <c r="C773" s="79"/>
      <c r="D773" s="79"/>
      <c r="J773" s="79"/>
      <c r="N773" s="79"/>
      <c r="Q773" s="79"/>
      <c r="T773" s="130"/>
      <c r="V773" s="106"/>
    </row>
    <row r="774">
      <c r="C774" s="79"/>
      <c r="D774" s="79"/>
      <c r="J774" s="79"/>
      <c r="N774" s="79"/>
      <c r="Q774" s="79"/>
      <c r="T774" s="130"/>
      <c r="V774" s="106"/>
    </row>
    <row r="775">
      <c r="C775" s="79"/>
      <c r="D775" s="79"/>
      <c r="J775" s="79"/>
      <c r="N775" s="79"/>
      <c r="Q775" s="79"/>
      <c r="T775" s="130"/>
      <c r="V775" s="106"/>
    </row>
    <row r="776">
      <c r="C776" s="79"/>
      <c r="D776" s="79"/>
      <c r="J776" s="79"/>
      <c r="N776" s="79"/>
      <c r="Q776" s="79"/>
      <c r="T776" s="130"/>
      <c r="V776" s="106"/>
    </row>
    <row r="777">
      <c r="C777" s="79"/>
      <c r="D777" s="79"/>
      <c r="J777" s="79"/>
      <c r="N777" s="79"/>
      <c r="Q777" s="79"/>
      <c r="T777" s="130"/>
      <c r="V777" s="106"/>
    </row>
    <row r="778">
      <c r="C778" s="79"/>
      <c r="D778" s="79"/>
      <c r="J778" s="79"/>
      <c r="N778" s="79"/>
      <c r="Q778" s="79"/>
      <c r="T778" s="130"/>
      <c r="V778" s="106"/>
    </row>
    <row r="779">
      <c r="C779" s="79"/>
      <c r="D779" s="79"/>
      <c r="J779" s="79"/>
      <c r="N779" s="79"/>
      <c r="Q779" s="79"/>
      <c r="T779" s="130"/>
      <c r="V779" s="106"/>
    </row>
    <row r="780">
      <c r="C780" s="79"/>
      <c r="D780" s="79"/>
      <c r="J780" s="79"/>
      <c r="N780" s="79"/>
      <c r="Q780" s="79"/>
      <c r="T780" s="130"/>
      <c r="V780" s="106"/>
    </row>
    <row r="781">
      <c r="C781" s="79"/>
      <c r="D781" s="79"/>
      <c r="J781" s="79"/>
      <c r="N781" s="79"/>
      <c r="Q781" s="79"/>
      <c r="T781" s="130"/>
      <c r="V781" s="106"/>
    </row>
    <row r="782">
      <c r="C782" s="79"/>
      <c r="D782" s="79"/>
      <c r="J782" s="79"/>
      <c r="N782" s="79"/>
      <c r="Q782" s="79"/>
      <c r="T782" s="130"/>
      <c r="V782" s="106"/>
    </row>
    <row r="783">
      <c r="C783" s="79"/>
      <c r="D783" s="79"/>
      <c r="J783" s="79"/>
      <c r="N783" s="79"/>
      <c r="Q783" s="79"/>
      <c r="T783" s="130"/>
      <c r="V783" s="106"/>
    </row>
    <row r="784">
      <c r="C784" s="79"/>
      <c r="D784" s="79"/>
      <c r="J784" s="79"/>
      <c r="N784" s="79"/>
      <c r="Q784" s="79"/>
      <c r="T784" s="130"/>
      <c r="V784" s="106"/>
    </row>
    <row r="785">
      <c r="C785" s="79"/>
      <c r="D785" s="79"/>
      <c r="J785" s="79"/>
      <c r="N785" s="79"/>
      <c r="Q785" s="79"/>
      <c r="T785" s="130"/>
      <c r="V785" s="106"/>
    </row>
    <row r="786">
      <c r="C786" s="79"/>
      <c r="D786" s="79"/>
      <c r="J786" s="79"/>
      <c r="N786" s="79"/>
      <c r="Q786" s="79"/>
      <c r="T786" s="130"/>
      <c r="V786" s="106"/>
    </row>
    <row r="787">
      <c r="C787" s="79"/>
      <c r="D787" s="79"/>
      <c r="J787" s="79"/>
      <c r="N787" s="79"/>
      <c r="Q787" s="79"/>
      <c r="T787" s="130"/>
      <c r="V787" s="106"/>
    </row>
    <row r="788">
      <c r="C788" s="79"/>
      <c r="D788" s="79"/>
      <c r="J788" s="79"/>
      <c r="N788" s="79"/>
      <c r="Q788" s="79"/>
      <c r="T788" s="130"/>
      <c r="V788" s="106"/>
    </row>
    <row r="789">
      <c r="C789" s="79"/>
      <c r="D789" s="79"/>
      <c r="J789" s="79"/>
      <c r="N789" s="79"/>
      <c r="Q789" s="79"/>
      <c r="T789" s="130"/>
      <c r="V789" s="106"/>
    </row>
    <row r="790">
      <c r="C790" s="79"/>
      <c r="D790" s="79"/>
      <c r="J790" s="79"/>
      <c r="N790" s="79"/>
      <c r="Q790" s="79"/>
      <c r="T790" s="130"/>
      <c r="V790" s="106"/>
    </row>
    <row r="791">
      <c r="C791" s="79"/>
      <c r="D791" s="79"/>
      <c r="J791" s="79"/>
      <c r="N791" s="79"/>
      <c r="Q791" s="79"/>
      <c r="T791" s="130"/>
      <c r="V791" s="106"/>
    </row>
    <row r="792">
      <c r="C792" s="79"/>
      <c r="D792" s="79"/>
      <c r="J792" s="79"/>
      <c r="N792" s="79"/>
      <c r="Q792" s="79"/>
      <c r="T792" s="130"/>
      <c r="V792" s="106"/>
    </row>
    <row r="793">
      <c r="C793" s="79"/>
      <c r="D793" s="79"/>
      <c r="J793" s="79"/>
      <c r="N793" s="79"/>
      <c r="Q793" s="79"/>
      <c r="T793" s="130"/>
      <c r="V793" s="106"/>
    </row>
    <row r="794">
      <c r="C794" s="79"/>
      <c r="D794" s="79"/>
      <c r="J794" s="79"/>
      <c r="N794" s="79"/>
      <c r="Q794" s="79"/>
      <c r="T794" s="130"/>
      <c r="V794" s="106"/>
    </row>
    <row r="795">
      <c r="C795" s="79"/>
      <c r="D795" s="79"/>
      <c r="J795" s="79"/>
      <c r="N795" s="79"/>
      <c r="Q795" s="79"/>
      <c r="T795" s="130"/>
      <c r="V795" s="106"/>
    </row>
    <row r="796">
      <c r="C796" s="79"/>
      <c r="D796" s="79"/>
      <c r="J796" s="79"/>
      <c r="N796" s="79"/>
      <c r="Q796" s="79"/>
      <c r="T796" s="130"/>
      <c r="V796" s="106"/>
    </row>
    <row r="797">
      <c r="C797" s="79"/>
      <c r="D797" s="79"/>
      <c r="J797" s="79"/>
      <c r="N797" s="79"/>
      <c r="Q797" s="79"/>
      <c r="T797" s="130"/>
      <c r="V797" s="106"/>
    </row>
    <row r="798">
      <c r="C798" s="79"/>
      <c r="D798" s="79"/>
      <c r="J798" s="79"/>
      <c r="N798" s="79"/>
      <c r="Q798" s="79"/>
      <c r="T798" s="130"/>
      <c r="V798" s="106"/>
    </row>
    <row r="799">
      <c r="C799" s="79"/>
      <c r="D799" s="79"/>
      <c r="J799" s="79"/>
      <c r="N799" s="79"/>
      <c r="Q799" s="79"/>
      <c r="T799" s="130"/>
      <c r="V799" s="106"/>
    </row>
    <row r="800">
      <c r="C800" s="79"/>
      <c r="D800" s="79"/>
      <c r="J800" s="79"/>
      <c r="N800" s="79"/>
      <c r="Q800" s="79"/>
      <c r="T800" s="130"/>
      <c r="V800" s="106"/>
    </row>
    <row r="801">
      <c r="C801" s="79"/>
      <c r="D801" s="79"/>
      <c r="J801" s="79"/>
      <c r="N801" s="79"/>
      <c r="Q801" s="79"/>
      <c r="T801" s="130"/>
      <c r="V801" s="106"/>
    </row>
    <row r="802">
      <c r="C802" s="79"/>
      <c r="D802" s="79"/>
      <c r="J802" s="79"/>
      <c r="N802" s="79"/>
      <c r="Q802" s="79"/>
      <c r="T802" s="130"/>
      <c r="V802" s="106"/>
    </row>
    <row r="803">
      <c r="C803" s="79"/>
      <c r="D803" s="79"/>
      <c r="J803" s="79"/>
      <c r="N803" s="79"/>
      <c r="Q803" s="79"/>
      <c r="T803" s="130"/>
      <c r="V803" s="106"/>
    </row>
    <row r="804">
      <c r="C804" s="79"/>
      <c r="D804" s="79"/>
      <c r="J804" s="79"/>
      <c r="N804" s="79"/>
      <c r="Q804" s="79"/>
      <c r="T804" s="130"/>
      <c r="V804" s="106"/>
    </row>
    <row r="805">
      <c r="C805" s="79"/>
      <c r="D805" s="79"/>
      <c r="J805" s="79"/>
      <c r="N805" s="79"/>
      <c r="Q805" s="79"/>
      <c r="T805" s="130"/>
      <c r="V805" s="106"/>
    </row>
    <row r="806">
      <c r="C806" s="79"/>
      <c r="D806" s="79"/>
      <c r="J806" s="79"/>
      <c r="N806" s="79"/>
      <c r="Q806" s="79"/>
      <c r="T806" s="130"/>
      <c r="V806" s="106"/>
    </row>
    <row r="807">
      <c r="C807" s="79"/>
      <c r="D807" s="79"/>
      <c r="J807" s="79"/>
      <c r="N807" s="79"/>
      <c r="Q807" s="79"/>
      <c r="T807" s="130"/>
      <c r="V807" s="106"/>
    </row>
    <row r="808">
      <c r="C808" s="79"/>
      <c r="D808" s="79"/>
      <c r="J808" s="79"/>
      <c r="N808" s="79"/>
      <c r="Q808" s="79"/>
      <c r="T808" s="130"/>
      <c r="V808" s="106"/>
    </row>
    <row r="809">
      <c r="C809" s="79"/>
      <c r="D809" s="79"/>
      <c r="J809" s="79"/>
      <c r="N809" s="79"/>
      <c r="Q809" s="79"/>
      <c r="T809" s="130"/>
      <c r="V809" s="106"/>
    </row>
    <row r="810">
      <c r="C810" s="79"/>
      <c r="D810" s="79"/>
      <c r="J810" s="79"/>
      <c r="N810" s="79"/>
      <c r="Q810" s="79"/>
      <c r="T810" s="130"/>
      <c r="V810" s="106"/>
    </row>
    <row r="811">
      <c r="C811" s="79"/>
      <c r="D811" s="79"/>
      <c r="J811" s="79"/>
      <c r="N811" s="79"/>
      <c r="Q811" s="79"/>
      <c r="T811" s="130"/>
      <c r="V811" s="106"/>
    </row>
    <row r="812">
      <c r="C812" s="79"/>
      <c r="D812" s="79"/>
      <c r="J812" s="79"/>
      <c r="N812" s="79"/>
      <c r="Q812" s="79"/>
      <c r="T812" s="130"/>
      <c r="V812" s="106"/>
    </row>
    <row r="813">
      <c r="C813" s="79"/>
      <c r="D813" s="79"/>
      <c r="J813" s="79"/>
      <c r="N813" s="79"/>
      <c r="Q813" s="79"/>
      <c r="T813" s="130"/>
      <c r="V813" s="106"/>
    </row>
    <row r="814">
      <c r="C814" s="79"/>
      <c r="D814" s="79"/>
      <c r="J814" s="79"/>
      <c r="N814" s="79"/>
      <c r="Q814" s="79"/>
      <c r="T814" s="130"/>
      <c r="V814" s="106"/>
    </row>
    <row r="815">
      <c r="C815" s="79"/>
      <c r="D815" s="79"/>
      <c r="J815" s="79"/>
      <c r="N815" s="79"/>
      <c r="Q815" s="79"/>
      <c r="T815" s="130"/>
      <c r="V815" s="106"/>
    </row>
    <row r="816">
      <c r="C816" s="79"/>
      <c r="D816" s="79"/>
      <c r="J816" s="79"/>
      <c r="N816" s="79"/>
      <c r="Q816" s="79"/>
      <c r="T816" s="130"/>
      <c r="V816" s="106"/>
    </row>
    <row r="817">
      <c r="C817" s="79"/>
      <c r="D817" s="79"/>
      <c r="J817" s="79"/>
      <c r="N817" s="79"/>
      <c r="Q817" s="79"/>
      <c r="T817" s="130"/>
      <c r="V817" s="106"/>
    </row>
    <row r="818">
      <c r="C818" s="79"/>
      <c r="D818" s="79"/>
      <c r="J818" s="79"/>
      <c r="N818" s="79"/>
      <c r="Q818" s="79"/>
      <c r="T818" s="130"/>
      <c r="V818" s="106"/>
    </row>
    <row r="819">
      <c r="C819" s="79"/>
      <c r="D819" s="79"/>
      <c r="J819" s="79"/>
      <c r="N819" s="79"/>
      <c r="Q819" s="79"/>
      <c r="T819" s="130"/>
      <c r="V819" s="106"/>
    </row>
    <row r="820">
      <c r="C820" s="79"/>
      <c r="D820" s="79"/>
      <c r="J820" s="79"/>
      <c r="N820" s="79"/>
      <c r="Q820" s="79"/>
      <c r="T820" s="130"/>
      <c r="V820" s="106"/>
    </row>
    <row r="821">
      <c r="C821" s="79"/>
      <c r="D821" s="79"/>
      <c r="J821" s="79"/>
      <c r="N821" s="79"/>
      <c r="Q821" s="79"/>
      <c r="T821" s="130"/>
      <c r="V821" s="106"/>
    </row>
    <row r="822">
      <c r="C822" s="79"/>
      <c r="D822" s="79"/>
      <c r="J822" s="79"/>
      <c r="N822" s="79"/>
      <c r="Q822" s="79"/>
      <c r="T822" s="130"/>
      <c r="V822" s="106"/>
    </row>
    <row r="823">
      <c r="C823" s="79"/>
      <c r="D823" s="79"/>
      <c r="J823" s="79"/>
      <c r="N823" s="79"/>
      <c r="Q823" s="79"/>
      <c r="T823" s="130"/>
      <c r="V823" s="106"/>
    </row>
    <row r="824">
      <c r="C824" s="79"/>
      <c r="D824" s="79"/>
      <c r="J824" s="79"/>
      <c r="N824" s="79"/>
      <c r="Q824" s="79"/>
      <c r="T824" s="130"/>
      <c r="V824" s="106"/>
    </row>
    <row r="825">
      <c r="C825" s="79"/>
      <c r="D825" s="79"/>
      <c r="J825" s="79"/>
      <c r="N825" s="79"/>
      <c r="Q825" s="79"/>
      <c r="T825" s="130"/>
      <c r="V825" s="106"/>
    </row>
    <row r="826">
      <c r="C826" s="79"/>
      <c r="D826" s="79"/>
      <c r="J826" s="79"/>
      <c r="N826" s="79"/>
      <c r="Q826" s="79"/>
      <c r="T826" s="130"/>
      <c r="V826" s="106"/>
    </row>
    <row r="827">
      <c r="C827" s="79"/>
      <c r="D827" s="79"/>
      <c r="J827" s="79"/>
      <c r="N827" s="79"/>
      <c r="Q827" s="79"/>
      <c r="T827" s="130"/>
      <c r="V827" s="106"/>
    </row>
    <row r="828">
      <c r="C828" s="79"/>
      <c r="D828" s="79"/>
      <c r="J828" s="79"/>
      <c r="N828" s="79"/>
      <c r="Q828" s="79"/>
      <c r="T828" s="130"/>
      <c r="V828" s="106"/>
    </row>
    <row r="829">
      <c r="C829" s="79"/>
      <c r="D829" s="79"/>
      <c r="J829" s="79"/>
      <c r="N829" s="79"/>
      <c r="Q829" s="79"/>
      <c r="T829" s="130"/>
      <c r="V829" s="106"/>
    </row>
    <row r="830">
      <c r="C830" s="79"/>
      <c r="D830" s="79"/>
      <c r="J830" s="79"/>
      <c r="N830" s="79"/>
      <c r="Q830" s="79"/>
      <c r="T830" s="130"/>
      <c r="V830" s="106"/>
    </row>
    <row r="831">
      <c r="C831" s="79"/>
      <c r="D831" s="79"/>
      <c r="J831" s="79"/>
      <c r="N831" s="79"/>
      <c r="Q831" s="79"/>
      <c r="T831" s="130"/>
      <c r="V831" s="106"/>
    </row>
    <row r="832">
      <c r="C832" s="79"/>
      <c r="D832" s="79"/>
      <c r="J832" s="79"/>
      <c r="N832" s="79"/>
      <c r="Q832" s="79"/>
      <c r="T832" s="130"/>
      <c r="V832" s="106"/>
    </row>
    <row r="833">
      <c r="C833" s="79"/>
      <c r="D833" s="79"/>
      <c r="J833" s="79"/>
      <c r="N833" s="79"/>
      <c r="Q833" s="79"/>
      <c r="T833" s="130"/>
      <c r="V833" s="106"/>
    </row>
    <row r="834">
      <c r="C834" s="79"/>
      <c r="D834" s="79"/>
      <c r="J834" s="79"/>
      <c r="N834" s="79"/>
      <c r="Q834" s="79"/>
      <c r="T834" s="130"/>
      <c r="V834" s="106"/>
    </row>
    <row r="835">
      <c r="C835" s="79"/>
      <c r="D835" s="79"/>
      <c r="J835" s="79"/>
      <c r="N835" s="79"/>
      <c r="Q835" s="79"/>
      <c r="T835" s="130"/>
      <c r="V835" s="106"/>
    </row>
    <row r="836">
      <c r="C836" s="79"/>
      <c r="D836" s="79"/>
      <c r="J836" s="79"/>
      <c r="N836" s="79"/>
      <c r="Q836" s="79"/>
      <c r="T836" s="130"/>
      <c r="V836" s="106"/>
    </row>
    <row r="837">
      <c r="C837" s="79"/>
      <c r="D837" s="79"/>
      <c r="J837" s="79"/>
      <c r="N837" s="79"/>
      <c r="Q837" s="79"/>
      <c r="T837" s="130"/>
      <c r="V837" s="106"/>
    </row>
    <row r="838">
      <c r="C838" s="79"/>
      <c r="D838" s="79"/>
      <c r="J838" s="79"/>
      <c r="N838" s="79"/>
      <c r="Q838" s="79"/>
      <c r="T838" s="130"/>
      <c r="V838" s="106"/>
    </row>
    <row r="839">
      <c r="C839" s="79"/>
      <c r="D839" s="79"/>
      <c r="J839" s="79"/>
      <c r="N839" s="79"/>
      <c r="Q839" s="79"/>
      <c r="T839" s="130"/>
      <c r="V839" s="106"/>
    </row>
    <row r="840">
      <c r="C840" s="79"/>
      <c r="D840" s="79"/>
      <c r="J840" s="79"/>
      <c r="N840" s="79"/>
      <c r="Q840" s="79"/>
      <c r="T840" s="130"/>
      <c r="V840" s="106"/>
    </row>
    <row r="841">
      <c r="C841" s="79"/>
      <c r="D841" s="79"/>
      <c r="J841" s="79"/>
      <c r="N841" s="79"/>
      <c r="Q841" s="79"/>
      <c r="T841" s="130"/>
      <c r="V841" s="106"/>
    </row>
    <row r="842">
      <c r="C842" s="79"/>
      <c r="D842" s="79"/>
      <c r="J842" s="79"/>
      <c r="N842" s="79"/>
      <c r="Q842" s="79"/>
      <c r="T842" s="130"/>
      <c r="V842" s="106"/>
    </row>
    <row r="843">
      <c r="C843" s="79"/>
      <c r="D843" s="79"/>
      <c r="J843" s="79"/>
      <c r="N843" s="79"/>
      <c r="Q843" s="79"/>
      <c r="T843" s="130"/>
      <c r="V843" s="106"/>
    </row>
    <row r="844">
      <c r="C844" s="79"/>
      <c r="D844" s="79"/>
      <c r="J844" s="79"/>
      <c r="N844" s="79"/>
      <c r="Q844" s="79"/>
      <c r="T844" s="130"/>
      <c r="V844" s="106"/>
    </row>
    <row r="845">
      <c r="C845" s="79"/>
      <c r="D845" s="79"/>
      <c r="J845" s="79"/>
      <c r="N845" s="79"/>
      <c r="Q845" s="79"/>
      <c r="T845" s="130"/>
      <c r="V845" s="106"/>
    </row>
    <row r="846">
      <c r="C846" s="79"/>
      <c r="D846" s="79"/>
      <c r="J846" s="79"/>
      <c r="N846" s="79"/>
      <c r="Q846" s="79"/>
      <c r="T846" s="130"/>
      <c r="V846" s="106"/>
    </row>
    <row r="847">
      <c r="C847" s="79"/>
      <c r="D847" s="79"/>
      <c r="J847" s="79"/>
      <c r="N847" s="79"/>
      <c r="Q847" s="79"/>
      <c r="T847" s="130"/>
      <c r="V847" s="106"/>
    </row>
    <row r="848">
      <c r="C848" s="79"/>
      <c r="D848" s="79"/>
      <c r="J848" s="79"/>
      <c r="N848" s="79"/>
      <c r="Q848" s="79"/>
      <c r="T848" s="130"/>
      <c r="V848" s="106"/>
    </row>
    <row r="849">
      <c r="C849" s="79"/>
      <c r="D849" s="79"/>
      <c r="J849" s="79"/>
      <c r="N849" s="79"/>
      <c r="Q849" s="79"/>
      <c r="T849" s="130"/>
      <c r="V849" s="106"/>
    </row>
    <row r="850">
      <c r="C850" s="79"/>
      <c r="D850" s="79"/>
      <c r="J850" s="79"/>
      <c r="N850" s="79"/>
      <c r="Q850" s="79"/>
      <c r="T850" s="130"/>
      <c r="V850" s="106"/>
    </row>
    <row r="851">
      <c r="C851" s="79"/>
      <c r="D851" s="79"/>
      <c r="J851" s="79"/>
      <c r="N851" s="79"/>
      <c r="Q851" s="79"/>
      <c r="T851" s="130"/>
      <c r="V851" s="106"/>
    </row>
    <row r="852">
      <c r="C852" s="79"/>
      <c r="D852" s="79"/>
      <c r="J852" s="79"/>
      <c r="N852" s="79"/>
      <c r="Q852" s="79"/>
      <c r="T852" s="130"/>
      <c r="V852" s="106"/>
    </row>
    <row r="853">
      <c r="C853" s="79"/>
      <c r="D853" s="79"/>
      <c r="J853" s="79"/>
      <c r="N853" s="79"/>
      <c r="Q853" s="79"/>
      <c r="T853" s="130"/>
      <c r="V853" s="106"/>
    </row>
    <row r="854">
      <c r="C854" s="79"/>
      <c r="D854" s="79"/>
      <c r="J854" s="79"/>
      <c r="N854" s="79"/>
      <c r="Q854" s="79"/>
      <c r="T854" s="130"/>
      <c r="V854" s="106"/>
    </row>
    <row r="855">
      <c r="C855" s="79"/>
      <c r="D855" s="79"/>
      <c r="J855" s="79"/>
      <c r="N855" s="79"/>
      <c r="Q855" s="79"/>
      <c r="T855" s="130"/>
      <c r="V855" s="106"/>
    </row>
    <row r="856">
      <c r="C856" s="79"/>
      <c r="D856" s="79"/>
      <c r="J856" s="79"/>
      <c r="N856" s="79"/>
      <c r="Q856" s="79"/>
      <c r="T856" s="130"/>
      <c r="V856" s="106"/>
    </row>
    <row r="857">
      <c r="C857" s="79"/>
      <c r="D857" s="79"/>
      <c r="J857" s="79"/>
      <c r="N857" s="79"/>
      <c r="Q857" s="79"/>
      <c r="T857" s="130"/>
      <c r="V857" s="106"/>
    </row>
    <row r="858">
      <c r="C858" s="79"/>
      <c r="D858" s="79"/>
      <c r="J858" s="79"/>
      <c r="N858" s="79"/>
      <c r="Q858" s="79"/>
      <c r="T858" s="130"/>
      <c r="V858" s="106"/>
    </row>
    <row r="859">
      <c r="C859" s="79"/>
      <c r="D859" s="79"/>
      <c r="J859" s="79"/>
      <c r="N859" s="79"/>
      <c r="Q859" s="79"/>
      <c r="T859" s="130"/>
      <c r="V859" s="106"/>
    </row>
    <row r="860">
      <c r="C860" s="79"/>
      <c r="D860" s="79"/>
      <c r="J860" s="79"/>
      <c r="N860" s="79"/>
      <c r="Q860" s="79"/>
      <c r="T860" s="130"/>
      <c r="V860" s="106"/>
    </row>
    <row r="861">
      <c r="C861" s="79"/>
      <c r="D861" s="79"/>
      <c r="J861" s="79"/>
      <c r="N861" s="79"/>
      <c r="Q861" s="79"/>
      <c r="T861" s="130"/>
      <c r="V861" s="106"/>
    </row>
    <row r="862">
      <c r="C862" s="79"/>
      <c r="D862" s="79"/>
      <c r="J862" s="79"/>
      <c r="N862" s="79"/>
      <c r="Q862" s="79"/>
      <c r="T862" s="130"/>
      <c r="V862" s="106"/>
    </row>
    <row r="863">
      <c r="C863" s="79"/>
      <c r="D863" s="79"/>
      <c r="J863" s="79"/>
      <c r="N863" s="79"/>
      <c r="Q863" s="79"/>
      <c r="T863" s="130"/>
      <c r="V863" s="106"/>
    </row>
    <row r="864">
      <c r="C864" s="79"/>
      <c r="D864" s="79"/>
      <c r="J864" s="79"/>
      <c r="N864" s="79"/>
      <c r="Q864" s="79"/>
      <c r="T864" s="130"/>
      <c r="V864" s="106"/>
    </row>
    <row r="865">
      <c r="C865" s="79"/>
      <c r="D865" s="79"/>
      <c r="J865" s="79"/>
      <c r="N865" s="79"/>
      <c r="Q865" s="79"/>
      <c r="T865" s="130"/>
      <c r="V865" s="106"/>
    </row>
    <row r="866">
      <c r="C866" s="79"/>
      <c r="D866" s="79"/>
      <c r="J866" s="79"/>
      <c r="N866" s="79"/>
      <c r="Q866" s="79"/>
      <c r="T866" s="130"/>
      <c r="V866" s="106"/>
    </row>
    <row r="867">
      <c r="C867" s="79"/>
      <c r="D867" s="79"/>
      <c r="J867" s="79"/>
      <c r="N867" s="79"/>
      <c r="Q867" s="79"/>
      <c r="T867" s="130"/>
      <c r="V867" s="106"/>
    </row>
    <row r="868">
      <c r="C868" s="79"/>
      <c r="D868" s="79"/>
      <c r="J868" s="79"/>
      <c r="N868" s="79"/>
      <c r="Q868" s="79"/>
      <c r="T868" s="130"/>
      <c r="V868" s="106"/>
    </row>
    <row r="869">
      <c r="C869" s="79"/>
      <c r="D869" s="79"/>
      <c r="J869" s="79"/>
      <c r="N869" s="79"/>
      <c r="Q869" s="79"/>
      <c r="T869" s="130"/>
      <c r="V869" s="106"/>
    </row>
    <row r="870">
      <c r="C870" s="79"/>
      <c r="D870" s="79"/>
      <c r="J870" s="79"/>
      <c r="N870" s="79"/>
      <c r="Q870" s="79"/>
      <c r="T870" s="130"/>
      <c r="V870" s="106"/>
    </row>
    <row r="871">
      <c r="C871" s="79"/>
      <c r="D871" s="79"/>
      <c r="J871" s="79"/>
      <c r="N871" s="79"/>
      <c r="Q871" s="79"/>
      <c r="T871" s="130"/>
      <c r="V871" s="106"/>
    </row>
    <row r="872">
      <c r="C872" s="79"/>
      <c r="D872" s="79"/>
      <c r="J872" s="79"/>
      <c r="N872" s="79"/>
      <c r="Q872" s="79"/>
      <c r="T872" s="130"/>
      <c r="V872" s="106"/>
    </row>
    <row r="873">
      <c r="C873" s="79"/>
      <c r="D873" s="79"/>
      <c r="J873" s="79"/>
      <c r="N873" s="79"/>
      <c r="Q873" s="79"/>
      <c r="T873" s="130"/>
      <c r="V873" s="106"/>
    </row>
    <row r="874">
      <c r="C874" s="79"/>
      <c r="D874" s="79"/>
      <c r="J874" s="79"/>
      <c r="N874" s="79"/>
      <c r="Q874" s="79"/>
      <c r="T874" s="130"/>
      <c r="V874" s="106"/>
    </row>
    <row r="875">
      <c r="C875" s="79"/>
      <c r="D875" s="79"/>
      <c r="J875" s="79"/>
      <c r="N875" s="79"/>
      <c r="Q875" s="79"/>
      <c r="T875" s="130"/>
      <c r="V875" s="106"/>
    </row>
    <row r="876">
      <c r="C876" s="79"/>
      <c r="D876" s="79"/>
      <c r="J876" s="79"/>
      <c r="N876" s="79"/>
      <c r="Q876" s="79"/>
      <c r="T876" s="130"/>
      <c r="V876" s="106"/>
    </row>
    <row r="877">
      <c r="C877" s="79"/>
      <c r="D877" s="79"/>
      <c r="J877" s="79"/>
      <c r="N877" s="79"/>
      <c r="Q877" s="79"/>
      <c r="T877" s="130"/>
      <c r="V877" s="106"/>
    </row>
    <row r="878">
      <c r="C878" s="79"/>
      <c r="D878" s="79"/>
      <c r="J878" s="79"/>
      <c r="N878" s="79"/>
      <c r="Q878" s="79"/>
      <c r="T878" s="130"/>
      <c r="V878" s="106"/>
    </row>
    <row r="879">
      <c r="C879" s="79"/>
      <c r="D879" s="79"/>
      <c r="J879" s="79"/>
      <c r="N879" s="79"/>
      <c r="Q879" s="79"/>
      <c r="T879" s="130"/>
      <c r="V879" s="106"/>
    </row>
    <row r="880">
      <c r="C880" s="79"/>
      <c r="D880" s="79"/>
      <c r="J880" s="79"/>
      <c r="N880" s="79"/>
      <c r="Q880" s="79"/>
      <c r="T880" s="130"/>
      <c r="V880" s="106"/>
    </row>
    <row r="881">
      <c r="C881" s="79"/>
      <c r="D881" s="79"/>
      <c r="J881" s="79"/>
      <c r="N881" s="79"/>
      <c r="Q881" s="79"/>
      <c r="T881" s="130"/>
      <c r="V881" s="106"/>
    </row>
    <row r="882">
      <c r="C882" s="79"/>
      <c r="D882" s="79"/>
      <c r="J882" s="79"/>
      <c r="N882" s="79"/>
      <c r="Q882" s="79"/>
      <c r="T882" s="130"/>
      <c r="V882" s="106"/>
    </row>
    <row r="883">
      <c r="C883" s="79"/>
      <c r="D883" s="79"/>
      <c r="J883" s="79"/>
      <c r="N883" s="79"/>
      <c r="Q883" s="79"/>
      <c r="T883" s="130"/>
      <c r="V883" s="106"/>
    </row>
    <row r="884">
      <c r="C884" s="79"/>
      <c r="D884" s="79"/>
      <c r="J884" s="79"/>
      <c r="N884" s="79"/>
      <c r="Q884" s="79"/>
      <c r="T884" s="130"/>
      <c r="V884" s="106"/>
    </row>
    <row r="885">
      <c r="C885" s="79"/>
      <c r="D885" s="79"/>
      <c r="J885" s="79"/>
      <c r="N885" s="79"/>
      <c r="Q885" s="79"/>
      <c r="T885" s="130"/>
      <c r="V885" s="106"/>
    </row>
    <row r="886">
      <c r="C886" s="79"/>
      <c r="D886" s="79"/>
      <c r="J886" s="79"/>
      <c r="N886" s="79"/>
      <c r="Q886" s="79"/>
      <c r="T886" s="130"/>
      <c r="V886" s="106"/>
    </row>
    <row r="887">
      <c r="C887" s="79"/>
      <c r="D887" s="79"/>
      <c r="J887" s="79"/>
      <c r="N887" s="79"/>
      <c r="Q887" s="79"/>
      <c r="T887" s="130"/>
      <c r="V887" s="106"/>
    </row>
    <row r="888">
      <c r="C888" s="79"/>
      <c r="D888" s="79"/>
      <c r="J888" s="79"/>
      <c r="N888" s="79"/>
      <c r="Q888" s="79"/>
      <c r="T888" s="130"/>
      <c r="V888" s="106"/>
    </row>
    <row r="889">
      <c r="C889" s="79"/>
      <c r="D889" s="79"/>
      <c r="J889" s="79"/>
      <c r="N889" s="79"/>
      <c r="Q889" s="79"/>
      <c r="T889" s="130"/>
      <c r="V889" s="106"/>
    </row>
    <row r="890">
      <c r="C890" s="79"/>
      <c r="D890" s="79"/>
      <c r="J890" s="79"/>
      <c r="N890" s="79"/>
      <c r="Q890" s="79"/>
      <c r="T890" s="130"/>
      <c r="V890" s="106"/>
    </row>
    <row r="891">
      <c r="C891" s="79"/>
      <c r="D891" s="79"/>
      <c r="J891" s="79"/>
      <c r="N891" s="79"/>
      <c r="Q891" s="79"/>
      <c r="T891" s="130"/>
      <c r="V891" s="106"/>
    </row>
    <row r="892">
      <c r="C892" s="79"/>
      <c r="D892" s="79"/>
      <c r="J892" s="79"/>
      <c r="N892" s="79"/>
      <c r="Q892" s="79"/>
      <c r="T892" s="130"/>
      <c r="V892" s="106"/>
    </row>
    <row r="893">
      <c r="C893" s="79"/>
      <c r="D893" s="79"/>
      <c r="J893" s="79"/>
      <c r="N893" s="79"/>
      <c r="Q893" s="79"/>
      <c r="T893" s="130"/>
      <c r="V893" s="106"/>
    </row>
    <row r="894">
      <c r="C894" s="79"/>
      <c r="D894" s="79"/>
      <c r="J894" s="79"/>
      <c r="N894" s="79"/>
      <c r="Q894" s="79"/>
      <c r="T894" s="130"/>
      <c r="V894" s="106"/>
    </row>
    <row r="895">
      <c r="C895" s="79"/>
      <c r="D895" s="79"/>
      <c r="J895" s="79"/>
      <c r="N895" s="79"/>
      <c r="Q895" s="79"/>
      <c r="T895" s="130"/>
      <c r="V895" s="106"/>
    </row>
    <row r="896">
      <c r="C896" s="79"/>
      <c r="D896" s="79"/>
      <c r="J896" s="79"/>
      <c r="N896" s="79"/>
      <c r="Q896" s="79"/>
      <c r="T896" s="130"/>
      <c r="V896" s="106"/>
    </row>
    <row r="897">
      <c r="C897" s="79"/>
      <c r="D897" s="79"/>
      <c r="J897" s="79"/>
      <c r="N897" s="79"/>
      <c r="Q897" s="79"/>
      <c r="T897" s="130"/>
      <c r="V897" s="106"/>
    </row>
    <row r="898">
      <c r="C898" s="79"/>
      <c r="D898" s="79"/>
      <c r="J898" s="79"/>
      <c r="N898" s="79"/>
      <c r="Q898" s="79"/>
      <c r="T898" s="130"/>
      <c r="V898" s="106"/>
    </row>
    <row r="899">
      <c r="C899" s="79"/>
      <c r="D899" s="79"/>
      <c r="J899" s="79"/>
      <c r="N899" s="79"/>
      <c r="Q899" s="79"/>
      <c r="T899" s="130"/>
      <c r="V899" s="106"/>
    </row>
    <row r="900">
      <c r="C900" s="79"/>
      <c r="D900" s="79"/>
      <c r="J900" s="79"/>
      <c r="N900" s="79"/>
      <c r="Q900" s="79"/>
      <c r="T900" s="130"/>
      <c r="V900" s="106"/>
    </row>
    <row r="901">
      <c r="C901" s="79"/>
      <c r="D901" s="79"/>
      <c r="J901" s="79"/>
      <c r="N901" s="79"/>
      <c r="Q901" s="79"/>
      <c r="T901" s="130"/>
      <c r="V901" s="106"/>
    </row>
    <row r="902">
      <c r="C902" s="79"/>
      <c r="D902" s="79"/>
      <c r="J902" s="79"/>
      <c r="N902" s="79"/>
      <c r="Q902" s="79"/>
      <c r="T902" s="130"/>
      <c r="V902" s="106"/>
    </row>
    <row r="903">
      <c r="C903" s="79"/>
      <c r="D903" s="79"/>
      <c r="J903" s="79"/>
      <c r="N903" s="79"/>
      <c r="Q903" s="79"/>
      <c r="T903" s="130"/>
      <c r="V903" s="106"/>
    </row>
    <row r="904">
      <c r="C904" s="79"/>
      <c r="D904" s="79"/>
      <c r="J904" s="79"/>
      <c r="N904" s="79"/>
      <c r="Q904" s="79"/>
      <c r="T904" s="130"/>
      <c r="V904" s="106"/>
    </row>
    <row r="905">
      <c r="C905" s="79"/>
      <c r="D905" s="79"/>
      <c r="J905" s="79"/>
      <c r="N905" s="79"/>
      <c r="Q905" s="79"/>
      <c r="T905" s="130"/>
      <c r="V905" s="106"/>
    </row>
    <row r="906">
      <c r="C906" s="79"/>
      <c r="D906" s="79"/>
      <c r="J906" s="79"/>
      <c r="N906" s="79"/>
      <c r="Q906" s="79"/>
      <c r="T906" s="130"/>
      <c r="V906" s="106"/>
    </row>
    <row r="907">
      <c r="C907" s="79"/>
      <c r="D907" s="79"/>
      <c r="J907" s="79"/>
      <c r="N907" s="79"/>
      <c r="Q907" s="79"/>
      <c r="T907" s="130"/>
      <c r="V907" s="106"/>
    </row>
    <row r="908">
      <c r="C908" s="79"/>
      <c r="D908" s="79"/>
      <c r="J908" s="79"/>
      <c r="N908" s="79"/>
      <c r="Q908" s="79"/>
      <c r="T908" s="130"/>
      <c r="V908" s="106"/>
    </row>
    <row r="909">
      <c r="C909" s="79"/>
      <c r="D909" s="79"/>
      <c r="J909" s="79"/>
      <c r="N909" s="79"/>
      <c r="Q909" s="79"/>
      <c r="T909" s="130"/>
      <c r="V909" s="106"/>
    </row>
    <row r="910">
      <c r="C910" s="79"/>
      <c r="D910" s="79"/>
      <c r="J910" s="79"/>
      <c r="N910" s="79"/>
      <c r="Q910" s="79"/>
      <c r="T910" s="130"/>
      <c r="V910" s="106"/>
    </row>
    <row r="911">
      <c r="C911" s="79"/>
      <c r="D911" s="79"/>
      <c r="J911" s="79"/>
      <c r="N911" s="79"/>
      <c r="Q911" s="79"/>
      <c r="T911" s="130"/>
      <c r="V911" s="106"/>
    </row>
    <row r="912">
      <c r="C912" s="79"/>
      <c r="D912" s="79"/>
      <c r="J912" s="79"/>
      <c r="N912" s="79"/>
      <c r="Q912" s="79"/>
      <c r="T912" s="130"/>
      <c r="V912" s="106"/>
    </row>
    <row r="913">
      <c r="C913" s="79"/>
      <c r="D913" s="79"/>
      <c r="J913" s="79"/>
      <c r="N913" s="79"/>
      <c r="Q913" s="79"/>
      <c r="T913" s="130"/>
      <c r="V913" s="106"/>
    </row>
    <row r="914">
      <c r="C914" s="79"/>
      <c r="D914" s="79"/>
      <c r="J914" s="79"/>
      <c r="N914" s="79"/>
      <c r="Q914" s="79"/>
      <c r="T914" s="130"/>
      <c r="V914" s="106"/>
    </row>
    <row r="915">
      <c r="C915" s="79"/>
      <c r="D915" s="79"/>
      <c r="J915" s="79"/>
      <c r="N915" s="79"/>
      <c r="Q915" s="79"/>
      <c r="T915" s="130"/>
      <c r="V915" s="106"/>
    </row>
    <row r="916">
      <c r="C916" s="79"/>
      <c r="D916" s="79"/>
      <c r="J916" s="79"/>
      <c r="N916" s="79"/>
      <c r="Q916" s="79"/>
      <c r="T916" s="130"/>
      <c r="V916" s="106"/>
    </row>
    <row r="917">
      <c r="C917" s="79"/>
      <c r="D917" s="79"/>
      <c r="J917" s="79"/>
      <c r="N917" s="79"/>
      <c r="Q917" s="79"/>
      <c r="T917" s="130"/>
      <c r="V917" s="106"/>
    </row>
    <row r="918">
      <c r="C918" s="79"/>
      <c r="D918" s="79"/>
      <c r="J918" s="79"/>
      <c r="N918" s="79"/>
      <c r="Q918" s="79"/>
      <c r="T918" s="130"/>
      <c r="V918" s="106"/>
    </row>
    <row r="919">
      <c r="C919" s="79"/>
      <c r="D919" s="79"/>
      <c r="J919" s="79"/>
      <c r="N919" s="79"/>
      <c r="Q919" s="79"/>
      <c r="T919" s="130"/>
      <c r="V919" s="106"/>
    </row>
    <row r="920">
      <c r="C920" s="79"/>
      <c r="D920" s="79"/>
      <c r="J920" s="79"/>
      <c r="N920" s="79"/>
      <c r="Q920" s="79"/>
      <c r="T920" s="130"/>
      <c r="V920" s="106"/>
    </row>
    <row r="921">
      <c r="C921" s="79"/>
      <c r="D921" s="79"/>
      <c r="J921" s="79"/>
      <c r="N921" s="79"/>
      <c r="Q921" s="79"/>
      <c r="T921" s="130"/>
      <c r="V921" s="106"/>
    </row>
    <row r="922">
      <c r="C922" s="79"/>
      <c r="D922" s="79"/>
      <c r="J922" s="79"/>
      <c r="N922" s="79"/>
      <c r="Q922" s="79"/>
      <c r="T922" s="130"/>
      <c r="V922" s="106"/>
    </row>
    <row r="923">
      <c r="C923" s="79"/>
      <c r="D923" s="79"/>
      <c r="J923" s="79"/>
      <c r="N923" s="79"/>
      <c r="Q923" s="79"/>
      <c r="T923" s="130"/>
      <c r="V923" s="106"/>
    </row>
    <row r="924">
      <c r="C924" s="79"/>
      <c r="D924" s="79"/>
      <c r="J924" s="79"/>
      <c r="N924" s="79"/>
      <c r="Q924" s="79"/>
      <c r="T924" s="130"/>
      <c r="V924" s="106"/>
    </row>
    <row r="925">
      <c r="C925" s="79"/>
      <c r="D925" s="79"/>
      <c r="J925" s="79"/>
      <c r="N925" s="79"/>
      <c r="Q925" s="79"/>
      <c r="T925" s="130"/>
      <c r="V925" s="106"/>
    </row>
    <row r="926">
      <c r="C926" s="79"/>
      <c r="D926" s="79"/>
      <c r="J926" s="79"/>
      <c r="N926" s="79"/>
      <c r="Q926" s="79"/>
      <c r="T926" s="130"/>
      <c r="V926" s="106"/>
    </row>
    <row r="927">
      <c r="C927" s="79"/>
      <c r="D927" s="79"/>
      <c r="J927" s="79"/>
      <c r="N927" s="79"/>
      <c r="Q927" s="79"/>
      <c r="T927" s="130"/>
      <c r="V927" s="106"/>
    </row>
    <row r="928">
      <c r="C928" s="79"/>
      <c r="D928" s="79"/>
      <c r="J928" s="79"/>
      <c r="N928" s="79"/>
      <c r="Q928" s="79"/>
      <c r="T928" s="130"/>
      <c r="V928" s="106"/>
    </row>
    <row r="929">
      <c r="C929" s="79"/>
      <c r="D929" s="79"/>
      <c r="J929" s="79"/>
      <c r="N929" s="79"/>
      <c r="Q929" s="79"/>
      <c r="T929" s="130"/>
      <c r="V929" s="106"/>
    </row>
    <row r="930">
      <c r="C930" s="79"/>
      <c r="D930" s="79"/>
      <c r="J930" s="79"/>
      <c r="N930" s="79"/>
      <c r="Q930" s="79"/>
      <c r="T930" s="130"/>
      <c r="V930" s="106"/>
    </row>
    <row r="931">
      <c r="C931" s="79"/>
      <c r="D931" s="79"/>
      <c r="J931" s="79"/>
      <c r="N931" s="79"/>
      <c r="Q931" s="79"/>
      <c r="T931" s="130"/>
      <c r="V931" s="106"/>
    </row>
    <row r="932">
      <c r="C932" s="79"/>
      <c r="D932" s="79"/>
      <c r="J932" s="79"/>
      <c r="N932" s="79"/>
      <c r="Q932" s="79"/>
      <c r="T932" s="130"/>
      <c r="V932" s="106"/>
    </row>
    <row r="933">
      <c r="C933" s="79"/>
      <c r="D933" s="79"/>
      <c r="J933" s="79"/>
      <c r="N933" s="79"/>
      <c r="Q933" s="79"/>
      <c r="T933" s="130"/>
      <c r="V933" s="106"/>
    </row>
    <row r="934">
      <c r="C934" s="79"/>
      <c r="D934" s="79"/>
      <c r="J934" s="79"/>
      <c r="N934" s="79"/>
      <c r="Q934" s="79"/>
      <c r="T934" s="130"/>
      <c r="V934" s="106"/>
    </row>
    <row r="935">
      <c r="C935" s="79"/>
      <c r="D935" s="79"/>
      <c r="J935" s="79"/>
      <c r="N935" s="79"/>
      <c r="Q935" s="79"/>
      <c r="T935" s="130"/>
      <c r="V935" s="106"/>
    </row>
    <row r="936">
      <c r="C936" s="79"/>
      <c r="D936" s="79"/>
      <c r="J936" s="79"/>
      <c r="N936" s="79"/>
      <c r="Q936" s="79"/>
      <c r="T936" s="130"/>
      <c r="V936" s="106"/>
    </row>
    <row r="937">
      <c r="C937" s="79"/>
      <c r="D937" s="79"/>
      <c r="J937" s="79"/>
      <c r="N937" s="79"/>
      <c r="Q937" s="79"/>
      <c r="T937" s="130"/>
      <c r="V937" s="106"/>
    </row>
    <row r="938">
      <c r="C938" s="79"/>
      <c r="D938" s="79"/>
      <c r="J938" s="79"/>
      <c r="N938" s="79"/>
      <c r="Q938" s="79"/>
      <c r="T938" s="130"/>
      <c r="V938" s="106"/>
    </row>
    <row r="939">
      <c r="C939" s="79"/>
      <c r="D939" s="79"/>
      <c r="J939" s="79"/>
      <c r="N939" s="79"/>
      <c r="Q939" s="79"/>
      <c r="T939" s="130"/>
      <c r="V939" s="106"/>
    </row>
    <row r="940">
      <c r="C940" s="79"/>
      <c r="D940" s="79"/>
      <c r="J940" s="79"/>
      <c r="N940" s="79"/>
      <c r="Q940" s="79"/>
      <c r="T940" s="130"/>
      <c r="V940" s="106"/>
    </row>
    <row r="941">
      <c r="C941" s="79"/>
      <c r="D941" s="79"/>
      <c r="J941" s="79"/>
      <c r="N941" s="79"/>
      <c r="Q941" s="79"/>
      <c r="T941" s="130"/>
      <c r="V941" s="106"/>
    </row>
    <row r="942">
      <c r="C942" s="79"/>
      <c r="D942" s="79"/>
      <c r="J942" s="79"/>
      <c r="N942" s="79"/>
      <c r="Q942" s="79"/>
      <c r="T942" s="130"/>
      <c r="V942" s="106"/>
    </row>
    <row r="943">
      <c r="C943" s="79"/>
      <c r="D943" s="79"/>
      <c r="J943" s="79"/>
      <c r="N943" s="79"/>
      <c r="Q943" s="79"/>
      <c r="T943" s="130"/>
      <c r="V943" s="106"/>
    </row>
    <row r="944">
      <c r="C944" s="79"/>
      <c r="D944" s="79"/>
      <c r="J944" s="79"/>
      <c r="N944" s="79"/>
      <c r="Q944" s="79"/>
      <c r="T944" s="130"/>
      <c r="V944" s="106"/>
    </row>
    <row r="945">
      <c r="C945" s="79"/>
      <c r="D945" s="79"/>
      <c r="J945" s="79"/>
      <c r="N945" s="79"/>
      <c r="Q945" s="79"/>
      <c r="T945" s="130"/>
      <c r="V945" s="106"/>
    </row>
    <row r="946">
      <c r="C946" s="79"/>
      <c r="D946" s="79"/>
      <c r="J946" s="79"/>
      <c r="N946" s="79"/>
      <c r="Q946" s="79"/>
      <c r="T946" s="130"/>
      <c r="V946" s="106"/>
    </row>
    <row r="947">
      <c r="C947" s="79"/>
      <c r="D947" s="79"/>
      <c r="J947" s="79"/>
      <c r="N947" s="79"/>
      <c r="Q947" s="79"/>
      <c r="T947" s="130"/>
      <c r="V947" s="106"/>
    </row>
    <row r="948">
      <c r="C948" s="79"/>
      <c r="D948" s="79"/>
      <c r="J948" s="79"/>
      <c r="N948" s="79"/>
      <c r="Q948" s="79"/>
      <c r="T948" s="130"/>
      <c r="V948" s="106"/>
    </row>
    <row r="949">
      <c r="C949" s="79"/>
      <c r="D949" s="79"/>
      <c r="J949" s="79"/>
      <c r="N949" s="79"/>
      <c r="Q949" s="79"/>
      <c r="T949" s="130"/>
      <c r="V949" s="106"/>
    </row>
    <row r="950">
      <c r="C950" s="79"/>
      <c r="D950" s="79"/>
      <c r="J950" s="79"/>
      <c r="N950" s="79"/>
      <c r="Q950" s="79"/>
      <c r="T950" s="130"/>
      <c r="V950" s="106"/>
    </row>
    <row r="951">
      <c r="C951" s="79"/>
      <c r="D951" s="79"/>
      <c r="J951" s="79"/>
      <c r="N951" s="79"/>
      <c r="Q951" s="79"/>
      <c r="T951" s="130"/>
      <c r="V951" s="106"/>
    </row>
    <row r="952">
      <c r="C952" s="79"/>
      <c r="D952" s="79"/>
      <c r="J952" s="79"/>
      <c r="N952" s="79"/>
      <c r="Q952" s="79"/>
      <c r="T952" s="130"/>
      <c r="V952" s="106"/>
    </row>
    <row r="953">
      <c r="C953" s="79"/>
      <c r="D953" s="79"/>
      <c r="J953" s="79"/>
      <c r="N953" s="79"/>
      <c r="Q953" s="79"/>
      <c r="T953" s="130"/>
      <c r="V953" s="106"/>
    </row>
    <row r="954">
      <c r="C954" s="79"/>
      <c r="D954" s="79"/>
      <c r="J954" s="79"/>
      <c r="N954" s="79"/>
      <c r="Q954" s="79"/>
      <c r="T954" s="130"/>
      <c r="V954" s="106"/>
    </row>
    <row r="955">
      <c r="C955" s="79"/>
      <c r="D955" s="79"/>
      <c r="J955" s="79"/>
      <c r="N955" s="79"/>
      <c r="Q955" s="79"/>
      <c r="T955" s="130"/>
      <c r="V955" s="106"/>
    </row>
    <row r="956">
      <c r="C956" s="79"/>
      <c r="D956" s="79"/>
      <c r="J956" s="79"/>
      <c r="N956" s="79"/>
      <c r="Q956" s="79"/>
      <c r="T956" s="130"/>
      <c r="V956" s="106"/>
    </row>
    <row r="957">
      <c r="C957" s="79"/>
      <c r="D957" s="79"/>
      <c r="J957" s="79"/>
      <c r="N957" s="79"/>
      <c r="Q957" s="79"/>
      <c r="T957" s="130"/>
      <c r="V957" s="106"/>
    </row>
    <row r="958">
      <c r="C958" s="79"/>
      <c r="D958" s="79"/>
      <c r="J958" s="79"/>
      <c r="N958" s="79"/>
      <c r="Q958" s="79"/>
      <c r="T958" s="130"/>
      <c r="V958" s="106"/>
    </row>
    <row r="959">
      <c r="C959" s="79"/>
      <c r="D959" s="79"/>
      <c r="J959" s="79"/>
      <c r="N959" s="79"/>
      <c r="Q959" s="79"/>
      <c r="T959" s="130"/>
      <c r="V959" s="106"/>
    </row>
    <row r="960">
      <c r="C960" s="79"/>
      <c r="D960" s="79"/>
      <c r="J960" s="79"/>
      <c r="N960" s="79"/>
      <c r="Q960" s="79"/>
      <c r="T960" s="130"/>
      <c r="V960" s="106"/>
    </row>
    <row r="961">
      <c r="C961" s="79"/>
      <c r="D961" s="79"/>
      <c r="J961" s="79"/>
      <c r="N961" s="79"/>
      <c r="Q961" s="79"/>
      <c r="T961" s="130"/>
      <c r="V961" s="106"/>
    </row>
    <row r="962">
      <c r="C962" s="79"/>
      <c r="D962" s="79"/>
      <c r="J962" s="79"/>
      <c r="N962" s="79"/>
      <c r="Q962" s="79"/>
      <c r="T962" s="130"/>
      <c r="V962" s="106"/>
    </row>
    <row r="963">
      <c r="C963" s="79"/>
      <c r="D963" s="79"/>
      <c r="J963" s="79"/>
      <c r="N963" s="79"/>
      <c r="Q963" s="79"/>
      <c r="T963" s="130"/>
      <c r="V963" s="106"/>
    </row>
    <row r="964">
      <c r="C964" s="79"/>
      <c r="D964" s="79"/>
      <c r="J964" s="79"/>
      <c r="N964" s="79"/>
      <c r="Q964" s="79"/>
      <c r="T964" s="130"/>
      <c r="V964" s="106"/>
    </row>
    <row r="965">
      <c r="C965" s="79"/>
      <c r="D965" s="79"/>
      <c r="J965" s="79"/>
      <c r="N965" s="79"/>
      <c r="Q965" s="79"/>
      <c r="T965" s="130"/>
      <c r="V965" s="106"/>
    </row>
    <row r="966">
      <c r="C966" s="79"/>
      <c r="D966" s="79"/>
      <c r="J966" s="79"/>
      <c r="N966" s="79"/>
      <c r="Q966" s="79"/>
      <c r="T966" s="130"/>
      <c r="V966" s="106"/>
    </row>
    <row r="967">
      <c r="C967" s="79"/>
      <c r="D967" s="79"/>
      <c r="J967" s="79"/>
      <c r="N967" s="79"/>
      <c r="Q967" s="79"/>
      <c r="T967" s="130"/>
      <c r="V967" s="106"/>
    </row>
    <row r="968">
      <c r="C968" s="79"/>
      <c r="D968" s="79"/>
      <c r="J968" s="79"/>
      <c r="N968" s="79"/>
      <c r="Q968" s="79"/>
      <c r="T968" s="130"/>
      <c r="V968" s="106"/>
    </row>
    <row r="969">
      <c r="C969" s="79"/>
      <c r="D969" s="79"/>
      <c r="J969" s="79"/>
      <c r="N969" s="79"/>
      <c r="Q969" s="79"/>
      <c r="T969" s="130"/>
      <c r="V969" s="106"/>
    </row>
    <row r="970">
      <c r="C970" s="79"/>
      <c r="D970" s="79"/>
      <c r="J970" s="79"/>
      <c r="N970" s="79"/>
      <c r="Q970" s="79"/>
      <c r="T970" s="130"/>
      <c r="V970" s="106"/>
    </row>
    <row r="971">
      <c r="C971" s="79"/>
      <c r="D971" s="79"/>
      <c r="J971" s="79"/>
      <c r="N971" s="79"/>
      <c r="Q971" s="79"/>
      <c r="T971" s="130"/>
      <c r="V971" s="106"/>
    </row>
    <row r="972">
      <c r="C972" s="79"/>
      <c r="D972" s="79"/>
      <c r="J972" s="79"/>
      <c r="N972" s="79"/>
      <c r="Q972" s="79"/>
      <c r="T972" s="130"/>
      <c r="V972" s="106"/>
    </row>
    <row r="973">
      <c r="C973" s="79"/>
      <c r="D973" s="79"/>
      <c r="J973" s="79"/>
      <c r="N973" s="79"/>
      <c r="Q973" s="79"/>
      <c r="T973" s="130"/>
      <c r="V973" s="106"/>
    </row>
    <row r="974">
      <c r="C974" s="79"/>
      <c r="D974" s="79"/>
      <c r="J974" s="79"/>
      <c r="N974" s="79"/>
      <c r="Q974" s="79"/>
      <c r="T974" s="130"/>
      <c r="V974" s="106"/>
    </row>
    <row r="975">
      <c r="C975" s="79"/>
      <c r="D975" s="79"/>
      <c r="J975" s="79"/>
      <c r="N975" s="79"/>
      <c r="Q975" s="79"/>
      <c r="T975" s="130"/>
      <c r="V975" s="106"/>
    </row>
    <row r="976">
      <c r="C976" s="79"/>
      <c r="D976" s="79"/>
      <c r="J976" s="79"/>
      <c r="N976" s="79"/>
      <c r="Q976" s="79"/>
      <c r="T976" s="130"/>
      <c r="V976" s="106"/>
    </row>
    <row r="977">
      <c r="C977" s="79"/>
      <c r="D977" s="79"/>
      <c r="J977" s="79"/>
      <c r="N977" s="79"/>
      <c r="Q977" s="79"/>
      <c r="T977" s="130"/>
      <c r="V977" s="106"/>
    </row>
    <row r="978">
      <c r="C978" s="79"/>
      <c r="D978" s="79"/>
      <c r="J978" s="79"/>
      <c r="N978" s="79"/>
      <c r="Q978" s="79"/>
      <c r="T978" s="130"/>
      <c r="V978" s="106"/>
    </row>
    <row r="979">
      <c r="C979" s="79"/>
      <c r="D979" s="79"/>
      <c r="J979" s="79"/>
      <c r="N979" s="79"/>
      <c r="Q979" s="79"/>
      <c r="T979" s="130"/>
      <c r="V979" s="106"/>
    </row>
    <row r="980">
      <c r="C980" s="79"/>
      <c r="D980" s="79"/>
      <c r="J980" s="79"/>
      <c r="N980" s="79"/>
      <c r="Q980" s="79"/>
      <c r="T980" s="130"/>
      <c r="V980" s="106"/>
    </row>
    <row r="981">
      <c r="C981" s="79"/>
      <c r="D981" s="79"/>
      <c r="J981" s="79"/>
      <c r="N981" s="79"/>
      <c r="Q981" s="79"/>
      <c r="T981" s="130"/>
      <c r="V981" s="106"/>
    </row>
    <row r="982">
      <c r="C982" s="79"/>
      <c r="D982" s="79"/>
      <c r="J982" s="79"/>
      <c r="N982" s="79"/>
      <c r="Q982" s="79"/>
      <c r="T982" s="130"/>
      <c r="V982" s="106"/>
    </row>
    <row r="983">
      <c r="C983" s="79"/>
      <c r="D983" s="79"/>
      <c r="J983" s="79"/>
      <c r="N983" s="79"/>
      <c r="Q983" s="79"/>
      <c r="T983" s="130"/>
      <c r="V983" s="106"/>
    </row>
    <row r="984">
      <c r="C984" s="79"/>
      <c r="D984" s="79"/>
      <c r="J984" s="79"/>
      <c r="N984" s="79"/>
      <c r="Q984" s="79"/>
      <c r="T984" s="130"/>
      <c r="V984" s="106"/>
    </row>
    <row r="985">
      <c r="C985" s="79"/>
      <c r="D985" s="79"/>
      <c r="J985" s="79"/>
      <c r="N985" s="79"/>
      <c r="Q985" s="79"/>
      <c r="T985" s="130"/>
      <c r="V985" s="106"/>
    </row>
    <row r="986">
      <c r="C986" s="79"/>
      <c r="D986" s="79"/>
      <c r="J986" s="79"/>
      <c r="N986" s="79"/>
      <c r="Q986" s="79"/>
      <c r="T986" s="130"/>
      <c r="V986" s="106"/>
    </row>
    <row r="987">
      <c r="C987" s="79"/>
      <c r="D987" s="79"/>
      <c r="J987" s="79"/>
      <c r="N987" s="79"/>
      <c r="Q987" s="79"/>
      <c r="T987" s="130"/>
      <c r="V987" s="106"/>
    </row>
    <row r="988">
      <c r="C988" s="79"/>
      <c r="D988" s="79"/>
      <c r="J988" s="79"/>
      <c r="N988" s="79"/>
      <c r="Q988" s="79"/>
      <c r="T988" s="130"/>
      <c r="V988" s="106"/>
    </row>
    <row r="989">
      <c r="C989" s="79"/>
      <c r="D989" s="79"/>
      <c r="J989" s="79"/>
      <c r="N989" s="79"/>
      <c r="Q989" s="79"/>
      <c r="T989" s="130"/>
      <c r="V989" s="106"/>
    </row>
    <row r="990">
      <c r="C990" s="79"/>
      <c r="D990" s="79"/>
      <c r="J990" s="79"/>
      <c r="N990" s="79"/>
      <c r="Q990" s="79"/>
      <c r="T990" s="130"/>
      <c r="V990" s="106"/>
    </row>
    <row r="991">
      <c r="C991" s="79"/>
      <c r="D991" s="79"/>
      <c r="J991" s="79"/>
      <c r="N991" s="79"/>
      <c r="Q991" s="79"/>
      <c r="T991" s="130"/>
      <c r="V991" s="106"/>
    </row>
    <row r="992">
      <c r="C992" s="79"/>
      <c r="D992" s="79"/>
      <c r="J992" s="79"/>
      <c r="N992" s="79"/>
      <c r="Q992" s="79"/>
      <c r="T992" s="130"/>
      <c r="V992" s="106"/>
    </row>
    <row r="993">
      <c r="C993" s="79"/>
      <c r="D993" s="79"/>
      <c r="J993" s="79"/>
      <c r="N993" s="79"/>
      <c r="Q993" s="79"/>
      <c r="T993" s="130"/>
      <c r="V993" s="106"/>
    </row>
    <row r="994">
      <c r="C994" s="79"/>
      <c r="D994" s="79"/>
      <c r="J994" s="79"/>
      <c r="N994" s="79"/>
      <c r="Q994" s="79"/>
      <c r="T994" s="130"/>
      <c r="V994" s="106"/>
    </row>
    <row r="995">
      <c r="C995" s="79"/>
      <c r="D995" s="79"/>
      <c r="J995" s="79"/>
      <c r="N995" s="79"/>
      <c r="Q995" s="79"/>
      <c r="T995" s="130"/>
      <c r="V995" s="106"/>
    </row>
    <row r="996">
      <c r="C996" s="79"/>
      <c r="D996" s="79"/>
      <c r="J996" s="79"/>
      <c r="N996" s="79"/>
      <c r="Q996" s="79"/>
      <c r="T996" s="130"/>
      <c r="V996" s="106"/>
    </row>
    <row r="997">
      <c r="C997" s="79"/>
      <c r="D997" s="79"/>
      <c r="J997" s="79"/>
      <c r="N997" s="79"/>
      <c r="Q997" s="79"/>
      <c r="T997" s="130"/>
      <c r="V997" s="106"/>
    </row>
    <row r="998">
      <c r="C998" s="79"/>
      <c r="D998" s="79"/>
      <c r="J998" s="79"/>
      <c r="N998" s="79"/>
      <c r="Q998" s="79"/>
      <c r="T998" s="130"/>
      <c r="V998" s="106"/>
    </row>
    <row r="999">
      <c r="C999" s="79"/>
      <c r="D999" s="79"/>
      <c r="J999" s="79"/>
      <c r="N999" s="79"/>
      <c r="Q999" s="79"/>
      <c r="T999" s="130"/>
      <c r="V999" s="106"/>
    </row>
    <row r="1000">
      <c r="C1000" s="79"/>
      <c r="D1000" s="79"/>
      <c r="J1000" s="79"/>
      <c r="N1000" s="79"/>
      <c r="Q1000" s="79"/>
      <c r="T1000" s="130"/>
      <c r="V1000" s="106"/>
    </row>
  </sheetData>
  <mergeCells count="1">
    <mergeCell ref="H19:J19"/>
  </mergeCells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4" max="24" width="17.0"/>
  </cols>
  <sheetData>
    <row r="1">
      <c r="B1" s="2" t="s">
        <v>0</v>
      </c>
      <c r="C1" s="105" t="s">
        <v>1</v>
      </c>
      <c r="D1" s="105" t="s">
        <v>7</v>
      </c>
      <c r="E1" s="2" t="s">
        <v>3</v>
      </c>
      <c r="F1" s="2" t="s">
        <v>129</v>
      </c>
      <c r="G1" s="2" t="s">
        <v>5</v>
      </c>
      <c r="H1" s="2" t="s">
        <v>6</v>
      </c>
      <c r="I1" s="2" t="s">
        <v>43</v>
      </c>
      <c r="J1" s="105" t="s">
        <v>40</v>
      </c>
      <c r="K1" s="2" t="s">
        <v>49</v>
      </c>
      <c r="L1" s="2" t="s">
        <v>42</v>
      </c>
      <c r="M1" s="2" t="s">
        <v>121</v>
      </c>
      <c r="N1" s="105" t="s">
        <v>9</v>
      </c>
      <c r="O1" s="2" t="s">
        <v>37</v>
      </c>
      <c r="P1" s="2" t="s">
        <v>10</v>
      </c>
      <c r="Q1" s="105" t="s">
        <v>11</v>
      </c>
      <c r="R1" s="105" t="s">
        <v>161</v>
      </c>
      <c r="S1" s="2" t="s">
        <v>12</v>
      </c>
      <c r="T1" s="2" t="s">
        <v>162</v>
      </c>
      <c r="U1" s="3" t="s">
        <v>13</v>
      </c>
      <c r="V1" s="126" t="s">
        <v>14</v>
      </c>
      <c r="W1" s="3" t="s">
        <v>15</v>
      </c>
      <c r="X1" s="106"/>
    </row>
    <row r="2">
      <c r="A2" s="74">
        <v>45110.0</v>
      </c>
      <c r="B2" s="5">
        <v>826.04</v>
      </c>
      <c r="C2" s="93">
        <v>486.76</v>
      </c>
      <c r="D2" s="93"/>
      <c r="E2" s="5"/>
      <c r="F2" s="5"/>
      <c r="G2" s="5"/>
      <c r="H2" s="5"/>
      <c r="I2" s="5"/>
      <c r="J2" s="72"/>
      <c r="K2" s="5">
        <v>168.0</v>
      </c>
      <c r="L2" s="5"/>
      <c r="M2" s="5"/>
      <c r="N2" s="93"/>
      <c r="O2" s="5"/>
      <c r="P2" s="5"/>
      <c r="Q2" s="93"/>
      <c r="R2" s="93"/>
      <c r="S2" s="5"/>
      <c r="T2" s="5"/>
      <c r="U2" s="107">
        <f t="shared" ref="U2:U3" si="1">SUM(B2:S2)</f>
        <v>1480.8</v>
      </c>
      <c r="V2" s="108">
        <v>10100.0</v>
      </c>
      <c r="W2" s="59">
        <f t="shared" ref="W2:W8" si="2">U2/V2</f>
        <v>0.1466138614</v>
      </c>
      <c r="X2" s="109">
        <f t="shared" ref="X2:X8" si="3">A2</f>
        <v>45110</v>
      </c>
    </row>
    <row r="3">
      <c r="A3" s="74">
        <v>45111.0</v>
      </c>
      <c r="B3" s="5">
        <v>86.44</v>
      </c>
      <c r="C3" s="110"/>
      <c r="D3" s="93"/>
      <c r="E3" s="5"/>
      <c r="F3" s="5"/>
      <c r="G3" s="5"/>
      <c r="H3" s="5">
        <v>42.0</v>
      </c>
      <c r="I3" s="5"/>
      <c r="J3" s="93"/>
      <c r="K3" s="5"/>
      <c r="L3" s="5"/>
      <c r="M3" s="6"/>
      <c r="N3" s="93"/>
      <c r="O3" s="93"/>
      <c r="P3" s="5"/>
      <c r="Q3" s="93"/>
      <c r="R3" s="93"/>
      <c r="S3" s="93"/>
      <c r="T3" s="93"/>
      <c r="U3" s="7">
        <f t="shared" si="1"/>
        <v>128.44</v>
      </c>
      <c r="V3" s="97">
        <v>0.0</v>
      </c>
      <c r="W3" s="59" t="str">
        <f t="shared" si="2"/>
        <v>#DIV/0!</v>
      </c>
      <c r="X3" s="109">
        <f t="shared" si="3"/>
        <v>45111</v>
      </c>
    </row>
    <row r="4">
      <c r="A4" s="74">
        <v>45112.0</v>
      </c>
      <c r="B4" s="5">
        <v>730.56</v>
      </c>
      <c r="C4" s="93">
        <v>226.06</v>
      </c>
      <c r="D4" s="93"/>
      <c r="E4" s="5"/>
      <c r="F4" s="5"/>
      <c r="G4" s="5">
        <v>637.8</v>
      </c>
      <c r="H4" s="5"/>
      <c r="I4" s="5"/>
      <c r="J4" s="93"/>
      <c r="K4" s="5"/>
      <c r="L4" s="5"/>
      <c r="M4" s="5">
        <v>18.5</v>
      </c>
      <c r="N4" s="93"/>
      <c r="O4" s="5"/>
      <c r="P4" s="83"/>
      <c r="Q4" s="93"/>
      <c r="R4" s="93"/>
      <c r="S4" s="6"/>
      <c r="T4" s="5">
        <v>1155.58</v>
      </c>
      <c r="U4" s="7">
        <f>SUM(B4:T4)</f>
        <v>2768.5</v>
      </c>
      <c r="V4" s="97">
        <v>4923.0</v>
      </c>
      <c r="W4" s="59">
        <f t="shared" si="2"/>
        <v>0.5623603494</v>
      </c>
      <c r="X4" s="109">
        <f t="shared" si="3"/>
        <v>45112</v>
      </c>
    </row>
    <row r="5">
      <c r="A5" s="74">
        <v>45113.0</v>
      </c>
      <c r="B5" s="5">
        <v>1191.35</v>
      </c>
      <c r="C5" s="93">
        <v>387.72</v>
      </c>
      <c r="D5" s="101"/>
      <c r="E5" s="5">
        <v>280.0</v>
      </c>
      <c r="F5" s="5">
        <v>460.29</v>
      </c>
      <c r="G5" s="5"/>
      <c r="H5" s="5">
        <v>123.0</v>
      </c>
      <c r="I5" s="5"/>
      <c r="J5" s="93"/>
      <c r="K5" s="5"/>
      <c r="L5" s="5"/>
      <c r="M5" s="5">
        <v>18.5</v>
      </c>
      <c r="N5" s="93"/>
      <c r="O5" s="5"/>
      <c r="P5" s="5">
        <v>39.0</v>
      </c>
      <c r="Q5" s="101"/>
      <c r="R5" s="93">
        <v>196.0</v>
      </c>
      <c r="S5" s="5">
        <v>92.7</v>
      </c>
      <c r="T5" s="5"/>
      <c r="U5" s="7">
        <f t="shared" ref="U5:U7" si="4">SUM(B5:S5)</f>
        <v>2788.56</v>
      </c>
      <c r="V5" s="98">
        <v>6819.5</v>
      </c>
      <c r="W5" s="59">
        <f t="shared" si="2"/>
        <v>0.4089097441</v>
      </c>
      <c r="X5" s="109">
        <f t="shared" si="3"/>
        <v>45113</v>
      </c>
    </row>
    <row r="6">
      <c r="A6" s="74">
        <v>45114.0</v>
      </c>
      <c r="B6" s="5">
        <v>927.59</v>
      </c>
      <c r="C6" s="93">
        <v>395.68</v>
      </c>
      <c r="D6" s="93"/>
      <c r="E6" s="5"/>
      <c r="G6" s="5">
        <v>508.3</v>
      </c>
      <c r="H6" s="5"/>
      <c r="I6" s="5"/>
      <c r="J6" s="111"/>
      <c r="K6" s="5"/>
      <c r="L6" s="5"/>
      <c r="M6" s="5">
        <v>18.5</v>
      </c>
      <c r="N6" s="93"/>
      <c r="O6" s="5"/>
      <c r="P6" s="5"/>
      <c r="Q6" s="93"/>
      <c r="R6" s="93"/>
      <c r="S6" s="5"/>
      <c r="T6" s="5"/>
      <c r="U6" s="7">
        <f t="shared" si="4"/>
        <v>1850.07</v>
      </c>
      <c r="V6" s="97">
        <v>10997.0</v>
      </c>
      <c r="W6" s="59">
        <f t="shared" si="2"/>
        <v>0.1682340638</v>
      </c>
      <c r="X6" s="109">
        <f t="shared" si="3"/>
        <v>45114</v>
      </c>
    </row>
    <row r="7">
      <c r="A7" s="74">
        <v>45115.0</v>
      </c>
      <c r="B7" s="5">
        <v>920.97</v>
      </c>
      <c r="C7" s="93">
        <v>306.8</v>
      </c>
      <c r="D7" s="93"/>
      <c r="E7" s="5"/>
      <c r="F7" s="5">
        <v>264.5</v>
      </c>
      <c r="G7" s="5"/>
      <c r="H7" s="5"/>
      <c r="I7" s="5"/>
      <c r="J7" s="101"/>
      <c r="K7" s="5"/>
      <c r="L7" s="5"/>
      <c r="M7" s="93"/>
      <c r="N7" s="93"/>
      <c r="O7" s="6"/>
      <c r="P7" s="6"/>
      <c r="Q7" s="101"/>
      <c r="R7" s="101"/>
      <c r="S7" s="5">
        <v>148.36</v>
      </c>
      <c r="T7" s="5"/>
      <c r="U7" s="7">
        <f t="shared" si="4"/>
        <v>1640.63</v>
      </c>
      <c r="V7" s="97">
        <v>14702.2</v>
      </c>
      <c r="W7" s="59">
        <f t="shared" si="2"/>
        <v>0.1115907823</v>
      </c>
      <c r="X7" s="109">
        <f t="shared" si="3"/>
        <v>45115</v>
      </c>
    </row>
    <row r="8">
      <c r="A8" s="74">
        <v>45116.0</v>
      </c>
      <c r="B8" s="10" t="s">
        <v>21</v>
      </c>
      <c r="C8" s="112" t="s">
        <v>21</v>
      </c>
      <c r="D8" s="112" t="s">
        <v>21</v>
      </c>
      <c r="E8" s="10" t="s">
        <v>21</v>
      </c>
      <c r="F8" s="10" t="s">
        <v>21</v>
      </c>
      <c r="G8" s="10" t="s">
        <v>21</v>
      </c>
      <c r="H8" s="10" t="s">
        <v>21</v>
      </c>
      <c r="I8" s="10" t="s">
        <v>21</v>
      </c>
      <c r="J8" s="112" t="s">
        <v>21</v>
      </c>
      <c r="K8" s="10" t="s">
        <v>21</v>
      </c>
      <c r="L8" s="10" t="s">
        <v>21</v>
      </c>
      <c r="M8" s="10" t="s">
        <v>21</v>
      </c>
      <c r="N8" s="112" t="s">
        <v>21</v>
      </c>
      <c r="O8" s="10" t="s">
        <v>21</v>
      </c>
      <c r="P8" s="10" t="s">
        <v>21</v>
      </c>
      <c r="Q8" s="112" t="s">
        <v>21</v>
      </c>
      <c r="R8" s="10" t="s">
        <v>21</v>
      </c>
      <c r="S8" s="10" t="s">
        <v>21</v>
      </c>
      <c r="T8" s="10" t="s">
        <v>21</v>
      </c>
      <c r="U8" s="7">
        <v>0.0</v>
      </c>
      <c r="V8" s="97">
        <v>8483.7</v>
      </c>
      <c r="W8" s="59">
        <f t="shared" si="2"/>
        <v>0</v>
      </c>
      <c r="X8" s="109">
        <f t="shared" si="3"/>
        <v>45116</v>
      </c>
    </row>
    <row r="9">
      <c r="C9" s="113"/>
      <c r="D9" s="79"/>
      <c r="J9" s="79"/>
      <c r="N9" s="79"/>
      <c r="Q9" s="79"/>
      <c r="R9" s="79"/>
      <c r="V9" s="129"/>
      <c r="X9" s="106"/>
    </row>
    <row r="10">
      <c r="C10" s="79"/>
      <c r="D10" s="79"/>
      <c r="J10" s="79"/>
      <c r="N10" s="79"/>
      <c r="Q10" s="79"/>
      <c r="R10" s="79"/>
      <c r="T10" s="56"/>
      <c r="V10" s="130"/>
      <c r="X10" s="106"/>
    </row>
    <row r="11">
      <c r="A11" s="4" t="s">
        <v>22</v>
      </c>
      <c r="B11" s="11">
        <v>13000.0</v>
      </c>
      <c r="C11" s="79"/>
      <c r="D11" s="79"/>
      <c r="E11" s="78"/>
      <c r="F11" s="79"/>
      <c r="J11" s="79"/>
      <c r="N11" s="79"/>
      <c r="Q11" s="79"/>
      <c r="R11" s="79"/>
      <c r="V11" s="131"/>
      <c r="X11" s="106"/>
    </row>
    <row r="12">
      <c r="A12" s="4" t="s">
        <v>23</v>
      </c>
      <c r="B12" s="12">
        <f>SUM(B2:S8)</f>
        <v>9501.42</v>
      </c>
      <c r="C12" s="79"/>
      <c r="D12" s="79"/>
      <c r="E12" s="56"/>
      <c r="J12" s="79"/>
      <c r="N12" s="79"/>
      <c r="Q12" s="79"/>
      <c r="R12" s="79"/>
      <c r="T12" s="56"/>
      <c r="V12" s="130"/>
      <c r="X12" s="106"/>
    </row>
    <row r="13">
      <c r="A13" s="4" t="s">
        <v>24</v>
      </c>
      <c r="B13" s="12">
        <f> SUM(B11-B12)</f>
        <v>3498.58</v>
      </c>
      <c r="C13" s="79"/>
      <c r="D13" s="79"/>
      <c r="J13" s="79"/>
      <c r="N13" s="79"/>
      <c r="Q13" s="79"/>
      <c r="R13" s="79"/>
      <c r="V13" s="130"/>
      <c r="X13" s="106"/>
    </row>
    <row r="14">
      <c r="C14" s="79"/>
      <c r="D14" s="79"/>
      <c r="J14" s="79"/>
      <c r="N14" s="79"/>
      <c r="Q14" s="79"/>
      <c r="R14" s="79"/>
      <c r="V14" s="130"/>
      <c r="X14" s="106"/>
    </row>
    <row r="15">
      <c r="A15" s="13" t="s">
        <v>25</v>
      </c>
      <c r="B15" s="14">
        <f>SUM(V2:V8)</f>
        <v>56025.4</v>
      </c>
      <c r="C15" s="79"/>
      <c r="D15" s="79"/>
      <c r="J15" s="79"/>
      <c r="N15" s="79"/>
      <c r="Q15" s="79"/>
      <c r="R15" s="79"/>
      <c r="V15" s="130"/>
      <c r="X15" s="106"/>
    </row>
    <row r="16">
      <c r="A16" s="13" t="s">
        <v>26</v>
      </c>
      <c r="B16" s="15">
        <f>B12/B15</f>
        <v>0.1695912925</v>
      </c>
      <c r="C16" s="79"/>
      <c r="D16" s="79"/>
      <c r="J16" s="79"/>
      <c r="N16" s="79"/>
      <c r="Q16" s="79"/>
      <c r="R16" s="79"/>
      <c r="V16" s="130"/>
      <c r="X16" s="106"/>
    </row>
    <row r="17">
      <c r="C17" s="79"/>
      <c r="D17" s="79"/>
      <c r="J17" s="79"/>
      <c r="N17" s="79"/>
      <c r="Q17" s="79"/>
      <c r="R17" s="79"/>
      <c r="V17" s="130"/>
      <c r="X17" s="106"/>
    </row>
    <row r="18">
      <c r="C18" s="79"/>
      <c r="D18" s="79"/>
      <c r="J18" s="79"/>
      <c r="N18" s="79"/>
      <c r="Q18" s="79"/>
      <c r="R18" s="79"/>
      <c r="V18" s="130"/>
      <c r="X18" s="106"/>
    </row>
    <row r="19">
      <c r="A19" s="16" t="s">
        <v>27</v>
      </c>
      <c r="B19" s="17"/>
      <c r="C19" s="114"/>
      <c r="D19" s="115"/>
      <c r="H19" s="84"/>
      <c r="N19" s="79"/>
      <c r="Q19" s="79"/>
      <c r="R19" s="79"/>
      <c r="V19" s="130"/>
      <c r="X19" s="106"/>
    </row>
    <row r="20">
      <c r="A20" s="19" t="s">
        <v>28</v>
      </c>
      <c r="B20" s="20"/>
      <c r="C20" s="116"/>
      <c r="D20" s="117"/>
      <c r="H20" s="85"/>
      <c r="I20" s="85"/>
      <c r="J20" s="118"/>
      <c r="N20" s="79"/>
      <c r="Q20" s="79"/>
      <c r="R20" s="79"/>
      <c r="V20" s="130"/>
      <c r="X20" s="106"/>
    </row>
    <row r="21">
      <c r="A21" s="22" t="s">
        <v>29</v>
      </c>
      <c r="B21" s="23" t="s">
        <v>30</v>
      </c>
      <c r="C21" s="119" t="s">
        <v>31</v>
      </c>
      <c r="D21" s="120" t="s">
        <v>30</v>
      </c>
      <c r="H21" s="86"/>
      <c r="I21" s="85"/>
      <c r="J21" s="118"/>
      <c r="N21" s="79"/>
      <c r="Q21" s="79"/>
      <c r="R21" s="79"/>
      <c r="V21" s="130"/>
      <c r="X21" s="106"/>
    </row>
    <row r="22">
      <c r="A22" s="28" t="s">
        <v>149</v>
      </c>
      <c r="B22" s="72"/>
      <c r="C22" s="121"/>
      <c r="D22" s="122"/>
      <c r="H22" s="87"/>
      <c r="I22" s="85"/>
      <c r="J22" s="118"/>
      <c r="N22" s="79"/>
      <c r="Q22" s="79"/>
      <c r="R22" s="79"/>
      <c r="V22" s="130"/>
      <c r="X22" s="106"/>
    </row>
    <row r="23">
      <c r="A23" s="28" t="s">
        <v>150</v>
      </c>
      <c r="B23" s="72"/>
      <c r="C23" s="121"/>
      <c r="D23" s="122"/>
      <c r="H23" s="88"/>
      <c r="I23" s="88"/>
      <c r="J23" s="123"/>
      <c r="N23" s="79"/>
      <c r="Q23" s="79"/>
      <c r="R23" s="79"/>
      <c r="V23" s="130"/>
      <c r="X23" s="106"/>
    </row>
    <row r="24">
      <c r="A24" s="71" t="s">
        <v>108</v>
      </c>
      <c r="B24" s="72"/>
      <c r="C24" s="71"/>
      <c r="D24" s="124"/>
      <c r="H24" s="88"/>
      <c r="I24" s="88"/>
      <c r="J24" s="123"/>
      <c r="N24" s="79"/>
      <c r="Q24" s="79"/>
      <c r="R24" s="79"/>
      <c r="V24" s="130"/>
      <c r="X24" s="106"/>
    </row>
    <row r="25">
      <c r="A25" s="28" t="s">
        <v>159</v>
      </c>
      <c r="B25" s="41"/>
      <c r="C25" s="121"/>
      <c r="D25" s="124"/>
      <c r="H25" s="88"/>
      <c r="I25" s="88"/>
      <c r="J25" s="123"/>
      <c r="N25" s="79"/>
      <c r="Q25" s="79"/>
      <c r="R25" s="79"/>
      <c r="V25" s="130"/>
      <c r="X25" s="106"/>
    </row>
    <row r="26">
      <c r="A26" s="28" t="s">
        <v>160</v>
      </c>
      <c r="B26" s="41"/>
      <c r="C26" s="71"/>
      <c r="D26" s="124"/>
      <c r="H26" s="88"/>
      <c r="I26" s="88"/>
      <c r="J26" s="123"/>
      <c r="N26" s="79"/>
      <c r="Q26" s="79"/>
      <c r="R26" s="79"/>
      <c r="V26" s="130"/>
      <c r="X26" s="106"/>
    </row>
    <row r="27">
      <c r="A27" s="28" t="s">
        <v>111</v>
      </c>
      <c r="B27" s="41" t="s">
        <v>163</v>
      </c>
      <c r="C27" s="133"/>
      <c r="D27" s="134">
        <v>690.0</v>
      </c>
      <c r="H27" s="88"/>
      <c r="I27" s="88"/>
      <c r="J27" s="123"/>
      <c r="N27" s="79"/>
      <c r="Q27" s="79"/>
      <c r="R27" s="79"/>
      <c r="V27" s="130"/>
      <c r="X27" s="106"/>
    </row>
    <row r="28">
      <c r="A28" s="25"/>
      <c r="B28" s="26"/>
      <c r="C28" s="121"/>
      <c r="D28" s="122"/>
      <c r="J28" s="79"/>
      <c r="N28" s="79"/>
      <c r="Q28" s="79"/>
      <c r="R28" s="79"/>
      <c r="V28" s="132"/>
      <c r="X28" s="106"/>
    </row>
    <row r="29">
      <c r="A29" s="25"/>
      <c r="B29" s="26"/>
      <c r="C29" s="121"/>
      <c r="D29" s="122"/>
      <c r="I29" s="89"/>
      <c r="J29" s="125"/>
      <c r="N29" s="79"/>
      <c r="Q29" s="79"/>
      <c r="R29" s="79"/>
      <c r="V29" s="130"/>
      <c r="X29" s="106"/>
    </row>
    <row r="30">
      <c r="C30" s="79"/>
      <c r="D30" s="79"/>
      <c r="J30" s="79"/>
      <c r="N30" s="79"/>
      <c r="Q30" s="79"/>
      <c r="R30" s="79"/>
      <c r="V30" s="130"/>
      <c r="X30" s="106"/>
    </row>
    <row r="31">
      <c r="C31" s="79"/>
      <c r="D31" s="79"/>
      <c r="J31" s="79"/>
      <c r="N31" s="79"/>
      <c r="Q31" s="79"/>
      <c r="R31" s="79"/>
      <c r="V31" s="130"/>
      <c r="X31" s="106"/>
    </row>
    <row r="32">
      <c r="C32" s="79"/>
      <c r="D32" s="79"/>
      <c r="J32" s="79"/>
      <c r="N32" s="79"/>
      <c r="Q32" s="79"/>
      <c r="R32" s="79"/>
      <c r="V32" s="130"/>
      <c r="X32" s="106"/>
    </row>
    <row r="33">
      <c r="C33" s="79"/>
      <c r="D33" s="79"/>
      <c r="J33" s="79"/>
      <c r="N33" s="79"/>
      <c r="Q33" s="79"/>
      <c r="R33" s="79"/>
      <c r="V33" s="130"/>
      <c r="X33" s="106"/>
    </row>
    <row r="34">
      <c r="C34" s="79"/>
      <c r="D34" s="79"/>
      <c r="J34" s="79"/>
      <c r="N34" s="79"/>
      <c r="Q34" s="79"/>
      <c r="R34" s="79"/>
      <c r="V34" s="130"/>
      <c r="X34" s="106"/>
    </row>
    <row r="35">
      <c r="C35" s="79"/>
      <c r="D35" s="79"/>
      <c r="J35" s="79"/>
      <c r="N35" s="79"/>
      <c r="Q35" s="79"/>
      <c r="R35" s="79"/>
      <c r="V35" s="130"/>
      <c r="X35" s="106"/>
    </row>
    <row r="36">
      <c r="C36" s="79"/>
      <c r="D36" s="79"/>
      <c r="J36" s="79"/>
      <c r="N36" s="79"/>
      <c r="Q36" s="79"/>
      <c r="R36" s="79"/>
      <c r="V36" s="130"/>
      <c r="X36" s="106"/>
    </row>
    <row r="37">
      <c r="C37" s="79"/>
      <c r="D37" s="79"/>
      <c r="J37" s="79"/>
      <c r="N37" s="79"/>
      <c r="Q37" s="79"/>
      <c r="R37" s="79"/>
      <c r="V37" s="130"/>
      <c r="X37" s="106"/>
    </row>
    <row r="38">
      <c r="C38" s="79"/>
      <c r="D38" s="79"/>
      <c r="J38" s="79"/>
      <c r="N38" s="79"/>
      <c r="Q38" s="79"/>
      <c r="R38" s="79"/>
      <c r="V38" s="130"/>
      <c r="X38" s="106"/>
    </row>
    <row r="39">
      <c r="C39" s="79"/>
      <c r="D39" s="79"/>
      <c r="J39" s="79"/>
      <c r="N39" s="79"/>
      <c r="Q39" s="79"/>
      <c r="R39" s="79"/>
      <c r="V39" s="130"/>
      <c r="X39" s="106"/>
    </row>
    <row r="40">
      <c r="C40" s="79"/>
      <c r="D40" s="79"/>
      <c r="J40" s="79"/>
      <c r="N40" s="79"/>
      <c r="Q40" s="79"/>
      <c r="R40" s="79"/>
      <c r="V40" s="130"/>
      <c r="X40" s="106"/>
    </row>
    <row r="41">
      <c r="C41" s="79"/>
      <c r="D41" s="79"/>
      <c r="J41" s="79"/>
      <c r="N41" s="79"/>
      <c r="Q41" s="79"/>
      <c r="R41" s="79"/>
      <c r="V41" s="130"/>
      <c r="X41" s="106"/>
    </row>
    <row r="42">
      <c r="C42" s="79"/>
      <c r="D42" s="79"/>
      <c r="J42" s="79"/>
      <c r="N42" s="79"/>
      <c r="Q42" s="79"/>
      <c r="R42" s="79"/>
      <c r="V42" s="130"/>
      <c r="X42" s="106"/>
    </row>
    <row r="43">
      <c r="C43" s="79"/>
      <c r="D43" s="79"/>
      <c r="J43" s="79"/>
      <c r="N43" s="79"/>
      <c r="Q43" s="79"/>
      <c r="R43" s="79"/>
      <c r="V43" s="130"/>
      <c r="X43" s="106"/>
    </row>
    <row r="44">
      <c r="C44" s="79"/>
      <c r="D44" s="79"/>
      <c r="J44" s="79"/>
      <c r="N44" s="79"/>
      <c r="Q44" s="79"/>
      <c r="R44" s="79"/>
      <c r="V44" s="130"/>
      <c r="X44" s="106"/>
    </row>
    <row r="45">
      <c r="C45" s="79"/>
      <c r="D45" s="79"/>
      <c r="J45" s="79"/>
      <c r="N45" s="79"/>
      <c r="Q45" s="79"/>
      <c r="R45" s="79"/>
      <c r="V45" s="130"/>
      <c r="X45" s="106"/>
    </row>
    <row r="46">
      <c r="C46" s="79"/>
      <c r="D46" s="79"/>
      <c r="J46" s="79"/>
      <c r="N46" s="79"/>
      <c r="Q46" s="79"/>
      <c r="R46" s="79"/>
      <c r="V46" s="130"/>
      <c r="X46" s="106"/>
    </row>
    <row r="47">
      <c r="C47" s="79"/>
      <c r="D47" s="79"/>
      <c r="J47" s="79"/>
      <c r="N47" s="79"/>
      <c r="Q47" s="79"/>
      <c r="R47" s="79"/>
      <c r="V47" s="130"/>
      <c r="X47" s="106"/>
    </row>
    <row r="48">
      <c r="C48" s="79"/>
      <c r="D48" s="79"/>
      <c r="J48" s="79"/>
      <c r="N48" s="79"/>
      <c r="Q48" s="79"/>
      <c r="R48" s="79"/>
      <c r="V48" s="130"/>
      <c r="X48" s="106"/>
    </row>
    <row r="49">
      <c r="C49" s="79"/>
      <c r="D49" s="79"/>
      <c r="J49" s="79"/>
      <c r="N49" s="79"/>
      <c r="Q49" s="79"/>
      <c r="R49" s="79"/>
      <c r="V49" s="130"/>
      <c r="X49" s="106"/>
    </row>
    <row r="50">
      <c r="C50" s="79"/>
      <c r="D50" s="79"/>
      <c r="J50" s="79"/>
      <c r="N50" s="79"/>
      <c r="Q50" s="79"/>
      <c r="R50" s="79"/>
      <c r="V50" s="130"/>
      <c r="X50" s="106"/>
    </row>
    <row r="51">
      <c r="C51" s="79"/>
      <c r="D51" s="79"/>
      <c r="J51" s="79"/>
      <c r="N51" s="79"/>
      <c r="Q51" s="79"/>
      <c r="R51" s="79"/>
      <c r="V51" s="130"/>
      <c r="X51" s="106"/>
    </row>
    <row r="52">
      <c r="C52" s="79"/>
      <c r="D52" s="79"/>
      <c r="J52" s="79"/>
      <c r="N52" s="79"/>
      <c r="Q52" s="79"/>
      <c r="R52" s="79"/>
      <c r="V52" s="130"/>
      <c r="X52" s="106"/>
    </row>
    <row r="53">
      <c r="C53" s="79"/>
      <c r="D53" s="79"/>
      <c r="J53" s="79"/>
      <c r="N53" s="79"/>
      <c r="Q53" s="79"/>
      <c r="R53" s="79"/>
      <c r="V53" s="130"/>
      <c r="X53" s="106"/>
    </row>
    <row r="54">
      <c r="C54" s="79"/>
      <c r="D54" s="79"/>
      <c r="J54" s="79"/>
      <c r="N54" s="79"/>
      <c r="Q54" s="79"/>
      <c r="R54" s="79"/>
      <c r="V54" s="130"/>
      <c r="X54" s="106"/>
    </row>
    <row r="55">
      <c r="C55" s="79"/>
      <c r="D55" s="79"/>
      <c r="J55" s="79"/>
      <c r="N55" s="79"/>
      <c r="Q55" s="79"/>
      <c r="R55" s="79"/>
      <c r="V55" s="130"/>
      <c r="X55" s="106"/>
    </row>
    <row r="56">
      <c r="C56" s="79"/>
      <c r="D56" s="79"/>
      <c r="J56" s="79"/>
      <c r="N56" s="79"/>
      <c r="Q56" s="79"/>
      <c r="R56" s="79"/>
      <c r="V56" s="130"/>
      <c r="X56" s="106"/>
    </row>
    <row r="57">
      <c r="C57" s="79"/>
      <c r="D57" s="79"/>
      <c r="J57" s="79"/>
      <c r="N57" s="79"/>
      <c r="Q57" s="79"/>
      <c r="R57" s="79"/>
      <c r="V57" s="130"/>
      <c r="X57" s="106"/>
    </row>
    <row r="58">
      <c r="C58" s="79"/>
      <c r="D58" s="79"/>
      <c r="J58" s="79"/>
      <c r="N58" s="79"/>
      <c r="Q58" s="79"/>
      <c r="R58" s="79"/>
      <c r="V58" s="130"/>
      <c r="X58" s="106"/>
    </row>
    <row r="59">
      <c r="C59" s="79"/>
      <c r="D59" s="79"/>
      <c r="J59" s="79"/>
      <c r="N59" s="79"/>
      <c r="Q59" s="79"/>
      <c r="R59" s="79"/>
      <c r="V59" s="130"/>
      <c r="X59" s="106"/>
    </row>
    <row r="60">
      <c r="C60" s="79"/>
      <c r="D60" s="79"/>
      <c r="J60" s="79"/>
      <c r="N60" s="79"/>
      <c r="Q60" s="79"/>
      <c r="R60" s="79"/>
      <c r="V60" s="130"/>
      <c r="X60" s="106"/>
    </row>
    <row r="61">
      <c r="C61" s="79"/>
      <c r="D61" s="79"/>
      <c r="J61" s="79"/>
      <c r="N61" s="79"/>
      <c r="Q61" s="79"/>
      <c r="R61" s="79"/>
      <c r="V61" s="130"/>
      <c r="X61" s="106"/>
    </row>
    <row r="62">
      <c r="C62" s="79"/>
      <c r="D62" s="79"/>
      <c r="J62" s="79"/>
      <c r="N62" s="79"/>
      <c r="Q62" s="79"/>
      <c r="R62" s="79"/>
      <c r="V62" s="130"/>
      <c r="X62" s="106"/>
    </row>
    <row r="63">
      <c r="C63" s="79"/>
      <c r="D63" s="79"/>
      <c r="J63" s="79"/>
      <c r="N63" s="79"/>
      <c r="Q63" s="79"/>
      <c r="R63" s="79"/>
      <c r="V63" s="130"/>
      <c r="X63" s="106"/>
    </row>
    <row r="64">
      <c r="C64" s="79"/>
      <c r="D64" s="79"/>
      <c r="J64" s="79"/>
      <c r="N64" s="79"/>
      <c r="Q64" s="79"/>
      <c r="R64" s="79"/>
      <c r="V64" s="130"/>
      <c r="X64" s="106"/>
    </row>
    <row r="65">
      <c r="C65" s="79"/>
      <c r="D65" s="79"/>
      <c r="J65" s="79"/>
      <c r="N65" s="79"/>
      <c r="Q65" s="79"/>
      <c r="R65" s="79"/>
      <c r="V65" s="130"/>
      <c r="X65" s="106"/>
    </row>
    <row r="66">
      <c r="C66" s="79"/>
      <c r="D66" s="79"/>
      <c r="J66" s="79"/>
      <c r="N66" s="79"/>
      <c r="Q66" s="79"/>
      <c r="R66" s="79"/>
      <c r="V66" s="130"/>
      <c r="X66" s="106"/>
    </row>
    <row r="67">
      <c r="C67" s="79"/>
      <c r="D67" s="79"/>
      <c r="J67" s="79"/>
      <c r="N67" s="79"/>
      <c r="Q67" s="79"/>
      <c r="R67" s="79"/>
      <c r="V67" s="130"/>
      <c r="X67" s="106"/>
    </row>
    <row r="68">
      <c r="C68" s="79"/>
      <c r="D68" s="79"/>
      <c r="J68" s="79"/>
      <c r="N68" s="79"/>
      <c r="Q68" s="79"/>
      <c r="R68" s="79"/>
      <c r="V68" s="130"/>
      <c r="X68" s="106"/>
    </row>
    <row r="69">
      <c r="C69" s="79"/>
      <c r="D69" s="79"/>
      <c r="J69" s="79"/>
      <c r="N69" s="79"/>
      <c r="Q69" s="79"/>
      <c r="R69" s="79"/>
      <c r="V69" s="130"/>
      <c r="X69" s="106"/>
    </row>
    <row r="70">
      <c r="C70" s="79"/>
      <c r="D70" s="79"/>
      <c r="J70" s="79"/>
      <c r="N70" s="79"/>
      <c r="Q70" s="79"/>
      <c r="R70" s="79"/>
      <c r="V70" s="130"/>
      <c r="X70" s="106"/>
    </row>
    <row r="71">
      <c r="C71" s="79"/>
      <c r="D71" s="79"/>
      <c r="J71" s="79"/>
      <c r="N71" s="79"/>
      <c r="Q71" s="79"/>
      <c r="R71" s="79"/>
      <c r="V71" s="130"/>
      <c r="X71" s="106"/>
    </row>
    <row r="72">
      <c r="C72" s="79"/>
      <c r="D72" s="79"/>
      <c r="J72" s="79"/>
      <c r="N72" s="79"/>
      <c r="Q72" s="79"/>
      <c r="R72" s="79"/>
      <c r="V72" s="130"/>
      <c r="X72" s="106"/>
    </row>
    <row r="73">
      <c r="C73" s="79"/>
      <c r="D73" s="79"/>
      <c r="J73" s="79"/>
      <c r="N73" s="79"/>
      <c r="Q73" s="79"/>
      <c r="R73" s="79"/>
      <c r="V73" s="130"/>
      <c r="X73" s="106"/>
    </row>
    <row r="74">
      <c r="C74" s="79"/>
      <c r="D74" s="79"/>
      <c r="J74" s="79"/>
      <c r="N74" s="79"/>
      <c r="Q74" s="79"/>
      <c r="R74" s="79"/>
      <c r="V74" s="130"/>
      <c r="X74" s="106"/>
    </row>
    <row r="75">
      <c r="C75" s="79"/>
      <c r="D75" s="79"/>
      <c r="J75" s="79"/>
      <c r="N75" s="79"/>
      <c r="Q75" s="79"/>
      <c r="R75" s="79"/>
      <c r="V75" s="130"/>
      <c r="X75" s="106"/>
    </row>
    <row r="76">
      <c r="C76" s="79"/>
      <c r="D76" s="79"/>
      <c r="J76" s="79"/>
      <c r="N76" s="79"/>
      <c r="Q76" s="79"/>
      <c r="R76" s="79"/>
      <c r="V76" s="130"/>
      <c r="X76" s="106"/>
    </row>
    <row r="77">
      <c r="C77" s="79"/>
      <c r="D77" s="79"/>
      <c r="J77" s="79"/>
      <c r="N77" s="79"/>
      <c r="Q77" s="79"/>
      <c r="R77" s="79"/>
      <c r="V77" s="130"/>
      <c r="X77" s="106"/>
    </row>
    <row r="78">
      <c r="C78" s="79"/>
      <c r="D78" s="79"/>
      <c r="J78" s="79"/>
      <c r="N78" s="79"/>
      <c r="Q78" s="79"/>
      <c r="R78" s="79"/>
      <c r="V78" s="130"/>
      <c r="X78" s="106"/>
    </row>
    <row r="79">
      <c r="C79" s="79"/>
      <c r="D79" s="79"/>
      <c r="J79" s="79"/>
      <c r="N79" s="79"/>
      <c r="Q79" s="79"/>
      <c r="R79" s="79"/>
      <c r="V79" s="130"/>
      <c r="X79" s="106"/>
    </row>
    <row r="80">
      <c r="C80" s="79"/>
      <c r="D80" s="79"/>
      <c r="J80" s="79"/>
      <c r="N80" s="79"/>
      <c r="Q80" s="79"/>
      <c r="R80" s="79"/>
      <c r="V80" s="130"/>
      <c r="X80" s="106"/>
    </row>
    <row r="81">
      <c r="C81" s="79"/>
      <c r="D81" s="79"/>
      <c r="J81" s="79"/>
      <c r="N81" s="79"/>
      <c r="Q81" s="79"/>
      <c r="R81" s="79"/>
      <c r="V81" s="130"/>
      <c r="X81" s="106"/>
    </row>
    <row r="82">
      <c r="C82" s="79"/>
      <c r="D82" s="79"/>
      <c r="J82" s="79"/>
      <c r="N82" s="79"/>
      <c r="Q82" s="79"/>
      <c r="R82" s="79"/>
      <c r="V82" s="130"/>
      <c r="X82" s="106"/>
    </row>
    <row r="83">
      <c r="C83" s="79"/>
      <c r="D83" s="79"/>
      <c r="J83" s="79"/>
      <c r="N83" s="79"/>
      <c r="Q83" s="79"/>
      <c r="R83" s="79"/>
      <c r="V83" s="130"/>
      <c r="X83" s="106"/>
    </row>
    <row r="84">
      <c r="C84" s="79"/>
      <c r="D84" s="79"/>
      <c r="J84" s="79"/>
      <c r="N84" s="79"/>
      <c r="Q84" s="79"/>
      <c r="R84" s="79"/>
      <c r="V84" s="130"/>
      <c r="X84" s="106"/>
    </row>
    <row r="85">
      <c r="C85" s="79"/>
      <c r="D85" s="79"/>
      <c r="J85" s="79"/>
      <c r="N85" s="79"/>
      <c r="Q85" s="79"/>
      <c r="R85" s="79"/>
      <c r="V85" s="130"/>
      <c r="X85" s="106"/>
    </row>
    <row r="86">
      <c r="C86" s="79"/>
      <c r="D86" s="79"/>
      <c r="J86" s="79"/>
      <c r="N86" s="79"/>
      <c r="Q86" s="79"/>
      <c r="R86" s="79"/>
      <c r="V86" s="130"/>
      <c r="X86" s="106"/>
    </row>
    <row r="87">
      <c r="C87" s="79"/>
      <c r="D87" s="79"/>
      <c r="J87" s="79"/>
      <c r="N87" s="79"/>
      <c r="Q87" s="79"/>
      <c r="R87" s="79"/>
      <c r="V87" s="130"/>
      <c r="X87" s="106"/>
    </row>
    <row r="88">
      <c r="C88" s="79"/>
      <c r="D88" s="79"/>
      <c r="J88" s="79"/>
      <c r="N88" s="79"/>
      <c r="Q88" s="79"/>
      <c r="R88" s="79"/>
      <c r="V88" s="130"/>
      <c r="X88" s="106"/>
    </row>
    <row r="89">
      <c r="C89" s="79"/>
      <c r="D89" s="79"/>
      <c r="J89" s="79"/>
      <c r="N89" s="79"/>
      <c r="Q89" s="79"/>
      <c r="R89" s="79"/>
      <c r="V89" s="130"/>
      <c r="X89" s="106"/>
    </row>
    <row r="90">
      <c r="C90" s="79"/>
      <c r="D90" s="79"/>
      <c r="J90" s="79"/>
      <c r="N90" s="79"/>
      <c r="Q90" s="79"/>
      <c r="R90" s="79"/>
      <c r="V90" s="130"/>
      <c r="X90" s="106"/>
    </row>
    <row r="91">
      <c r="C91" s="79"/>
      <c r="D91" s="79"/>
      <c r="J91" s="79"/>
      <c r="N91" s="79"/>
      <c r="Q91" s="79"/>
      <c r="R91" s="79"/>
      <c r="V91" s="130"/>
      <c r="X91" s="106"/>
    </row>
    <row r="92">
      <c r="C92" s="79"/>
      <c r="D92" s="79"/>
      <c r="J92" s="79"/>
      <c r="N92" s="79"/>
      <c r="Q92" s="79"/>
      <c r="R92" s="79"/>
      <c r="V92" s="130"/>
      <c r="X92" s="106"/>
    </row>
    <row r="93">
      <c r="C93" s="79"/>
      <c r="D93" s="79"/>
      <c r="J93" s="79"/>
      <c r="N93" s="79"/>
      <c r="Q93" s="79"/>
      <c r="R93" s="79"/>
      <c r="V93" s="130"/>
      <c r="X93" s="106"/>
    </row>
    <row r="94">
      <c r="C94" s="79"/>
      <c r="D94" s="79"/>
      <c r="J94" s="79"/>
      <c r="N94" s="79"/>
      <c r="Q94" s="79"/>
      <c r="R94" s="79"/>
      <c r="V94" s="130"/>
      <c r="X94" s="106"/>
    </row>
    <row r="95">
      <c r="C95" s="79"/>
      <c r="D95" s="79"/>
      <c r="J95" s="79"/>
      <c r="N95" s="79"/>
      <c r="Q95" s="79"/>
      <c r="R95" s="79"/>
      <c r="V95" s="130"/>
      <c r="X95" s="106"/>
    </row>
    <row r="96">
      <c r="C96" s="79"/>
      <c r="D96" s="79"/>
      <c r="J96" s="79"/>
      <c r="N96" s="79"/>
      <c r="Q96" s="79"/>
      <c r="R96" s="79"/>
      <c r="V96" s="130"/>
      <c r="X96" s="106"/>
    </row>
    <row r="97">
      <c r="C97" s="79"/>
      <c r="D97" s="79"/>
      <c r="J97" s="79"/>
      <c r="N97" s="79"/>
      <c r="Q97" s="79"/>
      <c r="R97" s="79"/>
      <c r="V97" s="130"/>
      <c r="X97" s="106"/>
    </row>
    <row r="98">
      <c r="C98" s="79"/>
      <c r="D98" s="79"/>
      <c r="J98" s="79"/>
      <c r="N98" s="79"/>
      <c r="Q98" s="79"/>
      <c r="R98" s="79"/>
      <c r="V98" s="130"/>
      <c r="X98" s="106"/>
    </row>
    <row r="99">
      <c r="C99" s="79"/>
      <c r="D99" s="79"/>
      <c r="J99" s="79"/>
      <c r="N99" s="79"/>
      <c r="Q99" s="79"/>
      <c r="R99" s="79"/>
      <c r="V99" s="130"/>
      <c r="X99" s="106"/>
    </row>
    <row r="100">
      <c r="C100" s="79"/>
      <c r="D100" s="79"/>
      <c r="J100" s="79"/>
      <c r="N100" s="79"/>
      <c r="Q100" s="79"/>
      <c r="R100" s="79"/>
      <c r="V100" s="130"/>
      <c r="X100" s="106"/>
    </row>
    <row r="101">
      <c r="C101" s="79"/>
      <c r="D101" s="79"/>
      <c r="J101" s="79"/>
      <c r="N101" s="79"/>
      <c r="Q101" s="79"/>
      <c r="R101" s="79"/>
      <c r="V101" s="130"/>
      <c r="X101" s="106"/>
    </row>
    <row r="102">
      <c r="C102" s="79"/>
      <c r="D102" s="79"/>
      <c r="J102" s="79"/>
      <c r="N102" s="79"/>
      <c r="Q102" s="79"/>
      <c r="R102" s="79"/>
      <c r="V102" s="130"/>
      <c r="X102" s="106"/>
    </row>
    <row r="103">
      <c r="C103" s="79"/>
      <c r="D103" s="79"/>
      <c r="J103" s="79"/>
      <c r="N103" s="79"/>
      <c r="Q103" s="79"/>
      <c r="R103" s="79"/>
      <c r="V103" s="130"/>
      <c r="X103" s="106"/>
    </row>
    <row r="104">
      <c r="C104" s="79"/>
      <c r="D104" s="79"/>
      <c r="J104" s="79"/>
      <c r="N104" s="79"/>
      <c r="Q104" s="79"/>
      <c r="R104" s="79"/>
      <c r="V104" s="130"/>
      <c r="X104" s="106"/>
    </row>
    <row r="105">
      <c r="C105" s="79"/>
      <c r="D105" s="79"/>
      <c r="J105" s="79"/>
      <c r="N105" s="79"/>
      <c r="Q105" s="79"/>
      <c r="R105" s="79"/>
      <c r="V105" s="130"/>
      <c r="X105" s="106"/>
    </row>
    <row r="106">
      <c r="C106" s="79"/>
      <c r="D106" s="79"/>
      <c r="J106" s="79"/>
      <c r="N106" s="79"/>
      <c r="Q106" s="79"/>
      <c r="R106" s="79"/>
      <c r="V106" s="130"/>
      <c r="X106" s="106"/>
    </row>
    <row r="107">
      <c r="C107" s="79"/>
      <c r="D107" s="79"/>
      <c r="J107" s="79"/>
      <c r="N107" s="79"/>
      <c r="Q107" s="79"/>
      <c r="R107" s="79"/>
      <c r="V107" s="130"/>
      <c r="X107" s="106"/>
    </row>
    <row r="108">
      <c r="C108" s="79"/>
      <c r="D108" s="79"/>
      <c r="J108" s="79"/>
      <c r="N108" s="79"/>
      <c r="Q108" s="79"/>
      <c r="R108" s="79"/>
      <c r="V108" s="130"/>
      <c r="X108" s="106"/>
    </row>
    <row r="109">
      <c r="C109" s="79"/>
      <c r="D109" s="79"/>
      <c r="J109" s="79"/>
      <c r="N109" s="79"/>
      <c r="Q109" s="79"/>
      <c r="R109" s="79"/>
      <c r="V109" s="130"/>
      <c r="X109" s="106"/>
    </row>
    <row r="110">
      <c r="C110" s="79"/>
      <c r="D110" s="79"/>
      <c r="J110" s="79"/>
      <c r="N110" s="79"/>
      <c r="Q110" s="79"/>
      <c r="R110" s="79"/>
      <c r="V110" s="130"/>
      <c r="X110" s="106"/>
    </row>
    <row r="111">
      <c r="C111" s="79"/>
      <c r="D111" s="79"/>
      <c r="J111" s="79"/>
      <c r="N111" s="79"/>
      <c r="Q111" s="79"/>
      <c r="R111" s="79"/>
      <c r="V111" s="130"/>
      <c r="X111" s="106"/>
    </row>
    <row r="112">
      <c r="C112" s="79"/>
      <c r="D112" s="79"/>
      <c r="J112" s="79"/>
      <c r="N112" s="79"/>
      <c r="Q112" s="79"/>
      <c r="R112" s="79"/>
      <c r="V112" s="130"/>
      <c r="X112" s="106"/>
    </row>
    <row r="113">
      <c r="C113" s="79"/>
      <c r="D113" s="79"/>
      <c r="J113" s="79"/>
      <c r="N113" s="79"/>
      <c r="Q113" s="79"/>
      <c r="R113" s="79"/>
      <c r="V113" s="130"/>
      <c r="X113" s="106"/>
    </row>
    <row r="114">
      <c r="C114" s="79"/>
      <c r="D114" s="79"/>
      <c r="J114" s="79"/>
      <c r="N114" s="79"/>
      <c r="Q114" s="79"/>
      <c r="R114" s="79"/>
      <c r="V114" s="130"/>
      <c r="X114" s="106"/>
    </row>
    <row r="115">
      <c r="C115" s="79"/>
      <c r="D115" s="79"/>
      <c r="J115" s="79"/>
      <c r="N115" s="79"/>
      <c r="Q115" s="79"/>
      <c r="R115" s="79"/>
      <c r="V115" s="130"/>
      <c r="X115" s="106"/>
    </row>
    <row r="116">
      <c r="C116" s="79"/>
      <c r="D116" s="79"/>
      <c r="J116" s="79"/>
      <c r="N116" s="79"/>
      <c r="Q116" s="79"/>
      <c r="R116" s="79"/>
      <c r="V116" s="130"/>
      <c r="X116" s="106"/>
    </row>
    <row r="117">
      <c r="C117" s="79"/>
      <c r="D117" s="79"/>
      <c r="J117" s="79"/>
      <c r="N117" s="79"/>
      <c r="Q117" s="79"/>
      <c r="R117" s="79"/>
      <c r="V117" s="130"/>
      <c r="X117" s="106"/>
    </row>
    <row r="118">
      <c r="C118" s="79"/>
      <c r="D118" s="79"/>
      <c r="J118" s="79"/>
      <c r="N118" s="79"/>
      <c r="Q118" s="79"/>
      <c r="R118" s="79"/>
      <c r="V118" s="130"/>
      <c r="X118" s="106"/>
    </row>
    <row r="119">
      <c r="C119" s="79"/>
      <c r="D119" s="79"/>
      <c r="J119" s="79"/>
      <c r="N119" s="79"/>
      <c r="Q119" s="79"/>
      <c r="R119" s="79"/>
      <c r="V119" s="130"/>
      <c r="X119" s="106"/>
    </row>
    <row r="120">
      <c r="C120" s="79"/>
      <c r="D120" s="79"/>
      <c r="J120" s="79"/>
      <c r="N120" s="79"/>
      <c r="Q120" s="79"/>
      <c r="R120" s="79"/>
      <c r="V120" s="130"/>
      <c r="X120" s="106"/>
    </row>
    <row r="121">
      <c r="C121" s="79"/>
      <c r="D121" s="79"/>
      <c r="J121" s="79"/>
      <c r="N121" s="79"/>
      <c r="Q121" s="79"/>
      <c r="R121" s="79"/>
      <c r="V121" s="130"/>
      <c r="X121" s="106"/>
    </row>
    <row r="122">
      <c r="C122" s="79"/>
      <c r="D122" s="79"/>
      <c r="J122" s="79"/>
      <c r="N122" s="79"/>
      <c r="Q122" s="79"/>
      <c r="R122" s="79"/>
      <c r="V122" s="130"/>
      <c r="X122" s="106"/>
    </row>
    <row r="123">
      <c r="C123" s="79"/>
      <c r="D123" s="79"/>
      <c r="J123" s="79"/>
      <c r="N123" s="79"/>
      <c r="Q123" s="79"/>
      <c r="R123" s="79"/>
      <c r="V123" s="130"/>
      <c r="X123" s="106"/>
    </row>
    <row r="124">
      <c r="C124" s="79"/>
      <c r="D124" s="79"/>
      <c r="J124" s="79"/>
      <c r="N124" s="79"/>
      <c r="Q124" s="79"/>
      <c r="R124" s="79"/>
      <c r="V124" s="130"/>
      <c r="X124" s="106"/>
    </row>
    <row r="125">
      <c r="C125" s="79"/>
      <c r="D125" s="79"/>
      <c r="J125" s="79"/>
      <c r="N125" s="79"/>
      <c r="Q125" s="79"/>
      <c r="R125" s="79"/>
      <c r="V125" s="130"/>
      <c r="X125" s="106"/>
    </row>
    <row r="126">
      <c r="C126" s="79"/>
      <c r="D126" s="79"/>
      <c r="J126" s="79"/>
      <c r="N126" s="79"/>
      <c r="Q126" s="79"/>
      <c r="R126" s="79"/>
      <c r="V126" s="130"/>
      <c r="X126" s="106"/>
    </row>
    <row r="127">
      <c r="C127" s="79"/>
      <c r="D127" s="79"/>
      <c r="J127" s="79"/>
      <c r="N127" s="79"/>
      <c r="Q127" s="79"/>
      <c r="R127" s="79"/>
      <c r="V127" s="130"/>
      <c r="X127" s="106"/>
    </row>
    <row r="128">
      <c r="C128" s="79"/>
      <c r="D128" s="79"/>
      <c r="J128" s="79"/>
      <c r="N128" s="79"/>
      <c r="Q128" s="79"/>
      <c r="R128" s="79"/>
      <c r="V128" s="130"/>
      <c r="X128" s="106"/>
    </row>
    <row r="129">
      <c r="C129" s="79"/>
      <c r="D129" s="79"/>
      <c r="J129" s="79"/>
      <c r="N129" s="79"/>
      <c r="Q129" s="79"/>
      <c r="R129" s="79"/>
      <c r="V129" s="130"/>
      <c r="X129" s="106"/>
    </row>
    <row r="130">
      <c r="C130" s="79"/>
      <c r="D130" s="79"/>
      <c r="J130" s="79"/>
      <c r="N130" s="79"/>
      <c r="Q130" s="79"/>
      <c r="R130" s="79"/>
      <c r="V130" s="130"/>
      <c r="X130" s="106"/>
    </row>
    <row r="131">
      <c r="C131" s="79"/>
      <c r="D131" s="79"/>
      <c r="J131" s="79"/>
      <c r="N131" s="79"/>
      <c r="Q131" s="79"/>
      <c r="R131" s="79"/>
      <c r="V131" s="130"/>
      <c r="X131" s="106"/>
    </row>
    <row r="132">
      <c r="C132" s="79"/>
      <c r="D132" s="79"/>
      <c r="J132" s="79"/>
      <c r="N132" s="79"/>
      <c r="Q132" s="79"/>
      <c r="R132" s="79"/>
      <c r="V132" s="130"/>
      <c r="X132" s="106"/>
    </row>
    <row r="133">
      <c r="C133" s="79"/>
      <c r="D133" s="79"/>
      <c r="J133" s="79"/>
      <c r="N133" s="79"/>
      <c r="Q133" s="79"/>
      <c r="R133" s="79"/>
      <c r="V133" s="130"/>
      <c r="X133" s="106"/>
    </row>
    <row r="134">
      <c r="C134" s="79"/>
      <c r="D134" s="79"/>
      <c r="J134" s="79"/>
      <c r="N134" s="79"/>
      <c r="Q134" s="79"/>
      <c r="R134" s="79"/>
      <c r="V134" s="130"/>
      <c r="X134" s="106"/>
    </row>
    <row r="135">
      <c r="C135" s="79"/>
      <c r="D135" s="79"/>
      <c r="J135" s="79"/>
      <c r="N135" s="79"/>
      <c r="Q135" s="79"/>
      <c r="R135" s="79"/>
      <c r="V135" s="130"/>
      <c r="X135" s="106"/>
    </row>
    <row r="136">
      <c r="C136" s="79"/>
      <c r="D136" s="79"/>
      <c r="J136" s="79"/>
      <c r="N136" s="79"/>
      <c r="Q136" s="79"/>
      <c r="R136" s="79"/>
      <c r="V136" s="130"/>
      <c r="X136" s="106"/>
    </row>
    <row r="137">
      <c r="C137" s="79"/>
      <c r="D137" s="79"/>
      <c r="J137" s="79"/>
      <c r="N137" s="79"/>
      <c r="Q137" s="79"/>
      <c r="R137" s="79"/>
      <c r="V137" s="130"/>
      <c r="X137" s="106"/>
    </row>
    <row r="138">
      <c r="C138" s="79"/>
      <c r="D138" s="79"/>
      <c r="J138" s="79"/>
      <c r="N138" s="79"/>
      <c r="Q138" s="79"/>
      <c r="R138" s="79"/>
      <c r="V138" s="130"/>
      <c r="X138" s="106"/>
    </row>
    <row r="139">
      <c r="C139" s="79"/>
      <c r="D139" s="79"/>
      <c r="J139" s="79"/>
      <c r="N139" s="79"/>
      <c r="Q139" s="79"/>
      <c r="R139" s="79"/>
      <c r="V139" s="130"/>
      <c r="X139" s="106"/>
    </row>
    <row r="140">
      <c r="C140" s="79"/>
      <c r="D140" s="79"/>
      <c r="J140" s="79"/>
      <c r="N140" s="79"/>
      <c r="Q140" s="79"/>
      <c r="R140" s="79"/>
      <c r="V140" s="130"/>
      <c r="X140" s="106"/>
    </row>
    <row r="141">
      <c r="C141" s="79"/>
      <c r="D141" s="79"/>
      <c r="J141" s="79"/>
      <c r="N141" s="79"/>
      <c r="Q141" s="79"/>
      <c r="R141" s="79"/>
      <c r="V141" s="130"/>
      <c r="X141" s="106"/>
    </row>
    <row r="142">
      <c r="C142" s="79"/>
      <c r="D142" s="79"/>
      <c r="J142" s="79"/>
      <c r="N142" s="79"/>
      <c r="Q142" s="79"/>
      <c r="R142" s="79"/>
      <c r="V142" s="130"/>
      <c r="X142" s="106"/>
    </row>
    <row r="143">
      <c r="C143" s="79"/>
      <c r="D143" s="79"/>
      <c r="J143" s="79"/>
      <c r="N143" s="79"/>
      <c r="Q143" s="79"/>
      <c r="R143" s="79"/>
      <c r="V143" s="130"/>
      <c r="X143" s="106"/>
    </row>
    <row r="144">
      <c r="C144" s="79"/>
      <c r="D144" s="79"/>
      <c r="J144" s="79"/>
      <c r="N144" s="79"/>
      <c r="Q144" s="79"/>
      <c r="R144" s="79"/>
      <c r="V144" s="130"/>
      <c r="X144" s="106"/>
    </row>
    <row r="145">
      <c r="C145" s="79"/>
      <c r="D145" s="79"/>
      <c r="J145" s="79"/>
      <c r="N145" s="79"/>
      <c r="Q145" s="79"/>
      <c r="R145" s="79"/>
      <c r="V145" s="130"/>
      <c r="X145" s="106"/>
    </row>
    <row r="146">
      <c r="C146" s="79"/>
      <c r="D146" s="79"/>
      <c r="J146" s="79"/>
      <c r="N146" s="79"/>
      <c r="Q146" s="79"/>
      <c r="R146" s="79"/>
      <c r="V146" s="130"/>
      <c r="X146" s="106"/>
    </row>
    <row r="147">
      <c r="C147" s="79"/>
      <c r="D147" s="79"/>
      <c r="J147" s="79"/>
      <c r="N147" s="79"/>
      <c r="Q147" s="79"/>
      <c r="R147" s="79"/>
      <c r="V147" s="130"/>
      <c r="X147" s="106"/>
    </row>
    <row r="148">
      <c r="C148" s="79"/>
      <c r="D148" s="79"/>
      <c r="J148" s="79"/>
      <c r="N148" s="79"/>
      <c r="Q148" s="79"/>
      <c r="R148" s="79"/>
      <c r="V148" s="130"/>
      <c r="X148" s="106"/>
    </row>
    <row r="149">
      <c r="C149" s="79"/>
      <c r="D149" s="79"/>
      <c r="J149" s="79"/>
      <c r="N149" s="79"/>
      <c r="Q149" s="79"/>
      <c r="R149" s="79"/>
      <c r="V149" s="130"/>
      <c r="X149" s="106"/>
    </row>
    <row r="150">
      <c r="C150" s="79"/>
      <c r="D150" s="79"/>
      <c r="J150" s="79"/>
      <c r="N150" s="79"/>
      <c r="Q150" s="79"/>
      <c r="R150" s="79"/>
      <c r="V150" s="130"/>
      <c r="X150" s="106"/>
    </row>
    <row r="151">
      <c r="C151" s="79"/>
      <c r="D151" s="79"/>
      <c r="J151" s="79"/>
      <c r="N151" s="79"/>
      <c r="Q151" s="79"/>
      <c r="R151" s="79"/>
      <c r="V151" s="130"/>
      <c r="X151" s="106"/>
    </row>
    <row r="152">
      <c r="C152" s="79"/>
      <c r="D152" s="79"/>
      <c r="J152" s="79"/>
      <c r="N152" s="79"/>
      <c r="Q152" s="79"/>
      <c r="R152" s="79"/>
      <c r="V152" s="130"/>
      <c r="X152" s="106"/>
    </row>
    <row r="153">
      <c r="C153" s="79"/>
      <c r="D153" s="79"/>
      <c r="J153" s="79"/>
      <c r="N153" s="79"/>
      <c r="Q153" s="79"/>
      <c r="R153" s="79"/>
      <c r="V153" s="130"/>
      <c r="X153" s="106"/>
    </row>
    <row r="154">
      <c r="C154" s="79"/>
      <c r="D154" s="79"/>
      <c r="J154" s="79"/>
      <c r="N154" s="79"/>
      <c r="Q154" s="79"/>
      <c r="R154" s="79"/>
      <c r="V154" s="130"/>
      <c r="X154" s="106"/>
    </row>
    <row r="155">
      <c r="C155" s="79"/>
      <c r="D155" s="79"/>
      <c r="J155" s="79"/>
      <c r="N155" s="79"/>
      <c r="Q155" s="79"/>
      <c r="R155" s="79"/>
      <c r="V155" s="130"/>
      <c r="X155" s="106"/>
    </row>
    <row r="156">
      <c r="C156" s="79"/>
      <c r="D156" s="79"/>
      <c r="J156" s="79"/>
      <c r="N156" s="79"/>
      <c r="Q156" s="79"/>
      <c r="R156" s="79"/>
      <c r="V156" s="130"/>
      <c r="X156" s="106"/>
    </row>
    <row r="157">
      <c r="C157" s="79"/>
      <c r="D157" s="79"/>
      <c r="J157" s="79"/>
      <c r="N157" s="79"/>
      <c r="Q157" s="79"/>
      <c r="R157" s="79"/>
      <c r="V157" s="130"/>
      <c r="X157" s="106"/>
    </row>
    <row r="158">
      <c r="C158" s="79"/>
      <c r="D158" s="79"/>
      <c r="J158" s="79"/>
      <c r="N158" s="79"/>
      <c r="Q158" s="79"/>
      <c r="R158" s="79"/>
      <c r="V158" s="130"/>
      <c r="X158" s="106"/>
    </row>
    <row r="159">
      <c r="C159" s="79"/>
      <c r="D159" s="79"/>
      <c r="J159" s="79"/>
      <c r="N159" s="79"/>
      <c r="Q159" s="79"/>
      <c r="R159" s="79"/>
      <c r="V159" s="130"/>
      <c r="X159" s="106"/>
    </row>
    <row r="160">
      <c r="C160" s="79"/>
      <c r="D160" s="79"/>
      <c r="J160" s="79"/>
      <c r="N160" s="79"/>
      <c r="Q160" s="79"/>
      <c r="R160" s="79"/>
      <c r="V160" s="130"/>
      <c r="X160" s="106"/>
    </row>
    <row r="161">
      <c r="C161" s="79"/>
      <c r="D161" s="79"/>
      <c r="J161" s="79"/>
      <c r="N161" s="79"/>
      <c r="Q161" s="79"/>
      <c r="R161" s="79"/>
      <c r="V161" s="130"/>
      <c r="X161" s="106"/>
    </row>
    <row r="162">
      <c r="C162" s="79"/>
      <c r="D162" s="79"/>
      <c r="J162" s="79"/>
      <c r="N162" s="79"/>
      <c r="Q162" s="79"/>
      <c r="R162" s="79"/>
      <c r="V162" s="130"/>
      <c r="X162" s="106"/>
    </row>
    <row r="163">
      <c r="C163" s="79"/>
      <c r="D163" s="79"/>
      <c r="J163" s="79"/>
      <c r="N163" s="79"/>
      <c r="Q163" s="79"/>
      <c r="R163" s="79"/>
      <c r="V163" s="130"/>
      <c r="X163" s="106"/>
    </row>
    <row r="164">
      <c r="C164" s="79"/>
      <c r="D164" s="79"/>
      <c r="J164" s="79"/>
      <c r="N164" s="79"/>
      <c r="Q164" s="79"/>
      <c r="R164" s="79"/>
      <c r="V164" s="130"/>
      <c r="X164" s="106"/>
    </row>
    <row r="165">
      <c r="C165" s="79"/>
      <c r="D165" s="79"/>
      <c r="J165" s="79"/>
      <c r="N165" s="79"/>
      <c r="Q165" s="79"/>
      <c r="R165" s="79"/>
      <c r="V165" s="130"/>
      <c r="X165" s="106"/>
    </row>
    <row r="166">
      <c r="C166" s="79"/>
      <c r="D166" s="79"/>
      <c r="J166" s="79"/>
      <c r="N166" s="79"/>
      <c r="Q166" s="79"/>
      <c r="R166" s="79"/>
      <c r="V166" s="130"/>
      <c r="X166" s="106"/>
    </row>
    <row r="167">
      <c r="C167" s="79"/>
      <c r="D167" s="79"/>
      <c r="J167" s="79"/>
      <c r="N167" s="79"/>
      <c r="Q167" s="79"/>
      <c r="R167" s="79"/>
      <c r="V167" s="130"/>
      <c r="X167" s="106"/>
    </row>
    <row r="168">
      <c r="C168" s="79"/>
      <c r="D168" s="79"/>
      <c r="J168" s="79"/>
      <c r="N168" s="79"/>
      <c r="Q168" s="79"/>
      <c r="R168" s="79"/>
      <c r="V168" s="130"/>
      <c r="X168" s="106"/>
    </row>
    <row r="169">
      <c r="C169" s="79"/>
      <c r="D169" s="79"/>
      <c r="J169" s="79"/>
      <c r="N169" s="79"/>
      <c r="Q169" s="79"/>
      <c r="R169" s="79"/>
      <c r="V169" s="130"/>
      <c r="X169" s="106"/>
    </row>
    <row r="170">
      <c r="C170" s="79"/>
      <c r="D170" s="79"/>
      <c r="J170" s="79"/>
      <c r="N170" s="79"/>
      <c r="Q170" s="79"/>
      <c r="R170" s="79"/>
      <c r="V170" s="130"/>
      <c r="X170" s="106"/>
    </row>
    <row r="171">
      <c r="C171" s="79"/>
      <c r="D171" s="79"/>
      <c r="J171" s="79"/>
      <c r="N171" s="79"/>
      <c r="Q171" s="79"/>
      <c r="R171" s="79"/>
      <c r="V171" s="130"/>
      <c r="X171" s="106"/>
    </row>
    <row r="172">
      <c r="C172" s="79"/>
      <c r="D172" s="79"/>
      <c r="J172" s="79"/>
      <c r="N172" s="79"/>
      <c r="Q172" s="79"/>
      <c r="R172" s="79"/>
      <c r="V172" s="130"/>
      <c r="X172" s="106"/>
    </row>
    <row r="173">
      <c r="C173" s="79"/>
      <c r="D173" s="79"/>
      <c r="J173" s="79"/>
      <c r="N173" s="79"/>
      <c r="Q173" s="79"/>
      <c r="R173" s="79"/>
      <c r="V173" s="130"/>
      <c r="X173" s="106"/>
    </row>
    <row r="174">
      <c r="C174" s="79"/>
      <c r="D174" s="79"/>
      <c r="J174" s="79"/>
      <c r="N174" s="79"/>
      <c r="Q174" s="79"/>
      <c r="R174" s="79"/>
      <c r="V174" s="130"/>
      <c r="X174" s="106"/>
    </row>
    <row r="175">
      <c r="C175" s="79"/>
      <c r="D175" s="79"/>
      <c r="J175" s="79"/>
      <c r="N175" s="79"/>
      <c r="Q175" s="79"/>
      <c r="R175" s="79"/>
      <c r="V175" s="130"/>
      <c r="X175" s="106"/>
    </row>
    <row r="176">
      <c r="C176" s="79"/>
      <c r="D176" s="79"/>
      <c r="J176" s="79"/>
      <c r="N176" s="79"/>
      <c r="Q176" s="79"/>
      <c r="R176" s="79"/>
      <c r="V176" s="130"/>
      <c r="X176" s="106"/>
    </row>
    <row r="177">
      <c r="C177" s="79"/>
      <c r="D177" s="79"/>
      <c r="J177" s="79"/>
      <c r="N177" s="79"/>
      <c r="Q177" s="79"/>
      <c r="R177" s="79"/>
      <c r="V177" s="130"/>
      <c r="X177" s="106"/>
    </row>
    <row r="178">
      <c r="C178" s="79"/>
      <c r="D178" s="79"/>
      <c r="J178" s="79"/>
      <c r="N178" s="79"/>
      <c r="Q178" s="79"/>
      <c r="R178" s="79"/>
      <c r="V178" s="130"/>
      <c r="X178" s="106"/>
    </row>
    <row r="179">
      <c r="C179" s="79"/>
      <c r="D179" s="79"/>
      <c r="J179" s="79"/>
      <c r="N179" s="79"/>
      <c r="Q179" s="79"/>
      <c r="R179" s="79"/>
      <c r="V179" s="130"/>
      <c r="X179" s="106"/>
    </row>
    <row r="180">
      <c r="C180" s="79"/>
      <c r="D180" s="79"/>
      <c r="J180" s="79"/>
      <c r="N180" s="79"/>
      <c r="Q180" s="79"/>
      <c r="R180" s="79"/>
      <c r="V180" s="130"/>
      <c r="X180" s="106"/>
    </row>
    <row r="181">
      <c r="C181" s="79"/>
      <c r="D181" s="79"/>
      <c r="J181" s="79"/>
      <c r="N181" s="79"/>
      <c r="Q181" s="79"/>
      <c r="R181" s="79"/>
      <c r="V181" s="130"/>
      <c r="X181" s="106"/>
    </row>
    <row r="182">
      <c r="C182" s="79"/>
      <c r="D182" s="79"/>
      <c r="J182" s="79"/>
      <c r="N182" s="79"/>
      <c r="Q182" s="79"/>
      <c r="R182" s="79"/>
      <c r="V182" s="130"/>
      <c r="X182" s="106"/>
    </row>
    <row r="183">
      <c r="C183" s="79"/>
      <c r="D183" s="79"/>
      <c r="J183" s="79"/>
      <c r="N183" s="79"/>
      <c r="Q183" s="79"/>
      <c r="R183" s="79"/>
      <c r="V183" s="130"/>
      <c r="X183" s="106"/>
    </row>
    <row r="184">
      <c r="C184" s="79"/>
      <c r="D184" s="79"/>
      <c r="J184" s="79"/>
      <c r="N184" s="79"/>
      <c r="Q184" s="79"/>
      <c r="R184" s="79"/>
      <c r="V184" s="130"/>
      <c r="X184" s="106"/>
    </row>
    <row r="185">
      <c r="C185" s="79"/>
      <c r="D185" s="79"/>
      <c r="J185" s="79"/>
      <c r="N185" s="79"/>
      <c r="Q185" s="79"/>
      <c r="R185" s="79"/>
      <c r="V185" s="130"/>
      <c r="X185" s="106"/>
    </row>
    <row r="186">
      <c r="C186" s="79"/>
      <c r="D186" s="79"/>
      <c r="J186" s="79"/>
      <c r="N186" s="79"/>
      <c r="Q186" s="79"/>
      <c r="R186" s="79"/>
      <c r="V186" s="130"/>
      <c r="X186" s="106"/>
    </row>
    <row r="187">
      <c r="C187" s="79"/>
      <c r="D187" s="79"/>
      <c r="J187" s="79"/>
      <c r="N187" s="79"/>
      <c r="Q187" s="79"/>
      <c r="R187" s="79"/>
      <c r="V187" s="130"/>
      <c r="X187" s="106"/>
    </row>
    <row r="188">
      <c r="C188" s="79"/>
      <c r="D188" s="79"/>
      <c r="J188" s="79"/>
      <c r="N188" s="79"/>
      <c r="Q188" s="79"/>
      <c r="R188" s="79"/>
      <c r="V188" s="130"/>
      <c r="X188" s="106"/>
    </row>
    <row r="189">
      <c r="C189" s="79"/>
      <c r="D189" s="79"/>
      <c r="J189" s="79"/>
      <c r="N189" s="79"/>
      <c r="Q189" s="79"/>
      <c r="R189" s="79"/>
      <c r="V189" s="130"/>
      <c r="X189" s="106"/>
    </row>
    <row r="190">
      <c r="C190" s="79"/>
      <c r="D190" s="79"/>
      <c r="J190" s="79"/>
      <c r="N190" s="79"/>
      <c r="Q190" s="79"/>
      <c r="R190" s="79"/>
      <c r="V190" s="130"/>
      <c r="X190" s="106"/>
    </row>
    <row r="191">
      <c r="C191" s="79"/>
      <c r="D191" s="79"/>
      <c r="J191" s="79"/>
      <c r="N191" s="79"/>
      <c r="Q191" s="79"/>
      <c r="R191" s="79"/>
      <c r="V191" s="130"/>
      <c r="X191" s="106"/>
    </row>
    <row r="192">
      <c r="C192" s="79"/>
      <c r="D192" s="79"/>
      <c r="J192" s="79"/>
      <c r="N192" s="79"/>
      <c r="Q192" s="79"/>
      <c r="R192" s="79"/>
      <c r="V192" s="130"/>
      <c r="X192" s="106"/>
    </row>
    <row r="193">
      <c r="C193" s="79"/>
      <c r="D193" s="79"/>
      <c r="J193" s="79"/>
      <c r="N193" s="79"/>
      <c r="Q193" s="79"/>
      <c r="R193" s="79"/>
      <c r="V193" s="130"/>
      <c r="X193" s="106"/>
    </row>
    <row r="194">
      <c r="C194" s="79"/>
      <c r="D194" s="79"/>
      <c r="J194" s="79"/>
      <c r="N194" s="79"/>
      <c r="Q194" s="79"/>
      <c r="R194" s="79"/>
      <c r="V194" s="130"/>
      <c r="X194" s="106"/>
    </row>
    <row r="195">
      <c r="C195" s="79"/>
      <c r="D195" s="79"/>
      <c r="J195" s="79"/>
      <c r="N195" s="79"/>
      <c r="Q195" s="79"/>
      <c r="R195" s="79"/>
      <c r="V195" s="130"/>
      <c r="X195" s="106"/>
    </row>
    <row r="196">
      <c r="C196" s="79"/>
      <c r="D196" s="79"/>
      <c r="J196" s="79"/>
      <c r="N196" s="79"/>
      <c r="Q196" s="79"/>
      <c r="R196" s="79"/>
      <c r="V196" s="130"/>
      <c r="X196" s="106"/>
    </row>
    <row r="197">
      <c r="C197" s="79"/>
      <c r="D197" s="79"/>
      <c r="J197" s="79"/>
      <c r="N197" s="79"/>
      <c r="Q197" s="79"/>
      <c r="R197" s="79"/>
      <c r="V197" s="130"/>
      <c r="X197" s="106"/>
    </row>
    <row r="198">
      <c r="C198" s="79"/>
      <c r="D198" s="79"/>
      <c r="J198" s="79"/>
      <c r="N198" s="79"/>
      <c r="Q198" s="79"/>
      <c r="R198" s="79"/>
      <c r="V198" s="130"/>
      <c r="X198" s="106"/>
    </row>
    <row r="199">
      <c r="C199" s="79"/>
      <c r="D199" s="79"/>
      <c r="J199" s="79"/>
      <c r="N199" s="79"/>
      <c r="Q199" s="79"/>
      <c r="R199" s="79"/>
      <c r="V199" s="130"/>
      <c r="X199" s="106"/>
    </row>
    <row r="200">
      <c r="C200" s="79"/>
      <c r="D200" s="79"/>
      <c r="J200" s="79"/>
      <c r="N200" s="79"/>
      <c r="Q200" s="79"/>
      <c r="R200" s="79"/>
      <c r="V200" s="130"/>
      <c r="X200" s="106"/>
    </row>
    <row r="201">
      <c r="C201" s="79"/>
      <c r="D201" s="79"/>
      <c r="J201" s="79"/>
      <c r="N201" s="79"/>
      <c r="Q201" s="79"/>
      <c r="R201" s="79"/>
      <c r="V201" s="130"/>
      <c r="X201" s="106"/>
    </row>
    <row r="202">
      <c r="C202" s="79"/>
      <c r="D202" s="79"/>
      <c r="J202" s="79"/>
      <c r="N202" s="79"/>
      <c r="Q202" s="79"/>
      <c r="R202" s="79"/>
      <c r="V202" s="130"/>
      <c r="X202" s="106"/>
    </row>
    <row r="203">
      <c r="C203" s="79"/>
      <c r="D203" s="79"/>
      <c r="J203" s="79"/>
      <c r="N203" s="79"/>
      <c r="Q203" s="79"/>
      <c r="R203" s="79"/>
      <c r="V203" s="130"/>
      <c r="X203" s="106"/>
    </row>
    <row r="204">
      <c r="C204" s="79"/>
      <c r="D204" s="79"/>
      <c r="J204" s="79"/>
      <c r="N204" s="79"/>
      <c r="Q204" s="79"/>
      <c r="R204" s="79"/>
      <c r="V204" s="130"/>
      <c r="X204" s="106"/>
    </row>
    <row r="205">
      <c r="C205" s="79"/>
      <c r="D205" s="79"/>
      <c r="J205" s="79"/>
      <c r="N205" s="79"/>
      <c r="Q205" s="79"/>
      <c r="R205" s="79"/>
      <c r="V205" s="130"/>
      <c r="X205" s="106"/>
    </row>
    <row r="206">
      <c r="C206" s="79"/>
      <c r="D206" s="79"/>
      <c r="J206" s="79"/>
      <c r="N206" s="79"/>
      <c r="Q206" s="79"/>
      <c r="R206" s="79"/>
      <c r="V206" s="130"/>
      <c r="X206" s="106"/>
    </row>
    <row r="207">
      <c r="C207" s="79"/>
      <c r="D207" s="79"/>
      <c r="J207" s="79"/>
      <c r="N207" s="79"/>
      <c r="Q207" s="79"/>
      <c r="R207" s="79"/>
      <c r="V207" s="130"/>
      <c r="X207" s="106"/>
    </row>
    <row r="208">
      <c r="C208" s="79"/>
      <c r="D208" s="79"/>
      <c r="J208" s="79"/>
      <c r="N208" s="79"/>
      <c r="Q208" s="79"/>
      <c r="R208" s="79"/>
      <c r="V208" s="130"/>
      <c r="X208" s="106"/>
    </row>
    <row r="209">
      <c r="C209" s="79"/>
      <c r="D209" s="79"/>
      <c r="J209" s="79"/>
      <c r="N209" s="79"/>
      <c r="Q209" s="79"/>
      <c r="R209" s="79"/>
      <c r="V209" s="130"/>
      <c r="X209" s="106"/>
    </row>
    <row r="210">
      <c r="C210" s="79"/>
      <c r="D210" s="79"/>
      <c r="J210" s="79"/>
      <c r="N210" s="79"/>
      <c r="Q210" s="79"/>
      <c r="R210" s="79"/>
      <c r="V210" s="130"/>
      <c r="X210" s="106"/>
    </row>
    <row r="211">
      <c r="C211" s="79"/>
      <c r="D211" s="79"/>
      <c r="J211" s="79"/>
      <c r="N211" s="79"/>
      <c r="Q211" s="79"/>
      <c r="R211" s="79"/>
      <c r="V211" s="130"/>
      <c r="X211" s="106"/>
    </row>
    <row r="212">
      <c r="C212" s="79"/>
      <c r="D212" s="79"/>
      <c r="J212" s="79"/>
      <c r="N212" s="79"/>
      <c r="Q212" s="79"/>
      <c r="R212" s="79"/>
      <c r="V212" s="130"/>
      <c r="X212" s="106"/>
    </row>
    <row r="213">
      <c r="C213" s="79"/>
      <c r="D213" s="79"/>
      <c r="J213" s="79"/>
      <c r="N213" s="79"/>
      <c r="Q213" s="79"/>
      <c r="R213" s="79"/>
      <c r="V213" s="130"/>
      <c r="X213" s="106"/>
    </row>
    <row r="214">
      <c r="C214" s="79"/>
      <c r="D214" s="79"/>
      <c r="J214" s="79"/>
      <c r="N214" s="79"/>
      <c r="Q214" s="79"/>
      <c r="R214" s="79"/>
      <c r="V214" s="130"/>
      <c r="X214" s="106"/>
    </row>
    <row r="215">
      <c r="C215" s="79"/>
      <c r="D215" s="79"/>
      <c r="J215" s="79"/>
      <c r="N215" s="79"/>
      <c r="Q215" s="79"/>
      <c r="R215" s="79"/>
      <c r="V215" s="130"/>
      <c r="X215" s="106"/>
    </row>
    <row r="216">
      <c r="C216" s="79"/>
      <c r="D216" s="79"/>
      <c r="J216" s="79"/>
      <c r="N216" s="79"/>
      <c r="Q216" s="79"/>
      <c r="R216" s="79"/>
      <c r="V216" s="130"/>
      <c r="X216" s="106"/>
    </row>
    <row r="217">
      <c r="C217" s="79"/>
      <c r="D217" s="79"/>
      <c r="J217" s="79"/>
      <c r="N217" s="79"/>
      <c r="Q217" s="79"/>
      <c r="R217" s="79"/>
      <c r="V217" s="130"/>
      <c r="X217" s="106"/>
    </row>
    <row r="218">
      <c r="C218" s="79"/>
      <c r="D218" s="79"/>
      <c r="J218" s="79"/>
      <c r="N218" s="79"/>
      <c r="Q218" s="79"/>
      <c r="R218" s="79"/>
      <c r="V218" s="130"/>
      <c r="X218" s="106"/>
    </row>
    <row r="219">
      <c r="C219" s="79"/>
      <c r="D219" s="79"/>
      <c r="J219" s="79"/>
      <c r="N219" s="79"/>
      <c r="Q219" s="79"/>
      <c r="R219" s="79"/>
      <c r="V219" s="130"/>
      <c r="X219" s="106"/>
    </row>
    <row r="220">
      <c r="C220" s="79"/>
      <c r="D220" s="79"/>
      <c r="J220" s="79"/>
      <c r="N220" s="79"/>
      <c r="Q220" s="79"/>
      <c r="R220" s="79"/>
      <c r="V220" s="130"/>
      <c r="X220" s="106"/>
    </row>
    <row r="221">
      <c r="C221" s="79"/>
      <c r="D221" s="79"/>
      <c r="J221" s="79"/>
      <c r="N221" s="79"/>
      <c r="Q221" s="79"/>
      <c r="R221" s="79"/>
      <c r="V221" s="130"/>
      <c r="X221" s="106"/>
    </row>
    <row r="222">
      <c r="C222" s="79"/>
      <c r="D222" s="79"/>
      <c r="J222" s="79"/>
      <c r="N222" s="79"/>
      <c r="Q222" s="79"/>
      <c r="R222" s="79"/>
      <c r="V222" s="130"/>
      <c r="X222" s="106"/>
    </row>
    <row r="223">
      <c r="C223" s="79"/>
      <c r="D223" s="79"/>
      <c r="J223" s="79"/>
      <c r="N223" s="79"/>
      <c r="Q223" s="79"/>
      <c r="R223" s="79"/>
      <c r="V223" s="130"/>
      <c r="X223" s="106"/>
    </row>
    <row r="224">
      <c r="C224" s="79"/>
      <c r="D224" s="79"/>
      <c r="J224" s="79"/>
      <c r="N224" s="79"/>
      <c r="Q224" s="79"/>
      <c r="R224" s="79"/>
      <c r="V224" s="130"/>
      <c r="X224" s="106"/>
    </row>
    <row r="225">
      <c r="C225" s="79"/>
      <c r="D225" s="79"/>
      <c r="J225" s="79"/>
      <c r="N225" s="79"/>
      <c r="Q225" s="79"/>
      <c r="R225" s="79"/>
      <c r="V225" s="130"/>
      <c r="X225" s="106"/>
    </row>
    <row r="226">
      <c r="C226" s="79"/>
      <c r="D226" s="79"/>
      <c r="J226" s="79"/>
      <c r="N226" s="79"/>
      <c r="Q226" s="79"/>
      <c r="R226" s="79"/>
      <c r="V226" s="130"/>
      <c r="X226" s="106"/>
    </row>
    <row r="227">
      <c r="C227" s="79"/>
      <c r="D227" s="79"/>
      <c r="J227" s="79"/>
      <c r="N227" s="79"/>
      <c r="Q227" s="79"/>
      <c r="R227" s="79"/>
      <c r="V227" s="130"/>
      <c r="X227" s="106"/>
    </row>
    <row r="228">
      <c r="C228" s="79"/>
      <c r="D228" s="79"/>
      <c r="J228" s="79"/>
      <c r="N228" s="79"/>
      <c r="Q228" s="79"/>
      <c r="R228" s="79"/>
      <c r="V228" s="130"/>
      <c r="X228" s="106"/>
    </row>
    <row r="229">
      <c r="C229" s="79"/>
      <c r="D229" s="79"/>
      <c r="J229" s="79"/>
      <c r="N229" s="79"/>
      <c r="Q229" s="79"/>
      <c r="R229" s="79"/>
      <c r="V229" s="130"/>
      <c r="X229" s="106"/>
    </row>
    <row r="230">
      <c r="C230" s="79"/>
      <c r="D230" s="79"/>
      <c r="J230" s="79"/>
      <c r="N230" s="79"/>
      <c r="Q230" s="79"/>
      <c r="R230" s="79"/>
      <c r="V230" s="130"/>
      <c r="X230" s="106"/>
    </row>
    <row r="231">
      <c r="C231" s="79"/>
      <c r="D231" s="79"/>
      <c r="J231" s="79"/>
      <c r="N231" s="79"/>
      <c r="Q231" s="79"/>
      <c r="R231" s="79"/>
      <c r="V231" s="130"/>
      <c r="X231" s="106"/>
    </row>
    <row r="232">
      <c r="C232" s="79"/>
      <c r="D232" s="79"/>
      <c r="J232" s="79"/>
      <c r="N232" s="79"/>
      <c r="Q232" s="79"/>
      <c r="R232" s="79"/>
      <c r="V232" s="130"/>
      <c r="X232" s="106"/>
    </row>
    <row r="233">
      <c r="C233" s="79"/>
      <c r="D233" s="79"/>
      <c r="J233" s="79"/>
      <c r="N233" s="79"/>
      <c r="Q233" s="79"/>
      <c r="R233" s="79"/>
      <c r="V233" s="130"/>
      <c r="X233" s="106"/>
    </row>
    <row r="234">
      <c r="C234" s="79"/>
      <c r="D234" s="79"/>
      <c r="J234" s="79"/>
      <c r="N234" s="79"/>
      <c r="Q234" s="79"/>
      <c r="R234" s="79"/>
      <c r="V234" s="130"/>
      <c r="X234" s="106"/>
    </row>
    <row r="235">
      <c r="C235" s="79"/>
      <c r="D235" s="79"/>
      <c r="J235" s="79"/>
      <c r="N235" s="79"/>
      <c r="Q235" s="79"/>
      <c r="R235" s="79"/>
      <c r="V235" s="130"/>
      <c r="X235" s="106"/>
    </row>
    <row r="236">
      <c r="C236" s="79"/>
      <c r="D236" s="79"/>
      <c r="J236" s="79"/>
      <c r="N236" s="79"/>
      <c r="Q236" s="79"/>
      <c r="R236" s="79"/>
      <c r="V236" s="130"/>
      <c r="X236" s="106"/>
    </row>
    <row r="237">
      <c r="C237" s="79"/>
      <c r="D237" s="79"/>
      <c r="J237" s="79"/>
      <c r="N237" s="79"/>
      <c r="Q237" s="79"/>
      <c r="R237" s="79"/>
      <c r="V237" s="130"/>
      <c r="X237" s="106"/>
    </row>
    <row r="238">
      <c r="C238" s="79"/>
      <c r="D238" s="79"/>
      <c r="J238" s="79"/>
      <c r="N238" s="79"/>
      <c r="Q238" s="79"/>
      <c r="R238" s="79"/>
      <c r="V238" s="130"/>
      <c r="X238" s="106"/>
    </row>
    <row r="239">
      <c r="C239" s="79"/>
      <c r="D239" s="79"/>
      <c r="J239" s="79"/>
      <c r="N239" s="79"/>
      <c r="Q239" s="79"/>
      <c r="R239" s="79"/>
      <c r="V239" s="130"/>
      <c r="X239" s="106"/>
    </row>
    <row r="240">
      <c r="C240" s="79"/>
      <c r="D240" s="79"/>
      <c r="J240" s="79"/>
      <c r="N240" s="79"/>
      <c r="Q240" s="79"/>
      <c r="R240" s="79"/>
      <c r="V240" s="130"/>
      <c r="X240" s="106"/>
    </row>
    <row r="241">
      <c r="C241" s="79"/>
      <c r="D241" s="79"/>
      <c r="J241" s="79"/>
      <c r="N241" s="79"/>
      <c r="Q241" s="79"/>
      <c r="R241" s="79"/>
      <c r="V241" s="130"/>
      <c r="X241" s="106"/>
    </row>
    <row r="242">
      <c r="C242" s="79"/>
      <c r="D242" s="79"/>
      <c r="J242" s="79"/>
      <c r="N242" s="79"/>
      <c r="Q242" s="79"/>
      <c r="R242" s="79"/>
      <c r="V242" s="130"/>
      <c r="X242" s="106"/>
    </row>
    <row r="243">
      <c r="C243" s="79"/>
      <c r="D243" s="79"/>
      <c r="J243" s="79"/>
      <c r="N243" s="79"/>
      <c r="Q243" s="79"/>
      <c r="R243" s="79"/>
      <c r="V243" s="130"/>
      <c r="X243" s="106"/>
    </row>
    <row r="244">
      <c r="C244" s="79"/>
      <c r="D244" s="79"/>
      <c r="J244" s="79"/>
      <c r="N244" s="79"/>
      <c r="Q244" s="79"/>
      <c r="R244" s="79"/>
      <c r="V244" s="130"/>
      <c r="X244" s="106"/>
    </row>
    <row r="245">
      <c r="C245" s="79"/>
      <c r="D245" s="79"/>
      <c r="J245" s="79"/>
      <c r="N245" s="79"/>
      <c r="Q245" s="79"/>
      <c r="R245" s="79"/>
      <c r="V245" s="130"/>
      <c r="X245" s="106"/>
    </row>
    <row r="246">
      <c r="C246" s="79"/>
      <c r="D246" s="79"/>
      <c r="J246" s="79"/>
      <c r="N246" s="79"/>
      <c r="Q246" s="79"/>
      <c r="R246" s="79"/>
      <c r="V246" s="130"/>
      <c r="X246" s="106"/>
    </row>
    <row r="247">
      <c r="C247" s="79"/>
      <c r="D247" s="79"/>
      <c r="J247" s="79"/>
      <c r="N247" s="79"/>
      <c r="Q247" s="79"/>
      <c r="R247" s="79"/>
      <c r="V247" s="130"/>
      <c r="X247" s="106"/>
    </row>
    <row r="248">
      <c r="C248" s="79"/>
      <c r="D248" s="79"/>
      <c r="J248" s="79"/>
      <c r="N248" s="79"/>
      <c r="Q248" s="79"/>
      <c r="R248" s="79"/>
      <c r="V248" s="130"/>
      <c r="X248" s="106"/>
    </row>
    <row r="249">
      <c r="C249" s="79"/>
      <c r="D249" s="79"/>
      <c r="J249" s="79"/>
      <c r="N249" s="79"/>
      <c r="Q249" s="79"/>
      <c r="R249" s="79"/>
      <c r="V249" s="130"/>
      <c r="X249" s="106"/>
    </row>
    <row r="250">
      <c r="C250" s="79"/>
      <c r="D250" s="79"/>
      <c r="J250" s="79"/>
      <c r="N250" s="79"/>
      <c r="Q250" s="79"/>
      <c r="R250" s="79"/>
      <c r="V250" s="130"/>
      <c r="X250" s="106"/>
    </row>
    <row r="251">
      <c r="C251" s="79"/>
      <c r="D251" s="79"/>
      <c r="J251" s="79"/>
      <c r="N251" s="79"/>
      <c r="Q251" s="79"/>
      <c r="R251" s="79"/>
      <c r="V251" s="130"/>
      <c r="X251" s="106"/>
    </row>
    <row r="252">
      <c r="C252" s="79"/>
      <c r="D252" s="79"/>
      <c r="J252" s="79"/>
      <c r="N252" s="79"/>
      <c r="Q252" s="79"/>
      <c r="R252" s="79"/>
      <c r="V252" s="130"/>
      <c r="X252" s="106"/>
    </row>
    <row r="253">
      <c r="C253" s="79"/>
      <c r="D253" s="79"/>
      <c r="J253" s="79"/>
      <c r="N253" s="79"/>
      <c r="Q253" s="79"/>
      <c r="R253" s="79"/>
      <c r="V253" s="130"/>
      <c r="X253" s="106"/>
    </row>
    <row r="254">
      <c r="C254" s="79"/>
      <c r="D254" s="79"/>
      <c r="J254" s="79"/>
      <c r="N254" s="79"/>
      <c r="Q254" s="79"/>
      <c r="R254" s="79"/>
      <c r="V254" s="130"/>
      <c r="X254" s="106"/>
    </row>
    <row r="255">
      <c r="C255" s="79"/>
      <c r="D255" s="79"/>
      <c r="J255" s="79"/>
      <c r="N255" s="79"/>
      <c r="Q255" s="79"/>
      <c r="R255" s="79"/>
      <c r="V255" s="130"/>
      <c r="X255" s="106"/>
    </row>
    <row r="256">
      <c r="C256" s="79"/>
      <c r="D256" s="79"/>
      <c r="J256" s="79"/>
      <c r="N256" s="79"/>
      <c r="Q256" s="79"/>
      <c r="R256" s="79"/>
      <c r="V256" s="130"/>
      <c r="X256" s="106"/>
    </row>
    <row r="257">
      <c r="C257" s="79"/>
      <c r="D257" s="79"/>
      <c r="J257" s="79"/>
      <c r="N257" s="79"/>
      <c r="Q257" s="79"/>
      <c r="R257" s="79"/>
      <c r="V257" s="130"/>
      <c r="X257" s="106"/>
    </row>
    <row r="258">
      <c r="C258" s="79"/>
      <c r="D258" s="79"/>
      <c r="J258" s="79"/>
      <c r="N258" s="79"/>
      <c r="Q258" s="79"/>
      <c r="R258" s="79"/>
      <c r="V258" s="130"/>
      <c r="X258" s="106"/>
    </row>
    <row r="259">
      <c r="C259" s="79"/>
      <c r="D259" s="79"/>
      <c r="J259" s="79"/>
      <c r="N259" s="79"/>
      <c r="Q259" s="79"/>
      <c r="R259" s="79"/>
      <c r="V259" s="130"/>
      <c r="X259" s="106"/>
    </row>
    <row r="260">
      <c r="C260" s="79"/>
      <c r="D260" s="79"/>
      <c r="J260" s="79"/>
      <c r="N260" s="79"/>
      <c r="Q260" s="79"/>
      <c r="R260" s="79"/>
      <c r="V260" s="130"/>
      <c r="X260" s="106"/>
    </row>
    <row r="261">
      <c r="C261" s="79"/>
      <c r="D261" s="79"/>
      <c r="J261" s="79"/>
      <c r="N261" s="79"/>
      <c r="Q261" s="79"/>
      <c r="R261" s="79"/>
      <c r="V261" s="130"/>
      <c r="X261" s="106"/>
    </row>
    <row r="262">
      <c r="C262" s="79"/>
      <c r="D262" s="79"/>
      <c r="J262" s="79"/>
      <c r="N262" s="79"/>
      <c r="Q262" s="79"/>
      <c r="R262" s="79"/>
      <c r="V262" s="130"/>
      <c r="X262" s="106"/>
    </row>
    <row r="263">
      <c r="C263" s="79"/>
      <c r="D263" s="79"/>
      <c r="J263" s="79"/>
      <c r="N263" s="79"/>
      <c r="Q263" s="79"/>
      <c r="R263" s="79"/>
      <c r="V263" s="130"/>
      <c r="X263" s="106"/>
    </row>
    <row r="264">
      <c r="C264" s="79"/>
      <c r="D264" s="79"/>
      <c r="J264" s="79"/>
      <c r="N264" s="79"/>
      <c r="Q264" s="79"/>
      <c r="R264" s="79"/>
      <c r="V264" s="130"/>
      <c r="X264" s="106"/>
    </row>
    <row r="265">
      <c r="C265" s="79"/>
      <c r="D265" s="79"/>
      <c r="J265" s="79"/>
      <c r="N265" s="79"/>
      <c r="Q265" s="79"/>
      <c r="R265" s="79"/>
      <c r="V265" s="130"/>
      <c r="X265" s="106"/>
    </row>
    <row r="266">
      <c r="C266" s="79"/>
      <c r="D266" s="79"/>
      <c r="J266" s="79"/>
      <c r="N266" s="79"/>
      <c r="Q266" s="79"/>
      <c r="R266" s="79"/>
      <c r="V266" s="130"/>
      <c r="X266" s="106"/>
    </row>
    <row r="267">
      <c r="C267" s="79"/>
      <c r="D267" s="79"/>
      <c r="J267" s="79"/>
      <c r="N267" s="79"/>
      <c r="Q267" s="79"/>
      <c r="R267" s="79"/>
      <c r="V267" s="130"/>
      <c r="X267" s="106"/>
    </row>
    <row r="268">
      <c r="C268" s="79"/>
      <c r="D268" s="79"/>
      <c r="J268" s="79"/>
      <c r="N268" s="79"/>
      <c r="Q268" s="79"/>
      <c r="R268" s="79"/>
      <c r="V268" s="130"/>
      <c r="X268" s="106"/>
    </row>
    <row r="269">
      <c r="C269" s="79"/>
      <c r="D269" s="79"/>
      <c r="J269" s="79"/>
      <c r="N269" s="79"/>
      <c r="Q269" s="79"/>
      <c r="R269" s="79"/>
      <c r="V269" s="130"/>
      <c r="X269" s="106"/>
    </row>
    <row r="270">
      <c r="C270" s="79"/>
      <c r="D270" s="79"/>
      <c r="J270" s="79"/>
      <c r="N270" s="79"/>
      <c r="Q270" s="79"/>
      <c r="R270" s="79"/>
      <c r="V270" s="130"/>
      <c r="X270" s="106"/>
    </row>
    <row r="271">
      <c r="C271" s="79"/>
      <c r="D271" s="79"/>
      <c r="J271" s="79"/>
      <c r="N271" s="79"/>
      <c r="Q271" s="79"/>
      <c r="R271" s="79"/>
      <c r="V271" s="130"/>
      <c r="X271" s="106"/>
    </row>
    <row r="272">
      <c r="C272" s="79"/>
      <c r="D272" s="79"/>
      <c r="J272" s="79"/>
      <c r="N272" s="79"/>
      <c r="Q272" s="79"/>
      <c r="R272" s="79"/>
      <c r="V272" s="130"/>
      <c r="X272" s="106"/>
    </row>
    <row r="273">
      <c r="C273" s="79"/>
      <c r="D273" s="79"/>
      <c r="J273" s="79"/>
      <c r="N273" s="79"/>
      <c r="Q273" s="79"/>
      <c r="R273" s="79"/>
      <c r="V273" s="130"/>
      <c r="X273" s="106"/>
    </row>
    <row r="274">
      <c r="C274" s="79"/>
      <c r="D274" s="79"/>
      <c r="J274" s="79"/>
      <c r="N274" s="79"/>
      <c r="Q274" s="79"/>
      <c r="R274" s="79"/>
      <c r="V274" s="130"/>
      <c r="X274" s="106"/>
    </row>
    <row r="275">
      <c r="C275" s="79"/>
      <c r="D275" s="79"/>
      <c r="J275" s="79"/>
      <c r="N275" s="79"/>
      <c r="Q275" s="79"/>
      <c r="R275" s="79"/>
      <c r="V275" s="130"/>
      <c r="X275" s="106"/>
    </row>
    <row r="276">
      <c r="C276" s="79"/>
      <c r="D276" s="79"/>
      <c r="J276" s="79"/>
      <c r="N276" s="79"/>
      <c r="Q276" s="79"/>
      <c r="R276" s="79"/>
      <c r="V276" s="130"/>
      <c r="X276" s="106"/>
    </row>
    <row r="277">
      <c r="C277" s="79"/>
      <c r="D277" s="79"/>
      <c r="J277" s="79"/>
      <c r="N277" s="79"/>
      <c r="Q277" s="79"/>
      <c r="R277" s="79"/>
      <c r="V277" s="130"/>
      <c r="X277" s="106"/>
    </row>
    <row r="278">
      <c r="C278" s="79"/>
      <c r="D278" s="79"/>
      <c r="J278" s="79"/>
      <c r="N278" s="79"/>
      <c r="Q278" s="79"/>
      <c r="R278" s="79"/>
      <c r="V278" s="130"/>
      <c r="X278" s="106"/>
    </row>
    <row r="279">
      <c r="C279" s="79"/>
      <c r="D279" s="79"/>
      <c r="J279" s="79"/>
      <c r="N279" s="79"/>
      <c r="Q279" s="79"/>
      <c r="R279" s="79"/>
      <c r="V279" s="130"/>
      <c r="X279" s="106"/>
    </row>
    <row r="280">
      <c r="C280" s="79"/>
      <c r="D280" s="79"/>
      <c r="J280" s="79"/>
      <c r="N280" s="79"/>
      <c r="Q280" s="79"/>
      <c r="R280" s="79"/>
      <c r="V280" s="130"/>
      <c r="X280" s="106"/>
    </row>
    <row r="281">
      <c r="C281" s="79"/>
      <c r="D281" s="79"/>
      <c r="J281" s="79"/>
      <c r="N281" s="79"/>
      <c r="Q281" s="79"/>
      <c r="R281" s="79"/>
      <c r="V281" s="130"/>
      <c r="X281" s="106"/>
    </row>
    <row r="282">
      <c r="C282" s="79"/>
      <c r="D282" s="79"/>
      <c r="J282" s="79"/>
      <c r="N282" s="79"/>
      <c r="Q282" s="79"/>
      <c r="R282" s="79"/>
      <c r="V282" s="130"/>
      <c r="X282" s="106"/>
    </row>
    <row r="283">
      <c r="C283" s="79"/>
      <c r="D283" s="79"/>
      <c r="J283" s="79"/>
      <c r="N283" s="79"/>
      <c r="Q283" s="79"/>
      <c r="R283" s="79"/>
      <c r="V283" s="130"/>
      <c r="X283" s="106"/>
    </row>
    <row r="284">
      <c r="C284" s="79"/>
      <c r="D284" s="79"/>
      <c r="J284" s="79"/>
      <c r="N284" s="79"/>
      <c r="Q284" s="79"/>
      <c r="R284" s="79"/>
      <c r="V284" s="130"/>
      <c r="X284" s="106"/>
    </row>
    <row r="285">
      <c r="C285" s="79"/>
      <c r="D285" s="79"/>
      <c r="J285" s="79"/>
      <c r="N285" s="79"/>
      <c r="Q285" s="79"/>
      <c r="R285" s="79"/>
      <c r="V285" s="130"/>
      <c r="X285" s="106"/>
    </row>
    <row r="286">
      <c r="C286" s="79"/>
      <c r="D286" s="79"/>
      <c r="J286" s="79"/>
      <c r="N286" s="79"/>
      <c r="Q286" s="79"/>
      <c r="R286" s="79"/>
      <c r="V286" s="130"/>
      <c r="X286" s="106"/>
    </row>
    <row r="287">
      <c r="C287" s="79"/>
      <c r="D287" s="79"/>
      <c r="J287" s="79"/>
      <c r="N287" s="79"/>
      <c r="Q287" s="79"/>
      <c r="R287" s="79"/>
      <c r="V287" s="130"/>
      <c r="X287" s="106"/>
    </row>
    <row r="288">
      <c r="C288" s="79"/>
      <c r="D288" s="79"/>
      <c r="J288" s="79"/>
      <c r="N288" s="79"/>
      <c r="Q288" s="79"/>
      <c r="R288" s="79"/>
      <c r="V288" s="130"/>
      <c r="X288" s="106"/>
    </row>
    <row r="289">
      <c r="C289" s="79"/>
      <c r="D289" s="79"/>
      <c r="J289" s="79"/>
      <c r="N289" s="79"/>
      <c r="Q289" s="79"/>
      <c r="R289" s="79"/>
      <c r="V289" s="130"/>
      <c r="X289" s="106"/>
    </row>
    <row r="290">
      <c r="C290" s="79"/>
      <c r="D290" s="79"/>
      <c r="J290" s="79"/>
      <c r="N290" s="79"/>
      <c r="Q290" s="79"/>
      <c r="R290" s="79"/>
      <c r="V290" s="130"/>
      <c r="X290" s="106"/>
    </row>
    <row r="291">
      <c r="C291" s="79"/>
      <c r="D291" s="79"/>
      <c r="J291" s="79"/>
      <c r="N291" s="79"/>
      <c r="Q291" s="79"/>
      <c r="R291" s="79"/>
      <c r="V291" s="130"/>
      <c r="X291" s="106"/>
    </row>
    <row r="292">
      <c r="C292" s="79"/>
      <c r="D292" s="79"/>
      <c r="J292" s="79"/>
      <c r="N292" s="79"/>
      <c r="Q292" s="79"/>
      <c r="R292" s="79"/>
      <c r="V292" s="130"/>
      <c r="X292" s="106"/>
    </row>
    <row r="293">
      <c r="C293" s="79"/>
      <c r="D293" s="79"/>
      <c r="J293" s="79"/>
      <c r="N293" s="79"/>
      <c r="Q293" s="79"/>
      <c r="R293" s="79"/>
      <c r="V293" s="130"/>
      <c r="X293" s="106"/>
    </row>
    <row r="294">
      <c r="C294" s="79"/>
      <c r="D294" s="79"/>
      <c r="J294" s="79"/>
      <c r="N294" s="79"/>
      <c r="Q294" s="79"/>
      <c r="R294" s="79"/>
      <c r="V294" s="130"/>
      <c r="X294" s="106"/>
    </row>
    <row r="295">
      <c r="C295" s="79"/>
      <c r="D295" s="79"/>
      <c r="J295" s="79"/>
      <c r="N295" s="79"/>
      <c r="Q295" s="79"/>
      <c r="R295" s="79"/>
      <c r="V295" s="130"/>
      <c r="X295" s="106"/>
    </row>
    <row r="296">
      <c r="C296" s="79"/>
      <c r="D296" s="79"/>
      <c r="J296" s="79"/>
      <c r="N296" s="79"/>
      <c r="Q296" s="79"/>
      <c r="R296" s="79"/>
      <c r="V296" s="130"/>
      <c r="X296" s="106"/>
    </row>
    <row r="297">
      <c r="C297" s="79"/>
      <c r="D297" s="79"/>
      <c r="J297" s="79"/>
      <c r="N297" s="79"/>
      <c r="Q297" s="79"/>
      <c r="R297" s="79"/>
      <c r="V297" s="130"/>
      <c r="X297" s="106"/>
    </row>
    <row r="298">
      <c r="C298" s="79"/>
      <c r="D298" s="79"/>
      <c r="J298" s="79"/>
      <c r="N298" s="79"/>
      <c r="Q298" s="79"/>
      <c r="R298" s="79"/>
      <c r="V298" s="130"/>
      <c r="X298" s="106"/>
    </row>
    <row r="299">
      <c r="C299" s="79"/>
      <c r="D299" s="79"/>
      <c r="J299" s="79"/>
      <c r="N299" s="79"/>
      <c r="Q299" s="79"/>
      <c r="R299" s="79"/>
      <c r="V299" s="130"/>
      <c r="X299" s="106"/>
    </row>
    <row r="300">
      <c r="C300" s="79"/>
      <c r="D300" s="79"/>
      <c r="J300" s="79"/>
      <c r="N300" s="79"/>
      <c r="Q300" s="79"/>
      <c r="R300" s="79"/>
      <c r="V300" s="130"/>
      <c r="X300" s="106"/>
    </row>
    <row r="301">
      <c r="C301" s="79"/>
      <c r="D301" s="79"/>
      <c r="J301" s="79"/>
      <c r="N301" s="79"/>
      <c r="Q301" s="79"/>
      <c r="R301" s="79"/>
      <c r="V301" s="130"/>
      <c r="X301" s="106"/>
    </row>
    <row r="302">
      <c r="C302" s="79"/>
      <c r="D302" s="79"/>
      <c r="J302" s="79"/>
      <c r="N302" s="79"/>
      <c r="Q302" s="79"/>
      <c r="R302" s="79"/>
      <c r="V302" s="130"/>
      <c r="X302" s="106"/>
    </row>
    <row r="303">
      <c r="C303" s="79"/>
      <c r="D303" s="79"/>
      <c r="J303" s="79"/>
      <c r="N303" s="79"/>
      <c r="Q303" s="79"/>
      <c r="R303" s="79"/>
      <c r="V303" s="130"/>
      <c r="X303" s="106"/>
    </row>
    <row r="304">
      <c r="C304" s="79"/>
      <c r="D304" s="79"/>
      <c r="J304" s="79"/>
      <c r="N304" s="79"/>
      <c r="Q304" s="79"/>
      <c r="R304" s="79"/>
      <c r="V304" s="130"/>
      <c r="X304" s="106"/>
    </row>
    <row r="305">
      <c r="C305" s="79"/>
      <c r="D305" s="79"/>
      <c r="J305" s="79"/>
      <c r="N305" s="79"/>
      <c r="Q305" s="79"/>
      <c r="R305" s="79"/>
      <c r="V305" s="130"/>
      <c r="X305" s="106"/>
    </row>
    <row r="306">
      <c r="C306" s="79"/>
      <c r="D306" s="79"/>
      <c r="J306" s="79"/>
      <c r="N306" s="79"/>
      <c r="Q306" s="79"/>
      <c r="R306" s="79"/>
      <c r="V306" s="130"/>
      <c r="X306" s="106"/>
    </row>
    <row r="307">
      <c r="C307" s="79"/>
      <c r="D307" s="79"/>
      <c r="J307" s="79"/>
      <c r="N307" s="79"/>
      <c r="Q307" s="79"/>
      <c r="R307" s="79"/>
      <c r="V307" s="130"/>
      <c r="X307" s="106"/>
    </row>
    <row r="308">
      <c r="C308" s="79"/>
      <c r="D308" s="79"/>
      <c r="J308" s="79"/>
      <c r="N308" s="79"/>
      <c r="Q308" s="79"/>
      <c r="R308" s="79"/>
      <c r="V308" s="130"/>
      <c r="X308" s="106"/>
    </row>
    <row r="309">
      <c r="C309" s="79"/>
      <c r="D309" s="79"/>
      <c r="J309" s="79"/>
      <c r="N309" s="79"/>
      <c r="Q309" s="79"/>
      <c r="R309" s="79"/>
      <c r="V309" s="130"/>
      <c r="X309" s="106"/>
    </row>
    <row r="310">
      <c r="C310" s="79"/>
      <c r="D310" s="79"/>
      <c r="J310" s="79"/>
      <c r="N310" s="79"/>
      <c r="Q310" s="79"/>
      <c r="R310" s="79"/>
      <c r="V310" s="130"/>
      <c r="X310" s="106"/>
    </row>
    <row r="311">
      <c r="C311" s="79"/>
      <c r="D311" s="79"/>
      <c r="J311" s="79"/>
      <c r="N311" s="79"/>
      <c r="Q311" s="79"/>
      <c r="R311" s="79"/>
      <c r="V311" s="130"/>
      <c r="X311" s="106"/>
    </row>
    <row r="312">
      <c r="C312" s="79"/>
      <c r="D312" s="79"/>
      <c r="J312" s="79"/>
      <c r="N312" s="79"/>
      <c r="Q312" s="79"/>
      <c r="R312" s="79"/>
      <c r="V312" s="130"/>
      <c r="X312" s="106"/>
    </row>
    <row r="313">
      <c r="C313" s="79"/>
      <c r="D313" s="79"/>
      <c r="J313" s="79"/>
      <c r="N313" s="79"/>
      <c r="Q313" s="79"/>
      <c r="R313" s="79"/>
      <c r="V313" s="130"/>
      <c r="X313" s="106"/>
    </row>
    <row r="314">
      <c r="C314" s="79"/>
      <c r="D314" s="79"/>
      <c r="J314" s="79"/>
      <c r="N314" s="79"/>
      <c r="Q314" s="79"/>
      <c r="R314" s="79"/>
      <c r="V314" s="130"/>
      <c r="X314" s="106"/>
    </row>
    <row r="315">
      <c r="C315" s="79"/>
      <c r="D315" s="79"/>
      <c r="J315" s="79"/>
      <c r="N315" s="79"/>
      <c r="Q315" s="79"/>
      <c r="R315" s="79"/>
      <c r="V315" s="130"/>
      <c r="X315" s="106"/>
    </row>
    <row r="316">
      <c r="C316" s="79"/>
      <c r="D316" s="79"/>
      <c r="J316" s="79"/>
      <c r="N316" s="79"/>
      <c r="Q316" s="79"/>
      <c r="R316" s="79"/>
      <c r="V316" s="130"/>
      <c r="X316" s="106"/>
    </row>
    <row r="317">
      <c r="C317" s="79"/>
      <c r="D317" s="79"/>
      <c r="J317" s="79"/>
      <c r="N317" s="79"/>
      <c r="Q317" s="79"/>
      <c r="R317" s="79"/>
      <c r="V317" s="130"/>
      <c r="X317" s="106"/>
    </row>
    <row r="318">
      <c r="C318" s="79"/>
      <c r="D318" s="79"/>
      <c r="J318" s="79"/>
      <c r="N318" s="79"/>
      <c r="Q318" s="79"/>
      <c r="R318" s="79"/>
      <c r="V318" s="130"/>
      <c r="X318" s="106"/>
    </row>
    <row r="319">
      <c r="C319" s="79"/>
      <c r="D319" s="79"/>
      <c r="J319" s="79"/>
      <c r="N319" s="79"/>
      <c r="Q319" s="79"/>
      <c r="R319" s="79"/>
      <c r="V319" s="130"/>
      <c r="X319" s="106"/>
    </row>
    <row r="320">
      <c r="C320" s="79"/>
      <c r="D320" s="79"/>
      <c r="J320" s="79"/>
      <c r="N320" s="79"/>
      <c r="Q320" s="79"/>
      <c r="R320" s="79"/>
      <c r="V320" s="130"/>
      <c r="X320" s="106"/>
    </row>
    <row r="321">
      <c r="C321" s="79"/>
      <c r="D321" s="79"/>
      <c r="J321" s="79"/>
      <c r="N321" s="79"/>
      <c r="Q321" s="79"/>
      <c r="R321" s="79"/>
      <c r="V321" s="130"/>
      <c r="X321" s="106"/>
    </row>
    <row r="322">
      <c r="C322" s="79"/>
      <c r="D322" s="79"/>
      <c r="J322" s="79"/>
      <c r="N322" s="79"/>
      <c r="Q322" s="79"/>
      <c r="R322" s="79"/>
      <c r="V322" s="130"/>
      <c r="X322" s="106"/>
    </row>
    <row r="323">
      <c r="C323" s="79"/>
      <c r="D323" s="79"/>
      <c r="J323" s="79"/>
      <c r="N323" s="79"/>
      <c r="Q323" s="79"/>
      <c r="R323" s="79"/>
      <c r="V323" s="130"/>
      <c r="X323" s="106"/>
    </row>
    <row r="324">
      <c r="C324" s="79"/>
      <c r="D324" s="79"/>
      <c r="J324" s="79"/>
      <c r="N324" s="79"/>
      <c r="Q324" s="79"/>
      <c r="R324" s="79"/>
      <c r="V324" s="130"/>
      <c r="X324" s="106"/>
    </row>
    <row r="325">
      <c r="C325" s="79"/>
      <c r="D325" s="79"/>
      <c r="J325" s="79"/>
      <c r="N325" s="79"/>
      <c r="Q325" s="79"/>
      <c r="R325" s="79"/>
      <c r="V325" s="130"/>
      <c r="X325" s="106"/>
    </row>
    <row r="326">
      <c r="C326" s="79"/>
      <c r="D326" s="79"/>
      <c r="J326" s="79"/>
      <c r="N326" s="79"/>
      <c r="Q326" s="79"/>
      <c r="R326" s="79"/>
      <c r="V326" s="130"/>
      <c r="X326" s="106"/>
    </row>
    <row r="327">
      <c r="C327" s="79"/>
      <c r="D327" s="79"/>
      <c r="J327" s="79"/>
      <c r="N327" s="79"/>
      <c r="Q327" s="79"/>
      <c r="R327" s="79"/>
      <c r="V327" s="130"/>
      <c r="X327" s="106"/>
    </row>
    <row r="328">
      <c r="C328" s="79"/>
      <c r="D328" s="79"/>
      <c r="J328" s="79"/>
      <c r="N328" s="79"/>
      <c r="Q328" s="79"/>
      <c r="R328" s="79"/>
      <c r="V328" s="130"/>
      <c r="X328" s="106"/>
    </row>
    <row r="329">
      <c r="C329" s="79"/>
      <c r="D329" s="79"/>
      <c r="J329" s="79"/>
      <c r="N329" s="79"/>
      <c r="Q329" s="79"/>
      <c r="R329" s="79"/>
      <c r="V329" s="130"/>
      <c r="X329" s="106"/>
    </row>
    <row r="330">
      <c r="C330" s="79"/>
      <c r="D330" s="79"/>
      <c r="J330" s="79"/>
      <c r="N330" s="79"/>
      <c r="Q330" s="79"/>
      <c r="R330" s="79"/>
      <c r="V330" s="130"/>
      <c r="X330" s="106"/>
    </row>
    <row r="331">
      <c r="C331" s="79"/>
      <c r="D331" s="79"/>
      <c r="J331" s="79"/>
      <c r="N331" s="79"/>
      <c r="Q331" s="79"/>
      <c r="R331" s="79"/>
      <c r="V331" s="130"/>
      <c r="X331" s="106"/>
    </row>
    <row r="332">
      <c r="C332" s="79"/>
      <c r="D332" s="79"/>
      <c r="J332" s="79"/>
      <c r="N332" s="79"/>
      <c r="Q332" s="79"/>
      <c r="R332" s="79"/>
      <c r="V332" s="130"/>
      <c r="X332" s="106"/>
    </row>
    <row r="333">
      <c r="C333" s="79"/>
      <c r="D333" s="79"/>
      <c r="J333" s="79"/>
      <c r="N333" s="79"/>
      <c r="Q333" s="79"/>
      <c r="R333" s="79"/>
      <c r="V333" s="130"/>
      <c r="X333" s="106"/>
    </row>
    <row r="334">
      <c r="C334" s="79"/>
      <c r="D334" s="79"/>
      <c r="J334" s="79"/>
      <c r="N334" s="79"/>
      <c r="Q334" s="79"/>
      <c r="R334" s="79"/>
      <c r="V334" s="130"/>
      <c r="X334" s="106"/>
    </row>
    <row r="335">
      <c r="C335" s="79"/>
      <c r="D335" s="79"/>
      <c r="J335" s="79"/>
      <c r="N335" s="79"/>
      <c r="Q335" s="79"/>
      <c r="R335" s="79"/>
      <c r="V335" s="130"/>
      <c r="X335" s="106"/>
    </row>
    <row r="336">
      <c r="C336" s="79"/>
      <c r="D336" s="79"/>
      <c r="J336" s="79"/>
      <c r="N336" s="79"/>
      <c r="Q336" s="79"/>
      <c r="R336" s="79"/>
      <c r="V336" s="130"/>
      <c r="X336" s="106"/>
    </row>
    <row r="337">
      <c r="C337" s="79"/>
      <c r="D337" s="79"/>
      <c r="J337" s="79"/>
      <c r="N337" s="79"/>
      <c r="Q337" s="79"/>
      <c r="R337" s="79"/>
      <c r="V337" s="130"/>
      <c r="X337" s="106"/>
    </row>
    <row r="338">
      <c r="C338" s="79"/>
      <c r="D338" s="79"/>
      <c r="J338" s="79"/>
      <c r="N338" s="79"/>
      <c r="Q338" s="79"/>
      <c r="R338" s="79"/>
      <c r="V338" s="130"/>
      <c r="X338" s="106"/>
    </row>
    <row r="339">
      <c r="C339" s="79"/>
      <c r="D339" s="79"/>
      <c r="J339" s="79"/>
      <c r="N339" s="79"/>
      <c r="Q339" s="79"/>
      <c r="R339" s="79"/>
      <c r="V339" s="130"/>
      <c r="X339" s="106"/>
    </row>
    <row r="340">
      <c r="C340" s="79"/>
      <c r="D340" s="79"/>
      <c r="J340" s="79"/>
      <c r="N340" s="79"/>
      <c r="Q340" s="79"/>
      <c r="R340" s="79"/>
      <c r="V340" s="130"/>
      <c r="X340" s="106"/>
    </row>
    <row r="341">
      <c r="C341" s="79"/>
      <c r="D341" s="79"/>
      <c r="J341" s="79"/>
      <c r="N341" s="79"/>
      <c r="Q341" s="79"/>
      <c r="R341" s="79"/>
      <c r="V341" s="130"/>
      <c r="X341" s="106"/>
    </row>
    <row r="342">
      <c r="C342" s="79"/>
      <c r="D342" s="79"/>
      <c r="J342" s="79"/>
      <c r="N342" s="79"/>
      <c r="Q342" s="79"/>
      <c r="R342" s="79"/>
      <c r="V342" s="130"/>
      <c r="X342" s="106"/>
    </row>
    <row r="343">
      <c r="C343" s="79"/>
      <c r="D343" s="79"/>
      <c r="J343" s="79"/>
      <c r="N343" s="79"/>
      <c r="Q343" s="79"/>
      <c r="R343" s="79"/>
      <c r="V343" s="130"/>
      <c r="X343" s="106"/>
    </row>
    <row r="344">
      <c r="C344" s="79"/>
      <c r="D344" s="79"/>
      <c r="J344" s="79"/>
      <c r="N344" s="79"/>
      <c r="Q344" s="79"/>
      <c r="R344" s="79"/>
      <c r="V344" s="130"/>
      <c r="X344" s="106"/>
    </row>
    <row r="345">
      <c r="C345" s="79"/>
      <c r="D345" s="79"/>
      <c r="J345" s="79"/>
      <c r="N345" s="79"/>
      <c r="Q345" s="79"/>
      <c r="R345" s="79"/>
      <c r="V345" s="130"/>
      <c r="X345" s="106"/>
    </row>
    <row r="346">
      <c r="C346" s="79"/>
      <c r="D346" s="79"/>
      <c r="J346" s="79"/>
      <c r="N346" s="79"/>
      <c r="Q346" s="79"/>
      <c r="R346" s="79"/>
      <c r="V346" s="130"/>
      <c r="X346" s="106"/>
    </row>
    <row r="347">
      <c r="C347" s="79"/>
      <c r="D347" s="79"/>
      <c r="J347" s="79"/>
      <c r="N347" s="79"/>
      <c r="Q347" s="79"/>
      <c r="R347" s="79"/>
      <c r="V347" s="130"/>
      <c r="X347" s="106"/>
    </row>
    <row r="348">
      <c r="C348" s="79"/>
      <c r="D348" s="79"/>
      <c r="J348" s="79"/>
      <c r="N348" s="79"/>
      <c r="Q348" s="79"/>
      <c r="R348" s="79"/>
      <c r="V348" s="130"/>
      <c r="X348" s="106"/>
    </row>
    <row r="349">
      <c r="C349" s="79"/>
      <c r="D349" s="79"/>
      <c r="J349" s="79"/>
      <c r="N349" s="79"/>
      <c r="Q349" s="79"/>
      <c r="R349" s="79"/>
      <c r="V349" s="130"/>
      <c r="X349" s="106"/>
    </row>
    <row r="350">
      <c r="C350" s="79"/>
      <c r="D350" s="79"/>
      <c r="J350" s="79"/>
      <c r="N350" s="79"/>
      <c r="Q350" s="79"/>
      <c r="R350" s="79"/>
      <c r="V350" s="130"/>
      <c r="X350" s="106"/>
    </row>
    <row r="351">
      <c r="C351" s="79"/>
      <c r="D351" s="79"/>
      <c r="J351" s="79"/>
      <c r="N351" s="79"/>
      <c r="Q351" s="79"/>
      <c r="R351" s="79"/>
      <c r="V351" s="130"/>
      <c r="X351" s="106"/>
    </row>
    <row r="352">
      <c r="C352" s="79"/>
      <c r="D352" s="79"/>
      <c r="J352" s="79"/>
      <c r="N352" s="79"/>
      <c r="Q352" s="79"/>
      <c r="R352" s="79"/>
      <c r="V352" s="130"/>
      <c r="X352" s="106"/>
    </row>
    <row r="353">
      <c r="C353" s="79"/>
      <c r="D353" s="79"/>
      <c r="J353" s="79"/>
      <c r="N353" s="79"/>
      <c r="Q353" s="79"/>
      <c r="R353" s="79"/>
      <c r="V353" s="130"/>
      <c r="X353" s="106"/>
    </row>
    <row r="354">
      <c r="C354" s="79"/>
      <c r="D354" s="79"/>
      <c r="J354" s="79"/>
      <c r="N354" s="79"/>
      <c r="Q354" s="79"/>
      <c r="R354" s="79"/>
      <c r="V354" s="130"/>
      <c r="X354" s="106"/>
    </row>
    <row r="355">
      <c r="C355" s="79"/>
      <c r="D355" s="79"/>
      <c r="J355" s="79"/>
      <c r="N355" s="79"/>
      <c r="Q355" s="79"/>
      <c r="R355" s="79"/>
      <c r="V355" s="130"/>
      <c r="X355" s="106"/>
    </row>
    <row r="356">
      <c r="C356" s="79"/>
      <c r="D356" s="79"/>
      <c r="J356" s="79"/>
      <c r="N356" s="79"/>
      <c r="Q356" s="79"/>
      <c r="R356" s="79"/>
      <c r="V356" s="130"/>
      <c r="X356" s="106"/>
    </row>
    <row r="357">
      <c r="C357" s="79"/>
      <c r="D357" s="79"/>
      <c r="J357" s="79"/>
      <c r="N357" s="79"/>
      <c r="Q357" s="79"/>
      <c r="R357" s="79"/>
      <c r="V357" s="130"/>
      <c r="X357" s="106"/>
    </row>
    <row r="358">
      <c r="C358" s="79"/>
      <c r="D358" s="79"/>
      <c r="J358" s="79"/>
      <c r="N358" s="79"/>
      <c r="Q358" s="79"/>
      <c r="R358" s="79"/>
      <c r="V358" s="130"/>
      <c r="X358" s="106"/>
    </row>
    <row r="359">
      <c r="C359" s="79"/>
      <c r="D359" s="79"/>
      <c r="J359" s="79"/>
      <c r="N359" s="79"/>
      <c r="Q359" s="79"/>
      <c r="R359" s="79"/>
      <c r="V359" s="130"/>
      <c r="X359" s="106"/>
    </row>
    <row r="360">
      <c r="C360" s="79"/>
      <c r="D360" s="79"/>
      <c r="J360" s="79"/>
      <c r="N360" s="79"/>
      <c r="Q360" s="79"/>
      <c r="R360" s="79"/>
      <c r="V360" s="130"/>
      <c r="X360" s="106"/>
    </row>
    <row r="361">
      <c r="C361" s="79"/>
      <c r="D361" s="79"/>
      <c r="J361" s="79"/>
      <c r="N361" s="79"/>
      <c r="Q361" s="79"/>
      <c r="R361" s="79"/>
      <c r="V361" s="130"/>
      <c r="X361" s="106"/>
    </row>
    <row r="362">
      <c r="C362" s="79"/>
      <c r="D362" s="79"/>
      <c r="J362" s="79"/>
      <c r="N362" s="79"/>
      <c r="Q362" s="79"/>
      <c r="R362" s="79"/>
      <c r="V362" s="130"/>
      <c r="X362" s="106"/>
    </row>
    <row r="363">
      <c r="C363" s="79"/>
      <c r="D363" s="79"/>
      <c r="J363" s="79"/>
      <c r="N363" s="79"/>
      <c r="Q363" s="79"/>
      <c r="R363" s="79"/>
      <c r="V363" s="130"/>
      <c r="X363" s="106"/>
    </row>
    <row r="364">
      <c r="C364" s="79"/>
      <c r="D364" s="79"/>
      <c r="J364" s="79"/>
      <c r="N364" s="79"/>
      <c r="Q364" s="79"/>
      <c r="R364" s="79"/>
      <c r="V364" s="130"/>
      <c r="X364" s="106"/>
    </row>
    <row r="365">
      <c r="C365" s="79"/>
      <c r="D365" s="79"/>
      <c r="J365" s="79"/>
      <c r="N365" s="79"/>
      <c r="Q365" s="79"/>
      <c r="R365" s="79"/>
      <c r="V365" s="130"/>
      <c r="X365" s="106"/>
    </row>
    <row r="366">
      <c r="C366" s="79"/>
      <c r="D366" s="79"/>
      <c r="J366" s="79"/>
      <c r="N366" s="79"/>
      <c r="Q366" s="79"/>
      <c r="R366" s="79"/>
      <c r="V366" s="130"/>
      <c r="X366" s="106"/>
    </row>
    <row r="367">
      <c r="C367" s="79"/>
      <c r="D367" s="79"/>
      <c r="J367" s="79"/>
      <c r="N367" s="79"/>
      <c r="Q367" s="79"/>
      <c r="R367" s="79"/>
      <c r="V367" s="130"/>
      <c r="X367" s="106"/>
    </row>
    <row r="368">
      <c r="C368" s="79"/>
      <c r="D368" s="79"/>
      <c r="J368" s="79"/>
      <c r="N368" s="79"/>
      <c r="Q368" s="79"/>
      <c r="R368" s="79"/>
      <c r="V368" s="130"/>
      <c r="X368" s="106"/>
    </row>
    <row r="369">
      <c r="C369" s="79"/>
      <c r="D369" s="79"/>
      <c r="J369" s="79"/>
      <c r="N369" s="79"/>
      <c r="Q369" s="79"/>
      <c r="R369" s="79"/>
      <c r="V369" s="130"/>
      <c r="X369" s="106"/>
    </row>
    <row r="370">
      <c r="C370" s="79"/>
      <c r="D370" s="79"/>
      <c r="J370" s="79"/>
      <c r="N370" s="79"/>
      <c r="Q370" s="79"/>
      <c r="R370" s="79"/>
      <c r="V370" s="130"/>
      <c r="X370" s="106"/>
    </row>
    <row r="371">
      <c r="C371" s="79"/>
      <c r="D371" s="79"/>
      <c r="J371" s="79"/>
      <c r="N371" s="79"/>
      <c r="Q371" s="79"/>
      <c r="R371" s="79"/>
      <c r="V371" s="130"/>
      <c r="X371" s="106"/>
    </row>
    <row r="372">
      <c r="C372" s="79"/>
      <c r="D372" s="79"/>
      <c r="J372" s="79"/>
      <c r="N372" s="79"/>
      <c r="Q372" s="79"/>
      <c r="R372" s="79"/>
      <c r="V372" s="130"/>
      <c r="X372" s="106"/>
    </row>
    <row r="373">
      <c r="C373" s="79"/>
      <c r="D373" s="79"/>
      <c r="J373" s="79"/>
      <c r="N373" s="79"/>
      <c r="Q373" s="79"/>
      <c r="R373" s="79"/>
      <c r="V373" s="130"/>
      <c r="X373" s="106"/>
    </row>
    <row r="374">
      <c r="C374" s="79"/>
      <c r="D374" s="79"/>
      <c r="J374" s="79"/>
      <c r="N374" s="79"/>
      <c r="Q374" s="79"/>
      <c r="R374" s="79"/>
      <c r="V374" s="130"/>
      <c r="X374" s="106"/>
    </row>
    <row r="375">
      <c r="C375" s="79"/>
      <c r="D375" s="79"/>
      <c r="J375" s="79"/>
      <c r="N375" s="79"/>
      <c r="Q375" s="79"/>
      <c r="R375" s="79"/>
      <c r="V375" s="130"/>
      <c r="X375" s="106"/>
    </row>
    <row r="376">
      <c r="C376" s="79"/>
      <c r="D376" s="79"/>
      <c r="J376" s="79"/>
      <c r="N376" s="79"/>
      <c r="Q376" s="79"/>
      <c r="R376" s="79"/>
      <c r="V376" s="130"/>
      <c r="X376" s="106"/>
    </row>
    <row r="377">
      <c r="C377" s="79"/>
      <c r="D377" s="79"/>
      <c r="J377" s="79"/>
      <c r="N377" s="79"/>
      <c r="Q377" s="79"/>
      <c r="R377" s="79"/>
      <c r="V377" s="130"/>
      <c r="X377" s="106"/>
    </row>
    <row r="378">
      <c r="C378" s="79"/>
      <c r="D378" s="79"/>
      <c r="J378" s="79"/>
      <c r="N378" s="79"/>
      <c r="Q378" s="79"/>
      <c r="R378" s="79"/>
      <c r="V378" s="130"/>
      <c r="X378" s="106"/>
    </row>
    <row r="379">
      <c r="C379" s="79"/>
      <c r="D379" s="79"/>
      <c r="J379" s="79"/>
      <c r="N379" s="79"/>
      <c r="Q379" s="79"/>
      <c r="R379" s="79"/>
      <c r="V379" s="130"/>
      <c r="X379" s="106"/>
    </row>
    <row r="380">
      <c r="C380" s="79"/>
      <c r="D380" s="79"/>
      <c r="J380" s="79"/>
      <c r="N380" s="79"/>
      <c r="Q380" s="79"/>
      <c r="R380" s="79"/>
      <c r="V380" s="130"/>
      <c r="X380" s="106"/>
    </row>
    <row r="381">
      <c r="C381" s="79"/>
      <c r="D381" s="79"/>
      <c r="J381" s="79"/>
      <c r="N381" s="79"/>
      <c r="Q381" s="79"/>
      <c r="R381" s="79"/>
      <c r="V381" s="130"/>
      <c r="X381" s="106"/>
    </row>
    <row r="382">
      <c r="C382" s="79"/>
      <c r="D382" s="79"/>
      <c r="J382" s="79"/>
      <c r="N382" s="79"/>
      <c r="Q382" s="79"/>
      <c r="R382" s="79"/>
      <c r="V382" s="130"/>
      <c r="X382" s="106"/>
    </row>
    <row r="383">
      <c r="C383" s="79"/>
      <c r="D383" s="79"/>
      <c r="J383" s="79"/>
      <c r="N383" s="79"/>
      <c r="Q383" s="79"/>
      <c r="R383" s="79"/>
      <c r="V383" s="130"/>
      <c r="X383" s="106"/>
    </row>
    <row r="384">
      <c r="C384" s="79"/>
      <c r="D384" s="79"/>
      <c r="J384" s="79"/>
      <c r="N384" s="79"/>
      <c r="Q384" s="79"/>
      <c r="R384" s="79"/>
      <c r="V384" s="130"/>
      <c r="X384" s="106"/>
    </row>
    <row r="385">
      <c r="C385" s="79"/>
      <c r="D385" s="79"/>
      <c r="J385" s="79"/>
      <c r="N385" s="79"/>
      <c r="Q385" s="79"/>
      <c r="R385" s="79"/>
      <c r="V385" s="130"/>
      <c r="X385" s="106"/>
    </row>
    <row r="386">
      <c r="C386" s="79"/>
      <c r="D386" s="79"/>
      <c r="J386" s="79"/>
      <c r="N386" s="79"/>
      <c r="Q386" s="79"/>
      <c r="R386" s="79"/>
      <c r="V386" s="130"/>
      <c r="X386" s="106"/>
    </row>
    <row r="387">
      <c r="C387" s="79"/>
      <c r="D387" s="79"/>
      <c r="J387" s="79"/>
      <c r="N387" s="79"/>
      <c r="Q387" s="79"/>
      <c r="R387" s="79"/>
      <c r="V387" s="130"/>
      <c r="X387" s="106"/>
    </row>
    <row r="388">
      <c r="C388" s="79"/>
      <c r="D388" s="79"/>
      <c r="J388" s="79"/>
      <c r="N388" s="79"/>
      <c r="Q388" s="79"/>
      <c r="R388" s="79"/>
      <c r="V388" s="130"/>
      <c r="X388" s="106"/>
    </row>
    <row r="389">
      <c r="C389" s="79"/>
      <c r="D389" s="79"/>
      <c r="J389" s="79"/>
      <c r="N389" s="79"/>
      <c r="Q389" s="79"/>
      <c r="R389" s="79"/>
      <c r="V389" s="130"/>
      <c r="X389" s="106"/>
    </row>
    <row r="390">
      <c r="C390" s="79"/>
      <c r="D390" s="79"/>
      <c r="J390" s="79"/>
      <c r="N390" s="79"/>
      <c r="Q390" s="79"/>
      <c r="R390" s="79"/>
      <c r="V390" s="130"/>
      <c r="X390" s="106"/>
    </row>
    <row r="391">
      <c r="C391" s="79"/>
      <c r="D391" s="79"/>
      <c r="J391" s="79"/>
      <c r="N391" s="79"/>
      <c r="Q391" s="79"/>
      <c r="R391" s="79"/>
      <c r="V391" s="130"/>
      <c r="X391" s="106"/>
    </row>
    <row r="392">
      <c r="C392" s="79"/>
      <c r="D392" s="79"/>
      <c r="J392" s="79"/>
      <c r="N392" s="79"/>
      <c r="Q392" s="79"/>
      <c r="R392" s="79"/>
      <c r="V392" s="130"/>
      <c r="X392" s="106"/>
    </row>
    <row r="393">
      <c r="C393" s="79"/>
      <c r="D393" s="79"/>
      <c r="J393" s="79"/>
      <c r="N393" s="79"/>
      <c r="Q393" s="79"/>
      <c r="R393" s="79"/>
      <c r="V393" s="130"/>
      <c r="X393" s="106"/>
    </row>
    <row r="394">
      <c r="C394" s="79"/>
      <c r="D394" s="79"/>
      <c r="J394" s="79"/>
      <c r="N394" s="79"/>
      <c r="Q394" s="79"/>
      <c r="R394" s="79"/>
      <c r="V394" s="130"/>
      <c r="X394" s="106"/>
    </row>
    <row r="395">
      <c r="C395" s="79"/>
      <c r="D395" s="79"/>
      <c r="J395" s="79"/>
      <c r="N395" s="79"/>
      <c r="Q395" s="79"/>
      <c r="R395" s="79"/>
      <c r="V395" s="130"/>
      <c r="X395" s="106"/>
    </row>
    <row r="396">
      <c r="C396" s="79"/>
      <c r="D396" s="79"/>
      <c r="J396" s="79"/>
      <c r="N396" s="79"/>
      <c r="Q396" s="79"/>
      <c r="R396" s="79"/>
      <c r="V396" s="130"/>
      <c r="X396" s="106"/>
    </row>
    <row r="397">
      <c r="C397" s="79"/>
      <c r="D397" s="79"/>
      <c r="J397" s="79"/>
      <c r="N397" s="79"/>
      <c r="Q397" s="79"/>
      <c r="R397" s="79"/>
      <c r="V397" s="130"/>
      <c r="X397" s="106"/>
    </row>
    <row r="398">
      <c r="C398" s="79"/>
      <c r="D398" s="79"/>
      <c r="J398" s="79"/>
      <c r="N398" s="79"/>
      <c r="Q398" s="79"/>
      <c r="R398" s="79"/>
      <c r="V398" s="130"/>
      <c r="X398" s="106"/>
    </row>
    <row r="399">
      <c r="C399" s="79"/>
      <c r="D399" s="79"/>
      <c r="J399" s="79"/>
      <c r="N399" s="79"/>
      <c r="Q399" s="79"/>
      <c r="R399" s="79"/>
      <c r="V399" s="130"/>
      <c r="X399" s="106"/>
    </row>
    <row r="400">
      <c r="C400" s="79"/>
      <c r="D400" s="79"/>
      <c r="J400" s="79"/>
      <c r="N400" s="79"/>
      <c r="Q400" s="79"/>
      <c r="R400" s="79"/>
      <c r="V400" s="130"/>
      <c r="X400" s="106"/>
    </row>
    <row r="401">
      <c r="C401" s="79"/>
      <c r="D401" s="79"/>
      <c r="J401" s="79"/>
      <c r="N401" s="79"/>
      <c r="Q401" s="79"/>
      <c r="R401" s="79"/>
      <c r="V401" s="130"/>
      <c r="X401" s="106"/>
    </row>
    <row r="402">
      <c r="C402" s="79"/>
      <c r="D402" s="79"/>
      <c r="J402" s="79"/>
      <c r="N402" s="79"/>
      <c r="Q402" s="79"/>
      <c r="R402" s="79"/>
      <c r="V402" s="130"/>
      <c r="X402" s="106"/>
    </row>
    <row r="403">
      <c r="C403" s="79"/>
      <c r="D403" s="79"/>
      <c r="J403" s="79"/>
      <c r="N403" s="79"/>
      <c r="Q403" s="79"/>
      <c r="R403" s="79"/>
      <c r="V403" s="130"/>
      <c r="X403" s="106"/>
    </row>
    <row r="404">
      <c r="C404" s="79"/>
      <c r="D404" s="79"/>
      <c r="J404" s="79"/>
      <c r="N404" s="79"/>
      <c r="Q404" s="79"/>
      <c r="R404" s="79"/>
      <c r="V404" s="130"/>
      <c r="X404" s="106"/>
    </row>
    <row r="405">
      <c r="C405" s="79"/>
      <c r="D405" s="79"/>
      <c r="J405" s="79"/>
      <c r="N405" s="79"/>
      <c r="Q405" s="79"/>
      <c r="R405" s="79"/>
      <c r="V405" s="130"/>
      <c r="X405" s="106"/>
    </row>
    <row r="406">
      <c r="C406" s="79"/>
      <c r="D406" s="79"/>
      <c r="J406" s="79"/>
      <c r="N406" s="79"/>
      <c r="Q406" s="79"/>
      <c r="R406" s="79"/>
      <c r="V406" s="130"/>
      <c r="X406" s="106"/>
    </row>
    <row r="407">
      <c r="C407" s="79"/>
      <c r="D407" s="79"/>
      <c r="J407" s="79"/>
      <c r="N407" s="79"/>
      <c r="Q407" s="79"/>
      <c r="R407" s="79"/>
      <c r="V407" s="130"/>
      <c r="X407" s="106"/>
    </row>
    <row r="408">
      <c r="C408" s="79"/>
      <c r="D408" s="79"/>
      <c r="J408" s="79"/>
      <c r="N408" s="79"/>
      <c r="Q408" s="79"/>
      <c r="R408" s="79"/>
      <c r="V408" s="130"/>
      <c r="X408" s="106"/>
    </row>
    <row r="409">
      <c r="C409" s="79"/>
      <c r="D409" s="79"/>
      <c r="J409" s="79"/>
      <c r="N409" s="79"/>
      <c r="Q409" s="79"/>
      <c r="R409" s="79"/>
      <c r="V409" s="130"/>
      <c r="X409" s="106"/>
    </row>
    <row r="410">
      <c r="C410" s="79"/>
      <c r="D410" s="79"/>
      <c r="J410" s="79"/>
      <c r="N410" s="79"/>
      <c r="Q410" s="79"/>
      <c r="R410" s="79"/>
      <c r="V410" s="130"/>
      <c r="X410" s="106"/>
    </row>
    <row r="411">
      <c r="C411" s="79"/>
      <c r="D411" s="79"/>
      <c r="J411" s="79"/>
      <c r="N411" s="79"/>
      <c r="Q411" s="79"/>
      <c r="R411" s="79"/>
      <c r="V411" s="130"/>
      <c r="X411" s="106"/>
    </row>
    <row r="412">
      <c r="C412" s="79"/>
      <c r="D412" s="79"/>
      <c r="J412" s="79"/>
      <c r="N412" s="79"/>
      <c r="Q412" s="79"/>
      <c r="R412" s="79"/>
      <c r="V412" s="130"/>
      <c r="X412" s="106"/>
    </row>
    <row r="413">
      <c r="C413" s="79"/>
      <c r="D413" s="79"/>
      <c r="J413" s="79"/>
      <c r="N413" s="79"/>
      <c r="Q413" s="79"/>
      <c r="R413" s="79"/>
      <c r="V413" s="130"/>
      <c r="X413" s="106"/>
    </row>
    <row r="414">
      <c r="C414" s="79"/>
      <c r="D414" s="79"/>
      <c r="J414" s="79"/>
      <c r="N414" s="79"/>
      <c r="Q414" s="79"/>
      <c r="R414" s="79"/>
      <c r="V414" s="130"/>
      <c r="X414" s="106"/>
    </row>
    <row r="415">
      <c r="C415" s="79"/>
      <c r="D415" s="79"/>
      <c r="J415" s="79"/>
      <c r="N415" s="79"/>
      <c r="Q415" s="79"/>
      <c r="R415" s="79"/>
      <c r="V415" s="130"/>
      <c r="X415" s="106"/>
    </row>
    <row r="416">
      <c r="C416" s="79"/>
      <c r="D416" s="79"/>
      <c r="J416" s="79"/>
      <c r="N416" s="79"/>
      <c r="Q416" s="79"/>
      <c r="R416" s="79"/>
      <c r="V416" s="130"/>
      <c r="X416" s="106"/>
    </row>
    <row r="417">
      <c r="C417" s="79"/>
      <c r="D417" s="79"/>
      <c r="J417" s="79"/>
      <c r="N417" s="79"/>
      <c r="Q417" s="79"/>
      <c r="R417" s="79"/>
      <c r="V417" s="130"/>
      <c r="X417" s="106"/>
    </row>
    <row r="418">
      <c r="C418" s="79"/>
      <c r="D418" s="79"/>
      <c r="J418" s="79"/>
      <c r="N418" s="79"/>
      <c r="Q418" s="79"/>
      <c r="R418" s="79"/>
      <c r="V418" s="130"/>
      <c r="X418" s="106"/>
    </row>
    <row r="419">
      <c r="C419" s="79"/>
      <c r="D419" s="79"/>
      <c r="J419" s="79"/>
      <c r="N419" s="79"/>
      <c r="Q419" s="79"/>
      <c r="R419" s="79"/>
      <c r="V419" s="130"/>
      <c r="X419" s="106"/>
    </row>
    <row r="420">
      <c r="C420" s="79"/>
      <c r="D420" s="79"/>
      <c r="J420" s="79"/>
      <c r="N420" s="79"/>
      <c r="Q420" s="79"/>
      <c r="R420" s="79"/>
      <c r="V420" s="130"/>
      <c r="X420" s="106"/>
    </row>
    <row r="421">
      <c r="C421" s="79"/>
      <c r="D421" s="79"/>
      <c r="J421" s="79"/>
      <c r="N421" s="79"/>
      <c r="Q421" s="79"/>
      <c r="R421" s="79"/>
      <c r="V421" s="130"/>
      <c r="X421" s="106"/>
    </row>
    <row r="422">
      <c r="C422" s="79"/>
      <c r="D422" s="79"/>
      <c r="J422" s="79"/>
      <c r="N422" s="79"/>
      <c r="Q422" s="79"/>
      <c r="R422" s="79"/>
      <c r="V422" s="130"/>
      <c r="X422" s="106"/>
    </row>
    <row r="423">
      <c r="C423" s="79"/>
      <c r="D423" s="79"/>
      <c r="J423" s="79"/>
      <c r="N423" s="79"/>
      <c r="Q423" s="79"/>
      <c r="R423" s="79"/>
      <c r="V423" s="130"/>
      <c r="X423" s="106"/>
    </row>
    <row r="424">
      <c r="C424" s="79"/>
      <c r="D424" s="79"/>
      <c r="J424" s="79"/>
      <c r="N424" s="79"/>
      <c r="Q424" s="79"/>
      <c r="R424" s="79"/>
      <c r="V424" s="130"/>
      <c r="X424" s="106"/>
    </row>
    <row r="425">
      <c r="C425" s="79"/>
      <c r="D425" s="79"/>
      <c r="J425" s="79"/>
      <c r="N425" s="79"/>
      <c r="Q425" s="79"/>
      <c r="R425" s="79"/>
      <c r="V425" s="130"/>
      <c r="X425" s="106"/>
    </row>
    <row r="426">
      <c r="C426" s="79"/>
      <c r="D426" s="79"/>
      <c r="J426" s="79"/>
      <c r="N426" s="79"/>
      <c r="Q426" s="79"/>
      <c r="R426" s="79"/>
      <c r="V426" s="130"/>
      <c r="X426" s="106"/>
    </row>
    <row r="427">
      <c r="C427" s="79"/>
      <c r="D427" s="79"/>
      <c r="J427" s="79"/>
      <c r="N427" s="79"/>
      <c r="Q427" s="79"/>
      <c r="R427" s="79"/>
      <c r="V427" s="130"/>
      <c r="X427" s="106"/>
    </row>
    <row r="428">
      <c r="C428" s="79"/>
      <c r="D428" s="79"/>
      <c r="J428" s="79"/>
      <c r="N428" s="79"/>
      <c r="Q428" s="79"/>
      <c r="R428" s="79"/>
      <c r="V428" s="130"/>
      <c r="X428" s="106"/>
    </row>
    <row r="429">
      <c r="C429" s="79"/>
      <c r="D429" s="79"/>
      <c r="J429" s="79"/>
      <c r="N429" s="79"/>
      <c r="Q429" s="79"/>
      <c r="R429" s="79"/>
      <c r="V429" s="130"/>
      <c r="X429" s="106"/>
    </row>
    <row r="430">
      <c r="C430" s="79"/>
      <c r="D430" s="79"/>
      <c r="J430" s="79"/>
      <c r="N430" s="79"/>
      <c r="Q430" s="79"/>
      <c r="R430" s="79"/>
      <c r="V430" s="130"/>
      <c r="X430" s="106"/>
    </row>
    <row r="431">
      <c r="C431" s="79"/>
      <c r="D431" s="79"/>
      <c r="J431" s="79"/>
      <c r="N431" s="79"/>
      <c r="Q431" s="79"/>
      <c r="R431" s="79"/>
      <c r="V431" s="130"/>
      <c r="X431" s="106"/>
    </row>
    <row r="432">
      <c r="C432" s="79"/>
      <c r="D432" s="79"/>
      <c r="J432" s="79"/>
      <c r="N432" s="79"/>
      <c r="Q432" s="79"/>
      <c r="R432" s="79"/>
      <c r="V432" s="130"/>
      <c r="X432" s="106"/>
    </row>
    <row r="433">
      <c r="C433" s="79"/>
      <c r="D433" s="79"/>
      <c r="J433" s="79"/>
      <c r="N433" s="79"/>
      <c r="Q433" s="79"/>
      <c r="R433" s="79"/>
      <c r="V433" s="130"/>
      <c r="X433" s="106"/>
    </row>
    <row r="434">
      <c r="C434" s="79"/>
      <c r="D434" s="79"/>
      <c r="J434" s="79"/>
      <c r="N434" s="79"/>
      <c r="Q434" s="79"/>
      <c r="R434" s="79"/>
      <c r="V434" s="130"/>
      <c r="X434" s="106"/>
    </row>
    <row r="435">
      <c r="C435" s="79"/>
      <c r="D435" s="79"/>
      <c r="J435" s="79"/>
      <c r="N435" s="79"/>
      <c r="Q435" s="79"/>
      <c r="R435" s="79"/>
      <c r="V435" s="130"/>
      <c r="X435" s="106"/>
    </row>
    <row r="436">
      <c r="C436" s="79"/>
      <c r="D436" s="79"/>
      <c r="J436" s="79"/>
      <c r="N436" s="79"/>
      <c r="Q436" s="79"/>
      <c r="R436" s="79"/>
      <c r="V436" s="130"/>
      <c r="X436" s="106"/>
    </row>
    <row r="437">
      <c r="C437" s="79"/>
      <c r="D437" s="79"/>
      <c r="J437" s="79"/>
      <c r="N437" s="79"/>
      <c r="Q437" s="79"/>
      <c r="R437" s="79"/>
      <c r="V437" s="130"/>
      <c r="X437" s="106"/>
    </row>
    <row r="438">
      <c r="C438" s="79"/>
      <c r="D438" s="79"/>
      <c r="J438" s="79"/>
      <c r="N438" s="79"/>
      <c r="Q438" s="79"/>
      <c r="R438" s="79"/>
      <c r="V438" s="130"/>
      <c r="X438" s="106"/>
    </row>
    <row r="439">
      <c r="C439" s="79"/>
      <c r="D439" s="79"/>
      <c r="J439" s="79"/>
      <c r="N439" s="79"/>
      <c r="Q439" s="79"/>
      <c r="R439" s="79"/>
      <c r="V439" s="130"/>
      <c r="X439" s="106"/>
    </row>
    <row r="440">
      <c r="C440" s="79"/>
      <c r="D440" s="79"/>
      <c r="J440" s="79"/>
      <c r="N440" s="79"/>
      <c r="Q440" s="79"/>
      <c r="R440" s="79"/>
      <c r="V440" s="130"/>
      <c r="X440" s="106"/>
    </row>
    <row r="441">
      <c r="C441" s="79"/>
      <c r="D441" s="79"/>
      <c r="J441" s="79"/>
      <c r="N441" s="79"/>
      <c r="Q441" s="79"/>
      <c r="R441" s="79"/>
      <c r="V441" s="130"/>
      <c r="X441" s="106"/>
    </row>
    <row r="442">
      <c r="C442" s="79"/>
      <c r="D442" s="79"/>
      <c r="J442" s="79"/>
      <c r="N442" s="79"/>
      <c r="Q442" s="79"/>
      <c r="R442" s="79"/>
      <c r="V442" s="130"/>
      <c r="X442" s="106"/>
    </row>
    <row r="443">
      <c r="C443" s="79"/>
      <c r="D443" s="79"/>
      <c r="J443" s="79"/>
      <c r="N443" s="79"/>
      <c r="Q443" s="79"/>
      <c r="R443" s="79"/>
      <c r="V443" s="130"/>
      <c r="X443" s="106"/>
    </row>
    <row r="444">
      <c r="C444" s="79"/>
      <c r="D444" s="79"/>
      <c r="J444" s="79"/>
      <c r="N444" s="79"/>
      <c r="Q444" s="79"/>
      <c r="R444" s="79"/>
      <c r="V444" s="130"/>
      <c r="X444" s="106"/>
    </row>
    <row r="445">
      <c r="C445" s="79"/>
      <c r="D445" s="79"/>
      <c r="J445" s="79"/>
      <c r="N445" s="79"/>
      <c r="Q445" s="79"/>
      <c r="R445" s="79"/>
      <c r="V445" s="130"/>
      <c r="X445" s="106"/>
    </row>
    <row r="446">
      <c r="C446" s="79"/>
      <c r="D446" s="79"/>
      <c r="J446" s="79"/>
      <c r="N446" s="79"/>
      <c r="Q446" s="79"/>
      <c r="R446" s="79"/>
      <c r="V446" s="130"/>
      <c r="X446" s="106"/>
    </row>
    <row r="447">
      <c r="C447" s="79"/>
      <c r="D447" s="79"/>
      <c r="J447" s="79"/>
      <c r="N447" s="79"/>
      <c r="Q447" s="79"/>
      <c r="R447" s="79"/>
      <c r="V447" s="130"/>
      <c r="X447" s="106"/>
    </row>
    <row r="448">
      <c r="C448" s="79"/>
      <c r="D448" s="79"/>
      <c r="J448" s="79"/>
      <c r="N448" s="79"/>
      <c r="Q448" s="79"/>
      <c r="R448" s="79"/>
      <c r="V448" s="130"/>
      <c r="X448" s="106"/>
    </row>
    <row r="449">
      <c r="C449" s="79"/>
      <c r="D449" s="79"/>
      <c r="J449" s="79"/>
      <c r="N449" s="79"/>
      <c r="Q449" s="79"/>
      <c r="R449" s="79"/>
      <c r="V449" s="130"/>
      <c r="X449" s="106"/>
    </row>
    <row r="450">
      <c r="C450" s="79"/>
      <c r="D450" s="79"/>
      <c r="J450" s="79"/>
      <c r="N450" s="79"/>
      <c r="Q450" s="79"/>
      <c r="R450" s="79"/>
      <c r="V450" s="130"/>
      <c r="X450" s="106"/>
    </row>
    <row r="451">
      <c r="C451" s="79"/>
      <c r="D451" s="79"/>
      <c r="J451" s="79"/>
      <c r="N451" s="79"/>
      <c r="Q451" s="79"/>
      <c r="R451" s="79"/>
      <c r="V451" s="130"/>
      <c r="X451" s="106"/>
    </row>
    <row r="452">
      <c r="C452" s="79"/>
      <c r="D452" s="79"/>
      <c r="J452" s="79"/>
      <c r="N452" s="79"/>
      <c r="Q452" s="79"/>
      <c r="R452" s="79"/>
      <c r="V452" s="130"/>
      <c r="X452" s="106"/>
    </row>
    <row r="453">
      <c r="C453" s="79"/>
      <c r="D453" s="79"/>
      <c r="J453" s="79"/>
      <c r="N453" s="79"/>
      <c r="Q453" s="79"/>
      <c r="R453" s="79"/>
      <c r="V453" s="130"/>
      <c r="X453" s="106"/>
    </row>
    <row r="454">
      <c r="C454" s="79"/>
      <c r="D454" s="79"/>
      <c r="J454" s="79"/>
      <c r="N454" s="79"/>
      <c r="Q454" s="79"/>
      <c r="R454" s="79"/>
      <c r="V454" s="130"/>
      <c r="X454" s="106"/>
    </row>
    <row r="455">
      <c r="C455" s="79"/>
      <c r="D455" s="79"/>
      <c r="J455" s="79"/>
      <c r="N455" s="79"/>
      <c r="Q455" s="79"/>
      <c r="R455" s="79"/>
      <c r="V455" s="130"/>
      <c r="X455" s="106"/>
    </row>
    <row r="456">
      <c r="C456" s="79"/>
      <c r="D456" s="79"/>
      <c r="J456" s="79"/>
      <c r="N456" s="79"/>
      <c r="Q456" s="79"/>
      <c r="R456" s="79"/>
      <c r="V456" s="130"/>
      <c r="X456" s="106"/>
    </row>
    <row r="457">
      <c r="C457" s="79"/>
      <c r="D457" s="79"/>
      <c r="J457" s="79"/>
      <c r="N457" s="79"/>
      <c r="Q457" s="79"/>
      <c r="R457" s="79"/>
      <c r="V457" s="130"/>
      <c r="X457" s="106"/>
    </row>
    <row r="458">
      <c r="C458" s="79"/>
      <c r="D458" s="79"/>
      <c r="J458" s="79"/>
      <c r="N458" s="79"/>
      <c r="Q458" s="79"/>
      <c r="R458" s="79"/>
      <c r="V458" s="130"/>
      <c r="X458" s="106"/>
    </row>
    <row r="459">
      <c r="C459" s="79"/>
      <c r="D459" s="79"/>
      <c r="J459" s="79"/>
      <c r="N459" s="79"/>
      <c r="Q459" s="79"/>
      <c r="R459" s="79"/>
      <c r="V459" s="130"/>
      <c r="X459" s="106"/>
    </row>
    <row r="460">
      <c r="C460" s="79"/>
      <c r="D460" s="79"/>
      <c r="J460" s="79"/>
      <c r="N460" s="79"/>
      <c r="Q460" s="79"/>
      <c r="R460" s="79"/>
      <c r="V460" s="130"/>
      <c r="X460" s="106"/>
    </row>
    <row r="461">
      <c r="C461" s="79"/>
      <c r="D461" s="79"/>
      <c r="J461" s="79"/>
      <c r="N461" s="79"/>
      <c r="Q461" s="79"/>
      <c r="R461" s="79"/>
      <c r="V461" s="130"/>
      <c r="X461" s="106"/>
    </row>
    <row r="462">
      <c r="C462" s="79"/>
      <c r="D462" s="79"/>
      <c r="J462" s="79"/>
      <c r="N462" s="79"/>
      <c r="Q462" s="79"/>
      <c r="R462" s="79"/>
      <c r="V462" s="130"/>
      <c r="X462" s="106"/>
    </row>
    <row r="463">
      <c r="C463" s="79"/>
      <c r="D463" s="79"/>
      <c r="J463" s="79"/>
      <c r="N463" s="79"/>
      <c r="Q463" s="79"/>
      <c r="R463" s="79"/>
      <c r="V463" s="130"/>
      <c r="X463" s="106"/>
    </row>
    <row r="464">
      <c r="C464" s="79"/>
      <c r="D464" s="79"/>
      <c r="J464" s="79"/>
      <c r="N464" s="79"/>
      <c r="Q464" s="79"/>
      <c r="R464" s="79"/>
      <c r="V464" s="130"/>
      <c r="X464" s="106"/>
    </row>
    <row r="465">
      <c r="C465" s="79"/>
      <c r="D465" s="79"/>
      <c r="J465" s="79"/>
      <c r="N465" s="79"/>
      <c r="Q465" s="79"/>
      <c r="R465" s="79"/>
      <c r="V465" s="130"/>
      <c r="X465" s="106"/>
    </row>
    <row r="466">
      <c r="C466" s="79"/>
      <c r="D466" s="79"/>
      <c r="J466" s="79"/>
      <c r="N466" s="79"/>
      <c r="Q466" s="79"/>
      <c r="R466" s="79"/>
      <c r="V466" s="130"/>
      <c r="X466" s="106"/>
    </row>
    <row r="467">
      <c r="C467" s="79"/>
      <c r="D467" s="79"/>
      <c r="J467" s="79"/>
      <c r="N467" s="79"/>
      <c r="Q467" s="79"/>
      <c r="R467" s="79"/>
      <c r="V467" s="130"/>
      <c r="X467" s="106"/>
    </row>
    <row r="468">
      <c r="C468" s="79"/>
      <c r="D468" s="79"/>
      <c r="J468" s="79"/>
      <c r="N468" s="79"/>
      <c r="Q468" s="79"/>
      <c r="R468" s="79"/>
      <c r="V468" s="130"/>
      <c r="X468" s="106"/>
    </row>
    <row r="469">
      <c r="C469" s="79"/>
      <c r="D469" s="79"/>
      <c r="J469" s="79"/>
      <c r="N469" s="79"/>
      <c r="Q469" s="79"/>
      <c r="R469" s="79"/>
      <c r="V469" s="130"/>
      <c r="X469" s="106"/>
    </row>
    <row r="470">
      <c r="C470" s="79"/>
      <c r="D470" s="79"/>
      <c r="J470" s="79"/>
      <c r="N470" s="79"/>
      <c r="Q470" s="79"/>
      <c r="R470" s="79"/>
      <c r="V470" s="130"/>
      <c r="X470" s="106"/>
    </row>
    <row r="471">
      <c r="C471" s="79"/>
      <c r="D471" s="79"/>
      <c r="J471" s="79"/>
      <c r="N471" s="79"/>
      <c r="Q471" s="79"/>
      <c r="R471" s="79"/>
      <c r="V471" s="130"/>
      <c r="X471" s="106"/>
    </row>
    <row r="472">
      <c r="C472" s="79"/>
      <c r="D472" s="79"/>
      <c r="J472" s="79"/>
      <c r="N472" s="79"/>
      <c r="Q472" s="79"/>
      <c r="R472" s="79"/>
      <c r="V472" s="130"/>
      <c r="X472" s="106"/>
    </row>
    <row r="473">
      <c r="C473" s="79"/>
      <c r="D473" s="79"/>
      <c r="J473" s="79"/>
      <c r="N473" s="79"/>
      <c r="Q473" s="79"/>
      <c r="R473" s="79"/>
      <c r="V473" s="130"/>
      <c r="X473" s="106"/>
    </row>
    <row r="474">
      <c r="C474" s="79"/>
      <c r="D474" s="79"/>
      <c r="J474" s="79"/>
      <c r="N474" s="79"/>
      <c r="Q474" s="79"/>
      <c r="R474" s="79"/>
      <c r="V474" s="130"/>
      <c r="X474" s="106"/>
    </row>
    <row r="475">
      <c r="C475" s="79"/>
      <c r="D475" s="79"/>
      <c r="J475" s="79"/>
      <c r="N475" s="79"/>
      <c r="Q475" s="79"/>
      <c r="R475" s="79"/>
      <c r="V475" s="130"/>
      <c r="X475" s="106"/>
    </row>
    <row r="476">
      <c r="C476" s="79"/>
      <c r="D476" s="79"/>
      <c r="J476" s="79"/>
      <c r="N476" s="79"/>
      <c r="Q476" s="79"/>
      <c r="R476" s="79"/>
      <c r="V476" s="130"/>
      <c r="X476" s="106"/>
    </row>
    <row r="477">
      <c r="C477" s="79"/>
      <c r="D477" s="79"/>
      <c r="J477" s="79"/>
      <c r="N477" s="79"/>
      <c r="Q477" s="79"/>
      <c r="R477" s="79"/>
      <c r="V477" s="130"/>
      <c r="X477" s="106"/>
    </row>
    <row r="478">
      <c r="C478" s="79"/>
      <c r="D478" s="79"/>
      <c r="J478" s="79"/>
      <c r="N478" s="79"/>
      <c r="Q478" s="79"/>
      <c r="R478" s="79"/>
      <c r="V478" s="130"/>
      <c r="X478" s="106"/>
    </row>
    <row r="479">
      <c r="C479" s="79"/>
      <c r="D479" s="79"/>
      <c r="J479" s="79"/>
      <c r="N479" s="79"/>
      <c r="Q479" s="79"/>
      <c r="R479" s="79"/>
      <c r="V479" s="130"/>
      <c r="X479" s="106"/>
    </row>
    <row r="480">
      <c r="C480" s="79"/>
      <c r="D480" s="79"/>
      <c r="J480" s="79"/>
      <c r="N480" s="79"/>
      <c r="Q480" s="79"/>
      <c r="R480" s="79"/>
      <c r="V480" s="130"/>
      <c r="X480" s="106"/>
    </row>
    <row r="481">
      <c r="C481" s="79"/>
      <c r="D481" s="79"/>
      <c r="J481" s="79"/>
      <c r="N481" s="79"/>
      <c r="Q481" s="79"/>
      <c r="R481" s="79"/>
      <c r="V481" s="130"/>
      <c r="X481" s="106"/>
    </row>
    <row r="482">
      <c r="C482" s="79"/>
      <c r="D482" s="79"/>
      <c r="J482" s="79"/>
      <c r="N482" s="79"/>
      <c r="Q482" s="79"/>
      <c r="R482" s="79"/>
      <c r="V482" s="130"/>
      <c r="X482" s="106"/>
    </row>
    <row r="483">
      <c r="C483" s="79"/>
      <c r="D483" s="79"/>
      <c r="J483" s="79"/>
      <c r="N483" s="79"/>
      <c r="Q483" s="79"/>
      <c r="R483" s="79"/>
      <c r="V483" s="130"/>
      <c r="X483" s="106"/>
    </row>
    <row r="484">
      <c r="C484" s="79"/>
      <c r="D484" s="79"/>
      <c r="J484" s="79"/>
      <c r="N484" s="79"/>
      <c r="Q484" s="79"/>
      <c r="R484" s="79"/>
      <c r="V484" s="130"/>
      <c r="X484" s="106"/>
    </row>
    <row r="485">
      <c r="C485" s="79"/>
      <c r="D485" s="79"/>
      <c r="J485" s="79"/>
      <c r="N485" s="79"/>
      <c r="Q485" s="79"/>
      <c r="R485" s="79"/>
      <c r="V485" s="130"/>
      <c r="X485" s="106"/>
    </row>
    <row r="486">
      <c r="C486" s="79"/>
      <c r="D486" s="79"/>
      <c r="J486" s="79"/>
      <c r="N486" s="79"/>
      <c r="Q486" s="79"/>
      <c r="R486" s="79"/>
      <c r="V486" s="130"/>
      <c r="X486" s="106"/>
    </row>
    <row r="487">
      <c r="C487" s="79"/>
      <c r="D487" s="79"/>
      <c r="J487" s="79"/>
      <c r="N487" s="79"/>
      <c r="Q487" s="79"/>
      <c r="R487" s="79"/>
      <c r="V487" s="130"/>
      <c r="X487" s="106"/>
    </row>
    <row r="488">
      <c r="C488" s="79"/>
      <c r="D488" s="79"/>
      <c r="J488" s="79"/>
      <c r="N488" s="79"/>
      <c r="Q488" s="79"/>
      <c r="R488" s="79"/>
      <c r="V488" s="130"/>
      <c r="X488" s="106"/>
    </row>
    <row r="489">
      <c r="C489" s="79"/>
      <c r="D489" s="79"/>
      <c r="J489" s="79"/>
      <c r="N489" s="79"/>
      <c r="Q489" s="79"/>
      <c r="R489" s="79"/>
      <c r="V489" s="130"/>
      <c r="X489" s="106"/>
    </row>
    <row r="490">
      <c r="C490" s="79"/>
      <c r="D490" s="79"/>
      <c r="J490" s="79"/>
      <c r="N490" s="79"/>
      <c r="Q490" s="79"/>
      <c r="R490" s="79"/>
      <c r="V490" s="130"/>
      <c r="X490" s="106"/>
    </row>
    <row r="491">
      <c r="C491" s="79"/>
      <c r="D491" s="79"/>
      <c r="J491" s="79"/>
      <c r="N491" s="79"/>
      <c r="Q491" s="79"/>
      <c r="R491" s="79"/>
      <c r="V491" s="130"/>
      <c r="X491" s="106"/>
    </row>
    <row r="492">
      <c r="C492" s="79"/>
      <c r="D492" s="79"/>
      <c r="J492" s="79"/>
      <c r="N492" s="79"/>
      <c r="Q492" s="79"/>
      <c r="R492" s="79"/>
      <c r="V492" s="130"/>
      <c r="X492" s="106"/>
    </row>
    <row r="493">
      <c r="C493" s="79"/>
      <c r="D493" s="79"/>
      <c r="J493" s="79"/>
      <c r="N493" s="79"/>
      <c r="Q493" s="79"/>
      <c r="R493" s="79"/>
      <c r="V493" s="130"/>
      <c r="X493" s="106"/>
    </row>
    <row r="494">
      <c r="C494" s="79"/>
      <c r="D494" s="79"/>
      <c r="J494" s="79"/>
      <c r="N494" s="79"/>
      <c r="Q494" s="79"/>
      <c r="R494" s="79"/>
      <c r="V494" s="130"/>
      <c r="X494" s="106"/>
    </row>
    <row r="495">
      <c r="C495" s="79"/>
      <c r="D495" s="79"/>
      <c r="J495" s="79"/>
      <c r="N495" s="79"/>
      <c r="Q495" s="79"/>
      <c r="R495" s="79"/>
      <c r="V495" s="130"/>
      <c r="X495" s="106"/>
    </row>
    <row r="496">
      <c r="C496" s="79"/>
      <c r="D496" s="79"/>
      <c r="J496" s="79"/>
      <c r="N496" s="79"/>
      <c r="Q496" s="79"/>
      <c r="R496" s="79"/>
      <c r="V496" s="130"/>
      <c r="X496" s="106"/>
    </row>
    <row r="497">
      <c r="C497" s="79"/>
      <c r="D497" s="79"/>
      <c r="J497" s="79"/>
      <c r="N497" s="79"/>
      <c r="Q497" s="79"/>
      <c r="R497" s="79"/>
      <c r="V497" s="130"/>
      <c r="X497" s="106"/>
    </row>
    <row r="498">
      <c r="C498" s="79"/>
      <c r="D498" s="79"/>
      <c r="J498" s="79"/>
      <c r="N498" s="79"/>
      <c r="Q498" s="79"/>
      <c r="R498" s="79"/>
      <c r="V498" s="130"/>
      <c r="X498" s="106"/>
    </row>
    <row r="499">
      <c r="C499" s="79"/>
      <c r="D499" s="79"/>
      <c r="J499" s="79"/>
      <c r="N499" s="79"/>
      <c r="Q499" s="79"/>
      <c r="R499" s="79"/>
      <c r="V499" s="130"/>
      <c r="X499" s="106"/>
    </row>
    <row r="500">
      <c r="C500" s="79"/>
      <c r="D500" s="79"/>
      <c r="J500" s="79"/>
      <c r="N500" s="79"/>
      <c r="Q500" s="79"/>
      <c r="R500" s="79"/>
      <c r="V500" s="130"/>
      <c r="X500" s="106"/>
    </row>
    <row r="501">
      <c r="C501" s="79"/>
      <c r="D501" s="79"/>
      <c r="J501" s="79"/>
      <c r="N501" s="79"/>
      <c r="Q501" s="79"/>
      <c r="R501" s="79"/>
      <c r="V501" s="130"/>
      <c r="X501" s="106"/>
    </row>
    <row r="502">
      <c r="C502" s="79"/>
      <c r="D502" s="79"/>
      <c r="J502" s="79"/>
      <c r="N502" s="79"/>
      <c r="Q502" s="79"/>
      <c r="R502" s="79"/>
      <c r="V502" s="130"/>
      <c r="X502" s="106"/>
    </row>
    <row r="503">
      <c r="C503" s="79"/>
      <c r="D503" s="79"/>
      <c r="J503" s="79"/>
      <c r="N503" s="79"/>
      <c r="Q503" s="79"/>
      <c r="R503" s="79"/>
      <c r="V503" s="130"/>
      <c r="X503" s="106"/>
    </row>
    <row r="504">
      <c r="C504" s="79"/>
      <c r="D504" s="79"/>
      <c r="J504" s="79"/>
      <c r="N504" s="79"/>
      <c r="Q504" s="79"/>
      <c r="R504" s="79"/>
      <c r="V504" s="130"/>
      <c r="X504" s="106"/>
    </row>
    <row r="505">
      <c r="C505" s="79"/>
      <c r="D505" s="79"/>
      <c r="J505" s="79"/>
      <c r="N505" s="79"/>
      <c r="Q505" s="79"/>
      <c r="R505" s="79"/>
      <c r="V505" s="130"/>
      <c r="X505" s="106"/>
    </row>
    <row r="506">
      <c r="C506" s="79"/>
      <c r="D506" s="79"/>
      <c r="J506" s="79"/>
      <c r="N506" s="79"/>
      <c r="Q506" s="79"/>
      <c r="R506" s="79"/>
      <c r="V506" s="130"/>
      <c r="X506" s="106"/>
    </row>
    <row r="507">
      <c r="C507" s="79"/>
      <c r="D507" s="79"/>
      <c r="J507" s="79"/>
      <c r="N507" s="79"/>
      <c r="Q507" s="79"/>
      <c r="R507" s="79"/>
      <c r="V507" s="130"/>
      <c r="X507" s="106"/>
    </row>
    <row r="508">
      <c r="C508" s="79"/>
      <c r="D508" s="79"/>
      <c r="J508" s="79"/>
      <c r="N508" s="79"/>
      <c r="Q508" s="79"/>
      <c r="R508" s="79"/>
      <c r="V508" s="130"/>
      <c r="X508" s="106"/>
    </row>
    <row r="509">
      <c r="C509" s="79"/>
      <c r="D509" s="79"/>
      <c r="J509" s="79"/>
      <c r="N509" s="79"/>
      <c r="Q509" s="79"/>
      <c r="R509" s="79"/>
      <c r="V509" s="130"/>
      <c r="X509" s="106"/>
    </row>
    <row r="510">
      <c r="C510" s="79"/>
      <c r="D510" s="79"/>
      <c r="J510" s="79"/>
      <c r="N510" s="79"/>
      <c r="Q510" s="79"/>
      <c r="R510" s="79"/>
      <c r="V510" s="130"/>
      <c r="X510" s="106"/>
    </row>
    <row r="511">
      <c r="C511" s="79"/>
      <c r="D511" s="79"/>
      <c r="J511" s="79"/>
      <c r="N511" s="79"/>
      <c r="Q511" s="79"/>
      <c r="R511" s="79"/>
      <c r="V511" s="130"/>
      <c r="X511" s="106"/>
    </row>
    <row r="512">
      <c r="C512" s="79"/>
      <c r="D512" s="79"/>
      <c r="J512" s="79"/>
      <c r="N512" s="79"/>
      <c r="Q512" s="79"/>
      <c r="R512" s="79"/>
      <c r="V512" s="130"/>
      <c r="X512" s="106"/>
    </row>
    <row r="513">
      <c r="C513" s="79"/>
      <c r="D513" s="79"/>
      <c r="J513" s="79"/>
      <c r="N513" s="79"/>
      <c r="Q513" s="79"/>
      <c r="R513" s="79"/>
      <c r="V513" s="130"/>
      <c r="X513" s="106"/>
    </row>
    <row r="514">
      <c r="C514" s="79"/>
      <c r="D514" s="79"/>
      <c r="J514" s="79"/>
      <c r="N514" s="79"/>
      <c r="Q514" s="79"/>
      <c r="R514" s="79"/>
      <c r="V514" s="130"/>
      <c r="X514" s="106"/>
    </row>
    <row r="515">
      <c r="C515" s="79"/>
      <c r="D515" s="79"/>
      <c r="J515" s="79"/>
      <c r="N515" s="79"/>
      <c r="Q515" s="79"/>
      <c r="R515" s="79"/>
      <c r="V515" s="130"/>
      <c r="X515" s="106"/>
    </row>
    <row r="516">
      <c r="C516" s="79"/>
      <c r="D516" s="79"/>
      <c r="J516" s="79"/>
      <c r="N516" s="79"/>
      <c r="Q516" s="79"/>
      <c r="R516" s="79"/>
      <c r="V516" s="130"/>
      <c r="X516" s="106"/>
    </row>
    <row r="517">
      <c r="C517" s="79"/>
      <c r="D517" s="79"/>
      <c r="J517" s="79"/>
      <c r="N517" s="79"/>
      <c r="Q517" s="79"/>
      <c r="R517" s="79"/>
      <c r="V517" s="130"/>
      <c r="X517" s="106"/>
    </row>
    <row r="518">
      <c r="C518" s="79"/>
      <c r="D518" s="79"/>
      <c r="J518" s="79"/>
      <c r="N518" s="79"/>
      <c r="Q518" s="79"/>
      <c r="R518" s="79"/>
      <c r="V518" s="130"/>
      <c r="X518" s="106"/>
    </row>
    <row r="519">
      <c r="C519" s="79"/>
      <c r="D519" s="79"/>
      <c r="J519" s="79"/>
      <c r="N519" s="79"/>
      <c r="Q519" s="79"/>
      <c r="R519" s="79"/>
      <c r="V519" s="130"/>
      <c r="X519" s="106"/>
    </row>
    <row r="520">
      <c r="C520" s="79"/>
      <c r="D520" s="79"/>
      <c r="J520" s="79"/>
      <c r="N520" s="79"/>
      <c r="Q520" s="79"/>
      <c r="R520" s="79"/>
      <c r="V520" s="130"/>
      <c r="X520" s="106"/>
    </row>
    <row r="521">
      <c r="C521" s="79"/>
      <c r="D521" s="79"/>
      <c r="J521" s="79"/>
      <c r="N521" s="79"/>
      <c r="Q521" s="79"/>
      <c r="R521" s="79"/>
      <c r="V521" s="130"/>
      <c r="X521" s="106"/>
    </row>
    <row r="522">
      <c r="C522" s="79"/>
      <c r="D522" s="79"/>
      <c r="J522" s="79"/>
      <c r="N522" s="79"/>
      <c r="Q522" s="79"/>
      <c r="R522" s="79"/>
      <c r="V522" s="130"/>
      <c r="X522" s="106"/>
    </row>
    <row r="523">
      <c r="C523" s="79"/>
      <c r="D523" s="79"/>
      <c r="J523" s="79"/>
      <c r="N523" s="79"/>
      <c r="Q523" s="79"/>
      <c r="R523" s="79"/>
      <c r="V523" s="130"/>
      <c r="X523" s="106"/>
    </row>
    <row r="524">
      <c r="C524" s="79"/>
      <c r="D524" s="79"/>
      <c r="J524" s="79"/>
      <c r="N524" s="79"/>
      <c r="Q524" s="79"/>
      <c r="R524" s="79"/>
      <c r="V524" s="130"/>
      <c r="X524" s="106"/>
    </row>
    <row r="525">
      <c r="C525" s="79"/>
      <c r="D525" s="79"/>
      <c r="J525" s="79"/>
      <c r="N525" s="79"/>
      <c r="Q525" s="79"/>
      <c r="R525" s="79"/>
      <c r="V525" s="130"/>
      <c r="X525" s="106"/>
    </row>
    <row r="526">
      <c r="C526" s="79"/>
      <c r="D526" s="79"/>
      <c r="J526" s="79"/>
      <c r="N526" s="79"/>
      <c r="Q526" s="79"/>
      <c r="R526" s="79"/>
      <c r="V526" s="130"/>
      <c r="X526" s="106"/>
    </row>
    <row r="527">
      <c r="C527" s="79"/>
      <c r="D527" s="79"/>
      <c r="J527" s="79"/>
      <c r="N527" s="79"/>
      <c r="Q527" s="79"/>
      <c r="R527" s="79"/>
      <c r="V527" s="130"/>
      <c r="X527" s="106"/>
    </row>
    <row r="528">
      <c r="C528" s="79"/>
      <c r="D528" s="79"/>
      <c r="J528" s="79"/>
      <c r="N528" s="79"/>
      <c r="Q528" s="79"/>
      <c r="R528" s="79"/>
      <c r="V528" s="130"/>
      <c r="X528" s="106"/>
    </row>
    <row r="529">
      <c r="C529" s="79"/>
      <c r="D529" s="79"/>
      <c r="J529" s="79"/>
      <c r="N529" s="79"/>
      <c r="Q529" s="79"/>
      <c r="R529" s="79"/>
      <c r="V529" s="130"/>
      <c r="X529" s="106"/>
    </row>
    <row r="530">
      <c r="C530" s="79"/>
      <c r="D530" s="79"/>
      <c r="J530" s="79"/>
      <c r="N530" s="79"/>
      <c r="Q530" s="79"/>
      <c r="R530" s="79"/>
      <c r="V530" s="130"/>
      <c r="X530" s="106"/>
    </row>
    <row r="531">
      <c r="C531" s="79"/>
      <c r="D531" s="79"/>
      <c r="J531" s="79"/>
      <c r="N531" s="79"/>
      <c r="Q531" s="79"/>
      <c r="R531" s="79"/>
      <c r="V531" s="130"/>
      <c r="X531" s="106"/>
    </row>
    <row r="532">
      <c r="C532" s="79"/>
      <c r="D532" s="79"/>
      <c r="J532" s="79"/>
      <c r="N532" s="79"/>
      <c r="Q532" s="79"/>
      <c r="R532" s="79"/>
      <c r="V532" s="130"/>
      <c r="X532" s="106"/>
    </row>
    <row r="533">
      <c r="C533" s="79"/>
      <c r="D533" s="79"/>
      <c r="J533" s="79"/>
      <c r="N533" s="79"/>
      <c r="Q533" s="79"/>
      <c r="R533" s="79"/>
      <c r="V533" s="130"/>
      <c r="X533" s="106"/>
    </row>
    <row r="534">
      <c r="C534" s="79"/>
      <c r="D534" s="79"/>
      <c r="J534" s="79"/>
      <c r="N534" s="79"/>
      <c r="Q534" s="79"/>
      <c r="R534" s="79"/>
      <c r="V534" s="130"/>
      <c r="X534" s="106"/>
    </row>
    <row r="535">
      <c r="C535" s="79"/>
      <c r="D535" s="79"/>
      <c r="J535" s="79"/>
      <c r="N535" s="79"/>
      <c r="Q535" s="79"/>
      <c r="R535" s="79"/>
      <c r="V535" s="130"/>
      <c r="X535" s="106"/>
    </row>
    <row r="536">
      <c r="C536" s="79"/>
      <c r="D536" s="79"/>
      <c r="J536" s="79"/>
      <c r="N536" s="79"/>
      <c r="Q536" s="79"/>
      <c r="R536" s="79"/>
      <c r="V536" s="130"/>
      <c r="X536" s="106"/>
    </row>
    <row r="537">
      <c r="C537" s="79"/>
      <c r="D537" s="79"/>
      <c r="J537" s="79"/>
      <c r="N537" s="79"/>
      <c r="Q537" s="79"/>
      <c r="R537" s="79"/>
      <c r="V537" s="130"/>
      <c r="X537" s="106"/>
    </row>
    <row r="538">
      <c r="C538" s="79"/>
      <c r="D538" s="79"/>
      <c r="J538" s="79"/>
      <c r="N538" s="79"/>
      <c r="Q538" s="79"/>
      <c r="R538" s="79"/>
      <c r="V538" s="130"/>
      <c r="X538" s="106"/>
    </row>
    <row r="539">
      <c r="C539" s="79"/>
      <c r="D539" s="79"/>
      <c r="J539" s="79"/>
      <c r="N539" s="79"/>
      <c r="Q539" s="79"/>
      <c r="R539" s="79"/>
      <c r="V539" s="130"/>
      <c r="X539" s="106"/>
    </row>
    <row r="540">
      <c r="C540" s="79"/>
      <c r="D540" s="79"/>
      <c r="J540" s="79"/>
      <c r="N540" s="79"/>
      <c r="Q540" s="79"/>
      <c r="R540" s="79"/>
      <c r="V540" s="130"/>
      <c r="X540" s="106"/>
    </row>
    <row r="541">
      <c r="C541" s="79"/>
      <c r="D541" s="79"/>
      <c r="J541" s="79"/>
      <c r="N541" s="79"/>
      <c r="Q541" s="79"/>
      <c r="R541" s="79"/>
      <c r="V541" s="130"/>
      <c r="X541" s="106"/>
    </row>
    <row r="542">
      <c r="C542" s="79"/>
      <c r="D542" s="79"/>
      <c r="J542" s="79"/>
      <c r="N542" s="79"/>
      <c r="Q542" s="79"/>
      <c r="R542" s="79"/>
      <c r="V542" s="130"/>
      <c r="X542" s="106"/>
    </row>
    <row r="543">
      <c r="C543" s="79"/>
      <c r="D543" s="79"/>
      <c r="J543" s="79"/>
      <c r="N543" s="79"/>
      <c r="Q543" s="79"/>
      <c r="R543" s="79"/>
      <c r="V543" s="130"/>
      <c r="X543" s="106"/>
    </row>
    <row r="544">
      <c r="C544" s="79"/>
      <c r="D544" s="79"/>
      <c r="J544" s="79"/>
      <c r="N544" s="79"/>
      <c r="Q544" s="79"/>
      <c r="R544" s="79"/>
      <c r="V544" s="130"/>
      <c r="X544" s="106"/>
    </row>
    <row r="545">
      <c r="C545" s="79"/>
      <c r="D545" s="79"/>
      <c r="J545" s="79"/>
      <c r="N545" s="79"/>
      <c r="Q545" s="79"/>
      <c r="R545" s="79"/>
      <c r="V545" s="130"/>
      <c r="X545" s="106"/>
    </row>
    <row r="546">
      <c r="C546" s="79"/>
      <c r="D546" s="79"/>
      <c r="J546" s="79"/>
      <c r="N546" s="79"/>
      <c r="Q546" s="79"/>
      <c r="R546" s="79"/>
      <c r="V546" s="130"/>
      <c r="X546" s="106"/>
    </row>
    <row r="547">
      <c r="C547" s="79"/>
      <c r="D547" s="79"/>
      <c r="J547" s="79"/>
      <c r="N547" s="79"/>
      <c r="Q547" s="79"/>
      <c r="R547" s="79"/>
      <c r="V547" s="130"/>
      <c r="X547" s="106"/>
    </row>
    <row r="548">
      <c r="C548" s="79"/>
      <c r="D548" s="79"/>
      <c r="J548" s="79"/>
      <c r="N548" s="79"/>
      <c r="Q548" s="79"/>
      <c r="R548" s="79"/>
      <c r="V548" s="130"/>
      <c r="X548" s="106"/>
    </row>
    <row r="549">
      <c r="C549" s="79"/>
      <c r="D549" s="79"/>
      <c r="J549" s="79"/>
      <c r="N549" s="79"/>
      <c r="Q549" s="79"/>
      <c r="R549" s="79"/>
      <c r="V549" s="130"/>
      <c r="X549" s="106"/>
    </row>
    <row r="550">
      <c r="C550" s="79"/>
      <c r="D550" s="79"/>
      <c r="J550" s="79"/>
      <c r="N550" s="79"/>
      <c r="Q550" s="79"/>
      <c r="R550" s="79"/>
      <c r="V550" s="130"/>
      <c r="X550" s="106"/>
    </row>
    <row r="551">
      <c r="C551" s="79"/>
      <c r="D551" s="79"/>
      <c r="J551" s="79"/>
      <c r="N551" s="79"/>
      <c r="Q551" s="79"/>
      <c r="R551" s="79"/>
      <c r="V551" s="130"/>
      <c r="X551" s="106"/>
    </row>
    <row r="552">
      <c r="C552" s="79"/>
      <c r="D552" s="79"/>
      <c r="J552" s="79"/>
      <c r="N552" s="79"/>
      <c r="Q552" s="79"/>
      <c r="R552" s="79"/>
      <c r="V552" s="130"/>
      <c r="X552" s="106"/>
    </row>
    <row r="553">
      <c r="C553" s="79"/>
      <c r="D553" s="79"/>
      <c r="J553" s="79"/>
      <c r="N553" s="79"/>
      <c r="Q553" s="79"/>
      <c r="R553" s="79"/>
      <c r="V553" s="130"/>
      <c r="X553" s="106"/>
    </row>
    <row r="554">
      <c r="C554" s="79"/>
      <c r="D554" s="79"/>
      <c r="J554" s="79"/>
      <c r="N554" s="79"/>
      <c r="Q554" s="79"/>
      <c r="R554" s="79"/>
      <c r="V554" s="130"/>
      <c r="X554" s="106"/>
    </row>
    <row r="555">
      <c r="C555" s="79"/>
      <c r="D555" s="79"/>
      <c r="J555" s="79"/>
      <c r="N555" s="79"/>
      <c r="Q555" s="79"/>
      <c r="R555" s="79"/>
      <c r="V555" s="130"/>
      <c r="X555" s="106"/>
    </row>
    <row r="556">
      <c r="C556" s="79"/>
      <c r="D556" s="79"/>
      <c r="J556" s="79"/>
      <c r="N556" s="79"/>
      <c r="Q556" s="79"/>
      <c r="R556" s="79"/>
      <c r="V556" s="130"/>
      <c r="X556" s="106"/>
    </row>
    <row r="557">
      <c r="C557" s="79"/>
      <c r="D557" s="79"/>
      <c r="J557" s="79"/>
      <c r="N557" s="79"/>
      <c r="Q557" s="79"/>
      <c r="R557" s="79"/>
      <c r="V557" s="130"/>
      <c r="X557" s="106"/>
    </row>
    <row r="558">
      <c r="C558" s="79"/>
      <c r="D558" s="79"/>
      <c r="J558" s="79"/>
      <c r="N558" s="79"/>
      <c r="Q558" s="79"/>
      <c r="R558" s="79"/>
      <c r="V558" s="130"/>
      <c r="X558" s="106"/>
    </row>
    <row r="559">
      <c r="C559" s="79"/>
      <c r="D559" s="79"/>
      <c r="J559" s="79"/>
      <c r="N559" s="79"/>
      <c r="Q559" s="79"/>
      <c r="R559" s="79"/>
      <c r="V559" s="130"/>
      <c r="X559" s="106"/>
    </row>
    <row r="560">
      <c r="C560" s="79"/>
      <c r="D560" s="79"/>
      <c r="J560" s="79"/>
      <c r="N560" s="79"/>
      <c r="Q560" s="79"/>
      <c r="R560" s="79"/>
      <c r="V560" s="130"/>
      <c r="X560" s="106"/>
    </row>
    <row r="561">
      <c r="C561" s="79"/>
      <c r="D561" s="79"/>
      <c r="J561" s="79"/>
      <c r="N561" s="79"/>
      <c r="Q561" s="79"/>
      <c r="R561" s="79"/>
      <c r="V561" s="130"/>
      <c r="X561" s="106"/>
    </row>
    <row r="562">
      <c r="C562" s="79"/>
      <c r="D562" s="79"/>
      <c r="J562" s="79"/>
      <c r="N562" s="79"/>
      <c r="Q562" s="79"/>
      <c r="R562" s="79"/>
      <c r="V562" s="130"/>
      <c r="X562" s="106"/>
    </row>
    <row r="563">
      <c r="C563" s="79"/>
      <c r="D563" s="79"/>
      <c r="J563" s="79"/>
      <c r="N563" s="79"/>
      <c r="Q563" s="79"/>
      <c r="R563" s="79"/>
      <c r="V563" s="130"/>
      <c r="X563" s="106"/>
    </row>
    <row r="564">
      <c r="C564" s="79"/>
      <c r="D564" s="79"/>
      <c r="J564" s="79"/>
      <c r="N564" s="79"/>
      <c r="Q564" s="79"/>
      <c r="R564" s="79"/>
      <c r="V564" s="130"/>
      <c r="X564" s="106"/>
    </row>
    <row r="565">
      <c r="C565" s="79"/>
      <c r="D565" s="79"/>
      <c r="J565" s="79"/>
      <c r="N565" s="79"/>
      <c r="Q565" s="79"/>
      <c r="R565" s="79"/>
      <c r="V565" s="130"/>
      <c r="X565" s="106"/>
    </row>
    <row r="566">
      <c r="C566" s="79"/>
      <c r="D566" s="79"/>
      <c r="J566" s="79"/>
      <c r="N566" s="79"/>
      <c r="Q566" s="79"/>
      <c r="R566" s="79"/>
      <c r="V566" s="130"/>
      <c r="X566" s="106"/>
    </row>
    <row r="567">
      <c r="C567" s="79"/>
      <c r="D567" s="79"/>
      <c r="J567" s="79"/>
      <c r="N567" s="79"/>
      <c r="Q567" s="79"/>
      <c r="R567" s="79"/>
      <c r="V567" s="130"/>
      <c r="X567" s="106"/>
    </row>
    <row r="568">
      <c r="C568" s="79"/>
      <c r="D568" s="79"/>
      <c r="J568" s="79"/>
      <c r="N568" s="79"/>
      <c r="Q568" s="79"/>
      <c r="R568" s="79"/>
      <c r="V568" s="130"/>
      <c r="X568" s="106"/>
    </row>
    <row r="569">
      <c r="C569" s="79"/>
      <c r="D569" s="79"/>
      <c r="J569" s="79"/>
      <c r="N569" s="79"/>
      <c r="Q569" s="79"/>
      <c r="R569" s="79"/>
      <c r="V569" s="130"/>
      <c r="X569" s="106"/>
    </row>
    <row r="570">
      <c r="C570" s="79"/>
      <c r="D570" s="79"/>
      <c r="J570" s="79"/>
      <c r="N570" s="79"/>
      <c r="Q570" s="79"/>
      <c r="R570" s="79"/>
      <c r="V570" s="130"/>
      <c r="X570" s="106"/>
    </row>
    <row r="571">
      <c r="C571" s="79"/>
      <c r="D571" s="79"/>
      <c r="J571" s="79"/>
      <c r="N571" s="79"/>
      <c r="Q571" s="79"/>
      <c r="R571" s="79"/>
      <c r="V571" s="130"/>
      <c r="X571" s="106"/>
    </row>
    <row r="572">
      <c r="C572" s="79"/>
      <c r="D572" s="79"/>
      <c r="J572" s="79"/>
      <c r="N572" s="79"/>
      <c r="Q572" s="79"/>
      <c r="R572" s="79"/>
      <c r="V572" s="130"/>
      <c r="X572" s="106"/>
    </row>
    <row r="573">
      <c r="C573" s="79"/>
      <c r="D573" s="79"/>
      <c r="J573" s="79"/>
      <c r="N573" s="79"/>
      <c r="Q573" s="79"/>
      <c r="R573" s="79"/>
      <c r="V573" s="130"/>
      <c r="X573" s="106"/>
    </row>
    <row r="574">
      <c r="C574" s="79"/>
      <c r="D574" s="79"/>
      <c r="J574" s="79"/>
      <c r="N574" s="79"/>
      <c r="Q574" s="79"/>
      <c r="R574" s="79"/>
      <c r="V574" s="130"/>
      <c r="X574" s="106"/>
    </row>
    <row r="575">
      <c r="C575" s="79"/>
      <c r="D575" s="79"/>
      <c r="J575" s="79"/>
      <c r="N575" s="79"/>
      <c r="Q575" s="79"/>
      <c r="R575" s="79"/>
      <c r="V575" s="130"/>
      <c r="X575" s="106"/>
    </row>
    <row r="576">
      <c r="C576" s="79"/>
      <c r="D576" s="79"/>
      <c r="J576" s="79"/>
      <c r="N576" s="79"/>
      <c r="Q576" s="79"/>
      <c r="R576" s="79"/>
      <c r="V576" s="130"/>
      <c r="X576" s="106"/>
    </row>
    <row r="577">
      <c r="C577" s="79"/>
      <c r="D577" s="79"/>
      <c r="J577" s="79"/>
      <c r="N577" s="79"/>
      <c r="Q577" s="79"/>
      <c r="R577" s="79"/>
      <c r="V577" s="130"/>
      <c r="X577" s="106"/>
    </row>
    <row r="578">
      <c r="C578" s="79"/>
      <c r="D578" s="79"/>
      <c r="J578" s="79"/>
      <c r="N578" s="79"/>
      <c r="Q578" s="79"/>
      <c r="R578" s="79"/>
      <c r="V578" s="130"/>
      <c r="X578" s="106"/>
    </row>
    <row r="579">
      <c r="C579" s="79"/>
      <c r="D579" s="79"/>
      <c r="J579" s="79"/>
      <c r="N579" s="79"/>
      <c r="Q579" s="79"/>
      <c r="R579" s="79"/>
      <c r="V579" s="130"/>
      <c r="X579" s="106"/>
    </row>
    <row r="580">
      <c r="C580" s="79"/>
      <c r="D580" s="79"/>
      <c r="J580" s="79"/>
      <c r="N580" s="79"/>
      <c r="Q580" s="79"/>
      <c r="R580" s="79"/>
      <c r="V580" s="130"/>
      <c r="X580" s="106"/>
    </row>
    <row r="581">
      <c r="C581" s="79"/>
      <c r="D581" s="79"/>
      <c r="J581" s="79"/>
      <c r="N581" s="79"/>
      <c r="Q581" s="79"/>
      <c r="R581" s="79"/>
      <c r="V581" s="130"/>
      <c r="X581" s="106"/>
    </row>
    <row r="582">
      <c r="C582" s="79"/>
      <c r="D582" s="79"/>
      <c r="J582" s="79"/>
      <c r="N582" s="79"/>
      <c r="Q582" s="79"/>
      <c r="R582" s="79"/>
      <c r="V582" s="130"/>
      <c r="X582" s="106"/>
    </row>
    <row r="583">
      <c r="C583" s="79"/>
      <c r="D583" s="79"/>
      <c r="J583" s="79"/>
      <c r="N583" s="79"/>
      <c r="Q583" s="79"/>
      <c r="R583" s="79"/>
      <c r="V583" s="130"/>
      <c r="X583" s="106"/>
    </row>
    <row r="584">
      <c r="C584" s="79"/>
      <c r="D584" s="79"/>
      <c r="J584" s="79"/>
      <c r="N584" s="79"/>
      <c r="Q584" s="79"/>
      <c r="R584" s="79"/>
      <c r="V584" s="130"/>
      <c r="X584" s="106"/>
    </row>
    <row r="585">
      <c r="C585" s="79"/>
      <c r="D585" s="79"/>
      <c r="J585" s="79"/>
      <c r="N585" s="79"/>
      <c r="Q585" s="79"/>
      <c r="R585" s="79"/>
      <c r="V585" s="130"/>
      <c r="X585" s="106"/>
    </row>
    <row r="586">
      <c r="C586" s="79"/>
      <c r="D586" s="79"/>
      <c r="J586" s="79"/>
      <c r="N586" s="79"/>
      <c r="Q586" s="79"/>
      <c r="R586" s="79"/>
      <c r="V586" s="130"/>
      <c r="X586" s="106"/>
    </row>
    <row r="587">
      <c r="C587" s="79"/>
      <c r="D587" s="79"/>
      <c r="J587" s="79"/>
      <c r="N587" s="79"/>
      <c r="Q587" s="79"/>
      <c r="R587" s="79"/>
      <c r="V587" s="130"/>
      <c r="X587" s="106"/>
    </row>
    <row r="588">
      <c r="C588" s="79"/>
      <c r="D588" s="79"/>
      <c r="J588" s="79"/>
      <c r="N588" s="79"/>
      <c r="Q588" s="79"/>
      <c r="R588" s="79"/>
      <c r="V588" s="130"/>
      <c r="X588" s="106"/>
    </row>
    <row r="589">
      <c r="C589" s="79"/>
      <c r="D589" s="79"/>
      <c r="J589" s="79"/>
      <c r="N589" s="79"/>
      <c r="Q589" s="79"/>
      <c r="R589" s="79"/>
      <c r="V589" s="130"/>
      <c r="X589" s="106"/>
    </row>
    <row r="590">
      <c r="C590" s="79"/>
      <c r="D590" s="79"/>
      <c r="J590" s="79"/>
      <c r="N590" s="79"/>
      <c r="Q590" s="79"/>
      <c r="R590" s="79"/>
      <c r="V590" s="130"/>
      <c r="X590" s="106"/>
    </row>
    <row r="591">
      <c r="C591" s="79"/>
      <c r="D591" s="79"/>
      <c r="J591" s="79"/>
      <c r="N591" s="79"/>
      <c r="Q591" s="79"/>
      <c r="R591" s="79"/>
      <c r="V591" s="130"/>
      <c r="X591" s="106"/>
    </row>
    <row r="592">
      <c r="C592" s="79"/>
      <c r="D592" s="79"/>
      <c r="J592" s="79"/>
      <c r="N592" s="79"/>
      <c r="Q592" s="79"/>
      <c r="R592" s="79"/>
      <c r="V592" s="130"/>
      <c r="X592" s="106"/>
    </row>
    <row r="593">
      <c r="C593" s="79"/>
      <c r="D593" s="79"/>
      <c r="J593" s="79"/>
      <c r="N593" s="79"/>
      <c r="Q593" s="79"/>
      <c r="R593" s="79"/>
      <c r="V593" s="130"/>
      <c r="X593" s="106"/>
    </row>
    <row r="594">
      <c r="C594" s="79"/>
      <c r="D594" s="79"/>
      <c r="J594" s="79"/>
      <c r="N594" s="79"/>
      <c r="Q594" s="79"/>
      <c r="R594" s="79"/>
      <c r="V594" s="130"/>
      <c r="X594" s="106"/>
    </row>
    <row r="595">
      <c r="C595" s="79"/>
      <c r="D595" s="79"/>
      <c r="J595" s="79"/>
      <c r="N595" s="79"/>
      <c r="Q595" s="79"/>
      <c r="R595" s="79"/>
      <c r="V595" s="130"/>
      <c r="X595" s="106"/>
    </row>
    <row r="596">
      <c r="C596" s="79"/>
      <c r="D596" s="79"/>
      <c r="J596" s="79"/>
      <c r="N596" s="79"/>
      <c r="Q596" s="79"/>
      <c r="R596" s="79"/>
      <c r="V596" s="130"/>
      <c r="X596" s="106"/>
    </row>
    <row r="597">
      <c r="C597" s="79"/>
      <c r="D597" s="79"/>
      <c r="J597" s="79"/>
      <c r="N597" s="79"/>
      <c r="Q597" s="79"/>
      <c r="R597" s="79"/>
      <c r="V597" s="130"/>
      <c r="X597" s="106"/>
    </row>
    <row r="598">
      <c r="C598" s="79"/>
      <c r="D598" s="79"/>
      <c r="J598" s="79"/>
      <c r="N598" s="79"/>
      <c r="Q598" s="79"/>
      <c r="R598" s="79"/>
      <c r="V598" s="130"/>
      <c r="X598" s="106"/>
    </row>
    <row r="599">
      <c r="C599" s="79"/>
      <c r="D599" s="79"/>
      <c r="J599" s="79"/>
      <c r="N599" s="79"/>
      <c r="Q599" s="79"/>
      <c r="R599" s="79"/>
      <c r="V599" s="130"/>
      <c r="X599" s="106"/>
    </row>
    <row r="600">
      <c r="C600" s="79"/>
      <c r="D600" s="79"/>
      <c r="J600" s="79"/>
      <c r="N600" s="79"/>
      <c r="Q600" s="79"/>
      <c r="R600" s="79"/>
      <c r="V600" s="130"/>
      <c r="X600" s="106"/>
    </row>
    <row r="601">
      <c r="C601" s="79"/>
      <c r="D601" s="79"/>
      <c r="J601" s="79"/>
      <c r="N601" s="79"/>
      <c r="Q601" s="79"/>
      <c r="R601" s="79"/>
      <c r="V601" s="130"/>
      <c r="X601" s="106"/>
    </row>
    <row r="602">
      <c r="C602" s="79"/>
      <c r="D602" s="79"/>
      <c r="J602" s="79"/>
      <c r="N602" s="79"/>
      <c r="Q602" s="79"/>
      <c r="R602" s="79"/>
      <c r="V602" s="130"/>
      <c r="X602" s="106"/>
    </row>
    <row r="603">
      <c r="C603" s="79"/>
      <c r="D603" s="79"/>
      <c r="J603" s="79"/>
      <c r="N603" s="79"/>
      <c r="Q603" s="79"/>
      <c r="R603" s="79"/>
      <c r="V603" s="130"/>
      <c r="X603" s="106"/>
    </row>
    <row r="604">
      <c r="C604" s="79"/>
      <c r="D604" s="79"/>
      <c r="J604" s="79"/>
      <c r="N604" s="79"/>
      <c r="Q604" s="79"/>
      <c r="R604" s="79"/>
      <c r="V604" s="130"/>
      <c r="X604" s="106"/>
    </row>
    <row r="605">
      <c r="C605" s="79"/>
      <c r="D605" s="79"/>
      <c r="J605" s="79"/>
      <c r="N605" s="79"/>
      <c r="Q605" s="79"/>
      <c r="R605" s="79"/>
      <c r="V605" s="130"/>
      <c r="X605" s="106"/>
    </row>
    <row r="606">
      <c r="C606" s="79"/>
      <c r="D606" s="79"/>
      <c r="J606" s="79"/>
      <c r="N606" s="79"/>
      <c r="Q606" s="79"/>
      <c r="R606" s="79"/>
      <c r="V606" s="130"/>
      <c r="X606" s="106"/>
    </row>
    <row r="607">
      <c r="C607" s="79"/>
      <c r="D607" s="79"/>
      <c r="J607" s="79"/>
      <c r="N607" s="79"/>
      <c r="Q607" s="79"/>
      <c r="R607" s="79"/>
      <c r="V607" s="130"/>
      <c r="X607" s="106"/>
    </row>
    <row r="608">
      <c r="C608" s="79"/>
      <c r="D608" s="79"/>
      <c r="J608" s="79"/>
      <c r="N608" s="79"/>
      <c r="Q608" s="79"/>
      <c r="R608" s="79"/>
      <c r="V608" s="130"/>
      <c r="X608" s="106"/>
    </row>
    <row r="609">
      <c r="C609" s="79"/>
      <c r="D609" s="79"/>
      <c r="J609" s="79"/>
      <c r="N609" s="79"/>
      <c r="Q609" s="79"/>
      <c r="R609" s="79"/>
      <c r="V609" s="130"/>
      <c r="X609" s="106"/>
    </row>
    <row r="610">
      <c r="C610" s="79"/>
      <c r="D610" s="79"/>
      <c r="J610" s="79"/>
      <c r="N610" s="79"/>
      <c r="Q610" s="79"/>
      <c r="R610" s="79"/>
      <c r="V610" s="130"/>
      <c r="X610" s="106"/>
    </row>
    <row r="611">
      <c r="C611" s="79"/>
      <c r="D611" s="79"/>
      <c r="J611" s="79"/>
      <c r="N611" s="79"/>
      <c r="Q611" s="79"/>
      <c r="R611" s="79"/>
      <c r="V611" s="130"/>
      <c r="X611" s="106"/>
    </row>
    <row r="612">
      <c r="C612" s="79"/>
      <c r="D612" s="79"/>
      <c r="J612" s="79"/>
      <c r="N612" s="79"/>
      <c r="Q612" s="79"/>
      <c r="R612" s="79"/>
      <c r="V612" s="130"/>
      <c r="X612" s="106"/>
    </row>
    <row r="613">
      <c r="C613" s="79"/>
      <c r="D613" s="79"/>
      <c r="J613" s="79"/>
      <c r="N613" s="79"/>
      <c r="Q613" s="79"/>
      <c r="R613" s="79"/>
      <c r="V613" s="130"/>
      <c r="X613" s="106"/>
    </row>
    <row r="614">
      <c r="C614" s="79"/>
      <c r="D614" s="79"/>
      <c r="J614" s="79"/>
      <c r="N614" s="79"/>
      <c r="Q614" s="79"/>
      <c r="R614" s="79"/>
      <c r="V614" s="130"/>
      <c r="X614" s="106"/>
    </row>
    <row r="615">
      <c r="C615" s="79"/>
      <c r="D615" s="79"/>
      <c r="J615" s="79"/>
      <c r="N615" s="79"/>
      <c r="Q615" s="79"/>
      <c r="R615" s="79"/>
      <c r="V615" s="130"/>
      <c r="X615" s="106"/>
    </row>
    <row r="616">
      <c r="C616" s="79"/>
      <c r="D616" s="79"/>
      <c r="J616" s="79"/>
      <c r="N616" s="79"/>
      <c r="Q616" s="79"/>
      <c r="R616" s="79"/>
      <c r="V616" s="130"/>
      <c r="X616" s="106"/>
    </row>
    <row r="617">
      <c r="C617" s="79"/>
      <c r="D617" s="79"/>
      <c r="J617" s="79"/>
      <c r="N617" s="79"/>
      <c r="Q617" s="79"/>
      <c r="R617" s="79"/>
      <c r="V617" s="130"/>
      <c r="X617" s="106"/>
    </row>
    <row r="618">
      <c r="C618" s="79"/>
      <c r="D618" s="79"/>
      <c r="J618" s="79"/>
      <c r="N618" s="79"/>
      <c r="Q618" s="79"/>
      <c r="R618" s="79"/>
      <c r="V618" s="130"/>
      <c r="X618" s="106"/>
    </row>
    <row r="619">
      <c r="C619" s="79"/>
      <c r="D619" s="79"/>
      <c r="J619" s="79"/>
      <c r="N619" s="79"/>
      <c r="Q619" s="79"/>
      <c r="R619" s="79"/>
      <c r="V619" s="130"/>
      <c r="X619" s="106"/>
    </row>
    <row r="620">
      <c r="C620" s="79"/>
      <c r="D620" s="79"/>
      <c r="J620" s="79"/>
      <c r="N620" s="79"/>
      <c r="Q620" s="79"/>
      <c r="R620" s="79"/>
      <c r="V620" s="130"/>
      <c r="X620" s="106"/>
    </row>
    <row r="621">
      <c r="C621" s="79"/>
      <c r="D621" s="79"/>
      <c r="J621" s="79"/>
      <c r="N621" s="79"/>
      <c r="Q621" s="79"/>
      <c r="R621" s="79"/>
      <c r="V621" s="130"/>
      <c r="X621" s="106"/>
    </row>
    <row r="622">
      <c r="C622" s="79"/>
      <c r="D622" s="79"/>
      <c r="J622" s="79"/>
      <c r="N622" s="79"/>
      <c r="Q622" s="79"/>
      <c r="R622" s="79"/>
      <c r="V622" s="130"/>
      <c r="X622" s="106"/>
    </row>
    <row r="623">
      <c r="C623" s="79"/>
      <c r="D623" s="79"/>
      <c r="J623" s="79"/>
      <c r="N623" s="79"/>
      <c r="Q623" s="79"/>
      <c r="R623" s="79"/>
      <c r="V623" s="130"/>
      <c r="X623" s="106"/>
    </row>
    <row r="624">
      <c r="C624" s="79"/>
      <c r="D624" s="79"/>
      <c r="J624" s="79"/>
      <c r="N624" s="79"/>
      <c r="Q624" s="79"/>
      <c r="R624" s="79"/>
      <c r="V624" s="130"/>
      <c r="X624" s="106"/>
    </row>
    <row r="625">
      <c r="C625" s="79"/>
      <c r="D625" s="79"/>
      <c r="J625" s="79"/>
      <c r="N625" s="79"/>
      <c r="Q625" s="79"/>
      <c r="R625" s="79"/>
      <c r="V625" s="130"/>
      <c r="X625" s="106"/>
    </row>
    <row r="626">
      <c r="C626" s="79"/>
      <c r="D626" s="79"/>
      <c r="J626" s="79"/>
      <c r="N626" s="79"/>
      <c r="Q626" s="79"/>
      <c r="R626" s="79"/>
      <c r="V626" s="130"/>
      <c r="X626" s="106"/>
    </row>
    <row r="627">
      <c r="C627" s="79"/>
      <c r="D627" s="79"/>
      <c r="J627" s="79"/>
      <c r="N627" s="79"/>
      <c r="Q627" s="79"/>
      <c r="R627" s="79"/>
      <c r="V627" s="130"/>
      <c r="X627" s="106"/>
    </row>
    <row r="628">
      <c r="C628" s="79"/>
      <c r="D628" s="79"/>
      <c r="J628" s="79"/>
      <c r="N628" s="79"/>
      <c r="Q628" s="79"/>
      <c r="R628" s="79"/>
      <c r="V628" s="130"/>
      <c r="X628" s="106"/>
    </row>
    <row r="629">
      <c r="C629" s="79"/>
      <c r="D629" s="79"/>
      <c r="J629" s="79"/>
      <c r="N629" s="79"/>
      <c r="Q629" s="79"/>
      <c r="R629" s="79"/>
      <c r="V629" s="130"/>
      <c r="X629" s="106"/>
    </row>
    <row r="630">
      <c r="C630" s="79"/>
      <c r="D630" s="79"/>
      <c r="J630" s="79"/>
      <c r="N630" s="79"/>
      <c r="Q630" s="79"/>
      <c r="R630" s="79"/>
      <c r="V630" s="130"/>
      <c r="X630" s="106"/>
    </row>
    <row r="631">
      <c r="C631" s="79"/>
      <c r="D631" s="79"/>
      <c r="J631" s="79"/>
      <c r="N631" s="79"/>
      <c r="Q631" s="79"/>
      <c r="R631" s="79"/>
      <c r="V631" s="130"/>
      <c r="X631" s="106"/>
    </row>
    <row r="632">
      <c r="C632" s="79"/>
      <c r="D632" s="79"/>
      <c r="J632" s="79"/>
      <c r="N632" s="79"/>
      <c r="Q632" s="79"/>
      <c r="R632" s="79"/>
      <c r="V632" s="130"/>
      <c r="X632" s="106"/>
    </row>
    <row r="633">
      <c r="C633" s="79"/>
      <c r="D633" s="79"/>
      <c r="J633" s="79"/>
      <c r="N633" s="79"/>
      <c r="Q633" s="79"/>
      <c r="R633" s="79"/>
      <c r="V633" s="130"/>
      <c r="X633" s="106"/>
    </row>
    <row r="634">
      <c r="C634" s="79"/>
      <c r="D634" s="79"/>
      <c r="J634" s="79"/>
      <c r="N634" s="79"/>
      <c r="Q634" s="79"/>
      <c r="R634" s="79"/>
      <c r="V634" s="130"/>
      <c r="X634" s="106"/>
    </row>
    <row r="635">
      <c r="C635" s="79"/>
      <c r="D635" s="79"/>
      <c r="J635" s="79"/>
      <c r="N635" s="79"/>
      <c r="Q635" s="79"/>
      <c r="R635" s="79"/>
      <c r="V635" s="130"/>
      <c r="X635" s="106"/>
    </row>
    <row r="636">
      <c r="C636" s="79"/>
      <c r="D636" s="79"/>
      <c r="J636" s="79"/>
      <c r="N636" s="79"/>
      <c r="Q636" s="79"/>
      <c r="R636" s="79"/>
      <c r="V636" s="130"/>
      <c r="X636" s="106"/>
    </row>
    <row r="637">
      <c r="C637" s="79"/>
      <c r="D637" s="79"/>
      <c r="J637" s="79"/>
      <c r="N637" s="79"/>
      <c r="Q637" s="79"/>
      <c r="R637" s="79"/>
      <c r="V637" s="130"/>
      <c r="X637" s="106"/>
    </row>
    <row r="638">
      <c r="C638" s="79"/>
      <c r="D638" s="79"/>
      <c r="J638" s="79"/>
      <c r="N638" s="79"/>
      <c r="Q638" s="79"/>
      <c r="R638" s="79"/>
      <c r="V638" s="130"/>
      <c r="X638" s="106"/>
    </row>
    <row r="639">
      <c r="C639" s="79"/>
      <c r="D639" s="79"/>
      <c r="J639" s="79"/>
      <c r="N639" s="79"/>
      <c r="Q639" s="79"/>
      <c r="R639" s="79"/>
      <c r="V639" s="130"/>
      <c r="X639" s="106"/>
    </row>
    <row r="640">
      <c r="C640" s="79"/>
      <c r="D640" s="79"/>
      <c r="J640" s="79"/>
      <c r="N640" s="79"/>
      <c r="Q640" s="79"/>
      <c r="R640" s="79"/>
      <c r="V640" s="130"/>
      <c r="X640" s="106"/>
    </row>
    <row r="641">
      <c r="C641" s="79"/>
      <c r="D641" s="79"/>
      <c r="J641" s="79"/>
      <c r="N641" s="79"/>
      <c r="Q641" s="79"/>
      <c r="R641" s="79"/>
      <c r="V641" s="130"/>
      <c r="X641" s="106"/>
    </row>
    <row r="642">
      <c r="C642" s="79"/>
      <c r="D642" s="79"/>
      <c r="J642" s="79"/>
      <c r="N642" s="79"/>
      <c r="Q642" s="79"/>
      <c r="R642" s="79"/>
      <c r="V642" s="130"/>
      <c r="X642" s="106"/>
    </row>
    <row r="643">
      <c r="C643" s="79"/>
      <c r="D643" s="79"/>
      <c r="J643" s="79"/>
      <c r="N643" s="79"/>
      <c r="Q643" s="79"/>
      <c r="R643" s="79"/>
      <c r="V643" s="130"/>
      <c r="X643" s="106"/>
    </row>
    <row r="644">
      <c r="C644" s="79"/>
      <c r="D644" s="79"/>
      <c r="J644" s="79"/>
      <c r="N644" s="79"/>
      <c r="Q644" s="79"/>
      <c r="R644" s="79"/>
      <c r="V644" s="130"/>
      <c r="X644" s="106"/>
    </row>
    <row r="645">
      <c r="C645" s="79"/>
      <c r="D645" s="79"/>
      <c r="J645" s="79"/>
      <c r="N645" s="79"/>
      <c r="Q645" s="79"/>
      <c r="R645" s="79"/>
      <c r="V645" s="130"/>
      <c r="X645" s="106"/>
    </row>
    <row r="646">
      <c r="C646" s="79"/>
      <c r="D646" s="79"/>
      <c r="J646" s="79"/>
      <c r="N646" s="79"/>
      <c r="Q646" s="79"/>
      <c r="R646" s="79"/>
      <c r="V646" s="130"/>
      <c r="X646" s="106"/>
    </row>
    <row r="647">
      <c r="C647" s="79"/>
      <c r="D647" s="79"/>
      <c r="J647" s="79"/>
      <c r="N647" s="79"/>
      <c r="Q647" s="79"/>
      <c r="R647" s="79"/>
      <c r="V647" s="130"/>
      <c r="X647" s="106"/>
    </row>
    <row r="648">
      <c r="C648" s="79"/>
      <c r="D648" s="79"/>
      <c r="J648" s="79"/>
      <c r="N648" s="79"/>
      <c r="Q648" s="79"/>
      <c r="R648" s="79"/>
      <c r="V648" s="130"/>
      <c r="X648" s="106"/>
    </row>
    <row r="649">
      <c r="C649" s="79"/>
      <c r="D649" s="79"/>
      <c r="J649" s="79"/>
      <c r="N649" s="79"/>
      <c r="Q649" s="79"/>
      <c r="R649" s="79"/>
      <c r="V649" s="130"/>
      <c r="X649" s="106"/>
    </row>
    <row r="650">
      <c r="C650" s="79"/>
      <c r="D650" s="79"/>
      <c r="J650" s="79"/>
      <c r="N650" s="79"/>
      <c r="Q650" s="79"/>
      <c r="R650" s="79"/>
      <c r="V650" s="130"/>
      <c r="X650" s="106"/>
    </row>
    <row r="651">
      <c r="C651" s="79"/>
      <c r="D651" s="79"/>
      <c r="J651" s="79"/>
      <c r="N651" s="79"/>
      <c r="Q651" s="79"/>
      <c r="R651" s="79"/>
      <c r="V651" s="130"/>
      <c r="X651" s="106"/>
    </row>
    <row r="652">
      <c r="C652" s="79"/>
      <c r="D652" s="79"/>
      <c r="J652" s="79"/>
      <c r="N652" s="79"/>
      <c r="Q652" s="79"/>
      <c r="R652" s="79"/>
      <c r="V652" s="130"/>
      <c r="X652" s="106"/>
    </row>
    <row r="653">
      <c r="C653" s="79"/>
      <c r="D653" s="79"/>
      <c r="J653" s="79"/>
      <c r="N653" s="79"/>
      <c r="Q653" s="79"/>
      <c r="R653" s="79"/>
      <c r="V653" s="130"/>
      <c r="X653" s="106"/>
    </row>
    <row r="654">
      <c r="C654" s="79"/>
      <c r="D654" s="79"/>
      <c r="J654" s="79"/>
      <c r="N654" s="79"/>
      <c r="Q654" s="79"/>
      <c r="R654" s="79"/>
      <c r="V654" s="130"/>
      <c r="X654" s="106"/>
    </row>
    <row r="655">
      <c r="C655" s="79"/>
      <c r="D655" s="79"/>
      <c r="J655" s="79"/>
      <c r="N655" s="79"/>
      <c r="Q655" s="79"/>
      <c r="R655" s="79"/>
      <c r="V655" s="130"/>
      <c r="X655" s="106"/>
    </row>
    <row r="656">
      <c r="C656" s="79"/>
      <c r="D656" s="79"/>
      <c r="J656" s="79"/>
      <c r="N656" s="79"/>
      <c r="Q656" s="79"/>
      <c r="R656" s="79"/>
      <c r="V656" s="130"/>
      <c r="X656" s="106"/>
    </row>
    <row r="657">
      <c r="C657" s="79"/>
      <c r="D657" s="79"/>
      <c r="J657" s="79"/>
      <c r="N657" s="79"/>
      <c r="Q657" s="79"/>
      <c r="R657" s="79"/>
      <c r="V657" s="130"/>
      <c r="X657" s="106"/>
    </row>
    <row r="658">
      <c r="C658" s="79"/>
      <c r="D658" s="79"/>
      <c r="J658" s="79"/>
      <c r="N658" s="79"/>
      <c r="Q658" s="79"/>
      <c r="R658" s="79"/>
      <c r="V658" s="130"/>
      <c r="X658" s="106"/>
    </row>
    <row r="659">
      <c r="C659" s="79"/>
      <c r="D659" s="79"/>
      <c r="J659" s="79"/>
      <c r="N659" s="79"/>
      <c r="Q659" s="79"/>
      <c r="R659" s="79"/>
      <c r="V659" s="130"/>
      <c r="X659" s="106"/>
    </row>
    <row r="660">
      <c r="C660" s="79"/>
      <c r="D660" s="79"/>
      <c r="J660" s="79"/>
      <c r="N660" s="79"/>
      <c r="Q660" s="79"/>
      <c r="R660" s="79"/>
      <c r="V660" s="130"/>
      <c r="X660" s="106"/>
    </row>
    <row r="661">
      <c r="C661" s="79"/>
      <c r="D661" s="79"/>
      <c r="J661" s="79"/>
      <c r="N661" s="79"/>
      <c r="Q661" s="79"/>
      <c r="R661" s="79"/>
      <c r="V661" s="130"/>
      <c r="X661" s="106"/>
    </row>
    <row r="662">
      <c r="C662" s="79"/>
      <c r="D662" s="79"/>
      <c r="J662" s="79"/>
      <c r="N662" s="79"/>
      <c r="Q662" s="79"/>
      <c r="R662" s="79"/>
      <c r="V662" s="130"/>
      <c r="X662" s="106"/>
    </row>
    <row r="663">
      <c r="C663" s="79"/>
      <c r="D663" s="79"/>
      <c r="J663" s="79"/>
      <c r="N663" s="79"/>
      <c r="Q663" s="79"/>
      <c r="R663" s="79"/>
      <c r="V663" s="130"/>
      <c r="X663" s="106"/>
    </row>
    <row r="664">
      <c r="C664" s="79"/>
      <c r="D664" s="79"/>
      <c r="J664" s="79"/>
      <c r="N664" s="79"/>
      <c r="Q664" s="79"/>
      <c r="R664" s="79"/>
      <c r="V664" s="130"/>
      <c r="X664" s="106"/>
    </row>
    <row r="665">
      <c r="C665" s="79"/>
      <c r="D665" s="79"/>
      <c r="J665" s="79"/>
      <c r="N665" s="79"/>
      <c r="Q665" s="79"/>
      <c r="R665" s="79"/>
      <c r="V665" s="130"/>
      <c r="X665" s="106"/>
    </row>
    <row r="666">
      <c r="C666" s="79"/>
      <c r="D666" s="79"/>
      <c r="J666" s="79"/>
      <c r="N666" s="79"/>
      <c r="Q666" s="79"/>
      <c r="R666" s="79"/>
      <c r="V666" s="130"/>
      <c r="X666" s="106"/>
    </row>
    <row r="667">
      <c r="C667" s="79"/>
      <c r="D667" s="79"/>
      <c r="J667" s="79"/>
      <c r="N667" s="79"/>
      <c r="Q667" s="79"/>
      <c r="R667" s="79"/>
      <c r="V667" s="130"/>
      <c r="X667" s="106"/>
    </row>
    <row r="668">
      <c r="C668" s="79"/>
      <c r="D668" s="79"/>
      <c r="J668" s="79"/>
      <c r="N668" s="79"/>
      <c r="Q668" s="79"/>
      <c r="R668" s="79"/>
      <c r="V668" s="130"/>
      <c r="X668" s="106"/>
    </row>
    <row r="669">
      <c r="C669" s="79"/>
      <c r="D669" s="79"/>
      <c r="J669" s="79"/>
      <c r="N669" s="79"/>
      <c r="Q669" s="79"/>
      <c r="R669" s="79"/>
      <c r="V669" s="130"/>
      <c r="X669" s="106"/>
    </row>
    <row r="670">
      <c r="C670" s="79"/>
      <c r="D670" s="79"/>
      <c r="J670" s="79"/>
      <c r="N670" s="79"/>
      <c r="Q670" s="79"/>
      <c r="R670" s="79"/>
      <c r="V670" s="130"/>
      <c r="X670" s="106"/>
    </row>
    <row r="671">
      <c r="C671" s="79"/>
      <c r="D671" s="79"/>
      <c r="J671" s="79"/>
      <c r="N671" s="79"/>
      <c r="Q671" s="79"/>
      <c r="R671" s="79"/>
      <c r="V671" s="130"/>
      <c r="X671" s="106"/>
    </row>
    <row r="672">
      <c r="C672" s="79"/>
      <c r="D672" s="79"/>
      <c r="J672" s="79"/>
      <c r="N672" s="79"/>
      <c r="Q672" s="79"/>
      <c r="R672" s="79"/>
      <c r="V672" s="130"/>
      <c r="X672" s="106"/>
    </row>
    <row r="673">
      <c r="C673" s="79"/>
      <c r="D673" s="79"/>
      <c r="J673" s="79"/>
      <c r="N673" s="79"/>
      <c r="Q673" s="79"/>
      <c r="R673" s="79"/>
      <c r="V673" s="130"/>
      <c r="X673" s="106"/>
    </row>
    <row r="674">
      <c r="C674" s="79"/>
      <c r="D674" s="79"/>
      <c r="J674" s="79"/>
      <c r="N674" s="79"/>
      <c r="Q674" s="79"/>
      <c r="R674" s="79"/>
      <c r="V674" s="130"/>
      <c r="X674" s="106"/>
    </row>
    <row r="675">
      <c r="C675" s="79"/>
      <c r="D675" s="79"/>
      <c r="J675" s="79"/>
      <c r="N675" s="79"/>
      <c r="Q675" s="79"/>
      <c r="R675" s="79"/>
      <c r="V675" s="130"/>
      <c r="X675" s="106"/>
    </row>
    <row r="676">
      <c r="C676" s="79"/>
      <c r="D676" s="79"/>
      <c r="J676" s="79"/>
      <c r="N676" s="79"/>
      <c r="Q676" s="79"/>
      <c r="R676" s="79"/>
      <c r="V676" s="130"/>
      <c r="X676" s="106"/>
    </row>
    <row r="677">
      <c r="C677" s="79"/>
      <c r="D677" s="79"/>
      <c r="J677" s="79"/>
      <c r="N677" s="79"/>
      <c r="Q677" s="79"/>
      <c r="R677" s="79"/>
      <c r="V677" s="130"/>
      <c r="X677" s="106"/>
    </row>
    <row r="678">
      <c r="C678" s="79"/>
      <c r="D678" s="79"/>
      <c r="J678" s="79"/>
      <c r="N678" s="79"/>
      <c r="Q678" s="79"/>
      <c r="R678" s="79"/>
      <c r="V678" s="130"/>
      <c r="X678" s="106"/>
    </row>
    <row r="679">
      <c r="C679" s="79"/>
      <c r="D679" s="79"/>
      <c r="J679" s="79"/>
      <c r="N679" s="79"/>
      <c r="Q679" s="79"/>
      <c r="R679" s="79"/>
      <c r="V679" s="130"/>
      <c r="X679" s="106"/>
    </row>
    <row r="680">
      <c r="C680" s="79"/>
      <c r="D680" s="79"/>
      <c r="J680" s="79"/>
      <c r="N680" s="79"/>
      <c r="Q680" s="79"/>
      <c r="R680" s="79"/>
      <c r="V680" s="130"/>
      <c r="X680" s="106"/>
    </row>
    <row r="681">
      <c r="C681" s="79"/>
      <c r="D681" s="79"/>
      <c r="J681" s="79"/>
      <c r="N681" s="79"/>
      <c r="Q681" s="79"/>
      <c r="R681" s="79"/>
      <c r="V681" s="130"/>
      <c r="X681" s="106"/>
    </row>
    <row r="682">
      <c r="C682" s="79"/>
      <c r="D682" s="79"/>
      <c r="J682" s="79"/>
      <c r="N682" s="79"/>
      <c r="Q682" s="79"/>
      <c r="R682" s="79"/>
      <c r="V682" s="130"/>
      <c r="X682" s="106"/>
    </row>
    <row r="683">
      <c r="C683" s="79"/>
      <c r="D683" s="79"/>
      <c r="J683" s="79"/>
      <c r="N683" s="79"/>
      <c r="Q683" s="79"/>
      <c r="R683" s="79"/>
      <c r="V683" s="130"/>
      <c r="X683" s="106"/>
    </row>
    <row r="684">
      <c r="C684" s="79"/>
      <c r="D684" s="79"/>
      <c r="J684" s="79"/>
      <c r="N684" s="79"/>
      <c r="Q684" s="79"/>
      <c r="R684" s="79"/>
      <c r="V684" s="130"/>
      <c r="X684" s="106"/>
    </row>
    <row r="685">
      <c r="C685" s="79"/>
      <c r="D685" s="79"/>
      <c r="J685" s="79"/>
      <c r="N685" s="79"/>
      <c r="Q685" s="79"/>
      <c r="R685" s="79"/>
      <c r="V685" s="130"/>
      <c r="X685" s="106"/>
    </row>
    <row r="686">
      <c r="C686" s="79"/>
      <c r="D686" s="79"/>
      <c r="J686" s="79"/>
      <c r="N686" s="79"/>
      <c r="Q686" s="79"/>
      <c r="R686" s="79"/>
      <c r="V686" s="130"/>
      <c r="X686" s="106"/>
    </row>
    <row r="687">
      <c r="C687" s="79"/>
      <c r="D687" s="79"/>
      <c r="J687" s="79"/>
      <c r="N687" s="79"/>
      <c r="Q687" s="79"/>
      <c r="R687" s="79"/>
      <c r="V687" s="130"/>
      <c r="X687" s="106"/>
    </row>
    <row r="688">
      <c r="C688" s="79"/>
      <c r="D688" s="79"/>
      <c r="J688" s="79"/>
      <c r="N688" s="79"/>
      <c r="Q688" s="79"/>
      <c r="R688" s="79"/>
      <c r="V688" s="130"/>
      <c r="X688" s="106"/>
    </row>
    <row r="689">
      <c r="C689" s="79"/>
      <c r="D689" s="79"/>
      <c r="J689" s="79"/>
      <c r="N689" s="79"/>
      <c r="Q689" s="79"/>
      <c r="R689" s="79"/>
      <c r="V689" s="130"/>
      <c r="X689" s="106"/>
    </row>
    <row r="690">
      <c r="C690" s="79"/>
      <c r="D690" s="79"/>
      <c r="J690" s="79"/>
      <c r="N690" s="79"/>
      <c r="Q690" s="79"/>
      <c r="R690" s="79"/>
      <c r="V690" s="130"/>
      <c r="X690" s="106"/>
    </row>
    <row r="691">
      <c r="C691" s="79"/>
      <c r="D691" s="79"/>
      <c r="J691" s="79"/>
      <c r="N691" s="79"/>
      <c r="Q691" s="79"/>
      <c r="R691" s="79"/>
      <c r="V691" s="130"/>
      <c r="X691" s="106"/>
    </row>
    <row r="692">
      <c r="C692" s="79"/>
      <c r="D692" s="79"/>
      <c r="J692" s="79"/>
      <c r="N692" s="79"/>
      <c r="Q692" s="79"/>
      <c r="R692" s="79"/>
      <c r="V692" s="130"/>
      <c r="X692" s="106"/>
    </row>
    <row r="693">
      <c r="C693" s="79"/>
      <c r="D693" s="79"/>
      <c r="J693" s="79"/>
      <c r="N693" s="79"/>
      <c r="Q693" s="79"/>
      <c r="R693" s="79"/>
      <c r="V693" s="130"/>
      <c r="X693" s="106"/>
    </row>
    <row r="694">
      <c r="C694" s="79"/>
      <c r="D694" s="79"/>
      <c r="J694" s="79"/>
      <c r="N694" s="79"/>
      <c r="Q694" s="79"/>
      <c r="R694" s="79"/>
      <c r="V694" s="130"/>
      <c r="X694" s="106"/>
    </row>
    <row r="695">
      <c r="C695" s="79"/>
      <c r="D695" s="79"/>
      <c r="J695" s="79"/>
      <c r="N695" s="79"/>
      <c r="Q695" s="79"/>
      <c r="R695" s="79"/>
      <c r="V695" s="130"/>
      <c r="X695" s="106"/>
    </row>
    <row r="696">
      <c r="C696" s="79"/>
      <c r="D696" s="79"/>
      <c r="J696" s="79"/>
      <c r="N696" s="79"/>
      <c r="Q696" s="79"/>
      <c r="R696" s="79"/>
      <c r="V696" s="130"/>
      <c r="X696" s="106"/>
    </row>
    <row r="697">
      <c r="C697" s="79"/>
      <c r="D697" s="79"/>
      <c r="J697" s="79"/>
      <c r="N697" s="79"/>
      <c r="Q697" s="79"/>
      <c r="R697" s="79"/>
      <c r="V697" s="130"/>
      <c r="X697" s="106"/>
    </row>
    <row r="698">
      <c r="C698" s="79"/>
      <c r="D698" s="79"/>
      <c r="J698" s="79"/>
      <c r="N698" s="79"/>
      <c r="Q698" s="79"/>
      <c r="R698" s="79"/>
      <c r="V698" s="130"/>
      <c r="X698" s="106"/>
    </row>
    <row r="699">
      <c r="C699" s="79"/>
      <c r="D699" s="79"/>
      <c r="J699" s="79"/>
      <c r="N699" s="79"/>
      <c r="Q699" s="79"/>
      <c r="R699" s="79"/>
      <c r="V699" s="130"/>
      <c r="X699" s="106"/>
    </row>
    <row r="700">
      <c r="C700" s="79"/>
      <c r="D700" s="79"/>
      <c r="J700" s="79"/>
      <c r="N700" s="79"/>
      <c r="Q700" s="79"/>
      <c r="R700" s="79"/>
      <c r="V700" s="130"/>
      <c r="X700" s="106"/>
    </row>
    <row r="701">
      <c r="C701" s="79"/>
      <c r="D701" s="79"/>
      <c r="J701" s="79"/>
      <c r="N701" s="79"/>
      <c r="Q701" s="79"/>
      <c r="R701" s="79"/>
      <c r="V701" s="130"/>
      <c r="X701" s="106"/>
    </row>
    <row r="702">
      <c r="C702" s="79"/>
      <c r="D702" s="79"/>
      <c r="J702" s="79"/>
      <c r="N702" s="79"/>
      <c r="Q702" s="79"/>
      <c r="R702" s="79"/>
      <c r="V702" s="130"/>
      <c r="X702" s="106"/>
    </row>
    <row r="703">
      <c r="C703" s="79"/>
      <c r="D703" s="79"/>
      <c r="J703" s="79"/>
      <c r="N703" s="79"/>
      <c r="Q703" s="79"/>
      <c r="R703" s="79"/>
      <c r="V703" s="130"/>
      <c r="X703" s="106"/>
    </row>
    <row r="704">
      <c r="C704" s="79"/>
      <c r="D704" s="79"/>
      <c r="J704" s="79"/>
      <c r="N704" s="79"/>
      <c r="Q704" s="79"/>
      <c r="R704" s="79"/>
      <c r="V704" s="130"/>
      <c r="X704" s="106"/>
    </row>
    <row r="705">
      <c r="C705" s="79"/>
      <c r="D705" s="79"/>
      <c r="J705" s="79"/>
      <c r="N705" s="79"/>
      <c r="Q705" s="79"/>
      <c r="R705" s="79"/>
      <c r="V705" s="130"/>
      <c r="X705" s="106"/>
    </row>
    <row r="706">
      <c r="C706" s="79"/>
      <c r="D706" s="79"/>
      <c r="J706" s="79"/>
      <c r="N706" s="79"/>
      <c r="Q706" s="79"/>
      <c r="R706" s="79"/>
      <c r="V706" s="130"/>
      <c r="X706" s="106"/>
    </row>
    <row r="707">
      <c r="C707" s="79"/>
      <c r="D707" s="79"/>
      <c r="J707" s="79"/>
      <c r="N707" s="79"/>
      <c r="Q707" s="79"/>
      <c r="R707" s="79"/>
      <c r="V707" s="130"/>
      <c r="X707" s="106"/>
    </row>
    <row r="708">
      <c r="C708" s="79"/>
      <c r="D708" s="79"/>
      <c r="J708" s="79"/>
      <c r="N708" s="79"/>
      <c r="Q708" s="79"/>
      <c r="R708" s="79"/>
      <c r="V708" s="130"/>
      <c r="X708" s="106"/>
    </row>
    <row r="709">
      <c r="C709" s="79"/>
      <c r="D709" s="79"/>
      <c r="J709" s="79"/>
      <c r="N709" s="79"/>
      <c r="Q709" s="79"/>
      <c r="R709" s="79"/>
      <c r="V709" s="130"/>
      <c r="X709" s="106"/>
    </row>
    <row r="710">
      <c r="C710" s="79"/>
      <c r="D710" s="79"/>
      <c r="J710" s="79"/>
      <c r="N710" s="79"/>
      <c r="Q710" s="79"/>
      <c r="R710" s="79"/>
      <c r="V710" s="130"/>
      <c r="X710" s="106"/>
    </row>
    <row r="711">
      <c r="C711" s="79"/>
      <c r="D711" s="79"/>
      <c r="J711" s="79"/>
      <c r="N711" s="79"/>
      <c r="Q711" s="79"/>
      <c r="R711" s="79"/>
      <c r="V711" s="130"/>
      <c r="X711" s="106"/>
    </row>
    <row r="712">
      <c r="C712" s="79"/>
      <c r="D712" s="79"/>
      <c r="J712" s="79"/>
      <c r="N712" s="79"/>
      <c r="Q712" s="79"/>
      <c r="R712" s="79"/>
      <c r="V712" s="130"/>
      <c r="X712" s="106"/>
    </row>
    <row r="713">
      <c r="C713" s="79"/>
      <c r="D713" s="79"/>
      <c r="J713" s="79"/>
      <c r="N713" s="79"/>
      <c r="Q713" s="79"/>
      <c r="R713" s="79"/>
      <c r="V713" s="130"/>
      <c r="X713" s="106"/>
    </row>
    <row r="714">
      <c r="C714" s="79"/>
      <c r="D714" s="79"/>
      <c r="J714" s="79"/>
      <c r="N714" s="79"/>
      <c r="Q714" s="79"/>
      <c r="R714" s="79"/>
      <c r="V714" s="130"/>
      <c r="X714" s="106"/>
    </row>
    <row r="715">
      <c r="C715" s="79"/>
      <c r="D715" s="79"/>
      <c r="J715" s="79"/>
      <c r="N715" s="79"/>
      <c r="Q715" s="79"/>
      <c r="R715" s="79"/>
      <c r="V715" s="130"/>
      <c r="X715" s="106"/>
    </row>
    <row r="716">
      <c r="C716" s="79"/>
      <c r="D716" s="79"/>
      <c r="J716" s="79"/>
      <c r="N716" s="79"/>
      <c r="Q716" s="79"/>
      <c r="R716" s="79"/>
      <c r="V716" s="130"/>
      <c r="X716" s="106"/>
    </row>
    <row r="717">
      <c r="C717" s="79"/>
      <c r="D717" s="79"/>
      <c r="J717" s="79"/>
      <c r="N717" s="79"/>
      <c r="Q717" s="79"/>
      <c r="R717" s="79"/>
      <c r="V717" s="130"/>
      <c r="X717" s="106"/>
    </row>
    <row r="718">
      <c r="C718" s="79"/>
      <c r="D718" s="79"/>
      <c r="J718" s="79"/>
      <c r="N718" s="79"/>
      <c r="Q718" s="79"/>
      <c r="R718" s="79"/>
      <c r="V718" s="130"/>
      <c r="X718" s="106"/>
    </row>
    <row r="719">
      <c r="C719" s="79"/>
      <c r="D719" s="79"/>
      <c r="J719" s="79"/>
      <c r="N719" s="79"/>
      <c r="Q719" s="79"/>
      <c r="R719" s="79"/>
      <c r="V719" s="130"/>
      <c r="X719" s="106"/>
    </row>
    <row r="720">
      <c r="C720" s="79"/>
      <c r="D720" s="79"/>
      <c r="J720" s="79"/>
      <c r="N720" s="79"/>
      <c r="Q720" s="79"/>
      <c r="R720" s="79"/>
      <c r="V720" s="130"/>
      <c r="X720" s="106"/>
    </row>
    <row r="721">
      <c r="C721" s="79"/>
      <c r="D721" s="79"/>
      <c r="J721" s="79"/>
      <c r="N721" s="79"/>
      <c r="Q721" s="79"/>
      <c r="R721" s="79"/>
      <c r="V721" s="130"/>
      <c r="X721" s="106"/>
    </row>
    <row r="722">
      <c r="C722" s="79"/>
      <c r="D722" s="79"/>
      <c r="J722" s="79"/>
      <c r="N722" s="79"/>
      <c r="Q722" s="79"/>
      <c r="R722" s="79"/>
      <c r="V722" s="130"/>
      <c r="X722" s="106"/>
    </row>
    <row r="723">
      <c r="C723" s="79"/>
      <c r="D723" s="79"/>
      <c r="J723" s="79"/>
      <c r="N723" s="79"/>
      <c r="Q723" s="79"/>
      <c r="R723" s="79"/>
      <c r="V723" s="130"/>
      <c r="X723" s="106"/>
    </row>
    <row r="724">
      <c r="C724" s="79"/>
      <c r="D724" s="79"/>
      <c r="J724" s="79"/>
      <c r="N724" s="79"/>
      <c r="Q724" s="79"/>
      <c r="R724" s="79"/>
      <c r="V724" s="130"/>
      <c r="X724" s="106"/>
    </row>
    <row r="725">
      <c r="C725" s="79"/>
      <c r="D725" s="79"/>
      <c r="J725" s="79"/>
      <c r="N725" s="79"/>
      <c r="Q725" s="79"/>
      <c r="R725" s="79"/>
      <c r="V725" s="130"/>
      <c r="X725" s="106"/>
    </row>
    <row r="726">
      <c r="C726" s="79"/>
      <c r="D726" s="79"/>
      <c r="J726" s="79"/>
      <c r="N726" s="79"/>
      <c r="Q726" s="79"/>
      <c r="R726" s="79"/>
      <c r="V726" s="130"/>
      <c r="X726" s="106"/>
    </row>
    <row r="727">
      <c r="C727" s="79"/>
      <c r="D727" s="79"/>
      <c r="J727" s="79"/>
      <c r="N727" s="79"/>
      <c r="Q727" s="79"/>
      <c r="R727" s="79"/>
      <c r="V727" s="130"/>
      <c r="X727" s="106"/>
    </row>
    <row r="728">
      <c r="C728" s="79"/>
      <c r="D728" s="79"/>
      <c r="J728" s="79"/>
      <c r="N728" s="79"/>
      <c r="Q728" s="79"/>
      <c r="R728" s="79"/>
      <c r="V728" s="130"/>
      <c r="X728" s="106"/>
    </row>
    <row r="729">
      <c r="C729" s="79"/>
      <c r="D729" s="79"/>
      <c r="J729" s="79"/>
      <c r="N729" s="79"/>
      <c r="Q729" s="79"/>
      <c r="R729" s="79"/>
      <c r="V729" s="130"/>
      <c r="X729" s="106"/>
    </row>
    <row r="730">
      <c r="C730" s="79"/>
      <c r="D730" s="79"/>
      <c r="J730" s="79"/>
      <c r="N730" s="79"/>
      <c r="Q730" s="79"/>
      <c r="R730" s="79"/>
      <c r="V730" s="130"/>
      <c r="X730" s="106"/>
    </row>
    <row r="731">
      <c r="C731" s="79"/>
      <c r="D731" s="79"/>
      <c r="J731" s="79"/>
      <c r="N731" s="79"/>
      <c r="Q731" s="79"/>
      <c r="R731" s="79"/>
      <c r="V731" s="130"/>
      <c r="X731" s="106"/>
    </row>
    <row r="732">
      <c r="C732" s="79"/>
      <c r="D732" s="79"/>
      <c r="J732" s="79"/>
      <c r="N732" s="79"/>
      <c r="Q732" s="79"/>
      <c r="R732" s="79"/>
      <c r="V732" s="130"/>
      <c r="X732" s="106"/>
    </row>
    <row r="733">
      <c r="C733" s="79"/>
      <c r="D733" s="79"/>
      <c r="J733" s="79"/>
      <c r="N733" s="79"/>
      <c r="Q733" s="79"/>
      <c r="R733" s="79"/>
      <c r="V733" s="130"/>
      <c r="X733" s="106"/>
    </row>
    <row r="734">
      <c r="C734" s="79"/>
      <c r="D734" s="79"/>
      <c r="J734" s="79"/>
      <c r="N734" s="79"/>
      <c r="Q734" s="79"/>
      <c r="R734" s="79"/>
      <c r="V734" s="130"/>
      <c r="X734" s="106"/>
    </row>
    <row r="735">
      <c r="C735" s="79"/>
      <c r="D735" s="79"/>
      <c r="J735" s="79"/>
      <c r="N735" s="79"/>
      <c r="Q735" s="79"/>
      <c r="R735" s="79"/>
      <c r="V735" s="130"/>
      <c r="X735" s="106"/>
    </row>
    <row r="736">
      <c r="C736" s="79"/>
      <c r="D736" s="79"/>
      <c r="J736" s="79"/>
      <c r="N736" s="79"/>
      <c r="Q736" s="79"/>
      <c r="R736" s="79"/>
      <c r="V736" s="130"/>
      <c r="X736" s="106"/>
    </row>
    <row r="737">
      <c r="C737" s="79"/>
      <c r="D737" s="79"/>
      <c r="J737" s="79"/>
      <c r="N737" s="79"/>
      <c r="Q737" s="79"/>
      <c r="R737" s="79"/>
      <c r="V737" s="130"/>
      <c r="X737" s="106"/>
    </row>
    <row r="738">
      <c r="C738" s="79"/>
      <c r="D738" s="79"/>
      <c r="J738" s="79"/>
      <c r="N738" s="79"/>
      <c r="Q738" s="79"/>
      <c r="R738" s="79"/>
      <c r="V738" s="130"/>
      <c r="X738" s="106"/>
    </row>
    <row r="739">
      <c r="C739" s="79"/>
      <c r="D739" s="79"/>
      <c r="J739" s="79"/>
      <c r="N739" s="79"/>
      <c r="Q739" s="79"/>
      <c r="R739" s="79"/>
      <c r="V739" s="130"/>
      <c r="X739" s="106"/>
    </row>
    <row r="740">
      <c r="C740" s="79"/>
      <c r="D740" s="79"/>
      <c r="J740" s="79"/>
      <c r="N740" s="79"/>
      <c r="Q740" s="79"/>
      <c r="R740" s="79"/>
      <c r="V740" s="130"/>
      <c r="X740" s="106"/>
    </row>
    <row r="741">
      <c r="C741" s="79"/>
      <c r="D741" s="79"/>
      <c r="J741" s="79"/>
      <c r="N741" s="79"/>
      <c r="Q741" s="79"/>
      <c r="R741" s="79"/>
      <c r="V741" s="130"/>
      <c r="X741" s="106"/>
    </row>
    <row r="742">
      <c r="C742" s="79"/>
      <c r="D742" s="79"/>
      <c r="J742" s="79"/>
      <c r="N742" s="79"/>
      <c r="Q742" s="79"/>
      <c r="R742" s="79"/>
      <c r="V742" s="130"/>
      <c r="X742" s="106"/>
    </row>
    <row r="743">
      <c r="C743" s="79"/>
      <c r="D743" s="79"/>
      <c r="J743" s="79"/>
      <c r="N743" s="79"/>
      <c r="Q743" s="79"/>
      <c r="R743" s="79"/>
      <c r="V743" s="130"/>
      <c r="X743" s="106"/>
    </row>
    <row r="744">
      <c r="C744" s="79"/>
      <c r="D744" s="79"/>
      <c r="J744" s="79"/>
      <c r="N744" s="79"/>
      <c r="Q744" s="79"/>
      <c r="R744" s="79"/>
      <c r="V744" s="130"/>
      <c r="X744" s="106"/>
    </row>
    <row r="745">
      <c r="C745" s="79"/>
      <c r="D745" s="79"/>
      <c r="J745" s="79"/>
      <c r="N745" s="79"/>
      <c r="Q745" s="79"/>
      <c r="R745" s="79"/>
      <c r="V745" s="130"/>
      <c r="X745" s="106"/>
    </row>
    <row r="746">
      <c r="C746" s="79"/>
      <c r="D746" s="79"/>
      <c r="J746" s="79"/>
      <c r="N746" s="79"/>
      <c r="Q746" s="79"/>
      <c r="R746" s="79"/>
      <c r="V746" s="130"/>
      <c r="X746" s="106"/>
    </row>
    <row r="747">
      <c r="C747" s="79"/>
      <c r="D747" s="79"/>
      <c r="J747" s="79"/>
      <c r="N747" s="79"/>
      <c r="Q747" s="79"/>
      <c r="R747" s="79"/>
      <c r="V747" s="130"/>
      <c r="X747" s="106"/>
    </row>
    <row r="748">
      <c r="C748" s="79"/>
      <c r="D748" s="79"/>
      <c r="J748" s="79"/>
      <c r="N748" s="79"/>
      <c r="Q748" s="79"/>
      <c r="R748" s="79"/>
      <c r="V748" s="130"/>
      <c r="X748" s="106"/>
    </row>
    <row r="749">
      <c r="C749" s="79"/>
      <c r="D749" s="79"/>
      <c r="J749" s="79"/>
      <c r="N749" s="79"/>
      <c r="Q749" s="79"/>
      <c r="R749" s="79"/>
      <c r="V749" s="130"/>
      <c r="X749" s="106"/>
    </row>
    <row r="750">
      <c r="C750" s="79"/>
      <c r="D750" s="79"/>
      <c r="J750" s="79"/>
      <c r="N750" s="79"/>
      <c r="Q750" s="79"/>
      <c r="R750" s="79"/>
      <c r="V750" s="130"/>
      <c r="X750" s="106"/>
    </row>
    <row r="751">
      <c r="C751" s="79"/>
      <c r="D751" s="79"/>
      <c r="J751" s="79"/>
      <c r="N751" s="79"/>
      <c r="Q751" s="79"/>
      <c r="R751" s="79"/>
      <c r="V751" s="130"/>
      <c r="X751" s="106"/>
    </row>
    <row r="752">
      <c r="C752" s="79"/>
      <c r="D752" s="79"/>
      <c r="J752" s="79"/>
      <c r="N752" s="79"/>
      <c r="Q752" s="79"/>
      <c r="R752" s="79"/>
      <c r="V752" s="130"/>
      <c r="X752" s="106"/>
    </row>
    <row r="753">
      <c r="C753" s="79"/>
      <c r="D753" s="79"/>
      <c r="J753" s="79"/>
      <c r="N753" s="79"/>
      <c r="Q753" s="79"/>
      <c r="R753" s="79"/>
      <c r="V753" s="130"/>
      <c r="X753" s="106"/>
    </row>
    <row r="754">
      <c r="C754" s="79"/>
      <c r="D754" s="79"/>
      <c r="J754" s="79"/>
      <c r="N754" s="79"/>
      <c r="Q754" s="79"/>
      <c r="R754" s="79"/>
      <c r="V754" s="130"/>
      <c r="X754" s="106"/>
    </row>
    <row r="755">
      <c r="C755" s="79"/>
      <c r="D755" s="79"/>
      <c r="J755" s="79"/>
      <c r="N755" s="79"/>
      <c r="Q755" s="79"/>
      <c r="R755" s="79"/>
      <c r="V755" s="130"/>
      <c r="X755" s="106"/>
    </row>
    <row r="756">
      <c r="C756" s="79"/>
      <c r="D756" s="79"/>
      <c r="J756" s="79"/>
      <c r="N756" s="79"/>
      <c r="Q756" s="79"/>
      <c r="R756" s="79"/>
      <c r="V756" s="130"/>
      <c r="X756" s="106"/>
    </row>
    <row r="757">
      <c r="C757" s="79"/>
      <c r="D757" s="79"/>
      <c r="J757" s="79"/>
      <c r="N757" s="79"/>
      <c r="Q757" s="79"/>
      <c r="R757" s="79"/>
      <c r="V757" s="130"/>
      <c r="X757" s="106"/>
    </row>
    <row r="758">
      <c r="C758" s="79"/>
      <c r="D758" s="79"/>
      <c r="J758" s="79"/>
      <c r="N758" s="79"/>
      <c r="Q758" s="79"/>
      <c r="R758" s="79"/>
      <c r="V758" s="130"/>
      <c r="X758" s="106"/>
    </row>
    <row r="759">
      <c r="C759" s="79"/>
      <c r="D759" s="79"/>
      <c r="J759" s="79"/>
      <c r="N759" s="79"/>
      <c r="Q759" s="79"/>
      <c r="R759" s="79"/>
      <c r="V759" s="130"/>
      <c r="X759" s="106"/>
    </row>
    <row r="760">
      <c r="C760" s="79"/>
      <c r="D760" s="79"/>
      <c r="J760" s="79"/>
      <c r="N760" s="79"/>
      <c r="Q760" s="79"/>
      <c r="R760" s="79"/>
      <c r="V760" s="130"/>
      <c r="X760" s="106"/>
    </row>
    <row r="761">
      <c r="C761" s="79"/>
      <c r="D761" s="79"/>
      <c r="J761" s="79"/>
      <c r="N761" s="79"/>
      <c r="Q761" s="79"/>
      <c r="R761" s="79"/>
      <c r="V761" s="130"/>
      <c r="X761" s="106"/>
    </row>
    <row r="762">
      <c r="C762" s="79"/>
      <c r="D762" s="79"/>
      <c r="J762" s="79"/>
      <c r="N762" s="79"/>
      <c r="Q762" s="79"/>
      <c r="R762" s="79"/>
      <c r="V762" s="130"/>
      <c r="X762" s="106"/>
    </row>
    <row r="763">
      <c r="C763" s="79"/>
      <c r="D763" s="79"/>
      <c r="J763" s="79"/>
      <c r="N763" s="79"/>
      <c r="Q763" s="79"/>
      <c r="R763" s="79"/>
      <c r="V763" s="130"/>
      <c r="X763" s="106"/>
    </row>
    <row r="764">
      <c r="C764" s="79"/>
      <c r="D764" s="79"/>
      <c r="J764" s="79"/>
      <c r="N764" s="79"/>
      <c r="Q764" s="79"/>
      <c r="R764" s="79"/>
      <c r="V764" s="130"/>
      <c r="X764" s="106"/>
    </row>
    <row r="765">
      <c r="C765" s="79"/>
      <c r="D765" s="79"/>
      <c r="J765" s="79"/>
      <c r="N765" s="79"/>
      <c r="Q765" s="79"/>
      <c r="R765" s="79"/>
      <c r="V765" s="130"/>
      <c r="X765" s="106"/>
    </row>
    <row r="766">
      <c r="C766" s="79"/>
      <c r="D766" s="79"/>
      <c r="J766" s="79"/>
      <c r="N766" s="79"/>
      <c r="Q766" s="79"/>
      <c r="R766" s="79"/>
      <c r="V766" s="130"/>
      <c r="X766" s="106"/>
    </row>
    <row r="767">
      <c r="C767" s="79"/>
      <c r="D767" s="79"/>
      <c r="J767" s="79"/>
      <c r="N767" s="79"/>
      <c r="Q767" s="79"/>
      <c r="R767" s="79"/>
      <c r="V767" s="130"/>
      <c r="X767" s="106"/>
    </row>
    <row r="768">
      <c r="C768" s="79"/>
      <c r="D768" s="79"/>
      <c r="J768" s="79"/>
      <c r="N768" s="79"/>
      <c r="Q768" s="79"/>
      <c r="R768" s="79"/>
      <c r="V768" s="130"/>
      <c r="X768" s="106"/>
    </row>
    <row r="769">
      <c r="C769" s="79"/>
      <c r="D769" s="79"/>
      <c r="J769" s="79"/>
      <c r="N769" s="79"/>
      <c r="Q769" s="79"/>
      <c r="R769" s="79"/>
      <c r="V769" s="130"/>
      <c r="X769" s="106"/>
    </row>
    <row r="770">
      <c r="C770" s="79"/>
      <c r="D770" s="79"/>
      <c r="J770" s="79"/>
      <c r="N770" s="79"/>
      <c r="Q770" s="79"/>
      <c r="R770" s="79"/>
      <c r="V770" s="130"/>
      <c r="X770" s="106"/>
    </row>
    <row r="771">
      <c r="C771" s="79"/>
      <c r="D771" s="79"/>
      <c r="J771" s="79"/>
      <c r="N771" s="79"/>
      <c r="Q771" s="79"/>
      <c r="R771" s="79"/>
      <c r="V771" s="130"/>
      <c r="X771" s="106"/>
    </row>
    <row r="772">
      <c r="C772" s="79"/>
      <c r="D772" s="79"/>
      <c r="J772" s="79"/>
      <c r="N772" s="79"/>
      <c r="Q772" s="79"/>
      <c r="R772" s="79"/>
      <c r="V772" s="130"/>
      <c r="X772" s="106"/>
    </row>
    <row r="773">
      <c r="C773" s="79"/>
      <c r="D773" s="79"/>
      <c r="J773" s="79"/>
      <c r="N773" s="79"/>
      <c r="Q773" s="79"/>
      <c r="R773" s="79"/>
      <c r="V773" s="130"/>
      <c r="X773" s="106"/>
    </row>
    <row r="774">
      <c r="C774" s="79"/>
      <c r="D774" s="79"/>
      <c r="J774" s="79"/>
      <c r="N774" s="79"/>
      <c r="Q774" s="79"/>
      <c r="R774" s="79"/>
      <c r="V774" s="130"/>
      <c r="X774" s="106"/>
    </row>
    <row r="775">
      <c r="C775" s="79"/>
      <c r="D775" s="79"/>
      <c r="J775" s="79"/>
      <c r="N775" s="79"/>
      <c r="Q775" s="79"/>
      <c r="R775" s="79"/>
      <c r="V775" s="130"/>
      <c r="X775" s="106"/>
    </row>
    <row r="776">
      <c r="C776" s="79"/>
      <c r="D776" s="79"/>
      <c r="J776" s="79"/>
      <c r="N776" s="79"/>
      <c r="Q776" s="79"/>
      <c r="R776" s="79"/>
      <c r="V776" s="130"/>
      <c r="X776" s="106"/>
    </row>
    <row r="777">
      <c r="C777" s="79"/>
      <c r="D777" s="79"/>
      <c r="J777" s="79"/>
      <c r="N777" s="79"/>
      <c r="Q777" s="79"/>
      <c r="R777" s="79"/>
      <c r="V777" s="130"/>
      <c r="X777" s="106"/>
    </row>
    <row r="778">
      <c r="C778" s="79"/>
      <c r="D778" s="79"/>
      <c r="J778" s="79"/>
      <c r="N778" s="79"/>
      <c r="Q778" s="79"/>
      <c r="R778" s="79"/>
      <c r="V778" s="130"/>
      <c r="X778" s="106"/>
    </row>
    <row r="779">
      <c r="C779" s="79"/>
      <c r="D779" s="79"/>
      <c r="J779" s="79"/>
      <c r="N779" s="79"/>
      <c r="Q779" s="79"/>
      <c r="R779" s="79"/>
      <c r="V779" s="130"/>
      <c r="X779" s="106"/>
    </row>
    <row r="780">
      <c r="C780" s="79"/>
      <c r="D780" s="79"/>
      <c r="J780" s="79"/>
      <c r="N780" s="79"/>
      <c r="Q780" s="79"/>
      <c r="R780" s="79"/>
      <c r="V780" s="130"/>
      <c r="X780" s="106"/>
    </row>
    <row r="781">
      <c r="C781" s="79"/>
      <c r="D781" s="79"/>
      <c r="J781" s="79"/>
      <c r="N781" s="79"/>
      <c r="Q781" s="79"/>
      <c r="R781" s="79"/>
      <c r="V781" s="130"/>
      <c r="X781" s="106"/>
    </row>
    <row r="782">
      <c r="C782" s="79"/>
      <c r="D782" s="79"/>
      <c r="J782" s="79"/>
      <c r="N782" s="79"/>
      <c r="Q782" s="79"/>
      <c r="R782" s="79"/>
      <c r="V782" s="130"/>
      <c r="X782" s="106"/>
    </row>
    <row r="783">
      <c r="C783" s="79"/>
      <c r="D783" s="79"/>
      <c r="J783" s="79"/>
      <c r="N783" s="79"/>
      <c r="Q783" s="79"/>
      <c r="R783" s="79"/>
      <c r="V783" s="130"/>
      <c r="X783" s="106"/>
    </row>
    <row r="784">
      <c r="C784" s="79"/>
      <c r="D784" s="79"/>
      <c r="J784" s="79"/>
      <c r="N784" s="79"/>
      <c r="Q784" s="79"/>
      <c r="R784" s="79"/>
      <c r="V784" s="130"/>
      <c r="X784" s="106"/>
    </row>
    <row r="785">
      <c r="C785" s="79"/>
      <c r="D785" s="79"/>
      <c r="J785" s="79"/>
      <c r="N785" s="79"/>
      <c r="Q785" s="79"/>
      <c r="R785" s="79"/>
      <c r="V785" s="130"/>
      <c r="X785" s="106"/>
    </row>
    <row r="786">
      <c r="C786" s="79"/>
      <c r="D786" s="79"/>
      <c r="J786" s="79"/>
      <c r="N786" s="79"/>
      <c r="Q786" s="79"/>
      <c r="R786" s="79"/>
      <c r="V786" s="130"/>
      <c r="X786" s="106"/>
    </row>
    <row r="787">
      <c r="C787" s="79"/>
      <c r="D787" s="79"/>
      <c r="J787" s="79"/>
      <c r="N787" s="79"/>
      <c r="Q787" s="79"/>
      <c r="R787" s="79"/>
      <c r="V787" s="130"/>
      <c r="X787" s="106"/>
    </row>
    <row r="788">
      <c r="C788" s="79"/>
      <c r="D788" s="79"/>
      <c r="J788" s="79"/>
      <c r="N788" s="79"/>
      <c r="Q788" s="79"/>
      <c r="R788" s="79"/>
      <c r="V788" s="130"/>
      <c r="X788" s="106"/>
    </row>
    <row r="789">
      <c r="C789" s="79"/>
      <c r="D789" s="79"/>
      <c r="J789" s="79"/>
      <c r="N789" s="79"/>
      <c r="Q789" s="79"/>
      <c r="R789" s="79"/>
      <c r="V789" s="130"/>
      <c r="X789" s="106"/>
    </row>
    <row r="790">
      <c r="C790" s="79"/>
      <c r="D790" s="79"/>
      <c r="J790" s="79"/>
      <c r="N790" s="79"/>
      <c r="Q790" s="79"/>
      <c r="R790" s="79"/>
      <c r="V790" s="130"/>
      <c r="X790" s="106"/>
    </row>
    <row r="791">
      <c r="C791" s="79"/>
      <c r="D791" s="79"/>
      <c r="J791" s="79"/>
      <c r="N791" s="79"/>
      <c r="Q791" s="79"/>
      <c r="R791" s="79"/>
      <c r="V791" s="130"/>
      <c r="X791" s="106"/>
    </row>
    <row r="792">
      <c r="C792" s="79"/>
      <c r="D792" s="79"/>
      <c r="J792" s="79"/>
      <c r="N792" s="79"/>
      <c r="Q792" s="79"/>
      <c r="R792" s="79"/>
      <c r="V792" s="130"/>
      <c r="X792" s="106"/>
    </row>
    <row r="793">
      <c r="C793" s="79"/>
      <c r="D793" s="79"/>
      <c r="J793" s="79"/>
      <c r="N793" s="79"/>
      <c r="Q793" s="79"/>
      <c r="R793" s="79"/>
      <c r="V793" s="130"/>
      <c r="X793" s="106"/>
    </row>
    <row r="794">
      <c r="C794" s="79"/>
      <c r="D794" s="79"/>
      <c r="J794" s="79"/>
      <c r="N794" s="79"/>
      <c r="Q794" s="79"/>
      <c r="R794" s="79"/>
      <c r="V794" s="130"/>
      <c r="X794" s="106"/>
    </row>
    <row r="795">
      <c r="C795" s="79"/>
      <c r="D795" s="79"/>
      <c r="J795" s="79"/>
      <c r="N795" s="79"/>
      <c r="Q795" s="79"/>
      <c r="R795" s="79"/>
      <c r="V795" s="130"/>
      <c r="X795" s="106"/>
    </row>
    <row r="796">
      <c r="C796" s="79"/>
      <c r="D796" s="79"/>
      <c r="J796" s="79"/>
      <c r="N796" s="79"/>
      <c r="Q796" s="79"/>
      <c r="R796" s="79"/>
      <c r="V796" s="130"/>
      <c r="X796" s="106"/>
    </row>
    <row r="797">
      <c r="C797" s="79"/>
      <c r="D797" s="79"/>
      <c r="J797" s="79"/>
      <c r="N797" s="79"/>
      <c r="Q797" s="79"/>
      <c r="R797" s="79"/>
      <c r="V797" s="130"/>
      <c r="X797" s="106"/>
    </row>
    <row r="798">
      <c r="C798" s="79"/>
      <c r="D798" s="79"/>
      <c r="J798" s="79"/>
      <c r="N798" s="79"/>
      <c r="Q798" s="79"/>
      <c r="R798" s="79"/>
      <c r="V798" s="130"/>
      <c r="X798" s="106"/>
    </row>
    <row r="799">
      <c r="C799" s="79"/>
      <c r="D799" s="79"/>
      <c r="J799" s="79"/>
      <c r="N799" s="79"/>
      <c r="Q799" s="79"/>
      <c r="R799" s="79"/>
      <c r="V799" s="130"/>
      <c r="X799" s="106"/>
    </row>
    <row r="800">
      <c r="C800" s="79"/>
      <c r="D800" s="79"/>
      <c r="J800" s="79"/>
      <c r="N800" s="79"/>
      <c r="Q800" s="79"/>
      <c r="R800" s="79"/>
      <c r="V800" s="130"/>
      <c r="X800" s="106"/>
    </row>
    <row r="801">
      <c r="C801" s="79"/>
      <c r="D801" s="79"/>
      <c r="J801" s="79"/>
      <c r="N801" s="79"/>
      <c r="Q801" s="79"/>
      <c r="R801" s="79"/>
      <c r="V801" s="130"/>
      <c r="X801" s="106"/>
    </row>
    <row r="802">
      <c r="C802" s="79"/>
      <c r="D802" s="79"/>
      <c r="J802" s="79"/>
      <c r="N802" s="79"/>
      <c r="Q802" s="79"/>
      <c r="R802" s="79"/>
      <c r="V802" s="130"/>
      <c r="X802" s="106"/>
    </row>
    <row r="803">
      <c r="C803" s="79"/>
      <c r="D803" s="79"/>
      <c r="J803" s="79"/>
      <c r="N803" s="79"/>
      <c r="Q803" s="79"/>
      <c r="R803" s="79"/>
      <c r="V803" s="130"/>
      <c r="X803" s="106"/>
    </row>
    <row r="804">
      <c r="C804" s="79"/>
      <c r="D804" s="79"/>
      <c r="J804" s="79"/>
      <c r="N804" s="79"/>
      <c r="Q804" s="79"/>
      <c r="R804" s="79"/>
      <c r="V804" s="130"/>
      <c r="X804" s="106"/>
    </row>
    <row r="805">
      <c r="C805" s="79"/>
      <c r="D805" s="79"/>
      <c r="J805" s="79"/>
      <c r="N805" s="79"/>
      <c r="Q805" s="79"/>
      <c r="R805" s="79"/>
      <c r="V805" s="130"/>
      <c r="X805" s="106"/>
    </row>
    <row r="806">
      <c r="C806" s="79"/>
      <c r="D806" s="79"/>
      <c r="J806" s="79"/>
      <c r="N806" s="79"/>
      <c r="Q806" s="79"/>
      <c r="R806" s="79"/>
      <c r="V806" s="130"/>
      <c r="X806" s="106"/>
    </row>
    <row r="807">
      <c r="C807" s="79"/>
      <c r="D807" s="79"/>
      <c r="J807" s="79"/>
      <c r="N807" s="79"/>
      <c r="Q807" s="79"/>
      <c r="R807" s="79"/>
      <c r="V807" s="130"/>
      <c r="X807" s="106"/>
    </row>
    <row r="808">
      <c r="C808" s="79"/>
      <c r="D808" s="79"/>
      <c r="J808" s="79"/>
      <c r="N808" s="79"/>
      <c r="Q808" s="79"/>
      <c r="R808" s="79"/>
      <c r="V808" s="130"/>
      <c r="X808" s="106"/>
    </row>
    <row r="809">
      <c r="C809" s="79"/>
      <c r="D809" s="79"/>
      <c r="J809" s="79"/>
      <c r="N809" s="79"/>
      <c r="Q809" s="79"/>
      <c r="R809" s="79"/>
      <c r="V809" s="130"/>
      <c r="X809" s="106"/>
    </row>
    <row r="810">
      <c r="C810" s="79"/>
      <c r="D810" s="79"/>
      <c r="J810" s="79"/>
      <c r="N810" s="79"/>
      <c r="Q810" s="79"/>
      <c r="R810" s="79"/>
      <c r="V810" s="130"/>
      <c r="X810" s="106"/>
    </row>
    <row r="811">
      <c r="C811" s="79"/>
      <c r="D811" s="79"/>
      <c r="J811" s="79"/>
      <c r="N811" s="79"/>
      <c r="Q811" s="79"/>
      <c r="R811" s="79"/>
      <c r="V811" s="130"/>
      <c r="X811" s="106"/>
    </row>
    <row r="812">
      <c r="C812" s="79"/>
      <c r="D812" s="79"/>
      <c r="J812" s="79"/>
      <c r="N812" s="79"/>
      <c r="Q812" s="79"/>
      <c r="R812" s="79"/>
      <c r="V812" s="130"/>
      <c r="X812" s="106"/>
    </row>
    <row r="813">
      <c r="C813" s="79"/>
      <c r="D813" s="79"/>
      <c r="J813" s="79"/>
      <c r="N813" s="79"/>
      <c r="Q813" s="79"/>
      <c r="R813" s="79"/>
      <c r="V813" s="130"/>
      <c r="X813" s="106"/>
    </row>
    <row r="814">
      <c r="C814" s="79"/>
      <c r="D814" s="79"/>
      <c r="J814" s="79"/>
      <c r="N814" s="79"/>
      <c r="Q814" s="79"/>
      <c r="R814" s="79"/>
      <c r="V814" s="130"/>
      <c r="X814" s="106"/>
    </row>
    <row r="815">
      <c r="C815" s="79"/>
      <c r="D815" s="79"/>
      <c r="J815" s="79"/>
      <c r="N815" s="79"/>
      <c r="Q815" s="79"/>
      <c r="R815" s="79"/>
      <c r="V815" s="130"/>
      <c r="X815" s="106"/>
    </row>
    <row r="816">
      <c r="C816" s="79"/>
      <c r="D816" s="79"/>
      <c r="J816" s="79"/>
      <c r="N816" s="79"/>
      <c r="Q816" s="79"/>
      <c r="R816" s="79"/>
      <c r="V816" s="130"/>
      <c r="X816" s="106"/>
    </row>
    <row r="817">
      <c r="C817" s="79"/>
      <c r="D817" s="79"/>
      <c r="J817" s="79"/>
      <c r="N817" s="79"/>
      <c r="Q817" s="79"/>
      <c r="R817" s="79"/>
      <c r="V817" s="130"/>
      <c r="X817" s="106"/>
    </row>
    <row r="818">
      <c r="C818" s="79"/>
      <c r="D818" s="79"/>
      <c r="J818" s="79"/>
      <c r="N818" s="79"/>
      <c r="Q818" s="79"/>
      <c r="R818" s="79"/>
      <c r="V818" s="130"/>
      <c r="X818" s="106"/>
    </row>
    <row r="819">
      <c r="C819" s="79"/>
      <c r="D819" s="79"/>
      <c r="J819" s="79"/>
      <c r="N819" s="79"/>
      <c r="Q819" s="79"/>
      <c r="R819" s="79"/>
      <c r="V819" s="130"/>
      <c r="X819" s="106"/>
    </row>
    <row r="820">
      <c r="C820" s="79"/>
      <c r="D820" s="79"/>
      <c r="J820" s="79"/>
      <c r="N820" s="79"/>
      <c r="Q820" s="79"/>
      <c r="R820" s="79"/>
      <c r="V820" s="130"/>
      <c r="X820" s="106"/>
    </row>
    <row r="821">
      <c r="C821" s="79"/>
      <c r="D821" s="79"/>
      <c r="J821" s="79"/>
      <c r="N821" s="79"/>
      <c r="Q821" s="79"/>
      <c r="R821" s="79"/>
      <c r="V821" s="130"/>
      <c r="X821" s="106"/>
    </row>
    <row r="822">
      <c r="C822" s="79"/>
      <c r="D822" s="79"/>
      <c r="J822" s="79"/>
      <c r="N822" s="79"/>
      <c r="Q822" s="79"/>
      <c r="R822" s="79"/>
      <c r="V822" s="130"/>
      <c r="X822" s="106"/>
    </row>
    <row r="823">
      <c r="C823" s="79"/>
      <c r="D823" s="79"/>
      <c r="J823" s="79"/>
      <c r="N823" s="79"/>
      <c r="Q823" s="79"/>
      <c r="R823" s="79"/>
      <c r="V823" s="130"/>
      <c r="X823" s="106"/>
    </row>
    <row r="824">
      <c r="C824" s="79"/>
      <c r="D824" s="79"/>
      <c r="J824" s="79"/>
      <c r="N824" s="79"/>
      <c r="Q824" s="79"/>
      <c r="R824" s="79"/>
      <c r="V824" s="130"/>
      <c r="X824" s="106"/>
    </row>
    <row r="825">
      <c r="C825" s="79"/>
      <c r="D825" s="79"/>
      <c r="J825" s="79"/>
      <c r="N825" s="79"/>
      <c r="Q825" s="79"/>
      <c r="R825" s="79"/>
      <c r="V825" s="130"/>
      <c r="X825" s="106"/>
    </row>
    <row r="826">
      <c r="C826" s="79"/>
      <c r="D826" s="79"/>
      <c r="J826" s="79"/>
      <c r="N826" s="79"/>
      <c r="Q826" s="79"/>
      <c r="R826" s="79"/>
      <c r="V826" s="130"/>
      <c r="X826" s="106"/>
    </row>
    <row r="827">
      <c r="C827" s="79"/>
      <c r="D827" s="79"/>
      <c r="J827" s="79"/>
      <c r="N827" s="79"/>
      <c r="Q827" s="79"/>
      <c r="R827" s="79"/>
      <c r="V827" s="130"/>
      <c r="X827" s="106"/>
    </row>
    <row r="828">
      <c r="C828" s="79"/>
      <c r="D828" s="79"/>
      <c r="J828" s="79"/>
      <c r="N828" s="79"/>
      <c r="Q828" s="79"/>
      <c r="R828" s="79"/>
      <c r="V828" s="130"/>
      <c r="X828" s="106"/>
    </row>
    <row r="829">
      <c r="C829" s="79"/>
      <c r="D829" s="79"/>
      <c r="J829" s="79"/>
      <c r="N829" s="79"/>
      <c r="Q829" s="79"/>
      <c r="R829" s="79"/>
      <c r="V829" s="130"/>
      <c r="X829" s="106"/>
    </row>
    <row r="830">
      <c r="C830" s="79"/>
      <c r="D830" s="79"/>
      <c r="J830" s="79"/>
      <c r="N830" s="79"/>
      <c r="Q830" s="79"/>
      <c r="R830" s="79"/>
      <c r="V830" s="130"/>
      <c r="X830" s="106"/>
    </row>
    <row r="831">
      <c r="C831" s="79"/>
      <c r="D831" s="79"/>
      <c r="J831" s="79"/>
      <c r="N831" s="79"/>
      <c r="Q831" s="79"/>
      <c r="R831" s="79"/>
      <c r="V831" s="130"/>
      <c r="X831" s="106"/>
    </row>
    <row r="832">
      <c r="C832" s="79"/>
      <c r="D832" s="79"/>
      <c r="J832" s="79"/>
      <c r="N832" s="79"/>
      <c r="Q832" s="79"/>
      <c r="R832" s="79"/>
      <c r="V832" s="130"/>
      <c r="X832" s="106"/>
    </row>
    <row r="833">
      <c r="C833" s="79"/>
      <c r="D833" s="79"/>
      <c r="J833" s="79"/>
      <c r="N833" s="79"/>
      <c r="Q833" s="79"/>
      <c r="R833" s="79"/>
      <c r="V833" s="130"/>
      <c r="X833" s="106"/>
    </row>
    <row r="834">
      <c r="C834" s="79"/>
      <c r="D834" s="79"/>
      <c r="J834" s="79"/>
      <c r="N834" s="79"/>
      <c r="Q834" s="79"/>
      <c r="R834" s="79"/>
      <c r="V834" s="130"/>
      <c r="X834" s="106"/>
    </row>
    <row r="835">
      <c r="C835" s="79"/>
      <c r="D835" s="79"/>
      <c r="J835" s="79"/>
      <c r="N835" s="79"/>
      <c r="Q835" s="79"/>
      <c r="R835" s="79"/>
      <c r="V835" s="130"/>
      <c r="X835" s="106"/>
    </row>
    <row r="836">
      <c r="C836" s="79"/>
      <c r="D836" s="79"/>
      <c r="J836" s="79"/>
      <c r="N836" s="79"/>
      <c r="Q836" s="79"/>
      <c r="R836" s="79"/>
      <c r="V836" s="130"/>
      <c r="X836" s="106"/>
    </row>
    <row r="837">
      <c r="C837" s="79"/>
      <c r="D837" s="79"/>
      <c r="J837" s="79"/>
      <c r="N837" s="79"/>
      <c r="Q837" s="79"/>
      <c r="R837" s="79"/>
      <c r="V837" s="130"/>
      <c r="X837" s="106"/>
    </row>
    <row r="838">
      <c r="C838" s="79"/>
      <c r="D838" s="79"/>
      <c r="J838" s="79"/>
      <c r="N838" s="79"/>
      <c r="Q838" s="79"/>
      <c r="R838" s="79"/>
      <c r="V838" s="130"/>
      <c r="X838" s="106"/>
    </row>
    <row r="839">
      <c r="C839" s="79"/>
      <c r="D839" s="79"/>
      <c r="J839" s="79"/>
      <c r="N839" s="79"/>
      <c r="Q839" s="79"/>
      <c r="R839" s="79"/>
      <c r="V839" s="130"/>
      <c r="X839" s="106"/>
    </row>
    <row r="840">
      <c r="C840" s="79"/>
      <c r="D840" s="79"/>
      <c r="J840" s="79"/>
      <c r="N840" s="79"/>
      <c r="Q840" s="79"/>
      <c r="R840" s="79"/>
      <c r="V840" s="130"/>
      <c r="X840" s="106"/>
    </row>
    <row r="841">
      <c r="C841" s="79"/>
      <c r="D841" s="79"/>
      <c r="J841" s="79"/>
      <c r="N841" s="79"/>
      <c r="Q841" s="79"/>
      <c r="R841" s="79"/>
      <c r="V841" s="130"/>
      <c r="X841" s="106"/>
    </row>
    <row r="842">
      <c r="C842" s="79"/>
      <c r="D842" s="79"/>
      <c r="J842" s="79"/>
      <c r="N842" s="79"/>
      <c r="Q842" s="79"/>
      <c r="R842" s="79"/>
      <c r="V842" s="130"/>
      <c r="X842" s="106"/>
    </row>
    <row r="843">
      <c r="C843" s="79"/>
      <c r="D843" s="79"/>
      <c r="J843" s="79"/>
      <c r="N843" s="79"/>
      <c r="Q843" s="79"/>
      <c r="R843" s="79"/>
      <c r="V843" s="130"/>
      <c r="X843" s="106"/>
    </row>
    <row r="844">
      <c r="C844" s="79"/>
      <c r="D844" s="79"/>
      <c r="J844" s="79"/>
      <c r="N844" s="79"/>
      <c r="Q844" s="79"/>
      <c r="R844" s="79"/>
      <c r="V844" s="130"/>
      <c r="X844" s="106"/>
    </row>
    <row r="845">
      <c r="C845" s="79"/>
      <c r="D845" s="79"/>
      <c r="J845" s="79"/>
      <c r="N845" s="79"/>
      <c r="Q845" s="79"/>
      <c r="R845" s="79"/>
      <c r="V845" s="130"/>
      <c r="X845" s="106"/>
    </row>
    <row r="846">
      <c r="C846" s="79"/>
      <c r="D846" s="79"/>
      <c r="J846" s="79"/>
      <c r="N846" s="79"/>
      <c r="Q846" s="79"/>
      <c r="R846" s="79"/>
      <c r="V846" s="130"/>
      <c r="X846" s="106"/>
    </row>
    <row r="847">
      <c r="C847" s="79"/>
      <c r="D847" s="79"/>
      <c r="J847" s="79"/>
      <c r="N847" s="79"/>
      <c r="Q847" s="79"/>
      <c r="R847" s="79"/>
      <c r="V847" s="130"/>
      <c r="X847" s="106"/>
    </row>
    <row r="848">
      <c r="C848" s="79"/>
      <c r="D848" s="79"/>
      <c r="J848" s="79"/>
      <c r="N848" s="79"/>
      <c r="Q848" s="79"/>
      <c r="R848" s="79"/>
      <c r="V848" s="130"/>
      <c r="X848" s="106"/>
    </row>
    <row r="849">
      <c r="C849" s="79"/>
      <c r="D849" s="79"/>
      <c r="J849" s="79"/>
      <c r="N849" s="79"/>
      <c r="Q849" s="79"/>
      <c r="R849" s="79"/>
      <c r="V849" s="130"/>
      <c r="X849" s="106"/>
    </row>
    <row r="850">
      <c r="C850" s="79"/>
      <c r="D850" s="79"/>
      <c r="J850" s="79"/>
      <c r="N850" s="79"/>
      <c r="Q850" s="79"/>
      <c r="R850" s="79"/>
      <c r="V850" s="130"/>
      <c r="X850" s="106"/>
    </row>
    <row r="851">
      <c r="C851" s="79"/>
      <c r="D851" s="79"/>
      <c r="J851" s="79"/>
      <c r="N851" s="79"/>
      <c r="Q851" s="79"/>
      <c r="R851" s="79"/>
      <c r="V851" s="130"/>
      <c r="X851" s="106"/>
    </row>
    <row r="852">
      <c r="C852" s="79"/>
      <c r="D852" s="79"/>
      <c r="J852" s="79"/>
      <c r="N852" s="79"/>
      <c r="Q852" s="79"/>
      <c r="R852" s="79"/>
      <c r="V852" s="130"/>
      <c r="X852" s="106"/>
    </row>
    <row r="853">
      <c r="C853" s="79"/>
      <c r="D853" s="79"/>
      <c r="J853" s="79"/>
      <c r="N853" s="79"/>
      <c r="Q853" s="79"/>
      <c r="R853" s="79"/>
      <c r="V853" s="130"/>
      <c r="X853" s="106"/>
    </row>
    <row r="854">
      <c r="C854" s="79"/>
      <c r="D854" s="79"/>
      <c r="J854" s="79"/>
      <c r="N854" s="79"/>
      <c r="Q854" s="79"/>
      <c r="R854" s="79"/>
      <c r="V854" s="130"/>
      <c r="X854" s="106"/>
    </row>
    <row r="855">
      <c r="C855" s="79"/>
      <c r="D855" s="79"/>
      <c r="J855" s="79"/>
      <c r="N855" s="79"/>
      <c r="Q855" s="79"/>
      <c r="R855" s="79"/>
      <c r="V855" s="130"/>
      <c r="X855" s="106"/>
    </row>
    <row r="856">
      <c r="C856" s="79"/>
      <c r="D856" s="79"/>
      <c r="J856" s="79"/>
      <c r="N856" s="79"/>
      <c r="Q856" s="79"/>
      <c r="R856" s="79"/>
      <c r="V856" s="130"/>
      <c r="X856" s="106"/>
    </row>
    <row r="857">
      <c r="C857" s="79"/>
      <c r="D857" s="79"/>
      <c r="J857" s="79"/>
      <c r="N857" s="79"/>
      <c r="Q857" s="79"/>
      <c r="R857" s="79"/>
      <c r="V857" s="130"/>
      <c r="X857" s="106"/>
    </row>
    <row r="858">
      <c r="C858" s="79"/>
      <c r="D858" s="79"/>
      <c r="J858" s="79"/>
      <c r="N858" s="79"/>
      <c r="Q858" s="79"/>
      <c r="R858" s="79"/>
      <c r="V858" s="130"/>
      <c r="X858" s="106"/>
    </row>
    <row r="859">
      <c r="C859" s="79"/>
      <c r="D859" s="79"/>
      <c r="J859" s="79"/>
      <c r="N859" s="79"/>
      <c r="Q859" s="79"/>
      <c r="R859" s="79"/>
      <c r="V859" s="130"/>
      <c r="X859" s="106"/>
    </row>
    <row r="860">
      <c r="C860" s="79"/>
      <c r="D860" s="79"/>
      <c r="J860" s="79"/>
      <c r="N860" s="79"/>
      <c r="Q860" s="79"/>
      <c r="R860" s="79"/>
      <c r="V860" s="130"/>
      <c r="X860" s="106"/>
    </row>
    <row r="861">
      <c r="C861" s="79"/>
      <c r="D861" s="79"/>
      <c r="J861" s="79"/>
      <c r="N861" s="79"/>
      <c r="Q861" s="79"/>
      <c r="R861" s="79"/>
      <c r="V861" s="130"/>
      <c r="X861" s="106"/>
    </row>
    <row r="862">
      <c r="C862" s="79"/>
      <c r="D862" s="79"/>
      <c r="J862" s="79"/>
      <c r="N862" s="79"/>
      <c r="Q862" s="79"/>
      <c r="R862" s="79"/>
      <c r="V862" s="130"/>
      <c r="X862" s="106"/>
    </row>
    <row r="863">
      <c r="C863" s="79"/>
      <c r="D863" s="79"/>
      <c r="J863" s="79"/>
      <c r="N863" s="79"/>
      <c r="Q863" s="79"/>
      <c r="R863" s="79"/>
      <c r="V863" s="130"/>
      <c r="X863" s="106"/>
    </row>
    <row r="864">
      <c r="C864" s="79"/>
      <c r="D864" s="79"/>
      <c r="J864" s="79"/>
      <c r="N864" s="79"/>
      <c r="Q864" s="79"/>
      <c r="R864" s="79"/>
      <c r="V864" s="130"/>
      <c r="X864" s="106"/>
    </row>
    <row r="865">
      <c r="C865" s="79"/>
      <c r="D865" s="79"/>
      <c r="J865" s="79"/>
      <c r="N865" s="79"/>
      <c r="Q865" s="79"/>
      <c r="R865" s="79"/>
      <c r="V865" s="130"/>
      <c r="X865" s="106"/>
    </row>
    <row r="866">
      <c r="C866" s="79"/>
      <c r="D866" s="79"/>
      <c r="J866" s="79"/>
      <c r="N866" s="79"/>
      <c r="Q866" s="79"/>
      <c r="R866" s="79"/>
      <c r="V866" s="130"/>
      <c r="X866" s="106"/>
    </row>
    <row r="867">
      <c r="C867" s="79"/>
      <c r="D867" s="79"/>
      <c r="J867" s="79"/>
      <c r="N867" s="79"/>
      <c r="Q867" s="79"/>
      <c r="R867" s="79"/>
      <c r="V867" s="130"/>
      <c r="X867" s="106"/>
    </row>
    <row r="868">
      <c r="C868" s="79"/>
      <c r="D868" s="79"/>
      <c r="J868" s="79"/>
      <c r="N868" s="79"/>
      <c r="Q868" s="79"/>
      <c r="R868" s="79"/>
      <c r="V868" s="130"/>
      <c r="X868" s="106"/>
    </row>
    <row r="869">
      <c r="C869" s="79"/>
      <c r="D869" s="79"/>
      <c r="J869" s="79"/>
      <c r="N869" s="79"/>
      <c r="Q869" s="79"/>
      <c r="R869" s="79"/>
      <c r="V869" s="130"/>
      <c r="X869" s="106"/>
    </row>
    <row r="870">
      <c r="C870" s="79"/>
      <c r="D870" s="79"/>
      <c r="J870" s="79"/>
      <c r="N870" s="79"/>
      <c r="Q870" s="79"/>
      <c r="R870" s="79"/>
      <c r="V870" s="130"/>
      <c r="X870" s="106"/>
    </row>
    <row r="871">
      <c r="C871" s="79"/>
      <c r="D871" s="79"/>
      <c r="J871" s="79"/>
      <c r="N871" s="79"/>
      <c r="Q871" s="79"/>
      <c r="R871" s="79"/>
      <c r="V871" s="130"/>
      <c r="X871" s="106"/>
    </row>
    <row r="872">
      <c r="C872" s="79"/>
      <c r="D872" s="79"/>
      <c r="J872" s="79"/>
      <c r="N872" s="79"/>
      <c r="Q872" s="79"/>
      <c r="R872" s="79"/>
      <c r="V872" s="130"/>
      <c r="X872" s="106"/>
    </row>
    <row r="873">
      <c r="C873" s="79"/>
      <c r="D873" s="79"/>
      <c r="J873" s="79"/>
      <c r="N873" s="79"/>
      <c r="Q873" s="79"/>
      <c r="R873" s="79"/>
      <c r="V873" s="130"/>
      <c r="X873" s="106"/>
    </row>
    <row r="874">
      <c r="C874" s="79"/>
      <c r="D874" s="79"/>
      <c r="J874" s="79"/>
      <c r="N874" s="79"/>
      <c r="Q874" s="79"/>
      <c r="R874" s="79"/>
      <c r="V874" s="130"/>
      <c r="X874" s="106"/>
    </row>
    <row r="875">
      <c r="C875" s="79"/>
      <c r="D875" s="79"/>
      <c r="J875" s="79"/>
      <c r="N875" s="79"/>
      <c r="Q875" s="79"/>
      <c r="R875" s="79"/>
      <c r="V875" s="130"/>
      <c r="X875" s="106"/>
    </row>
    <row r="876">
      <c r="C876" s="79"/>
      <c r="D876" s="79"/>
      <c r="J876" s="79"/>
      <c r="N876" s="79"/>
      <c r="Q876" s="79"/>
      <c r="R876" s="79"/>
      <c r="V876" s="130"/>
      <c r="X876" s="106"/>
    </row>
    <row r="877">
      <c r="C877" s="79"/>
      <c r="D877" s="79"/>
      <c r="J877" s="79"/>
      <c r="N877" s="79"/>
      <c r="Q877" s="79"/>
      <c r="R877" s="79"/>
      <c r="V877" s="130"/>
      <c r="X877" s="106"/>
    </row>
    <row r="878">
      <c r="C878" s="79"/>
      <c r="D878" s="79"/>
      <c r="J878" s="79"/>
      <c r="N878" s="79"/>
      <c r="Q878" s="79"/>
      <c r="R878" s="79"/>
      <c r="V878" s="130"/>
      <c r="X878" s="106"/>
    </row>
    <row r="879">
      <c r="C879" s="79"/>
      <c r="D879" s="79"/>
      <c r="J879" s="79"/>
      <c r="N879" s="79"/>
      <c r="Q879" s="79"/>
      <c r="R879" s="79"/>
      <c r="V879" s="130"/>
      <c r="X879" s="106"/>
    </row>
    <row r="880">
      <c r="C880" s="79"/>
      <c r="D880" s="79"/>
      <c r="J880" s="79"/>
      <c r="N880" s="79"/>
      <c r="Q880" s="79"/>
      <c r="R880" s="79"/>
      <c r="V880" s="130"/>
      <c r="X880" s="106"/>
    </row>
    <row r="881">
      <c r="C881" s="79"/>
      <c r="D881" s="79"/>
      <c r="J881" s="79"/>
      <c r="N881" s="79"/>
      <c r="Q881" s="79"/>
      <c r="R881" s="79"/>
      <c r="V881" s="130"/>
      <c r="X881" s="106"/>
    </row>
    <row r="882">
      <c r="C882" s="79"/>
      <c r="D882" s="79"/>
      <c r="J882" s="79"/>
      <c r="N882" s="79"/>
      <c r="Q882" s="79"/>
      <c r="R882" s="79"/>
      <c r="V882" s="130"/>
      <c r="X882" s="106"/>
    </row>
    <row r="883">
      <c r="C883" s="79"/>
      <c r="D883" s="79"/>
      <c r="J883" s="79"/>
      <c r="N883" s="79"/>
      <c r="Q883" s="79"/>
      <c r="R883" s="79"/>
      <c r="V883" s="130"/>
      <c r="X883" s="106"/>
    </row>
    <row r="884">
      <c r="C884" s="79"/>
      <c r="D884" s="79"/>
      <c r="J884" s="79"/>
      <c r="N884" s="79"/>
      <c r="Q884" s="79"/>
      <c r="R884" s="79"/>
      <c r="V884" s="130"/>
      <c r="X884" s="106"/>
    </row>
    <row r="885">
      <c r="C885" s="79"/>
      <c r="D885" s="79"/>
      <c r="J885" s="79"/>
      <c r="N885" s="79"/>
      <c r="Q885" s="79"/>
      <c r="R885" s="79"/>
      <c r="V885" s="130"/>
      <c r="X885" s="106"/>
    </row>
    <row r="886">
      <c r="C886" s="79"/>
      <c r="D886" s="79"/>
      <c r="J886" s="79"/>
      <c r="N886" s="79"/>
      <c r="Q886" s="79"/>
      <c r="R886" s="79"/>
      <c r="V886" s="130"/>
      <c r="X886" s="106"/>
    </row>
    <row r="887">
      <c r="C887" s="79"/>
      <c r="D887" s="79"/>
      <c r="J887" s="79"/>
      <c r="N887" s="79"/>
      <c r="Q887" s="79"/>
      <c r="R887" s="79"/>
      <c r="V887" s="130"/>
      <c r="X887" s="106"/>
    </row>
    <row r="888">
      <c r="C888" s="79"/>
      <c r="D888" s="79"/>
      <c r="J888" s="79"/>
      <c r="N888" s="79"/>
      <c r="Q888" s="79"/>
      <c r="R888" s="79"/>
      <c r="V888" s="130"/>
      <c r="X888" s="106"/>
    </row>
    <row r="889">
      <c r="C889" s="79"/>
      <c r="D889" s="79"/>
      <c r="J889" s="79"/>
      <c r="N889" s="79"/>
      <c r="Q889" s="79"/>
      <c r="R889" s="79"/>
      <c r="V889" s="130"/>
      <c r="X889" s="106"/>
    </row>
    <row r="890">
      <c r="C890" s="79"/>
      <c r="D890" s="79"/>
      <c r="J890" s="79"/>
      <c r="N890" s="79"/>
      <c r="Q890" s="79"/>
      <c r="R890" s="79"/>
      <c r="V890" s="130"/>
      <c r="X890" s="106"/>
    </row>
    <row r="891">
      <c r="C891" s="79"/>
      <c r="D891" s="79"/>
      <c r="J891" s="79"/>
      <c r="N891" s="79"/>
      <c r="Q891" s="79"/>
      <c r="R891" s="79"/>
      <c r="V891" s="130"/>
      <c r="X891" s="106"/>
    </row>
    <row r="892">
      <c r="C892" s="79"/>
      <c r="D892" s="79"/>
      <c r="J892" s="79"/>
      <c r="N892" s="79"/>
      <c r="Q892" s="79"/>
      <c r="R892" s="79"/>
      <c r="V892" s="130"/>
      <c r="X892" s="106"/>
    </row>
    <row r="893">
      <c r="C893" s="79"/>
      <c r="D893" s="79"/>
      <c r="J893" s="79"/>
      <c r="N893" s="79"/>
      <c r="Q893" s="79"/>
      <c r="R893" s="79"/>
      <c r="V893" s="130"/>
      <c r="X893" s="106"/>
    </row>
    <row r="894">
      <c r="C894" s="79"/>
      <c r="D894" s="79"/>
      <c r="J894" s="79"/>
      <c r="N894" s="79"/>
      <c r="Q894" s="79"/>
      <c r="R894" s="79"/>
      <c r="V894" s="130"/>
      <c r="X894" s="106"/>
    </row>
    <row r="895">
      <c r="C895" s="79"/>
      <c r="D895" s="79"/>
      <c r="J895" s="79"/>
      <c r="N895" s="79"/>
      <c r="Q895" s="79"/>
      <c r="R895" s="79"/>
      <c r="V895" s="130"/>
      <c r="X895" s="106"/>
    </row>
    <row r="896">
      <c r="C896" s="79"/>
      <c r="D896" s="79"/>
      <c r="J896" s="79"/>
      <c r="N896" s="79"/>
      <c r="Q896" s="79"/>
      <c r="R896" s="79"/>
      <c r="V896" s="130"/>
      <c r="X896" s="106"/>
    </row>
    <row r="897">
      <c r="C897" s="79"/>
      <c r="D897" s="79"/>
      <c r="J897" s="79"/>
      <c r="N897" s="79"/>
      <c r="Q897" s="79"/>
      <c r="R897" s="79"/>
      <c r="V897" s="130"/>
      <c r="X897" s="106"/>
    </row>
    <row r="898">
      <c r="C898" s="79"/>
      <c r="D898" s="79"/>
      <c r="J898" s="79"/>
      <c r="N898" s="79"/>
      <c r="Q898" s="79"/>
      <c r="R898" s="79"/>
      <c r="V898" s="130"/>
      <c r="X898" s="106"/>
    </row>
    <row r="899">
      <c r="C899" s="79"/>
      <c r="D899" s="79"/>
      <c r="J899" s="79"/>
      <c r="N899" s="79"/>
      <c r="Q899" s="79"/>
      <c r="R899" s="79"/>
      <c r="V899" s="130"/>
      <c r="X899" s="106"/>
    </row>
    <row r="900">
      <c r="C900" s="79"/>
      <c r="D900" s="79"/>
      <c r="J900" s="79"/>
      <c r="N900" s="79"/>
      <c r="Q900" s="79"/>
      <c r="R900" s="79"/>
      <c r="V900" s="130"/>
      <c r="X900" s="106"/>
    </row>
    <row r="901">
      <c r="C901" s="79"/>
      <c r="D901" s="79"/>
      <c r="J901" s="79"/>
      <c r="N901" s="79"/>
      <c r="Q901" s="79"/>
      <c r="R901" s="79"/>
      <c r="V901" s="130"/>
      <c r="X901" s="106"/>
    </row>
    <row r="902">
      <c r="C902" s="79"/>
      <c r="D902" s="79"/>
      <c r="J902" s="79"/>
      <c r="N902" s="79"/>
      <c r="Q902" s="79"/>
      <c r="R902" s="79"/>
      <c r="V902" s="130"/>
      <c r="X902" s="106"/>
    </row>
    <row r="903">
      <c r="C903" s="79"/>
      <c r="D903" s="79"/>
      <c r="J903" s="79"/>
      <c r="N903" s="79"/>
      <c r="Q903" s="79"/>
      <c r="R903" s="79"/>
      <c r="V903" s="130"/>
      <c r="X903" s="106"/>
    </row>
    <row r="904">
      <c r="C904" s="79"/>
      <c r="D904" s="79"/>
      <c r="J904" s="79"/>
      <c r="N904" s="79"/>
      <c r="Q904" s="79"/>
      <c r="R904" s="79"/>
      <c r="V904" s="130"/>
      <c r="X904" s="106"/>
    </row>
    <row r="905">
      <c r="C905" s="79"/>
      <c r="D905" s="79"/>
      <c r="J905" s="79"/>
      <c r="N905" s="79"/>
      <c r="Q905" s="79"/>
      <c r="R905" s="79"/>
      <c r="V905" s="130"/>
      <c r="X905" s="106"/>
    </row>
    <row r="906">
      <c r="C906" s="79"/>
      <c r="D906" s="79"/>
      <c r="J906" s="79"/>
      <c r="N906" s="79"/>
      <c r="Q906" s="79"/>
      <c r="R906" s="79"/>
      <c r="V906" s="130"/>
      <c r="X906" s="106"/>
    </row>
    <row r="907">
      <c r="C907" s="79"/>
      <c r="D907" s="79"/>
      <c r="J907" s="79"/>
      <c r="N907" s="79"/>
      <c r="Q907" s="79"/>
      <c r="R907" s="79"/>
      <c r="V907" s="130"/>
      <c r="X907" s="106"/>
    </row>
    <row r="908">
      <c r="C908" s="79"/>
      <c r="D908" s="79"/>
      <c r="J908" s="79"/>
      <c r="N908" s="79"/>
      <c r="Q908" s="79"/>
      <c r="R908" s="79"/>
      <c r="V908" s="130"/>
      <c r="X908" s="106"/>
    </row>
    <row r="909">
      <c r="C909" s="79"/>
      <c r="D909" s="79"/>
      <c r="J909" s="79"/>
      <c r="N909" s="79"/>
      <c r="Q909" s="79"/>
      <c r="R909" s="79"/>
      <c r="V909" s="130"/>
      <c r="X909" s="106"/>
    </row>
    <row r="910">
      <c r="C910" s="79"/>
      <c r="D910" s="79"/>
      <c r="J910" s="79"/>
      <c r="N910" s="79"/>
      <c r="Q910" s="79"/>
      <c r="R910" s="79"/>
      <c r="V910" s="130"/>
      <c r="X910" s="106"/>
    </row>
    <row r="911">
      <c r="C911" s="79"/>
      <c r="D911" s="79"/>
      <c r="J911" s="79"/>
      <c r="N911" s="79"/>
      <c r="Q911" s="79"/>
      <c r="R911" s="79"/>
      <c r="V911" s="130"/>
      <c r="X911" s="106"/>
    </row>
    <row r="912">
      <c r="C912" s="79"/>
      <c r="D912" s="79"/>
      <c r="J912" s="79"/>
      <c r="N912" s="79"/>
      <c r="Q912" s="79"/>
      <c r="R912" s="79"/>
      <c r="V912" s="130"/>
      <c r="X912" s="106"/>
    </row>
    <row r="913">
      <c r="C913" s="79"/>
      <c r="D913" s="79"/>
      <c r="J913" s="79"/>
      <c r="N913" s="79"/>
      <c r="Q913" s="79"/>
      <c r="R913" s="79"/>
      <c r="V913" s="130"/>
      <c r="X913" s="106"/>
    </row>
    <row r="914">
      <c r="C914" s="79"/>
      <c r="D914" s="79"/>
      <c r="J914" s="79"/>
      <c r="N914" s="79"/>
      <c r="Q914" s="79"/>
      <c r="R914" s="79"/>
      <c r="V914" s="130"/>
      <c r="X914" s="106"/>
    </row>
    <row r="915">
      <c r="C915" s="79"/>
      <c r="D915" s="79"/>
      <c r="J915" s="79"/>
      <c r="N915" s="79"/>
      <c r="Q915" s="79"/>
      <c r="R915" s="79"/>
      <c r="V915" s="130"/>
      <c r="X915" s="106"/>
    </row>
    <row r="916">
      <c r="C916" s="79"/>
      <c r="D916" s="79"/>
      <c r="J916" s="79"/>
      <c r="N916" s="79"/>
      <c r="Q916" s="79"/>
      <c r="R916" s="79"/>
      <c r="V916" s="130"/>
      <c r="X916" s="106"/>
    </row>
    <row r="917">
      <c r="C917" s="79"/>
      <c r="D917" s="79"/>
      <c r="J917" s="79"/>
      <c r="N917" s="79"/>
      <c r="Q917" s="79"/>
      <c r="R917" s="79"/>
      <c r="V917" s="130"/>
      <c r="X917" s="106"/>
    </row>
    <row r="918">
      <c r="C918" s="79"/>
      <c r="D918" s="79"/>
      <c r="J918" s="79"/>
      <c r="N918" s="79"/>
      <c r="Q918" s="79"/>
      <c r="R918" s="79"/>
      <c r="V918" s="130"/>
      <c r="X918" s="106"/>
    </row>
    <row r="919">
      <c r="C919" s="79"/>
      <c r="D919" s="79"/>
      <c r="J919" s="79"/>
      <c r="N919" s="79"/>
      <c r="Q919" s="79"/>
      <c r="R919" s="79"/>
      <c r="V919" s="130"/>
      <c r="X919" s="106"/>
    </row>
    <row r="920">
      <c r="C920" s="79"/>
      <c r="D920" s="79"/>
      <c r="J920" s="79"/>
      <c r="N920" s="79"/>
      <c r="Q920" s="79"/>
      <c r="R920" s="79"/>
      <c r="V920" s="130"/>
      <c r="X920" s="106"/>
    </row>
    <row r="921">
      <c r="C921" s="79"/>
      <c r="D921" s="79"/>
      <c r="J921" s="79"/>
      <c r="N921" s="79"/>
      <c r="Q921" s="79"/>
      <c r="R921" s="79"/>
      <c r="V921" s="130"/>
      <c r="X921" s="106"/>
    </row>
    <row r="922">
      <c r="C922" s="79"/>
      <c r="D922" s="79"/>
      <c r="J922" s="79"/>
      <c r="N922" s="79"/>
      <c r="Q922" s="79"/>
      <c r="R922" s="79"/>
      <c r="V922" s="130"/>
      <c r="X922" s="106"/>
    </row>
    <row r="923">
      <c r="C923" s="79"/>
      <c r="D923" s="79"/>
      <c r="J923" s="79"/>
      <c r="N923" s="79"/>
      <c r="Q923" s="79"/>
      <c r="R923" s="79"/>
      <c r="V923" s="130"/>
      <c r="X923" s="106"/>
    </row>
    <row r="924">
      <c r="C924" s="79"/>
      <c r="D924" s="79"/>
      <c r="J924" s="79"/>
      <c r="N924" s="79"/>
      <c r="Q924" s="79"/>
      <c r="R924" s="79"/>
      <c r="V924" s="130"/>
      <c r="X924" s="106"/>
    </row>
    <row r="925">
      <c r="C925" s="79"/>
      <c r="D925" s="79"/>
      <c r="J925" s="79"/>
      <c r="N925" s="79"/>
      <c r="Q925" s="79"/>
      <c r="R925" s="79"/>
      <c r="V925" s="130"/>
      <c r="X925" s="106"/>
    </row>
    <row r="926">
      <c r="C926" s="79"/>
      <c r="D926" s="79"/>
      <c r="J926" s="79"/>
      <c r="N926" s="79"/>
      <c r="Q926" s="79"/>
      <c r="R926" s="79"/>
      <c r="V926" s="130"/>
      <c r="X926" s="106"/>
    </row>
    <row r="927">
      <c r="C927" s="79"/>
      <c r="D927" s="79"/>
      <c r="J927" s="79"/>
      <c r="N927" s="79"/>
      <c r="Q927" s="79"/>
      <c r="R927" s="79"/>
      <c r="V927" s="130"/>
      <c r="X927" s="106"/>
    </row>
    <row r="928">
      <c r="C928" s="79"/>
      <c r="D928" s="79"/>
      <c r="J928" s="79"/>
      <c r="N928" s="79"/>
      <c r="Q928" s="79"/>
      <c r="R928" s="79"/>
      <c r="V928" s="130"/>
      <c r="X928" s="106"/>
    </row>
    <row r="929">
      <c r="C929" s="79"/>
      <c r="D929" s="79"/>
      <c r="J929" s="79"/>
      <c r="N929" s="79"/>
      <c r="Q929" s="79"/>
      <c r="R929" s="79"/>
      <c r="V929" s="130"/>
      <c r="X929" s="106"/>
    </row>
    <row r="930">
      <c r="C930" s="79"/>
      <c r="D930" s="79"/>
      <c r="J930" s="79"/>
      <c r="N930" s="79"/>
      <c r="Q930" s="79"/>
      <c r="R930" s="79"/>
      <c r="V930" s="130"/>
      <c r="X930" s="106"/>
    </row>
    <row r="931">
      <c r="C931" s="79"/>
      <c r="D931" s="79"/>
      <c r="J931" s="79"/>
      <c r="N931" s="79"/>
      <c r="Q931" s="79"/>
      <c r="R931" s="79"/>
      <c r="V931" s="130"/>
      <c r="X931" s="106"/>
    </row>
    <row r="932">
      <c r="C932" s="79"/>
      <c r="D932" s="79"/>
      <c r="J932" s="79"/>
      <c r="N932" s="79"/>
      <c r="Q932" s="79"/>
      <c r="R932" s="79"/>
      <c r="V932" s="130"/>
      <c r="X932" s="106"/>
    </row>
    <row r="933">
      <c r="C933" s="79"/>
      <c r="D933" s="79"/>
      <c r="J933" s="79"/>
      <c r="N933" s="79"/>
      <c r="Q933" s="79"/>
      <c r="R933" s="79"/>
      <c r="V933" s="130"/>
      <c r="X933" s="106"/>
    </row>
    <row r="934">
      <c r="C934" s="79"/>
      <c r="D934" s="79"/>
      <c r="J934" s="79"/>
      <c r="N934" s="79"/>
      <c r="Q934" s="79"/>
      <c r="R934" s="79"/>
      <c r="V934" s="130"/>
      <c r="X934" s="106"/>
    </row>
    <row r="935">
      <c r="C935" s="79"/>
      <c r="D935" s="79"/>
      <c r="J935" s="79"/>
      <c r="N935" s="79"/>
      <c r="Q935" s="79"/>
      <c r="R935" s="79"/>
      <c r="V935" s="130"/>
      <c r="X935" s="106"/>
    </row>
    <row r="936">
      <c r="C936" s="79"/>
      <c r="D936" s="79"/>
      <c r="J936" s="79"/>
      <c r="N936" s="79"/>
      <c r="Q936" s="79"/>
      <c r="R936" s="79"/>
      <c r="V936" s="130"/>
      <c r="X936" s="106"/>
    </row>
    <row r="937">
      <c r="C937" s="79"/>
      <c r="D937" s="79"/>
      <c r="J937" s="79"/>
      <c r="N937" s="79"/>
      <c r="Q937" s="79"/>
      <c r="R937" s="79"/>
      <c r="V937" s="130"/>
      <c r="X937" s="106"/>
    </row>
    <row r="938">
      <c r="C938" s="79"/>
      <c r="D938" s="79"/>
      <c r="J938" s="79"/>
      <c r="N938" s="79"/>
      <c r="Q938" s="79"/>
      <c r="R938" s="79"/>
      <c r="V938" s="130"/>
      <c r="X938" s="106"/>
    </row>
    <row r="939">
      <c r="C939" s="79"/>
      <c r="D939" s="79"/>
      <c r="J939" s="79"/>
      <c r="N939" s="79"/>
      <c r="Q939" s="79"/>
      <c r="R939" s="79"/>
      <c r="V939" s="130"/>
      <c r="X939" s="106"/>
    </row>
    <row r="940">
      <c r="C940" s="79"/>
      <c r="D940" s="79"/>
      <c r="J940" s="79"/>
      <c r="N940" s="79"/>
      <c r="Q940" s="79"/>
      <c r="R940" s="79"/>
      <c r="V940" s="130"/>
      <c r="X940" s="106"/>
    </row>
    <row r="941">
      <c r="C941" s="79"/>
      <c r="D941" s="79"/>
      <c r="J941" s="79"/>
      <c r="N941" s="79"/>
      <c r="Q941" s="79"/>
      <c r="R941" s="79"/>
      <c r="V941" s="130"/>
      <c r="X941" s="106"/>
    </row>
    <row r="942">
      <c r="C942" s="79"/>
      <c r="D942" s="79"/>
      <c r="J942" s="79"/>
      <c r="N942" s="79"/>
      <c r="Q942" s="79"/>
      <c r="R942" s="79"/>
      <c r="V942" s="130"/>
      <c r="X942" s="106"/>
    </row>
    <row r="943">
      <c r="C943" s="79"/>
      <c r="D943" s="79"/>
      <c r="J943" s="79"/>
      <c r="N943" s="79"/>
      <c r="Q943" s="79"/>
      <c r="R943" s="79"/>
      <c r="V943" s="130"/>
      <c r="X943" s="106"/>
    </row>
    <row r="944">
      <c r="C944" s="79"/>
      <c r="D944" s="79"/>
      <c r="J944" s="79"/>
      <c r="N944" s="79"/>
      <c r="Q944" s="79"/>
      <c r="R944" s="79"/>
      <c r="V944" s="130"/>
      <c r="X944" s="106"/>
    </row>
    <row r="945">
      <c r="C945" s="79"/>
      <c r="D945" s="79"/>
      <c r="J945" s="79"/>
      <c r="N945" s="79"/>
      <c r="Q945" s="79"/>
      <c r="R945" s="79"/>
      <c r="V945" s="130"/>
      <c r="X945" s="106"/>
    </row>
    <row r="946">
      <c r="C946" s="79"/>
      <c r="D946" s="79"/>
      <c r="J946" s="79"/>
      <c r="N946" s="79"/>
      <c r="Q946" s="79"/>
      <c r="R946" s="79"/>
      <c r="V946" s="130"/>
      <c r="X946" s="106"/>
    </row>
    <row r="947">
      <c r="C947" s="79"/>
      <c r="D947" s="79"/>
      <c r="J947" s="79"/>
      <c r="N947" s="79"/>
      <c r="Q947" s="79"/>
      <c r="R947" s="79"/>
      <c r="V947" s="130"/>
      <c r="X947" s="106"/>
    </row>
    <row r="948">
      <c r="C948" s="79"/>
      <c r="D948" s="79"/>
      <c r="J948" s="79"/>
      <c r="N948" s="79"/>
      <c r="Q948" s="79"/>
      <c r="R948" s="79"/>
      <c r="V948" s="130"/>
      <c r="X948" s="106"/>
    </row>
    <row r="949">
      <c r="C949" s="79"/>
      <c r="D949" s="79"/>
      <c r="J949" s="79"/>
      <c r="N949" s="79"/>
      <c r="Q949" s="79"/>
      <c r="R949" s="79"/>
      <c r="V949" s="130"/>
      <c r="X949" s="106"/>
    </row>
    <row r="950">
      <c r="C950" s="79"/>
      <c r="D950" s="79"/>
      <c r="J950" s="79"/>
      <c r="N950" s="79"/>
      <c r="Q950" s="79"/>
      <c r="R950" s="79"/>
      <c r="V950" s="130"/>
      <c r="X950" s="106"/>
    </row>
    <row r="951">
      <c r="C951" s="79"/>
      <c r="D951" s="79"/>
      <c r="J951" s="79"/>
      <c r="N951" s="79"/>
      <c r="Q951" s="79"/>
      <c r="R951" s="79"/>
      <c r="V951" s="130"/>
      <c r="X951" s="106"/>
    </row>
    <row r="952">
      <c r="C952" s="79"/>
      <c r="D952" s="79"/>
      <c r="J952" s="79"/>
      <c r="N952" s="79"/>
      <c r="Q952" s="79"/>
      <c r="R952" s="79"/>
      <c r="V952" s="130"/>
      <c r="X952" s="106"/>
    </row>
    <row r="953">
      <c r="C953" s="79"/>
      <c r="D953" s="79"/>
      <c r="J953" s="79"/>
      <c r="N953" s="79"/>
      <c r="Q953" s="79"/>
      <c r="R953" s="79"/>
      <c r="V953" s="130"/>
      <c r="X953" s="106"/>
    </row>
    <row r="954">
      <c r="C954" s="79"/>
      <c r="D954" s="79"/>
      <c r="J954" s="79"/>
      <c r="N954" s="79"/>
      <c r="Q954" s="79"/>
      <c r="R954" s="79"/>
      <c r="V954" s="130"/>
      <c r="X954" s="106"/>
    </row>
    <row r="955">
      <c r="C955" s="79"/>
      <c r="D955" s="79"/>
      <c r="J955" s="79"/>
      <c r="N955" s="79"/>
      <c r="Q955" s="79"/>
      <c r="R955" s="79"/>
      <c r="V955" s="130"/>
      <c r="X955" s="106"/>
    </row>
    <row r="956">
      <c r="C956" s="79"/>
      <c r="D956" s="79"/>
      <c r="J956" s="79"/>
      <c r="N956" s="79"/>
      <c r="Q956" s="79"/>
      <c r="R956" s="79"/>
      <c r="V956" s="130"/>
      <c r="X956" s="106"/>
    </row>
    <row r="957">
      <c r="C957" s="79"/>
      <c r="D957" s="79"/>
      <c r="J957" s="79"/>
      <c r="N957" s="79"/>
      <c r="Q957" s="79"/>
      <c r="R957" s="79"/>
      <c r="V957" s="130"/>
      <c r="X957" s="106"/>
    </row>
    <row r="958">
      <c r="C958" s="79"/>
      <c r="D958" s="79"/>
      <c r="J958" s="79"/>
      <c r="N958" s="79"/>
      <c r="Q958" s="79"/>
      <c r="R958" s="79"/>
      <c r="V958" s="130"/>
      <c r="X958" s="106"/>
    </row>
    <row r="959">
      <c r="C959" s="79"/>
      <c r="D959" s="79"/>
      <c r="J959" s="79"/>
      <c r="N959" s="79"/>
      <c r="Q959" s="79"/>
      <c r="R959" s="79"/>
      <c r="V959" s="130"/>
      <c r="X959" s="106"/>
    </row>
    <row r="960">
      <c r="C960" s="79"/>
      <c r="D960" s="79"/>
      <c r="J960" s="79"/>
      <c r="N960" s="79"/>
      <c r="Q960" s="79"/>
      <c r="R960" s="79"/>
      <c r="V960" s="130"/>
      <c r="X960" s="106"/>
    </row>
    <row r="961">
      <c r="C961" s="79"/>
      <c r="D961" s="79"/>
      <c r="J961" s="79"/>
      <c r="N961" s="79"/>
      <c r="Q961" s="79"/>
      <c r="R961" s="79"/>
      <c r="V961" s="130"/>
      <c r="X961" s="106"/>
    </row>
    <row r="962">
      <c r="C962" s="79"/>
      <c r="D962" s="79"/>
      <c r="J962" s="79"/>
      <c r="N962" s="79"/>
      <c r="Q962" s="79"/>
      <c r="R962" s="79"/>
      <c r="V962" s="130"/>
      <c r="X962" s="106"/>
    </row>
    <row r="963">
      <c r="C963" s="79"/>
      <c r="D963" s="79"/>
      <c r="J963" s="79"/>
      <c r="N963" s="79"/>
      <c r="Q963" s="79"/>
      <c r="R963" s="79"/>
      <c r="V963" s="130"/>
      <c r="X963" s="106"/>
    </row>
    <row r="964">
      <c r="C964" s="79"/>
      <c r="D964" s="79"/>
      <c r="J964" s="79"/>
      <c r="N964" s="79"/>
      <c r="Q964" s="79"/>
      <c r="R964" s="79"/>
      <c r="V964" s="130"/>
      <c r="X964" s="106"/>
    </row>
    <row r="965">
      <c r="C965" s="79"/>
      <c r="D965" s="79"/>
      <c r="J965" s="79"/>
      <c r="N965" s="79"/>
      <c r="Q965" s="79"/>
      <c r="R965" s="79"/>
      <c r="V965" s="130"/>
      <c r="X965" s="106"/>
    </row>
    <row r="966">
      <c r="C966" s="79"/>
      <c r="D966" s="79"/>
      <c r="J966" s="79"/>
      <c r="N966" s="79"/>
      <c r="Q966" s="79"/>
      <c r="R966" s="79"/>
      <c r="V966" s="130"/>
      <c r="X966" s="106"/>
    </row>
    <row r="967">
      <c r="C967" s="79"/>
      <c r="D967" s="79"/>
      <c r="J967" s="79"/>
      <c r="N967" s="79"/>
      <c r="Q967" s="79"/>
      <c r="R967" s="79"/>
      <c r="V967" s="130"/>
      <c r="X967" s="106"/>
    </row>
    <row r="968">
      <c r="C968" s="79"/>
      <c r="D968" s="79"/>
      <c r="J968" s="79"/>
      <c r="N968" s="79"/>
      <c r="Q968" s="79"/>
      <c r="R968" s="79"/>
      <c r="V968" s="130"/>
      <c r="X968" s="106"/>
    </row>
    <row r="969">
      <c r="C969" s="79"/>
      <c r="D969" s="79"/>
      <c r="J969" s="79"/>
      <c r="N969" s="79"/>
      <c r="Q969" s="79"/>
      <c r="R969" s="79"/>
      <c r="V969" s="130"/>
      <c r="X969" s="106"/>
    </row>
    <row r="970">
      <c r="C970" s="79"/>
      <c r="D970" s="79"/>
      <c r="J970" s="79"/>
      <c r="N970" s="79"/>
      <c r="Q970" s="79"/>
      <c r="R970" s="79"/>
      <c r="V970" s="130"/>
      <c r="X970" s="106"/>
    </row>
    <row r="971">
      <c r="C971" s="79"/>
      <c r="D971" s="79"/>
      <c r="J971" s="79"/>
      <c r="N971" s="79"/>
      <c r="Q971" s="79"/>
      <c r="R971" s="79"/>
      <c r="V971" s="130"/>
      <c r="X971" s="106"/>
    </row>
    <row r="972">
      <c r="C972" s="79"/>
      <c r="D972" s="79"/>
      <c r="J972" s="79"/>
      <c r="N972" s="79"/>
      <c r="Q972" s="79"/>
      <c r="R972" s="79"/>
      <c r="V972" s="130"/>
      <c r="X972" s="106"/>
    </row>
    <row r="973">
      <c r="C973" s="79"/>
      <c r="D973" s="79"/>
      <c r="J973" s="79"/>
      <c r="N973" s="79"/>
      <c r="Q973" s="79"/>
      <c r="R973" s="79"/>
      <c r="V973" s="130"/>
      <c r="X973" s="106"/>
    </row>
    <row r="974">
      <c r="C974" s="79"/>
      <c r="D974" s="79"/>
      <c r="J974" s="79"/>
      <c r="N974" s="79"/>
      <c r="Q974" s="79"/>
      <c r="R974" s="79"/>
      <c r="V974" s="130"/>
      <c r="X974" s="106"/>
    </row>
    <row r="975">
      <c r="C975" s="79"/>
      <c r="D975" s="79"/>
      <c r="J975" s="79"/>
      <c r="N975" s="79"/>
      <c r="Q975" s="79"/>
      <c r="R975" s="79"/>
      <c r="V975" s="130"/>
      <c r="X975" s="106"/>
    </row>
    <row r="976">
      <c r="C976" s="79"/>
      <c r="D976" s="79"/>
      <c r="J976" s="79"/>
      <c r="N976" s="79"/>
      <c r="Q976" s="79"/>
      <c r="R976" s="79"/>
      <c r="V976" s="130"/>
      <c r="X976" s="106"/>
    </row>
    <row r="977">
      <c r="C977" s="79"/>
      <c r="D977" s="79"/>
      <c r="J977" s="79"/>
      <c r="N977" s="79"/>
      <c r="Q977" s="79"/>
      <c r="R977" s="79"/>
      <c r="V977" s="130"/>
      <c r="X977" s="106"/>
    </row>
    <row r="978">
      <c r="C978" s="79"/>
      <c r="D978" s="79"/>
      <c r="J978" s="79"/>
      <c r="N978" s="79"/>
      <c r="Q978" s="79"/>
      <c r="R978" s="79"/>
      <c r="V978" s="130"/>
      <c r="X978" s="106"/>
    </row>
    <row r="979">
      <c r="C979" s="79"/>
      <c r="D979" s="79"/>
      <c r="J979" s="79"/>
      <c r="N979" s="79"/>
      <c r="Q979" s="79"/>
      <c r="R979" s="79"/>
      <c r="V979" s="130"/>
      <c r="X979" s="106"/>
    </row>
    <row r="980">
      <c r="C980" s="79"/>
      <c r="D980" s="79"/>
      <c r="J980" s="79"/>
      <c r="N980" s="79"/>
      <c r="Q980" s="79"/>
      <c r="R980" s="79"/>
      <c r="V980" s="130"/>
      <c r="X980" s="106"/>
    </row>
    <row r="981">
      <c r="C981" s="79"/>
      <c r="D981" s="79"/>
      <c r="J981" s="79"/>
      <c r="N981" s="79"/>
      <c r="Q981" s="79"/>
      <c r="R981" s="79"/>
      <c r="V981" s="130"/>
      <c r="X981" s="106"/>
    </row>
    <row r="982">
      <c r="C982" s="79"/>
      <c r="D982" s="79"/>
      <c r="J982" s="79"/>
      <c r="N982" s="79"/>
      <c r="Q982" s="79"/>
      <c r="R982" s="79"/>
      <c r="V982" s="130"/>
      <c r="X982" s="106"/>
    </row>
    <row r="983">
      <c r="C983" s="79"/>
      <c r="D983" s="79"/>
      <c r="J983" s="79"/>
      <c r="N983" s="79"/>
      <c r="Q983" s="79"/>
      <c r="R983" s="79"/>
      <c r="V983" s="130"/>
      <c r="X983" s="106"/>
    </row>
    <row r="984">
      <c r="C984" s="79"/>
      <c r="D984" s="79"/>
      <c r="J984" s="79"/>
      <c r="N984" s="79"/>
      <c r="Q984" s="79"/>
      <c r="R984" s="79"/>
      <c r="V984" s="130"/>
      <c r="X984" s="106"/>
    </row>
    <row r="985">
      <c r="C985" s="79"/>
      <c r="D985" s="79"/>
      <c r="J985" s="79"/>
      <c r="N985" s="79"/>
      <c r="Q985" s="79"/>
      <c r="R985" s="79"/>
      <c r="V985" s="130"/>
      <c r="X985" s="106"/>
    </row>
    <row r="986">
      <c r="C986" s="79"/>
      <c r="D986" s="79"/>
      <c r="J986" s="79"/>
      <c r="N986" s="79"/>
      <c r="Q986" s="79"/>
      <c r="R986" s="79"/>
      <c r="V986" s="130"/>
      <c r="X986" s="106"/>
    </row>
    <row r="987">
      <c r="C987" s="79"/>
      <c r="D987" s="79"/>
      <c r="J987" s="79"/>
      <c r="N987" s="79"/>
      <c r="Q987" s="79"/>
      <c r="R987" s="79"/>
      <c r="V987" s="130"/>
      <c r="X987" s="106"/>
    </row>
    <row r="988">
      <c r="C988" s="79"/>
      <c r="D988" s="79"/>
      <c r="J988" s="79"/>
      <c r="N988" s="79"/>
      <c r="Q988" s="79"/>
      <c r="R988" s="79"/>
      <c r="V988" s="130"/>
      <c r="X988" s="106"/>
    </row>
    <row r="989">
      <c r="C989" s="79"/>
      <c r="D989" s="79"/>
      <c r="J989" s="79"/>
      <c r="N989" s="79"/>
      <c r="Q989" s="79"/>
      <c r="R989" s="79"/>
      <c r="V989" s="130"/>
      <c r="X989" s="106"/>
    </row>
    <row r="990">
      <c r="C990" s="79"/>
      <c r="D990" s="79"/>
      <c r="J990" s="79"/>
      <c r="N990" s="79"/>
      <c r="Q990" s="79"/>
      <c r="R990" s="79"/>
      <c r="V990" s="130"/>
      <c r="X990" s="106"/>
    </row>
    <row r="991">
      <c r="C991" s="79"/>
      <c r="D991" s="79"/>
      <c r="J991" s="79"/>
      <c r="N991" s="79"/>
      <c r="Q991" s="79"/>
      <c r="R991" s="79"/>
      <c r="V991" s="130"/>
      <c r="X991" s="106"/>
    </row>
    <row r="992">
      <c r="C992" s="79"/>
      <c r="D992" s="79"/>
      <c r="J992" s="79"/>
      <c r="N992" s="79"/>
      <c r="Q992" s="79"/>
      <c r="R992" s="79"/>
      <c r="V992" s="130"/>
      <c r="X992" s="106"/>
    </row>
    <row r="993">
      <c r="C993" s="79"/>
      <c r="D993" s="79"/>
      <c r="J993" s="79"/>
      <c r="N993" s="79"/>
      <c r="Q993" s="79"/>
      <c r="R993" s="79"/>
      <c r="V993" s="130"/>
      <c r="X993" s="106"/>
    </row>
    <row r="994">
      <c r="C994" s="79"/>
      <c r="D994" s="79"/>
      <c r="J994" s="79"/>
      <c r="N994" s="79"/>
      <c r="Q994" s="79"/>
      <c r="R994" s="79"/>
      <c r="V994" s="130"/>
      <c r="X994" s="106"/>
    </row>
    <row r="995">
      <c r="C995" s="79"/>
      <c r="D995" s="79"/>
      <c r="J995" s="79"/>
      <c r="N995" s="79"/>
      <c r="Q995" s="79"/>
      <c r="R995" s="79"/>
      <c r="V995" s="130"/>
      <c r="X995" s="106"/>
    </row>
    <row r="996">
      <c r="C996" s="79"/>
      <c r="D996" s="79"/>
      <c r="J996" s="79"/>
      <c r="N996" s="79"/>
      <c r="Q996" s="79"/>
      <c r="R996" s="79"/>
      <c r="V996" s="130"/>
      <c r="X996" s="106"/>
    </row>
    <row r="997">
      <c r="C997" s="79"/>
      <c r="D997" s="79"/>
      <c r="J997" s="79"/>
      <c r="N997" s="79"/>
      <c r="Q997" s="79"/>
      <c r="R997" s="79"/>
      <c r="V997" s="130"/>
      <c r="X997" s="106"/>
    </row>
    <row r="998">
      <c r="C998" s="79"/>
      <c r="D998" s="79"/>
      <c r="J998" s="79"/>
      <c r="N998" s="79"/>
      <c r="Q998" s="79"/>
      <c r="R998" s="79"/>
      <c r="V998" s="130"/>
      <c r="X998" s="106"/>
    </row>
    <row r="999">
      <c r="C999" s="79"/>
      <c r="D999" s="79"/>
      <c r="J999" s="79"/>
      <c r="N999" s="79"/>
      <c r="Q999" s="79"/>
      <c r="R999" s="79"/>
      <c r="V999" s="130"/>
      <c r="X999" s="106"/>
    </row>
    <row r="1000">
      <c r="C1000" s="79"/>
      <c r="D1000" s="79"/>
      <c r="J1000" s="79"/>
      <c r="N1000" s="79"/>
      <c r="Q1000" s="79"/>
      <c r="R1000" s="79"/>
      <c r="V1000" s="130"/>
      <c r="X1000" s="106"/>
    </row>
  </sheetData>
  <mergeCells count="1">
    <mergeCell ref="H19:J19"/>
  </mergeCells>
  <drawing r:id="rId2"/>
  <legacyDrawing r:id="rId3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16" max="17" width="14.13"/>
    <col customWidth="1" min="24" max="24" width="17.0"/>
  </cols>
  <sheetData>
    <row r="1">
      <c r="B1" s="2" t="s">
        <v>0</v>
      </c>
      <c r="C1" s="105" t="s">
        <v>1</v>
      </c>
      <c r="D1" s="105" t="s">
        <v>7</v>
      </c>
      <c r="E1" s="2" t="s">
        <v>3</v>
      </c>
      <c r="F1" s="2" t="s">
        <v>129</v>
      </c>
      <c r="G1" s="2" t="s">
        <v>5</v>
      </c>
      <c r="H1" s="2" t="s">
        <v>6</v>
      </c>
      <c r="I1" s="2" t="s">
        <v>43</v>
      </c>
      <c r="J1" s="105" t="s">
        <v>40</v>
      </c>
      <c r="K1" s="2" t="s">
        <v>49</v>
      </c>
      <c r="L1" s="2" t="s">
        <v>42</v>
      </c>
      <c r="M1" s="2" t="s">
        <v>121</v>
      </c>
      <c r="N1" s="105" t="s">
        <v>9</v>
      </c>
      <c r="O1" s="2" t="s">
        <v>37</v>
      </c>
      <c r="P1" s="2" t="s">
        <v>164</v>
      </c>
      <c r="Q1" s="2" t="s">
        <v>165</v>
      </c>
      <c r="R1" s="2" t="s">
        <v>10</v>
      </c>
      <c r="S1" s="105" t="s">
        <v>11</v>
      </c>
      <c r="T1" s="2" t="s">
        <v>12</v>
      </c>
      <c r="U1" s="3" t="s">
        <v>13</v>
      </c>
      <c r="V1" s="126" t="s">
        <v>14</v>
      </c>
      <c r="W1" s="3" t="s">
        <v>15</v>
      </c>
      <c r="X1" s="106"/>
    </row>
    <row r="2">
      <c r="A2" s="74">
        <v>45117.0</v>
      </c>
      <c r="B2" s="5">
        <v>1630.87</v>
      </c>
      <c r="C2" s="93">
        <v>477.8</v>
      </c>
      <c r="D2" s="93"/>
      <c r="E2" s="5"/>
      <c r="F2" s="5">
        <v>467.05</v>
      </c>
      <c r="G2" s="5"/>
      <c r="H2" s="5"/>
      <c r="I2" s="5"/>
      <c r="J2" s="72"/>
      <c r="K2" s="5">
        <v>168.0</v>
      </c>
      <c r="L2" s="5"/>
      <c r="M2" s="5"/>
      <c r="N2" s="93"/>
      <c r="O2" s="5"/>
      <c r="P2" s="5"/>
      <c r="Q2" s="5"/>
      <c r="R2" s="5">
        <v>64.0</v>
      </c>
      <c r="S2" s="93"/>
      <c r="T2" s="5"/>
      <c r="U2" s="107">
        <f t="shared" ref="U2:U7" si="1">SUM(B2:T2)</f>
        <v>2807.72</v>
      </c>
      <c r="V2" s="108">
        <v>5789.0</v>
      </c>
      <c r="W2" s="59">
        <f t="shared" ref="W2:W8" si="2">U2/V2</f>
        <v>0.4850095008</v>
      </c>
      <c r="X2" s="109">
        <f t="shared" ref="X2:X8" si="3">A2</f>
        <v>45117</v>
      </c>
    </row>
    <row r="3">
      <c r="A3" s="74">
        <v>45118.0</v>
      </c>
      <c r="B3" s="5">
        <v>633.4</v>
      </c>
      <c r="C3" s="110"/>
      <c r="D3" s="93"/>
      <c r="E3" s="5"/>
      <c r="F3" s="5"/>
      <c r="G3" s="5">
        <v>577.3</v>
      </c>
      <c r="H3" s="5">
        <v>42.0</v>
      </c>
      <c r="I3" s="5"/>
      <c r="J3" s="93"/>
      <c r="K3" s="5"/>
      <c r="L3" s="5">
        <v>144.0</v>
      </c>
      <c r="M3" s="6"/>
      <c r="N3" s="93"/>
      <c r="O3" s="93"/>
      <c r="P3" s="93"/>
      <c r="Q3" s="93"/>
      <c r="R3" s="5"/>
      <c r="S3" s="93"/>
      <c r="T3" s="93">
        <v>179.96</v>
      </c>
      <c r="U3" s="7">
        <f t="shared" si="1"/>
        <v>1576.66</v>
      </c>
      <c r="V3" s="97">
        <v>6835.8</v>
      </c>
      <c r="W3" s="59">
        <f t="shared" si="2"/>
        <v>0.2306474736</v>
      </c>
      <c r="X3" s="109">
        <f t="shared" si="3"/>
        <v>45118</v>
      </c>
    </row>
    <row r="4">
      <c r="A4" s="74">
        <v>45119.0</v>
      </c>
      <c r="B4" s="5">
        <v>696.95</v>
      </c>
      <c r="C4" s="93">
        <v>1334.81</v>
      </c>
      <c r="D4" s="93"/>
      <c r="E4" s="5"/>
      <c r="F4" s="5"/>
      <c r="G4" s="5"/>
      <c r="H4" s="5"/>
      <c r="I4" s="5"/>
      <c r="J4" s="93"/>
      <c r="K4" s="5"/>
      <c r="L4" s="5"/>
      <c r="M4" s="5">
        <v>18.5</v>
      </c>
      <c r="N4" s="93"/>
      <c r="O4" s="5"/>
      <c r="P4" s="5"/>
      <c r="Q4" s="5"/>
      <c r="R4" s="83"/>
      <c r="S4" s="93"/>
      <c r="T4" s="6"/>
      <c r="U4" s="7">
        <f t="shared" si="1"/>
        <v>2050.26</v>
      </c>
      <c r="V4" s="97">
        <v>9423.4</v>
      </c>
      <c r="W4" s="59">
        <f t="shared" si="2"/>
        <v>0.2175711527</v>
      </c>
      <c r="X4" s="109">
        <f t="shared" si="3"/>
        <v>45119</v>
      </c>
    </row>
    <row r="5">
      <c r="A5" s="74">
        <v>45120.0</v>
      </c>
      <c r="B5" s="5">
        <v>1429.21</v>
      </c>
      <c r="C5" s="93">
        <v>383.22</v>
      </c>
      <c r="D5" s="101"/>
      <c r="E5" s="5"/>
      <c r="F5" s="5"/>
      <c r="G5" s="5">
        <v>909.8</v>
      </c>
      <c r="H5" s="5">
        <v>123.0</v>
      </c>
      <c r="I5" s="5"/>
      <c r="J5" s="93"/>
      <c r="K5" s="5"/>
      <c r="L5" s="5"/>
      <c r="M5" s="5">
        <v>18.5</v>
      </c>
      <c r="N5" s="93"/>
      <c r="O5" s="5"/>
      <c r="P5" s="5">
        <v>615.0</v>
      </c>
      <c r="Q5" s="5">
        <v>224.0</v>
      </c>
      <c r="R5" s="5"/>
      <c r="S5" s="101"/>
      <c r="T5" s="6"/>
      <c r="U5" s="7">
        <f t="shared" si="1"/>
        <v>3702.73</v>
      </c>
      <c r="V5" s="98">
        <v>9875.6</v>
      </c>
      <c r="W5" s="59">
        <f t="shared" si="2"/>
        <v>0.374937219</v>
      </c>
      <c r="X5" s="109">
        <f t="shared" si="3"/>
        <v>45120</v>
      </c>
    </row>
    <row r="6">
      <c r="A6" s="74">
        <v>45121.0</v>
      </c>
      <c r="B6" s="5">
        <v>2253.89</v>
      </c>
      <c r="C6" s="93">
        <v>691.4</v>
      </c>
      <c r="D6" s="93"/>
      <c r="E6" s="5">
        <v>280.0</v>
      </c>
      <c r="F6" s="33">
        <v>740.86</v>
      </c>
      <c r="G6" s="5"/>
      <c r="H6" s="5"/>
      <c r="I6" s="5"/>
      <c r="J6" s="111"/>
      <c r="K6" s="5"/>
      <c r="L6" s="5"/>
      <c r="M6" s="5">
        <v>18.5</v>
      </c>
      <c r="N6" s="93"/>
      <c r="O6" s="5"/>
      <c r="P6" s="5"/>
      <c r="Q6" s="5"/>
      <c r="R6" s="5"/>
      <c r="S6" s="93"/>
      <c r="T6" s="5"/>
      <c r="U6" s="7">
        <f t="shared" si="1"/>
        <v>3984.65</v>
      </c>
      <c r="V6" s="97">
        <v>12427.2</v>
      </c>
      <c r="W6" s="59">
        <f t="shared" si="2"/>
        <v>0.3206394039</v>
      </c>
      <c r="X6" s="109">
        <f t="shared" si="3"/>
        <v>45121</v>
      </c>
    </row>
    <row r="7">
      <c r="A7" s="74">
        <v>45122.0</v>
      </c>
      <c r="B7" s="5">
        <v>1408.38</v>
      </c>
      <c r="C7" s="93">
        <v>459.98</v>
      </c>
      <c r="D7" s="93"/>
      <c r="E7" s="5"/>
      <c r="F7" s="5"/>
      <c r="G7" s="5"/>
      <c r="H7" s="5"/>
      <c r="I7" s="5"/>
      <c r="J7" s="101"/>
      <c r="K7" s="5"/>
      <c r="L7" s="5"/>
      <c r="M7" s="93"/>
      <c r="N7" s="93"/>
      <c r="O7" s="6"/>
      <c r="P7" s="6"/>
      <c r="Q7" s="6"/>
      <c r="R7" s="6"/>
      <c r="S7" s="101"/>
      <c r="T7" s="5">
        <v>48.36</v>
      </c>
      <c r="U7" s="7">
        <f t="shared" si="1"/>
        <v>1916.72</v>
      </c>
      <c r="V7" s="97">
        <v>16616.5</v>
      </c>
      <c r="W7" s="59">
        <f t="shared" si="2"/>
        <v>0.1153504047</v>
      </c>
      <c r="X7" s="109">
        <f t="shared" si="3"/>
        <v>45122</v>
      </c>
    </row>
    <row r="8">
      <c r="A8" s="74">
        <v>45123.0</v>
      </c>
      <c r="B8" s="10" t="s">
        <v>21</v>
      </c>
      <c r="C8" s="112" t="s">
        <v>21</v>
      </c>
      <c r="D8" s="112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12" t="s">
        <v>21</v>
      </c>
      <c r="K8" s="10" t="s">
        <v>21</v>
      </c>
      <c r="L8" s="10" t="s">
        <v>21</v>
      </c>
      <c r="M8" s="10"/>
      <c r="N8" s="112" t="s">
        <v>21</v>
      </c>
      <c r="O8" s="10" t="s">
        <v>21</v>
      </c>
      <c r="P8" s="10"/>
      <c r="Q8" s="10">
        <v>96.0</v>
      </c>
      <c r="R8" s="10" t="s">
        <v>21</v>
      </c>
      <c r="S8" s="112" t="s">
        <v>21</v>
      </c>
      <c r="T8" s="10" t="s">
        <v>21</v>
      </c>
      <c r="U8" s="7">
        <v>0.0</v>
      </c>
      <c r="V8" s="97">
        <v>9529.0</v>
      </c>
      <c r="W8" s="59">
        <f t="shared" si="2"/>
        <v>0</v>
      </c>
      <c r="X8" s="109">
        <f t="shared" si="3"/>
        <v>45123</v>
      </c>
    </row>
    <row r="9">
      <c r="C9" s="113"/>
      <c r="D9" s="79"/>
      <c r="J9" s="79"/>
      <c r="N9" s="79"/>
      <c r="S9" s="79"/>
      <c r="V9" s="129"/>
      <c r="X9" s="106"/>
    </row>
    <row r="10">
      <c r="C10" s="79"/>
      <c r="D10" s="79"/>
      <c r="J10" s="79"/>
      <c r="N10" s="79"/>
      <c r="S10" s="79"/>
      <c r="V10" s="130"/>
      <c r="X10" s="106"/>
    </row>
    <row r="11">
      <c r="A11" s="4" t="s">
        <v>22</v>
      </c>
      <c r="B11" s="11">
        <v>13000.0</v>
      </c>
      <c r="C11" s="79"/>
      <c r="D11" s="79"/>
      <c r="E11" s="78"/>
      <c r="F11" s="79"/>
      <c r="J11" s="79"/>
      <c r="N11" s="79"/>
      <c r="S11" s="79"/>
      <c r="V11" s="131"/>
      <c r="X11" s="106"/>
    </row>
    <row r="12">
      <c r="A12" s="4" t="s">
        <v>23</v>
      </c>
      <c r="B12" s="12">
        <f>SUM(B2:T8)</f>
        <v>16134.74</v>
      </c>
      <c r="C12" s="79"/>
      <c r="D12" s="79"/>
      <c r="E12" s="56"/>
      <c r="J12" s="79"/>
      <c r="N12" s="79"/>
      <c r="S12" s="79"/>
      <c r="V12" s="130"/>
      <c r="X12" s="106"/>
    </row>
    <row r="13">
      <c r="A13" s="4" t="s">
        <v>24</v>
      </c>
      <c r="B13" s="12">
        <f> SUM(B11-B12)</f>
        <v>-3134.74</v>
      </c>
      <c r="C13" s="79"/>
      <c r="D13" s="79"/>
      <c r="J13" s="79"/>
      <c r="N13" s="79"/>
      <c r="S13" s="79"/>
      <c r="V13" s="130"/>
      <c r="X13" s="106"/>
    </row>
    <row r="14">
      <c r="C14" s="79"/>
      <c r="D14" s="79"/>
      <c r="J14" s="79"/>
      <c r="N14" s="79"/>
      <c r="S14" s="79"/>
      <c r="V14" s="130"/>
      <c r="X14" s="106"/>
    </row>
    <row r="15">
      <c r="A15" s="13" t="s">
        <v>25</v>
      </c>
      <c r="B15" s="14">
        <f>SUM(V2:V8)</f>
        <v>70496.5</v>
      </c>
      <c r="C15" s="79"/>
      <c r="D15" s="79"/>
      <c r="J15" s="79"/>
      <c r="N15" s="79"/>
      <c r="S15" s="79"/>
      <c r="V15" s="130"/>
      <c r="X15" s="106"/>
    </row>
    <row r="16">
      <c r="A16" s="13" t="s">
        <v>26</v>
      </c>
      <c r="B16" s="15">
        <f>B12/B15</f>
        <v>0.2288729228</v>
      </c>
      <c r="C16" s="79"/>
      <c r="D16" s="79"/>
      <c r="J16" s="79"/>
      <c r="N16" s="79"/>
      <c r="S16" s="79"/>
      <c r="V16" s="130"/>
      <c r="X16" s="106"/>
    </row>
    <row r="17">
      <c r="C17" s="79"/>
      <c r="D17" s="79"/>
      <c r="J17" s="79"/>
      <c r="N17" s="79"/>
      <c r="S17" s="79"/>
      <c r="V17" s="130"/>
      <c r="X17" s="106"/>
    </row>
    <row r="18">
      <c r="C18" s="79"/>
      <c r="D18" s="79"/>
      <c r="J18" s="79"/>
      <c r="N18" s="79"/>
      <c r="S18" s="79"/>
      <c r="V18" s="130"/>
      <c r="X18" s="106"/>
    </row>
    <row r="19">
      <c r="A19" s="16" t="s">
        <v>27</v>
      </c>
      <c r="B19" s="17"/>
      <c r="C19" s="114"/>
      <c r="D19" s="115"/>
      <c r="H19" s="84"/>
      <c r="N19" s="79"/>
      <c r="S19" s="79"/>
      <c r="V19" s="130"/>
      <c r="X19" s="106"/>
    </row>
    <row r="20">
      <c r="A20" s="19" t="s">
        <v>28</v>
      </c>
      <c r="B20" s="20"/>
      <c r="C20" s="116"/>
      <c r="D20" s="117"/>
      <c r="H20" s="85"/>
      <c r="I20" s="85"/>
      <c r="J20" s="118"/>
      <c r="N20" s="79"/>
      <c r="S20" s="79"/>
      <c r="V20" s="130"/>
      <c r="X20" s="106"/>
    </row>
    <row r="21">
      <c r="A21" s="22" t="s">
        <v>29</v>
      </c>
      <c r="B21" s="23" t="s">
        <v>30</v>
      </c>
      <c r="C21" s="119" t="s">
        <v>31</v>
      </c>
      <c r="D21" s="120" t="s">
        <v>30</v>
      </c>
      <c r="H21" s="86"/>
      <c r="I21" s="85"/>
      <c r="J21" s="118"/>
      <c r="N21" s="79"/>
      <c r="S21" s="79"/>
      <c r="V21" s="130"/>
      <c r="X21" s="106"/>
    </row>
    <row r="22">
      <c r="A22" s="28" t="s">
        <v>149</v>
      </c>
      <c r="B22" s="72"/>
      <c r="C22" s="121"/>
      <c r="D22" s="122"/>
      <c r="H22" s="87"/>
      <c r="I22" s="85"/>
      <c r="J22" s="118"/>
      <c r="N22" s="79"/>
      <c r="S22" s="79"/>
      <c r="V22" s="130"/>
      <c r="X22" s="106"/>
    </row>
    <row r="23">
      <c r="A23" s="28" t="s">
        <v>150</v>
      </c>
      <c r="B23" s="72" t="s">
        <v>166</v>
      </c>
      <c r="C23" s="121"/>
      <c r="D23" s="135">
        <v>920.19</v>
      </c>
      <c r="H23" s="88"/>
      <c r="I23" s="88"/>
      <c r="J23" s="123"/>
      <c r="N23" s="79"/>
      <c r="S23" s="79"/>
      <c r="V23" s="130"/>
      <c r="X23" s="106"/>
    </row>
    <row r="24">
      <c r="A24" s="71" t="s">
        <v>108</v>
      </c>
      <c r="B24" s="72"/>
      <c r="C24" s="71"/>
      <c r="D24" s="124"/>
      <c r="H24" s="88"/>
      <c r="I24" s="88"/>
      <c r="J24" s="123"/>
      <c r="N24" s="79"/>
      <c r="S24" s="79"/>
      <c r="V24" s="130"/>
      <c r="X24" s="106"/>
    </row>
    <row r="25">
      <c r="A25" s="28" t="s">
        <v>159</v>
      </c>
      <c r="B25" s="41"/>
      <c r="C25" s="121"/>
      <c r="D25" s="124"/>
      <c r="H25" s="88"/>
      <c r="I25" s="88"/>
      <c r="J25" s="123"/>
      <c r="N25" s="79"/>
      <c r="S25" s="79"/>
      <c r="V25" s="130"/>
      <c r="X25" s="106"/>
    </row>
    <row r="26">
      <c r="A26" s="28" t="s">
        <v>160</v>
      </c>
      <c r="B26" s="41"/>
      <c r="C26" s="71"/>
      <c r="D26" s="124"/>
      <c r="H26" s="88"/>
      <c r="I26" s="88"/>
      <c r="J26" s="123"/>
      <c r="N26" s="79"/>
      <c r="S26" s="79"/>
      <c r="V26" s="130"/>
      <c r="X26" s="106"/>
    </row>
    <row r="27">
      <c r="A27" s="25"/>
      <c r="B27" s="26"/>
      <c r="C27" s="121"/>
      <c r="D27" s="122"/>
      <c r="H27" s="88"/>
      <c r="I27" s="88"/>
      <c r="J27" s="123"/>
      <c r="N27" s="79"/>
      <c r="S27" s="79"/>
      <c r="V27" s="130"/>
      <c r="X27" s="106"/>
    </row>
    <row r="28">
      <c r="A28" s="25"/>
      <c r="B28" s="26"/>
      <c r="C28" s="121"/>
      <c r="D28" s="122"/>
      <c r="J28" s="79"/>
      <c r="N28" s="79"/>
      <c r="S28" s="79"/>
      <c r="V28" s="132"/>
      <c r="X28" s="106"/>
    </row>
    <row r="29">
      <c r="A29" s="25"/>
      <c r="B29" s="26"/>
      <c r="C29" s="121"/>
      <c r="D29" s="122"/>
      <c r="I29" s="89"/>
      <c r="J29" s="125"/>
      <c r="N29" s="79"/>
      <c r="S29" s="79"/>
      <c r="V29" s="130"/>
      <c r="X29" s="106"/>
    </row>
    <row r="30">
      <c r="C30" s="79"/>
      <c r="D30" s="79"/>
      <c r="J30" s="79"/>
      <c r="N30" s="79"/>
      <c r="S30" s="79"/>
      <c r="V30" s="130"/>
      <c r="X30" s="106"/>
    </row>
    <row r="31">
      <c r="C31" s="79"/>
      <c r="D31" s="79"/>
      <c r="J31" s="79"/>
      <c r="N31" s="79"/>
      <c r="S31" s="79"/>
      <c r="V31" s="130"/>
      <c r="X31" s="106"/>
    </row>
    <row r="32">
      <c r="C32" s="79"/>
      <c r="D32" s="79"/>
      <c r="J32" s="79"/>
      <c r="N32" s="79"/>
      <c r="S32" s="79"/>
      <c r="V32" s="130"/>
      <c r="X32" s="106"/>
    </row>
    <row r="33">
      <c r="C33" s="79"/>
      <c r="D33" s="79"/>
      <c r="J33" s="79"/>
      <c r="N33" s="79"/>
      <c r="S33" s="79"/>
      <c r="V33" s="130"/>
      <c r="X33" s="106"/>
    </row>
    <row r="34">
      <c r="C34" s="79"/>
      <c r="D34" s="79"/>
      <c r="J34" s="79"/>
      <c r="N34" s="79"/>
      <c r="S34" s="79"/>
      <c r="V34" s="130"/>
      <c r="X34" s="106"/>
    </row>
    <row r="35">
      <c r="C35" s="79"/>
      <c r="D35" s="79"/>
      <c r="J35" s="79"/>
      <c r="N35" s="79"/>
      <c r="S35" s="79"/>
      <c r="V35" s="130"/>
      <c r="X35" s="106"/>
    </row>
    <row r="36">
      <c r="C36" s="79"/>
      <c r="D36" s="79"/>
      <c r="J36" s="79"/>
      <c r="N36" s="79"/>
      <c r="S36" s="79"/>
      <c r="V36" s="130"/>
      <c r="X36" s="106"/>
    </row>
    <row r="37">
      <c r="C37" s="79"/>
      <c r="D37" s="79"/>
      <c r="J37" s="79"/>
      <c r="N37" s="79"/>
      <c r="S37" s="79"/>
      <c r="V37" s="130"/>
      <c r="X37" s="106"/>
    </row>
    <row r="38">
      <c r="C38" s="79"/>
      <c r="D38" s="79"/>
      <c r="J38" s="79"/>
      <c r="N38" s="79"/>
      <c r="S38" s="79"/>
      <c r="V38" s="130"/>
      <c r="X38" s="106"/>
    </row>
    <row r="39">
      <c r="C39" s="79"/>
      <c r="D39" s="79"/>
      <c r="J39" s="79"/>
      <c r="N39" s="79"/>
      <c r="S39" s="79"/>
      <c r="V39" s="130"/>
      <c r="X39" s="106"/>
    </row>
    <row r="40">
      <c r="C40" s="79"/>
      <c r="D40" s="79"/>
      <c r="J40" s="79"/>
      <c r="N40" s="79"/>
      <c r="S40" s="79"/>
      <c r="V40" s="130"/>
      <c r="X40" s="106"/>
    </row>
    <row r="41">
      <c r="C41" s="79"/>
      <c r="D41" s="79"/>
      <c r="J41" s="79"/>
      <c r="N41" s="79"/>
      <c r="S41" s="79"/>
      <c r="V41" s="130"/>
      <c r="X41" s="106"/>
    </row>
    <row r="42">
      <c r="C42" s="79"/>
      <c r="D42" s="79"/>
      <c r="J42" s="79"/>
      <c r="N42" s="79"/>
      <c r="S42" s="79"/>
      <c r="V42" s="130"/>
      <c r="X42" s="106"/>
    </row>
    <row r="43">
      <c r="C43" s="79"/>
      <c r="D43" s="79"/>
      <c r="J43" s="79"/>
      <c r="N43" s="79"/>
      <c r="S43" s="79"/>
      <c r="V43" s="130"/>
      <c r="X43" s="106"/>
    </row>
    <row r="44">
      <c r="C44" s="79"/>
      <c r="D44" s="79"/>
      <c r="J44" s="79"/>
      <c r="N44" s="79"/>
      <c r="S44" s="79"/>
      <c r="V44" s="130"/>
      <c r="X44" s="106"/>
    </row>
    <row r="45">
      <c r="C45" s="79"/>
      <c r="D45" s="79"/>
      <c r="J45" s="79"/>
      <c r="N45" s="79"/>
      <c r="S45" s="79"/>
      <c r="V45" s="130"/>
      <c r="X45" s="106"/>
    </row>
    <row r="46">
      <c r="C46" s="79"/>
      <c r="D46" s="79"/>
      <c r="J46" s="79"/>
      <c r="N46" s="79"/>
      <c r="S46" s="79"/>
      <c r="V46" s="130"/>
      <c r="X46" s="106"/>
    </row>
    <row r="47">
      <c r="C47" s="79"/>
      <c r="D47" s="79"/>
      <c r="J47" s="79"/>
      <c r="N47" s="79"/>
      <c r="S47" s="79"/>
      <c r="V47" s="130"/>
      <c r="X47" s="106"/>
    </row>
    <row r="48">
      <c r="C48" s="79"/>
      <c r="D48" s="79"/>
      <c r="J48" s="79"/>
      <c r="N48" s="79"/>
      <c r="S48" s="79"/>
      <c r="V48" s="130"/>
      <c r="X48" s="106"/>
    </row>
    <row r="49">
      <c r="C49" s="79"/>
      <c r="D49" s="79"/>
      <c r="J49" s="79"/>
      <c r="N49" s="79"/>
      <c r="S49" s="79"/>
      <c r="V49" s="130"/>
      <c r="X49" s="106"/>
    </row>
    <row r="50">
      <c r="C50" s="79"/>
      <c r="D50" s="79"/>
      <c r="J50" s="79"/>
      <c r="N50" s="79"/>
      <c r="S50" s="79"/>
      <c r="V50" s="130"/>
      <c r="X50" s="106"/>
    </row>
    <row r="51">
      <c r="C51" s="79"/>
      <c r="D51" s="79"/>
      <c r="J51" s="79"/>
      <c r="N51" s="79"/>
      <c r="S51" s="79"/>
      <c r="V51" s="130"/>
      <c r="X51" s="106"/>
    </row>
    <row r="52">
      <c r="C52" s="79"/>
      <c r="D52" s="79"/>
      <c r="J52" s="79"/>
      <c r="N52" s="79"/>
      <c r="S52" s="79"/>
      <c r="V52" s="130"/>
      <c r="X52" s="106"/>
    </row>
    <row r="53">
      <c r="C53" s="79"/>
      <c r="D53" s="79"/>
      <c r="J53" s="79"/>
      <c r="N53" s="79"/>
      <c r="S53" s="79"/>
      <c r="V53" s="130"/>
      <c r="X53" s="106"/>
    </row>
    <row r="54">
      <c r="C54" s="79"/>
      <c r="D54" s="79"/>
      <c r="J54" s="79"/>
      <c r="N54" s="79"/>
      <c r="S54" s="79"/>
      <c r="V54" s="130"/>
      <c r="X54" s="106"/>
    </row>
    <row r="55">
      <c r="C55" s="79"/>
      <c r="D55" s="79"/>
      <c r="J55" s="79"/>
      <c r="N55" s="79"/>
      <c r="S55" s="79"/>
      <c r="V55" s="130"/>
      <c r="X55" s="106"/>
    </row>
    <row r="56">
      <c r="C56" s="79"/>
      <c r="D56" s="79"/>
      <c r="J56" s="79"/>
      <c r="N56" s="79"/>
      <c r="S56" s="79"/>
      <c r="V56" s="130"/>
      <c r="X56" s="106"/>
    </row>
    <row r="57">
      <c r="C57" s="79"/>
      <c r="D57" s="79"/>
      <c r="J57" s="79"/>
      <c r="N57" s="79"/>
      <c r="S57" s="79"/>
      <c r="V57" s="130"/>
      <c r="X57" s="106"/>
    </row>
    <row r="58">
      <c r="C58" s="79"/>
      <c r="D58" s="79"/>
      <c r="J58" s="79"/>
      <c r="N58" s="79"/>
      <c r="S58" s="79"/>
      <c r="V58" s="130"/>
      <c r="X58" s="106"/>
    </row>
    <row r="59">
      <c r="C59" s="79"/>
      <c r="D59" s="79"/>
      <c r="J59" s="79"/>
      <c r="N59" s="79"/>
      <c r="S59" s="79"/>
      <c r="V59" s="130"/>
      <c r="X59" s="106"/>
    </row>
    <row r="60">
      <c r="C60" s="79"/>
      <c r="D60" s="79"/>
      <c r="J60" s="79"/>
      <c r="N60" s="79"/>
      <c r="S60" s="79"/>
      <c r="V60" s="130"/>
      <c r="X60" s="106"/>
    </row>
    <row r="61">
      <c r="C61" s="79"/>
      <c r="D61" s="79"/>
      <c r="J61" s="79"/>
      <c r="N61" s="79"/>
      <c r="S61" s="79"/>
      <c r="V61" s="130"/>
      <c r="X61" s="106"/>
    </row>
    <row r="62">
      <c r="C62" s="79"/>
      <c r="D62" s="79"/>
      <c r="J62" s="79"/>
      <c r="N62" s="79"/>
      <c r="S62" s="79"/>
      <c r="V62" s="130"/>
      <c r="X62" s="106"/>
    </row>
    <row r="63">
      <c r="C63" s="79"/>
      <c r="D63" s="79"/>
      <c r="J63" s="79"/>
      <c r="N63" s="79"/>
      <c r="S63" s="79"/>
      <c r="V63" s="130"/>
      <c r="X63" s="106"/>
    </row>
    <row r="64">
      <c r="C64" s="79"/>
      <c r="D64" s="79"/>
      <c r="J64" s="79"/>
      <c r="N64" s="79"/>
      <c r="S64" s="79"/>
      <c r="V64" s="130"/>
      <c r="X64" s="106"/>
    </row>
    <row r="65">
      <c r="C65" s="79"/>
      <c r="D65" s="79"/>
      <c r="J65" s="79"/>
      <c r="N65" s="79"/>
      <c r="S65" s="79"/>
      <c r="V65" s="130"/>
      <c r="X65" s="106"/>
    </row>
    <row r="66">
      <c r="C66" s="79"/>
      <c r="D66" s="79"/>
      <c r="J66" s="79"/>
      <c r="N66" s="79"/>
      <c r="S66" s="79"/>
      <c r="V66" s="130"/>
      <c r="X66" s="106"/>
    </row>
    <row r="67">
      <c r="C67" s="79"/>
      <c r="D67" s="79"/>
      <c r="J67" s="79"/>
      <c r="N67" s="79"/>
      <c r="S67" s="79"/>
      <c r="V67" s="130"/>
      <c r="X67" s="106"/>
    </row>
    <row r="68">
      <c r="C68" s="79"/>
      <c r="D68" s="79"/>
      <c r="J68" s="79"/>
      <c r="N68" s="79"/>
      <c r="S68" s="79"/>
      <c r="V68" s="130"/>
      <c r="X68" s="106"/>
    </row>
    <row r="69">
      <c r="C69" s="79"/>
      <c r="D69" s="79"/>
      <c r="J69" s="79"/>
      <c r="N69" s="79"/>
      <c r="S69" s="79"/>
      <c r="V69" s="130"/>
      <c r="X69" s="106"/>
    </row>
    <row r="70">
      <c r="C70" s="79"/>
      <c r="D70" s="79"/>
      <c r="J70" s="79"/>
      <c r="N70" s="79"/>
      <c r="S70" s="79"/>
      <c r="V70" s="130"/>
      <c r="X70" s="106"/>
    </row>
    <row r="71">
      <c r="C71" s="79"/>
      <c r="D71" s="79"/>
      <c r="J71" s="79"/>
      <c r="N71" s="79"/>
      <c r="S71" s="79"/>
      <c r="V71" s="130"/>
      <c r="X71" s="106"/>
    </row>
    <row r="72">
      <c r="C72" s="79"/>
      <c r="D72" s="79"/>
      <c r="J72" s="79"/>
      <c r="N72" s="79"/>
      <c r="S72" s="79"/>
      <c r="V72" s="130"/>
      <c r="X72" s="106"/>
    </row>
    <row r="73">
      <c r="C73" s="79"/>
      <c r="D73" s="79"/>
      <c r="J73" s="79"/>
      <c r="N73" s="79"/>
      <c r="S73" s="79"/>
      <c r="V73" s="130"/>
      <c r="X73" s="106"/>
    </row>
    <row r="74">
      <c r="C74" s="79"/>
      <c r="D74" s="79"/>
      <c r="J74" s="79"/>
      <c r="N74" s="79"/>
      <c r="S74" s="79"/>
      <c r="V74" s="130"/>
      <c r="X74" s="106"/>
    </row>
    <row r="75">
      <c r="C75" s="79"/>
      <c r="D75" s="79"/>
      <c r="J75" s="79"/>
      <c r="N75" s="79"/>
      <c r="S75" s="79"/>
      <c r="V75" s="130"/>
      <c r="X75" s="106"/>
    </row>
    <row r="76">
      <c r="C76" s="79"/>
      <c r="D76" s="79"/>
      <c r="J76" s="79"/>
      <c r="N76" s="79"/>
      <c r="S76" s="79"/>
      <c r="V76" s="130"/>
      <c r="X76" s="106"/>
    </row>
    <row r="77">
      <c r="C77" s="79"/>
      <c r="D77" s="79"/>
      <c r="J77" s="79"/>
      <c r="N77" s="79"/>
      <c r="S77" s="79"/>
      <c r="V77" s="130"/>
      <c r="X77" s="106"/>
    </row>
    <row r="78">
      <c r="C78" s="79"/>
      <c r="D78" s="79"/>
      <c r="J78" s="79"/>
      <c r="N78" s="79"/>
      <c r="S78" s="79"/>
      <c r="V78" s="130"/>
      <c r="X78" s="106"/>
    </row>
    <row r="79">
      <c r="C79" s="79"/>
      <c r="D79" s="79"/>
      <c r="J79" s="79"/>
      <c r="N79" s="79"/>
      <c r="S79" s="79"/>
      <c r="V79" s="130"/>
      <c r="X79" s="106"/>
    </row>
    <row r="80">
      <c r="C80" s="79"/>
      <c r="D80" s="79"/>
      <c r="J80" s="79"/>
      <c r="N80" s="79"/>
      <c r="S80" s="79"/>
      <c r="V80" s="130"/>
      <c r="X80" s="106"/>
    </row>
    <row r="81">
      <c r="C81" s="79"/>
      <c r="D81" s="79"/>
      <c r="J81" s="79"/>
      <c r="N81" s="79"/>
      <c r="S81" s="79"/>
      <c r="V81" s="130"/>
      <c r="X81" s="106"/>
    </row>
    <row r="82">
      <c r="C82" s="79"/>
      <c r="D82" s="79"/>
      <c r="J82" s="79"/>
      <c r="N82" s="79"/>
      <c r="S82" s="79"/>
      <c r="V82" s="130"/>
      <c r="X82" s="106"/>
    </row>
    <row r="83">
      <c r="C83" s="79"/>
      <c r="D83" s="79"/>
      <c r="J83" s="79"/>
      <c r="N83" s="79"/>
      <c r="S83" s="79"/>
      <c r="V83" s="130"/>
      <c r="X83" s="106"/>
    </row>
    <row r="84">
      <c r="C84" s="79"/>
      <c r="D84" s="79"/>
      <c r="J84" s="79"/>
      <c r="N84" s="79"/>
      <c r="S84" s="79"/>
      <c r="V84" s="130"/>
      <c r="X84" s="106"/>
    </row>
    <row r="85">
      <c r="C85" s="79"/>
      <c r="D85" s="79"/>
      <c r="J85" s="79"/>
      <c r="N85" s="79"/>
      <c r="S85" s="79"/>
      <c r="V85" s="130"/>
      <c r="X85" s="106"/>
    </row>
    <row r="86">
      <c r="C86" s="79"/>
      <c r="D86" s="79"/>
      <c r="J86" s="79"/>
      <c r="N86" s="79"/>
      <c r="S86" s="79"/>
      <c r="V86" s="130"/>
      <c r="X86" s="106"/>
    </row>
    <row r="87">
      <c r="C87" s="79"/>
      <c r="D87" s="79"/>
      <c r="J87" s="79"/>
      <c r="N87" s="79"/>
      <c r="S87" s="79"/>
      <c r="V87" s="130"/>
      <c r="X87" s="106"/>
    </row>
    <row r="88">
      <c r="C88" s="79"/>
      <c r="D88" s="79"/>
      <c r="J88" s="79"/>
      <c r="N88" s="79"/>
      <c r="S88" s="79"/>
      <c r="V88" s="130"/>
      <c r="X88" s="106"/>
    </row>
    <row r="89">
      <c r="C89" s="79"/>
      <c r="D89" s="79"/>
      <c r="J89" s="79"/>
      <c r="N89" s="79"/>
      <c r="S89" s="79"/>
      <c r="V89" s="130"/>
      <c r="X89" s="106"/>
    </row>
    <row r="90">
      <c r="C90" s="79"/>
      <c r="D90" s="79"/>
      <c r="J90" s="79"/>
      <c r="N90" s="79"/>
      <c r="S90" s="79"/>
      <c r="V90" s="130"/>
      <c r="X90" s="106"/>
    </row>
    <row r="91">
      <c r="C91" s="79"/>
      <c r="D91" s="79"/>
      <c r="J91" s="79"/>
      <c r="N91" s="79"/>
      <c r="S91" s="79"/>
      <c r="V91" s="130"/>
      <c r="X91" s="106"/>
    </row>
    <row r="92">
      <c r="C92" s="79"/>
      <c r="D92" s="79"/>
      <c r="J92" s="79"/>
      <c r="N92" s="79"/>
      <c r="S92" s="79"/>
      <c r="V92" s="130"/>
      <c r="X92" s="106"/>
    </row>
    <row r="93">
      <c r="C93" s="79"/>
      <c r="D93" s="79"/>
      <c r="J93" s="79"/>
      <c r="N93" s="79"/>
      <c r="S93" s="79"/>
      <c r="V93" s="130"/>
      <c r="X93" s="106"/>
    </row>
    <row r="94">
      <c r="C94" s="79"/>
      <c r="D94" s="79"/>
      <c r="J94" s="79"/>
      <c r="N94" s="79"/>
      <c r="S94" s="79"/>
      <c r="V94" s="130"/>
      <c r="X94" s="106"/>
    </row>
    <row r="95">
      <c r="C95" s="79"/>
      <c r="D95" s="79"/>
      <c r="J95" s="79"/>
      <c r="N95" s="79"/>
      <c r="S95" s="79"/>
      <c r="V95" s="130"/>
      <c r="X95" s="106"/>
    </row>
    <row r="96">
      <c r="C96" s="79"/>
      <c r="D96" s="79"/>
      <c r="J96" s="79"/>
      <c r="N96" s="79"/>
      <c r="S96" s="79"/>
      <c r="V96" s="130"/>
      <c r="X96" s="106"/>
    </row>
    <row r="97">
      <c r="C97" s="79"/>
      <c r="D97" s="79"/>
      <c r="J97" s="79"/>
      <c r="N97" s="79"/>
      <c r="S97" s="79"/>
      <c r="V97" s="130"/>
      <c r="X97" s="106"/>
    </row>
    <row r="98">
      <c r="C98" s="79"/>
      <c r="D98" s="79"/>
      <c r="J98" s="79"/>
      <c r="N98" s="79"/>
      <c r="S98" s="79"/>
      <c r="V98" s="130"/>
      <c r="X98" s="106"/>
    </row>
    <row r="99">
      <c r="C99" s="79"/>
      <c r="D99" s="79"/>
      <c r="J99" s="79"/>
      <c r="N99" s="79"/>
      <c r="S99" s="79"/>
      <c r="V99" s="130"/>
      <c r="X99" s="106"/>
    </row>
    <row r="100">
      <c r="C100" s="79"/>
      <c r="D100" s="79"/>
      <c r="J100" s="79"/>
      <c r="N100" s="79"/>
      <c r="S100" s="79"/>
      <c r="V100" s="130"/>
      <c r="X100" s="106"/>
    </row>
    <row r="101">
      <c r="C101" s="79"/>
      <c r="D101" s="79"/>
      <c r="J101" s="79"/>
      <c r="N101" s="79"/>
      <c r="S101" s="79"/>
      <c r="V101" s="130"/>
      <c r="X101" s="106"/>
    </row>
    <row r="102">
      <c r="C102" s="79"/>
      <c r="D102" s="79"/>
      <c r="J102" s="79"/>
      <c r="N102" s="79"/>
      <c r="S102" s="79"/>
      <c r="V102" s="130"/>
      <c r="X102" s="106"/>
    </row>
    <row r="103">
      <c r="C103" s="79"/>
      <c r="D103" s="79"/>
      <c r="J103" s="79"/>
      <c r="N103" s="79"/>
      <c r="S103" s="79"/>
      <c r="V103" s="130"/>
      <c r="X103" s="106"/>
    </row>
    <row r="104">
      <c r="C104" s="79"/>
      <c r="D104" s="79"/>
      <c r="J104" s="79"/>
      <c r="N104" s="79"/>
      <c r="S104" s="79"/>
      <c r="V104" s="130"/>
      <c r="X104" s="106"/>
    </row>
    <row r="105">
      <c r="C105" s="79"/>
      <c r="D105" s="79"/>
      <c r="J105" s="79"/>
      <c r="N105" s="79"/>
      <c r="S105" s="79"/>
      <c r="V105" s="130"/>
      <c r="X105" s="106"/>
    </row>
    <row r="106">
      <c r="C106" s="79"/>
      <c r="D106" s="79"/>
      <c r="J106" s="79"/>
      <c r="N106" s="79"/>
      <c r="S106" s="79"/>
      <c r="V106" s="130"/>
      <c r="X106" s="106"/>
    </row>
    <row r="107">
      <c r="C107" s="79"/>
      <c r="D107" s="79"/>
      <c r="J107" s="79"/>
      <c r="N107" s="79"/>
      <c r="S107" s="79"/>
      <c r="V107" s="130"/>
      <c r="X107" s="106"/>
    </row>
    <row r="108">
      <c r="C108" s="79"/>
      <c r="D108" s="79"/>
      <c r="J108" s="79"/>
      <c r="N108" s="79"/>
      <c r="S108" s="79"/>
      <c r="V108" s="130"/>
      <c r="X108" s="106"/>
    </row>
    <row r="109">
      <c r="C109" s="79"/>
      <c r="D109" s="79"/>
      <c r="J109" s="79"/>
      <c r="N109" s="79"/>
      <c r="S109" s="79"/>
      <c r="V109" s="130"/>
      <c r="X109" s="106"/>
    </row>
    <row r="110">
      <c r="C110" s="79"/>
      <c r="D110" s="79"/>
      <c r="J110" s="79"/>
      <c r="N110" s="79"/>
      <c r="S110" s="79"/>
      <c r="V110" s="130"/>
      <c r="X110" s="106"/>
    </row>
    <row r="111">
      <c r="C111" s="79"/>
      <c r="D111" s="79"/>
      <c r="J111" s="79"/>
      <c r="N111" s="79"/>
      <c r="S111" s="79"/>
      <c r="V111" s="130"/>
      <c r="X111" s="106"/>
    </row>
    <row r="112">
      <c r="C112" s="79"/>
      <c r="D112" s="79"/>
      <c r="J112" s="79"/>
      <c r="N112" s="79"/>
      <c r="S112" s="79"/>
      <c r="V112" s="130"/>
      <c r="X112" s="106"/>
    </row>
    <row r="113">
      <c r="C113" s="79"/>
      <c r="D113" s="79"/>
      <c r="J113" s="79"/>
      <c r="N113" s="79"/>
      <c r="S113" s="79"/>
      <c r="V113" s="130"/>
      <c r="X113" s="106"/>
    </row>
    <row r="114">
      <c r="C114" s="79"/>
      <c r="D114" s="79"/>
      <c r="J114" s="79"/>
      <c r="N114" s="79"/>
      <c r="S114" s="79"/>
      <c r="V114" s="130"/>
      <c r="X114" s="106"/>
    </row>
    <row r="115">
      <c r="C115" s="79"/>
      <c r="D115" s="79"/>
      <c r="J115" s="79"/>
      <c r="N115" s="79"/>
      <c r="S115" s="79"/>
      <c r="V115" s="130"/>
      <c r="X115" s="106"/>
    </row>
    <row r="116">
      <c r="C116" s="79"/>
      <c r="D116" s="79"/>
      <c r="J116" s="79"/>
      <c r="N116" s="79"/>
      <c r="S116" s="79"/>
      <c r="V116" s="130"/>
      <c r="X116" s="106"/>
    </row>
    <row r="117">
      <c r="C117" s="79"/>
      <c r="D117" s="79"/>
      <c r="J117" s="79"/>
      <c r="N117" s="79"/>
      <c r="S117" s="79"/>
      <c r="V117" s="130"/>
      <c r="X117" s="106"/>
    </row>
    <row r="118">
      <c r="C118" s="79"/>
      <c r="D118" s="79"/>
      <c r="J118" s="79"/>
      <c r="N118" s="79"/>
      <c r="S118" s="79"/>
      <c r="V118" s="130"/>
      <c r="X118" s="106"/>
    </row>
    <row r="119">
      <c r="C119" s="79"/>
      <c r="D119" s="79"/>
      <c r="J119" s="79"/>
      <c r="N119" s="79"/>
      <c r="S119" s="79"/>
      <c r="V119" s="130"/>
      <c r="X119" s="106"/>
    </row>
    <row r="120">
      <c r="C120" s="79"/>
      <c r="D120" s="79"/>
      <c r="J120" s="79"/>
      <c r="N120" s="79"/>
      <c r="S120" s="79"/>
      <c r="V120" s="130"/>
      <c r="X120" s="106"/>
    </row>
    <row r="121">
      <c r="C121" s="79"/>
      <c r="D121" s="79"/>
      <c r="J121" s="79"/>
      <c r="N121" s="79"/>
      <c r="S121" s="79"/>
      <c r="V121" s="130"/>
      <c r="X121" s="106"/>
    </row>
    <row r="122">
      <c r="C122" s="79"/>
      <c r="D122" s="79"/>
      <c r="J122" s="79"/>
      <c r="N122" s="79"/>
      <c r="S122" s="79"/>
      <c r="V122" s="130"/>
      <c r="X122" s="106"/>
    </row>
    <row r="123">
      <c r="C123" s="79"/>
      <c r="D123" s="79"/>
      <c r="J123" s="79"/>
      <c r="N123" s="79"/>
      <c r="S123" s="79"/>
      <c r="V123" s="130"/>
      <c r="X123" s="106"/>
    </row>
    <row r="124">
      <c r="C124" s="79"/>
      <c r="D124" s="79"/>
      <c r="J124" s="79"/>
      <c r="N124" s="79"/>
      <c r="S124" s="79"/>
      <c r="V124" s="130"/>
      <c r="X124" s="106"/>
    </row>
    <row r="125">
      <c r="C125" s="79"/>
      <c r="D125" s="79"/>
      <c r="J125" s="79"/>
      <c r="N125" s="79"/>
      <c r="S125" s="79"/>
      <c r="V125" s="130"/>
      <c r="X125" s="106"/>
    </row>
    <row r="126">
      <c r="C126" s="79"/>
      <c r="D126" s="79"/>
      <c r="J126" s="79"/>
      <c r="N126" s="79"/>
      <c r="S126" s="79"/>
      <c r="V126" s="130"/>
      <c r="X126" s="106"/>
    </row>
    <row r="127">
      <c r="C127" s="79"/>
      <c r="D127" s="79"/>
      <c r="J127" s="79"/>
      <c r="N127" s="79"/>
      <c r="S127" s="79"/>
      <c r="V127" s="130"/>
      <c r="X127" s="106"/>
    </row>
    <row r="128">
      <c r="C128" s="79"/>
      <c r="D128" s="79"/>
      <c r="J128" s="79"/>
      <c r="N128" s="79"/>
      <c r="S128" s="79"/>
      <c r="V128" s="130"/>
      <c r="X128" s="106"/>
    </row>
    <row r="129">
      <c r="C129" s="79"/>
      <c r="D129" s="79"/>
      <c r="J129" s="79"/>
      <c r="N129" s="79"/>
      <c r="S129" s="79"/>
      <c r="V129" s="130"/>
      <c r="X129" s="106"/>
    </row>
    <row r="130">
      <c r="C130" s="79"/>
      <c r="D130" s="79"/>
      <c r="J130" s="79"/>
      <c r="N130" s="79"/>
      <c r="S130" s="79"/>
      <c r="V130" s="130"/>
      <c r="X130" s="106"/>
    </row>
    <row r="131">
      <c r="C131" s="79"/>
      <c r="D131" s="79"/>
      <c r="J131" s="79"/>
      <c r="N131" s="79"/>
      <c r="S131" s="79"/>
      <c r="V131" s="130"/>
      <c r="X131" s="106"/>
    </row>
    <row r="132">
      <c r="C132" s="79"/>
      <c r="D132" s="79"/>
      <c r="J132" s="79"/>
      <c r="N132" s="79"/>
      <c r="S132" s="79"/>
      <c r="V132" s="130"/>
      <c r="X132" s="106"/>
    </row>
    <row r="133">
      <c r="C133" s="79"/>
      <c r="D133" s="79"/>
      <c r="J133" s="79"/>
      <c r="N133" s="79"/>
      <c r="S133" s="79"/>
      <c r="V133" s="130"/>
      <c r="X133" s="106"/>
    </row>
    <row r="134">
      <c r="C134" s="79"/>
      <c r="D134" s="79"/>
      <c r="J134" s="79"/>
      <c r="N134" s="79"/>
      <c r="S134" s="79"/>
      <c r="V134" s="130"/>
      <c r="X134" s="106"/>
    </row>
    <row r="135">
      <c r="C135" s="79"/>
      <c r="D135" s="79"/>
      <c r="J135" s="79"/>
      <c r="N135" s="79"/>
      <c r="S135" s="79"/>
      <c r="V135" s="130"/>
      <c r="X135" s="106"/>
    </row>
    <row r="136">
      <c r="C136" s="79"/>
      <c r="D136" s="79"/>
      <c r="J136" s="79"/>
      <c r="N136" s="79"/>
      <c r="S136" s="79"/>
      <c r="V136" s="130"/>
      <c r="X136" s="106"/>
    </row>
    <row r="137">
      <c r="C137" s="79"/>
      <c r="D137" s="79"/>
      <c r="J137" s="79"/>
      <c r="N137" s="79"/>
      <c r="S137" s="79"/>
      <c r="V137" s="130"/>
      <c r="X137" s="106"/>
    </row>
    <row r="138">
      <c r="C138" s="79"/>
      <c r="D138" s="79"/>
      <c r="J138" s="79"/>
      <c r="N138" s="79"/>
      <c r="S138" s="79"/>
      <c r="V138" s="130"/>
      <c r="X138" s="106"/>
    </row>
    <row r="139">
      <c r="C139" s="79"/>
      <c r="D139" s="79"/>
      <c r="J139" s="79"/>
      <c r="N139" s="79"/>
      <c r="S139" s="79"/>
      <c r="V139" s="130"/>
      <c r="X139" s="106"/>
    </row>
    <row r="140">
      <c r="C140" s="79"/>
      <c r="D140" s="79"/>
      <c r="J140" s="79"/>
      <c r="N140" s="79"/>
      <c r="S140" s="79"/>
      <c r="V140" s="130"/>
      <c r="X140" s="106"/>
    </row>
    <row r="141">
      <c r="C141" s="79"/>
      <c r="D141" s="79"/>
      <c r="J141" s="79"/>
      <c r="N141" s="79"/>
      <c r="S141" s="79"/>
      <c r="V141" s="130"/>
      <c r="X141" s="106"/>
    </row>
    <row r="142">
      <c r="C142" s="79"/>
      <c r="D142" s="79"/>
      <c r="J142" s="79"/>
      <c r="N142" s="79"/>
      <c r="S142" s="79"/>
      <c r="V142" s="130"/>
      <c r="X142" s="106"/>
    </row>
    <row r="143">
      <c r="C143" s="79"/>
      <c r="D143" s="79"/>
      <c r="J143" s="79"/>
      <c r="N143" s="79"/>
      <c r="S143" s="79"/>
      <c r="V143" s="130"/>
      <c r="X143" s="106"/>
    </row>
    <row r="144">
      <c r="C144" s="79"/>
      <c r="D144" s="79"/>
      <c r="J144" s="79"/>
      <c r="N144" s="79"/>
      <c r="S144" s="79"/>
      <c r="V144" s="130"/>
      <c r="X144" s="106"/>
    </row>
    <row r="145">
      <c r="C145" s="79"/>
      <c r="D145" s="79"/>
      <c r="J145" s="79"/>
      <c r="N145" s="79"/>
      <c r="S145" s="79"/>
      <c r="V145" s="130"/>
      <c r="X145" s="106"/>
    </row>
    <row r="146">
      <c r="C146" s="79"/>
      <c r="D146" s="79"/>
      <c r="J146" s="79"/>
      <c r="N146" s="79"/>
      <c r="S146" s="79"/>
      <c r="V146" s="130"/>
      <c r="X146" s="106"/>
    </row>
    <row r="147">
      <c r="C147" s="79"/>
      <c r="D147" s="79"/>
      <c r="J147" s="79"/>
      <c r="N147" s="79"/>
      <c r="S147" s="79"/>
      <c r="V147" s="130"/>
      <c r="X147" s="106"/>
    </row>
    <row r="148">
      <c r="C148" s="79"/>
      <c r="D148" s="79"/>
      <c r="J148" s="79"/>
      <c r="N148" s="79"/>
      <c r="S148" s="79"/>
      <c r="V148" s="130"/>
      <c r="X148" s="106"/>
    </row>
    <row r="149">
      <c r="C149" s="79"/>
      <c r="D149" s="79"/>
      <c r="J149" s="79"/>
      <c r="N149" s="79"/>
      <c r="S149" s="79"/>
      <c r="V149" s="130"/>
      <c r="X149" s="106"/>
    </row>
    <row r="150">
      <c r="C150" s="79"/>
      <c r="D150" s="79"/>
      <c r="J150" s="79"/>
      <c r="N150" s="79"/>
      <c r="S150" s="79"/>
      <c r="V150" s="130"/>
      <c r="X150" s="106"/>
    </row>
    <row r="151">
      <c r="C151" s="79"/>
      <c r="D151" s="79"/>
      <c r="J151" s="79"/>
      <c r="N151" s="79"/>
      <c r="S151" s="79"/>
      <c r="V151" s="130"/>
      <c r="X151" s="106"/>
    </row>
    <row r="152">
      <c r="C152" s="79"/>
      <c r="D152" s="79"/>
      <c r="J152" s="79"/>
      <c r="N152" s="79"/>
      <c r="S152" s="79"/>
      <c r="V152" s="130"/>
      <c r="X152" s="106"/>
    </row>
    <row r="153">
      <c r="C153" s="79"/>
      <c r="D153" s="79"/>
      <c r="J153" s="79"/>
      <c r="N153" s="79"/>
      <c r="S153" s="79"/>
      <c r="V153" s="130"/>
      <c r="X153" s="106"/>
    </row>
    <row r="154">
      <c r="C154" s="79"/>
      <c r="D154" s="79"/>
      <c r="J154" s="79"/>
      <c r="N154" s="79"/>
      <c r="S154" s="79"/>
      <c r="V154" s="130"/>
      <c r="X154" s="106"/>
    </row>
    <row r="155">
      <c r="C155" s="79"/>
      <c r="D155" s="79"/>
      <c r="J155" s="79"/>
      <c r="N155" s="79"/>
      <c r="S155" s="79"/>
      <c r="V155" s="130"/>
      <c r="X155" s="106"/>
    </row>
    <row r="156">
      <c r="C156" s="79"/>
      <c r="D156" s="79"/>
      <c r="J156" s="79"/>
      <c r="N156" s="79"/>
      <c r="S156" s="79"/>
      <c r="V156" s="130"/>
      <c r="X156" s="106"/>
    </row>
    <row r="157">
      <c r="C157" s="79"/>
      <c r="D157" s="79"/>
      <c r="J157" s="79"/>
      <c r="N157" s="79"/>
      <c r="S157" s="79"/>
      <c r="V157" s="130"/>
      <c r="X157" s="106"/>
    </row>
    <row r="158">
      <c r="C158" s="79"/>
      <c r="D158" s="79"/>
      <c r="J158" s="79"/>
      <c r="N158" s="79"/>
      <c r="S158" s="79"/>
      <c r="V158" s="130"/>
      <c r="X158" s="106"/>
    </row>
    <row r="159">
      <c r="C159" s="79"/>
      <c r="D159" s="79"/>
      <c r="J159" s="79"/>
      <c r="N159" s="79"/>
      <c r="S159" s="79"/>
      <c r="V159" s="130"/>
      <c r="X159" s="106"/>
    </row>
    <row r="160">
      <c r="C160" s="79"/>
      <c r="D160" s="79"/>
      <c r="J160" s="79"/>
      <c r="N160" s="79"/>
      <c r="S160" s="79"/>
      <c r="V160" s="130"/>
      <c r="X160" s="106"/>
    </row>
    <row r="161">
      <c r="C161" s="79"/>
      <c r="D161" s="79"/>
      <c r="J161" s="79"/>
      <c r="N161" s="79"/>
      <c r="S161" s="79"/>
      <c r="V161" s="130"/>
      <c r="X161" s="106"/>
    </row>
    <row r="162">
      <c r="C162" s="79"/>
      <c r="D162" s="79"/>
      <c r="J162" s="79"/>
      <c r="N162" s="79"/>
      <c r="S162" s="79"/>
      <c r="V162" s="130"/>
      <c r="X162" s="106"/>
    </row>
    <row r="163">
      <c r="C163" s="79"/>
      <c r="D163" s="79"/>
      <c r="J163" s="79"/>
      <c r="N163" s="79"/>
      <c r="S163" s="79"/>
      <c r="V163" s="130"/>
      <c r="X163" s="106"/>
    </row>
    <row r="164">
      <c r="C164" s="79"/>
      <c r="D164" s="79"/>
      <c r="J164" s="79"/>
      <c r="N164" s="79"/>
      <c r="S164" s="79"/>
      <c r="V164" s="130"/>
      <c r="X164" s="106"/>
    </row>
    <row r="165">
      <c r="C165" s="79"/>
      <c r="D165" s="79"/>
      <c r="J165" s="79"/>
      <c r="N165" s="79"/>
      <c r="S165" s="79"/>
      <c r="V165" s="130"/>
      <c r="X165" s="106"/>
    </row>
    <row r="166">
      <c r="C166" s="79"/>
      <c r="D166" s="79"/>
      <c r="J166" s="79"/>
      <c r="N166" s="79"/>
      <c r="S166" s="79"/>
      <c r="V166" s="130"/>
      <c r="X166" s="106"/>
    </row>
    <row r="167">
      <c r="C167" s="79"/>
      <c r="D167" s="79"/>
      <c r="J167" s="79"/>
      <c r="N167" s="79"/>
      <c r="S167" s="79"/>
      <c r="V167" s="130"/>
      <c r="X167" s="106"/>
    </row>
    <row r="168">
      <c r="C168" s="79"/>
      <c r="D168" s="79"/>
      <c r="J168" s="79"/>
      <c r="N168" s="79"/>
      <c r="S168" s="79"/>
      <c r="V168" s="130"/>
      <c r="X168" s="106"/>
    </row>
    <row r="169">
      <c r="C169" s="79"/>
      <c r="D169" s="79"/>
      <c r="J169" s="79"/>
      <c r="N169" s="79"/>
      <c r="S169" s="79"/>
      <c r="V169" s="130"/>
      <c r="X169" s="106"/>
    </row>
    <row r="170">
      <c r="C170" s="79"/>
      <c r="D170" s="79"/>
      <c r="J170" s="79"/>
      <c r="N170" s="79"/>
      <c r="S170" s="79"/>
      <c r="V170" s="130"/>
      <c r="X170" s="106"/>
    </row>
    <row r="171">
      <c r="C171" s="79"/>
      <c r="D171" s="79"/>
      <c r="J171" s="79"/>
      <c r="N171" s="79"/>
      <c r="S171" s="79"/>
      <c r="V171" s="130"/>
      <c r="X171" s="106"/>
    </row>
    <row r="172">
      <c r="C172" s="79"/>
      <c r="D172" s="79"/>
      <c r="J172" s="79"/>
      <c r="N172" s="79"/>
      <c r="S172" s="79"/>
      <c r="V172" s="130"/>
      <c r="X172" s="106"/>
    </row>
    <row r="173">
      <c r="C173" s="79"/>
      <c r="D173" s="79"/>
      <c r="J173" s="79"/>
      <c r="N173" s="79"/>
      <c r="S173" s="79"/>
      <c r="V173" s="130"/>
      <c r="X173" s="106"/>
    </row>
    <row r="174">
      <c r="C174" s="79"/>
      <c r="D174" s="79"/>
      <c r="J174" s="79"/>
      <c r="N174" s="79"/>
      <c r="S174" s="79"/>
      <c r="V174" s="130"/>
      <c r="X174" s="106"/>
    </row>
    <row r="175">
      <c r="C175" s="79"/>
      <c r="D175" s="79"/>
      <c r="J175" s="79"/>
      <c r="N175" s="79"/>
      <c r="S175" s="79"/>
      <c r="V175" s="130"/>
      <c r="X175" s="106"/>
    </row>
    <row r="176">
      <c r="C176" s="79"/>
      <c r="D176" s="79"/>
      <c r="J176" s="79"/>
      <c r="N176" s="79"/>
      <c r="S176" s="79"/>
      <c r="V176" s="130"/>
      <c r="X176" s="106"/>
    </row>
    <row r="177">
      <c r="C177" s="79"/>
      <c r="D177" s="79"/>
      <c r="J177" s="79"/>
      <c r="N177" s="79"/>
      <c r="S177" s="79"/>
      <c r="V177" s="130"/>
      <c r="X177" s="106"/>
    </row>
    <row r="178">
      <c r="C178" s="79"/>
      <c r="D178" s="79"/>
      <c r="J178" s="79"/>
      <c r="N178" s="79"/>
      <c r="S178" s="79"/>
      <c r="V178" s="130"/>
      <c r="X178" s="106"/>
    </row>
    <row r="179">
      <c r="C179" s="79"/>
      <c r="D179" s="79"/>
      <c r="J179" s="79"/>
      <c r="N179" s="79"/>
      <c r="S179" s="79"/>
      <c r="V179" s="130"/>
      <c r="X179" s="106"/>
    </row>
    <row r="180">
      <c r="C180" s="79"/>
      <c r="D180" s="79"/>
      <c r="J180" s="79"/>
      <c r="N180" s="79"/>
      <c r="S180" s="79"/>
      <c r="V180" s="130"/>
      <c r="X180" s="106"/>
    </row>
    <row r="181">
      <c r="C181" s="79"/>
      <c r="D181" s="79"/>
      <c r="J181" s="79"/>
      <c r="N181" s="79"/>
      <c r="S181" s="79"/>
      <c r="V181" s="130"/>
      <c r="X181" s="106"/>
    </row>
    <row r="182">
      <c r="C182" s="79"/>
      <c r="D182" s="79"/>
      <c r="J182" s="79"/>
      <c r="N182" s="79"/>
      <c r="S182" s="79"/>
      <c r="V182" s="130"/>
      <c r="X182" s="106"/>
    </row>
    <row r="183">
      <c r="C183" s="79"/>
      <c r="D183" s="79"/>
      <c r="J183" s="79"/>
      <c r="N183" s="79"/>
      <c r="S183" s="79"/>
      <c r="V183" s="130"/>
      <c r="X183" s="106"/>
    </row>
    <row r="184">
      <c r="C184" s="79"/>
      <c r="D184" s="79"/>
      <c r="J184" s="79"/>
      <c r="N184" s="79"/>
      <c r="S184" s="79"/>
      <c r="V184" s="130"/>
      <c r="X184" s="106"/>
    </row>
    <row r="185">
      <c r="C185" s="79"/>
      <c r="D185" s="79"/>
      <c r="J185" s="79"/>
      <c r="N185" s="79"/>
      <c r="S185" s="79"/>
      <c r="V185" s="130"/>
      <c r="X185" s="106"/>
    </row>
    <row r="186">
      <c r="C186" s="79"/>
      <c r="D186" s="79"/>
      <c r="J186" s="79"/>
      <c r="N186" s="79"/>
      <c r="S186" s="79"/>
      <c r="V186" s="130"/>
      <c r="X186" s="106"/>
    </row>
    <row r="187">
      <c r="C187" s="79"/>
      <c r="D187" s="79"/>
      <c r="J187" s="79"/>
      <c r="N187" s="79"/>
      <c r="S187" s="79"/>
      <c r="V187" s="130"/>
      <c r="X187" s="106"/>
    </row>
    <row r="188">
      <c r="C188" s="79"/>
      <c r="D188" s="79"/>
      <c r="J188" s="79"/>
      <c r="N188" s="79"/>
      <c r="S188" s="79"/>
      <c r="V188" s="130"/>
      <c r="X188" s="106"/>
    </row>
    <row r="189">
      <c r="C189" s="79"/>
      <c r="D189" s="79"/>
      <c r="J189" s="79"/>
      <c r="N189" s="79"/>
      <c r="S189" s="79"/>
      <c r="V189" s="130"/>
      <c r="X189" s="106"/>
    </row>
    <row r="190">
      <c r="C190" s="79"/>
      <c r="D190" s="79"/>
      <c r="J190" s="79"/>
      <c r="N190" s="79"/>
      <c r="S190" s="79"/>
      <c r="V190" s="130"/>
      <c r="X190" s="106"/>
    </row>
    <row r="191">
      <c r="C191" s="79"/>
      <c r="D191" s="79"/>
      <c r="J191" s="79"/>
      <c r="N191" s="79"/>
      <c r="S191" s="79"/>
      <c r="V191" s="130"/>
      <c r="X191" s="106"/>
    </row>
    <row r="192">
      <c r="C192" s="79"/>
      <c r="D192" s="79"/>
      <c r="J192" s="79"/>
      <c r="N192" s="79"/>
      <c r="S192" s="79"/>
      <c r="V192" s="130"/>
      <c r="X192" s="106"/>
    </row>
    <row r="193">
      <c r="C193" s="79"/>
      <c r="D193" s="79"/>
      <c r="J193" s="79"/>
      <c r="N193" s="79"/>
      <c r="S193" s="79"/>
      <c r="V193" s="130"/>
      <c r="X193" s="106"/>
    </row>
    <row r="194">
      <c r="C194" s="79"/>
      <c r="D194" s="79"/>
      <c r="J194" s="79"/>
      <c r="N194" s="79"/>
      <c r="S194" s="79"/>
      <c r="V194" s="130"/>
      <c r="X194" s="106"/>
    </row>
    <row r="195">
      <c r="C195" s="79"/>
      <c r="D195" s="79"/>
      <c r="J195" s="79"/>
      <c r="N195" s="79"/>
      <c r="S195" s="79"/>
      <c r="V195" s="130"/>
      <c r="X195" s="106"/>
    </row>
    <row r="196">
      <c r="C196" s="79"/>
      <c r="D196" s="79"/>
      <c r="J196" s="79"/>
      <c r="N196" s="79"/>
      <c r="S196" s="79"/>
      <c r="V196" s="130"/>
      <c r="X196" s="106"/>
    </row>
    <row r="197">
      <c r="C197" s="79"/>
      <c r="D197" s="79"/>
      <c r="J197" s="79"/>
      <c r="N197" s="79"/>
      <c r="S197" s="79"/>
      <c r="V197" s="130"/>
      <c r="X197" s="106"/>
    </row>
    <row r="198">
      <c r="C198" s="79"/>
      <c r="D198" s="79"/>
      <c r="J198" s="79"/>
      <c r="N198" s="79"/>
      <c r="S198" s="79"/>
      <c r="V198" s="130"/>
      <c r="X198" s="106"/>
    </row>
    <row r="199">
      <c r="C199" s="79"/>
      <c r="D199" s="79"/>
      <c r="J199" s="79"/>
      <c r="N199" s="79"/>
      <c r="S199" s="79"/>
      <c r="V199" s="130"/>
      <c r="X199" s="106"/>
    </row>
    <row r="200">
      <c r="C200" s="79"/>
      <c r="D200" s="79"/>
      <c r="J200" s="79"/>
      <c r="N200" s="79"/>
      <c r="S200" s="79"/>
      <c r="V200" s="130"/>
      <c r="X200" s="106"/>
    </row>
    <row r="201">
      <c r="C201" s="79"/>
      <c r="D201" s="79"/>
      <c r="J201" s="79"/>
      <c r="N201" s="79"/>
      <c r="S201" s="79"/>
      <c r="V201" s="130"/>
      <c r="X201" s="106"/>
    </row>
    <row r="202">
      <c r="C202" s="79"/>
      <c r="D202" s="79"/>
      <c r="J202" s="79"/>
      <c r="N202" s="79"/>
      <c r="S202" s="79"/>
      <c r="V202" s="130"/>
      <c r="X202" s="106"/>
    </row>
    <row r="203">
      <c r="C203" s="79"/>
      <c r="D203" s="79"/>
      <c r="J203" s="79"/>
      <c r="N203" s="79"/>
      <c r="S203" s="79"/>
      <c r="V203" s="130"/>
      <c r="X203" s="106"/>
    </row>
    <row r="204">
      <c r="C204" s="79"/>
      <c r="D204" s="79"/>
      <c r="J204" s="79"/>
      <c r="N204" s="79"/>
      <c r="S204" s="79"/>
      <c r="V204" s="130"/>
      <c r="X204" s="106"/>
    </row>
    <row r="205">
      <c r="C205" s="79"/>
      <c r="D205" s="79"/>
      <c r="J205" s="79"/>
      <c r="N205" s="79"/>
      <c r="S205" s="79"/>
      <c r="V205" s="130"/>
      <c r="X205" s="106"/>
    </row>
    <row r="206">
      <c r="C206" s="79"/>
      <c r="D206" s="79"/>
      <c r="J206" s="79"/>
      <c r="N206" s="79"/>
      <c r="S206" s="79"/>
      <c r="V206" s="130"/>
      <c r="X206" s="106"/>
    </row>
    <row r="207">
      <c r="C207" s="79"/>
      <c r="D207" s="79"/>
      <c r="J207" s="79"/>
      <c r="N207" s="79"/>
      <c r="S207" s="79"/>
      <c r="V207" s="130"/>
      <c r="X207" s="106"/>
    </row>
    <row r="208">
      <c r="C208" s="79"/>
      <c r="D208" s="79"/>
      <c r="J208" s="79"/>
      <c r="N208" s="79"/>
      <c r="S208" s="79"/>
      <c r="V208" s="130"/>
      <c r="X208" s="106"/>
    </row>
    <row r="209">
      <c r="C209" s="79"/>
      <c r="D209" s="79"/>
      <c r="J209" s="79"/>
      <c r="N209" s="79"/>
      <c r="S209" s="79"/>
      <c r="V209" s="130"/>
      <c r="X209" s="106"/>
    </row>
    <row r="210">
      <c r="C210" s="79"/>
      <c r="D210" s="79"/>
      <c r="J210" s="79"/>
      <c r="N210" s="79"/>
      <c r="S210" s="79"/>
      <c r="V210" s="130"/>
      <c r="X210" s="106"/>
    </row>
    <row r="211">
      <c r="C211" s="79"/>
      <c r="D211" s="79"/>
      <c r="J211" s="79"/>
      <c r="N211" s="79"/>
      <c r="S211" s="79"/>
      <c r="V211" s="130"/>
      <c r="X211" s="106"/>
    </row>
    <row r="212">
      <c r="C212" s="79"/>
      <c r="D212" s="79"/>
      <c r="J212" s="79"/>
      <c r="N212" s="79"/>
      <c r="S212" s="79"/>
      <c r="V212" s="130"/>
      <c r="X212" s="106"/>
    </row>
    <row r="213">
      <c r="C213" s="79"/>
      <c r="D213" s="79"/>
      <c r="J213" s="79"/>
      <c r="N213" s="79"/>
      <c r="S213" s="79"/>
      <c r="V213" s="130"/>
      <c r="X213" s="106"/>
    </row>
    <row r="214">
      <c r="C214" s="79"/>
      <c r="D214" s="79"/>
      <c r="J214" s="79"/>
      <c r="N214" s="79"/>
      <c r="S214" s="79"/>
      <c r="V214" s="130"/>
      <c r="X214" s="106"/>
    </row>
    <row r="215">
      <c r="C215" s="79"/>
      <c r="D215" s="79"/>
      <c r="J215" s="79"/>
      <c r="N215" s="79"/>
      <c r="S215" s="79"/>
      <c r="V215" s="130"/>
      <c r="X215" s="106"/>
    </row>
    <row r="216">
      <c r="C216" s="79"/>
      <c r="D216" s="79"/>
      <c r="J216" s="79"/>
      <c r="N216" s="79"/>
      <c r="S216" s="79"/>
      <c r="V216" s="130"/>
      <c r="X216" s="106"/>
    </row>
    <row r="217">
      <c r="C217" s="79"/>
      <c r="D217" s="79"/>
      <c r="J217" s="79"/>
      <c r="N217" s="79"/>
      <c r="S217" s="79"/>
      <c r="V217" s="130"/>
      <c r="X217" s="106"/>
    </row>
    <row r="218">
      <c r="C218" s="79"/>
      <c r="D218" s="79"/>
      <c r="J218" s="79"/>
      <c r="N218" s="79"/>
      <c r="S218" s="79"/>
      <c r="V218" s="130"/>
      <c r="X218" s="106"/>
    </row>
    <row r="219">
      <c r="C219" s="79"/>
      <c r="D219" s="79"/>
      <c r="J219" s="79"/>
      <c r="N219" s="79"/>
      <c r="S219" s="79"/>
      <c r="V219" s="130"/>
      <c r="X219" s="106"/>
    </row>
    <row r="220">
      <c r="C220" s="79"/>
      <c r="D220" s="79"/>
      <c r="J220" s="79"/>
      <c r="N220" s="79"/>
      <c r="S220" s="79"/>
      <c r="V220" s="130"/>
      <c r="X220" s="106"/>
    </row>
    <row r="221">
      <c r="C221" s="79"/>
      <c r="D221" s="79"/>
      <c r="J221" s="79"/>
      <c r="N221" s="79"/>
      <c r="S221" s="79"/>
      <c r="V221" s="130"/>
      <c r="X221" s="106"/>
    </row>
    <row r="222">
      <c r="C222" s="79"/>
      <c r="D222" s="79"/>
      <c r="J222" s="79"/>
      <c r="N222" s="79"/>
      <c r="S222" s="79"/>
      <c r="V222" s="130"/>
      <c r="X222" s="106"/>
    </row>
    <row r="223">
      <c r="C223" s="79"/>
      <c r="D223" s="79"/>
      <c r="J223" s="79"/>
      <c r="N223" s="79"/>
      <c r="S223" s="79"/>
      <c r="V223" s="130"/>
      <c r="X223" s="106"/>
    </row>
    <row r="224">
      <c r="C224" s="79"/>
      <c r="D224" s="79"/>
      <c r="J224" s="79"/>
      <c r="N224" s="79"/>
      <c r="S224" s="79"/>
      <c r="V224" s="130"/>
      <c r="X224" s="106"/>
    </row>
    <row r="225">
      <c r="C225" s="79"/>
      <c r="D225" s="79"/>
      <c r="J225" s="79"/>
      <c r="N225" s="79"/>
      <c r="S225" s="79"/>
      <c r="V225" s="130"/>
      <c r="X225" s="106"/>
    </row>
    <row r="226">
      <c r="C226" s="79"/>
      <c r="D226" s="79"/>
      <c r="J226" s="79"/>
      <c r="N226" s="79"/>
      <c r="S226" s="79"/>
      <c r="V226" s="130"/>
      <c r="X226" s="106"/>
    </row>
    <row r="227">
      <c r="C227" s="79"/>
      <c r="D227" s="79"/>
      <c r="J227" s="79"/>
      <c r="N227" s="79"/>
      <c r="S227" s="79"/>
      <c r="V227" s="130"/>
      <c r="X227" s="106"/>
    </row>
    <row r="228">
      <c r="C228" s="79"/>
      <c r="D228" s="79"/>
      <c r="J228" s="79"/>
      <c r="N228" s="79"/>
      <c r="S228" s="79"/>
      <c r="V228" s="130"/>
      <c r="X228" s="106"/>
    </row>
    <row r="229">
      <c r="C229" s="79"/>
      <c r="D229" s="79"/>
      <c r="J229" s="79"/>
      <c r="N229" s="79"/>
      <c r="S229" s="79"/>
      <c r="V229" s="130"/>
      <c r="X229" s="106"/>
    </row>
    <row r="230">
      <c r="C230" s="79"/>
      <c r="D230" s="79"/>
      <c r="J230" s="79"/>
      <c r="N230" s="79"/>
      <c r="S230" s="79"/>
      <c r="V230" s="130"/>
      <c r="X230" s="106"/>
    </row>
    <row r="231">
      <c r="C231" s="79"/>
      <c r="D231" s="79"/>
      <c r="J231" s="79"/>
      <c r="N231" s="79"/>
      <c r="S231" s="79"/>
      <c r="V231" s="130"/>
      <c r="X231" s="106"/>
    </row>
    <row r="232">
      <c r="C232" s="79"/>
      <c r="D232" s="79"/>
      <c r="J232" s="79"/>
      <c r="N232" s="79"/>
      <c r="S232" s="79"/>
      <c r="V232" s="130"/>
      <c r="X232" s="106"/>
    </row>
    <row r="233">
      <c r="C233" s="79"/>
      <c r="D233" s="79"/>
      <c r="J233" s="79"/>
      <c r="N233" s="79"/>
      <c r="S233" s="79"/>
      <c r="V233" s="130"/>
      <c r="X233" s="106"/>
    </row>
    <row r="234">
      <c r="C234" s="79"/>
      <c r="D234" s="79"/>
      <c r="J234" s="79"/>
      <c r="N234" s="79"/>
      <c r="S234" s="79"/>
      <c r="V234" s="130"/>
      <c r="X234" s="106"/>
    </row>
    <row r="235">
      <c r="C235" s="79"/>
      <c r="D235" s="79"/>
      <c r="J235" s="79"/>
      <c r="N235" s="79"/>
      <c r="S235" s="79"/>
      <c r="V235" s="130"/>
      <c r="X235" s="106"/>
    </row>
    <row r="236">
      <c r="C236" s="79"/>
      <c r="D236" s="79"/>
      <c r="J236" s="79"/>
      <c r="N236" s="79"/>
      <c r="S236" s="79"/>
      <c r="V236" s="130"/>
      <c r="X236" s="106"/>
    </row>
    <row r="237">
      <c r="C237" s="79"/>
      <c r="D237" s="79"/>
      <c r="J237" s="79"/>
      <c r="N237" s="79"/>
      <c r="S237" s="79"/>
      <c r="V237" s="130"/>
      <c r="X237" s="106"/>
    </row>
    <row r="238">
      <c r="C238" s="79"/>
      <c r="D238" s="79"/>
      <c r="J238" s="79"/>
      <c r="N238" s="79"/>
      <c r="S238" s="79"/>
      <c r="V238" s="130"/>
      <c r="X238" s="106"/>
    </row>
    <row r="239">
      <c r="C239" s="79"/>
      <c r="D239" s="79"/>
      <c r="J239" s="79"/>
      <c r="N239" s="79"/>
      <c r="S239" s="79"/>
      <c r="V239" s="130"/>
      <c r="X239" s="106"/>
    </row>
    <row r="240">
      <c r="C240" s="79"/>
      <c r="D240" s="79"/>
      <c r="J240" s="79"/>
      <c r="N240" s="79"/>
      <c r="S240" s="79"/>
      <c r="V240" s="130"/>
      <c r="X240" s="106"/>
    </row>
    <row r="241">
      <c r="C241" s="79"/>
      <c r="D241" s="79"/>
      <c r="J241" s="79"/>
      <c r="N241" s="79"/>
      <c r="S241" s="79"/>
      <c r="V241" s="130"/>
      <c r="X241" s="106"/>
    </row>
    <row r="242">
      <c r="C242" s="79"/>
      <c r="D242" s="79"/>
      <c r="J242" s="79"/>
      <c r="N242" s="79"/>
      <c r="S242" s="79"/>
      <c r="V242" s="130"/>
      <c r="X242" s="106"/>
    </row>
    <row r="243">
      <c r="C243" s="79"/>
      <c r="D243" s="79"/>
      <c r="J243" s="79"/>
      <c r="N243" s="79"/>
      <c r="S243" s="79"/>
      <c r="V243" s="130"/>
      <c r="X243" s="106"/>
    </row>
    <row r="244">
      <c r="C244" s="79"/>
      <c r="D244" s="79"/>
      <c r="J244" s="79"/>
      <c r="N244" s="79"/>
      <c r="S244" s="79"/>
      <c r="V244" s="130"/>
      <c r="X244" s="106"/>
    </row>
    <row r="245">
      <c r="C245" s="79"/>
      <c r="D245" s="79"/>
      <c r="J245" s="79"/>
      <c r="N245" s="79"/>
      <c r="S245" s="79"/>
      <c r="V245" s="130"/>
      <c r="X245" s="106"/>
    </row>
    <row r="246">
      <c r="C246" s="79"/>
      <c r="D246" s="79"/>
      <c r="J246" s="79"/>
      <c r="N246" s="79"/>
      <c r="S246" s="79"/>
      <c r="V246" s="130"/>
      <c r="X246" s="106"/>
    </row>
    <row r="247">
      <c r="C247" s="79"/>
      <c r="D247" s="79"/>
      <c r="J247" s="79"/>
      <c r="N247" s="79"/>
      <c r="S247" s="79"/>
      <c r="V247" s="130"/>
      <c r="X247" s="106"/>
    </row>
    <row r="248">
      <c r="C248" s="79"/>
      <c r="D248" s="79"/>
      <c r="J248" s="79"/>
      <c r="N248" s="79"/>
      <c r="S248" s="79"/>
      <c r="V248" s="130"/>
      <c r="X248" s="106"/>
    </row>
    <row r="249">
      <c r="C249" s="79"/>
      <c r="D249" s="79"/>
      <c r="J249" s="79"/>
      <c r="N249" s="79"/>
      <c r="S249" s="79"/>
      <c r="V249" s="130"/>
      <c r="X249" s="106"/>
    </row>
    <row r="250">
      <c r="C250" s="79"/>
      <c r="D250" s="79"/>
      <c r="J250" s="79"/>
      <c r="N250" s="79"/>
      <c r="S250" s="79"/>
      <c r="V250" s="130"/>
      <c r="X250" s="106"/>
    </row>
    <row r="251">
      <c r="C251" s="79"/>
      <c r="D251" s="79"/>
      <c r="J251" s="79"/>
      <c r="N251" s="79"/>
      <c r="S251" s="79"/>
      <c r="V251" s="130"/>
      <c r="X251" s="106"/>
    </row>
    <row r="252">
      <c r="C252" s="79"/>
      <c r="D252" s="79"/>
      <c r="J252" s="79"/>
      <c r="N252" s="79"/>
      <c r="S252" s="79"/>
      <c r="V252" s="130"/>
      <c r="X252" s="106"/>
    </row>
    <row r="253">
      <c r="C253" s="79"/>
      <c r="D253" s="79"/>
      <c r="J253" s="79"/>
      <c r="N253" s="79"/>
      <c r="S253" s="79"/>
      <c r="V253" s="130"/>
      <c r="X253" s="106"/>
    </row>
    <row r="254">
      <c r="C254" s="79"/>
      <c r="D254" s="79"/>
      <c r="J254" s="79"/>
      <c r="N254" s="79"/>
      <c r="S254" s="79"/>
      <c r="V254" s="130"/>
      <c r="X254" s="106"/>
    </row>
    <row r="255">
      <c r="C255" s="79"/>
      <c r="D255" s="79"/>
      <c r="J255" s="79"/>
      <c r="N255" s="79"/>
      <c r="S255" s="79"/>
      <c r="V255" s="130"/>
      <c r="X255" s="106"/>
    </row>
    <row r="256">
      <c r="C256" s="79"/>
      <c r="D256" s="79"/>
      <c r="J256" s="79"/>
      <c r="N256" s="79"/>
      <c r="S256" s="79"/>
      <c r="V256" s="130"/>
      <c r="X256" s="106"/>
    </row>
    <row r="257">
      <c r="C257" s="79"/>
      <c r="D257" s="79"/>
      <c r="J257" s="79"/>
      <c r="N257" s="79"/>
      <c r="S257" s="79"/>
      <c r="V257" s="130"/>
      <c r="X257" s="106"/>
    </row>
    <row r="258">
      <c r="C258" s="79"/>
      <c r="D258" s="79"/>
      <c r="J258" s="79"/>
      <c r="N258" s="79"/>
      <c r="S258" s="79"/>
      <c r="V258" s="130"/>
      <c r="X258" s="106"/>
    </row>
    <row r="259">
      <c r="C259" s="79"/>
      <c r="D259" s="79"/>
      <c r="J259" s="79"/>
      <c r="N259" s="79"/>
      <c r="S259" s="79"/>
      <c r="V259" s="130"/>
      <c r="X259" s="106"/>
    </row>
    <row r="260">
      <c r="C260" s="79"/>
      <c r="D260" s="79"/>
      <c r="J260" s="79"/>
      <c r="N260" s="79"/>
      <c r="S260" s="79"/>
      <c r="V260" s="130"/>
      <c r="X260" s="106"/>
    </row>
    <row r="261">
      <c r="C261" s="79"/>
      <c r="D261" s="79"/>
      <c r="J261" s="79"/>
      <c r="N261" s="79"/>
      <c r="S261" s="79"/>
      <c r="V261" s="130"/>
      <c r="X261" s="106"/>
    </row>
    <row r="262">
      <c r="C262" s="79"/>
      <c r="D262" s="79"/>
      <c r="J262" s="79"/>
      <c r="N262" s="79"/>
      <c r="S262" s="79"/>
      <c r="V262" s="130"/>
      <c r="X262" s="106"/>
    </row>
    <row r="263">
      <c r="C263" s="79"/>
      <c r="D263" s="79"/>
      <c r="J263" s="79"/>
      <c r="N263" s="79"/>
      <c r="S263" s="79"/>
      <c r="V263" s="130"/>
      <c r="X263" s="106"/>
    </row>
    <row r="264">
      <c r="C264" s="79"/>
      <c r="D264" s="79"/>
      <c r="J264" s="79"/>
      <c r="N264" s="79"/>
      <c r="S264" s="79"/>
      <c r="V264" s="130"/>
      <c r="X264" s="106"/>
    </row>
    <row r="265">
      <c r="C265" s="79"/>
      <c r="D265" s="79"/>
      <c r="J265" s="79"/>
      <c r="N265" s="79"/>
      <c r="S265" s="79"/>
      <c r="V265" s="130"/>
      <c r="X265" s="106"/>
    </row>
    <row r="266">
      <c r="C266" s="79"/>
      <c r="D266" s="79"/>
      <c r="J266" s="79"/>
      <c r="N266" s="79"/>
      <c r="S266" s="79"/>
      <c r="V266" s="130"/>
      <c r="X266" s="106"/>
    </row>
    <row r="267">
      <c r="C267" s="79"/>
      <c r="D267" s="79"/>
      <c r="J267" s="79"/>
      <c r="N267" s="79"/>
      <c r="S267" s="79"/>
      <c r="V267" s="130"/>
      <c r="X267" s="106"/>
    </row>
    <row r="268">
      <c r="C268" s="79"/>
      <c r="D268" s="79"/>
      <c r="J268" s="79"/>
      <c r="N268" s="79"/>
      <c r="S268" s="79"/>
      <c r="V268" s="130"/>
      <c r="X268" s="106"/>
    </row>
    <row r="269">
      <c r="C269" s="79"/>
      <c r="D269" s="79"/>
      <c r="J269" s="79"/>
      <c r="N269" s="79"/>
      <c r="S269" s="79"/>
      <c r="V269" s="130"/>
      <c r="X269" s="106"/>
    </row>
    <row r="270">
      <c r="C270" s="79"/>
      <c r="D270" s="79"/>
      <c r="J270" s="79"/>
      <c r="N270" s="79"/>
      <c r="S270" s="79"/>
      <c r="V270" s="130"/>
      <c r="X270" s="106"/>
    </row>
    <row r="271">
      <c r="C271" s="79"/>
      <c r="D271" s="79"/>
      <c r="J271" s="79"/>
      <c r="N271" s="79"/>
      <c r="S271" s="79"/>
      <c r="V271" s="130"/>
      <c r="X271" s="106"/>
    </row>
    <row r="272">
      <c r="C272" s="79"/>
      <c r="D272" s="79"/>
      <c r="J272" s="79"/>
      <c r="N272" s="79"/>
      <c r="S272" s="79"/>
      <c r="V272" s="130"/>
      <c r="X272" s="106"/>
    </row>
    <row r="273">
      <c r="C273" s="79"/>
      <c r="D273" s="79"/>
      <c r="J273" s="79"/>
      <c r="N273" s="79"/>
      <c r="S273" s="79"/>
      <c r="V273" s="130"/>
      <c r="X273" s="106"/>
    </row>
    <row r="274">
      <c r="C274" s="79"/>
      <c r="D274" s="79"/>
      <c r="J274" s="79"/>
      <c r="N274" s="79"/>
      <c r="S274" s="79"/>
      <c r="V274" s="130"/>
      <c r="X274" s="106"/>
    </row>
    <row r="275">
      <c r="C275" s="79"/>
      <c r="D275" s="79"/>
      <c r="J275" s="79"/>
      <c r="N275" s="79"/>
      <c r="S275" s="79"/>
      <c r="V275" s="130"/>
      <c r="X275" s="106"/>
    </row>
    <row r="276">
      <c r="C276" s="79"/>
      <c r="D276" s="79"/>
      <c r="J276" s="79"/>
      <c r="N276" s="79"/>
      <c r="S276" s="79"/>
      <c r="V276" s="130"/>
      <c r="X276" s="106"/>
    </row>
    <row r="277">
      <c r="C277" s="79"/>
      <c r="D277" s="79"/>
      <c r="J277" s="79"/>
      <c r="N277" s="79"/>
      <c r="S277" s="79"/>
      <c r="V277" s="130"/>
      <c r="X277" s="106"/>
    </row>
    <row r="278">
      <c r="C278" s="79"/>
      <c r="D278" s="79"/>
      <c r="J278" s="79"/>
      <c r="N278" s="79"/>
      <c r="S278" s="79"/>
      <c r="V278" s="130"/>
      <c r="X278" s="106"/>
    </row>
    <row r="279">
      <c r="C279" s="79"/>
      <c r="D279" s="79"/>
      <c r="J279" s="79"/>
      <c r="N279" s="79"/>
      <c r="S279" s="79"/>
      <c r="V279" s="130"/>
      <c r="X279" s="106"/>
    </row>
    <row r="280">
      <c r="C280" s="79"/>
      <c r="D280" s="79"/>
      <c r="J280" s="79"/>
      <c r="N280" s="79"/>
      <c r="S280" s="79"/>
      <c r="V280" s="130"/>
      <c r="X280" s="106"/>
    </row>
    <row r="281">
      <c r="C281" s="79"/>
      <c r="D281" s="79"/>
      <c r="J281" s="79"/>
      <c r="N281" s="79"/>
      <c r="S281" s="79"/>
      <c r="V281" s="130"/>
      <c r="X281" s="106"/>
    </row>
    <row r="282">
      <c r="C282" s="79"/>
      <c r="D282" s="79"/>
      <c r="J282" s="79"/>
      <c r="N282" s="79"/>
      <c r="S282" s="79"/>
      <c r="V282" s="130"/>
      <c r="X282" s="106"/>
    </row>
    <row r="283">
      <c r="C283" s="79"/>
      <c r="D283" s="79"/>
      <c r="J283" s="79"/>
      <c r="N283" s="79"/>
      <c r="S283" s="79"/>
      <c r="V283" s="130"/>
      <c r="X283" s="106"/>
    </row>
    <row r="284">
      <c r="C284" s="79"/>
      <c r="D284" s="79"/>
      <c r="J284" s="79"/>
      <c r="N284" s="79"/>
      <c r="S284" s="79"/>
      <c r="V284" s="130"/>
      <c r="X284" s="106"/>
    </row>
    <row r="285">
      <c r="C285" s="79"/>
      <c r="D285" s="79"/>
      <c r="J285" s="79"/>
      <c r="N285" s="79"/>
      <c r="S285" s="79"/>
      <c r="V285" s="130"/>
      <c r="X285" s="106"/>
    </row>
    <row r="286">
      <c r="C286" s="79"/>
      <c r="D286" s="79"/>
      <c r="J286" s="79"/>
      <c r="N286" s="79"/>
      <c r="S286" s="79"/>
      <c r="V286" s="130"/>
      <c r="X286" s="106"/>
    </row>
    <row r="287">
      <c r="C287" s="79"/>
      <c r="D287" s="79"/>
      <c r="J287" s="79"/>
      <c r="N287" s="79"/>
      <c r="S287" s="79"/>
      <c r="V287" s="130"/>
      <c r="X287" s="106"/>
    </row>
    <row r="288">
      <c r="C288" s="79"/>
      <c r="D288" s="79"/>
      <c r="J288" s="79"/>
      <c r="N288" s="79"/>
      <c r="S288" s="79"/>
      <c r="V288" s="130"/>
      <c r="X288" s="106"/>
    </row>
    <row r="289">
      <c r="C289" s="79"/>
      <c r="D289" s="79"/>
      <c r="J289" s="79"/>
      <c r="N289" s="79"/>
      <c r="S289" s="79"/>
      <c r="V289" s="130"/>
      <c r="X289" s="106"/>
    </row>
    <row r="290">
      <c r="C290" s="79"/>
      <c r="D290" s="79"/>
      <c r="J290" s="79"/>
      <c r="N290" s="79"/>
      <c r="S290" s="79"/>
      <c r="V290" s="130"/>
      <c r="X290" s="106"/>
    </row>
    <row r="291">
      <c r="C291" s="79"/>
      <c r="D291" s="79"/>
      <c r="J291" s="79"/>
      <c r="N291" s="79"/>
      <c r="S291" s="79"/>
      <c r="V291" s="130"/>
      <c r="X291" s="106"/>
    </row>
    <row r="292">
      <c r="C292" s="79"/>
      <c r="D292" s="79"/>
      <c r="J292" s="79"/>
      <c r="N292" s="79"/>
      <c r="S292" s="79"/>
      <c r="V292" s="130"/>
      <c r="X292" s="106"/>
    </row>
    <row r="293">
      <c r="C293" s="79"/>
      <c r="D293" s="79"/>
      <c r="J293" s="79"/>
      <c r="N293" s="79"/>
      <c r="S293" s="79"/>
      <c r="V293" s="130"/>
      <c r="X293" s="106"/>
    </row>
    <row r="294">
      <c r="C294" s="79"/>
      <c r="D294" s="79"/>
      <c r="J294" s="79"/>
      <c r="N294" s="79"/>
      <c r="S294" s="79"/>
      <c r="V294" s="130"/>
      <c r="X294" s="106"/>
    </row>
    <row r="295">
      <c r="C295" s="79"/>
      <c r="D295" s="79"/>
      <c r="J295" s="79"/>
      <c r="N295" s="79"/>
      <c r="S295" s="79"/>
      <c r="V295" s="130"/>
      <c r="X295" s="106"/>
    </row>
    <row r="296">
      <c r="C296" s="79"/>
      <c r="D296" s="79"/>
      <c r="J296" s="79"/>
      <c r="N296" s="79"/>
      <c r="S296" s="79"/>
      <c r="V296" s="130"/>
      <c r="X296" s="106"/>
    </row>
    <row r="297">
      <c r="C297" s="79"/>
      <c r="D297" s="79"/>
      <c r="J297" s="79"/>
      <c r="N297" s="79"/>
      <c r="S297" s="79"/>
      <c r="V297" s="130"/>
      <c r="X297" s="106"/>
    </row>
    <row r="298">
      <c r="C298" s="79"/>
      <c r="D298" s="79"/>
      <c r="J298" s="79"/>
      <c r="N298" s="79"/>
      <c r="S298" s="79"/>
      <c r="V298" s="130"/>
      <c r="X298" s="106"/>
    </row>
    <row r="299">
      <c r="C299" s="79"/>
      <c r="D299" s="79"/>
      <c r="J299" s="79"/>
      <c r="N299" s="79"/>
      <c r="S299" s="79"/>
      <c r="V299" s="130"/>
      <c r="X299" s="106"/>
    </row>
    <row r="300">
      <c r="C300" s="79"/>
      <c r="D300" s="79"/>
      <c r="J300" s="79"/>
      <c r="N300" s="79"/>
      <c r="S300" s="79"/>
      <c r="V300" s="130"/>
      <c r="X300" s="106"/>
    </row>
    <row r="301">
      <c r="C301" s="79"/>
      <c r="D301" s="79"/>
      <c r="J301" s="79"/>
      <c r="N301" s="79"/>
      <c r="S301" s="79"/>
      <c r="V301" s="130"/>
      <c r="X301" s="106"/>
    </row>
    <row r="302">
      <c r="C302" s="79"/>
      <c r="D302" s="79"/>
      <c r="J302" s="79"/>
      <c r="N302" s="79"/>
      <c r="S302" s="79"/>
      <c r="V302" s="130"/>
      <c r="X302" s="106"/>
    </row>
    <row r="303">
      <c r="C303" s="79"/>
      <c r="D303" s="79"/>
      <c r="J303" s="79"/>
      <c r="N303" s="79"/>
      <c r="S303" s="79"/>
      <c r="V303" s="130"/>
      <c r="X303" s="106"/>
    </row>
    <row r="304">
      <c r="C304" s="79"/>
      <c r="D304" s="79"/>
      <c r="J304" s="79"/>
      <c r="N304" s="79"/>
      <c r="S304" s="79"/>
      <c r="V304" s="130"/>
      <c r="X304" s="106"/>
    </row>
    <row r="305">
      <c r="C305" s="79"/>
      <c r="D305" s="79"/>
      <c r="J305" s="79"/>
      <c r="N305" s="79"/>
      <c r="S305" s="79"/>
      <c r="V305" s="130"/>
      <c r="X305" s="106"/>
    </row>
    <row r="306">
      <c r="C306" s="79"/>
      <c r="D306" s="79"/>
      <c r="J306" s="79"/>
      <c r="N306" s="79"/>
      <c r="S306" s="79"/>
      <c r="V306" s="130"/>
      <c r="X306" s="106"/>
    </row>
    <row r="307">
      <c r="C307" s="79"/>
      <c r="D307" s="79"/>
      <c r="J307" s="79"/>
      <c r="N307" s="79"/>
      <c r="S307" s="79"/>
      <c r="V307" s="130"/>
      <c r="X307" s="106"/>
    </row>
    <row r="308">
      <c r="C308" s="79"/>
      <c r="D308" s="79"/>
      <c r="J308" s="79"/>
      <c r="N308" s="79"/>
      <c r="S308" s="79"/>
      <c r="V308" s="130"/>
      <c r="X308" s="106"/>
    </row>
    <row r="309">
      <c r="C309" s="79"/>
      <c r="D309" s="79"/>
      <c r="J309" s="79"/>
      <c r="N309" s="79"/>
      <c r="S309" s="79"/>
      <c r="V309" s="130"/>
      <c r="X309" s="106"/>
    </row>
    <row r="310">
      <c r="C310" s="79"/>
      <c r="D310" s="79"/>
      <c r="J310" s="79"/>
      <c r="N310" s="79"/>
      <c r="S310" s="79"/>
      <c r="V310" s="130"/>
      <c r="X310" s="106"/>
    </row>
    <row r="311">
      <c r="C311" s="79"/>
      <c r="D311" s="79"/>
      <c r="J311" s="79"/>
      <c r="N311" s="79"/>
      <c r="S311" s="79"/>
      <c r="V311" s="130"/>
      <c r="X311" s="106"/>
    </row>
    <row r="312">
      <c r="C312" s="79"/>
      <c r="D312" s="79"/>
      <c r="J312" s="79"/>
      <c r="N312" s="79"/>
      <c r="S312" s="79"/>
      <c r="V312" s="130"/>
      <c r="X312" s="106"/>
    </row>
    <row r="313">
      <c r="C313" s="79"/>
      <c r="D313" s="79"/>
      <c r="J313" s="79"/>
      <c r="N313" s="79"/>
      <c r="S313" s="79"/>
      <c r="V313" s="130"/>
      <c r="X313" s="106"/>
    </row>
    <row r="314">
      <c r="C314" s="79"/>
      <c r="D314" s="79"/>
      <c r="J314" s="79"/>
      <c r="N314" s="79"/>
      <c r="S314" s="79"/>
      <c r="V314" s="130"/>
      <c r="X314" s="106"/>
    </row>
    <row r="315">
      <c r="C315" s="79"/>
      <c r="D315" s="79"/>
      <c r="J315" s="79"/>
      <c r="N315" s="79"/>
      <c r="S315" s="79"/>
      <c r="V315" s="130"/>
      <c r="X315" s="106"/>
    </row>
    <row r="316">
      <c r="C316" s="79"/>
      <c r="D316" s="79"/>
      <c r="J316" s="79"/>
      <c r="N316" s="79"/>
      <c r="S316" s="79"/>
      <c r="V316" s="130"/>
      <c r="X316" s="106"/>
    </row>
    <row r="317">
      <c r="C317" s="79"/>
      <c r="D317" s="79"/>
      <c r="J317" s="79"/>
      <c r="N317" s="79"/>
      <c r="S317" s="79"/>
      <c r="V317" s="130"/>
      <c r="X317" s="106"/>
    </row>
    <row r="318">
      <c r="C318" s="79"/>
      <c r="D318" s="79"/>
      <c r="J318" s="79"/>
      <c r="N318" s="79"/>
      <c r="S318" s="79"/>
      <c r="V318" s="130"/>
      <c r="X318" s="106"/>
    </row>
    <row r="319">
      <c r="C319" s="79"/>
      <c r="D319" s="79"/>
      <c r="J319" s="79"/>
      <c r="N319" s="79"/>
      <c r="S319" s="79"/>
      <c r="V319" s="130"/>
      <c r="X319" s="106"/>
    </row>
    <row r="320">
      <c r="C320" s="79"/>
      <c r="D320" s="79"/>
      <c r="J320" s="79"/>
      <c r="N320" s="79"/>
      <c r="S320" s="79"/>
      <c r="V320" s="130"/>
      <c r="X320" s="106"/>
    </row>
    <row r="321">
      <c r="C321" s="79"/>
      <c r="D321" s="79"/>
      <c r="J321" s="79"/>
      <c r="N321" s="79"/>
      <c r="S321" s="79"/>
      <c r="V321" s="130"/>
      <c r="X321" s="106"/>
    </row>
    <row r="322">
      <c r="C322" s="79"/>
      <c r="D322" s="79"/>
      <c r="J322" s="79"/>
      <c r="N322" s="79"/>
      <c r="S322" s="79"/>
      <c r="V322" s="130"/>
      <c r="X322" s="106"/>
    </row>
    <row r="323">
      <c r="C323" s="79"/>
      <c r="D323" s="79"/>
      <c r="J323" s="79"/>
      <c r="N323" s="79"/>
      <c r="S323" s="79"/>
      <c r="V323" s="130"/>
      <c r="X323" s="106"/>
    </row>
    <row r="324">
      <c r="C324" s="79"/>
      <c r="D324" s="79"/>
      <c r="J324" s="79"/>
      <c r="N324" s="79"/>
      <c r="S324" s="79"/>
      <c r="V324" s="130"/>
      <c r="X324" s="106"/>
    </row>
    <row r="325">
      <c r="C325" s="79"/>
      <c r="D325" s="79"/>
      <c r="J325" s="79"/>
      <c r="N325" s="79"/>
      <c r="S325" s="79"/>
      <c r="V325" s="130"/>
      <c r="X325" s="106"/>
    </row>
    <row r="326">
      <c r="C326" s="79"/>
      <c r="D326" s="79"/>
      <c r="J326" s="79"/>
      <c r="N326" s="79"/>
      <c r="S326" s="79"/>
      <c r="V326" s="130"/>
      <c r="X326" s="106"/>
    </row>
    <row r="327">
      <c r="C327" s="79"/>
      <c r="D327" s="79"/>
      <c r="J327" s="79"/>
      <c r="N327" s="79"/>
      <c r="S327" s="79"/>
      <c r="V327" s="130"/>
      <c r="X327" s="106"/>
    </row>
    <row r="328">
      <c r="C328" s="79"/>
      <c r="D328" s="79"/>
      <c r="J328" s="79"/>
      <c r="N328" s="79"/>
      <c r="S328" s="79"/>
      <c r="V328" s="130"/>
      <c r="X328" s="106"/>
    </row>
    <row r="329">
      <c r="C329" s="79"/>
      <c r="D329" s="79"/>
      <c r="J329" s="79"/>
      <c r="N329" s="79"/>
      <c r="S329" s="79"/>
      <c r="V329" s="130"/>
      <c r="X329" s="106"/>
    </row>
    <row r="330">
      <c r="C330" s="79"/>
      <c r="D330" s="79"/>
      <c r="J330" s="79"/>
      <c r="N330" s="79"/>
      <c r="S330" s="79"/>
      <c r="V330" s="130"/>
      <c r="X330" s="106"/>
    </row>
    <row r="331">
      <c r="C331" s="79"/>
      <c r="D331" s="79"/>
      <c r="J331" s="79"/>
      <c r="N331" s="79"/>
      <c r="S331" s="79"/>
      <c r="V331" s="130"/>
      <c r="X331" s="106"/>
    </row>
    <row r="332">
      <c r="C332" s="79"/>
      <c r="D332" s="79"/>
      <c r="J332" s="79"/>
      <c r="N332" s="79"/>
      <c r="S332" s="79"/>
      <c r="V332" s="130"/>
      <c r="X332" s="106"/>
    </row>
    <row r="333">
      <c r="C333" s="79"/>
      <c r="D333" s="79"/>
      <c r="J333" s="79"/>
      <c r="N333" s="79"/>
      <c r="S333" s="79"/>
      <c r="V333" s="130"/>
      <c r="X333" s="106"/>
    </row>
    <row r="334">
      <c r="C334" s="79"/>
      <c r="D334" s="79"/>
      <c r="J334" s="79"/>
      <c r="N334" s="79"/>
      <c r="S334" s="79"/>
      <c r="V334" s="130"/>
      <c r="X334" s="106"/>
    </row>
    <row r="335">
      <c r="C335" s="79"/>
      <c r="D335" s="79"/>
      <c r="J335" s="79"/>
      <c r="N335" s="79"/>
      <c r="S335" s="79"/>
      <c r="V335" s="130"/>
      <c r="X335" s="106"/>
    </row>
    <row r="336">
      <c r="C336" s="79"/>
      <c r="D336" s="79"/>
      <c r="J336" s="79"/>
      <c r="N336" s="79"/>
      <c r="S336" s="79"/>
      <c r="V336" s="130"/>
      <c r="X336" s="106"/>
    </row>
    <row r="337">
      <c r="C337" s="79"/>
      <c r="D337" s="79"/>
      <c r="J337" s="79"/>
      <c r="N337" s="79"/>
      <c r="S337" s="79"/>
      <c r="V337" s="130"/>
      <c r="X337" s="106"/>
    </row>
    <row r="338">
      <c r="C338" s="79"/>
      <c r="D338" s="79"/>
      <c r="J338" s="79"/>
      <c r="N338" s="79"/>
      <c r="S338" s="79"/>
      <c r="V338" s="130"/>
      <c r="X338" s="106"/>
    </row>
    <row r="339">
      <c r="C339" s="79"/>
      <c r="D339" s="79"/>
      <c r="J339" s="79"/>
      <c r="N339" s="79"/>
      <c r="S339" s="79"/>
      <c r="V339" s="130"/>
      <c r="X339" s="106"/>
    </row>
    <row r="340">
      <c r="C340" s="79"/>
      <c r="D340" s="79"/>
      <c r="J340" s="79"/>
      <c r="N340" s="79"/>
      <c r="S340" s="79"/>
      <c r="V340" s="130"/>
      <c r="X340" s="106"/>
    </row>
    <row r="341">
      <c r="C341" s="79"/>
      <c r="D341" s="79"/>
      <c r="J341" s="79"/>
      <c r="N341" s="79"/>
      <c r="S341" s="79"/>
      <c r="V341" s="130"/>
      <c r="X341" s="106"/>
    </row>
    <row r="342">
      <c r="C342" s="79"/>
      <c r="D342" s="79"/>
      <c r="J342" s="79"/>
      <c r="N342" s="79"/>
      <c r="S342" s="79"/>
      <c r="V342" s="130"/>
      <c r="X342" s="106"/>
    </row>
    <row r="343">
      <c r="C343" s="79"/>
      <c r="D343" s="79"/>
      <c r="J343" s="79"/>
      <c r="N343" s="79"/>
      <c r="S343" s="79"/>
      <c r="V343" s="130"/>
      <c r="X343" s="106"/>
    </row>
    <row r="344">
      <c r="C344" s="79"/>
      <c r="D344" s="79"/>
      <c r="J344" s="79"/>
      <c r="N344" s="79"/>
      <c r="S344" s="79"/>
      <c r="V344" s="130"/>
      <c r="X344" s="106"/>
    </row>
    <row r="345">
      <c r="C345" s="79"/>
      <c r="D345" s="79"/>
      <c r="J345" s="79"/>
      <c r="N345" s="79"/>
      <c r="S345" s="79"/>
      <c r="V345" s="130"/>
      <c r="X345" s="106"/>
    </row>
    <row r="346">
      <c r="C346" s="79"/>
      <c r="D346" s="79"/>
      <c r="J346" s="79"/>
      <c r="N346" s="79"/>
      <c r="S346" s="79"/>
      <c r="V346" s="130"/>
      <c r="X346" s="106"/>
    </row>
    <row r="347">
      <c r="C347" s="79"/>
      <c r="D347" s="79"/>
      <c r="J347" s="79"/>
      <c r="N347" s="79"/>
      <c r="S347" s="79"/>
      <c r="V347" s="130"/>
      <c r="X347" s="106"/>
    </row>
    <row r="348">
      <c r="C348" s="79"/>
      <c r="D348" s="79"/>
      <c r="J348" s="79"/>
      <c r="N348" s="79"/>
      <c r="S348" s="79"/>
      <c r="V348" s="130"/>
      <c r="X348" s="106"/>
    </row>
    <row r="349">
      <c r="C349" s="79"/>
      <c r="D349" s="79"/>
      <c r="J349" s="79"/>
      <c r="N349" s="79"/>
      <c r="S349" s="79"/>
      <c r="V349" s="130"/>
      <c r="X349" s="106"/>
    </row>
    <row r="350">
      <c r="C350" s="79"/>
      <c r="D350" s="79"/>
      <c r="J350" s="79"/>
      <c r="N350" s="79"/>
      <c r="S350" s="79"/>
      <c r="V350" s="130"/>
      <c r="X350" s="106"/>
    </row>
    <row r="351">
      <c r="C351" s="79"/>
      <c r="D351" s="79"/>
      <c r="J351" s="79"/>
      <c r="N351" s="79"/>
      <c r="S351" s="79"/>
      <c r="V351" s="130"/>
      <c r="X351" s="106"/>
    </row>
    <row r="352">
      <c r="C352" s="79"/>
      <c r="D352" s="79"/>
      <c r="J352" s="79"/>
      <c r="N352" s="79"/>
      <c r="S352" s="79"/>
      <c r="V352" s="130"/>
      <c r="X352" s="106"/>
    </row>
    <row r="353">
      <c r="C353" s="79"/>
      <c r="D353" s="79"/>
      <c r="J353" s="79"/>
      <c r="N353" s="79"/>
      <c r="S353" s="79"/>
      <c r="V353" s="130"/>
      <c r="X353" s="106"/>
    </row>
    <row r="354">
      <c r="C354" s="79"/>
      <c r="D354" s="79"/>
      <c r="J354" s="79"/>
      <c r="N354" s="79"/>
      <c r="S354" s="79"/>
      <c r="V354" s="130"/>
      <c r="X354" s="106"/>
    </row>
    <row r="355">
      <c r="C355" s="79"/>
      <c r="D355" s="79"/>
      <c r="J355" s="79"/>
      <c r="N355" s="79"/>
      <c r="S355" s="79"/>
      <c r="V355" s="130"/>
      <c r="X355" s="106"/>
    </row>
    <row r="356">
      <c r="C356" s="79"/>
      <c r="D356" s="79"/>
      <c r="J356" s="79"/>
      <c r="N356" s="79"/>
      <c r="S356" s="79"/>
      <c r="V356" s="130"/>
      <c r="X356" s="106"/>
    </row>
    <row r="357">
      <c r="C357" s="79"/>
      <c r="D357" s="79"/>
      <c r="J357" s="79"/>
      <c r="N357" s="79"/>
      <c r="S357" s="79"/>
      <c r="V357" s="130"/>
      <c r="X357" s="106"/>
    </row>
    <row r="358">
      <c r="C358" s="79"/>
      <c r="D358" s="79"/>
      <c r="J358" s="79"/>
      <c r="N358" s="79"/>
      <c r="S358" s="79"/>
      <c r="V358" s="130"/>
      <c r="X358" s="106"/>
    </row>
    <row r="359">
      <c r="C359" s="79"/>
      <c r="D359" s="79"/>
      <c r="J359" s="79"/>
      <c r="N359" s="79"/>
      <c r="S359" s="79"/>
      <c r="V359" s="130"/>
      <c r="X359" s="106"/>
    </row>
    <row r="360">
      <c r="C360" s="79"/>
      <c r="D360" s="79"/>
      <c r="J360" s="79"/>
      <c r="N360" s="79"/>
      <c r="S360" s="79"/>
      <c r="V360" s="130"/>
      <c r="X360" s="106"/>
    </row>
    <row r="361">
      <c r="C361" s="79"/>
      <c r="D361" s="79"/>
      <c r="J361" s="79"/>
      <c r="N361" s="79"/>
      <c r="S361" s="79"/>
      <c r="V361" s="130"/>
      <c r="X361" s="106"/>
    </row>
    <row r="362">
      <c r="C362" s="79"/>
      <c r="D362" s="79"/>
      <c r="J362" s="79"/>
      <c r="N362" s="79"/>
      <c r="S362" s="79"/>
      <c r="V362" s="130"/>
      <c r="X362" s="106"/>
    </row>
    <row r="363">
      <c r="C363" s="79"/>
      <c r="D363" s="79"/>
      <c r="J363" s="79"/>
      <c r="N363" s="79"/>
      <c r="S363" s="79"/>
      <c r="V363" s="130"/>
      <c r="X363" s="106"/>
    </row>
    <row r="364">
      <c r="C364" s="79"/>
      <c r="D364" s="79"/>
      <c r="J364" s="79"/>
      <c r="N364" s="79"/>
      <c r="S364" s="79"/>
      <c r="V364" s="130"/>
      <c r="X364" s="106"/>
    </row>
    <row r="365">
      <c r="C365" s="79"/>
      <c r="D365" s="79"/>
      <c r="J365" s="79"/>
      <c r="N365" s="79"/>
      <c r="S365" s="79"/>
      <c r="V365" s="130"/>
      <c r="X365" s="106"/>
    </row>
    <row r="366">
      <c r="C366" s="79"/>
      <c r="D366" s="79"/>
      <c r="J366" s="79"/>
      <c r="N366" s="79"/>
      <c r="S366" s="79"/>
      <c r="V366" s="130"/>
      <c r="X366" s="106"/>
    </row>
    <row r="367">
      <c r="C367" s="79"/>
      <c r="D367" s="79"/>
      <c r="J367" s="79"/>
      <c r="N367" s="79"/>
      <c r="S367" s="79"/>
      <c r="V367" s="130"/>
      <c r="X367" s="106"/>
    </row>
    <row r="368">
      <c r="C368" s="79"/>
      <c r="D368" s="79"/>
      <c r="J368" s="79"/>
      <c r="N368" s="79"/>
      <c r="S368" s="79"/>
      <c r="V368" s="130"/>
      <c r="X368" s="106"/>
    </row>
    <row r="369">
      <c r="C369" s="79"/>
      <c r="D369" s="79"/>
      <c r="J369" s="79"/>
      <c r="N369" s="79"/>
      <c r="S369" s="79"/>
      <c r="V369" s="130"/>
      <c r="X369" s="106"/>
    </row>
    <row r="370">
      <c r="C370" s="79"/>
      <c r="D370" s="79"/>
      <c r="J370" s="79"/>
      <c r="N370" s="79"/>
      <c r="S370" s="79"/>
      <c r="V370" s="130"/>
      <c r="X370" s="106"/>
    </row>
    <row r="371">
      <c r="C371" s="79"/>
      <c r="D371" s="79"/>
      <c r="J371" s="79"/>
      <c r="N371" s="79"/>
      <c r="S371" s="79"/>
      <c r="V371" s="130"/>
      <c r="X371" s="106"/>
    </row>
    <row r="372">
      <c r="C372" s="79"/>
      <c r="D372" s="79"/>
      <c r="J372" s="79"/>
      <c r="N372" s="79"/>
      <c r="S372" s="79"/>
      <c r="V372" s="130"/>
      <c r="X372" s="106"/>
    </row>
    <row r="373">
      <c r="C373" s="79"/>
      <c r="D373" s="79"/>
      <c r="J373" s="79"/>
      <c r="N373" s="79"/>
      <c r="S373" s="79"/>
      <c r="V373" s="130"/>
      <c r="X373" s="106"/>
    </row>
    <row r="374">
      <c r="C374" s="79"/>
      <c r="D374" s="79"/>
      <c r="J374" s="79"/>
      <c r="N374" s="79"/>
      <c r="S374" s="79"/>
      <c r="V374" s="130"/>
      <c r="X374" s="106"/>
    </row>
    <row r="375">
      <c r="C375" s="79"/>
      <c r="D375" s="79"/>
      <c r="J375" s="79"/>
      <c r="N375" s="79"/>
      <c r="S375" s="79"/>
      <c r="V375" s="130"/>
      <c r="X375" s="106"/>
    </row>
    <row r="376">
      <c r="C376" s="79"/>
      <c r="D376" s="79"/>
      <c r="J376" s="79"/>
      <c r="N376" s="79"/>
      <c r="S376" s="79"/>
      <c r="V376" s="130"/>
      <c r="X376" s="106"/>
    </row>
    <row r="377">
      <c r="C377" s="79"/>
      <c r="D377" s="79"/>
      <c r="J377" s="79"/>
      <c r="N377" s="79"/>
      <c r="S377" s="79"/>
      <c r="V377" s="130"/>
      <c r="X377" s="106"/>
    </row>
    <row r="378">
      <c r="C378" s="79"/>
      <c r="D378" s="79"/>
      <c r="J378" s="79"/>
      <c r="N378" s="79"/>
      <c r="S378" s="79"/>
      <c r="V378" s="130"/>
      <c r="X378" s="106"/>
    </row>
    <row r="379">
      <c r="C379" s="79"/>
      <c r="D379" s="79"/>
      <c r="J379" s="79"/>
      <c r="N379" s="79"/>
      <c r="S379" s="79"/>
      <c r="V379" s="130"/>
      <c r="X379" s="106"/>
    </row>
    <row r="380">
      <c r="C380" s="79"/>
      <c r="D380" s="79"/>
      <c r="J380" s="79"/>
      <c r="N380" s="79"/>
      <c r="S380" s="79"/>
      <c r="V380" s="130"/>
      <c r="X380" s="106"/>
    </row>
    <row r="381">
      <c r="C381" s="79"/>
      <c r="D381" s="79"/>
      <c r="J381" s="79"/>
      <c r="N381" s="79"/>
      <c r="S381" s="79"/>
      <c r="V381" s="130"/>
      <c r="X381" s="106"/>
    </row>
    <row r="382">
      <c r="C382" s="79"/>
      <c r="D382" s="79"/>
      <c r="J382" s="79"/>
      <c r="N382" s="79"/>
      <c r="S382" s="79"/>
      <c r="V382" s="130"/>
      <c r="X382" s="106"/>
    </row>
    <row r="383">
      <c r="C383" s="79"/>
      <c r="D383" s="79"/>
      <c r="J383" s="79"/>
      <c r="N383" s="79"/>
      <c r="S383" s="79"/>
      <c r="V383" s="130"/>
      <c r="X383" s="106"/>
    </row>
    <row r="384">
      <c r="C384" s="79"/>
      <c r="D384" s="79"/>
      <c r="J384" s="79"/>
      <c r="N384" s="79"/>
      <c r="S384" s="79"/>
      <c r="V384" s="130"/>
      <c r="X384" s="106"/>
    </row>
    <row r="385">
      <c r="C385" s="79"/>
      <c r="D385" s="79"/>
      <c r="J385" s="79"/>
      <c r="N385" s="79"/>
      <c r="S385" s="79"/>
      <c r="V385" s="130"/>
      <c r="X385" s="106"/>
    </row>
    <row r="386">
      <c r="C386" s="79"/>
      <c r="D386" s="79"/>
      <c r="J386" s="79"/>
      <c r="N386" s="79"/>
      <c r="S386" s="79"/>
      <c r="V386" s="130"/>
      <c r="X386" s="106"/>
    </row>
    <row r="387">
      <c r="C387" s="79"/>
      <c r="D387" s="79"/>
      <c r="J387" s="79"/>
      <c r="N387" s="79"/>
      <c r="S387" s="79"/>
      <c r="V387" s="130"/>
      <c r="X387" s="106"/>
    </row>
    <row r="388">
      <c r="C388" s="79"/>
      <c r="D388" s="79"/>
      <c r="J388" s="79"/>
      <c r="N388" s="79"/>
      <c r="S388" s="79"/>
      <c r="V388" s="130"/>
      <c r="X388" s="106"/>
    </row>
    <row r="389">
      <c r="C389" s="79"/>
      <c r="D389" s="79"/>
      <c r="J389" s="79"/>
      <c r="N389" s="79"/>
      <c r="S389" s="79"/>
      <c r="V389" s="130"/>
      <c r="X389" s="106"/>
    </row>
    <row r="390">
      <c r="C390" s="79"/>
      <c r="D390" s="79"/>
      <c r="J390" s="79"/>
      <c r="N390" s="79"/>
      <c r="S390" s="79"/>
      <c r="V390" s="130"/>
      <c r="X390" s="106"/>
    </row>
    <row r="391">
      <c r="C391" s="79"/>
      <c r="D391" s="79"/>
      <c r="J391" s="79"/>
      <c r="N391" s="79"/>
      <c r="S391" s="79"/>
      <c r="V391" s="130"/>
      <c r="X391" s="106"/>
    </row>
    <row r="392">
      <c r="C392" s="79"/>
      <c r="D392" s="79"/>
      <c r="J392" s="79"/>
      <c r="N392" s="79"/>
      <c r="S392" s="79"/>
      <c r="V392" s="130"/>
      <c r="X392" s="106"/>
    </row>
    <row r="393">
      <c r="C393" s="79"/>
      <c r="D393" s="79"/>
      <c r="J393" s="79"/>
      <c r="N393" s="79"/>
      <c r="S393" s="79"/>
      <c r="V393" s="130"/>
      <c r="X393" s="106"/>
    </row>
    <row r="394">
      <c r="C394" s="79"/>
      <c r="D394" s="79"/>
      <c r="J394" s="79"/>
      <c r="N394" s="79"/>
      <c r="S394" s="79"/>
      <c r="V394" s="130"/>
      <c r="X394" s="106"/>
    </row>
    <row r="395">
      <c r="C395" s="79"/>
      <c r="D395" s="79"/>
      <c r="J395" s="79"/>
      <c r="N395" s="79"/>
      <c r="S395" s="79"/>
      <c r="V395" s="130"/>
      <c r="X395" s="106"/>
    </row>
    <row r="396">
      <c r="C396" s="79"/>
      <c r="D396" s="79"/>
      <c r="J396" s="79"/>
      <c r="N396" s="79"/>
      <c r="S396" s="79"/>
      <c r="V396" s="130"/>
      <c r="X396" s="106"/>
    </row>
    <row r="397">
      <c r="C397" s="79"/>
      <c r="D397" s="79"/>
      <c r="J397" s="79"/>
      <c r="N397" s="79"/>
      <c r="S397" s="79"/>
      <c r="V397" s="130"/>
      <c r="X397" s="106"/>
    </row>
    <row r="398">
      <c r="C398" s="79"/>
      <c r="D398" s="79"/>
      <c r="J398" s="79"/>
      <c r="N398" s="79"/>
      <c r="S398" s="79"/>
      <c r="V398" s="130"/>
      <c r="X398" s="106"/>
    </row>
    <row r="399">
      <c r="C399" s="79"/>
      <c r="D399" s="79"/>
      <c r="J399" s="79"/>
      <c r="N399" s="79"/>
      <c r="S399" s="79"/>
      <c r="V399" s="130"/>
      <c r="X399" s="106"/>
    </row>
    <row r="400">
      <c r="C400" s="79"/>
      <c r="D400" s="79"/>
      <c r="J400" s="79"/>
      <c r="N400" s="79"/>
      <c r="S400" s="79"/>
      <c r="V400" s="130"/>
      <c r="X400" s="106"/>
    </row>
    <row r="401">
      <c r="C401" s="79"/>
      <c r="D401" s="79"/>
      <c r="J401" s="79"/>
      <c r="N401" s="79"/>
      <c r="S401" s="79"/>
      <c r="V401" s="130"/>
      <c r="X401" s="106"/>
    </row>
    <row r="402">
      <c r="C402" s="79"/>
      <c r="D402" s="79"/>
      <c r="J402" s="79"/>
      <c r="N402" s="79"/>
      <c r="S402" s="79"/>
      <c r="V402" s="130"/>
      <c r="X402" s="106"/>
    </row>
    <row r="403">
      <c r="C403" s="79"/>
      <c r="D403" s="79"/>
      <c r="J403" s="79"/>
      <c r="N403" s="79"/>
      <c r="S403" s="79"/>
      <c r="V403" s="130"/>
      <c r="X403" s="106"/>
    </row>
    <row r="404">
      <c r="C404" s="79"/>
      <c r="D404" s="79"/>
      <c r="J404" s="79"/>
      <c r="N404" s="79"/>
      <c r="S404" s="79"/>
      <c r="V404" s="130"/>
      <c r="X404" s="106"/>
    </row>
    <row r="405">
      <c r="C405" s="79"/>
      <c r="D405" s="79"/>
      <c r="J405" s="79"/>
      <c r="N405" s="79"/>
      <c r="S405" s="79"/>
      <c r="V405" s="130"/>
      <c r="X405" s="106"/>
    </row>
    <row r="406">
      <c r="C406" s="79"/>
      <c r="D406" s="79"/>
      <c r="J406" s="79"/>
      <c r="N406" s="79"/>
      <c r="S406" s="79"/>
      <c r="V406" s="130"/>
      <c r="X406" s="106"/>
    </row>
    <row r="407">
      <c r="C407" s="79"/>
      <c r="D407" s="79"/>
      <c r="J407" s="79"/>
      <c r="N407" s="79"/>
      <c r="S407" s="79"/>
      <c r="V407" s="130"/>
      <c r="X407" s="106"/>
    </row>
    <row r="408">
      <c r="C408" s="79"/>
      <c r="D408" s="79"/>
      <c r="J408" s="79"/>
      <c r="N408" s="79"/>
      <c r="S408" s="79"/>
      <c r="V408" s="130"/>
      <c r="X408" s="106"/>
    </row>
    <row r="409">
      <c r="C409" s="79"/>
      <c r="D409" s="79"/>
      <c r="J409" s="79"/>
      <c r="N409" s="79"/>
      <c r="S409" s="79"/>
      <c r="V409" s="130"/>
      <c r="X409" s="106"/>
    </row>
    <row r="410">
      <c r="C410" s="79"/>
      <c r="D410" s="79"/>
      <c r="J410" s="79"/>
      <c r="N410" s="79"/>
      <c r="S410" s="79"/>
      <c r="V410" s="130"/>
      <c r="X410" s="106"/>
    </row>
    <row r="411">
      <c r="C411" s="79"/>
      <c r="D411" s="79"/>
      <c r="J411" s="79"/>
      <c r="N411" s="79"/>
      <c r="S411" s="79"/>
      <c r="V411" s="130"/>
      <c r="X411" s="106"/>
    </row>
    <row r="412">
      <c r="C412" s="79"/>
      <c r="D412" s="79"/>
      <c r="J412" s="79"/>
      <c r="N412" s="79"/>
      <c r="S412" s="79"/>
      <c r="V412" s="130"/>
      <c r="X412" s="106"/>
    </row>
    <row r="413">
      <c r="C413" s="79"/>
      <c r="D413" s="79"/>
      <c r="J413" s="79"/>
      <c r="N413" s="79"/>
      <c r="S413" s="79"/>
      <c r="V413" s="130"/>
      <c r="X413" s="106"/>
    </row>
    <row r="414">
      <c r="C414" s="79"/>
      <c r="D414" s="79"/>
      <c r="J414" s="79"/>
      <c r="N414" s="79"/>
      <c r="S414" s="79"/>
      <c r="V414" s="130"/>
      <c r="X414" s="106"/>
    </row>
    <row r="415">
      <c r="C415" s="79"/>
      <c r="D415" s="79"/>
      <c r="J415" s="79"/>
      <c r="N415" s="79"/>
      <c r="S415" s="79"/>
      <c r="V415" s="130"/>
      <c r="X415" s="106"/>
    </row>
    <row r="416">
      <c r="C416" s="79"/>
      <c r="D416" s="79"/>
      <c r="J416" s="79"/>
      <c r="N416" s="79"/>
      <c r="S416" s="79"/>
      <c r="V416" s="130"/>
      <c r="X416" s="106"/>
    </row>
    <row r="417">
      <c r="C417" s="79"/>
      <c r="D417" s="79"/>
      <c r="J417" s="79"/>
      <c r="N417" s="79"/>
      <c r="S417" s="79"/>
      <c r="V417" s="130"/>
      <c r="X417" s="106"/>
    </row>
    <row r="418">
      <c r="C418" s="79"/>
      <c r="D418" s="79"/>
      <c r="J418" s="79"/>
      <c r="N418" s="79"/>
      <c r="S418" s="79"/>
      <c r="V418" s="130"/>
      <c r="X418" s="106"/>
    </row>
    <row r="419">
      <c r="C419" s="79"/>
      <c r="D419" s="79"/>
      <c r="J419" s="79"/>
      <c r="N419" s="79"/>
      <c r="S419" s="79"/>
      <c r="V419" s="130"/>
      <c r="X419" s="106"/>
    </row>
    <row r="420">
      <c r="C420" s="79"/>
      <c r="D420" s="79"/>
      <c r="J420" s="79"/>
      <c r="N420" s="79"/>
      <c r="S420" s="79"/>
      <c r="V420" s="130"/>
      <c r="X420" s="106"/>
    </row>
    <row r="421">
      <c r="C421" s="79"/>
      <c r="D421" s="79"/>
      <c r="J421" s="79"/>
      <c r="N421" s="79"/>
      <c r="S421" s="79"/>
      <c r="V421" s="130"/>
      <c r="X421" s="106"/>
    </row>
    <row r="422">
      <c r="C422" s="79"/>
      <c r="D422" s="79"/>
      <c r="J422" s="79"/>
      <c r="N422" s="79"/>
      <c r="S422" s="79"/>
      <c r="V422" s="130"/>
      <c r="X422" s="106"/>
    </row>
    <row r="423">
      <c r="C423" s="79"/>
      <c r="D423" s="79"/>
      <c r="J423" s="79"/>
      <c r="N423" s="79"/>
      <c r="S423" s="79"/>
      <c r="V423" s="130"/>
      <c r="X423" s="106"/>
    </row>
    <row r="424">
      <c r="C424" s="79"/>
      <c r="D424" s="79"/>
      <c r="J424" s="79"/>
      <c r="N424" s="79"/>
      <c r="S424" s="79"/>
      <c r="V424" s="130"/>
      <c r="X424" s="106"/>
    </row>
    <row r="425">
      <c r="C425" s="79"/>
      <c r="D425" s="79"/>
      <c r="J425" s="79"/>
      <c r="N425" s="79"/>
      <c r="S425" s="79"/>
      <c r="V425" s="130"/>
      <c r="X425" s="106"/>
    </row>
    <row r="426">
      <c r="C426" s="79"/>
      <c r="D426" s="79"/>
      <c r="J426" s="79"/>
      <c r="N426" s="79"/>
      <c r="S426" s="79"/>
      <c r="V426" s="130"/>
      <c r="X426" s="106"/>
    </row>
    <row r="427">
      <c r="C427" s="79"/>
      <c r="D427" s="79"/>
      <c r="J427" s="79"/>
      <c r="N427" s="79"/>
      <c r="S427" s="79"/>
      <c r="V427" s="130"/>
      <c r="X427" s="106"/>
    </row>
    <row r="428">
      <c r="C428" s="79"/>
      <c r="D428" s="79"/>
      <c r="J428" s="79"/>
      <c r="N428" s="79"/>
      <c r="S428" s="79"/>
      <c r="V428" s="130"/>
      <c r="X428" s="106"/>
    </row>
    <row r="429">
      <c r="C429" s="79"/>
      <c r="D429" s="79"/>
      <c r="J429" s="79"/>
      <c r="N429" s="79"/>
      <c r="S429" s="79"/>
      <c r="V429" s="130"/>
      <c r="X429" s="106"/>
    </row>
    <row r="430">
      <c r="C430" s="79"/>
      <c r="D430" s="79"/>
      <c r="J430" s="79"/>
      <c r="N430" s="79"/>
      <c r="S430" s="79"/>
      <c r="V430" s="130"/>
      <c r="X430" s="106"/>
    </row>
    <row r="431">
      <c r="C431" s="79"/>
      <c r="D431" s="79"/>
      <c r="J431" s="79"/>
      <c r="N431" s="79"/>
      <c r="S431" s="79"/>
      <c r="V431" s="130"/>
      <c r="X431" s="106"/>
    </row>
    <row r="432">
      <c r="C432" s="79"/>
      <c r="D432" s="79"/>
      <c r="J432" s="79"/>
      <c r="N432" s="79"/>
      <c r="S432" s="79"/>
      <c r="V432" s="130"/>
      <c r="X432" s="106"/>
    </row>
    <row r="433">
      <c r="C433" s="79"/>
      <c r="D433" s="79"/>
      <c r="J433" s="79"/>
      <c r="N433" s="79"/>
      <c r="S433" s="79"/>
      <c r="V433" s="130"/>
      <c r="X433" s="106"/>
    </row>
    <row r="434">
      <c r="C434" s="79"/>
      <c r="D434" s="79"/>
      <c r="J434" s="79"/>
      <c r="N434" s="79"/>
      <c r="S434" s="79"/>
      <c r="V434" s="130"/>
      <c r="X434" s="106"/>
    </row>
    <row r="435">
      <c r="C435" s="79"/>
      <c r="D435" s="79"/>
      <c r="J435" s="79"/>
      <c r="N435" s="79"/>
      <c r="S435" s="79"/>
      <c r="V435" s="130"/>
      <c r="X435" s="106"/>
    </row>
    <row r="436">
      <c r="C436" s="79"/>
      <c r="D436" s="79"/>
      <c r="J436" s="79"/>
      <c r="N436" s="79"/>
      <c r="S436" s="79"/>
      <c r="V436" s="130"/>
      <c r="X436" s="106"/>
    </row>
    <row r="437">
      <c r="C437" s="79"/>
      <c r="D437" s="79"/>
      <c r="J437" s="79"/>
      <c r="N437" s="79"/>
      <c r="S437" s="79"/>
      <c r="V437" s="130"/>
      <c r="X437" s="106"/>
    </row>
    <row r="438">
      <c r="C438" s="79"/>
      <c r="D438" s="79"/>
      <c r="J438" s="79"/>
      <c r="N438" s="79"/>
      <c r="S438" s="79"/>
      <c r="V438" s="130"/>
      <c r="X438" s="106"/>
    </row>
    <row r="439">
      <c r="C439" s="79"/>
      <c r="D439" s="79"/>
      <c r="J439" s="79"/>
      <c r="N439" s="79"/>
      <c r="S439" s="79"/>
      <c r="V439" s="130"/>
      <c r="X439" s="106"/>
    </row>
    <row r="440">
      <c r="C440" s="79"/>
      <c r="D440" s="79"/>
      <c r="J440" s="79"/>
      <c r="N440" s="79"/>
      <c r="S440" s="79"/>
      <c r="V440" s="130"/>
      <c r="X440" s="106"/>
    </row>
    <row r="441">
      <c r="C441" s="79"/>
      <c r="D441" s="79"/>
      <c r="J441" s="79"/>
      <c r="N441" s="79"/>
      <c r="S441" s="79"/>
      <c r="V441" s="130"/>
      <c r="X441" s="106"/>
    </row>
    <row r="442">
      <c r="C442" s="79"/>
      <c r="D442" s="79"/>
      <c r="J442" s="79"/>
      <c r="N442" s="79"/>
      <c r="S442" s="79"/>
      <c r="V442" s="130"/>
      <c r="X442" s="106"/>
    </row>
    <row r="443">
      <c r="C443" s="79"/>
      <c r="D443" s="79"/>
      <c r="J443" s="79"/>
      <c r="N443" s="79"/>
      <c r="S443" s="79"/>
      <c r="V443" s="130"/>
      <c r="X443" s="106"/>
    </row>
    <row r="444">
      <c r="C444" s="79"/>
      <c r="D444" s="79"/>
      <c r="J444" s="79"/>
      <c r="N444" s="79"/>
      <c r="S444" s="79"/>
      <c r="V444" s="130"/>
      <c r="X444" s="106"/>
    </row>
    <row r="445">
      <c r="C445" s="79"/>
      <c r="D445" s="79"/>
      <c r="J445" s="79"/>
      <c r="N445" s="79"/>
      <c r="S445" s="79"/>
      <c r="V445" s="130"/>
      <c r="X445" s="106"/>
    </row>
    <row r="446">
      <c r="C446" s="79"/>
      <c r="D446" s="79"/>
      <c r="J446" s="79"/>
      <c r="N446" s="79"/>
      <c r="S446" s="79"/>
      <c r="V446" s="130"/>
      <c r="X446" s="106"/>
    </row>
    <row r="447">
      <c r="C447" s="79"/>
      <c r="D447" s="79"/>
      <c r="J447" s="79"/>
      <c r="N447" s="79"/>
      <c r="S447" s="79"/>
      <c r="V447" s="130"/>
      <c r="X447" s="106"/>
    </row>
    <row r="448">
      <c r="C448" s="79"/>
      <c r="D448" s="79"/>
      <c r="J448" s="79"/>
      <c r="N448" s="79"/>
      <c r="S448" s="79"/>
      <c r="V448" s="130"/>
      <c r="X448" s="106"/>
    </row>
    <row r="449">
      <c r="C449" s="79"/>
      <c r="D449" s="79"/>
      <c r="J449" s="79"/>
      <c r="N449" s="79"/>
      <c r="S449" s="79"/>
      <c r="V449" s="130"/>
      <c r="X449" s="106"/>
    </row>
    <row r="450">
      <c r="C450" s="79"/>
      <c r="D450" s="79"/>
      <c r="J450" s="79"/>
      <c r="N450" s="79"/>
      <c r="S450" s="79"/>
      <c r="V450" s="130"/>
      <c r="X450" s="106"/>
    </row>
    <row r="451">
      <c r="C451" s="79"/>
      <c r="D451" s="79"/>
      <c r="J451" s="79"/>
      <c r="N451" s="79"/>
      <c r="S451" s="79"/>
      <c r="V451" s="130"/>
      <c r="X451" s="106"/>
    </row>
    <row r="452">
      <c r="C452" s="79"/>
      <c r="D452" s="79"/>
      <c r="J452" s="79"/>
      <c r="N452" s="79"/>
      <c r="S452" s="79"/>
      <c r="V452" s="130"/>
      <c r="X452" s="106"/>
    </row>
    <row r="453">
      <c r="C453" s="79"/>
      <c r="D453" s="79"/>
      <c r="J453" s="79"/>
      <c r="N453" s="79"/>
      <c r="S453" s="79"/>
      <c r="V453" s="130"/>
      <c r="X453" s="106"/>
    </row>
    <row r="454">
      <c r="C454" s="79"/>
      <c r="D454" s="79"/>
      <c r="J454" s="79"/>
      <c r="N454" s="79"/>
      <c r="S454" s="79"/>
      <c r="V454" s="130"/>
      <c r="X454" s="106"/>
    </row>
    <row r="455">
      <c r="C455" s="79"/>
      <c r="D455" s="79"/>
      <c r="J455" s="79"/>
      <c r="N455" s="79"/>
      <c r="S455" s="79"/>
      <c r="V455" s="130"/>
      <c r="X455" s="106"/>
    </row>
    <row r="456">
      <c r="C456" s="79"/>
      <c r="D456" s="79"/>
      <c r="J456" s="79"/>
      <c r="N456" s="79"/>
      <c r="S456" s="79"/>
      <c r="V456" s="130"/>
      <c r="X456" s="106"/>
    </row>
    <row r="457">
      <c r="C457" s="79"/>
      <c r="D457" s="79"/>
      <c r="J457" s="79"/>
      <c r="N457" s="79"/>
      <c r="S457" s="79"/>
      <c r="V457" s="130"/>
      <c r="X457" s="106"/>
    </row>
    <row r="458">
      <c r="C458" s="79"/>
      <c r="D458" s="79"/>
      <c r="J458" s="79"/>
      <c r="N458" s="79"/>
      <c r="S458" s="79"/>
      <c r="V458" s="130"/>
      <c r="X458" s="106"/>
    </row>
    <row r="459">
      <c r="C459" s="79"/>
      <c r="D459" s="79"/>
      <c r="J459" s="79"/>
      <c r="N459" s="79"/>
      <c r="S459" s="79"/>
      <c r="V459" s="130"/>
      <c r="X459" s="106"/>
    </row>
    <row r="460">
      <c r="C460" s="79"/>
      <c r="D460" s="79"/>
      <c r="J460" s="79"/>
      <c r="N460" s="79"/>
      <c r="S460" s="79"/>
      <c r="V460" s="130"/>
      <c r="X460" s="106"/>
    </row>
    <row r="461">
      <c r="C461" s="79"/>
      <c r="D461" s="79"/>
      <c r="J461" s="79"/>
      <c r="N461" s="79"/>
      <c r="S461" s="79"/>
      <c r="V461" s="130"/>
      <c r="X461" s="106"/>
    </row>
    <row r="462">
      <c r="C462" s="79"/>
      <c r="D462" s="79"/>
      <c r="J462" s="79"/>
      <c r="N462" s="79"/>
      <c r="S462" s="79"/>
      <c r="V462" s="130"/>
      <c r="X462" s="106"/>
    </row>
    <row r="463">
      <c r="C463" s="79"/>
      <c r="D463" s="79"/>
      <c r="J463" s="79"/>
      <c r="N463" s="79"/>
      <c r="S463" s="79"/>
      <c r="V463" s="130"/>
      <c r="X463" s="106"/>
    </row>
    <row r="464">
      <c r="C464" s="79"/>
      <c r="D464" s="79"/>
      <c r="J464" s="79"/>
      <c r="N464" s="79"/>
      <c r="S464" s="79"/>
      <c r="V464" s="130"/>
      <c r="X464" s="106"/>
    </row>
    <row r="465">
      <c r="C465" s="79"/>
      <c r="D465" s="79"/>
      <c r="J465" s="79"/>
      <c r="N465" s="79"/>
      <c r="S465" s="79"/>
      <c r="V465" s="130"/>
      <c r="X465" s="106"/>
    </row>
    <row r="466">
      <c r="C466" s="79"/>
      <c r="D466" s="79"/>
      <c r="J466" s="79"/>
      <c r="N466" s="79"/>
      <c r="S466" s="79"/>
      <c r="V466" s="130"/>
      <c r="X466" s="106"/>
    </row>
    <row r="467">
      <c r="C467" s="79"/>
      <c r="D467" s="79"/>
      <c r="J467" s="79"/>
      <c r="N467" s="79"/>
      <c r="S467" s="79"/>
      <c r="V467" s="130"/>
      <c r="X467" s="106"/>
    </row>
    <row r="468">
      <c r="C468" s="79"/>
      <c r="D468" s="79"/>
      <c r="J468" s="79"/>
      <c r="N468" s="79"/>
      <c r="S468" s="79"/>
      <c r="V468" s="130"/>
      <c r="X468" s="106"/>
    </row>
    <row r="469">
      <c r="C469" s="79"/>
      <c r="D469" s="79"/>
      <c r="J469" s="79"/>
      <c r="N469" s="79"/>
      <c r="S469" s="79"/>
      <c r="V469" s="130"/>
      <c r="X469" s="106"/>
    </row>
    <row r="470">
      <c r="C470" s="79"/>
      <c r="D470" s="79"/>
      <c r="J470" s="79"/>
      <c r="N470" s="79"/>
      <c r="S470" s="79"/>
      <c r="V470" s="130"/>
      <c r="X470" s="106"/>
    </row>
    <row r="471">
      <c r="C471" s="79"/>
      <c r="D471" s="79"/>
      <c r="J471" s="79"/>
      <c r="N471" s="79"/>
      <c r="S471" s="79"/>
      <c r="V471" s="130"/>
      <c r="X471" s="106"/>
    </row>
    <row r="472">
      <c r="C472" s="79"/>
      <c r="D472" s="79"/>
      <c r="J472" s="79"/>
      <c r="N472" s="79"/>
      <c r="S472" s="79"/>
      <c r="V472" s="130"/>
      <c r="X472" s="106"/>
    </row>
    <row r="473">
      <c r="C473" s="79"/>
      <c r="D473" s="79"/>
      <c r="J473" s="79"/>
      <c r="N473" s="79"/>
      <c r="S473" s="79"/>
      <c r="V473" s="130"/>
      <c r="X473" s="106"/>
    </row>
    <row r="474">
      <c r="C474" s="79"/>
      <c r="D474" s="79"/>
      <c r="J474" s="79"/>
      <c r="N474" s="79"/>
      <c r="S474" s="79"/>
      <c r="V474" s="130"/>
      <c r="X474" s="106"/>
    </row>
    <row r="475">
      <c r="C475" s="79"/>
      <c r="D475" s="79"/>
      <c r="J475" s="79"/>
      <c r="N475" s="79"/>
      <c r="S475" s="79"/>
      <c r="V475" s="130"/>
      <c r="X475" s="106"/>
    </row>
    <row r="476">
      <c r="C476" s="79"/>
      <c r="D476" s="79"/>
      <c r="J476" s="79"/>
      <c r="N476" s="79"/>
      <c r="S476" s="79"/>
      <c r="V476" s="130"/>
      <c r="X476" s="106"/>
    </row>
    <row r="477">
      <c r="C477" s="79"/>
      <c r="D477" s="79"/>
      <c r="J477" s="79"/>
      <c r="N477" s="79"/>
      <c r="S477" s="79"/>
      <c r="V477" s="130"/>
      <c r="X477" s="106"/>
    </row>
    <row r="478">
      <c r="C478" s="79"/>
      <c r="D478" s="79"/>
      <c r="J478" s="79"/>
      <c r="N478" s="79"/>
      <c r="S478" s="79"/>
      <c r="V478" s="130"/>
      <c r="X478" s="106"/>
    </row>
    <row r="479">
      <c r="C479" s="79"/>
      <c r="D479" s="79"/>
      <c r="J479" s="79"/>
      <c r="N479" s="79"/>
      <c r="S479" s="79"/>
      <c r="V479" s="130"/>
      <c r="X479" s="106"/>
    </row>
    <row r="480">
      <c r="C480" s="79"/>
      <c r="D480" s="79"/>
      <c r="J480" s="79"/>
      <c r="N480" s="79"/>
      <c r="S480" s="79"/>
      <c r="V480" s="130"/>
      <c r="X480" s="106"/>
    </row>
    <row r="481">
      <c r="C481" s="79"/>
      <c r="D481" s="79"/>
      <c r="J481" s="79"/>
      <c r="N481" s="79"/>
      <c r="S481" s="79"/>
      <c r="V481" s="130"/>
      <c r="X481" s="106"/>
    </row>
    <row r="482">
      <c r="C482" s="79"/>
      <c r="D482" s="79"/>
      <c r="J482" s="79"/>
      <c r="N482" s="79"/>
      <c r="S482" s="79"/>
      <c r="V482" s="130"/>
      <c r="X482" s="106"/>
    </row>
    <row r="483">
      <c r="C483" s="79"/>
      <c r="D483" s="79"/>
      <c r="J483" s="79"/>
      <c r="N483" s="79"/>
      <c r="S483" s="79"/>
      <c r="V483" s="130"/>
      <c r="X483" s="106"/>
    </row>
    <row r="484">
      <c r="C484" s="79"/>
      <c r="D484" s="79"/>
      <c r="J484" s="79"/>
      <c r="N484" s="79"/>
      <c r="S484" s="79"/>
      <c r="V484" s="130"/>
      <c r="X484" s="106"/>
    </row>
    <row r="485">
      <c r="C485" s="79"/>
      <c r="D485" s="79"/>
      <c r="J485" s="79"/>
      <c r="N485" s="79"/>
      <c r="S485" s="79"/>
      <c r="V485" s="130"/>
      <c r="X485" s="106"/>
    </row>
    <row r="486">
      <c r="C486" s="79"/>
      <c r="D486" s="79"/>
      <c r="J486" s="79"/>
      <c r="N486" s="79"/>
      <c r="S486" s="79"/>
      <c r="V486" s="130"/>
      <c r="X486" s="106"/>
    </row>
    <row r="487">
      <c r="C487" s="79"/>
      <c r="D487" s="79"/>
      <c r="J487" s="79"/>
      <c r="N487" s="79"/>
      <c r="S487" s="79"/>
      <c r="V487" s="130"/>
      <c r="X487" s="106"/>
    </row>
    <row r="488">
      <c r="C488" s="79"/>
      <c r="D488" s="79"/>
      <c r="J488" s="79"/>
      <c r="N488" s="79"/>
      <c r="S488" s="79"/>
      <c r="V488" s="130"/>
      <c r="X488" s="106"/>
    </row>
    <row r="489">
      <c r="C489" s="79"/>
      <c r="D489" s="79"/>
      <c r="J489" s="79"/>
      <c r="N489" s="79"/>
      <c r="S489" s="79"/>
      <c r="V489" s="130"/>
      <c r="X489" s="106"/>
    </row>
    <row r="490">
      <c r="C490" s="79"/>
      <c r="D490" s="79"/>
      <c r="J490" s="79"/>
      <c r="N490" s="79"/>
      <c r="S490" s="79"/>
      <c r="V490" s="130"/>
      <c r="X490" s="106"/>
    </row>
    <row r="491">
      <c r="C491" s="79"/>
      <c r="D491" s="79"/>
      <c r="J491" s="79"/>
      <c r="N491" s="79"/>
      <c r="S491" s="79"/>
      <c r="V491" s="130"/>
      <c r="X491" s="106"/>
    </row>
    <row r="492">
      <c r="C492" s="79"/>
      <c r="D492" s="79"/>
      <c r="J492" s="79"/>
      <c r="N492" s="79"/>
      <c r="S492" s="79"/>
      <c r="V492" s="130"/>
      <c r="X492" s="106"/>
    </row>
    <row r="493">
      <c r="C493" s="79"/>
      <c r="D493" s="79"/>
      <c r="J493" s="79"/>
      <c r="N493" s="79"/>
      <c r="S493" s="79"/>
      <c r="V493" s="130"/>
      <c r="X493" s="106"/>
    </row>
    <row r="494">
      <c r="C494" s="79"/>
      <c r="D494" s="79"/>
      <c r="J494" s="79"/>
      <c r="N494" s="79"/>
      <c r="S494" s="79"/>
      <c r="V494" s="130"/>
      <c r="X494" s="106"/>
    </row>
    <row r="495">
      <c r="C495" s="79"/>
      <c r="D495" s="79"/>
      <c r="J495" s="79"/>
      <c r="N495" s="79"/>
      <c r="S495" s="79"/>
      <c r="V495" s="130"/>
      <c r="X495" s="106"/>
    </row>
    <row r="496">
      <c r="C496" s="79"/>
      <c r="D496" s="79"/>
      <c r="J496" s="79"/>
      <c r="N496" s="79"/>
      <c r="S496" s="79"/>
      <c r="V496" s="130"/>
      <c r="X496" s="106"/>
    </row>
    <row r="497">
      <c r="C497" s="79"/>
      <c r="D497" s="79"/>
      <c r="J497" s="79"/>
      <c r="N497" s="79"/>
      <c r="S497" s="79"/>
      <c r="V497" s="130"/>
      <c r="X497" s="106"/>
    </row>
    <row r="498">
      <c r="C498" s="79"/>
      <c r="D498" s="79"/>
      <c r="J498" s="79"/>
      <c r="N498" s="79"/>
      <c r="S498" s="79"/>
      <c r="V498" s="130"/>
      <c r="X498" s="106"/>
    </row>
    <row r="499">
      <c r="C499" s="79"/>
      <c r="D499" s="79"/>
      <c r="J499" s="79"/>
      <c r="N499" s="79"/>
      <c r="S499" s="79"/>
      <c r="V499" s="130"/>
      <c r="X499" s="106"/>
    </row>
    <row r="500">
      <c r="C500" s="79"/>
      <c r="D500" s="79"/>
      <c r="J500" s="79"/>
      <c r="N500" s="79"/>
      <c r="S500" s="79"/>
      <c r="V500" s="130"/>
      <c r="X500" s="106"/>
    </row>
    <row r="501">
      <c r="C501" s="79"/>
      <c r="D501" s="79"/>
      <c r="J501" s="79"/>
      <c r="N501" s="79"/>
      <c r="S501" s="79"/>
      <c r="V501" s="130"/>
      <c r="X501" s="106"/>
    </row>
    <row r="502">
      <c r="C502" s="79"/>
      <c r="D502" s="79"/>
      <c r="J502" s="79"/>
      <c r="N502" s="79"/>
      <c r="S502" s="79"/>
      <c r="V502" s="130"/>
      <c r="X502" s="106"/>
    </row>
    <row r="503">
      <c r="C503" s="79"/>
      <c r="D503" s="79"/>
      <c r="J503" s="79"/>
      <c r="N503" s="79"/>
      <c r="S503" s="79"/>
      <c r="V503" s="130"/>
      <c r="X503" s="106"/>
    </row>
    <row r="504">
      <c r="C504" s="79"/>
      <c r="D504" s="79"/>
      <c r="J504" s="79"/>
      <c r="N504" s="79"/>
      <c r="S504" s="79"/>
      <c r="V504" s="130"/>
      <c r="X504" s="106"/>
    </row>
    <row r="505">
      <c r="C505" s="79"/>
      <c r="D505" s="79"/>
      <c r="J505" s="79"/>
      <c r="N505" s="79"/>
      <c r="S505" s="79"/>
      <c r="V505" s="130"/>
      <c r="X505" s="106"/>
    </row>
    <row r="506">
      <c r="C506" s="79"/>
      <c r="D506" s="79"/>
      <c r="J506" s="79"/>
      <c r="N506" s="79"/>
      <c r="S506" s="79"/>
      <c r="V506" s="130"/>
      <c r="X506" s="106"/>
    </row>
    <row r="507">
      <c r="C507" s="79"/>
      <c r="D507" s="79"/>
      <c r="J507" s="79"/>
      <c r="N507" s="79"/>
      <c r="S507" s="79"/>
      <c r="V507" s="130"/>
      <c r="X507" s="106"/>
    </row>
    <row r="508">
      <c r="C508" s="79"/>
      <c r="D508" s="79"/>
      <c r="J508" s="79"/>
      <c r="N508" s="79"/>
      <c r="S508" s="79"/>
      <c r="V508" s="130"/>
      <c r="X508" s="106"/>
    </row>
    <row r="509">
      <c r="C509" s="79"/>
      <c r="D509" s="79"/>
      <c r="J509" s="79"/>
      <c r="N509" s="79"/>
      <c r="S509" s="79"/>
      <c r="V509" s="130"/>
      <c r="X509" s="106"/>
    </row>
    <row r="510">
      <c r="C510" s="79"/>
      <c r="D510" s="79"/>
      <c r="J510" s="79"/>
      <c r="N510" s="79"/>
      <c r="S510" s="79"/>
      <c r="V510" s="130"/>
      <c r="X510" s="106"/>
    </row>
    <row r="511">
      <c r="C511" s="79"/>
      <c r="D511" s="79"/>
      <c r="J511" s="79"/>
      <c r="N511" s="79"/>
      <c r="S511" s="79"/>
      <c r="V511" s="130"/>
      <c r="X511" s="106"/>
    </row>
    <row r="512">
      <c r="C512" s="79"/>
      <c r="D512" s="79"/>
      <c r="J512" s="79"/>
      <c r="N512" s="79"/>
      <c r="S512" s="79"/>
      <c r="V512" s="130"/>
      <c r="X512" s="106"/>
    </row>
    <row r="513">
      <c r="C513" s="79"/>
      <c r="D513" s="79"/>
      <c r="J513" s="79"/>
      <c r="N513" s="79"/>
      <c r="S513" s="79"/>
      <c r="V513" s="130"/>
      <c r="X513" s="106"/>
    </row>
    <row r="514">
      <c r="C514" s="79"/>
      <c r="D514" s="79"/>
      <c r="J514" s="79"/>
      <c r="N514" s="79"/>
      <c r="S514" s="79"/>
      <c r="V514" s="130"/>
      <c r="X514" s="106"/>
    </row>
    <row r="515">
      <c r="C515" s="79"/>
      <c r="D515" s="79"/>
      <c r="J515" s="79"/>
      <c r="N515" s="79"/>
      <c r="S515" s="79"/>
      <c r="V515" s="130"/>
      <c r="X515" s="106"/>
    </row>
    <row r="516">
      <c r="C516" s="79"/>
      <c r="D516" s="79"/>
      <c r="J516" s="79"/>
      <c r="N516" s="79"/>
      <c r="S516" s="79"/>
      <c r="V516" s="130"/>
      <c r="X516" s="106"/>
    </row>
    <row r="517">
      <c r="C517" s="79"/>
      <c r="D517" s="79"/>
      <c r="J517" s="79"/>
      <c r="N517" s="79"/>
      <c r="S517" s="79"/>
      <c r="V517" s="130"/>
      <c r="X517" s="106"/>
    </row>
    <row r="518">
      <c r="C518" s="79"/>
      <c r="D518" s="79"/>
      <c r="J518" s="79"/>
      <c r="N518" s="79"/>
      <c r="S518" s="79"/>
      <c r="V518" s="130"/>
      <c r="X518" s="106"/>
    </row>
    <row r="519">
      <c r="C519" s="79"/>
      <c r="D519" s="79"/>
      <c r="J519" s="79"/>
      <c r="N519" s="79"/>
      <c r="S519" s="79"/>
      <c r="V519" s="130"/>
      <c r="X519" s="106"/>
    </row>
    <row r="520">
      <c r="C520" s="79"/>
      <c r="D520" s="79"/>
      <c r="J520" s="79"/>
      <c r="N520" s="79"/>
      <c r="S520" s="79"/>
      <c r="V520" s="130"/>
      <c r="X520" s="106"/>
    </row>
    <row r="521">
      <c r="C521" s="79"/>
      <c r="D521" s="79"/>
      <c r="J521" s="79"/>
      <c r="N521" s="79"/>
      <c r="S521" s="79"/>
      <c r="V521" s="130"/>
      <c r="X521" s="106"/>
    </row>
    <row r="522">
      <c r="C522" s="79"/>
      <c r="D522" s="79"/>
      <c r="J522" s="79"/>
      <c r="N522" s="79"/>
      <c r="S522" s="79"/>
      <c r="V522" s="130"/>
      <c r="X522" s="106"/>
    </row>
    <row r="523">
      <c r="C523" s="79"/>
      <c r="D523" s="79"/>
      <c r="J523" s="79"/>
      <c r="N523" s="79"/>
      <c r="S523" s="79"/>
      <c r="V523" s="130"/>
      <c r="X523" s="106"/>
    </row>
    <row r="524">
      <c r="C524" s="79"/>
      <c r="D524" s="79"/>
      <c r="J524" s="79"/>
      <c r="N524" s="79"/>
      <c r="S524" s="79"/>
      <c r="V524" s="130"/>
      <c r="X524" s="106"/>
    </row>
    <row r="525">
      <c r="C525" s="79"/>
      <c r="D525" s="79"/>
      <c r="J525" s="79"/>
      <c r="N525" s="79"/>
      <c r="S525" s="79"/>
      <c r="V525" s="130"/>
      <c r="X525" s="106"/>
    </row>
    <row r="526">
      <c r="C526" s="79"/>
      <c r="D526" s="79"/>
      <c r="J526" s="79"/>
      <c r="N526" s="79"/>
      <c r="S526" s="79"/>
      <c r="V526" s="130"/>
      <c r="X526" s="106"/>
    </row>
    <row r="527">
      <c r="C527" s="79"/>
      <c r="D527" s="79"/>
      <c r="J527" s="79"/>
      <c r="N527" s="79"/>
      <c r="S527" s="79"/>
      <c r="V527" s="130"/>
      <c r="X527" s="106"/>
    </row>
    <row r="528">
      <c r="C528" s="79"/>
      <c r="D528" s="79"/>
      <c r="J528" s="79"/>
      <c r="N528" s="79"/>
      <c r="S528" s="79"/>
      <c r="V528" s="130"/>
      <c r="X528" s="106"/>
    </row>
    <row r="529">
      <c r="C529" s="79"/>
      <c r="D529" s="79"/>
      <c r="J529" s="79"/>
      <c r="N529" s="79"/>
      <c r="S529" s="79"/>
      <c r="V529" s="130"/>
      <c r="X529" s="106"/>
    </row>
    <row r="530">
      <c r="C530" s="79"/>
      <c r="D530" s="79"/>
      <c r="J530" s="79"/>
      <c r="N530" s="79"/>
      <c r="S530" s="79"/>
      <c r="V530" s="130"/>
      <c r="X530" s="106"/>
    </row>
    <row r="531">
      <c r="C531" s="79"/>
      <c r="D531" s="79"/>
      <c r="J531" s="79"/>
      <c r="N531" s="79"/>
      <c r="S531" s="79"/>
      <c r="V531" s="130"/>
      <c r="X531" s="106"/>
    </row>
    <row r="532">
      <c r="C532" s="79"/>
      <c r="D532" s="79"/>
      <c r="J532" s="79"/>
      <c r="N532" s="79"/>
      <c r="S532" s="79"/>
      <c r="V532" s="130"/>
      <c r="X532" s="106"/>
    </row>
    <row r="533">
      <c r="C533" s="79"/>
      <c r="D533" s="79"/>
      <c r="J533" s="79"/>
      <c r="N533" s="79"/>
      <c r="S533" s="79"/>
      <c r="V533" s="130"/>
      <c r="X533" s="106"/>
    </row>
    <row r="534">
      <c r="C534" s="79"/>
      <c r="D534" s="79"/>
      <c r="J534" s="79"/>
      <c r="N534" s="79"/>
      <c r="S534" s="79"/>
      <c r="V534" s="130"/>
      <c r="X534" s="106"/>
    </row>
    <row r="535">
      <c r="C535" s="79"/>
      <c r="D535" s="79"/>
      <c r="J535" s="79"/>
      <c r="N535" s="79"/>
      <c r="S535" s="79"/>
      <c r="V535" s="130"/>
      <c r="X535" s="106"/>
    </row>
    <row r="536">
      <c r="C536" s="79"/>
      <c r="D536" s="79"/>
      <c r="J536" s="79"/>
      <c r="N536" s="79"/>
      <c r="S536" s="79"/>
      <c r="V536" s="130"/>
      <c r="X536" s="106"/>
    </row>
    <row r="537">
      <c r="C537" s="79"/>
      <c r="D537" s="79"/>
      <c r="J537" s="79"/>
      <c r="N537" s="79"/>
      <c r="S537" s="79"/>
      <c r="V537" s="130"/>
      <c r="X537" s="106"/>
    </row>
    <row r="538">
      <c r="C538" s="79"/>
      <c r="D538" s="79"/>
      <c r="J538" s="79"/>
      <c r="N538" s="79"/>
      <c r="S538" s="79"/>
      <c r="V538" s="130"/>
      <c r="X538" s="106"/>
    </row>
    <row r="539">
      <c r="C539" s="79"/>
      <c r="D539" s="79"/>
      <c r="J539" s="79"/>
      <c r="N539" s="79"/>
      <c r="S539" s="79"/>
      <c r="V539" s="130"/>
      <c r="X539" s="106"/>
    </row>
    <row r="540">
      <c r="C540" s="79"/>
      <c r="D540" s="79"/>
      <c r="J540" s="79"/>
      <c r="N540" s="79"/>
      <c r="S540" s="79"/>
      <c r="V540" s="130"/>
      <c r="X540" s="106"/>
    </row>
    <row r="541">
      <c r="C541" s="79"/>
      <c r="D541" s="79"/>
      <c r="J541" s="79"/>
      <c r="N541" s="79"/>
      <c r="S541" s="79"/>
      <c r="V541" s="130"/>
      <c r="X541" s="106"/>
    </row>
    <row r="542">
      <c r="C542" s="79"/>
      <c r="D542" s="79"/>
      <c r="J542" s="79"/>
      <c r="N542" s="79"/>
      <c r="S542" s="79"/>
      <c r="V542" s="130"/>
      <c r="X542" s="106"/>
    </row>
    <row r="543">
      <c r="C543" s="79"/>
      <c r="D543" s="79"/>
      <c r="J543" s="79"/>
      <c r="N543" s="79"/>
      <c r="S543" s="79"/>
      <c r="V543" s="130"/>
      <c r="X543" s="106"/>
    </row>
    <row r="544">
      <c r="C544" s="79"/>
      <c r="D544" s="79"/>
      <c r="J544" s="79"/>
      <c r="N544" s="79"/>
      <c r="S544" s="79"/>
      <c r="V544" s="130"/>
      <c r="X544" s="106"/>
    </row>
    <row r="545">
      <c r="C545" s="79"/>
      <c r="D545" s="79"/>
      <c r="J545" s="79"/>
      <c r="N545" s="79"/>
      <c r="S545" s="79"/>
      <c r="V545" s="130"/>
      <c r="X545" s="106"/>
    </row>
    <row r="546">
      <c r="C546" s="79"/>
      <c r="D546" s="79"/>
      <c r="J546" s="79"/>
      <c r="N546" s="79"/>
      <c r="S546" s="79"/>
      <c r="V546" s="130"/>
      <c r="X546" s="106"/>
    </row>
    <row r="547">
      <c r="C547" s="79"/>
      <c r="D547" s="79"/>
      <c r="J547" s="79"/>
      <c r="N547" s="79"/>
      <c r="S547" s="79"/>
      <c r="V547" s="130"/>
      <c r="X547" s="106"/>
    </row>
    <row r="548">
      <c r="C548" s="79"/>
      <c r="D548" s="79"/>
      <c r="J548" s="79"/>
      <c r="N548" s="79"/>
      <c r="S548" s="79"/>
      <c r="V548" s="130"/>
      <c r="X548" s="106"/>
    </row>
    <row r="549">
      <c r="C549" s="79"/>
      <c r="D549" s="79"/>
      <c r="J549" s="79"/>
      <c r="N549" s="79"/>
      <c r="S549" s="79"/>
      <c r="V549" s="130"/>
      <c r="X549" s="106"/>
    </row>
    <row r="550">
      <c r="C550" s="79"/>
      <c r="D550" s="79"/>
      <c r="J550" s="79"/>
      <c r="N550" s="79"/>
      <c r="S550" s="79"/>
      <c r="V550" s="130"/>
      <c r="X550" s="106"/>
    </row>
    <row r="551">
      <c r="C551" s="79"/>
      <c r="D551" s="79"/>
      <c r="J551" s="79"/>
      <c r="N551" s="79"/>
      <c r="S551" s="79"/>
      <c r="V551" s="130"/>
      <c r="X551" s="106"/>
    </row>
    <row r="552">
      <c r="C552" s="79"/>
      <c r="D552" s="79"/>
      <c r="J552" s="79"/>
      <c r="N552" s="79"/>
      <c r="S552" s="79"/>
      <c r="V552" s="130"/>
      <c r="X552" s="106"/>
    </row>
    <row r="553">
      <c r="C553" s="79"/>
      <c r="D553" s="79"/>
      <c r="J553" s="79"/>
      <c r="N553" s="79"/>
      <c r="S553" s="79"/>
      <c r="V553" s="130"/>
      <c r="X553" s="106"/>
    </row>
    <row r="554">
      <c r="C554" s="79"/>
      <c r="D554" s="79"/>
      <c r="J554" s="79"/>
      <c r="N554" s="79"/>
      <c r="S554" s="79"/>
      <c r="V554" s="130"/>
      <c r="X554" s="106"/>
    </row>
    <row r="555">
      <c r="C555" s="79"/>
      <c r="D555" s="79"/>
      <c r="J555" s="79"/>
      <c r="N555" s="79"/>
      <c r="S555" s="79"/>
      <c r="V555" s="130"/>
      <c r="X555" s="106"/>
    </row>
    <row r="556">
      <c r="C556" s="79"/>
      <c r="D556" s="79"/>
      <c r="J556" s="79"/>
      <c r="N556" s="79"/>
      <c r="S556" s="79"/>
      <c r="V556" s="130"/>
      <c r="X556" s="106"/>
    </row>
    <row r="557">
      <c r="C557" s="79"/>
      <c r="D557" s="79"/>
      <c r="J557" s="79"/>
      <c r="N557" s="79"/>
      <c r="S557" s="79"/>
      <c r="V557" s="130"/>
      <c r="X557" s="106"/>
    </row>
    <row r="558">
      <c r="C558" s="79"/>
      <c r="D558" s="79"/>
      <c r="J558" s="79"/>
      <c r="N558" s="79"/>
      <c r="S558" s="79"/>
      <c r="V558" s="130"/>
      <c r="X558" s="106"/>
    </row>
    <row r="559">
      <c r="C559" s="79"/>
      <c r="D559" s="79"/>
      <c r="J559" s="79"/>
      <c r="N559" s="79"/>
      <c r="S559" s="79"/>
      <c r="V559" s="130"/>
      <c r="X559" s="106"/>
    </row>
    <row r="560">
      <c r="C560" s="79"/>
      <c r="D560" s="79"/>
      <c r="J560" s="79"/>
      <c r="N560" s="79"/>
      <c r="S560" s="79"/>
      <c r="V560" s="130"/>
      <c r="X560" s="106"/>
    </row>
    <row r="561">
      <c r="C561" s="79"/>
      <c r="D561" s="79"/>
      <c r="J561" s="79"/>
      <c r="N561" s="79"/>
      <c r="S561" s="79"/>
      <c r="V561" s="130"/>
      <c r="X561" s="106"/>
    </row>
    <row r="562">
      <c r="C562" s="79"/>
      <c r="D562" s="79"/>
      <c r="J562" s="79"/>
      <c r="N562" s="79"/>
      <c r="S562" s="79"/>
      <c r="V562" s="130"/>
      <c r="X562" s="106"/>
    </row>
    <row r="563">
      <c r="C563" s="79"/>
      <c r="D563" s="79"/>
      <c r="J563" s="79"/>
      <c r="N563" s="79"/>
      <c r="S563" s="79"/>
      <c r="V563" s="130"/>
      <c r="X563" s="106"/>
    </row>
    <row r="564">
      <c r="C564" s="79"/>
      <c r="D564" s="79"/>
      <c r="J564" s="79"/>
      <c r="N564" s="79"/>
      <c r="S564" s="79"/>
      <c r="V564" s="130"/>
      <c r="X564" s="106"/>
    </row>
    <row r="565">
      <c r="C565" s="79"/>
      <c r="D565" s="79"/>
      <c r="J565" s="79"/>
      <c r="N565" s="79"/>
      <c r="S565" s="79"/>
      <c r="V565" s="130"/>
      <c r="X565" s="106"/>
    </row>
    <row r="566">
      <c r="C566" s="79"/>
      <c r="D566" s="79"/>
      <c r="J566" s="79"/>
      <c r="N566" s="79"/>
      <c r="S566" s="79"/>
      <c r="V566" s="130"/>
      <c r="X566" s="106"/>
    </row>
    <row r="567">
      <c r="C567" s="79"/>
      <c r="D567" s="79"/>
      <c r="J567" s="79"/>
      <c r="N567" s="79"/>
      <c r="S567" s="79"/>
      <c r="V567" s="130"/>
      <c r="X567" s="106"/>
    </row>
    <row r="568">
      <c r="C568" s="79"/>
      <c r="D568" s="79"/>
      <c r="J568" s="79"/>
      <c r="N568" s="79"/>
      <c r="S568" s="79"/>
      <c r="V568" s="130"/>
      <c r="X568" s="106"/>
    </row>
    <row r="569">
      <c r="C569" s="79"/>
      <c r="D569" s="79"/>
      <c r="J569" s="79"/>
      <c r="N569" s="79"/>
      <c r="S569" s="79"/>
      <c r="V569" s="130"/>
      <c r="X569" s="106"/>
    </row>
    <row r="570">
      <c r="C570" s="79"/>
      <c r="D570" s="79"/>
      <c r="J570" s="79"/>
      <c r="N570" s="79"/>
      <c r="S570" s="79"/>
      <c r="V570" s="130"/>
      <c r="X570" s="106"/>
    </row>
    <row r="571">
      <c r="C571" s="79"/>
      <c r="D571" s="79"/>
      <c r="J571" s="79"/>
      <c r="N571" s="79"/>
      <c r="S571" s="79"/>
      <c r="V571" s="130"/>
      <c r="X571" s="106"/>
    </row>
    <row r="572">
      <c r="C572" s="79"/>
      <c r="D572" s="79"/>
      <c r="J572" s="79"/>
      <c r="N572" s="79"/>
      <c r="S572" s="79"/>
      <c r="V572" s="130"/>
      <c r="X572" s="106"/>
    </row>
    <row r="573">
      <c r="C573" s="79"/>
      <c r="D573" s="79"/>
      <c r="J573" s="79"/>
      <c r="N573" s="79"/>
      <c r="S573" s="79"/>
      <c r="V573" s="130"/>
      <c r="X573" s="106"/>
    </row>
    <row r="574">
      <c r="C574" s="79"/>
      <c r="D574" s="79"/>
      <c r="J574" s="79"/>
      <c r="N574" s="79"/>
      <c r="S574" s="79"/>
      <c r="V574" s="130"/>
      <c r="X574" s="106"/>
    </row>
    <row r="575">
      <c r="C575" s="79"/>
      <c r="D575" s="79"/>
      <c r="J575" s="79"/>
      <c r="N575" s="79"/>
      <c r="S575" s="79"/>
      <c r="V575" s="130"/>
      <c r="X575" s="106"/>
    </row>
    <row r="576">
      <c r="C576" s="79"/>
      <c r="D576" s="79"/>
      <c r="J576" s="79"/>
      <c r="N576" s="79"/>
      <c r="S576" s="79"/>
      <c r="V576" s="130"/>
      <c r="X576" s="106"/>
    </row>
    <row r="577">
      <c r="C577" s="79"/>
      <c r="D577" s="79"/>
      <c r="J577" s="79"/>
      <c r="N577" s="79"/>
      <c r="S577" s="79"/>
      <c r="V577" s="130"/>
      <c r="X577" s="106"/>
    </row>
    <row r="578">
      <c r="C578" s="79"/>
      <c r="D578" s="79"/>
      <c r="J578" s="79"/>
      <c r="N578" s="79"/>
      <c r="S578" s="79"/>
      <c r="V578" s="130"/>
      <c r="X578" s="106"/>
    </row>
    <row r="579">
      <c r="C579" s="79"/>
      <c r="D579" s="79"/>
      <c r="J579" s="79"/>
      <c r="N579" s="79"/>
      <c r="S579" s="79"/>
      <c r="V579" s="130"/>
      <c r="X579" s="106"/>
    </row>
    <row r="580">
      <c r="C580" s="79"/>
      <c r="D580" s="79"/>
      <c r="J580" s="79"/>
      <c r="N580" s="79"/>
      <c r="S580" s="79"/>
      <c r="V580" s="130"/>
      <c r="X580" s="106"/>
    </row>
    <row r="581">
      <c r="C581" s="79"/>
      <c r="D581" s="79"/>
      <c r="J581" s="79"/>
      <c r="N581" s="79"/>
      <c r="S581" s="79"/>
      <c r="V581" s="130"/>
      <c r="X581" s="106"/>
    </row>
    <row r="582">
      <c r="C582" s="79"/>
      <c r="D582" s="79"/>
      <c r="J582" s="79"/>
      <c r="N582" s="79"/>
      <c r="S582" s="79"/>
      <c r="V582" s="130"/>
      <c r="X582" s="106"/>
    </row>
    <row r="583">
      <c r="C583" s="79"/>
      <c r="D583" s="79"/>
      <c r="J583" s="79"/>
      <c r="N583" s="79"/>
      <c r="S583" s="79"/>
      <c r="V583" s="130"/>
      <c r="X583" s="106"/>
    </row>
    <row r="584">
      <c r="C584" s="79"/>
      <c r="D584" s="79"/>
      <c r="J584" s="79"/>
      <c r="N584" s="79"/>
      <c r="S584" s="79"/>
      <c r="V584" s="130"/>
      <c r="X584" s="106"/>
    </row>
    <row r="585">
      <c r="C585" s="79"/>
      <c r="D585" s="79"/>
      <c r="J585" s="79"/>
      <c r="N585" s="79"/>
      <c r="S585" s="79"/>
      <c r="V585" s="130"/>
      <c r="X585" s="106"/>
    </row>
    <row r="586">
      <c r="C586" s="79"/>
      <c r="D586" s="79"/>
      <c r="J586" s="79"/>
      <c r="N586" s="79"/>
      <c r="S586" s="79"/>
      <c r="V586" s="130"/>
      <c r="X586" s="106"/>
    </row>
    <row r="587">
      <c r="C587" s="79"/>
      <c r="D587" s="79"/>
      <c r="J587" s="79"/>
      <c r="N587" s="79"/>
      <c r="S587" s="79"/>
      <c r="V587" s="130"/>
      <c r="X587" s="106"/>
    </row>
    <row r="588">
      <c r="C588" s="79"/>
      <c r="D588" s="79"/>
      <c r="J588" s="79"/>
      <c r="N588" s="79"/>
      <c r="S588" s="79"/>
      <c r="V588" s="130"/>
      <c r="X588" s="106"/>
    </row>
    <row r="589">
      <c r="C589" s="79"/>
      <c r="D589" s="79"/>
      <c r="J589" s="79"/>
      <c r="N589" s="79"/>
      <c r="S589" s="79"/>
      <c r="V589" s="130"/>
      <c r="X589" s="106"/>
    </row>
    <row r="590">
      <c r="C590" s="79"/>
      <c r="D590" s="79"/>
      <c r="J590" s="79"/>
      <c r="N590" s="79"/>
      <c r="S590" s="79"/>
      <c r="V590" s="130"/>
      <c r="X590" s="106"/>
    </row>
    <row r="591">
      <c r="C591" s="79"/>
      <c r="D591" s="79"/>
      <c r="J591" s="79"/>
      <c r="N591" s="79"/>
      <c r="S591" s="79"/>
      <c r="V591" s="130"/>
      <c r="X591" s="106"/>
    </row>
    <row r="592">
      <c r="C592" s="79"/>
      <c r="D592" s="79"/>
      <c r="J592" s="79"/>
      <c r="N592" s="79"/>
      <c r="S592" s="79"/>
      <c r="V592" s="130"/>
      <c r="X592" s="106"/>
    </row>
    <row r="593">
      <c r="C593" s="79"/>
      <c r="D593" s="79"/>
      <c r="J593" s="79"/>
      <c r="N593" s="79"/>
      <c r="S593" s="79"/>
      <c r="V593" s="130"/>
      <c r="X593" s="106"/>
    </row>
    <row r="594">
      <c r="C594" s="79"/>
      <c r="D594" s="79"/>
      <c r="J594" s="79"/>
      <c r="N594" s="79"/>
      <c r="S594" s="79"/>
      <c r="V594" s="130"/>
      <c r="X594" s="106"/>
    </row>
    <row r="595">
      <c r="C595" s="79"/>
      <c r="D595" s="79"/>
      <c r="J595" s="79"/>
      <c r="N595" s="79"/>
      <c r="S595" s="79"/>
      <c r="V595" s="130"/>
      <c r="X595" s="106"/>
    </row>
    <row r="596">
      <c r="C596" s="79"/>
      <c r="D596" s="79"/>
      <c r="J596" s="79"/>
      <c r="N596" s="79"/>
      <c r="S596" s="79"/>
      <c r="V596" s="130"/>
      <c r="X596" s="106"/>
    </row>
    <row r="597">
      <c r="C597" s="79"/>
      <c r="D597" s="79"/>
      <c r="J597" s="79"/>
      <c r="N597" s="79"/>
      <c r="S597" s="79"/>
      <c r="V597" s="130"/>
      <c r="X597" s="106"/>
    </row>
    <row r="598">
      <c r="C598" s="79"/>
      <c r="D598" s="79"/>
      <c r="J598" s="79"/>
      <c r="N598" s="79"/>
      <c r="S598" s="79"/>
      <c r="V598" s="130"/>
      <c r="X598" s="106"/>
    </row>
    <row r="599">
      <c r="C599" s="79"/>
      <c r="D599" s="79"/>
      <c r="J599" s="79"/>
      <c r="N599" s="79"/>
      <c r="S599" s="79"/>
      <c r="V599" s="130"/>
      <c r="X599" s="106"/>
    </row>
    <row r="600">
      <c r="C600" s="79"/>
      <c r="D600" s="79"/>
      <c r="J600" s="79"/>
      <c r="N600" s="79"/>
      <c r="S600" s="79"/>
      <c r="V600" s="130"/>
      <c r="X600" s="106"/>
    </row>
    <row r="601">
      <c r="C601" s="79"/>
      <c r="D601" s="79"/>
      <c r="J601" s="79"/>
      <c r="N601" s="79"/>
      <c r="S601" s="79"/>
      <c r="V601" s="130"/>
      <c r="X601" s="106"/>
    </row>
    <row r="602">
      <c r="C602" s="79"/>
      <c r="D602" s="79"/>
      <c r="J602" s="79"/>
      <c r="N602" s="79"/>
      <c r="S602" s="79"/>
      <c r="V602" s="130"/>
      <c r="X602" s="106"/>
    </row>
    <row r="603">
      <c r="C603" s="79"/>
      <c r="D603" s="79"/>
      <c r="J603" s="79"/>
      <c r="N603" s="79"/>
      <c r="S603" s="79"/>
      <c r="V603" s="130"/>
      <c r="X603" s="106"/>
    </row>
    <row r="604">
      <c r="C604" s="79"/>
      <c r="D604" s="79"/>
      <c r="J604" s="79"/>
      <c r="N604" s="79"/>
      <c r="S604" s="79"/>
      <c r="V604" s="130"/>
      <c r="X604" s="106"/>
    </row>
    <row r="605">
      <c r="C605" s="79"/>
      <c r="D605" s="79"/>
      <c r="J605" s="79"/>
      <c r="N605" s="79"/>
      <c r="S605" s="79"/>
      <c r="V605" s="130"/>
      <c r="X605" s="106"/>
    </row>
    <row r="606">
      <c r="C606" s="79"/>
      <c r="D606" s="79"/>
      <c r="J606" s="79"/>
      <c r="N606" s="79"/>
      <c r="S606" s="79"/>
      <c r="V606" s="130"/>
      <c r="X606" s="106"/>
    </row>
    <row r="607">
      <c r="C607" s="79"/>
      <c r="D607" s="79"/>
      <c r="J607" s="79"/>
      <c r="N607" s="79"/>
      <c r="S607" s="79"/>
      <c r="V607" s="130"/>
      <c r="X607" s="106"/>
    </row>
    <row r="608">
      <c r="C608" s="79"/>
      <c r="D608" s="79"/>
      <c r="J608" s="79"/>
      <c r="N608" s="79"/>
      <c r="S608" s="79"/>
      <c r="V608" s="130"/>
      <c r="X608" s="106"/>
    </row>
    <row r="609">
      <c r="C609" s="79"/>
      <c r="D609" s="79"/>
      <c r="J609" s="79"/>
      <c r="N609" s="79"/>
      <c r="S609" s="79"/>
      <c r="V609" s="130"/>
      <c r="X609" s="106"/>
    </row>
    <row r="610">
      <c r="C610" s="79"/>
      <c r="D610" s="79"/>
      <c r="J610" s="79"/>
      <c r="N610" s="79"/>
      <c r="S610" s="79"/>
      <c r="V610" s="130"/>
      <c r="X610" s="106"/>
    </row>
    <row r="611">
      <c r="C611" s="79"/>
      <c r="D611" s="79"/>
      <c r="J611" s="79"/>
      <c r="N611" s="79"/>
      <c r="S611" s="79"/>
      <c r="V611" s="130"/>
      <c r="X611" s="106"/>
    </row>
    <row r="612">
      <c r="C612" s="79"/>
      <c r="D612" s="79"/>
      <c r="J612" s="79"/>
      <c r="N612" s="79"/>
      <c r="S612" s="79"/>
      <c r="V612" s="130"/>
      <c r="X612" s="106"/>
    </row>
    <row r="613">
      <c r="C613" s="79"/>
      <c r="D613" s="79"/>
      <c r="J613" s="79"/>
      <c r="N613" s="79"/>
      <c r="S613" s="79"/>
      <c r="V613" s="130"/>
      <c r="X613" s="106"/>
    </row>
    <row r="614">
      <c r="C614" s="79"/>
      <c r="D614" s="79"/>
      <c r="J614" s="79"/>
      <c r="N614" s="79"/>
      <c r="S614" s="79"/>
      <c r="V614" s="130"/>
      <c r="X614" s="106"/>
    </row>
    <row r="615">
      <c r="C615" s="79"/>
      <c r="D615" s="79"/>
      <c r="J615" s="79"/>
      <c r="N615" s="79"/>
      <c r="S615" s="79"/>
      <c r="V615" s="130"/>
      <c r="X615" s="106"/>
    </row>
    <row r="616">
      <c r="C616" s="79"/>
      <c r="D616" s="79"/>
      <c r="J616" s="79"/>
      <c r="N616" s="79"/>
      <c r="S616" s="79"/>
      <c r="V616" s="130"/>
      <c r="X616" s="106"/>
    </row>
    <row r="617">
      <c r="C617" s="79"/>
      <c r="D617" s="79"/>
      <c r="J617" s="79"/>
      <c r="N617" s="79"/>
      <c r="S617" s="79"/>
      <c r="V617" s="130"/>
      <c r="X617" s="106"/>
    </row>
    <row r="618">
      <c r="C618" s="79"/>
      <c r="D618" s="79"/>
      <c r="J618" s="79"/>
      <c r="N618" s="79"/>
      <c r="S618" s="79"/>
      <c r="V618" s="130"/>
      <c r="X618" s="106"/>
    </row>
    <row r="619">
      <c r="C619" s="79"/>
      <c r="D619" s="79"/>
      <c r="J619" s="79"/>
      <c r="N619" s="79"/>
      <c r="S619" s="79"/>
      <c r="V619" s="130"/>
      <c r="X619" s="106"/>
    </row>
    <row r="620">
      <c r="C620" s="79"/>
      <c r="D620" s="79"/>
      <c r="J620" s="79"/>
      <c r="N620" s="79"/>
      <c r="S620" s="79"/>
      <c r="V620" s="130"/>
      <c r="X620" s="106"/>
    </row>
    <row r="621">
      <c r="C621" s="79"/>
      <c r="D621" s="79"/>
      <c r="J621" s="79"/>
      <c r="N621" s="79"/>
      <c r="S621" s="79"/>
      <c r="V621" s="130"/>
      <c r="X621" s="106"/>
    </row>
    <row r="622">
      <c r="C622" s="79"/>
      <c r="D622" s="79"/>
      <c r="J622" s="79"/>
      <c r="N622" s="79"/>
      <c r="S622" s="79"/>
      <c r="V622" s="130"/>
      <c r="X622" s="106"/>
    </row>
    <row r="623">
      <c r="C623" s="79"/>
      <c r="D623" s="79"/>
      <c r="J623" s="79"/>
      <c r="N623" s="79"/>
      <c r="S623" s="79"/>
      <c r="V623" s="130"/>
      <c r="X623" s="106"/>
    </row>
    <row r="624">
      <c r="C624" s="79"/>
      <c r="D624" s="79"/>
      <c r="J624" s="79"/>
      <c r="N624" s="79"/>
      <c r="S624" s="79"/>
      <c r="V624" s="130"/>
      <c r="X624" s="106"/>
    </row>
    <row r="625">
      <c r="C625" s="79"/>
      <c r="D625" s="79"/>
      <c r="J625" s="79"/>
      <c r="N625" s="79"/>
      <c r="S625" s="79"/>
      <c r="V625" s="130"/>
      <c r="X625" s="106"/>
    </row>
    <row r="626">
      <c r="C626" s="79"/>
      <c r="D626" s="79"/>
      <c r="J626" s="79"/>
      <c r="N626" s="79"/>
      <c r="S626" s="79"/>
      <c r="V626" s="130"/>
      <c r="X626" s="106"/>
    </row>
    <row r="627">
      <c r="C627" s="79"/>
      <c r="D627" s="79"/>
      <c r="J627" s="79"/>
      <c r="N627" s="79"/>
      <c r="S627" s="79"/>
      <c r="V627" s="130"/>
      <c r="X627" s="106"/>
    </row>
    <row r="628">
      <c r="C628" s="79"/>
      <c r="D628" s="79"/>
      <c r="J628" s="79"/>
      <c r="N628" s="79"/>
      <c r="S628" s="79"/>
      <c r="V628" s="130"/>
      <c r="X628" s="106"/>
    </row>
    <row r="629">
      <c r="C629" s="79"/>
      <c r="D629" s="79"/>
      <c r="J629" s="79"/>
      <c r="N629" s="79"/>
      <c r="S629" s="79"/>
      <c r="V629" s="130"/>
      <c r="X629" s="106"/>
    </row>
    <row r="630">
      <c r="C630" s="79"/>
      <c r="D630" s="79"/>
      <c r="J630" s="79"/>
      <c r="N630" s="79"/>
      <c r="S630" s="79"/>
      <c r="V630" s="130"/>
      <c r="X630" s="106"/>
    </row>
    <row r="631">
      <c r="C631" s="79"/>
      <c r="D631" s="79"/>
      <c r="J631" s="79"/>
      <c r="N631" s="79"/>
      <c r="S631" s="79"/>
      <c r="V631" s="130"/>
      <c r="X631" s="106"/>
    </row>
    <row r="632">
      <c r="C632" s="79"/>
      <c r="D632" s="79"/>
      <c r="J632" s="79"/>
      <c r="N632" s="79"/>
      <c r="S632" s="79"/>
      <c r="V632" s="130"/>
      <c r="X632" s="106"/>
    </row>
    <row r="633">
      <c r="C633" s="79"/>
      <c r="D633" s="79"/>
      <c r="J633" s="79"/>
      <c r="N633" s="79"/>
      <c r="S633" s="79"/>
      <c r="V633" s="130"/>
      <c r="X633" s="106"/>
    </row>
    <row r="634">
      <c r="C634" s="79"/>
      <c r="D634" s="79"/>
      <c r="J634" s="79"/>
      <c r="N634" s="79"/>
      <c r="S634" s="79"/>
      <c r="V634" s="130"/>
      <c r="X634" s="106"/>
    </row>
    <row r="635">
      <c r="C635" s="79"/>
      <c r="D635" s="79"/>
      <c r="J635" s="79"/>
      <c r="N635" s="79"/>
      <c r="S635" s="79"/>
      <c r="V635" s="130"/>
      <c r="X635" s="106"/>
    </row>
    <row r="636">
      <c r="C636" s="79"/>
      <c r="D636" s="79"/>
      <c r="J636" s="79"/>
      <c r="N636" s="79"/>
      <c r="S636" s="79"/>
      <c r="V636" s="130"/>
      <c r="X636" s="106"/>
    </row>
    <row r="637">
      <c r="C637" s="79"/>
      <c r="D637" s="79"/>
      <c r="J637" s="79"/>
      <c r="N637" s="79"/>
      <c r="S637" s="79"/>
      <c r="V637" s="130"/>
      <c r="X637" s="106"/>
    </row>
    <row r="638">
      <c r="C638" s="79"/>
      <c r="D638" s="79"/>
      <c r="J638" s="79"/>
      <c r="N638" s="79"/>
      <c r="S638" s="79"/>
      <c r="V638" s="130"/>
      <c r="X638" s="106"/>
    </row>
    <row r="639">
      <c r="C639" s="79"/>
      <c r="D639" s="79"/>
      <c r="J639" s="79"/>
      <c r="N639" s="79"/>
      <c r="S639" s="79"/>
      <c r="V639" s="130"/>
      <c r="X639" s="106"/>
    </row>
    <row r="640">
      <c r="C640" s="79"/>
      <c r="D640" s="79"/>
      <c r="J640" s="79"/>
      <c r="N640" s="79"/>
      <c r="S640" s="79"/>
      <c r="V640" s="130"/>
      <c r="X640" s="106"/>
    </row>
    <row r="641">
      <c r="C641" s="79"/>
      <c r="D641" s="79"/>
      <c r="J641" s="79"/>
      <c r="N641" s="79"/>
      <c r="S641" s="79"/>
      <c r="V641" s="130"/>
      <c r="X641" s="106"/>
    </row>
    <row r="642">
      <c r="C642" s="79"/>
      <c r="D642" s="79"/>
      <c r="J642" s="79"/>
      <c r="N642" s="79"/>
      <c r="S642" s="79"/>
      <c r="V642" s="130"/>
      <c r="X642" s="106"/>
    </row>
    <row r="643">
      <c r="C643" s="79"/>
      <c r="D643" s="79"/>
      <c r="J643" s="79"/>
      <c r="N643" s="79"/>
      <c r="S643" s="79"/>
      <c r="V643" s="130"/>
      <c r="X643" s="106"/>
    </row>
    <row r="644">
      <c r="C644" s="79"/>
      <c r="D644" s="79"/>
      <c r="J644" s="79"/>
      <c r="N644" s="79"/>
      <c r="S644" s="79"/>
      <c r="V644" s="130"/>
      <c r="X644" s="106"/>
    </row>
    <row r="645">
      <c r="C645" s="79"/>
      <c r="D645" s="79"/>
      <c r="J645" s="79"/>
      <c r="N645" s="79"/>
      <c r="S645" s="79"/>
      <c r="V645" s="130"/>
      <c r="X645" s="106"/>
    </row>
    <row r="646">
      <c r="C646" s="79"/>
      <c r="D646" s="79"/>
      <c r="J646" s="79"/>
      <c r="N646" s="79"/>
      <c r="S646" s="79"/>
      <c r="V646" s="130"/>
      <c r="X646" s="106"/>
    </row>
    <row r="647">
      <c r="C647" s="79"/>
      <c r="D647" s="79"/>
      <c r="J647" s="79"/>
      <c r="N647" s="79"/>
      <c r="S647" s="79"/>
      <c r="V647" s="130"/>
      <c r="X647" s="106"/>
    </row>
    <row r="648">
      <c r="C648" s="79"/>
      <c r="D648" s="79"/>
      <c r="J648" s="79"/>
      <c r="N648" s="79"/>
      <c r="S648" s="79"/>
      <c r="V648" s="130"/>
      <c r="X648" s="106"/>
    </row>
    <row r="649">
      <c r="C649" s="79"/>
      <c r="D649" s="79"/>
      <c r="J649" s="79"/>
      <c r="N649" s="79"/>
      <c r="S649" s="79"/>
      <c r="V649" s="130"/>
      <c r="X649" s="106"/>
    </row>
    <row r="650">
      <c r="C650" s="79"/>
      <c r="D650" s="79"/>
      <c r="J650" s="79"/>
      <c r="N650" s="79"/>
      <c r="S650" s="79"/>
      <c r="V650" s="130"/>
      <c r="X650" s="106"/>
    </row>
    <row r="651">
      <c r="C651" s="79"/>
      <c r="D651" s="79"/>
      <c r="J651" s="79"/>
      <c r="N651" s="79"/>
      <c r="S651" s="79"/>
      <c r="V651" s="130"/>
      <c r="X651" s="106"/>
    </row>
    <row r="652">
      <c r="C652" s="79"/>
      <c r="D652" s="79"/>
      <c r="J652" s="79"/>
      <c r="N652" s="79"/>
      <c r="S652" s="79"/>
      <c r="V652" s="130"/>
      <c r="X652" s="106"/>
    </row>
    <row r="653">
      <c r="C653" s="79"/>
      <c r="D653" s="79"/>
      <c r="J653" s="79"/>
      <c r="N653" s="79"/>
      <c r="S653" s="79"/>
      <c r="V653" s="130"/>
      <c r="X653" s="106"/>
    </row>
    <row r="654">
      <c r="C654" s="79"/>
      <c r="D654" s="79"/>
      <c r="J654" s="79"/>
      <c r="N654" s="79"/>
      <c r="S654" s="79"/>
      <c r="V654" s="130"/>
      <c r="X654" s="106"/>
    </row>
    <row r="655">
      <c r="C655" s="79"/>
      <c r="D655" s="79"/>
      <c r="J655" s="79"/>
      <c r="N655" s="79"/>
      <c r="S655" s="79"/>
      <c r="V655" s="130"/>
      <c r="X655" s="106"/>
    </row>
    <row r="656">
      <c r="C656" s="79"/>
      <c r="D656" s="79"/>
      <c r="J656" s="79"/>
      <c r="N656" s="79"/>
      <c r="S656" s="79"/>
      <c r="V656" s="130"/>
      <c r="X656" s="106"/>
    </row>
    <row r="657">
      <c r="C657" s="79"/>
      <c r="D657" s="79"/>
      <c r="J657" s="79"/>
      <c r="N657" s="79"/>
      <c r="S657" s="79"/>
      <c r="V657" s="130"/>
      <c r="X657" s="106"/>
    </row>
    <row r="658">
      <c r="C658" s="79"/>
      <c r="D658" s="79"/>
      <c r="J658" s="79"/>
      <c r="N658" s="79"/>
      <c r="S658" s="79"/>
      <c r="V658" s="130"/>
      <c r="X658" s="106"/>
    </row>
    <row r="659">
      <c r="C659" s="79"/>
      <c r="D659" s="79"/>
      <c r="J659" s="79"/>
      <c r="N659" s="79"/>
      <c r="S659" s="79"/>
      <c r="V659" s="130"/>
      <c r="X659" s="106"/>
    </row>
    <row r="660">
      <c r="C660" s="79"/>
      <c r="D660" s="79"/>
      <c r="J660" s="79"/>
      <c r="N660" s="79"/>
      <c r="S660" s="79"/>
      <c r="V660" s="130"/>
      <c r="X660" s="106"/>
    </row>
    <row r="661">
      <c r="C661" s="79"/>
      <c r="D661" s="79"/>
      <c r="J661" s="79"/>
      <c r="N661" s="79"/>
      <c r="S661" s="79"/>
      <c r="V661" s="130"/>
      <c r="X661" s="106"/>
    </row>
    <row r="662">
      <c r="C662" s="79"/>
      <c r="D662" s="79"/>
      <c r="J662" s="79"/>
      <c r="N662" s="79"/>
      <c r="S662" s="79"/>
      <c r="V662" s="130"/>
      <c r="X662" s="106"/>
    </row>
    <row r="663">
      <c r="C663" s="79"/>
      <c r="D663" s="79"/>
      <c r="J663" s="79"/>
      <c r="N663" s="79"/>
      <c r="S663" s="79"/>
      <c r="V663" s="130"/>
      <c r="X663" s="106"/>
    </row>
    <row r="664">
      <c r="C664" s="79"/>
      <c r="D664" s="79"/>
      <c r="J664" s="79"/>
      <c r="N664" s="79"/>
      <c r="S664" s="79"/>
      <c r="V664" s="130"/>
      <c r="X664" s="106"/>
    </row>
    <row r="665">
      <c r="C665" s="79"/>
      <c r="D665" s="79"/>
      <c r="J665" s="79"/>
      <c r="N665" s="79"/>
      <c r="S665" s="79"/>
      <c r="V665" s="130"/>
      <c r="X665" s="106"/>
    </row>
    <row r="666">
      <c r="C666" s="79"/>
      <c r="D666" s="79"/>
      <c r="J666" s="79"/>
      <c r="N666" s="79"/>
      <c r="S666" s="79"/>
      <c r="V666" s="130"/>
      <c r="X666" s="106"/>
    </row>
    <row r="667">
      <c r="C667" s="79"/>
      <c r="D667" s="79"/>
      <c r="J667" s="79"/>
      <c r="N667" s="79"/>
      <c r="S667" s="79"/>
      <c r="V667" s="130"/>
      <c r="X667" s="106"/>
    </row>
    <row r="668">
      <c r="C668" s="79"/>
      <c r="D668" s="79"/>
      <c r="J668" s="79"/>
      <c r="N668" s="79"/>
      <c r="S668" s="79"/>
      <c r="V668" s="130"/>
      <c r="X668" s="106"/>
    </row>
    <row r="669">
      <c r="C669" s="79"/>
      <c r="D669" s="79"/>
      <c r="J669" s="79"/>
      <c r="N669" s="79"/>
      <c r="S669" s="79"/>
      <c r="V669" s="130"/>
      <c r="X669" s="106"/>
    </row>
    <row r="670">
      <c r="C670" s="79"/>
      <c r="D670" s="79"/>
      <c r="J670" s="79"/>
      <c r="N670" s="79"/>
      <c r="S670" s="79"/>
      <c r="V670" s="130"/>
      <c r="X670" s="106"/>
    </row>
    <row r="671">
      <c r="C671" s="79"/>
      <c r="D671" s="79"/>
      <c r="J671" s="79"/>
      <c r="N671" s="79"/>
      <c r="S671" s="79"/>
      <c r="V671" s="130"/>
      <c r="X671" s="106"/>
    </row>
    <row r="672">
      <c r="C672" s="79"/>
      <c r="D672" s="79"/>
      <c r="J672" s="79"/>
      <c r="N672" s="79"/>
      <c r="S672" s="79"/>
      <c r="V672" s="130"/>
      <c r="X672" s="106"/>
    </row>
    <row r="673">
      <c r="C673" s="79"/>
      <c r="D673" s="79"/>
      <c r="J673" s="79"/>
      <c r="N673" s="79"/>
      <c r="S673" s="79"/>
      <c r="V673" s="130"/>
      <c r="X673" s="106"/>
    </row>
    <row r="674">
      <c r="C674" s="79"/>
      <c r="D674" s="79"/>
      <c r="J674" s="79"/>
      <c r="N674" s="79"/>
      <c r="S674" s="79"/>
      <c r="V674" s="130"/>
      <c r="X674" s="106"/>
    </row>
    <row r="675">
      <c r="C675" s="79"/>
      <c r="D675" s="79"/>
      <c r="J675" s="79"/>
      <c r="N675" s="79"/>
      <c r="S675" s="79"/>
      <c r="V675" s="130"/>
      <c r="X675" s="106"/>
    </row>
    <row r="676">
      <c r="C676" s="79"/>
      <c r="D676" s="79"/>
      <c r="J676" s="79"/>
      <c r="N676" s="79"/>
      <c r="S676" s="79"/>
      <c r="V676" s="130"/>
      <c r="X676" s="106"/>
    </row>
    <row r="677">
      <c r="C677" s="79"/>
      <c r="D677" s="79"/>
      <c r="J677" s="79"/>
      <c r="N677" s="79"/>
      <c r="S677" s="79"/>
      <c r="V677" s="130"/>
      <c r="X677" s="106"/>
    </row>
    <row r="678">
      <c r="C678" s="79"/>
      <c r="D678" s="79"/>
      <c r="J678" s="79"/>
      <c r="N678" s="79"/>
      <c r="S678" s="79"/>
      <c r="V678" s="130"/>
      <c r="X678" s="106"/>
    </row>
    <row r="679">
      <c r="C679" s="79"/>
      <c r="D679" s="79"/>
      <c r="J679" s="79"/>
      <c r="N679" s="79"/>
      <c r="S679" s="79"/>
      <c r="V679" s="130"/>
      <c r="X679" s="106"/>
    </row>
    <row r="680">
      <c r="C680" s="79"/>
      <c r="D680" s="79"/>
      <c r="J680" s="79"/>
      <c r="N680" s="79"/>
      <c r="S680" s="79"/>
      <c r="V680" s="130"/>
      <c r="X680" s="106"/>
    </row>
    <row r="681">
      <c r="C681" s="79"/>
      <c r="D681" s="79"/>
      <c r="J681" s="79"/>
      <c r="N681" s="79"/>
      <c r="S681" s="79"/>
      <c r="V681" s="130"/>
      <c r="X681" s="106"/>
    </row>
    <row r="682">
      <c r="C682" s="79"/>
      <c r="D682" s="79"/>
      <c r="J682" s="79"/>
      <c r="N682" s="79"/>
      <c r="S682" s="79"/>
      <c r="V682" s="130"/>
      <c r="X682" s="106"/>
    </row>
    <row r="683">
      <c r="C683" s="79"/>
      <c r="D683" s="79"/>
      <c r="J683" s="79"/>
      <c r="N683" s="79"/>
      <c r="S683" s="79"/>
      <c r="V683" s="130"/>
      <c r="X683" s="106"/>
    </row>
    <row r="684">
      <c r="C684" s="79"/>
      <c r="D684" s="79"/>
      <c r="J684" s="79"/>
      <c r="N684" s="79"/>
      <c r="S684" s="79"/>
      <c r="V684" s="130"/>
      <c r="X684" s="106"/>
    </row>
    <row r="685">
      <c r="C685" s="79"/>
      <c r="D685" s="79"/>
      <c r="J685" s="79"/>
      <c r="N685" s="79"/>
      <c r="S685" s="79"/>
      <c r="V685" s="130"/>
      <c r="X685" s="106"/>
    </row>
    <row r="686">
      <c r="C686" s="79"/>
      <c r="D686" s="79"/>
      <c r="J686" s="79"/>
      <c r="N686" s="79"/>
      <c r="S686" s="79"/>
      <c r="V686" s="130"/>
      <c r="X686" s="106"/>
    </row>
    <row r="687">
      <c r="C687" s="79"/>
      <c r="D687" s="79"/>
      <c r="J687" s="79"/>
      <c r="N687" s="79"/>
      <c r="S687" s="79"/>
      <c r="V687" s="130"/>
      <c r="X687" s="106"/>
    </row>
    <row r="688">
      <c r="C688" s="79"/>
      <c r="D688" s="79"/>
      <c r="J688" s="79"/>
      <c r="N688" s="79"/>
      <c r="S688" s="79"/>
      <c r="V688" s="130"/>
      <c r="X688" s="106"/>
    </row>
    <row r="689">
      <c r="C689" s="79"/>
      <c r="D689" s="79"/>
      <c r="J689" s="79"/>
      <c r="N689" s="79"/>
      <c r="S689" s="79"/>
      <c r="V689" s="130"/>
      <c r="X689" s="106"/>
    </row>
    <row r="690">
      <c r="C690" s="79"/>
      <c r="D690" s="79"/>
      <c r="J690" s="79"/>
      <c r="N690" s="79"/>
      <c r="S690" s="79"/>
      <c r="V690" s="130"/>
      <c r="X690" s="106"/>
    </row>
    <row r="691">
      <c r="C691" s="79"/>
      <c r="D691" s="79"/>
      <c r="J691" s="79"/>
      <c r="N691" s="79"/>
      <c r="S691" s="79"/>
      <c r="V691" s="130"/>
      <c r="X691" s="106"/>
    </row>
    <row r="692">
      <c r="C692" s="79"/>
      <c r="D692" s="79"/>
      <c r="J692" s="79"/>
      <c r="N692" s="79"/>
      <c r="S692" s="79"/>
      <c r="V692" s="130"/>
      <c r="X692" s="106"/>
    </row>
    <row r="693">
      <c r="C693" s="79"/>
      <c r="D693" s="79"/>
      <c r="J693" s="79"/>
      <c r="N693" s="79"/>
      <c r="S693" s="79"/>
      <c r="V693" s="130"/>
      <c r="X693" s="106"/>
    </row>
    <row r="694">
      <c r="C694" s="79"/>
      <c r="D694" s="79"/>
      <c r="J694" s="79"/>
      <c r="N694" s="79"/>
      <c r="S694" s="79"/>
      <c r="V694" s="130"/>
      <c r="X694" s="106"/>
    </row>
    <row r="695">
      <c r="C695" s="79"/>
      <c r="D695" s="79"/>
      <c r="J695" s="79"/>
      <c r="N695" s="79"/>
      <c r="S695" s="79"/>
      <c r="V695" s="130"/>
      <c r="X695" s="106"/>
    </row>
    <row r="696">
      <c r="C696" s="79"/>
      <c r="D696" s="79"/>
      <c r="J696" s="79"/>
      <c r="N696" s="79"/>
      <c r="S696" s="79"/>
      <c r="V696" s="130"/>
      <c r="X696" s="106"/>
    </row>
    <row r="697">
      <c r="C697" s="79"/>
      <c r="D697" s="79"/>
      <c r="J697" s="79"/>
      <c r="N697" s="79"/>
      <c r="S697" s="79"/>
      <c r="V697" s="130"/>
      <c r="X697" s="106"/>
    </row>
    <row r="698">
      <c r="C698" s="79"/>
      <c r="D698" s="79"/>
      <c r="J698" s="79"/>
      <c r="N698" s="79"/>
      <c r="S698" s="79"/>
      <c r="V698" s="130"/>
      <c r="X698" s="106"/>
    </row>
    <row r="699">
      <c r="C699" s="79"/>
      <c r="D699" s="79"/>
      <c r="J699" s="79"/>
      <c r="N699" s="79"/>
      <c r="S699" s="79"/>
      <c r="V699" s="130"/>
      <c r="X699" s="106"/>
    </row>
    <row r="700">
      <c r="C700" s="79"/>
      <c r="D700" s="79"/>
      <c r="J700" s="79"/>
      <c r="N700" s="79"/>
      <c r="S700" s="79"/>
      <c r="V700" s="130"/>
      <c r="X700" s="106"/>
    </row>
    <row r="701">
      <c r="C701" s="79"/>
      <c r="D701" s="79"/>
      <c r="J701" s="79"/>
      <c r="N701" s="79"/>
      <c r="S701" s="79"/>
      <c r="V701" s="130"/>
      <c r="X701" s="106"/>
    </row>
    <row r="702">
      <c r="C702" s="79"/>
      <c r="D702" s="79"/>
      <c r="J702" s="79"/>
      <c r="N702" s="79"/>
      <c r="S702" s="79"/>
      <c r="V702" s="130"/>
      <c r="X702" s="106"/>
    </row>
    <row r="703">
      <c r="C703" s="79"/>
      <c r="D703" s="79"/>
      <c r="J703" s="79"/>
      <c r="N703" s="79"/>
      <c r="S703" s="79"/>
      <c r="V703" s="130"/>
      <c r="X703" s="106"/>
    </row>
    <row r="704">
      <c r="C704" s="79"/>
      <c r="D704" s="79"/>
      <c r="J704" s="79"/>
      <c r="N704" s="79"/>
      <c r="S704" s="79"/>
      <c r="V704" s="130"/>
      <c r="X704" s="106"/>
    </row>
    <row r="705">
      <c r="C705" s="79"/>
      <c r="D705" s="79"/>
      <c r="J705" s="79"/>
      <c r="N705" s="79"/>
      <c r="S705" s="79"/>
      <c r="V705" s="130"/>
      <c r="X705" s="106"/>
    </row>
    <row r="706">
      <c r="C706" s="79"/>
      <c r="D706" s="79"/>
      <c r="J706" s="79"/>
      <c r="N706" s="79"/>
      <c r="S706" s="79"/>
      <c r="V706" s="130"/>
      <c r="X706" s="106"/>
    </row>
    <row r="707">
      <c r="C707" s="79"/>
      <c r="D707" s="79"/>
      <c r="J707" s="79"/>
      <c r="N707" s="79"/>
      <c r="S707" s="79"/>
      <c r="V707" s="130"/>
      <c r="X707" s="106"/>
    </row>
    <row r="708">
      <c r="C708" s="79"/>
      <c r="D708" s="79"/>
      <c r="J708" s="79"/>
      <c r="N708" s="79"/>
      <c r="S708" s="79"/>
      <c r="V708" s="130"/>
      <c r="X708" s="106"/>
    </row>
    <row r="709">
      <c r="C709" s="79"/>
      <c r="D709" s="79"/>
      <c r="J709" s="79"/>
      <c r="N709" s="79"/>
      <c r="S709" s="79"/>
      <c r="V709" s="130"/>
      <c r="X709" s="106"/>
    </row>
    <row r="710">
      <c r="C710" s="79"/>
      <c r="D710" s="79"/>
      <c r="J710" s="79"/>
      <c r="N710" s="79"/>
      <c r="S710" s="79"/>
      <c r="V710" s="130"/>
      <c r="X710" s="106"/>
    </row>
    <row r="711">
      <c r="C711" s="79"/>
      <c r="D711" s="79"/>
      <c r="J711" s="79"/>
      <c r="N711" s="79"/>
      <c r="S711" s="79"/>
      <c r="V711" s="130"/>
      <c r="X711" s="106"/>
    </row>
    <row r="712">
      <c r="C712" s="79"/>
      <c r="D712" s="79"/>
      <c r="J712" s="79"/>
      <c r="N712" s="79"/>
      <c r="S712" s="79"/>
      <c r="V712" s="130"/>
      <c r="X712" s="106"/>
    </row>
    <row r="713">
      <c r="C713" s="79"/>
      <c r="D713" s="79"/>
      <c r="J713" s="79"/>
      <c r="N713" s="79"/>
      <c r="S713" s="79"/>
      <c r="V713" s="130"/>
      <c r="X713" s="106"/>
    </row>
    <row r="714">
      <c r="C714" s="79"/>
      <c r="D714" s="79"/>
      <c r="J714" s="79"/>
      <c r="N714" s="79"/>
      <c r="S714" s="79"/>
      <c r="V714" s="130"/>
      <c r="X714" s="106"/>
    </row>
    <row r="715">
      <c r="C715" s="79"/>
      <c r="D715" s="79"/>
      <c r="J715" s="79"/>
      <c r="N715" s="79"/>
      <c r="S715" s="79"/>
      <c r="V715" s="130"/>
      <c r="X715" s="106"/>
    </row>
    <row r="716">
      <c r="C716" s="79"/>
      <c r="D716" s="79"/>
      <c r="J716" s="79"/>
      <c r="N716" s="79"/>
      <c r="S716" s="79"/>
      <c r="V716" s="130"/>
      <c r="X716" s="106"/>
    </row>
    <row r="717">
      <c r="C717" s="79"/>
      <c r="D717" s="79"/>
      <c r="J717" s="79"/>
      <c r="N717" s="79"/>
      <c r="S717" s="79"/>
      <c r="V717" s="130"/>
      <c r="X717" s="106"/>
    </row>
    <row r="718">
      <c r="C718" s="79"/>
      <c r="D718" s="79"/>
      <c r="J718" s="79"/>
      <c r="N718" s="79"/>
      <c r="S718" s="79"/>
      <c r="V718" s="130"/>
      <c r="X718" s="106"/>
    </row>
    <row r="719">
      <c r="C719" s="79"/>
      <c r="D719" s="79"/>
      <c r="J719" s="79"/>
      <c r="N719" s="79"/>
      <c r="S719" s="79"/>
      <c r="V719" s="130"/>
      <c r="X719" s="106"/>
    </row>
    <row r="720">
      <c r="C720" s="79"/>
      <c r="D720" s="79"/>
      <c r="J720" s="79"/>
      <c r="N720" s="79"/>
      <c r="S720" s="79"/>
      <c r="V720" s="130"/>
      <c r="X720" s="106"/>
    </row>
    <row r="721">
      <c r="C721" s="79"/>
      <c r="D721" s="79"/>
      <c r="J721" s="79"/>
      <c r="N721" s="79"/>
      <c r="S721" s="79"/>
      <c r="V721" s="130"/>
      <c r="X721" s="106"/>
    </row>
    <row r="722">
      <c r="C722" s="79"/>
      <c r="D722" s="79"/>
      <c r="J722" s="79"/>
      <c r="N722" s="79"/>
      <c r="S722" s="79"/>
      <c r="V722" s="130"/>
      <c r="X722" s="106"/>
    </row>
    <row r="723">
      <c r="C723" s="79"/>
      <c r="D723" s="79"/>
      <c r="J723" s="79"/>
      <c r="N723" s="79"/>
      <c r="S723" s="79"/>
      <c r="V723" s="130"/>
      <c r="X723" s="106"/>
    </row>
    <row r="724">
      <c r="C724" s="79"/>
      <c r="D724" s="79"/>
      <c r="J724" s="79"/>
      <c r="N724" s="79"/>
      <c r="S724" s="79"/>
      <c r="V724" s="130"/>
      <c r="X724" s="106"/>
    </row>
    <row r="725">
      <c r="C725" s="79"/>
      <c r="D725" s="79"/>
      <c r="J725" s="79"/>
      <c r="N725" s="79"/>
      <c r="S725" s="79"/>
      <c r="V725" s="130"/>
      <c r="X725" s="106"/>
    </row>
    <row r="726">
      <c r="C726" s="79"/>
      <c r="D726" s="79"/>
      <c r="J726" s="79"/>
      <c r="N726" s="79"/>
      <c r="S726" s="79"/>
      <c r="V726" s="130"/>
      <c r="X726" s="106"/>
    </row>
    <row r="727">
      <c r="C727" s="79"/>
      <c r="D727" s="79"/>
      <c r="J727" s="79"/>
      <c r="N727" s="79"/>
      <c r="S727" s="79"/>
      <c r="V727" s="130"/>
      <c r="X727" s="106"/>
    </row>
    <row r="728">
      <c r="C728" s="79"/>
      <c r="D728" s="79"/>
      <c r="J728" s="79"/>
      <c r="N728" s="79"/>
      <c r="S728" s="79"/>
      <c r="V728" s="130"/>
      <c r="X728" s="106"/>
    </row>
    <row r="729">
      <c r="C729" s="79"/>
      <c r="D729" s="79"/>
      <c r="J729" s="79"/>
      <c r="N729" s="79"/>
      <c r="S729" s="79"/>
      <c r="V729" s="130"/>
      <c r="X729" s="106"/>
    </row>
    <row r="730">
      <c r="C730" s="79"/>
      <c r="D730" s="79"/>
      <c r="J730" s="79"/>
      <c r="N730" s="79"/>
      <c r="S730" s="79"/>
      <c r="V730" s="130"/>
      <c r="X730" s="106"/>
    </row>
    <row r="731">
      <c r="C731" s="79"/>
      <c r="D731" s="79"/>
      <c r="J731" s="79"/>
      <c r="N731" s="79"/>
      <c r="S731" s="79"/>
      <c r="V731" s="130"/>
      <c r="X731" s="106"/>
    </row>
    <row r="732">
      <c r="C732" s="79"/>
      <c r="D732" s="79"/>
      <c r="J732" s="79"/>
      <c r="N732" s="79"/>
      <c r="S732" s="79"/>
      <c r="V732" s="130"/>
      <c r="X732" s="106"/>
    </row>
    <row r="733">
      <c r="C733" s="79"/>
      <c r="D733" s="79"/>
      <c r="J733" s="79"/>
      <c r="N733" s="79"/>
      <c r="S733" s="79"/>
      <c r="V733" s="130"/>
      <c r="X733" s="106"/>
    </row>
    <row r="734">
      <c r="C734" s="79"/>
      <c r="D734" s="79"/>
      <c r="J734" s="79"/>
      <c r="N734" s="79"/>
      <c r="S734" s="79"/>
      <c r="V734" s="130"/>
      <c r="X734" s="106"/>
    </row>
    <row r="735">
      <c r="C735" s="79"/>
      <c r="D735" s="79"/>
      <c r="J735" s="79"/>
      <c r="N735" s="79"/>
      <c r="S735" s="79"/>
      <c r="V735" s="130"/>
      <c r="X735" s="106"/>
    </row>
    <row r="736">
      <c r="C736" s="79"/>
      <c r="D736" s="79"/>
      <c r="J736" s="79"/>
      <c r="N736" s="79"/>
      <c r="S736" s="79"/>
      <c r="V736" s="130"/>
      <c r="X736" s="106"/>
    </row>
    <row r="737">
      <c r="C737" s="79"/>
      <c r="D737" s="79"/>
      <c r="J737" s="79"/>
      <c r="N737" s="79"/>
      <c r="S737" s="79"/>
      <c r="V737" s="130"/>
      <c r="X737" s="106"/>
    </row>
    <row r="738">
      <c r="C738" s="79"/>
      <c r="D738" s="79"/>
      <c r="J738" s="79"/>
      <c r="N738" s="79"/>
      <c r="S738" s="79"/>
      <c r="V738" s="130"/>
      <c r="X738" s="106"/>
    </row>
    <row r="739">
      <c r="C739" s="79"/>
      <c r="D739" s="79"/>
      <c r="J739" s="79"/>
      <c r="N739" s="79"/>
      <c r="S739" s="79"/>
      <c r="V739" s="130"/>
      <c r="X739" s="106"/>
    </row>
    <row r="740">
      <c r="C740" s="79"/>
      <c r="D740" s="79"/>
      <c r="J740" s="79"/>
      <c r="N740" s="79"/>
      <c r="S740" s="79"/>
      <c r="V740" s="130"/>
      <c r="X740" s="106"/>
    </row>
    <row r="741">
      <c r="C741" s="79"/>
      <c r="D741" s="79"/>
      <c r="J741" s="79"/>
      <c r="N741" s="79"/>
      <c r="S741" s="79"/>
      <c r="V741" s="130"/>
      <c r="X741" s="106"/>
    </row>
    <row r="742">
      <c r="C742" s="79"/>
      <c r="D742" s="79"/>
      <c r="J742" s="79"/>
      <c r="N742" s="79"/>
      <c r="S742" s="79"/>
      <c r="V742" s="130"/>
      <c r="X742" s="106"/>
    </row>
    <row r="743">
      <c r="C743" s="79"/>
      <c r="D743" s="79"/>
      <c r="J743" s="79"/>
      <c r="N743" s="79"/>
      <c r="S743" s="79"/>
      <c r="V743" s="130"/>
      <c r="X743" s="106"/>
    </row>
    <row r="744">
      <c r="C744" s="79"/>
      <c r="D744" s="79"/>
      <c r="J744" s="79"/>
      <c r="N744" s="79"/>
      <c r="S744" s="79"/>
      <c r="V744" s="130"/>
      <c r="X744" s="106"/>
    </row>
    <row r="745">
      <c r="C745" s="79"/>
      <c r="D745" s="79"/>
      <c r="J745" s="79"/>
      <c r="N745" s="79"/>
      <c r="S745" s="79"/>
      <c r="V745" s="130"/>
      <c r="X745" s="106"/>
    </row>
    <row r="746">
      <c r="C746" s="79"/>
      <c r="D746" s="79"/>
      <c r="J746" s="79"/>
      <c r="N746" s="79"/>
      <c r="S746" s="79"/>
      <c r="V746" s="130"/>
      <c r="X746" s="106"/>
    </row>
    <row r="747">
      <c r="C747" s="79"/>
      <c r="D747" s="79"/>
      <c r="J747" s="79"/>
      <c r="N747" s="79"/>
      <c r="S747" s="79"/>
      <c r="V747" s="130"/>
      <c r="X747" s="106"/>
    </row>
    <row r="748">
      <c r="C748" s="79"/>
      <c r="D748" s="79"/>
      <c r="J748" s="79"/>
      <c r="N748" s="79"/>
      <c r="S748" s="79"/>
      <c r="V748" s="130"/>
      <c r="X748" s="106"/>
    </row>
    <row r="749">
      <c r="C749" s="79"/>
      <c r="D749" s="79"/>
      <c r="J749" s="79"/>
      <c r="N749" s="79"/>
      <c r="S749" s="79"/>
      <c r="V749" s="130"/>
      <c r="X749" s="106"/>
    </row>
    <row r="750">
      <c r="C750" s="79"/>
      <c r="D750" s="79"/>
      <c r="J750" s="79"/>
      <c r="N750" s="79"/>
      <c r="S750" s="79"/>
      <c r="V750" s="130"/>
      <c r="X750" s="106"/>
    </row>
    <row r="751">
      <c r="C751" s="79"/>
      <c r="D751" s="79"/>
      <c r="J751" s="79"/>
      <c r="N751" s="79"/>
      <c r="S751" s="79"/>
      <c r="V751" s="130"/>
      <c r="X751" s="106"/>
    </row>
    <row r="752">
      <c r="C752" s="79"/>
      <c r="D752" s="79"/>
      <c r="J752" s="79"/>
      <c r="N752" s="79"/>
      <c r="S752" s="79"/>
      <c r="V752" s="130"/>
      <c r="X752" s="106"/>
    </row>
    <row r="753">
      <c r="C753" s="79"/>
      <c r="D753" s="79"/>
      <c r="J753" s="79"/>
      <c r="N753" s="79"/>
      <c r="S753" s="79"/>
      <c r="V753" s="130"/>
      <c r="X753" s="106"/>
    </row>
    <row r="754">
      <c r="C754" s="79"/>
      <c r="D754" s="79"/>
      <c r="J754" s="79"/>
      <c r="N754" s="79"/>
      <c r="S754" s="79"/>
      <c r="V754" s="130"/>
      <c r="X754" s="106"/>
    </row>
    <row r="755">
      <c r="C755" s="79"/>
      <c r="D755" s="79"/>
      <c r="J755" s="79"/>
      <c r="N755" s="79"/>
      <c r="S755" s="79"/>
      <c r="V755" s="130"/>
      <c r="X755" s="106"/>
    </row>
    <row r="756">
      <c r="C756" s="79"/>
      <c r="D756" s="79"/>
      <c r="J756" s="79"/>
      <c r="N756" s="79"/>
      <c r="S756" s="79"/>
      <c r="V756" s="130"/>
      <c r="X756" s="106"/>
    </row>
    <row r="757">
      <c r="C757" s="79"/>
      <c r="D757" s="79"/>
      <c r="J757" s="79"/>
      <c r="N757" s="79"/>
      <c r="S757" s="79"/>
      <c r="V757" s="130"/>
      <c r="X757" s="106"/>
    </row>
    <row r="758">
      <c r="C758" s="79"/>
      <c r="D758" s="79"/>
      <c r="J758" s="79"/>
      <c r="N758" s="79"/>
      <c r="S758" s="79"/>
      <c r="V758" s="130"/>
      <c r="X758" s="106"/>
    </row>
    <row r="759">
      <c r="C759" s="79"/>
      <c r="D759" s="79"/>
      <c r="J759" s="79"/>
      <c r="N759" s="79"/>
      <c r="S759" s="79"/>
      <c r="V759" s="130"/>
      <c r="X759" s="106"/>
    </row>
    <row r="760">
      <c r="C760" s="79"/>
      <c r="D760" s="79"/>
      <c r="J760" s="79"/>
      <c r="N760" s="79"/>
      <c r="S760" s="79"/>
      <c r="V760" s="130"/>
      <c r="X760" s="106"/>
    </row>
    <row r="761">
      <c r="C761" s="79"/>
      <c r="D761" s="79"/>
      <c r="J761" s="79"/>
      <c r="N761" s="79"/>
      <c r="S761" s="79"/>
      <c r="V761" s="130"/>
      <c r="X761" s="106"/>
    </row>
    <row r="762">
      <c r="C762" s="79"/>
      <c r="D762" s="79"/>
      <c r="J762" s="79"/>
      <c r="N762" s="79"/>
      <c r="S762" s="79"/>
      <c r="V762" s="130"/>
      <c r="X762" s="106"/>
    </row>
    <row r="763">
      <c r="C763" s="79"/>
      <c r="D763" s="79"/>
      <c r="J763" s="79"/>
      <c r="N763" s="79"/>
      <c r="S763" s="79"/>
      <c r="V763" s="130"/>
      <c r="X763" s="106"/>
    </row>
    <row r="764">
      <c r="C764" s="79"/>
      <c r="D764" s="79"/>
      <c r="J764" s="79"/>
      <c r="N764" s="79"/>
      <c r="S764" s="79"/>
      <c r="V764" s="130"/>
      <c r="X764" s="106"/>
    </row>
    <row r="765">
      <c r="C765" s="79"/>
      <c r="D765" s="79"/>
      <c r="J765" s="79"/>
      <c r="N765" s="79"/>
      <c r="S765" s="79"/>
      <c r="V765" s="130"/>
      <c r="X765" s="106"/>
    </row>
    <row r="766">
      <c r="C766" s="79"/>
      <c r="D766" s="79"/>
      <c r="J766" s="79"/>
      <c r="N766" s="79"/>
      <c r="S766" s="79"/>
      <c r="V766" s="130"/>
      <c r="X766" s="106"/>
    </row>
    <row r="767">
      <c r="C767" s="79"/>
      <c r="D767" s="79"/>
      <c r="J767" s="79"/>
      <c r="N767" s="79"/>
      <c r="S767" s="79"/>
      <c r="V767" s="130"/>
      <c r="X767" s="106"/>
    </row>
    <row r="768">
      <c r="C768" s="79"/>
      <c r="D768" s="79"/>
      <c r="J768" s="79"/>
      <c r="N768" s="79"/>
      <c r="S768" s="79"/>
      <c r="V768" s="130"/>
      <c r="X768" s="106"/>
    </row>
    <row r="769">
      <c r="C769" s="79"/>
      <c r="D769" s="79"/>
      <c r="J769" s="79"/>
      <c r="N769" s="79"/>
      <c r="S769" s="79"/>
      <c r="V769" s="130"/>
      <c r="X769" s="106"/>
    </row>
    <row r="770">
      <c r="C770" s="79"/>
      <c r="D770" s="79"/>
      <c r="J770" s="79"/>
      <c r="N770" s="79"/>
      <c r="S770" s="79"/>
      <c r="V770" s="130"/>
      <c r="X770" s="106"/>
    </row>
    <row r="771">
      <c r="C771" s="79"/>
      <c r="D771" s="79"/>
      <c r="J771" s="79"/>
      <c r="N771" s="79"/>
      <c r="S771" s="79"/>
      <c r="V771" s="130"/>
      <c r="X771" s="106"/>
    </row>
    <row r="772">
      <c r="C772" s="79"/>
      <c r="D772" s="79"/>
      <c r="J772" s="79"/>
      <c r="N772" s="79"/>
      <c r="S772" s="79"/>
      <c r="V772" s="130"/>
      <c r="X772" s="106"/>
    </row>
    <row r="773">
      <c r="C773" s="79"/>
      <c r="D773" s="79"/>
      <c r="J773" s="79"/>
      <c r="N773" s="79"/>
      <c r="S773" s="79"/>
      <c r="V773" s="130"/>
      <c r="X773" s="106"/>
    </row>
    <row r="774">
      <c r="C774" s="79"/>
      <c r="D774" s="79"/>
      <c r="J774" s="79"/>
      <c r="N774" s="79"/>
      <c r="S774" s="79"/>
      <c r="V774" s="130"/>
      <c r="X774" s="106"/>
    </row>
    <row r="775">
      <c r="C775" s="79"/>
      <c r="D775" s="79"/>
      <c r="J775" s="79"/>
      <c r="N775" s="79"/>
      <c r="S775" s="79"/>
      <c r="V775" s="130"/>
      <c r="X775" s="106"/>
    </row>
    <row r="776">
      <c r="C776" s="79"/>
      <c r="D776" s="79"/>
      <c r="J776" s="79"/>
      <c r="N776" s="79"/>
      <c r="S776" s="79"/>
      <c r="V776" s="130"/>
      <c r="X776" s="106"/>
    </row>
    <row r="777">
      <c r="C777" s="79"/>
      <c r="D777" s="79"/>
      <c r="J777" s="79"/>
      <c r="N777" s="79"/>
      <c r="S777" s="79"/>
      <c r="V777" s="130"/>
      <c r="X777" s="106"/>
    </row>
    <row r="778">
      <c r="C778" s="79"/>
      <c r="D778" s="79"/>
      <c r="J778" s="79"/>
      <c r="N778" s="79"/>
      <c r="S778" s="79"/>
      <c r="V778" s="130"/>
      <c r="X778" s="106"/>
    </row>
    <row r="779">
      <c r="C779" s="79"/>
      <c r="D779" s="79"/>
      <c r="J779" s="79"/>
      <c r="N779" s="79"/>
      <c r="S779" s="79"/>
      <c r="V779" s="130"/>
      <c r="X779" s="106"/>
    </row>
    <row r="780">
      <c r="C780" s="79"/>
      <c r="D780" s="79"/>
      <c r="J780" s="79"/>
      <c r="N780" s="79"/>
      <c r="S780" s="79"/>
      <c r="V780" s="130"/>
      <c r="X780" s="106"/>
    </row>
    <row r="781">
      <c r="C781" s="79"/>
      <c r="D781" s="79"/>
      <c r="J781" s="79"/>
      <c r="N781" s="79"/>
      <c r="S781" s="79"/>
      <c r="V781" s="130"/>
      <c r="X781" s="106"/>
    </row>
    <row r="782">
      <c r="C782" s="79"/>
      <c r="D782" s="79"/>
      <c r="J782" s="79"/>
      <c r="N782" s="79"/>
      <c r="S782" s="79"/>
      <c r="V782" s="130"/>
      <c r="X782" s="106"/>
    </row>
    <row r="783">
      <c r="C783" s="79"/>
      <c r="D783" s="79"/>
      <c r="J783" s="79"/>
      <c r="N783" s="79"/>
      <c r="S783" s="79"/>
      <c r="V783" s="130"/>
      <c r="X783" s="106"/>
    </row>
    <row r="784">
      <c r="C784" s="79"/>
      <c r="D784" s="79"/>
      <c r="J784" s="79"/>
      <c r="N784" s="79"/>
      <c r="S784" s="79"/>
      <c r="V784" s="130"/>
      <c r="X784" s="106"/>
    </row>
    <row r="785">
      <c r="C785" s="79"/>
      <c r="D785" s="79"/>
      <c r="J785" s="79"/>
      <c r="N785" s="79"/>
      <c r="S785" s="79"/>
      <c r="V785" s="130"/>
      <c r="X785" s="106"/>
    </row>
    <row r="786">
      <c r="C786" s="79"/>
      <c r="D786" s="79"/>
      <c r="J786" s="79"/>
      <c r="N786" s="79"/>
      <c r="S786" s="79"/>
      <c r="V786" s="130"/>
      <c r="X786" s="106"/>
    </row>
    <row r="787">
      <c r="C787" s="79"/>
      <c r="D787" s="79"/>
      <c r="J787" s="79"/>
      <c r="N787" s="79"/>
      <c r="S787" s="79"/>
      <c r="V787" s="130"/>
      <c r="X787" s="106"/>
    </row>
    <row r="788">
      <c r="C788" s="79"/>
      <c r="D788" s="79"/>
      <c r="J788" s="79"/>
      <c r="N788" s="79"/>
      <c r="S788" s="79"/>
      <c r="V788" s="130"/>
      <c r="X788" s="106"/>
    </row>
    <row r="789">
      <c r="C789" s="79"/>
      <c r="D789" s="79"/>
      <c r="J789" s="79"/>
      <c r="N789" s="79"/>
      <c r="S789" s="79"/>
      <c r="V789" s="130"/>
      <c r="X789" s="106"/>
    </row>
    <row r="790">
      <c r="C790" s="79"/>
      <c r="D790" s="79"/>
      <c r="J790" s="79"/>
      <c r="N790" s="79"/>
      <c r="S790" s="79"/>
      <c r="V790" s="130"/>
      <c r="X790" s="106"/>
    </row>
    <row r="791">
      <c r="C791" s="79"/>
      <c r="D791" s="79"/>
      <c r="J791" s="79"/>
      <c r="N791" s="79"/>
      <c r="S791" s="79"/>
      <c r="V791" s="130"/>
      <c r="X791" s="106"/>
    </row>
    <row r="792">
      <c r="C792" s="79"/>
      <c r="D792" s="79"/>
      <c r="J792" s="79"/>
      <c r="N792" s="79"/>
      <c r="S792" s="79"/>
      <c r="V792" s="130"/>
      <c r="X792" s="106"/>
    </row>
    <row r="793">
      <c r="C793" s="79"/>
      <c r="D793" s="79"/>
      <c r="J793" s="79"/>
      <c r="N793" s="79"/>
      <c r="S793" s="79"/>
      <c r="V793" s="130"/>
      <c r="X793" s="106"/>
    </row>
    <row r="794">
      <c r="C794" s="79"/>
      <c r="D794" s="79"/>
      <c r="J794" s="79"/>
      <c r="N794" s="79"/>
      <c r="S794" s="79"/>
      <c r="V794" s="130"/>
      <c r="X794" s="106"/>
    </row>
    <row r="795">
      <c r="C795" s="79"/>
      <c r="D795" s="79"/>
      <c r="J795" s="79"/>
      <c r="N795" s="79"/>
      <c r="S795" s="79"/>
      <c r="V795" s="130"/>
      <c r="X795" s="106"/>
    </row>
    <row r="796">
      <c r="C796" s="79"/>
      <c r="D796" s="79"/>
      <c r="J796" s="79"/>
      <c r="N796" s="79"/>
      <c r="S796" s="79"/>
      <c r="V796" s="130"/>
      <c r="X796" s="106"/>
    </row>
    <row r="797">
      <c r="C797" s="79"/>
      <c r="D797" s="79"/>
      <c r="J797" s="79"/>
      <c r="N797" s="79"/>
      <c r="S797" s="79"/>
      <c r="V797" s="130"/>
      <c r="X797" s="106"/>
    </row>
    <row r="798">
      <c r="C798" s="79"/>
      <c r="D798" s="79"/>
      <c r="J798" s="79"/>
      <c r="N798" s="79"/>
      <c r="S798" s="79"/>
      <c r="V798" s="130"/>
      <c r="X798" s="106"/>
    </row>
    <row r="799">
      <c r="C799" s="79"/>
      <c r="D799" s="79"/>
      <c r="J799" s="79"/>
      <c r="N799" s="79"/>
      <c r="S799" s="79"/>
      <c r="V799" s="130"/>
      <c r="X799" s="106"/>
    </row>
    <row r="800">
      <c r="C800" s="79"/>
      <c r="D800" s="79"/>
      <c r="J800" s="79"/>
      <c r="N800" s="79"/>
      <c r="S800" s="79"/>
      <c r="V800" s="130"/>
      <c r="X800" s="106"/>
    </row>
    <row r="801">
      <c r="C801" s="79"/>
      <c r="D801" s="79"/>
      <c r="J801" s="79"/>
      <c r="N801" s="79"/>
      <c r="S801" s="79"/>
      <c r="V801" s="130"/>
      <c r="X801" s="106"/>
    </row>
    <row r="802">
      <c r="C802" s="79"/>
      <c r="D802" s="79"/>
      <c r="J802" s="79"/>
      <c r="N802" s="79"/>
      <c r="S802" s="79"/>
      <c r="V802" s="130"/>
      <c r="X802" s="106"/>
    </row>
    <row r="803">
      <c r="C803" s="79"/>
      <c r="D803" s="79"/>
      <c r="J803" s="79"/>
      <c r="N803" s="79"/>
      <c r="S803" s="79"/>
      <c r="V803" s="130"/>
      <c r="X803" s="106"/>
    </row>
    <row r="804">
      <c r="C804" s="79"/>
      <c r="D804" s="79"/>
      <c r="J804" s="79"/>
      <c r="N804" s="79"/>
      <c r="S804" s="79"/>
      <c r="V804" s="130"/>
      <c r="X804" s="106"/>
    </row>
    <row r="805">
      <c r="C805" s="79"/>
      <c r="D805" s="79"/>
      <c r="J805" s="79"/>
      <c r="N805" s="79"/>
      <c r="S805" s="79"/>
      <c r="V805" s="130"/>
      <c r="X805" s="106"/>
    </row>
    <row r="806">
      <c r="C806" s="79"/>
      <c r="D806" s="79"/>
      <c r="J806" s="79"/>
      <c r="N806" s="79"/>
      <c r="S806" s="79"/>
      <c r="V806" s="130"/>
      <c r="X806" s="106"/>
    </row>
    <row r="807">
      <c r="C807" s="79"/>
      <c r="D807" s="79"/>
      <c r="J807" s="79"/>
      <c r="N807" s="79"/>
      <c r="S807" s="79"/>
      <c r="V807" s="130"/>
      <c r="X807" s="106"/>
    </row>
    <row r="808">
      <c r="C808" s="79"/>
      <c r="D808" s="79"/>
      <c r="J808" s="79"/>
      <c r="N808" s="79"/>
      <c r="S808" s="79"/>
      <c r="V808" s="130"/>
      <c r="X808" s="106"/>
    </row>
    <row r="809">
      <c r="C809" s="79"/>
      <c r="D809" s="79"/>
      <c r="J809" s="79"/>
      <c r="N809" s="79"/>
      <c r="S809" s="79"/>
      <c r="V809" s="130"/>
      <c r="X809" s="106"/>
    </row>
    <row r="810">
      <c r="C810" s="79"/>
      <c r="D810" s="79"/>
      <c r="J810" s="79"/>
      <c r="N810" s="79"/>
      <c r="S810" s="79"/>
      <c r="V810" s="130"/>
      <c r="X810" s="106"/>
    </row>
    <row r="811">
      <c r="C811" s="79"/>
      <c r="D811" s="79"/>
      <c r="J811" s="79"/>
      <c r="N811" s="79"/>
      <c r="S811" s="79"/>
      <c r="V811" s="130"/>
      <c r="X811" s="106"/>
    </row>
    <row r="812">
      <c r="C812" s="79"/>
      <c r="D812" s="79"/>
      <c r="J812" s="79"/>
      <c r="N812" s="79"/>
      <c r="S812" s="79"/>
      <c r="V812" s="130"/>
      <c r="X812" s="106"/>
    </row>
    <row r="813">
      <c r="C813" s="79"/>
      <c r="D813" s="79"/>
      <c r="J813" s="79"/>
      <c r="N813" s="79"/>
      <c r="S813" s="79"/>
      <c r="V813" s="130"/>
      <c r="X813" s="106"/>
    </row>
    <row r="814">
      <c r="C814" s="79"/>
      <c r="D814" s="79"/>
      <c r="J814" s="79"/>
      <c r="N814" s="79"/>
      <c r="S814" s="79"/>
      <c r="V814" s="130"/>
      <c r="X814" s="106"/>
    </row>
    <row r="815">
      <c r="C815" s="79"/>
      <c r="D815" s="79"/>
      <c r="J815" s="79"/>
      <c r="N815" s="79"/>
      <c r="S815" s="79"/>
      <c r="V815" s="130"/>
      <c r="X815" s="106"/>
    </row>
    <row r="816">
      <c r="C816" s="79"/>
      <c r="D816" s="79"/>
      <c r="J816" s="79"/>
      <c r="N816" s="79"/>
      <c r="S816" s="79"/>
      <c r="V816" s="130"/>
      <c r="X816" s="106"/>
    </row>
    <row r="817">
      <c r="C817" s="79"/>
      <c r="D817" s="79"/>
      <c r="J817" s="79"/>
      <c r="N817" s="79"/>
      <c r="S817" s="79"/>
      <c r="V817" s="130"/>
      <c r="X817" s="106"/>
    </row>
    <row r="818">
      <c r="C818" s="79"/>
      <c r="D818" s="79"/>
      <c r="J818" s="79"/>
      <c r="N818" s="79"/>
      <c r="S818" s="79"/>
      <c r="V818" s="130"/>
      <c r="X818" s="106"/>
    </row>
    <row r="819">
      <c r="C819" s="79"/>
      <c r="D819" s="79"/>
      <c r="J819" s="79"/>
      <c r="N819" s="79"/>
      <c r="S819" s="79"/>
      <c r="V819" s="130"/>
      <c r="X819" s="106"/>
    </row>
    <row r="820">
      <c r="C820" s="79"/>
      <c r="D820" s="79"/>
      <c r="J820" s="79"/>
      <c r="N820" s="79"/>
      <c r="S820" s="79"/>
      <c r="V820" s="130"/>
      <c r="X820" s="106"/>
    </row>
    <row r="821">
      <c r="C821" s="79"/>
      <c r="D821" s="79"/>
      <c r="J821" s="79"/>
      <c r="N821" s="79"/>
      <c r="S821" s="79"/>
      <c r="V821" s="130"/>
      <c r="X821" s="106"/>
    </row>
    <row r="822">
      <c r="C822" s="79"/>
      <c r="D822" s="79"/>
      <c r="J822" s="79"/>
      <c r="N822" s="79"/>
      <c r="S822" s="79"/>
      <c r="V822" s="130"/>
      <c r="X822" s="106"/>
    </row>
    <row r="823">
      <c r="C823" s="79"/>
      <c r="D823" s="79"/>
      <c r="J823" s="79"/>
      <c r="N823" s="79"/>
      <c r="S823" s="79"/>
      <c r="V823" s="130"/>
      <c r="X823" s="106"/>
    </row>
    <row r="824">
      <c r="C824" s="79"/>
      <c r="D824" s="79"/>
      <c r="J824" s="79"/>
      <c r="N824" s="79"/>
      <c r="S824" s="79"/>
      <c r="V824" s="130"/>
      <c r="X824" s="106"/>
    </row>
    <row r="825">
      <c r="C825" s="79"/>
      <c r="D825" s="79"/>
      <c r="J825" s="79"/>
      <c r="N825" s="79"/>
      <c r="S825" s="79"/>
      <c r="V825" s="130"/>
      <c r="X825" s="106"/>
    </row>
    <row r="826">
      <c r="C826" s="79"/>
      <c r="D826" s="79"/>
      <c r="J826" s="79"/>
      <c r="N826" s="79"/>
      <c r="S826" s="79"/>
      <c r="V826" s="130"/>
      <c r="X826" s="106"/>
    </row>
    <row r="827">
      <c r="C827" s="79"/>
      <c r="D827" s="79"/>
      <c r="J827" s="79"/>
      <c r="N827" s="79"/>
      <c r="S827" s="79"/>
      <c r="V827" s="130"/>
      <c r="X827" s="106"/>
    </row>
    <row r="828">
      <c r="C828" s="79"/>
      <c r="D828" s="79"/>
      <c r="J828" s="79"/>
      <c r="N828" s="79"/>
      <c r="S828" s="79"/>
      <c r="V828" s="130"/>
      <c r="X828" s="106"/>
    </row>
    <row r="829">
      <c r="C829" s="79"/>
      <c r="D829" s="79"/>
      <c r="J829" s="79"/>
      <c r="N829" s="79"/>
      <c r="S829" s="79"/>
      <c r="V829" s="130"/>
      <c r="X829" s="106"/>
    </row>
    <row r="830">
      <c r="C830" s="79"/>
      <c r="D830" s="79"/>
      <c r="J830" s="79"/>
      <c r="N830" s="79"/>
      <c r="S830" s="79"/>
      <c r="V830" s="130"/>
      <c r="X830" s="106"/>
    </row>
    <row r="831">
      <c r="C831" s="79"/>
      <c r="D831" s="79"/>
      <c r="J831" s="79"/>
      <c r="N831" s="79"/>
      <c r="S831" s="79"/>
      <c r="V831" s="130"/>
      <c r="X831" s="106"/>
    </row>
    <row r="832">
      <c r="C832" s="79"/>
      <c r="D832" s="79"/>
      <c r="J832" s="79"/>
      <c r="N832" s="79"/>
      <c r="S832" s="79"/>
      <c r="V832" s="130"/>
      <c r="X832" s="106"/>
    </row>
    <row r="833">
      <c r="C833" s="79"/>
      <c r="D833" s="79"/>
      <c r="J833" s="79"/>
      <c r="N833" s="79"/>
      <c r="S833" s="79"/>
      <c r="V833" s="130"/>
      <c r="X833" s="106"/>
    </row>
    <row r="834">
      <c r="C834" s="79"/>
      <c r="D834" s="79"/>
      <c r="J834" s="79"/>
      <c r="N834" s="79"/>
      <c r="S834" s="79"/>
      <c r="V834" s="130"/>
      <c r="X834" s="106"/>
    </row>
    <row r="835">
      <c r="C835" s="79"/>
      <c r="D835" s="79"/>
      <c r="J835" s="79"/>
      <c r="N835" s="79"/>
      <c r="S835" s="79"/>
      <c r="V835" s="130"/>
      <c r="X835" s="106"/>
    </row>
    <row r="836">
      <c r="C836" s="79"/>
      <c r="D836" s="79"/>
      <c r="J836" s="79"/>
      <c r="N836" s="79"/>
      <c r="S836" s="79"/>
      <c r="V836" s="130"/>
      <c r="X836" s="106"/>
    </row>
    <row r="837">
      <c r="C837" s="79"/>
      <c r="D837" s="79"/>
      <c r="J837" s="79"/>
      <c r="N837" s="79"/>
      <c r="S837" s="79"/>
      <c r="V837" s="130"/>
      <c r="X837" s="106"/>
    </row>
    <row r="838">
      <c r="C838" s="79"/>
      <c r="D838" s="79"/>
      <c r="J838" s="79"/>
      <c r="N838" s="79"/>
      <c r="S838" s="79"/>
      <c r="V838" s="130"/>
      <c r="X838" s="106"/>
    </row>
    <row r="839">
      <c r="C839" s="79"/>
      <c r="D839" s="79"/>
      <c r="J839" s="79"/>
      <c r="N839" s="79"/>
      <c r="S839" s="79"/>
      <c r="V839" s="130"/>
      <c r="X839" s="106"/>
    </row>
    <row r="840">
      <c r="C840" s="79"/>
      <c r="D840" s="79"/>
      <c r="J840" s="79"/>
      <c r="N840" s="79"/>
      <c r="S840" s="79"/>
      <c r="V840" s="130"/>
      <c r="X840" s="106"/>
    </row>
    <row r="841">
      <c r="C841" s="79"/>
      <c r="D841" s="79"/>
      <c r="J841" s="79"/>
      <c r="N841" s="79"/>
      <c r="S841" s="79"/>
      <c r="V841" s="130"/>
      <c r="X841" s="106"/>
    </row>
    <row r="842">
      <c r="C842" s="79"/>
      <c r="D842" s="79"/>
      <c r="J842" s="79"/>
      <c r="N842" s="79"/>
      <c r="S842" s="79"/>
      <c r="V842" s="130"/>
      <c r="X842" s="106"/>
    </row>
    <row r="843">
      <c r="C843" s="79"/>
      <c r="D843" s="79"/>
      <c r="J843" s="79"/>
      <c r="N843" s="79"/>
      <c r="S843" s="79"/>
      <c r="V843" s="130"/>
      <c r="X843" s="106"/>
    </row>
    <row r="844">
      <c r="C844" s="79"/>
      <c r="D844" s="79"/>
      <c r="J844" s="79"/>
      <c r="N844" s="79"/>
      <c r="S844" s="79"/>
      <c r="V844" s="130"/>
      <c r="X844" s="106"/>
    </row>
    <row r="845">
      <c r="C845" s="79"/>
      <c r="D845" s="79"/>
      <c r="J845" s="79"/>
      <c r="N845" s="79"/>
      <c r="S845" s="79"/>
      <c r="V845" s="130"/>
      <c r="X845" s="106"/>
    </row>
    <row r="846">
      <c r="C846" s="79"/>
      <c r="D846" s="79"/>
      <c r="J846" s="79"/>
      <c r="N846" s="79"/>
      <c r="S846" s="79"/>
      <c r="V846" s="130"/>
      <c r="X846" s="106"/>
    </row>
    <row r="847">
      <c r="C847" s="79"/>
      <c r="D847" s="79"/>
      <c r="J847" s="79"/>
      <c r="N847" s="79"/>
      <c r="S847" s="79"/>
      <c r="V847" s="130"/>
      <c r="X847" s="106"/>
    </row>
    <row r="848">
      <c r="C848" s="79"/>
      <c r="D848" s="79"/>
      <c r="J848" s="79"/>
      <c r="N848" s="79"/>
      <c r="S848" s="79"/>
      <c r="V848" s="130"/>
      <c r="X848" s="106"/>
    </row>
    <row r="849">
      <c r="C849" s="79"/>
      <c r="D849" s="79"/>
      <c r="J849" s="79"/>
      <c r="N849" s="79"/>
      <c r="S849" s="79"/>
      <c r="V849" s="130"/>
      <c r="X849" s="106"/>
    </row>
    <row r="850">
      <c r="C850" s="79"/>
      <c r="D850" s="79"/>
      <c r="J850" s="79"/>
      <c r="N850" s="79"/>
      <c r="S850" s="79"/>
      <c r="V850" s="130"/>
      <c r="X850" s="106"/>
    </row>
    <row r="851">
      <c r="C851" s="79"/>
      <c r="D851" s="79"/>
      <c r="J851" s="79"/>
      <c r="N851" s="79"/>
      <c r="S851" s="79"/>
      <c r="V851" s="130"/>
      <c r="X851" s="106"/>
    </row>
    <row r="852">
      <c r="C852" s="79"/>
      <c r="D852" s="79"/>
      <c r="J852" s="79"/>
      <c r="N852" s="79"/>
      <c r="S852" s="79"/>
      <c r="V852" s="130"/>
      <c r="X852" s="106"/>
    </row>
    <row r="853">
      <c r="C853" s="79"/>
      <c r="D853" s="79"/>
      <c r="J853" s="79"/>
      <c r="N853" s="79"/>
      <c r="S853" s="79"/>
      <c r="V853" s="130"/>
      <c r="X853" s="106"/>
    </row>
    <row r="854">
      <c r="C854" s="79"/>
      <c r="D854" s="79"/>
      <c r="J854" s="79"/>
      <c r="N854" s="79"/>
      <c r="S854" s="79"/>
      <c r="V854" s="130"/>
      <c r="X854" s="106"/>
    </row>
    <row r="855">
      <c r="C855" s="79"/>
      <c r="D855" s="79"/>
      <c r="J855" s="79"/>
      <c r="N855" s="79"/>
      <c r="S855" s="79"/>
      <c r="V855" s="130"/>
      <c r="X855" s="106"/>
    </row>
    <row r="856">
      <c r="C856" s="79"/>
      <c r="D856" s="79"/>
      <c r="J856" s="79"/>
      <c r="N856" s="79"/>
      <c r="S856" s="79"/>
      <c r="V856" s="130"/>
      <c r="X856" s="106"/>
    </row>
    <row r="857">
      <c r="C857" s="79"/>
      <c r="D857" s="79"/>
      <c r="J857" s="79"/>
      <c r="N857" s="79"/>
      <c r="S857" s="79"/>
      <c r="V857" s="130"/>
      <c r="X857" s="106"/>
    </row>
    <row r="858">
      <c r="C858" s="79"/>
      <c r="D858" s="79"/>
      <c r="J858" s="79"/>
      <c r="N858" s="79"/>
      <c r="S858" s="79"/>
      <c r="V858" s="130"/>
      <c r="X858" s="106"/>
    </row>
    <row r="859">
      <c r="C859" s="79"/>
      <c r="D859" s="79"/>
      <c r="J859" s="79"/>
      <c r="N859" s="79"/>
      <c r="S859" s="79"/>
      <c r="V859" s="130"/>
      <c r="X859" s="106"/>
    </row>
    <row r="860">
      <c r="C860" s="79"/>
      <c r="D860" s="79"/>
      <c r="J860" s="79"/>
      <c r="N860" s="79"/>
      <c r="S860" s="79"/>
      <c r="V860" s="130"/>
      <c r="X860" s="106"/>
    </row>
    <row r="861">
      <c r="C861" s="79"/>
      <c r="D861" s="79"/>
      <c r="J861" s="79"/>
      <c r="N861" s="79"/>
      <c r="S861" s="79"/>
      <c r="V861" s="130"/>
      <c r="X861" s="106"/>
    </row>
    <row r="862">
      <c r="C862" s="79"/>
      <c r="D862" s="79"/>
      <c r="J862" s="79"/>
      <c r="N862" s="79"/>
      <c r="S862" s="79"/>
      <c r="V862" s="130"/>
      <c r="X862" s="106"/>
    </row>
    <row r="863">
      <c r="C863" s="79"/>
      <c r="D863" s="79"/>
      <c r="J863" s="79"/>
      <c r="N863" s="79"/>
      <c r="S863" s="79"/>
      <c r="V863" s="130"/>
      <c r="X863" s="106"/>
    </row>
    <row r="864">
      <c r="C864" s="79"/>
      <c r="D864" s="79"/>
      <c r="J864" s="79"/>
      <c r="N864" s="79"/>
      <c r="S864" s="79"/>
      <c r="V864" s="130"/>
      <c r="X864" s="106"/>
    </row>
    <row r="865">
      <c r="C865" s="79"/>
      <c r="D865" s="79"/>
      <c r="J865" s="79"/>
      <c r="N865" s="79"/>
      <c r="S865" s="79"/>
      <c r="V865" s="130"/>
      <c r="X865" s="106"/>
    </row>
    <row r="866">
      <c r="C866" s="79"/>
      <c r="D866" s="79"/>
      <c r="J866" s="79"/>
      <c r="N866" s="79"/>
      <c r="S866" s="79"/>
      <c r="V866" s="130"/>
      <c r="X866" s="106"/>
    </row>
    <row r="867">
      <c r="C867" s="79"/>
      <c r="D867" s="79"/>
      <c r="J867" s="79"/>
      <c r="N867" s="79"/>
      <c r="S867" s="79"/>
      <c r="V867" s="130"/>
      <c r="X867" s="106"/>
    </row>
    <row r="868">
      <c r="C868" s="79"/>
      <c r="D868" s="79"/>
      <c r="J868" s="79"/>
      <c r="N868" s="79"/>
      <c r="S868" s="79"/>
      <c r="V868" s="130"/>
      <c r="X868" s="106"/>
    </row>
    <row r="869">
      <c r="C869" s="79"/>
      <c r="D869" s="79"/>
      <c r="J869" s="79"/>
      <c r="N869" s="79"/>
      <c r="S869" s="79"/>
      <c r="V869" s="130"/>
      <c r="X869" s="106"/>
    </row>
    <row r="870">
      <c r="C870" s="79"/>
      <c r="D870" s="79"/>
      <c r="J870" s="79"/>
      <c r="N870" s="79"/>
      <c r="S870" s="79"/>
      <c r="V870" s="130"/>
      <c r="X870" s="106"/>
    </row>
    <row r="871">
      <c r="C871" s="79"/>
      <c r="D871" s="79"/>
      <c r="J871" s="79"/>
      <c r="N871" s="79"/>
      <c r="S871" s="79"/>
      <c r="V871" s="130"/>
      <c r="X871" s="106"/>
    </row>
    <row r="872">
      <c r="C872" s="79"/>
      <c r="D872" s="79"/>
      <c r="J872" s="79"/>
      <c r="N872" s="79"/>
      <c r="S872" s="79"/>
      <c r="V872" s="130"/>
      <c r="X872" s="106"/>
    </row>
    <row r="873">
      <c r="C873" s="79"/>
      <c r="D873" s="79"/>
      <c r="J873" s="79"/>
      <c r="N873" s="79"/>
      <c r="S873" s="79"/>
      <c r="V873" s="130"/>
      <c r="X873" s="106"/>
    </row>
    <row r="874">
      <c r="C874" s="79"/>
      <c r="D874" s="79"/>
      <c r="J874" s="79"/>
      <c r="N874" s="79"/>
      <c r="S874" s="79"/>
      <c r="V874" s="130"/>
      <c r="X874" s="106"/>
    </row>
    <row r="875">
      <c r="C875" s="79"/>
      <c r="D875" s="79"/>
      <c r="J875" s="79"/>
      <c r="N875" s="79"/>
      <c r="S875" s="79"/>
      <c r="V875" s="130"/>
      <c r="X875" s="106"/>
    </row>
    <row r="876">
      <c r="C876" s="79"/>
      <c r="D876" s="79"/>
      <c r="J876" s="79"/>
      <c r="N876" s="79"/>
      <c r="S876" s="79"/>
      <c r="V876" s="130"/>
      <c r="X876" s="106"/>
    </row>
    <row r="877">
      <c r="C877" s="79"/>
      <c r="D877" s="79"/>
      <c r="J877" s="79"/>
      <c r="N877" s="79"/>
      <c r="S877" s="79"/>
      <c r="V877" s="130"/>
      <c r="X877" s="106"/>
    </row>
    <row r="878">
      <c r="C878" s="79"/>
      <c r="D878" s="79"/>
      <c r="J878" s="79"/>
      <c r="N878" s="79"/>
      <c r="S878" s="79"/>
      <c r="V878" s="130"/>
      <c r="X878" s="106"/>
    </row>
    <row r="879">
      <c r="C879" s="79"/>
      <c r="D879" s="79"/>
      <c r="J879" s="79"/>
      <c r="N879" s="79"/>
      <c r="S879" s="79"/>
      <c r="V879" s="130"/>
      <c r="X879" s="106"/>
    </row>
    <row r="880">
      <c r="C880" s="79"/>
      <c r="D880" s="79"/>
      <c r="J880" s="79"/>
      <c r="N880" s="79"/>
      <c r="S880" s="79"/>
      <c r="V880" s="130"/>
      <c r="X880" s="106"/>
    </row>
    <row r="881">
      <c r="C881" s="79"/>
      <c r="D881" s="79"/>
      <c r="J881" s="79"/>
      <c r="N881" s="79"/>
      <c r="S881" s="79"/>
      <c r="V881" s="130"/>
      <c r="X881" s="106"/>
    </row>
    <row r="882">
      <c r="C882" s="79"/>
      <c r="D882" s="79"/>
      <c r="J882" s="79"/>
      <c r="N882" s="79"/>
      <c r="S882" s="79"/>
      <c r="V882" s="130"/>
      <c r="X882" s="106"/>
    </row>
    <row r="883">
      <c r="C883" s="79"/>
      <c r="D883" s="79"/>
      <c r="J883" s="79"/>
      <c r="N883" s="79"/>
      <c r="S883" s="79"/>
      <c r="V883" s="130"/>
      <c r="X883" s="106"/>
    </row>
    <row r="884">
      <c r="C884" s="79"/>
      <c r="D884" s="79"/>
      <c r="J884" s="79"/>
      <c r="N884" s="79"/>
      <c r="S884" s="79"/>
      <c r="V884" s="130"/>
      <c r="X884" s="106"/>
    </row>
    <row r="885">
      <c r="C885" s="79"/>
      <c r="D885" s="79"/>
      <c r="J885" s="79"/>
      <c r="N885" s="79"/>
      <c r="S885" s="79"/>
      <c r="V885" s="130"/>
      <c r="X885" s="106"/>
    </row>
    <row r="886">
      <c r="C886" s="79"/>
      <c r="D886" s="79"/>
      <c r="J886" s="79"/>
      <c r="N886" s="79"/>
      <c r="S886" s="79"/>
      <c r="V886" s="130"/>
      <c r="X886" s="106"/>
    </row>
    <row r="887">
      <c r="C887" s="79"/>
      <c r="D887" s="79"/>
      <c r="J887" s="79"/>
      <c r="N887" s="79"/>
      <c r="S887" s="79"/>
      <c r="V887" s="130"/>
      <c r="X887" s="106"/>
    </row>
    <row r="888">
      <c r="C888" s="79"/>
      <c r="D888" s="79"/>
      <c r="J888" s="79"/>
      <c r="N888" s="79"/>
      <c r="S888" s="79"/>
      <c r="V888" s="130"/>
      <c r="X888" s="106"/>
    </row>
    <row r="889">
      <c r="C889" s="79"/>
      <c r="D889" s="79"/>
      <c r="J889" s="79"/>
      <c r="N889" s="79"/>
      <c r="S889" s="79"/>
      <c r="V889" s="130"/>
      <c r="X889" s="106"/>
    </row>
    <row r="890">
      <c r="C890" s="79"/>
      <c r="D890" s="79"/>
      <c r="J890" s="79"/>
      <c r="N890" s="79"/>
      <c r="S890" s="79"/>
      <c r="V890" s="130"/>
      <c r="X890" s="106"/>
    </row>
    <row r="891">
      <c r="C891" s="79"/>
      <c r="D891" s="79"/>
      <c r="J891" s="79"/>
      <c r="N891" s="79"/>
      <c r="S891" s="79"/>
      <c r="V891" s="130"/>
      <c r="X891" s="106"/>
    </row>
    <row r="892">
      <c r="C892" s="79"/>
      <c r="D892" s="79"/>
      <c r="J892" s="79"/>
      <c r="N892" s="79"/>
      <c r="S892" s="79"/>
      <c r="V892" s="130"/>
      <c r="X892" s="106"/>
    </row>
    <row r="893">
      <c r="C893" s="79"/>
      <c r="D893" s="79"/>
      <c r="J893" s="79"/>
      <c r="N893" s="79"/>
      <c r="S893" s="79"/>
      <c r="V893" s="130"/>
      <c r="X893" s="106"/>
    </row>
    <row r="894">
      <c r="C894" s="79"/>
      <c r="D894" s="79"/>
      <c r="J894" s="79"/>
      <c r="N894" s="79"/>
      <c r="S894" s="79"/>
      <c r="V894" s="130"/>
      <c r="X894" s="106"/>
    </row>
    <row r="895">
      <c r="C895" s="79"/>
      <c r="D895" s="79"/>
      <c r="J895" s="79"/>
      <c r="N895" s="79"/>
      <c r="S895" s="79"/>
      <c r="V895" s="130"/>
      <c r="X895" s="106"/>
    </row>
    <row r="896">
      <c r="C896" s="79"/>
      <c r="D896" s="79"/>
      <c r="J896" s="79"/>
      <c r="N896" s="79"/>
      <c r="S896" s="79"/>
      <c r="V896" s="130"/>
      <c r="X896" s="106"/>
    </row>
    <row r="897">
      <c r="C897" s="79"/>
      <c r="D897" s="79"/>
      <c r="J897" s="79"/>
      <c r="N897" s="79"/>
      <c r="S897" s="79"/>
      <c r="V897" s="130"/>
      <c r="X897" s="106"/>
    </row>
    <row r="898">
      <c r="C898" s="79"/>
      <c r="D898" s="79"/>
      <c r="J898" s="79"/>
      <c r="N898" s="79"/>
      <c r="S898" s="79"/>
      <c r="V898" s="130"/>
      <c r="X898" s="106"/>
    </row>
    <row r="899">
      <c r="C899" s="79"/>
      <c r="D899" s="79"/>
      <c r="J899" s="79"/>
      <c r="N899" s="79"/>
      <c r="S899" s="79"/>
      <c r="V899" s="130"/>
      <c r="X899" s="106"/>
    </row>
    <row r="900">
      <c r="C900" s="79"/>
      <c r="D900" s="79"/>
      <c r="J900" s="79"/>
      <c r="N900" s="79"/>
      <c r="S900" s="79"/>
      <c r="V900" s="130"/>
      <c r="X900" s="106"/>
    </row>
    <row r="901">
      <c r="C901" s="79"/>
      <c r="D901" s="79"/>
      <c r="J901" s="79"/>
      <c r="N901" s="79"/>
      <c r="S901" s="79"/>
      <c r="V901" s="130"/>
      <c r="X901" s="106"/>
    </row>
    <row r="902">
      <c r="C902" s="79"/>
      <c r="D902" s="79"/>
      <c r="J902" s="79"/>
      <c r="N902" s="79"/>
      <c r="S902" s="79"/>
      <c r="V902" s="130"/>
      <c r="X902" s="106"/>
    </row>
    <row r="903">
      <c r="C903" s="79"/>
      <c r="D903" s="79"/>
      <c r="J903" s="79"/>
      <c r="N903" s="79"/>
      <c r="S903" s="79"/>
      <c r="V903" s="130"/>
      <c r="X903" s="106"/>
    </row>
    <row r="904">
      <c r="C904" s="79"/>
      <c r="D904" s="79"/>
      <c r="J904" s="79"/>
      <c r="N904" s="79"/>
      <c r="S904" s="79"/>
      <c r="V904" s="130"/>
      <c r="X904" s="106"/>
    </row>
    <row r="905">
      <c r="C905" s="79"/>
      <c r="D905" s="79"/>
      <c r="J905" s="79"/>
      <c r="N905" s="79"/>
      <c r="S905" s="79"/>
      <c r="V905" s="130"/>
      <c r="X905" s="106"/>
    </row>
    <row r="906">
      <c r="C906" s="79"/>
      <c r="D906" s="79"/>
      <c r="J906" s="79"/>
      <c r="N906" s="79"/>
      <c r="S906" s="79"/>
      <c r="V906" s="130"/>
      <c r="X906" s="106"/>
    </row>
    <row r="907">
      <c r="C907" s="79"/>
      <c r="D907" s="79"/>
      <c r="J907" s="79"/>
      <c r="N907" s="79"/>
      <c r="S907" s="79"/>
      <c r="V907" s="130"/>
      <c r="X907" s="106"/>
    </row>
    <row r="908">
      <c r="C908" s="79"/>
      <c r="D908" s="79"/>
      <c r="J908" s="79"/>
      <c r="N908" s="79"/>
      <c r="S908" s="79"/>
      <c r="V908" s="130"/>
      <c r="X908" s="106"/>
    </row>
    <row r="909">
      <c r="C909" s="79"/>
      <c r="D909" s="79"/>
      <c r="J909" s="79"/>
      <c r="N909" s="79"/>
      <c r="S909" s="79"/>
      <c r="V909" s="130"/>
      <c r="X909" s="106"/>
    </row>
    <row r="910">
      <c r="C910" s="79"/>
      <c r="D910" s="79"/>
      <c r="J910" s="79"/>
      <c r="N910" s="79"/>
      <c r="S910" s="79"/>
      <c r="V910" s="130"/>
      <c r="X910" s="106"/>
    </row>
    <row r="911">
      <c r="C911" s="79"/>
      <c r="D911" s="79"/>
      <c r="J911" s="79"/>
      <c r="N911" s="79"/>
      <c r="S911" s="79"/>
      <c r="V911" s="130"/>
      <c r="X911" s="106"/>
    </row>
    <row r="912">
      <c r="C912" s="79"/>
      <c r="D912" s="79"/>
      <c r="J912" s="79"/>
      <c r="N912" s="79"/>
      <c r="S912" s="79"/>
      <c r="V912" s="130"/>
      <c r="X912" s="106"/>
    </row>
    <row r="913">
      <c r="C913" s="79"/>
      <c r="D913" s="79"/>
      <c r="J913" s="79"/>
      <c r="N913" s="79"/>
      <c r="S913" s="79"/>
      <c r="V913" s="130"/>
      <c r="X913" s="106"/>
    </row>
    <row r="914">
      <c r="C914" s="79"/>
      <c r="D914" s="79"/>
      <c r="J914" s="79"/>
      <c r="N914" s="79"/>
      <c r="S914" s="79"/>
      <c r="V914" s="130"/>
      <c r="X914" s="106"/>
    </row>
    <row r="915">
      <c r="C915" s="79"/>
      <c r="D915" s="79"/>
      <c r="J915" s="79"/>
      <c r="N915" s="79"/>
      <c r="S915" s="79"/>
      <c r="V915" s="130"/>
      <c r="X915" s="106"/>
    </row>
    <row r="916">
      <c r="C916" s="79"/>
      <c r="D916" s="79"/>
      <c r="J916" s="79"/>
      <c r="N916" s="79"/>
      <c r="S916" s="79"/>
      <c r="V916" s="130"/>
      <c r="X916" s="106"/>
    </row>
    <row r="917">
      <c r="C917" s="79"/>
      <c r="D917" s="79"/>
      <c r="J917" s="79"/>
      <c r="N917" s="79"/>
      <c r="S917" s="79"/>
      <c r="V917" s="130"/>
      <c r="X917" s="106"/>
    </row>
    <row r="918">
      <c r="C918" s="79"/>
      <c r="D918" s="79"/>
      <c r="J918" s="79"/>
      <c r="N918" s="79"/>
      <c r="S918" s="79"/>
      <c r="V918" s="130"/>
      <c r="X918" s="106"/>
    </row>
    <row r="919">
      <c r="C919" s="79"/>
      <c r="D919" s="79"/>
      <c r="J919" s="79"/>
      <c r="N919" s="79"/>
      <c r="S919" s="79"/>
      <c r="V919" s="130"/>
      <c r="X919" s="106"/>
    </row>
    <row r="920">
      <c r="C920" s="79"/>
      <c r="D920" s="79"/>
      <c r="J920" s="79"/>
      <c r="N920" s="79"/>
      <c r="S920" s="79"/>
      <c r="V920" s="130"/>
      <c r="X920" s="106"/>
    </row>
    <row r="921">
      <c r="C921" s="79"/>
      <c r="D921" s="79"/>
      <c r="J921" s="79"/>
      <c r="N921" s="79"/>
      <c r="S921" s="79"/>
      <c r="V921" s="130"/>
      <c r="X921" s="106"/>
    </row>
    <row r="922">
      <c r="C922" s="79"/>
      <c r="D922" s="79"/>
      <c r="J922" s="79"/>
      <c r="N922" s="79"/>
      <c r="S922" s="79"/>
      <c r="V922" s="130"/>
      <c r="X922" s="106"/>
    </row>
    <row r="923">
      <c r="C923" s="79"/>
      <c r="D923" s="79"/>
      <c r="J923" s="79"/>
      <c r="N923" s="79"/>
      <c r="S923" s="79"/>
      <c r="V923" s="130"/>
      <c r="X923" s="106"/>
    </row>
    <row r="924">
      <c r="C924" s="79"/>
      <c r="D924" s="79"/>
      <c r="J924" s="79"/>
      <c r="N924" s="79"/>
      <c r="S924" s="79"/>
      <c r="V924" s="130"/>
      <c r="X924" s="106"/>
    </row>
    <row r="925">
      <c r="C925" s="79"/>
      <c r="D925" s="79"/>
      <c r="J925" s="79"/>
      <c r="N925" s="79"/>
      <c r="S925" s="79"/>
      <c r="V925" s="130"/>
      <c r="X925" s="106"/>
    </row>
    <row r="926">
      <c r="C926" s="79"/>
      <c r="D926" s="79"/>
      <c r="J926" s="79"/>
      <c r="N926" s="79"/>
      <c r="S926" s="79"/>
      <c r="V926" s="130"/>
      <c r="X926" s="106"/>
    </row>
    <row r="927">
      <c r="C927" s="79"/>
      <c r="D927" s="79"/>
      <c r="J927" s="79"/>
      <c r="N927" s="79"/>
      <c r="S927" s="79"/>
      <c r="V927" s="130"/>
      <c r="X927" s="106"/>
    </row>
    <row r="928">
      <c r="C928" s="79"/>
      <c r="D928" s="79"/>
      <c r="J928" s="79"/>
      <c r="N928" s="79"/>
      <c r="S928" s="79"/>
      <c r="V928" s="130"/>
      <c r="X928" s="106"/>
    </row>
    <row r="929">
      <c r="C929" s="79"/>
      <c r="D929" s="79"/>
      <c r="J929" s="79"/>
      <c r="N929" s="79"/>
      <c r="S929" s="79"/>
      <c r="V929" s="130"/>
      <c r="X929" s="106"/>
    </row>
    <row r="930">
      <c r="C930" s="79"/>
      <c r="D930" s="79"/>
      <c r="J930" s="79"/>
      <c r="N930" s="79"/>
      <c r="S930" s="79"/>
      <c r="V930" s="130"/>
      <c r="X930" s="106"/>
    </row>
    <row r="931">
      <c r="C931" s="79"/>
      <c r="D931" s="79"/>
      <c r="J931" s="79"/>
      <c r="N931" s="79"/>
      <c r="S931" s="79"/>
      <c r="V931" s="130"/>
      <c r="X931" s="106"/>
    </row>
    <row r="932">
      <c r="C932" s="79"/>
      <c r="D932" s="79"/>
      <c r="J932" s="79"/>
      <c r="N932" s="79"/>
      <c r="S932" s="79"/>
      <c r="V932" s="130"/>
      <c r="X932" s="106"/>
    </row>
    <row r="933">
      <c r="C933" s="79"/>
      <c r="D933" s="79"/>
      <c r="J933" s="79"/>
      <c r="N933" s="79"/>
      <c r="S933" s="79"/>
      <c r="V933" s="130"/>
      <c r="X933" s="106"/>
    </row>
    <row r="934">
      <c r="C934" s="79"/>
      <c r="D934" s="79"/>
      <c r="J934" s="79"/>
      <c r="N934" s="79"/>
      <c r="S934" s="79"/>
      <c r="V934" s="130"/>
      <c r="X934" s="106"/>
    </row>
    <row r="935">
      <c r="C935" s="79"/>
      <c r="D935" s="79"/>
      <c r="J935" s="79"/>
      <c r="N935" s="79"/>
      <c r="S935" s="79"/>
      <c r="V935" s="130"/>
      <c r="X935" s="106"/>
    </row>
    <row r="936">
      <c r="C936" s="79"/>
      <c r="D936" s="79"/>
      <c r="J936" s="79"/>
      <c r="N936" s="79"/>
      <c r="S936" s="79"/>
      <c r="V936" s="130"/>
      <c r="X936" s="106"/>
    </row>
    <row r="937">
      <c r="C937" s="79"/>
      <c r="D937" s="79"/>
      <c r="J937" s="79"/>
      <c r="N937" s="79"/>
      <c r="S937" s="79"/>
      <c r="V937" s="130"/>
      <c r="X937" s="106"/>
    </row>
    <row r="938">
      <c r="C938" s="79"/>
      <c r="D938" s="79"/>
      <c r="J938" s="79"/>
      <c r="N938" s="79"/>
      <c r="S938" s="79"/>
      <c r="V938" s="130"/>
      <c r="X938" s="106"/>
    </row>
    <row r="939">
      <c r="C939" s="79"/>
      <c r="D939" s="79"/>
      <c r="J939" s="79"/>
      <c r="N939" s="79"/>
      <c r="S939" s="79"/>
      <c r="V939" s="130"/>
      <c r="X939" s="106"/>
    </row>
    <row r="940">
      <c r="C940" s="79"/>
      <c r="D940" s="79"/>
      <c r="J940" s="79"/>
      <c r="N940" s="79"/>
      <c r="S940" s="79"/>
      <c r="V940" s="130"/>
      <c r="X940" s="106"/>
    </row>
    <row r="941">
      <c r="C941" s="79"/>
      <c r="D941" s="79"/>
      <c r="J941" s="79"/>
      <c r="N941" s="79"/>
      <c r="S941" s="79"/>
      <c r="V941" s="130"/>
      <c r="X941" s="106"/>
    </row>
    <row r="942">
      <c r="C942" s="79"/>
      <c r="D942" s="79"/>
      <c r="J942" s="79"/>
      <c r="N942" s="79"/>
      <c r="S942" s="79"/>
      <c r="V942" s="130"/>
      <c r="X942" s="106"/>
    </row>
    <row r="943">
      <c r="C943" s="79"/>
      <c r="D943" s="79"/>
      <c r="J943" s="79"/>
      <c r="N943" s="79"/>
      <c r="S943" s="79"/>
      <c r="V943" s="130"/>
      <c r="X943" s="106"/>
    </row>
    <row r="944">
      <c r="C944" s="79"/>
      <c r="D944" s="79"/>
      <c r="J944" s="79"/>
      <c r="N944" s="79"/>
      <c r="S944" s="79"/>
      <c r="V944" s="130"/>
      <c r="X944" s="106"/>
    </row>
    <row r="945">
      <c r="C945" s="79"/>
      <c r="D945" s="79"/>
      <c r="J945" s="79"/>
      <c r="N945" s="79"/>
      <c r="S945" s="79"/>
      <c r="V945" s="130"/>
      <c r="X945" s="106"/>
    </row>
    <row r="946">
      <c r="C946" s="79"/>
      <c r="D946" s="79"/>
      <c r="J946" s="79"/>
      <c r="N946" s="79"/>
      <c r="S946" s="79"/>
      <c r="V946" s="130"/>
      <c r="X946" s="106"/>
    </row>
    <row r="947">
      <c r="C947" s="79"/>
      <c r="D947" s="79"/>
      <c r="J947" s="79"/>
      <c r="N947" s="79"/>
      <c r="S947" s="79"/>
      <c r="V947" s="130"/>
      <c r="X947" s="106"/>
    </row>
    <row r="948">
      <c r="C948" s="79"/>
      <c r="D948" s="79"/>
      <c r="J948" s="79"/>
      <c r="N948" s="79"/>
      <c r="S948" s="79"/>
      <c r="V948" s="130"/>
      <c r="X948" s="106"/>
    </row>
    <row r="949">
      <c r="C949" s="79"/>
      <c r="D949" s="79"/>
      <c r="J949" s="79"/>
      <c r="N949" s="79"/>
      <c r="S949" s="79"/>
      <c r="V949" s="130"/>
      <c r="X949" s="106"/>
    </row>
    <row r="950">
      <c r="C950" s="79"/>
      <c r="D950" s="79"/>
      <c r="J950" s="79"/>
      <c r="N950" s="79"/>
      <c r="S950" s="79"/>
      <c r="V950" s="130"/>
      <c r="X950" s="106"/>
    </row>
    <row r="951">
      <c r="C951" s="79"/>
      <c r="D951" s="79"/>
      <c r="J951" s="79"/>
      <c r="N951" s="79"/>
      <c r="S951" s="79"/>
      <c r="V951" s="130"/>
      <c r="X951" s="106"/>
    </row>
    <row r="952">
      <c r="C952" s="79"/>
      <c r="D952" s="79"/>
      <c r="J952" s="79"/>
      <c r="N952" s="79"/>
      <c r="S952" s="79"/>
      <c r="V952" s="130"/>
      <c r="X952" s="106"/>
    </row>
    <row r="953">
      <c r="C953" s="79"/>
      <c r="D953" s="79"/>
      <c r="J953" s="79"/>
      <c r="N953" s="79"/>
      <c r="S953" s="79"/>
      <c r="V953" s="130"/>
      <c r="X953" s="106"/>
    </row>
    <row r="954">
      <c r="C954" s="79"/>
      <c r="D954" s="79"/>
      <c r="J954" s="79"/>
      <c r="N954" s="79"/>
      <c r="S954" s="79"/>
      <c r="V954" s="130"/>
      <c r="X954" s="106"/>
    </row>
    <row r="955">
      <c r="C955" s="79"/>
      <c r="D955" s="79"/>
      <c r="J955" s="79"/>
      <c r="N955" s="79"/>
      <c r="S955" s="79"/>
      <c r="V955" s="130"/>
      <c r="X955" s="106"/>
    </row>
    <row r="956">
      <c r="C956" s="79"/>
      <c r="D956" s="79"/>
      <c r="J956" s="79"/>
      <c r="N956" s="79"/>
      <c r="S956" s="79"/>
      <c r="V956" s="130"/>
      <c r="X956" s="106"/>
    </row>
    <row r="957">
      <c r="C957" s="79"/>
      <c r="D957" s="79"/>
      <c r="J957" s="79"/>
      <c r="N957" s="79"/>
      <c r="S957" s="79"/>
      <c r="V957" s="130"/>
      <c r="X957" s="106"/>
    </row>
    <row r="958">
      <c r="C958" s="79"/>
      <c r="D958" s="79"/>
      <c r="J958" s="79"/>
      <c r="N958" s="79"/>
      <c r="S958" s="79"/>
      <c r="V958" s="130"/>
      <c r="X958" s="106"/>
    </row>
    <row r="959">
      <c r="C959" s="79"/>
      <c r="D959" s="79"/>
      <c r="J959" s="79"/>
      <c r="N959" s="79"/>
      <c r="S959" s="79"/>
      <c r="V959" s="130"/>
      <c r="X959" s="106"/>
    </row>
    <row r="960">
      <c r="C960" s="79"/>
      <c r="D960" s="79"/>
      <c r="J960" s="79"/>
      <c r="N960" s="79"/>
      <c r="S960" s="79"/>
      <c r="V960" s="130"/>
      <c r="X960" s="106"/>
    </row>
    <row r="961">
      <c r="C961" s="79"/>
      <c r="D961" s="79"/>
      <c r="J961" s="79"/>
      <c r="N961" s="79"/>
      <c r="S961" s="79"/>
      <c r="V961" s="130"/>
      <c r="X961" s="106"/>
    </row>
    <row r="962">
      <c r="C962" s="79"/>
      <c r="D962" s="79"/>
      <c r="J962" s="79"/>
      <c r="N962" s="79"/>
      <c r="S962" s="79"/>
      <c r="V962" s="130"/>
      <c r="X962" s="106"/>
    </row>
    <row r="963">
      <c r="C963" s="79"/>
      <c r="D963" s="79"/>
      <c r="J963" s="79"/>
      <c r="N963" s="79"/>
      <c r="S963" s="79"/>
      <c r="V963" s="130"/>
      <c r="X963" s="106"/>
    </row>
    <row r="964">
      <c r="C964" s="79"/>
      <c r="D964" s="79"/>
      <c r="J964" s="79"/>
      <c r="N964" s="79"/>
      <c r="S964" s="79"/>
      <c r="V964" s="130"/>
      <c r="X964" s="106"/>
    </row>
    <row r="965">
      <c r="C965" s="79"/>
      <c r="D965" s="79"/>
      <c r="J965" s="79"/>
      <c r="N965" s="79"/>
      <c r="S965" s="79"/>
      <c r="V965" s="130"/>
      <c r="X965" s="106"/>
    </row>
    <row r="966">
      <c r="C966" s="79"/>
      <c r="D966" s="79"/>
      <c r="J966" s="79"/>
      <c r="N966" s="79"/>
      <c r="S966" s="79"/>
      <c r="V966" s="130"/>
      <c r="X966" s="106"/>
    </row>
    <row r="967">
      <c r="C967" s="79"/>
      <c r="D967" s="79"/>
      <c r="J967" s="79"/>
      <c r="N967" s="79"/>
      <c r="S967" s="79"/>
      <c r="V967" s="130"/>
      <c r="X967" s="106"/>
    </row>
    <row r="968">
      <c r="C968" s="79"/>
      <c r="D968" s="79"/>
      <c r="J968" s="79"/>
      <c r="N968" s="79"/>
      <c r="S968" s="79"/>
      <c r="V968" s="130"/>
      <c r="X968" s="106"/>
    </row>
    <row r="969">
      <c r="C969" s="79"/>
      <c r="D969" s="79"/>
      <c r="J969" s="79"/>
      <c r="N969" s="79"/>
      <c r="S969" s="79"/>
      <c r="V969" s="130"/>
      <c r="X969" s="106"/>
    </row>
    <row r="970">
      <c r="C970" s="79"/>
      <c r="D970" s="79"/>
      <c r="J970" s="79"/>
      <c r="N970" s="79"/>
      <c r="S970" s="79"/>
      <c r="V970" s="130"/>
      <c r="X970" s="106"/>
    </row>
    <row r="971">
      <c r="C971" s="79"/>
      <c r="D971" s="79"/>
      <c r="J971" s="79"/>
      <c r="N971" s="79"/>
      <c r="S971" s="79"/>
      <c r="V971" s="130"/>
      <c r="X971" s="106"/>
    </row>
    <row r="972">
      <c r="C972" s="79"/>
      <c r="D972" s="79"/>
      <c r="J972" s="79"/>
      <c r="N972" s="79"/>
      <c r="S972" s="79"/>
      <c r="V972" s="130"/>
      <c r="X972" s="106"/>
    </row>
    <row r="973">
      <c r="C973" s="79"/>
      <c r="D973" s="79"/>
      <c r="J973" s="79"/>
      <c r="N973" s="79"/>
      <c r="S973" s="79"/>
      <c r="V973" s="130"/>
      <c r="X973" s="106"/>
    </row>
    <row r="974">
      <c r="C974" s="79"/>
      <c r="D974" s="79"/>
      <c r="J974" s="79"/>
      <c r="N974" s="79"/>
      <c r="S974" s="79"/>
      <c r="V974" s="130"/>
      <c r="X974" s="106"/>
    </row>
    <row r="975">
      <c r="C975" s="79"/>
      <c r="D975" s="79"/>
      <c r="J975" s="79"/>
      <c r="N975" s="79"/>
      <c r="S975" s="79"/>
      <c r="V975" s="130"/>
      <c r="X975" s="106"/>
    </row>
    <row r="976">
      <c r="C976" s="79"/>
      <c r="D976" s="79"/>
      <c r="J976" s="79"/>
      <c r="N976" s="79"/>
      <c r="S976" s="79"/>
      <c r="V976" s="130"/>
      <c r="X976" s="106"/>
    </row>
    <row r="977">
      <c r="C977" s="79"/>
      <c r="D977" s="79"/>
      <c r="J977" s="79"/>
      <c r="N977" s="79"/>
      <c r="S977" s="79"/>
      <c r="V977" s="130"/>
      <c r="X977" s="106"/>
    </row>
    <row r="978">
      <c r="C978" s="79"/>
      <c r="D978" s="79"/>
      <c r="J978" s="79"/>
      <c r="N978" s="79"/>
      <c r="S978" s="79"/>
      <c r="V978" s="130"/>
      <c r="X978" s="106"/>
    </row>
    <row r="979">
      <c r="C979" s="79"/>
      <c r="D979" s="79"/>
      <c r="J979" s="79"/>
      <c r="N979" s="79"/>
      <c r="S979" s="79"/>
      <c r="V979" s="130"/>
      <c r="X979" s="106"/>
    </row>
    <row r="980">
      <c r="C980" s="79"/>
      <c r="D980" s="79"/>
      <c r="J980" s="79"/>
      <c r="N980" s="79"/>
      <c r="S980" s="79"/>
      <c r="V980" s="130"/>
      <c r="X980" s="106"/>
    </row>
    <row r="981">
      <c r="C981" s="79"/>
      <c r="D981" s="79"/>
      <c r="J981" s="79"/>
      <c r="N981" s="79"/>
      <c r="S981" s="79"/>
      <c r="V981" s="130"/>
      <c r="X981" s="106"/>
    </row>
    <row r="982">
      <c r="C982" s="79"/>
      <c r="D982" s="79"/>
      <c r="J982" s="79"/>
      <c r="N982" s="79"/>
      <c r="S982" s="79"/>
      <c r="V982" s="130"/>
      <c r="X982" s="106"/>
    </row>
    <row r="983">
      <c r="C983" s="79"/>
      <c r="D983" s="79"/>
      <c r="J983" s="79"/>
      <c r="N983" s="79"/>
      <c r="S983" s="79"/>
      <c r="V983" s="130"/>
      <c r="X983" s="106"/>
    </row>
    <row r="984">
      <c r="C984" s="79"/>
      <c r="D984" s="79"/>
      <c r="J984" s="79"/>
      <c r="N984" s="79"/>
      <c r="S984" s="79"/>
      <c r="V984" s="130"/>
      <c r="X984" s="106"/>
    </row>
    <row r="985">
      <c r="C985" s="79"/>
      <c r="D985" s="79"/>
      <c r="J985" s="79"/>
      <c r="N985" s="79"/>
      <c r="S985" s="79"/>
      <c r="V985" s="130"/>
      <c r="X985" s="106"/>
    </row>
    <row r="986">
      <c r="C986" s="79"/>
      <c r="D986" s="79"/>
      <c r="J986" s="79"/>
      <c r="N986" s="79"/>
      <c r="S986" s="79"/>
      <c r="V986" s="130"/>
      <c r="X986" s="106"/>
    </row>
    <row r="987">
      <c r="C987" s="79"/>
      <c r="D987" s="79"/>
      <c r="J987" s="79"/>
      <c r="N987" s="79"/>
      <c r="S987" s="79"/>
      <c r="V987" s="130"/>
      <c r="X987" s="106"/>
    </row>
    <row r="988">
      <c r="C988" s="79"/>
      <c r="D988" s="79"/>
      <c r="J988" s="79"/>
      <c r="N988" s="79"/>
      <c r="S988" s="79"/>
      <c r="V988" s="130"/>
      <c r="X988" s="106"/>
    </row>
    <row r="989">
      <c r="C989" s="79"/>
      <c r="D989" s="79"/>
      <c r="J989" s="79"/>
      <c r="N989" s="79"/>
      <c r="S989" s="79"/>
      <c r="V989" s="130"/>
      <c r="X989" s="106"/>
    </row>
    <row r="990">
      <c r="C990" s="79"/>
      <c r="D990" s="79"/>
      <c r="J990" s="79"/>
      <c r="N990" s="79"/>
      <c r="S990" s="79"/>
      <c r="V990" s="130"/>
      <c r="X990" s="106"/>
    </row>
    <row r="991">
      <c r="C991" s="79"/>
      <c r="D991" s="79"/>
      <c r="J991" s="79"/>
      <c r="N991" s="79"/>
      <c r="S991" s="79"/>
      <c r="V991" s="130"/>
      <c r="X991" s="106"/>
    </row>
    <row r="992">
      <c r="C992" s="79"/>
      <c r="D992" s="79"/>
      <c r="J992" s="79"/>
      <c r="N992" s="79"/>
      <c r="S992" s="79"/>
      <c r="V992" s="130"/>
      <c r="X992" s="106"/>
    </row>
    <row r="993">
      <c r="C993" s="79"/>
      <c r="D993" s="79"/>
      <c r="J993" s="79"/>
      <c r="N993" s="79"/>
      <c r="S993" s="79"/>
      <c r="V993" s="130"/>
      <c r="X993" s="106"/>
    </row>
    <row r="994">
      <c r="C994" s="79"/>
      <c r="D994" s="79"/>
      <c r="J994" s="79"/>
      <c r="N994" s="79"/>
      <c r="S994" s="79"/>
      <c r="V994" s="130"/>
      <c r="X994" s="106"/>
    </row>
    <row r="995">
      <c r="C995" s="79"/>
      <c r="D995" s="79"/>
      <c r="J995" s="79"/>
      <c r="N995" s="79"/>
      <c r="S995" s="79"/>
      <c r="V995" s="130"/>
      <c r="X995" s="106"/>
    </row>
    <row r="996">
      <c r="C996" s="79"/>
      <c r="D996" s="79"/>
      <c r="J996" s="79"/>
      <c r="N996" s="79"/>
      <c r="S996" s="79"/>
      <c r="V996" s="130"/>
      <c r="X996" s="106"/>
    </row>
    <row r="997">
      <c r="C997" s="79"/>
      <c r="D997" s="79"/>
      <c r="J997" s="79"/>
      <c r="N997" s="79"/>
      <c r="S997" s="79"/>
      <c r="V997" s="130"/>
      <c r="X997" s="106"/>
    </row>
    <row r="998">
      <c r="C998" s="79"/>
      <c r="D998" s="79"/>
      <c r="J998" s="79"/>
      <c r="N998" s="79"/>
      <c r="S998" s="79"/>
      <c r="V998" s="130"/>
      <c r="X998" s="106"/>
    </row>
    <row r="999">
      <c r="C999" s="79"/>
      <c r="D999" s="79"/>
      <c r="J999" s="79"/>
      <c r="N999" s="79"/>
      <c r="S999" s="79"/>
      <c r="V999" s="130"/>
      <c r="X999" s="106"/>
    </row>
    <row r="1000">
      <c r="C1000" s="79"/>
      <c r="D1000" s="79"/>
      <c r="J1000" s="79"/>
      <c r="N1000" s="79"/>
      <c r="S1000" s="79"/>
      <c r="V1000" s="130"/>
      <c r="X1000" s="106"/>
    </row>
  </sheetData>
  <mergeCells count="1">
    <mergeCell ref="H19:J19"/>
  </mergeCells>
  <drawing r:id="rId2"/>
  <legacyDrawing r:id="rId3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5" max="25" width="17.0"/>
  </cols>
  <sheetData>
    <row r="1">
      <c r="B1" s="2" t="s">
        <v>0</v>
      </c>
      <c r="C1" s="105" t="s">
        <v>1</v>
      </c>
      <c r="D1" s="105" t="s">
        <v>7</v>
      </c>
      <c r="E1" s="2" t="s">
        <v>3</v>
      </c>
      <c r="F1" s="2" t="s">
        <v>129</v>
      </c>
      <c r="G1" s="2" t="s">
        <v>5</v>
      </c>
      <c r="H1" s="2" t="s">
        <v>6</v>
      </c>
      <c r="I1" s="2" t="s">
        <v>43</v>
      </c>
      <c r="J1" s="105" t="s">
        <v>40</v>
      </c>
      <c r="K1" s="2" t="s">
        <v>49</v>
      </c>
      <c r="L1" s="2" t="s">
        <v>42</v>
      </c>
      <c r="M1" s="2" t="s">
        <v>165</v>
      </c>
      <c r="N1" s="2" t="s">
        <v>121</v>
      </c>
      <c r="O1" s="2" t="s">
        <v>164</v>
      </c>
      <c r="P1" s="105" t="s">
        <v>9</v>
      </c>
      <c r="Q1" s="2" t="s">
        <v>37</v>
      </c>
      <c r="R1" s="2" t="s">
        <v>10</v>
      </c>
      <c r="S1" s="105" t="s">
        <v>11</v>
      </c>
      <c r="T1" s="105" t="s">
        <v>167</v>
      </c>
      <c r="U1" s="2" t="s">
        <v>12</v>
      </c>
      <c r="V1" s="3" t="s">
        <v>13</v>
      </c>
      <c r="W1" s="126" t="s">
        <v>14</v>
      </c>
      <c r="X1" s="3" t="s">
        <v>15</v>
      </c>
      <c r="Y1" s="106"/>
    </row>
    <row r="2">
      <c r="A2" s="74">
        <v>45124.0</v>
      </c>
      <c r="B2" s="5">
        <v>1695.44</v>
      </c>
      <c r="C2" s="93">
        <v>931.6</v>
      </c>
      <c r="D2" s="93"/>
      <c r="E2" s="5"/>
      <c r="F2" s="5"/>
      <c r="G2" s="5"/>
      <c r="H2" s="5"/>
      <c r="I2" s="5"/>
      <c r="J2" s="136">
        <v>991.91</v>
      </c>
      <c r="K2" s="5">
        <v>168.0</v>
      </c>
      <c r="L2" s="5"/>
      <c r="M2" s="5"/>
      <c r="N2" s="5"/>
      <c r="O2" s="5">
        <v>252.0</v>
      </c>
      <c r="P2" s="93">
        <v>307.0</v>
      </c>
      <c r="Q2" s="5"/>
      <c r="R2" s="5"/>
      <c r="S2" s="93">
        <v>109.97</v>
      </c>
      <c r="T2" s="93"/>
      <c r="U2" s="5"/>
      <c r="V2" s="107">
        <f t="shared" ref="V2:V7" si="1">SUM(B2:U2)</f>
        <v>4455.92</v>
      </c>
      <c r="W2" s="108">
        <v>7928.4</v>
      </c>
      <c r="X2" s="59">
        <f t="shared" ref="X2:X8" si="2">V2/W2</f>
        <v>0.5620200797</v>
      </c>
      <c r="Y2" s="109">
        <f t="shared" ref="Y2:Y8" si="3">A2</f>
        <v>45124</v>
      </c>
    </row>
    <row r="3">
      <c r="A3" s="74">
        <v>45125.0</v>
      </c>
      <c r="B3" s="5">
        <v>1269.8</v>
      </c>
      <c r="C3" s="110">
        <v>211.81</v>
      </c>
      <c r="D3" s="93"/>
      <c r="E3" s="5">
        <v>280.0</v>
      </c>
      <c r="F3" s="5">
        <v>261.49</v>
      </c>
      <c r="G3" s="5"/>
      <c r="H3" s="5">
        <v>42.0</v>
      </c>
      <c r="I3" s="5"/>
      <c r="J3" s="93"/>
      <c r="K3" s="5"/>
      <c r="L3" s="5"/>
      <c r="M3" s="5">
        <v>60.0</v>
      </c>
      <c r="N3" s="6"/>
      <c r="O3" s="6"/>
      <c r="P3" s="93">
        <v>775.0</v>
      </c>
      <c r="Q3" s="93"/>
      <c r="R3" s="5"/>
      <c r="S3" s="93"/>
      <c r="T3" s="93"/>
      <c r="U3" s="93">
        <v>179.96</v>
      </c>
      <c r="V3" s="7">
        <f t="shared" si="1"/>
        <v>3080.06</v>
      </c>
      <c r="W3" s="97">
        <v>7929.5</v>
      </c>
      <c r="X3" s="59">
        <f t="shared" si="2"/>
        <v>0.3884305442</v>
      </c>
      <c r="Y3" s="109">
        <f t="shared" si="3"/>
        <v>45125</v>
      </c>
    </row>
    <row r="4">
      <c r="A4" s="74">
        <v>45126.0</v>
      </c>
      <c r="B4" s="5">
        <v>783.93</v>
      </c>
      <c r="C4" s="93">
        <v>726.17</v>
      </c>
      <c r="D4" s="93"/>
      <c r="E4" s="5"/>
      <c r="F4" s="5">
        <v>1105.5</v>
      </c>
      <c r="G4" s="5">
        <v>388.5</v>
      </c>
      <c r="H4" s="5"/>
      <c r="I4" s="5"/>
      <c r="J4" s="93"/>
      <c r="K4" s="5"/>
      <c r="L4" s="5"/>
      <c r="M4" s="5"/>
      <c r="N4" s="5">
        <v>18.5</v>
      </c>
      <c r="O4" s="5"/>
      <c r="P4" s="93"/>
      <c r="Q4" s="5"/>
      <c r="R4" s="83"/>
      <c r="S4" s="93">
        <v>109.97</v>
      </c>
      <c r="T4" s="93">
        <v>245.0</v>
      </c>
      <c r="U4" s="6"/>
      <c r="V4" s="7">
        <f t="shared" si="1"/>
        <v>3377.57</v>
      </c>
      <c r="W4" s="97">
        <v>9671.1</v>
      </c>
      <c r="X4" s="59">
        <f t="shared" si="2"/>
        <v>0.3492436228</v>
      </c>
      <c r="Y4" s="109">
        <f t="shared" si="3"/>
        <v>45126</v>
      </c>
    </row>
    <row r="5">
      <c r="A5" s="74">
        <v>45127.0</v>
      </c>
      <c r="B5" s="5">
        <v>1354.25</v>
      </c>
      <c r="C5" s="93">
        <v>1025.09</v>
      </c>
      <c r="D5" s="101"/>
      <c r="E5" s="5"/>
      <c r="F5" s="5"/>
      <c r="G5" s="5"/>
      <c r="H5" s="5">
        <v>123.0</v>
      </c>
      <c r="I5" s="5"/>
      <c r="J5" s="93"/>
      <c r="K5" s="5"/>
      <c r="L5" s="5"/>
      <c r="M5" s="5"/>
      <c r="N5" s="5">
        <v>18.5</v>
      </c>
      <c r="O5" s="5"/>
      <c r="P5" s="93">
        <v>152.0</v>
      </c>
      <c r="Q5" s="5"/>
      <c r="R5" s="5"/>
      <c r="S5" s="101"/>
      <c r="T5" s="101"/>
      <c r="U5" s="6"/>
      <c r="V5" s="7">
        <f t="shared" si="1"/>
        <v>2672.84</v>
      </c>
      <c r="W5" s="98">
        <v>11002.6</v>
      </c>
      <c r="X5" s="59">
        <f t="shared" si="2"/>
        <v>0.2429280352</v>
      </c>
      <c r="Y5" s="109">
        <f t="shared" si="3"/>
        <v>45127</v>
      </c>
    </row>
    <row r="6">
      <c r="A6" s="74">
        <v>45128.0</v>
      </c>
      <c r="B6" s="5">
        <v>1210.47</v>
      </c>
      <c r="C6" s="93">
        <v>539.4</v>
      </c>
      <c r="D6" s="93"/>
      <c r="E6" s="5"/>
      <c r="F6" s="32">
        <v>448.39</v>
      </c>
      <c r="G6" s="5">
        <v>1200.6</v>
      </c>
      <c r="H6" s="5"/>
      <c r="I6" s="5"/>
      <c r="J6" s="111"/>
      <c r="K6" s="5"/>
      <c r="L6" s="5"/>
      <c r="M6" s="5"/>
      <c r="N6" s="5">
        <v>18.5</v>
      </c>
      <c r="O6" s="5"/>
      <c r="P6" s="93"/>
      <c r="Q6" s="5"/>
      <c r="R6" s="5"/>
      <c r="S6" s="93">
        <v>109.97</v>
      </c>
      <c r="T6" s="93"/>
      <c r="U6" s="5"/>
      <c r="V6" s="7">
        <f t="shared" si="1"/>
        <v>3527.33</v>
      </c>
      <c r="W6" s="97">
        <v>14129.9</v>
      </c>
      <c r="X6" s="59">
        <f t="shared" si="2"/>
        <v>0.2496358785</v>
      </c>
      <c r="Y6" s="109">
        <f t="shared" si="3"/>
        <v>45128</v>
      </c>
    </row>
    <row r="7">
      <c r="A7" s="74">
        <v>45129.0</v>
      </c>
      <c r="B7" s="5">
        <v>1235.3</v>
      </c>
      <c r="C7" s="93">
        <v>216.94</v>
      </c>
      <c r="D7" s="93"/>
      <c r="E7" s="5"/>
      <c r="F7" s="5"/>
      <c r="G7" s="5"/>
      <c r="H7" s="5"/>
      <c r="I7" s="5"/>
      <c r="J7" s="101"/>
      <c r="K7" s="5"/>
      <c r="L7" s="5"/>
      <c r="M7" s="5"/>
      <c r="N7" s="93"/>
      <c r="O7" s="93"/>
      <c r="P7" s="93">
        <v>1155.0</v>
      </c>
      <c r="Q7" s="6"/>
      <c r="R7" s="6"/>
      <c r="S7" s="101"/>
      <c r="T7" s="101"/>
      <c r="U7" s="5">
        <v>79.8</v>
      </c>
      <c r="V7" s="7">
        <f t="shared" si="1"/>
        <v>2687.04</v>
      </c>
      <c r="W7" s="97">
        <v>16643.5</v>
      </c>
      <c r="X7" s="59">
        <f t="shared" si="2"/>
        <v>0.1614468111</v>
      </c>
      <c r="Y7" s="109">
        <f t="shared" si="3"/>
        <v>45129</v>
      </c>
    </row>
    <row r="8">
      <c r="A8" s="74">
        <v>45130.0</v>
      </c>
      <c r="B8" s="10" t="s">
        <v>21</v>
      </c>
      <c r="C8" s="112" t="s">
        <v>21</v>
      </c>
      <c r="D8" s="112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12" t="s">
        <v>21</v>
      </c>
      <c r="K8" s="10" t="s">
        <v>21</v>
      </c>
      <c r="L8" s="10" t="s">
        <v>21</v>
      </c>
      <c r="M8" s="10"/>
      <c r="N8" s="10"/>
      <c r="O8" s="10"/>
      <c r="P8" s="112" t="s">
        <v>21</v>
      </c>
      <c r="Q8" s="10" t="s">
        <v>21</v>
      </c>
      <c r="R8" s="10" t="s">
        <v>21</v>
      </c>
      <c r="S8" s="112" t="s">
        <v>21</v>
      </c>
      <c r="T8" s="112"/>
      <c r="U8" s="10" t="s">
        <v>21</v>
      </c>
      <c r="V8" s="7">
        <v>0.0</v>
      </c>
      <c r="W8" s="97"/>
      <c r="X8" s="59" t="str">
        <f t="shared" si="2"/>
        <v>#DIV/0!</v>
      </c>
      <c r="Y8" s="109">
        <f t="shared" si="3"/>
        <v>45130</v>
      </c>
    </row>
    <row r="9">
      <c r="C9" s="137">
        <v>920.19</v>
      </c>
      <c r="D9" s="138" t="s">
        <v>168</v>
      </c>
      <c r="E9" s="32" t="s">
        <v>169</v>
      </c>
      <c r="J9" s="79"/>
      <c r="P9" s="139">
        <f>SUM(P2:P8)</f>
        <v>2389</v>
      </c>
      <c r="S9" s="79"/>
      <c r="T9" s="79"/>
      <c r="W9" s="129"/>
      <c r="Y9" s="106"/>
    </row>
    <row r="10">
      <c r="C10" s="79"/>
      <c r="D10" s="79"/>
      <c r="J10" s="79"/>
      <c r="P10" s="79"/>
      <c r="S10" s="79"/>
      <c r="T10" s="79"/>
      <c r="W10" s="130"/>
      <c r="Y10" s="106"/>
    </row>
    <row r="11">
      <c r="A11" s="4" t="s">
        <v>22</v>
      </c>
      <c r="B11" s="11">
        <v>13000.0</v>
      </c>
      <c r="C11" s="79"/>
      <c r="D11" s="79"/>
      <c r="E11" s="78"/>
      <c r="F11" s="79"/>
      <c r="J11" s="79"/>
      <c r="P11" s="79"/>
      <c r="S11" s="79"/>
      <c r="T11" s="79"/>
      <c r="W11" s="131"/>
      <c r="Y11" s="106"/>
    </row>
    <row r="12">
      <c r="A12" s="4" t="s">
        <v>23</v>
      </c>
      <c r="B12" s="12">
        <f>SUM(B2:U8)+C9</f>
        <v>20720.95</v>
      </c>
      <c r="C12" s="79"/>
      <c r="D12" s="79"/>
      <c r="E12" s="56"/>
      <c r="J12" s="79"/>
      <c r="P12" s="79"/>
      <c r="S12" s="79"/>
      <c r="T12" s="79"/>
      <c r="W12" s="130"/>
      <c r="Y12" s="106"/>
    </row>
    <row r="13">
      <c r="A13" s="4" t="s">
        <v>24</v>
      </c>
      <c r="B13" s="12">
        <f> SUM(B11-B12)</f>
        <v>-7720.95</v>
      </c>
      <c r="C13" s="79"/>
      <c r="D13" s="79"/>
      <c r="J13" s="79"/>
      <c r="P13" s="79"/>
      <c r="S13" s="79"/>
      <c r="T13" s="79"/>
      <c r="W13" s="130"/>
      <c r="Y13" s="106"/>
    </row>
    <row r="14">
      <c r="C14" s="79"/>
      <c r="D14" s="79"/>
      <c r="J14" s="79"/>
      <c r="P14" s="79"/>
      <c r="S14" s="79"/>
      <c r="T14" s="79"/>
      <c r="W14" s="130"/>
      <c r="Y14" s="106"/>
    </row>
    <row r="15">
      <c r="A15" s="13" t="s">
        <v>25</v>
      </c>
      <c r="B15" s="14">
        <f>SUM(W2:W8)</f>
        <v>67305</v>
      </c>
      <c r="C15" s="79"/>
      <c r="D15" s="79"/>
      <c r="J15" s="79"/>
      <c r="P15" s="79"/>
      <c r="S15" s="79"/>
      <c r="T15" s="79"/>
      <c r="W15" s="130"/>
      <c r="Y15" s="106"/>
    </row>
    <row r="16">
      <c r="A16" s="13" t="s">
        <v>26</v>
      </c>
      <c r="B16" s="15">
        <f>B12/B15</f>
        <v>0.3078664289</v>
      </c>
      <c r="C16" s="79"/>
      <c r="D16" s="79"/>
      <c r="J16" s="79"/>
      <c r="P16" s="79"/>
      <c r="S16" s="79"/>
      <c r="T16" s="79"/>
      <c r="W16" s="130"/>
      <c r="Y16" s="106"/>
    </row>
    <row r="17">
      <c r="C17" s="79"/>
      <c r="D17" s="79"/>
      <c r="J17" s="79"/>
      <c r="P17" s="79"/>
      <c r="S17" s="79"/>
      <c r="T17" s="79"/>
      <c r="W17" s="130"/>
      <c r="Y17" s="106"/>
    </row>
    <row r="18">
      <c r="C18" s="79"/>
      <c r="D18" s="79"/>
      <c r="J18" s="79"/>
      <c r="P18" s="79"/>
      <c r="S18" s="79"/>
      <c r="T18" s="79"/>
      <c r="W18" s="130"/>
      <c r="Y18" s="106"/>
    </row>
    <row r="19">
      <c r="A19" s="16" t="s">
        <v>27</v>
      </c>
      <c r="B19" s="17"/>
      <c r="C19" s="114"/>
      <c r="D19" s="115"/>
      <c r="H19" s="84"/>
      <c r="P19" s="79"/>
      <c r="S19" s="79"/>
      <c r="T19" s="79"/>
      <c r="W19" s="130"/>
      <c r="Y19" s="106"/>
    </row>
    <row r="20">
      <c r="A20" s="19" t="s">
        <v>28</v>
      </c>
      <c r="B20" s="20"/>
      <c r="C20" s="116"/>
      <c r="D20" s="117"/>
      <c r="H20" s="85"/>
      <c r="I20" s="85"/>
      <c r="J20" s="118"/>
      <c r="P20" s="79"/>
      <c r="S20" s="79"/>
      <c r="T20" s="79"/>
      <c r="W20" s="130"/>
      <c r="Y20" s="106"/>
    </row>
    <row r="21">
      <c r="A21" s="22" t="s">
        <v>29</v>
      </c>
      <c r="B21" s="23" t="s">
        <v>30</v>
      </c>
      <c r="C21" s="119" t="s">
        <v>170</v>
      </c>
      <c r="D21" s="120" t="s">
        <v>171</v>
      </c>
      <c r="H21" s="86"/>
      <c r="I21" s="85"/>
      <c r="J21" s="118"/>
      <c r="P21" s="79"/>
      <c r="S21" s="79"/>
      <c r="T21" s="79"/>
      <c r="W21" s="130"/>
      <c r="Y21" s="106"/>
    </row>
    <row r="22">
      <c r="A22" s="28" t="s">
        <v>149</v>
      </c>
      <c r="B22" s="72"/>
      <c r="C22" s="121"/>
      <c r="D22" s="122"/>
      <c r="H22" s="87"/>
      <c r="I22" s="85"/>
      <c r="J22" s="118"/>
      <c r="P22" s="79"/>
      <c r="S22" s="79"/>
      <c r="T22" s="79"/>
      <c r="W22" s="130"/>
      <c r="Y22" s="106"/>
    </row>
    <row r="23">
      <c r="A23" s="28" t="s">
        <v>150</v>
      </c>
      <c r="B23" s="72"/>
      <c r="C23" s="121"/>
      <c r="D23" s="122"/>
      <c r="H23" s="88"/>
      <c r="I23" s="88"/>
      <c r="J23" s="123"/>
      <c r="P23" s="79"/>
      <c r="S23" s="79"/>
      <c r="T23" s="79"/>
      <c r="W23" s="130"/>
      <c r="Y23" s="106"/>
    </row>
    <row r="24">
      <c r="A24" s="71" t="s">
        <v>108</v>
      </c>
      <c r="B24" s="72"/>
      <c r="C24" s="71"/>
      <c r="D24" s="124"/>
      <c r="H24" s="88"/>
      <c r="I24" s="88"/>
      <c r="J24" s="123"/>
      <c r="P24" s="79"/>
      <c r="S24" s="79"/>
      <c r="T24" s="79"/>
      <c r="W24" s="130"/>
      <c r="Y24" s="106"/>
    </row>
    <row r="25">
      <c r="A25" s="28" t="s">
        <v>159</v>
      </c>
      <c r="B25" s="41"/>
      <c r="C25" s="121"/>
      <c r="D25" s="124"/>
      <c r="H25" s="88"/>
      <c r="I25" s="88"/>
      <c r="J25" s="123"/>
      <c r="P25" s="79"/>
      <c r="S25" s="79"/>
      <c r="T25" s="79"/>
      <c r="W25" s="130"/>
      <c r="Y25" s="106"/>
    </row>
    <row r="26">
      <c r="A26" s="28" t="s">
        <v>160</v>
      </c>
      <c r="B26" s="41"/>
      <c r="C26" s="71"/>
      <c r="D26" s="124"/>
      <c r="H26" s="88"/>
      <c r="I26" s="88"/>
      <c r="J26" s="123"/>
      <c r="P26" s="79"/>
      <c r="S26" s="79"/>
      <c r="T26" s="79"/>
      <c r="W26" s="130"/>
      <c r="Y26" s="106"/>
    </row>
    <row r="27">
      <c r="A27" s="28" t="s">
        <v>172</v>
      </c>
      <c r="B27" s="41">
        <v>512.83</v>
      </c>
      <c r="C27" s="71" t="s">
        <v>173</v>
      </c>
      <c r="D27" s="122"/>
      <c r="H27" s="88"/>
      <c r="I27" s="88"/>
      <c r="J27" s="123"/>
      <c r="P27" s="79"/>
      <c r="S27" s="79"/>
      <c r="T27" s="79"/>
      <c r="W27" s="130"/>
      <c r="Y27" s="106"/>
    </row>
    <row r="28">
      <c r="A28" s="25"/>
      <c r="B28" s="26"/>
      <c r="C28" s="121"/>
      <c r="D28" s="122"/>
      <c r="J28" s="79"/>
      <c r="P28" s="79"/>
      <c r="S28" s="79"/>
      <c r="T28" s="79"/>
      <c r="W28" s="132"/>
      <c r="Y28" s="106"/>
    </row>
    <row r="29">
      <c r="A29" s="25"/>
      <c r="B29" s="26"/>
      <c r="C29" s="121"/>
      <c r="D29" s="122"/>
      <c r="I29" s="89"/>
      <c r="J29" s="125"/>
      <c r="P29" s="79"/>
      <c r="S29" s="79"/>
      <c r="T29" s="79"/>
      <c r="W29" s="130"/>
      <c r="Y29" s="106"/>
    </row>
    <row r="30">
      <c r="C30" s="79"/>
      <c r="D30" s="79"/>
      <c r="J30" s="79"/>
      <c r="P30" s="79"/>
      <c r="S30" s="79"/>
      <c r="T30" s="79"/>
      <c r="W30" s="130"/>
      <c r="Y30" s="106"/>
    </row>
    <row r="31">
      <c r="C31" s="79"/>
      <c r="D31" s="79"/>
      <c r="J31" s="79"/>
      <c r="P31" s="79"/>
      <c r="S31" s="79"/>
      <c r="T31" s="79"/>
      <c r="W31" s="130"/>
      <c r="Y31" s="106"/>
    </row>
    <row r="32">
      <c r="C32" s="79"/>
      <c r="D32" s="79"/>
      <c r="J32" s="79"/>
      <c r="P32" s="79"/>
      <c r="S32" s="79"/>
      <c r="T32" s="79"/>
      <c r="W32" s="130"/>
      <c r="Y32" s="106"/>
    </row>
    <row r="33">
      <c r="C33" s="79"/>
      <c r="D33" s="79"/>
      <c r="J33" s="79"/>
      <c r="P33" s="79"/>
      <c r="S33" s="79"/>
      <c r="T33" s="79"/>
      <c r="W33" s="130"/>
      <c r="Y33" s="106"/>
    </row>
    <row r="34">
      <c r="C34" s="79"/>
      <c r="D34" s="79"/>
      <c r="J34" s="79"/>
      <c r="P34" s="79"/>
      <c r="S34" s="79"/>
      <c r="T34" s="79"/>
      <c r="W34" s="130"/>
      <c r="Y34" s="106"/>
    </row>
    <row r="35">
      <c r="C35" s="79"/>
      <c r="D35" s="79"/>
      <c r="J35" s="79"/>
      <c r="P35" s="79"/>
      <c r="S35" s="79"/>
      <c r="T35" s="79"/>
      <c r="W35" s="130"/>
      <c r="Y35" s="106"/>
    </row>
    <row r="36">
      <c r="C36" s="79"/>
      <c r="D36" s="79"/>
      <c r="J36" s="79"/>
      <c r="P36" s="79"/>
      <c r="S36" s="79"/>
      <c r="T36" s="79"/>
      <c r="W36" s="130"/>
      <c r="Y36" s="106"/>
    </row>
    <row r="37">
      <c r="C37" s="79"/>
      <c r="D37" s="79"/>
      <c r="J37" s="79"/>
      <c r="P37" s="79"/>
      <c r="S37" s="79"/>
      <c r="T37" s="79"/>
      <c r="W37" s="130"/>
      <c r="Y37" s="106"/>
    </row>
    <row r="38">
      <c r="C38" s="79"/>
      <c r="D38" s="79"/>
      <c r="J38" s="79"/>
      <c r="P38" s="79"/>
      <c r="S38" s="79"/>
      <c r="T38" s="79"/>
      <c r="W38" s="130"/>
      <c r="Y38" s="106"/>
    </row>
    <row r="39">
      <c r="C39" s="79"/>
      <c r="D39" s="79"/>
      <c r="J39" s="79"/>
      <c r="P39" s="79"/>
      <c r="S39" s="79"/>
      <c r="T39" s="79"/>
      <c r="W39" s="130"/>
      <c r="Y39" s="106"/>
    </row>
    <row r="40">
      <c r="C40" s="79"/>
      <c r="D40" s="79"/>
      <c r="J40" s="79"/>
      <c r="P40" s="79"/>
      <c r="S40" s="79"/>
      <c r="T40" s="79"/>
      <c r="W40" s="130"/>
      <c r="Y40" s="106"/>
    </row>
    <row r="41">
      <c r="C41" s="79"/>
      <c r="D41" s="79"/>
      <c r="J41" s="79"/>
      <c r="P41" s="79"/>
      <c r="S41" s="79"/>
      <c r="T41" s="79"/>
      <c r="W41" s="130"/>
      <c r="Y41" s="106"/>
    </row>
    <row r="42">
      <c r="C42" s="79"/>
      <c r="D42" s="79"/>
      <c r="J42" s="79"/>
      <c r="P42" s="79"/>
      <c r="S42" s="79"/>
      <c r="T42" s="79"/>
      <c r="W42" s="130"/>
      <c r="Y42" s="106"/>
    </row>
    <row r="43">
      <c r="C43" s="79"/>
      <c r="D43" s="79"/>
      <c r="J43" s="79"/>
      <c r="P43" s="79"/>
      <c r="S43" s="79"/>
      <c r="T43" s="79"/>
      <c r="W43" s="130"/>
      <c r="Y43" s="106"/>
    </row>
    <row r="44">
      <c r="C44" s="79"/>
      <c r="D44" s="79"/>
      <c r="J44" s="79"/>
      <c r="P44" s="79"/>
      <c r="S44" s="79"/>
      <c r="T44" s="79"/>
      <c r="W44" s="130"/>
      <c r="Y44" s="106"/>
    </row>
    <row r="45">
      <c r="C45" s="79"/>
      <c r="D45" s="79"/>
      <c r="J45" s="79"/>
      <c r="P45" s="79"/>
      <c r="S45" s="79"/>
      <c r="T45" s="79"/>
      <c r="W45" s="130"/>
      <c r="Y45" s="106"/>
    </row>
    <row r="46">
      <c r="C46" s="79"/>
      <c r="D46" s="79"/>
      <c r="J46" s="79"/>
      <c r="P46" s="79"/>
      <c r="S46" s="79"/>
      <c r="T46" s="79"/>
      <c r="W46" s="130"/>
      <c r="Y46" s="106"/>
    </row>
    <row r="47">
      <c r="C47" s="79"/>
      <c r="D47" s="79"/>
      <c r="J47" s="79"/>
      <c r="P47" s="79"/>
      <c r="S47" s="79"/>
      <c r="T47" s="79"/>
      <c r="W47" s="130"/>
      <c r="Y47" s="106"/>
    </row>
    <row r="48">
      <c r="C48" s="79"/>
      <c r="D48" s="79"/>
      <c r="J48" s="79"/>
      <c r="P48" s="79"/>
      <c r="S48" s="79"/>
      <c r="T48" s="79"/>
      <c r="W48" s="130"/>
      <c r="Y48" s="106"/>
    </row>
    <row r="49">
      <c r="C49" s="79"/>
      <c r="D49" s="79"/>
      <c r="J49" s="79"/>
      <c r="P49" s="79"/>
      <c r="S49" s="79"/>
      <c r="T49" s="79"/>
      <c r="W49" s="130"/>
      <c r="Y49" s="106"/>
    </row>
    <row r="50">
      <c r="C50" s="79"/>
      <c r="D50" s="79"/>
      <c r="J50" s="79"/>
      <c r="P50" s="79"/>
      <c r="S50" s="79"/>
      <c r="T50" s="79"/>
      <c r="W50" s="130"/>
      <c r="Y50" s="106"/>
    </row>
    <row r="51">
      <c r="C51" s="79"/>
      <c r="D51" s="79"/>
      <c r="J51" s="79"/>
      <c r="P51" s="79"/>
      <c r="S51" s="79"/>
      <c r="T51" s="79"/>
      <c r="W51" s="130"/>
      <c r="Y51" s="106"/>
    </row>
    <row r="52">
      <c r="C52" s="79"/>
      <c r="D52" s="79"/>
      <c r="J52" s="79"/>
      <c r="P52" s="79"/>
      <c r="S52" s="79"/>
      <c r="T52" s="79"/>
      <c r="W52" s="130"/>
      <c r="Y52" s="106"/>
    </row>
    <row r="53">
      <c r="C53" s="79"/>
      <c r="D53" s="79"/>
      <c r="J53" s="79"/>
      <c r="P53" s="79"/>
      <c r="S53" s="79"/>
      <c r="T53" s="79"/>
      <c r="W53" s="130"/>
      <c r="Y53" s="106"/>
    </row>
    <row r="54">
      <c r="C54" s="79"/>
      <c r="D54" s="79"/>
      <c r="J54" s="79"/>
      <c r="P54" s="79"/>
      <c r="S54" s="79"/>
      <c r="T54" s="79"/>
      <c r="W54" s="130"/>
      <c r="Y54" s="106"/>
    </row>
    <row r="55">
      <c r="C55" s="79"/>
      <c r="D55" s="79"/>
      <c r="J55" s="79"/>
      <c r="P55" s="79"/>
      <c r="S55" s="79"/>
      <c r="T55" s="79"/>
      <c r="W55" s="130"/>
      <c r="Y55" s="106"/>
    </row>
    <row r="56">
      <c r="C56" s="79"/>
      <c r="D56" s="79"/>
      <c r="J56" s="79"/>
      <c r="P56" s="79"/>
      <c r="S56" s="79"/>
      <c r="T56" s="79"/>
      <c r="W56" s="130"/>
      <c r="Y56" s="106"/>
    </row>
    <row r="57">
      <c r="C57" s="79"/>
      <c r="D57" s="79"/>
      <c r="J57" s="79"/>
      <c r="P57" s="79"/>
      <c r="S57" s="79"/>
      <c r="T57" s="79"/>
      <c r="W57" s="130"/>
      <c r="Y57" s="106"/>
    </row>
    <row r="58">
      <c r="C58" s="79"/>
      <c r="D58" s="79"/>
      <c r="J58" s="79"/>
      <c r="P58" s="79"/>
      <c r="S58" s="79"/>
      <c r="T58" s="79"/>
      <c r="W58" s="130"/>
      <c r="Y58" s="106"/>
    </row>
    <row r="59">
      <c r="C59" s="79"/>
      <c r="D59" s="79"/>
      <c r="J59" s="79"/>
      <c r="P59" s="79"/>
      <c r="S59" s="79"/>
      <c r="T59" s="79"/>
      <c r="W59" s="130"/>
      <c r="Y59" s="106"/>
    </row>
    <row r="60">
      <c r="C60" s="79"/>
      <c r="D60" s="79"/>
      <c r="J60" s="79"/>
      <c r="P60" s="79"/>
      <c r="S60" s="79"/>
      <c r="T60" s="79"/>
      <c r="W60" s="130"/>
      <c r="Y60" s="106"/>
    </row>
    <row r="61">
      <c r="C61" s="79"/>
      <c r="D61" s="79"/>
      <c r="J61" s="79"/>
      <c r="P61" s="79"/>
      <c r="S61" s="79"/>
      <c r="T61" s="79"/>
      <c r="W61" s="130"/>
      <c r="Y61" s="106"/>
    </row>
    <row r="62">
      <c r="C62" s="79"/>
      <c r="D62" s="79"/>
      <c r="J62" s="79"/>
      <c r="P62" s="79"/>
      <c r="S62" s="79"/>
      <c r="T62" s="79"/>
      <c r="W62" s="130"/>
      <c r="Y62" s="106"/>
    </row>
    <row r="63">
      <c r="C63" s="79"/>
      <c r="D63" s="79"/>
      <c r="J63" s="79"/>
      <c r="P63" s="79"/>
      <c r="S63" s="79"/>
      <c r="T63" s="79"/>
      <c r="W63" s="130"/>
      <c r="Y63" s="106"/>
    </row>
    <row r="64">
      <c r="C64" s="79"/>
      <c r="D64" s="79"/>
      <c r="J64" s="79"/>
      <c r="P64" s="79"/>
      <c r="S64" s="79"/>
      <c r="T64" s="79"/>
      <c r="W64" s="130"/>
      <c r="Y64" s="106"/>
    </row>
    <row r="65">
      <c r="C65" s="79"/>
      <c r="D65" s="79"/>
      <c r="J65" s="79"/>
      <c r="P65" s="79"/>
      <c r="S65" s="79"/>
      <c r="T65" s="79"/>
      <c r="W65" s="130"/>
      <c r="Y65" s="106"/>
    </row>
    <row r="66">
      <c r="C66" s="79"/>
      <c r="D66" s="79"/>
      <c r="J66" s="79"/>
      <c r="P66" s="79"/>
      <c r="S66" s="79"/>
      <c r="T66" s="79"/>
      <c r="W66" s="130"/>
      <c r="Y66" s="106"/>
    </row>
    <row r="67">
      <c r="C67" s="79"/>
      <c r="D67" s="79"/>
      <c r="J67" s="79"/>
      <c r="P67" s="79"/>
      <c r="S67" s="79"/>
      <c r="T67" s="79"/>
      <c r="W67" s="130"/>
      <c r="Y67" s="106"/>
    </row>
    <row r="68">
      <c r="C68" s="79"/>
      <c r="D68" s="79"/>
      <c r="J68" s="79"/>
      <c r="P68" s="79"/>
      <c r="S68" s="79"/>
      <c r="T68" s="79"/>
      <c r="W68" s="130"/>
      <c r="Y68" s="106"/>
    </row>
    <row r="69">
      <c r="C69" s="79"/>
      <c r="D69" s="79"/>
      <c r="J69" s="79"/>
      <c r="P69" s="79"/>
      <c r="S69" s="79"/>
      <c r="T69" s="79"/>
      <c r="W69" s="130"/>
      <c r="Y69" s="106"/>
    </row>
    <row r="70">
      <c r="C70" s="79"/>
      <c r="D70" s="79"/>
      <c r="J70" s="79"/>
      <c r="P70" s="79"/>
      <c r="S70" s="79"/>
      <c r="T70" s="79"/>
      <c r="W70" s="130"/>
      <c r="Y70" s="106"/>
    </row>
    <row r="71">
      <c r="C71" s="79"/>
      <c r="D71" s="79"/>
      <c r="J71" s="79"/>
      <c r="P71" s="79"/>
      <c r="S71" s="79"/>
      <c r="T71" s="79"/>
      <c r="W71" s="130"/>
      <c r="Y71" s="106"/>
    </row>
    <row r="72">
      <c r="C72" s="79"/>
      <c r="D72" s="79"/>
      <c r="J72" s="79"/>
      <c r="P72" s="79"/>
      <c r="S72" s="79"/>
      <c r="T72" s="79"/>
      <c r="W72" s="130"/>
      <c r="Y72" s="106"/>
    </row>
    <row r="73">
      <c r="C73" s="79"/>
      <c r="D73" s="79"/>
      <c r="J73" s="79"/>
      <c r="P73" s="79"/>
      <c r="S73" s="79"/>
      <c r="T73" s="79"/>
      <c r="W73" s="130"/>
      <c r="Y73" s="106"/>
    </row>
    <row r="74">
      <c r="C74" s="79"/>
      <c r="D74" s="79"/>
      <c r="J74" s="79"/>
      <c r="P74" s="79"/>
      <c r="S74" s="79"/>
      <c r="T74" s="79"/>
      <c r="W74" s="130"/>
      <c r="Y74" s="106"/>
    </row>
    <row r="75">
      <c r="C75" s="79"/>
      <c r="D75" s="79"/>
      <c r="J75" s="79"/>
      <c r="P75" s="79"/>
      <c r="S75" s="79"/>
      <c r="T75" s="79"/>
      <c r="W75" s="130"/>
      <c r="Y75" s="106"/>
    </row>
    <row r="76">
      <c r="C76" s="79"/>
      <c r="D76" s="79"/>
      <c r="J76" s="79"/>
      <c r="P76" s="79"/>
      <c r="S76" s="79"/>
      <c r="T76" s="79"/>
      <c r="W76" s="130"/>
      <c r="Y76" s="106"/>
    </row>
    <row r="77">
      <c r="C77" s="79"/>
      <c r="D77" s="79"/>
      <c r="J77" s="79"/>
      <c r="P77" s="79"/>
      <c r="S77" s="79"/>
      <c r="T77" s="79"/>
      <c r="W77" s="130"/>
      <c r="Y77" s="106"/>
    </row>
    <row r="78">
      <c r="C78" s="79"/>
      <c r="D78" s="79"/>
      <c r="J78" s="79"/>
      <c r="P78" s="79"/>
      <c r="S78" s="79"/>
      <c r="T78" s="79"/>
      <c r="W78" s="130"/>
      <c r="Y78" s="106"/>
    </row>
    <row r="79">
      <c r="C79" s="79"/>
      <c r="D79" s="79"/>
      <c r="J79" s="79"/>
      <c r="P79" s="79"/>
      <c r="S79" s="79"/>
      <c r="T79" s="79"/>
      <c r="W79" s="130"/>
      <c r="Y79" s="106"/>
    </row>
    <row r="80">
      <c r="C80" s="79"/>
      <c r="D80" s="79"/>
      <c r="J80" s="79"/>
      <c r="P80" s="79"/>
      <c r="S80" s="79"/>
      <c r="T80" s="79"/>
      <c r="W80" s="130"/>
      <c r="Y80" s="106"/>
    </row>
    <row r="81">
      <c r="C81" s="79"/>
      <c r="D81" s="79"/>
      <c r="J81" s="79"/>
      <c r="P81" s="79"/>
      <c r="S81" s="79"/>
      <c r="T81" s="79"/>
      <c r="W81" s="130"/>
      <c r="Y81" s="106"/>
    </row>
    <row r="82">
      <c r="C82" s="79"/>
      <c r="D82" s="79"/>
      <c r="J82" s="79"/>
      <c r="P82" s="79"/>
      <c r="S82" s="79"/>
      <c r="T82" s="79"/>
      <c r="W82" s="130"/>
      <c r="Y82" s="106"/>
    </row>
    <row r="83">
      <c r="C83" s="79"/>
      <c r="D83" s="79"/>
      <c r="J83" s="79"/>
      <c r="P83" s="79"/>
      <c r="S83" s="79"/>
      <c r="T83" s="79"/>
      <c r="W83" s="130"/>
      <c r="Y83" s="106"/>
    </row>
    <row r="84">
      <c r="C84" s="79"/>
      <c r="D84" s="79"/>
      <c r="J84" s="79"/>
      <c r="P84" s="79"/>
      <c r="S84" s="79"/>
      <c r="T84" s="79"/>
      <c r="W84" s="130"/>
      <c r="Y84" s="106"/>
    </row>
    <row r="85">
      <c r="C85" s="79"/>
      <c r="D85" s="79"/>
      <c r="J85" s="79"/>
      <c r="P85" s="79"/>
      <c r="S85" s="79"/>
      <c r="T85" s="79"/>
      <c r="W85" s="130"/>
      <c r="Y85" s="106"/>
    </row>
    <row r="86">
      <c r="C86" s="79"/>
      <c r="D86" s="79"/>
      <c r="J86" s="79"/>
      <c r="P86" s="79"/>
      <c r="S86" s="79"/>
      <c r="T86" s="79"/>
      <c r="W86" s="130"/>
      <c r="Y86" s="106"/>
    </row>
    <row r="87">
      <c r="C87" s="79"/>
      <c r="D87" s="79"/>
      <c r="J87" s="79"/>
      <c r="P87" s="79"/>
      <c r="S87" s="79"/>
      <c r="T87" s="79"/>
      <c r="W87" s="130"/>
      <c r="Y87" s="106"/>
    </row>
    <row r="88">
      <c r="C88" s="79"/>
      <c r="D88" s="79"/>
      <c r="J88" s="79"/>
      <c r="P88" s="79"/>
      <c r="S88" s="79"/>
      <c r="T88" s="79"/>
      <c r="W88" s="130"/>
      <c r="Y88" s="106"/>
    </row>
    <row r="89">
      <c r="C89" s="79"/>
      <c r="D89" s="79"/>
      <c r="J89" s="79"/>
      <c r="P89" s="79"/>
      <c r="S89" s="79"/>
      <c r="T89" s="79"/>
      <c r="W89" s="130"/>
      <c r="Y89" s="106"/>
    </row>
    <row r="90">
      <c r="C90" s="79"/>
      <c r="D90" s="79"/>
      <c r="J90" s="79"/>
      <c r="P90" s="79"/>
      <c r="S90" s="79"/>
      <c r="T90" s="79"/>
      <c r="W90" s="130"/>
      <c r="Y90" s="106"/>
    </row>
    <row r="91">
      <c r="C91" s="79"/>
      <c r="D91" s="79"/>
      <c r="J91" s="79"/>
      <c r="P91" s="79"/>
      <c r="S91" s="79"/>
      <c r="T91" s="79"/>
      <c r="W91" s="130"/>
      <c r="Y91" s="106"/>
    </row>
    <row r="92">
      <c r="C92" s="79"/>
      <c r="D92" s="79"/>
      <c r="J92" s="79"/>
      <c r="P92" s="79"/>
      <c r="S92" s="79"/>
      <c r="T92" s="79"/>
      <c r="W92" s="130"/>
      <c r="Y92" s="106"/>
    </row>
    <row r="93">
      <c r="C93" s="79"/>
      <c r="D93" s="79"/>
      <c r="J93" s="79"/>
      <c r="P93" s="79"/>
      <c r="S93" s="79"/>
      <c r="T93" s="79"/>
      <c r="W93" s="130"/>
      <c r="Y93" s="106"/>
    </row>
    <row r="94">
      <c r="C94" s="79"/>
      <c r="D94" s="79"/>
      <c r="J94" s="79"/>
      <c r="P94" s="79"/>
      <c r="S94" s="79"/>
      <c r="T94" s="79"/>
      <c r="W94" s="130"/>
      <c r="Y94" s="106"/>
    </row>
    <row r="95">
      <c r="C95" s="79"/>
      <c r="D95" s="79"/>
      <c r="J95" s="79"/>
      <c r="P95" s="79"/>
      <c r="S95" s="79"/>
      <c r="T95" s="79"/>
      <c r="W95" s="130"/>
      <c r="Y95" s="106"/>
    </row>
    <row r="96">
      <c r="C96" s="79"/>
      <c r="D96" s="79"/>
      <c r="J96" s="79"/>
      <c r="P96" s="79"/>
      <c r="S96" s="79"/>
      <c r="T96" s="79"/>
      <c r="W96" s="130"/>
      <c r="Y96" s="106"/>
    </row>
    <row r="97">
      <c r="C97" s="79"/>
      <c r="D97" s="79"/>
      <c r="J97" s="79"/>
      <c r="P97" s="79"/>
      <c r="S97" s="79"/>
      <c r="T97" s="79"/>
      <c r="W97" s="130"/>
      <c r="Y97" s="106"/>
    </row>
    <row r="98">
      <c r="C98" s="79"/>
      <c r="D98" s="79"/>
      <c r="J98" s="79"/>
      <c r="P98" s="79"/>
      <c r="S98" s="79"/>
      <c r="T98" s="79"/>
      <c r="W98" s="130"/>
      <c r="Y98" s="106"/>
    </row>
    <row r="99">
      <c r="C99" s="79"/>
      <c r="D99" s="79"/>
      <c r="J99" s="79"/>
      <c r="P99" s="79"/>
      <c r="S99" s="79"/>
      <c r="T99" s="79"/>
      <c r="W99" s="130"/>
      <c r="Y99" s="106"/>
    </row>
    <row r="100">
      <c r="C100" s="79"/>
      <c r="D100" s="79"/>
      <c r="J100" s="79"/>
      <c r="P100" s="79"/>
      <c r="S100" s="79"/>
      <c r="T100" s="79"/>
      <c r="W100" s="130"/>
      <c r="Y100" s="106"/>
    </row>
    <row r="101">
      <c r="C101" s="79"/>
      <c r="D101" s="79"/>
      <c r="J101" s="79"/>
      <c r="P101" s="79"/>
      <c r="S101" s="79"/>
      <c r="T101" s="79"/>
      <c r="W101" s="130"/>
      <c r="Y101" s="106"/>
    </row>
    <row r="102">
      <c r="C102" s="79"/>
      <c r="D102" s="79"/>
      <c r="J102" s="79"/>
      <c r="P102" s="79"/>
      <c r="S102" s="79"/>
      <c r="T102" s="79"/>
      <c r="W102" s="130"/>
      <c r="Y102" s="106"/>
    </row>
    <row r="103">
      <c r="C103" s="79"/>
      <c r="D103" s="79"/>
      <c r="J103" s="79"/>
      <c r="P103" s="79"/>
      <c r="S103" s="79"/>
      <c r="T103" s="79"/>
      <c r="W103" s="130"/>
      <c r="Y103" s="106"/>
    </row>
    <row r="104">
      <c r="C104" s="79"/>
      <c r="D104" s="79"/>
      <c r="J104" s="79"/>
      <c r="P104" s="79"/>
      <c r="S104" s="79"/>
      <c r="T104" s="79"/>
      <c r="W104" s="130"/>
      <c r="Y104" s="106"/>
    </row>
    <row r="105">
      <c r="C105" s="79"/>
      <c r="D105" s="79"/>
      <c r="J105" s="79"/>
      <c r="P105" s="79"/>
      <c r="S105" s="79"/>
      <c r="T105" s="79"/>
      <c r="W105" s="130"/>
      <c r="Y105" s="106"/>
    </row>
    <row r="106">
      <c r="C106" s="79"/>
      <c r="D106" s="79"/>
      <c r="J106" s="79"/>
      <c r="P106" s="79"/>
      <c r="S106" s="79"/>
      <c r="T106" s="79"/>
      <c r="W106" s="130"/>
      <c r="Y106" s="106"/>
    </row>
    <row r="107">
      <c r="C107" s="79"/>
      <c r="D107" s="79"/>
      <c r="J107" s="79"/>
      <c r="P107" s="79"/>
      <c r="S107" s="79"/>
      <c r="T107" s="79"/>
      <c r="W107" s="130"/>
      <c r="Y107" s="106"/>
    </row>
    <row r="108">
      <c r="C108" s="79"/>
      <c r="D108" s="79"/>
      <c r="J108" s="79"/>
      <c r="P108" s="79"/>
      <c r="S108" s="79"/>
      <c r="T108" s="79"/>
      <c r="W108" s="130"/>
      <c r="Y108" s="106"/>
    </row>
    <row r="109">
      <c r="C109" s="79"/>
      <c r="D109" s="79"/>
      <c r="J109" s="79"/>
      <c r="P109" s="79"/>
      <c r="S109" s="79"/>
      <c r="T109" s="79"/>
      <c r="W109" s="130"/>
      <c r="Y109" s="106"/>
    </row>
    <row r="110">
      <c r="C110" s="79"/>
      <c r="D110" s="79"/>
      <c r="J110" s="79"/>
      <c r="P110" s="79"/>
      <c r="S110" s="79"/>
      <c r="T110" s="79"/>
      <c r="W110" s="130"/>
      <c r="Y110" s="106"/>
    </row>
    <row r="111">
      <c r="C111" s="79"/>
      <c r="D111" s="79"/>
      <c r="J111" s="79"/>
      <c r="P111" s="79"/>
      <c r="S111" s="79"/>
      <c r="T111" s="79"/>
      <c r="W111" s="130"/>
      <c r="Y111" s="106"/>
    </row>
    <row r="112">
      <c r="C112" s="79"/>
      <c r="D112" s="79"/>
      <c r="J112" s="79"/>
      <c r="P112" s="79"/>
      <c r="S112" s="79"/>
      <c r="T112" s="79"/>
      <c r="W112" s="130"/>
      <c r="Y112" s="106"/>
    </row>
    <row r="113">
      <c r="C113" s="79"/>
      <c r="D113" s="79"/>
      <c r="J113" s="79"/>
      <c r="P113" s="79"/>
      <c r="S113" s="79"/>
      <c r="T113" s="79"/>
      <c r="W113" s="130"/>
      <c r="Y113" s="106"/>
    </row>
    <row r="114">
      <c r="C114" s="79"/>
      <c r="D114" s="79"/>
      <c r="J114" s="79"/>
      <c r="P114" s="79"/>
      <c r="S114" s="79"/>
      <c r="T114" s="79"/>
      <c r="W114" s="130"/>
      <c r="Y114" s="106"/>
    </row>
    <row r="115">
      <c r="C115" s="79"/>
      <c r="D115" s="79"/>
      <c r="J115" s="79"/>
      <c r="P115" s="79"/>
      <c r="S115" s="79"/>
      <c r="T115" s="79"/>
      <c r="W115" s="130"/>
      <c r="Y115" s="106"/>
    </row>
    <row r="116">
      <c r="C116" s="79"/>
      <c r="D116" s="79"/>
      <c r="J116" s="79"/>
      <c r="P116" s="79"/>
      <c r="S116" s="79"/>
      <c r="T116" s="79"/>
      <c r="W116" s="130"/>
      <c r="Y116" s="106"/>
    </row>
    <row r="117">
      <c r="C117" s="79"/>
      <c r="D117" s="79"/>
      <c r="J117" s="79"/>
      <c r="P117" s="79"/>
      <c r="S117" s="79"/>
      <c r="T117" s="79"/>
      <c r="W117" s="130"/>
      <c r="Y117" s="106"/>
    </row>
    <row r="118">
      <c r="C118" s="79"/>
      <c r="D118" s="79"/>
      <c r="J118" s="79"/>
      <c r="P118" s="79"/>
      <c r="S118" s="79"/>
      <c r="T118" s="79"/>
      <c r="W118" s="130"/>
      <c r="Y118" s="106"/>
    </row>
    <row r="119">
      <c r="C119" s="79"/>
      <c r="D119" s="79"/>
      <c r="J119" s="79"/>
      <c r="P119" s="79"/>
      <c r="S119" s="79"/>
      <c r="T119" s="79"/>
      <c r="W119" s="130"/>
      <c r="Y119" s="106"/>
    </row>
    <row r="120">
      <c r="C120" s="79"/>
      <c r="D120" s="79"/>
      <c r="J120" s="79"/>
      <c r="P120" s="79"/>
      <c r="S120" s="79"/>
      <c r="T120" s="79"/>
      <c r="W120" s="130"/>
      <c r="Y120" s="106"/>
    </row>
    <row r="121">
      <c r="C121" s="79"/>
      <c r="D121" s="79"/>
      <c r="J121" s="79"/>
      <c r="P121" s="79"/>
      <c r="S121" s="79"/>
      <c r="T121" s="79"/>
      <c r="W121" s="130"/>
      <c r="Y121" s="106"/>
    </row>
    <row r="122">
      <c r="C122" s="79"/>
      <c r="D122" s="79"/>
      <c r="J122" s="79"/>
      <c r="P122" s="79"/>
      <c r="S122" s="79"/>
      <c r="T122" s="79"/>
      <c r="W122" s="130"/>
      <c r="Y122" s="106"/>
    </row>
    <row r="123">
      <c r="C123" s="79"/>
      <c r="D123" s="79"/>
      <c r="J123" s="79"/>
      <c r="P123" s="79"/>
      <c r="S123" s="79"/>
      <c r="T123" s="79"/>
      <c r="W123" s="130"/>
      <c r="Y123" s="106"/>
    </row>
    <row r="124">
      <c r="C124" s="79"/>
      <c r="D124" s="79"/>
      <c r="J124" s="79"/>
      <c r="P124" s="79"/>
      <c r="S124" s="79"/>
      <c r="T124" s="79"/>
      <c r="W124" s="130"/>
      <c r="Y124" s="106"/>
    </row>
    <row r="125">
      <c r="C125" s="79"/>
      <c r="D125" s="79"/>
      <c r="J125" s="79"/>
      <c r="P125" s="79"/>
      <c r="S125" s="79"/>
      <c r="T125" s="79"/>
      <c r="W125" s="130"/>
      <c r="Y125" s="106"/>
    </row>
    <row r="126">
      <c r="C126" s="79"/>
      <c r="D126" s="79"/>
      <c r="J126" s="79"/>
      <c r="P126" s="79"/>
      <c r="S126" s="79"/>
      <c r="T126" s="79"/>
      <c r="W126" s="130"/>
      <c r="Y126" s="106"/>
    </row>
    <row r="127">
      <c r="C127" s="79"/>
      <c r="D127" s="79"/>
      <c r="J127" s="79"/>
      <c r="P127" s="79"/>
      <c r="S127" s="79"/>
      <c r="T127" s="79"/>
      <c r="W127" s="130"/>
      <c r="Y127" s="106"/>
    </row>
    <row r="128">
      <c r="C128" s="79"/>
      <c r="D128" s="79"/>
      <c r="J128" s="79"/>
      <c r="P128" s="79"/>
      <c r="S128" s="79"/>
      <c r="T128" s="79"/>
      <c r="W128" s="130"/>
      <c r="Y128" s="106"/>
    </row>
    <row r="129">
      <c r="C129" s="79"/>
      <c r="D129" s="79"/>
      <c r="J129" s="79"/>
      <c r="P129" s="79"/>
      <c r="S129" s="79"/>
      <c r="T129" s="79"/>
      <c r="W129" s="130"/>
      <c r="Y129" s="106"/>
    </row>
    <row r="130">
      <c r="C130" s="79"/>
      <c r="D130" s="79"/>
      <c r="J130" s="79"/>
      <c r="P130" s="79"/>
      <c r="S130" s="79"/>
      <c r="T130" s="79"/>
      <c r="W130" s="130"/>
      <c r="Y130" s="106"/>
    </row>
    <row r="131">
      <c r="C131" s="79"/>
      <c r="D131" s="79"/>
      <c r="J131" s="79"/>
      <c r="P131" s="79"/>
      <c r="S131" s="79"/>
      <c r="T131" s="79"/>
      <c r="W131" s="130"/>
      <c r="Y131" s="106"/>
    </row>
    <row r="132">
      <c r="C132" s="79"/>
      <c r="D132" s="79"/>
      <c r="J132" s="79"/>
      <c r="P132" s="79"/>
      <c r="S132" s="79"/>
      <c r="T132" s="79"/>
      <c r="W132" s="130"/>
      <c r="Y132" s="106"/>
    </row>
    <row r="133">
      <c r="C133" s="79"/>
      <c r="D133" s="79"/>
      <c r="J133" s="79"/>
      <c r="P133" s="79"/>
      <c r="S133" s="79"/>
      <c r="T133" s="79"/>
      <c r="W133" s="130"/>
      <c r="Y133" s="106"/>
    </row>
    <row r="134">
      <c r="C134" s="79"/>
      <c r="D134" s="79"/>
      <c r="J134" s="79"/>
      <c r="P134" s="79"/>
      <c r="S134" s="79"/>
      <c r="T134" s="79"/>
      <c r="W134" s="130"/>
      <c r="Y134" s="106"/>
    </row>
    <row r="135">
      <c r="C135" s="79"/>
      <c r="D135" s="79"/>
      <c r="J135" s="79"/>
      <c r="P135" s="79"/>
      <c r="S135" s="79"/>
      <c r="T135" s="79"/>
      <c r="W135" s="130"/>
      <c r="Y135" s="106"/>
    </row>
    <row r="136">
      <c r="C136" s="79"/>
      <c r="D136" s="79"/>
      <c r="J136" s="79"/>
      <c r="P136" s="79"/>
      <c r="S136" s="79"/>
      <c r="T136" s="79"/>
      <c r="W136" s="130"/>
      <c r="Y136" s="106"/>
    </row>
    <row r="137">
      <c r="C137" s="79"/>
      <c r="D137" s="79"/>
      <c r="J137" s="79"/>
      <c r="P137" s="79"/>
      <c r="S137" s="79"/>
      <c r="T137" s="79"/>
      <c r="W137" s="130"/>
      <c r="Y137" s="106"/>
    </row>
    <row r="138">
      <c r="C138" s="79"/>
      <c r="D138" s="79"/>
      <c r="J138" s="79"/>
      <c r="P138" s="79"/>
      <c r="S138" s="79"/>
      <c r="T138" s="79"/>
      <c r="W138" s="130"/>
      <c r="Y138" s="106"/>
    </row>
    <row r="139">
      <c r="C139" s="79"/>
      <c r="D139" s="79"/>
      <c r="J139" s="79"/>
      <c r="P139" s="79"/>
      <c r="S139" s="79"/>
      <c r="T139" s="79"/>
      <c r="W139" s="130"/>
      <c r="Y139" s="106"/>
    </row>
    <row r="140">
      <c r="C140" s="79"/>
      <c r="D140" s="79"/>
      <c r="J140" s="79"/>
      <c r="P140" s="79"/>
      <c r="S140" s="79"/>
      <c r="T140" s="79"/>
      <c r="W140" s="130"/>
      <c r="Y140" s="106"/>
    </row>
    <row r="141">
      <c r="C141" s="79"/>
      <c r="D141" s="79"/>
      <c r="J141" s="79"/>
      <c r="P141" s="79"/>
      <c r="S141" s="79"/>
      <c r="T141" s="79"/>
      <c r="W141" s="130"/>
      <c r="Y141" s="106"/>
    </row>
    <row r="142">
      <c r="C142" s="79"/>
      <c r="D142" s="79"/>
      <c r="J142" s="79"/>
      <c r="P142" s="79"/>
      <c r="S142" s="79"/>
      <c r="T142" s="79"/>
      <c r="W142" s="130"/>
      <c r="Y142" s="106"/>
    </row>
    <row r="143">
      <c r="C143" s="79"/>
      <c r="D143" s="79"/>
      <c r="J143" s="79"/>
      <c r="P143" s="79"/>
      <c r="S143" s="79"/>
      <c r="T143" s="79"/>
      <c r="W143" s="130"/>
      <c r="Y143" s="106"/>
    </row>
    <row r="144">
      <c r="C144" s="79"/>
      <c r="D144" s="79"/>
      <c r="J144" s="79"/>
      <c r="P144" s="79"/>
      <c r="S144" s="79"/>
      <c r="T144" s="79"/>
      <c r="W144" s="130"/>
      <c r="Y144" s="106"/>
    </row>
    <row r="145">
      <c r="C145" s="79"/>
      <c r="D145" s="79"/>
      <c r="J145" s="79"/>
      <c r="P145" s="79"/>
      <c r="S145" s="79"/>
      <c r="T145" s="79"/>
      <c r="W145" s="130"/>
      <c r="Y145" s="106"/>
    </row>
    <row r="146">
      <c r="C146" s="79"/>
      <c r="D146" s="79"/>
      <c r="J146" s="79"/>
      <c r="P146" s="79"/>
      <c r="S146" s="79"/>
      <c r="T146" s="79"/>
      <c r="W146" s="130"/>
      <c r="Y146" s="106"/>
    </row>
    <row r="147">
      <c r="C147" s="79"/>
      <c r="D147" s="79"/>
      <c r="J147" s="79"/>
      <c r="P147" s="79"/>
      <c r="S147" s="79"/>
      <c r="T147" s="79"/>
      <c r="W147" s="130"/>
      <c r="Y147" s="106"/>
    </row>
    <row r="148">
      <c r="C148" s="79"/>
      <c r="D148" s="79"/>
      <c r="J148" s="79"/>
      <c r="P148" s="79"/>
      <c r="S148" s="79"/>
      <c r="T148" s="79"/>
      <c r="W148" s="130"/>
      <c r="Y148" s="106"/>
    </row>
    <row r="149">
      <c r="C149" s="79"/>
      <c r="D149" s="79"/>
      <c r="J149" s="79"/>
      <c r="P149" s="79"/>
      <c r="S149" s="79"/>
      <c r="T149" s="79"/>
      <c r="W149" s="130"/>
      <c r="Y149" s="106"/>
    </row>
    <row r="150">
      <c r="C150" s="79"/>
      <c r="D150" s="79"/>
      <c r="J150" s="79"/>
      <c r="P150" s="79"/>
      <c r="S150" s="79"/>
      <c r="T150" s="79"/>
      <c r="W150" s="130"/>
      <c r="Y150" s="106"/>
    </row>
    <row r="151">
      <c r="C151" s="79"/>
      <c r="D151" s="79"/>
      <c r="J151" s="79"/>
      <c r="P151" s="79"/>
      <c r="S151" s="79"/>
      <c r="T151" s="79"/>
      <c r="W151" s="130"/>
      <c r="Y151" s="106"/>
    </row>
    <row r="152">
      <c r="C152" s="79"/>
      <c r="D152" s="79"/>
      <c r="J152" s="79"/>
      <c r="P152" s="79"/>
      <c r="S152" s="79"/>
      <c r="T152" s="79"/>
      <c r="W152" s="130"/>
      <c r="Y152" s="106"/>
    </row>
    <row r="153">
      <c r="C153" s="79"/>
      <c r="D153" s="79"/>
      <c r="J153" s="79"/>
      <c r="P153" s="79"/>
      <c r="S153" s="79"/>
      <c r="T153" s="79"/>
      <c r="W153" s="130"/>
      <c r="Y153" s="106"/>
    </row>
    <row r="154">
      <c r="C154" s="79"/>
      <c r="D154" s="79"/>
      <c r="J154" s="79"/>
      <c r="P154" s="79"/>
      <c r="S154" s="79"/>
      <c r="T154" s="79"/>
      <c r="W154" s="130"/>
      <c r="Y154" s="106"/>
    </row>
    <row r="155">
      <c r="C155" s="79"/>
      <c r="D155" s="79"/>
      <c r="J155" s="79"/>
      <c r="P155" s="79"/>
      <c r="S155" s="79"/>
      <c r="T155" s="79"/>
      <c r="W155" s="130"/>
      <c r="Y155" s="106"/>
    </row>
    <row r="156">
      <c r="C156" s="79"/>
      <c r="D156" s="79"/>
      <c r="J156" s="79"/>
      <c r="P156" s="79"/>
      <c r="S156" s="79"/>
      <c r="T156" s="79"/>
      <c r="W156" s="130"/>
      <c r="Y156" s="106"/>
    </row>
    <row r="157">
      <c r="C157" s="79"/>
      <c r="D157" s="79"/>
      <c r="J157" s="79"/>
      <c r="P157" s="79"/>
      <c r="S157" s="79"/>
      <c r="T157" s="79"/>
      <c r="W157" s="130"/>
      <c r="Y157" s="106"/>
    </row>
    <row r="158">
      <c r="C158" s="79"/>
      <c r="D158" s="79"/>
      <c r="J158" s="79"/>
      <c r="P158" s="79"/>
      <c r="S158" s="79"/>
      <c r="T158" s="79"/>
      <c r="W158" s="130"/>
      <c r="Y158" s="106"/>
    </row>
    <row r="159">
      <c r="C159" s="79"/>
      <c r="D159" s="79"/>
      <c r="J159" s="79"/>
      <c r="P159" s="79"/>
      <c r="S159" s="79"/>
      <c r="T159" s="79"/>
      <c r="W159" s="130"/>
      <c r="Y159" s="106"/>
    </row>
    <row r="160">
      <c r="C160" s="79"/>
      <c r="D160" s="79"/>
      <c r="J160" s="79"/>
      <c r="P160" s="79"/>
      <c r="S160" s="79"/>
      <c r="T160" s="79"/>
      <c r="W160" s="130"/>
      <c r="Y160" s="106"/>
    </row>
    <row r="161">
      <c r="C161" s="79"/>
      <c r="D161" s="79"/>
      <c r="J161" s="79"/>
      <c r="P161" s="79"/>
      <c r="S161" s="79"/>
      <c r="T161" s="79"/>
      <c r="W161" s="130"/>
      <c r="Y161" s="106"/>
    </row>
    <row r="162">
      <c r="C162" s="79"/>
      <c r="D162" s="79"/>
      <c r="J162" s="79"/>
      <c r="P162" s="79"/>
      <c r="S162" s="79"/>
      <c r="T162" s="79"/>
      <c r="W162" s="130"/>
      <c r="Y162" s="106"/>
    </row>
    <row r="163">
      <c r="C163" s="79"/>
      <c r="D163" s="79"/>
      <c r="J163" s="79"/>
      <c r="P163" s="79"/>
      <c r="S163" s="79"/>
      <c r="T163" s="79"/>
      <c r="W163" s="130"/>
      <c r="Y163" s="106"/>
    </row>
    <row r="164">
      <c r="C164" s="79"/>
      <c r="D164" s="79"/>
      <c r="J164" s="79"/>
      <c r="P164" s="79"/>
      <c r="S164" s="79"/>
      <c r="T164" s="79"/>
      <c r="W164" s="130"/>
      <c r="Y164" s="106"/>
    </row>
    <row r="165">
      <c r="C165" s="79"/>
      <c r="D165" s="79"/>
      <c r="J165" s="79"/>
      <c r="P165" s="79"/>
      <c r="S165" s="79"/>
      <c r="T165" s="79"/>
      <c r="W165" s="130"/>
      <c r="Y165" s="106"/>
    </row>
    <row r="166">
      <c r="C166" s="79"/>
      <c r="D166" s="79"/>
      <c r="J166" s="79"/>
      <c r="P166" s="79"/>
      <c r="S166" s="79"/>
      <c r="T166" s="79"/>
      <c r="W166" s="130"/>
      <c r="Y166" s="106"/>
    </row>
    <row r="167">
      <c r="C167" s="79"/>
      <c r="D167" s="79"/>
      <c r="J167" s="79"/>
      <c r="P167" s="79"/>
      <c r="S167" s="79"/>
      <c r="T167" s="79"/>
      <c r="W167" s="130"/>
      <c r="Y167" s="106"/>
    </row>
    <row r="168">
      <c r="C168" s="79"/>
      <c r="D168" s="79"/>
      <c r="J168" s="79"/>
      <c r="P168" s="79"/>
      <c r="S168" s="79"/>
      <c r="T168" s="79"/>
      <c r="W168" s="130"/>
      <c r="Y168" s="106"/>
    </row>
    <row r="169">
      <c r="C169" s="79"/>
      <c r="D169" s="79"/>
      <c r="J169" s="79"/>
      <c r="P169" s="79"/>
      <c r="S169" s="79"/>
      <c r="T169" s="79"/>
      <c r="W169" s="130"/>
      <c r="Y169" s="106"/>
    </row>
    <row r="170">
      <c r="C170" s="79"/>
      <c r="D170" s="79"/>
      <c r="J170" s="79"/>
      <c r="P170" s="79"/>
      <c r="S170" s="79"/>
      <c r="T170" s="79"/>
      <c r="W170" s="130"/>
      <c r="Y170" s="106"/>
    </row>
    <row r="171">
      <c r="C171" s="79"/>
      <c r="D171" s="79"/>
      <c r="J171" s="79"/>
      <c r="P171" s="79"/>
      <c r="S171" s="79"/>
      <c r="T171" s="79"/>
      <c r="W171" s="130"/>
      <c r="Y171" s="106"/>
    </row>
    <row r="172">
      <c r="C172" s="79"/>
      <c r="D172" s="79"/>
      <c r="J172" s="79"/>
      <c r="P172" s="79"/>
      <c r="S172" s="79"/>
      <c r="T172" s="79"/>
      <c r="W172" s="130"/>
      <c r="Y172" s="106"/>
    </row>
    <row r="173">
      <c r="C173" s="79"/>
      <c r="D173" s="79"/>
      <c r="J173" s="79"/>
      <c r="P173" s="79"/>
      <c r="S173" s="79"/>
      <c r="T173" s="79"/>
      <c r="W173" s="130"/>
      <c r="Y173" s="106"/>
    </row>
    <row r="174">
      <c r="C174" s="79"/>
      <c r="D174" s="79"/>
      <c r="J174" s="79"/>
      <c r="P174" s="79"/>
      <c r="S174" s="79"/>
      <c r="T174" s="79"/>
      <c r="W174" s="130"/>
      <c r="Y174" s="106"/>
    </row>
    <row r="175">
      <c r="C175" s="79"/>
      <c r="D175" s="79"/>
      <c r="J175" s="79"/>
      <c r="P175" s="79"/>
      <c r="S175" s="79"/>
      <c r="T175" s="79"/>
      <c r="W175" s="130"/>
      <c r="Y175" s="106"/>
    </row>
    <row r="176">
      <c r="C176" s="79"/>
      <c r="D176" s="79"/>
      <c r="J176" s="79"/>
      <c r="P176" s="79"/>
      <c r="S176" s="79"/>
      <c r="T176" s="79"/>
      <c r="W176" s="130"/>
      <c r="Y176" s="106"/>
    </row>
    <row r="177">
      <c r="C177" s="79"/>
      <c r="D177" s="79"/>
      <c r="J177" s="79"/>
      <c r="P177" s="79"/>
      <c r="S177" s="79"/>
      <c r="T177" s="79"/>
      <c r="W177" s="130"/>
      <c r="Y177" s="106"/>
    </row>
    <row r="178">
      <c r="C178" s="79"/>
      <c r="D178" s="79"/>
      <c r="J178" s="79"/>
      <c r="P178" s="79"/>
      <c r="S178" s="79"/>
      <c r="T178" s="79"/>
      <c r="W178" s="130"/>
      <c r="Y178" s="106"/>
    </row>
    <row r="179">
      <c r="C179" s="79"/>
      <c r="D179" s="79"/>
      <c r="J179" s="79"/>
      <c r="P179" s="79"/>
      <c r="S179" s="79"/>
      <c r="T179" s="79"/>
      <c r="W179" s="130"/>
      <c r="Y179" s="106"/>
    </row>
    <row r="180">
      <c r="C180" s="79"/>
      <c r="D180" s="79"/>
      <c r="J180" s="79"/>
      <c r="P180" s="79"/>
      <c r="S180" s="79"/>
      <c r="T180" s="79"/>
      <c r="W180" s="130"/>
      <c r="Y180" s="106"/>
    </row>
    <row r="181">
      <c r="C181" s="79"/>
      <c r="D181" s="79"/>
      <c r="J181" s="79"/>
      <c r="P181" s="79"/>
      <c r="S181" s="79"/>
      <c r="T181" s="79"/>
      <c r="W181" s="130"/>
      <c r="Y181" s="106"/>
    </row>
    <row r="182">
      <c r="C182" s="79"/>
      <c r="D182" s="79"/>
      <c r="J182" s="79"/>
      <c r="P182" s="79"/>
      <c r="S182" s="79"/>
      <c r="T182" s="79"/>
      <c r="W182" s="130"/>
      <c r="Y182" s="106"/>
    </row>
    <row r="183">
      <c r="C183" s="79"/>
      <c r="D183" s="79"/>
      <c r="J183" s="79"/>
      <c r="P183" s="79"/>
      <c r="S183" s="79"/>
      <c r="T183" s="79"/>
      <c r="W183" s="130"/>
      <c r="Y183" s="106"/>
    </row>
    <row r="184">
      <c r="C184" s="79"/>
      <c r="D184" s="79"/>
      <c r="J184" s="79"/>
      <c r="P184" s="79"/>
      <c r="S184" s="79"/>
      <c r="T184" s="79"/>
      <c r="W184" s="130"/>
      <c r="Y184" s="106"/>
    </row>
    <row r="185">
      <c r="C185" s="79"/>
      <c r="D185" s="79"/>
      <c r="J185" s="79"/>
      <c r="P185" s="79"/>
      <c r="S185" s="79"/>
      <c r="T185" s="79"/>
      <c r="W185" s="130"/>
      <c r="Y185" s="106"/>
    </row>
    <row r="186">
      <c r="C186" s="79"/>
      <c r="D186" s="79"/>
      <c r="J186" s="79"/>
      <c r="P186" s="79"/>
      <c r="S186" s="79"/>
      <c r="T186" s="79"/>
      <c r="W186" s="130"/>
      <c r="Y186" s="106"/>
    </row>
    <row r="187">
      <c r="C187" s="79"/>
      <c r="D187" s="79"/>
      <c r="J187" s="79"/>
      <c r="P187" s="79"/>
      <c r="S187" s="79"/>
      <c r="T187" s="79"/>
      <c r="W187" s="130"/>
      <c r="Y187" s="106"/>
    </row>
    <row r="188">
      <c r="C188" s="79"/>
      <c r="D188" s="79"/>
      <c r="J188" s="79"/>
      <c r="P188" s="79"/>
      <c r="S188" s="79"/>
      <c r="T188" s="79"/>
      <c r="W188" s="130"/>
      <c r="Y188" s="106"/>
    </row>
    <row r="189">
      <c r="C189" s="79"/>
      <c r="D189" s="79"/>
      <c r="J189" s="79"/>
      <c r="P189" s="79"/>
      <c r="S189" s="79"/>
      <c r="T189" s="79"/>
      <c r="W189" s="130"/>
      <c r="Y189" s="106"/>
    </row>
    <row r="190">
      <c r="C190" s="79"/>
      <c r="D190" s="79"/>
      <c r="J190" s="79"/>
      <c r="P190" s="79"/>
      <c r="S190" s="79"/>
      <c r="T190" s="79"/>
      <c r="W190" s="130"/>
      <c r="Y190" s="106"/>
    </row>
    <row r="191">
      <c r="C191" s="79"/>
      <c r="D191" s="79"/>
      <c r="J191" s="79"/>
      <c r="P191" s="79"/>
      <c r="S191" s="79"/>
      <c r="T191" s="79"/>
      <c r="W191" s="130"/>
      <c r="Y191" s="106"/>
    </row>
    <row r="192">
      <c r="C192" s="79"/>
      <c r="D192" s="79"/>
      <c r="J192" s="79"/>
      <c r="P192" s="79"/>
      <c r="S192" s="79"/>
      <c r="T192" s="79"/>
      <c r="W192" s="130"/>
      <c r="Y192" s="106"/>
    </row>
    <row r="193">
      <c r="C193" s="79"/>
      <c r="D193" s="79"/>
      <c r="J193" s="79"/>
      <c r="P193" s="79"/>
      <c r="S193" s="79"/>
      <c r="T193" s="79"/>
      <c r="W193" s="130"/>
      <c r="Y193" s="106"/>
    </row>
    <row r="194">
      <c r="C194" s="79"/>
      <c r="D194" s="79"/>
      <c r="J194" s="79"/>
      <c r="P194" s="79"/>
      <c r="S194" s="79"/>
      <c r="T194" s="79"/>
      <c r="W194" s="130"/>
      <c r="Y194" s="106"/>
    </row>
    <row r="195">
      <c r="C195" s="79"/>
      <c r="D195" s="79"/>
      <c r="J195" s="79"/>
      <c r="P195" s="79"/>
      <c r="S195" s="79"/>
      <c r="T195" s="79"/>
      <c r="W195" s="130"/>
      <c r="Y195" s="106"/>
    </row>
    <row r="196">
      <c r="C196" s="79"/>
      <c r="D196" s="79"/>
      <c r="J196" s="79"/>
      <c r="P196" s="79"/>
      <c r="S196" s="79"/>
      <c r="T196" s="79"/>
      <c r="W196" s="130"/>
      <c r="Y196" s="106"/>
    </row>
    <row r="197">
      <c r="C197" s="79"/>
      <c r="D197" s="79"/>
      <c r="J197" s="79"/>
      <c r="P197" s="79"/>
      <c r="S197" s="79"/>
      <c r="T197" s="79"/>
      <c r="W197" s="130"/>
      <c r="Y197" s="106"/>
    </row>
    <row r="198">
      <c r="C198" s="79"/>
      <c r="D198" s="79"/>
      <c r="J198" s="79"/>
      <c r="P198" s="79"/>
      <c r="S198" s="79"/>
      <c r="T198" s="79"/>
      <c r="W198" s="130"/>
      <c r="Y198" s="106"/>
    </row>
    <row r="199">
      <c r="C199" s="79"/>
      <c r="D199" s="79"/>
      <c r="J199" s="79"/>
      <c r="P199" s="79"/>
      <c r="S199" s="79"/>
      <c r="T199" s="79"/>
      <c r="W199" s="130"/>
      <c r="Y199" s="106"/>
    </row>
    <row r="200">
      <c r="C200" s="79"/>
      <c r="D200" s="79"/>
      <c r="J200" s="79"/>
      <c r="P200" s="79"/>
      <c r="S200" s="79"/>
      <c r="T200" s="79"/>
      <c r="W200" s="130"/>
      <c r="Y200" s="106"/>
    </row>
    <row r="201">
      <c r="C201" s="79"/>
      <c r="D201" s="79"/>
      <c r="J201" s="79"/>
      <c r="P201" s="79"/>
      <c r="S201" s="79"/>
      <c r="T201" s="79"/>
      <c r="W201" s="130"/>
      <c r="Y201" s="106"/>
    </row>
    <row r="202">
      <c r="C202" s="79"/>
      <c r="D202" s="79"/>
      <c r="J202" s="79"/>
      <c r="P202" s="79"/>
      <c r="S202" s="79"/>
      <c r="T202" s="79"/>
      <c r="W202" s="130"/>
      <c r="Y202" s="106"/>
    </row>
    <row r="203">
      <c r="C203" s="79"/>
      <c r="D203" s="79"/>
      <c r="J203" s="79"/>
      <c r="P203" s="79"/>
      <c r="S203" s="79"/>
      <c r="T203" s="79"/>
      <c r="W203" s="130"/>
      <c r="Y203" s="106"/>
    </row>
    <row r="204">
      <c r="C204" s="79"/>
      <c r="D204" s="79"/>
      <c r="J204" s="79"/>
      <c r="P204" s="79"/>
      <c r="S204" s="79"/>
      <c r="T204" s="79"/>
      <c r="W204" s="130"/>
      <c r="Y204" s="106"/>
    </row>
    <row r="205">
      <c r="C205" s="79"/>
      <c r="D205" s="79"/>
      <c r="J205" s="79"/>
      <c r="P205" s="79"/>
      <c r="S205" s="79"/>
      <c r="T205" s="79"/>
      <c r="W205" s="130"/>
      <c r="Y205" s="106"/>
    </row>
    <row r="206">
      <c r="C206" s="79"/>
      <c r="D206" s="79"/>
      <c r="J206" s="79"/>
      <c r="P206" s="79"/>
      <c r="S206" s="79"/>
      <c r="T206" s="79"/>
      <c r="W206" s="130"/>
      <c r="Y206" s="106"/>
    </row>
    <row r="207">
      <c r="C207" s="79"/>
      <c r="D207" s="79"/>
      <c r="J207" s="79"/>
      <c r="P207" s="79"/>
      <c r="S207" s="79"/>
      <c r="T207" s="79"/>
      <c r="W207" s="130"/>
      <c r="Y207" s="106"/>
    </row>
    <row r="208">
      <c r="C208" s="79"/>
      <c r="D208" s="79"/>
      <c r="J208" s="79"/>
      <c r="P208" s="79"/>
      <c r="S208" s="79"/>
      <c r="T208" s="79"/>
      <c r="W208" s="130"/>
      <c r="Y208" s="106"/>
    </row>
    <row r="209">
      <c r="C209" s="79"/>
      <c r="D209" s="79"/>
      <c r="J209" s="79"/>
      <c r="P209" s="79"/>
      <c r="S209" s="79"/>
      <c r="T209" s="79"/>
      <c r="W209" s="130"/>
      <c r="Y209" s="106"/>
    </row>
    <row r="210">
      <c r="C210" s="79"/>
      <c r="D210" s="79"/>
      <c r="J210" s="79"/>
      <c r="P210" s="79"/>
      <c r="S210" s="79"/>
      <c r="T210" s="79"/>
      <c r="W210" s="130"/>
      <c r="Y210" s="106"/>
    </row>
    <row r="211">
      <c r="C211" s="79"/>
      <c r="D211" s="79"/>
      <c r="J211" s="79"/>
      <c r="P211" s="79"/>
      <c r="S211" s="79"/>
      <c r="T211" s="79"/>
      <c r="W211" s="130"/>
      <c r="Y211" s="106"/>
    </row>
    <row r="212">
      <c r="C212" s="79"/>
      <c r="D212" s="79"/>
      <c r="J212" s="79"/>
      <c r="P212" s="79"/>
      <c r="S212" s="79"/>
      <c r="T212" s="79"/>
      <c r="W212" s="130"/>
      <c r="Y212" s="106"/>
    </row>
    <row r="213">
      <c r="C213" s="79"/>
      <c r="D213" s="79"/>
      <c r="J213" s="79"/>
      <c r="P213" s="79"/>
      <c r="S213" s="79"/>
      <c r="T213" s="79"/>
      <c r="W213" s="130"/>
      <c r="Y213" s="106"/>
    </row>
    <row r="214">
      <c r="C214" s="79"/>
      <c r="D214" s="79"/>
      <c r="J214" s="79"/>
      <c r="P214" s="79"/>
      <c r="S214" s="79"/>
      <c r="T214" s="79"/>
      <c r="W214" s="130"/>
      <c r="Y214" s="106"/>
    </row>
    <row r="215">
      <c r="C215" s="79"/>
      <c r="D215" s="79"/>
      <c r="J215" s="79"/>
      <c r="P215" s="79"/>
      <c r="S215" s="79"/>
      <c r="T215" s="79"/>
      <c r="W215" s="130"/>
      <c r="Y215" s="106"/>
    </row>
    <row r="216">
      <c r="C216" s="79"/>
      <c r="D216" s="79"/>
      <c r="J216" s="79"/>
      <c r="P216" s="79"/>
      <c r="S216" s="79"/>
      <c r="T216" s="79"/>
      <c r="W216" s="130"/>
      <c r="Y216" s="106"/>
    </row>
    <row r="217">
      <c r="C217" s="79"/>
      <c r="D217" s="79"/>
      <c r="J217" s="79"/>
      <c r="P217" s="79"/>
      <c r="S217" s="79"/>
      <c r="T217" s="79"/>
      <c r="W217" s="130"/>
      <c r="Y217" s="106"/>
    </row>
    <row r="218">
      <c r="C218" s="79"/>
      <c r="D218" s="79"/>
      <c r="J218" s="79"/>
      <c r="P218" s="79"/>
      <c r="S218" s="79"/>
      <c r="T218" s="79"/>
      <c r="W218" s="130"/>
      <c r="Y218" s="106"/>
    </row>
    <row r="219">
      <c r="C219" s="79"/>
      <c r="D219" s="79"/>
      <c r="J219" s="79"/>
      <c r="P219" s="79"/>
      <c r="S219" s="79"/>
      <c r="T219" s="79"/>
      <c r="W219" s="130"/>
      <c r="Y219" s="106"/>
    </row>
    <row r="220">
      <c r="C220" s="79"/>
      <c r="D220" s="79"/>
      <c r="J220" s="79"/>
      <c r="P220" s="79"/>
      <c r="S220" s="79"/>
      <c r="T220" s="79"/>
      <c r="W220" s="130"/>
      <c r="Y220" s="106"/>
    </row>
    <row r="221">
      <c r="C221" s="79"/>
      <c r="D221" s="79"/>
      <c r="J221" s="79"/>
      <c r="P221" s="79"/>
      <c r="S221" s="79"/>
      <c r="T221" s="79"/>
      <c r="W221" s="130"/>
      <c r="Y221" s="106"/>
    </row>
    <row r="222">
      <c r="C222" s="79"/>
      <c r="D222" s="79"/>
      <c r="J222" s="79"/>
      <c r="P222" s="79"/>
      <c r="S222" s="79"/>
      <c r="T222" s="79"/>
      <c r="W222" s="130"/>
      <c r="Y222" s="106"/>
    </row>
    <row r="223">
      <c r="C223" s="79"/>
      <c r="D223" s="79"/>
      <c r="J223" s="79"/>
      <c r="P223" s="79"/>
      <c r="S223" s="79"/>
      <c r="T223" s="79"/>
      <c r="W223" s="130"/>
      <c r="Y223" s="106"/>
    </row>
    <row r="224">
      <c r="C224" s="79"/>
      <c r="D224" s="79"/>
      <c r="J224" s="79"/>
      <c r="P224" s="79"/>
      <c r="S224" s="79"/>
      <c r="T224" s="79"/>
      <c r="W224" s="130"/>
      <c r="Y224" s="106"/>
    </row>
    <row r="225">
      <c r="C225" s="79"/>
      <c r="D225" s="79"/>
      <c r="J225" s="79"/>
      <c r="P225" s="79"/>
      <c r="S225" s="79"/>
      <c r="T225" s="79"/>
      <c r="W225" s="130"/>
      <c r="Y225" s="106"/>
    </row>
    <row r="226">
      <c r="C226" s="79"/>
      <c r="D226" s="79"/>
      <c r="J226" s="79"/>
      <c r="P226" s="79"/>
      <c r="S226" s="79"/>
      <c r="T226" s="79"/>
      <c r="W226" s="130"/>
      <c r="Y226" s="106"/>
    </row>
    <row r="227">
      <c r="C227" s="79"/>
      <c r="D227" s="79"/>
      <c r="J227" s="79"/>
      <c r="P227" s="79"/>
      <c r="S227" s="79"/>
      <c r="T227" s="79"/>
      <c r="W227" s="130"/>
      <c r="Y227" s="106"/>
    </row>
    <row r="228">
      <c r="C228" s="79"/>
      <c r="D228" s="79"/>
      <c r="J228" s="79"/>
      <c r="P228" s="79"/>
      <c r="S228" s="79"/>
      <c r="T228" s="79"/>
      <c r="W228" s="130"/>
      <c r="Y228" s="106"/>
    </row>
    <row r="229">
      <c r="C229" s="79"/>
      <c r="D229" s="79"/>
      <c r="J229" s="79"/>
      <c r="P229" s="79"/>
      <c r="S229" s="79"/>
      <c r="T229" s="79"/>
      <c r="W229" s="130"/>
      <c r="Y229" s="106"/>
    </row>
    <row r="230">
      <c r="C230" s="79"/>
      <c r="D230" s="79"/>
      <c r="J230" s="79"/>
      <c r="P230" s="79"/>
      <c r="S230" s="79"/>
      <c r="T230" s="79"/>
      <c r="W230" s="130"/>
      <c r="Y230" s="106"/>
    </row>
    <row r="231">
      <c r="C231" s="79"/>
      <c r="D231" s="79"/>
      <c r="J231" s="79"/>
      <c r="P231" s="79"/>
      <c r="S231" s="79"/>
      <c r="T231" s="79"/>
      <c r="W231" s="130"/>
      <c r="Y231" s="106"/>
    </row>
    <row r="232">
      <c r="C232" s="79"/>
      <c r="D232" s="79"/>
      <c r="J232" s="79"/>
      <c r="P232" s="79"/>
      <c r="S232" s="79"/>
      <c r="T232" s="79"/>
      <c r="W232" s="130"/>
      <c r="Y232" s="106"/>
    </row>
    <row r="233">
      <c r="C233" s="79"/>
      <c r="D233" s="79"/>
      <c r="J233" s="79"/>
      <c r="P233" s="79"/>
      <c r="S233" s="79"/>
      <c r="T233" s="79"/>
      <c r="W233" s="130"/>
      <c r="Y233" s="106"/>
    </row>
    <row r="234">
      <c r="C234" s="79"/>
      <c r="D234" s="79"/>
      <c r="J234" s="79"/>
      <c r="P234" s="79"/>
      <c r="S234" s="79"/>
      <c r="T234" s="79"/>
      <c r="W234" s="130"/>
      <c r="Y234" s="106"/>
    </row>
    <row r="235">
      <c r="C235" s="79"/>
      <c r="D235" s="79"/>
      <c r="J235" s="79"/>
      <c r="P235" s="79"/>
      <c r="S235" s="79"/>
      <c r="T235" s="79"/>
      <c r="W235" s="130"/>
      <c r="Y235" s="106"/>
    </row>
    <row r="236">
      <c r="C236" s="79"/>
      <c r="D236" s="79"/>
      <c r="J236" s="79"/>
      <c r="P236" s="79"/>
      <c r="S236" s="79"/>
      <c r="T236" s="79"/>
      <c r="W236" s="130"/>
      <c r="Y236" s="106"/>
    </row>
    <row r="237">
      <c r="C237" s="79"/>
      <c r="D237" s="79"/>
      <c r="J237" s="79"/>
      <c r="P237" s="79"/>
      <c r="S237" s="79"/>
      <c r="T237" s="79"/>
      <c r="W237" s="130"/>
      <c r="Y237" s="106"/>
    </row>
    <row r="238">
      <c r="C238" s="79"/>
      <c r="D238" s="79"/>
      <c r="J238" s="79"/>
      <c r="P238" s="79"/>
      <c r="S238" s="79"/>
      <c r="T238" s="79"/>
      <c r="W238" s="130"/>
      <c r="Y238" s="106"/>
    </row>
    <row r="239">
      <c r="C239" s="79"/>
      <c r="D239" s="79"/>
      <c r="J239" s="79"/>
      <c r="P239" s="79"/>
      <c r="S239" s="79"/>
      <c r="T239" s="79"/>
      <c r="W239" s="130"/>
      <c r="Y239" s="106"/>
    </row>
    <row r="240">
      <c r="C240" s="79"/>
      <c r="D240" s="79"/>
      <c r="J240" s="79"/>
      <c r="P240" s="79"/>
      <c r="S240" s="79"/>
      <c r="T240" s="79"/>
      <c r="W240" s="130"/>
      <c r="Y240" s="106"/>
    </row>
    <row r="241">
      <c r="C241" s="79"/>
      <c r="D241" s="79"/>
      <c r="J241" s="79"/>
      <c r="P241" s="79"/>
      <c r="S241" s="79"/>
      <c r="T241" s="79"/>
      <c r="W241" s="130"/>
      <c r="Y241" s="106"/>
    </row>
    <row r="242">
      <c r="C242" s="79"/>
      <c r="D242" s="79"/>
      <c r="J242" s="79"/>
      <c r="P242" s="79"/>
      <c r="S242" s="79"/>
      <c r="T242" s="79"/>
      <c r="W242" s="130"/>
      <c r="Y242" s="106"/>
    </row>
    <row r="243">
      <c r="C243" s="79"/>
      <c r="D243" s="79"/>
      <c r="J243" s="79"/>
      <c r="P243" s="79"/>
      <c r="S243" s="79"/>
      <c r="T243" s="79"/>
      <c r="W243" s="130"/>
      <c r="Y243" s="106"/>
    </row>
    <row r="244">
      <c r="C244" s="79"/>
      <c r="D244" s="79"/>
      <c r="J244" s="79"/>
      <c r="P244" s="79"/>
      <c r="S244" s="79"/>
      <c r="T244" s="79"/>
      <c r="W244" s="130"/>
      <c r="Y244" s="106"/>
    </row>
    <row r="245">
      <c r="C245" s="79"/>
      <c r="D245" s="79"/>
      <c r="J245" s="79"/>
      <c r="P245" s="79"/>
      <c r="S245" s="79"/>
      <c r="T245" s="79"/>
      <c r="W245" s="130"/>
      <c r="Y245" s="106"/>
    </row>
    <row r="246">
      <c r="C246" s="79"/>
      <c r="D246" s="79"/>
      <c r="J246" s="79"/>
      <c r="P246" s="79"/>
      <c r="S246" s="79"/>
      <c r="T246" s="79"/>
      <c r="W246" s="130"/>
      <c r="Y246" s="106"/>
    </row>
    <row r="247">
      <c r="C247" s="79"/>
      <c r="D247" s="79"/>
      <c r="J247" s="79"/>
      <c r="P247" s="79"/>
      <c r="S247" s="79"/>
      <c r="T247" s="79"/>
      <c r="W247" s="130"/>
      <c r="Y247" s="106"/>
    </row>
    <row r="248">
      <c r="C248" s="79"/>
      <c r="D248" s="79"/>
      <c r="J248" s="79"/>
      <c r="P248" s="79"/>
      <c r="S248" s="79"/>
      <c r="T248" s="79"/>
      <c r="W248" s="130"/>
      <c r="Y248" s="106"/>
    </row>
    <row r="249">
      <c r="C249" s="79"/>
      <c r="D249" s="79"/>
      <c r="J249" s="79"/>
      <c r="P249" s="79"/>
      <c r="S249" s="79"/>
      <c r="T249" s="79"/>
      <c r="W249" s="130"/>
      <c r="Y249" s="106"/>
    </row>
    <row r="250">
      <c r="C250" s="79"/>
      <c r="D250" s="79"/>
      <c r="J250" s="79"/>
      <c r="P250" s="79"/>
      <c r="S250" s="79"/>
      <c r="T250" s="79"/>
      <c r="W250" s="130"/>
      <c r="Y250" s="106"/>
    </row>
    <row r="251">
      <c r="C251" s="79"/>
      <c r="D251" s="79"/>
      <c r="J251" s="79"/>
      <c r="P251" s="79"/>
      <c r="S251" s="79"/>
      <c r="T251" s="79"/>
      <c r="W251" s="130"/>
      <c r="Y251" s="106"/>
    </row>
    <row r="252">
      <c r="C252" s="79"/>
      <c r="D252" s="79"/>
      <c r="J252" s="79"/>
      <c r="P252" s="79"/>
      <c r="S252" s="79"/>
      <c r="T252" s="79"/>
      <c r="W252" s="130"/>
      <c r="Y252" s="106"/>
    </row>
    <row r="253">
      <c r="C253" s="79"/>
      <c r="D253" s="79"/>
      <c r="J253" s="79"/>
      <c r="P253" s="79"/>
      <c r="S253" s="79"/>
      <c r="T253" s="79"/>
      <c r="W253" s="130"/>
      <c r="Y253" s="106"/>
    </row>
    <row r="254">
      <c r="C254" s="79"/>
      <c r="D254" s="79"/>
      <c r="J254" s="79"/>
      <c r="P254" s="79"/>
      <c r="S254" s="79"/>
      <c r="T254" s="79"/>
      <c r="W254" s="130"/>
      <c r="Y254" s="106"/>
    </row>
    <row r="255">
      <c r="C255" s="79"/>
      <c r="D255" s="79"/>
      <c r="J255" s="79"/>
      <c r="P255" s="79"/>
      <c r="S255" s="79"/>
      <c r="T255" s="79"/>
      <c r="W255" s="130"/>
      <c r="Y255" s="106"/>
    </row>
    <row r="256">
      <c r="C256" s="79"/>
      <c r="D256" s="79"/>
      <c r="J256" s="79"/>
      <c r="P256" s="79"/>
      <c r="S256" s="79"/>
      <c r="T256" s="79"/>
      <c r="W256" s="130"/>
      <c r="Y256" s="106"/>
    </row>
    <row r="257">
      <c r="C257" s="79"/>
      <c r="D257" s="79"/>
      <c r="J257" s="79"/>
      <c r="P257" s="79"/>
      <c r="S257" s="79"/>
      <c r="T257" s="79"/>
      <c r="W257" s="130"/>
      <c r="Y257" s="106"/>
    </row>
    <row r="258">
      <c r="C258" s="79"/>
      <c r="D258" s="79"/>
      <c r="J258" s="79"/>
      <c r="P258" s="79"/>
      <c r="S258" s="79"/>
      <c r="T258" s="79"/>
      <c r="W258" s="130"/>
      <c r="Y258" s="106"/>
    </row>
    <row r="259">
      <c r="C259" s="79"/>
      <c r="D259" s="79"/>
      <c r="J259" s="79"/>
      <c r="P259" s="79"/>
      <c r="S259" s="79"/>
      <c r="T259" s="79"/>
      <c r="W259" s="130"/>
      <c r="Y259" s="106"/>
    </row>
    <row r="260">
      <c r="C260" s="79"/>
      <c r="D260" s="79"/>
      <c r="J260" s="79"/>
      <c r="P260" s="79"/>
      <c r="S260" s="79"/>
      <c r="T260" s="79"/>
      <c r="W260" s="130"/>
      <c r="Y260" s="106"/>
    </row>
    <row r="261">
      <c r="C261" s="79"/>
      <c r="D261" s="79"/>
      <c r="J261" s="79"/>
      <c r="P261" s="79"/>
      <c r="S261" s="79"/>
      <c r="T261" s="79"/>
      <c r="W261" s="130"/>
      <c r="Y261" s="106"/>
    </row>
    <row r="262">
      <c r="C262" s="79"/>
      <c r="D262" s="79"/>
      <c r="J262" s="79"/>
      <c r="P262" s="79"/>
      <c r="S262" s="79"/>
      <c r="T262" s="79"/>
      <c r="W262" s="130"/>
      <c r="Y262" s="106"/>
    </row>
    <row r="263">
      <c r="C263" s="79"/>
      <c r="D263" s="79"/>
      <c r="J263" s="79"/>
      <c r="P263" s="79"/>
      <c r="S263" s="79"/>
      <c r="T263" s="79"/>
      <c r="W263" s="130"/>
      <c r="Y263" s="106"/>
    </row>
    <row r="264">
      <c r="C264" s="79"/>
      <c r="D264" s="79"/>
      <c r="J264" s="79"/>
      <c r="P264" s="79"/>
      <c r="S264" s="79"/>
      <c r="T264" s="79"/>
      <c r="W264" s="130"/>
      <c r="Y264" s="106"/>
    </row>
    <row r="265">
      <c r="C265" s="79"/>
      <c r="D265" s="79"/>
      <c r="J265" s="79"/>
      <c r="P265" s="79"/>
      <c r="S265" s="79"/>
      <c r="T265" s="79"/>
      <c r="W265" s="130"/>
      <c r="Y265" s="106"/>
    </row>
    <row r="266">
      <c r="C266" s="79"/>
      <c r="D266" s="79"/>
      <c r="J266" s="79"/>
      <c r="P266" s="79"/>
      <c r="S266" s="79"/>
      <c r="T266" s="79"/>
      <c r="W266" s="130"/>
      <c r="Y266" s="106"/>
    </row>
    <row r="267">
      <c r="C267" s="79"/>
      <c r="D267" s="79"/>
      <c r="J267" s="79"/>
      <c r="P267" s="79"/>
      <c r="S267" s="79"/>
      <c r="T267" s="79"/>
      <c r="W267" s="130"/>
      <c r="Y267" s="106"/>
    </row>
    <row r="268">
      <c r="C268" s="79"/>
      <c r="D268" s="79"/>
      <c r="J268" s="79"/>
      <c r="P268" s="79"/>
      <c r="S268" s="79"/>
      <c r="T268" s="79"/>
      <c r="W268" s="130"/>
      <c r="Y268" s="106"/>
    </row>
    <row r="269">
      <c r="C269" s="79"/>
      <c r="D269" s="79"/>
      <c r="J269" s="79"/>
      <c r="P269" s="79"/>
      <c r="S269" s="79"/>
      <c r="T269" s="79"/>
      <c r="W269" s="130"/>
      <c r="Y269" s="106"/>
    </row>
    <row r="270">
      <c r="C270" s="79"/>
      <c r="D270" s="79"/>
      <c r="J270" s="79"/>
      <c r="P270" s="79"/>
      <c r="S270" s="79"/>
      <c r="T270" s="79"/>
      <c r="W270" s="130"/>
      <c r="Y270" s="106"/>
    </row>
    <row r="271">
      <c r="C271" s="79"/>
      <c r="D271" s="79"/>
      <c r="J271" s="79"/>
      <c r="P271" s="79"/>
      <c r="S271" s="79"/>
      <c r="T271" s="79"/>
      <c r="W271" s="130"/>
      <c r="Y271" s="106"/>
    </row>
    <row r="272">
      <c r="C272" s="79"/>
      <c r="D272" s="79"/>
      <c r="J272" s="79"/>
      <c r="P272" s="79"/>
      <c r="S272" s="79"/>
      <c r="T272" s="79"/>
      <c r="W272" s="130"/>
      <c r="Y272" s="106"/>
    </row>
    <row r="273">
      <c r="C273" s="79"/>
      <c r="D273" s="79"/>
      <c r="J273" s="79"/>
      <c r="P273" s="79"/>
      <c r="S273" s="79"/>
      <c r="T273" s="79"/>
      <c r="W273" s="130"/>
      <c r="Y273" s="106"/>
    </row>
    <row r="274">
      <c r="C274" s="79"/>
      <c r="D274" s="79"/>
      <c r="J274" s="79"/>
      <c r="P274" s="79"/>
      <c r="S274" s="79"/>
      <c r="T274" s="79"/>
      <c r="W274" s="130"/>
      <c r="Y274" s="106"/>
    </row>
    <row r="275">
      <c r="C275" s="79"/>
      <c r="D275" s="79"/>
      <c r="J275" s="79"/>
      <c r="P275" s="79"/>
      <c r="S275" s="79"/>
      <c r="T275" s="79"/>
      <c r="W275" s="130"/>
      <c r="Y275" s="106"/>
    </row>
    <row r="276">
      <c r="C276" s="79"/>
      <c r="D276" s="79"/>
      <c r="J276" s="79"/>
      <c r="P276" s="79"/>
      <c r="S276" s="79"/>
      <c r="T276" s="79"/>
      <c r="W276" s="130"/>
      <c r="Y276" s="106"/>
    </row>
    <row r="277">
      <c r="C277" s="79"/>
      <c r="D277" s="79"/>
      <c r="J277" s="79"/>
      <c r="P277" s="79"/>
      <c r="S277" s="79"/>
      <c r="T277" s="79"/>
      <c r="W277" s="130"/>
      <c r="Y277" s="106"/>
    </row>
    <row r="278">
      <c r="C278" s="79"/>
      <c r="D278" s="79"/>
      <c r="J278" s="79"/>
      <c r="P278" s="79"/>
      <c r="S278" s="79"/>
      <c r="T278" s="79"/>
      <c r="W278" s="130"/>
      <c r="Y278" s="106"/>
    </row>
    <row r="279">
      <c r="C279" s="79"/>
      <c r="D279" s="79"/>
      <c r="J279" s="79"/>
      <c r="P279" s="79"/>
      <c r="S279" s="79"/>
      <c r="T279" s="79"/>
      <c r="W279" s="130"/>
      <c r="Y279" s="106"/>
    </row>
    <row r="280">
      <c r="C280" s="79"/>
      <c r="D280" s="79"/>
      <c r="J280" s="79"/>
      <c r="P280" s="79"/>
      <c r="S280" s="79"/>
      <c r="T280" s="79"/>
      <c r="W280" s="130"/>
      <c r="Y280" s="106"/>
    </row>
    <row r="281">
      <c r="C281" s="79"/>
      <c r="D281" s="79"/>
      <c r="J281" s="79"/>
      <c r="P281" s="79"/>
      <c r="S281" s="79"/>
      <c r="T281" s="79"/>
      <c r="W281" s="130"/>
      <c r="Y281" s="106"/>
    </row>
    <row r="282">
      <c r="C282" s="79"/>
      <c r="D282" s="79"/>
      <c r="J282" s="79"/>
      <c r="P282" s="79"/>
      <c r="S282" s="79"/>
      <c r="T282" s="79"/>
      <c r="W282" s="130"/>
      <c r="Y282" s="106"/>
    </row>
    <row r="283">
      <c r="C283" s="79"/>
      <c r="D283" s="79"/>
      <c r="J283" s="79"/>
      <c r="P283" s="79"/>
      <c r="S283" s="79"/>
      <c r="T283" s="79"/>
      <c r="W283" s="130"/>
      <c r="Y283" s="106"/>
    </row>
    <row r="284">
      <c r="C284" s="79"/>
      <c r="D284" s="79"/>
      <c r="J284" s="79"/>
      <c r="P284" s="79"/>
      <c r="S284" s="79"/>
      <c r="T284" s="79"/>
      <c r="W284" s="130"/>
      <c r="Y284" s="106"/>
    </row>
    <row r="285">
      <c r="C285" s="79"/>
      <c r="D285" s="79"/>
      <c r="J285" s="79"/>
      <c r="P285" s="79"/>
      <c r="S285" s="79"/>
      <c r="T285" s="79"/>
      <c r="W285" s="130"/>
      <c r="Y285" s="106"/>
    </row>
    <row r="286">
      <c r="C286" s="79"/>
      <c r="D286" s="79"/>
      <c r="J286" s="79"/>
      <c r="P286" s="79"/>
      <c r="S286" s="79"/>
      <c r="T286" s="79"/>
      <c r="W286" s="130"/>
      <c r="Y286" s="106"/>
    </row>
    <row r="287">
      <c r="C287" s="79"/>
      <c r="D287" s="79"/>
      <c r="J287" s="79"/>
      <c r="P287" s="79"/>
      <c r="S287" s="79"/>
      <c r="T287" s="79"/>
      <c r="W287" s="130"/>
      <c r="Y287" s="106"/>
    </row>
    <row r="288">
      <c r="C288" s="79"/>
      <c r="D288" s="79"/>
      <c r="J288" s="79"/>
      <c r="P288" s="79"/>
      <c r="S288" s="79"/>
      <c r="T288" s="79"/>
      <c r="W288" s="130"/>
      <c r="Y288" s="106"/>
    </row>
    <row r="289">
      <c r="C289" s="79"/>
      <c r="D289" s="79"/>
      <c r="J289" s="79"/>
      <c r="P289" s="79"/>
      <c r="S289" s="79"/>
      <c r="T289" s="79"/>
      <c r="W289" s="130"/>
      <c r="Y289" s="106"/>
    </row>
    <row r="290">
      <c r="C290" s="79"/>
      <c r="D290" s="79"/>
      <c r="J290" s="79"/>
      <c r="P290" s="79"/>
      <c r="S290" s="79"/>
      <c r="T290" s="79"/>
      <c r="W290" s="130"/>
      <c r="Y290" s="106"/>
    </row>
    <row r="291">
      <c r="C291" s="79"/>
      <c r="D291" s="79"/>
      <c r="J291" s="79"/>
      <c r="P291" s="79"/>
      <c r="S291" s="79"/>
      <c r="T291" s="79"/>
      <c r="W291" s="130"/>
      <c r="Y291" s="106"/>
    </row>
    <row r="292">
      <c r="C292" s="79"/>
      <c r="D292" s="79"/>
      <c r="J292" s="79"/>
      <c r="P292" s="79"/>
      <c r="S292" s="79"/>
      <c r="T292" s="79"/>
      <c r="W292" s="130"/>
      <c r="Y292" s="106"/>
    </row>
    <row r="293">
      <c r="C293" s="79"/>
      <c r="D293" s="79"/>
      <c r="J293" s="79"/>
      <c r="P293" s="79"/>
      <c r="S293" s="79"/>
      <c r="T293" s="79"/>
      <c r="W293" s="130"/>
      <c r="Y293" s="106"/>
    </row>
    <row r="294">
      <c r="C294" s="79"/>
      <c r="D294" s="79"/>
      <c r="J294" s="79"/>
      <c r="P294" s="79"/>
      <c r="S294" s="79"/>
      <c r="T294" s="79"/>
      <c r="W294" s="130"/>
      <c r="Y294" s="106"/>
    </row>
    <row r="295">
      <c r="C295" s="79"/>
      <c r="D295" s="79"/>
      <c r="J295" s="79"/>
      <c r="P295" s="79"/>
      <c r="S295" s="79"/>
      <c r="T295" s="79"/>
      <c r="W295" s="130"/>
      <c r="Y295" s="106"/>
    </row>
    <row r="296">
      <c r="C296" s="79"/>
      <c r="D296" s="79"/>
      <c r="J296" s="79"/>
      <c r="P296" s="79"/>
      <c r="S296" s="79"/>
      <c r="T296" s="79"/>
      <c r="W296" s="130"/>
      <c r="Y296" s="106"/>
    </row>
    <row r="297">
      <c r="C297" s="79"/>
      <c r="D297" s="79"/>
      <c r="J297" s="79"/>
      <c r="P297" s="79"/>
      <c r="S297" s="79"/>
      <c r="T297" s="79"/>
      <c r="W297" s="130"/>
      <c r="Y297" s="106"/>
    </row>
    <row r="298">
      <c r="C298" s="79"/>
      <c r="D298" s="79"/>
      <c r="J298" s="79"/>
      <c r="P298" s="79"/>
      <c r="S298" s="79"/>
      <c r="T298" s="79"/>
      <c r="W298" s="130"/>
      <c r="Y298" s="106"/>
    </row>
    <row r="299">
      <c r="C299" s="79"/>
      <c r="D299" s="79"/>
      <c r="J299" s="79"/>
      <c r="P299" s="79"/>
      <c r="S299" s="79"/>
      <c r="T299" s="79"/>
      <c r="W299" s="130"/>
      <c r="Y299" s="106"/>
    </row>
    <row r="300">
      <c r="C300" s="79"/>
      <c r="D300" s="79"/>
      <c r="J300" s="79"/>
      <c r="P300" s="79"/>
      <c r="S300" s="79"/>
      <c r="T300" s="79"/>
      <c r="W300" s="130"/>
      <c r="Y300" s="106"/>
    </row>
    <row r="301">
      <c r="C301" s="79"/>
      <c r="D301" s="79"/>
      <c r="J301" s="79"/>
      <c r="P301" s="79"/>
      <c r="S301" s="79"/>
      <c r="T301" s="79"/>
      <c r="W301" s="130"/>
      <c r="Y301" s="106"/>
    </row>
    <row r="302">
      <c r="C302" s="79"/>
      <c r="D302" s="79"/>
      <c r="J302" s="79"/>
      <c r="P302" s="79"/>
      <c r="S302" s="79"/>
      <c r="T302" s="79"/>
      <c r="W302" s="130"/>
      <c r="Y302" s="106"/>
    </row>
    <row r="303">
      <c r="C303" s="79"/>
      <c r="D303" s="79"/>
      <c r="J303" s="79"/>
      <c r="P303" s="79"/>
      <c r="S303" s="79"/>
      <c r="T303" s="79"/>
      <c r="W303" s="130"/>
      <c r="Y303" s="106"/>
    </row>
    <row r="304">
      <c r="C304" s="79"/>
      <c r="D304" s="79"/>
      <c r="J304" s="79"/>
      <c r="P304" s="79"/>
      <c r="S304" s="79"/>
      <c r="T304" s="79"/>
      <c r="W304" s="130"/>
      <c r="Y304" s="106"/>
    </row>
    <row r="305">
      <c r="C305" s="79"/>
      <c r="D305" s="79"/>
      <c r="J305" s="79"/>
      <c r="P305" s="79"/>
      <c r="S305" s="79"/>
      <c r="T305" s="79"/>
      <c r="W305" s="130"/>
      <c r="Y305" s="106"/>
    </row>
    <row r="306">
      <c r="C306" s="79"/>
      <c r="D306" s="79"/>
      <c r="J306" s="79"/>
      <c r="P306" s="79"/>
      <c r="S306" s="79"/>
      <c r="T306" s="79"/>
      <c r="W306" s="130"/>
      <c r="Y306" s="106"/>
    </row>
    <row r="307">
      <c r="C307" s="79"/>
      <c r="D307" s="79"/>
      <c r="J307" s="79"/>
      <c r="P307" s="79"/>
      <c r="S307" s="79"/>
      <c r="T307" s="79"/>
      <c r="W307" s="130"/>
      <c r="Y307" s="106"/>
    </row>
    <row r="308">
      <c r="C308" s="79"/>
      <c r="D308" s="79"/>
      <c r="J308" s="79"/>
      <c r="P308" s="79"/>
      <c r="S308" s="79"/>
      <c r="T308" s="79"/>
      <c r="W308" s="130"/>
      <c r="Y308" s="106"/>
    </row>
    <row r="309">
      <c r="C309" s="79"/>
      <c r="D309" s="79"/>
      <c r="J309" s="79"/>
      <c r="P309" s="79"/>
      <c r="S309" s="79"/>
      <c r="T309" s="79"/>
      <c r="W309" s="130"/>
      <c r="Y309" s="106"/>
    </row>
    <row r="310">
      <c r="C310" s="79"/>
      <c r="D310" s="79"/>
      <c r="J310" s="79"/>
      <c r="P310" s="79"/>
      <c r="S310" s="79"/>
      <c r="T310" s="79"/>
      <c r="W310" s="130"/>
      <c r="Y310" s="106"/>
    </row>
    <row r="311">
      <c r="C311" s="79"/>
      <c r="D311" s="79"/>
      <c r="J311" s="79"/>
      <c r="P311" s="79"/>
      <c r="S311" s="79"/>
      <c r="T311" s="79"/>
      <c r="W311" s="130"/>
      <c r="Y311" s="106"/>
    </row>
    <row r="312">
      <c r="C312" s="79"/>
      <c r="D312" s="79"/>
      <c r="J312" s="79"/>
      <c r="P312" s="79"/>
      <c r="S312" s="79"/>
      <c r="T312" s="79"/>
      <c r="W312" s="130"/>
      <c r="Y312" s="106"/>
    </row>
    <row r="313">
      <c r="C313" s="79"/>
      <c r="D313" s="79"/>
      <c r="J313" s="79"/>
      <c r="P313" s="79"/>
      <c r="S313" s="79"/>
      <c r="T313" s="79"/>
      <c r="W313" s="130"/>
      <c r="Y313" s="106"/>
    </row>
    <row r="314">
      <c r="C314" s="79"/>
      <c r="D314" s="79"/>
      <c r="J314" s="79"/>
      <c r="P314" s="79"/>
      <c r="S314" s="79"/>
      <c r="T314" s="79"/>
      <c r="W314" s="130"/>
      <c r="Y314" s="106"/>
    </row>
    <row r="315">
      <c r="C315" s="79"/>
      <c r="D315" s="79"/>
      <c r="J315" s="79"/>
      <c r="P315" s="79"/>
      <c r="S315" s="79"/>
      <c r="T315" s="79"/>
      <c r="W315" s="130"/>
      <c r="Y315" s="106"/>
    </row>
    <row r="316">
      <c r="C316" s="79"/>
      <c r="D316" s="79"/>
      <c r="J316" s="79"/>
      <c r="P316" s="79"/>
      <c r="S316" s="79"/>
      <c r="T316" s="79"/>
      <c r="W316" s="130"/>
      <c r="Y316" s="106"/>
    </row>
    <row r="317">
      <c r="C317" s="79"/>
      <c r="D317" s="79"/>
      <c r="J317" s="79"/>
      <c r="P317" s="79"/>
      <c r="S317" s="79"/>
      <c r="T317" s="79"/>
      <c r="W317" s="130"/>
      <c r="Y317" s="106"/>
    </row>
    <row r="318">
      <c r="C318" s="79"/>
      <c r="D318" s="79"/>
      <c r="J318" s="79"/>
      <c r="P318" s="79"/>
      <c r="S318" s="79"/>
      <c r="T318" s="79"/>
      <c r="W318" s="130"/>
      <c r="Y318" s="106"/>
    </row>
    <row r="319">
      <c r="C319" s="79"/>
      <c r="D319" s="79"/>
      <c r="J319" s="79"/>
      <c r="P319" s="79"/>
      <c r="S319" s="79"/>
      <c r="T319" s="79"/>
      <c r="W319" s="130"/>
      <c r="Y319" s="106"/>
    </row>
    <row r="320">
      <c r="C320" s="79"/>
      <c r="D320" s="79"/>
      <c r="J320" s="79"/>
      <c r="P320" s="79"/>
      <c r="S320" s="79"/>
      <c r="T320" s="79"/>
      <c r="W320" s="130"/>
      <c r="Y320" s="106"/>
    </row>
    <row r="321">
      <c r="C321" s="79"/>
      <c r="D321" s="79"/>
      <c r="J321" s="79"/>
      <c r="P321" s="79"/>
      <c r="S321" s="79"/>
      <c r="T321" s="79"/>
      <c r="W321" s="130"/>
      <c r="Y321" s="106"/>
    </row>
    <row r="322">
      <c r="C322" s="79"/>
      <c r="D322" s="79"/>
      <c r="J322" s="79"/>
      <c r="P322" s="79"/>
      <c r="S322" s="79"/>
      <c r="T322" s="79"/>
      <c r="W322" s="130"/>
      <c r="Y322" s="106"/>
    </row>
    <row r="323">
      <c r="C323" s="79"/>
      <c r="D323" s="79"/>
      <c r="J323" s="79"/>
      <c r="P323" s="79"/>
      <c r="S323" s="79"/>
      <c r="T323" s="79"/>
      <c r="W323" s="130"/>
      <c r="Y323" s="106"/>
    </row>
    <row r="324">
      <c r="C324" s="79"/>
      <c r="D324" s="79"/>
      <c r="J324" s="79"/>
      <c r="P324" s="79"/>
      <c r="S324" s="79"/>
      <c r="T324" s="79"/>
      <c r="W324" s="130"/>
      <c r="Y324" s="106"/>
    </row>
    <row r="325">
      <c r="C325" s="79"/>
      <c r="D325" s="79"/>
      <c r="J325" s="79"/>
      <c r="P325" s="79"/>
      <c r="S325" s="79"/>
      <c r="T325" s="79"/>
      <c r="W325" s="130"/>
      <c r="Y325" s="106"/>
    </row>
    <row r="326">
      <c r="C326" s="79"/>
      <c r="D326" s="79"/>
      <c r="J326" s="79"/>
      <c r="P326" s="79"/>
      <c r="S326" s="79"/>
      <c r="T326" s="79"/>
      <c r="W326" s="130"/>
      <c r="Y326" s="106"/>
    </row>
    <row r="327">
      <c r="C327" s="79"/>
      <c r="D327" s="79"/>
      <c r="J327" s="79"/>
      <c r="P327" s="79"/>
      <c r="S327" s="79"/>
      <c r="T327" s="79"/>
      <c r="W327" s="130"/>
      <c r="Y327" s="106"/>
    </row>
    <row r="328">
      <c r="C328" s="79"/>
      <c r="D328" s="79"/>
      <c r="J328" s="79"/>
      <c r="P328" s="79"/>
      <c r="S328" s="79"/>
      <c r="T328" s="79"/>
      <c r="W328" s="130"/>
      <c r="Y328" s="106"/>
    </row>
    <row r="329">
      <c r="C329" s="79"/>
      <c r="D329" s="79"/>
      <c r="J329" s="79"/>
      <c r="P329" s="79"/>
      <c r="S329" s="79"/>
      <c r="T329" s="79"/>
      <c r="W329" s="130"/>
      <c r="Y329" s="106"/>
    </row>
    <row r="330">
      <c r="C330" s="79"/>
      <c r="D330" s="79"/>
      <c r="J330" s="79"/>
      <c r="P330" s="79"/>
      <c r="S330" s="79"/>
      <c r="T330" s="79"/>
      <c r="W330" s="130"/>
      <c r="Y330" s="106"/>
    </row>
    <row r="331">
      <c r="C331" s="79"/>
      <c r="D331" s="79"/>
      <c r="J331" s="79"/>
      <c r="P331" s="79"/>
      <c r="S331" s="79"/>
      <c r="T331" s="79"/>
      <c r="W331" s="130"/>
      <c r="Y331" s="106"/>
    </row>
    <row r="332">
      <c r="C332" s="79"/>
      <c r="D332" s="79"/>
      <c r="J332" s="79"/>
      <c r="P332" s="79"/>
      <c r="S332" s="79"/>
      <c r="T332" s="79"/>
      <c r="W332" s="130"/>
      <c r="Y332" s="106"/>
    </row>
    <row r="333">
      <c r="C333" s="79"/>
      <c r="D333" s="79"/>
      <c r="J333" s="79"/>
      <c r="P333" s="79"/>
      <c r="S333" s="79"/>
      <c r="T333" s="79"/>
      <c r="W333" s="130"/>
      <c r="Y333" s="106"/>
    </row>
    <row r="334">
      <c r="C334" s="79"/>
      <c r="D334" s="79"/>
      <c r="J334" s="79"/>
      <c r="P334" s="79"/>
      <c r="S334" s="79"/>
      <c r="T334" s="79"/>
      <c r="W334" s="130"/>
      <c r="Y334" s="106"/>
    </row>
    <row r="335">
      <c r="C335" s="79"/>
      <c r="D335" s="79"/>
      <c r="J335" s="79"/>
      <c r="P335" s="79"/>
      <c r="S335" s="79"/>
      <c r="T335" s="79"/>
      <c r="W335" s="130"/>
      <c r="Y335" s="106"/>
    </row>
    <row r="336">
      <c r="C336" s="79"/>
      <c r="D336" s="79"/>
      <c r="J336" s="79"/>
      <c r="P336" s="79"/>
      <c r="S336" s="79"/>
      <c r="T336" s="79"/>
      <c r="W336" s="130"/>
      <c r="Y336" s="106"/>
    </row>
    <row r="337">
      <c r="C337" s="79"/>
      <c r="D337" s="79"/>
      <c r="J337" s="79"/>
      <c r="P337" s="79"/>
      <c r="S337" s="79"/>
      <c r="T337" s="79"/>
      <c r="W337" s="130"/>
      <c r="Y337" s="106"/>
    </row>
    <row r="338">
      <c r="C338" s="79"/>
      <c r="D338" s="79"/>
      <c r="J338" s="79"/>
      <c r="P338" s="79"/>
      <c r="S338" s="79"/>
      <c r="T338" s="79"/>
      <c r="W338" s="130"/>
      <c r="Y338" s="106"/>
    </row>
    <row r="339">
      <c r="C339" s="79"/>
      <c r="D339" s="79"/>
      <c r="J339" s="79"/>
      <c r="P339" s="79"/>
      <c r="S339" s="79"/>
      <c r="T339" s="79"/>
      <c r="W339" s="130"/>
      <c r="Y339" s="106"/>
    </row>
    <row r="340">
      <c r="C340" s="79"/>
      <c r="D340" s="79"/>
      <c r="J340" s="79"/>
      <c r="P340" s="79"/>
      <c r="S340" s="79"/>
      <c r="T340" s="79"/>
      <c r="W340" s="130"/>
      <c r="Y340" s="106"/>
    </row>
    <row r="341">
      <c r="C341" s="79"/>
      <c r="D341" s="79"/>
      <c r="J341" s="79"/>
      <c r="P341" s="79"/>
      <c r="S341" s="79"/>
      <c r="T341" s="79"/>
      <c r="W341" s="130"/>
      <c r="Y341" s="106"/>
    </row>
    <row r="342">
      <c r="C342" s="79"/>
      <c r="D342" s="79"/>
      <c r="J342" s="79"/>
      <c r="P342" s="79"/>
      <c r="S342" s="79"/>
      <c r="T342" s="79"/>
      <c r="W342" s="130"/>
      <c r="Y342" s="106"/>
    </row>
    <row r="343">
      <c r="C343" s="79"/>
      <c r="D343" s="79"/>
      <c r="J343" s="79"/>
      <c r="P343" s="79"/>
      <c r="S343" s="79"/>
      <c r="T343" s="79"/>
      <c r="W343" s="130"/>
      <c r="Y343" s="106"/>
    </row>
    <row r="344">
      <c r="C344" s="79"/>
      <c r="D344" s="79"/>
      <c r="J344" s="79"/>
      <c r="P344" s="79"/>
      <c r="S344" s="79"/>
      <c r="T344" s="79"/>
      <c r="W344" s="130"/>
      <c r="Y344" s="106"/>
    </row>
    <row r="345">
      <c r="C345" s="79"/>
      <c r="D345" s="79"/>
      <c r="J345" s="79"/>
      <c r="P345" s="79"/>
      <c r="S345" s="79"/>
      <c r="T345" s="79"/>
      <c r="W345" s="130"/>
      <c r="Y345" s="106"/>
    </row>
    <row r="346">
      <c r="C346" s="79"/>
      <c r="D346" s="79"/>
      <c r="J346" s="79"/>
      <c r="P346" s="79"/>
      <c r="S346" s="79"/>
      <c r="T346" s="79"/>
      <c r="W346" s="130"/>
      <c r="Y346" s="106"/>
    </row>
    <row r="347">
      <c r="C347" s="79"/>
      <c r="D347" s="79"/>
      <c r="J347" s="79"/>
      <c r="P347" s="79"/>
      <c r="S347" s="79"/>
      <c r="T347" s="79"/>
      <c r="W347" s="130"/>
      <c r="Y347" s="106"/>
    </row>
    <row r="348">
      <c r="C348" s="79"/>
      <c r="D348" s="79"/>
      <c r="J348" s="79"/>
      <c r="P348" s="79"/>
      <c r="S348" s="79"/>
      <c r="T348" s="79"/>
      <c r="W348" s="130"/>
      <c r="Y348" s="106"/>
    </row>
    <row r="349">
      <c r="C349" s="79"/>
      <c r="D349" s="79"/>
      <c r="J349" s="79"/>
      <c r="P349" s="79"/>
      <c r="S349" s="79"/>
      <c r="T349" s="79"/>
      <c r="W349" s="130"/>
      <c r="Y349" s="106"/>
    </row>
    <row r="350">
      <c r="C350" s="79"/>
      <c r="D350" s="79"/>
      <c r="J350" s="79"/>
      <c r="P350" s="79"/>
      <c r="S350" s="79"/>
      <c r="T350" s="79"/>
      <c r="W350" s="130"/>
      <c r="Y350" s="106"/>
    </row>
    <row r="351">
      <c r="C351" s="79"/>
      <c r="D351" s="79"/>
      <c r="J351" s="79"/>
      <c r="P351" s="79"/>
      <c r="S351" s="79"/>
      <c r="T351" s="79"/>
      <c r="W351" s="130"/>
      <c r="Y351" s="106"/>
    </row>
    <row r="352">
      <c r="C352" s="79"/>
      <c r="D352" s="79"/>
      <c r="J352" s="79"/>
      <c r="P352" s="79"/>
      <c r="S352" s="79"/>
      <c r="T352" s="79"/>
      <c r="W352" s="130"/>
      <c r="Y352" s="106"/>
    </row>
    <row r="353">
      <c r="C353" s="79"/>
      <c r="D353" s="79"/>
      <c r="J353" s="79"/>
      <c r="P353" s="79"/>
      <c r="S353" s="79"/>
      <c r="T353" s="79"/>
      <c r="W353" s="130"/>
      <c r="Y353" s="106"/>
    </row>
    <row r="354">
      <c r="C354" s="79"/>
      <c r="D354" s="79"/>
      <c r="J354" s="79"/>
      <c r="P354" s="79"/>
      <c r="S354" s="79"/>
      <c r="T354" s="79"/>
      <c r="W354" s="130"/>
      <c r="Y354" s="106"/>
    </row>
    <row r="355">
      <c r="C355" s="79"/>
      <c r="D355" s="79"/>
      <c r="J355" s="79"/>
      <c r="P355" s="79"/>
      <c r="S355" s="79"/>
      <c r="T355" s="79"/>
      <c r="W355" s="130"/>
      <c r="Y355" s="106"/>
    </row>
    <row r="356">
      <c r="C356" s="79"/>
      <c r="D356" s="79"/>
      <c r="J356" s="79"/>
      <c r="P356" s="79"/>
      <c r="S356" s="79"/>
      <c r="T356" s="79"/>
      <c r="W356" s="130"/>
      <c r="Y356" s="106"/>
    </row>
    <row r="357">
      <c r="C357" s="79"/>
      <c r="D357" s="79"/>
      <c r="J357" s="79"/>
      <c r="P357" s="79"/>
      <c r="S357" s="79"/>
      <c r="T357" s="79"/>
      <c r="W357" s="130"/>
      <c r="Y357" s="106"/>
    </row>
    <row r="358">
      <c r="C358" s="79"/>
      <c r="D358" s="79"/>
      <c r="J358" s="79"/>
      <c r="P358" s="79"/>
      <c r="S358" s="79"/>
      <c r="T358" s="79"/>
      <c r="W358" s="130"/>
      <c r="Y358" s="106"/>
    </row>
    <row r="359">
      <c r="C359" s="79"/>
      <c r="D359" s="79"/>
      <c r="J359" s="79"/>
      <c r="P359" s="79"/>
      <c r="S359" s="79"/>
      <c r="T359" s="79"/>
      <c r="W359" s="130"/>
      <c r="Y359" s="106"/>
    </row>
    <row r="360">
      <c r="C360" s="79"/>
      <c r="D360" s="79"/>
      <c r="J360" s="79"/>
      <c r="P360" s="79"/>
      <c r="S360" s="79"/>
      <c r="T360" s="79"/>
      <c r="W360" s="130"/>
      <c r="Y360" s="106"/>
    </row>
    <row r="361">
      <c r="C361" s="79"/>
      <c r="D361" s="79"/>
      <c r="J361" s="79"/>
      <c r="P361" s="79"/>
      <c r="S361" s="79"/>
      <c r="T361" s="79"/>
      <c r="W361" s="130"/>
      <c r="Y361" s="106"/>
    </row>
    <row r="362">
      <c r="C362" s="79"/>
      <c r="D362" s="79"/>
      <c r="J362" s="79"/>
      <c r="P362" s="79"/>
      <c r="S362" s="79"/>
      <c r="T362" s="79"/>
      <c r="W362" s="130"/>
      <c r="Y362" s="106"/>
    </row>
    <row r="363">
      <c r="C363" s="79"/>
      <c r="D363" s="79"/>
      <c r="J363" s="79"/>
      <c r="P363" s="79"/>
      <c r="S363" s="79"/>
      <c r="T363" s="79"/>
      <c r="W363" s="130"/>
      <c r="Y363" s="106"/>
    </row>
    <row r="364">
      <c r="C364" s="79"/>
      <c r="D364" s="79"/>
      <c r="J364" s="79"/>
      <c r="P364" s="79"/>
      <c r="S364" s="79"/>
      <c r="T364" s="79"/>
      <c r="W364" s="130"/>
      <c r="Y364" s="106"/>
    </row>
    <row r="365">
      <c r="C365" s="79"/>
      <c r="D365" s="79"/>
      <c r="J365" s="79"/>
      <c r="P365" s="79"/>
      <c r="S365" s="79"/>
      <c r="T365" s="79"/>
      <c r="W365" s="130"/>
      <c r="Y365" s="106"/>
    </row>
    <row r="366">
      <c r="C366" s="79"/>
      <c r="D366" s="79"/>
      <c r="J366" s="79"/>
      <c r="P366" s="79"/>
      <c r="S366" s="79"/>
      <c r="T366" s="79"/>
      <c r="W366" s="130"/>
      <c r="Y366" s="106"/>
    </row>
    <row r="367">
      <c r="C367" s="79"/>
      <c r="D367" s="79"/>
      <c r="J367" s="79"/>
      <c r="P367" s="79"/>
      <c r="S367" s="79"/>
      <c r="T367" s="79"/>
      <c r="W367" s="130"/>
      <c r="Y367" s="106"/>
    </row>
    <row r="368">
      <c r="C368" s="79"/>
      <c r="D368" s="79"/>
      <c r="J368" s="79"/>
      <c r="P368" s="79"/>
      <c r="S368" s="79"/>
      <c r="T368" s="79"/>
      <c r="W368" s="130"/>
      <c r="Y368" s="106"/>
    </row>
    <row r="369">
      <c r="C369" s="79"/>
      <c r="D369" s="79"/>
      <c r="J369" s="79"/>
      <c r="P369" s="79"/>
      <c r="S369" s="79"/>
      <c r="T369" s="79"/>
      <c r="W369" s="130"/>
      <c r="Y369" s="106"/>
    </row>
    <row r="370">
      <c r="C370" s="79"/>
      <c r="D370" s="79"/>
      <c r="J370" s="79"/>
      <c r="P370" s="79"/>
      <c r="S370" s="79"/>
      <c r="T370" s="79"/>
      <c r="W370" s="130"/>
      <c r="Y370" s="106"/>
    </row>
    <row r="371">
      <c r="C371" s="79"/>
      <c r="D371" s="79"/>
      <c r="J371" s="79"/>
      <c r="P371" s="79"/>
      <c r="S371" s="79"/>
      <c r="T371" s="79"/>
      <c r="W371" s="130"/>
      <c r="Y371" s="106"/>
    </row>
    <row r="372">
      <c r="C372" s="79"/>
      <c r="D372" s="79"/>
      <c r="J372" s="79"/>
      <c r="P372" s="79"/>
      <c r="S372" s="79"/>
      <c r="T372" s="79"/>
      <c r="W372" s="130"/>
      <c r="Y372" s="106"/>
    </row>
    <row r="373">
      <c r="C373" s="79"/>
      <c r="D373" s="79"/>
      <c r="J373" s="79"/>
      <c r="P373" s="79"/>
      <c r="S373" s="79"/>
      <c r="T373" s="79"/>
      <c r="W373" s="130"/>
      <c r="Y373" s="106"/>
    </row>
    <row r="374">
      <c r="C374" s="79"/>
      <c r="D374" s="79"/>
      <c r="J374" s="79"/>
      <c r="P374" s="79"/>
      <c r="S374" s="79"/>
      <c r="T374" s="79"/>
      <c r="W374" s="130"/>
      <c r="Y374" s="106"/>
    </row>
    <row r="375">
      <c r="C375" s="79"/>
      <c r="D375" s="79"/>
      <c r="J375" s="79"/>
      <c r="P375" s="79"/>
      <c r="S375" s="79"/>
      <c r="T375" s="79"/>
      <c r="W375" s="130"/>
      <c r="Y375" s="106"/>
    </row>
    <row r="376">
      <c r="C376" s="79"/>
      <c r="D376" s="79"/>
      <c r="J376" s="79"/>
      <c r="P376" s="79"/>
      <c r="S376" s="79"/>
      <c r="T376" s="79"/>
      <c r="W376" s="130"/>
      <c r="Y376" s="106"/>
    </row>
    <row r="377">
      <c r="C377" s="79"/>
      <c r="D377" s="79"/>
      <c r="J377" s="79"/>
      <c r="P377" s="79"/>
      <c r="S377" s="79"/>
      <c r="T377" s="79"/>
      <c r="W377" s="130"/>
      <c r="Y377" s="106"/>
    </row>
    <row r="378">
      <c r="C378" s="79"/>
      <c r="D378" s="79"/>
      <c r="J378" s="79"/>
      <c r="P378" s="79"/>
      <c r="S378" s="79"/>
      <c r="T378" s="79"/>
      <c r="W378" s="130"/>
      <c r="Y378" s="106"/>
    </row>
    <row r="379">
      <c r="C379" s="79"/>
      <c r="D379" s="79"/>
      <c r="J379" s="79"/>
      <c r="P379" s="79"/>
      <c r="S379" s="79"/>
      <c r="T379" s="79"/>
      <c r="W379" s="130"/>
      <c r="Y379" s="106"/>
    </row>
    <row r="380">
      <c r="C380" s="79"/>
      <c r="D380" s="79"/>
      <c r="J380" s="79"/>
      <c r="P380" s="79"/>
      <c r="S380" s="79"/>
      <c r="T380" s="79"/>
      <c r="W380" s="130"/>
      <c r="Y380" s="106"/>
    </row>
    <row r="381">
      <c r="C381" s="79"/>
      <c r="D381" s="79"/>
      <c r="J381" s="79"/>
      <c r="P381" s="79"/>
      <c r="S381" s="79"/>
      <c r="T381" s="79"/>
      <c r="W381" s="130"/>
      <c r="Y381" s="106"/>
    </row>
    <row r="382">
      <c r="C382" s="79"/>
      <c r="D382" s="79"/>
      <c r="J382" s="79"/>
      <c r="P382" s="79"/>
      <c r="S382" s="79"/>
      <c r="T382" s="79"/>
      <c r="W382" s="130"/>
      <c r="Y382" s="106"/>
    </row>
    <row r="383">
      <c r="C383" s="79"/>
      <c r="D383" s="79"/>
      <c r="J383" s="79"/>
      <c r="P383" s="79"/>
      <c r="S383" s="79"/>
      <c r="T383" s="79"/>
      <c r="W383" s="130"/>
      <c r="Y383" s="106"/>
    </row>
    <row r="384">
      <c r="C384" s="79"/>
      <c r="D384" s="79"/>
      <c r="J384" s="79"/>
      <c r="P384" s="79"/>
      <c r="S384" s="79"/>
      <c r="T384" s="79"/>
      <c r="W384" s="130"/>
      <c r="Y384" s="106"/>
    </row>
    <row r="385">
      <c r="C385" s="79"/>
      <c r="D385" s="79"/>
      <c r="J385" s="79"/>
      <c r="P385" s="79"/>
      <c r="S385" s="79"/>
      <c r="T385" s="79"/>
      <c r="W385" s="130"/>
      <c r="Y385" s="106"/>
    </row>
    <row r="386">
      <c r="C386" s="79"/>
      <c r="D386" s="79"/>
      <c r="J386" s="79"/>
      <c r="P386" s="79"/>
      <c r="S386" s="79"/>
      <c r="T386" s="79"/>
      <c r="W386" s="130"/>
      <c r="Y386" s="106"/>
    </row>
    <row r="387">
      <c r="C387" s="79"/>
      <c r="D387" s="79"/>
      <c r="J387" s="79"/>
      <c r="P387" s="79"/>
      <c r="S387" s="79"/>
      <c r="T387" s="79"/>
      <c r="W387" s="130"/>
      <c r="Y387" s="106"/>
    </row>
    <row r="388">
      <c r="C388" s="79"/>
      <c r="D388" s="79"/>
      <c r="J388" s="79"/>
      <c r="P388" s="79"/>
      <c r="S388" s="79"/>
      <c r="T388" s="79"/>
      <c r="W388" s="130"/>
      <c r="Y388" s="106"/>
    </row>
    <row r="389">
      <c r="C389" s="79"/>
      <c r="D389" s="79"/>
      <c r="J389" s="79"/>
      <c r="P389" s="79"/>
      <c r="S389" s="79"/>
      <c r="T389" s="79"/>
      <c r="W389" s="130"/>
      <c r="Y389" s="106"/>
    </row>
    <row r="390">
      <c r="C390" s="79"/>
      <c r="D390" s="79"/>
      <c r="J390" s="79"/>
      <c r="P390" s="79"/>
      <c r="S390" s="79"/>
      <c r="T390" s="79"/>
      <c r="W390" s="130"/>
      <c r="Y390" s="106"/>
    </row>
    <row r="391">
      <c r="C391" s="79"/>
      <c r="D391" s="79"/>
      <c r="J391" s="79"/>
      <c r="P391" s="79"/>
      <c r="S391" s="79"/>
      <c r="T391" s="79"/>
      <c r="W391" s="130"/>
      <c r="Y391" s="106"/>
    </row>
    <row r="392">
      <c r="C392" s="79"/>
      <c r="D392" s="79"/>
      <c r="J392" s="79"/>
      <c r="P392" s="79"/>
      <c r="S392" s="79"/>
      <c r="T392" s="79"/>
      <c r="W392" s="130"/>
      <c r="Y392" s="106"/>
    </row>
    <row r="393">
      <c r="C393" s="79"/>
      <c r="D393" s="79"/>
      <c r="J393" s="79"/>
      <c r="P393" s="79"/>
      <c r="S393" s="79"/>
      <c r="T393" s="79"/>
      <c r="W393" s="130"/>
      <c r="Y393" s="106"/>
    </row>
    <row r="394">
      <c r="C394" s="79"/>
      <c r="D394" s="79"/>
      <c r="J394" s="79"/>
      <c r="P394" s="79"/>
      <c r="S394" s="79"/>
      <c r="T394" s="79"/>
      <c r="W394" s="130"/>
      <c r="Y394" s="106"/>
    </row>
    <row r="395">
      <c r="C395" s="79"/>
      <c r="D395" s="79"/>
      <c r="J395" s="79"/>
      <c r="P395" s="79"/>
      <c r="S395" s="79"/>
      <c r="T395" s="79"/>
      <c r="W395" s="130"/>
      <c r="Y395" s="106"/>
    </row>
    <row r="396">
      <c r="C396" s="79"/>
      <c r="D396" s="79"/>
      <c r="J396" s="79"/>
      <c r="P396" s="79"/>
      <c r="S396" s="79"/>
      <c r="T396" s="79"/>
      <c r="W396" s="130"/>
      <c r="Y396" s="106"/>
    </row>
    <row r="397">
      <c r="C397" s="79"/>
      <c r="D397" s="79"/>
      <c r="J397" s="79"/>
      <c r="P397" s="79"/>
      <c r="S397" s="79"/>
      <c r="T397" s="79"/>
      <c r="W397" s="130"/>
      <c r="Y397" s="106"/>
    </row>
    <row r="398">
      <c r="C398" s="79"/>
      <c r="D398" s="79"/>
      <c r="J398" s="79"/>
      <c r="P398" s="79"/>
      <c r="S398" s="79"/>
      <c r="T398" s="79"/>
      <c r="W398" s="130"/>
      <c r="Y398" s="106"/>
    </row>
    <row r="399">
      <c r="C399" s="79"/>
      <c r="D399" s="79"/>
      <c r="J399" s="79"/>
      <c r="P399" s="79"/>
      <c r="S399" s="79"/>
      <c r="T399" s="79"/>
      <c r="W399" s="130"/>
      <c r="Y399" s="106"/>
    </row>
    <row r="400">
      <c r="C400" s="79"/>
      <c r="D400" s="79"/>
      <c r="J400" s="79"/>
      <c r="P400" s="79"/>
      <c r="S400" s="79"/>
      <c r="T400" s="79"/>
      <c r="W400" s="130"/>
      <c r="Y400" s="106"/>
    </row>
    <row r="401">
      <c r="C401" s="79"/>
      <c r="D401" s="79"/>
      <c r="J401" s="79"/>
      <c r="P401" s="79"/>
      <c r="S401" s="79"/>
      <c r="T401" s="79"/>
      <c r="W401" s="130"/>
      <c r="Y401" s="106"/>
    </row>
    <row r="402">
      <c r="C402" s="79"/>
      <c r="D402" s="79"/>
      <c r="J402" s="79"/>
      <c r="P402" s="79"/>
      <c r="S402" s="79"/>
      <c r="T402" s="79"/>
      <c r="W402" s="130"/>
      <c r="Y402" s="106"/>
    </row>
    <row r="403">
      <c r="C403" s="79"/>
      <c r="D403" s="79"/>
      <c r="J403" s="79"/>
      <c r="P403" s="79"/>
      <c r="S403" s="79"/>
      <c r="T403" s="79"/>
      <c r="W403" s="130"/>
      <c r="Y403" s="106"/>
    </row>
    <row r="404">
      <c r="C404" s="79"/>
      <c r="D404" s="79"/>
      <c r="J404" s="79"/>
      <c r="P404" s="79"/>
      <c r="S404" s="79"/>
      <c r="T404" s="79"/>
      <c r="W404" s="130"/>
      <c r="Y404" s="106"/>
    </row>
    <row r="405">
      <c r="C405" s="79"/>
      <c r="D405" s="79"/>
      <c r="J405" s="79"/>
      <c r="P405" s="79"/>
      <c r="S405" s="79"/>
      <c r="T405" s="79"/>
      <c r="W405" s="130"/>
      <c r="Y405" s="106"/>
    </row>
    <row r="406">
      <c r="C406" s="79"/>
      <c r="D406" s="79"/>
      <c r="J406" s="79"/>
      <c r="P406" s="79"/>
      <c r="S406" s="79"/>
      <c r="T406" s="79"/>
      <c r="W406" s="130"/>
      <c r="Y406" s="106"/>
    </row>
    <row r="407">
      <c r="C407" s="79"/>
      <c r="D407" s="79"/>
      <c r="J407" s="79"/>
      <c r="P407" s="79"/>
      <c r="S407" s="79"/>
      <c r="T407" s="79"/>
      <c r="W407" s="130"/>
      <c r="Y407" s="106"/>
    </row>
    <row r="408">
      <c r="C408" s="79"/>
      <c r="D408" s="79"/>
      <c r="J408" s="79"/>
      <c r="P408" s="79"/>
      <c r="S408" s="79"/>
      <c r="T408" s="79"/>
      <c r="W408" s="130"/>
      <c r="Y408" s="106"/>
    </row>
    <row r="409">
      <c r="C409" s="79"/>
      <c r="D409" s="79"/>
      <c r="J409" s="79"/>
      <c r="P409" s="79"/>
      <c r="S409" s="79"/>
      <c r="T409" s="79"/>
      <c r="W409" s="130"/>
      <c r="Y409" s="106"/>
    </row>
    <row r="410">
      <c r="C410" s="79"/>
      <c r="D410" s="79"/>
      <c r="J410" s="79"/>
      <c r="P410" s="79"/>
      <c r="S410" s="79"/>
      <c r="T410" s="79"/>
      <c r="W410" s="130"/>
      <c r="Y410" s="106"/>
    </row>
    <row r="411">
      <c r="C411" s="79"/>
      <c r="D411" s="79"/>
      <c r="J411" s="79"/>
      <c r="P411" s="79"/>
      <c r="S411" s="79"/>
      <c r="T411" s="79"/>
      <c r="W411" s="130"/>
      <c r="Y411" s="106"/>
    </row>
    <row r="412">
      <c r="C412" s="79"/>
      <c r="D412" s="79"/>
      <c r="J412" s="79"/>
      <c r="P412" s="79"/>
      <c r="S412" s="79"/>
      <c r="T412" s="79"/>
      <c r="W412" s="130"/>
      <c r="Y412" s="106"/>
    </row>
    <row r="413">
      <c r="C413" s="79"/>
      <c r="D413" s="79"/>
      <c r="J413" s="79"/>
      <c r="P413" s="79"/>
      <c r="S413" s="79"/>
      <c r="T413" s="79"/>
      <c r="W413" s="130"/>
      <c r="Y413" s="106"/>
    </row>
    <row r="414">
      <c r="C414" s="79"/>
      <c r="D414" s="79"/>
      <c r="J414" s="79"/>
      <c r="P414" s="79"/>
      <c r="S414" s="79"/>
      <c r="T414" s="79"/>
      <c r="W414" s="130"/>
      <c r="Y414" s="106"/>
    </row>
    <row r="415">
      <c r="C415" s="79"/>
      <c r="D415" s="79"/>
      <c r="J415" s="79"/>
      <c r="P415" s="79"/>
      <c r="S415" s="79"/>
      <c r="T415" s="79"/>
      <c r="W415" s="130"/>
      <c r="Y415" s="106"/>
    </row>
    <row r="416">
      <c r="C416" s="79"/>
      <c r="D416" s="79"/>
      <c r="J416" s="79"/>
      <c r="P416" s="79"/>
      <c r="S416" s="79"/>
      <c r="T416" s="79"/>
      <c r="W416" s="130"/>
      <c r="Y416" s="106"/>
    </row>
    <row r="417">
      <c r="C417" s="79"/>
      <c r="D417" s="79"/>
      <c r="J417" s="79"/>
      <c r="P417" s="79"/>
      <c r="S417" s="79"/>
      <c r="T417" s="79"/>
      <c r="W417" s="130"/>
      <c r="Y417" s="106"/>
    </row>
    <row r="418">
      <c r="C418" s="79"/>
      <c r="D418" s="79"/>
      <c r="J418" s="79"/>
      <c r="P418" s="79"/>
      <c r="S418" s="79"/>
      <c r="T418" s="79"/>
      <c r="W418" s="130"/>
      <c r="Y418" s="106"/>
    </row>
    <row r="419">
      <c r="C419" s="79"/>
      <c r="D419" s="79"/>
      <c r="J419" s="79"/>
      <c r="P419" s="79"/>
      <c r="S419" s="79"/>
      <c r="T419" s="79"/>
      <c r="W419" s="130"/>
      <c r="Y419" s="106"/>
    </row>
    <row r="420">
      <c r="C420" s="79"/>
      <c r="D420" s="79"/>
      <c r="J420" s="79"/>
      <c r="P420" s="79"/>
      <c r="S420" s="79"/>
      <c r="T420" s="79"/>
      <c r="W420" s="130"/>
      <c r="Y420" s="106"/>
    </row>
    <row r="421">
      <c r="C421" s="79"/>
      <c r="D421" s="79"/>
      <c r="J421" s="79"/>
      <c r="P421" s="79"/>
      <c r="S421" s="79"/>
      <c r="T421" s="79"/>
      <c r="W421" s="130"/>
      <c r="Y421" s="106"/>
    </row>
    <row r="422">
      <c r="C422" s="79"/>
      <c r="D422" s="79"/>
      <c r="J422" s="79"/>
      <c r="P422" s="79"/>
      <c r="S422" s="79"/>
      <c r="T422" s="79"/>
      <c r="W422" s="130"/>
      <c r="Y422" s="106"/>
    </row>
    <row r="423">
      <c r="C423" s="79"/>
      <c r="D423" s="79"/>
      <c r="J423" s="79"/>
      <c r="P423" s="79"/>
      <c r="S423" s="79"/>
      <c r="T423" s="79"/>
      <c r="W423" s="130"/>
      <c r="Y423" s="106"/>
    </row>
    <row r="424">
      <c r="C424" s="79"/>
      <c r="D424" s="79"/>
      <c r="J424" s="79"/>
      <c r="P424" s="79"/>
      <c r="S424" s="79"/>
      <c r="T424" s="79"/>
      <c r="W424" s="130"/>
      <c r="Y424" s="106"/>
    </row>
    <row r="425">
      <c r="C425" s="79"/>
      <c r="D425" s="79"/>
      <c r="J425" s="79"/>
      <c r="P425" s="79"/>
      <c r="S425" s="79"/>
      <c r="T425" s="79"/>
      <c r="W425" s="130"/>
      <c r="Y425" s="106"/>
    </row>
    <row r="426">
      <c r="C426" s="79"/>
      <c r="D426" s="79"/>
      <c r="J426" s="79"/>
      <c r="P426" s="79"/>
      <c r="S426" s="79"/>
      <c r="T426" s="79"/>
      <c r="W426" s="130"/>
      <c r="Y426" s="106"/>
    </row>
    <row r="427">
      <c r="C427" s="79"/>
      <c r="D427" s="79"/>
      <c r="J427" s="79"/>
      <c r="P427" s="79"/>
      <c r="S427" s="79"/>
      <c r="T427" s="79"/>
      <c r="W427" s="130"/>
      <c r="Y427" s="106"/>
    </row>
    <row r="428">
      <c r="C428" s="79"/>
      <c r="D428" s="79"/>
      <c r="J428" s="79"/>
      <c r="P428" s="79"/>
      <c r="S428" s="79"/>
      <c r="T428" s="79"/>
      <c r="W428" s="130"/>
      <c r="Y428" s="106"/>
    </row>
    <row r="429">
      <c r="C429" s="79"/>
      <c r="D429" s="79"/>
      <c r="J429" s="79"/>
      <c r="P429" s="79"/>
      <c r="S429" s="79"/>
      <c r="T429" s="79"/>
      <c r="W429" s="130"/>
      <c r="Y429" s="106"/>
    </row>
    <row r="430">
      <c r="C430" s="79"/>
      <c r="D430" s="79"/>
      <c r="J430" s="79"/>
      <c r="P430" s="79"/>
      <c r="S430" s="79"/>
      <c r="T430" s="79"/>
      <c r="W430" s="130"/>
      <c r="Y430" s="106"/>
    </row>
    <row r="431">
      <c r="C431" s="79"/>
      <c r="D431" s="79"/>
      <c r="J431" s="79"/>
      <c r="P431" s="79"/>
      <c r="S431" s="79"/>
      <c r="T431" s="79"/>
      <c r="W431" s="130"/>
      <c r="Y431" s="106"/>
    </row>
    <row r="432">
      <c r="C432" s="79"/>
      <c r="D432" s="79"/>
      <c r="J432" s="79"/>
      <c r="P432" s="79"/>
      <c r="S432" s="79"/>
      <c r="T432" s="79"/>
      <c r="W432" s="130"/>
      <c r="Y432" s="106"/>
    </row>
    <row r="433">
      <c r="C433" s="79"/>
      <c r="D433" s="79"/>
      <c r="J433" s="79"/>
      <c r="P433" s="79"/>
      <c r="S433" s="79"/>
      <c r="T433" s="79"/>
      <c r="W433" s="130"/>
      <c r="Y433" s="106"/>
    </row>
    <row r="434">
      <c r="C434" s="79"/>
      <c r="D434" s="79"/>
      <c r="J434" s="79"/>
      <c r="P434" s="79"/>
      <c r="S434" s="79"/>
      <c r="T434" s="79"/>
      <c r="W434" s="130"/>
      <c r="Y434" s="106"/>
    </row>
    <row r="435">
      <c r="C435" s="79"/>
      <c r="D435" s="79"/>
      <c r="J435" s="79"/>
      <c r="P435" s="79"/>
      <c r="S435" s="79"/>
      <c r="T435" s="79"/>
      <c r="W435" s="130"/>
      <c r="Y435" s="106"/>
    </row>
    <row r="436">
      <c r="C436" s="79"/>
      <c r="D436" s="79"/>
      <c r="J436" s="79"/>
      <c r="P436" s="79"/>
      <c r="S436" s="79"/>
      <c r="T436" s="79"/>
      <c r="W436" s="130"/>
      <c r="Y436" s="106"/>
    </row>
    <row r="437">
      <c r="C437" s="79"/>
      <c r="D437" s="79"/>
      <c r="J437" s="79"/>
      <c r="P437" s="79"/>
      <c r="S437" s="79"/>
      <c r="T437" s="79"/>
      <c r="W437" s="130"/>
      <c r="Y437" s="106"/>
    </row>
    <row r="438">
      <c r="C438" s="79"/>
      <c r="D438" s="79"/>
      <c r="J438" s="79"/>
      <c r="P438" s="79"/>
      <c r="S438" s="79"/>
      <c r="T438" s="79"/>
      <c r="W438" s="130"/>
      <c r="Y438" s="106"/>
    </row>
    <row r="439">
      <c r="C439" s="79"/>
      <c r="D439" s="79"/>
      <c r="J439" s="79"/>
      <c r="P439" s="79"/>
      <c r="S439" s="79"/>
      <c r="T439" s="79"/>
      <c r="W439" s="130"/>
      <c r="Y439" s="106"/>
    </row>
    <row r="440">
      <c r="C440" s="79"/>
      <c r="D440" s="79"/>
      <c r="J440" s="79"/>
      <c r="P440" s="79"/>
      <c r="S440" s="79"/>
      <c r="T440" s="79"/>
      <c r="W440" s="130"/>
      <c r="Y440" s="106"/>
    </row>
    <row r="441">
      <c r="C441" s="79"/>
      <c r="D441" s="79"/>
      <c r="J441" s="79"/>
      <c r="P441" s="79"/>
      <c r="S441" s="79"/>
      <c r="T441" s="79"/>
      <c r="W441" s="130"/>
      <c r="Y441" s="106"/>
    </row>
    <row r="442">
      <c r="C442" s="79"/>
      <c r="D442" s="79"/>
      <c r="J442" s="79"/>
      <c r="P442" s="79"/>
      <c r="S442" s="79"/>
      <c r="T442" s="79"/>
      <c r="W442" s="130"/>
      <c r="Y442" s="106"/>
    </row>
    <row r="443">
      <c r="C443" s="79"/>
      <c r="D443" s="79"/>
      <c r="J443" s="79"/>
      <c r="P443" s="79"/>
      <c r="S443" s="79"/>
      <c r="T443" s="79"/>
      <c r="W443" s="130"/>
      <c r="Y443" s="106"/>
    </row>
    <row r="444">
      <c r="C444" s="79"/>
      <c r="D444" s="79"/>
      <c r="J444" s="79"/>
      <c r="P444" s="79"/>
      <c r="S444" s="79"/>
      <c r="T444" s="79"/>
      <c r="W444" s="130"/>
      <c r="Y444" s="106"/>
    </row>
    <row r="445">
      <c r="C445" s="79"/>
      <c r="D445" s="79"/>
      <c r="J445" s="79"/>
      <c r="P445" s="79"/>
      <c r="S445" s="79"/>
      <c r="T445" s="79"/>
      <c r="W445" s="130"/>
      <c r="Y445" s="106"/>
    </row>
    <row r="446">
      <c r="C446" s="79"/>
      <c r="D446" s="79"/>
      <c r="J446" s="79"/>
      <c r="P446" s="79"/>
      <c r="S446" s="79"/>
      <c r="T446" s="79"/>
      <c r="W446" s="130"/>
      <c r="Y446" s="106"/>
    </row>
    <row r="447">
      <c r="C447" s="79"/>
      <c r="D447" s="79"/>
      <c r="J447" s="79"/>
      <c r="P447" s="79"/>
      <c r="S447" s="79"/>
      <c r="T447" s="79"/>
      <c r="W447" s="130"/>
      <c r="Y447" s="106"/>
    </row>
    <row r="448">
      <c r="C448" s="79"/>
      <c r="D448" s="79"/>
      <c r="J448" s="79"/>
      <c r="P448" s="79"/>
      <c r="S448" s="79"/>
      <c r="T448" s="79"/>
      <c r="W448" s="130"/>
      <c r="Y448" s="106"/>
    </row>
    <row r="449">
      <c r="C449" s="79"/>
      <c r="D449" s="79"/>
      <c r="J449" s="79"/>
      <c r="P449" s="79"/>
      <c r="S449" s="79"/>
      <c r="T449" s="79"/>
      <c r="W449" s="130"/>
      <c r="Y449" s="106"/>
    </row>
    <row r="450">
      <c r="C450" s="79"/>
      <c r="D450" s="79"/>
      <c r="J450" s="79"/>
      <c r="P450" s="79"/>
      <c r="S450" s="79"/>
      <c r="T450" s="79"/>
      <c r="W450" s="130"/>
      <c r="Y450" s="106"/>
    </row>
    <row r="451">
      <c r="C451" s="79"/>
      <c r="D451" s="79"/>
      <c r="J451" s="79"/>
      <c r="P451" s="79"/>
      <c r="S451" s="79"/>
      <c r="T451" s="79"/>
      <c r="W451" s="130"/>
      <c r="Y451" s="106"/>
    </row>
    <row r="452">
      <c r="C452" s="79"/>
      <c r="D452" s="79"/>
      <c r="J452" s="79"/>
      <c r="P452" s="79"/>
      <c r="S452" s="79"/>
      <c r="T452" s="79"/>
      <c r="W452" s="130"/>
      <c r="Y452" s="106"/>
    </row>
    <row r="453">
      <c r="C453" s="79"/>
      <c r="D453" s="79"/>
      <c r="J453" s="79"/>
      <c r="P453" s="79"/>
      <c r="S453" s="79"/>
      <c r="T453" s="79"/>
      <c r="W453" s="130"/>
      <c r="Y453" s="106"/>
    </row>
    <row r="454">
      <c r="C454" s="79"/>
      <c r="D454" s="79"/>
      <c r="J454" s="79"/>
      <c r="P454" s="79"/>
      <c r="S454" s="79"/>
      <c r="T454" s="79"/>
      <c r="W454" s="130"/>
      <c r="Y454" s="106"/>
    </row>
    <row r="455">
      <c r="C455" s="79"/>
      <c r="D455" s="79"/>
      <c r="J455" s="79"/>
      <c r="P455" s="79"/>
      <c r="S455" s="79"/>
      <c r="T455" s="79"/>
      <c r="W455" s="130"/>
      <c r="Y455" s="106"/>
    </row>
    <row r="456">
      <c r="C456" s="79"/>
      <c r="D456" s="79"/>
      <c r="J456" s="79"/>
      <c r="P456" s="79"/>
      <c r="S456" s="79"/>
      <c r="T456" s="79"/>
      <c r="W456" s="130"/>
      <c r="Y456" s="106"/>
    </row>
    <row r="457">
      <c r="C457" s="79"/>
      <c r="D457" s="79"/>
      <c r="J457" s="79"/>
      <c r="P457" s="79"/>
      <c r="S457" s="79"/>
      <c r="T457" s="79"/>
      <c r="W457" s="130"/>
      <c r="Y457" s="106"/>
    </row>
    <row r="458">
      <c r="C458" s="79"/>
      <c r="D458" s="79"/>
      <c r="J458" s="79"/>
      <c r="P458" s="79"/>
      <c r="S458" s="79"/>
      <c r="T458" s="79"/>
      <c r="W458" s="130"/>
      <c r="Y458" s="106"/>
    </row>
    <row r="459">
      <c r="C459" s="79"/>
      <c r="D459" s="79"/>
      <c r="J459" s="79"/>
      <c r="P459" s="79"/>
      <c r="S459" s="79"/>
      <c r="T459" s="79"/>
      <c r="W459" s="130"/>
      <c r="Y459" s="106"/>
    </row>
    <row r="460">
      <c r="C460" s="79"/>
      <c r="D460" s="79"/>
      <c r="J460" s="79"/>
      <c r="P460" s="79"/>
      <c r="S460" s="79"/>
      <c r="T460" s="79"/>
      <c r="W460" s="130"/>
      <c r="Y460" s="106"/>
    </row>
    <row r="461">
      <c r="C461" s="79"/>
      <c r="D461" s="79"/>
      <c r="J461" s="79"/>
      <c r="P461" s="79"/>
      <c r="S461" s="79"/>
      <c r="T461" s="79"/>
      <c r="W461" s="130"/>
      <c r="Y461" s="106"/>
    </row>
    <row r="462">
      <c r="C462" s="79"/>
      <c r="D462" s="79"/>
      <c r="J462" s="79"/>
      <c r="P462" s="79"/>
      <c r="S462" s="79"/>
      <c r="T462" s="79"/>
      <c r="W462" s="130"/>
      <c r="Y462" s="106"/>
    </row>
    <row r="463">
      <c r="C463" s="79"/>
      <c r="D463" s="79"/>
      <c r="J463" s="79"/>
      <c r="P463" s="79"/>
      <c r="S463" s="79"/>
      <c r="T463" s="79"/>
      <c r="W463" s="130"/>
      <c r="Y463" s="106"/>
    </row>
    <row r="464">
      <c r="C464" s="79"/>
      <c r="D464" s="79"/>
      <c r="J464" s="79"/>
      <c r="P464" s="79"/>
      <c r="S464" s="79"/>
      <c r="T464" s="79"/>
      <c r="W464" s="130"/>
      <c r="Y464" s="106"/>
    </row>
    <row r="465">
      <c r="C465" s="79"/>
      <c r="D465" s="79"/>
      <c r="J465" s="79"/>
      <c r="P465" s="79"/>
      <c r="S465" s="79"/>
      <c r="T465" s="79"/>
      <c r="W465" s="130"/>
      <c r="Y465" s="106"/>
    </row>
    <row r="466">
      <c r="C466" s="79"/>
      <c r="D466" s="79"/>
      <c r="J466" s="79"/>
      <c r="P466" s="79"/>
      <c r="S466" s="79"/>
      <c r="T466" s="79"/>
      <c r="W466" s="130"/>
      <c r="Y466" s="106"/>
    </row>
    <row r="467">
      <c r="C467" s="79"/>
      <c r="D467" s="79"/>
      <c r="J467" s="79"/>
      <c r="P467" s="79"/>
      <c r="S467" s="79"/>
      <c r="T467" s="79"/>
      <c r="W467" s="130"/>
      <c r="Y467" s="106"/>
    </row>
    <row r="468">
      <c r="C468" s="79"/>
      <c r="D468" s="79"/>
      <c r="J468" s="79"/>
      <c r="P468" s="79"/>
      <c r="S468" s="79"/>
      <c r="T468" s="79"/>
      <c r="W468" s="130"/>
      <c r="Y468" s="106"/>
    </row>
    <row r="469">
      <c r="C469" s="79"/>
      <c r="D469" s="79"/>
      <c r="J469" s="79"/>
      <c r="P469" s="79"/>
      <c r="S469" s="79"/>
      <c r="T469" s="79"/>
      <c r="W469" s="130"/>
      <c r="Y469" s="106"/>
    </row>
    <row r="470">
      <c r="C470" s="79"/>
      <c r="D470" s="79"/>
      <c r="J470" s="79"/>
      <c r="P470" s="79"/>
      <c r="S470" s="79"/>
      <c r="T470" s="79"/>
      <c r="W470" s="130"/>
      <c r="Y470" s="106"/>
    </row>
    <row r="471">
      <c r="C471" s="79"/>
      <c r="D471" s="79"/>
      <c r="J471" s="79"/>
      <c r="P471" s="79"/>
      <c r="S471" s="79"/>
      <c r="T471" s="79"/>
      <c r="W471" s="130"/>
      <c r="Y471" s="106"/>
    </row>
    <row r="472">
      <c r="C472" s="79"/>
      <c r="D472" s="79"/>
      <c r="J472" s="79"/>
      <c r="P472" s="79"/>
      <c r="S472" s="79"/>
      <c r="T472" s="79"/>
      <c r="W472" s="130"/>
      <c r="Y472" s="106"/>
    </row>
    <row r="473">
      <c r="C473" s="79"/>
      <c r="D473" s="79"/>
      <c r="J473" s="79"/>
      <c r="P473" s="79"/>
      <c r="S473" s="79"/>
      <c r="T473" s="79"/>
      <c r="W473" s="130"/>
      <c r="Y473" s="106"/>
    </row>
    <row r="474">
      <c r="C474" s="79"/>
      <c r="D474" s="79"/>
      <c r="J474" s="79"/>
      <c r="P474" s="79"/>
      <c r="S474" s="79"/>
      <c r="T474" s="79"/>
      <c r="W474" s="130"/>
      <c r="Y474" s="106"/>
    </row>
    <row r="475">
      <c r="C475" s="79"/>
      <c r="D475" s="79"/>
      <c r="J475" s="79"/>
      <c r="P475" s="79"/>
      <c r="S475" s="79"/>
      <c r="T475" s="79"/>
      <c r="W475" s="130"/>
      <c r="Y475" s="106"/>
    </row>
    <row r="476">
      <c r="C476" s="79"/>
      <c r="D476" s="79"/>
      <c r="J476" s="79"/>
      <c r="P476" s="79"/>
      <c r="S476" s="79"/>
      <c r="T476" s="79"/>
      <c r="W476" s="130"/>
      <c r="Y476" s="106"/>
    </row>
    <row r="477">
      <c r="C477" s="79"/>
      <c r="D477" s="79"/>
      <c r="J477" s="79"/>
      <c r="P477" s="79"/>
      <c r="S477" s="79"/>
      <c r="T477" s="79"/>
      <c r="W477" s="130"/>
      <c r="Y477" s="106"/>
    </row>
    <row r="478">
      <c r="C478" s="79"/>
      <c r="D478" s="79"/>
      <c r="J478" s="79"/>
      <c r="P478" s="79"/>
      <c r="S478" s="79"/>
      <c r="T478" s="79"/>
      <c r="W478" s="130"/>
      <c r="Y478" s="106"/>
    </row>
    <row r="479">
      <c r="C479" s="79"/>
      <c r="D479" s="79"/>
      <c r="J479" s="79"/>
      <c r="P479" s="79"/>
      <c r="S479" s="79"/>
      <c r="T479" s="79"/>
      <c r="W479" s="130"/>
      <c r="Y479" s="106"/>
    </row>
    <row r="480">
      <c r="C480" s="79"/>
      <c r="D480" s="79"/>
      <c r="J480" s="79"/>
      <c r="P480" s="79"/>
      <c r="S480" s="79"/>
      <c r="T480" s="79"/>
      <c r="W480" s="130"/>
      <c r="Y480" s="106"/>
    </row>
    <row r="481">
      <c r="C481" s="79"/>
      <c r="D481" s="79"/>
      <c r="J481" s="79"/>
      <c r="P481" s="79"/>
      <c r="S481" s="79"/>
      <c r="T481" s="79"/>
      <c r="W481" s="130"/>
      <c r="Y481" s="106"/>
    </row>
    <row r="482">
      <c r="C482" s="79"/>
      <c r="D482" s="79"/>
      <c r="J482" s="79"/>
      <c r="P482" s="79"/>
      <c r="S482" s="79"/>
      <c r="T482" s="79"/>
      <c r="W482" s="130"/>
      <c r="Y482" s="106"/>
    </row>
    <row r="483">
      <c r="C483" s="79"/>
      <c r="D483" s="79"/>
      <c r="J483" s="79"/>
      <c r="P483" s="79"/>
      <c r="S483" s="79"/>
      <c r="T483" s="79"/>
      <c r="W483" s="130"/>
      <c r="Y483" s="106"/>
    </row>
    <row r="484">
      <c r="C484" s="79"/>
      <c r="D484" s="79"/>
      <c r="J484" s="79"/>
      <c r="P484" s="79"/>
      <c r="S484" s="79"/>
      <c r="T484" s="79"/>
      <c r="W484" s="130"/>
      <c r="Y484" s="106"/>
    </row>
    <row r="485">
      <c r="C485" s="79"/>
      <c r="D485" s="79"/>
      <c r="J485" s="79"/>
      <c r="P485" s="79"/>
      <c r="S485" s="79"/>
      <c r="T485" s="79"/>
      <c r="W485" s="130"/>
      <c r="Y485" s="106"/>
    </row>
    <row r="486">
      <c r="C486" s="79"/>
      <c r="D486" s="79"/>
      <c r="J486" s="79"/>
      <c r="P486" s="79"/>
      <c r="S486" s="79"/>
      <c r="T486" s="79"/>
      <c r="W486" s="130"/>
      <c r="Y486" s="106"/>
    </row>
    <row r="487">
      <c r="C487" s="79"/>
      <c r="D487" s="79"/>
      <c r="J487" s="79"/>
      <c r="P487" s="79"/>
      <c r="S487" s="79"/>
      <c r="T487" s="79"/>
      <c r="W487" s="130"/>
      <c r="Y487" s="106"/>
    </row>
    <row r="488">
      <c r="C488" s="79"/>
      <c r="D488" s="79"/>
      <c r="J488" s="79"/>
      <c r="P488" s="79"/>
      <c r="S488" s="79"/>
      <c r="T488" s="79"/>
      <c r="W488" s="130"/>
      <c r="Y488" s="106"/>
    </row>
    <row r="489">
      <c r="C489" s="79"/>
      <c r="D489" s="79"/>
      <c r="J489" s="79"/>
      <c r="P489" s="79"/>
      <c r="S489" s="79"/>
      <c r="T489" s="79"/>
      <c r="W489" s="130"/>
      <c r="Y489" s="106"/>
    </row>
    <row r="490">
      <c r="C490" s="79"/>
      <c r="D490" s="79"/>
      <c r="J490" s="79"/>
      <c r="P490" s="79"/>
      <c r="S490" s="79"/>
      <c r="T490" s="79"/>
      <c r="W490" s="130"/>
      <c r="Y490" s="106"/>
    </row>
    <row r="491">
      <c r="C491" s="79"/>
      <c r="D491" s="79"/>
      <c r="J491" s="79"/>
      <c r="P491" s="79"/>
      <c r="S491" s="79"/>
      <c r="T491" s="79"/>
      <c r="W491" s="130"/>
      <c r="Y491" s="106"/>
    </row>
    <row r="492">
      <c r="C492" s="79"/>
      <c r="D492" s="79"/>
      <c r="J492" s="79"/>
      <c r="P492" s="79"/>
      <c r="S492" s="79"/>
      <c r="T492" s="79"/>
      <c r="W492" s="130"/>
      <c r="Y492" s="106"/>
    </row>
    <row r="493">
      <c r="C493" s="79"/>
      <c r="D493" s="79"/>
      <c r="J493" s="79"/>
      <c r="P493" s="79"/>
      <c r="S493" s="79"/>
      <c r="T493" s="79"/>
      <c r="W493" s="130"/>
      <c r="Y493" s="106"/>
    </row>
    <row r="494">
      <c r="C494" s="79"/>
      <c r="D494" s="79"/>
      <c r="J494" s="79"/>
      <c r="P494" s="79"/>
      <c r="S494" s="79"/>
      <c r="T494" s="79"/>
      <c r="W494" s="130"/>
      <c r="Y494" s="106"/>
    </row>
    <row r="495">
      <c r="C495" s="79"/>
      <c r="D495" s="79"/>
      <c r="J495" s="79"/>
      <c r="P495" s="79"/>
      <c r="S495" s="79"/>
      <c r="T495" s="79"/>
      <c r="W495" s="130"/>
      <c r="Y495" s="106"/>
    </row>
    <row r="496">
      <c r="C496" s="79"/>
      <c r="D496" s="79"/>
      <c r="J496" s="79"/>
      <c r="P496" s="79"/>
      <c r="S496" s="79"/>
      <c r="T496" s="79"/>
      <c r="W496" s="130"/>
      <c r="Y496" s="106"/>
    </row>
    <row r="497">
      <c r="C497" s="79"/>
      <c r="D497" s="79"/>
      <c r="J497" s="79"/>
      <c r="P497" s="79"/>
      <c r="S497" s="79"/>
      <c r="T497" s="79"/>
      <c r="W497" s="130"/>
      <c r="Y497" s="106"/>
    </row>
    <row r="498">
      <c r="C498" s="79"/>
      <c r="D498" s="79"/>
      <c r="J498" s="79"/>
      <c r="P498" s="79"/>
      <c r="S498" s="79"/>
      <c r="T498" s="79"/>
      <c r="W498" s="130"/>
      <c r="Y498" s="106"/>
    </row>
    <row r="499">
      <c r="C499" s="79"/>
      <c r="D499" s="79"/>
      <c r="J499" s="79"/>
      <c r="P499" s="79"/>
      <c r="S499" s="79"/>
      <c r="T499" s="79"/>
      <c r="W499" s="130"/>
      <c r="Y499" s="106"/>
    </row>
    <row r="500">
      <c r="C500" s="79"/>
      <c r="D500" s="79"/>
      <c r="J500" s="79"/>
      <c r="P500" s="79"/>
      <c r="S500" s="79"/>
      <c r="T500" s="79"/>
      <c r="W500" s="130"/>
      <c r="Y500" s="106"/>
    </row>
    <row r="501">
      <c r="C501" s="79"/>
      <c r="D501" s="79"/>
      <c r="J501" s="79"/>
      <c r="P501" s="79"/>
      <c r="S501" s="79"/>
      <c r="T501" s="79"/>
      <c r="W501" s="130"/>
      <c r="Y501" s="106"/>
    </row>
    <row r="502">
      <c r="C502" s="79"/>
      <c r="D502" s="79"/>
      <c r="J502" s="79"/>
      <c r="P502" s="79"/>
      <c r="S502" s="79"/>
      <c r="T502" s="79"/>
      <c r="W502" s="130"/>
      <c r="Y502" s="106"/>
    </row>
    <row r="503">
      <c r="C503" s="79"/>
      <c r="D503" s="79"/>
      <c r="J503" s="79"/>
      <c r="P503" s="79"/>
      <c r="S503" s="79"/>
      <c r="T503" s="79"/>
      <c r="W503" s="130"/>
      <c r="Y503" s="106"/>
    </row>
    <row r="504">
      <c r="C504" s="79"/>
      <c r="D504" s="79"/>
      <c r="J504" s="79"/>
      <c r="P504" s="79"/>
      <c r="S504" s="79"/>
      <c r="T504" s="79"/>
      <c r="W504" s="130"/>
      <c r="Y504" s="106"/>
    </row>
    <row r="505">
      <c r="C505" s="79"/>
      <c r="D505" s="79"/>
      <c r="J505" s="79"/>
      <c r="P505" s="79"/>
      <c r="S505" s="79"/>
      <c r="T505" s="79"/>
      <c r="W505" s="130"/>
      <c r="Y505" s="106"/>
    </row>
    <row r="506">
      <c r="C506" s="79"/>
      <c r="D506" s="79"/>
      <c r="J506" s="79"/>
      <c r="P506" s="79"/>
      <c r="S506" s="79"/>
      <c r="T506" s="79"/>
      <c r="W506" s="130"/>
      <c r="Y506" s="106"/>
    </row>
    <row r="507">
      <c r="C507" s="79"/>
      <c r="D507" s="79"/>
      <c r="J507" s="79"/>
      <c r="P507" s="79"/>
      <c r="S507" s="79"/>
      <c r="T507" s="79"/>
      <c r="W507" s="130"/>
      <c r="Y507" s="106"/>
    </row>
    <row r="508">
      <c r="C508" s="79"/>
      <c r="D508" s="79"/>
      <c r="J508" s="79"/>
      <c r="P508" s="79"/>
      <c r="S508" s="79"/>
      <c r="T508" s="79"/>
      <c r="W508" s="130"/>
      <c r="Y508" s="106"/>
    </row>
    <row r="509">
      <c r="C509" s="79"/>
      <c r="D509" s="79"/>
      <c r="J509" s="79"/>
      <c r="P509" s="79"/>
      <c r="S509" s="79"/>
      <c r="T509" s="79"/>
      <c r="W509" s="130"/>
      <c r="Y509" s="106"/>
    </row>
    <row r="510">
      <c r="C510" s="79"/>
      <c r="D510" s="79"/>
      <c r="J510" s="79"/>
      <c r="P510" s="79"/>
      <c r="S510" s="79"/>
      <c r="T510" s="79"/>
      <c r="W510" s="130"/>
      <c r="Y510" s="106"/>
    </row>
    <row r="511">
      <c r="C511" s="79"/>
      <c r="D511" s="79"/>
      <c r="J511" s="79"/>
      <c r="P511" s="79"/>
      <c r="S511" s="79"/>
      <c r="T511" s="79"/>
      <c r="W511" s="130"/>
      <c r="Y511" s="106"/>
    </row>
    <row r="512">
      <c r="C512" s="79"/>
      <c r="D512" s="79"/>
      <c r="J512" s="79"/>
      <c r="P512" s="79"/>
      <c r="S512" s="79"/>
      <c r="T512" s="79"/>
      <c r="W512" s="130"/>
      <c r="Y512" s="106"/>
    </row>
    <row r="513">
      <c r="C513" s="79"/>
      <c r="D513" s="79"/>
      <c r="J513" s="79"/>
      <c r="P513" s="79"/>
      <c r="S513" s="79"/>
      <c r="T513" s="79"/>
      <c r="W513" s="130"/>
      <c r="Y513" s="106"/>
    </row>
    <row r="514">
      <c r="C514" s="79"/>
      <c r="D514" s="79"/>
      <c r="J514" s="79"/>
      <c r="P514" s="79"/>
      <c r="S514" s="79"/>
      <c r="T514" s="79"/>
      <c r="W514" s="130"/>
      <c r="Y514" s="106"/>
    </row>
    <row r="515">
      <c r="C515" s="79"/>
      <c r="D515" s="79"/>
      <c r="J515" s="79"/>
      <c r="P515" s="79"/>
      <c r="S515" s="79"/>
      <c r="T515" s="79"/>
      <c r="W515" s="130"/>
      <c r="Y515" s="106"/>
    </row>
    <row r="516">
      <c r="C516" s="79"/>
      <c r="D516" s="79"/>
      <c r="J516" s="79"/>
      <c r="P516" s="79"/>
      <c r="S516" s="79"/>
      <c r="T516" s="79"/>
      <c r="W516" s="130"/>
      <c r="Y516" s="106"/>
    </row>
    <row r="517">
      <c r="C517" s="79"/>
      <c r="D517" s="79"/>
      <c r="J517" s="79"/>
      <c r="P517" s="79"/>
      <c r="S517" s="79"/>
      <c r="T517" s="79"/>
      <c r="W517" s="130"/>
      <c r="Y517" s="106"/>
    </row>
    <row r="518">
      <c r="C518" s="79"/>
      <c r="D518" s="79"/>
      <c r="J518" s="79"/>
      <c r="P518" s="79"/>
      <c r="S518" s="79"/>
      <c r="T518" s="79"/>
      <c r="W518" s="130"/>
      <c r="Y518" s="106"/>
    </row>
    <row r="519">
      <c r="C519" s="79"/>
      <c r="D519" s="79"/>
      <c r="J519" s="79"/>
      <c r="P519" s="79"/>
      <c r="S519" s="79"/>
      <c r="T519" s="79"/>
      <c r="W519" s="130"/>
      <c r="Y519" s="106"/>
    </row>
    <row r="520">
      <c r="C520" s="79"/>
      <c r="D520" s="79"/>
      <c r="J520" s="79"/>
      <c r="P520" s="79"/>
      <c r="S520" s="79"/>
      <c r="T520" s="79"/>
      <c r="W520" s="130"/>
      <c r="Y520" s="106"/>
    </row>
    <row r="521">
      <c r="C521" s="79"/>
      <c r="D521" s="79"/>
      <c r="J521" s="79"/>
      <c r="P521" s="79"/>
      <c r="S521" s="79"/>
      <c r="T521" s="79"/>
      <c r="W521" s="130"/>
      <c r="Y521" s="106"/>
    </row>
    <row r="522">
      <c r="C522" s="79"/>
      <c r="D522" s="79"/>
      <c r="J522" s="79"/>
      <c r="P522" s="79"/>
      <c r="S522" s="79"/>
      <c r="T522" s="79"/>
      <c r="W522" s="130"/>
      <c r="Y522" s="106"/>
    </row>
    <row r="523">
      <c r="C523" s="79"/>
      <c r="D523" s="79"/>
      <c r="J523" s="79"/>
      <c r="P523" s="79"/>
      <c r="S523" s="79"/>
      <c r="T523" s="79"/>
      <c r="W523" s="130"/>
      <c r="Y523" s="106"/>
    </row>
    <row r="524">
      <c r="C524" s="79"/>
      <c r="D524" s="79"/>
      <c r="J524" s="79"/>
      <c r="P524" s="79"/>
      <c r="S524" s="79"/>
      <c r="T524" s="79"/>
      <c r="W524" s="130"/>
      <c r="Y524" s="106"/>
    </row>
    <row r="525">
      <c r="C525" s="79"/>
      <c r="D525" s="79"/>
      <c r="J525" s="79"/>
      <c r="P525" s="79"/>
      <c r="S525" s="79"/>
      <c r="T525" s="79"/>
      <c r="W525" s="130"/>
      <c r="Y525" s="106"/>
    </row>
    <row r="526">
      <c r="C526" s="79"/>
      <c r="D526" s="79"/>
      <c r="J526" s="79"/>
      <c r="P526" s="79"/>
      <c r="S526" s="79"/>
      <c r="T526" s="79"/>
      <c r="W526" s="130"/>
      <c r="Y526" s="106"/>
    </row>
    <row r="527">
      <c r="C527" s="79"/>
      <c r="D527" s="79"/>
      <c r="J527" s="79"/>
      <c r="P527" s="79"/>
      <c r="S527" s="79"/>
      <c r="T527" s="79"/>
      <c r="W527" s="130"/>
      <c r="Y527" s="106"/>
    </row>
    <row r="528">
      <c r="C528" s="79"/>
      <c r="D528" s="79"/>
      <c r="J528" s="79"/>
      <c r="P528" s="79"/>
      <c r="S528" s="79"/>
      <c r="T528" s="79"/>
      <c r="W528" s="130"/>
      <c r="Y528" s="106"/>
    </row>
    <row r="529">
      <c r="C529" s="79"/>
      <c r="D529" s="79"/>
      <c r="J529" s="79"/>
      <c r="P529" s="79"/>
      <c r="S529" s="79"/>
      <c r="T529" s="79"/>
      <c r="W529" s="130"/>
      <c r="Y529" s="106"/>
    </row>
    <row r="530">
      <c r="C530" s="79"/>
      <c r="D530" s="79"/>
      <c r="J530" s="79"/>
      <c r="P530" s="79"/>
      <c r="S530" s="79"/>
      <c r="T530" s="79"/>
      <c r="W530" s="130"/>
      <c r="Y530" s="106"/>
    </row>
    <row r="531">
      <c r="C531" s="79"/>
      <c r="D531" s="79"/>
      <c r="J531" s="79"/>
      <c r="P531" s="79"/>
      <c r="S531" s="79"/>
      <c r="T531" s="79"/>
      <c r="W531" s="130"/>
      <c r="Y531" s="106"/>
    </row>
    <row r="532">
      <c r="C532" s="79"/>
      <c r="D532" s="79"/>
      <c r="J532" s="79"/>
      <c r="P532" s="79"/>
      <c r="S532" s="79"/>
      <c r="T532" s="79"/>
      <c r="W532" s="130"/>
      <c r="Y532" s="106"/>
    </row>
    <row r="533">
      <c r="C533" s="79"/>
      <c r="D533" s="79"/>
      <c r="J533" s="79"/>
      <c r="P533" s="79"/>
      <c r="S533" s="79"/>
      <c r="T533" s="79"/>
      <c r="W533" s="130"/>
      <c r="Y533" s="106"/>
    </row>
    <row r="534">
      <c r="C534" s="79"/>
      <c r="D534" s="79"/>
      <c r="J534" s="79"/>
      <c r="P534" s="79"/>
      <c r="S534" s="79"/>
      <c r="T534" s="79"/>
      <c r="W534" s="130"/>
      <c r="Y534" s="106"/>
    </row>
    <row r="535">
      <c r="C535" s="79"/>
      <c r="D535" s="79"/>
      <c r="J535" s="79"/>
      <c r="P535" s="79"/>
      <c r="S535" s="79"/>
      <c r="T535" s="79"/>
      <c r="W535" s="130"/>
      <c r="Y535" s="106"/>
    </row>
    <row r="536">
      <c r="C536" s="79"/>
      <c r="D536" s="79"/>
      <c r="J536" s="79"/>
      <c r="P536" s="79"/>
      <c r="S536" s="79"/>
      <c r="T536" s="79"/>
      <c r="W536" s="130"/>
      <c r="Y536" s="106"/>
    </row>
    <row r="537">
      <c r="C537" s="79"/>
      <c r="D537" s="79"/>
      <c r="J537" s="79"/>
      <c r="P537" s="79"/>
      <c r="S537" s="79"/>
      <c r="T537" s="79"/>
      <c r="W537" s="130"/>
      <c r="Y537" s="106"/>
    </row>
    <row r="538">
      <c r="C538" s="79"/>
      <c r="D538" s="79"/>
      <c r="J538" s="79"/>
      <c r="P538" s="79"/>
      <c r="S538" s="79"/>
      <c r="T538" s="79"/>
      <c r="W538" s="130"/>
      <c r="Y538" s="106"/>
    </row>
    <row r="539">
      <c r="C539" s="79"/>
      <c r="D539" s="79"/>
      <c r="J539" s="79"/>
      <c r="P539" s="79"/>
      <c r="S539" s="79"/>
      <c r="T539" s="79"/>
      <c r="W539" s="130"/>
      <c r="Y539" s="106"/>
    </row>
    <row r="540">
      <c r="C540" s="79"/>
      <c r="D540" s="79"/>
      <c r="J540" s="79"/>
      <c r="P540" s="79"/>
      <c r="S540" s="79"/>
      <c r="T540" s="79"/>
      <c r="W540" s="130"/>
      <c r="Y540" s="106"/>
    </row>
    <row r="541">
      <c r="C541" s="79"/>
      <c r="D541" s="79"/>
      <c r="J541" s="79"/>
      <c r="P541" s="79"/>
      <c r="S541" s="79"/>
      <c r="T541" s="79"/>
      <c r="W541" s="130"/>
      <c r="Y541" s="106"/>
    </row>
    <row r="542">
      <c r="C542" s="79"/>
      <c r="D542" s="79"/>
      <c r="J542" s="79"/>
      <c r="P542" s="79"/>
      <c r="S542" s="79"/>
      <c r="T542" s="79"/>
      <c r="W542" s="130"/>
      <c r="Y542" s="106"/>
    </row>
    <row r="543">
      <c r="C543" s="79"/>
      <c r="D543" s="79"/>
      <c r="J543" s="79"/>
      <c r="P543" s="79"/>
      <c r="S543" s="79"/>
      <c r="T543" s="79"/>
      <c r="W543" s="130"/>
      <c r="Y543" s="106"/>
    </row>
    <row r="544">
      <c r="C544" s="79"/>
      <c r="D544" s="79"/>
      <c r="J544" s="79"/>
      <c r="P544" s="79"/>
      <c r="S544" s="79"/>
      <c r="T544" s="79"/>
      <c r="W544" s="130"/>
      <c r="Y544" s="106"/>
    </row>
    <row r="545">
      <c r="C545" s="79"/>
      <c r="D545" s="79"/>
      <c r="J545" s="79"/>
      <c r="P545" s="79"/>
      <c r="S545" s="79"/>
      <c r="T545" s="79"/>
      <c r="W545" s="130"/>
      <c r="Y545" s="106"/>
    </row>
    <row r="546">
      <c r="C546" s="79"/>
      <c r="D546" s="79"/>
      <c r="J546" s="79"/>
      <c r="P546" s="79"/>
      <c r="S546" s="79"/>
      <c r="T546" s="79"/>
      <c r="W546" s="130"/>
      <c r="Y546" s="106"/>
    </row>
    <row r="547">
      <c r="C547" s="79"/>
      <c r="D547" s="79"/>
      <c r="J547" s="79"/>
      <c r="P547" s="79"/>
      <c r="S547" s="79"/>
      <c r="T547" s="79"/>
      <c r="W547" s="130"/>
      <c r="Y547" s="106"/>
    </row>
    <row r="548">
      <c r="C548" s="79"/>
      <c r="D548" s="79"/>
      <c r="J548" s="79"/>
      <c r="P548" s="79"/>
      <c r="S548" s="79"/>
      <c r="T548" s="79"/>
      <c r="W548" s="130"/>
      <c r="Y548" s="106"/>
    </row>
    <row r="549">
      <c r="C549" s="79"/>
      <c r="D549" s="79"/>
      <c r="J549" s="79"/>
      <c r="P549" s="79"/>
      <c r="S549" s="79"/>
      <c r="T549" s="79"/>
      <c r="W549" s="130"/>
      <c r="Y549" s="106"/>
    </row>
    <row r="550">
      <c r="C550" s="79"/>
      <c r="D550" s="79"/>
      <c r="J550" s="79"/>
      <c r="P550" s="79"/>
      <c r="S550" s="79"/>
      <c r="T550" s="79"/>
      <c r="W550" s="130"/>
      <c r="Y550" s="106"/>
    </row>
    <row r="551">
      <c r="C551" s="79"/>
      <c r="D551" s="79"/>
      <c r="J551" s="79"/>
      <c r="P551" s="79"/>
      <c r="S551" s="79"/>
      <c r="T551" s="79"/>
      <c r="W551" s="130"/>
      <c r="Y551" s="106"/>
    </row>
    <row r="552">
      <c r="C552" s="79"/>
      <c r="D552" s="79"/>
      <c r="J552" s="79"/>
      <c r="P552" s="79"/>
      <c r="S552" s="79"/>
      <c r="T552" s="79"/>
      <c r="W552" s="130"/>
      <c r="Y552" s="106"/>
    </row>
    <row r="553">
      <c r="C553" s="79"/>
      <c r="D553" s="79"/>
      <c r="J553" s="79"/>
      <c r="P553" s="79"/>
      <c r="S553" s="79"/>
      <c r="T553" s="79"/>
      <c r="W553" s="130"/>
      <c r="Y553" s="106"/>
    </row>
    <row r="554">
      <c r="C554" s="79"/>
      <c r="D554" s="79"/>
      <c r="J554" s="79"/>
      <c r="P554" s="79"/>
      <c r="S554" s="79"/>
      <c r="T554" s="79"/>
      <c r="W554" s="130"/>
      <c r="Y554" s="106"/>
    </row>
    <row r="555">
      <c r="C555" s="79"/>
      <c r="D555" s="79"/>
      <c r="J555" s="79"/>
      <c r="P555" s="79"/>
      <c r="S555" s="79"/>
      <c r="T555" s="79"/>
      <c r="W555" s="130"/>
      <c r="Y555" s="106"/>
    </row>
    <row r="556">
      <c r="C556" s="79"/>
      <c r="D556" s="79"/>
      <c r="J556" s="79"/>
      <c r="P556" s="79"/>
      <c r="S556" s="79"/>
      <c r="T556" s="79"/>
      <c r="W556" s="130"/>
      <c r="Y556" s="106"/>
    </row>
    <row r="557">
      <c r="C557" s="79"/>
      <c r="D557" s="79"/>
      <c r="J557" s="79"/>
      <c r="P557" s="79"/>
      <c r="S557" s="79"/>
      <c r="T557" s="79"/>
      <c r="W557" s="130"/>
      <c r="Y557" s="106"/>
    </row>
    <row r="558">
      <c r="C558" s="79"/>
      <c r="D558" s="79"/>
      <c r="J558" s="79"/>
      <c r="P558" s="79"/>
      <c r="S558" s="79"/>
      <c r="T558" s="79"/>
      <c r="W558" s="130"/>
      <c r="Y558" s="106"/>
    </row>
    <row r="559">
      <c r="C559" s="79"/>
      <c r="D559" s="79"/>
      <c r="J559" s="79"/>
      <c r="P559" s="79"/>
      <c r="S559" s="79"/>
      <c r="T559" s="79"/>
      <c r="W559" s="130"/>
      <c r="Y559" s="106"/>
    </row>
    <row r="560">
      <c r="C560" s="79"/>
      <c r="D560" s="79"/>
      <c r="J560" s="79"/>
      <c r="P560" s="79"/>
      <c r="S560" s="79"/>
      <c r="T560" s="79"/>
      <c r="W560" s="130"/>
      <c r="Y560" s="106"/>
    </row>
    <row r="561">
      <c r="C561" s="79"/>
      <c r="D561" s="79"/>
      <c r="J561" s="79"/>
      <c r="P561" s="79"/>
      <c r="S561" s="79"/>
      <c r="T561" s="79"/>
      <c r="W561" s="130"/>
      <c r="Y561" s="106"/>
    </row>
    <row r="562">
      <c r="C562" s="79"/>
      <c r="D562" s="79"/>
      <c r="J562" s="79"/>
      <c r="P562" s="79"/>
      <c r="S562" s="79"/>
      <c r="T562" s="79"/>
      <c r="W562" s="130"/>
      <c r="Y562" s="106"/>
    </row>
    <row r="563">
      <c r="C563" s="79"/>
      <c r="D563" s="79"/>
      <c r="J563" s="79"/>
      <c r="P563" s="79"/>
      <c r="S563" s="79"/>
      <c r="T563" s="79"/>
      <c r="W563" s="130"/>
      <c r="Y563" s="106"/>
    </row>
    <row r="564">
      <c r="C564" s="79"/>
      <c r="D564" s="79"/>
      <c r="J564" s="79"/>
      <c r="P564" s="79"/>
      <c r="S564" s="79"/>
      <c r="T564" s="79"/>
      <c r="W564" s="130"/>
      <c r="Y564" s="106"/>
    </row>
    <row r="565">
      <c r="C565" s="79"/>
      <c r="D565" s="79"/>
      <c r="J565" s="79"/>
      <c r="P565" s="79"/>
      <c r="S565" s="79"/>
      <c r="T565" s="79"/>
      <c r="W565" s="130"/>
      <c r="Y565" s="106"/>
    </row>
    <row r="566">
      <c r="C566" s="79"/>
      <c r="D566" s="79"/>
      <c r="J566" s="79"/>
      <c r="P566" s="79"/>
      <c r="S566" s="79"/>
      <c r="T566" s="79"/>
      <c r="W566" s="130"/>
      <c r="Y566" s="106"/>
    </row>
    <row r="567">
      <c r="C567" s="79"/>
      <c r="D567" s="79"/>
      <c r="J567" s="79"/>
      <c r="P567" s="79"/>
      <c r="S567" s="79"/>
      <c r="T567" s="79"/>
      <c r="W567" s="130"/>
      <c r="Y567" s="106"/>
    </row>
    <row r="568">
      <c r="C568" s="79"/>
      <c r="D568" s="79"/>
      <c r="J568" s="79"/>
      <c r="P568" s="79"/>
      <c r="S568" s="79"/>
      <c r="T568" s="79"/>
      <c r="W568" s="130"/>
      <c r="Y568" s="106"/>
    </row>
    <row r="569">
      <c r="C569" s="79"/>
      <c r="D569" s="79"/>
      <c r="J569" s="79"/>
      <c r="P569" s="79"/>
      <c r="S569" s="79"/>
      <c r="T569" s="79"/>
      <c r="W569" s="130"/>
      <c r="Y569" s="106"/>
    </row>
    <row r="570">
      <c r="C570" s="79"/>
      <c r="D570" s="79"/>
      <c r="J570" s="79"/>
      <c r="P570" s="79"/>
      <c r="S570" s="79"/>
      <c r="T570" s="79"/>
      <c r="W570" s="130"/>
      <c r="Y570" s="106"/>
    </row>
    <row r="571">
      <c r="C571" s="79"/>
      <c r="D571" s="79"/>
      <c r="J571" s="79"/>
      <c r="P571" s="79"/>
      <c r="S571" s="79"/>
      <c r="T571" s="79"/>
      <c r="W571" s="130"/>
      <c r="Y571" s="106"/>
    </row>
    <row r="572">
      <c r="C572" s="79"/>
      <c r="D572" s="79"/>
      <c r="J572" s="79"/>
      <c r="P572" s="79"/>
      <c r="S572" s="79"/>
      <c r="T572" s="79"/>
      <c r="W572" s="130"/>
      <c r="Y572" s="106"/>
    </row>
    <row r="573">
      <c r="C573" s="79"/>
      <c r="D573" s="79"/>
      <c r="J573" s="79"/>
      <c r="P573" s="79"/>
      <c r="S573" s="79"/>
      <c r="T573" s="79"/>
      <c r="W573" s="130"/>
      <c r="Y573" s="106"/>
    </row>
    <row r="574">
      <c r="C574" s="79"/>
      <c r="D574" s="79"/>
      <c r="J574" s="79"/>
      <c r="P574" s="79"/>
      <c r="S574" s="79"/>
      <c r="T574" s="79"/>
      <c r="W574" s="130"/>
      <c r="Y574" s="106"/>
    </row>
    <row r="575">
      <c r="C575" s="79"/>
      <c r="D575" s="79"/>
      <c r="J575" s="79"/>
      <c r="P575" s="79"/>
      <c r="S575" s="79"/>
      <c r="T575" s="79"/>
      <c r="W575" s="130"/>
      <c r="Y575" s="106"/>
    </row>
    <row r="576">
      <c r="C576" s="79"/>
      <c r="D576" s="79"/>
      <c r="J576" s="79"/>
      <c r="P576" s="79"/>
      <c r="S576" s="79"/>
      <c r="T576" s="79"/>
      <c r="W576" s="130"/>
      <c r="Y576" s="106"/>
    </row>
    <row r="577">
      <c r="C577" s="79"/>
      <c r="D577" s="79"/>
      <c r="J577" s="79"/>
      <c r="P577" s="79"/>
      <c r="S577" s="79"/>
      <c r="T577" s="79"/>
      <c r="W577" s="130"/>
      <c r="Y577" s="106"/>
    </row>
    <row r="578">
      <c r="C578" s="79"/>
      <c r="D578" s="79"/>
      <c r="J578" s="79"/>
      <c r="P578" s="79"/>
      <c r="S578" s="79"/>
      <c r="T578" s="79"/>
      <c r="W578" s="130"/>
      <c r="Y578" s="106"/>
    </row>
    <row r="579">
      <c r="C579" s="79"/>
      <c r="D579" s="79"/>
      <c r="J579" s="79"/>
      <c r="P579" s="79"/>
      <c r="S579" s="79"/>
      <c r="T579" s="79"/>
      <c r="W579" s="130"/>
      <c r="Y579" s="106"/>
    </row>
    <row r="580">
      <c r="C580" s="79"/>
      <c r="D580" s="79"/>
      <c r="J580" s="79"/>
      <c r="P580" s="79"/>
      <c r="S580" s="79"/>
      <c r="T580" s="79"/>
      <c r="W580" s="130"/>
      <c r="Y580" s="106"/>
    </row>
    <row r="581">
      <c r="C581" s="79"/>
      <c r="D581" s="79"/>
      <c r="J581" s="79"/>
      <c r="P581" s="79"/>
      <c r="S581" s="79"/>
      <c r="T581" s="79"/>
      <c r="W581" s="130"/>
      <c r="Y581" s="106"/>
    </row>
    <row r="582">
      <c r="C582" s="79"/>
      <c r="D582" s="79"/>
      <c r="J582" s="79"/>
      <c r="P582" s="79"/>
      <c r="S582" s="79"/>
      <c r="T582" s="79"/>
      <c r="W582" s="130"/>
      <c r="Y582" s="106"/>
    </row>
    <row r="583">
      <c r="C583" s="79"/>
      <c r="D583" s="79"/>
      <c r="J583" s="79"/>
      <c r="P583" s="79"/>
      <c r="S583" s="79"/>
      <c r="T583" s="79"/>
      <c r="W583" s="130"/>
      <c r="Y583" s="106"/>
    </row>
    <row r="584">
      <c r="C584" s="79"/>
      <c r="D584" s="79"/>
      <c r="J584" s="79"/>
      <c r="P584" s="79"/>
      <c r="S584" s="79"/>
      <c r="T584" s="79"/>
      <c r="W584" s="130"/>
      <c r="Y584" s="106"/>
    </row>
    <row r="585">
      <c r="C585" s="79"/>
      <c r="D585" s="79"/>
      <c r="J585" s="79"/>
      <c r="P585" s="79"/>
      <c r="S585" s="79"/>
      <c r="T585" s="79"/>
      <c r="W585" s="130"/>
      <c r="Y585" s="106"/>
    </row>
    <row r="586">
      <c r="C586" s="79"/>
      <c r="D586" s="79"/>
      <c r="J586" s="79"/>
      <c r="P586" s="79"/>
      <c r="S586" s="79"/>
      <c r="T586" s="79"/>
      <c r="W586" s="130"/>
      <c r="Y586" s="106"/>
    </row>
    <row r="587">
      <c r="C587" s="79"/>
      <c r="D587" s="79"/>
      <c r="J587" s="79"/>
      <c r="P587" s="79"/>
      <c r="S587" s="79"/>
      <c r="T587" s="79"/>
      <c r="W587" s="130"/>
      <c r="Y587" s="106"/>
    </row>
    <row r="588">
      <c r="C588" s="79"/>
      <c r="D588" s="79"/>
      <c r="J588" s="79"/>
      <c r="P588" s="79"/>
      <c r="S588" s="79"/>
      <c r="T588" s="79"/>
      <c r="W588" s="130"/>
      <c r="Y588" s="106"/>
    </row>
    <row r="589">
      <c r="C589" s="79"/>
      <c r="D589" s="79"/>
      <c r="J589" s="79"/>
      <c r="P589" s="79"/>
      <c r="S589" s="79"/>
      <c r="T589" s="79"/>
      <c r="W589" s="130"/>
      <c r="Y589" s="106"/>
    </row>
    <row r="590">
      <c r="C590" s="79"/>
      <c r="D590" s="79"/>
      <c r="J590" s="79"/>
      <c r="P590" s="79"/>
      <c r="S590" s="79"/>
      <c r="T590" s="79"/>
      <c r="W590" s="130"/>
      <c r="Y590" s="106"/>
    </row>
    <row r="591">
      <c r="C591" s="79"/>
      <c r="D591" s="79"/>
      <c r="J591" s="79"/>
      <c r="P591" s="79"/>
      <c r="S591" s="79"/>
      <c r="T591" s="79"/>
      <c r="W591" s="130"/>
      <c r="Y591" s="106"/>
    </row>
    <row r="592">
      <c r="C592" s="79"/>
      <c r="D592" s="79"/>
      <c r="J592" s="79"/>
      <c r="P592" s="79"/>
      <c r="S592" s="79"/>
      <c r="T592" s="79"/>
      <c r="W592" s="130"/>
      <c r="Y592" s="106"/>
    </row>
    <row r="593">
      <c r="C593" s="79"/>
      <c r="D593" s="79"/>
      <c r="J593" s="79"/>
      <c r="P593" s="79"/>
      <c r="S593" s="79"/>
      <c r="T593" s="79"/>
      <c r="W593" s="130"/>
      <c r="Y593" s="106"/>
    </row>
    <row r="594">
      <c r="C594" s="79"/>
      <c r="D594" s="79"/>
      <c r="J594" s="79"/>
      <c r="P594" s="79"/>
      <c r="S594" s="79"/>
      <c r="T594" s="79"/>
      <c r="W594" s="130"/>
      <c r="Y594" s="106"/>
    </row>
    <row r="595">
      <c r="C595" s="79"/>
      <c r="D595" s="79"/>
      <c r="J595" s="79"/>
      <c r="P595" s="79"/>
      <c r="S595" s="79"/>
      <c r="T595" s="79"/>
      <c r="W595" s="130"/>
      <c r="Y595" s="106"/>
    </row>
    <row r="596">
      <c r="C596" s="79"/>
      <c r="D596" s="79"/>
      <c r="J596" s="79"/>
      <c r="P596" s="79"/>
      <c r="S596" s="79"/>
      <c r="T596" s="79"/>
      <c r="W596" s="130"/>
      <c r="Y596" s="106"/>
    </row>
    <row r="597">
      <c r="C597" s="79"/>
      <c r="D597" s="79"/>
      <c r="J597" s="79"/>
      <c r="P597" s="79"/>
      <c r="S597" s="79"/>
      <c r="T597" s="79"/>
      <c r="W597" s="130"/>
      <c r="Y597" s="106"/>
    </row>
    <row r="598">
      <c r="C598" s="79"/>
      <c r="D598" s="79"/>
      <c r="J598" s="79"/>
      <c r="P598" s="79"/>
      <c r="S598" s="79"/>
      <c r="T598" s="79"/>
      <c r="W598" s="130"/>
      <c r="Y598" s="106"/>
    </row>
    <row r="599">
      <c r="C599" s="79"/>
      <c r="D599" s="79"/>
      <c r="J599" s="79"/>
      <c r="P599" s="79"/>
      <c r="S599" s="79"/>
      <c r="T599" s="79"/>
      <c r="W599" s="130"/>
      <c r="Y599" s="106"/>
    </row>
    <row r="600">
      <c r="C600" s="79"/>
      <c r="D600" s="79"/>
      <c r="J600" s="79"/>
      <c r="P600" s="79"/>
      <c r="S600" s="79"/>
      <c r="T600" s="79"/>
      <c r="W600" s="130"/>
      <c r="Y600" s="106"/>
    </row>
    <row r="601">
      <c r="C601" s="79"/>
      <c r="D601" s="79"/>
      <c r="J601" s="79"/>
      <c r="P601" s="79"/>
      <c r="S601" s="79"/>
      <c r="T601" s="79"/>
      <c r="W601" s="130"/>
      <c r="Y601" s="106"/>
    </row>
    <row r="602">
      <c r="C602" s="79"/>
      <c r="D602" s="79"/>
      <c r="J602" s="79"/>
      <c r="P602" s="79"/>
      <c r="S602" s="79"/>
      <c r="T602" s="79"/>
      <c r="W602" s="130"/>
      <c r="Y602" s="106"/>
    </row>
    <row r="603">
      <c r="C603" s="79"/>
      <c r="D603" s="79"/>
      <c r="J603" s="79"/>
      <c r="P603" s="79"/>
      <c r="S603" s="79"/>
      <c r="T603" s="79"/>
      <c r="W603" s="130"/>
      <c r="Y603" s="106"/>
    </row>
    <row r="604">
      <c r="C604" s="79"/>
      <c r="D604" s="79"/>
      <c r="J604" s="79"/>
      <c r="P604" s="79"/>
      <c r="S604" s="79"/>
      <c r="T604" s="79"/>
      <c r="W604" s="130"/>
      <c r="Y604" s="106"/>
    </row>
    <row r="605">
      <c r="C605" s="79"/>
      <c r="D605" s="79"/>
      <c r="J605" s="79"/>
      <c r="P605" s="79"/>
      <c r="S605" s="79"/>
      <c r="T605" s="79"/>
      <c r="W605" s="130"/>
      <c r="Y605" s="106"/>
    </row>
    <row r="606">
      <c r="C606" s="79"/>
      <c r="D606" s="79"/>
      <c r="J606" s="79"/>
      <c r="P606" s="79"/>
      <c r="S606" s="79"/>
      <c r="T606" s="79"/>
      <c r="W606" s="130"/>
      <c r="Y606" s="106"/>
    </row>
    <row r="607">
      <c r="C607" s="79"/>
      <c r="D607" s="79"/>
      <c r="J607" s="79"/>
      <c r="P607" s="79"/>
      <c r="S607" s="79"/>
      <c r="T607" s="79"/>
      <c r="W607" s="130"/>
      <c r="Y607" s="106"/>
    </row>
    <row r="608">
      <c r="C608" s="79"/>
      <c r="D608" s="79"/>
      <c r="J608" s="79"/>
      <c r="P608" s="79"/>
      <c r="S608" s="79"/>
      <c r="T608" s="79"/>
      <c r="W608" s="130"/>
      <c r="Y608" s="106"/>
    </row>
    <row r="609">
      <c r="C609" s="79"/>
      <c r="D609" s="79"/>
      <c r="J609" s="79"/>
      <c r="P609" s="79"/>
      <c r="S609" s="79"/>
      <c r="T609" s="79"/>
      <c r="W609" s="130"/>
      <c r="Y609" s="106"/>
    </row>
    <row r="610">
      <c r="C610" s="79"/>
      <c r="D610" s="79"/>
      <c r="J610" s="79"/>
      <c r="P610" s="79"/>
      <c r="S610" s="79"/>
      <c r="T610" s="79"/>
      <c r="W610" s="130"/>
      <c r="Y610" s="106"/>
    </row>
    <row r="611">
      <c r="C611" s="79"/>
      <c r="D611" s="79"/>
      <c r="J611" s="79"/>
      <c r="P611" s="79"/>
      <c r="S611" s="79"/>
      <c r="T611" s="79"/>
      <c r="W611" s="130"/>
      <c r="Y611" s="106"/>
    </row>
    <row r="612">
      <c r="C612" s="79"/>
      <c r="D612" s="79"/>
      <c r="J612" s="79"/>
      <c r="P612" s="79"/>
      <c r="S612" s="79"/>
      <c r="T612" s="79"/>
      <c r="W612" s="130"/>
      <c r="Y612" s="106"/>
    </row>
    <row r="613">
      <c r="C613" s="79"/>
      <c r="D613" s="79"/>
      <c r="J613" s="79"/>
      <c r="P613" s="79"/>
      <c r="S613" s="79"/>
      <c r="T613" s="79"/>
      <c r="W613" s="130"/>
      <c r="Y613" s="106"/>
    </row>
    <row r="614">
      <c r="C614" s="79"/>
      <c r="D614" s="79"/>
      <c r="J614" s="79"/>
      <c r="P614" s="79"/>
      <c r="S614" s="79"/>
      <c r="T614" s="79"/>
      <c r="W614" s="130"/>
      <c r="Y614" s="106"/>
    </row>
    <row r="615">
      <c r="C615" s="79"/>
      <c r="D615" s="79"/>
      <c r="J615" s="79"/>
      <c r="P615" s="79"/>
      <c r="S615" s="79"/>
      <c r="T615" s="79"/>
      <c r="W615" s="130"/>
      <c r="Y615" s="106"/>
    </row>
    <row r="616">
      <c r="C616" s="79"/>
      <c r="D616" s="79"/>
      <c r="J616" s="79"/>
      <c r="P616" s="79"/>
      <c r="S616" s="79"/>
      <c r="T616" s="79"/>
      <c r="W616" s="130"/>
      <c r="Y616" s="106"/>
    </row>
    <row r="617">
      <c r="C617" s="79"/>
      <c r="D617" s="79"/>
      <c r="J617" s="79"/>
      <c r="P617" s="79"/>
      <c r="S617" s="79"/>
      <c r="T617" s="79"/>
      <c r="W617" s="130"/>
      <c r="Y617" s="106"/>
    </row>
    <row r="618">
      <c r="C618" s="79"/>
      <c r="D618" s="79"/>
      <c r="J618" s="79"/>
      <c r="P618" s="79"/>
      <c r="S618" s="79"/>
      <c r="T618" s="79"/>
      <c r="W618" s="130"/>
      <c r="Y618" s="106"/>
    </row>
    <row r="619">
      <c r="C619" s="79"/>
      <c r="D619" s="79"/>
      <c r="J619" s="79"/>
      <c r="P619" s="79"/>
      <c r="S619" s="79"/>
      <c r="T619" s="79"/>
      <c r="W619" s="130"/>
      <c r="Y619" s="106"/>
    </row>
    <row r="620">
      <c r="C620" s="79"/>
      <c r="D620" s="79"/>
      <c r="J620" s="79"/>
      <c r="P620" s="79"/>
      <c r="S620" s="79"/>
      <c r="T620" s="79"/>
      <c r="W620" s="130"/>
      <c r="Y620" s="106"/>
    </row>
    <row r="621">
      <c r="C621" s="79"/>
      <c r="D621" s="79"/>
      <c r="J621" s="79"/>
      <c r="P621" s="79"/>
      <c r="S621" s="79"/>
      <c r="T621" s="79"/>
      <c r="W621" s="130"/>
      <c r="Y621" s="106"/>
    </row>
    <row r="622">
      <c r="C622" s="79"/>
      <c r="D622" s="79"/>
      <c r="J622" s="79"/>
      <c r="P622" s="79"/>
      <c r="S622" s="79"/>
      <c r="T622" s="79"/>
      <c r="W622" s="130"/>
      <c r="Y622" s="106"/>
    </row>
    <row r="623">
      <c r="C623" s="79"/>
      <c r="D623" s="79"/>
      <c r="J623" s="79"/>
      <c r="P623" s="79"/>
      <c r="S623" s="79"/>
      <c r="T623" s="79"/>
      <c r="W623" s="130"/>
      <c r="Y623" s="106"/>
    </row>
    <row r="624">
      <c r="C624" s="79"/>
      <c r="D624" s="79"/>
      <c r="J624" s="79"/>
      <c r="P624" s="79"/>
      <c r="S624" s="79"/>
      <c r="T624" s="79"/>
      <c r="W624" s="130"/>
      <c r="Y624" s="106"/>
    </row>
    <row r="625">
      <c r="C625" s="79"/>
      <c r="D625" s="79"/>
      <c r="J625" s="79"/>
      <c r="P625" s="79"/>
      <c r="S625" s="79"/>
      <c r="T625" s="79"/>
      <c r="W625" s="130"/>
      <c r="Y625" s="106"/>
    </row>
    <row r="626">
      <c r="C626" s="79"/>
      <c r="D626" s="79"/>
      <c r="J626" s="79"/>
      <c r="P626" s="79"/>
      <c r="S626" s="79"/>
      <c r="T626" s="79"/>
      <c r="W626" s="130"/>
      <c r="Y626" s="106"/>
    </row>
    <row r="627">
      <c r="C627" s="79"/>
      <c r="D627" s="79"/>
      <c r="J627" s="79"/>
      <c r="P627" s="79"/>
      <c r="S627" s="79"/>
      <c r="T627" s="79"/>
      <c r="W627" s="130"/>
      <c r="Y627" s="106"/>
    </row>
    <row r="628">
      <c r="C628" s="79"/>
      <c r="D628" s="79"/>
      <c r="J628" s="79"/>
      <c r="P628" s="79"/>
      <c r="S628" s="79"/>
      <c r="T628" s="79"/>
      <c r="W628" s="130"/>
      <c r="Y628" s="106"/>
    </row>
    <row r="629">
      <c r="C629" s="79"/>
      <c r="D629" s="79"/>
      <c r="J629" s="79"/>
      <c r="P629" s="79"/>
      <c r="S629" s="79"/>
      <c r="T629" s="79"/>
      <c r="W629" s="130"/>
      <c r="Y629" s="106"/>
    </row>
    <row r="630">
      <c r="C630" s="79"/>
      <c r="D630" s="79"/>
      <c r="J630" s="79"/>
      <c r="P630" s="79"/>
      <c r="S630" s="79"/>
      <c r="T630" s="79"/>
      <c r="W630" s="130"/>
      <c r="Y630" s="106"/>
    </row>
    <row r="631">
      <c r="C631" s="79"/>
      <c r="D631" s="79"/>
      <c r="J631" s="79"/>
      <c r="P631" s="79"/>
      <c r="S631" s="79"/>
      <c r="T631" s="79"/>
      <c r="W631" s="130"/>
      <c r="Y631" s="106"/>
    </row>
    <row r="632">
      <c r="C632" s="79"/>
      <c r="D632" s="79"/>
      <c r="J632" s="79"/>
      <c r="P632" s="79"/>
      <c r="S632" s="79"/>
      <c r="T632" s="79"/>
      <c r="W632" s="130"/>
      <c r="Y632" s="106"/>
    </row>
    <row r="633">
      <c r="C633" s="79"/>
      <c r="D633" s="79"/>
      <c r="J633" s="79"/>
      <c r="P633" s="79"/>
      <c r="S633" s="79"/>
      <c r="T633" s="79"/>
      <c r="W633" s="130"/>
      <c r="Y633" s="106"/>
    </row>
    <row r="634">
      <c r="C634" s="79"/>
      <c r="D634" s="79"/>
      <c r="J634" s="79"/>
      <c r="P634" s="79"/>
      <c r="S634" s="79"/>
      <c r="T634" s="79"/>
      <c r="W634" s="130"/>
      <c r="Y634" s="106"/>
    </row>
    <row r="635">
      <c r="C635" s="79"/>
      <c r="D635" s="79"/>
      <c r="J635" s="79"/>
      <c r="P635" s="79"/>
      <c r="S635" s="79"/>
      <c r="T635" s="79"/>
      <c r="W635" s="130"/>
      <c r="Y635" s="106"/>
    </row>
    <row r="636">
      <c r="C636" s="79"/>
      <c r="D636" s="79"/>
      <c r="J636" s="79"/>
      <c r="P636" s="79"/>
      <c r="S636" s="79"/>
      <c r="T636" s="79"/>
      <c r="W636" s="130"/>
      <c r="Y636" s="106"/>
    </row>
    <row r="637">
      <c r="C637" s="79"/>
      <c r="D637" s="79"/>
      <c r="J637" s="79"/>
      <c r="P637" s="79"/>
      <c r="S637" s="79"/>
      <c r="T637" s="79"/>
      <c r="W637" s="130"/>
      <c r="Y637" s="106"/>
    </row>
    <row r="638">
      <c r="C638" s="79"/>
      <c r="D638" s="79"/>
      <c r="J638" s="79"/>
      <c r="P638" s="79"/>
      <c r="S638" s="79"/>
      <c r="T638" s="79"/>
      <c r="W638" s="130"/>
      <c r="Y638" s="106"/>
    </row>
    <row r="639">
      <c r="C639" s="79"/>
      <c r="D639" s="79"/>
      <c r="J639" s="79"/>
      <c r="P639" s="79"/>
      <c r="S639" s="79"/>
      <c r="T639" s="79"/>
      <c r="W639" s="130"/>
      <c r="Y639" s="106"/>
    </row>
    <row r="640">
      <c r="C640" s="79"/>
      <c r="D640" s="79"/>
      <c r="J640" s="79"/>
      <c r="P640" s="79"/>
      <c r="S640" s="79"/>
      <c r="T640" s="79"/>
      <c r="W640" s="130"/>
      <c r="Y640" s="106"/>
    </row>
    <row r="641">
      <c r="C641" s="79"/>
      <c r="D641" s="79"/>
      <c r="J641" s="79"/>
      <c r="P641" s="79"/>
      <c r="S641" s="79"/>
      <c r="T641" s="79"/>
      <c r="W641" s="130"/>
      <c r="Y641" s="106"/>
    </row>
    <row r="642">
      <c r="C642" s="79"/>
      <c r="D642" s="79"/>
      <c r="J642" s="79"/>
      <c r="P642" s="79"/>
      <c r="S642" s="79"/>
      <c r="T642" s="79"/>
      <c r="W642" s="130"/>
      <c r="Y642" s="106"/>
    </row>
    <row r="643">
      <c r="C643" s="79"/>
      <c r="D643" s="79"/>
      <c r="J643" s="79"/>
      <c r="P643" s="79"/>
      <c r="S643" s="79"/>
      <c r="T643" s="79"/>
      <c r="W643" s="130"/>
      <c r="Y643" s="106"/>
    </row>
    <row r="644">
      <c r="C644" s="79"/>
      <c r="D644" s="79"/>
      <c r="J644" s="79"/>
      <c r="P644" s="79"/>
      <c r="S644" s="79"/>
      <c r="T644" s="79"/>
      <c r="W644" s="130"/>
      <c r="Y644" s="106"/>
    </row>
    <row r="645">
      <c r="C645" s="79"/>
      <c r="D645" s="79"/>
      <c r="J645" s="79"/>
      <c r="P645" s="79"/>
      <c r="S645" s="79"/>
      <c r="T645" s="79"/>
      <c r="W645" s="130"/>
      <c r="Y645" s="106"/>
    </row>
    <row r="646">
      <c r="C646" s="79"/>
      <c r="D646" s="79"/>
      <c r="J646" s="79"/>
      <c r="P646" s="79"/>
      <c r="S646" s="79"/>
      <c r="T646" s="79"/>
      <c r="W646" s="130"/>
      <c r="Y646" s="106"/>
    </row>
    <row r="647">
      <c r="C647" s="79"/>
      <c r="D647" s="79"/>
      <c r="J647" s="79"/>
      <c r="P647" s="79"/>
      <c r="S647" s="79"/>
      <c r="T647" s="79"/>
      <c r="W647" s="130"/>
      <c r="Y647" s="106"/>
    </row>
    <row r="648">
      <c r="C648" s="79"/>
      <c r="D648" s="79"/>
      <c r="J648" s="79"/>
      <c r="P648" s="79"/>
      <c r="S648" s="79"/>
      <c r="T648" s="79"/>
      <c r="W648" s="130"/>
      <c r="Y648" s="106"/>
    </row>
    <row r="649">
      <c r="C649" s="79"/>
      <c r="D649" s="79"/>
      <c r="J649" s="79"/>
      <c r="P649" s="79"/>
      <c r="S649" s="79"/>
      <c r="T649" s="79"/>
      <c r="W649" s="130"/>
      <c r="Y649" s="106"/>
    </row>
    <row r="650">
      <c r="C650" s="79"/>
      <c r="D650" s="79"/>
      <c r="J650" s="79"/>
      <c r="P650" s="79"/>
      <c r="S650" s="79"/>
      <c r="T650" s="79"/>
      <c r="W650" s="130"/>
      <c r="Y650" s="106"/>
    </row>
    <row r="651">
      <c r="C651" s="79"/>
      <c r="D651" s="79"/>
      <c r="J651" s="79"/>
      <c r="P651" s="79"/>
      <c r="S651" s="79"/>
      <c r="T651" s="79"/>
      <c r="W651" s="130"/>
      <c r="Y651" s="106"/>
    </row>
    <row r="652">
      <c r="C652" s="79"/>
      <c r="D652" s="79"/>
      <c r="J652" s="79"/>
      <c r="P652" s="79"/>
      <c r="S652" s="79"/>
      <c r="T652" s="79"/>
      <c r="W652" s="130"/>
      <c r="Y652" s="106"/>
    </row>
    <row r="653">
      <c r="C653" s="79"/>
      <c r="D653" s="79"/>
      <c r="J653" s="79"/>
      <c r="P653" s="79"/>
      <c r="S653" s="79"/>
      <c r="T653" s="79"/>
      <c r="W653" s="130"/>
      <c r="Y653" s="106"/>
    </row>
    <row r="654">
      <c r="C654" s="79"/>
      <c r="D654" s="79"/>
      <c r="J654" s="79"/>
      <c r="P654" s="79"/>
      <c r="S654" s="79"/>
      <c r="T654" s="79"/>
      <c r="W654" s="130"/>
      <c r="Y654" s="106"/>
    </row>
    <row r="655">
      <c r="C655" s="79"/>
      <c r="D655" s="79"/>
      <c r="J655" s="79"/>
      <c r="P655" s="79"/>
      <c r="S655" s="79"/>
      <c r="T655" s="79"/>
      <c r="W655" s="130"/>
      <c r="Y655" s="106"/>
    </row>
    <row r="656">
      <c r="C656" s="79"/>
      <c r="D656" s="79"/>
      <c r="J656" s="79"/>
      <c r="P656" s="79"/>
      <c r="S656" s="79"/>
      <c r="T656" s="79"/>
      <c r="W656" s="130"/>
      <c r="Y656" s="106"/>
    </row>
    <row r="657">
      <c r="C657" s="79"/>
      <c r="D657" s="79"/>
      <c r="J657" s="79"/>
      <c r="P657" s="79"/>
      <c r="S657" s="79"/>
      <c r="T657" s="79"/>
      <c r="W657" s="130"/>
      <c r="Y657" s="106"/>
    </row>
    <row r="658">
      <c r="C658" s="79"/>
      <c r="D658" s="79"/>
      <c r="J658" s="79"/>
      <c r="P658" s="79"/>
      <c r="S658" s="79"/>
      <c r="T658" s="79"/>
      <c r="W658" s="130"/>
      <c r="Y658" s="106"/>
    </row>
    <row r="659">
      <c r="C659" s="79"/>
      <c r="D659" s="79"/>
      <c r="J659" s="79"/>
      <c r="P659" s="79"/>
      <c r="S659" s="79"/>
      <c r="T659" s="79"/>
      <c r="W659" s="130"/>
      <c r="Y659" s="106"/>
    </row>
    <row r="660">
      <c r="C660" s="79"/>
      <c r="D660" s="79"/>
      <c r="J660" s="79"/>
      <c r="P660" s="79"/>
      <c r="S660" s="79"/>
      <c r="T660" s="79"/>
      <c r="W660" s="130"/>
      <c r="Y660" s="106"/>
    </row>
    <row r="661">
      <c r="C661" s="79"/>
      <c r="D661" s="79"/>
      <c r="J661" s="79"/>
      <c r="P661" s="79"/>
      <c r="S661" s="79"/>
      <c r="T661" s="79"/>
      <c r="W661" s="130"/>
      <c r="Y661" s="106"/>
    </row>
    <row r="662">
      <c r="C662" s="79"/>
      <c r="D662" s="79"/>
      <c r="J662" s="79"/>
      <c r="P662" s="79"/>
      <c r="S662" s="79"/>
      <c r="T662" s="79"/>
      <c r="W662" s="130"/>
      <c r="Y662" s="106"/>
    </row>
    <row r="663">
      <c r="C663" s="79"/>
      <c r="D663" s="79"/>
      <c r="J663" s="79"/>
      <c r="P663" s="79"/>
      <c r="S663" s="79"/>
      <c r="T663" s="79"/>
      <c r="W663" s="130"/>
      <c r="Y663" s="106"/>
    </row>
    <row r="664">
      <c r="C664" s="79"/>
      <c r="D664" s="79"/>
      <c r="J664" s="79"/>
      <c r="P664" s="79"/>
      <c r="S664" s="79"/>
      <c r="T664" s="79"/>
      <c r="W664" s="130"/>
      <c r="Y664" s="106"/>
    </row>
    <row r="665">
      <c r="C665" s="79"/>
      <c r="D665" s="79"/>
      <c r="J665" s="79"/>
      <c r="P665" s="79"/>
      <c r="S665" s="79"/>
      <c r="T665" s="79"/>
      <c r="W665" s="130"/>
      <c r="Y665" s="106"/>
    </row>
    <row r="666">
      <c r="C666" s="79"/>
      <c r="D666" s="79"/>
      <c r="J666" s="79"/>
      <c r="P666" s="79"/>
      <c r="S666" s="79"/>
      <c r="T666" s="79"/>
      <c r="W666" s="130"/>
      <c r="Y666" s="106"/>
    </row>
    <row r="667">
      <c r="C667" s="79"/>
      <c r="D667" s="79"/>
      <c r="J667" s="79"/>
      <c r="P667" s="79"/>
      <c r="S667" s="79"/>
      <c r="T667" s="79"/>
      <c r="W667" s="130"/>
      <c r="Y667" s="106"/>
    </row>
    <row r="668">
      <c r="C668" s="79"/>
      <c r="D668" s="79"/>
      <c r="J668" s="79"/>
      <c r="P668" s="79"/>
      <c r="S668" s="79"/>
      <c r="T668" s="79"/>
      <c r="W668" s="130"/>
      <c r="Y668" s="106"/>
    </row>
    <row r="669">
      <c r="C669" s="79"/>
      <c r="D669" s="79"/>
      <c r="J669" s="79"/>
      <c r="P669" s="79"/>
      <c r="S669" s="79"/>
      <c r="T669" s="79"/>
      <c r="W669" s="130"/>
      <c r="Y669" s="106"/>
    </row>
    <row r="670">
      <c r="C670" s="79"/>
      <c r="D670" s="79"/>
      <c r="J670" s="79"/>
      <c r="P670" s="79"/>
      <c r="S670" s="79"/>
      <c r="T670" s="79"/>
      <c r="W670" s="130"/>
      <c r="Y670" s="106"/>
    </row>
    <row r="671">
      <c r="C671" s="79"/>
      <c r="D671" s="79"/>
      <c r="J671" s="79"/>
      <c r="P671" s="79"/>
      <c r="S671" s="79"/>
      <c r="T671" s="79"/>
      <c r="W671" s="130"/>
      <c r="Y671" s="106"/>
    </row>
    <row r="672">
      <c r="C672" s="79"/>
      <c r="D672" s="79"/>
      <c r="J672" s="79"/>
      <c r="P672" s="79"/>
      <c r="S672" s="79"/>
      <c r="T672" s="79"/>
      <c r="W672" s="130"/>
      <c r="Y672" s="106"/>
    </row>
    <row r="673">
      <c r="C673" s="79"/>
      <c r="D673" s="79"/>
      <c r="J673" s="79"/>
      <c r="P673" s="79"/>
      <c r="S673" s="79"/>
      <c r="T673" s="79"/>
      <c r="W673" s="130"/>
      <c r="Y673" s="106"/>
    </row>
    <row r="674">
      <c r="C674" s="79"/>
      <c r="D674" s="79"/>
      <c r="J674" s="79"/>
      <c r="P674" s="79"/>
      <c r="S674" s="79"/>
      <c r="T674" s="79"/>
      <c r="W674" s="130"/>
      <c r="Y674" s="106"/>
    </row>
    <row r="675">
      <c r="C675" s="79"/>
      <c r="D675" s="79"/>
      <c r="J675" s="79"/>
      <c r="P675" s="79"/>
      <c r="S675" s="79"/>
      <c r="T675" s="79"/>
      <c r="W675" s="130"/>
      <c r="Y675" s="106"/>
    </row>
    <row r="676">
      <c r="C676" s="79"/>
      <c r="D676" s="79"/>
      <c r="J676" s="79"/>
      <c r="P676" s="79"/>
      <c r="S676" s="79"/>
      <c r="T676" s="79"/>
      <c r="W676" s="130"/>
      <c r="Y676" s="106"/>
    </row>
    <row r="677">
      <c r="C677" s="79"/>
      <c r="D677" s="79"/>
      <c r="J677" s="79"/>
      <c r="P677" s="79"/>
      <c r="S677" s="79"/>
      <c r="T677" s="79"/>
      <c r="W677" s="130"/>
      <c r="Y677" s="106"/>
    </row>
    <row r="678">
      <c r="C678" s="79"/>
      <c r="D678" s="79"/>
      <c r="J678" s="79"/>
      <c r="P678" s="79"/>
      <c r="S678" s="79"/>
      <c r="T678" s="79"/>
      <c r="W678" s="130"/>
      <c r="Y678" s="106"/>
    </row>
    <row r="679">
      <c r="C679" s="79"/>
      <c r="D679" s="79"/>
      <c r="J679" s="79"/>
      <c r="P679" s="79"/>
      <c r="S679" s="79"/>
      <c r="T679" s="79"/>
      <c r="W679" s="130"/>
      <c r="Y679" s="106"/>
    </row>
    <row r="680">
      <c r="C680" s="79"/>
      <c r="D680" s="79"/>
      <c r="J680" s="79"/>
      <c r="P680" s="79"/>
      <c r="S680" s="79"/>
      <c r="T680" s="79"/>
      <c r="W680" s="130"/>
      <c r="Y680" s="106"/>
    </row>
    <row r="681">
      <c r="C681" s="79"/>
      <c r="D681" s="79"/>
      <c r="J681" s="79"/>
      <c r="P681" s="79"/>
      <c r="S681" s="79"/>
      <c r="T681" s="79"/>
      <c r="W681" s="130"/>
      <c r="Y681" s="106"/>
    </row>
    <row r="682">
      <c r="C682" s="79"/>
      <c r="D682" s="79"/>
      <c r="J682" s="79"/>
      <c r="P682" s="79"/>
      <c r="S682" s="79"/>
      <c r="T682" s="79"/>
      <c r="W682" s="130"/>
      <c r="Y682" s="106"/>
    </row>
    <row r="683">
      <c r="C683" s="79"/>
      <c r="D683" s="79"/>
      <c r="J683" s="79"/>
      <c r="P683" s="79"/>
      <c r="S683" s="79"/>
      <c r="T683" s="79"/>
      <c r="W683" s="130"/>
      <c r="Y683" s="106"/>
    </row>
    <row r="684">
      <c r="C684" s="79"/>
      <c r="D684" s="79"/>
      <c r="J684" s="79"/>
      <c r="P684" s="79"/>
      <c r="S684" s="79"/>
      <c r="T684" s="79"/>
      <c r="W684" s="130"/>
      <c r="Y684" s="106"/>
    </row>
    <row r="685">
      <c r="C685" s="79"/>
      <c r="D685" s="79"/>
      <c r="J685" s="79"/>
      <c r="P685" s="79"/>
      <c r="S685" s="79"/>
      <c r="T685" s="79"/>
      <c r="W685" s="130"/>
      <c r="Y685" s="106"/>
    </row>
    <row r="686">
      <c r="C686" s="79"/>
      <c r="D686" s="79"/>
      <c r="J686" s="79"/>
      <c r="P686" s="79"/>
      <c r="S686" s="79"/>
      <c r="T686" s="79"/>
      <c r="W686" s="130"/>
      <c r="Y686" s="106"/>
    </row>
    <row r="687">
      <c r="C687" s="79"/>
      <c r="D687" s="79"/>
      <c r="J687" s="79"/>
      <c r="P687" s="79"/>
      <c r="S687" s="79"/>
      <c r="T687" s="79"/>
      <c r="W687" s="130"/>
      <c r="Y687" s="106"/>
    </row>
    <row r="688">
      <c r="C688" s="79"/>
      <c r="D688" s="79"/>
      <c r="J688" s="79"/>
      <c r="P688" s="79"/>
      <c r="S688" s="79"/>
      <c r="T688" s="79"/>
      <c r="W688" s="130"/>
      <c r="Y688" s="106"/>
    </row>
    <row r="689">
      <c r="C689" s="79"/>
      <c r="D689" s="79"/>
      <c r="J689" s="79"/>
      <c r="P689" s="79"/>
      <c r="S689" s="79"/>
      <c r="T689" s="79"/>
      <c r="W689" s="130"/>
      <c r="Y689" s="106"/>
    </row>
    <row r="690">
      <c r="C690" s="79"/>
      <c r="D690" s="79"/>
      <c r="J690" s="79"/>
      <c r="P690" s="79"/>
      <c r="S690" s="79"/>
      <c r="T690" s="79"/>
      <c r="W690" s="130"/>
      <c r="Y690" s="106"/>
    </row>
    <row r="691">
      <c r="C691" s="79"/>
      <c r="D691" s="79"/>
      <c r="J691" s="79"/>
      <c r="P691" s="79"/>
      <c r="S691" s="79"/>
      <c r="T691" s="79"/>
      <c r="W691" s="130"/>
      <c r="Y691" s="106"/>
    </row>
    <row r="692">
      <c r="C692" s="79"/>
      <c r="D692" s="79"/>
      <c r="J692" s="79"/>
      <c r="P692" s="79"/>
      <c r="S692" s="79"/>
      <c r="T692" s="79"/>
      <c r="W692" s="130"/>
      <c r="Y692" s="106"/>
    </row>
    <row r="693">
      <c r="C693" s="79"/>
      <c r="D693" s="79"/>
      <c r="J693" s="79"/>
      <c r="P693" s="79"/>
      <c r="S693" s="79"/>
      <c r="T693" s="79"/>
      <c r="W693" s="130"/>
      <c r="Y693" s="106"/>
    </row>
    <row r="694">
      <c r="C694" s="79"/>
      <c r="D694" s="79"/>
      <c r="J694" s="79"/>
      <c r="P694" s="79"/>
      <c r="S694" s="79"/>
      <c r="T694" s="79"/>
      <c r="W694" s="130"/>
      <c r="Y694" s="106"/>
    </row>
    <row r="695">
      <c r="C695" s="79"/>
      <c r="D695" s="79"/>
      <c r="J695" s="79"/>
      <c r="P695" s="79"/>
      <c r="S695" s="79"/>
      <c r="T695" s="79"/>
      <c r="W695" s="130"/>
      <c r="Y695" s="106"/>
    </row>
    <row r="696">
      <c r="C696" s="79"/>
      <c r="D696" s="79"/>
      <c r="J696" s="79"/>
      <c r="P696" s="79"/>
      <c r="S696" s="79"/>
      <c r="T696" s="79"/>
      <c r="W696" s="130"/>
      <c r="Y696" s="106"/>
    </row>
    <row r="697">
      <c r="C697" s="79"/>
      <c r="D697" s="79"/>
      <c r="J697" s="79"/>
      <c r="P697" s="79"/>
      <c r="S697" s="79"/>
      <c r="T697" s="79"/>
      <c r="W697" s="130"/>
      <c r="Y697" s="106"/>
    </row>
    <row r="698">
      <c r="C698" s="79"/>
      <c r="D698" s="79"/>
      <c r="J698" s="79"/>
      <c r="P698" s="79"/>
      <c r="S698" s="79"/>
      <c r="T698" s="79"/>
      <c r="W698" s="130"/>
      <c r="Y698" s="106"/>
    </row>
    <row r="699">
      <c r="C699" s="79"/>
      <c r="D699" s="79"/>
      <c r="J699" s="79"/>
      <c r="P699" s="79"/>
      <c r="S699" s="79"/>
      <c r="T699" s="79"/>
      <c r="W699" s="130"/>
      <c r="Y699" s="106"/>
    </row>
    <row r="700">
      <c r="C700" s="79"/>
      <c r="D700" s="79"/>
      <c r="J700" s="79"/>
      <c r="P700" s="79"/>
      <c r="S700" s="79"/>
      <c r="T700" s="79"/>
      <c r="W700" s="130"/>
      <c r="Y700" s="106"/>
    </row>
    <row r="701">
      <c r="C701" s="79"/>
      <c r="D701" s="79"/>
      <c r="J701" s="79"/>
      <c r="P701" s="79"/>
      <c r="S701" s="79"/>
      <c r="T701" s="79"/>
      <c r="W701" s="130"/>
      <c r="Y701" s="106"/>
    </row>
    <row r="702">
      <c r="C702" s="79"/>
      <c r="D702" s="79"/>
      <c r="J702" s="79"/>
      <c r="P702" s="79"/>
      <c r="S702" s="79"/>
      <c r="T702" s="79"/>
      <c r="W702" s="130"/>
      <c r="Y702" s="106"/>
    </row>
    <row r="703">
      <c r="C703" s="79"/>
      <c r="D703" s="79"/>
      <c r="J703" s="79"/>
      <c r="P703" s="79"/>
      <c r="S703" s="79"/>
      <c r="T703" s="79"/>
      <c r="W703" s="130"/>
      <c r="Y703" s="106"/>
    </row>
    <row r="704">
      <c r="C704" s="79"/>
      <c r="D704" s="79"/>
      <c r="J704" s="79"/>
      <c r="P704" s="79"/>
      <c r="S704" s="79"/>
      <c r="T704" s="79"/>
      <c r="W704" s="130"/>
      <c r="Y704" s="106"/>
    </row>
    <row r="705">
      <c r="C705" s="79"/>
      <c r="D705" s="79"/>
      <c r="J705" s="79"/>
      <c r="P705" s="79"/>
      <c r="S705" s="79"/>
      <c r="T705" s="79"/>
      <c r="W705" s="130"/>
      <c r="Y705" s="106"/>
    </row>
    <row r="706">
      <c r="C706" s="79"/>
      <c r="D706" s="79"/>
      <c r="J706" s="79"/>
      <c r="P706" s="79"/>
      <c r="S706" s="79"/>
      <c r="T706" s="79"/>
      <c r="W706" s="130"/>
      <c r="Y706" s="106"/>
    </row>
    <row r="707">
      <c r="C707" s="79"/>
      <c r="D707" s="79"/>
      <c r="J707" s="79"/>
      <c r="P707" s="79"/>
      <c r="S707" s="79"/>
      <c r="T707" s="79"/>
      <c r="W707" s="130"/>
      <c r="Y707" s="106"/>
    </row>
    <row r="708">
      <c r="C708" s="79"/>
      <c r="D708" s="79"/>
      <c r="J708" s="79"/>
      <c r="P708" s="79"/>
      <c r="S708" s="79"/>
      <c r="T708" s="79"/>
      <c r="W708" s="130"/>
      <c r="Y708" s="106"/>
    </row>
    <row r="709">
      <c r="C709" s="79"/>
      <c r="D709" s="79"/>
      <c r="J709" s="79"/>
      <c r="P709" s="79"/>
      <c r="S709" s="79"/>
      <c r="T709" s="79"/>
      <c r="W709" s="130"/>
      <c r="Y709" s="106"/>
    </row>
    <row r="710">
      <c r="C710" s="79"/>
      <c r="D710" s="79"/>
      <c r="J710" s="79"/>
      <c r="P710" s="79"/>
      <c r="S710" s="79"/>
      <c r="T710" s="79"/>
      <c r="W710" s="130"/>
      <c r="Y710" s="106"/>
    </row>
    <row r="711">
      <c r="C711" s="79"/>
      <c r="D711" s="79"/>
      <c r="J711" s="79"/>
      <c r="P711" s="79"/>
      <c r="S711" s="79"/>
      <c r="T711" s="79"/>
      <c r="W711" s="130"/>
      <c r="Y711" s="106"/>
    </row>
    <row r="712">
      <c r="C712" s="79"/>
      <c r="D712" s="79"/>
      <c r="J712" s="79"/>
      <c r="P712" s="79"/>
      <c r="S712" s="79"/>
      <c r="T712" s="79"/>
      <c r="W712" s="130"/>
      <c r="Y712" s="106"/>
    </row>
    <row r="713">
      <c r="C713" s="79"/>
      <c r="D713" s="79"/>
      <c r="J713" s="79"/>
      <c r="P713" s="79"/>
      <c r="S713" s="79"/>
      <c r="T713" s="79"/>
      <c r="W713" s="130"/>
      <c r="Y713" s="106"/>
    </row>
    <row r="714">
      <c r="C714" s="79"/>
      <c r="D714" s="79"/>
      <c r="J714" s="79"/>
      <c r="P714" s="79"/>
      <c r="S714" s="79"/>
      <c r="T714" s="79"/>
      <c r="W714" s="130"/>
      <c r="Y714" s="106"/>
    </row>
    <row r="715">
      <c r="C715" s="79"/>
      <c r="D715" s="79"/>
      <c r="J715" s="79"/>
      <c r="P715" s="79"/>
      <c r="S715" s="79"/>
      <c r="T715" s="79"/>
      <c r="W715" s="130"/>
      <c r="Y715" s="106"/>
    </row>
    <row r="716">
      <c r="C716" s="79"/>
      <c r="D716" s="79"/>
      <c r="J716" s="79"/>
      <c r="P716" s="79"/>
      <c r="S716" s="79"/>
      <c r="T716" s="79"/>
      <c r="W716" s="130"/>
      <c r="Y716" s="106"/>
    </row>
    <row r="717">
      <c r="C717" s="79"/>
      <c r="D717" s="79"/>
      <c r="J717" s="79"/>
      <c r="P717" s="79"/>
      <c r="S717" s="79"/>
      <c r="T717" s="79"/>
      <c r="W717" s="130"/>
      <c r="Y717" s="106"/>
    </row>
    <row r="718">
      <c r="C718" s="79"/>
      <c r="D718" s="79"/>
      <c r="J718" s="79"/>
      <c r="P718" s="79"/>
      <c r="S718" s="79"/>
      <c r="T718" s="79"/>
      <c r="W718" s="130"/>
      <c r="Y718" s="106"/>
    </row>
    <row r="719">
      <c r="C719" s="79"/>
      <c r="D719" s="79"/>
      <c r="J719" s="79"/>
      <c r="P719" s="79"/>
      <c r="S719" s="79"/>
      <c r="T719" s="79"/>
      <c r="W719" s="130"/>
      <c r="Y719" s="106"/>
    </row>
    <row r="720">
      <c r="C720" s="79"/>
      <c r="D720" s="79"/>
      <c r="J720" s="79"/>
      <c r="P720" s="79"/>
      <c r="S720" s="79"/>
      <c r="T720" s="79"/>
      <c r="W720" s="130"/>
      <c r="Y720" s="106"/>
    </row>
    <row r="721">
      <c r="C721" s="79"/>
      <c r="D721" s="79"/>
      <c r="J721" s="79"/>
      <c r="P721" s="79"/>
      <c r="S721" s="79"/>
      <c r="T721" s="79"/>
      <c r="W721" s="130"/>
      <c r="Y721" s="106"/>
    </row>
    <row r="722">
      <c r="C722" s="79"/>
      <c r="D722" s="79"/>
      <c r="J722" s="79"/>
      <c r="P722" s="79"/>
      <c r="S722" s="79"/>
      <c r="T722" s="79"/>
      <c r="W722" s="130"/>
      <c r="Y722" s="106"/>
    </row>
    <row r="723">
      <c r="C723" s="79"/>
      <c r="D723" s="79"/>
      <c r="J723" s="79"/>
      <c r="P723" s="79"/>
      <c r="S723" s="79"/>
      <c r="T723" s="79"/>
      <c r="W723" s="130"/>
      <c r="Y723" s="106"/>
    </row>
    <row r="724">
      <c r="C724" s="79"/>
      <c r="D724" s="79"/>
      <c r="J724" s="79"/>
      <c r="P724" s="79"/>
      <c r="S724" s="79"/>
      <c r="T724" s="79"/>
      <c r="W724" s="130"/>
      <c r="Y724" s="106"/>
    </row>
    <row r="725">
      <c r="C725" s="79"/>
      <c r="D725" s="79"/>
      <c r="J725" s="79"/>
      <c r="P725" s="79"/>
      <c r="S725" s="79"/>
      <c r="T725" s="79"/>
      <c r="W725" s="130"/>
      <c r="Y725" s="106"/>
    </row>
    <row r="726">
      <c r="C726" s="79"/>
      <c r="D726" s="79"/>
      <c r="J726" s="79"/>
      <c r="P726" s="79"/>
      <c r="S726" s="79"/>
      <c r="T726" s="79"/>
      <c r="W726" s="130"/>
      <c r="Y726" s="106"/>
    </row>
    <row r="727">
      <c r="C727" s="79"/>
      <c r="D727" s="79"/>
      <c r="J727" s="79"/>
      <c r="P727" s="79"/>
      <c r="S727" s="79"/>
      <c r="T727" s="79"/>
      <c r="W727" s="130"/>
      <c r="Y727" s="106"/>
    </row>
    <row r="728">
      <c r="C728" s="79"/>
      <c r="D728" s="79"/>
      <c r="J728" s="79"/>
      <c r="P728" s="79"/>
      <c r="S728" s="79"/>
      <c r="T728" s="79"/>
      <c r="W728" s="130"/>
      <c r="Y728" s="106"/>
    </row>
    <row r="729">
      <c r="C729" s="79"/>
      <c r="D729" s="79"/>
      <c r="J729" s="79"/>
      <c r="P729" s="79"/>
      <c r="S729" s="79"/>
      <c r="T729" s="79"/>
      <c r="W729" s="130"/>
      <c r="Y729" s="106"/>
    </row>
    <row r="730">
      <c r="C730" s="79"/>
      <c r="D730" s="79"/>
      <c r="J730" s="79"/>
      <c r="P730" s="79"/>
      <c r="S730" s="79"/>
      <c r="T730" s="79"/>
      <c r="W730" s="130"/>
      <c r="Y730" s="106"/>
    </row>
    <row r="731">
      <c r="C731" s="79"/>
      <c r="D731" s="79"/>
      <c r="J731" s="79"/>
      <c r="P731" s="79"/>
      <c r="S731" s="79"/>
      <c r="T731" s="79"/>
      <c r="W731" s="130"/>
      <c r="Y731" s="106"/>
    </row>
    <row r="732">
      <c r="C732" s="79"/>
      <c r="D732" s="79"/>
      <c r="J732" s="79"/>
      <c r="P732" s="79"/>
      <c r="S732" s="79"/>
      <c r="T732" s="79"/>
      <c r="W732" s="130"/>
      <c r="Y732" s="106"/>
    </row>
    <row r="733">
      <c r="C733" s="79"/>
      <c r="D733" s="79"/>
      <c r="J733" s="79"/>
      <c r="P733" s="79"/>
      <c r="S733" s="79"/>
      <c r="T733" s="79"/>
      <c r="W733" s="130"/>
      <c r="Y733" s="106"/>
    </row>
    <row r="734">
      <c r="C734" s="79"/>
      <c r="D734" s="79"/>
      <c r="J734" s="79"/>
      <c r="P734" s="79"/>
      <c r="S734" s="79"/>
      <c r="T734" s="79"/>
      <c r="W734" s="130"/>
      <c r="Y734" s="106"/>
    </row>
    <row r="735">
      <c r="C735" s="79"/>
      <c r="D735" s="79"/>
      <c r="J735" s="79"/>
      <c r="P735" s="79"/>
      <c r="S735" s="79"/>
      <c r="T735" s="79"/>
      <c r="W735" s="130"/>
      <c r="Y735" s="106"/>
    </row>
    <row r="736">
      <c r="C736" s="79"/>
      <c r="D736" s="79"/>
      <c r="J736" s="79"/>
      <c r="P736" s="79"/>
      <c r="S736" s="79"/>
      <c r="T736" s="79"/>
      <c r="W736" s="130"/>
      <c r="Y736" s="106"/>
    </row>
    <row r="737">
      <c r="C737" s="79"/>
      <c r="D737" s="79"/>
      <c r="J737" s="79"/>
      <c r="P737" s="79"/>
      <c r="S737" s="79"/>
      <c r="T737" s="79"/>
      <c r="W737" s="130"/>
      <c r="Y737" s="106"/>
    </row>
    <row r="738">
      <c r="C738" s="79"/>
      <c r="D738" s="79"/>
      <c r="J738" s="79"/>
      <c r="P738" s="79"/>
      <c r="S738" s="79"/>
      <c r="T738" s="79"/>
      <c r="W738" s="130"/>
      <c r="Y738" s="106"/>
    </row>
    <row r="739">
      <c r="C739" s="79"/>
      <c r="D739" s="79"/>
      <c r="J739" s="79"/>
      <c r="P739" s="79"/>
      <c r="S739" s="79"/>
      <c r="T739" s="79"/>
      <c r="W739" s="130"/>
      <c r="Y739" s="106"/>
    </row>
    <row r="740">
      <c r="C740" s="79"/>
      <c r="D740" s="79"/>
      <c r="J740" s="79"/>
      <c r="P740" s="79"/>
      <c r="S740" s="79"/>
      <c r="T740" s="79"/>
      <c r="W740" s="130"/>
      <c r="Y740" s="106"/>
    </row>
    <row r="741">
      <c r="C741" s="79"/>
      <c r="D741" s="79"/>
      <c r="J741" s="79"/>
      <c r="P741" s="79"/>
      <c r="S741" s="79"/>
      <c r="T741" s="79"/>
      <c r="W741" s="130"/>
      <c r="Y741" s="106"/>
    </row>
    <row r="742">
      <c r="C742" s="79"/>
      <c r="D742" s="79"/>
      <c r="J742" s="79"/>
      <c r="P742" s="79"/>
      <c r="S742" s="79"/>
      <c r="T742" s="79"/>
      <c r="W742" s="130"/>
      <c r="Y742" s="106"/>
    </row>
    <row r="743">
      <c r="C743" s="79"/>
      <c r="D743" s="79"/>
      <c r="J743" s="79"/>
      <c r="P743" s="79"/>
      <c r="S743" s="79"/>
      <c r="T743" s="79"/>
      <c r="W743" s="130"/>
      <c r="Y743" s="106"/>
    </row>
    <row r="744">
      <c r="C744" s="79"/>
      <c r="D744" s="79"/>
      <c r="J744" s="79"/>
      <c r="P744" s="79"/>
      <c r="S744" s="79"/>
      <c r="T744" s="79"/>
      <c r="W744" s="130"/>
      <c r="Y744" s="106"/>
    </row>
    <row r="745">
      <c r="C745" s="79"/>
      <c r="D745" s="79"/>
      <c r="J745" s="79"/>
      <c r="P745" s="79"/>
      <c r="S745" s="79"/>
      <c r="T745" s="79"/>
      <c r="W745" s="130"/>
      <c r="Y745" s="106"/>
    </row>
    <row r="746">
      <c r="C746" s="79"/>
      <c r="D746" s="79"/>
      <c r="J746" s="79"/>
      <c r="P746" s="79"/>
      <c r="S746" s="79"/>
      <c r="T746" s="79"/>
      <c r="W746" s="130"/>
      <c r="Y746" s="106"/>
    </row>
    <row r="747">
      <c r="C747" s="79"/>
      <c r="D747" s="79"/>
      <c r="J747" s="79"/>
      <c r="P747" s="79"/>
      <c r="S747" s="79"/>
      <c r="T747" s="79"/>
      <c r="W747" s="130"/>
      <c r="Y747" s="106"/>
    </row>
    <row r="748">
      <c r="C748" s="79"/>
      <c r="D748" s="79"/>
      <c r="J748" s="79"/>
      <c r="P748" s="79"/>
      <c r="S748" s="79"/>
      <c r="T748" s="79"/>
      <c r="W748" s="130"/>
      <c r="Y748" s="106"/>
    </row>
    <row r="749">
      <c r="C749" s="79"/>
      <c r="D749" s="79"/>
      <c r="J749" s="79"/>
      <c r="P749" s="79"/>
      <c r="S749" s="79"/>
      <c r="T749" s="79"/>
      <c r="W749" s="130"/>
      <c r="Y749" s="106"/>
    </row>
    <row r="750">
      <c r="C750" s="79"/>
      <c r="D750" s="79"/>
      <c r="J750" s="79"/>
      <c r="P750" s="79"/>
      <c r="S750" s="79"/>
      <c r="T750" s="79"/>
      <c r="W750" s="130"/>
      <c r="Y750" s="106"/>
    </row>
    <row r="751">
      <c r="C751" s="79"/>
      <c r="D751" s="79"/>
      <c r="J751" s="79"/>
      <c r="P751" s="79"/>
      <c r="S751" s="79"/>
      <c r="T751" s="79"/>
      <c r="W751" s="130"/>
      <c r="Y751" s="106"/>
    </row>
    <row r="752">
      <c r="C752" s="79"/>
      <c r="D752" s="79"/>
      <c r="J752" s="79"/>
      <c r="P752" s="79"/>
      <c r="S752" s="79"/>
      <c r="T752" s="79"/>
      <c r="W752" s="130"/>
      <c r="Y752" s="106"/>
    </row>
    <row r="753">
      <c r="C753" s="79"/>
      <c r="D753" s="79"/>
      <c r="J753" s="79"/>
      <c r="P753" s="79"/>
      <c r="S753" s="79"/>
      <c r="T753" s="79"/>
      <c r="W753" s="130"/>
      <c r="Y753" s="106"/>
    </row>
    <row r="754">
      <c r="C754" s="79"/>
      <c r="D754" s="79"/>
      <c r="J754" s="79"/>
      <c r="P754" s="79"/>
      <c r="S754" s="79"/>
      <c r="T754" s="79"/>
      <c r="W754" s="130"/>
      <c r="Y754" s="106"/>
    </row>
    <row r="755">
      <c r="C755" s="79"/>
      <c r="D755" s="79"/>
      <c r="J755" s="79"/>
      <c r="P755" s="79"/>
      <c r="S755" s="79"/>
      <c r="T755" s="79"/>
      <c r="W755" s="130"/>
      <c r="Y755" s="106"/>
    </row>
    <row r="756">
      <c r="C756" s="79"/>
      <c r="D756" s="79"/>
      <c r="J756" s="79"/>
      <c r="P756" s="79"/>
      <c r="S756" s="79"/>
      <c r="T756" s="79"/>
      <c r="W756" s="130"/>
      <c r="Y756" s="106"/>
    </row>
    <row r="757">
      <c r="C757" s="79"/>
      <c r="D757" s="79"/>
      <c r="J757" s="79"/>
      <c r="P757" s="79"/>
      <c r="S757" s="79"/>
      <c r="T757" s="79"/>
      <c r="W757" s="130"/>
      <c r="Y757" s="106"/>
    </row>
    <row r="758">
      <c r="C758" s="79"/>
      <c r="D758" s="79"/>
      <c r="J758" s="79"/>
      <c r="P758" s="79"/>
      <c r="S758" s="79"/>
      <c r="T758" s="79"/>
      <c r="W758" s="130"/>
      <c r="Y758" s="106"/>
    </row>
    <row r="759">
      <c r="C759" s="79"/>
      <c r="D759" s="79"/>
      <c r="J759" s="79"/>
      <c r="P759" s="79"/>
      <c r="S759" s="79"/>
      <c r="T759" s="79"/>
      <c r="W759" s="130"/>
      <c r="Y759" s="106"/>
    </row>
    <row r="760">
      <c r="C760" s="79"/>
      <c r="D760" s="79"/>
      <c r="J760" s="79"/>
      <c r="P760" s="79"/>
      <c r="S760" s="79"/>
      <c r="T760" s="79"/>
      <c r="W760" s="130"/>
      <c r="Y760" s="106"/>
    </row>
    <row r="761">
      <c r="C761" s="79"/>
      <c r="D761" s="79"/>
      <c r="J761" s="79"/>
      <c r="P761" s="79"/>
      <c r="S761" s="79"/>
      <c r="T761" s="79"/>
      <c r="W761" s="130"/>
      <c r="Y761" s="106"/>
    </row>
    <row r="762">
      <c r="C762" s="79"/>
      <c r="D762" s="79"/>
      <c r="J762" s="79"/>
      <c r="P762" s="79"/>
      <c r="S762" s="79"/>
      <c r="T762" s="79"/>
      <c r="W762" s="130"/>
      <c r="Y762" s="106"/>
    </row>
    <row r="763">
      <c r="C763" s="79"/>
      <c r="D763" s="79"/>
      <c r="J763" s="79"/>
      <c r="P763" s="79"/>
      <c r="S763" s="79"/>
      <c r="T763" s="79"/>
      <c r="W763" s="130"/>
      <c r="Y763" s="106"/>
    </row>
    <row r="764">
      <c r="C764" s="79"/>
      <c r="D764" s="79"/>
      <c r="J764" s="79"/>
      <c r="P764" s="79"/>
      <c r="S764" s="79"/>
      <c r="T764" s="79"/>
      <c r="W764" s="130"/>
      <c r="Y764" s="106"/>
    </row>
    <row r="765">
      <c r="C765" s="79"/>
      <c r="D765" s="79"/>
      <c r="J765" s="79"/>
      <c r="P765" s="79"/>
      <c r="S765" s="79"/>
      <c r="T765" s="79"/>
      <c r="W765" s="130"/>
      <c r="Y765" s="106"/>
    </row>
    <row r="766">
      <c r="C766" s="79"/>
      <c r="D766" s="79"/>
      <c r="J766" s="79"/>
      <c r="P766" s="79"/>
      <c r="S766" s="79"/>
      <c r="T766" s="79"/>
      <c r="W766" s="130"/>
      <c r="Y766" s="106"/>
    </row>
    <row r="767">
      <c r="C767" s="79"/>
      <c r="D767" s="79"/>
      <c r="J767" s="79"/>
      <c r="P767" s="79"/>
      <c r="S767" s="79"/>
      <c r="T767" s="79"/>
      <c r="W767" s="130"/>
      <c r="Y767" s="106"/>
    </row>
    <row r="768">
      <c r="C768" s="79"/>
      <c r="D768" s="79"/>
      <c r="J768" s="79"/>
      <c r="P768" s="79"/>
      <c r="S768" s="79"/>
      <c r="T768" s="79"/>
      <c r="W768" s="130"/>
      <c r="Y768" s="106"/>
    </row>
    <row r="769">
      <c r="C769" s="79"/>
      <c r="D769" s="79"/>
      <c r="J769" s="79"/>
      <c r="P769" s="79"/>
      <c r="S769" s="79"/>
      <c r="T769" s="79"/>
      <c r="W769" s="130"/>
      <c r="Y769" s="106"/>
    </row>
    <row r="770">
      <c r="C770" s="79"/>
      <c r="D770" s="79"/>
      <c r="J770" s="79"/>
      <c r="P770" s="79"/>
      <c r="S770" s="79"/>
      <c r="T770" s="79"/>
      <c r="W770" s="130"/>
      <c r="Y770" s="106"/>
    </row>
    <row r="771">
      <c r="C771" s="79"/>
      <c r="D771" s="79"/>
      <c r="J771" s="79"/>
      <c r="P771" s="79"/>
      <c r="S771" s="79"/>
      <c r="T771" s="79"/>
      <c r="W771" s="130"/>
      <c r="Y771" s="106"/>
    </row>
    <row r="772">
      <c r="C772" s="79"/>
      <c r="D772" s="79"/>
      <c r="J772" s="79"/>
      <c r="P772" s="79"/>
      <c r="S772" s="79"/>
      <c r="T772" s="79"/>
      <c r="W772" s="130"/>
      <c r="Y772" s="106"/>
    </row>
    <row r="773">
      <c r="C773" s="79"/>
      <c r="D773" s="79"/>
      <c r="J773" s="79"/>
      <c r="P773" s="79"/>
      <c r="S773" s="79"/>
      <c r="T773" s="79"/>
      <c r="W773" s="130"/>
      <c r="Y773" s="106"/>
    </row>
    <row r="774">
      <c r="C774" s="79"/>
      <c r="D774" s="79"/>
      <c r="J774" s="79"/>
      <c r="P774" s="79"/>
      <c r="S774" s="79"/>
      <c r="T774" s="79"/>
      <c r="W774" s="130"/>
      <c r="Y774" s="106"/>
    </row>
    <row r="775">
      <c r="C775" s="79"/>
      <c r="D775" s="79"/>
      <c r="J775" s="79"/>
      <c r="P775" s="79"/>
      <c r="S775" s="79"/>
      <c r="T775" s="79"/>
      <c r="W775" s="130"/>
      <c r="Y775" s="106"/>
    </row>
    <row r="776">
      <c r="C776" s="79"/>
      <c r="D776" s="79"/>
      <c r="J776" s="79"/>
      <c r="P776" s="79"/>
      <c r="S776" s="79"/>
      <c r="T776" s="79"/>
      <c r="W776" s="130"/>
      <c r="Y776" s="106"/>
    </row>
    <row r="777">
      <c r="C777" s="79"/>
      <c r="D777" s="79"/>
      <c r="J777" s="79"/>
      <c r="P777" s="79"/>
      <c r="S777" s="79"/>
      <c r="T777" s="79"/>
      <c r="W777" s="130"/>
      <c r="Y777" s="106"/>
    </row>
    <row r="778">
      <c r="C778" s="79"/>
      <c r="D778" s="79"/>
      <c r="J778" s="79"/>
      <c r="P778" s="79"/>
      <c r="S778" s="79"/>
      <c r="T778" s="79"/>
      <c r="W778" s="130"/>
      <c r="Y778" s="106"/>
    </row>
    <row r="779">
      <c r="C779" s="79"/>
      <c r="D779" s="79"/>
      <c r="J779" s="79"/>
      <c r="P779" s="79"/>
      <c r="S779" s="79"/>
      <c r="T779" s="79"/>
      <c r="W779" s="130"/>
      <c r="Y779" s="106"/>
    </row>
    <row r="780">
      <c r="C780" s="79"/>
      <c r="D780" s="79"/>
      <c r="J780" s="79"/>
      <c r="P780" s="79"/>
      <c r="S780" s="79"/>
      <c r="T780" s="79"/>
      <c r="W780" s="130"/>
      <c r="Y780" s="106"/>
    </row>
    <row r="781">
      <c r="C781" s="79"/>
      <c r="D781" s="79"/>
      <c r="J781" s="79"/>
      <c r="P781" s="79"/>
      <c r="S781" s="79"/>
      <c r="T781" s="79"/>
      <c r="W781" s="130"/>
      <c r="Y781" s="106"/>
    </row>
    <row r="782">
      <c r="C782" s="79"/>
      <c r="D782" s="79"/>
      <c r="J782" s="79"/>
      <c r="P782" s="79"/>
      <c r="S782" s="79"/>
      <c r="T782" s="79"/>
      <c r="W782" s="130"/>
      <c r="Y782" s="106"/>
    </row>
    <row r="783">
      <c r="C783" s="79"/>
      <c r="D783" s="79"/>
      <c r="J783" s="79"/>
      <c r="P783" s="79"/>
      <c r="S783" s="79"/>
      <c r="T783" s="79"/>
      <c r="W783" s="130"/>
      <c r="Y783" s="106"/>
    </row>
    <row r="784">
      <c r="C784" s="79"/>
      <c r="D784" s="79"/>
      <c r="J784" s="79"/>
      <c r="P784" s="79"/>
      <c r="S784" s="79"/>
      <c r="T784" s="79"/>
      <c r="W784" s="130"/>
      <c r="Y784" s="106"/>
    </row>
    <row r="785">
      <c r="C785" s="79"/>
      <c r="D785" s="79"/>
      <c r="J785" s="79"/>
      <c r="P785" s="79"/>
      <c r="S785" s="79"/>
      <c r="T785" s="79"/>
      <c r="W785" s="130"/>
      <c r="Y785" s="106"/>
    </row>
    <row r="786">
      <c r="C786" s="79"/>
      <c r="D786" s="79"/>
      <c r="J786" s="79"/>
      <c r="P786" s="79"/>
      <c r="S786" s="79"/>
      <c r="T786" s="79"/>
      <c r="W786" s="130"/>
      <c r="Y786" s="106"/>
    </row>
    <row r="787">
      <c r="C787" s="79"/>
      <c r="D787" s="79"/>
      <c r="J787" s="79"/>
      <c r="P787" s="79"/>
      <c r="S787" s="79"/>
      <c r="T787" s="79"/>
      <c r="W787" s="130"/>
      <c r="Y787" s="106"/>
    </row>
    <row r="788">
      <c r="C788" s="79"/>
      <c r="D788" s="79"/>
      <c r="J788" s="79"/>
      <c r="P788" s="79"/>
      <c r="S788" s="79"/>
      <c r="T788" s="79"/>
      <c r="W788" s="130"/>
      <c r="Y788" s="106"/>
    </row>
    <row r="789">
      <c r="C789" s="79"/>
      <c r="D789" s="79"/>
      <c r="J789" s="79"/>
      <c r="P789" s="79"/>
      <c r="S789" s="79"/>
      <c r="T789" s="79"/>
      <c r="W789" s="130"/>
      <c r="Y789" s="106"/>
    </row>
    <row r="790">
      <c r="C790" s="79"/>
      <c r="D790" s="79"/>
      <c r="J790" s="79"/>
      <c r="P790" s="79"/>
      <c r="S790" s="79"/>
      <c r="T790" s="79"/>
      <c r="W790" s="130"/>
      <c r="Y790" s="106"/>
    </row>
    <row r="791">
      <c r="C791" s="79"/>
      <c r="D791" s="79"/>
      <c r="J791" s="79"/>
      <c r="P791" s="79"/>
      <c r="S791" s="79"/>
      <c r="T791" s="79"/>
      <c r="W791" s="130"/>
      <c r="Y791" s="106"/>
    </row>
    <row r="792">
      <c r="C792" s="79"/>
      <c r="D792" s="79"/>
      <c r="J792" s="79"/>
      <c r="P792" s="79"/>
      <c r="S792" s="79"/>
      <c r="T792" s="79"/>
      <c r="W792" s="130"/>
      <c r="Y792" s="106"/>
    </row>
    <row r="793">
      <c r="C793" s="79"/>
      <c r="D793" s="79"/>
      <c r="J793" s="79"/>
      <c r="P793" s="79"/>
      <c r="S793" s="79"/>
      <c r="T793" s="79"/>
      <c r="W793" s="130"/>
      <c r="Y793" s="106"/>
    </row>
    <row r="794">
      <c r="C794" s="79"/>
      <c r="D794" s="79"/>
      <c r="J794" s="79"/>
      <c r="P794" s="79"/>
      <c r="S794" s="79"/>
      <c r="T794" s="79"/>
      <c r="W794" s="130"/>
      <c r="Y794" s="106"/>
    </row>
    <row r="795">
      <c r="C795" s="79"/>
      <c r="D795" s="79"/>
      <c r="J795" s="79"/>
      <c r="P795" s="79"/>
      <c r="S795" s="79"/>
      <c r="T795" s="79"/>
      <c r="W795" s="130"/>
      <c r="Y795" s="106"/>
    </row>
    <row r="796">
      <c r="C796" s="79"/>
      <c r="D796" s="79"/>
      <c r="J796" s="79"/>
      <c r="P796" s="79"/>
      <c r="S796" s="79"/>
      <c r="T796" s="79"/>
      <c r="W796" s="130"/>
      <c r="Y796" s="106"/>
    </row>
    <row r="797">
      <c r="C797" s="79"/>
      <c r="D797" s="79"/>
      <c r="J797" s="79"/>
      <c r="P797" s="79"/>
      <c r="S797" s="79"/>
      <c r="T797" s="79"/>
      <c r="W797" s="130"/>
      <c r="Y797" s="106"/>
    </row>
    <row r="798">
      <c r="C798" s="79"/>
      <c r="D798" s="79"/>
      <c r="J798" s="79"/>
      <c r="P798" s="79"/>
      <c r="S798" s="79"/>
      <c r="T798" s="79"/>
      <c r="W798" s="130"/>
      <c r="Y798" s="106"/>
    </row>
    <row r="799">
      <c r="C799" s="79"/>
      <c r="D799" s="79"/>
      <c r="J799" s="79"/>
      <c r="P799" s="79"/>
      <c r="S799" s="79"/>
      <c r="T799" s="79"/>
      <c r="W799" s="130"/>
      <c r="Y799" s="106"/>
    </row>
    <row r="800">
      <c r="C800" s="79"/>
      <c r="D800" s="79"/>
      <c r="J800" s="79"/>
      <c r="P800" s="79"/>
      <c r="S800" s="79"/>
      <c r="T800" s="79"/>
      <c r="W800" s="130"/>
      <c r="Y800" s="106"/>
    </row>
    <row r="801">
      <c r="C801" s="79"/>
      <c r="D801" s="79"/>
      <c r="J801" s="79"/>
      <c r="P801" s="79"/>
      <c r="S801" s="79"/>
      <c r="T801" s="79"/>
      <c r="W801" s="130"/>
      <c r="Y801" s="106"/>
    </row>
    <row r="802">
      <c r="C802" s="79"/>
      <c r="D802" s="79"/>
      <c r="J802" s="79"/>
      <c r="P802" s="79"/>
      <c r="S802" s="79"/>
      <c r="T802" s="79"/>
      <c r="W802" s="130"/>
      <c r="Y802" s="106"/>
    </row>
    <row r="803">
      <c r="C803" s="79"/>
      <c r="D803" s="79"/>
      <c r="J803" s="79"/>
      <c r="P803" s="79"/>
      <c r="S803" s="79"/>
      <c r="T803" s="79"/>
      <c r="W803" s="130"/>
      <c r="Y803" s="106"/>
    </row>
    <row r="804">
      <c r="C804" s="79"/>
      <c r="D804" s="79"/>
      <c r="J804" s="79"/>
      <c r="P804" s="79"/>
      <c r="S804" s="79"/>
      <c r="T804" s="79"/>
      <c r="W804" s="130"/>
      <c r="Y804" s="106"/>
    </row>
    <row r="805">
      <c r="C805" s="79"/>
      <c r="D805" s="79"/>
      <c r="J805" s="79"/>
      <c r="P805" s="79"/>
      <c r="S805" s="79"/>
      <c r="T805" s="79"/>
      <c r="W805" s="130"/>
      <c r="Y805" s="106"/>
    </row>
    <row r="806">
      <c r="C806" s="79"/>
      <c r="D806" s="79"/>
      <c r="J806" s="79"/>
      <c r="P806" s="79"/>
      <c r="S806" s="79"/>
      <c r="T806" s="79"/>
      <c r="W806" s="130"/>
      <c r="Y806" s="106"/>
    </row>
    <row r="807">
      <c r="C807" s="79"/>
      <c r="D807" s="79"/>
      <c r="J807" s="79"/>
      <c r="P807" s="79"/>
      <c r="S807" s="79"/>
      <c r="T807" s="79"/>
      <c r="W807" s="130"/>
      <c r="Y807" s="106"/>
    </row>
    <row r="808">
      <c r="C808" s="79"/>
      <c r="D808" s="79"/>
      <c r="J808" s="79"/>
      <c r="P808" s="79"/>
      <c r="S808" s="79"/>
      <c r="T808" s="79"/>
      <c r="W808" s="130"/>
      <c r="Y808" s="106"/>
    </row>
    <row r="809">
      <c r="C809" s="79"/>
      <c r="D809" s="79"/>
      <c r="J809" s="79"/>
      <c r="P809" s="79"/>
      <c r="S809" s="79"/>
      <c r="T809" s="79"/>
      <c r="W809" s="130"/>
      <c r="Y809" s="106"/>
    </row>
    <row r="810">
      <c r="C810" s="79"/>
      <c r="D810" s="79"/>
      <c r="J810" s="79"/>
      <c r="P810" s="79"/>
      <c r="S810" s="79"/>
      <c r="T810" s="79"/>
      <c r="W810" s="130"/>
      <c r="Y810" s="106"/>
    </row>
    <row r="811">
      <c r="C811" s="79"/>
      <c r="D811" s="79"/>
      <c r="J811" s="79"/>
      <c r="P811" s="79"/>
      <c r="S811" s="79"/>
      <c r="T811" s="79"/>
      <c r="W811" s="130"/>
      <c r="Y811" s="106"/>
    </row>
    <row r="812">
      <c r="C812" s="79"/>
      <c r="D812" s="79"/>
      <c r="J812" s="79"/>
      <c r="P812" s="79"/>
      <c r="S812" s="79"/>
      <c r="T812" s="79"/>
      <c r="W812" s="130"/>
      <c r="Y812" s="106"/>
    </row>
    <row r="813">
      <c r="C813" s="79"/>
      <c r="D813" s="79"/>
      <c r="J813" s="79"/>
      <c r="P813" s="79"/>
      <c r="S813" s="79"/>
      <c r="T813" s="79"/>
      <c r="W813" s="130"/>
      <c r="Y813" s="106"/>
    </row>
    <row r="814">
      <c r="C814" s="79"/>
      <c r="D814" s="79"/>
      <c r="J814" s="79"/>
      <c r="P814" s="79"/>
      <c r="S814" s="79"/>
      <c r="T814" s="79"/>
      <c r="W814" s="130"/>
      <c r="Y814" s="106"/>
    </row>
    <row r="815">
      <c r="C815" s="79"/>
      <c r="D815" s="79"/>
      <c r="J815" s="79"/>
      <c r="P815" s="79"/>
      <c r="S815" s="79"/>
      <c r="T815" s="79"/>
      <c r="W815" s="130"/>
      <c r="Y815" s="106"/>
    </row>
    <row r="816">
      <c r="C816" s="79"/>
      <c r="D816" s="79"/>
      <c r="J816" s="79"/>
      <c r="P816" s="79"/>
      <c r="S816" s="79"/>
      <c r="T816" s="79"/>
      <c r="W816" s="130"/>
      <c r="Y816" s="106"/>
    </row>
    <row r="817">
      <c r="C817" s="79"/>
      <c r="D817" s="79"/>
      <c r="J817" s="79"/>
      <c r="P817" s="79"/>
      <c r="S817" s="79"/>
      <c r="T817" s="79"/>
      <c r="W817" s="130"/>
      <c r="Y817" s="106"/>
    </row>
    <row r="818">
      <c r="C818" s="79"/>
      <c r="D818" s="79"/>
      <c r="J818" s="79"/>
      <c r="P818" s="79"/>
      <c r="S818" s="79"/>
      <c r="T818" s="79"/>
      <c r="W818" s="130"/>
      <c r="Y818" s="106"/>
    </row>
    <row r="819">
      <c r="C819" s="79"/>
      <c r="D819" s="79"/>
      <c r="J819" s="79"/>
      <c r="P819" s="79"/>
      <c r="S819" s="79"/>
      <c r="T819" s="79"/>
      <c r="W819" s="130"/>
      <c r="Y819" s="106"/>
    </row>
    <row r="820">
      <c r="C820" s="79"/>
      <c r="D820" s="79"/>
      <c r="J820" s="79"/>
      <c r="P820" s="79"/>
      <c r="S820" s="79"/>
      <c r="T820" s="79"/>
      <c r="W820" s="130"/>
      <c r="Y820" s="106"/>
    </row>
    <row r="821">
      <c r="C821" s="79"/>
      <c r="D821" s="79"/>
      <c r="J821" s="79"/>
      <c r="P821" s="79"/>
      <c r="S821" s="79"/>
      <c r="T821" s="79"/>
      <c r="W821" s="130"/>
      <c r="Y821" s="106"/>
    </row>
    <row r="822">
      <c r="C822" s="79"/>
      <c r="D822" s="79"/>
      <c r="J822" s="79"/>
      <c r="P822" s="79"/>
      <c r="S822" s="79"/>
      <c r="T822" s="79"/>
      <c r="W822" s="130"/>
      <c r="Y822" s="106"/>
    </row>
    <row r="823">
      <c r="C823" s="79"/>
      <c r="D823" s="79"/>
      <c r="J823" s="79"/>
      <c r="P823" s="79"/>
      <c r="S823" s="79"/>
      <c r="T823" s="79"/>
      <c r="W823" s="130"/>
      <c r="Y823" s="106"/>
    </row>
    <row r="824">
      <c r="C824" s="79"/>
      <c r="D824" s="79"/>
      <c r="J824" s="79"/>
      <c r="P824" s="79"/>
      <c r="S824" s="79"/>
      <c r="T824" s="79"/>
      <c r="W824" s="130"/>
      <c r="Y824" s="106"/>
    </row>
    <row r="825">
      <c r="C825" s="79"/>
      <c r="D825" s="79"/>
      <c r="J825" s="79"/>
      <c r="P825" s="79"/>
      <c r="S825" s="79"/>
      <c r="T825" s="79"/>
      <c r="W825" s="130"/>
      <c r="Y825" s="106"/>
    </row>
    <row r="826">
      <c r="C826" s="79"/>
      <c r="D826" s="79"/>
      <c r="J826" s="79"/>
      <c r="P826" s="79"/>
      <c r="S826" s="79"/>
      <c r="T826" s="79"/>
      <c r="W826" s="130"/>
      <c r="Y826" s="106"/>
    </row>
    <row r="827">
      <c r="C827" s="79"/>
      <c r="D827" s="79"/>
      <c r="J827" s="79"/>
      <c r="P827" s="79"/>
      <c r="S827" s="79"/>
      <c r="T827" s="79"/>
      <c r="W827" s="130"/>
      <c r="Y827" s="106"/>
    </row>
    <row r="828">
      <c r="C828" s="79"/>
      <c r="D828" s="79"/>
      <c r="J828" s="79"/>
      <c r="P828" s="79"/>
      <c r="S828" s="79"/>
      <c r="T828" s="79"/>
      <c r="W828" s="130"/>
      <c r="Y828" s="106"/>
    </row>
    <row r="829">
      <c r="C829" s="79"/>
      <c r="D829" s="79"/>
      <c r="J829" s="79"/>
      <c r="P829" s="79"/>
      <c r="S829" s="79"/>
      <c r="T829" s="79"/>
      <c r="W829" s="130"/>
      <c r="Y829" s="106"/>
    </row>
    <row r="830">
      <c r="C830" s="79"/>
      <c r="D830" s="79"/>
      <c r="J830" s="79"/>
      <c r="P830" s="79"/>
      <c r="S830" s="79"/>
      <c r="T830" s="79"/>
      <c r="W830" s="130"/>
      <c r="Y830" s="106"/>
    </row>
    <row r="831">
      <c r="C831" s="79"/>
      <c r="D831" s="79"/>
      <c r="J831" s="79"/>
      <c r="P831" s="79"/>
      <c r="S831" s="79"/>
      <c r="T831" s="79"/>
      <c r="W831" s="130"/>
      <c r="Y831" s="106"/>
    </row>
    <row r="832">
      <c r="C832" s="79"/>
      <c r="D832" s="79"/>
      <c r="J832" s="79"/>
      <c r="P832" s="79"/>
      <c r="S832" s="79"/>
      <c r="T832" s="79"/>
      <c r="W832" s="130"/>
      <c r="Y832" s="106"/>
    </row>
    <row r="833">
      <c r="C833" s="79"/>
      <c r="D833" s="79"/>
      <c r="J833" s="79"/>
      <c r="P833" s="79"/>
      <c r="S833" s="79"/>
      <c r="T833" s="79"/>
      <c r="W833" s="130"/>
      <c r="Y833" s="106"/>
    </row>
    <row r="834">
      <c r="C834" s="79"/>
      <c r="D834" s="79"/>
      <c r="J834" s="79"/>
      <c r="P834" s="79"/>
      <c r="S834" s="79"/>
      <c r="T834" s="79"/>
      <c r="W834" s="130"/>
      <c r="Y834" s="106"/>
    </row>
    <row r="835">
      <c r="C835" s="79"/>
      <c r="D835" s="79"/>
      <c r="J835" s="79"/>
      <c r="P835" s="79"/>
      <c r="S835" s="79"/>
      <c r="T835" s="79"/>
      <c r="W835" s="130"/>
      <c r="Y835" s="106"/>
    </row>
    <row r="836">
      <c r="C836" s="79"/>
      <c r="D836" s="79"/>
      <c r="J836" s="79"/>
      <c r="P836" s="79"/>
      <c r="S836" s="79"/>
      <c r="T836" s="79"/>
      <c r="W836" s="130"/>
      <c r="Y836" s="106"/>
    </row>
    <row r="837">
      <c r="C837" s="79"/>
      <c r="D837" s="79"/>
      <c r="J837" s="79"/>
      <c r="P837" s="79"/>
      <c r="S837" s="79"/>
      <c r="T837" s="79"/>
      <c r="W837" s="130"/>
      <c r="Y837" s="106"/>
    </row>
    <row r="838">
      <c r="C838" s="79"/>
      <c r="D838" s="79"/>
      <c r="J838" s="79"/>
      <c r="P838" s="79"/>
      <c r="S838" s="79"/>
      <c r="T838" s="79"/>
      <c r="W838" s="130"/>
      <c r="Y838" s="106"/>
    </row>
    <row r="839">
      <c r="C839" s="79"/>
      <c r="D839" s="79"/>
      <c r="J839" s="79"/>
      <c r="P839" s="79"/>
      <c r="S839" s="79"/>
      <c r="T839" s="79"/>
      <c r="W839" s="130"/>
      <c r="Y839" s="106"/>
    </row>
    <row r="840">
      <c r="C840" s="79"/>
      <c r="D840" s="79"/>
      <c r="J840" s="79"/>
      <c r="P840" s="79"/>
      <c r="S840" s="79"/>
      <c r="T840" s="79"/>
      <c r="W840" s="130"/>
      <c r="Y840" s="106"/>
    </row>
    <row r="841">
      <c r="C841" s="79"/>
      <c r="D841" s="79"/>
      <c r="J841" s="79"/>
      <c r="P841" s="79"/>
      <c r="S841" s="79"/>
      <c r="T841" s="79"/>
      <c r="W841" s="130"/>
      <c r="Y841" s="106"/>
    </row>
    <row r="842">
      <c r="C842" s="79"/>
      <c r="D842" s="79"/>
      <c r="J842" s="79"/>
      <c r="P842" s="79"/>
      <c r="S842" s="79"/>
      <c r="T842" s="79"/>
      <c r="W842" s="130"/>
      <c r="Y842" s="106"/>
    </row>
    <row r="843">
      <c r="C843" s="79"/>
      <c r="D843" s="79"/>
      <c r="J843" s="79"/>
      <c r="P843" s="79"/>
      <c r="S843" s="79"/>
      <c r="T843" s="79"/>
      <c r="W843" s="130"/>
      <c r="Y843" s="106"/>
    </row>
    <row r="844">
      <c r="C844" s="79"/>
      <c r="D844" s="79"/>
      <c r="J844" s="79"/>
      <c r="P844" s="79"/>
      <c r="S844" s="79"/>
      <c r="T844" s="79"/>
      <c r="W844" s="130"/>
      <c r="Y844" s="106"/>
    </row>
    <row r="845">
      <c r="C845" s="79"/>
      <c r="D845" s="79"/>
      <c r="J845" s="79"/>
      <c r="P845" s="79"/>
      <c r="S845" s="79"/>
      <c r="T845" s="79"/>
      <c r="W845" s="130"/>
      <c r="Y845" s="106"/>
    </row>
    <row r="846">
      <c r="C846" s="79"/>
      <c r="D846" s="79"/>
      <c r="J846" s="79"/>
      <c r="P846" s="79"/>
      <c r="S846" s="79"/>
      <c r="T846" s="79"/>
      <c r="W846" s="130"/>
      <c r="Y846" s="106"/>
    </row>
    <row r="847">
      <c r="C847" s="79"/>
      <c r="D847" s="79"/>
      <c r="J847" s="79"/>
      <c r="P847" s="79"/>
      <c r="S847" s="79"/>
      <c r="T847" s="79"/>
      <c r="W847" s="130"/>
      <c r="Y847" s="106"/>
    </row>
    <row r="848">
      <c r="C848" s="79"/>
      <c r="D848" s="79"/>
      <c r="J848" s="79"/>
      <c r="P848" s="79"/>
      <c r="S848" s="79"/>
      <c r="T848" s="79"/>
      <c r="W848" s="130"/>
      <c r="Y848" s="106"/>
    </row>
    <row r="849">
      <c r="C849" s="79"/>
      <c r="D849" s="79"/>
      <c r="J849" s="79"/>
      <c r="P849" s="79"/>
      <c r="S849" s="79"/>
      <c r="T849" s="79"/>
      <c r="W849" s="130"/>
      <c r="Y849" s="106"/>
    </row>
    <row r="850">
      <c r="C850" s="79"/>
      <c r="D850" s="79"/>
      <c r="J850" s="79"/>
      <c r="P850" s="79"/>
      <c r="S850" s="79"/>
      <c r="T850" s="79"/>
      <c r="W850" s="130"/>
      <c r="Y850" s="106"/>
    </row>
    <row r="851">
      <c r="C851" s="79"/>
      <c r="D851" s="79"/>
      <c r="J851" s="79"/>
      <c r="P851" s="79"/>
      <c r="S851" s="79"/>
      <c r="T851" s="79"/>
      <c r="W851" s="130"/>
      <c r="Y851" s="106"/>
    </row>
    <row r="852">
      <c r="C852" s="79"/>
      <c r="D852" s="79"/>
      <c r="J852" s="79"/>
      <c r="P852" s="79"/>
      <c r="S852" s="79"/>
      <c r="T852" s="79"/>
      <c r="W852" s="130"/>
      <c r="Y852" s="106"/>
    </row>
    <row r="853">
      <c r="C853" s="79"/>
      <c r="D853" s="79"/>
      <c r="J853" s="79"/>
      <c r="P853" s="79"/>
      <c r="S853" s="79"/>
      <c r="T853" s="79"/>
      <c r="W853" s="130"/>
      <c r="Y853" s="106"/>
    </row>
    <row r="854">
      <c r="C854" s="79"/>
      <c r="D854" s="79"/>
      <c r="J854" s="79"/>
      <c r="P854" s="79"/>
      <c r="S854" s="79"/>
      <c r="T854" s="79"/>
      <c r="W854" s="130"/>
      <c r="Y854" s="106"/>
    </row>
    <row r="855">
      <c r="C855" s="79"/>
      <c r="D855" s="79"/>
      <c r="J855" s="79"/>
      <c r="P855" s="79"/>
      <c r="S855" s="79"/>
      <c r="T855" s="79"/>
      <c r="W855" s="130"/>
      <c r="Y855" s="106"/>
    </row>
    <row r="856">
      <c r="C856" s="79"/>
      <c r="D856" s="79"/>
      <c r="J856" s="79"/>
      <c r="P856" s="79"/>
      <c r="S856" s="79"/>
      <c r="T856" s="79"/>
      <c r="W856" s="130"/>
      <c r="Y856" s="106"/>
    </row>
    <row r="857">
      <c r="C857" s="79"/>
      <c r="D857" s="79"/>
      <c r="J857" s="79"/>
      <c r="P857" s="79"/>
      <c r="S857" s="79"/>
      <c r="T857" s="79"/>
      <c r="W857" s="130"/>
      <c r="Y857" s="106"/>
    </row>
    <row r="858">
      <c r="C858" s="79"/>
      <c r="D858" s="79"/>
      <c r="J858" s="79"/>
      <c r="P858" s="79"/>
      <c r="S858" s="79"/>
      <c r="T858" s="79"/>
      <c r="W858" s="130"/>
      <c r="Y858" s="106"/>
    </row>
    <row r="859">
      <c r="C859" s="79"/>
      <c r="D859" s="79"/>
      <c r="J859" s="79"/>
      <c r="P859" s="79"/>
      <c r="S859" s="79"/>
      <c r="T859" s="79"/>
      <c r="W859" s="130"/>
      <c r="Y859" s="106"/>
    </row>
    <row r="860">
      <c r="C860" s="79"/>
      <c r="D860" s="79"/>
      <c r="J860" s="79"/>
      <c r="P860" s="79"/>
      <c r="S860" s="79"/>
      <c r="T860" s="79"/>
      <c r="W860" s="130"/>
      <c r="Y860" s="106"/>
    </row>
    <row r="861">
      <c r="C861" s="79"/>
      <c r="D861" s="79"/>
      <c r="J861" s="79"/>
      <c r="P861" s="79"/>
      <c r="S861" s="79"/>
      <c r="T861" s="79"/>
      <c r="W861" s="130"/>
      <c r="Y861" s="106"/>
    </row>
    <row r="862">
      <c r="C862" s="79"/>
      <c r="D862" s="79"/>
      <c r="J862" s="79"/>
      <c r="P862" s="79"/>
      <c r="S862" s="79"/>
      <c r="T862" s="79"/>
      <c r="W862" s="130"/>
      <c r="Y862" s="106"/>
    </row>
    <row r="863">
      <c r="C863" s="79"/>
      <c r="D863" s="79"/>
      <c r="J863" s="79"/>
      <c r="P863" s="79"/>
      <c r="S863" s="79"/>
      <c r="T863" s="79"/>
      <c r="W863" s="130"/>
      <c r="Y863" s="106"/>
    </row>
    <row r="864">
      <c r="C864" s="79"/>
      <c r="D864" s="79"/>
      <c r="J864" s="79"/>
      <c r="P864" s="79"/>
      <c r="S864" s="79"/>
      <c r="T864" s="79"/>
      <c r="W864" s="130"/>
      <c r="Y864" s="106"/>
    </row>
    <row r="865">
      <c r="C865" s="79"/>
      <c r="D865" s="79"/>
      <c r="J865" s="79"/>
      <c r="P865" s="79"/>
      <c r="S865" s="79"/>
      <c r="T865" s="79"/>
      <c r="W865" s="130"/>
      <c r="Y865" s="106"/>
    </row>
    <row r="866">
      <c r="C866" s="79"/>
      <c r="D866" s="79"/>
      <c r="J866" s="79"/>
      <c r="P866" s="79"/>
      <c r="S866" s="79"/>
      <c r="T866" s="79"/>
      <c r="W866" s="130"/>
      <c r="Y866" s="106"/>
    </row>
    <row r="867">
      <c r="C867" s="79"/>
      <c r="D867" s="79"/>
      <c r="J867" s="79"/>
      <c r="P867" s="79"/>
      <c r="S867" s="79"/>
      <c r="T867" s="79"/>
      <c r="W867" s="130"/>
      <c r="Y867" s="106"/>
    </row>
    <row r="868">
      <c r="C868" s="79"/>
      <c r="D868" s="79"/>
      <c r="J868" s="79"/>
      <c r="P868" s="79"/>
      <c r="S868" s="79"/>
      <c r="T868" s="79"/>
      <c r="W868" s="130"/>
      <c r="Y868" s="106"/>
    </row>
    <row r="869">
      <c r="C869" s="79"/>
      <c r="D869" s="79"/>
      <c r="J869" s="79"/>
      <c r="P869" s="79"/>
      <c r="S869" s="79"/>
      <c r="T869" s="79"/>
      <c r="W869" s="130"/>
      <c r="Y869" s="106"/>
    </row>
    <row r="870">
      <c r="C870" s="79"/>
      <c r="D870" s="79"/>
      <c r="J870" s="79"/>
      <c r="P870" s="79"/>
      <c r="S870" s="79"/>
      <c r="T870" s="79"/>
      <c r="W870" s="130"/>
      <c r="Y870" s="106"/>
    </row>
    <row r="871">
      <c r="C871" s="79"/>
      <c r="D871" s="79"/>
      <c r="J871" s="79"/>
      <c r="P871" s="79"/>
      <c r="S871" s="79"/>
      <c r="T871" s="79"/>
      <c r="W871" s="130"/>
      <c r="Y871" s="106"/>
    </row>
    <row r="872">
      <c r="C872" s="79"/>
      <c r="D872" s="79"/>
      <c r="J872" s="79"/>
      <c r="P872" s="79"/>
      <c r="S872" s="79"/>
      <c r="T872" s="79"/>
      <c r="W872" s="130"/>
      <c r="Y872" s="106"/>
    </row>
    <row r="873">
      <c r="C873" s="79"/>
      <c r="D873" s="79"/>
      <c r="J873" s="79"/>
      <c r="P873" s="79"/>
      <c r="S873" s="79"/>
      <c r="T873" s="79"/>
      <c r="W873" s="130"/>
      <c r="Y873" s="106"/>
    </row>
    <row r="874">
      <c r="C874" s="79"/>
      <c r="D874" s="79"/>
      <c r="J874" s="79"/>
      <c r="P874" s="79"/>
      <c r="S874" s="79"/>
      <c r="T874" s="79"/>
      <c r="W874" s="130"/>
      <c r="Y874" s="106"/>
    </row>
    <row r="875">
      <c r="C875" s="79"/>
      <c r="D875" s="79"/>
      <c r="J875" s="79"/>
      <c r="P875" s="79"/>
      <c r="S875" s="79"/>
      <c r="T875" s="79"/>
      <c r="W875" s="130"/>
      <c r="Y875" s="106"/>
    </row>
    <row r="876">
      <c r="C876" s="79"/>
      <c r="D876" s="79"/>
      <c r="J876" s="79"/>
      <c r="P876" s="79"/>
      <c r="S876" s="79"/>
      <c r="T876" s="79"/>
      <c r="W876" s="130"/>
      <c r="Y876" s="106"/>
    </row>
    <row r="877">
      <c r="C877" s="79"/>
      <c r="D877" s="79"/>
      <c r="J877" s="79"/>
      <c r="P877" s="79"/>
      <c r="S877" s="79"/>
      <c r="T877" s="79"/>
      <c r="W877" s="130"/>
      <c r="Y877" s="106"/>
    </row>
    <row r="878">
      <c r="C878" s="79"/>
      <c r="D878" s="79"/>
      <c r="J878" s="79"/>
      <c r="P878" s="79"/>
      <c r="S878" s="79"/>
      <c r="T878" s="79"/>
      <c r="W878" s="130"/>
      <c r="Y878" s="106"/>
    </row>
    <row r="879">
      <c r="C879" s="79"/>
      <c r="D879" s="79"/>
      <c r="J879" s="79"/>
      <c r="P879" s="79"/>
      <c r="S879" s="79"/>
      <c r="T879" s="79"/>
      <c r="W879" s="130"/>
      <c r="Y879" s="106"/>
    </row>
    <row r="880">
      <c r="C880" s="79"/>
      <c r="D880" s="79"/>
      <c r="J880" s="79"/>
      <c r="P880" s="79"/>
      <c r="S880" s="79"/>
      <c r="T880" s="79"/>
      <c r="W880" s="130"/>
      <c r="Y880" s="106"/>
    </row>
    <row r="881">
      <c r="C881" s="79"/>
      <c r="D881" s="79"/>
      <c r="J881" s="79"/>
      <c r="P881" s="79"/>
      <c r="S881" s="79"/>
      <c r="T881" s="79"/>
      <c r="W881" s="130"/>
      <c r="Y881" s="106"/>
    </row>
    <row r="882">
      <c r="C882" s="79"/>
      <c r="D882" s="79"/>
      <c r="J882" s="79"/>
      <c r="P882" s="79"/>
      <c r="S882" s="79"/>
      <c r="T882" s="79"/>
      <c r="W882" s="130"/>
      <c r="Y882" s="106"/>
    </row>
    <row r="883">
      <c r="C883" s="79"/>
      <c r="D883" s="79"/>
      <c r="J883" s="79"/>
      <c r="P883" s="79"/>
      <c r="S883" s="79"/>
      <c r="T883" s="79"/>
      <c r="W883" s="130"/>
      <c r="Y883" s="106"/>
    </row>
    <row r="884">
      <c r="C884" s="79"/>
      <c r="D884" s="79"/>
      <c r="J884" s="79"/>
      <c r="P884" s="79"/>
      <c r="S884" s="79"/>
      <c r="T884" s="79"/>
      <c r="W884" s="130"/>
      <c r="Y884" s="106"/>
    </row>
    <row r="885">
      <c r="C885" s="79"/>
      <c r="D885" s="79"/>
      <c r="J885" s="79"/>
      <c r="P885" s="79"/>
      <c r="S885" s="79"/>
      <c r="T885" s="79"/>
      <c r="W885" s="130"/>
      <c r="Y885" s="106"/>
    </row>
    <row r="886">
      <c r="C886" s="79"/>
      <c r="D886" s="79"/>
      <c r="J886" s="79"/>
      <c r="P886" s="79"/>
      <c r="S886" s="79"/>
      <c r="T886" s="79"/>
      <c r="W886" s="130"/>
      <c r="Y886" s="106"/>
    </row>
    <row r="887">
      <c r="C887" s="79"/>
      <c r="D887" s="79"/>
      <c r="J887" s="79"/>
      <c r="P887" s="79"/>
      <c r="S887" s="79"/>
      <c r="T887" s="79"/>
      <c r="W887" s="130"/>
      <c r="Y887" s="106"/>
    </row>
    <row r="888">
      <c r="C888" s="79"/>
      <c r="D888" s="79"/>
      <c r="J888" s="79"/>
      <c r="P888" s="79"/>
      <c r="S888" s="79"/>
      <c r="T888" s="79"/>
      <c r="W888" s="130"/>
      <c r="Y888" s="106"/>
    </row>
    <row r="889">
      <c r="C889" s="79"/>
      <c r="D889" s="79"/>
      <c r="J889" s="79"/>
      <c r="P889" s="79"/>
      <c r="S889" s="79"/>
      <c r="T889" s="79"/>
      <c r="W889" s="130"/>
      <c r="Y889" s="106"/>
    </row>
    <row r="890">
      <c r="C890" s="79"/>
      <c r="D890" s="79"/>
      <c r="J890" s="79"/>
      <c r="P890" s="79"/>
      <c r="S890" s="79"/>
      <c r="T890" s="79"/>
      <c r="W890" s="130"/>
      <c r="Y890" s="106"/>
    </row>
    <row r="891">
      <c r="C891" s="79"/>
      <c r="D891" s="79"/>
      <c r="J891" s="79"/>
      <c r="P891" s="79"/>
      <c r="S891" s="79"/>
      <c r="T891" s="79"/>
      <c r="W891" s="130"/>
      <c r="Y891" s="106"/>
    </row>
    <row r="892">
      <c r="C892" s="79"/>
      <c r="D892" s="79"/>
      <c r="J892" s="79"/>
      <c r="P892" s="79"/>
      <c r="S892" s="79"/>
      <c r="T892" s="79"/>
      <c r="W892" s="130"/>
      <c r="Y892" s="106"/>
    </row>
    <row r="893">
      <c r="C893" s="79"/>
      <c r="D893" s="79"/>
      <c r="J893" s="79"/>
      <c r="P893" s="79"/>
      <c r="S893" s="79"/>
      <c r="T893" s="79"/>
      <c r="W893" s="130"/>
      <c r="Y893" s="106"/>
    </row>
    <row r="894">
      <c r="C894" s="79"/>
      <c r="D894" s="79"/>
      <c r="J894" s="79"/>
      <c r="P894" s="79"/>
      <c r="S894" s="79"/>
      <c r="T894" s="79"/>
      <c r="W894" s="130"/>
      <c r="Y894" s="106"/>
    </row>
    <row r="895">
      <c r="C895" s="79"/>
      <c r="D895" s="79"/>
      <c r="J895" s="79"/>
      <c r="P895" s="79"/>
      <c r="S895" s="79"/>
      <c r="T895" s="79"/>
      <c r="W895" s="130"/>
      <c r="Y895" s="106"/>
    </row>
    <row r="896">
      <c r="C896" s="79"/>
      <c r="D896" s="79"/>
      <c r="J896" s="79"/>
      <c r="P896" s="79"/>
      <c r="S896" s="79"/>
      <c r="T896" s="79"/>
      <c r="W896" s="130"/>
      <c r="Y896" s="106"/>
    </row>
    <row r="897">
      <c r="C897" s="79"/>
      <c r="D897" s="79"/>
      <c r="J897" s="79"/>
      <c r="P897" s="79"/>
      <c r="S897" s="79"/>
      <c r="T897" s="79"/>
      <c r="W897" s="130"/>
      <c r="Y897" s="106"/>
    </row>
    <row r="898">
      <c r="C898" s="79"/>
      <c r="D898" s="79"/>
      <c r="J898" s="79"/>
      <c r="P898" s="79"/>
      <c r="S898" s="79"/>
      <c r="T898" s="79"/>
      <c r="W898" s="130"/>
      <c r="Y898" s="106"/>
    </row>
    <row r="899">
      <c r="C899" s="79"/>
      <c r="D899" s="79"/>
      <c r="J899" s="79"/>
      <c r="P899" s="79"/>
      <c r="S899" s="79"/>
      <c r="T899" s="79"/>
      <c r="W899" s="130"/>
      <c r="Y899" s="106"/>
    </row>
    <row r="900">
      <c r="C900" s="79"/>
      <c r="D900" s="79"/>
      <c r="J900" s="79"/>
      <c r="P900" s="79"/>
      <c r="S900" s="79"/>
      <c r="T900" s="79"/>
      <c r="W900" s="130"/>
      <c r="Y900" s="106"/>
    </row>
    <row r="901">
      <c r="C901" s="79"/>
      <c r="D901" s="79"/>
      <c r="J901" s="79"/>
      <c r="P901" s="79"/>
      <c r="S901" s="79"/>
      <c r="T901" s="79"/>
      <c r="W901" s="130"/>
      <c r="Y901" s="106"/>
    </row>
    <row r="902">
      <c r="C902" s="79"/>
      <c r="D902" s="79"/>
      <c r="J902" s="79"/>
      <c r="P902" s="79"/>
      <c r="S902" s="79"/>
      <c r="T902" s="79"/>
      <c r="W902" s="130"/>
      <c r="Y902" s="106"/>
    </row>
    <row r="903">
      <c r="C903" s="79"/>
      <c r="D903" s="79"/>
      <c r="J903" s="79"/>
      <c r="P903" s="79"/>
      <c r="S903" s="79"/>
      <c r="T903" s="79"/>
      <c r="W903" s="130"/>
      <c r="Y903" s="106"/>
    </row>
    <row r="904">
      <c r="C904" s="79"/>
      <c r="D904" s="79"/>
      <c r="J904" s="79"/>
      <c r="P904" s="79"/>
      <c r="S904" s="79"/>
      <c r="T904" s="79"/>
      <c r="W904" s="130"/>
      <c r="Y904" s="106"/>
    </row>
    <row r="905">
      <c r="C905" s="79"/>
      <c r="D905" s="79"/>
      <c r="J905" s="79"/>
      <c r="P905" s="79"/>
      <c r="S905" s="79"/>
      <c r="T905" s="79"/>
      <c r="W905" s="130"/>
      <c r="Y905" s="106"/>
    </row>
    <row r="906">
      <c r="C906" s="79"/>
      <c r="D906" s="79"/>
      <c r="J906" s="79"/>
      <c r="P906" s="79"/>
      <c r="S906" s="79"/>
      <c r="T906" s="79"/>
      <c r="W906" s="130"/>
      <c r="Y906" s="106"/>
    </row>
    <row r="907">
      <c r="C907" s="79"/>
      <c r="D907" s="79"/>
      <c r="J907" s="79"/>
      <c r="P907" s="79"/>
      <c r="S907" s="79"/>
      <c r="T907" s="79"/>
      <c r="W907" s="130"/>
      <c r="Y907" s="106"/>
    </row>
    <row r="908">
      <c r="C908" s="79"/>
      <c r="D908" s="79"/>
      <c r="J908" s="79"/>
      <c r="P908" s="79"/>
      <c r="S908" s="79"/>
      <c r="T908" s="79"/>
      <c r="W908" s="130"/>
      <c r="Y908" s="106"/>
    </row>
    <row r="909">
      <c r="C909" s="79"/>
      <c r="D909" s="79"/>
      <c r="J909" s="79"/>
      <c r="P909" s="79"/>
      <c r="S909" s="79"/>
      <c r="T909" s="79"/>
      <c r="W909" s="130"/>
      <c r="Y909" s="106"/>
    </row>
    <row r="910">
      <c r="C910" s="79"/>
      <c r="D910" s="79"/>
      <c r="J910" s="79"/>
      <c r="P910" s="79"/>
      <c r="S910" s="79"/>
      <c r="T910" s="79"/>
      <c r="W910" s="130"/>
      <c r="Y910" s="106"/>
    </row>
    <row r="911">
      <c r="C911" s="79"/>
      <c r="D911" s="79"/>
      <c r="J911" s="79"/>
      <c r="P911" s="79"/>
      <c r="S911" s="79"/>
      <c r="T911" s="79"/>
      <c r="W911" s="130"/>
      <c r="Y911" s="106"/>
    </row>
    <row r="912">
      <c r="C912" s="79"/>
      <c r="D912" s="79"/>
      <c r="J912" s="79"/>
      <c r="P912" s="79"/>
      <c r="S912" s="79"/>
      <c r="T912" s="79"/>
      <c r="W912" s="130"/>
      <c r="Y912" s="106"/>
    </row>
    <row r="913">
      <c r="C913" s="79"/>
      <c r="D913" s="79"/>
      <c r="J913" s="79"/>
      <c r="P913" s="79"/>
      <c r="S913" s="79"/>
      <c r="T913" s="79"/>
      <c r="W913" s="130"/>
      <c r="Y913" s="106"/>
    </row>
    <row r="914">
      <c r="C914" s="79"/>
      <c r="D914" s="79"/>
      <c r="J914" s="79"/>
      <c r="P914" s="79"/>
      <c r="S914" s="79"/>
      <c r="T914" s="79"/>
      <c r="W914" s="130"/>
      <c r="Y914" s="106"/>
    </row>
    <row r="915">
      <c r="C915" s="79"/>
      <c r="D915" s="79"/>
      <c r="J915" s="79"/>
      <c r="P915" s="79"/>
      <c r="S915" s="79"/>
      <c r="T915" s="79"/>
      <c r="W915" s="130"/>
      <c r="Y915" s="106"/>
    </row>
    <row r="916">
      <c r="C916" s="79"/>
      <c r="D916" s="79"/>
      <c r="J916" s="79"/>
      <c r="P916" s="79"/>
      <c r="S916" s="79"/>
      <c r="T916" s="79"/>
      <c r="W916" s="130"/>
      <c r="Y916" s="106"/>
    </row>
    <row r="917">
      <c r="C917" s="79"/>
      <c r="D917" s="79"/>
      <c r="J917" s="79"/>
      <c r="P917" s="79"/>
      <c r="S917" s="79"/>
      <c r="T917" s="79"/>
      <c r="W917" s="130"/>
      <c r="Y917" s="106"/>
    </row>
    <row r="918">
      <c r="C918" s="79"/>
      <c r="D918" s="79"/>
      <c r="J918" s="79"/>
      <c r="P918" s="79"/>
      <c r="S918" s="79"/>
      <c r="T918" s="79"/>
      <c r="W918" s="130"/>
      <c r="Y918" s="106"/>
    </row>
    <row r="919">
      <c r="C919" s="79"/>
      <c r="D919" s="79"/>
      <c r="J919" s="79"/>
      <c r="P919" s="79"/>
      <c r="S919" s="79"/>
      <c r="T919" s="79"/>
      <c r="W919" s="130"/>
      <c r="Y919" s="106"/>
    </row>
    <row r="920">
      <c r="C920" s="79"/>
      <c r="D920" s="79"/>
      <c r="J920" s="79"/>
      <c r="P920" s="79"/>
      <c r="S920" s="79"/>
      <c r="T920" s="79"/>
      <c r="W920" s="130"/>
      <c r="Y920" s="106"/>
    </row>
    <row r="921">
      <c r="C921" s="79"/>
      <c r="D921" s="79"/>
      <c r="J921" s="79"/>
      <c r="P921" s="79"/>
      <c r="S921" s="79"/>
      <c r="T921" s="79"/>
      <c r="W921" s="130"/>
      <c r="Y921" s="106"/>
    </row>
    <row r="922">
      <c r="C922" s="79"/>
      <c r="D922" s="79"/>
      <c r="J922" s="79"/>
      <c r="P922" s="79"/>
      <c r="S922" s="79"/>
      <c r="T922" s="79"/>
      <c r="W922" s="130"/>
      <c r="Y922" s="106"/>
    </row>
    <row r="923">
      <c r="C923" s="79"/>
      <c r="D923" s="79"/>
      <c r="J923" s="79"/>
      <c r="P923" s="79"/>
      <c r="S923" s="79"/>
      <c r="T923" s="79"/>
      <c r="W923" s="130"/>
      <c r="Y923" s="106"/>
    </row>
    <row r="924">
      <c r="C924" s="79"/>
      <c r="D924" s="79"/>
      <c r="J924" s="79"/>
      <c r="P924" s="79"/>
      <c r="S924" s="79"/>
      <c r="T924" s="79"/>
      <c r="W924" s="130"/>
      <c r="Y924" s="106"/>
    </row>
    <row r="925">
      <c r="C925" s="79"/>
      <c r="D925" s="79"/>
      <c r="J925" s="79"/>
      <c r="P925" s="79"/>
      <c r="S925" s="79"/>
      <c r="T925" s="79"/>
      <c r="W925" s="130"/>
      <c r="Y925" s="106"/>
    </row>
    <row r="926">
      <c r="C926" s="79"/>
      <c r="D926" s="79"/>
      <c r="J926" s="79"/>
      <c r="P926" s="79"/>
      <c r="S926" s="79"/>
      <c r="T926" s="79"/>
      <c r="W926" s="130"/>
      <c r="Y926" s="106"/>
    </row>
    <row r="927">
      <c r="C927" s="79"/>
      <c r="D927" s="79"/>
      <c r="J927" s="79"/>
      <c r="P927" s="79"/>
      <c r="S927" s="79"/>
      <c r="T927" s="79"/>
      <c r="W927" s="130"/>
      <c r="Y927" s="106"/>
    </row>
    <row r="928">
      <c r="C928" s="79"/>
      <c r="D928" s="79"/>
      <c r="J928" s="79"/>
      <c r="P928" s="79"/>
      <c r="S928" s="79"/>
      <c r="T928" s="79"/>
      <c r="W928" s="130"/>
      <c r="Y928" s="106"/>
    </row>
    <row r="929">
      <c r="C929" s="79"/>
      <c r="D929" s="79"/>
      <c r="J929" s="79"/>
      <c r="P929" s="79"/>
      <c r="S929" s="79"/>
      <c r="T929" s="79"/>
      <c r="W929" s="130"/>
      <c r="Y929" s="106"/>
    </row>
    <row r="930">
      <c r="C930" s="79"/>
      <c r="D930" s="79"/>
      <c r="J930" s="79"/>
      <c r="P930" s="79"/>
      <c r="S930" s="79"/>
      <c r="T930" s="79"/>
      <c r="W930" s="130"/>
      <c r="Y930" s="106"/>
    </row>
    <row r="931">
      <c r="C931" s="79"/>
      <c r="D931" s="79"/>
      <c r="J931" s="79"/>
      <c r="P931" s="79"/>
      <c r="S931" s="79"/>
      <c r="T931" s="79"/>
      <c r="W931" s="130"/>
      <c r="Y931" s="106"/>
    </row>
    <row r="932">
      <c r="C932" s="79"/>
      <c r="D932" s="79"/>
      <c r="J932" s="79"/>
      <c r="P932" s="79"/>
      <c r="S932" s="79"/>
      <c r="T932" s="79"/>
      <c r="W932" s="130"/>
      <c r="Y932" s="106"/>
    </row>
    <row r="933">
      <c r="C933" s="79"/>
      <c r="D933" s="79"/>
      <c r="J933" s="79"/>
      <c r="P933" s="79"/>
      <c r="S933" s="79"/>
      <c r="T933" s="79"/>
      <c r="W933" s="130"/>
      <c r="Y933" s="106"/>
    </row>
    <row r="934">
      <c r="C934" s="79"/>
      <c r="D934" s="79"/>
      <c r="J934" s="79"/>
      <c r="P934" s="79"/>
      <c r="S934" s="79"/>
      <c r="T934" s="79"/>
      <c r="W934" s="130"/>
      <c r="Y934" s="106"/>
    </row>
    <row r="935">
      <c r="C935" s="79"/>
      <c r="D935" s="79"/>
      <c r="J935" s="79"/>
      <c r="P935" s="79"/>
      <c r="S935" s="79"/>
      <c r="T935" s="79"/>
      <c r="W935" s="130"/>
      <c r="Y935" s="106"/>
    </row>
    <row r="936">
      <c r="C936" s="79"/>
      <c r="D936" s="79"/>
      <c r="J936" s="79"/>
      <c r="P936" s="79"/>
      <c r="S936" s="79"/>
      <c r="T936" s="79"/>
      <c r="W936" s="130"/>
      <c r="Y936" s="106"/>
    </row>
    <row r="937">
      <c r="C937" s="79"/>
      <c r="D937" s="79"/>
      <c r="J937" s="79"/>
      <c r="P937" s="79"/>
      <c r="S937" s="79"/>
      <c r="T937" s="79"/>
      <c r="W937" s="130"/>
      <c r="Y937" s="106"/>
    </row>
    <row r="938">
      <c r="C938" s="79"/>
      <c r="D938" s="79"/>
      <c r="J938" s="79"/>
      <c r="P938" s="79"/>
      <c r="S938" s="79"/>
      <c r="T938" s="79"/>
      <c r="W938" s="130"/>
      <c r="Y938" s="106"/>
    </row>
    <row r="939">
      <c r="C939" s="79"/>
      <c r="D939" s="79"/>
      <c r="J939" s="79"/>
      <c r="P939" s="79"/>
      <c r="S939" s="79"/>
      <c r="T939" s="79"/>
      <c r="W939" s="130"/>
      <c r="Y939" s="106"/>
    </row>
    <row r="940">
      <c r="C940" s="79"/>
      <c r="D940" s="79"/>
      <c r="J940" s="79"/>
      <c r="P940" s="79"/>
      <c r="S940" s="79"/>
      <c r="T940" s="79"/>
      <c r="W940" s="130"/>
      <c r="Y940" s="106"/>
    </row>
    <row r="941">
      <c r="C941" s="79"/>
      <c r="D941" s="79"/>
      <c r="J941" s="79"/>
      <c r="P941" s="79"/>
      <c r="S941" s="79"/>
      <c r="T941" s="79"/>
      <c r="W941" s="130"/>
      <c r="Y941" s="106"/>
    </row>
    <row r="942">
      <c r="C942" s="79"/>
      <c r="D942" s="79"/>
      <c r="J942" s="79"/>
      <c r="P942" s="79"/>
      <c r="S942" s="79"/>
      <c r="T942" s="79"/>
      <c r="W942" s="130"/>
      <c r="Y942" s="106"/>
    </row>
    <row r="943">
      <c r="C943" s="79"/>
      <c r="D943" s="79"/>
      <c r="J943" s="79"/>
      <c r="P943" s="79"/>
      <c r="S943" s="79"/>
      <c r="T943" s="79"/>
      <c r="W943" s="130"/>
      <c r="Y943" s="106"/>
    </row>
    <row r="944">
      <c r="C944" s="79"/>
      <c r="D944" s="79"/>
      <c r="J944" s="79"/>
      <c r="P944" s="79"/>
      <c r="S944" s="79"/>
      <c r="T944" s="79"/>
      <c r="W944" s="130"/>
      <c r="Y944" s="106"/>
    </row>
    <row r="945">
      <c r="C945" s="79"/>
      <c r="D945" s="79"/>
      <c r="J945" s="79"/>
      <c r="P945" s="79"/>
      <c r="S945" s="79"/>
      <c r="T945" s="79"/>
      <c r="W945" s="130"/>
      <c r="Y945" s="106"/>
    </row>
    <row r="946">
      <c r="C946" s="79"/>
      <c r="D946" s="79"/>
      <c r="J946" s="79"/>
      <c r="P946" s="79"/>
      <c r="S946" s="79"/>
      <c r="T946" s="79"/>
      <c r="W946" s="130"/>
      <c r="Y946" s="106"/>
    </row>
    <row r="947">
      <c r="C947" s="79"/>
      <c r="D947" s="79"/>
      <c r="J947" s="79"/>
      <c r="P947" s="79"/>
      <c r="S947" s="79"/>
      <c r="T947" s="79"/>
      <c r="W947" s="130"/>
      <c r="Y947" s="106"/>
    </row>
    <row r="948">
      <c r="C948" s="79"/>
      <c r="D948" s="79"/>
      <c r="J948" s="79"/>
      <c r="P948" s="79"/>
      <c r="S948" s="79"/>
      <c r="T948" s="79"/>
      <c r="W948" s="130"/>
      <c r="Y948" s="106"/>
    </row>
    <row r="949">
      <c r="C949" s="79"/>
      <c r="D949" s="79"/>
      <c r="J949" s="79"/>
      <c r="P949" s="79"/>
      <c r="S949" s="79"/>
      <c r="T949" s="79"/>
      <c r="W949" s="130"/>
      <c r="Y949" s="106"/>
    </row>
    <row r="950">
      <c r="C950" s="79"/>
      <c r="D950" s="79"/>
      <c r="J950" s="79"/>
      <c r="P950" s="79"/>
      <c r="S950" s="79"/>
      <c r="T950" s="79"/>
      <c r="W950" s="130"/>
      <c r="Y950" s="106"/>
    </row>
    <row r="951">
      <c r="C951" s="79"/>
      <c r="D951" s="79"/>
      <c r="J951" s="79"/>
      <c r="P951" s="79"/>
      <c r="S951" s="79"/>
      <c r="T951" s="79"/>
      <c r="W951" s="130"/>
      <c r="Y951" s="106"/>
    </row>
    <row r="952">
      <c r="C952" s="79"/>
      <c r="D952" s="79"/>
      <c r="J952" s="79"/>
      <c r="P952" s="79"/>
      <c r="S952" s="79"/>
      <c r="T952" s="79"/>
      <c r="W952" s="130"/>
      <c r="Y952" s="106"/>
    </row>
    <row r="953">
      <c r="C953" s="79"/>
      <c r="D953" s="79"/>
      <c r="J953" s="79"/>
      <c r="P953" s="79"/>
      <c r="S953" s="79"/>
      <c r="T953" s="79"/>
      <c r="W953" s="130"/>
      <c r="Y953" s="106"/>
    </row>
    <row r="954">
      <c r="C954" s="79"/>
      <c r="D954" s="79"/>
      <c r="J954" s="79"/>
      <c r="P954" s="79"/>
      <c r="S954" s="79"/>
      <c r="T954" s="79"/>
      <c r="W954" s="130"/>
      <c r="Y954" s="106"/>
    </row>
    <row r="955">
      <c r="C955" s="79"/>
      <c r="D955" s="79"/>
      <c r="J955" s="79"/>
      <c r="P955" s="79"/>
      <c r="S955" s="79"/>
      <c r="T955" s="79"/>
      <c r="W955" s="130"/>
      <c r="Y955" s="106"/>
    </row>
    <row r="956">
      <c r="C956" s="79"/>
      <c r="D956" s="79"/>
      <c r="J956" s="79"/>
      <c r="P956" s="79"/>
      <c r="S956" s="79"/>
      <c r="T956" s="79"/>
      <c r="W956" s="130"/>
      <c r="Y956" s="106"/>
    </row>
    <row r="957">
      <c r="C957" s="79"/>
      <c r="D957" s="79"/>
      <c r="J957" s="79"/>
      <c r="P957" s="79"/>
      <c r="S957" s="79"/>
      <c r="T957" s="79"/>
      <c r="W957" s="130"/>
      <c r="Y957" s="106"/>
    </row>
    <row r="958">
      <c r="C958" s="79"/>
      <c r="D958" s="79"/>
      <c r="J958" s="79"/>
      <c r="P958" s="79"/>
      <c r="S958" s="79"/>
      <c r="T958" s="79"/>
      <c r="W958" s="130"/>
      <c r="Y958" s="106"/>
    </row>
    <row r="959">
      <c r="C959" s="79"/>
      <c r="D959" s="79"/>
      <c r="J959" s="79"/>
      <c r="P959" s="79"/>
      <c r="S959" s="79"/>
      <c r="T959" s="79"/>
      <c r="W959" s="130"/>
      <c r="Y959" s="106"/>
    </row>
    <row r="960">
      <c r="C960" s="79"/>
      <c r="D960" s="79"/>
      <c r="J960" s="79"/>
      <c r="P960" s="79"/>
      <c r="S960" s="79"/>
      <c r="T960" s="79"/>
      <c r="W960" s="130"/>
      <c r="Y960" s="106"/>
    </row>
    <row r="961">
      <c r="C961" s="79"/>
      <c r="D961" s="79"/>
      <c r="J961" s="79"/>
      <c r="P961" s="79"/>
      <c r="S961" s="79"/>
      <c r="T961" s="79"/>
      <c r="W961" s="130"/>
      <c r="Y961" s="106"/>
    </row>
    <row r="962">
      <c r="C962" s="79"/>
      <c r="D962" s="79"/>
      <c r="J962" s="79"/>
      <c r="P962" s="79"/>
      <c r="S962" s="79"/>
      <c r="T962" s="79"/>
      <c r="W962" s="130"/>
      <c r="Y962" s="106"/>
    </row>
    <row r="963">
      <c r="C963" s="79"/>
      <c r="D963" s="79"/>
      <c r="J963" s="79"/>
      <c r="P963" s="79"/>
      <c r="S963" s="79"/>
      <c r="T963" s="79"/>
      <c r="W963" s="130"/>
      <c r="Y963" s="106"/>
    </row>
    <row r="964">
      <c r="C964" s="79"/>
      <c r="D964" s="79"/>
      <c r="J964" s="79"/>
      <c r="P964" s="79"/>
      <c r="S964" s="79"/>
      <c r="T964" s="79"/>
      <c r="W964" s="130"/>
      <c r="Y964" s="106"/>
    </row>
    <row r="965">
      <c r="C965" s="79"/>
      <c r="D965" s="79"/>
      <c r="J965" s="79"/>
      <c r="P965" s="79"/>
      <c r="S965" s="79"/>
      <c r="T965" s="79"/>
      <c r="W965" s="130"/>
      <c r="Y965" s="106"/>
    </row>
    <row r="966">
      <c r="C966" s="79"/>
      <c r="D966" s="79"/>
      <c r="J966" s="79"/>
      <c r="P966" s="79"/>
      <c r="S966" s="79"/>
      <c r="T966" s="79"/>
      <c r="W966" s="130"/>
      <c r="Y966" s="106"/>
    </row>
    <row r="967">
      <c r="C967" s="79"/>
      <c r="D967" s="79"/>
      <c r="J967" s="79"/>
      <c r="P967" s="79"/>
      <c r="S967" s="79"/>
      <c r="T967" s="79"/>
      <c r="W967" s="130"/>
      <c r="Y967" s="106"/>
    </row>
    <row r="968">
      <c r="C968" s="79"/>
      <c r="D968" s="79"/>
      <c r="J968" s="79"/>
      <c r="P968" s="79"/>
      <c r="S968" s="79"/>
      <c r="T968" s="79"/>
      <c r="W968" s="130"/>
      <c r="Y968" s="106"/>
    </row>
    <row r="969">
      <c r="C969" s="79"/>
      <c r="D969" s="79"/>
      <c r="J969" s="79"/>
      <c r="P969" s="79"/>
      <c r="S969" s="79"/>
      <c r="T969" s="79"/>
      <c r="W969" s="130"/>
      <c r="Y969" s="106"/>
    </row>
    <row r="970">
      <c r="C970" s="79"/>
      <c r="D970" s="79"/>
      <c r="J970" s="79"/>
      <c r="P970" s="79"/>
      <c r="S970" s="79"/>
      <c r="T970" s="79"/>
      <c r="W970" s="130"/>
      <c r="Y970" s="106"/>
    </row>
    <row r="971">
      <c r="C971" s="79"/>
      <c r="D971" s="79"/>
      <c r="J971" s="79"/>
      <c r="P971" s="79"/>
      <c r="S971" s="79"/>
      <c r="T971" s="79"/>
      <c r="W971" s="130"/>
      <c r="Y971" s="106"/>
    </row>
    <row r="972">
      <c r="C972" s="79"/>
      <c r="D972" s="79"/>
      <c r="J972" s="79"/>
      <c r="P972" s="79"/>
      <c r="S972" s="79"/>
      <c r="T972" s="79"/>
      <c r="W972" s="130"/>
      <c r="Y972" s="106"/>
    </row>
    <row r="973">
      <c r="C973" s="79"/>
      <c r="D973" s="79"/>
      <c r="J973" s="79"/>
      <c r="P973" s="79"/>
      <c r="S973" s="79"/>
      <c r="T973" s="79"/>
      <c r="W973" s="130"/>
      <c r="Y973" s="106"/>
    </row>
    <row r="974">
      <c r="C974" s="79"/>
      <c r="D974" s="79"/>
      <c r="J974" s="79"/>
      <c r="P974" s="79"/>
      <c r="S974" s="79"/>
      <c r="T974" s="79"/>
      <c r="W974" s="130"/>
      <c r="Y974" s="106"/>
    </row>
    <row r="975">
      <c r="C975" s="79"/>
      <c r="D975" s="79"/>
      <c r="J975" s="79"/>
      <c r="P975" s="79"/>
      <c r="S975" s="79"/>
      <c r="T975" s="79"/>
      <c r="W975" s="130"/>
      <c r="Y975" s="106"/>
    </row>
    <row r="976">
      <c r="C976" s="79"/>
      <c r="D976" s="79"/>
      <c r="J976" s="79"/>
      <c r="P976" s="79"/>
      <c r="S976" s="79"/>
      <c r="T976" s="79"/>
      <c r="W976" s="130"/>
      <c r="Y976" s="106"/>
    </row>
    <row r="977">
      <c r="C977" s="79"/>
      <c r="D977" s="79"/>
      <c r="J977" s="79"/>
      <c r="P977" s="79"/>
      <c r="S977" s="79"/>
      <c r="T977" s="79"/>
      <c r="W977" s="130"/>
      <c r="Y977" s="106"/>
    </row>
    <row r="978">
      <c r="C978" s="79"/>
      <c r="D978" s="79"/>
      <c r="J978" s="79"/>
      <c r="P978" s="79"/>
      <c r="S978" s="79"/>
      <c r="T978" s="79"/>
      <c r="W978" s="130"/>
      <c r="Y978" s="106"/>
    </row>
    <row r="979">
      <c r="C979" s="79"/>
      <c r="D979" s="79"/>
      <c r="J979" s="79"/>
      <c r="P979" s="79"/>
      <c r="S979" s="79"/>
      <c r="T979" s="79"/>
      <c r="W979" s="130"/>
      <c r="Y979" s="106"/>
    </row>
    <row r="980">
      <c r="C980" s="79"/>
      <c r="D980" s="79"/>
      <c r="J980" s="79"/>
      <c r="P980" s="79"/>
      <c r="S980" s="79"/>
      <c r="T980" s="79"/>
      <c r="W980" s="130"/>
      <c r="Y980" s="106"/>
    </row>
    <row r="981">
      <c r="C981" s="79"/>
      <c r="D981" s="79"/>
      <c r="J981" s="79"/>
      <c r="P981" s="79"/>
      <c r="S981" s="79"/>
      <c r="T981" s="79"/>
      <c r="W981" s="130"/>
      <c r="Y981" s="106"/>
    </row>
    <row r="982">
      <c r="C982" s="79"/>
      <c r="D982" s="79"/>
      <c r="J982" s="79"/>
      <c r="P982" s="79"/>
      <c r="S982" s="79"/>
      <c r="T982" s="79"/>
      <c r="W982" s="130"/>
      <c r="Y982" s="106"/>
    </row>
    <row r="983">
      <c r="C983" s="79"/>
      <c r="D983" s="79"/>
      <c r="J983" s="79"/>
      <c r="P983" s="79"/>
      <c r="S983" s="79"/>
      <c r="T983" s="79"/>
      <c r="W983" s="130"/>
      <c r="Y983" s="106"/>
    </row>
    <row r="984">
      <c r="C984" s="79"/>
      <c r="D984" s="79"/>
      <c r="J984" s="79"/>
      <c r="P984" s="79"/>
      <c r="S984" s="79"/>
      <c r="T984" s="79"/>
      <c r="W984" s="130"/>
      <c r="Y984" s="106"/>
    </row>
    <row r="985">
      <c r="C985" s="79"/>
      <c r="D985" s="79"/>
      <c r="J985" s="79"/>
      <c r="P985" s="79"/>
      <c r="S985" s="79"/>
      <c r="T985" s="79"/>
      <c r="W985" s="130"/>
      <c r="Y985" s="106"/>
    </row>
    <row r="986">
      <c r="C986" s="79"/>
      <c r="D986" s="79"/>
      <c r="J986" s="79"/>
      <c r="P986" s="79"/>
      <c r="S986" s="79"/>
      <c r="T986" s="79"/>
      <c r="W986" s="130"/>
      <c r="Y986" s="106"/>
    </row>
    <row r="987">
      <c r="C987" s="79"/>
      <c r="D987" s="79"/>
      <c r="J987" s="79"/>
      <c r="P987" s="79"/>
      <c r="S987" s="79"/>
      <c r="T987" s="79"/>
      <c r="W987" s="130"/>
      <c r="Y987" s="106"/>
    </row>
    <row r="988">
      <c r="C988" s="79"/>
      <c r="D988" s="79"/>
      <c r="J988" s="79"/>
      <c r="P988" s="79"/>
      <c r="S988" s="79"/>
      <c r="T988" s="79"/>
      <c r="W988" s="130"/>
      <c r="Y988" s="106"/>
    </row>
    <row r="989">
      <c r="C989" s="79"/>
      <c r="D989" s="79"/>
      <c r="J989" s="79"/>
      <c r="P989" s="79"/>
      <c r="S989" s="79"/>
      <c r="T989" s="79"/>
      <c r="W989" s="130"/>
      <c r="Y989" s="106"/>
    </row>
    <row r="990">
      <c r="C990" s="79"/>
      <c r="D990" s="79"/>
      <c r="J990" s="79"/>
      <c r="P990" s="79"/>
      <c r="S990" s="79"/>
      <c r="T990" s="79"/>
      <c r="W990" s="130"/>
      <c r="Y990" s="106"/>
    </row>
    <row r="991">
      <c r="C991" s="79"/>
      <c r="D991" s="79"/>
      <c r="J991" s="79"/>
      <c r="P991" s="79"/>
      <c r="S991" s="79"/>
      <c r="T991" s="79"/>
      <c r="W991" s="130"/>
      <c r="Y991" s="106"/>
    </row>
    <row r="992">
      <c r="C992" s="79"/>
      <c r="D992" s="79"/>
      <c r="J992" s="79"/>
      <c r="P992" s="79"/>
      <c r="S992" s="79"/>
      <c r="T992" s="79"/>
      <c r="W992" s="130"/>
      <c r="Y992" s="106"/>
    </row>
    <row r="993">
      <c r="C993" s="79"/>
      <c r="D993" s="79"/>
      <c r="J993" s="79"/>
      <c r="P993" s="79"/>
      <c r="S993" s="79"/>
      <c r="T993" s="79"/>
      <c r="W993" s="130"/>
      <c r="Y993" s="106"/>
    </row>
    <row r="994">
      <c r="C994" s="79"/>
      <c r="D994" s="79"/>
      <c r="J994" s="79"/>
      <c r="P994" s="79"/>
      <c r="S994" s="79"/>
      <c r="T994" s="79"/>
      <c r="W994" s="130"/>
      <c r="Y994" s="106"/>
    </row>
    <row r="995">
      <c r="C995" s="79"/>
      <c r="D995" s="79"/>
      <c r="J995" s="79"/>
      <c r="P995" s="79"/>
      <c r="S995" s="79"/>
      <c r="T995" s="79"/>
      <c r="W995" s="130"/>
      <c r="Y995" s="106"/>
    </row>
    <row r="996">
      <c r="C996" s="79"/>
      <c r="D996" s="79"/>
      <c r="J996" s="79"/>
      <c r="P996" s="79"/>
      <c r="S996" s="79"/>
      <c r="T996" s="79"/>
      <c r="W996" s="130"/>
      <c r="Y996" s="106"/>
    </row>
    <row r="997">
      <c r="C997" s="79"/>
      <c r="D997" s="79"/>
      <c r="J997" s="79"/>
      <c r="P997" s="79"/>
      <c r="S997" s="79"/>
      <c r="T997" s="79"/>
      <c r="W997" s="130"/>
      <c r="Y997" s="106"/>
    </row>
    <row r="998">
      <c r="C998" s="79"/>
      <c r="D998" s="79"/>
      <c r="J998" s="79"/>
      <c r="P998" s="79"/>
      <c r="S998" s="79"/>
      <c r="T998" s="79"/>
      <c r="W998" s="130"/>
      <c r="Y998" s="106"/>
    </row>
    <row r="999">
      <c r="C999" s="79"/>
      <c r="D999" s="79"/>
      <c r="J999" s="79"/>
      <c r="P999" s="79"/>
      <c r="S999" s="79"/>
      <c r="T999" s="79"/>
      <c r="W999" s="130"/>
      <c r="Y999" s="106"/>
    </row>
    <row r="1000">
      <c r="C1000" s="79"/>
      <c r="D1000" s="79"/>
      <c r="J1000" s="79"/>
      <c r="P1000" s="79"/>
      <c r="S1000" s="79"/>
      <c r="T1000" s="79"/>
      <c r="W1000" s="130"/>
      <c r="Y1000" s="106"/>
    </row>
  </sheetData>
  <mergeCells count="1">
    <mergeCell ref="H19:J19"/>
  </mergeCells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6" max="26" width="17.0"/>
  </cols>
  <sheetData>
    <row r="1">
      <c r="B1" s="2" t="s">
        <v>0</v>
      </c>
      <c r="C1" s="105" t="s">
        <v>1</v>
      </c>
      <c r="D1" s="105" t="s">
        <v>7</v>
      </c>
      <c r="E1" s="2" t="s">
        <v>3</v>
      </c>
      <c r="F1" s="2" t="s">
        <v>129</v>
      </c>
      <c r="G1" s="2" t="s">
        <v>5</v>
      </c>
      <c r="H1" s="2" t="s">
        <v>6</v>
      </c>
      <c r="I1" s="2" t="s">
        <v>43</v>
      </c>
      <c r="J1" s="105" t="s">
        <v>40</v>
      </c>
      <c r="K1" s="2" t="s">
        <v>49</v>
      </c>
      <c r="L1" s="2" t="s">
        <v>42</v>
      </c>
      <c r="M1" s="2" t="s">
        <v>165</v>
      </c>
      <c r="N1" s="2" t="s">
        <v>121</v>
      </c>
      <c r="O1" s="2" t="s">
        <v>164</v>
      </c>
      <c r="P1" s="105" t="s">
        <v>9</v>
      </c>
      <c r="Q1" s="105" t="s">
        <v>165</v>
      </c>
      <c r="R1" s="2" t="s">
        <v>37</v>
      </c>
      <c r="S1" s="2" t="s">
        <v>10</v>
      </c>
      <c r="T1" s="105" t="s">
        <v>11</v>
      </c>
      <c r="U1" s="105" t="s">
        <v>167</v>
      </c>
      <c r="V1" s="2" t="s">
        <v>12</v>
      </c>
      <c r="W1" s="3" t="s">
        <v>13</v>
      </c>
      <c r="X1" s="126" t="s">
        <v>14</v>
      </c>
      <c r="Y1" s="3" t="s">
        <v>15</v>
      </c>
      <c r="Z1" s="106"/>
    </row>
    <row r="2">
      <c r="A2" s="74">
        <v>45131.0</v>
      </c>
      <c r="B2" s="5"/>
      <c r="C2" s="93">
        <v>1409.98</v>
      </c>
      <c r="D2" s="93"/>
      <c r="E2" s="5"/>
      <c r="F2" s="5"/>
      <c r="G2" s="5"/>
      <c r="H2" s="5"/>
      <c r="I2" s="5"/>
      <c r="J2" s="136"/>
      <c r="K2" s="5">
        <v>168.0</v>
      </c>
      <c r="L2" s="5">
        <v>216.0</v>
      </c>
      <c r="M2" s="5"/>
      <c r="N2" s="5"/>
      <c r="O2" s="5"/>
      <c r="P2" s="93"/>
      <c r="Q2" s="93"/>
      <c r="R2" s="5"/>
      <c r="S2" s="5"/>
      <c r="T2" s="93">
        <v>109.97</v>
      </c>
      <c r="U2" s="93"/>
      <c r="V2" s="5"/>
      <c r="W2" s="107">
        <f t="shared" ref="W2:W7" si="1">SUM(B2:V2)</f>
        <v>1903.95</v>
      </c>
      <c r="X2" s="108">
        <v>7897.0</v>
      </c>
      <c r="Y2" s="59">
        <f t="shared" ref="Y2:Y8" si="2">W2/X2</f>
        <v>0.2410978853</v>
      </c>
      <c r="Z2" s="109">
        <f t="shared" ref="Z2:Z8" si="3">A2</f>
        <v>45131</v>
      </c>
    </row>
    <row r="3">
      <c r="A3" s="74">
        <v>45132.0</v>
      </c>
      <c r="B3" s="5">
        <v>670.74</v>
      </c>
      <c r="C3" s="110">
        <v>281.18</v>
      </c>
      <c r="D3" s="93"/>
      <c r="E3" s="5"/>
      <c r="F3" s="5"/>
      <c r="G3" s="5"/>
      <c r="H3" s="5"/>
      <c r="I3" s="5"/>
      <c r="J3" s="93"/>
      <c r="K3" s="5"/>
      <c r="L3" s="5"/>
      <c r="M3" s="5"/>
      <c r="N3" s="6"/>
      <c r="O3" s="6"/>
      <c r="P3" s="93"/>
      <c r="Q3" s="93"/>
      <c r="R3" s="93"/>
      <c r="S3" s="5"/>
      <c r="T3" s="93"/>
      <c r="U3" s="93"/>
      <c r="V3" s="93">
        <v>179.96</v>
      </c>
      <c r="W3" s="7">
        <f t="shared" si="1"/>
        <v>1131.88</v>
      </c>
      <c r="X3" s="97">
        <v>6146.8</v>
      </c>
      <c r="Y3" s="59">
        <f t="shared" si="2"/>
        <v>0.1841413418</v>
      </c>
      <c r="Z3" s="109">
        <f t="shared" si="3"/>
        <v>45132</v>
      </c>
    </row>
    <row r="4">
      <c r="A4" s="74">
        <v>45133.0</v>
      </c>
      <c r="B4" s="5">
        <v>86.44</v>
      </c>
      <c r="C4" s="93">
        <v>517.8</v>
      </c>
      <c r="D4" s="93"/>
      <c r="E4" s="5"/>
      <c r="F4" s="5"/>
      <c r="G4" s="5">
        <v>748.8</v>
      </c>
      <c r="H4" s="5">
        <v>42.0</v>
      </c>
      <c r="I4" s="5"/>
      <c r="J4" s="93"/>
      <c r="K4" s="5"/>
      <c r="L4" s="5"/>
      <c r="M4" s="5"/>
      <c r="N4" s="5">
        <v>18.5</v>
      </c>
      <c r="O4" s="5"/>
      <c r="P4" s="93"/>
      <c r="Q4" s="93"/>
      <c r="R4" s="5"/>
      <c r="S4" s="83"/>
      <c r="T4" s="93">
        <v>109.97</v>
      </c>
      <c r="U4" s="93"/>
      <c r="V4" s="6"/>
      <c r="W4" s="7">
        <f t="shared" si="1"/>
        <v>1523.51</v>
      </c>
      <c r="X4" s="97">
        <v>9076.5</v>
      </c>
      <c r="Y4" s="59">
        <f t="shared" si="2"/>
        <v>0.1678521457</v>
      </c>
      <c r="Z4" s="109">
        <f t="shared" si="3"/>
        <v>45133</v>
      </c>
    </row>
    <row r="5">
      <c r="A5" s="74">
        <v>45134.0</v>
      </c>
      <c r="B5" s="5">
        <v>1648.85</v>
      </c>
      <c r="C5" s="93">
        <v>1348.06</v>
      </c>
      <c r="D5" s="101"/>
      <c r="E5" s="5">
        <v>280.0</v>
      </c>
      <c r="F5" s="5">
        <v>561.33</v>
      </c>
      <c r="G5" s="5">
        <v>908.1</v>
      </c>
      <c r="H5" s="5">
        <v>123.0</v>
      </c>
      <c r="I5" s="5"/>
      <c r="J5" s="93"/>
      <c r="K5" s="5"/>
      <c r="L5" s="5"/>
      <c r="M5" s="5">
        <v>249.0</v>
      </c>
      <c r="N5" s="5">
        <v>18.5</v>
      </c>
      <c r="O5" s="5"/>
      <c r="P5" s="93"/>
      <c r="Q5" s="93"/>
      <c r="R5" s="5"/>
      <c r="S5" s="5"/>
      <c r="T5" s="101"/>
      <c r="U5" s="101"/>
      <c r="V5" s="6"/>
      <c r="W5" s="7">
        <f t="shared" si="1"/>
        <v>5136.84</v>
      </c>
      <c r="X5" s="98">
        <v>10504.0</v>
      </c>
      <c r="Y5" s="59">
        <f t="shared" si="2"/>
        <v>0.4890365575</v>
      </c>
      <c r="Z5" s="109">
        <f t="shared" si="3"/>
        <v>45134</v>
      </c>
    </row>
    <row r="6">
      <c r="A6" s="74">
        <v>45135.0</v>
      </c>
      <c r="B6" s="5">
        <v>1018.25</v>
      </c>
      <c r="C6" s="93">
        <v>841.85</v>
      </c>
      <c r="D6" s="93"/>
      <c r="E6" s="5"/>
      <c r="G6" s="5"/>
      <c r="H6" s="5"/>
      <c r="I6" s="5"/>
      <c r="J6" s="111"/>
      <c r="K6" s="5"/>
      <c r="L6" s="5"/>
      <c r="M6" s="5"/>
      <c r="N6" s="5">
        <v>18.5</v>
      </c>
      <c r="O6" s="5"/>
      <c r="P6" s="93"/>
      <c r="Q6" s="93"/>
      <c r="R6" s="5"/>
      <c r="S6" s="5">
        <v>44.5</v>
      </c>
      <c r="T6" s="93">
        <v>109.97</v>
      </c>
      <c r="U6" s="93"/>
      <c r="V6" s="5"/>
      <c r="W6" s="7">
        <f t="shared" si="1"/>
        <v>2033.07</v>
      </c>
      <c r="X6" s="97">
        <v>11974.5</v>
      </c>
      <c r="Y6" s="59">
        <f t="shared" si="2"/>
        <v>0.1697832895</v>
      </c>
      <c r="Z6" s="109">
        <f t="shared" si="3"/>
        <v>45135</v>
      </c>
    </row>
    <row r="7">
      <c r="A7" s="74">
        <v>45136.0</v>
      </c>
      <c r="B7" s="5">
        <v>1969.89</v>
      </c>
      <c r="C7" s="93">
        <v>1433.2</v>
      </c>
      <c r="D7" s="93"/>
      <c r="E7" s="5"/>
      <c r="F7" s="5"/>
      <c r="G7" s="5"/>
      <c r="H7" s="5"/>
      <c r="I7" s="5"/>
      <c r="J7" s="101"/>
      <c r="K7" s="5"/>
      <c r="L7" s="5"/>
      <c r="M7" s="5"/>
      <c r="N7" s="93"/>
      <c r="O7" s="93"/>
      <c r="P7" s="93"/>
      <c r="Q7" s="93"/>
      <c r="R7" s="6"/>
      <c r="S7" s="6"/>
      <c r="T7" s="101"/>
      <c r="U7" s="101"/>
      <c r="V7" s="5">
        <v>89.67</v>
      </c>
      <c r="W7" s="7">
        <f t="shared" si="1"/>
        <v>3492.76</v>
      </c>
      <c r="X7" s="97">
        <v>15731.6</v>
      </c>
      <c r="Y7" s="59">
        <f t="shared" si="2"/>
        <v>0.2220219177</v>
      </c>
      <c r="Z7" s="109">
        <f t="shared" si="3"/>
        <v>45136</v>
      </c>
    </row>
    <row r="8">
      <c r="A8" s="74">
        <v>45137.0</v>
      </c>
      <c r="B8" s="10" t="s">
        <v>21</v>
      </c>
      <c r="C8" s="112" t="s">
        <v>21</v>
      </c>
      <c r="D8" s="112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12" t="s">
        <v>21</v>
      </c>
      <c r="K8" s="10" t="s">
        <v>21</v>
      </c>
      <c r="L8" s="10" t="s">
        <v>21</v>
      </c>
      <c r="M8" s="10"/>
      <c r="N8" s="10"/>
      <c r="O8" s="10"/>
      <c r="P8" s="112" t="s">
        <v>21</v>
      </c>
      <c r="Q8" s="112"/>
      <c r="R8" s="10" t="s">
        <v>21</v>
      </c>
      <c r="S8" s="10" t="s">
        <v>21</v>
      </c>
      <c r="T8" s="112" t="s">
        <v>21</v>
      </c>
      <c r="U8" s="112"/>
      <c r="V8" s="10" t="s">
        <v>21</v>
      </c>
      <c r="W8" s="7">
        <v>0.0</v>
      </c>
      <c r="X8" s="97">
        <v>9796.2</v>
      </c>
      <c r="Y8" s="59">
        <f t="shared" si="2"/>
        <v>0</v>
      </c>
      <c r="Z8" s="109">
        <f t="shared" si="3"/>
        <v>45137</v>
      </c>
    </row>
    <row r="9">
      <c r="C9" s="136"/>
      <c r="D9" s="138"/>
      <c r="J9" s="79"/>
      <c r="T9" s="79"/>
      <c r="U9" s="79"/>
      <c r="X9" s="129"/>
      <c r="Z9" s="106"/>
    </row>
    <row r="10">
      <c r="C10" s="79"/>
      <c r="D10" s="79"/>
      <c r="J10" s="79"/>
      <c r="P10" s="79"/>
      <c r="Q10" s="79"/>
      <c r="T10" s="79"/>
      <c r="U10" s="79"/>
      <c r="X10" s="130"/>
      <c r="Z10" s="106"/>
    </row>
    <row r="11">
      <c r="A11" s="4" t="s">
        <v>22</v>
      </c>
      <c r="B11" s="11">
        <v>13000.0</v>
      </c>
      <c r="C11" s="79"/>
      <c r="D11" s="79"/>
      <c r="E11" s="78"/>
      <c r="F11" s="79"/>
      <c r="J11" s="79"/>
      <c r="P11" s="79"/>
      <c r="Q11" s="79"/>
      <c r="T11" s="79"/>
      <c r="U11" s="79"/>
      <c r="X11" s="131"/>
      <c r="Z11" s="106"/>
    </row>
    <row r="12">
      <c r="A12" s="4" t="s">
        <v>23</v>
      </c>
      <c r="B12" s="12">
        <f>SUM(B2:V8)+C9</f>
        <v>15222.01</v>
      </c>
      <c r="C12" s="79"/>
      <c r="D12" s="79"/>
      <c r="E12" s="56"/>
      <c r="J12" s="79"/>
      <c r="P12" s="79"/>
      <c r="Q12" s="79"/>
      <c r="T12" s="79"/>
      <c r="U12" s="79"/>
      <c r="X12" s="130"/>
      <c r="Z12" s="106"/>
    </row>
    <row r="13">
      <c r="A13" s="4" t="s">
        <v>24</v>
      </c>
      <c r="B13" s="12">
        <f> SUM(B11-B12)</f>
        <v>-2222.01</v>
      </c>
      <c r="C13" s="79"/>
      <c r="D13" s="79"/>
      <c r="J13" s="79"/>
      <c r="P13" s="79"/>
      <c r="Q13" s="79"/>
      <c r="T13" s="79"/>
      <c r="U13" s="79"/>
      <c r="X13" s="130"/>
      <c r="Z13" s="106"/>
    </row>
    <row r="14">
      <c r="C14" s="79"/>
      <c r="D14" s="79"/>
      <c r="J14" s="79"/>
      <c r="P14" s="79"/>
      <c r="Q14" s="79"/>
      <c r="T14" s="79"/>
      <c r="U14" s="79"/>
      <c r="X14" s="130"/>
      <c r="Z14" s="106"/>
    </row>
    <row r="15">
      <c r="A15" s="13" t="s">
        <v>25</v>
      </c>
      <c r="B15" s="14">
        <f>SUM(X2:X8)</f>
        <v>71126.6</v>
      </c>
      <c r="C15" s="79"/>
      <c r="D15" s="79"/>
      <c r="J15" s="79"/>
      <c r="P15" s="79"/>
      <c r="Q15" s="79"/>
      <c r="T15" s="79"/>
      <c r="U15" s="79"/>
      <c r="X15" s="130"/>
      <c r="Z15" s="106"/>
    </row>
    <row r="16">
      <c r="A16" s="13" t="s">
        <v>26</v>
      </c>
      <c r="B16" s="15">
        <f>B12/B15</f>
        <v>0.2140129009</v>
      </c>
      <c r="C16" s="79"/>
      <c r="D16" s="79"/>
      <c r="J16" s="79"/>
      <c r="P16" s="79"/>
      <c r="Q16" s="79"/>
      <c r="T16" s="79"/>
      <c r="U16" s="79"/>
      <c r="X16" s="130"/>
      <c r="Z16" s="106"/>
    </row>
    <row r="17">
      <c r="C17" s="79"/>
      <c r="D17" s="79"/>
      <c r="J17" s="79"/>
      <c r="P17" s="79"/>
      <c r="Q17" s="79"/>
      <c r="T17" s="79"/>
      <c r="U17" s="79"/>
      <c r="X17" s="130"/>
      <c r="Z17" s="106"/>
    </row>
    <row r="18">
      <c r="C18" s="79"/>
      <c r="D18" s="79"/>
      <c r="J18" s="79"/>
      <c r="P18" s="79"/>
      <c r="Q18" s="79"/>
      <c r="T18" s="79"/>
      <c r="U18" s="79"/>
      <c r="X18" s="130"/>
      <c r="Z18" s="106"/>
    </row>
    <row r="19">
      <c r="A19" s="16" t="s">
        <v>27</v>
      </c>
      <c r="B19" s="17"/>
      <c r="C19" s="114"/>
      <c r="D19" s="115"/>
      <c r="H19" s="84"/>
      <c r="P19" s="79"/>
      <c r="Q19" s="79"/>
      <c r="T19" s="79"/>
      <c r="U19" s="79"/>
      <c r="X19" s="130"/>
      <c r="Z19" s="106"/>
    </row>
    <row r="20">
      <c r="A20" s="19" t="s">
        <v>28</v>
      </c>
      <c r="B20" s="20"/>
      <c r="C20" s="116"/>
      <c r="D20" s="117"/>
      <c r="H20" s="85"/>
      <c r="I20" s="85"/>
      <c r="J20" s="118"/>
      <c r="P20" s="79"/>
      <c r="Q20" s="79"/>
      <c r="T20" s="79"/>
      <c r="U20" s="79"/>
      <c r="X20" s="130"/>
      <c r="Z20" s="106"/>
    </row>
    <row r="21">
      <c r="A21" s="22" t="s">
        <v>29</v>
      </c>
      <c r="B21" s="23" t="s">
        <v>30</v>
      </c>
      <c r="C21" s="119" t="s">
        <v>170</v>
      </c>
      <c r="D21" s="120" t="s">
        <v>171</v>
      </c>
      <c r="H21" s="86"/>
      <c r="I21" s="85"/>
      <c r="J21" s="118"/>
      <c r="P21" s="79"/>
      <c r="Q21" s="79"/>
      <c r="T21" s="79"/>
      <c r="U21" s="79"/>
      <c r="X21" s="130"/>
      <c r="Z21" s="106"/>
    </row>
    <row r="22">
      <c r="A22" s="28" t="s">
        <v>149</v>
      </c>
      <c r="B22" s="72"/>
      <c r="C22" s="121"/>
      <c r="D22" s="122"/>
      <c r="H22" s="87"/>
      <c r="I22" s="85"/>
      <c r="J22" s="118"/>
      <c r="P22" s="79"/>
      <c r="Q22" s="79"/>
      <c r="T22" s="79"/>
      <c r="U22" s="79"/>
      <c r="X22" s="130"/>
      <c r="Z22" s="106"/>
    </row>
    <row r="23">
      <c r="A23" s="28" t="s">
        <v>150</v>
      </c>
      <c r="B23" s="72"/>
      <c r="C23" s="121"/>
      <c r="D23" s="122"/>
      <c r="H23" s="88"/>
      <c r="I23" s="88"/>
      <c r="J23" s="123"/>
      <c r="P23" s="79"/>
      <c r="Q23" s="79"/>
      <c r="T23" s="79"/>
      <c r="U23" s="79"/>
      <c r="X23" s="130"/>
      <c r="Z23" s="106"/>
    </row>
    <row r="24">
      <c r="A24" s="71" t="s">
        <v>108</v>
      </c>
      <c r="B24" s="72"/>
      <c r="C24" s="71"/>
      <c r="D24" s="124"/>
      <c r="H24" s="88"/>
      <c r="I24" s="88"/>
      <c r="J24" s="123"/>
      <c r="P24" s="79"/>
      <c r="Q24" s="79"/>
      <c r="T24" s="79"/>
      <c r="U24" s="79"/>
      <c r="X24" s="130"/>
      <c r="Z24" s="106"/>
    </row>
    <row r="25">
      <c r="A25" s="28" t="s">
        <v>159</v>
      </c>
      <c r="B25" s="41"/>
      <c r="C25" s="121"/>
      <c r="D25" s="124"/>
      <c r="H25" s="88"/>
      <c r="I25" s="88"/>
      <c r="J25" s="123"/>
      <c r="P25" s="79"/>
      <c r="Q25" s="79"/>
      <c r="T25" s="79"/>
      <c r="U25" s="79"/>
      <c r="X25" s="130"/>
      <c r="Z25" s="106"/>
    </row>
    <row r="26">
      <c r="A26" s="28" t="s">
        <v>160</v>
      </c>
      <c r="B26" s="41"/>
      <c r="C26" s="71"/>
      <c r="D26" s="124"/>
      <c r="H26" s="88"/>
      <c r="I26" s="88"/>
      <c r="J26" s="123"/>
      <c r="P26" s="79"/>
      <c r="Q26" s="79"/>
      <c r="T26" s="79"/>
      <c r="U26" s="79"/>
      <c r="X26" s="130"/>
      <c r="Z26" s="106"/>
    </row>
    <row r="27">
      <c r="A27" s="28" t="s">
        <v>172</v>
      </c>
      <c r="B27" s="41">
        <v>512.83</v>
      </c>
      <c r="C27" s="71" t="s">
        <v>173</v>
      </c>
      <c r="D27" s="122"/>
      <c r="H27" s="88"/>
      <c r="I27" s="88"/>
      <c r="J27" s="123"/>
      <c r="P27" s="79"/>
      <c r="Q27" s="79"/>
      <c r="T27" s="79"/>
      <c r="U27" s="79"/>
      <c r="X27" s="130"/>
      <c r="Z27" s="106"/>
    </row>
    <row r="28">
      <c r="A28" s="25"/>
      <c r="B28" s="26"/>
      <c r="C28" s="121"/>
      <c r="D28" s="122"/>
      <c r="J28" s="79"/>
      <c r="P28" s="79"/>
      <c r="Q28" s="79"/>
      <c r="T28" s="79"/>
      <c r="U28" s="79"/>
      <c r="X28" s="132"/>
      <c r="Z28" s="106"/>
    </row>
    <row r="29">
      <c r="A29" s="25"/>
      <c r="B29" s="26"/>
      <c r="C29" s="121"/>
      <c r="D29" s="122"/>
      <c r="I29" s="89"/>
      <c r="J29" s="125"/>
      <c r="P29" s="79"/>
      <c r="Q29" s="79"/>
      <c r="T29" s="79"/>
      <c r="U29" s="79"/>
      <c r="X29" s="130"/>
      <c r="Z29" s="106"/>
    </row>
    <row r="30">
      <c r="C30" s="79"/>
      <c r="D30" s="79"/>
      <c r="J30" s="79"/>
      <c r="P30" s="79"/>
      <c r="Q30" s="79"/>
      <c r="T30" s="79"/>
      <c r="U30" s="79"/>
      <c r="X30" s="130"/>
      <c r="Z30" s="106"/>
    </row>
    <row r="31">
      <c r="C31" s="79"/>
      <c r="D31" s="79"/>
      <c r="J31" s="79"/>
      <c r="P31" s="79"/>
      <c r="Q31" s="79"/>
      <c r="T31" s="79"/>
      <c r="U31" s="79"/>
      <c r="X31" s="130"/>
      <c r="Z31" s="106"/>
    </row>
    <row r="32">
      <c r="C32" s="79"/>
      <c r="D32" s="79"/>
      <c r="J32" s="79"/>
      <c r="P32" s="79"/>
      <c r="Q32" s="79"/>
      <c r="T32" s="79"/>
      <c r="U32" s="79"/>
      <c r="X32" s="130"/>
      <c r="Z32" s="106"/>
    </row>
    <row r="33">
      <c r="C33" s="79"/>
      <c r="D33" s="79"/>
      <c r="J33" s="79"/>
      <c r="P33" s="79"/>
      <c r="Q33" s="79"/>
      <c r="T33" s="79"/>
      <c r="U33" s="79"/>
      <c r="X33" s="130"/>
      <c r="Z33" s="106"/>
    </row>
    <row r="34">
      <c r="C34" s="79"/>
      <c r="D34" s="79"/>
      <c r="J34" s="79"/>
      <c r="P34" s="79"/>
      <c r="Q34" s="79"/>
      <c r="T34" s="79"/>
      <c r="U34" s="79"/>
      <c r="X34" s="130"/>
      <c r="Z34" s="106"/>
    </row>
    <row r="35">
      <c r="C35" s="79"/>
      <c r="D35" s="79"/>
      <c r="J35" s="79"/>
      <c r="P35" s="79"/>
      <c r="Q35" s="79"/>
      <c r="T35" s="79"/>
      <c r="U35" s="79"/>
      <c r="X35" s="130"/>
      <c r="Z35" s="106"/>
    </row>
    <row r="36">
      <c r="C36" s="79"/>
      <c r="D36" s="79"/>
      <c r="J36" s="79"/>
      <c r="P36" s="79"/>
      <c r="Q36" s="79"/>
      <c r="T36" s="79"/>
      <c r="U36" s="79"/>
      <c r="X36" s="130"/>
      <c r="Z36" s="106"/>
    </row>
    <row r="37">
      <c r="C37" s="79"/>
      <c r="D37" s="79"/>
      <c r="J37" s="79"/>
      <c r="P37" s="79"/>
      <c r="Q37" s="79"/>
      <c r="T37" s="79"/>
      <c r="U37" s="79"/>
      <c r="X37" s="130"/>
      <c r="Z37" s="106"/>
    </row>
    <row r="38">
      <c r="C38" s="79"/>
      <c r="D38" s="79"/>
      <c r="J38" s="79"/>
      <c r="P38" s="79"/>
      <c r="Q38" s="79"/>
      <c r="T38" s="79"/>
      <c r="U38" s="79"/>
      <c r="X38" s="130"/>
      <c r="Z38" s="106"/>
    </row>
    <row r="39">
      <c r="C39" s="79"/>
      <c r="D39" s="79"/>
      <c r="J39" s="79"/>
      <c r="P39" s="79"/>
      <c r="Q39" s="79"/>
      <c r="T39" s="79"/>
      <c r="U39" s="79"/>
      <c r="X39" s="130"/>
      <c r="Z39" s="106"/>
    </row>
    <row r="40">
      <c r="C40" s="79"/>
      <c r="D40" s="79"/>
      <c r="J40" s="79"/>
      <c r="P40" s="79"/>
      <c r="Q40" s="79"/>
      <c r="T40" s="79"/>
      <c r="U40" s="79"/>
      <c r="X40" s="130"/>
      <c r="Z40" s="106"/>
    </row>
    <row r="41">
      <c r="C41" s="79"/>
      <c r="D41" s="79"/>
      <c r="J41" s="79"/>
      <c r="P41" s="79"/>
      <c r="Q41" s="79"/>
      <c r="T41" s="79"/>
      <c r="U41" s="79"/>
      <c r="X41" s="130"/>
      <c r="Z41" s="106"/>
    </row>
    <row r="42">
      <c r="C42" s="79"/>
      <c r="D42" s="79"/>
      <c r="J42" s="79"/>
      <c r="P42" s="79"/>
      <c r="Q42" s="79"/>
      <c r="T42" s="79"/>
      <c r="U42" s="79"/>
      <c r="X42" s="130"/>
      <c r="Z42" s="106"/>
    </row>
    <row r="43">
      <c r="C43" s="79"/>
      <c r="D43" s="79"/>
      <c r="J43" s="79"/>
      <c r="P43" s="79"/>
      <c r="Q43" s="79"/>
      <c r="T43" s="79"/>
      <c r="U43" s="79"/>
      <c r="X43" s="130"/>
      <c r="Z43" s="106"/>
    </row>
    <row r="44">
      <c r="C44" s="79"/>
      <c r="D44" s="79"/>
      <c r="J44" s="79"/>
      <c r="P44" s="79"/>
      <c r="Q44" s="79"/>
      <c r="T44" s="79"/>
      <c r="U44" s="79"/>
      <c r="X44" s="130"/>
      <c r="Z44" s="106"/>
    </row>
    <row r="45">
      <c r="C45" s="79"/>
      <c r="D45" s="79"/>
      <c r="J45" s="79"/>
      <c r="P45" s="79"/>
      <c r="Q45" s="79"/>
      <c r="T45" s="79"/>
      <c r="U45" s="79"/>
      <c r="X45" s="130"/>
      <c r="Z45" s="106"/>
    </row>
    <row r="46">
      <c r="C46" s="79"/>
      <c r="D46" s="79"/>
      <c r="J46" s="79"/>
      <c r="P46" s="79"/>
      <c r="Q46" s="79"/>
      <c r="T46" s="79"/>
      <c r="U46" s="79"/>
      <c r="X46" s="130"/>
      <c r="Z46" s="106"/>
    </row>
    <row r="47">
      <c r="C47" s="79"/>
      <c r="D47" s="79"/>
      <c r="J47" s="79"/>
      <c r="P47" s="79"/>
      <c r="Q47" s="79"/>
      <c r="T47" s="79"/>
      <c r="U47" s="79"/>
      <c r="X47" s="130"/>
      <c r="Z47" s="106"/>
    </row>
    <row r="48">
      <c r="C48" s="79"/>
      <c r="D48" s="79"/>
      <c r="J48" s="79"/>
      <c r="P48" s="79"/>
      <c r="Q48" s="79"/>
      <c r="T48" s="79"/>
      <c r="U48" s="79"/>
      <c r="X48" s="130"/>
      <c r="Z48" s="106"/>
    </row>
    <row r="49">
      <c r="C49" s="79"/>
      <c r="D49" s="79"/>
      <c r="J49" s="79"/>
      <c r="P49" s="79"/>
      <c r="Q49" s="79"/>
      <c r="T49" s="79"/>
      <c r="U49" s="79"/>
      <c r="X49" s="130"/>
      <c r="Z49" s="106"/>
    </row>
    <row r="50">
      <c r="C50" s="79"/>
      <c r="D50" s="79"/>
      <c r="J50" s="79"/>
      <c r="P50" s="79"/>
      <c r="Q50" s="79"/>
      <c r="T50" s="79"/>
      <c r="U50" s="79"/>
      <c r="X50" s="130"/>
      <c r="Z50" s="106"/>
    </row>
    <row r="51">
      <c r="C51" s="79"/>
      <c r="D51" s="79"/>
      <c r="J51" s="79"/>
      <c r="P51" s="79"/>
      <c r="Q51" s="79"/>
      <c r="T51" s="79"/>
      <c r="U51" s="79"/>
      <c r="X51" s="130"/>
      <c r="Z51" s="106"/>
    </row>
    <row r="52">
      <c r="C52" s="79"/>
      <c r="D52" s="79"/>
      <c r="J52" s="79"/>
      <c r="P52" s="79"/>
      <c r="Q52" s="79"/>
      <c r="T52" s="79"/>
      <c r="U52" s="79"/>
      <c r="X52" s="130"/>
      <c r="Z52" s="106"/>
    </row>
    <row r="53">
      <c r="C53" s="79"/>
      <c r="D53" s="79"/>
      <c r="J53" s="79"/>
      <c r="P53" s="79"/>
      <c r="Q53" s="79"/>
      <c r="T53" s="79"/>
      <c r="U53" s="79"/>
      <c r="X53" s="130"/>
      <c r="Z53" s="106"/>
    </row>
    <row r="54">
      <c r="C54" s="79"/>
      <c r="D54" s="79"/>
      <c r="J54" s="79"/>
      <c r="P54" s="79"/>
      <c r="Q54" s="79"/>
      <c r="T54" s="79"/>
      <c r="U54" s="79"/>
      <c r="X54" s="130"/>
      <c r="Z54" s="106"/>
    </row>
    <row r="55">
      <c r="C55" s="79"/>
      <c r="D55" s="79"/>
      <c r="J55" s="79"/>
      <c r="P55" s="79"/>
      <c r="Q55" s="79"/>
      <c r="T55" s="79"/>
      <c r="U55" s="79"/>
      <c r="X55" s="130"/>
      <c r="Z55" s="106"/>
    </row>
    <row r="56">
      <c r="C56" s="79"/>
      <c r="D56" s="79"/>
      <c r="J56" s="79"/>
      <c r="P56" s="79"/>
      <c r="Q56" s="79"/>
      <c r="T56" s="79"/>
      <c r="U56" s="79"/>
      <c r="X56" s="130"/>
      <c r="Z56" s="106"/>
    </row>
    <row r="57">
      <c r="C57" s="79"/>
      <c r="D57" s="79"/>
      <c r="J57" s="79"/>
      <c r="P57" s="79"/>
      <c r="Q57" s="79"/>
      <c r="T57" s="79"/>
      <c r="U57" s="79"/>
      <c r="X57" s="130"/>
      <c r="Z57" s="106"/>
    </row>
    <row r="58">
      <c r="C58" s="79"/>
      <c r="D58" s="79"/>
      <c r="J58" s="79"/>
      <c r="P58" s="79"/>
      <c r="Q58" s="79"/>
      <c r="T58" s="79"/>
      <c r="U58" s="79"/>
      <c r="X58" s="130"/>
      <c r="Z58" s="106"/>
    </row>
    <row r="59">
      <c r="C59" s="79"/>
      <c r="D59" s="79"/>
      <c r="J59" s="79"/>
      <c r="P59" s="79"/>
      <c r="Q59" s="79"/>
      <c r="T59" s="79"/>
      <c r="U59" s="79"/>
      <c r="X59" s="130"/>
      <c r="Z59" s="106"/>
    </row>
    <row r="60">
      <c r="C60" s="79"/>
      <c r="D60" s="79"/>
      <c r="J60" s="79"/>
      <c r="P60" s="79"/>
      <c r="Q60" s="79"/>
      <c r="T60" s="79"/>
      <c r="U60" s="79"/>
      <c r="X60" s="130"/>
      <c r="Z60" s="106"/>
    </row>
    <row r="61">
      <c r="C61" s="79"/>
      <c r="D61" s="79"/>
      <c r="J61" s="79"/>
      <c r="P61" s="79"/>
      <c r="Q61" s="79"/>
      <c r="T61" s="79"/>
      <c r="U61" s="79"/>
      <c r="X61" s="130"/>
      <c r="Z61" s="106"/>
    </row>
    <row r="62">
      <c r="C62" s="79"/>
      <c r="D62" s="79"/>
      <c r="J62" s="79"/>
      <c r="P62" s="79"/>
      <c r="Q62" s="79"/>
      <c r="T62" s="79"/>
      <c r="U62" s="79"/>
      <c r="X62" s="130"/>
      <c r="Z62" s="106"/>
    </row>
    <row r="63">
      <c r="C63" s="79"/>
      <c r="D63" s="79"/>
      <c r="J63" s="79"/>
      <c r="P63" s="79"/>
      <c r="Q63" s="79"/>
      <c r="T63" s="79"/>
      <c r="U63" s="79"/>
      <c r="X63" s="130"/>
      <c r="Z63" s="106"/>
    </row>
    <row r="64">
      <c r="C64" s="79"/>
      <c r="D64" s="79"/>
      <c r="J64" s="79"/>
      <c r="P64" s="79"/>
      <c r="Q64" s="79"/>
      <c r="T64" s="79"/>
      <c r="U64" s="79"/>
      <c r="X64" s="130"/>
      <c r="Z64" s="106"/>
    </row>
    <row r="65">
      <c r="C65" s="79"/>
      <c r="D65" s="79"/>
      <c r="J65" s="79"/>
      <c r="P65" s="79"/>
      <c r="Q65" s="79"/>
      <c r="T65" s="79"/>
      <c r="U65" s="79"/>
      <c r="X65" s="130"/>
      <c r="Z65" s="106"/>
    </row>
    <row r="66">
      <c r="C66" s="79"/>
      <c r="D66" s="79"/>
      <c r="J66" s="79"/>
      <c r="P66" s="79"/>
      <c r="Q66" s="79"/>
      <c r="T66" s="79"/>
      <c r="U66" s="79"/>
      <c r="X66" s="130"/>
      <c r="Z66" s="106"/>
    </row>
    <row r="67">
      <c r="C67" s="79"/>
      <c r="D67" s="79"/>
      <c r="J67" s="79"/>
      <c r="P67" s="79"/>
      <c r="Q67" s="79"/>
      <c r="T67" s="79"/>
      <c r="U67" s="79"/>
      <c r="X67" s="130"/>
      <c r="Z67" s="106"/>
    </row>
    <row r="68">
      <c r="C68" s="79"/>
      <c r="D68" s="79"/>
      <c r="J68" s="79"/>
      <c r="P68" s="79"/>
      <c r="Q68" s="79"/>
      <c r="T68" s="79"/>
      <c r="U68" s="79"/>
      <c r="X68" s="130"/>
      <c r="Z68" s="106"/>
    </row>
    <row r="69">
      <c r="C69" s="79"/>
      <c r="D69" s="79"/>
      <c r="J69" s="79"/>
      <c r="P69" s="79"/>
      <c r="Q69" s="79"/>
      <c r="T69" s="79"/>
      <c r="U69" s="79"/>
      <c r="X69" s="130"/>
      <c r="Z69" s="106"/>
    </row>
    <row r="70">
      <c r="C70" s="79"/>
      <c r="D70" s="79"/>
      <c r="J70" s="79"/>
      <c r="P70" s="79"/>
      <c r="Q70" s="79"/>
      <c r="T70" s="79"/>
      <c r="U70" s="79"/>
      <c r="X70" s="130"/>
      <c r="Z70" s="106"/>
    </row>
    <row r="71">
      <c r="C71" s="79"/>
      <c r="D71" s="79"/>
      <c r="J71" s="79"/>
      <c r="P71" s="79"/>
      <c r="Q71" s="79"/>
      <c r="T71" s="79"/>
      <c r="U71" s="79"/>
      <c r="X71" s="130"/>
      <c r="Z71" s="106"/>
    </row>
    <row r="72">
      <c r="C72" s="79"/>
      <c r="D72" s="79"/>
      <c r="J72" s="79"/>
      <c r="P72" s="79"/>
      <c r="Q72" s="79"/>
      <c r="T72" s="79"/>
      <c r="U72" s="79"/>
      <c r="X72" s="130"/>
      <c r="Z72" s="106"/>
    </row>
    <row r="73">
      <c r="C73" s="79"/>
      <c r="D73" s="79"/>
      <c r="J73" s="79"/>
      <c r="P73" s="79"/>
      <c r="Q73" s="79"/>
      <c r="T73" s="79"/>
      <c r="U73" s="79"/>
      <c r="X73" s="130"/>
      <c r="Z73" s="106"/>
    </row>
    <row r="74">
      <c r="C74" s="79"/>
      <c r="D74" s="79"/>
      <c r="J74" s="79"/>
      <c r="P74" s="79"/>
      <c r="Q74" s="79"/>
      <c r="T74" s="79"/>
      <c r="U74" s="79"/>
      <c r="X74" s="130"/>
      <c r="Z74" s="106"/>
    </row>
    <row r="75">
      <c r="C75" s="79"/>
      <c r="D75" s="79"/>
      <c r="J75" s="79"/>
      <c r="P75" s="79"/>
      <c r="Q75" s="79"/>
      <c r="T75" s="79"/>
      <c r="U75" s="79"/>
      <c r="X75" s="130"/>
      <c r="Z75" s="106"/>
    </row>
    <row r="76">
      <c r="C76" s="79"/>
      <c r="D76" s="79"/>
      <c r="J76" s="79"/>
      <c r="P76" s="79"/>
      <c r="Q76" s="79"/>
      <c r="T76" s="79"/>
      <c r="U76" s="79"/>
      <c r="X76" s="130"/>
      <c r="Z76" s="106"/>
    </row>
    <row r="77">
      <c r="C77" s="79"/>
      <c r="D77" s="79"/>
      <c r="J77" s="79"/>
      <c r="P77" s="79"/>
      <c r="Q77" s="79"/>
      <c r="T77" s="79"/>
      <c r="U77" s="79"/>
      <c r="X77" s="130"/>
      <c r="Z77" s="106"/>
    </row>
    <row r="78">
      <c r="C78" s="79"/>
      <c r="D78" s="79"/>
      <c r="J78" s="79"/>
      <c r="P78" s="79"/>
      <c r="Q78" s="79"/>
      <c r="T78" s="79"/>
      <c r="U78" s="79"/>
      <c r="X78" s="130"/>
      <c r="Z78" s="106"/>
    </row>
    <row r="79">
      <c r="C79" s="79"/>
      <c r="D79" s="79"/>
      <c r="J79" s="79"/>
      <c r="P79" s="79"/>
      <c r="Q79" s="79"/>
      <c r="T79" s="79"/>
      <c r="U79" s="79"/>
      <c r="X79" s="130"/>
      <c r="Z79" s="106"/>
    </row>
    <row r="80">
      <c r="C80" s="79"/>
      <c r="D80" s="79"/>
      <c r="J80" s="79"/>
      <c r="P80" s="79"/>
      <c r="Q80" s="79"/>
      <c r="T80" s="79"/>
      <c r="U80" s="79"/>
      <c r="X80" s="130"/>
      <c r="Z80" s="106"/>
    </row>
    <row r="81">
      <c r="C81" s="79"/>
      <c r="D81" s="79"/>
      <c r="J81" s="79"/>
      <c r="P81" s="79"/>
      <c r="Q81" s="79"/>
      <c r="T81" s="79"/>
      <c r="U81" s="79"/>
      <c r="X81" s="130"/>
      <c r="Z81" s="106"/>
    </row>
    <row r="82">
      <c r="C82" s="79"/>
      <c r="D82" s="79"/>
      <c r="J82" s="79"/>
      <c r="P82" s="79"/>
      <c r="Q82" s="79"/>
      <c r="T82" s="79"/>
      <c r="U82" s="79"/>
      <c r="X82" s="130"/>
      <c r="Z82" s="106"/>
    </row>
    <row r="83">
      <c r="C83" s="79"/>
      <c r="D83" s="79"/>
      <c r="J83" s="79"/>
      <c r="P83" s="79"/>
      <c r="Q83" s="79"/>
      <c r="T83" s="79"/>
      <c r="U83" s="79"/>
      <c r="X83" s="130"/>
      <c r="Z83" s="106"/>
    </row>
    <row r="84">
      <c r="C84" s="79"/>
      <c r="D84" s="79"/>
      <c r="J84" s="79"/>
      <c r="P84" s="79"/>
      <c r="Q84" s="79"/>
      <c r="T84" s="79"/>
      <c r="U84" s="79"/>
      <c r="X84" s="130"/>
      <c r="Z84" s="106"/>
    </row>
    <row r="85">
      <c r="C85" s="79"/>
      <c r="D85" s="79"/>
      <c r="J85" s="79"/>
      <c r="P85" s="79"/>
      <c r="Q85" s="79"/>
      <c r="T85" s="79"/>
      <c r="U85" s="79"/>
      <c r="X85" s="130"/>
      <c r="Z85" s="106"/>
    </row>
    <row r="86">
      <c r="C86" s="79"/>
      <c r="D86" s="79"/>
      <c r="J86" s="79"/>
      <c r="P86" s="79"/>
      <c r="Q86" s="79"/>
      <c r="T86" s="79"/>
      <c r="U86" s="79"/>
      <c r="X86" s="130"/>
      <c r="Z86" s="106"/>
    </row>
    <row r="87">
      <c r="C87" s="79"/>
      <c r="D87" s="79"/>
      <c r="J87" s="79"/>
      <c r="P87" s="79"/>
      <c r="Q87" s="79"/>
      <c r="T87" s="79"/>
      <c r="U87" s="79"/>
      <c r="X87" s="130"/>
      <c r="Z87" s="106"/>
    </row>
    <row r="88">
      <c r="C88" s="79"/>
      <c r="D88" s="79"/>
      <c r="J88" s="79"/>
      <c r="P88" s="79"/>
      <c r="Q88" s="79"/>
      <c r="T88" s="79"/>
      <c r="U88" s="79"/>
      <c r="X88" s="130"/>
      <c r="Z88" s="106"/>
    </row>
    <row r="89">
      <c r="C89" s="79"/>
      <c r="D89" s="79"/>
      <c r="J89" s="79"/>
      <c r="P89" s="79"/>
      <c r="Q89" s="79"/>
      <c r="T89" s="79"/>
      <c r="U89" s="79"/>
      <c r="X89" s="130"/>
      <c r="Z89" s="106"/>
    </row>
    <row r="90">
      <c r="C90" s="79"/>
      <c r="D90" s="79"/>
      <c r="J90" s="79"/>
      <c r="P90" s="79"/>
      <c r="Q90" s="79"/>
      <c r="T90" s="79"/>
      <c r="U90" s="79"/>
      <c r="X90" s="130"/>
      <c r="Z90" s="106"/>
    </row>
    <row r="91">
      <c r="C91" s="79"/>
      <c r="D91" s="79"/>
      <c r="J91" s="79"/>
      <c r="P91" s="79"/>
      <c r="Q91" s="79"/>
      <c r="T91" s="79"/>
      <c r="U91" s="79"/>
      <c r="X91" s="130"/>
      <c r="Z91" s="106"/>
    </row>
    <row r="92">
      <c r="C92" s="79"/>
      <c r="D92" s="79"/>
      <c r="J92" s="79"/>
      <c r="P92" s="79"/>
      <c r="Q92" s="79"/>
      <c r="T92" s="79"/>
      <c r="U92" s="79"/>
      <c r="X92" s="130"/>
      <c r="Z92" s="106"/>
    </row>
    <row r="93">
      <c r="C93" s="79"/>
      <c r="D93" s="79"/>
      <c r="J93" s="79"/>
      <c r="P93" s="79"/>
      <c r="Q93" s="79"/>
      <c r="T93" s="79"/>
      <c r="U93" s="79"/>
      <c r="X93" s="130"/>
      <c r="Z93" s="106"/>
    </row>
    <row r="94">
      <c r="C94" s="79"/>
      <c r="D94" s="79"/>
      <c r="J94" s="79"/>
      <c r="P94" s="79"/>
      <c r="Q94" s="79"/>
      <c r="T94" s="79"/>
      <c r="U94" s="79"/>
      <c r="X94" s="130"/>
      <c r="Z94" s="106"/>
    </row>
    <row r="95">
      <c r="C95" s="79"/>
      <c r="D95" s="79"/>
      <c r="J95" s="79"/>
      <c r="P95" s="79"/>
      <c r="Q95" s="79"/>
      <c r="T95" s="79"/>
      <c r="U95" s="79"/>
      <c r="X95" s="130"/>
      <c r="Z95" s="106"/>
    </row>
    <row r="96">
      <c r="C96" s="79"/>
      <c r="D96" s="79"/>
      <c r="J96" s="79"/>
      <c r="P96" s="79"/>
      <c r="Q96" s="79"/>
      <c r="T96" s="79"/>
      <c r="U96" s="79"/>
      <c r="X96" s="130"/>
      <c r="Z96" s="106"/>
    </row>
    <row r="97">
      <c r="C97" s="79"/>
      <c r="D97" s="79"/>
      <c r="J97" s="79"/>
      <c r="P97" s="79"/>
      <c r="Q97" s="79"/>
      <c r="T97" s="79"/>
      <c r="U97" s="79"/>
      <c r="X97" s="130"/>
      <c r="Z97" s="106"/>
    </row>
    <row r="98">
      <c r="C98" s="79"/>
      <c r="D98" s="79"/>
      <c r="J98" s="79"/>
      <c r="P98" s="79"/>
      <c r="Q98" s="79"/>
      <c r="T98" s="79"/>
      <c r="U98" s="79"/>
      <c r="X98" s="130"/>
      <c r="Z98" s="106"/>
    </row>
    <row r="99">
      <c r="C99" s="79"/>
      <c r="D99" s="79"/>
      <c r="J99" s="79"/>
      <c r="P99" s="79"/>
      <c r="Q99" s="79"/>
      <c r="T99" s="79"/>
      <c r="U99" s="79"/>
      <c r="X99" s="130"/>
      <c r="Z99" s="106"/>
    </row>
    <row r="100">
      <c r="C100" s="79"/>
      <c r="D100" s="79"/>
      <c r="J100" s="79"/>
      <c r="P100" s="79"/>
      <c r="Q100" s="79"/>
      <c r="T100" s="79"/>
      <c r="U100" s="79"/>
      <c r="X100" s="130"/>
      <c r="Z100" s="106"/>
    </row>
    <row r="101">
      <c r="C101" s="79"/>
      <c r="D101" s="79"/>
      <c r="J101" s="79"/>
      <c r="P101" s="79"/>
      <c r="Q101" s="79"/>
      <c r="T101" s="79"/>
      <c r="U101" s="79"/>
      <c r="X101" s="130"/>
      <c r="Z101" s="106"/>
    </row>
    <row r="102">
      <c r="C102" s="79"/>
      <c r="D102" s="79"/>
      <c r="J102" s="79"/>
      <c r="P102" s="79"/>
      <c r="Q102" s="79"/>
      <c r="T102" s="79"/>
      <c r="U102" s="79"/>
      <c r="X102" s="130"/>
      <c r="Z102" s="106"/>
    </row>
    <row r="103">
      <c r="C103" s="79"/>
      <c r="D103" s="79"/>
      <c r="J103" s="79"/>
      <c r="P103" s="79"/>
      <c r="Q103" s="79"/>
      <c r="T103" s="79"/>
      <c r="U103" s="79"/>
      <c r="X103" s="130"/>
      <c r="Z103" s="106"/>
    </row>
    <row r="104">
      <c r="C104" s="79"/>
      <c r="D104" s="79"/>
      <c r="J104" s="79"/>
      <c r="P104" s="79"/>
      <c r="Q104" s="79"/>
      <c r="T104" s="79"/>
      <c r="U104" s="79"/>
      <c r="X104" s="130"/>
      <c r="Z104" s="106"/>
    </row>
    <row r="105">
      <c r="C105" s="79"/>
      <c r="D105" s="79"/>
      <c r="J105" s="79"/>
      <c r="P105" s="79"/>
      <c r="Q105" s="79"/>
      <c r="T105" s="79"/>
      <c r="U105" s="79"/>
      <c r="X105" s="130"/>
      <c r="Z105" s="106"/>
    </row>
    <row r="106">
      <c r="C106" s="79"/>
      <c r="D106" s="79"/>
      <c r="J106" s="79"/>
      <c r="P106" s="79"/>
      <c r="Q106" s="79"/>
      <c r="T106" s="79"/>
      <c r="U106" s="79"/>
      <c r="X106" s="130"/>
      <c r="Z106" s="106"/>
    </row>
    <row r="107">
      <c r="C107" s="79"/>
      <c r="D107" s="79"/>
      <c r="J107" s="79"/>
      <c r="P107" s="79"/>
      <c r="Q107" s="79"/>
      <c r="T107" s="79"/>
      <c r="U107" s="79"/>
      <c r="X107" s="130"/>
      <c r="Z107" s="106"/>
    </row>
    <row r="108">
      <c r="C108" s="79"/>
      <c r="D108" s="79"/>
      <c r="J108" s="79"/>
      <c r="P108" s="79"/>
      <c r="Q108" s="79"/>
      <c r="T108" s="79"/>
      <c r="U108" s="79"/>
      <c r="X108" s="130"/>
      <c r="Z108" s="106"/>
    </row>
    <row r="109">
      <c r="C109" s="79"/>
      <c r="D109" s="79"/>
      <c r="J109" s="79"/>
      <c r="P109" s="79"/>
      <c r="Q109" s="79"/>
      <c r="T109" s="79"/>
      <c r="U109" s="79"/>
      <c r="X109" s="130"/>
      <c r="Z109" s="106"/>
    </row>
    <row r="110">
      <c r="C110" s="79"/>
      <c r="D110" s="79"/>
      <c r="J110" s="79"/>
      <c r="P110" s="79"/>
      <c r="Q110" s="79"/>
      <c r="T110" s="79"/>
      <c r="U110" s="79"/>
      <c r="X110" s="130"/>
      <c r="Z110" s="106"/>
    </row>
    <row r="111">
      <c r="C111" s="79"/>
      <c r="D111" s="79"/>
      <c r="J111" s="79"/>
      <c r="P111" s="79"/>
      <c r="Q111" s="79"/>
      <c r="T111" s="79"/>
      <c r="U111" s="79"/>
      <c r="X111" s="130"/>
      <c r="Z111" s="106"/>
    </row>
    <row r="112">
      <c r="C112" s="79"/>
      <c r="D112" s="79"/>
      <c r="J112" s="79"/>
      <c r="P112" s="79"/>
      <c r="Q112" s="79"/>
      <c r="T112" s="79"/>
      <c r="U112" s="79"/>
      <c r="X112" s="130"/>
      <c r="Z112" s="106"/>
    </row>
    <row r="113">
      <c r="C113" s="79"/>
      <c r="D113" s="79"/>
      <c r="J113" s="79"/>
      <c r="P113" s="79"/>
      <c r="Q113" s="79"/>
      <c r="T113" s="79"/>
      <c r="U113" s="79"/>
      <c r="X113" s="130"/>
      <c r="Z113" s="106"/>
    </row>
    <row r="114">
      <c r="C114" s="79"/>
      <c r="D114" s="79"/>
      <c r="J114" s="79"/>
      <c r="P114" s="79"/>
      <c r="Q114" s="79"/>
      <c r="T114" s="79"/>
      <c r="U114" s="79"/>
      <c r="X114" s="130"/>
      <c r="Z114" s="106"/>
    </row>
    <row r="115">
      <c r="C115" s="79"/>
      <c r="D115" s="79"/>
      <c r="J115" s="79"/>
      <c r="P115" s="79"/>
      <c r="Q115" s="79"/>
      <c r="T115" s="79"/>
      <c r="U115" s="79"/>
      <c r="X115" s="130"/>
      <c r="Z115" s="106"/>
    </row>
    <row r="116">
      <c r="C116" s="79"/>
      <c r="D116" s="79"/>
      <c r="J116" s="79"/>
      <c r="P116" s="79"/>
      <c r="Q116" s="79"/>
      <c r="T116" s="79"/>
      <c r="U116" s="79"/>
      <c r="X116" s="130"/>
      <c r="Z116" s="106"/>
    </row>
    <row r="117">
      <c r="C117" s="79"/>
      <c r="D117" s="79"/>
      <c r="J117" s="79"/>
      <c r="P117" s="79"/>
      <c r="Q117" s="79"/>
      <c r="T117" s="79"/>
      <c r="U117" s="79"/>
      <c r="X117" s="130"/>
      <c r="Z117" s="106"/>
    </row>
    <row r="118">
      <c r="C118" s="79"/>
      <c r="D118" s="79"/>
      <c r="J118" s="79"/>
      <c r="P118" s="79"/>
      <c r="Q118" s="79"/>
      <c r="T118" s="79"/>
      <c r="U118" s="79"/>
      <c r="X118" s="130"/>
      <c r="Z118" s="106"/>
    </row>
    <row r="119">
      <c r="C119" s="79"/>
      <c r="D119" s="79"/>
      <c r="J119" s="79"/>
      <c r="P119" s="79"/>
      <c r="Q119" s="79"/>
      <c r="T119" s="79"/>
      <c r="U119" s="79"/>
      <c r="X119" s="130"/>
      <c r="Z119" s="106"/>
    </row>
    <row r="120">
      <c r="C120" s="79"/>
      <c r="D120" s="79"/>
      <c r="J120" s="79"/>
      <c r="P120" s="79"/>
      <c r="Q120" s="79"/>
      <c r="T120" s="79"/>
      <c r="U120" s="79"/>
      <c r="X120" s="130"/>
      <c r="Z120" s="106"/>
    </row>
    <row r="121">
      <c r="C121" s="79"/>
      <c r="D121" s="79"/>
      <c r="J121" s="79"/>
      <c r="P121" s="79"/>
      <c r="Q121" s="79"/>
      <c r="T121" s="79"/>
      <c r="U121" s="79"/>
      <c r="X121" s="130"/>
      <c r="Z121" s="106"/>
    </row>
    <row r="122">
      <c r="C122" s="79"/>
      <c r="D122" s="79"/>
      <c r="J122" s="79"/>
      <c r="P122" s="79"/>
      <c r="Q122" s="79"/>
      <c r="T122" s="79"/>
      <c r="U122" s="79"/>
      <c r="X122" s="130"/>
      <c r="Z122" s="106"/>
    </row>
    <row r="123">
      <c r="C123" s="79"/>
      <c r="D123" s="79"/>
      <c r="J123" s="79"/>
      <c r="P123" s="79"/>
      <c r="Q123" s="79"/>
      <c r="T123" s="79"/>
      <c r="U123" s="79"/>
      <c r="X123" s="130"/>
      <c r="Z123" s="106"/>
    </row>
    <row r="124">
      <c r="C124" s="79"/>
      <c r="D124" s="79"/>
      <c r="J124" s="79"/>
      <c r="P124" s="79"/>
      <c r="Q124" s="79"/>
      <c r="T124" s="79"/>
      <c r="U124" s="79"/>
      <c r="X124" s="130"/>
      <c r="Z124" s="106"/>
    </row>
    <row r="125">
      <c r="C125" s="79"/>
      <c r="D125" s="79"/>
      <c r="J125" s="79"/>
      <c r="P125" s="79"/>
      <c r="Q125" s="79"/>
      <c r="T125" s="79"/>
      <c r="U125" s="79"/>
      <c r="X125" s="130"/>
      <c r="Z125" s="106"/>
    </row>
    <row r="126">
      <c r="C126" s="79"/>
      <c r="D126" s="79"/>
      <c r="J126" s="79"/>
      <c r="P126" s="79"/>
      <c r="Q126" s="79"/>
      <c r="T126" s="79"/>
      <c r="U126" s="79"/>
      <c r="X126" s="130"/>
      <c r="Z126" s="106"/>
    </row>
    <row r="127">
      <c r="C127" s="79"/>
      <c r="D127" s="79"/>
      <c r="J127" s="79"/>
      <c r="P127" s="79"/>
      <c r="Q127" s="79"/>
      <c r="T127" s="79"/>
      <c r="U127" s="79"/>
      <c r="X127" s="130"/>
      <c r="Z127" s="106"/>
    </row>
    <row r="128">
      <c r="C128" s="79"/>
      <c r="D128" s="79"/>
      <c r="J128" s="79"/>
      <c r="P128" s="79"/>
      <c r="Q128" s="79"/>
      <c r="T128" s="79"/>
      <c r="U128" s="79"/>
      <c r="X128" s="130"/>
      <c r="Z128" s="106"/>
    </row>
    <row r="129">
      <c r="C129" s="79"/>
      <c r="D129" s="79"/>
      <c r="J129" s="79"/>
      <c r="P129" s="79"/>
      <c r="Q129" s="79"/>
      <c r="T129" s="79"/>
      <c r="U129" s="79"/>
      <c r="X129" s="130"/>
      <c r="Z129" s="106"/>
    </row>
    <row r="130">
      <c r="C130" s="79"/>
      <c r="D130" s="79"/>
      <c r="J130" s="79"/>
      <c r="P130" s="79"/>
      <c r="Q130" s="79"/>
      <c r="T130" s="79"/>
      <c r="U130" s="79"/>
      <c r="X130" s="130"/>
      <c r="Z130" s="106"/>
    </row>
    <row r="131">
      <c r="C131" s="79"/>
      <c r="D131" s="79"/>
      <c r="J131" s="79"/>
      <c r="P131" s="79"/>
      <c r="Q131" s="79"/>
      <c r="T131" s="79"/>
      <c r="U131" s="79"/>
      <c r="X131" s="130"/>
      <c r="Z131" s="106"/>
    </row>
    <row r="132">
      <c r="C132" s="79"/>
      <c r="D132" s="79"/>
      <c r="J132" s="79"/>
      <c r="P132" s="79"/>
      <c r="Q132" s="79"/>
      <c r="T132" s="79"/>
      <c r="U132" s="79"/>
      <c r="X132" s="130"/>
      <c r="Z132" s="106"/>
    </row>
    <row r="133">
      <c r="C133" s="79"/>
      <c r="D133" s="79"/>
      <c r="J133" s="79"/>
      <c r="P133" s="79"/>
      <c r="Q133" s="79"/>
      <c r="T133" s="79"/>
      <c r="U133" s="79"/>
      <c r="X133" s="130"/>
      <c r="Z133" s="106"/>
    </row>
    <row r="134">
      <c r="C134" s="79"/>
      <c r="D134" s="79"/>
      <c r="J134" s="79"/>
      <c r="P134" s="79"/>
      <c r="Q134" s="79"/>
      <c r="T134" s="79"/>
      <c r="U134" s="79"/>
      <c r="X134" s="130"/>
      <c r="Z134" s="106"/>
    </row>
    <row r="135">
      <c r="C135" s="79"/>
      <c r="D135" s="79"/>
      <c r="J135" s="79"/>
      <c r="P135" s="79"/>
      <c r="Q135" s="79"/>
      <c r="T135" s="79"/>
      <c r="U135" s="79"/>
      <c r="X135" s="130"/>
      <c r="Z135" s="106"/>
    </row>
    <row r="136">
      <c r="C136" s="79"/>
      <c r="D136" s="79"/>
      <c r="J136" s="79"/>
      <c r="P136" s="79"/>
      <c r="Q136" s="79"/>
      <c r="T136" s="79"/>
      <c r="U136" s="79"/>
      <c r="X136" s="130"/>
      <c r="Z136" s="106"/>
    </row>
    <row r="137">
      <c r="C137" s="79"/>
      <c r="D137" s="79"/>
      <c r="J137" s="79"/>
      <c r="P137" s="79"/>
      <c r="Q137" s="79"/>
      <c r="T137" s="79"/>
      <c r="U137" s="79"/>
      <c r="X137" s="130"/>
      <c r="Z137" s="106"/>
    </row>
    <row r="138">
      <c r="C138" s="79"/>
      <c r="D138" s="79"/>
      <c r="J138" s="79"/>
      <c r="P138" s="79"/>
      <c r="Q138" s="79"/>
      <c r="T138" s="79"/>
      <c r="U138" s="79"/>
      <c r="X138" s="130"/>
      <c r="Z138" s="106"/>
    </row>
    <row r="139">
      <c r="C139" s="79"/>
      <c r="D139" s="79"/>
      <c r="J139" s="79"/>
      <c r="P139" s="79"/>
      <c r="Q139" s="79"/>
      <c r="T139" s="79"/>
      <c r="U139" s="79"/>
      <c r="X139" s="130"/>
      <c r="Z139" s="106"/>
    </row>
    <row r="140">
      <c r="C140" s="79"/>
      <c r="D140" s="79"/>
      <c r="J140" s="79"/>
      <c r="P140" s="79"/>
      <c r="Q140" s="79"/>
      <c r="T140" s="79"/>
      <c r="U140" s="79"/>
      <c r="X140" s="130"/>
      <c r="Z140" s="106"/>
    </row>
    <row r="141">
      <c r="C141" s="79"/>
      <c r="D141" s="79"/>
      <c r="J141" s="79"/>
      <c r="P141" s="79"/>
      <c r="Q141" s="79"/>
      <c r="T141" s="79"/>
      <c r="U141" s="79"/>
      <c r="X141" s="130"/>
      <c r="Z141" s="106"/>
    </row>
    <row r="142">
      <c r="C142" s="79"/>
      <c r="D142" s="79"/>
      <c r="J142" s="79"/>
      <c r="P142" s="79"/>
      <c r="Q142" s="79"/>
      <c r="T142" s="79"/>
      <c r="U142" s="79"/>
      <c r="X142" s="130"/>
      <c r="Z142" s="106"/>
    </row>
    <row r="143">
      <c r="C143" s="79"/>
      <c r="D143" s="79"/>
      <c r="J143" s="79"/>
      <c r="P143" s="79"/>
      <c r="Q143" s="79"/>
      <c r="T143" s="79"/>
      <c r="U143" s="79"/>
      <c r="X143" s="130"/>
      <c r="Z143" s="106"/>
    </row>
    <row r="144">
      <c r="C144" s="79"/>
      <c r="D144" s="79"/>
      <c r="J144" s="79"/>
      <c r="P144" s="79"/>
      <c r="Q144" s="79"/>
      <c r="T144" s="79"/>
      <c r="U144" s="79"/>
      <c r="X144" s="130"/>
      <c r="Z144" s="106"/>
    </row>
    <row r="145">
      <c r="C145" s="79"/>
      <c r="D145" s="79"/>
      <c r="J145" s="79"/>
      <c r="P145" s="79"/>
      <c r="Q145" s="79"/>
      <c r="T145" s="79"/>
      <c r="U145" s="79"/>
      <c r="X145" s="130"/>
      <c r="Z145" s="106"/>
    </row>
    <row r="146">
      <c r="C146" s="79"/>
      <c r="D146" s="79"/>
      <c r="J146" s="79"/>
      <c r="P146" s="79"/>
      <c r="Q146" s="79"/>
      <c r="T146" s="79"/>
      <c r="U146" s="79"/>
      <c r="X146" s="130"/>
      <c r="Z146" s="106"/>
    </row>
    <row r="147">
      <c r="C147" s="79"/>
      <c r="D147" s="79"/>
      <c r="J147" s="79"/>
      <c r="P147" s="79"/>
      <c r="Q147" s="79"/>
      <c r="T147" s="79"/>
      <c r="U147" s="79"/>
      <c r="X147" s="130"/>
      <c r="Z147" s="106"/>
    </row>
    <row r="148">
      <c r="C148" s="79"/>
      <c r="D148" s="79"/>
      <c r="J148" s="79"/>
      <c r="P148" s="79"/>
      <c r="Q148" s="79"/>
      <c r="T148" s="79"/>
      <c r="U148" s="79"/>
      <c r="X148" s="130"/>
      <c r="Z148" s="106"/>
    </row>
    <row r="149">
      <c r="C149" s="79"/>
      <c r="D149" s="79"/>
      <c r="J149" s="79"/>
      <c r="P149" s="79"/>
      <c r="Q149" s="79"/>
      <c r="T149" s="79"/>
      <c r="U149" s="79"/>
      <c r="X149" s="130"/>
      <c r="Z149" s="106"/>
    </row>
    <row r="150">
      <c r="C150" s="79"/>
      <c r="D150" s="79"/>
      <c r="J150" s="79"/>
      <c r="P150" s="79"/>
      <c r="Q150" s="79"/>
      <c r="T150" s="79"/>
      <c r="U150" s="79"/>
      <c r="X150" s="130"/>
      <c r="Z150" s="106"/>
    </row>
    <row r="151">
      <c r="C151" s="79"/>
      <c r="D151" s="79"/>
      <c r="J151" s="79"/>
      <c r="P151" s="79"/>
      <c r="Q151" s="79"/>
      <c r="T151" s="79"/>
      <c r="U151" s="79"/>
      <c r="X151" s="130"/>
      <c r="Z151" s="106"/>
    </row>
    <row r="152">
      <c r="C152" s="79"/>
      <c r="D152" s="79"/>
      <c r="J152" s="79"/>
      <c r="P152" s="79"/>
      <c r="Q152" s="79"/>
      <c r="T152" s="79"/>
      <c r="U152" s="79"/>
      <c r="X152" s="130"/>
      <c r="Z152" s="106"/>
    </row>
    <row r="153">
      <c r="C153" s="79"/>
      <c r="D153" s="79"/>
      <c r="J153" s="79"/>
      <c r="P153" s="79"/>
      <c r="Q153" s="79"/>
      <c r="T153" s="79"/>
      <c r="U153" s="79"/>
      <c r="X153" s="130"/>
      <c r="Z153" s="106"/>
    </row>
    <row r="154">
      <c r="C154" s="79"/>
      <c r="D154" s="79"/>
      <c r="J154" s="79"/>
      <c r="P154" s="79"/>
      <c r="Q154" s="79"/>
      <c r="T154" s="79"/>
      <c r="U154" s="79"/>
      <c r="X154" s="130"/>
      <c r="Z154" s="106"/>
    </row>
    <row r="155">
      <c r="C155" s="79"/>
      <c r="D155" s="79"/>
      <c r="J155" s="79"/>
      <c r="P155" s="79"/>
      <c r="Q155" s="79"/>
      <c r="T155" s="79"/>
      <c r="U155" s="79"/>
      <c r="X155" s="130"/>
      <c r="Z155" s="106"/>
    </row>
    <row r="156">
      <c r="C156" s="79"/>
      <c r="D156" s="79"/>
      <c r="J156" s="79"/>
      <c r="P156" s="79"/>
      <c r="Q156" s="79"/>
      <c r="T156" s="79"/>
      <c r="U156" s="79"/>
      <c r="X156" s="130"/>
      <c r="Z156" s="106"/>
    </row>
    <row r="157">
      <c r="C157" s="79"/>
      <c r="D157" s="79"/>
      <c r="J157" s="79"/>
      <c r="P157" s="79"/>
      <c r="Q157" s="79"/>
      <c r="T157" s="79"/>
      <c r="U157" s="79"/>
      <c r="X157" s="130"/>
      <c r="Z157" s="106"/>
    </row>
    <row r="158">
      <c r="C158" s="79"/>
      <c r="D158" s="79"/>
      <c r="J158" s="79"/>
      <c r="P158" s="79"/>
      <c r="Q158" s="79"/>
      <c r="T158" s="79"/>
      <c r="U158" s="79"/>
      <c r="X158" s="130"/>
      <c r="Z158" s="106"/>
    </row>
    <row r="159">
      <c r="C159" s="79"/>
      <c r="D159" s="79"/>
      <c r="J159" s="79"/>
      <c r="P159" s="79"/>
      <c r="Q159" s="79"/>
      <c r="T159" s="79"/>
      <c r="U159" s="79"/>
      <c r="X159" s="130"/>
      <c r="Z159" s="106"/>
    </row>
    <row r="160">
      <c r="C160" s="79"/>
      <c r="D160" s="79"/>
      <c r="J160" s="79"/>
      <c r="P160" s="79"/>
      <c r="Q160" s="79"/>
      <c r="T160" s="79"/>
      <c r="U160" s="79"/>
      <c r="X160" s="130"/>
      <c r="Z160" s="106"/>
    </row>
    <row r="161">
      <c r="C161" s="79"/>
      <c r="D161" s="79"/>
      <c r="J161" s="79"/>
      <c r="P161" s="79"/>
      <c r="Q161" s="79"/>
      <c r="T161" s="79"/>
      <c r="U161" s="79"/>
      <c r="X161" s="130"/>
      <c r="Z161" s="106"/>
    </row>
    <row r="162">
      <c r="C162" s="79"/>
      <c r="D162" s="79"/>
      <c r="J162" s="79"/>
      <c r="P162" s="79"/>
      <c r="Q162" s="79"/>
      <c r="T162" s="79"/>
      <c r="U162" s="79"/>
      <c r="X162" s="130"/>
      <c r="Z162" s="106"/>
    </row>
    <row r="163">
      <c r="C163" s="79"/>
      <c r="D163" s="79"/>
      <c r="J163" s="79"/>
      <c r="P163" s="79"/>
      <c r="Q163" s="79"/>
      <c r="T163" s="79"/>
      <c r="U163" s="79"/>
      <c r="X163" s="130"/>
      <c r="Z163" s="106"/>
    </row>
    <row r="164">
      <c r="C164" s="79"/>
      <c r="D164" s="79"/>
      <c r="J164" s="79"/>
      <c r="P164" s="79"/>
      <c r="Q164" s="79"/>
      <c r="T164" s="79"/>
      <c r="U164" s="79"/>
      <c r="X164" s="130"/>
      <c r="Z164" s="106"/>
    </row>
    <row r="165">
      <c r="C165" s="79"/>
      <c r="D165" s="79"/>
      <c r="J165" s="79"/>
      <c r="P165" s="79"/>
      <c r="Q165" s="79"/>
      <c r="T165" s="79"/>
      <c r="U165" s="79"/>
      <c r="X165" s="130"/>
      <c r="Z165" s="106"/>
    </row>
    <row r="166">
      <c r="C166" s="79"/>
      <c r="D166" s="79"/>
      <c r="J166" s="79"/>
      <c r="P166" s="79"/>
      <c r="Q166" s="79"/>
      <c r="T166" s="79"/>
      <c r="U166" s="79"/>
      <c r="X166" s="130"/>
      <c r="Z166" s="106"/>
    </row>
    <row r="167">
      <c r="C167" s="79"/>
      <c r="D167" s="79"/>
      <c r="J167" s="79"/>
      <c r="P167" s="79"/>
      <c r="Q167" s="79"/>
      <c r="T167" s="79"/>
      <c r="U167" s="79"/>
      <c r="X167" s="130"/>
      <c r="Z167" s="106"/>
    </row>
    <row r="168">
      <c r="C168" s="79"/>
      <c r="D168" s="79"/>
      <c r="J168" s="79"/>
      <c r="P168" s="79"/>
      <c r="Q168" s="79"/>
      <c r="T168" s="79"/>
      <c r="U168" s="79"/>
      <c r="X168" s="130"/>
      <c r="Z168" s="106"/>
    </row>
    <row r="169">
      <c r="C169" s="79"/>
      <c r="D169" s="79"/>
      <c r="J169" s="79"/>
      <c r="P169" s="79"/>
      <c r="Q169" s="79"/>
      <c r="T169" s="79"/>
      <c r="U169" s="79"/>
      <c r="X169" s="130"/>
      <c r="Z169" s="106"/>
    </row>
    <row r="170">
      <c r="C170" s="79"/>
      <c r="D170" s="79"/>
      <c r="J170" s="79"/>
      <c r="P170" s="79"/>
      <c r="Q170" s="79"/>
      <c r="T170" s="79"/>
      <c r="U170" s="79"/>
      <c r="X170" s="130"/>
      <c r="Z170" s="106"/>
    </row>
    <row r="171">
      <c r="C171" s="79"/>
      <c r="D171" s="79"/>
      <c r="J171" s="79"/>
      <c r="P171" s="79"/>
      <c r="Q171" s="79"/>
      <c r="T171" s="79"/>
      <c r="U171" s="79"/>
      <c r="X171" s="130"/>
      <c r="Z171" s="106"/>
    </row>
    <row r="172">
      <c r="C172" s="79"/>
      <c r="D172" s="79"/>
      <c r="J172" s="79"/>
      <c r="P172" s="79"/>
      <c r="Q172" s="79"/>
      <c r="T172" s="79"/>
      <c r="U172" s="79"/>
      <c r="X172" s="130"/>
      <c r="Z172" s="106"/>
    </row>
    <row r="173">
      <c r="C173" s="79"/>
      <c r="D173" s="79"/>
      <c r="J173" s="79"/>
      <c r="P173" s="79"/>
      <c r="Q173" s="79"/>
      <c r="T173" s="79"/>
      <c r="U173" s="79"/>
      <c r="X173" s="130"/>
      <c r="Z173" s="106"/>
    </row>
    <row r="174">
      <c r="C174" s="79"/>
      <c r="D174" s="79"/>
      <c r="J174" s="79"/>
      <c r="P174" s="79"/>
      <c r="Q174" s="79"/>
      <c r="T174" s="79"/>
      <c r="U174" s="79"/>
      <c r="X174" s="130"/>
      <c r="Z174" s="106"/>
    </row>
    <row r="175">
      <c r="C175" s="79"/>
      <c r="D175" s="79"/>
      <c r="J175" s="79"/>
      <c r="P175" s="79"/>
      <c r="Q175" s="79"/>
      <c r="T175" s="79"/>
      <c r="U175" s="79"/>
      <c r="X175" s="130"/>
      <c r="Z175" s="106"/>
    </row>
    <row r="176">
      <c r="C176" s="79"/>
      <c r="D176" s="79"/>
      <c r="J176" s="79"/>
      <c r="P176" s="79"/>
      <c r="Q176" s="79"/>
      <c r="T176" s="79"/>
      <c r="U176" s="79"/>
      <c r="X176" s="130"/>
      <c r="Z176" s="106"/>
    </row>
    <row r="177">
      <c r="C177" s="79"/>
      <c r="D177" s="79"/>
      <c r="J177" s="79"/>
      <c r="P177" s="79"/>
      <c r="Q177" s="79"/>
      <c r="T177" s="79"/>
      <c r="U177" s="79"/>
      <c r="X177" s="130"/>
      <c r="Z177" s="106"/>
    </row>
    <row r="178">
      <c r="C178" s="79"/>
      <c r="D178" s="79"/>
      <c r="J178" s="79"/>
      <c r="P178" s="79"/>
      <c r="Q178" s="79"/>
      <c r="T178" s="79"/>
      <c r="U178" s="79"/>
      <c r="X178" s="130"/>
      <c r="Z178" s="106"/>
    </row>
    <row r="179">
      <c r="C179" s="79"/>
      <c r="D179" s="79"/>
      <c r="J179" s="79"/>
      <c r="P179" s="79"/>
      <c r="Q179" s="79"/>
      <c r="T179" s="79"/>
      <c r="U179" s="79"/>
      <c r="X179" s="130"/>
      <c r="Z179" s="106"/>
    </row>
    <row r="180">
      <c r="C180" s="79"/>
      <c r="D180" s="79"/>
      <c r="J180" s="79"/>
      <c r="P180" s="79"/>
      <c r="Q180" s="79"/>
      <c r="T180" s="79"/>
      <c r="U180" s="79"/>
      <c r="X180" s="130"/>
      <c r="Z180" s="106"/>
    </row>
    <row r="181">
      <c r="C181" s="79"/>
      <c r="D181" s="79"/>
      <c r="J181" s="79"/>
      <c r="P181" s="79"/>
      <c r="Q181" s="79"/>
      <c r="T181" s="79"/>
      <c r="U181" s="79"/>
      <c r="X181" s="130"/>
      <c r="Z181" s="106"/>
    </row>
    <row r="182">
      <c r="C182" s="79"/>
      <c r="D182" s="79"/>
      <c r="J182" s="79"/>
      <c r="P182" s="79"/>
      <c r="Q182" s="79"/>
      <c r="T182" s="79"/>
      <c r="U182" s="79"/>
      <c r="X182" s="130"/>
      <c r="Z182" s="106"/>
    </row>
    <row r="183">
      <c r="C183" s="79"/>
      <c r="D183" s="79"/>
      <c r="J183" s="79"/>
      <c r="P183" s="79"/>
      <c r="Q183" s="79"/>
      <c r="T183" s="79"/>
      <c r="U183" s="79"/>
      <c r="X183" s="130"/>
      <c r="Z183" s="106"/>
    </row>
    <row r="184">
      <c r="C184" s="79"/>
      <c r="D184" s="79"/>
      <c r="J184" s="79"/>
      <c r="P184" s="79"/>
      <c r="Q184" s="79"/>
      <c r="T184" s="79"/>
      <c r="U184" s="79"/>
      <c r="X184" s="130"/>
      <c r="Z184" s="106"/>
    </row>
    <row r="185">
      <c r="C185" s="79"/>
      <c r="D185" s="79"/>
      <c r="J185" s="79"/>
      <c r="P185" s="79"/>
      <c r="Q185" s="79"/>
      <c r="T185" s="79"/>
      <c r="U185" s="79"/>
      <c r="X185" s="130"/>
      <c r="Z185" s="106"/>
    </row>
    <row r="186">
      <c r="C186" s="79"/>
      <c r="D186" s="79"/>
      <c r="J186" s="79"/>
      <c r="P186" s="79"/>
      <c r="Q186" s="79"/>
      <c r="T186" s="79"/>
      <c r="U186" s="79"/>
      <c r="X186" s="130"/>
      <c r="Z186" s="106"/>
    </row>
    <row r="187">
      <c r="C187" s="79"/>
      <c r="D187" s="79"/>
      <c r="J187" s="79"/>
      <c r="P187" s="79"/>
      <c r="Q187" s="79"/>
      <c r="T187" s="79"/>
      <c r="U187" s="79"/>
      <c r="X187" s="130"/>
      <c r="Z187" s="106"/>
    </row>
    <row r="188">
      <c r="C188" s="79"/>
      <c r="D188" s="79"/>
      <c r="J188" s="79"/>
      <c r="P188" s="79"/>
      <c r="Q188" s="79"/>
      <c r="T188" s="79"/>
      <c r="U188" s="79"/>
      <c r="X188" s="130"/>
      <c r="Z188" s="106"/>
    </row>
    <row r="189">
      <c r="C189" s="79"/>
      <c r="D189" s="79"/>
      <c r="J189" s="79"/>
      <c r="P189" s="79"/>
      <c r="Q189" s="79"/>
      <c r="T189" s="79"/>
      <c r="U189" s="79"/>
      <c r="X189" s="130"/>
      <c r="Z189" s="106"/>
    </row>
    <row r="190">
      <c r="C190" s="79"/>
      <c r="D190" s="79"/>
      <c r="J190" s="79"/>
      <c r="P190" s="79"/>
      <c r="Q190" s="79"/>
      <c r="T190" s="79"/>
      <c r="U190" s="79"/>
      <c r="X190" s="130"/>
      <c r="Z190" s="106"/>
    </row>
    <row r="191">
      <c r="C191" s="79"/>
      <c r="D191" s="79"/>
      <c r="J191" s="79"/>
      <c r="P191" s="79"/>
      <c r="Q191" s="79"/>
      <c r="T191" s="79"/>
      <c r="U191" s="79"/>
      <c r="X191" s="130"/>
      <c r="Z191" s="106"/>
    </row>
    <row r="192">
      <c r="C192" s="79"/>
      <c r="D192" s="79"/>
      <c r="J192" s="79"/>
      <c r="P192" s="79"/>
      <c r="Q192" s="79"/>
      <c r="T192" s="79"/>
      <c r="U192" s="79"/>
      <c r="X192" s="130"/>
      <c r="Z192" s="106"/>
    </row>
    <row r="193">
      <c r="C193" s="79"/>
      <c r="D193" s="79"/>
      <c r="J193" s="79"/>
      <c r="P193" s="79"/>
      <c r="Q193" s="79"/>
      <c r="T193" s="79"/>
      <c r="U193" s="79"/>
      <c r="X193" s="130"/>
      <c r="Z193" s="106"/>
    </row>
    <row r="194">
      <c r="C194" s="79"/>
      <c r="D194" s="79"/>
      <c r="J194" s="79"/>
      <c r="P194" s="79"/>
      <c r="Q194" s="79"/>
      <c r="T194" s="79"/>
      <c r="U194" s="79"/>
      <c r="X194" s="130"/>
      <c r="Z194" s="106"/>
    </row>
    <row r="195">
      <c r="C195" s="79"/>
      <c r="D195" s="79"/>
      <c r="J195" s="79"/>
      <c r="P195" s="79"/>
      <c r="Q195" s="79"/>
      <c r="T195" s="79"/>
      <c r="U195" s="79"/>
      <c r="X195" s="130"/>
      <c r="Z195" s="106"/>
    </row>
    <row r="196">
      <c r="C196" s="79"/>
      <c r="D196" s="79"/>
      <c r="J196" s="79"/>
      <c r="P196" s="79"/>
      <c r="Q196" s="79"/>
      <c r="T196" s="79"/>
      <c r="U196" s="79"/>
      <c r="X196" s="130"/>
      <c r="Z196" s="106"/>
    </row>
    <row r="197">
      <c r="C197" s="79"/>
      <c r="D197" s="79"/>
      <c r="J197" s="79"/>
      <c r="P197" s="79"/>
      <c r="Q197" s="79"/>
      <c r="T197" s="79"/>
      <c r="U197" s="79"/>
      <c r="X197" s="130"/>
      <c r="Z197" s="106"/>
    </row>
    <row r="198">
      <c r="C198" s="79"/>
      <c r="D198" s="79"/>
      <c r="J198" s="79"/>
      <c r="P198" s="79"/>
      <c r="Q198" s="79"/>
      <c r="T198" s="79"/>
      <c r="U198" s="79"/>
      <c r="X198" s="130"/>
      <c r="Z198" s="106"/>
    </row>
    <row r="199">
      <c r="C199" s="79"/>
      <c r="D199" s="79"/>
      <c r="J199" s="79"/>
      <c r="P199" s="79"/>
      <c r="Q199" s="79"/>
      <c r="T199" s="79"/>
      <c r="U199" s="79"/>
      <c r="X199" s="130"/>
      <c r="Z199" s="106"/>
    </row>
    <row r="200">
      <c r="C200" s="79"/>
      <c r="D200" s="79"/>
      <c r="J200" s="79"/>
      <c r="P200" s="79"/>
      <c r="Q200" s="79"/>
      <c r="T200" s="79"/>
      <c r="U200" s="79"/>
      <c r="X200" s="130"/>
      <c r="Z200" s="106"/>
    </row>
    <row r="201">
      <c r="C201" s="79"/>
      <c r="D201" s="79"/>
      <c r="J201" s="79"/>
      <c r="P201" s="79"/>
      <c r="Q201" s="79"/>
      <c r="T201" s="79"/>
      <c r="U201" s="79"/>
      <c r="X201" s="130"/>
      <c r="Z201" s="106"/>
    </row>
    <row r="202">
      <c r="C202" s="79"/>
      <c r="D202" s="79"/>
      <c r="J202" s="79"/>
      <c r="P202" s="79"/>
      <c r="Q202" s="79"/>
      <c r="T202" s="79"/>
      <c r="U202" s="79"/>
      <c r="X202" s="130"/>
      <c r="Z202" s="106"/>
    </row>
    <row r="203">
      <c r="C203" s="79"/>
      <c r="D203" s="79"/>
      <c r="J203" s="79"/>
      <c r="P203" s="79"/>
      <c r="Q203" s="79"/>
      <c r="T203" s="79"/>
      <c r="U203" s="79"/>
      <c r="X203" s="130"/>
      <c r="Z203" s="106"/>
    </row>
    <row r="204">
      <c r="C204" s="79"/>
      <c r="D204" s="79"/>
      <c r="J204" s="79"/>
      <c r="P204" s="79"/>
      <c r="Q204" s="79"/>
      <c r="T204" s="79"/>
      <c r="U204" s="79"/>
      <c r="X204" s="130"/>
      <c r="Z204" s="106"/>
    </row>
    <row r="205">
      <c r="C205" s="79"/>
      <c r="D205" s="79"/>
      <c r="J205" s="79"/>
      <c r="P205" s="79"/>
      <c r="Q205" s="79"/>
      <c r="T205" s="79"/>
      <c r="U205" s="79"/>
      <c r="X205" s="130"/>
      <c r="Z205" s="106"/>
    </row>
    <row r="206">
      <c r="C206" s="79"/>
      <c r="D206" s="79"/>
      <c r="J206" s="79"/>
      <c r="P206" s="79"/>
      <c r="Q206" s="79"/>
      <c r="T206" s="79"/>
      <c r="U206" s="79"/>
      <c r="X206" s="130"/>
      <c r="Z206" s="106"/>
    </row>
    <row r="207">
      <c r="C207" s="79"/>
      <c r="D207" s="79"/>
      <c r="J207" s="79"/>
      <c r="P207" s="79"/>
      <c r="Q207" s="79"/>
      <c r="T207" s="79"/>
      <c r="U207" s="79"/>
      <c r="X207" s="130"/>
      <c r="Z207" s="106"/>
    </row>
    <row r="208">
      <c r="C208" s="79"/>
      <c r="D208" s="79"/>
      <c r="J208" s="79"/>
      <c r="P208" s="79"/>
      <c r="Q208" s="79"/>
      <c r="T208" s="79"/>
      <c r="U208" s="79"/>
      <c r="X208" s="130"/>
      <c r="Z208" s="106"/>
    </row>
    <row r="209">
      <c r="C209" s="79"/>
      <c r="D209" s="79"/>
      <c r="J209" s="79"/>
      <c r="P209" s="79"/>
      <c r="Q209" s="79"/>
      <c r="T209" s="79"/>
      <c r="U209" s="79"/>
      <c r="X209" s="130"/>
      <c r="Z209" s="106"/>
    </row>
    <row r="210">
      <c r="C210" s="79"/>
      <c r="D210" s="79"/>
      <c r="J210" s="79"/>
      <c r="P210" s="79"/>
      <c r="Q210" s="79"/>
      <c r="T210" s="79"/>
      <c r="U210" s="79"/>
      <c r="X210" s="130"/>
      <c r="Z210" s="106"/>
    </row>
    <row r="211">
      <c r="C211" s="79"/>
      <c r="D211" s="79"/>
      <c r="J211" s="79"/>
      <c r="P211" s="79"/>
      <c r="Q211" s="79"/>
      <c r="T211" s="79"/>
      <c r="U211" s="79"/>
      <c r="X211" s="130"/>
      <c r="Z211" s="106"/>
    </row>
    <row r="212">
      <c r="C212" s="79"/>
      <c r="D212" s="79"/>
      <c r="J212" s="79"/>
      <c r="P212" s="79"/>
      <c r="Q212" s="79"/>
      <c r="T212" s="79"/>
      <c r="U212" s="79"/>
      <c r="X212" s="130"/>
      <c r="Z212" s="106"/>
    </row>
    <row r="213">
      <c r="C213" s="79"/>
      <c r="D213" s="79"/>
      <c r="J213" s="79"/>
      <c r="P213" s="79"/>
      <c r="Q213" s="79"/>
      <c r="T213" s="79"/>
      <c r="U213" s="79"/>
      <c r="X213" s="130"/>
      <c r="Z213" s="106"/>
    </row>
    <row r="214">
      <c r="C214" s="79"/>
      <c r="D214" s="79"/>
      <c r="J214" s="79"/>
      <c r="P214" s="79"/>
      <c r="Q214" s="79"/>
      <c r="T214" s="79"/>
      <c r="U214" s="79"/>
      <c r="X214" s="130"/>
      <c r="Z214" s="106"/>
    </row>
    <row r="215">
      <c r="C215" s="79"/>
      <c r="D215" s="79"/>
      <c r="J215" s="79"/>
      <c r="P215" s="79"/>
      <c r="Q215" s="79"/>
      <c r="T215" s="79"/>
      <c r="U215" s="79"/>
      <c r="X215" s="130"/>
      <c r="Z215" s="106"/>
    </row>
    <row r="216">
      <c r="C216" s="79"/>
      <c r="D216" s="79"/>
      <c r="J216" s="79"/>
      <c r="P216" s="79"/>
      <c r="Q216" s="79"/>
      <c r="T216" s="79"/>
      <c r="U216" s="79"/>
      <c r="X216" s="130"/>
      <c r="Z216" s="106"/>
    </row>
    <row r="217">
      <c r="C217" s="79"/>
      <c r="D217" s="79"/>
      <c r="J217" s="79"/>
      <c r="P217" s="79"/>
      <c r="Q217" s="79"/>
      <c r="T217" s="79"/>
      <c r="U217" s="79"/>
      <c r="X217" s="130"/>
      <c r="Z217" s="106"/>
    </row>
    <row r="218">
      <c r="C218" s="79"/>
      <c r="D218" s="79"/>
      <c r="J218" s="79"/>
      <c r="P218" s="79"/>
      <c r="Q218" s="79"/>
      <c r="T218" s="79"/>
      <c r="U218" s="79"/>
      <c r="X218" s="130"/>
      <c r="Z218" s="106"/>
    </row>
    <row r="219">
      <c r="C219" s="79"/>
      <c r="D219" s="79"/>
      <c r="J219" s="79"/>
      <c r="P219" s="79"/>
      <c r="Q219" s="79"/>
      <c r="T219" s="79"/>
      <c r="U219" s="79"/>
      <c r="X219" s="130"/>
      <c r="Z219" s="106"/>
    </row>
    <row r="220">
      <c r="C220" s="79"/>
      <c r="D220" s="79"/>
      <c r="J220" s="79"/>
      <c r="P220" s="79"/>
      <c r="Q220" s="79"/>
      <c r="T220" s="79"/>
      <c r="U220" s="79"/>
      <c r="X220" s="130"/>
      <c r="Z220" s="106"/>
    </row>
    <row r="221">
      <c r="C221" s="79"/>
      <c r="D221" s="79"/>
      <c r="J221" s="79"/>
      <c r="P221" s="79"/>
      <c r="Q221" s="79"/>
      <c r="T221" s="79"/>
      <c r="U221" s="79"/>
      <c r="X221" s="130"/>
      <c r="Z221" s="106"/>
    </row>
    <row r="222">
      <c r="C222" s="79"/>
      <c r="D222" s="79"/>
      <c r="J222" s="79"/>
      <c r="P222" s="79"/>
      <c r="Q222" s="79"/>
      <c r="T222" s="79"/>
      <c r="U222" s="79"/>
      <c r="X222" s="130"/>
      <c r="Z222" s="106"/>
    </row>
    <row r="223">
      <c r="C223" s="79"/>
      <c r="D223" s="79"/>
      <c r="J223" s="79"/>
      <c r="P223" s="79"/>
      <c r="Q223" s="79"/>
      <c r="T223" s="79"/>
      <c r="U223" s="79"/>
      <c r="X223" s="130"/>
      <c r="Z223" s="106"/>
    </row>
    <row r="224">
      <c r="C224" s="79"/>
      <c r="D224" s="79"/>
      <c r="J224" s="79"/>
      <c r="P224" s="79"/>
      <c r="Q224" s="79"/>
      <c r="T224" s="79"/>
      <c r="U224" s="79"/>
      <c r="X224" s="130"/>
      <c r="Z224" s="106"/>
    </row>
    <row r="225">
      <c r="C225" s="79"/>
      <c r="D225" s="79"/>
      <c r="J225" s="79"/>
      <c r="P225" s="79"/>
      <c r="Q225" s="79"/>
      <c r="T225" s="79"/>
      <c r="U225" s="79"/>
      <c r="X225" s="130"/>
      <c r="Z225" s="106"/>
    </row>
    <row r="226">
      <c r="C226" s="79"/>
      <c r="D226" s="79"/>
      <c r="J226" s="79"/>
      <c r="P226" s="79"/>
      <c r="Q226" s="79"/>
      <c r="T226" s="79"/>
      <c r="U226" s="79"/>
      <c r="X226" s="130"/>
      <c r="Z226" s="106"/>
    </row>
    <row r="227">
      <c r="C227" s="79"/>
      <c r="D227" s="79"/>
      <c r="J227" s="79"/>
      <c r="P227" s="79"/>
      <c r="Q227" s="79"/>
      <c r="T227" s="79"/>
      <c r="U227" s="79"/>
      <c r="X227" s="130"/>
      <c r="Z227" s="106"/>
    </row>
    <row r="228">
      <c r="C228" s="79"/>
      <c r="D228" s="79"/>
      <c r="J228" s="79"/>
      <c r="P228" s="79"/>
      <c r="Q228" s="79"/>
      <c r="T228" s="79"/>
      <c r="U228" s="79"/>
      <c r="X228" s="130"/>
      <c r="Z228" s="106"/>
    </row>
    <row r="229">
      <c r="C229" s="79"/>
      <c r="D229" s="79"/>
      <c r="J229" s="79"/>
      <c r="P229" s="79"/>
      <c r="Q229" s="79"/>
      <c r="T229" s="79"/>
      <c r="U229" s="79"/>
      <c r="X229" s="130"/>
      <c r="Z229" s="106"/>
    </row>
    <row r="230">
      <c r="C230" s="79"/>
      <c r="D230" s="79"/>
      <c r="J230" s="79"/>
      <c r="P230" s="79"/>
      <c r="Q230" s="79"/>
      <c r="T230" s="79"/>
      <c r="U230" s="79"/>
      <c r="X230" s="130"/>
      <c r="Z230" s="106"/>
    </row>
    <row r="231">
      <c r="C231" s="79"/>
      <c r="D231" s="79"/>
      <c r="J231" s="79"/>
      <c r="P231" s="79"/>
      <c r="Q231" s="79"/>
      <c r="T231" s="79"/>
      <c r="U231" s="79"/>
      <c r="X231" s="130"/>
      <c r="Z231" s="106"/>
    </row>
    <row r="232">
      <c r="C232" s="79"/>
      <c r="D232" s="79"/>
      <c r="J232" s="79"/>
      <c r="P232" s="79"/>
      <c r="Q232" s="79"/>
      <c r="T232" s="79"/>
      <c r="U232" s="79"/>
      <c r="X232" s="130"/>
      <c r="Z232" s="106"/>
    </row>
    <row r="233">
      <c r="C233" s="79"/>
      <c r="D233" s="79"/>
      <c r="J233" s="79"/>
      <c r="P233" s="79"/>
      <c r="Q233" s="79"/>
      <c r="T233" s="79"/>
      <c r="U233" s="79"/>
      <c r="X233" s="130"/>
      <c r="Z233" s="106"/>
    </row>
    <row r="234">
      <c r="C234" s="79"/>
      <c r="D234" s="79"/>
      <c r="J234" s="79"/>
      <c r="P234" s="79"/>
      <c r="Q234" s="79"/>
      <c r="T234" s="79"/>
      <c r="U234" s="79"/>
      <c r="X234" s="130"/>
      <c r="Z234" s="106"/>
    </row>
    <row r="235">
      <c r="C235" s="79"/>
      <c r="D235" s="79"/>
      <c r="J235" s="79"/>
      <c r="P235" s="79"/>
      <c r="Q235" s="79"/>
      <c r="T235" s="79"/>
      <c r="U235" s="79"/>
      <c r="X235" s="130"/>
      <c r="Z235" s="106"/>
    </row>
    <row r="236">
      <c r="C236" s="79"/>
      <c r="D236" s="79"/>
      <c r="J236" s="79"/>
      <c r="P236" s="79"/>
      <c r="Q236" s="79"/>
      <c r="T236" s="79"/>
      <c r="U236" s="79"/>
      <c r="X236" s="130"/>
      <c r="Z236" s="106"/>
    </row>
    <row r="237">
      <c r="C237" s="79"/>
      <c r="D237" s="79"/>
      <c r="J237" s="79"/>
      <c r="P237" s="79"/>
      <c r="Q237" s="79"/>
      <c r="T237" s="79"/>
      <c r="U237" s="79"/>
      <c r="X237" s="130"/>
      <c r="Z237" s="106"/>
    </row>
    <row r="238">
      <c r="C238" s="79"/>
      <c r="D238" s="79"/>
      <c r="J238" s="79"/>
      <c r="P238" s="79"/>
      <c r="Q238" s="79"/>
      <c r="T238" s="79"/>
      <c r="U238" s="79"/>
      <c r="X238" s="130"/>
      <c r="Z238" s="106"/>
    </row>
    <row r="239">
      <c r="C239" s="79"/>
      <c r="D239" s="79"/>
      <c r="J239" s="79"/>
      <c r="P239" s="79"/>
      <c r="Q239" s="79"/>
      <c r="T239" s="79"/>
      <c r="U239" s="79"/>
      <c r="X239" s="130"/>
      <c r="Z239" s="106"/>
    </row>
    <row r="240">
      <c r="C240" s="79"/>
      <c r="D240" s="79"/>
      <c r="J240" s="79"/>
      <c r="P240" s="79"/>
      <c r="Q240" s="79"/>
      <c r="T240" s="79"/>
      <c r="U240" s="79"/>
      <c r="X240" s="130"/>
      <c r="Z240" s="106"/>
    </row>
    <row r="241">
      <c r="C241" s="79"/>
      <c r="D241" s="79"/>
      <c r="J241" s="79"/>
      <c r="P241" s="79"/>
      <c r="Q241" s="79"/>
      <c r="T241" s="79"/>
      <c r="U241" s="79"/>
      <c r="X241" s="130"/>
      <c r="Z241" s="106"/>
    </row>
    <row r="242">
      <c r="C242" s="79"/>
      <c r="D242" s="79"/>
      <c r="J242" s="79"/>
      <c r="P242" s="79"/>
      <c r="Q242" s="79"/>
      <c r="T242" s="79"/>
      <c r="U242" s="79"/>
      <c r="X242" s="130"/>
      <c r="Z242" s="106"/>
    </row>
    <row r="243">
      <c r="C243" s="79"/>
      <c r="D243" s="79"/>
      <c r="J243" s="79"/>
      <c r="P243" s="79"/>
      <c r="Q243" s="79"/>
      <c r="T243" s="79"/>
      <c r="U243" s="79"/>
      <c r="X243" s="130"/>
      <c r="Z243" s="106"/>
    </row>
    <row r="244">
      <c r="C244" s="79"/>
      <c r="D244" s="79"/>
      <c r="J244" s="79"/>
      <c r="P244" s="79"/>
      <c r="Q244" s="79"/>
      <c r="T244" s="79"/>
      <c r="U244" s="79"/>
      <c r="X244" s="130"/>
      <c r="Z244" s="106"/>
    </row>
    <row r="245">
      <c r="C245" s="79"/>
      <c r="D245" s="79"/>
      <c r="J245" s="79"/>
      <c r="P245" s="79"/>
      <c r="Q245" s="79"/>
      <c r="T245" s="79"/>
      <c r="U245" s="79"/>
      <c r="X245" s="130"/>
      <c r="Z245" s="106"/>
    </row>
    <row r="246">
      <c r="C246" s="79"/>
      <c r="D246" s="79"/>
      <c r="J246" s="79"/>
      <c r="P246" s="79"/>
      <c r="Q246" s="79"/>
      <c r="T246" s="79"/>
      <c r="U246" s="79"/>
      <c r="X246" s="130"/>
      <c r="Z246" s="106"/>
    </row>
    <row r="247">
      <c r="C247" s="79"/>
      <c r="D247" s="79"/>
      <c r="J247" s="79"/>
      <c r="P247" s="79"/>
      <c r="Q247" s="79"/>
      <c r="T247" s="79"/>
      <c r="U247" s="79"/>
      <c r="X247" s="130"/>
      <c r="Z247" s="106"/>
    </row>
    <row r="248">
      <c r="C248" s="79"/>
      <c r="D248" s="79"/>
      <c r="J248" s="79"/>
      <c r="P248" s="79"/>
      <c r="Q248" s="79"/>
      <c r="T248" s="79"/>
      <c r="U248" s="79"/>
      <c r="X248" s="130"/>
      <c r="Z248" s="106"/>
    </row>
    <row r="249">
      <c r="C249" s="79"/>
      <c r="D249" s="79"/>
      <c r="J249" s="79"/>
      <c r="P249" s="79"/>
      <c r="Q249" s="79"/>
      <c r="T249" s="79"/>
      <c r="U249" s="79"/>
      <c r="X249" s="130"/>
      <c r="Z249" s="106"/>
    </row>
    <row r="250">
      <c r="C250" s="79"/>
      <c r="D250" s="79"/>
      <c r="J250" s="79"/>
      <c r="P250" s="79"/>
      <c r="Q250" s="79"/>
      <c r="T250" s="79"/>
      <c r="U250" s="79"/>
      <c r="X250" s="130"/>
      <c r="Z250" s="106"/>
    </row>
    <row r="251">
      <c r="C251" s="79"/>
      <c r="D251" s="79"/>
      <c r="J251" s="79"/>
      <c r="P251" s="79"/>
      <c r="Q251" s="79"/>
      <c r="T251" s="79"/>
      <c r="U251" s="79"/>
      <c r="X251" s="130"/>
      <c r="Z251" s="106"/>
    </row>
    <row r="252">
      <c r="C252" s="79"/>
      <c r="D252" s="79"/>
      <c r="J252" s="79"/>
      <c r="P252" s="79"/>
      <c r="Q252" s="79"/>
      <c r="T252" s="79"/>
      <c r="U252" s="79"/>
      <c r="X252" s="130"/>
      <c r="Z252" s="106"/>
    </row>
    <row r="253">
      <c r="C253" s="79"/>
      <c r="D253" s="79"/>
      <c r="J253" s="79"/>
      <c r="P253" s="79"/>
      <c r="Q253" s="79"/>
      <c r="T253" s="79"/>
      <c r="U253" s="79"/>
      <c r="X253" s="130"/>
      <c r="Z253" s="106"/>
    </row>
    <row r="254">
      <c r="C254" s="79"/>
      <c r="D254" s="79"/>
      <c r="J254" s="79"/>
      <c r="P254" s="79"/>
      <c r="Q254" s="79"/>
      <c r="T254" s="79"/>
      <c r="U254" s="79"/>
      <c r="X254" s="130"/>
      <c r="Z254" s="106"/>
    </row>
    <row r="255">
      <c r="C255" s="79"/>
      <c r="D255" s="79"/>
      <c r="J255" s="79"/>
      <c r="P255" s="79"/>
      <c r="Q255" s="79"/>
      <c r="T255" s="79"/>
      <c r="U255" s="79"/>
      <c r="X255" s="130"/>
      <c r="Z255" s="106"/>
    </row>
    <row r="256">
      <c r="C256" s="79"/>
      <c r="D256" s="79"/>
      <c r="J256" s="79"/>
      <c r="P256" s="79"/>
      <c r="Q256" s="79"/>
      <c r="T256" s="79"/>
      <c r="U256" s="79"/>
      <c r="X256" s="130"/>
      <c r="Z256" s="106"/>
    </row>
    <row r="257">
      <c r="C257" s="79"/>
      <c r="D257" s="79"/>
      <c r="J257" s="79"/>
      <c r="P257" s="79"/>
      <c r="Q257" s="79"/>
      <c r="T257" s="79"/>
      <c r="U257" s="79"/>
      <c r="X257" s="130"/>
      <c r="Z257" s="106"/>
    </row>
    <row r="258">
      <c r="C258" s="79"/>
      <c r="D258" s="79"/>
      <c r="J258" s="79"/>
      <c r="P258" s="79"/>
      <c r="Q258" s="79"/>
      <c r="T258" s="79"/>
      <c r="U258" s="79"/>
      <c r="X258" s="130"/>
      <c r="Z258" s="106"/>
    </row>
    <row r="259">
      <c r="C259" s="79"/>
      <c r="D259" s="79"/>
      <c r="J259" s="79"/>
      <c r="P259" s="79"/>
      <c r="Q259" s="79"/>
      <c r="T259" s="79"/>
      <c r="U259" s="79"/>
      <c r="X259" s="130"/>
      <c r="Z259" s="106"/>
    </row>
    <row r="260">
      <c r="C260" s="79"/>
      <c r="D260" s="79"/>
      <c r="J260" s="79"/>
      <c r="P260" s="79"/>
      <c r="Q260" s="79"/>
      <c r="T260" s="79"/>
      <c r="U260" s="79"/>
      <c r="X260" s="130"/>
      <c r="Z260" s="106"/>
    </row>
    <row r="261">
      <c r="C261" s="79"/>
      <c r="D261" s="79"/>
      <c r="J261" s="79"/>
      <c r="P261" s="79"/>
      <c r="Q261" s="79"/>
      <c r="T261" s="79"/>
      <c r="U261" s="79"/>
      <c r="X261" s="130"/>
      <c r="Z261" s="106"/>
    </row>
    <row r="262">
      <c r="C262" s="79"/>
      <c r="D262" s="79"/>
      <c r="J262" s="79"/>
      <c r="P262" s="79"/>
      <c r="Q262" s="79"/>
      <c r="T262" s="79"/>
      <c r="U262" s="79"/>
      <c r="X262" s="130"/>
      <c r="Z262" s="106"/>
    </row>
    <row r="263">
      <c r="C263" s="79"/>
      <c r="D263" s="79"/>
      <c r="J263" s="79"/>
      <c r="P263" s="79"/>
      <c r="Q263" s="79"/>
      <c r="T263" s="79"/>
      <c r="U263" s="79"/>
      <c r="X263" s="130"/>
      <c r="Z263" s="106"/>
    </row>
    <row r="264">
      <c r="C264" s="79"/>
      <c r="D264" s="79"/>
      <c r="J264" s="79"/>
      <c r="P264" s="79"/>
      <c r="Q264" s="79"/>
      <c r="T264" s="79"/>
      <c r="U264" s="79"/>
      <c r="X264" s="130"/>
      <c r="Z264" s="106"/>
    </row>
    <row r="265">
      <c r="C265" s="79"/>
      <c r="D265" s="79"/>
      <c r="J265" s="79"/>
      <c r="P265" s="79"/>
      <c r="Q265" s="79"/>
      <c r="T265" s="79"/>
      <c r="U265" s="79"/>
      <c r="X265" s="130"/>
      <c r="Z265" s="106"/>
    </row>
    <row r="266">
      <c r="C266" s="79"/>
      <c r="D266" s="79"/>
      <c r="J266" s="79"/>
      <c r="P266" s="79"/>
      <c r="Q266" s="79"/>
      <c r="T266" s="79"/>
      <c r="U266" s="79"/>
      <c r="X266" s="130"/>
      <c r="Z266" s="106"/>
    </row>
    <row r="267">
      <c r="C267" s="79"/>
      <c r="D267" s="79"/>
      <c r="J267" s="79"/>
      <c r="P267" s="79"/>
      <c r="Q267" s="79"/>
      <c r="T267" s="79"/>
      <c r="U267" s="79"/>
      <c r="X267" s="130"/>
      <c r="Z267" s="106"/>
    </row>
    <row r="268">
      <c r="C268" s="79"/>
      <c r="D268" s="79"/>
      <c r="J268" s="79"/>
      <c r="P268" s="79"/>
      <c r="Q268" s="79"/>
      <c r="T268" s="79"/>
      <c r="U268" s="79"/>
      <c r="X268" s="130"/>
      <c r="Z268" s="106"/>
    </row>
    <row r="269">
      <c r="C269" s="79"/>
      <c r="D269" s="79"/>
      <c r="J269" s="79"/>
      <c r="P269" s="79"/>
      <c r="Q269" s="79"/>
      <c r="T269" s="79"/>
      <c r="U269" s="79"/>
      <c r="X269" s="130"/>
      <c r="Z269" s="106"/>
    </row>
    <row r="270">
      <c r="C270" s="79"/>
      <c r="D270" s="79"/>
      <c r="J270" s="79"/>
      <c r="P270" s="79"/>
      <c r="Q270" s="79"/>
      <c r="T270" s="79"/>
      <c r="U270" s="79"/>
      <c r="X270" s="130"/>
      <c r="Z270" s="106"/>
    </row>
    <row r="271">
      <c r="C271" s="79"/>
      <c r="D271" s="79"/>
      <c r="J271" s="79"/>
      <c r="P271" s="79"/>
      <c r="Q271" s="79"/>
      <c r="T271" s="79"/>
      <c r="U271" s="79"/>
      <c r="X271" s="130"/>
      <c r="Z271" s="106"/>
    </row>
    <row r="272">
      <c r="C272" s="79"/>
      <c r="D272" s="79"/>
      <c r="J272" s="79"/>
      <c r="P272" s="79"/>
      <c r="Q272" s="79"/>
      <c r="T272" s="79"/>
      <c r="U272" s="79"/>
      <c r="X272" s="130"/>
      <c r="Z272" s="106"/>
    </row>
    <row r="273">
      <c r="C273" s="79"/>
      <c r="D273" s="79"/>
      <c r="J273" s="79"/>
      <c r="P273" s="79"/>
      <c r="Q273" s="79"/>
      <c r="T273" s="79"/>
      <c r="U273" s="79"/>
      <c r="X273" s="130"/>
      <c r="Z273" s="106"/>
    </row>
    <row r="274">
      <c r="C274" s="79"/>
      <c r="D274" s="79"/>
      <c r="J274" s="79"/>
      <c r="P274" s="79"/>
      <c r="Q274" s="79"/>
      <c r="T274" s="79"/>
      <c r="U274" s="79"/>
      <c r="X274" s="130"/>
      <c r="Z274" s="106"/>
    </row>
    <row r="275">
      <c r="C275" s="79"/>
      <c r="D275" s="79"/>
      <c r="J275" s="79"/>
      <c r="P275" s="79"/>
      <c r="Q275" s="79"/>
      <c r="T275" s="79"/>
      <c r="U275" s="79"/>
      <c r="X275" s="130"/>
      <c r="Z275" s="106"/>
    </row>
    <row r="276">
      <c r="C276" s="79"/>
      <c r="D276" s="79"/>
      <c r="J276" s="79"/>
      <c r="P276" s="79"/>
      <c r="Q276" s="79"/>
      <c r="T276" s="79"/>
      <c r="U276" s="79"/>
      <c r="X276" s="130"/>
      <c r="Z276" s="106"/>
    </row>
    <row r="277">
      <c r="C277" s="79"/>
      <c r="D277" s="79"/>
      <c r="J277" s="79"/>
      <c r="P277" s="79"/>
      <c r="Q277" s="79"/>
      <c r="T277" s="79"/>
      <c r="U277" s="79"/>
      <c r="X277" s="130"/>
      <c r="Z277" s="106"/>
    </row>
    <row r="278">
      <c r="C278" s="79"/>
      <c r="D278" s="79"/>
      <c r="J278" s="79"/>
      <c r="P278" s="79"/>
      <c r="Q278" s="79"/>
      <c r="T278" s="79"/>
      <c r="U278" s="79"/>
      <c r="X278" s="130"/>
      <c r="Z278" s="106"/>
    </row>
    <row r="279">
      <c r="C279" s="79"/>
      <c r="D279" s="79"/>
      <c r="J279" s="79"/>
      <c r="P279" s="79"/>
      <c r="Q279" s="79"/>
      <c r="T279" s="79"/>
      <c r="U279" s="79"/>
      <c r="X279" s="130"/>
      <c r="Z279" s="106"/>
    </row>
    <row r="280">
      <c r="C280" s="79"/>
      <c r="D280" s="79"/>
      <c r="J280" s="79"/>
      <c r="P280" s="79"/>
      <c r="Q280" s="79"/>
      <c r="T280" s="79"/>
      <c r="U280" s="79"/>
      <c r="X280" s="130"/>
      <c r="Z280" s="106"/>
    </row>
    <row r="281">
      <c r="C281" s="79"/>
      <c r="D281" s="79"/>
      <c r="J281" s="79"/>
      <c r="P281" s="79"/>
      <c r="Q281" s="79"/>
      <c r="T281" s="79"/>
      <c r="U281" s="79"/>
      <c r="X281" s="130"/>
      <c r="Z281" s="106"/>
    </row>
    <row r="282">
      <c r="C282" s="79"/>
      <c r="D282" s="79"/>
      <c r="J282" s="79"/>
      <c r="P282" s="79"/>
      <c r="Q282" s="79"/>
      <c r="T282" s="79"/>
      <c r="U282" s="79"/>
      <c r="X282" s="130"/>
      <c r="Z282" s="106"/>
    </row>
    <row r="283">
      <c r="C283" s="79"/>
      <c r="D283" s="79"/>
      <c r="J283" s="79"/>
      <c r="P283" s="79"/>
      <c r="Q283" s="79"/>
      <c r="T283" s="79"/>
      <c r="U283" s="79"/>
      <c r="X283" s="130"/>
      <c r="Z283" s="106"/>
    </row>
    <row r="284">
      <c r="C284" s="79"/>
      <c r="D284" s="79"/>
      <c r="J284" s="79"/>
      <c r="P284" s="79"/>
      <c r="Q284" s="79"/>
      <c r="T284" s="79"/>
      <c r="U284" s="79"/>
      <c r="X284" s="130"/>
      <c r="Z284" s="106"/>
    </row>
    <row r="285">
      <c r="C285" s="79"/>
      <c r="D285" s="79"/>
      <c r="J285" s="79"/>
      <c r="P285" s="79"/>
      <c r="Q285" s="79"/>
      <c r="T285" s="79"/>
      <c r="U285" s="79"/>
      <c r="X285" s="130"/>
      <c r="Z285" s="106"/>
    </row>
    <row r="286">
      <c r="C286" s="79"/>
      <c r="D286" s="79"/>
      <c r="J286" s="79"/>
      <c r="P286" s="79"/>
      <c r="Q286" s="79"/>
      <c r="T286" s="79"/>
      <c r="U286" s="79"/>
      <c r="X286" s="130"/>
      <c r="Z286" s="106"/>
    </row>
    <row r="287">
      <c r="C287" s="79"/>
      <c r="D287" s="79"/>
      <c r="J287" s="79"/>
      <c r="P287" s="79"/>
      <c r="Q287" s="79"/>
      <c r="T287" s="79"/>
      <c r="U287" s="79"/>
      <c r="X287" s="130"/>
      <c r="Z287" s="106"/>
    </row>
    <row r="288">
      <c r="C288" s="79"/>
      <c r="D288" s="79"/>
      <c r="J288" s="79"/>
      <c r="P288" s="79"/>
      <c r="Q288" s="79"/>
      <c r="T288" s="79"/>
      <c r="U288" s="79"/>
      <c r="X288" s="130"/>
      <c r="Z288" s="106"/>
    </row>
    <row r="289">
      <c r="C289" s="79"/>
      <c r="D289" s="79"/>
      <c r="J289" s="79"/>
      <c r="P289" s="79"/>
      <c r="Q289" s="79"/>
      <c r="T289" s="79"/>
      <c r="U289" s="79"/>
      <c r="X289" s="130"/>
      <c r="Z289" s="106"/>
    </row>
    <row r="290">
      <c r="C290" s="79"/>
      <c r="D290" s="79"/>
      <c r="J290" s="79"/>
      <c r="P290" s="79"/>
      <c r="Q290" s="79"/>
      <c r="T290" s="79"/>
      <c r="U290" s="79"/>
      <c r="X290" s="130"/>
      <c r="Z290" s="106"/>
    </row>
    <row r="291">
      <c r="C291" s="79"/>
      <c r="D291" s="79"/>
      <c r="J291" s="79"/>
      <c r="P291" s="79"/>
      <c r="Q291" s="79"/>
      <c r="T291" s="79"/>
      <c r="U291" s="79"/>
      <c r="X291" s="130"/>
      <c r="Z291" s="106"/>
    </row>
    <row r="292">
      <c r="C292" s="79"/>
      <c r="D292" s="79"/>
      <c r="J292" s="79"/>
      <c r="P292" s="79"/>
      <c r="Q292" s="79"/>
      <c r="T292" s="79"/>
      <c r="U292" s="79"/>
      <c r="X292" s="130"/>
      <c r="Z292" s="106"/>
    </row>
    <row r="293">
      <c r="C293" s="79"/>
      <c r="D293" s="79"/>
      <c r="J293" s="79"/>
      <c r="P293" s="79"/>
      <c r="Q293" s="79"/>
      <c r="T293" s="79"/>
      <c r="U293" s="79"/>
      <c r="X293" s="130"/>
      <c r="Z293" s="106"/>
    </row>
    <row r="294">
      <c r="C294" s="79"/>
      <c r="D294" s="79"/>
      <c r="J294" s="79"/>
      <c r="P294" s="79"/>
      <c r="Q294" s="79"/>
      <c r="T294" s="79"/>
      <c r="U294" s="79"/>
      <c r="X294" s="130"/>
      <c r="Z294" s="106"/>
    </row>
    <row r="295">
      <c r="C295" s="79"/>
      <c r="D295" s="79"/>
      <c r="J295" s="79"/>
      <c r="P295" s="79"/>
      <c r="Q295" s="79"/>
      <c r="T295" s="79"/>
      <c r="U295" s="79"/>
      <c r="X295" s="130"/>
      <c r="Z295" s="106"/>
    </row>
    <row r="296">
      <c r="C296" s="79"/>
      <c r="D296" s="79"/>
      <c r="J296" s="79"/>
      <c r="P296" s="79"/>
      <c r="Q296" s="79"/>
      <c r="T296" s="79"/>
      <c r="U296" s="79"/>
      <c r="X296" s="130"/>
      <c r="Z296" s="106"/>
    </row>
    <row r="297">
      <c r="C297" s="79"/>
      <c r="D297" s="79"/>
      <c r="J297" s="79"/>
      <c r="P297" s="79"/>
      <c r="Q297" s="79"/>
      <c r="T297" s="79"/>
      <c r="U297" s="79"/>
      <c r="X297" s="130"/>
      <c r="Z297" s="106"/>
    </row>
    <row r="298">
      <c r="C298" s="79"/>
      <c r="D298" s="79"/>
      <c r="J298" s="79"/>
      <c r="P298" s="79"/>
      <c r="Q298" s="79"/>
      <c r="T298" s="79"/>
      <c r="U298" s="79"/>
      <c r="X298" s="130"/>
      <c r="Z298" s="106"/>
    </row>
    <row r="299">
      <c r="C299" s="79"/>
      <c r="D299" s="79"/>
      <c r="J299" s="79"/>
      <c r="P299" s="79"/>
      <c r="Q299" s="79"/>
      <c r="T299" s="79"/>
      <c r="U299" s="79"/>
      <c r="X299" s="130"/>
      <c r="Z299" s="106"/>
    </row>
    <row r="300">
      <c r="C300" s="79"/>
      <c r="D300" s="79"/>
      <c r="J300" s="79"/>
      <c r="P300" s="79"/>
      <c r="Q300" s="79"/>
      <c r="T300" s="79"/>
      <c r="U300" s="79"/>
      <c r="X300" s="130"/>
      <c r="Z300" s="106"/>
    </row>
    <row r="301">
      <c r="C301" s="79"/>
      <c r="D301" s="79"/>
      <c r="J301" s="79"/>
      <c r="P301" s="79"/>
      <c r="Q301" s="79"/>
      <c r="T301" s="79"/>
      <c r="U301" s="79"/>
      <c r="X301" s="130"/>
      <c r="Z301" s="106"/>
    </row>
    <row r="302">
      <c r="C302" s="79"/>
      <c r="D302" s="79"/>
      <c r="J302" s="79"/>
      <c r="P302" s="79"/>
      <c r="Q302" s="79"/>
      <c r="T302" s="79"/>
      <c r="U302" s="79"/>
      <c r="X302" s="130"/>
      <c r="Z302" s="106"/>
    </row>
    <row r="303">
      <c r="C303" s="79"/>
      <c r="D303" s="79"/>
      <c r="J303" s="79"/>
      <c r="P303" s="79"/>
      <c r="Q303" s="79"/>
      <c r="T303" s="79"/>
      <c r="U303" s="79"/>
      <c r="X303" s="130"/>
      <c r="Z303" s="106"/>
    </row>
    <row r="304">
      <c r="C304" s="79"/>
      <c r="D304" s="79"/>
      <c r="J304" s="79"/>
      <c r="P304" s="79"/>
      <c r="Q304" s="79"/>
      <c r="T304" s="79"/>
      <c r="U304" s="79"/>
      <c r="X304" s="130"/>
      <c r="Z304" s="106"/>
    </row>
    <row r="305">
      <c r="C305" s="79"/>
      <c r="D305" s="79"/>
      <c r="J305" s="79"/>
      <c r="P305" s="79"/>
      <c r="Q305" s="79"/>
      <c r="T305" s="79"/>
      <c r="U305" s="79"/>
      <c r="X305" s="130"/>
      <c r="Z305" s="106"/>
    </row>
    <row r="306">
      <c r="C306" s="79"/>
      <c r="D306" s="79"/>
      <c r="J306" s="79"/>
      <c r="P306" s="79"/>
      <c r="Q306" s="79"/>
      <c r="T306" s="79"/>
      <c r="U306" s="79"/>
      <c r="X306" s="130"/>
      <c r="Z306" s="106"/>
    </row>
    <row r="307">
      <c r="C307" s="79"/>
      <c r="D307" s="79"/>
      <c r="J307" s="79"/>
      <c r="P307" s="79"/>
      <c r="Q307" s="79"/>
      <c r="T307" s="79"/>
      <c r="U307" s="79"/>
      <c r="X307" s="130"/>
      <c r="Z307" s="106"/>
    </row>
    <row r="308">
      <c r="C308" s="79"/>
      <c r="D308" s="79"/>
      <c r="J308" s="79"/>
      <c r="P308" s="79"/>
      <c r="Q308" s="79"/>
      <c r="T308" s="79"/>
      <c r="U308" s="79"/>
      <c r="X308" s="130"/>
      <c r="Z308" s="106"/>
    </row>
    <row r="309">
      <c r="C309" s="79"/>
      <c r="D309" s="79"/>
      <c r="J309" s="79"/>
      <c r="P309" s="79"/>
      <c r="Q309" s="79"/>
      <c r="T309" s="79"/>
      <c r="U309" s="79"/>
      <c r="X309" s="130"/>
      <c r="Z309" s="106"/>
    </row>
    <row r="310">
      <c r="C310" s="79"/>
      <c r="D310" s="79"/>
      <c r="J310" s="79"/>
      <c r="P310" s="79"/>
      <c r="Q310" s="79"/>
      <c r="T310" s="79"/>
      <c r="U310" s="79"/>
      <c r="X310" s="130"/>
      <c r="Z310" s="106"/>
    </row>
    <row r="311">
      <c r="C311" s="79"/>
      <c r="D311" s="79"/>
      <c r="J311" s="79"/>
      <c r="P311" s="79"/>
      <c r="Q311" s="79"/>
      <c r="T311" s="79"/>
      <c r="U311" s="79"/>
      <c r="X311" s="130"/>
      <c r="Z311" s="106"/>
    </row>
    <row r="312">
      <c r="C312" s="79"/>
      <c r="D312" s="79"/>
      <c r="J312" s="79"/>
      <c r="P312" s="79"/>
      <c r="Q312" s="79"/>
      <c r="T312" s="79"/>
      <c r="U312" s="79"/>
      <c r="X312" s="130"/>
      <c r="Z312" s="106"/>
    </row>
    <row r="313">
      <c r="C313" s="79"/>
      <c r="D313" s="79"/>
      <c r="J313" s="79"/>
      <c r="P313" s="79"/>
      <c r="Q313" s="79"/>
      <c r="T313" s="79"/>
      <c r="U313" s="79"/>
      <c r="X313" s="130"/>
      <c r="Z313" s="106"/>
    </row>
    <row r="314">
      <c r="C314" s="79"/>
      <c r="D314" s="79"/>
      <c r="J314" s="79"/>
      <c r="P314" s="79"/>
      <c r="Q314" s="79"/>
      <c r="T314" s="79"/>
      <c r="U314" s="79"/>
      <c r="X314" s="130"/>
      <c r="Z314" s="106"/>
    </row>
    <row r="315">
      <c r="C315" s="79"/>
      <c r="D315" s="79"/>
      <c r="J315" s="79"/>
      <c r="P315" s="79"/>
      <c r="Q315" s="79"/>
      <c r="T315" s="79"/>
      <c r="U315" s="79"/>
      <c r="X315" s="130"/>
      <c r="Z315" s="106"/>
    </row>
    <row r="316">
      <c r="C316" s="79"/>
      <c r="D316" s="79"/>
      <c r="J316" s="79"/>
      <c r="P316" s="79"/>
      <c r="Q316" s="79"/>
      <c r="T316" s="79"/>
      <c r="U316" s="79"/>
      <c r="X316" s="130"/>
      <c r="Z316" s="106"/>
    </row>
    <row r="317">
      <c r="C317" s="79"/>
      <c r="D317" s="79"/>
      <c r="J317" s="79"/>
      <c r="P317" s="79"/>
      <c r="Q317" s="79"/>
      <c r="T317" s="79"/>
      <c r="U317" s="79"/>
      <c r="X317" s="130"/>
      <c r="Z317" s="106"/>
    </row>
    <row r="318">
      <c r="C318" s="79"/>
      <c r="D318" s="79"/>
      <c r="J318" s="79"/>
      <c r="P318" s="79"/>
      <c r="Q318" s="79"/>
      <c r="T318" s="79"/>
      <c r="U318" s="79"/>
      <c r="X318" s="130"/>
      <c r="Z318" s="106"/>
    </row>
    <row r="319">
      <c r="C319" s="79"/>
      <c r="D319" s="79"/>
      <c r="J319" s="79"/>
      <c r="P319" s="79"/>
      <c r="Q319" s="79"/>
      <c r="T319" s="79"/>
      <c r="U319" s="79"/>
      <c r="X319" s="130"/>
      <c r="Z319" s="106"/>
    </row>
    <row r="320">
      <c r="C320" s="79"/>
      <c r="D320" s="79"/>
      <c r="J320" s="79"/>
      <c r="P320" s="79"/>
      <c r="Q320" s="79"/>
      <c r="T320" s="79"/>
      <c r="U320" s="79"/>
      <c r="X320" s="130"/>
      <c r="Z320" s="106"/>
    </row>
    <row r="321">
      <c r="C321" s="79"/>
      <c r="D321" s="79"/>
      <c r="J321" s="79"/>
      <c r="P321" s="79"/>
      <c r="Q321" s="79"/>
      <c r="T321" s="79"/>
      <c r="U321" s="79"/>
      <c r="X321" s="130"/>
      <c r="Z321" s="106"/>
    </row>
    <row r="322">
      <c r="C322" s="79"/>
      <c r="D322" s="79"/>
      <c r="J322" s="79"/>
      <c r="P322" s="79"/>
      <c r="Q322" s="79"/>
      <c r="T322" s="79"/>
      <c r="U322" s="79"/>
      <c r="X322" s="130"/>
      <c r="Z322" s="106"/>
    </row>
    <row r="323">
      <c r="C323" s="79"/>
      <c r="D323" s="79"/>
      <c r="J323" s="79"/>
      <c r="P323" s="79"/>
      <c r="Q323" s="79"/>
      <c r="T323" s="79"/>
      <c r="U323" s="79"/>
      <c r="X323" s="130"/>
      <c r="Z323" s="106"/>
    </row>
    <row r="324">
      <c r="C324" s="79"/>
      <c r="D324" s="79"/>
      <c r="J324" s="79"/>
      <c r="P324" s="79"/>
      <c r="Q324" s="79"/>
      <c r="T324" s="79"/>
      <c r="U324" s="79"/>
      <c r="X324" s="130"/>
      <c r="Z324" s="106"/>
    </row>
    <row r="325">
      <c r="C325" s="79"/>
      <c r="D325" s="79"/>
      <c r="J325" s="79"/>
      <c r="P325" s="79"/>
      <c r="Q325" s="79"/>
      <c r="T325" s="79"/>
      <c r="U325" s="79"/>
      <c r="X325" s="130"/>
      <c r="Z325" s="106"/>
    </row>
    <row r="326">
      <c r="C326" s="79"/>
      <c r="D326" s="79"/>
      <c r="J326" s="79"/>
      <c r="P326" s="79"/>
      <c r="Q326" s="79"/>
      <c r="T326" s="79"/>
      <c r="U326" s="79"/>
      <c r="X326" s="130"/>
      <c r="Z326" s="106"/>
    </row>
    <row r="327">
      <c r="C327" s="79"/>
      <c r="D327" s="79"/>
      <c r="J327" s="79"/>
      <c r="P327" s="79"/>
      <c r="Q327" s="79"/>
      <c r="T327" s="79"/>
      <c r="U327" s="79"/>
      <c r="X327" s="130"/>
      <c r="Z327" s="106"/>
    </row>
    <row r="328">
      <c r="C328" s="79"/>
      <c r="D328" s="79"/>
      <c r="J328" s="79"/>
      <c r="P328" s="79"/>
      <c r="Q328" s="79"/>
      <c r="T328" s="79"/>
      <c r="U328" s="79"/>
      <c r="X328" s="130"/>
      <c r="Z328" s="106"/>
    </row>
    <row r="329">
      <c r="C329" s="79"/>
      <c r="D329" s="79"/>
      <c r="J329" s="79"/>
      <c r="P329" s="79"/>
      <c r="Q329" s="79"/>
      <c r="T329" s="79"/>
      <c r="U329" s="79"/>
      <c r="X329" s="130"/>
      <c r="Z329" s="106"/>
    </row>
    <row r="330">
      <c r="C330" s="79"/>
      <c r="D330" s="79"/>
      <c r="J330" s="79"/>
      <c r="P330" s="79"/>
      <c r="Q330" s="79"/>
      <c r="T330" s="79"/>
      <c r="U330" s="79"/>
      <c r="X330" s="130"/>
      <c r="Z330" s="106"/>
    </row>
    <row r="331">
      <c r="C331" s="79"/>
      <c r="D331" s="79"/>
      <c r="J331" s="79"/>
      <c r="P331" s="79"/>
      <c r="Q331" s="79"/>
      <c r="T331" s="79"/>
      <c r="U331" s="79"/>
      <c r="X331" s="130"/>
      <c r="Z331" s="106"/>
    </row>
    <row r="332">
      <c r="C332" s="79"/>
      <c r="D332" s="79"/>
      <c r="J332" s="79"/>
      <c r="P332" s="79"/>
      <c r="Q332" s="79"/>
      <c r="T332" s="79"/>
      <c r="U332" s="79"/>
      <c r="X332" s="130"/>
      <c r="Z332" s="106"/>
    </row>
    <row r="333">
      <c r="C333" s="79"/>
      <c r="D333" s="79"/>
      <c r="J333" s="79"/>
      <c r="P333" s="79"/>
      <c r="Q333" s="79"/>
      <c r="T333" s="79"/>
      <c r="U333" s="79"/>
      <c r="X333" s="130"/>
      <c r="Z333" s="106"/>
    </row>
    <row r="334">
      <c r="C334" s="79"/>
      <c r="D334" s="79"/>
      <c r="J334" s="79"/>
      <c r="P334" s="79"/>
      <c r="Q334" s="79"/>
      <c r="T334" s="79"/>
      <c r="U334" s="79"/>
      <c r="X334" s="130"/>
      <c r="Z334" s="106"/>
    </row>
    <row r="335">
      <c r="C335" s="79"/>
      <c r="D335" s="79"/>
      <c r="J335" s="79"/>
      <c r="P335" s="79"/>
      <c r="Q335" s="79"/>
      <c r="T335" s="79"/>
      <c r="U335" s="79"/>
      <c r="X335" s="130"/>
      <c r="Z335" s="106"/>
    </row>
    <row r="336">
      <c r="C336" s="79"/>
      <c r="D336" s="79"/>
      <c r="J336" s="79"/>
      <c r="P336" s="79"/>
      <c r="Q336" s="79"/>
      <c r="T336" s="79"/>
      <c r="U336" s="79"/>
      <c r="X336" s="130"/>
      <c r="Z336" s="106"/>
    </row>
    <row r="337">
      <c r="C337" s="79"/>
      <c r="D337" s="79"/>
      <c r="J337" s="79"/>
      <c r="P337" s="79"/>
      <c r="Q337" s="79"/>
      <c r="T337" s="79"/>
      <c r="U337" s="79"/>
      <c r="X337" s="130"/>
      <c r="Z337" s="106"/>
    </row>
    <row r="338">
      <c r="C338" s="79"/>
      <c r="D338" s="79"/>
      <c r="J338" s="79"/>
      <c r="P338" s="79"/>
      <c r="Q338" s="79"/>
      <c r="T338" s="79"/>
      <c r="U338" s="79"/>
      <c r="X338" s="130"/>
      <c r="Z338" s="106"/>
    </row>
    <row r="339">
      <c r="C339" s="79"/>
      <c r="D339" s="79"/>
      <c r="J339" s="79"/>
      <c r="P339" s="79"/>
      <c r="Q339" s="79"/>
      <c r="T339" s="79"/>
      <c r="U339" s="79"/>
      <c r="X339" s="130"/>
      <c r="Z339" s="106"/>
    </row>
    <row r="340">
      <c r="C340" s="79"/>
      <c r="D340" s="79"/>
      <c r="J340" s="79"/>
      <c r="P340" s="79"/>
      <c r="Q340" s="79"/>
      <c r="T340" s="79"/>
      <c r="U340" s="79"/>
      <c r="X340" s="130"/>
      <c r="Z340" s="106"/>
    </row>
    <row r="341">
      <c r="C341" s="79"/>
      <c r="D341" s="79"/>
      <c r="J341" s="79"/>
      <c r="P341" s="79"/>
      <c r="Q341" s="79"/>
      <c r="T341" s="79"/>
      <c r="U341" s="79"/>
      <c r="X341" s="130"/>
      <c r="Z341" s="106"/>
    </row>
    <row r="342">
      <c r="C342" s="79"/>
      <c r="D342" s="79"/>
      <c r="J342" s="79"/>
      <c r="P342" s="79"/>
      <c r="Q342" s="79"/>
      <c r="T342" s="79"/>
      <c r="U342" s="79"/>
      <c r="X342" s="130"/>
      <c r="Z342" s="106"/>
    </row>
    <row r="343">
      <c r="C343" s="79"/>
      <c r="D343" s="79"/>
      <c r="J343" s="79"/>
      <c r="P343" s="79"/>
      <c r="Q343" s="79"/>
      <c r="T343" s="79"/>
      <c r="U343" s="79"/>
      <c r="X343" s="130"/>
      <c r="Z343" s="106"/>
    </row>
    <row r="344">
      <c r="C344" s="79"/>
      <c r="D344" s="79"/>
      <c r="J344" s="79"/>
      <c r="P344" s="79"/>
      <c r="Q344" s="79"/>
      <c r="T344" s="79"/>
      <c r="U344" s="79"/>
      <c r="X344" s="130"/>
      <c r="Z344" s="106"/>
    </row>
    <row r="345">
      <c r="C345" s="79"/>
      <c r="D345" s="79"/>
      <c r="J345" s="79"/>
      <c r="P345" s="79"/>
      <c r="Q345" s="79"/>
      <c r="T345" s="79"/>
      <c r="U345" s="79"/>
      <c r="X345" s="130"/>
      <c r="Z345" s="106"/>
    </row>
    <row r="346">
      <c r="C346" s="79"/>
      <c r="D346" s="79"/>
      <c r="J346" s="79"/>
      <c r="P346" s="79"/>
      <c r="Q346" s="79"/>
      <c r="T346" s="79"/>
      <c r="U346" s="79"/>
      <c r="X346" s="130"/>
      <c r="Z346" s="106"/>
    </row>
    <row r="347">
      <c r="C347" s="79"/>
      <c r="D347" s="79"/>
      <c r="J347" s="79"/>
      <c r="P347" s="79"/>
      <c r="Q347" s="79"/>
      <c r="T347" s="79"/>
      <c r="U347" s="79"/>
      <c r="X347" s="130"/>
      <c r="Z347" s="106"/>
    </row>
    <row r="348">
      <c r="C348" s="79"/>
      <c r="D348" s="79"/>
      <c r="J348" s="79"/>
      <c r="P348" s="79"/>
      <c r="Q348" s="79"/>
      <c r="T348" s="79"/>
      <c r="U348" s="79"/>
      <c r="X348" s="130"/>
      <c r="Z348" s="106"/>
    </row>
    <row r="349">
      <c r="C349" s="79"/>
      <c r="D349" s="79"/>
      <c r="J349" s="79"/>
      <c r="P349" s="79"/>
      <c r="Q349" s="79"/>
      <c r="T349" s="79"/>
      <c r="U349" s="79"/>
      <c r="X349" s="130"/>
      <c r="Z349" s="106"/>
    </row>
    <row r="350">
      <c r="C350" s="79"/>
      <c r="D350" s="79"/>
      <c r="J350" s="79"/>
      <c r="P350" s="79"/>
      <c r="Q350" s="79"/>
      <c r="T350" s="79"/>
      <c r="U350" s="79"/>
      <c r="X350" s="130"/>
      <c r="Z350" s="106"/>
    </row>
    <row r="351">
      <c r="C351" s="79"/>
      <c r="D351" s="79"/>
      <c r="J351" s="79"/>
      <c r="P351" s="79"/>
      <c r="Q351" s="79"/>
      <c r="T351" s="79"/>
      <c r="U351" s="79"/>
      <c r="X351" s="130"/>
      <c r="Z351" s="106"/>
    </row>
    <row r="352">
      <c r="C352" s="79"/>
      <c r="D352" s="79"/>
      <c r="J352" s="79"/>
      <c r="P352" s="79"/>
      <c r="Q352" s="79"/>
      <c r="T352" s="79"/>
      <c r="U352" s="79"/>
      <c r="X352" s="130"/>
      <c r="Z352" s="106"/>
    </row>
    <row r="353">
      <c r="C353" s="79"/>
      <c r="D353" s="79"/>
      <c r="J353" s="79"/>
      <c r="P353" s="79"/>
      <c r="Q353" s="79"/>
      <c r="T353" s="79"/>
      <c r="U353" s="79"/>
      <c r="X353" s="130"/>
      <c r="Z353" s="106"/>
    </row>
    <row r="354">
      <c r="C354" s="79"/>
      <c r="D354" s="79"/>
      <c r="J354" s="79"/>
      <c r="P354" s="79"/>
      <c r="Q354" s="79"/>
      <c r="T354" s="79"/>
      <c r="U354" s="79"/>
      <c r="X354" s="130"/>
      <c r="Z354" s="106"/>
    </row>
    <row r="355">
      <c r="C355" s="79"/>
      <c r="D355" s="79"/>
      <c r="J355" s="79"/>
      <c r="P355" s="79"/>
      <c r="Q355" s="79"/>
      <c r="T355" s="79"/>
      <c r="U355" s="79"/>
      <c r="X355" s="130"/>
      <c r="Z355" s="106"/>
    </row>
    <row r="356">
      <c r="C356" s="79"/>
      <c r="D356" s="79"/>
      <c r="J356" s="79"/>
      <c r="P356" s="79"/>
      <c r="Q356" s="79"/>
      <c r="T356" s="79"/>
      <c r="U356" s="79"/>
      <c r="X356" s="130"/>
      <c r="Z356" s="106"/>
    </row>
    <row r="357">
      <c r="C357" s="79"/>
      <c r="D357" s="79"/>
      <c r="J357" s="79"/>
      <c r="P357" s="79"/>
      <c r="Q357" s="79"/>
      <c r="T357" s="79"/>
      <c r="U357" s="79"/>
      <c r="X357" s="130"/>
      <c r="Z357" s="106"/>
    </row>
    <row r="358">
      <c r="C358" s="79"/>
      <c r="D358" s="79"/>
      <c r="J358" s="79"/>
      <c r="P358" s="79"/>
      <c r="Q358" s="79"/>
      <c r="T358" s="79"/>
      <c r="U358" s="79"/>
      <c r="X358" s="130"/>
      <c r="Z358" s="106"/>
    </row>
    <row r="359">
      <c r="C359" s="79"/>
      <c r="D359" s="79"/>
      <c r="J359" s="79"/>
      <c r="P359" s="79"/>
      <c r="Q359" s="79"/>
      <c r="T359" s="79"/>
      <c r="U359" s="79"/>
      <c r="X359" s="130"/>
      <c r="Z359" s="106"/>
    </row>
    <row r="360">
      <c r="C360" s="79"/>
      <c r="D360" s="79"/>
      <c r="J360" s="79"/>
      <c r="P360" s="79"/>
      <c r="Q360" s="79"/>
      <c r="T360" s="79"/>
      <c r="U360" s="79"/>
      <c r="X360" s="130"/>
      <c r="Z360" s="106"/>
    </row>
    <row r="361">
      <c r="C361" s="79"/>
      <c r="D361" s="79"/>
      <c r="J361" s="79"/>
      <c r="P361" s="79"/>
      <c r="Q361" s="79"/>
      <c r="T361" s="79"/>
      <c r="U361" s="79"/>
      <c r="X361" s="130"/>
      <c r="Z361" s="106"/>
    </row>
    <row r="362">
      <c r="C362" s="79"/>
      <c r="D362" s="79"/>
      <c r="J362" s="79"/>
      <c r="P362" s="79"/>
      <c r="Q362" s="79"/>
      <c r="T362" s="79"/>
      <c r="U362" s="79"/>
      <c r="X362" s="130"/>
      <c r="Z362" s="106"/>
    </row>
    <row r="363">
      <c r="C363" s="79"/>
      <c r="D363" s="79"/>
      <c r="J363" s="79"/>
      <c r="P363" s="79"/>
      <c r="Q363" s="79"/>
      <c r="T363" s="79"/>
      <c r="U363" s="79"/>
      <c r="X363" s="130"/>
      <c r="Z363" s="106"/>
    </row>
    <row r="364">
      <c r="C364" s="79"/>
      <c r="D364" s="79"/>
      <c r="J364" s="79"/>
      <c r="P364" s="79"/>
      <c r="Q364" s="79"/>
      <c r="T364" s="79"/>
      <c r="U364" s="79"/>
      <c r="X364" s="130"/>
      <c r="Z364" s="106"/>
    </row>
    <row r="365">
      <c r="C365" s="79"/>
      <c r="D365" s="79"/>
      <c r="J365" s="79"/>
      <c r="P365" s="79"/>
      <c r="Q365" s="79"/>
      <c r="T365" s="79"/>
      <c r="U365" s="79"/>
      <c r="X365" s="130"/>
      <c r="Z365" s="106"/>
    </row>
    <row r="366">
      <c r="C366" s="79"/>
      <c r="D366" s="79"/>
      <c r="J366" s="79"/>
      <c r="P366" s="79"/>
      <c r="Q366" s="79"/>
      <c r="T366" s="79"/>
      <c r="U366" s="79"/>
      <c r="X366" s="130"/>
      <c r="Z366" s="106"/>
    </row>
    <row r="367">
      <c r="C367" s="79"/>
      <c r="D367" s="79"/>
      <c r="J367" s="79"/>
      <c r="P367" s="79"/>
      <c r="Q367" s="79"/>
      <c r="T367" s="79"/>
      <c r="U367" s="79"/>
      <c r="X367" s="130"/>
      <c r="Z367" s="106"/>
    </row>
    <row r="368">
      <c r="C368" s="79"/>
      <c r="D368" s="79"/>
      <c r="J368" s="79"/>
      <c r="P368" s="79"/>
      <c r="Q368" s="79"/>
      <c r="T368" s="79"/>
      <c r="U368" s="79"/>
      <c r="X368" s="130"/>
      <c r="Z368" s="106"/>
    </row>
    <row r="369">
      <c r="C369" s="79"/>
      <c r="D369" s="79"/>
      <c r="J369" s="79"/>
      <c r="P369" s="79"/>
      <c r="Q369" s="79"/>
      <c r="T369" s="79"/>
      <c r="U369" s="79"/>
      <c r="X369" s="130"/>
      <c r="Z369" s="106"/>
    </row>
    <row r="370">
      <c r="C370" s="79"/>
      <c r="D370" s="79"/>
      <c r="J370" s="79"/>
      <c r="P370" s="79"/>
      <c r="Q370" s="79"/>
      <c r="T370" s="79"/>
      <c r="U370" s="79"/>
      <c r="X370" s="130"/>
      <c r="Z370" s="106"/>
    </row>
    <row r="371">
      <c r="C371" s="79"/>
      <c r="D371" s="79"/>
      <c r="J371" s="79"/>
      <c r="P371" s="79"/>
      <c r="Q371" s="79"/>
      <c r="T371" s="79"/>
      <c r="U371" s="79"/>
      <c r="X371" s="130"/>
      <c r="Z371" s="106"/>
    </row>
    <row r="372">
      <c r="C372" s="79"/>
      <c r="D372" s="79"/>
      <c r="J372" s="79"/>
      <c r="P372" s="79"/>
      <c r="Q372" s="79"/>
      <c r="T372" s="79"/>
      <c r="U372" s="79"/>
      <c r="X372" s="130"/>
      <c r="Z372" s="106"/>
    </row>
    <row r="373">
      <c r="C373" s="79"/>
      <c r="D373" s="79"/>
      <c r="J373" s="79"/>
      <c r="P373" s="79"/>
      <c r="Q373" s="79"/>
      <c r="T373" s="79"/>
      <c r="U373" s="79"/>
      <c r="X373" s="130"/>
      <c r="Z373" s="106"/>
    </row>
    <row r="374">
      <c r="C374" s="79"/>
      <c r="D374" s="79"/>
      <c r="J374" s="79"/>
      <c r="P374" s="79"/>
      <c r="Q374" s="79"/>
      <c r="T374" s="79"/>
      <c r="U374" s="79"/>
      <c r="X374" s="130"/>
      <c r="Z374" s="106"/>
    </row>
    <row r="375">
      <c r="C375" s="79"/>
      <c r="D375" s="79"/>
      <c r="J375" s="79"/>
      <c r="P375" s="79"/>
      <c r="Q375" s="79"/>
      <c r="T375" s="79"/>
      <c r="U375" s="79"/>
      <c r="X375" s="130"/>
      <c r="Z375" s="106"/>
    </row>
    <row r="376">
      <c r="C376" s="79"/>
      <c r="D376" s="79"/>
      <c r="J376" s="79"/>
      <c r="P376" s="79"/>
      <c r="Q376" s="79"/>
      <c r="T376" s="79"/>
      <c r="U376" s="79"/>
      <c r="X376" s="130"/>
      <c r="Z376" s="106"/>
    </row>
    <row r="377">
      <c r="C377" s="79"/>
      <c r="D377" s="79"/>
      <c r="J377" s="79"/>
      <c r="P377" s="79"/>
      <c r="Q377" s="79"/>
      <c r="T377" s="79"/>
      <c r="U377" s="79"/>
      <c r="X377" s="130"/>
      <c r="Z377" s="106"/>
    </row>
    <row r="378">
      <c r="C378" s="79"/>
      <c r="D378" s="79"/>
      <c r="J378" s="79"/>
      <c r="P378" s="79"/>
      <c r="Q378" s="79"/>
      <c r="T378" s="79"/>
      <c r="U378" s="79"/>
      <c r="X378" s="130"/>
      <c r="Z378" s="106"/>
    </row>
    <row r="379">
      <c r="C379" s="79"/>
      <c r="D379" s="79"/>
      <c r="J379" s="79"/>
      <c r="P379" s="79"/>
      <c r="Q379" s="79"/>
      <c r="T379" s="79"/>
      <c r="U379" s="79"/>
      <c r="X379" s="130"/>
      <c r="Z379" s="106"/>
    </row>
    <row r="380">
      <c r="C380" s="79"/>
      <c r="D380" s="79"/>
      <c r="J380" s="79"/>
      <c r="P380" s="79"/>
      <c r="Q380" s="79"/>
      <c r="T380" s="79"/>
      <c r="U380" s="79"/>
      <c r="X380" s="130"/>
      <c r="Z380" s="106"/>
    </row>
    <row r="381">
      <c r="C381" s="79"/>
      <c r="D381" s="79"/>
      <c r="J381" s="79"/>
      <c r="P381" s="79"/>
      <c r="Q381" s="79"/>
      <c r="T381" s="79"/>
      <c r="U381" s="79"/>
      <c r="X381" s="130"/>
      <c r="Z381" s="106"/>
    </row>
    <row r="382">
      <c r="C382" s="79"/>
      <c r="D382" s="79"/>
      <c r="J382" s="79"/>
      <c r="P382" s="79"/>
      <c r="Q382" s="79"/>
      <c r="T382" s="79"/>
      <c r="U382" s="79"/>
      <c r="X382" s="130"/>
      <c r="Z382" s="106"/>
    </row>
    <row r="383">
      <c r="C383" s="79"/>
      <c r="D383" s="79"/>
      <c r="J383" s="79"/>
      <c r="P383" s="79"/>
      <c r="Q383" s="79"/>
      <c r="T383" s="79"/>
      <c r="U383" s="79"/>
      <c r="X383" s="130"/>
      <c r="Z383" s="106"/>
    </row>
    <row r="384">
      <c r="C384" s="79"/>
      <c r="D384" s="79"/>
      <c r="J384" s="79"/>
      <c r="P384" s="79"/>
      <c r="Q384" s="79"/>
      <c r="T384" s="79"/>
      <c r="U384" s="79"/>
      <c r="X384" s="130"/>
      <c r="Z384" s="106"/>
    </row>
    <row r="385">
      <c r="C385" s="79"/>
      <c r="D385" s="79"/>
      <c r="J385" s="79"/>
      <c r="P385" s="79"/>
      <c r="Q385" s="79"/>
      <c r="T385" s="79"/>
      <c r="U385" s="79"/>
      <c r="X385" s="130"/>
      <c r="Z385" s="106"/>
    </row>
    <row r="386">
      <c r="C386" s="79"/>
      <c r="D386" s="79"/>
      <c r="J386" s="79"/>
      <c r="P386" s="79"/>
      <c r="Q386" s="79"/>
      <c r="T386" s="79"/>
      <c r="U386" s="79"/>
      <c r="X386" s="130"/>
      <c r="Z386" s="106"/>
    </row>
    <row r="387">
      <c r="C387" s="79"/>
      <c r="D387" s="79"/>
      <c r="J387" s="79"/>
      <c r="P387" s="79"/>
      <c r="Q387" s="79"/>
      <c r="T387" s="79"/>
      <c r="U387" s="79"/>
      <c r="X387" s="130"/>
      <c r="Z387" s="106"/>
    </row>
    <row r="388">
      <c r="C388" s="79"/>
      <c r="D388" s="79"/>
      <c r="J388" s="79"/>
      <c r="P388" s="79"/>
      <c r="Q388" s="79"/>
      <c r="T388" s="79"/>
      <c r="U388" s="79"/>
      <c r="X388" s="130"/>
      <c r="Z388" s="106"/>
    </row>
    <row r="389">
      <c r="C389" s="79"/>
      <c r="D389" s="79"/>
      <c r="J389" s="79"/>
      <c r="P389" s="79"/>
      <c r="Q389" s="79"/>
      <c r="T389" s="79"/>
      <c r="U389" s="79"/>
      <c r="X389" s="130"/>
      <c r="Z389" s="106"/>
    </row>
    <row r="390">
      <c r="C390" s="79"/>
      <c r="D390" s="79"/>
      <c r="J390" s="79"/>
      <c r="P390" s="79"/>
      <c r="Q390" s="79"/>
      <c r="T390" s="79"/>
      <c r="U390" s="79"/>
      <c r="X390" s="130"/>
      <c r="Z390" s="106"/>
    </row>
    <row r="391">
      <c r="C391" s="79"/>
      <c r="D391" s="79"/>
      <c r="J391" s="79"/>
      <c r="P391" s="79"/>
      <c r="Q391" s="79"/>
      <c r="T391" s="79"/>
      <c r="U391" s="79"/>
      <c r="X391" s="130"/>
      <c r="Z391" s="106"/>
    </row>
    <row r="392">
      <c r="C392" s="79"/>
      <c r="D392" s="79"/>
      <c r="J392" s="79"/>
      <c r="P392" s="79"/>
      <c r="Q392" s="79"/>
      <c r="T392" s="79"/>
      <c r="U392" s="79"/>
      <c r="X392" s="130"/>
      <c r="Z392" s="106"/>
    </row>
    <row r="393">
      <c r="C393" s="79"/>
      <c r="D393" s="79"/>
      <c r="J393" s="79"/>
      <c r="P393" s="79"/>
      <c r="Q393" s="79"/>
      <c r="T393" s="79"/>
      <c r="U393" s="79"/>
      <c r="X393" s="130"/>
      <c r="Z393" s="106"/>
    </row>
    <row r="394">
      <c r="C394" s="79"/>
      <c r="D394" s="79"/>
      <c r="J394" s="79"/>
      <c r="P394" s="79"/>
      <c r="Q394" s="79"/>
      <c r="T394" s="79"/>
      <c r="U394" s="79"/>
      <c r="X394" s="130"/>
      <c r="Z394" s="106"/>
    </row>
    <row r="395">
      <c r="C395" s="79"/>
      <c r="D395" s="79"/>
      <c r="J395" s="79"/>
      <c r="P395" s="79"/>
      <c r="Q395" s="79"/>
      <c r="T395" s="79"/>
      <c r="U395" s="79"/>
      <c r="X395" s="130"/>
      <c r="Z395" s="106"/>
    </row>
    <row r="396">
      <c r="C396" s="79"/>
      <c r="D396" s="79"/>
      <c r="J396" s="79"/>
      <c r="P396" s="79"/>
      <c r="Q396" s="79"/>
      <c r="T396" s="79"/>
      <c r="U396" s="79"/>
      <c r="X396" s="130"/>
      <c r="Z396" s="106"/>
    </row>
    <row r="397">
      <c r="C397" s="79"/>
      <c r="D397" s="79"/>
      <c r="J397" s="79"/>
      <c r="P397" s="79"/>
      <c r="Q397" s="79"/>
      <c r="T397" s="79"/>
      <c r="U397" s="79"/>
      <c r="X397" s="130"/>
      <c r="Z397" s="106"/>
    </row>
    <row r="398">
      <c r="C398" s="79"/>
      <c r="D398" s="79"/>
      <c r="J398" s="79"/>
      <c r="P398" s="79"/>
      <c r="Q398" s="79"/>
      <c r="T398" s="79"/>
      <c r="U398" s="79"/>
      <c r="X398" s="130"/>
      <c r="Z398" s="106"/>
    </row>
    <row r="399">
      <c r="C399" s="79"/>
      <c r="D399" s="79"/>
      <c r="J399" s="79"/>
      <c r="P399" s="79"/>
      <c r="Q399" s="79"/>
      <c r="T399" s="79"/>
      <c r="U399" s="79"/>
      <c r="X399" s="130"/>
      <c r="Z399" s="106"/>
    </row>
    <row r="400">
      <c r="C400" s="79"/>
      <c r="D400" s="79"/>
      <c r="J400" s="79"/>
      <c r="P400" s="79"/>
      <c r="Q400" s="79"/>
      <c r="T400" s="79"/>
      <c r="U400" s="79"/>
      <c r="X400" s="130"/>
      <c r="Z400" s="106"/>
    </row>
    <row r="401">
      <c r="C401" s="79"/>
      <c r="D401" s="79"/>
      <c r="J401" s="79"/>
      <c r="P401" s="79"/>
      <c r="Q401" s="79"/>
      <c r="T401" s="79"/>
      <c r="U401" s="79"/>
      <c r="X401" s="130"/>
      <c r="Z401" s="106"/>
    </row>
    <row r="402">
      <c r="C402" s="79"/>
      <c r="D402" s="79"/>
      <c r="J402" s="79"/>
      <c r="P402" s="79"/>
      <c r="Q402" s="79"/>
      <c r="T402" s="79"/>
      <c r="U402" s="79"/>
      <c r="X402" s="130"/>
      <c r="Z402" s="106"/>
    </row>
    <row r="403">
      <c r="C403" s="79"/>
      <c r="D403" s="79"/>
      <c r="J403" s="79"/>
      <c r="P403" s="79"/>
      <c r="Q403" s="79"/>
      <c r="T403" s="79"/>
      <c r="U403" s="79"/>
      <c r="X403" s="130"/>
      <c r="Z403" s="106"/>
    </row>
    <row r="404">
      <c r="C404" s="79"/>
      <c r="D404" s="79"/>
      <c r="J404" s="79"/>
      <c r="P404" s="79"/>
      <c r="Q404" s="79"/>
      <c r="T404" s="79"/>
      <c r="U404" s="79"/>
      <c r="X404" s="130"/>
      <c r="Z404" s="106"/>
    </row>
    <row r="405">
      <c r="C405" s="79"/>
      <c r="D405" s="79"/>
      <c r="J405" s="79"/>
      <c r="P405" s="79"/>
      <c r="Q405" s="79"/>
      <c r="T405" s="79"/>
      <c r="U405" s="79"/>
      <c r="X405" s="130"/>
      <c r="Z405" s="106"/>
    </row>
    <row r="406">
      <c r="C406" s="79"/>
      <c r="D406" s="79"/>
      <c r="J406" s="79"/>
      <c r="P406" s="79"/>
      <c r="Q406" s="79"/>
      <c r="T406" s="79"/>
      <c r="U406" s="79"/>
      <c r="X406" s="130"/>
      <c r="Z406" s="106"/>
    </row>
    <row r="407">
      <c r="C407" s="79"/>
      <c r="D407" s="79"/>
      <c r="J407" s="79"/>
      <c r="P407" s="79"/>
      <c r="Q407" s="79"/>
      <c r="T407" s="79"/>
      <c r="U407" s="79"/>
      <c r="X407" s="130"/>
      <c r="Z407" s="106"/>
    </row>
    <row r="408">
      <c r="C408" s="79"/>
      <c r="D408" s="79"/>
      <c r="J408" s="79"/>
      <c r="P408" s="79"/>
      <c r="Q408" s="79"/>
      <c r="T408" s="79"/>
      <c r="U408" s="79"/>
      <c r="X408" s="130"/>
      <c r="Z408" s="106"/>
    </row>
    <row r="409">
      <c r="C409" s="79"/>
      <c r="D409" s="79"/>
      <c r="J409" s="79"/>
      <c r="P409" s="79"/>
      <c r="Q409" s="79"/>
      <c r="T409" s="79"/>
      <c r="U409" s="79"/>
      <c r="X409" s="130"/>
      <c r="Z409" s="106"/>
    </row>
    <row r="410">
      <c r="C410" s="79"/>
      <c r="D410" s="79"/>
      <c r="J410" s="79"/>
      <c r="P410" s="79"/>
      <c r="Q410" s="79"/>
      <c r="T410" s="79"/>
      <c r="U410" s="79"/>
      <c r="X410" s="130"/>
      <c r="Z410" s="106"/>
    </row>
    <row r="411">
      <c r="C411" s="79"/>
      <c r="D411" s="79"/>
      <c r="J411" s="79"/>
      <c r="P411" s="79"/>
      <c r="Q411" s="79"/>
      <c r="T411" s="79"/>
      <c r="U411" s="79"/>
      <c r="X411" s="130"/>
      <c r="Z411" s="106"/>
    </row>
    <row r="412">
      <c r="C412" s="79"/>
      <c r="D412" s="79"/>
      <c r="J412" s="79"/>
      <c r="P412" s="79"/>
      <c r="Q412" s="79"/>
      <c r="T412" s="79"/>
      <c r="U412" s="79"/>
      <c r="X412" s="130"/>
      <c r="Z412" s="106"/>
    </row>
    <row r="413">
      <c r="C413" s="79"/>
      <c r="D413" s="79"/>
      <c r="J413" s="79"/>
      <c r="P413" s="79"/>
      <c r="Q413" s="79"/>
      <c r="T413" s="79"/>
      <c r="U413" s="79"/>
      <c r="X413" s="130"/>
      <c r="Z413" s="106"/>
    </row>
    <row r="414">
      <c r="C414" s="79"/>
      <c r="D414" s="79"/>
      <c r="J414" s="79"/>
      <c r="P414" s="79"/>
      <c r="Q414" s="79"/>
      <c r="T414" s="79"/>
      <c r="U414" s="79"/>
      <c r="X414" s="130"/>
      <c r="Z414" s="106"/>
    </row>
    <row r="415">
      <c r="C415" s="79"/>
      <c r="D415" s="79"/>
      <c r="J415" s="79"/>
      <c r="P415" s="79"/>
      <c r="Q415" s="79"/>
      <c r="T415" s="79"/>
      <c r="U415" s="79"/>
      <c r="X415" s="130"/>
      <c r="Z415" s="106"/>
    </row>
    <row r="416">
      <c r="C416" s="79"/>
      <c r="D416" s="79"/>
      <c r="J416" s="79"/>
      <c r="P416" s="79"/>
      <c r="Q416" s="79"/>
      <c r="T416" s="79"/>
      <c r="U416" s="79"/>
      <c r="X416" s="130"/>
      <c r="Z416" s="106"/>
    </row>
    <row r="417">
      <c r="C417" s="79"/>
      <c r="D417" s="79"/>
      <c r="J417" s="79"/>
      <c r="P417" s="79"/>
      <c r="Q417" s="79"/>
      <c r="T417" s="79"/>
      <c r="U417" s="79"/>
      <c r="X417" s="130"/>
      <c r="Z417" s="106"/>
    </row>
    <row r="418">
      <c r="C418" s="79"/>
      <c r="D418" s="79"/>
      <c r="J418" s="79"/>
      <c r="P418" s="79"/>
      <c r="Q418" s="79"/>
      <c r="T418" s="79"/>
      <c r="U418" s="79"/>
      <c r="X418" s="130"/>
      <c r="Z418" s="106"/>
    </row>
    <row r="419">
      <c r="C419" s="79"/>
      <c r="D419" s="79"/>
      <c r="J419" s="79"/>
      <c r="P419" s="79"/>
      <c r="Q419" s="79"/>
      <c r="T419" s="79"/>
      <c r="U419" s="79"/>
      <c r="X419" s="130"/>
      <c r="Z419" s="106"/>
    </row>
    <row r="420">
      <c r="C420" s="79"/>
      <c r="D420" s="79"/>
      <c r="J420" s="79"/>
      <c r="P420" s="79"/>
      <c r="Q420" s="79"/>
      <c r="T420" s="79"/>
      <c r="U420" s="79"/>
      <c r="X420" s="130"/>
      <c r="Z420" s="106"/>
    </row>
    <row r="421">
      <c r="C421" s="79"/>
      <c r="D421" s="79"/>
      <c r="J421" s="79"/>
      <c r="P421" s="79"/>
      <c r="Q421" s="79"/>
      <c r="T421" s="79"/>
      <c r="U421" s="79"/>
      <c r="X421" s="130"/>
      <c r="Z421" s="106"/>
    </row>
    <row r="422">
      <c r="C422" s="79"/>
      <c r="D422" s="79"/>
      <c r="J422" s="79"/>
      <c r="P422" s="79"/>
      <c r="Q422" s="79"/>
      <c r="T422" s="79"/>
      <c r="U422" s="79"/>
      <c r="X422" s="130"/>
      <c r="Z422" s="106"/>
    </row>
    <row r="423">
      <c r="C423" s="79"/>
      <c r="D423" s="79"/>
      <c r="J423" s="79"/>
      <c r="P423" s="79"/>
      <c r="Q423" s="79"/>
      <c r="T423" s="79"/>
      <c r="U423" s="79"/>
      <c r="X423" s="130"/>
      <c r="Z423" s="106"/>
    </row>
    <row r="424">
      <c r="C424" s="79"/>
      <c r="D424" s="79"/>
      <c r="J424" s="79"/>
      <c r="P424" s="79"/>
      <c r="Q424" s="79"/>
      <c r="T424" s="79"/>
      <c r="U424" s="79"/>
      <c r="X424" s="130"/>
      <c r="Z424" s="106"/>
    </row>
    <row r="425">
      <c r="C425" s="79"/>
      <c r="D425" s="79"/>
      <c r="J425" s="79"/>
      <c r="P425" s="79"/>
      <c r="Q425" s="79"/>
      <c r="T425" s="79"/>
      <c r="U425" s="79"/>
      <c r="X425" s="130"/>
      <c r="Z425" s="106"/>
    </row>
    <row r="426">
      <c r="C426" s="79"/>
      <c r="D426" s="79"/>
      <c r="J426" s="79"/>
      <c r="P426" s="79"/>
      <c r="Q426" s="79"/>
      <c r="T426" s="79"/>
      <c r="U426" s="79"/>
      <c r="X426" s="130"/>
      <c r="Z426" s="106"/>
    </row>
    <row r="427">
      <c r="C427" s="79"/>
      <c r="D427" s="79"/>
      <c r="J427" s="79"/>
      <c r="P427" s="79"/>
      <c r="Q427" s="79"/>
      <c r="T427" s="79"/>
      <c r="U427" s="79"/>
      <c r="X427" s="130"/>
      <c r="Z427" s="106"/>
    </row>
    <row r="428">
      <c r="C428" s="79"/>
      <c r="D428" s="79"/>
      <c r="J428" s="79"/>
      <c r="P428" s="79"/>
      <c r="Q428" s="79"/>
      <c r="T428" s="79"/>
      <c r="U428" s="79"/>
      <c r="X428" s="130"/>
      <c r="Z428" s="106"/>
    </row>
    <row r="429">
      <c r="C429" s="79"/>
      <c r="D429" s="79"/>
      <c r="J429" s="79"/>
      <c r="P429" s="79"/>
      <c r="Q429" s="79"/>
      <c r="T429" s="79"/>
      <c r="U429" s="79"/>
      <c r="X429" s="130"/>
      <c r="Z429" s="106"/>
    </row>
    <row r="430">
      <c r="C430" s="79"/>
      <c r="D430" s="79"/>
      <c r="J430" s="79"/>
      <c r="P430" s="79"/>
      <c r="Q430" s="79"/>
      <c r="T430" s="79"/>
      <c r="U430" s="79"/>
      <c r="X430" s="130"/>
      <c r="Z430" s="106"/>
    </row>
    <row r="431">
      <c r="C431" s="79"/>
      <c r="D431" s="79"/>
      <c r="J431" s="79"/>
      <c r="P431" s="79"/>
      <c r="Q431" s="79"/>
      <c r="T431" s="79"/>
      <c r="U431" s="79"/>
      <c r="X431" s="130"/>
      <c r="Z431" s="106"/>
    </row>
    <row r="432">
      <c r="C432" s="79"/>
      <c r="D432" s="79"/>
      <c r="J432" s="79"/>
      <c r="P432" s="79"/>
      <c r="Q432" s="79"/>
      <c r="T432" s="79"/>
      <c r="U432" s="79"/>
      <c r="X432" s="130"/>
      <c r="Z432" s="106"/>
    </row>
    <row r="433">
      <c r="C433" s="79"/>
      <c r="D433" s="79"/>
      <c r="J433" s="79"/>
      <c r="P433" s="79"/>
      <c r="Q433" s="79"/>
      <c r="T433" s="79"/>
      <c r="U433" s="79"/>
      <c r="X433" s="130"/>
      <c r="Z433" s="106"/>
    </row>
    <row r="434">
      <c r="C434" s="79"/>
      <c r="D434" s="79"/>
      <c r="J434" s="79"/>
      <c r="P434" s="79"/>
      <c r="Q434" s="79"/>
      <c r="T434" s="79"/>
      <c r="U434" s="79"/>
      <c r="X434" s="130"/>
      <c r="Z434" s="106"/>
    </row>
    <row r="435">
      <c r="C435" s="79"/>
      <c r="D435" s="79"/>
      <c r="J435" s="79"/>
      <c r="P435" s="79"/>
      <c r="Q435" s="79"/>
      <c r="T435" s="79"/>
      <c r="U435" s="79"/>
      <c r="X435" s="130"/>
      <c r="Z435" s="106"/>
    </row>
    <row r="436">
      <c r="C436" s="79"/>
      <c r="D436" s="79"/>
      <c r="J436" s="79"/>
      <c r="P436" s="79"/>
      <c r="Q436" s="79"/>
      <c r="T436" s="79"/>
      <c r="U436" s="79"/>
      <c r="X436" s="130"/>
      <c r="Z436" s="106"/>
    </row>
    <row r="437">
      <c r="C437" s="79"/>
      <c r="D437" s="79"/>
      <c r="J437" s="79"/>
      <c r="P437" s="79"/>
      <c r="Q437" s="79"/>
      <c r="T437" s="79"/>
      <c r="U437" s="79"/>
      <c r="X437" s="130"/>
      <c r="Z437" s="106"/>
    </row>
    <row r="438">
      <c r="C438" s="79"/>
      <c r="D438" s="79"/>
      <c r="J438" s="79"/>
      <c r="P438" s="79"/>
      <c r="Q438" s="79"/>
      <c r="T438" s="79"/>
      <c r="U438" s="79"/>
      <c r="X438" s="130"/>
      <c r="Z438" s="106"/>
    </row>
    <row r="439">
      <c r="C439" s="79"/>
      <c r="D439" s="79"/>
      <c r="J439" s="79"/>
      <c r="P439" s="79"/>
      <c r="Q439" s="79"/>
      <c r="T439" s="79"/>
      <c r="U439" s="79"/>
      <c r="X439" s="130"/>
      <c r="Z439" s="106"/>
    </row>
    <row r="440">
      <c r="C440" s="79"/>
      <c r="D440" s="79"/>
      <c r="J440" s="79"/>
      <c r="P440" s="79"/>
      <c r="Q440" s="79"/>
      <c r="T440" s="79"/>
      <c r="U440" s="79"/>
      <c r="X440" s="130"/>
      <c r="Z440" s="106"/>
    </row>
    <row r="441">
      <c r="C441" s="79"/>
      <c r="D441" s="79"/>
      <c r="J441" s="79"/>
      <c r="P441" s="79"/>
      <c r="Q441" s="79"/>
      <c r="T441" s="79"/>
      <c r="U441" s="79"/>
      <c r="X441" s="130"/>
      <c r="Z441" s="106"/>
    </row>
    <row r="442">
      <c r="C442" s="79"/>
      <c r="D442" s="79"/>
      <c r="J442" s="79"/>
      <c r="P442" s="79"/>
      <c r="Q442" s="79"/>
      <c r="T442" s="79"/>
      <c r="U442" s="79"/>
      <c r="X442" s="130"/>
      <c r="Z442" s="106"/>
    </row>
    <row r="443">
      <c r="C443" s="79"/>
      <c r="D443" s="79"/>
      <c r="J443" s="79"/>
      <c r="P443" s="79"/>
      <c r="Q443" s="79"/>
      <c r="T443" s="79"/>
      <c r="U443" s="79"/>
      <c r="X443" s="130"/>
      <c r="Z443" s="106"/>
    </row>
    <row r="444">
      <c r="C444" s="79"/>
      <c r="D444" s="79"/>
      <c r="J444" s="79"/>
      <c r="P444" s="79"/>
      <c r="Q444" s="79"/>
      <c r="T444" s="79"/>
      <c r="U444" s="79"/>
      <c r="X444" s="130"/>
      <c r="Z444" s="106"/>
    </row>
    <row r="445">
      <c r="C445" s="79"/>
      <c r="D445" s="79"/>
      <c r="J445" s="79"/>
      <c r="P445" s="79"/>
      <c r="Q445" s="79"/>
      <c r="T445" s="79"/>
      <c r="U445" s="79"/>
      <c r="X445" s="130"/>
      <c r="Z445" s="106"/>
    </row>
    <row r="446">
      <c r="C446" s="79"/>
      <c r="D446" s="79"/>
      <c r="J446" s="79"/>
      <c r="P446" s="79"/>
      <c r="Q446" s="79"/>
      <c r="T446" s="79"/>
      <c r="U446" s="79"/>
      <c r="X446" s="130"/>
      <c r="Z446" s="106"/>
    </row>
    <row r="447">
      <c r="C447" s="79"/>
      <c r="D447" s="79"/>
      <c r="J447" s="79"/>
      <c r="P447" s="79"/>
      <c r="Q447" s="79"/>
      <c r="T447" s="79"/>
      <c r="U447" s="79"/>
      <c r="X447" s="130"/>
      <c r="Z447" s="106"/>
    </row>
    <row r="448">
      <c r="C448" s="79"/>
      <c r="D448" s="79"/>
      <c r="J448" s="79"/>
      <c r="P448" s="79"/>
      <c r="Q448" s="79"/>
      <c r="T448" s="79"/>
      <c r="U448" s="79"/>
      <c r="X448" s="130"/>
      <c r="Z448" s="106"/>
    </row>
    <row r="449">
      <c r="C449" s="79"/>
      <c r="D449" s="79"/>
      <c r="J449" s="79"/>
      <c r="P449" s="79"/>
      <c r="Q449" s="79"/>
      <c r="T449" s="79"/>
      <c r="U449" s="79"/>
      <c r="X449" s="130"/>
      <c r="Z449" s="106"/>
    </row>
    <row r="450">
      <c r="C450" s="79"/>
      <c r="D450" s="79"/>
      <c r="J450" s="79"/>
      <c r="P450" s="79"/>
      <c r="Q450" s="79"/>
      <c r="T450" s="79"/>
      <c r="U450" s="79"/>
      <c r="X450" s="130"/>
      <c r="Z450" s="106"/>
    </row>
    <row r="451">
      <c r="C451" s="79"/>
      <c r="D451" s="79"/>
      <c r="J451" s="79"/>
      <c r="P451" s="79"/>
      <c r="Q451" s="79"/>
      <c r="T451" s="79"/>
      <c r="U451" s="79"/>
      <c r="X451" s="130"/>
      <c r="Z451" s="106"/>
    </row>
    <row r="452">
      <c r="C452" s="79"/>
      <c r="D452" s="79"/>
      <c r="J452" s="79"/>
      <c r="P452" s="79"/>
      <c r="Q452" s="79"/>
      <c r="T452" s="79"/>
      <c r="U452" s="79"/>
      <c r="X452" s="130"/>
      <c r="Z452" s="106"/>
    </row>
    <row r="453">
      <c r="C453" s="79"/>
      <c r="D453" s="79"/>
      <c r="J453" s="79"/>
      <c r="P453" s="79"/>
      <c r="Q453" s="79"/>
      <c r="T453" s="79"/>
      <c r="U453" s="79"/>
      <c r="X453" s="130"/>
      <c r="Z453" s="106"/>
    </row>
    <row r="454">
      <c r="C454" s="79"/>
      <c r="D454" s="79"/>
      <c r="J454" s="79"/>
      <c r="P454" s="79"/>
      <c r="Q454" s="79"/>
      <c r="T454" s="79"/>
      <c r="U454" s="79"/>
      <c r="X454" s="130"/>
      <c r="Z454" s="106"/>
    </row>
    <row r="455">
      <c r="C455" s="79"/>
      <c r="D455" s="79"/>
      <c r="J455" s="79"/>
      <c r="P455" s="79"/>
      <c r="Q455" s="79"/>
      <c r="T455" s="79"/>
      <c r="U455" s="79"/>
      <c r="X455" s="130"/>
      <c r="Z455" s="106"/>
    </row>
    <row r="456">
      <c r="C456" s="79"/>
      <c r="D456" s="79"/>
      <c r="J456" s="79"/>
      <c r="P456" s="79"/>
      <c r="Q456" s="79"/>
      <c r="T456" s="79"/>
      <c r="U456" s="79"/>
      <c r="X456" s="130"/>
      <c r="Z456" s="106"/>
    </row>
    <row r="457">
      <c r="C457" s="79"/>
      <c r="D457" s="79"/>
      <c r="J457" s="79"/>
      <c r="P457" s="79"/>
      <c r="Q457" s="79"/>
      <c r="T457" s="79"/>
      <c r="U457" s="79"/>
      <c r="X457" s="130"/>
      <c r="Z457" s="106"/>
    </row>
    <row r="458">
      <c r="C458" s="79"/>
      <c r="D458" s="79"/>
      <c r="J458" s="79"/>
      <c r="P458" s="79"/>
      <c r="Q458" s="79"/>
      <c r="T458" s="79"/>
      <c r="U458" s="79"/>
      <c r="X458" s="130"/>
      <c r="Z458" s="106"/>
    </row>
    <row r="459">
      <c r="C459" s="79"/>
      <c r="D459" s="79"/>
      <c r="J459" s="79"/>
      <c r="P459" s="79"/>
      <c r="Q459" s="79"/>
      <c r="T459" s="79"/>
      <c r="U459" s="79"/>
      <c r="X459" s="130"/>
      <c r="Z459" s="106"/>
    </row>
    <row r="460">
      <c r="C460" s="79"/>
      <c r="D460" s="79"/>
      <c r="J460" s="79"/>
      <c r="P460" s="79"/>
      <c r="Q460" s="79"/>
      <c r="T460" s="79"/>
      <c r="U460" s="79"/>
      <c r="X460" s="130"/>
      <c r="Z460" s="106"/>
    </row>
    <row r="461">
      <c r="C461" s="79"/>
      <c r="D461" s="79"/>
      <c r="J461" s="79"/>
      <c r="P461" s="79"/>
      <c r="Q461" s="79"/>
      <c r="T461" s="79"/>
      <c r="U461" s="79"/>
      <c r="X461" s="130"/>
      <c r="Z461" s="106"/>
    </row>
    <row r="462">
      <c r="C462" s="79"/>
      <c r="D462" s="79"/>
      <c r="J462" s="79"/>
      <c r="P462" s="79"/>
      <c r="Q462" s="79"/>
      <c r="T462" s="79"/>
      <c r="U462" s="79"/>
      <c r="X462" s="130"/>
      <c r="Z462" s="106"/>
    </row>
    <row r="463">
      <c r="C463" s="79"/>
      <c r="D463" s="79"/>
      <c r="J463" s="79"/>
      <c r="P463" s="79"/>
      <c r="Q463" s="79"/>
      <c r="T463" s="79"/>
      <c r="U463" s="79"/>
      <c r="X463" s="130"/>
      <c r="Z463" s="106"/>
    </row>
    <row r="464">
      <c r="C464" s="79"/>
      <c r="D464" s="79"/>
      <c r="J464" s="79"/>
      <c r="P464" s="79"/>
      <c r="Q464" s="79"/>
      <c r="T464" s="79"/>
      <c r="U464" s="79"/>
      <c r="X464" s="130"/>
      <c r="Z464" s="106"/>
    </row>
    <row r="465">
      <c r="C465" s="79"/>
      <c r="D465" s="79"/>
      <c r="J465" s="79"/>
      <c r="P465" s="79"/>
      <c r="Q465" s="79"/>
      <c r="T465" s="79"/>
      <c r="U465" s="79"/>
      <c r="X465" s="130"/>
      <c r="Z465" s="106"/>
    </row>
    <row r="466">
      <c r="C466" s="79"/>
      <c r="D466" s="79"/>
      <c r="J466" s="79"/>
      <c r="P466" s="79"/>
      <c r="Q466" s="79"/>
      <c r="T466" s="79"/>
      <c r="U466" s="79"/>
      <c r="X466" s="130"/>
      <c r="Z466" s="106"/>
    </row>
    <row r="467">
      <c r="C467" s="79"/>
      <c r="D467" s="79"/>
      <c r="J467" s="79"/>
      <c r="P467" s="79"/>
      <c r="Q467" s="79"/>
      <c r="T467" s="79"/>
      <c r="U467" s="79"/>
      <c r="X467" s="130"/>
      <c r="Z467" s="106"/>
    </row>
    <row r="468">
      <c r="C468" s="79"/>
      <c r="D468" s="79"/>
      <c r="J468" s="79"/>
      <c r="P468" s="79"/>
      <c r="Q468" s="79"/>
      <c r="T468" s="79"/>
      <c r="U468" s="79"/>
      <c r="X468" s="130"/>
      <c r="Z468" s="106"/>
    </row>
    <row r="469">
      <c r="C469" s="79"/>
      <c r="D469" s="79"/>
      <c r="J469" s="79"/>
      <c r="P469" s="79"/>
      <c r="Q469" s="79"/>
      <c r="T469" s="79"/>
      <c r="U469" s="79"/>
      <c r="X469" s="130"/>
      <c r="Z469" s="106"/>
    </row>
    <row r="470">
      <c r="C470" s="79"/>
      <c r="D470" s="79"/>
      <c r="J470" s="79"/>
      <c r="P470" s="79"/>
      <c r="Q470" s="79"/>
      <c r="T470" s="79"/>
      <c r="U470" s="79"/>
      <c r="X470" s="130"/>
      <c r="Z470" s="106"/>
    </row>
    <row r="471">
      <c r="C471" s="79"/>
      <c r="D471" s="79"/>
      <c r="J471" s="79"/>
      <c r="P471" s="79"/>
      <c r="Q471" s="79"/>
      <c r="T471" s="79"/>
      <c r="U471" s="79"/>
      <c r="X471" s="130"/>
      <c r="Z471" s="106"/>
    </row>
    <row r="472">
      <c r="C472" s="79"/>
      <c r="D472" s="79"/>
      <c r="J472" s="79"/>
      <c r="P472" s="79"/>
      <c r="Q472" s="79"/>
      <c r="T472" s="79"/>
      <c r="U472" s="79"/>
      <c r="X472" s="130"/>
      <c r="Z472" s="106"/>
    </row>
    <row r="473">
      <c r="C473" s="79"/>
      <c r="D473" s="79"/>
      <c r="J473" s="79"/>
      <c r="P473" s="79"/>
      <c r="Q473" s="79"/>
      <c r="T473" s="79"/>
      <c r="U473" s="79"/>
      <c r="X473" s="130"/>
      <c r="Z473" s="106"/>
    </row>
    <row r="474">
      <c r="C474" s="79"/>
      <c r="D474" s="79"/>
      <c r="J474" s="79"/>
      <c r="P474" s="79"/>
      <c r="Q474" s="79"/>
      <c r="T474" s="79"/>
      <c r="U474" s="79"/>
      <c r="X474" s="130"/>
      <c r="Z474" s="106"/>
    </row>
    <row r="475">
      <c r="C475" s="79"/>
      <c r="D475" s="79"/>
      <c r="J475" s="79"/>
      <c r="P475" s="79"/>
      <c r="Q475" s="79"/>
      <c r="T475" s="79"/>
      <c r="U475" s="79"/>
      <c r="X475" s="130"/>
      <c r="Z475" s="106"/>
    </row>
    <row r="476">
      <c r="C476" s="79"/>
      <c r="D476" s="79"/>
      <c r="J476" s="79"/>
      <c r="P476" s="79"/>
      <c r="Q476" s="79"/>
      <c r="T476" s="79"/>
      <c r="U476" s="79"/>
      <c r="X476" s="130"/>
      <c r="Z476" s="106"/>
    </row>
    <row r="477">
      <c r="C477" s="79"/>
      <c r="D477" s="79"/>
      <c r="J477" s="79"/>
      <c r="P477" s="79"/>
      <c r="Q477" s="79"/>
      <c r="T477" s="79"/>
      <c r="U477" s="79"/>
      <c r="X477" s="130"/>
      <c r="Z477" s="106"/>
    </row>
    <row r="478">
      <c r="C478" s="79"/>
      <c r="D478" s="79"/>
      <c r="J478" s="79"/>
      <c r="P478" s="79"/>
      <c r="Q478" s="79"/>
      <c r="T478" s="79"/>
      <c r="U478" s="79"/>
      <c r="X478" s="130"/>
      <c r="Z478" s="106"/>
    </row>
    <row r="479">
      <c r="C479" s="79"/>
      <c r="D479" s="79"/>
      <c r="J479" s="79"/>
      <c r="P479" s="79"/>
      <c r="Q479" s="79"/>
      <c r="T479" s="79"/>
      <c r="U479" s="79"/>
      <c r="X479" s="130"/>
      <c r="Z479" s="106"/>
    </row>
    <row r="480">
      <c r="C480" s="79"/>
      <c r="D480" s="79"/>
      <c r="J480" s="79"/>
      <c r="P480" s="79"/>
      <c r="Q480" s="79"/>
      <c r="T480" s="79"/>
      <c r="U480" s="79"/>
      <c r="X480" s="130"/>
      <c r="Z480" s="106"/>
    </row>
    <row r="481">
      <c r="C481" s="79"/>
      <c r="D481" s="79"/>
      <c r="J481" s="79"/>
      <c r="P481" s="79"/>
      <c r="Q481" s="79"/>
      <c r="T481" s="79"/>
      <c r="U481" s="79"/>
      <c r="X481" s="130"/>
      <c r="Z481" s="106"/>
    </row>
    <row r="482">
      <c r="C482" s="79"/>
      <c r="D482" s="79"/>
      <c r="J482" s="79"/>
      <c r="P482" s="79"/>
      <c r="Q482" s="79"/>
      <c r="T482" s="79"/>
      <c r="U482" s="79"/>
      <c r="X482" s="130"/>
      <c r="Z482" s="106"/>
    </row>
    <row r="483">
      <c r="C483" s="79"/>
      <c r="D483" s="79"/>
      <c r="J483" s="79"/>
      <c r="P483" s="79"/>
      <c r="Q483" s="79"/>
      <c r="T483" s="79"/>
      <c r="U483" s="79"/>
      <c r="X483" s="130"/>
      <c r="Z483" s="106"/>
    </row>
    <row r="484">
      <c r="C484" s="79"/>
      <c r="D484" s="79"/>
      <c r="J484" s="79"/>
      <c r="P484" s="79"/>
      <c r="Q484" s="79"/>
      <c r="T484" s="79"/>
      <c r="U484" s="79"/>
      <c r="X484" s="130"/>
      <c r="Z484" s="106"/>
    </row>
    <row r="485">
      <c r="C485" s="79"/>
      <c r="D485" s="79"/>
      <c r="J485" s="79"/>
      <c r="P485" s="79"/>
      <c r="Q485" s="79"/>
      <c r="T485" s="79"/>
      <c r="U485" s="79"/>
      <c r="X485" s="130"/>
      <c r="Z485" s="106"/>
    </row>
    <row r="486">
      <c r="C486" s="79"/>
      <c r="D486" s="79"/>
      <c r="J486" s="79"/>
      <c r="P486" s="79"/>
      <c r="Q486" s="79"/>
      <c r="T486" s="79"/>
      <c r="U486" s="79"/>
      <c r="X486" s="130"/>
      <c r="Z486" s="106"/>
    </row>
    <row r="487">
      <c r="C487" s="79"/>
      <c r="D487" s="79"/>
      <c r="J487" s="79"/>
      <c r="P487" s="79"/>
      <c r="Q487" s="79"/>
      <c r="T487" s="79"/>
      <c r="U487" s="79"/>
      <c r="X487" s="130"/>
      <c r="Z487" s="106"/>
    </row>
    <row r="488">
      <c r="C488" s="79"/>
      <c r="D488" s="79"/>
      <c r="J488" s="79"/>
      <c r="P488" s="79"/>
      <c r="Q488" s="79"/>
      <c r="T488" s="79"/>
      <c r="U488" s="79"/>
      <c r="X488" s="130"/>
      <c r="Z488" s="106"/>
    </row>
    <row r="489">
      <c r="C489" s="79"/>
      <c r="D489" s="79"/>
      <c r="J489" s="79"/>
      <c r="P489" s="79"/>
      <c r="Q489" s="79"/>
      <c r="T489" s="79"/>
      <c r="U489" s="79"/>
      <c r="X489" s="130"/>
      <c r="Z489" s="106"/>
    </row>
    <row r="490">
      <c r="C490" s="79"/>
      <c r="D490" s="79"/>
      <c r="J490" s="79"/>
      <c r="P490" s="79"/>
      <c r="Q490" s="79"/>
      <c r="T490" s="79"/>
      <c r="U490" s="79"/>
      <c r="X490" s="130"/>
      <c r="Z490" s="106"/>
    </row>
    <row r="491">
      <c r="C491" s="79"/>
      <c r="D491" s="79"/>
      <c r="J491" s="79"/>
      <c r="P491" s="79"/>
      <c r="Q491" s="79"/>
      <c r="T491" s="79"/>
      <c r="U491" s="79"/>
      <c r="X491" s="130"/>
      <c r="Z491" s="106"/>
    </row>
    <row r="492">
      <c r="C492" s="79"/>
      <c r="D492" s="79"/>
      <c r="J492" s="79"/>
      <c r="P492" s="79"/>
      <c r="Q492" s="79"/>
      <c r="T492" s="79"/>
      <c r="U492" s="79"/>
      <c r="X492" s="130"/>
      <c r="Z492" s="106"/>
    </row>
    <row r="493">
      <c r="C493" s="79"/>
      <c r="D493" s="79"/>
      <c r="J493" s="79"/>
      <c r="P493" s="79"/>
      <c r="Q493" s="79"/>
      <c r="T493" s="79"/>
      <c r="U493" s="79"/>
      <c r="X493" s="130"/>
      <c r="Z493" s="106"/>
    </row>
    <row r="494">
      <c r="C494" s="79"/>
      <c r="D494" s="79"/>
      <c r="J494" s="79"/>
      <c r="P494" s="79"/>
      <c r="Q494" s="79"/>
      <c r="T494" s="79"/>
      <c r="U494" s="79"/>
      <c r="X494" s="130"/>
      <c r="Z494" s="106"/>
    </row>
    <row r="495">
      <c r="C495" s="79"/>
      <c r="D495" s="79"/>
      <c r="J495" s="79"/>
      <c r="P495" s="79"/>
      <c r="Q495" s="79"/>
      <c r="T495" s="79"/>
      <c r="U495" s="79"/>
      <c r="X495" s="130"/>
      <c r="Z495" s="106"/>
    </row>
    <row r="496">
      <c r="C496" s="79"/>
      <c r="D496" s="79"/>
      <c r="J496" s="79"/>
      <c r="P496" s="79"/>
      <c r="Q496" s="79"/>
      <c r="T496" s="79"/>
      <c r="U496" s="79"/>
      <c r="X496" s="130"/>
      <c r="Z496" s="106"/>
    </row>
    <row r="497">
      <c r="C497" s="79"/>
      <c r="D497" s="79"/>
      <c r="J497" s="79"/>
      <c r="P497" s="79"/>
      <c r="Q497" s="79"/>
      <c r="T497" s="79"/>
      <c r="U497" s="79"/>
      <c r="X497" s="130"/>
      <c r="Z497" s="106"/>
    </row>
    <row r="498">
      <c r="C498" s="79"/>
      <c r="D498" s="79"/>
      <c r="J498" s="79"/>
      <c r="P498" s="79"/>
      <c r="Q498" s="79"/>
      <c r="T498" s="79"/>
      <c r="U498" s="79"/>
      <c r="X498" s="130"/>
      <c r="Z498" s="106"/>
    </row>
    <row r="499">
      <c r="C499" s="79"/>
      <c r="D499" s="79"/>
      <c r="J499" s="79"/>
      <c r="P499" s="79"/>
      <c r="Q499" s="79"/>
      <c r="T499" s="79"/>
      <c r="U499" s="79"/>
      <c r="X499" s="130"/>
      <c r="Z499" s="106"/>
    </row>
    <row r="500">
      <c r="C500" s="79"/>
      <c r="D500" s="79"/>
      <c r="J500" s="79"/>
      <c r="P500" s="79"/>
      <c r="Q500" s="79"/>
      <c r="T500" s="79"/>
      <c r="U500" s="79"/>
      <c r="X500" s="130"/>
      <c r="Z500" s="106"/>
    </row>
    <row r="501">
      <c r="C501" s="79"/>
      <c r="D501" s="79"/>
      <c r="J501" s="79"/>
      <c r="P501" s="79"/>
      <c r="Q501" s="79"/>
      <c r="T501" s="79"/>
      <c r="U501" s="79"/>
      <c r="X501" s="130"/>
      <c r="Z501" s="106"/>
    </row>
    <row r="502">
      <c r="C502" s="79"/>
      <c r="D502" s="79"/>
      <c r="J502" s="79"/>
      <c r="P502" s="79"/>
      <c r="Q502" s="79"/>
      <c r="T502" s="79"/>
      <c r="U502" s="79"/>
      <c r="X502" s="130"/>
      <c r="Z502" s="106"/>
    </row>
    <row r="503">
      <c r="C503" s="79"/>
      <c r="D503" s="79"/>
      <c r="J503" s="79"/>
      <c r="P503" s="79"/>
      <c r="Q503" s="79"/>
      <c r="T503" s="79"/>
      <c r="U503" s="79"/>
      <c r="X503" s="130"/>
      <c r="Z503" s="106"/>
    </row>
    <row r="504">
      <c r="C504" s="79"/>
      <c r="D504" s="79"/>
      <c r="J504" s="79"/>
      <c r="P504" s="79"/>
      <c r="Q504" s="79"/>
      <c r="T504" s="79"/>
      <c r="U504" s="79"/>
      <c r="X504" s="130"/>
      <c r="Z504" s="106"/>
    </row>
    <row r="505">
      <c r="C505" s="79"/>
      <c r="D505" s="79"/>
      <c r="J505" s="79"/>
      <c r="P505" s="79"/>
      <c r="Q505" s="79"/>
      <c r="T505" s="79"/>
      <c r="U505" s="79"/>
      <c r="X505" s="130"/>
      <c r="Z505" s="106"/>
    </row>
    <row r="506">
      <c r="C506" s="79"/>
      <c r="D506" s="79"/>
      <c r="J506" s="79"/>
      <c r="P506" s="79"/>
      <c r="Q506" s="79"/>
      <c r="T506" s="79"/>
      <c r="U506" s="79"/>
      <c r="X506" s="130"/>
      <c r="Z506" s="106"/>
    </row>
    <row r="507">
      <c r="C507" s="79"/>
      <c r="D507" s="79"/>
      <c r="J507" s="79"/>
      <c r="P507" s="79"/>
      <c r="Q507" s="79"/>
      <c r="T507" s="79"/>
      <c r="U507" s="79"/>
      <c r="X507" s="130"/>
      <c r="Z507" s="106"/>
    </row>
    <row r="508">
      <c r="C508" s="79"/>
      <c r="D508" s="79"/>
      <c r="J508" s="79"/>
      <c r="P508" s="79"/>
      <c r="Q508" s="79"/>
      <c r="T508" s="79"/>
      <c r="U508" s="79"/>
      <c r="X508" s="130"/>
      <c r="Z508" s="106"/>
    </row>
    <row r="509">
      <c r="C509" s="79"/>
      <c r="D509" s="79"/>
      <c r="J509" s="79"/>
      <c r="P509" s="79"/>
      <c r="Q509" s="79"/>
      <c r="T509" s="79"/>
      <c r="U509" s="79"/>
      <c r="X509" s="130"/>
      <c r="Z509" s="106"/>
    </row>
    <row r="510">
      <c r="C510" s="79"/>
      <c r="D510" s="79"/>
      <c r="J510" s="79"/>
      <c r="P510" s="79"/>
      <c r="Q510" s="79"/>
      <c r="T510" s="79"/>
      <c r="U510" s="79"/>
      <c r="X510" s="130"/>
      <c r="Z510" s="106"/>
    </row>
    <row r="511">
      <c r="C511" s="79"/>
      <c r="D511" s="79"/>
      <c r="J511" s="79"/>
      <c r="P511" s="79"/>
      <c r="Q511" s="79"/>
      <c r="T511" s="79"/>
      <c r="U511" s="79"/>
      <c r="X511" s="130"/>
      <c r="Z511" s="106"/>
    </row>
    <row r="512">
      <c r="C512" s="79"/>
      <c r="D512" s="79"/>
      <c r="J512" s="79"/>
      <c r="P512" s="79"/>
      <c r="Q512" s="79"/>
      <c r="T512" s="79"/>
      <c r="U512" s="79"/>
      <c r="X512" s="130"/>
      <c r="Z512" s="106"/>
    </row>
    <row r="513">
      <c r="C513" s="79"/>
      <c r="D513" s="79"/>
      <c r="J513" s="79"/>
      <c r="P513" s="79"/>
      <c r="Q513" s="79"/>
      <c r="T513" s="79"/>
      <c r="U513" s="79"/>
      <c r="X513" s="130"/>
      <c r="Z513" s="106"/>
    </row>
    <row r="514">
      <c r="C514" s="79"/>
      <c r="D514" s="79"/>
      <c r="J514" s="79"/>
      <c r="P514" s="79"/>
      <c r="Q514" s="79"/>
      <c r="T514" s="79"/>
      <c r="U514" s="79"/>
      <c r="X514" s="130"/>
      <c r="Z514" s="106"/>
    </row>
    <row r="515">
      <c r="C515" s="79"/>
      <c r="D515" s="79"/>
      <c r="J515" s="79"/>
      <c r="P515" s="79"/>
      <c r="Q515" s="79"/>
      <c r="T515" s="79"/>
      <c r="U515" s="79"/>
      <c r="X515" s="130"/>
      <c r="Z515" s="106"/>
    </row>
    <row r="516">
      <c r="C516" s="79"/>
      <c r="D516" s="79"/>
      <c r="J516" s="79"/>
      <c r="P516" s="79"/>
      <c r="Q516" s="79"/>
      <c r="T516" s="79"/>
      <c r="U516" s="79"/>
      <c r="X516" s="130"/>
      <c r="Z516" s="106"/>
    </row>
    <row r="517">
      <c r="C517" s="79"/>
      <c r="D517" s="79"/>
      <c r="J517" s="79"/>
      <c r="P517" s="79"/>
      <c r="Q517" s="79"/>
      <c r="T517" s="79"/>
      <c r="U517" s="79"/>
      <c r="X517" s="130"/>
      <c r="Z517" s="106"/>
    </row>
    <row r="518">
      <c r="C518" s="79"/>
      <c r="D518" s="79"/>
      <c r="J518" s="79"/>
      <c r="P518" s="79"/>
      <c r="Q518" s="79"/>
      <c r="T518" s="79"/>
      <c r="U518" s="79"/>
      <c r="X518" s="130"/>
      <c r="Z518" s="106"/>
    </row>
    <row r="519">
      <c r="C519" s="79"/>
      <c r="D519" s="79"/>
      <c r="J519" s="79"/>
      <c r="P519" s="79"/>
      <c r="Q519" s="79"/>
      <c r="T519" s="79"/>
      <c r="U519" s="79"/>
      <c r="X519" s="130"/>
      <c r="Z519" s="106"/>
    </row>
    <row r="520">
      <c r="C520" s="79"/>
      <c r="D520" s="79"/>
      <c r="J520" s="79"/>
      <c r="P520" s="79"/>
      <c r="Q520" s="79"/>
      <c r="T520" s="79"/>
      <c r="U520" s="79"/>
      <c r="X520" s="130"/>
      <c r="Z520" s="106"/>
    </row>
    <row r="521">
      <c r="C521" s="79"/>
      <c r="D521" s="79"/>
      <c r="J521" s="79"/>
      <c r="P521" s="79"/>
      <c r="Q521" s="79"/>
      <c r="T521" s="79"/>
      <c r="U521" s="79"/>
      <c r="X521" s="130"/>
      <c r="Z521" s="106"/>
    </row>
    <row r="522">
      <c r="C522" s="79"/>
      <c r="D522" s="79"/>
      <c r="J522" s="79"/>
      <c r="P522" s="79"/>
      <c r="Q522" s="79"/>
      <c r="T522" s="79"/>
      <c r="U522" s="79"/>
      <c r="X522" s="130"/>
      <c r="Z522" s="106"/>
    </row>
    <row r="523">
      <c r="C523" s="79"/>
      <c r="D523" s="79"/>
      <c r="J523" s="79"/>
      <c r="P523" s="79"/>
      <c r="Q523" s="79"/>
      <c r="T523" s="79"/>
      <c r="U523" s="79"/>
      <c r="X523" s="130"/>
      <c r="Z523" s="106"/>
    </row>
    <row r="524">
      <c r="C524" s="79"/>
      <c r="D524" s="79"/>
      <c r="J524" s="79"/>
      <c r="P524" s="79"/>
      <c r="Q524" s="79"/>
      <c r="T524" s="79"/>
      <c r="U524" s="79"/>
      <c r="X524" s="130"/>
      <c r="Z524" s="106"/>
    </row>
    <row r="525">
      <c r="C525" s="79"/>
      <c r="D525" s="79"/>
      <c r="J525" s="79"/>
      <c r="P525" s="79"/>
      <c r="Q525" s="79"/>
      <c r="T525" s="79"/>
      <c r="U525" s="79"/>
      <c r="X525" s="130"/>
      <c r="Z525" s="106"/>
    </row>
    <row r="526">
      <c r="C526" s="79"/>
      <c r="D526" s="79"/>
      <c r="J526" s="79"/>
      <c r="P526" s="79"/>
      <c r="Q526" s="79"/>
      <c r="T526" s="79"/>
      <c r="U526" s="79"/>
      <c r="X526" s="130"/>
      <c r="Z526" s="106"/>
    </row>
    <row r="527">
      <c r="C527" s="79"/>
      <c r="D527" s="79"/>
      <c r="J527" s="79"/>
      <c r="P527" s="79"/>
      <c r="Q527" s="79"/>
      <c r="T527" s="79"/>
      <c r="U527" s="79"/>
      <c r="X527" s="130"/>
      <c r="Z527" s="106"/>
    </row>
    <row r="528">
      <c r="C528" s="79"/>
      <c r="D528" s="79"/>
      <c r="J528" s="79"/>
      <c r="P528" s="79"/>
      <c r="Q528" s="79"/>
      <c r="T528" s="79"/>
      <c r="U528" s="79"/>
      <c r="X528" s="130"/>
      <c r="Z528" s="106"/>
    </row>
    <row r="529">
      <c r="C529" s="79"/>
      <c r="D529" s="79"/>
      <c r="J529" s="79"/>
      <c r="P529" s="79"/>
      <c r="Q529" s="79"/>
      <c r="T529" s="79"/>
      <c r="U529" s="79"/>
      <c r="X529" s="130"/>
      <c r="Z529" s="106"/>
    </row>
    <row r="530">
      <c r="C530" s="79"/>
      <c r="D530" s="79"/>
      <c r="J530" s="79"/>
      <c r="P530" s="79"/>
      <c r="Q530" s="79"/>
      <c r="T530" s="79"/>
      <c r="U530" s="79"/>
      <c r="X530" s="130"/>
      <c r="Z530" s="106"/>
    </row>
    <row r="531">
      <c r="C531" s="79"/>
      <c r="D531" s="79"/>
      <c r="J531" s="79"/>
      <c r="P531" s="79"/>
      <c r="Q531" s="79"/>
      <c r="T531" s="79"/>
      <c r="U531" s="79"/>
      <c r="X531" s="130"/>
      <c r="Z531" s="106"/>
    </row>
    <row r="532">
      <c r="C532" s="79"/>
      <c r="D532" s="79"/>
      <c r="J532" s="79"/>
      <c r="P532" s="79"/>
      <c r="Q532" s="79"/>
      <c r="T532" s="79"/>
      <c r="U532" s="79"/>
      <c r="X532" s="130"/>
      <c r="Z532" s="106"/>
    </row>
    <row r="533">
      <c r="C533" s="79"/>
      <c r="D533" s="79"/>
      <c r="J533" s="79"/>
      <c r="P533" s="79"/>
      <c r="Q533" s="79"/>
      <c r="T533" s="79"/>
      <c r="U533" s="79"/>
      <c r="X533" s="130"/>
      <c r="Z533" s="106"/>
    </row>
    <row r="534">
      <c r="C534" s="79"/>
      <c r="D534" s="79"/>
      <c r="J534" s="79"/>
      <c r="P534" s="79"/>
      <c r="Q534" s="79"/>
      <c r="T534" s="79"/>
      <c r="U534" s="79"/>
      <c r="X534" s="130"/>
      <c r="Z534" s="106"/>
    </row>
    <row r="535">
      <c r="C535" s="79"/>
      <c r="D535" s="79"/>
      <c r="J535" s="79"/>
      <c r="P535" s="79"/>
      <c r="Q535" s="79"/>
      <c r="T535" s="79"/>
      <c r="U535" s="79"/>
      <c r="X535" s="130"/>
      <c r="Z535" s="106"/>
    </row>
    <row r="536">
      <c r="C536" s="79"/>
      <c r="D536" s="79"/>
      <c r="J536" s="79"/>
      <c r="P536" s="79"/>
      <c r="Q536" s="79"/>
      <c r="T536" s="79"/>
      <c r="U536" s="79"/>
      <c r="X536" s="130"/>
      <c r="Z536" s="106"/>
    </row>
    <row r="537">
      <c r="C537" s="79"/>
      <c r="D537" s="79"/>
      <c r="J537" s="79"/>
      <c r="P537" s="79"/>
      <c r="Q537" s="79"/>
      <c r="T537" s="79"/>
      <c r="U537" s="79"/>
      <c r="X537" s="130"/>
      <c r="Z537" s="106"/>
    </row>
    <row r="538">
      <c r="C538" s="79"/>
      <c r="D538" s="79"/>
      <c r="J538" s="79"/>
      <c r="P538" s="79"/>
      <c r="Q538" s="79"/>
      <c r="T538" s="79"/>
      <c r="U538" s="79"/>
      <c r="X538" s="130"/>
      <c r="Z538" s="106"/>
    </row>
    <row r="539">
      <c r="C539" s="79"/>
      <c r="D539" s="79"/>
      <c r="J539" s="79"/>
      <c r="P539" s="79"/>
      <c r="Q539" s="79"/>
      <c r="T539" s="79"/>
      <c r="U539" s="79"/>
      <c r="X539" s="130"/>
      <c r="Z539" s="106"/>
    </row>
    <row r="540">
      <c r="C540" s="79"/>
      <c r="D540" s="79"/>
      <c r="J540" s="79"/>
      <c r="P540" s="79"/>
      <c r="Q540" s="79"/>
      <c r="T540" s="79"/>
      <c r="U540" s="79"/>
      <c r="X540" s="130"/>
      <c r="Z540" s="106"/>
    </row>
    <row r="541">
      <c r="C541" s="79"/>
      <c r="D541" s="79"/>
      <c r="J541" s="79"/>
      <c r="P541" s="79"/>
      <c r="Q541" s="79"/>
      <c r="T541" s="79"/>
      <c r="U541" s="79"/>
      <c r="X541" s="130"/>
      <c r="Z541" s="106"/>
    </row>
    <row r="542">
      <c r="C542" s="79"/>
      <c r="D542" s="79"/>
      <c r="J542" s="79"/>
      <c r="P542" s="79"/>
      <c r="Q542" s="79"/>
      <c r="T542" s="79"/>
      <c r="U542" s="79"/>
      <c r="X542" s="130"/>
      <c r="Z542" s="106"/>
    </row>
    <row r="543">
      <c r="C543" s="79"/>
      <c r="D543" s="79"/>
      <c r="J543" s="79"/>
      <c r="P543" s="79"/>
      <c r="Q543" s="79"/>
      <c r="T543" s="79"/>
      <c r="U543" s="79"/>
      <c r="X543" s="130"/>
      <c r="Z543" s="106"/>
    </row>
    <row r="544">
      <c r="C544" s="79"/>
      <c r="D544" s="79"/>
      <c r="J544" s="79"/>
      <c r="P544" s="79"/>
      <c r="Q544" s="79"/>
      <c r="T544" s="79"/>
      <c r="U544" s="79"/>
      <c r="X544" s="130"/>
      <c r="Z544" s="106"/>
    </row>
    <row r="545">
      <c r="C545" s="79"/>
      <c r="D545" s="79"/>
      <c r="J545" s="79"/>
      <c r="P545" s="79"/>
      <c r="Q545" s="79"/>
      <c r="T545" s="79"/>
      <c r="U545" s="79"/>
      <c r="X545" s="130"/>
      <c r="Z545" s="106"/>
    </row>
    <row r="546">
      <c r="C546" s="79"/>
      <c r="D546" s="79"/>
      <c r="J546" s="79"/>
      <c r="P546" s="79"/>
      <c r="Q546" s="79"/>
      <c r="T546" s="79"/>
      <c r="U546" s="79"/>
      <c r="X546" s="130"/>
      <c r="Z546" s="106"/>
    </row>
    <row r="547">
      <c r="C547" s="79"/>
      <c r="D547" s="79"/>
      <c r="J547" s="79"/>
      <c r="P547" s="79"/>
      <c r="Q547" s="79"/>
      <c r="T547" s="79"/>
      <c r="U547" s="79"/>
      <c r="X547" s="130"/>
      <c r="Z547" s="106"/>
    </row>
    <row r="548">
      <c r="C548" s="79"/>
      <c r="D548" s="79"/>
      <c r="J548" s="79"/>
      <c r="P548" s="79"/>
      <c r="Q548" s="79"/>
      <c r="T548" s="79"/>
      <c r="U548" s="79"/>
      <c r="X548" s="130"/>
      <c r="Z548" s="106"/>
    </row>
    <row r="549">
      <c r="C549" s="79"/>
      <c r="D549" s="79"/>
      <c r="J549" s="79"/>
      <c r="P549" s="79"/>
      <c r="Q549" s="79"/>
      <c r="T549" s="79"/>
      <c r="U549" s="79"/>
      <c r="X549" s="130"/>
      <c r="Z549" s="106"/>
    </row>
    <row r="550">
      <c r="C550" s="79"/>
      <c r="D550" s="79"/>
      <c r="J550" s="79"/>
      <c r="P550" s="79"/>
      <c r="Q550" s="79"/>
      <c r="T550" s="79"/>
      <c r="U550" s="79"/>
      <c r="X550" s="130"/>
      <c r="Z550" s="106"/>
    </row>
    <row r="551">
      <c r="C551" s="79"/>
      <c r="D551" s="79"/>
      <c r="J551" s="79"/>
      <c r="P551" s="79"/>
      <c r="Q551" s="79"/>
      <c r="T551" s="79"/>
      <c r="U551" s="79"/>
      <c r="X551" s="130"/>
      <c r="Z551" s="106"/>
    </row>
    <row r="552">
      <c r="C552" s="79"/>
      <c r="D552" s="79"/>
      <c r="J552" s="79"/>
      <c r="P552" s="79"/>
      <c r="Q552" s="79"/>
      <c r="T552" s="79"/>
      <c r="U552" s="79"/>
      <c r="X552" s="130"/>
      <c r="Z552" s="106"/>
    </row>
    <row r="553">
      <c r="C553" s="79"/>
      <c r="D553" s="79"/>
      <c r="J553" s="79"/>
      <c r="P553" s="79"/>
      <c r="Q553" s="79"/>
      <c r="T553" s="79"/>
      <c r="U553" s="79"/>
      <c r="X553" s="130"/>
      <c r="Z553" s="106"/>
    </row>
    <row r="554">
      <c r="C554" s="79"/>
      <c r="D554" s="79"/>
      <c r="J554" s="79"/>
      <c r="P554" s="79"/>
      <c r="Q554" s="79"/>
      <c r="T554" s="79"/>
      <c r="U554" s="79"/>
      <c r="X554" s="130"/>
      <c r="Z554" s="106"/>
    </row>
    <row r="555">
      <c r="C555" s="79"/>
      <c r="D555" s="79"/>
      <c r="J555" s="79"/>
      <c r="P555" s="79"/>
      <c r="Q555" s="79"/>
      <c r="T555" s="79"/>
      <c r="U555" s="79"/>
      <c r="X555" s="130"/>
      <c r="Z555" s="106"/>
    </row>
    <row r="556">
      <c r="C556" s="79"/>
      <c r="D556" s="79"/>
      <c r="J556" s="79"/>
      <c r="P556" s="79"/>
      <c r="Q556" s="79"/>
      <c r="T556" s="79"/>
      <c r="U556" s="79"/>
      <c r="X556" s="130"/>
      <c r="Z556" s="106"/>
    </row>
    <row r="557">
      <c r="C557" s="79"/>
      <c r="D557" s="79"/>
      <c r="J557" s="79"/>
      <c r="P557" s="79"/>
      <c r="Q557" s="79"/>
      <c r="T557" s="79"/>
      <c r="U557" s="79"/>
      <c r="X557" s="130"/>
      <c r="Z557" s="106"/>
    </row>
    <row r="558">
      <c r="C558" s="79"/>
      <c r="D558" s="79"/>
      <c r="J558" s="79"/>
      <c r="P558" s="79"/>
      <c r="Q558" s="79"/>
      <c r="T558" s="79"/>
      <c r="U558" s="79"/>
      <c r="X558" s="130"/>
      <c r="Z558" s="106"/>
    </row>
    <row r="559">
      <c r="C559" s="79"/>
      <c r="D559" s="79"/>
      <c r="J559" s="79"/>
      <c r="P559" s="79"/>
      <c r="Q559" s="79"/>
      <c r="T559" s="79"/>
      <c r="U559" s="79"/>
      <c r="X559" s="130"/>
      <c r="Z559" s="106"/>
    </row>
    <row r="560">
      <c r="C560" s="79"/>
      <c r="D560" s="79"/>
      <c r="J560" s="79"/>
      <c r="P560" s="79"/>
      <c r="Q560" s="79"/>
      <c r="T560" s="79"/>
      <c r="U560" s="79"/>
      <c r="X560" s="130"/>
      <c r="Z560" s="106"/>
    </row>
    <row r="561">
      <c r="C561" s="79"/>
      <c r="D561" s="79"/>
      <c r="J561" s="79"/>
      <c r="P561" s="79"/>
      <c r="Q561" s="79"/>
      <c r="T561" s="79"/>
      <c r="U561" s="79"/>
      <c r="X561" s="130"/>
      <c r="Z561" s="106"/>
    </row>
    <row r="562">
      <c r="C562" s="79"/>
      <c r="D562" s="79"/>
      <c r="J562" s="79"/>
      <c r="P562" s="79"/>
      <c r="Q562" s="79"/>
      <c r="T562" s="79"/>
      <c r="U562" s="79"/>
      <c r="X562" s="130"/>
      <c r="Z562" s="106"/>
    </row>
    <row r="563">
      <c r="C563" s="79"/>
      <c r="D563" s="79"/>
      <c r="J563" s="79"/>
      <c r="P563" s="79"/>
      <c r="Q563" s="79"/>
      <c r="T563" s="79"/>
      <c r="U563" s="79"/>
      <c r="X563" s="130"/>
      <c r="Z563" s="106"/>
    </row>
    <row r="564">
      <c r="C564" s="79"/>
      <c r="D564" s="79"/>
      <c r="J564" s="79"/>
      <c r="P564" s="79"/>
      <c r="Q564" s="79"/>
      <c r="T564" s="79"/>
      <c r="U564" s="79"/>
      <c r="X564" s="130"/>
      <c r="Z564" s="106"/>
    </row>
    <row r="565">
      <c r="C565" s="79"/>
      <c r="D565" s="79"/>
      <c r="J565" s="79"/>
      <c r="P565" s="79"/>
      <c r="Q565" s="79"/>
      <c r="T565" s="79"/>
      <c r="U565" s="79"/>
      <c r="X565" s="130"/>
      <c r="Z565" s="106"/>
    </row>
    <row r="566">
      <c r="C566" s="79"/>
      <c r="D566" s="79"/>
      <c r="J566" s="79"/>
      <c r="P566" s="79"/>
      <c r="Q566" s="79"/>
      <c r="T566" s="79"/>
      <c r="U566" s="79"/>
      <c r="X566" s="130"/>
      <c r="Z566" s="106"/>
    </row>
    <row r="567">
      <c r="C567" s="79"/>
      <c r="D567" s="79"/>
      <c r="J567" s="79"/>
      <c r="P567" s="79"/>
      <c r="Q567" s="79"/>
      <c r="T567" s="79"/>
      <c r="U567" s="79"/>
      <c r="X567" s="130"/>
      <c r="Z567" s="106"/>
    </row>
    <row r="568">
      <c r="C568" s="79"/>
      <c r="D568" s="79"/>
      <c r="J568" s="79"/>
      <c r="P568" s="79"/>
      <c r="Q568" s="79"/>
      <c r="T568" s="79"/>
      <c r="U568" s="79"/>
      <c r="X568" s="130"/>
      <c r="Z568" s="106"/>
    </row>
    <row r="569">
      <c r="C569" s="79"/>
      <c r="D569" s="79"/>
      <c r="J569" s="79"/>
      <c r="P569" s="79"/>
      <c r="Q569" s="79"/>
      <c r="T569" s="79"/>
      <c r="U569" s="79"/>
      <c r="X569" s="130"/>
      <c r="Z569" s="106"/>
    </row>
    <row r="570">
      <c r="C570" s="79"/>
      <c r="D570" s="79"/>
      <c r="J570" s="79"/>
      <c r="P570" s="79"/>
      <c r="Q570" s="79"/>
      <c r="T570" s="79"/>
      <c r="U570" s="79"/>
      <c r="X570" s="130"/>
      <c r="Z570" s="106"/>
    </row>
    <row r="571">
      <c r="C571" s="79"/>
      <c r="D571" s="79"/>
      <c r="J571" s="79"/>
      <c r="P571" s="79"/>
      <c r="Q571" s="79"/>
      <c r="T571" s="79"/>
      <c r="U571" s="79"/>
      <c r="X571" s="130"/>
      <c r="Z571" s="106"/>
    </row>
    <row r="572">
      <c r="C572" s="79"/>
      <c r="D572" s="79"/>
      <c r="J572" s="79"/>
      <c r="P572" s="79"/>
      <c r="Q572" s="79"/>
      <c r="T572" s="79"/>
      <c r="U572" s="79"/>
      <c r="X572" s="130"/>
      <c r="Z572" s="106"/>
    </row>
    <row r="573">
      <c r="C573" s="79"/>
      <c r="D573" s="79"/>
      <c r="J573" s="79"/>
      <c r="P573" s="79"/>
      <c r="Q573" s="79"/>
      <c r="T573" s="79"/>
      <c r="U573" s="79"/>
      <c r="X573" s="130"/>
      <c r="Z573" s="106"/>
    </row>
    <row r="574">
      <c r="C574" s="79"/>
      <c r="D574" s="79"/>
      <c r="J574" s="79"/>
      <c r="P574" s="79"/>
      <c r="Q574" s="79"/>
      <c r="T574" s="79"/>
      <c r="U574" s="79"/>
      <c r="X574" s="130"/>
      <c r="Z574" s="106"/>
    </row>
    <row r="575">
      <c r="C575" s="79"/>
      <c r="D575" s="79"/>
      <c r="J575" s="79"/>
      <c r="P575" s="79"/>
      <c r="Q575" s="79"/>
      <c r="T575" s="79"/>
      <c r="U575" s="79"/>
      <c r="X575" s="130"/>
      <c r="Z575" s="106"/>
    </row>
    <row r="576">
      <c r="C576" s="79"/>
      <c r="D576" s="79"/>
      <c r="J576" s="79"/>
      <c r="P576" s="79"/>
      <c r="Q576" s="79"/>
      <c r="T576" s="79"/>
      <c r="U576" s="79"/>
      <c r="X576" s="130"/>
      <c r="Z576" s="106"/>
    </row>
    <row r="577">
      <c r="C577" s="79"/>
      <c r="D577" s="79"/>
      <c r="J577" s="79"/>
      <c r="P577" s="79"/>
      <c r="Q577" s="79"/>
      <c r="T577" s="79"/>
      <c r="U577" s="79"/>
      <c r="X577" s="130"/>
      <c r="Z577" s="106"/>
    </row>
    <row r="578">
      <c r="C578" s="79"/>
      <c r="D578" s="79"/>
      <c r="J578" s="79"/>
      <c r="P578" s="79"/>
      <c r="Q578" s="79"/>
      <c r="T578" s="79"/>
      <c r="U578" s="79"/>
      <c r="X578" s="130"/>
      <c r="Z578" s="106"/>
    </row>
    <row r="579">
      <c r="C579" s="79"/>
      <c r="D579" s="79"/>
      <c r="J579" s="79"/>
      <c r="P579" s="79"/>
      <c r="Q579" s="79"/>
      <c r="T579" s="79"/>
      <c r="U579" s="79"/>
      <c r="X579" s="130"/>
      <c r="Z579" s="106"/>
    </row>
    <row r="580">
      <c r="C580" s="79"/>
      <c r="D580" s="79"/>
      <c r="J580" s="79"/>
      <c r="P580" s="79"/>
      <c r="Q580" s="79"/>
      <c r="T580" s="79"/>
      <c r="U580" s="79"/>
      <c r="X580" s="130"/>
      <c r="Z580" s="106"/>
    </row>
    <row r="581">
      <c r="C581" s="79"/>
      <c r="D581" s="79"/>
      <c r="J581" s="79"/>
      <c r="P581" s="79"/>
      <c r="Q581" s="79"/>
      <c r="T581" s="79"/>
      <c r="U581" s="79"/>
      <c r="X581" s="130"/>
      <c r="Z581" s="106"/>
    </row>
    <row r="582">
      <c r="C582" s="79"/>
      <c r="D582" s="79"/>
      <c r="J582" s="79"/>
      <c r="P582" s="79"/>
      <c r="Q582" s="79"/>
      <c r="T582" s="79"/>
      <c r="U582" s="79"/>
      <c r="X582" s="130"/>
      <c r="Z582" s="106"/>
    </row>
    <row r="583">
      <c r="C583" s="79"/>
      <c r="D583" s="79"/>
      <c r="J583" s="79"/>
      <c r="P583" s="79"/>
      <c r="Q583" s="79"/>
      <c r="T583" s="79"/>
      <c r="U583" s="79"/>
      <c r="X583" s="130"/>
      <c r="Z583" s="106"/>
    </row>
    <row r="584">
      <c r="C584" s="79"/>
      <c r="D584" s="79"/>
      <c r="J584" s="79"/>
      <c r="P584" s="79"/>
      <c r="Q584" s="79"/>
      <c r="T584" s="79"/>
      <c r="U584" s="79"/>
      <c r="X584" s="130"/>
      <c r="Z584" s="106"/>
    </row>
    <row r="585">
      <c r="C585" s="79"/>
      <c r="D585" s="79"/>
      <c r="J585" s="79"/>
      <c r="P585" s="79"/>
      <c r="Q585" s="79"/>
      <c r="T585" s="79"/>
      <c r="U585" s="79"/>
      <c r="X585" s="130"/>
      <c r="Z585" s="106"/>
    </row>
    <row r="586">
      <c r="C586" s="79"/>
      <c r="D586" s="79"/>
      <c r="J586" s="79"/>
      <c r="P586" s="79"/>
      <c r="Q586" s="79"/>
      <c r="T586" s="79"/>
      <c r="U586" s="79"/>
      <c r="X586" s="130"/>
      <c r="Z586" s="106"/>
    </row>
    <row r="587">
      <c r="C587" s="79"/>
      <c r="D587" s="79"/>
      <c r="J587" s="79"/>
      <c r="P587" s="79"/>
      <c r="Q587" s="79"/>
      <c r="T587" s="79"/>
      <c r="U587" s="79"/>
      <c r="X587" s="130"/>
      <c r="Z587" s="106"/>
    </row>
    <row r="588">
      <c r="C588" s="79"/>
      <c r="D588" s="79"/>
      <c r="J588" s="79"/>
      <c r="P588" s="79"/>
      <c r="Q588" s="79"/>
      <c r="T588" s="79"/>
      <c r="U588" s="79"/>
      <c r="X588" s="130"/>
      <c r="Z588" s="106"/>
    </row>
    <row r="589">
      <c r="C589" s="79"/>
      <c r="D589" s="79"/>
      <c r="J589" s="79"/>
      <c r="P589" s="79"/>
      <c r="Q589" s="79"/>
      <c r="T589" s="79"/>
      <c r="U589" s="79"/>
      <c r="X589" s="130"/>
      <c r="Z589" s="106"/>
    </row>
    <row r="590">
      <c r="C590" s="79"/>
      <c r="D590" s="79"/>
      <c r="J590" s="79"/>
      <c r="P590" s="79"/>
      <c r="Q590" s="79"/>
      <c r="T590" s="79"/>
      <c r="U590" s="79"/>
      <c r="X590" s="130"/>
      <c r="Z590" s="106"/>
    </row>
    <row r="591">
      <c r="C591" s="79"/>
      <c r="D591" s="79"/>
      <c r="J591" s="79"/>
      <c r="P591" s="79"/>
      <c r="Q591" s="79"/>
      <c r="T591" s="79"/>
      <c r="U591" s="79"/>
      <c r="X591" s="130"/>
      <c r="Z591" s="106"/>
    </row>
    <row r="592">
      <c r="C592" s="79"/>
      <c r="D592" s="79"/>
      <c r="J592" s="79"/>
      <c r="P592" s="79"/>
      <c r="Q592" s="79"/>
      <c r="T592" s="79"/>
      <c r="U592" s="79"/>
      <c r="X592" s="130"/>
      <c r="Z592" s="106"/>
    </row>
    <row r="593">
      <c r="C593" s="79"/>
      <c r="D593" s="79"/>
      <c r="J593" s="79"/>
      <c r="P593" s="79"/>
      <c r="Q593" s="79"/>
      <c r="T593" s="79"/>
      <c r="U593" s="79"/>
      <c r="X593" s="130"/>
      <c r="Z593" s="106"/>
    </row>
    <row r="594">
      <c r="C594" s="79"/>
      <c r="D594" s="79"/>
      <c r="J594" s="79"/>
      <c r="P594" s="79"/>
      <c r="Q594" s="79"/>
      <c r="T594" s="79"/>
      <c r="U594" s="79"/>
      <c r="X594" s="130"/>
      <c r="Z594" s="106"/>
    </row>
    <row r="595">
      <c r="C595" s="79"/>
      <c r="D595" s="79"/>
      <c r="J595" s="79"/>
      <c r="P595" s="79"/>
      <c r="Q595" s="79"/>
      <c r="T595" s="79"/>
      <c r="U595" s="79"/>
      <c r="X595" s="130"/>
      <c r="Z595" s="106"/>
    </row>
    <row r="596">
      <c r="C596" s="79"/>
      <c r="D596" s="79"/>
      <c r="J596" s="79"/>
      <c r="P596" s="79"/>
      <c r="Q596" s="79"/>
      <c r="T596" s="79"/>
      <c r="U596" s="79"/>
      <c r="X596" s="130"/>
      <c r="Z596" s="106"/>
    </row>
    <row r="597">
      <c r="C597" s="79"/>
      <c r="D597" s="79"/>
      <c r="J597" s="79"/>
      <c r="P597" s="79"/>
      <c r="Q597" s="79"/>
      <c r="T597" s="79"/>
      <c r="U597" s="79"/>
      <c r="X597" s="130"/>
      <c r="Z597" s="106"/>
    </row>
    <row r="598">
      <c r="C598" s="79"/>
      <c r="D598" s="79"/>
      <c r="J598" s="79"/>
      <c r="P598" s="79"/>
      <c r="Q598" s="79"/>
      <c r="T598" s="79"/>
      <c r="U598" s="79"/>
      <c r="X598" s="130"/>
      <c r="Z598" s="106"/>
    </row>
    <row r="599">
      <c r="C599" s="79"/>
      <c r="D599" s="79"/>
      <c r="J599" s="79"/>
      <c r="P599" s="79"/>
      <c r="Q599" s="79"/>
      <c r="T599" s="79"/>
      <c r="U599" s="79"/>
      <c r="X599" s="130"/>
      <c r="Z599" s="106"/>
    </row>
    <row r="600">
      <c r="C600" s="79"/>
      <c r="D600" s="79"/>
      <c r="J600" s="79"/>
      <c r="P600" s="79"/>
      <c r="Q600" s="79"/>
      <c r="T600" s="79"/>
      <c r="U600" s="79"/>
      <c r="X600" s="130"/>
      <c r="Z600" s="106"/>
    </row>
    <row r="601">
      <c r="C601" s="79"/>
      <c r="D601" s="79"/>
      <c r="J601" s="79"/>
      <c r="P601" s="79"/>
      <c r="Q601" s="79"/>
      <c r="T601" s="79"/>
      <c r="U601" s="79"/>
      <c r="X601" s="130"/>
      <c r="Z601" s="106"/>
    </row>
    <row r="602">
      <c r="C602" s="79"/>
      <c r="D602" s="79"/>
      <c r="J602" s="79"/>
      <c r="P602" s="79"/>
      <c r="Q602" s="79"/>
      <c r="T602" s="79"/>
      <c r="U602" s="79"/>
      <c r="X602" s="130"/>
      <c r="Z602" s="106"/>
    </row>
    <row r="603">
      <c r="C603" s="79"/>
      <c r="D603" s="79"/>
      <c r="J603" s="79"/>
      <c r="P603" s="79"/>
      <c r="Q603" s="79"/>
      <c r="T603" s="79"/>
      <c r="U603" s="79"/>
      <c r="X603" s="130"/>
      <c r="Z603" s="106"/>
    </row>
    <row r="604">
      <c r="C604" s="79"/>
      <c r="D604" s="79"/>
      <c r="J604" s="79"/>
      <c r="P604" s="79"/>
      <c r="Q604" s="79"/>
      <c r="T604" s="79"/>
      <c r="U604" s="79"/>
      <c r="X604" s="130"/>
      <c r="Z604" s="106"/>
    </row>
    <row r="605">
      <c r="C605" s="79"/>
      <c r="D605" s="79"/>
      <c r="J605" s="79"/>
      <c r="P605" s="79"/>
      <c r="Q605" s="79"/>
      <c r="T605" s="79"/>
      <c r="U605" s="79"/>
      <c r="X605" s="130"/>
      <c r="Z605" s="106"/>
    </row>
    <row r="606">
      <c r="C606" s="79"/>
      <c r="D606" s="79"/>
      <c r="J606" s="79"/>
      <c r="P606" s="79"/>
      <c r="Q606" s="79"/>
      <c r="T606" s="79"/>
      <c r="U606" s="79"/>
      <c r="X606" s="130"/>
      <c r="Z606" s="106"/>
    </row>
    <row r="607">
      <c r="C607" s="79"/>
      <c r="D607" s="79"/>
      <c r="J607" s="79"/>
      <c r="P607" s="79"/>
      <c r="Q607" s="79"/>
      <c r="T607" s="79"/>
      <c r="U607" s="79"/>
      <c r="X607" s="130"/>
      <c r="Z607" s="106"/>
    </row>
    <row r="608">
      <c r="C608" s="79"/>
      <c r="D608" s="79"/>
      <c r="J608" s="79"/>
      <c r="P608" s="79"/>
      <c r="Q608" s="79"/>
      <c r="T608" s="79"/>
      <c r="U608" s="79"/>
      <c r="X608" s="130"/>
      <c r="Z608" s="106"/>
    </row>
    <row r="609">
      <c r="C609" s="79"/>
      <c r="D609" s="79"/>
      <c r="J609" s="79"/>
      <c r="P609" s="79"/>
      <c r="Q609" s="79"/>
      <c r="T609" s="79"/>
      <c r="U609" s="79"/>
      <c r="X609" s="130"/>
      <c r="Z609" s="106"/>
    </row>
    <row r="610">
      <c r="C610" s="79"/>
      <c r="D610" s="79"/>
      <c r="J610" s="79"/>
      <c r="P610" s="79"/>
      <c r="Q610" s="79"/>
      <c r="T610" s="79"/>
      <c r="U610" s="79"/>
      <c r="X610" s="130"/>
      <c r="Z610" s="106"/>
    </row>
    <row r="611">
      <c r="C611" s="79"/>
      <c r="D611" s="79"/>
      <c r="J611" s="79"/>
      <c r="P611" s="79"/>
      <c r="Q611" s="79"/>
      <c r="T611" s="79"/>
      <c r="U611" s="79"/>
      <c r="X611" s="130"/>
      <c r="Z611" s="106"/>
    </row>
    <row r="612">
      <c r="C612" s="79"/>
      <c r="D612" s="79"/>
      <c r="J612" s="79"/>
      <c r="P612" s="79"/>
      <c r="Q612" s="79"/>
      <c r="T612" s="79"/>
      <c r="U612" s="79"/>
      <c r="X612" s="130"/>
      <c r="Z612" s="106"/>
    </row>
    <row r="613">
      <c r="C613" s="79"/>
      <c r="D613" s="79"/>
      <c r="J613" s="79"/>
      <c r="P613" s="79"/>
      <c r="Q613" s="79"/>
      <c r="T613" s="79"/>
      <c r="U613" s="79"/>
      <c r="X613" s="130"/>
      <c r="Z613" s="106"/>
    </row>
    <row r="614">
      <c r="C614" s="79"/>
      <c r="D614" s="79"/>
      <c r="J614" s="79"/>
      <c r="P614" s="79"/>
      <c r="Q614" s="79"/>
      <c r="T614" s="79"/>
      <c r="U614" s="79"/>
      <c r="X614" s="130"/>
      <c r="Z614" s="106"/>
    </row>
    <row r="615">
      <c r="C615" s="79"/>
      <c r="D615" s="79"/>
      <c r="J615" s="79"/>
      <c r="P615" s="79"/>
      <c r="Q615" s="79"/>
      <c r="T615" s="79"/>
      <c r="U615" s="79"/>
      <c r="X615" s="130"/>
      <c r="Z615" s="106"/>
    </row>
    <row r="616">
      <c r="C616" s="79"/>
      <c r="D616" s="79"/>
      <c r="J616" s="79"/>
      <c r="P616" s="79"/>
      <c r="Q616" s="79"/>
      <c r="T616" s="79"/>
      <c r="U616" s="79"/>
      <c r="X616" s="130"/>
      <c r="Z616" s="106"/>
    </row>
    <row r="617">
      <c r="C617" s="79"/>
      <c r="D617" s="79"/>
      <c r="J617" s="79"/>
      <c r="P617" s="79"/>
      <c r="Q617" s="79"/>
      <c r="T617" s="79"/>
      <c r="U617" s="79"/>
      <c r="X617" s="130"/>
      <c r="Z617" s="106"/>
    </row>
    <row r="618">
      <c r="C618" s="79"/>
      <c r="D618" s="79"/>
      <c r="J618" s="79"/>
      <c r="P618" s="79"/>
      <c r="Q618" s="79"/>
      <c r="T618" s="79"/>
      <c r="U618" s="79"/>
      <c r="X618" s="130"/>
      <c r="Z618" s="106"/>
    </row>
    <row r="619">
      <c r="C619" s="79"/>
      <c r="D619" s="79"/>
      <c r="J619" s="79"/>
      <c r="P619" s="79"/>
      <c r="Q619" s="79"/>
      <c r="T619" s="79"/>
      <c r="U619" s="79"/>
      <c r="X619" s="130"/>
      <c r="Z619" s="106"/>
    </row>
    <row r="620">
      <c r="C620" s="79"/>
      <c r="D620" s="79"/>
      <c r="J620" s="79"/>
      <c r="P620" s="79"/>
      <c r="Q620" s="79"/>
      <c r="T620" s="79"/>
      <c r="U620" s="79"/>
      <c r="X620" s="130"/>
      <c r="Z620" s="106"/>
    </row>
    <row r="621">
      <c r="C621" s="79"/>
      <c r="D621" s="79"/>
      <c r="J621" s="79"/>
      <c r="P621" s="79"/>
      <c r="Q621" s="79"/>
      <c r="T621" s="79"/>
      <c r="U621" s="79"/>
      <c r="X621" s="130"/>
      <c r="Z621" s="106"/>
    </row>
    <row r="622">
      <c r="C622" s="79"/>
      <c r="D622" s="79"/>
      <c r="J622" s="79"/>
      <c r="P622" s="79"/>
      <c r="Q622" s="79"/>
      <c r="T622" s="79"/>
      <c r="U622" s="79"/>
      <c r="X622" s="130"/>
      <c r="Z622" s="106"/>
    </row>
    <row r="623">
      <c r="C623" s="79"/>
      <c r="D623" s="79"/>
      <c r="J623" s="79"/>
      <c r="P623" s="79"/>
      <c r="Q623" s="79"/>
      <c r="T623" s="79"/>
      <c r="U623" s="79"/>
      <c r="X623" s="130"/>
      <c r="Z623" s="106"/>
    </row>
    <row r="624">
      <c r="C624" s="79"/>
      <c r="D624" s="79"/>
      <c r="J624" s="79"/>
      <c r="P624" s="79"/>
      <c r="Q624" s="79"/>
      <c r="T624" s="79"/>
      <c r="U624" s="79"/>
      <c r="X624" s="130"/>
      <c r="Z624" s="106"/>
    </row>
    <row r="625">
      <c r="C625" s="79"/>
      <c r="D625" s="79"/>
      <c r="J625" s="79"/>
      <c r="P625" s="79"/>
      <c r="Q625" s="79"/>
      <c r="T625" s="79"/>
      <c r="U625" s="79"/>
      <c r="X625" s="130"/>
      <c r="Z625" s="106"/>
    </row>
    <row r="626">
      <c r="C626" s="79"/>
      <c r="D626" s="79"/>
      <c r="J626" s="79"/>
      <c r="P626" s="79"/>
      <c r="Q626" s="79"/>
      <c r="T626" s="79"/>
      <c r="U626" s="79"/>
      <c r="X626" s="130"/>
      <c r="Z626" s="106"/>
    </row>
    <row r="627">
      <c r="C627" s="79"/>
      <c r="D627" s="79"/>
      <c r="J627" s="79"/>
      <c r="P627" s="79"/>
      <c r="Q627" s="79"/>
      <c r="T627" s="79"/>
      <c r="U627" s="79"/>
      <c r="X627" s="130"/>
      <c r="Z627" s="106"/>
    </row>
    <row r="628">
      <c r="C628" s="79"/>
      <c r="D628" s="79"/>
      <c r="J628" s="79"/>
      <c r="P628" s="79"/>
      <c r="Q628" s="79"/>
      <c r="T628" s="79"/>
      <c r="U628" s="79"/>
      <c r="X628" s="130"/>
      <c r="Z628" s="106"/>
    </row>
    <row r="629">
      <c r="C629" s="79"/>
      <c r="D629" s="79"/>
      <c r="J629" s="79"/>
      <c r="P629" s="79"/>
      <c r="Q629" s="79"/>
      <c r="T629" s="79"/>
      <c r="U629" s="79"/>
      <c r="X629" s="130"/>
      <c r="Z629" s="106"/>
    </row>
    <row r="630">
      <c r="C630" s="79"/>
      <c r="D630" s="79"/>
      <c r="J630" s="79"/>
      <c r="P630" s="79"/>
      <c r="Q630" s="79"/>
      <c r="T630" s="79"/>
      <c r="U630" s="79"/>
      <c r="X630" s="130"/>
      <c r="Z630" s="106"/>
    </row>
    <row r="631">
      <c r="C631" s="79"/>
      <c r="D631" s="79"/>
      <c r="J631" s="79"/>
      <c r="P631" s="79"/>
      <c r="Q631" s="79"/>
      <c r="T631" s="79"/>
      <c r="U631" s="79"/>
      <c r="X631" s="130"/>
      <c r="Z631" s="106"/>
    </row>
    <row r="632">
      <c r="C632" s="79"/>
      <c r="D632" s="79"/>
      <c r="J632" s="79"/>
      <c r="P632" s="79"/>
      <c r="Q632" s="79"/>
      <c r="T632" s="79"/>
      <c r="U632" s="79"/>
      <c r="X632" s="130"/>
      <c r="Z632" s="106"/>
    </row>
    <row r="633">
      <c r="C633" s="79"/>
      <c r="D633" s="79"/>
      <c r="J633" s="79"/>
      <c r="P633" s="79"/>
      <c r="Q633" s="79"/>
      <c r="T633" s="79"/>
      <c r="U633" s="79"/>
      <c r="X633" s="130"/>
      <c r="Z633" s="106"/>
    </row>
    <row r="634">
      <c r="C634" s="79"/>
      <c r="D634" s="79"/>
      <c r="J634" s="79"/>
      <c r="P634" s="79"/>
      <c r="Q634" s="79"/>
      <c r="T634" s="79"/>
      <c r="U634" s="79"/>
      <c r="X634" s="130"/>
      <c r="Z634" s="106"/>
    </row>
    <row r="635">
      <c r="C635" s="79"/>
      <c r="D635" s="79"/>
      <c r="J635" s="79"/>
      <c r="P635" s="79"/>
      <c r="Q635" s="79"/>
      <c r="T635" s="79"/>
      <c r="U635" s="79"/>
      <c r="X635" s="130"/>
      <c r="Z635" s="106"/>
    </row>
    <row r="636">
      <c r="C636" s="79"/>
      <c r="D636" s="79"/>
      <c r="J636" s="79"/>
      <c r="P636" s="79"/>
      <c r="Q636" s="79"/>
      <c r="T636" s="79"/>
      <c r="U636" s="79"/>
      <c r="X636" s="130"/>
      <c r="Z636" s="106"/>
    </row>
    <row r="637">
      <c r="C637" s="79"/>
      <c r="D637" s="79"/>
      <c r="J637" s="79"/>
      <c r="P637" s="79"/>
      <c r="Q637" s="79"/>
      <c r="T637" s="79"/>
      <c r="U637" s="79"/>
      <c r="X637" s="130"/>
      <c r="Z637" s="106"/>
    </row>
    <row r="638">
      <c r="C638" s="79"/>
      <c r="D638" s="79"/>
      <c r="J638" s="79"/>
      <c r="P638" s="79"/>
      <c r="Q638" s="79"/>
      <c r="T638" s="79"/>
      <c r="U638" s="79"/>
      <c r="X638" s="130"/>
      <c r="Z638" s="106"/>
    </row>
    <row r="639">
      <c r="C639" s="79"/>
      <c r="D639" s="79"/>
      <c r="J639" s="79"/>
      <c r="P639" s="79"/>
      <c r="Q639" s="79"/>
      <c r="T639" s="79"/>
      <c r="U639" s="79"/>
      <c r="X639" s="130"/>
      <c r="Z639" s="106"/>
    </row>
    <row r="640">
      <c r="C640" s="79"/>
      <c r="D640" s="79"/>
      <c r="J640" s="79"/>
      <c r="P640" s="79"/>
      <c r="Q640" s="79"/>
      <c r="T640" s="79"/>
      <c r="U640" s="79"/>
      <c r="X640" s="130"/>
      <c r="Z640" s="106"/>
    </row>
    <row r="641">
      <c r="C641" s="79"/>
      <c r="D641" s="79"/>
      <c r="J641" s="79"/>
      <c r="P641" s="79"/>
      <c r="Q641" s="79"/>
      <c r="T641" s="79"/>
      <c r="U641" s="79"/>
      <c r="X641" s="130"/>
      <c r="Z641" s="106"/>
    </row>
    <row r="642">
      <c r="C642" s="79"/>
      <c r="D642" s="79"/>
      <c r="J642" s="79"/>
      <c r="P642" s="79"/>
      <c r="Q642" s="79"/>
      <c r="T642" s="79"/>
      <c r="U642" s="79"/>
      <c r="X642" s="130"/>
      <c r="Z642" s="106"/>
    </row>
    <row r="643">
      <c r="C643" s="79"/>
      <c r="D643" s="79"/>
      <c r="J643" s="79"/>
      <c r="P643" s="79"/>
      <c r="Q643" s="79"/>
      <c r="T643" s="79"/>
      <c r="U643" s="79"/>
      <c r="X643" s="130"/>
      <c r="Z643" s="106"/>
    </row>
    <row r="644">
      <c r="C644" s="79"/>
      <c r="D644" s="79"/>
      <c r="J644" s="79"/>
      <c r="P644" s="79"/>
      <c r="Q644" s="79"/>
      <c r="T644" s="79"/>
      <c r="U644" s="79"/>
      <c r="X644" s="130"/>
      <c r="Z644" s="106"/>
    </row>
    <row r="645">
      <c r="C645" s="79"/>
      <c r="D645" s="79"/>
      <c r="J645" s="79"/>
      <c r="P645" s="79"/>
      <c r="Q645" s="79"/>
      <c r="T645" s="79"/>
      <c r="U645" s="79"/>
      <c r="X645" s="130"/>
      <c r="Z645" s="106"/>
    </row>
    <row r="646">
      <c r="C646" s="79"/>
      <c r="D646" s="79"/>
      <c r="J646" s="79"/>
      <c r="P646" s="79"/>
      <c r="Q646" s="79"/>
      <c r="T646" s="79"/>
      <c r="U646" s="79"/>
      <c r="X646" s="130"/>
      <c r="Z646" s="106"/>
    </row>
    <row r="647">
      <c r="C647" s="79"/>
      <c r="D647" s="79"/>
      <c r="J647" s="79"/>
      <c r="P647" s="79"/>
      <c r="Q647" s="79"/>
      <c r="T647" s="79"/>
      <c r="U647" s="79"/>
      <c r="X647" s="130"/>
      <c r="Z647" s="106"/>
    </row>
    <row r="648">
      <c r="C648" s="79"/>
      <c r="D648" s="79"/>
      <c r="J648" s="79"/>
      <c r="P648" s="79"/>
      <c r="Q648" s="79"/>
      <c r="T648" s="79"/>
      <c r="U648" s="79"/>
      <c r="X648" s="130"/>
      <c r="Z648" s="106"/>
    </row>
    <row r="649">
      <c r="C649" s="79"/>
      <c r="D649" s="79"/>
      <c r="J649" s="79"/>
      <c r="P649" s="79"/>
      <c r="Q649" s="79"/>
      <c r="T649" s="79"/>
      <c r="U649" s="79"/>
      <c r="X649" s="130"/>
      <c r="Z649" s="106"/>
    </row>
    <row r="650">
      <c r="C650" s="79"/>
      <c r="D650" s="79"/>
      <c r="J650" s="79"/>
      <c r="P650" s="79"/>
      <c r="Q650" s="79"/>
      <c r="T650" s="79"/>
      <c r="U650" s="79"/>
      <c r="X650" s="130"/>
      <c r="Z650" s="106"/>
    </row>
    <row r="651">
      <c r="C651" s="79"/>
      <c r="D651" s="79"/>
      <c r="J651" s="79"/>
      <c r="P651" s="79"/>
      <c r="Q651" s="79"/>
      <c r="T651" s="79"/>
      <c r="U651" s="79"/>
      <c r="X651" s="130"/>
      <c r="Z651" s="106"/>
    </row>
    <row r="652">
      <c r="C652" s="79"/>
      <c r="D652" s="79"/>
      <c r="J652" s="79"/>
      <c r="P652" s="79"/>
      <c r="Q652" s="79"/>
      <c r="T652" s="79"/>
      <c r="U652" s="79"/>
      <c r="X652" s="130"/>
      <c r="Z652" s="106"/>
    </row>
    <row r="653">
      <c r="C653" s="79"/>
      <c r="D653" s="79"/>
      <c r="J653" s="79"/>
      <c r="P653" s="79"/>
      <c r="Q653" s="79"/>
      <c r="T653" s="79"/>
      <c r="U653" s="79"/>
      <c r="X653" s="130"/>
      <c r="Z653" s="106"/>
    </row>
    <row r="654">
      <c r="C654" s="79"/>
      <c r="D654" s="79"/>
      <c r="J654" s="79"/>
      <c r="P654" s="79"/>
      <c r="Q654" s="79"/>
      <c r="T654" s="79"/>
      <c r="U654" s="79"/>
      <c r="X654" s="130"/>
      <c r="Z654" s="106"/>
    </row>
    <row r="655">
      <c r="C655" s="79"/>
      <c r="D655" s="79"/>
      <c r="J655" s="79"/>
      <c r="P655" s="79"/>
      <c r="Q655" s="79"/>
      <c r="T655" s="79"/>
      <c r="U655" s="79"/>
      <c r="X655" s="130"/>
      <c r="Z655" s="106"/>
    </row>
    <row r="656">
      <c r="C656" s="79"/>
      <c r="D656" s="79"/>
      <c r="J656" s="79"/>
      <c r="P656" s="79"/>
      <c r="Q656" s="79"/>
      <c r="T656" s="79"/>
      <c r="U656" s="79"/>
      <c r="X656" s="130"/>
      <c r="Z656" s="106"/>
    </row>
    <row r="657">
      <c r="C657" s="79"/>
      <c r="D657" s="79"/>
      <c r="J657" s="79"/>
      <c r="P657" s="79"/>
      <c r="Q657" s="79"/>
      <c r="T657" s="79"/>
      <c r="U657" s="79"/>
      <c r="X657" s="130"/>
      <c r="Z657" s="106"/>
    </row>
    <row r="658">
      <c r="C658" s="79"/>
      <c r="D658" s="79"/>
      <c r="J658" s="79"/>
      <c r="P658" s="79"/>
      <c r="Q658" s="79"/>
      <c r="T658" s="79"/>
      <c r="U658" s="79"/>
      <c r="X658" s="130"/>
      <c r="Z658" s="106"/>
    </row>
    <row r="659">
      <c r="C659" s="79"/>
      <c r="D659" s="79"/>
      <c r="J659" s="79"/>
      <c r="P659" s="79"/>
      <c r="Q659" s="79"/>
      <c r="T659" s="79"/>
      <c r="U659" s="79"/>
      <c r="X659" s="130"/>
      <c r="Z659" s="106"/>
    </row>
    <row r="660">
      <c r="C660" s="79"/>
      <c r="D660" s="79"/>
      <c r="J660" s="79"/>
      <c r="P660" s="79"/>
      <c r="Q660" s="79"/>
      <c r="T660" s="79"/>
      <c r="U660" s="79"/>
      <c r="X660" s="130"/>
      <c r="Z660" s="106"/>
    </row>
    <row r="661">
      <c r="C661" s="79"/>
      <c r="D661" s="79"/>
      <c r="J661" s="79"/>
      <c r="P661" s="79"/>
      <c r="Q661" s="79"/>
      <c r="T661" s="79"/>
      <c r="U661" s="79"/>
      <c r="X661" s="130"/>
      <c r="Z661" s="106"/>
    </row>
    <row r="662">
      <c r="C662" s="79"/>
      <c r="D662" s="79"/>
      <c r="J662" s="79"/>
      <c r="P662" s="79"/>
      <c r="Q662" s="79"/>
      <c r="T662" s="79"/>
      <c r="U662" s="79"/>
      <c r="X662" s="130"/>
      <c r="Z662" s="106"/>
    </row>
    <row r="663">
      <c r="C663" s="79"/>
      <c r="D663" s="79"/>
      <c r="J663" s="79"/>
      <c r="P663" s="79"/>
      <c r="Q663" s="79"/>
      <c r="T663" s="79"/>
      <c r="U663" s="79"/>
      <c r="X663" s="130"/>
      <c r="Z663" s="106"/>
    </row>
    <row r="664">
      <c r="C664" s="79"/>
      <c r="D664" s="79"/>
      <c r="J664" s="79"/>
      <c r="P664" s="79"/>
      <c r="Q664" s="79"/>
      <c r="T664" s="79"/>
      <c r="U664" s="79"/>
      <c r="X664" s="130"/>
      <c r="Z664" s="106"/>
    </row>
    <row r="665">
      <c r="C665" s="79"/>
      <c r="D665" s="79"/>
      <c r="J665" s="79"/>
      <c r="P665" s="79"/>
      <c r="Q665" s="79"/>
      <c r="T665" s="79"/>
      <c r="U665" s="79"/>
      <c r="X665" s="130"/>
      <c r="Z665" s="106"/>
    </row>
    <row r="666">
      <c r="C666" s="79"/>
      <c r="D666" s="79"/>
      <c r="J666" s="79"/>
      <c r="P666" s="79"/>
      <c r="Q666" s="79"/>
      <c r="T666" s="79"/>
      <c r="U666" s="79"/>
      <c r="X666" s="130"/>
      <c r="Z666" s="106"/>
    </row>
    <row r="667">
      <c r="C667" s="79"/>
      <c r="D667" s="79"/>
      <c r="J667" s="79"/>
      <c r="P667" s="79"/>
      <c r="Q667" s="79"/>
      <c r="T667" s="79"/>
      <c r="U667" s="79"/>
      <c r="X667" s="130"/>
      <c r="Z667" s="106"/>
    </row>
    <row r="668">
      <c r="C668" s="79"/>
      <c r="D668" s="79"/>
      <c r="J668" s="79"/>
      <c r="P668" s="79"/>
      <c r="Q668" s="79"/>
      <c r="T668" s="79"/>
      <c r="U668" s="79"/>
      <c r="X668" s="130"/>
      <c r="Z668" s="106"/>
    </row>
    <row r="669">
      <c r="C669" s="79"/>
      <c r="D669" s="79"/>
      <c r="J669" s="79"/>
      <c r="P669" s="79"/>
      <c r="Q669" s="79"/>
      <c r="T669" s="79"/>
      <c r="U669" s="79"/>
      <c r="X669" s="130"/>
      <c r="Z669" s="106"/>
    </row>
    <row r="670">
      <c r="C670" s="79"/>
      <c r="D670" s="79"/>
      <c r="J670" s="79"/>
      <c r="P670" s="79"/>
      <c r="Q670" s="79"/>
      <c r="T670" s="79"/>
      <c r="U670" s="79"/>
      <c r="X670" s="130"/>
      <c r="Z670" s="106"/>
    </row>
    <row r="671">
      <c r="C671" s="79"/>
      <c r="D671" s="79"/>
      <c r="J671" s="79"/>
      <c r="P671" s="79"/>
      <c r="Q671" s="79"/>
      <c r="T671" s="79"/>
      <c r="U671" s="79"/>
      <c r="X671" s="130"/>
      <c r="Z671" s="106"/>
    </row>
    <row r="672">
      <c r="C672" s="79"/>
      <c r="D672" s="79"/>
      <c r="J672" s="79"/>
      <c r="P672" s="79"/>
      <c r="Q672" s="79"/>
      <c r="T672" s="79"/>
      <c r="U672" s="79"/>
      <c r="X672" s="130"/>
      <c r="Z672" s="106"/>
    </row>
    <row r="673">
      <c r="C673" s="79"/>
      <c r="D673" s="79"/>
      <c r="J673" s="79"/>
      <c r="P673" s="79"/>
      <c r="Q673" s="79"/>
      <c r="T673" s="79"/>
      <c r="U673" s="79"/>
      <c r="X673" s="130"/>
      <c r="Z673" s="106"/>
    </row>
    <row r="674">
      <c r="C674" s="79"/>
      <c r="D674" s="79"/>
      <c r="J674" s="79"/>
      <c r="P674" s="79"/>
      <c r="Q674" s="79"/>
      <c r="T674" s="79"/>
      <c r="U674" s="79"/>
      <c r="X674" s="130"/>
      <c r="Z674" s="106"/>
    </row>
    <row r="675">
      <c r="C675" s="79"/>
      <c r="D675" s="79"/>
      <c r="J675" s="79"/>
      <c r="P675" s="79"/>
      <c r="Q675" s="79"/>
      <c r="T675" s="79"/>
      <c r="U675" s="79"/>
      <c r="X675" s="130"/>
      <c r="Z675" s="106"/>
    </row>
    <row r="676">
      <c r="C676" s="79"/>
      <c r="D676" s="79"/>
      <c r="J676" s="79"/>
      <c r="P676" s="79"/>
      <c r="Q676" s="79"/>
      <c r="T676" s="79"/>
      <c r="U676" s="79"/>
      <c r="X676" s="130"/>
      <c r="Z676" s="106"/>
    </row>
    <row r="677">
      <c r="C677" s="79"/>
      <c r="D677" s="79"/>
      <c r="J677" s="79"/>
      <c r="P677" s="79"/>
      <c r="Q677" s="79"/>
      <c r="T677" s="79"/>
      <c r="U677" s="79"/>
      <c r="X677" s="130"/>
      <c r="Z677" s="106"/>
    </row>
    <row r="678">
      <c r="C678" s="79"/>
      <c r="D678" s="79"/>
      <c r="J678" s="79"/>
      <c r="P678" s="79"/>
      <c r="Q678" s="79"/>
      <c r="T678" s="79"/>
      <c r="U678" s="79"/>
      <c r="X678" s="130"/>
      <c r="Z678" s="106"/>
    </row>
    <row r="679">
      <c r="C679" s="79"/>
      <c r="D679" s="79"/>
      <c r="J679" s="79"/>
      <c r="P679" s="79"/>
      <c r="Q679" s="79"/>
      <c r="T679" s="79"/>
      <c r="U679" s="79"/>
      <c r="X679" s="130"/>
      <c r="Z679" s="106"/>
    </row>
    <row r="680">
      <c r="C680" s="79"/>
      <c r="D680" s="79"/>
      <c r="J680" s="79"/>
      <c r="P680" s="79"/>
      <c r="Q680" s="79"/>
      <c r="T680" s="79"/>
      <c r="U680" s="79"/>
      <c r="X680" s="130"/>
      <c r="Z680" s="106"/>
    </row>
    <row r="681">
      <c r="C681" s="79"/>
      <c r="D681" s="79"/>
      <c r="J681" s="79"/>
      <c r="P681" s="79"/>
      <c r="Q681" s="79"/>
      <c r="T681" s="79"/>
      <c r="U681" s="79"/>
      <c r="X681" s="130"/>
      <c r="Z681" s="106"/>
    </row>
    <row r="682">
      <c r="C682" s="79"/>
      <c r="D682" s="79"/>
      <c r="J682" s="79"/>
      <c r="P682" s="79"/>
      <c r="Q682" s="79"/>
      <c r="T682" s="79"/>
      <c r="U682" s="79"/>
      <c r="X682" s="130"/>
      <c r="Z682" s="106"/>
    </row>
    <row r="683">
      <c r="C683" s="79"/>
      <c r="D683" s="79"/>
      <c r="J683" s="79"/>
      <c r="P683" s="79"/>
      <c r="Q683" s="79"/>
      <c r="T683" s="79"/>
      <c r="U683" s="79"/>
      <c r="X683" s="130"/>
      <c r="Z683" s="106"/>
    </row>
    <row r="684">
      <c r="C684" s="79"/>
      <c r="D684" s="79"/>
      <c r="J684" s="79"/>
      <c r="P684" s="79"/>
      <c r="Q684" s="79"/>
      <c r="T684" s="79"/>
      <c r="U684" s="79"/>
      <c r="X684" s="130"/>
      <c r="Z684" s="106"/>
    </row>
    <row r="685">
      <c r="C685" s="79"/>
      <c r="D685" s="79"/>
      <c r="J685" s="79"/>
      <c r="P685" s="79"/>
      <c r="Q685" s="79"/>
      <c r="T685" s="79"/>
      <c r="U685" s="79"/>
      <c r="X685" s="130"/>
      <c r="Z685" s="106"/>
    </row>
    <row r="686">
      <c r="C686" s="79"/>
      <c r="D686" s="79"/>
      <c r="J686" s="79"/>
      <c r="P686" s="79"/>
      <c r="Q686" s="79"/>
      <c r="T686" s="79"/>
      <c r="U686" s="79"/>
      <c r="X686" s="130"/>
      <c r="Z686" s="106"/>
    </row>
    <row r="687">
      <c r="C687" s="79"/>
      <c r="D687" s="79"/>
      <c r="J687" s="79"/>
      <c r="P687" s="79"/>
      <c r="Q687" s="79"/>
      <c r="T687" s="79"/>
      <c r="U687" s="79"/>
      <c r="X687" s="130"/>
      <c r="Z687" s="106"/>
    </row>
    <row r="688">
      <c r="C688" s="79"/>
      <c r="D688" s="79"/>
      <c r="J688" s="79"/>
      <c r="P688" s="79"/>
      <c r="Q688" s="79"/>
      <c r="T688" s="79"/>
      <c r="U688" s="79"/>
      <c r="X688" s="130"/>
      <c r="Z688" s="106"/>
    </row>
    <row r="689">
      <c r="C689" s="79"/>
      <c r="D689" s="79"/>
      <c r="J689" s="79"/>
      <c r="P689" s="79"/>
      <c r="Q689" s="79"/>
      <c r="T689" s="79"/>
      <c r="U689" s="79"/>
      <c r="X689" s="130"/>
      <c r="Z689" s="106"/>
    </row>
    <row r="690">
      <c r="C690" s="79"/>
      <c r="D690" s="79"/>
      <c r="J690" s="79"/>
      <c r="P690" s="79"/>
      <c r="Q690" s="79"/>
      <c r="T690" s="79"/>
      <c r="U690" s="79"/>
      <c r="X690" s="130"/>
      <c r="Z690" s="106"/>
    </row>
    <row r="691">
      <c r="C691" s="79"/>
      <c r="D691" s="79"/>
      <c r="J691" s="79"/>
      <c r="P691" s="79"/>
      <c r="Q691" s="79"/>
      <c r="T691" s="79"/>
      <c r="U691" s="79"/>
      <c r="X691" s="130"/>
      <c r="Z691" s="106"/>
    </row>
    <row r="692">
      <c r="C692" s="79"/>
      <c r="D692" s="79"/>
      <c r="J692" s="79"/>
      <c r="P692" s="79"/>
      <c r="Q692" s="79"/>
      <c r="T692" s="79"/>
      <c r="U692" s="79"/>
      <c r="X692" s="130"/>
      <c r="Z692" s="106"/>
    </row>
    <row r="693">
      <c r="C693" s="79"/>
      <c r="D693" s="79"/>
      <c r="J693" s="79"/>
      <c r="P693" s="79"/>
      <c r="Q693" s="79"/>
      <c r="T693" s="79"/>
      <c r="U693" s="79"/>
      <c r="X693" s="130"/>
      <c r="Z693" s="106"/>
    </row>
    <row r="694">
      <c r="C694" s="79"/>
      <c r="D694" s="79"/>
      <c r="J694" s="79"/>
      <c r="P694" s="79"/>
      <c r="Q694" s="79"/>
      <c r="T694" s="79"/>
      <c r="U694" s="79"/>
      <c r="X694" s="130"/>
      <c r="Z694" s="106"/>
    </row>
    <row r="695">
      <c r="C695" s="79"/>
      <c r="D695" s="79"/>
      <c r="J695" s="79"/>
      <c r="P695" s="79"/>
      <c r="Q695" s="79"/>
      <c r="T695" s="79"/>
      <c r="U695" s="79"/>
      <c r="X695" s="130"/>
      <c r="Z695" s="106"/>
    </row>
    <row r="696">
      <c r="C696" s="79"/>
      <c r="D696" s="79"/>
      <c r="J696" s="79"/>
      <c r="P696" s="79"/>
      <c r="Q696" s="79"/>
      <c r="T696" s="79"/>
      <c r="U696" s="79"/>
      <c r="X696" s="130"/>
      <c r="Z696" s="106"/>
    </row>
    <row r="697">
      <c r="C697" s="79"/>
      <c r="D697" s="79"/>
      <c r="J697" s="79"/>
      <c r="P697" s="79"/>
      <c r="Q697" s="79"/>
      <c r="T697" s="79"/>
      <c r="U697" s="79"/>
      <c r="X697" s="130"/>
      <c r="Z697" s="106"/>
    </row>
    <row r="698">
      <c r="C698" s="79"/>
      <c r="D698" s="79"/>
      <c r="J698" s="79"/>
      <c r="P698" s="79"/>
      <c r="Q698" s="79"/>
      <c r="T698" s="79"/>
      <c r="U698" s="79"/>
      <c r="X698" s="130"/>
      <c r="Z698" s="106"/>
    </row>
    <row r="699">
      <c r="C699" s="79"/>
      <c r="D699" s="79"/>
      <c r="J699" s="79"/>
      <c r="P699" s="79"/>
      <c r="Q699" s="79"/>
      <c r="T699" s="79"/>
      <c r="U699" s="79"/>
      <c r="X699" s="130"/>
      <c r="Z699" s="106"/>
    </row>
    <row r="700">
      <c r="C700" s="79"/>
      <c r="D700" s="79"/>
      <c r="J700" s="79"/>
      <c r="P700" s="79"/>
      <c r="Q700" s="79"/>
      <c r="T700" s="79"/>
      <c r="U700" s="79"/>
      <c r="X700" s="130"/>
      <c r="Z700" s="106"/>
    </row>
    <row r="701">
      <c r="C701" s="79"/>
      <c r="D701" s="79"/>
      <c r="J701" s="79"/>
      <c r="P701" s="79"/>
      <c r="Q701" s="79"/>
      <c r="T701" s="79"/>
      <c r="U701" s="79"/>
      <c r="X701" s="130"/>
      <c r="Z701" s="106"/>
    </row>
    <row r="702">
      <c r="C702" s="79"/>
      <c r="D702" s="79"/>
      <c r="J702" s="79"/>
      <c r="P702" s="79"/>
      <c r="Q702" s="79"/>
      <c r="T702" s="79"/>
      <c r="U702" s="79"/>
      <c r="X702" s="130"/>
      <c r="Z702" s="106"/>
    </row>
    <row r="703">
      <c r="C703" s="79"/>
      <c r="D703" s="79"/>
      <c r="J703" s="79"/>
      <c r="P703" s="79"/>
      <c r="Q703" s="79"/>
      <c r="T703" s="79"/>
      <c r="U703" s="79"/>
      <c r="X703" s="130"/>
      <c r="Z703" s="106"/>
    </row>
    <row r="704">
      <c r="C704" s="79"/>
      <c r="D704" s="79"/>
      <c r="J704" s="79"/>
      <c r="P704" s="79"/>
      <c r="Q704" s="79"/>
      <c r="T704" s="79"/>
      <c r="U704" s="79"/>
      <c r="X704" s="130"/>
      <c r="Z704" s="106"/>
    </row>
    <row r="705">
      <c r="C705" s="79"/>
      <c r="D705" s="79"/>
      <c r="J705" s="79"/>
      <c r="P705" s="79"/>
      <c r="Q705" s="79"/>
      <c r="T705" s="79"/>
      <c r="U705" s="79"/>
      <c r="X705" s="130"/>
      <c r="Z705" s="106"/>
    </row>
    <row r="706">
      <c r="C706" s="79"/>
      <c r="D706" s="79"/>
      <c r="J706" s="79"/>
      <c r="P706" s="79"/>
      <c r="Q706" s="79"/>
      <c r="T706" s="79"/>
      <c r="U706" s="79"/>
      <c r="X706" s="130"/>
      <c r="Z706" s="106"/>
    </row>
    <row r="707">
      <c r="C707" s="79"/>
      <c r="D707" s="79"/>
      <c r="J707" s="79"/>
      <c r="P707" s="79"/>
      <c r="Q707" s="79"/>
      <c r="T707" s="79"/>
      <c r="U707" s="79"/>
      <c r="X707" s="130"/>
      <c r="Z707" s="106"/>
    </row>
    <row r="708">
      <c r="C708" s="79"/>
      <c r="D708" s="79"/>
      <c r="J708" s="79"/>
      <c r="P708" s="79"/>
      <c r="Q708" s="79"/>
      <c r="T708" s="79"/>
      <c r="U708" s="79"/>
      <c r="X708" s="130"/>
      <c r="Z708" s="106"/>
    </row>
    <row r="709">
      <c r="C709" s="79"/>
      <c r="D709" s="79"/>
      <c r="J709" s="79"/>
      <c r="P709" s="79"/>
      <c r="Q709" s="79"/>
      <c r="T709" s="79"/>
      <c r="U709" s="79"/>
      <c r="X709" s="130"/>
      <c r="Z709" s="106"/>
    </row>
    <row r="710">
      <c r="C710" s="79"/>
      <c r="D710" s="79"/>
      <c r="J710" s="79"/>
      <c r="P710" s="79"/>
      <c r="Q710" s="79"/>
      <c r="T710" s="79"/>
      <c r="U710" s="79"/>
      <c r="X710" s="130"/>
      <c r="Z710" s="106"/>
    </row>
    <row r="711">
      <c r="C711" s="79"/>
      <c r="D711" s="79"/>
      <c r="J711" s="79"/>
      <c r="P711" s="79"/>
      <c r="Q711" s="79"/>
      <c r="T711" s="79"/>
      <c r="U711" s="79"/>
      <c r="X711" s="130"/>
      <c r="Z711" s="106"/>
    </row>
    <row r="712">
      <c r="C712" s="79"/>
      <c r="D712" s="79"/>
      <c r="J712" s="79"/>
      <c r="P712" s="79"/>
      <c r="Q712" s="79"/>
      <c r="T712" s="79"/>
      <c r="U712" s="79"/>
      <c r="X712" s="130"/>
      <c r="Z712" s="106"/>
    </row>
    <row r="713">
      <c r="C713" s="79"/>
      <c r="D713" s="79"/>
      <c r="J713" s="79"/>
      <c r="P713" s="79"/>
      <c r="Q713" s="79"/>
      <c r="T713" s="79"/>
      <c r="U713" s="79"/>
      <c r="X713" s="130"/>
      <c r="Z713" s="106"/>
    </row>
    <row r="714">
      <c r="C714" s="79"/>
      <c r="D714" s="79"/>
      <c r="J714" s="79"/>
      <c r="P714" s="79"/>
      <c r="Q714" s="79"/>
      <c r="T714" s="79"/>
      <c r="U714" s="79"/>
      <c r="X714" s="130"/>
      <c r="Z714" s="106"/>
    </row>
    <row r="715">
      <c r="C715" s="79"/>
      <c r="D715" s="79"/>
      <c r="J715" s="79"/>
      <c r="P715" s="79"/>
      <c r="Q715" s="79"/>
      <c r="T715" s="79"/>
      <c r="U715" s="79"/>
      <c r="X715" s="130"/>
      <c r="Z715" s="106"/>
    </row>
    <row r="716">
      <c r="C716" s="79"/>
      <c r="D716" s="79"/>
      <c r="J716" s="79"/>
      <c r="P716" s="79"/>
      <c r="Q716" s="79"/>
      <c r="T716" s="79"/>
      <c r="U716" s="79"/>
      <c r="X716" s="130"/>
      <c r="Z716" s="106"/>
    </row>
    <row r="717">
      <c r="C717" s="79"/>
      <c r="D717" s="79"/>
      <c r="J717" s="79"/>
      <c r="P717" s="79"/>
      <c r="Q717" s="79"/>
      <c r="T717" s="79"/>
      <c r="U717" s="79"/>
      <c r="X717" s="130"/>
      <c r="Z717" s="106"/>
    </row>
    <row r="718">
      <c r="C718" s="79"/>
      <c r="D718" s="79"/>
      <c r="J718" s="79"/>
      <c r="P718" s="79"/>
      <c r="Q718" s="79"/>
      <c r="T718" s="79"/>
      <c r="U718" s="79"/>
      <c r="X718" s="130"/>
      <c r="Z718" s="106"/>
    </row>
    <row r="719">
      <c r="C719" s="79"/>
      <c r="D719" s="79"/>
      <c r="J719" s="79"/>
      <c r="P719" s="79"/>
      <c r="Q719" s="79"/>
      <c r="T719" s="79"/>
      <c r="U719" s="79"/>
      <c r="X719" s="130"/>
      <c r="Z719" s="106"/>
    </row>
    <row r="720">
      <c r="C720" s="79"/>
      <c r="D720" s="79"/>
      <c r="J720" s="79"/>
      <c r="P720" s="79"/>
      <c r="Q720" s="79"/>
      <c r="T720" s="79"/>
      <c r="U720" s="79"/>
      <c r="X720" s="130"/>
      <c r="Z720" s="106"/>
    </row>
    <row r="721">
      <c r="C721" s="79"/>
      <c r="D721" s="79"/>
      <c r="J721" s="79"/>
      <c r="P721" s="79"/>
      <c r="Q721" s="79"/>
      <c r="T721" s="79"/>
      <c r="U721" s="79"/>
      <c r="X721" s="130"/>
      <c r="Z721" s="106"/>
    </row>
    <row r="722">
      <c r="C722" s="79"/>
      <c r="D722" s="79"/>
      <c r="J722" s="79"/>
      <c r="P722" s="79"/>
      <c r="Q722" s="79"/>
      <c r="T722" s="79"/>
      <c r="U722" s="79"/>
      <c r="X722" s="130"/>
      <c r="Z722" s="106"/>
    </row>
    <row r="723">
      <c r="C723" s="79"/>
      <c r="D723" s="79"/>
      <c r="J723" s="79"/>
      <c r="P723" s="79"/>
      <c r="Q723" s="79"/>
      <c r="T723" s="79"/>
      <c r="U723" s="79"/>
      <c r="X723" s="130"/>
      <c r="Z723" s="106"/>
    </row>
    <row r="724">
      <c r="C724" s="79"/>
      <c r="D724" s="79"/>
      <c r="J724" s="79"/>
      <c r="P724" s="79"/>
      <c r="Q724" s="79"/>
      <c r="T724" s="79"/>
      <c r="U724" s="79"/>
      <c r="X724" s="130"/>
      <c r="Z724" s="106"/>
    </row>
    <row r="725">
      <c r="C725" s="79"/>
      <c r="D725" s="79"/>
      <c r="J725" s="79"/>
      <c r="P725" s="79"/>
      <c r="Q725" s="79"/>
      <c r="T725" s="79"/>
      <c r="U725" s="79"/>
      <c r="X725" s="130"/>
      <c r="Z725" s="106"/>
    </row>
    <row r="726">
      <c r="C726" s="79"/>
      <c r="D726" s="79"/>
      <c r="J726" s="79"/>
      <c r="P726" s="79"/>
      <c r="Q726" s="79"/>
      <c r="T726" s="79"/>
      <c r="U726" s="79"/>
      <c r="X726" s="130"/>
      <c r="Z726" s="106"/>
    </row>
    <row r="727">
      <c r="C727" s="79"/>
      <c r="D727" s="79"/>
      <c r="J727" s="79"/>
      <c r="P727" s="79"/>
      <c r="Q727" s="79"/>
      <c r="T727" s="79"/>
      <c r="U727" s="79"/>
      <c r="X727" s="130"/>
      <c r="Z727" s="106"/>
    </row>
    <row r="728">
      <c r="C728" s="79"/>
      <c r="D728" s="79"/>
      <c r="J728" s="79"/>
      <c r="P728" s="79"/>
      <c r="Q728" s="79"/>
      <c r="T728" s="79"/>
      <c r="U728" s="79"/>
      <c r="X728" s="130"/>
      <c r="Z728" s="106"/>
    </row>
    <row r="729">
      <c r="C729" s="79"/>
      <c r="D729" s="79"/>
      <c r="J729" s="79"/>
      <c r="P729" s="79"/>
      <c r="Q729" s="79"/>
      <c r="T729" s="79"/>
      <c r="U729" s="79"/>
      <c r="X729" s="130"/>
      <c r="Z729" s="106"/>
    </row>
    <row r="730">
      <c r="C730" s="79"/>
      <c r="D730" s="79"/>
      <c r="J730" s="79"/>
      <c r="P730" s="79"/>
      <c r="Q730" s="79"/>
      <c r="T730" s="79"/>
      <c r="U730" s="79"/>
      <c r="X730" s="130"/>
      <c r="Z730" s="106"/>
    </row>
    <row r="731">
      <c r="C731" s="79"/>
      <c r="D731" s="79"/>
      <c r="J731" s="79"/>
      <c r="P731" s="79"/>
      <c r="Q731" s="79"/>
      <c r="T731" s="79"/>
      <c r="U731" s="79"/>
      <c r="X731" s="130"/>
      <c r="Z731" s="106"/>
    </row>
    <row r="732">
      <c r="C732" s="79"/>
      <c r="D732" s="79"/>
      <c r="J732" s="79"/>
      <c r="P732" s="79"/>
      <c r="Q732" s="79"/>
      <c r="T732" s="79"/>
      <c r="U732" s="79"/>
      <c r="X732" s="130"/>
      <c r="Z732" s="106"/>
    </row>
    <row r="733">
      <c r="C733" s="79"/>
      <c r="D733" s="79"/>
      <c r="J733" s="79"/>
      <c r="P733" s="79"/>
      <c r="Q733" s="79"/>
      <c r="T733" s="79"/>
      <c r="U733" s="79"/>
      <c r="X733" s="130"/>
      <c r="Z733" s="106"/>
    </row>
    <row r="734">
      <c r="C734" s="79"/>
      <c r="D734" s="79"/>
      <c r="J734" s="79"/>
      <c r="P734" s="79"/>
      <c r="Q734" s="79"/>
      <c r="T734" s="79"/>
      <c r="U734" s="79"/>
      <c r="X734" s="130"/>
      <c r="Z734" s="106"/>
    </row>
    <row r="735">
      <c r="C735" s="79"/>
      <c r="D735" s="79"/>
      <c r="J735" s="79"/>
      <c r="P735" s="79"/>
      <c r="Q735" s="79"/>
      <c r="T735" s="79"/>
      <c r="U735" s="79"/>
      <c r="X735" s="130"/>
      <c r="Z735" s="106"/>
    </row>
    <row r="736">
      <c r="C736" s="79"/>
      <c r="D736" s="79"/>
      <c r="J736" s="79"/>
      <c r="P736" s="79"/>
      <c r="Q736" s="79"/>
      <c r="T736" s="79"/>
      <c r="U736" s="79"/>
      <c r="X736" s="130"/>
      <c r="Z736" s="106"/>
    </row>
    <row r="737">
      <c r="C737" s="79"/>
      <c r="D737" s="79"/>
      <c r="J737" s="79"/>
      <c r="P737" s="79"/>
      <c r="Q737" s="79"/>
      <c r="T737" s="79"/>
      <c r="U737" s="79"/>
      <c r="X737" s="130"/>
      <c r="Z737" s="106"/>
    </row>
    <row r="738">
      <c r="C738" s="79"/>
      <c r="D738" s="79"/>
      <c r="J738" s="79"/>
      <c r="P738" s="79"/>
      <c r="Q738" s="79"/>
      <c r="T738" s="79"/>
      <c r="U738" s="79"/>
      <c r="X738" s="130"/>
      <c r="Z738" s="106"/>
    </row>
    <row r="739">
      <c r="C739" s="79"/>
      <c r="D739" s="79"/>
      <c r="J739" s="79"/>
      <c r="P739" s="79"/>
      <c r="Q739" s="79"/>
      <c r="T739" s="79"/>
      <c r="U739" s="79"/>
      <c r="X739" s="130"/>
      <c r="Z739" s="106"/>
    </row>
    <row r="740">
      <c r="C740" s="79"/>
      <c r="D740" s="79"/>
      <c r="J740" s="79"/>
      <c r="P740" s="79"/>
      <c r="Q740" s="79"/>
      <c r="T740" s="79"/>
      <c r="U740" s="79"/>
      <c r="X740" s="130"/>
      <c r="Z740" s="106"/>
    </row>
    <row r="741">
      <c r="C741" s="79"/>
      <c r="D741" s="79"/>
      <c r="J741" s="79"/>
      <c r="P741" s="79"/>
      <c r="Q741" s="79"/>
      <c r="T741" s="79"/>
      <c r="U741" s="79"/>
      <c r="X741" s="130"/>
      <c r="Z741" s="106"/>
    </row>
    <row r="742">
      <c r="C742" s="79"/>
      <c r="D742" s="79"/>
      <c r="J742" s="79"/>
      <c r="P742" s="79"/>
      <c r="Q742" s="79"/>
      <c r="T742" s="79"/>
      <c r="U742" s="79"/>
      <c r="X742" s="130"/>
      <c r="Z742" s="106"/>
    </row>
    <row r="743">
      <c r="C743" s="79"/>
      <c r="D743" s="79"/>
      <c r="J743" s="79"/>
      <c r="P743" s="79"/>
      <c r="Q743" s="79"/>
      <c r="T743" s="79"/>
      <c r="U743" s="79"/>
      <c r="X743" s="130"/>
      <c r="Z743" s="106"/>
    </row>
    <row r="744">
      <c r="C744" s="79"/>
      <c r="D744" s="79"/>
      <c r="J744" s="79"/>
      <c r="P744" s="79"/>
      <c r="Q744" s="79"/>
      <c r="T744" s="79"/>
      <c r="U744" s="79"/>
      <c r="X744" s="130"/>
      <c r="Z744" s="106"/>
    </row>
    <row r="745">
      <c r="C745" s="79"/>
      <c r="D745" s="79"/>
      <c r="J745" s="79"/>
      <c r="P745" s="79"/>
      <c r="Q745" s="79"/>
      <c r="T745" s="79"/>
      <c r="U745" s="79"/>
      <c r="X745" s="130"/>
      <c r="Z745" s="106"/>
    </row>
    <row r="746">
      <c r="C746" s="79"/>
      <c r="D746" s="79"/>
      <c r="J746" s="79"/>
      <c r="P746" s="79"/>
      <c r="Q746" s="79"/>
      <c r="T746" s="79"/>
      <c r="U746" s="79"/>
      <c r="X746" s="130"/>
      <c r="Z746" s="106"/>
    </row>
    <row r="747">
      <c r="C747" s="79"/>
      <c r="D747" s="79"/>
      <c r="J747" s="79"/>
      <c r="P747" s="79"/>
      <c r="Q747" s="79"/>
      <c r="T747" s="79"/>
      <c r="U747" s="79"/>
      <c r="X747" s="130"/>
      <c r="Z747" s="106"/>
    </row>
    <row r="748">
      <c r="C748" s="79"/>
      <c r="D748" s="79"/>
      <c r="J748" s="79"/>
      <c r="P748" s="79"/>
      <c r="Q748" s="79"/>
      <c r="T748" s="79"/>
      <c r="U748" s="79"/>
      <c r="X748" s="130"/>
      <c r="Z748" s="106"/>
    </row>
    <row r="749">
      <c r="C749" s="79"/>
      <c r="D749" s="79"/>
      <c r="J749" s="79"/>
      <c r="P749" s="79"/>
      <c r="Q749" s="79"/>
      <c r="T749" s="79"/>
      <c r="U749" s="79"/>
      <c r="X749" s="130"/>
      <c r="Z749" s="106"/>
    </row>
    <row r="750">
      <c r="C750" s="79"/>
      <c r="D750" s="79"/>
      <c r="J750" s="79"/>
      <c r="P750" s="79"/>
      <c r="Q750" s="79"/>
      <c r="T750" s="79"/>
      <c r="U750" s="79"/>
      <c r="X750" s="130"/>
      <c r="Z750" s="106"/>
    </row>
    <row r="751">
      <c r="C751" s="79"/>
      <c r="D751" s="79"/>
      <c r="J751" s="79"/>
      <c r="P751" s="79"/>
      <c r="Q751" s="79"/>
      <c r="T751" s="79"/>
      <c r="U751" s="79"/>
      <c r="X751" s="130"/>
      <c r="Z751" s="106"/>
    </row>
    <row r="752">
      <c r="C752" s="79"/>
      <c r="D752" s="79"/>
      <c r="J752" s="79"/>
      <c r="P752" s="79"/>
      <c r="Q752" s="79"/>
      <c r="T752" s="79"/>
      <c r="U752" s="79"/>
      <c r="X752" s="130"/>
      <c r="Z752" s="106"/>
    </row>
    <row r="753">
      <c r="C753" s="79"/>
      <c r="D753" s="79"/>
      <c r="J753" s="79"/>
      <c r="P753" s="79"/>
      <c r="Q753" s="79"/>
      <c r="T753" s="79"/>
      <c r="U753" s="79"/>
      <c r="X753" s="130"/>
      <c r="Z753" s="106"/>
    </row>
    <row r="754">
      <c r="C754" s="79"/>
      <c r="D754" s="79"/>
      <c r="J754" s="79"/>
      <c r="P754" s="79"/>
      <c r="Q754" s="79"/>
      <c r="T754" s="79"/>
      <c r="U754" s="79"/>
      <c r="X754" s="130"/>
      <c r="Z754" s="106"/>
    </row>
    <row r="755">
      <c r="C755" s="79"/>
      <c r="D755" s="79"/>
      <c r="J755" s="79"/>
      <c r="P755" s="79"/>
      <c r="Q755" s="79"/>
      <c r="T755" s="79"/>
      <c r="U755" s="79"/>
      <c r="X755" s="130"/>
      <c r="Z755" s="106"/>
    </row>
    <row r="756">
      <c r="C756" s="79"/>
      <c r="D756" s="79"/>
      <c r="J756" s="79"/>
      <c r="P756" s="79"/>
      <c r="Q756" s="79"/>
      <c r="T756" s="79"/>
      <c r="U756" s="79"/>
      <c r="X756" s="130"/>
      <c r="Z756" s="106"/>
    </row>
    <row r="757">
      <c r="C757" s="79"/>
      <c r="D757" s="79"/>
      <c r="J757" s="79"/>
      <c r="P757" s="79"/>
      <c r="Q757" s="79"/>
      <c r="T757" s="79"/>
      <c r="U757" s="79"/>
      <c r="X757" s="130"/>
      <c r="Z757" s="106"/>
    </row>
    <row r="758">
      <c r="C758" s="79"/>
      <c r="D758" s="79"/>
      <c r="J758" s="79"/>
      <c r="P758" s="79"/>
      <c r="Q758" s="79"/>
      <c r="T758" s="79"/>
      <c r="U758" s="79"/>
      <c r="X758" s="130"/>
      <c r="Z758" s="106"/>
    </row>
    <row r="759">
      <c r="C759" s="79"/>
      <c r="D759" s="79"/>
      <c r="J759" s="79"/>
      <c r="P759" s="79"/>
      <c r="Q759" s="79"/>
      <c r="T759" s="79"/>
      <c r="U759" s="79"/>
      <c r="X759" s="130"/>
      <c r="Z759" s="106"/>
    </row>
    <row r="760">
      <c r="C760" s="79"/>
      <c r="D760" s="79"/>
      <c r="J760" s="79"/>
      <c r="P760" s="79"/>
      <c r="Q760" s="79"/>
      <c r="T760" s="79"/>
      <c r="U760" s="79"/>
      <c r="X760" s="130"/>
      <c r="Z760" s="106"/>
    </row>
    <row r="761">
      <c r="C761" s="79"/>
      <c r="D761" s="79"/>
      <c r="J761" s="79"/>
      <c r="P761" s="79"/>
      <c r="Q761" s="79"/>
      <c r="T761" s="79"/>
      <c r="U761" s="79"/>
      <c r="X761" s="130"/>
      <c r="Z761" s="106"/>
    </row>
    <row r="762">
      <c r="C762" s="79"/>
      <c r="D762" s="79"/>
      <c r="J762" s="79"/>
      <c r="P762" s="79"/>
      <c r="Q762" s="79"/>
      <c r="T762" s="79"/>
      <c r="U762" s="79"/>
      <c r="X762" s="130"/>
      <c r="Z762" s="106"/>
    </row>
    <row r="763">
      <c r="C763" s="79"/>
      <c r="D763" s="79"/>
      <c r="J763" s="79"/>
      <c r="P763" s="79"/>
      <c r="Q763" s="79"/>
      <c r="T763" s="79"/>
      <c r="U763" s="79"/>
      <c r="X763" s="130"/>
      <c r="Z763" s="106"/>
    </row>
    <row r="764">
      <c r="C764" s="79"/>
      <c r="D764" s="79"/>
      <c r="J764" s="79"/>
      <c r="P764" s="79"/>
      <c r="Q764" s="79"/>
      <c r="T764" s="79"/>
      <c r="U764" s="79"/>
      <c r="X764" s="130"/>
      <c r="Z764" s="106"/>
    </row>
    <row r="765">
      <c r="C765" s="79"/>
      <c r="D765" s="79"/>
      <c r="J765" s="79"/>
      <c r="P765" s="79"/>
      <c r="Q765" s="79"/>
      <c r="T765" s="79"/>
      <c r="U765" s="79"/>
      <c r="X765" s="130"/>
      <c r="Z765" s="106"/>
    </row>
    <row r="766">
      <c r="C766" s="79"/>
      <c r="D766" s="79"/>
      <c r="J766" s="79"/>
      <c r="P766" s="79"/>
      <c r="Q766" s="79"/>
      <c r="T766" s="79"/>
      <c r="U766" s="79"/>
      <c r="X766" s="130"/>
      <c r="Z766" s="106"/>
    </row>
    <row r="767">
      <c r="C767" s="79"/>
      <c r="D767" s="79"/>
      <c r="J767" s="79"/>
      <c r="P767" s="79"/>
      <c r="Q767" s="79"/>
      <c r="T767" s="79"/>
      <c r="U767" s="79"/>
      <c r="X767" s="130"/>
      <c r="Z767" s="106"/>
    </row>
    <row r="768">
      <c r="C768" s="79"/>
      <c r="D768" s="79"/>
      <c r="J768" s="79"/>
      <c r="P768" s="79"/>
      <c r="Q768" s="79"/>
      <c r="T768" s="79"/>
      <c r="U768" s="79"/>
      <c r="X768" s="130"/>
      <c r="Z768" s="106"/>
    </row>
    <row r="769">
      <c r="C769" s="79"/>
      <c r="D769" s="79"/>
      <c r="J769" s="79"/>
      <c r="P769" s="79"/>
      <c r="Q769" s="79"/>
      <c r="T769" s="79"/>
      <c r="U769" s="79"/>
      <c r="X769" s="130"/>
      <c r="Z769" s="106"/>
    </row>
    <row r="770">
      <c r="C770" s="79"/>
      <c r="D770" s="79"/>
      <c r="J770" s="79"/>
      <c r="P770" s="79"/>
      <c r="Q770" s="79"/>
      <c r="T770" s="79"/>
      <c r="U770" s="79"/>
      <c r="X770" s="130"/>
      <c r="Z770" s="106"/>
    </row>
    <row r="771">
      <c r="C771" s="79"/>
      <c r="D771" s="79"/>
      <c r="J771" s="79"/>
      <c r="P771" s="79"/>
      <c r="Q771" s="79"/>
      <c r="T771" s="79"/>
      <c r="U771" s="79"/>
      <c r="X771" s="130"/>
      <c r="Z771" s="106"/>
    </row>
    <row r="772">
      <c r="C772" s="79"/>
      <c r="D772" s="79"/>
      <c r="J772" s="79"/>
      <c r="P772" s="79"/>
      <c r="Q772" s="79"/>
      <c r="T772" s="79"/>
      <c r="U772" s="79"/>
      <c r="X772" s="130"/>
      <c r="Z772" s="106"/>
    </row>
    <row r="773">
      <c r="C773" s="79"/>
      <c r="D773" s="79"/>
      <c r="J773" s="79"/>
      <c r="P773" s="79"/>
      <c r="Q773" s="79"/>
      <c r="T773" s="79"/>
      <c r="U773" s="79"/>
      <c r="X773" s="130"/>
      <c r="Z773" s="106"/>
    </row>
    <row r="774">
      <c r="C774" s="79"/>
      <c r="D774" s="79"/>
      <c r="J774" s="79"/>
      <c r="P774" s="79"/>
      <c r="Q774" s="79"/>
      <c r="T774" s="79"/>
      <c r="U774" s="79"/>
      <c r="X774" s="130"/>
      <c r="Z774" s="106"/>
    </row>
    <row r="775">
      <c r="C775" s="79"/>
      <c r="D775" s="79"/>
      <c r="J775" s="79"/>
      <c r="P775" s="79"/>
      <c r="Q775" s="79"/>
      <c r="T775" s="79"/>
      <c r="U775" s="79"/>
      <c r="X775" s="130"/>
      <c r="Z775" s="106"/>
    </row>
    <row r="776">
      <c r="C776" s="79"/>
      <c r="D776" s="79"/>
      <c r="J776" s="79"/>
      <c r="P776" s="79"/>
      <c r="Q776" s="79"/>
      <c r="T776" s="79"/>
      <c r="U776" s="79"/>
      <c r="X776" s="130"/>
      <c r="Z776" s="106"/>
    </row>
    <row r="777">
      <c r="C777" s="79"/>
      <c r="D777" s="79"/>
      <c r="J777" s="79"/>
      <c r="P777" s="79"/>
      <c r="Q777" s="79"/>
      <c r="T777" s="79"/>
      <c r="U777" s="79"/>
      <c r="X777" s="130"/>
      <c r="Z777" s="106"/>
    </row>
    <row r="778">
      <c r="C778" s="79"/>
      <c r="D778" s="79"/>
      <c r="J778" s="79"/>
      <c r="P778" s="79"/>
      <c r="Q778" s="79"/>
      <c r="T778" s="79"/>
      <c r="U778" s="79"/>
      <c r="X778" s="130"/>
      <c r="Z778" s="106"/>
    </row>
    <row r="779">
      <c r="C779" s="79"/>
      <c r="D779" s="79"/>
      <c r="J779" s="79"/>
      <c r="P779" s="79"/>
      <c r="Q779" s="79"/>
      <c r="T779" s="79"/>
      <c r="U779" s="79"/>
      <c r="X779" s="130"/>
      <c r="Z779" s="106"/>
    </row>
    <row r="780">
      <c r="C780" s="79"/>
      <c r="D780" s="79"/>
      <c r="J780" s="79"/>
      <c r="P780" s="79"/>
      <c r="Q780" s="79"/>
      <c r="T780" s="79"/>
      <c r="U780" s="79"/>
      <c r="X780" s="130"/>
      <c r="Z780" s="106"/>
    </row>
    <row r="781">
      <c r="C781" s="79"/>
      <c r="D781" s="79"/>
      <c r="J781" s="79"/>
      <c r="P781" s="79"/>
      <c r="Q781" s="79"/>
      <c r="T781" s="79"/>
      <c r="U781" s="79"/>
      <c r="X781" s="130"/>
      <c r="Z781" s="106"/>
    </row>
    <row r="782">
      <c r="C782" s="79"/>
      <c r="D782" s="79"/>
      <c r="J782" s="79"/>
      <c r="P782" s="79"/>
      <c r="Q782" s="79"/>
      <c r="T782" s="79"/>
      <c r="U782" s="79"/>
      <c r="X782" s="130"/>
      <c r="Z782" s="106"/>
    </row>
    <row r="783">
      <c r="C783" s="79"/>
      <c r="D783" s="79"/>
      <c r="J783" s="79"/>
      <c r="P783" s="79"/>
      <c r="Q783" s="79"/>
      <c r="T783" s="79"/>
      <c r="U783" s="79"/>
      <c r="X783" s="130"/>
      <c r="Z783" s="106"/>
    </row>
    <row r="784">
      <c r="C784" s="79"/>
      <c r="D784" s="79"/>
      <c r="J784" s="79"/>
      <c r="P784" s="79"/>
      <c r="Q784" s="79"/>
      <c r="T784" s="79"/>
      <c r="U784" s="79"/>
      <c r="X784" s="130"/>
      <c r="Z784" s="106"/>
    </row>
    <row r="785">
      <c r="C785" s="79"/>
      <c r="D785" s="79"/>
      <c r="J785" s="79"/>
      <c r="P785" s="79"/>
      <c r="Q785" s="79"/>
      <c r="T785" s="79"/>
      <c r="U785" s="79"/>
      <c r="X785" s="130"/>
      <c r="Z785" s="106"/>
    </row>
    <row r="786">
      <c r="C786" s="79"/>
      <c r="D786" s="79"/>
      <c r="J786" s="79"/>
      <c r="P786" s="79"/>
      <c r="Q786" s="79"/>
      <c r="T786" s="79"/>
      <c r="U786" s="79"/>
      <c r="X786" s="130"/>
      <c r="Z786" s="106"/>
    </row>
    <row r="787">
      <c r="C787" s="79"/>
      <c r="D787" s="79"/>
      <c r="J787" s="79"/>
      <c r="P787" s="79"/>
      <c r="Q787" s="79"/>
      <c r="T787" s="79"/>
      <c r="U787" s="79"/>
      <c r="X787" s="130"/>
      <c r="Z787" s="106"/>
    </row>
    <row r="788">
      <c r="C788" s="79"/>
      <c r="D788" s="79"/>
      <c r="J788" s="79"/>
      <c r="P788" s="79"/>
      <c r="Q788" s="79"/>
      <c r="T788" s="79"/>
      <c r="U788" s="79"/>
      <c r="X788" s="130"/>
      <c r="Z788" s="106"/>
    </row>
    <row r="789">
      <c r="C789" s="79"/>
      <c r="D789" s="79"/>
      <c r="J789" s="79"/>
      <c r="P789" s="79"/>
      <c r="Q789" s="79"/>
      <c r="T789" s="79"/>
      <c r="U789" s="79"/>
      <c r="X789" s="130"/>
      <c r="Z789" s="106"/>
    </row>
    <row r="790">
      <c r="C790" s="79"/>
      <c r="D790" s="79"/>
      <c r="J790" s="79"/>
      <c r="P790" s="79"/>
      <c r="Q790" s="79"/>
      <c r="T790" s="79"/>
      <c r="U790" s="79"/>
      <c r="X790" s="130"/>
      <c r="Z790" s="106"/>
    </row>
    <row r="791">
      <c r="C791" s="79"/>
      <c r="D791" s="79"/>
      <c r="J791" s="79"/>
      <c r="P791" s="79"/>
      <c r="Q791" s="79"/>
      <c r="T791" s="79"/>
      <c r="U791" s="79"/>
      <c r="X791" s="130"/>
      <c r="Z791" s="106"/>
    </row>
    <row r="792">
      <c r="C792" s="79"/>
      <c r="D792" s="79"/>
      <c r="J792" s="79"/>
      <c r="P792" s="79"/>
      <c r="Q792" s="79"/>
      <c r="T792" s="79"/>
      <c r="U792" s="79"/>
      <c r="X792" s="130"/>
      <c r="Z792" s="106"/>
    </row>
    <row r="793">
      <c r="C793" s="79"/>
      <c r="D793" s="79"/>
      <c r="J793" s="79"/>
      <c r="P793" s="79"/>
      <c r="Q793" s="79"/>
      <c r="T793" s="79"/>
      <c r="U793" s="79"/>
      <c r="X793" s="130"/>
      <c r="Z793" s="106"/>
    </row>
    <row r="794">
      <c r="C794" s="79"/>
      <c r="D794" s="79"/>
      <c r="J794" s="79"/>
      <c r="P794" s="79"/>
      <c r="Q794" s="79"/>
      <c r="T794" s="79"/>
      <c r="U794" s="79"/>
      <c r="X794" s="130"/>
      <c r="Z794" s="106"/>
    </row>
    <row r="795">
      <c r="C795" s="79"/>
      <c r="D795" s="79"/>
      <c r="J795" s="79"/>
      <c r="P795" s="79"/>
      <c r="Q795" s="79"/>
      <c r="T795" s="79"/>
      <c r="U795" s="79"/>
      <c r="X795" s="130"/>
      <c r="Z795" s="106"/>
    </row>
    <row r="796">
      <c r="C796" s="79"/>
      <c r="D796" s="79"/>
      <c r="J796" s="79"/>
      <c r="P796" s="79"/>
      <c r="Q796" s="79"/>
      <c r="T796" s="79"/>
      <c r="U796" s="79"/>
      <c r="X796" s="130"/>
      <c r="Z796" s="106"/>
    </row>
    <row r="797">
      <c r="C797" s="79"/>
      <c r="D797" s="79"/>
      <c r="J797" s="79"/>
      <c r="P797" s="79"/>
      <c r="Q797" s="79"/>
      <c r="T797" s="79"/>
      <c r="U797" s="79"/>
      <c r="X797" s="130"/>
      <c r="Z797" s="106"/>
    </row>
    <row r="798">
      <c r="C798" s="79"/>
      <c r="D798" s="79"/>
      <c r="J798" s="79"/>
      <c r="P798" s="79"/>
      <c r="Q798" s="79"/>
      <c r="T798" s="79"/>
      <c r="U798" s="79"/>
      <c r="X798" s="130"/>
      <c r="Z798" s="106"/>
    </row>
    <row r="799">
      <c r="C799" s="79"/>
      <c r="D799" s="79"/>
      <c r="J799" s="79"/>
      <c r="P799" s="79"/>
      <c r="Q799" s="79"/>
      <c r="T799" s="79"/>
      <c r="U799" s="79"/>
      <c r="X799" s="130"/>
      <c r="Z799" s="106"/>
    </row>
    <row r="800">
      <c r="C800" s="79"/>
      <c r="D800" s="79"/>
      <c r="J800" s="79"/>
      <c r="P800" s="79"/>
      <c r="Q800" s="79"/>
      <c r="T800" s="79"/>
      <c r="U800" s="79"/>
      <c r="X800" s="130"/>
      <c r="Z800" s="106"/>
    </row>
    <row r="801">
      <c r="C801" s="79"/>
      <c r="D801" s="79"/>
      <c r="J801" s="79"/>
      <c r="P801" s="79"/>
      <c r="Q801" s="79"/>
      <c r="T801" s="79"/>
      <c r="U801" s="79"/>
      <c r="X801" s="130"/>
      <c r="Z801" s="106"/>
    </row>
    <row r="802">
      <c r="C802" s="79"/>
      <c r="D802" s="79"/>
      <c r="J802" s="79"/>
      <c r="P802" s="79"/>
      <c r="Q802" s="79"/>
      <c r="T802" s="79"/>
      <c r="U802" s="79"/>
      <c r="X802" s="130"/>
      <c r="Z802" s="106"/>
    </row>
    <row r="803">
      <c r="C803" s="79"/>
      <c r="D803" s="79"/>
      <c r="J803" s="79"/>
      <c r="P803" s="79"/>
      <c r="Q803" s="79"/>
      <c r="T803" s="79"/>
      <c r="U803" s="79"/>
      <c r="X803" s="130"/>
      <c r="Z803" s="106"/>
    </row>
    <row r="804">
      <c r="C804" s="79"/>
      <c r="D804" s="79"/>
      <c r="J804" s="79"/>
      <c r="P804" s="79"/>
      <c r="Q804" s="79"/>
      <c r="T804" s="79"/>
      <c r="U804" s="79"/>
      <c r="X804" s="130"/>
      <c r="Z804" s="106"/>
    </row>
    <row r="805">
      <c r="C805" s="79"/>
      <c r="D805" s="79"/>
      <c r="J805" s="79"/>
      <c r="P805" s="79"/>
      <c r="Q805" s="79"/>
      <c r="T805" s="79"/>
      <c r="U805" s="79"/>
      <c r="X805" s="130"/>
      <c r="Z805" s="106"/>
    </row>
    <row r="806">
      <c r="C806" s="79"/>
      <c r="D806" s="79"/>
      <c r="J806" s="79"/>
      <c r="P806" s="79"/>
      <c r="Q806" s="79"/>
      <c r="T806" s="79"/>
      <c r="U806" s="79"/>
      <c r="X806" s="130"/>
      <c r="Z806" s="106"/>
    </row>
    <row r="807">
      <c r="C807" s="79"/>
      <c r="D807" s="79"/>
      <c r="J807" s="79"/>
      <c r="P807" s="79"/>
      <c r="Q807" s="79"/>
      <c r="T807" s="79"/>
      <c r="U807" s="79"/>
      <c r="X807" s="130"/>
      <c r="Z807" s="106"/>
    </row>
    <row r="808">
      <c r="C808" s="79"/>
      <c r="D808" s="79"/>
      <c r="J808" s="79"/>
      <c r="P808" s="79"/>
      <c r="Q808" s="79"/>
      <c r="T808" s="79"/>
      <c r="U808" s="79"/>
      <c r="X808" s="130"/>
      <c r="Z808" s="106"/>
    </row>
    <row r="809">
      <c r="C809" s="79"/>
      <c r="D809" s="79"/>
      <c r="J809" s="79"/>
      <c r="P809" s="79"/>
      <c r="Q809" s="79"/>
      <c r="T809" s="79"/>
      <c r="U809" s="79"/>
      <c r="X809" s="130"/>
      <c r="Z809" s="106"/>
    </row>
    <row r="810">
      <c r="C810" s="79"/>
      <c r="D810" s="79"/>
      <c r="J810" s="79"/>
      <c r="P810" s="79"/>
      <c r="Q810" s="79"/>
      <c r="T810" s="79"/>
      <c r="U810" s="79"/>
      <c r="X810" s="130"/>
      <c r="Z810" s="106"/>
    </row>
    <row r="811">
      <c r="C811" s="79"/>
      <c r="D811" s="79"/>
      <c r="J811" s="79"/>
      <c r="P811" s="79"/>
      <c r="Q811" s="79"/>
      <c r="T811" s="79"/>
      <c r="U811" s="79"/>
      <c r="X811" s="130"/>
      <c r="Z811" s="106"/>
    </row>
    <row r="812">
      <c r="C812" s="79"/>
      <c r="D812" s="79"/>
      <c r="J812" s="79"/>
      <c r="P812" s="79"/>
      <c r="Q812" s="79"/>
      <c r="T812" s="79"/>
      <c r="U812" s="79"/>
      <c r="X812" s="130"/>
      <c r="Z812" s="106"/>
    </row>
    <row r="813">
      <c r="C813" s="79"/>
      <c r="D813" s="79"/>
      <c r="J813" s="79"/>
      <c r="P813" s="79"/>
      <c r="Q813" s="79"/>
      <c r="T813" s="79"/>
      <c r="U813" s="79"/>
      <c r="X813" s="130"/>
      <c r="Z813" s="106"/>
    </row>
    <row r="814">
      <c r="C814" s="79"/>
      <c r="D814" s="79"/>
      <c r="J814" s="79"/>
      <c r="P814" s="79"/>
      <c r="Q814" s="79"/>
      <c r="T814" s="79"/>
      <c r="U814" s="79"/>
      <c r="X814" s="130"/>
      <c r="Z814" s="106"/>
    </row>
    <row r="815">
      <c r="C815" s="79"/>
      <c r="D815" s="79"/>
      <c r="J815" s="79"/>
      <c r="P815" s="79"/>
      <c r="Q815" s="79"/>
      <c r="T815" s="79"/>
      <c r="U815" s="79"/>
      <c r="X815" s="130"/>
      <c r="Z815" s="106"/>
    </row>
    <row r="816">
      <c r="C816" s="79"/>
      <c r="D816" s="79"/>
      <c r="J816" s="79"/>
      <c r="P816" s="79"/>
      <c r="Q816" s="79"/>
      <c r="T816" s="79"/>
      <c r="U816" s="79"/>
      <c r="X816" s="130"/>
      <c r="Z816" s="106"/>
    </row>
    <row r="817">
      <c r="C817" s="79"/>
      <c r="D817" s="79"/>
      <c r="J817" s="79"/>
      <c r="P817" s="79"/>
      <c r="Q817" s="79"/>
      <c r="T817" s="79"/>
      <c r="U817" s="79"/>
      <c r="X817" s="130"/>
      <c r="Z817" s="106"/>
    </row>
    <row r="818">
      <c r="C818" s="79"/>
      <c r="D818" s="79"/>
      <c r="J818" s="79"/>
      <c r="P818" s="79"/>
      <c r="Q818" s="79"/>
      <c r="T818" s="79"/>
      <c r="U818" s="79"/>
      <c r="X818" s="130"/>
      <c r="Z818" s="106"/>
    </row>
    <row r="819">
      <c r="C819" s="79"/>
      <c r="D819" s="79"/>
      <c r="J819" s="79"/>
      <c r="P819" s="79"/>
      <c r="Q819" s="79"/>
      <c r="T819" s="79"/>
      <c r="U819" s="79"/>
      <c r="X819" s="130"/>
      <c r="Z819" s="106"/>
    </row>
    <row r="820">
      <c r="C820" s="79"/>
      <c r="D820" s="79"/>
      <c r="J820" s="79"/>
      <c r="P820" s="79"/>
      <c r="Q820" s="79"/>
      <c r="T820" s="79"/>
      <c r="U820" s="79"/>
      <c r="X820" s="130"/>
      <c r="Z820" s="106"/>
    </row>
    <row r="821">
      <c r="C821" s="79"/>
      <c r="D821" s="79"/>
      <c r="J821" s="79"/>
      <c r="P821" s="79"/>
      <c r="Q821" s="79"/>
      <c r="T821" s="79"/>
      <c r="U821" s="79"/>
      <c r="X821" s="130"/>
      <c r="Z821" s="106"/>
    </row>
    <row r="822">
      <c r="C822" s="79"/>
      <c r="D822" s="79"/>
      <c r="J822" s="79"/>
      <c r="P822" s="79"/>
      <c r="Q822" s="79"/>
      <c r="T822" s="79"/>
      <c r="U822" s="79"/>
      <c r="X822" s="130"/>
      <c r="Z822" s="106"/>
    </row>
    <row r="823">
      <c r="C823" s="79"/>
      <c r="D823" s="79"/>
      <c r="J823" s="79"/>
      <c r="P823" s="79"/>
      <c r="Q823" s="79"/>
      <c r="T823" s="79"/>
      <c r="U823" s="79"/>
      <c r="X823" s="130"/>
      <c r="Z823" s="106"/>
    </row>
    <row r="824">
      <c r="C824" s="79"/>
      <c r="D824" s="79"/>
      <c r="J824" s="79"/>
      <c r="P824" s="79"/>
      <c r="Q824" s="79"/>
      <c r="T824" s="79"/>
      <c r="U824" s="79"/>
      <c r="X824" s="130"/>
      <c r="Z824" s="106"/>
    </row>
    <row r="825">
      <c r="C825" s="79"/>
      <c r="D825" s="79"/>
      <c r="J825" s="79"/>
      <c r="P825" s="79"/>
      <c r="Q825" s="79"/>
      <c r="T825" s="79"/>
      <c r="U825" s="79"/>
      <c r="X825" s="130"/>
      <c r="Z825" s="106"/>
    </row>
    <row r="826">
      <c r="C826" s="79"/>
      <c r="D826" s="79"/>
      <c r="J826" s="79"/>
      <c r="P826" s="79"/>
      <c r="Q826" s="79"/>
      <c r="T826" s="79"/>
      <c r="U826" s="79"/>
      <c r="X826" s="130"/>
      <c r="Z826" s="106"/>
    </row>
    <row r="827">
      <c r="C827" s="79"/>
      <c r="D827" s="79"/>
      <c r="J827" s="79"/>
      <c r="P827" s="79"/>
      <c r="Q827" s="79"/>
      <c r="T827" s="79"/>
      <c r="U827" s="79"/>
      <c r="X827" s="130"/>
      <c r="Z827" s="106"/>
    </row>
    <row r="828">
      <c r="C828" s="79"/>
      <c r="D828" s="79"/>
      <c r="J828" s="79"/>
      <c r="P828" s="79"/>
      <c r="Q828" s="79"/>
      <c r="T828" s="79"/>
      <c r="U828" s="79"/>
      <c r="X828" s="130"/>
      <c r="Z828" s="106"/>
    </row>
    <row r="829">
      <c r="C829" s="79"/>
      <c r="D829" s="79"/>
      <c r="J829" s="79"/>
      <c r="P829" s="79"/>
      <c r="Q829" s="79"/>
      <c r="T829" s="79"/>
      <c r="U829" s="79"/>
      <c r="X829" s="130"/>
      <c r="Z829" s="106"/>
    </row>
    <row r="830">
      <c r="C830" s="79"/>
      <c r="D830" s="79"/>
      <c r="J830" s="79"/>
      <c r="P830" s="79"/>
      <c r="Q830" s="79"/>
      <c r="T830" s="79"/>
      <c r="U830" s="79"/>
      <c r="X830" s="130"/>
      <c r="Z830" s="106"/>
    </row>
    <row r="831">
      <c r="C831" s="79"/>
      <c r="D831" s="79"/>
      <c r="J831" s="79"/>
      <c r="P831" s="79"/>
      <c r="Q831" s="79"/>
      <c r="T831" s="79"/>
      <c r="U831" s="79"/>
      <c r="X831" s="130"/>
      <c r="Z831" s="106"/>
    </row>
    <row r="832">
      <c r="C832" s="79"/>
      <c r="D832" s="79"/>
      <c r="J832" s="79"/>
      <c r="P832" s="79"/>
      <c r="Q832" s="79"/>
      <c r="T832" s="79"/>
      <c r="U832" s="79"/>
      <c r="X832" s="130"/>
      <c r="Z832" s="106"/>
    </row>
    <row r="833">
      <c r="C833" s="79"/>
      <c r="D833" s="79"/>
      <c r="J833" s="79"/>
      <c r="P833" s="79"/>
      <c r="Q833" s="79"/>
      <c r="T833" s="79"/>
      <c r="U833" s="79"/>
      <c r="X833" s="130"/>
      <c r="Z833" s="106"/>
    </row>
    <row r="834">
      <c r="C834" s="79"/>
      <c r="D834" s="79"/>
      <c r="J834" s="79"/>
      <c r="P834" s="79"/>
      <c r="Q834" s="79"/>
      <c r="T834" s="79"/>
      <c r="U834" s="79"/>
      <c r="X834" s="130"/>
      <c r="Z834" s="106"/>
    </row>
    <row r="835">
      <c r="C835" s="79"/>
      <c r="D835" s="79"/>
      <c r="J835" s="79"/>
      <c r="P835" s="79"/>
      <c r="Q835" s="79"/>
      <c r="T835" s="79"/>
      <c r="U835" s="79"/>
      <c r="X835" s="130"/>
      <c r="Z835" s="106"/>
    </row>
    <row r="836">
      <c r="C836" s="79"/>
      <c r="D836" s="79"/>
      <c r="J836" s="79"/>
      <c r="P836" s="79"/>
      <c r="Q836" s="79"/>
      <c r="T836" s="79"/>
      <c r="U836" s="79"/>
      <c r="X836" s="130"/>
      <c r="Z836" s="106"/>
    </row>
    <row r="837">
      <c r="C837" s="79"/>
      <c r="D837" s="79"/>
      <c r="J837" s="79"/>
      <c r="P837" s="79"/>
      <c r="Q837" s="79"/>
      <c r="T837" s="79"/>
      <c r="U837" s="79"/>
      <c r="X837" s="130"/>
      <c r="Z837" s="106"/>
    </row>
    <row r="838">
      <c r="C838" s="79"/>
      <c r="D838" s="79"/>
      <c r="J838" s="79"/>
      <c r="P838" s="79"/>
      <c r="Q838" s="79"/>
      <c r="T838" s="79"/>
      <c r="U838" s="79"/>
      <c r="X838" s="130"/>
      <c r="Z838" s="106"/>
    </row>
    <row r="839">
      <c r="C839" s="79"/>
      <c r="D839" s="79"/>
      <c r="J839" s="79"/>
      <c r="P839" s="79"/>
      <c r="Q839" s="79"/>
      <c r="T839" s="79"/>
      <c r="U839" s="79"/>
      <c r="X839" s="130"/>
      <c r="Z839" s="106"/>
    </row>
    <row r="840">
      <c r="C840" s="79"/>
      <c r="D840" s="79"/>
      <c r="J840" s="79"/>
      <c r="P840" s="79"/>
      <c r="Q840" s="79"/>
      <c r="T840" s="79"/>
      <c r="U840" s="79"/>
      <c r="X840" s="130"/>
      <c r="Z840" s="106"/>
    </row>
    <row r="841">
      <c r="C841" s="79"/>
      <c r="D841" s="79"/>
      <c r="J841" s="79"/>
      <c r="P841" s="79"/>
      <c r="Q841" s="79"/>
      <c r="T841" s="79"/>
      <c r="U841" s="79"/>
      <c r="X841" s="130"/>
      <c r="Z841" s="106"/>
    </row>
    <row r="842">
      <c r="C842" s="79"/>
      <c r="D842" s="79"/>
      <c r="J842" s="79"/>
      <c r="P842" s="79"/>
      <c r="Q842" s="79"/>
      <c r="T842" s="79"/>
      <c r="U842" s="79"/>
      <c r="X842" s="130"/>
      <c r="Z842" s="106"/>
    </row>
    <row r="843">
      <c r="C843" s="79"/>
      <c r="D843" s="79"/>
      <c r="J843" s="79"/>
      <c r="P843" s="79"/>
      <c r="Q843" s="79"/>
      <c r="T843" s="79"/>
      <c r="U843" s="79"/>
      <c r="X843" s="130"/>
      <c r="Z843" s="106"/>
    </row>
    <row r="844">
      <c r="C844" s="79"/>
      <c r="D844" s="79"/>
      <c r="J844" s="79"/>
      <c r="P844" s="79"/>
      <c r="Q844" s="79"/>
      <c r="T844" s="79"/>
      <c r="U844" s="79"/>
      <c r="X844" s="130"/>
      <c r="Z844" s="106"/>
    </row>
    <row r="845">
      <c r="C845" s="79"/>
      <c r="D845" s="79"/>
      <c r="J845" s="79"/>
      <c r="P845" s="79"/>
      <c r="Q845" s="79"/>
      <c r="T845" s="79"/>
      <c r="U845" s="79"/>
      <c r="X845" s="130"/>
      <c r="Z845" s="106"/>
    </row>
    <row r="846">
      <c r="C846" s="79"/>
      <c r="D846" s="79"/>
      <c r="J846" s="79"/>
      <c r="P846" s="79"/>
      <c r="Q846" s="79"/>
      <c r="T846" s="79"/>
      <c r="U846" s="79"/>
      <c r="X846" s="130"/>
      <c r="Z846" s="106"/>
    </row>
    <row r="847">
      <c r="C847" s="79"/>
      <c r="D847" s="79"/>
      <c r="J847" s="79"/>
      <c r="P847" s="79"/>
      <c r="Q847" s="79"/>
      <c r="T847" s="79"/>
      <c r="U847" s="79"/>
      <c r="X847" s="130"/>
      <c r="Z847" s="106"/>
    </row>
    <row r="848">
      <c r="C848" s="79"/>
      <c r="D848" s="79"/>
      <c r="J848" s="79"/>
      <c r="P848" s="79"/>
      <c r="Q848" s="79"/>
      <c r="T848" s="79"/>
      <c r="U848" s="79"/>
      <c r="X848" s="130"/>
      <c r="Z848" s="106"/>
    </row>
    <row r="849">
      <c r="C849" s="79"/>
      <c r="D849" s="79"/>
      <c r="J849" s="79"/>
      <c r="P849" s="79"/>
      <c r="Q849" s="79"/>
      <c r="T849" s="79"/>
      <c r="U849" s="79"/>
      <c r="X849" s="130"/>
      <c r="Z849" s="106"/>
    </row>
    <row r="850">
      <c r="C850" s="79"/>
      <c r="D850" s="79"/>
      <c r="J850" s="79"/>
      <c r="P850" s="79"/>
      <c r="Q850" s="79"/>
      <c r="T850" s="79"/>
      <c r="U850" s="79"/>
      <c r="X850" s="130"/>
      <c r="Z850" s="106"/>
    </row>
    <row r="851">
      <c r="C851" s="79"/>
      <c r="D851" s="79"/>
      <c r="J851" s="79"/>
      <c r="P851" s="79"/>
      <c r="Q851" s="79"/>
      <c r="T851" s="79"/>
      <c r="U851" s="79"/>
      <c r="X851" s="130"/>
      <c r="Z851" s="106"/>
    </row>
    <row r="852">
      <c r="C852" s="79"/>
      <c r="D852" s="79"/>
      <c r="J852" s="79"/>
      <c r="P852" s="79"/>
      <c r="Q852" s="79"/>
      <c r="T852" s="79"/>
      <c r="U852" s="79"/>
      <c r="X852" s="130"/>
      <c r="Z852" s="106"/>
    </row>
    <row r="853">
      <c r="C853" s="79"/>
      <c r="D853" s="79"/>
      <c r="J853" s="79"/>
      <c r="P853" s="79"/>
      <c r="Q853" s="79"/>
      <c r="T853" s="79"/>
      <c r="U853" s="79"/>
      <c r="X853" s="130"/>
      <c r="Z853" s="106"/>
    </row>
    <row r="854">
      <c r="C854" s="79"/>
      <c r="D854" s="79"/>
      <c r="J854" s="79"/>
      <c r="P854" s="79"/>
      <c r="Q854" s="79"/>
      <c r="T854" s="79"/>
      <c r="U854" s="79"/>
      <c r="X854" s="130"/>
      <c r="Z854" s="106"/>
    </row>
    <row r="855">
      <c r="C855" s="79"/>
      <c r="D855" s="79"/>
      <c r="J855" s="79"/>
      <c r="P855" s="79"/>
      <c r="Q855" s="79"/>
      <c r="T855" s="79"/>
      <c r="U855" s="79"/>
      <c r="X855" s="130"/>
      <c r="Z855" s="106"/>
    </row>
    <row r="856">
      <c r="C856" s="79"/>
      <c r="D856" s="79"/>
      <c r="J856" s="79"/>
      <c r="P856" s="79"/>
      <c r="Q856" s="79"/>
      <c r="T856" s="79"/>
      <c r="U856" s="79"/>
      <c r="X856" s="130"/>
      <c r="Z856" s="106"/>
    </row>
    <row r="857">
      <c r="C857" s="79"/>
      <c r="D857" s="79"/>
      <c r="J857" s="79"/>
      <c r="P857" s="79"/>
      <c r="Q857" s="79"/>
      <c r="T857" s="79"/>
      <c r="U857" s="79"/>
      <c r="X857" s="130"/>
      <c r="Z857" s="106"/>
    </row>
    <row r="858">
      <c r="C858" s="79"/>
      <c r="D858" s="79"/>
      <c r="J858" s="79"/>
      <c r="P858" s="79"/>
      <c r="Q858" s="79"/>
      <c r="T858" s="79"/>
      <c r="U858" s="79"/>
      <c r="X858" s="130"/>
      <c r="Z858" s="106"/>
    </row>
    <row r="859">
      <c r="C859" s="79"/>
      <c r="D859" s="79"/>
      <c r="J859" s="79"/>
      <c r="P859" s="79"/>
      <c r="Q859" s="79"/>
      <c r="T859" s="79"/>
      <c r="U859" s="79"/>
      <c r="X859" s="130"/>
      <c r="Z859" s="106"/>
    </row>
    <row r="860">
      <c r="C860" s="79"/>
      <c r="D860" s="79"/>
      <c r="J860" s="79"/>
      <c r="P860" s="79"/>
      <c r="Q860" s="79"/>
      <c r="T860" s="79"/>
      <c r="U860" s="79"/>
      <c r="X860" s="130"/>
      <c r="Z860" s="106"/>
    </row>
    <row r="861">
      <c r="C861" s="79"/>
      <c r="D861" s="79"/>
      <c r="J861" s="79"/>
      <c r="P861" s="79"/>
      <c r="Q861" s="79"/>
      <c r="T861" s="79"/>
      <c r="U861" s="79"/>
      <c r="X861" s="130"/>
      <c r="Z861" s="106"/>
    </row>
    <row r="862">
      <c r="C862" s="79"/>
      <c r="D862" s="79"/>
      <c r="J862" s="79"/>
      <c r="P862" s="79"/>
      <c r="Q862" s="79"/>
      <c r="T862" s="79"/>
      <c r="U862" s="79"/>
      <c r="X862" s="130"/>
      <c r="Z862" s="106"/>
    </row>
    <row r="863">
      <c r="C863" s="79"/>
      <c r="D863" s="79"/>
      <c r="J863" s="79"/>
      <c r="P863" s="79"/>
      <c r="Q863" s="79"/>
      <c r="T863" s="79"/>
      <c r="U863" s="79"/>
      <c r="X863" s="130"/>
      <c r="Z863" s="106"/>
    </row>
    <row r="864">
      <c r="C864" s="79"/>
      <c r="D864" s="79"/>
      <c r="J864" s="79"/>
      <c r="P864" s="79"/>
      <c r="Q864" s="79"/>
      <c r="T864" s="79"/>
      <c r="U864" s="79"/>
      <c r="X864" s="130"/>
      <c r="Z864" s="106"/>
    </row>
    <row r="865">
      <c r="C865" s="79"/>
      <c r="D865" s="79"/>
      <c r="J865" s="79"/>
      <c r="P865" s="79"/>
      <c r="Q865" s="79"/>
      <c r="T865" s="79"/>
      <c r="U865" s="79"/>
      <c r="X865" s="130"/>
      <c r="Z865" s="106"/>
    </row>
    <row r="866">
      <c r="C866" s="79"/>
      <c r="D866" s="79"/>
      <c r="J866" s="79"/>
      <c r="P866" s="79"/>
      <c r="Q866" s="79"/>
      <c r="T866" s="79"/>
      <c r="U866" s="79"/>
      <c r="X866" s="130"/>
      <c r="Z866" s="106"/>
    </row>
    <row r="867">
      <c r="C867" s="79"/>
      <c r="D867" s="79"/>
      <c r="J867" s="79"/>
      <c r="P867" s="79"/>
      <c r="Q867" s="79"/>
      <c r="T867" s="79"/>
      <c r="U867" s="79"/>
      <c r="X867" s="130"/>
      <c r="Z867" s="106"/>
    </row>
    <row r="868">
      <c r="C868" s="79"/>
      <c r="D868" s="79"/>
      <c r="J868" s="79"/>
      <c r="P868" s="79"/>
      <c r="Q868" s="79"/>
      <c r="T868" s="79"/>
      <c r="U868" s="79"/>
      <c r="X868" s="130"/>
      <c r="Z868" s="106"/>
    </row>
    <row r="869">
      <c r="C869" s="79"/>
      <c r="D869" s="79"/>
      <c r="J869" s="79"/>
      <c r="P869" s="79"/>
      <c r="Q869" s="79"/>
      <c r="T869" s="79"/>
      <c r="U869" s="79"/>
      <c r="X869" s="130"/>
      <c r="Z869" s="106"/>
    </row>
    <row r="870">
      <c r="C870" s="79"/>
      <c r="D870" s="79"/>
      <c r="J870" s="79"/>
      <c r="P870" s="79"/>
      <c r="Q870" s="79"/>
      <c r="T870" s="79"/>
      <c r="U870" s="79"/>
      <c r="X870" s="130"/>
      <c r="Z870" s="106"/>
    </row>
    <row r="871">
      <c r="C871" s="79"/>
      <c r="D871" s="79"/>
      <c r="J871" s="79"/>
      <c r="P871" s="79"/>
      <c r="Q871" s="79"/>
      <c r="T871" s="79"/>
      <c r="U871" s="79"/>
      <c r="X871" s="130"/>
      <c r="Z871" s="106"/>
    </row>
    <row r="872">
      <c r="C872" s="79"/>
      <c r="D872" s="79"/>
      <c r="J872" s="79"/>
      <c r="P872" s="79"/>
      <c r="Q872" s="79"/>
      <c r="T872" s="79"/>
      <c r="U872" s="79"/>
      <c r="X872" s="130"/>
      <c r="Z872" s="106"/>
    </row>
    <row r="873">
      <c r="C873" s="79"/>
      <c r="D873" s="79"/>
      <c r="J873" s="79"/>
      <c r="P873" s="79"/>
      <c r="Q873" s="79"/>
      <c r="T873" s="79"/>
      <c r="U873" s="79"/>
      <c r="X873" s="130"/>
      <c r="Z873" s="106"/>
    </row>
    <row r="874">
      <c r="C874" s="79"/>
      <c r="D874" s="79"/>
      <c r="J874" s="79"/>
      <c r="P874" s="79"/>
      <c r="Q874" s="79"/>
      <c r="T874" s="79"/>
      <c r="U874" s="79"/>
      <c r="X874" s="130"/>
      <c r="Z874" s="106"/>
    </row>
    <row r="875">
      <c r="C875" s="79"/>
      <c r="D875" s="79"/>
      <c r="J875" s="79"/>
      <c r="P875" s="79"/>
      <c r="Q875" s="79"/>
      <c r="T875" s="79"/>
      <c r="U875" s="79"/>
      <c r="X875" s="130"/>
      <c r="Z875" s="106"/>
    </row>
    <row r="876">
      <c r="C876" s="79"/>
      <c r="D876" s="79"/>
      <c r="J876" s="79"/>
      <c r="P876" s="79"/>
      <c r="Q876" s="79"/>
      <c r="T876" s="79"/>
      <c r="U876" s="79"/>
      <c r="X876" s="130"/>
      <c r="Z876" s="106"/>
    </row>
    <row r="877">
      <c r="C877" s="79"/>
      <c r="D877" s="79"/>
      <c r="J877" s="79"/>
      <c r="P877" s="79"/>
      <c r="Q877" s="79"/>
      <c r="T877" s="79"/>
      <c r="U877" s="79"/>
      <c r="X877" s="130"/>
      <c r="Z877" s="106"/>
    </row>
    <row r="878">
      <c r="C878" s="79"/>
      <c r="D878" s="79"/>
      <c r="J878" s="79"/>
      <c r="P878" s="79"/>
      <c r="Q878" s="79"/>
      <c r="T878" s="79"/>
      <c r="U878" s="79"/>
      <c r="X878" s="130"/>
      <c r="Z878" s="106"/>
    </row>
    <row r="879">
      <c r="C879" s="79"/>
      <c r="D879" s="79"/>
      <c r="J879" s="79"/>
      <c r="P879" s="79"/>
      <c r="Q879" s="79"/>
      <c r="T879" s="79"/>
      <c r="U879" s="79"/>
      <c r="X879" s="130"/>
      <c r="Z879" s="106"/>
    </row>
    <row r="880">
      <c r="C880" s="79"/>
      <c r="D880" s="79"/>
      <c r="J880" s="79"/>
      <c r="P880" s="79"/>
      <c r="Q880" s="79"/>
      <c r="T880" s="79"/>
      <c r="U880" s="79"/>
      <c r="X880" s="130"/>
      <c r="Z880" s="106"/>
    </row>
    <row r="881">
      <c r="C881" s="79"/>
      <c r="D881" s="79"/>
      <c r="J881" s="79"/>
      <c r="P881" s="79"/>
      <c r="Q881" s="79"/>
      <c r="T881" s="79"/>
      <c r="U881" s="79"/>
      <c r="X881" s="130"/>
      <c r="Z881" s="106"/>
    </row>
    <row r="882">
      <c r="C882" s="79"/>
      <c r="D882" s="79"/>
      <c r="J882" s="79"/>
      <c r="P882" s="79"/>
      <c r="Q882" s="79"/>
      <c r="T882" s="79"/>
      <c r="U882" s="79"/>
      <c r="X882" s="130"/>
      <c r="Z882" s="106"/>
    </row>
    <row r="883">
      <c r="C883" s="79"/>
      <c r="D883" s="79"/>
      <c r="J883" s="79"/>
      <c r="P883" s="79"/>
      <c r="Q883" s="79"/>
      <c r="T883" s="79"/>
      <c r="U883" s="79"/>
      <c r="X883" s="130"/>
      <c r="Z883" s="106"/>
    </row>
    <row r="884">
      <c r="C884" s="79"/>
      <c r="D884" s="79"/>
      <c r="J884" s="79"/>
      <c r="P884" s="79"/>
      <c r="Q884" s="79"/>
      <c r="T884" s="79"/>
      <c r="U884" s="79"/>
      <c r="X884" s="130"/>
      <c r="Z884" s="106"/>
    </row>
    <row r="885">
      <c r="C885" s="79"/>
      <c r="D885" s="79"/>
      <c r="J885" s="79"/>
      <c r="P885" s="79"/>
      <c r="Q885" s="79"/>
      <c r="T885" s="79"/>
      <c r="U885" s="79"/>
      <c r="X885" s="130"/>
      <c r="Z885" s="106"/>
    </row>
    <row r="886">
      <c r="C886" s="79"/>
      <c r="D886" s="79"/>
      <c r="J886" s="79"/>
      <c r="P886" s="79"/>
      <c r="Q886" s="79"/>
      <c r="T886" s="79"/>
      <c r="U886" s="79"/>
      <c r="X886" s="130"/>
      <c r="Z886" s="106"/>
    </row>
    <row r="887">
      <c r="C887" s="79"/>
      <c r="D887" s="79"/>
      <c r="J887" s="79"/>
      <c r="P887" s="79"/>
      <c r="Q887" s="79"/>
      <c r="T887" s="79"/>
      <c r="U887" s="79"/>
      <c r="X887" s="130"/>
      <c r="Z887" s="106"/>
    </row>
    <row r="888">
      <c r="C888" s="79"/>
      <c r="D888" s="79"/>
      <c r="J888" s="79"/>
      <c r="P888" s="79"/>
      <c r="Q888" s="79"/>
      <c r="T888" s="79"/>
      <c r="U888" s="79"/>
      <c r="X888" s="130"/>
      <c r="Z888" s="106"/>
    </row>
    <row r="889">
      <c r="C889" s="79"/>
      <c r="D889" s="79"/>
      <c r="J889" s="79"/>
      <c r="P889" s="79"/>
      <c r="Q889" s="79"/>
      <c r="T889" s="79"/>
      <c r="U889" s="79"/>
      <c r="X889" s="130"/>
      <c r="Z889" s="106"/>
    </row>
    <row r="890">
      <c r="C890" s="79"/>
      <c r="D890" s="79"/>
      <c r="J890" s="79"/>
      <c r="P890" s="79"/>
      <c r="Q890" s="79"/>
      <c r="T890" s="79"/>
      <c r="U890" s="79"/>
      <c r="X890" s="130"/>
      <c r="Z890" s="106"/>
    </row>
    <row r="891">
      <c r="C891" s="79"/>
      <c r="D891" s="79"/>
      <c r="J891" s="79"/>
      <c r="P891" s="79"/>
      <c r="Q891" s="79"/>
      <c r="T891" s="79"/>
      <c r="U891" s="79"/>
      <c r="X891" s="130"/>
      <c r="Z891" s="106"/>
    </row>
    <row r="892">
      <c r="C892" s="79"/>
      <c r="D892" s="79"/>
      <c r="J892" s="79"/>
      <c r="P892" s="79"/>
      <c r="Q892" s="79"/>
      <c r="T892" s="79"/>
      <c r="U892" s="79"/>
      <c r="X892" s="130"/>
      <c r="Z892" s="106"/>
    </row>
    <row r="893">
      <c r="C893" s="79"/>
      <c r="D893" s="79"/>
      <c r="J893" s="79"/>
      <c r="P893" s="79"/>
      <c r="Q893" s="79"/>
      <c r="T893" s="79"/>
      <c r="U893" s="79"/>
      <c r="X893" s="130"/>
      <c r="Z893" s="106"/>
    </row>
    <row r="894">
      <c r="C894" s="79"/>
      <c r="D894" s="79"/>
      <c r="J894" s="79"/>
      <c r="P894" s="79"/>
      <c r="Q894" s="79"/>
      <c r="T894" s="79"/>
      <c r="U894" s="79"/>
      <c r="X894" s="130"/>
      <c r="Z894" s="106"/>
    </row>
    <row r="895">
      <c r="C895" s="79"/>
      <c r="D895" s="79"/>
      <c r="J895" s="79"/>
      <c r="P895" s="79"/>
      <c r="Q895" s="79"/>
      <c r="T895" s="79"/>
      <c r="U895" s="79"/>
      <c r="X895" s="130"/>
      <c r="Z895" s="106"/>
    </row>
    <row r="896">
      <c r="C896" s="79"/>
      <c r="D896" s="79"/>
      <c r="J896" s="79"/>
      <c r="P896" s="79"/>
      <c r="Q896" s="79"/>
      <c r="T896" s="79"/>
      <c r="U896" s="79"/>
      <c r="X896" s="130"/>
      <c r="Z896" s="106"/>
    </row>
    <row r="897">
      <c r="C897" s="79"/>
      <c r="D897" s="79"/>
      <c r="J897" s="79"/>
      <c r="P897" s="79"/>
      <c r="Q897" s="79"/>
      <c r="T897" s="79"/>
      <c r="U897" s="79"/>
      <c r="X897" s="130"/>
      <c r="Z897" s="106"/>
    </row>
    <row r="898">
      <c r="C898" s="79"/>
      <c r="D898" s="79"/>
      <c r="J898" s="79"/>
      <c r="P898" s="79"/>
      <c r="Q898" s="79"/>
      <c r="T898" s="79"/>
      <c r="U898" s="79"/>
      <c r="X898" s="130"/>
      <c r="Z898" s="106"/>
    </row>
    <row r="899">
      <c r="C899" s="79"/>
      <c r="D899" s="79"/>
      <c r="J899" s="79"/>
      <c r="P899" s="79"/>
      <c r="Q899" s="79"/>
      <c r="T899" s="79"/>
      <c r="U899" s="79"/>
      <c r="X899" s="130"/>
      <c r="Z899" s="106"/>
    </row>
    <row r="900">
      <c r="C900" s="79"/>
      <c r="D900" s="79"/>
      <c r="J900" s="79"/>
      <c r="P900" s="79"/>
      <c r="Q900" s="79"/>
      <c r="T900" s="79"/>
      <c r="U900" s="79"/>
      <c r="X900" s="130"/>
      <c r="Z900" s="106"/>
    </row>
    <row r="901">
      <c r="C901" s="79"/>
      <c r="D901" s="79"/>
      <c r="J901" s="79"/>
      <c r="P901" s="79"/>
      <c r="Q901" s="79"/>
      <c r="T901" s="79"/>
      <c r="U901" s="79"/>
      <c r="X901" s="130"/>
      <c r="Z901" s="106"/>
    </row>
    <row r="902">
      <c r="C902" s="79"/>
      <c r="D902" s="79"/>
      <c r="J902" s="79"/>
      <c r="P902" s="79"/>
      <c r="Q902" s="79"/>
      <c r="T902" s="79"/>
      <c r="U902" s="79"/>
      <c r="X902" s="130"/>
      <c r="Z902" s="106"/>
    </row>
    <row r="903">
      <c r="C903" s="79"/>
      <c r="D903" s="79"/>
      <c r="J903" s="79"/>
      <c r="P903" s="79"/>
      <c r="Q903" s="79"/>
      <c r="T903" s="79"/>
      <c r="U903" s="79"/>
      <c r="X903" s="130"/>
      <c r="Z903" s="106"/>
    </row>
    <row r="904">
      <c r="C904" s="79"/>
      <c r="D904" s="79"/>
      <c r="J904" s="79"/>
      <c r="P904" s="79"/>
      <c r="Q904" s="79"/>
      <c r="T904" s="79"/>
      <c r="U904" s="79"/>
      <c r="X904" s="130"/>
      <c r="Z904" s="106"/>
    </row>
    <row r="905">
      <c r="C905" s="79"/>
      <c r="D905" s="79"/>
      <c r="J905" s="79"/>
      <c r="P905" s="79"/>
      <c r="Q905" s="79"/>
      <c r="T905" s="79"/>
      <c r="U905" s="79"/>
      <c r="X905" s="130"/>
      <c r="Z905" s="106"/>
    </row>
    <row r="906">
      <c r="C906" s="79"/>
      <c r="D906" s="79"/>
      <c r="J906" s="79"/>
      <c r="P906" s="79"/>
      <c r="Q906" s="79"/>
      <c r="T906" s="79"/>
      <c r="U906" s="79"/>
      <c r="X906" s="130"/>
      <c r="Z906" s="106"/>
    </row>
    <row r="907">
      <c r="C907" s="79"/>
      <c r="D907" s="79"/>
      <c r="J907" s="79"/>
      <c r="P907" s="79"/>
      <c r="Q907" s="79"/>
      <c r="T907" s="79"/>
      <c r="U907" s="79"/>
      <c r="X907" s="130"/>
      <c r="Z907" s="106"/>
    </row>
    <row r="908">
      <c r="C908" s="79"/>
      <c r="D908" s="79"/>
      <c r="J908" s="79"/>
      <c r="P908" s="79"/>
      <c r="Q908" s="79"/>
      <c r="T908" s="79"/>
      <c r="U908" s="79"/>
      <c r="X908" s="130"/>
      <c r="Z908" s="106"/>
    </row>
    <row r="909">
      <c r="C909" s="79"/>
      <c r="D909" s="79"/>
      <c r="J909" s="79"/>
      <c r="P909" s="79"/>
      <c r="Q909" s="79"/>
      <c r="T909" s="79"/>
      <c r="U909" s="79"/>
      <c r="X909" s="130"/>
      <c r="Z909" s="106"/>
    </row>
    <row r="910">
      <c r="C910" s="79"/>
      <c r="D910" s="79"/>
      <c r="J910" s="79"/>
      <c r="P910" s="79"/>
      <c r="Q910" s="79"/>
      <c r="T910" s="79"/>
      <c r="U910" s="79"/>
      <c r="X910" s="130"/>
      <c r="Z910" s="106"/>
    </row>
    <row r="911">
      <c r="C911" s="79"/>
      <c r="D911" s="79"/>
      <c r="J911" s="79"/>
      <c r="P911" s="79"/>
      <c r="Q911" s="79"/>
      <c r="T911" s="79"/>
      <c r="U911" s="79"/>
      <c r="X911" s="130"/>
      <c r="Z911" s="106"/>
    </row>
    <row r="912">
      <c r="C912" s="79"/>
      <c r="D912" s="79"/>
      <c r="J912" s="79"/>
      <c r="P912" s="79"/>
      <c r="Q912" s="79"/>
      <c r="T912" s="79"/>
      <c r="U912" s="79"/>
      <c r="X912" s="130"/>
      <c r="Z912" s="106"/>
    </row>
    <row r="913">
      <c r="C913" s="79"/>
      <c r="D913" s="79"/>
      <c r="J913" s="79"/>
      <c r="P913" s="79"/>
      <c r="Q913" s="79"/>
      <c r="T913" s="79"/>
      <c r="U913" s="79"/>
      <c r="X913" s="130"/>
      <c r="Z913" s="106"/>
    </row>
    <row r="914">
      <c r="C914" s="79"/>
      <c r="D914" s="79"/>
      <c r="J914" s="79"/>
      <c r="P914" s="79"/>
      <c r="Q914" s="79"/>
      <c r="T914" s="79"/>
      <c r="U914" s="79"/>
      <c r="X914" s="130"/>
      <c r="Z914" s="106"/>
    </row>
    <row r="915">
      <c r="C915" s="79"/>
      <c r="D915" s="79"/>
      <c r="J915" s="79"/>
      <c r="P915" s="79"/>
      <c r="Q915" s="79"/>
      <c r="T915" s="79"/>
      <c r="U915" s="79"/>
      <c r="X915" s="130"/>
      <c r="Z915" s="106"/>
    </row>
    <row r="916">
      <c r="C916" s="79"/>
      <c r="D916" s="79"/>
      <c r="J916" s="79"/>
      <c r="P916" s="79"/>
      <c r="Q916" s="79"/>
      <c r="T916" s="79"/>
      <c r="U916" s="79"/>
      <c r="X916" s="130"/>
      <c r="Z916" s="106"/>
    </row>
    <row r="917">
      <c r="C917" s="79"/>
      <c r="D917" s="79"/>
      <c r="J917" s="79"/>
      <c r="P917" s="79"/>
      <c r="Q917" s="79"/>
      <c r="T917" s="79"/>
      <c r="U917" s="79"/>
      <c r="X917" s="130"/>
      <c r="Z917" s="106"/>
    </row>
    <row r="918">
      <c r="C918" s="79"/>
      <c r="D918" s="79"/>
      <c r="J918" s="79"/>
      <c r="P918" s="79"/>
      <c r="Q918" s="79"/>
      <c r="T918" s="79"/>
      <c r="U918" s="79"/>
      <c r="X918" s="130"/>
      <c r="Z918" s="106"/>
    </row>
    <row r="919">
      <c r="C919" s="79"/>
      <c r="D919" s="79"/>
      <c r="J919" s="79"/>
      <c r="P919" s="79"/>
      <c r="Q919" s="79"/>
      <c r="T919" s="79"/>
      <c r="U919" s="79"/>
      <c r="X919" s="130"/>
      <c r="Z919" s="106"/>
    </row>
    <row r="920">
      <c r="C920" s="79"/>
      <c r="D920" s="79"/>
      <c r="J920" s="79"/>
      <c r="P920" s="79"/>
      <c r="Q920" s="79"/>
      <c r="T920" s="79"/>
      <c r="U920" s="79"/>
      <c r="X920" s="130"/>
      <c r="Z920" s="106"/>
    </row>
    <row r="921">
      <c r="C921" s="79"/>
      <c r="D921" s="79"/>
      <c r="J921" s="79"/>
      <c r="P921" s="79"/>
      <c r="Q921" s="79"/>
      <c r="T921" s="79"/>
      <c r="U921" s="79"/>
      <c r="X921" s="130"/>
      <c r="Z921" s="106"/>
    </row>
    <row r="922">
      <c r="C922" s="79"/>
      <c r="D922" s="79"/>
      <c r="J922" s="79"/>
      <c r="P922" s="79"/>
      <c r="Q922" s="79"/>
      <c r="T922" s="79"/>
      <c r="U922" s="79"/>
      <c r="X922" s="130"/>
      <c r="Z922" s="106"/>
    </row>
    <row r="923">
      <c r="C923" s="79"/>
      <c r="D923" s="79"/>
      <c r="J923" s="79"/>
      <c r="P923" s="79"/>
      <c r="Q923" s="79"/>
      <c r="T923" s="79"/>
      <c r="U923" s="79"/>
      <c r="X923" s="130"/>
      <c r="Z923" s="106"/>
    </row>
    <row r="924">
      <c r="C924" s="79"/>
      <c r="D924" s="79"/>
      <c r="J924" s="79"/>
      <c r="P924" s="79"/>
      <c r="Q924" s="79"/>
      <c r="T924" s="79"/>
      <c r="U924" s="79"/>
      <c r="X924" s="130"/>
      <c r="Z924" s="106"/>
    </row>
    <row r="925">
      <c r="C925" s="79"/>
      <c r="D925" s="79"/>
      <c r="J925" s="79"/>
      <c r="P925" s="79"/>
      <c r="Q925" s="79"/>
      <c r="T925" s="79"/>
      <c r="U925" s="79"/>
      <c r="X925" s="130"/>
      <c r="Z925" s="106"/>
    </row>
    <row r="926">
      <c r="C926" s="79"/>
      <c r="D926" s="79"/>
      <c r="J926" s="79"/>
      <c r="P926" s="79"/>
      <c r="Q926" s="79"/>
      <c r="T926" s="79"/>
      <c r="U926" s="79"/>
      <c r="X926" s="130"/>
      <c r="Z926" s="106"/>
    </row>
    <row r="927">
      <c r="C927" s="79"/>
      <c r="D927" s="79"/>
      <c r="J927" s="79"/>
      <c r="P927" s="79"/>
      <c r="Q927" s="79"/>
      <c r="T927" s="79"/>
      <c r="U927" s="79"/>
      <c r="X927" s="130"/>
      <c r="Z927" s="106"/>
    </row>
    <row r="928">
      <c r="C928" s="79"/>
      <c r="D928" s="79"/>
      <c r="J928" s="79"/>
      <c r="P928" s="79"/>
      <c r="Q928" s="79"/>
      <c r="T928" s="79"/>
      <c r="U928" s="79"/>
      <c r="X928" s="130"/>
      <c r="Z928" s="106"/>
    </row>
    <row r="929">
      <c r="C929" s="79"/>
      <c r="D929" s="79"/>
      <c r="J929" s="79"/>
      <c r="P929" s="79"/>
      <c r="Q929" s="79"/>
      <c r="T929" s="79"/>
      <c r="U929" s="79"/>
      <c r="X929" s="130"/>
      <c r="Z929" s="106"/>
    </row>
    <row r="930">
      <c r="C930" s="79"/>
      <c r="D930" s="79"/>
      <c r="J930" s="79"/>
      <c r="P930" s="79"/>
      <c r="Q930" s="79"/>
      <c r="T930" s="79"/>
      <c r="U930" s="79"/>
      <c r="X930" s="130"/>
      <c r="Z930" s="106"/>
    </row>
    <row r="931">
      <c r="C931" s="79"/>
      <c r="D931" s="79"/>
      <c r="J931" s="79"/>
      <c r="P931" s="79"/>
      <c r="Q931" s="79"/>
      <c r="T931" s="79"/>
      <c r="U931" s="79"/>
      <c r="X931" s="130"/>
      <c r="Z931" s="106"/>
    </row>
    <row r="932">
      <c r="C932" s="79"/>
      <c r="D932" s="79"/>
      <c r="J932" s="79"/>
      <c r="P932" s="79"/>
      <c r="Q932" s="79"/>
      <c r="T932" s="79"/>
      <c r="U932" s="79"/>
      <c r="X932" s="130"/>
      <c r="Z932" s="106"/>
    </row>
    <row r="933">
      <c r="C933" s="79"/>
      <c r="D933" s="79"/>
      <c r="J933" s="79"/>
      <c r="P933" s="79"/>
      <c r="Q933" s="79"/>
      <c r="T933" s="79"/>
      <c r="U933" s="79"/>
      <c r="X933" s="130"/>
      <c r="Z933" s="106"/>
    </row>
    <row r="934">
      <c r="C934" s="79"/>
      <c r="D934" s="79"/>
      <c r="J934" s="79"/>
      <c r="P934" s="79"/>
      <c r="Q934" s="79"/>
      <c r="T934" s="79"/>
      <c r="U934" s="79"/>
      <c r="X934" s="130"/>
      <c r="Z934" s="106"/>
    </row>
    <row r="935">
      <c r="C935" s="79"/>
      <c r="D935" s="79"/>
      <c r="J935" s="79"/>
      <c r="P935" s="79"/>
      <c r="Q935" s="79"/>
      <c r="T935" s="79"/>
      <c r="U935" s="79"/>
      <c r="X935" s="130"/>
      <c r="Z935" s="106"/>
    </row>
    <row r="936">
      <c r="C936" s="79"/>
      <c r="D936" s="79"/>
      <c r="J936" s="79"/>
      <c r="P936" s="79"/>
      <c r="Q936" s="79"/>
      <c r="T936" s="79"/>
      <c r="U936" s="79"/>
      <c r="X936" s="130"/>
      <c r="Z936" s="106"/>
    </row>
    <row r="937">
      <c r="C937" s="79"/>
      <c r="D937" s="79"/>
      <c r="J937" s="79"/>
      <c r="P937" s="79"/>
      <c r="Q937" s="79"/>
      <c r="T937" s="79"/>
      <c r="U937" s="79"/>
      <c r="X937" s="130"/>
      <c r="Z937" s="106"/>
    </row>
    <row r="938">
      <c r="C938" s="79"/>
      <c r="D938" s="79"/>
      <c r="J938" s="79"/>
      <c r="P938" s="79"/>
      <c r="Q938" s="79"/>
      <c r="T938" s="79"/>
      <c r="U938" s="79"/>
      <c r="X938" s="130"/>
      <c r="Z938" s="106"/>
    </row>
    <row r="939">
      <c r="C939" s="79"/>
      <c r="D939" s="79"/>
      <c r="J939" s="79"/>
      <c r="P939" s="79"/>
      <c r="Q939" s="79"/>
      <c r="T939" s="79"/>
      <c r="U939" s="79"/>
      <c r="X939" s="130"/>
      <c r="Z939" s="106"/>
    </row>
    <row r="940">
      <c r="C940" s="79"/>
      <c r="D940" s="79"/>
      <c r="J940" s="79"/>
      <c r="P940" s="79"/>
      <c r="Q940" s="79"/>
      <c r="T940" s="79"/>
      <c r="U940" s="79"/>
      <c r="X940" s="130"/>
      <c r="Z940" s="106"/>
    </row>
    <row r="941">
      <c r="C941" s="79"/>
      <c r="D941" s="79"/>
      <c r="J941" s="79"/>
      <c r="P941" s="79"/>
      <c r="Q941" s="79"/>
      <c r="T941" s="79"/>
      <c r="U941" s="79"/>
      <c r="X941" s="130"/>
      <c r="Z941" s="106"/>
    </row>
    <row r="942">
      <c r="C942" s="79"/>
      <c r="D942" s="79"/>
      <c r="J942" s="79"/>
      <c r="P942" s="79"/>
      <c r="Q942" s="79"/>
      <c r="T942" s="79"/>
      <c r="U942" s="79"/>
      <c r="X942" s="130"/>
      <c r="Z942" s="106"/>
    </row>
    <row r="943">
      <c r="C943" s="79"/>
      <c r="D943" s="79"/>
      <c r="J943" s="79"/>
      <c r="P943" s="79"/>
      <c r="Q943" s="79"/>
      <c r="T943" s="79"/>
      <c r="U943" s="79"/>
      <c r="X943" s="130"/>
      <c r="Z943" s="106"/>
    </row>
    <row r="944">
      <c r="C944" s="79"/>
      <c r="D944" s="79"/>
      <c r="J944" s="79"/>
      <c r="P944" s="79"/>
      <c r="Q944" s="79"/>
      <c r="T944" s="79"/>
      <c r="U944" s="79"/>
      <c r="X944" s="130"/>
      <c r="Z944" s="106"/>
    </row>
    <row r="945">
      <c r="C945" s="79"/>
      <c r="D945" s="79"/>
      <c r="J945" s="79"/>
      <c r="P945" s="79"/>
      <c r="Q945" s="79"/>
      <c r="T945" s="79"/>
      <c r="U945" s="79"/>
      <c r="X945" s="130"/>
      <c r="Z945" s="106"/>
    </row>
    <row r="946">
      <c r="C946" s="79"/>
      <c r="D946" s="79"/>
      <c r="J946" s="79"/>
      <c r="P946" s="79"/>
      <c r="Q946" s="79"/>
      <c r="T946" s="79"/>
      <c r="U946" s="79"/>
      <c r="X946" s="130"/>
      <c r="Z946" s="106"/>
    </row>
    <row r="947">
      <c r="C947" s="79"/>
      <c r="D947" s="79"/>
      <c r="J947" s="79"/>
      <c r="P947" s="79"/>
      <c r="Q947" s="79"/>
      <c r="T947" s="79"/>
      <c r="U947" s="79"/>
      <c r="X947" s="130"/>
      <c r="Z947" s="106"/>
    </row>
    <row r="948">
      <c r="C948" s="79"/>
      <c r="D948" s="79"/>
      <c r="J948" s="79"/>
      <c r="P948" s="79"/>
      <c r="Q948" s="79"/>
      <c r="T948" s="79"/>
      <c r="U948" s="79"/>
      <c r="X948" s="130"/>
      <c r="Z948" s="106"/>
    </row>
    <row r="949">
      <c r="C949" s="79"/>
      <c r="D949" s="79"/>
      <c r="J949" s="79"/>
      <c r="P949" s="79"/>
      <c r="Q949" s="79"/>
      <c r="T949" s="79"/>
      <c r="U949" s="79"/>
      <c r="X949" s="130"/>
      <c r="Z949" s="106"/>
    </row>
    <row r="950">
      <c r="C950" s="79"/>
      <c r="D950" s="79"/>
      <c r="J950" s="79"/>
      <c r="P950" s="79"/>
      <c r="Q950" s="79"/>
      <c r="T950" s="79"/>
      <c r="U950" s="79"/>
      <c r="X950" s="130"/>
      <c r="Z950" s="106"/>
    </row>
    <row r="951">
      <c r="C951" s="79"/>
      <c r="D951" s="79"/>
      <c r="J951" s="79"/>
      <c r="P951" s="79"/>
      <c r="Q951" s="79"/>
      <c r="T951" s="79"/>
      <c r="U951" s="79"/>
      <c r="X951" s="130"/>
      <c r="Z951" s="106"/>
    </row>
    <row r="952">
      <c r="C952" s="79"/>
      <c r="D952" s="79"/>
      <c r="J952" s="79"/>
      <c r="P952" s="79"/>
      <c r="Q952" s="79"/>
      <c r="T952" s="79"/>
      <c r="U952" s="79"/>
      <c r="X952" s="130"/>
      <c r="Z952" s="106"/>
    </row>
    <row r="953">
      <c r="C953" s="79"/>
      <c r="D953" s="79"/>
      <c r="J953" s="79"/>
      <c r="P953" s="79"/>
      <c r="Q953" s="79"/>
      <c r="T953" s="79"/>
      <c r="U953" s="79"/>
      <c r="X953" s="130"/>
      <c r="Z953" s="106"/>
    </row>
    <row r="954">
      <c r="C954" s="79"/>
      <c r="D954" s="79"/>
      <c r="J954" s="79"/>
      <c r="P954" s="79"/>
      <c r="Q954" s="79"/>
      <c r="T954" s="79"/>
      <c r="U954" s="79"/>
      <c r="X954" s="130"/>
      <c r="Z954" s="106"/>
    </row>
    <row r="955">
      <c r="C955" s="79"/>
      <c r="D955" s="79"/>
      <c r="J955" s="79"/>
      <c r="P955" s="79"/>
      <c r="Q955" s="79"/>
      <c r="T955" s="79"/>
      <c r="U955" s="79"/>
      <c r="X955" s="130"/>
      <c r="Z955" s="106"/>
    </row>
    <row r="956">
      <c r="C956" s="79"/>
      <c r="D956" s="79"/>
      <c r="J956" s="79"/>
      <c r="P956" s="79"/>
      <c r="Q956" s="79"/>
      <c r="T956" s="79"/>
      <c r="U956" s="79"/>
      <c r="X956" s="130"/>
      <c r="Z956" s="106"/>
    </row>
    <row r="957">
      <c r="C957" s="79"/>
      <c r="D957" s="79"/>
      <c r="J957" s="79"/>
      <c r="P957" s="79"/>
      <c r="Q957" s="79"/>
      <c r="T957" s="79"/>
      <c r="U957" s="79"/>
      <c r="X957" s="130"/>
      <c r="Z957" s="106"/>
    </row>
    <row r="958">
      <c r="C958" s="79"/>
      <c r="D958" s="79"/>
      <c r="J958" s="79"/>
      <c r="P958" s="79"/>
      <c r="Q958" s="79"/>
      <c r="T958" s="79"/>
      <c r="U958" s="79"/>
      <c r="X958" s="130"/>
      <c r="Z958" s="106"/>
    </row>
    <row r="959">
      <c r="C959" s="79"/>
      <c r="D959" s="79"/>
      <c r="J959" s="79"/>
      <c r="P959" s="79"/>
      <c r="Q959" s="79"/>
      <c r="T959" s="79"/>
      <c r="U959" s="79"/>
      <c r="X959" s="130"/>
      <c r="Z959" s="106"/>
    </row>
    <row r="960">
      <c r="C960" s="79"/>
      <c r="D960" s="79"/>
      <c r="J960" s="79"/>
      <c r="P960" s="79"/>
      <c r="Q960" s="79"/>
      <c r="T960" s="79"/>
      <c r="U960" s="79"/>
      <c r="X960" s="130"/>
      <c r="Z960" s="106"/>
    </row>
    <row r="961">
      <c r="C961" s="79"/>
      <c r="D961" s="79"/>
      <c r="J961" s="79"/>
      <c r="P961" s="79"/>
      <c r="Q961" s="79"/>
      <c r="T961" s="79"/>
      <c r="U961" s="79"/>
      <c r="X961" s="130"/>
      <c r="Z961" s="106"/>
    </row>
    <row r="962">
      <c r="C962" s="79"/>
      <c r="D962" s="79"/>
      <c r="J962" s="79"/>
      <c r="P962" s="79"/>
      <c r="Q962" s="79"/>
      <c r="T962" s="79"/>
      <c r="U962" s="79"/>
      <c r="X962" s="130"/>
      <c r="Z962" s="106"/>
    </row>
    <row r="963">
      <c r="C963" s="79"/>
      <c r="D963" s="79"/>
      <c r="J963" s="79"/>
      <c r="P963" s="79"/>
      <c r="Q963" s="79"/>
      <c r="T963" s="79"/>
      <c r="U963" s="79"/>
      <c r="X963" s="130"/>
      <c r="Z963" s="106"/>
    </row>
    <row r="964">
      <c r="C964" s="79"/>
      <c r="D964" s="79"/>
      <c r="J964" s="79"/>
      <c r="P964" s="79"/>
      <c r="Q964" s="79"/>
      <c r="T964" s="79"/>
      <c r="U964" s="79"/>
      <c r="X964" s="130"/>
      <c r="Z964" s="106"/>
    </row>
    <row r="965">
      <c r="C965" s="79"/>
      <c r="D965" s="79"/>
      <c r="J965" s="79"/>
      <c r="P965" s="79"/>
      <c r="Q965" s="79"/>
      <c r="T965" s="79"/>
      <c r="U965" s="79"/>
      <c r="X965" s="130"/>
      <c r="Z965" s="106"/>
    </row>
    <row r="966">
      <c r="C966" s="79"/>
      <c r="D966" s="79"/>
      <c r="J966" s="79"/>
      <c r="P966" s="79"/>
      <c r="Q966" s="79"/>
      <c r="T966" s="79"/>
      <c r="U966" s="79"/>
      <c r="X966" s="130"/>
      <c r="Z966" s="106"/>
    </row>
    <row r="967">
      <c r="C967" s="79"/>
      <c r="D967" s="79"/>
      <c r="J967" s="79"/>
      <c r="P967" s="79"/>
      <c r="Q967" s="79"/>
      <c r="T967" s="79"/>
      <c r="U967" s="79"/>
      <c r="X967" s="130"/>
      <c r="Z967" s="106"/>
    </row>
    <row r="968">
      <c r="C968" s="79"/>
      <c r="D968" s="79"/>
      <c r="J968" s="79"/>
      <c r="P968" s="79"/>
      <c r="Q968" s="79"/>
      <c r="T968" s="79"/>
      <c r="U968" s="79"/>
      <c r="X968" s="130"/>
      <c r="Z968" s="106"/>
    </row>
    <row r="969">
      <c r="C969" s="79"/>
      <c r="D969" s="79"/>
      <c r="J969" s="79"/>
      <c r="P969" s="79"/>
      <c r="Q969" s="79"/>
      <c r="T969" s="79"/>
      <c r="U969" s="79"/>
      <c r="X969" s="130"/>
      <c r="Z969" s="106"/>
    </row>
    <row r="970">
      <c r="C970" s="79"/>
      <c r="D970" s="79"/>
      <c r="J970" s="79"/>
      <c r="P970" s="79"/>
      <c r="Q970" s="79"/>
      <c r="T970" s="79"/>
      <c r="U970" s="79"/>
      <c r="X970" s="130"/>
      <c r="Z970" s="106"/>
    </row>
    <row r="971">
      <c r="C971" s="79"/>
      <c r="D971" s="79"/>
      <c r="J971" s="79"/>
      <c r="P971" s="79"/>
      <c r="Q971" s="79"/>
      <c r="T971" s="79"/>
      <c r="U971" s="79"/>
      <c r="X971" s="130"/>
      <c r="Z971" s="106"/>
    </row>
    <row r="972">
      <c r="C972" s="79"/>
      <c r="D972" s="79"/>
      <c r="J972" s="79"/>
      <c r="P972" s="79"/>
      <c r="Q972" s="79"/>
      <c r="T972" s="79"/>
      <c r="U972" s="79"/>
      <c r="X972" s="130"/>
      <c r="Z972" s="106"/>
    </row>
    <row r="973">
      <c r="C973" s="79"/>
      <c r="D973" s="79"/>
      <c r="J973" s="79"/>
      <c r="P973" s="79"/>
      <c r="Q973" s="79"/>
      <c r="T973" s="79"/>
      <c r="U973" s="79"/>
      <c r="X973" s="130"/>
      <c r="Z973" s="106"/>
    </row>
    <row r="974">
      <c r="C974" s="79"/>
      <c r="D974" s="79"/>
      <c r="J974" s="79"/>
      <c r="P974" s="79"/>
      <c r="Q974" s="79"/>
      <c r="T974" s="79"/>
      <c r="U974" s="79"/>
      <c r="X974" s="130"/>
      <c r="Z974" s="106"/>
    </row>
    <row r="975">
      <c r="C975" s="79"/>
      <c r="D975" s="79"/>
      <c r="J975" s="79"/>
      <c r="P975" s="79"/>
      <c r="Q975" s="79"/>
      <c r="T975" s="79"/>
      <c r="U975" s="79"/>
      <c r="X975" s="130"/>
      <c r="Z975" s="106"/>
    </row>
    <row r="976">
      <c r="C976" s="79"/>
      <c r="D976" s="79"/>
      <c r="J976" s="79"/>
      <c r="P976" s="79"/>
      <c r="Q976" s="79"/>
      <c r="T976" s="79"/>
      <c r="U976" s="79"/>
      <c r="X976" s="130"/>
      <c r="Z976" s="106"/>
    </row>
    <row r="977">
      <c r="C977" s="79"/>
      <c r="D977" s="79"/>
      <c r="J977" s="79"/>
      <c r="P977" s="79"/>
      <c r="Q977" s="79"/>
      <c r="T977" s="79"/>
      <c r="U977" s="79"/>
      <c r="X977" s="130"/>
      <c r="Z977" s="106"/>
    </row>
    <row r="978">
      <c r="C978" s="79"/>
      <c r="D978" s="79"/>
      <c r="J978" s="79"/>
      <c r="P978" s="79"/>
      <c r="Q978" s="79"/>
      <c r="T978" s="79"/>
      <c r="U978" s="79"/>
      <c r="X978" s="130"/>
      <c r="Z978" s="106"/>
    </row>
    <row r="979">
      <c r="C979" s="79"/>
      <c r="D979" s="79"/>
      <c r="J979" s="79"/>
      <c r="P979" s="79"/>
      <c r="Q979" s="79"/>
      <c r="T979" s="79"/>
      <c r="U979" s="79"/>
      <c r="X979" s="130"/>
      <c r="Z979" s="106"/>
    </row>
    <row r="980">
      <c r="C980" s="79"/>
      <c r="D980" s="79"/>
      <c r="J980" s="79"/>
      <c r="P980" s="79"/>
      <c r="Q980" s="79"/>
      <c r="T980" s="79"/>
      <c r="U980" s="79"/>
      <c r="X980" s="130"/>
      <c r="Z980" s="106"/>
    </row>
    <row r="981">
      <c r="C981" s="79"/>
      <c r="D981" s="79"/>
      <c r="J981" s="79"/>
      <c r="P981" s="79"/>
      <c r="Q981" s="79"/>
      <c r="T981" s="79"/>
      <c r="U981" s="79"/>
      <c r="X981" s="130"/>
      <c r="Z981" s="106"/>
    </row>
    <row r="982">
      <c r="C982" s="79"/>
      <c r="D982" s="79"/>
      <c r="J982" s="79"/>
      <c r="P982" s="79"/>
      <c r="Q982" s="79"/>
      <c r="T982" s="79"/>
      <c r="U982" s="79"/>
      <c r="X982" s="130"/>
      <c r="Z982" s="106"/>
    </row>
    <row r="983">
      <c r="C983" s="79"/>
      <c r="D983" s="79"/>
      <c r="J983" s="79"/>
      <c r="P983" s="79"/>
      <c r="Q983" s="79"/>
      <c r="T983" s="79"/>
      <c r="U983" s="79"/>
      <c r="X983" s="130"/>
      <c r="Z983" s="106"/>
    </row>
    <row r="984">
      <c r="C984" s="79"/>
      <c r="D984" s="79"/>
      <c r="J984" s="79"/>
      <c r="P984" s="79"/>
      <c r="Q984" s="79"/>
      <c r="T984" s="79"/>
      <c r="U984" s="79"/>
      <c r="X984" s="130"/>
      <c r="Z984" s="106"/>
    </row>
    <row r="985">
      <c r="C985" s="79"/>
      <c r="D985" s="79"/>
      <c r="J985" s="79"/>
      <c r="P985" s="79"/>
      <c r="Q985" s="79"/>
      <c r="T985" s="79"/>
      <c r="U985" s="79"/>
      <c r="X985" s="130"/>
      <c r="Z985" s="106"/>
    </row>
    <row r="986">
      <c r="C986" s="79"/>
      <c r="D986" s="79"/>
      <c r="J986" s="79"/>
      <c r="P986" s="79"/>
      <c r="Q986" s="79"/>
      <c r="T986" s="79"/>
      <c r="U986" s="79"/>
      <c r="X986" s="130"/>
      <c r="Z986" s="106"/>
    </row>
    <row r="987">
      <c r="C987" s="79"/>
      <c r="D987" s="79"/>
      <c r="J987" s="79"/>
      <c r="P987" s="79"/>
      <c r="Q987" s="79"/>
      <c r="T987" s="79"/>
      <c r="U987" s="79"/>
      <c r="X987" s="130"/>
      <c r="Z987" s="106"/>
    </row>
    <row r="988">
      <c r="C988" s="79"/>
      <c r="D988" s="79"/>
      <c r="J988" s="79"/>
      <c r="P988" s="79"/>
      <c r="Q988" s="79"/>
      <c r="T988" s="79"/>
      <c r="U988" s="79"/>
      <c r="X988" s="130"/>
      <c r="Z988" s="106"/>
    </row>
    <row r="989">
      <c r="C989" s="79"/>
      <c r="D989" s="79"/>
      <c r="J989" s="79"/>
      <c r="P989" s="79"/>
      <c r="Q989" s="79"/>
      <c r="T989" s="79"/>
      <c r="U989" s="79"/>
      <c r="X989" s="130"/>
      <c r="Z989" s="106"/>
    </row>
    <row r="990">
      <c r="C990" s="79"/>
      <c r="D990" s="79"/>
      <c r="J990" s="79"/>
      <c r="P990" s="79"/>
      <c r="Q990" s="79"/>
      <c r="T990" s="79"/>
      <c r="U990" s="79"/>
      <c r="X990" s="130"/>
      <c r="Z990" s="106"/>
    </row>
    <row r="991">
      <c r="C991" s="79"/>
      <c r="D991" s="79"/>
      <c r="J991" s="79"/>
      <c r="P991" s="79"/>
      <c r="Q991" s="79"/>
      <c r="T991" s="79"/>
      <c r="U991" s="79"/>
      <c r="X991" s="130"/>
      <c r="Z991" s="106"/>
    </row>
    <row r="992">
      <c r="C992" s="79"/>
      <c r="D992" s="79"/>
      <c r="J992" s="79"/>
      <c r="P992" s="79"/>
      <c r="Q992" s="79"/>
      <c r="T992" s="79"/>
      <c r="U992" s="79"/>
      <c r="X992" s="130"/>
      <c r="Z992" s="106"/>
    </row>
    <row r="993">
      <c r="C993" s="79"/>
      <c r="D993" s="79"/>
      <c r="J993" s="79"/>
      <c r="P993" s="79"/>
      <c r="Q993" s="79"/>
      <c r="T993" s="79"/>
      <c r="U993" s="79"/>
      <c r="X993" s="130"/>
      <c r="Z993" s="106"/>
    </row>
    <row r="994">
      <c r="C994" s="79"/>
      <c r="D994" s="79"/>
      <c r="J994" s="79"/>
      <c r="P994" s="79"/>
      <c r="Q994" s="79"/>
      <c r="T994" s="79"/>
      <c r="U994" s="79"/>
      <c r="X994" s="130"/>
      <c r="Z994" s="106"/>
    </row>
    <row r="995">
      <c r="C995" s="79"/>
      <c r="D995" s="79"/>
      <c r="J995" s="79"/>
      <c r="P995" s="79"/>
      <c r="Q995" s="79"/>
      <c r="T995" s="79"/>
      <c r="U995" s="79"/>
      <c r="X995" s="130"/>
      <c r="Z995" s="106"/>
    </row>
    <row r="996">
      <c r="C996" s="79"/>
      <c r="D996" s="79"/>
      <c r="J996" s="79"/>
      <c r="P996" s="79"/>
      <c r="Q996" s="79"/>
      <c r="T996" s="79"/>
      <c r="U996" s="79"/>
      <c r="X996" s="130"/>
      <c r="Z996" s="106"/>
    </row>
    <row r="997">
      <c r="C997" s="79"/>
      <c r="D997" s="79"/>
      <c r="J997" s="79"/>
      <c r="P997" s="79"/>
      <c r="Q997" s="79"/>
      <c r="T997" s="79"/>
      <c r="U997" s="79"/>
      <c r="X997" s="130"/>
      <c r="Z997" s="106"/>
    </row>
    <row r="998">
      <c r="C998" s="79"/>
      <c r="D998" s="79"/>
      <c r="J998" s="79"/>
      <c r="P998" s="79"/>
      <c r="Q998" s="79"/>
      <c r="T998" s="79"/>
      <c r="U998" s="79"/>
      <c r="X998" s="130"/>
      <c r="Z998" s="106"/>
    </row>
    <row r="999">
      <c r="C999" s="79"/>
      <c r="D999" s="79"/>
      <c r="J999" s="79"/>
      <c r="P999" s="79"/>
      <c r="Q999" s="79"/>
      <c r="T999" s="79"/>
      <c r="U999" s="79"/>
      <c r="X999" s="130"/>
      <c r="Z999" s="106"/>
    </row>
    <row r="1000">
      <c r="C1000" s="79"/>
      <c r="D1000" s="79"/>
      <c r="J1000" s="79"/>
      <c r="P1000" s="79"/>
      <c r="Q1000" s="79"/>
      <c r="T1000" s="79"/>
      <c r="U1000" s="79"/>
      <c r="X1000" s="130"/>
      <c r="Z1000" s="106"/>
    </row>
  </sheetData>
  <mergeCells count="1">
    <mergeCell ref="H19:J19"/>
  </mergeCells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6" max="26" width="17.0"/>
  </cols>
  <sheetData>
    <row r="1">
      <c r="B1" s="2" t="s">
        <v>0</v>
      </c>
      <c r="C1" s="105" t="s">
        <v>1</v>
      </c>
      <c r="D1" s="105" t="s">
        <v>7</v>
      </c>
      <c r="E1" s="2" t="s">
        <v>3</v>
      </c>
      <c r="F1" s="2" t="s">
        <v>129</v>
      </c>
      <c r="G1" s="2" t="s">
        <v>5</v>
      </c>
      <c r="H1" s="2" t="s">
        <v>6</v>
      </c>
      <c r="I1" s="2" t="s">
        <v>43</v>
      </c>
      <c r="J1" s="105" t="s">
        <v>40</v>
      </c>
      <c r="K1" s="2" t="s">
        <v>49</v>
      </c>
      <c r="L1" s="2" t="s">
        <v>42</v>
      </c>
      <c r="M1" s="2"/>
      <c r="N1" s="2" t="s">
        <v>121</v>
      </c>
      <c r="O1" s="2" t="s">
        <v>164</v>
      </c>
      <c r="P1" s="105" t="s">
        <v>9</v>
      </c>
      <c r="Q1" s="105" t="s">
        <v>165</v>
      </c>
      <c r="R1" s="2" t="s">
        <v>37</v>
      </c>
      <c r="S1" s="2" t="s">
        <v>10</v>
      </c>
      <c r="T1" s="105" t="s">
        <v>11</v>
      </c>
      <c r="U1" s="105" t="s">
        <v>167</v>
      </c>
      <c r="V1" s="2" t="s">
        <v>12</v>
      </c>
      <c r="W1" s="3" t="s">
        <v>13</v>
      </c>
      <c r="X1" s="126" t="s">
        <v>14</v>
      </c>
      <c r="Y1" s="3" t="s">
        <v>15</v>
      </c>
      <c r="Z1" s="106"/>
    </row>
    <row r="2">
      <c r="A2" s="74">
        <v>45138.0</v>
      </c>
      <c r="B2" s="5">
        <v>1867.46</v>
      </c>
      <c r="C2" s="93">
        <v>1137.83</v>
      </c>
      <c r="D2" s="93"/>
      <c r="E2" s="5"/>
      <c r="F2" s="5">
        <v>420.98</v>
      </c>
      <c r="G2" s="5"/>
      <c r="H2" s="5"/>
      <c r="I2" s="5"/>
      <c r="J2" s="136"/>
      <c r="K2" s="5">
        <v>168.0</v>
      </c>
      <c r="L2" s="5"/>
      <c r="M2" s="5"/>
      <c r="N2" s="5"/>
      <c r="O2" s="5"/>
      <c r="P2" s="93"/>
      <c r="Q2" s="93"/>
      <c r="R2" s="5"/>
      <c r="S2" s="5"/>
      <c r="T2" s="93">
        <v>109.97</v>
      </c>
      <c r="U2" s="93"/>
      <c r="V2" s="5"/>
      <c r="W2" s="107">
        <f t="shared" ref="W2:W7" si="1">SUM(B2:V2)</f>
        <v>3704.24</v>
      </c>
      <c r="X2" s="108"/>
      <c r="Y2" s="59" t="str">
        <f t="shared" ref="Y2:Y8" si="2">W2/X2</f>
        <v>#DIV/0!</v>
      </c>
      <c r="Z2" s="109">
        <f t="shared" ref="Z2:Z8" si="3">A2</f>
        <v>45138</v>
      </c>
    </row>
    <row r="3">
      <c r="A3" s="74">
        <v>45139.0</v>
      </c>
      <c r="B3" s="5">
        <v>937.98</v>
      </c>
      <c r="C3" s="110">
        <v>1169.95</v>
      </c>
      <c r="D3" s="93"/>
      <c r="E3" s="5"/>
      <c r="F3" s="5">
        <v>343.35</v>
      </c>
      <c r="G3" s="5">
        <v>554.5</v>
      </c>
      <c r="H3" s="5">
        <v>42.0</v>
      </c>
      <c r="I3" s="5"/>
      <c r="J3" s="93"/>
      <c r="K3" s="5"/>
      <c r="L3" s="5"/>
      <c r="M3" s="5"/>
      <c r="N3" s="6"/>
      <c r="O3" s="6"/>
      <c r="P3" s="93"/>
      <c r="Q3" s="93"/>
      <c r="R3" s="93"/>
      <c r="S3" s="5"/>
      <c r="T3" s="93"/>
      <c r="U3" s="93"/>
      <c r="V3" s="93">
        <v>179.96</v>
      </c>
      <c r="W3" s="7">
        <f t="shared" si="1"/>
        <v>3227.74</v>
      </c>
      <c r="X3" s="97"/>
      <c r="Y3" s="59" t="str">
        <f t="shared" si="2"/>
        <v>#DIV/0!</v>
      </c>
      <c r="Z3" s="109">
        <f t="shared" si="3"/>
        <v>45139</v>
      </c>
    </row>
    <row r="4">
      <c r="A4" s="74">
        <v>45140.0</v>
      </c>
      <c r="B4" s="5">
        <v>1266.33</v>
      </c>
      <c r="C4" s="93">
        <v>1063.23</v>
      </c>
      <c r="D4" s="93"/>
      <c r="E4" s="5"/>
      <c r="F4" s="5">
        <v>359.15</v>
      </c>
      <c r="G4" s="5"/>
      <c r="H4" s="5"/>
      <c r="I4" s="5"/>
      <c r="J4" s="93"/>
      <c r="K4" s="5"/>
      <c r="L4" s="5"/>
      <c r="M4" s="5"/>
      <c r="N4" s="5">
        <v>18.5</v>
      </c>
      <c r="O4" s="5"/>
      <c r="P4" s="93"/>
      <c r="Q4" s="93">
        <v>213.0</v>
      </c>
      <c r="R4" s="5"/>
      <c r="S4" s="83"/>
      <c r="T4" s="93">
        <v>109.97</v>
      </c>
      <c r="U4" s="93"/>
      <c r="V4" s="6"/>
      <c r="W4" s="7">
        <f t="shared" si="1"/>
        <v>3030.18</v>
      </c>
      <c r="X4" s="97"/>
      <c r="Y4" s="59" t="str">
        <f t="shared" si="2"/>
        <v>#DIV/0!</v>
      </c>
      <c r="Z4" s="109">
        <f t="shared" si="3"/>
        <v>45140</v>
      </c>
    </row>
    <row r="5">
      <c r="A5" s="74">
        <v>45141.0</v>
      </c>
      <c r="B5" s="5">
        <v>1046.92</v>
      </c>
      <c r="C5" s="93">
        <v>194.6</v>
      </c>
      <c r="D5" s="101"/>
      <c r="E5" s="5">
        <v>280.0</v>
      </c>
      <c r="F5" s="5"/>
      <c r="G5" s="5"/>
      <c r="H5" s="5"/>
      <c r="I5" s="5"/>
      <c r="J5" s="93"/>
      <c r="K5" s="5"/>
      <c r="L5" s="5"/>
      <c r="M5" s="5"/>
      <c r="N5" s="5">
        <v>18.5</v>
      </c>
      <c r="O5" s="5"/>
      <c r="P5" s="93"/>
      <c r="Q5" s="93"/>
      <c r="R5" s="5"/>
      <c r="S5" s="5"/>
      <c r="T5" s="101"/>
      <c r="U5" s="101"/>
      <c r="V5" s="6"/>
      <c r="W5" s="7">
        <f t="shared" si="1"/>
        <v>1540.02</v>
      </c>
      <c r="X5" s="98"/>
      <c r="Y5" s="59" t="str">
        <f t="shared" si="2"/>
        <v>#DIV/0!</v>
      </c>
      <c r="Z5" s="109">
        <f t="shared" si="3"/>
        <v>45141</v>
      </c>
    </row>
    <row r="6">
      <c r="A6" s="74">
        <v>45142.0</v>
      </c>
      <c r="B6" s="5">
        <v>902.68</v>
      </c>
      <c r="C6" s="93">
        <v>583.13</v>
      </c>
      <c r="D6" s="93"/>
      <c r="E6" s="5"/>
      <c r="F6" s="32">
        <v>178.71</v>
      </c>
      <c r="G6" s="5">
        <v>400.5</v>
      </c>
      <c r="H6" s="5">
        <v>123.0</v>
      </c>
      <c r="I6" s="5"/>
      <c r="J6" s="111"/>
      <c r="K6" s="5"/>
      <c r="L6" s="5"/>
      <c r="M6" s="5"/>
      <c r="N6" s="5">
        <v>18.5</v>
      </c>
      <c r="O6" s="5"/>
      <c r="P6" s="93"/>
      <c r="Q6" s="93"/>
      <c r="R6" s="5"/>
      <c r="S6" s="5"/>
      <c r="T6" s="93">
        <v>109.97</v>
      </c>
      <c r="U6" s="93"/>
      <c r="V6" s="5"/>
      <c r="W6" s="7">
        <f t="shared" si="1"/>
        <v>2316.49</v>
      </c>
      <c r="X6" s="97"/>
      <c r="Y6" s="59" t="str">
        <f t="shared" si="2"/>
        <v>#DIV/0!</v>
      </c>
      <c r="Z6" s="109">
        <f t="shared" si="3"/>
        <v>45142</v>
      </c>
    </row>
    <row r="7">
      <c r="A7" s="74">
        <v>45143.0</v>
      </c>
      <c r="B7" s="5">
        <v>1743.6</v>
      </c>
      <c r="C7" s="93">
        <v>766.18</v>
      </c>
      <c r="D7" s="93"/>
      <c r="E7" s="5"/>
      <c r="F7" s="5">
        <v>666.32</v>
      </c>
      <c r="G7" s="5"/>
      <c r="H7" s="5"/>
      <c r="I7" s="5"/>
      <c r="J7" s="101"/>
      <c r="K7" s="5"/>
      <c r="L7" s="5">
        <v>1083.0</v>
      </c>
      <c r="M7" s="5"/>
      <c r="N7" s="93"/>
      <c r="O7" s="93"/>
      <c r="P7" s="93"/>
      <c r="Q7" s="93"/>
      <c r="R7" s="6"/>
      <c r="S7" s="6"/>
      <c r="T7" s="101"/>
      <c r="U7" s="101"/>
      <c r="V7" s="5"/>
      <c r="W7" s="7">
        <f t="shared" si="1"/>
        <v>4259.1</v>
      </c>
      <c r="X7" s="97"/>
      <c r="Y7" s="59" t="str">
        <f t="shared" si="2"/>
        <v>#DIV/0!</v>
      </c>
      <c r="Z7" s="109">
        <f t="shared" si="3"/>
        <v>45143</v>
      </c>
    </row>
    <row r="8">
      <c r="A8" s="74">
        <v>45144.0</v>
      </c>
      <c r="B8" s="10" t="s">
        <v>21</v>
      </c>
      <c r="C8" s="112" t="s">
        <v>21</v>
      </c>
      <c r="D8" s="112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12" t="s">
        <v>21</v>
      </c>
      <c r="K8" s="10" t="s">
        <v>21</v>
      </c>
      <c r="L8" s="10" t="s">
        <v>21</v>
      </c>
      <c r="M8" s="10"/>
      <c r="N8" s="10"/>
      <c r="O8" s="10"/>
      <c r="P8" s="112" t="s">
        <v>21</v>
      </c>
      <c r="Q8" s="112"/>
      <c r="R8" s="10" t="s">
        <v>21</v>
      </c>
      <c r="S8" s="10" t="s">
        <v>21</v>
      </c>
      <c r="T8" s="112" t="s">
        <v>21</v>
      </c>
      <c r="U8" s="112"/>
      <c r="V8" s="10" t="s">
        <v>21</v>
      </c>
      <c r="W8" s="7">
        <v>0.0</v>
      </c>
      <c r="X8" s="97"/>
      <c r="Y8" s="59" t="str">
        <f t="shared" si="2"/>
        <v>#DIV/0!</v>
      </c>
      <c r="Z8" s="109">
        <f t="shared" si="3"/>
        <v>45144</v>
      </c>
    </row>
    <row r="9">
      <c r="C9" s="136"/>
      <c r="D9" s="138"/>
      <c r="J9" s="79"/>
      <c r="T9" s="79"/>
      <c r="U9" s="79"/>
      <c r="X9" s="129"/>
      <c r="Z9" s="106"/>
    </row>
    <row r="10">
      <c r="C10" s="79"/>
      <c r="D10" s="79"/>
      <c r="J10" s="79"/>
      <c r="P10" s="79"/>
      <c r="Q10" s="79"/>
      <c r="T10" s="79"/>
      <c r="U10" s="79"/>
      <c r="X10" s="130"/>
      <c r="Z10" s="106"/>
    </row>
    <row r="11">
      <c r="A11" s="4" t="s">
        <v>22</v>
      </c>
      <c r="B11" s="11">
        <v>13000.0</v>
      </c>
      <c r="C11" s="79"/>
      <c r="D11" s="79"/>
      <c r="E11" s="78"/>
      <c r="F11" s="79"/>
      <c r="J11" s="79"/>
      <c r="P11" s="79"/>
      <c r="Q11" s="79"/>
      <c r="T11" s="79"/>
      <c r="U11" s="79"/>
      <c r="X11" s="131"/>
      <c r="Z11" s="106"/>
    </row>
    <row r="12">
      <c r="A12" s="4" t="s">
        <v>23</v>
      </c>
      <c r="B12" s="12">
        <f>SUM(B2:V8)+C9</f>
        <v>18077.77</v>
      </c>
      <c r="C12" s="79"/>
      <c r="D12" s="79"/>
      <c r="E12" s="56"/>
      <c r="J12" s="79"/>
      <c r="P12" s="79"/>
      <c r="Q12" s="79"/>
      <c r="T12" s="79"/>
      <c r="U12" s="79"/>
      <c r="X12" s="130"/>
      <c r="Z12" s="106"/>
    </row>
    <row r="13">
      <c r="A13" s="4" t="s">
        <v>24</v>
      </c>
      <c r="B13" s="12">
        <f> SUM(B11-B12)</f>
        <v>-5077.77</v>
      </c>
      <c r="C13" s="79"/>
      <c r="D13" s="79"/>
      <c r="J13" s="79"/>
      <c r="P13" s="79"/>
      <c r="Q13" s="79"/>
      <c r="T13" s="79"/>
      <c r="U13" s="79"/>
      <c r="X13" s="130"/>
      <c r="Z13" s="106"/>
    </row>
    <row r="14">
      <c r="C14" s="79"/>
      <c r="D14" s="79"/>
      <c r="J14" s="79"/>
      <c r="P14" s="79"/>
      <c r="Q14" s="79"/>
      <c r="T14" s="79"/>
      <c r="U14" s="79"/>
      <c r="X14" s="130"/>
      <c r="Z14" s="106"/>
    </row>
    <row r="15">
      <c r="A15" s="13" t="s">
        <v>25</v>
      </c>
      <c r="B15" s="14">
        <f>SUM(X2:X8)</f>
        <v>0</v>
      </c>
      <c r="C15" s="79"/>
      <c r="D15" s="79"/>
      <c r="J15" s="79"/>
      <c r="P15" s="79"/>
      <c r="Q15" s="79"/>
      <c r="T15" s="79"/>
      <c r="U15" s="79"/>
      <c r="X15" s="130"/>
      <c r="Z15" s="106"/>
    </row>
    <row r="16">
      <c r="A16" s="13" t="s">
        <v>26</v>
      </c>
      <c r="B16" s="15" t="str">
        <f>B12/B15</f>
        <v>#DIV/0!</v>
      </c>
      <c r="C16" s="79"/>
      <c r="D16" s="79"/>
      <c r="J16" s="79"/>
      <c r="P16" s="79"/>
      <c r="Q16" s="79"/>
      <c r="T16" s="79"/>
      <c r="U16" s="79"/>
      <c r="X16" s="130"/>
      <c r="Z16" s="106"/>
    </row>
    <row r="17">
      <c r="C17" s="79"/>
      <c r="D17" s="79"/>
      <c r="J17" s="79"/>
      <c r="P17" s="79"/>
      <c r="Q17" s="79"/>
      <c r="T17" s="79"/>
      <c r="U17" s="79"/>
      <c r="X17" s="130"/>
      <c r="Z17" s="106"/>
    </row>
    <row r="18">
      <c r="C18" s="79"/>
      <c r="D18" s="79"/>
      <c r="J18" s="79"/>
      <c r="P18" s="79"/>
      <c r="Q18" s="79"/>
      <c r="T18" s="79"/>
      <c r="U18" s="79"/>
      <c r="X18" s="130"/>
      <c r="Z18" s="106"/>
    </row>
    <row r="19">
      <c r="A19" s="16" t="s">
        <v>27</v>
      </c>
      <c r="B19" s="17"/>
      <c r="C19" s="114"/>
      <c r="D19" s="115"/>
      <c r="H19" s="84"/>
      <c r="P19" s="79"/>
      <c r="Q19" s="79"/>
      <c r="T19" s="79"/>
      <c r="U19" s="79"/>
      <c r="X19" s="130"/>
      <c r="Z19" s="106"/>
    </row>
    <row r="20">
      <c r="A20" s="19" t="s">
        <v>28</v>
      </c>
      <c r="B20" s="20"/>
      <c r="C20" s="116"/>
      <c r="D20" s="117"/>
      <c r="H20" s="85"/>
      <c r="I20" s="85"/>
      <c r="J20" s="118"/>
      <c r="P20" s="79"/>
      <c r="Q20" s="79"/>
      <c r="T20" s="79"/>
      <c r="U20" s="79"/>
      <c r="X20" s="130"/>
      <c r="Z20" s="106"/>
    </row>
    <row r="21">
      <c r="A21" s="22" t="s">
        <v>29</v>
      </c>
      <c r="B21" s="23" t="s">
        <v>30</v>
      </c>
      <c r="C21" s="119" t="s">
        <v>170</v>
      </c>
      <c r="D21" s="120" t="s">
        <v>171</v>
      </c>
      <c r="H21" s="86"/>
      <c r="I21" s="85"/>
      <c r="J21" s="118"/>
      <c r="P21" s="79"/>
      <c r="Q21" s="79"/>
      <c r="T21" s="79"/>
      <c r="U21" s="79"/>
      <c r="X21" s="130"/>
      <c r="Z21" s="106"/>
    </row>
    <row r="22">
      <c r="A22" s="28" t="s">
        <v>149</v>
      </c>
      <c r="B22" s="72"/>
      <c r="C22" s="121"/>
      <c r="D22" s="122"/>
      <c r="H22" s="87"/>
      <c r="I22" s="85"/>
      <c r="J22" s="118"/>
      <c r="P22" s="79"/>
      <c r="Q22" s="79"/>
      <c r="T22" s="79"/>
      <c r="U22" s="79"/>
      <c r="X22" s="130"/>
      <c r="Z22" s="106"/>
    </row>
    <row r="23">
      <c r="A23" s="28" t="s">
        <v>150</v>
      </c>
      <c r="B23" s="72"/>
      <c r="C23" s="121"/>
      <c r="D23" s="122"/>
      <c r="H23" s="88"/>
      <c r="I23" s="88"/>
      <c r="J23" s="123"/>
      <c r="P23" s="79"/>
      <c r="Q23" s="79"/>
      <c r="T23" s="79"/>
      <c r="U23" s="79"/>
      <c r="X23" s="130"/>
      <c r="Z23" s="106"/>
    </row>
    <row r="24">
      <c r="A24" s="71" t="s">
        <v>108</v>
      </c>
      <c r="B24" s="72"/>
      <c r="C24" s="71"/>
      <c r="D24" s="124"/>
      <c r="H24" s="88"/>
      <c r="I24" s="88"/>
      <c r="J24" s="123"/>
      <c r="P24" s="79"/>
      <c r="Q24" s="79"/>
      <c r="T24" s="79"/>
      <c r="U24" s="79"/>
      <c r="X24" s="130"/>
      <c r="Z24" s="106"/>
    </row>
    <row r="25">
      <c r="A25" s="28" t="s">
        <v>159</v>
      </c>
      <c r="B25" s="41"/>
      <c r="C25" s="121"/>
      <c r="D25" s="124"/>
      <c r="H25" s="88"/>
      <c r="I25" s="88"/>
      <c r="J25" s="123"/>
      <c r="P25" s="79"/>
      <c r="Q25" s="79"/>
      <c r="T25" s="79"/>
      <c r="U25" s="79"/>
      <c r="X25" s="130"/>
      <c r="Z25" s="106"/>
    </row>
    <row r="26">
      <c r="A26" s="28" t="s">
        <v>160</v>
      </c>
      <c r="B26" s="41"/>
      <c r="C26" s="71"/>
      <c r="D26" s="124"/>
      <c r="H26" s="88"/>
      <c r="I26" s="88"/>
      <c r="J26" s="123"/>
      <c r="P26" s="79"/>
      <c r="Q26" s="79"/>
      <c r="T26" s="79"/>
      <c r="U26" s="79"/>
      <c r="X26" s="130"/>
      <c r="Z26" s="106"/>
    </row>
    <row r="27">
      <c r="A27" s="28" t="s">
        <v>172</v>
      </c>
      <c r="B27" s="41">
        <v>512.83</v>
      </c>
      <c r="C27" s="71" t="s">
        <v>173</v>
      </c>
      <c r="D27" s="122"/>
      <c r="H27" s="88"/>
      <c r="I27" s="88"/>
      <c r="J27" s="123"/>
      <c r="P27" s="79"/>
      <c r="Q27" s="79"/>
      <c r="T27" s="79"/>
      <c r="U27" s="79"/>
      <c r="X27" s="130"/>
      <c r="Z27" s="106"/>
    </row>
    <row r="28">
      <c r="A28" s="28" t="s">
        <v>111</v>
      </c>
      <c r="B28" s="41">
        <v>1083.0</v>
      </c>
      <c r="C28" s="71" t="s">
        <v>174</v>
      </c>
      <c r="D28" s="122"/>
      <c r="J28" s="79"/>
      <c r="P28" s="79"/>
      <c r="Q28" s="79"/>
      <c r="T28" s="79"/>
      <c r="U28" s="79"/>
      <c r="X28" s="132"/>
      <c r="Z28" s="106"/>
    </row>
    <row r="29">
      <c r="A29" s="25"/>
      <c r="B29" s="26"/>
      <c r="C29" s="121"/>
      <c r="D29" s="122"/>
      <c r="I29" s="89"/>
      <c r="J29" s="125"/>
      <c r="P29" s="79"/>
      <c r="Q29" s="79"/>
      <c r="T29" s="79"/>
      <c r="U29" s="79"/>
      <c r="X29" s="130"/>
      <c r="Z29" s="106"/>
    </row>
    <row r="30">
      <c r="C30" s="79"/>
      <c r="D30" s="79"/>
      <c r="J30" s="79"/>
      <c r="P30" s="79"/>
      <c r="Q30" s="79"/>
      <c r="T30" s="79"/>
      <c r="U30" s="79"/>
      <c r="X30" s="130"/>
      <c r="Z30" s="106"/>
    </row>
    <row r="31">
      <c r="C31" s="79"/>
      <c r="D31" s="79"/>
      <c r="J31" s="79"/>
      <c r="P31" s="79"/>
      <c r="Q31" s="79"/>
      <c r="T31" s="79"/>
      <c r="U31" s="79"/>
      <c r="X31" s="130"/>
      <c r="Z31" s="106"/>
    </row>
    <row r="32">
      <c r="C32" s="79"/>
      <c r="D32" s="79"/>
      <c r="J32" s="79"/>
      <c r="P32" s="79"/>
      <c r="Q32" s="79"/>
      <c r="T32" s="79"/>
      <c r="U32" s="79"/>
      <c r="X32" s="130"/>
      <c r="Z32" s="106"/>
    </row>
    <row r="33">
      <c r="C33" s="79"/>
      <c r="D33" s="79"/>
      <c r="J33" s="79"/>
      <c r="P33" s="79"/>
      <c r="Q33" s="79"/>
      <c r="T33" s="79"/>
      <c r="U33" s="79"/>
      <c r="X33" s="130"/>
      <c r="Z33" s="106"/>
    </row>
    <row r="34">
      <c r="C34" s="79"/>
      <c r="D34" s="79"/>
      <c r="J34" s="79"/>
      <c r="P34" s="79"/>
      <c r="Q34" s="79"/>
      <c r="T34" s="79"/>
      <c r="U34" s="79"/>
      <c r="X34" s="130"/>
      <c r="Z34" s="106"/>
    </row>
    <row r="35">
      <c r="C35" s="79"/>
      <c r="D35" s="79"/>
      <c r="J35" s="79"/>
      <c r="P35" s="79"/>
      <c r="Q35" s="79"/>
      <c r="T35" s="79"/>
      <c r="U35" s="79"/>
      <c r="X35" s="130"/>
      <c r="Z35" s="106"/>
    </row>
    <row r="36">
      <c r="C36" s="79"/>
      <c r="D36" s="79"/>
      <c r="J36" s="79"/>
      <c r="P36" s="79"/>
      <c r="Q36" s="79"/>
      <c r="T36" s="79"/>
      <c r="U36" s="79"/>
      <c r="X36" s="130"/>
      <c r="Z36" s="106"/>
    </row>
    <row r="37">
      <c r="C37" s="79"/>
      <c r="D37" s="79"/>
      <c r="J37" s="79"/>
      <c r="P37" s="79"/>
      <c r="Q37" s="79"/>
      <c r="T37" s="79"/>
      <c r="U37" s="79"/>
      <c r="X37" s="130"/>
      <c r="Z37" s="106"/>
    </row>
    <row r="38">
      <c r="C38" s="79"/>
      <c r="D38" s="79"/>
      <c r="J38" s="79"/>
      <c r="P38" s="79"/>
      <c r="Q38" s="79"/>
      <c r="T38" s="79"/>
      <c r="U38" s="79"/>
      <c r="X38" s="130"/>
      <c r="Z38" s="106"/>
    </row>
    <row r="39">
      <c r="C39" s="79"/>
      <c r="D39" s="79"/>
      <c r="J39" s="79"/>
      <c r="P39" s="79"/>
      <c r="Q39" s="79"/>
      <c r="T39" s="79"/>
      <c r="U39" s="79"/>
      <c r="X39" s="130"/>
      <c r="Z39" s="106"/>
    </row>
    <row r="40">
      <c r="C40" s="79"/>
      <c r="D40" s="79"/>
      <c r="J40" s="79"/>
      <c r="P40" s="79"/>
      <c r="Q40" s="79"/>
      <c r="T40" s="79"/>
      <c r="U40" s="79"/>
      <c r="X40" s="130"/>
      <c r="Z40" s="106"/>
    </row>
    <row r="41">
      <c r="C41" s="79"/>
      <c r="D41" s="79"/>
      <c r="J41" s="79"/>
      <c r="P41" s="79"/>
      <c r="Q41" s="79"/>
      <c r="T41" s="79"/>
      <c r="U41" s="79"/>
      <c r="X41" s="130"/>
      <c r="Z41" s="106"/>
    </row>
    <row r="42">
      <c r="C42" s="79"/>
      <c r="D42" s="79"/>
      <c r="J42" s="79"/>
      <c r="P42" s="79"/>
      <c r="Q42" s="79"/>
      <c r="T42" s="79"/>
      <c r="U42" s="79"/>
      <c r="X42" s="130"/>
      <c r="Z42" s="106"/>
    </row>
    <row r="43">
      <c r="C43" s="79"/>
      <c r="D43" s="79"/>
      <c r="J43" s="79"/>
      <c r="P43" s="79"/>
      <c r="Q43" s="79"/>
      <c r="T43" s="79"/>
      <c r="U43" s="79"/>
      <c r="X43" s="130"/>
      <c r="Z43" s="106"/>
    </row>
    <row r="44">
      <c r="C44" s="79"/>
      <c r="D44" s="79"/>
      <c r="J44" s="79"/>
      <c r="P44" s="79"/>
      <c r="Q44" s="79"/>
      <c r="T44" s="79"/>
      <c r="U44" s="79"/>
      <c r="X44" s="130"/>
      <c r="Z44" s="106"/>
    </row>
    <row r="45">
      <c r="C45" s="79"/>
      <c r="D45" s="79"/>
      <c r="J45" s="79"/>
      <c r="P45" s="79"/>
      <c r="Q45" s="79"/>
      <c r="T45" s="79"/>
      <c r="U45" s="79"/>
      <c r="X45" s="130"/>
      <c r="Z45" s="106"/>
    </row>
    <row r="46">
      <c r="C46" s="79"/>
      <c r="D46" s="79"/>
      <c r="J46" s="79"/>
      <c r="P46" s="79"/>
      <c r="Q46" s="79"/>
      <c r="T46" s="79"/>
      <c r="U46" s="79"/>
      <c r="X46" s="130"/>
      <c r="Z46" s="106"/>
    </row>
    <row r="47">
      <c r="C47" s="79"/>
      <c r="D47" s="79"/>
      <c r="J47" s="79"/>
      <c r="P47" s="79"/>
      <c r="Q47" s="79"/>
      <c r="T47" s="79"/>
      <c r="U47" s="79"/>
      <c r="X47" s="130"/>
      <c r="Z47" s="106"/>
    </row>
    <row r="48">
      <c r="C48" s="79"/>
      <c r="D48" s="79"/>
      <c r="J48" s="79"/>
      <c r="P48" s="79"/>
      <c r="Q48" s="79"/>
      <c r="T48" s="79"/>
      <c r="U48" s="79"/>
      <c r="X48" s="130"/>
      <c r="Z48" s="106"/>
    </row>
    <row r="49">
      <c r="C49" s="79"/>
      <c r="D49" s="79"/>
      <c r="J49" s="79"/>
      <c r="P49" s="79"/>
      <c r="Q49" s="79"/>
      <c r="T49" s="79"/>
      <c r="U49" s="79"/>
      <c r="X49" s="130"/>
      <c r="Z49" s="106"/>
    </row>
    <row r="50">
      <c r="C50" s="79"/>
      <c r="D50" s="79"/>
      <c r="J50" s="79"/>
      <c r="P50" s="79"/>
      <c r="Q50" s="79"/>
      <c r="T50" s="79"/>
      <c r="U50" s="79"/>
      <c r="X50" s="130"/>
      <c r="Z50" s="106"/>
    </row>
    <row r="51">
      <c r="C51" s="79"/>
      <c r="D51" s="79"/>
      <c r="J51" s="79"/>
      <c r="P51" s="79"/>
      <c r="Q51" s="79"/>
      <c r="T51" s="79"/>
      <c r="U51" s="79"/>
      <c r="X51" s="130"/>
      <c r="Z51" s="106"/>
    </row>
    <row r="52">
      <c r="C52" s="79"/>
      <c r="D52" s="79"/>
      <c r="J52" s="79"/>
      <c r="P52" s="79"/>
      <c r="Q52" s="79"/>
      <c r="T52" s="79"/>
      <c r="U52" s="79"/>
      <c r="X52" s="130"/>
      <c r="Z52" s="106"/>
    </row>
    <row r="53">
      <c r="C53" s="79"/>
      <c r="D53" s="79"/>
      <c r="J53" s="79"/>
      <c r="P53" s="79"/>
      <c r="Q53" s="79"/>
      <c r="T53" s="79"/>
      <c r="U53" s="79"/>
      <c r="X53" s="130"/>
      <c r="Z53" s="106"/>
    </row>
    <row r="54">
      <c r="C54" s="79"/>
      <c r="D54" s="79"/>
      <c r="J54" s="79"/>
      <c r="P54" s="79"/>
      <c r="Q54" s="79"/>
      <c r="T54" s="79"/>
      <c r="U54" s="79"/>
      <c r="X54" s="130"/>
      <c r="Z54" s="106"/>
    </row>
    <row r="55">
      <c r="C55" s="79"/>
      <c r="D55" s="79"/>
      <c r="J55" s="79"/>
      <c r="P55" s="79"/>
      <c r="Q55" s="79"/>
      <c r="T55" s="79"/>
      <c r="U55" s="79"/>
      <c r="X55" s="130"/>
      <c r="Z55" s="106"/>
    </row>
    <row r="56">
      <c r="C56" s="79"/>
      <c r="D56" s="79"/>
      <c r="J56" s="79"/>
      <c r="P56" s="79"/>
      <c r="Q56" s="79"/>
      <c r="T56" s="79"/>
      <c r="U56" s="79"/>
      <c r="X56" s="130"/>
      <c r="Z56" s="106"/>
    </row>
    <row r="57">
      <c r="C57" s="79"/>
      <c r="D57" s="79"/>
      <c r="J57" s="79"/>
      <c r="P57" s="79"/>
      <c r="Q57" s="79"/>
      <c r="T57" s="79"/>
      <c r="U57" s="79"/>
      <c r="X57" s="130"/>
      <c r="Z57" s="106"/>
    </row>
    <row r="58">
      <c r="C58" s="79"/>
      <c r="D58" s="79"/>
      <c r="J58" s="79"/>
      <c r="P58" s="79"/>
      <c r="Q58" s="79"/>
      <c r="T58" s="79"/>
      <c r="U58" s="79"/>
      <c r="X58" s="130"/>
      <c r="Z58" s="106"/>
    </row>
    <row r="59">
      <c r="C59" s="79"/>
      <c r="D59" s="79"/>
      <c r="J59" s="79"/>
      <c r="P59" s="79"/>
      <c r="Q59" s="79"/>
      <c r="T59" s="79"/>
      <c r="U59" s="79"/>
      <c r="X59" s="130"/>
      <c r="Z59" s="106"/>
    </row>
    <row r="60">
      <c r="C60" s="79"/>
      <c r="D60" s="79"/>
      <c r="J60" s="79"/>
      <c r="P60" s="79"/>
      <c r="Q60" s="79"/>
      <c r="T60" s="79"/>
      <c r="U60" s="79"/>
      <c r="X60" s="130"/>
      <c r="Z60" s="106"/>
    </row>
    <row r="61">
      <c r="C61" s="79"/>
      <c r="D61" s="79"/>
      <c r="J61" s="79"/>
      <c r="P61" s="79"/>
      <c r="Q61" s="79"/>
      <c r="T61" s="79"/>
      <c r="U61" s="79"/>
      <c r="X61" s="130"/>
      <c r="Z61" s="106"/>
    </row>
    <row r="62">
      <c r="C62" s="79"/>
      <c r="D62" s="79"/>
      <c r="J62" s="79"/>
      <c r="P62" s="79"/>
      <c r="Q62" s="79"/>
      <c r="T62" s="79"/>
      <c r="U62" s="79"/>
      <c r="X62" s="130"/>
      <c r="Z62" s="106"/>
    </row>
    <row r="63">
      <c r="C63" s="79"/>
      <c r="D63" s="79"/>
      <c r="J63" s="79"/>
      <c r="P63" s="79"/>
      <c r="Q63" s="79"/>
      <c r="T63" s="79"/>
      <c r="U63" s="79"/>
      <c r="X63" s="130"/>
      <c r="Z63" s="106"/>
    </row>
    <row r="64">
      <c r="C64" s="79"/>
      <c r="D64" s="79"/>
      <c r="J64" s="79"/>
      <c r="P64" s="79"/>
      <c r="Q64" s="79"/>
      <c r="T64" s="79"/>
      <c r="U64" s="79"/>
      <c r="X64" s="130"/>
      <c r="Z64" s="106"/>
    </row>
    <row r="65">
      <c r="C65" s="79"/>
      <c r="D65" s="79"/>
      <c r="J65" s="79"/>
      <c r="P65" s="79"/>
      <c r="Q65" s="79"/>
      <c r="T65" s="79"/>
      <c r="U65" s="79"/>
      <c r="X65" s="130"/>
      <c r="Z65" s="106"/>
    </row>
    <row r="66">
      <c r="C66" s="79"/>
      <c r="D66" s="79"/>
      <c r="J66" s="79"/>
      <c r="P66" s="79"/>
      <c r="Q66" s="79"/>
      <c r="T66" s="79"/>
      <c r="U66" s="79"/>
      <c r="X66" s="130"/>
      <c r="Z66" s="106"/>
    </row>
    <row r="67">
      <c r="C67" s="79"/>
      <c r="D67" s="79"/>
      <c r="J67" s="79"/>
      <c r="P67" s="79"/>
      <c r="Q67" s="79"/>
      <c r="T67" s="79"/>
      <c r="U67" s="79"/>
      <c r="X67" s="130"/>
      <c r="Z67" s="106"/>
    </row>
    <row r="68">
      <c r="C68" s="79"/>
      <c r="D68" s="79"/>
      <c r="J68" s="79"/>
      <c r="P68" s="79"/>
      <c r="Q68" s="79"/>
      <c r="T68" s="79"/>
      <c r="U68" s="79"/>
      <c r="X68" s="130"/>
      <c r="Z68" s="106"/>
    </row>
    <row r="69">
      <c r="C69" s="79"/>
      <c r="D69" s="79"/>
      <c r="J69" s="79"/>
      <c r="P69" s="79"/>
      <c r="Q69" s="79"/>
      <c r="T69" s="79"/>
      <c r="U69" s="79"/>
      <c r="X69" s="130"/>
      <c r="Z69" s="106"/>
    </row>
    <row r="70">
      <c r="C70" s="79"/>
      <c r="D70" s="79"/>
      <c r="J70" s="79"/>
      <c r="P70" s="79"/>
      <c r="Q70" s="79"/>
      <c r="T70" s="79"/>
      <c r="U70" s="79"/>
      <c r="X70" s="130"/>
      <c r="Z70" s="106"/>
    </row>
    <row r="71">
      <c r="C71" s="79"/>
      <c r="D71" s="79"/>
      <c r="J71" s="79"/>
      <c r="P71" s="79"/>
      <c r="Q71" s="79"/>
      <c r="T71" s="79"/>
      <c r="U71" s="79"/>
      <c r="X71" s="130"/>
      <c r="Z71" s="106"/>
    </row>
    <row r="72">
      <c r="C72" s="79"/>
      <c r="D72" s="79"/>
      <c r="J72" s="79"/>
      <c r="P72" s="79"/>
      <c r="Q72" s="79"/>
      <c r="T72" s="79"/>
      <c r="U72" s="79"/>
      <c r="X72" s="130"/>
      <c r="Z72" s="106"/>
    </row>
    <row r="73">
      <c r="C73" s="79"/>
      <c r="D73" s="79"/>
      <c r="J73" s="79"/>
      <c r="P73" s="79"/>
      <c r="Q73" s="79"/>
      <c r="T73" s="79"/>
      <c r="U73" s="79"/>
      <c r="X73" s="130"/>
      <c r="Z73" s="106"/>
    </row>
    <row r="74">
      <c r="C74" s="79"/>
      <c r="D74" s="79"/>
      <c r="J74" s="79"/>
      <c r="P74" s="79"/>
      <c r="Q74" s="79"/>
      <c r="T74" s="79"/>
      <c r="U74" s="79"/>
      <c r="X74" s="130"/>
      <c r="Z74" s="106"/>
    </row>
    <row r="75">
      <c r="C75" s="79"/>
      <c r="D75" s="79"/>
      <c r="J75" s="79"/>
      <c r="P75" s="79"/>
      <c r="Q75" s="79"/>
      <c r="T75" s="79"/>
      <c r="U75" s="79"/>
      <c r="X75" s="130"/>
      <c r="Z75" s="106"/>
    </row>
    <row r="76">
      <c r="C76" s="79"/>
      <c r="D76" s="79"/>
      <c r="J76" s="79"/>
      <c r="P76" s="79"/>
      <c r="Q76" s="79"/>
      <c r="T76" s="79"/>
      <c r="U76" s="79"/>
      <c r="X76" s="130"/>
      <c r="Z76" s="106"/>
    </row>
    <row r="77">
      <c r="C77" s="79"/>
      <c r="D77" s="79"/>
      <c r="J77" s="79"/>
      <c r="P77" s="79"/>
      <c r="Q77" s="79"/>
      <c r="T77" s="79"/>
      <c r="U77" s="79"/>
      <c r="X77" s="130"/>
      <c r="Z77" s="106"/>
    </row>
    <row r="78">
      <c r="C78" s="79"/>
      <c r="D78" s="79"/>
      <c r="J78" s="79"/>
      <c r="P78" s="79"/>
      <c r="Q78" s="79"/>
      <c r="T78" s="79"/>
      <c r="U78" s="79"/>
      <c r="X78" s="130"/>
      <c r="Z78" s="106"/>
    </row>
    <row r="79">
      <c r="C79" s="79"/>
      <c r="D79" s="79"/>
      <c r="J79" s="79"/>
      <c r="P79" s="79"/>
      <c r="Q79" s="79"/>
      <c r="T79" s="79"/>
      <c r="U79" s="79"/>
      <c r="X79" s="130"/>
      <c r="Z79" s="106"/>
    </row>
    <row r="80">
      <c r="C80" s="79"/>
      <c r="D80" s="79"/>
      <c r="J80" s="79"/>
      <c r="P80" s="79"/>
      <c r="Q80" s="79"/>
      <c r="T80" s="79"/>
      <c r="U80" s="79"/>
      <c r="X80" s="130"/>
      <c r="Z80" s="106"/>
    </row>
    <row r="81">
      <c r="C81" s="79"/>
      <c r="D81" s="79"/>
      <c r="J81" s="79"/>
      <c r="P81" s="79"/>
      <c r="Q81" s="79"/>
      <c r="T81" s="79"/>
      <c r="U81" s="79"/>
      <c r="X81" s="130"/>
      <c r="Z81" s="106"/>
    </row>
    <row r="82">
      <c r="C82" s="79"/>
      <c r="D82" s="79"/>
      <c r="J82" s="79"/>
      <c r="P82" s="79"/>
      <c r="Q82" s="79"/>
      <c r="T82" s="79"/>
      <c r="U82" s="79"/>
      <c r="X82" s="130"/>
      <c r="Z82" s="106"/>
    </row>
    <row r="83">
      <c r="C83" s="79"/>
      <c r="D83" s="79"/>
      <c r="J83" s="79"/>
      <c r="P83" s="79"/>
      <c r="Q83" s="79"/>
      <c r="T83" s="79"/>
      <c r="U83" s="79"/>
      <c r="X83" s="130"/>
      <c r="Z83" s="106"/>
    </row>
    <row r="84">
      <c r="C84" s="79"/>
      <c r="D84" s="79"/>
      <c r="J84" s="79"/>
      <c r="P84" s="79"/>
      <c r="Q84" s="79"/>
      <c r="T84" s="79"/>
      <c r="U84" s="79"/>
      <c r="X84" s="130"/>
      <c r="Z84" s="106"/>
    </row>
    <row r="85">
      <c r="C85" s="79"/>
      <c r="D85" s="79"/>
      <c r="J85" s="79"/>
      <c r="P85" s="79"/>
      <c r="Q85" s="79"/>
      <c r="T85" s="79"/>
      <c r="U85" s="79"/>
      <c r="X85" s="130"/>
      <c r="Z85" s="106"/>
    </row>
    <row r="86">
      <c r="C86" s="79"/>
      <c r="D86" s="79"/>
      <c r="J86" s="79"/>
      <c r="P86" s="79"/>
      <c r="Q86" s="79"/>
      <c r="T86" s="79"/>
      <c r="U86" s="79"/>
      <c r="X86" s="130"/>
      <c r="Z86" s="106"/>
    </row>
    <row r="87">
      <c r="C87" s="79"/>
      <c r="D87" s="79"/>
      <c r="J87" s="79"/>
      <c r="P87" s="79"/>
      <c r="Q87" s="79"/>
      <c r="T87" s="79"/>
      <c r="U87" s="79"/>
      <c r="X87" s="130"/>
      <c r="Z87" s="106"/>
    </row>
    <row r="88">
      <c r="C88" s="79"/>
      <c r="D88" s="79"/>
      <c r="J88" s="79"/>
      <c r="P88" s="79"/>
      <c r="Q88" s="79"/>
      <c r="T88" s="79"/>
      <c r="U88" s="79"/>
      <c r="X88" s="130"/>
      <c r="Z88" s="106"/>
    </row>
    <row r="89">
      <c r="C89" s="79"/>
      <c r="D89" s="79"/>
      <c r="J89" s="79"/>
      <c r="P89" s="79"/>
      <c r="Q89" s="79"/>
      <c r="T89" s="79"/>
      <c r="U89" s="79"/>
      <c r="X89" s="130"/>
      <c r="Z89" s="106"/>
    </row>
    <row r="90">
      <c r="C90" s="79"/>
      <c r="D90" s="79"/>
      <c r="J90" s="79"/>
      <c r="P90" s="79"/>
      <c r="Q90" s="79"/>
      <c r="T90" s="79"/>
      <c r="U90" s="79"/>
      <c r="X90" s="130"/>
      <c r="Z90" s="106"/>
    </row>
    <row r="91">
      <c r="C91" s="79"/>
      <c r="D91" s="79"/>
      <c r="J91" s="79"/>
      <c r="P91" s="79"/>
      <c r="Q91" s="79"/>
      <c r="T91" s="79"/>
      <c r="U91" s="79"/>
      <c r="X91" s="130"/>
      <c r="Z91" s="106"/>
    </row>
    <row r="92">
      <c r="C92" s="79"/>
      <c r="D92" s="79"/>
      <c r="J92" s="79"/>
      <c r="P92" s="79"/>
      <c r="Q92" s="79"/>
      <c r="T92" s="79"/>
      <c r="U92" s="79"/>
      <c r="X92" s="130"/>
      <c r="Z92" s="106"/>
    </row>
    <row r="93">
      <c r="C93" s="79"/>
      <c r="D93" s="79"/>
      <c r="J93" s="79"/>
      <c r="P93" s="79"/>
      <c r="Q93" s="79"/>
      <c r="T93" s="79"/>
      <c r="U93" s="79"/>
      <c r="X93" s="130"/>
      <c r="Z93" s="106"/>
    </row>
    <row r="94">
      <c r="C94" s="79"/>
      <c r="D94" s="79"/>
      <c r="J94" s="79"/>
      <c r="P94" s="79"/>
      <c r="Q94" s="79"/>
      <c r="T94" s="79"/>
      <c r="U94" s="79"/>
      <c r="X94" s="130"/>
      <c r="Z94" s="106"/>
    </row>
    <row r="95">
      <c r="C95" s="79"/>
      <c r="D95" s="79"/>
      <c r="J95" s="79"/>
      <c r="P95" s="79"/>
      <c r="Q95" s="79"/>
      <c r="T95" s="79"/>
      <c r="U95" s="79"/>
      <c r="X95" s="130"/>
      <c r="Z95" s="106"/>
    </row>
    <row r="96">
      <c r="C96" s="79"/>
      <c r="D96" s="79"/>
      <c r="J96" s="79"/>
      <c r="P96" s="79"/>
      <c r="Q96" s="79"/>
      <c r="T96" s="79"/>
      <c r="U96" s="79"/>
      <c r="X96" s="130"/>
      <c r="Z96" s="106"/>
    </row>
    <row r="97">
      <c r="C97" s="79"/>
      <c r="D97" s="79"/>
      <c r="J97" s="79"/>
      <c r="P97" s="79"/>
      <c r="Q97" s="79"/>
      <c r="T97" s="79"/>
      <c r="U97" s="79"/>
      <c r="X97" s="130"/>
      <c r="Z97" s="106"/>
    </row>
    <row r="98">
      <c r="C98" s="79"/>
      <c r="D98" s="79"/>
      <c r="J98" s="79"/>
      <c r="P98" s="79"/>
      <c r="Q98" s="79"/>
      <c r="T98" s="79"/>
      <c r="U98" s="79"/>
      <c r="X98" s="130"/>
      <c r="Z98" s="106"/>
    </row>
    <row r="99">
      <c r="C99" s="79"/>
      <c r="D99" s="79"/>
      <c r="J99" s="79"/>
      <c r="P99" s="79"/>
      <c r="Q99" s="79"/>
      <c r="T99" s="79"/>
      <c r="U99" s="79"/>
      <c r="X99" s="130"/>
      <c r="Z99" s="106"/>
    </row>
    <row r="100">
      <c r="C100" s="79"/>
      <c r="D100" s="79"/>
      <c r="J100" s="79"/>
      <c r="P100" s="79"/>
      <c r="Q100" s="79"/>
      <c r="T100" s="79"/>
      <c r="U100" s="79"/>
      <c r="X100" s="130"/>
      <c r="Z100" s="106"/>
    </row>
    <row r="101">
      <c r="C101" s="79"/>
      <c r="D101" s="79"/>
      <c r="J101" s="79"/>
      <c r="P101" s="79"/>
      <c r="Q101" s="79"/>
      <c r="T101" s="79"/>
      <c r="U101" s="79"/>
      <c r="X101" s="130"/>
      <c r="Z101" s="106"/>
    </row>
    <row r="102">
      <c r="C102" s="79"/>
      <c r="D102" s="79"/>
      <c r="J102" s="79"/>
      <c r="P102" s="79"/>
      <c r="Q102" s="79"/>
      <c r="T102" s="79"/>
      <c r="U102" s="79"/>
      <c r="X102" s="130"/>
      <c r="Z102" s="106"/>
    </row>
    <row r="103">
      <c r="C103" s="79"/>
      <c r="D103" s="79"/>
      <c r="J103" s="79"/>
      <c r="P103" s="79"/>
      <c r="Q103" s="79"/>
      <c r="T103" s="79"/>
      <c r="U103" s="79"/>
      <c r="X103" s="130"/>
      <c r="Z103" s="106"/>
    </row>
    <row r="104">
      <c r="C104" s="79"/>
      <c r="D104" s="79"/>
      <c r="J104" s="79"/>
      <c r="P104" s="79"/>
      <c r="Q104" s="79"/>
      <c r="T104" s="79"/>
      <c r="U104" s="79"/>
      <c r="X104" s="130"/>
      <c r="Z104" s="106"/>
    </row>
    <row r="105">
      <c r="C105" s="79"/>
      <c r="D105" s="79"/>
      <c r="J105" s="79"/>
      <c r="P105" s="79"/>
      <c r="Q105" s="79"/>
      <c r="T105" s="79"/>
      <c r="U105" s="79"/>
      <c r="X105" s="130"/>
      <c r="Z105" s="106"/>
    </row>
    <row r="106">
      <c r="C106" s="79"/>
      <c r="D106" s="79"/>
      <c r="J106" s="79"/>
      <c r="P106" s="79"/>
      <c r="Q106" s="79"/>
      <c r="T106" s="79"/>
      <c r="U106" s="79"/>
      <c r="X106" s="130"/>
      <c r="Z106" s="106"/>
    </row>
    <row r="107">
      <c r="C107" s="79"/>
      <c r="D107" s="79"/>
      <c r="J107" s="79"/>
      <c r="P107" s="79"/>
      <c r="Q107" s="79"/>
      <c r="T107" s="79"/>
      <c r="U107" s="79"/>
      <c r="X107" s="130"/>
      <c r="Z107" s="106"/>
    </row>
    <row r="108">
      <c r="C108" s="79"/>
      <c r="D108" s="79"/>
      <c r="J108" s="79"/>
      <c r="P108" s="79"/>
      <c r="Q108" s="79"/>
      <c r="T108" s="79"/>
      <c r="U108" s="79"/>
      <c r="X108" s="130"/>
      <c r="Z108" s="106"/>
    </row>
    <row r="109">
      <c r="C109" s="79"/>
      <c r="D109" s="79"/>
      <c r="J109" s="79"/>
      <c r="P109" s="79"/>
      <c r="Q109" s="79"/>
      <c r="T109" s="79"/>
      <c r="U109" s="79"/>
      <c r="X109" s="130"/>
      <c r="Z109" s="106"/>
    </row>
    <row r="110">
      <c r="C110" s="79"/>
      <c r="D110" s="79"/>
      <c r="J110" s="79"/>
      <c r="P110" s="79"/>
      <c r="Q110" s="79"/>
      <c r="T110" s="79"/>
      <c r="U110" s="79"/>
      <c r="X110" s="130"/>
      <c r="Z110" s="106"/>
    </row>
    <row r="111">
      <c r="C111" s="79"/>
      <c r="D111" s="79"/>
      <c r="J111" s="79"/>
      <c r="P111" s="79"/>
      <c r="Q111" s="79"/>
      <c r="T111" s="79"/>
      <c r="U111" s="79"/>
      <c r="X111" s="130"/>
      <c r="Z111" s="106"/>
    </row>
    <row r="112">
      <c r="C112" s="79"/>
      <c r="D112" s="79"/>
      <c r="J112" s="79"/>
      <c r="P112" s="79"/>
      <c r="Q112" s="79"/>
      <c r="T112" s="79"/>
      <c r="U112" s="79"/>
      <c r="X112" s="130"/>
      <c r="Z112" s="106"/>
    </row>
    <row r="113">
      <c r="C113" s="79"/>
      <c r="D113" s="79"/>
      <c r="J113" s="79"/>
      <c r="P113" s="79"/>
      <c r="Q113" s="79"/>
      <c r="T113" s="79"/>
      <c r="U113" s="79"/>
      <c r="X113" s="130"/>
      <c r="Z113" s="106"/>
    </row>
    <row r="114">
      <c r="C114" s="79"/>
      <c r="D114" s="79"/>
      <c r="J114" s="79"/>
      <c r="P114" s="79"/>
      <c r="Q114" s="79"/>
      <c r="T114" s="79"/>
      <c r="U114" s="79"/>
      <c r="X114" s="130"/>
      <c r="Z114" s="106"/>
    </row>
    <row r="115">
      <c r="C115" s="79"/>
      <c r="D115" s="79"/>
      <c r="J115" s="79"/>
      <c r="P115" s="79"/>
      <c r="Q115" s="79"/>
      <c r="T115" s="79"/>
      <c r="U115" s="79"/>
      <c r="X115" s="130"/>
      <c r="Z115" s="106"/>
    </row>
    <row r="116">
      <c r="C116" s="79"/>
      <c r="D116" s="79"/>
      <c r="J116" s="79"/>
      <c r="P116" s="79"/>
      <c r="Q116" s="79"/>
      <c r="T116" s="79"/>
      <c r="U116" s="79"/>
      <c r="X116" s="130"/>
      <c r="Z116" s="106"/>
    </row>
    <row r="117">
      <c r="C117" s="79"/>
      <c r="D117" s="79"/>
      <c r="J117" s="79"/>
      <c r="P117" s="79"/>
      <c r="Q117" s="79"/>
      <c r="T117" s="79"/>
      <c r="U117" s="79"/>
      <c r="X117" s="130"/>
      <c r="Z117" s="106"/>
    </row>
    <row r="118">
      <c r="C118" s="79"/>
      <c r="D118" s="79"/>
      <c r="J118" s="79"/>
      <c r="P118" s="79"/>
      <c r="Q118" s="79"/>
      <c r="T118" s="79"/>
      <c r="U118" s="79"/>
      <c r="X118" s="130"/>
      <c r="Z118" s="106"/>
    </row>
    <row r="119">
      <c r="C119" s="79"/>
      <c r="D119" s="79"/>
      <c r="J119" s="79"/>
      <c r="P119" s="79"/>
      <c r="Q119" s="79"/>
      <c r="T119" s="79"/>
      <c r="U119" s="79"/>
      <c r="X119" s="130"/>
      <c r="Z119" s="106"/>
    </row>
    <row r="120">
      <c r="C120" s="79"/>
      <c r="D120" s="79"/>
      <c r="J120" s="79"/>
      <c r="P120" s="79"/>
      <c r="Q120" s="79"/>
      <c r="T120" s="79"/>
      <c r="U120" s="79"/>
      <c r="X120" s="130"/>
      <c r="Z120" s="106"/>
    </row>
    <row r="121">
      <c r="C121" s="79"/>
      <c r="D121" s="79"/>
      <c r="J121" s="79"/>
      <c r="P121" s="79"/>
      <c r="Q121" s="79"/>
      <c r="T121" s="79"/>
      <c r="U121" s="79"/>
      <c r="X121" s="130"/>
      <c r="Z121" s="106"/>
    </row>
    <row r="122">
      <c r="C122" s="79"/>
      <c r="D122" s="79"/>
      <c r="J122" s="79"/>
      <c r="P122" s="79"/>
      <c r="Q122" s="79"/>
      <c r="T122" s="79"/>
      <c r="U122" s="79"/>
      <c r="X122" s="130"/>
      <c r="Z122" s="106"/>
    </row>
    <row r="123">
      <c r="C123" s="79"/>
      <c r="D123" s="79"/>
      <c r="J123" s="79"/>
      <c r="P123" s="79"/>
      <c r="Q123" s="79"/>
      <c r="T123" s="79"/>
      <c r="U123" s="79"/>
      <c r="X123" s="130"/>
      <c r="Z123" s="106"/>
    </row>
    <row r="124">
      <c r="C124" s="79"/>
      <c r="D124" s="79"/>
      <c r="J124" s="79"/>
      <c r="P124" s="79"/>
      <c r="Q124" s="79"/>
      <c r="T124" s="79"/>
      <c r="U124" s="79"/>
      <c r="X124" s="130"/>
      <c r="Z124" s="106"/>
    </row>
    <row r="125">
      <c r="C125" s="79"/>
      <c r="D125" s="79"/>
      <c r="J125" s="79"/>
      <c r="P125" s="79"/>
      <c r="Q125" s="79"/>
      <c r="T125" s="79"/>
      <c r="U125" s="79"/>
      <c r="X125" s="130"/>
      <c r="Z125" s="106"/>
    </row>
    <row r="126">
      <c r="C126" s="79"/>
      <c r="D126" s="79"/>
      <c r="J126" s="79"/>
      <c r="P126" s="79"/>
      <c r="Q126" s="79"/>
      <c r="T126" s="79"/>
      <c r="U126" s="79"/>
      <c r="X126" s="130"/>
      <c r="Z126" s="106"/>
    </row>
    <row r="127">
      <c r="C127" s="79"/>
      <c r="D127" s="79"/>
      <c r="J127" s="79"/>
      <c r="P127" s="79"/>
      <c r="Q127" s="79"/>
      <c r="T127" s="79"/>
      <c r="U127" s="79"/>
      <c r="X127" s="130"/>
      <c r="Z127" s="106"/>
    </row>
    <row r="128">
      <c r="C128" s="79"/>
      <c r="D128" s="79"/>
      <c r="J128" s="79"/>
      <c r="P128" s="79"/>
      <c r="Q128" s="79"/>
      <c r="T128" s="79"/>
      <c r="U128" s="79"/>
      <c r="X128" s="130"/>
      <c r="Z128" s="106"/>
    </row>
    <row r="129">
      <c r="C129" s="79"/>
      <c r="D129" s="79"/>
      <c r="J129" s="79"/>
      <c r="P129" s="79"/>
      <c r="Q129" s="79"/>
      <c r="T129" s="79"/>
      <c r="U129" s="79"/>
      <c r="X129" s="130"/>
      <c r="Z129" s="106"/>
    </row>
    <row r="130">
      <c r="C130" s="79"/>
      <c r="D130" s="79"/>
      <c r="J130" s="79"/>
      <c r="P130" s="79"/>
      <c r="Q130" s="79"/>
      <c r="T130" s="79"/>
      <c r="U130" s="79"/>
      <c r="X130" s="130"/>
      <c r="Z130" s="106"/>
    </row>
    <row r="131">
      <c r="C131" s="79"/>
      <c r="D131" s="79"/>
      <c r="J131" s="79"/>
      <c r="P131" s="79"/>
      <c r="Q131" s="79"/>
      <c r="T131" s="79"/>
      <c r="U131" s="79"/>
      <c r="X131" s="130"/>
      <c r="Z131" s="106"/>
    </row>
    <row r="132">
      <c r="C132" s="79"/>
      <c r="D132" s="79"/>
      <c r="J132" s="79"/>
      <c r="P132" s="79"/>
      <c r="Q132" s="79"/>
      <c r="T132" s="79"/>
      <c r="U132" s="79"/>
      <c r="X132" s="130"/>
      <c r="Z132" s="106"/>
    </row>
    <row r="133">
      <c r="C133" s="79"/>
      <c r="D133" s="79"/>
      <c r="J133" s="79"/>
      <c r="P133" s="79"/>
      <c r="Q133" s="79"/>
      <c r="T133" s="79"/>
      <c r="U133" s="79"/>
      <c r="X133" s="130"/>
      <c r="Z133" s="106"/>
    </row>
    <row r="134">
      <c r="C134" s="79"/>
      <c r="D134" s="79"/>
      <c r="J134" s="79"/>
      <c r="P134" s="79"/>
      <c r="Q134" s="79"/>
      <c r="T134" s="79"/>
      <c r="U134" s="79"/>
      <c r="X134" s="130"/>
      <c r="Z134" s="106"/>
    </row>
    <row r="135">
      <c r="C135" s="79"/>
      <c r="D135" s="79"/>
      <c r="J135" s="79"/>
      <c r="P135" s="79"/>
      <c r="Q135" s="79"/>
      <c r="T135" s="79"/>
      <c r="U135" s="79"/>
      <c r="X135" s="130"/>
      <c r="Z135" s="106"/>
    </row>
    <row r="136">
      <c r="C136" s="79"/>
      <c r="D136" s="79"/>
      <c r="J136" s="79"/>
      <c r="P136" s="79"/>
      <c r="Q136" s="79"/>
      <c r="T136" s="79"/>
      <c r="U136" s="79"/>
      <c r="X136" s="130"/>
      <c r="Z136" s="106"/>
    </row>
    <row r="137">
      <c r="C137" s="79"/>
      <c r="D137" s="79"/>
      <c r="J137" s="79"/>
      <c r="P137" s="79"/>
      <c r="Q137" s="79"/>
      <c r="T137" s="79"/>
      <c r="U137" s="79"/>
      <c r="X137" s="130"/>
      <c r="Z137" s="106"/>
    </row>
    <row r="138">
      <c r="C138" s="79"/>
      <c r="D138" s="79"/>
      <c r="J138" s="79"/>
      <c r="P138" s="79"/>
      <c r="Q138" s="79"/>
      <c r="T138" s="79"/>
      <c r="U138" s="79"/>
      <c r="X138" s="130"/>
      <c r="Z138" s="106"/>
    </row>
    <row r="139">
      <c r="C139" s="79"/>
      <c r="D139" s="79"/>
      <c r="J139" s="79"/>
      <c r="P139" s="79"/>
      <c r="Q139" s="79"/>
      <c r="T139" s="79"/>
      <c r="U139" s="79"/>
      <c r="X139" s="130"/>
      <c r="Z139" s="106"/>
    </row>
    <row r="140">
      <c r="C140" s="79"/>
      <c r="D140" s="79"/>
      <c r="J140" s="79"/>
      <c r="P140" s="79"/>
      <c r="Q140" s="79"/>
      <c r="T140" s="79"/>
      <c r="U140" s="79"/>
      <c r="X140" s="130"/>
      <c r="Z140" s="106"/>
    </row>
    <row r="141">
      <c r="C141" s="79"/>
      <c r="D141" s="79"/>
      <c r="J141" s="79"/>
      <c r="P141" s="79"/>
      <c r="Q141" s="79"/>
      <c r="T141" s="79"/>
      <c r="U141" s="79"/>
      <c r="X141" s="130"/>
      <c r="Z141" s="106"/>
    </row>
    <row r="142">
      <c r="C142" s="79"/>
      <c r="D142" s="79"/>
      <c r="J142" s="79"/>
      <c r="P142" s="79"/>
      <c r="Q142" s="79"/>
      <c r="T142" s="79"/>
      <c r="U142" s="79"/>
      <c r="X142" s="130"/>
      <c r="Z142" s="106"/>
    </row>
    <row r="143">
      <c r="C143" s="79"/>
      <c r="D143" s="79"/>
      <c r="J143" s="79"/>
      <c r="P143" s="79"/>
      <c r="Q143" s="79"/>
      <c r="T143" s="79"/>
      <c r="U143" s="79"/>
      <c r="X143" s="130"/>
      <c r="Z143" s="106"/>
    </row>
    <row r="144">
      <c r="C144" s="79"/>
      <c r="D144" s="79"/>
      <c r="J144" s="79"/>
      <c r="P144" s="79"/>
      <c r="Q144" s="79"/>
      <c r="T144" s="79"/>
      <c r="U144" s="79"/>
      <c r="X144" s="130"/>
      <c r="Z144" s="106"/>
    </row>
    <row r="145">
      <c r="C145" s="79"/>
      <c r="D145" s="79"/>
      <c r="J145" s="79"/>
      <c r="P145" s="79"/>
      <c r="Q145" s="79"/>
      <c r="T145" s="79"/>
      <c r="U145" s="79"/>
      <c r="X145" s="130"/>
      <c r="Z145" s="106"/>
    </row>
    <row r="146">
      <c r="C146" s="79"/>
      <c r="D146" s="79"/>
      <c r="J146" s="79"/>
      <c r="P146" s="79"/>
      <c r="Q146" s="79"/>
      <c r="T146" s="79"/>
      <c r="U146" s="79"/>
      <c r="X146" s="130"/>
      <c r="Z146" s="106"/>
    </row>
    <row r="147">
      <c r="C147" s="79"/>
      <c r="D147" s="79"/>
      <c r="J147" s="79"/>
      <c r="P147" s="79"/>
      <c r="Q147" s="79"/>
      <c r="T147" s="79"/>
      <c r="U147" s="79"/>
      <c r="X147" s="130"/>
      <c r="Z147" s="106"/>
    </row>
    <row r="148">
      <c r="C148" s="79"/>
      <c r="D148" s="79"/>
      <c r="J148" s="79"/>
      <c r="P148" s="79"/>
      <c r="Q148" s="79"/>
      <c r="T148" s="79"/>
      <c r="U148" s="79"/>
      <c r="X148" s="130"/>
      <c r="Z148" s="106"/>
    </row>
    <row r="149">
      <c r="C149" s="79"/>
      <c r="D149" s="79"/>
      <c r="J149" s="79"/>
      <c r="P149" s="79"/>
      <c r="Q149" s="79"/>
      <c r="T149" s="79"/>
      <c r="U149" s="79"/>
      <c r="X149" s="130"/>
      <c r="Z149" s="106"/>
    </row>
    <row r="150">
      <c r="C150" s="79"/>
      <c r="D150" s="79"/>
      <c r="J150" s="79"/>
      <c r="P150" s="79"/>
      <c r="Q150" s="79"/>
      <c r="T150" s="79"/>
      <c r="U150" s="79"/>
      <c r="X150" s="130"/>
      <c r="Z150" s="106"/>
    </row>
    <row r="151">
      <c r="C151" s="79"/>
      <c r="D151" s="79"/>
      <c r="J151" s="79"/>
      <c r="P151" s="79"/>
      <c r="Q151" s="79"/>
      <c r="T151" s="79"/>
      <c r="U151" s="79"/>
      <c r="X151" s="130"/>
      <c r="Z151" s="106"/>
    </row>
    <row r="152">
      <c r="C152" s="79"/>
      <c r="D152" s="79"/>
      <c r="J152" s="79"/>
      <c r="P152" s="79"/>
      <c r="Q152" s="79"/>
      <c r="T152" s="79"/>
      <c r="U152" s="79"/>
      <c r="X152" s="130"/>
      <c r="Z152" s="106"/>
    </row>
    <row r="153">
      <c r="C153" s="79"/>
      <c r="D153" s="79"/>
      <c r="J153" s="79"/>
      <c r="P153" s="79"/>
      <c r="Q153" s="79"/>
      <c r="T153" s="79"/>
      <c r="U153" s="79"/>
      <c r="X153" s="130"/>
      <c r="Z153" s="106"/>
    </row>
    <row r="154">
      <c r="C154" s="79"/>
      <c r="D154" s="79"/>
      <c r="J154" s="79"/>
      <c r="P154" s="79"/>
      <c r="Q154" s="79"/>
      <c r="T154" s="79"/>
      <c r="U154" s="79"/>
      <c r="X154" s="130"/>
      <c r="Z154" s="106"/>
    </row>
    <row r="155">
      <c r="C155" s="79"/>
      <c r="D155" s="79"/>
      <c r="J155" s="79"/>
      <c r="P155" s="79"/>
      <c r="Q155" s="79"/>
      <c r="T155" s="79"/>
      <c r="U155" s="79"/>
      <c r="X155" s="130"/>
      <c r="Z155" s="106"/>
    </row>
    <row r="156">
      <c r="C156" s="79"/>
      <c r="D156" s="79"/>
      <c r="J156" s="79"/>
      <c r="P156" s="79"/>
      <c r="Q156" s="79"/>
      <c r="T156" s="79"/>
      <c r="U156" s="79"/>
      <c r="X156" s="130"/>
      <c r="Z156" s="106"/>
    </row>
    <row r="157">
      <c r="C157" s="79"/>
      <c r="D157" s="79"/>
      <c r="J157" s="79"/>
      <c r="P157" s="79"/>
      <c r="Q157" s="79"/>
      <c r="T157" s="79"/>
      <c r="U157" s="79"/>
      <c r="X157" s="130"/>
      <c r="Z157" s="106"/>
    </row>
    <row r="158">
      <c r="C158" s="79"/>
      <c r="D158" s="79"/>
      <c r="J158" s="79"/>
      <c r="P158" s="79"/>
      <c r="Q158" s="79"/>
      <c r="T158" s="79"/>
      <c r="U158" s="79"/>
      <c r="X158" s="130"/>
      <c r="Z158" s="106"/>
    </row>
    <row r="159">
      <c r="C159" s="79"/>
      <c r="D159" s="79"/>
      <c r="J159" s="79"/>
      <c r="P159" s="79"/>
      <c r="Q159" s="79"/>
      <c r="T159" s="79"/>
      <c r="U159" s="79"/>
      <c r="X159" s="130"/>
      <c r="Z159" s="106"/>
    </row>
    <row r="160">
      <c r="C160" s="79"/>
      <c r="D160" s="79"/>
      <c r="J160" s="79"/>
      <c r="P160" s="79"/>
      <c r="Q160" s="79"/>
      <c r="T160" s="79"/>
      <c r="U160" s="79"/>
      <c r="X160" s="130"/>
      <c r="Z160" s="106"/>
    </row>
    <row r="161">
      <c r="C161" s="79"/>
      <c r="D161" s="79"/>
      <c r="J161" s="79"/>
      <c r="P161" s="79"/>
      <c r="Q161" s="79"/>
      <c r="T161" s="79"/>
      <c r="U161" s="79"/>
      <c r="X161" s="130"/>
      <c r="Z161" s="106"/>
    </row>
    <row r="162">
      <c r="C162" s="79"/>
      <c r="D162" s="79"/>
      <c r="J162" s="79"/>
      <c r="P162" s="79"/>
      <c r="Q162" s="79"/>
      <c r="T162" s="79"/>
      <c r="U162" s="79"/>
      <c r="X162" s="130"/>
      <c r="Z162" s="106"/>
    </row>
    <row r="163">
      <c r="C163" s="79"/>
      <c r="D163" s="79"/>
      <c r="J163" s="79"/>
      <c r="P163" s="79"/>
      <c r="Q163" s="79"/>
      <c r="T163" s="79"/>
      <c r="U163" s="79"/>
      <c r="X163" s="130"/>
      <c r="Z163" s="106"/>
    </row>
    <row r="164">
      <c r="C164" s="79"/>
      <c r="D164" s="79"/>
      <c r="J164" s="79"/>
      <c r="P164" s="79"/>
      <c r="Q164" s="79"/>
      <c r="T164" s="79"/>
      <c r="U164" s="79"/>
      <c r="X164" s="130"/>
      <c r="Z164" s="106"/>
    </row>
    <row r="165">
      <c r="C165" s="79"/>
      <c r="D165" s="79"/>
      <c r="J165" s="79"/>
      <c r="P165" s="79"/>
      <c r="Q165" s="79"/>
      <c r="T165" s="79"/>
      <c r="U165" s="79"/>
      <c r="X165" s="130"/>
      <c r="Z165" s="106"/>
    </row>
    <row r="166">
      <c r="C166" s="79"/>
      <c r="D166" s="79"/>
      <c r="J166" s="79"/>
      <c r="P166" s="79"/>
      <c r="Q166" s="79"/>
      <c r="T166" s="79"/>
      <c r="U166" s="79"/>
      <c r="X166" s="130"/>
      <c r="Z166" s="106"/>
    </row>
    <row r="167">
      <c r="C167" s="79"/>
      <c r="D167" s="79"/>
      <c r="J167" s="79"/>
      <c r="P167" s="79"/>
      <c r="Q167" s="79"/>
      <c r="T167" s="79"/>
      <c r="U167" s="79"/>
      <c r="X167" s="130"/>
      <c r="Z167" s="106"/>
    </row>
    <row r="168">
      <c r="C168" s="79"/>
      <c r="D168" s="79"/>
      <c r="J168" s="79"/>
      <c r="P168" s="79"/>
      <c r="Q168" s="79"/>
      <c r="T168" s="79"/>
      <c r="U168" s="79"/>
      <c r="X168" s="130"/>
      <c r="Z168" s="106"/>
    </row>
    <row r="169">
      <c r="C169" s="79"/>
      <c r="D169" s="79"/>
      <c r="J169" s="79"/>
      <c r="P169" s="79"/>
      <c r="Q169" s="79"/>
      <c r="T169" s="79"/>
      <c r="U169" s="79"/>
      <c r="X169" s="130"/>
      <c r="Z169" s="106"/>
    </row>
    <row r="170">
      <c r="C170" s="79"/>
      <c r="D170" s="79"/>
      <c r="J170" s="79"/>
      <c r="P170" s="79"/>
      <c r="Q170" s="79"/>
      <c r="T170" s="79"/>
      <c r="U170" s="79"/>
      <c r="X170" s="130"/>
      <c r="Z170" s="106"/>
    </row>
    <row r="171">
      <c r="C171" s="79"/>
      <c r="D171" s="79"/>
      <c r="J171" s="79"/>
      <c r="P171" s="79"/>
      <c r="Q171" s="79"/>
      <c r="T171" s="79"/>
      <c r="U171" s="79"/>
      <c r="X171" s="130"/>
      <c r="Z171" s="106"/>
    </row>
    <row r="172">
      <c r="C172" s="79"/>
      <c r="D172" s="79"/>
      <c r="J172" s="79"/>
      <c r="P172" s="79"/>
      <c r="Q172" s="79"/>
      <c r="T172" s="79"/>
      <c r="U172" s="79"/>
      <c r="X172" s="130"/>
      <c r="Z172" s="106"/>
    </row>
    <row r="173">
      <c r="C173" s="79"/>
      <c r="D173" s="79"/>
      <c r="J173" s="79"/>
      <c r="P173" s="79"/>
      <c r="Q173" s="79"/>
      <c r="T173" s="79"/>
      <c r="U173" s="79"/>
      <c r="X173" s="130"/>
      <c r="Z173" s="106"/>
    </row>
    <row r="174">
      <c r="C174" s="79"/>
      <c r="D174" s="79"/>
      <c r="J174" s="79"/>
      <c r="P174" s="79"/>
      <c r="Q174" s="79"/>
      <c r="T174" s="79"/>
      <c r="U174" s="79"/>
      <c r="X174" s="130"/>
      <c r="Z174" s="106"/>
    </row>
    <row r="175">
      <c r="C175" s="79"/>
      <c r="D175" s="79"/>
      <c r="J175" s="79"/>
      <c r="P175" s="79"/>
      <c r="Q175" s="79"/>
      <c r="T175" s="79"/>
      <c r="U175" s="79"/>
      <c r="X175" s="130"/>
      <c r="Z175" s="106"/>
    </row>
    <row r="176">
      <c r="C176" s="79"/>
      <c r="D176" s="79"/>
      <c r="J176" s="79"/>
      <c r="P176" s="79"/>
      <c r="Q176" s="79"/>
      <c r="T176" s="79"/>
      <c r="U176" s="79"/>
      <c r="X176" s="130"/>
      <c r="Z176" s="106"/>
    </row>
    <row r="177">
      <c r="C177" s="79"/>
      <c r="D177" s="79"/>
      <c r="J177" s="79"/>
      <c r="P177" s="79"/>
      <c r="Q177" s="79"/>
      <c r="T177" s="79"/>
      <c r="U177" s="79"/>
      <c r="X177" s="130"/>
      <c r="Z177" s="106"/>
    </row>
    <row r="178">
      <c r="C178" s="79"/>
      <c r="D178" s="79"/>
      <c r="J178" s="79"/>
      <c r="P178" s="79"/>
      <c r="Q178" s="79"/>
      <c r="T178" s="79"/>
      <c r="U178" s="79"/>
      <c r="X178" s="130"/>
      <c r="Z178" s="106"/>
    </row>
    <row r="179">
      <c r="C179" s="79"/>
      <c r="D179" s="79"/>
      <c r="J179" s="79"/>
      <c r="P179" s="79"/>
      <c r="Q179" s="79"/>
      <c r="T179" s="79"/>
      <c r="U179" s="79"/>
      <c r="X179" s="130"/>
      <c r="Z179" s="106"/>
    </row>
    <row r="180">
      <c r="C180" s="79"/>
      <c r="D180" s="79"/>
      <c r="J180" s="79"/>
      <c r="P180" s="79"/>
      <c r="Q180" s="79"/>
      <c r="T180" s="79"/>
      <c r="U180" s="79"/>
      <c r="X180" s="130"/>
      <c r="Z180" s="106"/>
    </row>
    <row r="181">
      <c r="C181" s="79"/>
      <c r="D181" s="79"/>
      <c r="J181" s="79"/>
      <c r="P181" s="79"/>
      <c r="Q181" s="79"/>
      <c r="T181" s="79"/>
      <c r="U181" s="79"/>
      <c r="X181" s="130"/>
      <c r="Z181" s="106"/>
    </row>
    <row r="182">
      <c r="C182" s="79"/>
      <c r="D182" s="79"/>
      <c r="J182" s="79"/>
      <c r="P182" s="79"/>
      <c r="Q182" s="79"/>
      <c r="T182" s="79"/>
      <c r="U182" s="79"/>
      <c r="X182" s="130"/>
      <c r="Z182" s="106"/>
    </row>
    <row r="183">
      <c r="C183" s="79"/>
      <c r="D183" s="79"/>
      <c r="J183" s="79"/>
      <c r="P183" s="79"/>
      <c r="Q183" s="79"/>
      <c r="T183" s="79"/>
      <c r="U183" s="79"/>
      <c r="X183" s="130"/>
      <c r="Z183" s="106"/>
    </row>
    <row r="184">
      <c r="C184" s="79"/>
      <c r="D184" s="79"/>
      <c r="J184" s="79"/>
      <c r="P184" s="79"/>
      <c r="Q184" s="79"/>
      <c r="T184" s="79"/>
      <c r="U184" s="79"/>
      <c r="X184" s="130"/>
      <c r="Z184" s="106"/>
    </row>
    <row r="185">
      <c r="C185" s="79"/>
      <c r="D185" s="79"/>
      <c r="J185" s="79"/>
      <c r="P185" s="79"/>
      <c r="Q185" s="79"/>
      <c r="T185" s="79"/>
      <c r="U185" s="79"/>
      <c r="X185" s="130"/>
      <c r="Z185" s="106"/>
    </row>
    <row r="186">
      <c r="C186" s="79"/>
      <c r="D186" s="79"/>
      <c r="J186" s="79"/>
      <c r="P186" s="79"/>
      <c r="Q186" s="79"/>
      <c r="T186" s="79"/>
      <c r="U186" s="79"/>
      <c r="X186" s="130"/>
      <c r="Z186" s="106"/>
    </row>
    <row r="187">
      <c r="C187" s="79"/>
      <c r="D187" s="79"/>
      <c r="J187" s="79"/>
      <c r="P187" s="79"/>
      <c r="Q187" s="79"/>
      <c r="T187" s="79"/>
      <c r="U187" s="79"/>
      <c r="X187" s="130"/>
      <c r="Z187" s="106"/>
    </row>
    <row r="188">
      <c r="C188" s="79"/>
      <c r="D188" s="79"/>
      <c r="J188" s="79"/>
      <c r="P188" s="79"/>
      <c r="Q188" s="79"/>
      <c r="T188" s="79"/>
      <c r="U188" s="79"/>
      <c r="X188" s="130"/>
      <c r="Z188" s="106"/>
    </row>
    <row r="189">
      <c r="C189" s="79"/>
      <c r="D189" s="79"/>
      <c r="J189" s="79"/>
      <c r="P189" s="79"/>
      <c r="Q189" s="79"/>
      <c r="T189" s="79"/>
      <c r="U189" s="79"/>
      <c r="X189" s="130"/>
      <c r="Z189" s="106"/>
    </row>
    <row r="190">
      <c r="C190" s="79"/>
      <c r="D190" s="79"/>
      <c r="J190" s="79"/>
      <c r="P190" s="79"/>
      <c r="Q190" s="79"/>
      <c r="T190" s="79"/>
      <c r="U190" s="79"/>
      <c r="X190" s="130"/>
      <c r="Z190" s="106"/>
    </row>
    <row r="191">
      <c r="C191" s="79"/>
      <c r="D191" s="79"/>
      <c r="J191" s="79"/>
      <c r="P191" s="79"/>
      <c r="Q191" s="79"/>
      <c r="T191" s="79"/>
      <c r="U191" s="79"/>
      <c r="X191" s="130"/>
      <c r="Z191" s="106"/>
    </row>
    <row r="192">
      <c r="C192" s="79"/>
      <c r="D192" s="79"/>
      <c r="J192" s="79"/>
      <c r="P192" s="79"/>
      <c r="Q192" s="79"/>
      <c r="T192" s="79"/>
      <c r="U192" s="79"/>
      <c r="X192" s="130"/>
      <c r="Z192" s="106"/>
    </row>
    <row r="193">
      <c r="C193" s="79"/>
      <c r="D193" s="79"/>
      <c r="J193" s="79"/>
      <c r="P193" s="79"/>
      <c r="Q193" s="79"/>
      <c r="T193" s="79"/>
      <c r="U193" s="79"/>
      <c r="X193" s="130"/>
      <c r="Z193" s="106"/>
    </row>
    <row r="194">
      <c r="C194" s="79"/>
      <c r="D194" s="79"/>
      <c r="J194" s="79"/>
      <c r="P194" s="79"/>
      <c r="Q194" s="79"/>
      <c r="T194" s="79"/>
      <c r="U194" s="79"/>
      <c r="X194" s="130"/>
      <c r="Z194" s="106"/>
    </row>
    <row r="195">
      <c r="C195" s="79"/>
      <c r="D195" s="79"/>
      <c r="J195" s="79"/>
      <c r="P195" s="79"/>
      <c r="Q195" s="79"/>
      <c r="T195" s="79"/>
      <c r="U195" s="79"/>
      <c r="X195" s="130"/>
      <c r="Z195" s="106"/>
    </row>
    <row r="196">
      <c r="C196" s="79"/>
      <c r="D196" s="79"/>
      <c r="J196" s="79"/>
      <c r="P196" s="79"/>
      <c r="Q196" s="79"/>
      <c r="T196" s="79"/>
      <c r="U196" s="79"/>
      <c r="X196" s="130"/>
      <c r="Z196" s="106"/>
    </row>
    <row r="197">
      <c r="C197" s="79"/>
      <c r="D197" s="79"/>
      <c r="J197" s="79"/>
      <c r="P197" s="79"/>
      <c r="Q197" s="79"/>
      <c r="T197" s="79"/>
      <c r="U197" s="79"/>
      <c r="X197" s="130"/>
      <c r="Z197" s="106"/>
    </row>
    <row r="198">
      <c r="C198" s="79"/>
      <c r="D198" s="79"/>
      <c r="J198" s="79"/>
      <c r="P198" s="79"/>
      <c r="Q198" s="79"/>
      <c r="T198" s="79"/>
      <c r="U198" s="79"/>
      <c r="X198" s="130"/>
      <c r="Z198" s="106"/>
    </row>
    <row r="199">
      <c r="C199" s="79"/>
      <c r="D199" s="79"/>
      <c r="J199" s="79"/>
      <c r="P199" s="79"/>
      <c r="Q199" s="79"/>
      <c r="T199" s="79"/>
      <c r="U199" s="79"/>
      <c r="X199" s="130"/>
      <c r="Z199" s="106"/>
    </row>
    <row r="200">
      <c r="C200" s="79"/>
      <c r="D200" s="79"/>
      <c r="J200" s="79"/>
      <c r="P200" s="79"/>
      <c r="Q200" s="79"/>
      <c r="T200" s="79"/>
      <c r="U200" s="79"/>
      <c r="X200" s="130"/>
      <c r="Z200" s="106"/>
    </row>
    <row r="201">
      <c r="C201" s="79"/>
      <c r="D201" s="79"/>
      <c r="J201" s="79"/>
      <c r="P201" s="79"/>
      <c r="Q201" s="79"/>
      <c r="T201" s="79"/>
      <c r="U201" s="79"/>
      <c r="X201" s="130"/>
      <c r="Z201" s="106"/>
    </row>
    <row r="202">
      <c r="C202" s="79"/>
      <c r="D202" s="79"/>
      <c r="J202" s="79"/>
      <c r="P202" s="79"/>
      <c r="Q202" s="79"/>
      <c r="T202" s="79"/>
      <c r="U202" s="79"/>
      <c r="X202" s="130"/>
      <c r="Z202" s="106"/>
    </row>
    <row r="203">
      <c r="C203" s="79"/>
      <c r="D203" s="79"/>
      <c r="J203" s="79"/>
      <c r="P203" s="79"/>
      <c r="Q203" s="79"/>
      <c r="T203" s="79"/>
      <c r="U203" s="79"/>
      <c r="X203" s="130"/>
      <c r="Z203" s="106"/>
    </row>
    <row r="204">
      <c r="C204" s="79"/>
      <c r="D204" s="79"/>
      <c r="J204" s="79"/>
      <c r="P204" s="79"/>
      <c r="Q204" s="79"/>
      <c r="T204" s="79"/>
      <c r="U204" s="79"/>
      <c r="X204" s="130"/>
      <c r="Z204" s="106"/>
    </row>
    <row r="205">
      <c r="C205" s="79"/>
      <c r="D205" s="79"/>
      <c r="J205" s="79"/>
      <c r="P205" s="79"/>
      <c r="Q205" s="79"/>
      <c r="T205" s="79"/>
      <c r="U205" s="79"/>
      <c r="X205" s="130"/>
      <c r="Z205" s="106"/>
    </row>
    <row r="206">
      <c r="C206" s="79"/>
      <c r="D206" s="79"/>
      <c r="J206" s="79"/>
      <c r="P206" s="79"/>
      <c r="Q206" s="79"/>
      <c r="T206" s="79"/>
      <c r="U206" s="79"/>
      <c r="X206" s="130"/>
      <c r="Z206" s="106"/>
    </row>
    <row r="207">
      <c r="C207" s="79"/>
      <c r="D207" s="79"/>
      <c r="J207" s="79"/>
      <c r="P207" s="79"/>
      <c r="Q207" s="79"/>
      <c r="T207" s="79"/>
      <c r="U207" s="79"/>
      <c r="X207" s="130"/>
      <c r="Z207" s="106"/>
    </row>
    <row r="208">
      <c r="C208" s="79"/>
      <c r="D208" s="79"/>
      <c r="J208" s="79"/>
      <c r="P208" s="79"/>
      <c r="Q208" s="79"/>
      <c r="T208" s="79"/>
      <c r="U208" s="79"/>
      <c r="X208" s="130"/>
      <c r="Z208" s="106"/>
    </row>
    <row r="209">
      <c r="C209" s="79"/>
      <c r="D209" s="79"/>
      <c r="J209" s="79"/>
      <c r="P209" s="79"/>
      <c r="Q209" s="79"/>
      <c r="T209" s="79"/>
      <c r="U209" s="79"/>
      <c r="X209" s="130"/>
      <c r="Z209" s="106"/>
    </row>
    <row r="210">
      <c r="C210" s="79"/>
      <c r="D210" s="79"/>
      <c r="J210" s="79"/>
      <c r="P210" s="79"/>
      <c r="Q210" s="79"/>
      <c r="T210" s="79"/>
      <c r="U210" s="79"/>
      <c r="X210" s="130"/>
      <c r="Z210" s="106"/>
    </row>
    <row r="211">
      <c r="C211" s="79"/>
      <c r="D211" s="79"/>
      <c r="J211" s="79"/>
      <c r="P211" s="79"/>
      <c r="Q211" s="79"/>
      <c r="T211" s="79"/>
      <c r="U211" s="79"/>
      <c r="X211" s="130"/>
      <c r="Z211" s="106"/>
    </row>
    <row r="212">
      <c r="C212" s="79"/>
      <c r="D212" s="79"/>
      <c r="J212" s="79"/>
      <c r="P212" s="79"/>
      <c r="Q212" s="79"/>
      <c r="T212" s="79"/>
      <c r="U212" s="79"/>
      <c r="X212" s="130"/>
      <c r="Z212" s="106"/>
    </row>
    <row r="213">
      <c r="C213" s="79"/>
      <c r="D213" s="79"/>
      <c r="J213" s="79"/>
      <c r="P213" s="79"/>
      <c r="Q213" s="79"/>
      <c r="T213" s="79"/>
      <c r="U213" s="79"/>
      <c r="X213" s="130"/>
      <c r="Z213" s="106"/>
    </row>
    <row r="214">
      <c r="C214" s="79"/>
      <c r="D214" s="79"/>
      <c r="J214" s="79"/>
      <c r="P214" s="79"/>
      <c r="Q214" s="79"/>
      <c r="T214" s="79"/>
      <c r="U214" s="79"/>
      <c r="X214" s="130"/>
      <c r="Z214" s="106"/>
    </row>
    <row r="215">
      <c r="C215" s="79"/>
      <c r="D215" s="79"/>
      <c r="J215" s="79"/>
      <c r="P215" s="79"/>
      <c r="Q215" s="79"/>
      <c r="T215" s="79"/>
      <c r="U215" s="79"/>
      <c r="X215" s="130"/>
      <c r="Z215" s="106"/>
    </row>
    <row r="216">
      <c r="C216" s="79"/>
      <c r="D216" s="79"/>
      <c r="J216" s="79"/>
      <c r="P216" s="79"/>
      <c r="Q216" s="79"/>
      <c r="T216" s="79"/>
      <c r="U216" s="79"/>
      <c r="X216" s="130"/>
      <c r="Z216" s="106"/>
    </row>
    <row r="217">
      <c r="C217" s="79"/>
      <c r="D217" s="79"/>
      <c r="J217" s="79"/>
      <c r="P217" s="79"/>
      <c r="Q217" s="79"/>
      <c r="T217" s="79"/>
      <c r="U217" s="79"/>
      <c r="X217" s="130"/>
      <c r="Z217" s="106"/>
    </row>
    <row r="218">
      <c r="C218" s="79"/>
      <c r="D218" s="79"/>
      <c r="J218" s="79"/>
      <c r="P218" s="79"/>
      <c r="Q218" s="79"/>
      <c r="T218" s="79"/>
      <c r="U218" s="79"/>
      <c r="X218" s="130"/>
      <c r="Z218" s="106"/>
    </row>
    <row r="219">
      <c r="C219" s="79"/>
      <c r="D219" s="79"/>
      <c r="J219" s="79"/>
      <c r="P219" s="79"/>
      <c r="Q219" s="79"/>
      <c r="T219" s="79"/>
      <c r="U219" s="79"/>
      <c r="X219" s="130"/>
      <c r="Z219" s="106"/>
    </row>
    <row r="220">
      <c r="C220" s="79"/>
      <c r="D220" s="79"/>
      <c r="J220" s="79"/>
      <c r="P220" s="79"/>
      <c r="Q220" s="79"/>
      <c r="T220" s="79"/>
      <c r="U220" s="79"/>
      <c r="X220" s="130"/>
      <c r="Z220" s="106"/>
    </row>
    <row r="221">
      <c r="C221" s="79"/>
      <c r="D221" s="79"/>
      <c r="J221" s="79"/>
      <c r="P221" s="79"/>
      <c r="Q221" s="79"/>
      <c r="T221" s="79"/>
      <c r="U221" s="79"/>
      <c r="X221" s="130"/>
      <c r="Z221" s="106"/>
    </row>
    <row r="222">
      <c r="C222" s="79"/>
      <c r="D222" s="79"/>
      <c r="J222" s="79"/>
      <c r="P222" s="79"/>
      <c r="Q222" s="79"/>
      <c r="T222" s="79"/>
      <c r="U222" s="79"/>
      <c r="X222" s="130"/>
      <c r="Z222" s="106"/>
    </row>
    <row r="223">
      <c r="C223" s="79"/>
      <c r="D223" s="79"/>
      <c r="J223" s="79"/>
      <c r="P223" s="79"/>
      <c r="Q223" s="79"/>
      <c r="T223" s="79"/>
      <c r="U223" s="79"/>
      <c r="X223" s="130"/>
      <c r="Z223" s="106"/>
    </row>
    <row r="224">
      <c r="C224" s="79"/>
      <c r="D224" s="79"/>
      <c r="J224" s="79"/>
      <c r="P224" s="79"/>
      <c r="Q224" s="79"/>
      <c r="T224" s="79"/>
      <c r="U224" s="79"/>
      <c r="X224" s="130"/>
      <c r="Z224" s="106"/>
    </row>
    <row r="225">
      <c r="C225" s="79"/>
      <c r="D225" s="79"/>
      <c r="J225" s="79"/>
      <c r="P225" s="79"/>
      <c r="Q225" s="79"/>
      <c r="T225" s="79"/>
      <c r="U225" s="79"/>
      <c r="X225" s="130"/>
      <c r="Z225" s="106"/>
    </row>
    <row r="226">
      <c r="C226" s="79"/>
      <c r="D226" s="79"/>
      <c r="J226" s="79"/>
      <c r="P226" s="79"/>
      <c r="Q226" s="79"/>
      <c r="T226" s="79"/>
      <c r="U226" s="79"/>
      <c r="X226" s="130"/>
      <c r="Z226" s="106"/>
    </row>
    <row r="227">
      <c r="C227" s="79"/>
      <c r="D227" s="79"/>
      <c r="J227" s="79"/>
      <c r="P227" s="79"/>
      <c r="Q227" s="79"/>
      <c r="T227" s="79"/>
      <c r="U227" s="79"/>
      <c r="X227" s="130"/>
      <c r="Z227" s="106"/>
    </row>
    <row r="228">
      <c r="C228" s="79"/>
      <c r="D228" s="79"/>
      <c r="J228" s="79"/>
      <c r="P228" s="79"/>
      <c r="Q228" s="79"/>
      <c r="T228" s="79"/>
      <c r="U228" s="79"/>
      <c r="X228" s="130"/>
      <c r="Z228" s="106"/>
    </row>
    <row r="229">
      <c r="C229" s="79"/>
      <c r="D229" s="79"/>
      <c r="J229" s="79"/>
      <c r="P229" s="79"/>
      <c r="Q229" s="79"/>
      <c r="T229" s="79"/>
      <c r="U229" s="79"/>
      <c r="X229" s="130"/>
      <c r="Z229" s="106"/>
    </row>
    <row r="230">
      <c r="C230" s="79"/>
      <c r="D230" s="79"/>
      <c r="J230" s="79"/>
      <c r="P230" s="79"/>
      <c r="Q230" s="79"/>
      <c r="T230" s="79"/>
      <c r="U230" s="79"/>
      <c r="X230" s="130"/>
      <c r="Z230" s="106"/>
    </row>
    <row r="231">
      <c r="C231" s="79"/>
      <c r="D231" s="79"/>
      <c r="J231" s="79"/>
      <c r="P231" s="79"/>
      <c r="Q231" s="79"/>
      <c r="T231" s="79"/>
      <c r="U231" s="79"/>
      <c r="X231" s="130"/>
      <c r="Z231" s="106"/>
    </row>
    <row r="232">
      <c r="C232" s="79"/>
      <c r="D232" s="79"/>
      <c r="J232" s="79"/>
      <c r="P232" s="79"/>
      <c r="Q232" s="79"/>
      <c r="T232" s="79"/>
      <c r="U232" s="79"/>
      <c r="X232" s="130"/>
      <c r="Z232" s="106"/>
    </row>
    <row r="233">
      <c r="C233" s="79"/>
      <c r="D233" s="79"/>
      <c r="J233" s="79"/>
      <c r="P233" s="79"/>
      <c r="Q233" s="79"/>
      <c r="T233" s="79"/>
      <c r="U233" s="79"/>
      <c r="X233" s="130"/>
      <c r="Z233" s="106"/>
    </row>
    <row r="234">
      <c r="C234" s="79"/>
      <c r="D234" s="79"/>
      <c r="J234" s="79"/>
      <c r="P234" s="79"/>
      <c r="Q234" s="79"/>
      <c r="T234" s="79"/>
      <c r="U234" s="79"/>
      <c r="X234" s="130"/>
      <c r="Z234" s="106"/>
    </row>
    <row r="235">
      <c r="C235" s="79"/>
      <c r="D235" s="79"/>
      <c r="J235" s="79"/>
      <c r="P235" s="79"/>
      <c r="Q235" s="79"/>
      <c r="T235" s="79"/>
      <c r="U235" s="79"/>
      <c r="X235" s="130"/>
      <c r="Z235" s="106"/>
    </row>
    <row r="236">
      <c r="C236" s="79"/>
      <c r="D236" s="79"/>
      <c r="J236" s="79"/>
      <c r="P236" s="79"/>
      <c r="Q236" s="79"/>
      <c r="T236" s="79"/>
      <c r="U236" s="79"/>
      <c r="X236" s="130"/>
      <c r="Z236" s="106"/>
    </row>
    <row r="237">
      <c r="C237" s="79"/>
      <c r="D237" s="79"/>
      <c r="J237" s="79"/>
      <c r="P237" s="79"/>
      <c r="Q237" s="79"/>
      <c r="T237" s="79"/>
      <c r="U237" s="79"/>
      <c r="X237" s="130"/>
      <c r="Z237" s="106"/>
    </row>
    <row r="238">
      <c r="C238" s="79"/>
      <c r="D238" s="79"/>
      <c r="J238" s="79"/>
      <c r="P238" s="79"/>
      <c r="Q238" s="79"/>
      <c r="T238" s="79"/>
      <c r="U238" s="79"/>
      <c r="X238" s="130"/>
      <c r="Z238" s="106"/>
    </row>
    <row r="239">
      <c r="C239" s="79"/>
      <c r="D239" s="79"/>
      <c r="J239" s="79"/>
      <c r="P239" s="79"/>
      <c r="Q239" s="79"/>
      <c r="T239" s="79"/>
      <c r="U239" s="79"/>
      <c r="X239" s="130"/>
      <c r="Z239" s="106"/>
    </row>
    <row r="240">
      <c r="C240" s="79"/>
      <c r="D240" s="79"/>
      <c r="J240" s="79"/>
      <c r="P240" s="79"/>
      <c r="Q240" s="79"/>
      <c r="T240" s="79"/>
      <c r="U240" s="79"/>
      <c r="X240" s="130"/>
      <c r="Z240" s="106"/>
    </row>
    <row r="241">
      <c r="C241" s="79"/>
      <c r="D241" s="79"/>
      <c r="J241" s="79"/>
      <c r="P241" s="79"/>
      <c r="Q241" s="79"/>
      <c r="T241" s="79"/>
      <c r="U241" s="79"/>
      <c r="X241" s="130"/>
      <c r="Z241" s="106"/>
    </row>
    <row r="242">
      <c r="C242" s="79"/>
      <c r="D242" s="79"/>
      <c r="J242" s="79"/>
      <c r="P242" s="79"/>
      <c r="Q242" s="79"/>
      <c r="T242" s="79"/>
      <c r="U242" s="79"/>
      <c r="X242" s="130"/>
      <c r="Z242" s="106"/>
    </row>
    <row r="243">
      <c r="C243" s="79"/>
      <c r="D243" s="79"/>
      <c r="J243" s="79"/>
      <c r="P243" s="79"/>
      <c r="Q243" s="79"/>
      <c r="T243" s="79"/>
      <c r="U243" s="79"/>
      <c r="X243" s="130"/>
      <c r="Z243" s="106"/>
    </row>
    <row r="244">
      <c r="C244" s="79"/>
      <c r="D244" s="79"/>
      <c r="J244" s="79"/>
      <c r="P244" s="79"/>
      <c r="Q244" s="79"/>
      <c r="T244" s="79"/>
      <c r="U244" s="79"/>
      <c r="X244" s="130"/>
      <c r="Z244" s="106"/>
    </row>
    <row r="245">
      <c r="C245" s="79"/>
      <c r="D245" s="79"/>
      <c r="J245" s="79"/>
      <c r="P245" s="79"/>
      <c r="Q245" s="79"/>
      <c r="T245" s="79"/>
      <c r="U245" s="79"/>
      <c r="X245" s="130"/>
      <c r="Z245" s="106"/>
    </row>
    <row r="246">
      <c r="C246" s="79"/>
      <c r="D246" s="79"/>
      <c r="J246" s="79"/>
      <c r="P246" s="79"/>
      <c r="Q246" s="79"/>
      <c r="T246" s="79"/>
      <c r="U246" s="79"/>
      <c r="X246" s="130"/>
      <c r="Z246" s="106"/>
    </row>
    <row r="247">
      <c r="C247" s="79"/>
      <c r="D247" s="79"/>
      <c r="J247" s="79"/>
      <c r="P247" s="79"/>
      <c r="Q247" s="79"/>
      <c r="T247" s="79"/>
      <c r="U247" s="79"/>
      <c r="X247" s="130"/>
      <c r="Z247" s="106"/>
    </row>
    <row r="248">
      <c r="C248" s="79"/>
      <c r="D248" s="79"/>
      <c r="J248" s="79"/>
      <c r="P248" s="79"/>
      <c r="Q248" s="79"/>
      <c r="T248" s="79"/>
      <c r="U248" s="79"/>
      <c r="X248" s="130"/>
      <c r="Z248" s="106"/>
    </row>
    <row r="249">
      <c r="C249" s="79"/>
      <c r="D249" s="79"/>
      <c r="J249" s="79"/>
      <c r="P249" s="79"/>
      <c r="Q249" s="79"/>
      <c r="T249" s="79"/>
      <c r="U249" s="79"/>
      <c r="X249" s="130"/>
      <c r="Z249" s="106"/>
    </row>
    <row r="250">
      <c r="C250" s="79"/>
      <c r="D250" s="79"/>
      <c r="J250" s="79"/>
      <c r="P250" s="79"/>
      <c r="Q250" s="79"/>
      <c r="T250" s="79"/>
      <c r="U250" s="79"/>
      <c r="X250" s="130"/>
      <c r="Z250" s="106"/>
    </row>
    <row r="251">
      <c r="C251" s="79"/>
      <c r="D251" s="79"/>
      <c r="J251" s="79"/>
      <c r="P251" s="79"/>
      <c r="Q251" s="79"/>
      <c r="T251" s="79"/>
      <c r="U251" s="79"/>
      <c r="X251" s="130"/>
      <c r="Z251" s="106"/>
    </row>
    <row r="252">
      <c r="C252" s="79"/>
      <c r="D252" s="79"/>
      <c r="J252" s="79"/>
      <c r="P252" s="79"/>
      <c r="Q252" s="79"/>
      <c r="T252" s="79"/>
      <c r="U252" s="79"/>
      <c r="X252" s="130"/>
      <c r="Z252" s="106"/>
    </row>
    <row r="253">
      <c r="C253" s="79"/>
      <c r="D253" s="79"/>
      <c r="J253" s="79"/>
      <c r="P253" s="79"/>
      <c r="Q253" s="79"/>
      <c r="T253" s="79"/>
      <c r="U253" s="79"/>
      <c r="X253" s="130"/>
      <c r="Z253" s="106"/>
    </row>
    <row r="254">
      <c r="C254" s="79"/>
      <c r="D254" s="79"/>
      <c r="J254" s="79"/>
      <c r="P254" s="79"/>
      <c r="Q254" s="79"/>
      <c r="T254" s="79"/>
      <c r="U254" s="79"/>
      <c r="X254" s="130"/>
      <c r="Z254" s="106"/>
    </row>
    <row r="255">
      <c r="C255" s="79"/>
      <c r="D255" s="79"/>
      <c r="J255" s="79"/>
      <c r="P255" s="79"/>
      <c r="Q255" s="79"/>
      <c r="T255" s="79"/>
      <c r="U255" s="79"/>
      <c r="X255" s="130"/>
      <c r="Z255" s="106"/>
    </row>
    <row r="256">
      <c r="C256" s="79"/>
      <c r="D256" s="79"/>
      <c r="J256" s="79"/>
      <c r="P256" s="79"/>
      <c r="Q256" s="79"/>
      <c r="T256" s="79"/>
      <c r="U256" s="79"/>
      <c r="X256" s="130"/>
      <c r="Z256" s="106"/>
    </row>
    <row r="257">
      <c r="C257" s="79"/>
      <c r="D257" s="79"/>
      <c r="J257" s="79"/>
      <c r="P257" s="79"/>
      <c r="Q257" s="79"/>
      <c r="T257" s="79"/>
      <c r="U257" s="79"/>
      <c r="X257" s="130"/>
      <c r="Z257" s="106"/>
    </row>
    <row r="258">
      <c r="C258" s="79"/>
      <c r="D258" s="79"/>
      <c r="J258" s="79"/>
      <c r="P258" s="79"/>
      <c r="Q258" s="79"/>
      <c r="T258" s="79"/>
      <c r="U258" s="79"/>
      <c r="X258" s="130"/>
      <c r="Z258" s="106"/>
    </row>
    <row r="259">
      <c r="C259" s="79"/>
      <c r="D259" s="79"/>
      <c r="J259" s="79"/>
      <c r="P259" s="79"/>
      <c r="Q259" s="79"/>
      <c r="T259" s="79"/>
      <c r="U259" s="79"/>
      <c r="X259" s="130"/>
      <c r="Z259" s="106"/>
    </row>
    <row r="260">
      <c r="C260" s="79"/>
      <c r="D260" s="79"/>
      <c r="J260" s="79"/>
      <c r="P260" s="79"/>
      <c r="Q260" s="79"/>
      <c r="T260" s="79"/>
      <c r="U260" s="79"/>
      <c r="X260" s="130"/>
      <c r="Z260" s="106"/>
    </row>
    <row r="261">
      <c r="C261" s="79"/>
      <c r="D261" s="79"/>
      <c r="J261" s="79"/>
      <c r="P261" s="79"/>
      <c r="Q261" s="79"/>
      <c r="T261" s="79"/>
      <c r="U261" s="79"/>
      <c r="X261" s="130"/>
      <c r="Z261" s="106"/>
    </row>
    <row r="262">
      <c r="C262" s="79"/>
      <c r="D262" s="79"/>
      <c r="J262" s="79"/>
      <c r="P262" s="79"/>
      <c r="Q262" s="79"/>
      <c r="T262" s="79"/>
      <c r="U262" s="79"/>
      <c r="X262" s="130"/>
      <c r="Z262" s="106"/>
    </row>
    <row r="263">
      <c r="C263" s="79"/>
      <c r="D263" s="79"/>
      <c r="J263" s="79"/>
      <c r="P263" s="79"/>
      <c r="Q263" s="79"/>
      <c r="T263" s="79"/>
      <c r="U263" s="79"/>
      <c r="X263" s="130"/>
      <c r="Z263" s="106"/>
    </row>
    <row r="264">
      <c r="C264" s="79"/>
      <c r="D264" s="79"/>
      <c r="J264" s="79"/>
      <c r="P264" s="79"/>
      <c r="Q264" s="79"/>
      <c r="T264" s="79"/>
      <c r="U264" s="79"/>
      <c r="X264" s="130"/>
      <c r="Z264" s="106"/>
    </row>
    <row r="265">
      <c r="C265" s="79"/>
      <c r="D265" s="79"/>
      <c r="J265" s="79"/>
      <c r="P265" s="79"/>
      <c r="Q265" s="79"/>
      <c r="T265" s="79"/>
      <c r="U265" s="79"/>
      <c r="X265" s="130"/>
      <c r="Z265" s="106"/>
    </row>
    <row r="266">
      <c r="C266" s="79"/>
      <c r="D266" s="79"/>
      <c r="J266" s="79"/>
      <c r="P266" s="79"/>
      <c r="Q266" s="79"/>
      <c r="T266" s="79"/>
      <c r="U266" s="79"/>
      <c r="X266" s="130"/>
      <c r="Z266" s="106"/>
    </row>
    <row r="267">
      <c r="C267" s="79"/>
      <c r="D267" s="79"/>
      <c r="J267" s="79"/>
      <c r="P267" s="79"/>
      <c r="Q267" s="79"/>
      <c r="T267" s="79"/>
      <c r="U267" s="79"/>
      <c r="X267" s="130"/>
      <c r="Z267" s="106"/>
    </row>
    <row r="268">
      <c r="C268" s="79"/>
      <c r="D268" s="79"/>
      <c r="J268" s="79"/>
      <c r="P268" s="79"/>
      <c r="Q268" s="79"/>
      <c r="T268" s="79"/>
      <c r="U268" s="79"/>
      <c r="X268" s="130"/>
      <c r="Z268" s="106"/>
    </row>
    <row r="269">
      <c r="C269" s="79"/>
      <c r="D269" s="79"/>
      <c r="J269" s="79"/>
      <c r="P269" s="79"/>
      <c r="Q269" s="79"/>
      <c r="T269" s="79"/>
      <c r="U269" s="79"/>
      <c r="X269" s="130"/>
      <c r="Z269" s="106"/>
    </row>
    <row r="270">
      <c r="C270" s="79"/>
      <c r="D270" s="79"/>
      <c r="J270" s="79"/>
      <c r="P270" s="79"/>
      <c r="Q270" s="79"/>
      <c r="T270" s="79"/>
      <c r="U270" s="79"/>
      <c r="X270" s="130"/>
      <c r="Z270" s="106"/>
    </row>
    <row r="271">
      <c r="C271" s="79"/>
      <c r="D271" s="79"/>
      <c r="J271" s="79"/>
      <c r="P271" s="79"/>
      <c r="Q271" s="79"/>
      <c r="T271" s="79"/>
      <c r="U271" s="79"/>
      <c r="X271" s="130"/>
      <c r="Z271" s="106"/>
    </row>
    <row r="272">
      <c r="C272" s="79"/>
      <c r="D272" s="79"/>
      <c r="J272" s="79"/>
      <c r="P272" s="79"/>
      <c r="Q272" s="79"/>
      <c r="T272" s="79"/>
      <c r="U272" s="79"/>
      <c r="X272" s="130"/>
      <c r="Z272" s="106"/>
    </row>
    <row r="273">
      <c r="C273" s="79"/>
      <c r="D273" s="79"/>
      <c r="J273" s="79"/>
      <c r="P273" s="79"/>
      <c r="Q273" s="79"/>
      <c r="T273" s="79"/>
      <c r="U273" s="79"/>
      <c r="X273" s="130"/>
      <c r="Z273" s="106"/>
    </row>
    <row r="274">
      <c r="C274" s="79"/>
      <c r="D274" s="79"/>
      <c r="J274" s="79"/>
      <c r="P274" s="79"/>
      <c r="Q274" s="79"/>
      <c r="T274" s="79"/>
      <c r="U274" s="79"/>
      <c r="X274" s="130"/>
      <c r="Z274" s="106"/>
    </row>
    <row r="275">
      <c r="C275" s="79"/>
      <c r="D275" s="79"/>
      <c r="J275" s="79"/>
      <c r="P275" s="79"/>
      <c r="Q275" s="79"/>
      <c r="T275" s="79"/>
      <c r="U275" s="79"/>
      <c r="X275" s="130"/>
      <c r="Z275" s="106"/>
    </row>
    <row r="276">
      <c r="C276" s="79"/>
      <c r="D276" s="79"/>
      <c r="J276" s="79"/>
      <c r="P276" s="79"/>
      <c r="Q276" s="79"/>
      <c r="T276" s="79"/>
      <c r="U276" s="79"/>
      <c r="X276" s="130"/>
      <c r="Z276" s="106"/>
    </row>
    <row r="277">
      <c r="C277" s="79"/>
      <c r="D277" s="79"/>
      <c r="J277" s="79"/>
      <c r="P277" s="79"/>
      <c r="Q277" s="79"/>
      <c r="T277" s="79"/>
      <c r="U277" s="79"/>
      <c r="X277" s="130"/>
      <c r="Z277" s="106"/>
    </row>
    <row r="278">
      <c r="C278" s="79"/>
      <c r="D278" s="79"/>
      <c r="J278" s="79"/>
      <c r="P278" s="79"/>
      <c r="Q278" s="79"/>
      <c r="T278" s="79"/>
      <c r="U278" s="79"/>
      <c r="X278" s="130"/>
      <c r="Z278" s="106"/>
    </row>
    <row r="279">
      <c r="C279" s="79"/>
      <c r="D279" s="79"/>
      <c r="J279" s="79"/>
      <c r="P279" s="79"/>
      <c r="Q279" s="79"/>
      <c r="T279" s="79"/>
      <c r="U279" s="79"/>
      <c r="X279" s="130"/>
      <c r="Z279" s="106"/>
    </row>
    <row r="280">
      <c r="C280" s="79"/>
      <c r="D280" s="79"/>
      <c r="J280" s="79"/>
      <c r="P280" s="79"/>
      <c r="Q280" s="79"/>
      <c r="T280" s="79"/>
      <c r="U280" s="79"/>
      <c r="X280" s="130"/>
      <c r="Z280" s="106"/>
    </row>
    <row r="281">
      <c r="C281" s="79"/>
      <c r="D281" s="79"/>
      <c r="J281" s="79"/>
      <c r="P281" s="79"/>
      <c r="Q281" s="79"/>
      <c r="T281" s="79"/>
      <c r="U281" s="79"/>
      <c r="X281" s="130"/>
      <c r="Z281" s="106"/>
    </row>
    <row r="282">
      <c r="C282" s="79"/>
      <c r="D282" s="79"/>
      <c r="J282" s="79"/>
      <c r="P282" s="79"/>
      <c r="Q282" s="79"/>
      <c r="T282" s="79"/>
      <c r="U282" s="79"/>
      <c r="X282" s="130"/>
      <c r="Z282" s="106"/>
    </row>
    <row r="283">
      <c r="C283" s="79"/>
      <c r="D283" s="79"/>
      <c r="J283" s="79"/>
      <c r="P283" s="79"/>
      <c r="Q283" s="79"/>
      <c r="T283" s="79"/>
      <c r="U283" s="79"/>
      <c r="X283" s="130"/>
      <c r="Z283" s="106"/>
    </row>
    <row r="284">
      <c r="C284" s="79"/>
      <c r="D284" s="79"/>
      <c r="J284" s="79"/>
      <c r="P284" s="79"/>
      <c r="Q284" s="79"/>
      <c r="T284" s="79"/>
      <c r="U284" s="79"/>
      <c r="X284" s="130"/>
      <c r="Z284" s="106"/>
    </row>
    <row r="285">
      <c r="C285" s="79"/>
      <c r="D285" s="79"/>
      <c r="J285" s="79"/>
      <c r="P285" s="79"/>
      <c r="Q285" s="79"/>
      <c r="T285" s="79"/>
      <c r="U285" s="79"/>
      <c r="X285" s="130"/>
      <c r="Z285" s="106"/>
    </row>
    <row r="286">
      <c r="C286" s="79"/>
      <c r="D286" s="79"/>
      <c r="J286" s="79"/>
      <c r="P286" s="79"/>
      <c r="Q286" s="79"/>
      <c r="T286" s="79"/>
      <c r="U286" s="79"/>
      <c r="X286" s="130"/>
      <c r="Z286" s="106"/>
    </row>
    <row r="287">
      <c r="C287" s="79"/>
      <c r="D287" s="79"/>
      <c r="J287" s="79"/>
      <c r="P287" s="79"/>
      <c r="Q287" s="79"/>
      <c r="T287" s="79"/>
      <c r="U287" s="79"/>
      <c r="X287" s="130"/>
      <c r="Z287" s="106"/>
    </row>
    <row r="288">
      <c r="C288" s="79"/>
      <c r="D288" s="79"/>
      <c r="J288" s="79"/>
      <c r="P288" s="79"/>
      <c r="Q288" s="79"/>
      <c r="T288" s="79"/>
      <c r="U288" s="79"/>
      <c r="X288" s="130"/>
      <c r="Z288" s="106"/>
    </row>
    <row r="289">
      <c r="C289" s="79"/>
      <c r="D289" s="79"/>
      <c r="J289" s="79"/>
      <c r="P289" s="79"/>
      <c r="Q289" s="79"/>
      <c r="T289" s="79"/>
      <c r="U289" s="79"/>
      <c r="X289" s="130"/>
      <c r="Z289" s="106"/>
    </row>
    <row r="290">
      <c r="C290" s="79"/>
      <c r="D290" s="79"/>
      <c r="J290" s="79"/>
      <c r="P290" s="79"/>
      <c r="Q290" s="79"/>
      <c r="T290" s="79"/>
      <c r="U290" s="79"/>
      <c r="X290" s="130"/>
      <c r="Z290" s="106"/>
    </row>
    <row r="291">
      <c r="C291" s="79"/>
      <c r="D291" s="79"/>
      <c r="J291" s="79"/>
      <c r="P291" s="79"/>
      <c r="Q291" s="79"/>
      <c r="T291" s="79"/>
      <c r="U291" s="79"/>
      <c r="X291" s="130"/>
      <c r="Z291" s="106"/>
    </row>
    <row r="292">
      <c r="C292" s="79"/>
      <c r="D292" s="79"/>
      <c r="J292" s="79"/>
      <c r="P292" s="79"/>
      <c r="Q292" s="79"/>
      <c r="T292" s="79"/>
      <c r="U292" s="79"/>
      <c r="X292" s="130"/>
      <c r="Z292" s="106"/>
    </row>
    <row r="293">
      <c r="C293" s="79"/>
      <c r="D293" s="79"/>
      <c r="J293" s="79"/>
      <c r="P293" s="79"/>
      <c r="Q293" s="79"/>
      <c r="T293" s="79"/>
      <c r="U293" s="79"/>
      <c r="X293" s="130"/>
      <c r="Z293" s="106"/>
    </row>
    <row r="294">
      <c r="C294" s="79"/>
      <c r="D294" s="79"/>
      <c r="J294" s="79"/>
      <c r="P294" s="79"/>
      <c r="Q294" s="79"/>
      <c r="T294" s="79"/>
      <c r="U294" s="79"/>
      <c r="X294" s="130"/>
      <c r="Z294" s="106"/>
    </row>
    <row r="295">
      <c r="C295" s="79"/>
      <c r="D295" s="79"/>
      <c r="J295" s="79"/>
      <c r="P295" s="79"/>
      <c r="Q295" s="79"/>
      <c r="T295" s="79"/>
      <c r="U295" s="79"/>
      <c r="X295" s="130"/>
      <c r="Z295" s="106"/>
    </row>
    <row r="296">
      <c r="C296" s="79"/>
      <c r="D296" s="79"/>
      <c r="J296" s="79"/>
      <c r="P296" s="79"/>
      <c r="Q296" s="79"/>
      <c r="T296" s="79"/>
      <c r="U296" s="79"/>
      <c r="X296" s="130"/>
      <c r="Z296" s="106"/>
    </row>
    <row r="297">
      <c r="C297" s="79"/>
      <c r="D297" s="79"/>
      <c r="J297" s="79"/>
      <c r="P297" s="79"/>
      <c r="Q297" s="79"/>
      <c r="T297" s="79"/>
      <c r="U297" s="79"/>
      <c r="X297" s="130"/>
      <c r="Z297" s="106"/>
    </row>
    <row r="298">
      <c r="C298" s="79"/>
      <c r="D298" s="79"/>
      <c r="J298" s="79"/>
      <c r="P298" s="79"/>
      <c r="Q298" s="79"/>
      <c r="T298" s="79"/>
      <c r="U298" s="79"/>
      <c r="X298" s="130"/>
      <c r="Z298" s="106"/>
    </row>
    <row r="299">
      <c r="C299" s="79"/>
      <c r="D299" s="79"/>
      <c r="J299" s="79"/>
      <c r="P299" s="79"/>
      <c r="Q299" s="79"/>
      <c r="T299" s="79"/>
      <c r="U299" s="79"/>
      <c r="X299" s="130"/>
      <c r="Z299" s="106"/>
    </row>
    <row r="300">
      <c r="C300" s="79"/>
      <c r="D300" s="79"/>
      <c r="J300" s="79"/>
      <c r="P300" s="79"/>
      <c r="Q300" s="79"/>
      <c r="T300" s="79"/>
      <c r="U300" s="79"/>
      <c r="X300" s="130"/>
      <c r="Z300" s="106"/>
    </row>
    <row r="301">
      <c r="C301" s="79"/>
      <c r="D301" s="79"/>
      <c r="J301" s="79"/>
      <c r="P301" s="79"/>
      <c r="Q301" s="79"/>
      <c r="T301" s="79"/>
      <c r="U301" s="79"/>
      <c r="X301" s="130"/>
      <c r="Z301" s="106"/>
    </row>
    <row r="302">
      <c r="C302" s="79"/>
      <c r="D302" s="79"/>
      <c r="J302" s="79"/>
      <c r="P302" s="79"/>
      <c r="Q302" s="79"/>
      <c r="T302" s="79"/>
      <c r="U302" s="79"/>
      <c r="X302" s="130"/>
      <c r="Z302" s="106"/>
    </row>
    <row r="303">
      <c r="C303" s="79"/>
      <c r="D303" s="79"/>
      <c r="J303" s="79"/>
      <c r="P303" s="79"/>
      <c r="Q303" s="79"/>
      <c r="T303" s="79"/>
      <c r="U303" s="79"/>
      <c r="X303" s="130"/>
      <c r="Z303" s="106"/>
    </row>
    <row r="304">
      <c r="C304" s="79"/>
      <c r="D304" s="79"/>
      <c r="J304" s="79"/>
      <c r="P304" s="79"/>
      <c r="Q304" s="79"/>
      <c r="T304" s="79"/>
      <c r="U304" s="79"/>
      <c r="X304" s="130"/>
      <c r="Z304" s="106"/>
    </row>
    <row r="305">
      <c r="C305" s="79"/>
      <c r="D305" s="79"/>
      <c r="J305" s="79"/>
      <c r="P305" s="79"/>
      <c r="Q305" s="79"/>
      <c r="T305" s="79"/>
      <c r="U305" s="79"/>
      <c r="X305" s="130"/>
      <c r="Z305" s="106"/>
    </row>
    <row r="306">
      <c r="C306" s="79"/>
      <c r="D306" s="79"/>
      <c r="J306" s="79"/>
      <c r="P306" s="79"/>
      <c r="Q306" s="79"/>
      <c r="T306" s="79"/>
      <c r="U306" s="79"/>
      <c r="X306" s="130"/>
      <c r="Z306" s="106"/>
    </row>
    <row r="307">
      <c r="C307" s="79"/>
      <c r="D307" s="79"/>
      <c r="J307" s="79"/>
      <c r="P307" s="79"/>
      <c r="Q307" s="79"/>
      <c r="T307" s="79"/>
      <c r="U307" s="79"/>
      <c r="X307" s="130"/>
      <c r="Z307" s="106"/>
    </row>
    <row r="308">
      <c r="C308" s="79"/>
      <c r="D308" s="79"/>
      <c r="J308" s="79"/>
      <c r="P308" s="79"/>
      <c r="Q308" s="79"/>
      <c r="T308" s="79"/>
      <c r="U308" s="79"/>
      <c r="X308" s="130"/>
      <c r="Z308" s="106"/>
    </row>
    <row r="309">
      <c r="C309" s="79"/>
      <c r="D309" s="79"/>
      <c r="J309" s="79"/>
      <c r="P309" s="79"/>
      <c r="Q309" s="79"/>
      <c r="T309" s="79"/>
      <c r="U309" s="79"/>
      <c r="X309" s="130"/>
      <c r="Z309" s="106"/>
    </row>
    <row r="310">
      <c r="C310" s="79"/>
      <c r="D310" s="79"/>
      <c r="J310" s="79"/>
      <c r="P310" s="79"/>
      <c r="Q310" s="79"/>
      <c r="T310" s="79"/>
      <c r="U310" s="79"/>
      <c r="X310" s="130"/>
      <c r="Z310" s="106"/>
    </row>
    <row r="311">
      <c r="C311" s="79"/>
      <c r="D311" s="79"/>
      <c r="J311" s="79"/>
      <c r="P311" s="79"/>
      <c r="Q311" s="79"/>
      <c r="T311" s="79"/>
      <c r="U311" s="79"/>
      <c r="X311" s="130"/>
      <c r="Z311" s="106"/>
    </row>
    <row r="312">
      <c r="C312" s="79"/>
      <c r="D312" s="79"/>
      <c r="J312" s="79"/>
      <c r="P312" s="79"/>
      <c r="Q312" s="79"/>
      <c r="T312" s="79"/>
      <c r="U312" s="79"/>
      <c r="X312" s="130"/>
      <c r="Z312" s="106"/>
    </row>
    <row r="313">
      <c r="C313" s="79"/>
      <c r="D313" s="79"/>
      <c r="J313" s="79"/>
      <c r="P313" s="79"/>
      <c r="Q313" s="79"/>
      <c r="T313" s="79"/>
      <c r="U313" s="79"/>
      <c r="X313" s="130"/>
      <c r="Z313" s="106"/>
    </row>
    <row r="314">
      <c r="C314" s="79"/>
      <c r="D314" s="79"/>
      <c r="J314" s="79"/>
      <c r="P314" s="79"/>
      <c r="Q314" s="79"/>
      <c r="T314" s="79"/>
      <c r="U314" s="79"/>
      <c r="X314" s="130"/>
      <c r="Z314" s="106"/>
    </row>
    <row r="315">
      <c r="C315" s="79"/>
      <c r="D315" s="79"/>
      <c r="J315" s="79"/>
      <c r="P315" s="79"/>
      <c r="Q315" s="79"/>
      <c r="T315" s="79"/>
      <c r="U315" s="79"/>
      <c r="X315" s="130"/>
      <c r="Z315" s="106"/>
    </row>
    <row r="316">
      <c r="C316" s="79"/>
      <c r="D316" s="79"/>
      <c r="J316" s="79"/>
      <c r="P316" s="79"/>
      <c r="Q316" s="79"/>
      <c r="T316" s="79"/>
      <c r="U316" s="79"/>
      <c r="X316" s="130"/>
      <c r="Z316" s="106"/>
    </row>
    <row r="317">
      <c r="C317" s="79"/>
      <c r="D317" s="79"/>
      <c r="J317" s="79"/>
      <c r="P317" s="79"/>
      <c r="Q317" s="79"/>
      <c r="T317" s="79"/>
      <c r="U317" s="79"/>
      <c r="X317" s="130"/>
      <c r="Z317" s="106"/>
    </row>
    <row r="318">
      <c r="C318" s="79"/>
      <c r="D318" s="79"/>
      <c r="J318" s="79"/>
      <c r="P318" s="79"/>
      <c r="Q318" s="79"/>
      <c r="T318" s="79"/>
      <c r="U318" s="79"/>
      <c r="X318" s="130"/>
      <c r="Z318" s="106"/>
    </row>
    <row r="319">
      <c r="C319" s="79"/>
      <c r="D319" s="79"/>
      <c r="J319" s="79"/>
      <c r="P319" s="79"/>
      <c r="Q319" s="79"/>
      <c r="T319" s="79"/>
      <c r="U319" s="79"/>
      <c r="X319" s="130"/>
      <c r="Z319" s="106"/>
    </row>
    <row r="320">
      <c r="C320" s="79"/>
      <c r="D320" s="79"/>
      <c r="J320" s="79"/>
      <c r="P320" s="79"/>
      <c r="Q320" s="79"/>
      <c r="T320" s="79"/>
      <c r="U320" s="79"/>
      <c r="X320" s="130"/>
      <c r="Z320" s="106"/>
    </row>
    <row r="321">
      <c r="C321" s="79"/>
      <c r="D321" s="79"/>
      <c r="J321" s="79"/>
      <c r="P321" s="79"/>
      <c r="Q321" s="79"/>
      <c r="T321" s="79"/>
      <c r="U321" s="79"/>
      <c r="X321" s="130"/>
      <c r="Z321" s="106"/>
    </row>
    <row r="322">
      <c r="C322" s="79"/>
      <c r="D322" s="79"/>
      <c r="J322" s="79"/>
      <c r="P322" s="79"/>
      <c r="Q322" s="79"/>
      <c r="T322" s="79"/>
      <c r="U322" s="79"/>
      <c r="X322" s="130"/>
      <c r="Z322" s="106"/>
    </row>
    <row r="323">
      <c r="C323" s="79"/>
      <c r="D323" s="79"/>
      <c r="J323" s="79"/>
      <c r="P323" s="79"/>
      <c r="Q323" s="79"/>
      <c r="T323" s="79"/>
      <c r="U323" s="79"/>
      <c r="X323" s="130"/>
      <c r="Z323" s="106"/>
    </row>
    <row r="324">
      <c r="C324" s="79"/>
      <c r="D324" s="79"/>
      <c r="J324" s="79"/>
      <c r="P324" s="79"/>
      <c r="Q324" s="79"/>
      <c r="T324" s="79"/>
      <c r="U324" s="79"/>
      <c r="X324" s="130"/>
      <c r="Z324" s="106"/>
    </row>
    <row r="325">
      <c r="C325" s="79"/>
      <c r="D325" s="79"/>
      <c r="J325" s="79"/>
      <c r="P325" s="79"/>
      <c r="Q325" s="79"/>
      <c r="T325" s="79"/>
      <c r="U325" s="79"/>
      <c r="X325" s="130"/>
      <c r="Z325" s="106"/>
    </row>
    <row r="326">
      <c r="C326" s="79"/>
      <c r="D326" s="79"/>
      <c r="J326" s="79"/>
      <c r="P326" s="79"/>
      <c r="Q326" s="79"/>
      <c r="T326" s="79"/>
      <c r="U326" s="79"/>
      <c r="X326" s="130"/>
      <c r="Z326" s="106"/>
    </row>
    <row r="327">
      <c r="C327" s="79"/>
      <c r="D327" s="79"/>
      <c r="J327" s="79"/>
      <c r="P327" s="79"/>
      <c r="Q327" s="79"/>
      <c r="T327" s="79"/>
      <c r="U327" s="79"/>
      <c r="X327" s="130"/>
      <c r="Z327" s="106"/>
    </row>
    <row r="328">
      <c r="C328" s="79"/>
      <c r="D328" s="79"/>
      <c r="J328" s="79"/>
      <c r="P328" s="79"/>
      <c r="Q328" s="79"/>
      <c r="T328" s="79"/>
      <c r="U328" s="79"/>
      <c r="X328" s="130"/>
      <c r="Z328" s="106"/>
    </row>
    <row r="329">
      <c r="C329" s="79"/>
      <c r="D329" s="79"/>
      <c r="J329" s="79"/>
      <c r="P329" s="79"/>
      <c r="Q329" s="79"/>
      <c r="T329" s="79"/>
      <c r="U329" s="79"/>
      <c r="X329" s="130"/>
      <c r="Z329" s="106"/>
    </row>
    <row r="330">
      <c r="C330" s="79"/>
      <c r="D330" s="79"/>
      <c r="J330" s="79"/>
      <c r="P330" s="79"/>
      <c r="Q330" s="79"/>
      <c r="T330" s="79"/>
      <c r="U330" s="79"/>
      <c r="X330" s="130"/>
      <c r="Z330" s="106"/>
    </row>
    <row r="331">
      <c r="C331" s="79"/>
      <c r="D331" s="79"/>
      <c r="J331" s="79"/>
      <c r="P331" s="79"/>
      <c r="Q331" s="79"/>
      <c r="T331" s="79"/>
      <c r="U331" s="79"/>
      <c r="X331" s="130"/>
      <c r="Z331" s="106"/>
    </row>
    <row r="332">
      <c r="C332" s="79"/>
      <c r="D332" s="79"/>
      <c r="J332" s="79"/>
      <c r="P332" s="79"/>
      <c r="Q332" s="79"/>
      <c r="T332" s="79"/>
      <c r="U332" s="79"/>
      <c r="X332" s="130"/>
      <c r="Z332" s="106"/>
    </row>
    <row r="333">
      <c r="C333" s="79"/>
      <c r="D333" s="79"/>
      <c r="J333" s="79"/>
      <c r="P333" s="79"/>
      <c r="Q333" s="79"/>
      <c r="T333" s="79"/>
      <c r="U333" s="79"/>
      <c r="X333" s="130"/>
      <c r="Z333" s="106"/>
    </row>
    <row r="334">
      <c r="C334" s="79"/>
      <c r="D334" s="79"/>
      <c r="J334" s="79"/>
      <c r="P334" s="79"/>
      <c r="Q334" s="79"/>
      <c r="T334" s="79"/>
      <c r="U334" s="79"/>
      <c r="X334" s="130"/>
      <c r="Z334" s="106"/>
    </row>
    <row r="335">
      <c r="C335" s="79"/>
      <c r="D335" s="79"/>
      <c r="J335" s="79"/>
      <c r="P335" s="79"/>
      <c r="Q335" s="79"/>
      <c r="T335" s="79"/>
      <c r="U335" s="79"/>
      <c r="X335" s="130"/>
      <c r="Z335" s="106"/>
    </row>
    <row r="336">
      <c r="C336" s="79"/>
      <c r="D336" s="79"/>
      <c r="J336" s="79"/>
      <c r="P336" s="79"/>
      <c r="Q336" s="79"/>
      <c r="T336" s="79"/>
      <c r="U336" s="79"/>
      <c r="X336" s="130"/>
      <c r="Z336" s="106"/>
    </row>
    <row r="337">
      <c r="C337" s="79"/>
      <c r="D337" s="79"/>
      <c r="J337" s="79"/>
      <c r="P337" s="79"/>
      <c r="Q337" s="79"/>
      <c r="T337" s="79"/>
      <c r="U337" s="79"/>
      <c r="X337" s="130"/>
      <c r="Z337" s="106"/>
    </row>
    <row r="338">
      <c r="C338" s="79"/>
      <c r="D338" s="79"/>
      <c r="J338" s="79"/>
      <c r="P338" s="79"/>
      <c r="Q338" s="79"/>
      <c r="T338" s="79"/>
      <c r="U338" s="79"/>
      <c r="X338" s="130"/>
      <c r="Z338" s="106"/>
    </row>
    <row r="339">
      <c r="C339" s="79"/>
      <c r="D339" s="79"/>
      <c r="J339" s="79"/>
      <c r="P339" s="79"/>
      <c r="Q339" s="79"/>
      <c r="T339" s="79"/>
      <c r="U339" s="79"/>
      <c r="X339" s="130"/>
      <c r="Z339" s="106"/>
    </row>
    <row r="340">
      <c r="C340" s="79"/>
      <c r="D340" s="79"/>
      <c r="J340" s="79"/>
      <c r="P340" s="79"/>
      <c r="Q340" s="79"/>
      <c r="T340" s="79"/>
      <c r="U340" s="79"/>
      <c r="X340" s="130"/>
      <c r="Z340" s="106"/>
    </row>
    <row r="341">
      <c r="C341" s="79"/>
      <c r="D341" s="79"/>
      <c r="J341" s="79"/>
      <c r="P341" s="79"/>
      <c r="Q341" s="79"/>
      <c r="T341" s="79"/>
      <c r="U341" s="79"/>
      <c r="X341" s="130"/>
      <c r="Z341" s="106"/>
    </row>
    <row r="342">
      <c r="C342" s="79"/>
      <c r="D342" s="79"/>
      <c r="J342" s="79"/>
      <c r="P342" s="79"/>
      <c r="Q342" s="79"/>
      <c r="T342" s="79"/>
      <c r="U342" s="79"/>
      <c r="X342" s="130"/>
      <c r="Z342" s="106"/>
    </row>
    <row r="343">
      <c r="C343" s="79"/>
      <c r="D343" s="79"/>
      <c r="J343" s="79"/>
      <c r="P343" s="79"/>
      <c r="Q343" s="79"/>
      <c r="T343" s="79"/>
      <c r="U343" s="79"/>
      <c r="X343" s="130"/>
      <c r="Z343" s="106"/>
    </row>
    <row r="344">
      <c r="C344" s="79"/>
      <c r="D344" s="79"/>
      <c r="J344" s="79"/>
      <c r="P344" s="79"/>
      <c r="Q344" s="79"/>
      <c r="T344" s="79"/>
      <c r="U344" s="79"/>
      <c r="X344" s="130"/>
      <c r="Z344" s="106"/>
    </row>
    <row r="345">
      <c r="C345" s="79"/>
      <c r="D345" s="79"/>
      <c r="J345" s="79"/>
      <c r="P345" s="79"/>
      <c r="Q345" s="79"/>
      <c r="T345" s="79"/>
      <c r="U345" s="79"/>
      <c r="X345" s="130"/>
      <c r="Z345" s="106"/>
    </row>
    <row r="346">
      <c r="C346" s="79"/>
      <c r="D346" s="79"/>
      <c r="J346" s="79"/>
      <c r="P346" s="79"/>
      <c r="Q346" s="79"/>
      <c r="T346" s="79"/>
      <c r="U346" s="79"/>
      <c r="X346" s="130"/>
      <c r="Z346" s="106"/>
    </row>
    <row r="347">
      <c r="C347" s="79"/>
      <c r="D347" s="79"/>
      <c r="J347" s="79"/>
      <c r="P347" s="79"/>
      <c r="Q347" s="79"/>
      <c r="T347" s="79"/>
      <c r="U347" s="79"/>
      <c r="X347" s="130"/>
      <c r="Z347" s="106"/>
    </row>
    <row r="348">
      <c r="C348" s="79"/>
      <c r="D348" s="79"/>
      <c r="J348" s="79"/>
      <c r="P348" s="79"/>
      <c r="Q348" s="79"/>
      <c r="T348" s="79"/>
      <c r="U348" s="79"/>
      <c r="X348" s="130"/>
      <c r="Z348" s="106"/>
    </row>
    <row r="349">
      <c r="C349" s="79"/>
      <c r="D349" s="79"/>
      <c r="J349" s="79"/>
      <c r="P349" s="79"/>
      <c r="Q349" s="79"/>
      <c r="T349" s="79"/>
      <c r="U349" s="79"/>
      <c r="X349" s="130"/>
      <c r="Z349" s="106"/>
    </row>
    <row r="350">
      <c r="C350" s="79"/>
      <c r="D350" s="79"/>
      <c r="J350" s="79"/>
      <c r="P350" s="79"/>
      <c r="Q350" s="79"/>
      <c r="T350" s="79"/>
      <c r="U350" s="79"/>
      <c r="X350" s="130"/>
      <c r="Z350" s="106"/>
    </row>
    <row r="351">
      <c r="C351" s="79"/>
      <c r="D351" s="79"/>
      <c r="J351" s="79"/>
      <c r="P351" s="79"/>
      <c r="Q351" s="79"/>
      <c r="T351" s="79"/>
      <c r="U351" s="79"/>
      <c r="X351" s="130"/>
      <c r="Z351" s="106"/>
    </row>
    <row r="352">
      <c r="C352" s="79"/>
      <c r="D352" s="79"/>
      <c r="J352" s="79"/>
      <c r="P352" s="79"/>
      <c r="Q352" s="79"/>
      <c r="T352" s="79"/>
      <c r="U352" s="79"/>
      <c r="X352" s="130"/>
      <c r="Z352" s="106"/>
    </row>
    <row r="353">
      <c r="C353" s="79"/>
      <c r="D353" s="79"/>
      <c r="J353" s="79"/>
      <c r="P353" s="79"/>
      <c r="Q353" s="79"/>
      <c r="T353" s="79"/>
      <c r="U353" s="79"/>
      <c r="X353" s="130"/>
      <c r="Z353" s="106"/>
    </row>
    <row r="354">
      <c r="C354" s="79"/>
      <c r="D354" s="79"/>
      <c r="J354" s="79"/>
      <c r="P354" s="79"/>
      <c r="Q354" s="79"/>
      <c r="T354" s="79"/>
      <c r="U354" s="79"/>
      <c r="X354" s="130"/>
      <c r="Z354" s="106"/>
    </row>
    <row r="355">
      <c r="C355" s="79"/>
      <c r="D355" s="79"/>
      <c r="J355" s="79"/>
      <c r="P355" s="79"/>
      <c r="Q355" s="79"/>
      <c r="T355" s="79"/>
      <c r="U355" s="79"/>
      <c r="X355" s="130"/>
      <c r="Z355" s="106"/>
    </row>
    <row r="356">
      <c r="C356" s="79"/>
      <c r="D356" s="79"/>
      <c r="J356" s="79"/>
      <c r="P356" s="79"/>
      <c r="Q356" s="79"/>
      <c r="T356" s="79"/>
      <c r="U356" s="79"/>
      <c r="X356" s="130"/>
      <c r="Z356" s="106"/>
    </row>
    <row r="357">
      <c r="C357" s="79"/>
      <c r="D357" s="79"/>
      <c r="J357" s="79"/>
      <c r="P357" s="79"/>
      <c r="Q357" s="79"/>
      <c r="T357" s="79"/>
      <c r="U357" s="79"/>
      <c r="X357" s="130"/>
      <c r="Z357" s="106"/>
    </row>
    <row r="358">
      <c r="C358" s="79"/>
      <c r="D358" s="79"/>
      <c r="J358" s="79"/>
      <c r="P358" s="79"/>
      <c r="Q358" s="79"/>
      <c r="T358" s="79"/>
      <c r="U358" s="79"/>
      <c r="X358" s="130"/>
      <c r="Z358" s="106"/>
    </row>
    <row r="359">
      <c r="C359" s="79"/>
      <c r="D359" s="79"/>
      <c r="J359" s="79"/>
      <c r="P359" s="79"/>
      <c r="Q359" s="79"/>
      <c r="T359" s="79"/>
      <c r="U359" s="79"/>
      <c r="X359" s="130"/>
      <c r="Z359" s="106"/>
    </row>
    <row r="360">
      <c r="C360" s="79"/>
      <c r="D360" s="79"/>
      <c r="J360" s="79"/>
      <c r="P360" s="79"/>
      <c r="Q360" s="79"/>
      <c r="T360" s="79"/>
      <c r="U360" s="79"/>
      <c r="X360" s="130"/>
      <c r="Z360" s="106"/>
    </row>
    <row r="361">
      <c r="C361" s="79"/>
      <c r="D361" s="79"/>
      <c r="J361" s="79"/>
      <c r="P361" s="79"/>
      <c r="Q361" s="79"/>
      <c r="T361" s="79"/>
      <c r="U361" s="79"/>
      <c r="X361" s="130"/>
      <c r="Z361" s="106"/>
    </row>
    <row r="362">
      <c r="C362" s="79"/>
      <c r="D362" s="79"/>
      <c r="J362" s="79"/>
      <c r="P362" s="79"/>
      <c r="Q362" s="79"/>
      <c r="T362" s="79"/>
      <c r="U362" s="79"/>
      <c r="X362" s="130"/>
      <c r="Z362" s="106"/>
    </row>
    <row r="363">
      <c r="C363" s="79"/>
      <c r="D363" s="79"/>
      <c r="J363" s="79"/>
      <c r="P363" s="79"/>
      <c r="Q363" s="79"/>
      <c r="T363" s="79"/>
      <c r="U363" s="79"/>
      <c r="X363" s="130"/>
      <c r="Z363" s="106"/>
    </row>
    <row r="364">
      <c r="C364" s="79"/>
      <c r="D364" s="79"/>
      <c r="J364" s="79"/>
      <c r="P364" s="79"/>
      <c r="Q364" s="79"/>
      <c r="T364" s="79"/>
      <c r="U364" s="79"/>
      <c r="X364" s="130"/>
      <c r="Z364" s="106"/>
    </row>
    <row r="365">
      <c r="C365" s="79"/>
      <c r="D365" s="79"/>
      <c r="J365" s="79"/>
      <c r="P365" s="79"/>
      <c r="Q365" s="79"/>
      <c r="T365" s="79"/>
      <c r="U365" s="79"/>
      <c r="X365" s="130"/>
      <c r="Z365" s="106"/>
    </row>
    <row r="366">
      <c r="C366" s="79"/>
      <c r="D366" s="79"/>
      <c r="J366" s="79"/>
      <c r="P366" s="79"/>
      <c r="Q366" s="79"/>
      <c r="T366" s="79"/>
      <c r="U366" s="79"/>
      <c r="X366" s="130"/>
      <c r="Z366" s="106"/>
    </row>
    <row r="367">
      <c r="C367" s="79"/>
      <c r="D367" s="79"/>
      <c r="J367" s="79"/>
      <c r="P367" s="79"/>
      <c r="Q367" s="79"/>
      <c r="T367" s="79"/>
      <c r="U367" s="79"/>
      <c r="X367" s="130"/>
      <c r="Z367" s="106"/>
    </row>
    <row r="368">
      <c r="C368" s="79"/>
      <c r="D368" s="79"/>
      <c r="J368" s="79"/>
      <c r="P368" s="79"/>
      <c r="Q368" s="79"/>
      <c r="T368" s="79"/>
      <c r="U368" s="79"/>
      <c r="X368" s="130"/>
      <c r="Z368" s="106"/>
    </row>
    <row r="369">
      <c r="C369" s="79"/>
      <c r="D369" s="79"/>
      <c r="J369" s="79"/>
      <c r="P369" s="79"/>
      <c r="Q369" s="79"/>
      <c r="T369" s="79"/>
      <c r="U369" s="79"/>
      <c r="X369" s="130"/>
      <c r="Z369" s="106"/>
    </row>
    <row r="370">
      <c r="C370" s="79"/>
      <c r="D370" s="79"/>
      <c r="J370" s="79"/>
      <c r="P370" s="79"/>
      <c r="Q370" s="79"/>
      <c r="T370" s="79"/>
      <c r="U370" s="79"/>
      <c r="X370" s="130"/>
      <c r="Z370" s="106"/>
    </row>
    <row r="371">
      <c r="C371" s="79"/>
      <c r="D371" s="79"/>
      <c r="J371" s="79"/>
      <c r="P371" s="79"/>
      <c r="Q371" s="79"/>
      <c r="T371" s="79"/>
      <c r="U371" s="79"/>
      <c r="X371" s="130"/>
      <c r="Z371" s="106"/>
    </row>
    <row r="372">
      <c r="C372" s="79"/>
      <c r="D372" s="79"/>
      <c r="J372" s="79"/>
      <c r="P372" s="79"/>
      <c r="Q372" s="79"/>
      <c r="T372" s="79"/>
      <c r="U372" s="79"/>
      <c r="X372" s="130"/>
      <c r="Z372" s="106"/>
    </row>
    <row r="373">
      <c r="C373" s="79"/>
      <c r="D373" s="79"/>
      <c r="J373" s="79"/>
      <c r="P373" s="79"/>
      <c r="Q373" s="79"/>
      <c r="T373" s="79"/>
      <c r="U373" s="79"/>
      <c r="X373" s="130"/>
      <c r="Z373" s="106"/>
    </row>
    <row r="374">
      <c r="C374" s="79"/>
      <c r="D374" s="79"/>
      <c r="J374" s="79"/>
      <c r="P374" s="79"/>
      <c r="Q374" s="79"/>
      <c r="T374" s="79"/>
      <c r="U374" s="79"/>
      <c r="X374" s="130"/>
      <c r="Z374" s="106"/>
    </row>
    <row r="375">
      <c r="C375" s="79"/>
      <c r="D375" s="79"/>
      <c r="J375" s="79"/>
      <c r="P375" s="79"/>
      <c r="Q375" s="79"/>
      <c r="T375" s="79"/>
      <c r="U375" s="79"/>
      <c r="X375" s="130"/>
      <c r="Z375" s="106"/>
    </row>
    <row r="376">
      <c r="C376" s="79"/>
      <c r="D376" s="79"/>
      <c r="J376" s="79"/>
      <c r="P376" s="79"/>
      <c r="Q376" s="79"/>
      <c r="T376" s="79"/>
      <c r="U376" s="79"/>
      <c r="X376" s="130"/>
      <c r="Z376" s="106"/>
    </row>
    <row r="377">
      <c r="C377" s="79"/>
      <c r="D377" s="79"/>
      <c r="J377" s="79"/>
      <c r="P377" s="79"/>
      <c r="Q377" s="79"/>
      <c r="T377" s="79"/>
      <c r="U377" s="79"/>
      <c r="X377" s="130"/>
      <c r="Z377" s="106"/>
    </row>
    <row r="378">
      <c r="C378" s="79"/>
      <c r="D378" s="79"/>
      <c r="J378" s="79"/>
      <c r="P378" s="79"/>
      <c r="Q378" s="79"/>
      <c r="T378" s="79"/>
      <c r="U378" s="79"/>
      <c r="X378" s="130"/>
      <c r="Z378" s="106"/>
    </row>
    <row r="379">
      <c r="C379" s="79"/>
      <c r="D379" s="79"/>
      <c r="J379" s="79"/>
      <c r="P379" s="79"/>
      <c r="Q379" s="79"/>
      <c r="T379" s="79"/>
      <c r="U379" s="79"/>
      <c r="X379" s="130"/>
      <c r="Z379" s="106"/>
    </row>
    <row r="380">
      <c r="C380" s="79"/>
      <c r="D380" s="79"/>
      <c r="J380" s="79"/>
      <c r="P380" s="79"/>
      <c r="Q380" s="79"/>
      <c r="T380" s="79"/>
      <c r="U380" s="79"/>
      <c r="X380" s="130"/>
      <c r="Z380" s="106"/>
    </row>
    <row r="381">
      <c r="C381" s="79"/>
      <c r="D381" s="79"/>
      <c r="J381" s="79"/>
      <c r="P381" s="79"/>
      <c r="Q381" s="79"/>
      <c r="T381" s="79"/>
      <c r="U381" s="79"/>
      <c r="X381" s="130"/>
      <c r="Z381" s="106"/>
    </row>
    <row r="382">
      <c r="C382" s="79"/>
      <c r="D382" s="79"/>
      <c r="J382" s="79"/>
      <c r="P382" s="79"/>
      <c r="Q382" s="79"/>
      <c r="T382" s="79"/>
      <c r="U382" s="79"/>
      <c r="X382" s="130"/>
      <c r="Z382" s="106"/>
    </row>
    <row r="383">
      <c r="C383" s="79"/>
      <c r="D383" s="79"/>
      <c r="J383" s="79"/>
      <c r="P383" s="79"/>
      <c r="Q383" s="79"/>
      <c r="T383" s="79"/>
      <c r="U383" s="79"/>
      <c r="X383" s="130"/>
      <c r="Z383" s="106"/>
    </row>
    <row r="384">
      <c r="C384" s="79"/>
      <c r="D384" s="79"/>
      <c r="J384" s="79"/>
      <c r="P384" s="79"/>
      <c r="Q384" s="79"/>
      <c r="T384" s="79"/>
      <c r="U384" s="79"/>
      <c r="X384" s="130"/>
      <c r="Z384" s="106"/>
    </row>
    <row r="385">
      <c r="C385" s="79"/>
      <c r="D385" s="79"/>
      <c r="J385" s="79"/>
      <c r="P385" s="79"/>
      <c r="Q385" s="79"/>
      <c r="T385" s="79"/>
      <c r="U385" s="79"/>
      <c r="X385" s="130"/>
      <c r="Z385" s="106"/>
    </row>
    <row r="386">
      <c r="C386" s="79"/>
      <c r="D386" s="79"/>
      <c r="J386" s="79"/>
      <c r="P386" s="79"/>
      <c r="Q386" s="79"/>
      <c r="T386" s="79"/>
      <c r="U386" s="79"/>
      <c r="X386" s="130"/>
      <c r="Z386" s="106"/>
    </row>
    <row r="387">
      <c r="C387" s="79"/>
      <c r="D387" s="79"/>
      <c r="J387" s="79"/>
      <c r="P387" s="79"/>
      <c r="Q387" s="79"/>
      <c r="T387" s="79"/>
      <c r="U387" s="79"/>
      <c r="X387" s="130"/>
      <c r="Z387" s="106"/>
    </row>
    <row r="388">
      <c r="C388" s="79"/>
      <c r="D388" s="79"/>
      <c r="J388" s="79"/>
      <c r="P388" s="79"/>
      <c r="Q388" s="79"/>
      <c r="T388" s="79"/>
      <c r="U388" s="79"/>
      <c r="X388" s="130"/>
      <c r="Z388" s="106"/>
    </row>
    <row r="389">
      <c r="C389" s="79"/>
      <c r="D389" s="79"/>
      <c r="J389" s="79"/>
      <c r="P389" s="79"/>
      <c r="Q389" s="79"/>
      <c r="T389" s="79"/>
      <c r="U389" s="79"/>
      <c r="X389" s="130"/>
      <c r="Z389" s="106"/>
    </row>
    <row r="390">
      <c r="C390" s="79"/>
      <c r="D390" s="79"/>
      <c r="J390" s="79"/>
      <c r="P390" s="79"/>
      <c r="Q390" s="79"/>
      <c r="T390" s="79"/>
      <c r="U390" s="79"/>
      <c r="X390" s="130"/>
      <c r="Z390" s="106"/>
    </row>
    <row r="391">
      <c r="C391" s="79"/>
      <c r="D391" s="79"/>
      <c r="J391" s="79"/>
      <c r="P391" s="79"/>
      <c r="Q391" s="79"/>
      <c r="T391" s="79"/>
      <c r="U391" s="79"/>
      <c r="X391" s="130"/>
      <c r="Z391" s="106"/>
    </row>
    <row r="392">
      <c r="C392" s="79"/>
      <c r="D392" s="79"/>
      <c r="J392" s="79"/>
      <c r="P392" s="79"/>
      <c r="Q392" s="79"/>
      <c r="T392" s="79"/>
      <c r="U392" s="79"/>
      <c r="X392" s="130"/>
      <c r="Z392" s="106"/>
    </row>
    <row r="393">
      <c r="C393" s="79"/>
      <c r="D393" s="79"/>
      <c r="J393" s="79"/>
      <c r="P393" s="79"/>
      <c r="Q393" s="79"/>
      <c r="T393" s="79"/>
      <c r="U393" s="79"/>
      <c r="X393" s="130"/>
      <c r="Z393" s="106"/>
    </row>
    <row r="394">
      <c r="C394" s="79"/>
      <c r="D394" s="79"/>
      <c r="J394" s="79"/>
      <c r="P394" s="79"/>
      <c r="Q394" s="79"/>
      <c r="T394" s="79"/>
      <c r="U394" s="79"/>
      <c r="X394" s="130"/>
      <c r="Z394" s="106"/>
    </row>
    <row r="395">
      <c r="C395" s="79"/>
      <c r="D395" s="79"/>
      <c r="J395" s="79"/>
      <c r="P395" s="79"/>
      <c r="Q395" s="79"/>
      <c r="T395" s="79"/>
      <c r="U395" s="79"/>
      <c r="X395" s="130"/>
      <c r="Z395" s="106"/>
    </row>
    <row r="396">
      <c r="C396" s="79"/>
      <c r="D396" s="79"/>
      <c r="J396" s="79"/>
      <c r="P396" s="79"/>
      <c r="Q396" s="79"/>
      <c r="T396" s="79"/>
      <c r="U396" s="79"/>
      <c r="X396" s="130"/>
      <c r="Z396" s="106"/>
    </row>
    <row r="397">
      <c r="C397" s="79"/>
      <c r="D397" s="79"/>
      <c r="J397" s="79"/>
      <c r="P397" s="79"/>
      <c r="Q397" s="79"/>
      <c r="T397" s="79"/>
      <c r="U397" s="79"/>
      <c r="X397" s="130"/>
      <c r="Z397" s="106"/>
    </row>
    <row r="398">
      <c r="C398" s="79"/>
      <c r="D398" s="79"/>
      <c r="J398" s="79"/>
      <c r="P398" s="79"/>
      <c r="Q398" s="79"/>
      <c r="T398" s="79"/>
      <c r="U398" s="79"/>
      <c r="X398" s="130"/>
      <c r="Z398" s="106"/>
    </row>
    <row r="399">
      <c r="C399" s="79"/>
      <c r="D399" s="79"/>
      <c r="J399" s="79"/>
      <c r="P399" s="79"/>
      <c r="Q399" s="79"/>
      <c r="T399" s="79"/>
      <c r="U399" s="79"/>
      <c r="X399" s="130"/>
      <c r="Z399" s="106"/>
    </row>
    <row r="400">
      <c r="C400" s="79"/>
      <c r="D400" s="79"/>
      <c r="J400" s="79"/>
      <c r="P400" s="79"/>
      <c r="Q400" s="79"/>
      <c r="T400" s="79"/>
      <c r="U400" s="79"/>
      <c r="X400" s="130"/>
      <c r="Z400" s="106"/>
    </row>
    <row r="401">
      <c r="C401" s="79"/>
      <c r="D401" s="79"/>
      <c r="J401" s="79"/>
      <c r="P401" s="79"/>
      <c r="Q401" s="79"/>
      <c r="T401" s="79"/>
      <c r="U401" s="79"/>
      <c r="X401" s="130"/>
      <c r="Z401" s="106"/>
    </row>
    <row r="402">
      <c r="C402" s="79"/>
      <c r="D402" s="79"/>
      <c r="J402" s="79"/>
      <c r="P402" s="79"/>
      <c r="Q402" s="79"/>
      <c r="T402" s="79"/>
      <c r="U402" s="79"/>
      <c r="X402" s="130"/>
      <c r="Z402" s="106"/>
    </row>
    <row r="403">
      <c r="C403" s="79"/>
      <c r="D403" s="79"/>
      <c r="J403" s="79"/>
      <c r="P403" s="79"/>
      <c r="Q403" s="79"/>
      <c r="T403" s="79"/>
      <c r="U403" s="79"/>
      <c r="X403" s="130"/>
      <c r="Z403" s="106"/>
    </row>
    <row r="404">
      <c r="C404" s="79"/>
      <c r="D404" s="79"/>
      <c r="J404" s="79"/>
      <c r="P404" s="79"/>
      <c r="Q404" s="79"/>
      <c r="T404" s="79"/>
      <c r="U404" s="79"/>
      <c r="X404" s="130"/>
      <c r="Z404" s="106"/>
    </row>
    <row r="405">
      <c r="C405" s="79"/>
      <c r="D405" s="79"/>
      <c r="J405" s="79"/>
      <c r="P405" s="79"/>
      <c r="Q405" s="79"/>
      <c r="T405" s="79"/>
      <c r="U405" s="79"/>
      <c r="X405" s="130"/>
      <c r="Z405" s="106"/>
    </row>
    <row r="406">
      <c r="C406" s="79"/>
      <c r="D406" s="79"/>
      <c r="J406" s="79"/>
      <c r="P406" s="79"/>
      <c r="Q406" s="79"/>
      <c r="T406" s="79"/>
      <c r="U406" s="79"/>
      <c r="X406" s="130"/>
      <c r="Z406" s="106"/>
    </row>
    <row r="407">
      <c r="C407" s="79"/>
      <c r="D407" s="79"/>
      <c r="J407" s="79"/>
      <c r="P407" s="79"/>
      <c r="Q407" s="79"/>
      <c r="T407" s="79"/>
      <c r="U407" s="79"/>
      <c r="X407" s="130"/>
      <c r="Z407" s="106"/>
    </row>
    <row r="408">
      <c r="C408" s="79"/>
      <c r="D408" s="79"/>
      <c r="J408" s="79"/>
      <c r="P408" s="79"/>
      <c r="Q408" s="79"/>
      <c r="T408" s="79"/>
      <c r="U408" s="79"/>
      <c r="X408" s="130"/>
      <c r="Z408" s="106"/>
    </row>
    <row r="409">
      <c r="C409" s="79"/>
      <c r="D409" s="79"/>
      <c r="J409" s="79"/>
      <c r="P409" s="79"/>
      <c r="Q409" s="79"/>
      <c r="T409" s="79"/>
      <c r="U409" s="79"/>
      <c r="X409" s="130"/>
      <c r="Z409" s="106"/>
    </row>
    <row r="410">
      <c r="C410" s="79"/>
      <c r="D410" s="79"/>
      <c r="J410" s="79"/>
      <c r="P410" s="79"/>
      <c r="Q410" s="79"/>
      <c r="T410" s="79"/>
      <c r="U410" s="79"/>
      <c r="X410" s="130"/>
      <c r="Z410" s="106"/>
    </row>
    <row r="411">
      <c r="C411" s="79"/>
      <c r="D411" s="79"/>
      <c r="J411" s="79"/>
      <c r="P411" s="79"/>
      <c r="Q411" s="79"/>
      <c r="T411" s="79"/>
      <c r="U411" s="79"/>
      <c r="X411" s="130"/>
      <c r="Z411" s="106"/>
    </row>
    <row r="412">
      <c r="C412" s="79"/>
      <c r="D412" s="79"/>
      <c r="J412" s="79"/>
      <c r="P412" s="79"/>
      <c r="Q412" s="79"/>
      <c r="T412" s="79"/>
      <c r="U412" s="79"/>
      <c r="X412" s="130"/>
      <c r="Z412" s="106"/>
    </row>
    <row r="413">
      <c r="C413" s="79"/>
      <c r="D413" s="79"/>
      <c r="J413" s="79"/>
      <c r="P413" s="79"/>
      <c r="Q413" s="79"/>
      <c r="T413" s="79"/>
      <c r="U413" s="79"/>
      <c r="X413" s="130"/>
      <c r="Z413" s="106"/>
    </row>
    <row r="414">
      <c r="C414" s="79"/>
      <c r="D414" s="79"/>
      <c r="J414" s="79"/>
      <c r="P414" s="79"/>
      <c r="Q414" s="79"/>
      <c r="T414" s="79"/>
      <c r="U414" s="79"/>
      <c r="X414" s="130"/>
      <c r="Z414" s="106"/>
    </row>
    <row r="415">
      <c r="C415" s="79"/>
      <c r="D415" s="79"/>
      <c r="J415" s="79"/>
      <c r="P415" s="79"/>
      <c r="Q415" s="79"/>
      <c r="T415" s="79"/>
      <c r="U415" s="79"/>
      <c r="X415" s="130"/>
      <c r="Z415" s="106"/>
    </row>
    <row r="416">
      <c r="C416" s="79"/>
      <c r="D416" s="79"/>
      <c r="J416" s="79"/>
      <c r="P416" s="79"/>
      <c r="Q416" s="79"/>
      <c r="T416" s="79"/>
      <c r="U416" s="79"/>
      <c r="X416" s="130"/>
      <c r="Z416" s="106"/>
    </row>
    <row r="417">
      <c r="C417" s="79"/>
      <c r="D417" s="79"/>
      <c r="J417" s="79"/>
      <c r="P417" s="79"/>
      <c r="Q417" s="79"/>
      <c r="T417" s="79"/>
      <c r="U417" s="79"/>
      <c r="X417" s="130"/>
      <c r="Z417" s="106"/>
    </row>
    <row r="418">
      <c r="C418" s="79"/>
      <c r="D418" s="79"/>
      <c r="J418" s="79"/>
      <c r="P418" s="79"/>
      <c r="Q418" s="79"/>
      <c r="T418" s="79"/>
      <c r="U418" s="79"/>
      <c r="X418" s="130"/>
      <c r="Z418" s="106"/>
    </row>
    <row r="419">
      <c r="C419" s="79"/>
      <c r="D419" s="79"/>
      <c r="J419" s="79"/>
      <c r="P419" s="79"/>
      <c r="Q419" s="79"/>
      <c r="T419" s="79"/>
      <c r="U419" s="79"/>
      <c r="X419" s="130"/>
      <c r="Z419" s="106"/>
    </row>
    <row r="420">
      <c r="C420" s="79"/>
      <c r="D420" s="79"/>
      <c r="J420" s="79"/>
      <c r="P420" s="79"/>
      <c r="Q420" s="79"/>
      <c r="T420" s="79"/>
      <c r="U420" s="79"/>
      <c r="X420" s="130"/>
      <c r="Z420" s="106"/>
    </row>
    <row r="421">
      <c r="C421" s="79"/>
      <c r="D421" s="79"/>
      <c r="J421" s="79"/>
      <c r="P421" s="79"/>
      <c r="Q421" s="79"/>
      <c r="T421" s="79"/>
      <c r="U421" s="79"/>
      <c r="X421" s="130"/>
      <c r="Z421" s="106"/>
    </row>
    <row r="422">
      <c r="C422" s="79"/>
      <c r="D422" s="79"/>
      <c r="J422" s="79"/>
      <c r="P422" s="79"/>
      <c r="Q422" s="79"/>
      <c r="T422" s="79"/>
      <c r="U422" s="79"/>
      <c r="X422" s="130"/>
      <c r="Z422" s="106"/>
    </row>
    <row r="423">
      <c r="C423" s="79"/>
      <c r="D423" s="79"/>
      <c r="J423" s="79"/>
      <c r="P423" s="79"/>
      <c r="Q423" s="79"/>
      <c r="T423" s="79"/>
      <c r="U423" s="79"/>
      <c r="X423" s="130"/>
      <c r="Z423" s="106"/>
    </row>
    <row r="424">
      <c r="C424" s="79"/>
      <c r="D424" s="79"/>
      <c r="J424" s="79"/>
      <c r="P424" s="79"/>
      <c r="Q424" s="79"/>
      <c r="T424" s="79"/>
      <c r="U424" s="79"/>
      <c r="X424" s="130"/>
      <c r="Z424" s="106"/>
    </row>
    <row r="425">
      <c r="C425" s="79"/>
      <c r="D425" s="79"/>
      <c r="J425" s="79"/>
      <c r="P425" s="79"/>
      <c r="Q425" s="79"/>
      <c r="T425" s="79"/>
      <c r="U425" s="79"/>
      <c r="X425" s="130"/>
      <c r="Z425" s="106"/>
    </row>
    <row r="426">
      <c r="C426" s="79"/>
      <c r="D426" s="79"/>
      <c r="J426" s="79"/>
      <c r="P426" s="79"/>
      <c r="Q426" s="79"/>
      <c r="T426" s="79"/>
      <c r="U426" s="79"/>
      <c r="X426" s="130"/>
      <c r="Z426" s="106"/>
    </row>
    <row r="427">
      <c r="C427" s="79"/>
      <c r="D427" s="79"/>
      <c r="J427" s="79"/>
      <c r="P427" s="79"/>
      <c r="Q427" s="79"/>
      <c r="T427" s="79"/>
      <c r="U427" s="79"/>
      <c r="X427" s="130"/>
      <c r="Z427" s="106"/>
    </row>
    <row r="428">
      <c r="C428" s="79"/>
      <c r="D428" s="79"/>
      <c r="J428" s="79"/>
      <c r="P428" s="79"/>
      <c r="Q428" s="79"/>
      <c r="T428" s="79"/>
      <c r="U428" s="79"/>
      <c r="X428" s="130"/>
      <c r="Z428" s="106"/>
    </row>
    <row r="429">
      <c r="C429" s="79"/>
      <c r="D429" s="79"/>
      <c r="J429" s="79"/>
      <c r="P429" s="79"/>
      <c r="Q429" s="79"/>
      <c r="T429" s="79"/>
      <c r="U429" s="79"/>
      <c r="X429" s="130"/>
      <c r="Z429" s="106"/>
    </row>
    <row r="430">
      <c r="C430" s="79"/>
      <c r="D430" s="79"/>
      <c r="J430" s="79"/>
      <c r="P430" s="79"/>
      <c r="Q430" s="79"/>
      <c r="T430" s="79"/>
      <c r="U430" s="79"/>
      <c r="X430" s="130"/>
      <c r="Z430" s="106"/>
    </row>
    <row r="431">
      <c r="C431" s="79"/>
      <c r="D431" s="79"/>
      <c r="J431" s="79"/>
      <c r="P431" s="79"/>
      <c r="Q431" s="79"/>
      <c r="T431" s="79"/>
      <c r="U431" s="79"/>
      <c r="X431" s="130"/>
      <c r="Z431" s="106"/>
    </row>
    <row r="432">
      <c r="C432" s="79"/>
      <c r="D432" s="79"/>
      <c r="J432" s="79"/>
      <c r="P432" s="79"/>
      <c r="Q432" s="79"/>
      <c r="T432" s="79"/>
      <c r="U432" s="79"/>
      <c r="X432" s="130"/>
      <c r="Z432" s="106"/>
    </row>
    <row r="433">
      <c r="C433" s="79"/>
      <c r="D433" s="79"/>
      <c r="J433" s="79"/>
      <c r="P433" s="79"/>
      <c r="Q433" s="79"/>
      <c r="T433" s="79"/>
      <c r="U433" s="79"/>
      <c r="X433" s="130"/>
      <c r="Z433" s="106"/>
    </row>
    <row r="434">
      <c r="C434" s="79"/>
      <c r="D434" s="79"/>
      <c r="J434" s="79"/>
      <c r="P434" s="79"/>
      <c r="Q434" s="79"/>
      <c r="T434" s="79"/>
      <c r="U434" s="79"/>
      <c r="X434" s="130"/>
      <c r="Z434" s="106"/>
    </row>
    <row r="435">
      <c r="C435" s="79"/>
      <c r="D435" s="79"/>
      <c r="J435" s="79"/>
      <c r="P435" s="79"/>
      <c r="Q435" s="79"/>
      <c r="T435" s="79"/>
      <c r="U435" s="79"/>
      <c r="X435" s="130"/>
      <c r="Z435" s="106"/>
    </row>
    <row r="436">
      <c r="C436" s="79"/>
      <c r="D436" s="79"/>
      <c r="J436" s="79"/>
      <c r="P436" s="79"/>
      <c r="Q436" s="79"/>
      <c r="T436" s="79"/>
      <c r="U436" s="79"/>
      <c r="X436" s="130"/>
      <c r="Z436" s="106"/>
    </row>
    <row r="437">
      <c r="C437" s="79"/>
      <c r="D437" s="79"/>
      <c r="J437" s="79"/>
      <c r="P437" s="79"/>
      <c r="Q437" s="79"/>
      <c r="T437" s="79"/>
      <c r="U437" s="79"/>
      <c r="X437" s="130"/>
      <c r="Z437" s="106"/>
    </row>
    <row r="438">
      <c r="C438" s="79"/>
      <c r="D438" s="79"/>
      <c r="J438" s="79"/>
      <c r="P438" s="79"/>
      <c r="Q438" s="79"/>
      <c r="T438" s="79"/>
      <c r="U438" s="79"/>
      <c r="X438" s="130"/>
      <c r="Z438" s="106"/>
    </row>
    <row r="439">
      <c r="C439" s="79"/>
      <c r="D439" s="79"/>
      <c r="J439" s="79"/>
      <c r="P439" s="79"/>
      <c r="Q439" s="79"/>
      <c r="T439" s="79"/>
      <c r="U439" s="79"/>
      <c r="X439" s="130"/>
      <c r="Z439" s="106"/>
    </row>
    <row r="440">
      <c r="C440" s="79"/>
      <c r="D440" s="79"/>
      <c r="J440" s="79"/>
      <c r="P440" s="79"/>
      <c r="Q440" s="79"/>
      <c r="T440" s="79"/>
      <c r="U440" s="79"/>
      <c r="X440" s="130"/>
      <c r="Z440" s="106"/>
    </row>
    <row r="441">
      <c r="C441" s="79"/>
      <c r="D441" s="79"/>
      <c r="J441" s="79"/>
      <c r="P441" s="79"/>
      <c r="Q441" s="79"/>
      <c r="T441" s="79"/>
      <c r="U441" s="79"/>
      <c r="X441" s="130"/>
      <c r="Z441" s="106"/>
    </row>
    <row r="442">
      <c r="C442" s="79"/>
      <c r="D442" s="79"/>
      <c r="J442" s="79"/>
      <c r="P442" s="79"/>
      <c r="Q442" s="79"/>
      <c r="T442" s="79"/>
      <c r="U442" s="79"/>
      <c r="X442" s="130"/>
      <c r="Z442" s="106"/>
    </row>
    <row r="443">
      <c r="C443" s="79"/>
      <c r="D443" s="79"/>
      <c r="J443" s="79"/>
      <c r="P443" s="79"/>
      <c r="Q443" s="79"/>
      <c r="T443" s="79"/>
      <c r="U443" s="79"/>
      <c r="X443" s="130"/>
      <c r="Z443" s="106"/>
    </row>
    <row r="444">
      <c r="C444" s="79"/>
      <c r="D444" s="79"/>
      <c r="J444" s="79"/>
      <c r="P444" s="79"/>
      <c r="Q444" s="79"/>
      <c r="T444" s="79"/>
      <c r="U444" s="79"/>
      <c r="X444" s="130"/>
      <c r="Z444" s="106"/>
    </row>
    <row r="445">
      <c r="C445" s="79"/>
      <c r="D445" s="79"/>
      <c r="J445" s="79"/>
      <c r="P445" s="79"/>
      <c r="Q445" s="79"/>
      <c r="T445" s="79"/>
      <c r="U445" s="79"/>
      <c r="X445" s="130"/>
      <c r="Z445" s="106"/>
    </row>
    <row r="446">
      <c r="C446" s="79"/>
      <c r="D446" s="79"/>
      <c r="J446" s="79"/>
      <c r="P446" s="79"/>
      <c r="Q446" s="79"/>
      <c r="T446" s="79"/>
      <c r="U446" s="79"/>
      <c r="X446" s="130"/>
      <c r="Z446" s="106"/>
    </row>
    <row r="447">
      <c r="C447" s="79"/>
      <c r="D447" s="79"/>
      <c r="J447" s="79"/>
      <c r="P447" s="79"/>
      <c r="Q447" s="79"/>
      <c r="T447" s="79"/>
      <c r="U447" s="79"/>
      <c r="X447" s="130"/>
      <c r="Z447" s="106"/>
    </row>
    <row r="448">
      <c r="C448" s="79"/>
      <c r="D448" s="79"/>
      <c r="J448" s="79"/>
      <c r="P448" s="79"/>
      <c r="Q448" s="79"/>
      <c r="T448" s="79"/>
      <c r="U448" s="79"/>
      <c r="X448" s="130"/>
      <c r="Z448" s="106"/>
    </row>
    <row r="449">
      <c r="C449" s="79"/>
      <c r="D449" s="79"/>
      <c r="J449" s="79"/>
      <c r="P449" s="79"/>
      <c r="Q449" s="79"/>
      <c r="T449" s="79"/>
      <c r="U449" s="79"/>
      <c r="X449" s="130"/>
      <c r="Z449" s="106"/>
    </row>
    <row r="450">
      <c r="C450" s="79"/>
      <c r="D450" s="79"/>
      <c r="J450" s="79"/>
      <c r="P450" s="79"/>
      <c r="Q450" s="79"/>
      <c r="T450" s="79"/>
      <c r="U450" s="79"/>
      <c r="X450" s="130"/>
      <c r="Z450" s="106"/>
    </row>
    <row r="451">
      <c r="C451" s="79"/>
      <c r="D451" s="79"/>
      <c r="J451" s="79"/>
      <c r="P451" s="79"/>
      <c r="Q451" s="79"/>
      <c r="T451" s="79"/>
      <c r="U451" s="79"/>
      <c r="X451" s="130"/>
      <c r="Z451" s="106"/>
    </row>
    <row r="452">
      <c r="C452" s="79"/>
      <c r="D452" s="79"/>
      <c r="J452" s="79"/>
      <c r="P452" s="79"/>
      <c r="Q452" s="79"/>
      <c r="T452" s="79"/>
      <c r="U452" s="79"/>
      <c r="X452" s="130"/>
      <c r="Z452" s="106"/>
    </row>
    <row r="453">
      <c r="C453" s="79"/>
      <c r="D453" s="79"/>
      <c r="J453" s="79"/>
      <c r="P453" s="79"/>
      <c r="Q453" s="79"/>
      <c r="T453" s="79"/>
      <c r="U453" s="79"/>
      <c r="X453" s="130"/>
      <c r="Z453" s="106"/>
    </row>
    <row r="454">
      <c r="C454" s="79"/>
      <c r="D454" s="79"/>
      <c r="J454" s="79"/>
      <c r="P454" s="79"/>
      <c r="Q454" s="79"/>
      <c r="T454" s="79"/>
      <c r="U454" s="79"/>
      <c r="X454" s="130"/>
      <c r="Z454" s="106"/>
    </row>
    <row r="455">
      <c r="C455" s="79"/>
      <c r="D455" s="79"/>
      <c r="J455" s="79"/>
      <c r="P455" s="79"/>
      <c r="Q455" s="79"/>
      <c r="T455" s="79"/>
      <c r="U455" s="79"/>
      <c r="X455" s="130"/>
      <c r="Z455" s="106"/>
    </row>
    <row r="456">
      <c r="C456" s="79"/>
      <c r="D456" s="79"/>
      <c r="J456" s="79"/>
      <c r="P456" s="79"/>
      <c r="Q456" s="79"/>
      <c r="T456" s="79"/>
      <c r="U456" s="79"/>
      <c r="X456" s="130"/>
      <c r="Z456" s="106"/>
    </row>
    <row r="457">
      <c r="C457" s="79"/>
      <c r="D457" s="79"/>
      <c r="J457" s="79"/>
      <c r="P457" s="79"/>
      <c r="Q457" s="79"/>
      <c r="T457" s="79"/>
      <c r="U457" s="79"/>
      <c r="X457" s="130"/>
      <c r="Z457" s="106"/>
    </row>
    <row r="458">
      <c r="C458" s="79"/>
      <c r="D458" s="79"/>
      <c r="J458" s="79"/>
      <c r="P458" s="79"/>
      <c r="Q458" s="79"/>
      <c r="T458" s="79"/>
      <c r="U458" s="79"/>
      <c r="X458" s="130"/>
      <c r="Z458" s="106"/>
    </row>
    <row r="459">
      <c r="C459" s="79"/>
      <c r="D459" s="79"/>
      <c r="J459" s="79"/>
      <c r="P459" s="79"/>
      <c r="Q459" s="79"/>
      <c r="T459" s="79"/>
      <c r="U459" s="79"/>
      <c r="X459" s="130"/>
      <c r="Z459" s="106"/>
    </row>
    <row r="460">
      <c r="C460" s="79"/>
      <c r="D460" s="79"/>
      <c r="J460" s="79"/>
      <c r="P460" s="79"/>
      <c r="Q460" s="79"/>
      <c r="T460" s="79"/>
      <c r="U460" s="79"/>
      <c r="X460" s="130"/>
      <c r="Z460" s="106"/>
    </row>
    <row r="461">
      <c r="C461" s="79"/>
      <c r="D461" s="79"/>
      <c r="J461" s="79"/>
      <c r="P461" s="79"/>
      <c r="Q461" s="79"/>
      <c r="T461" s="79"/>
      <c r="U461" s="79"/>
      <c r="X461" s="130"/>
      <c r="Z461" s="106"/>
    </row>
    <row r="462">
      <c r="C462" s="79"/>
      <c r="D462" s="79"/>
      <c r="J462" s="79"/>
      <c r="P462" s="79"/>
      <c r="Q462" s="79"/>
      <c r="T462" s="79"/>
      <c r="U462" s="79"/>
      <c r="X462" s="130"/>
      <c r="Z462" s="106"/>
    </row>
    <row r="463">
      <c r="C463" s="79"/>
      <c r="D463" s="79"/>
      <c r="J463" s="79"/>
      <c r="P463" s="79"/>
      <c r="Q463" s="79"/>
      <c r="T463" s="79"/>
      <c r="U463" s="79"/>
      <c r="X463" s="130"/>
      <c r="Z463" s="106"/>
    </row>
    <row r="464">
      <c r="C464" s="79"/>
      <c r="D464" s="79"/>
      <c r="J464" s="79"/>
      <c r="P464" s="79"/>
      <c r="Q464" s="79"/>
      <c r="T464" s="79"/>
      <c r="U464" s="79"/>
      <c r="X464" s="130"/>
      <c r="Z464" s="106"/>
    </row>
    <row r="465">
      <c r="C465" s="79"/>
      <c r="D465" s="79"/>
      <c r="J465" s="79"/>
      <c r="P465" s="79"/>
      <c r="Q465" s="79"/>
      <c r="T465" s="79"/>
      <c r="U465" s="79"/>
      <c r="X465" s="130"/>
      <c r="Z465" s="106"/>
    </row>
    <row r="466">
      <c r="C466" s="79"/>
      <c r="D466" s="79"/>
      <c r="J466" s="79"/>
      <c r="P466" s="79"/>
      <c r="Q466" s="79"/>
      <c r="T466" s="79"/>
      <c r="U466" s="79"/>
      <c r="X466" s="130"/>
      <c r="Z466" s="106"/>
    </row>
    <row r="467">
      <c r="C467" s="79"/>
      <c r="D467" s="79"/>
      <c r="J467" s="79"/>
      <c r="P467" s="79"/>
      <c r="Q467" s="79"/>
      <c r="T467" s="79"/>
      <c r="U467" s="79"/>
      <c r="X467" s="130"/>
      <c r="Z467" s="106"/>
    </row>
    <row r="468">
      <c r="C468" s="79"/>
      <c r="D468" s="79"/>
      <c r="J468" s="79"/>
      <c r="P468" s="79"/>
      <c r="Q468" s="79"/>
      <c r="T468" s="79"/>
      <c r="U468" s="79"/>
      <c r="X468" s="130"/>
      <c r="Z468" s="106"/>
    </row>
    <row r="469">
      <c r="C469" s="79"/>
      <c r="D469" s="79"/>
      <c r="J469" s="79"/>
      <c r="P469" s="79"/>
      <c r="Q469" s="79"/>
      <c r="T469" s="79"/>
      <c r="U469" s="79"/>
      <c r="X469" s="130"/>
      <c r="Z469" s="106"/>
    </row>
    <row r="470">
      <c r="C470" s="79"/>
      <c r="D470" s="79"/>
      <c r="J470" s="79"/>
      <c r="P470" s="79"/>
      <c r="Q470" s="79"/>
      <c r="T470" s="79"/>
      <c r="U470" s="79"/>
      <c r="X470" s="130"/>
      <c r="Z470" s="106"/>
    </row>
    <row r="471">
      <c r="C471" s="79"/>
      <c r="D471" s="79"/>
      <c r="J471" s="79"/>
      <c r="P471" s="79"/>
      <c r="Q471" s="79"/>
      <c r="T471" s="79"/>
      <c r="U471" s="79"/>
      <c r="X471" s="130"/>
      <c r="Z471" s="106"/>
    </row>
    <row r="472">
      <c r="C472" s="79"/>
      <c r="D472" s="79"/>
      <c r="J472" s="79"/>
      <c r="P472" s="79"/>
      <c r="Q472" s="79"/>
      <c r="T472" s="79"/>
      <c r="U472" s="79"/>
      <c r="X472" s="130"/>
      <c r="Z472" s="106"/>
    </row>
    <row r="473">
      <c r="C473" s="79"/>
      <c r="D473" s="79"/>
      <c r="J473" s="79"/>
      <c r="P473" s="79"/>
      <c r="Q473" s="79"/>
      <c r="T473" s="79"/>
      <c r="U473" s="79"/>
      <c r="X473" s="130"/>
      <c r="Z473" s="106"/>
    </row>
    <row r="474">
      <c r="C474" s="79"/>
      <c r="D474" s="79"/>
      <c r="J474" s="79"/>
      <c r="P474" s="79"/>
      <c r="Q474" s="79"/>
      <c r="T474" s="79"/>
      <c r="U474" s="79"/>
      <c r="X474" s="130"/>
      <c r="Z474" s="106"/>
    </row>
    <row r="475">
      <c r="C475" s="79"/>
      <c r="D475" s="79"/>
      <c r="J475" s="79"/>
      <c r="P475" s="79"/>
      <c r="Q475" s="79"/>
      <c r="T475" s="79"/>
      <c r="U475" s="79"/>
      <c r="X475" s="130"/>
      <c r="Z475" s="106"/>
    </row>
    <row r="476">
      <c r="C476" s="79"/>
      <c r="D476" s="79"/>
      <c r="J476" s="79"/>
      <c r="P476" s="79"/>
      <c r="Q476" s="79"/>
      <c r="T476" s="79"/>
      <c r="U476" s="79"/>
      <c r="X476" s="130"/>
      <c r="Z476" s="106"/>
    </row>
    <row r="477">
      <c r="C477" s="79"/>
      <c r="D477" s="79"/>
      <c r="J477" s="79"/>
      <c r="P477" s="79"/>
      <c r="Q477" s="79"/>
      <c r="T477" s="79"/>
      <c r="U477" s="79"/>
      <c r="X477" s="130"/>
      <c r="Z477" s="106"/>
    </row>
    <row r="478">
      <c r="C478" s="79"/>
      <c r="D478" s="79"/>
      <c r="J478" s="79"/>
      <c r="P478" s="79"/>
      <c r="Q478" s="79"/>
      <c r="T478" s="79"/>
      <c r="U478" s="79"/>
      <c r="X478" s="130"/>
      <c r="Z478" s="106"/>
    </row>
    <row r="479">
      <c r="C479" s="79"/>
      <c r="D479" s="79"/>
      <c r="J479" s="79"/>
      <c r="P479" s="79"/>
      <c r="Q479" s="79"/>
      <c r="T479" s="79"/>
      <c r="U479" s="79"/>
      <c r="X479" s="130"/>
      <c r="Z479" s="106"/>
    </row>
    <row r="480">
      <c r="C480" s="79"/>
      <c r="D480" s="79"/>
      <c r="J480" s="79"/>
      <c r="P480" s="79"/>
      <c r="Q480" s="79"/>
      <c r="T480" s="79"/>
      <c r="U480" s="79"/>
      <c r="X480" s="130"/>
      <c r="Z480" s="106"/>
    </row>
    <row r="481">
      <c r="C481" s="79"/>
      <c r="D481" s="79"/>
      <c r="J481" s="79"/>
      <c r="P481" s="79"/>
      <c r="Q481" s="79"/>
      <c r="T481" s="79"/>
      <c r="U481" s="79"/>
      <c r="X481" s="130"/>
      <c r="Z481" s="106"/>
    </row>
    <row r="482">
      <c r="C482" s="79"/>
      <c r="D482" s="79"/>
      <c r="J482" s="79"/>
      <c r="P482" s="79"/>
      <c r="Q482" s="79"/>
      <c r="T482" s="79"/>
      <c r="U482" s="79"/>
      <c r="X482" s="130"/>
      <c r="Z482" s="106"/>
    </row>
    <row r="483">
      <c r="C483" s="79"/>
      <c r="D483" s="79"/>
      <c r="J483" s="79"/>
      <c r="P483" s="79"/>
      <c r="Q483" s="79"/>
      <c r="T483" s="79"/>
      <c r="U483" s="79"/>
      <c r="X483" s="130"/>
      <c r="Z483" s="106"/>
    </row>
    <row r="484">
      <c r="C484" s="79"/>
      <c r="D484" s="79"/>
      <c r="J484" s="79"/>
      <c r="P484" s="79"/>
      <c r="Q484" s="79"/>
      <c r="T484" s="79"/>
      <c r="U484" s="79"/>
      <c r="X484" s="130"/>
      <c r="Z484" s="106"/>
    </row>
    <row r="485">
      <c r="C485" s="79"/>
      <c r="D485" s="79"/>
      <c r="J485" s="79"/>
      <c r="P485" s="79"/>
      <c r="Q485" s="79"/>
      <c r="T485" s="79"/>
      <c r="U485" s="79"/>
      <c r="X485" s="130"/>
      <c r="Z485" s="106"/>
    </row>
    <row r="486">
      <c r="C486" s="79"/>
      <c r="D486" s="79"/>
      <c r="J486" s="79"/>
      <c r="P486" s="79"/>
      <c r="Q486" s="79"/>
      <c r="T486" s="79"/>
      <c r="U486" s="79"/>
      <c r="X486" s="130"/>
      <c r="Z486" s="106"/>
    </row>
    <row r="487">
      <c r="C487" s="79"/>
      <c r="D487" s="79"/>
      <c r="J487" s="79"/>
      <c r="P487" s="79"/>
      <c r="Q487" s="79"/>
      <c r="T487" s="79"/>
      <c r="U487" s="79"/>
      <c r="X487" s="130"/>
      <c r="Z487" s="106"/>
    </row>
    <row r="488">
      <c r="C488" s="79"/>
      <c r="D488" s="79"/>
      <c r="J488" s="79"/>
      <c r="P488" s="79"/>
      <c r="Q488" s="79"/>
      <c r="T488" s="79"/>
      <c r="U488" s="79"/>
      <c r="X488" s="130"/>
      <c r="Z488" s="106"/>
    </row>
    <row r="489">
      <c r="C489" s="79"/>
      <c r="D489" s="79"/>
      <c r="J489" s="79"/>
      <c r="P489" s="79"/>
      <c r="Q489" s="79"/>
      <c r="T489" s="79"/>
      <c r="U489" s="79"/>
      <c r="X489" s="130"/>
      <c r="Z489" s="106"/>
    </row>
    <row r="490">
      <c r="C490" s="79"/>
      <c r="D490" s="79"/>
      <c r="J490" s="79"/>
      <c r="P490" s="79"/>
      <c r="Q490" s="79"/>
      <c r="T490" s="79"/>
      <c r="U490" s="79"/>
      <c r="X490" s="130"/>
      <c r="Z490" s="106"/>
    </row>
    <row r="491">
      <c r="C491" s="79"/>
      <c r="D491" s="79"/>
      <c r="J491" s="79"/>
      <c r="P491" s="79"/>
      <c r="Q491" s="79"/>
      <c r="T491" s="79"/>
      <c r="U491" s="79"/>
      <c r="X491" s="130"/>
      <c r="Z491" s="106"/>
    </row>
    <row r="492">
      <c r="C492" s="79"/>
      <c r="D492" s="79"/>
      <c r="J492" s="79"/>
      <c r="P492" s="79"/>
      <c r="Q492" s="79"/>
      <c r="T492" s="79"/>
      <c r="U492" s="79"/>
      <c r="X492" s="130"/>
      <c r="Z492" s="106"/>
    </row>
    <row r="493">
      <c r="C493" s="79"/>
      <c r="D493" s="79"/>
      <c r="J493" s="79"/>
      <c r="P493" s="79"/>
      <c r="Q493" s="79"/>
      <c r="T493" s="79"/>
      <c r="U493" s="79"/>
      <c r="X493" s="130"/>
      <c r="Z493" s="106"/>
    </row>
    <row r="494">
      <c r="C494" s="79"/>
      <c r="D494" s="79"/>
      <c r="J494" s="79"/>
      <c r="P494" s="79"/>
      <c r="Q494" s="79"/>
      <c r="T494" s="79"/>
      <c r="U494" s="79"/>
      <c r="X494" s="130"/>
      <c r="Z494" s="106"/>
    </row>
    <row r="495">
      <c r="C495" s="79"/>
      <c r="D495" s="79"/>
      <c r="J495" s="79"/>
      <c r="P495" s="79"/>
      <c r="Q495" s="79"/>
      <c r="T495" s="79"/>
      <c r="U495" s="79"/>
      <c r="X495" s="130"/>
      <c r="Z495" s="106"/>
    </row>
    <row r="496">
      <c r="C496" s="79"/>
      <c r="D496" s="79"/>
      <c r="J496" s="79"/>
      <c r="P496" s="79"/>
      <c r="Q496" s="79"/>
      <c r="T496" s="79"/>
      <c r="U496" s="79"/>
      <c r="X496" s="130"/>
      <c r="Z496" s="106"/>
    </row>
    <row r="497">
      <c r="C497" s="79"/>
      <c r="D497" s="79"/>
      <c r="J497" s="79"/>
      <c r="P497" s="79"/>
      <c r="Q497" s="79"/>
      <c r="T497" s="79"/>
      <c r="U497" s="79"/>
      <c r="X497" s="130"/>
      <c r="Z497" s="106"/>
    </row>
    <row r="498">
      <c r="C498" s="79"/>
      <c r="D498" s="79"/>
      <c r="J498" s="79"/>
      <c r="P498" s="79"/>
      <c r="Q498" s="79"/>
      <c r="T498" s="79"/>
      <c r="U498" s="79"/>
      <c r="X498" s="130"/>
      <c r="Z498" s="106"/>
    </row>
    <row r="499">
      <c r="C499" s="79"/>
      <c r="D499" s="79"/>
      <c r="J499" s="79"/>
      <c r="P499" s="79"/>
      <c r="Q499" s="79"/>
      <c r="T499" s="79"/>
      <c r="U499" s="79"/>
      <c r="X499" s="130"/>
      <c r="Z499" s="106"/>
    </row>
    <row r="500">
      <c r="C500" s="79"/>
      <c r="D500" s="79"/>
      <c r="J500" s="79"/>
      <c r="P500" s="79"/>
      <c r="Q500" s="79"/>
      <c r="T500" s="79"/>
      <c r="U500" s="79"/>
      <c r="X500" s="130"/>
      <c r="Z500" s="106"/>
    </row>
    <row r="501">
      <c r="C501" s="79"/>
      <c r="D501" s="79"/>
      <c r="J501" s="79"/>
      <c r="P501" s="79"/>
      <c r="Q501" s="79"/>
      <c r="T501" s="79"/>
      <c r="U501" s="79"/>
      <c r="X501" s="130"/>
      <c r="Z501" s="106"/>
    </row>
    <row r="502">
      <c r="C502" s="79"/>
      <c r="D502" s="79"/>
      <c r="J502" s="79"/>
      <c r="P502" s="79"/>
      <c r="Q502" s="79"/>
      <c r="T502" s="79"/>
      <c r="U502" s="79"/>
      <c r="X502" s="130"/>
      <c r="Z502" s="106"/>
    </row>
    <row r="503">
      <c r="C503" s="79"/>
      <c r="D503" s="79"/>
      <c r="J503" s="79"/>
      <c r="P503" s="79"/>
      <c r="Q503" s="79"/>
      <c r="T503" s="79"/>
      <c r="U503" s="79"/>
      <c r="X503" s="130"/>
      <c r="Z503" s="106"/>
    </row>
    <row r="504">
      <c r="C504" s="79"/>
      <c r="D504" s="79"/>
      <c r="J504" s="79"/>
      <c r="P504" s="79"/>
      <c r="Q504" s="79"/>
      <c r="T504" s="79"/>
      <c r="U504" s="79"/>
      <c r="X504" s="130"/>
      <c r="Z504" s="106"/>
    </row>
    <row r="505">
      <c r="C505" s="79"/>
      <c r="D505" s="79"/>
      <c r="J505" s="79"/>
      <c r="P505" s="79"/>
      <c r="Q505" s="79"/>
      <c r="T505" s="79"/>
      <c r="U505" s="79"/>
      <c r="X505" s="130"/>
      <c r="Z505" s="106"/>
    </row>
    <row r="506">
      <c r="C506" s="79"/>
      <c r="D506" s="79"/>
      <c r="J506" s="79"/>
      <c r="P506" s="79"/>
      <c r="Q506" s="79"/>
      <c r="T506" s="79"/>
      <c r="U506" s="79"/>
      <c r="X506" s="130"/>
      <c r="Z506" s="106"/>
    </row>
    <row r="507">
      <c r="C507" s="79"/>
      <c r="D507" s="79"/>
      <c r="J507" s="79"/>
      <c r="P507" s="79"/>
      <c r="Q507" s="79"/>
      <c r="T507" s="79"/>
      <c r="U507" s="79"/>
      <c r="X507" s="130"/>
      <c r="Z507" s="106"/>
    </row>
    <row r="508">
      <c r="C508" s="79"/>
      <c r="D508" s="79"/>
      <c r="J508" s="79"/>
      <c r="P508" s="79"/>
      <c r="Q508" s="79"/>
      <c r="T508" s="79"/>
      <c r="U508" s="79"/>
      <c r="X508" s="130"/>
      <c r="Z508" s="106"/>
    </row>
    <row r="509">
      <c r="C509" s="79"/>
      <c r="D509" s="79"/>
      <c r="J509" s="79"/>
      <c r="P509" s="79"/>
      <c r="Q509" s="79"/>
      <c r="T509" s="79"/>
      <c r="U509" s="79"/>
      <c r="X509" s="130"/>
      <c r="Z509" s="106"/>
    </row>
    <row r="510">
      <c r="C510" s="79"/>
      <c r="D510" s="79"/>
      <c r="J510" s="79"/>
      <c r="P510" s="79"/>
      <c r="Q510" s="79"/>
      <c r="T510" s="79"/>
      <c r="U510" s="79"/>
      <c r="X510" s="130"/>
      <c r="Z510" s="106"/>
    </row>
    <row r="511">
      <c r="C511" s="79"/>
      <c r="D511" s="79"/>
      <c r="J511" s="79"/>
      <c r="P511" s="79"/>
      <c r="Q511" s="79"/>
      <c r="T511" s="79"/>
      <c r="U511" s="79"/>
      <c r="X511" s="130"/>
      <c r="Z511" s="106"/>
    </row>
    <row r="512">
      <c r="C512" s="79"/>
      <c r="D512" s="79"/>
      <c r="J512" s="79"/>
      <c r="P512" s="79"/>
      <c r="Q512" s="79"/>
      <c r="T512" s="79"/>
      <c r="U512" s="79"/>
      <c r="X512" s="130"/>
      <c r="Z512" s="106"/>
    </row>
    <row r="513">
      <c r="C513" s="79"/>
      <c r="D513" s="79"/>
      <c r="J513" s="79"/>
      <c r="P513" s="79"/>
      <c r="Q513" s="79"/>
      <c r="T513" s="79"/>
      <c r="U513" s="79"/>
      <c r="X513" s="130"/>
      <c r="Z513" s="106"/>
    </row>
    <row r="514">
      <c r="C514" s="79"/>
      <c r="D514" s="79"/>
      <c r="J514" s="79"/>
      <c r="P514" s="79"/>
      <c r="Q514" s="79"/>
      <c r="T514" s="79"/>
      <c r="U514" s="79"/>
      <c r="X514" s="130"/>
      <c r="Z514" s="106"/>
    </row>
    <row r="515">
      <c r="C515" s="79"/>
      <c r="D515" s="79"/>
      <c r="J515" s="79"/>
      <c r="P515" s="79"/>
      <c r="Q515" s="79"/>
      <c r="T515" s="79"/>
      <c r="U515" s="79"/>
      <c r="X515" s="130"/>
      <c r="Z515" s="106"/>
    </row>
    <row r="516">
      <c r="C516" s="79"/>
      <c r="D516" s="79"/>
      <c r="J516" s="79"/>
      <c r="P516" s="79"/>
      <c r="Q516" s="79"/>
      <c r="T516" s="79"/>
      <c r="U516" s="79"/>
      <c r="X516" s="130"/>
      <c r="Z516" s="106"/>
    </row>
    <row r="517">
      <c r="C517" s="79"/>
      <c r="D517" s="79"/>
      <c r="J517" s="79"/>
      <c r="P517" s="79"/>
      <c r="Q517" s="79"/>
      <c r="T517" s="79"/>
      <c r="U517" s="79"/>
      <c r="X517" s="130"/>
      <c r="Z517" s="106"/>
    </row>
    <row r="518">
      <c r="C518" s="79"/>
      <c r="D518" s="79"/>
      <c r="J518" s="79"/>
      <c r="P518" s="79"/>
      <c r="Q518" s="79"/>
      <c r="T518" s="79"/>
      <c r="U518" s="79"/>
      <c r="X518" s="130"/>
      <c r="Z518" s="106"/>
    </row>
    <row r="519">
      <c r="C519" s="79"/>
      <c r="D519" s="79"/>
      <c r="J519" s="79"/>
      <c r="P519" s="79"/>
      <c r="Q519" s="79"/>
      <c r="T519" s="79"/>
      <c r="U519" s="79"/>
      <c r="X519" s="130"/>
      <c r="Z519" s="106"/>
    </row>
    <row r="520">
      <c r="C520" s="79"/>
      <c r="D520" s="79"/>
      <c r="J520" s="79"/>
      <c r="P520" s="79"/>
      <c r="Q520" s="79"/>
      <c r="T520" s="79"/>
      <c r="U520" s="79"/>
      <c r="X520" s="130"/>
      <c r="Z520" s="106"/>
    </row>
    <row r="521">
      <c r="C521" s="79"/>
      <c r="D521" s="79"/>
      <c r="J521" s="79"/>
      <c r="P521" s="79"/>
      <c r="Q521" s="79"/>
      <c r="T521" s="79"/>
      <c r="U521" s="79"/>
      <c r="X521" s="130"/>
      <c r="Z521" s="106"/>
    </row>
    <row r="522">
      <c r="C522" s="79"/>
      <c r="D522" s="79"/>
      <c r="J522" s="79"/>
      <c r="P522" s="79"/>
      <c r="Q522" s="79"/>
      <c r="T522" s="79"/>
      <c r="U522" s="79"/>
      <c r="X522" s="130"/>
      <c r="Z522" s="106"/>
    </row>
    <row r="523">
      <c r="C523" s="79"/>
      <c r="D523" s="79"/>
      <c r="J523" s="79"/>
      <c r="P523" s="79"/>
      <c r="Q523" s="79"/>
      <c r="T523" s="79"/>
      <c r="U523" s="79"/>
      <c r="X523" s="130"/>
      <c r="Z523" s="106"/>
    </row>
    <row r="524">
      <c r="C524" s="79"/>
      <c r="D524" s="79"/>
      <c r="J524" s="79"/>
      <c r="P524" s="79"/>
      <c r="Q524" s="79"/>
      <c r="T524" s="79"/>
      <c r="U524" s="79"/>
      <c r="X524" s="130"/>
      <c r="Z524" s="106"/>
    </row>
    <row r="525">
      <c r="C525" s="79"/>
      <c r="D525" s="79"/>
      <c r="J525" s="79"/>
      <c r="P525" s="79"/>
      <c r="Q525" s="79"/>
      <c r="T525" s="79"/>
      <c r="U525" s="79"/>
      <c r="X525" s="130"/>
      <c r="Z525" s="106"/>
    </row>
    <row r="526">
      <c r="C526" s="79"/>
      <c r="D526" s="79"/>
      <c r="J526" s="79"/>
      <c r="P526" s="79"/>
      <c r="Q526" s="79"/>
      <c r="T526" s="79"/>
      <c r="U526" s="79"/>
      <c r="X526" s="130"/>
      <c r="Z526" s="106"/>
    </row>
    <row r="527">
      <c r="C527" s="79"/>
      <c r="D527" s="79"/>
      <c r="J527" s="79"/>
      <c r="P527" s="79"/>
      <c r="Q527" s="79"/>
      <c r="T527" s="79"/>
      <c r="U527" s="79"/>
      <c r="X527" s="130"/>
      <c r="Z527" s="106"/>
    </row>
    <row r="528">
      <c r="C528" s="79"/>
      <c r="D528" s="79"/>
      <c r="J528" s="79"/>
      <c r="P528" s="79"/>
      <c r="Q528" s="79"/>
      <c r="T528" s="79"/>
      <c r="U528" s="79"/>
      <c r="X528" s="130"/>
      <c r="Z528" s="106"/>
    </row>
    <row r="529">
      <c r="C529" s="79"/>
      <c r="D529" s="79"/>
      <c r="J529" s="79"/>
      <c r="P529" s="79"/>
      <c r="Q529" s="79"/>
      <c r="T529" s="79"/>
      <c r="U529" s="79"/>
      <c r="X529" s="130"/>
      <c r="Z529" s="106"/>
    </row>
    <row r="530">
      <c r="C530" s="79"/>
      <c r="D530" s="79"/>
      <c r="J530" s="79"/>
      <c r="P530" s="79"/>
      <c r="Q530" s="79"/>
      <c r="T530" s="79"/>
      <c r="U530" s="79"/>
      <c r="X530" s="130"/>
      <c r="Z530" s="106"/>
    </row>
    <row r="531">
      <c r="C531" s="79"/>
      <c r="D531" s="79"/>
      <c r="J531" s="79"/>
      <c r="P531" s="79"/>
      <c r="Q531" s="79"/>
      <c r="T531" s="79"/>
      <c r="U531" s="79"/>
      <c r="X531" s="130"/>
      <c r="Z531" s="106"/>
    </row>
    <row r="532">
      <c r="C532" s="79"/>
      <c r="D532" s="79"/>
      <c r="J532" s="79"/>
      <c r="P532" s="79"/>
      <c r="Q532" s="79"/>
      <c r="T532" s="79"/>
      <c r="U532" s="79"/>
      <c r="X532" s="130"/>
      <c r="Z532" s="106"/>
    </row>
    <row r="533">
      <c r="C533" s="79"/>
      <c r="D533" s="79"/>
      <c r="J533" s="79"/>
      <c r="P533" s="79"/>
      <c r="Q533" s="79"/>
      <c r="T533" s="79"/>
      <c r="U533" s="79"/>
      <c r="X533" s="130"/>
      <c r="Z533" s="106"/>
    </row>
    <row r="534">
      <c r="C534" s="79"/>
      <c r="D534" s="79"/>
      <c r="J534" s="79"/>
      <c r="P534" s="79"/>
      <c r="Q534" s="79"/>
      <c r="T534" s="79"/>
      <c r="U534" s="79"/>
      <c r="X534" s="130"/>
      <c r="Z534" s="106"/>
    </row>
    <row r="535">
      <c r="C535" s="79"/>
      <c r="D535" s="79"/>
      <c r="J535" s="79"/>
      <c r="P535" s="79"/>
      <c r="Q535" s="79"/>
      <c r="T535" s="79"/>
      <c r="U535" s="79"/>
      <c r="X535" s="130"/>
      <c r="Z535" s="106"/>
    </row>
    <row r="536">
      <c r="C536" s="79"/>
      <c r="D536" s="79"/>
      <c r="J536" s="79"/>
      <c r="P536" s="79"/>
      <c r="Q536" s="79"/>
      <c r="T536" s="79"/>
      <c r="U536" s="79"/>
      <c r="X536" s="130"/>
      <c r="Z536" s="106"/>
    </row>
    <row r="537">
      <c r="C537" s="79"/>
      <c r="D537" s="79"/>
      <c r="J537" s="79"/>
      <c r="P537" s="79"/>
      <c r="Q537" s="79"/>
      <c r="T537" s="79"/>
      <c r="U537" s="79"/>
      <c r="X537" s="130"/>
      <c r="Z537" s="106"/>
    </row>
    <row r="538">
      <c r="C538" s="79"/>
      <c r="D538" s="79"/>
      <c r="J538" s="79"/>
      <c r="P538" s="79"/>
      <c r="Q538" s="79"/>
      <c r="T538" s="79"/>
      <c r="U538" s="79"/>
      <c r="X538" s="130"/>
      <c r="Z538" s="106"/>
    </row>
    <row r="539">
      <c r="C539" s="79"/>
      <c r="D539" s="79"/>
      <c r="J539" s="79"/>
      <c r="P539" s="79"/>
      <c r="Q539" s="79"/>
      <c r="T539" s="79"/>
      <c r="U539" s="79"/>
      <c r="X539" s="130"/>
      <c r="Z539" s="106"/>
    </row>
    <row r="540">
      <c r="C540" s="79"/>
      <c r="D540" s="79"/>
      <c r="J540" s="79"/>
      <c r="P540" s="79"/>
      <c r="Q540" s="79"/>
      <c r="T540" s="79"/>
      <c r="U540" s="79"/>
      <c r="X540" s="130"/>
      <c r="Z540" s="106"/>
    </row>
    <row r="541">
      <c r="C541" s="79"/>
      <c r="D541" s="79"/>
      <c r="J541" s="79"/>
      <c r="P541" s="79"/>
      <c r="Q541" s="79"/>
      <c r="T541" s="79"/>
      <c r="U541" s="79"/>
      <c r="X541" s="130"/>
      <c r="Z541" s="106"/>
    </row>
    <row r="542">
      <c r="C542" s="79"/>
      <c r="D542" s="79"/>
      <c r="J542" s="79"/>
      <c r="P542" s="79"/>
      <c r="Q542" s="79"/>
      <c r="T542" s="79"/>
      <c r="U542" s="79"/>
      <c r="X542" s="130"/>
      <c r="Z542" s="106"/>
    </row>
    <row r="543">
      <c r="C543" s="79"/>
      <c r="D543" s="79"/>
      <c r="J543" s="79"/>
      <c r="P543" s="79"/>
      <c r="Q543" s="79"/>
      <c r="T543" s="79"/>
      <c r="U543" s="79"/>
      <c r="X543" s="130"/>
      <c r="Z543" s="106"/>
    </row>
    <row r="544">
      <c r="C544" s="79"/>
      <c r="D544" s="79"/>
      <c r="J544" s="79"/>
      <c r="P544" s="79"/>
      <c r="Q544" s="79"/>
      <c r="T544" s="79"/>
      <c r="U544" s="79"/>
      <c r="X544" s="130"/>
      <c r="Z544" s="106"/>
    </row>
    <row r="545">
      <c r="C545" s="79"/>
      <c r="D545" s="79"/>
      <c r="J545" s="79"/>
      <c r="P545" s="79"/>
      <c r="Q545" s="79"/>
      <c r="T545" s="79"/>
      <c r="U545" s="79"/>
      <c r="X545" s="130"/>
      <c r="Z545" s="106"/>
    </row>
    <row r="546">
      <c r="C546" s="79"/>
      <c r="D546" s="79"/>
      <c r="J546" s="79"/>
      <c r="P546" s="79"/>
      <c r="Q546" s="79"/>
      <c r="T546" s="79"/>
      <c r="U546" s="79"/>
      <c r="X546" s="130"/>
      <c r="Z546" s="106"/>
    </row>
    <row r="547">
      <c r="C547" s="79"/>
      <c r="D547" s="79"/>
      <c r="J547" s="79"/>
      <c r="P547" s="79"/>
      <c r="Q547" s="79"/>
      <c r="T547" s="79"/>
      <c r="U547" s="79"/>
      <c r="X547" s="130"/>
      <c r="Z547" s="106"/>
    </row>
    <row r="548">
      <c r="C548" s="79"/>
      <c r="D548" s="79"/>
      <c r="J548" s="79"/>
      <c r="P548" s="79"/>
      <c r="Q548" s="79"/>
      <c r="T548" s="79"/>
      <c r="U548" s="79"/>
      <c r="X548" s="130"/>
      <c r="Z548" s="106"/>
    </row>
    <row r="549">
      <c r="C549" s="79"/>
      <c r="D549" s="79"/>
      <c r="J549" s="79"/>
      <c r="P549" s="79"/>
      <c r="Q549" s="79"/>
      <c r="T549" s="79"/>
      <c r="U549" s="79"/>
      <c r="X549" s="130"/>
      <c r="Z549" s="106"/>
    </row>
    <row r="550">
      <c r="C550" s="79"/>
      <c r="D550" s="79"/>
      <c r="J550" s="79"/>
      <c r="P550" s="79"/>
      <c r="Q550" s="79"/>
      <c r="T550" s="79"/>
      <c r="U550" s="79"/>
      <c r="X550" s="130"/>
      <c r="Z550" s="106"/>
    </row>
    <row r="551">
      <c r="C551" s="79"/>
      <c r="D551" s="79"/>
      <c r="J551" s="79"/>
      <c r="P551" s="79"/>
      <c r="Q551" s="79"/>
      <c r="T551" s="79"/>
      <c r="U551" s="79"/>
      <c r="X551" s="130"/>
      <c r="Z551" s="106"/>
    </row>
    <row r="552">
      <c r="C552" s="79"/>
      <c r="D552" s="79"/>
      <c r="J552" s="79"/>
      <c r="P552" s="79"/>
      <c r="Q552" s="79"/>
      <c r="T552" s="79"/>
      <c r="U552" s="79"/>
      <c r="X552" s="130"/>
      <c r="Z552" s="106"/>
    </row>
    <row r="553">
      <c r="C553" s="79"/>
      <c r="D553" s="79"/>
      <c r="J553" s="79"/>
      <c r="P553" s="79"/>
      <c r="Q553" s="79"/>
      <c r="T553" s="79"/>
      <c r="U553" s="79"/>
      <c r="X553" s="130"/>
      <c r="Z553" s="106"/>
    </row>
    <row r="554">
      <c r="C554" s="79"/>
      <c r="D554" s="79"/>
      <c r="J554" s="79"/>
      <c r="P554" s="79"/>
      <c r="Q554" s="79"/>
      <c r="T554" s="79"/>
      <c r="U554" s="79"/>
      <c r="X554" s="130"/>
      <c r="Z554" s="106"/>
    </row>
    <row r="555">
      <c r="C555" s="79"/>
      <c r="D555" s="79"/>
      <c r="J555" s="79"/>
      <c r="P555" s="79"/>
      <c r="Q555" s="79"/>
      <c r="T555" s="79"/>
      <c r="U555" s="79"/>
      <c r="X555" s="130"/>
      <c r="Z555" s="106"/>
    </row>
    <row r="556">
      <c r="C556" s="79"/>
      <c r="D556" s="79"/>
      <c r="J556" s="79"/>
      <c r="P556" s="79"/>
      <c r="Q556" s="79"/>
      <c r="T556" s="79"/>
      <c r="U556" s="79"/>
      <c r="X556" s="130"/>
      <c r="Z556" s="106"/>
    </row>
    <row r="557">
      <c r="C557" s="79"/>
      <c r="D557" s="79"/>
      <c r="J557" s="79"/>
      <c r="P557" s="79"/>
      <c r="Q557" s="79"/>
      <c r="T557" s="79"/>
      <c r="U557" s="79"/>
      <c r="X557" s="130"/>
      <c r="Z557" s="106"/>
    </row>
    <row r="558">
      <c r="C558" s="79"/>
      <c r="D558" s="79"/>
      <c r="J558" s="79"/>
      <c r="P558" s="79"/>
      <c r="Q558" s="79"/>
      <c r="T558" s="79"/>
      <c r="U558" s="79"/>
      <c r="X558" s="130"/>
      <c r="Z558" s="106"/>
    </row>
    <row r="559">
      <c r="C559" s="79"/>
      <c r="D559" s="79"/>
      <c r="J559" s="79"/>
      <c r="P559" s="79"/>
      <c r="Q559" s="79"/>
      <c r="T559" s="79"/>
      <c r="U559" s="79"/>
      <c r="X559" s="130"/>
      <c r="Z559" s="106"/>
    </row>
    <row r="560">
      <c r="C560" s="79"/>
      <c r="D560" s="79"/>
      <c r="J560" s="79"/>
      <c r="P560" s="79"/>
      <c r="Q560" s="79"/>
      <c r="T560" s="79"/>
      <c r="U560" s="79"/>
      <c r="X560" s="130"/>
      <c r="Z560" s="106"/>
    </row>
    <row r="561">
      <c r="C561" s="79"/>
      <c r="D561" s="79"/>
      <c r="J561" s="79"/>
      <c r="P561" s="79"/>
      <c r="Q561" s="79"/>
      <c r="T561" s="79"/>
      <c r="U561" s="79"/>
      <c r="X561" s="130"/>
      <c r="Z561" s="106"/>
    </row>
    <row r="562">
      <c r="C562" s="79"/>
      <c r="D562" s="79"/>
      <c r="J562" s="79"/>
      <c r="P562" s="79"/>
      <c r="Q562" s="79"/>
      <c r="T562" s="79"/>
      <c r="U562" s="79"/>
      <c r="X562" s="130"/>
      <c r="Z562" s="106"/>
    </row>
    <row r="563">
      <c r="C563" s="79"/>
      <c r="D563" s="79"/>
      <c r="J563" s="79"/>
      <c r="P563" s="79"/>
      <c r="Q563" s="79"/>
      <c r="T563" s="79"/>
      <c r="U563" s="79"/>
      <c r="X563" s="130"/>
      <c r="Z563" s="106"/>
    </row>
    <row r="564">
      <c r="C564" s="79"/>
      <c r="D564" s="79"/>
      <c r="J564" s="79"/>
      <c r="P564" s="79"/>
      <c r="Q564" s="79"/>
      <c r="T564" s="79"/>
      <c r="U564" s="79"/>
      <c r="X564" s="130"/>
      <c r="Z564" s="106"/>
    </row>
    <row r="565">
      <c r="C565" s="79"/>
      <c r="D565" s="79"/>
      <c r="J565" s="79"/>
      <c r="P565" s="79"/>
      <c r="Q565" s="79"/>
      <c r="T565" s="79"/>
      <c r="U565" s="79"/>
      <c r="X565" s="130"/>
      <c r="Z565" s="106"/>
    </row>
    <row r="566">
      <c r="C566" s="79"/>
      <c r="D566" s="79"/>
      <c r="J566" s="79"/>
      <c r="P566" s="79"/>
      <c r="Q566" s="79"/>
      <c r="T566" s="79"/>
      <c r="U566" s="79"/>
      <c r="X566" s="130"/>
      <c r="Z566" s="106"/>
    </row>
    <row r="567">
      <c r="C567" s="79"/>
      <c r="D567" s="79"/>
      <c r="J567" s="79"/>
      <c r="P567" s="79"/>
      <c r="Q567" s="79"/>
      <c r="T567" s="79"/>
      <c r="U567" s="79"/>
      <c r="X567" s="130"/>
      <c r="Z567" s="106"/>
    </row>
    <row r="568">
      <c r="C568" s="79"/>
      <c r="D568" s="79"/>
      <c r="J568" s="79"/>
      <c r="P568" s="79"/>
      <c r="Q568" s="79"/>
      <c r="T568" s="79"/>
      <c r="U568" s="79"/>
      <c r="X568" s="130"/>
      <c r="Z568" s="106"/>
    </row>
    <row r="569">
      <c r="C569" s="79"/>
      <c r="D569" s="79"/>
      <c r="J569" s="79"/>
      <c r="P569" s="79"/>
      <c r="Q569" s="79"/>
      <c r="T569" s="79"/>
      <c r="U569" s="79"/>
      <c r="X569" s="130"/>
      <c r="Z569" s="106"/>
    </row>
    <row r="570">
      <c r="C570" s="79"/>
      <c r="D570" s="79"/>
      <c r="J570" s="79"/>
      <c r="P570" s="79"/>
      <c r="Q570" s="79"/>
      <c r="T570" s="79"/>
      <c r="U570" s="79"/>
      <c r="X570" s="130"/>
      <c r="Z570" s="106"/>
    </row>
    <row r="571">
      <c r="C571" s="79"/>
      <c r="D571" s="79"/>
      <c r="J571" s="79"/>
      <c r="P571" s="79"/>
      <c r="Q571" s="79"/>
      <c r="T571" s="79"/>
      <c r="U571" s="79"/>
      <c r="X571" s="130"/>
      <c r="Z571" s="106"/>
    </row>
    <row r="572">
      <c r="C572" s="79"/>
      <c r="D572" s="79"/>
      <c r="J572" s="79"/>
      <c r="P572" s="79"/>
      <c r="Q572" s="79"/>
      <c r="T572" s="79"/>
      <c r="U572" s="79"/>
      <c r="X572" s="130"/>
      <c r="Z572" s="106"/>
    </row>
    <row r="573">
      <c r="C573" s="79"/>
      <c r="D573" s="79"/>
      <c r="J573" s="79"/>
      <c r="P573" s="79"/>
      <c r="Q573" s="79"/>
      <c r="T573" s="79"/>
      <c r="U573" s="79"/>
      <c r="X573" s="130"/>
      <c r="Z573" s="106"/>
    </row>
    <row r="574">
      <c r="C574" s="79"/>
      <c r="D574" s="79"/>
      <c r="J574" s="79"/>
      <c r="P574" s="79"/>
      <c r="Q574" s="79"/>
      <c r="T574" s="79"/>
      <c r="U574" s="79"/>
      <c r="X574" s="130"/>
      <c r="Z574" s="106"/>
    </row>
    <row r="575">
      <c r="C575" s="79"/>
      <c r="D575" s="79"/>
      <c r="J575" s="79"/>
      <c r="P575" s="79"/>
      <c r="Q575" s="79"/>
      <c r="T575" s="79"/>
      <c r="U575" s="79"/>
      <c r="X575" s="130"/>
      <c r="Z575" s="106"/>
    </row>
    <row r="576">
      <c r="C576" s="79"/>
      <c r="D576" s="79"/>
      <c r="J576" s="79"/>
      <c r="P576" s="79"/>
      <c r="Q576" s="79"/>
      <c r="T576" s="79"/>
      <c r="U576" s="79"/>
      <c r="X576" s="130"/>
      <c r="Z576" s="106"/>
    </row>
    <row r="577">
      <c r="C577" s="79"/>
      <c r="D577" s="79"/>
      <c r="J577" s="79"/>
      <c r="P577" s="79"/>
      <c r="Q577" s="79"/>
      <c r="T577" s="79"/>
      <c r="U577" s="79"/>
      <c r="X577" s="130"/>
      <c r="Z577" s="106"/>
    </row>
    <row r="578">
      <c r="C578" s="79"/>
      <c r="D578" s="79"/>
      <c r="J578" s="79"/>
      <c r="P578" s="79"/>
      <c r="Q578" s="79"/>
      <c r="T578" s="79"/>
      <c r="U578" s="79"/>
      <c r="X578" s="130"/>
      <c r="Z578" s="106"/>
    </row>
    <row r="579">
      <c r="C579" s="79"/>
      <c r="D579" s="79"/>
      <c r="J579" s="79"/>
      <c r="P579" s="79"/>
      <c r="Q579" s="79"/>
      <c r="T579" s="79"/>
      <c r="U579" s="79"/>
      <c r="X579" s="130"/>
      <c r="Z579" s="106"/>
    </row>
    <row r="580">
      <c r="C580" s="79"/>
      <c r="D580" s="79"/>
      <c r="J580" s="79"/>
      <c r="P580" s="79"/>
      <c r="Q580" s="79"/>
      <c r="T580" s="79"/>
      <c r="U580" s="79"/>
      <c r="X580" s="130"/>
      <c r="Z580" s="106"/>
    </row>
    <row r="581">
      <c r="C581" s="79"/>
      <c r="D581" s="79"/>
      <c r="J581" s="79"/>
      <c r="P581" s="79"/>
      <c r="Q581" s="79"/>
      <c r="T581" s="79"/>
      <c r="U581" s="79"/>
      <c r="X581" s="130"/>
      <c r="Z581" s="106"/>
    </row>
    <row r="582">
      <c r="C582" s="79"/>
      <c r="D582" s="79"/>
      <c r="J582" s="79"/>
      <c r="P582" s="79"/>
      <c r="Q582" s="79"/>
      <c r="T582" s="79"/>
      <c r="U582" s="79"/>
      <c r="X582" s="130"/>
      <c r="Z582" s="106"/>
    </row>
    <row r="583">
      <c r="C583" s="79"/>
      <c r="D583" s="79"/>
      <c r="J583" s="79"/>
      <c r="P583" s="79"/>
      <c r="Q583" s="79"/>
      <c r="T583" s="79"/>
      <c r="U583" s="79"/>
      <c r="X583" s="130"/>
      <c r="Z583" s="106"/>
    </row>
    <row r="584">
      <c r="C584" s="79"/>
      <c r="D584" s="79"/>
      <c r="J584" s="79"/>
      <c r="P584" s="79"/>
      <c r="Q584" s="79"/>
      <c r="T584" s="79"/>
      <c r="U584" s="79"/>
      <c r="X584" s="130"/>
      <c r="Z584" s="106"/>
    </row>
    <row r="585">
      <c r="C585" s="79"/>
      <c r="D585" s="79"/>
      <c r="J585" s="79"/>
      <c r="P585" s="79"/>
      <c r="Q585" s="79"/>
      <c r="T585" s="79"/>
      <c r="U585" s="79"/>
      <c r="X585" s="130"/>
      <c r="Z585" s="106"/>
    </row>
    <row r="586">
      <c r="C586" s="79"/>
      <c r="D586" s="79"/>
      <c r="J586" s="79"/>
      <c r="P586" s="79"/>
      <c r="Q586" s="79"/>
      <c r="T586" s="79"/>
      <c r="U586" s="79"/>
      <c r="X586" s="130"/>
      <c r="Z586" s="106"/>
    </row>
    <row r="587">
      <c r="C587" s="79"/>
      <c r="D587" s="79"/>
      <c r="J587" s="79"/>
      <c r="P587" s="79"/>
      <c r="Q587" s="79"/>
      <c r="T587" s="79"/>
      <c r="U587" s="79"/>
      <c r="X587" s="130"/>
      <c r="Z587" s="106"/>
    </row>
    <row r="588">
      <c r="C588" s="79"/>
      <c r="D588" s="79"/>
      <c r="J588" s="79"/>
      <c r="P588" s="79"/>
      <c r="Q588" s="79"/>
      <c r="T588" s="79"/>
      <c r="U588" s="79"/>
      <c r="X588" s="130"/>
      <c r="Z588" s="106"/>
    </row>
    <row r="589">
      <c r="C589" s="79"/>
      <c r="D589" s="79"/>
      <c r="J589" s="79"/>
      <c r="P589" s="79"/>
      <c r="Q589" s="79"/>
      <c r="T589" s="79"/>
      <c r="U589" s="79"/>
      <c r="X589" s="130"/>
      <c r="Z589" s="106"/>
    </row>
    <row r="590">
      <c r="C590" s="79"/>
      <c r="D590" s="79"/>
      <c r="J590" s="79"/>
      <c r="P590" s="79"/>
      <c r="Q590" s="79"/>
      <c r="T590" s="79"/>
      <c r="U590" s="79"/>
      <c r="X590" s="130"/>
      <c r="Z590" s="106"/>
    </row>
    <row r="591">
      <c r="C591" s="79"/>
      <c r="D591" s="79"/>
      <c r="J591" s="79"/>
      <c r="P591" s="79"/>
      <c r="Q591" s="79"/>
      <c r="T591" s="79"/>
      <c r="U591" s="79"/>
      <c r="X591" s="130"/>
      <c r="Z591" s="106"/>
    </row>
    <row r="592">
      <c r="C592" s="79"/>
      <c r="D592" s="79"/>
      <c r="J592" s="79"/>
      <c r="P592" s="79"/>
      <c r="Q592" s="79"/>
      <c r="T592" s="79"/>
      <c r="U592" s="79"/>
      <c r="X592" s="130"/>
      <c r="Z592" s="106"/>
    </row>
    <row r="593">
      <c r="C593" s="79"/>
      <c r="D593" s="79"/>
      <c r="J593" s="79"/>
      <c r="P593" s="79"/>
      <c r="Q593" s="79"/>
      <c r="T593" s="79"/>
      <c r="U593" s="79"/>
      <c r="X593" s="130"/>
      <c r="Z593" s="106"/>
    </row>
    <row r="594">
      <c r="C594" s="79"/>
      <c r="D594" s="79"/>
      <c r="J594" s="79"/>
      <c r="P594" s="79"/>
      <c r="Q594" s="79"/>
      <c r="T594" s="79"/>
      <c r="U594" s="79"/>
      <c r="X594" s="130"/>
      <c r="Z594" s="106"/>
    </row>
    <row r="595">
      <c r="C595" s="79"/>
      <c r="D595" s="79"/>
      <c r="J595" s="79"/>
      <c r="P595" s="79"/>
      <c r="Q595" s="79"/>
      <c r="T595" s="79"/>
      <c r="U595" s="79"/>
      <c r="X595" s="130"/>
      <c r="Z595" s="106"/>
    </row>
    <row r="596">
      <c r="C596" s="79"/>
      <c r="D596" s="79"/>
      <c r="J596" s="79"/>
      <c r="P596" s="79"/>
      <c r="Q596" s="79"/>
      <c r="T596" s="79"/>
      <c r="U596" s="79"/>
      <c r="X596" s="130"/>
      <c r="Z596" s="106"/>
    </row>
    <row r="597">
      <c r="C597" s="79"/>
      <c r="D597" s="79"/>
      <c r="J597" s="79"/>
      <c r="P597" s="79"/>
      <c r="Q597" s="79"/>
      <c r="T597" s="79"/>
      <c r="U597" s="79"/>
      <c r="X597" s="130"/>
      <c r="Z597" s="106"/>
    </row>
    <row r="598">
      <c r="C598" s="79"/>
      <c r="D598" s="79"/>
      <c r="J598" s="79"/>
      <c r="P598" s="79"/>
      <c r="Q598" s="79"/>
      <c r="T598" s="79"/>
      <c r="U598" s="79"/>
      <c r="X598" s="130"/>
      <c r="Z598" s="106"/>
    </row>
    <row r="599">
      <c r="C599" s="79"/>
      <c r="D599" s="79"/>
      <c r="J599" s="79"/>
      <c r="P599" s="79"/>
      <c r="Q599" s="79"/>
      <c r="T599" s="79"/>
      <c r="U599" s="79"/>
      <c r="X599" s="130"/>
      <c r="Z599" s="106"/>
    </row>
    <row r="600">
      <c r="C600" s="79"/>
      <c r="D600" s="79"/>
      <c r="J600" s="79"/>
      <c r="P600" s="79"/>
      <c r="Q600" s="79"/>
      <c r="T600" s="79"/>
      <c r="U600" s="79"/>
      <c r="X600" s="130"/>
      <c r="Z600" s="106"/>
    </row>
    <row r="601">
      <c r="C601" s="79"/>
      <c r="D601" s="79"/>
      <c r="J601" s="79"/>
      <c r="P601" s="79"/>
      <c r="Q601" s="79"/>
      <c r="T601" s="79"/>
      <c r="U601" s="79"/>
      <c r="X601" s="130"/>
      <c r="Z601" s="106"/>
    </row>
    <row r="602">
      <c r="C602" s="79"/>
      <c r="D602" s="79"/>
      <c r="J602" s="79"/>
      <c r="P602" s="79"/>
      <c r="Q602" s="79"/>
      <c r="T602" s="79"/>
      <c r="U602" s="79"/>
      <c r="X602" s="130"/>
      <c r="Z602" s="106"/>
    </row>
    <row r="603">
      <c r="C603" s="79"/>
      <c r="D603" s="79"/>
      <c r="J603" s="79"/>
      <c r="P603" s="79"/>
      <c r="Q603" s="79"/>
      <c r="T603" s="79"/>
      <c r="U603" s="79"/>
      <c r="X603" s="130"/>
      <c r="Z603" s="106"/>
    </row>
    <row r="604">
      <c r="C604" s="79"/>
      <c r="D604" s="79"/>
      <c r="J604" s="79"/>
      <c r="P604" s="79"/>
      <c r="Q604" s="79"/>
      <c r="T604" s="79"/>
      <c r="U604" s="79"/>
      <c r="X604" s="130"/>
      <c r="Z604" s="106"/>
    </row>
    <row r="605">
      <c r="C605" s="79"/>
      <c r="D605" s="79"/>
      <c r="J605" s="79"/>
      <c r="P605" s="79"/>
      <c r="Q605" s="79"/>
      <c r="T605" s="79"/>
      <c r="U605" s="79"/>
      <c r="X605" s="130"/>
      <c r="Z605" s="106"/>
    </row>
    <row r="606">
      <c r="C606" s="79"/>
      <c r="D606" s="79"/>
      <c r="J606" s="79"/>
      <c r="P606" s="79"/>
      <c r="Q606" s="79"/>
      <c r="T606" s="79"/>
      <c r="U606" s="79"/>
      <c r="X606" s="130"/>
      <c r="Z606" s="106"/>
    </row>
    <row r="607">
      <c r="C607" s="79"/>
      <c r="D607" s="79"/>
      <c r="J607" s="79"/>
      <c r="P607" s="79"/>
      <c r="Q607" s="79"/>
      <c r="T607" s="79"/>
      <c r="U607" s="79"/>
      <c r="X607" s="130"/>
      <c r="Z607" s="106"/>
    </row>
    <row r="608">
      <c r="C608" s="79"/>
      <c r="D608" s="79"/>
      <c r="J608" s="79"/>
      <c r="P608" s="79"/>
      <c r="Q608" s="79"/>
      <c r="T608" s="79"/>
      <c r="U608" s="79"/>
      <c r="X608" s="130"/>
      <c r="Z608" s="106"/>
    </row>
    <row r="609">
      <c r="C609" s="79"/>
      <c r="D609" s="79"/>
      <c r="J609" s="79"/>
      <c r="P609" s="79"/>
      <c r="Q609" s="79"/>
      <c r="T609" s="79"/>
      <c r="U609" s="79"/>
      <c r="X609" s="130"/>
      <c r="Z609" s="106"/>
    </row>
    <row r="610">
      <c r="C610" s="79"/>
      <c r="D610" s="79"/>
      <c r="J610" s="79"/>
      <c r="P610" s="79"/>
      <c r="Q610" s="79"/>
      <c r="T610" s="79"/>
      <c r="U610" s="79"/>
      <c r="X610" s="130"/>
      <c r="Z610" s="106"/>
    </row>
    <row r="611">
      <c r="C611" s="79"/>
      <c r="D611" s="79"/>
      <c r="J611" s="79"/>
      <c r="P611" s="79"/>
      <c r="Q611" s="79"/>
      <c r="T611" s="79"/>
      <c r="U611" s="79"/>
      <c r="X611" s="130"/>
      <c r="Z611" s="106"/>
    </row>
    <row r="612">
      <c r="C612" s="79"/>
      <c r="D612" s="79"/>
      <c r="J612" s="79"/>
      <c r="P612" s="79"/>
      <c r="Q612" s="79"/>
      <c r="T612" s="79"/>
      <c r="U612" s="79"/>
      <c r="X612" s="130"/>
      <c r="Z612" s="106"/>
    </row>
    <row r="613">
      <c r="C613" s="79"/>
      <c r="D613" s="79"/>
      <c r="J613" s="79"/>
      <c r="P613" s="79"/>
      <c r="Q613" s="79"/>
      <c r="T613" s="79"/>
      <c r="U613" s="79"/>
      <c r="X613" s="130"/>
      <c r="Z613" s="106"/>
    </row>
    <row r="614">
      <c r="C614" s="79"/>
      <c r="D614" s="79"/>
      <c r="J614" s="79"/>
      <c r="P614" s="79"/>
      <c r="Q614" s="79"/>
      <c r="T614" s="79"/>
      <c r="U614" s="79"/>
      <c r="X614" s="130"/>
      <c r="Z614" s="106"/>
    </row>
    <row r="615">
      <c r="C615" s="79"/>
      <c r="D615" s="79"/>
      <c r="J615" s="79"/>
      <c r="P615" s="79"/>
      <c r="Q615" s="79"/>
      <c r="T615" s="79"/>
      <c r="U615" s="79"/>
      <c r="X615" s="130"/>
      <c r="Z615" s="106"/>
    </row>
    <row r="616">
      <c r="C616" s="79"/>
      <c r="D616" s="79"/>
      <c r="J616" s="79"/>
      <c r="P616" s="79"/>
      <c r="Q616" s="79"/>
      <c r="T616" s="79"/>
      <c r="U616" s="79"/>
      <c r="X616" s="130"/>
      <c r="Z616" s="106"/>
    </row>
    <row r="617">
      <c r="C617" s="79"/>
      <c r="D617" s="79"/>
      <c r="J617" s="79"/>
      <c r="P617" s="79"/>
      <c r="Q617" s="79"/>
      <c r="T617" s="79"/>
      <c r="U617" s="79"/>
      <c r="X617" s="130"/>
      <c r="Z617" s="106"/>
    </row>
    <row r="618">
      <c r="C618" s="79"/>
      <c r="D618" s="79"/>
      <c r="J618" s="79"/>
      <c r="P618" s="79"/>
      <c r="Q618" s="79"/>
      <c r="T618" s="79"/>
      <c r="U618" s="79"/>
      <c r="X618" s="130"/>
      <c r="Z618" s="106"/>
    </row>
    <row r="619">
      <c r="C619" s="79"/>
      <c r="D619" s="79"/>
      <c r="J619" s="79"/>
      <c r="P619" s="79"/>
      <c r="Q619" s="79"/>
      <c r="T619" s="79"/>
      <c r="U619" s="79"/>
      <c r="X619" s="130"/>
      <c r="Z619" s="106"/>
    </row>
    <row r="620">
      <c r="C620" s="79"/>
      <c r="D620" s="79"/>
      <c r="J620" s="79"/>
      <c r="P620" s="79"/>
      <c r="Q620" s="79"/>
      <c r="T620" s="79"/>
      <c r="U620" s="79"/>
      <c r="X620" s="130"/>
      <c r="Z620" s="106"/>
    </row>
    <row r="621">
      <c r="C621" s="79"/>
      <c r="D621" s="79"/>
      <c r="J621" s="79"/>
      <c r="P621" s="79"/>
      <c r="Q621" s="79"/>
      <c r="T621" s="79"/>
      <c r="U621" s="79"/>
      <c r="X621" s="130"/>
      <c r="Z621" s="106"/>
    </row>
    <row r="622">
      <c r="C622" s="79"/>
      <c r="D622" s="79"/>
      <c r="J622" s="79"/>
      <c r="P622" s="79"/>
      <c r="Q622" s="79"/>
      <c r="T622" s="79"/>
      <c r="U622" s="79"/>
      <c r="X622" s="130"/>
      <c r="Z622" s="106"/>
    </row>
    <row r="623">
      <c r="C623" s="79"/>
      <c r="D623" s="79"/>
      <c r="J623" s="79"/>
      <c r="P623" s="79"/>
      <c r="Q623" s="79"/>
      <c r="T623" s="79"/>
      <c r="U623" s="79"/>
      <c r="X623" s="130"/>
      <c r="Z623" s="106"/>
    </row>
    <row r="624">
      <c r="C624" s="79"/>
      <c r="D624" s="79"/>
      <c r="J624" s="79"/>
      <c r="P624" s="79"/>
      <c r="Q624" s="79"/>
      <c r="T624" s="79"/>
      <c r="U624" s="79"/>
      <c r="X624" s="130"/>
      <c r="Z624" s="106"/>
    </row>
    <row r="625">
      <c r="C625" s="79"/>
      <c r="D625" s="79"/>
      <c r="J625" s="79"/>
      <c r="P625" s="79"/>
      <c r="Q625" s="79"/>
      <c r="T625" s="79"/>
      <c r="U625" s="79"/>
      <c r="X625" s="130"/>
      <c r="Z625" s="106"/>
    </row>
    <row r="626">
      <c r="C626" s="79"/>
      <c r="D626" s="79"/>
      <c r="J626" s="79"/>
      <c r="P626" s="79"/>
      <c r="Q626" s="79"/>
      <c r="T626" s="79"/>
      <c r="U626" s="79"/>
      <c r="X626" s="130"/>
      <c r="Z626" s="106"/>
    </row>
    <row r="627">
      <c r="C627" s="79"/>
      <c r="D627" s="79"/>
      <c r="J627" s="79"/>
      <c r="P627" s="79"/>
      <c r="Q627" s="79"/>
      <c r="T627" s="79"/>
      <c r="U627" s="79"/>
      <c r="X627" s="130"/>
      <c r="Z627" s="106"/>
    </row>
    <row r="628">
      <c r="C628" s="79"/>
      <c r="D628" s="79"/>
      <c r="J628" s="79"/>
      <c r="P628" s="79"/>
      <c r="Q628" s="79"/>
      <c r="T628" s="79"/>
      <c r="U628" s="79"/>
      <c r="X628" s="130"/>
      <c r="Z628" s="106"/>
    </row>
    <row r="629">
      <c r="C629" s="79"/>
      <c r="D629" s="79"/>
      <c r="J629" s="79"/>
      <c r="P629" s="79"/>
      <c r="Q629" s="79"/>
      <c r="T629" s="79"/>
      <c r="U629" s="79"/>
      <c r="X629" s="130"/>
      <c r="Z629" s="106"/>
    </row>
    <row r="630">
      <c r="C630" s="79"/>
      <c r="D630" s="79"/>
      <c r="J630" s="79"/>
      <c r="P630" s="79"/>
      <c r="Q630" s="79"/>
      <c r="T630" s="79"/>
      <c r="U630" s="79"/>
      <c r="X630" s="130"/>
      <c r="Z630" s="106"/>
    </row>
    <row r="631">
      <c r="C631" s="79"/>
      <c r="D631" s="79"/>
      <c r="J631" s="79"/>
      <c r="P631" s="79"/>
      <c r="Q631" s="79"/>
      <c r="T631" s="79"/>
      <c r="U631" s="79"/>
      <c r="X631" s="130"/>
      <c r="Z631" s="106"/>
    </row>
    <row r="632">
      <c r="C632" s="79"/>
      <c r="D632" s="79"/>
      <c r="J632" s="79"/>
      <c r="P632" s="79"/>
      <c r="Q632" s="79"/>
      <c r="T632" s="79"/>
      <c r="U632" s="79"/>
      <c r="X632" s="130"/>
      <c r="Z632" s="106"/>
    </row>
    <row r="633">
      <c r="C633" s="79"/>
      <c r="D633" s="79"/>
      <c r="J633" s="79"/>
      <c r="P633" s="79"/>
      <c r="Q633" s="79"/>
      <c r="T633" s="79"/>
      <c r="U633" s="79"/>
      <c r="X633" s="130"/>
      <c r="Z633" s="106"/>
    </row>
    <row r="634">
      <c r="C634" s="79"/>
      <c r="D634" s="79"/>
      <c r="J634" s="79"/>
      <c r="P634" s="79"/>
      <c r="Q634" s="79"/>
      <c r="T634" s="79"/>
      <c r="U634" s="79"/>
      <c r="X634" s="130"/>
      <c r="Z634" s="106"/>
    </row>
    <row r="635">
      <c r="C635" s="79"/>
      <c r="D635" s="79"/>
      <c r="J635" s="79"/>
      <c r="P635" s="79"/>
      <c r="Q635" s="79"/>
      <c r="T635" s="79"/>
      <c r="U635" s="79"/>
      <c r="X635" s="130"/>
      <c r="Z635" s="106"/>
    </row>
    <row r="636">
      <c r="C636" s="79"/>
      <c r="D636" s="79"/>
      <c r="J636" s="79"/>
      <c r="P636" s="79"/>
      <c r="Q636" s="79"/>
      <c r="T636" s="79"/>
      <c r="U636" s="79"/>
      <c r="X636" s="130"/>
      <c r="Z636" s="106"/>
    </row>
    <row r="637">
      <c r="C637" s="79"/>
      <c r="D637" s="79"/>
      <c r="J637" s="79"/>
      <c r="P637" s="79"/>
      <c r="Q637" s="79"/>
      <c r="T637" s="79"/>
      <c r="U637" s="79"/>
      <c r="X637" s="130"/>
      <c r="Z637" s="106"/>
    </row>
    <row r="638">
      <c r="C638" s="79"/>
      <c r="D638" s="79"/>
      <c r="J638" s="79"/>
      <c r="P638" s="79"/>
      <c r="Q638" s="79"/>
      <c r="T638" s="79"/>
      <c r="U638" s="79"/>
      <c r="X638" s="130"/>
      <c r="Z638" s="106"/>
    </row>
    <row r="639">
      <c r="C639" s="79"/>
      <c r="D639" s="79"/>
      <c r="J639" s="79"/>
      <c r="P639" s="79"/>
      <c r="Q639" s="79"/>
      <c r="T639" s="79"/>
      <c r="U639" s="79"/>
      <c r="X639" s="130"/>
      <c r="Z639" s="106"/>
    </row>
    <row r="640">
      <c r="C640" s="79"/>
      <c r="D640" s="79"/>
      <c r="J640" s="79"/>
      <c r="P640" s="79"/>
      <c r="Q640" s="79"/>
      <c r="T640" s="79"/>
      <c r="U640" s="79"/>
      <c r="X640" s="130"/>
      <c r="Z640" s="106"/>
    </row>
    <row r="641">
      <c r="C641" s="79"/>
      <c r="D641" s="79"/>
      <c r="J641" s="79"/>
      <c r="P641" s="79"/>
      <c r="Q641" s="79"/>
      <c r="T641" s="79"/>
      <c r="U641" s="79"/>
      <c r="X641" s="130"/>
      <c r="Z641" s="106"/>
    </row>
    <row r="642">
      <c r="C642" s="79"/>
      <c r="D642" s="79"/>
      <c r="J642" s="79"/>
      <c r="P642" s="79"/>
      <c r="Q642" s="79"/>
      <c r="T642" s="79"/>
      <c r="U642" s="79"/>
      <c r="X642" s="130"/>
      <c r="Z642" s="106"/>
    </row>
    <row r="643">
      <c r="C643" s="79"/>
      <c r="D643" s="79"/>
      <c r="J643" s="79"/>
      <c r="P643" s="79"/>
      <c r="Q643" s="79"/>
      <c r="T643" s="79"/>
      <c r="U643" s="79"/>
      <c r="X643" s="130"/>
      <c r="Z643" s="106"/>
    </row>
    <row r="644">
      <c r="C644" s="79"/>
      <c r="D644" s="79"/>
      <c r="J644" s="79"/>
      <c r="P644" s="79"/>
      <c r="Q644" s="79"/>
      <c r="T644" s="79"/>
      <c r="U644" s="79"/>
      <c r="X644" s="130"/>
      <c r="Z644" s="106"/>
    </row>
    <row r="645">
      <c r="C645" s="79"/>
      <c r="D645" s="79"/>
      <c r="J645" s="79"/>
      <c r="P645" s="79"/>
      <c r="Q645" s="79"/>
      <c r="T645" s="79"/>
      <c r="U645" s="79"/>
      <c r="X645" s="130"/>
      <c r="Z645" s="106"/>
    </row>
    <row r="646">
      <c r="C646" s="79"/>
      <c r="D646" s="79"/>
      <c r="J646" s="79"/>
      <c r="P646" s="79"/>
      <c r="Q646" s="79"/>
      <c r="T646" s="79"/>
      <c r="U646" s="79"/>
      <c r="X646" s="130"/>
      <c r="Z646" s="106"/>
    </row>
    <row r="647">
      <c r="C647" s="79"/>
      <c r="D647" s="79"/>
      <c r="J647" s="79"/>
      <c r="P647" s="79"/>
      <c r="Q647" s="79"/>
      <c r="T647" s="79"/>
      <c r="U647" s="79"/>
      <c r="X647" s="130"/>
      <c r="Z647" s="106"/>
    </row>
    <row r="648">
      <c r="C648" s="79"/>
      <c r="D648" s="79"/>
      <c r="J648" s="79"/>
      <c r="P648" s="79"/>
      <c r="Q648" s="79"/>
      <c r="T648" s="79"/>
      <c r="U648" s="79"/>
      <c r="X648" s="130"/>
      <c r="Z648" s="106"/>
    </row>
    <row r="649">
      <c r="C649" s="79"/>
      <c r="D649" s="79"/>
      <c r="J649" s="79"/>
      <c r="P649" s="79"/>
      <c r="Q649" s="79"/>
      <c r="T649" s="79"/>
      <c r="U649" s="79"/>
      <c r="X649" s="130"/>
      <c r="Z649" s="106"/>
    </row>
    <row r="650">
      <c r="C650" s="79"/>
      <c r="D650" s="79"/>
      <c r="J650" s="79"/>
      <c r="P650" s="79"/>
      <c r="Q650" s="79"/>
      <c r="T650" s="79"/>
      <c r="U650" s="79"/>
      <c r="X650" s="130"/>
      <c r="Z650" s="106"/>
    </row>
    <row r="651">
      <c r="C651" s="79"/>
      <c r="D651" s="79"/>
      <c r="J651" s="79"/>
      <c r="P651" s="79"/>
      <c r="Q651" s="79"/>
      <c r="T651" s="79"/>
      <c r="U651" s="79"/>
      <c r="X651" s="130"/>
      <c r="Z651" s="106"/>
    </row>
    <row r="652">
      <c r="C652" s="79"/>
      <c r="D652" s="79"/>
      <c r="J652" s="79"/>
      <c r="P652" s="79"/>
      <c r="Q652" s="79"/>
      <c r="T652" s="79"/>
      <c r="U652" s="79"/>
      <c r="X652" s="130"/>
      <c r="Z652" s="106"/>
    </row>
    <row r="653">
      <c r="C653" s="79"/>
      <c r="D653" s="79"/>
      <c r="J653" s="79"/>
      <c r="P653" s="79"/>
      <c r="Q653" s="79"/>
      <c r="T653" s="79"/>
      <c r="U653" s="79"/>
      <c r="X653" s="130"/>
      <c r="Z653" s="106"/>
    </row>
    <row r="654">
      <c r="C654" s="79"/>
      <c r="D654" s="79"/>
      <c r="J654" s="79"/>
      <c r="P654" s="79"/>
      <c r="Q654" s="79"/>
      <c r="T654" s="79"/>
      <c r="U654" s="79"/>
      <c r="X654" s="130"/>
      <c r="Z654" s="106"/>
    </row>
    <row r="655">
      <c r="C655" s="79"/>
      <c r="D655" s="79"/>
      <c r="J655" s="79"/>
      <c r="P655" s="79"/>
      <c r="Q655" s="79"/>
      <c r="T655" s="79"/>
      <c r="U655" s="79"/>
      <c r="X655" s="130"/>
      <c r="Z655" s="106"/>
    </row>
    <row r="656">
      <c r="C656" s="79"/>
      <c r="D656" s="79"/>
      <c r="J656" s="79"/>
      <c r="P656" s="79"/>
      <c r="Q656" s="79"/>
      <c r="T656" s="79"/>
      <c r="U656" s="79"/>
      <c r="X656" s="130"/>
      <c r="Z656" s="106"/>
    </row>
    <row r="657">
      <c r="C657" s="79"/>
      <c r="D657" s="79"/>
      <c r="J657" s="79"/>
      <c r="P657" s="79"/>
      <c r="Q657" s="79"/>
      <c r="T657" s="79"/>
      <c r="U657" s="79"/>
      <c r="X657" s="130"/>
      <c r="Z657" s="106"/>
    </row>
    <row r="658">
      <c r="C658" s="79"/>
      <c r="D658" s="79"/>
      <c r="J658" s="79"/>
      <c r="P658" s="79"/>
      <c r="Q658" s="79"/>
      <c r="T658" s="79"/>
      <c r="U658" s="79"/>
      <c r="X658" s="130"/>
      <c r="Z658" s="106"/>
    </row>
    <row r="659">
      <c r="C659" s="79"/>
      <c r="D659" s="79"/>
      <c r="J659" s="79"/>
      <c r="P659" s="79"/>
      <c r="Q659" s="79"/>
      <c r="T659" s="79"/>
      <c r="U659" s="79"/>
      <c r="X659" s="130"/>
      <c r="Z659" s="106"/>
    </row>
    <row r="660">
      <c r="C660" s="79"/>
      <c r="D660" s="79"/>
      <c r="J660" s="79"/>
      <c r="P660" s="79"/>
      <c r="Q660" s="79"/>
      <c r="T660" s="79"/>
      <c r="U660" s="79"/>
      <c r="X660" s="130"/>
      <c r="Z660" s="106"/>
    </row>
    <row r="661">
      <c r="C661" s="79"/>
      <c r="D661" s="79"/>
      <c r="J661" s="79"/>
      <c r="P661" s="79"/>
      <c r="Q661" s="79"/>
      <c r="T661" s="79"/>
      <c r="U661" s="79"/>
      <c r="X661" s="130"/>
      <c r="Z661" s="106"/>
    </row>
    <row r="662">
      <c r="C662" s="79"/>
      <c r="D662" s="79"/>
      <c r="J662" s="79"/>
      <c r="P662" s="79"/>
      <c r="Q662" s="79"/>
      <c r="T662" s="79"/>
      <c r="U662" s="79"/>
      <c r="X662" s="130"/>
      <c r="Z662" s="106"/>
    </row>
    <row r="663">
      <c r="C663" s="79"/>
      <c r="D663" s="79"/>
      <c r="J663" s="79"/>
      <c r="P663" s="79"/>
      <c r="Q663" s="79"/>
      <c r="T663" s="79"/>
      <c r="U663" s="79"/>
      <c r="X663" s="130"/>
      <c r="Z663" s="106"/>
    </row>
    <row r="664">
      <c r="C664" s="79"/>
      <c r="D664" s="79"/>
      <c r="J664" s="79"/>
      <c r="P664" s="79"/>
      <c r="Q664" s="79"/>
      <c r="T664" s="79"/>
      <c r="U664" s="79"/>
      <c r="X664" s="130"/>
      <c r="Z664" s="106"/>
    </row>
    <row r="665">
      <c r="C665" s="79"/>
      <c r="D665" s="79"/>
      <c r="J665" s="79"/>
      <c r="P665" s="79"/>
      <c r="Q665" s="79"/>
      <c r="T665" s="79"/>
      <c r="U665" s="79"/>
      <c r="X665" s="130"/>
      <c r="Z665" s="106"/>
    </row>
    <row r="666">
      <c r="C666" s="79"/>
      <c r="D666" s="79"/>
      <c r="J666" s="79"/>
      <c r="P666" s="79"/>
      <c r="Q666" s="79"/>
      <c r="T666" s="79"/>
      <c r="U666" s="79"/>
      <c r="X666" s="130"/>
      <c r="Z666" s="106"/>
    </row>
    <row r="667">
      <c r="C667" s="79"/>
      <c r="D667" s="79"/>
      <c r="J667" s="79"/>
      <c r="P667" s="79"/>
      <c r="Q667" s="79"/>
      <c r="T667" s="79"/>
      <c r="U667" s="79"/>
      <c r="X667" s="130"/>
      <c r="Z667" s="106"/>
    </row>
    <row r="668">
      <c r="C668" s="79"/>
      <c r="D668" s="79"/>
      <c r="J668" s="79"/>
      <c r="P668" s="79"/>
      <c r="Q668" s="79"/>
      <c r="T668" s="79"/>
      <c r="U668" s="79"/>
      <c r="X668" s="130"/>
      <c r="Z668" s="106"/>
    </row>
    <row r="669">
      <c r="C669" s="79"/>
      <c r="D669" s="79"/>
      <c r="J669" s="79"/>
      <c r="P669" s="79"/>
      <c r="Q669" s="79"/>
      <c r="T669" s="79"/>
      <c r="U669" s="79"/>
      <c r="X669" s="130"/>
      <c r="Z669" s="106"/>
    </row>
    <row r="670">
      <c r="C670" s="79"/>
      <c r="D670" s="79"/>
      <c r="J670" s="79"/>
      <c r="P670" s="79"/>
      <c r="Q670" s="79"/>
      <c r="T670" s="79"/>
      <c r="U670" s="79"/>
      <c r="X670" s="130"/>
      <c r="Z670" s="106"/>
    </row>
    <row r="671">
      <c r="C671" s="79"/>
      <c r="D671" s="79"/>
      <c r="J671" s="79"/>
      <c r="P671" s="79"/>
      <c r="Q671" s="79"/>
      <c r="T671" s="79"/>
      <c r="U671" s="79"/>
      <c r="X671" s="130"/>
      <c r="Z671" s="106"/>
    </row>
    <row r="672">
      <c r="C672" s="79"/>
      <c r="D672" s="79"/>
      <c r="J672" s="79"/>
      <c r="P672" s="79"/>
      <c r="Q672" s="79"/>
      <c r="T672" s="79"/>
      <c r="U672" s="79"/>
      <c r="X672" s="130"/>
      <c r="Z672" s="106"/>
    </row>
    <row r="673">
      <c r="C673" s="79"/>
      <c r="D673" s="79"/>
      <c r="J673" s="79"/>
      <c r="P673" s="79"/>
      <c r="Q673" s="79"/>
      <c r="T673" s="79"/>
      <c r="U673" s="79"/>
      <c r="X673" s="130"/>
      <c r="Z673" s="106"/>
    </row>
    <row r="674">
      <c r="C674" s="79"/>
      <c r="D674" s="79"/>
      <c r="J674" s="79"/>
      <c r="P674" s="79"/>
      <c r="Q674" s="79"/>
      <c r="T674" s="79"/>
      <c r="U674" s="79"/>
      <c r="X674" s="130"/>
      <c r="Z674" s="106"/>
    </row>
    <row r="675">
      <c r="C675" s="79"/>
      <c r="D675" s="79"/>
      <c r="J675" s="79"/>
      <c r="P675" s="79"/>
      <c r="Q675" s="79"/>
      <c r="T675" s="79"/>
      <c r="U675" s="79"/>
      <c r="X675" s="130"/>
      <c r="Z675" s="106"/>
    </row>
    <row r="676">
      <c r="C676" s="79"/>
      <c r="D676" s="79"/>
      <c r="J676" s="79"/>
      <c r="P676" s="79"/>
      <c r="Q676" s="79"/>
      <c r="T676" s="79"/>
      <c r="U676" s="79"/>
      <c r="X676" s="130"/>
      <c r="Z676" s="106"/>
    </row>
    <row r="677">
      <c r="C677" s="79"/>
      <c r="D677" s="79"/>
      <c r="J677" s="79"/>
      <c r="P677" s="79"/>
      <c r="Q677" s="79"/>
      <c r="T677" s="79"/>
      <c r="U677" s="79"/>
      <c r="X677" s="130"/>
      <c r="Z677" s="106"/>
    </row>
    <row r="678">
      <c r="C678" s="79"/>
      <c r="D678" s="79"/>
      <c r="J678" s="79"/>
      <c r="P678" s="79"/>
      <c r="Q678" s="79"/>
      <c r="T678" s="79"/>
      <c r="U678" s="79"/>
      <c r="X678" s="130"/>
      <c r="Z678" s="106"/>
    </row>
    <row r="679">
      <c r="C679" s="79"/>
      <c r="D679" s="79"/>
      <c r="J679" s="79"/>
      <c r="P679" s="79"/>
      <c r="Q679" s="79"/>
      <c r="T679" s="79"/>
      <c r="U679" s="79"/>
      <c r="X679" s="130"/>
      <c r="Z679" s="106"/>
    </row>
    <row r="680">
      <c r="C680" s="79"/>
      <c r="D680" s="79"/>
      <c r="J680" s="79"/>
      <c r="P680" s="79"/>
      <c r="Q680" s="79"/>
      <c r="T680" s="79"/>
      <c r="U680" s="79"/>
      <c r="X680" s="130"/>
      <c r="Z680" s="106"/>
    </row>
    <row r="681">
      <c r="C681" s="79"/>
      <c r="D681" s="79"/>
      <c r="J681" s="79"/>
      <c r="P681" s="79"/>
      <c r="Q681" s="79"/>
      <c r="T681" s="79"/>
      <c r="U681" s="79"/>
      <c r="X681" s="130"/>
      <c r="Z681" s="106"/>
    </row>
    <row r="682">
      <c r="C682" s="79"/>
      <c r="D682" s="79"/>
      <c r="J682" s="79"/>
      <c r="P682" s="79"/>
      <c r="Q682" s="79"/>
      <c r="T682" s="79"/>
      <c r="U682" s="79"/>
      <c r="X682" s="130"/>
      <c r="Z682" s="106"/>
    </row>
    <row r="683">
      <c r="C683" s="79"/>
      <c r="D683" s="79"/>
      <c r="J683" s="79"/>
      <c r="P683" s="79"/>
      <c r="Q683" s="79"/>
      <c r="T683" s="79"/>
      <c r="U683" s="79"/>
      <c r="X683" s="130"/>
      <c r="Z683" s="106"/>
    </row>
    <row r="684">
      <c r="C684" s="79"/>
      <c r="D684" s="79"/>
      <c r="J684" s="79"/>
      <c r="P684" s="79"/>
      <c r="Q684" s="79"/>
      <c r="T684" s="79"/>
      <c r="U684" s="79"/>
      <c r="X684" s="130"/>
      <c r="Z684" s="106"/>
    </row>
    <row r="685">
      <c r="C685" s="79"/>
      <c r="D685" s="79"/>
      <c r="J685" s="79"/>
      <c r="P685" s="79"/>
      <c r="Q685" s="79"/>
      <c r="T685" s="79"/>
      <c r="U685" s="79"/>
      <c r="X685" s="130"/>
      <c r="Z685" s="106"/>
    </row>
    <row r="686">
      <c r="C686" s="79"/>
      <c r="D686" s="79"/>
      <c r="J686" s="79"/>
      <c r="P686" s="79"/>
      <c r="Q686" s="79"/>
      <c r="T686" s="79"/>
      <c r="U686" s="79"/>
      <c r="X686" s="130"/>
      <c r="Z686" s="106"/>
    </row>
    <row r="687">
      <c r="C687" s="79"/>
      <c r="D687" s="79"/>
      <c r="J687" s="79"/>
      <c r="P687" s="79"/>
      <c r="Q687" s="79"/>
      <c r="T687" s="79"/>
      <c r="U687" s="79"/>
      <c r="X687" s="130"/>
      <c r="Z687" s="106"/>
    </row>
    <row r="688">
      <c r="C688" s="79"/>
      <c r="D688" s="79"/>
      <c r="J688" s="79"/>
      <c r="P688" s="79"/>
      <c r="Q688" s="79"/>
      <c r="T688" s="79"/>
      <c r="U688" s="79"/>
      <c r="X688" s="130"/>
      <c r="Z688" s="106"/>
    </row>
    <row r="689">
      <c r="C689" s="79"/>
      <c r="D689" s="79"/>
      <c r="J689" s="79"/>
      <c r="P689" s="79"/>
      <c r="Q689" s="79"/>
      <c r="T689" s="79"/>
      <c r="U689" s="79"/>
      <c r="X689" s="130"/>
      <c r="Z689" s="106"/>
    </row>
    <row r="690">
      <c r="C690" s="79"/>
      <c r="D690" s="79"/>
      <c r="J690" s="79"/>
      <c r="P690" s="79"/>
      <c r="Q690" s="79"/>
      <c r="T690" s="79"/>
      <c r="U690" s="79"/>
      <c r="X690" s="130"/>
      <c r="Z690" s="106"/>
    </row>
    <row r="691">
      <c r="C691" s="79"/>
      <c r="D691" s="79"/>
      <c r="J691" s="79"/>
      <c r="P691" s="79"/>
      <c r="Q691" s="79"/>
      <c r="T691" s="79"/>
      <c r="U691" s="79"/>
      <c r="X691" s="130"/>
      <c r="Z691" s="106"/>
    </row>
    <row r="692">
      <c r="C692" s="79"/>
      <c r="D692" s="79"/>
      <c r="J692" s="79"/>
      <c r="P692" s="79"/>
      <c r="Q692" s="79"/>
      <c r="T692" s="79"/>
      <c r="U692" s="79"/>
      <c r="X692" s="130"/>
      <c r="Z692" s="106"/>
    </row>
    <row r="693">
      <c r="C693" s="79"/>
      <c r="D693" s="79"/>
      <c r="J693" s="79"/>
      <c r="P693" s="79"/>
      <c r="Q693" s="79"/>
      <c r="T693" s="79"/>
      <c r="U693" s="79"/>
      <c r="X693" s="130"/>
      <c r="Z693" s="106"/>
    </row>
    <row r="694">
      <c r="C694" s="79"/>
      <c r="D694" s="79"/>
      <c r="J694" s="79"/>
      <c r="P694" s="79"/>
      <c r="Q694" s="79"/>
      <c r="T694" s="79"/>
      <c r="U694" s="79"/>
      <c r="X694" s="130"/>
      <c r="Z694" s="106"/>
    </row>
    <row r="695">
      <c r="C695" s="79"/>
      <c r="D695" s="79"/>
      <c r="J695" s="79"/>
      <c r="P695" s="79"/>
      <c r="Q695" s="79"/>
      <c r="T695" s="79"/>
      <c r="U695" s="79"/>
      <c r="X695" s="130"/>
      <c r="Z695" s="106"/>
    </row>
    <row r="696">
      <c r="C696" s="79"/>
      <c r="D696" s="79"/>
      <c r="J696" s="79"/>
      <c r="P696" s="79"/>
      <c r="Q696" s="79"/>
      <c r="T696" s="79"/>
      <c r="U696" s="79"/>
      <c r="X696" s="130"/>
      <c r="Z696" s="106"/>
    </row>
    <row r="697">
      <c r="C697" s="79"/>
      <c r="D697" s="79"/>
      <c r="J697" s="79"/>
      <c r="P697" s="79"/>
      <c r="Q697" s="79"/>
      <c r="T697" s="79"/>
      <c r="U697" s="79"/>
      <c r="X697" s="130"/>
      <c r="Z697" s="106"/>
    </row>
    <row r="698">
      <c r="C698" s="79"/>
      <c r="D698" s="79"/>
      <c r="J698" s="79"/>
      <c r="P698" s="79"/>
      <c r="Q698" s="79"/>
      <c r="T698" s="79"/>
      <c r="U698" s="79"/>
      <c r="X698" s="130"/>
      <c r="Z698" s="106"/>
    </row>
    <row r="699">
      <c r="C699" s="79"/>
      <c r="D699" s="79"/>
      <c r="J699" s="79"/>
      <c r="P699" s="79"/>
      <c r="Q699" s="79"/>
      <c r="T699" s="79"/>
      <c r="U699" s="79"/>
      <c r="X699" s="130"/>
      <c r="Z699" s="106"/>
    </row>
    <row r="700">
      <c r="C700" s="79"/>
      <c r="D700" s="79"/>
      <c r="J700" s="79"/>
      <c r="P700" s="79"/>
      <c r="Q700" s="79"/>
      <c r="T700" s="79"/>
      <c r="U700" s="79"/>
      <c r="X700" s="130"/>
      <c r="Z700" s="106"/>
    </row>
    <row r="701">
      <c r="C701" s="79"/>
      <c r="D701" s="79"/>
      <c r="J701" s="79"/>
      <c r="P701" s="79"/>
      <c r="Q701" s="79"/>
      <c r="T701" s="79"/>
      <c r="U701" s="79"/>
      <c r="X701" s="130"/>
      <c r="Z701" s="106"/>
    </row>
    <row r="702">
      <c r="C702" s="79"/>
      <c r="D702" s="79"/>
      <c r="J702" s="79"/>
      <c r="P702" s="79"/>
      <c r="Q702" s="79"/>
      <c r="T702" s="79"/>
      <c r="U702" s="79"/>
      <c r="X702" s="130"/>
      <c r="Z702" s="106"/>
    </row>
    <row r="703">
      <c r="C703" s="79"/>
      <c r="D703" s="79"/>
      <c r="J703" s="79"/>
      <c r="P703" s="79"/>
      <c r="Q703" s="79"/>
      <c r="T703" s="79"/>
      <c r="U703" s="79"/>
      <c r="X703" s="130"/>
      <c r="Z703" s="106"/>
    </row>
    <row r="704">
      <c r="C704" s="79"/>
      <c r="D704" s="79"/>
      <c r="J704" s="79"/>
      <c r="P704" s="79"/>
      <c r="Q704" s="79"/>
      <c r="T704" s="79"/>
      <c r="U704" s="79"/>
      <c r="X704" s="130"/>
      <c r="Z704" s="106"/>
    </row>
    <row r="705">
      <c r="C705" s="79"/>
      <c r="D705" s="79"/>
      <c r="J705" s="79"/>
      <c r="P705" s="79"/>
      <c r="Q705" s="79"/>
      <c r="T705" s="79"/>
      <c r="U705" s="79"/>
      <c r="X705" s="130"/>
      <c r="Z705" s="106"/>
    </row>
    <row r="706">
      <c r="C706" s="79"/>
      <c r="D706" s="79"/>
      <c r="J706" s="79"/>
      <c r="P706" s="79"/>
      <c r="Q706" s="79"/>
      <c r="T706" s="79"/>
      <c r="U706" s="79"/>
      <c r="X706" s="130"/>
      <c r="Z706" s="106"/>
    </row>
    <row r="707">
      <c r="C707" s="79"/>
      <c r="D707" s="79"/>
      <c r="J707" s="79"/>
      <c r="P707" s="79"/>
      <c r="Q707" s="79"/>
      <c r="T707" s="79"/>
      <c r="U707" s="79"/>
      <c r="X707" s="130"/>
      <c r="Z707" s="106"/>
    </row>
    <row r="708">
      <c r="C708" s="79"/>
      <c r="D708" s="79"/>
      <c r="J708" s="79"/>
      <c r="P708" s="79"/>
      <c r="Q708" s="79"/>
      <c r="T708" s="79"/>
      <c r="U708" s="79"/>
      <c r="X708" s="130"/>
      <c r="Z708" s="106"/>
    </row>
    <row r="709">
      <c r="C709" s="79"/>
      <c r="D709" s="79"/>
      <c r="J709" s="79"/>
      <c r="P709" s="79"/>
      <c r="Q709" s="79"/>
      <c r="T709" s="79"/>
      <c r="U709" s="79"/>
      <c r="X709" s="130"/>
      <c r="Z709" s="106"/>
    </row>
    <row r="710">
      <c r="C710" s="79"/>
      <c r="D710" s="79"/>
      <c r="J710" s="79"/>
      <c r="P710" s="79"/>
      <c r="Q710" s="79"/>
      <c r="T710" s="79"/>
      <c r="U710" s="79"/>
      <c r="X710" s="130"/>
      <c r="Z710" s="106"/>
    </row>
    <row r="711">
      <c r="C711" s="79"/>
      <c r="D711" s="79"/>
      <c r="J711" s="79"/>
      <c r="P711" s="79"/>
      <c r="Q711" s="79"/>
      <c r="T711" s="79"/>
      <c r="U711" s="79"/>
      <c r="X711" s="130"/>
      <c r="Z711" s="106"/>
    </row>
    <row r="712">
      <c r="C712" s="79"/>
      <c r="D712" s="79"/>
      <c r="J712" s="79"/>
      <c r="P712" s="79"/>
      <c r="Q712" s="79"/>
      <c r="T712" s="79"/>
      <c r="U712" s="79"/>
      <c r="X712" s="130"/>
      <c r="Z712" s="106"/>
    </row>
    <row r="713">
      <c r="C713" s="79"/>
      <c r="D713" s="79"/>
      <c r="J713" s="79"/>
      <c r="P713" s="79"/>
      <c r="Q713" s="79"/>
      <c r="T713" s="79"/>
      <c r="U713" s="79"/>
      <c r="X713" s="130"/>
      <c r="Z713" s="106"/>
    </row>
    <row r="714">
      <c r="C714" s="79"/>
      <c r="D714" s="79"/>
      <c r="J714" s="79"/>
      <c r="P714" s="79"/>
      <c r="Q714" s="79"/>
      <c r="T714" s="79"/>
      <c r="U714" s="79"/>
      <c r="X714" s="130"/>
      <c r="Z714" s="106"/>
    </row>
    <row r="715">
      <c r="C715" s="79"/>
      <c r="D715" s="79"/>
      <c r="J715" s="79"/>
      <c r="P715" s="79"/>
      <c r="Q715" s="79"/>
      <c r="T715" s="79"/>
      <c r="U715" s="79"/>
      <c r="X715" s="130"/>
      <c r="Z715" s="106"/>
    </row>
    <row r="716">
      <c r="C716" s="79"/>
      <c r="D716" s="79"/>
      <c r="J716" s="79"/>
      <c r="P716" s="79"/>
      <c r="Q716" s="79"/>
      <c r="T716" s="79"/>
      <c r="U716" s="79"/>
      <c r="X716" s="130"/>
      <c r="Z716" s="106"/>
    </row>
    <row r="717">
      <c r="C717" s="79"/>
      <c r="D717" s="79"/>
      <c r="J717" s="79"/>
      <c r="P717" s="79"/>
      <c r="Q717" s="79"/>
      <c r="T717" s="79"/>
      <c r="U717" s="79"/>
      <c r="X717" s="130"/>
      <c r="Z717" s="106"/>
    </row>
    <row r="718">
      <c r="C718" s="79"/>
      <c r="D718" s="79"/>
      <c r="J718" s="79"/>
      <c r="P718" s="79"/>
      <c r="Q718" s="79"/>
      <c r="T718" s="79"/>
      <c r="U718" s="79"/>
      <c r="X718" s="130"/>
      <c r="Z718" s="106"/>
    </row>
    <row r="719">
      <c r="C719" s="79"/>
      <c r="D719" s="79"/>
      <c r="J719" s="79"/>
      <c r="P719" s="79"/>
      <c r="Q719" s="79"/>
      <c r="T719" s="79"/>
      <c r="U719" s="79"/>
      <c r="X719" s="130"/>
      <c r="Z719" s="106"/>
    </row>
    <row r="720">
      <c r="C720" s="79"/>
      <c r="D720" s="79"/>
      <c r="J720" s="79"/>
      <c r="P720" s="79"/>
      <c r="Q720" s="79"/>
      <c r="T720" s="79"/>
      <c r="U720" s="79"/>
      <c r="X720" s="130"/>
      <c r="Z720" s="106"/>
    </row>
    <row r="721">
      <c r="C721" s="79"/>
      <c r="D721" s="79"/>
      <c r="J721" s="79"/>
      <c r="P721" s="79"/>
      <c r="Q721" s="79"/>
      <c r="T721" s="79"/>
      <c r="U721" s="79"/>
      <c r="X721" s="130"/>
      <c r="Z721" s="106"/>
    </row>
    <row r="722">
      <c r="C722" s="79"/>
      <c r="D722" s="79"/>
      <c r="J722" s="79"/>
      <c r="P722" s="79"/>
      <c r="Q722" s="79"/>
      <c r="T722" s="79"/>
      <c r="U722" s="79"/>
      <c r="X722" s="130"/>
      <c r="Z722" s="106"/>
    </row>
    <row r="723">
      <c r="C723" s="79"/>
      <c r="D723" s="79"/>
      <c r="J723" s="79"/>
      <c r="P723" s="79"/>
      <c r="Q723" s="79"/>
      <c r="T723" s="79"/>
      <c r="U723" s="79"/>
      <c r="X723" s="130"/>
      <c r="Z723" s="106"/>
    </row>
    <row r="724">
      <c r="C724" s="79"/>
      <c r="D724" s="79"/>
      <c r="J724" s="79"/>
      <c r="P724" s="79"/>
      <c r="Q724" s="79"/>
      <c r="T724" s="79"/>
      <c r="U724" s="79"/>
      <c r="X724" s="130"/>
      <c r="Z724" s="106"/>
    </row>
    <row r="725">
      <c r="C725" s="79"/>
      <c r="D725" s="79"/>
      <c r="J725" s="79"/>
      <c r="P725" s="79"/>
      <c r="Q725" s="79"/>
      <c r="T725" s="79"/>
      <c r="U725" s="79"/>
      <c r="X725" s="130"/>
      <c r="Z725" s="106"/>
    </row>
    <row r="726">
      <c r="C726" s="79"/>
      <c r="D726" s="79"/>
      <c r="J726" s="79"/>
      <c r="P726" s="79"/>
      <c r="Q726" s="79"/>
      <c r="T726" s="79"/>
      <c r="U726" s="79"/>
      <c r="X726" s="130"/>
      <c r="Z726" s="106"/>
    </row>
    <row r="727">
      <c r="C727" s="79"/>
      <c r="D727" s="79"/>
      <c r="J727" s="79"/>
      <c r="P727" s="79"/>
      <c r="Q727" s="79"/>
      <c r="T727" s="79"/>
      <c r="U727" s="79"/>
      <c r="X727" s="130"/>
      <c r="Z727" s="106"/>
    </row>
    <row r="728">
      <c r="C728" s="79"/>
      <c r="D728" s="79"/>
      <c r="J728" s="79"/>
      <c r="P728" s="79"/>
      <c r="Q728" s="79"/>
      <c r="T728" s="79"/>
      <c r="U728" s="79"/>
      <c r="X728" s="130"/>
      <c r="Z728" s="106"/>
    </row>
    <row r="729">
      <c r="C729" s="79"/>
      <c r="D729" s="79"/>
      <c r="J729" s="79"/>
      <c r="P729" s="79"/>
      <c r="Q729" s="79"/>
      <c r="T729" s="79"/>
      <c r="U729" s="79"/>
      <c r="X729" s="130"/>
      <c r="Z729" s="106"/>
    </row>
    <row r="730">
      <c r="C730" s="79"/>
      <c r="D730" s="79"/>
      <c r="J730" s="79"/>
      <c r="P730" s="79"/>
      <c r="Q730" s="79"/>
      <c r="T730" s="79"/>
      <c r="U730" s="79"/>
      <c r="X730" s="130"/>
      <c r="Z730" s="106"/>
    </row>
    <row r="731">
      <c r="C731" s="79"/>
      <c r="D731" s="79"/>
      <c r="J731" s="79"/>
      <c r="P731" s="79"/>
      <c r="Q731" s="79"/>
      <c r="T731" s="79"/>
      <c r="U731" s="79"/>
      <c r="X731" s="130"/>
      <c r="Z731" s="106"/>
    </row>
    <row r="732">
      <c r="C732" s="79"/>
      <c r="D732" s="79"/>
      <c r="J732" s="79"/>
      <c r="P732" s="79"/>
      <c r="Q732" s="79"/>
      <c r="T732" s="79"/>
      <c r="U732" s="79"/>
      <c r="X732" s="130"/>
      <c r="Z732" s="106"/>
    </row>
    <row r="733">
      <c r="C733" s="79"/>
      <c r="D733" s="79"/>
      <c r="J733" s="79"/>
      <c r="P733" s="79"/>
      <c r="Q733" s="79"/>
      <c r="T733" s="79"/>
      <c r="U733" s="79"/>
      <c r="X733" s="130"/>
      <c r="Z733" s="106"/>
    </row>
    <row r="734">
      <c r="C734" s="79"/>
      <c r="D734" s="79"/>
      <c r="J734" s="79"/>
      <c r="P734" s="79"/>
      <c r="Q734" s="79"/>
      <c r="T734" s="79"/>
      <c r="U734" s="79"/>
      <c r="X734" s="130"/>
      <c r="Z734" s="106"/>
    </row>
    <row r="735">
      <c r="C735" s="79"/>
      <c r="D735" s="79"/>
      <c r="J735" s="79"/>
      <c r="P735" s="79"/>
      <c r="Q735" s="79"/>
      <c r="T735" s="79"/>
      <c r="U735" s="79"/>
      <c r="X735" s="130"/>
      <c r="Z735" s="106"/>
    </row>
    <row r="736">
      <c r="C736" s="79"/>
      <c r="D736" s="79"/>
      <c r="J736" s="79"/>
      <c r="P736" s="79"/>
      <c r="Q736" s="79"/>
      <c r="T736" s="79"/>
      <c r="U736" s="79"/>
      <c r="X736" s="130"/>
      <c r="Z736" s="106"/>
    </row>
    <row r="737">
      <c r="C737" s="79"/>
      <c r="D737" s="79"/>
      <c r="J737" s="79"/>
      <c r="P737" s="79"/>
      <c r="Q737" s="79"/>
      <c r="T737" s="79"/>
      <c r="U737" s="79"/>
      <c r="X737" s="130"/>
      <c r="Z737" s="106"/>
    </row>
    <row r="738">
      <c r="C738" s="79"/>
      <c r="D738" s="79"/>
      <c r="J738" s="79"/>
      <c r="P738" s="79"/>
      <c r="Q738" s="79"/>
      <c r="T738" s="79"/>
      <c r="U738" s="79"/>
      <c r="X738" s="130"/>
      <c r="Z738" s="106"/>
    </row>
    <row r="739">
      <c r="C739" s="79"/>
      <c r="D739" s="79"/>
      <c r="J739" s="79"/>
      <c r="P739" s="79"/>
      <c r="Q739" s="79"/>
      <c r="T739" s="79"/>
      <c r="U739" s="79"/>
      <c r="X739" s="130"/>
      <c r="Z739" s="106"/>
    </row>
    <row r="740">
      <c r="C740" s="79"/>
      <c r="D740" s="79"/>
      <c r="J740" s="79"/>
      <c r="P740" s="79"/>
      <c r="Q740" s="79"/>
      <c r="T740" s="79"/>
      <c r="U740" s="79"/>
      <c r="X740" s="130"/>
      <c r="Z740" s="106"/>
    </row>
    <row r="741">
      <c r="C741" s="79"/>
      <c r="D741" s="79"/>
      <c r="J741" s="79"/>
      <c r="P741" s="79"/>
      <c r="Q741" s="79"/>
      <c r="T741" s="79"/>
      <c r="U741" s="79"/>
      <c r="X741" s="130"/>
      <c r="Z741" s="106"/>
    </row>
    <row r="742">
      <c r="C742" s="79"/>
      <c r="D742" s="79"/>
      <c r="J742" s="79"/>
      <c r="P742" s="79"/>
      <c r="Q742" s="79"/>
      <c r="T742" s="79"/>
      <c r="U742" s="79"/>
      <c r="X742" s="130"/>
      <c r="Z742" s="106"/>
    </row>
    <row r="743">
      <c r="C743" s="79"/>
      <c r="D743" s="79"/>
      <c r="J743" s="79"/>
      <c r="P743" s="79"/>
      <c r="Q743" s="79"/>
      <c r="T743" s="79"/>
      <c r="U743" s="79"/>
      <c r="X743" s="130"/>
      <c r="Z743" s="106"/>
    </row>
    <row r="744">
      <c r="C744" s="79"/>
      <c r="D744" s="79"/>
      <c r="J744" s="79"/>
      <c r="P744" s="79"/>
      <c r="Q744" s="79"/>
      <c r="T744" s="79"/>
      <c r="U744" s="79"/>
      <c r="X744" s="130"/>
      <c r="Z744" s="106"/>
    </row>
    <row r="745">
      <c r="C745" s="79"/>
      <c r="D745" s="79"/>
      <c r="J745" s="79"/>
      <c r="P745" s="79"/>
      <c r="Q745" s="79"/>
      <c r="T745" s="79"/>
      <c r="U745" s="79"/>
      <c r="X745" s="130"/>
      <c r="Z745" s="106"/>
    </row>
    <row r="746">
      <c r="C746" s="79"/>
      <c r="D746" s="79"/>
      <c r="J746" s="79"/>
      <c r="P746" s="79"/>
      <c r="Q746" s="79"/>
      <c r="T746" s="79"/>
      <c r="U746" s="79"/>
      <c r="X746" s="130"/>
      <c r="Z746" s="106"/>
    </row>
    <row r="747">
      <c r="C747" s="79"/>
      <c r="D747" s="79"/>
      <c r="J747" s="79"/>
      <c r="P747" s="79"/>
      <c r="Q747" s="79"/>
      <c r="T747" s="79"/>
      <c r="U747" s="79"/>
      <c r="X747" s="130"/>
      <c r="Z747" s="106"/>
    </row>
    <row r="748">
      <c r="C748" s="79"/>
      <c r="D748" s="79"/>
      <c r="J748" s="79"/>
      <c r="P748" s="79"/>
      <c r="Q748" s="79"/>
      <c r="T748" s="79"/>
      <c r="U748" s="79"/>
      <c r="X748" s="130"/>
      <c r="Z748" s="106"/>
    </row>
    <row r="749">
      <c r="C749" s="79"/>
      <c r="D749" s="79"/>
      <c r="J749" s="79"/>
      <c r="P749" s="79"/>
      <c r="Q749" s="79"/>
      <c r="T749" s="79"/>
      <c r="U749" s="79"/>
      <c r="X749" s="130"/>
      <c r="Z749" s="106"/>
    </row>
    <row r="750">
      <c r="C750" s="79"/>
      <c r="D750" s="79"/>
      <c r="J750" s="79"/>
      <c r="P750" s="79"/>
      <c r="Q750" s="79"/>
      <c r="T750" s="79"/>
      <c r="U750" s="79"/>
      <c r="X750" s="130"/>
      <c r="Z750" s="106"/>
    </row>
    <row r="751">
      <c r="C751" s="79"/>
      <c r="D751" s="79"/>
      <c r="J751" s="79"/>
      <c r="P751" s="79"/>
      <c r="Q751" s="79"/>
      <c r="T751" s="79"/>
      <c r="U751" s="79"/>
      <c r="X751" s="130"/>
      <c r="Z751" s="106"/>
    </row>
    <row r="752">
      <c r="C752" s="79"/>
      <c r="D752" s="79"/>
      <c r="J752" s="79"/>
      <c r="P752" s="79"/>
      <c r="Q752" s="79"/>
      <c r="T752" s="79"/>
      <c r="U752" s="79"/>
      <c r="X752" s="130"/>
      <c r="Z752" s="106"/>
    </row>
    <row r="753">
      <c r="C753" s="79"/>
      <c r="D753" s="79"/>
      <c r="J753" s="79"/>
      <c r="P753" s="79"/>
      <c r="Q753" s="79"/>
      <c r="T753" s="79"/>
      <c r="U753" s="79"/>
      <c r="X753" s="130"/>
      <c r="Z753" s="106"/>
    </row>
    <row r="754">
      <c r="C754" s="79"/>
      <c r="D754" s="79"/>
      <c r="J754" s="79"/>
      <c r="P754" s="79"/>
      <c r="Q754" s="79"/>
      <c r="T754" s="79"/>
      <c r="U754" s="79"/>
      <c r="X754" s="130"/>
      <c r="Z754" s="106"/>
    </row>
    <row r="755">
      <c r="C755" s="79"/>
      <c r="D755" s="79"/>
      <c r="J755" s="79"/>
      <c r="P755" s="79"/>
      <c r="Q755" s="79"/>
      <c r="T755" s="79"/>
      <c r="U755" s="79"/>
      <c r="X755" s="130"/>
      <c r="Z755" s="106"/>
    </row>
    <row r="756">
      <c r="C756" s="79"/>
      <c r="D756" s="79"/>
      <c r="J756" s="79"/>
      <c r="P756" s="79"/>
      <c r="Q756" s="79"/>
      <c r="T756" s="79"/>
      <c r="U756" s="79"/>
      <c r="X756" s="130"/>
      <c r="Z756" s="106"/>
    </row>
    <row r="757">
      <c r="C757" s="79"/>
      <c r="D757" s="79"/>
      <c r="J757" s="79"/>
      <c r="P757" s="79"/>
      <c r="Q757" s="79"/>
      <c r="T757" s="79"/>
      <c r="U757" s="79"/>
      <c r="X757" s="130"/>
      <c r="Z757" s="106"/>
    </row>
    <row r="758">
      <c r="C758" s="79"/>
      <c r="D758" s="79"/>
      <c r="J758" s="79"/>
      <c r="P758" s="79"/>
      <c r="Q758" s="79"/>
      <c r="T758" s="79"/>
      <c r="U758" s="79"/>
      <c r="X758" s="130"/>
      <c r="Z758" s="106"/>
    </row>
    <row r="759">
      <c r="C759" s="79"/>
      <c r="D759" s="79"/>
      <c r="J759" s="79"/>
      <c r="P759" s="79"/>
      <c r="Q759" s="79"/>
      <c r="T759" s="79"/>
      <c r="U759" s="79"/>
      <c r="X759" s="130"/>
      <c r="Z759" s="106"/>
    </row>
    <row r="760">
      <c r="C760" s="79"/>
      <c r="D760" s="79"/>
      <c r="J760" s="79"/>
      <c r="P760" s="79"/>
      <c r="Q760" s="79"/>
      <c r="T760" s="79"/>
      <c r="U760" s="79"/>
      <c r="X760" s="130"/>
      <c r="Z760" s="106"/>
    </row>
    <row r="761">
      <c r="C761" s="79"/>
      <c r="D761" s="79"/>
      <c r="J761" s="79"/>
      <c r="P761" s="79"/>
      <c r="Q761" s="79"/>
      <c r="T761" s="79"/>
      <c r="U761" s="79"/>
      <c r="X761" s="130"/>
      <c r="Z761" s="106"/>
    </row>
    <row r="762">
      <c r="C762" s="79"/>
      <c r="D762" s="79"/>
      <c r="J762" s="79"/>
      <c r="P762" s="79"/>
      <c r="Q762" s="79"/>
      <c r="T762" s="79"/>
      <c r="U762" s="79"/>
      <c r="X762" s="130"/>
      <c r="Z762" s="106"/>
    </row>
    <row r="763">
      <c r="C763" s="79"/>
      <c r="D763" s="79"/>
      <c r="J763" s="79"/>
      <c r="P763" s="79"/>
      <c r="Q763" s="79"/>
      <c r="T763" s="79"/>
      <c r="U763" s="79"/>
      <c r="X763" s="130"/>
      <c r="Z763" s="106"/>
    </row>
    <row r="764">
      <c r="C764" s="79"/>
      <c r="D764" s="79"/>
      <c r="J764" s="79"/>
      <c r="P764" s="79"/>
      <c r="Q764" s="79"/>
      <c r="T764" s="79"/>
      <c r="U764" s="79"/>
      <c r="X764" s="130"/>
      <c r="Z764" s="106"/>
    </row>
    <row r="765">
      <c r="C765" s="79"/>
      <c r="D765" s="79"/>
      <c r="J765" s="79"/>
      <c r="P765" s="79"/>
      <c r="Q765" s="79"/>
      <c r="T765" s="79"/>
      <c r="U765" s="79"/>
      <c r="X765" s="130"/>
      <c r="Z765" s="106"/>
    </row>
    <row r="766">
      <c r="C766" s="79"/>
      <c r="D766" s="79"/>
      <c r="J766" s="79"/>
      <c r="P766" s="79"/>
      <c r="Q766" s="79"/>
      <c r="T766" s="79"/>
      <c r="U766" s="79"/>
      <c r="X766" s="130"/>
      <c r="Z766" s="106"/>
    </row>
    <row r="767">
      <c r="C767" s="79"/>
      <c r="D767" s="79"/>
      <c r="J767" s="79"/>
      <c r="P767" s="79"/>
      <c r="Q767" s="79"/>
      <c r="T767" s="79"/>
      <c r="U767" s="79"/>
      <c r="X767" s="130"/>
      <c r="Z767" s="106"/>
    </row>
    <row r="768">
      <c r="C768" s="79"/>
      <c r="D768" s="79"/>
      <c r="J768" s="79"/>
      <c r="P768" s="79"/>
      <c r="Q768" s="79"/>
      <c r="T768" s="79"/>
      <c r="U768" s="79"/>
      <c r="X768" s="130"/>
      <c r="Z768" s="106"/>
    </row>
    <row r="769">
      <c r="C769" s="79"/>
      <c r="D769" s="79"/>
      <c r="J769" s="79"/>
      <c r="P769" s="79"/>
      <c r="Q769" s="79"/>
      <c r="T769" s="79"/>
      <c r="U769" s="79"/>
      <c r="X769" s="130"/>
      <c r="Z769" s="106"/>
    </row>
    <row r="770">
      <c r="C770" s="79"/>
      <c r="D770" s="79"/>
      <c r="J770" s="79"/>
      <c r="P770" s="79"/>
      <c r="Q770" s="79"/>
      <c r="T770" s="79"/>
      <c r="U770" s="79"/>
      <c r="X770" s="130"/>
      <c r="Z770" s="106"/>
    </row>
    <row r="771">
      <c r="C771" s="79"/>
      <c r="D771" s="79"/>
      <c r="J771" s="79"/>
      <c r="P771" s="79"/>
      <c r="Q771" s="79"/>
      <c r="T771" s="79"/>
      <c r="U771" s="79"/>
      <c r="X771" s="130"/>
      <c r="Z771" s="106"/>
    </row>
    <row r="772">
      <c r="C772" s="79"/>
      <c r="D772" s="79"/>
      <c r="J772" s="79"/>
      <c r="P772" s="79"/>
      <c r="Q772" s="79"/>
      <c r="T772" s="79"/>
      <c r="U772" s="79"/>
      <c r="X772" s="130"/>
      <c r="Z772" s="106"/>
    </row>
    <row r="773">
      <c r="C773" s="79"/>
      <c r="D773" s="79"/>
      <c r="J773" s="79"/>
      <c r="P773" s="79"/>
      <c r="Q773" s="79"/>
      <c r="T773" s="79"/>
      <c r="U773" s="79"/>
      <c r="X773" s="130"/>
      <c r="Z773" s="106"/>
    </row>
    <row r="774">
      <c r="C774" s="79"/>
      <c r="D774" s="79"/>
      <c r="J774" s="79"/>
      <c r="P774" s="79"/>
      <c r="Q774" s="79"/>
      <c r="T774" s="79"/>
      <c r="U774" s="79"/>
      <c r="X774" s="130"/>
      <c r="Z774" s="106"/>
    </row>
    <row r="775">
      <c r="C775" s="79"/>
      <c r="D775" s="79"/>
      <c r="J775" s="79"/>
      <c r="P775" s="79"/>
      <c r="Q775" s="79"/>
      <c r="T775" s="79"/>
      <c r="U775" s="79"/>
      <c r="X775" s="130"/>
      <c r="Z775" s="106"/>
    </row>
    <row r="776">
      <c r="C776" s="79"/>
      <c r="D776" s="79"/>
      <c r="J776" s="79"/>
      <c r="P776" s="79"/>
      <c r="Q776" s="79"/>
      <c r="T776" s="79"/>
      <c r="U776" s="79"/>
      <c r="X776" s="130"/>
      <c r="Z776" s="106"/>
    </row>
    <row r="777">
      <c r="C777" s="79"/>
      <c r="D777" s="79"/>
      <c r="J777" s="79"/>
      <c r="P777" s="79"/>
      <c r="Q777" s="79"/>
      <c r="T777" s="79"/>
      <c r="U777" s="79"/>
      <c r="X777" s="130"/>
      <c r="Z777" s="106"/>
    </row>
    <row r="778">
      <c r="C778" s="79"/>
      <c r="D778" s="79"/>
      <c r="J778" s="79"/>
      <c r="P778" s="79"/>
      <c r="Q778" s="79"/>
      <c r="T778" s="79"/>
      <c r="U778" s="79"/>
      <c r="X778" s="130"/>
      <c r="Z778" s="106"/>
    </row>
    <row r="779">
      <c r="C779" s="79"/>
      <c r="D779" s="79"/>
      <c r="J779" s="79"/>
      <c r="P779" s="79"/>
      <c r="Q779" s="79"/>
      <c r="T779" s="79"/>
      <c r="U779" s="79"/>
      <c r="X779" s="130"/>
      <c r="Z779" s="106"/>
    </row>
    <row r="780">
      <c r="C780" s="79"/>
      <c r="D780" s="79"/>
      <c r="J780" s="79"/>
      <c r="P780" s="79"/>
      <c r="Q780" s="79"/>
      <c r="T780" s="79"/>
      <c r="U780" s="79"/>
      <c r="X780" s="130"/>
      <c r="Z780" s="106"/>
    </row>
    <row r="781">
      <c r="C781" s="79"/>
      <c r="D781" s="79"/>
      <c r="J781" s="79"/>
      <c r="P781" s="79"/>
      <c r="Q781" s="79"/>
      <c r="T781" s="79"/>
      <c r="U781" s="79"/>
      <c r="X781" s="130"/>
      <c r="Z781" s="106"/>
    </row>
    <row r="782">
      <c r="C782" s="79"/>
      <c r="D782" s="79"/>
      <c r="J782" s="79"/>
      <c r="P782" s="79"/>
      <c r="Q782" s="79"/>
      <c r="T782" s="79"/>
      <c r="U782" s="79"/>
      <c r="X782" s="130"/>
      <c r="Z782" s="106"/>
    </row>
    <row r="783">
      <c r="C783" s="79"/>
      <c r="D783" s="79"/>
      <c r="J783" s="79"/>
      <c r="P783" s="79"/>
      <c r="Q783" s="79"/>
      <c r="T783" s="79"/>
      <c r="U783" s="79"/>
      <c r="X783" s="130"/>
      <c r="Z783" s="106"/>
    </row>
    <row r="784">
      <c r="C784" s="79"/>
      <c r="D784" s="79"/>
      <c r="J784" s="79"/>
      <c r="P784" s="79"/>
      <c r="Q784" s="79"/>
      <c r="T784" s="79"/>
      <c r="U784" s="79"/>
      <c r="X784" s="130"/>
      <c r="Z784" s="106"/>
    </row>
    <row r="785">
      <c r="C785" s="79"/>
      <c r="D785" s="79"/>
      <c r="J785" s="79"/>
      <c r="P785" s="79"/>
      <c r="Q785" s="79"/>
      <c r="T785" s="79"/>
      <c r="U785" s="79"/>
      <c r="X785" s="130"/>
      <c r="Z785" s="106"/>
    </row>
    <row r="786">
      <c r="C786" s="79"/>
      <c r="D786" s="79"/>
      <c r="J786" s="79"/>
      <c r="P786" s="79"/>
      <c r="Q786" s="79"/>
      <c r="T786" s="79"/>
      <c r="U786" s="79"/>
      <c r="X786" s="130"/>
      <c r="Z786" s="106"/>
    </row>
    <row r="787">
      <c r="C787" s="79"/>
      <c r="D787" s="79"/>
      <c r="J787" s="79"/>
      <c r="P787" s="79"/>
      <c r="Q787" s="79"/>
      <c r="T787" s="79"/>
      <c r="U787" s="79"/>
      <c r="X787" s="130"/>
      <c r="Z787" s="106"/>
    </row>
    <row r="788">
      <c r="C788" s="79"/>
      <c r="D788" s="79"/>
      <c r="J788" s="79"/>
      <c r="P788" s="79"/>
      <c r="Q788" s="79"/>
      <c r="T788" s="79"/>
      <c r="U788" s="79"/>
      <c r="X788" s="130"/>
      <c r="Z788" s="106"/>
    </row>
    <row r="789">
      <c r="C789" s="79"/>
      <c r="D789" s="79"/>
      <c r="J789" s="79"/>
      <c r="P789" s="79"/>
      <c r="Q789" s="79"/>
      <c r="T789" s="79"/>
      <c r="U789" s="79"/>
      <c r="X789" s="130"/>
      <c r="Z789" s="106"/>
    </row>
    <row r="790">
      <c r="C790" s="79"/>
      <c r="D790" s="79"/>
      <c r="J790" s="79"/>
      <c r="P790" s="79"/>
      <c r="Q790" s="79"/>
      <c r="T790" s="79"/>
      <c r="U790" s="79"/>
      <c r="X790" s="130"/>
      <c r="Z790" s="106"/>
    </row>
    <row r="791">
      <c r="C791" s="79"/>
      <c r="D791" s="79"/>
      <c r="J791" s="79"/>
      <c r="P791" s="79"/>
      <c r="Q791" s="79"/>
      <c r="T791" s="79"/>
      <c r="U791" s="79"/>
      <c r="X791" s="130"/>
      <c r="Z791" s="106"/>
    </row>
    <row r="792">
      <c r="C792" s="79"/>
      <c r="D792" s="79"/>
      <c r="J792" s="79"/>
      <c r="P792" s="79"/>
      <c r="Q792" s="79"/>
      <c r="T792" s="79"/>
      <c r="U792" s="79"/>
      <c r="X792" s="130"/>
      <c r="Z792" s="106"/>
    </row>
    <row r="793">
      <c r="C793" s="79"/>
      <c r="D793" s="79"/>
      <c r="J793" s="79"/>
      <c r="P793" s="79"/>
      <c r="Q793" s="79"/>
      <c r="T793" s="79"/>
      <c r="U793" s="79"/>
      <c r="X793" s="130"/>
      <c r="Z793" s="106"/>
    </row>
    <row r="794">
      <c r="C794" s="79"/>
      <c r="D794" s="79"/>
      <c r="J794" s="79"/>
      <c r="P794" s="79"/>
      <c r="Q794" s="79"/>
      <c r="T794" s="79"/>
      <c r="U794" s="79"/>
      <c r="X794" s="130"/>
      <c r="Z794" s="106"/>
    </row>
    <row r="795">
      <c r="C795" s="79"/>
      <c r="D795" s="79"/>
      <c r="J795" s="79"/>
      <c r="P795" s="79"/>
      <c r="Q795" s="79"/>
      <c r="T795" s="79"/>
      <c r="U795" s="79"/>
      <c r="X795" s="130"/>
      <c r="Z795" s="106"/>
    </row>
    <row r="796">
      <c r="C796" s="79"/>
      <c r="D796" s="79"/>
      <c r="J796" s="79"/>
      <c r="P796" s="79"/>
      <c r="Q796" s="79"/>
      <c r="T796" s="79"/>
      <c r="U796" s="79"/>
      <c r="X796" s="130"/>
      <c r="Z796" s="106"/>
    </row>
    <row r="797">
      <c r="C797" s="79"/>
      <c r="D797" s="79"/>
      <c r="J797" s="79"/>
      <c r="P797" s="79"/>
      <c r="Q797" s="79"/>
      <c r="T797" s="79"/>
      <c r="U797" s="79"/>
      <c r="X797" s="130"/>
      <c r="Z797" s="106"/>
    </row>
    <row r="798">
      <c r="C798" s="79"/>
      <c r="D798" s="79"/>
      <c r="J798" s="79"/>
      <c r="P798" s="79"/>
      <c r="Q798" s="79"/>
      <c r="T798" s="79"/>
      <c r="U798" s="79"/>
      <c r="X798" s="130"/>
      <c r="Z798" s="106"/>
    </row>
    <row r="799">
      <c r="C799" s="79"/>
      <c r="D799" s="79"/>
      <c r="J799" s="79"/>
      <c r="P799" s="79"/>
      <c r="Q799" s="79"/>
      <c r="T799" s="79"/>
      <c r="U799" s="79"/>
      <c r="X799" s="130"/>
      <c r="Z799" s="106"/>
    </row>
    <row r="800">
      <c r="C800" s="79"/>
      <c r="D800" s="79"/>
      <c r="J800" s="79"/>
      <c r="P800" s="79"/>
      <c r="Q800" s="79"/>
      <c r="T800" s="79"/>
      <c r="U800" s="79"/>
      <c r="X800" s="130"/>
      <c r="Z800" s="106"/>
    </row>
    <row r="801">
      <c r="C801" s="79"/>
      <c r="D801" s="79"/>
      <c r="J801" s="79"/>
      <c r="P801" s="79"/>
      <c r="Q801" s="79"/>
      <c r="T801" s="79"/>
      <c r="U801" s="79"/>
      <c r="X801" s="130"/>
      <c r="Z801" s="106"/>
    </row>
    <row r="802">
      <c r="C802" s="79"/>
      <c r="D802" s="79"/>
      <c r="J802" s="79"/>
      <c r="P802" s="79"/>
      <c r="Q802" s="79"/>
      <c r="T802" s="79"/>
      <c r="U802" s="79"/>
      <c r="X802" s="130"/>
      <c r="Z802" s="106"/>
    </row>
    <row r="803">
      <c r="C803" s="79"/>
      <c r="D803" s="79"/>
      <c r="J803" s="79"/>
      <c r="P803" s="79"/>
      <c r="Q803" s="79"/>
      <c r="T803" s="79"/>
      <c r="U803" s="79"/>
      <c r="X803" s="130"/>
      <c r="Z803" s="106"/>
    </row>
    <row r="804">
      <c r="C804" s="79"/>
      <c r="D804" s="79"/>
      <c r="J804" s="79"/>
      <c r="P804" s="79"/>
      <c r="Q804" s="79"/>
      <c r="T804" s="79"/>
      <c r="U804" s="79"/>
      <c r="X804" s="130"/>
      <c r="Z804" s="106"/>
    </row>
    <row r="805">
      <c r="C805" s="79"/>
      <c r="D805" s="79"/>
      <c r="J805" s="79"/>
      <c r="P805" s="79"/>
      <c r="Q805" s="79"/>
      <c r="T805" s="79"/>
      <c r="U805" s="79"/>
      <c r="X805" s="130"/>
      <c r="Z805" s="106"/>
    </row>
    <row r="806">
      <c r="C806" s="79"/>
      <c r="D806" s="79"/>
      <c r="J806" s="79"/>
      <c r="P806" s="79"/>
      <c r="Q806" s="79"/>
      <c r="T806" s="79"/>
      <c r="U806" s="79"/>
      <c r="X806" s="130"/>
      <c r="Z806" s="106"/>
    </row>
    <row r="807">
      <c r="C807" s="79"/>
      <c r="D807" s="79"/>
      <c r="J807" s="79"/>
      <c r="P807" s="79"/>
      <c r="Q807" s="79"/>
      <c r="T807" s="79"/>
      <c r="U807" s="79"/>
      <c r="X807" s="130"/>
      <c r="Z807" s="106"/>
    </row>
    <row r="808">
      <c r="C808" s="79"/>
      <c r="D808" s="79"/>
      <c r="J808" s="79"/>
      <c r="P808" s="79"/>
      <c r="Q808" s="79"/>
      <c r="T808" s="79"/>
      <c r="U808" s="79"/>
      <c r="X808" s="130"/>
      <c r="Z808" s="106"/>
    </row>
    <row r="809">
      <c r="C809" s="79"/>
      <c r="D809" s="79"/>
      <c r="J809" s="79"/>
      <c r="P809" s="79"/>
      <c r="Q809" s="79"/>
      <c r="T809" s="79"/>
      <c r="U809" s="79"/>
      <c r="X809" s="130"/>
      <c r="Z809" s="106"/>
    </row>
    <row r="810">
      <c r="C810" s="79"/>
      <c r="D810" s="79"/>
      <c r="J810" s="79"/>
      <c r="P810" s="79"/>
      <c r="Q810" s="79"/>
      <c r="T810" s="79"/>
      <c r="U810" s="79"/>
      <c r="X810" s="130"/>
      <c r="Z810" s="106"/>
    </row>
    <row r="811">
      <c r="C811" s="79"/>
      <c r="D811" s="79"/>
      <c r="J811" s="79"/>
      <c r="P811" s="79"/>
      <c r="Q811" s="79"/>
      <c r="T811" s="79"/>
      <c r="U811" s="79"/>
      <c r="X811" s="130"/>
      <c r="Z811" s="106"/>
    </row>
    <row r="812">
      <c r="C812" s="79"/>
      <c r="D812" s="79"/>
      <c r="J812" s="79"/>
      <c r="P812" s="79"/>
      <c r="Q812" s="79"/>
      <c r="T812" s="79"/>
      <c r="U812" s="79"/>
      <c r="X812" s="130"/>
      <c r="Z812" s="106"/>
    </row>
    <row r="813">
      <c r="C813" s="79"/>
      <c r="D813" s="79"/>
      <c r="J813" s="79"/>
      <c r="P813" s="79"/>
      <c r="Q813" s="79"/>
      <c r="T813" s="79"/>
      <c r="U813" s="79"/>
      <c r="X813" s="130"/>
      <c r="Z813" s="106"/>
    </row>
    <row r="814">
      <c r="C814" s="79"/>
      <c r="D814" s="79"/>
      <c r="J814" s="79"/>
      <c r="P814" s="79"/>
      <c r="Q814" s="79"/>
      <c r="T814" s="79"/>
      <c r="U814" s="79"/>
      <c r="X814" s="130"/>
      <c r="Z814" s="106"/>
    </row>
    <row r="815">
      <c r="C815" s="79"/>
      <c r="D815" s="79"/>
      <c r="J815" s="79"/>
      <c r="P815" s="79"/>
      <c r="Q815" s="79"/>
      <c r="T815" s="79"/>
      <c r="U815" s="79"/>
      <c r="X815" s="130"/>
      <c r="Z815" s="106"/>
    </row>
    <row r="816">
      <c r="C816" s="79"/>
      <c r="D816" s="79"/>
      <c r="J816" s="79"/>
      <c r="P816" s="79"/>
      <c r="Q816" s="79"/>
      <c r="T816" s="79"/>
      <c r="U816" s="79"/>
      <c r="X816" s="130"/>
      <c r="Z816" s="106"/>
    </row>
    <row r="817">
      <c r="C817" s="79"/>
      <c r="D817" s="79"/>
      <c r="J817" s="79"/>
      <c r="P817" s="79"/>
      <c r="Q817" s="79"/>
      <c r="T817" s="79"/>
      <c r="U817" s="79"/>
      <c r="X817" s="130"/>
      <c r="Z817" s="106"/>
    </row>
    <row r="818">
      <c r="C818" s="79"/>
      <c r="D818" s="79"/>
      <c r="J818" s="79"/>
      <c r="P818" s="79"/>
      <c r="Q818" s="79"/>
      <c r="T818" s="79"/>
      <c r="U818" s="79"/>
      <c r="X818" s="130"/>
      <c r="Z818" s="106"/>
    </row>
    <row r="819">
      <c r="C819" s="79"/>
      <c r="D819" s="79"/>
      <c r="J819" s="79"/>
      <c r="P819" s="79"/>
      <c r="Q819" s="79"/>
      <c r="T819" s="79"/>
      <c r="U819" s="79"/>
      <c r="X819" s="130"/>
      <c r="Z819" s="106"/>
    </row>
    <row r="820">
      <c r="C820" s="79"/>
      <c r="D820" s="79"/>
      <c r="J820" s="79"/>
      <c r="P820" s="79"/>
      <c r="Q820" s="79"/>
      <c r="T820" s="79"/>
      <c r="U820" s="79"/>
      <c r="X820" s="130"/>
      <c r="Z820" s="106"/>
    </row>
    <row r="821">
      <c r="C821" s="79"/>
      <c r="D821" s="79"/>
      <c r="J821" s="79"/>
      <c r="P821" s="79"/>
      <c r="Q821" s="79"/>
      <c r="T821" s="79"/>
      <c r="U821" s="79"/>
      <c r="X821" s="130"/>
      <c r="Z821" s="106"/>
    </row>
    <row r="822">
      <c r="C822" s="79"/>
      <c r="D822" s="79"/>
      <c r="J822" s="79"/>
      <c r="P822" s="79"/>
      <c r="Q822" s="79"/>
      <c r="T822" s="79"/>
      <c r="U822" s="79"/>
      <c r="X822" s="130"/>
      <c r="Z822" s="106"/>
    </row>
    <row r="823">
      <c r="C823" s="79"/>
      <c r="D823" s="79"/>
      <c r="J823" s="79"/>
      <c r="P823" s="79"/>
      <c r="Q823" s="79"/>
      <c r="T823" s="79"/>
      <c r="U823" s="79"/>
      <c r="X823" s="130"/>
      <c r="Z823" s="106"/>
    </row>
    <row r="824">
      <c r="C824" s="79"/>
      <c r="D824" s="79"/>
      <c r="J824" s="79"/>
      <c r="P824" s="79"/>
      <c r="Q824" s="79"/>
      <c r="T824" s="79"/>
      <c r="U824" s="79"/>
      <c r="X824" s="130"/>
      <c r="Z824" s="106"/>
    </row>
    <row r="825">
      <c r="C825" s="79"/>
      <c r="D825" s="79"/>
      <c r="J825" s="79"/>
      <c r="P825" s="79"/>
      <c r="Q825" s="79"/>
      <c r="T825" s="79"/>
      <c r="U825" s="79"/>
      <c r="X825" s="130"/>
      <c r="Z825" s="106"/>
    </row>
    <row r="826">
      <c r="C826" s="79"/>
      <c r="D826" s="79"/>
      <c r="J826" s="79"/>
      <c r="P826" s="79"/>
      <c r="Q826" s="79"/>
      <c r="T826" s="79"/>
      <c r="U826" s="79"/>
      <c r="X826" s="130"/>
      <c r="Z826" s="106"/>
    </row>
    <row r="827">
      <c r="C827" s="79"/>
      <c r="D827" s="79"/>
      <c r="J827" s="79"/>
      <c r="P827" s="79"/>
      <c r="Q827" s="79"/>
      <c r="T827" s="79"/>
      <c r="U827" s="79"/>
      <c r="X827" s="130"/>
      <c r="Z827" s="106"/>
    </row>
    <row r="828">
      <c r="C828" s="79"/>
      <c r="D828" s="79"/>
      <c r="J828" s="79"/>
      <c r="P828" s="79"/>
      <c r="Q828" s="79"/>
      <c r="T828" s="79"/>
      <c r="U828" s="79"/>
      <c r="X828" s="130"/>
      <c r="Z828" s="106"/>
    </row>
    <row r="829">
      <c r="C829" s="79"/>
      <c r="D829" s="79"/>
      <c r="J829" s="79"/>
      <c r="P829" s="79"/>
      <c r="Q829" s="79"/>
      <c r="T829" s="79"/>
      <c r="U829" s="79"/>
      <c r="X829" s="130"/>
      <c r="Z829" s="106"/>
    </row>
    <row r="830">
      <c r="C830" s="79"/>
      <c r="D830" s="79"/>
      <c r="J830" s="79"/>
      <c r="P830" s="79"/>
      <c r="Q830" s="79"/>
      <c r="T830" s="79"/>
      <c r="U830" s="79"/>
      <c r="X830" s="130"/>
      <c r="Z830" s="106"/>
    </row>
    <row r="831">
      <c r="C831" s="79"/>
      <c r="D831" s="79"/>
      <c r="J831" s="79"/>
      <c r="P831" s="79"/>
      <c r="Q831" s="79"/>
      <c r="T831" s="79"/>
      <c r="U831" s="79"/>
      <c r="X831" s="130"/>
      <c r="Z831" s="106"/>
    </row>
    <row r="832">
      <c r="C832" s="79"/>
      <c r="D832" s="79"/>
      <c r="J832" s="79"/>
      <c r="P832" s="79"/>
      <c r="Q832" s="79"/>
      <c r="T832" s="79"/>
      <c r="U832" s="79"/>
      <c r="X832" s="130"/>
      <c r="Z832" s="106"/>
    </row>
    <row r="833">
      <c r="C833" s="79"/>
      <c r="D833" s="79"/>
      <c r="J833" s="79"/>
      <c r="P833" s="79"/>
      <c r="Q833" s="79"/>
      <c r="T833" s="79"/>
      <c r="U833" s="79"/>
      <c r="X833" s="130"/>
      <c r="Z833" s="106"/>
    </row>
    <row r="834">
      <c r="C834" s="79"/>
      <c r="D834" s="79"/>
      <c r="J834" s="79"/>
      <c r="P834" s="79"/>
      <c r="Q834" s="79"/>
      <c r="T834" s="79"/>
      <c r="U834" s="79"/>
      <c r="X834" s="130"/>
      <c r="Z834" s="106"/>
    </row>
    <row r="835">
      <c r="C835" s="79"/>
      <c r="D835" s="79"/>
      <c r="J835" s="79"/>
      <c r="P835" s="79"/>
      <c r="Q835" s="79"/>
      <c r="T835" s="79"/>
      <c r="U835" s="79"/>
      <c r="X835" s="130"/>
      <c r="Z835" s="106"/>
    </row>
    <row r="836">
      <c r="C836" s="79"/>
      <c r="D836" s="79"/>
      <c r="J836" s="79"/>
      <c r="P836" s="79"/>
      <c r="Q836" s="79"/>
      <c r="T836" s="79"/>
      <c r="U836" s="79"/>
      <c r="X836" s="130"/>
      <c r="Z836" s="106"/>
    </row>
    <row r="837">
      <c r="C837" s="79"/>
      <c r="D837" s="79"/>
      <c r="J837" s="79"/>
      <c r="P837" s="79"/>
      <c r="Q837" s="79"/>
      <c r="T837" s="79"/>
      <c r="U837" s="79"/>
      <c r="X837" s="130"/>
      <c r="Z837" s="106"/>
    </row>
    <row r="838">
      <c r="C838" s="79"/>
      <c r="D838" s="79"/>
      <c r="J838" s="79"/>
      <c r="P838" s="79"/>
      <c r="Q838" s="79"/>
      <c r="T838" s="79"/>
      <c r="U838" s="79"/>
      <c r="X838" s="130"/>
      <c r="Z838" s="106"/>
    </row>
    <row r="839">
      <c r="C839" s="79"/>
      <c r="D839" s="79"/>
      <c r="J839" s="79"/>
      <c r="P839" s="79"/>
      <c r="Q839" s="79"/>
      <c r="T839" s="79"/>
      <c r="U839" s="79"/>
      <c r="X839" s="130"/>
      <c r="Z839" s="106"/>
    </row>
    <row r="840">
      <c r="C840" s="79"/>
      <c r="D840" s="79"/>
      <c r="J840" s="79"/>
      <c r="P840" s="79"/>
      <c r="Q840" s="79"/>
      <c r="T840" s="79"/>
      <c r="U840" s="79"/>
      <c r="X840" s="130"/>
      <c r="Z840" s="106"/>
    </row>
    <row r="841">
      <c r="C841" s="79"/>
      <c r="D841" s="79"/>
      <c r="J841" s="79"/>
      <c r="P841" s="79"/>
      <c r="Q841" s="79"/>
      <c r="T841" s="79"/>
      <c r="U841" s="79"/>
      <c r="X841" s="130"/>
      <c r="Z841" s="106"/>
    </row>
    <row r="842">
      <c r="C842" s="79"/>
      <c r="D842" s="79"/>
      <c r="J842" s="79"/>
      <c r="P842" s="79"/>
      <c r="Q842" s="79"/>
      <c r="T842" s="79"/>
      <c r="U842" s="79"/>
      <c r="X842" s="130"/>
      <c r="Z842" s="106"/>
    </row>
    <row r="843">
      <c r="C843" s="79"/>
      <c r="D843" s="79"/>
      <c r="J843" s="79"/>
      <c r="P843" s="79"/>
      <c r="Q843" s="79"/>
      <c r="T843" s="79"/>
      <c r="U843" s="79"/>
      <c r="X843" s="130"/>
      <c r="Z843" s="106"/>
    </row>
    <row r="844">
      <c r="C844" s="79"/>
      <c r="D844" s="79"/>
      <c r="J844" s="79"/>
      <c r="P844" s="79"/>
      <c r="Q844" s="79"/>
      <c r="T844" s="79"/>
      <c r="U844" s="79"/>
      <c r="X844" s="130"/>
      <c r="Z844" s="106"/>
    </row>
    <row r="845">
      <c r="C845" s="79"/>
      <c r="D845" s="79"/>
      <c r="J845" s="79"/>
      <c r="P845" s="79"/>
      <c r="Q845" s="79"/>
      <c r="T845" s="79"/>
      <c r="U845" s="79"/>
      <c r="X845" s="130"/>
      <c r="Z845" s="106"/>
    </row>
    <row r="846">
      <c r="C846" s="79"/>
      <c r="D846" s="79"/>
      <c r="J846" s="79"/>
      <c r="P846" s="79"/>
      <c r="Q846" s="79"/>
      <c r="T846" s="79"/>
      <c r="U846" s="79"/>
      <c r="X846" s="130"/>
      <c r="Z846" s="106"/>
    </row>
    <row r="847">
      <c r="C847" s="79"/>
      <c r="D847" s="79"/>
      <c r="J847" s="79"/>
      <c r="P847" s="79"/>
      <c r="Q847" s="79"/>
      <c r="T847" s="79"/>
      <c r="U847" s="79"/>
      <c r="X847" s="130"/>
      <c r="Z847" s="106"/>
    </row>
    <row r="848">
      <c r="C848" s="79"/>
      <c r="D848" s="79"/>
      <c r="J848" s="79"/>
      <c r="P848" s="79"/>
      <c r="Q848" s="79"/>
      <c r="T848" s="79"/>
      <c r="U848" s="79"/>
      <c r="X848" s="130"/>
      <c r="Z848" s="106"/>
    </row>
    <row r="849">
      <c r="C849" s="79"/>
      <c r="D849" s="79"/>
      <c r="J849" s="79"/>
      <c r="P849" s="79"/>
      <c r="Q849" s="79"/>
      <c r="T849" s="79"/>
      <c r="U849" s="79"/>
      <c r="X849" s="130"/>
      <c r="Z849" s="106"/>
    </row>
    <row r="850">
      <c r="C850" s="79"/>
      <c r="D850" s="79"/>
      <c r="J850" s="79"/>
      <c r="P850" s="79"/>
      <c r="Q850" s="79"/>
      <c r="T850" s="79"/>
      <c r="U850" s="79"/>
      <c r="X850" s="130"/>
      <c r="Z850" s="106"/>
    </row>
    <row r="851">
      <c r="C851" s="79"/>
      <c r="D851" s="79"/>
      <c r="J851" s="79"/>
      <c r="P851" s="79"/>
      <c r="Q851" s="79"/>
      <c r="T851" s="79"/>
      <c r="U851" s="79"/>
      <c r="X851" s="130"/>
      <c r="Z851" s="106"/>
    </row>
    <row r="852">
      <c r="C852" s="79"/>
      <c r="D852" s="79"/>
      <c r="J852" s="79"/>
      <c r="P852" s="79"/>
      <c r="Q852" s="79"/>
      <c r="T852" s="79"/>
      <c r="U852" s="79"/>
      <c r="X852" s="130"/>
      <c r="Z852" s="106"/>
    </row>
    <row r="853">
      <c r="C853" s="79"/>
      <c r="D853" s="79"/>
      <c r="J853" s="79"/>
      <c r="P853" s="79"/>
      <c r="Q853" s="79"/>
      <c r="T853" s="79"/>
      <c r="U853" s="79"/>
      <c r="X853" s="130"/>
      <c r="Z853" s="106"/>
    </row>
    <row r="854">
      <c r="C854" s="79"/>
      <c r="D854" s="79"/>
      <c r="J854" s="79"/>
      <c r="P854" s="79"/>
      <c r="Q854" s="79"/>
      <c r="T854" s="79"/>
      <c r="U854" s="79"/>
      <c r="X854" s="130"/>
      <c r="Z854" s="106"/>
    </row>
    <row r="855">
      <c r="C855" s="79"/>
      <c r="D855" s="79"/>
      <c r="J855" s="79"/>
      <c r="P855" s="79"/>
      <c r="Q855" s="79"/>
      <c r="T855" s="79"/>
      <c r="U855" s="79"/>
      <c r="X855" s="130"/>
      <c r="Z855" s="106"/>
    </row>
    <row r="856">
      <c r="C856" s="79"/>
      <c r="D856" s="79"/>
      <c r="J856" s="79"/>
      <c r="P856" s="79"/>
      <c r="Q856" s="79"/>
      <c r="T856" s="79"/>
      <c r="U856" s="79"/>
      <c r="X856" s="130"/>
      <c r="Z856" s="106"/>
    </row>
    <row r="857">
      <c r="C857" s="79"/>
      <c r="D857" s="79"/>
      <c r="J857" s="79"/>
      <c r="P857" s="79"/>
      <c r="Q857" s="79"/>
      <c r="T857" s="79"/>
      <c r="U857" s="79"/>
      <c r="X857" s="130"/>
      <c r="Z857" s="106"/>
    </row>
    <row r="858">
      <c r="C858" s="79"/>
      <c r="D858" s="79"/>
      <c r="J858" s="79"/>
      <c r="P858" s="79"/>
      <c r="Q858" s="79"/>
      <c r="T858" s="79"/>
      <c r="U858" s="79"/>
      <c r="X858" s="130"/>
      <c r="Z858" s="106"/>
    </row>
    <row r="859">
      <c r="C859" s="79"/>
      <c r="D859" s="79"/>
      <c r="J859" s="79"/>
      <c r="P859" s="79"/>
      <c r="Q859" s="79"/>
      <c r="T859" s="79"/>
      <c r="U859" s="79"/>
      <c r="X859" s="130"/>
      <c r="Z859" s="106"/>
    </row>
    <row r="860">
      <c r="C860" s="79"/>
      <c r="D860" s="79"/>
      <c r="J860" s="79"/>
      <c r="P860" s="79"/>
      <c r="Q860" s="79"/>
      <c r="T860" s="79"/>
      <c r="U860" s="79"/>
      <c r="X860" s="130"/>
      <c r="Z860" s="106"/>
    </row>
    <row r="861">
      <c r="C861" s="79"/>
      <c r="D861" s="79"/>
      <c r="J861" s="79"/>
      <c r="P861" s="79"/>
      <c r="Q861" s="79"/>
      <c r="T861" s="79"/>
      <c r="U861" s="79"/>
      <c r="X861" s="130"/>
      <c r="Z861" s="106"/>
    </row>
    <row r="862">
      <c r="C862" s="79"/>
      <c r="D862" s="79"/>
      <c r="J862" s="79"/>
      <c r="P862" s="79"/>
      <c r="Q862" s="79"/>
      <c r="T862" s="79"/>
      <c r="U862" s="79"/>
      <c r="X862" s="130"/>
      <c r="Z862" s="106"/>
    </row>
    <row r="863">
      <c r="C863" s="79"/>
      <c r="D863" s="79"/>
      <c r="J863" s="79"/>
      <c r="P863" s="79"/>
      <c r="Q863" s="79"/>
      <c r="T863" s="79"/>
      <c r="U863" s="79"/>
      <c r="X863" s="130"/>
      <c r="Z863" s="106"/>
    </row>
    <row r="864">
      <c r="C864" s="79"/>
      <c r="D864" s="79"/>
      <c r="J864" s="79"/>
      <c r="P864" s="79"/>
      <c r="Q864" s="79"/>
      <c r="T864" s="79"/>
      <c r="U864" s="79"/>
      <c r="X864" s="130"/>
      <c r="Z864" s="106"/>
    </row>
    <row r="865">
      <c r="C865" s="79"/>
      <c r="D865" s="79"/>
      <c r="J865" s="79"/>
      <c r="P865" s="79"/>
      <c r="Q865" s="79"/>
      <c r="T865" s="79"/>
      <c r="U865" s="79"/>
      <c r="X865" s="130"/>
      <c r="Z865" s="106"/>
    </row>
    <row r="866">
      <c r="C866" s="79"/>
      <c r="D866" s="79"/>
      <c r="J866" s="79"/>
      <c r="P866" s="79"/>
      <c r="Q866" s="79"/>
      <c r="T866" s="79"/>
      <c r="U866" s="79"/>
      <c r="X866" s="130"/>
      <c r="Z866" s="106"/>
    </row>
    <row r="867">
      <c r="C867" s="79"/>
      <c r="D867" s="79"/>
      <c r="J867" s="79"/>
      <c r="P867" s="79"/>
      <c r="Q867" s="79"/>
      <c r="T867" s="79"/>
      <c r="U867" s="79"/>
      <c r="X867" s="130"/>
      <c r="Z867" s="106"/>
    </row>
    <row r="868">
      <c r="C868" s="79"/>
      <c r="D868" s="79"/>
      <c r="J868" s="79"/>
      <c r="P868" s="79"/>
      <c r="Q868" s="79"/>
      <c r="T868" s="79"/>
      <c r="U868" s="79"/>
      <c r="X868" s="130"/>
      <c r="Z868" s="106"/>
    </row>
    <row r="869">
      <c r="C869" s="79"/>
      <c r="D869" s="79"/>
      <c r="J869" s="79"/>
      <c r="P869" s="79"/>
      <c r="Q869" s="79"/>
      <c r="T869" s="79"/>
      <c r="U869" s="79"/>
      <c r="X869" s="130"/>
      <c r="Z869" s="106"/>
    </row>
    <row r="870">
      <c r="C870" s="79"/>
      <c r="D870" s="79"/>
      <c r="J870" s="79"/>
      <c r="P870" s="79"/>
      <c r="Q870" s="79"/>
      <c r="T870" s="79"/>
      <c r="U870" s="79"/>
      <c r="X870" s="130"/>
      <c r="Z870" s="106"/>
    </row>
    <row r="871">
      <c r="C871" s="79"/>
      <c r="D871" s="79"/>
      <c r="J871" s="79"/>
      <c r="P871" s="79"/>
      <c r="Q871" s="79"/>
      <c r="T871" s="79"/>
      <c r="U871" s="79"/>
      <c r="X871" s="130"/>
      <c r="Z871" s="106"/>
    </row>
    <row r="872">
      <c r="C872" s="79"/>
      <c r="D872" s="79"/>
      <c r="J872" s="79"/>
      <c r="P872" s="79"/>
      <c r="Q872" s="79"/>
      <c r="T872" s="79"/>
      <c r="U872" s="79"/>
      <c r="X872" s="130"/>
      <c r="Z872" s="106"/>
    </row>
    <row r="873">
      <c r="C873" s="79"/>
      <c r="D873" s="79"/>
      <c r="J873" s="79"/>
      <c r="P873" s="79"/>
      <c r="Q873" s="79"/>
      <c r="T873" s="79"/>
      <c r="U873" s="79"/>
      <c r="X873" s="130"/>
      <c r="Z873" s="106"/>
    </row>
    <row r="874">
      <c r="C874" s="79"/>
      <c r="D874" s="79"/>
      <c r="J874" s="79"/>
      <c r="P874" s="79"/>
      <c r="Q874" s="79"/>
      <c r="T874" s="79"/>
      <c r="U874" s="79"/>
      <c r="X874" s="130"/>
      <c r="Z874" s="106"/>
    </row>
    <row r="875">
      <c r="C875" s="79"/>
      <c r="D875" s="79"/>
      <c r="J875" s="79"/>
      <c r="P875" s="79"/>
      <c r="Q875" s="79"/>
      <c r="T875" s="79"/>
      <c r="U875" s="79"/>
      <c r="X875" s="130"/>
      <c r="Z875" s="106"/>
    </row>
    <row r="876">
      <c r="C876" s="79"/>
      <c r="D876" s="79"/>
      <c r="J876" s="79"/>
      <c r="P876" s="79"/>
      <c r="Q876" s="79"/>
      <c r="T876" s="79"/>
      <c r="U876" s="79"/>
      <c r="X876" s="130"/>
      <c r="Z876" s="106"/>
    </row>
    <row r="877">
      <c r="C877" s="79"/>
      <c r="D877" s="79"/>
      <c r="J877" s="79"/>
      <c r="P877" s="79"/>
      <c r="Q877" s="79"/>
      <c r="T877" s="79"/>
      <c r="U877" s="79"/>
      <c r="X877" s="130"/>
      <c r="Z877" s="106"/>
    </row>
    <row r="878">
      <c r="C878" s="79"/>
      <c r="D878" s="79"/>
      <c r="J878" s="79"/>
      <c r="P878" s="79"/>
      <c r="Q878" s="79"/>
      <c r="T878" s="79"/>
      <c r="U878" s="79"/>
      <c r="X878" s="130"/>
      <c r="Z878" s="106"/>
    </row>
    <row r="879">
      <c r="C879" s="79"/>
      <c r="D879" s="79"/>
      <c r="J879" s="79"/>
      <c r="P879" s="79"/>
      <c r="Q879" s="79"/>
      <c r="T879" s="79"/>
      <c r="U879" s="79"/>
      <c r="X879" s="130"/>
      <c r="Z879" s="106"/>
    </row>
    <row r="880">
      <c r="C880" s="79"/>
      <c r="D880" s="79"/>
      <c r="J880" s="79"/>
      <c r="P880" s="79"/>
      <c r="Q880" s="79"/>
      <c r="T880" s="79"/>
      <c r="U880" s="79"/>
      <c r="X880" s="130"/>
      <c r="Z880" s="106"/>
    </row>
    <row r="881">
      <c r="C881" s="79"/>
      <c r="D881" s="79"/>
      <c r="J881" s="79"/>
      <c r="P881" s="79"/>
      <c r="Q881" s="79"/>
      <c r="T881" s="79"/>
      <c r="U881" s="79"/>
      <c r="X881" s="130"/>
      <c r="Z881" s="106"/>
    </row>
    <row r="882">
      <c r="C882" s="79"/>
      <c r="D882" s="79"/>
      <c r="J882" s="79"/>
      <c r="P882" s="79"/>
      <c r="Q882" s="79"/>
      <c r="T882" s="79"/>
      <c r="U882" s="79"/>
      <c r="X882" s="130"/>
      <c r="Z882" s="106"/>
    </row>
    <row r="883">
      <c r="C883" s="79"/>
      <c r="D883" s="79"/>
      <c r="J883" s="79"/>
      <c r="P883" s="79"/>
      <c r="Q883" s="79"/>
      <c r="T883" s="79"/>
      <c r="U883" s="79"/>
      <c r="X883" s="130"/>
      <c r="Z883" s="106"/>
    </row>
    <row r="884">
      <c r="C884" s="79"/>
      <c r="D884" s="79"/>
      <c r="J884" s="79"/>
      <c r="P884" s="79"/>
      <c r="Q884" s="79"/>
      <c r="T884" s="79"/>
      <c r="U884" s="79"/>
      <c r="X884" s="130"/>
      <c r="Z884" s="106"/>
    </row>
    <row r="885">
      <c r="C885" s="79"/>
      <c r="D885" s="79"/>
      <c r="J885" s="79"/>
      <c r="P885" s="79"/>
      <c r="Q885" s="79"/>
      <c r="T885" s="79"/>
      <c r="U885" s="79"/>
      <c r="X885" s="130"/>
      <c r="Z885" s="106"/>
    </row>
    <row r="886">
      <c r="C886" s="79"/>
      <c r="D886" s="79"/>
      <c r="J886" s="79"/>
      <c r="P886" s="79"/>
      <c r="Q886" s="79"/>
      <c r="T886" s="79"/>
      <c r="U886" s="79"/>
      <c r="X886" s="130"/>
      <c r="Z886" s="106"/>
    </row>
    <row r="887">
      <c r="C887" s="79"/>
      <c r="D887" s="79"/>
      <c r="J887" s="79"/>
      <c r="P887" s="79"/>
      <c r="Q887" s="79"/>
      <c r="T887" s="79"/>
      <c r="U887" s="79"/>
      <c r="X887" s="130"/>
      <c r="Z887" s="106"/>
    </row>
    <row r="888">
      <c r="C888" s="79"/>
      <c r="D888" s="79"/>
      <c r="J888" s="79"/>
      <c r="P888" s="79"/>
      <c r="Q888" s="79"/>
      <c r="T888" s="79"/>
      <c r="U888" s="79"/>
      <c r="X888" s="130"/>
      <c r="Z888" s="106"/>
    </row>
    <row r="889">
      <c r="C889" s="79"/>
      <c r="D889" s="79"/>
      <c r="J889" s="79"/>
      <c r="P889" s="79"/>
      <c r="Q889" s="79"/>
      <c r="T889" s="79"/>
      <c r="U889" s="79"/>
      <c r="X889" s="130"/>
      <c r="Z889" s="106"/>
    </row>
    <row r="890">
      <c r="C890" s="79"/>
      <c r="D890" s="79"/>
      <c r="J890" s="79"/>
      <c r="P890" s="79"/>
      <c r="Q890" s="79"/>
      <c r="T890" s="79"/>
      <c r="U890" s="79"/>
      <c r="X890" s="130"/>
      <c r="Z890" s="106"/>
    </row>
    <row r="891">
      <c r="C891" s="79"/>
      <c r="D891" s="79"/>
      <c r="J891" s="79"/>
      <c r="P891" s="79"/>
      <c r="Q891" s="79"/>
      <c r="T891" s="79"/>
      <c r="U891" s="79"/>
      <c r="X891" s="130"/>
      <c r="Z891" s="106"/>
    </row>
    <row r="892">
      <c r="C892" s="79"/>
      <c r="D892" s="79"/>
      <c r="J892" s="79"/>
      <c r="P892" s="79"/>
      <c r="Q892" s="79"/>
      <c r="T892" s="79"/>
      <c r="U892" s="79"/>
      <c r="X892" s="130"/>
      <c r="Z892" s="106"/>
    </row>
    <row r="893">
      <c r="C893" s="79"/>
      <c r="D893" s="79"/>
      <c r="J893" s="79"/>
      <c r="P893" s="79"/>
      <c r="Q893" s="79"/>
      <c r="T893" s="79"/>
      <c r="U893" s="79"/>
      <c r="X893" s="130"/>
      <c r="Z893" s="106"/>
    </row>
    <row r="894">
      <c r="C894" s="79"/>
      <c r="D894" s="79"/>
      <c r="J894" s="79"/>
      <c r="P894" s="79"/>
      <c r="Q894" s="79"/>
      <c r="T894" s="79"/>
      <c r="U894" s="79"/>
      <c r="X894" s="130"/>
      <c r="Z894" s="106"/>
    </row>
    <row r="895">
      <c r="C895" s="79"/>
      <c r="D895" s="79"/>
      <c r="J895" s="79"/>
      <c r="P895" s="79"/>
      <c r="Q895" s="79"/>
      <c r="T895" s="79"/>
      <c r="U895" s="79"/>
      <c r="X895" s="130"/>
      <c r="Z895" s="106"/>
    </row>
    <row r="896">
      <c r="C896" s="79"/>
      <c r="D896" s="79"/>
      <c r="J896" s="79"/>
      <c r="P896" s="79"/>
      <c r="Q896" s="79"/>
      <c r="T896" s="79"/>
      <c r="U896" s="79"/>
      <c r="X896" s="130"/>
      <c r="Z896" s="106"/>
    </row>
    <row r="897">
      <c r="C897" s="79"/>
      <c r="D897" s="79"/>
      <c r="J897" s="79"/>
      <c r="P897" s="79"/>
      <c r="Q897" s="79"/>
      <c r="T897" s="79"/>
      <c r="U897" s="79"/>
      <c r="X897" s="130"/>
      <c r="Z897" s="106"/>
    </row>
    <row r="898">
      <c r="C898" s="79"/>
      <c r="D898" s="79"/>
      <c r="J898" s="79"/>
      <c r="P898" s="79"/>
      <c r="Q898" s="79"/>
      <c r="T898" s="79"/>
      <c r="U898" s="79"/>
      <c r="X898" s="130"/>
      <c r="Z898" s="106"/>
    </row>
    <row r="899">
      <c r="C899" s="79"/>
      <c r="D899" s="79"/>
      <c r="J899" s="79"/>
      <c r="P899" s="79"/>
      <c r="Q899" s="79"/>
      <c r="T899" s="79"/>
      <c r="U899" s="79"/>
      <c r="X899" s="130"/>
      <c r="Z899" s="106"/>
    </row>
    <row r="900">
      <c r="C900" s="79"/>
      <c r="D900" s="79"/>
      <c r="J900" s="79"/>
      <c r="P900" s="79"/>
      <c r="Q900" s="79"/>
      <c r="T900" s="79"/>
      <c r="U900" s="79"/>
      <c r="X900" s="130"/>
      <c r="Z900" s="106"/>
    </row>
    <row r="901">
      <c r="C901" s="79"/>
      <c r="D901" s="79"/>
      <c r="J901" s="79"/>
      <c r="P901" s="79"/>
      <c r="Q901" s="79"/>
      <c r="T901" s="79"/>
      <c r="U901" s="79"/>
      <c r="X901" s="130"/>
      <c r="Z901" s="106"/>
    </row>
    <row r="902">
      <c r="C902" s="79"/>
      <c r="D902" s="79"/>
      <c r="J902" s="79"/>
      <c r="P902" s="79"/>
      <c r="Q902" s="79"/>
      <c r="T902" s="79"/>
      <c r="U902" s="79"/>
      <c r="X902" s="130"/>
      <c r="Z902" s="106"/>
    </row>
    <row r="903">
      <c r="C903" s="79"/>
      <c r="D903" s="79"/>
      <c r="J903" s="79"/>
      <c r="P903" s="79"/>
      <c r="Q903" s="79"/>
      <c r="T903" s="79"/>
      <c r="U903" s="79"/>
      <c r="X903" s="130"/>
      <c r="Z903" s="106"/>
    </row>
    <row r="904">
      <c r="C904" s="79"/>
      <c r="D904" s="79"/>
      <c r="J904" s="79"/>
      <c r="P904" s="79"/>
      <c r="Q904" s="79"/>
      <c r="T904" s="79"/>
      <c r="U904" s="79"/>
      <c r="X904" s="130"/>
      <c r="Z904" s="106"/>
    </row>
    <row r="905">
      <c r="C905" s="79"/>
      <c r="D905" s="79"/>
      <c r="J905" s="79"/>
      <c r="P905" s="79"/>
      <c r="Q905" s="79"/>
      <c r="T905" s="79"/>
      <c r="U905" s="79"/>
      <c r="X905" s="130"/>
      <c r="Z905" s="106"/>
    </row>
    <row r="906">
      <c r="C906" s="79"/>
      <c r="D906" s="79"/>
      <c r="J906" s="79"/>
      <c r="P906" s="79"/>
      <c r="Q906" s="79"/>
      <c r="T906" s="79"/>
      <c r="U906" s="79"/>
      <c r="X906" s="130"/>
      <c r="Z906" s="106"/>
    </row>
    <row r="907">
      <c r="C907" s="79"/>
      <c r="D907" s="79"/>
      <c r="J907" s="79"/>
      <c r="P907" s="79"/>
      <c r="Q907" s="79"/>
      <c r="T907" s="79"/>
      <c r="U907" s="79"/>
      <c r="X907" s="130"/>
      <c r="Z907" s="106"/>
    </row>
    <row r="908">
      <c r="C908" s="79"/>
      <c r="D908" s="79"/>
      <c r="J908" s="79"/>
      <c r="P908" s="79"/>
      <c r="Q908" s="79"/>
      <c r="T908" s="79"/>
      <c r="U908" s="79"/>
      <c r="X908" s="130"/>
      <c r="Z908" s="106"/>
    </row>
    <row r="909">
      <c r="C909" s="79"/>
      <c r="D909" s="79"/>
      <c r="J909" s="79"/>
      <c r="P909" s="79"/>
      <c r="Q909" s="79"/>
      <c r="T909" s="79"/>
      <c r="U909" s="79"/>
      <c r="X909" s="130"/>
      <c r="Z909" s="106"/>
    </row>
    <row r="910">
      <c r="C910" s="79"/>
      <c r="D910" s="79"/>
      <c r="J910" s="79"/>
      <c r="P910" s="79"/>
      <c r="Q910" s="79"/>
      <c r="T910" s="79"/>
      <c r="U910" s="79"/>
      <c r="X910" s="130"/>
      <c r="Z910" s="106"/>
    </row>
    <row r="911">
      <c r="C911" s="79"/>
      <c r="D911" s="79"/>
      <c r="J911" s="79"/>
      <c r="P911" s="79"/>
      <c r="Q911" s="79"/>
      <c r="T911" s="79"/>
      <c r="U911" s="79"/>
      <c r="X911" s="130"/>
      <c r="Z911" s="106"/>
    </row>
    <row r="912">
      <c r="C912" s="79"/>
      <c r="D912" s="79"/>
      <c r="J912" s="79"/>
      <c r="P912" s="79"/>
      <c r="Q912" s="79"/>
      <c r="T912" s="79"/>
      <c r="U912" s="79"/>
      <c r="X912" s="130"/>
      <c r="Z912" s="106"/>
    </row>
    <row r="913">
      <c r="C913" s="79"/>
      <c r="D913" s="79"/>
      <c r="J913" s="79"/>
      <c r="P913" s="79"/>
      <c r="Q913" s="79"/>
      <c r="T913" s="79"/>
      <c r="U913" s="79"/>
      <c r="X913" s="130"/>
      <c r="Z913" s="106"/>
    </row>
    <row r="914">
      <c r="C914" s="79"/>
      <c r="D914" s="79"/>
      <c r="J914" s="79"/>
      <c r="P914" s="79"/>
      <c r="Q914" s="79"/>
      <c r="T914" s="79"/>
      <c r="U914" s="79"/>
      <c r="X914" s="130"/>
      <c r="Z914" s="106"/>
    </row>
    <row r="915">
      <c r="C915" s="79"/>
      <c r="D915" s="79"/>
      <c r="J915" s="79"/>
      <c r="P915" s="79"/>
      <c r="Q915" s="79"/>
      <c r="T915" s="79"/>
      <c r="U915" s="79"/>
      <c r="X915" s="130"/>
      <c r="Z915" s="106"/>
    </row>
    <row r="916">
      <c r="C916" s="79"/>
      <c r="D916" s="79"/>
      <c r="J916" s="79"/>
      <c r="P916" s="79"/>
      <c r="Q916" s="79"/>
      <c r="T916" s="79"/>
      <c r="U916" s="79"/>
      <c r="X916" s="130"/>
      <c r="Z916" s="106"/>
    </row>
    <row r="917">
      <c r="C917" s="79"/>
      <c r="D917" s="79"/>
      <c r="J917" s="79"/>
      <c r="P917" s="79"/>
      <c r="Q917" s="79"/>
      <c r="T917" s="79"/>
      <c r="U917" s="79"/>
      <c r="X917" s="130"/>
      <c r="Z917" s="106"/>
    </row>
    <row r="918">
      <c r="C918" s="79"/>
      <c r="D918" s="79"/>
      <c r="J918" s="79"/>
      <c r="P918" s="79"/>
      <c r="Q918" s="79"/>
      <c r="T918" s="79"/>
      <c r="U918" s="79"/>
      <c r="X918" s="130"/>
      <c r="Z918" s="106"/>
    </row>
    <row r="919">
      <c r="C919" s="79"/>
      <c r="D919" s="79"/>
      <c r="J919" s="79"/>
      <c r="P919" s="79"/>
      <c r="Q919" s="79"/>
      <c r="T919" s="79"/>
      <c r="U919" s="79"/>
      <c r="X919" s="130"/>
      <c r="Z919" s="106"/>
    </row>
    <row r="920">
      <c r="C920" s="79"/>
      <c r="D920" s="79"/>
      <c r="J920" s="79"/>
      <c r="P920" s="79"/>
      <c r="Q920" s="79"/>
      <c r="T920" s="79"/>
      <c r="U920" s="79"/>
      <c r="X920" s="130"/>
      <c r="Z920" s="106"/>
    </row>
    <row r="921">
      <c r="C921" s="79"/>
      <c r="D921" s="79"/>
      <c r="J921" s="79"/>
      <c r="P921" s="79"/>
      <c r="Q921" s="79"/>
      <c r="T921" s="79"/>
      <c r="U921" s="79"/>
      <c r="X921" s="130"/>
      <c r="Z921" s="106"/>
    </row>
    <row r="922">
      <c r="C922" s="79"/>
      <c r="D922" s="79"/>
      <c r="J922" s="79"/>
      <c r="P922" s="79"/>
      <c r="Q922" s="79"/>
      <c r="T922" s="79"/>
      <c r="U922" s="79"/>
      <c r="X922" s="130"/>
      <c r="Z922" s="106"/>
    </row>
    <row r="923">
      <c r="C923" s="79"/>
      <c r="D923" s="79"/>
      <c r="J923" s="79"/>
      <c r="P923" s="79"/>
      <c r="Q923" s="79"/>
      <c r="T923" s="79"/>
      <c r="U923" s="79"/>
      <c r="X923" s="130"/>
      <c r="Z923" s="106"/>
    </row>
    <row r="924">
      <c r="C924" s="79"/>
      <c r="D924" s="79"/>
      <c r="J924" s="79"/>
      <c r="P924" s="79"/>
      <c r="Q924" s="79"/>
      <c r="T924" s="79"/>
      <c r="U924" s="79"/>
      <c r="X924" s="130"/>
      <c r="Z924" s="106"/>
    </row>
    <row r="925">
      <c r="C925" s="79"/>
      <c r="D925" s="79"/>
      <c r="J925" s="79"/>
      <c r="P925" s="79"/>
      <c r="Q925" s="79"/>
      <c r="T925" s="79"/>
      <c r="U925" s="79"/>
      <c r="X925" s="130"/>
      <c r="Z925" s="106"/>
    </row>
    <row r="926">
      <c r="C926" s="79"/>
      <c r="D926" s="79"/>
      <c r="J926" s="79"/>
      <c r="P926" s="79"/>
      <c r="Q926" s="79"/>
      <c r="T926" s="79"/>
      <c r="U926" s="79"/>
      <c r="X926" s="130"/>
      <c r="Z926" s="106"/>
    </row>
    <row r="927">
      <c r="C927" s="79"/>
      <c r="D927" s="79"/>
      <c r="J927" s="79"/>
      <c r="P927" s="79"/>
      <c r="Q927" s="79"/>
      <c r="T927" s="79"/>
      <c r="U927" s="79"/>
      <c r="X927" s="130"/>
      <c r="Z927" s="106"/>
    </row>
    <row r="928">
      <c r="C928" s="79"/>
      <c r="D928" s="79"/>
      <c r="J928" s="79"/>
      <c r="P928" s="79"/>
      <c r="Q928" s="79"/>
      <c r="T928" s="79"/>
      <c r="U928" s="79"/>
      <c r="X928" s="130"/>
      <c r="Z928" s="106"/>
    </row>
    <row r="929">
      <c r="C929" s="79"/>
      <c r="D929" s="79"/>
      <c r="J929" s="79"/>
      <c r="P929" s="79"/>
      <c r="Q929" s="79"/>
      <c r="T929" s="79"/>
      <c r="U929" s="79"/>
      <c r="X929" s="130"/>
      <c r="Z929" s="106"/>
    </row>
    <row r="930">
      <c r="C930" s="79"/>
      <c r="D930" s="79"/>
      <c r="J930" s="79"/>
      <c r="P930" s="79"/>
      <c r="Q930" s="79"/>
      <c r="T930" s="79"/>
      <c r="U930" s="79"/>
      <c r="X930" s="130"/>
      <c r="Z930" s="106"/>
    </row>
    <row r="931">
      <c r="C931" s="79"/>
      <c r="D931" s="79"/>
      <c r="J931" s="79"/>
      <c r="P931" s="79"/>
      <c r="Q931" s="79"/>
      <c r="T931" s="79"/>
      <c r="U931" s="79"/>
      <c r="X931" s="130"/>
      <c r="Z931" s="106"/>
    </row>
    <row r="932">
      <c r="C932" s="79"/>
      <c r="D932" s="79"/>
      <c r="J932" s="79"/>
      <c r="P932" s="79"/>
      <c r="Q932" s="79"/>
      <c r="T932" s="79"/>
      <c r="U932" s="79"/>
      <c r="X932" s="130"/>
      <c r="Z932" s="106"/>
    </row>
    <row r="933">
      <c r="C933" s="79"/>
      <c r="D933" s="79"/>
      <c r="J933" s="79"/>
      <c r="P933" s="79"/>
      <c r="Q933" s="79"/>
      <c r="T933" s="79"/>
      <c r="U933" s="79"/>
      <c r="X933" s="130"/>
      <c r="Z933" s="106"/>
    </row>
    <row r="934">
      <c r="C934" s="79"/>
      <c r="D934" s="79"/>
      <c r="J934" s="79"/>
      <c r="P934" s="79"/>
      <c r="Q934" s="79"/>
      <c r="T934" s="79"/>
      <c r="U934" s="79"/>
      <c r="X934" s="130"/>
      <c r="Z934" s="106"/>
    </row>
    <row r="935">
      <c r="C935" s="79"/>
      <c r="D935" s="79"/>
      <c r="J935" s="79"/>
      <c r="P935" s="79"/>
      <c r="Q935" s="79"/>
      <c r="T935" s="79"/>
      <c r="U935" s="79"/>
      <c r="X935" s="130"/>
      <c r="Z935" s="106"/>
    </row>
    <row r="936">
      <c r="C936" s="79"/>
      <c r="D936" s="79"/>
      <c r="J936" s="79"/>
      <c r="P936" s="79"/>
      <c r="Q936" s="79"/>
      <c r="T936" s="79"/>
      <c r="U936" s="79"/>
      <c r="X936" s="130"/>
      <c r="Z936" s="106"/>
    </row>
    <row r="937">
      <c r="C937" s="79"/>
      <c r="D937" s="79"/>
      <c r="J937" s="79"/>
      <c r="P937" s="79"/>
      <c r="Q937" s="79"/>
      <c r="T937" s="79"/>
      <c r="U937" s="79"/>
      <c r="X937" s="130"/>
      <c r="Z937" s="106"/>
    </row>
    <row r="938">
      <c r="C938" s="79"/>
      <c r="D938" s="79"/>
      <c r="J938" s="79"/>
      <c r="P938" s="79"/>
      <c r="Q938" s="79"/>
      <c r="T938" s="79"/>
      <c r="U938" s="79"/>
      <c r="X938" s="130"/>
      <c r="Z938" s="106"/>
    </row>
    <row r="939">
      <c r="C939" s="79"/>
      <c r="D939" s="79"/>
      <c r="J939" s="79"/>
      <c r="P939" s="79"/>
      <c r="Q939" s="79"/>
      <c r="T939" s="79"/>
      <c r="U939" s="79"/>
      <c r="X939" s="130"/>
      <c r="Z939" s="106"/>
    </row>
    <row r="940">
      <c r="C940" s="79"/>
      <c r="D940" s="79"/>
      <c r="J940" s="79"/>
      <c r="P940" s="79"/>
      <c r="Q940" s="79"/>
      <c r="T940" s="79"/>
      <c r="U940" s="79"/>
      <c r="X940" s="130"/>
      <c r="Z940" s="106"/>
    </row>
    <row r="941">
      <c r="C941" s="79"/>
      <c r="D941" s="79"/>
      <c r="J941" s="79"/>
      <c r="P941" s="79"/>
      <c r="Q941" s="79"/>
      <c r="T941" s="79"/>
      <c r="U941" s="79"/>
      <c r="X941" s="130"/>
      <c r="Z941" s="106"/>
    </row>
    <row r="942">
      <c r="C942" s="79"/>
      <c r="D942" s="79"/>
      <c r="J942" s="79"/>
      <c r="P942" s="79"/>
      <c r="Q942" s="79"/>
      <c r="T942" s="79"/>
      <c r="U942" s="79"/>
      <c r="X942" s="130"/>
      <c r="Z942" s="106"/>
    </row>
    <row r="943">
      <c r="C943" s="79"/>
      <c r="D943" s="79"/>
      <c r="J943" s="79"/>
      <c r="P943" s="79"/>
      <c r="Q943" s="79"/>
      <c r="T943" s="79"/>
      <c r="U943" s="79"/>
      <c r="X943" s="130"/>
      <c r="Z943" s="106"/>
    </row>
    <row r="944">
      <c r="C944" s="79"/>
      <c r="D944" s="79"/>
      <c r="J944" s="79"/>
      <c r="P944" s="79"/>
      <c r="Q944" s="79"/>
      <c r="T944" s="79"/>
      <c r="U944" s="79"/>
      <c r="X944" s="130"/>
      <c r="Z944" s="106"/>
    </row>
    <row r="945">
      <c r="C945" s="79"/>
      <c r="D945" s="79"/>
      <c r="J945" s="79"/>
      <c r="P945" s="79"/>
      <c r="Q945" s="79"/>
      <c r="T945" s="79"/>
      <c r="U945" s="79"/>
      <c r="X945" s="130"/>
      <c r="Z945" s="106"/>
    </row>
    <row r="946">
      <c r="C946" s="79"/>
      <c r="D946" s="79"/>
      <c r="J946" s="79"/>
      <c r="P946" s="79"/>
      <c r="Q946" s="79"/>
      <c r="T946" s="79"/>
      <c r="U946" s="79"/>
      <c r="X946" s="130"/>
      <c r="Z946" s="106"/>
    </row>
    <row r="947">
      <c r="C947" s="79"/>
      <c r="D947" s="79"/>
      <c r="J947" s="79"/>
      <c r="P947" s="79"/>
      <c r="Q947" s="79"/>
      <c r="T947" s="79"/>
      <c r="U947" s="79"/>
      <c r="X947" s="130"/>
      <c r="Z947" s="106"/>
    </row>
    <row r="948">
      <c r="C948" s="79"/>
      <c r="D948" s="79"/>
      <c r="J948" s="79"/>
      <c r="P948" s="79"/>
      <c r="Q948" s="79"/>
      <c r="T948" s="79"/>
      <c r="U948" s="79"/>
      <c r="X948" s="130"/>
      <c r="Z948" s="106"/>
    </row>
    <row r="949">
      <c r="C949" s="79"/>
      <c r="D949" s="79"/>
      <c r="J949" s="79"/>
      <c r="P949" s="79"/>
      <c r="Q949" s="79"/>
      <c r="T949" s="79"/>
      <c r="U949" s="79"/>
      <c r="X949" s="130"/>
      <c r="Z949" s="106"/>
    </row>
    <row r="950">
      <c r="C950" s="79"/>
      <c r="D950" s="79"/>
      <c r="J950" s="79"/>
      <c r="P950" s="79"/>
      <c r="Q950" s="79"/>
      <c r="T950" s="79"/>
      <c r="U950" s="79"/>
      <c r="X950" s="130"/>
      <c r="Z950" s="106"/>
    </row>
    <row r="951">
      <c r="C951" s="79"/>
      <c r="D951" s="79"/>
      <c r="J951" s="79"/>
      <c r="P951" s="79"/>
      <c r="Q951" s="79"/>
      <c r="T951" s="79"/>
      <c r="U951" s="79"/>
      <c r="X951" s="130"/>
      <c r="Z951" s="106"/>
    </row>
    <row r="952">
      <c r="C952" s="79"/>
      <c r="D952" s="79"/>
      <c r="J952" s="79"/>
      <c r="P952" s="79"/>
      <c r="Q952" s="79"/>
      <c r="T952" s="79"/>
      <c r="U952" s="79"/>
      <c r="X952" s="130"/>
      <c r="Z952" s="106"/>
    </row>
    <row r="953">
      <c r="C953" s="79"/>
      <c r="D953" s="79"/>
      <c r="J953" s="79"/>
      <c r="P953" s="79"/>
      <c r="Q953" s="79"/>
      <c r="T953" s="79"/>
      <c r="U953" s="79"/>
      <c r="X953" s="130"/>
      <c r="Z953" s="106"/>
    </row>
    <row r="954">
      <c r="C954" s="79"/>
      <c r="D954" s="79"/>
      <c r="J954" s="79"/>
      <c r="P954" s="79"/>
      <c r="Q954" s="79"/>
      <c r="T954" s="79"/>
      <c r="U954" s="79"/>
      <c r="X954" s="130"/>
      <c r="Z954" s="106"/>
    </row>
    <row r="955">
      <c r="C955" s="79"/>
      <c r="D955" s="79"/>
      <c r="J955" s="79"/>
      <c r="P955" s="79"/>
      <c r="Q955" s="79"/>
      <c r="T955" s="79"/>
      <c r="U955" s="79"/>
      <c r="X955" s="130"/>
      <c r="Z955" s="106"/>
    </row>
    <row r="956">
      <c r="C956" s="79"/>
      <c r="D956" s="79"/>
      <c r="J956" s="79"/>
      <c r="P956" s="79"/>
      <c r="Q956" s="79"/>
      <c r="T956" s="79"/>
      <c r="U956" s="79"/>
      <c r="X956" s="130"/>
      <c r="Z956" s="106"/>
    </row>
    <row r="957">
      <c r="C957" s="79"/>
      <c r="D957" s="79"/>
      <c r="J957" s="79"/>
      <c r="P957" s="79"/>
      <c r="Q957" s="79"/>
      <c r="T957" s="79"/>
      <c r="U957" s="79"/>
      <c r="X957" s="130"/>
      <c r="Z957" s="106"/>
    </row>
    <row r="958">
      <c r="C958" s="79"/>
      <c r="D958" s="79"/>
      <c r="J958" s="79"/>
      <c r="P958" s="79"/>
      <c r="Q958" s="79"/>
      <c r="T958" s="79"/>
      <c r="U958" s="79"/>
      <c r="X958" s="130"/>
      <c r="Z958" s="106"/>
    </row>
    <row r="959">
      <c r="C959" s="79"/>
      <c r="D959" s="79"/>
      <c r="J959" s="79"/>
      <c r="P959" s="79"/>
      <c r="Q959" s="79"/>
      <c r="T959" s="79"/>
      <c r="U959" s="79"/>
      <c r="X959" s="130"/>
      <c r="Z959" s="106"/>
    </row>
    <row r="960">
      <c r="C960" s="79"/>
      <c r="D960" s="79"/>
      <c r="J960" s="79"/>
      <c r="P960" s="79"/>
      <c r="Q960" s="79"/>
      <c r="T960" s="79"/>
      <c r="U960" s="79"/>
      <c r="X960" s="130"/>
      <c r="Z960" s="106"/>
    </row>
    <row r="961">
      <c r="C961" s="79"/>
      <c r="D961" s="79"/>
      <c r="J961" s="79"/>
      <c r="P961" s="79"/>
      <c r="Q961" s="79"/>
      <c r="T961" s="79"/>
      <c r="U961" s="79"/>
      <c r="X961" s="130"/>
      <c r="Z961" s="106"/>
    </row>
    <row r="962">
      <c r="C962" s="79"/>
      <c r="D962" s="79"/>
      <c r="J962" s="79"/>
      <c r="P962" s="79"/>
      <c r="Q962" s="79"/>
      <c r="T962" s="79"/>
      <c r="U962" s="79"/>
      <c r="X962" s="130"/>
      <c r="Z962" s="106"/>
    </row>
    <row r="963">
      <c r="C963" s="79"/>
      <c r="D963" s="79"/>
      <c r="J963" s="79"/>
      <c r="P963" s="79"/>
      <c r="Q963" s="79"/>
      <c r="T963" s="79"/>
      <c r="U963" s="79"/>
      <c r="X963" s="130"/>
      <c r="Z963" s="106"/>
    </row>
    <row r="964">
      <c r="C964" s="79"/>
      <c r="D964" s="79"/>
      <c r="J964" s="79"/>
      <c r="P964" s="79"/>
      <c r="Q964" s="79"/>
      <c r="T964" s="79"/>
      <c r="U964" s="79"/>
      <c r="X964" s="130"/>
      <c r="Z964" s="106"/>
    </row>
    <row r="965">
      <c r="C965" s="79"/>
      <c r="D965" s="79"/>
      <c r="J965" s="79"/>
      <c r="P965" s="79"/>
      <c r="Q965" s="79"/>
      <c r="T965" s="79"/>
      <c r="U965" s="79"/>
      <c r="X965" s="130"/>
      <c r="Z965" s="106"/>
    </row>
    <row r="966">
      <c r="C966" s="79"/>
      <c r="D966" s="79"/>
      <c r="J966" s="79"/>
      <c r="P966" s="79"/>
      <c r="Q966" s="79"/>
      <c r="T966" s="79"/>
      <c r="U966" s="79"/>
      <c r="X966" s="130"/>
      <c r="Z966" s="106"/>
    </row>
    <row r="967">
      <c r="C967" s="79"/>
      <c r="D967" s="79"/>
      <c r="J967" s="79"/>
      <c r="P967" s="79"/>
      <c r="Q967" s="79"/>
      <c r="T967" s="79"/>
      <c r="U967" s="79"/>
      <c r="X967" s="130"/>
      <c r="Z967" s="106"/>
    </row>
    <row r="968">
      <c r="C968" s="79"/>
      <c r="D968" s="79"/>
      <c r="J968" s="79"/>
      <c r="P968" s="79"/>
      <c r="Q968" s="79"/>
      <c r="T968" s="79"/>
      <c r="U968" s="79"/>
      <c r="X968" s="130"/>
      <c r="Z968" s="106"/>
    </row>
    <row r="969">
      <c r="C969" s="79"/>
      <c r="D969" s="79"/>
      <c r="J969" s="79"/>
      <c r="P969" s="79"/>
      <c r="Q969" s="79"/>
      <c r="T969" s="79"/>
      <c r="U969" s="79"/>
      <c r="X969" s="130"/>
      <c r="Z969" s="106"/>
    </row>
    <row r="970">
      <c r="C970" s="79"/>
      <c r="D970" s="79"/>
      <c r="J970" s="79"/>
      <c r="P970" s="79"/>
      <c r="Q970" s="79"/>
      <c r="T970" s="79"/>
      <c r="U970" s="79"/>
      <c r="X970" s="130"/>
      <c r="Z970" s="106"/>
    </row>
    <row r="971">
      <c r="C971" s="79"/>
      <c r="D971" s="79"/>
      <c r="J971" s="79"/>
      <c r="P971" s="79"/>
      <c r="Q971" s="79"/>
      <c r="T971" s="79"/>
      <c r="U971" s="79"/>
      <c r="X971" s="130"/>
      <c r="Z971" s="106"/>
    </row>
    <row r="972">
      <c r="C972" s="79"/>
      <c r="D972" s="79"/>
      <c r="J972" s="79"/>
      <c r="P972" s="79"/>
      <c r="Q972" s="79"/>
      <c r="T972" s="79"/>
      <c r="U972" s="79"/>
      <c r="X972" s="130"/>
      <c r="Z972" s="106"/>
    </row>
    <row r="973">
      <c r="C973" s="79"/>
      <c r="D973" s="79"/>
      <c r="J973" s="79"/>
      <c r="P973" s="79"/>
      <c r="Q973" s="79"/>
      <c r="T973" s="79"/>
      <c r="U973" s="79"/>
      <c r="X973" s="130"/>
      <c r="Z973" s="106"/>
    </row>
    <row r="974">
      <c r="C974" s="79"/>
      <c r="D974" s="79"/>
      <c r="J974" s="79"/>
      <c r="P974" s="79"/>
      <c r="Q974" s="79"/>
      <c r="T974" s="79"/>
      <c r="U974" s="79"/>
      <c r="X974" s="130"/>
      <c r="Z974" s="106"/>
    </row>
    <row r="975">
      <c r="C975" s="79"/>
      <c r="D975" s="79"/>
      <c r="J975" s="79"/>
      <c r="P975" s="79"/>
      <c r="Q975" s="79"/>
      <c r="T975" s="79"/>
      <c r="U975" s="79"/>
      <c r="X975" s="130"/>
      <c r="Z975" s="106"/>
    </row>
    <row r="976">
      <c r="C976" s="79"/>
      <c r="D976" s="79"/>
      <c r="J976" s="79"/>
      <c r="P976" s="79"/>
      <c r="Q976" s="79"/>
      <c r="T976" s="79"/>
      <c r="U976" s="79"/>
      <c r="X976" s="130"/>
      <c r="Z976" s="106"/>
    </row>
    <row r="977">
      <c r="C977" s="79"/>
      <c r="D977" s="79"/>
      <c r="J977" s="79"/>
      <c r="P977" s="79"/>
      <c r="Q977" s="79"/>
      <c r="T977" s="79"/>
      <c r="U977" s="79"/>
      <c r="X977" s="130"/>
      <c r="Z977" s="106"/>
    </row>
    <row r="978">
      <c r="C978" s="79"/>
      <c r="D978" s="79"/>
      <c r="J978" s="79"/>
      <c r="P978" s="79"/>
      <c r="Q978" s="79"/>
      <c r="T978" s="79"/>
      <c r="U978" s="79"/>
      <c r="X978" s="130"/>
      <c r="Z978" s="106"/>
    </row>
    <row r="979">
      <c r="C979" s="79"/>
      <c r="D979" s="79"/>
      <c r="J979" s="79"/>
      <c r="P979" s="79"/>
      <c r="Q979" s="79"/>
      <c r="T979" s="79"/>
      <c r="U979" s="79"/>
      <c r="X979" s="130"/>
      <c r="Z979" s="106"/>
    </row>
    <row r="980">
      <c r="C980" s="79"/>
      <c r="D980" s="79"/>
      <c r="J980" s="79"/>
      <c r="P980" s="79"/>
      <c r="Q980" s="79"/>
      <c r="T980" s="79"/>
      <c r="U980" s="79"/>
      <c r="X980" s="130"/>
      <c r="Z980" s="106"/>
    </row>
    <row r="981">
      <c r="C981" s="79"/>
      <c r="D981" s="79"/>
      <c r="J981" s="79"/>
      <c r="P981" s="79"/>
      <c r="Q981" s="79"/>
      <c r="T981" s="79"/>
      <c r="U981" s="79"/>
      <c r="X981" s="130"/>
      <c r="Z981" s="106"/>
    </row>
    <row r="982">
      <c r="C982" s="79"/>
      <c r="D982" s="79"/>
      <c r="J982" s="79"/>
      <c r="P982" s="79"/>
      <c r="Q982" s="79"/>
      <c r="T982" s="79"/>
      <c r="U982" s="79"/>
      <c r="X982" s="130"/>
      <c r="Z982" s="106"/>
    </row>
    <row r="983">
      <c r="C983" s="79"/>
      <c r="D983" s="79"/>
      <c r="J983" s="79"/>
      <c r="P983" s="79"/>
      <c r="Q983" s="79"/>
      <c r="T983" s="79"/>
      <c r="U983" s="79"/>
      <c r="X983" s="130"/>
      <c r="Z983" s="106"/>
    </row>
    <row r="984">
      <c r="C984" s="79"/>
      <c r="D984" s="79"/>
      <c r="J984" s="79"/>
      <c r="P984" s="79"/>
      <c r="Q984" s="79"/>
      <c r="T984" s="79"/>
      <c r="U984" s="79"/>
      <c r="X984" s="130"/>
      <c r="Z984" s="106"/>
    </row>
    <row r="985">
      <c r="C985" s="79"/>
      <c r="D985" s="79"/>
      <c r="J985" s="79"/>
      <c r="P985" s="79"/>
      <c r="Q985" s="79"/>
      <c r="T985" s="79"/>
      <c r="U985" s="79"/>
      <c r="X985" s="130"/>
      <c r="Z985" s="106"/>
    </row>
    <row r="986">
      <c r="C986" s="79"/>
      <c r="D986" s="79"/>
      <c r="J986" s="79"/>
      <c r="P986" s="79"/>
      <c r="Q986" s="79"/>
      <c r="T986" s="79"/>
      <c r="U986" s="79"/>
      <c r="X986" s="130"/>
      <c r="Z986" s="106"/>
    </row>
    <row r="987">
      <c r="C987" s="79"/>
      <c r="D987" s="79"/>
      <c r="J987" s="79"/>
      <c r="P987" s="79"/>
      <c r="Q987" s="79"/>
      <c r="T987" s="79"/>
      <c r="U987" s="79"/>
      <c r="X987" s="130"/>
      <c r="Z987" s="106"/>
    </row>
    <row r="988">
      <c r="C988" s="79"/>
      <c r="D988" s="79"/>
      <c r="J988" s="79"/>
      <c r="P988" s="79"/>
      <c r="Q988" s="79"/>
      <c r="T988" s="79"/>
      <c r="U988" s="79"/>
      <c r="X988" s="130"/>
      <c r="Z988" s="106"/>
    </row>
    <row r="989">
      <c r="C989" s="79"/>
      <c r="D989" s="79"/>
      <c r="J989" s="79"/>
      <c r="P989" s="79"/>
      <c r="Q989" s="79"/>
      <c r="T989" s="79"/>
      <c r="U989" s="79"/>
      <c r="X989" s="130"/>
      <c r="Z989" s="106"/>
    </row>
    <row r="990">
      <c r="C990" s="79"/>
      <c r="D990" s="79"/>
      <c r="J990" s="79"/>
      <c r="P990" s="79"/>
      <c r="Q990" s="79"/>
      <c r="T990" s="79"/>
      <c r="U990" s="79"/>
      <c r="X990" s="130"/>
      <c r="Z990" s="106"/>
    </row>
    <row r="991">
      <c r="C991" s="79"/>
      <c r="D991" s="79"/>
      <c r="J991" s="79"/>
      <c r="P991" s="79"/>
      <c r="Q991" s="79"/>
      <c r="T991" s="79"/>
      <c r="U991" s="79"/>
      <c r="X991" s="130"/>
      <c r="Z991" s="106"/>
    </row>
    <row r="992">
      <c r="C992" s="79"/>
      <c r="D992" s="79"/>
      <c r="J992" s="79"/>
      <c r="P992" s="79"/>
      <c r="Q992" s="79"/>
      <c r="T992" s="79"/>
      <c r="U992" s="79"/>
      <c r="X992" s="130"/>
      <c r="Z992" s="106"/>
    </row>
    <row r="993">
      <c r="C993" s="79"/>
      <c r="D993" s="79"/>
      <c r="J993" s="79"/>
      <c r="P993" s="79"/>
      <c r="Q993" s="79"/>
      <c r="T993" s="79"/>
      <c r="U993" s="79"/>
      <c r="X993" s="130"/>
      <c r="Z993" s="106"/>
    </row>
    <row r="994">
      <c r="C994" s="79"/>
      <c r="D994" s="79"/>
      <c r="J994" s="79"/>
      <c r="P994" s="79"/>
      <c r="Q994" s="79"/>
      <c r="T994" s="79"/>
      <c r="U994" s="79"/>
      <c r="X994" s="130"/>
      <c r="Z994" s="106"/>
    </row>
    <row r="995">
      <c r="C995" s="79"/>
      <c r="D995" s="79"/>
      <c r="J995" s="79"/>
      <c r="P995" s="79"/>
      <c r="Q995" s="79"/>
      <c r="T995" s="79"/>
      <c r="U995" s="79"/>
      <c r="X995" s="130"/>
      <c r="Z995" s="106"/>
    </row>
    <row r="996">
      <c r="C996" s="79"/>
      <c r="D996" s="79"/>
      <c r="J996" s="79"/>
      <c r="P996" s="79"/>
      <c r="Q996" s="79"/>
      <c r="T996" s="79"/>
      <c r="U996" s="79"/>
      <c r="X996" s="130"/>
      <c r="Z996" s="106"/>
    </row>
    <row r="997">
      <c r="C997" s="79"/>
      <c r="D997" s="79"/>
      <c r="J997" s="79"/>
      <c r="P997" s="79"/>
      <c r="Q997" s="79"/>
      <c r="T997" s="79"/>
      <c r="U997" s="79"/>
      <c r="X997" s="130"/>
      <c r="Z997" s="106"/>
    </row>
    <row r="998">
      <c r="C998" s="79"/>
      <c r="D998" s="79"/>
      <c r="J998" s="79"/>
      <c r="P998" s="79"/>
      <c r="Q998" s="79"/>
      <c r="T998" s="79"/>
      <c r="U998" s="79"/>
      <c r="X998" s="130"/>
      <c r="Z998" s="106"/>
    </row>
    <row r="999">
      <c r="C999" s="79"/>
      <c r="D999" s="79"/>
      <c r="J999" s="79"/>
      <c r="P999" s="79"/>
      <c r="Q999" s="79"/>
      <c r="T999" s="79"/>
      <c r="U999" s="79"/>
      <c r="X999" s="130"/>
      <c r="Z999" s="106"/>
    </row>
    <row r="1000">
      <c r="C1000" s="79"/>
      <c r="D1000" s="79"/>
      <c r="J1000" s="79"/>
      <c r="P1000" s="79"/>
      <c r="Q1000" s="79"/>
      <c r="T1000" s="79"/>
      <c r="U1000" s="79"/>
      <c r="X1000" s="130"/>
      <c r="Z1000" s="106"/>
    </row>
  </sheetData>
  <mergeCells count="1">
    <mergeCell ref="H19:J19"/>
  </mergeCells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6" max="26" width="17.0"/>
  </cols>
  <sheetData>
    <row r="1">
      <c r="B1" s="2" t="s">
        <v>0</v>
      </c>
      <c r="C1" s="105" t="s">
        <v>1</v>
      </c>
      <c r="D1" s="105" t="s">
        <v>7</v>
      </c>
      <c r="E1" s="2" t="s">
        <v>3</v>
      </c>
      <c r="F1" s="2" t="s">
        <v>129</v>
      </c>
      <c r="G1" s="2" t="s">
        <v>5</v>
      </c>
      <c r="H1" s="2" t="s">
        <v>6</v>
      </c>
      <c r="I1" s="2" t="s">
        <v>43</v>
      </c>
      <c r="J1" s="105" t="s">
        <v>40</v>
      </c>
      <c r="K1" s="2" t="s">
        <v>49</v>
      </c>
      <c r="L1" s="2" t="s">
        <v>42</v>
      </c>
      <c r="M1" s="2"/>
      <c r="N1" s="2" t="s">
        <v>121</v>
      </c>
      <c r="O1" s="2" t="s">
        <v>164</v>
      </c>
      <c r="P1" s="105" t="s">
        <v>9</v>
      </c>
      <c r="Q1" s="105" t="s">
        <v>165</v>
      </c>
      <c r="R1" s="2" t="s">
        <v>37</v>
      </c>
      <c r="S1" s="2" t="s">
        <v>10</v>
      </c>
      <c r="T1" s="105" t="s">
        <v>11</v>
      </c>
      <c r="U1" s="105" t="s">
        <v>167</v>
      </c>
      <c r="V1" s="2" t="s">
        <v>12</v>
      </c>
      <c r="W1" s="3" t="s">
        <v>13</v>
      </c>
      <c r="X1" s="126" t="s">
        <v>14</v>
      </c>
      <c r="Y1" s="3" t="s">
        <v>15</v>
      </c>
      <c r="Z1" s="106"/>
    </row>
    <row r="2">
      <c r="A2" s="74">
        <v>45138.0</v>
      </c>
      <c r="B2" s="5">
        <v>1867.46</v>
      </c>
      <c r="C2" s="93">
        <v>1137.83</v>
      </c>
      <c r="D2" s="93"/>
      <c r="E2" s="5"/>
      <c r="F2" s="5">
        <v>420.98</v>
      </c>
      <c r="G2" s="5"/>
      <c r="H2" s="5"/>
      <c r="I2" s="5"/>
      <c r="J2" s="136"/>
      <c r="K2" s="5">
        <v>168.0</v>
      </c>
      <c r="L2" s="5"/>
      <c r="M2" s="5"/>
      <c r="N2" s="5"/>
      <c r="O2" s="5"/>
      <c r="P2" s="93"/>
      <c r="Q2" s="93"/>
      <c r="R2" s="5"/>
      <c r="S2" s="5"/>
      <c r="T2" s="93">
        <v>109.97</v>
      </c>
      <c r="U2" s="93"/>
      <c r="V2" s="5"/>
      <c r="W2" s="107">
        <f t="shared" ref="W2:W7" si="1">SUM(B2:V2)</f>
        <v>3704.24</v>
      </c>
      <c r="X2" s="108"/>
      <c r="Y2" s="59" t="str">
        <f t="shared" ref="Y2:Y8" si="2">W2/X2</f>
        <v>#DIV/0!</v>
      </c>
      <c r="Z2" s="109">
        <f t="shared" ref="Z2:Z8" si="3">A2</f>
        <v>45138</v>
      </c>
    </row>
    <row r="3">
      <c r="A3" s="74">
        <v>45139.0</v>
      </c>
      <c r="B3" s="5">
        <v>937.98</v>
      </c>
      <c r="C3" s="110">
        <v>1169.95</v>
      </c>
      <c r="D3" s="93"/>
      <c r="E3" s="5"/>
      <c r="F3" s="5">
        <v>343.35</v>
      </c>
      <c r="G3" s="5">
        <v>554.5</v>
      </c>
      <c r="H3" s="5">
        <v>42.0</v>
      </c>
      <c r="I3" s="5"/>
      <c r="J3" s="93"/>
      <c r="K3" s="5"/>
      <c r="L3" s="5"/>
      <c r="M3" s="5"/>
      <c r="N3" s="6"/>
      <c r="O3" s="6"/>
      <c r="P3" s="93"/>
      <c r="Q3" s="93"/>
      <c r="R3" s="93"/>
      <c r="S3" s="5"/>
      <c r="T3" s="93"/>
      <c r="U3" s="93"/>
      <c r="V3" s="93">
        <v>179.96</v>
      </c>
      <c r="W3" s="7">
        <f t="shared" si="1"/>
        <v>3227.74</v>
      </c>
      <c r="X3" s="97"/>
      <c r="Y3" s="59" t="str">
        <f t="shared" si="2"/>
        <v>#DIV/0!</v>
      </c>
      <c r="Z3" s="109">
        <f t="shared" si="3"/>
        <v>45139</v>
      </c>
    </row>
    <row r="4">
      <c r="A4" s="74">
        <v>45140.0</v>
      </c>
      <c r="B4" s="5">
        <v>1266.33</v>
      </c>
      <c r="C4" s="93">
        <v>1063.23</v>
      </c>
      <c r="D4" s="93"/>
      <c r="E4" s="5"/>
      <c r="F4" s="5">
        <v>359.15</v>
      </c>
      <c r="G4" s="5"/>
      <c r="H4" s="5"/>
      <c r="I4" s="5"/>
      <c r="J4" s="93"/>
      <c r="K4" s="5"/>
      <c r="L4" s="5"/>
      <c r="M4" s="5"/>
      <c r="N4" s="5">
        <v>18.5</v>
      </c>
      <c r="O4" s="5"/>
      <c r="P4" s="93"/>
      <c r="Q4" s="93">
        <v>213.0</v>
      </c>
      <c r="R4" s="5"/>
      <c r="S4" s="83"/>
      <c r="T4" s="93">
        <v>109.97</v>
      </c>
      <c r="U4" s="93"/>
      <c r="V4" s="6"/>
      <c r="W4" s="7">
        <f t="shared" si="1"/>
        <v>3030.18</v>
      </c>
      <c r="X4" s="97"/>
      <c r="Y4" s="59" t="str">
        <f t="shared" si="2"/>
        <v>#DIV/0!</v>
      </c>
      <c r="Z4" s="109">
        <f t="shared" si="3"/>
        <v>45140</v>
      </c>
    </row>
    <row r="5">
      <c r="A5" s="74">
        <v>45141.0</v>
      </c>
      <c r="B5" s="5">
        <v>1046.92</v>
      </c>
      <c r="C5" s="93">
        <v>194.6</v>
      </c>
      <c r="D5" s="101"/>
      <c r="E5" s="5">
        <v>280.0</v>
      </c>
      <c r="F5" s="5"/>
      <c r="G5" s="5"/>
      <c r="H5" s="5"/>
      <c r="I5" s="5"/>
      <c r="J5" s="93"/>
      <c r="K5" s="5"/>
      <c r="L5" s="5"/>
      <c r="M5" s="5"/>
      <c r="N5" s="5">
        <v>18.5</v>
      </c>
      <c r="O5" s="5"/>
      <c r="P5" s="93"/>
      <c r="Q5" s="93"/>
      <c r="R5" s="5"/>
      <c r="S5" s="5"/>
      <c r="T5" s="101"/>
      <c r="U5" s="101"/>
      <c r="V5" s="6"/>
      <c r="W5" s="7">
        <f t="shared" si="1"/>
        <v>1540.02</v>
      </c>
      <c r="X5" s="98"/>
      <c r="Y5" s="59" t="str">
        <f t="shared" si="2"/>
        <v>#DIV/0!</v>
      </c>
      <c r="Z5" s="109">
        <f t="shared" si="3"/>
        <v>45141</v>
      </c>
    </row>
    <row r="6">
      <c r="A6" s="74">
        <v>45142.0</v>
      </c>
      <c r="B6" s="5">
        <v>902.68</v>
      </c>
      <c r="C6" s="93">
        <v>583.13</v>
      </c>
      <c r="D6" s="93"/>
      <c r="E6" s="5"/>
      <c r="F6" s="32">
        <v>178.71</v>
      </c>
      <c r="G6" s="5">
        <v>400.5</v>
      </c>
      <c r="H6" s="5">
        <v>123.0</v>
      </c>
      <c r="I6" s="5"/>
      <c r="J6" s="111"/>
      <c r="K6" s="5"/>
      <c r="L6" s="5"/>
      <c r="M6" s="5"/>
      <c r="N6" s="5">
        <v>18.5</v>
      </c>
      <c r="O6" s="5"/>
      <c r="P6" s="93"/>
      <c r="Q6" s="93"/>
      <c r="R6" s="5"/>
      <c r="S6" s="5"/>
      <c r="T6" s="93">
        <v>109.97</v>
      </c>
      <c r="U6" s="93"/>
      <c r="V6" s="5"/>
      <c r="W6" s="7">
        <f t="shared" si="1"/>
        <v>2316.49</v>
      </c>
      <c r="X6" s="97"/>
      <c r="Y6" s="59" t="str">
        <f t="shared" si="2"/>
        <v>#DIV/0!</v>
      </c>
      <c r="Z6" s="109">
        <f t="shared" si="3"/>
        <v>45142</v>
      </c>
    </row>
    <row r="7">
      <c r="A7" s="74">
        <v>45143.0</v>
      </c>
      <c r="B7" s="5"/>
      <c r="C7" s="93"/>
      <c r="D7" s="93"/>
      <c r="E7" s="5"/>
      <c r="F7" s="5"/>
      <c r="G7" s="5"/>
      <c r="H7" s="5"/>
      <c r="I7" s="5"/>
      <c r="J7" s="101"/>
      <c r="K7" s="5"/>
      <c r="L7" s="5"/>
      <c r="M7" s="5"/>
      <c r="N7" s="93"/>
      <c r="O7" s="93"/>
      <c r="P7" s="93"/>
      <c r="Q7" s="93"/>
      <c r="R7" s="6"/>
      <c r="S7" s="6"/>
      <c r="T7" s="101"/>
      <c r="U7" s="101"/>
      <c r="V7" s="5"/>
      <c r="W7" s="7">
        <f t="shared" si="1"/>
        <v>0</v>
      </c>
      <c r="X7" s="97"/>
      <c r="Y7" s="59" t="str">
        <f t="shared" si="2"/>
        <v>#DIV/0!</v>
      </c>
      <c r="Z7" s="109">
        <f t="shared" si="3"/>
        <v>45143</v>
      </c>
    </row>
    <row r="8">
      <c r="A8" s="74">
        <v>45144.0</v>
      </c>
      <c r="B8" s="10" t="s">
        <v>21</v>
      </c>
      <c r="C8" s="112" t="s">
        <v>21</v>
      </c>
      <c r="D8" s="112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12" t="s">
        <v>21</v>
      </c>
      <c r="K8" s="10" t="s">
        <v>21</v>
      </c>
      <c r="L8" s="10" t="s">
        <v>21</v>
      </c>
      <c r="M8" s="10"/>
      <c r="N8" s="10"/>
      <c r="O8" s="10"/>
      <c r="P8" s="112" t="s">
        <v>21</v>
      </c>
      <c r="Q8" s="112"/>
      <c r="R8" s="10" t="s">
        <v>21</v>
      </c>
      <c r="S8" s="10" t="s">
        <v>21</v>
      </c>
      <c r="T8" s="112" t="s">
        <v>21</v>
      </c>
      <c r="U8" s="112"/>
      <c r="V8" s="10" t="s">
        <v>21</v>
      </c>
      <c r="W8" s="7">
        <v>0.0</v>
      </c>
      <c r="X8" s="97"/>
      <c r="Y8" s="59" t="str">
        <f t="shared" si="2"/>
        <v>#DIV/0!</v>
      </c>
      <c r="Z8" s="109">
        <f t="shared" si="3"/>
        <v>45144</v>
      </c>
    </row>
    <row r="9">
      <c r="C9" s="136"/>
      <c r="D9" s="138"/>
      <c r="J9" s="79"/>
      <c r="T9" s="79"/>
      <c r="U9" s="79"/>
      <c r="X9" s="129"/>
      <c r="Z9" s="106"/>
    </row>
    <row r="10">
      <c r="C10" s="79"/>
      <c r="D10" s="79"/>
      <c r="J10" s="79"/>
      <c r="P10" s="79"/>
      <c r="Q10" s="79"/>
      <c r="T10" s="79"/>
      <c r="U10" s="79"/>
      <c r="X10" s="130"/>
      <c r="Z10" s="106"/>
    </row>
    <row r="11">
      <c r="A11" s="4" t="s">
        <v>22</v>
      </c>
      <c r="B11" s="11">
        <v>13000.0</v>
      </c>
      <c r="C11" s="79"/>
      <c r="D11" s="79"/>
      <c r="E11" s="78"/>
      <c r="F11" s="79"/>
      <c r="J11" s="79"/>
      <c r="P11" s="79"/>
      <c r="Q11" s="79"/>
      <c r="T11" s="79"/>
      <c r="U11" s="79"/>
      <c r="X11" s="131"/>
      <c r="Z11" s="106"/>
    </row>
    <row r="12">
      <c r="A12" s="4" t="s">
        <v>23</v>
      </c>
      <c r="B12" s="12">
        <f>SUM(B2:V8)+C9</f>
        <v>13818.67</v>
      </c>
      <c r="C12" s="79"/>
      <c r="D12" s="79"/>
      <c r="E12" s="56"/>
      <c r="J12" s="79"/>
      <c r="P12" s="79"/>
      <c r="Q12" s="79"/>
      <c r="T12" s="79"/>
      <c r="U12" s="79"/>
      <c r="X12" s="130"/>
      <c r="Z12" s="106"/>
    </row>
    <row r="13">
      <c r="A13" s="4" t="s">
        <v>24</v>
      </c>
      <c r="B13" s="12">
        <f> SUM(B11-B12)</f>
        <v>-818.67</v>
      </c>
      <c r="C13" s="79"/>
      <c r="D13" s="79"/>
      <c r="J13" s="79"/>
      <c r="P13" s="79"/>
      <c r="Q13" s="79"/>
      <c r="T13" s="79"/>
      <c r="U13" s="79"/>
      <c r="X13" s="130"/>
      <c r="Z13" s="106"/>
    </row>
    <row r="14">
      <c r="C14" s="79"/>
      <c r="D14" s="79"/>
      <c r="J14" s="79"/>
      <c r="P14" s="79"/>
      <c r="Q14" s="79"/>
      <c r="T14" s="79"/>
      <c r="U14" s="79"/>
      <c r="X14" s="130"/>
      <c r="Z14" s="106"/>
    </row>
    <row r="15">
      <c r="A15" s="13" t="s">
        <v>25</v>
      </c>
      <c r="B15" s="14">
        <f>SUM(X2:X8)</f>
        <v>0</v>
      </c>
      <c r="C15" s="79"/>
      <c r="D15" s="79"/>
      <c r="J15" s="79"/>
      <c r="P15" s="79"/>
      <c r="Q15" s="79"/>
      <c r="T15" s="79"/>
      <c r="U15" s="79"/>
      <c r="X15" s="130"/>
      <c r="Z15" s="106"/>
    </row>
    <row r="16">
      <c r="A16" s="13" t="s">
        <v>26</v>
      </c>
      <c r="B16" s="15" t="str">
        <f>B12/B15</f>
        <v>#DIV/0!</v>
      </c>
      <c r="C16" s="79"/>
      <c r="D16" s="79"/>
      <c r="J16" s="79"/>
      <c r="P16" s="79"/>
      <c r="Q16" s="79"/>
      <c r="T16" s="79"/>
      <c r="U16" s="79"/>
      <c r="X16" s="130"/>
      <c r="Z16" s="106"/>
    </row>
    <row r="17">
      <c r="C17" s="79"/>
      <c r="D17" s="79"/>
      <c r="J17" s="79"/>
      <c r="P17" s="79"/>
      <c r="Q17" s="79"/>
      <c r="T17" s="79"/>
      <c r="U17" s="79"/>
      <c r="X17" s="130"/>
      <c r="Z17" s="106"/>
    </row>
    <row r="18">
      <c r="C18" s="79"/>
      <c r="D18" s="79"/>
      <c r="J18" s="79"/>
      <c r="P18" s="79"/>
      <c r="Q18" s="79"/>
      <c r="T18" s="79"/>
      <c r="U18" s="79"/>
      <c r="X18" s="130"/>
      <c r="Z18" s="106"/>
    </row>
    <row r="19">
      <c r="A19" s="16" t="s">
        <v>27</v>
      </c>
      <c r="B19" s="17"/>
      <c r="C19" s="114"/>
      <c r="D19" s="115"/>
      <c r="H19" s="84"/>
      <c r="P19" s="79"/>
      <c r="Q19" s="79"/>
      <c r="T19" s="79"/>
      <c r="U19" s="79"/>
      <c r="X19" s="130"/>
      <c r="Z19" s="106"/>
    </row>
    <row r="20">
      <c r="A20" s="19" t="s">
        <v>28</v>
      </c>
      <c r="B20" s="20"/>
      <c r="C20" s="116"/>
      <c r="D20" s="117"/>
      <c r="H20" s="85"/>
      <c r="I20" s="85"/>
      <c r="J20" s="118"/>
      <c r="P20" s="79"/>
      <c r="Q20" s="79"/>
      <c r="T20" s="79"/>
      <c r="U20" s="79"/>
      <c r="X20" s="130"/>
      <c r="Z20" s="106"/>
    </row>
    <row r="21">
      <c r="A21" s="22" t="s">
        <v>29</v>
      </c>
      <c r="B21" s="23" t="s">
        <v>30</v>
      </c>
      <c r="C21" s="119" t="s">
        <v>170</v>
      </c>
      <c r="D21" s="120" t="s">
        <v>171</v>
      </c>
      <c r="H21" s="86"/>
      <c r="I21" s="85"/>
      <c r="J21" s="118"/>
      <c r="P21" s="79"/>
      <c r="Q21" s="79"/>
      <c r="T21" s="79"/>
      <c r="U21" s="79"/>
      <c r="X21" s="130"/>
      <c r="Z21" s="106"/>
    </row>
    <row r="22">
      <c r="A22" s="28" t="s">
        <v>149</v>
      </c>
      <c r="B22" s="72"/>
      <c r="C22" s="121"/>
      <c r="D22" s="122"/>
      <c r="H22" s="87"/>
      <c r="I22" s="85"/>
      <c r="J22" s="118"/>
      <c r="P22" s="79"/>
      <c r="Q22" s="79"/>
      <c r="T22" s="79"/>
      <c r="U22" s="79"/>
      <c r="X22" s="130"/>
      <c r="Z22" s="106"/>
    </row>
    <row r="23">
      <c r="A23" s="28" t="s">
        <v>150</v>
      </c>
      <c r="B23" s="72"/>
      <c r="C23" s="121"/>
      <c r="D23" s="122"/>
      <c r="H23" s="88"/>
      <c r="I23" s="88"/>
      <c r="J23" s="123"/>
      <c r="P23" s="79"/>
      <c r="Q23" s="79"/>
      <c r="T23" s="79"/>
      <c r="U23" s="79"/>
      <c r="X23" s="130"/>
      <c r="Z23" s="106"/>
    </row>
    <row r="24">
      <c r="A24" s="71" t="s">
        <v>108</v>
      </c>
      <c r="B24" s="72"/>
      <c r="C24" s="71"/>
      <c r="D24" s="124"/>
      <c r="H24" s="88"/>
      <c r="I24" s="88"/>
      <c r="J24" s="123"/>
      <c r="P24" s="79"/>
      <c r="Q24" s="79"/>
      <c r="T24" s="79"/>
      <c r="U24" s="79"/>
      <c r="X24" s="130"/>
      <c r="Z24" s="106"/>
    </row>
    <row r="25">
      <c r="A25" s="28" t="s">
        <v>159</v>
      </c>
      <c r="B25" s="41"/>
      <c r="C25" s="121"/>
      <c r="D25" s="124"/>
      <c r="H25" s="88"/>
      <c r="I25" s="88"/>
      <c r="J25" s="123"/>
      <c r="P25" s="79"/>
      <c r="Q25" s="79"/>
      <c r="T25" s="79"/>
      <c r="U25" s="79"/>
      <c r="X25" s="130"/>
      <c r="Z25" s="106"/>
    </row>
    <row r="26">
      <c r="A26" s="28" t="s">
        <v>160</v>
      </c>
      <c r="B26" s="41"/>
      <c r="C26" s="71"/>
      <c r="D26" s="124"/>
      <c r="H26" s="88"/>
      <c r="I26" s="88"/>
      <c r="J26" s="123"/>
      <c r="P26" s="79"/>
      <c r="Q26" s="79"/>
      <c r="T26" s="79"/>
      <c r="U26" s="79"/>
      <c r="X26" s="130"/>
      <c r="Z26" s="106"/>
    </row>
    <row r="27">
      <c r="A27" s="28" t="s">
        <v>172</v>
      </c>
      <c r="B27" s="41">
        <v>512.83</v>
      </c>
      <c r="C27" s="71" t="s">
        <v>173</v>
      </c>
      <c r="D27" s="122"/>
      <c r="H27" s="88"/>
      <c r="I27" s="88"/>
      <c r="J27" s="123"/>
      <c r="P27" s="79"/>
      <c r="Q27" s="79"/>
      <c r="T27" s="79"/>
      <c r="U27" s="79"/>
      <c r="X27" s="130"/>
      <c r="Z27" s="106"/>
    </row>
    <row r="28">
      <c r="A28" s="25"/>
      <c r="B28" s="26"/>
      <c r="C28" s="121"/>
      <c r="D28" s="122"/>
      <c r="J28" s="79"/>
      <c r="P28" s="79"/>
      <c r="Q28" s="79"/>
      <c r="T28" s="79"/>
      <c r="U28" s="79"/>
      <c r="X28" s="132"/>
      <c r="Z28" s="106"/>
    </row>
    <row r="29">
      <c r="A29" s="25"/>
      <c r="B29" s="26"/>
      <c r="C29" s="121"/>
      <c r="D29" s="122"/>
      <c r="I29" s="89"/>
      <c r="J29" s="125"/>
      <c r="P29" s="79"/>
      <c r="Q29" s="79"/>
      <c r="T29" s="79"/>
      <c r="U29" s="79"/>
      <c r="X29" s="130"/>
      <c r="Z29" s="106"/>
    </row>
    <row r="30">
      <c r="C30" s="79"/>
      <c r="D30" s="79"/>
      <c r="J30" s="79"/>
      <c r="P30" s="79"/>
      <c r="Q30" s="79"/>
      <c r="T30" s="79"/>
      <c r="U30" s="79"/>
      <c r="X30" s="130"/>
      <c r="Z30" s="106"/>
    </row>
    <row r="31">
      <c r="C31" s="79"/>
      <c r="D31" s="79"/>
      <c r="J31" s="79"/>
      <c r="P31" s="79"/>
      <c r="Q31" s="79"/>
      <c r="T31" s="79"/>
      <c r="U31" s="79"/>
      <c r="X31" s="130"/>
      <c r="Z31" s="106"/>
    </row>
    <row r="32">
      <c r="C32" s="79"/>
      <c r="D32" s="79"/>
      <c r="J32" s="79"/>
      <c r="P32" s="79"/>
      <c r="Q32" s="79"/>
      <c r="T32" s="79"/>
      <c r="U32" s="79"/>
      <c r="X32" s="130"/>
      <c r="Z32" s="106"/>
    </row>
    <row r="33">
      <c r="C33" s="79"/>
      <c r="D33" s="79"/>
      <c r="J33" s="79"/>
      <c r="P33" s="79"/>
      <c r="Q33" s="79"/>
      <c r="T33" s="79"/>
      <c r="U33" s="79"/>
      <c r="X33" s="130"/>
      <c r="Z33" s="106"/>
    </row>
    <row r="34">
      <c r="C34" s="79"/>
      <c r="D34" s="79"/>
      <c r="J34" s="79"/>
      <c r="P34" s="79"/>
      <c r="Q34" s="79"/>
      <c r="T34" s="79"/>
      <c r="U34" s="79"/>
      <c r="X34" s="130"/>
      <c r="Z34" s="106"/>
    </row>
    <row r="35">
      <c r="C35" s="79"/>
      <c r="D35" s="79"/>
      <c r="J35" s="79"/>
      <c r="P35" s="79"/>
      <c r="Q35" s="79"/>
      <c r="T35" s="79"/>
      <c r="U35" s="79"/>
      <c r="X35" s="130"/>
      <c r="Z35" s="106"/>
    </row>
    <row r="36">
      <c r="C36" s="79"/>
      <c r="D36" s="79"/>
      <c r="J36" s="79"/>
      <c r="P36" s="79"/>
      <c r="Q36" s="79"/>
      <c r="T36" s="79"/>
      <c r="U36" s="79"/>
      <c r="X36" s="130"/>
      <c r="Z36" s="106"/>
    </row>
    <row r="37">
      <c r="C37" s="79"/>
      <c r="D37" s="79"/>
      <c r="J37" s="79"/>
      <c r="P37" s="79"/>
      <c r="Q37" s="79"/>
      <c r="T37" s="79"/>
      <c r="U37" s="79"/>
      <c r="X37" s="130"/>
      <c r="Z37" s="106"/>
    </row>
    <row r="38">
      <c r="C38" s="79"/>
      <c r="D38" s="79"/>
      <c r="J38" s="79"/>
      <c r="P38" s="79"/>
      <c r="Q38" s="79"/>
      <c r="T38" s="79"/>
      <c r="U38" s="79"/>
      <c r="X38" s="130"/>
      <c r="Z38" s="106"/>
    </row>
    <row r="39">
      <c r="C39" s="79"/>
      <c r="D39" s="79"/>
      <c r="J39" s="79"/>
      <c r="P39" s="79"/>
      <c r="Q39" s="79"/>
      <c r="T39" s="79"/>
      <c r="U39" s="79"/>
      <c r="X39" s="130"/>
      <c r="Z39" s="106"/>
    </row>
    <row r="40">
      <c r="C40" s="79"/>
      <c r="D40" s="79"/>
      <c r="J40" s="79"/>
      <c r="P40" s="79"/>
      <c r="Q40" s="79"/>
      <c r="T40" s="79"/>
      <c r="U40" s="79"/>
      <c r="X40" s="130"/>
      <c r="Z40" s="106"/>
    </row>
    <row r="41">
      <c r="C41" s="79"/>
      <c r="D41" s="79"/>
      <c r="J41" s="79"/>
      <c r="P41" s="79"/>
      <c r="Q41" s="79"/>
      <c r="T41" s="79"/>
      <c r="U41" s="79"/>
      <c r="X41" s="130"/>
      <c r="Z41" s="106"/>
    </row>
    <row r="42">
      <c r="C42" s="79"/>
      <c r="D42" s="79"/>
      <c r="J42" s="79"/>
      <c r="P42" s="79"/>
      <c r="Q42" s="79"/>
      <c r="T42" s="79"/>
      <c r="U42" s="79"/>
      <c r="X42" s="130"/>
      <c r="Z42" s="106"/>
    </row>
    <row r="43">
      <c r="C43" s="79"/>
      <c r="D43" s="79"/>
      <c r="J43" s="79"/>
      <c r="P43" s="79"/>
      <c r="Q43" s="79"/>
      <c r="T43" s="79"/>
      <c r="U43" s="79"/>
      <c r="X43" s="130"/>
      <c r="Z43" s="106"/>
    </row>
    <row r="44">
      <c r="C44" s="79"/>
      <c r="D44" s="79"/>
      <c r="J44" s="79"/>
      <c r="P44" s="79"/>
      <c r="Q44" s="79"/>
      <c r="T44" s="79"/>
      <c r="U44" s="79"/>
      <c r="X44" s="130"/>
      <c r="Z44" s="106"/>
    </row>
    <row r="45">
      <c r="C45" s="79"/>
      <c r="D45" s="79"/>
      <c r="J45" s="79"/>
      <c r="P45" s="79"/>
      <c r="Q45" s="79"/>
      <c r="T45" s="79"/>
      <c r="U45" s="79"/>
      <c r="X45" s="130"/>
      <c r="Z45" s="106"/>
    </row>
    <row r="46">
      <c r="C46" s="79"/>
      <c r="D46" s="79"/>
      <c r="J46" s="79"/>
      <c r="P46" s="79"/>
      <c r="Q46" s="79"/>
      <c r="T46" s="79"/>
      <c r="U46" s="79"/>
      <c r="X46" s="130"/>
      <c r="Z46" s="106"/>
    </row>
    <row r="47">
      <c r="C47" s="79"/>
      <c r="D47" s="79"/>
      <c r="J47" s="79"/>
      <c r="P47" s="79"/>
      <c r="Q47" s="79"/>
      <c r="T47" s="79"/>
      <c r="U47" s="79"/>
      <c r="X47" s="130"/>
      <c r="Z47" s="106"/>
    </row>
    <row r="48">
      <c r="C48" s="79"/>
      <c r="D48" s="79"/>
      <c r="J48" s="79"/>
      <c r="P48" s="79"/>
      <c r="Q48" s="79"/>
      <c r="T48" s="79"/>
      <c r="U48" s="79"/>
      <c r="X48" s="130"/>
      <c r="Z48" s="106"/>
    </row>
    <row r="49">
      <c r="C49" s="79"/>
      <c r="D49" s="79"/>
      <c r="J49" s="79"/>
      <c r="P49" s="79"/>
      <c r="Q49" s="79"/>
      <c r="T49" s="79"/>
      <c r="U49" s="79"/>
      <c r="X49" s="130"/>
      <c r="Z49" s="106"/>
    </row>
    <row r="50">
      <c r="C50" s="79"/>
      <c r="D50" s="79"/>
      <c r="J50" s="79"/>
      <c r="P50" s="79"/>
      <c r="Q50" s="79"/>
      <c r="T50" s="79"/>
      <c r="U50" s="79"/>
      <c r="X50" s="130"/>
      <c r="Z50" s="106"/>
    </row>
    <row r="51">
      <c r="C51" s="79"/>
      <c r="D51" s="79"/>
      <c r="J51" s="79"/>
      <c r="P51" s="79"/>
      <c r="Q51" s="79"/>
      <c r="T51" s="79"/>
      <c r="U51" s="79"/>
      <c r="X51" s="130"/>
      <c r="Z51" s="106"/>
    </row>
    <row r="52">
      <c r="C52" s="79"/>
      <c r="D52" s="79"/>
      <c r="J52" s="79"/>
      <c r="P52" s="79"/>
      <c r="Q52" s="79"/>
      <c r="T52" s="79"/>
      <c r="U52" s="79"/>
      <c r="X52" s="130"/>
      <c r="Z52" s="106"/>
    </row>
    <row r="53">
      <c r="C53" s="79"/>
      <c r="D53" s="79"/>
      <c r="J53" s="79"/>
      <c r="P53" s="79"/>
      <c r="Q53" s="79"/>
      <c r="T53" s="79"/>
      <c r="U53" s="79"/>
      <c r="X53" s="130"/>
      <c r="Z53" s="106"/>
    </row>
    <row r="54">
      <c r="C54" s="79"/>
      <c r="D54" s="79"/>
      <c r="J54" s="79"/>
      <c r="P54" s="79"/>
      <c r="Q54" s="79"/>
      <c r="T54" s="79"/>
      <c r="U54" s="79"/>
      <c r="X54" s="130"/>
      <c r="Z54" s="106"/>
    </row>
    <row r="55">
      <c r="C55" s="79"/>
      <c r="D55" s="79"/>
      <c r="J55" s="79"/>
      <c r="P55" s="79"/>
      <c r="Q55" s="79"/>
      <c r="T55" s="79"/>
      <c r="U55" s="79"/>
      <c r="X55" s="130"/>
      <c r="Z55" s="106"/>
    </row>
    <row r="56">
      <c r="C56" s="79"/>
      <c r="D56" s="79"/>
      <c r="J56" s="79"/>
      <c r="P56" s="79"/>
      <c r="Q56" s="79"/>
      <c r="T56" s="79"/>
      <c r="U56" s="79"/>
      <c r="X56" s="130"/>
      <c r="Z56" s="106"/>
    </row>
    <row r="57">
      <c r="C57" s="79"/>
      <c r="D57" s="79"/>
      <c r="J57" s="79"/>
      <c r="P57" s="79"/>
      <c r="Q57" s="79"/>
      <c r="T57" s="79"/>
      <c r="U57" s="79"/>
      <c r="X57" s="130"/>
      <c r="Z57" s="106"/>
    </row>
    <row r="58">
      <c r="C58" s="79"/>
      <c r="D58" s="79"/>
      <c r="J58" s="79"/>
      <c r="P58" s="79"/>
      <c r="Q58" s="79"/>
      <c r="T58" s="79"/>
      <c r="U58" s="79"/>
      <c r="X58" s="130"/>
      <c r="Z58" s="106"/>
    </row>
    <row r="59">
      <c r="C59" s="79"/>
      <c r="D59" s="79"/>
      <c r="J59" s="79"/>
      <c r="P59" s="79"/>
      <c r="Q59" s="79"/>
      <c r="T59" s="79"/>
      <c r="U59" s="79"/>
      <c r="X59" s="130"/>
      <c r="Z59" s="106"/>
    </row>
    <row r="60">
      <c r="C60" s="79"/>
      <c r="D60" s="79"/>
      <c r="J60" s="79"/>
      <c r="P60" s="79"/>
      <c r="Q60" s="79"/>
      <c r="T60" s="79"/>
      <c r="U60" s="79"/>
      <c r="X60" s="130"/>
      <c r="Z60" s="106"/>
    </row>
    <row r="61">
      <c r="C61" s="79"/>
      <c r="D61" s="79"/>
      <c r="J61" s="79"/>
      <c r="P61" s="79"/>
      <c r="Q61" s="79"/>
      <c r="T61" s="79"/>
      <c r="U61" s="79"/>
      <c r="X61" s="130"/>
      <c r="Z61" s="106"/>
    </row>
    <row r="62">
      <c r="C62" s="79"/>
      <c r="D62" s="79"/>
      <c r="J62" s="79"/>
      <c r="P62" s="79"/>
      <c r="Q62" s="79"/>
      <c r="T62" s="79"/>
      <c r="U62" s="79"/>
      <c r="X62" s="130"/>
      <c r="Z62" s="106"/>
    </row>
    <row r="63">
      <c r="C63" s="79"/>
      <c r="D63" s="79"/>
      <c r="J63" s="79"/>
      <c r="P63" s="79"/>
      <c r="Q63" s="79"/>
      <c r="T63" s="79"/>
      <c r="U63" s="79"/>
      <c r="X63" s="130"/>
      <c r="Z63" s="106"/>
    </row>
    <row r="64">
      <c r="C64" s="79"/>
      <c r="D64" s="79"/>
      <c r="J64" s="79"/>
      <c r="P64" s="79"/>
      <c r="Q64" s="79"/>
      <c r="T64" s="79"/>
      <c r="U64" s="79"/>
      <c r="X64" s="130"/>
      <c r="Z64" s="106"/>
    </row>
    <row r="65">
      <c r="C65" s="79"/>
      <c r="D65" s="79"/>
      <c r="J65" s="79"/>
      <c r="P65" s="79"/>
      <c r="Q65" s="79"/>
      <c r="T65" s="79"/>
      <c r="U65" s="79"/>
      <c r="X65" s="130"/>
      <c r="Z65" s="106"/>
    </row>
    <row r="66">
      <c r="C66" s="79"/>
      <c r="D66" s="79"/>
      <c r="J66" s="79"/>
      <c r="P66" s="79"/>
      <c r="Q66" s="79"/>
      <c r="T66" s="79"/>
      <c r="U66" s="79"/>
      <c r="X66" s="130"/>
      <c r="Z66" s="106"/>
    </row>
    <row r="67">
      <c r="C67" s="79"/>
      <c r="D67" s="79"/>
      <c r="J67" s="79"/>
      <c r="P67" s="79"/>
      <c r="Q67" s="79"/>
      <c r="T67" s="79"/>
      <c r="U67" s="79"/>
      <c r="X67" s="130"/>
      <c r="Z67" s="106"/>
    </row>
    <row r="68">
      <c r="C68" s="79"/>
      <c r="D68" s="79"/>
      <c r="J68" s="79"/>
      <c r="P68" s="79"/>
      <c r="Q68" s="79"/>
      <c r="T68" s="79"/>
      <c r="U68" s="79"/>
      <c r="X68" s="130"/>
      <c r="Z68" s="106"/>
    </row>
    <row r="69">
      <c r="C69" s="79"/>
      <c r="D69" s="79"/>
      <c r="J69" s="79"/>
      <c r="P69" s="79"/>
      <c r="Q69" s="79"/>
      <c r="T69" s="79"/>
      <c r="U69" s="79"/>
      <c r="X69" s="130"/>
      <c r="Z69" s="106"/>
    </row>
    <row r="70">
      <c r="C70" s="79"/>
      <c r="D70" s="79"/>
      <c r="J70" s="79"/>
      <c r="P70" s="79"/>
      <c r="Q70" s="79"/>
      <c r="T70" s="79"/>
      <c r="U70" s="79"/>
      <c r="X70" s="130"/>
      <c r="Z70" s="106"/>
    </row>
    <row r="71">
      <c r="C71" s="79"/>
      <c r="D71" s="79"/>
      <c r="J71" s="79"/>
      <c r="P71" s="79"/>
      <c r="Q71" s="79"/>
      <c r="T71" s="79"/>
      <c r="U71" s="79"/>
      <c r="X71" s="130"/>
      <c r="Z71" s="106"/>
    </row>
    <row r="72">
      <c r="C72" s="79"/>
      <c r="D72" s="79"/>
      <c r="J72" s="79"/>
      <c r="P72" s="79"/>
      <c r="Q72" s="79"/>
      <c r="T72" s="79"/>
      <c r="U72" s="79"/>
      <c r="X72" s="130"/>
      <c r="Z72" s="106"/>
    </row>
    <row r="73">
      <c r="C73" s="79"/>
      <c r="D73" s="79"/>
      <c r="J73" s="79"/>
      <c r="P73" s="79"/>
      <c r="Q73" s="79"/>
      <c r="T73" s="79"/>
      <c r="U73" s="79"/>
      <c r="X73" s="130"/>
      <c r="Z73" s="106"/>
    </row>
    <row r="74">
      <c r="C74" s="79"/>
      <c r="D74" s="79"/>
      <c r="J74" s="79"/>
      <c r="P74" s="79"/>
      <c r="Q74" s="79"/>
      <c r="T74" s="79"/>
      <c r="U74" s="79"/>
      <c r="X74" s="130"/>
      <c r="Z74" s="106"/>
    </row>
    <row r="75">
      <c r="C75" s="79"/>
      <c r="D75" s="79"/>
      <c r="J75" s="79"/>
      <c r="P75" s="79"/>
      <c r="Q75" s="79"/>
      <c r="T75" s="79"/>
      <c r="U75" s="79"/>
      <c r="X75" s="130"/>
      <c r="Z75" s="106"/>
    </row>
    <row r="76">
      <c r="C76" s="79"/>
      <c r="D76" s="79"/>
      <c r="J76" s="79"/>
      <c r="P76" s="79"/>
      <c r="Q76" s="79"/>
      <c r="T76" s="79"/>
      <c r="U76" s="79"/>
      <c r="X76" s="130"/>
      <c r="Z76" s="106"/>
    </row>
    <row r="77">
      <c r="C77" s="79"/>
      <c r="D77" s="79"/>
      <c r="J77" s="79"/>
      <c r="P77" s="79"/>
      <c r="Q77" s="79"/>
      <c r="T77" s="79"/>
      <c r="U77" s="79"/>
      <c r="X77" s="130"/>
      <c r="Z77" s="106"/>
    </row>
    <row r="78">
      <c r="C78" s="79"/>
      <c r="D78" s="79"/>
      <c r="J78" s="79"/>
      <c r="P78" s="79"/>
      <c r="Q78" s="79"/>
      <c r="T78" s="79"/>
      <c r="U78" s="79"/>
      <c r="X78" s="130"/>
      <c r="Z78" s="106"/>
    </row>
    <row r="79">
      <c r="C79" s="79"/>
      <c r="D79" s="79"/>
      <c r="J79" s="79"/>
      <c r="P79" s="79"/>
      <c r="Q79" s="79"/>
      <c r="T79" s="79"/>
      <c r="U79" s="79"/>
      <c r="X79" s="130"/>
      <c r="Z79" s="106"/>
    </row>
    <row r="80">
      <c r="C80" s="79"/>
      <c r="D80" s="79"/>
      <c r="J80" s="79"/>
      <c r="P80" s="79"/>
      <c r="Q80" s="79"/>
      <c r="T80" s="79"/>
      <c r="U80" s="79"/>
      <c r="X80" s="130"/>
      <c r="Z80" s="106"/>
    </row>
    <row r="81">
      <c r="C81" s="79"/>
      <c r="D81" s="79"/>
      <c r="J81" s="79"/>
      <c r="P81" s="79"/>
      <c r="Q81" s="79"/>
      <c r="T81" s="79"/>
      <c r="U81" s="79"/>
      <c r="X81" s="130"/>
      <c r="Z81" s="106"/>
    </row>
    <row r="82">
      <c r="C82" s="79"/>
      <c r="D82" s="79"/>
      <c r="J82" s="79"/>
      <c r="P82" s="79"/>
      <c r="Q82" s="79"/>
      <c r="T82" s="79"/>
      <c r="U82" s="79"/>
      <c r="X82" s="130"/>
      <c r="Z82" s="106"/>
    </row>
    <row r="83">
      <c r="C83" s="79"/>
      <c r="D83" s="79"/>
      <c r="J83" s="79"/>
      <c r="P83" s="79"/>
      <c r="Q83" s="79"/>
      <c r="T83" s="79"/>
      <c r="U83" s="79"/>
      <c r="X83" s="130"/>
      <c r="Z83" s="106"/>
    </row>
    <row r="84">
      <c r="C84" s="79"/>
      <c r="D84" s="79"/>
      <c r="J84" s="79"/>
      <c r="P84" s="79"/>
      <c r="Q84" s="79"/>
      <c r="T84" s="79"/>
      <c r="U84" s="79"/>
      <c r="X84" s="130"/>
      <c r="Z84" s="106"/>
    </row>
    <row r="85">
      <c r="C85" s="79"/>
      <c r="D85" s="79"/>
      <c r="J85" s="79"/>
      <c r="P85" s="79"/>
      <c r="Q85" s="79"/>
      <c r="T85" s="79"/>
      <c r="U85" s="79"/>
      <c r="X85" s="130"/>
      <c r="Z85" s="106"/>
    </row>
    <row r="86">
      <c r="C86" s="79"/>
      <c r="D86" s="79"/>
      <c r="J86" s="79"/>
      <c r="P86" s="79"/>
      <c r="Q86" s="79"/>
      <c r="T86" s="79"/>
      <c r="U86" s="79"/>
      <c r="X86" s="130"/>
      <c r="Z86" s="106"/>
    </row>
    <row r="87">
      <c r="C87" s="79"/>
      <c r="D87" s="79"/>
      <c r="J87" s="79"/>
      <c r="P87" s="79"/>
      <c r="Q87" s="79"/>
      <c r="T87" s="79"/>
      <c r="U87" s="79"/>
      <c r="X87" s="130"/>
      <c r="Z87" s="106"/>
    </row>
    <row r="88">
      <c r="C88" s="79"/>
      <c r="D88" s="79"/>
      <c r="J88" s="79"/>
      <c r="P88" s="79"/>
      <c r="Q88" s="79"/>
      <c r="T88" s="79"/>
      <c r="U88" s="79"/>
      <c r="X88" s="130"/>
      <c r="Z88" s="106"/>
    </row>
    <row r="89">
      <c r="C89" s="79"/>
      <c r="D89" s="79"/>
      <c r="J89" s="79"/>
      <c r="P89" s="79"/>
      <c r="Q89" s="79"/>
      <c r="T89" s="79"/>
      <c r="U89" s="79"/>
      <c r="X89" s="130"/>
      <c r="Z89" s="106"/>
    </row>
    <row r="90">
      <c r="C90" s="79"/>
      <c r="D90" s="79"/>
      <c r="J90" s="79"/>
      <c r="P90" s="79"/>
      <c r="Q90" s="79"/>
      <c r="T90" s="79"/>
      <c r="U90" s="79"/>
      <c r="X90" s="130"/>
      <c r="Z90" s="106"/>
    </row>
    <row r="91">
      <c r="C91" s="79"/>
      <c r="D91" s="79"/>
      <c r="J91" s="79"/>
      <c r="P91" s="79"/>
      <c r="Q91" s="79"/>
      <c r="T91" s="79"/>
      <c r="U91" s="79"/>
      <c r="X91" s="130"/>
      <c r="Z91" s="106"/>
    </row>
    <row r="92">
      <c r="C92" s="79"/>
      <c r="D92" s="79"/>
      <c r="J92" s="79"/>
      <c r="P92" s="79"/>
      <c r="Q92" s="79"/>
      <c r="T92" s="79"/>
      <c r="U92" s="79"/>
      <c r="X92" s="130"/>
      <c r="Z92" s="106"/>
    </row>
    <row r="93">
      <c r="C93" s="79"/>
      <c r="D93" s="79"/>
      <c r="J93" s="79"/>
      <c r="P93" s="79"/>
      <c r="Q93" s="79"/>
      <c r="T93" s="79"/>
      <c r="U93" s="79"/>
      <c r="X93" s="130"/>
      <c r="Z93" s="106"/>
    </row>
    <row r="94">
      <c r="C94" s="79"/>
      <c r="D94" s="79"/>
      <c r="J94" s="79"/>
      <c r="P94" s="79"/>
      <c r="Q94" s="79"/>
      <c r="T94" s="79"/>
      <c r="U94" s="79"/>
      <c r="X94" s="130"/>
      <c r="Z94" s="106"/>
    </row>
    <row r="95">
      <c r="C95" s="79"/>
      <c r="D95" s="79"/>
      <c r="J95" s="79"/>
      <c r="P95" s="79"/>
      <c r="Q95" s="79"/>
      <c r="T95" s="79"/>
      <c r="U95" s="79"/>
      <c r="X95" s="130"/>
      <c r="Z95" s="106"/>
    </row>
    <row r="96">
      <c r="C96" s="79"/>
      <c r="D96" s="79"/>
      <c r="J96" s="79"/>
      <c r="P96" s="79"/>
      <c r="Q96" s="79"/>
      <c r="T96" s="79"/>
      <c r="U96" s="79"/>
      <c r="X96" s="130"/>
      <c r="Z96" s="106"/>
    </row>
    <row r="97">
      <c r="C97" s="79"/>
      <c r="D97" s="79"/>
      <c r="J97" s="79"/>
      <c r="P97" s="79"/>
      <c r="Q97" s="79"/>
      <c r="T97" s="79"/>
      <c r="U97" s="79"/>
      <c r="X97" s="130"/>
      <c r="Z97" s="106"/>
    </row>
    <row r="98">
      <c r="C98" s="79"/>
      <c r="D98" s="79"/>
      <c r="J98" s="79"/>
      <c r="P98" s="79"/>
      <c r="Q98" s="79"/>
      <c r="T98" s="79"/>
      <c r="U98" s="79"/>
      <c r="X98" s="130"/>
      <c r="Z98" s="106"/>
    </row>
    <row r="99">
      <c r="C99" s="79"/>
      <c r="D99" s="79"/>
      <c r="J99" s="79"/>
      <c r="P99" s="79"/>
      <c r="Q99" s="79"/>
      <c r="T99" s="79"/>
      <c r="U99" s="79"/>
      <c r="X99" s="130"/>
      <c r="Z99" s="106"/>
    </row>
    <row r="100">
      <c r="C100" s="79"/>
      <c r="D100" s="79"/>
      <c r="J100" s="79"/>
      <c r="P100" s="79"/>
      <c r="Q100" s="79"/>
      <c r="T100" s="79"/>
      <c r="U100" s="79"/>
      <c r="X100" s="130"/>
      <c r="Z100" s="106"/>
    </row>
    <row r="101">
      <c r="C101" s="79"/>
      <c r="D101" s="79"/>
      <c r="J101" s="79"/>
      <c r="P101" s="79"/>
      <c r="Q101" s="79"/>
      <c r="T101" s="79"/>
      <c r="U101" s="79"/>
      <c r="X101" s="130"/>
      <c r="Z101" s="106"/>
    </row>
    <row r="102">
      <c r="C102" s="79"/>
      <c r="D102" s="79"/>
      <c r="J102" s="79"/>
      <c r="P102" s="79"/>
      <c r="Q102" s="79"/>
      <c r="T102" s="79"/>
      <c r="U102" s="79"/>
      <c r="X102" s="130"/>
      <c r="Z102" s="106"/>
    </row>
    <row r="103">
      <c r="C103" s="79"/>
      <c r="D103" s="79"/>
      <c r="J103" s="79"/>
      <c r="P103" s="79"/>
      <c r="Q103" s="79"/>
      <c r="T103" s="79"/>
      <c r="U103" s="79"/>
      <c r="X103" s="130"/>
      <c r="Z103" s="106"/>
    </row>
    <row r="104">
      <c r="C104" s="79"/>
      <c r="D104" s="79"/>
      <c r="J104" s="79"/>
      <c r="P104" s="79"/>
      <c r="Q104" s="79"/>
      <c r="T104" s="79"/>
      <c r="U104" s="79"/>
      <c r="X104" s="130"/>
      <c r="Z104" s="106"/>
    </row>
    <row r="105">
      <c r="C105" s="79"/>
      <c r="D105" s="79"/>
      <c r="J105" s="79"/>
      <c r="P105" s="79"/>
      <c r="Q105" s="79"/>
      <c r="T105" s="79"/>
      <c r="U105" s="79"/>
      <c r="X105" s="130"/>
      <c r="Z105" s="106"/>
    </row>
    <row r="106">
      <c r="C106" s="79"/>
      <c r="D106" s="79"/>
      <c r="J106" s="79"/>
      <c r="P106" s="79"/>
      <c r="Q106" s="79"/>
      <c r="T106" s="79"/>
      <c r="U106" s="79"/>
      <c r="X106" s="130"/>
      <c r="Z106" s="106"/>
    </row>
    <row r="107">
      <c r="C107" s="79"/>
      <c r="D107" s="79"/>
      <c r="J107" s="79"/>
      <c r="P107" s="79"/>
      <c r="Q107" s="79"/>
      <c r="T107" s="79"/>
      <c r="U107" s="79"/>
      <c r="X107" s="130"/>
      <c r="Z107" s="106"/>
    </row>
    <row r="108">
      <c r="C108" s="79"/>
      <c r="D108" s="79"/>
      <c r="J108" s="79"/>
      <c r="P108" s="79"/>
      <c r="Q108" s="79"/>
      <c r="T108" s="79"/>
      <c r="U108" s="79"/>
      <c r="X108" s="130"/>
      <c r="Z108" s="106"/>
    </row>
    <row r="109">
      <c r="C109" s="79"/>
      <c r="D109" s="79"/>
      <c r="J109" s="79"/>
      <c r="P109" s="79"/>
      <c r="Q109" s="79"/>
      <c r="T109" s="79"/>
      <c r="U109" s="79"/>
      <c r="X109" s="130"/>
      <c r="Z109" s="106"/>
    </row>
    <row r="110">
      <c r="C110" s="79"/>
      <c r="D110" s="79"/>
      <c r="J110" s="79"/>
      <c r="P110" s="79"/>
      <c r="Q110" s="79"/>
      <c r="T110" s="79"/>
      <c r="U110" s="79"/>
      <c r="X110" s="130"/>
      <c r="Z110" s="106"/>
    </row>
    <row r="111">
      <c r="C111" s="79"/>
      <c r="D111" s="79"/>
      <c r="J111" s="79"/>
      <c r="P111" s="79"/>
      <c r="Q111" s="79"/>
      <c r="T111" s="79"/>
      <c r="U111" s="79"/>
      <c r="X111" s="130"/>
      <c r="Z111" s="106"/>
    </row>
    <row r="112">
      <c r="C112" s="79"/>
      <c r="D112" s="79"/>
      <c r="J112" s="79"/>
      <c r="P112" s="79"/>
      <c r="Q112" s="79"/>
      <c r="T112" s="79"/>
      <c r="U112" s="79"/>
      <c r="X112" s="130"/>
      <c r="Z112" s="106"/>
    </row>
    <row r="113">
      <c r="C113" s="79"/>
      <c r="D113" s="79"/>
      <c r="J113" s="79"/>
      <c r="P113" s="79"/>
      <c r="Q113" s="79"/>
      <c r="T113" s="79"/>
      <c r="U113" s="79"/>
      <c r="X113" s="130"/>
      <c r="Z113" s="106"/>
    </row>
    <row r="114">
      <c r="C114" s="79"/>
      <c r="D114" s="79"/>
      <c r="J114" s="79"/>
      <c r="P114" s="79"/>
      <c r="Q114" s="79"/>
      <c r="T114" s="79"/>
      <c r="U114" s="79"/>
      <c r="X114" s="130"/>
      <c r="Z114" s="106"/>
    </row>
    <row r="115">
      <c r="C115" s="79"/>
      <c r="D115" s="79"/>
      <c r="J115" s="79"/>
      <c r="P115" s="79"/>
      <c r="Q115" s="79"/>
      <c r="T115" s="79"/>
      <c r="U115" s="79"/>
      <c r="X115" s="130"/>
      <c r="Z115" s="106"/>
    </row>
    <row r="116">
      <c r="C116" s="79"/>
      <c r="D116" s="79"/>
      <c r="J116" s="79"/>
      <c r="P116" s="79"/>
      <c r="Q116" s="79"/>
      <c r="T116" s="79"/>
      <c r="U116" s="79"/>
      <c r="X116" s="130"/>
      <c r="Z116" s="106"/>
    </row>
    <row r="117">
      <c r="C117" s="79"/>
      <c r="D117" s="79"/>
      <c r="J117" s="79"/>
      <c r="P117" s="79"/>
      <c r="Q117" s="79"/>
      <c r="T117" s="79"/>
      <c r="U117" s="79"/>
      <c r="X117" s="130"/>
      <c r="Z117" s="106"/>
    </row>
    <row r="118">
      <c r="C118" s="79"/>
      <c r="D118" s="79"/>
      <c r="J118" s="79"/>
      <c r="P118" s="79"/>
      <c r="Q118" s="79"/>
      <c r="T118" s="79"/>
      <c r="U118" s="79"/>
      <c r="X118" s="130"/>
      <c r="Z118" s="106"/>
    </row>
    <row r="119">
      <c r="C119" s="79"/>
      <c r="D119" s="79"/>
      <c r="J119" s="79"/>
      <c r="P119" s="79"/>
      <c r="Q119" s="79"/>
      <c r="T119" s="79"/>
      <c r="U119" s="79"/>
      <c r="X119" s="130"/>
      <c r="Z119" s="106"/>
    </row>
    <row r="120">
      <c r="C120" s="79"/>
      <c r="D120" s="79"/>
      <c r="J120" s="79"/>
      <c r="P120" s="79"/>
      <c r="Q120" s="79"/>
      <c r="T120" s="79"/>
      <c r="U120" s="79"/>
      <c r="X120" s="130"/>
      <c r="Z120" s="106"/>
    </row>
    <row r="121">
      <c r="C121" s="79"/>
      <c r="D121" s="79"/>
      <c r="J121" s="79"/>
      <c r="P121" s="79"/>
      <c r="Q121" s="79"/>
      <c r="T121" s="79"/>
      <c r="U121" s="79"/>
      <c r="X121" s="130"/>
      <c r="Z121" s="106"/>
    </row>
    <row r="122">
      <c r="C122" s="79"/>
      <c r="D122" s="79"/>
      <c r="J122" s="79"/>
      <c r="P122" s="79"/>
      <c r="Q122" s="79"/>
      <c r="T122" s="79"/>
      <c r="U122" s="79"/>
      <c r="X122" s="130"/>
      <c r="Z122" s="106"/>
    </row>
    <row r="123">
      <c r="C123" s="79"/>
      <c r="D123" s="79"/>
      <c r="J123" s="79"/>
      <c r="P123" s="79"/>
      <c r="Q123" s="79"/>
      <c r="T123" s="79"/>
      <c r="U123" s="79"/>
      <c r="X123" s="130"/>
      <c r="Z123" s="106"/>
    </row>
    <row r="124">
      <c r="C124" s="79"/>
      <c r="D124" s="79"/>
      <c r="J124" s="79"/>
      <c r="P124" s="79"/>
      <c r="Q124" s="79"/>
      <c r="T124" s="79"/>
      <c r="U124" s="79"/>
      <c r="X124" s="130"/>
      <c r="Z124" s="106"/>
    </row>
    <row r="125">
      <c r="C125" s="79"/>
      <c r="D125" s="79"/>
      <c r="J125" s="79"/>
      <c r="P125" s="79"/>
      <c r="Q125" s="79"/>
      <c r="T125" s="79"/>
      <c r="U125" s="79"/>
      <c r="X125" s="130"/>
      <c r="Z125" s="106"/>
    </row>
    <row r="126">
      <c r="C126" s="79"/>
      <c r="D126" s="79"/>
      <c r="J126" s="79"/>
      <c r="P126" s="79"/>
      <c r="Q126" s="79"/>
      <c r="T126" s="79"/>
      <c r="U126" s="79"/>
      <c r="X126" s="130"/>
      <c r="Z126" s="106"/>
    </row>
    <row r="127">
      <c r="C127" s="79"/>
      <c r="D127" s="79"/>
      <c r="J127" s="79"/>
      <c r="P127" s="79"/>
      <c r="Q127" s="79"/>
      <c r="T127" s="79"/>
      <c r="U127" s="79"/>
      <c r="X127" s="130"/>
      <c r="Z127" s="106"/>
    </row>
    <row r="128">
      <c r="C128" s="79"/>
      <c r="D128" s="79"/>
      <c r="J128" s="79"/>
      <c r="P128" s="79"/>
      <c r="Q128" s="79"/>
      <c r="T128" s="79"/>
      <c r="U128" s="79"/>
      <c r="X128" s="130"/>
      <c r="Z128" s="106"/>
    </row>
    <row r="129">
      <c r="C129" s="79"/>
      <c r="D129" s="79"/>
      <c r="J129" s="79"/>
      <c r="P129" s="79"/>
      <c r="Q129" s="79"/>
      <c r="T129" s="79"/>
      <c r="U129" s="79"/>
      <c r="X129" s="130"/>
      <c r="Z129" s="106"/>
    </row>
    <row r="130">
      <c r="C130" s="79"/>
      <c r="D130" s="79"/>
      <c r="J130" s="79"/>
      <c r="P130" s="79"/>
      <c r="Q130" s="79"/>
      <c r="T130" s="79"/>
      <c r="U130" s="79"/>
      <c r="X130" s="130"/>
      <c r="Z130" s="106"/>
    </row>
    <row r="131">
      <c r="C131" s="79"/>
      <c r="D131" s="79"/>
      <c r="J131" s="79"/>
      <c r="P131" s="79"/>
      <c r="Q131" s="79"/>
      <c r="T131" s="79"/>
      <c r="U131" s="79"/>
      <c r="X131" s="130"/>
      <c r="Z131" s="106"/>
    </row>
    <row r="132">
      <c r="C132" s="79"/>
      <c r="D132" s="79"/>
      <c r="J132" s="79"/>
      <c r="P132" s="79"/>
      <c r="Q132" s="79"/>
      <c r="T132" s="79"/>
      <c r="U132" s="79"/>
      <c r="X132" s="130"/>
      <c r="Z132" s="106"/>
    </row>
    <row r="133">
      <c r="C133" s="79"/>
      <c r="D133" s="79"/>
      <c r="J133" s="79"/>
      <c r="P133" s="79"/>
      <c r="Q133" s="79"/>
      <c r="T133" s="79"/>
      <c r="U133" s="79"/>
      <c r="X133" s="130"/>
      <c r="Z133" s="106"/>
    </row>
    <row r="134">
      <c r="C134" s="79"/>
      <c r="D134" s="79"/>
      <c r="J134" s="79"/>
      <c r="P134" s="79"/>
      <c r="Q134" s="79"/>
      <c r="T134" s="79"/>
      <c r="U134" s="79"/>
      <c r="X134" s="130"/>
      <c r="Z134" s="106"/>
    </row>
    <row r="135">
      <c r="C135" s="79"/>
      <c r="D135" s="79"/>
      <c r="J135" s="79"/>
      <c r="P135" s="79"/>
      <c r="Q135" s="79"/>
      <c r="T135" s="79"/>
      <c r="U135" s="79"/>
      <c r="X135" s="130"/>
      <c r="Z135" s="106"/>
    </row>
    <row r="136">
      <c r="C136" s="79"/>
      <c r="D136" s="79"/>
      <c r="J136" s="79"/>
      <c r="P136" s="79"/>
      <c r="Q136" s="79"/>
      <c r="T136" s="79"/>
      <c r="U136" s="79"/>
      <c r="X136" s="130"/>
      <c r="Z136" s="106"/>
    </row>
    <row r="137">
      <c r="C137" s="79"/>
      <c r="D137" s="79"/>
      <c r="J137" s="79"/>
      <c r="P137" s="79"/>
      <c r="Q137" s="79"/>
      <c r="T137" s="79"/>
      <c r="U137" s="79"/>
      <c r="X137" s="130"/>
      <c r="Z137" s="106"/>
    </row>
    <row r="138">
      <c r="C138" s="79"/>
      <c r="D138" s="79"/>
      <c r="J138" s="79"/>
      <c r="P138" s="79"/>
      <c r="Q138" s="79"/>
      <c r="T138" s="79"/>
      <c r="U138" s="79"/>
      <c r="X138" s="130"/>
      <c r="Z138" s="106"/>
    </row>
    <row r="139">
      <c r="C139" s="79"/>
      <c r="D139" s="79"/>
      <c r="J139" s="79"/>
      <c r="P139" s="79"/>
      <c r="Q139" s="79"/>
      <c r="T139" s="79"/>
      <c r="U139" s="79"/>
      <c r="X139" s="130"/>
      <c r="Z139" s="106"/>
    </row>
    <row r="140">
      <c r="C140" s="79"/>
      <c r="D140" s="79"/>
      <c r="J140" s="79"/>
      <c r="P140" s="79"/>
      <c r="Q140" s="79"/>
      <c r="T140" s="79"/>
      <c r="U140" s="79"/>
      <c r="X140" s="130"/>
      <c r="Z140" s="106"/>
    </row>
    <row r="141">
      <c r="C141" s="79"/>
      <c r="D141" s="79"/>
      <c r="J141" s="79"/>
      <c r="P141" s="79"/>
      <c r="Q141" s="79"/>
      <c r="T141" s="79"/>
      <c r="U141" s="79"/>
      <c r="X141" s="130"/>
      <c r="Z141" s="106"/>
    </row>
    <row r="142">
      <c r="C142" s="79"/>
      <c r="D142" s="79"/>
      <c r="J142" s="79"/>
      <c r="P142" s="79"/>
      <c r="Q142" s="79"/>
      <c r="T142" s="79"/>
      <c r="U142" s="79"/>
      <c r="X142" s="130"/>
      <c r="Z142" s="106"/>
    </row>
    <row r="143">
      <c r="C143" s="79"/>
      <c r="D143" s="79"/>
      <c r="J143" s="79"/>
      <c r="P143" s="79"/>
      <c r="Q143" s="79"/>
      <c r="T143" s="79"/>
      <c r="U143" s="79"/>
      <c r="X143" s="130"/>
      <c r="Z143" s="106"/>
    </row>
    <row r="144">
      <c r="C144" s="79"/>
      <c r="D144" s="79"/>
      <c r="J144" s="79"/>
      <c r="P144" s="79"/>
      <c r="Q144" s="79"/>
      <c r="T144" s="79"/>
      <c r="U144" s="79"/>
      <c r="X144" s="130"/>
      <c r="Z144" s="106"/>
    </row>
    <row r="145">
      <c r="C145" s="79"/>
      <c r="D145" s="79"/>
      <c r="J145" s="79"/>
      <c r="P145" s="79"/>
      <c r="Q145" s="79"/>
      <c r="T145" s="79"/>
      <c r="U145" s="79"/>
      <c r="X145" s="130"/>
      <c r="Z145" s="106"/>
    </row>
    <row r="146">
      <c r="C146" s="79"/>
      <c r="D146" s="79"/>
      <c r="J146" s="79"/>
      <c r="P146" s="79"/>
      <c r="Q146" s="79"/>
      <c r="T146" s="79"/>
      <c r="U146" s="79"/>
      <c r="X146" s="130"/>
      <c r="Z146" s="106"/>
    </row>
    <row r="147">
      <c r="C147" s="79"/>
      <c r="D147" s="79"/>
      <c r="J147" s="79"/>
      <c r="P147" s="79"/>
      <c r="Q147" s="79"/>
      <c r="T147" s="79"/>
      <c r="U147" s="79"/>
      <c r="X147" s="130"/>
      <c r="Z147" s="106"/>
    </row>
    <row r="148">
      <c r="C148" s="79"/>
      <c r="D148" s="79"/>
      <c r="J148" s="79"/>
      <c r="P148" s="79"/>
      <c r="Q148" s="79"/>
      <c r="T148" s="79"/>
      <c r="U148" s="79"/>
      <c r="X148" s="130"/>
      <c r="Z148" s="106"/>
    </row>
    <row r="149">
      <c r="C149" s="79"/>
      <c r="D149" s="79"/>
      <c r="J149" s="79"/>
      <c r="P149" s="79"/>
      <c r="Q149" s="79"/>
      <c r="T149" s="79"/>
      <c r="U149" s="79"/>
      <c r="X149" s="130"/>
      <c r="Z149" s="106"/>
    </row>
    <row r="150">
      <c r="C150" s="79"/>
      <c r="D150" s="79"/>
      <c r="J150" s="79"/>
      <c r="P150" s="79"/>
      <c r="Q150" s="79"/>
      <c r="T150" s="79"/>
      <c r="U150" s="79"/>
      <c r="X150" s="130"/>
      <c r="Z150" s="106"/>
    </row>
    <row r="151">
      <c r="C151" s="79"/>
      <c r="D151" s="79"/>
      <c r="J151" s="79"/>
      <c r="P151" s="79"/>
      <c r="Q151" s="79"/>
      <c r="T151" s="79"/>
      <c r="U151" s="79"/>
      <c r="X151" s="130"/>
      <c r="Z151" s="106"/>
    </row>
    <row r="152">
      <c r="C152" s="79"/>
      <c r="D152" s="79"/>
      <c r="J152" s="79"/>
      <c r="P152" s="79"/>
      <c r="Q152" s="79"/>
      <c r="T152" s="79"/>
      <c r="U152" s="79"/>
      <c r="X152" s="130"/>
      <c r="Z152" s="106"/>
    </row>
    <row r="153">
      <c r="C153" s="79"/>
      <c r="D153" s="79"/>
      <c r="J153" s="79"/>
      <c r="P153" s="79"/>
      <c r="Q153" s="79"/>
      <c r="T153" s="79"/>
      <c r="U153" s="79"/>
      <c r="X153" s="130"/>
      <c r="Z153" s="106"/>
    </row>
    <row r="154">
      <c r="C154" s="79"/>
      <c r="D154" s="79"/>
      <c r="J154" s="79"/>
      <c r="P154" s="79"/>
      <c r="Q154" s="79"/>
      <c r="T154" s="79"/>
      <c r="U154" s="79"/>
      <c r="X154" s="130"/>
      <c r="Z154" s="106"/>
    </row>
    <row r="155">
      <c r="C155" s="79"/>
      <c r="D155" s="79"/>
      <c r="J155" s="79"/>
      <c r="P155" s="79"/>
      <c r="Q155" s="79"/>
      <c r="T155" s="79"/>
      <c r="U155" s="79"/>
      <c r="X155" s="130"/>
      <c r="Z155" s="106"/>
    </row>
    <row r="156">
      <c r="C156" s="79"/>
      <c r="D156" s="79"/>
      <c r="J156" s="79"/>
      <c r="P156" s="79"/>
      <c r="Q156" s="79"/>
      <c r="T156" s="79"/>
      <c r="U156" s="79"/>
      <c r="X156" s="130"/>
      <c r="Z156" s="106"/>
    </row>
    <row r="157">
      <c r="C157" s="79"/>
      <c r="D157" s="79"/>
      <c r="J157" s="79"/>
      <c r="P157" s="79"/>
      <c r="Q157" s="79"/>
      <c r="T157" s="79"/>
      <c r="U157" s="79"/>
      <c r="X157" s="130"/>
      <c r="Z157" s="106"/>
    </row>
    <row r="158">
      <c r="C158" s="79"/>
      <c r="D158" s="79"/>
      <c r="J158" s="79"/>
      <c r="P158" s="79"/>
      <c r="Q158" s="79"/>
      <c r="T158" s="79"/>
      <c r="U158" s="79"/>
      <c r="X158" s="130"/>
      <c r="Z158" s="106"/>
    </row>
    <row r="159">
      <c r="C159" s="79"/>
      <c r="D159" s="79"/>
      <c r="J159" s="79"/>
      <c r="P159" s="79"/>
      <c r="Q159" s="79"/>
      <c r="T159" s="79"/>
      <c r="U159" s="79"/>
      <c r="X159" s="130"/>
      <c r="Z159" s="106"/>
    </row>
    <row r="160">
      <c r="C160" s="79"/>
      <c r="D160" s="79"/>
      <c r="J160" s="79"/>
      <c r="P160" s="79"/>
      <c r="Q160" s="79"/>
      <c r="T160" s="79"/>
      <c r="U160" s="79"/>
      <c r="X160" s="130"/>
      <c r="Z160" s="106"/>
    </row>
    <row r="161">
      <c r="C161" s="79"/>
      <c r="D161" s="79"/>
      <c r="J161" s="79"/>
      <c r="P161" s="79"/>
      <c r="Q161" s="79"/>
      <c r="T161" s="79"/>
      <c r="U161" s="79"/>
      <c r="X161" s="130"/>
      <c r="Z161" s="106"/>
    </row>
    <row r="162">
      <c r="C162" s="79"/>
      <c r="D162" s="79"/>
      <c r="J162" s="79"/>
      <c r="P162" s="79"/>
      <c r="Q162" s="79"/>
      <c r="T162" s="79"/>
      <c r="U162" s="79"/>
      <c r="X162" s="130"/>
      <c r="Z162" s="106"/>
    </row>
    <row r="163">
      <c r="C163" s="79"/>
      <c r="D163" s="79"/>
      <c r="J163" s="79"/>
      <c r="P163" s="79"/>
      <c r="Q163" s="79"/>
      <c r="T163" s="79"/>
      <c r="U163" s="79"/>
      <c r="X163" s="130"/>
      <c r="Z163" s="106"/>
    </row>
    <row r="164">
      <c r="C164" s="79"/>
      <c r="D164" s="79"/>
      <c r="J164" s="79"/>
      <c r="P164" s="79"/>
      <c r="Q164" s="79"/>
      <c r="T164" s="79"/>
      <c r="U164" s="79"/>
      <c r="X164" s="130"/>
      <c r="Z164" s="106"/>
    </row>
    <row r="165">
      <c r="C165" s="79"/>
      <c r="D165" s="79"/>
      <c r="J165" s="79"/>
      <c r="P165" s="79"/>
      <c r="Q165" s="79"/>
      <c r="T165" s="79"/>
      <c r="U165" s="79"/>
      <c r="X165" s="130"/>
      <c r="Z165" s="106"/>
    </row>
    <row r="166">
      <c r="C166" s="79"/>
      <c r="D166" s="79"/>
      <c r="J166" s="79"/>
      <c r="P166" s="79"/>
      <c r="Q166" s="79"/>
      <c r="T166" s="79"/>
      <c r="U166" s="79"/>
      <c r="X166" s="130"/>
      <c r="Z166" s="106"/>
    </row>
    <row r="167">
      <c r="C167" s="79"/>
      <c r="D167" s="79"/>
      <c r="J167" s="79"/>
      <c r="P167" s="79"/>
      <c r="Q167" s="79"/>
      <c r="T167" s="79"/>
      <c r="U167" s="79"/>
      <c r="X167" s="130"/>
      <c r="Z167" s="106"/>
    </row>
    <row r="168">
      <c r="C168" s="79"/>
      <c r="D168" s="79"/>
      <c r="J168" s="79"/>
      <c r="P168" s="79"/>
      <c r="Q168" s="79"/>
      <c r="T168" s="79"/>
      <c r="U168" s="79"/>
      <c r="X168" s="130"/>
      <c r="Z168" s="106"/>
    </row>
    <row r="169">
      <c r="C169" s="79"/>
      <c r="D169" s="79"/>
      <c r="J169" s="79"/>
      <c r="P169" s="79"/>
      <c r="Q169" s="79"/>
      <c r="T169" s="79"/>
      <c r="U169" s="79"/>
      <c r="X169" s="130"/>
      <c r="Z169" s="106"/>
    </row>
    <row r="170">
      <c r="C170" s="79"/>
      <c r="D170" s="79"/>
      <c r="J170" s="79"/>
      <c r="P170" s="79"/>
      <c r="Q170" s="79"/>
      <c r="T170" s="79"/>
      <c r="U170" s="79"/>
      <c r="X170" s="130"/>
      <c r="Z170" s="106"/>
    </row>
    <row r="171">
      <c r="C171" s="79"/>
      <c r="D171" s="79"/>
      <c r="J171" s="79"/>
      <c r="P171" s="79"/>
      <c r="Q171" s="79"/>
      <c r="T171" s="79"/>
      <c r="U171" s="79"/>
      <c r="X171" s="130"/>
      <c r="Z171" s="106"/>
    </row>
    <row r="172">
      <c r="C172" s="79"/>
      <c r="D172" s="79"/>
      <c r="J172" s="79"/>
      <c r="P172" s="79"/>
      <c r="Q172" s="79"/>
      <c r="T172" s="79"/>
      <c r="U172" s="79"/>
      <c r="X172" s="130"/>
      <c r="Z172" s="106"/>
    </row>
    <row r="173">
      <c r="C173" s="79"/>
      <c r="D173" s="79"/>
      <c r="J173" s="79"/>
      <c r="P173" s="79"/>
      <c r="Q173" s="79"/>
      <c r="T173" s="79"/>
      <c r="U173" s="79"/>
      <c r="X173" s="130"/>
      <c r="Z173" s="106"/>
    </row>
    <row r="174">
      <c r="C174" s="79"/>
      <c r="D174" s="79"/>
      <c r="J174" s="79"/>
      <c r="P174" s="79"/>
      <c r="Q174" s="79"/>
      <c r="T174" s="79"/>
      <c r="U174" s="79"/>
      <c r="X174" s="130"/>
      <c r="Z174" s="106"/>
    </row>
    <row r="175">
      <c r="C175" s="79"/>
      <c r="D175" s="79"/>
      <c r="J175" s="79"/>
      <c r="P175" s="79"/>
      <c r="Q175" s="79"/>
      <c r="T175" s="79"/>
      <c r="U175" s="79"/>
      <c r="X175" s="130"/>
      <c r="Z175" s="106"/>
    </row>
    <row r="176">
      <c r="C176" s="79"/>
      <c r="D176" s="79"/>
      <c r="J176" s="79"/>
      <c r="P176" s="79"/>
      <c r="Q176" s="79"/>
      <c r="T176" s="79"/>
      <c r="U176" s="79"/>
      <c r="X176" s="130"/>
      <c r="Z176" s="106"/>
    </row>
    <row r="177">
      <c r="C177" s="79"/>
      <c r="D177" s="79"/>
      <c r="J177" s="79"/>
      <c r="P177" s="79"/>
      <c r="Q177" s="79"/>
      <c r="T177" s="79"/>
      <c r="U177" s="79"/>
      <c r="X177" s="130"/>
      <c r="Z177" s="106"/>
    </row>
    <row r="178">
      <c r="C178" s="79"/>
      <c r="D178" s="79"/>
      <c r="J178" s="79"/>
      <c r="P178" s="79"/>
      <c r="Q178" s="79"/>
      <c r="T178" s="79"/>
      <c r="U178" s="79"/>
      <c r="X178" s="130"/>
      <c r="Z178" s="106"/>
    </row>
    <row r="179">
      <c r="C179" s="79"/>
      <c r="D179" s="79"/>
      <c r="J179" s="79"/>
      <c r="P179" s="79"/>
      <c r="Q179" s="79"/>
      <c r="T179" s="79"/>
      <c r="U179" s="79"/>
      <c r="X179" s="130"/>
      <c r="Z179" s="106"/>
    </row>
    <row r="180">
      <c r="C180" s="79"/>
      <c r="D180" s="79"/>
      <c r="J180" s="79"/>
      <c r="P180" s="79"/>
      <c r="Q180" s="79"/>
      <c r="T180" s="79"/>
      <c r="U180" s="79"/>
      <c r="X180" s="130"/>
      <c r="Z180" s="106"/>
    </row>
    <row r="181">
      <c r="C181" s="79"/>
      <c r="D181" s="79"/>
      <c r="J181" s="79"/>
      <c r="P181" s="79"/>
      <c r="Q181" s="79"/>
      <c r="T181" s="79"/>
      <c r="U181" s="79"/>
      <c r="X181" s="130"/>
      <c r="Z181" s="106"/>
    </row>
    <row r="182">
      <c r="C182" s="79"/>
      <c r="D182" s="79"/>
      <c r="J182" s="79"/>
      <c r="P182" s="79"/>
      <c r="Q182" s="79"/>
      <c r="T182" s="79"/>
      <c r="U182" s="79"/>
      <c r="X182" s="130"/>
      <c r="Z182" s="106"/>
    </row>
    <row r="183">
      <c r="C183" s="79"/>
      <c r="D183" s="79"/>
      <c r="J183" s="79"/>
      <c r="P183" s="79"/>
      <c r="Q183" s="79"/>
      <c r="T183" s="79"/>
      <c r="U183" s="79"/>
      <c r="X183" s="130"/>
      <c r="Z183" s="106"/>
    </row>
    <row r="184">
      <c r="C184" s="79"/>
      <c r="D184" s="79"/>
      <c r="J184" s="79"/>
      <c r="P184" s="79"/>
      <c r="Q184" s="79"/>
      <c r="T184" s="79"/>
      <c r="U184" s="79"/>
      <c r="X184" s="130"/>
      <c r="Z184" s="106"/>
    </row>
    <row r="185">
      <c r="C185" s="79"/>
      <c r="D185" s="79"/>
      <c r="J185" s="79"/>
      <c r="P185" s="79"/>
      <c r="Q185" s="79"/>
      <c r="T185" s="79"/>
      <c r="U185" s="79"/>
      <c r="X185" s="130"/>
      <c r="Z185" s="106"/>
    </row>
    <row r="186">
      <c r="C186" s="79"/>
      <c r="D186" s="79"/>
      <c r="J186" s="79"/>
      <c r="P186" s="79"/>
      <c r="Q186" s="79"/>
      <c r="T186" s="79"/>
      <c r="U186" s="79"/>
      <c r="X186" s="130"/>
      <c r="Z186" s="106"/>
    </row>
    <row r="187">
      <c r="C187" s="79"/>
      <c r="D187" s="79"/>
      <c r="J187" s="79"/>
      <c r="P187" s="79"/>
      <c r="Q187" s="79"/>
      <c r="T187" s="79"/>
      <c r="U187" s="79"/>
      <c r="X187" s="130"/>
      <c r="Z187" s="106"/>
    </row>
    <row r="188">
      <c r="C188" s="79"/>
      <c r="D188" s="79"/>
      <c r="J188" s="79"/>
      <c r="P188" s="79"/>
      <c r="Q188" s="79"/>
      <c r="T188" s="79"/>
      <c r="U188" s="79"/>
      <c r="X188" s="130"/>
      <c r="Z188" s="106"/>
    </row>
    <row r="189">
      <c r="C189" s="79"/>
      <c r="D189" s="79"/>
      <c r="J189" s="79"/>
      <c r="P189" s="79"/>
      <c r="Q189" s="79"/>
      <c r="T189" s="79"/>
      <c r="U189" s="79"/>
      <c r="X189" s="130"/>
      <c r="Z189" s="106"/>
    </row>
    <row r="190">
      <c r="C190" s="79"/>
      <c r="D190" s="79"/>
      <c r="J190" s="79"/>
      <c r="P190" s="79"/>
      <c r="Q190" s="79"/>
      <c r="T190" s="79"/>
      <c r="U190" s="79"/>
      <c r="X190" s="130"/>
      <c r="Z190" s="106"/>
    </row>
    <row r="191">
      <c r="C191" s="79"/>
      <c r="D191" s="79"/>
      <c r="J191" s="79"/>
      <c r="P191" s="79"/>
      <c r="Q191" s="79"/>
      <c r="T191" s="79"/>
      <c r="U191" s="79"/>
      <c r="X191" s="130"/>
      <c r="Z191" s="106"/>
    </row>
    <row r="192">
      <c r="C192" s="79"/>
      <c r="D192" s="79"/>
      <c r="J192" s="79"/>
      <c r="P192" s="79"/>
      <c r="Q192" s="79"/>
      <c r="T192" s="79"/>
      <c r="U192" s="79"/>
      <c r="X192" s="130"/>
      <c r="Z192" s="106"/>
    </row>
    <row r="193">
      <c r="C193" s="79"/>
      <c r="D193" s="79"/>
      <c r="J193" s="79"/>
      <c r="P193" s="79"/>
      <c r="Q193" s="79"/>
      <c r="T193" s="79"/>
      <c r="U193" s="79"/>
      <c r="X193" s="130"/>
      <c r="Z193" s="106"/>
    </row>
    <row r="194">
      <c r="C194" s="79"/>
      <c r="D194" s="79"/>
      <c r="J194" s="79"/>
      <c r="P194" s="79"/>
      <c r="Q194" s="79"/>
      <c r="T194" s="79"/>
      <c r="U194" s="79"/>
      <c r="X194" s="130"/>
      <c r="Z194" s="106"/>
    </row>
    <row r="195">
      <c r="C195" s="79"/>
      <c r="D195" s="79"/>
      <c r="J195" s="79"/>
      <c r="P195" s="79"/>
      <c r="Q195" s="79"/>
      <c r="T195" s="79"/>
      <c r="U195" s="79"/>
      <c r="X195" s="130"/>
      <c r="Z195" s="106"/>
    </row>
    <row r="196">
      <c r="C196" s="79"/>
      <c r="D196" s="79"/>
      <c r="J196" s="79"/>
      <c r="P196" s="79"/>
      <c r="Q196" s="79"/>
      <c r="T196" s="79"/>
      <c r="U196" s="79"/>
      <c r="X196" s="130"/>
      <c r="Z196" s="106"/>
    </row>
    <row r="197">
      <c r="C197" s="79"/>
      <c r="D197" s="79"/>
      <c r="J197" s="79"/>
      <c r="P197" s="79"/>
      <c r="Q197" s="79"/>
      <c r="T197" s="79"/>
      <c r="U197" s="79"/>
      <c r="X197" s="130"/>
      <c r="Z197" s="106"/>
    </row>
    <row r="198">
      <c r="C198" s="79"/>
      <c r="D198" s="79"/>
      <c r="J198" s="79"/>
      <c r="P198" s="79"/>
      <c r="Q198" s="79"/>
      <c r="T198" s="79"/>
      <c r="U198" s="79"/>
      <c r="X198" s="130"/>
      <c r="Z198" s="106"/>
    </row>
    <row r="199">
      <c r="C199" s="79"/>
      <c r="D199" s="79"/>
      <c r="J199" s="79"/>
      <c r="P199" s="79"/>
      <c r="Q199" s="79"/>
      <c r="T199" s="79"/>
      <c r="U199" s="79"/>
      <c r="X199" s="130"/>
      <c r="Z199" s="106"/>
    </row>
    <row r="200">
      <c r="C200" s="79"/>
      <c r="D200" s="79"/>
      <c r="J200" s="79"/>
      <c r="P200" s="79"/>
      <c r="Q200" s="79"/>
      <c r="T200" s="79"/>
      <c r="U200" s="79"/>
      <c r="X200" s="130"/>
      <c r="Z200" s="106"/>
    </row>
    <row r="201">
      <c r="C201" s="79"/>
      <c r="D201" s="79"/>
      <c r="J201" s="79"/>
      <c r="P201" s="79"/>
      <c r="Q201" s="79"/>
      <c r="T201" s="79"/>
      <c r="U201" s="79"/>
      <c r="X201" s="130"/>
      <c r="Z201" s="106"/>
    </row>
    <row r="202">
      <c r="C202" s="79"/>
      <c r="D202" s="79"/>
      <c r="J202" s="79"/>
      <c r="P202" s="79"/>
      <c r="Q202" s="79"/>
      <c r="T202" s="79"/>
      <c r="U202" s="79"/>
      <c r="X202" s="130"/>
      <c r="Z202" s="106"/>
    </row>
    <row r="203">
      <c r="C203" s="79"/>
      <c r="D203" s="79"/>
      <c r="J203" s="79"/>
      <c r="P203" s="79"/>
      <c r="Q203" s="79"/>
      <c r="T203" s="79"/>
      <c r="U203" s="79"/>
      <c r="X203" s="130"/>
      <c r="Z203" s="106"/>
    </row>
    <row r="204">
      <c r="C204" s="79"/>
      <c r="D204" s="79"/>
      <c r="J204" s="79"/>
      <c r="P204" s="79"/>
      <c r="Q204" s="79"/>
      <c r="T204" s="79"/>
      <c r="U204" s="79"/>
      <c r="X204" s="130"/>
      <c r="Z204" s="106"/>
    </row>
    <row r="205">
      <c r="C205" s="79"/>
      <c r="D205" s="79"/>
      <c r="J205" s="79"/>
      <c r="P205" s="79"/>
      <c r="Q205" s="79"/>
      <c r="T205" s="79"/>
      <c r="U205" s="79"/>
      <c r="X205" s="130"/>
      <c r="Z205" s="106"/>
    </row>
    <row r="206">
      <c r="C206" s="79"/>
      <c r="D206" s="79"/>
      <c r="J206" s="79"/>
      <c r="P206" s="79"/>
      <c r="Q206" s="79"/>
      <c r="T206" s="79"/>
      <c r="U206" s="79"/>
      <c r="X206" s="130"/>
      <c r="Z206" s="106"/>
    </row>
    <row r="207">
      <c r="C207" s="79"/>
      <c r="D207" s="79"/>
      <c r="J207" s="79"/>
      <c r="P207" s="79"/>
      <c r="Q207" s="79"/>
      <c r="T207" s="79"/>
      <c r="U207" s="79"/>
      <c r="X207" s="130"/>
      <c r="Z207" s="106"/>
    </row>
    <row r="208">
      <c r="C208" s="79"/>
      <c r="D208" s="79"/>
      <c r="J208" s="79"/>
      <c r="P208" s="79"/>
      <c r="Q208" s="79"/>
      <c r="T208" s="79"/>
      <c r="U208" s="79"/>
      <c r="X208" s="130"/>
      <c r="Z208" s="106"/>
    </row>
    <row r="209">
      <c r="C209" s="79"/>
      <c r="D209" s="79"/>
      <c r="J209" s="79"/>
      <c r="P209" s="79"/>
      <c r="Q209" s="79"/>
      <c r="T209" s="79"/>
      <c r="U209" s="79"/>
      <c r="X209" s="130"/>
      <c r="Z209" s="106"/>
    </row>
    <row r="210">
      <c r="C210" s="79"/>
      <c r="D210" s="79"/>
      <c r="J210" s="79"/>
      <c r="P210" s="79"/>
      <c r="Q210" s="79"/>
      <c r="T210" s="79"/>
      <c r="U210" s="79"/>
      <c r="X210" s="130"/>
      <c r="Z210" s="106"/>
    </row>
    <row r="211">
      <c r="C211" s="79"/>
      <c r="D211" s="79"/>
      <c r="J211" s="79"/>
      <c r="P211" s="79"/>
      <c r="Q211" s="79"/>
      <c r="T211" s="79"/>
      <c r="U211" s="79"/>
      <c r="X211" s="130"/>
      <c r="Z211" s="106"/>
    </row>
    <row r="212">
      <c r="C212" s="79"/>
      <c r="D212" s="79"/>
      <c r="J212" s="79"/>
      <c r="P212" s="79"/>
      <c r="Q212" s="79"/>
      <c r="T212" s="79"/>
      <c r="U212" s="79"/>
      <c r="X212" s="130"/>
      <c r="Z212" s="106"/>
    </row>
    <row r="213">
      <c r="C213" s="79"/>
      <c r="D213" s="79"/>
      <c r="J213" s="79"/>
      <c r="P213" s="79"/>
      <c r="Q213" s="79"/>
      <c r="T213" s="79"/>
      <c r="U213" s="79"/>
      <c r="X213" s="130"/>
      <c r="Z213" s="106"/>
    </row>
    <row r="214">
      <c r="C214" s="79"/>
      <c r="D214" s="79"/>
      <c r="J214" s="79"/>
      <c r="P214" s="79"/>
      <c r="Q214" s="79"/>
      <c r="T214" s="79"/>
      <c r="U214" s="79"/>
      <c r="X214" s="130"/>
      <c r="Z214" s="106"/>
    </row>
    <row r="215">
      <c r="C215" s="79"/>
      <c r="D215" s="79"/>
      <c r="J215" s="79"/>
      <c r="P215" s="79"/>
      <c r="Q215" s="79"/>
      <c r="T215" s="79"/>
      <c r="U215" s="79"/>
      <c r="X215" s="130"/>
      <c r="Z215" s="106"/>
    </row>
    <row r="216">
      <c r="C216" s="79"/>
      <c r="D216" s="79"/>
      <c r="J216" s="79"/>
      <c r="P216" s="79"/>
      <c r="Q216" s="79"/>
      <c r="T216" s="79"/>
      <c r="U216" s="79"/>
      <c r="X216" s="130"/>
      <c r="Z216" s="106"/>
    </row>
    <row r="217">
      <c r="C217" s="79"/>
      <c r="D217" s="79"/>
      <c r="J217" s="79"/>
      <c r="P217" s="79"/>
      <c r="Q217" s="79"/>
      <c r="T217" s="79"/>
      <c r="U217" s="79"/>
      <c r="X217" s="130"/>
      <c r="Z217" s="106"/>
    </row>
    <row r="218">
      <c r="C218" s="79"/>
      <c r="D218" s="79"/>
      <c r="J218" s="79"/>
      <c r="P218" s="79"/>
      <c r="Q218" s="79"/>
      <c r="T218" s="79"/>
      <c r="U218" s="79"/>
      <c r="X218" s="130"/>
      <c r="Z218" s="106"/>
    </row>
    <row r="219">
      <c r="C219" s="79"/>
      <c r="D219" s="79"/>
      <c r="J219" s="79"/>
      <c r="P219" s="79"/>
      <c r="Q219" s="79"/>
      <c r="T219" s="79"/>
      <c r="U219" s="79"/>
      <c r="X219" s="130"/>
      <c r="Z219" s="106"/>
    </row>
    <row r="220">
      <c r="C220" s="79"/>
      <c r="D220" s="79"/>
      <c r="J220" s="79"/>
      <c r="P220" s="79"/>
      <c r="Q220" s="79"/>
      <c r="T220" s="79"/>
      <c r="U220" s="79"/>
      <c r="X220" s="130"/>
      <c r="Z220" s="106"/>
    </row>
    <row r="221">
      <c r="C221" s="79"/>
      <c r="D221" s="79"/>
      <c r="J221" s="79"/>
      <c r="P221" s="79"/>
      <c r="Q221" s="79"/>
      <c r="T221" s="79"/>
      <c r="U221" s="79"/>
      <c r="X221" s="130"/>
      <c r="Z221" s="106"/>
    </row>
    <row r="222">
      <c r="C222" s="79"/>
      <c r="D222" s="79"/>
      <c r="J222" s="79"/>
      <c r="P222" s="79"/>
      <c r="Q222" s="79"/>
      <c r="T222" s="79"/>
      <c r="U222" s="79"/>
      <c r="X222" s="130"/>
      <c r="Z222" s="106"/>
    </row>
    <row r="223">
      <c r="C223" s="79"/>
      <c r="D223" s="79"/>
      <c r="J223" s="79"/>
      <c r="P223" s="79"/>
      <c r="Q223" s="79"/>
      <c r="T223" s="79"/>
      <c r="U223" s="79"/>
      <c r="X223" s="130"/>
      <c r="Z223" s="106"/>
    </row>
    <row r="224">
      <c r="C224" s="79"/>
      <c r="D224" s="79"/>
      <c r="J224" s="79"/>
      <c r="P224" s="79"/>
      <c r="Q224" s="79"/>
      <c r="T224" s="79"/>
      <c r="U224" s="79"/>
      <c r="X224" s="130"/>
      <c r="Z224" s="106"/>
    </row>
    <row r="225">
      <c r="C225" s="79"/>
      <c r="D225" s="79"/>
      <c r="J225" s="79"/>
      <c r="P225" s="79"/>
      <c r="Q225" s="79"/>
      <c r="T225" s="79"/>
      <c r="U225" s="79"/>
      <c r="X225" s="130"/>
      <c r="Z225" s="106"/>
    </row>
    <row r="226">
      <c r="C226" s="79"/>
      <c r="D226" s="79"/>
      <c r="J226" s="79"/>
      <c r="P226" s="79"/>
      <c r="Q226" s="79"/>
      <c r="T226" s="79"/>
      <c r="U226" s="79"/>
      <c r="X226" s="130"/>
      <c r="Z226" s="106"/>
    </row>
    <row r="227">
      <c r="C227" s="79"/>
      <c r="D227" s="79"/>
      <c r="J227" s="79"/>
      <c r="P227" s="79"/>
      <c r="Q227" s="79"/>
      <c r="T227" s="79"/>
      <c r="U227" s="79"/>
      <c r="X227" s="130"/>
      <c r="Z227" s="106"/>
    </row>
    <row r="228">
      <c r="C228" s="79"/>
      <c r="D228" s="79"/>
      <c r="J228" s="79"/>
      <c r="P228" s="79"/>
      <c r="Q228" s="79"/>
      <c r="T228" s="79"/>
      <c r="U228" s="79"/>
      <c r="X228" s="130"/>
      <c r="Z228" s="106"/>
    </row>
    <row r="229">
      <c r="C229" s="79"/>
      <c r="D229" s="79"/>
      <c r="J229" s="79"/>
      <c r="P229" s="79"/>
      <c r="Q229" s="79"/>
      <c r="T229" s="79"/>
      <c r="U229" s="79"/>
      <c r="X229" s="130"/>
      <c r="Z229" s="106"/>
    </row>
    <row r="230">
      <c r="C230" s="79"/>
      <c r="D230" s="79"/>
      <c r="J230" s="79"/>
      <c r="P230" s="79"/>
      <c r="Q230" s="79"/>
      <c r="T230" s="79"/>
      <c r="U230" s="79"/>
      <c r="X230" s="130"/>
      <c r="Z230" s="106"/>
    </row>
    <row r="231">
      <c r="C231" s="79"/>
      <c r="D231" s="79"/>
      <c r="J231" s="79"/>
      <c r="P231" s="79"/>
      <c r="Q231" s="79"/>
      <c r="T231" s="79"/>
      <c r="U231" s="79"/>
      <c r="X231" s="130"/>
      <c r="Z231" s="106"/>
    </row>
    <row r="232">
      <c r="C232" s="79"/>
      <c r="D232" s="79"/>
      <c r="J232" s="79"/>
      <c r="P232" s="79"/>
      <c r="Q232" s="79"/>
      <c r="T232" s="79"/>
      <c r="U232" s="79"/>
      <c r="X232" s="130"/>
      <c r="Z232" s="106"/>
    </row>
    <row r="233">
      <c r="C233" s="79"/>
      <c r="D233" s="79"/>
      <c r="J233" s="79"/>
      <c r="P233" s="79"/>
      <c r="Q233" s="79"/>
      <c r="T233" s="79"/>
      <c r="U233" s="79"/>
      <c r="X233" s="130"/>
      <c r="Z233" s="106"/>
    </row>
    <row r="234">
      <c r="C234" s="79"/>
      <c r="D234" s="79"/>
      <c r="J234" s="79"/>
      <c r="P234" s="79"/>
      <c r="Q234" s="79"/>
      <c r="T234" s="79"/>
      <c r="U234" s="79"/>
      <c r="X234" s="130"/>
      <c r="Z234" s="106"/>
    </row>
    <row r="235">
      <c r="C235" s="79"/>
      <c r="D235" s="79"/>
      <c r="J235" s="79"/>
      <c r="P235" s="79"/>
      <c r="Q235" s="79"/>
      <c r="T235" s="79"/>
      <c r="U235" s="79"/>
      <c r="X235" s="130"/>
      <c r="Z235" s="106"/>
    </row>
    <row r="236">
      <c r="C236" s="79"/>
      <c r="D236" s="79"/>
      <c r="J236" s="79"/>
      <c r="P236" s="79"/>
      <c r="Q236" s="79"/>
      <c r="T236" s="79"/>
      <c r="U236" s="79"/>
      <c r="X236" s="130"/>
      <c r="Z236" s="106"/>
    </row>
    <row r="237">
      <c r="C237" s="79"/>
      <c r="D237" s="79"/>
      <c r="J237" s="79"/>
      <c r="P237" s="79"/>
      <c r="Q237" s="79"/>
      <c r="T237" s="79"/>
      <c r="U237" s="79"/>
      <c r="X237" s="130"/>
      <c r="Z237" s="106"/>
    </row>
    <row r="238">
      <c r="C238" s="79"/>
      <c r="D238" s="79"/>
      <c r="J238" s="79"/>
      <c r="P238" s="79"/>
      <c r="Q238" s="79"/>
      <c r="T238" s="79"/>
      <c r="U238" s="79"/>
      <c r="X238" s="130"/>
      <c r="Z238" s="106"/>
    </row>
    <row r="239">
      <c r="C239" s="79"/>
      <c r="D239" s="79"/>
      <c r="J239" s="79"/>
      <c r="P239" s="79"/>
      <c r="Q239" s="79"/>
      <c r="T239" s="79"/>
      <c r="U239" s="79"/>
      <c r="X239" s="130"/>
      <c r="Z239" s="106"/>
    </row>
    <row r="240">
      <c r="C240" s="79"/>
      <c r="D240" s="79"/>
      <c r="J240" s="79"/>
      <c r="P240" s="79"/>
      <c r="Q240" s="79"/>
      <c r="T240" s="79"/>
      <c r="U240" s="79"/>
      <c r="X240" s="130"/>
      <c r="Z240" s="106"/>
    </row>
    <row r="241">
      <c r="C241" s="79"/>
      <c r="D241" s="79"/>
      <c r="J241" s="79"/>
      <c r="P241" s="79"/>
      <c r="Q241" s="79"/>
      <c r="T241" s="79"/>
      <c r="U241" s="79"/>
      <c r="X241" s="130"/>
      <c r="Z241" s="106"/>
    </row>
    <row r="242">
      <c r="C242" s="79"/>
      <c r="D242" s="79"/>
      <c r="J242" s="79"/>
      <c r="P242" s="79"/>
      <c r="Q242" s="79"/>
      <c r="T242" s="79"/>
      <c r="U242" s="79"/>
      <c r="X242" s="130"/>
      <c r="Z242" s="106"/>
    </row>
    <row r="243">
      <c r="C243" s="79"/>
      <c r="D243" s="79"/>
      <c r="J243" s="79"/>
      <c r="P243" s="79"/>
      <c r="Q243" s="79"/>
      <c r="T243" s="79"/>
      <c r="U243" s="79"/>
      <c r="X243" s="130"/>
      <c r="Z243" s="106"/>
    </row>
    <row r="244">
      <c r="C244" s="79"/>
      <c r="D244" s="79"/>
      <c r="J244" s="79"/>
      <c r="P244" s="79"/>
      <c r="Q244" s="79"/>
      <c r="T244" s="79"/>
      <c r="U244" s="79"/>
      <c r="X244" s="130"/>
      <c r="Z244" s="106"/>
    </row>
    <row r="245">
      <c r="C245" s="79"/>
      <c r="D245" s="79"/>
      <c r="J245" s="79"/>
      <c r="P245" s="79"/>
      <c r="Q245" s="79"/>
      <c r="T245" s="79"/>
      <c r="U245" s="79"/>
      <c r="X245" s="130"/>
      <c r="Z245" s="106"/>
    </row>
    <row r="246">
      <c r="C246" s="79"/>
      <c r="D246" s="79"/>
      <c r="J246" s="79"/>
      <c r="P246" s="79"/>
      <c r="Q246" s="79"/>
      <c r="T246" s="79"/>
      <c r="U246" s="79"/>
      <c r="X246" s="130"/>
      <c r="Z246" s="106"/>
    </row>
    <row r="247">
      <c r="C247" s="79"/>
      <c r="D247" s="79"/>
      <c r="J247" s="79"/>
      <c r="P247" s="79"/>
      <c r="Q247" s="79"/>
      <c r="T247" s="79"/>
      <c r="U247" s="79"/>
      <c r="X247" s="130"/>
      <c r="Z247" s="106"/>
    </row>
    <row r="248">
      <c r="C248" s="79"/>
      <c r="D248" s="79"/>
      <c r="J248" s="79"/>
      <c r="P248" s="79"/>
      <c r="Q248" s="79"/>
      <c r="T248" s="79"/>
      <c r="U248" s="79"/>
      <c r="X248" s="130"/>
      <c r="Z248" s="106"/>
    </row>
    <row r="249">
      <c r="C249" s="79"/>
      <c r="D249" s="79"/>
      <c r="J249" s="79"/>
      <c r="P249" s="79"/>
      <c r="Q249" s="79"/>
      <c r="T249" s="79"/>
      <c r="U249" s="79"/>
      <c r="X249" s="130"/>
      <c r="Z249" s="106"/>
    </row>
    <row r="250">
      <c r="C250" s="79"/>
      <c r="D250" s="79"/>
      <c r="J250" s="79"/>
      <c r="P250" s="79"/>
      <c r="Q250" s="79"/>
      <c r="T250" s="79"/>
      <c r="U250" s="79"/>
      <c r="X250" s="130"/>
      <c r="Z250" s="106"/>
    </row>
    <row r="251">
      <c r="C251" s="79"/>
      <c r="D251" s="79"/>
      <c r="J251" s="79"/>
      <c r="P251" s="79"/>
      <c r="Q251" s="79"/>
      <c r="T251" s="79"/>
      <c r="U251" s="79"/>
      <c r="X251" s="130"/>
      <c r="Z251" s="106"/>
    </row>
    <row r="252">
      <c r="C252" s="79"/>
      <c r="D252" s="79"/>
      <c r="J252" s="79"/>
      <c r="P252" s="79"/>
      <c r="Q252" s="79"/>
      <c r="T252" s="79"/>
      <c r="U252" s="79"/>
      <c r="X252" s="130"/>
      <c r="Z252" s="106"/>
    </row>
    <row r="253">
      <c r="C253" s="79"/>
      <c r="D253" s="79"/>
      <c r="J253" s="79"/>
      <c r="P253" s="79"/>
      <c r="Q253" s="79"/>
      <c r="T253" s="79"/>
      <c r="U253" s="79"/>
      <c r="X253" s="130"/>
      <c r="Z253" s="106"/>
    </row>
    <row r="254">
      <c r="C254" s="79"/>
      <c r="D254" s="79"/>
      <c r="J254" s="79"/>
      <c r="P254" s="79"/>
      <c r="Q254" s="79"/>
      <c r="T254" s="79"/>
      <c r="U254" s="79"/>
      <c r="X254" s="130"/>
      <c r="Z254" s="106"/>
    </row>
    <row r="255">
      <c r="C255" s="79"/>
      <c r="D255" s="79"/>
      <c r="J255" s="79"/>
      <c r="P255" s="79"/>
      <c r="Q255" s="79"/>
      <c r="T255" s="79"/>
      <c r="U255" s="79"/>
      <c r="X255" s="130"/>
      <c r="Z255" s="106"/>
    </row>
    <row r="256">
      <c r="C256" s="79"/>
      <c r="D256" s="79"/>
      <c r="J256" s="79"/>
      <c r="P256" s="79"/>
      <c r="Q256" s="79"/>
      <c r="T256" s="79"/>
      <c r="U256" s="79"/>
      <c r="X256" s="130"/>
      <c r="Z256" s="106"/>
    </row>
    <row r="257">
      <c r="C257" s="79"/>
      <c r="D257" s="79"/>
      <c r="J257" s="79"/>
      <c r="P257" s="79"/>
      <c r="Q257" s="79"/>
      <c r="T257" s="79"/>
      <c r="U257" s="79"/>
      <c r="X257" s="130"/>
      <c r="Z257" s="106"/>
    </row>
    <row r="258">
      <c r="C258" s="79"/>
      <c r="D258" s="79"/>
      <c r="J258" s="79"/>
      <c r="P258" s="79"/>
      <c r="Q258" s="79"/>
      <c r="T258" s="79"/>
      <c r="U258" s="79"/>
      <c r="X258" s="130"/>
      <c r="Z258" s="106"/>
    </row>
    <row r="259">
      <c r="C259" s="79"/>
      <c r="D259" s="79"/>
      <c r="J259" s="79"/>
      <c r="P259" s="79"/>
      <c r="Q259" s="79"/>
      <c r="T259" s="79"/>
      <c r="U259" s="79"/>
      <c r="X259" s="130"/>
      <c r="Z259" s="106"/>
    </row>
    <row r="260">
      <c r="C260" s="79"/>
      <c r="D260" s="79"/>
      <c r="J260" s="79"/>
      <c r="P260" s="79"/>
      <c r="Q260" s="79"/>
      <c r="T260" s="79"/>
      <c r="U260" s="79"/>
      <c r="X260" s="130"/>
      <c r="Z260" s="106"/>
    </row>
    <row r="261">
      <c r="C261" s="79"/>
      <c r="D261" s="79"/>
      <c r="J261" s="79"/>
      <c r="P261" s="79"/>
      <c r="Q261" s="79"/>
      <c r="T261" s="79"/>
      <c r="U261" s="79"/>
      <c r="X261" s="130"/>
      <c r="Z261" s="106"/>
    </row>
    <row r="262">
      <c r="C262" s="79"/>
      <c r="D262" s="79"/>
      <c r="J262" s="79"/>
      <c r="P262" s="79"/>
      <c r="Q262" s="79"/>
      <c r="T262" s="79"/>
      <c r="U262" s="79"/>
      <c r="X262" s="130"/>
      <c r="Z262" s="106"/>
    </row>
    <row r="263">
      <c r="C263" s="79"/>
      <c r="D263" s="79"/>
      <c r="J263" s="79"/>
      <c r="P263" s="79"/>
      <c r="Q263" s="79"/>
      <c r="T263" s="79"/>
      <c r="U263" s="79"/>
      <c r="X263" s="130"/>
      <c r="Z263" s="106"/>
    </row>
    <row r="264">
      <c r="C264" s="79"/>
      <c r="D264" s="79"/>
      <c r="J264" s="79"/>
      <c r="P264" s="79"/>
      <c r="Q264" s="79"/>
      <c r="T264" s="79"/>
      <c r="U264" s="79"/>
      <c r="X264" s="130"/>
      <c r="Z264" s="106"/>
    </row>
    <row r="265">
      <c r="C265" s="79"/>
      <c r="D265" s="79"/>
      <c r="J265" s="79"/>
      <c r="P265" s="79"/>
      <c r="Q265" s="79"/>
      <c r="T265" s="79"/>
      <c r="U265" s="79"/>
      <c r="X265" s="130"/>
      <c r="Z265" s="106"/>
    </row>
    <row r="266">
      <c r="C266" s="79"/>
      <c r="D266" s="79"/>
      <c r="J266" s="79"/>
      <c r="P266" s="79"/>
      <c r="Q266" s="79"/>
      <c r="T266" s="79"/>
      <c r="U266" s="79"/>
      <c r="X266" s="130"/>
      <c r="Z266" s="106"/>
    </row>
    <row r="267">
      <c r="C267" s="79"/>
      <c r="D267" s="79"/>
      <c r="J267" s="79"/>
      <c r="P267" s="79"/>
      <c r="Q267" s="79"/>
      <c r="T267" s="79"/>
      <c r="U267" s="79"/>
      <c r="X267" s="130"/>
      <c r="Z267" s="106"/>
    </row>
    <row r="268">
      <c r="C268" s="79"/>
      <c r="D268" s="79"/>
      <c r="J268" s="79"/>
      <c r="P268" s="79"/>
      <c r="Q268" s="79"/>
      <c r="T268" s="79"/>
      <c r="U268" s="79"/>
      <c r="X268" s="130"/>
      <c r="Z268" s="106"/>
    </row>
    <row r="269">
      <c r="C269" s="79"/>
      <c r="D269" s="79"/>
      <c r="J269" s="79"/>
      <c r="P269" s="79"/>
      <c r="Q269" s="79"/>
      <c r="T269" s="79"/>
      <c r="U269" s="79"/>
      <c r="X269" s="130"/>
      <c r="Z269" s="106"/>
    </row>
    <row r="270">
      <c r="C270" s="79"/>
      <c r="D270" s="79"/>
      <c r="J270" s="79"/>
      <c r="P270" s="79"/>
      <c r="Q270" s="79"/>
      <c r="T270" s="79"/>
      <c r="U270" s="79"/>
      <c r="X270" s="130"/>
      <c r="Z270" s="106"/>
    </row>
    <row r="271">
      <c r="C271" s="79"/>
      <c r="D271" s="79"/>
      <c r="J271" s="79"/>
      <c r="P271" s="79"/>
      <c r="Q271" s="79"/>
      <c r="T271" s="79"/>
      <c r="U271" s="79"/>
      <c r="X271" s="130"/>
      <c r="Z271" s="106"/>
    </row>
    <row r="272">
      <c r="C272" s="79"/>
      <c r="D272" s="79"/>
      <c r="J272" s="79"/>
      <c r="P272" s="79"/>
      <c r="Q272" s="79"/>
      <c r="T272" s="79"/>
      <c r="U272" s="79"/>
      <c r="X272" s="130"/>
      <c r="Z272" s="106"/>
    </row>
    <row r="273">
      <c r="C273" s="79"/>
      <c r="D273" s="79"/>
      <c r="J273" s="79"/>
      <c r="P273" s="79"/>
      <c r="Q273" s="79"/>
      <c r="T273" s="79"/>
      <c r="U273" s="79"/>
      <c r="X273" s="130"/>
      <c r="Z273" s="106"/>
    </row>
    <row r="274">
      <c r="C274" s="79"/>
      <c r="D274" s="79"/>
      <c r="J274" s="79"/>
      <c r="P274" s="79"/>
      <c r="Q274" s="79"/>
      <c r="T274" s="79"/>
      <c r="U274" s="79"/>
      <c r="X274" s="130"/>
      <c r="Z274" s="106"/>
    </row>
    <row r="275">
      <c r="C275" s="79"/>
      <c r="D275" s="79"/>
      <c r="J275" s="79"/>
      <c r="P275" s="79"/>
      <c r="Q275" s="79"/>
      <c r="T275" s="79"/>
      <c r="U275" s="79"/>
      <c r="X275" s="130"/>
      <c r="Z275" s="106"/>
    </row>
    <row r="276">
      <c r="C276" s="79"/>
      <c r="D276" s="79"/>
      <c r="J276" s="79"/>
      <c r="P276" s="79"/>
      <c r="Q276" s="79"/>
      <c r="T276" s="79"/>
      <c r="U276" s="79"/>
      <c r="X276" s="130"/>
      <c r="Z276" s="106"/>
    </row>
    <row r="277">
      <c r="C277" s="79"/>
      <c r="D277" s="79"/>
      <c r="J277" s="79"/>
      <c r="P277" s="79"/>
      <c r="Q277" s="79"/>
      <c r="T277" s="79"/>
      <c r="U277" s="79"/>
      <c r="X277" s="130"/>
      <c r="Z277" s="106"/>
    </row>
    <row r="278">
      <c r="C278" s="79"/>
      <c r="D278" s="79"/>
      <c r="J278" s="79"/>
      <c r="P278" s="79"/>
      <c r="Q278" s="79"/>
      <c r="T278" s="79"/>
      <c r="U278" s="79"/>
      <c r="X278" s="130"/>
      <c r="Z278" s="106"/>
    </row>
    <row r="279">
      <c r="C279" s="79"/>
      <c r="D279" s="79"/>
      <c r="J279" s="79"/>
      <c r="P279" s="79"/>
      <c r="Q279" s="79"/>
      <c r="T279" s="79"/>
      <c r="U279" s="79"/>
      <c r="X279" s="130"/>
      <c r="Z279" s="106"/>
    </row>
    <row r="280">
      <c r="C280" s="79"/>
      <c r="D280" s="79"/>
      <c r="J280" s="79"/>
      <c r="P280" s="79"/>
      <c r="Q280" s="79"/>
      <c r="T280" s="79"/>
      <c r="U280" s="79"/>
      <c r="X280" s="130"/>
      <c r="Z280" s="106"/>
    </row>
    <row r="281">
      <c r="C281" s="79"/>
      <c r="D281" s="79"/>
      <c r="J281" s="79"/>
      <c r="P281" s="79"/>
      <c r="Q281" s="79"/>
      <c r="T281" s="79"/>
      <c r="U281" s="79"/>
      <c r="X281" s="130"/>
      <c r="Z281" s="106"/>
    </row>
    <row r="282">
      <c r="C282" s="79"/>
      <c r="D282" s="79"/>
      <c r="J282" s="79"/>
      <c r="P282" s="79"/>
      <c r="Q282" s="79"/>
      <c r="T282" s="79"/>
      <c r="U282" s="79"/>
      <c r="X282" s="130"/>
      <c r="Z282" s="106"/>
    </row>
    <row r="283">
      <c r="C283" s="79"/>
      <c r="D283" s="79"/>
      <c r="J283" s="79"/>
      <c r="P283" s="79"/>
      <c r="Q283" s="79"/>
      <c r="T283" s="79"/>
      <c r="U283" s="79"/>
      <c r="X283" s="130"/>
      <c r="Z283" s="106"/>
    </row>
    <row r="284">
      <c r="C284" s="79"/>
      <c r="D284" s="79"/>
      <c r="J284" s="79"/>
      <c r="P284" s="79"/>
      <c r="Q284" s="79"/>
      <c r="T284" s="79"/>
      <c r="U284" s="79"/>
      <c r="X284" s="130"/>
      <c r="Z284" s="106"/>
    </row>
    <row r="285">
      <c r="C285" s="79"/>
      <c r="D285" s="79"/>
      <c r="J285" s="79"/>
      <c r="P285" s="79"/>
      <c r="Q285" s="79"/>
      <c r="T285" s="79"/>
      <c r="U285" s="79"/>
      <c r="X285" s="130"/>
      <c r="Z285" s="106"/>
    </row>
    <row r="286">
      <c r="C286" s="79"/>
      <c r="D286" s="79"/>
      <c r="J286" s="79"/>
      <c r="P286" s="79"/>
      <c r="Q286" s="79"/>
      <c r="T286" s="79"/>
      <c r="U286" s="79"/>
      <c r="X286" s="130"/>
      <c r="Z286" s="106"/>
    </row>
    <row r="287">
      <c r="C287" s="79"/>
      <c r="D287" s="79"/>
      <c r="J287" s="79"/>
      <c r="P287" s="79"/>
      <c r="Q287" s="79"/>
      <c r="T287" s="79"/>
      <c r="U287" s="79"/>
      <c r="X287" s="130"/>
      <c r="Z287" s="106"/>
    </row>
    <row r="288">
      <c r="C288" s="79"/>
      <c r="D288" s="79"/>
      <c r="J288" s="79"/>
      <c r="P288" s="79"/>
      <c r="Q288" s="79"/>
      <c r="T288" s="79"/>
      <c r="U288" s="79"/>
      <c r="X288" s="130"/>
      <c r="Z288" s="106"/>
    </row>
    <row r="289">
      <c r="C289" s="79"/>
      <c r="D289" s="79"/>
      <c r="J289" s="79"/>
      <c r="P289" s="79"/>
      <c r="Q289" s="79"/>
      <c r="T289" s="79"/>
      <c r="U289" s="79"/>
      <c r="X289" s="130"/>
      <c r="Z289" s="106"/>
    </row>
    <row r="290">
      <c r="C290" s="79"/>
      <c r="D290" s="79"/>
      <c r="J290" s="79"/>
      <c r="P290" s="79"/>
      <c r="Q290" s="79"/>
      <c r="T290" s="79"/>
      <c r="U290" s="79"/>
      <c r="X290" s="130"/>
      <c r="Z290" s="106"/>
    </row>
    <row r="291">
      <c r="C291" s="79"/>
      <c r="D291" s="79"/>
      <c r="J291" s="79"/>
      <c r="P291" s="79"/>
      <c r="Q291" s="79"/>
      <c r="T291" s="79"/>
      <c r="U291" s="79"/>
      <c r="X291" s="130"/>
      <c r="Z291" s="106"/>
    </row>
    <row r="292">
      <c r="C292" s="79"/>
      <c r="D292" s="79"/>
      <c r="J292" s="79"/>
      <c r="P292" s="79"/>
      <c r="Q292" s="79"/>
      <c r="T292" s="79"/>
      <c r="U292" s="79"/>
      <c r="X292" s="130"/>
      <c r="Z292" s="106"/>
    </row>
    <row r="293">
      <c r="C293" s="79"/>
      <c r="D293" s="79"/>
      <c r="J293" s="79"/>
      <c r="P293" s="79"/>
      <c r="Q293" s="79"/>
      <c r="T293" s="79"/>
      <c r="U293" s="79"/>
      <c r="X293" s="130"/>
      <c r="Z293" s="106"/>
    </row>
    <row r="294">
      <c r="C294" s="79"/>
      <c r="D294" s="79"/>
      <c r="J294" s="79"/>
      <c r="P294" s="79"/>
      <c r="Q294" s="79"/>
      <c r="T294" s="79"/>
      <c r="U294" s="79"/>
      <c r="X294" s="130"/>
      <c r="Z294" s="106"/>
    </row>
    <row r="295">
      <c r="C295" s="79"/>
      <c r="D295" s="79"/>
      <c r="J295" s="79"/>
      <c r="P295" s="79"/>
      <c r="Q295" s="79"/>
      <c r="T295" s="79"/>
      <c r="U295" s="79"/>
      <c r="X295" s="130"/>
      <c r="Z295" s="106"/>
    </row>
    <row r="296">
      <c r="C296" s="79"/>
      <c r="D296" s="79"/>
      <c r="J296" s="79"/>
      <c r="P296" s="79"/>
      <c r="Q296" s="79"/>
      <c r="T296" s="79"/>
      <c r="U296" s="79"/>
      <c r="X296" s="130"/>
      <c r="Z296" s="106"/>
    </row>
    <row r="297">
      <c r="C297" s="79"/>
      <c r="D297" s="79"/>
      <c r="J297" s="79"/>
      <c r="P297" s="79"/>
      <c r="Q297" s="79"/>
      <c r="T297" s="79"/>
      <c r="U297" s="79"/>
      <c r="X297" s="130"/>
      <c r="Z297" s="106"/>
    </row>
    <row r="298">
      <c r="C298" s="79"/>
      <c r="D298" s="79"/>
      <c r="J298" s="79"/>
      <c r="P298" s="79"/>
      <c r="Q298" s="79"/>
      <c r="T298" s="79"/>
      <c r="U298" s="79"/>
      <c r="X298" s="130"/>
      <c r="Z298" s="106"/>
    </row>
    <row r="299">
      <c r="C299" s="79"/>
      <c r="D299" s="79"/>
      <c r="J299" s="79"/>
      <c r="P299" s="79"/>
      <c r="Q299" s="79"/>
      <c r="T299" s="79"/>
      <c r="U299" s="79"/>
      <c r="X299" s="130"/>
      <c r="Z299" s="106"/>
    </row>
    <row r="300">
      <c r="C300" s="79"/>
      <c r="D300" s="79"/>
      <c r="J300" s="79"/>
      <c r="P300" s="79"/>
      <c r="Q300" s="79"/>
      <c r="T300" s="79"/>
      <c r="U300" s="79"/>
      <c r="X300" s="130"/>
      <c r="Z300" s="106"/>
    </row>
    <row r="301">
      <c r="C301" s="79"/>
      <c r="D301" s="79"/>
      <c r="J301" s="79"/>
      <c r="P301" s="79"/>
      <c r="Q301" s="79"/>
      <c r="T301" s="79"/>
      <c r="U301" s="79"/>
      <c r="X301" s="130"/>
      <c r="Z301" s="106"/>
    </row>
    <row r="302">
      <c r="C302" s="79"/>
      <c r="D302" s="79"/>
      <c r="J302" s="79"/>
      <c r="P302" s="79"/>
      <c r="Q302" s="79"/>
      <c r="T302" s="79"/>
      <c r="U302" s="79"/>
      <c r="X302" s="130"/>
      <c r="Z302" s="106"/>
    </row>
    <row r="303">
      <c r="C303" s="79"/>
      <c r="D303" s="79"/>
      <c r="J303" s="79"/>
      <c r="P303" s="79"/>
      <c r="Q303" s="79"/>
      <c r="T303" s="79"/>
      <c r="U303" s="79"/>
      <c r="X303" s="130"/>
      <c r="Z303" s="106"/>
    </row>
    <row r="304">
      <c r="C304" s="79"/>
      <c r="D304" s="79"/>
      <c r="J304" s="79"/>
      <c r="P304" s="79"/>
      <c r="Q304" s="79"/>
      <c r="T304" s="79"/>
      <c r="U304" s="79"/>
      <c r="X304" s="130"/>
      <c r="Z304" s="106"/>
    </row>
    <row r="305">
      <c r="C305" s="79"/>
      <c r="D305" s="79"/>
      <c r="J305" s="79"/>
      <c r="P305" s="79"/>
      <c r="Q305" s="79"/>
      <c r="T305" s="79"/>
      <c r="U305" s="79"/>
      <c r="X305" s="130"/>
      <c r="Z305" s="106"/>
    </row>
    <row r="306">
      <c r="C306" s="79"/>
      <c r="D306" s="79"/>
      <c r="J306" s="79"/>
      <c r="P306" s="79"/>
      <c r="Q306" s="79"/>
      <c r="T306" s="79"/>
      <c r="U306" s="79"/>
      <c r="X306" s="130"/>
      <c r="Z306" s="106"/>
    </row>
    <row r="307">
      <c r="C307" s="79"/>
      <c r="D307" s="79"/>
      <c r="J307" s="79"/>
      <c r="P307" s="79"/>
      <c r="Q307" s="79"/>
      <c r="T307" s="79"/>
      <c r="U307" s="79"/>
      <c r="X307" s="130"/>
      <c r="Z307" s="106"/>
    </row>
    <row r="308">
      <c r="C308" s="79"/>
      <c r="D308" s="79"/>
      <c r="J308" s="79"/>
      <c r="P308" s="79"/>
      <c r="Q308" s="79"/>
      <c r="T308" s="79"/>
      <c r="U308" s="79"/>
      <c r="X308" s="130"/>
      <c r="Z308" s="106"/>
    </row>
    <row r="309">
      <c r="C309" s="79"/>
      <c r="D309" s="79"/>
      <c r="J309" s="79"/>
      <c r="P309" s="79"/>
      <c r="Q309" s="79"/>
      <c r="T309" s="79"/>
      <c r="U309" s="79"/>
      <c r="X309" s="130"/>
      <c r="Z309" s="106"/>
    </row>
    <row r="310">
      <c r="C310" s="79"/>
      <c r="D310" s="79"/>
      <c r="J310" s="79"/>
      <c r="P310" s="79"/>
      <c r="Q310" s="79"/>
      <c r="T310" s="79"/>
      <c r="U310" s="79"/>
      <c r="X310" s="130"/>
      <c r="Z310" s="106"/>
    </row>
    <row r="311">
      <c r="C311" s="79"/>
      <c r="D311" s="79"/>
      <c r="J311" s="79"/>
      <c r="P311" s="79"/>
      <c r="Q311" s="79"/>
      <c r="T311" s="79"/>
      <c r="U311" s="79"/>
      <c r="X311" s="130"/>
      <c r="Z311" s="106"/>
    </row>
    <row r="312">
      <c r="C312" s="79"/>
      <c r="D312" s="79"/>
      <c r="J312" s="79"/>
      <c r="P312" s="79"/>
      <c r="Q312" s="79"/>
      <c r="T312" s="79"/>
      <c r="U312" s="79"/>
      <c r="X312" s="130"/>
      <c r="Z312" s="106"/>
    </row>
    <row r="313">
      <c r="C313" s="79"/>
      <c r="D313" s="79"/>
      <c r="J313" s="79"/>
      <c r="P313" s="79"/>
      <c r="Q313" s="79"/>
      <c r="T313" s="79"/>
      <c r="U313" s="79"/>
      <c r="X313" s="130"/>
      <c r="Z313" s="106"/>
    </row>
    <row r="314">
      <c r="C314" s="79"/>
      <c r="D314" s="79"/>
      <c r="J314" s="79"/>
      <c r="P314" s="79"/>
      <c r="Q314" s="79"/>
      <c r="T314" s="79"/>
      <c r="U314" s="79"/>
      <c r="X314" s="130"/>
      <c r="Z314" s="106"/>
    </row>
    <row r="315">
      <c r="C315" s="79"/>
      <c r="D315" s="79"/>
      <c r="J315" s="79"/>
      <c r="P315" s="79"/>
      <c r="Q315" s="79"/>
      <c r="T315" s="79"/>
      <c r="U315" s="79"/>
      <c r="X315" s="130"/>
      <c r="Z315" s="106"/>
    </row>
    <row r="316">
      <c r="C316" s="79"/>
      <c r="D316" s="79"/>
      <c r="J316" s="79"/>
      <c r="P316" s="79"/>
      <c r="Q316" s="79"/>
      <c r="T316" s="79"/>
      <c r="U316" s="79"/>
      <c r="X316" s="130"/>
      <c r="Z316" s="106"/>
    </row>
    <row r="317">
      <c r="C317" s="79"/>
      <c r="D317" s="79"/>
      <c r="J317" s="79"/>
      <c r="P317" s="79"/>
      <c r="Q317" s="79"/>
      <c r="T317" s="79"/>
      <c r="U317" s="79"/>
      <c r="X317" s="130"/>
      <c r="Z317" s="106"/>
    </row>
    <row r="318">
      <c r="C318" s="79"/>
      <c r="D318" s="79"/>
      <c r="J318" s="79"/>
      <c r="P318" s="79"/>
      <c r="Q318" s="79"/>
      <c r="T318" s="79"/>
      <c r="U318" s="79"/>
      <c r="X318" s="130"/>
      <c r="Z318" s="106"/>
    </row>
    <row r="319">
      <c r="C319" s="79"/>
      <c r="D319" s="79"/>
      <c r="J319" s="79"/>
      <c r="P319" s="79"/>
      <c r="Q319" s="79"/>
      <c r="T319" s="79"/>
      <c r="U319" s="79"/>
      <c r="X319" s="130"/>
      <c r="Z319" s="106"/>
    </row>
    <row r="320">
      <c r="C320" s="79"/>
      <c r="D320" s="79"/>
      <c r="J320" s="79"/>
      <c r="P320" s="79"/>
      <c r="Q320" s="79"/>
      <c r="T320" s="79"/>
      <c r="U320" s="79"/>
      <c r="X320" s="130"/>
      <c r="Z320" s="106"/>
    </row>
    <row r="321">
      <c r="C321" s="79"/>
      <c r="D321" s="79"/>
      <c r="J321" s="79"/>
      <c r="P321" s="79"/>
      <c r="Q321" s="79"/>
      <c r="T321" s="79"/>
      <c r="U321" s="79"/>
      <c r="X321" s="130"/>
      <c r="Z321" s="106"/>
    </row>
    <row r="322">
      <c r="C322" s="79"/>
      <c r="D322" s="79"/>
      <c r="J322" s="79"/>
      <c r="P322" s="79"/>
      <c r="Q322" s="79"/>
      <c r="T322" s="79"/>
      <c r="U322" s="79"/>
      <c r="X322" s="130"/>
      <c r="Z322" s="106"/>
    </row>
    <row r="323">
      <c r="C323" s="79"/>
      <c r="D323" s="79"/>
      <c r="J323" s="79"/>
      <c r="P323" s="79"/>
      <c r="Q323" s="79"/>
      <c r="T323" s="79"/>
      <c r="U323" s="79"/>
      <c r="X323" s="130"/>
      <c r="Z323" s="106"/>
    </row>
    <row r="324">
      <c r="C324" s="79"/>
      <c r="D324" s="79"/>
      <c r="J324" s="79"/>
      <c r="P324" s="79"/>
      <c r="Q324" s="79"/>
      <c r="T324" s="79"/>
      <c r="U324" s="79"/>
      <c r="X324" s="130"/>
      <c r="Z324" s="106"/>
    </row>
    <row r="325">
      <c r="C325" s="79"/>
      <c r="D325" s="79"/>
      <c r="J325" s="79"/>
      <c r="P325" s="79"/>
      <c r="Q325" s="79"/>
      <c r="T325" s="79"/>
      <c r="U325" s="79"/>
      <c r="X325" s="130"/>
      <c r="Z325" s="106"/>
    </row>
    <row r="326">
      <c r="C326" s="79"/>
      <c r="D326" s="79"/>
      <c r="J326" s="79"/>
      <c r="P326" s="79"/>
      <c r="Q326" s="79"/>
      <c r="T326" s="79"/>
      <c r="U326" s="79"/>
      <c r="X326" s="130"/>
      <c r="Z326" s="106"/>
    </row>
    <row r="327">
      <c r="C327" s="79"/>
      <c r="D327" s="79"/>
      <c r="J327" s="79"/>
      <c r="P327" s="79"/>
      <c r="Q327" s="79"/>
      <c r="T327" s="79"/>
      <c r="U327" s="79"/>
      <c r="X327" s="130"/>
      <c r="Z327" s="106"/>
    </row>
    <row r="328">
      <c r="C328" s="79"/>
      <c r="D328" s="79"/>
      <c r="J328" s="79"/>
      <c r="P328" s="79"/>
      <c r="Q328" s="79"/>
      <c r="T328" s="79"/>
      <c r="U328" s="79"/>
      <c r="X328" s="130"/>
      <c r="Z328" s="106"/>
    </row>
    <row r="329">
      <c r="C329" s="79"/>
      <c r="D329" s="79"/>
      <c r="J329" s="79"/>
      <c r="P329" s="79"/>
      <c r="Q329" s="79"/>
      <c r="T329" s="79"/>
      <c r="U329" s="79"/>
      <c r="X329" s="130"/>
      <c r="Z329" s="106"/>
    </row>
    <row r="330">
      <c r="C330" s="79"/>
      <c r="D330" s="79"/>
      <c r="J330" s="79"/>
      <c r="P330" s="79"/>
      <c r="Q330" s="79"/>
      <c r="T330" s="79"/>
      <c r="U330" s="79"/>
      <c r="X330" s="130"/>
      <c r="Z330" s="106"/>
    </row>
    <row r="331">
      <c r="C331" s="79"/>
      <c r="D331" s="79"/>
      <c r="J331" s="79"/>
      <c r="P331" s="79"/>
      <c r="Q331" s="79"/>
      <c r="T331" s="79"/>
      <c r="U331" s="79"/>
      <c r="X331" s="130"/>
      <c r="Z331" s="106"/>
    </row>
    <row r="332">
      <c r="C332" s="79"/>
      <c r="D332" s="79"/>
      <c r="J332" s="79"/>
      <c r="P332" s="79"/>
      <c r="Q332" s="79"/>
      <c r="T332" s="79"/>
      <c r="U332" s="79"/>
      <c r="X332" s="130"/>
      <c r="Z332" s="106"/>
    </row>
    <row r="333">
      <c r="C333" s="79"/>
      <c r="D333" s="79"/>
      <c r="J333" s="79"/>
      <c r="P333" s="79"/>
      <c r="Q333" s="79"/>
      <c r="T333" s="79"/>
      <c r="U333" s="79"/>
      <c r="X333" s="130"/>
      <c r="Z333" s="106"/>
    </row>
    <row r="334">
      <c r="C334" s="79"/>
      <c r="D334" s="79"/>
      <c r="J334" s="79"/>
      <c r="P334" s="79"/>
      <c r="Q334" s="79"/>
      <c r="T334" s="79"/>
      <c r="U334" s="79"/>
      <c r="X334" s="130"/>
      <c r="Z334" s="106"/>
    </row>
    <row r="335">
      <c r="C335" s="79"/>
      <c r="D335" s="79"/>
      <c r="J335" s="79"/>
      <c r="P335" s="79"/>
      <c r="Q335" s="79"/>
      <c r="T335" s="79"/>
      <c r="U335" s="79"/>
      <c r="X335" s="130"/>
      <c r="Z335" s="106"/>
    </row>
    <row r="336">
      <c r="C336" s="79"/>
      <c r="D336" s="79"/>
      <c r="J336" s="79"/>
      <c r="P336" s="79"/>
      <c r="Q336" s="79"/>
      <c r="T336" s="79"/>
      <c r="U336" s="79"/>
      <c r="X336" s="130"/>
      <c r="Z336" s="106"/>
    </row>
    <row r="337">
      <c r="C337" s="79"/>
      <c r="D337" s="79"/>
      <c r="J337" s="79"/>
      <c r="P337" s="79"/>
      <c r="Q337" s="79"/>
      <c r="T337" s="79"/>
      <c r="U337" s="79"/>
      <c r="X337" s="130"/>
      <c r="Z337" s="106"/>
    </row>
    <row r="338">
      <c r="C338" s="79"/>
      <c r="D338" s="79"/>
      <c r="J338" s="79"/>
      <c r="P338" s="79"/>
      <c r="Q338" s="79"/>
      <c r="T338" s="79"/>
      <c r="U338" s="79"/>
      <c r="X338" s="130"/>
      <c r="Z338" s="106"/>
    </row>
    <row r="339">
      <c r="C339" s="79"/>
      <c r="D339" s="79"/>
      <c r="J339" s="79"/>
      <c r="P339" s="79"/>
      <c r="Q339" s="79"/>
      <c r="T339" s="79"/>
      <c r="U339" s="79"/>
      <c r="X339" s="130"/>
      <c r="Z339" s="106"/>
    </row>
    <row r="340">
      <c r="C340" s="79"/>
      <c r="D340" s="79"/>
      <c r="J340" s="79"/>
      <c r="P340" s="79"/>
      <c r="Q340" s="79"/>
      <c r="T340" s="79"/>
      <c r="U340" s="79"/>
      <c r="X340" s="130"/>
      <c r="Z340" s="106"/>
    </row>
    <row r="341">
      <c r="C341" s="79"/>
      <c r="D341" s="79"/>
      <c r="J341" s="79"/>
      <c r="P341" s="79"/>
      <c r="Q341" s="79"/>
      <c r="T341" s="79"/>
      <c r="U341" s="79"/>
      <c r="X341" s="130"/>
      <c r="Z341" s="106"/>
    </row>
    <row r="342">
      <c r="C342" s="79"/>
      <c r="D342" s="79"/>
      <c r="J342" s="79"/>
      <c r="P342" s="79"/>
      <c r="Q342" s="79"/>
      <c r="T342" s="79"/>
      <c r="U342" s="79"/>
      <c r="X342" s="130"/>
      <c r="Z342" s="106"/>
    </row>
    <row r="343">
      <c r="C343" s="79"/>
      <c r="D343" s="79"/>
      <c r="J343" s="79"/>
      <c r="P343" s="79"/>
      <c r="Q343" s="79"/>
      <c r="T343" s="79"/>
      <c r="U343" s="79"/>
      <c r="X343" s="130"/>
      <c r="Z343" s="106"/>
    </row>
    <row r="344">
      <c r="C344" s="79"/>
      <c r="D344" s="79"/>
      <c r="J344" s="79"/>
      <c r="P344" s="79"/>
      <c r="Q344" s="79"/>
      <c r="T344" s="79"/>
      <c r="U344" s="79"/>
      <c r="X344" s="130"/>
      <c r="Z344" s="106"/>
    </row>
    <row r="345">
      <c r="C345" s="79"/>
      <c r="D345" s="79"/>
      <c r="J345" s="79"/>
      <c r="P345" s="79"/>
      <c r="Q345" s="79"/>
      <c r="T345" s="79"/>
      <c r="U345" s="79"/>
      <c r="X345" s="130"/>
      <c r="Z345" s="106"/>
    </row>
    <row r="346">
      <c r="C346" s="79"/>
      <c r="D346" s="79"/>
      <c r="J346" s="79"/>
      <c r="P346" s="79"/>
      <c r="Q346" s="79"/>
      <c r="T346" s="79"/>
      <c r="U346" s="79"/>
      <c r="X346" s="130"/>
      <c r="Z346" s="106"/>
    </row>
    <row r="347">
      <c r="C347" s="79"/>
      <c r="D347" s="79"/>
      <c r="J347" s="79"/>
      <c r="P347" s="79"/>
      <c r="Q347" s="79"/>
      <c r="T347" s="79"/>
      <c r="U347" s="79"/>
      <c r="X347" s="130"/>
      <c r="Z347" s="106"/>
    </row>
    <row r="348">
      <c r="C348" s="79"/>
      <c r="D348" s="79"/>
      <c r="J348" s="79"/>
      <c r="P348" s="79"/>
      <c r="Q348" s="79"/>
      <c r="T348" s="79"/>
      <c r="U348" s="79"/>
      <c r="X348" s="130"/>
      <c r="Z348" s="106"/>
    </row>
    <row r="349">
      <c r="C349" s="79"/>
      <c r="D349" s="79"/>
      <c r="J349" s="79"/>
      <c r="P349" s="79"/>
      <c r="Q349" s="79"/>
      <c r="T349" s="79"/>
      <c r="U349" s="79"/>
      <c r="X349" s="130"/>
      <c r="Z349" s="106"/>
    </row>
    <row r="350">
      <c r="C350" s="79"/>
      <c r="D350" s="79"/>
      <c r="J350" s="79"/>
      <c r="P350" s="79"/>
      <c r="Q350" s="79"/>
      <c r="T350" s="79"/>
      <c r="U350" s="79"/>
      <c r="X350" s="130"/>
      <c r="Z350" s="106"/>
    </row>
    <row r="351">
      <c r="C351" s="79"/>
      <c r="D351" s="79"/>
      <c r="J351" s="79"/>
      <c r="P351" s="79"/>
      <c r="Q351" s="79"/>
      <c r="T351" s="79"/>
      <c r="U351" s="79"/>
      <c r="X351" s="130"/>
      <c r="Z351" s="106"/>
    </row>
    <row r="352">
      <c r="C352" s="79"/>
      <c r="D352" s="79"/>
      <c r="J352" s="79"/>
      <c r="P352" s="79"/>
      <c r="Q352" s="79"/>
      <c r="T352" s="79"/>
      <c r="U352" s="79"/>
      <c r="X352" s="130"/>
      <c r="Z352" s="106"/>
    </row>
    <row r="353">
      <c r="C353" s="79"/>
      <c r="D353" s="79"/>
      <c r="J353" s="79"/>
      <c r="P353" s="79"/>
      <c r="Q353" s="79"/>
      <c r="T353" s="79"/>
      <c r="U353" s="79"/>
      <c r="X353" s="130"/>
      <c r="Z353" s="106"/>
    </row>
    <row r="354">
      <c r="C354" s="79"/>
      <c r="D354" s="79"/>
      <c r="J354" s="79"/>
      <c r="P354" s="79"/>
      <c r="Q354" s="79"/>
      <c r="T354" s="79"/>
      <c r="U354" s="79"/>
      <c r="X354" s="130"/>
      <c r="Z354" s="106"/>
    </row>
    <row r="355">
      <c r="C355" s="79"/>
      <c r="D355" s="79"/>
      <c r="J355" s="79"/>
      <c r="P355" s="79"/>
      <c r="Q355" s="79"/>
      <c r="T355" s="79"/>
      <c r="U355" s="79"/>
      <c r="X355" s="130"/>
      <c r="Z355" s="106"/>
    </row>
    <row r="356">
      <c r="C356" s="79"/>
      <c r="D356" s="79"/>
      <c r="J356" s="79"/>
      <c r="P356" s="79"/>
      <c r="Q356" s="79"/>
      <c r="T356" s="79"/>
      <c r="U356" s="79"/>
      <c r="X356" s="130"/>
      <c r="Z356" s="106"/>
    </row>
    <row r="357">
      <c r="C357" s="79"/>
      <c r="D357" s="79"/>
      <c r="J357" s="79"/>
      <c r="P357" s="79"/>
      <c r="Q357" s="79"/>
      <c r="T357" s="79"/>
      <c r="U357" s="79"/>
      <c r="X357" s="130"/>
      <c r="Z357" s="106"/>
    </row>
    <row r="358">
      <c r="C358" s="79"/>
      <c r="D358" s="79"/>
      <c r="J358" s="79"/>
      <c r="P358" s="79"/>
      <c r="Q358" s="79"/>
      <c r="T358" s="79"/>
      <c r="U358" s="79"/>
      <c r="X358" s="130"/>
      <c r="Z358" s="106"/>
    </row>
    <row r="359">
      <c r="C359" s="79"/>
      <c r="D359" s="79"/>
      <c r="J359" s="79"/>
      <c r="P359" s="79"/>
      <c r="Q359" s="79"/>
      <c r="T359" s="79"/>
      <c r="U359" s="79"/>
      <c r="X359" s="130"/>
      <c r="Z359" s="106"/>
    </row>
    <row r="360">
      <c r="C360" s="79"/>
      <c r="D360" s="79"/>
      <c r="J360" s="79"/>
      <c r="P360" s="79"/>
      <c r="Q360" s="79"/>
      <c r="T360" s="79"/>
      <c r="U360" s="79"/>
      <c r="X360" s="130"/>
      <c r="Z360" s="106"/>
    </row>
    <row r="361">
      <c r="C361" s="79"/>
      <c r="D361" s="79"/>
      <c r="J361" s="79"/>
      <c r="P361" s="79"/>
      <c r="Q361" s="79"/>
      <c r="T361" s="79"/>
      <c r="U361" s="79"/>
      <c r="X361" s="130"/>
      <c r="Z361" s="106"/>
    </row>
    <row r="362">
      <c r="C362" s="79"/>
      <c r="D362" s="79"/>
      <c r="J362" s="79"/>
      <c r="P362" s="79"/>
      <c r="Q362" s="79"/>
      <c r="T362" s="79"/>
      <c r="U362" s="79"/>
      <c r="X362" s="130"/>
      <c r="Z362" s="106"/>
    </row>
    <row r="363">
      <c r="C363" s="79"/>
      <c r="D363" s="79"/>
      <c r="J363" s="79"/>
      <c r="P363" s="79"/>
      <c r="Q363" s="79"/>
      <c r="T363" s="79"/>
      <c r="U363" s="79"/>
      <c r="X363" s="130"/>
      <c r="Z363" s="106"/>
    </row>
    <row r="364">
      <c r="C364" s="79"/>
      <c r="D364" s="79"/>
      <c r="J364" s="79"/>
      <c r="P364" s="79"/>
      <c r="Q364" s="79"/>
      <c r="T364" s="79"/>
      <c r="U364" s="79"/>
      <c r="X364" s="130"/>
      <c r="Z364" s="106"/>
    </row>
    <row r="365">
      <c r="C365" s="79"/>
      <c r="D365" s="79"/>
      <c r="J365" s="79"/>
      <c r="P365" s="79"/>
      <c r="Q365" s="79"/>
      <c r="T365" s="79"/>
      <c r="U365" s="79"/>
      <c r="X365" s="130"/>
      <c r="Z365" s="106"/>
    </row>
    <row r="366">
      <c r="C366" s="79"/>
      <c r="D366" s="79"/>
      <c r="J366" s="79"/>
      <c r="P366" s="79"/>
      <c r="Q366" s="79"/>
      <c r="T366" s="79"/>
      <c r="U366" s="79"/>
      <c r="X366" s="130"/>
      <c r="Z366" s="106"/>
    </row>
    <row r="367">
      <c r="C367" s="79"/>
      <c r="D367" s="79"/>
      <c r="J367" s="79"/>
      <c r="P367" s="79"/>
      <c r="Q367" s="79"/>
      <c r="T367" s="79"/>
      <c r="U367" s="79"/>
      <c r="X367" s="130"/>
      <c r="Z367" s="106"/>
    </row>
    <row r="368">
      <c r="C368" s="79"/>
      <c r="D368" s="79"/>
      <c r="J368" s="79"/>
      <c r="P368" s="79"/>
      <c r="Q368" s="79"/>
      <c r="T368" s="79"/>
      <c r="U368" s="79"/>
      <c r="X368" s="130"/>
      <c r="Z368" s="106"/>
    </row>
    <row r="369">
      <c r="C369" s="79"/>
      <c r="D369" s="79"/>
      <c r="J369" s="79"/>
      <c r="P369" s="79"/>
      <c r="Q369" s="79"/>
      <c r="T369" s="79"/>
      <c r="U369" s="79"/>
      <c r="X369" s="130"/>
      <c r="Z369" s="106"/>
    </row>
    <row r="370">
      <c r="C370" s="79"/>
      <c r="D370" s="79"/>
      <c r="J370" s="79"/>
      <c r="P370" s="79"/>
      <c r="Q370" s="79"/>
      <c r="T370" s="79"/>
      <c r="U370" s="79"/>
      <c r="X370" s="130"/>
      <c r="Z370" s="106"/>
    </row>
    <row r="371">
      <c r="C371" s="79"/>
      <c r="D371" s="79"/>
      <c r="J371" s="79"/>
      <c r="P371" s="79"/>
      <c r="Q371" s="79"/>
      <c r="T371" s="79"/>
      <c r="U371" s="79"/>
      <c r="X371" s="130"/>
      <c r="Z371" s="106"/>
    </row>
    <row r="372">
      <c r="C372" s="79"/>
      <c r="D372" s="79"/>
      <c r="J372" s="79"/>
      <c r="P372" s="79"/>
      <c r="Q372" s="79"/>
      <c r="T372" s="79"/>
      <c r="U372" s="79"/>
      <c r="X372" s="130"/>
      <c r="Z372" s="106"/>
    </row>
    <row r="373">
      <c r="C373" s="79"/>
      <c r="D373" s="79"/>
      <c r="J373" s="79"/>
      <c r="P373" s="79"/>
      <c r="Q373" s="79"/>
      <c r="T373" s="79"/>
      <c r="U373" s="79"/>
      <c r="X373" s="130"/>
      <c r="Z373" s="106"/>
    </row>
    <row r="374">
      <c r="C374" s="79"/>
      <c r="D374" s="79"/>
      <c r="J374" s="79"/>
      <c r="P374" s="79"/>
      <c r="Q374" s="79"/>
      <c r="T374" s="79"/>
      <c r="U374" s="79"/>
      <c r="X374" s="130"/>
      <c r="Z374" s="106"/>
    </row>
    <row r="375">
      <c r="C375" s="79"/>
      <c r="D375" s="79"/>
      <c r="J375" s="79"/>
      <c r="P375" s="79"/>
      <c r="Q375" s="79"/>
      <c r="T375" s="79"/>
      <c r="U375" s="79"/>
      <c r="X375" s="130"/>
      <c r="Z375" s="106"/>
    </row>
    <row r="376">
      <c r="C376" s="79"/>
      <c r="D376" s="79"/>
      <c r="J376" s="79"/>
      <c r="P376" s="79"/>
      <c r="Q376" s="79"/>
      <c r="T376" s="79"/>
      <c r="U376" s="79"/>
      <c r="X376" s="130"/>
      <c r="Z376" s="106"/>
    </row>
    <row r="377">
      <c r="C377" s="79"/>
      <c r="D377" s="79"/>
      <c r="J377" s="79"/>
      <c r="P377" s="79"/>
      <c r="Q377" s="79"/>
      <c r="T377" s="79"/>
      <c r="U377" s="79"/>
      <c r="X377" s="130"/>
      <c r="Z377" s="106"/>
    </row>
    <row r="378">
      <c r="C378" s="79"/>
      <c r="D378" s="79"/>
      <c r="J378" s="79"/>
      <c r="P378" s="79"/>
      <c r="Q378" s="79"/>
      <c r="T378" s="79"/>
      <c r="U378" s="79"/>
      <c r="X378" s="130"/>
      <c r="Z378" s="106"/>
    </row>
    <row r="379">
      <c r="C379" s="79"/>
      <c r="D379" s="79"/>
      <c r="J379" s="79"/>
      <c r="P379" s="79"/>
      <c r="Q379" s="79"/>
      <c r="T379" s="79"/>
      <c r="U379" s="79"/>
      <c r="X379" s="130"/>
      <c r="Z379" s="106"/>
    </row>
    <row r="380">
      <c r="C380" s="79"/>
      <c r="D380" s="79"/>
      <c r="J380" s="79"/>
      <c r="P380" s="79"/>
      <c r="Q380" s="79"/>
      <c r="T380" s="79"/>
      <c r="U380" s="79"/>
      <c r="X380" s="130"/>
      <c r="Z380" s="106"/>
    </row>
    <row r="381">
      <c r="C381" s="79"/>
      <c r="D381" s="79"/>
      <c r="J381" s="79"/>
      <c r="P381" s="79"/>
      <c r="Q381" s="79"/>
      <c r="T381" s="79"/>
      <c r="U381" s="79"/>
      <c r="X381" s="130"/>
      <c r="Z381" s="106"/>
    </row>
    <row r="382">
      <c r="C382" s="79"/>
      <c r="D382" s="79"/>
      <c r="J382" s="79"/>
      <c r="P382" s="79"/>
      <c r="Q382" s="79"/>
      <c r="T382" s="79"/>
      <c r="U382" s="79"/>
      <c r="X382" s="130"/>
      <c r="Z382" s="106"/>
    </row>
    <row r="383">
      <c r="C383" s="79"/>
      <c r="D383" s="79"/>
      <c r="J383" s="79"/>
      <c r="P383" s="79"/>
      <c r="Q383" s="79"/>
      <c r="T383" s="79"/>
      <c r="U383" s="79"/>
      <c r="X383" s="130"/>
      <c r="Z383" s="106"/>
    </row>
    <row r="384">
      <c r="C384" s="79"/>
      <c r="D384" s="79"/>
      <c r="J384" s="79"/>
      <c r="P384" s="79"/>
      <c r="Q384" s="79"/>
      <c r="T384" s="79"/>
      <c r="U384" s="79"/>
      <c r="X384" s="130"/>
      <c r="Z384" s="106"/>
    </row>
    <row r="385">
      <c r="C385" s="79"/>
      <c r="D385" s="79"/>
      <c r="J385" s="79"/>
      <c r="P385" s="79"/>
      <c r="Q385" s="79"/>
      <c r="T385" s="79"/>
      <c r="U385" s="79"/>
      <c r="X385" s="130"/>
      <c r="Z385" s="106"/>
    </row>
    <row r="386">
      <c r="C386" s="79"/>
      <c r="D386" s="79"/>
      <c r="J386" s="79"/>
      <c r="P386" s="79"/>
      <c r="Q386" s="79"/>
      <c r="T386" s="79"/>
      <c r="U386" s="79"/>
      <c r="X386" s="130"/>
      <c r="Z386" s="106"/>
    </row>
    <row r="387">
      <c r="C387" s="79"/>
      <c r="D387" s="79"/>
      <c r="J387" s="79"/>
      <c r="P387" s="79"/>
      <c r="Q387" s="79"/>
      <c r="T387" s="79"/>
      <c r="U387" s="79"/>
      <c r="X387" s="130"/>
      <c r="Z387" s="106"/>
    </row>
    <row r="388">
      <c r="C388" s="79"/>
      <c r="D388" s="79"/>
      <c r="J388" s="79"/>
      <c r="P388" s="79"/>
      <c r="Q388" s="79"/>
      <c r="T388" s="79"/>
      <c r="U388" s="79"/>
      <c r="X388" s="130"/>
      <c r="Z388" s="106"/>
    </row>
    <row r="389">
      <c r="C389" s="79"/>
      <c r="D389" s="79"/>
      <c r="J389" s="79"/>
      <c r="P389" s="79"/>
      <c r="Q389" s="79"/>
      <c r="T389" s="79"/>
      <c r="U389" s="79"/>
      <c r="X389" s="130"/>
      <c r="Z389" s="106"/>
    </row>
    <row r="390">
      <c r="C390" s="79"/>
      <c r="D390" s="79"/>
      <c r="J390" s="79"/>
      <c r="P390" s="79"/>
      <c r="Q390" s="79"/>
      <c r="T390" s="79"/>
      <c r="U390" s="79"/>
      <c r="X390" s="130"/>
      <c r="Z390" s="106"/>
    </row>
    <row r="391">
      <c r="C391" s="79"/>
      <c r="D391" s="79"/>
      <c r="J391" s="79"/>
      <c r="P391" s="79"/>
      <c r="Q391" s="79"/>
      <c r="T391" s="79"/>
      <c r="U391" s="79"/>
      <c r="X391" s="130"/>
      <c r="Z391" s="106"/>
    </row>
    <row r="392">
      <c r="C392" s="79"/>
      <c r="D392" s="79"/>
      <c r="J392" s="79"/>
      <c r="P392" s="79"/>
      <c r="Q392" s="79"/>
      <c r="T392" s="79"/>
      <c r="U392" s="79"/>
      <c r="X392" s="130"/>
      <c r="Z392" s="106"/>
    </row>
    <row r="393">
      <c r="C393" s="79"/>
      <c r="D393" s="79"/>
      <c r="J393" s="79"/>
      <c r="P393" s="79"/>
      <c r="Q393" s="79"/>
      <c r="T393" s="79"/>
      <c r="U393" s="79"/>
      <c r="X393" s="130"/>
      <c r="Z393" s="106"/>
    </row>
    <row r="394">
      <c r="C394" s="79"/>
      <c r="D394" s="79"/>
      <c r="J394" s="79"/>
      <c r="P394" s="79"/>
      <c r="Q394" s="79"/>
      <c r="T394" s="79"/>
      <c r="U394" s="79"/>
      <c r="X394" s="130"/>
      <c r="Z394" s="106"/>
    </row>
    <row r="395">
      <c r="C395" s="79"/>
      <c r="D395" s="79"/>
      <c r="J395" s="79"/>
      <c r="P395" s="79"/>
      <c r="Q395" s="79"/>
      <c r="T395" s="79"/>
      <c r="U395" s="79"/>
      <c r="X395" s="130"/>
      <c r="Z395" s="106"/>
    </row>
    <row r="396">
      <c r="C396" s="79"/>
      <c r="D396" s="79"/>
      <c r="J396" s="79"/>
      <c r="P396" s="79"/>
      <c r="Q396" s="79"/>
      <c r="T396" s="79"/>
      <c r="U396" s="79"/>
      <c r="X396" s="130"/>
      <c r="Z396" s="106"/>
    </row>
    <row r="397">
      <c r="C397" s="79"/>
      <c r="D397" s="79"/>
      <c r="J397" s="79"/>
      <c r="P397" s="79"/>
      <c r="Q397" s="79"/>
      <c r="T397" s="79"/>
      <c r="U397" s="79"/>
      <c r="X397" s="130"/>
      <c r="Z397" s="106"/>
    </row>
    <row r="398">
      <c r="C398" s="79"/>
      <c r="D398" s="79"/>
      <c r="J398" s="79"/>
      <c r="P398" s="79"/>
      <c r="Q398" s="79"/>
      <c r="T398" s="79"/>
      <c r="U398" s="79"/>
      <c r="X398" s="130"/>
      <c r="Z398" s="106"/>
    </row>
    <row r="399">
      <c r="C399" s="79"/>
      <c r="D399" s="79"/>
      <c r="J399" s="79"/>
      <c r="P399" s="79"/>
      <c r="Q399" s="79"/>
      <c r="T399" s="79"/>
      <c r="U399" s="79"/>
      <c r="X399" s="130"/>
      <c r="Z399" s="106"/>
    </row>
    <row r="400">
      <c r="C400" s="79"/>
      <c r="D400" s="79"/>
      <c r="J400" s="79"/>
      <c r="P400" s="79"/>
      <c r="Q400" s="79"/>
      <c r="T400" s="79"/>
      <c r="U400" s="79"/>
      <c r="X400" s="130"/>
      <c r="Z400" s="106"/>
    </row>
    <row r="401">
      <c r="C401" s="79"/>
      <c r="D401" s="79"/>
      <c r="J401" s="79"/>
      <c r="P401" s="79"/>
      <c r="Q401" s="79"/>
      <c r="T401" s="79"/>
      <c r="U401" s="79"/>
      <c r="X401" s="130"/>
      <c r="Z401" s="106"/>
    </row>
    <row r="402">
      <c r="C402" s="79"/>
      <c r="D402" s="79"/>
      <c r="J402" s="79"/>
      <c r="P402" s="79"/>
      <c r="Q402" s="79"/>
      <c r="T402" s="79"/>
      <c r="U402" s="79"/>
      <c r="X402" s="130"/>
      <c r="Z402" s="106"/>
    </row>
    <row r="403">
      <c r="C403" s="79"/>
      <c r="D403" s="79"/>
      <c r="J403" s="79"/>
      <c r="P403" s="79"/>
      <c r="Q403" s="79"/>
      <c r="T403" s="79"/>
      <c r="U403" s="79"/>
      <c r="X403" s="130"/>
      <c r="Z403" s="106"/>
    </row>
    <row r="404">
      <c r="C404" s="79"/>
      <c r="D404" s="79"/>
      <c r="J404" s="79"/>
      <c r="P404" s="79"/>
      <c r="Q404" s="79"/>
      <c r="T404" s="79"/>
      <c r="U404" s="79"/>
      <c r="X404" s="130"/>
      <c r="Z404" s="106"/>
    </row>
    <row r="405">
      <c r="C405" s="79"/>
      <c r="D405" s="79"/>
      <c r="J405" s="79"/>
      <c r="P405" s="79"/>
      <c r="Q405" s="79"/>
      <c r="T405" s="79"/>
      <c r="U405" s="79"/>
      <c r="X405" s="130"/>
      <c r="Z405" s="106"/>
    </row>
    <row r="406">
      <c r="C406" s="79"/>
      <c r="D406" s="79"/>
      <c r="J406" s="79"/>
      <c r="P406" s="79"/>
      <c r="Q406" s="79"/>
      <c r="T406" s="79"/>
      <c r="U406" s="79"/>
      <c r="X406" s="130"/>
      <c r="Z406" s="106"/>
    </row>
    <row r="407">
      <c r="C407" s="79"/>
      <c r="D407" s="79"/>
      <c r="J407" s="79"/>
      <c r="P407" s="79"/>
      <c r="Q407" s="79"/>
      <c r="T407" s="79"/>
      <c r="U407" s="79"/>
      <c r="X407" s="130"/>
      <c r="Z407" s="106"/>
    </row>
    <row r="408">
      <c r="C408" s="79"/>
      <c r="D408" s="79"/>
      <c r="J408" s="79"/>
      <c r="P408" s="79"/>
      <c r="Q408" s="79"/>
      <c r="T408" s="79"/>
      <c r="U408" s="79"/>
      <c r="X408" s="130"/>
      <c r="Z408" s="106"/>
    </row>
    <row r="409">
      <c r="C409" s="79"/>
      <c r="D409" s="79"/>
      <c r="J409" s="79"/>
      <c r="P409" s="79"/>
      <c r="Q409" s="79"/>
      <c r="T409" s="79"/>
      <c r="U409" s="79"/>
      <c r="X409" s="130"/>
      <c r="Z409" s="106"/>
    </row>
    <row r="410">
      <c r="C410" s="79"/>
      <c r="D410" s="79"/>
      <c r="J410" s="79"/>
      <c r="P410" s="79"/>
      <c r="Q410" s="79"/>
      <c r="T410" s="79"/>
      <c r="U410" s="79"/>
      <c r="X410" s="130"/>
      <c r="Z410" s="106"/>
    </row>
    <row r="411">
      <c r="C411" s="79"/>
      <c r="D411" s="79"/>
      <c r="J411" s="79"/>
      <c r="P411" s="79"/>
      <c r="Q411" s="79"/>
      <c r="T411" s="79"/>
      <c r="U411" s="79"/>
      <c r="X411" s="130"/>
      <c r="Z411" s="106"/>
    </row>
    <row r="412">
      <c r="C412" s="79"/>
      <c r="D412" s="79"/>
      <c r="J412" s="79"/>
      <c r="P412" s="79"/>
      <c r="Q412" s="79"/>
      <c r="T412" s="79"/>
      <c r="U412" s="79"/>
      <c r="X412" s="130"/>
      <c r="Z412" s="106"/>
    </row>
    <row r="413">
      <c r="C413" s="79"/>
      <c r="D413" s="79"/>
      <c r="J413" s="79"/>
      <c r="P413" s="79"/>
      <c r="Q413" s="79"/>
      <c r="T413" s="79"/>
      <c r="U413" s="79"/>
      <c r="X413" s="130"/>
      <c r="Z413" s="106"/>
    </row>
    <row r="414">
      <c r="C414" s="79"/>
      <c r="D414" s="79"/>
      <c r="J414" s="79"/>
      <c r="P414" s="79"/>
      <c r="Q414" s="79"/>
      <c r="T414" s="79"/>
      <c r="U414" s="79"/>
      <c r="X414" s="130"/>
      <c r="Z414" s="106"/>
    </row>
    <row r="415">
      <c r="C415" s="79"/>
      <c r="D415" s="79"/>
      <c r="J415" s="79"/>
      <c r="P415" s="79"/>
      <c r="Q415" s="79"/>
      <c r="T415" s="79"/>
      <c r="U415" s="79"/>
      <c r="X415" s="130"/>
      <c r="Z415" s="106"/>
    </row>
    <row r="416">
      <c r="C416" s="79"/>
      <c r="D416" s="79"/>
      <c r="J416" s="79"/>
      <c r="P416" s="79"/>
      <c r="Q416" s="79"/>
      <c r="T416" s="79"/>
      <c r="U416" s="79"/>
      <c r="X416" s="130"/>
      <c r="Z416" s="106"/>
    </row>
    <row r="417">
      <c r="C417" s="79"/>
      <c r="D417" s="79"/>
      <c r="J417" s="79"/>
      <c r="P417" s="79"/>
      <c r="Q417" s="79"/>
      <c r="T417" s="79"/>
      <c r="U417" s="79"/>
      <c r="X417" s="130"/>
      <c r="Z417" s="106"/>
    </row>
    <row r="418">
      <c r="C418" s="79"/>
      <c r="D418" s="79"/>
      <c r="J418" s="79"/>
      <c r="P418" s="79"/>
      <c r="Q418" s="79"/>
      <c r="T418" s="79"/>
      <c r="U418" s="79"/>
      <c r="X418" s="130"/>
      <c r="Z418" s="106"/>
    </row>
    <row r="419">
      <c r="C419" s="79"/>
      <c r="D419" s="79"/>
      <c r="J419" s="79"/>
      <c r="P419" s="79"/>
      <c r="Q419" s="79"/>
      <c r="T419" s="79"/>
      <c r="U419" s="79"/>
      <c r="X419" s="130"/>
      <c r="Z419" s="106"/>
    </row>
    <row r="420">
      <c r="C420" s="79"/>
      <c r="D420" s="79"/>
      <c r="J420" s="79"/>
      <c r="P420" s="79"/>
      <c r="Q420" s="79"/>
      <c r="T420" s="79"/>
      <c r="U420" s="79"/>
      <c r="X420" s="130"/>
      <c r="Z420" s="106"/>
    </row>
    <row r="421">
      <c r="C421" s="79"/>
      <c r="D421" s="79"/>
      <c r="J421" s="79"/>
      <c r="P421" s="79"/>
      <c r="Q421" s="79"/>
      <c r="T421" s="79"/>
      <c r="U421" s="79"/>
      <c r="X421" s="130"/>
      <c r="Z421" s="106"/>
    </row>
    <row r="422">
      <c r="C422" s="79"/>
      <c r="D422" s="79"/>
      <c r="J422" s="79"/>
      <c r="P422" s="79"/>
      <c r="Q422" s="79"/>
      <c r="T422" s="79"/>
      <c r="U422" s="79"/>
      <c r="X422" s="130"/>
      <c r="Z422" s="106"/>
    </row>
    <row r="423">
      <c r="C423" s="79"/>
      <c r="D423" s="79"/>
      <c r="J423" s="79"/>
      <c r="P423" s="79"/>
      <c r="Q423" s="79"/>
      <c r="T423" s="79"/>
      <c r="U423" s="79"/>
      <c r="X423" s="130"/>
      <c r="Z423" s="106"/>
    </row>
    <row r="424">
      <c r="C424" s="79"/>
      <c r="D424" s="79"/>
      <c r="J424" s="79"/>
      <c r="P424" s="79"/>
      <c r="Q424" s="79"/>
      <c r="T424" s="79"/>
      <c r="U424" s="79"/>
      <c r="X424" s="130"/>
      <c r="Z424" s="106"/>
    </row>
    <row r="425">
      <c r="C425" s="79"/>
      <c r="D425" s="79"/>
      <c r="J425" s="79"/>
      <c r="P425" s="79"/>
      <c r="Q425" s="79"/>
      <c r="T425" s="79"/>
      <c r="U425" s="79"/>
      <c r="X425" s="130"/>
      <c r="Z425" s="106"/>
    </row>
    <row r="426">
      <c r="C426" s="79"/>
      <c r="D426" s="79"/>
      <c r="J426" s="79"/>
      <c r="P426" s="79"/>
      <c r="Q426" s="79"/>
      <c r="T426" s="79"/>
      <c r="U426" s="79"/>
      <c r="X426" s="130"/>
      <c r="Z426" s="106"/>
    </row>
    <row r="427">
      <c r="C427" s="79"/>
      <c r="D427" s="79"/>
      <c r="J427" s="79"/>
      <c r="P427" s="79"/>
      <c r="Q427" s="79"/>
      <c r="T427" s="79"/>
      <c r="U427" s="79"/>
      <c r="X427" s="130"/>
      <c r="Z427" s="106"/>
    </row>
    <row r="428">
      <c r="C428" s="79"/>
      <c r="D428" s="79"/>
      <c r="J428" s="79"/>
      <c r="P428" s="79"/>
      <c r="Q428" s="79"/>
      <c r="T428" s="79"/>
      <c r="U428" s="79"/>
      <c r="X428" s="130"/>
      <c r="Z428" s="106"/>
    </row>
    <row r="429">
      <c r="C429" s="79"/>
      <c r="D429" s="79"/>
      <c r="J429" s="79"/>
      <c r="P429" s="79"/>
      <c r="Q429" s="79"/>
      <c r="T429" s="79"/>
      <c r="U429" s="79"/>
      <c r="X429" s="130"/>
      <c r="Z429" s="106"/>
    </row>
    <row r="430">
      <c r="C430" s="79"/>
      <c r="D430" s="79"/>
      <c r="J430" s="79"/>
      <c r="P430" s="79"/>
      <c r="Q430" s="79"/>
      <c r="T430" s="79"/>
      <c r="U430" s="79"/>
      <c r="X430" s="130"/>
      <c r="Z430" s="106"/>
    </row>
    <row r="431">
      <c r="C431" s="79"/>
      <c r="D431" s="79"/>
      <c r="J431" s="79"/>
      <c r="P431" s="79"/>
      <c r="Q431" s="79"/>
      <c r="T431" s="79"/>
      <c r="U431" s="79"/>
      <c r="X431" s="130"/>
      <c r="Z431" s="106"/>
    </row>
    <row r="432">
      <c r="C432" s="79"/>
      <c r="D432" s="79"/>
      <c r="J432" s="79"/>
      <c r="P432" s="79"/>
      <c r="Q432" s="79"/>
      <c r="T432" s="79"/>
      <c r="U432" s="79"/>
      <c r="X432" s="130"/>
      <c r="Z432" s="106"/>
    </row>
    <row r="433">
      <c r="C433" s="79"/>
      <c r="D433" s="79"/>
      <c r="J433" s="79"/>
      <c r="P433" s="79"/>
      <c r="Q433" s="79"/>
      <c r="T433" s="79"/>
      <c r="U433" s="79"/>
      <c r="X433" s="130"/>
      <c r="Z433" s="106"/>
    </row>
    <row r="434">
      <c r="C434" s="79"/>
      <c r="D434" s="79"/>
      <c r="J434" s="79"/>
      <c r="P434" s="79"/>
      <c r="Q434" s="79"/>
      <c r="T434" s="79"/>
      <c r="U434" s="79"/>
      <c r="X434" s="130"/>
      <c r="Z434" s="106"/>
    </row>
    <row r="435">
      <c r="C435" s="79"/>
      <c r="D435" s="79"/>
      <c r="J435" s="79"/>
      <c r="P435" s="79"/>
      <c r="Q435" s="79"/>
      <c r="T435" s="79"/>
      <c r="U435" s="79"/>
      <c r="X435" s="130"/>
      <c r="Z435" s="106"/>
    </row>
    <row r="436">
      <c r="C436" s="79"/>
      <c r="D436" s="79"/>
      <c r="J436" s="79"/>
      <c r="P436" s="79"/>
      <c r="Q436" s="79"/>
      <c r="T436" s="79"/>
      <c r="U436" s="79"/>
      <c r="X436" s="130"/>
      <c r="Z436" s="106"/>
    </row>
    <row r="437">
      <c r="C437" s="79"/>
      <c r="D437" s="79"/>
      <c r="J437" s="79"/>
      <c r="P437" s="79"/>
      <c r="Q437" s="79"/>
      <c r="T437" s="79"/>
      <c r="U437" s="79"/>
      <c r="X437" s="130"/>
      <c r="Z437" s="106"/>
    </row>
    <row r="438">
      <c r="C438" s="79"/>
      <c r="D438" s="79"/>
      <c r="J438" s="79"/>
      <c r="P438" s="79"/>
      <c r="Q438" s="79"/>
      <c r="T438" s="79"/>
      <c r="U438" s="79"/>
      <c r="X438" s="130"/>
      <c r="Z438" s="106"/>
    </row>
    <row r="439">
      <c r="C439" s="79"/>
      <c r="D439" s="79"/>
      <c r="J439" s="79"/>
      <c r="P439" s="79"/>
      <c r="Q439" s="79"/>
      <c r="T439" s="79"/>
      <c r="U439" s="79"/>
      <c r="X439" s="130"/>
      <c r="Z439" s="106"/>
    </row>
    <row r="440">
      <c r="C440" s="79"/>
      <c r="D440" s="79"/>
      <c r="J440" s="79"/>
      <c r="P440" s="79"/>
      <c r="Q440" s="79"/>
      <c r="T440" s="79"/>
      <c r="U440" s="79"/>
      <c r="X440" s="130"/>
      <c r="Z440" s="106"/>
    </row>
    <row r="441">
      <c r="C441" s="79"/>
      <c r="D441" s="79"/>
      <c r="J441" s="79"/>
      <c r="P441" s="79"/>
      <c r="Q441" s="79"/>
      <c r="T441" s="79"/>
      <c r="U441" s="79"/>
      <c r="X441" s="130"/>
      <c r="Z441" s="106"/>
    </row>
    <row r="442">
      <c r="C442" s="79"/>
      <c r="D442" s="79"/>
      <c r="J442" s="79"/>
      <c r="P442" s="79"/>
      <c r="Q442" s="79"/>
      <c r="T442" s="79"/>
      <c r="U442" s="79"/>
      <c r="X442" s="130"/>
      <c r="Z442" s="106"/>
    </row>
    <row r="443">
      <c r="C443" s="79"/>
      <c r="D443" s="79"/>
      <c r="J443" s="79"/>
      <c r="P443" s="79"/>
      <c r="Q443" s="79"/>
      <c r="T443" s="79"/>
      <c r="U443" s="79"/>
      <c r="X443" s="130"/>
      <c r="Z443" s="106"/>
    </row>
    <row r="444">
      <c r="C444" s="79"/>
      <c r="D444" s="79"/>
      <c r="J444" s="79"/>
      <c r="P444" s="79"/>
      <c r="Q444" s="79"/>
      <c r="T444" s="79"/>
      <c r="U444" s="79"/>
      <c r="X444" s="130"/>
      <c r="Z444" s="106"/>
    </row>
    <row r="445">
      <c r="C445" s="79"/>
      <c r="D445" s="79"/>
      <c r="J445" s="79"/>
      <c r="P445" s="79"/>
      <c r="Q445" s="79"/>
      <c r="T445" s="79"/>
      <c r="U445" s="79"/>
      <c r="X445" s="130"/>
      <c r="Z445" s="106"/>
    </row>
    <row r="446">
      <c r="C446" s="79"/>
      <c r="D446" s="79"/>
      <c r="J446" s="79"/>
      <c r="P446" s="79"/>
      <c r="Q446" s="79"/>
      <c r="T446" s="79"/>
      <c r="U446" s="79"/>
      <c r="X446" s="130"/>
      <c r="Z446" s="106"/>
    </row>
    <row r="447">
      <c r="C447" s="79"/>
      <c r="D447" s="79"/>
      <c r="J447" s="79"/>
      <c r="P447" s="79"/>
      <c r="Q447" s="79"/>
      <c r="T447" s="79"/>
      <c r="U447" s="79"/>
      <c r="X447" s="130"/>
      <c r="Z447" s="106"/>
    </row>
    <row r="448">
      <c r="C448" s="79"/>
      <c r="D448" s="79"/>
      <c r="J448" s="79"/>
      <c r="P448" s="79"/>
      <c r="Q448" s="79"/>
      <c r="T448" s="79"/>
      <c r="U448" s="79"/>
      <c r="X448" s="130"/>
      <c r="Z448" s="106"/>
    </row>
    <row r="449">
      <c r="C449" s="79"/>
      <c r="D449" s="79"/>
      <c r="J449" s="79"/>
      <c r="P449" s="79"/>
      <c r="Q449" s="79"/>
      <c r="T449" s="79"/>
      <c r="U449" s="79"/>
      <c r="X449" s="130"/>
      <c r="Z449" s="106"/>
    </row>
    <row r="450">
      <c r="C450" s="79"/>
      <c r="D450" s="79"/>
      <c r="J450" s="79"/>
      <c r="P450" s="79"/>
      <c r="Q450" s="79"/>
      <c r="T450" s="79"/>
      <c r="U450" s="79"/>
      <c r="X450" s="130"/>
      <c r="Z450" s="106"/>
    </row>
    <row r="451">
      <c r="C451" s="79"/>
      <c r="D451" s="79"/>
      <c r="J451" s="79"/>
      <c r="P451" s="79"/>
      <c r="Q451" s="79"/>
      <c r="T451" s="79"/>
      <c r="U451" s="79"/>
      <c r="X451" s="130"/>
      <c r="Z451" s="106"/>
    </row>
    <row r="452">
      <c r="C452" s="79"/>
      <c r="D452" s="79"/>
      <c r="J452" s="79"/>
      <c r="P452" s="79"/>
      <c r="Q452" s="79"/>
      <c r="T452" s="79"/>
      <c r="U452" s="79"/>
      <c r="X452" s="130"/>
      <c r="Z452" s="106"/>
    </row>
    <row r="453">
      <c r="C453" s="79"/>
      <c r="D453" s="79"/>
      <c r="J453" s="79"/>
      <c r="P453" s="79"/>
      <c r="Q453" s="79"/>
      <c r="T453" s="79"/>
      <c r="U453" s="79"/>
      <c r="X453" s="130"/>
      <c r="Z453" s="106"/>
    </row>
    <row r="454">
      <c r="C454" s="79"/>
      <c r="D454" s="79"/>
      <c r="J454" s="79"/>
      <c r="P454" s="79"/>
      <c r="Q454" s="79"/>
      <c r="T454" s="79"/>
      <c r="U454" s="79"/>
      <c r="X454" s="130"/>
      <c r="Z454" s="106"/>
    </row>
    <row r="455">
      <c r="C455" s="79"/>
      <c r="D455" s="79"/>
      <c r="J455" s="79"/>
      <c r="P455" s="79"/>
      <c r="Q455" s="79"/>
      <c r="T455" s="79"/>
      <c r="U455" s="79"/>
      <c r="X455" s="130"/>
      <c r="Z455" s="106"/>
    </row>
    <row r="456">
      <c r="C456" s="79"/>
      <c r="D456" s="79"/>
      <c r="J456" s="79"/>
      <c r="P456" s="79"/>
      <c r="Q456" s="79"/>
      <c r="T456" s="79"/>
      <c r="U456" s="79"/>
      <c r="X456" s="130"/>
      <c r="Z456" s="106"/>
    </row>
    <row r="457">
      <c r="C457" s="79"/>
      <c r="D457" s="79"/>
      <c r="J457" s="79"/>
      <c r="P457" s="79"/>
      <c r="Q457" s="79"/>
      <c r="T457" s="79"/>
      <c r="U457" s="79"/>
      <c r="X457" s="130"/>
      <c r="Z457" s="106"/>
    </row>
    <row r="458">
      <c r="C458" s="79"/>
      <c r="D458" s="79"/>
      <c r="J458" s="79"/>
      <c r="P458" s="79"/>
      <c r="Q458" s="79"/>
      <c r="T458" s="79"/>
      <c r="U458" s="79"/>
      <c r="X458" s="130"/>
      <c r="Z458" s="106"/>
    </row>
    <row r="459">
      <c r="C459" s="79"/>
      <c r="D459" s="79"/>
      <c r="J459" s="79"/>
      <c r="P459" s="79"/>
      <c r="Q459" s="79"/>
      <c r="T459" s="79"/>
      <c r="U459" s="79"/>
      <c r="X459" s="130"/>
      <c r="Z459" s="106"/>
    </row>
    <row r="460">
      <c r="C460" s="79"/>
      <c r="D460" s="79"/>
      <c r="J460" s="79"/>
      <c r="P460" s="79"/>
      <c r="Q460" s="79"/>
      <c r="T460" s="79"/>
      <c r="U460" s="79"/>
      <c r="X460" s="130"/>
      <c r="Z460" s="106"/>
    </row>
    <row r="461">
      <c r="C461" s="79"/>
      <c r="D461" s="79"/>
      <c r="J461" s="79"/>
      <c r="P461" s="79"/>
      <c r="Q461" s="79"/>
      <c r="T461" s="79"/>
      <c r="U461" s="79"/>
      <c r="X461" s="130"/>
      <c r="Z461" s="106"/>
    </row>
    <row r="462">
      <c r="C462" s="79"/>
      <c r="D462" s="79"/>
      <c r="J462" s="79"/>
      <c r="P462" s="79"/>
      <c r="Q462" s="79"/>
      <c r="T462" s="79"/>
      <c r="U462" s="79"/>
      <c r="X462" s="130"/>
      <c r="Z462" s="106"/>
    </row>
    <row r="463">
      <c r="C463" s="79"/>
      <c r="D463" s="79"/>
      <c r="J463" s="79"/>
      <c r="P463" s="79"/>
      <c r="Q463" s="79"/>
      <c r="T463" s="79"/>
      <c r="U463" s="79"/>
      <c r="X463" s="130"/>
      <c r="Z463" s="106"/>
    </row>
    <row r="464">
      <c r="C464" s="79"/>
      <c r="D464" s="79"/>
      <c r="J464" s="79"/>
      <c r="P464" s="79"/>
      <c r="Q464" s="79"/>
      <c r="T464" s="79"/>
      <c r="U464" s="79"/>
      <c r="X464" s="130"/>
      <c r="Z464" s="106"/>
    </row>
    <row r="465">
      <c r="C465" s="79"/>
      <c r="D465" s="79"/>
      <c r="J465" s="79"/>
      <c r="P465" s="79"/>
      <c r="Q465" s="79"/>
      <c r="T465" s="79"/>
      <c r="U465" s="79"/>
      <c r="X465" s="130"/>
      <c r="Z465" s="106"/>
    </row>
    <row r="466">
      <c r="C466" s="79"/>
      <c r="D466" s="79"/>
      <c r="J466" s="79"/>
      <c r="P466" s="79"/>
      <c r="Q466" s="79"/>
      <c r="T466" s="79"/>
      <c r="U466" s="79"/>
      <c r="X466" s="130"/>
      <c r="Z466" s="106"/>
    </row>
    <row r="467">
      <c r="C467" s="79"/>
      <c r="D467" s="79"/>
      <c r="J467" s="79"/>
      <c r="P467" s="79"/>
      <c r="Q467" s="79"/>
      <c r="T467" s="79"/>
      <c r="U467" s="79"/>
      <c r="X467" s="130"/>
      <c r="Z467" s="106"/>
    </row>
    <row r="468">
      <c r="C468" s="79"/>
      <c r="D468" s="79"/>
      <c r="J468" s="79"/>
      <c r="P468" s="79"/>
      <c r="Q468" s="79"/>
      <c r="T468" s="79"/>
      <c r="U468" s="79"/>
      <c r="X468" s="130"/>
      <c r="Z468" s="106"/>
    </row>
    <row r="469">
      <c r="C469" s="79"/>
      <c r="D469" s="79"/>
      <c r="J469" s="79"/>
      <c r="P469" s="79"/>
      <c r="Q469" s="79"/>
      <c r="T469" s="79"/>
      <c r="U469" s="79"/>
      <c r="X469" s="130"/>
      <c r="Z469" s="106"/>
    </row>
    <row r="470">
      <c r="C470" s="79"/>
      <c r="D470" s="79"/>
      <c r="J470" s="79"/>
      <c r="P470" s="79"/>
      <c r="Q470" s="79"/>
      <c r="T470" s="79"/>
      <c r="U470" s="79"/>
      <c r="X470" s="130"/>
      <c r="Z470" s="106"/>
    </row>
    <row r="471">
      <c r="C471" s="79"/>
      <c r="D471" s="79"/>
      <c r="J471" s="79"/>
      <c r="P471" s="79"/>
      <c r="Q471" s="79"/>
      <c r="T471" s="79"/>
      <c r="U471" s="79"/>
      <c r="X471" s="130"/>
      <c r="Z471" s="106"/>
    </row>
    <row r="472">
      <c r="C472" s="79"/>
      <c r="D472" s="79"/>
      <c r="J472" s="79"/>
      <c r="P472" s="79"/>
      <c r="Q472" s="79"/>
      <c r="T472" s="79"/>
      <c r="U472" s="79"/>
      <c r="X472" s="130"/>
      <c r="Z472" s="106"/>
    </row>
    <row r="473">
      <c r="C473" s="79"/>
      <c r="D473" s="79"/>
      <c r="J473" s="79"/>
      <c r="P473" s="79"/>
      <c r="Q473" s="79"/>
      <c r="T473" s="79"/>
      <c r="U473" s="79"/>
      <c r="X473" s="130"/>
      <c r="Z473" s="106"/>
    </row>
    <row r="474">
      <c r="C474" s="79"/>
      <c r="D474" s="79"/>
      <c r="J474" s="79"/>
      <c r="P474" s="79"/>
      <c r="Q474" s="79"/>
      <c r="T474" s="79"/>
      <c r="U474" s="79"/>
      <c r="X474" s="130"/>
      <c r="Z474" s="106"/>
    </row>
    <row r="475">
      <c r="C475" s="79"/>
      <c r="D475" s="79"/>
      <c r="J475" s="79"/>
      <c r="P475" s="79"/>
      <c r="Q475" s="79"/>
      <c r="T475" s="79"/>
      <c r="U475" s="79"/>
      <c r="X475" s="130"/>
      <c r="Z475" s="106"/>
    </row>
    <row r="476">
      <c r="C476" s="79"/>
      <c r="D476" s="79"/>
      <c r="J476" s="79"/>
      <c r="P476" s="79"/>
      <c r="Q476" s="79"/>
      <c r="T476" s="79"/>
      <c r="U476" s="79"/>
      <c r="X476" s="130"/>
      <c r="Z476" s="106"/>
    </row>
    <row r="477">
      <c r="C477" s="79"/>
      <c r="D477" s="79"/>
      <c r="J477" s="79"/>
      <c r="P477" s="79"/>
      <c r="Q477" s="79"/>
      <c r="T477" s="79"/>
      <c r="U477" s="79"/>
      <c r="X477" s="130"/>
      <c r="Z477" s="106"/>
    </row>
    <row r="478">
      <c r="C478" s="79"/>
      <c r="D478" s="79"/>
      <c r="J478" s="79"/>
      <c r="P478" s="79"/>
      <c r="Q478" s="79"/>
      <c r="T478" s="79"/>
      <c r="U478" s="79"/>
      <c r="X478" s="130"/>
      <c r="Z478" s="106"/>
    </row>
    <row r="479">
      <c r="C479" s="79"/>
      <c r="D479" s="79"/>
      <c r="J479" s="79"/>
      <c r="P479" s="79"/>
      <c r="Q479" s="79"/>
      <c r="T479" s="79"/>
      <c r="U479" s="79"/>
      <c r="X479" s="130"/>
      <c r="Z479" s="106"/>
    </row>
    <row r="480">
      <c r="C480" s="79"/>
      <c r="D480" s="79"/>
      <c r="J480" s="79"/>
      <c r="P480" s="79"/>
      <c r="Q480" s="79"/>
      <c r="T480" s="79"/>
      <c r="U480" s="79"/>
      <c r="X480" s="130"/>
      <c r="Z480" s="106"/>
    </row>
    <row r="481">
      <c r="C481" s="79"/>
      <c r="D481" s="79"/>
      <c r="J481" s="79"/>
      <c r="P481" s="79"/>
      <c r="Q481" s="79"/>
      <c r="T481" s="79"/>
      <c r="U481" s="79"/>
      <c r="X481" s="130"/>
      <c r="Z481" s="106"/>
    </row>
    <row r="482">
      <c r="C482" s="79"/>
      <c r="D482" s="79"/>
      <c r="J482" s="79"/>
      <c r="P482" s="79"/>
      <c r="Q482" s="79"/>
      <c r="T482" s="79"/>
      <c r="U482" s="79"/>
      <c r="X482" s="130"/>
      <c r="Z482" s="106"/>
    </row>
    <row r="483">
      <c r="C483" s="79"/>
      <c r="D483" s="79"/>
      <c r="J483" s="79"/>
      <c r="P483" s="79"/>
      <c r="Q483" s="79"/>
      <c r="T483" s="79"/>
      <c r="U483" s="79"/>
      <c r="X483" s="130"/>
      <c r="Z483" s="106"/>
    </row>
    <row r="484">
      <c r="C484" s="79"/>
      <c r="D484" s="79"/>
      <c r="J484" s="79"/>
      <c r="P484" s="79"/>
      <c r="Q484" s="79"/>
      <c r="T484" s="79"/>
      <c r="U484" s="79"/>
      <c r="X484" s="130"/>
      <c r="Z484" s="106"/>
    </row>
    <row r="485">
      <c r="C485" s="79"/>
      <c r="D485" s="79"/>
      <c r="J485" s="79"/>
      <c r="P485" s="79"/>
      <c r="Q485" s="79"/>
      <c r="T485" s="79"/>
      <c r="U485" s="79"/>
      <c r="X485" s="130"/>
      <c r="Z485" s="106"/>
    </row>
    <row r="486">
      <c r="C486" s="79"/>
      <c r="D486" s="79"/>
      <c r="J486" s="79"/>
      <c r="P486" s="79"/>
      <c r="Q486" s="79"/>
      <c r="T486" s="79"/>
      <c r="U486" s="79"/>
      <c r="X486" s="130"/>
      <c r="Z486" s="106"/>
    </row>
    <row r="487">
      <c r="C487" s="79"/>
      <c r="D487" s="79"/>
      <c r="J487" s="79"/>
      <c r="P487" s="79"/>
      <c r="Q487" s="79"/>
      <c r="T487" s="79"/>
      <c r="U487" s="79"/>
      <c r="X487" s="130"/>
      <c r="Z487" s="106"/>
    </row>
    <row r="488">
      <c r="C488" s="79"/>
      <c r="D488" s="79"/>
      <c r="J488" s="79"/>
      <c r="P488" s="79"/>
      <c r="Q488" s="79"/>
      <c r="T488" s="79"/>
      <c r="U488" s="79"/>
      <c r="X488" s="130"/>
      <c r="Z488" s="106"/>
    </row>
    <row r="489">
      <c r="C489" s="79"/>
      <c r="D489" s="79"/>
      <c r="J489" s="79"/>
      <c r="P489" s="79"/>
      <c r="Q489" s="79"/>
      <c r="T489" s="79"/>
      <c r="U489" s="79"/>
      <c r="X489" s="130"/>
      <c r="Z489" s="106"/>
    </row>
    <row r="490">
      <c r="C490" s="79"/>
      <c r="D490" s="79"/>
      <c r="J490" s="79"/>
      <c r="P490" s="79"/>
      <c r="Q490" s="79"/>
      <c r="T490" s="79"/>
      <c r="U490" s="79"/>
      <c r="X490" s="130"/>
      <c r="Z490" s="106"/>
    </row>
    <row r="491">
      <c r="C491" s="79"/>
      <c r="D491" s="79"/>
      <c r="J491" s="79"/>
      <c r="P491" s="79"/>
      <c r="Q491" s="79"/>
      <c r="T491" s="79"/>
      <c r="U491" s="79"/>
      <c r="X491" s="130"/>
      <c r="Z491" s="106"/>
    </row>
    <row r="492">
      <c r="C492" s="79"/>
      <c r="D492" s="79"/>
      <c r="J492" s="79"/>
      <c r="P492" s="79"/>
      <c r="Q492" s="79"/>
      <c r="T492" s="79"/>
      <c r="U492" s="79"/>
      <c r="X492" s="130"/>
      <c r="Z492" s="106"/>
    </row>
    <row r="493">
      <c r="C493" s="79"/>
      <c r="D493" s="79"/>
      <c r="J493" s="79"/>
      <c r="P493" s="79"/>
      <c r="Q493" s="79"/>
      <c r="T493" s="79"/>
      <c r="U493" s="79"/>
      <c r="X493" s="130"/>
      <c r="Z493" s="106"/>
    </row>
    <row r="494">
      <c r="C494" s="79"/>
      <c r="D494" s="79"/>
      <c r="J494" s="79"/>
      <c r="P494" s="79"/>
      <c r="Q494" s="79"/>
      <c r="T494" s="79"/>
      <c r="U494" s="79"/>
      <c r="X494" s="130"/>
      <c r="Z494" s="106"/>
    </row>
    <row r="495">
      <c r="C495" s="79"/>
      <c r="D495" s="79"/>
      <c r="J495" s="79"/>
      <c r="P495" s="79"/>
      <c r="Q495" s="79"/>
      <c r="T495" s="79"/>
      <c r="U495" s="79"/>
      <c r="X495" s="130"/>
      <c r="Z495" s="106"/>
    </row>
    <row r="496">
      <c r="C496" s="79"/>
      <c r="D496" s="79"/>
      <c r="J496" s="79"/>
      <c r="P496" s="79"/>
      <c r="Q496" s="79"/>
      <c r="T496" s="79"/>
      <c r="U496" s="79"/>
      <c r="X496" s="130"/>
      <c r="Z496" s="106"/>
    </row>
    <row r="497">
      <c r="C497" s="79"/>
      <c r="D497" s="79"/>
      <c r="J497" s="79"/>
      <c r="P497" s="79"/>
      <c r="Q497" s="79"/>
      <c r="T497" s="79"/>
      <c r="U497" s="79"/>
      <c r="X497" s="130"/>
      <c r="Z497" s="106"/>
    </row>
    <row r="498">
      <c r="C498" s="79"/>
      <c r="D498" s="79"/>
      <c r="J498" s="79"/>
      <c r="P498" s="79"/>
      <c r="Q498" s="79"/>
      <c r="T498" s="79"/>
      <c r="U498" s="79"/>
      <c r="X498" s="130"/>
      <c r="Z498" s="106"/>
    </row>
    <row r="499">
      <c r="C499" s="79"/>
      <c r="D499" s="79"/>
      <c r="J499" s="79"/>
      <c r="P499" s="79"/>
      <c r="Q499" s="79"/>
      <c r="T499" s="79"/>
      <c r="U499" s="79"/>
      <c r="X499" s="130"/>
      <c r="Z499" s="106"/>
    </row>
    <row r="500">
      <c r="C500" s="79"/>
      <c r="D500" s="79"/>
      <c r="J500" s="79"/>
      <c r="P500" s="79"/>
      <c r="Q500" s="79"/>
      <c r="T500" s="79"/>
      <c r="U500" s="79"/>
      <c r="X500" s="130"/>
      <c r="Z500" s="106"/>
    </row>
    <row r="501">
      <c r="C501" s="79"/>
      <c r="D501" s="79"/>
      <c r="J501" s="79"/>
      <c r="P501" s="79"/>
      <c r="Q501" s="79"/>
      <c r="T501" s="79"/>
      <c r="U501" s="79"/>
      <c r="X501" s="130"/>
      <c r="Z501" s="106"/>
    </row>
    <row r="502">
      <c r="C502" s="79"/>
      <c r="D502" s="79"/>
      <c r="J502" s="79"/>
      <c r="P502" s="79"/>
      <c r="Q502" s="79"/>
      <c r="T502" s="79"/>
      <c r="U502" s="79"/>
      <c r="X502" s="130"/>
      <c r="Z502" s="106"/>
    </row>
    <row r="503">
      <c r="C503" s="79"/>
      <c r="D503" s="79"/>
      <c r="J503" s="79"/>
      <c r="P503" s="79"/>
      <c r="Q503" s="79"/>
      <c r="T503" s="79"/>
      <c r="U503" s="79"/>
      <c r="X503" s="130"/>
      <c r="Z503" s="106"/>
    </row>
    <row r="504">
      <c r="C504" s="79"/>
      <c r="D504" s="79"/>
      <c r="J504" s="79"/>
      <c r="P504" s="79"/>
      <c r="Q504" s="79"/>
      <c r="T504" s="79"/>
      <c r="U504" s="79"/>
      <c r="X504" s="130"/>
      <c r="Z504" s="106"/>
    </row>
    <row r="505">
      <c r="C505" s="79"/>
      <c r="D505" s="79"/>
      <c r="J505" s="79"/>
      <c r="P505" s="79"/>
      <c r="Q505" s="79"/>
      <c r="T505" s="79"/>
      <c r="U505" s="79"/>
      <c r="X505" s="130"/>
      <c r="Z505" s="106"/>
    </row>
    <row r="506">
      <c r="C506" s="79"/>
      <c r="D506" s="79"/>
      <c r="J506" s="79"/>
      <c r="P506" s="79"/>
      <c r="Q506" s="79"/>
      <c r="T506" s="79"/>
      <c r="U506" s="79"/>
      <c r="X506" s="130"/>
      <c r="Z506" s="106"/>
    </row>
    <row r="507">
      <c r="C507" s="79"/>
      <c r="D507" s="79"/>
      <c r="J507" s="79"/>
      <c r="P507" s="79"/>
      <c r="Q507" s="79"/>
      <c r="T507" s="79"/>
      <c r="U507" s="79"/>
      <c r="X507" s="130"/>
      <c r="Z507" s="106"/>
    </row>
    <row r="508">
      <c r="C508" s="79"/>
      <c r="D508" s="79"/>
      <c r="J508" s="79"/>
      <c r="P508" s="79"/>
      <c r="Q508" s="79"/>
      <c r="T508" s="79"/>
      <c r="U508" s="79"/>
      <c r="X508" s="130"/>
      <c r="Z508" s="106"/>
    </row>
    <row r="509">
      <c r="C509" s="79"/>
      <c r="D509" s="79"/>
      <c r="J509" s="79"/>
      <c r="P509" s="79"/>
      <c r="Q509" s="79"/>
      <c r="T509" s="79"/>
      <c r="U509" s="79"/>
      <c r="X509" s="130"/>
      <c r="Z509" s="106"/>
    </row>
    <row r="510">
      <c r="C510" s="79"/>
      <c r="D510" s="79"/>
      <c r="J510" s="79"/>
      <c r="P510" s="79"/>
      <c r="Q510" s="79"/>
      <c r="T510" s="79"/>
      <c r="U510" s="79"/>
      <c r="X510" s="130"/>
      <c r="Z510" s="106"/>
    </row>
    <row r="511">
      <c r="C511" s="79"/>
      <c r="D511" s="79"/>
      <c r="J511" s="79"/>
      <c r="P511" s="79"/>
      <c r="Q511" s="79"/>
      <c r="T511" s="79"/>
      <c r="U511" s="79"/>
      <c r="X511" s="130"/>
      <c r="Z511" s="106"/>
    </row>
    <row r="512">
      <c r="C512" s="79"/>
      <c r="D512" s="79"/>
      <c r="J512" s="79"/>
      <c r="P512" s="79"/>
      <c r="Q512" s="79"/>
      <c r="T512" s="79"/>
      <c r="U512" s="79"/>
      <c r="X512" s="130"/>
      <c r="Z512" s="106"/>
    </row>
    <row r="513">
      <c r="C513" s="79"/>
      <c r="D513" s="79"/>
      <c r="J513" s="79"/>
      <c r="P513" s="79"/>
      <c r="Q513" s="79"/>
      <c r="T513" s="79"/>
      <c r="U513" s="79"/>
      <c r="X513" s="130"/>
      <c r="Z513" s="106"/>
    </row>
    <row r="514">
      <c r="C514" s="79"/>
      <c r="D514" s="79"/>
      <c r="J514" s="79"/>
      <c r="P514" s="79"/>
      <c r="Q514" s="79"/>
      <c r="T514" s="79"/>
      <c r="U514" s="79"/>
      <c r="X514" s="130"/>
      <c r="Z514" s="106"/>
    </row>
    <row r="515">
      <c r="C515" s="79"/>
      <c r="D515" s="79"/>
      <c r="J515" s="79"/>
      <c r="P515" s="79"/>
      <c r="Q515" s="79"/>
      <c r="T515" s="79"/>
      <c r="U515" s="79"/>
      <c r="X515" s="130"/>
      <c r="Z515" s="106"/>
    </row>
    <row r="516">
      <c r="C516" s="79"/>
      <c r="D516" s="79"/>
      <c r="J516" s="79"/>
      <c r="P516" s="79"/>
      <c r="Q516" s="79"/>
      <c r="T516" s="79"/>
      <c r="U516" s="79"/>
      <c r="X516" s="130"/>
      <c r="Z516" s="106"/>
    </row>
    <row r="517">
      <c r="C517" s="79"/>
      <c r="D517" s="79"/>
      <c r="J517" s="79"/>
      <c r="P517" s="79"/>
      <c r="Q517" s="79"/>
      <c r="T517" s="79"/>
      <c r="U517" s="79"/>
      <c r="X517" s="130"/>
      <c r="Z517" s="106"/>
    </row>
    <row r="518">
      <c r="C518" s="79"/>
      <c r="D518" s="79"/>
      <c r="J518" s="79"/>
      <c r="P518" s="79"/>
      <c r="Q518" s="79"/>
      <c r="T518" s="79"/>
      <c r="U518" s="79"/>
      <c r="X518" s="130"/>
      <c r="Z518" s="106"/>
    </row>
    <row r="519">
      <c r="C519" s="79"/>
      <c r="D519" s="79"/>
      <c r="J519" s="79"/>
      <c r="P519" s="79"/>
      <c r="Q519" s="79"/>
      <c r="T519" s="79"/>
      <c r="U519" s="79"/>
      <c r="X519" s="130"/>
      <c r="Z519" s="106"/>
    </row>
    <row r="520">
      <c r="C520" s="79"/>
      <c r="D520" s="79"/>
      <c r="J520" s="79"/>
      <c r="P520" s="79"/>
      <c r="Q520" s="79"/>
      <c r="T520" s="79"/>
      <c r="U520" s="79"/>
      <c r="X520" s="130"/>
      <c r="Z520" s="106"/>
    </row>
    <row r="521">
      <c r="C521" s="79"/>
      <c r="D521" s="79"/>
      <c r="J521" s="79"/>
      <c r="P521" s="79"/>
      <c r="Q521" s="79"/>
      <c r="T521" s="79"/>
      <c r="U521" s="79"/>
      <c r="X521" s="130"/>
      <c r="Z521" s="106"/>
    </row>
    <row r="522">
      <c r="C522" s="79"/>
      <c r="D522" s="79"/>
      <c r="J522" s="79"/>
      <c r="P522" s="79"/>
      <c r="Q522" s="79"/>
      <c r="T522" s="79"/>
      <c r="U522" s="79"/>
      <c r="X522" s="130"/>
      <c r="Z522" s="106"/>
    </row>
    <row r="523">
      <c r="C523" s="79"/>
      <c r="D523" s="79"/>
      <c r="J523" s="79"/>
      <c r="P523" s="79"/>
      <c r="Q523" s="79"/>
      <c r="T523" s="79"/>
      <c r="U523" s="79"/>
      <c r="X523" s="130"/>
      <c r="Z523" s="106"/>
    </row>
    <row r="524">
      <c r="C524" s="79"/>
      <c r="D524" s="79"/>
      <c r="J524" s="79"/>
      <c r="P524" s="79"/>
      <c r="Q524" s="79"/>
      <c r="T524" s="79"/>
      <c r="U524" s="79"/>
      <c r="X524" s="130"/>
      <c r="Z524" s="106"/>
    </row>
    <row r="525">
      <c r="C525" s="79"/>
      <c r="D525" s="79"/>
      <c r="J525" s="79"/>
      <c r="P525" s="79"/>
      <c r="Q525" s="79"/>
      <c r="T525" s="79"/>
      <c r="U525" s="79"/>
      <c r="X525" s="130"/>
      <c r="Z525" s="106"/>
    </row>
    <row r="526">
      <c r="C526" s="79"/>
      <c r="D526" s="79"/>
      <c r="J526" s="79"/>
      <c r="P526" s="79"/>
      <c r="Q526" s="79"/>
      <c r="T526" s="79"/>
      <c r="U526" s="79"/>
      <c r="X526" s="130"/>
      <c r="Z526" s="106"/>
    </row>
    <row r="527">
      <c r="C527" s="79"/>
      <c r="D527" s="79"/>
      <c r="J527" s="79"/>
      <c r="P527" s="79"/>
      <c r="Q527" s="79"/>
      <c r="T527" s="79"/>
      <c r="U527" s="79"/>
      <c r="X527" s="130"/>
      <c r="Z527" s="106"/>
    </row>
    <row r="528">
      <c r="C528" s="79"/>
      <c r="D528" s="79"/>
      <c r="J528" s="79"/>
      <c r="P528" s="79"/>
      <c r="Q528" s="79"/>
      <c r="T528" s="79"/>
      <c r="U528" s="79"/>
      <c r="X528" s="130"/>
      <c r="Z528" s="106"/>
    </row>
    <row r="529">
      <c r="C529" s="79"/>
      <c r="D529" s="79"/>
      <c r="J529" s="79"/>
      <c r="P529" s="79"/>
      <c r="Q529" s="79"/>
      <c r="T529" s="79"/>
      <c r="U529" s="79"/>
      <c r="X529" s="130"/>
      <c r="Z529" s="106"/>
    </row>
    <row r="530">
      <c r="C530" s="79"/>
      <c r="D530" s="79"/>
      <c r="J530" s="79"/>
      <c r="P530" s="79"/>
      <c r="Q530" s="79"/>
      <c r="T530" s="79"/>
      <c r="U530" s="79"/>
      <c r="X530" s="130"/>
      <c r="Z530" s="106"/>
    </row>
    <row r="531">
      <c r="C531" s="79"/>
      <c r="D531" s="79"/>
      <c r="J531" s="79"/>
      <c r="P531" s="79"/>
      <c r="Q531" s="79"/>
      <c r="T531" s="79"/>
      <c r="U531" s="79"/>
      <c r="X531" s="130"/>
      <c r="Z531" s="106"/>
    </row>
    <row r="532">
      <c r="C532" s="79"/>
      <c r="D532" s="79"/>
      <c r="J532" s="79"/>
      <c r="P532" s="79"/>
      <c r="Q532" s="79"/>
      <c r="T532" s="79"/>
      <c r="U532" s="79"/>
      <c r="X532" s="130"/>
      <c r="Z532" s="106"/>
    </row>
    <row r="533">
      <c r="C533" s="79"/>
      <c r="D533" s="79"/>
      <c r="J533" s="79"/>
      <c r="P533" s="79"/>
      <c r="Q533" s="79"/>
      <c r="T533" s="79"/>
      <c r="U533" s="79"/>
      <c r="X533" s="130"/>
      <c r="Z533" s="106"/>
    </row>
    <row r="534">
      <c r="C534" s="79"/>
      <c r="D534" s="79"/>
      <c r="J534" s="79"/>
      <c r="P534" s="79"/>
      <c r="Q534" s="79"/>
      <c r="T534" s="79"/>
      <c r="U534" s="79"/>
      <c r="X534" s="130"/>
      <c r="Z534" s="106"/>
    </row>
    <row r="535">
      <c r="C535" s="79"/>
      <c r="D535" s="79"/>
      <c r="J535" s="79"/>
      <c r="P535" s="79"/>
      <c r="Q535" s="79"/>
      <c r="T535" s="79"/>
      <c r="U535" s="79"/>
      <c r="X535" s="130"/>
      <c r="Z535" s="106"/>
    </row>
    <row r="536">
      <c r="C536" s="79"/>
      <c r="D536" s="79"/>
      <c r="J536" s="79"/>
      <c r="P536" s="79"/>
      <c r="Q536" s="79"/>
      <c r="T536" s="79"/>
      <c r="U536" s="79"/>
      <c r="X536" s="130"/>
      <c r="Z536" s="106"/>
    </row>
    <row r="537">
      <c r="C537" s="79"/>
      <c r="D537" s="79"/>
      <c r="J537" s="79"/>
      <c r="P537" s="79"/>
      <c r="Q537" s="79"/>
      <c r="T537" s="79"/>
      <c r="U537" s="79"/>
      <c r="X537" s="130"/>
      <c r="Z537" s="106"/>
    </row>
    <row r="538">
      <c r="C538" s="79"/>
      <c r="D538" s="79"/>
      <c r="J538" s="79"/>
      <c r="P538" s="79"/>
      <c r="Q538" s="79"/>
      <c r="T538" s="79"/>
      <c r="U538" s="79"/>
      <c r="X538" s="130"/>
      <c r="Z538" s="106"/>
    </row>
    <row r="539">
      <c r="C539" s="79"/>
      <c r="D539" s="79"/>
      <c r="J539" s="79"/>
      <c r="P539" s="79"/>
      <c r="Q539" s="79"/>
      <c r="T539" s="79"/>
      <c r="U539" s="79"/>
      <c r="X539" s="130"/>
      <c r="Z539" s="106"/>
    </row>
    <row r="540">
      <c r="C540" s="79"/>
      <c r="D540" s="79"/>
      <c r="J540" s="79"/>
      <c r="P540" s="79"/>
      <c r="Q540" s="79"/>
      <c r="T540" s="79"/>
      <c r="U540" s="79"/>
      <c r="X540" s="130"/>
      <c r="Z540" s="106"/>
    </row>
    <row r="541">
      <c r="C541" s="79"/>
      <c r="D541" s="79"/>
      <c r="J541" s="79"/>
      <c r="P541" s="79"/>
      <c r="Q541" s="79"/>
      <c r="T541" s="79"/>
      <c r="U541" s="79"/>
      <c r="X541" s="130"/>
      <c r="Z541" s="106"/>
    </row>
    <row r="542">
      <c r="C542" s="79"/>
      <c r="D542" s="79"/>
      <c r="J542" s="79"/>
      <c r="P542" s="79"/>
      <c r="Q542" s="79"/>
      <c r="T542" s="79"/>
      <c r="U542" s="79"/>
      <c r="X542" s="130"/>
      <c r="Z542" s="106"/>
    </row>
    <row r="543">
      <c r="C543" s="79"/>
      <c r="D543" s="79"/>
      <c r="J543" s="79"/>
      <c r="P543" s="79"/>
      <c r="Q543" s="79"/>
      <c r="T543" s="79"/>
      <c r="U543" s="79"/>
      <c r="X543" s="130"/>
      <c r="Z543" s="106"/>
    </row>
    <row r="544">
      <c r="C544" s="79"/>
      <c r="D544" s="79"/>
      <c r="J544" s="79"/>
      <c r="P544" s="79"/>
      <c r="Q544" s="79"/>
      <c r="T544" s="79"/>
      <c r="U544" s="79"/>
      <c r="X544" s="130"/>
      <c r="Z544" s="106"/>
    </row>
    <row r="545">
      <c r="C545" s="79"/>
      <c r="D545" s="79"/>
      <c r="J545" s="79"/>
      <c r="P545" s="79"/>
      <c r="Q545" s="79"/>
      <c r="T545" s="79"/>
      <c r="U545" s="79"/>
      <c r="X545" s="130"/>
      <c r="Z545" s="106"/>
    </row>
    <row r="546">
      <c r="C546" s="79"/>
      <c r="D546" s="79"/>
      <c r="J546" s="79"/>
      <c r="P546" s="79"/>
      <c r="Q546" s="79"/>
      <c r="T546" s="79"/>
      <c r="U546" s="79"/>
      <c r="X546" s="130"/>
      <c r="Z546" s="106"/>
    </row>
    <row r="547">
      <c r="C547" s="79"/>
      <c r="D547" s="79"/>
      <c r="J547" s="79"/>
      <c r="P547" s="79"/>
      <c r="Q547" s="79"/>
      <c r="T547" s="79"/>
      <c r="U547" s="79"/>
      <c r="X547" s="130"/>
      <c r="Z547" s="106"/>
    </row>
    <row r="548">
      <c r="C548" s="79"/>
      <c r="D548" s="79"/>
      <c r="J548" s="79"/>
      <c r="P548" s="79"/>
      <c r="Q548" s="79"/>
      <c r="T548" s="79"/>
      <c r="U548" s="79"/>
      <c r="X548" s="130"/>
      <c r="Z548" s="106"/>
    </row>
    <row r="549">
      <c r="C549" s="79"/>
      <c r="D549" s="79"/>
      <c r="J549" s="79"/>
      <c r="P549" s="79"/>
      <c r="Q549" s="79"/>
      <c r="T549" s="79"/>
      <c r="U549" s="79"/>
      <c r="X549" s="130"/>
      <c r="Z549" s="106"/>
    </row>
    <row r="550">
      <c r="C550" s="79"/>
      <c r="D550" s="79"/>
      <c r="J550" s="79"/>
      <c r="P550" s="79"/>
      <c r="Q550" s="79"/>
      <c r="T550" s="79"/>
      <c r="U550" s="79"/>
      <c r="X550" s="130"/>
      <c r="Z550" s="106"/>
    </row>
    <row r="551">
      <c r="C551" s="79"/>
      <c r="D551" s="79"/>
      <c r="J551" s="79"/>
      <c r="P551" s="79"/>
      <c r="Q551" s="79"/>
      <c r="T551" s="79"/>
      <c r="U551" s="79"/>
      <c r="X551" s="130"/>
      <c r="Z551" s="106"/>
    </row>
    <row r="552">
      <c r="C552" s="79"/>
      <c r="D552" s="79"/>
      <c r="J552" s="79"/>
      <c r="P552" s="79"/>
      <c r="Q552" s="79"/>
      <c r="T552" s="79"/>
      <c r="U552" s="79"/>
      <c r="X552" s="130"/>
      <c r="Z552" s="106"/>
    </row>
    <row r="553">
      <c r="C553" s="79"/>
      <c r="D553" s="79"/>
      <c r="J553" s="79"/>
      <c r="P553" s="79"/>
      <c r="Q553" s="79"/>
      <c r="T553" s="79"/>
      <c r="U553" s="79"/>
      <c r="X553" s="130"/>
      <c r="Z553" s="106"/>
    </row>
    <row r="554">
      <c r="C554" s="79"/>
      <c r="D554" s="79"/>
      <c r="J554" s="79"/>
      <c r="P554" s="79"/>
      <c r="Q554" s="79"/>
      <c r="T554" s="79"/>
      <c r="U554" s="79"/>
      <c r="X554" s="130"/>
      <c r="Z554" s="106"/>
    </row>
    <row r="555">
      <c r="C555" s="79"/>
      <c r="D555" s="79"/>
      <c r="J555" s="79"/>
      <c r="P555" s="79"/>
      <c r="Q555" s="79"/>
      <c r="T555" s="79"/>
      <c r="U555" s="79"/>
      <c r="X555" s="130"/>
      <c r="Z555" s="106"/>
    </row>
    <row r="556">
      <c r="C556" s="79"/>
      <c r="D556" s="79"/>
      <c r="J556" s="79"/>
      <c r="P556" s="79"/>
      <c r="Q556" s="79"/>
      <c r="T556" s="79"/>
      <c r="U556" s="79"/>
      <c r="X556" s="130"/>
      <c r="Z556" s="106"/>
    </row>
    <row r="557">
      <c r="C557" s="79"/>
      <c r="D557" s="79"/>
      <c r="J557" s="79"/>
      <c r="P557" s="79"/>
      <c r="Q557" s="79"/>
      <c r="T557" s="79"/>
      <c r="U557" s="79"/>
      <c r="X557" s="130"/>
      <c r="Z557" s="106"/>
    </row>
    <row r="558">
      <c r="C558" s="79"/>
      <c r="D558" s="79"/>
      <c r="J558" s="79"/>
      <c r="P558" s="79"/>
      <c r="Q558" s="79"/>
      <c r="T558" s="79"/>
      <c r="U558" s="79"/>
      <c r="X558" s="130"/>
      <c r="Z558" s="106"/>
    </row>
    <row r="559">
      <c r="C559" s="79"/>
      <c r="D559" s="79"/>
      <c r="J559" s="79"/>
      <c r="P559" s="79"/>
      <c r="Q559" s="79"/>
      <c r="T559" s="79"/>
      <c r="U559" s="79"/>
      <c r="X559" s="130"/>
      <c r="Z559" s="106"/>
    </row>
    <row r="560">
      <c r="C560" s="79"/>
      <c r="D560" s="79"/>
      <c r="J560" s="79"/>
      <c r="P560" s="79"/>
      <c r="Q560" s="79"/>
      <c r="T560" s="79"/>
      <c r="U560" s="79"/>
      <c r="X560" s="130"/>
      <c r="Z560" s="106"/>
    </row>
    <row r="561">
      <c r="C561" s="79"/>
      <c r="D561" s="79"/>
      <c r="J561" s="79"/>
      <c r="P561" s="79"/>
      <c r="Q561" s="79"/>
      <c r="T561" s="79"/>
      <c r="U561" s="79"/>
      <c r="X561" s="130"/>
      <c r="Z561" s="106"/>
    </row>
    <row r="562">
      <c r="C562" s="79"/>
      <c r="D562" s="79"/>
      <c r="J562" s="79"/>
      <c r="P562" s="79"/>
      <c r="Q562" s="79"/>
      <c r="T562" s="79"/>
      <c r="U562" s="79"/>
      <c r="X562" s="130"/>
      <c r="Z562" s="106"/>
    </row>
    <row r="563">
      <c r="C563" s="79"/>
      <c r="D563" s="79"/>
      <c r="J563" s="79"/>
      <c r="P563" s="79"/>
      <c r="Q563" s="79"/>
      <c r="T563" s="79"/>
      <c r="U563" s="79"/>
      <c r="X563" s="130"/>
      <c r="Z563" s="106"/>
    </row>
    <row r="564">
      <c r="C564" s="79"/>
      <c r="D564" s="79"/>
      <c r="J564" s="79"/>
      <c r="P564" s="79"/>
      <c r="Q564" s="79"/>
      <c r="T564" s="79"/>
      <c r="U564" s="79"/>
      <c r="X564" s="130"/>
      <c r="Z564" s="106"/>
    </row>
    <row r="565">
      <c r="C565" s="79"/>
      <c r="D565" s="79"/>
      <c r="J565" s="79"/>
      <c r="P565" s="79"/>
      <c r="Q565" s="79"/>
      <c r="T565" s="79"/>
      <c r="U565" s="79"/>
      <c r="X565" s="130"/>
      <c r="Z565" s="106"/>
    </row>
    <row r="566">
      <c r="C566" s="79"/>
      <c r="D566" s="79"/>
      <c r="J566" s="79"/>
      <c r="P566" s="79"/>
      <c r="Q566" s="79"/>
      <c r="T566" s="79"/>
      <c r="U566" s="79"/>
      <c r="X566" s="130"/>
      <c r="Z566" s="106"/>
    </row>
    <row r="567">
      <c r="C567" s="79"/>
      <c r="D567" s="79"/>
      <c r="J567" s="79"/>
      <c r="P567" s="79"/>
      <c r="Q567" s="79"/>
      <c r="T567" s="79"/>
      <c r="U567" s="79"/>
      <c r="X567" s="130"/>
      <c r="Z567" s="106"/>
    </row>
    <row r="568">
      <c r="C568" s="79"/>
      <c r="D568" s="79"/>
      <c r="J568" s="79"/>
      <c r="P568" s="79"/>
      <c r="Q568" s="79"/>
      <c r="T568" s="79"/>
      <c r="U568" s="79"/>
      <c r="X568" s="130"/>
      <c r="Z568" s="106"/>
    </row>
    <row r="569">
      <c r="C569" s="79"/>
      <c r="D569" s="79"/>
      <c r="J569" s="79"/>
      <c r="P569" s="79"/>
      <c r="Q569" s="79"/>
      <c r="T569" s="79"/>
      <c r="U569" s="79"/>
      <c r="X569" s="130"/>
      <c r="Z569" s="106"/>
    </row>
    <row r="570">
      <c r="C570" s="79"/>
      <c r="D570" s="79"/>
      <c r="J570" s="79"/>
      <c r="P570" s="79"/>
      <c r="Q570" s="79"/>
      <c r="T570" s="79"/>
      <c r="U570" s="79"/>
      <c r="X570" s="130"/>
      <c r="Z570" s="106"/>
    </row>
    <row r="571">
      <c r="C571" s="79"/>
      <c r="D571" s="79"/>
      <c r="J571" s="79"/>
      <c r="P571" s="79"/>
      <c r="Q571" s="79"/>
      <c r="T571" s="79"/>
      <c r="U571" s="79"/>
      <c r="X571" s="130"/>
      <c r="Z571" s="106"/>
    </row>
    <row r="572">
      <c r="C572" s="79"/>
      <c r="D572" s="79"/>
      <c r="J572" s="79"/>
      <c r="P572" s="79"/>
      <c r="Q572" s="79"/>
      <c r="T572" s="79"/>
      <c r="U572" s="79"/>
      <c r="X572" s="130"/>
      <c r="Z572" s="106"/>
    </row>
    <row r="573">
      <c r="C573" s="79"/>
      <c r="D573" s="79"/>
      <c r="J573" s="79"/>
      <c r="P573" s="79"/>
      <c r="Q573" s="79"/>
      <c r="T573" s="79"/>
      <c r="U573" s="79"/>
      <c r="X573" s="130"/>
      <c r="Z573" s="106"/>
    </row>
    <row r="574">
      <c r="C574" s="79"/>
      <c r="D574" s="79"/>
      <c r="J574" s="79"/>
      <c r="P574" s="79"/>
      <c r="Q574" s="79"/>
      <c r="T574" s="79"/>
      <c r="U574" s="79"/>
      <c r="X574" s="130"/>
      <c r="Z574" s="106"/>
    </row>
    <row r="575">
      <c r="C575" s="79"/>
      <c r="D575" s="79"/>
      <c r="J575" s="79"/>
      <c r="P575" s="79"/>
      <c r="Q575" s="79"/>
      <c r="T575" s="79"/>
      <c r="U575" s="79"/>
      <c r="X575" s="130"/>
      <c r="Z575" s="106"/>
    </row>
    <row r="576">
      <c r="C576" s="79"/>
      <c r="D576" s="79"/>
      <c r="J576" s="79"/>
      <c r="P576" s="79"/>
      <c r="Q576" s="79"/>
      <c r="T576" s="79"/>
      <c r="U576" s="79"/>
      <c r="X576" s="130"/>
      <c r="Z576" s="106"/>
    </row>
    <row r="577">
      <c r="C577" s="79"/>
      <c r="D577" s="79"/>
      <c r="J577" s="79"/>
      <c r="P577" s="79"/>
      <c r="Q577" s="79"/>
      <c r="T577" s="79"/>
      <c r="U577" s="79"/>
      <c r="X577" s="130"/>
      <c r="Z577" s="106"/>
    </row>
    <row r="578">
      <c r="C578" s="79"/>
      <c r="D578" s="79"/>
      <c r="J578" s="79"/>
      <c r="P578" s="79"/>
      <c r="Q578" s="79"/>
      <c r="T578" s="79"/>
      <c r="U578" s="79"/>
      <c r="X578" s="130"/>
      <c r="Z578" s="106"/>
    </row>
    <row r="579">
      <c r="C579" s="79"/>
      <c r="D579" s="79"/>
      <c r="J579" s="79"/>
      <c r="P579" s="79"/>
      <c r="Q579" s="79"/>
      <c r="T579" s="79"/>
      <c r="U579" s="79"/>
      <c r="X579" s="130"/>
      <c r="Z579" s="106"/>
    </row>
    <row r="580">
      <c r="C580" s="79"/>
      <c r="D580" s="79"/>
      <c r="J580" s="79"/>
      <c r="P580" s="79"/>
      <c r="Q580" s="79"/>
      <c r="T580" s="79"/>
      <c r="U580" s="79"/>
      <c r="X580" s="130"/>
      <c r="Z580" s="106"/>
    </row>
    <row r="581">
      <c r="C581" s="79"/>
      <c r="D581" s="79"/>
      <c r="J581" s="79"/>
      <c r="P581" s="79"/>
      <c r="Q581" s="79"/>
      <c r="T581" s="79"/>
      <c r="U581" s="79"/>
      <c r="X581" s="130"/>
      <c r="Z581" s="106"/>
    </row>
    <row r="582">
      <c r="C582" s="79"/>
      <c r="D582" s="79"/>
      <c r="J582" s="79"/>
      <c r="P582" s="79"/>
      <c r="Q582" s="79"/>
      <c r="T582" s="79"/>
      <c r="U582" s="79"/>
      <c r="X582" s="130"/>
      <c r="Z582" s="106"/>
    </row>
    <row r="583">
      <c r="C583" s="79"/>
      <c r="D583" s="79"/>
      <c r="J583" s="79"/>
      <c r="P583" s="79"/>
      <c r="Q583" s="79"/>
      <c r="T583" s="79"/>
      <c r="U583" s="79"/>
      <c r="X583" s="130"/>
      <c r="Z583" s="106"/>
    </row>
    <row r="584">
      <c r="C584" s="79"/>
      <c r="D584" s="79"/>
      <c r="J584" s="79"/>
      <c r="P584" s="79"/>
      <c r="Q584" s="79"/>
      <c r="T584" s="79"/>
      <c r="U584" s="79"/>
      <c r="X584" s="130"/>
      <c r="Z584" s="106"/>
    </row>
    <row r="585">
      <c r="C585" s="79"/>
      <c r="D585" s="79"/>
      <c r="J585" s="79"/>
      <c r="P585" s="79"/>
      <c r="Q585" s="79"/>
      <c r="T585" s="79"/>
      <c r="U585" s="79"/>
      <c r="X585" s="130"/>
      <c r="Z585" s="106"/>
    </row>
    <row r="586">
      <c r="C586" s="79"/>
      <c r="D586" s="79"/>
      <c r="J586" s="79"/>
      <c r="P586" s="79"/>
      <c r="Q586" s="79"/>
      <c r="T586" s="79"/>
      <c r="U586" s="79"/>
      <c r="X586" s="130"/>
      <c r="Z586" s="106"/>
    </row>
    <row r="587">
      <c r="C587" s="79"/>
      <c r="D587" s="79"/>
      <c r="J587" s="79"/>
      <c r="P587" s="79"/>
      <c r="Q587" s="79"/>
      <c r="T587" s="79"/>
      <c r="U587" s="79"/>
      <c r="X587" s="130"/>
      <c r="Z587" s="106"/>
    </row>
    <row r="588">
      <c r="C588" s="79"/>
      <c r="D588" s="79"/>
      <c r="J588" s="79"/>
      <c r="P588" s="79"/>
      <c r="Q588" s="79"/>
      <c r="T588" s="79"/>
      <c r="U588" s="79"/>
      <c r="X588" s="130"/>
      <c r="Z588" s="106"/>
    </row>
    <row r="589">
      <c r="C589" s="79"/>
      <c r="D589" s="79"/>
      <c r="J589" s="79"/>
      <c r="P589" s="79"/>
      <c r="Q589" s="79"/>
      <c r="T589" s="79"/>
      <c r="U589" s="79"/>
      <c r="X589" s="130"/>
      <c r="Z589" s="106"/>
    </row>
    <row r="590">
      <c r="C590" s="79"/>
      <c r="D590" s="79"/>
      <c r="J590" s="79"/>
      <c r="P590" s="79"/>
      <c r="Q590" s="79"/>
      <c r="T590" s="79"/>
      <c r="U590" s="79"/>
      <c r="X590" s="130"/>
      <c r="Z590" s="106"/>
    </row>
    <row r="591">
      <c r="C591" s="79"/>
      <c r="D591" s="79"/>
      <c r="J591" s="79"/>
      <c r="P591" s="79"/>
      <c r="Q591" s="79"/>
      <c r="T591" s="79"/>
      <c r="U591" s="79"/>
      <c r="X591" s="130"/>
      <c r="Z591" s="106"/>
    </row>
    <row r="592">
      <c r="C592" s="79"/>
      <c r="D592" s="79"/>
      <c r="J592" s="79"/>
      <c r="P592" s="79"/>
      <c r="Q592" s="79"/>
      <c r="T592" s="79"/>
      <c r="U592" s="79"/>
      <c r="X592" s="130"/>
      <c r="Z592" s="106"/>
    </row>
    <row r="593">
      <c r="C593" s="79"/>
      <c r="D593" s="79"/>
      <c r="J593" s="79"/>
      <c r="P593" s="79"/>
      <c r="Q593" s="79"/>
      <c r="T593" s="79"/>
      <c r="U593" s="79"/>
      <c r="X593" s="130"/>
      <c r="Z593" s="106"/>
    </row>
    <row r="594">
      <c r="C594" s="79"/>
      <c r="D594" s="79"/>
      <c r="J594" s="79"/>
      <c r="P594" s="79"/>
      <c r="Q594" s="79"/>
      <c r="T594" s="79"/>
      <c r="U594" s="79"/>
      <c r="X594" s="130"/>
      <c r="Z594" s="106"/>
    </row>
    <row r="595">
      <c r="C595" s="79"/>
      <c r="D595" s="79"/>
      <c r="J595" s="79"/>
      <c r="P595" s="79"/>
      <c r="Q595" s="79"/>
      <c r="T595" s="79"/>
      <c r="U595" s="79"/>
      <c r="X595" s="130"/>
      <c r="Z595" s="106"/>
    </row>
    <row r="596">
      <c r="C596" s="79"/>
      <c r="D596" s="79"/>
      <c r="J596" s="79"/>
      <c r="P596" s="79"/>
      <c r="Q596" s="79"/>
      <c r="T596" s="79"/>
      <c r="U596" s="79"/>
      <c r="X596" s="130"/>
      <c r="Z596" s="106"/>
    </row>
    <row r="597">
      <c r="C597" s="79"/>
      <c r="D597" s="79"/>
      <c r="J597" s="79"/>
      <c r="P597" s="79"/>
      <c r="Q597" s="79"/>
      <c r="T597" s="79"/>
      <c r="U597" s="79"/>
      <c r="X597" s="130"/>
      <c r="Z597" s="106"/>
    </row>
    <row r="598">
      <c r="C598" s="79"/>
      <c r="D598" s="79"/>
      <c r="J598" s="79"/>
      <c r="P598" s="79"/>
      <c r="Q598" s="79"/>
      <c r="T598" s="79"/>
      <c r="U598" s="79"/>
      <c r="X598" s="130"/>
      <c r="Z598" s="106"/>
    </row>
    <row r="599">
      <c r="C599" s="79"/>
      <c r="D599" s="79"/>
      <c r="J599" s="79"/>
      <c r="P599" s="79"/>
      <c r="Q599" s="79"/>
      <c r="T599" s="79"/>
      <c r="U599" s="79"/>
      <c r="X599" s="130"/>
      <c r="Z599" s="106"/>
    </row>
    <row r="600">
      <c r="C600" s="79"/>
      <c r="D600" s="79"/>
      <c r="J600" s="79"/>
      <c r="P600" s="79"/>
      <c r="Q600" s="79"/>
      <c r="T600" s="79"/>
      <c r="U600" s="79"/>
      <c r="X600" s="130"/>
      <c r="Z600" s="106"/>
    </row>
    <row r="601">
      <c r="C601" s="79"/>
      <c r="D601" s="79"/>
      <c r="J601" s="79"/>
      <c r="P601" s="79"/>
      <c r="Q601" s="79"/>
      <c r="T601" s="79"/>
      <c r="U601" s="79"/>
      <c r="X601" s="130"/>
      <c r="Z601" s="106"/>
    </row>
    <row r="602">
      <c r="C602" s="79"/>
      <c r="D602" s="79"/>
      <c r="J602" s="79"/>
      <c r="P602" s="79"/>
      <c r="Q602" s="79"/>
      <c r="T602" s="79"/>
      <c r="U602" s="79"/>
      <c r="X602" s="130"/>
      <c r="Z602" s="106"/>
    </row>
    <row r="603">
      <c r="C603" s="79"/>
      <c r="D603" s="79"/>
      <c r="J603" s="79"/>
      <c r="P603" s="79"/>
      <c r="Q603" s="79"/>
      <c r="T603" s="79"/>
      <c r="U603" s="79"/>
      <c r="X603" s="130"/>
      <c r="Z603" s="106"/>
    </row>
    <row r="604">
      <c r="C604" s="79"/>
      <c r="D604" s="79"/>
      <c r="J604" s="79"/>
      <c r="P604" s="79"/>
      <c r="Q604" s="79"/>
      <c r="T604" s="79"/>
      <c r="U604" s="79"/>
      <c r="X604" s="130"/>
      <c r="Z604" s="106"/>
    </row>
    <row r="605">
      <c r="C605" s="79"/>
      <c r="D605" s="79"/>
      <c r="J605" s="79"/>
      <c r="P605" s="79"/>
      <c r="Q605" s="79"/>
      <c r="T605" s="79"/>
      <c r="U605" s="79"/>
      <c r="X605" s="130"/>
      <c r="Z605" s="106"/>
    </row>
    <row r="606">
      <c r="C606" s="79"/>
      <c r="D606" s="79"/>
      <c r="J606" s="79"/>
      <c r="P606" s="79"/>
      <c r="Q606" s="79"/>
      <c r="T606" s="79"/>
      <c r="U606" s="79"/>
      <c r="X606" s="130"/>
      <c r="Z606" s="106"/>
    </row>
    <row r="607">
      <c r="C607" s="79"/>
      <c r="D607" s="79"/>
      <c r="J607" s="79"/>
      <c r="P607" s="79"/>
      <c r="Q607" s="79"/>
      <c r="T607" s="79"/>
      <c r="U607" s="79"/>
      <c r="X607" s="130"/>
      <c r="Z607" s="106"/>
    </row>
    <row r="608">
      <c r="C608" s="79"/>
      <c r="D608" s="79"/>
      <c r="J608" s="79"/>
      <c r="P608" s="79"/>
      <c r="Q608" s="79"/>
      <c r="T608" s="79"/>
      <c r="U608" s="79"/>
      <c r="X608" s="130"/>
      <c r="Z608" s="106"/>
    </row>
    <row r="609">
      <c r="C609" s="79"/>
      <c r="D609" s="79"/>
      <c r="J609" s="79"/>
      <c r="P609" s="79"/>
      <c r="Q609" s="79"/>
      <c r="T609" s="79"/>
      <c r="U609" s="79"/>
      <c r="X609" s="130"/>
      <c r="Z609" s="106"/>
    </row>
    <row r="610">
      <c r="C610" s="79"/>
      <c r="D610" s="79"/>
      <c r="J610" s="79"/>
      <c r="P610" s="79"/>
      <c r="Q610" s="79"/>
      <c r="T610" s="79"/>
      <c r="U610" s="79"/>
      <c r="X610" s="130"/>
      <c r="Z610" s="106"/>
    </row>
    <row r="611">
      <c r="C611" s="79"/>
      <c r="D611" s="79"/>
      <c r="J611" s="79"/>
      <c r="P611" s="79"/>
      <c r="Q611" s="79"/>
      <c r="T611" s="79"/>
      <c r="U611" s="79"/>
      <c r="X611" s="130"/>
      <c r="Z611" s="106"/>
    </row>
    <row r="612">
      <c r="C612" s="79"/>
      <c r="D612" s="79"/>
      <c r="J612" s="79"/>
      <c r="P612" s="79"/>
      <c r="Q612" s="79"/>
      <c r="T612" s="79"/>
      <c r="U612" s="79"/>
      <c r="X612" s="130"/>
      <c r="Z612" s="106"/>
    </row>
    <row r="613">
      <c r="C613" s="79"/>
      <c r="D613" s="79"/>
      <c r="J613" s="79"/>
      <c r="P613" s="79"/>
      <c r="Q613" s="79"/>
      <c r="T613" s="79"/>
      <c r="U613" s="79"/>
      <c r="X613" s="130"/>
      <c r="Z613" s="106"/>
    </row>
    <row r="614">
      <c r="C614" s="79"/>
      <c r="D614" s="79"/>
      <c r="J614" s="79"/>
      <c r="P614" s="79"/>
      <c r="Q614" s="79"/>
      <c r="T614" s="79"/>
      <c r="U614" s="79"/>
      <c r="X614" s="130"/>
      <c r="Z614" s="106"/>
    </row>
    <row r="615">
      <c r="C615" s="79"/>
      <c r="D615" s="79"/>
      <c r="J615" s="79"/>
      <c r="P615" s="79"/>
      <c r="Q615" s="79"/>
      <c r="T615" s="79"/>
      <c r="U615" s="79"/>
      <c r="X615" s="130"/>
      <c r="Z615" s="106"/>
    </row>
    <row r="616">
      <c r="C616" s="79"/>
      <c r="D616" s="79"/>
      <c r="J616" s="79"/>
      <c r="P616" s="79"/>
      <c r="Q616" s="79"/>
      <c r="T616" s="79"/>
      <c r="U616" s="79"/>
      <c r="X616" s="130"/>
      <c r="Z616" s="106"/>
    </row>
    <row r="617">
      <c r="C617" s="79"/>
      <c r="D617" s="79"/>
      <c r="J617" s="79"/>
      <c r="P617" s="79"/>
      <c r="Q617" s="79"/>
      <c r="T617" s="79"/>
      <c r="U617" s="79"/>
      <c r="X617" s="130"/>
      <c r="Z617" s="106"/>
    </row>
    <row r="618">
      <c r="C618" s="79"/>
      <c r="D618" s="79"/>
      <c r="J618" s="79"/>
      <c r="P618" s="79"/>
      <c r="Q618" s="79"/>
      <c r="T618" s="79"/>
      <c r="U618" s="79"/>
      <c r="X618" s="130"/>
      <c r="Z618" s="106"/>
    </row>
    <row r="619">
      <c r="C619" s="79"/>
      <c r="D619" s="79"/>
      <c r="J619" s="79"/>
      <c r="P619" s="79"/>
      <c r="Q619" s="79"/>
      <c r="T619" s="79"/>
      <c r="U619" s="79"/>
      <c r="X619" s="130"/>
      <c r="Z619" s="106"/>
    </row>
    <row r="620">
      <c r="C620" s="79"/>
      <c r="D620" s="79"/>
      <c r="J620" s="79"/>
      <c r="P620" s="79"/>
      <c r="Q620" s="79"/>
      <c r="T620" s="79"/>
      <c r="U620" s="79"/>
      <c r="X620" s="130"/>
      <c r="Z620" s="106"/>
    </row>
    <row r="621">
      <c r="C621" s="79"/>
      <c r="D621" s="79"/>
      <c r="J621" s="79"/>
      <c r="P621" s="79"/>
      <c r="Q621" s="79"/>
      <c r="T621" s="79"/>
      <c r="U621" s="79"/>
      <c r="X621" s="130"/>
      <c r="Z621" s="106"/>
    </row>
    <row r="622">
      <c r="C622" s="79"/>
      <c r="D622" s="79"/>
      <c r="J622" s="79"/>
      <c r="P622" s="79"/>
      <c r="Q622" s="79"/>
      <c r="T622" s="79"/>
      <c r="U622" s="79"/>
      <c r="X622" s="130"/>
      <c r="Z622" s="106"/>
    </row>
    <row r="623">
      <c r="C623" s="79"/>
      <c r="D623" s="79"/>
      <c r="J623" s="79"/>
      <c r="P623" s="79"/>
      <c r="Q623" s="79"/>
      <c r="T623" s="79"/>
      <c r="U623" s="79"/>
      <c r="X623" s="130"/>
      <c r="Z623" s="106"/>
    </row>
    <row r="624">
      <c r="C624" s="79"/>
      <c r="D624" s="79"/>
      <c r="J624" s="79"/>
      <c r="P624" s="79"/>
      <c r="Q624" s="79"/>
      <c r="T624" s="79"/>
      <c r="U624" s="79"/>
      <c r="X624" s="130"/>
      <c r="Z624" s="106"/>
    </row>
    <row r="625">
      <c r="C625" s="79"/>
      <c r="D625" s="79"/>
      <c r="J625" s="79"/>
      <c r="P625" s="79"/>
      <c r="Q625" s="79"/>
      <c r="T625" s="79"/>
      <c r="U625" s="79"/>
      <c r="X625" s="130"/>
      <c r="Z625" s="106"/>
    </row>
    <row r="626">
      <c r="C626" s="79"/>
      <c r="D626" s="79"/>
      <c r="J626" s="79"/>
      <c r="P626" s="79"/>
      <c r="Q626" s="79"/>
      <c r="T626" s="79"/>
      <c r="U626" s="79"/>
      <c r="X626" s="130"/>
      <c r="Z626" s="106"/>
    </row>
    <row r="627">
      <c r="C627" s="79"/>
      <c r="D627" s="79"/>
      <c r="J627" s="79"/>
      <c r="P627" s="79"/>
      <c r="Q627" s="79"/>
      <c r="T627" s="79"/>
      <c r="U627" s="79"/>
      <c r="X627" s="130"/>
      <c r="Z627" s="106"/>
    </row>
    <row r="628">
      <c r="C628" s="79"/>
      <c r="D628" s="79"/>
      <c r="J628" s="79"/>
      <c r="P628" s="79"/>
      <c r="Q628" s="79"/>
      <c r="T628" s="79"/>
      <c r="U628" s="79"/>
      <c r="X628" s="130"/>
      <c r="Z628" s="106"/>
    </row>
    <row r="629">
      <c r="C629" s="79"/>
      <c r="D629" s="79"/>
      <c r="J629" s="79"/>
      <c r="P629" s="79"/>
      <c r="Q629" s="79"/>
      <c r="T629" s="79"/>
      <c r="U629" s="79"/>
      <c r="X629" s="130"/>
      <c r="Z629" s="106"/>
    </row>
    <row r="630">
      <c r="C630" s="79"/>
      <c r="D630" s="79"/>
      <c r="J630" s="79"/>
      <c r="P630" s="79"/>
      <c r="Q630" s="79"/>
      <c r="T630" s="79"/>
      <c r="U630" s="79"/>
      <c r="X630" s="130"/>
      <c r="Z630" s="106"/>
    </row>
    <row r="631">
      <c r="C631" s="79"/>
      <c r="D631" s="79"/>
      <c r="J631" s="79"/>
      <c r="P631" s="79"/>
      <c r="Q631" s="79"/>
      <c r="T631" s="79"/>
      <c r="U631" s="79"/>
      <c r="X631" s="130"/>
      <c r="Z631" s="106"/>
    </row>
    <row r="632">
      <c r="C632" s="79"/>
      <c r="D632" s="79"/>
      <c r="J632" s="79"/>
      <c r="P632" s="79"/>
      <c r="Q632" s="79"/>
      <c r="T632" s="79"/>
      <c r="U632" s="79"/>
      <c r="X632" s="130"/>
      <c r="Z632" s="106"/>
    </row>
    <row r="633">
      <c r="C633" s="79"/>
      <c r="D633" s="79"/>
      <c r="J633" s="79"/>
      <c r="P633" s="79"/>
      <c r="Q633" s="79"/>
      <c r="T633" s="79"/>
      <c r="U633" s="79"/>
      <c r="X633" s="130"/>
      <c r="Z633" s="106"/>
    </row>
    <row r="634">
      <c r="C634" s="79"/>
      <c r="D634" s="79"/>
      <c r="J634" s="79"/>
      <c r="P634" s="79"/>
      <c r="Q634" s="79"/>
      <c r="T634" s="79"/>
      <c r="U634" s="79"/>
      <c r="X634" s="130"/>
      <c r="Z634" s="106"/>
    </row>
    <row r="635">
      <c r="C635" s="79"/>
      <c r="D635" s="79"/>
      <c r="J635" s="79"/>
      <c r="P635" s="79"/>
      <c r="Q635" s="79"/>
      <c r="T635" s="79"/>
      <c r="U635" s="79"/>
      <c r="X635" s="130"/>
      <c r="Z635" s="106"/>
    </row>
    <row r="636">
      <c r="C636" s="79"/>
      <c r="D636" s="79"/>
      <c r="J636" s="79"/>
      <c r="P636" s="79"/>
      <c r="Q636" s="79"/>
      <c r="T636" s="79"/>
      <c r="U636" s="79"/>
      <c r="X636" s="130"/>
      <c r="Z636" s="106"/>
    </row>
    <row r="637">
      <c r="C637" s="79"/>
      <c r="D637" s="79"/>
      <c r="J637" s="79"/>
      <c r="P637" s="79"/>
      <c r="Q637" s="79"/>
      <c r="T637" s="79"/>
      <c r="U637" s="79"/>
      <c r="X637" s="130"/>
      <c r="Z637" s="106"/>
    </row>
    <row r="638">
      <c r="C638" s="79"/>
      <c r="D638" s="79"/>
      <c r="J638" s="79"/>
      <c r="P638" s="79"/>
      <c r="Q638" s="79"/>
      <c r="T638" s="79"/>
      <c r="U638" s="79"/>
      <c r="X638" s="130"/>
      <c r="Z638" s="106"/>
    </row>
    <row r="639">
      <c r="C639" s="79"/>
      <c r="D639" s="79"/>
      <c r="J639" s="79"/>
      <c r="P639" s="79"/>
      <c r="Q639" s="79"/>
      <c r="T639" s="79"/>
      <c r="U639" s="79"/>
      <c r="X639" s="130"/>
      <c r="Z639" s="106"/>
    </row>
    <row r="640">
      <c r="C640" s="79"/>
      <c r="D640" s="79"/>
      <c r="J640" s="79"/>
      <c r="P640" s="79"/>
      <c r="Q640" s="79"/>
      <c r="T640" s="79"/>
      <c r="U640" s="79"/>
      <c r="X640" s="130"/>
      <c r="Z640" s="106"/>
    </row>
    <row r="641">
      <c r="C641" s="79"/>
      <c r="D641" s="79"/>
      <c r="J641" s="79"/>
      <c r="P641" s="79"/>
      <c r="Q641" s="79"/>
      <c r="T641" s="79"/>
      <c r="U641" s="79"/>
      <c r="X641" s="130"/>
      <c r="Z641" s="106"/>
    </row>
    <row r="642">
      <c r="C642" s="79"/>
      <c r="D642" s="79"/>
      <c r="J642" s="79"/>
      <c r="P642" s="79"/>
      <c r="Q642" s="79"/>
      <c r="T642" s="79"/>
      <c r="U642" s="79"/>
      <c r="X642" s="130"/>
      <c r="Z642" s="106"/>
    </row>
    <row r="643">
      <c r="C643" s="79"/>
      <c r="D643" s="79"/>
      <c r="J643" s="79"/>
      <c r="P643" s="79"/>
      <c r="Q643" s="79"/>
      <c r="T643" s="79"/>
      <c r="U643" s="79"/>
      <c r="X643" s="130"/>
      <c r="Z643" s="106"/>
    </row>
    <row r="644">
      <c r="C644" s="79"/>
      <c r="D644" s="79"/>
      <c r="J644" s="79"/>
      <c r="P644" s="79"/>
      <c r="Q644" s="79"/>
      <c r="T644" s="79"/>
      <c r="U644" s="79"/>
      <c r="X644" s="130"/>
      <c r="Z644" s="106"/>
    </row>
    <row r="645">
      <c r="C645" s="79"/>
      <c r="D645" s="79"/>
      <c r="J645" s="79"/>
      <c r="P645" s="79"/>
      <c r="Q645" s="79"/>
      <c r="T645" s="79"/>
      <c r="U645" s="79"/>
      <c r="X645" s="130"/>
      <c r="Z645" s="106"/>
    </row>
    <row r="646">
      <c r="C646" s="79"/>
      <c r="D646" s="79"/>
      <c r="J646" s="79"/>
      <c r="P646" s="79"/>
      <c r="Q646" s="79"/>
      <c r="T646" s="79"/>
      <c r="U646" s="79"/>
      <c r="X646" s="130"/>
      <c r="Z646" s="106"/>
    </row>
    <row r="647">
      <c r="C647" s="79"/>
      <c r="D647" s="79"/>
      <c r="J647" s="79"/>
      <c r="P647" s="79"/>
      <c r="Q647" s="79"/>
      <c r="T647" s="79"/>
      <c r="U647" s="79"/>
      <c r="X647" s="130"/>
      <c r="Z647" s="106"/>
    </row>
    <row r="648">
      <c r="C648" s="79"/>
      <c r="D648" s="79"/>
      <c r="J648" s="79"/>
      <c r="P648" s="79"/>
      <c r="Q648" s="79"/>
      <c r="T648" s="79"/>
      <c r="U648" s="79"/>
      <c r="X648" s="130"/>
      <c r="Z648" s="106"/>
    </row>
    <row r="649">
      <c r="C649" s="79"/>
      <c r="D649" s="79"/>
      <c r="J649" s="79"/>
      <c r="P649" s="79"/>
      <c r="Q649" s="79"/>
      <c r="T649" s="79"/>
      <c r="U649" s="79"/>
      <c r="X649" s="130"/>
      <c r="Z649" s="106"/>
    </row>
    <row r="650">
      <c r="C650" s="79"/>
      <c r="D650" s="79"/>
      <c r="J650" s="79"/>
      <c r="P650" s="79"/>
      <c r="Q650" s="79"/>
      <c r="T650" s="79"/>
      <c r="U650" s="79"/>
      <c r="X650" s="130"/>
      <c r="Z650" s="106"/>
    </row>
    <row r="651">
      <c r="C651" s="79"/>
      <c r="D651" s="79"/>
      <c r="J651" s="79"/>
      <c r="P651" s="79"/>
      <c r="Q651" s="79"/>
      <c r="T651" s="79"/>
      <c r="U651" s="79"/>
      <c r="X651" s="130"/>
      <c r="Z651" s="106"/>
    </row>
    <row r="652">
      <c r="C652" s="79"/>
      <c r="D652" s="79"/>
      <c r="J652" s="79"/>
      <c r="P652" s="79"/>
      <c r="Q652" s="79"/>
      <c r="T652" s="79"/>
      <c r="U652" s="79"/>
      <c r="X652" s="130"/>
      <c r="Z652" s="106"/>
    </row>
    <row r="653">
      <c r="C653" s="79"/>
      <c r="D653" s="79"/>
      <c r="J653" s="79"/>
      <c r="P653" s="79"/>
      <c r="Q653" s="79"/>
      <c r="T653" s="79"/>
      <c r="U653" s="79"/>
      <c r="X653" s="130"/>
      <c r="Z653" s="106"/>
    </row>
    <row r="654">
      <c r="C654" s="79"/>
      <c r="D654" s="79"/>
      <c r="J654" s="79"/>
      <c r="P654" s="79"/>
      <c r="Q654" s="79"/>
      <c r="T654" s="79"/>
      <c r="U654" s="79"/>
      <c r="X654" s="130"/>
      <c r="Z654" s="106"/>
    </row>
    <row r="655">
      <c r="C655" s="79"/>
      <c r="D655" s="79"/>
      <c r="J655" s="79"/>
      <c r="P655" s="79"/>
      <c r="Q655" s="79"/>
      <c r="T655" s="79"/>
      <c r="U655" s="79"/>
      <c r="X655" s="130"/>
      <c r="Z655" s="106"/>
    </row>
    <row r="656">
      <c r="C656" s="79"/>
      <c r="D656" s="79"/>
      <c r="J656" s="79"/>
      <c r="P656" s="79"/>
      <c r="Q656" s="79"/>
      <c r="T656" s="79"/>
      <c r="U656" s="79"/>
      <c r="X656" s="130"/>
      <c r="Z656" s="106"/>
    </row>
    <row r="657">
      <c r="C657" s="79"/>
      <c r="D657" s="79"/>
      <c r="J657" s="79"/>
      <c r="P657" s="79"/>
      <c r="Q657" s="79"/>
      <c r="T657" s="79"/>
      <c r="U657" s="79"/>
      <c r="X657" s="130"/>
      <c r="Z657" s="106"/>
    </row>
    <row r="658">
      <c r="C658" s="79"/>
      <c r="D658" s="79"/>
      <c r="J658" s="79"/>
      <c r="P658" s="79"/>
      <c r="Q658" s="79"/>
      <c r="T658" s="79"/>
      <c r="U658" s="79"/>
      <c r="X658" s="130"/>
      <c r="Z658" s="106"/>
    </row>
    <row r="659">
      <c r="C659" s="79"/>
      <c r="D659" s="79"/>
      <c r="J659" s="79"/>
      <c r="P659" s="79"/>
      <c r="Q659" s="79"/>
      <c r="T659" s="79"/>
      <c r="U659" s="79"/>
      <c r="X659" s="130"/>
      <c r="Z659" s="106"/>
    </row>
    <row r="660">
      <c r="C660" s="79"/>
      <c r="D660" s="79"/>
      <c r="J660" s="79"/>
      <c r="P660" s="79"/>
      <c r="Q660" s="79"/>
      <c r="T660" s="79"/>
      <c r="U660" s="79"/>
      <c r="X660" s="130"/>
      <c r="Z660" s="106"/>
    </row>
    <row r="661">
      <c r="C661" s="79"/>
      <c r="D661" s="79"/>
      <c r="J661" s="79"/>
      <c r="P661" s="79"/>
      <c r="Q661" s="79"/>
      <c r="T661" s="79"/>
      <c r="U661" s="79"/>
      <c r="X661" s="130"/>
      <c r="Z661" s="106"/>
    </row>
    <row r="662">
      <c r="C662" s="79"/>
      <c r="D662" s="79"/>
      <c r="J662" s="79"/>
      <c r="P662" s="79"/>
      <c r="Q662" s="79"/>
      <c r="T662" s="79"/>
      <c r="U662" s="79"/>
      <c r="X662" s="130"/>
      <c r="Z662" s="106"/>
    </row>
    <row r="663">
      <c r="C663" s="79"/>
      <c r="D663" s="79"/>
      <c r="J663" s="79"/>
      <c r="P663" s="79"/>
      <c r="Q663" s="79"/>
      <c r="T663" s="79"/>
      <c r="U663" s="79"/>
      <c r="X663" s="130"/>
      <c r="Z663" s="106"/>
    </row>
    <row r="664">
      <c r="C664" s="79"/>
      <c r="D664" s="79"/>
      <c r="J664" s="79"/>
      <c r="P664" s="79"/>
      <c r="Q664" s="79"/>
      <c r="T664" s="79"/>
      <c r="U664" s="79"/>
      <c r="X664" s="130"/>
      <c r="Z664" s="106"/>
    </row>
    <row r="665">
      <c r="C665" s="79"/>
      <c r="D665" s="79"/>
      <c r="J665" s="79"/>
      <c r="P665" s="79"/>
      <c r="Q665" s="79"/>
      <c r="T665" s="79"/>
      <c r="U665" s="79"/>
      <c r="X665" s="130"/>
      <c r="Z665" s="106"/>
    </row>
    <row r="666">
      <c r="C666" s="79"/>
      <c r="D666" s="79"/>
      <c r="J666" s="79"/>
      <c r="P666" s="79"/>
      <c r="Q666" s="79"/>
      <c r="T666" s="79"/>
      <c r="U666" s="79"/>
      <c r="X666" s="130"/>
      <c r="Z666" s="106"/>
    </row>
    <row r="667">
      <c r="C667" s="79"/>
      <c r="D667" s="79"/>
      <c r="J667" s="79"/>
      <c r="P667" s="79"/>
      <c r="Q667" s="79"/>
      <c r="T667" s="79"/>
      <c r="U667" s="79"/>
      <c r="X667" s="130"/>
      <c r="Z667" s="106"/>
    </row>
    <row r="668">
      <c r="C668" s="79"/>
      <c r="D668" s="79"/>
      <c r="J668" s="79"/>
      <c r="P668" s="79"/>
      <c r="Q668" s="79"/>
      <c r="T668" s="79"/>
      <c r="U668" s="79"/>
      <c r="X668" s="130"/>
      <c r="Z668" s="106"/>
    </row>
    <row r="669">
      <c r="C669" s="79"/>
      <c r="D669" s="79"/>
      <c r="J669" s="79"/>
      <c r="P669" s="79"/>
      <c r="Q669" s="79"/>
      <c r="T669" s="79"/>
      <c r="U669" s="79"/>
      <c r="X669" s="130"/>
      <c r="Z669" s="106"/>
    </row>
    <row r="670">
      <c r="C670" s="79"/>
      <c r="D670" s="79"/>
      <c r="J670" s="79"/>
      <c r="P670" s="79"/>
      <c r="Q670" s="79"/>
      <c r="T670" s="79"/>
      <c r="U670" s="79"/>
      <c r="X670" s="130"/>
      <c r="Z670" s="106"/>
    </row>
    <row r="671">
      <c r="C671" s="79"/>
      <c r="D671" s="79"/>
      <c r="J671" s="79"/>
      <c r="P671" s="79"/>
      <c r="Q671" s="79"/>
      <c r="T671" s="79"/>
      <c r="U671" s="79"/>
      <c r="X671" s="130"/>
      <c r="Z671" s="106"/>
    </row>
    <row r="672">
      <c r="C672" s="79"/>
      <c r="D672" s="79"/>
      <c r="J672" s="79"/>
      <c r="P672" s="79"/>
      <c r="Q672" s="79"/>
      <c r="T672" s="79"/>
      <c r="U672" s="79"/>
      <c r="X672" s="130"/>
      <c r="Z672" s="106"/>
    </row>
    <row r="673">
      <c r="C673" s="79"/>
      <c r="D673" s="79"/>
      <c r="J673" s="79"/>
      <c r="P673" s="79"/>
      <c r="Q673" s="79"/>
      <c r="T673" s="79"/>
      <c r="U673" s="79"/>
      <c r="X673" s="130"/>
      <c r="Z673" s="106"/>
    </row>
    <row r="674">
      <c r="C674" s="79"/>
      <c r="D674" s="79"/>
      <c r="J674" s="79"/>
      <c r="P674" s="79"/>
      <c r="Q674" s="79"/>
      <c r="T674" s="79"/>
      <c r="U674" s="79"/>
      <c r="X674" s="130"/>
      <c r="Z674" s="106"/>
    </row>
    <row r="675">
      <c r="C675" s="79"/>
      <c r="D675" s="79"/>
      <c r="J675" s="79"/>
      <c r="P675" s="79"/>
      <c r="Q675" s="79"/>
      <c r="T675" s="79"/>
      <c r="U675" s="79"/>
      <c r="X675" s="130"/>
      <c r="Z675" s="106"/>
    </row>
    <row r="676">
      <c r="C676" s="79"/>
      <c r="D676" s="79"/>
      <c r="J676" s="79"/>
      <c r="P676" s="79"/>
      <c r="Q676" s="79"/>
      <c r="T676" s="79"/>
      <c r="U676" s="79"/>
      <c r="X676" s="130"/>
      <c r="Z676" s="106"/>
    </row>
    <row r="677">
      <c r="C677" s="79"/>
      <c r="D677" s="79"/>
      <c r="J677" s="79"/>
      <c r="P677" s="79"/>
      <c r="Q677" s="79"/>
      <c r="T677" s="79"/>
      <c r="U677" s="79"/>
      <c r="X677" s="130"/>
      <c r="Z677" s="106"/>
    </row>
    <row r="678">
      <c r="C678" s="79"/>
      <c r="D678" s="79"/>
      <c r="J678" s="79"/>
      <c r="P678" s="79"/>
      <c r="Q678" s="79"/>
      <c r="T678" s="79"/>
      <c r="U678" s="79"/>
      <c r="X678" s="130"/>
      <c r="Z678" s="106"/>
    </row>
    <row r="679">
      <c r="C679" s="79"/>
      <c r="D679" s="79"/>
      <c r="J679" s="79"/>
      <c r="P679" s="79"/>
      <c r="Q679" s="79"/>
      <c r="T679" s="79"/>
      <c r="U679" s="79"/>
      <c r="X679" s="130"/>
      <c r="Z679" s="106"/>
    </row>
    <row r="680">
      <c r="C680" s="79"/>
      <c r="D680" s="79"/>
      <c r="J680" s="79"/>
      <c r="P680" s="79"/>
      <c r="Q680" s="79"/>
      <c r="T680" s="79"/>
      <c r="U680" s="79"/>
      <c r="X680" s="130"/>
      <c r="Z680" s="106"/>
    </row>
    <row r="681">
      <c r="C681" s="79"/>
      <c r="D681" s="79"/>
      <c r="J681" s="79"/>
      <c r="P681" s="79"/>
      <c r="Q681" s="79"/>
      <c r="T681" s="79"/>
      <c r="U681" s="79"/>
      <c r="X681" s="130"/>
      <c r="Z681" s="106"/>
    </row>
    <row r="682">
      <c r="C682" s="79"/>
      <c r="D682" s="79"/>
      <c r="J682" s="79"/>
      <c r="P682" s="79"/>
      <c r="Q682" s="79"/>
      <c r="T682" s="79"/>
      <c r="U682" s="79"/>
      <c r="X682" s="130"/>
      <c r="Z682" s="106"/>
    </row>
    <row r="683">
      <c r="C683" s="79"/>
      <c r="D683" s="79"/>
      <c r="J683" s="79"/>
      <c r="P683" s="79"/>
      <c r="Q683" s="79"/>
      <c r="T683" s="79"/>
      <c r="U683" s="79"/>
      <c r="X683" s="130"/>
      <c r="Z683" s="106"/>
    </row>
    <row r="684">
      <c r="C684" s="79"/>
      <c r="D684" s="79"/>
      <c r="J684" s="79"/>
      <c r="P684" s="79"/>
      <c r="Q684" s="79"/>
      <c r="T684" s="79"/>
      <c r="U684" s="79"/>
      <c r="X684" s="130"/>
      <c r="Z684" s="106"/>
    </row>
    <row r="685">
      <c r="C685" s="79"/>
      <c r="D685" s="79"/>
      <c r="J685" s="79"/>
      <c r="P685" s="79"/>
      <c r="Q685" s="79"/>
      <c r="T685" s="79"/>
      <c r="U685" s="79"/>
      <c r="X685" s="130"/>
      <c r="Z685" s="106"/>
    </row>
    <row r="686">
      <c r="C686" s="79"/>
      <c r="D686" s="79"/>
      <c r="J686" s="79"/>
      <c r="P686" s="79"/>
      <c r="Q686" s="79"/>
      <c r="T686" s="79"/>
      <c r="U686" s="79"/>
      <c r="X686" s="130"/>
      <c r="Z686" s="106"/>
    </row>
    <row r="687">
      <c r="C687" s="79"/>
      <c r="D687" s="79"/>
      <c r="J687" s="79"/>
      <c r="P687" s="79"/>
      <c r="Q687" s="79"/>
      <c r="T687" s="79"/>
      <c r="U687" s="79"/>
      <c r="X687" s="130"/>
      <c r="Z687" s="106"/>
    </row>
    <row r="688">
      <c r="C688" s="79"/>
      <c r="D688" s="79"/>
      <c r="J688" s="79"/>
      <c r="P688" s="79"/>
      <c r="Q688" s="79"/>
      <c r="T688" s="79"/>
      <c r="U688" s="79"/>
      <c r="X688" s="130"/>
      <c r="Z688" s="106"/>
    </row>
    <row r="689">
      <c r="C689" s="79"/>
      <c r="D689" s="79"/>
      <c r="J689" s="79"/>
      <c r="P689" s="79"/>
      <c r="Q689" s="79"/>
      <c r="T689" s="79"/>
      <c r="U689" s="79"/>
      <c r="X689" s="130"/>
      <c r="Z689" s="106"/>
    </row>
    <row r="690">
      <c r="C690" s="79"/>
      <c r="D690" s="79"/>
      <c r="J690" s="79"/>
      <c r="P690" s="79"/>
      <c r="Q690" s="79"/>
      <c r="T690" s="79"/>
      <c r="U690" s="79"/>
      <c r="X690" s="130"/>
      <c r="Z690" s="106"/>
    </row>
    <row r="691">
      <c r="C691" s="79"/>
      <c r="D691" s="79"/>
      <c r="J691" s="79"/>
      <c r="P691" s="79"/>
      <c r="Q691" s="79"/>
      <c r="T691" s="79"/>
      <c r="U691" s="79"/>
      <c r="X691" s="130"/>
      <c r="Z691" s="106"/>
    </row>
    <row r="692">
      <c r="C692" s="79"/>
      <c r="D692" s="79"/>
      <c r="J692" s="79"/>
      <c r="P692" s="79"/>
      <c r="Q692" s="79"/>
      <c r="T692" s="79"/>
      <c r="U692" s="79"/>
      <c r="X692" s="130"/>
      <c r="Z692" s="106"/>
    </row>
    <row r="693">
      <c r="C693" s="79"/>
      <c r="D693" s="79"/>
      <c r="J693" s="79"/>
      <c r="P693" s="79"/>
      <c r="Q693" s="79"/>
      <c r="T693" s="79"/>
      <c r="U693" s="79"/>
      <c r="X693" s="130"/>
      <c r="Z693" s="106"/>
    </row>
    <row r="694">
      <c r="C694" s="79"/>
      <c r="D694" s="79"/>
      <c r="J694" s="79"/>
      <c r="P694" s="79"/>
      <c r="Q694" s="79"/>
      <c r="T694" s="79"/>
      <c r="U694" s="79"/>
      <c r="X694" s="130"/>
      <c r="Z694" s="106"/>
    </row>
    <row r="695">
      <c r="C695" s="79"/>
      <c r="D695" s="79"/>
      <c r="J695" s="79"/>
      <c r="P695" s="79"/>
      <c r="Q695" s="79"/>
      <c r="T695" s="79"/>
      <c r="U695" s="79"/>
      <c r="X695" s="130"/>
      <c r="Z695" s="106"/>
    </row>
    <row r="696">
      <c r="C696" s="79"/>
      <c r="D696" s="79"/>
      <c r="J696" s="79"/>
      <c r="P696" s="79"/>
      <c r="Q696" s="79"/>
      <c r="T696" s="79"/>
      <c r="U696" s="79"/>
      <c r="X696" s="130"/>
      <c r="Z696" s="106"/>
    </row>
    <row r="697">
      <c r="C697" s="79"/>
      <c r="D697" s="79"/>
      <c r="J697" s="79"/>
      <c r="P697" s="79"/>
      <c r="Q697" s="79"/>
      <c r="T697" s="79"/>
      <c r="U697" s="79"/>
      <c r="X697" s="130"/>
      <c r="Z697" s="106"/>
    </row>
    <row r="698">
      <c r="C698" s="79"/>
      <c r="D698" s="79"/>
      <c r="J698" s="79"/>
      <c r="P698" s="79"/>
      <c r="Q698" s="79"/>
      <c r="T698" s="79"/>
      <c r="U698" s="79"/>
      <c r="X698" s="130"/>
      <c r="Z698" s="106"/>
    </row>
    <row r="699">
      <c r="C699" s="79"/>
      <c r="D699" s="79"/>
      <c r="J699" s="79"/>
      <c r="P699" s="79"/>
      <c r="Q699" s="79"/>
      <c r="T699" s="79"/>
      <c r="U699" s="79"/>
      <c r="X699" s="130"/>
      <c r="Z699" s="106"/>
    </row>
    <row r="700">
      <c r="C700" s="79"/>
      <c r="D700" s="79"/>
      <c r="J700" s="79"/>
      <c r="P700" s="79"/>
      <c r="Q700" s="79"/>
      <c r="T700" s="79"/>
      <c r="U700" s="79"/>
      <c r="X700" s="130"/>
      <c r="Z700" s="106"/>
    </row>
    <row r="701">
      <c r="C701" s="79"/>
      <c r="D701" s="79"/>
      <c r="J701" s="79"/>
      <c r="P701" s="79"/>
      <c r="Q701" s="79"/>
      <c r="T701" s="79"/>
      <c r="U701" s="79"/>
      <c r="X701" s="130"/>
      <c r="Z701" s="106"/>
    </row>
    <row r="702">
      <c r="C702" s="79"/>
      <c r="D702" s="79"/>
      <c r="J702" s="79"/>
      <c r="P702" s="79"/>
      <c r="Q702" s="79"/>
      <c r="T702" s="79"/>
      <c r="U702" s="79"/>
      <c r="X702" s="130"/>
      <c r="Z702" s="106"/>
    </row>
    <row r="703">
      <c r="C703" s="79"/>
      <c r="D703" s="79"/>
      <c r="J703" s="79"/>
      <c r="P703" s="79"/>
      <c r="Q703" s="79"/>
      <c r="T703" s="79"/>
      <c r="U703" s="79"/>
      <c r="X703" s="130"/>
      <c r="Z703" s="106"/>
    </row>
    <row r="704">
      <c r="C704" s="79"/>
      <c r="D704" s="79"/>
      <c r="J704" s="79"/>
      <c r="P704" s="79"/>
      <c r="Q704" s="79"/>
      <c r="T704" s="79"/>
      <c r="U704" s="79"/>
      <c r="X704" s="130"/>
      <c r="Z704" s="106"/>
    </row>
    <row r="705">
      <c r="C705" s="79"/>
      <c r="D705" s="79"/>
      <c r="J705" s="79"/>
      <c r="P705" s="79"/>
      <c r="Q705" s="79"/>
      <c r="T705" s="79"/>
      <c r="U705" s="79"/>
      <c r="X705" s="130"/>
      <c r="Z705" s="106"/>
    </row>
    <row r="706">
      <c r="C706" s="79"/>
      <c r="D706" s="79"/>
      <c r="J706" s="79"/>
      <c r="P706" s="79"/>
      <c r="Q706" s="79"/>
      <c r="T706" s="79"/>
      <c r="U706" s="79"/>
      <c r="X706" s="130"/>
      <c r="Z706" s="106"/>
    </row>
    <row r="707">
      <c r="C707" s="79"/>
      <c r="D707" s="79"/>
      <c r="J707" s="79"/>
      <c r="P707" s="79"/>
      <c r="Q707" s="79"/>
      <c r="T707" s="79"/>
      <c r="U707" s="79"/>
      <c r="X707" s="130"/>
      <c r="Z707" s="106"/>
    </row>
    <row r="708">
      <c r="C708" s="79"/>
      <c r="D708" s="79"/>
      <c r="J708" s="79"/>
      <c r="P708" s="79"/>
      <c r="Q708" s="79"/>
      <c r="T708" s="79"/>
      <c r="U708" s="79"/>
      <c r="X708" s="130"/>
      <c r="Z708" s="106"/>
    </row>
    <row r="709">
      <c r="C709" s="79"/>
      <c r="D709" s="79"/>
      <c r="J709" s="79"/>
      <c r="P709" s="79"/>
      <c r="Q709" s="79"/>
      <c r="T709" s="79"/>
      <c r="U709" s="79"/>
      <c r="X709" s="130"/>
      <c r="Z709" s="106"/>
    </row>
    <row r="710">
      <c r="C710" s="79"/>
      <c r="D710" s="79"/>
      <c r="J710" s="79"/>
      <c r="P710" s="79"/>
      <c r="Q710" s="79"/>
      <c r="T710" s="79"/>
      <c r="U710" s="79"/>
      <c r="X710" s="130"/>
      <c r="Z710" s="106"/>
    </row>
    <row r="711">
      <c r="C711" s="79"/>
      <c r="D711" s="79"/>
      <c r="J711" s="79"/>
      <c r="P711" s="79"/>
      <c r="Q711" s="79"/>
      <c r="T711" s="79"/>
      <c r="U711" s="79"/>
      <c r="X711" s="130"/>
      <c r="Z711" s="106"/>
    </row>
    <row r="712">
      <c r="C712" s="79"/>
      <c r="D712" s="79"/>
      <c r="J712" s="79"/>
      <c r="P712" s="79"/>
      <c r="Q712" s="79"/>
      <c r="T712" s="79"/>
      <c r="U712" s="79"/>
      <c r="X712" s="130"/>
      <c r="Z712" s="106"/>
    </row>
    <row r="713">
      <c r="C713" s="79"/>
      <c r="D713" s="79"/>
      <c r="J713" s="79"/>
      <c r="P713" s="79"/>
      <c r="Q713" s="79"/>
      <c r="T713" s="79"/>
      <c r="U713" s="79"/>
      <c r="X713" s="130"/>
      <c r="Z713" s="106"/>
    </row>
    <row r="714">
      <c r="C714" s="79"/>
      <c r="D714" s="79"/>
      <c r="J714" s="79"/>
      <c r="P714" s="79"/>
      <c r="Q714" s="79"/>
      <c r="T714" s="79"/>
      <c r="U714" s="79"/>
      <c r="X714" s="130"/>
      <c r="Z714" s="106"/>
    </row>
    <row r="715">
      <c r="C715" s="79"/>
      <c r="D715" s="79"/>
      <c r="J715" s="79"/>
      <c r="P715" s="79"/>
      <c r="Q715" s="79"/>
      <c r="T715" s="79"/>
      <c r="U715" s="79"/>
      <c r="X715" s="130"/>
      <c r="Z715" s="106"/>
    </row>
    <row r="716">
      <c r="C716" s="79"/>
      <c r="D716" s="79"/>
      <c r="J716" s="79"/>
      <c r="P716" s="79"/>
      <c r="Q716" s="79"/>
      <c r="T716" s="79"/>
      <c r="U716" s="79"/>
      <c r="X716" s="130"/>
      <c r="Z716" s="106"/>
    </row>
    <row r="717">
      <c r="C717" s="79"/>
      <c r="D717" s="79"/>
      <c r="J717" s="79"/>
      <c r="P717" s="79"/>
      <c r="Q717" s="79"/>
      <c r="T717" s="79"/>
      <c r="U717" s="79"/>
      <c r="X717" s="130"/>
      <c r="Z717" s="106"/>
    </row>
    <row r="718">
      <c r="C718" s="79"/>
      <c r="D718" s="79"/>
      <c r="J718" s="79"/>
      <c r="P718" s="79"/>
      <c r="Q718" s="79"/>
      <c r="T718" s="79"/>
      <c r="U718" s="79"/>
      <c r="X718" s="130"/>
      <c r="Z718" s="106"/>
    </row>
    <row r="719">
      <c r="C719" s="79"/>
      <c r="D719" s="79"/>
      <c r="J719" s="79"/>
      <c r="P719" s="79"/>
      <c r="Q719" s="79"/>
      <c r="T719" s="79"/>
      <c r="U719" s="79"/>
      <c r="X719" s="130"/>
      <c r="Z719" s="106"/>
    </row>
    <row r="720">
      <c r="C720" s="79"/>
      <c r="D720" s="79"/>
      <c r="J720" s="79"/>
      <c r="P720" s="79"/>
      <c r="Q720" s="79"/>
      <c r="T720" s="79"/>
      <c r="U720" s="79"/>
      <c r="X720" s="130"/>
      <c r="Z720" s="106"/>
    </row>
    <row r="721">
      <c r="C721" s="79"/>
      <c r="D721" s="79"/>
      <c r="J721" s="79"/>
      <c r="P721" s="79"/>
      <c r="Q721" s="79"/>
      <c r="T721" s="79"/>
      <c r="U721" s="79"/>
      <c r="X721" s="130"/>
      <c r="Z721" s="106"/>
    </row>
    <row r="722">
      <c r="C722" s="79"/>
      <c r="D722" s="79"/>
      <c r="J722" s="79"/>
      <c r="P722" s="79"/>
      <c r="Q722" s="79"/>
      <c r="T722" s="79"/>
      <c r="U722" s="79"/>
      <c r="X722" s="130"/>
      <c r="Z722" s="106"/>
    </row>
    <row r="723">
      <c r="C723" s="79"/>
      <c r="D723" s="79"/>
      <c r="J723" s="79"/>
      <c r="P723" s="79"/>
      <c r="Q723" s="79"/>
      <c r="T723" s="79"/>
      <c r="U723" s="79"/>
      <c r="X723" s="130"/>
      <c r="Z723" s="106"/>
    </row>
    <row r="724">
      <c r="C724" s="79"/>
      <c r="D724" s="79"/>
      <c r="J724" s="79"/>
      <c r="P724" s="79"/>
      <c r="Q724" s="79"/>
      <c r="T724" s="79"/>
      <c r="U724" s="79"/>
      <c r="X724" s="130"/>
      <c r="Z724" s="106"/>
    </row>
    <row r="725">
      <c r="C725" s="79"/>
      <c r="D725" s="79"/>
      <c r="J725" s="79"/>
      <c r="P725" s="79"/>
      <c r="Q725" s="79"/>
      <c r="T725" s="79"/>
      <c r="U725" s="79"/>
      <c r="X725" s="130"/>
      <c r="Z725" s="106"/>
    </row>
    <row r="726">
      <c r="C726" s="79"/>
      <c r="D726" s="79"/>
      <c r="J726" s="79"/>
      <c r="P726" s="79"/>
      <c r="Q726" s="79"/>
      <c r="T726" s="79"/>
      <c r="U726" s="79"/>
      <c r="X726" s="130"/>
      <c r="Z726" s="106"/>
    </row>
    <row r="727">
      <c r="C727" s="79"/>
      <c r="D727" s="79"/>
      <c r="J727" s="79"/>
      <c r="P727" s="79"/>
      <c r="Q727" s="79"/>
      <c r="T727" s="79"/>
      <c r="U727" s="79"/>
      <c r="X727" s="130"/>
      <c r="Z727" s="106"/>
    </row>
    <row r="728">
      <c r="C728" s="79"/>
      <c r="D728" s="79"/>
      <c r="J728" s="79"/>
      <c r="P728" s="79"/>
      <c r="Q728" s="79"/>
      <c r="T728" s="79"/>
      <c r="U728" s="79"/>
      <c r="X728" s="130"/>
      <c r="Z728" s="106"/>
    </row>
    <row r="729">
      <c r="C729" s="79"/>
      <c r="D729" s="79"/>
      <c r="J729" s="79"/>
      <c r="P729" s="79"/>
      <c r="Q729" s="79"/>
      <c r="T729" s="79"/>
      <c r="U729" s="79"/>
      <c r="X729" s="130"/>
      <c r="Z729" s="106"/>
    </row>
    <row r="730">
      <c r="C730" s="79"/>
      <c r="D730" s="79"/>
      <c r="J730" s="79"/>
      <c r="P730" s="79"/>
      <c r="Q730" s="79"/>
      <c r="T730" s="79"/>
      <c r="U730" s="79"/>
      <c r="X730" s="130"/>
      <c r="Z730" s="106"/>
    </row>
    <row r="731">
      <c r="C731" s="79"/>
      <c r="D731" s="79"/>
      <c r="J731" s="79"/>
      <c r="P731" s="79"/>
      <c r="Q731" s="79"/>
      <c r="T731" s="79"/>
      <c r="U731" s="79"/>
      <c r="X731" s="130"/>
      <c r="Z731" s="106"/>
    </row>
    <row r="732">
      <c r="C732" s="79"/>
      <c r="D732" s="79"/>
      <c r="J732" s="79"/>
      <c r="P732" s="79"/>
      <c r="Q732" s="79"/>
      <c r="T732" s="79"/>
      <c r="U732" s="79"/>
      <c r="X732" s="130"/>
      <c r="Z732" s="106"/>
    </row>
    <row r="733">
      <c r="C733" s="79"/>
      <c r="D733" s="79"/>
      <c r="J733" s="79"/>
      <c r="P733" s="79"/>
      <c r="Q733" s="79"/>
      <c r="T733" s="79"/>
      <c r="U733" s="79"/>
      <c r="X733" s="130"/>
      <c r="Z733" s="106"/>
    </row>
    <row r="734">
      <c r="C734" s="79"/>
      <c r="D734" s="79"/>
      <c r="J734" s="79"/>
      <c r="P734" s="79"/>
      <c r="Q734" s="79"/>
      <c r="T734" s="79"/>
      <c r="U734" s="79"/>
      <c r="X734" s="130"/>
      <c r="Z734" s="106"/>
    </row>
    <row r="735">
      <c r="C735" s="79"/>
      <c r="D735" s="79"/>
      <c r="J735" s="79"/>
      <c r="P735" s="79"/>
      <c r="Q735" s="79"/>
      <c r="T735" s="79"/>
      <c r="U735" s="79"/>
      <c r="X735" s="130"/>
      <c r="Z735" s="106"/>
    </row>
    <row r="736">
      <c r="C736" s="79"/>
      <c r="D736" s="79"/>
      <c r="J736" s="79"/>
      <c r="P736" s="79"/>
      <c r="Q736" s="79"/>
      <c r="T736" s="79"/>
      <c r="U736" s="79"/>
      <c r="X736" s="130"/>
      <c r="Z736" s="106"/>
    </row>
    <row r="737">
      <c r="C737" s="79"/>
      <c r="D737" s="79"/>
      <c r="J737" s="79"/>
      <c r="P737" s="79"/>
      <c r="Q737" s="79"/>
      <c r="T737" s="79"/>
      <c r="U737" s="79"/>
      <c r="X737" s="130"/>
      <c r="Z737" s="106"/>
    </row>
    <row r="738">
      <c r="C738" s="79"/>
      <c r="D738" s="79"/>
      <c r="J738" s="79"/>
      <c r="P738" s="79"/>
      <c r="Q738" s="79"/>
      <c r="T738" s="79"/>
      <c r="U738" s="79"/>
      <c r="X738" s="130"/>
      <c r="Z738" s="106"/>
    </row>
    <row r="739">
      <c r="C739" s="79"/>
      <c r="D739" s="79"/>
      <c r="J739" s="79"/>
      <c r="P739" s="79"/>
      <c r="Q739" s="79"/>
      <c r="T739" s="79"/>
      <c r="U739" s="79"/>
      <c r="X739" s="130"/>
      <c r="Z739" s="106"/>
    </row>
    <row r="740">
      <c r="C740" s="79"/>
      <c r="D740" s="79"/>
      <c r="J740" s="79"/>
      <c r="P740" s="79"/>
      <c r="Q740" s="79"/>
      <c r="T740" s="79"/>
      <c r="U740" s="79"/>
      <c r="X740" s="130"/>
      <c r="Z740" s="106"/>
    </row>
    <row r="741">
      <c r="C741" s="79"/>
      <c r="D741" s="79"/>
      <c r="J741" s="79"/>
      <c r="P741" s="79"/>
      <c r="Q741" s="79"/>
      <c r="T741" s="79"/>
      <c r="U741" s="79"/>
      <c r="X741" s="130"/>
      <c r="Z741" s="106"/>
    </row>
    <row r="742">
      <c r="C742" s="79"/>
      <c r="D742" s="79"/>
      <c r="J742" s="79"/>
      <c r="P742" s="79"/>
      <c r="Q742" s="79"/>
      <c r="T742" s="79"/>
      <c r="U742" s="79"/>
      <c r="X742" s="130"/>
      <c r="Z742" s="106"/>
    </row>
    <row r="743">
      <c r="C743" s="79"/>
      <c r="D743" s="79"/>
      <c r="J743" s="79"/>
      <c r="P743" s="79"/>
      <c r="Q743" s="79"/>
      <c r="T743" s="79"/>
      <c r="U743" s="79"/>
      <c r="X743" s="130"/>
      <c r="Z743" s="106"/>
    </row>
    <row r="744">
      <c r="C744" s="79"/>
      <c r="D744" s="79"/>
      <c r="J744" s="79"/>
      <c r="P744" s="79"/>
      <c r="Q744" s="79"/>
      <c r="T744" s="79"/>
      <c r="U744" s="79"/>
      <c r="X744" s="130"/>
      <c r="Z744" s="106"/>
    </row>
    <row r="745">
      <c r="C745" s="79"/>
      <c r="D745" s="79"/>
      <c r="J745" s="79"/>
      <c r="P745" s="79"/>
      <c r="Q745" s="79"/>
      <c r="T745" s="79"/>
      <c r="U745" s="79"/>
      <c r="X745" s="130"/>
      <c r="Z745" s="106"/>
    </row>
    <row r="746">
      <c r="C746" s="79"/>
      <c r="D746" s="79"/>
      <c r="J746" s="79"/>
      <c r="P746" s="79"/>
      <c r="Q746" s="79"/>
      <c r="T746" s="79"/>
      <c r="U746" s="79"/>
      <c r="X746" s="130"/>
      <c r="Z746" s="106"/>
    </row>
    <row r="747">
      <c r="C747" s="79"/>
      <c r="D747" s="79"/>
      <c r="J747" s="79"/>
      <c r="P747" s="79"/>
      <c r="Q747" s="79"/>
      <c r="T747" s="79"/>
      <c r="U747" s="79"/>
      <c r="X747" s="130"/>
      <c r="Z747" s="106"/>
    </row>
    <row r="748">
      <c r="C748" s="79"/>
      <c r="D748" s="79"/>
      <c r="J748" s="79"/>
      <c r="P748" s="79"/>
      <c r="Q748" s="79"/>
      <c r="T748" s="79"/>
      <c r="U748" s="79"/>
      <c r="X748" s="130"/>
      <c r="Z748" s="106"/>
    </row>
    <row r="749">
      <c r="C749" s="79"/>
      <c r="D749" s="79"/>
      <c r="J749" s="79"/>
      <c r="P749" s="79"/>
      <c r="Q749" s="79"/>
      <c r="T749" s="79"/>
      <c r="U749" s="79"/>
      <c r="X749" s="130"/>
      <c r="Z749" s="106"/>
    </row>
    <row r="750">
      <c r="C750" s="79"/>
      <c r="D750" s="79"/>
      <c r="J750" s="79"/>
      <c r="P750" s="79"/>
      <c r="Q750" s="79"/>
      <c r="T750" s="79"/>
      <c r="U750" s="79"/>
      <c r="X750" s="130"/>
      <c r="Z750" s="106"/>
    </row>
    <row r="751">
      <c r="C751" s="79"/>
      <c r="D751" s="79"/>
      <c r="J751" s="79"/>
      <c r="P751" s="79"/>
      <c r="Q751" s="79"/>
      <c r="T751" s="79"/>
      <c r="U751" s="79"/>
      <c r="X751" s="130"/>
      <c r="Z751" s="106"/>
    </row>
    <row r="752">
      <c r="C752" s="79"/>
      <c r="D752" s="79"/>
      <c r="J752" s="79"/>
      <c r="P752" s="79"/>
      <c r="Q752" s="79"/>
      <c r="T752" s="79"/>
      <c r="U752" s="79"/>
      <c r="X752" s="130"/>
      <c r="Z752" s="106"/>
    </row>
    <row r="753">
      <c r="C753" s="79"/>
      <c r="D753" s="79"/>
      <c r="J753" s="79"/>
      <c r="P753" s="79"/>
      <c r="Q753" s="79"/>
      <c r="T753" s="79"/>
      <c r="U753" s="79"/>
      <c r="X753" s="130"/>
      <c r="Z753" s="106"/>
    </row>
    <row r="754">
      <c r="C754" s="79"/>
      <c r="D754" s="79"/>
      <c r="J754" s="79"/>
      <c r="P754" s="79"/>
      <c r="Q754" s="79"/>
      <c r="T754" s="79"/>
      <c r="U754" s="79"/>
      <c r="X754" s="130"/>
      <c r="Z754" s="106"/>
    </row>
    <row r="755">
      <c r="C755" s="79"/>
      <c r="D755" s="79"/>
      <c r="J755" s="79"/>
      <c r="P755" s="79"/>
      <c r="Q755" s="79"/>
      <c r="T755" s="79"/>
      <c r="U755" s="79"/>
      <c r="X755" s="130"/>
      <c r="Z755" s="106"/>
    </row>
    <row r="756">
      <c r="C756" s="79"/>
      <c r="D756" s="79"/>
      <c r="J756" s="79"/>
      <c r="P756" s="79"/>
      <c r="Q756" s="79"/>
      <c r="T756" s="79"/>
      <c r="U756" s="79"/>
      <c r="X756" s="130"/>
      <c r="Z756" s="106"/>
    </row>
    <row r="757">
      <c r="C757" s="79"/>
      <c r="D757" s="79"/>
      <c r="J757" s="79"/>
      <c r="P757" s="79"/>
      <c r="Q757" s="79"/>
      <c r="T757" s="79"/>
      <c r="U757" s="79"/>
      <c r="X757" s="130"/>
      <c r="Z757" s="106"/>
    </row>
    <row r="758">
      <c r="C758" s="79"/>
      <c r="D758" s="79"/>
      <c r="J758" s="79"/>
      <c r="P758" s="79"/>
      <c r="Q758" s="79"/>
      <c r="T758" s="79"/>
      <c r="U758" s="79"/>
      <c r="X758" s="130"/>
      <c r="Z758" s="106"/>
    </row>
    <row r="759">
      <c r="C759" s="79"/>
      <c r="D759" s="79"/>
      <c r="J759" s="79"/>
      <c r="P759" s="79"/>
      <c r="Q759" s="79"/>
      <c r="T759" s="79"/>
      <c r="U759" s="79"/>
      <c r="X759" s="130"/>
      <c r="Z759" s="106"/>
    </row>
    <row r="760">
      <c r="C760" s="79"/>
      <c r="D760" s="79"/>
      <c r="J760" s="79"/>
      <c r="P760" s="79"/>
      <c r="Q760" s="79"/>
      <c r="T760" s="79"/>
      <c r="U760" s="79"/>
      <c r="X760" s="130"/>
      <c r="Z760" s="106"/>
    </row>
    <row r="761">
      <c r="C761" s="79"/>
      <c r="D761" s="79"/>
      <c r="J761" s="79"/>
      <c r="P761" s="79"/>
      <c r="Q761" s="79"/>
      <c r="T761" s="79"/>
      <c r="U761" s="79"/>
      <c r="X761" s="130"/>
      <c r="Z761" s="106"/>
    </row>
    <row r="762">
      <c r="C762" s="79"/>
      <c r="D762" s="79"/>
      <c r="J762" s="79"/>
      <c r="P762" s="79"/>
      <c r="Q762" s="79"/>
      <c r="T762" s="79"/>
      <c r="U762" s="79"/>
      <c r="X762" s="130"/>
      <c r="Z762" s="106"/>
    </row>
    <row r="763">
      <c r="C763" s="79"/>
      <c r="D763" s="79"/>
      <c r="J763" s="79"/>
      <c r="P763" s="79"/>
      <c r="Q763" s="79"/>
      <c r="T763" s="79"/>
      <c r="U763" s="79"/>
      <c r="X763" s="130"/>
      <c r="Z763" s="106"/>
    </row>
    <row r="764">
      <c r="C764" s="79"/>
      <c r="D764" s="79"/>
      <c r="J764" s="79"/>
      <c r="P764" s="79"/>
      <c r="Q764" s="79"/>
      <c r="T764" s="79"/>
      <c r="U764" s="79"/>
      <c r="X764" s="130"/>
      <c r="Z764" s="106"/>
    </row>
    <row r="765">
      <c r="C765" s="79"/>
      <c r="D765" s="79"/>
      <c r="J765" s="79"/>
      <c r="P765" s="79"/>
      <c r="Q765" s="79"/>
      <c r="T765" s="79"/>
      <c r="U765" s="79"/>
      <c r="X765" s="130"/>
      <c r="Z765" s="106"/>
    </row>
    <row r="766">
      <c r="C766" s="79"/>
      <c r="D766" s="79"/>
      <c r="J766" s="79"/>
      <c r="P766" s="79"/>
      <c r="Q766" s="79"/>
      <c r="T766" s="79"/>
      <c r="U766" s="79"/>
      <c r="X766" s="130"/>
      <c r="Z766" s="106"/>
    </row>
    <row r="767">
      <c r="C767" s="79"/>
      <c r="D767" s="79"/>
      <c r="J767" s="79"/>
      <c r="P767" s="79"/>
      <c r="Q767" s="79"/>
      <c r="T767" s="79"/>
      <c r="U767" s="79"/>
      <c r="X767" s="130"/>
      <c r="Z767" s="106"/>
    </row>
    <row r="768">
      <c r="C768" s="79"/>
      <c r="D768" s="79"/>
      <c r="J768" s="79"/>
      <c r="P768" s="79"/>
      <c r="Q768" s="79"/>
      <c r="T768" s="79"/>
      <c r="U768" s="79"/>
      <c r="X768" s="130"/>
      <c r="Z768" s="106"/>
    </row>
    <row r="769">
      <c r="C769" s="79"/>
      <c r="D769" s="79"/>
      <c r="J769" s="79"/>
      <c r="P769" s="79"/>
      <c r="Q769" s="79"/>
      <c r="T769" s="79"/>
      <c r="U769" s="79"/>
      <c r="X769" s="130"/>
      <c r="Z769" s="106"/>
    </row>
    <row r="770">
      <c r="C770" s="79"/>
      <c r="D770" s="79"/>
      <c r="J770" s="79"/>
      <c r="P770" s="79"/>
      <c r="Q770" s="79"/>
      <c r="T770" s="79"/>
      <c r="U770" s="79"/>
      <c r="X770" s="130"/>
      <c r="Z770" s="106"/>
    </row>
    <row r="771">
      <c r="C771" s="79"/>
      <c r="D771" s="79"/>
      <c r="J771" s="79"/>
      <c r="P771" s="79"/>
      <c r="Q771" s="79"/>
      <c r="T771" s="79"/>
      <c r="U771" s="79"/>
      <c r="X771" s="130"/>
      <c r="Z771" s="106"/>
    </row>
    <row r="772">
      <c r="C772" s="79"/>
      <c r="D772" s="79"/>
      <c r="J772" s="79"/>
      <c r="P772" s="79"/>
      <c r="Q772" s="79"/>
      <c r="T772" s="79"/>
      <c r="U772" s="79"/>
      <c r="X772" s="130"/>
      <c r="Z772" s="106"/>
    </row>
    <row r="773">
      <c r="C773" s="79"/>
      <c r="D773" s="79"/>
      <c r="J773" s="79"/>
      <c r="P773" s="79"/>
      <c r="Q773" s="79"/>
      <c r="T773" s="79"/>
      <c r="U773" s="79"/>
      <c r="X773" s="130"/>
      <c r="Z773" s="106"/>
    </row>
    <row r="774">
      <c r="C774" s="79"/>
      <c r="D774" s="79"/>
      <c r="J774" s="79"/>
      <c r="P774" s="79"/>
      <c r="Q774" s="79"/>
      <c r="T774" s="79"/>
      <c r="U774" s="79"/>
      <c r="X774" s="130"/>
      <c r="Z774" s="106"/>
    </row>
    <row r="775">
      <c r="C775" s="79"/>
      <c r="D775" s="79"/>
      <c r="J775" s="79"/>
      <c r="P775" s="79"/>
      <c r="Q775" s="79"/>
      <c r="T775" s="79"/>
      <c r="U775" s="79"/>
      <c r="X775" s="130"/>
      <c r="Z775" s="106"/>
    </row>
    <row r="776">
      <c r="C776" s="79"/>
      <c r="D776" s="79"/>
      <c r="J776" s="79"/>
      <c r="P776" s="79"/>
      <c r="Q776" s="79"/>
      <c r="T776" s="79"/>
      <c r="U776" s="79"/>
      <c r="X776" s="130"/>
      <c r="Z776" s="106"/>
    </row>
    <row r="777">
      <c r="C777" s="79"/>
      <c r="D777" s="79"/>
      <c r="J777" s="79"/>
      <c r="P777" s="79"/>
      <c r="Q777" s="79"/>
      <c r="T777" s="79"/>
      <c r="U777" s="79"/>
      <c r="X777" s="130"/>
      <c r="Z777" s="106"/>
    </row>
    <row r="778">
      <c r="C778" s="79"/>
      <c r="D778" s="79"/>
      <c r="J778" s="79"/>
      <c r="P778" s="79"/>
      <c r="Q778" s="79"/>
      <c r="T778" s="79"/>
      <c r="U778" s="79"/>
      <c r="X778" s="130"/>
      <c r="Z778" s="106"/>
    </row>
    <row r="779">
      <c r="C779" s="79"/>
      <c r="D779" s="79"/>
      <c r="J779" s="79"/>
      <c r="P779" s="79"/>
      <c r="Q779" s="79"/>
      <c r="T779" s="79"/>
      <c r="U779" s="79"/>
      <c r="X779" s="130"/>
      <c r="Z779" s="106"/>
    </row>
    <row r="780">
      <c r="C780" s="79"/>
      <c r="D780" s="79"/>
      <c r="J780" s="79"/>
      <c r="P780" s="79"/>
      <c r="Q780" s="79"/>
      <c r="T780" s="79"/>
      <c r="U780" s="79"/>
      <c r="X780" s="130"/>
      <c r="Z780" s="106"/>
    </row>
    <row r="781">
      <c r="C781" s="79"/>
      <c r="D781" s="79"/>
      <c r="J781" s="79"/>
      <c r="P781" s="79"/>
      <c r="Q781" s="79"/>
      <c r="T781" s="79"/>
      <c r="U781" s="79"/>
      <c r="X781" s="130"/>
      <c r="Z781" s="106"/>
    </row>
    <row r="782">
      <c r="C782" s="79"/>
      <c r="D782" s="79"/>
      <c r="J782" s="79"/>
      <c r="P782" s="79"/>
      <c r="Q782" s="79"/>
      <c r="T782" s="79"/>
      <c r="U782" s="79"/>
      <c r="X782" s="130"/>
      <c r="Z782" s="106"/>
    </row>
    <row r="783">
      <c r="C783" s="79"/>
      <c r="D783" s="79"/>
      <c r="J783" s="79"/>
      <c r="P783" s="79"/>
      <c r="Q783" s="79"/>
      <c r="T783" s="79"/>
      <c r="U783" s="79"/>
      <c r="X783" s="130"/>
      <c r="Z783" s="106"/>
    </row>
    <row r="784">
      <c r="C784" s="79"/>
      <c r="D784" s="79"/>
      <c r="J784" s="79"/>
      <c r="P784" s="79"/>
      <c r="Q784" s="79"/>
      <c r="T784" s="79"/>
      <c r="U784" s="79"/>
      <c r="X784" s="130"/>
      <c r="Z784" s="106"/>
    </row>
    <row r="785">
      <c r="C785" s="79"/>
      <c r="D785" s="79"/>
      <c r="J785" s="79"/>
      <c r="P785" s="79"/>
      <c r="Q785" s="79"/>
      <c r="T785" s="79"/>
      <c r="U785" s="79"/>
      <c r="X785" s="130"/>
      <c r="Z785" s="106"/>
    </row>
    <row r="786">
      <c r="C786" s="79"/>
      <c r="D786" s="79"/>
      <c r="J786" s="79"/>
      <c r="P786" s="79"/>
      <c r="Q786" s="79"/>
      <c r="T786" s="79"/>
      <c r="U786" s="79"/>
      <c r="X786" s="130"/>
      <c r="Z786" s="106"/>
    </row>
    <row r="787">
      <c r="C787" s="79"/>
      <c r="D787" s="79"/>
      <c r="J787" s="79"/>
      <c r="P787" s="79"/>
      <c r="Q787" s="79"/>
      <c r="T787" s="79"/>
      <c r="U787" s="79"/>
      <c r="X787" s="130"/>
      <c r="Z787" s="106"/>
    </row>
    <row r="788">
      <c r="C788" s="79"/>
      <c r="D788" s="79"/>
      <c r="J788" s="79"/>
      <c r="P788" s="79"/>
      <c r="Q788" s="79"/>
      <c r="T788" s="79"/>
      <c r="U788" s="79"/>
      <c r="X788" s="130"/>
      <c r="Z788" s="106"/>
    </row>
    <row r="789">
      <c r="C789" s="79"/>
      <c r="D789" s="79"/>
      <c r="J789" s="79"/>
      <c r="P789" s="79"/>
      <c r="Q789" s="79"/>
      <c r="T789" s="79"/>
      <c r="U789" s="79"/>
      <c r="X789" s="130"/>
      <c r="Z789" s="106"/>
    </row>
    <row r="790">
      <c r="C790" s="79"/>
      <c r="D790" s="79"/>
      <c r="J790" s="79"/>
      <c r="P790" s="79"/>
      <c r="Q790" s="79"/>
      <c r="T790" s="79"/>
      <c r="U790" s="79"/>
      <c r="X790" s="130"/>
      <c r="Z790" s="106"/>
    </row>
    <row r="791">
      <c r="C791" s="79"/>
      <c r="D791" s="79"/>
      <c r="J791" s="79"/>
      <c r="P791" s="79"/>
      <c r="Q791" s="79"/>
      <c r="T791" s="79"/>
      <c r="U791" s="79"/>
      <c r="X791" s="130"/>
      <c r="Z791" s="106"/>
    </row>
    <row r="792">
      <c r="C792" s="79"/>
      <c r="D792" s="79"/>
      <c r="J792" s="79"/>
      <c r="P792" s="79"/>
      <c r="Q792" s="79"/>
      <c r="T792" s="79"/>
      <c r="U792" s="79"/>
      <c r="X792" s="130"/>
      <c r="Z792" s="106"/>
    </row>
    <row r="793">
      <c r="C793" s="79"/>
      <c r="D793" s="79"/>
      <c r="J793" s="79"/>
      <c r="P793" s="79"/>
      <c r="Q793" s="79"/>
      <c r="T793" s="79"/>
      <c r="U793" s="79"/>
      <c r="X793" s="130"/>
      <c r="Z793" s="106"/>
    </row>
    <row r="794">
      <c r="C794" s="79"/>
      <c r="D794" s="79"/>
      <c r="J794" s="79"/>
      <c r="P794" s="79"/>
      <c r="Q794" s="79"/>
      <c r="T794" s="79"/>
      <c r="U794" s="79"/>
      <c r="X794" s="130"/>
      <c r="Z794" s="106"/>
    </row>
    <row r="795">
      <c r="C795" s="79"/>
      <c r="D795" s="79"/>
      <c r="J795" s="79"/>
      <c r="P795" s="79"/>
      <c r="Q795" s="79"/>
      <c r="T795" s="79"/>
      <c r="U795" s="79"/>
      <c r="X795" s="130"/>
      <c r="Z795" s="106"/>
    </row>
    <row r="796">
      <c r="C796" s="79"/>
      <c r="D796" s="79"/>
      <c r="J796" s="79"/>
      <c r="P796" s="79"/>
      <c r="Q796" s="79"/>
      <c r="T796" s="79"/>
      <c r="U796" s="79"/>
      <c r="X796" s="130"/>
      <c r="Z796" s="106"/>
    </row>
    <row r="797">
      <c r="C797" s="79"/>
      <c r="D797" s="79"/>
      <c r="J797" s="79"/>
      <c r="P797" s="79"/>
      <c r="Q797" s="79"/>
      <c r="T797" s="79"/>
      <c r="U797" s="79"/>
      <c r="X797" s="130"/>
      <c r="Z797" s="106"/>
    </row>
    <row r="798">
      <c r="C798" s="79"/>
      <c r="D798" s="79"/>
      <c r="J798" s="79"/>
      <c r="P798" s="79"/>
      <c r="Q798" s="79"/>
      <c r="T798" s="79"/>
      <c r="U798" s="79"/>
      <c r="X798" s="130"/>
      <c r="Z798" s="106"/>
    </row>
    <row r="799">
      <c r="C799" s="79"/>
      <c r="D799" s="79"/>
      <c r="J799" s="79"/>
      <c r="P799" s="79"/>
      <c r="Q799" s="79"/>
      <c r="T799" s="79"/>
      <c r="U799" s="79"/>
      <c r="X799" s="130"/>
      <c r="Z799" s="106"/>
    </row>
    <row r="800">
      <c r="C800" s="79"/>
      <c r="D800" s="79"/>
      <c r="J800" s="79"/>
      <c r="P800" s="79"/>
      <c r="Q800" s="79"/>
      <c r="T800" s="79"/>
      <c r="U800" s="79"/>
      <c r="X800" s="130"/>
      <c r="Z800" s="106"/>
    </row>
    <row r="801">
      <c r="C801" s="79"/>
      <c r="D801" s="79"/>
      <c r="J801" s="79"/>
      <c r="P801" s="79"/>
      <c r="Q801" s="79"/>
      <c r="T801" s="79"/>
      <c r="U801" s="79"/>
      <c r="X801" s="130"/>
      <c r="Z801" s="106"/>
    </row>
    <row r="802">
      <c r="C802" s="79"/>
      <c r="D802" s="79"/>
      <c r="J802" s="79"/>
      <c r="P802" s="79"/>
      <c r="Q802" s="79"/>
      <c r="T802" s="79"/>
      <c r="U802" s="79"/>
      <c r="X802" s="130"/>
      <c r="Z802" s="106"/>
    </row>
    <row r="803">
      <c r="C803" s="79"/>
      <c r="D803" s="79"/>
      <c r="J803" s="79"/>
      <c r="P803" s="79"/>
      <c r="Q803" s="79"/>
      <c r="T803" s="79"/>
      <c r="U803" s="79"/>
      <c r="X803" s="130"/>
      <c r="Z803" s="106"/>
    </row>
    <row r="804">
      <c r="C804" s="79"/>
      <c r="D804" s="79"/>
      <c r="J804" s="79"/>
      <c r="P804" s="79"/>
      <c r="Q804" s="79"/>
      <c r="T804" s="79"/>
      <c r="U804" s="79"/>
      <c r="X804" s="130"/>
      <c r="Z804" s="106"/>
    </row>
    <row r="805">
      <c r="C805" s="79"/>
      <c r="D805" s="79"/>
      <c r="J805" s="79"/>
      <c r="P805" s="79"/>
      <c r="Q805" s="79"/>
      <c r="T805" s="79"/>
      <c r="U805" s="79"/>
      <c r="X805" s="130"/>
      <c r="Z805" s="106"/>
    </row>
    <row r="806">
      <c r="C806" s="79"/>
      <c r="D806" s="79"/>
      <c r="J806" s="79"/>
      <c r="P806" s="79"/>
      <c r="Q806" s="79"/>
      <c r="T806" s="79"/>
      <c r="U806" s="79"/>
      <c r="X806" s="130"/>
      <c r="Z806" s="106"/>
    </row>
    <row r="807">
      <c r="C807" s="79"/>
      <c r="D807" s="79"/>
      <c r="J807" s="79"/>
      <c r="P807" s="79"/>
      <c r="Q807" s="79"/>
      <c r="T807" s="79"/>
      <c r="U807" s="79"/>
      <c r="X807" s="130"/>
      <c r="Z807" s="106"/>
    </row>
    <row r="808">
      <c r="C808" s="79"/>
      <c r="D808" s="79"/>
      <c r="J808" s="79"/>
      <c r="P808" s="79"/>
      <c r="Q808" s="79"/>
      <c r="T808" s="79"/>
      <c r="U808" s="79"/>
      <c r="X808" s="130"/>
      <c r="Z808" s="106"/>
    </row>
    <row r="809">
      <c r="C809" s="79"/>
      <c r="D809" s="79"/>
      <c r="J809" s="79"/>
      <c r="P809" s="79"/>
      <c r="Q809" s="79"/>
      <c r="T809" s="79"/>
      <c r="U809" s="79"/>
      <c r="X809" s="130"/>
      <c r="Z809" s="106"/>
    </row>
    <row r="810">
      <c r="C810" s="79"/>
      <c r="D810" s="79"/>
      <c r="J810" s="79"/>
      <c r="P810" s="79"/>
      <c r="Q810" s="79"/>
      <c r="T810" s="79"/>
      <c r="U810" s="79"/>
      <c r="X810" s="130"/>
      <c r="Z810" s="106"/>
    </row>
    <row r="811">
      <c r="C811" s="79"/>
      <c r="D811" s="79"/>
      <c r="J811" s="79"/>
      <c r="P811" s="79"/>
      <c r="Q811" s="79"/>
      <c r="T811" s="79"/>
      <c r="U811" s="79"/>
      <c r="X811" s="130"/>
      <c r="Z811" s="106"/>
    </row>
    <row r="812">
      <c r="C812" s="79"/>
      <c r="D812" s="79"/>
      <c r="J812" s="79"/>
      <c r="P812" s="79"/>
      <c r="Q812" s="79"/>
      <c r="T812" s="79"/>
      <c r="U812" s="79"/>
      <c r="X812" s="130"/>
      <c r="Z812" s="106"/>
    </row>
    <row r="813">
      <c r="C813" s="79"/>
      <c r="D813" s="79"/>
      <c r="J813" s="79"/>
      <c r="P813" s="79"/>
      <c r="Q813" s="79"/>
      <c r="T813" s="79"/>
      <c r="U813" s="79"/>
      <c r="X813" s="130"/>
      <c r="Z813" s="106"/>
    </row>
    <row r="814">
      <c r="C814" s="79"/>
      <c r="D814" s="79"/>
      <c r="J814" s="79"/>
      <c r="P814" s="79"/>
      <c r="Q814" s="79"/>
      <c r="T814" s="79"/>
      <c r="U814" s="79"/>
      <c r="X814" s="130"/>
      <c r="Z814" s="106"/>
    </row>
    <row r="815">
      <c r="C815" s="79"/>
      <c r="D815" s="79"/>
      <c r="J815" s="79"/>
      <c r="P815" s="79"/>
      <c r="Q815" s="79"/>
      <c r="T815" s="79"/>
      <c r="U815" s="79"/>
      <c r="X815" s="130"/>
      <c r="Z815" s="106"/>
    </row>
    <row r="816">
      <c r="C816" s="79"/>
      <c r="D816" s="79"/>
      <c r="J816" s="79"/>
      <c r="P816" s="79"/>
      <c r="Q816" s="79"/>
      <c r="T816" s="79"/>
      <c r="U816" s="79"/>
      <c r="X816" s="130"/>
      <c r="Z816" s="106"/>
    </row>
    <row r="817">
      <c r="C817" s="79"/>
      <c r="D817" s="79"/>
      <c r="J817" s="79"/>
      <c r="P817" s="79"/>
      <c r="Q817" s="79"/>
      <c r="T817" s="79"/>
      <c r="U817" s="79"/>
      <c r="X817" s="130"/>
      <c r="Z817" s="106"/>
    </row>
    <row r="818">
      <c r="C818" s="79"/>
      <c r="D818" s="79"/>
      <c r="J818" s="79"/>
      <c r="P818" s="79"/>
      <c r="Q818" s="79"/>
      <c r="T818" s="79"/>
      <c r="U818" s="79"/>
      <c r="X818" s="130"/>
      <c r="Z818" s="106"/>
    </row>
    <row r="819">
      <c r="C819" s="79"/>
      <c r="D819" s="79"/>
      <c r="J819" s="79"/>
      <c r="P819" s="79"/>
      <c r="Q819" s="79"/>
      <c r="T819" s="79"/>
      <c r="U819" s="79"/>
      <c r="X819" s="130"/>
      <c r="Z819" s="106"/>
    </row>
    <row r="820">
      <c r="C820" s="79"/>
      <c r="D820" s="79"/>
      <c r="J820" s="79"/>
      <c r="P820" s="79"/>
      <c r="Q820" s="79"/>
      <c r="T820" s="79"/>
      <c r="U820" s="79"/>
      <c r="X820" s="130"/>
      <c r="Z820" s="106"/>
    </row>
    <row r="821">
      <c r="C821" s="79"/>
      <c r="D821" s="79"/>
      <c r="J821" s="79"/>
      <c r="P821" s="79"/>
      <c r="Q821" s="79"/>
      <c r="T821" s="79"/>
      <c r="U821" s="79"/>
      <c r="X821" s="130"/>
      <c r="Z821" s="106"/>
    </row>
    <row r="822">
      <c r="C822" s="79"/>
      <c r="D822" s="79"/>
      <c r="J822" s="79"/>
      <c r="P822" s="79"/>
      <c r="Q822" s="79"/>
      <c r="T822" s="79"/>
      <c r="U822" s="79"/>
      <c r="X822" s="130"/>
      <c r="Z822" s="106"/>
    </row>
    <row r="823">
      <c r="C823" s="79"/>
      <c r="D823" s="79"/>
      <c r="J823" s="79"/>
      <c r="P823" s="79"/>
      <c r="Q823" s="79"/>
      <c r="T823" s="79"/>
      <c r="U823" s="79"/>
      <c r="X823" s="130"/>
      <c r="Z823" s="106"/>
    </row>
    <row r="824">
      <c r="C824" s="79"/>
      <c r="D824" s="79"/>
      <c r="J824" s="79"/>
      <c r="P824" s="79"/>
      <c r="Q824" s="79"/>
      <c r="T824" s="79"/>
      <c r="U824" s="79"/>
      <c r="X824" s="130"/>
      <c r="Z824" s="106"/>
    </row>
    <row r="825">
      <c r="C825" s="79"/>
      <c r="D825" s="79"/>
      <c r="J825" s="79"/>
      <c r="P825" s="79"/>
      <c r="Q825" s="79"/>
      <c r="T825" s="79"/>
      <c r="U825" s="79"/>
      <c r="X825" s="130"/>
      <c r="Z825" s="106"/>
    </row>
    <row r="826">
      <c r="C826" s="79"/>
      <c r="D826" s="79"/>
      <c r="J826" s="79"/>
      <c r="P826" s="79"/>
      <c r="Q826" s="79"/>
      <c r="T826" s="79"/>
      <c r="U826" s="79"/>
      <c r="X826" s="130"/>
      <c r="Z826" s="106"/>
    </row>
    <row r="827">
      <c r="C827" s="79"/>
      <c r="D827" s="79"/>
      <c r="J827" s="79"/>
      <c r="P827" s="79"/>
      <c r="Q827" s="79"/>
      <c r="T827" s="79"/>
      <c r="U827" s="79"/>
      <c r="X827" s="130"/>
      <c r="Z827" s="106"/>
    </row>
    <row r="828">
      <c r="C828" s="79"/>
      <c r="D828" s="79"/>
      <c r="J828" s="79"/>
      <c r="P828" s="79"/>
      <c r="Q828" s="79"/>
      <c r="T828" s="79"/>
      <c r="U828" s="79"/>
      <c r="X828" s="130"/>
      <c r="Z828" s="106"/>
    </row>
    <row r="829">
      <c r="C829" s="79"/>
      <c r="D829" s="79"/>
      <c r="J829" s="79"/>
      <c r="P829" s="79"/>
      <c r="Q829" s="79"/>
      <c r="T829" s="79"/>
      <c r="U829" s="79"/>
      <c r="X829" s="130"/>
      <c r="Z829" s="106"/>
    </row>
    <row r="830">
      <c r="C830" s="79"/>
      <c r="D830" s="79"/>
      <c r="J830" s="79"/>
      <c r="P830" s="79"/>
      <c r="Q830" s="79"/>
      <c r="T830" s="79"/>
      <c r="U830" s="79"/>
      <c r="X830" s="130"/>
      <c r="Z830" s="106"/>
    </row>
    <row r="831">
      <c r="C831" s="79"/>
      <c r="D831" s="79"/>
      <c r="J831" s="79"/>
      <c r="P831" s="79"/>
      <c r="Q831" s="79"/>
      <c r="T831" s="79"/>
      <c r="U831" s="79"/>
      <c r="X831" s="130"/>
      <c r="Z831" s="106"/>
    </row>
    <row r="832">
      <c r="C832" s="79"/>
      <c r="D832" s="79"/>
      <c r="J832" s="79"/>
      <c r="P832" s="79"/>
      <c r="Q832" s="79"/>
      <c r="T832" s="79"/>
      <c r="U832" s="79"/>
      <c r="X832" s="130"/>
      <c r="Z832" s="106"/>
    </row>
    <row r="833">
      <c r="C833" s="79"/>
      <c r="D833" s="79"/>
      <c r="J833" s="79"/>
      <c r="P833" s="79"/>
      <c r="Q833" s="79"/>
      <c r="T833" s="79"/>
      <c r="U833" s="79"/>
      <c r="X833" s="130"/>
      <c r="Z833" s="106"/>
    </row>
    <row r="834">
      <c r="C834" s="79"/>
      <c r="D834" s="79"/>
      <c r="J834" s="79"/>
      <c r="P834" s="79"/>
      <c r="Q834" s="79"/>
      <c r="T834" s="79"/>
      <c r="U834" s="79"/>
      <c r="X834" s="130"/>
      <c r="Z834" s="106"/>
    </row>
    <row r="835">
      <c r="C835" s="79"/>
      <c r="D835" s="79"/>
      <c r="J835" s="79"/>
      <c r="P835" s="79"/>
      <c r="Q835" s="79"/>
      <c r="T835" s="79"/>
      <c r="U835" s="79"/>
      <c r="X835" s="130"/>
      <c r="Z835" s="106"/>
    </row>
    <row r="836">
      <c r="C836" s="79"/>
      <c r="D836" s="79"/>
      <c r="J836" s="79"/>
      <c r="P836" s="79"/>
      <c r="Q836" s="79"/>
      <c r="T836" s="79"/>
      <c r="U836" s="79"/>
      <c r="X836" s="130"/>
      <c r="Z836" s="106"/>
    </row>
    <row r="837">
      <c r="C837" s="79"/>
      <c r="D837" s="79"/>
      <c r="J837" s="79"/>
      <c r="P837" s="79"/>
      <c r="Q837" s="79"/>
      <c r="T837" s="79"/>
      <c r="U837" s="79"/>
      <c r="X837" s="130"/>
      <c r="Z837" s="106"/>
    </row>
    <row r="838">
      <c r="C838" s="79"/>
      <c r="D838" s="79"/>
      <c r="J838" s="79"/>
      <c r="P838" s="79"/>
      <c r="Q838" s="79"/>
      <c r="T838" s="79"/>
      <c r="U838" s="79"/>
      <c r="X838" s="130"/>
      <c r="Z838" s="106"/>
    </row>
    <row r="839">
      <c r="C839" s="79"/>
      <c r="D839" s="79"/>
      <c r="J839" s="79"/>
      <c r="P839" s="79"/>
      <c r="Q839" s="79"/>
      <c r="T839" s="79"/>
      <c r="U839" s="79"/>
      <c r="X839" s="130"/>
      <c r="Z839" s="106"/>
    </row>
    <row r="840">
      <c r="C840" s="79"/>
      <c r="D840" s="79"/>
      <c r="J840" s="79"/>
      <c r="P840" s="79"/>
      <c r="Q840" s="79"/>
      <c r="T840" s="79"/>
      <c r="U840" s="79"/>
      <c r="X840" s="130"/>
      <c r="Z840" s="106"/>
    </row>
    <row r="841">
      <c r="C841" s="79"/>
      <c r="D841" s="79"/>
      <c r="J841" s="79"/>
      <c r="P841" s="79"/>
      <c r="Q841" s="79"/>
      <c r="T841" s="79"/>
      <c r="U841" s="79"/>
      <c r="X841" s="130"/>
      <c r="Z841" s="106"/>
    </row>
    <row r="842">
      <c r="C842" s="79"/>
      <c r="D842" s="79"/>
      <c r="J842" s="79"/>
      <c r="P842" s="79"/>
      <c r="Q842" s="79"/>
      <c r="T842" s="79"/>
      <c r="U842" s="79"/>
      <c r="X842" s="130"/>
      <c r="Z842" s="106"/>
    </row>
    <row r="843">
      <c r="C843" s="79"/>
      <c r="D843" s="79"/>
      <c r="J843" s="79"/>
      <c r="P843" s="79"/>
      <c r="Q843" s="79"/>
      <c r="T843" s="79"/>
      <c r="U843" s="79"/>
      <c r="X843" s="130"/>
      <c r="Z843" s="106"/>
    </row>
    <row r="844">
      <c r="C844" s="79"/>
      <c r="D844" s="79"/>
      <c r="J844" s="79"/>
      <c r="P844" s="79"/>
      <c r="Q844" s="79"/>
      <c r="T844" s="79"/>
      <c r="U844" s="79"/>
      <c r="X844" s="130"/>
      <c r="Z844" s="106"/>
    </row>
    <row r="845">
      <c r="C845" s="79"/>
      <c r="D845" s="79"/>
      <c r="J845" s="79"/>
      <c r="P845" s="79"/>
      <c r="Q845" s="79"/>
      <c r="T845" s="79"/>
      <c r="U845" s="79"/>
      <c r="X845" s="130"/>
      <c r="Z845" s="106"/>
    </row>
    <row r="846">
      <c r="C846" s="79"/>
      <c r="D846" s="79"/>
      <c r="J846" s="79"/>
      <c r="P846" s="79"/>
      <c r="Q846" s="79"/>
      <c r="T846" s="79"/>
      <c r="U846" s="79"/>
      <c r="X846" s="130"/>
      <c r="Z846" s="106"/>
    </row>
    <row r="847">
      <c r="C847" s="79"/>
      <c r="D847" s="79"/>
      <c r="J847" s="79"/>
      <c r="P847" s="79"/>
      <c r="Q847" s="79"/>
      <c r="T847" s="79"/>
      <c r="U847" s="79"/>
      <c r="X847" s="130"/>
      <c r="Z847" s="106"/>
    </row>
    <row r="848">
      <c r="C848" s="79"/>
      <c r="D848" s="79"/>
      <c r="J848" s="79"/>
      <c r="P848" s="79"/>
      <c r="Q848" s="79"/>
      <c r="T848" s="79"/>
      <c r="U848" s="79"/>
      <c r="X848" s="130"/>
      <c r="Z848" s="106"/>
    </row>
    <row r="849">
      <c r="C849" s="79"/>
      <c r="D849" s="79"/>
      <c r="J849" s="79"/>
      <c r="P849" s="79"/>
      <c r="Q849" s="79"/>
      <c r="T849" s="79"/>
      <c r="U849" s="79"/>
      <c r="X849" s="130"/>
      <c r="Z849" s="106"/>
    </row>
    <row r="850">
      <c r="C850" s="79"/>
      <c r="D850" s="79"/>
      <c r="J850" s="79"/>
      <c r="P850" s="79"/>
      <c r="Q850" s="79"/>
      <c r="T850" s="79"/>
      <c r="U850" s="79"/>
      <c r="X850" s="130"/>
      <c r="Z850" s="106"/>
    </row>
    <row r="851">
      <c r="C851" s="79"/>
      <c r="D851" s="79"/>
      <c r="J851" s="79"/>
      <c r="P851" s="79"/>
      <c r="Q851" s="79"/>
      <c r="T851" s="79"/>
      <c r="U851" s="79"/>
      <c r="X851" s="130"/>
      <c r="Z851" s="106"/>
    </row>
    <row r="852">
      <c r="C852" s="79"/>
      <c r="D852" s="79"/>
      <c r="J852" s="79"/>
      <c r="P852" s="79"/>
      <c r="Q852" s="79"/>
      <c r="T852" s="79"/>
      <c r="U852" s="79"/>
      <c r="X852" s="130"/>
      <c r="Z852" s="106"/>
    </row>
    <row r="853">
      <c r="C853" s="79"/>
      <c r="D853" s="79"/>
      <c r="J853" s="79"/>
      <c r="P853" s="79"/>
      <c r="Q853" s="79"/>
      <c r="T853" s="79"/>
      <c r="U853" s="79"/>
      <c r="X853" s="130"/>
      <c r="Z853" s="106"/>
    </row>
    <row r="854">
      <c r="C854" s="79"/>
      <c r="D854" s="79"/>
      <c r="J854" s="79"/>
      <c r="P854" s="79"/>
      <c r="Q854" s="79"/>
      <c r="T854" s="79"/>
      <c r="U854" s="79"/>
      <c r="X854" s="130"/>
      <c r="Z854" s="106"/>
    </row>
    <row r="855">
      <c r="C855" s="79"/>
      <c r="D855" s="79"/>
      <c r="J855" s="79"/>
      <c r="P855" s="79"/>
      <c r="Q855" s="79"/>
      <c r="T855" s="79"/>
      <c r="U855" s="79"/>
      <c r="X855" s="130"/>
      <c r="Z855" s="106"/>
    </row>
    <row r="856">
      <c r="C856" s="79"/>
      <c r="D856" s="79"/>
      <c r="J856" s="79"/>
      <c r="P856" s="79"/>
      <c r="Q856" s="79"/>
      <c r="T856" s="79"/>
      <c r="U856" s="79"/>
      <c r="X856" s="130"/>
      <c r="Z856" s="106"/>
    </row>
    <row r="857">
      <c r="C857" s="79"/>
      <c r="D857" s="79"/>
      <c r="J857" s="79"/>
      <c r="P857" s="79"/>
      <c r="Q857" s="79"/>
      <c r="T857" s="79"/>
      <c r="U857" s="79"/>
      <c r="X857" s="130"/>
      <c r="Z857" s="106"/>
    </row>
    <row r="858">
      <c r="C858" s="79"/>
      <c r="D858" s="79"/>
      <c r="J858" s="79"/>
      <c r="P858" s="79"/>
      <c r="Q858" s="79"/>
      <c r="T858" s="79"/>
      <c r="U858" s="79"/>
      <c r="X858" s="130"/>
      <c r="Z858" s="106"/>
    </row>
    <row r="859">
      <c r="C859" s="79"/>
      <c r="D859" s="79"/>
      <c r="J859" s="79"/>
      <c r="P859" s="79"/>
      <c r="Q859" s="79"/>
      <c r="T859" s="79"/>
      <c r="U859" s="79"/>
      <c r="X859" s="130"/>
      <c r="Z859" s="106"/>
    </row>
    <row r="860">
      <c r="C860" s="79"/>
      <c r="D860" s="79"/>
      <c r="J860" s="79"/>
      <c r="P860" s="79"/>
      <c r="Q860" s="79"/>
      <c r="T860" s="79"/>
      <c r="U860" s="79"/>
      <c r="X860" s="130"/>
      <c r="Z860" s="106"/>
    </row>
    <row r="861">
      <c r="C861" s="79"/>
      <c r="D861" s="79"/>
      <c r="J861" s="79"/>
      <c r="P861" s="79"/>
      <c r="Q861" s="79"/>
      <c r="T861" s="79"/>
      <c r="U861" s="79"/>
      <c r="X861" s="130"/>
      <c r="Z861" s="106"/>
    </row>
    <row r="862">
      <c r="C862" s="79"/>
      <c r="D862" s="79"/>
      <c r="J862" s="79"/>
      <c r="P862" s="79"/>
      <c r="Q862" s="79"/>
      <c r="T862" s="79"/>
      <c r="U862" s="79"/>
      <c r="X862" s="130"/>
      <c r="Z862" s="106"/>
    </row>
    <row r="863">
      <c r="C863" s="79"/>
      <c r="D863" s="79"/>
      <c r="J863" s="79"/>
      <c r="P863" s="79"/>
      <c r="Q863" s="79"/>
      <c r="T863" s="79"/>
      <c r="U863" s="79"/>
      <c r="X863" s="130"/>
      <c r="Z863" s="106"/>
    </row>
    <row r="864">
      <c r="C864" s="79"/>
      <c r="D864" s="79"/>
      <c r="J864" s="79"/>
      <c r="P864" s="79"/>
      <c r="Q864" s="79"/>
      <c r="T864" s="79"/>
      <c r="U864" s="79"/>
      <c r="X864" s="130"/>
      <c r="Z864" s="106"/>
    </row>
    <row r="865">
      <c r="C865" s="79"/>
      <c r="D865" s="79"/>
      <c r="J865" s="79"/>
      <c r="P865" s="79"/>
      <c r="Q865" s="79"/>
      <c r="T865" s="79"/>
      <c r="U865" s="79"/>
      <c r="X865" s="130"/>
      <c r="Z865" s="106"/>
    </row>
    <row r="866">
      <c r="C866" s="79"/>
      <c r="D866" s="79"/>
      <c r="J866" s="79"/>
      <c r="P866" s="79"/>
      <c r="Q866" s="79"/>
      <c r="T866" s="79"/>
      <c r="U866" s="79"/>
      <c r="X866" s="130"/>
      <c r="Z866" s="106"/>
    </row>
    <row r="867">
      <c r="C867" s="79"/>
      <c r="D867" s="79"/>
      <c r="J867" s="79"/>
      <c r="P867" s="79"/>
      <c r="Q867" s="79"/>
      <c r="T867" s="79"/>
      <c r="U867" s="79"/>
      <c r="X867" s="130"/>
      <c r="Z867" s="106"/>
    </row>
    <row r="868">
      <c r="C868" s="79"/>
      <c r="D868" s="79"/>
      <c r="J868" s="79"/>
      <c r="P868" s="79"/>
      <c r="Q868" s="79"/>
      <c r="T868" s="79"/>
      <c r="U868" s="79"/>
      <c r="X868" s="130"/>
      <c r="Z868" s="106"/>
    </row>
    <row r="869">
      <c r="C869" s="79"/>
      <c r="D869" s="79"/>
      <c r="J869" s="79"/>
      <c r="P869" s="79"/>
      <c r="Q869" s="79"/>
      <c r="T869" s="79"/>
      <c r="U869" s="79"/>
      <c r="X869" s="130"/>
      <c r="Z869" s="106"/>
    </row>
    <row r="870">
      <c r="C870" s="79"/>
      <c r="D870" s="79"/>
      <c r="J870" s="79"/>
      <c r="P870" s="79"/>
      <c r="Q870" s="79"/>
      <c r="T870" s="79"/>
      <c r="U870" s="79"/>
      <c r="X870" s="130"/>
      <c r="Z870" s="106"/>
    </row>
    <row r="871">
      <c r="C871" s="79"/>
      <c r="D871" s="79"/>
      <c r="J871" s="79"/>
      <c r="P871" s="79"/>
      <c r="Q871" s="79"/>
      <c r="T871" s="79"/>
      <c r="U871" s="79"/>
      <c r="X871" s="130"/>
      <c r="Z871" s="106"/>
    </row>
    <row r="872">
      <c r="C872" s="79"/>
      <c r="D872" s="79"/>
      <c r="J872" s="79"/>
      <c r="P872" s="79"/>
      <c r="Q872" s="79"/>
      <c r="T872" s="79"/>
      <c r="U872" s="79"/>
      <c r="X872" s="130"/>
      <c r="Z872" s="106"/>
    </row>
    <row r="873">
      <c r="C873" s="79"/>
      <c r="D873" s="79"/>
      <c r="J873" s="79"/>
      <c r="P873" s="79"/>
      <c r="Q873" s="79"/>
      <c r="T873" s="79"/>
      <c r="U873" s="79"/>
      <c r="X873" s="130"/>
      <c r="Z873" s="106"/>
    </row>
    <row r="874">
      <c r="C874" s="79"/>
      <c r="D874" s="79"/>
      <c r="J874" s="79"/>
      <c r="P874" s="79"/>
      <c r="Q874" s="79"/>
      <c r="T874" s="79"/>
      <c r="U874" s="79"/>
      <c r="X874" s="130"/>
      <c r="Z874" s="106"/>
    </row>
    <row r="875">
      <c r="C875" s="79"/>
      <c r="D875" s="79"/>
      <c r="J875" s="79"/>
      <c r="P875" s="79"/>
      <c r="Q875" s="79"/>
      <c r="T875" s="79"/>
      <c r="U875" s="79"/>
      <c r="X875" s="130"/>
      <c r="Z875" s="106"/>
    </row>
    <row r="876">
      <c r="C876" s="79"/>
      <c r="D876" s="79"/>
      <c r="J876" s="79"/>
      <c r="P876" s="79"/>
      <c r="Q876" s="79"/>
      <c r="T876" s="79"/>
      <c r="U876" s="79"/>
      <c r="X876" s="130"/>
      <c r="Z876" s="106"/>
    </row>
    <row r="877">
      <c r="C877" s="79"/>
      <c r="D877" s="79"/>
      <c r="J877" s="79"/>
      <c r="P877" s="79"/>
      <c r="Q877" s="79"/>
      <c r="T877" s="79"/>
      <c r="U877" s="79"/>
      <c r="X877" s="130"/>
      <c r="Z877" s="106"/>
    </row>
    <row r="878">
      <c r="C878" s="79"/>
      <c r="D878" s="79"/>
      <c r="J878" s="79"/>
      <c r="P878" s="79"/>
      <c r="Q878" s="79"/>
      <c r="T878" s="79"/>
      <c r="U878" s="79"/>
      <c r="X878" s="130"/>
      <c r="Z878" s="106"/>
    </row>
    <row r="879">
      <c r="C879" s="79"/>
      <c r="D879" s="79"/>
      <c r="J879" s="79"/>
      <c r="P879" s="79"/>
      <c r="Q879" s="79"/>
      <c r="T879" s="79"/>
      <c r="U879" s="79"/>
      <c r="X879" s="130"/>
      <c r="Z879" s="106"/>
    </row>
    <row r="880">
      <c r="C880" s="79"/>
      <c r="D880" s="79"/>
      <c r="J880" s="79"/>
      <c r="P880" s="79"/>
      <c r="Q880" s="79"/>
      <c r="T880" s="79"/>
      <c r="U880" s="79"/>
      <c r="X880" s="130"/>
      <c r="Z880" s="106"/>
    </row>
    <row r="881">
      <c r="C881" s="79"/>
      <c r="D881" s="79"/>
      <c r="J881" s="79"/>
      <c r="P881" s="79"/>
      <c r="Q881" s="79"/>
      <c r="T881" s="79"/>
      <c r="U881" s="79"/>
      <c r="X881" s="130"/>
      <c r="Z881" s="106"/>
    </row>
    <row r="882">
      <c r="C882" s="79"/>
      <c r="D882" s="79"/>
      <c r="J882" s="79"/>
      <c r="P882" s="79"/>
      <c r="Q882" s="79"/>
      <c r="T882" s="79"/>
      <c r="U882" s="79"/>
      <c r="X882" s="130"/>
      <c r="Z882" s="106"/>
    </row>
    <row r="883">
      <c r="C883" s="79"/>
      <c r="D883" s="79"/>
      <c r="J883" s="79"/>
      <c r="P883" s="79"/>
      <c r="Q883" s="79"/>
      <c r="T883" s="79"/>
      <c r="U883" s="79"/>
      <c r="X883" s="130"/>
      <c r="Z883" s="106"/>
    </row>
    <row r="884">
      <c r="C884" s="79"/>
      <c r="D884" s="79"/>
      <c r="J884" s="79"/>
      <c r="P884" s="79"/>
      <c r="Q884" s="79"/>
      <c r="T884" s="79"/>
      <c r="U884" s="79"/>
      <c r="X884" s="130"/>
      <c r="Z884" s="106"/>
    </row>
    <row r="885">
      <c r="C885" s="79"/>
      <c r="D885" s="79"/>
      <c r="J885" s="79"/>
      <c r="P885" s="79"/>
      <c r="Q885" s="79"/>
      <c r="T885" s="79"/>
      <c r="U885" s="79"/>
      <c r="X885" s="130"/>
      <c r="Z885" s="106"/>
    </row>
    <row r="886">
      <c r="C886" s="79"/>
      <c r="D886" s="79"/>
      <c r="J886" s="79"/>
      <c r="P886" s="79"/>
      <c r="Q886" s="79"/>
      <c r="T886" s="79"/>
      <c r="U886" s="79"/>
      <c r="X886" s="130"/>
      <c r="Z886" s="106"/>
    </row>
    <row r="887">
      <c r="C887" s="79"/>
      <c r="D887" s="79"/>
      <c r="J887" s="79"/>
      <c r="P887" s="79"/>
      <c r="Q887" s="79"/>
      <c r="T887" s="79"/>
      <c r="U887" s="79"/>
      <c r="X887" s="130"/>
      <c r="Z887" s="106"/>
    </row>
    <row r="888">
      <c r="C888" s="79"/>
      <c r="D888" s="79"/>
      <c r="J888" s="79"/>
      <c r="P888" s="79"/>
      <c r="Q888" s="79"/>
      <c r="T888" s="79"/>
      <c r="U888" s="79"/>
      <c r="X888" s="130"/>
      <c r="Z888" s="106"/>
    </row>
    <row r="889">
      <c r="C889" s="79"/>
      <c r="D889" s="79"/>
      <c r="J889" s="79"/>
      <c r="P889" s="79"/>
      <c r="Q889" s="79"/>
      <c r="T889" s="79"/>
      <c r="U889" s="79"/>
      <c r="X889" s="130"/>
      <c r="Z889" s="106"/>
    </row>
    <row r="890">
      <c r="C890" s="79"/>
      <c r="D890" s="79"/>
      <c r="J890" s="79"/>
      <c r="P890" s="79"/>
      <c r="Q890" s="79"/>
      <c r="T890" s="79"/>
      <c r="U890" s="79"/>
      <c r="X890" s="130"/>
      <c r="Z890" s="106"/>
    </row>
    <row r="891">
      <c r="C891" s="79"/>
      <c r="D891" s="79"/>
      <c r="J891" s="79"/>
      <c r="P891" s="79"/>
      <c r="Q891" s="79"/>
      <c r="T891" s="79"/>
      <c r="U891" s="79"/>
      <c r="X891" s="130"/>
      <c r="Z891" s="106"/>
    </row>
    <row r="892">
      <c r="C892" s="79"/>
      <c r="D892" s="79"/>
      <c r="J892" s="79"/>
      <c r="P892" s="79"/>
      <c r="Q892" s="79"/>
      <c r="T892" s="79"/>
      <c r="U892" s="79"/>
      <c r="X892" s="130"/>
      <c r="Z892" s="106"/>
    </row>
    <row r="893">
      <c r="C893" s="79"/>
      <c r="D893" s="79"/>
      <c r="J893" s="79"/>
      <c r="P893" s="79"/>
      <c r="Q893" s="79"/>
      <c r="T893" s="79"/>
      <c r="U893" s="79"/>
      <c r="X893" s="130"/>
      <c r="Z893" s="106"/>
    </row>
    <row r="894">
      <c r="C894" s="79"/>
      <c r="D894" s="79"/>
      <c r="J894" s="79"/>
      <c r="P894" s="79"/>
      <c r="Q894" s="79"/>
      <c r="T894" s="79"/>
      <c r="U894" s="79"/>
      <c r="X894" s="130"/>
      <c r="Z894" s="106"/>
    </row>
    <row r="895">
      <c r="C895" s="79"/>
      <c r="D895" s="79"/>
      <c r="J895" s="79"/>
      <c r="P895" s="79"/>
      <c r="Q895" s="79"/>
      <c r="T895" s="79"/>
      <c r="U895" s="79"/>
      <c r="X895" s="130"/>
      <c r="Z895" s="106"/>
    </row>
    <row r="896">
      <c r="C896" s="79"/>
      <c r="D896" s="79"/>
      <c r="J896" s="79"/>
      <c r="P896" s="79"/>
      <c r="Q896" s="79"/>
      <c r="T896" s="79"/>
      <c r="U896" s="79"/>
      <c r="X896" s="130"/>
      <c r="Z896" s="106"/>
    </row>
    <row r="897">
      <c r="C897" s="79"/>
      <c r="D897" s="79"/>
      <c r="J897" s="79"/>
      <c r="P897" s="79"/>
      <c r="Q897" s="79"/>
      <c r="T897" s="79"/>
      <c r="U897" s="79"/>
      <c r="X897" s="130"/>
      <c r="Z897" s="106"/>
    </row>
    <row r="898">
      <c r="C898" s="79"/>
      <c r="D898" s="79"/>
      <c r="J898" s="79"/>
      <c r="P898" s="79"/>
      <c r="Q898" s="79"/>
      <c r="T898" s="79"/>
      <c r="U898" s="79"/>
      <c r="X898" s="130"/>
      <c r="Z898" s="106"/>
    </row>
    <row r="899">
      <c r="C899" s="79"/>
      <c r="D899" s="79"/>
      <c r="J899" s="79"/>
      <c r="P899" s="79"/>
      <c r="Q899" s="79"/>
      <c r="T899" s="79"/>
      <c r="U899" s="79"/>
      <c r="X899" s="130"/>
      <c r="Z899" s="106"/>
    </row>
    <row r="900">
      <c r="C900" s="79"/>
      <c r="D900" s="79"/>
      <c r="J900" s="79"/>
      <c r="P900" s="79"/>
      <c r="Q900" s="79"/>
      <c r="T900" s="79"/>
      <c r="U900" s="79"/>
      <c r="X900" s="130"/>
      <c r="Z900" s="106"/>
    </row>
    <row r="901">
      <c r="C901" s="79"/>
      <c r="D901" s="79"/>
      <c r="J901" s="79"/>
      <c r="P901" s="79"/>
      <c r="Q901" s="79"/>
      <c r="T901" s="79"/>
      <c r="U901" s="79"/>
      <c r="X901" s="130"/>
      <c r="Z901" s="106"/>
    </row>
    <row r="902">
      <c r="C902" s="79"/>
      <c r="D902" s="79"/>
      <c r="J902" s="79"/>
      <c r="P902" s="79"/>
      <c r="Q902" s="79"/>
      <c r="T902" s="79"/>
      <c r="U902" s="79"/>
      <c r="X902" s="130"/>
      <c r="Z902" s="106"/>
    </row>
    <row r="903">
      <c r="C903" s="79"/>
      <c r="D903" s="79"/>
      <c r="J903" s="79"/>
      <c r="P903" s="79"/>
      <c r="Q903" s="79"/>
      <c r="T903" s="79"/>
      <c r="U903" s="79"/>
      <c r="X903" s="130"/>
      <c r="Z903" s="106"/>
    </row>
    <row r="904">
      <c r="C904" s="79"/>
      <c r="D904" s="79"/>
      <c r="J904" s="79"/>
      <c r="P904" s="79"/>
      <c r="Q904" s="79"/>
      <c r="T904" s="79"/>
      <c r="U904" s="79"/>
      <c r="X904" s="130"/>
      <c r="Z904" s="106"/>
    </row>
    <row r="905">
      <c r="C905" s="79"/>
      <c r="D905" s="79"/>
      <c r="J905" s="79"/>
      <c r="P905" s="79"/>
      <c r="Q905" s="79"/>
      <c r="T905" s="79"/>
      <c r="U905" s="79"/>
      <c r="X905" s="130"/>
      <c r="Z905" s="106"/>
    </row>
    <row r="906">
      <c r="C906" s="79"/>
      <c r="D906" s="79"/>
      <c r="J906" s="79"/>
      <c r="P906" s="79"/>
      <c r="Q906" s="79"/>
      <c r="T906" s="79"/>
      <c r="U906" s="79"/>
      <c r="X906" s="130"/>
      <c r="Z906" s="106"/>
    </row>
    <row r="907">
      <c r="C907" s="79"/>
      <c r="D907" s="79"/>
      <c r="J907" s="79"/>
      <c r="P907" s="79"/>
      <c r="Q907" s="79"/>
      <c r="T907" s="79"/>
      <c r="U907" s="79"/>
      <c r="X907" s="130"/>
      <c r="Z907" s="106"/>
    </row>
    <row r="908">
      <c r="C908" s="79"/>
      <c r="D908" s="79"/>
      <c r="J908" s="79"/>
      <c r="P908" s="79"/>
      <c r="Q908" s="79"/>
      <c r="T908" s="79"/>
      <c r="U908" s="79"/>
      <c r="X908" s="130"/>
      <c r="Z908" s="106"/>
    </row>
    <row r="909">
      <c r="C909" s="79"/>
      <c r="D909" s="79"/>
      <c r="J909" s="79"/>
      <c r="P909" s="79"/>
      <c r="Q909" s="79"/>
      <c r="T909" s="79"/>
      <c r="U909" s="79"/>
      <c r="X909" s="130"/>
      <c r="Z909" s="106"/>
    </row>
    <row r="910">
      <c r="C910" s="79"/>
      <c r="D910" s="79"/>
      <c r="J910" s="79"/>
      <c r="P910" s="79"/>
      <c r="Q910" s="79"/>
      <c r="T910" s="79"/>
      <c r="U910" s="79"/>
      <c r="X910" s="130"/>
      <c r="Z910" s="106"/>
    </row>
    <row r="911">
      <c r="C911" s="79"/>
      <c r="D911" s="79"/>
      <c r="J911" s="79"/>
      <c r="P911" s="79"/>
      <c r="Q911" s="79"/>
      <c r="T911" s="79"/>
      <c r="U911" s="79"/>
      <c r="X911" s="130"/>
      <c r="Z911" s="106"/>
    </row>
    <row r="912">
      <c r="C912" s="79"/>
      <c r="D912" s="79"/>
      <c r="J912" s="79"/>
      <c r="P912" s="79"/>
      <c r="Q912" s="79"/>
      <c r="T912" s="79"/>
      <c r="U912" s="79"/>
      <c r="X912" s="130"/>
      <c r="Z912" s="106"/>
    </row>
    <row r="913">
      <c r="C913" s="79"/>
      <c r="D913" s="79"/>
      <c r="J913" s="79"/>
      <c r="P913" s="79"/>
      <c r="Q913" s="79"/>
      <c r="T913" s="79"/>
      <c r="U913" s="79"/>
      <c r="X913" s="130"/>
      <c r="Z913" s="106"/>
    </row>
    <row r="914">
      <c r="C914" s="79"/>
      <c r="D914" s="79"/>
      <c r="J914" s="79"/>
      <c r="P914" s="79"/>
      <c r="Q914" s="79"/>
      <c r="T914" s="79"/>
      <c r="U914" s="79"/>
      <c r="X914" s="130"/>
      <c r="Z914" s="106"/>
    </row>
    <row r="915">
      <c r="C915" s="79"/>
      <c r="D915" s="79"/>
      <c r="J915" s="79"/>
      <c r="P915" s="79"/>
      <c r="Q915" s="79"/>
      <c r="T915" s="79"/>
      <c r="U915" s="79"/>
      <c r="X915" s="130"/>
      <c r="Z915" s="106"/>
    </row>
    <row r="916">
      <c r="C916" s="79"/>
      <c r="D916" s="79"/>
      <c r="J916" s="79"/>
      <c r="P916" s="79"/>
      <c r="Q916" s="79"/>
      <c r="T916" s="79"/>
      <c r="U916" s="79"/>
      <c r="X916" s="130"/>
      <c r="Z916" s="106"/>
    </row>
    <row r="917">
      <c r="C917" s="79"/>
      <c r="D917" s="79"/>
      <c r="J917" s="79"/>
      <c r="P917" s="79"/>
      <c r="Q917" s="79"/>
      <c r="T917" s="79"/>
      <c r="U917" s="79"/>
      <c r="X917" s="130"/>
      <c r="Z917" s="106"/>
    </row>
    <row r="918">
      <c r="C918" s="79"/>
      <c r="D918" s="79"/>
      <c r="J918" s="79"/>
      <c r="P918" s="79"/>
      <c r="Q918" s="79"/>
      <c r="T918" s="79"/>
      <c r="U918" s="79"/>
      <c r="X918" s="130"/>
      <c r="Z918" s="106"/>
    </row>
    <row r="919">
      <c r="C919" s="79"/>
      <c r="D919" s="79"/>
      <c r="J919" s="79"/>
      <c r="P919" s="79"/>
      <c r="Q919" s="79"/>
      <c r="T919" s="79"/>
      <c r="U919" s="79"/>
      <c r="X919" s="130"/>
      <c r="Z919" s="106"/>
    </row>
    <row r="920">
      <c r="C920" s="79"/>
      <c r="D920" s="79"/>
      <c r="J920" s="79"/>
      <c r="P920" s="79"/>
      <c r="Q920" s="79"/>
      <c r="T920" s="79"/>
      <c r="U920" s="79"/>
      <c r="X920" s="130"/>
      <c r="Z920" s="106"/>
    </row>
    <row r="921">
      <c r="C921" s="79"/>
      <c r="D921" s="79"/>
      <c r="J921" s="79"/>
      <c r="P921" s="79"/>
      <c r="Q921" s="79"/>
      <c r="T921" s="79"/>
      <c r="U921" s="79"/>
      <c r="X921" s="130"/>
      <c r="Z921" s="106"/>
    </row>
    <row r="922">
      <c r="C922" s="79"/>
      <c r="D922" s="79"/>
      <c r="J922" s="79"/>
      <c r="P922" s="79"/>
      <c r="Q922" s="79"/>
      <c r="T922" s="79"/>
      <c r="U922" s="79"/>
      <c r="X922" s="130"/>
      <c r="Z922" s="106"/>
    </row>
    <row r="923">
      <c r="C923" s="79"/>
      <c r="D923" s="79"/>
      <c r="J923" s="79"/>
      <c r="P923" s="79"/>
      <c r="Q923" s="79"/>
      <c r="T923" s="79"/>
      <c r="U923" s="79"/>
      <c r="X923" s="130"/>
      <c r="Z923" s="106"/>
    </row>
    <row r="924">
      <c r="C924" s="79"/>
      <c r="D924" s="79"/>
      <c r="J924" s="79"/>
      <c r="P924" s="79"/>
      <c r="Q924" s="79"/>
      <c r="T924" s="79"/>
      <c r="U924" s="79"/>
      <c r="X924" s="130"/>
      <c r="Z924" s="106"/>
    </row>
    <row r="925">
      <c r="C925" s="79"/>
      <c r="D925" s="79"/>
      <c r="J925" s="79"/>
      <c r="P925" s="79"/>
      <c r="Q925" s="79"/>
      <c r="T925" s="79"/>
      <c r="U925" s="79"/>
      <c r="X925" s="130"/>
      <c r="Z925" s="106"/>
    </row>
    <row r="926">
      <c r="C926" s="79"/>
      <c r="D926" s="79"/>
      <c r="J926" s="79"/>
      <c r="P926" s="79"/>
      <c r="Q926" s="79"/>
      <c r="T926" s="79"/>
      <c r="U926" s="79"/>
      <c r="X926" s="130"/>
      <c r="Z926" s="106"/>
    </row>
    <row r="927">
      <c r="C927" s="79"/>
      <c r="D927" s="79"/>
      <c r="J927" s="79"/>
      <c r="P927" s="79"/>
      <c r="Q927" s="79"/>
      <c r="T927" s="79"/>
      <c r="U927" s="79"/>
      <c r="X927" s="130"/>
      <c r="Z927" s="106"/>
    </row>
    <row r="928">
      <c r="C928" s="79"/>
      <c r="D928" s="79"/>
      <c r="J928" s="79"/>
      <c r="P928" s="79"/>
      <c r="Q928" s="79"/>
      <c r="T928" s="79"/>
      <c r="U928" s="79"/>
      <c r="X928" s="130"/>
      <c r="Z928" s="106"/>
    </row>
    <row r="929">
      <c r="C929" s="79"/>
      <c r="D929" s="79"/>
      <c r="J929" s="79"/>
      <c r="P929" s="79"/>
      <c r="Q929" s="79"/>
      <c r="T929" s="79"/>
      <c r="U929" s="79"/>
      <c r="X929" s="130"/>
      <c r="Z929" s="106"/>
    </row>
    <row r="930">
      <c r="C930" s="79"/>
      <c r="D930" s="79"/>
      <c r="J930" s="79"/>
      <c r="P930" s="79"/>
      <c r="Q930" s="79"/>
      <c r="T930" s="79"/>
      <c r="U930" s="79"/>
      <c r="X930" s="130"/>
      <c r="Z930" s="106"/>
    </row>
    <row r="931">
      <c r="C931" s="79"/>
      <c r="D931" s="79"/>
      <c r="J931" s="79"/>
      <c r="P931" s="79"/>
      <c r="Q931" s="79"/>
      <c r="T931" s="79"/>
      <c r="U931" s="79"/>
      <c r="X931" s="130"/>
      <c r="Z931" s="106"/>
    </row>
    <row r="932">
      <c r="C932" s="79"/>
      <c r="D932" s="79"/>
      <c r="J932" s="79"/>
      <c r="P932" s="79"/>
      <c r="Q932" s="79"/>
      <c r="T932" s="79"/>
      <c r="U932" s="79"/>
      <c r="X932" s="130"/>
      <c r="Z932" s="106"/>
    </row>
    <row r="933">
      <c r="C933" s="79"/>
      <c r="D933" s="79"/>
      <c r="J933" s="79"/>
      <c r="P933" s="79"/>
      <c r="Q933" s="79"/>
      <c r="T933" s="79"/>
      <c r="U933" s="79"/>
      <c r="X933" s="130"/>
      <c r="Z933" s="106"/>
    </row>
    <row r="934">
      <c r="C934" s="79"/>
      <c r="D934" s="79"/>
      <c r="J934" s="79"/>
      <c r="P934" s="79"/>
      <c r="Q934" s="79"/>
      <c r="T934" s="79"/>
      <c r="U934" s="79"/>
      <c r="X934" s="130"/>
      <c r="Z934" s="106"/>
    </row>
    <row r="935">
      <c r="C935" s="79"/>
      <c r="D935" s="79"/>
      <c r="J935" s="79"/>
      <c r="P935" s="79"/>
      <c r="Q935" s="79"/>
      <c r="T935" s="79"/>
      <c r="U935" s="79"/>
      <c r="X935" s="130"/>
      <c r="Z935" s="106"/>
    </row>
    <row r="936">
      <c r="C936" s="79"/>
      <c r="D936" s="79"/>
      <c r="J936" s="79"/>
      <c r="P936" s="79"/>
      <c r="Q936" s="79"/>
      <c r="T936" s="79"/>
      <c r="U936" s="79"/>
      <c r="X936" s="130"/>
      <c r="Z936" s="106"/>
    </row>
    <row r="937">
      <c r="C937" s="79"/>
      <c r="D937" s="79"/>
      <c r="J937" s="79"/>
      <c r="P937" s="79"/>
      <c r="Q937" s="79"/>
      <c r="T937" s="79"/>
      <c r="U937" s="79"/>
      <c r="X937" s="130"/>
      <c r="Z937" s="106"/>
    </row>
    <row r="938">
      <c r="C938" s="79"/>
      <c r="D938" s="79"/>
      <c r="J938" s="79"/>
      <c r="P938" s="79"/>
      <c r="Q938" s="79"/>
      <c r="T938" s="79"/>
      <c r="U938" s="79"/>
      <c r="X938" s="130"/>
      <c r="Z938" s="106"/>
    </row>
    <row r="939">
      <c r="C939" s="79"/>
      <c r="D939" s="79"/>
      <c r="J939" s="79"/>
      <c r="P939" s="79"/>
      <c r="Q939" s="79"/>
      <c r="T939" s="79"/>
      <c r="U939" s="79"/>
      <c r="X939" s="130"/>
      <c r="Z939" s="106"/>
    </row>
    <row r="940">
      <c r="C940" s="79"/>
      <c r="D940" s="79"/>
      <c r="J940" s="79"/>
      <c r="P940" s="79"/>
      <c r="Q940" s="79"/>
      <c r="T940" s="79"/>
      <c r="U940" s="79"/>
      <c r="X940" s="130"/>
      <c r="Z940" s="106"/>
    </row>
    <row r="941">
      <c r="C941" s="79"/>
      <c r="D941" s="79"/>
      <c r="J941" s="79"/>
      <c r="P941" s="79"/>
      <c r="Q941" s="79"/>
      <c r="T941" s="79"/>
      <c r="U941" s="79"/>
      <c r="X941" s="130"/>
      <c r="Z941" s="106"/>
    </row>
    <row r="942">
      <c r="C942" s="79"/>
      <c r="D942" s="79"/>
      <c r="J942" s="79"/>
      <c r="P942" s="79"/>
      <c r="Q942" s="79"/>
      <c r="T942" s="79"/>
      <c r="U942" s="79"/>
      <c r="X942" s="130"/>
      <c r="Z942" s="106"/>
    </row>
    <row r="943">
      <c r="C943" s="79"/>
      <c r="D943" s="79"/>
      <c r="J943" s="79"/>
      <c r="P943" s="79"/>
      <c r="Q943" s="79"/>
      <c r="T943" s="79"/>
      <c r="U943" s="79"/>
      <c r="X943" s="130"/>
      <c r="Z943" s="106"/>
    </row>
    <row r="944">
      <c r="C944" s="79"/>
      <c r="D944" s="79"/>
      <c r="J944" s="79"/>
      <c r="P944" s="79"/>
      <c r="Q944" s="79"/>
      <c r="T944" s="79"/>
      <c r="U944" s="79"/>
      <c r="X944" s="130"/>
      <c r="Z944" s="106"/>
    </row>
    <row r="945">
      <c r="C945" s="79"/>
      <c r="D945" s="79"/>
      <c r="J945" s="79"/>
      <c r="P945" s="79"/>
      <c r="Q945" s="79"/>
      <c r="T945" s="79"/>
      <c r="U945" s="79"/>
      <c r="X945" s="130"/>
      <c r="Z945" s="106"/>
    </row>
    <row r="946">
      <c r="C946" s="79"/>
      <c r="D946" s="79"/>
      <c r="J946" s="79"/>
      <c r="P946" s="79"/>
      <c r="Q946" s="79"/>
      <c r="T946" s="79"/>
      <c r="U946" s="79"/>
      <c r="X946" s="130"/>
      <c r="Z946" s="106"/>
    </row>
    <row r="947">
      <c r="C947" s="79"/>
      <c r="D947" s="79"/>
      <c r="J947" s="79"/>
      <c r="P947" s="79"/>
      <c r="Q947" s="79"/>
      <c r="T947" s="79"/>
      <c r="U947" s="79"/>
      <c r="X947" s="130"/>
      <c r="Z947" s="106"/>
    </row>
    <row r="948">
      <c r="C948" s="79"/>
      <c r="D948" s="79"/>
      <c r="J948" s="79"/>
      <c r="P948" s="79"/>
      <c r="Q948" s="79"/>
      <c r="T948" s="79"/>
      <c r="U948" s="79"/>
      <c r="X948" s="130"/>
      <c r="Z948" s="106"/>
    </row>
    <row r="949">
      <c r="C949" s="79"/>
      <c r="D949" s="79"/>
      <c r="J949" s="79"/>
      <c r="P949" s="79"/>
      <c r="Q949" s="79"/>
      <c r="T949" s="79"/>
      <c r="U949" s="79"/>
      <c r="X949" s="130"/>
      <c r="Z949" s="106"/>
    </row>
    <row r="950">
      <c r="C950" s="79"/>
      <c r="D950" s="79"/>
      <c r="J950" s="79"/>
      <c r="P950" s="79"/>
      <c r="Q950" s="79"/>
      <c r="T950" s="79"/>
      <c r="U950" s="79"/>
      <c r="X950" s="130"/>
      <c r="Z950" s="106"/>
    </row>
    <row r="951">
      <c r="C951" s="79"/>
      <c r="D951" s="79"/>
      <c r="J951" s="79"/>
      <c r="P951" s="79"/>
      <c r="Q951" s="79"/>
      <c r="T951" s="79"/>
      <c r="U951" s="79"/>
      <c r="X951" s="130"/>
      <c r="Z951" s="106"/>
    </row>
    <row r="952">
      <c r="C952" s="79"/>
      <c r="D952" s="79"/>
      <c r="J952" s="79"/>
      <c r="P952" s="79"/>
      <c r="Q952" s="79"/>
      <c r="T952" s="79"/>
      <c r="U952" s="79"/>
      <c r="X952" s="130"/>
      <c r="Z952" s="106"/>
    </row>
    <row r="953">
      <c r="C953" s="79"/>
      <c r="D953" s="79"/>
      <c r="J953" s="79"/>
      <c r="P953" s="79"/>
      <c r="Q953" s="79"/>
      <c r="T953" s="79"/>
      <c r="U953" s="79"/>
      <c r="X953" s="130"/>
      <c r="Z953" s="106"/>
    </row>
    <row r="954">
      <c r="C954" s="79"/>
      <c r="D954" s="79"/>
      <c r="J954" s="79"/>
      <c r="P954" s="79"/>
      <c r="Q954" s="79"/>
      <c r="T954" s="79"/>
      <c r="U954" s="79"/>
      <c r="X954" s="130"/>
      <c r="Z954" s="106"/>
    </row>
    <row r="955">
      <c r="C955" s="79"/>
      <c r="D955" s="79"/>
      <c r="J955" s="79"/>
      <c r="P955" s="79"/>
      <c r="Q955" s="79"/>
      <c r="T955" s="79"/>
      <c r="U955" s="79"/>
      <c r="X955" s="130"/>
      <c r="Z955" s="106"/>
    </row>
    <row r="956">
      <c r="C956" s="79"/>
      <c r="D956" s="79"/>
      <c r="J956" s="79"/>
      <c r="P956" s="79"/>
      <c r="Q956" s="79"/>
      <c r="T956" s="79"/>
      <c r="U956" s="79"/>
      <c r="X956" s="130"/>
      <c r="Z956" s="106"/>
    </row>
    <row r="957">
      <c r="C957" s="79"/>
      <c r="D957" s="79"/>
      <c r="J957" s="79"/>
      <c r="P957" s="79"/>
      <c r="Q957" s="79"/>
      <c r="T957" s="79"/>
      <c r="U957" s="79"/>
      <c r="X957" s="130"/>
      <c r="Z957" s="106"/>
    </row>
    <row r="958">
      <c r="C958" s="79"/>
      <c r="D958" s="79"/>
      <c r="J958" s="79"/>
      <c r="P958" s="79"/>
      <c r="Q958" s="79"/>
      <c r="T958" s="79"/>
      <c r="U958" s="79"/>
      <c r="X958" s="130"/>
      <c r="Z958" s="106"/>
    </row>
    <row r="959">
      <c r="C959" s="79"/>
      <c r="D959" s="79"/>
      <c r="J959" s="79"/>
      <c r="P959" s="79"/>
      <c r="Q959" s="79"/>
      <c r="T959" s="79"/>
      <c r="U959" s="79"/>
      <c r="X959" s="130"/>
      <c r="Z959" s="106"/>
    </row>
    <row r="960">
      <c r="C960" s="79"/>
      <c r="D960" s="79"/>
      <c r="J960" s="79"/>
      <c r="P960" s="79"/>
      <c r="Q960" s="79"/>
      <c r="T960" s="79"/>
      <c r="U960" s="79"/>
      <c r="X960" s="130"/>
      <c r="Z960" s="106"/>
    </row>
    <row r="961">
      <c r="C961" s="79"/>
      <c r="D961" s="79"/>
      <c r="J961" s="79"/>
      <c r="P961" s="79"/>
      <c r="Q961" s="79"/>
      <c r="T961" s="79"/>
      <c r="U961" s="79"/>
      <c r="X961" s="130"/>
      <c r="Z961" s="106"/>
    </row>
    <row r="962">
      <c r="C962" s="79"/>
      <c r="D962" s="79"/>
      <c r="J962" s="79"/>
      <c r="P962" s="79"/>
      <c r="Q962" s="79"/>
      <c r="T962" s="79"/>
      <c r="U962" s="79"/>
      <c r="X962" s="130"/>
      <c r="Z962" s="106"/>
    </row>
    <row r="963">
      <c r="C963" s="79"/>
      <c r="D963" s="79"/>
      <c r="J963" s="79"/>
      <c r="P963" s="79"/>
      <c r="Q963" s="79"/>
      <c r="T963" s="79"/>
      <c r="U963" s="79"/>
      <c r="X963" s="130"/>
      <c r="Z963" s="106"/>
    </row>
    <row r="964">
      <c r="C964" s="79"/>
      <c r="D964" s="79"/>
      <c r="J964" s="79"/>
      <c r="P964" s="79"/>
      <c r="Q964" s="79"/>
      <c r="T964" s="79"/>
      <c r="U964" s="79"/>
      <c r="X964" s="130"/>
      <c r="Z964" s="106"/>
    </row>
    <row r="965">
      <c r="C965" s="79"/>
      <c r="D965" s="79"/>
      <c r="J965" s="79"/>
      <c r="P965" s="79"/>
      <c r="Q965" s="79"/>
      <c r="T965" s="79"/>
      <c r="U965" s="79"/>
      <c r="X965" s="130"/>
      <c r="Z965" s="106"/>
    </row>
    <row r="966">
      <c r="C966" s="79"/>
      <c r="D966" s="79"/>
      <c r="J966" s="79"/>
      <c r="P966" s="79"/>
      <c r="Q966" s="79"/>
      <c r="T966" s="79"/>
      <c r="U966" s="79"/>
      <c r="X966" s="130"/>
      <c r="Z966" s="106"/>
    </row>
    <row r="967">
      <c r="C967" s="79"/>
      <c r="D967" s="79"/>
      <c r="J967" s="79"/>
      <c r="P967" s="79"/>
      <c r="Q967" s="79"/>
      <c r="T967" s="79"/>
      <c r="U967" s="79"/>
      <c r="X967" s="130"/>
      <c r="Z967" s="106"/>
    </row>
    <row r="968">
      <c r="C968" s="79"/>
      <c r="D968" s="79"/>
      <c r="J968" s="79"/>
      <c r="P968" s="79"/>
      <c r="Q968" s="79"/>
      <c r="T968" s="79"/>
      <c r="U968" s="79"/>
      <c r="X968" s="130"/>
      <c r="Z968" s="106"/>
    </row>
    <row r="969">
      <c r="C969" s="79"/>
      <c r="D969" s="79"/>
      <c r="J969" s="79"/>
      <c r="P969" s="79"/>
      <c r="Q969" s="79"/>
      <c r="T969" s="79"/>
      <c r="U969" s="79"/>
      <c r="X969" s="130"/>
      <c r="Z969" s="106"/>
    </row>
    <row r="970">
      <c r="C970" s="79"/>
      <c r="D970" s="79"/>
      <c r="J970" s="79"/>
      <c r="P970" s="79"/>
      <c r="Q970" s="79"/>
      <c r="T970" s="79"/>
      <c r="U970" s="79"/>
      <c r="X970" s="130"/>
      <c r="Z970" s="106"/>
    </row>
    <row r="971">
      <c r="C971" s="79"/>
      <c r="D971" s="79"/>
      <c r="J971" s="79"/>
      <c r="P971" s="79"/>
      <c r="Q971" s="79"/>
      <c r="T971" s="79"/>
      <c r="U971" s="79"/>
      <c r="X971" s="130"/>
      <c r="Z971" s="106"/>
    </row>
    <row r="972">
      <c r="C972" s="79"/>
      <c r="D972" s="79"/>
      <c r="J972" s="79"/>
      <c r="P972" s="79"/>
      <c r="Q972" s="79"/>
      <c r="T972" s="79"/>
      <c r="U972" s="79"/>
      <c r="X972" s="130"/>
      <c r="Z972" s="106"/>
    </row>
    <row r="973">
      <c r="C973" s="79"/>
      <c r="D973" s="79"/>
      <c r="J973" s="79"/>
      <c r="P973" s="79"/>
      <c r="Q973" s="79"/>
      <c r="T973" s="79"/>
      <c r="U973" s="79"/>
      <c r="X973" s="130"/>
      <c r="Z973" s="106"/>
    </row>
    <row r="974">
      <c r="C974" s="79"/>
      <c r="D974" s="79"/>
      <c r="J974" s="79"/>
      <c r="P974" s="79"/>
      <c r="Q974" s="79"/>
      <c r="T974" s="79"/>
      <c r="U974" s="79"/>
      <c r="X974" s="130"/>
      <c r="Z974" s="106"/>
    </row>
    <row r="975">
      <c r="C975" s="79"/>
      <c r="D975" s="79"/>
      <c r="J975" s="79"/>
      <c r="P975" s="79"/>
      <c r="Q975" s="79"/>
      <c r="T975" s="79"/>
      <c r="U975" s="79"/>
      <c r="X975" s="130"/>
      <c r="Z975" s="106"/>
    </row>
    <row r="976">
      <c r="C976" s="79"/>
      <c r="D976" s="79"/>
      <c r="J976" s="79"/>
      <c r="P976" s="79"/>
      <c r="Q976" s="79"/>
      <c r="T976" s="79"/>
      <c r="U976" s="79"/>
      <c r="X976" s="130"/>
      <c r="Z976" s="106"/>
    </row>
    <row r="977">
      <c r="C977" s="79"/>
      <c r="D977" s="79"/>
      <c r="J977" s="79"/>
      <c r="P977" s="79"/>
      <c r="Q977" s="79"/>
      <c r="T977" s="79"/>
      <c r="U977" s="79"/>
      <c r="X977" s="130"/>
      <c r="Z977" s="106"/>
    </row>
    <row r="978">
      <c r="C978" s="79"/>
      <c r="D978" s="79"/>
      <c r="J978" s="79"/>
      <c r="P978" s="79"/>
      <c r="Q978" s="79"/>
      <c r="T978" s="79"/>
      <c r="U978" s="79"/>
      <c r="X978" s="130"/>
      <c r="Z978" s="106"/>
    </row>
    <row r="979">
      <c r="C979" s="79"/>
      <c r="D979" s="79"/>
      <c r="J979" s="79"/>
      <c r="P979" s="79"/>
      <c r="Q979" s="79"/>
      <c r="T979" s="79"/>
      <c r="U979" s="79"/>
      <c r="X979" s="130"/>
      <c r="Z979" s="106"/>
    </row>
    <row r="980">
      <c r="C980" s="79"/>
      <c r="D980" s="79"/>
      <c r="J980" s="79"/>
      <c r="P980" s="79"/>
      <c r="Q980" s="79"/>
      <c r="T980" s="79"/>
      <c r="U980" s="79"/>
      <c r="X980" s="130"/>
      <c r="Z980" s="106"/>
    </row>
    <row r="981">
      <c r="C981" s="79"/>
      <c r="D981" s="79"/>
      <c r="J981" s="79"/>
      <c r="P981" s="79"/>
      <c r="Q981" s="79"/>
      <c r="T981" s="79"/>
      <c r="U981" s="79"/>
      <c r="X981" s="130"/>
      <c r="Z981" s="106"/>
    </row>
    <row r="982">
      <c r="C982" s="79"/>
      <c r="D982" s="79"/>
      <c r="J982" s="79"/>
      <c r="P982" s="79"/>
      <c r="Q982" s="79"/>
      <c r="T982" s="79"/>
      <c r="U982" s="79"/>
      <c r="X982" s="130"/>
      <c r="Z982" s="106"/>
    </row>
    <row r="983">
      <c r="C983" s="79"/>
      <c r="D983" s="79"/>
      <c r="J983" s="79"/>
      <c r="P983" s="79"/>
      <c r="Q983" s="79"/>
      <c r="T983" s="79"/>
      <c r="U983" s="79"/>
      <c r="X983" s="130"/>
      <c r="Z983" s="106"/>
    </row>
    <row r="984">
      <c r="C984" s="79"/>
      <c r="D984" s="79"/>
      <c r="J984" s="79"/>
      <c r="P984" s="79"/>
      <c r="Q984" s="79"/>
      <c r="T984" s="79"/>
      <c r="U984" s="79"/>
      <c r="X984" s="130"/>
      <c r="Z984" s="106"/>
    </row>
    <row r="985">
      <c r="C985" s="79"/>
      <c r="D985" s="79"/>
      <c r="J985" s="79"/>
      <c r="P985" s="79"/>
      <c r="Q985" s="79"/>
      <c r="T985" s="79"/>
      <c r="U985" s="79"/>
      <c r="X985" s="130"/>
      <c r="Z985" s="106"/>
    </row>
    <row r="986">
      <c r="C986" s="79"/>
      <c r="D986" s="79"/>
      <c r="J986" s="79"/>
      <c r="P986" s="79"/>
      <c r="Q986" s="79"/>
      <c r="T986" s="79"/>
      <c r="U986" s="79"/>
      <c r="X986" s="130"/>
      <c r="Z986" s="106"/>
    </row>
    <row r="987">
      <c r="C987" s="79"/>
      <c r="D987" s="79"/>
      <c r="J987" s="79"/>
      <c r="P987" s="79"/>
      <c r="Q987" s="79"/>
      <c r="T987" s="79"/>
      <c r="U987" s="79"/>
      <c r="X987" s="130"/>
      <c r="Z987" s="106"/>
    </row>
    <row r="988">
      <c r="C988" s="79"/>
      <c r="D988" s="79"/>
      <c r="J988" s="79"/>
      <c r="P988" s="79"/>
      <c r="Q988" s="79"/>
      <c r="T988" s="79"/>
      <c r="U988" s="79"/>
      <c r="X988" s="130"/>
      <c r="Z988" s="106"/>
    </row>
    <row r="989">
      <c r="C989" s="79"/>
      <c r="D989" s="79"/>
      <c r="J989" s="79"/>
      <c r="P989" s="79"/>
      <c r="Q989" s="79"/>
      <c r="T989" s="79"/>
      <c r="U989" s="79"/>
      <c r="X989" s="130"/>
      <c r="Z989" s="106"/>
    </row>
    <row r="990">
      <c r="C990" s="79"/>
      <c r="D990" s="79"/>
      <c r="J990" s="79"/>
      <c r="P990" s="79"/>
      <c r="Q990" s="79"/>
      <c r="T990" s="79"/>
      <c r="U990" s="79"/>
      <c r="X990" s="130"/>
      <c r="Z990" s="106"/>
    </row>
    <row r="991">
      <c r="C991" s="79"/>
      <c r="D991" s="79"/>
      <c r="J991" s="79"/>
      <c r="P991" s="79"/>
      <c r="Q991" s="79"/>
      <c r="T991" s="79"/>
      <c r="U991" s="79"/>
      <c r="X991" s="130"/>
      <c r="Z991" s="106"/>
    </row>
    <row r="992">
      <c r="C992" s="79"/>
      <c r="D992" s="79"/>
      <c r="J992" s="79"/>
      <c r="P992" s="79"/>
      <c r="Q992" s="79"/>
      <c r="T992" s="79"/>
      <c r="U992" s="79"/>
      <c r="X992" s="130"/>
      <c r="Z992" s="106"/>
    </row>
    <row r="993">
      <c r="C993" s="79"/>
      <c r="D993" s="79"/>
      <c r="J993" s="79"/>
      <c r="P993" s="79"/>
      <c r="Q993" s="79"/>
      <c r="T993" s="79"/>
      <c r="U993" s="79"/>
      <c r="X993" s="130"/>
      <c r="Z993" s="106"/>
    </row>
    <row r="994">
      <c r="C994" s="79"/>
      <c r="D994" s="79"/>
      <c r="J994" s="79"/>
      <c r="P994" s="79"/>
      <c r="Q994" s="79"/>
      <c r="T994" s="79"/>
      <c r="U994" s="79"/>
      <c r="X994" s="130"/>
      <c r="Z994" s="106"/>
    </row>
    <row r="995">
      <c r="C995" s="79"/>
      <c r="D995" s="79"/>
      <c r="J995" s="79"/>
      <c r="P995" s="79"/>
      <c r="Q995" s="79"/>
      <c r="T995" s="79"/>
      <c r="U995" s="79"/>
      <c r="X995" s="130"/>
      <c r="Z995" s="106"/>
    </row>
    <row r="996">
      <c r="C996" s="79"/>
      <c r="D996" s="79"/>
      <c r="J996" s="79"/>
      <c r="P996" s="79"/>
      <c r="Q996" s="79"/>
      <c r="T996" s="79"/>
      <c r="U996" s="79"/>
      <c r="X996" s="130"/>
      <c r="Z996" s="106"/>
    </row>
    <row r="997">
      <c r="C997" s="79"/>
      <c r="D997" s="79"/>
      <c r="J997" s="79"/>
      <c r="P997" s="79"/>
      <c r="Q997" s="79"/>
      <c r="T997" s="79"/>
      <c r="U997" s="79"/>
      <c r="X997" s="130"/>
      <c r="Z997" s="106"/>
    </row>
    <row r="998">
      <c r="C998" s="79"/>
      <c r="D998" s="79"/>
      <c r="J998" s="79"/>
      <c r="P998" s="79"/>
      <c r="Q998" s="79"/>
      <c r="T998" s="79"/>
      <c r="U998" s="79"/>
      <c r="X998" s="130"/>
      <c r="Z998" s="106"/>
    </row>
    <row r="999">
      <c r="C999" s="79"/>
      <c r="D999" s="79"/>
      <c r="J999" s="79"/>
      <c r="P999" s="79"/>
      <c r="Q999" s="79"/>
      <c r="T999" s="79"/>
      <c r="U999" s="79"/>
      <c r="X999" s="130"/>
      <c r="Z999" s="106"/>
    </row>
    <row r="1000">
      <c r="C1000" s="79"/>
      <c r="D1000" s="79"/>
      <c r="J1000" s="79"/>
      <c r="P1000" s="79"/>
      <c r="Q1000" s="79"/>
      <c r="T1000" s="79"/>
      <c r="U1000" s="79"/>
      <c r="X1000" s="130"/>
      <c r="Z1000" s="106"/>
    </row>
  </sheetData>
  <mergeCells count="1">
    <mergeCell ref="H19:J19"/>
  </mergeCells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6" max="26" width="17.0"/>
  </cols>
  <sheetData>
    <row r="1">
      <c r="B1" s="2" t="s">
        <v>0</v>
      </c>
      <c r="C1" s="105" t="s">
        <v>1</v>
      </c>
      <c r="D1" s="105" t="s">
        <v>7</v>
      </c>
      <c r="E1" s="2" t="s">
        <v>3</v>
      </c>
      <c r="F1" s="2" t="s">
        <v>129</v>
      </c>
      <c r="G1" s="2" t="s">
        <v>5</v>
      </c>
      <c r="H1" s="2" t="s">
        <v>6</v>
      </c>
      <c r="I1" s="2" t="s">
        <v>43</v>
      </c>
      <c r="J1" s="105" t="s">
        <v>40</v>
      </c>
      <c r="K1" s="2" t="s">
        <v>49</v>
      </c>
      <c r="L1" s="2" t="s">
        <v>42</v>
      </c>
      <c r="M1" s="2"/>
      <c r="N1" s="2" t="s">
        <v>121</v>
      </c>
      <c r="O1" s="2" t="s">
        <v>164</v>
      </c>
      <c r="P1" s="105" t="s">
        <v>9</v>
      </c>
      <c r="Q1" s="105" t="s">
        <v>165</v>
      </c>
      <c r="R1" s="2" t="s">
        <v>37</v>
      </c>
      <c r="S1" s="2" t="s">
        <v>10</v>
      </c>
      <c r="T1" s="105" t="s">
        <v>11</v>
      </c>
      <c r="U1" s="105" t="s">
        <v>167</v>
      </c>
      <c r="V1" s="2" t="s">
        <v>12</v>
      </c>
      <c r="W1" s="3" t="s">
        <v>13</v>
      </c>
      <c r="X1" s="126" t="s">
        <v>14</v>
      </c>
      <c r="Y1" s="3" t="s">
        <v>15</v>
      </c>
      <c r="Z1" s="106"/>
    </row>
    <row r="2">
      <c r="A2" s="74">
        <v>45145.0</v>
      </c>
      <c r="B2" s="5">
        <v>1873.65</v>
      </c>
      <c r="C2" s="93">
        <v>447.8</v>
      </c>
      <c r="D2" s="93"/>
      <c r="E2" s="5"/>
      <c r="F2" s="5"/>
      <c r="G2" s="5"/>
      <c r="H2" s="5"/>
      <c r="I2" s="5"/>
      <c r="J2" s="136"/>
      <c r="K2" s="5">
        <v>168.0</v>
      </c>
      <c r="L2" s="5"/>
      <c r="M2" s="5"/>
      <c r="N2" s="5"/>
      <c r="O2" s="5"/>
      <c r="P2" s="93"/>
      <c r="Q2" s="93"/>
      <c r="R2" s="5"/>
      <c r="S2" s="5"/>
      <c r="T2" s="93">
        <v>109.97</v>
      </c>
      <c r="U2" s="93"/>
      <c r="V2" s="5"/>
      <c r="W2" s="107">
        <f t="shared" ref="W2:W7" si="1">SUM(B2:V2)</f>
        <v>2599.42</v>
      </c>
      <c r="X2" s="108"/>
      <c r="Y2" s="59" t="str">
        <f t="shared" ref="Y2:Y8" si="2">W2/X2</f>
        <v>#DIV/0!</v>
      </c>
      <c r="Z2" s="109">
        <f t="shared" ref="Z2:Z8" si="3">A2</f>
        <v>45145</v>
      </c>
    </row>
    <row r="3">
      <c r="A3" s="74">
        <v>45146.0</v>
      </c>
      <c r="B3" s="5">
        <v>86.44</v>
      </c>
      <c r="C3" s="110"/>
      <c r="D3" s="93"/>
      <c r="E3" s="5"/>
      <c r="F3" s="5">
        <v>170.3</v>
      </c>
      <c r="G3" s="5">
        <v>688.5</v>
      </c>
      <c r="H3" s="5">
        <v>42.0</v>
      </c>
      <c r="I3" s="5"/>
      <c r="J3" s="93"/>
      <c r="K3" s="5"/>
      <c r="L3" s="5"/>
      <c r="M3" s="5"/>
      <c r="N3" s="6"/>
      <c r="O3" s="6"/>
      <c r="P3" s="93"/>
      <c r="Q3" s="93"/>
      <c r="R3" s="93"/>
      <c r="S3" s="5"/>
      <c r="T3" s="93"/>
      <c r="U3" s="93"/>
      <c r="V3" s="93">
        <v>179.96</v>
      </c>
      <c r="W3" s="7">
        <f t="shared" si="1"/>
        <v>1167.2</v>
      </c>
      <c r="X3" s="97"/>
      <c r="Y3" s="59" t="str">
        <f t="shared" si="2"/>
        <v>#DIV/0!</v>
      </c>
      <c r="Z3" s="109">
        <f t="shared" si="3"/>
        <v>45146</v>
      </c>
    </row>
    <row r="4">
      <c r="A4" s="74">
        <v>45147.0</v>
      </c>
      <c r="B4" s="5">
        <v>1840.11</v>
      </c>
      <c r="C4" s="93">
        <v>919.09</v>
      </c>
      <c r="D4" s="93"/>
      <c r="E4" s="5"/>
      <c r="F4" s="5"/>
      <c r="G4" s="5"/>
      <c r="H4" s="5"/>
      <c r="I4" s="5"/>
      <c r="J4" s="93"/>
      <c r="K4" s="5"/>
      <c r="L4" s="5"/>
      <c r="M4" s="5"/>
      <c r="N4" s="5">
        <v>18.5</v>
      </c>
      <c r="O4" s="5"/>
      <c r="P4" s="93"/>
      <c r="Q4" s="93">
        <v>243.0</v>
      </c>
      <c r="R4" s="5"/>
      <c r="S4" s="83"/>
      <c r="T4" s="93">
        <v>109.97</v>
      </c>
      <c r="U4" s="93"/>
      <c r="V4" s="6"/>
      <c r="W4" s="7">
        <f t="shared" si="1"/>
        <v>3130.67</v>
      </c>
      <c r="X4" s="97"/>
      <c r="Y4" s="59" t="str">
        <f t="shared" si="2"/>
        <v>#DIV/0!</v>
      </c>
      <c r="Z4" s="109">
        <f t="shared" si="3"/>
        <v>45147</v>
      </c>
    </row>
    <row r="5">
      <c r="A5" s="74">
        <v>45148.0</v>
      </c>
      <c r="B5" s="5">
        <v>1689.85</v>
      </c>
      <c r="C5" s="93">
        <v>1420.19</v>
      </c>
      <c r="D5" s="101"/>
      <c r="E5" s="5">
        <v>280.0</v>
      </c>
      <c r="F5" s="5"/>
      <c r="G5" s="5"/>
      <c r="H5" s="5"/>
      <c r="I5" s="5"/>
      <c r="J5" s="93"/>
      <c r="K5" s="5"/>
      <c r="L5" s="5"/>
      <c r="M5" s="5"/>
      <c r="N5" s="5">
        <v>18.5</v>
      </c>
      <c r="O5" s="5"/>
      <c r="P5" s="93"/>
      <c r="Q5" s="93"/>
      <c r="R5" s="5"/>
      <c r="S5" s="5"/>
      <c r="T5" s="101"/>
      <c r="U5" s="101"/>
      <c r="V5" s="6"/>
      <c r="W5" s="7">
        <f t="shared" si="1"/>
        <v>3408.54</v>
      </c>
      <c r="X5" s="98"/>
      <c r="Y5" s="59" t="str">
        <f t="shared" si="2"/>
        <v>#DIV/0!</v>
      </c>
      <c r="Z5" s="109">
        <f t="shared" si="3"/>
        <v>45148</v>
      </c>
    </row>
    <row r="6">
      <c r="A6" s="74">
        <v>45149.0</v>
      </c>
      <c r="B6" s="5">
        <v>2263.55</v>
      </c>
      <c r="C6" s="93">
        <v>566.28</v>
      </c>
      <c r="D6" s="93"/>
      <c r="E6" s="5"/>
      <c r="F6" s="32">
        <v>858.96</v>
      </c>
      <c r="G6" s="5">
        <v>365.7</v>
      </c>
      <c r="H6" s="5">
        <v>123.0</v>
      </c>
      <c r="I6" s="5"/>
      <c r="J6" s="111"/>
      <c r="K6" s="5"/>
      <c r="L6" s="5"/>
      <c r="M6" s="5"/>
      <c r="N6" s="5">
        <v>18.5</v>
      </c>
      <c r="O6" s="5"/>
      <c r="P6" s="93"/>
      <c r="Q6" s="93"/>
      <c r="R6" s="5"/>
      <c r="S6" s="5">
        <v>19.5</v>
      </c>
      <c r="T6" s="93">
        <v>109.97</v>
      </c>
      <c r="U6" s="93"/>
      <c r="V6" s="5"/>
      <c r="W6" s="7">
        <f t="shared" si="1"/>
        <v>4325.46</v>
      </c>
      <c r="X6" s="97"/>
      <c r="Y6" s="59" t="str">
        <f t="shared" si="2"/>
        <v>#DIV/0!</v>
      </c>
      <c r="Z6" s="109">
        <f t="shared" si="3"/>
        <v>45149</v>
      </c>
    </row>
    <row r="7">
      <c r="A7" s="74">
        <v>45150.0</v>
      </c>
      <c r="B7" s="5">
        <v>1104.62</v>
      </c>
      <c r="C7" s="93">
        <v>1090.75</v>
      </c>
      <c r="D7" s="93"/>
      <c r="E7" s="5"/>
      <c r="F7" s="5"/>
      <c r="G7" s="5"/>
      <c r="H7" s="5"/>
      <c r="I7" s="5"/>
      <c r="J7" s="101"/>
      <c r="K7" s="5"/>
      <c r="L7" s="5"/>
      <c r="M7" s="5"/>
      <c r="N7" s="93"/>
      <c r="O7" s="93"/>
      <c r="P7" s="93"/>
      <c r="Q7" s="93"/>
      <c r="R7" s="6"/>
      <c r="S7" s="6"/>
      <c r="T7" s="101"/>
      <c r="U7" s="101"/>
      <c r="V7" s="5"/>
      <c r="W7" s="7">
        <f t="shared" si="1"/>
        <v>2195.37</v>
      </c>
      <c r="X7" s="97"/>
      <c r="Y7" s="59" t="str">
        <f t="shared" si="2"/>
        <v>#DIV/0!</v>
      </c>
      <c r="Z7" s="109">
        <f t="shared" si="3"/>
        <v>45150</v>
      </c>
    </row>
    <row r="8">
      <c r="A8" s="74">
        <v>45151.0</v>
      </c>
      <c r="B8" s="10" t="s">
        <v>21</v>
      </c>
      <c r="C8" s="112" t="s">
        <v>21</v>
      </c>
      <c r="D8" s="112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12" t="s">
        <v>21</v>
      </c>
      <c r="K8" s="10" t="s">
        <v>21</v>
      </c>
      <c r="L8" s="10" t="s">
        <v>21</v>
      </c>
      <c r="M8" s="10"/>
      <c r="N8" s="10"/>
      <c r="O8" s="10"/>
      <c r="P8" s="112" t="s">
        <v>21</v>
      </c>
      <c r="Q8" s="112"/>
      <c r="R8" s="10" t="s">
        <v>21</v>
      </c>
      <c r="S8" s="10" t="s">
        <v>21</v>
      </c>
      <c r="T8" s="112" t="s">
        <v>21</v>
      </c>
      <c r="U8" s="112"/>
      <c r="V8" s="10" t="s">
        <v>21</v>
      </c>
      <c r="W8" s="7">
        <v>0.0</v>
      </c>
      <c r="X8" s="97"/>
      <c r="Y8" s="59" t="str">
        <f t="shared" si="2"/>
        <v>#DIV/0!</v>
      </c>
      <c r="Z8" s="109">
        <f t="shared" si="3"/>
        <v>45151</v>
      </c>
    </row>
    <row r="9">
      <c r="C9" s="136"/>
      <c r="D9" s="138"/>
      <c r="J9" s="79"/>
      <c r="T9" s="79"/>
      <c r="U9" s="79"/>
      <c r="X9" s="129"/>
      <c r="Z9" s="106"/>
    </row>
    <row r="10">
      <c r="C10" s="79"/>
      <c r="D10" s="79"/>
      <c r="J10" s="79"/>
      <c r="P10" s="79"/>
      <c r="Q10" s="79"/>
      <c r="T10" s="79"/>
      <c r="U10" s="79"/>
      <c r="X10" s="130"/>
      <c r="Z10" s="106"/>
    </row>
    <row r="11">
      <c r="A11" s="4" t="s">
        <v>22</v>
      </c>
      <c r="B11" s="11">
        <v>13000.0</v>
      </c>
      <c r="C11" s="79"/>
      <c r="D11" s="79"/>
      <c r="E11" s="78"/>
      <c r="F11" s="79"/>
      <c r="J11" s="79"/>
      <c r="P11" s="79"/>
      <c r="Q11" s="79"/>
      <c r="T11" s="79"/>
      <c r="U11" s="79"/>
      <c r="X11" s="131"/>
      <c r="Z11" s="106"/>
    </row>
    <row r="12">
      <c r="A12" s="4" t="s">
        <v>23</v>
      </c>
      <c r="B12" s="12">
        <f>SUM(B2:V8)+C9</f>
        <v>16826.66</v>
      </c>
      <c r="C12" s="79"/>
      <c r="D12" s="79"/>
      <c r="E12" s="56"/>
      <c r="J12" s="79"/>
      <c r="P12" s="79"/>
      <c r="Q12" s="79"/>
      <c r="T12" s="79"/>
      <c r="U12" s="79"/>
      <c r="X12" s="130"/>
      <c r="Z12" s="106"/>
    </row>
    <row r="13">
      <c r="A13" s="4" t="s">
        <v>24</v>
      </c>
      <c r="B13" s="12">
        <f> SUM(B11-B12)</f>
        <v>-3826.66</v>
      </c>
      <c r="C13" s="79"/>
      <c r="D13" s="79"/>
      <c r="J13" s="79"/>
      <c r="P13" s="79"/>
      <c r="Q13" s="79"/>
      <c r="T13" s="79"/>
      <c r="U13" s="79"/>
      <c r="X13" s="130"/>
      <c r="Z13" s="106"/>
    </row>
    <row r="14">
      <c r="C14" s="79"/>
      <c r="D14" s="79"/>
      <c r="J14" s="79"/>
      <c r="P14" s="79"/>
      <c r="Q14" s="79"/>
      <c r="T14" s="79"/>
      <c r="U14" s="79"/>
      <c r="X14" s="130"/>
      <c r="Z14" s="106"/>
    </row>
    <row r="15">
      <c r="A15" s="13" t="s">
        <v>25</v>
      </c>
      <c r="B15" s="14">
        <f>SUM(X2:X8)</f>
        <v>0</v>
      </c>
      <c r="C15" s="79"/>
      <c r="D15" s="79"/>
      <c r="J15" s="79"/>
      <c r="P15" s="79"/>
      <c r="Q15" s="79"/>
      <c r="T15" s="79"/>
      <c r="U15" s="79"/>
      <c r="X15" s="130"/>
      <c r="Z15" s="106"/>
    </row>
    <row r="16">
      <c r="A16" s="13" t="s">
        <v>26</v>
      </c>
      <c r="B16" s="15" t="str">
        <f>B12/B15</f>
        <v>#DIV/0!</v>
      </c>
      <c r="C16" s="79"/>
      <c r="D16" s="79"/>
      <c r="J16" s="79"/>
      <c r="P16" s="79"/>
      <c r="Q16" s="79"/>
      <c r="T16" s="79"/>
      <c r="U16" s="79"/>
      <c r="X16" s="130"/>
      <c r="Z16" s="106"/>
    </row>
    <row r="17">
      <c r="C17" s="79"/>
      <c r="D17" s="79"/>
      <c r="J17" s="79"/>
      <c r="P17" s="79"/>
      <c r="Q17" s="79"/>
      <c r="T17" s="79"/>
      <c r="U17" s="79"/>
      <c r="X17" s="130"/>
      <c r="Z17" s="106"/>
    </row>
    <row r="18">
      <c r="C18" s="79"/>
      <c r="D18" s="79"/>
      <c r="J18" s="79"/>
      <c r="P18" s="79"/>
      <c r="Q18" s="79"/>
      <c r="T18" s="79"/>
      <c r="U18" s="79"/>
      <c r="X18" s="130"/>
      <c r="Z18" s="106"/>
    </row>
    <row r="19">
      <c r="A19" s="16" t="s">
        <v>27</v>
      </c>
      <c r="B19" s="17"/>
      <c r="C19" s="114"/>
      <c r="D19" s="115"/>
      <c r="H19" s="84"/>
      <c r="P19" s="79"/>
      <c r="Q19" s="79"/>
      <c r="T19" s="79"/>
      <c r="U19" s="79"/>
      <c r="X19" s="130"/>
      <c r="Z19" s="106"/>
    </row>
    <row r="20">
      <c r="A20" s="19" t="s">
        <v>28</v>
      </c>
      <c r="B20" s="20"/>
      <c r="C20" s="116"/>
      <c r="D20" s="117"/>
      <c r="H20" s="85"/>
      <c r="I20" s="85"/>
      <c r="J20" s="118"/>
      <c r="P20" s="79"/>
      <c r="Q20" s="79"/>
      <c r="T20" s="79"/>
      <c r="U20" s="79"/>
      <c r="X20" s="130"/>
      <c r="Z20" s="106"/>
    </row>
    <row r="21">
      <c r="A21" s="22" t="s">
        <v>29</v>
      </c>
      <c r="B21" s="23" t="s">
        <v>30</v>
      </c>
      <c r="C21" s="119" t="s">
        <v>170</v>
      </c>
      <c r="D21" s="120" t="s">
        <v>171</v>
      </c>
      <c r="H21" s="86"/>
      <c r="I21" s="85"/>
      <c r="J21" s="118"/>
      <c r="P21" s="79"/>
      <c r="Q21" s="79"/>
      <c r="T21" s="79"/>
      <c r="U21" s="79"/>
      <c r="X21" s="130"/>
      <c r="Z21" s="106"/>
    </row>
    <row r="22">
      <c r="A22" s="28" t="s">
        <v>149</v>
      </c>
      <c r="B22" s="72"/>
      <c r="C22" s="121"/>
      <c r="D22" s="122"/>
      <c r="H22" s="87"/>
      <c r="I22" s="85"/>
      <c r="J22" s="118"/>
      <c r="P22" s="79"/>
      <c r="Q22" s="79"/>
      <c r="T22" s="79"/>
      <c r="U22" s="79"/>
      <c r="X22" s="130"/>
      <c r="Z22" s="106"/>
    </row>
    <row r="23">
      <c r="A23" s="28" t="s">
        <v>150</v>
      </c>
      <c r="B23" s="72"/>
      <c r="C23" s="121"/>
      <c r="D23" s="122"/>
      <c r="H23" s="88"/>
      <c r="I23" s="88"/>
      <c r="J23" s="123"/>
      <c r="P23" s="79"/>
      <c r="Q23" s="79"/>
      <c r="T23" s="79"/>
      <c r="U23" s="79"/>
      <c r="X23" s="130"/>
      <c r="Z23" s="106"/>
    </row>
    <row r="24">
      <c r="A24" s="71" t="s">
        <v>108</v>
      </c>
      <c r="B24" s="72">
        <v>2243.86</v>
      </c>
      <c r="C24" s="71"/>
      <c r="D24" s="124" t="s">
        <v>175</v>
      </c>
      <c r="H24" s="88"/>
      <c r="I24" s="88"/>
      <c r="J24" s="123"/>
      <c r="P24" s="79"/>
      <c r="Q24" s="79"/>
      <c r="T24" s="79"/>
      <c r="U24" s="79"/>
      <c r="X24" s="130"/>
      <c r="Z24" s="106"/>
    </row>
    <row r="25">
      <c r="A25" s="28" t="s">
        <v>159</v>
      </c>
      <c r="B25" s="41"/>
      <c r="C25" s="121"/>
      <c r="D25" s="124"/>
      <c r="H25" s="88"/>
      <c r="I25" s="88"/>
      <c r="J25" s="123"/>
      <c r="P25" s="79"/>
      <c r="Q25" s="79"/>
      <c r="T25" s="79"/>
      <c r="U25" s="79"/>
      <c r="X25" s="130"/>
      <c r="Z25" s="106"/>
    </row>
    <row r="26">
      <c r="A26" s="28" t="s">
        <v>160</v>
      </c>
      <c r="B26" s="41"/>
      <c r="C26" s="71"/>
      <c r="D26" s="124"/>
      <c r="H26" s="88"/>
      <c r="I26" s="88"/>
      <c r="J26" s="123"/>
      <c r="P26" s="79"/>
      <c r="Q26" s="79"/>
      <c r="T26" s="79"/>
      <c r="U26" s="79"/>
      <c r="X26" s="130"/>
      <c r="Z26" s="106"/>
    </row>
    <row r="27">
      <c r="A27" s="28" t="s">
        <v>172</v>
      </c>
      <c r="B27" s="41">
        <v>512.83</v>
      </c>
      <c r="C27" s="71" t="s">
        <v>173</v>
      </c>
      <c r="D27" s="122"/>
      <c r="H27" s="88"/>
      <c r="I27" s="88"/>
      <c r="J27" s="123"/>
      <c r="P27" s="79"/>
      <c r="Q27" s="79"/>
      <c r="T27" s="79"/>
      <c r="U27" s="79"/>
      <c r="X27" s="130"/>
      <c r="Z27" s="106"/>
    </row>
    <row r="28">
      <c r="A28" s="25"/>
      <c r="B28" s="26"/>
      <c r="C28" s="121"/>
      <c r="D28" s="122"/>
      <c r="J28" s="79"/>
      <c r="P28" s="79"/>
      <c r="Q28" s="79"/>
      <c r="T28" s="79"/>
      <c r="U28" s="79"/>
      <c r="X28" s="132"/>
      <c r="Z28" s="106"/>
    </row>
    <row r="29">
      <c r="A29" s="25"/>
      <c r="B29" s="26"/>
      <c r="C29" s="121"/>
      <c r="D29" s="122"/>
      <c r="I29" s="89"/>
      <c r="J29" s="125"/>
      <c r="P29" s="79"/>
      <c r="Q29" s="79"/>
      <c r="T29" s="79"/>
      <c r="U29" s="79"/>
      <c r="X29" s="130"/>
      <c r="Z29" s="106"/>
    </row>
    <row r="30">
      <c r="C30" s="79"/>
      <c r="D30" s="79"/>
      <c r="J30" s="79"/>
      <c r="P30" s="79"/>
      <c r="Q30" s="79"/>
      <c r="T30" s="79"/>
      <c r="U30" s="79"/>
      <c r="X30" s="130"/>
      <c r="Z30" s="106"/>
    </row>
    <row r="31">
      <c r="C31" s="79"/>
      <c r="D31" s="79"/>
      <c r="J31" s="79"/>
      <c r="P31" s="79"/>
      <c r="Q31" s="79"/>
      <c r="T31" s="79"/>
      <c r="U31" s="79"/>
      <c r="X31" s="130"/>
      <c r="Z31" s="106"/>
    </row>
    <row r="32">
      <c r="C32" s="79"/>
      <c r="D32" s="79"/>
      <c r="J32" s="79"/>
      <c r="P32" s="79"/>
      <c r="Q32" s="79"/>
      <c r="T32" s="79"/>
      <c r="U32" s="79"/>
      <c r="X32" s="130"/>
      <c r="Z32" s="106"/>
    </row>
    <row r="33">
      <c r="C33" s="79"/>
      <c r="D33" s="79"/>
      <c r="J33" s="79"/>
      <c r="P33" s="79"/>
      <c r="Q33" s="79"/>
      <c r="T33" s="79"/>
      <c r="U33" s="79"/>
      <c r="X33" s="130"/>
      <c r="Z33" s="106"/>
    </row>
    <row r="34">
      <c r="C34" s="79"/>
      <c r="D34" s="79"/>
      <c r="J34" s="79"/>
      <c r="P34" s="79"/>
      <c r="Q34" s="79"/>
      <c r="T34" s="79"/>
      <c r="U34" s="79"/>
      <c r="X34" s="130"/>
      <c r="Z34" s="106"/>
    </row>
    <row r="35">
      <c r="C35" s="79"/>
      <c r="D35" s="79"/>
      <c r="J35" s="79"/>
      <c r="P35" s="79"/>
      <c r="Q35" s="79"/>
      <c r="T35" s="79"/>
      <c r="U35" s="79"/>
      <c r="X35" s="130"/>
      <c r="Z35" s="106"/>
    </row>
    <row r="36">
      <c r="C36" s="79"/>
      <c r="D36" s="79"/>
      <c r="J36" s="79"/>
      <c r="P36" s="79"/>
      <c r="Q36" s="79"/>
      <c r="T36" s="79"/>
      <c r="U36" s="79"/>
      <c r="X36" s="130"/>
      <c r="Z36" s="106"/>
    </row>
    <row r="37">
      <c r="C37" s="79"/>
      <c r="D37" s="79"/>
      <c r="J37" s="79"/>
      <c r="P37" s="79"/>
      <c r="Q37" s="79"/>
      <c r="T37" s="79"/>
      <c r="U37" s="79"/>
      <c r="X37" s="130"/>
      <c r="Z37" s="106"/>
    </row>
    <row r="38">
      <c r="C38" s="79"/>
      <c r="D38" s="79"/>
      <c r="J38" s="79"/>
      <c r="P38" s="79"/>
      <c r="Q38" s="79"/>
      <c r="T38" s="79"/>
      <c r="U38" s="79"/>
      <c r="X38" s="130"/>
      <c r="Z38" s="106"/>
    </row>
    <row r="39">
      <c r="C39" s="79"/>
      <c r="D39" s="79"/>
      <c r="J39" s="79"/>
      <c r="P39" s="79"/>
      <c r="Q39" s="79"/>
      <c r="T39" s="79"/>
      <c r="U39" s="79"/>
      <c r="X39" s="130"/>
      <c r="Z39" s="106"/>
    </row>
    <row r="40">
      <c r="C40" s="79"/>
      <c r="D40" s="79"/>
      <c r="J40" s="79"/>
      <c r="P40" s="79"/>
      <c r="Q40" s="79"/>
      <c r="T40" s="79"/>
      <c r="U40" s="79"/>
      <c r="X40" s="130"/>
      <c r="Z40" s="106"/>
    </row>
    <row r="41">
      <c r="C41" s="79"/>
      <c r="D41" s="79"/>
      <c r="J41" s="79"/>
      <c r="P41" s="79"/>
      <c r="Q41" s="79"/>
      <c r="T41" s="79"/>
      <c r="U41" s="79"/>
      <c r="X41" s="130"/>
      <c r="Z41" s="106"/>
    </row>
    <row r="42">
      <c r="C42" s="79"/>
      <c r="D42" s="79"/>
      <c r="J42" s="79"/>
      <c r="P42" s="79"/>
      <c r="Q42" s="79"/>
      <c r="T42" s="79"/>
      <c r="U42" s="79"/>
      <c r="X42" s="130"/>
      <c r="Z42" s="106"/>
    </row>
    <row r="43">
      <c r="C43" s="79"/>
      <c r="D43" s="79"/>
      <c r="J43" s="79"/>
      <c r="P43" s="79"/>
      <c r="Q43" s="79"/>
      <c r="T43" s="79"/>
      <c r="U43" s="79"/>
      <c r="X43" s="130"/>
      <c r="Z43" s="106"/>
    </row>
    <row r="44">
      <c r="C44" s="79"/>
      <c r="D44" s="79"/>
      <c r="J44" s="79"/>
      <c r="P44" s="79"/>
      <c r="Q44" s="79"/>
      <c r="T44" s="79"/>
      <c r="U44" s="79"/>
      <c r="X44" s="130"/>
      <c r="Z44" s="106"/>
    </row>
    <row r="45">
      <c r="C45" s="79"/>
      <c r="D45" s="79"/>
      <c r="J45" s="79"/>
      <c r="P45" s="79"/>
      <c r="Q45" s="79"/>
      <c r="T45" s="79"/>
      <c r="U45" s="79"/>
      <c r="X45" s="130"/>
      <c r="Z45" s="106"/>
    </row>
    <row r="46">
      <c r="C46" s="79"/>
      <c r="D46" s="79"/>
      <c r="J46" s="79"/>
      <c r="P46" s="79"/>
      <c r="Q46" s="79"/>
      <c r="T46" s="79"/>
      <c r="U46" s="79"/>
      <c r="X46" s="130"/>
      <c r="Z46" s="106"/>
    </row>
    <row r="47">
      <c r="C47" s="79"/>
      <c r="D47" s="79"/>
      <c r="J47" s="79"/>
      <c r="P47" s="79"/>
      <c r="Q47" s="79"/>
      <c r="T47" s="79"/>
      <c r="U47" s="79"/>
      <c r="X47" s="130"/>
      <c r="Z47" s="106"/>
    </row>
    <row r="48">
      <c r="C48" s="79"/>
      <c r="D48" s="79"/>
      <c r="J48" s="79"/>
      <c r="P48" s="79"/>
      <c r="Q48" s="79"/>
      <c r="T48" s="79"/>
      <c r="U48" s="79"/>
      <c r="X48" s="130"/>
      <c r="Z48" s="106"/>
    </row>
    <row r="49">
      <c r="C49" s="79"/>
      <c r="D49" s="79"/>
      <c r="J49" s="79"/>
      <c r="P49" s="79"/>
      <c r="Q49" s="79"/>
      <c r="T49" s="79"/>
      <c r="U49" s="79"/>
      <c r="X49" s="130"/>
      <c r="Z49" s="106"/>
    </row>
    <row r="50">
      <c r="C50" s="79"/>
      <c r="D50" s="79"/>
      <c r="J50" s="79"/>
      <c r="P50" s="79"/>
      <c r="Q50" s="79"/>
      <c r="T50" s="79"/>
      <c r="U50" s="79"/>
      <c r="X50" s="130"/>
      <c r="Z50" s="106"/>
    </row>
    <row r="51">
      <c r="C51" s="79"/>
      <c r="D51" s="79"/>
      <c r="J51" s="79"/>
      <c r="P51" s="79"/>
      <c r="Q51" s="79"/>
      <c r="T51" s="79"/>
      <c r="U51" s="79"/>
      <c r="X51" s="130"/>
      <c r="Z51" s="106"/>
    </row>
    <row r="52">
      <c r="C52" s="79"/>
      <c r="D52" s="79"/>
      <c r="J52" s="79"/>
      <c r="P52" s="79"/>
      <c r="Q52" s="79"/>
      <c r="T52" s="79"/>
      <c r="U52" s="79"/>
      <c r="X52" s="130"/>
      <c r="Z52" s="106"/>
    </row>
    <row r="53">
      <c r="C53" s="79"/>
      <c r="D53" s="79"/>
      <c r="J53" s="79"/>
      <c r="P53" s="79"/>
      <c r="Q53" s="79"/>
      <c r="T53" s="79"/>
      <c r="U53" s="79"/>
      <c r="X53" s="130"/>
      <c r="Z53" s="106"/>
    </row>
    <row r="54">
      <c r="C54" s="79"/>
      <c r="D54" s="79"/>
      <c r="J54" s="79"/>
      <c r="P54" s="79"/>
      <c r="Q54" s="79"/>
      <c r="T54" s="79"/>
      <c r="U54" s="79"/>
      <c r="X54" s="130"/>
      <c r="Z54" s="106"/>
    </row>
    <row r="55">
      <c r="C55" s="79"/>
      <c r="D55" s="79"/>
      <c r="J55" s="79"/>
      <c r="P55" s="79"/>
      <c r="Q55" s="79"/>
      <c r="T55" s="79"/>
      <c r="U55" s="79"/>
      <c r="X55" s="130"/>
      <c r="Z55" s="106"/>
    </row>
    <row r="56">
      <c r="C56" s="79"/>
      <c r="D56" s="79"/>
      <c r="J56" s="79"/>
      <c r="P56" s="79"/>
      <c r="Q56" s="79"/>
      <c r="T56" s="79"/>
      <c r="U56" s="79"/>
      <c r="X56" s="130"/>
      <c r="Z56" s="106"/>
    </row>
    <row r="57">
      <c r="C57" s="79"/>
      <c r="D57" s="79"/>
      <c r="J57" s="79"/>
      <c r="P57" s="79"/>
      <c r="Q57" s="79"/>
      <c r="T57" s="79"/>
      <c r="U57" s="79"/>
      <c r="X57" s="130"/>
      <c r="Z57" s="106"/>
    </row>
    <row r="58">
      <c r="C58" s="79"/>
      <c r="D58" s="79"/>
      <c r="J58" s="79"/>
      <c r="P58" s="79"/>
      <c r="Q58" s="79"/>
      <c r="T58" s="79"/>
      <c r="U58" s="79"/>
      <c r="X58" s="130"/>
      <c r="Z58" s="106"/>
    </row>
    <row r="59">
      <c r="C59" s="79"/>
      <c r="D59" s="79"/>
      <c r="J59" s="79"/>
      <c r="P59" s="79"/>
      <c r="Q59" s="79"/>
      <c r="T59" s="79"/>
      <c r="U59" s="79"/>
      <c r="X59" s="130"/>
      <c r="Z59" s="106"/>
    </row>
    <row r="60">
      <c r="C60" s="79"/>
      <c r="D60" s="79"/>
      <c r="J60" s="79"/>
      <c r="P60" s="79"/>
      <c r="Q60" s="79"/>
      <c r="T60" s="79"/>
      <c r="U60" s="79"/>
      <c r="X60" s="130"/>
      <c r="Z60" s="106"/>
    </row>
    <row r="61">
      <c r="C61" s="79"/>
      <c r="D61" s="79"/>
      <c r="J61" s="79"/>
      <c r="P61" s="79"/>
      <c r="Q61" s="79"/>
      <c r="T61" s="79"/>
      <c r="U61" s="79"/>
      <c r="X61" s="130"/>
      <c r="Z61" s="106"/>
    </row>
    <row r="62">
      <c r="C62" s="79"/>
      <c r="D62" s="79"/>
      <c r="J62" s="79"/>
      <c r="P62" s="79"/>
      <c r="Q62" s="79"/>
      <c r="T62" s="79"/>
      <c r="U62" s="79"/>
      <c r="X62" s="130"/>
      <c r="Z62" s="106"/>
    </row>
    <row r="63">
      <c r="C63" s="79"/>
      <c r="D63" s="79"/>
      <c r="J63" s="79"/>
      <c r="P63" s="79"/>
      <c r="Q63" s="79"/>
      <c r="T63" s="79"/>
      <c r="U63" s="79"/>
      <c r="X63" s="130"/>
      <c r="Z63" s="106"/>
    </row>
    <row r="64">
      <c r="C64" s="79"/>
      <c r="D64" s="79"/>
      <c r="J64" s="79"/>
      <c r="P64" s="79"/>
      <c r="Q64" s="79"/>
      <c r="T64" s="79"/>
      <c r="U64" s="79"/>
      <c r="X64" s="130"/>
      <c r="Z64" s="106"/>
    </row>
    <row r="65">
      <c r="C65" s="79"/>
      <c r="D65" s="79"/>
      <c r="J65" s="79"/>
      <c r="P65" s="79"/>
      <c r="Q65" s="79"/>
      <c r="T65" s="79"/>
      <c r="U65" s="79"/>
      <c r="X65" s="130"/>
      <c r="Z65" s="106"/>
    </row>
    <row r="66">
      <c r="C66" s="79"/>
      <c r="D66" s="79"/>
      <c r="J66" s="79"/>
      <c r="P66" s="79"/>
      <c r="Q66" s="79"/>
      <c r="T66" s="79"/>
      <c r="U66" s="79"/>
      <c r="X66" s="130"/>
      <c r="Z66" s="106"/>
    </row>
    <row r="67">
      <c r="C67" s="79"/>
      <c r="D67" s="79"/>
      <c r="J67" s="79"/>
      <c r="P67" s="79"/>
      <c r="Q67" s="79"/>
      <c r="T67" s="79"/>
      <c r="U67" s="79"/>
      <c r="X67" s="130"/>
      <c r="Z67" s="106"/>
    </row>
    <row r="68">
      <c r="C68" s="79"/>
      <c r="D68" s="79"/>
      <c r="J68" s="79"/>
      <c r="P68" s="79"/>
      <c r="Q68" s="79"/>
      <c r="T68" s="79"/>
      <c r="U68" s="79"/>
      <c r="X68" s="130"/>
      <c r="Z68" s="106"/>
    </row>
    <row r="69">
      <c r="C69" s="79"/>
      <c r="D69" s="79"/>
      <c r="J69" s="79"/>
      <c r="P69" s="79"/>
      <c r="Q69" s="79"/>
      <c r="T69" s="79"/>
      <c r="U69" s="79"/>
      <c r="X69" s="130"/>
      <c r="Z69" s="106"/>
    </row>
    <row r="70">
      <c r="C70" s="79"/>
      <c r="D70" s="79"/>
      <c r="J70" s="79"/>
      <c r="P70" s="79"/>
      <c r="Q70" s="79"/>
      <c r="T70" s="79"/>
      <c r="U70" s="79"/>
      <c r="X70" s="130"/>
      <c r="Z70" s="106"/>
    </row>
    <row r="71">
      <c r="C71" s="79"/>
      <c r="D71" s="79"/>
      <c r="J71" s="79"/>
      <c r="P71" s="79"/>
      <c r="Q71" s="79"/>
      <c r="T71" s="79"/>
      <c r="U71" s="79"/>
      <c r="X71" s="130"/>
      <c r="Z71" s="106"/>
    </row>
    <row r="72">
      <c r="C72" s="79"/>
      <c r="D72" s="79"/>
      <c r="J72" s="79"/>
      <c r="P72" s="79"/>
      <c r="Q72" s="79"/>
      <c r="T72" s="79"/>
      <c r="U72" s="79"/>
      <c r="X72" s="130"/>
      <c r="Z72" s="106"/>
    </row>
    <row r="73">
      <c r="C73" s="79"/>
      <c r="D73" s="79"/>
      <c r="J73" s="79"/>
      <c r="P73" s="79"/>
      <c r="Q73" s="79"/>
      <c r="T73" s="79"/>
      <c r="U73" s="79"/>
      <c r="X73" s="130"/>
      <c r="Z73" s="106"/>
    </row>
    <row r="74">
      <c r="C74" s="79"/>
      <c r="D74" s="79"/>
      <c r="J74" s="79"/>
      <c r="P74" s="79"/>
      <c r="Q74" s="79"/>
      <c r="T74" s="79"/>
      <c r="U74" s="79"/>
      <c r="X74" s="130"/>
      <c r="Z74" s="106"/>
    </row>
    <row r="75">
      <c r="C75" s="79"/>
      <c r="D75" s="79"/>
      <c r="J75" s="79"/>
      <c r="P75" s="79"/>
      <c r="Q75" s="79"/>
      <c r="T75" s="79"/>
      <c r="U75" s="79"/>
      <c r="X75" s="130"/>
      <c r="Z75" s="106"/>
    </row>
    <row r="76">
      <c r="C76" s="79"/>
      <c r="D76" s="79"/>
      <c r="J76" s="79"/>
      <c r="P76" s="79"/>
      <c r="Q76" s="79"/>
      <c r="T76" s="79"/>
      <c r="U76" s="79"/>
      <c r="X76" s="130"/>
      <c r="Z76" s="106"/>
    </row>
    <row r="77">
      <c r="C77" s="79"/>
      <c r="D77" s="79"/>
      <c r="J77" s="79"/>
      <c r="P77" s="79"/>
      <c r="Q77" s="79"/>
      <c r="T77" s="79"/>
      <c r="U77" s="79"/>
      <c r="X77" s="130"/>
      <c r="Z77" s="106"/>
    </row>
    <row r="78">
      <c r="C78" s="79"/>
      <c r="D78" s="79"/>
      <c r="J78" s="79"/>
      <c r="P78" s="79"/>
      <c r="Q78" s="79"/>
      <c r="T78" s="79"/>
      <c r="U78" s="79"/>
      <c r="X78" s="130"/>
      <c r="Z78" s="106"/>
    </row>
    <row r="79">
      <c r="C79" s="79"/>
      <c r="D79" s="79"/>
      <c r="J79" s="79"/>
      <c r="P79" s="79"/>
      <c r="Q79" s="79"/>
      <c r="T79" s="79"/>
      <c r="U79" s="79"/>
      <c r="X79" s="130"/>
      <c r="Z79" s="106"/>
    </row>
    <row r="80">
      <c r="C80" s="79"/>
      <c r="D80" s="79"/>
      <c r="J80" s="79"/>
      <c r="P80" s="79"/>
      <c r="Q80" s="79"/>
      <c r="T80" s="79"/>
      <c r="U80" s="79"/>
      <c r="X80" s="130"/>
      <c r="Z80" s="106"/>
    </row>
    <row r="81">
      <c r="C81" s="79"/>
      <c r="D81" s="79"/>
      <c r="J81" s="79"/>
      <c r="P81" s="79"/>
      <c r="Q81" s="79"/>
      <c r="T81" s="79"/>
      <c r="U81" s="79"/>
      <c r="X81" s="130"/>
      <c r="Z81" s="106"/>
    </row>
    <row r="82">
      <c r="C82" s="79"/>
      <c r="D82" s="79"/>
      <c r="J82" s="79"/>
      <c r="P82" s="79"/>
      <c r="Q82" s="79"/>
      <c r="T82" s="79"/>
      <c r="U82" s="79"/>
      <c r="X82" s="130"/>
      <c r="Z82" s="106"/>
    </row>
    <row r="83">
      <c r="C83" s="79"/>
      <c r="D83" s="79"/>
      <c r="J83" s="79"/>
      <c r="P83" s="79"/>
      <c r="Q83" s="79"/>
      <c r="T83" s="79"/>
      <c r="U83" s="79"/>
      <c r="X83" s="130"/>
      <c r="Z83" s="106"/>
    </row>
    <row r="84">
      <c r="C84" s="79"/>
      <c r="D84" s="79"/>
      <c r="J84" s="79"/>
      <c r="P84" s="79"/>
      <c r="Q84" s="79"/>
      <c r="T84" s="79"/>
      <c r="U84" s="79"/>
      <c r="X84" s="130"/>
      <c r="Z84" s="106"/>
    </row>
    <row r="85">
      <c r="C85" s="79"/>
      <c r="D85" s="79"/>
      <c r="J85" s="79"/>
      <c r="P85" s="79"/>
      <c r="Q85" s="79"/>
      <c r="T85" s="79"/>
      <c r="U85" s="79"/>
      <c r="X85" s="130"/>
      <c r="Z85" s="106"/>
    </row>
    <row r="86">
      <c r="C86" s="79"/>
      <c r="D86" s="79"/>
      <c r="J86" s="79"/>
      <c r="P86" s="79"/>
      <c r="Q86" s="79"/>
      <c r="T86" s="79"/>
      <c r="U86" s="79"/>
      <c r="X86" s="130"/>
      <c r="Z86" s="106"/>
    </row>
    <row r="87">
      <c r="C87" s="79"/>
      <c r="D87" s="79"/>
      <c r="J87" s="79"/>
      <c r="P87" s="79"/>
      <c r="Q87" s="79"/>
      <c r="T87" s="79"/>
      <c r="U87" s="79"/>
      <c r="X87" s="130"/>
      <c r="Z87" s="106"/>
    </row>
    <row r="88">
      <c r="C88" s="79"/>
      <c r="D88" s="79"/>
      <c r="J88" s="79"/>
      <c r="P88" s="79"/>
      <c r="Q88" s="79"/>
      <c r="T88" s="79"/>
      <c r="U88" s="79"/>
      <c r="X88" s="130"/>
      <c r="Z88" s="106"/>
    </row>
    <row r="89">
      <c r="C89" s="79"/>
      <c r="D89" s="79"/>
      <c r="J89" s="79"/>
      <c r="P89" s="79"/>
      <c r="Q89" s="79"/>
      <c r="T89" s="79"/>
      <c r="U89" s="79"/>
      <c r="X89" s="130"/>
      <c r="Z89" s="106"/>
    </row>
    <row r="90">
      <c r="C90" s="79"/>
      <c r="D90" s="79"/>
      <c r="J90" s="79"/>
      <c r="P90" s="79"/>
      <c r="Q90" s="79"/>
      <c r="T90" s="79"/>
      <c r="U90" s="79"/>
      <c r="X90" s="130"/>
      <c r="Z90" s="106"/>
    </row>
    <row r="91">
      <c r="C91" s="79"/>
      <c r="D91" s="79"/>
      <c r="J91" s="79"/>
      <c r="P91" s="79"/>
      <c r="Q91" s="79"/>
      <c r="T91" s="79"/>
      <c r="U91" s="79"/>
      <c r="X91" s="130"/>
      <c r="Z91" s="106"/>
    </row>
    <row r="92">
      <c r="C92" s="79"/>
      <c r="D92" s="79"/>
      <c r="J92" s="79"/>
      <c r="P92" s="79"/>
      <c r="Q92" s="79"/>
      <c r="T92" s="79"/>
      <c r="U92" s="79"/>
      <c r="X92" s="130"/>
      <c r="Z92" s="106"/>
    </row>
    <row r="93">
      <c r="C93" s="79"/>
      <c r="D93" s="79"/>
      <c r="J93" s="79"/>
      <c r="P93" s="79"/>
      <c r="Q93" s="79"/>
      <c r="T93" s="79"/>
      <c r="U93" s="79"/>
      <c r="X93" s="130"/>
      <c r="Z93" s="106"/>
    </row>
    <row r="94">
      <c r="C94" s="79"/>
      <c r="D94" s="79"/>
      <c r="J94" s="79"/>
      <c r="P94" s="79"/>
      <c r="Q94" s="79"/>
      <c r="T94" s="79"/>
      <c r="U94" s="79"/>
      <c r="X94" s="130"/>
      <c r="Z94" s="106"/>
    </row>
    <row r="95">
      <c r="C95" s="79"/>
      <c r="D95" s="79"/>
      <c r="J95" s="79"/>
      <c r="P95" s="79"/>
      <c r="Q95" s="79"/>
      <c r="T95" s="79"/>
      <c r="U95" s="79"/>
      <c r="X95" s="130"/>
      <c r="Z95" s="106"/>
    </row>
    <row r="96">
      <c r="C96" s="79"/>
      <c r="D96" s="79"/>
      <c r="J96" s="79"/>
      <c r="P96" s="79"/>
      <c r="Q96" s="79"/>
      <c r="T96" s="79"/>
      <c r="U96" s="79"/>
      <c r="X96" s="130"/>
      <c r="Z96" s="106"/>
    </row>
    <row r="97">
      <c r="C97" s="79"/>
      <c r="D97" s="79"/>
      <c r="J97" s="79"/>
      <c r="P97" s="79"/>
      <c r="Q97" s="79"/>
      <c r="T97" s="79"/>
      <c r="U97" s="79"/>
      <c r="X97" s="130"/>
      <c r="Z97" s="106"/>
    </row>
    <row r="98">
      <c r="C98" s="79"/>
      <c r="D98" s="79"/>
      <c r="J98" s="79"/>
      <c r="P98" s="79"/>
      <c r="Q98" s="79"/>
      <c r="T98" s="79"/>
      <c r="U98" s="79"/>
      <c r="X98" s="130"/>
      <c r="Z98" s="106"/>
    </row>
    <row r="99">
      <c r="C99" s="79"/>
      <c r="D99" s="79"/>
      <c r="J99" s="79"/>
      <c r="P99" s="79"/>
      <c r="Q99" s="79"/>
      <c r="T99" s="79"/>
      <c r="U99" s="79"/>
      <c r="X99" s="130"/>
      <c r="Z99" s="106"/>
    </row>
    <row r="100">
      <c r="C100" s="79"/>
      <c r="D100" s="79"/>
      <c r="J100" s="79"/>
      <c r="P100" s="79"/>
      <c r="Q100" s="79"/>
      <c r="T100" s="79"/>
      <c r="U100" s="79"/>
      <c r="X100" s="130"/>
      <c r="Z100" s="106"/>
    </row>
    <row r="101">
      <c r="C101" s="79"/>
      <c r="D101" s="79"/>
      <c r="J101" s="79"/>
      <c r="P101" s="79"/>
      <c r="Q101" s="79"/>
      <c r="T101" s="79"/>
      <c r="U101" s="79"/>
      <c r="X101" s="130"/>
      <c r="Z101" s="106"/>
    </row>
    <row r="102">
      <c r="C102" s="79"/>
      <c r="D102" s="79"/>
      <c r="J102" s="79"/>
      <c r="P102" s="79"/>
      <c r="Q102" s="79"/>
      <c r="T102" s="79"/>
      <c r="U102" s="79"/>
      <c r="X102" s="130"/>
      <c r="Z102" s="106"/>
    </row>
    <row r="103">
      <c r="C103" s="79"/>
      <c r="D103" s="79"/>
      <c r="J103" s="79"/>
      <c r="P103" s="79"/>
      <c r="Q103" s="79"/>
      <c r="T103" s="79"/>
      <c r="U103" s="79"/>
      <c r="X103" s="130"/>
      <c r="Z103" s="106"/>
    </row>
    <row r="104">
      <c r="C104" s="79"/>
      <c r="D104" s="79"/>
      <c r="J104" s="79"/>
      <c r="P104" s="79"/>
      <c r="Q104" s="79"/>
      <c r="T104" s="79"/>
      <c r="U104" s="79"/>
      <c r="X104" s="130"/>
      <c r="Z104" s="106"/>
    </row>
    <row r="105">
      <c r="C105" s="79"/>
      <c r="D105" s="79"/>
      <c r="J105" s="79"/>
      <c r="P105" s="79"/>
      <c r="Q105" s="79"/>
      <c r="T105" s="79"/>
      <c r="U105" s="79"/>
      <c r="X105" s="130"/>
      <c r="Z105" s="106"/>
    </row>
    <row r="106">
      <c r="C106" s="79"/>
      <c r="D106" s="79"/>
      <c r="J106" s="79"/>
      <c r="P106" s="79"/>
      <c r="Q106" s="79"/>
      <c r="T106" s="79"/>
      <c r="U106" s="79"/>
      <c r="X106" s="130"/>
      <c r="Z106" s="106"/>
    </row>
    <row r="107">
      <c r="C107" s="79"/>
      <c r="D107" s="79"/>
      <c r="J107" s="79"/>
      <c r="P107" s="79"/>
      <c r="Q107" s="79"/>
      <c r="T107" s="79"/>
      <c r="U107" s="79"/>
      <c r="X107" s="130"/>
      <c r="Z107" s="106"/>
    </row>
    <row r="108">
      <c r="C108" s="79"/>
      <c r="D108" s="79"/>
      <c r="J108" s="79"/>
      <c r="P108" s="79"/>
      <c r="Q108" s="79"/>
      <c r="T108" s="79"/>
      <c r="U108" s="79"/>
      <c r="X108" s="130"/>
      <c r="Z108" s="106"/>
    </row>
    <row r="109">
      <c r="C109" s="79"/>
      <c r="D109" s="79"/>
      <c r="J109" s="79"/>
      <c r="P109" s="79"/>
      <c r="Q109" s="79"/>
      <c r="T109" s="79"/>
      <c r="U109" s="79"/>
      <c r="X109" s="130"/>
      <c r="Z109" s="106"/>
    </row>
    <row r="110">
      <c r="C110" s="79"/>
      <c r="D110" s="79"/>
      <c r="J110" s="79"/>
      <c r="P110" s="79"/>
      <c r="Q110" s="79"/>
      <c r="T110" s="79"/>
      <c r="U110" s="79"/>
      <c r="X110" s="130"/>
      <c r="Z110" s="106"/>
    </row>
    <row r="111">
      <c r="C111" s="79"/>
      <c r="D111" s="79"/>
      <c r="J111" s="79"/>
      <c r="P111" s="79"/>
      <c r="Q111" s="79"/>
      <c r="T111" s="79"/>
      <c r="U111" s="79"/>
      <c r="X111" s="130"/>
      <c r="Z111" s="106"/>
    </row>
    <row r="112">
      <c r="C112" s="79"/>
      <c r="D112" s="79"/>
      <c r="J112" s="79"/>
      <c r="P112" s="79"/>
      <c r="Q112" s="79"/>
      <c r="T112" s="79"/>
      <c r="U112" s="79"/>
      <c r="X112" s="130"/>
      <c r="Z112" s="106"/>
    </row>
    <row r="113">
      <c r="C113" s="79"/>
      <c r="D113" s="79"/>
      <c r="J113" s="79"/>
      <c r="P113" s="79"/>
      <c r="Q113" s="79"/>
      <c r="T113" s="79"/>
      <c r="U113" s="79"/>
      <c r="X113" s="130"/>
      <c r="Z113" s="106"/>
    </row>
    <row r="114">
      <c r="C114" s="79"/>
      <c r="D114" s="79"/>
      <c r="J114" s="79"/>
      <c r="P114" s="79"/>
      <c r="Q114" s="79"/>
      <c r="T114" s="79"/>
      <c r="U114" s="79"/>
      <c r="X114" s="130"/>
      <c r="Z114" s="106"/>
    </row>
    <row r="115">
      <c r="C115" s="79"/>
      <c r="D115" s="79"/>
      <c r="J115" s="79"/>
      <c r="P115" s="79"/>
      <c r="Q115" s="79"/>
      <c r="T115" s="79"/>
      <c r="U115" s="79"/>
      <c r="X115" s="130"/>
      <c r="Z115" s="106"/>
    </row>
    <row r="116">
      <c r="C116" s="79"/>
      <c r="D116" s="79"/>
      <c r="J116" s="79"/>
      <c r="P116" s="79"/>
      <c r="Q116" s="79"/>
      <c r="T116" s="79"/>
      <c r="U116" s="79"/>
      <c r="X116" s="130"/>
      <c r="Z116" s="106"/>
    </row>
    <row r="117">
      <c r="C117" s="79"/>
      <c r="D117" s="79"/>
      <c r="J117" s="79"/>
      <c r="P117" s="79"/>
      <c r="Q117" s="79"/>
      <c r="T117" s="79"/>
      <c r="U117" s="79"/>
      <c r="X117" s="130"/>
      <c r="Z117" s="106"/>
    </row>
    <row r="118">
      <c r="C118" s="79"/>
      <c r="D118" s="79"/>
      <c r="J118" s="79"/>
      <c r="P118" s="79"/>
      <c r="Q118" s="79"/>
      <c r="T118" s="79"/>
      <c r="U118" s="79"/>
      <c r="X118" s="130"/>
      <c r="Z118" s="106"/>
    </row>
    <row r="119">
      <c r="C119" s="79"/>
      <c r="D119" s="79"/>
      <c r="J119" s="79"/>
      <c r="P119" s="79"/>
      <c r="Q119" s="79"/>
      <c r="T119" s="79"/>
      <c r="U119" s="79"/>
      <c r="X119" s="130"/>
      <c r="Z119" s="106"/>
    </row>
    <row r="120">
      <c r="C120" s="79"/>
      <c r="D120" s="79"/>
      <c r="J120" s="79"/>
      <c r="P120" s="79"/>
      <c r="Q120" s="79"/>
      <c r="T120" s="79"/>
      <c r="U120" s="79"/>
      <c r="X120" s="130"/>
      <c r="Z120" s="106"/>
    </row>
    <row r="121">
      <c r="C121" s="79"/>
      <c r="D121" s="79"/>
      <c r="J121" s="79"/>
      <c r="P121" s="79"/>
      <c r="Q121" s="79"/>
      <c r="T121" s="79"/>
      <c r="U121" s="79"/>
      <c r="X121" s="130"/>
      <c r="Z121" s="106"/>
    </row>
    <row r="122">
      <c r="C122" s="79"/>
      <c r="D122" s="79"/>
      <c r="J122" s="79"/>
      <c r="P122" s="79"/>
      <c r="Q122" s="79"/>
      <c r="T122" s="79"/>
      <c r="U122" s="79"/>
      <c r="X122" s="130"/>
      <c r="Z122" s="106"/>
    </row>
    <row r="123">
      <c r="C123" s="79"/>
      <c r="D123" s="79"/>
      <c r="J123" s="79"/>
      <c r="P123" s="79"/>
      <c r="Q123" s="79"/>
      <c r="T123" s="79"/>
      <c r="U123" s="79"/>
      <c r="X123" s="130"/>
      <c r="Z123" s="106"/>
    </row>
    <row r="124">
      <c r="C124" s="79"/>
      <c r="D124" s="79"/>
      <c r="J124" s="79"/>
      <c r="P124" s="79"/>
      <c r="Q124" s="79"/>
      <c r="T124" s="79"/>
      <c r="U124" s="79"/>
      <c r="X124" s="130"/>
      <c r="Z124" s="106"/>
    </row>
    <row r="125">
      <c r="C125" s="79"/>
      <c r="D125" s="79"/>
      <c r="J125" s="79"/>
      <c r="P125" s="79"/>
      <c r="Q125" s="79"/>
      <c r="T125" s="79"/>
      <c r="U125" s="79"/>
      <c r="X125" s="130"/>
      <c r="Z125" s="106"/>
    </row>
    <row r="126">
      <c r="C126" s="79"/>
      <c r="D126" s="79"/>
      <c r="J126" s="79"/>
      <c r="P126" s="79"/>
      <c r="Q126" s="79"/>
      <c r="T126" s="79"/>
      <c r="U126" s="79"/>
      <c r="X126" s="130"/>
      <c r="Z126" s="106"/>
    </row>
    <row r="127">
      <c r="C127" s="79"/>
      <c r="D127" s="79"/>
      <c r="J127" s="79"/>
      <c r="P127" s="79"/>
      <c r="Q127" s="79"/>
      <c r="T127" s="79"/>
      <c r="U127" s="79"/>
      <c r="X127" s="130"/>
      <c r="Z127" s="106"/>
    </row>
    <row r="128">
      <c r="C128" s="79"/>
      <c r="D128" s="79"/>
      <c r="J128" s="79"/>
      <c r="P128" s="79"/>
      <c r="Q128" s="79"/>
      <c r="T128" s="79"/>
      <c r="U128" s="79"/>
      <c r="X128" s="130"/>
      <c r="Z128" s="106"/>
    </row>
    <row r="129">
      <c r="C129" s="79"/>
      <c r="D129" s="79"/>
      <c r="J129" s="79"/>
      <c r="P129" s="79"/>
      <c r="Q129" s="79"/>
      <c r="T129" s="79"/>
      <c r="U129" s="79"/>
      <c r="X129" s="130"/>
      <c r="Z129" s="106"/>
    </row>
    <row r="130">
      <c r="C130" s="79"/>
      <c r="D130" s="79"/>
      <c r="J130" s="79"/>
      <c r="P130" s="79"/>
      <c r="Q130" s="79"/>
      <c r="T130" s="79"/>
      <c r="U130" s="79"/>
      <c r="X130" s="130"/>
      <c r="Z130" s="106"/>
    </row>
    <row r="131">
      <c r="C131" s="79"/>
      <c r="D131" s="79"/>
      <c r="J131" s="79"/>
      <c r="P131" s="79"/>
      <c r="Q131" s="79"/>
      <c r="T131" s="79"/>
      <c r="U131" s="79"/>
      <c r="X131" s="130"/>
      <c r="Z131" s="106"/>
    </row>
    <row r="132">
      <c r="C132" s="79"/>
      <c r="D132" s="79"/>
      <c r="J132" s="79"/>
      <c r="P132" s="79"/>
      <c r="Q132" s="79"/>
      <c r="T132" s="79"/>
      <c r="U132" s="79"/>
      <c r="X132" s="130"/>
      <c r="Z132" s="106"/>
    </row>
    <row r="133">
      <c r="C133" s="79"/>
      <c r="D133" s="79"/>
      <c r="J133" s="79"/>
      <c r="P133" s="79"/>
      <c r="Q133" s="79"/>
      <c r="T133" s="79"/>
      <c r="U133" s="79"/>
      <c r="X133" s="130"/>
      <c r="Z133" s="106"/>
    </row>
    <row r="134">
      <c r="C134" s="79"/>
      <c r="D134" s="79"/>
      <c r="J134" s="79"/>
      <c r="P134" s="79"/>
      <c r="Q134" s="79"/>
      <c r="T134" s="79"/>
      <c r="U134" s="79"/>
      <c r="X134" s="130"/>
      <c r="Z134" s="106"/>
    </row>
    <row r="135">
      <c r="C135" s="79"/>
      <c r="D135" s="79"/>
      <c r="J135" s="79"/>
      <c r="P135" s="79"/>
      <c r="Q135" s="79"/>
      <c r="T135" s="79"/>
      <c r="U135" s="79"/>
      <c r="X135" s="130"/>
      <c r="Z135" s="106"/>
    </row>
    <row r="136">
      <c r="C136" s="79"/>
      <c r="D136" s="79"/>
      <c r="J136" s="79"/>
      <c r="P136" s="79"/>
      <c r="Q136" s="79"/>
      <c r="T136" s="79"/>
      <c r="U136" s="79"/>
      <c r="X136" s="130"/>
      <c r="Z136" s="106"/>
    </row>
    <row r="137">
      <c r="C137" s="79"/>
      <c r="D137" s="79"/>
      <c r="J137" s="79"/>
      <c r="P137" s="79"/>
      <c r="Q137" s="79"/>
      <c r="T137" s="79"/>
      <c r="U137" s="79"/>
      <c r="X137" s="130"/>
      <c r="Z137" s="106"/>
    </row>
    <row r="138">
      <c r="C138" s="79"/>
      <c r="D138" s="79"/>
      <c r="J138" s="79"/>
      <c r="P138" s="79"/>
      <c r="Q138" s="79"/>
      <c r="T138" s="79"/>
      <c r="U138" s="79"/>
      <c r="X138" s="130"/>
      <c r="Z138" s="106"/>
    </row>
    <row r="139">
      <c r="C139" s="79"/>
      <c r="D139" s="79"/>
      <c r="J139" s="79"/>
      <c r="P139" s="79"/>
      <c r="Q139" s="79"/>
      <c r="T139" s="79"/>
      <c r="U139" s="79"/>
      <c r="X139" s="130"/>
      <c r="Z139" s="106"/>
    </row>
    <row r="140">
      <c r="C140" s="79"/>
      <c r="D140" s="79"/>
      <c r="J140" s="79"/>
      <c r="P140" s="79"/>
      <c r="Q140" s="79"/>
      <c r="T140" s="79"/>
      <c r="U140" s="79"/>
      <c r="X140" s="130"/>
      <c r="Z140" s="106"/>
    </row>
    <row r="141">
      <c r="C141" s="79"/>
      <c r="D141" s="79"/>
      <c r="J141" s="79"/>
      <c r="P141" s="79"/>
      <c r="Q141" s="79"/>
      <c r="T141" s="79"/>
      <c r="U141" s="79"/>
      <c r="X141" s="130"/>
      <c r="Z141" s="106"/>
    </row>
    <row r="142">
      <c r="C142" s="79"/>
      <c r="D142" s="79"/>
      <c r="J142" s="79"/>
      <c r="P142" s="79"/>
      <c r="Q142" s="79"/>
      <c r="T142" s="79"/>
      <c r="U142" s="79"/>
      <c r="X142" s="130"/>
      <c r="Z142" s="106"/>
    </row>
    <row r="143">
      <c r="C143" s="79"/>
      <c r="D143" s="79"/>
      <c r="J143" s="79"/>
      <c r="P143" s="79"/>
      <c r="Q143" s="79"/>
      <c r="T143" s="79"/>
      <c r="U143" s="79"/>
      <c r="X143" s="130"/>
      <c r="Z143" s="106"/>
    </row>
    <row r="144">
      <c r="C144" s="79"/>
      <c r="D144" s="79"/>
      <c r="J144" s="79"/>
      <c r="P144" s="79"/>
      <c r="Q144" s="79"/>
      <c r="T144" s="79"/>
      <c r="U144" s="79"/>
      <c r="X144" s="130"/>
      <c r="Z144" s="106"/>
    </row>
    <row r="145">
      <c r="C145" s="79"/>
      <c r="D145" s="79"/>
      <c r="J145" s="79"/>
      <c r="P145" s="79"/>
      <c r="Q145" s="79"/>
      <c r="T145" s="79"/>
      <c r="U145" s="79"/>
      <c r="X145" s="130"/>
      <c r="Z145" s="106"/>
    </row>
    <row r="146">
      <c r="C146" s="79"/>
      <c r="D146" s="79"/>
      <c r="J146" s="79"/>
      <c r="P146" s="79"/>
      <c r="Q146" s="79"/>
      <c r="T146" s="79"/>
      <c r="U146" s="79"/>
      <c r="X146" s="130"/>
      <c r="Z146" s="106"/>
    </row>
    <row r="147">
      <c r="C147" s="79"/>
      <c r="D147" s="79"/>
      <c r="J147" s="79"/>
      <c r="P147" s="79"/>
      <c r="Q147" s="79"/>
      <c r="T147" s="79"/>
      <c r="U147" s="79"/>
      <c r="X147" s="130"/>
      <c r="Z147" s="106"/>
    </row>
    <row r="148">
      <c r="C148" s="79"/>
      <c r="D148" s="79"/>
      <c r="J148" s="79"/>
      <c r="P148" s="79"/>
      <c r="Q148" s="79"/>
      <c r="T148" s="79"/>
      <c r="U148" s="79"/>
      <c r="X148" s="130"/>
      <c r="Z148" s="106"/>
    </row>
    <row r="149">
      <c r="C149" s="79"/>
      <c r="D149" s="79"/>
      <c r="J149" s="79"/>
      <c r="P149" s="79"/>
      <c r="Q149" s="79"/>
      <c r="T149" s="79"/>
      <c r="U149" s="79"/>
      <c r="X149" s="130"/>
      <c r="Z149" s="106"/>
    </row>
    <row r="150">
      <c r="C150" s="79"/>
      <c r="D150" s="79"/>
      <c r="J150" s="79"/>
      <c r="P150" s="79"/>
      <c r="Q150" s="79"/>
      <c r="T150" s="79"/>
      <c r="U150" s="79"/>
      <c r="X150" s="130"/>
      <c r="Z150" s="106"/>
    </row>
    <row r="151">
      <c r="C151" s="79"/>
      <c r="D151" s="79"/>
      <c r="J151" s="79"/>
      <c r="P151" s="79"/>
      <c r="Q151" s="79"/>
      <c r="T151" s="79"/>
      <c r="U151" s="79"/>
      <c r="X151" s="130"/>
      <c r="Z151" s="106"/>
    </row>
    <row r="152">
      <c r="C152" s="79"/>
      <c r="D152" s="79"/>
      <c r="J152" s="79"/>
      <c r="P152" s="79"/>
      <c r="Q152" s="79"/>
      <c r="T152" s="79"/>
      <c r="U152" s="79"/>
      <c r="X152" s="130"/>
      <c r="Z152" s="106"/>
    </row>
    <row r="153">
      <c r="C153" s="79"/>
      <c r="D153" s="79"/>
      <c r="J153" s="79"/>
      <c r="P153" s="79"/>
      <c r="Q153" s="79"/>
      <c r="T153" s="79"/>
      <c r="U153" s="79"/>
      <c r="X153" s="130"/>
      <c r="Z153" s="106"/>
    </row>
    <row r="154">
      <c r="C154" s="79"/>
      <c r="D154" s="79"/>
      <c r="J154" s="79"/>
      <c r="P154" s="79"/>
      <c r="Q154" s="79"/>
      <c r="T154" s="79"/>
      <c r="U154" s="79"/>
      <c r="X154" s="130"/>
      <c r="Z154" s="106"/>
    </row>
    <row r="155">
      <c r="C155" s="79"/>
      <c r="D155" s="79"/>
      <c r="J155" s="79"/>
      <c r="P155" s="79"/>
      <c r="Q155" s="79"/>
      <c r="T155" s="79"/>
      <c r="U155" s="79"/>
      <c r="X155" s="130"/>
      <c r="Z155" s="106"/>
    </row>
    <row r="156">
      <c r="C156" s="79"/>
      <c r="D156" s="79"/>
      <c r="J156" s="79"/>
      <c r="P156" s="79"/>
      <c r="Q156" s="79"/>
      <c r="T156" s="79"/>
      <c r="U156" s="79"/>
      <c r="X156" s="130"/>
      <c r="Z156" s="106"/>
    </row>
    <row r="157">
      <c r="C157" s="79"/>
      <c r="D157" s="79"/>
      <c r="J157" s="79"/>
      <c r="P157" s="79"/>
      <c r="Q157" s="79"/>
      <c r="T157" s="79"/>
      <c r="U157" s="79"/>
      <c r="X157" s="130"/>
      <c r="Z157" s="106"/>
    </row>
    <row r="158">
      <c r="C158" s="79"/>
      <c r="D158" s="79"/>
      <c r="J158" s="79"/>
      <c r="P158" s="79"/>
      <c r="Q158" s="79"/>
      <c r="T158" s="79"/>
      <c r="U158" s="79"/>
      <c r="X158" s="130"/>
      <c r="Z158" s="106"/>
    </row>
    <row r="159">
      <c r="C159" s="79"/>
      <c r="D159" s="79"/>
      <c r="J159" s="79"/>
      <c r="P159" s="79"/>
      <c r="Q159" s="79"/>
      <c r="T159" s="79"/>
      <c r="U159" s="79"/>
      <c r="X159" s="130"/>
      <c r="Z159" s="106"/>
    </row>
    <row r="160">
      <c r="C160" s="79"/>
      <c r="D160" s="79"/>
      <c r="J160" s="79"/>
      <c r="P160" s="79"/>
      <c r="Q160" s="79"/>
      <c r="T160" s="79"/>
      <c r="U160" s="79"/>
      <c r="X160" s="130"/>
      <c r="Z160" s="106"/>
    </row>
    <row r="161">
      <c r="C161" s="79"/>
      <c r="D161" s="79"/>
      <c r="J161" s="79"/>
      <c r="P161" s="79"/>
      <c r="Q161" s="79"/>
      <c r="T161" s="79"/>
      <c r="U161" s="79"/>
      <c r="X161" s="130"/>
      <c r="Z161" s="106"/>
    </row>
    <row r="162">
      <c r="C162" s="79"/>
      <c r="D162" s="79"/>
      <c r="J162" s="79"/>
      <c r="P162" s="79"/>
      <c r="Q162" s="79"/>
      <c r="T162" s="79"/>
      <c r="U162" s="79"/>
      <c r="X162" s="130"/>
      <c r="Z162" s="106"/>
    </row>
    <row r="163">
      <c r="C163" s="79"/>
      <c r="D163" s="79"/>
      <c r="J163" s="79"/>
      <c r="P163" s="79"/>
      <c r="Q163" s="79"/>
      <c r="T163" s="79"/>
      <c r="U163" s="79"/>
      <c r="X163" s="130"/>
      <c r="Z163" s="106"/>
    </row>
    <row r="164">
      <c r="C164" s="79"/>
      <c r="D164" s="79"/>
      <c r="J164" s="79"/>
      <c r="P164" s="79"/>
      <c r="Q164" s="79"/>
      <c r="T164" s="79"/>
      <c r="U164" s="79"/>
      <c r="X164" s="130"/>
      <c r="Z164" s="106"/>
    </row>
    <row r="165">
      <c r="C165" s="79"/>
      <c r="D165" s="79"/>
      <c r="J165" s="79"/>
      <c r="P165" s="79"/>
      <c r="Q165" s="79"/>
      <c r="T165" s="79"/>
      <c r="U165" s="79"/>
      <c r="X165" s="130"/>
      <c r="Z165" s="106"/>
    </row>
    <row r="166">
      <c r="C166" s="79"/>
      <c r="D166" s="79"/>
      <c r="J166" s="79"/>
      <c r="P166" s="79"/>
      <c r="Q166" s="79"/>
      <c r="T166" s="79"/>
      <c r="U166" s="79"/>
      <c r="X166" s="130"/>
      <c r="Z166" s="106"/>
    </row>
    <row r="167">
      <c r="C167" s="79"/>
      <c r="D167" s="79"/>
      <c r="J167" s="79"/>
      <c r="P167" s="79"/>
      <c r="Q167" s="79"/>
      <c r="T167" s="79"/>
      <c r="U167" s="79"/>
      <c r="X167" s="130"/>
      <c r="Z167" s="106"/>
    </row>
    <row r="168">
      <c r="C168" s="79"/>
      <c r="D168" s="79"/>
      <c r="J168" s="79"/>
      <c r="P168" s="79"/>
      <c r="Q168" s="79"/>
      <c r="T168" s="79"/>
      <c r="U168" s="79"/>
      <c r="X168" s="130"/>
      <c r="Z168" s="106"/>
    </row>
    <row r="169">
      <c r="C169" s="79"/>
      <c r="D169" s="79"/>
      <c r="J169" s="79"/>
      <c r="P169" s="79"/>
      <c r="Q169" s="79"/>
      <c r="T169" s="79"/>
      <c r="U169" s="79"/>
      <c r="X169" s="130"/>
      <c r="Z169" s="106"/>
    </row>
    <row r="170">
      <c r="C170" s="79"/>
      <c r="D170" s="79"/>
      <c r="J170" s="79"/>
      <c r="P170" s="79"/>
      <c r="Q170" s="79"/>
      <c r="T170" s="79"/>
      <c r="U170" s="79"/>
      <c r="X170" s="130"/>
      <c r="Z170" s="106"/>
    </row>
    <row r="171">
      <c r="C171" s="79"/>
      <c r="D171" s="79"/>
      <c r="J171" s="79"/>
      <c r="P171" s="79"/>
      <c r="Q171" s="79"/>
      <c r="T171" s="79"/>
      <c r="U171" s="79"/>
      <c r="X171" s="130"/>
      <c r="Z171" s="106"/>
    </row>
    <row r="172">
      <c r="C172" s="79"/>
      <c r="D172" s="79"/>
      <c r="J172" s="79"/>
      <c r="P172" s="79"/>
      <c r="Q172" s="79"/>
      <c r="T172" s="79"/>
      <c r="U172" s="79"/>
      <c r="X172" s="130"/>
      <c r="Z172" s="106"/>
    </row>
    <row r="173">
      <c r="C173" s="79"/>
      <c r="D173" s="79"/>
      <c r="J173" s="79"/>
      <c r="P173" s="79"/>
      <c r="Q173" s="79"/>
      <c r="T173" s="79"/>
      <c r="U173" s="79"/>
      <c r="X173" s="130"/>
      <c r="Z173" s="106"/>
    </row>
    <row r="174">
      <c r="C174" s="79"/>
      <c r="D174" s="79"/>
      <c r="J174" s="79"/>
      <c r="P174" s="79"/>
      <c r="Q174" s="79"/>
      <c r="T174" s="79"/>
      <c r="U174" s="79"/>
      <c r="X174" s="130"/>
      <c r="Z174" s="106"/>
    </row>
    <row r="175">
      <c r="C175" s="79"/>
      <c r="D175" s="79"/>
      <c r="J175" s="79"/>
      <c r="P175" s="79"/>
      <c r="Q175" s="79"/>
      <c r="T175" s="79"/>
      <c r="U175" s="79"/>
      <c r="X175" s="130"/>
      <c r="Z175" s="106"/>
    </row>
    <row r="176">
      <c r="C176" s="79"/>
      <c r="D176" s="79"/>
      <c r="J176" s="79"/>
      <c r="P176" s="79"/>
      <c r="Q176" s="79"/>
      <c r="T176" s="79"/>
      <c r="U176" s="79"/>
      <c r="X176" s="130"/>
      <c r="Z176" s="106"/>
    </row>
    <row r="177">
      <c r="C177" s="79"/>
      <c r="D177" s="79"/>
      <c r="J177" s="79"/>
      <c r="P177" s="79"/>
      <c r="Q177" s="79"/>
      <c r="T177" s="79"/>
      <c r="U177" s="79"/>
      <c r="X177" s="130"/>
      <c r="Z177" s="106"/>
    </row>
    <row r="178">
      <c r="C178" s="79"/>
      <c r="D178" s="79"/>
      <c r="J178" s="79"/>
      <c r="P178" s="79"/>
      <c r="Q178" s="79"/>
      <c r="T178" s="79"/>
      <c r="U178" s="79"/>
      <c r="X178" s="130"/>
      <c r="Z178" s="106"/>
    </row>
    <row r="179">
      <c r="C179" s="79"/>
      <c r="D179" s="79"/>
      <c r="J179" s="79"/>
      <c r="P179" s="79"/>
      <c r="Q179" s="79"/>
      <c r="T179" s="79"/>
      <c r="U179" s="79"/>
      <c r="X179" s="130"/>
      <c r="Z179" s="106"/>
    </row>
    <row r="180">
      <c r="C180" s="79"/>
      <c r="D180" s="79"/>
      <c r="J180" s="79"/>
      <c r="P180" s="79"/>
      <c r="Q180" s="79"/>
      <c r="T180" s="79"/>
      <c r="U180" s="79"/>
      <c r="X180" s="130"/>
      <c r="Z180" s="106"/>
    </row>
    <row r="181">
      <c r="C181" s="79"/>
      <c r="D181" s="79"/>
      <c r="J181" s="79"/>
      <c r="P181" s="79"/>
      <c r="Q181" s="79"/>
      <c r="T181" s="79"/>
      <c r="U181" s="79"/>
      <c r="X181" s="130"/>
      <c r="Z181" s="106"/>
    </row>
    <row r="182">
      <c r="C182" s="79"/>
      <c r="D182" s="79"/>
      <c r="J182" s="79"/>
      <c r="P182" s="79"/>
      <c r="Q182" s="79"/>
      <c r="T182" s="79"/>
      <c r="U182" s="79"/>
      <c r="X182" s="130"/>
      <c r="Z182" s="106"/>
    </row>
    <row r="183">
      <c r="C183" s="79"/>
      <c r="D183" s="79"/>
      <c r="J183" s="79"/>
      <c r="P183" s="79"/>
      <c r="Q183" s="79"/>
      <c r="T183" s="79"/>
      <c r="U183" s="79"/>
      <c r="X183" s="130"/>
      <c r="Z183" s="106"/>
    </row>
    <row r="184">
      <c r="C184" s="79"/>
      <c r="D184" s="79"/>
      <c r="J184" s="79"/>
      <c r="P184" s="79"/>
      <c r="Q184" s="79"/>
      <c r="T184" s="79"/>
      <c r="U184" s="79"/>
      <c r="X184" s="130"/>
      <c r="Z184" s="106"/>
    </row>
    <row r="185">
      <c r="C185" s="79"/>
      <c r="D185" s="79"/>
      <c r="J185" s="79"/>
      <c r="P185" s="79"/>
      <c r="Q185" s="79"/>
      <c r="T185" s="79"/>
      <c r="U185" s="79"/>
      <c r="X185" s="130"/>
      <c r="Z185" s="106"/>
    </row>
    <row r="186">
      <c r="C186" s="79"/>
      <c r="D186" s="79"/>
      <c r="J186" s="79"/>
      <c r="P186" s="79"/>
      <c r="Q186" s="79"/>
      <c r="T186" s="79"/>
      <c r="U186" s="79"/>
      <c r="X186" s="130"/>
      <c r="Z186" s="106"/>
    </row>
    <row r="187">
      <c r="C187" s="79"/>
      <c r="D187" s="79"/>
      <c r="J187" s="79"/>
      <c r="P187" s="79"/>
      <c r="Q187" s="79"/>
      <c r="T187" s="79"/>
      <c r="U187" s="79"/>
      <c r="X187" s="130"/>
      <c r="Z187" s="106"/>
    </row>
    <row r="188">
      <c r="C188" s="79"/>
      <c r="D188" s="79"/>
      <c r="J188" s="79"/>
      <c r="P188" s="79"/>
      <c r="Q188" s="79"/>
      <c r="T188" s="79"/>
      <c r="U188" s="79"/>
      <c r="X188" s="130"/>
      <c r="Z188" s="106"/>
    </row>
    <row r="189">
      <c r="C189" s="79"/>
      <c r="D189" s="79"/>
      <c r="J189" s="79"/>
      <c r="P189" s="79"/>
      <c r="Q189" s="79"/>
      <c r="T189" s="79"/>
      <c r="U189" s="79"/>
      <c r="X189" s="130"/>
      <c r="Z189" s="106"/>
    </row>
    <row r="190">
      <c r="C190" s="79"/>
      <c r="D190" s="79"/>
      <c r="J190" s="79"/>
      <c r="P190" s="79"/>
      <c r="Q190" s="79"/>
      <c r="T190" s="79"/>
      <c r="U190" s="79"/>
      <c r="X190" s="130"/>
      <c r="Z190" s="106"/>
    </row>
    <row r="191">
      <c r="C191" s="79"/>
      <c r="D191" s="79"/>
      <c r="J191" s="79"/>
      <c r="P191" s="79"/>
      <c r="Q191" s="79"/>
      <c r="T191" s="79"/>
      <c r="U191" s="79"/>
      <c r="X191" s="130"/>
      <c r="Z191" s="106"/>
    </row>
    <row r="192">
      <c r="C192" s="79"/>
      <c r="D192" s="79"/>
      <c r="J192" s="79"/>
      <c r="P192" s="79"/>
      <c r="Q192" s="79"/>
      <c r="T192" s="79"/>
      <c r="U192" s="79"/>
      <c r="X192" s="130"/>
      <c r="Z192" s="106"/>
    </row>
    <row r="193">
      <c r="C193" s="79"/>
      <c r="D193" s="79"/>
      <c r="J193" s="79"/>
      <c r="P193" s="79"/>
      <c r="Q193" s="79"/>
      <c r="T193" s="79"/>
      <c r="U193" s="79"/>
      <c r="X193" s="130"/>
      <c r="Z193" s="106"/>
    </row>
    <row r="194">
      <c r="C194" s="79"/>
      <c r="D194" s="79"/>
      <c r="J194" s="79"/>
      <c r="P194" s="79"/>
      <c r="Q194" s="79"/>
      <c r="T194" s="79"/>
      <c r="U194" s="79"/>
      <c r="X194" s="130"/>
      <c r="Z194" s="106"/>
    </row>
    <row r="195">
      <c r="C195" s="79"/>
      <c r="D195" s="79"/>
      <c r="J195" s="79"/>
      <c r="P195" s="79"/>
      <c r="Q195" s="79"/>
      <c r="T195" s="79"/>
      <c r="U195" s="79"/>
      <c r="X195" s="130"/>
      <c r="Z195" s="106"/>
    </row>
    <row r="196">
      <c r="C196" s="79"/>
      <c r="D196" s="79"/>
      <c r="J196" s="79"/>
      <c r="P196" s="79"/>
      <c r="Q196" s="79"/>
      <c r="T196" s="79"/>
      <c r="U196" s="79"/>
      <c r="X196" s="130"/>
      <c r="Z196" s="106"/>
    </row>
    <row r="197">
      <c r="C197" s="79"/>
      <c r="D197" s="79"/>
      <c r="J197" s="79"/>
      <c r="P197" s="79"/>
      <c r="Q197" s="79"/>
      <c r="T197" s="79"/>
      <c r="U197" s="79"/>
      <c r="X197" s="130"/>
      <c r="Z197" s="106"/>
    </row>
    <row r="198">
      <c r="C198" s="79"/>
      <c r="D198" s="79"/>
      <c r="J198" s="79"/>
      <c r="P198" s="79"/>
      <c r="Q198" s="79"/>
      <c r="T198" s="79"/>
      <c r="U198" s="79"/>
      <c r="X198" s="130"/>
      <c r="Z198" s="106"/>
    </row>
    <row r="199">
      <c r="C199" s="79"/>
      <c r="D199" s="79"/>
      <c r="J199" s="79"/>
      <c r="P199" s="79"/>
      <c r="Q199" s="79"/>
      <c r="T199" s="79"/>
      <c r="U199" s="79"/>
      <c r="X199" s="130"/>
      <c r="Z199" s="106"/>
    </row>
    <row r="200">
      <c r="C200" s="79"/>
      <c r="D200" s="79"/>
      <c r="J200" s="79"/>
      <c r="P200" s="79"/>
      <c r="Q200" s="79"/>
      <c r="T200" s="79"/>
      <c r="U200" s="79"/>
      <c r="X200" s="130"/>
      <c r="Z200" s="106"/>
    </row>
    <row r="201">
      <c r="C201" s="79"/>
      <c r="D201" s="79"/>
      <c r="J201" s="79"/>
      <c r="P201" s="79"/>
      <c r="Q201" s="79"/>
      <c r="T201" s="79"/>
      <c r="U201" s="79"/>
      <c r="X201" s="130"/>
      <c r="Z201" s="106"/>
    </row>
    <row r="202">
      <c r="C202" s="79"/>
      <c r="D202" s="79"/>
      <c r="J202" s="79"/>
      <c r="P202" s="79"/>
      <c r="Q202" s="79"/>
      <c r="T202" s="79"/>
      <c r="U202" s="79"/>
      <c r="X202" s="130"/>
      <c r="Z202" s="106"/>
    </row>
    <row r="203">
      <c r="C203" s="79"/>
      <c r="D203" s="79"/>
      <c r="J203" s="79"/>
      <c r="P203" s="79"/>
      <c r="Q203" s="79"/>
      <c r="T203" s="79"/>
      <c r="U203" s="79"/>
      <c r="X203" s="130"/>
      <c r="Z203" s="106"/>
    </row>
    <row r="204">
      <c r="C204" s="79"/>
      <c r="D204" s="79"/>
      <c r="J204" s="79"/>
      <c r="P204" s="79"/>
      <c r="Q204" s="79"/>
      <c r="T204" s="79"/>
      <c r="U204" s="79"/>
      <c r="X204" s="130"/>
      <c r="Z204" s="106"/>
    </row>
    <row r="205">
      <c r="C205" s="79"/>
      <c r="D205" s="79"/>
      <c r="J205" s="79"/>
      <c r="P205" s="79"/>
      <c r="Q205" s="79"/>
      <c r="T205" s="79"/>
      <c r="U205" s="79"/>
      <c r="X205" s="130"/>
      <c r="Z205" s="106"/>
    </row>
    <row r="206">
      <c r="C206" s="79"/>
      <c r="D206" s="79"/>
      <c r="J206" s="79"/>
      <c r="P206" s="79"/>
      <c r="Q206" s="79"/>
      <c r="T206" s="79"/>
      <c r="U206" s="79"/>
      <c r="X206" s="130"/>
      <c r="Z206" s="106"/>
    </row>
    <row r="207">
      <c r="C207" s="79"/>
      <c r="D207" s="79"/>
      <c r="J207" s="79"/>
      <c r="P207" s="79"/>
      <c r="Q207" s="79"/>
      <c r="T207" s="79"/>
      <c r="U207" s="79"/>
      <c r="X207" s="130"/>
      <c r="Z207" s="106"/>
    </row>
    <row r="208">
      <c r="C208" s="79"/>
      <c r="D208" s="79"/>
      <c r="J208" s="79"/>
      <c r="P208" s="79"/>
      <c r="Q208" s="79"/>
      <c r="T208" s="79"/>
      <c r="U208" s="79"/>
      <c r="X208" s="130"/>
      <c r="Z208" s="106"/>
    </row>
    <row r="209">
      <c r="C209" s="79"/>
      <c r="D209" s="79"/>
      <c r="J209" s="79"/>
      <c r="P209" s="79"/>
      <c r="Q209" s="79"/>
      <c r="T209" s="79"/>
      <c r="U209" s="79"/>
      <c r="X209" s="130"/>
      <c r="Z209" s="106"/>
    </row>
    <row r="210">
      <c r="C210" s="79"/>
      <c r="D210" s="79"/>
      <c r="J210" s="79"/>
      <c r="P210" s="79"/>
      <c r="Q210" s="79"/>
      <c r="T210" s="79"/>
      <c r="U210" s="79"/>
      <c r="X210" s="130"/>
      <c r="Z210" s="106"/>
    </row>
    <row r="211">
      <c r="C211" s="79"/>
      <c r="D211" s="79"/>
      <c r="J211" s="79"/>
      <c r="P211" s="79"/>
      <c r="Q211" s="79"/>
      <c r="T211" s="79"/>
      <c r="U211" s="79"/>
      <c r="X211" s="130"/>
      <c r="Z211" s="106"/>
    </row>
    <row r="212">
      <c r="C212" s="79"/>
      <c r="D212" s="79"/>
      <c r="J212" s="79"/>
      <c r="P212" s="79"/>
      <c r="Q212" s="79"/>
      <c r="T212" s="79"/>
      <c r="U212" s="79"/>
      <c r="X212" s="130"/>
      <c r="Z212" s="106"/>
    </row>
    <row r="213">
      <c r="C213" s="79"/>
      <c r="D213" s="79"/>
      <c r="J213" s="79"/>
      <c r="P213" s="79"/>
      <c r="Q213" s="79"/>
      <c r="T213" s="79"/>
      <c r="U213" s="79"/>
      <c r="X213" s="130"/>
      <c r="Z213" s="106"/>
    </row>
    <row r="214">
      <c r="C214" s="79"/>
      <c r="D214" s="79"/>
      <c r="J214" s="79"/>
      <c r="P214" s="79"/>
      <c r="Q214" s="79"/>
      <c r="T214" s="79"/>
      <c r="U214" s="79"/>
      <c r="X214" s="130"/>
      <c r="Z214" s="106"/>
    </row>
    <row r="215">
      <c r="C215" s="79"/>
      <c r="D215" s="79"/>
      <c r="J215" s="79"/>
      <c r="P215" s="79"/>
      <c r="Q215" s="79"/>
      <c r="T215" s="79"/>
      <c r="U215" s="79"/>
      <c r="X215" s="130"/>
      <c r="Z215" s="106"/>
    </row>
    <row r="216">
      <c r="C216" s="79"/>
      <c r="D216" s="79"/>
      <c r="J216" s="79"/>
      <c r="P216" s="79"/>
      <c r="Q216" s="79"/>
      <c r="T216" s="79"/>
      <c r="U216" s="79"/>
      <c r="X216" s="130"/>
      <c r="Z216" s="106"/>
    </row>
    <row r="217">
      <c r="C217" s="79"/>
      <c r="D217" s="79"/>
      <c r="J217" s="79"/>
      <c r="P217" s="79"/>
      <c r="Q217" s="79"/>
      <c r="T217" s="79"/>
      <c r="U217" s="79"/>
      <c r="X217" s="130"/>
      <c r="Z217" s="106"/>
    </row>
    <row r="218">
      <c r="C218" s="79"/>
      <c r="D218" s="79"/>
      <c r="J218" s="79"/>
      <c r="P218" s="79"/>
      <c r="Q218" s="79"/>
      <c r="T218" s="79"/>
      <c r="U218" s="79"/>
      <c r="X218" s="130"/>
      <c r="Z218" s="106"/>
    </row>
    <row r="219">
      <c r="C219" s="79"/>
      <c r="D219" s="79"/>
      <c r="J219" s="79"/>
      <c r="P219" s="79"/>
      <c r="Q219" s="79"/>
      <c r="T219" s="79"/>
      <c r="U219" s="79"/>
      <c r="X219" s="130"/>
      <c r="Z219" s="106"/>
    </row>
    <row r="220">
      <c r="C220" s="79"/>
      <c r="D220" s="79"/>
      <c r="J220" s="79"/>
      <c r="P220" s="79"/>
      <c r="Q220" s="79"/>
      <c r="T220" s="79"/>
      <c r="U220" s="79"/>
      <c r="X220" s="130"/>
      <c r="Z220" s="106"/>
    </row>
    <row r="221">
      <c r="C221" s="79"/>
      <c r="D221" s="79"/>
      <c r="J221" s="79"/>
      <c r="P221" s="79"/>
      <c r="Q221" s="79"/>
      <c r="T221" s="79"/>
      <c r="U221" s="79"/>
      <c r="X221" s="130"/>
      <c r="Z221" s="106"/>
    </row>
    <row r="222">
      <c r="C222" s="79"/>
      <c r="D222" s="79"/>
      <c r="J222" s="79"/>
      <c r="P222" s="79"/>
      <c r="Q222" s="79"/>
      <c r="T222" s="79"/>
      <c r="U222" s="79"/>
      <c r="X222" s="130"/>
      <c r="Z222" s="106"/>
    </row>
    <row r="223">
      <c r="C223" s="79"/>
      <c r="D223" s="79"/>
      <c r="J223" s="79"/>
      <c r="P223" s="79"/>
      <c r="Q223" s="79"/>
      <c r="T223" s="79"/>
      <c r="U223" s="79"/>
      <c r="X223" s="130"/>
      <c r="Z223" s="106"/>
    </row>
    <row r="224">
      <c r="C224" s="79"/>
      <c r="D224" s="79"/>
      <c r="J224" s="79"/>
      <c r="P224" s="79"/>
      <c r="Q224" s="79"/>
      <c r="T224" s="79"/>
      <c r="U224" s="79"/>
      <c r="X224" s="130"/>
      <c r="Z224" s="106"/>
    </row>
    <row r="225">
      <c r="C225" s="79"/>
      <c r="D225" s="79"/>
      <c r="J225" s="79"/>
      <c r="P225" s="79"/>
      <c r="Q225" s="79"/>
      <c r="T225" s="79"/>
      <c r="U225" s="79"/>
      <c r="X225" s="130"/>
      <c r="Z225" s="106"/>
    </row>
    <row r="226">
      <c r="C226" s="79"/>
      <c r="D226" s="79"/>
      <c r="J226" s="79"/>
      <c r="P226" s="79"/>
      <c r="Q226" s="79"/>
      <c r="T226" s="79"/>
      <c r="U226" s="79"/>
      <c r="X226" s="130"/>
      <c r="Z226" s="106"/>
    </row>
    <row r="227">
      <c r="C227" s="79"/>
      <c r="D227" s="79"/>
      <c r="J227" s="79"/>
      <c r="P227" s="79"/>
      <c r="Q227" s="79"/>
      <c r="T227" s="79"/>
      <c r="U227" s="79"/>
      <c r="X227" s="130"/>
      <c r="Z227" s="106"/>
    </row>
    <row r="228">
      <c r="C228" s="79"/>
      <c r="D228" s="79"/>
      <c r="J228" s="79"/>
      <c r="P228" s="79"/>
      <c r="Q228" s="79"/>
      <c r="T228" s="79"/>
      <c r="U228" s="79"/>
      <c r="X228" s="130"/>
      <c r="Z228" s="106"/>
    </row>
    <row r="229">
      <c r="C229" s="79"/>
      <c r="D229" s="79"/>
      <c r="J229" s="79"/>
      <c r="P229" s="79"/>
      <c r="Q229" s="79"/>
      <c r="T229" s="79"/>
      <c r="U229" s="79"/>
      <c r="X229" s="130"/>
      <c r="Z229" s="106"/>
    </row>
    <row r="230">
      <c r="C230" s="79"/>
      <c r="D230" s="79"/>
      <c r="J230" s="79"/>
      <c r="P230" s="79"/>
      <c r="Q230" s="79"/>
      <c r="T230" s="79"/>
      <c r="U230" s="79"/>
      <c r="X230" s="130"/>
      <c r="Z230" s="106"/>
    </row>
    <row r="231">
      <c r="C231" s="79"/>
      <c r="D231" s="79"/>
      <c r="J231" s="79"/>
      <c r="P231" s="79"/>
      <c r="Q231" s="79"/>
      <c r="T231" s="79"/>
      <c r="U231" s="79"/>
      <c r="X231" s="130"/>
      <c r="Z231" s="106"/>
    </row>
    <row r="232">
      <c r="C232" s="79"/>
      <c r="D232" s="79"/>
      <c r="J232" s="79"/>
      <c r="P232" s="79"/>
      <c r="Q232" s="79"/>
      <c r="T232" s="79"/>
      <c r="U232" s="79"/>
      <c r="X232" s="130"/>
      <c r="Z232" s="106"/>
    </row>
    <row r="233">
      <c r="C233" s="79"/>
      <c r="D233" s="79"/>
      <c r="J233" s="79"/>
      <c r="P233" s="79"/>
      <c r="Q233" s="79"/>
      <c r="T233" s="79"/>
      <c r="U233" s="79"/>
      <c r="X233" s="130"/>
      <c r="Z233" s="106"/>
    </row>
    <row r="234">
      <c r="C234" s="79"/>
      <c r="D234" s="79"/>
      <c r="J234" s="79"/>
      <c r="P234" s="79"/>
      <c r="Q234" s="79"/>
      <c r="T234" s="79"/>
      <c r="U234" s="79"/>
      <c r="X234" s="130"/>
      <c r="Z234" s="106"/>
    </row>
    <row r="235">
      <c r="C235" s="79"/>
      <c r="D235" s="79"/>
      <c r="J235" s="79"/>
      <c r="P235" s="79"/>
      <c r="Q235" s="79"/>
      <c r="T235" s="79"/>
      <c r="U235" s="79"/>
      <c r="X235" s="130"/>
      <c r="Z235" s="106"/>
    </row>
    <row r="236">
      <c r="C236" s="79"/>
      <c r="D236" s="79"/>
      <c r="J236" s="79"/>
      <c r="P236" s="79"/>
      <c r="Q236" s="79"/>
      <c r="T236" s="79"/>
      <c r="U236" s="79"/>
      <c r="X236" s="130"/>
      <c r="Z236" s="106"/>
    </row>
    <row r="237">
      <c r="C237" s="79"/>
      <c r="D237" s="79"/>
      <c r="J237" s="79"/>
      <c r="P237" s="79"/>
      <c r="Q237" s="79"/>
      <c r="T237" s="79"/>
      <c r="U237" s="79"/>
      <c r="X237" s="130"/>
      <c r="Z237" s="106"/>
    </row>
    <row r="238">
      <c r="C238" s="79"/>
      <c r="D238" s="79"/>
      <c r="J238" s="79"/>
      <c r="P238" s="79"/>
      <c r="Q238" s="79"/>
      <c r="T238" s="79"/>
      <c r="U238" s="79"/>
      <c r="X238" s="130"/>
      <c r="Z238" s="106"/>
    </row>
    <row r="239">
      <c r="C239" s="79"/>
      <c r="D239" s="79"/>
      <c r="J239" s="79"/>
      <c r="P239" s="79"/>
      <c r="Q239" s="79"/>
      <c r="T239" s="79"/>
      <c r="U239" s="79"/>
      <c r="X239" s="130"/>
      <c r="Z239" s="106"/>
    </row>
    <row r="240">
      <c r="C240" s="79"/>
      <c r="D240" s="79"/>
      <c r="J240" s="79"/>
      <c r="P240" s="79"/>
      <c r="Q240" s="79"/>
      <c r="T240" s="79"/>
      <c r="U240" s="79"/>
      <c r="X240" s="130"/>
      <c r="Z240" s="106"/>
    </row>
    <row r="241">
      <c r="C241" s="79"/>
      <c r="D241" s="79"/>
      <c r="J241" s="79"/>
      <c r="P241" s="79"/>
      <c r="Q241" s="79"/>
      <c r="T241" s="79"/>
      <c r="U241" s="79"/>
      <c r="X241" s="130"/>
      <c r="Z241" s="106"/>
    </row>
    <row r="242">
      <c r="C242" s="79"/>
      <c r="D242" s="79"/>
      <c r="J242" s="79"/>
      <c r="P242" s="79"/>
      <c r="Q242" s="79"/>
      <c r="T242" s="79"/>
      <c r="U242" s="79"/>
      <c r="X242" s="130"/>
      <c r="Z242" s="106"/>
    </row>
    <row r="243">
      <c r="C243" s="79"/>
      <c r="D243" s="79"/>
      <c r="J243" s="79"/>
      <c r="P243" s="79"/>
      <c r="Q243" s="79"/>
      <c r="T243" s="79"/>
      <c r="U243" s="79"/>
      <c r="X243" s="130"/>
      <c r="Z243" s="106"/>
    </row>
    <row r="244">
      <c r="C244" s="79"/>
      <c r="D244" s="79"/>
      <c r="J244" s="79"/>
      <c r="P244" s="79"/>
      <c r="Q244" s="79"/>
      <c r="T244" s="79"/>
      <c r="U244" s="79"/>
      <c r="X244" s="130"/>
      <c r="Z244" s="106"/>
    </row>
    <row r="245">
      <c r="C245" s="79"/>
      <c r="D245" s="79"/>
      <c r="J245" s="79"/>
      <c r="P245" s="79"/>
      <c r="Q245" s="79"/>
      <c r="T245" s="79"/>
      <c r="U245" s="79"/>
      <c r="X245" s="130"/>
      <c r="Z245" s="106"/>
    </row>
    <row r="246">
      <c r="C246" s="79"/>
      <c r="D246" s="79"/>
      <c r="J246" s="79"/>
      <c r="P246" s="79"/>
      <c r="Q246" s="79"/>
      <c r="T246" s="79"/>
      <c r="U246" s="79"/>
      <c r="X246" s="130"/>
      <c r="Z246" s="106"/>
    </row>
    <row r="247">
      <c r="C247" s="79"/>
      <c r="D247" s="79"/>
      <c r="J247" s="79"/>
      <c r="P247" s="79"/>
      <c r="Q247" s="79"/>
      <c r="T247" s="79"/>
      <c r="U247" s="79"/>
      <c r="X247" s="130"/>
      <c r="Z247" s="106"/>
    </row>
    <row r="248">
      <c r="C248" s="79"/>
      <c r="D248" s="79"/>
      <c r="J248" s="79"/>
      <c r="P248" s="79"/>
      <c r="Q248" s="79"/>
      <c r="T248" s="79"/>
      <c r="U248" s="79"/>
      <c r="X248" s="130"/>
      <c r="Z248" s="106"/>
    </row>
    <row r="249">
      <c r="C249" s="79"/>
      <c r="D249" s="79"/>
      <c r="J249" s="79"/>
      <c r="P249" s="79"/>
      <c r="Q249" s="79"/>
      <c r="T249" s="79"/>
      <c r="U249" s="79"/>
      <c r="X249" s="130"/>
      <c r="Z249" s="106"/>
    </row>
    <row r="250">
      <c r="C250" s="79"/>
      <c r="D250" s="79"/>
      <c r="J250" s="79"/>
      <c r="P250" s="79"/>
      <c r="Q250" s="79"/>
      <c r="T250" s="79"/>
      <c r="U250" s="79"/>
      <c r="X250" s="130"/>
      <c r="Z250" s="106"/>
    </row>
    <row r="251">
      <c r="C251" s="79"/>
      <c r="D251" s="79"/>
      <c r="J251" s="79"/>
      <c r="P251" s="79"/>
      <c r="Q251" s="79"/>
      <c r="T251" s="79"/>
      <c r="U251" s="79"/>
      <c r="X251" s="130"/>
      <c r="Z251" s="106"/>
    </row>
    <row r="252">
      <c r="C252" s="79"/>
      <c r="D252" s="79"/>
      <c r="J252" s="79"/>
      <c r="P252" s="79"/>
      <c r="Q252" s="79"/>
      <c r="T252" s="79"/>
      <c r="U252" s="79"/>
      <c r="X252" s="130"/>
      <c r="Z252" s="106"/>
    </row>
    <row r="253">
      <c r="C253" s="79"/>
      <c r="D253" s="79"/>
      <c r="J253" s="79"/>
      <c r="P253" s="79"/>
      <c r="Q253" s="79"/>
      <c r="T253" s="79"/>
      <c r="U253" s="79"/>
      <c r="X253" s="130"/>
      <c r="Z253" s="106"/>
    </row>
    <row r="254">
      <c r="C254" s="79"/>
      <c r="D254" s="79"/>
      <c r="J254" s="79"/>
      <c r="P254" s="79"/>
      <c r="Q254" s="79"/>
      <c r="T254" s="79"/>
      <c r="U254" s="79"/>
      <c r="X254" s="130"/>
      <c r="Z254" s="106"/>
    </row>
    <row r="255">
      <c r="C255" s="79"/>
      <c r="D255" s="79"/>
      <c r="J255" s="79"/>
      <c r="P255" s="79"/>
      <c r="Q255" s="79"/>
      <c r="T255" s="79"/>
      <c r="U255" s="79"/>
      <c r="X255" s="130"/>
      <c r="Z255" s="106"/>
    </row>
    <row r="256">
      <c r="C256" s="79"/>
      <c r="D256" s="79"/>
      <c r="J256" s="79"/>
      <c r="P256" s="79"/>
      <c r="Q256" s="79"/>
      <c r="T256" s="79"/>
      <c r="U256" s="79"/>
      <c r="X256" s="130"/>
      <c r="Z256" s="106"/>
    </row>
    <row r="257">
      <c r="C257" s="79"/>
      <c r="D257" s="79"/>
      <c r="J257" s="79"/>
      <c r="P257" s="79"/>
      <c r="Q257" s="79"/>
      <c r="T257" s="79"/>
      <c r="U257" s="79"/>
      <c r="X257" s="130"/>
      <c r="Z257" s="106"/>
    </row>
    <row r="258">
      <c r="C258" s="79"/>
      <c r="D258" s="79"/>
      <c r="J258" s="79"/>
      <c r="P258" s="79"/>
      <c r="Q258" s="79"/>
      <c r="T258" s="79"/>
      <c r="U258" s="79"/>
      <c r="X258" s="130"/>
      <c r="Z258" s="106"/>
    </row>
    <row r="259">
      <c r="C259" s="79"/>
      <c r="D259" s="79"/>
      <c r="J259" s="79"/>
      <c r="P259" s="79"/>
      <c r="Q259" s="79"/>
      <c r="T259" s="79"/>
      <c r="U259" s="79"/>
      <c r="X259" s="130"/>
      <c r="Z259" s="106"/>
    </row>
    <row r="260">
      <c r="C260" s="79"/>
      <c r="D260" s="79"/>
      <c r="J260" s="79"/>
      <c r="P260" s="79"/>
      <c r="Q260" s="79"/>
      <c r="T260" s="79"/>
      <c r="U260" s="79"/>
      <c r="X260" s="130"/>
      <c r="Z260" s="106"/>
    </row>
    <row r="261">
      <c r="C261" s="79"/>
      <c r="D261" s="79"/>
      <c r="J261" s="79"/>
      <c r="P261" s="79"/>
      <c r="Q261" s="79"/>
      <c r="T261" s="79"/>
      <c r="U261" s="79"/>
      <c r="X261" s="130"/>
      <c r="Z261" s="106"/>
    </row>
    <row r="262">
      <c r="C262" s="79"/>
      <c r="D262" s="79"/>
      <c r="J262" s="79"/>
      <c r="P262" s="79"/>
      <c r="Q262" s="79"/>
      <c r="T262" s="79"/>
      <c r="U262" s="79"/>
      <c r="X262" s="130"/>
      <c r="Z262" s="106"/>
    </row>
    <row r="263">
      <c r="C263" s="79"/>
      <c r="D263" s="79"/>
      <c r="J263" s="79"/>
      <c r="P263" s="79"/>
      <c r="Q263" s="79"/>
      <c r="T263" s="79"/>
      <c r="U263" s="79"/>
      <c r="X263" s="130"/>
      <c r="Z263" s="106"/>
    </row>
    <row r="264">
      <c r="C264" s="79"/>
      <c r="D264" s="79"/>
      <c r="J264" s="79"/>
      <c r="P264" s="79"/>
      <c r="Q264" s="79"/>
      <c r="T264" s="79"/>
      <c r="U264" s="79"/>
      <c r="X264" s="130"/>
      <c r="Z264" s="106"/>
    </row>
    <row r="265">
      <c r="C265" s="79"/>
      <c r="D265" s="79"/>
      <c r="J265" s="79"/>
      <c r="P265" s="79"/>
      <c r="Q265" s="79"/>
      <c r="T265" s="79"/>
      <c r="U265" s="79"/>
      <c r="X265" s="130"/>
      <c r="Z265" s="106"/>
    </row>
    <row r="266">
      <c r="C266" s="79"/>
      <c r="D266" s="79"/>
      <c r="J266" s="79"/>
      <c r="P266" s="79"/>
      <c r="Q266" s="79"/>
      <c r="T266" s="79"/>
      <c r="U266" s="79"/>
      <c r="X266" s="130"/>
      <c r="Z266" s="106"/>
    </row>
    <row r="267">
      <c r="C267" s="79"/>
      <c r="D267" s="79"/>
      <c r="J267" s="79"/>
      <c r="P267" s="79"/>
      <c r="Q267" s="79"/>
      <c r="T267" s="79"/>
      <c r="U267" s="79"/>
      <c r="X267" s="130"/>
      <c r="Z267" s="106"/>
    </row>
    <row r="268">
      <c r="C268" s="79"/>
      <c r="D268" s="79"/>
      <c r="J268" s="79"/>
      <c r="P268" s="79"/>
      <c r="Q268" s="79"/>
      <c r="T268" s="79"/>
      <c r="U268" s="79"/>
      <c r="X268" s="130"/>
      <c r="Z268" s="106"/>
    </row>
    <row r="269">
      <c r="C269" s="79"/>
      <c r="D269" s="79"/>
      <c r="J269" s="79"/>
      <c r="P269" s="79"/>
      <c r="Q269" s="79"/>
      <c r="T269" s="79"/>
      <c r="U269" s="79"/>
      <c r="X269" s="130"/>
      <c r="Z269" s="106"/>
    </row>
    <row r="270">
      <c r="C270" s="79"/>
      <c r="D270" s="79"/>
      <c r="J270" s="79"/>
      <c r="P270" s="79"/>
      <c r="Q270" s="79"/>
      <c r="T270" s="79"/>
      <c r="U270" s="79"/>
      <c r="X270" s="130"/>
      <c r="Z270" s="106"/>
    </row>
    <row r="271">
      <c r="C271" s="79"/>
      <c r="D271" s="79"/>
      <c r="J271" s="79"/>
      <c r="P271" s="79"/>
      <c r="Q271" s="79"/>
      <c r="T271" s="79"/>
      <c r="U271" s="79"/>
      <c r="X271" s="130"/>
      <c r="Z271" s="106"/>
    </row>
    <row r="272">
      <c r="C272" s="79"/>
      <c r="D272" s="79"/>
      <c r="J272" s="79"/>
      <c r="P272" s="79"/>
      <c r="Q272" s="79"/>
      <c r="T272" s="79"/>
      <c r="U272" s="79"/>
      <c r="X272" s="130"/>
      <c r="Z272" s="106"/>
    </row>
    <row r="273">
      <c r="C273" s="79"/>
      <c r="D273" s="79"/>
      <c r="J273" s="79"/>
      <c r="P273" s="79"/>
      <c r="Q273" s="79"/>
      <c r="T273" s="79"/>
      <c r="U273" s="79"/>
      <c r="X273" s="130"/>
      <c r="Z273" s="106"/>
    </row>
    <row r="274">
      <c r="C274" s="79"/>
      <c r="D274" s="79"/>
      <c r="J274" s="79"/>
      <c r="P274" s="79"/>
      <c r="Q274" s="79"/>
      <c r="T274" s="79"/>
      <c r="U274" s="79"/>
      <c r="X274" s="130"/>
      <c r="Z274" s="106"/>
    </row>
    <row r="275">
      <c r="C275" s="79"/>
      <c r="D275" s="79"/>
      <c r="J275" s="79"/>
      <c r="P275" s="79"/>
      <c r="Q275" s="79"/>
      <c r="T275" s="79"/>
      <c r="U275" s="79"/>
      <c r="X275" s="130"/>
      <c r="Z275" s="106"/>
    </row>
    <row r="276">
      <c r="C276" s="79"/>
      <c r="D276" s="79"/>
      <c r="J276" s="79"/>
      <c r="P276" s="79"/>
      <c r="Q276" s="79"/>
      <c r="T276" s="79"/>
      <c r="U276" s="79"/>
      <c r="X276" s="130"/>
      <c r="Z276" s="106"/>
    </row>
    <row r="277">
      <c r="C277" s="79"/>
      <c r="D277" s="79"/>
      <c r="J277" s="79"/>
      <c r="P277" s="79"/>
      <c r="Q277" s="79"/>
      <c r="T277" s="79"/>
      <c r="U277" s="79"/>
      <c r="X277" s="130"/>
      <c r="Z277" s="106"/>
    </row>
    <row r="278">
      <c r="C278" s="79"/>
      <c r="D278" s="79"/>
      <c r="J278" s="79"/>
      <c r="P278" s="79"/>
      <c r="Q278" s="79"/>
      <c r="T278" s="79"/>
      <c r="U278" s="79"/>
      <c r="X278" s="130"/>
      <c r="Z278" s="106"/>
    </row>
    <row r="279">
      <c r="C279" s="79"/>
      <c r="D279" s="79"/>
      <c r="J279" s="79"/>
      <c r="P279" s="79"/>
      <c r="Q279" s="79"/>
      <c r="T279" s="79"/>
      <c r="U279" s="79"/>
      <c r="X279" s="130"/>
      <c r="Z279" s="106"/>
    </row>
    <row r="280">
      <c r="C280" s="79"/>
      <c r="D280" s="79"/>
      <c r="J280" s="79"/>
      <c r="P280" s="79"/>
      <c r="Q280" s="79"/>
      <c r="T280" s="79"/>
      <c r="U280" s="79"/>
      <c r="X280" s="130"/>
      <c r="Z280" s="106"/>
    </row>
    <row r="281">
      <c r="C281" s="79"/>
      <c r="D281" s="79"/>
      <c r="J281" s="79"/>
      <c r="P281" s="79"/>
      <c r="Q281" s="79"/>
      <c r="T281" s="79"/>
      <c r="U281" s="79"/>
      <c r="X281" s="130"/>
      <c r="Z281" s="106"/>
    </row>
    <row r="282">
      <c r="C282" s="79"/>
      <c r="D282" s="79"/>
      <c r="J282" s="79"/>
      <c r="P282" s="79"/>
      <c r="Q282" s="79"/>
      <c r="T282" s="79"/>
      <c r="U282" s="79"/>
      <c r="X282" s="130"/>
      <c r="Z282" s="106"/>
    </row>
    <row r="283">
      <c r="C283" s="79"/>
      <c r="D283" s="79"/>
      <c r="J283" s="79"/>
      <c r="P283" s="79"/>
      <c r="Q283" s="79"/>
      <c r="T283" s="79"/>
      <c r="U283" s="79"/>
      <c r="X283" s="130"/>
      <c r="Z283" s="106"/>
    </row>
    <row r="284">
      <c r="C284" s="79"/>
      <c r="D284" s="79"/>
      <c r="J284" s="79"/>
      <c r="P284" s="79"/>
      <c r="Q284" s="79"/>
      <c r="T284" s="79"/>
      <c r="U284" s="79"/>
      <c r="X284" s="130"/>
      <c r="Z284" s="106"/>
    </row>
    <row r="285">
      <c r="C285" s="79"/>
      <c r="D285" s="79"/>
      <c r="J285" s="79"/>
      <c r="P285" s="79"/>
      <c r="Q285" s="79"/>
      <c r="T285" s="79"/>
      <c r="U285" s="79"/>
      <c r="X285" s="130"/>
      <c r="Z285" s="106"/>
    </row>
    <row r="286">
      <c r="C286" s="79"/>
      <c r="D286" s="79"/>
      <c r="J286" s="79"/>
      <c r="P286" s="79"/>
      <c r="Q286" s="79"/>
      <c r="T286" s="79"/>
      <c r="U286" s="79"/>
      <c r="X286" s="130"/>
      <c r="Z286" s="106"/>
    </row>
    <row r="287">
      <c r="C287" s="79"/>
      <c r="D287" s="79"/>
      <c r="J287" s="79"/>
      <c r="P287" s="79"/>
      <c r="Q287" s="79"/>
      <c r="T287" s="79"/>
      <c r="U287" s="79"/>
      <c r="X287" s="130"/>
      <c r="Z287" s="106"/>
    </row>
    <row r="288">
      <c r="C288" s="79"/>
      <c r="D288" s="79"/>
      <c r="J288" s="79"/>
      <c r="P288" s="79"/>
      <c r="Q288" s="79"/>
      <c r="T288" s="79"/>
      <c r="U288" s="79"/>
      <c r="X288" s="130"/>
      <c r="Z288" s="106"/>
    </row>
    <row r="289">
      <c r="C289" s="79"/>
      <c r="D289" s="79"/>
      <c r="J289" s="79"/>
      <c r="P289" s="79"/>
      <c r="Q289" s="79"/>
      <c r="T289" s="79"/>
      <c r="U289" s="79"/>
      <c r="X289" s="130"/>
      <c r="Z289" s="106"/>
    </row>
    <row r="290">
      <c r="C290" s="79"/>
      <c r="D290" s="79"/>
      <c r="J290" s="79"/>
      <c r="P290" s="79"/>
      <c r="Q290" s="79"/>
      <c r="T290" s="79"/>
      <c r="U290" s="79"/>
      <c r="X290" s="130"/>
      <c r="Z290" s="106"/>
    </row>
    <row r="291">
      <c r="C291" s="79"/>
      <c r="D291" s="79"/>
      <c r="J291" s="79"/>
      <c r="P291" s="79"/>
      <c r="Q291" s="79"/>
      <c r="T291" s="79"/>
      <c r="U291" s="79"/>
      <c r="X291" s="130"/>
      <c r="Z291" s="106"/>
    </row>
    <row r="292">
      <c r="C292" s="79"/>
      <c r="D292" s="79"/>
      <c r="J292" s="79"/>
      <c r="P292" s="79"/>
      <c r="Q292" s="79"/>
      <c r="T292" s="79"/>
      <c r="U292" s="79"/>
      <c r="X292" s="130"/>
      <c r="Z292" s="106"/>
    </row>
    <row r="293">
      <c r="C293" s="79"/>
      <c r="D293" s="79"/>
      <c r="J293" s="79"/>
      <c r="P293" s="79"/>
      <c r="Q293" s="79"/>
      <c r="T293" s="79"/>
      <c r="U293" s="79"/>
      <c r="X293" s="130"/>
      <c r="Z293" s="106"/>
    </row>
    <row r="294">
      <c r="C294" s="79"/>
      <c r="D294" s="79"/>
      <c r="J294" s="79"/>
      <c r="P294" s="79"/>
      <c r="Q294" s="79"/>
      <c r="T294" s="79"/>
      <c r="U294" s="79"/>
      <c r="X294" s="130"/>
      <c r="Z294" s="106"/>
    </row>
    <row r="295">
      <c r="C295" s="79"/>
      <c r="D295" s="79"/>
      <c r="J295" s="79"/>
      <c r="P295" s="79"/>
      <c r="Q295" s="79"/>
      <c r="T295" s="79"/>
      <c r="U295" s="79"/>
      <c r="X295" s="130"/>
      <c r="Z295" s="106"/>
    </row>
    <row r="296">
      <c r="C296" s="79"/>
      <c r="D296" s="79"/>
      <c r="J296" s="79"/>
      <c r="P296" s="79"/>
      <c r="Q296" s="79"/>
      <c r="T296" s="79"/>
      <c r="U296" s="79"/>
      <c r="X296" s="130"/>
      <c r="Z296" s="106"/>
    </row>
    <row r="297">
      <c r="C297" s="79"/>
      <c r="D297" s="79"/>
      <c r="J297" s="79"/>
      <c r="P297" s="79"/>
      <c r="Q297" s="79"/>
      <c r="T297" s="79"/>
      <c r="U297" s="79"/>
      <c r="X297" s="130"/>
      <c r="Z297" s="106"/>
    </row>
    <row r="298">
      <c r="C298" s="79"/>
      <c r="D298" s="79"/>
      <c r="J298" s="79"/>
      <c r="P298" s="79"/>
      <c r="Q298" s="79"/>
      <c r="T298" s="79"/>
      <c r="U298" s="79"/>
      <c r="X298" s="130"/>
      <c r="Z298" s="106"/>
    </row>
    <row r="299">
      <c r="C299" s="79"/>
      <c r="D299" s="79"/>
      <c r="J299" s="79"/>
      <c r="P299" s="79"/>
      <c r="Q299" s="79"/>
      <c r="T299" s="79"/>
      <c r="U299" s="79"/>
      <c r="X299" s="130"/>
      <c r="Z299" s="106"/>
    </row>
    <row r="300">
      <c r="C300" s="79"/>
      <c r="D300" s="79"/>
      <c r="J300" s="79"/>
      <c r="P300" s="79"/>
      <c r="Q300" s="79"/>
      <c r="T300" s="79"/>
      <c r="U300" s="79"/>
      <c r="X300" s="130"/>
      <c r="Z300" s="106"/>
    </row>
    <row r="301">
      <c r="C301" s="79"/>
      <c r="D301" s="79"/>
      <c r="J301" s="79"/>
      <c r="P301" s="79"/>
      <c r="Q301" s="79"/>
      <c r="T301" s="79"/>
      <c r="U301" s="79"/>
      <c r="X301" s="130"/>
      <c r="Z301" s="106"/>
    </row>
    <row r="302">
      <c r="C302" s="79"/>
      <c r="D302" s="79"/>
      <c r="J302" s="79"/>
      <c r="P302" s="79"/>
      <c r="Q302" s="79"/>
      <c r="T302" s="79"/>
      <c r="U302" s="79"/>
      <c r="X302" s="130"/>
      <c r="Z302" s="106"/>
    </row>
    <row r="303">
      <c r="C303" s="79"/>
      <c r="D303" s="79"/>
      <c r="J303" s="79"/>
      <c r="P303" s="79"/>
      <c r="Q303" s="79"/>
      <c r="T303" s="79"/>
      <c r="U303" s="79"/>
      <c r="X303" s="130"/>
      <c r="Z303" s="106"/>
    </row>
    <row r="304">
      <c r="C304" s="79"/>
      <c r="D304" s="79"/>
      <c r="J304" s="79"/>
      <c r="P304" s="79"/>
      <c r="Q304" s="79"/>
      <c r="T304" s="79"/>
      <c r="U304" s="79"/>
      <c r="X304" s="130"/>
      <c r="Z304" s="106"/>
    </row>
    <row r="305">
      <c r="C305" s="79"/>
      <c r="D305" s="79"/>
      <c r="J305" s="79"/>
      <c r="P305" s="79"/>
      <c r="Q305" s="79"/>
      <c r="T305" s="79"/>
      <c r="U305" s="79"/>
      <c r="X305" s="130"/>
      <c r="Z305" s="106"/>
    </row>
    <row r="306">
      <c r="C306" s="79"/>
      <c r="D306" s="79"/>
      <c r="J306" s="79"/>
      <c r="P306" s="79"/>
      <c r="Q306" s="79"/>
      <c r="T306" s="79"/>
      <c r="U306" s="79"/>
      <c r="X306" s="130"/>
      <c r="Z306" s="106"/>
    </row>
    <row r="307">
      <c r="C307" s="79"/>
      <c r="D307" s="79"/>
      <c r="J307" s="79"/>
      <c r="P307" s="79"/>
      <c r="Q307" s="79"/>
      <c r="T307" s="79"/>
      <c r="U307" s="79"/>
      <c r="X307" s="130"/>
      <c r="Z307" s="106"/>
    </row>
    <row r="308">
      <c r="C308" s="79"/>
      <c r="D308" s="79"/>
      <c r="J308" s="79"/>
      <c r="P308" s="79"/>
      <c r="Q308" s="79"/>
      <c r="T308" s="79"/>
      <c r="U308" s="79"/>
      <c r="X308" s="130"/>
      <c r="Z308" s="106"/>
    </row>
    <row r="309">
      <c r="C309" s="79"/>
      <c r="D309" s="79"/>
      <c r="J309" s="79"/>
      <c r="P309" s="79"/>
      <c r="Q309" s="79"/>
      <c r="T309" s="79"/>
      <c r="U309" s="79"/>
      <c r="X309" s="130"/>
      <c r="Z309" s="106"/>
    </row>
    <row r="310">
      <c r="C310" s="79"/>
      <c r="D310" s="79"/>
      <c r="J310" s="79"/>
      <c r="P310" s="79"/>
      <c r="Q310" s="79"/>
      <c r="T310" s="79"/>
      <c r="U310" s="79"/>
      <c r="X310" s="130"/>
      <c r="Z310" s="106"/>
    </row>
    <row r="311">
      <c r="C311" s="79"/>
      <c r="D311" s="79"/>
      <c r="J311" s="79"/>
      <c r="P311" s="79"/>
      <c r="Q311" s="79"/>
      <c r="T311" s="79"/>
      <c r="U311" s="79"/>
      <c r="X311" s="130"/>
      <c r="Z311" s="106"/>
    </row>
    <row r="312">
      <c r="C312" s="79"/>
      <c r="D312" s="79"/>
      <c r="J312" s="79"/>
      <c r="P312" s="79"/>
      <c r="Q312" s="79"/>
      <c r="T312" s="79"/>
      <c r="U312" s="79"/>
      <c r="X312" s="130"/>
      <c r="Z312" s="106"/>
    </row>
    <row r="313">
      <c r="C313" s="79"/>
      <c r="D313" s="79"/>
      <c r="J313" s="79"/>
      <c r="P313" s="79"/>
      <c r="Q313" s="79"/>
      <c r="T313" s="79"/>
      <c r="U313" s="79"/>
      <c r="X313" s="130"/>
      <c r="Z313" s="106"/>
    </row>
    <row r="314">
      <c r="C314" s="79"/>
      <c r="D314" s="79"/>
      <c r="J314" s="79"/>
      <c r="P314" s="79"/>
      <c r="Q314" s="79"/>
      <c r="T314" s="79"/>
      <c r="U314" s="79"/>
      <c r="X314" s="130"/>
      <c r="Z314" s="106"/>
    </row>
    <row r="315">
      <c r="C315" s="79"/>
      <c r="D315" s="79"/>
      <c r="J315" s="79"/>
      <c r="P315" s="79"/>
      <c r="Q315" s="79"/>
      <c r="T315" s="79"/>
      <c r="U315" s="79"/>
      <c r="X315" s="130"/>
      <c r="Z315" s="106"/>
    </row>
    <row r="316">
      <c r="C316" s="79"/>
      <c r="D316" s="79"/>
      <c r="J316" s="79"/>
      <c r="P316" s="79"/>
      <c r="Q316" s="79"/>
      <c r="T316" s="79"/>
      <c r="U316" s="79"/>
      <c r="X316" s="130"/>
      <c r="Z316" s="106"/>
    </row>
    <row r="317">
      <c r="C317" s="79"/>
      <c r="D317" s="79"/>
      <c r="J317" s="79"/>
      <c r="P317" s="79"/>
      <c r="Q317" s="79"/>
      <c r="T317" s="79"/>
      <c r="U317" s="79"/>
      <c r="X317" s="130"/>
      <c r="Z317" s="106"/>
    </row>
    <row r="318">
      <c r="C318" s="79"/>
      <c r="D318" s="79"/>
      <c r="J318" s="79"/>
      <c r="P318" s="79"/>
      <c r="Q318" s="79"/>
      <c r="T318" s="79"/>
      <c r="U318" s="79"/>
      <c r="X318" s="130"/>
      <c r="Z318" s="106"/>
    </row>
    <row r="319">
      <c r="C319" s="79"/>
      <c r="D319" s="79"/>
      <c r="J319" s="79"/>
      <c r="P319" s="79"/>
      <c r="Q319" s="79"/>
      <c r="T319" s="79"/>
      <c r="U319" s="79"/>
      <c r="X319" s="130"/>
      <c r="Z319" s="106"/>
    </row>
    <row r="320">
      <c r="C320" s="79"/>
      <c r="D320" s="79"/>
      <c r="J320" s="79"/>
      <c r="P320" s="79"/>
      <c r="Q320" s="79"/>
      <c r="T320" s="79"/>
      <c r="U320" s="79"/>
      <c r="X320" s="130"/>
      <c r="Z320" s="106"/>
    </row>
    <row r="321">
      <c r="C321" s="79"/>
      <c r="D321" s="79"/>
      <c r="J321" s="79"/>
      <c r="P321" s="79"/>
      <c r="Q321" s="79"/>
      <c r="T321" s="79"/>
      <c r="U321" s="79"/>
      <c r="X321" s="130"/>
      <c r="Z321" s="106"/>
    </row>
    <row r="322">
      <c r="C322" s="79"/>
      <c r="D322" s="79"/>
      <c r="J322" s="79"/>
      <c r="P322" s="79"/>
      <c r="Q322" s="79"/>
      <c r="T322" s="79"/>
      <c r="U322" s="79"/>
      <c r="X322" s="130"/>
      <c r="Z322" s="106"/>
    </row>
    <row r="323">
      <c r="C323" s="79"/>
      <c r="D323" s="79"/>
      <c r="J323" s="79"/>
      <c r="P323" s="79"/>
      <c r="Q323" s="79"/>
      <c r="T323" s="79"/>
      <c r="U323" s="79"/>
      <c r="X323" s="130"/>
      <c r="Z323" s="106"/>
    </row>
    <row r="324">
      <c r="C324" s="79"/>
      <c r="D324" s="79"/>
      <c r="J324" s="79"/>
      <c r="P324" s="79"/>
      <c r="Q324" s="79"/>
      <c r="T324" s="79"/>
      <c r="U324" s="79"/>
      <c r="X324" s="130"/>
      <c r="Z324" s="106"/>
    </row>
    <row r="325">
      <c r="C325" s="79"/>
      <c r="D325" s="79"/>
      <c r="J325" s="79"/>
      <c r="P325" s="79"/>
      <c r="Q325" s="79"/>
      <c r="T325" s="79"/>
      <c r="U325" s="79"/>
      <c r="X325" s="130"/>
      <c r="Z325" s="106"/>
    </row>
    <row r="326">
      <c r="C326" s="79"/>
      <c r="D326" s="79"/>
      <c r="J326" s="79"/>
      <c r="P326" s="79"/>
      <c r="Q326" s="79"/>
      <c r="T326" s="79"/>
      <c r="U326" s="79"/>
      <c r="X326" s="130"/>
      <c r="Z326" s="106"/>
    </row>
    <row r="327">
      <c r="C327" s="79"/>
      <c r="D327" s="79"/>
      <c r="J327" s="79"/>
      <c r="P327" s="79"/>
      <c r="Q327" s="79"/>
      <c r="T327" s="79"/>
      <c r="U327" s="79"/>
      <c r="X327" s="130"/>
      <c r="Z327" s="106"/>
    </row>
    <row r="328">
      <c r="C328" s="79"/>
      <c r="D328" s="79"/>
      <c r="J328" s="79"/>
      <c r="P328" s="79"/>
      <c r="Q328" s="79"/>
      <c r="T328" s="79"/>
      <c r="U328" s="79"/>
      <c r="X328" s="130"/>
      <c r="Z328" s="106"/>
    </row>
    <row r="329">
      <c r="C329" s="79"/>
      <c r="D329" s="79"/>
      <c r="J329" s="79"/>
      <c r="P329" s="79"/>
      <c r="Q329" s="79"/>
      <c r="T329" s="79"/>
      <c r="U329" s="79"/>
      <c r="X329" s="130"/>
      <c r="Z329" s="106"/>
    </row>
    <row r="330">
      <c r="C330" s="79"/>
      <c r="D330" s="79"/>
      <c r="J330" s="79"/>
      <c r="P330" s="79"/>
      <c r="Q330" s="79"/>
      <c r="T330" s="79"/>
      <c r="U330" s="79"/>
      <c r="X330" s="130"/>
      <c r="Z330" s="106"/>
    </row>
    <row r="331">
      <c r="C331" s="79"/>
      <c r="D331" s="79"/>
      <c r="J331" s="79"/>
      <c r="P331" s="79"/>
      <c r="Q331" s="79"/>
      <c r="T331" s="79"/>
      <c r="U331" s="79"/>
      <c r="X331" s="130"/>
      <c r="Z331" s="106"/>
    </row>
    <row r="332">
      <c r="C332" s="79"/>
      <c r="D332" s="79"/>
      <c r="J332" s="79"/>
      <c r="P332" s="79"/>
      <c r="Q332" s="79"/>
      <c r="T332" s="79"/>
      <c r="U332" s="79"/>
      <c r="X332" s="130"/>
      <c r="Z332" s="106"/>
    </row>
    <row r="333">
      <c r="C333" s="79"/>
      <c r="D333" s="79"/>
      <c r="J333" s="79"/>
      <c r="P333" s="79"/>
      <c r="Q333" s="79"/>
      <c r="T333" s="79"/>
      <c r="U333" s="79"/>
      <c r="X333" s="130"/>
      <c r="Z333" s="106"/>
    </row>
    <row r="334">
      <c r="C334" s="79"/>
      <c r="D334" s="79"/>
      <c r="J334" s="79"/>
      <c r="P334" s="79"/>
      <c r="Q334" s="79"/>
      <c r="T334" s="79"/>
      <c r="U334" s="79"/>
      <c r="X334" s="130"/>
      <c r="Z334" s="106"/>
    </row>
    <row r="335">
      <c r="C335" s="79"/>
      <c r="D335" s="79"/>
      <c r="J335" s="79"/>
      <c r="P335" s="79"/>
      <c r="Q335" s="79"/>
      <c r="T335" s="79"/>
      <c r="U335" s="79"/>
      <c r="X335" s="130"/>
      <c r="Z335" s="106"/>
    </row>
    <row r="336">
      <c r="C336" s="79"/>
      <c r="D336" s="79"/>
      <c r="J336" s="79"/>
      <c r="P336" s="79"/>
      <c r="Q336" s="79"/>
      <c r="T336" s="79"/>
      <c r="U336" s="79"/>
      <c r="X336" s="130"/>
      <c r="Z336" s="106"/>
    </row>
    <row r="337">
      <c r="C337" s="79"/>
      <c r="D337" s="79"/>
      <c r="J337" s="79"/>
      <c r="P337" s="79"/>
      <c r="Q337" s="79"/>
      <c r="T337" s="79"/>
      <c r="U337" s="79"/>
      <c r="X337" s="130"/>
      <c r="Z337" s="106"/>
    </row>
    <row r="338">
      <c r="C338" s="79"/>
      <c r="D338" s="79"/>
      <c r="J338" s="79"/>
      <c r="P338" s="79"/>
      <c r="Q338" s="79"/>
      <c r="T338" s="79"/>
      <c r="U338" s="79"/>
      <c r="X338" s="130"/>
      <c r="Z338" s="106"/>
    </row>
    <row r="339">
      <c r="C339" s="79"/>
      <c r="D339" s="79"/>
      <c r="J339" s="79"/>
      <c r="P339" s="79"/>
      <c r="Q339" s="79"/>
      <c r="T339" s="79"/>
      <c r="U339" s="79"/>
      <c r="X339" s="130"/>
      <c r="Z339" s="106"/>
    </row>
    <row r="340">
      <c r="C340" s="79"/>
      <c r="D340" s="79"/>
      <c r="J340" s="79"/>
      <c r="P340" s="79"/>
      <c r="Q340" s="79"/>
      <c r="T340" s="79"/>
      <c r="U340" s="79"/>
      <c r="X340" s="130"/>
      <c r="Z340" s="106"/>
    </row>
    <row r="341">
      <c r="C341" s="79"/>
      <c r="D341" s="79"/>
      <c r="J341" s="79"/>
      <c r="P341" s="79"/>
      <c r="Q341" s="79"/>
      <c r="T341" s="79"/>
      <c r="U341" s="79"/>
      <c r="X341" s="130"/>
      <c r="Z341" s="106"/>
    </row>
    <row r="342">
      <c r="C342" s="79"/>
      <c r="D342" s="79"/>
      <c r="J342" s="79"/>
      <c r="P342" s="79"/>
      <c r="Q342" s="79"/>
      <c r="T342" s="79"/>
      <c r="U342" s="79"/>
      <c r="X342" s="130"/>
      <c r="Z342" s="106"/>
    </row>
    <row r="343">
      <c r="C343" s="79"/>
      <c r="D343" s="79"/>
      <c r="J343" s="79"/>
      <c r="P343" s="79"/>
      <c r="Q343" s="79"/>
      <c r="T343" s="79"/>
      <c r="U343" s="79"/>
      <c r="X343" s="130"/>
      <c r="Z343" s="106"/>
    </row>
    <row r="344">
      <c r="C344" s="79"/>
      <c r="D344" s="79"/>
      <c r="J344" s="79"/>
      <c r="P344" s="79"/>
      <c r="Q344" s="79"/>
      <c r="T344" s="79"/>
      <c r="U344" s="79"/>
      <c r="X344" s="130"/>
      <c r="Z344" s="106"/>
    </row>
    <row r="345">
      <c r="C345" s="79"/>
      <c r="D345" s="79"/>
      <c r="J345" s="79"/>
      <c r="P345" s="79"/>
      <c r="Q345" s="79"/>
      <c r="T345" s="79"/>
      <c r="U345" s="79"/>
      <c r="X345" s="130"/>
      <c r="Z345" s="106"/>
    </row>
    <row r="346">
      <c r="C346" s="79"/>
      <c r="D346" s="79"/>
      <c r="J346" s="79"/>
      <c r="P346" s="79"/>
      <c r="Q346" s="79"/>
      <c r="T346" s="79"/>
      <c r="U346" s="79"/>
      <c r="X346" s="130"/>
      <c r="Z346" s="106"/>
    </row>
    <row r="347">
      <c r="C347" s="79"/>
      <c r="D347" s="79"/>
      <c r="J347" s="79"/>
      <c r="P347" s="79"/>
      <c r="Q347" s="79"/>
      <c r="T347" s="79"/>
      <c r="U347" s="79"/>
      <c r="X347" s="130"/>
      <c r="Z347" s="106"/>
    </row>
    <row r="348">
      <c r="C348" s="79"/>
      <c r="D348" s="79"/>
      <c r="J348" s="79"/>
      <c r="P348" s="79"/>
      <c r="Q348" s="79"/>
      <c r="T348" s="79"/>
      <c r="U348" s="79"/>
      <c r="X348" s="130"/>
      <c r="Z348" s="106"/>
    </row>
    <row r="349">
      <c r="C349" s="79"/>
      <c r="D349" s="79"/>
      <c r="J349" s="79"/>
      <c r="P349" s="79"/>
      <c r="Q349" s="79"/>
      <c r="T349" s="79"/>
      <c r="U349" s="79"/>
      <c r="X349" s="130"/>
      <c r="Z349" s="106"/>
    </row>
    <row r="350">
      <c r="C350" s="79"/>
      <c r="D350" s="79"/>
      <c r="J350" s="79"/>
      <c r="P350" s="79"/>
      <c r="Q350" s="79"/>
      <c r="T350" s="79"/>
      <c r="U350" s="79"/>
      <c r="X350" s="130"/>
      <c r="Z350" s="106"/>
    </row>
    <row r="351">
      <c r="C351" s="79"/>
      <c r="D351" s="79"/>
      <c r="J351" s="79"/>
      <c r="P351" s="79"/>
      <c r="Q351" s="79"/>
      <c r="T351" s="79"/>
      <c r="U351" s="79"/>
      <c r="X351" s="130"/>
      <c r="Z351" s="106"/>
    </row>
    <row r="352">
      <c r="C352" s="79"/>
      <c r="D352" s="79"/>
      <c r="J352" s="79"/>
      <c r="P352" s="79"/>
      <c r="Q352" s="79"/>
      <c r="T352" s="79"/>
      <c r="U352" s="79"/>
      <c r="X352" s="130"/>
      <c r="Z352" s="106"/>
    </row>
    <row r="353">
      <c r="C353" s="79"/>
      <c r="D353" s="79"/>
      <c r="J353" s="79"/>
      <c r="P353" s="79"/>
      <c r="Q353" s="79"/>
      <c r="T353" s="79"/>
      <c r="U353" s="79"/>
      <c r="X353" s="130"/>
      <c r="Z353" s="106"/>
    </row>
    <row r="354">
      <c r="C354" s="79"/>
      <c r="D354" s="79"/>
      <c r="J354" s="79"/>
      <c r="P354" s="79"/>
      <c r="Q354" s="79"/>
      <c r="T354" s="79"/>
      <c r="U354" s="79"/>
      <c r="X354" s="130"/>
      <c r="Z354" s="106"/>
    </row>
    <row r="355">
      <c r="C355" s="79"/>
      <c r="D355" s="79"/>
      <c r="J355" s="79"/>
      <c r="P355" s="79"/>
      <c r="Q355" s="79"/>
      <c r="T355" s="79"/>
      <c r="U355" s="79"/>
      <c r="X355" s="130"/>
      <c r="Z355" s="106"/>
    </row>
    <row r="356">
      <c r="C356" s="79"/>
      <c r="D356" s="79"/>
      <c r="J356" s="79"/>
      <c r="P356" s="79"/>
      <c r="Q356" s="79"/>
      <c r="T356" s="79"/>
      <c r="U356" s="79"/>
      <c r="X356" s="130"/>
      <c r="Z356" s="106"/>
    </row>
    <row r="357">
      <c r="C357" s="79"/>
      <c r="D357" s="79"/>
      <c r="J357" s="79"/>
      <c r="P357" s="79"/>
      <c r="Q357" s="79"/>
      <c r="T357" s="79"/>
      <c r="U357" s="79"/>
      <c r="X357" s="130"/>
      <c r="Z357" s="106"/>
    </row>
    <row r="358">
      <c r="C358" s="79"/>
      <c r="D358" s="79"/>
      <c r="J358" s="79"/>
      <c r="P358" s="79"/>
      <c r="Q358" s="79"/>
      <c r="T358" s="79"/>
      <c r="U358" s="79"/>
      <c r="X358" s="130"/>
      <c r="Z358" s="106"/>
    </row>
    <row r="359">
      <c r="C359" s="79"/>
      <c r="D359" s="79"/>
      <c r="J359" s="79"/>
      <c r="P359" s="79"/>
      <c r="Q359" s="79"/>
      <c r="T359" s="79"/>
      <c r="U359" s="79"/>
      <c r="X359" s="130"/>
      <c r="Z359" s="106"/>
    </row>
    <row r="360">
      <c r="C360" s="79"/>
      <c r="D360" s="79"/>
      <c r="J360" s="79"/>
      <c r="P360" s="79"/>
      <c r="Q360" s="79"/>
      <c r="T360" s="79"/>
      <c r="U360" s="79"/>
      <c r="X360" s="130"/>
      <c r="Z360" s="106"/>
    </row>
    <row r="361">
      <c r="C361" s="79"/>
      <c r="D361" s="79"/>
      <c r="J361" s="79"/>
      <c r="P361" s="79"/>
      <c r="Q361" s="79"/>
      <c r="T361" s="79"/>
      <c r="U361" s="79"/>
      <c r="X361" s="130"/>
      <c r="Z361" s="106"/>
    </row>
    <row r="362">
      <c r="C362" s="79"/>
      <c r="D362" s="79"/>
      <c r="J362" s="79"/>
      <c r="P362" s="79"/>
      <c r="Q362" s="79"/>
      <c r="T362" s="79"/>
      <c r="U362" s="79"/>
      <c r="X362" s="130"/>
      <c r="Z362" s="106"/>
    </row>
    <row r="363">
      <c r="C363" s="79"/>
      <c r="D363" s="79"/>
      <c r="J363" s="79"/>
      <c r="P363" s="79"/>
      <c r="Q363" s="79"/>
      <c r="T363" s="79"/>
      <c r="U363" s="79"/>
      <c r="X363" s="130"/>
      <c r="Z363" s="106"/>
    </row>
    <row r="364">
      <c r="C364" s="79"/>
      <c r="D364" s="79"/>
      <c r="J364" s="79"/>
      <c r="P364" s="79"/>
      <c r="Q364" s="79"/>
      <c r="T364" s="79"/>
      <c r="U364" s="79"/>
      <c r="X364" s="130"/>
      <c r="Z364" s="106"/>
    </row>
    <row r="365">
      <c r="C365" s="79"/>
      <c r="D365" s="79"/>
      <c r="J365" s="79"/>
      <c r="P365" s="79"/>
      <c r="Q365" s="79"/>
      <c r="T365" s="79"/>
      <c r="U365" s="79"/>
      <c r="X365" s="130"/>
      <c r="Z365" s="106"/>
    </row>
    <row r="366">
      <c r="C366" s="79"/>
      <c r="D366" s="79"/>
      <c r="J366" s="79"/>
      <c r="P366" s="79"/>
      <c r="Q366" s="79"/>
      <c r="T366" s="79"/>
      <c r="U366" s="79"/>
      <c r="X366" s="130"/>
      <c r="Z366" s="106"/>
    </row>
    <row r="367">
      <c r="C367" s="79"/>
      <c r="D367" s="79"/>
      <c r="J367" s="79"/>
      <c r="P367" s="79"/>
      <c r="Q367" s="79"/>
      <c r="T367" s="79"/>
      <c r="U367" s="79"/>
      <c r="X367" s="130"/>
      <c r="Z367" s="106"/>
    </row>
    <row r="368">
      <c r="C368" s="79"/>
      <c r="D368" s="79"/>
      <c r="J368" s="79"/>
      <c r="P368" s="79"/>
      <c r="Q368" s="79"/>
      <c r="T368" s="79"/>
      <c r="U368" s="79"/>
      <c r="X368" s="130"/>
      <c r="Z368" s="106"/>
    </row>
    <row r="369">
      <c r="C369" s="79"/>
      <c r="D369" s="79"/>
      <c r="J369" s="79"/>
      <c r="P369" s="79"/>
      <c r="Q369" s="79"/>
      <c r="T369" s="79"/>
      <c r="U369" s="79"/>
      <c r="X369" s="130"/>
      <c r="Z369" s="106"/>
    </row>
    <row r="370">
      <c r="C370" s="79"/>
      <c r="D370" s="79"/>
      <c r="J370" s="79"/>
      <c r="P370" s="79"/>
      <c r="Q370" s="79"/>
      <c r="T370" s="79"/>
      <c r="U370" s="79"/>
      <c r="X370" s="130"/>
      <c r="Z370" s="106"/>
    </row>
    <row r="371">
      <c r="C371" s="79"/>
      <c r="D371" s="79"/>
      <c r="J371" s="79"/>
      <c r="P371" s="79"/>
      <c r="Q371" s="79"/>
      <c r="T371" s="79"/>
      <c r="U371" s="79"/>
      <c r="X371" s="130"/>
      <c r="Z371" s="106"/>
    </row>
    <row r="372">
      <c r="C372" s="79"/>
      <c r="D372" s="79"/>
      <c r="J372" s="79"/>
      <c r="P372" s="79"/>
      <c r="Q372" s="79"/>
      <c r="T372" s="79"/>
      <c r="U372" s="79"/>
      <c r="X372" s="130"/>
      <c r="Z372" s="106"/>
    </row>
    <row r="373">
      <c r="C373" s="79"/>
      <c r="D373" s="79"/>
      <c r="J373" s="79"/>
      <c r="P373" s="79"/>
      <c r="Q373" s="79"/>
      <c r="T373" s="79"/>
      <c r="U373" s="79"/>
      <c r="X373" s="130"/>
      <c r="Z373" s="106"/>
    </row>
    <row r="374">
      <c r="C374" s="79"/>
      <c r="D374" s="79"/>
      <c r="J374" s="79"/>
      <c r="P374" s="79"/>
      <c r="Q374" s="79"/>
      <c r="T374" s="79"/>
      <c r="U374" s="79"/>
      <c r="X374" s="130"/>
      <c r="Z374" s="106"/>
    </row>
    <row r="375">
      <c r="C375" s="79"/>
      <c r="D375" s="79"/>
      <c r="J375" s="79"/>
      <c r="P375" s="79"/>
      <c r="Q375" s="79"/>
      <c r="T375" s="79"/>
      <c r="U375" s="79"/>
      <c r="X375" s="130"/>
      <c r="Z375" s="106"/>
    </row>
    <row r="376">
      <c r="C376" s="79"/>
      <c r="D376" s="79"/>
      <c r="J376" s="79"/>
      <c r="P376" s="79"/>
      <c r="Q376" s="79"/>
      <c r="T376" s="79"/>
      <c r="U376" s="79"/>
      <c r="X376" s="130"/>
      <c r="Z376" s="106"/>
    </row>
    <row r="377">
      <c r="C377" s="79"/>
      <c r="D377" s="79"/>
      <c r="J377" s="79"/>
      <c r="P377" s="79"/>
      <c r="Q377" s="79"/>
      <c r="T377" s="79"/>
      <c r="U377" s="79"/>
      <c r="X377" s="130"/>
      <c r="Z377" s="106"/>
    </row>
    <row r="378">
      <c r="C378" s="79"/>
      <c r="D378" s="79"/>
      <c r="J378" s="79"/>
      <c r="P378" s="79"/>
      <c r="Q378" s="79"/>
      <c r="T378" s="79"/>
      <c r="U378" s="79"/>
      <c r="X378" s="130"/>
      <c r="Z378" s="106"/>
    </row>
    <row r="379">
      <c r="C379" s="79"/>
      <c r="D379" s="79"/>
      <c r="J379" s="79"/>
      <c r="P379" s="79"/>
      <c r="Q379" s="79"/>
      <c r="T379" s="79"/>
      <c r="U379" s="79"/>
      <c r="X379" s="130"/>
      <c r="Z379" s="106"/>
    </row>
    <row r="380">
      <c r="C380" s="79"/>
      <c r="D380" s="79"/>
      <c r="J380" s="79"/>
      <c r="P380" s="79"/>
      <c r="Q380" s="79"/>
      <c r="T380" s="79"/>
      <c r="U380" s="79"/>
      <c r="X380" s="130"/>
      <c r="Z380" s="106"/>
    </row>
    <row r="381">
      <c r="C381" s="79"/>
      <c r="D381" s="79"/>
      <c r="J381" s="79"/>
      <c r="P381" s="79"/>
      <c r="Q381" s="79"/>
      <c r="T381" s="79"/>
      <c r="U381" s="79"/>
      <c r="X381" s="130"/>
      <c r="Z381" s="106"/>
    </row>
    <row r="382">
      <c r="C382" s="79"/>
      <c r="D382" s="79"/>
      <c r="J382" s="79"/>
      <c r="P382" s="79"/>
      <c r="Q382" s="79"/>
      <c r="T382" s="79"/>
      <c r="U382" s="79"/>
      <c r="X382" s="130"/>
      <c r="Z382" s="106"/>
    </row>
    <row r="383">
      <c r="C383" s="79"/>
      <c r="D383" s="79"/>
      <c r="J383" s="79"/>
      <c r="P383" s="79"/>
      <c r="Q383" s="79"/>
      <c r="T383" s="79"/>
      <c r="U383" s="79"/>
      <c r="X383" s="130"/>
      <c r="Z383" s="106"/>
    </row>
    <row r="384">
      <c r="C384" s="79"/>
      <c r="D384" s="79"/>
      <c r="J384" s="79"/>
      <c r="P384" s="79"/>
      <c r="Q384" s="79"/>
      <c r="T384" s="79"/>
      <c r="U384" s="79"/>
      <c r="X384" s="130"/>
      <c r="Z384" s="106"/>
    </row>
    <row r="385">
      <c r="C385" s="79"/>
      <c r="D385" s="79"/>
      <c r="J385" s="79"/>
      <c r="P385" s="79"/>
      <c r="Q385" s="79"/>
      <c r="T385" s="79"/>
      <c r="U385" s="79"/>
      <c r="X385" s="130"/>
      <c r="Z385" s="106"/>
    </row>
    <row r="386">
      <c r="C386" s="79"/>
      <c r="D386" s="79"/>
      <c r="J386" s="79"/>
      <c r="P386" s="79"/>
      <c r="Q386" s="79"/>
      <c r="T386" s="79"/>
      <c r="U386" s="79"/>
      <c r="X386" s="130"/>
      <c r="Z386" s="106"/>
    </row>
    <row r="387">
      <c r="C387" s="79"/>
      <c r="D387" s="79"/>
      <c r="J387" s="79"/>
      <c r="P387" s="79"/>
      <c r="Q387" s="79"/>
      <c r="T387" s="79"/>
      <c r="U387" s="79"/>
      <c r="X387" s="130"/>
      <c r="Z387" s="106"/>
    </row>
    <row r="388">
      <c r="C388" s="79"/>
      <c r="D388" s="79"/>
      <c r="J388" s="79"/>
      <c r="P388" s="79"/>
      <c r="Q388" s="79"/>
      <c r="T388" s="79"/>
      <c r="U388" s="79"/>
      <c r="X388" s="130"/>
      <c r="Z388" s="106"/>
    </row>
    <row r="389">
      <c r="C389" s="79"/>
      <c r="D389" s="79"/>
      <c r="J389" s="79"/>
      <c r="P389" s="79"/>
      <c r="Q389" s="79"/>
      <c r="T389" s="79"/>
      <c r="U389" s="79"/>
      <c r="X389" s="130"/>
      <c r="Z389" s="106"/>
    </row>
    <row r="390">
      <c r="C390" s="79"/>
      <c r="D390" s="79"/>
      <c r="J390" s="79"/>
      <c r="P390" s="79"/>
      <c r="Q390" s="79"/>
      <c r="T390" s="79"/>
      <c r="U390" s="79"/>
      <c r="X390" s="130"/>
      <c r="Z390" s="106"/>
    </row>
    <row r="391">
      <c r="C391" s="79"/>
      <c r="D391" s="79"/>
      <c r="J391" s="79"/>
      <c r="P391" s="79"/>
      <c r="Q391" s="79"/>
      <c r="T391" s="79"/>
      <c r="U391" s="79"/>
      <c r="X391" s="130"/>
      <c r="Z391" s="106"/>
    </row>
    <row r="392">
      <c r="C392" s="79"/>
      <c r="D392" s="79"/>
      <c r="J392" s="79"/>
      <c r="P392" s="79"/>
      <c r="Q392" s="79"/>
      <c r="T392" s="79"/>
      <c r="U392" s="79"/>
      <c r="X392" s="130"/>
      <c r="Z392" s="106"/>
    </row>
    <row r="393">
      <c r="C393" s="79"/>
      <c r="D393" s="79"/>
      <c r="J393" s="79"/>
      <c r="P393" s="79"/>
      <c r="Q393" s="79"/>
      <c r="T393" s="79"/>
      <c r="U393" s="79"/>
      <c r="X393" s="130"/>
      <c r="Z393" s="106"/>
    </row>
    <row r="394">
      <c r="C394" s="79"/>
      <c r="D394" s="79"/>
      <c r="J394" s="79"/>
      <c r="P394" s="79"/>
      <c r="Q394" s="79"/>
      <c r="T394" s="79"/>
      <c r="U394" s="79"/>
      <c r="X394" s="130"/>
      <c r="Z394" s="106"/>
    </row>
    <row r="395">
      <c r="C395" s="79"/>
      <c r="D395" s="79"/>
      <c r="J395" s="79"/>
      <c r="P395" s="79"/>
      <c r="Q395" s="79"/>
      <c r="T395" s="79"/>
      <c r="U395" s="79"/>
      <c r="X395" s="130"/>
      <c r="Z395" s="106"/>
    </row>
    <row r="396">
      <c r="C396" s="79"/>
      <c r="D396" s="79"/>
      <c r="J396" s="79"/>
      <c r="P396" s="79"/>
      <c r="Q396" s="79"/>
      <c r="T396" s="79"/>
      <c r="U396" s="79"/>
      <c r="X396" s="130"/>
      <c r="Z396" s="106"/>
    </row>
    <row r="397">
      <c r="C397" s="79"/>
      <c r="D397" s="79"/>
      <c r="J397" s="79"/>
      <c r="P397" s="79"/>
      <c r="Q397" s="79"/>
      <c r="T397" s="79"/>
      <c r="U397" s="79"/>
      <c r="X397" s="130"/>
      <c r="Z397" s="106"/>
    </row>
    <row r="398">
      <c r="C398" s="79"/>
      <c r="D398" s="79"/>
      <c r="J398" s="79"/>
      <c r="P398" s="79"/>
      <c r="Q398" s="79"/>
      <c r="T398" s="79"/>
      <c r="U398" s="79"/>
      <c r="X398" s="130"/>
      <c r="Z398" s="106"/>
    </row>
    <row r="399">
      <c r="C399" s="79"/>
      <c r="D399" s="79"/>
      <c r="J399" s="79"/>
      <c r="P399" s="79"/>
      <c r="Q399" s="79"/>
      <c r="T399" s="79"/>
      <c r="U399" s="79"/>
      <c r="X399" s="130"/>
      <c r="Z399" s="106"/>
    </row>
    <row r="400">
      <c r="C400" s="79"/>
      <c r="D400" s="79"/>
      <c r="J400" s="79"/>
      <c r="P400" s="79"/>
      <c r="Q400" s="79"/>
      <c r="T400" s="79"/>
      <c r="U400" s="79"/>
      <c r="X400" s="130"/>
      <c r="Z400" s="106"/>
    </row>
    <row r="401">
      <c r="C401" s="79"/>
      <c r="D401" s="79"/>
      <c r="J401" s="79"/>
      <c r="P401" s="79"/>
      <c r="Q401" s="79"/>
      <c r="T401" s="79"/>
      <c r="U401" s="79"/>
      <c r="X401" s="130"/>
      <c r="Z401" s="106"/>
    </row>
    <row r="402">
      <c r="C402" s="79"/>
      <c r="D402" s="79"/>
      <c r="J402" s="79"/>
      <c r="P402" s="79"/>
      <c r="Q402" s="79"/>
      <c r="T402" s="79"/>
      <c r="U402" s="79"/>
      <c r="X402" s="130"/>
      <c r="Z402" s="106"/>
    </row>
    <row r="403">
      <c r="C403" s="79"/>
      <c r="D403" s="79"/>
      <c r="J403" s="79"/>
      <c r="P403" s="79"/>
      <c r="Q403" s="79"/>
      <c r="T403" s="79"/>
      <c r="U403" s="79"/>
      <c r="X403" s="130"/>
      <c r="Z403" s="106"/>
    </row>
    <row r="404">
      <c r="C404" s="79"/>
      <c r="D404" s="79"/>
      <c r="J404" s="79"/>
      <c r="P404" s="79"/>
      <c r="Q404" s="79"/>
      <c r="T404" s="79"/>
      <c r="U404" s="79"/>
      <c r="X404" s="130"/>
      <c r="Z404" s="106"/>
    </row>
    <row r="405">
      <c r="C405" s="79"/>
      <c r="D405" s="79"/>
      <c r="J405" s="79"/>
      <c r="P405" s="79"/>
      <c r="Q405" s="79"/>
      <c r="T405" s="79"/>
      <c r="U405" s="79"/>
      <c r="X405" s="130"/>
      <c r="Z405" s="106"/>
    </row>
    <row r="406">
      <c r="C406" s="79"/>
      <c r="D406" s="79"/>
      <c r="J406" s="79"/>
      <c r="P406" s="79"/>
      <c r="Q406" s="79"/>
      <c r="T406" s="79"/>
      <c r="U406" s="79"/>
      <c r="X406" s="130"/>
      <c r="Z406" s="106"/>
    </row>
    <row r="407">
      <c r="C407" s="79"/>
      <c r="D407" s="79"/>
      <c r="J407" s="79"/>
      <c r="P407" s="79"/>
      <c r="Q407" s="79"/>
      <c r="T407" s="79"/>
      <c r="U407" s="79"/>
      <c r="X407" s="130"/>
      <c r="Z407" s="106"/>
    </row>
    <row r="408">
      <c r="C408" s="79"/>
      <c r="D408" s="79"/>
      <c r="J408" s="79"/>
      <c r="P408" s="79"/>
      <c r="Q408" s="79"/>
      <c r="T408" s="79"/>
      <c r="U408" s="79"/>
      <c r="X408" s="130"/>
      <c r="Z408" s="106"/>
    </row>
    <row r="409">
      <c r="C409" s="79"/>
      <c r="D409" s="79"/>
      <c r="J409" s="79"/>
      <c r="P409" s="79"/>
      <c r="Q409" s="79"/>
      <c r="T409" s="79"/>
      <c r="U409" s="79"/>
      <c r="X409" s="130"/>
      <c r="Z409" s="106"/>
    </row>
    <row r="410">
      <c r="C410" s="79"/>
      <c r="D410" s="79"/>
      <c r="J410" s="79"/>
      <c r="P410" s="79"/>
      <c r="Q410" s="79"/>
      <c r="T410" s="79"/>
      <c r="U410" s="79"/>
      <c r="X410" s="130"/>
      <c r="Z410" s="106"/>
    </row>
    <row r="411">
      <c r="C411" s="79"/>
      <c r="D411" s="79"/>
      <c r="J411" s="79"/>
      <c r="P411" s="79"/>
      <c r="Q411" s="79"/>
      <c r="T411" s="79"/>
      <c r="U411" s="79"/>
      <c r="X411" s="130"/>
      <c r="Z411" s="106"/>
    </row>
    <row r="412">
      <c r="C412" s="79"/>
      <c r="D412" s="79"/>
      <c r="J412" s="79"/>
      <c r="P412" s="79"/>
      <c r="Q412" s="79"/>
      <c r="T412" s="79"/>
      <c r="U412" s="79"/>
      <c r="X412" s="130"/>
      <c r="Z412" s="106"/>
    </row>
    <row r="413">
      <c r="C413" s="79"/>
      <c r="D413" s="79"/>
      <c r="J413" s="79"/>
      <c r="P413" s="79"/>
      <c r="Q413" s="79"/>
      <c r="T413" s="79"/>
      <c r="U413" s="79"/>
      <c r="X413" s="130"/>
      <c r="Z413" s="106"/>
    </row>
    <row r="414">
      <c r="C414" s="79"/>
      <c r="D414" s="79"/>
      <c r="J414" s="79"/>
      <c r="P414" s="79"/>
      <c r="Q414" s="79"/>
      <c r="T414" s="79"/>
      <c r="U414" s="79"/>
      <c r="X414" s="130"/>
      <c r="Z414" s="106"/>
    </row>
    <row r="415">
      <c r="C415" s="79"/>
      <c r="D415" s="79"/>
      <c r="J415" s="79"/>
      <c r="P415" s="79"/>
      <c r="Q415" s="79"/>
      <c r="T415" s="79"/>
      <c r="U415" s="79"/>
      <c r="X415" s="130"/>
      <c r="Z415" s="106"/>
    </row>
    <row r="416">
      <c r="C416" s="79"/>
      <c r="D416" s="79"/>
      <c r="J416" s="79"/>
      <c r="P416" s="79"/>
      <c r="Q416" s="79"/>
      <c r="T416" s="79"/>
      <c r="U416" s="79"/>
      <c r="X416" s="130"/>
      <c r="Z416" s="106"/>
    </row>
    <row r="417">
      <c r="C417" s="79"/>
      <c r="D417" s="79"/>
      <c r="J417" s="79"/>
      <c r="P417" s="79"/>
      <c r="Q417" s="79"/>
      <c r="T417" s="79"/>
      <c r="U417" s="79"/>
      <c r="X417" s="130"/>
      <c r="Z417" s="106"/>
    </row>
    <row r="418">
      <c r="C418" s="79"/>
      <c r="D418" s="79"/>
      <c r="J418" s="79"/>
      <c r="P418" s="79"/>
      <c r="Q418" s="79"/>
      <c r="T418" s="79"/>
      <c r="U418" s="79"/>
      <c r="X418" s="130"/>
      <c r="Z418" s="106"/>
    </row>
    <row r="419">
      <c r="C419" s="79"/>
      <c r="D419" s="79"/>
      <c r="J419" s="79"/>
      <c r="P419" s="79"/>
      <c r="Q419" s="79"/>
      <c r="T419" s="79"/>
      <c r="U419" s="79"/>
      <c r="X419" s="130"/>
      <c r="Z419" s="106"/>
    </row>
    <row r="420">
      <c r="C420" s="79"/>
      <c r="D420" s="79"/>
      <c r="J420" s="79"/>
      <c r="P420" s="79"/>
      <c r="Q420" s="79"/>
      <c r="T420" s="79"/>
      <c r="U420" s="79"/>
      <c r="X420" s="130"/>
      <c r="Z420" s="106"/>
    </row>
    <row r="421">
      <c r="C421" s="79"/>
      <c r="D421" s="79"/>
      <c r="J421" s="79"/>
      <c r="P421" s="79"/>
      <c r="Q421" s="79"/>
      <c r="T421" s="79"/>
      <c r="U421" s="79"/>
      <c r="X421" s="130"/>
      <c r="Z421" s="106"/>
    </row>
    <row r="422">
      <c r="C422" s="79"/>
      <c r="D422" s="79"/>
      <c r="J422" s="79"/>
      <c r="P422" s="79"/>
      <c r="Q422" s="79"/>
      <c r="T422" s="79"/>
      <c r="U422" s="79"/>
      <c r="X422" s="130"/>
      <c r="Z422" s="106"/>
    </row>
    <row r="423">
      <c r="C423" s="79"/>
      <c r="D423" s="79"/>
      <c r="J423" s="79"/>
      <c r="P423" s="79"/>
      <c r="Q423" s="79"/>
      <c r="T423" s="79"/>
      <c r="U423" s="79"/>
      <c r="X423" s="130"/>
      <c r="Z423" s="106"/>
    </row>
    <row r="424">
      <c r="C424" s="79"/>
      <c r="D424" s="79"/>
      <c r="J424" s="79"/>
      <c r="P424" s="79"/>
      <c r="Q424" s="79"/>
      <c r="T424" s="79"/>
      <c r="U424" s="79"/>
      <c r="X424" s="130"/>
      <c r="Z424" s="106"/>
    </row>
    <row r="425">
      <c r="C425" s="79"/>
      <c r="D425" s="79"/>
      <c r="J425" s="79"/>
      <c r="P425" s="79"/>
      <c r="Q425" s="79"/>
      <c r="T425" s="79"/>
      <c r="U425" s="79"/>
      <c r="X425" s="130"/>
      <c r="Z425" s="106"/>
    </row>
    <row r="426">
      <c r="C426" s="79"/>
      <c r="D426" s="79"/>
      <c r="J426" s="79"/>
      <c r="P426" s="79"/>
      <c r="Q426" s="79"/>
      <c r="T426" s="79"/>
      <c r="U426" s="79"/>
      <c r="X426" s="130"/>
      <c r="Z426" s="106"/>
    </row>
    <row r="427">
      <c r="C427" s="79"/>
      <c r="D427" s="79"/>
      <c r="J427" s="79"/>
      <c r="P427" s="79"/>
      <c r="Q427" s="79"/>
      <c r="T427" s="79"/>
      <c r="U427" s="79"/>
      <c r="X427" s="130"/>
      <c r="Z427" s="106"/>
    </row>
    <row r="428">
      <c r="C428" s="79"/>
      <c r="D428" s="79"/>
      <c r="J428" s="79"/>
      <c r="P428" s="79"/>
      <c r="Q428" s="79"/>
      <c r="T428" s="79"/>
      <c r="U428" s="79"/>
      <c r="X428" s="130"/>
      <c r="Z428" s="106"/>
    </row>
    <row r="429">
      <c r="C429" s="79"/>
      <c r="D429" s="79"/>
      <c r="J429" s="79"/>
      <c r="P429" s="79"/>
      <c r="Q429" s="79"/>
      <c r="T429" s="79"/>
      <c r="U429" s="79"/>
      <c r="X429" s="130"/>
      <c r="Z429" s="106"/>
    </row>
    <row r="430">
      <c r="C430" s="79"/>
      <c r="D430" s="79"/>
      <c r="J430" s="79"/>
      <c r="P430" s="79"/>
      <c r="Q430" s="79"/>
      <c r="T430" s="79"/>
      <c r="U430" s="79"/>
      <c r="X430" s="130"/>
      <c r="Z430" s="106"/>
    </row>
    <row r="431">
      <c r="C431" s="79"/>
      <c r="D431" s="79"/>
      <c r="J431" s="79"/>
      <c r="P431" s="79"/>
      <c r="Q431" s="79"/>
      <c r="T431" s="79"/>
      <c r="U431" s="79"/>
      <c r="X431" s="130"/>
      <c r="Z431" s="106"/>
    </row>
    <row r="432">
      <c r="C432" s="79"/>
      <c r="D432" s="79"/>
      <c r="J432" s="79"/>
      <c r="P432" s="79"/>
      <c r="Q432" s="79"/>
      <c r="T432" s="79"/>
      <c r="U432" s="79"/>
      <c r="X432" s="130"/>
      <c r="Z432" s="106"/>
    </row>
    <row r="433">
      <c r="C433" s="79"/>
      <c r="D433" s="79"/>
      <c r="J433" s="79"/>
      <c r="P433" s="79"/>
      <c r="Q433" s="79"/>
      <c r="T433" s="79"/>
      <c r="U433" s="79"/>
      <c r="X433" s="130"/>
      <c r="Z433" s="106"/>
    </row>
    <row r="434">
      <c r="C434" s="79"/>
      <c r="D434" s="79"/>
      <c r="J434" s="79"/>
      <c r="P434" s="79"/>
      <c r="Q434" s="79"/>
      <c r="T434" s="79"/>
      <c r="U434" s="79"/>
      <c r="X434" s="130"/>
      <c r="Z434" s="106"/>
    </row>
    <row r="435">
      <c r="C435" s="79"/>
      <c r="D435" s="79"/>
      <c r="J435" s="79"/>
      <c r="P435" s="79"/>
      <c r="Q435" s="79"/>
      <c r="T435" s="79"/>
      <c r="U435" s="79"/>
      <c r="X435" s="130"/>
      <c r="Z435" s="106"/>
    </row>
    <row r="436">
      <c r="C436" s="79"/>
      <c r="D436" s="79"/>
      <c r="J436" s="79"/>
      <c r="P436" s="79"/>
      <c r="Q436" s="79"/>
      <c r="T436" s="79"/>
      <c r="U436" s="79"/>
      <c r="X436" s="130"/>
      <c r="Z436" s="106"/>
    </row>
    <row r="437">
      <c r="C437" s="79"/>
      <c r="D437" s="79"/>
      <c r="J437" s="79"/>
      <c r="P437" s="79"/>
      <c r="Q437" s="79"/>
      <c r="T437" s="79"/>
      <c r="U437" s="79"/>
      <c r="X437" s="130"/>
      <c r="Z437" s="106"/>
    </row>
    <row r="438">
      <c r="C438" s="79"/>
      <c r="D438" s="79"/>
      <c r="J438" s="79"/>
      <c r="P438" s="79"/>
      <c r="Q438" s="79"/>
      <c r="T438" s="79"/>
      <c r="U438" s="79"/>
      <c r="X438" s="130"/>
      <c r="Z438" s="106"/>
    </row>
    <row r="439">
      <c r="C439" s="79"/>
      <c r="D439" s="79"/>
      <c r="J439" s="79"/>
      <c r="P439" s="79"/>
      <c r="Q439" s="79"/>
      <c r="T439" s="79"/>
      <c r="U439" s="79"/>
      <c r="X439" s="130"/>
      <c r="Z439" s="106"/>
    </row>
    <row r="440">
      <c r="C440" s="79"/>
      <c r="D440" s="79"/>
      <c r="J440" s="79"/>
      <c r="P440" s="79"/>
      <c r="Q440" s="79"/>
      <c r="T440" s="79"/>
      <c r="U440" s="79"/>
      <c r="X440" s="130"/>
      <c r="Z440" s="106"/>
    </row>
    <row r="441">
      <c r="C441" s="79"/>
      <c r="D441" s="79"/>
      <c r="J441" s="79"/>
      <c r="P441" s="79"/>
      <c r="Q441" s="79"/>
      <c r="T441" s="79"/>
      <c r="U441" s="79"/>
      <c r="X441" s="130"/>
      <c r="Z441" s="106"/>
    </row>
    <row r="442">
      <c r="C442" s="79"/>
      <c r="D442" s="79"/>
      <c r="J442" s="79"/>
      <c r="P442" s="79"/>
      <c r="Q442" s="79"/>
      <c r="T442" s="79"/>
      <c r="U442" s="79"/>
      <c r="X442" s="130"/>
      <c r="Z442" s="106"/>
    </row>
    <row r="443">
      <c r="C443" s="79"/>
      <c r="D443" s="79"/>
      <c r="J443" s="79"/>
      <c r="P443" s="79"/>
      <c r="Q443" s="79"/>
      <c r="T443" s="79"/>
      <c r="U443" s="79"/>
      <c r="X443" s="130"/>
      <c r="Z443" s="106"/>
    </row>
    <row r="444">
      <c r="C444" s="79"/>
      <c r="D444" s="79"/>
      <c r="J444" s="79"/>
      <c r="P444" s="79"/>
      <c r="Q444" s="79"/>
      <c r="T444" s="79"/>
      <c r="U444" s="79"/>
      <c r="X444" s="130"/>
      <c r="Z444" s="106"/>
    </row>
    <row r="445">
      <c r="C445" s="79"/>
      <c r="D445" s="79"/>
      <c r="J445" s="79"/>
      <c r="P445" s="79"/>
      <c r="Q445" s="79"/>
      <c r="T445" s="79"/>
      <c r="U445" s="79"/>
      <c r="X445" s="130"/>
      <c r="Z445" s="106"/>
    </row>
    <row r="446">
      <c r="C446" s="79"/>
      <c r="D446" s="79"/>
      <c r="J446" s="79"/>
      <c r="P446" s="79"/>
      <c r="Q446" s="79"/>
      <c r="T446" s="79"/>
      <c r="U446" s="79"/>
      <c r="X446" s="130"/>
      <c r="Z446" s="106"/>
    </row>
    <row r="447">
      <c r="C447" s="79"/>
      <c r="D447" s="79"/>
      <c r="J447" s="79"/>
      <c r="P447" s="79"/>
      <c r="Q447" s="79"/>
      <c r="T447" s="79"/>
      <c r="U447" s="79"/>
      <c r="X447" s="130"/>
      <c r="Z447" s="106"/>
    </row>
    <row r="448">
      <c r="C448" s="79"/>
      <c r="D448" s="79"/>
      <c r="J448" s="79"/>
      <c r="P448" s="79"/>
      <c r="Q448" s="79"/>
      <c r="T448" s="79"/>
      <c r="U448" s="79"/>
      <c r="X448" s="130"/>
      <c r="Z448" s="106"/>
    </row>
    <row r="449">
      <c r="C449" s="79"/>
      <c r="D449" s="79"/>
      <c r="J449" s="79"/>
      <c r="P449" s="79"/>
      <c r="Q449" s="79"/>
      <c r="T449" s="79"/>
      <c r="U449" s="79"/>
      <c r="X449" s="130"/>
      <c r="Z449" s="106"/>
    </row>
    <row r="450">
      <c r="C450" s="79"/>
      <c r="D450" s="79"/>
      <c r="J450" s="79"/>
      <c r="P450" s="79"/>
      <c r="Q450" s="79"/>
      <c r="T450" s="79"/>
      <c r="U450" s="79"/>
      <c r="X450" s="130"/>
      <c r="Z450" s="106"/>
    </row>
    <row r="451">
      <c r="C451" s="79"/>
      <c r="D451" s="79"/>
      <c r="J451" s="79"/>
      <c r="P451" s="79"/>
      <c r="Q451" s="79"/>
      <c r="T451" s="79"/>
      <c r="U451" s="79"/>
      <c r="X451" s="130"/>
      <c r="Z451" s="106"/>
    </row>
    <row r="452">
      <c r="C452" s="79"/>
      <c r="D452" s="79"/>
      <c r="J452" s="79"/>
      <c r="P452" s="79"/>
      <c r="Q452" s="79"/>
      <c r="T452" s="79"/>
      <c r="U452" s="79"/>
      <c r="X452" s="130"/>
      <c r="Z452" s="106"/>
    </row>
    <row r="453">
      <c r="C453" s="79"/>
      <c r="D453" s="79"/>
      <c r="J453" s="79"/>
      <c r="P453" s="79"/>
      <c r="Q453" s="79"/>
      <c r="T453" s="79"/>
      <c r="U453" s="79"/>
      <c r="X453" s="130"/>
      <c r="Z453" s="106"/>
    </row>
    <row r="454">
      <c r="C454" s="79"/>
      <c r="D454" s="79"/>
      <c r="J454" s="79"/>
      <c r="P454" s="79"/>
      <c r="Q454" s="79"/>
      <c r="T454" s="79"/>
      <c r="U454" s="79"/>
      <c r="X454" s="130"/>
      <c r="Z454" s="106"/>
    </row>
    <row r="455">
      <c r="C455" s="79"/>
      <c r="D455" s="79"/>
      <c r="J455" s="79"/>
      <c r="P455" s="79"/>
      <c r="Q455" s="79"/>
      <c r="T455" s="79"/>
      <c r="U455" s="79"/>
      <c r="X455" s="130"/>
      <c r="Z455" s="106"/>
    </row>
    <row r="456">
      <c r="C456" s="79"/>
      <c r="D456" s="79"/>
      <c r="J456" s="79"/>
      <c r="P456" s="79"/>
      <c r="Q456" s="79"/>
      <c r="T456" s="79"/>
      <c r="U456" s="79"/>
      <c r="X456" s="130"/>
      <c r="Z456" s="106"/>
    </row>
    <row r="457">
      <c r="C457" s="79"/>
      <c r="D457" s="79"/>
      <c r="J457" s="79"/>
      <c r="P457" s="79"/>
      <c r="Q457" s="79"/>
      <c r="T457" s="79"/>
      <c r="U457" s="79"/>
      <c r="X457" s="130"/>
      <c r="Z457" s="106"/>
    </row>
    <row r="458">
      <c r="C458" s="79"/>
      <c r="D458" s="79"/>
      <c r="J458" s="79"/>
      <c r="P458" s="79"/>
      <c r="Q458" s="79"/>
      <c r="T458" s="79"/>
      <c r="U458" s="79"/>
      <c r="X458" s="130"/>
      <c r="Z458" s="106"/>
    </row>
    <row r="459">
      <c r="C459" s="79"/>
      <c r="D459" s="79"/>
      <c r="J459" s="79"/>
      <c r="P459" s="79"/>
      <c r="Q459" s="79"/>
      <c r="T459" s="79"/>
      <c r="U459" s="79"/>
      <c r="X459" s="130"/>
      <c r="Z459" s="106"/>
    </row>
    <row r="460">
      <c r="C460" s="79"/>
      <c r="D460" s="79"/>
      <c r="J460" s="79"/>
      <c r="P460" s="79"/>
      <c r="Q460" s="79"/>
      <c r="T460" s="79"/>
      <c r="U460" s="79"/>
      <c r="X460" s="130"/>
      <c r="Z460" s="106"/>
    </row>
    <row r="461">
      <c r="C461" s="79"/>
      <c r="D461" s="79"/>
      <c r="J461" s="79"/>
      <c r="P461" s="79"/>
      <c r="Q461" s="79"/>
      <c r="T461" s="79"/>
      <c r="U461" s="79"/>
      <c r="X461" s="130"/>
      <c r="Z461" s="106"/>
    </row>
    <row r="462">
      <c r="C462" s="79"/>
      <c r="D462" s="79"/>
      <c r="J462" s="79"/>
      <c r="P462" s="79"/>
      <c r="Q462" s="79"/>
      <c r="T462" s="79"/>
      <c r="U462" s="79"/>
      <c r="X462" s="130"/>
      <c r="Z462" s="106"/>
    </row>
    <row r="463">
      <c r="C463" s="79"/>
      <c r="D463" s="79"/>
      <c r="J463" s="79"/>
      <c r="P463" s="79"/>
      <c r="Q463" s="79"/>
      <c r="T463" s="79"/>
      <c r="U463" s="79"/>
      <c r="X463" s="130"/>
      <c r="Z463" s="106"/>
    </row>
    <row r="464">
      <c r="C464" s="79"/>
      <c r="D464" s="79"/>
      <c r="J464" s="79"/>
      <c r="P464" s="79"/>
      <c r="Q464" s="79"/>
      <c r="T464" s="79"/>
      <c r="U464" s="79"/>
      <c r="X464" s="130"/>
      <c r="Z464" s="106"/>
    </row>
    <row r="465">
      <c r="C465" s="79"/>
      <c r="D465" s="79"/>
      <c r="J465" s="79"/>
      <c r="P465" s="79"/>
      <c r="Q465" s="79"/>
      <c r="T465" s="79"/>
      <c r="U465" s="79"/>
      <c r="X465" s="130"/>
      <c r="Z465" s="106"/>
    </row>
    <row r="466">
      <c r="C466" s="79"/>
      <c r="D466" s="79"/>
      <c r="J466" s="79"/>
      <c r="P466" s="79"/>
      <c r="Q466" s="79"/>
      <c r="T466" s="79"/>
      <c r="U466" s="79"/>
      <c r="X466" s="130"/>
      <c r="Z466" s="106"/>
    </row>
    <row r="467">
      <c r="C467" s="79"/>
      <c r="D467" s="79"/>
      <c r="J467" s="79"/>
      <c r="P467" s="79"/>
      <c r="Q467" s="79"/>
      <c r="T467" s="79"/>
      <c r="U467" s="79"/>
      <c r="X467" s="130"/>
      <c r="Z467" s="106"/>
    </row>
    <row r="468">
      <c r="C468" s="79"/>
      <c r="D468" s="79"/>
      <c r="J468" s="79"/>
      <c r="P468" s="79"/>
      <c r="Q468" s="79"/>
      <c r="T468" s="79"/>
      <c r="U468" s="79"/>
      <c r="X468" s="130"/>
      <c r="Z468" s="106"/>
    </row>
    <row r="469">
      <c r="C469" s="79"/>
      <c r="D469" s="79"/>
      <c r="J469" s="79"/>
      <c r="P469" s="79"/>
      <c r="Q469" s="79"/>
      <c r="T469" s="79"/>
      <c r="U469" s="79"/>
      <c r="X469" s="130"/>
      <c r="Z469" s="106"/>
    </row>
    <row r="470">
      <c r="C470" s="79"/>
      <c r="D470" s="79"/>
      <c r="J470" s="79"/>
      <c r="P470" s="79"/>
      <c r="Q470" s="79"/>
      <c r="T470" s="79"/>
      <c r="U470" s="79"/>
      <c r="X470" s="130"/>
      <c r="Z470" s="106"/>
    </row>
    <row r="471">
      <c r="C471" s="79"/>
      <c r="D471" s="79"/>
      <c r="J471" s="79"/>
      <c r="P471" s="79"/>
      <c r="Q471" s="79"/>
      <c r="T471" s="79"/>
      <c r="U471" s="79"/>
      <c r="X471" s="130"/>
      <c r="Z471" s="106"/>
    </row>
    <row r="472">
      <c r="C472" s="79"/>
      <c r="D472" s="79"/>
      <c r="J472" s="79"/>
      <c r="P472" s="79"/>
      <c r="Q472" s="79"/>
      <c r="T472" s="79"/>
      <c r="U472" s="79"/>
      <c r="X472" s="130"/>
      <c r="Z472" s="106"/>
    </row>
    <row r="473">
      <c r="C473" s="79"/>
      <c r="D473" s="79"/>
      <c r="J473" s="79"/>
      <c r="P473" s="79"/>
      <c r="Q473" s="79"/>
      <c r="T473" s="79"/>
      <c r="U473" s="79"/>
      <c r="X473" s="130"/>
      <c r="Z473" s="106"/>
    </row>
    <row r="474">
      <c r="C474" s="79"/>
      <c r="D474" s="79"/>
      <c r="J474" s="79"/>
      <c r="P474" s="79"/>
      <c r="Q474" s="79"/>
      <c r="T474" s="79"/>
      <c r="U474" s="79"/>
      <c r="X474" s="130"/>
      <c r="Z474" s="106"/>
    </row>
    <row r="475">
      <c r="C475" s="79"/>
      <c r="D475" s="79"/>
      <c r="J475" s="79"/>
      <c r="P475" s="79"/>
      <c r="Q475" s="79"/>
      <c r="T475" s="79"/>
      <c r="U475" s="79"/>
      <c r="X475" s="130"/>
      <c r="Z475" s="106"/>
    </row>
    <row r="476">
      <c r="C476" s="79"/>
      <c r="D476" s="79"/>
      <c r="J476" s="79"/>
      <c r="P476" s="79"/>
      <c r="Q476" s="79"/>
      <c r="T476" s="79"/>
      <c r="U476" s="79"/>
      <c r="X476" s="130"/>
      <c r="Z476" s="106"/>
    </row>
    <row r="477">
      <c r="C477" s="79"/>
      <c r="D477" s="79"/>
      <c r="J477" s="79"/>
      <c r="P477" s="79"/>
      <c r="Q477" s="79"/>
      <c r="T477" s="79"/>
      <c r="U477" s="79"/>
      <c r="X477" s="130"/>
      <c r="Z477" s="106"/>
    </row>
    <row r="478">
      <c r="C478" s="79"/>
      <c r="D478" s="79"/>
      <c r="J478" s="79"/>
      <c r="P478" s="79"/>
      <c r="Q478" s="79"/>
      <c r="T478" s="79"/>
      <c r="U478" s="79"/>
      <c r="X478" s="130"/>
      <c r="Z478" s="106"/>
    </row>
    <row r="479">
      <c r="C479" s="79"/>
      <c r="D479" s="79"/>
      <c r="J479" s="79"/>
      <c r="P479" s="79"/>
      <c r="Q479" s="79"/>
      <c r="T479" s="79"/>
      <c r="U479" s="79"/>
      <c r="X479" s="130"/>
      <c r="Z479" s="106"/>
    </row>
    <row r="480">
      <c r="C480" s="79"/>
      <c r="D480" s="79"/>
      <c r="J480" s="79"/>
      <c r="P480" s="79"/>
      <c r="Q480" s="79"/>
      <c r="T480" s="79"/>
      <c r="U480" s="79"/>
      <c r="X480" s="130"/>
      <c r="Z480" s="106"/>
    </row>
    <row r="481">
      <c r="C481" s="79"/>
      <c r="D481" s="79"/>
      <c r="J481" s="79"/>
      <c r="P481" s="79"/>
      <c r="Q481" s="79"/>
      <c r="T481" s="79"/>
      <c r="U481" s="79"/>
      <c r="X481" s="130"/>
      <c r="Z481" s="106"/>
    </row>
    <row r="482">
      <c r="C482" s="79"/>
      <c r="D482" s="79"/>
      <c r="J482" s="79"/>
      <c r="P482" s="79"/>
      <c r="Q482" s="79"/>
      <c r="T482" s="79"/>
      <c r="U482" s="79"/>
      <c r="X482" s="130"/>
      <c r="Z482" s="106"/>
    </row>
    <row r="483">
      <c r="C483" s="79"/>
      <c r="D483" s="79"/>
      <c r="J483" s="79"/>
      <c r="P483" s="79"/>
      <c r="Q483" s="79"/>
      <c r="T483" s="79"/>
      <c r="U483" s="79"/>
      <c r="X483" s="130"/>
      <c r="Z483" s="106"/>
    </row>
    <row r="484">
      <c r="C484" s="79"/>
      <c r="D484" s="79"/>
      <c r="J484" s="79"/>
      <c r="P484" s="79"/>
      <c r="Q484" s="79"/>
      <c r="T484" s="79"/>
      <c r="U484" s="79"/>
      <c r="X484" s="130"/>
      <c r="Z484" s="106"/>
    </row>
    <row r="485">
      <c r="C485" s="79"/>
      <c r="D485" s="79"/>
      <c r="J485" s="79"/>
      <c r="P485" s="79"/>
      <c r="Q485" s="79"/>
      <c r="T485" s="79"/>
      <c r="U485" s="79"/>
      <c r="X485" s="130"/>
      <c r="Z485" s="106"/>
    </row>
    <row r="486">
      <c r="C486" s="79"/>
      <c r="D486" s="79"/>
      <c r="J486" s="79"/>
      <c r="P486" s="79"/>
      <c r="Q486" s="79"/>
      <c r="T486" s="79"/>
      <c r="U486" s="79"/>
      <c r="X486" s="130"/>
      <c r="Z486" s="106"/>
    </row>
    <row r="487">
      <c r="C487" s="79"/>
      <c r="D487" s="79"/>
      <c r="J487" s="79"/>
      <c r="P487" s="79"/>
      <c r="Q487" s="79"/>
      <c r="T487" s="79"/>
      <c r="U487" s="79"/>
      <c r="X487" s="130"/>
      <c r="Z487" s="106"/>
    </row>
    <row r="488">
      <c r="C488" s="79"/>
      <c r="D488" s="79"/>
      <c r="J488" s="79"/>
      <c r="P488" s="79"/>
      <c r="Q488" s="79"/>
      <c r="T488" s="79"/>
      <c r="U488" s="79"/>
      <c r="X488" s="130"/>
      <c r="Z488" s="106"/>
    </row>
    <row r="489">
      <c r="C489" s="79"/>
      <c r="D489" s="79"/>
      <c r="J489" s="79"/>
      <c r="P489" s="79"/>
      <c r="Q489" s="79"/>
      <c r="T489" s="79"/>
      <c r="U489" s="79"/>
      <c r="X489" s="130"/>
      <c r="Z489" s="106"/>
    </row>
    <row r="490">
      <c r="C490" s="79"/>
      <c r="D490" s="79"/>
      <c r="J490" s="79"/>
      <c r="P490" s="79"/>
      <c r="Q490" s="79"/>
      <c r="T490" s="79"/>
      <c r="U490" s="79"/>
      <c r="X490" s="130"/>
      <c r="Z490" s="106"/>
    </row>
    <row r="491">
      <c r="C491" s="79"/>
      <c r="D491" s="79"/>
      <c r="J491" s="79"/>
      <c r="P491" s="79"/>
      <c r="Q491" s="79"/>
      <c r="T491" s="79"/>
      <c r="U491" s="79"/>
      <c r="X491" s="130"/>
      <c r="Z491" s="106"/>
    </row>
    <row r="492">
      <c r="C492" s="79"/>
      <c r="D492" s="79"/>
      <c r="J492" s="79"/>
      <c r="P492" s="79"/>
      <c r="Q492" s="79"/>
      <c r="T492" s="79"/>
      <c r="U492" s="79"/>
      <c r="X492" s="130"/>
      <c r="Z492" s="106"/>
    </row>
    <row r="493">
      <c r="C493" s="79"/>
      <c r="D493" s="79"/>
      <c r="J493" s="79"/>
      <c r="P493" s="79"/>
      <c r="Q493" s="79"/>
      <c r="T493" s="79"/>
      <c r="U493" s="79"/>
      <c r="X493" s="130"/>
      <c r="Z493" s="106"/>
    </row>
    <row r="494">
      <c r="C494" s="79"/>
      <c r="D494" s="79"/>
      <c r="J494" s="79"/>
      <c r="P494" s="79"/>
      <c r="Q494" s="79"/>
      <c r="T494" s="79"/>
      <c r="U494" s="79"/>
      <c r="X494" s="130"/>
      <c r="Z494" s="106"/>
    </row>
    <row r="495">
      <c r="C495" s="79"/>
      <c r="D495" s="79"/>
      <c r="J495" s="79"/>
      <c r="P495" s="79"/>
      <c r="Q495" s="79"/>
      <c r="T495" s="79"/>
      <c r="U495" s="79"/>
      <c r="X495" s="130"/>
      <c r="Z495" s="106"/>
    </row>
    <row r="496">
      <c r="C496" s="79"/>
      <c r="D496" s="79"/>
      <c r="J496" s="79"/>
      <c r="P496" s="79"/>
      <c r="Q496" s="79"/>
      <c r="T496" s="79"/>
      <c r="U496" s="79"/>
      <c r="X496" s="130"/>
      <c r="Z496" s="106"/>
    </row>
    <row r="497">
      <c r="C497" s="79"/>
      <c r="D497" s="79"/>
      <c r="J497" s="79"/>
      <c r="P497" s="79"/>
      <c r="Q497" s="79"/>
      <c r="T497" s="79"/>
      <c r="U497" s="79"/>
      <c r="X497" s="130"/>
      <c r="Z497" s="106"/>
    </row>
    <row r="498">
      <c r="C498" s="79"/>
      <c r="D498" s="79"/>
      <c r="J498" s="79"/>
      <c r="P498" s="79"/>
      <c r="Q498" s="79"/>
      <c r="T498" s="79"/>
      <c r="U498" s="79"/>
      <c r="X498" s="130"/>
      <c r="Z498" s="106"/>
    </row>
    <row r="499">
      <c r="C499" s="79"/>
      <c r="D499" s="79"/>
      <c r="J499" s="79"/>
      <c r="P499" s="79"/>
      <c r="Q499" s="79"/>
      <c r="T499" s="79"/>
      <c r="U499" s="79"/>
      <c r="X499" s="130"/>
      <c r="Z499" s="106"/>
    </row>
    <row r="500">
      <c r="C500" s="79"/>
      <c r="D500" s="79"/>
      <c r="J500" s="79"/>
      <c r="P500" s="79"/>
      <c r="Q500" s="79"/>
      <c r="T500" s="79"/>
      <c r="U500" s="79"/>
      <c r="X500" s="130"/>
      <c r="Z500" s="106"/>
    </row>
    <row r="501">
      <c r="C501" s="79"/>
      <c r="D501" s="79"/>
      <c r="J501" s="79"/>
      <c r="P501" s="79"/>
      <c r="Q501" s="79"/>
      <c r="T501" s="79"/>
      <c r="U501" s="79"/>
      <c r="X501" s="130"/>
      <c r="Z501" s="106"/>
    </row>
    <row r="502">
      <c r="C502" s="79"/>
      <c r="D502" s="79"/>
      <c r="J502" s="79"/>
      <c r="P502" s="79"/>
      <c r="Q502" s="79"/>
      <c r="T502" s="79"/>
      <c r="U502" s="79"/>
      <c r="X502" s="130"/>
      <c r="Z502" s="106"/>
    </row>
    <row r="503">
      <c r="C503" s="79"/>
      <c r="D503" s="79"/>
      <c r="J503" s="79"/>
      <c r="P503" s="79"/>
      <c r="Q503" s="79"/>
      <c r="T503" s="79"/>
      <c r="U503" s="79"/>
      <c r="X503" s="130"/>
      <c r="Z503" s="106"/>
    </row>
    <row r="504">
      <c r="C504" s="79"/>
      <c r="D504" s="79"/>
      <c r="J504" s="79"/>
      <c r="P504" s="79"/>
      <c r="Q504" s="79"/>
      <c r="T504" s="79"/>
      <c r="U504" s="79"/>
      <c r="X504" s="130"/>
      <c r="Z504" s="106"/>
    </row>
    <row r="505">
      <c r="C505" s="79"/>
      <c r="D505" s="79"/>
      <c r="J505" s="79"/>
      <c r="P505" s="79"/>
      <c r="Q505" s="79"/>
      <c r="T505" s="79"/>
      <c r="U505" s="79"/>
      <c r="X505" s="130"/>
      <c r="Z505" s="106"/>
    </row>
    <row r="506">
      <c r="C506" s="79"/>
      <c r="D506" s="79"/>
      <c r="J506" s="79"/>
      <c r="P506" s="79"/>
      <c r="Q506" s="79"/>
      <c r="T506" s="79"/>
      <c r="U506" s="79"/>
      <c r="X506" s="130"/>
      <c r="Z506" s="106"/>
    </row>
    <row r="507">
      <c r="C507" s="79"/>
      <c r="D507" s="79"/>
      <c r="J507" s="79"/>
      <c r="P507" s="79"/>
      <c r="Q507" s="79"/>
      <c r="T507" s="79"/>
      <c r="U507" s="79"/>
      <c r="X507" s="130"/>
      <c r="Z507" s="106"/>
    </row>
    <row r="508">
      <c r="C508" s="79"/>
      <c r="D508" s="79"/>
      <c r="J508" s="79"/>
      <c r="P508" s="79"/>
      <c r="Q508" s="79"/>
      <c r="T508" s="79"/>
      <c r="U508" s="79"/>
      <c r="X508" s="130"/>
      <c r="Z508" s="106"/>
    </row>
    <row r="509">
      <c r="C509" s="79"/>
      <c r="D509" s="79"/>
      <c r="J509" s="79"/>
      <c r="P509" s="79"/>
      <c r="Q509" s="79"/>
      <c r="T509" s="79"/>
      <c r="U509" s="79"/>
      <c r="X509" s="130"/>
      <c r="Z509" s="106"/>
    </row>
    <row r="510">
      <c r="C510" s="79"/>
      <c r="D510" s="79"/>
      <c r="J510" s="79"/>
      <c r="P510" s="79"/>
      <c r="Q510" s="79"/>
      <c r="T510" s="79"/>
      <c r="U510" s="79"/>
      <c r="X510" s="130"/>
      <c r="Z510" s="106"/>
    </row>
    <row r="511">
      <c r="C511" s="79"/>
      <c r="D511" s="79"/>
      <c r="J511" s="79"/>
      <c r="P511" s="79"/>
      <c r="Q511" s="79"/>
      <c r="T511" s="79"/>
      <c r="U511" s="79"/>
      <c r="X511" s="130"/>
      <c r="Z511" s="106"/>
    </row>
    <row r="512">
      <c r="C512" s="79"/>
      <c r="D512" s="79"/>
      <c r="J512" s="79"/>
      <c r="P512" s="79"/>
      <c r="Q512" s="79"/>
      <c r="T512" s="79"/>
      <c r="U512" s="79"/>
      <c r="X512" s="130"/>
      <c r="Z512" s="106"/>
    </row>
    <row r="513">
      <c r="C513" s="79"/>
      <c r="D513" s="79"/>
      <c r="J513" s="79"/>
      <c r="P513" s="79"/>
      <c r="Q513" s="79"/>
      <c r="T513" s="79"/>
      <c r="U513" s="79"/>
      <c r="X513" s="130"/>
      <c r="Z513" s="106"/>
    </row>
    <row r="514">
      <c r="C514" s="79"/>
      <c r="D514" s="79"/>
      <c r="J514" s="79"/>
      <c r="P514" s="79"/>
      <c r="Q514" s="79"/>
      <c r="T514" s="79"/>
      <c r="U514" s="79"/>
      <c r="X514" s="130"/>
      <c r="Z514" s="106"/>
    </row>
    <row r="515">
      <c r="C515" s="79"/>
      <c r="D515" s="79"/>
      <c r="J515" s="79"/>
      <c r="P515" s="79"/>
      <c r="Q515" s="79"/>
      <c r="T515" s="79"/>
      <c r="U515" s="79"/>
      <c r="X515" s="130"/>
      <c r="Z515" s="106"/>
    </row>
    <row r="516">
      <c r="C516" s="79"/>
      <c r="D516" s="79"/>
      <c r="J516" s="79"/>
      <c r="P516" s="79"/>
      <c r="Q516" s="79"/>
      <c r="T516" s="79"/>
      <c r="U516" s="79"/>
      <c r="X516" s="130"/>
      <c r="Z516" s="106"/>
    </row>
    <row r="517">
      <c r="C517" s="79"/>
      <c r="D517" s="79"/>
      <c r="J517" s="79"/>
      <c r="P517" s="79"/>
      <c r="Q517" s="79"/>
      <c r="T517" s="79"/>
      <c r="U517" s="79"/>
      <c r="X517" s="130"/>
      <c r="Z517" s="106"/>
    </row>
    <row r="518">
      <c r="C518" s="79"/>
      <c r="D518" s="79"/>
      <c r="J518" s="79"/>
      <c r="P518" s="79"/>
      <c r="Q518" s="79"/>
      <c r="T518" s="79"/>
      <c r="U518" s="79"/>
      <c r="X518" s="130"/>
      <c r="Z518" s="106"/>
    </row>
    <row r="519">
      <c r="C519" s="79"/>
      <c r="D519" s="79"/>
      <c r="J519" s="79"/>
      <c r="P519" s="79"/>
      <c r="Q519" s="79"/>
      <c r="T519" s="79"/>
      <c r="U519" s="79"/>
      <c r="X519" s="130"/>
      <c r="Z519" s="106"/>
    </row>
    <row r="520">
      <c r="C520" s="79"/>
      <c r="D520" s="79"/>
      <c r="J520" s="79"/>
      <c r="P520" s="79"/>
      <c r="Q520" s="79"/>
      <c r="T520" s="79"/>
      <c r="U520" s="79"/>
      <c r="X520" s="130"/>
      <c r="Z520" s="106"/>
    </row>
    <row r="521">
      <c r="C521" s="79"/>
      <c r="D521" s="79"/>
      <c r="J521" s="79"/>
      <c r="P521" s="79"/>
      <c r="Q521" s="79"/>
      <c r="T521" s="79"/>
      <c r="U521" s="79"/>
      <c r="X521" s="130"/>
      <c r="Z521" s="106"/>
    </row>
    <row r="522">
      <c r="C522" s="79"/>
      <c r="D522" s="79"/>
      <c r="J522" s="79"/>
      <c r="P522" s="79"/>
      <c r="Q522" s="79"/>
      <c r="T522" s="79"/>
      <c r="U522" s="79"/>
      <c r="X522" s="130"/>
      <c r="Z522" s="106"/>
    </row>
    <row r="523">
      <c r="C523" s="79"/>
      <c r="D523" s="79"/>
      <c r="J523" s="79"/>
      <c r="P523" s="79"/>
      <c r="Q523" s="79"/>
      <c r="T523" s="79"/>
      <c r="U523" s="79"/>
      <c r="X523" s="130"/>
      <c r="Z523" s="106"/>
    </row>
    <row r="524">
      <c r="C524" s="79"/>
      <c r="D524" s="79"/>
      <c r="J524" s="79"/>
      <c r="P524" s="79"/>
      <c r="Q524" s="79"/>
      <c r="T524" s="79"/>
      <c r="U524" s="79"/>
      <c r="X524" s="130"/>
      <c r="Z524" s="106"/>
    </row>
    <row r="525">
      <c r="C525" s="79"/>
      <c r="D525" s="79"/>
      <c r="J525" s="79"/>
      <c r="P525" s="79"/>
      <c r="Q525" s="79"/>
      <c r="T525" s="79"/>
      <c r="U525" s="79"/>
      <c r="X525" s="130"/>
      <c r="Z525" s="106"/>
    </row>
    <row r="526">
      <c r="C526" s="79"/>
      <c r="D526" s="79"/>
      <c r="J526" s="79"/>
      <c r="P526" s="79"/>
      <c r="Q526" s="79"/>
      <c r="T526" s="79"/>
      <c r="U526" s="79"/>
      <c r="X526" s="130"/>
      <c r="Z526" s="106"/>
    </row>
    <row r="527">
      <c r="C527" s="79"/>
      <c r="D527" s="79"/>
      <c r="J527" s="79"/>
      <c r="P527" s="79"/>
      <c r="Q527" s="79"/>
      <c r="T527" s="79"/>
      <c r="U527" s="79"/>
      <c r="X527" s="130"/>
      <c r="Z527" s="106"/>
    </row>
    <row r="528">
      <c r="C528" s="79"/>
      <c r="D528" s="79"/>
      <c r="J528" s="79"/>
      <c r="P528" s="79"/>
      <c r="Q528" s="79"/>
      <c r="T528" s="79"/>
      <c r="U528" s="79"/>
      <c r="X528" s="130"/>
      <c r="Z528" s="106"/>
    </row>
    <row r="529">
      <c r="C529" s="79"/>
      <c r="D529" s="79"/>
      <c r="J529" s="79"/>
      <c r="P529" s="79"/>
      <c r="Q529" s="79"/>
      <c r="T529" s="79"/>
      <c r="U529" s="79"/>
      <c r="X529" s="130"/>
      <c r="Z529" s="106"/>
    </row>
    <row r="530">
      <c r="C530" s="79"/>
      <c r="D530" s="79"/>
      <c r="J530" s="79"/>
      <c r="P530" s="79"/>
      <c r="Q530" s="79"/>
      <c r="T530" s="79"/>
      <c r="U530" s="79"/>
      <c r="X530" s="130"/>
      <c r="Z530" s="106"/>
    </row>
    <row r="531">
      <c r="C531" s="79"/>
      <c r="D531" s="79"/>
      <c r="J531" s="79"/>
      <c r="P531" s="79"/>
      <c r="Q531" s="79"/>
      <c r="T531" s="79"/>
      <c r="U531" s="79"/>
      <c r="X531" s="130"/>
      <c r="Z531" s="106"/>
    </row>
    <row r="532">
      <c r="C532" s="79"/>
      <c r="D532" s="79"/>
      <c r="J532" s="79"/>
      <c r="P532" s="79"/>
      <c r="Q532" s="79"/>
      <c r="T532" s="79"/>
      <c r="U532" s="79"/>
      <c r="X532" s="130"/>
      <c r="Z532" s="106"/>
    </row>
    <row r="533">
      <c r="C533" s="79"/>
      <c r="D533" s="79"/>
      <c r="J533" s="79"/>
      <c r="P533" s="79"/>
      <c r="Q533" s="79"/>
      <c r="T533" s="79"/>
      <c r="U533" s="79"/>
      <c r="X533" s="130"/>
      <c r="Z533" s="106"/>
    </row>
    <row r="534">
      <c r="C534" s="79"/>
      <c r="D534" s="79"/>
      <c r="J534" s="79"/>
      <c r="P534" s="79"/>
      <c r="Q534" s="79"/>
      <c r="T534" s="79"/>
      <c r="U534" s="79"/>
      <c r="X534" s="130"/>
      <c r="Z534" s="106"/>
    </row>
    <row r="535">
      <c r="C535" s="79"/>
      <c r="D535" s="79"/>
      <c r="J535" s="79"/>
      <c r="P535" s="79"/>
      <c r="Q535" s="79"/>
      <c r="T535" s="79"/>
      <c r="U535" s="79"/>
      <c r="X535" s="130"/>
      <c r="Z535" s="106"/>
    </row>
    <row r="536">
      <c r="C536" s="79"/>
      <c r="D536" s="79"/>
      <c r="J536" s="79"/>
      <c r="P536" s="79"/>
      <c r="Q536" s="79"/>
      <c r="T536" s="79"/>
      <c r="U536" s="79"/>
      <c r="X536" s="130"/>
      <c r="Z536" s="106"/>
    </row>
    <row r="537">
      <c r="C537" s="79"/>
      <c r="D537" s="79"/>
      <c r="J537" s="79"/>
      <c r="P537" s="79"/>
      <c r="Q537" s="79"/>
      <c r="T537" s="79"/>
      <c r="U537" s="79"/>
      <c r="X537" s="130"/>
      <c r="Z537" s="106"/>
    </row>
    <row r="538">
      <c r="C538" s="79"/>
      <c r="D538" s="79"/>
      <c r="J538" s="79"/>
      <c r="P538" s="79"/>
      <c r="Q538" s="79"/>
      <c r="T538" s="79"/>
      <c r="U538" s="79"/>
      <c r="X538" s="130"/>
      <c r="Z538" s="106"/>
    </row>
    <row r="539">
      <c r="C539" s="79"/>
      <c r="D539" s="79"/>
      <c r="J539" s="79"/>
      <c r="P539" s="79"/>
      <c r="Q539" s="79"/>
      <c r="T539" s="79"/>
      <c r="U539" s="79"/>
      <c r="X539" s="130"/>
      <c r="Z539" s="106"/>
    </row>
    <row r="540">
      <c r="C540" s="79"/>
      <c r="D540" s="79"/>
      <c r="J540" s="79"/>
      <c r="P540" s="79"/>
      <c r="Q540" s="79"/>
      <c r="T540" s="79"/>
      <c r="U540" s="79"/>
      <c r="X540" s="130"/>
      <c r="Z540" s="106"/>
    </row>
    <row r="541">
      <c r="C541" s="79"/>
      <c r="D541" s="79"/>
      <c r="J541" s="79"/>
      <c r="P541" s="79"/>
      <c r="Q541" s="79"/>
      <c r="T541" s="79"/>
      <c r="U541" s="79"/>
      <c r="X541" s="130"/>
      <c r="Z541" s="106"/>
    </row>
    <row r="542">
      <c r="C542" s="79"/>
      <c r="D542" s="79"/>
      <c r="J542" s="79"/>
      <c r="P542" s="79"/>
      <c r="Q542" s="79"/>
      <c r="T542" s="79"/>
      <c r="U542" s="79"/>
      <c r="X542" s="130"/>
      <c r="Z542" s="106"/>
    </row>
    <row r="543">
      <c r="C543" s="79"/>
      <c r="D543" s="79"/>
      <c r="J543" s="79"/>
      <c r="P543" s="79"/>
      <c r="Q543" s="79"/>
      <c r="T543" s="79"/>
      <c r="U543" s="79"/>
      <c r="X543" s="130"/>
      <c r="Z543" s="106"/>
    </row>
    <row r="544">
      <c r="C544" s="79"/>
      <c r="D544" s="79"/>
      <c r="J544" s="79"/>
      <c r="P544" s="79"/>
      <c r="Q544" s="79"/>
      <c r="T544" s="79"/>
      <c r="U544" s="79"/>
      <c r="X544" s="130"/>
      <c r="Z544" s="106"/>
    </row>
    <row r="545">
      <c r="C545" s="79"/>
      <c r="D545" s="79"/>
      <c r="J545" s="79"/>
      <c r="P545" s="79"/>
      <c r="Q545" s="79"/>
      <c r="T545" s="79"/>
      <c r="U545" s="79"/>
      <c r="X545" s="130"/>
      <c r="Z545" s="106"/>
    </row>
    <row r="546">
      <c r="C546" s="79"/>
      <c r="D546" s="79"/>
      <c r="J546" s="79"/>
      <c r="P546" s="79"/>
      <c r="Q546" s="79"/>
      <c r="T546" s="79"/>
      <c r="U546" s="79"/>
      <c r="X546" s="130"/>
      <c r="Z546" s="106"/>
    </row>
    <row r="547">
      <c r="C547" s="79"/>
      <c r="D547" s="79"/>
      <c r="J547" s="79"/>
      <c r="P547" s="79"/>
      <c r="Q547" s="79"/>
      <c r="T547" s="79"/>
      <c r="U547" s="79"/>
      <c r="X547" s="130"/>
      <c r="Z547" s="106"/>
    </row>
    <row r="548">
      <c r="C548" s="79"/>
      <c r="D548" s="79"/>
      <c r="J548" s="79"/>
      <c r="P548" s="79"/>
      <c r="Q548" s="79"/>
      <c r="T548" s="79"/>
      <c r="U548" s="79"/>
      <c r="X548" s="130"/>
      <c r="Z548" s="106"/>
    </row>
    <row r="549">
      <c r="C549" s="79"/>
      <c r="D549" s="79"/>
      <c r="J549" s="79"/>
      <c r="P549" s="79"/>
      <c r="Q549" s="79"/>
      <c r="T549" s="79"/>
      <c r="U549" s="79"/>
      <c r="X549" s="130"/>
      <c r="Z549" s="106"/>
    </row>
    <row r="550">
      <c r="C550" s="79"/>
      <c r="D550" s="79"/>
      <c r="J550" s="79"/>
      <c r="P550" s="79"/>
      <c r="Q550" s="79"/>
      <c r="T550" s="79"/>
      <c r="U550" s="79"/>
      <c r="X550" s="130"/>
      <c r="Z550" s="106"/>
    </row>
    <row r="551">
      <c r="C551" s="79"/>
      <c r="D551" s="79"/>
      <c r="J551" s="79"/>
      <c r="P551" s="79"/>
      <c r="Q551" s="79"/>
      <c r="T551" s="79"/>
      <c r="U551" s="79"/>
      <c r="X551" s="130"/>
      <c r="Z551" s="106"/>
    </row>
    <row r="552">
      <c r="C552" s="79"/>
      <c r="D552" s="79"/>
      <c r="J552" s="79"/>
      <c r="P552" s="79"/>
      <c r="Q552" s="79"/>
      <c r="T552" s="79"/>
      <c r="U552" s="79"/>
      <c r="X552" s="130"/>
      <c r="Z552" s="106"/>
    </row>
    <row r="553">
      <c r="C553" s="79"/>
      <c r="D553" s="79"/>
      <c r="J553" s="79"/>
      <c r="P553" s="79"/>
      <c r="Q553" s="79"/>
      <c r="T553" s="79"/>
      <c r="U553" s="79"/>
      <c r="X553" s="130"/>
      <c r="Z553" s="106"/>
    </row>
    <row r="554">
      <c r="C554" s="79"/>
      <c r="D554" s="79"/>
      <c r="J554" s="79"/>
      <c r="P554" s="79"/>
      <c r="Q554" s="79"/>
      <c r="T554" s="79"/>
      <c r="U554" s="79"/>
      <c r="X554" s="130"/>
      <c r="Z554" s="106"/>
    </row>
    <row r="555">
      <c r="C555" s="79"/>
      <c r="D555" s="79"/>
      <c r="J555" s="79"/>
      <c r="P555" s="79"/>
      <c r="Q555" s="79"/>
      <c r="T555" s="79"/>
      <c r="U555" s="79"/>
      <c r="X555" s="130"/>
      <c r="Z555" s="106"/>
    </row>
    <row r="556">
      <c r="C556" s="79"/>
      <c r="D556" s="79"/>
      <c r="J556" s="79"/>
      <c r="P556" s="79"/>
      <c r="Q556" s="79"/>
      <c r="T556" s="79"/>
      <c r="U556" s="79"/>
      <c r="X556" s="130"/>
      <c r="Z556" s="106"/>
    </row>
    <row r="557">
      <c r="C557" s="79"/>
      <c r="D557" s="79"/>
      <c r="J557" s="79"/>
      <c r="P557" s="79"/>
      <c r="Q557" s="79"/>
      <c r="T557" s="79"/>
      <c r="U557" s="79"/>
      <c r="X557" s="130"/>
      <c r="Z557" s="106"/>
    </row>
    <row r="558">
      <c r="C558" s="79"/>
      <c r="D558" s="79"/>
      <c r="J558" s="79"/>
      <c r="P558" s="79"/>
      <c r="Q558" s="79"/>
      <c r="T558" s="79"/>
      <c r="U558" s="79"/>
      <c r="X558" s="130"/>
      <c r="Z558" s="106"/>
    </row>
    <row r="559">
      <c r="C559" s="79"/>
      <c r="D559" s="79"/>
      <c r="J559" s="79"/>
      <c r="P559" s="79"/>
      <c r="Q559" s="79"/>
      <c r="T559" s="79"/>
      <c r="U559" s="79"/>
      <c r="X559" s="130"/>
      <c r="Z559" s="106"/>
    </row>
    <row r="560">
      <c r="C560" s="79"/>
      <c r="D560" s="79"/>
      <c r="J560" s="79"/>
      <c r="P560" s="79"/>
      <c r="Q560" s="79"/>
      <c r="T560" s="79"/>
      <c r="U560" s="79"/>
      <c r="X560" s="130"/>
      <c r="Z560" s="106"/>
    </row>
    <row r="561">
      <c r="C561" s="79"/>
      <c r="D561" s="79"/>
      <c r="J561" s="79"/>
      <c r="P561" s="79"/>
      <c r="Q561" s="79"/>
      <c r="T561" s="79"/>
      <c r="U561" s="79"/>
      <c r="X561" s="130"/>
      <c r="Z561" s="106"/>
    </row>
    <row r="562">
      <c r="C562" s="79"/>
      <c r="D562" s="79"/>
      <c r="J562" s="79"/>
      <c r="P562" s="79"/>
      <c r="Q562" s="79"/>
      <c r="T562" s="79"/>
      <c r="U562" s="79"/>
      <c r="X562" s="130"/>
      <c r="Z562" s="106"/>
    </row>
    <row r="563">
      <c r="C563" s="79"/>
      <c r="D563" s="79"/>
      <c r="J563" s="79"/>
      <c r="P563" s="79"/>
      <c r="Q563" s="79"/>
      <c r="T563" s="79"/>
      <c r="U563" s="79"/>
      <c r="X563" s="130"/>
      <c r="Z563" s="106"/>
    </row>
    <row r="564">
      <c r="C564" s="79"/>
      <c r="D564" s="79"/>
      <c r="J564" s="79"/>
      <c r="P564" s="79"/>
      <c r="Q564" s="79"/>
      <c r="T564" s="79"/>
      <c r="U564" s="79"/>
      <c r="X564" s="130"/>
      <c r="Z564" s="106"/>
    </row>
    <row r="565">
      <c r="C565" s="79"/>
      <c r="D565" s="79"/>
      <c r="J565" s="79"/>
      <c r="P565" s="79"/>
      <c r="Q565" s="79"/>
      <c r="T565" s="79"/>
      <c r="U565" s="79"/>
      <c r="X565" s="130"/>
      <c r="Z565" s="106"/>
    </row>
    <row r="566">
      <c r="C566" s="79"/>
      <c r="D566" s="79"/>
      <c r="J566" s="79"/>
      <c r="P566" s="79"/>
      <c r="Q566" s="79"/>
      <c r="T566" s="79"/>
      <c r="U566" s="79"/>
      <c r="X566" s="130"/>
      <c r="Z566" s="106"/>
    </row>
    <row r="567">
      <c r="C567" s="79"/>
      <c r="D567" s="79"/>
      <c r="J567" s="79"/>
      <c r="P567" s="79"/>
      <c r="Q567" s="79"/>
      <c r="T567" s="79"/>
      <c r="U567" s="79"/>
      <c r="X567" s="130"/>
      <c r="Z567" s="106"/>
    </row>
    <row r="568">
      <c r="C568" s="79"/>
      <c r="D568" s="79"/>
      <c r="J568" s="79"/>
      <c r="P568" s="79"/>
      <c r="Q568" s="79"/>
      <c r="T568" s="79"/>
      <c r="U568" s="79"/>
      <c r="X568" s="130"/>
      <c r="Z568" s="106"/>
    </row>
    <row r="569">
      <c r="C569" s="79"/>
      <c r="D569" s="79"/>
      <c r="J569" s="79"/>
      <c r="P569" s="79"/>
      <c r="Q569" s="79"/>
      <c r="T569" s="79"/>
      <c r="U569" s="79"/>
      <c r="X569" s="130"/>
      <c r="Z569" s="106"/>
    </row>
    <row r="570">
      <c r="C570" s="79"/>
      <c r="D570" s="79"/>
      <c r="J570" s="79"/>
      <c r="P570" s="79"/>
      <c r="Q570" s="79"/>
      <c r="T570" s="79"/>
      <c r="U570" s="79"/>
      <c r="X570" s="130"/>
      <c r="Z570" s="106"/>
    </row>
    <row r="571">
      <c r="C571" s="79"/>
      <c r="D571" s="79"/>
      <c r="J571" s="79"/>
      <c r="P571" s="79"/>
      <c r="Q571" s="79"/>
      <c r="T571" s="79"/>
      <c r="U571" s="79"/>
      <c r="X571" s="130"/>
      <c r="Z571" s="106"/>
    </row>
    <row r="572">
      <c r="C572" s="79"/>
      <c r="D572" s="79"/>
      <c r="J572" s="79"/>
      <c r="P572" s="79"/>
      <c r="Q572" s="79"/>
      <c r="T572" s="79"/>
      <c r="U572" s="79"/>
      <c r="X572" s="130"/>
      <c r="Z572" s="106"/>
    </row>
    <row r="573">
      <c r="C573" s="79"/>
      <c r="D573" s="79"/>
      <c r="J573" s="79"/>
      <c r="P573" s="79"/>
      <c r="Q573" s="79"/>
      <c r="T573" s="79"/>
      <c r="U573" s="79"/>
      <c r="X573" s="130"/>
      <c r="Z573" s="106"/>
    </row>
    <row r="574">
      <c r="C574" s="79"/>
      <c r="D574" s="79"/>
      <c r="J574" s="79"/>
      <c r="P574" s="79"/>
      <c r="Q574" s="79"/>
      <c r="T574" s="79"/>
      <c r="U574" s="79"/>
      <c r="X574" s="130"/>
      <c r="Z574" s="106"/>
    </row>
    <row r="575">
      <c r="C575" s="79"/>
      <c r="D575" s="79"/>
      <c r="J575" s="79"/>
      <c r="P575" s="79"/>
      <c r="Q575" s="79"/>
      <c r="T575" s="79"/>
      <c r="U575" s="79"/>
      <c r="X575" s="130"/>
      <c r="Z575" s="106"/>
    </row>
    <row r="576">
      <c r="C576" s="79"/>
      <c r="D576" s="79"/>
      <c r="J576" s="79"/>
      <c r="P576" s="79"/>
      <c r="Q576" s="79"/>
      <c r="T576" s="79"/>
      <c r="U576" s="79"/>
      <c r="X576" s="130"/>
      <c r="Z576" s="106"/>
    </row>
    <row r="577">
      <c r="C577" s="79"/>
      <c r="D577" s="79"/>
      <c r="J577" s="79"/>
      <c r="P577" s="79"/>
      <c r="Q577" s="79"/>
      <c r="T577" s="79"/>
      <c r="U577" s="79"/>
      <c r="X577" s="130"/>
      <c r="Z577" s="106"/>
    </row>
    <row r="578">
      <c r="C578" s="79"/>
      <c r="D578" s="79"/>
      <c r="J578" s="79"/>
      <c r="P578" s="79"/>
      <c r="Q578" s="79"/>
      <c r="T578" s="79"/>
      <c r="U578" s="79"/>
      <c r="X578" s="130"/>
      <c r="Z578" s="106"/>
    </row>
    <row r="579">
      <c r="C579" s="79"/>
      <c r="D579" s="79"/>
      <c r="J579" s="79"/>
      <c r="P579" s="79"/>
      <c r="Q579" s="79"/>
      <c r="T579" s="79"/>
      <c r="U579" s="79"/>
      <c r="X579" s="130"/>
      <c r="Z579" s="106"/>
    </row>
    <row r="580">
      <c r="C580" s="79"/>
      <c r="D580" s="79"/>
      <c r="J580" s="79"/>
      <c r="P580" s="79"/>
      <c r="Q580" s="79"/>
      <c r="T580" s="79"/>
      <c r="U580" s="79"/>
      <c r="X580" s="130"/>
      <c r="Z580" s="106"/>
    </row>
    <row r="581">
      <c r="C581" s="79"/>
      <c r="D581" s="79"/>
      <c r="J581" s="79"/>
      <c r="P581" s="79"/>
      <c r="Q581" s="79"/>
      <c r="T581" s="79"/>
      <c r="U581" s="79"/>
      <c r="X581" s="130"/>
      <c r="Z581" s="106"/>
    </row>
    <row r="582">
      <c r="C582" s="79"/>
      <c r="D582" s="79"/>
      <c r="J582" s="79"/>
      <c r="P582" s="79"/>
      <c r="Q582" s="79"/>
      <c r="T582" s="79"/>
      <c r="U582" s="79"/>
      <c r="X582" s="130"/>
      <c r="Z582" s="106"/>
    </row>
    <row r="583">
      <c r="C583" s="79"/>
      <c r="D583" s="79"/>
      <c r="J583" s="79"/>
      <c r="P583" s="79"/>
      <c r="Q583" s="79"/>
      <c r="T583" s="79"/>
      <c r="U583" s="79"/>
      <c r="X583" s="130"/>
      <c r="Z583" s="106"/>
    </row>
    <row r="584">
      <c r="C584" s="79"/>
      <c r="D584" s="79"/>
      <c r="J584" s="79"/>
      <c r="P584" s="79"/>
      <c r="Q584" s="79"/>
      <c r="T584" s="79"/>
      <c r="U584" s="79"/>
      <c r="X584" s="130"/>
      <c r="Z584" s="106"/>
    </row>
    <row r="585">
      <c r="C585" s="79"/>
      <c r="D585" s="79"/>
      <c r="J585" s="79"/>
      <c r="P585" s="79"/>
      <c r="Q585" s="79"/>
      <c r="T585" s="79"/>
      <c r="U585" s="79"/>
      <c r="X585" s="130"/>
      <c r="Z585" s="106"/>
    </row>
    <row r="586">
      <c r="C586" s="79"/>
      <c r="D586" s="79"/>
      <c r="J586" s="79"/>
      <c r="P586" s="79"/>
      <c r="Q586" s="79"/>
      <c r="T586" s="79"/>
      <c r="U586" s="79"/>
      <c r="X586" s="130"/>
      <c r="Z586" s="106"/>
    </row>
    <row r="587">
      <c r="C587" s="79"/>
      <c r="D587" s="79"/>
      <c r="J587" s="79"/>
      <c r="P587" s="79"/>
      <c r="Q587" s="79"/>
      <c r="T587" s="79"/>
      <c r="U587" s="79"/>
      <c r="X587" s="130"/>
      <c r="Z587" s="106"/>
    </row>
    <row r="588">
      <c r="C588" s="79"/>
      <c r="D588" s="79"/>
      <c r="J588" s="79"/>
      <c r="P588" s="79"/>
      <c r="Q588" s="79"/>
      <c r="T588" s="79"/>
      <c r="U588" s="79"/>
      <c r="X588" s="130"/>
      <c r="Z588" s="106"/>
    </row>
    <row r="589">
      <c r="C589" s="79"/>
      <c r="D589" s="79"/>
      <c r="J589" s="79"/>
      <c r="P589" s="79"/>
      <c r="Q589" s="79"/>
      <c r="T589" s="79"/>
      <c r="U589" s="79"/>
      <c r="X589" s="130"/>
      <c r="Z589" s="106"/>
    </row>
    <row r="590">
      <c r="C590" s="79"/>
      <c r="D590" s="79"/>
      <c r="J590" s="79"/>
      <c r="P590" s="79"/>
      <c r="Q590" s="79"/>
      <c r="T590" s="79"/>
      <c r="U590" s="79"/>
      <c r="X590" s="130"/>
      <c r="Z590" s="106"/>
    </row>
    <row r="591">
      <c r="C591" s="79"/>
      <c r="D591" s="79"/>
      <c r="J591" s="79"/>
      <c r="P591" s="79"/>
      <c r="Q591" s="79"/>
      <c r="T591" s="79"/>
      <c r="U591" s="79"/>
      <c r="X591" s="130"/>
      <c r="Z591" s="106"/>
    </row>
    <row r="592">
      <c r="C592" s="79"/>
      <c r="D592" s="79"/>
      <c r="J592" s="79"/>
      <c r="P592" s="79"/>
      <c r="Q592" s="79"/>
      <c r="T592" s="79"/>
      <c r="U592" s="79"/>
      <c r="X592" s="130"/>
      <c r="Z592" s="106"/>
    </row>
    <row r="593">
      <c r="C593" s="79"/>
      <c r="D593" s="79"/>
      <c r="J593" s="79"/>
      <c r="P593" s="79"/>
      <c r="Q593" s="79"/>
      <c r="T593" s="79"/>
      <c r="U593" s="79"/>
      <c r="X593" s="130"/>
      <c r="Z593" s="106"/>
    </row>
    <row r="594">
      <c r="C594" s="79"/>
      <c r="D594" s="79"/>
      <c r="J594" s="79"/>
      <c r="P594" s="79"/>
      <c r="Q594" s="79"/>
      <c r="T594" s="79"/>
      <c r="U594" s="79"/>
      <c r="X594" s="130"/>
      <c r="Z594" s="106"/>
    </row>
    <row r="595">
      <c r="C595" s="79"/>
      <c r="D595" s="79"/>
      <c r="J595" s="79"/>
      <c r="P595" s="79"/>
      <c r="Q595" s="79"/>
      <c r="T595" s="79"/>
      <c r="U595" s="79"/>
      <c r="X595" s="130"/>
      <c r="Z595" s="106"/>
    </row>
    <row r="596">
      <c r="C596" s="79"/>
      <c r="D596" s="79"/>
      <c r="J596" s="79"/>
      <c r="P596" s="79"/>
      <c r="Q596" s="79"/>
      <c r="T596" s="79"/>
      <c r="U596" s="79"/>
      <c r="X596" s="130"/>
      <c r="Z596" s="106"/>
    </row>
    <row r="597">
      <c r="C597" s="79"/>
      <c r="D597" s="79"/>
      <c r="J597" s="79"/>
      <c r="P597" s="79"/>
      <c r="Q597" s="79"/>
      <c r="T597" s="79"/>
      <c r="U597" s="79"/>
      <c r="X597" s="130"/>
      <c r="Z597" s="106"/>
    </row>
    <row r="598">
      <c r="C598" s="79"/>
      <c r="D598" s="79"/>
      <c r="J598" s="79"/>
      <c r="P598" s="79"/>
      <c r="Q598" s="79"/>
      <c r="T598" s="79"/>
      <c r="U598" s="79"/>
      <c r="X598" s="130"/>
      <c r="Z598" s="106"/>
    </row>
    <row r="599">
      <c r="C599" s="79"/>
      <c r="D599" s="79"/>
      <c r="J599" s="79"/>
      <c r="P599" s="79"/>
      <c r="Q599" s="79"/>
      <c r="T599" s="79"/>
      <c r="U599" s="79"/>
      <c r="X599" s="130"/>
      <c r="Z599" s="106"/>
    </row>
    <row r="600">
      <c r="C600" s="79"/>
      <c r="D600" s="79"/>
      <c r="J600" s="79"/>
      <c r="P600" s="79"/>
      <c r="Q600" s="79"/>
      <c r="T600" s="79"/>
      <c r="U600" s="79"/>
      <c r="X600" s="130"/>
      <c r="Z600" s="106"/>
    </row>
    <row r="601">
      <c r="C601" s="79"/>
      <c r="D601" s="79"/>
      <c r="J601" s="79"/>
      <c r="P601" s="79"/>
      <c r="Q601" s="79"/>
      <c r="T601" s="79"/>
      <c r="U601" s="79"/>
      <c r="X601" s="130"/>
      <c r="Z601" s="106"/>
    </row>
    <row r="602">
      <c r="C602" s="79"/>
      <c r="D602" s="79"/>
      <c r="J602" s="79"/>
      <c r="P602" s="79"/>
      <c r="Q602" s="79"/>
      <c r="T602" s="79"/>
      <c r="U602" s="79"/>
      <c r="X602" s="130"/>
      <c r="Z602" s="106"/>
    </row>
    <row r="603">
      <c r="C603" s="79"/>
      <c r="D603" s="79"/>
      <c r="J603" s="79"/>
      <c r="P603" s="79"/>
      <c r="Q603" s="79"/>
      <c r="T603" s="79"/>
      <c r="U603" s="79"/>
      <c r="X603" s="130"/>
      <c r="Z603" s="106"/>
    </row>
    <row r="604">
      <c r="C604" s="79"/>
      <c r="D604" s="79"/>
      <c r="J604" s="79"/>
      <c r="P604" s="79"/>
      <c r="Q604" s="79"/>
      <c r="T604" s="79"/>
      <c r="U604" s="79"/>
      <c r="X604" s="130"/>
      <c r="Z604" s="106"/>
    </row>
    <row r="605">
      <c r="C605" s="79"/>
      <c r="D605" s="79"/>
      <c r="J605" s="79"/>
      <c r="P605" s="79"/>
      <c r="Q605" s="79"/>
      <c r="T605" s="79"/>
      <c r="U605" s="79"/>
      <c r="X605" s="130"/>
      <c r="Z605" s="106"/>
    </row>
    <row r="606">
      <c r="C606" s="79"/>
      <c r="D606" s="79"/>
      <c r="J606" s="79"/>
      <c r="P606" s="79"/>
      <c r="Q606" s="79"/>
      <c r="T606" s="79"/>
      <c r="U606" s="79"/>
      <c r="X606" s="130"/>
      <c r="Z606" s="106"/>
    </row>
    <row r="607">
      <c r="C607" s="79"/>
      <c r="D607" s="79"/>
      <c r="J607" s="79"/>
      <c r="P607" s="79"/>
      <c r="Q607" s="79"/>
      <c r="T607" s="79"/>
      <c r="U607" s="79"/>
      <c r="X607" s="130"/>
      <c r="Z607" s="106"/>
    </row>
    <row r="608">
      <c r="C608" s="79"/>
      <c r="D608" s="79"/>
      <c r="J608" s="79"/>
      <c r="P608" s="79"/>
      <c r="Q608" s="79"/>
      <c r="T608" s="79"/>
      <c r="U608" s="79"/>
      <c r="X608" s="130"/>
      <c r="Z608" s="106"/>
    </row>
    <row r="609">
      <c r="C609" s="79"/>
      <c r="D609" s="79"/>
      <c r="J609" s="79"/>
      <c r="P609" s="79"/>
      <c r="Q609" s="79"/>
      <c r="T609" s="79"/>
      <c r="U609" s="79"/>
      <c r="X609" s="130"/>
      <c r="Z609" s="106"/>
    </row>
    <row r="610">
      <c r="C610" s="79"/>
      <c r="D610" s="79"/>
      <c r="J610" s="79"/>
      <c r="P610" s="79"/>
      <c r="Q610" s="79"/>
      <c r="T610" s="79"/>
      <c r="U610" s="79"/>
      <c r="X610" s="130"/>
      <c r="Z610" s="106"/>
    </row>
    <row r="611">
      <c r="C611" s="79"/>
      <c r="D611" s="79"/>
      <c r="J611" s="79"/>
      <c r="P611" s="79"/>
      <c r="Q611" s="79"/>
      <c r="T611" s="79"/>
      <c r="U611" s="79"/>
      <c r="X611" s="130"/>
      <c r="Z611" s="106"/>
    </row>
    <row r="612">
      <c r="C612" s="79"/>
      <c r="D612" s="79"/>
      <c r="J612" s="79"/>
      <c r="P612" s="79"/>
      <c r="Q612" s="79"/>
      <c r="T612" s="79"/>
      <c r="U612" s="79"/>
      <c r="X612" s="130"/>
      <c r="Z612" s="106"/>
    </row>
    <row r="613">
      <c r="C613" s="79"/>
      <c r="D613" s="79"/>
      <c r="J613" s="79"/>
      <c r="P613" s="79"/>
      <c r="Q613" s="79"/>
      <c r="T613" s="79"/>
      <c r="U613" s="79"/>
      <c r="X613" s="130"/>
      <c r="Z613" s="106"/>
    </row>
    <row r="614">
      <c r="C614" s="79"/>
      <c r="D614" s="79"/>
      <c r="J614" s="79"/>
      <c r="P614" s="79"/>
      <c r="Q614" s="79"/>
      <c r="T614" s="79"/>
      <c r="U614" s="79"/>
      <c r="X614" s="130"/>
      <c r="Z614" s="106"/>
    </row>
    <row r="615">
      <c r="C615" s="79"/>
      <c r="D615" s="79"/>
      <c r="J615" s="79"/>
      <c r="P615" s="79"/>
      <c r="Q615" s="79"/>
      <c r="T615" s="79"/>
      <c r="U615" s="79"/>
      <c r="X615" s="130"/>
      <c r="Z615" s="106"/>
    </row>
    <row r="616">
      <c r="C616" s="79"/>
      <c r="D616" s="79"/>
      <c r="J616" s="79"/>
      <c r="P616" s="79"/>
      <c r="Q616" s="79"/>
      <c r="T616" s="79"/>
      <c r="U616" s="79"/>
      <c r="X616" s="130"/>
      <c r="Z616" s="106"/>
    </row>
    <row r="617">
      <c r="C617" s="79"/>
      <c r="D617" s="79"/>
      <c r="J617" s="79"/>
      <c r="P617" s="79"/>
      <c r="Q617" s="79"/>
      <c r="T617" s="79"/>
      <c r="U617" s="79"/>
      <c r="X617" s="130"/>
      <c r="Z617" s="106"/>
    </row>
    <row r="618">
      <c r="C618" s="79"/>
      <c r="D618" s="79"/>
      <c r="J618" s="79"/>
      <c r="P618" s="79"/>
      <c r="Q618" s="79"/>
      <c r="T618" s="79"/>
      <c r="U618" s="79"/>
      <c r="X618" s="130"/>
      <c r="Z618" s="106"/>
    </row>
    <row r="619">
      <c r="C619" s="79"/>
      <c r="D619" s="79"/>
      <c r="J619" s="79"/>
      <c r="P619" s="79"/>
      <c r="Q619" s="79"/>
      <c r="T619" s="79"/>
      <c r="U619" s="79"/>
      <c r="X619" s="130"/>
      <c r="Z619" s="106"/>
    </row>
    <row r="620">
      <c r="C620" s="79"/>
      <c r="D620" s="79"/>
      <c r="J620" s="79"/>
      <c r="P620" s="79"/>
      <c r="Q620" s="79"/>
      <c r="T620" s="79"/>
      <c r="U620" s="79"/>
      <c r="X620" s="130"/>
      <c r="Z620" s="106"/>
    </row>
    <row r="621">
      <c r="C621" s="79"/>
      <c r="D621" s="79"/>
      <c r="J621" s="79"/>
      <c r="P621" s="79"/>
      <c r="Q621" s="79"/>
      <c r="T621" s="79"/>
      <c r="U621" s="79"/>
      <c r="X621" s="130"/>
      <c r="Z621" s="106"/>
    </row>
    <row r="622">
      <c r="C622" s="79"/>
      <c r="D622" s="79"/>
      <c r="J622" s="79"/>
      <c r="P622" s="79"/>
      <c r="Q622" s="79"/>
      <c r="T622" s="79"/>
      <c r="U622" s="79"/>
      <c r="X622" s="130"/>
      <c r="Z622" s="106"/>
    </row>
    <row r="623">
      <c r="C623" s="79"/>
      <c r="D623" s="79"/>
      <c r="J623" s="79"/>
      <c r="P623" s="79"/>
      <c r="Q623" s="79"/>
      <c r="T623" s="79"/>
      <c r="U623" s="79"/>
      <c r="X623" s="130"/>
      <c r="Z623" s="106"/>
    </row>
    <row r="624">
      <c r="C624" s="79"/>
      <c r="D624" s="79"/>
      <c r="J624" s="79"/>
      <c r="P624" s="79"/>
      <c r="Q624" s="79"/>
      <c r="T624" s="79"/>
      <c r="U624" s="79"/>
      <c r="X624" s="130"/>
      <c r="Z624" s="106"/>
    </row>
    <row r="625">
      <c r="C625" s="79"/>
      <c r="D625" s="79"/>
      <c r="J625" s="79"/>
      <c r="P625" s="79"/>
      <c r="Q625" s="79"/>
      <c r="T625" s="79"/>
      <c r="U625" s="79"/>
      <c r="X625" s="130"/>
      <c r="Z625" s="106"/>
    </row>
    <row r="626">
      <c r="C626" s="79"/>
      <c r="D626" s="79"/>
      <c r="J626" s="79"/>
      <c r="P626" s="79"/>
      <c r="Q626" s="79"/>
      <c r="T626" s="79"/>
      <c r="U626" s="79"/>
      <c r="X626" s="130"/>
      <c r="Z626" s="106"/>
    </row>
    <row r="627">
      <c r="C627" s="79"/>
      <c r="D627" s="79"/>
      <c r="J627" s="79"/>
      <c r="P627" s="79"/>
      <c r="Q627" s="79"/>
      <c r="T627" s="79"/>
      <c r="U627" s="79"/>
      <c r="X627" s="130"/>
      <c r="Z627" s="106"/>
    </row>
    <row r="628">
      <c r="C628" s="79"/>
      <c r="D628" s="79"/>
      <c r="J628" s="79"/>
      <c r="P628" s="79"/>
      <c r="Q628" s="79"/>
      <c r="T628" s="79"/>
      <c r="U628" s="79"/>
      <c r="X628" s="130"/>
      <c r="Z628" s="106"/>
    </row>
    <row r="629">
      <c r="C629" s="79"/>
      <c r="D629" s="79"/>
      <c r="J629" s="79"/>
      <c r="P629" s="79"/>
      <c r="Q629" s="79"/>
      <c r="T629" s="79"/>
      <c r="U629" s="79"/>
      <c r="X629" s="130"/>
      <c r="Z629" s="106"/>
    </row>
    <row r="630">
      <c r="C630" s="79"/>
      <c r="D630" s="79"/>
      <c r="J630" s="79"/>
      <c r="P630" s="79"/>
      <c r="Q630" s="79"/>
      <c r="T630" s="79"/>
      <c r="U630" s="79"/>
      <c r="X630" s="130"/>
      <c r="Z630" s="106"/>
    </row>
    <row r="631">
      <c r="C631" s="79"/>
      <c r="D631" s="79"/>
      <c r="J631" s="79"/>
      <c r="P631" s="79"/>
      <c r="Q631" s="79"/>
      <c r="T631" s="79"/>
      <c r="U631" s="79"/>
      <c r="X631" s="130"/>
      <c r="Z631" s="106"/>
    </row>
    <row r="632">
      <c r="C632" s="79"/>
      <c r="D632" s="79"/>
      <c r="J632" s="79"/>
      <c r="P632" s="79"/>
      <c r="Q632" s="79"/>
      <c r="T632" s="79"/>
      <c r="U632" s="79"/>
      <c r="X632" s="130"/>
      <c r="Z632" s="106"/>
    </row>
    <row r="633">
      <c r="C633" s="79"/>
      <c r="D633" s="79"/>
      <c r="J633" s="79"/>
      <c r="P633" s="79"/>
      <c r="Q633" s="79"/>
      <c r="T633" s="79"/>
      <c r="U633" s="79"/>
      <c r="X633" s="130"/>
      <c r="Z633" s="106"/>
    </row>
    <row r="634">
      <c r="C634" s="79"/>
      <c r="D634" s="79"/>
      <c r="J634" s="79"/>
      <c r="P634" s="79"/>
      <c r="Q634" s="79"/>
      <c r="T634" s="79"/>
      <c r="U634" s="79"/>
      <c r="X634" s="130"/>
      <c r="Z634" s="106"/>
    </row>
    <row r="635">
      <c r="C635" s="79"/>
      <c r="D635" s="79"/>
      <c r="J635" s="79"/>
      <c r="P635" s="79"/>
      <c r="Q635" s="79"/>
      <c r="T635" s="79"/>
      <c r="U635" s="79"/>
      <c r="X635" s="130"/>
      <c r="Z635" s="106"/>
    </row>
    <row r="636">
      <c r="C636" s="79"/>
      <c r="D636" s="79"/>
      <c r="J636" s="79"/>
      <c r="P636" s="79"/>
      <c r="Q636" s="79"/>
      <c r="T636" s="79"/>
      <c r="U636" s="79"/>
      <c r="X636" s="130"/>
      <c r="Z636" s="106"/>
    </row>
    <row r="637">
      <c r="C637" s="79"/>
      <c r="D637" s="79"/>
      <c r="J637" s="79"/>
      <c r="P637" s="79"/>
      <c r="Q637" s="79"/>
      <c r="T637" s="79"/>
      <c r="U637" s="79"/>
      <c r="X637" s="130"/>
      <c r="Z637" s="106"/>
    </row>
    <row r="638">
      <c r="C638" s="79"/>
      <c r="D638" s="79"/>
      <c r="J638" s="79"/>
      <c r="P638" s="79"/>
      <c r="Q638" s="79"/>
      <c r="T638" s="79"/>
      <c r="U638" s="79"/>
      <c r="X638" s="130"/>
      <c r="Z638" s="106"/>
    </row>
    <row r="639">
      <c r="C639" s="79"/>
      <c r="D639" s="79"/>
      <c r="J639" s="79"/>
      <c r="P639" s="79"/>
      <c r="Q639" s="79"/>
      <c r="T639" s="79"/>
      <c r="U639" s="79"/>
      <c r="X639" s="130"/>
      <c r="Z639" s="106"/>
    </row>
    <row r="640">
      <c r="C640" s="79"/>
      <c r="D640" s="79"/>
      <c r="J640" s="79"/>
      <c r="P640" s="79"/>
      <c r="Q640" s="79"/>
      <c r="T640" s="79"/>
      <c r="U640" s="79"/>
      <c r="X640" s="130"/>
      <c r="Z640" s="106"/>
    </row>
    <row r="641">
      <c r="C641" s="79"/>
      <c r="D641" s="79"/>
      <c r="J641" s="79"/>
      <c r="P641" s="79"/>
      <c r="Q641" s="79"/>
      <c r="T641" s="79"/>
      <c r="U641" s="79"/>
      <c r="X641" s="130"/>
      <c r="Z641" s="106"/>
    </row>
    <row r="642">
      <c r="C642" s="79"/>
      <c r="D642" s="79"/>
      <c r="J642" s="79"/>
      <c r="P642" s="79"/>
      <c r="Q642" s="79"/>
      <c r="T642" s="79"/>
      <c r="U642" s="79"/>
      <c r="X642" s="130"/>
      <c r="Z642" s="106"/>
    </row>
    <row r="643">
      <c r="C643" s="79"/>
      <c r="D643" s="79"/>
      <c r="J643" s="79"/>
      <c r="P643" s="79"/>
      <c r="Q643" s="79"/>
      <c r="T643" s="79"/>
      <c r="U643" s="79"/>
      <c r="X643" s="130"/>
      <c r="Z643" s="106"/>
    </row>
    <row r="644">
      <c r="C644" s="79"/>
      <c r="D644" s="79"/>
      <c r="J644" s="79"/>
      <c r="P644" s="79"/>
      <c r="Q644" s="79"/>
      <c r="T644" s="79"/>
      <c r="U644" s="79"/>
      <c r="X644" s="130"/>
      <c r="Z644" s="106"/>
    </row>
    <row r="645">
      <c r="C645" s="79"/>
      <c r="D645" s="79"/>
      <c r="J645" s="79"/>
      <c r="P645" s="79"/>
      <c r="Q645" s="79"/>
      <c r="T645" s="79"/>
      <c r="U645" s="79"/>
      <c r="X645" s="130"/>
      <c r="Z645" s="106"/>
    </row>
    <row r="646">
      <c r="C646" s="79"/>
      <c r="D646" s="79"/>
      <c r="J646" s="79"/>
      <c r="P646" s="79"/>
      <c r="Q646" s="79"/>
      <c r="T646" s="79"/>
      <c r="U646" s="79"/>
      <c r="X646" s="130"/>
      <c r="Z646" s="106"/>
    </row>
    <row r="647">
      <c r="C647" s="79"/>
      <c r="D647" s="79"/>
      <c r="J647" s="79"/>
      <c r="P647" s="79"/>
      <c r="Q647" s="79"/>
      <c r="T647" s="79"/>
      <c r="U647" s="79"/>
      <c r="X647" s="130"/>
      <c r="Z647" s="106"/>
    </row>
    <row r="648">
      <c r="C648" s="79"/>
      <c r="D648" s="79"/>
      <c r="J648" s="79"/>
      <c r="P648" s="79"/>
      <c r="Q648" s="79"/>
      <c r="T648" s="79"/>
      <c r="U648" s="79"/>
      <c r="X648" s="130"/>
      <c r="Z648" s="106"/>
    </row>
    <row r="649">
      <c r="C649" s="79"/>
      <c r="D649" s="79"/>
      <c r="J649" s="79"/>
      <c r="P649" s="79"/>
      <c r="Q649" s="79"/>
      <c r="T649" s="79"/>
      <c r="U649" s="79"/>
      <c r="X649" s="130"/>
      <c r="Z649" s="106"/>
    </row>
    <row r="650">
      <c r="C650" s="79"/>
      <c r="D650" s="79"/>
      <c r="J650" s="79"/>
      <c r="P650" s="79"/>
      <c r="Q650" s="79"/>
      <c r="T650" s="79"/>
      <c r="U650" s="79"/>
      <c r="X650" s="130"/>
      <c r="Z650" s="106"/>
    </row>
    <row r="651">
      <c r="C651" s="79"/>
      <c r="D651" s="79"/>
      <c r="J651" s="79"/>
      <c r="P651" s="79"/>
      <c r="Q651" s="79"/>
      <c r="T651" s="79"/>
      <c r="U651" s="79"/>
      <c r="X651" s="130"/>
      <c r="Z651" s="106"/>
    </row>
    <row r="652">
      <c r="C652" s="79"/>
      <c r="D652" s="79"/>
      <c r="J652" s="79"/>
      <c r="P652" s="79"/>
      <c r="Q652" s="79"/>
      <c r="T652" s="79"/>
      <c r="U652" s="79"/>
      <c r="X652" s="130"/>
      <c r="Z652" s="106"/>
    </row>
    <row r="653">
      <c r="C653" s="79"/>
      <c r="D653" s="79"/>
      <c r="J653" s="79"/>
      <c r="P653" s="79"/>
      <c r="Q653" s="79"/>
      <c r="T653" s="79"/>
      <c r="U653" s="79"/>
      <c r="X653" s="130"/>
      <c r="Z653" s="106"/>
    </row>
    <row r="654">
      <c r="C654" s="79"/>
      <c r="D654" s="79"/>
      <c r="J654" s="79"/>
      <c r="P654" s="79"/>
      <c r="Q654" s="79"/>
      <c r="T654" s="79"/>
      <c r="U654" s="79"/>
      <c r="X654" s="130"/>
      <c r="Z654" s="106"/>
    </row>
    <row r="655">
      <c r="C655" s="79"/>
      <c r="D655" s="79"/>
      <c r="J655" s="79"/>
      <c r="P655" s="79"/>
      <c r="Q655" s="79"/>
      <c r="T655" s="79"/>
      <c r="U655" s="79"/>
      <c r="X655" s="130"/>
      <c r="Z655" s="106"/>
    </row>
    <row r="656">
      <c r="C656" s="79"/>
      <c r="D656" s="79"/>
      <c r="J656" s="79"/>
      <c r="P656" s="79"/>
      <c r="Q656" s="79"/>
      <c r="T656" s="79"/>
      <c r="U656" s="79"/>
      <c r="X656" s="130"/>
      <c r="Z656" s="106"/>
    </row>
    <row r="657">
      <c r="C657" s="79"/>
      <c r="D657" s="79"/>
      <c r="J657" s="79"/>
      <c r="P657" s="79"/>
      <c r="Q657" s="79"/>
      <c r="T657" s="79"/>
      <c r="U657" s="79"/>
      <c r="X657" s="130"/>
      <c r="Z657" s="106"/>
    </row>
    <row r="658">
      <c r="C658" s="79"/>
      <c r="D658" s="79"/>
      <c r="J658" s="79"/>
      <c r="P658" s="79"/>
      <c r="Q658" s="79"/>
      <c r="T658" s="79"/>
      <c r="U658" s="79"/>
      <c r="X658" s="130"/>
      <c r="Z658" s="106"/>
    </row>
    <row r="659">
      <c r="C659" s="79"/>
      <c r="D659" s="79"/>
      <c r="J659" s="79"/>
      <c r="P659" s="79"/>
      <c r="Q659" s="79"/>
      <c r="T659" s="79"/>
      <c r="U659" s="79"/>
      <c r="X659" s="130"/>
      <c r="Z659" s="106"/>
    </row>
    <row r="660">
      <c r="C660" s="79"/>
      <c r="D660" s="79"/>
      <c r="J660" s="79"/>
      <c r="P660" s="79"/>
      <c r="Q660" s="79"/>
      <c r="T660" s="79"/>
      <c r="U660" s="79"/>
      <c r="X660" s="130"/>
      <c r="Z660" s="106"/>
    </row>
    <row r="661">
      <c r="C661" s="79"/>
      <c r="D661" s="79"/>
      <c r="J661" s="79"/>
      <c r="P661" s="79"/>
      <c r="Q661" s="79"/>
      <c r="T661" s="79"/>
      <c r="U661" s="79"/>
      <c r="X661" s="130"/>
      <c r="Z661" s="106"/>
    </row>
    <row r="662">
      <c r="C662" s="79"/>
      <c r="D662" s="79"/>
      <c r="J662" s="79"/>
      <c r="P662" s="79"/>
      <c r="Q662" s="79"/>
      <c r="T662" s="79"/>
      <c r="U662" s="79"/>
      <c r="X662" s="130"/>
      <c r="Z662" s="106"/>
    </row>
    <row r="663">
      <c r="C663" s="79"/>
      <c r="D663" s="79"/>
      <c r="J663" s="79"/>
      <c r="P663" s="79"/>
      <c r="Q663" s="79"/>
      <c r="T663" s="79"/>
      <c r="U663" s="79"/>
      <c r="X663" s="130"/>
      <c r="Z663" s="106"/>
    </row>
    <row r="664">
      <c r="C664" s="79"/>
      <c r="D664" s="79"/>
      <c r="J664" s="79"/>
      <c r="P664" s="79"/>
      <c r="Q664" s="79"/>
      <c r="T664" s="79"/>
      <c r="U664" s="79"/>
      <c r="X664" s="130"/>
      <c r="Z664" s="106"/>
    </row>
    <row r="665">
      <c r="C665" s="79"/>
      <c r="D665" s="79"/>
      <c r="J665" s="79"/>
      <c r="P665" s="79"/>
      <c r="Q665" s="79"/>
      <c r="T665" s="79"/>
      <c r="U665" s="79"/>
      <c r="X665" s="130"/>
      <c r="Z665" s="106"/>
    </row>
    <row r="666">
      <c r="C666" s="79"/>
      <c r="D666" s="79"/>
      <c r="J666" s="79"/>
      <c r="P666" s="79"/>
      <c r="Q666" s="79"/>
      <c r="T666" s="79"/>
      <c r="U666" s="79"/>
      <c r="X666" s="130"/>
      <c r="Z666" s="106"/>
    </row>
    <row r="667">
      <c r="C667" s="79"/>
      <c r="D667" s="79"/>
      <c r="J667" s="79"/>
      <c r="P667" s="79"/>
      <c r="Q667" s="79"/>
      <c r="T667" s="79"/>
      <c r="U667" s="79"/>
      <c r="X667" s="130"/>
      <c r="Z667" s="106"/>
    </row>
    <row r="668">
      <c r="C668" s="79"/>
      <c r="D668" s="79"/>
      <c r="J668" s="79"/>
      <c r="P668" s="79"/>
      <c r="Q668" s="79"/>
      <c r="T668" s="79"/>
      <c r="U668" s="79"/>
      <c r="X668" s="130"/>
      <c r="Z668" s="106"/>
    </row>
    <row r="669">
      <c r="C669" s="79"/>
      <c r="D669" s="79"/>
      <c r="J669" s="79"/>
      <c r="P669" s="79"/>
      <c r="Q669" s="79"/>
      <c r="T669" s="79"/>
      <c r="U669" s="79"/>
      <c r="X669" s="130"/>
      <c r="Z669" s="106"/>
    </row>
    <row r="670">
      <c r="C670" s="79"/>
      <c r="D670" s="79"/>
      <c r="J670" s="79"/>
      <c r="P670" s="79"/>
      <c r="Q670" s="79"/>
      <c r="T670" s="79"/>
      <c r="U670" s="79"/>
      <c r="X670" s="130"/>
      <c r="Z670" s="106"/>
    </row>
    <row r="671">
      <c r="C671" s="79"/>
      <c r="D671" s="79"/>
      <c r="J671" s="79"/>
      <c r="P671" s="79"/>
      <c r="Q671" s="79"/>
      <c r="T671" s="79"/>
      <c r="U671" s="79"/>
      <c r="X671" s="130"/>
      <c r="Z671" s="106"/>
    </row>
    <row r="672">
      <c r="C672" s="79"/>
      <c r="D672" s="79"/>
      <c r="J672" s="79"/>
      <c r="P672" s="79"/>
      <c r="Q672" s="79"/>
      <c r="T672" s="79"/>
      <c r="U672" s="79"/>
      <c r="X672" s="130"/>
      <c r="Z672" s="106"/>
    </row>
    <row r="673">
      <c r="C673" s="79"/>
      <c r="D673" s="79"/>
      <c r="J673" s="79"/>
      <c r="P673" s="79"/>
      <c r="Q673" s="79"/>
      <c r="T673" s="79"/>
      <c r="U673" s="79"/>
      <c r="X673" s="130"/>
      <c r="Z673" s="106"/>
    </row>
    <row r="674">
      <c r="C674" s="79"/>
      <c r="D674" s="79"/>
      <c r="J674" s="79"/>
      <c r="P674" s="79"/>
      <c r="Q674" s="79"/>
      <c r="T674" s="79"/>
      <c r="U674" s="79"/>
      <c r="X674" s="130"/>
      <c r="Z674" s="106"/>
    </row>
    <row r="675">
      <c r="C675" s="79"/>
      <c r="D675" s="79"/>
      <c r="J675" s="79"/>
      <c r="P675" s="79"/>
      <c r="Q675" s="79"/>
      <c r="T675" s="79"/>
      <c r="U675" s="79"/>
      <c r="X675" s="130"/>
      <c r="Z675" s="106"/>
    </row>
    <row r="676">
      <c r="C676" s="79"/>
      <c r="D676" s="79"/>
      <c r="J676" s="79"/>
      <c r="P676" s="79"/>
      <c r="Q676" s="79"/>
      <c r="T676" s="79"/>
      <c r="U676" s="79"/>
      <c r="X676" s="130"/>
      <c r="Z676" s="106"/>
    </row>
    <row r="677">
      <c r="C677" s="79"/>
      <c r="D677" s="79"/>
      <c r="J677" s="79"/>
      <c r="P677" s="79"/>
      <c r="Q677" s="79"/>
      <c r="T677" s="79"/>
      <c r="U677" s="79"/>
      <c r="X677" s="130"/>
      <c r="Z677" s="106"/>
    </row>
    <row r="678">
      <c r="C678" s="79"/>
      <c r="D678" s="79"/>
      <c r="J678" s="79"/>
      <c r="P678" s="79"/>
      <c r="Q678" s="79"/>
      <c r="T678" s="79"/>
      <c r="U678" s="79"/>
      <c r="X678" s="130"/>
      <c r="Z678" s="106"/>
    </row>
    <row r="679">
      <c r="C679" s="79"/>
      <c r="D679" s="79"/>
      <c r="J679" s="79"/>
      <c r="P679" s="79"/>
      <c r="Q679" s="79"/>
      <c r="T679" s="79"/>
      <c r="U679" s="79"/>
      <c r="X679" s="130"/>
      <c r="Z679" s="106"/>
    </row>
    <row r="680">
      <c r="C680" s="79"/>
      <c r="D680" s="79"/>
      <c r="J680" s="79"/>
      <c r="P680" s="79"/>
      <c r="Q680" s="79"/>
      <c r="T680" s="79"/>
      <c r="U680" s="79"/>
      <c r="X680" s="130"/>
      <c r="Z680" s="106"/>
    </row>
    <row r="681">
      <c r="C681" s="79"/>
      <c r="D681" s="79"/>
      <c r="J681" s="79"/>
      <c r="P681" s="79"/>
      <c r="Q681" s="79"/>
      <c r="T681" s="79"/>
      <c r="U681" s="79"/>
      <c r="X681" s="130"/>
      <c r="Z681" s="106"/>
    </row>
    <row r="682">
      <c r="C682" s="79"/>
      <c r="D682" s="79"/>
      <c r="J682" s="79"/>
      <c r="P682" s="79"/>
      <c r="Q682" s="79"/>
      <c r="T682" s="79"/>
      <c r="U682" s="79"/>
      <c r="X682" s="130"/>
      <c r="Z682" s="106"/>
    </row>
    <row r="683">
      <c r="C683" s="79"/>
      <c r="D683" s="79"/>
      <c r="J683" s="79"/>
      <c r="P683" s="79"/>
      <c r="Q683" s="79"/>
      <c r="T683" s="79"/>
      <c r="U683" s="79"/>
      <c r="X683" s="130"/>
      <c r="Z683" s="106"/>
    </row>
    <row r="684">
      <c r="C684" s="79"/>
      <c r="D684" s="79"/>
      <c r="J684" s="79"/>
      <c r="P684" s="79"/>
      <c r="Q684" s="79"/>
      <c r="T684" s="79"/>
      <c r="U684" s="79"/>
      <c r="X684" s="130"/>
      <c r="Z684" s="106"/>
    </row>
    <row r="685">
      <c r="C685" s="79"/>
      <c r="D685" s="79"/>
      <c r="J685" s="79"/>
      <c r="P685" s="79"/>
      <c r="Q685" s="79"/>
      <c r="T685" s="79"/>
      <c r="U685" s="79"/>
      <c r="X685" s="130"/>
      <c r="Z685" s="106"/>
    </row>
    <row r="686">
      <c r="C686" s="79"/>
      <c r="D686" s="79"/>
      <c r="J686" s="79"/>
      <c r="P686" s="79"/>
      <c r="Q686" s="79"/>
      <c r="T686" s="79"/>
      <c r="U686" s="79"/>
      <c r="X686" s="130"/>
      <c r="Z686" s="106"/>
    </row>
    <row r="687">
      <c r="C687" s="79"/>
      <c r="D687" s="79"/>
      <c r="J687" s="79"/>
      <c r="P687" s="79"/>
      <c r="Q687" s="79"/>
      <c r="T687" s="79"/>
      <c r="U687" s="79"/>
      <c r="X687" s="130"/>
      <c r="Z687" s="106"/>
    </row>
    <row r="688">
      <c r="C688" s="79"/>
      <c r="D688" s="79"/>
      <c r="J688" s="79"/>
      <c r="P688" s="79"/>
      <c r="Q688" s="79"/>
      <c r="T688" s="79"/>
      <c r="U688" s="79"/>
      <c r="X688" s="130"/>
      <c r="Z688" s="106"/>
    </row>
    <row r="689">
      <c r="C689" s="79"/>
      <c r="D689" s="79"/>
      <c r="J689" s="79"/>
      <c r="P689" s="79"/>
      <c r="Q689" s="79"/>
      <c r="T689" s="79"/>
      <c r="U689" s="79"/>
      <c r="X689" s="130"/>
      <c r="Z689" s="106"/>
    </row>
    <row r="690">
      <c r="C690" s="79"/>
      <c r="D690" s="79"/>
      <c r="J690" s="79"/>
      <c r="P690" s="79"/>
      <c r="Q690" s="79"/>
      <c r="T690" s="79"/>
      <c r="U690" s="79"/>
      <c r="X690" s="130"/>
      <c r="Z690" s="106"/>
    </row>
    <row r="691">
      <c r="C691" s="79"/>
      <c r="D691" s="79"/>
      <c r="J691" s="79"/>
      <c r="P691" s="79"/>
      <c r="Q691" s="79"/>
      <c r="T691" s="79"/>
      <c r="U691" s="79"/>
      <c r="X691" s="130"/>
      <c r="Z691" s="106"/>
    </row>
    <row r="692">
      <c r="C692" s="79"/>
      <c r="D692" s="79"/>
      <c r="J692" s="79"/>
      <c r="P692" s="79"/>
      <c r="Q692" s="79"/>
      <c r="T692" s="79"/>
      <c r="U692" s="79"/>
      <c r="X692" s="130"/>
      <c r="Z692" s="106"/>
    </row>
    <row r="693">
      <c r="C693" s="79"/>
      <c r="D693" s="79"/>
      <c r="J693" s="79"/>
      <c r="P693" s="79"/>
      <c r="Q693" s="79"/>
      <c r="T693" s="79"/>
      <c r="U693" s="79"/>
      <c r="X693" s="130"/>
      <c r="Z693" s="106"/>
    </row>
    <row r="694">
      <c r="C694" s="79"/>
      <c r="D694" s="79"/>
      <c r="J694" s="79"/>
      <c r="P694" s="79"/>
      <c r="Q694" s="79"/>
      <c r="T694" s="79"/>
      <c r="U694" s="79"/>
      <c r="X694" s="130"/>
      <c r="Z694" s="106"/>
    </row>
    <row r="695">
      <c r="C695" s="79"/>
      <c r="D695" s="79"/>
      <c r="J695" s="79"/>
      <c r="P695" s="79"/>
      <c r="Q695" s="79"/>
      <c r="T695" s="79"/>
      <c r="U695" s="79"/>
      <c r="X695" s="130"/>
      <c r="Z695" s="106"/>
    </row>
    <row r="696">
      <c r="C696" s="79"/>
      <c r="D696" s="79"/>
      <c r="J696" s="79"/>
      <c r="P696" s="79"/>
      <c r="Q696" s="79"/>
      <c r="T696" s="79"/>
      <c r="U696" s="79"/>
      <c r="X696" s="130"/>
      <c r="Z696" s="106"/>
    </row>
    <row r="697">
      <c r="C697" s="79"/>
      <c r="D697" s="79"/>
      <c r="J697" s="79"/>
      <c r="P697" s="79"/>
      <c r="Q697" s="79"/>
      <c r="T697" s="79"/>
      <c r="U697" s="79"/>
      <c r="X697" s="130"/>
      <c r="Z697" s="106"/>
    </row>
    <row r="698">
      <c r="C698" s="79"/>
      <c r="D698" s="79"/>
      <c r="J698" s="79"/>
      <c r="P698" s="79"/>
      <c r="Q698" s="79"/>
      <c r="T698" s="79"/>
      <c r="U698" s="79"/>
      <c r="X698" s="130"/>
      <c r="Z698" s="106"/>
    </row>
    <row r="699">
      <c r="C699" s="79"/>
      <c r="D699" s="79"/>
      <c r="J699" s="79"/>
      <c r="P699" s="79"/>
      <c r="Q699" s="79"/>
      <c r="T699" s="79"/>
      <c r="U699" s="79"/>
      <c r="X699" s="130"/>
      <c r="Z699" s="106"/>
    </row>
    <row r="700">
      <c r="C700" s="79"/>
      <c r="D700" s="79"/>
      <c r="J700" s="79"/>
      <c r="P700" s="79"/>
      <c r="Q700" s="79"/>
      <c r="T700" s="79"/>
      <c r="U700" s="79"/>
      <c r="X700" s="130"/>
      <c r="Z700" s="106"/>
    </row>
    <row r="701">
      <c r="C701" s="79"/>
      <c r="D701" s="79"/>
      <c r="J701" s="79"/>
      <c r="P701" s="79"/>
      <c r="Q701" s="79"/>
      <c r="T701" s="79"/>
      <c r="U701" s="79"/>
      <c r="X701" s="130"/>
      <c r="Z701" s="106"/>
    </row>
    <row r="702">
      <c r="C702" s="79"/>
      <c r="D702" s="79"/>
      <c r="J702" s="79"/>
      <c r="P702" s="79"/>
      <c r="Q702" s="79"/>
      <c r="T702" s="79"/>
      <c r="U702" s="79"/>
      <c r="X702" s="130"/>
      <c r="Z702" s="106"/>
    </row>
    <row r="703">
      <c r="C703" s="79"/>
      <c r="D703" s="79"/>
      <c r="J703" s="79"/>
      <c r="P703" s="79"/>
      <c r="Q703" s="79"/>
      <c r="T703" s="79"/>
      <c r="U703" s="79"/>
      <c r="X703" s="130"/>
      <c r="Z703" s="106"/>
    </row>
    <row r="704">
      <c r="C704" s="79"/>
      <c r="D704" s="79"/>
      <c r="J704" s="79"/>
      <c r="P704" s="79"/>
      <c r="Q704" s="79"/>
      <c r="T704" s="79"/>
      <c r="U704" s="79"/>
      <c r="X704" s="130"/>
      <c r="Z704" s="106"/>
    </row>
    <row r="705">
      <c r="C705" s="79"/>
      <c r="D705" s="79"/>
      <c r="J705" s="79"/>
      <c r="P705" s="79"/>
      <c r="Q705" s="79"/>
      <c r="T705" s="79"/>
      <c r="U705" s="79"/>
      <c r="X705" s="130"/>
      <c r="Z705" s="106"/>
    </row>
    <row r="706">
      <c r="C706" s="79"/>
      <c r="D706" s="79"/>
      <c r="J706" s="79"/>
      <c r="P706" s="79"/>
      <c r="Q706" s="79"/>
      <c r="T706" s="79"/>
      <c r="U706" s="79"/>
      <c r="X706" s="130"/>
      <c r="Z706" s="106"/>
    </row>
    <row r="707">
      <c r="C707" s="79"/>
      <c r="D707" s="79"/>
      <c r="J707" s="79"/>
      <c r="P707" s="79"/>
      <c r="Q707" s="79"/>
      <c r="T707" s="79"/>
      <c r="U707" s="79"/>
      <c r="X707" s="130"/>
      <c r="Z707" s="106"/>
    </row>
    <row r="708">
      <c r="C708" s="79"/>
      <c r="D708" s="79"/>
      <c r="J708" s="79"/>
      <c r="P708" s="79"/>
      <c r="Q708" s="79"/>
      <c r="T708" s="79"/>
      <c r="U708" s="79"/>
      <c r="X708" s="130"/>
      <c r="Z708" s="106"/>
    </row>
    <row r="709">
      <c r="C709" s="79"/>
      <c r="D709" s="79"/>
      <c r="J709" s="79"/>
      <c r="P709" s="79"/>
      <c r="Q709" s="79"/>
      <c r="T709" s="79"/>
      <c r="U709" s="79"/>
      <c r="X709" s="130"/>
      <c r="Z709" s="106"/>
    </row>
    <row r="710">
      <c r="C710" s="79"/>
      <c r="D710" s="79"/>
      <c r="J710" s="79"/>
      <c r="P710" s="79"/>
      <c r="Q710" s="79"/>
      <c r="T710" s="79"/>
      <c r="U710" s="79"/>
      <c r="X710" s="130"/>
      <c r="Z710" s="106"/>
    </row>
    <row r="711">
      <c r="C711" s="79"/>
      <c r="D711" s="79"/>
      <c r="J711" s="79"/>
      <c r="P711" s="79"/>
      <c r="Q711" s="79"/>
      <c r="T711" s="79"/>
      <c r="U711" s="79"/>
      <c r="X711" s="130"/>
      <c r="Z711" s="106"/>
    </row>
    <row r="712">
      <c r="C712" s="79"/>
      <c r="D712" s="79"/>
      <c r="J712" s="79"/>
      <c r="P712" s="79"/>
      <c r="Q712" s="79"/>
      <c r="T712" s="79"/>
      <c r="U712" s="79"/>
      <c r="X712" s="130"/>
      <c r="Z712" s="106"/>
    </row>
    <row r="713">
      <c r="C713" s="79"/>
      <c r="D713" s="79"/>
      <c r="J713" s="79"/>
      <c r="P713" s="79"/>
      <c r="Q713" s="79"/>
      <c r="T713" s="79"/>
      <c r="U713" s="79"/>
      <c r="X713" s="130"/>
      <c r="Z713" s="106"/>
    </row>
    <row r="714">
      <c r="C714" s="79"/>
      <c r="D714" s="79"/>
      <c r="J714" s="79"/>
      <c r="P714" s="79"/>
      <c r="Q714" s="79"/>
      <c r="T714" s="79"/>
      <c r="U714" s="79"/>
      <c r="X714" s="130"/>
      <c r="Z714" s="106"/>
    </row>
    <row r="715">
      <c r="C715" s="79"/>
      <c r="D715" s="79"/>
      <c r="J715" s="79"/>
      <c r="P715" s="79"/>
      <c r="Q715" s="79"/>
      <c r="T715" s="79"/>
      <c r="U715" s="79"/>
      <c r="X715" s="130"/>
      <c r="Z715" s="106"/>
    </row>
    <row r="716">
      <c r="C716" s="79"/>
      <c r="D716" s="79"/>
      <c r="J716" s="79"/>
      <c r="P716" s="79"/>
      <c r="Q716" s="79"/>
      <c r="T716" s="79"/>
      <c r="U716" s="79"/>
      <c r="X716" s="130"/>
      <c r="Z716" s="106"/>
    </row>
    <row r="717">
      <c r="C717" s="79"/>
      <c r="D717" s="79"/>
      <c r="J717" s="79"/>
      <c r="P717" s="79"/>
      <c r="Q717" s="79"/>
      <c r="T717" s="79"/>
      <c r="U717" s="79"/>
      <c r="X717" s="130"/>
      <c r="Z717" s="106"/>
    </row>
    <row r="718">
      <c r="C718" s="79"/>
      <c r="D718" s="79"/>
      <c r="J718" s="79"/>
      <c r="P718" s="79"/>
      <c r="Q718" s="79"/>
      <c r="T718" s="79"/>
      <c r="U718" s="79"/>
      <c r="X718" s="130"/>
      <c r="Z718" s="106"/>
    </row>
    <row r="719">
      <c r="C719" s="79"/>
      <c r="D719" s="79"/>
      <c r="J719" s="79"/>
      <c r="P719" s="79"/>
      <c r="Q719" s="79"/>
      <c r="T719" s="79"/>
      <c r="U719" s="79"/>
      <c r="X719" s="130"/>
      <c r="Z719" s="106"/>
    </row>
    <row r="720">
      <c r="C720" s="79"/>
      <c r="D720" s="79"/>
      <c r="J720" s="79"/>
      <c r="P720" s="79"/>
      <c r="Q720" s="79"/>
      <c r="T720" s="79"/>
      <c r="U720" s="79"/>
      <c r="X720" s="130"/>
      <c r="Z720" s="106"/>
    </row>
    <row r="721">
      <c r="C721" s="79"/>
      <c r="D721" s="79"/>
      <c r="J721" s="79"/>
      <c r="P721" s="79"/>
      <c r="Q721" s="79"/>
      <c r="T721" s="79"/>
      <c r="U721" s="79"/>
      <c r="X721" s="130"/>
      <c r="Z721" s="106"/>
    </row>
    <row r="722">
      <c r="C722" s="79"/>
      <c r="D722" s="79"/>
      <c r="J722" s="79"/>
      <c r="P722" s="79"/>
      <c r="Q722" s="79"/>
      <c r="T722" s="79"/>
      <c r="U722" s="79"/>
      <c r="X722" s="130"/>
      <c r="Z722" s="106"/>
    </row>
    <row r="723">
      <c r="C723" s="79"/>
      <c r="D723" s="79"/>
      <c r="J723" s="79"/>
      <c r="P723" s="79"/>
      <c r="Q723" s="79"/>
      <c r="T723" s="79"/>
      <c r="U723" s="79"/>
      <c r="X723" s="130"/>
      <c r="Z723" s="106"/>
    </row>
    <row r="724">
      <c r="C724" s="79"/>
      <c r="D724" s="79"/>
      <c r="J724" s="79"/>
      <c r="P724" s="79"/>
      <c r="Q724" s="79"/>
      <c r="T724" s="79"/>
      <c r="U724" s="79"/>
      <c r="X724" s="130"/>
      <c r="Z724" s="106"/>
    </row>
    <row r="725">
      <c r="C725" s="79"/>
      <c r="D725" s="79"/>
      <c r="J725" s="79"/>
      <c r="P725" s="79"/>
      <c r="Q725" s="79"/>
      <c r="T725" s="79"/>
      <c r="U725" s="79"/>
      <c r="X725" s="130"/>
      <c r="Z725" s="106"/>
    </row>
    <row r="726">
      <c r="C726" s="79"/>
      <c r="D726" s="79"/>
      <c r="J726" s="79"/>
      <c r="P726" s="79"/>
      <c r="Q726" s="79"/>
      <c r="T726" s="79"/>
      <c r="U726" s="79"/>
      <c r="X726" s="130"/>
      <c r="Z726" s="106"/>
    </row>
    <row r="727">
      <c r="C727" s="79"/>
      <c r="D727" s="79"/>
      <c r="J727" s="79"/>
      <c r="P727" s="79"/>
      <c r="Q727" s="79"/>
      <c r="T727" s="79"/>
      <c r="U727" s="79"/>
      <c r="X727" s="130"/>
      <c r="Z727" s="106"/>
    </row>
    <row r="728">
      <c r="C728" s="79"/>
      <c r="D728" s="79"/>
      <c r="J728" s="79"/>
      <c r="P728" s="79"/>
      <c r="Q728" s="79"/>
      <c r="T728" s="79"/>
      <c r="U728" s="79"/>
      <c r="X728" s="130"/>
      <c r="Z728" s="106"/>
    </row>
    <row r="729">
      <c r="C729" s="79"/>
      <c r="D729" s="79"/>
      <c r="J729" s="79"/>
      <c r="P729" s="79"/>
      <c r="Q729" s="79"/>
      <c r="T729" s="79"/>
      <c r="U729" s="79"/>
      <c r="X729" s="130"/>
      <c r="Z729" s="106"/>
    </row>
    <row r="730">
      <c r="C730" s="79"/>
      <c r="D730" s="79"/>
      <c r="J730" s="79"/>
      <c r="P730" s="79"/>
      <c r="Q730" s="79"/>
      <c r="T730" s="79"/>
      <c r="U730" s="79"/>
      <c r="X730" s="130"/>
      <c r="Z730" s="106"/>
    </row>
    <row r="731">
      <c r="C731" s="79"/>
      <c r="D731" s="79"/>
      <c r="J731" s="79"/>
      <c r="P731" s="79"/>
      <c r="Q731" s="79"/>
      <c r="T731" s="79"/>
      <c r="U731" s="79"/>
      <c r="X731" s="130"/>
      <c r="Z731" s="106"/>
    </row>
    <row r="732">
      <c r="C732" s="79"/>
      <c r="D732" s="79"/>
      <c r="J732" s="79"/>
      <c r="P732" s="79"/>
      <c r="Q732" s="79"/>
      <c r="T732" s="79"/>
      <c r="U732" s="79"/>
      <c r="X732" s="130"/>
      <c r="Z732" s="106"/>
    </row>
    <row r="733">
      <c r="C733" s="79"/>
      <c r="D733" s="79"/>
      <c r="J733" s="79"/>
      <c r="P733" s="79"/>
      <c r="Q733" s="79"/>
      <c r="T733" s="79"/>
      <c r="U733" s="79"/>
      <c r="X733" s="130"/>
      <c r="Z733" s="106"/>
    </row>
    <row r="734">
      <c r="C734" s="79"/>
      <c r="D734" s="79"/>
      <c r="J734" s="79"/>
      <c r="P734" s="79"/>
      <c r="Q734" s="79"/>
      <c r="T734" s="79"/>
      <c r="U734" s="79"/>
      <c r="X734" s="130"/>
      <c r="Z734" s="106"/>
    </row>
    <row r="735">
      <c r="C735" s="79"/>
      <c r="D735" s="79"/>
      <c r="J735" s="79"/>
      <c r="P735" s="79"/>
      <c r="Q735" s="79"/>
      <c r="T735" s="79"/>
      <c r="U735" s="79"/>
      <c r="X735" s="130"/>
      <c r="Z735" s="106"/>
    </row>
    <row r="736">
      <c r="C736" s="79"/>
      <c r="D736" s="79"/>
      <c r="J736" s="79"/>
      <c r="P736" s="79"/>
      <c r="Q736" s="79"/>
      <c r="T736" s="79"/>
      <c r="U736" s="79"/>
      <c r="X736" s="130"/>
      <c r="Z736" s="106"/>
    </row>
    <row r="737">
      <c r="C737" s="79"/>
      <c r="D737" s="79"/>
      <c r="J737" s="79"/>
      <c r="P737" s="79"/>
      <c r="Q737" s="79"/>
      <c r="T737" s="79"/>
      <c r="U737" s="79"/>
      <c r="X737" s="130"/>
      <c r="Z737" s="106"/>
    </row>
    <row r="738">
      <c r="C738" s="79"/>
      <c r="D738" s="79"/>
      <c r="J738" s="79"/>
      <c r="P738" s="79"/>
      <c r="Q738" s="79"/>
      <c r="T738" s="79"/>
      <c r="U738" s="79"/>
      <c r="X738" s="130"/>
      <c r="Z738" s="106"/>
    </row>
    <row r="739">
      <c r="C739" s="79"/>
      <c r="D739" s="79"/>
      <c r="J739" s="79"/>
      <c r="P739" s="79"/>
      <c r="Q739" s="79"/>
      <c r="T739" s="79"/>
      <c r="U739" s="79"/>
      <c r="X739" s="130"/>
      <c r="Z739" s="106"/>
    </row>
    <row r="740">
      <c r="C740" s="79"/>
      <c r="D740" s="79"/>
      <c r="J740" s="79"/>
      <c r="P740" s="79"/>
      <c r="Q740" s="79"/>
      <c r="T740" s="79"/>
      <c r="U740" s="79"/>
      <c r="X740" s="130"/>
      <c r="Z740" s="106"/>
    </row>
    <row r="741">
      <c r="C741" s="79"/>
      <c r="D741" s="79"/>
      <c r="J741" s="79"/>
      <c r="P741" s="79"/>
      <c r="Q741" s="79"/>
      <c r="T741" s="79"/>
      <c r="U741" s="79"/>
      <c r="X741" s="130"/>
      <c r="Z741" s="106"/>
    </row>
    <row r="742">
      <c r="C742" s="79"/>
      <c r="D742" s="79"/>
      <c r="J742" s="79"/>
      <c r="P742" s="79"/>
      <c r="Q742" s="79"/>
      <c r="T742" s="79"/>
      <c r="U742" s="79"/>
      <c r="X742" s="130"/>
      <c r="Z742" s="106"/>
    </row>
    <row r="743">
      <c r="C743" s="79"/>
      <c r="D743" s="79"/>
      <c r="J743" s="79"/>
      <c r="P743" s="79"/>
      <c r="Q743" s="79"/>
      <c r="T743" s="79"/>
      <c r="U743" s="79"/>
      <c r="X743" s="130"/>
      <c r="Z743" s="106"/>
    </row>
    <row r="744">
      <c r="C744" s="79"/>
      <c r="D744" s="79"/>
      <c r="J744" s="79"/>
      <c r="P744" s="79"/>
      <c r="Q744" s="79"/>
      <c r="T744" s="79"/>
      <c r="U744" s="79"/>
      <c r="X744" s="130"/>
      <c r="Z744" s="106"/>
    </row>
    <row r="745">
      <c r="C745" s="79"/>
      <c r="D745" s="79"/>
      <c r="J745" s="79"/>
      <c r="P745" s="79"/>
      <c r="Q745" s="79"/>
      <c r="T745" s="79"/>
      <c r="U745" s="79"/>
      <c r="X745" s="130"/>
      <c r="Z745" s="106"/>
    </row>
    <row r="746">
      <c r="C746" s="79"/>
      <c r="D746" s="79"/>
      <c r="J746" s="79"/>
      <c r="P746" s="79"/>
      <c r="Q746" s="79"/>
      <c r="T746" s="79"/>
      <c r="U746" s="79"/>
      <c r="X746" s="130"/>
      <c r="Z746" s="106"/>
    </row>
    <row r="747">
      <c r="C747" s="79"/>
      <c r="D747" s="79"/>
      <c r="J747" s="79"/>
      <c r="P747" s="79"/>
      <c r="Q747" s="79"/>
      <c r="T747" s="79"/>
      <c r="U747" s="79"/>
      <c r="X747" s="130"/>
      <c r="Z747" s="106"/>
    </row>
    <row r="748">
      <c r="C748" s="79"/>
      <c r="D748" s="79"/>
      <c r="J748" s="79"/>
      <c r="P748" s="79"/>
      <c r="Q748" s="79"/>
      <c r="T748" s="79"/>
      <c r="U748" s="79"/>
      <c r="X748" s="130"/>
      <c r="Z748" s="106"/>
    </row>
    <row r="749">
      <c r="C749" s="79"/>
      <c r="D749" s="79"/>
      <c r="J749" s="79"/>
      <c r="P749" s="79"/>
      <c r="Q749" s="79"/>
      <c r="T749" s="79"/>
      <c r="U749" s="79"/>
      <c r="X749" s="130"/>
      <c r="Z749" s="106"/>
    </row>
    <row r="750">
      <c r="C750" s="79"/>
      <c r="D750" s="79"/>
      <c r="J750" s="79"/>
      <c r="P750" s="79"/>
      <c r="Q750" s="79"/>
      <c r="T750" s="79"/>
      <c r="U750" s="79"/>
      <c r="X750" s="130"/>
      <c r="Z750" s="106"/>
    </row>
    <row r="751">
      <c r="C751" s="79"/>
      <c r="D751" s="79"/>
      <c r="J751" s="79"/>
      <c r="P751" s="79"/>
      <c r="Q751" s="79"/>
      <c r="T751" s="79"/>
      <c r="U751" s="79"/>
      <c r="X751" s="130"/>
      <c r="Z751" s="106"/>
    </row>
    <row r="752">
      <c r="C752" s="79"/>
      <c r="D752" s="79"/>
      <c r="J752" s="79"/>
      <c r="P752" s="79"/>
      <c r="Q752" s="79"/>
      <c r="T752" s="79"/>
      <c r="U752" s="79"/>
      <c r="X752" s="130"/>
      <c r="Z752" s="106"/>
    </row>
    <row r="753">
      <c r="C753" s="79"/>
      <c r="D753" s="79"/>
      <c r="J753" s="79"/>
      <c r="P753" s="79"/>
      <c r="Q753" s="79"/>
      <c r="T753" s="79"/>
      <c r="U753" s="79"/>
      <c r="X753" s="130"/>
      <c r="Z753" s="106"/>
    </row>
    <row r="754">
      <c r="C754" s="79"/>
      <c r="D754" s="79"/>
      <c r="J754" s="79"/>
      <c r="P754" s="79"/>
      <c r="Q754" s="79"/>
      <c r="T754" s="79"/>
      <c r="U754" s="79"/>
      <c r="X754" s="130"/>
      <c r="Z754" s="106"/>
    </row>
    <row r="755">
      <c r="C755" s="79"/>
      <c r="D755" s="79"/>
      <c r="J755" s="79"/>
      <c r="P755" s="79"/>
      <c r="Q755" s="79"/>
      <c r="T755" s="79"/>
      <c r="U755" s="79"/>
      <c r="X755" s="130"/>
      <c r="Z755" s="106"/>
    </row>
    <row r="756">
      <c r="C756" s="79"/>
      <c r="D756" s="79"/>
      <c r="J756" s="79"/>
      <c r="P756" s="79"/>
      <c r="Q756" s="79"/>
      <c r="T756" s="79"/>
      <c r="U756" s="79"/>
      <c r="X756" s="130"/>
      <c r="Z756" s="106"/>
    </row>
    <row r="757">
      <c r="C757" s="79"/>
      <c r="D757" s="79"/>
      <c r="J757" s="79"/>
      <c r="P757" s="79"/>
      <c r="Q757" s="79"/>
      <c r="T757" s="79"/>
      <c r="U757" s="79"/>
      <c r="X757" s="130"/>
      <c r="Z757" s="106"/>
    </row>
    <row r="758">
      <c r="C758" s="79"/>
      <c r="D758" s="79"/>
      <c r="J758" s="79"/>
      <c r="P758" s="79"/>
      <c r="Q758" s="79"/>
      <c r="T758" s="79"/>
      <c r="U758" s="79"/>
      <c r="X758" s="130"/>
      <c r="Z758" s="106"/>
    </row>
    <row r="759">
      <c r="C759" s="79"/>
      <c r="D759" s="79"/>
      <c r="J759" s="79"/>
      <c r="P759" s="79"/>
      <c r="Q759" s="79"/>
      <c r="T759" s="79"/>
      <c r="U759" s="79"/>
      <c r="X759" s="130"/>
      <c r="Z759" s="106"/>
    </row>
    <row r="760">
      <c r="C760" s="79"/>
      <c r="D760" s="79"/>
      <c r="J760" s="79"/>
      <c r="P760" s="79"/>
      <c r="Q760" s="79"/>
      <c r="T760" s="79"/>
      <c r="U760" s="79"/>
      <c r="X760" s="130"/>
      <c r="Z760" s="106"/>
    </row>
    <row r="761">
      <c r="C761" s="79"/>
      <c r="D761" s="79"/>
      <c r="J761" s="79"/>
      <c r="P761" s="79"/>
      <c r="Q761" s="79"/>
      <c r="T761" s="79"/>
      <c r="U761" s="79"/>
      <c r="X761" s="130"/>
      <c r="Z761" s="106"/>
    </row>
    <row r="762">
      <c r="C762" s="79"/>
      <c r="D762" s="79"/>
      <c r="J762" s="79"/>
      <c r="P762" s="79"/>
      <c r="Q762" s="79"/>
      <c r="T762" s="79"/>
      <c r="U762" s="79"/>
      <c r="X762" s="130"/>
      <c r="Z762" s="106"/>
    </row>
    <row r="763">
      <c r="C763" s="79"/>
      <c r="D763" s="79"/>
      <c r="J763" s="79"/>
      <c r="P763" s="79"/>
      <c r="Q763" s="79"/>
      <c r="T763" s="79"/>
      <c r="U763" s="79"/>
      <c r="X763" s="130"/>
      <c r="Z763" s="106"/>
    </row>
    <row r="764">
      <c r="C764" s="79"/>
      <c r="D764" s="79"/>
      <c r="J764" s="79"/>
      <c r="P764" s="79"/>
      <c r="Q764" s="79"/>
      <c r="T764" s="79"/>
      <c r="U764" s="79"/>
      <c r="X764" s="130"/>
      <c r="Z764" s="106"/>
    </row>
    <row r="765">
      <c r="C765" s="79"/>
      <c r="D765" s="79"/>
      <c r="J765" s="79"/>
      <c r="P765" s="79"/>
      <c r="Q765" s="79"/>
      <c r="T765" s="79"/>
      <c r="U765" s="79"/>
      <c r="X765" s="130"/>
      <c r="Z765" s="106"/>
    </row>
    <row r="766">
      <c r="C766" s="79"/>
      <c r="D766" s="79"/>
      <c r="J766" s="79"/>
      <c r="P766" s="79"/>
      <c r="Q766" s="79"/>
      <c r="T766" s="79"/>
      <c r="U766" s="79"/>
      <c r="X766" s="130"/>
      <c r="Z766" s="106"/>
    </row>
    <row r="767">
      <c r="C767" s="79"/>
      <c r="D767" s="79"/>
      <c r="J767" s="79"/>
      <c r="P767" s="79"/>
      <c r="Q767" s="79"/>
      <c r="T767" s="79"/>
      <c r="U767" s="79"/>
      <c r="X767" s="130"/>
      <c r="Z767" s="106"/>
    </row>
    <row r="768">
      <c r="C768" s="79"/>
      <c r="D768" s="79"/>
      <c r="J768" s="79"/>
      <c r="P768" s="79"/>
      <c r="Q768" s="79"/>
      <c r="T768" s="79"/>
      <c r="U768" s="79"/>
      <c r="X768" s="130"/>
      <c r="Z768" s="106"/>
    </row>
    <row r="769">
      <c r="C769" s="79"/>
      <c r="D769" s="79"/>
      <c r="J769" s="79"/>
      <c r="P769" s="79"/>
      <c r="Q769" s="79"/>
      <c r="T769" s="79"/>
      <c r="U769" s="79"/>
      <c r="X769" s="130"/>
      <c r="Z769" s="106"/>
    </row>
    <row r="770">
      <c r="C770" s="79"/>
      <c r="D770" s="79"/>
      <c r="J770" s="79"/>
      <c r="P770" s="79"/>
      <c r="Q770" s="79"/>
      <c r="T770" s="79"/>
      <c r="U770" s="79"/>
      <c r="X770" s="130"/>
      <c r="Z770" s="106"/>
    </row>
    <row r="771">
      <c r="C771" s="79"/>
      <c r="D771" s="79"/>
      <c r="J771" s="79"/>
      <c r="P771" s="79"/>
      <c r="Q771" s="79"/>
      <c r="T771" s="79"/>
      <c r="U771" s="79"/>
      <c r="X771" s="130"/>
      <c r="Z771" s="106"/>
    </row>
    <row r="772">
      <c r="C772" s="79"/>
      <c r="D772" s="79"/>
      <c r="J772" s="79"/>
      <c r="P772" s="79"/>
      <c r="Q772" s="79"/>
      <c r="T772" s="79"/>
      <c r="U772" s="79"/>
      <c r="X772" s="130"/>
      <c r="Z772" s="106"/>
    </row>
    <row r="773">
      <c r="C773" s="79"/>
      <c r="D773" s="79"/>
      <c r="J773" s="79"/>
      <c r="P773" s="79"/>
      <c r="Q773" s="79"/>
      <c r="T773" s="79"/>
      <c r="U773" s="79"/>
      <c r="X773" s="130"/>
      <c r="Z773" s="106"/>
    </row>
    <row r="774">
      <c r="C774" s="79"/>
      <c r="D774" s="79"/>
      <c r="J774" s="79"/>
      <c r="P774" s="79"/>
      <c r="Q774" s="79"/>
      <c r="T774" s="79"/>
      <c r="U774" s="79"/>
      <c r="X774" s="130"/>
      <c r="Z774" s="106"/>
    </row>
    <row r="775">
      <c r="C775" s="79"/>
      <c r="D775" s="79"/>
      <c r="J775" s="79"/>
      <c r="P775" s="79"/>
      <c r="Q775" s="79"/>
      <c r="T775" s="79"/>
      <c r="U775" s="79"/>
      <c r="X775" s="130"/>
      <c r="Z775" s="106"/>
    </row>
    <row r="776">
      <c r="C776" s="79"/>
      <c r="D776" s="79"/>
      <c r="J776" s="79"/>
      <c r="P776" s="79"/>
      <c r="Q776" s="79"/>
      <c r="T776" s="79"/>
      <c r="U776" s="79"/>
      <c r="X776" s="130"/>
      <c r="Z776" s="106"/>
    </row>
    <row r="777">
      <c r="C777" s="79"/>
      <c r="D777" s="79"/>
      <c r="J777" s="79"/>
      <c r="P777" s="79"/>
      <c r="Q777" s="79"/>
      <c r="T777" s="79"/>
      <c r="U777" s="79"/>
      <c r="X777" s="130"/>
      <c r="Z777" s="106"/>
    </row>
    <row r="778">
      <c r="C778" s="79"/>
      <c r="D778" s="79"/>
      <c r="J778" s="79"/>
      <c r="P778" s="79"/>
      <c r="Q778" s="79"/>
      <c r="T778" s="79"/>
      <c r="U778" s="79"/>
      <c r="X778" s="130"/>
      <c r="Z778" s="106"/>
    </row>
    <row r="779">
      <c r="C779" s="79"/>
      <c r="D779" s="79"/>
      <c r="J779" s="79"/>
      <c r="P779" s="79"/>
      <c r="Q779" s="79"/>
      <c r="T779" s="79"/>
      <c r="U779" s="79"/>
      <c r="X779" s="130"/>
      <c r="Z779" s="106"/>
    </row>
    <row r="780">
      <c r="C780" s="79"/>
      <c r="D780" s="79"/>
      <c r="J780" s="79"/>
      <c r="P780" s="79"/>
      <c r="Q780" s="79"/>
      <c r="T780" s="79"/>
      <c r="U780" s="79"/>
      <c r="X780" s="130"/>
      <c r="Z780" s="106"/>
    </row>
    <row r="781">
      <c r="C781" s="79"/>
      <c r="D781" s="79"/>
      <c r="J781" s="79"/>
      <c r="P781" s="79"/>
      <c r="Q781" s="79"/>
      <c r="T781" s="79"/>
      <c r="U781" s="79"/>
      <c r="X781" s="130"/>
      <c r="Z781" s="106"/>
    </row>
    <row r="782">
      <c r="C782" s="79"/>
      <c r="D782" s="79"/>
      <c r="J782" s="79"/>
      <c r="P782" s="79"/>
      <c r="Q782" s="79"/>
      <c r="T782" s="79"/>
      <c r="U782" s="79"/>
      <c r="X782" s="130"/>
      <c r="Z782" s="106"/>
    </row>
    <row r="783">
      <c r="C783" s="79"/>
      <c r="D783" s="79"/>
      <c r="J783" s="79"/>
      <c r="P783" s="79"/>
      <c r="Q783" s="79"/>
      <c r="T783" s="79"/>
      <c r="U783" s="79"/>
      <c r="X783" s="130"/>
      <c r="Z783" s="106"/>
    </row>
    <row r="784">
      <c r="C784" s="79"/>
      <c r="D784" s="79"/>
      <c r="J784" s="79"/>
      <c r="P784" s="79"/>
      <c r="Q784" s="79"/>
      <c r="T784" s="79"/>
      <c r="U784" s="79"/>
      <c r="X784" s="130"/>
      <c r="Z784" s="106"/>
    </row>
    <row r="785">
      <c r="C785" s="79"/>
      <c r="D785" s="79"/>
      <c r="J785" s="79"/>
      <c r="P785" s="79"/>
      <c r="Q785" s="79"/>
      <c r="T785" s="79"/>
      <c r="U785" s="79"/>
      <c r="X785" s="130"/>
      <c r="Z785" s="106"/>
    </row>
    <row r="786">
      <c r="C786" s="79"/>
      <c r="D786" s="79"/>
      <c r="J786" s="79"/>
      <c r="P786" s="79"/>
      <c r="Q786" s="79"/>
      <c r="T786" s="79"/>
      <c r="U786" s="79"/>
      <c r="X786" s="130"/>
      <c r="Z786" s="106"/>
    </row>
    <row r="787">
      <c r="C787" s="79"/>
      <c r="D787" s="79"/>
      <c r="J787" s="79"/>
      <c r="P787" s="79"/>
      <c r="Q787" s="79"/>
      <c r="T787" s="79"/>
      <c r="U787" s="79"/>
      <c r="X787" s="130"/>
      <c r="Z787" s="106"/>
    </row>
    <row r="788">
      <c r="C788" s="79"/>
      <c r="D788" s="79"/>
      <c r="J788" s="79"/>
      <c r="P788" s="79"/>
      <c r="Q788" s="79"/>
      <c r="T788" s="79"/>
      <c r="U788" s="79"/>
      <c r="X788" s="130"/>
      <c r="Z788" s="106"/>
    </row>
    <row r="789">
      <c r="C789" s="79"/>
      <c r="D789" s="79"/>
      <c r="J789" s="79"/>
      <c r="P789" s="79"/>
      <c r="Q789" s="79"/>
      <c r="T789" s="79"/>
      <c r="U789" s="79"/>
      <c r="X789" s="130"/>
      <c r="Z789" s="106"/>
    </row>
    <row r="790">
      <c r="C790" s="79"/>
      <c r="D790" s="79"/>
      <c r="J790" s="79"/>
      <c r="P790" s="79"/>
      <c r="Q790" s="79"/>
      <c r="T790" s="79"/>
      <c r="U790" s="79"/>
      <c r="X790" s="130"/>
      <c r="Z790" s="106"/>
    </row>
    <row r="791">
      <c r="C791" s="79"/>
      <c r="D791" s="79"/>
      <c r="J791" s="79"/>
      <c r="P791" s="79"/>
      <c r="Q791" s="79"/>
      <c r="T791" s="79"/>
      <c r="U791" s="79"/>
      <c r="X791" s="130"/>
      <c r="Z791" s="106"/>
    </row>
    <row r="792">
      <c r="C792" s="79"/>
      <c r="D792" s="79"/>
      <c r="J792" s="79"/>
      <c r="P792" s="79"/>
      <c r="Q792" s="79"/>
      <c r="T792" s="79"/>
      <c r="U792" s="79"/>
      <c r="X792" s="130"/>
      <c r="Z792" s="106"/>
    </row>
    <row r="793">
      <c r="C793" s="79"/>
      <c r="D793" s="79"/>
      <c r="J793" s="79"/>
      <c r="P793" s="79"/>
      <c r="Q793" s="79"/>
      <c r="T793" s="79"/>
      <c r="U793" s="79"/>
      <c r="X793" s="130"/>
      <c r="Z793" s="106"/>
    </row>
    <row r="794">
      <c r="C794" s="79"/>
      <c r="D794" s="79"/>
      <c r="J794" s="79"/>
      <c r="P794" s="79"/>
      <c r="Q794" s="79"/>
      <c r="T794" s="79"/>
      <c r="U794" s="79"/>
      <c r="X794" s="130"/>
      <c r="Z794" s="106"/>
    </row>
    <row r="795">
      <c r="C795" s="79"/>
      <c r="D795" s="79"/>
      <c r="J795" s="79"/>
      <c r="P795" s="79"/>
      <c r="Q795" s="79"/>
      <c r="T795" s="79"/>
      <c r="U795" s="79"/>
      <c r="X795" s="130"/>
      <c r="Z795" s="106"/>
    </row>
    <row r="796">
      <c r="C796" s="79"/>
      <c r="D796" s="79"/>
      <c r="J796" s="79"/>
      <c r="P796" s="79"/>
      <c r="Q796" s="79"/>
      <c r="T796" s="79"/>
      <c r="U796" s="79"/>
      <c r="X796" s="130"/>
      <c r="Z796" s="106"/>
    </row>
    <row r="797">
      <c r="C797" s="79"/>
      <c r="D797" s="79"/>
      <c r="J797" s="79"/>
      <c r="P797" s="79"/>
      <c r="Q797" s="79"/>
      <c r="T797" s="79"/>
      <c r="U797" s="79"/>
      <c r="X797" s="130"/>
      <c r="Z797" s="106"/>
    </row>
    <row r="798">
      <c r="C798" s="79"/>
      <c r="D798" s="79"/>
      <c r="J798" s="79"/>
      <c r="P798" s="79"/>
      <c r="Q798" s="79"/>
      <c r="T798" s="79"/>
      <c r="U798" s="79"/>
      <c r="X798" s="130"/>
      <c r="Z798" s="106"/>
    </row>
    <row r="799">
      <c r="C799" s="79"/>
      <c r="D799" s="79"/>
      <c r="J799" s="79"/>
      <c r="P799" s="79"/>
      <c r="Q799" s="79"/>
      <c r="T799" s="79"/>
      <c r="U799" s="79"/>
      <c r="X799" s="130"/>
      <c r="Z799" s="106"/>
    </row>
    <row r="800">
      <c r="C800" s="79"/>
      <c r="D800" s="79"/>
      <c r="J800" s="79"/>
      <c r="P800" s="79"/>
      <c r="Q800" s="79"/>
      <c r="T800" s="79"/>
      <c r="U800" s="79"/>
      <c r="X800" s="130"/>
      <c r="Z800" s="106"/>
    </row>
    <row r="801">
      <c r="C801" s="79"/>
      <c r="D801" s="79"/>
      <c r="J801" s="79"/>
      <c r="P801" s="79"/>
      <c r="Q801" s="79"/>
      <c r="T801" s="79"/>
      <c r="U801" s="79"/>
      <c r="X801" s="130"/>
      <c r="Z801" s="106"/>
    </row>
    <row r="802">
      <c r="C802" s="79"/>
      <c r="D802" s="79"/>
      <c r="J802" s="79"/>
      <c r="P802" s="79"/>
      <c r="Q802" s="79"/>
      <c r="T802" s="79"/>
      <c r="U802" s="79"/>
      <c r="X802" s="130"/>
      <c r="Z802" s="106"/>
    </row>
    <row r="803">
      <c r="C803" s="79"/>
      <c r="D803" s="79"/>
      <c r="J803" s="79"/>
      <c r="P803" s="79"/>
      <c r="Q803" s="79"/>
      <c r="T803" s="79"/>
      <c r="U803" s="79"/>
      <c r="X803" s="130"/>
      <c r="Z803" s="106"/>
    </row>
    <row r="804">
      <c r="C804" s="79"/>
      <c r="D804" s="79"/>
      <c r="J804" s="79"/>
      <c r="P804" s="79"/>
      <c r="Q804" s="79"/>
      <c r="T804" s="79"/>
      <c r="U804" s="79"/>
      <c r="X804" s="130"/>
      <c r="Z804" s="106"/>
    </row>
    <row r="805">
      <c r="C805" s="79"/>
      <c r="D805" s="79"/>
      <c r="J805" s="79"/>
      <c r="P805" s="79"/>
      <c r="Q805" s="79"/>
      <c r="T805" s="79"/>
      <c r="U805" s="79"/>
      <c r="X805" s="130"/>
      <c r="Z805" s="106"/>
    </row>
    <row r="806">
      <c r="C806" s="79"/>
      <c r="D806" s="79"/>
      <c r="J806" s="79"/>
      <c r="P806" s="79"/>
      <c r="Q806" s="79"/>
      <c r="T806" s="79"/>
      <c r="U806" s="79"/>
      <c r="X806" s="130"/>
      <c r="Z806" s="106"/>
    </row>
    <row r="807">
      <c r="C807" s="79"/>
      <c r="D807" s="79"/>
      <c r="J807" s="79"/>
      <c r="P807" s="79"/>
      <c r="Q807" s="79"/>
      <c r="T807" s="79"/>
      <c r="U807" s="79"/>
      <c r="X807" s="130"/>
      <c r="Z807" s="106"/>
    </row>
    <row r="808">
      <c r="C808" s="79"/>
      <c r="D808" s="79"/>
      <c r="J808" s="79"/>
      <c r="P808" s="79"/>
      <c r="Q808" s="79"/>
      <c r="T808" s="79"/>
      <c r="U808" s="79"/>
      <c r="X808" s="130"/>
      <c r="Z808" s="106"/>
    </row>
    <row r="809">
      <c r="C809" s="79"/>
      <c r="D809" s="79"/>
      <c r="J809" s="79"/>
      <c r="P809" s="79"/>
      <c r="Q809" s="79"/>
      <c r="T809" s="79"/>
      <c r="U809" s="79"/>
      <c r="X809" s="130"/>
      <c r="Z809" s="106"/>
    </row>
    <row r="810">
      <c r="C810" s="79"/>
      <c r="D810" s="79"/>
      <c r="J810" s="79"/>
      <c r="P810" s="79"/>
      <c r="Q810" s="79"/>
      <c r="T810" s="79"/>
      <c r="U810" s="79"/>
      <c r="X810" s="130"/>
      <c r="Z810" s="106"/>
    </row>
    <row r="811">
      <c r="C811" s="79"/>
      <c r="D811" s="79"/>
      <c r="J811" s="79"/>
      <c r="P811" s="79"/>
      <c r="Q811" s="79"/>
      <c r="T811" s="79"/>
      <c r="U811" s="79"/>
      <c r="X811" s="130"/>
      <c r="Z811" s="106"/>
    </row>
    <row r="812">
      <c r="C812" s="79"/>
      <c r="D812" s="79"/>
      <c r="J812" s="79"/>
      <c r="P812" s="79"/>
      <c r="Q812" s="79"/>
      <c r="T812" s="79"/>
      <c r="U812" s="79"/>
      <c r="X812" s="130"/>
      <c r="Z812" s="106"/>
    </row>
    <row r="813">
      <c r="C813" s="79"/>
      <c r="D813" s="79"/>
      <c r="J813" s="79"/>
      <c r="P813" s="79"/>
      <c r="Q813" s="79"/>
      <c r="T813" s="79"/>
      <c r="U813" s="79"/>
      <c r="X813" s="130"/>
      <c r="Z813" s="106"/>
    </row>
    <row r="814">
      <c r="C814" s="79"/>
      <c r="D814" s="79"/>
      <c r="J814" s="79"/>
      <c r="P814" s="79"/>
      <c r="Q814" s="79"/>
      <c r="T814" s="79"/>
      <c r="U814" s="79"/>
      <c r="X814" s="130"/>
      <c r="Z814" s="106"/>
    </row>
    <row r="815">
      <c r="C815" s="79"/>
      <c r="D815" s="79"/>
      <c r="J815" s="79"/>
      <c r="P815" s="79"/>
      <c r="Q815" s="79"/>
      <c r="T815" s="79"/>
      <c r="U815" s="79"/>
      <c r="X815" s="130"/>
      <c r="Z815" s="106"/>
    </row>
    <row r="816">
      <c r="C816" s="79"/>
      <c r="D816" s="79"/>
      <c r="J816" s="79"/>
      <c r="P816" s="79"/>
      <c r="Q816" s="79"/>
      <c r="T816" s="79"/>
      <c r="U816" s="79"/>
      <c r="X816" s="130"/>
      <c r="Z816" s="106"/>
    </row>
    <row r="817">
      <c r="C817" s="79"/>
      <c r="D817" s="79"/>
      <c r="J817" s="79"/>
      <c r="P817" s="79"/>
      <c r="Q817" s="79"/>
      <c r="T817" s="79"/>
      <c r="U817" s="79"/>
      <c r="X817" s="130"/>
      <c r="Z817" s="106"/>
    </row>
    <row r="818">
      <c r="C818" s="79"/>
      <c r="D818" s="79"/>
      <c r="J818" s="79"/>
      <c r="P818" s="79"/>
      <c r="Q818" s="79"/>
      <c r="T818" s="79"/>
      <c r="U818" s="79"/>
      <c r="X818" s="130"/>
      <c r="Z818" s="106"/>
    </row>
    <row r="819">
      <c r="C819" s="79"/>
      <c r="D819" s="79"/>
      <c r="J819" s="79"/>
      <c r="P819" s="79"/>
      <c r="Q819" s="79"/>
      <c r="T819" s="79"/>
      <c r="U819" s="79"/>
      <c r="X819" s="130"/>
      <c r="Z819" s="106"/>
    </row>
    <row r="820">
      <c r="C820" s="79"/>
      <c r="D820" s="79"/>
      <c r="J820" s="79"/>
      <c r="P820" s="79"/>
      <c r="Q820" s="79"/>
      <c r="T820" s="79"/>
      <c r="U820" s="79"/>
      <c r="X820" s="130"/>
      <c r="Z820" s="106"/>
    </row>
    <row r="821">
      <c r="C821" s="79"/>
      <c r="D821" s="79"/>
      <c r="J821" s="79"/>
      <c r="P821" s="79"/>
      <c r="Q821" s="79"/>
      <c r="T821" s="79"/>
      <c r="U821" s="79"/>
      <c r="X821" s="130"/>
      <c r="Z821" s="106"/>
    </row>
    <row r="822">
      <c r="C822" s="79"/>
      <c r="D822" s="79"/>
      <c r="J822" s="79"/>
      <c r="P822" s="79"/>
      <c r="Q822" s="79"/>
      <c r="T822" s="79"/>
      <c r="U822" s="79"/>
      <c r="X822" s="130"/>
      <c r="Z822" s="106"/>
    </row>
    <row r="823">
      <c r="C823" s="79"/>
      <c r="D823" s="79"/>
      <c r="J823" s="79"/>
      <c r="P823" s="79"/>
      <c r="Q823" s="79"/>
      <c r="T823" s="79"/>
      <c r="U823" s="79"/>
      <c r="X823" s="130"/>
      <c r="Z823" s="106"/>
    </row>
    <row r="824">
      <c r="C824" s="79"/>
      <c r="D824" s="79"/>
      <c r="J824" s="79"/>
      <c r="P824" s="79"/>
      <c r="Q824" s="79"/>
      <c r="T824" s="79"/>
      <c r="U824" s="79"/>
      <c r="X824" s="130"/>
      <c r="Z824" s="106"/>
    </row>
    <row r="825">
      <c r="C825" s="79"/>
      <c r="D825" s="79"/>
      <c r="J825" s="79"/>
      <c r="P825" s="79"/>
      <c r="Q825" s="79"/>
      <c r="T825" s="79"/>
      <c r="U825" s="79"/>
      <c r="X825" s="130"/>
      <c r="Z825" s="106"/>
    </row>
    <row r="826">
      <c r="C826" s="79"/>
      <c r="D826" s="79"/>
      <c r="J826" s="79"/>
      <c r="P826" s="79"/>
      <c r="Q826" s="79"/>
      <c r="T826" s="79"/>
      <c r="U826" s="79"/>
      <c r="X826" s="130"/>
      <c r="Z826" s="106"/>
    </row>
    <row r="827">
      <c r="C827" s="79"/>
      <c r="D827" s="79"/>
      <c r="J827" s="79"/>
      <c r="P827" s="79"/>
      <c r="Q827" s="79"/>
      <c r="T827" s="79"/>
      <c r="U827" s="79"/>
      <c r="X827" s="130"/>
      <c r="Z827" s="106"/>
    </row>
    <row r="828">
      <c r="C828" s="79"/>
      <c r="D828" s="79"/>
      <c r="J828" s="79"/>
      <c r="P828" s="79"/>
      <c r="Q828" s="79"/>
      <c r="T828" s="79"/>
      <c r="U828" s="79"/>
      <c r="X828" s="130"/>
      <c r="Z828" s="106"/>
    </row>
    <row r="829">
      <c r="C829" s="79"/>
      <c r="D829" s="79"/>
      <c r="J829" s="79"/>
      <c r="P829" s="79"/>
      <c r="Q829" s="79"/>
      <c r="T829" s="79"/>
      <c r="U829" s="79"/>
      <c r="X829" s="130"/>
      <c r="Z829" s="106"/>
    </row>
    <row r="830">
      <c r="C830" s="79"/>
      <c r="D830" s="79"/>
      <c r="J830" s="79"/>
      <c r="P830" s="79"/>
      <c r="Q830" s="79"/>
      <c r="T830" s="79"/>
      <c r="U830" s="79"/>
      <c r="X830" s="130"/>
      <c r="Z830" s="106"/>
    </row>
    <row r="831">
      <c r="C831" s="79"/>
      <c r="D831" s="79"/>
      <c r="J831" s="79"/>
      <c r="P831" s="79"/>
      <c r="Q831" s="79"/>
      <c r="T831" s="79"/>
      <c r="U831" s="79"/>
      <c r="X831" s="130"/>
      <c r="Z831" s="106"/>
    </row>
    <row r="832">
      <c r="C832" s="79"/>
      <c r="D832" s="79"/>
      <c r="J832" s="79"/>
      <c r="P832" s="79"/>
      <c r="Q832" s="79"/>
      <c r="T832" s="79"/>
      <c r="U832" s="79"/>
      <c r="X832" s="130"/>
      <c r="Z832" s="106"/>
    </row>
    <row r="833">
      <c r="C833" s="79"/>
      <c r="D833" s="79"/>
      <c r="J833" s="79"/>
      <c r="P833" s="79"/>
      <c r="Q833" s="79"/>
      <c r="T833" s="79"/>
      <c r="U833" s="79"/>
      <c r="X833" s="130"/>
      <c r="Z833" s="106"/>
    </row>
    <row r="834">
      <c r="C834" s="79"/>
      <c r="D834" s="79"/>
      <c r="J834" s="79"/>
      <c r="P834" s="79"/>
      <c r="Q834" s="79"/>
      <c r="T834" s="79"/>
      <c r="U834" s="79"/>
      <c r="X834" s="130"/>
      <c r="Z834" s="106"/>
    </row>
    <row r="835">
      <c r="C835" s="79"/>
      <c r="D835" s="79"/>
      <c r="J835" s="79"/>
      <c r="P835" s="79"/>
      <c r="Q835" s="79"/>
      <c r="T835" s="79"/>
      <c r="U835" s="79"/>
      <c r="X835" s="130"/>
      <c r="Z835" s="106"/>
    </row>
    <row r="836">
      <c r="C836" s="79"/>
      <c r="D836" s="79"/>
      <c r="J836" s="79"/>
      <c r="P836" s="79"/>
      <c r="Q836" s="79"/>
      <c r="T836" s="79"/>
      <c r="U836" s="79"/>
      <c r="X836" s="130"/>
      <c r="Z836" s="106"/>
    </row>
    <row r="837">
      <c r="C837" s="79"/>
      <c r="D837" s="79"/>
      <c r="J837" s="79"/>
      <c r="P837" s="79"/>
      <c r="Q837" s="79"/>
      <c r="T837" s="79"/>
      <c r="U837" s="79"/>
      <c r="X837" s="130"/>
      <c r="Z837" s="106"/>
    </row>
    <row r="838">
      <c r="C838" s="79"/>
      <c r="D838" s="79"/>
      <c r="J838" s="79"/>
      <c r="P838" s="79"/>
      <c r="Q838" s="79"/>
      <c r="T838" s="79"/>
      <c r="U838" s="79"/>
      <c r="X838" s="130"/>
      <c r="Z838" s="106"/>
    </row>
    <row r="839">
      <c r="C839" s="79"/>
      <c r="D839" s="79"/>
      <c r="J839" s="79"/>
      <c r="P839" s="79"/>
      <c r="Q839" s="79"/>
      <c r="T839" s="79"/>
      <c r="U839" s="79"/>
      <c r="X839" s="130"/>
      <c r="Z839" s="106"/>
    </row>
    <row r="840">
      <c r="C840" s="79"/>
      <c r="D840" s="79"/>
      <c r="J840" s="79"/>
      <c r="P840" s="79"/>
      <c r="Q840" s="79"/>
      <c r="T840" s="79"/>
      <c r="U840" s="79"/>
      <c r="X840" s="130"/>
      <c r="Z840" s="106"/>
    </row>
    <row r="841">
      <c r="C841" s="79"/>
      <c r="D841" s="79"/>
      <c r="J841" s="79"/>
      <c r="P841" s="79"/>
      <c r="Q841" s="79"/>
      <c r="T841" s="79"/>
      <c r="U841" s="79"/>
      <c r="X841" s="130"/>
      <c r="Z841" s="106"/>
    </row>
    <row r="842">
      <c r="C842" s="79"/>
      <c r="D842" s="79"/>
      <c r="J842" s="79"/>
      <c r="P842" s="79"/>
      <c r="Q842" s="79"/>
      <c r="T842" s="79"/>
      <c r="U842" s="79"/>
      <c r="X842" s="130"/>
      <c r="Z842" s="106"/>
    </row>
    <row r="843">
      <c r="C843" s="79"/>
      <c r="D843" s="79"/>
      <c r="J843" s="79"/>
      <c r="P843" s="79"/>
      <c r="Q843" s="79"/>
      <c r="T843" s="79"/>
      <c r="U843" s="79"/>
      <c r="X843" s="130"/>
      <c r="Z843" s="106"/>
    </row>
    <row r="844">
      <c r="C844" s="79"/>
      <c r="D844" s="79"/>
      <c r="J844" s="79"/>
      <c r="P844" s="79"/>
      <c r="Q844" s="79"/>
      <c r="T844" s="79"/>
      <c r="U844" s="79"/>
      <c r="X844" s="130"/>
      <c r="Z844" s="106"/>
    </row>
    <row r="845">
      <c r="C845" s="79"/>
      <c r="D845" s="79"/>
      <c r="J845" s="79"/>
      <c r="P845" s="79"/>
      <c r="Q845" s="79"/>
      <c r="T845" s="79"/>
      <c r="U845" s="79"/>
      <c r="X845" s="130"/>
      <c r="Z845" s="106"/>
    </row>
    <row r="846">
      <c r="C846" s="79"/>
      <c r="D846" s="79"/>
      <c r="J846" s="79"/>
      <c r="P846" s="79"/>
      <c r="Q846" s="79"/>
      <c r="T846" s="79"/>
      <c r="U846" s="79"/>
      <c r="X846" s="130"/>
      <c r="Z846" s="106"/>
    </row>
    <row r="847">
      <c r="C847" s="79"/>
      <c r="D847" s="79"/>
      <c r="J847" s="79"/>
      <c r="P847" s="79"/>
      <c r="Q847" s="79"/>
      <c r="T847" s="79"/>
      <c r="U847" s="79"/>
      <c r="X847" s="130"/>
      <c r="Z847" s="106"/>
    </row>
    <row r="848">
      <c r="C848" s="79"/>
      <c r="D848" s="79"/>
      <c r="J848" s="79"/>
      <c r="P848" s="79"/>
      <c r="Q848" s="79"/>
      <c r="T848" s="79"/>
      <c r="U848" s="79"/>
      <c r="X848" s="130"/>
      <c r="Z848" s="106"/>
    </row>
    <row r="849">
      <c r="C849" s="79"/>
      <c r="D849" s="79"/>
      <c r="J849" s="79"/>
      <c r="P849" s="79"/>
      <c r="Q849" s="79"/>
      <c r="T849" s="79"/>
      <c r="U849" s="79"/>
      <c r="X849" s="130"/>
      <c r="Z849" s="106"/>
    </row>
    <row r="850">
      <c r="C850" s="79"/>
      <c r="D850" s="79"/>
      <c r="J850" s="79"/>
      <c r="P850" s="79"/>
      <c r="Q850" s="79"/>
      <c r="T850" s="79"/>
      <c r="U850" s="79"/>
      <c r="X850" s="130"/>
      <c r="Z850" s="106"/>
    </row>
    <row r="851">
      <c r="C851" s="79"/>
      <c r="D851" s="79"/>
      <c r="J851" s="79"/>
      <c r="P851" s="79"/>
      <c r="Q851" s="79"/>
      <c r="T851" s="79"/>
      <c r="U851" s="79"/>
      <c r="X851" s="130"/>
      <c r="Z851" s="106"/>
    </row>
    <row r="852">
      <c r="C852" s="79"/>
      <c r="D852" s="79"/>
      <c r="J852" s="79"/>
      <c r="P852" s="79"/>
      <c r="Q852" s="79"/>
      <c r="T852" s="79"/>
      <c r="U852" s="79"/>
      <c r="X852" s="130"/>
      <c r="Z852" s="106"/>
    </row>
    <row r="853">
      <c r="C853" s="79"/>
      <c r="D853" s="79"/>
      <c r="J853" s="79"/>
      <c r="P853" s="79"/>
      <c r="Q853" s="79"/>
      <c r="T853" s="79"/>
      <c r="U853" s="79"/>
      <c r="X853" s="130"/>
      <c r="Z853" s="106"/>
    </row>
    <row r="854">
      <c r="C854" s="79"/>
      <c r="D854" s="79"/>
      <c r="J854" s="79"/>
      <c r="P854" s="79"/>
      <c r="Q854" s="79"/>
      <c r="T854" s="79"/>
      <c r="U854" s="79"/>
      <c r="X854" s="130"/>
      <c r="Z854" s="106"/>
    </row>
    <row r="855">
      <c r="C855" s="79"/>
      <c r="D855" s="79"/>
      <c r="J855" s="79"/>
      <c r="P855" s="79"/>
      <c r="Q855" s="79"/>
      <c r="T855" s="79"/>
      <c r="U855" s="79"/>
      <c r="X855" s="130"/>
      <c r="Z855" s="106"/>
    </row>
    <row r="856">
      <c r="C856" s="79"/>
      <c r="D856" s="79"/>
      <c r="J856" s="79"/>
      <c r="P856" s="79"/>
      <c r="Q856" s="79"/>
      <c r="T856" s="79"/>
      <c r="U856" s="79"/>
      <c r="X856" s="130"/>
      <c r="Z856" s="106"/>
    </row>
    <row r="857">
      <c r="C857" s="79"/>
      <c r="D857" s="79"/>
      <c r="J857" s="79"/>
      <c r="P857" s="79"/>
      <c r="Q857" s="79"/>
      <c r="T857" s="79"/>
      <c r="U857" s="79"/>
      <c r="X857" s="130"/>
      <c r="Z857" s="106"/>
    </row>
    <row r="858">
      <c r="C858" s="79"/>
      <c r="D858" s="79"/>
      <c r="J858" s="79"/>
      <c r="P858" s="79"/>
      <c r="Q858" s="79"/>
      <c r="T858" s="79"/>
      <c r="U858" s="79"/>
      <c r="X858" s="130"/>
      <c r="Z858" s="106"/>
    </row>
    <row r="859">
      <c r="C859" s="79"/>
      <c r="D859" s="79"/>
      <c r="J859" s="79"/>
      <c r="P859" s="79"/>
      <c r="Q859" s="79"/>
      <c r="T859" s="79"/>
      <c r="U859" s="79"/>
      <c r="X859" s="130"/>
      <c r="Z859" s="106"/>
    </row>
    <row r="860">
      <c r="C860" s="79"/>
      <c r="D860" s="79"/>
      <c r="J860" s="79"/>
      <c r="P860" s="79"/>
      <c r="Q860" s="79"/>
      <c r="T860" s="79"/>
      <c r="U860" s="79"/>
      <c r="X860" s="130"/>
      <c r="Z860" s="106"/>
    </row>
    <row r="861">
      <c r="C861" s="79"/>
      <c r="D861" s="79"/>
      <c r="J861" s="79"/>
      <c r="P861" s="79"/>
      <c r="Q861" s="79"/>
      <c r="T861" s="79"/>
      <c r="U861" s="79"/>
      <c r="X861" s="130"/>
      <c r="Z861" s="106"/>
    </row>
    <row r="862">
      <c r="C862" s="79"/>
      <c r="D862" s="79"/>
      <c r="J862" s="79"/>
      <c r="P862" s="79"/>
      <c r="Q862" s="79"/>
      <c r="T862" s="79"/>
      <c r="U862" s="79"/>
      <c r="X862" s="130"/>
      <c r="Z862" s="106"/>
    </row>
    <row r="863">
      <c r="C863" s="79"/>
      <c r="D863" s="79"/>
      <c r="J863" s="79"/>
      <c r="P863" s="79"/>
      <c r="Q863" s="79"/>
      <c r="T863" s="79"/>
      <c r="U863" s="79"/>
      <c r="X863" s="130"/>
      <c r="Z863" s="106"/>
    </row>
    <row r="864">
      <c r="C864" s="79"/>
      <c r="D864" s="79"/>
      <c r="J864" s="79"/>
      <c r="P864" s="79"/>
      <c r="Q864" s="79"/>
      <c r="T864" s="79"/>
      <c r="U864" s="79"/>
      <c r="X864" s="130"/>
      <c r="Z864" s="106"/>
    </row>
    <row r="865">
      <c r="C865" s="79"/>
      <c r="D865" s="79"/>
      <c r="J865" s="79"/>
      <c r="P865" s="79"/>
      <c r="Q865" s="79"/>
      <c r="T865" s="79"/>
      <c r="U865" s="79"/>
      <c r="X865" s="130"/>
      <c r="Z865" s="106"/>
    </row>
    <row r="866">
      <c r="C866" s="79"/>
      <c r="D866" s="79"/>
      <c r="J866" s="79"/>
      <c r="P866" s="79"/>
      <c r="Q866" s="79"/>
      <c r="T866" s="79"/>
      <c r="U866" s="79"/>
      <c r="X866" s="130"/>
      <c r="Z866" s="106"/>
    </row>
    <row r="867">
      <c r="C867" s="79"/>
      <c r="D867" s="79"/>
      <c r="J867" s="79"/>
      <c r="P867" s="79"/>
      <c r="Q867" s="79"/>
      <c r="T867" s="79"/>
      <c r="U867" s="79"/>
      <c r="X867" s="130"/>
      <c r="Z867" s="106"/>
    </row>
    <row r="868">
      <c r="C868" s="79"/>
      <c r="D868" s="79"/>
      <c r="J868" s="79"/>
      <c r="P868" s="79"/>
      <c r="Q868" s="79"/>
      <c r="T868" s="79"/>
      <c r="U868" s="79"/>
      <c r="X868" s="130"/>
      <c r="Z868" s="106"/>
    </row>
    <row r="869">
      <c r="C869" s="79"/>
      <c r="D869" s="79"/>
      <c r="J869" s="79"/>
      <c r="P869" s="79"/>
      <c r="Q869" s="79"/>
      <c r="T869" s="79"/>
      <c r="U869" s="79"/>
      <c r="X869" s="130"/>
      <c r="Z869" s="106"/>
    </row>
    <row r="870">
      <c r="C870" s="79"/>
      <c r="D870" s="79"/>
      <c r="J870" s="79"/>
      <c r="P870" s="79"/>
      <c r="Q870" s="79"/>
      <c r="T870" s="79"/>
      <c r="U870" s="79"/>
      <c r="X870" s="130"/>
      <c r="Z870" s="106"/>
    </row>
    <row r="871">
      <c r="C871" s="79"/>
      <c r="D871" s="79"/>
      <c r="J871" s="79"/>
      <c r="P871" s="79"/>
      <c r="Q871" s="79"/>
      <c r="T871" s="79"/>
      <c r="U871" s="79"/>
      <c r="X871" s="130"/>
      <c r="Z871" s="106"/>
    </row>
    <row r="872">
      <c r="C872" s="79"/>
      <c r="D872" s="79"/>
      <c r="J872" s="79"/>
      <c r="P872" s="79"/>
      <c r="Q872" s="79"/>
      <c r="T872" s="79"/>
      <c r="U872" s="79"/>
      <c r="X872" s="130"/>
      <c r="Z872" s="106"/>
    </row>
    <row r="873">
      <c r="C873" s="79"/>
      <c r="D873" s="79"/>
      <c r="J873" s="79"/>
      <c r="P873" s="79"/>
      <c r="Q873" s="79"/>
      <c r="T873" s="79"/>
      <c r="U873" s="79"/>
      <c r="X873" s="130"/>
      <c r="Z873" s="106"/>
    </row>
    <row r="874">
      <c r="C874" s="79"/>
      <c r="D874" s="79"/>
      <c r="J874" s="79"/>
      <c r="P874" s="79"/>
      <c r="Q874" s="79"/>
      <c r="T874" s="79"/>
      <c r="U874" s="79"/>
      <c r="X874" s="130"/>
      <c r="Z874" s="106"/>
    </row>
    <row r="875">
      <c r="C875" s="79"/>
      <c r="D875" s="79"/>
      <c r="J875" s="79"/>
      <c r="P875" s="79"/>
      <c r="Q875" s="79"/>
      <c r="T875" s="79"/>
      <c r="U875" s="79"/>
      <c r="X875" s="130"/>
      <c r="Z875" s="106"/>
    </row>
    <row r="876">
      <c r="C876" s="79"/>
      <c r="D876" s="79"/>
      <c r="J876" s="79"/>
      <c r="P876" s="79"/>
      <c r="Q876" s="79"/>
      <c r="T876" s="79"/>
      <c r="U876" s="79"/>
      <c r="X876" s="130"/>
      <c r="Z876" s="106"/>
    </row>
    <row r="877">
      <c r="C877" s="79"/>
      <c r="D877" s="79"/>
      <c r="J877" s="79"/>
      <c r="P877" s="79"/>
      <c r="Q877" s="79"/>
      <c r="T877" s="79"/>
      <c r="U877" s="79"/>
      <c r="X877" s="130"/>
      <c r="Z877" s="106"/>
    </row>
    <row r="878">
      <c r="C878" s="79"/>
      <c r="D878" s="79"/>
      <c r="J878" s="79"/>
      <c r="P878" s="79"/>
      <c r="Q878" s="79"/>
      <c r="T878" s="79"/>
      <c r="U878" s="79"/>
      <c r="X878" s="130"/>
      <c r="Z878" s="106"/>
    </row>
    <row r="879">
      <c r="C879" s="79"/>
      <c r="D879" s="79"/>
      <c r="J879" s="79"/>
      <c r="P879" s="79"/>
      <c r="Q879" s="79"/>
      <c r="T879" s="79"/>
      <c r="U879" s="79"/>
      <c r="X879" s="130"/>
      <c r="Z879" s="106"/>
    </row>
    <row r="880">
      <c r="C880" s="79"/>
      <c r="D880" s="79"/>
      <c r="J880" s="79"/>
      <c r="P880" s="79"/>
      <c r="Q880" s="79"/>
      <c r="T880" s="79"/>
      <c r="U880" s="79"/>
      <c r="X880" s="130"/>
      <c r="Z880" s="106"/>
    </row>
    <row r="881">
      <c r="C881" s="79"/>
      <c r="D881" s="79"/>
      <c r="J881" s="79"/>
      <c r="P881" s="79"/>
      <c r="Q881" s="79"/>
      <c r="T881" s="79"/>
      <c r="U881" s="79"/>
      <c r="X881" s="130"/>
      <c r="Z881" s="106"/>
    </row>
    <row r="882">
      <c r="C882" s="79"/>
      <c r="D882" s="79"/>
      <c r="J882" s="79"/>
      <c r="P882" s="79"/>
      <c r="Q882" s="79"/>
      <c r="T882" s="79"/>
      <c r="U882" s="79"/>
      <c r="X882" s="130"/>
      <c r="Z882" s="106"/>
    </row>
    <row r="883">
      <c r="C883" s="79"/>
      <c r="D883" s="79"/>
      <c r="J883" s="79"/>
      <c r="P883" s="79"/>
      <c r="Q883" s="79"/>
      <c r="T883" s="79"/>
      <c r="U883" s="79"/>
      <c r="X883" s="130"/>
      <c r="Z883" s="106"/>
    </row>
    <row r="884">
      <c r="C884" s="79"/>
      <c r="D884" s="79"/>
      <c r="J884" s="79"/>
      <c r="P884" s="79"/>
      <c r="Q884" s="79"/>
      <c r="T884" s="79"/>
      <c r="U884" s="79"/>
      <c r="X884" s="130"/>
      <c r="Z884" s="106"/>
    </row>
    <row r="885">
      <c r="C885" s="79"/>
      <c r="D885" s="79"/>
      <c r="J885" s="79"/>
      <c r="P885" s="79"/>
      <c r="Q885" s="79"/>
      <c r="T885" s="79"/>
      <c r="U885" s="79"/>
      <c r="X885" s="130"/>
      <c r="Z885" s="106"/>
    </row>
    <row r="886">
      <c r="C886" s="79"/>
      <c r="D886" s="79"/>
      <c r="J886" s="79"/>
      <c r="P886" s="79"/>
      <c r="Q886" s="79"/>
      <c r="T886" s="79"/>
      <c r="U886" s="79"/>
      <c r="X886" s="130"/>
      <c r="Z886" s="106"/>
    </row>
    <row r="887">
      <c r="C887" s="79"/>
      <c r="D887" s="79"/>
      <c r="J887" s="79"/>
      <c r="P887" s="79"/>
      <c r="Q887" s="79"/>
      <c r="T887" s="79"/>
      <c r="U887" s="79"/>
      <c r="X887" s="130"/>
      <c r="Z887" s="106"/>
    </row>
    <row r="888">
      <c r="C888" s="79"/>
      <c r="D888" s="79"/>
      <c r="J888" s="79"/>
      <c r="P888" s="79"/>
      <c r="Q888" s="79"/>
      <c r="T888" s="79"/>
      <c r="U888" s="79"/>
      <c r="X888" s="130"/>
      <c r="Z888" s="106"/>
    </row>
    <row r="889">
      <c r="C889" s="79"/>
      <c r="D889" s="79"/>
      <c r="J889" s="79"/>
      <c r="P889" s="79"/>
      <c r="Q889" s="79"/>
      <c r="T889" s="79"/>
      <c r="U889" s="79"/>
      <c r="X889" s="130"/>
      <c r="Z889" s="106"/>
    </row>
    <row r="890">
      <c r="C890" s="79"/>
      <c r="D890" s="79"/>
      <c r="J890" s="79"/>
      <c r="P890" s="79"/>
      <c r="Q890" s="79"/>
      <c r="T890" s="79"/>
      <c r="U890" s="79"/>
      <c r="X890" s="130"/>
      <c r="Z890" s="106"/>
    </row>
    <row r="891">
      <c r="C891" s="79"/>
      <c r="D891" s="79"/>
      <c r="J891" s="79"/>
      <c r="P891" s="79"/>
      <c r="Q891" s="79"/>
      <c r="T891" s="79"/>
      <c r="U891" s="79"/>
      <c r="X891" s="130"/>
      <c r="Z891" s="106"/>
    </row>
    <row r="892">
      <c r="C892" s="79"/>
      <c r="D892" s="79"/>
      <c r="J892" s="79"/>
      <c r="P892" s="79"/>
      <c r="Q892" s="79"/>
      <c r="T892" s="79"/>
      <c r="U892" s="79"/>
      <c r="X892" s="130"/>
      <c r="Z892" s="106"/>
    </row>
    <row r="893">
      <c r="C893" s="79"/>
      <c r="D893" s="79"/>
      <c r="J893" s="79"/>
      <c r="P893" s="79"/>
      <c r="Q893" s="79"/>
      <c r="T893" s="79"/>
      <c r="U893" s="79"/>
      <c r="X893" s="130"/>
      <c r="Z893" s="106"/>
    </row>
    <row r="894">
      <c r="C894" s="79"/>
      <c r="D894" s="79"/>
      <c r="J894" s="79"/>
      <c r="P894" s="79"/>
      <c r="Q894" s="79"/>
      <c r="T894" s="79"/>
      <c r="U894" s="79"/>
      <c r="X894" s="130"/>
      <c r="Z894" s="106"/>
    </row>
    <row r="895">
      <c r="C895" s="79"/>
      <c r="D895" s="79"/>
      <c r="J895" s="79"/>
      <c r="P895" s="79"/>
      <c r="Q895" s="79"/>
      <c r="T895" s="79"/>
      <c r="U895" s="79"/>
      <c r="X895" s="130"/>
      <c r="Z895" s="106"/>
    </row>
    <row r="896">
      <c r="C896" s="79"/>
      <c r="D896" s="79"/>
      <c r="J896" s="79"/>
      <c r="P896" s="79"/>
      <c r="Q896" s="79"/>
      <c r="T896" s="79"/>
      <c r="U896" s="79"/>
      <c r="X896" s="130"/>
      <c r="Z896" s="106"/>
    </row>
    <row r="897">
      <c r="C897" s="79"/>
      <c r="D897" s="79"/>
      <c r="J897" s="79"/>
      <c r="P897" s="79"/>
      <c r="Q897" s="79"/>
      <c r="T897" s="79"/>
      <c r="U897" s="79"/>
      <c r="X897" s="130"/>
      <c r="Z897" s="106"/>
    </row>
    <row r="898">
      <c r="C898" s="79"/>
      <c r="D898" s="79"/>
      <c r="J898" s="79"/>
      <c r="P898" s="79"/>
      <c r="Q898" s="79"/>
      <c r="T898" s="79"/>
      <c r="U898" s="79"/>
      <c r="X898" s="130"/>
      <c r="Z898" s="106"/>
    </row>
    <row r="899">
      <c r="C899" s="79"/>
      <c r="D899" s="79"/>
      <c r="J899" s="79"/>
      <c r="P899" s="79"/>
      <c r="Q899" s="79"/>
      <c r="T899" s="79"/>
      <c r="U899" s="79"/>
      <c r="X899" s="130"/>
      <c r="Z899" s="106"/>
    </row>
    <row r="900">
      <c r="C900" s="79"/>
      <c r="D900" s="79"/>
      <c r="J900" s="79"/>
      <c r="P900" s="79"/>
      <c r="Q900" s="79"/>
      <c r="T900" s="79"/>
      <c r="U900" s="79"/>
      <c r="X900" s="130"/>
      <c r="Z900" s="106"/>
    </row>
    <row r="901">
      <c r="C901" s="79"/>
      <c r="D901" s="79"/>
      <c r="J901" s="79"/>
      <c r="P901" s="79"/>
      <c r="Q901" s="79"/>
      <c r="T901" s="79"/>
      <c r="U901" s="79"/>
      <c r="X901" s="130"/>
      <c r="Z901" s="106"/>
    </row>
    <row r="902">
      <c r="C902" s="79"/>
      <c r="D902" s="79"/>
      <c r="J902" s="79"/>
      <c r="P902" s="79"/>
      <c r="Q902" s="79"/>
      <c r="T902" s="79"/>
      <c r="U902" s="79"/>
      <c r="X902" s="130"/>
      <c r="Z902" s="106"/>
    </row>
    <row r="903">
      <c r="C903" s="79"/>
      <c r="D903" s="79"/>
      <c r="J903" s="79"/>
      <c r="P903" s="79"/>
      <c r="Q903" s="79"/>
      <c r="T903" s="79"/>
      <c r="U903" s="79"/>
      <c r="X903" s="130"/>
      <c r="Z903" s="106"/>
    </row>
    <row r="904">
      <c r="C904" s="79"/>
      <c r="D904" s="79"/>
      <c r="J904" s="79"/>
      <c r="P904" s="79"/>
      <c r="Q904" s="79"/>
      <c r="T904" s="79"/>
      <c r="U904" s="79"/>
      <c r="X904" s="130"/>
      <c r="Z904" s="106"/>
    </row>
    <row r="905">
      <c r="C905" s="79"/>
      <c r="D905" s="79"/>
      <c r="J905" s="79"/>
      <c r="P905" s="79"/>
      <c r="Q905" s="79"/>
      <c r="T905" s="79"/>
      <c r="U905" s="79"/>
      <c r="X905" s="130"/>
      <c r="Z905" s="106"/>
    </row>
    <row r="906">
      <c r="C906" s="79"/>
      <c r="D906" s="79"/>
      <c r="J906" s="79"/>
      <c r="P906" s="79"/>
      <c r="Q906" s="79"/>
      <c r="T906" s="79"/>
      <c r="U906" s="79"/>
      <c r="X906" s="130"/>
      <c r="Z906" s="106"/>
    </row>
    <row r="907">
      <c r="C907" s="79"/>
      <c r="D907" s="79"/>
      <c r="J907" s="79"/>
      <c r="P907" s="79"/>
      <c r="Q907" s="79"/>
      <c r="T907" s="79"/>
      <c r="U907" s="79"/>
      <c r="X907" s="130"/>
      <c r="Z907" s="106"/>
    </row>
    <row r="908">
      <c r="C908" s="79"/>
      <c r="D908" s="79"/>
      <c r="J908" s="79"/>
      <c r="P908" s="79"/>
      <c r="Q908" s="79"/>
      <c r="T908" s="79"/>
      <c r="U908" s="79"/>
      <c r="X908" s="130"/>
      <c r="Z908" s="106"/>
    </row>
    <row r="909">
      <c r="C909" s="79"/>
      <c r="D909" s="79"/>
      <c r="J909" s="79"/>
      <c r="P909" s="79"/>
      <c r="Q909" s="79"/>
      <c r="T909" s="79"/>
      <c r="U909" s="79"/>
      <c r="X909" s="130"/>
      <c r="Z909" s="106"/>
    </row>
    <row r="910">
      <c r="C910" s="79"/>
      <c r="D910" s="79"/>
      <c r="J910" s="79"/>
      <c r="P910" s="79"/>
      <c r="Q910" s="79"/>
      <c r="T910" s="79"/>
      <c r="U910" s="79"/>
      <c r="X910" s="130"/>
      <c r="Z910" s="106"/>
    </row>
    <row r="911">
      <c r="C911" s="79"/>
      <c r="D911" s="79"/>
      <c r="J911" s="79"/>
      <c r="P911" s="79"/>
      <c r="Q911" s="79"/>
      <c r="T911" s="79"/>
      <c r="U911" s="79"/>
      <c r="X911" s="130"/>
      <c r="Z911" s="106"/>
    </row>
    <row r="912">
      <c r="C912" s="79"/>
      <c r="D912" s="79"/>
      <c r="J912" s="79"/>
      <c r="P912" s="79"/>
      <c r="Q912" s="79"/>
      <c r="T912" s="79"/>
      <c r="U912" s="79"/>
      <c r="X912" s="130"/>
      <c r="Z912" s="106"/>
    </row>
    <row r="913">
      <c r="C913" s="79"/>
      <c r="D913" s="79"/>
      <c r="J913" s="79"/>
      <c r="P913" s="79"/>
      <c r="Q913" s="79"/>
      <c r="T913" s="79"/>
      <c r="U913" s="79"/>
      <c r="X913" s="130"/>
      <c r="Z913" s="106"/>
    </row>
    <row r="914">
      <c r="C914" s="79"/>
      <c r="D914" s="79"/>
      <c r="J914" s="79"/>
      <c r="P914" s="79"/>
      <c r="Q914" s="79"/>
      <c r="T914" s="79"/>
      <c r="U914" s="79"/>
      <c r="X914" s="130"/>
      <c r="Z914" s="106"/>
    </row>
    <row r="915">
      <c r="C915" s="79"/>
      <c r="D915" s="79"/>
      <c r="J915" s="79"/>
      <c r="P915" s="79"/>
      <c r="Q915" s="79"/>
      <c r="T915" s="79"/>
      <c r="U915" s="79"/>
      <c r="X915" s="130"/>
      <c r="Z915" s="106"/>
    </row>
    <row r="916">
      <c r="C916" s="79"/>
      <c r="D916" s="79"/>
      <c r="J916" s="79"/>
      <c r="P916" s="79"/>
      <c r="Q916" s="79"/>
      <c r="T916" s="79"/>
      <c r="U916" s="79"/>
      <c r="X916" s="130"/>
      <c r="Z916" s="106"/>
    </row>
    <row r="917">
      <c r="C917" s="79"/>
      <c r="D917" s="79"/>
      <c r="J917" s="79"/>
      <c r="P917" s="79"/>
      <c r="Q917" s="79"/>
      <c r="T917" s="79"/>
      <c r="U917" s="79"/>
      <c r="X917" s="130"/>
      <c r="Z917" s="106"/>
    </row>
    <row r="918">
      <c r="C918" s="79"/>
      <c r="D918" s="79"/>
      <c r="J918" s="79"/>
      <c r="P918" s="79"/>
      <c r="Q918" s="79"/>
      <c r="T918" s="79"/>
      <c r="U918" s="79"/>
      <c r="X918" s="130"/>
      <c r="Z918" s="106"/>
    </row>
    <row r="919">
      <c r="C919" s="79"/>
      <c r="D919" s="79"/>
      <c r="J919" s="79"/>
      <c r="P919" s="79"/>
      <c r="Q919" s="79"/>
      <c r="T919" s="79"/>
      <c r="U919" s="79"/>
      <c r="X919" s="130"/>
      <c r="Z919" s="106"/>
    </row>
    <row r="920">
      <c r="C920" s="79"/>
      <c r="D920" s="79"/>
      <c r="J920" s="79"/>
      <c r="P920" s="79"/>
      <c r="Q920" s="79"/>
      <c r="T920" s="79"/>
      <c r="U920" s="79"/>
      <c r="X920" s="130"/>
      <c r="Z920" s="106"/>
    </row>
    <row r="921">
      <c r="C921" s="79"/>
      <c r="D921" s="79"/>
      <c r="J921" s="79"/>
      <c r="P921" s="79"/>
      <c r="Q921" s="79"/>
      <c r="T921" s="79"/>
      <c r="U921" s="79"/>
      <c r="X921" s="130"/>
      <c r="Z921" s="106"/>
    </row>
    <row r="922">
      <c r="C922" s="79"/>
      <c r="D922" s="79"/>
      <c r="J922" s="79"/>
      <c r="P922" s="79"/>
      <c r="Q922" s="79"/>
      <c r="T922" s="79"/>
      <c r="U922" s="79"/>
      <c r="X922" s="130"/>
      <c r="Z922" s="106"/>
    </row>
    <row r="923">
      <c r="C923" s="79"/>
      <c r="D923" s="79"/>
      <c r="J923" s="79"/>
      <c r="P923" s="79"/>
      <c r="Q923" s="79"/>
      <c r="T923" s="79"/>
      <c r="U923" s="79"/>
      <c r="X923" s="130"/>
      <c r="Z923" s="106"/>
    </row>
    <row r="924">
      <c r="C924" s="79"/>
      <c r="D924" s="79"/>
      <c r="J924" s="79"/>
      <c r="P924" s="79"/>
      <c r="Q924" s="79"/>
      <c r="T924" s="79"/>
      <c r="U924" s="79"/>
      <c r="X924" s="130"/>
      <c r="Z924" s="106"/>
    </row>
    <row r="925">
      <c r="C925" s="79"/>
      <c r="D925" s="79"/>
      <c r="J925" s="79"/>
      <c r="P925" s="79"/>
      <c r="Q925" s="79"/>
      <c r="T925" s="79"/>
      <c r="U925" s="79"/>
      <c r="X925" s="130"/>
      <c r="Z925" s="106"/>
    </row>
    <row r="926">
      <c r="C926" s="79"/>
      <c r="D926" s="79"/>
      <c r="J926" s="79"/>
      <c r="P926" s="79"/>
      <c r="Q926" s="79"/>
      <c r="T926" s="79"/>
      <c r="U926" s="79"/>
      <c r="X926" s="130"/>
      <c r="Z926" s="106"/>
    </row>
    <row r="927">
      <c r="C927" s="79"/>
      <c r="D927" s="79"/>
      <c r="J927" s="79"/>
      <c r="P927" s="79"/>
      <c r="Q927" s="79"/>
      <c r="T927" s="79"/>
      <c r="U927" s="79"/>
      <c r="X927" s="130"/>
      <c r="Z927" s="106"/>
    </row>
    <row r="928">
      <c r="C928" s="79"/>
      <c r="D928" s="79"/>
      <c r="J928" s="79"/>
      <c r="P928" s="79"/>
      <c r="Q928" s="79"/>
      <c r="T928" s="79"/>
      <c r="U928" s="79"/>
      <c r="X928" s="130"/>
      <c r="Z928" s="106"/>
    </row>
    <row r="929">
      <c r="C929" s="79"/>
      <c r="D929" s="79"/>
      <c r="J929" s="79"/>
      <c r="P929" s="79"/>
      <c r="Q929" s="79"/>
      <c r="T929" s="79"/>
      <c r="U929" s="79"/>
      <c r="X929" s="130"/>
      <c r="Z929" s="106"/>
    </row>
    <row r="930">
      <c r="C930" s="79"/>
      <c r="D930" s="79"/>
      <c r="J930" s="79"/>
      <c r="P930" s="79"/>
      <c r="Q930" s="79"/>
      <c r="T930" s="79"/>
      <c r="U930" s="79"/>
      <c r="X930" s="130"/>
      <c r="Z930" s="106"/>
    </row>
    <row r="931">
      <c r="C931" s="79"/>
      <c r="D931" s="79"/>
      <c r="J931" s="79"/>
      <c r="P931" s="79"/>
      <c r="Q931" s="79"/>
      <c r="T931" s="79"/>
      <c r="U931" s="79"/>
      <c r="X931" s="130"/>
      <c r="Z931" s="106"/>
    </row>
    <row r="932">
      <c r="C932" s="79"/>
      <c r="D932" s="79"/>
      <c r="J932" s="79"/>
      <c r="P932" s="79"/>
      <c r="Q932" s="79"/>
      <c r="T932" s="79"/>
      <c r="U932" s="79"/>
      <c r="X932" s="130"/>
      <c r="Z932" s="106"/>
    </row>
    <row r="933">
      <c r="C933" s="79"/>
      <c r="D933" s="79"/>
      <c r="J933" s="79"/>
      <c r="P933" s="79"/>
      <c r="Q933" s="79"/>
      <c r="T933" s="79"/>
      <c r="U933" s="79"/>
      <c r="X933" s="130"/>
      <c r="Z933" s="106"/>
    </row>
    <row r="934">
      <c r="C934" s="79"/>
      <c r="D934" s="79"/>
      <c r="J934" s="79"/>
      <c r="P934" s="79"/>
      <c r="Q934" s="79"/>
      <c r="T934" s="79"/>
      <c r="U934" s="79"/>
      <c r="X934" s="130"/>
      <c r="Z934" s="106"/>
    </row>
    <row r="935">
      <c r="C935" s="79"/>
      <c r="D935" s="79"/>
      <c r="J935" s="79"/>
      <c r="P935" s="79"/>
      <c r="Q935" s="79"/>
      <c r="T935" s="79"/>
      <c r="U935" s="79"/>
      <c r="X935" s="130"/>
      <c r="Z935" s="106"/>
    </row>
    <row r="936">
      <c r="C936" s="79"/>
      <c r="D936" s="79"/>
      <c r="J936" s="79"/>
      <c r="P936" s="79"/>
      <c r="Q936" s="79"/>
      <c r="T936" s="79"/>
      <c r="U936" s="79"/>
      <c r="X936" s="130"/>
      <c r="Z936" s="106"/>
    </row>
    <row r="937">
      <c r="C937" s="79"/>
      <c r="D937" s="79"/>
      <c r="J937" s="79"/>
      <c r="P937" s="79"/>
      <c r="Q937" s="79"/>
      <c r="T937" s="79"/>
      <c r="U937" s="79"/>
      <c r="X937" s="130"/>
      <c r="Z937" s="106"/>
    </row>
    <row r="938">
      <c r="C938" s="79"/>
      <c r="D938" s="79"/>
      <c r="J938" s="79"/>
      <c r="P938" s="79"/>
      <c r="Q938" s="79"/>
      <c r="T938" s="79"/>
      <c r="U938" s="79"/>
      <c r="X938" s="130"/>
      <c r="Z938" s="106"/>
    </row>
    <row r="939">
      <c r="C939" s="79"/>
      <c r="D939" s="79"/>
      <c r="J939" s="79"/>
      <c r="P939" s="79"/>
      <c r="Q939" s="79"/>
      <c r="T939" s="79"/>
      <c r="U939" s="79"/>
      <c r="X939" s="130"/>
      <c r="Z939" s="106"/>
    </row>
    <row r="940">
      <c r="C940" s="79"/>
      <c r="D940" s="79"/>
      <c r="J940" s="79"/>
      <c r="P940" s="79"/>
      <c r="Q940" s="79"/>
      <c r="T940" s="79"/>
      <c r="U940" s="79"/>
      <c r="X940" s="130"/>
      <c r="Z940" s="106"/>
    </row>
    <row r="941">
      <c r="C941" s="79"/>
      <c r="D941" s="79"/>
      <c r="J941" s="79"/>
      <c r="P941" s="79"/>
      <c r="Q941" s="79"/>
      <c r="T941" s="79"/>
      <c r="U941" s="79"/>
      <c r="X941" s="130"/>
      <c r="Z941" s="106"/>
    </row>
    <row r="942">
      <c r="C942" s="79"/>
      <c r="D942" s="79"/>
      <c r="J942" s="79"/>
      <c r="P942" s="79"/>
      <c r="Q942" s="79"/>
      <c r="T942" s="79"/>
      <c r="U942" s="79"/>
      <c r="X942" s="130"/>
      <c r="Z942" s="106"/>
    </row>
    <row r="943">
      <c r="C943" s="79"/>
      <c r="D943" s="79"/>
      <c r="J943" s="79"/>
      <c r="P943" s="79"/>
      <c r="Q943" s="79"/>
      <c r="T943" s="79"/>
      <c r="U943" s="79"/>
      <c r="X943" s="130"/>
      <c r="Z943" s="106"/>
    </row>
    <row r="944">
      <c r="C944" s="79"/>
      <c r="D944" s="79"/>
      <c r="J944" s="79"/>
      <c r="P944" s="79"/>
      <c r="Q944" s="79"/>
      <c r="T944" s="79"/>
      <c r="U944" s="79"/>
      <c r="X944" s="130"/>
      <c r="Z944" s="106"/>
    </row>
    <row r="945">
      <c r="C945" s="79"/>
      <c r="D945" s="79"/>
      <c r="J945" s="79"/>
      <c r="P945" s="79"/>
      <c r="Q945" s="79"/>
      <c r="T945" s="79"/>
      <c r="U945" s="79"/>
      <c r="X945" s="130"/>
      <c r="Z945" s="106"/>
    </row>
    <row r="946">
      <c r="C946" s="79"/>
      <c r="D946" s="79"/>
      <c r="J946" s="79"/>
      <c r="P946" s="79"/>
      <c r="Q946" s="79"/>
      <c r="T946" s="79"/>
      <c r="U946" s="79"/>
      <c r="X946" s="130"/>
      <c r="Z946" s="106"/>
    </row>
    <row r="947">
      <c r="C947" s="79"/>
      <c r="D947" s="79"/>
      <c r="J947" s="79"/>
      <c r="P947" s="79"/>
      <c r="Q947" s="79"/>
      <c r="T947" s="79"/>
      <c r="U947" s="79"/>
      <c r="X947" s="130"/>
      <c r="Z947" s="106"/>
    </row>
    <row r="948">
      <c r="C948" s="79"/>
      <c r="D948" s="79"/>
      <c r="J948" s="79"/>
      <c r="P948" s="79"/>
      <c r="Q948" s="79"/>
      <c r="T948" s="79"/>
      <c r="U948" s="79"/>
      <c r="X948" s="130"/>
      <c r="Z948" s="106"/>
    </row>
    <row r="949">
      <c r="C949" s="79"/>
      <c r="D949" s="79"/>
      <c r="J949" s="79"/>
      <c r="P949" s="79"/>
      <c r="Q949" s="79"/>
      <c r="T949" s="79"/>
      <c r="U949" s="79"/>
      <c r="X949" s="130"/>
      <c r="Z949" s="106"/>
    </row>
    <row r="950">
      <c r="C950" s="79"/>
      <c r="D950" s="79"/>
      <c r="J950" s="79"/>
      <c r="P950" s="79"/>
      <c r="Q950" s="79"/>
      <c r="T950" s="79"/>
      <c r="U950" s="79"/>
      <c r="X950" s="130"/>
      <c r="Z950" s="106"/>
    </row>
    <row r="951">
      <c r="C951" s="79"/>
      <c r="D951" s="79"/>
      <c r="J951" s="79"/>
      <c r="P951" s="79"/>
      <c r="Q951" s="79"/>
      <c r="T951" s="79"/>
      <c r="U951" s="79"/>
      <c r="X951" s="130"/>
      <c r="Z951" s="106"/>
    </row>
    <row r="952">
      <c r="C952" s="79"/>
      <c r="D952" s="79"/>
      <c r="J952" s="79"/>
      <c r="P952" s="79"/>
      <c r="Q952" s="79"/>
      <c r="T952" s="79"/>
      <c r="U952" s="79"/>
      <c r="X952" s="130"/>
      <c r="Z952" s="106"/>
    </row>
    <row r="953">
      <c r="C953" s="79"/>
      <c r="D953" s="79"/>
      <c r="J953" s="79"/>
      <c r="P953" s="79"/>
      <c r="Q953" s="79"/>
      <c r="T953" s="79"/>
      <c r="U953" s="79"/>
      <c r="X953" s="130"/>
      <c r="Z953" s="106"/>
    </row>
    <row r="954">
      <c r="C954" s="79"/>
      <c r="D954" s="79"/>
      <c r="J954" s="79"/>
      <c r="P954" s="79"/>
      <c r="Q954" s="79"/>
      <c r="T954" s="79"/>
      <c r="U954" s="79"/>
      <c r="X954" s="130"/>
      <c r="Z954" s="106"/>
    </row>
    <row r="955">
      <c r="C955" s="79"/>
      <c r="D955" s="79"/>
      <c r="J955" s="79"/>
      <c r="P955" s="79"/>
      <c r="Q955" s="79"/>
      <c r="T955" s="79"/>
      <c r="U955" s="79"/>
      <c r="X955" s="130"/>
      <c r="Z955" s="106"/>
    </row>
    <row r="956">
      <c r="C956" s="79"/>
      <c r="D956" s="79"/>
      <c r="J956" s="79"/>
      <c r="P956" s="79"/>
      <c r="Q956" s="79"/>
      <c r="T956" s="79"/>
      <c r="U956" s="79"/>
      <c r="X956" s="130"/>
      <c r="Z956" s="106"/>
    </row>
    <row r="957">
      <c r="C957" s="79"/>
      <c r="D957" s="79"/>
      <c r="J957" s="79"/>
      <c r="P957" s="79"/>
      <c r="Q957" s="79"/>
      <c r="T957" s="79"/>
      <c r="U957" s="79"/>
      <c r="X957" s="130"/>
      <c r="Z957" s="106"/>
    </row>
    <row r="958">
      <c r="C958" s="79"/>
      <c r="D958" s="79"/>
      <c r="J958" s="79"/>
      <c r="P958" s="79"/>
      <c r="Q958" s="79"/>
      <c r="T958" s="79"/>
      <c r="U958" s="79"/>
      <c r="X958" s="130"/>
      <c r="Z958" s="106"/>
    </row>
    <row r="959">
      <c r="C959" s="79"/>
      <c r="D959" s="79"/>
      <c r="J959" s="79"/>
      <c r="P959" s="79"/>
      <c r="Q959" s="79"/>
      <c r="T959" s="79"/>
      <c r="U959" s="79"/>
      <c r="X959" s="130"/>
      <c r="Z959" s="106"/>
    </row>
    <row r="960">
      <c r="C960" s="79"/>
      <c r="D960" s="79"/>
      <c r="J960" s="79"/>
      <c r="P960" s="79"/>
      <c r="Q960" s="79"/>
      <c r="T960" s="79"/>
      <c r="U960" s="79"/>
      <c r="X960" s="130"/>
      <c r="Z960" s="106"/>
    </row>
    <row r="961">
      <c r="C961" s="79"/>
      <c r="D961" s="79"/>
      <c r="J961" s="79"/>
      <c r="P961" s="79"/>
      <c r="Q961" s="79"/>
      <c r="T961" s="79"/>
      <c r="U961" s="79"/>
      <c r="X961" s="130"/>
      <c r="Z961" s="106"/>
    </row>
    <row r="962">
      <c r="C962" s="79"/>
      <c r="D962" s="79"/>
      <c r="J962" s="79"/>
      <c r="P962" s="79"/>
      <c r="Q962" s="79"/>
      <c r="T962" s="79"/>
      <c r="U962" s="79"/>
      <c r="X962" s="130"/>
      <c r="Z962" s="106"/>
    </row>
    <row r="963">
      <c r="C963" s="79"/>
      <c r="D963" s="79"/>
      <c r="J963" s="79"/>
      <c r="P963" s="79"/>
      <c r="Q963" s="79"/>
      <c r="T963" s="79"/>
      <c r="U963" s="79"/>
      <c r="X963" s="130"/>
      <c r="Z963" s="106"/>
    </row>
    <row r="964">
      <c r="C964" s="79"/>
      <c r="D964" s="79"/>
      <c r="J964" s="79"/>
      <c r="P964" s="79"/>
      <c r="Q964" s="79"/>
      <c r="T964" s="79"/>
      <c r="U964" s="79"/>
      <c r="X964" s="130"/>
      <c r="Z964" s="106"/>
    </row>
    <row r="965">
      <c r="C965" s="79"/>
      <c r="D965" s="79"/>
      <c r="J965" s="79"/>
      <c r="P965" s="79"/>
      <c r="Q965" s="79"/>
      <c r="T965" s="79"/>
      <c r="U965" s="79"/>
      <c r="X965" s="130"/>
      <c r="Z965" s="106"/>
    </row>
    <row r="966">
      <c r="C966" s="79"/>
      <c r="D966" s="79"/>
      <c r="J966" s="79"/>
      <c r="P966" s="79"/>
      <c r="Q966" s="79"/>
      <c r="T966" s="79"/>
      <c r="U966" s="79"/>
      <c r="X966" s="130"/>
      <c r="Z966" s="106"/>
    </row>
    <row r="967">
      <c r="C967" s="79"/>
      <c r="D967" s="79"/>
      <c r="J967" s="79"/>
      <c r="P967" s="79"/>
      <c r="Q967" s="79"/>
      <c r="T967" s="79"/>
      <c r="U967" s="79"/>
      <c r="X967" s="130"/>
      <c r="Z967" s="106"/>
    </row>
    <row r="968">
      <c r="C968" s="79"/>
      <c r="D968" s="79"/>
      <c r="J968" s="79"/>
      <c r="P968" s="79"/>
      <c r="Q968" s="79"/>
      <c r="T968" s="79"/>
      <c r="U968" s="79"/>
      <c r="X968" s="130"/>
      <c r="Z968" s="106"/>
    </row>
    <row r="969">
      <c r="C969" s="79"/>
      <c r="D969" s="79"/>
      <c r="J969" s="79"/>
      <c r="P969" s="79"/>
      <c r="Q969" s="79"/>
      <c r="T969" s="79"/>
      <c r="U969" s="79"/>
      <c r="X969" s="130"/>
      <c r="Z969" s="106"/>
    </row>
    <row r="970">
      <c r="C970" s="79"/>
      <c r="D970" s="79"/>
      <c r="J970" s="79"/>
      <c r="P970" s="79"/>
      <c r="Q970" s="79"/>
      <c r="T970" s="79"/>
      <c r="U970" s="79"/>
      <c r="X970" s="130"/>
      <c r="Z970" s="106"/>
    </row>
    <row r="971">
      <c r="C971" s="79"/>
      <c r="D971" s="79"/>
      <c r="J971" s="79"/>
      <c r="P971" s="79"/>
      <c r="Q971" s="79"/>
      <c r="T971" s="79"/>
      <c r="U971" s="79"/>
      <c r="X971" s="130"/>
      <c r="Z971" s="106"/>
    </row>
    <row r="972">
      <c r="C972" s="79"/>
      <c r="D972" s="79"/>
      <c r="J972" s="79"/>
      <c r="P972" s="79"/>
      <c r="Q972" s="79"/>
      <c r="T972" s="79"/>
      <c r="U972" s="79"/>
      <c r="X972" s="130"/>
      <c r="Z972" s="106"/>
    </row>
    <row r="973">
      <c r="C973" s="79"/>
      <c r="D973" s="79"/>
      <c r="J973" s="79"/>
      <c r="P973" s="79"/>
      <c r="Q973" s="79"/>
      <c r="T973" s="79"/>
      <c r="U973" s="79"/>
      <c r="X973" s="130"/>
      <c r="Z973" s="106"/>
    </row>
    <row r="974">
      <c r="C974" s="79"/>
      <c r="D974" s="79"/>
      <c r="J974" s="79"/>
      <c r="P974" s="79"/>
      <c r="Q974" s="79"/>
      <c r="T974" s="79"/>
      <c r="U974" s="79"/>
      <c r="X974" s="130"/>
      <c r="Z974" s="106"/>
    </row>
    <row r="975">
      <c r="C975" s="79"/>
      <c r="D975" s="79"/>
      <c r="J975" s="79"/>
      <c r="P975" s="79"/>
      <c r="Q975" s="79"/>
      <c r="T975" s="79"/>
      <c r="U975" s="79"/>
      <c r="X975" s="130"/>
      <c r="Z975" s="106"/>
    </row>
    <row r="976">
      <c r="C976" s="79"/>
      <c r="D976" s="79"/>
      <c r="J976" s="79"/>
      <c r="P976" s="79"/>
      <c r="Q976" s="79"/>
      <c r="T976" s="79"/>
      <c r="U976" s="79"/>
      <c r="X976" s="130"/>
      <c r="Z976" s="106"/>
    </row>
    <row r="977">
      <c r="C977" s="79"/>
      <c r="D977" s="79"/>
      <c r="J977" s="79"/>
      <c r="P977" s="79"/>
      <c r="Q977" s="79"/>
      <c r="T977" s="79"/>
      <c r="U977" s="79"/>
      <c r="X977" s="130"/>
      <c r="Z977" s="106"/>
    </row>
    <row r="978">
      <c r="C978" s="79"/>
      <c r="D978" s="79"/>
      <c r="J978" s="79"/>
      <c r="P978" s="79"/>
      <c r="Q978" s="79"/>
      <c r="T978" s="79"/>
      <c r="U978" s="79"/>
      <c r="X978" s="130"/>
      <c r="Z978" s="106"/>
    </row>
    <row r="979">
      <c r="C979" s="79"/>
      <c r="D979" s="79"/>
      <c r="J979" s="79"/>
      <c r="P979" s="79"/>
      <c r="Q979" s="79"/>
      <c r="T979" s="79"/>
      <c r="U979" s="79"/>
      <c r="X979" s="130"/>
      <c r="Z979" s="106"/>
    </row>
    <row r="980">
      <c r="C980" s="79"/>
      <c r="D980" s="79"/>
      <c r="J980" s="79"/>
      <c r="P980" s="79"/>
      <c r="Q980" s="79"/>
      <c r="T980" s="79"/>
      <c r="U980" s="79"/>
      <c r="X980" s="130"/>
      <c r="Z980" s="106"/>
    </row>
    <row r="981">
      <c r="C981" s="79"/>
      <c r="D981" s="79"/>
      <c r="J981" s="79"/>
      <c r="P981" s="79"/>
      <c r="Q981" s="79"/>
      <c r="T981" s="79"/>
      <c r="U981" s="79"/>
      <c r="X981" s="130"/>
      <c r="Z981" s="106"/>
    </row>
    <row r="982">
      <c r="C982" s="79"/>
      <c r="D982" s="79"/>
      <c r="J982" s="79"/>
      <c r="P982" s="79"/>
      <c r="Q982" s="79"/>
      <c r="T982" s="79"/>
      <c r="U982" s="79"/>
      <c r="X982" s="130"/>
      <c r="Z982" s="106"/>
    </row>
    <row r="983">
      <c r="C983" s="79"/>
      <c r="D983" s="79"/>
      <c r="J983" s="79"/>
      <c r="P983" s="79"/>
      <c r="Q983" s="79"/>
      <c r="T983" s="79"/>
      <c r="U983" s="79"/>
      <c r="X983" s="130"/>
      <c r="Z983" s="106"/>
    </row>
    <row r="984">
      <c r="C984" s="79"/>
      <c r="D984" s="79"/>
      <c r="J984" s="79"/>
      <c r="P984" s="79"/>
      <c r="Q984" s="79"/>
      <c r="T984" s="79"/>
      <c r="U984" s="79"/>
      <c r="X984" s="130"/>
      <c r="Z984" s="106"/>
    </row>
    <row r="985">
      <c r="C985" s="79"/>
      <c r="D985" s="79"/>
      <c r="J985" s="79"/>
      <c r="P985" s="79"/>
      <c r="Q985" s="79"/>
      <c r="T985" s="79"/>
      <c r="U985" s="79"/>
      <c r="X985" s="130"/>
      <c r="Z985" s="106"/>
    </row>
    <row r="986">
      <c r="C986" s="79"/>
      <c r="D986" s="79"/>
      <c r="J986" s="79"/>
      <c r="P986" s="79"/>
      <c r="Q986" s="79"/>
      <c r="T986" s="79"/>
      <c r="U986" s="79"/>
      <c r="X986" s="130"/>
      <c r="Z986" s="106"/>
    </row>
    <row r="987">
      <c r="C987" s="79"/>
      <c r="D987" s="79"/>
      <c r="J987" s="79"/>
      <c r="P987" s="79"/>
      <c r="Q987" s="79"/>
      <c r="T987" s="79"/>
      <c r="U987" s="79"/>
      <c r="X987" s="130"/>
      <c r="Z987" s="106"/>
    </row>
    <row r="988">
      <c r="C988" s="79"/>
      <c r="D988" s="79"/>
      <c r="J988" s="79"/>
      <c r="P988" s="79"/>
      <c r="Q988" s="79"/>
      <c r="T988" s="79"/>
      <c r="U988" s="79"/>
      <c r="X988" s="130"/>
      <c r="Z988" s="106"/>
    </row>
    <row r="989">
      <c r="C989" s="79"/>
      <c r="D989" s="79"/>
      <c r="J989" s="79"/>
      <c r="P989" s="79"/>
      <c r="Q989" s="79"/>
      <c r="T989" s="79"/>
      <c r="U989" s="79"/>
      <c r="X989" s="130"/>
      <c r="Z989" s="106"/>
    </row>
    <row r="990">
      <c r="C990" s="79"/>
      <c r="D990" s="79"/>
      <c r="J990" s="79"/>
      <c r="P990" s="79"/>
      <c r="Q990" s="79"/>
      <c r="T990" s="79"/>
      <c r="U990" s="79"/>
      <c r="X990" s="130"/>
      <c r="Z990" s="106"/>
    </row>
    <row r="991">
      <c r="C991" s="79"/>
      <c r="D991" s="79"/>
      <c r="J991" s="79"/>
      <c r="P991" s="79"/>
      <c r="Q991" s="79"/>
      <c r="T991" s="79"/>
      <c r="U991" s="79"/>
      <c r="X991" s="130"/>
      <c r="Z991" s="106"/>
    </row>
    <row r="992">
      <c r="C992" s="79"/>
      <c r="D992" s="79"/>
      <c r="J992" s="79"/>
      <c r="P992" s="79"/>
      <c r="Q992" s="79"/>
      <c r="T992" s="79"/>
      <c r="U992" s="79"/>
      <c r="X992" s="130"/>
      <c r="Z992" s="106"/>
    </row>
    <row r="993">
      <c r="C993" s="79"/>
      <c r="D993" s="79"/>
      <c r="J993" s="79"/>
      <c r="P993" s="79"/>
      <c r="Q993" s="79"/>
      <c r="T993" s="79"/>
      <c r="U993" s="79"/>
      <c r="X993" s="130"/>
      <c r="Z993" s="106"/>
    </row>
    <row r="994">
      <c r="C994" s="79"/>
      <c r="D994" s="79"/>
      <c r="J994" s="79"/>
      <c r="P994" s="79"/>
      <c r="Q994" s="79"/>
      <c r="T994" s="79"/>
      <c r="U994" s="79"/>
      <c r="X994" s="130"/>
      <c r="Z994" s="106"/>
    </row>
    <row r="995">
      <c r="C995" s="79"/>
      <c r="D995" s="79"/>
      <c r="J995" s="79"/>
      <c r="P995" s="79"/>
      <c r="Q995" s="79"/>
      <c r="T995" s="79"/>
      <c r="U995" s="79"/>
      <c r="X995" s="130"/>
      <c r="Z995" s="106"/>
    </row>
    <row r="996">
      <c r="C996" s="79"/>
      <c r="D996" s="79"/>
      <c r="J996" s="79"/>
      <c r="P996" s="79"/>
      <c r="Q996" s="79"/>
      <c r="T996" s="79"/>
      <c r="U996" s="79"/>
      <c r="X996" s="130"/>
      <c r="Z996" s="106"/>
    </row>
    <row r="997">
      <c r="C997" s="79"/>
      <c r="D997" s="79"/>
      <c r="J997" s="79"/>
      <c r="P997" s="79"/>
      <c r="Q997" s="79"/>
      <c r="T997" s="79"/>
      <c r="U997" s="79"/>
      <c r="X997" s="130"/>
      <c r="Z997" s="106"/>
    </row>
    <row r="998">
      <c r="C998" s="79"/>
      <c r="D998" s="79"/>
      <c r="J998" s="79"/>
      <c r="P998" s="79"/>
      <c r="Q998" s="79"/>
      <c r="T998" s="79"/>
      <c r="U998" s="79"/>
      <c r="X998" s="130"/>
      <c r="Z998" s="106"/>
    </row>
    <row r="999">
      <c r="C999" s="79"/>
      <c r="D999" s="79"/>
      <c r="J999" s="79"/>
      <c r="P999" s="79"/>
      <c r="Q999" s="79"/>
      <c r="T999" s="79"/>
      <c r="U999" s="79"/>
      <c r="X999" s="130"/>
      <c r="Z999" s="106"/>
    </row>
    <row r="1000">
      <c r="C1000" s="79"/>
      <c r="D1000" s="79"/>
      <c r="J1000" s="79"/>
      <c r="P1000" s="79"/>
      <c r="Q1000" s="79"/>
      <c r="T1000" s="79"/>
      <c r="U1000" s="79"/>
      <c r="X1000" s="130"/>
      <c r="Z1000" s="106"/>
    </row>
  </sheetData>
  <mergeCells count="1">
    <mergeCell ref="H19:J19"/>
  </mergeCells>
  <drawing r:id="rId2"/>
  <legacyDrawing r:id="rId3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5" max="25" width="17.0"/>
  </cols>
  <sheetData>
    <row r="1">
      <c r="B1" s="2" t="s">
        <v>0</v>
      </c>
      <c r="C1" s="105" t="s">
        <v>1</v>
      </c>
      <c r="D1" s="105" t="s">
        <v>7</v>
      </c>
      <c r="E1" s="2" t="s">
        <v>3</v>
      </c>
      <c r="F1" s="2" t="s">
        <v>129</v>
      </c>
      <c r="G1" s="2" t="s">
        <v>5</v>
      </c>
      <c r="H1" s="2" t="s">
        <v>6</v>
      </c>
      <c r="I1" s="2" t="s">
        <v>43</v>
      </c>
      <c r="J1" s="105" t="s">
        <v>40</v>
      </c>
      <c r="K1" s="2" t="s">
        <v>49</v>
      </c>
      <c r="L1" s="2" t="s">
        <v>42</v>
      </c>
      <c r="M1" s="2" t="s">
        <v>121</v>
      </c>
      <c r="N1" s="2" t="s">
        <v>164</v>
      </c>
      <c r="O1" s="105" t="s">
        <v>9</v>
      </c>
      <c r="P1" s="105" t="s">
        <v>165</v>
      </c>
      <c r="Q1" s="2" t="s">
        <v>37</v>
      </c>
      <c r="R1" s="2" t="s">
        <v>10</v>
      </c>
      <c r="S1" s="105" t="s">
        <v>11</v>
      </c>
      <c r="T1" s="105" t="s">
        <v>167</v>
      </c>
      <c r="U1" s="2" t="s">
        <v>12</v>
      </c>
      <c r="V1" s="3" t="s">
        <v>13</v>
      </c>
      <c r="W1" s="126" t="s">
        <v>14</v>
      </c>
      <c r="X1" s="3" t="s">
        <v>15</v>
      </c>
      <c r="Y1" s="106"/>
    </row>
    <row r="2">
      <c r="A2" s="74">
        <v>45152.0</v>
      </c>
      <c r="B2" s="5">
        <v>1709.87</v>
      </c>
      <c r="C2" s="93">
        <v>453.8</v>
      </c>
      <c r="D2" s="93"/>
      <c r="E2" s="5"/>
      <c r="F2" s="5">
        <v>727.48</v>
      </c>
      <c r="G2" s="5"/>
      <c r="H2" s="5"/>
      <c r="I2" s="5"/>
      <c r="J2" s="136"/>
      <c r="K2" s="5">
        <v>168.0</v>
      </c>
      <c r="L2" s="5"/>
      <c r="M2" s="5"/>
      <c r="N2" s="5"/>
      <c r="O2" s="93"/>
      <c r="P2" s="93"/>
      <c r="Q2" s="5"/>
      <c r="R2" s="5"/>
      <c r="S2" s="93">
        <v>109.97</v>
      </c>
      <c r="T2" s="93"/>
      <c r="U2" s="5"/>
      <c r="V2" s="107">
        <f t="shared" ref="V2:V7" si="1">SUM(B2:U2)</f>
        <v>3169.12</v>
      </c>
      <c r="W2" s="108">
        <v>9253.9</v>
      </c>
      <c r="X2" s="59">
        <f t="shared" ref="X2:X8" si="2">V2/W2</f>
        <v>0.3424631777</v>
      </c>
      <c r="Y2" s="109">
        <f t="shared" ref="Y2:Y8" si="3">A2</f>
        <v>45152</v>
      </c>
    </row>
    <row r="3">
      <c r="A3" s="74">
        <v>45153.0</v>
      </c>
      <c r="B3" s="5">
        <v>727.46</v>
      </c>
      <c r="C3" s="54">
        <v>1210.46</v>
      </c>
      <c r="D3" s="93"/>
      <c r="E3" s="5"/>
      <c r="F3" s="5">
        <v>463.84</v>
      </c>
      <c r="G3" s="5">
        <v>619.5</v>
      </c>
      <c r="H3" s="5">
        <v>42.0</v>
      </c>
      <c r="I3" s="5"/>
      <c r="J3" s="93"/>
      <c r="K3" s="5"/>
      <c r="L3" s="5"/>
      <c r="M3" s="6"/>
      <c r="N3" s="6"/>
      <c r="O3" s="44">
        <v>753.0</v>
      </c>
      <c r="P3" s="93"/>
      <c r="Q3" s="93"/>
      <c r="R3" s="5"/>
      <c r="S3" s="93"/>
      <c r="T3" s="93"/>
      <c r="U3" s="93"/>
      <c r="V3" s="7">
        <f t="shared" si="1"/>
        <v>3816.26</v>
      </c>
      <c r="W3" s="97">
        <v>6563.5</v>
      </c>
      <c r="X3" s="59">
        <f t="shared" si="2"/>
        <v>0.5814367335</v>
      </c>
      <c r="Y3" s="109">
        <f t="shared" si="3"/>
        <v>45153</v>
      </c>
    </row>
    <row r="4">
      <c r="A4" s="74">
        <v>45154.0</v>
      </c>
      <c r="B4" s="5">
        <v>1136.12</v>
      </c>
      <c r="C4" s="93">
        <v>453.8</v>
      </c>
      <c r="D4" s="93"/>
      <c r="E4" s="5"/>
      <c r="F4" s="5"/>
      <c r="G4" s="5"/>
      <c r="H4" s="5"/>
      <c r="I4" s="5"/>
      <c r="J4" s="93"/>
      <c r="K4" s="5"/>
      <c r="L4" s="5"/>
      <c r="M4" s="5">
        <v>18.5</v>
      </c>
      <c r="N4" s="5"/>
      <c r="O4" s="93"/>
      <c r="P4" s="93"/>
      <c r="Q4" s="5"/>
      <c r="R4" s="83"/>
      <c r="S4" s="93">
        <v>109.97</v>
      </c>
      <c r="T4" s="93"/>
      <c r="U4" s="6"/>
      <c r="V4" s="7">
        <f t="shared" si="1"/>
        <v>1718.39</v>
      </c>
      <c r="W4" s="97">
        <v>8880.5</v>
      </c>
      <c r="X4" s="59">
        <f t="shared" si="2"/>
        <v>0.193501492</v>
      </c>
      <c r="Y4" s="109">
        <f t="shared" si="3"/>
        <v>45154</v>
      </c>
    </row>
    <row r="5">
      <c r="A5" s="74">
        <v>45155.0</v>
      </c>
      <c r="B5" s="5">
        <v>1742.36</v>
      </c>
      <c r="C5" s="93">
        <v>480.46</v>
      </c>
      <c r="D5" s="101"/>
      <c r="E5" s="5">
        <v>280.0</v>
      </c>
      <c r="F5" s="5">
        <v>526.84</v>
      </c>
      <c r="G5" s="5">
        <v>718.5</v>
      </c>
      <c r="H5" s="5">
        <v>123.0</v>
      </c>
      <c r="I5" s="5"/>
      <c r="J5" s="93"/>
      <c r="K5" s="5"/>
      <c r="L5" s="5"/>
      <c r="M5" s="5">
        <v>18.5</v>
      </c>
      <c r="N5" s="5"/>
      <c r="O5" s="93"/>
      <c r="P5" s="93"/>
      <c r="Q5" s="5"/>
      <c r="R5" s="5"/>
      <c r="S5" s="101"/>
      <c r="T5" s="101"/>
      <c r="U5" s="6"/>
      <c r="V5" s="7">
        <f t="shared" si="1"/>
        <v>3889.66</v>
      </c>
      <c r="W5" s="98">
        <v>7415.0</v>
      </c>
      <c r="X5" s="59">
        <f t="shared" si="2"/>
        <v>0.5245664194</v>
      </c>
      <c r="Y5" s="109">
        <f t="shared" si="3"/>
        <v>45155</v>
      </c>
    </row>
    <row r="6">
      <c r="A6" s="74">
        <v>45156.0</v>
      </c>
      <c r="B6" s="5">
        <v>2274.27</v>
      </c>
      <c r="C6" s="93">
        <v>526.69</v>
      </c>
      <c r="D6" s="44">
        <v>450.0</v>
      </c>
      <c r="E6" s="5"/>
      <c r="F6" s="32">
        <v>1461.65</v>
      </c>
      <c r="G6" s="5"/>
      <c r="H6" s="5"/>
      <c r="I6" s="5"/>
      <c r="J6" s="111"/>
      <c r="K6" s="5"/>
      <c r="L6" s="5"/>
      <c r="M6" s="5">
        <v>18.5</v>
      </c>
      <c r="N6" s="5"/>
      <c r="O6" s="93"/>
      <c r="P6" s="93">
        <v>137.0</v>
      </c>
      <c r="Q6" s="5"/>
      <c r="R6" s="5"/>
      <c r="S6" s="93">
        <v>109.97</v>
      </c>
      <c r="T6" s="93"/>
      <c r="U6" s="5"/>
      <c r="V6" s="7">
        <f t="shared" si="1"/>
        <v>4978.08</v>
      </c>
      <c r="W6" s="97">
        <v>14252.5</v>
      </c>
      <c r="X6" s="59">
        <f t="shared" si="2"/>
        <v>0.3492776706</v>
      </c>
      <c r="Y6" s="109">
        <f t="shared" si="3"/>
        <v>45156</v>
      </c>
    </row>
    <row r="7">
      <c r="A7" s="74">
        <v>45157.0</v>
      </c>
      <c r="B7" s="5">
        <v>896.24</v>
      </c>
      <c r="C7" s="93">
        <v>263.0</v>
      </c>
      <c r="D7" s="93"/>
      <c r="E7" s="5"/>
      <c r="F7" s="5"/>
      <c r="G7" s="5"/>
      <c r="H7" s="5"/>
      <c r="I7" s="5"/>
      <c r="J7" s="101"/>
      <c r="K7" s="5"/>
      <c r="L7" s="5"/>
      <c r="M7" s="93"/>
      <c r="N7" s="93"/>
      <c r="O7" s="93"/>
      <c r="P7" s="93">
        <v>50.0</v>
      </c>
      <c r="Q7" s="6"/>
      <c r="R7" s="6"/>
      <c r="S7" s="101"/>
      <c r="T7" s="101"/>
      <c r="U7" s="5">
        <v>66.9</v>
      </c>
      <c r="V7" s="7">
        <f t="shared" si="1"/>
        <v>1276.14</v>
      </c>
      <c r="W7" s="97">
        <v>15355.3</v>
      </c>
      <c r="X7" s="59">
        <f t="shared" si="2"/>
        <v>0.08310746127</v>
      </c>
      <c r="Y7" s="109">
        <f t="shared" si="3"/>
        <v>45157</v>
      </c>
    </row>
    <row r="8">
      <c r="A8" s="74">
        <v>45158.0</v>
      </c>
      <c r="B8" s="10" t="s">
        <v>21</v>
      </c>
      <c r="C8" s="112" t="s">
        <v>21</v>
      </c>
      <c r="D8" s="112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12" t="s">
        <v>21</v>
      </c>
      <c r="K8" s="10" t="s">
        <v>21</v>
      </c>
      <c r="L8" s="10" t="s">
        <v>21</v>
      </c>
      <c r="M8" s="10"/>
      <c r="N8" s="10"/>
      <c r="O8" s="112" t="s">
        <v>21</v>
      </c>
      <c r="P8" s="112"/>
      <c r="Q8" s="10" t="s">
        <v>21</v>
      </c>
      <c r="R8" s="10" t="s">
        <v>21</v>
      </c>
      <c r="S8" s="112" t="s">
        <v>21</v>
      </c>
      <c r="T8" s="112"/>
      <c r="U8" s="10" t="s">
        <v>21</v>
      </c>
      <c r="V8" s="7">
        <v>0.0</v>
      </c>
      <c r="W8" s="97"/>
      <c r="X8" s="59" t="str">
        <f t="shared" si="2"/>
        <v>#DIV/0!</v>
      </c>
      <c r="Y8" s="109">
        <f t="shared" si="3"/>
        <v>45158</v>
      </c>
    </row>
    <row r="9">
      <c r="C9" s="136"/>
      <c r="D9" s="138"/>
      <c r="J9" s="79"/>
      <c r="S9" s="79"/>
      <c r="T9" s="79"/>
      <c r="W9" s="129"/>
      <c r="Y9" s="106"/>
    </row>
    <row r="10">
      <c r="C10" s="79"/>
      <c r="D10" s="79"/>
      <c r="J10" s="79"/>
      <c r="O10" s="79"/>
      <c r="P10" s="79"/>
      <c r="S10" s="79"/>
      <c r="T10" s="79"/>
      <c r="W10" s="130"/>
      <c r="Y10" s="106"/>
    </row>
    <row r="11">
      <c r="A11" s="4" t="s">
        <v>22</v>
      </c>
      <c r="B11" s="11">
        <v>13000.0</v>
      </c>
      <c r="C11" s="79"/>
      <c r="D11" s="79"/>
      <c r="E11" s="78"/>
      <c r="F11" s="79"/>
      <c r="J11" s="79"/>
      <c r="O11" s="79"/>
      <c r="P11" s="79"/>
      <c r="S11" s="79"/>
      <c r="T11" s="79"/>
      <c r="W11" s="131"/>
      <c r="Y11" s="106"/>
    </row>
    <row r="12">
      <c r="A12" s="4" t="s">
        <v>23</v>
      </c>
      <c r="B12" s="12">
        <f>SUM(B2:U8)+C9</f>
        <v>18847.65</v>
      </c>
      <c r="C12" s="79"/>
      <c r="D12" s="79"/>
      <c r="E12" s="56"/>
      <c r="J12" s="79"/>
      <c r="O12" s="79"/>
      <c r="P12" s="79"/>
      <c r="S12" s="79"/>
      <c r="T12" s="79"/>
      <c r="W12" s="130"/>
      <c r="Y12" s="106"/>
    </row>
    <row r="13">
      <c r="A13" s="4" t="s">
        <v>24</v>
      </c>
      <c r="B13" s="12">
        <f> SUM(B11-B12)</f>
        <v>-5847.65</v>
      </c>
      <c r="C13" s="79"/>
      <c r="D13" s="79"/>
      <c r="J13" s="79"/>
      <c r="O13" s="79"/>
      <c r="P13" s="79"/>
      <c r="S13" s="79"/>
      <c r="T13" s="79"/>
      <c r="W13" s="130"/>
      <c r="Y13" s="106"/>
    </row>
    <row r="14">
      <c r="C14" s="79"/>
      <c r="D14" s="79"/>
      <c r="J14" s="79"/>
      <c r="O14" s="79"/>
      <c r="P14" s="79"/>
      <c r="S14" s="79"/>
      <c r="T14" s="79"/>
      <c r="W14" s="130"/>
      <c r="Y14" s="106"/>
    </row>
    <row r="15">
      <c r="A15" s="13" t="s">
        <v>25</v>
      </c>
      <c r="B15" s="14">
        <f>SUM(W2:W8)</f>
        <v>61720.7</v>
      </c>
      <c r="C15" s="79"/>
      <c r="D15" s="79"/>
      <c r="J15" s="79"/>
      <c r="O15" s="79"/>
      <c r="P15" s="79"/>
      <c r="S15" s="79"/>
      <c r="T15" s="79"/>
      <c r="W15" s="130"/>
      <c r="Y15" s="106"/>
    </row>
    <row r="16">
      <c r="A16" s="13" t="s">
        <v>26</v>
      </c>
      <c r="B16" s="15">
        <f>B12/B15</f>
        <v>0.3053699974</v>
      </c>
      <c r="C16" s="79"/>
      <c r="D16" s="79"/>
      <c r="J16" s="79"/>
      <c r="O16" s="79"/>
      <c r="P16" s="79"/>
      <c r="S16" s="79"/>
      <c r="T16" s="79"/>
      <c r="W16" s="130"/>
      <c r="Y16" s="106"/>
    </row>
    <row r="17">
      <c r="C17" s="79"/>
      <c r="D17" s="79"/>
      <c r="J17" s="79"/>
      <c r="O17" s="79"/>
      <c r="P17" s="79"/>
      <c r="S17" s="79"/>
      <c r="T17" s="79"/>
      <c r="W17" s="130"/>
      <c r="Y17" s="106"/>
    </row>
    <row r="18">
      <c r="C18" s="79"/>
      <c r="D18" s="79"/>
      <c r="J18" s="79"/>
      <c r="O18" s="79"/>
      <c r="P18" s="79"/>
      <c r="S18" s="79"/>
      <c r="T18" s="79"/>
      <c r="W18" s="130"/>
      <c r="Y18" s="106"/>
    </row>
    <row r="19">
      <c r="A19" s="16" t="s">
        <v>27</v>
      </c>
      <c r="B19" s="17"/>
      <c r="C19" s="114"/>
      <c r="D19" s="115"/>
      <c r="H19" s="84"/>
      <c r="O19" s="79"/>
      <c r="P19" s="79"/>
      <c r="S19" s="79"/>
      <c r="T19" s="79"/>
      <c r="W19" s="130"/>
      <c r="Y19" s="106"/>
    </row>
    <row r="20">
      <c r="A20" s="19" t="s">
        <v>28</v>
      </c>
      <c r="B20" s="20"/>
      <c r="C20" s="116"/>
      <c r="D20" s="117"/>
      <c r="H20" s="85"/>
      <c r="I20" s="85"/>
      <c r="J20" s="118"/>
      <c r="O20" s="79"/>
      <c r="P20" s="79"/>
      <c r="S20" s="79"/>
      <c r="T20" s="79"/>
      <c r="W20" s="130"/>
      <c r="Y20" s="106"/>
    </row>
    <row r="21">
      <c r="A21" s="22" t="s">
        <v>29</v>
      </c>
      <c r="B21" s="23" t="s">
        <v>30</v>
      </c>
      <c r="C21" s="119" t="s">
        <v>170</v>
      </c>
      <c r="D21" s="120" t="s">
        <v>171</v>
      </c>
      <c r="H21" s="86"/>
      <c r="I21" s="85"/>
      <c r="J21" s="118"/>
      <c r="O21" s="79"/>
      <c r="P21" s="79"/>
      <c r="S21" s="79"/>
      <c r="T21" s="79"/>
      <c r="W21" s="130"/>
      <c r="Y21" s="106"/>
    </row>
    <row r="22">
      <c r="A22" s="28" t="s">
        <v>149</v>
      </c>
      <c r="B22" s="72"/>
      <c r="C22" s="121"/>
      <c r="D22" s="122"/>
      <c r="H22" s="87"/>
      <c r="I22" s="85"/>
      <c r="J22" s="118"/>
      <c r="O22" s="79"/>
      <c r="P22" s="79"/>
      <c r="S22" s="79"/>
      <c r="T22" s="79"/>
      <c r="W22" s="130"/>
      <c r="Y22" s="106"/>
    </row>
    <row r="23">
      <c r="A23" s="28" t="s">
        <v>150</v>
      </c>
      <c r="B23" s="72"/>
      <c r="C23" s="121"/>
      <c r="D23" s="122"/>
      <c r="H23" s="88"/>
      <c r="I23" s="88"/>
      <c r="J23" s="123"/>
      <c r="O23" s="79"/>
      <c r="P23" s="79"/>
      <c r="S23" s="79"/>
      <c r="T23" s="79"/>
      <c r="W23" s="130"/>
      <c r="Y23" s="106"/>
    </row>
    <row r="24">
      <c r="A24" s="71" t="s">
        <v>108</v>
      </c>
      <c r="B24" s="72"/>
      <c r="C24" s="71"/>
      <c r="D24" s="124"/>
      <c r="H24" s="88"/>
      <c r="I24" s="88"/>
      <c r="J24" s="123"/>
      <c r="O24" s="79"/>
      <c r="P24" s="79"/>
      <c r="S24" s="79"/>
      <c r="T24" s="79"/>
      <c r="W24" s="130"/>
      <c r="Y24" s="106"/>
    </row>
    <row r="25">
      <c r="A25" s="28" t="s">
        <v>159</v>
      </c>
      <c r="B25" s="41"/>
      <c r="C25" s="121"/>
      <c r="D25" s="124"/>
      <c r="H25" s="88"/>
      <c r="I25" s="88"/>
      <c r="J25" s="123"/>
      <c r="O25" s="79"/>
      <c r="P25" s="79"/>
      <c r="S25" s="79"/>
      <c r="T25" s="79"/>
      <c r="W25" s="130"/>
      <c r="Y25" s="106"/>
    </row>
    <row r="26">
      <c r="A26" s="28" t="s">
        <v>160</v>
      </c>
      <c r="B26" s="41"/>
      <c r="C26" s="71"/>
      <c r="D26" s="124"/>
      <c r="H26" s="88"/>
      <c r="I26" s="88"/>
      <c r="J26" s="123"/>
      <c r="O26" s="79"/>
      <c r="P26" s="79"/>
      <c r="S26" s="79"/>
      <c r="T26" s="79"/>
      <c r="W26" s="130"/>
      <c r="Y26" s="106"/>
    </row>
    <row r="27">
      <c r="A27" s="28" t="s">
        <v>172</v>
      </c>
      <c r="B27" s="41"/>
      <c r="C27" s="71"/>
      <c r="D27" s="122"/>
      <c r="H27" s="88"/>
      <c r="I27" s="88"/>
      <c r="J27" s="123"/>
      <c r="O27" s="79"/>
      <c r="P27" s="79"/>
      <c r="S27" s="79"/>
      <c r="T27" s="79"/>
      <c r="W27" s="130"/>
      <c r="Y27" s="106"/>
    </row>
    <row r="28">
      <c r="A28" s="25"/>
      <c r="B28" s="26"/>
      <c r="C28" s="121"/>
      <c r="D28" s="122"/>
      <c r="J28" s="79"/>
      <c r="O28" s="79"/>
      <c r="P28" s="79"/>
      <c r="S28" s="79"/>
      <c r="T28" s="79"/>
      <c r="W28" s="132"/>
      <c r="Y28" s="106"/>
    </row>
    <row r="29">
      <c r="A29" s="25"/>
      <c r="B29" s="26"/>
      <c r="C29" s="121"/>
      <c r="D29" s="122"/>
      <c r="I29" s="89"/>
      <c r="J29" s="125"/>
      <c r="O29" s="79"/>
      <c r="P29" s="79"/>
      <c r="S29" s="79"/>
      <c r="T29" s="79"/>
      <c r="W29" s="130"/>
      <c r="Y29" s="106"/>
    </row>
    <row r="30">
      <c r="C30" s="79"/>
      <c r="D30" s="79"/>
      <c r="J30" s="79"/>
      <c r="O30" s="79"/>
      <c r="P30" s="79"/>
      <c r="S30" s="79"/>
      <c r="T30" s="79"/>
      <c r="W30" s="130"/>
      <c r="Y30" s="106"/>
    </row>
    <row r="31">
      <c r="C31" s="79"/>
      <c r="D31" s="79"/>
      <c r="J31" s="79"/>
      <c r="O31" s="79"/>
      <c r="P31" s="79"/>
      <c r="S31" s="79"/>
      <c r="T31" s="79"/>
      <c r="W31" s="130"/>
      <c r="Y31" s="106"/>
    </row>
    <row r="32">
      <c r="C32" s="79"/>
      <c r="D32" s="79"/>
      <c r="J32" s="79"/>
      <c r="O32" s="79"/>
      <c r="P32" s="79"/>
      <c r="S32" s="79"/>
      <c r="T32" s="79"/>
      <c r="W32" s="130"/>
      <c r="Y32" s="106"/>
    </row>
    <row r="33">
      <c r="C33" s="79"/>
      <c r="D33" s="79"/>
      <c r="J33" s="79"/>
      <c r="O33" s="79"/>
      <c r="P33" s="79"/>
      <c r="S33" s="79"/>
      <c r="T33" s="79"/>
      <c r="W33" s="130"/>
      <c r="Y33" s="106"/>
    </row>
    <row r="34">
      <c r="C34" s="79"/>
      <c r="D34" s="79"/>
      <c r="J34" s="79"/>
      <c r="O34" s="79"/>
      <c r="P34" s="79"/>
      <c r="S34" s="79"/>
      <c r="T34" s="79"/>
      <c r="W34" s="130"/>
      <c r="Y34" s="106"/>
    </row>
    <row r="35">
      <c r="C35" s="79"/>
      <c r="D35" s="79"/>
      <c r="J35" s="79"/>
      <c r="O35" s="79"/>
      <c r="P35" s="79"/>
      <c r="S35" s="79"/>
      <c r="T35" s="79"/>
      <c r="W35" s="130"/>
      <c r="Y35" s="106"/>
    </row>
    <row r="36">
      <c r="C36" s="79"/>
      <c r="D36" s="79"/>
      <c r="J36" s="79"/>
      <c r="O36" s="79"/>
      <c r="P36" s="79"/>
      <c r="S36" s="79"/>
      <c r="T36" s="79"/>
      <c r="W36" s="130"/>
      <c r="Y36" s="106"/>
    </row>
    <row r="37">
      <c r="C37" s="79"/>
      <c r="D37" s="79"/>
      <c r="J37" s="79"/>
      <c r="O37" s="79"/>
      <c r="P37" s="79"/>
      <c r="S37" s="79"/>
      <c r="T37" s="79"/>
      <c r="W37" s="130"/>
      <c r="Y37" s="106"/>
    </row>
    <row r="38">
      <c r="C38" s="79"/>
      <c r="D38" s="79"/>
      <c r="J38" s="79"/>
      <c r="O38" s="79"/>
      <c r="P38" s="79"/>
      <c r="S38" s="79"/>
      <c r="T38" s="79"/>
      <c r="W38" s="130"/>
      <c r="Y38" s="106"/>
    </row>
    <row r="39">
      <c r="C39" s="79"/>
      <c r="D39" s="79"/>
      <c r="J39" s="79"/>
      <c r="O39" s="79"/>
      <c r="P39" s="79"/>
      <c r="S39" s="79"/>
      <c r="T39" s="79"/>
      <c r="W39" s="130"/>
      <c r="Y39" s="106"/>
    </row>
    <row r="40">
      <c r="C40" s="79"/>
      <c r="D40" s="79"/>
      <c r="J40" s="79"/>
      <c r="O40" s="79"/>
      <c r="P40" s="79"/>
      <c r="S40" s="79"/>
      <c r="T40" s="79"/>
      <c r="W40" s="130"/>
      <c r="Y40" s="106"/>
    </row>
    <row r="41">
      <c r="C41" s="79"/>
      <c r="D41" s="79"/>
      <c r="J41" s="79"/>
      <c r="O41" s="79"/>
      <c r="P41" s="79"/>
      <c r="S41" s="79"/>
      <c r="T41" s="79"/>
      <c r="W41" s="130"/>
      <c r="Y41" s="106"/>
    </row>
    <row r="42">
      <c r="C42" s="79"/>
      <c r="D42" s="79"/>
      <c r="J42" s="79"/>
      <c r="O42" s="79"/>
      <c r="P42" s="79"/>
      <c r="S42" s="79"/>
      <c r="T42" s="79"/>
      <c r="W42" s="130"/>
      <c r="Y42" s="106"/>
    </row>
    <row r="43">
      <c r="C43" s="79"/>
      <c r="D43" s="79"/>
      <c r="J43" s="79"/>
      <c r="O43" s="79"/>
      <c r="P43" s="79"/>
      <c r="S43" s="79"/>
      <c r="T43" s="79"/>
      <c r="W43" s="130"/>
      <c r="Y43" s="106"/>
    </row>
    <row r="44">
      <c r="C44" s="79"/>
      <c r="D44" s="79"/>
      <c r="J44" s="79"/>
      <c r="O44" s="79"/>
      <c r="P44" s="79"/>
      <c r="S44" s="79"/>
      <c r="T44" s="79"/>
      <c r="W44" s="130"/>
      <c r="Y44" s="106"/>
    </row>
    <row r="45">
      <c r="C45" s="79"/>
      <c r="D45" s="79"/>
      <c r="J45" s="79"/>
      <c r="O45" s="79"/>
      <c r="P45" s="79"/>
      <c r="S45" s="79"/>
      <c r="T45" s="79"/>
      <c r="W45" s="130"/>
      <c r="Y45" s="106"/>
    </row>
    <row r="46">
      <c r="C46" s="79"/>
      <c r="D46" s="79"/>
      <c r="J46" s="79"/>
      <c r="O46" s="79"/>
      <c r="P46" s="79"/>
      <c r="S46" s="79"/>
      <c r="T46" s="79"/>
      <c r="W46" s="130"/>
      <c r="Y46" s="106"/>
    </row>
    <row r="47">
      <c r="C47" s="79"/>
      <c r="D47" s="79"/>
      <c r="J47" s="79"/>
      <c r="O47" s="79"/>
      <c r="P47" s="79"/>
      <c r="S47" s="79"/>
      <c r="T47" s="79"/>
      <c r="W47" s="130"/>
      <c r="Y47" s="106"/>
    </row>
    <row r="48">
      <c r="C48" s="79"/>
      <c r="D48" s="79"/>
      <c r="J48" s="79"/>
      <c r="O48" s="79"/>
      <c r="P48" s="79"/>
      <c r="S48" s="79"/>
      <c r="T48" s="79"/>
      <c r="W48" s="130"/>
      <c r="Y48" s="106"/>
    </row>
    <row r="49">
      <c r="C49" s="79"/>
      <c r="D49" s="79"/>
      <c r="J49" s="79"/>
      <c r="O49" s="79"/>
      <c r="P49" s="79"/>
      <c r="S49" s="79"/>
      <c r="T49" s="79"/>
      <c r="W49" s="130"/>
      <c r="Y49" s="106"/>
    </row>
    <row r="50">
      <c r="C50" s="79"/>
      <c r="D50" s="79"/>
      <c r="J50" s="79"/>
      <c r="O50" s="79"/>
      <c r="P50" s="79"/>
      <c r="S50" s="79"/>
      <c r="T50" s="79"/>
      <c r="W50" s="130"/>
      <c r="Y50" s="106"/>
    </row>
    <row r="51">
      <c r="C51" s="79"/>
      <c r="D51" s="79"/>
      <c r="J51" s="79"/>
      <c r="O51" s="79"/>
      <c r="P51" s="79"/>
      <c r="S51" s="79"/>
      <c r="T51" s="79"/>
      <c r="W51" s="130"/>
      <c r="Y51" s="106"/>
    </row>
    <row r="52">
      <c r="C52" s="79"/>
      <c r="D52" s="79"/>
      <c r="J52" s="79"/>
      <c r="O52" s="79"/>
      <c r="P52" s="79"/>
      <c r="S52" s="79"/>
      <c r="T52" s="79"/>
      <c r="W52" s="130"/>
      <c r="Y52" s="106"/>
    </row>
    <row r="53">
      <c r="C53" s="79"/>
      <c r="D53" s="79"/>
      <c r="J53" s="79"/>
      <c r="O53" s="79"/>
      <c r="P53" s="79"/>
      <c r="S53" s="79"/>
      <c r="T53" s="79"/>
      <c r="W53" s="130"/>
      <c r="Y53" s="106"/>
    </row>
    <row r="54">
      <c r="C54" s="79"/>
      <c r="D54" s="79"/>
      <c r="J54" s="79"/>
      <c r="O54" s="79"/>
      <c r="P54" s="79"/>
      <c r="S54" s="79"/>
      <c r="T54" s="79"/>
      <c r="W54" s="130"/>
      <c r="Y54" s="106"/>
    </row>
    <row r="55">
      <c r="C55" s="79"/>
      <c r="D55" s="79"/>
      <c r="J55" s="79"/>
      <c r="O55" s="79"/>
      <c r="P55" s="79"/>
      <c r="S55" s="79"/>
      <c r="T55" s="79"/>
      <c r="W55" s="130"/>
      <c r="Y55" s="106"/>
    </row>
    <row r="56">
      <c r="C56" s="79"/>
      <c r="D56" s="79"/>
      <c r="J56" s="79"/>
      <c r="O56" s="79"/>
      <c r="P56" s="79"/>
      <c r="S56" s="79"/>
      <c r="T56" s="79"/>
      <c r="W56" s="130"/>
      <c r="Y56" s="106"/>
    </row>
    <row r="57">
      <c r="C57" s="79"/>
      <c r="D57" s="79"/>
      <c r="J57" s="79"/>
      <c r="O57" s="79"/>
      <c r="P57" s="79"/>
      <c r="S57" s="79"/>
      <c r="T57" s="79"/>
      <c r="W57" s="130"/>
      <c r="Y57" s="106"/>
    </row>
    <row r="58">
      <c r="C58" s="79"/>
      <c r="D58" s="79"/>
      <c r="J58" s="79"/>
      <c r="O58" s="79"/>
      <c r="P58" s="79"/>
      <c r="S58" s="79"/>
      <c r="T58" s="79"/>
      <c r="W58" s="130"/>
      <c r="Y58" s="106"/>
    </row>
    <row r="59">
      <c r="C59" s="79"/>
      <c r="D59" s="79"/>
      <c r="J59" s="79"/>
      <c r="O59" s="79"/>
      <c r="P59" s="79"/>
      <c r="S59" s="79"/>
      <c r="T59" s="79"/>
      <c r="W59" s="130"/>
      <c r="Y59" s="106"/>
    </row>
    <row r="60">
      <c r="C60" s="79"/>
      <c r="D60" s="79"/>
      <c r="J60" s="79"/>
      <c r="O60" s="79"/>
      <c r="P60" s="79"/>
      <c r="S60" s="79"/>
      <c r="T60" s="79"/>
      <c r="W60" s="130"/>
      <c r="Y60" s="106"/>
    </row>
    <row r="61">
      <c r="C61" s="79"/>
      <c r="D61" s="79"/>
      <c r="J61" s="79"/>
      <c r="O61" s="79"/>
      <c r="P61" s="79"/>
      <c r="S61" s="79"/>
      <c r="T61" s="79"/>
      <c r="W61" s="130"/>
      <c r="Y61" s="106"/>
    </row>
    <row r="62">
      <c r="C62" s="79"/>
      <c r="D62" s="79"/>
      <c r="J62" s="79"/>
      <c r="O62" s="79"/>
      <c r="P62" s="79"/>
      <c r="S62" s="79"/>
      <c r="T62" s="79"/>
      <c r="W62" s="130"/>
      <c r="Y62" s="106"/>
    </row>
    <row r="63">
      <c r="C63" s="79"/>
      <c r="D63" s="79"/>
      <c r="J63" s="79"/>
      <c r="O63" s="79"/>
      <c r="P63" s="79"/>
      <c r="S63" s="79"/>
      <c r="T63" s="79"/>
      <c r="W63" s="130"/>
      <c r="Y63" s="106"/>
    </row>
    <row r="64">
      <c r="C64" s="79"/>
      <c r="D64" s="79"/>
      <c r="J64" s="79"/>
      <c r="O64" s="79"/>
      <c r="P64" s="79"/>
      <c r="S64" s="79"/>
      <c r="T64" s="79"/>
      <c r="W64" s="130"/>
      <c r="Y64" s="106"/>
    </row>
    <row r="65">
      <c r="C65" s="79"/>
      <c r="D65" s="79"/>
      <c r="J65" s="79"/>
      <c r="O65" s="79"/>
      <c r="P65" s="79"/>
      <c r="S65" s="79"/>
      <c r="T65" s="79"/>
      <c r="W65" s="130"/>
      <c r="Y65" s="106"/>
    </row>
    <row r="66">
      <c r="C66" s="79"/>
      <c r="D66" s="79"/>
      <c r="J66" s="79"/>
      <c r="O66" s="79"/>
      <c r="P66" s="79"/>
      <c r="S66" s="79"/>
      <c r="T66" s="79"/>
      <c r="W66" s="130"/>
      <c r="Y66" s="106"/>
    </row>
    <row r="67">
      <c r="C67" s="79"/>
      <c r="D67" s="79"/>
      <c r="J67" s="79"/>
      <c r="O67" s="79"/>
      <c r="P67" s="79"/>
      <c r="S67" s="79"/>
      <c r="T67" s="79"/>
      <c r="W67" s="130"/>
      <c r="Y67" s="106"/>
    </row>
    <row r="68">
      <c r="C68" s="79"/>
      <c r="D68" s="79"/>
      <c r="J68" s="79"/>
      <c r="O68" s="79"/>
      <c r="P68" s="79"/>
      <c r="S68" s="79"/>
      <c r="T68" s="79"/>
      <c r="W68" s="130"/>
      <c r="Y68" s="106"/>
    </row>
    <row r="69">
      <c r="C69" s="79"/>
      <c r="D69" s="79"/>
      <c r="J69" s="79"/>
      <c r="O69" s="79"/>
      <c r="P69" s="79"/>
      <c r="S69" s="79"/>
      <c r="T69" s="79"/>
      <c r="W69" s="130"/>
      <c r="Y69" s="106"/>
    </row>
    <row r="70">
      <c r="C70" s="79"/>
      <c r="D70" s="79"/>
      <c r="J70" s="79"/>
      <c r="O70" s="79"/>
      <c r="P70" s="79"/>
      <c r="S70" s="79"/>
      <c r="T70" s="79"/>
      <c r="W70" s="130"/>
      <c r="Y70" s="106"/>
    </row>
    <row r="71">
      <c r="C71" s="79"/>
      <c r="D71" s="79"/>
      <c r="J71" s="79"/>
      <c r="O71" s="79"/>
      <c r="P71" s="79"/>
      <c r="S71" s="79"/>
      <c r="T71" s="79"/>
      <c r="W71" s="130"/>
      <c r="Y71" s="106"/>
    </row>
    <row r="72">
      <c r="C72" s="79"/>
      <c r="D72" s="79"/>
      <c r="J72" s="79"/>
      <c r="O72" s="79"/>
      <c r="P72" s="79"/>
      <c r="S72" s="79"/>
      <c r="T72" s="79"/>
      <c r="W72" s="130"/>
      <c r="Y72" s="106"/>
    </row>
    <row r="73">
      <c r="C73" s="79"/>
      <c r="D73" s="79"/>
      <c r="J73" s="79"/>
      <c r="O73" s="79"/>
      <c r="P73" s="79"/>
      <c r="S73" s="79"/>
      <c r="T73" s="79"/>
      <c r="W73" s="130"/>
      <c r="Y73" s="106"/>
    </row>
    <row r="74">
      <c r="C74" s="79"/>
      <c r="D74" s="79"/>
      <c r="J74" s="79"/>
      <c r="O74" s="79"/>
      <c r="P74" s="79"/>
      <c r="S74" s="79"/>
      <c r="T74" s="79"/>
      <c r="W74" s="130"/>
      <c r="Y74" s="106"/>
    </row>
    <row r="75">
      <c r="C75" s="79"/>
      <c r="D75" s="79"/>
      <c r="J75" s="79"/>
      <c r="O75" s="79"/>
      <c r="P75" s="79"/>
      <c r="S75" s="79"/>
      <c r="T75" s="79"/>
      <c r="W75" s="130"/>
      <c r="Y75" s="106"/>
    </row>
    <row r="76">
      <c r="C76" s="79"/>
      <c r="D76" s="79"/>
      <c r="J76" s="79"/>
      <c r="O76" s="79"/>
      <c r="P76" s="79"/>
      <c r="S76" s="79"/>
      <c r="T76" s="79"/>
      <c r="W76" s="130"/>
      <c r="Y76" s="106"/>
    </row>
    <row r="77">
      <c r="C77" s="79"/>
      <c r="D77" s="79"/>
      <c r="J77" s="79"/>
      <c r="O77" s="79"/>
      <c r="P77" s="79"/>
      <c r="S77" s="79"/>
      <c r="T77" s="79"/>
      <c r="W77" s="130"/>
      <c r="Y77" s="106"/>
    </row>
    <row r="78">
      <c r="C78" s="79"/>
      <c r="D78" s="79"/>
      <c r="J78" s="79"/>
      <c r="O78" s="79"/>
      <c r="P78" s="79"/>
      <c r="S78" s="79"/>
      <c r="T78" s="79"/>
      <c r="W78" s="130"/>
      <c r="Y78" s="106"/>
    </row>
    <row r="79">
      <c r="C79" s="79"/>
      <c r="D79" s="79"/>
      <c r="J79" s="79"/>
      <c r="O79" s="79"/>
      <c r="P79" s="79"/>
      <c r="S79" s="79"/>
      <c r="T79" s="79"/>
      <c r="W79" s="130"/>
      <c r="Y79" s="106"/>
    </row>
    <row r="80">
      <c r="C80" s="79"/>
      <c r="D80" s="79"/>
      <c r="J80" s="79"/>
      <c r="O80" s="79"/>
      <c r="P80" s="79"/>
      <c r="S80" s="79"/>
      <c r="T80" s="79"/>
      <c r="W80" s="130"/>
      <c r="Y80" s="106"/>
    </row>
    <row r="81">
      <c r="C81" s="79"/>
      <c r="D81" s="79"/>
      <c r="J81" s="79"/>
      <c r="O81" s="79"/>
      <c r="P81" s="79"/>
      <c r="S81" s="79"/>
      <c r="T81" s="79"/>
      <c r="W81" s="130"/>
      <c r="Y81" s="106"/>
    </row>
    <row r="82">
      <c r="C82" s="79"/>
      <c r="D82" s="79"/>
      <c r="J82" s="79"/>
      <c r="O82" s="79"/>
      <c r="P82" s="79"/>
      <c r="S82" s="79"/>
      <c r="T82" s="79"/>
      <c r="W82" s="130"/>
      <c r="Y82" s="106"/>
    </row>
    <row r="83">
      <c r="C83" s="79"/>
      <c r="D83" s="79"/>
      <c r="J83" s="79"/>
      <c r="O83" s="79"/>
      <c r="P83" s="79"/>
      <c r="S83" s="79"/>
      <c r="T83" s="79"/>
      <c r="W83" s="130"/>
      <c r="Y83" s="106"/>
    </row>
    <row r="84">
      <c r="C84" s="79"/>
      <c r="D84" s="79"/>
      <c r="J84" s="79"/>
      <c r="O84" s="79"/>
      <c r="P84" s="79"/>
      <c r="S84" s="79"/>
      <c r="T84" s="79"/>
      <c r="W84" s="130"/>
      <c r="Y84" s="106"/>
    </row>
    <row r="85">
      <c r="C85" s="79"/>
      <c r="D85" s="79"/>
      <c r="J85" s="79"/>
      <c r="O85" s="79"/>
      <c r="P85" s="79"/>
      <c r="S85" s="79"/>
      <c r="T85" s="79"/>
      <c r="W85" s="130"/>
      <c r="Y85" s="106"/>
    </row>
    <row r="86">
      <c r="C86" s="79"/>
      <c r="D86" s="79"/>
      <c r="J86" s="79"/>
      <c r="O86" s="79"/>
      <c r="P86" s="79"/>
      <c r="S86" s="79"/>
      <c r="T86" s="79"/>
      <c r="W86" s="130"/>
      <c r="Y86" s="106"/>
    </row>
    <row r="87">
      <c r="C87" s="79"/>
      <c r="D87" s="79"/>
      <c r="J87" s="79"/>
      <c r="O87" s="79"/>
      <c r="P87" s="79"/>
      <c r="S87" s="79"/>
      <c r="T87" s="79"/>
      <c r="W87" s="130"/>
      <c r="Y87" s="106"/>
    </row>
    <row r="88">
      <c r="C88" s="79"/>
      <c r="D88" s="79"/>
      <c r="J88" s="79"/>
      <c r="O88" s="79"/>
      <c r="P88" s="79"/>
      <c r="S88" s="79"/>
      <c r="T88" s="79"/>
      <c r="W88" s="130"/>
      <c r="Y88" s="106"/>
    </row>
    <row r="89">
      <c r="C89" s="79"/>
      <c r="D89" s="79"/>
      <c r="J89" s="79"/>
      <c r="O89" s="79"/>
      <c r="P89" s="79"/>
      <c r="S89" s="79"/>
      <c r="T89" s="79"/>
      <c r="W89" s="130"/>
      <c r="Y89" s="106"/>
    </row>
    <row r="90">
      <c r="C90" s="79"/>
      <c r="D90" s="79"/>
      <c r="J90" s="79"/>
      <c r="O90" s="79"/>
      <c r="P90" s="79"/>
      <c r="S90" s="79"/>
      <c r="T90" s="79"/>
      <c r="W90" s="130"/>
      <c r="Y90" s="106"/>
    </row>
    <row r="91">
      <c r="C91" s="79"/>
      <c r="D91" s="79"/>
      <c r="J91" s="79"/>
      <c r="O91" s="79"/>
      <c r="P91" s="79"/>
      <c r="S91" s="79"/>
      <c r="T91" s="79"/>
      <c r="W91" s="130"/>
      <c r="Y91" s="106"/>
    </row>
    <row r="92">
      <c r="C92" s="79"/>
      <c r="D92" s="79"/>
      <c r="J92" s="79"/>
      <c r="O92" s="79"/>
      <c r="P92" s="79"/>
      <c r="S92" s="79"/>
      <c r="T92" s="79"/>
      <c r="W92" s="130"/>
      <c r="Y92" s="106"/>
    </row>
    <row r="93">
      <c r="C93" s="79"/>
      <c r="D93" s="79"/>
      <c r="J93" s="79"/>
      <c r="O93" s="79"/>
      <c r="P93" s="79"/>
      <c r="S93" s="79"/>
      <c r="T93" s="79"/>
      <c r="W93" s="130"/>
      <c r="Y93" s="106"/>
    </row>
    <row r="94">
      <c r="C94" s="79"/>
      <c r="D94" s="79"/>
      <c r="J94" s="79"/>
      <c r="O94" s="79"/>
      <c r="P94" s="79"/>
      <c r="S94" s="79"/>
      <c r="T94" s="79"/>
      <c r="W94" s="130"/>
      <c r="Y94" s="106"/>
    </row>
    <row r="95">
      <c r="C95" s="79"/>
      <c r="D95" s="79"/>
      <c r="J95" s="79"/>
      <c r="O95" s="79"/>
      <c r="P95" s="79"/>
      <c r="S95" s="79"/>
      <c r="T95" s="79"/>
      <c r="W95" s="130"/>
      <c r="Y95" s="106"/>
    </row>
    <row r="96">
      <c r="C96" s="79"/>
      <c r="D96" s="79"/>
      <c r="J96" s="79"/>
      <c r="O96" s="79"/>
      <c r="P96" s="79"/>
      <c r="S96" s="79"/>
      <c r="T96" s="79"/>
      <c r="W96" s="130"/>
      <c r="Y96" s="106"/>
    </row>
    <row r="97">
      <c r="C97" s="79"/>
      <c r="D97" s="79"/>
      <c r="J97" s="79"/>
      <c r="O97" s="79"/>
      <c r="P97" s="79"/>
      <c r="S97" s="79"/>
      <c r="T97" s="79"/>
      <c r="W97" s="130"/>
      <c r="Y97" s="106"/>
    </row>
    <row r="98">
      <c r="C98" s="79"/>
      <c r="D98" s="79"/>
      <c r="J98" s="79"/>
      <c r="O98" s="79"/>
      <c r="P98" s="79"/>
      <c r="S98" s="79"/>
      <c r="T98" s="79"/>
      <c r="W98" s="130"/>
      <c r="Y98" s="106"/>
    </row>
    <row r="99">
      <c r="C99" s="79"/>
      <c r="D99" s="79"/>
      <c r="J99" s="79"/>
      <c r="O99" s="79"/>
      <c r="P99" s="79"/>
      <c r="S99" s="79"/>
      <c r="T99" s="79"/>
      <c r="W99" s="130"/>
      <c r="Y99" s="106"/>
    </row>
    <row r="100">
      <c r="C100" s="79"/>
      <c r="D100" s="79"/>
      <c r="J100" s="79"/>
      <c r="O100" s="79"/>
      <c r="P100" s="79"/>
      <c r="S100" s="79"/>
      <c r="T100" s="79"/>
      <c r="W100" s="130"/>
      <c r="Y100" s="106"/>
    </row>
    <row r="101">
      <c r="C101" s="79"/>
      <c r="D101" s="79"/>
      <c r="J101" s="79"/>
      <c r="O101" s="79"/>
      <c r="P101" s="79"/>
      <c r="S101" s="79"/>
      <c r="T101" s="79"/>
      <c r="W101" s="130"/>
      <c r="Y101" s="106"/>
    </row>
    <row r="102">
      <c r="C102" s="79"/>
      <c r="D102" s="79"/>
      <c r="J102" s="79"/>
      <c r="O102" s="79"/>
      <c r="P102" s="79"/>
      <c r="S102" s="79"/>
      <c r="T102" s="79"/>
      <c r="W102" s="130"/>
      <c r="Y102" s="106"/>
    </row>
    <row r="103">
      <c r="C103" s="79"/>
      <c r="D103" s="79"/>
      <c r="J103" s="79"/>
      <c r="O103" s="79"/>
      <c r="P103" s="79"/>
      <c r="S103" s="79"/>
      <c r="T103" s="79"/>
      <c r="W103" s="130"/>
      <c r="Y103" s="106"/>
    </row>
    <row r="104">
      <c r="C104" s="79"/>
      <c r="D104" s="79"/>
      <c r="J104" s="79"/>
      <c r="O104" s="79"/>
      <c r="P104" s="79"/>
      <c r="S104" s="79"/>
      <c r="T104" s="79"/>
      <c r="W104" s="130"/>
      <c r="Y104" s="106"/>
    </row>
    <row r="105">
      <c r="C105" s="79"/>
      <c r="D105" s="79"/>
      <c r="J105" s="79"/>
      <c r="O105" s="79"/>
      <c r="P105" s="79"/>
      <c r="S105" s="79"/>
      <c r="T105" s="79"/>
      <c r="W105" s="130"/>
      <c r="Y105" s="106"/>
    </row>
    <row r="106">
      <c r="C106" s="79"/>
      <c r="D106" s="79"/>
      <c r="J106" s="79"/>
      <c r="O106" s="79"/>
      <c r="P106" s="79"/>
      <c r="S106" s="79"/>
      <c r="T106" s="79"/>
      <c r="W106" s="130"/>
      <c r="Y106" s="106"/>
    </row>
    <row r="107">
      <c r="C107" s="79"/>
      <c r="D107" s="79"/>
      <c r="J107" s="79"/>
      <c r="O107" s="79"/>
      <c r="P107" s="79"/>
      <c r="S107" s="79"/>
      <c r="T107" s="79"/>
      <c r="W107" s="130"/>
      <c r="Y107" s="106"/>
    </row>
    <row r="108">
      <c r="C108" s="79"/>
      <c r="D108" s="79"/>
      <c r="J108" s="79"/>
      <c r="O108" s="79"/>
      <c r="P108" s="79"/>
      <c r="S108" s="79"/>
      <c r="T108" s="79"/>
      <c r="W108" s="130"/>
      <c r="Y108" s="106"/>
    </row>
    <row r="109">
      <c r="C109" s="79"/>
      <c r="D109" s="79"/>
      <c r="J109" s="79"/>
      <c r="O109" s="79"/>
      <c r="P109" s="79"/>
      <c r="S109" s="79"/>
      <c r="T109" s="79"/>
      <c r="W109" s="130"/>
      <c r="Y109" s="106"/>
    </row>
    <row r="110">
      <c r="C110" s="79"/>
      <c r="D110" s="79"/>
      <c r="J110" s="79"/>
      <c r="O110" s="79"/>
      <c r="P110" s="79"/>
      <c r="S110" s="79"/>
      <c r="T110" s="79"/>
      <c r="W110" s="130"/>
      <c r="Y110" s="106"/>
    </row>
    <row r="111">
      <c r="C111" s="79"/>
      <c r="D111" s="79"/>
      <c r="J111" s="79"/>
      <c r="O111" s="79"/>
      <c r="P111" s="79"/>
      <c r="S111" s="79"/>
      <c r="T111" s="79"/>
      <c r="W111" s="130"/>
      <c r="Y111" s="106"/>
    </row>
    <row r="112">
      <c r="C112" s="79"/>
      <c r="D112" s="79"/>
      <c r="J112" s="79"/>
      <c r="O112" s="79"/>
      <c r="P112" s="79"/>
      <c r="S112" s="79"/>
      <c r="T112" s="79"/>
      <c r="W112" s="130"/>
      <c r="Y112" s="106"/>
    </row>
    <row r="113">
      <c r="C113" s="79"/>
      <c r="D113" s="79"/>
      <c r="J113" s="79"/>
      <c r="O113" s="79"/>
      <c r="P113" s="79"/>
      <c r="S113" s="79"/>
      <c r="T113" s="79"/>
      <c r="W113" s="130"/>
      <c r="Y113" s="106"/>
    </row>
    <row r="114">
      <c r="C114" s="79"/>
      <c r="D114" s="79"/>
      <c r="J114" s="79"/>
      <c r="O114" s="79"/>
      <c r="P114" s="79"/>
      <c r="S114" s="79"/>
      <c r="T114" s="79"/>
      <c r="W114" s="130"/>
      <c r="Y114" s="106"/>
    </row>
    <row r="115">
      <c r="C115" s="79"/>
      <c r="D115" s="79"/>
      <c r="J115" s="79"/>
      <c r="O115" s="79"/>
      <c r="P115" s="79"/>
      <c r="S115" s="79"/>
      <c r="T115" s="79"/>
      <c r="W115" s="130"/>
      <c r="Y115" s="106"/>
    </row>
    <row r="116">
      <c r="C116" s="79"/>
      <c r="D116" s="79"/>
      <c r="J116" s="79"/>
      <c r="O116" s="79"/>
      <c r="P116" s="79"/>
      <c r="S116" s="79"/>
      <c r="T116" s="79"/>
      <c r="W116" s="130"/>
      <c r="Y116" s="106"/>
    </row>
    <row r="117">
      <c r="C117" s="79"/>
      <c r="D117" s="79"/>
      <c r="J117" s="79"/>
      <c r="O117" s="79"/>
      <c r="P117" s="79"/>
      <c r="S117" s="79"/>
      <c r="T117" s="79"/>
      <c r="W117" s="130"/>
      <c r="Y117" s="106"/>
    </row>
    <row r="118">
      <c r="C118" s="79"/>
      <c r="D118" s="79"/>
      <c r="J118" s="79"/>
      <c r="O118" s="79"/>
      <c r="P118" s="79"/>
      <c r="S118" s="79"/>
      <c r="T118" s="79"/>
      <c r="W118" s="130"/>
      <c r="Y118" s="106"/>
    </row>
    <row r="119">
      <c r="C119" s="79"/>
      <c r="D119" s="79"/>
      <c r="J119" s="79"/>
      <c r="O119" s="79"/>
      <c r="P119" s="79"/>
      <c r="S119" s="79"/>
      <c r="T119" s="79"/>
      <c r="W119" s="130"/>
      <c r="Y119" s="106"/>
    </row>
    <row r="120">
      <c r="C120" s="79"/>
      <c r="D120" s="79"/>
      <c r="J120" s="79"/>
      <c r="O120" s="79"/>
      <c r="P120" s="79"/>
      <c r="S120" s="79"/>
      <c r="T120" s="79"/>
      <c r="W120" s="130"/>
      <c r="Y120" s="106"/>
    </row>
    <row r="121">
      <c r="C121" s="79"/>
      <c r="D121" s="79"/>
      <c r="J121" s="79"/>
      <c r="O121" s="79"/>
      <c r="P121" s="79"/>
      <c r="S121" s="79"/>
      <c r="T121" s="79"/>
      <c r="W121" s="130"/>
      <c r="Y121" s="106"/>
    </row>
    <row r="122">
      <c r="C122" s="79"/>
      <c r="D122" s="79"/>
      <c r="J122" s="79"/>
      <c r="O122" s="79"/>
      <c r="P122" s="79"/>
      <c r="S122" s="79"/>
      <c r="T122" s="79"/>
      <c r="W122" s="130"/>
      <c r="Y122" s="106"/>
    </row>
    <row r="123">
      <c r="C123" s="79"/>
      <c r="D123" s="79"/>
      <c r="J123" s="79"/>
      <c r="O123" s="79"/>
      <c r="P123" s="79"/>
      <c r="S123" s="79"/>
      <c r="T123" s="79"/>
      <c r="W123" s="130"/>
      <c r="Y123" s="106"/>
    </row>
    <row r="124">
      <c r="C124" s="79"/>
      <c r="D124" s="79"/>
      <c r="J124" s="79"/>
      <c r="O124" s="79"/>
      <c r="P124" s="79"/>
      <c r="S124" s="79"/>
      <c r="T124" s="79"/>
      <c r="W124" s="130"/>
      <c r="Y124" s="106"/>
    </row>
    <row r="125">
      <c r="C125" s="79"/>
      <c r="D125" s="79"/>
      <c r="J125" s="79"/>
      <c r="O125" s="79"/>
      <c r="P125" s="79"/>
      <c r="S125" s="79"/>
      <c r="T125" s="79"/>
      <c r="W125" s="130"/>
      <c r="Y125" s="106"/>
    </row>
    <row r="126">
      <c r="C126" s="79"/>
      <c r="D126" s="79"/>
      <c r="J126" s="79"/>
      <c r="O126" s="79"/>
      <c r="P126" s="79"/>
      <c r="S126" s="79"/>
      <c r="T126" s="79"/>
      <c r="W126" s="130"/>
      <c r="Y126" s="106"/>
    </row>
    <row r="127">
      <c r="C127" s="79"/>
      <c r="D127" s="79"/>
      <c r="J127" s="79"/>
      <c r="O127" s="79"/>
      <c r="P127" s="79"/>
      <c r="S127" s="79"/>
      <c r="T127" s="79"/>
      <c r="W127" s="130"/>
      <c r="Y127" s="106"/>
    </row>
    <row r="128">
      <c r="C128" s="79"/>
      <c r="D128" s="79"/>
      <c r="J128" s="79"/>
      <c r="O128" s="79"/>
      <c r="P128" s="79"/>
      <c r="S128" s="79"/>
      <c r="T128" s="79"/>
      <c r="W128" s="130"/>
      <c r="Y128" s="106"/>
    </row>
    <row r="129">
      <c r="C129" s="79"/>
      <c r="D129" s="79"/>
      <c r="J129" s="79"/>
      <c r="O129" s="79"/>
      <c r="P129" s="79"/>
      <c r="S129" s="79"/>
      <c r="T129" s="79"/>
      <c r="W129" s="130"/>
      <c r="Y129" s="106"/>
    </row>
    <row r="130">
      <c r="C130" s="79"/>
      <c r="D130" s="79"/>
      <c r="J130" s="79"/>
      <c r="O130" s="79"/>
      <c r="P130" s="79"/>
      <c r="S130" s="79"/>
      <c r="T130" s="79"/>
      <c r="W130" s="130"/>
      <c r="Y130" s="106"/>
    </row>
    <row r="131">
      <c r="C131" s="79"/>
      <c r="D131" s="79"/>
      <c r="J131" s="79"/>
      <c r="O131" s="79"/>
      <c r="P131" s="79"/>
      <c r="S131" s="79"/>
      <c r="T131" s="79"/>
      <c r="W131" s="130"/>
      <c r="Y131" s="106"/>
    </row>
    <row r="132">
      <c r="C132" s="79"/>
      <c r="D132" s="79"/>
      <c r="J132" s="79"/>
      <c r="O132" s="79"/>
      <c r="P132" s="79"/>
      <c r="S132" s="79"/>
      <c r="T132" s="79"/>
      <c r="W132" s="130"/>
      <c r="Y132" s="106"/>
    </row>
    <row r="133">
      <c r="C133" s="79"/>
      <c r="D133" s="79"/>
      <c r="J133" s="79"/>
      <c r="O133" s="79"/>
      <c r="P133" s="79"/>
      <c r="S133" s="79"/>
      <c r="T133" s="79"/>
      <c r="W133" s="130"/>
      <c r="Y133" s="106"/>
    </row>
    <row r="134">
      <c r="C134" s="79"/>
      <c r="D134" s="79"/>
      <c r="J134" s="79"/>
      <c r="O134" s="79"/>
      <c r="P134" s="79"/>
      <c r="S134" s="79"/>
      <c r="T134" s="79"/>
      <c r="W134" s="130"/>
      <c r="Y134" s="106"/>
    </row>
    <row r="135">
      <c r="C135" s="79"/>
      <c r="D135" s="79"/>
      <c r="J135" s="79"/>
      <c r="O135" s="79"/>
      <c r="P135" s="79"/>
      <c r="S135" s="79"/>
      <c r="T135" s="79"/>
      <c r="W135" s="130"/>
      <c r="Y135" s="106"/>
    </row>
    <row r="136">
      <c r="C136" s="79"/>
      <c r="D136" s="79"/>
      <c r="J136" s="79"/>
      <c r="O136" s="79"/>
      <c r="P136" s="79"/>
      <c r="S136" s="79"/>
      <c r="T136" s="79"/>
      <c r="W136" s="130"/>
      <c r="Y136" s="106"/>
    </row>
    <row r="137">
      <c r="C137" s="79"/>
      <c r="D137" s="79"/>
      <c r="J137" s="79"/>
      <c r="O137" s="79"/>
      <c r="P137" s="79"/>
      <c r="S137" s="79"/>
      <c r="T137" s="79"/>
      <c r="W137" s="130"/>
      <c r="Y137" s="106"/>
    </row>
    <row r="138">
      <c r="C138" s="79"/>
      <c r="D138" s="79"/>
      <c r="J138" s="79"/>
      <c r="O138" s="79"/>
      <c r="P138" s="79"/>
      <c r="S138" s="79"/>
      <c r="T138" s="79"/>
      <c r="W138" s="130"/>
      <c r="Y138" s="106"/>
    </row>
    <row r="139">
      <c r="C139" s="79"/>
      <c r="D139" s="79"/>
      <c r="J139" s="79"/>
      <c r="O139" s="79"/>
      <c r="P139" s="79"/>
      <c r="S139" s="79"/>
      <c r="T139" s="79"/>
      <c r="W139" s="130"/>
      <c r="Y139" s="106"/>
    </row>
    <row r="140">
      <c r="C140" s="79"/>
      <c r="D140" s="79"/>
      <c r="J140" s="79"/>
      <c r="O140" s="79"/>
      <c r="P140" s="79"/>
      <c r="S140" s="79"/>
      <c r="T140" s="79"/>
      <c r="W140" s="130"/>
      <c r="Y140" s="106"/>
    </row>
    <row r="141">
      <c r="C141" s="79"/>
      <c r="D141" s="79"/>
      <c r="J141" s="79"/>
      <c r="O141" s="79"/>
      <c r="P141" s="79"/>
      <c r="S141" s="79"/>
      <c r="T141" s="79"/>
      <c r="W141" s="130"/>
      <c r="Y141" s="106"/>
    </row>
    <row r="142">
      <c r="C142" s="79"/>
      <c r="D142" s="79"/>
      <c r="J142" s="79"/>
      <c r="O142" s="79"/>
      <c r="P142" s="79"/>
      <c r="S142" s="79"/>
      <c r="T142" s="79"/>
      <c r="W142" s="130"/>
      <c r="Y142" s="106"/>
    </row>
    <row r="143">
      <c r="C143" s="79"/>
      <c r="D143" s="79"/>
      <c r="J143" s="79"/>
      <c r="O143" s="79"/>
      <c r="P143" s="79"/>
      <c r="S143" s="79"/>
      <c r="T143" s="79"/>
      <c r="W143" s="130"/>
      <c r="Y143" s="106"/>
    </row>
    <row r="144">
      <c r="C144" s="79"/>
      <c r="D144" s="79"/>
      <c r="J144" s="79"/>
      <c r="O144" s="79"/>
      <c r="P144" s="79"/>
      <c r="S144" s="79"/>
      <c r="T144" s="79"/>
      <c r="W144" s="130"/>
      <c r="Y144" s="106"/>
    </row>
    <row r="145">
      <c r="C145" s="79"/>
      <c r="D145" s="79"/>
      <c r="J145" s="79"/>
      <c r="O145" s="79"/>
      <c r="P145" s="79"/>
      <c r="S145" s="79"/>
      <c r="T145" s="79"/>
      <c r="W145" s="130"/>
      <c r="Y145" s="106"/>
    </row>
    <row r="146">
      <c r="C146" s="79"/>
      <c r="D146" s="79"/>
      <c r="J146" s="79"/>
      <c r="O146" s="79"/>
      <c r="P146" s="79"/>
      <c r="S146" s="79"/>
      <c r="T146" s="79"/>
      <c r="W146" s="130"/>
      <c r="Y146" s="106"/>
    </row>
    <row r="147">
      <c r="C147" s="79"/>
      <c r="D147" s="79"/>
      <c r="J147" s="79"/>
      <c r="O147" s="79"/>
      <c r="P147" s="79"/>
      <c r="S147" s="79"/>
      <c r="T147" s="79"/>
      <c r="W147" s="130"/>
      <c r="Y147" s="106"/>
    </row>
    <row r="148">
      <c r="C148" s="79"/>
      <c r="D148" s="79"/>
      <c r="J148" s="79"/>
      <c r="O148" s="79"/>
      <c r="P148" s="79"/>
      <c r="S148" s="79"/>
      <c r="T148" s="79"/>
      <c r="W148" s="130"/>
      <c r="Y148" s="106"/>
    </row>
    <row r="149">
      <c r="C149" s="79"/>
      <c r="D149" s="79"/>
      <c r="J149" s="79"/>
      <c r="O149" s="79"/>
      <c r="P149" s="79"/>
      <c r="S149" s="79"/>
      <c r="T149" s="79"/>
      <c r="W149" s="130"/>
      <c r="Y149" s="106"/>
    </row>
    <row r="150">
      <c r="C150" s="79"/>
      <c r="D150" s="79"/>
      <c r="J150" s="79"/>
      <c r="O150" s="79"/>
      <c r="P150" s="79"/>
      <c r="S150" s="79"/>
      <c r="T150" s="79"/>
      <c r="W150" s="130"/>
      <c r="Y150" s="106"/>
    </row>
    <row r="151">
      <c r="C151" s="79"/>
      <c r="D151" s="79"/>
      <c r="J151" s="79"/>
      <c r="O151" s="79"/>
      <c r="P151" s="79"/>
      <c r="S151" s="79"/>
      <c r="T151" s="79"/>
      <c r="W151" s="130"/>
      <c r="Y151" s="106"/>
    </row>
    <row r="152">
      <c r="C152" s="79"/>
      <c r="D152" s="79"/>
      <c r="J152" s="79"/>
      <c r="O152" s="79"/>
      <c r="P152" s="79"/>
      <c r="S152" s="79"/>
      <c r="T152" s="79"/>
      <c r="W152" s="130"/>
      <c r="Y152" s="106"/>
    </row>
    <row r="153">
      <c r="C153" s="79"/>
      <c r="D153" s="79"/>
      <c r="J153" s="79"/>
      <c r="O153" s="79"/>
      <c r="P153" s="79"/>
      <c r="S153" s="79"/>
      <c r="T153" s="79"/>
      <c r="W153" s="130"/>
      <c r="Y153" s="106"/>
    </row>
    <row r="154">
      <c r="C154" s="79"/>
      <c r="D154" s="79"/>
      <c r="J154" s="79"/>
      <c r="O154" s="79"/>
      <c r="P154" s="79"/>
      <c r="S154" s="79"/>
      <c r="T154" s="79"/>
      <c r="W154" s="130"/>
      <c r="Y154" s="106"/>
    </row>
    <row r="155">
      <c r="C155" s="79"/>
      <c r="D155" s="79"/>
      <c r="J155" s="79"/>
      <c r="O155" s="79"/>
      <c r="P155" s="79"/>
      <c r="S155" s="79"/>
      <c r="T155" s="79"/>
      <c r="W155" s="130"/>
      <c r="Y155" s="106"/>
    </row>
    <row r="156">
      <c r="C156" s="79"/>
      <c r="D156" s="79"/>
      <c r="J156" s="79"/>
      <c r="O156" s="79"/>
      <c r="P156" s="79"/>
      <c r="S156" s="79"/>
      <c r="T156" s="79"/>
      <c r="W156" s="130"/>
      <c r="Y156" s="106"/>
    </row>
    <row r="157">
      <c r="C157" s="79"/>
      <c r="D157" s="79"/>
      <c r="J157" s="79"/>
      <c r="O157" s="79"/>
      <c r="P157" s="79"/>
      <c r="S157" s="79"/>
      <c r="T157" s="79"/>
      <c r="W157" s="130"/>
      <c r="Y157" s="106"/>
    </row>
    <row r="158">
      <c r="C158" s="79"/>
      <c r="D158" s="79"/>
      <c r="J158" s="79"/>
      <c r="O158" s="79"/>
      <c r="P158" s="79"/>
      <c r="S158" s="79"/>
      <c r="T158" s="79"/>
      <c r="W158" s="130"/>
      <c r="Y158" s="106"/>
    </row>
    <row r="159">
      <c r="C159" s="79"/>
      <c r="D159" s="79"/>
      <c r="J159" s="79"/>
      <c r="O159" s="79"/>
      <c r="P159" s="79"/>
      <c r="S159" s="79"/>
      <c r="T159" s="79"/>
      <c r="W159" s="130"/>
      <c r="Y159" s="106"/>
    </row>
    <row r="160">
      <c r="C160" s="79"/>
      <c r="D160" s="79"/>
      <c r="J160" s="79"/>
      <c r="O160" s="79"/>
      <c r="P160" s="79"/>
      <c r="S160" s="79"/>
      <c r="T160" s="79"/>
      <c r="W160" s="130"/>
      <c r="Y160" s="106"/>
    </row>
    <row r="161">
      <c r="C161" s="79"/>
      <c r="D161" s="79"/>
      <c r="J161" s="79"/>
      <c r="O161" s="79"/>
      <c r="P161" s="79"/>
      <c r="S161" s="79"/>
      <c r="T161" s="79"/>
      <c r="W161" s="130"/>
      <c r="Y161" s="106"/>
    </row>
    <row r="162">
      <c r="C162" s="79"/>
      <c r="D162" s="79"/>
      <c r="J162" s="79"/>
      <c r="O162" s="79"/>
      <c r="P162" s="79"/>
      <c r="S162" s="79"/>
      <c r="T162" s="79"/>
      <c r="W162" s="130"/>
      <c r="Y162" s="106"/>
    </row>
    <row r="163">
      <c r="C163" s="79"/>
      <c r="D163" s="79"/>
      <c r="J163" s="79"/>
      <c r="O163" s="79"/>
      <c r="P163" s="79"/>
      <c r="S163" s="79"/>
      <c r="T163" s="79"/>
      <c r="W163" s="130"/>
      <c r="Y163" s="106"/>
    </row>
    <row r="164">
      <c r="C164" s="79"/>
      <c r="D164" s="79"/>
      <c r="J164" s="79"/>
      <c r="O164" s="79"/>
      <c r="P164" s="79"/>
      <c r="S164" s="79"/>
      <c r="T164" s="79"/>
      <c r="W164" s="130"/>
      <c r="Y164" s="106"/>
    </row>
    <row r="165">
      <c r="C165" s="79"/>
      <c r="D165" s="79"/>
      <c r="J165" s="79"/>
      <c r="O165" s="79"/>
      <c r="P165" s="79"/>
      <c r="S165" s="79"/>
      <c r="T165" s="79"/>
      <c r="W165" s="130"/>
      <c r="Y165" s="106"/>
    </row>
    <row r="166">
      <c r="C166" s="79"/>
      <c r="D166" s="79"/>
      <c r="J166" s="79"/>
      <c r="O166" s="79"/>
      <c r="P166" s="79"/>
      <c r="S166" s="79"/>
      <c r="T166" s="79"/>
      <c r="W166" s="130"/>
      <c r="Y166" s="106"/>
    </row>
    <row r="167">
      <c r="C167" s="79"/>
      <c r="D167" s="79"/>
      <c r="J167" s="79"/>
      <c r="O167" s="79"/>
      <c r="P167" s="79"/>
      <c r="S167" s="79"/>
      <c r="T167" s="79"/>
      <c r="W167" s="130"/>
      <c r="Y167" s="106"/>
    </row>
    <row r="168">
      <c r="C168" s="79"/>
      <c r="D168" s="79"/>
      <c r="J168" s="79"/>
      <c r="O168" s="79"/>
      <c r="P168" s="79"/>
      <c r="S168" s="79"/>
      <c r="T168" s="79"/>
      <c r="W168" s="130"/>
      <c r="Y168" s="106"/>
    </row>
    <row r="169">
      <c r="C169" s="79"/>
      <c r="D169" s="79"/>
      <c r="J169" s="79"/>
      <c r="O169" s="79"/>
      <c r="P169" s="79"/>
      <c r="S169" s="79"/>
      <c r="T169" s="79"/>
      <c r="W169" s="130"/>
      <c r="Y169" s="106"/>
    </row>
    <row r="170">
      <c r="C170" s="79"/>
      <c r="D170" s="79"/>
      <c r="J170" s="79"/>
      <c r="O170" s="79"/>
      <c r="P170" s="79"/>
      <c r="S170" s="79"/>
      <c r="T170" s="79"/>
      <c r="W170" s="130"/>
      <c r="Y170" s="106"/>
    </row>
    <row r="171">
      <c r="C171" s="79"/>
      <c r="D171" s="79"/>
      <c r="J171" s="79"/>
      <c r="O171" s="79"/>
      <c r="P171" s="79"/>
      <c r="S171" s="79"/>
      <c r="T171" s="79"/>
      <c r="W171" s="130"/>
      <c r="Y171" s="106"/>
    </row>
    <row r="172">
      <c r="C172" s="79"/>
      <c r="D172" s="79"/>
      <c r="J172" s="79"/>
      <c r="O172" s="79"/>
      <c r="P172" s="79"/>
      <c r="S172" s="79"/>
      <c r="T172" s="79"/>
      <c r="W172" s="130"/>
      <c r="Y172" s="106"/>
    </row>
    <row r="173">
      <c r="C173" s="79"/>
      <c r="D173" s="79"/>
      <c r="J173" s="79"/>
      <c r="O173" s="79"/>
      <c r="P173" s="79"/>
      <c r="S173" s="79"/>
      <c r="T173" s="79"/>
      <c r="W173" s="130"/>
      <c r="Y173" s="106"/>
    </row>
    <row r="174">
      <c r="C174" s="79"/>
      <c r="D174" s="79"/>
      <c r="J174" s="79"/>
      <c r="O174" s="79"/>
      <c r="P174" s="79"/>
      <c r="S174" s="79"/>
      <c r="T174" s="79"/>
      <c r="W174" s="130"/>
      <c r="Y174" s="106"/>
    </row>
    <row r="175">
      <c r="C175" s="79"/>
      <c r="D175" s="79"/>
      <c r="J175" s="79"/>
      <c r="O175" s="79"/>
      <c r="P175" s="79"/>
      <c r="S175" s="79"/>
      <c r="T175" s="79"/>
      <c r="W175" s="130"/>
      <c r="Y175" s="106"/>
    </row>
    <row r="176">
      <c r="C176" s="79"/>
      <c r="D176" s="79"/>
      <c r="J176" s="79"/>
      <c r="O176" s="79"/>
      <c r="P176" s="79"/>
      <c r="S176" s="79"/>
      <c r="T176" s="79"/>
      <c r="W176" s="130"/>
      <c r="Y176" s="106"/>
    </row>
    <row r="177">
      <c r="C177" s="79"/>
      <c r="D177" s="79"/>
      <c r="J177" s="79"/>
      <c r="O177" s="79"/>
      <c r="P177" s="79"/>
      <c r="S177" s="79"/>
      <c r="T177" s="79"/>
      <c r="W177" s="130"/>
      <c r="Y177" s="106"/>
    </row>
    <row r="178">
      <c r="C178" s="79"/>
      <c r="D178" s="79"/>
      <c r="J178" s="79"/>
      <c r="O178" s="79"/>
      <c r="P178" s="79"/>
      <c r="S178" s="79"/>
      <c r="T178" s="79"/>
      <c r="W178" s="130"/>
      <c r="Y178" s="106"/>
    </row>
    <row r="179">
      <c r="C179" s="79"/>
      <c r="D179" s="79"/>
      <c r="J179" s="79"/>
      <c r="O179" s="79"/>
      <c r="P179" s="79"/>
      <c r="S179" s="79"/>
      <c r="T179" s="79"/>
      <c r="W179" s="130"/>
      <c r="Y179" s="106"/>
    </row>
    <row r="180">
      <c r="C180" s="79"/>
      <c r="D180" s="79"/>
      <c r="J180" s="79"/>
      <c r="O180" s="79"/>
      <c r="P180" s="79"/>
      <c r="S180" s="79"/>
      <c r="T180" s="79"/>
      <c r="W180" s="130"/>
      <c r="Y180" s="106"/>
    </row>
    <row r="181">
      <c r="C181" s="79"/>
      <c r="D181" s="79"/>
      <c r="J181" s="79"/>
      <c r="O181" s="79"/>
      <c r="P181" s="79"/>
      <c r="S181" s="79"/>
      <c r="T181" s="79"/>
      <c r="W181" s="130"/>
      <c r="Y181" s="106"/>
    </row>
    <row r="182">
      <c r="C182" s="79"/>
      <c r="D182" s="79"/>
      <c r="J182" s="79"/>
      <c r="O182" s="79"/>
      <c r="P182" s="79"/>
      <c r="S182" s="79"/>
      <c r="T182" s="79"/>
      <c r="W182" s="130"/>
      <c r="Y182" s="106"/>
    </row>
    <row r="183">
      <c r="C183" s="79"/>
      <c r="D183" s="79"/>
      <c r="J183" s="79"/>
      <c r="O183" s="79"/>
      <c r="P183" s="79"/>
      <c r="S183" s="79"/>
      <c r="T183" s="79"/>
      <c r="W183" s="130"/>
      <c r="Y183" s="106"/>
    </row>
    <row r="184">
      <c r="C184" s="79"/>
      <c r="D184" s="79"/>
      <c r="J184" s="79"/>
      <c r="O184" s="79"/>
      <c r="P184" s="79"/>
      <c r="S184" s="79"/>
      <c r="T184" s="79"/>
      <c r="W184" s="130"/>
      <c r="Y184" s="106"/>
    </row>
    <row r="185">
      <c r="C185" s="79"/>
      <c r="D185" s="79"/>
      <c r="J185" s="79"/>
      <c r="O185" s="79"/>
      <c r="P185" s="79"/>
      <c r="S185" s="79"/>
      <c r="T185" s="79"/>
      <c r="W185" s="130"/>
      <c r="Y185" s="106"/>
    </row>
    <row r="186">
      <c r="C186" s="79"/>
      <c r="D186" s="79"/>
      <c r="J186" s="79"/>
      <c r="O186" s="79"/>
      <c r="P186" s="79"/>
      <c r="S186" s="79"/>
      <c r="T186" s="79"/>
      <c r="W186" s="130"/>
      <c r="Y186" s="106"/>
    </row>
    <row r="187">
      <c r="C187" s="79"/>
      <c r="D187" s="79"/>
      <c r="J187" s="79"/>
      <c r="O187" s="79"/>
      <c r="P187" s="79"/>
      <c r="S187" s="79"/>
      <c r="T187" s="79"/>
      <c r="W187" s="130"/>
      <c r="Y187" s="106"/>
    </row>
    <row r="188">
      <c r="C188" s="79"/>
      <c r="D188" s="79"/>
      <c r="J188" s="79"/>
      <c r="O188" s="79"/>
      <c r="P188" s="79"/>
      <c r="S188" s="79"/>
      <c r="T188" s="79"/>
      <c r="W188" s="130"/>
      <c r="Y188" s="106"/>
    </row>
    <row r="189">
      <c r="C189" s="79"/>
      <c r="D189" s="79"/>
      <c r="J189" s="79"/>
      <c r="O189" s="79"/>
      <c r="P189" s="79"/>
      <c r="S189" s="79"/>
      <c r="T189" s="79"/>
      <c r="W189" s="130"/>
      <c r="Y189" s="106"/>
    </row>
    <row r="190">
      <c r="C190" s="79"/>
      <c r="D190" s="79"/>
      <c r="J190" s="79"/>
      <c r="O190" s="79"/>
      <c r="P190" s="79"/>
      <c r="S190" s="79"/>
      <c r="T190" s="79"/>
      <c r="W190" s="130"/>
      <c r="Y190" s="106"/>
    </row>
    <row r="191">
      <c r="C191" s="79"/>
      <c r="D191" s="79"/>
      <c r="J191" s="79"/>
      <c r="O191" s="79"/>
      <c r="P191" s="79"/>
      <c r="S191" s="79"/>
      <c r="T191" s="79"/>
      <c r="W191" s="130"/>
      <c r="Y191" s="106"/>
    </row>
    <row r="192">
      <c r="C192" s="79"/>
      <c r="D192" s="79"/>
      <c r="J192" s="79"/>
      <c r="O192" s="79"/>
      <c r="P192" s="79"/>
      <c r="S192" s="79"/>
      <c r="T192" s="79"/>
      <c r="W192" s="130"/>
      <c r="Y192" s="106"/>
    </row>
    <row r="193">
      <c r="C193" s="79"/>
      <c r="D193" s="79"/>
      <c r="J193" s="79"/>
      <c r="O193" s="79"/>
      <c r="P193" s="79"/>
      <c r="S193" s="79"/>
      <c r="T193" s="79"/>
      <c r="W193" s="130"/>
      <c r="Y193" s="106"/>
    </row>
    <row r="194">
      <c r="C194" s="79"/>
      <c r="D194" s="79"/>
      <c r="J194" s="79"/>
      <c r="O194" s="79"/>
      <c r="P194" s="79"/>
      <c r="S194" s="79"/>
      <c r="T194" s="79"/>
      <c r="W194" s="130"/>
      <c r="Y194" s="106"/>
    </row>
    <row r="195">
      <c r="C195" s="79"/>
      <c r="D195" s="79"/>
      <c r="J195" s="79"/>
      <c r="O195" s="79"/>
      <c r="P195" s="79"/>
      <c r="S195" s="79"/>
      <c r="T195" s="79"/>
      <c r="W195" s="130"/>
      <c r="Y195" s="106"/>
    </row>
    <row r="196">
      <c r="C196" s="79"/>
      <c r="D196" s="79"/>
      <c r="J196" s="79"/>
      <c r="O196" s="79"/>
      <c r="P196" s="79"/>
      <c r="S196" s="79"/>
      <c r="T196" s="79"/>
      <c r="W196" s="130"/>
      <c r="Y196" s="106"/>
    </row>
    <row r="197">
      <c r="C197" s="79"/>
      <c r="D197" s="79"/>
      <c r="J197" s="79"/>
      <c r="O197" s="79"/>
      <c r="P197" s="79"/>
      <c r="S197" s="79"/>
      <c r="T197" s="79"/>
      <c r="W197" s="130"/>
      <c r="Y197" s="106"/>
    </row>
    <row r="198">
      <c r="C198" s="79"/>
      <c r="D198" s="79"/>
      <c r="J198" s="79"/>
      <c r="O198" s="79"/>
      <c r="P198" s="79"/>
      <c r="S198" s="79"/>
      <c r="T198" s="79"/>
      <c r="W198" s="130"/>
      <c r="Y198" s="106"/>
    </row>
    <row r="199">
      <c r="C199" s="79"/>
      <c r="D199" s="79"/>
      <c r="J199" s="79"/>
      <c r="O199" s="79"/>
      <c r="P199" s="79"/>
      <c r="S199" s="79"/>
      <c r="T199" s="79"/>
      <c r="W199" s="130"/>
      <c r="Y199" s="106"/>
    </row>
    <row r="200">
      <c r="C200" s="79"/>
      <c r="D200" s="79"/>
      <c r="J200" s="79"/>
      <c r="O200" s="79"/>
      <c r="P200" s="79"/>
      <c r="S200" s="79"/>
      <c r="T200" s="79"/>
      <c r="W200" s="130"/>
      <c r="Y200" s="106"/>
    </row>
    <row r="201">
      <c r="C201" s="79"/>
      <c r="D201" s="79"/>
      <c r="J201" s="79"/>
      <c r="O201" s="79"/>
      <c r="P201" s="79"/>
      <c r="S201" s="79"/>
      <c r="T201" s="79"/>
      <c r="W201" s="130"/>
      <c r="Y201" s="106"/>
    </row>
    <row r="202">
      <c r="C202" s="79"/>
      <c r="D202" s="79"/>
      <c r="J202" s="79"/>
      <c r="O202" s="79"/>
      <c r="P202" s="79"/>
      <c r="S202" s="79"/>
      <c r="T202" s="79"/>
      <c r="W202" s="130"/>
      <c r="Y202" s="106"/>
    </row>
    <row r="203">
      <c r="C203" s="79"/>
      <c r="D203" s="79"/>
      <c r="J203" s="79"/>
      <c r="O203" s="79"/>
      <c r="P203" s="79"/>
      <c r="S203" s="79"/>
      <c r="T203" s="79"/>
      <c r="W203" s="130"/>
      <c r="Y203" s="106"/>
    </row>
    <row r="204">
      <c r="C204" s="79"/>
      <c r="D204" s="79"/>
      <c r="J204" s="79"/>
      <c r="O204" s="79"/>
      <c r="P204" s="79"/>
      <c r="S204" s="79"/>
      <c r="T204" s="79"/>
      <c r="W204" s="130"/>
      <c r="Y204" s="106"/>
    </row>
    <row r="205">
      <c r="C205" s="79"/>
      <c r="D205" s="79"/>
      <c r="J205" s="79"/>
      <c r="O205" s="79"/>
      <c r="P205" s="79"/>
      <c r="S205" s="79"/>
      <c r="T205" s="79"/>
      <c r="W205" s="130"/>
      <c r="Y205" s="106"/>
    </row>
    <row r="206">
      <c r="C206" s="79"/>
      <c r="D206" s="79"/>
      <c r="J206" s="79"/>
      <c r="O206" s="79"/>
      <c r="P206" s="79"/>
      <c r="S206" s="79"/>
      <c r="T206" s="79"/>
      <c r="W206" s="130"/>
      <c r="Y206" s="106"/>
    </row>
    <row r="207">
      <c r="C207" s="79"/>
      <c r="D207" s="79"/>
      <c r="J207" s="79"/>
      <c r="O207" s="79"/>
      <c r="P207" s="79"/>
      <c r="S207" s="79"/>
      <c r="T207" s="79"/>
      <c r="W207" s="130"/>
      <c r="Y207" s="106"/>
    </row>
    <row r="208">
      <c r="C208" s="79"/>
      <c r="D208" s="79"/>
      <c r="J208" s="79"/>
      <c r="O208" s="79"/>
      <c r="P208" s="79"/>
      <c r="S208" s="79"/>
      <c r="T208" s="79"/>
      <c r="W208" s="130"/>
      <c r="Y208" s="106"/>
    </row>
    <row r="209">
      <c r="C209" s="79"/>
      <c r="D209" s="79"/>
      <c r="J209" s="79"/>
      <c r="O209" s="79"/>
      <c r="P209" s="79"/>
      <c r="S209" s="79"/>
      <c r="T209" s="79"/>
      <c r="W209" s="130"/>
      <c r="Y209" s="106"/>
    </row>
    <row r="210">
      <c r="C210" s="79"/>
      <c r="D210" s="79"/>
      <c r="J210" s="79"/>
      <c r="O210" s="79"/>
      <c r="P210" s="79"/>
      <c r="S210" s="79"/>
      <c r="T210" s="79"/>
      <c r="W210" s="130"/>
      <c r="Y210" s="106"/>
    </row>
    <row r="211">
      <c r="C211" s="79"/>
      <c r="D211" s="79"/>
      <c r="J211" s="79"/>
      <c r="O211" s="79"/>
      <c r="P211" s="79"/>
      <c r="S211" s="79"/>
      <c r="T211" s="79"/>
      <c r="W211" s="130"/>
      <c r="Y211" s="106"/>
    </row>
    <row r="212">
      <c r="C212" s="79"/>
      <c r="D212" s="79"/>
      <c r="J212" s="79"/>
      <c r="O212" s="79"/>
      <c r="P212" s="79"/>
      <c r="S212" s="79"/>
      <c r="T212" s="79"/>
      <c r="W212" s="130"/>
      <c r="Y212" s="106"/>
    </row>
    <row r="213">
      <c r="C213" s="79"/>
      <c r="D213" s="79"/>
      <c r="J213" s="79"/>
      <c r="O213" s="79"/>
      <c r="P213" s="79"/>
      <c r="S213" s="79"/>
      <c r="T213" s="79"/>
      <c r="W213" s="130"/>
      <c r="Y213" s="106"/>
    </row>
    <row r="214">
      <c r="C214" s="79"/>
      <c r="D214" s="79"/>
      <c r="J214" s="79"/>
      <c r="O214" s="79"/>
      <c r="P214" s="79"/>
      <c r="S214" s="79"/>
      <c r="T214" s="79"/>
      <c r="W214" s="130"/>
      <c r="Y214" s="106"/>
    </row>
    <row r="215">
      <c r="C215" s="79"/>
      <c r="D215" s="79"/>
      <c r="J215" s="79"/>
      <c r="O215" s="79"/>
      <c r="P215" s="79"/>
      <c r="S215" s="79"/>
      <c r="T215" s="79"/>
      <c r="W215" s="130"/>
      <c r="Y215" s="106"/>
    </row>
    <row r="216">
      <c r="C216" s="79"/>
      <c r="D216" s="79"/>
      <c r="J216" s="79"/>
      <c r="O216" s="79"/>
      <c r="P216" s="79"/>
      <c r="S216" s="79"/>
      <c r="T216" s="79"/>
      <c r="W216" s="130"/>
      <c r="Y216" s="106"/>
    </row>
    <row r="217">
      <c r="C217" s="79"/>
      <c r="D217" s="79"/>
      <c r="J217" s="79"/>
      <c r="O217" s="79"/>
      <c r="P217" s="79"/>
      <c r="S217" s="79"/>
      <c r="T217" s="79"/>
      <c r="W217" s="130"/>
      <c r="Y217" s="106"/>
    </row>
    <row r="218">
      <c r="C218" s="79"/>
      <c r="D218" s="79"/>
      <c r="J218" s="79"/>
      <c r="O218" s="79"/>
      <c r="P218" s="79"/>
      <c r="S218" s="79"/>
      <c r="T218" s="79"/>
      <c r="W218" s="130"/>
      <c r="Y218" s="106"/>
    </row>
    <row r="219">
      <c r="C219" s="79"/>
      <c r="D219" s="79"/>
      <c r="J219" s="79"/>
      <c r="O219" s="79"/>
      <c r="P219" s="79"/>
      <c r="S219" s="79"/>
      <c r="T219" s="79"/>
      <c r="W219" s="130"/>
      <c r="Y219" s="106"/>
    </row>
    <row r="220">
      <c r="C220" s="79"/>
      <c r="D220" s="79"/>
      <c r="J220" s="79"/>
      <c r="O220" s="79"/>
      <c r="P220" s="79"/>
      <c r="S220" s="79"/>
      <c r="T220" s="79"/>
      <c r="W220" s="130"/>
      <c r="Y220" s="106"/>
    </row>
    <row r="221">
      <c r="C221" s="79"/>
      <c r="D221" s="79"/>
      <c r="J221" s="79"/>
      <c r="O221" s="79"/>
      <c r="P221" s="79"/>
      <c r="S221" s="79"/>
      <c r="T221" s="79"/>
      <c r="W221" s="130"/>
      <c r="Y221" s="106"/>
    </row>
    <row r="222">
      <c r="C222" s="79"/>
      <c r="D222" s="79"/>
      <c r="J222" s="79"/>
      <c r="O222" s="79"/>
      <c r="P222" s="79"/>
      <c r="S222" s="79"/>
      <c r="T222" s="79"/>
      <c r="W222" s="130"/>
      <c r="Y222" s="106"/>
    </row>
    <row r="223">
      <c r="C223" s="79"/>
      <c r="D223" s="79"/>
      <c r="J223" s="79"/>
      <c r="O223" s="79"/>
      <c r="P223" s="79"/>
      <c r="S223" s="79"/>
      <c r="T223" s="79"/>
      <c r="W223" s="130"/>
      <c r="Y223" s="106"/>
    </row>
    <row r="224">
      <c r="C224" s="79"/>
      <c r="D224" s="79"/>
      <c r="J224" s="79"/>
      <c r="O224" s="79"/>
      <c r="P224" s="79"/>
      <c r="S224" s="79"/>
      <c r="T224" s="79"/>
      <c r="W224" s="130"/>
      <c r="Y224" s="106"/>
    </row>
    <row r="225">
      <c r="C225" s="79"/>
      <c r="D225" s="79"/>
      <c r="J225" s="79"/>
      <c r="O225" s="79"/>
      <c r="P225" s="79"/>
      <c r="S225" s="79"/>
      <c r="T225" s="79"/>
      <c r="W225" s="130"/>
      <c r="Y225" s="106"/>
    </row>
    <row r="226">
      <c r="C226" s="79"/>
      <c r="D226" s="79"/>
      <c r="J226" s="79"/>
      <c r="O226" s="79"/>
      <c r="P226" s="79"/>
      <c r="S226" s="79"/>
      <c r="T226" s="79"/>
      <c r="W226" s="130"/>
      <c r="Y226" s="106"/>
    </row>
    <row r="227">
      <c r="C227" s="79"/>
      <c r="D227" s="79"/>
      <c r="J227" s="79"/>
      <c r="O227" s="79"/>
      <c r="P227" s="79"/>
      <c r="S227" s="79"/>
      <c r="T227" s="79"/>
      <c r="W227" s="130"/>
      <c r="Y227" s="106"/>
    </row>
    <row r="228">
      <c r="C228" s="79"/>
      <c r="D228" s="79"/>
      <c r="J228" s="79"/>
      <c r="O228" s="79"/>
      <c r="P228" s="79"/>
      <c r="S228" s="79"/>
      <c r="T228" s="79"/>
      <c r="W228" s="130"/>
      <c r="Y228" s="106"/>
    </row>
    <row r="229">
      <c r="C229" s="79"/>
      <c r="D229" s="79"/>
      <c r="J229" s="79"/>
      <c r="O229" s="79"/>
      <c r="P229" s="79"/>
      <c r="S229" s="79"/>
      <c r="T229" s="79"/>
      <c r="W229" s="130"/>
      <c r="Y229" s="106"/>
    </row>
    <row r="230">
      <c r="C230" s="79"/>
      <c r="D230" s="79"/>
      <c r="J230" s="79"/>
      <c r="O230" s="79"/>
      <c r="P230" s="79"/>
      <c r="S230" s="79"/>
      <c r="T230" s="79"/>
      <c r="W230" s="130"/>
      <c r="Y230" s="106"/>
    </row>
    <row r="231">
      <c r="C231" s="79"/>
      <c r="D231" s="79"/>
      <c r="J231" s="79"/>
      <c r="O231" s="79"/>
      <c r="P231" s="79"/>
      <c r="S231" s="79"/>
      <c r="T231" s="79"/>
      <c r="W231" s="130"/>
      <c r="Y231" s="106"/>
    </row>
    <row r="232">
      <c r="C232" s="79"/>
      <c r="D232" s="79"/>
      <c r="J232" s="79"/>
      <c r="O232" s="79"/>
      <c r="P232" s="79"/>
      <c r="S232" s="79"/>
      <c r="T232" s="79"/>
      <c r="W232" s="130"/>
      <c r="Y232" s="106"/>
    </row>
    <row r="233">
      <c r="C233" s="79"/>
      <c r="D233" s="79"/>
      <c r="J233" s="79"/>
      <c r="O233" s="79"/>
      <c r="P233" s="79"/>
      <c r="S233" s="79"/>
      <c r="T233" s="79"/>
      <c r="W233" s="130"/>
      <c r="Y233" s="106"/>
    </row>
    <row r="234">
      <c r="C234" s="79"/>
      <c r="D234" s="79"/>
      <c r="J234" s="79"/>
      <c r="O234" s="79"/>
      <c r="P234" s="79"/>
      <c r="S234" s="79"/>
      <c r="T234" s="79"/>
      <c r="W234" s="130"/>
      <c r="Y234" s="106"/>
    </row>
    <row r="235">
      <c r="C235" s="79"/>
      <c r="D235" s="79"/>
      <c r="J235" s="79"/>
      <c r="O235" s="79"/>
      <c r="P235" s="79"/>
      <c r="S235" s="79"/>
      <c r="T235" s="79"/>
      <c r="W235" s="130"/>
      <c r="Y235" s="106"/>
    </row>
    <row r="236">
      <c r="C236" s="79"/>
      <c r="D236" s="79"/>
      <c r="J236" s="79"/>
      <c r="O236" s="79"/>
      <c r="P236" s="79"/>
      <c r="S236" s="79"/>
      <c r="T236" s="79"/>
      <c r="W236" s="130"/>
      <c r="Y236" s="106"/>
    </row>
    <row r="237">
      <c r="C237" s="79"/>
      <c r="D237" s="79"/>
      <c r="J237" s="79"/>
      <c r="O237" s="79"/>
      <c r="P237" s="79"/>
      <c r="S237" s="79"/>
      <c r="T237" s="79"/>
      <c r="W237" s="130"/>
      <c r="Y237" s="106"/>
    </row>
    <row r="238">
      <c r="C238" s="79"/>
      <c r="D238" s="79"/>
      <c r="J238" s="79"/>
      <c r="O238" s="79"/>
      <c r="P238" s="79"/>
      <c r="S238" s="79"/>
      <c r="T238" s="79"/>
      <c r="W238" s="130"/>
      <c r="Y238" s="106"/>
    </row>
    <row r="239">
      <c r="C239" s="79"/>
      <c r="D239" s="79"/>
      <c r="J239" s="79"/>
      <c r="O239" s="79"/>
      <c r="P239" s="79"/>
      <c r="S239" s="79"/>
      <c r="T239" s="79"/>
      <c r="W239" s="130"/>
      <c r="Y239" s="106"/>
    </row>
    <row r="240">
      <c r="C240" s="79"/>
      <c r="D240" s="79"/>
      <c r="J240" s="79"/>
      <c r="O240" s="79"/>
      <c r="P240" s="79"/>
      <c r="S240" s="79"/>
      <c r="T240" s="79"/>
      <c r="W240" s="130"/>
      <c r="Y240" s="106"/>
    </row>
    <row r="241">
      <c r="C241" s="79"/>
      <c r="D241" s="79"/>
      <c r="J241" s="79"/>
      <c r="O241" s="79"/>
      <c r="P241" s="79"/>
      <c r="S241" s="79"/>
      <c r="T241" s="79"/>
      <c r="W241" s="130"/>
      <c r="Y241" s="106"/>
    </row>
    <row r="242">
      <c r="C242" s="79"/>
      <c r="D242" s="79"/>
      <c r="J242" s="79"/>
      <c r="O242" s="79"/>
      <c r="P242" s="79"/>
      <c r="S242" s="79"/>
      <c r="T242" s="79"/>
      <c r="W242" s="130"/>
      <c r="Y242" s="106"/>
    </row>
    <row r="243">
      <c r="C243" s="79"/>
      <c r="D243" s="79"/>
      <c r="J243" s="79"/>
      <c r="O243" s="79"/>
      <c r="P243" s="79"/>
      <c r="S243" s="79"/>
      <c r="T243" s="79"/>
      <c r="W243" s="130"/>
      <c r="Y243" s="106"/>
    </row>
    <row r="244">
      <c r="C244" s="79"/>
      <c r="D244" s="79"/>
      <c r="J244" s="79"/>
      <c r="O244" s="79"/>
      <c r="P244" s="79"/>
      <c r="S244" s="79"/>
      <c r="T244" s="79"/>
      <c r="W244" s="130"/>
      <c r="Y244" s="106"/>
    </row>
    <row r="245">
      <c r="C245" s="79"/>
      <c r="D245" s="79"/>
      <c r="J245" s="79"/>
      <c r="O245" s="79"/>
      <c r="P245" s="79"/>
      <c r="S245" s="79"/>
      <c r="T245" s="79"/>
      <c r="W245" s="130"/>
      <c r="Y245" s="106"/>
    </row>
    <row r="246">
      <c r="C246" s="79"/>
      <c r="D246" s="79"/>
      <c r="J246" s="79"/>
      <c r="O246" s="79"/>
      <c r="P246" s="79"/>
      <c r="S246" s="79"/>
      <c r="T246" s="79"/>
      <c r="W246" s="130"/>
      <c r="Y246" s="106"/>
    </row>
    <row r="247">
      <c r="C247" s="79"/>
      <c r="D247" s="79"/>
      <c r="J247" s="79"/>
      <c r="O247" s="79"/>
      <c r="P247" s="79"/>
      <c r="S247" s="79"/>
      <c r="T247" s="79"/>
      <c r="W247" s="130"/>
      <c r="Y247" s="106"/>
    </row>
    <row r="248">
      <c r="C248" s="79"/>
      <c r="D248" s="79"/>
      <c r="J248" s="79"/>
      <c r="O248" s="79"/>
      <c r="P248" s="79"/>
      <c r="S248" s="79"/>
      <c r="T248" s="79"/>
      <c r="W248" s="130"/>
      <c r="Y248" s="106"/>
    </row>
    <row r="249">
      <c r="C249" s="79"/>
      <c r="D249" s="79"/>
      <c r="J249" s="79"/>
      <c r="O249" s="79"/>
      <c r="P249" s="79"/>
      <c r="S249" s="79"/>
      <c r="T249" s="79"/>
      <c r="W249" s="130"/>
      <c r="Y249" s="106"/>
    </row>
    <row r="250">
      <c r="C250" s="79"/>
      <c r="D250" s="79"/>
      <c r="J250" s="79"/>
      <c r="O250" s="79"/>
      <c r="P250" s="79"/>
      <c r="S250" s="79"/>
      <c r="T250" s="79"/>
      <c r="W250" s="130"/>
      <c r="Y250" s="106"/>
    </row>
    <row r="251">
      <c r="C251" s="79"/>
      <c r="D251" s="79"/>
      <c r="J251" s="79"/>
      <c r="O251" s="79"/>
      <c r="P251" s="79"/>
      <c r="S251" s="79"/>
      <c r="T251" s="79"/>
      <c r="W251" s="130"/>
      <c r="Y251" s="106"/>
    </row>
    <row r="252">
      <c r="C252" s="79"/>
      <c r="D252" s="79"/>
      <c r="J252" s="79"/>
      <c r="O252" s="79"/>
      <c r="P252" s="79"/>
      <c r="S252" s="79"/>
      <c r="T252" s="79"/>
      <c r="W252" s="130"/>
      <c r="Y252" s="106"/>
    </row>
    <row r="253">
      <c r="C253" s="79"/>
      <c r="D253" s="79"/>
      <c r="J253" s="79"/>
      <c r="O253" s="79"/>
      <c r="P253" s="79"/>
      <c r="S253" s="79"/>
      <c r="T253" s="79"/>
      <c r="W253" s="130"/>
      <c r="Y253" s="106"/>
    </row>
    <row r="254">
      <c r="C254" s="79"/>
      <c r="D254" s="79"/>
      <c r="J254" s="79"/>
      <c r="O254" s="79"/>
      <c r="P254" s="79"/>
      <c r="S254" s="79"/>
      <c r="T254" s="79"/>
      <c r="W254" s="130"/>
      <c r="Y254" s="106"/>
    </row>
    <row r="255">
      <c r="C255" s="79"/>
      <c r="D255" s="79"/>
      <c r="J255" s="79"/>
      <c r="O255" s="79"/>
      <c r="P255" s="79"/>
      <c r="S255" s="79"/>
      <c r="T255" s="79"/>
      <c r="W255" s="130"/>
      <c r="Y255" s="106"/>
    </row>
    <row r="256">
      <c r="C256" s="79"/>
      <c r="D256" s="79"/>
      <c r="J256" s="79"/>
      <c r="O256" s="79"/>
      <c r="P256" s="79"/>
      <c r="S256" s="79"/>
      <c r="T256" s="79"/>
      <c r="W256" s="130"/>
      <c r="Y256" s="106"/>
    </row>
    <row r="257">
      <c r="C257" s="79"/>
      <c r="D257" s="79"/>
      <c r="J257" s="79"/>
      <c r="O257" s="79"/>
      <c r="P257" s="79"/>
      <c r="S257" s="79"/>
      <c r="T257" s="79"/>
      <c r="W257" s="130"/>
      <c r="Y257" s="106"/>
    </row>
    <row r="258">
      <c r="C258" s="79"/>
      <c r="D258" s="79"/>
      <c r="J258" s="79"/>
      <c r="O258" s="79"/>
      <c r="P258" s="79"/>
      <c r="S258" s="79"/>
      <c r="T258" s="79"/>
      <c r="W258" s="130"/>
      <c r="Y258" s="106"/>
    </row>
    <row r="259">
      <c r="C259" s="79"/>
      <c r="D259" s="79"/>
      <c r="J259" s="79"/>
      <c r="O259" s="79"/>
      <c r="P259" s="79"/>
      <c r="S259" s="79"/>
      <c r="T259" s="79"/>
      <c r="W259" s="130"/>
      <c r="Y259" s="106"/>
    </row>
    <row r="260">
      <c r="C260" s="79"/>
      <c r="D260" s="79"/>
      <c r="J260" s="79"/>
      <c r="O260" s="79"/>
      <c r="P260" s="79"/>
      <c r="S260" s="79"/>
      <c r="T260" s="79"/>
      <c r="W260" s="130"/>
      <c r="Y260" s="106"/>
    </row>
    <row r="261">
      <c r="C261" s="79"/>
      <c r="D261" s="79"/>
      <c r="J261" s="79"/>
      <c r="O261" s="79"/>
      <c r="P261" s="79"/>
      <c r="S261" s="79"/>
      <c r="T261" s="79"/>
      <c r="W261" s="130"/>
      <c r="Y261" s="106"/>
    </row>
    <row r="262">
      <c r="C262" s="79"/>
      <c r="D262" s="79"/>
      <c r="J262" s="79"/>
      <c r="O262" s="79"/>
      <c r="P262" s="79"/>
      <c r="S262" s="79"/>
      <c r="T262" s="79"/>
      <c r="W262" s="130"/>
      <c r="Y262" s="106"/>
    </row>
    <row r="263">
      <c r="C263" s="79"/>
      <c r="D263" s="79"/>
      <c r="J263" s="79"/>
      <c r="O263" s="79"/>
      <c r="P263" s="79"/>
      <c r="S263" s="79"/>
      <c r="T263" s="79"/>
      <c r="W263" s="130"/>
      <c r="Y263" s="106"/>
    </row>
    <row r="264">
      <c r="C264" s="79"/>
      <c r="D264" s="79"/>
      <c r="J264" s="79"/>
      <c r="O264" s="79"/>
      <c r="P264" s="79"/>
      <c r="S264" s="79"/>
      <c r="T264" s="79"/>
      <c r="W264" s="130"/>
      <c r="Y264" s="106"/>
    </row>
    <row r="265">
      <c r="C265" s="79"/>
      <c r="D265" s="79"/>
      <c r="J265" s="79"/>
      <c r="O265" s="79"/>
      <c r="P265" s="79"/>
      <c r="S265" s="79"/>
      <c r="T265" s="79"/>
      <c r="W265" s="130"/>
      <c r="Y265" s="106"/>
    </row>
    <row r="266">
      <c r="C266" s="79"/>
      <c r="D266" s="79"/>
      <c r="J266" s="79"/>
      <c r="O266" s="79"/>
      <c r="P266" s="79"/>
      <c r="S266" s="79"/>
      <c r="T266" s="79"/>
      <c r="W266" s="130"/>
      <c r="Y266" s="106"/>
    </row>
    <row r="267">
      <c r="C267" s="79"/>
      <c r="D267" s="79"/>
      <c r="J267" s="79"/>
      <c r="O267" s="79"/>
      <c r="P267" s="79"/>
      <c r="S267" s="79"/>
      <c r="T267" s="79"/>
      <c r="W267" s="130"/>
      <c r="Y267" s="106"/>
    </row>
    <row r="268">
      <c r="C268" s="79"/>
      <c r="D268" s="79"/>
      <c r="J268" s="79"/>
      <c r="O268" s="79"/>
      <c r="P268" s="79"/>
      <c r="S268" s="79"/>
      <c r="T268" s="79"/>
      <c r="W268" s="130"/>
      <c r="Y268" s="106"/>
    </row>
    <row r="269">
      <c r="C269" s="79"/>
      <c r="D269" s="79"/>
      <c r="J269" s="79"/>
      <c r="O269" s="79"/>
      <c r="P269" s="79"/>
      <c r="S269" s="79"/>
      <c r="T269" s="79"/>
      <c r="W269" s="130"/>
      <c r="Y269" s="106"/>
    </row>
    <row r="270">
      <c r="C270" s="79"/>
      <c r="D270" s="79"/>
      <c r="J270" s="79"/>
      <c r="O270" s="79"/>
      <c r="P270" s="79"/>
      <c r="S270" s="79"/>
      <c r="T270" s="79"/>
      <c r="W270" s="130"/>
      <c r="Y270" s="106"/>
    </row>
    <row r="271">
      <c r="C271" s="79"/>
      <c r="D271" s="79"/>
      <c r="J271" s="79"/>
      <c r="O271" s="79"/>
      <c r="P271" s="79"/>
      <c r="S271" s="79"/>
      <c r="T271" s="79"/>
      <c r="W271" s="130"/>
      <c r="Y271" s="106"/>
    </row>
    <row r="272">
      <c r="C272" s="79"/>
      <c r="D272" s="79"/>
      <c r="J272" s="79"/>
      <c r="O272" s="79"/>
      <c r="P272" s="79"/>
      <c r="S272" s="79"/>
      <c r="T272" s="79"/>
      <c r="W272" s="130"/>
      <c r="Y272" s="106"/>
    </row>
    <row r="273">
      <c r="C273" s="79"/>
      <c r="D273" s="79"/>
      <c r="J273" s="79"/>
      <c r="O273" s="79"/>
      <c r="P273" s="79"/>
      <c r="S273" s="79"/>
      <c r="T273" s="79"/>
      <c r="W273" s="130"/>
      <c r="Y273" s="106"/>
    </row>
    <row r="274">
      <c r="C274" s="79"/>
      <c r="D274" s="79"/>
      <c r="J274" s="79"/>
      <c r="O274" s="79"/>
      <c r="P274" s="79"/>
      <c r="S274" s="79"/>
      <c r="T274" s="79"/>
      <c r="W274" s="130"/>
      <c r="Y274" s="106"/>
    </row>
    <row r="275">
      <c r="C275" s="79"/>
      <c r="D275" s="79"/>
      <c r="J275" s="79"/>
      <c r="O275" s="79"/>
      <c r="P275" s="79"/>
      <c r="S275" s="79"/>
      <c r="T275" s="79"/>
      <c r="W275" s="130"/>
      <c r="Y275" s="106"/>
    </row>
    <row r="276">
      <c r="C276" s="79"/>
      <c r="D276" s="79"/>
      <c r="J276" s="79"/>
      <c r="O276" s="79"/>
      <c r="P276" s="79"/>
      <c r="S276" s="79"/>
      <c r="T276" s="79"/>
      <c r="W276" s="130"/>
      <c r="Y276" s="106"/>
    </row>
    <row r="277">
      <c r="C277" s="79"/>
      <c r="D277" s="79"/>
      <c r="J277" s="79"/>
      <c r="O277" s="79"/>
      <c r="P277" s="79"/>
      <c r="S277" s="79"/>
      <c r="T277" s="79"/>
      <c r="W277" s="130"/>
      <c r="Y277" s="106"/>
    </row>
    <row r="278">
      <c r="C278" s="79"/>
      <c r="D278" s="79"/>
      <c r="J278" s="79"/>
      <c r="O278" s="79"/>
      <c r="P278" s="79"/>
      <c r="S278" s="79"/>
      <c r="T278" s="79"/>
      <c r="W278" s="130"/>
      <c r="Y278" s="106"/>
    </row>
    <row r="279">
      <c r="C279" s="79"/>
      <c r="D279" s="79"/>
      <c r="J279" s="79"/>
      <c r="O279" s="79"/>
      <c r="P279" s="79"/>
      <c r="S279" s="79"/>
      <c r="T279" s="79"/>
      <c r="W279" s="130"/>
      <c r="Y279" s="106"/>
    </row>
    <row r="280">
      <c r="C280" s="79"/>
      <c r="D280" s="79"/>
      <c r="J280" s="79"/>
      <c r="O280" s="79"/>
      <c r="P280" s="79"/>
      <c r="S280" s="79"/>
      <c r="T280" s="79"/>
      <c r="W280" s="130"/>
      <c r="Y280" s="106"/>
    </row>
    <row r="281">
      <c r="C281" s="79"/>
      <c r="D281" s="79"/>
      <c r="J281" s="79"/>
      <c r="O281" s="79"/>
      <c r="P281" s="79"/>
      <c r="S281" s="79"/>
      <c r="T281" s="79"/>
      <c r="W281" s="130"/>
      <c r="Y281" s="106"/>
    </row>
    <row r="282">
      <c r="C282" s="79"/>
      <c r="D282" s="79"/>
      <c r="J282" s="79"/>
      <c r="O282" s="79"/>
      <c r="P282" s="79"/>
      <c r="S282" s="79"/>
      <c r="T282" s="79"/>
      <c r="W282" s="130"/>
      <c r="Y282" s="106"/>
    </row>
    <row r="283">
      <c r="C283" s="79"/>
      <c r="D283" s="79"/>
      <c r="J283" s="79"/>
      <c r="O283" s="79"/>
      <c r="P283" s="79"/>
      <c r="S283" s="79"/>
      <c r="T283" s="79"/>
      <c r="W283" s="130"/>
      <c r="Y283" s="106"/>
    </row>
    <row r="284">
      <c r="C284" s="79"/>
      <c r="D284" s="79"/>
      <c r="J284" s="79"/>
      <c r="O284" s="79"/>
      <c r="P284" s="79"/>
      <c r="S284" s="79"/>
      <c r="T284" s="79"/>
      <c r="W284" s="130"/>
      <c r="Y284" s="106"/>
    </row>
    <row r="285">
      <c r="C285" s="79"/>
      <c r="D285" s="79"/>
      <c r="J285" s="79"/>
      <c r="O285" s="79"/>
      <c r="P285" s="79"/>
      <c r="S285" s="79"/>
      <c r="T285" s="79"/>
      <c r="W285" s="130"/>
      <c r="Y285" s="106"/>
    </row>
    <row r="286">
      <c r="C286" s="79"/>
      <c r="D286" s="79"/>
      <c r="J286" s="79"/>
      <c r="O286" s="79"/>
      <c r="P286" s="79"/>
      <c r="S286" s="79"/>
      <c r="T286" s="79"/>
      <c r="W286" s="130"/>
      <c r="Y286" s="106"/>
    </row>
    <row r="287">
      <c r="C287" s="79"/>
      <c r="D287" s="79"/>
      <c r="J287" s="79"/>
      <c r="O287" s="79"/>
      <c r="P287" s="79"/>
      <c r="S287" s="79"/>
      <c r="T287" s="79"/>
      <c r="W287" s="130"/>
      <c r="Y287" s="106"/>
    </row>
    <row r="288">
      <c r="C288" s="79"/>
      <c r="D288" s="79"/>
      <c r="J288" s="79"/>
      <c r="O288" s="79"/>
      <c r="P288" s="79"/>
      <c r="S288" s="79"/>
      <c r="T288" s="79"/>
      <c r="W288" s="130"/>
      <c r="Y288" s="106"/>
    </row>
    <row r="289">
      <c r="C289" s="79"/>
      <c r="D289" s="79"/>
      <c r="J289" s="79"/>
      <c r="O289" s="79"/>
      <c r="P289" s="79"/>
      <c r="S289" s="79"/>
      <c r="T289" s="79"/>
      <c r="W289" s="130"/>
      <c r="Y289" s="106"/>
    </row>
    <row r="290">
      <c r="C290" s="79"/>
      <c r="D290" s="79"/>
      <c r="J290" s="79"/>
      <c r="O290" s="79"/>
      <c r="P290" s="79"/>
      <c r="S290" s="79"/>
      <c r="T290" s="79"/>
      <c r="W290" s="130"/>
      <c r="Y290" s="106"/>
    </row>
    <row r="291">
      <c r="C291" s="79"/>
      <c r="D291" s="79"/>
      <c r="J291" s="79"/>
      <c r="O291" s="79"/>
      <c r="P291" s="79"/>
      <c r="S291" s="79"/>
      <c r="T291" s="79"/>
      <c r="W291" s="130"/>
      <c r="Y291" s="106"/>
    </row>
    <row r="292">
      <c r="C292" s="79"/>
      <c r="D292" s="79"/>
      <c r="J292" s="79"/>
      <c r="O292" s="79"/>
      <c r="P292" s="79"/>
      <c r="S292" s="79"/>
      <c r="T292" s="79"/>
      <c r="W292" s="130"/>
      <c r="Y292" s="106"/>
    </row>
    <row r="293">
      <c r="C293" s="79"/>
      <c r="D293" s="79"/>
      <c r="J293" s="79"/>
      <c r="O293" s="79"/>
      <c r="P293" s="79"/>
      <c r="S293" s="79"/>
      <c r="T293" s="79"/>
      <c r="W293" s="130"/>
      <c r="Y293" s="106"/>
    </row>
    <row r="294">
      <c r="C294" s="79"/>
      <c r="D294" s="79"/>
      <c r="J294" s="79"/>
      <c r="O294" s="79"/>
      <c r="P294" s="79"/>
      <c r="S294" s="79"/>
      <c r="T294" s="79"/>
      <c r="W294" s="130"/>
      <c r="Y294" s="106"/>
    </row>
    <row r="295">
      <c r="C295" s="79"/>
      <c r="D295" s="79"/>
      <c r="J295" s="79"/>
      <c r="O295" s="79"/>
      <c r="P295" s="79"/>
      <c r="S295" s="79"/>
      <c r="T295" s="79"/>
      <c r="W295" s="130"/>
      <c r="Y295" s="106"/>
    </row>
    <row r="296">
      <c r="C296" s="79"/>
      <c r="D296" s="79"/>
      <c r="J296" s="79"/>
      <c r="O296" s="79"/>
      <c r="P296" s="79"/>
      <c r="S296" s="79"/>
      <c r="T296" s="79"/>
      <c r="W296" s="130"/>
      <c r="Y296" s="106"/>
    </row>
    <row r="297">
      <c r="C297" s="79"/>
      <c r="D297" s="79"/>
      <c r="J297" s="79"/>
      <c r="O297" s="79"/>
      <c r="P297" s="79"/>
      <c r="S297" s="79"/>
      <c r="T297" s="79"/>
      <c r="W297" s="130"/>
      <c r="Y297" s="106"/>
    </row>
    <row r="298">
      <c r="C298" s="79"/>
      <c r="D298" s="79"/>
      <c r="J298" s="79"/>
      <c r="O298" s="79"/>
      <c r="P298" s="79"/>
      <c r="S298" s="79"/>
      <c r="T298" s="79"/>
      <c r="W298" s="130"/>
      <c r="Y298" s="106"/>
    </row>
    <row r="299">
      <c r="C299" s="79"/>
      <c r="D299" s="79"/>
      <c r="J299" s="79"/>
      <c r="O299" s="79"/>
      <c r="P299" s="79"/>
      <c r="S299" s="79"/>
      <c r="T299" s="79"/>
      <c r="W299" s="130"/>
      <c r="Y299" s="106"/>
    </row>
    <row r="300">
      <c r="C300" s="79"/>
      <c r="D300" s="79"/>
      <c r="J300" s="79"/>
      <c r="O300" s="79"/>
      <c r="P300" s="79"/>
      <c r="S300" s="79"/>
      <c r="T300" s="79"/>
      <c r="W300" s="130"/>
      <c r="Y300" s="106"/>
    </row>
    <row r="301">
      <c r="C301" s="79"/>
      <c r="D301" s="79"/>
      <c r="J301" s="79"/>
      <c r="O301" s="79"/>
      <c r="P301" s="79"/>
      <c r="S301" s="79"/>
      <c r="T301" s="79"/>
      <c r="W301" s="130"/>
      <c r="Y301" s="106"/>
    </row>
    <row r="302">
      <c r="C302" s="79"/>
      <c r="D302" s="79"/>
      <c r="J302" s="79"/>
      <c r="O302" s="79"/>
      <c r="P302" s="79"/>
      <c r="S302" s="79"/>
      <c r="T302" s="79"/>
      <c r="W302" s="130"/>
      <c r="Y302" s="106"/>
    </row>
    <row r="303">
      <c r="C303" s="79"/>
      <c r="D303" s="79"/>
      <c r="J303" s="79"/>
      <c r="O303" s="79"/>
      <c r="P303" s="79"/>
      <c r="S303" s="79"/>
      <c r="T303" s="79"/>
      <c r="W303" s="130"/>
      <c r="Y303" s="106"/>
    </row>
    <row r="304">
      <c r="C304" s="79"/>
      <c r="D304" s="79"/>
      <c r="J304" s="79"/>
      <c r="O304" s="79"/>
      <c r="P304" s="79"/>
      <c r="S304" s="79"/>
      <c r="T304" s="79"/>
      <c r="W304" s="130"/>
      <c r="Y304" s="106"/>
    </row>
    <row r="305">
      <c r="C305" s="79"/>
      <c r="D305" s="79"/>
      <c r="J305" s="79"/>
      <c r="O305" s="79"/>
      <c r="P305" s="79"/>
      <c r="S305" s="79"/>
      <c r="T305" s="79"/>
      <c r="W305" s="130"/>
      <c r="Y305" s="106"/>
    </row>
    <row r="306">
      <c r="C306" s="79"/>
      <c r="D306" s="79"/>
      <c r="J306" s="79"/>
      <c r="O306" s="79"/>
      <c r="P306" s="79"/>
      <c r="S306" s="79"/>
      <c r="T306" s="79"/>
      <c r="W306" s="130"/>
      <c r="Y306" s="106"/>
    </row>
    <row r="307">
      <c r="C307" s="79"/>
      <c r="D307" s="79"/>
      <c r="J307" s="79"/>
      <c r="O307" s="79"/>
      <c r="P307" s="79"/>
      <c r="S307" s="79"/>
      <c r="T307" s="79"/>
      <c r="W307" s="130"/>
      <c r="Y307" s="106"/>
    </row>
    <row r="308">
      <c r="C308" s="79"/>
      <c r="D308" s="79"/>
      <c r="J308" s="79"/>
      <c r="O308" s="79"/>
      <c r="P308" s="79"/>
      <c r="S308" s="79"/>
      <c r="T308" s="79"/>
      <c r="W308" s="130"/>
      <c r="Y308" s="106"/>
    </row>
    <row r="309">
      <c r="C309" s="79"/>
      <c r="D309" s="79"/>
      <c r="J309" s="79"/>
      <c r="O309" s="79"/>
      <c r="P309" s="79"/>
      <c r="S309" s="79"/>
      <c r="T309" s="79"/>
      <c r="W309" s="130"/>
      <c r="Y309" s="106"/>
    </row>
    <row r="310">
      <c r="C310" s="79"/>
      <c r="D310" s="79"/>
      <c r="J310" s="79"/>
      <c r="O310" s="79"/>
      <c r="P310" s="79"/>
      <c r="S310" s="79"/>
      <c r="T310" s="79"/>
      <c r="W310" s="130"/>
      <c r="Y310" s="106"/>
    </row>
    <row r="311">
      <c r="C311" s="79"/>
      <c r="D311" s="79"/>
      <c r="J311" s="79"/>
      <c r="O311" s="79"/>
      <c r="P311" s="79"/>
      <c r="S311" s="79"/>
      <c r="T311" s="79"/>
      <c r="W311" s="130"/>
      <c r="Y311" s="106"/>
    </row>
    <row r="312">
      <c r="C312" s="79"/>
      <c r="D312" s="79"/>
      <c r="J312" s="79"/>
      <c r="O312" s="79"/>
      <c r="P312" s="79"/>
      <c r="S312" s="79"/>
      <c r="T312" s="79"/>
      <c r="W312" s="130"/>
      <c r="Y312" s="106"/>
    </row>
    <row r="313">
      <c r="C313" s="79"/>
      <c r="D313" s="79"/>
      <c r="J313" s="79"/>
      <c r="O313" s="79"/>
      <c r="P313" s="79"/>
      <c r="S313" s="79"/>
      <c r="T313" s="79"/>
      <c r="W313" s="130"/>
      <c r="Y313" s="106"/>
    </row>
    <row r="314">
      <c r="C314" s="79"/>
      <c r="D314" s="79"/>
      <c r="J314" s="79"/>
      <c r="O314" s="79"/>
      <c r="P314" s="79"/>
      <c r="S314" s="79"/>
      <c r="T314" s="79"/>
      <c r="W314" s="130"/>
      <c r="Y314" s="106"/>
    </row>
    <row r="315">
      <c r="C315" s="79"/>
      <c r="D315" s="79"/>
      <c r="J315" s="79"/>
      <c r="O315" s="79"/>
      <c r="P315" s="79"/>
      <c r="S315" s="79"/>
      <c r="T315" s="79"/>
      <c r="W315" s="130"/>
      <c r="Y315" s="106"/>
    </row>
    <row r="316">
      <c r="C316" s="79"/>
      <c r="D316" s="79"/>
      <c r="J316" s="79"/>
      <c r="O316" s="79"/>
      <c r="P316" s="79"/>
      <c r="S316" s="79"/>
      <c r="T316" s="79"/>
      <c r="W316" s="130"/>
      <c r="Y316" s="106"/>
    </row>
    <row r="317">
      <c r="C317" s="79"/>
      <c r="D317" s="79"/>
      <c r="J317" s="79"/>
      <c r="O317" s="79"/>
      <c r="P317" s="79"/>
      <c r="S317" s="79"/>
      <c r="T317" s="79"/>
      <c r="W317" s="130"/>
      <c r="Y317" s="106"/>
    </row>
    <row r="318">
      <c r="C318" s="79"/>
      <c r="D318" s="79"/>
      <c r="J318" s="79"/>
      <c r="O318" s="79"/>
      <c r="P318" s="79"/>
      <c r="S318" s="79"/>
      <c r="T318" s="79"/>
      <c r="W318" s="130"/>
      <c r="Y318" s="106"/>
    </row>
    <row r="319">
      <c r="C319" s="79"/>
      <c r="D319" s="79"/>
      <c r="J319" s="79"/>
      <c r="O319" s="79"/>
      <c r="P319" s="79"/>
      <c r="S319" s="79"/>
      <c r="T319" s="79"/>
      <c r="W319" s="130"/>
      <c r="Y319" s="106"/>
    </row>
    <row r="320">
      <c r="C320" s="79"/>
      <c r="D320" s="79"/>
      <c r="J320" s="79"/>
      <c r="O320" s="79"/>
      <c r="P320" s="79"/>
      <c r="S320" s="79"/>
      <c r="T320" s="79"/>
      <c r="W320" s="130"/>
      <c r="Y320" s="106"/>
    </row>
    <row r="321">
      <c r="C321" s="79"/>
      <c r="D321" s="79"/>
      <c r="J321" s="79"/>
      <c r="O321" s="79"/>
      <c r="P321" s="79"/>
      <c r="S321" s="79"/>
      <c r="T321" s="79"/>
      <c r="W321" s="130"/>
      <c r="Y321" s="106"/>
    </row>
    <row r="322">
      <c r="C322" s="79"/>
      <c r="D322" s="79"/>
      <c r="J322" s="79"/>
      <c r="O322" s="79"/>
      <c r="P322" s="79"/>
      <c r="S322" s="79"/>
      <c r="T322" s="79"/>
      <c r="W322" s="130"/>
      <c r="Y322" s="106"/>
    </row>
    <row r="323">
      <c r="C323" s="79"/>
      <c r="D323" s="79"/>
      <c r="J323" s="79"/>
      <c r="O323" s="79"/>
      <c r="P323" s="79"/>
      <c r="S323" s="79"/>
      <c r="T323" s="79"/>
      <c r="W323" s="130"/>
      <c r="Y323" s="106"/>
    </row>
    <row r="324">
      <c r="C324" s="79"/>
      <c r="D324" s="79"/>
      <c r="J324" s="79"/>
      <c r="O324" s="79"/>
      <c r="P324" s="79"/>
      <c r="S324" s="79"/>
      <c r="T324" s="79"/>
      <c r="W324" s="130"/>
      <c r="Y324" s="106"/>
    </row>
    <row r="325">
      <c r="C325" s="79"/>
      <c r="D325" s="79"/>
      <c r="J325" s="79"/>
      <c r="O325" s="79"/>
      <c r="P325" s="79"/>
      <c r="S325" s="79"/>
      <c r="T325" s="79"/>
      <c r="W325" s="130"/>
      <c r="Y325" s="106"/>
    </row>
    <row r="326">
      <c r="C326" s="79"/>
      <c r="D326" s="79"/>
      <c r="J326" s="79"/>
      <c r="O326" s="79"/>
      <c r="P326" s="79"/>
      <c r="S326" s="79"/>
      <c r="T326" s="79"/>
      <c r="W326" s="130"/>
      <c r="Y326" s="106"/>
    </row>
    <row r="327">
      <c r="C327" s="79"/>
      <c r="D327" s="79"/>
      <c r="J327" s="79"/>
      <c r="O327" s="79"/>
      <c r="P327" s="79"/>
      <c r="S327" s="79"/>
      <c r="T327" s="79"/>
      <c r="W327" s="130"/>
      <c r="Y327" s="106"/>
    </row>
    <row r="328">
      <c r="C328" s="79"/>
      <c r="D328" s="79"/>
      <c r="J328" s="79"/>
      <c r="O328" s="79"/>
      <c r="P328" s="79"/>
      <c r="S328" s="79"/>
      <c r="T328" s="79"/>
      <c r="W328" s="130"/>
      <c r="Y328" s="106"/>
    </row>
    <row r="329">
      <c r="C329" s="79"/>
      <c r="D329" s="79"/>
      <c r="J329" s="79"/>
      <c r="O329" s="79"/>
      <c r="P329" s="79"/>
      <c r="S329" s="79"/>
      <c r="T329" s="79"/>
      <c r="W329" s="130"/>
      <c r="Y329" s="106"/>
    </row>
    <row r="330">
      <c r="C330" s="79"/>
      <c r="D330" s="79"/>
      <c r="J330" s="79"/>
      <c r="O330" s="79"/>
      <c r="P330" s="79"/>
      <c r="S330" s="79"/>
      <c r="T330" s="79"/>
      <c r="W330" s="130"/>
      <c r="Y330" s="106"/>
    </row>
    <row r="331">
      <c r="C331" s="79"/>
      <c r="D331" s="79"/>
      <c r="J331" s="79"/>
      <c r="O331" s="79"/>
      <c r="P331" s="79"/>
      <c r="S331" s="79"/>
      <c r="T331" s="79"/>
      <c r="W331" s="130"/>
      <c r="Y331" s="106"/>
    </row>
    <row r="332">
      <c r="C332" s="79"/>
      <c r="D332" s="79"/>
      <c r="J332" s="79"/>
      <c r="O332" s="79"/>
      <c r="P332" s="79"/>
      <c r="S332" s="79"/>
      <c r="T332" s="79"/>
      <c r="W332" s="130"/>
      <c r="Y332" s="106"/>
    </row>
    <row r="333">
      <c r="C333" s="79"/>
      <c r="D333" s="79"/>
      <c r="J333" s="79"/>
      <c r="O333" s="79"/>
      <c r="P333" s="79"/>
      <c r="S333" s="79"/>
      <c r="T333" s="79"/>
      <c r="W333" s="130"/>
      <c r="Y333" s="106"/>
    </row>
    <row r="334">
      <c r="C334" s="79"/>
      <c r="D334" s="79"/>
      <c r="J334" s="79"/>
      <c r="O334" s="79"/>
      <c r="P334" s="79"/>
      <c r="S334" s="79"/>
      <c r="T334" s="79"/>
      <c r="W334" s="130"/>
      <c r="Y334" s="106"/>
    </row>
    <row r="335">
      <c r="C335" s="79"/>
      <c r="D335" s="79"/>
      <c r="J335" s="79"/>
      <c r="O335" s="79"/>
      <c r="P335" s="79"/>
      <c r="S335" s="79"/>
      <c r="T335" s="79"/>
      <c r="W335" s="130"/>
      <c r="Y335" s="106"/>
    </row>
    <row r="336">
      <c r="C336" s="79"/>
      <c r="D336" s="79"/>
      <c r="J336" s="79"/>
      <c r="O336" s="79"/>
      <c r="P336" s="79"/>
      <c r="S336" s="79"/>
      <c r="T336" s="79"/>
      <c r="W336" s="130"/>
      <c r="Y336" s="106"/>
    </row>
    <row r="337">
      <c r="C337" s="79"/>
      <c r="D337" s="79"/>
      <c r="J337" s="79"/>
      <c r="O337" s="79"/>
      <c r="P337" s="79"/>
      <c r="S337" s="79"/>
      <c r="T337" s="79"/>
      <c r="W337" s="130"/>
      <c r="Y337" s="106"/>
    </row>
    <row r="338">
      <c r="C338" s="79"/>
      <c r="D338" s="79"/>
      <c r="J338" s="79"/>
      <c r="O338" s="79"/>
      <c r="P338" s="79"/>
      <c r="S338" s="79"/>
      <c r="T338" s="79"/>
      <c r="W338" s="130"/>
      <c r="Y338" s="106"/>
    </row>
    <row r="339">
      <c r="C339" s="79"/>
      <c r="D339" s="79"/>
      <c r="J339" s="79"/>
      <c r="O339" s="79"/>
      <c r="P339" s="79"/>
      <c r="S339" s="79"/>
      <c r="T339" s="79"/>
      <c r="W339" s="130"/>
      <c r="Y339" s="106"/>
    </row>
    <row r="340">
      <c r="C340" s="79"/>
      <c r="D340" s="79"/>
      <c r="J340" s="79"/>
      <c r="O340" s="79"/>
      <c r="P340" s="79"/>
      <c r="S340" s="79"/>
      <c r="T340" s="79"/>
      <c r="W340" s="130"/>
      <c r="Y340" s="106"/>
    </row>
    <row r="341">
      <c r="C341" s="79"/>
      <c r="D341" s="79"/>
      <c r="J341" s="79"/>
      <c r="O341" s="79"/>
      <c r="P341" s="79"/>
      <c r="S341" s="79"/>
      <c r="T341" s="79"/>
      <c r="W341" s="130"/>
      <c r="Y341" s="106"/>
    </row>
    <row r="342">
      <c r="C342" s="79"/>
      <c r="D342" s="79"/>
      <c r="J342" s="79"/>
      <c r="O342" s="79"/>
      <c r="P342" s="79"/>
      <c r="S342" s="79"/>
      <c r="T342" s="79"/>
      <c r="W342" s="130"/>
      <c r="Y342" s="106"/>
    </row>
    <row r="343">
      <c r="C343" s="79"/>
      <c r="D343" s="79"/>
      <c r="J343" s="79"/>
      <c r="O343" s="79"/>
      <c r="P343" s="79"/>
      <c r="S343" s="79"/>
      <c r="T343" s="79"/>
      <c r="W343" s="130"/>
      <c r="Y343" s="106"/>
    </row>
    <row r="344">
      <c r="C344" s="79"/>
      <c r="D344" s="79"/>
      <c r="J344" s="79"/>
      <c r="O344" s="79"/>
      <c r="P344" s="79"/>
      <c r="S344" s="79"/>
      <c r="T344" s="79"/>
      <c r="W344" s="130"/>
      <c r="Y344" s="106"/>
    </row>
    <row r="345">
      <c r="C345" s="79"/>
      <c r="D345" s="79"/>
      <c r="J345" s="79"/>
      <c r="O345" s="79"/>
      <c r="P345" s="79"/>
      <c r="S345" s="79"/>
      <c r="T345" s="79"/>
      <c r="W345" s="130"/>
      <c r="Y345" s="106"/>
    </row>
    <row r="346">
      <c r="C346" s="79"/>
      <c r="D346" s="79"/>
      <c r="J346" s="79"/>
      <c r="O346" s="79"/>
      <c r="P346" s="79"/>
      <c r="S346" s="79"/>
      <c r="T346" s="79"/>
      <c r="W346" s="130"/>
      <c r="Y346" s="106"/>
    </row>
    <row r="347">
      <c r="C347" s="79"/>
      <c r="D347" s="79"/>
      <c r="J347" s="79"/>
      <c r="O347" s="79"/>
      <c r="P347" s="79"/>
      <c r="S347" s="79"/>
      <c r="T347" s="79"/>
      <c r="W347" s="130"/>
      <c r="Y347" s="106"/>
    </row>
    <row r="348">
      <c r="C348" s="79"/>
      <c r="D348" s="79"/>
      <c r="J348" s="79"/>
      <c r="O348" s="79"/>
      <c r="P348" s="79"/>
      <c r="S348" s="79"/>
      <c r="T348" s="79"/>
      <c r="W348" s="130"/>
      <c r="Y348" s="106"/>
    </row>
    <row r="349">
      <c r="C349" s="79"/>
      <c r="D349" s="79"/>
      <c r="J349" s="79"/>
      <c r="O349" s="79"/>
      <c r="P349" s="79"/>
      <c r="S349" s="79"/>
      <c r="T349" s="79"/>
      <c r="W349" s="130"/>
      <c r="Y349" s="106"/>
    </row>
    <row r="350">
      <c r="C350" s="79"/>
      <c r="D350" s="79"/>
      <c r="J350" s="79"/>
      <c r="O350" s="79"/>
      <c r="P350" s="79"/>
      <c r="S350" s="79"/>
      <c r="T350" s="79"/>
      <c r="W350" s="130"/>
      <c r="Y350" s="106"/>
    </row>
    <row r="351">
      <c r="C351" s="79"/>
      <c r="D351" s="79"/>
      <c r="J351" s="79"/>
      <c r="O351" s="79"/>
      <c r="P351" s="79"/>
      <c r="S351" s="79"/>
      <c r="T351" s="79"/>
      <c r="W351" s="130"/>
      <c r="Y351" s="106"/>
    </row>
    <row r="352">
      <c r="C352" s="79"/>
      <c r="D352" s="79"/>
      <c r="J352" s="79"/>
      <c r="O352" s="79"/>
      <c r="P352" s="79"/>
      <c r="S352" s="79"/>
      <c r="T352" s="79"/>
      <c r="W352" s="130"/>
      <c r="Y352" s="106"/>
    </row>
    <row r="353">
      <c r="C353" s="79"/>
      <c r="D353" s="79"/>
      <c r="J353" s="79"/>
      <c r="O353" s="79"/>
      <c r="P353" s="79"/>
      <c r="S353" s="79"/>
      <c r="T353" s="79"/>
      <c r="W353" s="130"/>
      <c r="Y353" s="106"/>
    </row>
    <row r="354">
      <c r="C354" s="79"/>
      <c r="D354" s="79"/>
      <c r="J354" s="79"/>
      <c r="O354" s="79"/>
      <c r="P354" s="79"/>
      <c r="S354" s="79"/>
      <c r="T354" s="79"/>
      <c r="W354" s="130"/>
      <c r="Y354" s="106"/>
    </row>
    <row r="355">
      <c r="C355" s="79"/>
      <c r="D355" s="79"/>
      <c r="J355" s="79"/>
      <c r="O355" s="79"/>
      <c r="P355" s="79"/>
      <c r="S355" s="79"/>
      <c r="T355" s="79"/>
      <c r="W355" s="130"/>
      <c r="Y355" s="106"/>
    </row>
    <row r="356">
      <c r="C356" s="79"/>
      <c r="D356" s="79"/>
      <c r="J356" s="79"/>
      <c r="O356" s="79"/>
      <c r="P356" s="79"/>
      <c r="S356" s="79"/>
      <c r="T356" s="79"/>
      <c r="W356" s="130"/>
      <c r="Y356" s="106"/>
    </row>
    <row r="357">
      <c r="C357" s="79"/>
      <c r="D357" s="79"/>
      <c r="J357" s="79"/>
      <c r="O357" s="79"/>
      <c r="P357" s="79"/>
      <c r="S357" s="79"/>
      <c r="T357" s="79"/>
      <c r="W357" s="130"/>
      <c r="Y357" s="106"/>
    </row>
    <row r="358">
      <c r="C358" s="79"/>
      <c r="D358" s="79"/>
      <c r="J358" s="79"/>
      <c r="O358" s="79"/>
      <c r="P358" s="79"/>
      <c r="S358" s="79"/>
      <c r="T358" s="79"/>
      <c r="W358" s="130"/>
      <c r="Y358" s="106"/>
    </row>
    <row r="359">
      <c r="C359" s="79"/>
      <c r="D359" s="79"/>
      <c r="J359" s="79"/>
      <c r="O359" s="79"/>
      <c r="P359" s="79"/>
      <c r="S359" s="79"/>
      <c r="T359" s="79"/>
      <c r="W359" s="130"/>
      <c r="Y359" s="106"/>
    </row>
    <row r="360">
      <c r="C360" s="79"/>
      <c r="D360" s="79"/>
      <c r="J360" s="79"/>
      <c r="O360" s="79"/>
      <c r="P360" s="79"/>
      <c r="S360" s="79"/>
      <c r="T360" s="79"/>
      <c r="W360" s="130"/>
      <c r="Y360" s="106"/>
    </row>
    <row r="361">
      <c r="C361" s="79"/>
      <c r="D361" s="79"/>
      <c r="J361" s="79"/>
      <c r="O361" s="79"/>
      <c r="P361" s="79"/>
      <c r="S361" s="79"/>
      <c r="T361" s="79"/>
      <c r="W361" s="130"/>
      <c r="Y361" s="106"/>
    </row>
    <row r="362">
      <c r="C362" s="79"/>
      <c r="D362" s="79"/>
      <c r="J362" s="79"/>
      <c r="O362" s="79"/>
      <c r="P362" s="79"/>
      <c r="S362" s="79"/>
      <c r="T362" s="79"/>
      <c r="W362" s="130"/>
      <c r="Y362" s="106"/>
    </row>
    <row r="363">
      <c r="C363" s="79"/>
      <c r="D363" s="79"/>
      <c r="J363" s="79"/>
      <c r="O363" s="79"/>
      <c r="P363" s="79"/>
      <c r="S363" s="79"/>
      <c r="T363" s="79"/>
      <c r="W363" s="130"/>
      <c r="Y363" s="106"/>
    </row>
    <row r="364">
      <c r="C364" s="79"/>
      <c r="D364" s="79"/>
      <c r="J364" s="79"/>
      <c r="O364" s="79"/>
      <c r="P364" s="79"/>
      <c r="S364" s="79"/>
      <c r="T364" s="79"/>
      <c r="W364" s="130"/>
      <c r="Y364" s="106"/>
    </row>
    <row r="365">
      <c r="C365" s="79"/>
      <c r="D365" s="79"/>
      <c r="J365" s="79"/>
      <c r="O365" s="79"/>
      <c r="P365" s="79"/>
      <c r="S365" s="79"/>
      <c r="T365" s="79"/>
      <c r="W365" s="130"/>
      <c r="Y365" s="106"/>
    </row>
    <row r="366">
      <c r="C366" s="79"/>
      <c r="D366" s="79"/>
      <c r="J366" s="79"/>
      <c r="O366" s="79"/>
      <c r="P366" s="79"/>
      <c r="S366" s="79"/>
      <c r="T366" s="79"/>
      <c r="W366" s="130"/>
      <c r="Y366" s="106"/>
    </row>
    <row r="367">
      <c r="C367" s="79"/>
      <c r="D367" s="79"/>
      <c r="J367" s="79"/>
      <c r="O367" s="79"/>
      <c r="P367" s="79"/>
      <c r="S367" s="79"/>
      <c r="T367" s="79"/>
      <c r="W367" s="130"/>
      <c r="Y367" s="106"/>
    </row>
    <row r="368">
      <c r="C368" s="79"/>
      <c r="D368" s="79"/>
      <c r="J368" s="79"/>
      <c r="O368" s="79"/>
      <c r="P368" s="79"/>
      <c r="S368" s="79"/>
      <c r="T368" s="79"/>
      <c r="W368" s="130"/>
      <c r="Y368" s="106"/>
    </row>
    <row r="369">
      <c r="C369" s="79"/>
      <c r="D369" s="79"/>
      <c r="J369" s="79"/>
      <c r="O369" s="79"/>
      <c r="P369" s="79"/>
      <c r="S369" s="79"/>
      <c r="T369" s="79"/>
      <c r="W369" s="130"/>
      <c r="Y369" s="106"/>
    </row>
    <row r="370">
      <c r="C370" s="79"/>
      <c r="D370" s="79"/>
      <c r="J370" s="79"/>
      <c r="O370" s="79"/>
      <c r="P370" s="79"/>
      <c r="S370" s="79"/>
      <c r="T370" s="79"/>
      <c r="W370" s="130"/>
      <c r="Y370" s="106"/>
    </row>
    <row r="371">
      <c r="C371" s="79"/>
      <c r="D371" s="79"/>
      <c r="J371" s="79"/>
      <c r="O371" s="79"/>
      <c r="P371" s="79"/>
      <c r="S371" s="79"/>
      <c r="T371" s="79"/>
      <c r="W371" s="130"/>
      <c r="Y371" s="106"/>
    </row>
    <row r="372">
      <c r="C372" s="79"/>
      <c r="D372" s="79"/>
      <c r="J372" s="79"/>
      <c r="O372" s="79"/>
      <c r="P372" s="79"/>
      <c r="S372" s="79"/>
      <c r="T372" s="79"/>
      <c r="W372" s="130"/>
      <c r="Y372" s="106"/>
    </row>
    <row r="373">
      <c r="C373" s="79"/>
      <c r="D373" s="79"/>
      <c r="J373" s="79"/>
      <c r="O373" s="79"/>
      <c r="P373" s="79"/>
      <c r="S373" s="79"/>
      <c r="T373" s="79"/>
      <c r="W373" s="130"/>
      <c r="Y373" s="106"/>
    </row>
    <row r="374">
      <c r="C374" s="79"/>
      <c r="D374" s="79"/>
      <c r="J374" s="79"/>
      <c r="O374" s="79"/>
      <c r="P374" s="79"/>
      <c r="S374" s="79"/>
      <c r="T374" s="79"/>
      <c r="W374" s="130"/>
      <c r="Y374" s="106"/>
    </row>
    <row r="375">
      <c r="C375" s="79"/>
      <c r="D375" s="79"/>
      <c r="J375" s="79"/>
      <c r="O375" s="79"/>
      <c r="P375" s="79"/>
      <c r="S375" s="79"/>
      <c r="T375" s="79"/>
      <c r="W375" s="130"/>
      <c r="Y375" s="106"/>
    </row>
    <row r="376">
      <c r="C376" s="79"/>
      <c r="D376" s="79"/>
      <c r="J376" s="79"/>
      <c r="O376" s="79"/>
      <c r="P376" s="79"/>
      <c r="S376" s="79"/>
      <c r="T376" s="79"/>
      <c r="W376" s="130"/>
      <c r="Y376" s="106"/>
    </row>
    <row r="377">
      <c r="C377" s="79"/>
      <c r="D377" s="79"/>
      <c r="J377" s="79"/>
      <c r="O377" s="79"/>
      <c r="P377" s="79"/>
      <c r="S377" s="79"/>
      <c r="T377" s="79"/>
      <c r="W377" s="130"/>
      <c r="Y377" s="106"/>
    </row>
    <row r="378">
      <c r="C378" s="79"/>
      <c r="D378" s="79"/>
      <c r="J378" s="79"/>
      <c r="O378" s="79"/>
      <c r="P378" s="79"/>
      <c r="S378" s="79"/>
      <c r="T378" s="79"/>
      <c r="W378" s="130"/>
      <c r="Y378" s="106"/>
    </row>
    <row r="379">
      <c r="C379" s="79"/>
      <c r="D379" s="79"/>
      <c r="J379" s="79"/>
      <c r="O379" s="79"/>
      <c r="P379" s="79"/>
      <c r="S379" s="79"/>
      <c r="T379" s="79"/>
      <c r="W379" s="130"/>
      <c r="Y379" s="106"/>
    </row>
    <row r="380">
      <c r="C380" s="79"/>
      <c r="D380" s="79"/>
      <c r="J380" s="79"/>
      <c r="O380" s="79"/>
      <c r="P380" s="79"/>
      <c r="S380" s="79"/>
      <c r="T380" s="79"/>
      <c r="W380" s="130"/>
      <c r="Y380" s="106"/>
    </row>
    <row r="381">
      <c r="C381" s="79"/>
      <c r="D381" s="79"/>
      <c r="J381" s="79"/>
      <c r="O381" s="79"/>
      <c r="P381" s="79"/>
      <c r="S381" s="79"/>
      <c r="T381" s="79"/>
      <c r="W381" s="130"/>
      <c r="Y381" s="106"/>
    </row>
    <row r="382">
      <c r="C382" s="79"/>
      <c r="D382" s="79"/>
      <c r="J382" s="79"/>
      <c r="O382" s="79"/>
      <c r="P382" s="79"/>
      <c r="S382" s="79"/>
      <c r="T382" s="79"/>
      <c r="W382" s="130"/>
      <c r="Y382" s="106"/>
    </row>
    <row r="383">
      <c r="C383" s="79"/>
      <c r="D383" s="79"/>
      <c r="J383" s="79"/>
      <c r="O383" s="79"/>
      <c r="P383" s="79"/>
      <c r="S383" s="79"/>
      <c r="T383" s="79"/>
      <c r="W383" s="130"/>
      <c r="Y383" s="106"/>
    </row>
    <row r="384">
      <c r="C384" s="79"/>
      <c r="D384" s="79"/>
      <c r="J384" s="79"/>
      <c r="O384" s="79"/>
      <c r="P384" s="79"/>
      <c r="S384" s="79"/>
      <c r="T384" s="79"/>
      <c r="W384" s="130"/>
      <c r="Y384" s="106"/>
    </row>
    <row r="385">
      <c r="C385" s="79"/>
      <c r="D385" s="79"/>
      <c r="J385" s="79"/>
      <c r="O385" s="79"/>
      <c r="P385" s="79"/>
      <c r="S385" s="79"/>
      <c r="T385" s="79"/>
      <c r="W385" s="130"/>
      <c r="Y385" s="106"/>
    </row>
    <row r="386">
      <c r="C386" s="79"/>
      <c r="D386" s="79"/>
      <c r="J386" s="79"/>
      <c r="O386" s="79"/>
      <c r="P386" s="79"/>
      <c r="S386" s="79"/>
      <c r="T386" s="79"/>
      <c r="W386" s="130"/>
      <c r="Y386" s="106"/>
    </row>
    <row r="387">
      <c r="C387" s="79"/>
      <c r="D387" s="79"/>
      <c r="J387" s="79"/>
      <c r="O387" s="79"/>
      <c r="P387" s="79"/>
      <c r="S387" s="79"/>
      <c r="T387" s="79"/>
      <c r="W387" s="130"/>
      <c r="Y387" s="106"/>
    </row>
    <row r="388">
      <c r="C388" s="79"/>
      <c r="D388" s="79"/>
      <c r="J388" s="79"/>
      <c r="O388" s="79"/>
      <c r="P388" s="79"/>
      <c r="S388" s="79"/>
      <c r="T388" s="79"/>
      <c r="W388" s="130"/>
      <c r="Y388" s="106"/>
    </row>
    <row r="389">
      <c r="C389" s="79"/>
      <c r="D389" s="79"/>
      <c r="J389" s="79"/>
      <c r="O389" s="79"/>
      <c r="P389" s="79"/>
      <c r="S389" s="79"/>
      <c r="T389" s="79"/>
      <c r="W389" s="130"/>
      <c r="Y389" s="106"/>
    </row>
    <row r="390">
      <c r="C390" s="79"/>
      <c r="D390" s="79"/>
      <c r="J390" s="79"/>
      <c r="O390" s="79"/>
      <c r="P390" s="79"/>
      <c r="S390" s="79"/>
      <c r="T390" s="79"/>
      <c r="W390" s="130"/>
      <c r="Y390" s="106"/>
    </row>
    <row r="391">
      <c r="C391" s="79"/>
      <c r="D391" s="79"/>
      <c r="J391" s="79"/>
      <c r="O391" s="79"/>
      <c r="P391" s="79"/>
      <c r="S391" s="79"/>
      <c r="T391" s="79"/>
      <c r="W391" s="130"/>
      <c r="Y391" s="106"/>
    </row>
    <row r="392">
      <c r="C392" s="79"/>
      <c r="D392" s="79"/>
      <c r="J392" s="79"/>
      <c r="O392" s="79"/>
      <c r="P392" s="79"/>
      <c r="S392" s="79"/>
      <c r="T392" s="79"/>
      <c r="W392" s="130"/>
      <c r="Y392" s="106"/>
    </row>
    <row r="393">
      <c r="C393" s="79"/>
      <c r="D393" s="79"/>
      <c r="J393" s="79"/>
      <c r="O393" s="79"/>
      <c r="P393" s="79"/>
      <c r="S393" s="79"/>
      <c r="T393" s="79"/>
      <c r="W393" s="130"/>
      <c r="Y393" s="106"/>
    </row>
    <row r="394">
      <c r="C394" s="79"/>
      <c r="D394" s="79"/>
      <c r="J394" s="79"/>
      <c r="O394" s="79"/>
      <c r="P394" s="79"/>
      <c r="S394" s="79"/>
      <c r="T394" s="79"/>
      <c r="W394" s="130"/>
      <c r="Y394" s="106"/>
    </row>
    <row r="395">
      <c r="C395" s="79"/>
      <c r="D395" s="79"/>
      <c r="J395" s="79"/>
      <c r="O395" s="79"/>
      <c r="P395" s="79"/>
      <c r="S395" s="79"/>
      <c r="T395" s="79"/>
      <c r="W395" s="130"/>
      <c r="Y395" s="106"/>
    </row>
    <row r="396">
      <c r="C396" s="79"/>
      <c r="D396" s="79"/>
      <c r="J396" s="79"/>
      <c r="O396" s="79"/>
      <c r="P396" s="79"/>
      <c r="S396" s="79"/>
      <c r="T396" s="79"/>
      <c r="W396" s="130"/>
      <c r="Y396" s="106"/>
    </row>
    <row r="397">
      <c r="C397" s="79"/>
      <c r="D397" s="79"/>
      <c r="J397" s="79"/>
      <c r="O397" s="79"/>
      <c r="P397" s="79"/>
      <c r="S397" s="79"/>
      <c r="T397" s="79"/>
      <c r="W397" s="130"/>
      <c r="Y397" s="106"/>
    </row>
    <row r="398">
      <c r="C398" s="79"/>
      <c r="D398" s="79"/>
      <c r="J398" s="79"/>
      <c r="O398" s="79"/>
      <c r="P398" s="79"/>
      <c r="S398" s="79"/>
      <c r="T398" s="79"/>
      <c r="W398" s="130"/>
      <c r="Y398" s="106"/>
    </row>
    <row r="399">
      <c r="C399" s="79"/>
      <c r="D399" s="79"/>
      <c r="J399" s="79"/>
      <c r="O399" s="79"/>
      <c r="P399" s="79"/>
      <c r="S399" s="79"/>
      <c r="T399" s="79"/>
      <c r="W399" s="130"/>
      <c r="Y399" s="106"/>
    </row>
    <row r="400">
      <c r="C400" s="79"/>
      <c r="D400" s="79"/>
      <c r="J400" s="79"/>
      <c r="O400" s="79"/>
      <c r="P400" s="79"/>
      <c r="S400" s="79"/>
      <c r="T400" s="79"/>
      <c r="W400" s="130"/>
      <c r="Y400" s="106"/>
    </row>
    <row r="401">
      <c r="C401" s="79"/>
      <c r="D401" s="79"/>
      <c r="J401" s="79"/>
      <c r="O401" s="79"/>
      <c r="P401" s="79"/>
      <c r="S401" s="79"/>
      <c r="T401" s="79"/>
      <c r="W401" s="130"/>
      <c r="Y401" s="106"/>
    </row>
    <row r="402">
      <c r="C402" s="79"/>
      <c r="D402" s="79"/>
      <c r="J402" s="79"/>
      <c r="O402" s="79"/>
      <c r="P402" s="79"/>
      <c r="S402" s="79"/>
      <c r="T402" s="79"/>
      <c r="W402" s="130"/>
      <c r="Y402" s="106"/>
    </row>
    <row r="403">
      <c r="C403" s="79"/>
      <c r="D403" s="79"/>
      <c r="J403" s="79"/>
      <c r="O403" s="79"/>
      <c r="P403" s="79"/>
      <c r="S403" s="79"/>
      <c r="T403" s="79"/>
      <c r="W403" s="130"/>
      <c r="Y403" s="106"/>
    </row>
    <row r="404">
      <c r="C404" s="79"/>
      <c r="D404" s="79"/>
      <c r="J404" s="79"/>
      <c r="O404" s="79"/>
      <c r="P404" s="79"/>
      <c r="S404" s="79"/>
      <c r="T404" s="79"/>
      <c r="W404" s="130"/>
      <c r="Y404" s="106"/>
    </row>
    <row r="405">
      <c r="C405" s="79"/>
      <c r="D405" s="79"/>
      <c r="J405" s="79"/>
      <c r="O405" s="79"/>
      <c r="P405" s="79"/>
      <c r="S405" s="79"/>
      <c r="T405" s="79"/>
      <c r="W405" s="130"/>
      <c r="Y405" s="106"/>
    </row>
    <row r="406">
      <c r="C406" s="79"/>
      <c r="D406" s="79"/>
      <c r="J406" s="79"/>
      <c r="O406" s="79"/>
      <c r="P406" s="79"/>
      <c r="S406" s="79"/>
      <c r="T406" s="79"/>
      <c r="W406" s="130"/>
      <c r="Y406" s="106"/>
    </row>
    <row r="407">
      <c r="C407" s="79"/>
      <c r="D407" s="79"/>
      <c r="J407" s="79"/>
      <c r="O407" s="79"/>
      <c r="P407" s="79"/>
      <c r="S407" s="79"/>
      <c r="T407" s="79"/>
      <c r="W407" s="130"/>
      <c r="Y407" s="106"/>
    </row>
    <row r="408">
      <c r="C408" s="79"/>
      <c r="D408" s="79"/>
      <c r="J408" s="79"/>
      <c r="O408" s="79"/>
      <c r="P408" s="79"/>
      <c r="S408" s="79"/>
      <c r="T408" s="79"/>
      <c r="W408" s="130"/>
      <c r="Y408" s="106"/>
    </row>
    <row r="409">
      <c r="C409" s="79"/>
      <c r="D409" s="79"/>
      <c r="J409" s="79"/>
      <c r="O409" s="79"/>
      <c r="P409" s="79"/>
      <c r="S409" s="79"/>
      <c r="T409" s="79"/>
      <c r="W409" s="130"/>
      <c r="Y409" s="106"/>
    </row>
    <row r="410">
      <c r="C410" s="79"/>
      <c r="D410" s="79"/>
      <c r="J410" s="79"/>
      <c r="O410" s="79"/>
      <c r="P410" s="79"/>
      <c r="S410" s="79"/>
      <c r="T410" s="79"/>
      <c r="W410" s="130"/>
      <c r="Y410" s="106"/>
    </row>
    <row r="411">
      <c r="C411" s="79"/>
      <c r="D411" s="79"/>
      <c r="J411" s="79"/>
      <c r="O411" s="79"/>
      <c r="P411" s="79"/>
      <c r="S411" s="79"/>
      <c r="T411" s="79"/>
      <c r="W411" s="130"/>
      <c r="Y411" s="106"/>
    </row>
    <row r="412">
      <c r="C412" s="79"/>
      <c r="D412" s="79"/>
      <c r="J412" s="79"/>
      <c r="O412" s="79"/>
      <c r="P412" s="79"/>
      <c r="S412" s="79"/>
      <c r="T412" s="79"/>
      <c r="W412" s="130"/>
      <c r="Y412" s="106"/>
    </row>
    <row r="413">
      <c r="C413" s="79"/>
      <c r="D413" s="79"/>
      <c r="J413" s="79"/>
      <c r="O413" s="79"/>
      <c r="P413" s="79"/>
      <c r="S413" s="79"/>
      <c r="T413" s="79"/>
      <c r="W413" s="130"/>
      <c r="Y413" s="106"/>
    </row>
    <row r="414">
      <c r="C414" s="79"/>
      <c r="D414" s="79"/>
      <c r="J414" s="79"/>
      <c r="O414" s="79"/>
      <c r="P414" s="79"/>
      <c r="S414" s="79"/>
      <c r="T414" s="79"/>
      <c r="W414" s="130"/>
      <c r="Y414" s="106"/>
    </row>
    <row r="415">
      <c r="C415" s="79"/>
      <c r="D415" s="79"/>
      <c r="J415" s="79"/>
      <c r="O415" s="79"/>
      <c r="P415" s="79"/>
      <c r="S415" s="79"/>
      <c r="T415" s="79"/>
      <c r="W415" s="130"/>
      <c r="Y415" s="106"/>
    </row>
    <row r="416">
      <c r="C416" s="79"/>
      <c r="D416" s="79"/>
      <c r="J416" s="79"/>
      <c r="O416" s="79"/>
      <c r="P416" s="79"/>
      <c r="S416" s="79"/>
      <c r="T416" s="79"/>
      <c r="W416" s="130"/>
      <c r="Y416" s="106"/>
    </row>
    <row r="417">
      <c r="C417" s="79"/>
      <c r="D417" s="79"/>
      <c r="J417" s="79"/>
      <c r="O417" s="79"/>
      <c r="P417" s="79"/>
      <c r="S417" s="79"/>
      <c r="T417" s="79"/>
      <c r="W417" s="130"/>
      <c r="Y417" s="106"/>
    </row>
    <row r="418">
      <c r="C418" s="79"/>
      <c r="D418" s="79"/>
      <c r="J418" s="79"/>
      <c r="O418" s="79"/>
      <c r="P418" s="79"/>
      <c r="S418" s="79"/>
      <c r="T418" s="79"/>
      <c r="W418" s="130"/>
      <c r="Y418" s="106"/>
    </row>
    <row r="419">
      <c r="C419" s="79"/>
      <c r="D419" s="79"/>
      <c r="J419" s="79"/>
      <c r="O419" s="79"/>
      <c r="P419" s="79"/>
      <c r="S419" s="79"/>
      <c r="T419" s="79"/>
      <c r="W419" s="130"/>
      <c r="Y419" s="106"/>
    </row>
    <row r="420">
      <c r="C420" s="79"/>
      <c r="D420" s="79"/>
      <c r="J420" s="79"/>
      <c r="O420" s="79"/>
      <c r="P420" s="79"/>
      <c r="S420" s="79"/>
      <c r="T420" s="79"/>
      <c r="W420" s="130"/>
      <c r="Y420" s="106"/>
    </row>
    <row r="421">
      <c r="C421" s="79"/>
      <c r="D421" s="79"/>
      <c r="J421" s="79"/>
      <c r="O421" s="79"/>
      <c r="P421" s="79"/>
      <c r="S421" s="79"/>
      <c r="T421" s="79"/>
      <c r="W421" s="130"/>
      <c r="Y421" s="106"/>
    </row>
    <row r="422">
      <c r="C422" s="79"/>
      <c r="D422" s="79"/>
      <c r="J422" s="79"/>
      <c r="O422" s="79"/>
      <c r="P422" s="79"/>
      <c r="S422" s="79"/>
      <c r="T422" s="79"/>
      <c r="W422" s="130"/>
      <c r="Y422" s="106"/>
    </row>
    <row r="423">
      <c r="C423" s="79"/>
      <c r="D423" s="79"/>
      <c r="J423" s="79"/>
      <c r="O423" s="79"/>
      <c r="P423" s="79"/>
      <c r="S423" s="79"/>
      <c r="T423" s="79"/>
      <c r="W423" s="130"/>
      <c r="Y423" s="106"/>
    </row>
    <row r="424">
      <c r="C424" s="79"/>
      <c r="D424" s="79"/>
      <c r="J424" s="79"/>
      <c r="O424" s="79"/>
      <c r="P424" s="79"/>
      <c r="S424" s="79"/>
      <c r="T424" s="79"/>
      <c r="W424" s="130"/>
      <c r="Y424" s="106"/>
    </row>
    <row r="425">
      <c r="C425" s="79"/>
      <c r="D425" s="79"/>
      <c r="J425" s="79"/>
      <c r="O425" s="79"/>
      <c r="P425" s="79"/>
      <c r="S425" s="79"/>
      <c r="T425" s="79"/>
      <c r="W425" s="130"/>
      <c r="Y425" s="106"/>
    </row>
    <row r="426">
      <c r="C426" s="79"/>
      <c r="D426" s="79"/>
      <c r="J426" s="79"/>
      <c r="O426" s="79"/>
      <c r="P426" s="79"/>
      <c r="S426" s="79"/>
      <c r="T426" s="79"/>
      <c r="W426" s="130"/>
      <c r="Y426" s="106"/>
    </row>
    <row r="427">
      <c r="C427" s="79"/>
      <c r="D427" s="79"/>
      <c r="J427" s="79"/>
      <c r="O427" s="79"/>
      <c r="P427" s="79"/>
      <c r="S427" s="79"/>
      <c r="T427" s="79"/>
      <c r="W427" s="130"/>
      <c r="Y427" s="106"/>
    </row>
    <row r="428">
      <c r="C428" s="79"/>
      <c r="D428" s="79"/>
      <c r="J428" s="79"/>
      <c r="O428" s="79"/>
      <c r="P428" s="79"/>
      <c r="S428" s="79"/>
      <c r="T428" s="79"/>
      <c r="W428" s="130"/>
      <c r="Y428" s="106"/>
    </row>
    <row r="429">
      <c r="C429" s="79"/>
      <c r="D429" s="79"/>
      <c r="J429" s="79"/>
      <c r="O429" s="79"/>
      <c r="P429" s="79"/>
      <c r="S429" s="79"/>
      <c r="T429" s="79"/>
      <c r="W429" s="130"/>
      <c r="Y429" s="106"/>
    </row>
    <row r="430">
      <c r="C430" s="79"/>
      <c r="D430" s="79"/>
      <c r="J430" s="79"/>
      <c r="O430" s="79"/>
      <c r="P430" s="79"/>
      <c r="S430" s="79"/>
      <c r="T430" s="79"/>
      <c r="W430" s="130"/>
      <c r="Y430" s="106"/>
    </row>
    <row r="431">
      <c r="C431" s="79"/>
      <c r="D431" s="79"/>
      <c r="J431" s="79"/>
      <c r="O431" s="79"/>
      <c r="P431" s="79"/>
      <c r="S431" s="79"/>
      <c r="T431" s="79"/>
      <c r="W431" s="130"/>
      <c r="Y431" s="106"/>
    </row>
    <row r="432">
      <c r="C432" s="79"/>
      <c r="D432" s="79"/>
      <c r="J432" s="79"/>
      <c r="O432" s="79"/>
      <c r="P432" s="79"/>
      <c r="S432" s="79"/>
      <c r="T432" s="79"/>
      <c r="W432" s="130"/>
      <c r="Y432" s="106"/>
    </row>
    <row r="433">
      <c r="C433" s="79"/>
      <c r="D433" s="79"/>
      <c r="J433" s="79"/>
      <c r="O433" s="79"/>
      <c r="P433" s="79"/>
      <c r="S433" s="79"/>
      <c r="T433" s="79"/>
      <c r="W433" s="130"/>
      <c r="Y433" s="106"/>
    </row>
    <row r="434">
      <c r="C434" s="79"/>
      <c r="D434" s="79"/>
      <c r="J434" s="79"/>
      <c r="O434" s="79"/>
      <c r="P434" s="79"/>
      <c r="S434" s="79"/>
      <c r="T434" s="79"/>
      <c r="W434" s="130"/>
      <c r="Y434" s="106"/>
    </row>
    <row r="435">
      <c r="C435" s="79"/>
      <c r="D435" s="79"/>
      <c r="J435" s="79"/>
      <c r="O435" s="79"/>
      <c r="P435" s="79"/>
      <c r="S435" s="79"/>
      <c r="T435" s="79"/>
      <c r="W435" s="130"/>
      <c r="Y435" s="106"/>
    </row>
    <row r="436">
      <c r="C436" s="79"/>
      <c r="D436" s="79"/>
      <c r="J436" s="79"/>
      <c r="O436" s="79"/>
      <c r="P436" s="79"/>
      <c r="S436" s="79"/>
      <c r="T436" s="79"/>
      <c r="W436" s="130"/>
      <c r="Y436" s="106"/>
    </row>
    <row r="437">
      <c r="C437" s="79"/>
      <c r="D437" s="79"/>
      <c r="J437" s="79"/>
      <c r="O437" s="79"/>
      <c r="P437" s="79"/>
      <c r="S437" s="79"/>
      <c r="T437" s="79"/>
      <c r="W437" s="130"/>
      <c r="Y437" s="106"/>
    </row>
    <row r="438">
      <c r="C438" s="79"/>
      <c r="D438" s="79"/>
      <c r="J438" s="79"/>
      <c r="O438" s="79"/>
      <c r="P438" s="79"/>
      <c r="S438" s="79"/>
      <c r="T438" s="79"/>
      <c r="W438" s="130"/>
      <c r="Y438" s="106"/>
    </row>
    <row r="439">
      <c r="C439" s="79"/>
      <c r="D439" s="79"/>
      <c r="J439" s="79"/>
      <c r="O439" s="79"/>
      <c r="P439" s="79"/>
      <c r="S439" s="79"/>
      <c r="T439" s="79"/>
      <c r="W439" s="130"/>
      <c r="Y439" s="106"/>
    </row>
    <row r="440">
      <c r="C440" s="79"/>
      <c r="D440" s="79"/>
      <c r="J440" s="79"/>
      <c r="O440" s="79"/>
      <c r="P440" s="79"/>
      <c r="S440" s="79"/>
      <c r="T440" s="79"/>
      <c r="W440" s="130"/>
      <c r="Y440" s="106"/>
    </row>
    <row r="441">
      <c r="C441" s="79"/>
      <c r="D441" s="79"/>
      <c r="J441" s="79"/>
      <c r="O441" s="79"/>
      <c r="P441" s="79"/>
      <c r="S441" s="79"/>
      <c r="T441" s="79"/>
      <c r="W441" s="130"/>
      <c r="Y441" s="106"/>
    </row>
    <row r="442">
      <c r="C442" s="79"/>
      <c r="D442" s="79"/>
      <c r="J442" s="79"/>
      <c r="O442" s="79"/>
      <c r="P442" s="79"/>
      <c r="S442" s="79"/>
      <c r="T442" s="79"/>
      <c r="W442" s="130"/>
      <c r="Y442" s="106"/>
    </row>
    <row r="443">
      <c r="C443" s="79"/>
      <c r="D443" s="79"/>
      <c r="J443" s="79"/>
      <c r="O443" s="79"/>
      <c r="P443" s="79"/>
      <c r="S443" s="79"/>
      <c r="T443" s="79"/>
      <c r="W443" s="130"/>
      <c r="Y443" s="106"/>
    </row>
    <row r="444">
      <c r="C444" s="79"/>
      <c r="D444" s="79"/>
      <c r="J444" s="79"/>
      <c r="O444" s="79"/>
      <c r="P444" s="79"/>
      <c r="S444" s="79"/>
      <c r="T444" s="79"/>
      <c r="W444" s="130"/>
      <c r="Y444" s="106"/>
    </row>
    <row r="445">
      <c r="C445" s="79"/>
      <c r="D445" s="79"/>
      <c r="J445" s="79"/>
      <c r="O445" s="79"/>
      <c r="P445" s="79"/>
      <c r="S445" s="79"/>
      <c r="T445" s="79"/>
      <c r="W445" s="130"/>
      <c r="Y445" s="106"/>
    </row>
    <row r="446">
      <c r="C446" s="79"/>
      <c r="D446" s="79"/>
      <c r="J446" s="79"/>
      <c r="O446" s="79"/>
      <c r="P446" s="79"/>
      <c r="S446" s="79"/>
      <c r="T446" s="79"/>
      <c r="W446" s="130"/>
      <c r="Y446" s="106"/>
    </row>
    <row r="447">
      <c r="C447" s="79"/>
      <c r="D447" s="79"/>
      <c r="J447" s="79"/>
      <c r="O447" s="79"/>
      <c r="P447" s="79"/>
      <c r="S447" s="79"/>
      <c r="T447" s="79"/>
      <c r="W447" s="130"/>
      <c r="Y447" s="106"/>
    </row>
    <row r="448">
      <c r="C448" s="79"/>
      <c r="D448" s="79"/>
      <c r="J448" s="79"/>
      <c r="O448" s="79"/>
      <c r="P448" s="79"/>
      <c r="S448" s="79"/>
      <c r="T448" s="79"/>
      <c r="W448" s="130"/>
      <c r="Y448" s="106"/>
    </row>
    <row r="449">
      <c r="C449" s="79"/>
      <c r="D449" s="79"/>
      <c r="J449" s="79"/>
      <c r="O449" s="79"/>
      <c r="P449" s="79"/>
      <c r="S449" s="79"/>
      <c r="T449" s="79"/>
      <c r="W449" s="130"/>
      <c r="Y449" s="106"/>
    </row>
    <row r="450">
      <c r="C450" s="79"/>
      <c r="D450" s="79"/>
      <c r="J450" s="79"/>
      <c r="O450" s="79"/>
      <c r="P450" s="79"/>
      <c r="S450" s="79"/>
      <c r="T450" s="79"/>
      <c r="W450" s="130"/>
      <c r="Y450" s="106"/>
    </row>
    <row r="451">
      <c r="C451" s="79"/>
      <c r="D451" s="79"/>
      <c r="J451" s="79"/>
      <c r="O451" s="79"/>
      <c r="P451" s="79"/>
      <c r="S451" s="79"/>
      <c r="T451" s="79"/>
      <c r="W451" s="130"/>
      <c r="Y451" s="106"/>
    </row>
    <row r="452">
      <c r="C452" s="79"/>
      <c r="D452" s="79"/>
      <c r="J452" s="79"/>
      <c r="O452" s="79"/>
      <c r="P452" s="79"/>
      <c r="S452" s="79"/>
      <c r="T452" s="79"/>
      <c r="W452" s="130"/>
      <c r="Y452" s="106"/>
    </row>
    <row r="453">
      <c r="C453" s="79"/>
      <c r="D453" s="79"/>
      <c r="J453" s="79"/>
      <c r="O453" s="79"/>
      <c r="P453" s="79"/>
      <c r="S453" s="79"/>
      <c r="T453" s="79"/>
      <c r="W453" s="130"/>
      <c r="Y453" s="106"/>
    </row>
    <row r="454">
      <c r="C454" s="79"/>
      <c r="D454" s="79"/>
      <c r="J454" s="79"/>
      <c r="O454" s="79"/>
      <c r="P454" s="79"/>
      <c r="S454" s="79"/>
      <c r="T454" s="79"/>
      <c r="W454" s="130"/>
      <c r="Y454" s="106"/>
    </row>
    <row r="455">
      <c r="C455" s="79"/>
      <c r="D455" s="79"/>
      <c r="J455" s="79"/>
      <c r="O455" s="79"/>
      <c r="P455" s="79"/>
      <c r="S455" s="79"/>
      <c r="T455" s="79"/>
      <c r="W455" s="130"/>
      <c r="Y455" s="106"/>
    </row>
    <row r="456">
      <c r="C456" s="79"/>
      <c r="D456" s="79"/>
      <c r="J456" s="79"/>
      <c r="O456" s="79"/>
      <c r="P456" s="79"/>
      <c r="S456" s="79"/>
      <c r="T456" s="79"/>
      <c r="W456" s="130"/>
      <c r="Y456" s="106"/>
    </row>
    <row r="457">
      <c r="C457" s="79"/>
      <c r="D457" s="79"/>
      <c r="J457" s="79"/>
      <c r="O457" s="79"/>
      <c r="P457" s="79"/>
      <c r="S457" s="79"/>
      <c r="T457" s="79"/>
      <c r="W457" s="130"/>
      <c r="Y457" s="106"/>
    </row>
    <row r="458">
      <c r="C458" s="79"/>
      <c r="D458" s="79"/>
      <c r="J458" s="79"/>
      <c r="O458" s="79"/>
      <c r="P458" s="79"/>
      <c r="S458" s="79"/>
      <c r="T458" s="79"/>
      <c r="W458" s="130"/>
      <c r="Y458" s="106"/>
    </row>
    <row r="459">
      <c r="C459" s="79"/>
      <c r="D459" s="79"/>
      <c r="J459" s="79"/>
      <c r="O459" s="79"/>
      <c r="P459" s="79"/>
      <c r="S459" s="79"/>
      <c r="T459" s="79"/>
      <c r="W459" s="130"/>
      <c r="Y459" s="106"/>
    </row>
    <row r="460">
      <c r="C460" s="79"/>
      <c r="D460" s="79"/>
      <c r="J460" s="79"/>
      <c r="O460" s="79"/>
      <c r="P460" s="79"/>
      <c r="S460" s="79"/>
      <c r="T460" s="79"/>
      <c r="W460" s="130"/>
      <c r="Y460" s="106"/>
    </row>
    <row r="461">
      <c r="C461" s="79"/>
      <c r="D461" s="79"/>
      <c r="J461" s="79"/>
      <c r="O461" s="79"/>
      <c r="P461" s="79"/>
      <c r="S461" s="79"/>
      <c r="T461" s="79"/>
      <c r="W461" s="130"/>
      <c r="Y461" s="106"/>
    </row>
    <row r="462">
      <c r="C462" s="79"/>
      <c r="D462" s="79"/>
      <c r="J462" s="79"/>
      <c r="O462" s="79"/>
      <c r="P462" s="79"/>
      <c r="S462" s="79"/>
      <c r="T462" s="79"/>
      <c r="W462" s="130"/>
      <c r="Y462" s="106"/>
    </row>
    <row r="463">
      <c r="C463" s="79"/>
      <c r="D463" s="79"/>
      <c r="J463" s="79"/>
      <c r="O463" s="79"/>
      <c r="P463" s="79"/>
      <c r="S463" s="79"/>
      <c r="T463" s="79"/>
      <c r="W463" s="130"/>
      <c r="Y463" s="106"/>
    </row>
    <row r="464">
      <c r="C464" s="79"/>
      <c r="D464" s="79"/>
      <c r="J464" s="79"/>
      <c r="O464" s="79"/>
      <c r="P464" s="79"/>
      <c r="S464" s="79"/>
      <c r="T464" s="79"/>
      <c r="W464" s="130"/>
      <c r="Y464" s="106"/>
    </row>
    <row r="465">
      <c r="C465" s="79"/>
      <c r="D465" s="79"/>
      <c r="J465" s="79"/>
      <c r="O465" s="79"/>
      <c r="P465" s="79"/>
      <c r="S465" s="79"/>
      <c r="T465" s="79"/>
      <c r="W465" s="130"/>
      <c r="Y465" s="106"/>
    </row>
    <row r="466">
      <c r="C466" s="79"/>
      <c r="D466" s="79"/>
      <c r="J466" s="79"/>
      <c r="O466" s="79"/>
      <c r="P466" s="79"/>
      <c r="S466" s="79"/>
      <c r="T466" s="79"/>
      <c r="W466" s="130"/>
      <c r="Y466" s="106"/>
    </row>
    <row r="467">
      <c r="C467" s="79"/>
      <c r="D467" s="79"/>
      <c r="J467" s="79"/>
      <c r="O467" s="79"/>
      <c r="P467" s="79"/>
      <c r="S467" s="79"/>
      <c r="T467" s="79"/>
      <c r="W467" s="130"/>
      <c r="Y467" s="106"/>
    </row>
    <row r="468">
      <c r="C468" s="79"/>
      <c r="D468" s="79"/>
      <c r="J468" s="79"/>
      <c r="O468" s="79"/>
      <c r="P468" s="79"/>
      <c r="S468" s="79"/>
      <c r="T468" s="79"/>
      <c r="W468" s="130"/>
      <c r="Y468" s="106"/>
    </row>
    <row r="469">
      <c r="C469" s="79"/>
      <c r="D469" s="79"/>
      <c r="J469" s="79"/>
      <c r="O469" s="79"/>
      <c r="P469" s="79"/>
      <c r="S469" s="79"/>
      <c r="T469" s="79"/>
      <c r="W469" s="130"/>
      <c r="Y469" s="106"/>
    </row>
    <row r="470">
      <c r="C470" s="79"/>
      <c r="D470" s="79"/>
      <c r="J470" s="79"/>
      <c r="O470" s="79"/>
      <c r="P470" s="79"/>
      <c r="S470" s="79"/>
      <c r="T470" s="79"/>
      <c r="W470" s="130"/>
      <c r="Y470" s="106"/>
    </row>
    <row r="471">
      <c r="C471" s="79"/>
      <c r="D471" s="79"/>
      <c r="J471" s="79"/>
      <c r="O471" s="79"/>
      <c r="P471" s="79"/>
      <c r="S471" s="79"/>
      <c r="T471" s="79"/>
      <c r="W471" s="130"/>
      <c r="Y471" s="106"/>
    </row>
    <row r="472">
      <c r="C472" s="79"/>
      <c r="D472" s="79"/>
      <c r="J472" s="79"/>
      <c r="O472" s="79"/>
      <c r="P472" s="79"/>
      <c r="S472" s="79"/>
      <c r="T472" s="79"/>
      <c r="W472" s="130"/>
      <c r="Y472" s="106"/>
    </row>
    <row r="473">
      <c r="C473" s="79"/>
      <c r="D473" s="79"/>
      <c r="J473" s="79"/>
      <c r="O473" s="79"/>
      <c r="P473" s="79"/>
      <c r="S473" s="79"/>
      <c r="T473" s="79"/>
      <c r="W473" s="130"/>
      <c r="Y473" s="106"/>
    </row>
    <row r="474">
      <c r="C474" s="79"/>
      <c r="D474" s="79"/>
      <c r="J474" s="79"/>
      <c r="O474" s="79"/>
      <c r="P474" s="79"/>
      <c r="S474" s="79"/>
      <c r="T474" s="79"/>
      <c r="W474" s="130"/>
      <c r="Y474" s="106"/>
    </row>
    <row r="475">
      <c r="C475" s="79"/>
      <c r="D475" s="79"/>
      <c r="J475" s="79"/>
      <c r="O475" s="79"/>
      <c r="P475" s="79"/>
      <c r="S475" s="79"/>
      <c r="T475" s="79"/>
      <c r="W475" s="130"/>
      <c r="Y475" s="106"/>
    </row>
    <row r="476">
      <c r="C476" s="79"/>
      <c r="D476" s="79"/>
      <c r="J476" s="79"/>
      <c r="O476" s="79"/>
      <c r="P476" s="79"/>
      <c r="S476" s="79"/>
      <c r="T476" s="79"/>
      <c r="W476" s="130"/>
      <c r="Y476" s="106"/>
    </row>
    <row r="477">
      <c r="C477" s="79"/>
      <c r="D477" s="79"/>
      <c r="J477" s="79"/>
      <c r="O477" s="79"/>
      <c r="P477" s="79"/>
      <c r="S477" s="79"/>
      <c r="T477" s="79"/>
      <c r="W477" s="130"/>
      <c r="Y477" s="106"/>
    </row>
    <row r="478">
      <c r="C478" s="79"/>
      <c r="D478" s="79"/>
      <c r="J478" s="79"/>
      <c r="O478" s="79"/>
      <c r="P478" s="79"/>
      <c r="S478" s="79"/>
      <c r="T478" s="79"/>
      <c r="W478" s="130"/>
      <c r="Y478" s="106"/>
    </row>
    <row r="479">
      <c r="C479" s="79"/>
      <c r="D479" s="79"/>
      <c r="J479" s="79"/>
      <c r="O479" s="79"/>
      <c r="P479" s="79"/>
      <c r="S479" s="79"/>
      <c r="T479" s="79"/>
      <c r="W479" s="130"/>
      <c r="Y479" s="106"/>
    </row>
    <row r="480">
      <c r="C480" s="79"/>
      <c r="D480" s="79"/>
      <c r="J480" s="79"/>
      <c r="O480" s="79"/>
      <c r="P480" s="79"/>
      <c r="S480" s="79"/>
      <c r="T480" s="79"/>
      <c r="W480" s="130"/>
      <c r="Y480" s="106"/>
    </row>
    <row r="481">
      <c r="C481" s="79"/>
      <c r="D481" s="79"/>
      <c r="J481" s="79"/>
      <c r="O481" s="79"/>
      <c r="P481" s="79"/>
      <c r="S481" s="79"/>
      <c r="T481" s="79"/>
      <c r="W481" s="130"/>
      <c r="Y481" s="106"/>
    </row>
    <row r="482">
      <c r="C482" s="79"/>
      <c r="D482" s="79"/>
      <c r="J482" s="79"/>
      <c r="O482" s="79"/>
      <c r="P482" s="79"/>
      <c r="S482" s="79"/>
      <c r="T482" s="79"/>
      <c r="W482" s="130"/>
      <c r="Y482" s="106"/>
    </row>
    <row r="483">
      <c r="C483" s="79"/>
      <c r="D483" s="79"/>
      <c r="J483" s="79"/>
      <c r="O483" s="79"/>
      <c r="P483" s="79"/>
      <c r="S483" s="79"/>
      <c r="T483" s="79"/>
      <c r="W483" s="130"/>
      <c r="Y483" s="106"/>
    </row>
    <row r="484">
      <c r="C484" s="79"/>
      <c r="D484" s="79"/>
      <c r="J484" s="79"/>
      <c r="O484" s="79"/>
      <c r="P484" s="79"/>
      <c r="S484" s="79"/>
      <c r="T484" s="79"/>
      <c r="W484" s="130"/>
      <c r="Y484" s="106"/>
    </row>
    <row r="485">
      <c r="C485" s="79"/>
      <c r="D485" s="79"/>
      <c r="J485" s="79"/>
      <c r="O485" s="79"/>
      <c r="P485" s="79"/>
      <c r="S485" s="79"/>
      <c r="T485" s="79"/>
      <c r="W485" s="130"/>
      <c r="Y485" s="106"/>
    </row>
    <row r="486">
      <c r="C486" s="79"/>
      <c r="D486" s="79"/>
      <c r="J486" s="79"/>
      <c r="O486" s="79"/>
      <c r="P486" s="79"/>
      <c r="S486" s="79"/>
      <c r="T486" s="79"/>
      <c r="W486" s="130"/>
      <c r="Y486" s="106"/>
    </row>
    <row r="487">
      <c r="C487" s="79"/>
      <c r="D487" s="79"/>
      <c r="J487" s="79"/>
      <c r="O487" s="79"/>
      <c r="P487" s="79"/>
      <c r="S487" s="79"/>
      <c r="T487" s="79"/>
      <c r="W487" s="130"/>
      <c r="Y487" s="106"/>
    </row>
    <row r="488">
      <c r="C488" s="79"/>
      <c r="D488" s="79"/>
      <c r="J488" s="79"/>
      <c r="O488" s="79"/>
      <c r="P488" s="79"/>
      <c r="S488" s="79"/>
      <c r="T488" s="79"/>
      <c r="W488" s="130"/>
      <c r="Y488" s="106"/>
    </row>
    <row r="489">
      <c r="C489" s="79"/>
      <c r="D489" s="79"/>
      <c r="J489" s="79"/>
      <c r="O489" s="79"/>
      <c r="P489" s="79"/>
      <c r="S489" s="79"/>
      <c r="T489" s="79"/>
      <c r="W489" s="130"/>
      <c r="Y489" s="106"/>
    </row>
    <row r="490">
      <c r="C490" s="79"/>
      <c r="D490" s="79"/>
      <c r="J490" s="79"/>
      <c r="O490" s="79"/>
      <c r="P490" s="79"/>
      <c r="S490" s="79"/>
      <c r="T490" s="79"/>
      <c r="W490" s="130"/>
      <c r="Y490" s="106"/>
    </row>
    <row r="491">
      <c r="C491" s="79"/>
      <c r="D491" s="79"/>
      <c r="J491" s="79"/>
      <c r="O491" s="79"/>
      <c r="P491" s="79"/>
      <c r="S491" s="79"/>
      <c r="T491" s="79"/>
      <c r="W491" s="130"/>
      <c r="Y491" s="106"/>
    </row>
    <row r="492">
      <c r="C492" s="79"/>
      <c r="D492" s="79"/>
      <c r="J492" s="79"/>
      <c r="O492" s="79"/>
      <c r="P492" s="79"/>
      <c r="S492" s="79"/>
      <c r="T492" s="79"/>
      <c r="W492" s="130"/>
      <c r="Y492" s="106"/>
    </row>
    <row r="493">
      <c r="C493" s="79"/>
      <c r="D493" s="79"/>
      <c r="J493" s="79"/>
      <c r="O493" s="79"/>
      <c r="P493" s="79"/>
      <c r="S493" s="79"/>
      <c r="T493" s="79"/>
      <c r="W493" s="130"/>
      <c r="Y493" s="106"/>
    </row>
    <row r="494">
      <c r="C494" s="79"/>
      <c r="D494" s="79"/>
      <c r="J494" s="79"/>
      <c r="O494" s="79"/>
      <c r="P494" s="79"/>
      <c r="S494" s="79"/>
      <c r="T494" s="79"/>
      <c r="W494" s="130"/>
      <c r="Y494" s="106"/>
    </row>
    <row r="495">
      <c r="C495" s="79"/>
      <c r="D495" s="79"/>
      <c r="J495" s="79"/>
      <c r="O495" s="79"/>
      <c r="P495" s="79"/>
      <c r="S495" s="79"/>
      <c r="T495" s="79"/>
      <c r="W495" s="130"/>
      <c r="Y495" s="106"/>
    </row>
    <row r="496">
      <c r="C496" s="79"/>
      <c r="D496" s="79"/>
      <c r="J496" s="79"/>
      <c r="O496" s="79"/>
      <c r="P496" s="79"/>
      <c r="S496" s="79"/>
      <c r="T496" s="79"/>
      <c r="W496" s="130"/>
      <c r="Y496" s="106"/>
    </row>
    <row r="497">
      <c r="C497" s="79"/>
      <c r="D497" s="79"/>
      <c r="J497" s="79"/>
      <c r="O497" s="79"/>
      <c r="P497" s="79"/>
      <c r="S497" s="79"/>
      <c r="T497" s="79"/>
      <c r="W497" s="130"/>
      <c r="Y497" s="106"/>
    </row>
    <row r="498">
      <c r="C498" s="79"/>
      <c r="D498" s="79"/>
      <c r="J498" s="79"/>
      <c r="O498" s="79"/>
      <c r="P498" s="79"/>
      <c r="S498" s="79"/>
      <c r="T498" s="79"/>
      <c r="W498" s="130"/>
      <c r="Y498" s="106"/>
    </row>
    <row r="499">
      <c r="C499" s="79"/>
      <c r="D499" s="79"/>
      <c r="J499" s="79"/>
      <c r="O499" s="79"/>
      <c r="P499" s="79"/>
      <c r="S499" s="79"/>
      <c r="T499" s="79"/>
      <c r="W499" s="130"/>
      <c r="Y499" s="106"/>
    </row>
    <row r="500">
      <c r="C500" s="79"/>
      <c r="D500" s="79"/>
      <c r="J500" s="79"/>
      <c r="O500" s="79"/>
      <c r="P500" s="79"/>
      <c r="S500" s="79"/>
      <c r="T500" s="79"/>
      <c r="W500" s="130"/>
      <c r="Y500" s="106"/>
    </row>
    <row r="501">
      <c r="C501" s="79"/>
      <c r="D501" s="79"/>
      <c r="J501" s="79"/>
      <c r="O501" s="79"/>
      <c r="P501" s="79"/>
      <c r="S501" s="79"/>
      <c r="T501" s="79"/>
      <c r="W501" s="130"/>
      <c r="Y501" s="106"/>
    </row>
    <row r="502">
      <c r="C502" s="79"/>
      <c r="D502" s="79"/>
      <c r="J502" s="79"/>
      <c r="O502" s="79"/>
      <c r="P502" s="79"/>
      <c r="S502" s="79"/>
      <c r="T502" s="79"/>
      <c r="W502" s="130"/>
      <c r="Y502" s="106"/>
    </row>
    <row r="503">
      <c r="C503" s="79"/>
      <c r="D503" s="79"/>
      <c r="J503" s="79"/>
      <c r="O503" s="79"/>
      <c r="P503" s="79"/>
      <c r="S503" s="79"/>
      <c r="T503" s="79"/>
      <c r="W503" s="130"/>
      <c r="Y503" s="106"/>
    </row>
    <row r="504">
      <c r="C504" s="79"/>
      <c r="D504" s="79"/>
      <c r="J504" s="79"/>
      <c r="O504" s="79"/>
      <c r="P504" s="79"/>
      <c r="S504" s="79"/>
      <c r="T504" s="79"/>
      <c r="W504" s="130"/>
      <c r="Y504" s="106"/>
    </row>
    <row r="505">
      <c r="C505" s="79"/>
      <c r="D505" s="79"/>
      <c r="J505" s="79"/>
      <c r="O505" s="79"/>
      <c r="P505" s="79"/>
      <c r="S505" s="79"/>
      <c r="T505" s="79"/>
      <c r="W505" s="130"/>
      <c r="Y505" s="106"/>
    </row>
    <row r="506">
      <c r="C506" s="79"/>
      <c r="D506" s="79"/>
      <c r="J506" s="79"/>
      <c r="O506" s="79"/>
      <c r="P506" s="79"/>
      <c r="S506" s="79"/>
      <c r="T506" s="79"/>
      <c r="W506" s="130"/>
      <c r="Y506" s="106"/>
    </row>
    <row r="507">
      <c r="C507" s="79"/>
      <c r="D507" s="79"/>
      <c r="J507" s="79"/>
      <c r="O507" s="79"/>
      <c r="P507" s="79"/>
      <c r="S507" s="79"/>
      <c r="T507" s="79"/>
      <c r="W507" s="130"/>
      <c r="Y507" s="106"/>
    </row>
    <row r="508">
      <c r="C508" s="79"/>
      <c r="D508" s="79"/>
      <c r="J508" s="79"/>
      <c r="O508" s="79"/>
      <c r="P508" s="79"/>
      <c r="S508" s="79"/>
      <c r="T508" s="79"/>
      <c r="W508" s="130"/>
      <c r="Y508" s="106"/>
    </row>
    <row r="509">
      <c r="C509" s="79"/>
      <c r="D509" s="79"/>
      <c r="J509" s="79"/>
      <c r="O509" s="79"/>
      <c r="P509" s="79"/>
      <c r="S509" s="79"/>
      <c r="T509" s="79"/>
      <c r="W509" s="130"/>
      <c r="Y509" s="106"/>
    </row>
    <row r="510">
      <c r="C510" s="79"/>
      <c r="D510" s="79"/>
      <c r="J510" s="79"/>
      <c r="O510" s="79"/>
      <c r="P510" s="79"/>
      <c r="S510" s="79"/>
      <c r="T510" s="79"/>
      <c r="W510" s="130"/>
      <c r="Y510" s="106"/>
    </row>
    <row r="511">
      <c r="C511" s="79"/>
      <c r="D511" s="79"/>
      <c r="J511" s="79"/>
      <c r="O511" s="79"/>
      <c r="P511" s="79"/>
      <c r="S511" s="79"/>
      <c r="T511" s="79"/>
      <c r="W511" s="130"/>
      <c r="Y511" s="106"/>
    </row>
    <row r="512">
      <c r="C512" s="79"/>
      <c r="D512" s="79"/>
      <c r="J512" s="79"/>
      <c r="O512" s="79"/>
      <c r="P512" s="79"/>
      <c r="S512" s="79"/>
      <c r="T512" s="79"/>
      <c r="W512" s="130"/>
      <c r="Y512" s="106"/>
    </row>
    <row r="513">
      <c r="C513" s="79"/>
      <c r="D513" s="79"/>
      <c r="J513" s="79"/>
      <c r="O513" s="79"/>
      <c r="P513" s="79"/>
      <c r="S513" s="79"/>
      <c r="T513" s="79"/>
      <c r="W513" s="130"/>
      <c r="Y513" s="106"/>
    </row>
    <row r="514">
      <c r="C514" s="79"/>
      <c r="D514" s="79"/>
      <c r="J514" s="79"/>
      <c r="O514" s="79"/>
      <c r="P514" s="79"/>
      <c r="S514" s="79"/>
      <c r="T514" s="79"/>
      <c r="W514" s="130"/>
      <c r="Y514" s="106"/>
    </row>
    <row r="515">
      <c r="C515" s="79"/>
      <c r="D515" s="79"/>
      <c r="J515" s="79"/>
      <c r="O515" s="79"/>
      <c r="P515" s="79"/>
      <c r="S515" s="79"/>
      <c r="T515" s="79"/>
      <c r="W515" s="130"/>
      <c r="Y515" s="106"/>
    </row>
    <row r="516">
      <c r="C516" s="79"/>
      <c r="D516" s="79"/>
      <c r="J516" s="79"/>
      <c r="O516" s="79"/>
      <c r="P516" s="79"/>
      <c r="S516" s="79"/>
      <c r="T516" s="79"/>
      <c r="W516" s="130"/>
      <c r="Y516" s="106"/>
    </row>
    <row r="517">
      <c r="C517" s="79"/>
      <c r="D517" s="79"/>
      <c r="J517" s="79"/>
      <c r="O517" s="79"/>
      <c r="P517" s="79"/>
      <c r="S517" s="79"/>
      <c r="T517" s="79"/>
      <c r="W517" s="130"/>
      <c r="Y517" s="106"/>
    </row>
    <row r="518">
      <c r="C518" s="79"/>
      <c r="D518" s="79"/>
      <c r="J518" s="79"/>
      <c r="O518" s="79"/>
      <c r="P518" s="79"/>
      <c r="S518" s="79"/>
      <c r="T518" s="79"/>
      <c r="W518" s="130"/>
      <c r="Y518" s="106"/>
    </row>
    <row r="519">
      <c r="C519" s="79"/>
      <c r="D519" s="79"/>
      <c r="J519" s="79"/>
      <c r="O519" s="79"/>
      <c r="P519" s="79"/>
      <c r="S519" s="79"/>
      <c r="T519" s="79"/>
      <c r="W519" s="130"/>
      <c r="Y519" s="106"/>
    </row>
    <row r="520">
      <c r="C520" s="79"/>
      <c r="D520" s="79"/>
      <c r="J520" s="79"/>
      <c r="O520" s="79"/>
      <c r="P520" s="79"/>
      <c r="S520" s="79"/>
      <c r="T520" s="79"/>
      <c r="W520" s="130"/>
      <c r="Y520" s="106"/>
    </row>
    <row r="521">
      <c r="C521" s="79"/>
      <c r="D521" s="79"/>
      <c r="J521" s="79"/>
      <c r="O521" s="79"/>
      <c r="P521" s="79"/>
      <c r="S521" s="79"/>
      <c r="T521" s="79"/>
      <c r="W521" s="130"/>
      <c r="Y521" s="106"/>
    </row>
    <row r="522">
      <c r="C522" s="79"/>
      <c r="D522" s="79"/>
      <c r="J522" s="79"/>
      <c r="O522" s="79"/>
      <c r="P522" s="79"/>
      <c r="S522" s="79"/>
      <c r="T522" s="79"/>
      <c r="W522" s="130"/>
      <c r="Y522" s="106"/>
    </row>
    <row r="523">
      <c r="C523" s="79"/>
      <c r="D523" s="79"/>
      <c r="J523" s="79"/>
      <c r="O523" s="79"/>
      <c r="P523" s="79"/>
      <c r="S523" s="79"/>
      <c r="T523" s="79"/>
      <c r="W523" s="130"/>
      <c r="Y523" s="106"/>
    </row>
    <row r="524">
      <c r="C524" s="79"/>
      <c r="D524" s="79"/>
      <c r="J524" s="79"/>
      <c r="O524" s="79"/>
      <c r="P524" s="79"/>
      <c r="S524" s="79"/>
      <c r="T524" s="79"/>
      <c r="W524" s="130"/>
      <c r="Y524" s="106"/>
    </row>
    <row r="525">
      <c r="C525" s="79"/>
      <c r="D525" s="79"/>
      <c r="J525" s="79"/>
      <c r="O525" s="79"/>
      <c r="P525" s="79"/>
      <c r="S525" s="79"/>
      <c r="T525" s="79"/>
      <c r="W525" s="130"/>
      <c r="Y525" s="106"/>
    </row>
    <row r="526">
      <c r="C526" s="79"/>
      <c r="D526" s="79"/>
      <c r="J526" s="79"/>
      <c r="O526" s="79"/>
      <c r="P526" s="79"/>
      <c r="S526" s="79"/>
      <c r="T526" s="79"/>
      <c r="W526" s="130"/>
      <c r="Y526" s="106"/>
    </row>
    <row r="527">
      <c r="C527" s="79"/>
      <c r="D527" s="79"/>
      <c r="J527" s="79"/>
      <c r="O527" s="79"/>
      <c r="P527" s="79"/>
      <c r="S527" s="79"/>
      <c r="T527" s="79"/>
      <c r="W527" s="130"/>
      <c r="Y527" s="106"/>
    </row>
    <row r="528">
      <c r="C528" s="79"/>
      <c r="D528" s="79"/>
      <c r="J528" s="79"/>
      <c r="O528" s="79"/>
      <c r="P528" s="79"/>
      <c r="S528" s="79"/>
      <c r="T528" s="79"/>
      <c r="W528" s="130"/>
      <c r="Y528" s="106"/>
    </row>
    <row r="529">
      <c r="C529" s="79"/>
      <c r="D529" s="79"/>
      <c r="J529" s="79"/>
      <c r="O529" s="79"/>
      <c r="P529" s="79"/>
      <c r="S529" s="79"/>
      <c r="T529" s="79"/>
      <c r="W529" s="130"/>
      <c r="Y529" s="106"/>
    </row>
    <row r="530">
      <c r="C530" s="79"/>
      <c r="D530" s="79"/>
      <c r="J530" s="79"/>
      <c r="O530" s="79"/>
      <c r="P530" s="79"/>
      <c r="S530" s="79"/>
      <c r="T530" s="79"/>
      <c r="W530" s="130"/>
      <c r="Y530" s="106"/>
    </row>
    <row r="531">
      <c r="C531" s="79"/>
      <c r="D531" s="79"/>
      <c r="J531" s="79"/>
      <c r="O531" s="79"/>
      <c r="P531" s="79"/>
      <c r="S531" s="79"/>
      <c r="T531" s="79"/>
      <c r="W531" s="130"/>
      <c r="Y531" s="106"/>
    </row>
    <row r="532">
      <c r="C532" s="79"/>
      <c r="D532" s="79"/>
      <c r="J532" s="79"/>
      <c r="O532" s="79"/>
      <c r="P532" s="79"/>
      <c r="S532" s="79"/>
      <c r="T532" s="79"/>
      <c r="W532" s="130"/>
      <c r="Y532" s="106"/>
    </row>
    <row r="533">
      <c r="C533" s="79"/>
      <c r="D533" s="79"/>
      <c r="J533" s="79"/>
      <c r="O533" s="79"/>
      <c r="P533" s="79"/>
      <c r="S533" s="79"/>
      <c r="T533" s="79"/>
      <c r="W533" s="130"/>
      <c r="Y533" s="106"/>
    </row>
    <row r="534">
      <c r="C534" s="79"/>
      <c r="D534" s="79"/>
      <c r="J534" s="79"/>
      <c r="O534" s="79"/>
      <c r="P534" s="79"/>
      <c r="S534" s="79"/>
      <c r="T534" s="79"/>
      <c r="W534" s="130"/>
      <c r="Y534" s="106"/>
    </row>
    <row r="535">
      <c r="C535" s="79"/>
      <c r="D535" s="79"/>
      <c r="J535" s="79"/>
      <c r="O535" s="79"/>
      <c r="P535" s="79"/>
      <c r="S535" s="79"/>
      <c r="T535" s="79"/>
      <c r="W535" s="130"/>
      <c r="Y535" s="106"/>
    </row>
    <row r="536">
      <c r="C536" s="79"/>
      <c r="D536" s="79"/>
      <c r="J536" s="79"/>
      <c r="O536" s="79"/>
      <c r="P536" s="79"/>
      <c r="S536" s="79"/>
      <c r="T536" s="79"/>
      <c r="W536" s="130"/>
      <c r="Y536" s="106"/>
    </row>
    <row r="537">
      <c r="C537" s="79"/>
      <c r="D537" s="79"/>
      <c r="J537" s="79"/>
      <c r="O537" s="79"/>
      <c r="P537" s="79"/>
      <c r="S537" s="79"/>
      <c r="T537" s="79"/>
      <c r="W537" s="130"/>
      <c r="Y537" s="106"/>
    </row>
    <row r="538">
      <c r="C538" s="79"/>
      <c r="D538" s="79"/>
      <c r="J538" s="79"/>
      <c r="O538" s="79"/>
      <c r="P538" s="79"/>
      <c r="S538" s="79"/>
      <c r="T538" s="79"/>
      <c r="W538" s="130"/>
      <c r="Y538" s="106"/>
    </row>
    <row r="539">
      <c r="C539" s="79"/>
      <c r="D539" s="79"/>
      <c r="J539" s="79"/>
      <c r="O539" s="79"/>
      <c r="P539" s="79"/>
      <c r="S539" s="79"/>
      <c r="T539" s="79"/>
      <c r="W539" s="130"/>
      <c r="Y539" s="106"/>
    </row>
    <row r="540">
      <c r="C540" s="79"/>
      <c r="D540" s="79"/>
      <c r="J540" s="79"/>
      <c r="O540" s="79"/>
      <c r="P540" s="79"/>
      <c r="S540" s="79"/>
      <c r="T540" s="79"/>
      <c r="W540" s="130"/>
      <c r="Y540" s="106"/>
    </row>
    <row r="541">
      <c r="C541" s="79"/>
      <c r="D541" s="79"/>
      <c r="J541" s="79"/>
      <c r="O541" s="79"/>
      <c r="P541" s="79"/>
      <c r="S541" s="79"/>
      <c r="T541" s="79"/>
      <c r="W541" s="130"/>
      <c r="Y541" s="106"/>
    </row>
    <row r="542">
      <c r="C542" s="79"/>
      <c r="D542" s="79"/>
      <c r="J542" s="79"/>
      <c r="O542" s="79"/>
      <c r="P542" s="79"/>
      <c r="S542" s="79"/>
      <c r="T542" s="79"/>
      <c r="W542" s="130"/>
      <c r="Y542" s="106"/>
    </row>
    <row r="543">
      <c r="C543" s="79"/>
      <c r="D543" s="79"/>
      <c r="J543" s="79"/>
      <c r="O543" s="79"/>
      <c r="P543" s="79"/>
      <c r="S543" s="79"/>
      <c r="T543" s="79"/>
      <c r="W543" s="130"/>
      <c r="Y543" s="106"/>
    </row>
    <row r="544">
      <c r="C544" s="79"/>
      <c r="D544" s="79"/>
      <c r="J544" s="79"/>
      <c r="O544" s="79"/>
      <c r="P544" s="79"/>
      <c r="S544" s="79"/>
      <c r="T544" s="79"/>
      <c r="W544" s="130"/>
      <c r="Y544" s="106"/>
    </row>
    <row r="545">
      <c r="C545" s="79"/>
      <c r="D545" s="79"/>
      <c r="J545" s="79"/>
      <c r="O545" s="79"/>
      <c r="P545" s="79"/>
      <c r="S545" s="79"/>
      <c r="T545" s="79"/>
      <c r="W545" s="130"/>
      <c r="Y545" s="106"/>
    </row>
    <row r="546">
      <c r="C546" s="79"/>
      <c r="D546" s="79"/>
      <c r="J546" s="79"/>
      <c r="O546" s="79"/>
      <c r="P546" s="79"/>
      <c r="S546" s="79"/>
      <c r="T546" s="79"/>
      <c r="W546" s="130"/>
      <c r="Y546" s="106"/>
    </row>
    <row r="547">
      <c r="C547" s="79"/>
      <c r="D547" s="79"/>
      <c r="J547" s="79"/>
      <c r="O547" s="79"/>
      <c r="P547" s="79"/>
      <c r="S547" s="79"/>
      <c r="T547" s="79"/>
      <c r="W547" s="130"/>
      <c r="Y547" s="106"/>
    </row>
    <row r="548">
      <c r="C548" s="79"/>
      <c r="D548" s="79"/>
      <c r="J548" s="79"/>
      <c r="O548" s="79"/>
      <c r="P548" s="79"/>
      <c r="S548" s="79"/>
      <c r="T548" s="79"/>
      <c r="W548" s="130"/>
      <c r="Y548" s="106"/>
    </row>
    <row r="549">
      <c r="C549" s="79"/>
      <c r="D549" s="79"/>
      <c r="J549" s="79"/>
      <c r="O549" s="79"/>
      <c r="P549" s="79"/>
      <c r="S549" s="79"/>
      <c r="T549" s="79"/>
      <c r="W549" s="130"/>
      <c r="Y549" s="106"/>
    </row>
    <row r="550">
      <c r="C550" s="79"/>
      <c r="D550" s="79"/>
      <c r="J550" s="79"/>
      <c r="O550" s="79"/>
      <c r="P550" s="79"/>
      <c r="S550" s="79"/>
      <c r="T550" s="79"/>
      <c r="W550" s="130"/>
      <c r="Y550" s="106"/>
    </row>
    <row r="551">
      <c r="C551" s="79"/>
      <c r="D551" s="79"/>
      <c r="J551" s="79"/>
      <c r="O551" s="79"/>
      <c r="P551" s="79"/>
      <c r="S551" s="79"/>
      <c r="T551" s="79"/>
      <c r="W551" s="130"/>
      <c r="Y551" s="106"/>
    </row>
    <row r="552">
      <c r="C552" s="79"/>
      <c r="D552" s="79"/>
      <c r="J552" s="79"/>
      <c r="O552" s="79"/>
      <c r="P552" s="79"/>
      <c r="S552" s="79"/>
      <c r="T552" s="79"/>
      <c r="W552" s="130"/>
      <c r="Y552" s="106"/>
    </row>
    <row r="553">
      <c r="C553" s="79"/>
      <c r="D553" s="79"/>
      <c r="J553" s="79"/>
      <c r="O553" s="79"/>
      <c r="P553" s="79"/>
      <c r="S553" s="79"/>
      <c r="T553" s="79"/>
      <c r="W553" s="130"/>
      <c r="Y553" s="106"/>
    </row>
    <row r="554">
      <c r="C554" s="79"/>
      <c r="D554" s="79"/>
      <c r="J554" s="79"/>
      <c r="O554" s="79"/>
      <c r="P554" s="79"/>
      <c r="S554" s="79"/>
      <c r="T554" s="79"/>
      <c r="W554" s="130"/>
      <c r="Y554" s="106"/>
    </row>
    <row r="555">
      <c r="C555" s="79"/>
      <c r="D555" s="79"/>
      <c r="J555" s="79"/>
      <c r="O555" s="79"/>
      <c r="P555" s="79"/>
      <c r="S555" s="79"/>
      <c r="T555" s="79"/>
      <c r="W555" s="130"/>
      <c r="Y555" s="106"/>
    </row>
    <row r="556">
      <c r="C556" s="79"/>
      <c r="D556" s="79"/>
      <c r="J556" s="79"/>
      <c r="O556" s="79"/>
      <c r="P556" s="79"/>
      <c r="S556" s="79"/>
      <c r="T556" s="79"/>
      <c r="W556" s="130"/>
      <c r="Y556" s="106"/>
    </row>
    <row r="557">
      <c r="C557" s="79"/>
      <c r="D557" s="79"/>
      <c r="J557" s="79"/>
      <c r="O557" s="79"/>
      <c r="P557" s="79"/>
      <c r="S557" s="79"/>
      <c r="T557" s="79"/>
      <c r="W557" s="130"/>
      <c r="Y557" s="106"/>
    </row>
    <row r="558">
      <c r="C558" s="79"/>
      <c r="D558" s="79"/>
      <c r="J558" s="79"/>
      <c r="O558" s="79"/>
      <c r="P558" s="79"/>
      <c r="S558" s="79"/>
      <c r="T558" s="79"/>
      <c r="W558" s="130"/>
      <c r="Y558" s="106"/>
    </row>
    <row r="559">
      <c r="C559" s="79"/>
      <c r="D559" s="79"/>
      <c r="J559" s="79"/>
      <c r="O559" s="79"/>
      <c r="P559" s="79"/>
      <c r="S559" s="79"/>
      <c r="T559" s="79"/>
      <c r="W559" s="130"/>
      <c r="Y559" s="106"/>
    </row>
    <row r="560">
      <c r="C560" s="79"/>
      <c r="D560" s="79"/>
      <c r="J560" s="79"/>
      <c r="O560" s="79"/>
      <c r="P560" s="79"/>
      <c r="S560" s="79"/>
      <c r="T560" s="79"/>
      <c r="W560" s="130"/>
      <c r="Y560" s="106"/>
    </row>
    <row r="561">
      <c r="C561" s="79"/>
      <c r="D561" s="79"/>
      <c r="J561" s="79"/>
      <c r="O561" s="79"/>
      <c r="P561" s="79"/>
      <c r="S561" s="79"/>
      <c r="T561" s="79"/>
      <c r="W561" s="130"/>
      <c r="Y561" s="106"/>
    </row>
    <row r="562">
      <c r="C562" s="79"/>
      <c r="D562" s="79"/>
      <c r="J562" s="79"/>
      <c r="O562" s="79"/>
      <c r="P562" s="79"/>
      <c r="S562" s="79"/>
      <c r="T562" s="79"/>
      <c r="W562" s="130"/>
      <c r="Y562" s="106"/>
    </row>
    <row r="563">
      <c r="C563" s="79"/>
      <c r="D563" s="79"/>
      <c r="J563" s="79"/>
      <c r="O563" s="79"/>
      <c r="P563" s="79"/>
      <c r="S563" s="79"/>
      <c r="T563" s="79"/>
      <c r="W563" s="130"/>
      <c r="Y563" s="106"/>
    </row>
    <row r="564">
      <c r="C564" s="79"/>
      <c r="D564" s="79"/>
      <c r="J564" s="79"/>
      <c r="O564" s="79"/>
      <c r="P564" s="79"/>
      <c r="S564" s="79"/>
      <c r="T564" s="79"/>
      <c r="W564" s="130"/>
      <c r="Y564" s="106"/>
    </row>
    <row r="565">
      <c r="C565" s="79"/>
      <c r="D565" s="79"/>
      <c r="J565" s="79"/>
      <c r="O565" s="79"/>
      <c r="P565" s="79"/>
      <c r="S565" s="79"/>
      <c r="T565" s="79"/>
      <c r="W565" s="130"/>
      <c r="Y565" s="106"/>
    </row>
    <row r="566">
      <c r="C566" s="79"/>
      <c r="D566" s="79"/>
      <c r="J566" s="79"/>
      <c r="O566" s="79"/>
      <c r="P566" s="79"/>
      <c r="S566" s="79"/>
      <c r="T566" s="79"/>
      <c r="W566" s="130"/>
      <c r="Y566" s="106"/>
    </row>
    <row r="567">
      <c r="C567" s="79"/>
      <c r="D567" s="79"/>
      <c r="J567" s="79"/>
      <c r="O567" s="79"/>
      <c r="P567" s="79"/>
      <c r="S567" s="79"/>
      <c r="T567" s="79"/>
      <c r="W567" s="130"/>
      <c r="Y567" s="106"/>
    </row>
    <row r="568">
      <c r="C568" s="79"/>
      <c r="D568" s="79"/>
      <c r="J568" s="79"/>
      <c r="O568" s="79"/>
      <c r="P568" s="79"/>
      <c r="S568" s="79"/>
      <c r="T568" s="79"/>
      <c r="W568" s="130"/>
      <c r="Y568" s="106"/>
    </row>
    <row r="569">
      <c r="C569" s="79"/>
      <c r="D569" s="79"/>
      <c r="J569" s="79"/>
      <c r="O569" s="79"/>
      <c r="P569" s="79"/>
      <c r="S569" s="79"/>
      <c r="T569" s="79"/>
      <c r="W569" s="130"/>
      <c r="Y569" s="106"/>
    </row>
    <row r="570">
      <c r="C570" s="79"/>
      <c r="D570" s="79"/>
      <c r="J570" s="79"/>
      <c r="O570" s="79"/>
      <c r="P570" s="79"/>
      <c r="S570" s="79"/>
      <c r="T570" s="79"/>
      <c r="W570" s="130"/>
      <c r="Y570" s="106"/>
    </row>
    <row r="571">
      <c r="C571" s="79"/>
      <c r="D571" s="79"/>
      <c r="J571" s="79"/>
      <c r="O571" s="79"/>
      <c r="P571" s="79"/>
      <c r="S571" s="79"/>
      <c r="T571" s="79"/>
      <c r="W571" s="130"/>
      <c r="Y571" s="106"/>
    </row>
    <row r="572">
      <c r="C572" s="79"/>
      <c r="D572" s="79"/>
      <c r="J572" s="79"/>
      <c r="O572" s="79"/>
      <c r="P572" s="79"/>
      <c r="S572" s="79"/>
      <c r="T572" s="79"/>
      <c r="W572" s="130"/>
      <c r="Y572" s="106"/>
    </row>
    <row r="573">
      <c r="C573" s="79"/>
      <c r="D573" s="79"/>
      <c r="J573" s="79"/>
      <c r="O573" s="79"/>
      <c r="P573" s="79"/>
      <c r="S573" s="79"/>
      <c r="T573" s="79"/>
      <c r="W573" s="130"/>
      <c r="Y573" s="106"/>
    </row>
    <row r="574">
      <c r="C574" s="79"/>
      <c r="D574" s="79"/>
      <c r="J574" s="79"/>
      <c r="O574" s="79"/>
      <c r="P574" s="79"/>
      <c r="S574" s="79"/>
      <c r="T574" s="79"/>
      <c r="W574" s="130"/>
      <c r="Y574" s="106"/>
    </row>
    <row r="575">
      <c r="C575" s="79"/>
      <c r="D575" s="79"/>
      <c r="J575" s="79"/>
      <c r="O575" s="79"/>
      <c r="P575" s="79"/>
      <c r="S575" s="79"/>
      <c r="T575" s="79"/>
      <c r="W575" s="130"/>
      <c r="Y575" s="106"/>
    </row>
    <row r="576">
      <c r="C576" s="79"/>
      <c r="D576" s="79"/>
      <c r="J576" s="79"/>
      <c r="O576" s="79"/>
      <c r="P576" s="79"/>
      <c r="S576" s="79"/>
      <c r="T576" s="79"/>
      <c r="W576" s="130"/>
      <c r="Y576" s="106"/>
    </row>
    <row r="577">
      <c r="C577" s="79"/>
      <c r="D577" s="79"/>
      <c r="J577" s="79"/>
      <c r="O577" s="79"/>
      <c r="P577" s="79"/>
      <c r="S577" s="79"/>
      <c r="T577" s="79"/>
      <c r="W577" s="130"/>
      <c r="Y577" s="106"/>
    </row>
    <row r="578">
      <c r="C578" s="79"/>
      <c r="D578" s="79"/>
      <c r="J578" s="79"/>
      <c r="O578" s="79"/>
      <c r="P578" s="79"/>
      <c r="S578" s="79"/>
      <c r="T578" s="79"/>
      <c r="W578" s="130"/>
      <c r="Y578" s="106"/>
    </row>
    <row r="579">
      <c r="C579" s="79"/>
      <c r="D579" s="79"/>
      <c r="J579" s="79"/>
      <c r="O579" s="79"/>
      <c r="P579" s="79"/>
      <c r="S579" s="79"/>
      <c r="T579" s="79"/>
      <c r="W579" s="130"/>
      <c r="Y579" s="106"/>
    </row>
    <row r="580">
      <c r="C580" s="79"/>
      <c r="D580" s="79"/>
      <c r="J580" s="79"/>
      <c r="O580" s="79"/>
      <c r="P580" s="79"/>
      <c r="S580" s="79"/>
      <c r="T580" s="79"/>
      <c r="W580" s="130"/>
      <c r="Y580" s="106"/>
    </row>
    <row r="581">
      <c r="C581" s="79"/>
      <c r="D581" s="79"/>
      <c r="J581" s="79"/>
      <c r="O581" s="79"/>
      <c r="P581" s="79"/>
      <c r="S581" s="79"/>
      <c r="T581" s="79"/>
      <c r="W581" s="130"/>
      <c r="Y581" s="106"/>
    </row>
    <row r="582">
      <c r="C582" s="79"/>
      <c r="D582" s="79"/>
      <c r="J582" s="79"/>
      <c r="O582" s="79"/>
      <c r="P582" s="79"/>
      <c r="S582" s="79"/>
      <c r="T582" s="79"/>
      <c r="W582" s="130"/>
      <c r="Y582" s="106"/>
    </row>
    <row r="583">
      <c r="C583" s="79"/>
      <c r="D583" s="79"/>
      <c r="J583" s="79"/>
      <c r="O583" s="79"/>
      <c r="P583" s="79"/>
      <c r="S583" s="79"/>
      <c r="T583" s="79"/>
      <c r="W583" s="130"/>
      <c r="Y583" s="106"/>
    </row>
    <row r="584">
      <c r="C584" s="79"/>
      <c r="D584" s="79"/>
      <c r="J584" s="79"/>
      <c r="O584" s="79"/>
      <c r="P584" s="79"/>
      <c r="S584" s="79"/>
      <c r="T584" s="79"/>
      <c r="W584" s="130"/>
      <c r="Y584" s="106"/>
    </row>
    <row r="585">
      <c r="C585" s="79"/>
      <c r="D585" s="79"/>
      <c r="J585" s="79"/>
      <c r="O585" s="79"/>
      <c r="P585" s="79"/>
      <c r="S585" s="79"/>
      <c r="T585" s="79"/>
      <c r="W585" s="130"/>
      <c r="Y585" s="106"/>
    </row>
    <row r="586">
      <c r="C586" s="79"/>
      <c r="D586" s="79"/>
      <c r="J586" s="79"/>
      <c r="O586" s="79"/>
      <c r="P586" s="79"/>
      <c r="S586" s="79"/>
      <c r="T586" s="79"/>
      <c r="W586" s="130"/>
      <c r="Y586" s="106"/>
    </row>
    <row r="587">
      <c r="C587" s="79"/>
      <c r="D587" s="79"/>
      <c r="J587" s="79"/>
      <c r="O587" s="79"/>
      <c r="P587" s="79"/>
      <c r="S587" s="79"/>
      <c r="T587" s="79"/>
      <c r="W587" s="130"/>
      <c r="Y587" s="106"/>
    </row>
    <row r="588">
      <c r="C588" s="79"/>
      <c r="D588" s="79"/>
      <c r="J588" s="79"/>
      <c r="O588" s="79"/>
      <c r="P588" s="79"/>
      <c r="S588" s="79"/>
      <c r="T588" s="79"/>
      <c r="W588" s="130"/>
      <c r="Y588" s="106"/>
    </row>
    <row r="589">
      <c r="C589" s="79"/>
      <c r="D589" s="79"/>
      <c r="J589" s="79"/>
      <c r="O589" s="79"/>
      <c r="P589" s="79"/>
      <c r="S589" s="79"/>
      <c r="T589" s="79"/>
      <c r="W589" s="130"/>
      <c r="Y589" s="106"/>
    </row>
    <row r="590">
      <c r="C590" s="79"/>
      <c r="D590" s="79"/>
      <c r="J590" s="79"/>
      <c r="O590" s="79"/>
      <c r="P590" s="79"/>
      <c r="S590" s="79"/>
      <c r="T590" s="79"/>
      <c r="W590" s="130"/>
      <c r="Y590" s="106"/>
    </row>
    <row r="591">
      <c r="C591" s="79"/>
      <c r="D591" s="79"/>
      <c r="J591" s="79"/>
      <c r="O591" s="79"/>
      <c r="P591" s="79"/>
      <c r="S591" s="79"/>
      <c r="T591" s="79"/>
      <c r="W591" s="130"/>
      <c r="Y591" s="106"/>
    </row>
    <row r="592">
      <c r="C592" s="79"/>
      <c r="D592" s="79"/>
      <c r="J592" s="79"/>
      <c r="O592" s="79"/>
      <c r="P592" s="79"/>
      <c r="S592" s="79"/>
      <c r="T592" s="79"/>
      <c r="W592" s="130"/>
      <c r="Y592" s="106"/>
    </row>
    <row r="593">
      <c r="C593" s="79"/>
      <c r="D593" s="79"/>
      <c r="J593" s="79"/>
      <c r="O593" s="79"/>
      <c r="P593" s="79"/>
      <c r="S593" s="79"/>
      <c r="T593" s="79"/>
      <c r="W593" s="130"/>
      <c r="Y593" s="106"/>
    </row>
    <row r="594">
      <c r="C594" s="79"/>
      <c r="D594" s="79"/>
      <c r="J594" s="79"/>
      <c r="O594" s="79"/>
      <c r="P594" s="79"/>
      <c r="S594" s="79"/>
      <c r="T594" s="79"/>
      <c r="W594" s="130"/>
      <c r="Y594" s="106"/>
    </row>
    <row r="595">
      <c r="C595" s="79"/>
      <c r="D595" s="79"/>
      <c r="J595" s="79"/>
      <c r="O595" s="79"/>
      <c r="P595" s="79"/>
      <c r="S595" s="79"/>
      <c r="T595" s="79"/>
      <c r="W595" s="130"/>
      <c r="Y595" s="106"/>
    </row>
    <row r="596">
      <c r="C596" s="79"/>
      <c r="D596" s="79"/>
      <c r="J596" s="79"/>
      <c r="O596" s="79"/>
      <c r="P596" s="79"/>
      <c r="S596" s="79"/>
      <c r="T596" s="79"/>
      <c r="W596" s="130"/>
      <c r="Y596" s="106"/>
    </row>
    <row r="597">
      <c r="C597" s="79"/>
      <c r="D597" s="79"/>
      <c r="J597" s="79"/>
      <c r="O597" s="79"/>
      <c r="P597" s="79"/>
      <c r="S597" s="79"/>
      <c r="T597" s="79"/>
      <c r="W597" s="130"/>
      <c r="Y597" s="106"/>
    </row>
    <row r="598">
      <c r="C598" s="79"/>
      <c r="D598" s="79"/>
      <c r="J598" s="79"/>
      <c r="O598" s="79"/>
      <c r="P598" s="79"/>
      <c r="S598" s="79"/>
      <c r="T598" s="79"/>
      <c r="W598" s="130"/>
      <c r="Y598" s="106"/>
    </row>
    <row r="599">
      <c r="C599" s="79"/>
      <c r="D599" s="79"/>
      <c r="J599" s="79"/>
      <c r="O599" s="79"/>
      <c r="P599" s="79"/>
      <c r="S599" s="79"/>
      <c r="T599" s="79"/>
      <c r="W599" s="130"/>
      <c r="Y599" s="106"/>
    </row>
    <row r="600">
      <c r="C600" s="79"/>
      <c r="D600" s="79"/>
      <c r="J600" s="79"/>
      <c r="O600" s="79"/>
      <c r="P600" s="79"/>
      <c r="S600" s="79"/>
      <c r="T600" s="79"/>
      <c r="W600" s="130"/>
      <c r="Y600" s="106"/>
    </row>
    <row r="601">
      <c r="C601" s="79"/>
      <c r="D601" s="79"/>
      <c r="J601" s="79"/>
      <c r="O601" s="79"/>
      <c r="P601" s="79"/>
      <c r="S601" s="79"/>
      <c r="T601" s="79"/>
      <c r="W601" s="130"/>
      <c r="Y601" s="106"/>
    </row>
    <row r="602">
      <c r="C602" s="79"/>
      <c r="D602" s="79"/>
      <c r="J602" s="79"/>
      <c r="O602" s="79"/>
      <c r="P602" s="79"/>
      <c r="S602" s="79"/>
      <c r="T602" s="79"/>
      <c r="W602" s="130"/>
      <c r="Y602" s="106"/>
    </row>
    <row r="603">
      <c r="C603" s="79"/>
      <c r="D603" s="79"/>
      <c r="J603" s="79"/>
      <c r="O603" s="79"/>
      <c r="P603" s="79"/>
      <c r="S603" s="79"/>
      <c r="T603" s="79"/>
      <c r="W603" s="130"/>
      <c r="Y603" s="106"/>
    </row>
    <row r="604">
      <c r="C604" s="79"/>
      <c r="D604" s="79"/>
      <c r="J604" s="79"/>
      <c r="O604" s="79"/>
      <c r="P604" s="79"/>
      <c r="S604" s="79"/>
      <c r="T604" s="79"/>
      <c r="W604" s="130"/>
      <c r="Y604" s="106"/>
    </row>
    <row r="605">
      <c r="C605" s="79"/>
      <c r="D605" s="79"/>
      <c r="J605" s="79"/>
      <c r="O605" s="79"/>
      <c r="P605" s="79"/>
      <c r="S605" s="79"/>
      <c r="T605" s="79"/>
      <c r="W605" s="130"/>
      <c r="Y605" s="106"/>
    </row>
    <row r="606">
      <c r="C606" s="79"/>
      <c r="D606" s="79"/>
      <c r="J606" s="79"/>
      <c r="O606" s="79"/>
      <c r="P606" s="79"/>
      <c r="S606" s="79"/>
      <c r="T606" s="79"/>
      <c r="W606" s="130"/>
      <c r="Y606" s="106"/>
    </row>
    <row r="607">
      <c r="C607" s="79"/>
      <c r="D607" s="79"/>
      <c r="J607" s="79"/>
      <c r="O607" s="79"/>
      <c r="P607" s="79"/>
      <c r="S607" s="79"/>
      <c r="T607" s="79"/>
      <c r="W607" s="130"/>
      <c r="Y607" s="106"/>
    </row>
    <row r="608">
      <c r="C608" s="79"/>
      <c r="D608" s="79"/>
      <c r="J608" s="79"/>
      <c r="O608" s="79"/>
      <c r="P608" s="79"/>
      <c r="S608" s="79"/>
      <c r="T608" s="79"/>
      <c r="W608" s="130"/>
      <c r="Y608" s="106"/>
    </row>
    <row r="609">
      <c r="C609" s="79"/>
      <c r="D609" s="79"/>
      <c r="J609" s="79"/>
      <c r="O609" s="79"/>
      <c r="P609" s="79"/>
      <c r="S609" s="79"/>
      <c r="T609" s="79"/>
      <c r="W609" s="130"/>
      <c r="Y609" s="106"/>
    </row>
    <row r="610">
      <c r="C610" s="79"/>
      <c r="D610" s="79"/>
      <c r="J610" s="79"/>
      <c r="O610" s="79"/>
      <c r="P610" s="79"/>
      <c r="S610" s="79"/>
      <c r="T610" s="79"/>
      <c r="W610" s="130"/>
      <c r="Y610" s="106"/>
    </row>
    <row r="611">
      <c r="C611" s="79"/>
      <c r="D611" s="79"/>
      <c r="J611" s="79"/>
      <c r="O611" s="79"/>
      <c r="P611" s="79"/>
      <c r="S611" s="79"/>
      <c r="T611" s="79"/>
      <c r="W611" s="130"/>
      <c r="Y611" s="106"/>
    </row>
    <row r="612">
      <c r="C612" s="79"/>
      <c r="D612" s="79"/>
      <c r="J612" s="79"/>
      <c r="O612" s="79"/>
      <c r="P612" s="79"/>
      <c r="S612" s="79"/>
      <c r="T612" s="79"/>
      <c r="W612" s="130"/>
      <c r="Y612" s="106"/>
    </row>
    <row r="613">
      <c r="C613" s="79"/>
      <c r="D613" s="79"/>
      <c r="J613" s="79"/>
      <c r="O613" s="79"/>
      <c r="P613" s="79"/>
      <c r="S613" s="79"/>
      <c r="T613" s="79"/>
      <c r="W613" s="130"/>
      <c r="Y613" s="106"/>
    </row>
    <row r="614">
      <c r="C614" s="79"/>
      <c r="D614" s="79"/>
      <c r="J614" s="79"/>
      <c r="O614" s="79"/>
      <c r="P614" s="79"/>
      <c r="S614" s="79"/>
      <c r="T614" s="79"/>
      <c r="W614" s="130"/>
      <c r="Y614" s="106"/>
    </row>
    <row r="615">
      <c r="C615" s="79"/>
      <c r="D615" s="79"/>
      <c r="J615" s="79"/>
      <c r="O615" s="79"/>
      <c r="P615" s="79"/>
      <c r="S615" s="79"/>
      <c r="T615" s="79"/>
      <c r="W615" s="130"/>
      <c r="Y615" s="106"/>
    </row>
    <row r="616">
      <c r="C616" s="79"/>
      <c r="D616" s="79"/>
      <c r="J616" s="79"/>
      <c r="O616" s="79"/>
      <c r="P616" s="79"/>
      <c r="S616" s="79"/>
      <c r="T616" s="79"/>
      <c r="W616" s="130"/>
      <c r="Y616" s="106"/>
    </row>
    <row r="617">
      <c r="C617" s="79"/>
      <c r="D617" s="79"/>
      <c r="J617" s="79"/>
      <c r="O617" s="79"/>
      <c r="P617" s="79"/>
      <c r="S617" s="79"/>
      <c r="T617" s="79"/>
      <c r="W617" s="130"/>
      <c r="Y617" s="106"/>
    </row>
    <row r="618">
      <c r="C618" s="79"/>
      <c r="D618" s="79"/>
      <c r="J618" s="79"/>
      <c r="O618" s="79"/>
      <c r="P618" s="79"/>
      <c r="S618" s="79"/>
      <c r="T618" s="79"/>
      <c r="W618" s="130"/>
      <c r="Y618" s="106"/>
    </row>
    <row r="619">
      <c r="C619" s="79"/>
      <c r="D619" s="79"/>
      <c r="J619" s="79"/>
      <c r="O619" s="79"/>
      <c r="P619" s="79"/>
      <c r="S619" s="79"/>
      <c r="T619" s="79"/>
      <c r="W619" s="130"/>
      <c r="Y619" s="106"/>
    </row>
    <row r="620">
      <c r="C620" s="79"/>
      <c r="D620" s="79"/>
      <c r="J620" s="79"/>
      <c r="O620" s="79"/>
      <c r="P620" s="79"/>
      <c r="S620" s="79"/>
      <c r="T620" s="79"/>
      <c r="W620" s="130"/>
      <c r="Y620" s="106"/>
    </row>
    <row r="621">
      <c r="C621" s="79"/>
      <c r="D621" s="79"/>
      <c r="J621" s="79"/>
      <c r="O621" s="79"/>
      <c r="P621" s="79"/>
      <c r="S621" s="79"/>
      <c r="T621" s="79"/>
      <c r="W621" s="130"/>
      <c r="Y621" s="106"/>
    </row>
    <row r="622">
      <c r="C622" s="79"/>
      <c r="D622" s="79"/>
      <c r="J622" s="79"/>
      <c r="O622" s="79"/>
      <c r="P622" s="79"/>
      <c r="S622" s="79"/>
      <c r="T622" s="79"/>
      <c r="W622" s="130"/>
      <c r="Y622" s="106"/>
    </row>
    <row r="623">
      <c r="C623" s="79"/>
      <c r="D623" s="79"/>
      <c r="J623" s="79"/>
      <c r="O623" s="79"/>
      <c r="P623" s="79"/>
      <c r="S623" s="79"/>
      <c r="T623" s="79"/>
      <c r="W623" s="130"/>
      <c r="Y623" s="106"/>
    </row>
    <row r="624">
      <c r="C624" s="79"/>
      <c r="D624" s="79"/>
      <c r="J624" s="79"/>
      <c r="O624" s="79"/>
      <c r="P624" s="79"/>
      <c r="S624" s="79"/>
      <c r="T624" s="79"/>
      <c r="W624" s="130"/>
      <c r="Y624" s="106"/>
    </row>
    <row r="625">
      <c r="C625" s="79"/>
      <c r="D625" s="79"/>
      <c r="J625" s="79"/>
      <c r="O625" s="79"/>
      <c r="P625" s="79"/>
      <c r="S625" s="79"/>
      <c r="T625" s="79"/>
      <c r="W625" s="130"/>
      <c r="Y625" s="106"/>
    </row>
    <row r="626">
      <c r="C626" s="79"/>
      <c r="D626" s="79"/>
      <c r="J626" s="79"/>
      <c r="O626" s="79"/>
      <c r="P626" s="79"/>
      <c r="S626" s="79"/>
      <c r="T626" s="79"/>
      <c r="W626" s="130"/>
      <c r="Y626" s="106"/>
    </row>
    <row r="627">
      <c r="C627" s="79"/>
      <c r="D627" s="79"/>
      <c r="J627" s="79"/>
      <c r="O627" s="79"/>
      <c r="P627" s="79"/>
      <c r="S627" s="79"/>
      <c r="T627" s="79"/>
      <c r="W627" s="130"/>
      <c r="Y627" s="106"/>
    </row>
    <row r="628">
      <c r="C628" s="79"/>
      <c r="D628" s="79"/>
      <c r="J628" s="79"/>
      <c r="O628" s="79"/>
      <c r="P628" s="79"/>
      <c r="S628" s="79"/>
      <c r="T628" s="79"/>
      <c r="W628" s="130"/>
      <c r="Y628" s="106"/>
    </row>
    <row r="629">
      <c r="C629" s="79"/>
      <c r="D629" s="79"/>
      <c r="J629" s="79"/>
      <c r="O629" s="79"/>
      <c r="P629" s="79"/>
      <c r="S629" s="79"/>
      <c r="T629" s="79"/>
      <c r="W629" s="130"/>
      <c r="Y629" s="106"/>
    </row>
    <row r="630">
      <c r="C630" s="79"/>
      <c r="D630" s="79"/>
      <c r="J630" s="79"/>
      <c r="O630" s="79"/>
      <c r="P630" s="79"/>
      <c r="S630" s="79"/>
      <c r="T630" s="79"/>
      <c r="W630" s="130"/>
      <c r="Y630" s="106"/>
    </row>
    <row r="631">
      <c r="C631" s="79"/>
      <c r="D631" s="79"/>
      <c r="J631" s="79"/>
      <c r="O631" s="79"/>
      <c r="P631" s="79"/>
      <c r="S631" s="79"/>
      <c r="T631" s="79"/>
      <c r="W631" s="130"/>
      <c r="Y631" s="106"/>
    </row>
    <row r="632">
      <c r="C632" s="79"/>
      <c r="D632" s="79"/>
      <c r="J632" s="79"/>
      <c r="O632" s="79"/>
      <c r="P632" s="79"/>
      <c r="S632" s="79"/>
      <c r="T632" s="79"/>
      <c r="W632" s="130"/>
      <c r="Y632" s="106"/>
    </row>
    <row r="633">
      <c r="C633" s="79"/>
      <c r="D633" s="79"/>
      <c r="J633" s="79"/>
      <c r="O633" s="79"/>
      <c r="P633" s="79"/>
      <c r="S633" s="79"/>
      <c r="T633" s="79"/>
      <c r="W633" s="130"/>
      <c r="Y633" s="106"/>
    </row>
    <row r="634">
      <c r="C634" s="79"/>
      <c r="D634" s="79"/>
      <c r="J634" s="79"/>
      <c r="O634" s="79"/>
      <c r="P634" s="79"/>
      <c r="S634" s="79"/>
      <c r="T634" s="79"/>
      <c r="W634" s="130"/>
      <c r="Y634" s="106"/>
    </row>
    <row r="635">
      <c r="C635" s="79"/>
      <c r="D635" s="79"/>
      <c r="J635" s="79"/>
      <c r="O635" s="79"/>
      <c r="P635" s="79"/>
      <c r="S635" s="79"/>
      <c r="T635" s="79"/>
      <c r="W635" s="130"/>
      <c r="Y635" s="106"/>
    </row>
    <row r="636">
      <c r="C636" s="79"/>
      <c r="D636" s="79"/>
      <c r="J636" s="79"/>
      <c r="O636" s="79"/>
      <c r="P636" s="79"/>
      <c r="S636" s="79"/>
      <c r="T636" s="79"/>
      <c r="W636" s="130"/>
      <c r="Y636" s="106"/>
    </row>
    <row r="637">
      <c r="C637" s="79"/>
      <c r="D637" s="79"/>
      <c r="J637" s="79"/>
      <c r="O637" s="79"/>
      <c r="P637" s="79"/>
      <c r="S637" s="79"/>
      <c r="T637" s="79"/>
      <c r="W637" s="130"/>
      <c r="Y637" s="106"/>
    </row>
    <row r="638">
      <c r="C638" s="79"/>
      <c r="D638" s="79"/>
      <c r="J638" s="79"/>
      <c r="O638" s="79"/>
      <c r="P638" s="79"/>
      <c r="S638" s="79"/>
      <c r="T638" s="79"/>
      <c r="W638" s="130"/>
      <c r="Y638" s="106"/>
    </row>
    <row r="639">
      <c r="C639" s="79"/>
      <c r="D639" s="79"/>
      <c r="J639" s="79"/>
      <c r="O639" s="79"/>
      <c r="P639" s="79"/>
      <c r="S639" s="79"/>
      <c r="T639" s="79"/>
      <c r="W639" s="130"/>
      <c r="Y639" s="106"/>
    </row>
    <row r="640">
      <c r="C640" s="79"/>
      <c r="D640" s="79"/>
      <c r="J640" s="79"/>
      <c r="O640" s="79"/>
      <c r="P640" s="79"/>
      <c r="S640" s="79"/>
      <c r="T640" s="79"/>
      <c r="W640" s="130"/>
      <c r="Y640" s="106"/>
    </row>
    <row r="641">
      <c r="C641" s="79"/>
      <c r="D641" s="79"/>
      <c r="J641" s="79"/>
      <c r="O641" s="79"/>
      <c r="P641" s="79"/>
      <c r="S641" s="79"/>
      <c r="T641" s="79"/>
      <c r="W641" s="130"/>
      <c r="Y641" s="106"/>
    </row>
    <row r="642">
      <c r="C642" s="79"/>
      <c r="D642" s="79"/>
      <c r="J642" s="79"/>
      <c r="O642" s="79"/>
      <c r="P642" s="79"/>
      <c r="S642" s="79"/>
      <c r="T642" s="79"/>
      <c r="W642" s="130"/>
      <c r="Y642" s="106"/>
    </row>
    <row r="643">
      <c r="C643" s="79"/>
      <c r="D643" s="79"/>
      <c r="J643" s="79"/>
      <c r="O643" s="79"/>
      <c r="P643" s="79"/>
      <c r="S643" s="79"/>
      <c r="T643" s="79"/>
      <c r="W643" s="130"/>
      <c r="Y643" s="106"/>
    </row>
    <row r="644">
      <c r="C644" s="79"/>
      <c r="D644" s="79"/>
      <c r="J644" s="79"/>
      <c r="O644" s="79"/>
      <c r="P644" s="79"/>
      <c r="S644" s="79"/>
      <c r="T644" s="79"/>
      <c r="W644" s="130"/>
      <c r="Y644" s="106"/>
    </row>
    <row r="645">
      <c r="C645" s="79"/>
      <c r="D645" s="79"/>
      <c r="J645" s="79"/>
      <c r="O645" s="79"/>
      <c r="P645" s="79"/>
      <c r="S645" s="79"/>
      <c r="T645" s="79"/>
      <c r="W645" s="130"/>
      <c r="Y645" s="106"/>
    </row>
    <row r="646">
      <c r="C646" s="79"/>
      <c r="D646" s="79"/>
      <c r="J646" s="79"/>
      <c r="O646" s="79"/>
      <c r="P646" s="79"/>
      <c r="S646" s="79"/>
      <c r="T646" s="79"/>
      <c r="W646" s="130"/>
      <c r="Y646" s="106"/>
    </row>
    <row r="647">
      <c r="C647" s="79"/>
      <c r="D647" s="79"/>
      <c r="J647" s="79"/>
      <c r="O647" s="79"/>
      <c r="P647" s="79"/>
      <c r="S647" s="79"/>
      <c r="T647" s="79"/>
      <c r="W647" s="130"/>
      <c r="Y647" s="106"/>
    </row>
    <row r="648">
      <c r="C648" s="79"/>
      <c r="D648" s="79"/>
      <c r="J648" s="79"/>
      <c r="O648" s="79"/>
      <c r="P648" s="79"/>
      <c r="S648" s="79"/>
      <c r="T648" s="79"/>
      <c r="W648" s="130"/>
      <c r="Y648" s="106"/>
    </row>
    <row r="649">
      <c r="C649" s="79"/>
      <c r="D649" s="79"/>
      <c r="J649" s="79"/>
      <c r="O649" s="79"/>
      <c r="P649" s="79"/>
      <c r="S649" s="79"/>
      <c r="T649" s="79"/>
      <c r="W649" s="130"/>
      <c r="Y649" s="106"/>
    </row>
    <row r="650">
      <c r="C650" s="79"/>
      <c r="D650" s="79"/>
      <c r="J650" s="79"/>
      <c r="O650" s="79"/>
      <c r="P650" s="79"/>
      <c r="S650" s="79"/>
      <c r="T650" s="79"/>
      <c r="W650" s="130"/>
      <c r="Y650" s="106"/>
    </row>
    <row r="651">
      <c r="C651" s="79"/>
      <c r="D651" s="79"/>
      <c r="J651" s="79"/>
      <c r="O651" s="79"/>
      <c r="P651" s="79"/>
      <c r="S651" s="79"/>
      <c r="T651" s="79"/>
      <c r="W651" s="130"/>
      <c r="Y651" s="106"/>
    </row>
    <row r="652">
      <c r="C652" s="79"/>
      <c r="D652" s="79"/>
      <c r="J652" s="79"/>
      <c r="O652" s="79"/>
      <c r="P652" s="79"/>
      <c r="S652" s="79"/>
      <c r="T652" s="79"/>
      <c r="W652" s="130"/>
      <c r="Y652" s="106"/>
    </row>
    <row r="653">
      <c r="C653" s="79"/>
      <c r="D653" s="79"/>
      <c r="J653" s="79"/>
      <c r="O653" s="79"/>
      <c r="P653" s="79"/>
      <c r="S653" s="79"/>
      <c r="T653" s="79"/>
      <c r="W653" s="130"/>
      <c r="Y653" s="106"/>
    </row>
    <row r="654">
      <c r="C654" s="79"/>
      <c r="D654" s="79"/>
      <c r="J654" s="79"/>
      <c r="O654" s="79"/>
      <c r="P654" s="79"/>
      <c r="S654" s="79"/>
      <c r="T654" s="79"/>
      <c r="W654" s="130"/>
      <c r="Y654" s="106"/>
    </row>
    <row r="655">
      <c r="C655" s="79"/>
      <c r="D655" s="79"/>
      <c r="J655" s="79"/>
      <c r="O655" s="79"/>
      <c r="P655" s="79"/>
      <c r="S655" s="79"/>
      <c r="T655" s="79"/>
      <c r="W655" s="130"/>
      <c r="Y655" s="106"/>
    </row>
    <row r="656">
      <c r="C656" s="79"/>
      <c r="D656" s="79"/>
      <c r="J656" s="79"/>
      <c r="O656" s="79"/>
      <c r="P656" s="79"/>
      <c r="S656" s="79"/>
      <c r="T656" s="79"/>
      <c r="W656" s="130"/>
      <c r="Y656" s="106"/>
    </row>
    <row r="657">
      <c r="C657" s="79"/>
      <c r="D657" s="79"/>
      <c r="J657" s="79"/>
      <c r="O657" s="79"/>
      <c r="P657" s="79"/>
      <c r="S657" s="79"/>
      <c r="T657" s="79"/>
      <c r="W657" s="130"/>
      <c r="Y657" s="106"/>
    </row>
    <row r="658">
      <c r="C658" s="79"/>
      <c r="D658" s="79"/>
      <c r="J658" s="79"/>
      <c r="O658" s="79"/>
      <c r="P658" s="79"/>
      <c r="S658" s="79"/>
      <c r="T658" s="79"/>
      <c r="W658" s="130"/>
      <c r="Y658" s="106"/>
    </row>
    <row r="659">
      <c r="C659" s="79"/>
      <c r="D659" s="79"/>
      <c r="J659" s="79"/>
      <c r="O659" s="79"/>
      <c r="P659" s="79"/>
      <c r="S659" s="79"/>
      <c r="T659" s="79"/>
      <c r="W659" s="130"/>
      <c r="Y659" s="106"/>
    </row>
    <row r="660">
      <c r="C660" s="79"/>
      <c r="D660" s="79"/>
      <c r="J660" s="79"/>
      <c r="O660" s="79"/>
      <c r="P660" s="79"/>
      <c r="S660" s="79"/>
      <c r="T660" s="79"/>
      <c r="W660" s="130"/>
      <c r="Y660" s="106"/>
    </row>
    <row r="661">
      <c r="C661" s="79"/>
      <c r="D661" s="79"/>
      <c r="J661" s="79"/>
      <c r="O661" s="79"/>
      <c r="P661" s="79"/>
      <c r="S661" s="79"/>
      <c r="T661" s="79"/>
      <c r="W661" s="130"/>
      <c r="Y661" s="106"/>
    </row>
    <row r="662">
      <c r="C662" s="79"/>
      <c r="D662" s="79"/>
      <c r="J662" s="79"/>
      <c r="O662" s="79"/>
      <c r="P662" s="79"/>
      <c r="S662" s="79"/>
      <c r="T662" s="79"/>
      <c r="W662" s="130"/>
      <c r="Y662" s="106"/>
    </row>
    <row r="663">
      <c r="C663" s="79"/>
      <c r="D663" s="79"/>
      <c r="J663" s="79"/>
      <c r="O663" s="79"/>
      <c r="P663" s="79"/>
      <c r="S663" s="79"/>
      <c r="T663" s="79"/>
      <c r="W663" s="130"/>
      <c r="Y663" s="106"/>
    </row>
    <row r="664">
      <c r="C664" s="79"/>
      <c r="D664" s="79"/>
      <c r="J664" s="79"/>
      <c r="O664" s="79"/>
      <c r="P664" s="79"/>
      <c r="S664" s="79"/>
      <c r="T664" s="79"/>
      <c r="W664" s="130"/>
      <c r="Y664" s="106"/>
    </row>
    <row r="665">
      <c r="C665" s="79"/>
      <c r="D665" s="79"/>
      <c r="J665" s="79"/>
      <c r="O665" s="79"/>
      <c r="P665" s="79"/>
      <c r="S665" s="79"/>
      <c r="T665" s="79"/>
      <c r="W665" s="130"/>
      <c r="Y665" s="106"/>
    </row>
    <row r="666">
      <c r="C666" s="79"/>
      <c r="D666" s="79"/>
      <c r="J666" s="79"/>
      <c r="O666" s="79"/>
      <c r="P666" s="79"/>
      <c r="S666" s="79"/>
      <c r="T666" s="79"/>
      <c r="W666" s="130"/>
      <c r="Y666" s="106"/>
    </row>
    <row r="667">
      <c r="C667" s="79"/>
      <c r="D667" s="79"/>
      <c r="J667" s="79"/>
      <c r="O667" s="79"/>
      <c r="P667" s="79"/>
      <c r="S667" s="79"/>
      <c r="T667" s="79"/>
      <c r="W667" s="130"/>
      <c r="Y667" s="106"/>
    </row>
    <row r="668">
      <c r="C668" s="79"/>
      <c r="D668" s="79"/>
      <c r="J668" s="79"/>
      <c r="O668" s="79"/>
      <c r="P668" s="79"/>
      <c r="S668" s="79"/>
      <c r="T668" s="79"/>
      <c r="W668" s="130"/>
      <c r="Y668" s="106"/>
    </row>
    <row r="669">
      <c r="C669" s="79"/>
      <c r="D669" s="79"/>
      <c r="J669" s="79"/>
      <c r="O669" s="79"/>
      <c r="P669" s="79"/>
      <c r="S669" s="79"/>
      <c r="T669" s="79"/>
      <c r="W669" s="130"/>
      <c r="Y669" s="106"/>
    </row>
    <row r="670">
      <c r="C670" s="79"/>
      <c r="D670" s="79"/>
      <c r="J670" s="79"/>
      <c r="O670" s="79"/>
      <c r="P670" s="79"/>
      <c r="S670" s="79"/>
      <c r="T670" s="79"/>
      <c r="W670" s="130"/>
      <c r="Y670" s="106"/>
    </row>
    <row r="671">
      <c r="C671" s="79"/>
      <c r="D671" s="79"/>
      <c r="J671" s="79"/>
      <c r="O671" s="79"/>
      <c r="P671" s="79"/>
      <c r="S671" s="79"/>
      <c r="T671" s="79"/>
      <c r="W671" s="130"/>
      <c r="Y671" s="106"/>
    </row>
    <row r="672">
      <c r="C672" s="79"/>
      <c r="D672" s="79"/>
      <c r="J672" s="79"/>
      <c r="O672" s="79"/>
      <c r="P672" s="79"/>
      <c r="S672" s="79"/>
      <c r="T672" s="79"/>
      <c r="W672" s="130"/>
      <c r="Y672" s="106"/>
    </row>
    <row r="673">
      <c r="C673" s="79"/>
      <c r="D673" s="79"/>
      <c r="J673" s="79"/>
      <c r="O673" s="79"/>
      <c r="P673" s="79"/>
      <c r="S673" s="79"/>
      <c r="T673" s="79"/>
      <c r="W673" s="130"/>
      <c r="Y673" s="106"/>
    </row>
    <row r="674">
      <c r="C674" s="79"/>
      <c r="D674" s="79"/>
      <c r="J674" s="79"/>
      <c r="O674" s="79"/>
      <c r="P674" s="79"/>
      <c r="S674" s="79"/>
      <c r="T674" s="79"/>
      <c r="W674" s="130"/>
      <c r="Y674" s="106"/>
    </row>
    <row r="675">
      <c r="C675" s="79"/>
      <c r="D675" s="79"/>
      <c r="J675" s="79"/>
      <c r="O675" s="79"/>
      <c r="P675" s="79"/>
      <c r="S675" s="79"/>
      <c r="T675" s="79"/>
      <c r="W675" s="130"/>
      <c r="Y675" s="106"/>
    </row>
    <row r="676">
      <c r="C676" s="79"/>
      <c r="D676" s="79"/>
      <c r="J676" s="79"/>
      <c r="O676" s="79"/>
      <c r="P676" s="79"/>
      <c r="S676" s="79"/>
      <c r="T676" s="79"/>
      <c r="W676" s="130"/>
      <c r="Y676" s="106"/>
    </row>
    <row r="677">
      <c r="C677" s="79"/>
      <c r="D677" s="79"/>
      <c r="J677" s="79"/>
      <c r="O677" s="79"/>
      <c r="P677" s="79"/>
      <c r="S677" s="79"/>
      <c r="T677" s="79"/>
      <c r="W677" s="130"/>
      <c r="Y677" s="106"/>
    </row>
    <row r="678">
      <c r="C678" s="79"/>
      <c r="D678" s="79"/>
      <c r="J678" s="79"/>
      <c r="O678" s="79"/>
      <c r="P678" s="79"/>
      <c r="S678" s="79"/>
      <c r="T678" s="79"/>
      <c r="W678" s="130"/>
      <c r="Y678" s="106"/>
    </row>
    <row r="679">
      <c r="C679" s="79"/>
      <c r="D679" s="79"/>
      <c r="J679" s="79"/>
      <c r="O679" s="79"/>
      <c r="P679" s="79"/>
      <c r="S679" s="79"/>
      <c r="T679" s="79"/>
      <c r="W679" s="130"/>
      <c r="Y679" s="106"/>
    </row>
    <row r="680">
      <c r="C680" s="79"/>
      <c r="D680" s="79"/>
      <c r="J680" s="79"/>
      <c r="O680" s="79"/>
      <c r="P680" s="79"/>
      <c r="S680" s="79"/>
      <c r="T680" s="79"/>
      <c r="W680" s="130"/>
      <c r="Y680" s="106"/>
    </row>
    <row r="681">
      <c r="C681" s="79"/>
      <c r="D681" s="79"/>
      <c r="J681" s="79"/>
      <c r="O681" s="79"/>
      <c r="P681" s="79"/>
      <c r="S681" s="79"/>
      <c r="T681" s="79"/>
      <c r="W681" s="130"/>
      <c r="Y681" s="106"/>
    </row>
    <row r="682">
      <c r="C682" s="79"/>
      <c r="D682" s="79"/>
      <c r="J682" s="79"/>
      <c r="O682" s="79"/>
      <c r="P682" s="79"/>
      <c r="S682" s="79"/>
      <c r="T682" s="79"/>
      <c r="W682" s="130"/>
      <c r="Y682" s="106"/>
    </row>
    <row r="683">
      <c r="C683" s="79"/>
      <c r="D683" s="79"/>
      <c r="J683" s="79"/>
      <c r="O683" s="79"/>
      <c r="P683" s="79"/>
      <c r="S683" s="79"/>
      <c r="T683" s="79"/>
      <c r="W683" s="130"/>
      <c r="Y683" s="106"/>
    </row>
    <row r="684">
      <c r="C684" s="79"/>
      <c r="D684" s="79"/>
      <c r="J684" s="79"/>
      <c r="O684" s="79"/>
      <c r="P684" s="79"/>
      <c r="S684" s="79"/>
      <c r="T684" s="79"/>
      <c r="W684" s="130"/>
      <c r="Y684" s="106"/>
    </row>
    <row r="685">
      <c r="C685" s="79"/>
      <c r="D685" s="79"/>
      <c r="J685" s="79"/>
      <c r="O685" s="79"/>
      <c r="P685" s="79"/>
      <c r="S685" s="79"/>
      <c r="T685" s="79"/>
      <c r="W685" s="130"/>
      <c r="Y685" s="106"/>
    </row>
    <row r="686">
      <c r="C686" s="79"/>
      <c r="D686" s="79"/>
      <c r="J686" s="79"/>
      <c r="O686" s="79"/>
      <c r="P686" s="79"/>
      <c r="S686" s="79"/>
      <c r="T686" s="79"/>
      <c r="W686" s="130"/>
      <c r="Y686" s="106"/>
    </row>
    <row r="687">
      <c r="C687" s="79"/>
      <c r="D687" s="79"/>
      <c r="J687" s="79"/>
      <c r="O687" s="79"/>
      <c r="P687" s="79"/>
      <c r="S687" s="79"/>
      <c r="T687" s="79"/>
      <c r="W687" s="130"/>
      <c r="Y687" s="106"/>
    </row>
    <row r="688">
      <c r="C688" s="79"/>
      <c r="D688" s="79"/>
      <c r="J688" s="79"/>
      <c r="O688" s="79"/>
      <c r="P688" s="79"/>
      <c r="S688" s="79"/>
      <c r="T688" s="79"/>
      <c r="W688" s="130"/>
      <c r="Y688" s="106"/>
    </row>
    <row r="689">
      <c r="C689" s="79"/>
      <c r="D689" s="79"/>
      <c r="J689" s="79"/>
      <c r="O689" s="79"/>
      <c r="P689" s="79"/>
      <c r="S689" s="79"/>
      <c r="T689" s="79"/>
      <c r="W689" s="130"/>
      <c r="Y689" s="106"/>
    </row>
    <row r="690">
      <c r="C690" s="79"/>
      <c r="D690" s="79"/>
      <c r="J690" s="79"/>
      <c r="O690" s="79"/>
      <c r="P690" s="79"/>
      <c r="S690" s="79"/>
      <c r="T690" s="79"/>
      <c r="W690" s="130"/>
      <c r="Y690" s="106"/>
    </row>
    <row r="691">
      <c r="C691" s="79"/>
      <c r="D691" s="79"/>
      <c r="J691" s="79"/>
      <c r="O691" s="79"/>
      <c r="P691" s="79"/>
      <c r="S691" s="79"/>
      <c r="T691" s="79"/>
      <c r="W691" s="130"/>
      <c r="Y691" s="106"/>
    </row>
    <row r="692">
      <c r="C692" s="79"/>
      <c r="D692" s="79"/>
      <c r="J692" s="79"/>
      <c r="O692" s="79"/>
      <c r="P692" s="79"/>
      <c r="S692" s="79"/>
      <c r="T692" s="79"/>
      <c r="W692" s="130"/>
      <c r="Y692" s="106"/>
    </row>
    <row r="693">
      <c r="C693" s="79"/>
      <c r="D693" s="79"/>
      <c r="J693" s="79"/>
      <c r="O693" s="79"/>
      <c r="P693" s="79"/>
      <c r="S693" s="79"/>
      <c r="T693" s="79"/>
      <c r="W693" s="130"/>
      <c r="Y693" s="106"/>
    </row>
    <row r="694">
      <c r="C694" s="79"/>
      <c r="D694" s="79"/>
      <c r="J694" s="79"/>
      <c r="O694" s="79"/>
      <c r="P694" s="79"/>
      <c r="S694" s="79"/>
      <c r="T694" s="79"/>
      <c r="W694" s="130"/>
      <c r="Y694" s="106"/>
    </row>
    <row r="695">
      <c r="C695" s="79"/>
      <c r="D695" s="79"/>
      <c r="J695" s="79"/>
      <c r="O695" s="79"/>
      <c r="P695" s="79"/>
      <c r="S695" s="79"/>
      <c r="T695" s="79"/>
      <c r="W695" s="130"/>
      <c r="Y695" s="106"/>
    </row>
    <row r="696">
      <c r="C696" s="79"/>
      <c r="D696" s="79"/>
      <c r="J696" s="79"/>
      <c r="O696" s="79"/>
      <c r="P696" s="79"/>
      <c r="S696" s="79"/>
      <c r="T696" s="79"/>
      <c r="W696" s="130"/>
      <c r="Y696" s="106"/>
    </row>
    <row r="697">
      <c r="C697" s="79"/>
      <c r="D697" s="79"/>
      <c r="J697" s="79"/>
      <c r="O697" s="79"/>
      <c r="P697" s="79"/>
      <c r="S697" s="79"/>
      <c r="T697" s="79"/>
      <c r="W697" s="130"/>
      <c r="Y697" s="106"/>
    </row>
    <row r="698">
      <c r="C698" s="79"/>
      <c r="D698" s="79"/>
      <c r="J698" s="79"/>
      <c r="O698" s="79"/>
      <c r="P698" s="79"/>
      <c r="S698" s="79"/>
      <c r="T698" s="79"/>
      <c r="W698" s="130"/>
      <c r="Y698" s="106"/>
    </row>
    <row r="699">
      <c r="C699" s="79"/>
      <c r="D699" s="79"/>
      <c r="J699" s="79"/>
      <c r="O699" s="79"/>
      <c r="P699" s="79"/>
      <c r="S699" s="79"/>
      <c r="T699" s="79"/>
      <c r="W699" s="130"/>
      <c r="Y699" s="106"/>
    </row>
    <row r="700">
      <c r="C700" s="79"/>
      <c r="D700" s="79"/>
      <c r="J700" s="79"/>
      <c r="O700" s="79"/>
      <c r="P700" s="79"/>
      <c r="S700" s="79"/>
      <c r="T700" s="79"/>
      <c r="W700" s="130"/>
      <c r="Y700" s="106"/>
    </row>
    <row r="701">
      <c r="C701" s="79"/>
      <c r="D701" s="79"/>
      <c r="J701" s="79"/>
      <c r="O701" s="79"/>
      <c r="P701" s="79"/>
      <c r="S701" s="79"/>
      <c r="T701" s="79"/>
      <c r="W701" s="130"/>
      <c r="Y701" s="106"/>
    </row>
    <row r="702">
      <c r="C702" s="79"/>
      <c r="D702" s="79"/>
      <c r="J702" s="79"/>
      <c r="O702" s="79"/>
      <c r="P702" s="79"/>
      <c r="S702" s="79"/>
      <c r="T702" s="79"/>
      <c r="W702" s="130"/>
      <c r="Y702" s="106"/>
    </row>
    <row r="703">
      <c r="C703" s="79"/>
      <c r="D703" s="79"/>
      <c r="J703" s="79"/>
      <c r="O703" s="79"/>
      <c r="P703" s="79"/>
      <c r="S703" s="79"/>
      <c r="T703" s="79"/>
      <c r="W703" s="130"/>
      <c r="Y703" s="106"/>
    </row>
    <row r="704">
      <c r="C704" s="79"/>
      <c r="D704" s="79"/>
      <c r="J704" s="79"/>
      <c r="O704" s="79"/>
      <c r="P704" s="79"/>
      <c r="S704" s="79"/>
      <c r="T704" s="79"/>
      <c r="W704" s="130"/>
      <c r="Y704" s="106"/>
    </row>
    <row r="705">
      <c r="C705" s="79"/>
      <c r="D705" s="79"/>
      <c r="J705" s="79"/>
      <c r="O705" s="79"/>
      <c r="P705" s="79"/>
      <c r="S705" s="79"/>
      <c r="T705" s="79"/>
      <c r="W705" s="130"/>
      <c r="Y705" s="106"/>
    </row>
    <row r="706">
      <c r="C706" s="79"/>
      <c r="D706" s="79"/>
      <c r="J706" s="79"/>
      <c r="O706" s="79"/>
      <c r="P706" s="79"/>
      <c r="S706" s="79"/>
      <c r="T706" s="79"/>
      <c r="W706" s="130"/>
      <c r="Y706" s="106"/>
    </row>
    <row r="707">
      <c r="C707" s="79"/>
      <c r="D707" s="79"/>
      <c r="J707" s="79"/>
      <c r="O707" s="79"/>
      <c r="P707" s="79"/>
      <c r="S707" s="79"/>
      <c r="T707" s="79"/>
      <c r="W707" s="130"/>
      <c r="Y707" s="106"/>
    </row>
    <row r="708">
      <c r="C708" s="79"/>
      <c r="D708" s="79"/>
      <c r="J708" s="79"/>
      <c r="O708" s="79"/>
      <c r="P708" s="79"/>
      <c r="S708" s="79"/>
      <c r="T708" s="79"/>
      <c r="W708" s="130"/>
      <c r="Y708" s="106"/>
    </row>
    <row r="709">
      <c r="C709" s="79"/>
      <c r="D709" s="79"/>
      <c r="J709" s="79"/>
      <c r="O709" s="79"/>
      <c r="P709" s="79"/>
      <c r="S709" s="79"/>
      <c r="T709" s="79"/>
      <c r="W709" s="130"/>
      <c r="Y709" s="106"/>
    </row>
    <row r="710">
      <c r="C710" s="79"/>
      <c r="D710" s="79"/>
      <c r="J710" s="79"/>
      <c r="O710" s="79"/>
      <c r="P710" s="79"/>
      <c r="S710" s="79"/>
      <c r="T710" s="79"/>
      <c r="W710" s="130"/>
      <c r="Y710" s="106"/>
    </row>
    <row r="711">
      <c r="C711" s="79"/>
      <c r="D711" s="79"/>
      <c r="J711" s="79"/>
      <c r="O711" s="79"/>
      <c r="P711" s="79"/>
      <c r="S711" s="79"/>
      <c r="T711" s="79"/>
      <c r="W711" s="130"/>
      <c r="Y711" s="106"/>
    </row>
    <row r="712">
      <c r="C712" s="79"/>
      <c r="D712" s="79"/>
      <c r="J712" s="79"/>
      <c r="O712" s="79"/>
      <c r="P712" s="79"/>
      <c r="S712" s="79"/>
      <c r="T712" s="79"/>
      <c r="W712" s="130"/>
      <c r="Y712" s="106"/>
    </row>
    <row r="713">
      <c r="C713" s="79"/>
      <c r="D713" s="79"/>
      <c r="J713" s="79"/>
      <c r="O713" s="79"/>
      <c r="P713" s="79"/>
      <c r="S713" s="79"/>
      <c r="T713" s="79"/>
      <c r="W713" s="130"/>
      <c r="Y713" s="106"/>
    </row>
    <row r="714">
      <c r="C714" s="79"/>
      <c r="D714" s="79"/>
      <c r="J714" s="79"/>
      <c r="O714" s="79"/>
      <c r="P714" s="79"/>
      <c r="S714" s="79"/>
      <c r="T714" s="79"/>
      <c r="W714" s="130"/>
      <c r="Y714" s="106"/>
    </row>
    <row r="715">
      <c r="C715" s="79"/>
      <c r="D715" s="79"/>
      <c r="J715" s="79"/>
      <c r="O715" s="79"/>
      <c r="P715" s="79"/>
      <c r="S715" s="79"/>
      <c r="T715" s="79"/>
      <c r="W715" s="130"/>
      <c r="Y715" s="106"/>
    </row>
    <row r="716">
      <c r="C716" s="79"/>
      <c r="D716" s="79"/>
      <c r="J716" s="79"/>
      <c r="O716" s="79"/>
      <c r="P716" s="79"/>
      <c r="S716" s="79"/>
      <c r="T716" s="79"/>
      <c r="W716" s="130"/>
      <c r="Y716" s="106"/>
    </row>
    <row r="717">
      <c r="C717" s="79"/>
      <c r="D717" s="79"/>
      <c r="J717" s="79"/>
      <c r="O717" s="79"/>
      <c r="P717" s="79"/>
      <c r="S717" s="79"/>
      <c r="T717" s="79"/>
      <c r="W717" s="130"/>
      <c r="Y717" s="106"/>
    </row>
    <row r="718">
      <c r="C718" s="79"/>
      <c r="D718" s="79"/>
      <c r="J718" s="79"/>
      <c r="O718" s="79"/>
      <c r="P718" s="79"/>
      <c r="S718" s="79"/>
      <c r="T718" s="79"/>
      <c r="W718" s="130"/>
      <c r="Y718" s="106"/>
    </row>
    <row r="719">
      <c r="C719" s="79"/>
      <c r="D719" s="79"/>
      <c r="J719" s="79"/>
      <c r="O719" s="79"/>
      <c r="P719" s="79"/>
      <c r="S719" s="79"/>
      <c r="T719" s="79"/>
      <c r="W719" s="130"/>
      <c r="Y719" s="106"/>
    </row>
    <row r="720">
      <c r="C720" s="79"/>
      <c r="D720" s="79"/>
      <c r="J720" s="79"/>
      <c r="O720" s="79"/>
      <c r="P720" s="79"/>
      <c r="S720" s="79"/>
      <c r="T720" s="79"/>
      <c r="W720" s="130"/>
      <c r="Y720" s="106"/>
    </row>
    <row r="721">
      <c r="C721" s="79"/>
      <c r="D721" s="79"/>
      <c r="J721" s="79"/>
      <c r="O721" s="79"/>
      <c r="P721" s="79"/>
      <c r="S721" s="79"/>
      <c r="T721" s="79"/>
      <c r="W721" s="130"/>
      <c r="Y721" s="106"/>
    </row>
    <row r="722">
      <c r="C722" s="79"/>
      <c r="D722" s="79"/>
      <c r="J722" s="79"/>
      <c r="O722" s="79"/>
      <c r="P722" s="79"/>
      <c r="S722" s="79"/>
      <c r="T722" s="79"/>
      <c r="W722" s="130"/>
      <c r="Y722" s="106"/>
    </row>
    <row r="723">
      <c r="C723" s="79"/>
      <c r="D723" s="79"/>
      <c r="J723" s="79"/>
      <c r="O723" s="79"/>
      <c r="P723" s="79"/>
      <c r="S723" s="79"/>
      <c r="T723" s="79"/>
      <c r="W723" s="130"/>
      <c r="Y723" s="106"/>
    </row>
    <row r="724">
      <c r="C724" s="79"/>
      <c r="D724" s="79"/>
      <c r="J724" s="79"/>
      <c r="O724" s="79"/>
      <c r="P724" s="79"/>
      <c r="S724" s="79"/>
      <c r="T724" s="79"/>
      <c r="W724" s="130"/>
      <c r="Y724" s="106"/>
    </row>
    <row r="725">
      <c r="C725" s="79"/>
      <c r="D725" s="79"/>
      <c r="J725" s="79"/>
      <c r="O725" s="79"/>
      <c r="P725" s="79"/>
      <c r="S725" s="79"/>
      <c r="T725" s="79"/>
      <c r="W725" s="130"/>
      <c r="Y725" s="106"/>
    </row>
    <row r="726">
      <c r="C726" s="79"/>
      <c r="D726" s="79"/>
      <c r="J726" s="79"/>
      <c r="O726" s="79"/>
      <c r="P726" s="79"/>
      <c r="S726" s="79"/>
      <c r="T726" s="79"/>
      <c r="W726" s="130"/>
      <c r="Y726" s="106"/>
    </row>
    <row r="727">
      <c r="C727" s="79"/>
      <c r="D727" s="79"/>
      <c r="J727" s="79"/>
      <c r="O727" s="79"/>
      <c r="P727" s="79"/>
      <c r="S727" s="79"/>
      <c r="T727" s="79"/>
      <c r="W727" s="130"/>
      <c r="Y727" s="106"/>
    </row>
    <row r="728">
      <c r="C728" s="79"/>
      <c r="D728" s="79"/>
      <c r="J728" s="79"/>
      <c r="O728" s="79"/>
      <c r="P728" s="79"/>
      <c r="S728" s="79"/>
      <c r="T728" s="79"/>
      <c r="W728" s="130"/>
      <c r="Y728" s="106"/>
    </row>
    <row r="729">
      <c r="C729" s="79"/>
      <c r="D729" s="79"/>
      <c r="J729" s="79"/>
      <c r="O729" s="79"/>
      <c r="P729" s="79"/>
      <c r="S729" s="79"/>
      <c r="T729" s="79"/>
      <c r="W729" s="130"/>
      <c r="Y729" s="106"/>
    </row>
    <row r="730">
      <c r="C730" s="79"/>
      <c r="D730" s="79"/>
      <c r="J730" s="79"/>
      <c r="O730" s="79"/>
      <c r="P730" s="79"/>
      <c r="S730" s="79"/>
      <c r="T730" s="79"/>
      <c r="W730" s="130"/>
      <c r="Y730" s="106"/>
    </row>
    <row r="731">
      <c r="C731" s="79"/>
      <c r="D731" s="79"/>
      <c r="J731" s="79"/>
      <c r="O731" s="79"/>
      <c r="P731" s="79"/>
      <c r="S731" s="79"/>
      <c r="T731" s="79"/>
      <c r="W731" s="130"/>
      <c r="Y731" s="106"/>
    </row>
    <row r="732">
      <c r="C732" s="79"/>
      <c r="D732" s="79"/>
      <c r="J732" s="79"/>
      <c r="O732" s="79"/>
      <c r="P732" s="79"/>
      <c r="S732" s="79"/>
      <c r="T732" s="79"/>
      <c r="W732" s="130"/>
      <c r="Y732" s="106"/>
    </row>
    <row r="733">
      <c r="C733" s="79"/>
      <c r="D733" s="79"/>
      <c r="J733" s="79"/>
      <c r="O733" s="79"/>
      <c r="P733" s="79"/>
      <c r="S733" s="79"/>
      <c r="T733" s="79"/>
      <c r="W733" s="130"/>
      <c r="Y733" s="106"/>
    </row>
    <row r="734">
      <c r="C734" s="79"/>
      <c r="D734" s="79"/>
      <c r="J734" s="79"/>
      <c r="O734" s="79"/>
      <c r="P734" s="79"/>
      <c r="S734" s="79"/>
      <c r="T734" s="79"/>
      <c r="W734" s="130"/>
      <c r="Y734" s="106"/>
    </row>
    <row r="735">
      <c r="C735" s="79"/>
      <c r="D735" s="79"/>
      <c r="J735" s="79"/>
      <c r="O735" s="79"/>
      <c r="P735" s="79"/>
      <c r="S735" s="79"/>
      <c r="T735" s="79"/>
      <c r="W735" s="130"/>
      <c r="Y735" s="106"/>
    </row>
    <row r="736">
      <c r="C736" s="79"/>
      <c r="D736" s="79"/>
      <c r="J736" s="79"/>
      <c r="O736" s="79"/>
      <c r="P736" s="79"/>
      <c r="S736" s="79"/>
      <c r="T736" s="79"/>
      <c r="W736" s="130"/>
      <c r="Y736" s="106"/>
    </row>
    <row r="737">
      <c r="C737" s="79"/>
      <c r="D737" s="79"/>
      <c r="J737" s="79"/>
      <c r="O737" s="79"/>
      <c r="P737" s="79"/>
      <c r="S737" s="79"/>
      <c r="T737" s="79"/>
      <c r="W737" s="130"/>
      <c r="Y737" s="106"/>
    </row>
    <row r="738">
      <c r="C738" s="79"/>
      <c r="D738" s="79"/>
      <c r="J738" s="79"/>
      <c r="O738" s="79"/>
      <c r="P738" s="79"/>
      <c r="S738" s="79"/>
      <c r="T738" s="79"/>
      <c r="W738" s="130"/>
      <c r="Y738" s="106"/>
    </row>
    <row r="739">
      <c r="C739" s="79"/>
      <c r="D739" s="79"/>
      <c r="J739" s="79"/>
      <c r="O739" s="79"/>
      <c r="P739" s="79"/>
      <c r="S739" s="79"/>
      <c r="T739" s="79"/>
      <c r="W739" s="130"/>
      <c r="Y739" s="106"/>
    </row>
    <row r="740">
      <c r="C740" s="79"/>
      <c r="D740" s="79"/>
      <c r="J740" s="79"/>
      <c r="O740" s="79"/>
      <c r="P740" s="79"/>
      <c r="S740" s="79"/>
      <c r="T740" s="79"/>
      <c r="W740" s="130"/>
      <c r="Y740" s="106"/>
    </row>
    <row r="741">
      <c r="C741" s="79"/>
      <c r="D741" s="79"/>
      <c r="J741" s="79"/>
      <c r="O741" s="79"/>
      <c r="P741" s="79"/>
      <c r="S741" s="79"/>
      <c r="T741" s="79"/>
      <c r="W741" s="130"/>
      <c r="Y741" s="106"/>
    </row>
    <row r="742">
      <c r="C742" s="79"/>
      <c r="D742" s="79"/>
      <c r="J742" s="79"/>
      <c r="O742" s="79"/>
      <c r="P742" s="79"/>
      <c r="S742" s="79"/>
      <c r="T742" s="79"/>
      <c r="W742" s="130"/>
      <c r="Y742" s="106"/>
    </row>
    <row r="743">
      <c r="C743" s="79"/>
      <c r="D743" s="79"/>
      <c r="J743" s="79"/>
      <c r="O743" s="79"/>
      <c r="P743" s="79"/>
      <c r="S743" s="79"/>
      <c r="T743" s="79"/>
      <c r="W743" s="130"/>
      <c r="Y743" s="106"/>
    </row>
    <row r="744">
      <c r="C744" s="79"/>
      <c r="D744" s="79"/>
      <c r="J744" s="79"/>
      <c r="O744" s="79"/>
      <c r="P744" s="79"/>
      <c r="S744" s="79"/>
      <c r="T744" s="79"/>
      <c r="W744" s="130"/>
      <c r="Y744" s="106"/>
    </row>
    <row r="745">
      <c r="C745" s="79"/>
      <c r="D745" s="79"/>
      <c r="J745" s="79"/>
      <c r="O745" s="79"/>
      <c r="P745" s="79"/>
      <c r="S745" s="79"/>
      <c r="T745" s="79"/>
      <c r="W745" s="130"/>
      <c r="Y745" s="106"/>
    </row>
    <row r="746">
      <c r="C746" s="79"/>
      <c r="D746" s="79"/>
      <c r="J746" s="79"/>
      <c r="O746" s="79"/>
      <c r="P746" s="79"/>
      <c r="S746" s="79"/>
      <c r="T746" s="79"/>
      <c r="W746" s="130"/>
      <c r="Y746" s="106"/>
    </row>
    <row r="747">
      <c r="C747" s="79"/>
      <c r="D747" s="79"/>
      <c r="J747" s="79"/>
      <c r="O747" s="79"/>
      <c r="P747" s="79"/>
      <c r="S747" s="79"/>
      <c r="T747" s="79"/>
      <c r="W747" s="130"/>
      <c r="Y747" s="106"/>
    </row>
    <row r="748">
      <c r="C748" s="79"/>
      <c r="D748" s="79"/>
      <c r="J748" s="79"/>
      <c r="O748" s="79"/>
      <c r="P748" s="79"/>
      <c r="S748" s="79"/>
      <c r="T748" s="79"/>
      <c r="W748" s="130"/>
      <c r="Y748" s="106"/>
    </row>
    <row r="749">
      <c r="C749" s="79"/>
      <c r="D749" s="79"/>
      <c r="J749" s="79"/>
      <c r="O749" s="79"/>
      <c r="P749" s="79"/>
      <c r="S749" s="79"/>
      <c r="T749" s="79"/>
      <c r="W749" s="130"/>
      <c r="Y749" s="106"/>
    </row>
    <row r="750">
      <c r="C750" s="79"/>
      <c r="D750" s="79"/>
      <c r="J750" s="79"/>
      <c r="O750" s="79"/>
      <c r="P750" s="79"/>
      <c r="S750" s="79"/>
      <c r="T750" s="79"/>
      <c r="W750" s="130"/>
      <c r="Y750" s="106"/>
    </row>
    <row r="751">
      <c r="C751" s="79"/>
      <c r="D751" s="79"/>
      <c r="J751" s="79"/>
      <c r="O751" s="79"/>
      <c r="P751" s="79"/>
      <c r="S751" s="79"/>
      <c r="T751" s="79"/>
      <c r="W751" s="130"/>
      <c r="Y751" s="106"/>
    </row>
    <row r="752">
      <c r="C752" s="79"/>
      <c r="D752" s="79"/>
      <c r="J752" s="79"/>
      <c r="O752" s="79"/>
      <c r="P752" s="79"/>
      <c r="S752" s="79"/>
      <c r="T752" s="79"/>
      <c r="W752" s="130"/>
      <c r="Y752" s="106"/>
    </row>
    <row r="753">
      <c r="C753" s="79"/>
      <c r="D753" s="79"/>
      <c r="J753" s="79"/>
      <c r="O753" s="79"/>
      <c r="P753" s="79"/>
      <c r="S753" s="79"/>
      <c r="T753" s="79"/>
      <c r="W753" s="130"/>
      <c r="Y753" s="106"/>
    </row>
    <row r="754">
      <c r="C754" s="79"/>
      <c r="D754" s="79"/>
      <c r="J754" s="79"/>
      <c r="O754" s="79"/>
      <c r="P754" s="79"/>
      <c r="S754" s="79"/>
      <c r="T754" s="79"/>
      <c r="W754" s="130"/>
      <c r="Y754" s="106"/>
    </row>
    <row r="755">
      <c r="C755" s="79"/>
      <c r="D755" s="79"/>
      <c r="J755" s="79"/>
      <c r="O755" s="79"/>
      <c r="P755" s="79"/>
      <c r="S755" s="79"/>
      <c r="T755" s="79"/>
      <c r="W755" s="130"/>
      <c r="Y755" s="106"/>
    </row>
    <row r="756">
      <c r="C756" s="79"/>
      <c r="D756" s="79"/>
      <c r="J756" s="79"/>
      <c r="O756" s="79"/>
      <c r="P756" s="79"/>
      <c r="S756" s="79"/>
      <c r="T756" s="79"/>
      <c r="W756" s="130"/>
      <c r="Y756" s="106"/>
    </row>
    <row r="757">
      <c r="C757" s="79"/>
      <c r="D757" s="79"/>
      <c r="J757" s="79"/>
      <c r="O757" s="79"/>
      <c r="P757" s="79"/>
      <c r="S757" s="79"/>
      <c r="T757" s="79"/>
      <c r="W757" s="130"/>
      <c r="Y757" s="106"/>
    </row>
    <row r="758">
      <c r="C758" s="79"/>
      <c r="D758" s="79"/>
      <c r="J758" s="79"/>
      <c r="O758" s="79"/>
      <c r="P758" s="79"/>
      <c r="S758" s="79"/>
      <c r="T758" s="79"/>
      <c r="W758" s="130"/>
      <c r="Y758" s="106"/>
    </row>
    <row r="759">
      <c r="C759" s="79"/>
      <c r="D759" s="79"/>
      <c r="J759" s="79"/>
      <c r="O759" s="79"/>
      <c r="P759" s="79"/>
      <c r="S759" s="79"/>
      <c r="T759" s="79"/>
      <c r="W759" s="130"/>
      <c r="Y759" s="106"/>
    </row>
    <row r="760">
      <c r="C760" s="79"/>
      <c r="D760" s="79"/>
      <c r="J760" s="79"/>
      <c r="O760" s="79"/>
      <c r="P760" s="79"/>
      <c r="S760" s="79"/>
      <c r="T760" s="79"/>
      <c r="W760" s="130"/>
      <c r="Y760" s="106"/>
    </row>
    <row r="761">
      <c r="C761" s="79"/>
      <c r="D761" s="79"/>
      <c r="J761" s="79"/>
      <c r="O761" s="79"/>
      <c r="P761" s="79"/>
      <c r="S761" s="79"/>
      <c r="T761" s="79"/>
      <c r="W761" s="130"/>
      <c r="Y761" s="106"/>
    </row>
    <row r="762">
      <c r="C762" s="79"/>
      <c r="D762" s="79"/>
      <c r="J762" s="79"/>
      <c r="O762" s="79"/>
      <c r="P762" s="79"/>
      <c r="S762" s="79"/>
      <c r="T762" s="79"/>
      <c r="W762" s="130"/>
      <c r="Y762" s="106"/>
    </row>
    <row r="763">
      <c r="C763" s="79"/>
      <c r="D763" s="79"/>
      <c r="J763" s="79"/>
      <c r="O763" s="79"/>
      <c r="P763" s="79"/>
      <c r="S763" s="79"/>
      <c r="T763" s="79"/>
      <c r="W763" s="130"/>
      <c r="Y763" s="106"/>
    </row>
    <row r="764">
      <c r="C764" s="79"/>
      <c r="D764" s="79"/>
      <c r="J764" s="79"/>
      <c r="O764" s="79"/>
      <c r="P764" s="79"/>
      <c r="S764" s="79"/>
      <c r="T764" s="79"/>
      <c r="W764" s="130"/>
      <c r="Y764" s="106"/>
    </row>
    <row r="765">
      <c r="C765" s="79"/>
      <c r="D765" s="79"/>
      <c r="J765" s="79"/>
      <c r="O765" s="79"/>
      <c r="P765" s="79"/>
      <c r="S765" s="79"/>
      <c r="T765" s="79"/>
      <c r="W765" s="130"/>
      <c r="Y765" s="106"/>
    </row>
    <row r="766">
      <c r="C766" s="79"/>
      <c r="D766" s="79"/>
      <c r="J766" s="79"/>
      <c r="O766" s="79"/>
      <c r="P766" s="79"/>
      <c r="S766" s="79"/>
      <c r="T766" s="79"/>
      <c r="W766" s="130"/>
      <c r="Y766" s="106"/>
    </row>
    <row r="767">
      <c r="C767" s="79"/>
      <c r="D767" s="79"/>
      <c r="J767" s="79"/>
      <c r="O767" s="79"/>
      <c r="P767" s="79"/>
      <c r="S767" s="79"/>
      <c r="T767" s="79"/>
      <c r="W767" s="130"/>
      <c r="Y767" s="106"/>
    </row>
    <row r="768">
      <c r="C768" s="79"/>
      <c r="D768" s="79"/>
      <c r="J768" s="79"/>
      <c r="O768" s="79"/>
      <c r="P768" s="79"/>
      <c r="S768" s="79"/>
      <c r="T768" s="79"/>
      <c r="W768" s="130"/>
      <c r="Y768" s="106"/>
    </row>
    <row r="769">
      <c r="C769" s="79"/>
      <c r="D769" s="79"/>
      <c r="J769" s="79"/>
      <c r="O769" s="79"/>
      <c r="P769" s="79"/>
      <c r="S769" s="79"/>
      <c r="T769" s="79"/>
      <c r="W769" s="130"/>
      <c r="Y769" s="106"/>
    </row>
    <row r="770">
      <c r="C770" s="79"/>
      <c r="D770" s="79"/>
      <c r="J770" s="79"/>
      <c r="O770" s="79"/>
      <c r="P770" s="79"/>
      <c r="S770" s="79"/>
      <c r="T770" s="79"/>
      <c r="W770" s="130"/>
      <c r="Y770" s="106"/>
    </row>
    <row r="771">
      <c r="C771" s="79"/>
      <c r="D771" s="79"/>
      <c r="J771" s="79"/>
      <c r="O771" s="79"/>
      <c r="P771" s="79"/>
      <c r="S771" s="79"/>
      <c r="T771" s="79"/>
      <c r="W771" s="130"/>
      <c r="Y771" s="106"/>
    </row>
    <row r="772">
      <c r="C772" s="79"/>
      <c r="D772" s="79"/>
      <c r="J772" s="79"/>
      <c r="O772" s="79"/>
      <c r="P772" s="79"/>
      <c r="S772" s="79"/>
      <c r="T772" s="79"/>
      <c r="W772" s="130"/>
      <c r="Y772" s="106"/>
    </row>
    <row r="773">
      <c r="C773" s="79"/>
      <c r="D773" s="79"/>
      <c r="J773" s="79"/>
      <c r="O773" s="79"/>
      <c r="P773" s="79"/>
      <c r="S773" s="79"/>
      <c r="T773" s="79"/>
      <c r="W773" s="130"/>
      <c r="Y773" s="106"/>
    </row>
    <row r="774">
      <c r="C774" s="79"/>
      <c r="D774" s="79"/>
      <c r="J774" s="79"/>
      <c r="O774" s="79"/>
      <c r="P774" s="79"/>
      <c r="S774" s="79"/>
      <c r="T774" s="79"/>
      <c r="W774" s="130"/>
      <c r="Y774" s="106"/>
    </row>
    <row r="775">
      <c r="C775" s="79"/>
      <c r="D775" s="79"/>
      <c r="J775" s="79"/>
      <c r="O775" s="79"/>
      <c r="P775" s="79"/>
      <c r="S775" s="79"/>
      <c r="T775" s="79"/>
      <c r="W775" s="130"/>
      <c r="Y775" s="106"/>
    </row>
    <row r="776">
      <c r="C776" s="79"/>
      <c r="D776" s="79"/>
      <c r="J776" s="79"/>
      <c r="O776" s="79"/>
      <c r="P776" s="79"/>
      <c r="S776" s="79"/>
      <c r="T776" s="79"/>
      <c r="W776" s="130"/>
      <c r="Y776" s="106"/>
    </row>
    <row r="777">
      <c r="C777" s="79"/>
      <c r="D777" s="79"/>
      <c r="J777" s="79"/>
      <c r="O777" s="79"/>
      <c r="P777" s="79"/>
      <c r="S777" s="79"/>
      <c r="T777" s="79"/>
      <c r="W777" s="130"/>
      <c r="Y777" s="106"/>
    </row>
    <row r="778">
      <c r="C778" s="79"/>
      <c r="D778" s="79"/>
      <c r="J778" s="79"/>
      <c r="O778" s="79"/>
      <c r="P778" s="79"/>
      <c r="S778" s="79"/>
      <c r="T778" s="79"/>
      <c r="W778" s="130"/>
      <c r="Y778" s="106"/>
    </row>
    <row r="779">
      <c r="C779" s="79"/>
      <c r="D779" s="79"/>
      <c r="J779" s="79"/>
      <c r="O779" s="79"/>
      <c r="P779" s="79"/>
      <c r="S779" s="79"/>
      <c r="T779" s="79"/>
      <c r="W779" s="130"/>
      <c r="Y779" s="106"/>
    </row>
    <row r="780">
      <c r="C780" s="79"/>
      <c r="D780" s="79"/>
      <c r="J780" s="79"/>
      <c r="O780" s="79"/>
      <c r="P780" s="79"/>
      <c r="S780" s="79"/>
      <c r="T780" s="79"/>
      <c r="W780" s="130"/>
      <c r="Y780" s="106"/>
    </row>
    <row r="781">
      <c r="C781" s="79"/>
      <c r="D781" s="79"/>
      <c r="J781" s="79"/>
      <c r="O781" s="79"/>
      <c r="P781" s="79"/>
      <c r="S781" s="79"/>
      <c r="T781" s="79"/>
      <c r="W781" s="130"/>
      <c r="Y781" s="106"/>
    </row>
    <row r="782">
      <c r="C782" s="79"/>
      <c r="D782" s="79"/>
      <c r="J782" s="79"/>
      <c r="O782" s="79"/>
      <c r="P782" s="79"/>
      <c r="S782" s="79"/>
      <c r="T782" s="79"/>
      <c r="W782" s="130"/>
      <c r="Y782" s="106"/>
    </row>
    <row r="783">
      <c r="C783" s="79"/>
      <c r="D783" s="79"/>
      <c r="J783" s="79"/>
      <c r="O783" s="79"/>
      <c r="P783" s="79"/>
      <c r="S783" s="79"/>
      <c r="T783" s="79"/>
      <c r="W783" s="130"/>
      <c r="Y783" s="106"/>
    </row>
    <row r="784">
      <c r="C784" s="79"/>
      <c r="D784" s="79"/>
      <c r="J784" s="79"/>
      <c r="O784" s="79"/>
      <c r="P784" s="79"/>
      <c r="S784" s="79"/>
      <c r="T784" s="79"/>
      <c r="W784" s="130"/>
      <c r="Y784" s="106"/>
    </row>
    <row r="785">
      <c r="C785" s="79"/>
      <c r="D785" s="79"/>
      <c r="J785" s="79"/>
      <c r="O785" s="79"/>
      <c r="P785" s="79"/>
      <c r="S785" s="79"/>
      <c r="T785" s="79"/>
      <c r="W785" s="130"/>
      <c r="Y785" s="106"/>
    </row>
    <row r="786">
      <c r="C786" s="79"/>
      <c r="D786" s="79"/>
      <c r="J786" s="79"/>
      <c r="O786" s="79"/>
      <c r="P786" s="79"/>
      <c r="S786" s="79"/>
      <c r="T786" s="79"/>
      <c r="W786" s="130"/>
      <c r="Y786" s="106"/>
    </row>
    <row r="787">
      <c r="C787" s="79"/>
      <c r="D787" s="79"/>
      <c r="J787" s="79"/>
      <c r="O787" s="79"/>
      <c r="P787" s="79"/>
      <c r="S787" s="79"/>
      <c r="T787" s="79"/>
      <c r="W787" s="130"/>
      <c r="Y787" s="106"/>
    </row>
    <row r="788">
      <c r="C788" s="79"/>
      <c r="D788" s="79"/>
      <c r="J788" s="79"/>
      <c r="O788" s="79"/>
      <c r="P788" s="79"/>
      <c r="S788" s="79"/>
      <c r="T788" s="79"/>
      <c r="W788" s="130"/>
      <c r="Y788" s="106"/>
    </row>
    <row r="789">
      <c r="C789" s="79"/>
      <c r="D789" s="79"/>
      <c r="J789" s="79"/>
      <c r="O789" s="79"/>
      <c r="P789" s="79"/>
      <c r="S789" s="79"/>
      <c r="T789" s="79"/>
      <c r="W789" s="130"/>
      <c r="Y789" s="106"/>
    </row>
    <row r="790">
      <c r="C790" s="79"/>
      <c r="D790" s="79"/>
      <c r="J790" s="79"/>
      <c r="O790" s="79"/>
      <c r="P790" s="79"/>
      <c r="S790" s="79"/>
      <c r="T790" s="79"/>
      <c r="W790" s="130"/>
      <c r="Y790" s="106"/>
    </row>
    <row r="791">
      <c r="C791" s="79"/>
      <c r="D791" s="79"/>
      <c r="J791" s="79"/>
      <c r="O791" s="79"/>
      <c r="P791" s="79"/>
      <c r="S791" s="79"/>
      <c r="T791" s="79"/>
      <c r="W791" s="130"/>
      <c r="Y791" s="106"/>
    </row>
    <row r="792">
      <c r="C792" s="79"/>
      <c r="D792" s="79"/>
      <c r="J792" s="79"/>
      <c r="O792" s="79"/>
      <c r="P792" s="79"/>
      <c r="S792" s="79"/>
      <c r="T792" s="79"/>
      <c r="W792" s="130"/>
      <c r="Y792" s="106"/>
    </row>
    <row r="793">
      <c r="C793" s="79"/>
      <c r="D793" s="79"/>
      <c r="J793" s="79"/>
      <c r="O793" s="79"/>
      <c r="P793" s="79"/>
      <c r="S793" s="79"/>
      <c r="T793" s="79"/>
      <c r="W793" s="130"/>
      <c r="Y793" s="106"/>
    </row>
    <row r="794">
      <c r="C794" s="79"/>
      <c r="D794" s="79"/>
      <c r="J794" s="79"/>
      <c r="O794" s="79"/>
      <c r="P794" s="79"/>
      <c r="S794" s="79"/>
      <c r="T794" s="79"/>
      <c r="W794" s="130"/>
      <c r="Y794" s="106"/>
    </row>
    <row r="795">
      <c r="C795" s="79"/>
      <c r="D795" s="79"/>
      <c r="J795" s="79"/>
      <c r="O795" s="79"/>
      <c r="P795" s="79"/>
      <c r="S795" s="79"/>
      <c r="T795" s="79"/>
      <c r="W795" s="130"/>
      <c r="Y795" s="106"/>
    </row>
    <row r="796">
      <c r="C796" s="79"/>
      <c r="D796" s="79"/>
      <c r="J796" s="79"/>
      <c r="O796" s="79"/>
      <c r="P796" s="79"/>
      <c r="S796" s="79"/>
      <c r="T796" s="79"/>
      <c r="W796" s="130"/>
      <c r="Y796" s="106"/>
    </row>
    <row r="797">
      <c r="C797" s="79"/>
      <c r="D797" s="79"/>
      <c r="J797" s="79"/>
      <c r="O797" s="79"/>
      <c r="P797" s="79"/>
      <c r="S797" s="79"/>
      <c r="T797" s="79"/>
      <c r="W797" s="130"/>
      <c r="Y797" s="106"/>
    </row>
    <row r="798">
      <c r="C798" s="79"/>
      <c r="D798" s="79"/>
      <c r="J798" s="79"/>
      <c r="O798" s="79"/>
      <c r="P798" s="79"/>
      <c r="S798" s="79"/>
      <c r="T798" s="79"/>
      <c r="W798" s="130"/>
      <c r="Y798" s="106"/>
    </row>
    <row r="799">
      <c r="C799" s="79"/>
      <c r="D799" s="79"/>
      <c r="J799" s="79"/>
      <c r="O799" s="79"/>
      <c r="P799" s="79"/>
      <c r="S799" s="79"/>
      <c r="T799" s="79"/>
      <c r="W799" s="130"/>
      <c r="Y799" s="106"/>
    </row>
    <row r="800">
      <c r="C800" s="79"/>
      <c r="D800" s="79"/>
      <c r="J800" s="79"/>
      <c r="O800" s="79"/>
      <c r="P800" s="79"/>
      <c r="S800" s="79"/>
      <c r="T800" s="79"/>
      <c r="W800" s="130"/>
      <c r="Y800" s="106"/>
    </row>
    <row r="801">
      <c r="C801" s="79"/>
      <c r="D801" s="79"/>
      <c r="J801" s="79"/>
      <c r="O801" s="79"/>
      <c r="P801" s="79"/>
      <c r="S801" s="79"/>
      <c r="T801" s="79"/>
      <c r="W801" s="130"/>
      <c r="Y801" s="106"/>
    </row>
    <row r="802">
      <c r="C802" s="79"/>
      <c r="D802" s="79"/>
      <c r="J802" s="79"/>
      <c r="O802" s="79"/>
      <c r="P802" s="79"/>
      <c r="S802" s="79"/>
      <c r="T802" s="79"/>
      <c r="W802" s="130"/>
      <c r="Y802" s="106"/>
    </row>
    <row r="803">
      <c r="C803" s="79"/>
      <c r="D803" s="79"/>
      <c r="J803" s="79"/>
      <c r="O803" s="79"/>
      <c r="P803" s="79"/>
      <c r="S803" s="79"/>
      <c r="T803" s="79"/>
      <c r="W803" s="130"/>
      <c r="Y803" s="106"/>
    </row>
    <row r="804">
      <c r="C804" s="79"/>
      <c r="D804" s="79"/>
      <c r="J804" s="79"/>
      <c r="O804" s="79"/>
      <c r="P804" s="79"/>
      <c r="S804" s="79"/>
      <c r="T804" s="79"/>
      <c r="W804" s="130"/>
      <c r="Y804" s="106"/>
    </row>
    <row r="805">
      <c r="C805" s="79"/>
      <c r="D805" s="79"/>
      <c r="J805" s="79"/>
      <c r="O805" s="79"/>
      <c r="P805" s="79"/>
      <c r="S805" s="79"/>
      <c r="T805" s="79"/>
      <c r="W805" s="130"/>
      <c r="Y805" s="106"/>
    </row>
    <row r="806">
      <c r="C806" s="79"/>
      <c r="D806" s="79"/>
      <c r="J806" s="79"/>
      <c r="O806" s="79"/>
      <c r="P806" s="79"/>
      <c r="S806" s="79"/>
      <c r="T806" s="79"/>
      <c r="W806" s="130"/>
      <c r="Y806" s="106"/>
    </row>
    <row r="807">
      <c r="C807" s="79"/>
      <c r="D807" s="79"/>
      <c r="J807" s="79"/>
      <c r="O807" s="79"/>
      <c r="P807" s="79"/>
      <c r="S807" s="79"/>
      <c r="T807" s="79"/>
      <c r="W807" s="130"/>
      <c r="Y807" s="106"/>
    </row>
    <row r="808">
      <c r="C808" s="79"/>
      <c r="D808" s="79"/>
      <c r="J808" s="79"/>
      <c r="O808" s="79"/>
      <c r="P808" s="79"/>
      <c r="S808" s="79"/>
      <c r="T808" s="79"/>
      <c r="W808" s="130"/>
      <c r="Y808" s="106"/>
    </row>
    <row r="809">
      <c r="C809" s="79"/>
      <c r="D809" s="79"/>
      <c r="J809" s="79"/>
      <c r="O809" s="79"/>
      <c r="P809" s="79"/>
      <c r="S809" s="79"/>
      <c r="T809" s="79"/>
      <c r="W809" s="130"/>
      <c r="Y809" s="106"/>
    </row>
    <row r="810">
      <c r="C810" s="79"/>
      <c r="D810" s="79"/>
      <c r="J810" s="79"/>
      <c r="O810" s="79"/>
      <c r="P810" s="79"/>
      <c r="S810" s="79"/>
      <c r="T810" s="79"/>
      <c r="W810" s="130"/>
      <c r="Y810" s="106"/>
    </row>
    <row r="811">
      <c r="C811" s="79"/>
      <c r="D811" s="79"/>
      <c r="J811" s="79"/>
      <c r="O811" s="79"/>
      <c r="P811" s="79"/>
      <c r="S811" s="79"/>
      <c r="T811" s="79"/>
      <c r="W811" s="130"/>
      <c r="Y811" s="106"/>
    </row>
    <row r="812">
      <c r="C812" s="79"/>
      <c r="D812" s="79"/>
      <c r="J812" s="79"/>
      <c r="O812" s="79"/>
      <c r="P812" s="79"/>
      <c r="S812" s="79"/>
      <c r="T812" s="79"/>
      <c r="W812" s="130"/>
      <c r="Y812" s="106"/>
    </row>
    <row r="813">
      <c r="C813" s="79"/>
      <c r="D813" s="79"/>
      <c r="J813" s="79"/>
      <c r="O813" s="79"/>
      <c r="P813" s="79"/>
      <c r="S813" s="79"/>
      <c r="T813" s="79"/>
      <c r="W813" s="130"/>
      <c r="Y813" s="106"/>
    </row>
    <row r="814">
      <c r="C814" s="79"/>
      <c r="D814" s="79"/>
      <c r="J814" s="79"/>
      <c r="O814" s="79"/>
      <c r="P814" s="79"/>
      <c r="S814" s="79"/>
      <c r="T814" s="79"/>
      <c r="W814" s="130"/>
      <c r="Y814" s="106"/>
    </row>
    <row r="815">
      <c r="C815" s="79"/>
      <c r="D815" s="79"/>
      <c r="J815" s="79"/>
      <c r="O815" s="79"/>
      <c r="P815" s="79"/>
      <c r="S815" s="79"/>
      <c r="T815" s="79"/>
      <c r="W815" s="130"/>
      <c r="Y815" s="106"/>
    </row>
    <row r="816">
      <c r="C816" s="79"/>
      <c r="D816" s="79"/>
      <c r="J816" s="79"/>
      <c r="O816" s="79"/>
      <c r="P816" s="79"/>
      <c r="S816" s="79"/>
      <c r="T816" s="79"/>
      <c r="W816" s="130"/>
      <c r="Y816" s="106"/>
    </row>
    <row r="817">
      <c r="C817" s="79"/>
      <c r="D817" s="79"/>
      <c r="J817" s="79"/>
      <c r="O817" s="79"/>
      <c r="P817" s="79"/>
      <c r="S817" s="79"/>
      <c r="T817" s="79"/>
      <c r="W817" s="130"/>
      <c r="Y817" s="106"/>
    </row>
    <row r="818">
      <c r="C818" s="79"/>
      <c r="D818" s="79"/>
      <c r="J818" s="79"/>
      <c r="O818" s="79"/>
      <c r="P818" s="79"/>
      <c r="S818" s="79"/>
      <c r="T818" s="79"/>
      <c r="W818" s="130"/>
      <c r="Y818" s="106"/>
    </row>
    <row r="819">
      <c r="C819" s="79"/>
      <c r="D819" s="79"/>
      <c r="J819" s="79"/>
      <c r="O819" s="79"/>
      <c r="P819" s="79"/>
      <c r="S819" s="79"/>
      <c r="T819" s="79"/>
      <c r="W819" s="130"/>
      <c r="Y819" s="106"/>
    </row>
    <row r="820">
      <c r="C820" s="79"/>
      <c r="D820" s="79"/>
      <c r="J820" s="79"/>
      <c r="O820" s="79"/>
      <c r="P820" s="79"/>
      <c r="S820" s="79"/>
      <c r="T820" s="79"/>
      <c r="W820" s="130"/>
      <c r="Y820" s="106"/>
    </row>
    <row r="821">
      <c r="C821" s="79"/>
      <c r="D821" s="79"/>
      <c r="J821" s="79"/>
      <c r="O821" s="79"/>
      <c r="P821" s="79"/>
      <c r="S821" s="79"/>
      <c r="T821" s="79"/>
      <c r="W821" s="130"/>
      <c r="Y821" s="106"/>
    </row>
    <row r="822">
      <c r="C822" s="79"/>
      <c r="D822" s="79"/>
      <c r="J822" s="79"/>
      <c r="O822" s="79"/>
      <c r="P822" s="79"/>
      <c r="S822" s="79"/>
      <c r="T822" s="79"/>
      <c r="W822" s="130"/>
      <c r="Y822" s="106"/>
    </row>
    <row r="823">
      <c r="C823" s="79"/>
      <c r="D823" s="79"/>
      <c r="J823" s="79"/>
      <c r="O823" s="79"/>
      <c r="P823" s="79"/>
      <c r="S823" s="79"/>
      <c r="T823" s="79"/>
      <c r="W823" s="130"/>
      <c r="Y823" s="106"/>
    </row>
    <row r="824">
      <c r="C824" s="79"/>
      <c r="D824" s="79"/>
      <c r="J824" s="79"/>
      <c r="O824" s="79"/>
      <c r="P824" s="79"/>
      <c r="S824" s="79"/>
      <c r="T824" s="79"/>
      <c r="W824" s="130"/>
      <c r="Y824" s="106"/>
    </row>
    <row r="825">
      <c r="C825" s="79"/>
      <c r="D825" s="79"/>
      <c r="J825" s="79"/>
      <c r="O825" s="79"/>
      <c r="P825" s="79"/>
      <c r="S825" s="79"/>
      <c r="T825" s="79"/>
      <c r="W825" s="130"/>
      <c r="Y825" s="106"/>
    </row>
    <row r="826">
      <c r="C826" s="79"/>
      <c r="D826" s="79"/>
      <c r="J826" s="79"/>
      <c r="O826" s="79"/>
      <c r="P826" s="79"/>
      <c r="S826" s="79"/>
      <c r="T826" s="79"/>
      <c r="W826" s="130"/>
      <c r="Y826" s="106"/>
    </row>
    <row r="827">
      <c r="C827" s="79"/>
      <c r="D827" s="79"/>
      <c r="J827" s="79"/>
      <c r="O827" s="79"/>
      <c r="P827" s="79"/>
      <c r="S827" s="79"/>
      <c r="T827" s="79"/>
      <c r="W827" s="130"/>
      <c r="Y827" s="106"/>
    </row>
    <row r="828">
      <c r="C828" s="79"/>
      <c r="D828" s="79"/>
      <c r="J828" s="79"/>
      <c r="O828" s="79"/>
      <c r="P828" s="79"/>
      <c r="S828" s="79"/>
      <c r="T828" s="79"/>
      <c r="W828" s="130"/>
      <c r="Y828" s="106"/>
    </row>
    <row r="829">
      <c r="C829" s="79"/>
      <c r="D829" s="79"/>
      <c r="J829" s="79"/>
      <c r="O829" s="79"/>
      <c r="P829" s="79"/>
      <c r="S829" s="79"/>
      <c r="T829" s="79"/>
      <c r="W829" s="130"/>
      <c r="Y829" s="106"/>
    </row>
    <row r="830">
      <c r="C830" s="79"/>
      <c r="D830" s="79"/>
      <c r="J830" s="79"/>
      <c r="O830" s="79"/>
      <c r="P830" s="79"/>
      <c r="S830" s="79"/>
      <c r="T830" s="79"/>
      <c r="W830" s="130"/>
      <c r="Y830" s="106"/>
    </row>
    <row r="831">
      <c r="C831" s="79"/>
      <c r="D831" s="79"/>
      <c r="J831" s="79"/>
      <c r="O831" s="79"/>
      <c r="P831" s="79"/>
      <c r="S831" s="79"/>
      <c r="T831" s="79"/>
      <c r="W831" s="130"/>
      <c r="Y831" s="106"/>
    </row>
    <row r="832">
      <c r="C832" s="79"/>
      <c r="D832" s="79"/>
      <c r="J832" s="79"/>
      <c r="O832" s="79"/>
      <c r="P832" s="79"/>
      <c r="S832" s="79"/>
      <c r="T832" s="79"/>
      <c r="W832" s="130"/>
      <c r="Y832" s="106"/>
    </row>
    <row r="833">
      <c r="C833" s="79"/>
      <c r="D833" s="79"/>
      <c r="J833" s="79"/>
      <c r="O833" s="79"/>
      <c r="P833" s="79"/>
      <c r="S833" s="79"/>
      <c r="T833" s="79"/>
      <c r="W833" s="130"/>
      <c r="Y833" s="106"/>
    </row>
    <row r="834">
      <c r="C834" s="79"/>
      <c r="D834" s="79"/>
      <c r="J834" s="79"/>
      <c r="O834" s="79"/>
      <c r="P834" s="79"/>
      <c r="S834" s="79"/>
      <c r="T834" s="79"/>
      <c r="W834" s="130"/>
      <c r="Y834" s="106"/>
    </row>
    <row r="835">
      <c r="C835" s="79"/>
      <c r="D835" s="79"/>
      <c r="J835" s="79"/>
      <c r="O835" s="79"/>
      <c r="P835" s="79"/>
      <c r="S835" s="79"/>
      <c r="T835" s="79"/>
      <c r="W835" s="130"/>
      <c r="Y835" s="106"/>
    </row>
    <row r="836">
      <c r="C836" s="79"/>
      <c r="D836" s="79"/>
      <c r="J836" s="79"/>
      <c r="O836" s="79"/>
      <c r="P836" s="79"/>
      <c r="S836" s="79"/>
      <c r="T836" s="79"/>
      <c r="W836" s="130"/>
      <c r="Y836" s="106"/>
    </row>
    <row r="837">
      <c r="C837" s="79"/>
      <c r="D837" s="79"/>
      <c r="J837" s="79"/>
      <c r="O837" s="79"/>
      <c r="P837" s="79"/>
      <c r="S837" s="79"/>
      <c r="T837" s="79"/>
      <c r="W837" s="130"/>
      <c r="Y837" s="106"/>
    </row>
    <row r="838">
      <c r="C838" s="79"/>
      <c r="D838" s="79"/>
      <c r="J838" s="79"/>
      <c r="O838" s="79"/>
      <c r="P838" s="79"/>
      <c r="S838" s="79"/>
      <c r="T838" s="79"/>
      <c r="W838" s="130"/>
      <c r="Y838" s="106"/>
    </row>
    <row r="839">
      <c r="C839" s="79"/>
      <c r="D839" s="79"/>
      <c r="J839" s="79"/>
      <c r="O839" s="79"/>
      <c r="P839" s="79"/>
      <c r="S839" s="79"/>
      <c r="T839" s="79"/>
      <c r="W839" s="130"/>
      <c r="Y839" s="106"/>
    </row>
    <row r="840">
      <c r="C840" s="79"/>
      <c r="D840" s="79"/>
      <c r="J840" s="79"/>
      <c r="O840" s="79"/>
      <c r="P840" s="79"/>
      <c r="S840" s="79"/>
      <c r="T840" s="79"/>
      <c r="W840" s="130"/>
      <c r="Y840" s="106"/>
    </row>
    <row r="841">
      <c r="C841" s="79"/>
      <c r="D841" s="79"/>
      <c r="J841" s="79"/>
      <c r="O841" s="79"/>
      <c r="P841" s="79"/>
      <c r="S841" s="79"/>
      <c r="T841" s="79"/>
      <c r="W841" s="130"/>
      <c r="Y841" s="106"/>
    </row>
    <row r="842">
      <c r="C842" s="79"/>
      <c r="D842" s="79"/>
      <c r="J842" s="79"/>
      <c r="O842" s="79"/>
      <c r="P842" s="79"/>
      <c r="S842" s="79"/>
      <c r="T842" s="79"/>
      <c r="W842" s="130"/>
      <c r="Y842" s="106"/>
    </row>
    <row r="843">
      <c r="C843" s="79"/>
      <c r="D843" s="79"/>
      <c r="J843" s="79"/>
      <c r="O843" s="79"/>
      <c r="P843" s="79"/>
      <c r="S843" s="79"/>
      <c r="T843" s="79"/>
      <c r="W843" s="130"/>
      <c r="Y843" s="106"/>
    </row>
    <row r="844">
      <c r="C844" s="79"/>
      <c r="D844" s="79"/>
      <c r="J844" s="79"/>
      <c r="O844" s="79"/>
      <c r="P844" s="79"/>
      <c r="S844" s="79"/>
      <c r="T844" s="79"/>
      <c r="W844" s="130"/>
      <c r="Y844" s="106"/>
    </row>
    <row r="845">
      <c r="C845" s="79"/>
      <c r="D845" s="79"/>
      <c r="J845" s="79"/>
      <c r="O845" s="79"/>
      <c r="P845" s="79"/>
      <c r="S845" s="79"/>
      <c r="T845" s="79"/>
      <c r="W845" s="130"/>
      <c r="Y845" s="106"/>
    </row>
    <row r="846">
      <c r="C846" s="79"/>
      <c r="D846" s="79"/>
      <c r="J846" s="79"/>
      <c r="O846" s="79"/>
      <c r="P846" s="79"/>
      <c r="S846" s="79"/>
      <c r="T846" s="79"/>
      <c r="W846" s="130"/>
      <c r="Y846" s="106"/>
    </row>
    <row r="847">
      <c r="C847" s="79"/>
      <c r="D847" s="79"/>
      <c r="J847" s="79"/>
      <c r="O847" s="79"/>
      <c r="P847" s="79"/>
      <c r="S847" s="79"/>
      <c r="T847" s="79"/>
      <c r="W847" s="130"/>
      <c r="Y847" s="106"/>
    </row>
    <row r="848">
      <c r="C848" s="79"/>
      <c r="D848" s="79"/>
      <c r="J848" s="79"/>
      <c r="O848" s="79"/>
      <c r="P848" s="79"/>
      <c r="S848" s="79"/>
      <c r="T848" s="79"/>
      <c r="W848" s="130"/>
      <c r="Y848" s="106"/>
    </row>
    <row r="849">
      <c r="C849" s="79"/>
      <c r="D849" s="79"/>
      <c r="J849" s="79"/>
      <c r="O849" s="79"/>
      <c r="P849" s="79"/>
      <c r="S849" s="79"/>
      <c r="T849" s="79"/>
      <c r="W849" s="130"/>
      <c r="Y849" s="106"/>
    </row>
    <row r="850">
      <c r="C850" s="79"/>
      <c r="D850" s="79"/>
      <c r="J850" s="79"/>
      <c r="O850" s="79"/>
      <c r="P850" s="79"/>
      <c r="S850" s="79"/>
      <c r="T850" s="79"/>
      <c r="W850" s="130"/>
      <c r="Y850" s="106"/>
    </row>
    <row r="851">
      <c r="C851" s="79"/>
      <c r="D851" s="79"/>
      <c r="J851" s="79"/>
      <c r="O851" s="79"/>
      <c r="P851" s="79"/>
      <c r="S851" s="79"/>
      <c r="T851" s="79"/>
      <c r="W851" s="130"/>
      <c r="Y851" s="106"/>
    </row>
    <row r="852">
      <c r="C852" s="79"/>
      <c r="D852" s="79"/>
      <c r="J852" s="79"/>
      <c r="O852" s="79"/>
      <c r="P852" s="79"/>
      <c r="S852" s="79"/>
      <c r="T852" s="79"/>
      <c r="W852" s="130"/>
      <c r="Y852" s="106"/>
    </row>
    <row r="853">
      <c r="C853" s="79"/>
      <c r="D853" s="79"/>
      <c r="J853" s="79"/>
      <c r="O853" s="79"/>
      <c r="P853" s="79"/>
      <c r="S853" s="79"/>
      <c r="T853" s="79"/>
      <c r="W853" s="130"/>
      <c r="Y853" s="106"/>
    </row>
    <row r="854">
      <c r="C854" s="79"/>
      <c r="D854" s="79"/>
      <c r="J854" s="79"/>
      <c r="O854" s="79"/>
      <c r="P854" s="79"/>
      <c r="S854" s="79"/>
      <c r="T854" s="79"/>
      <c r="W854" s="130"/>
      <c r="Y854" s="106"/>
    </row>
    <row r="855">
      <c r="C855" s="79"/>
      <c r="D855" s="79"/>
      <c r="J855" s="79"/>
      <c r="O855" s="79"/>
      <c r="P855" s="79"/>
      <c r="S855" s="79"/>
      <c r="T855" s="79"/>
      <c r="W855" s="130"/>
      <c r="Y855" s="106"/>
    </row>
    <row r="856">
      <c r="C856" s="79"/>
      <c r="D856" s="79"/>
      <c r="J856" s="79"/>
      <c r="O856" s="79"/>
      <c r="P856" s="79"/>
      <c r="S856" s="79"/>
      <c r="T856" s="79"/>
      <c r="W856" s="130"/>
      <c r="Y856" s="106"/>
    </row>
    <row r="857">
      <c r="C857" s="79"/>
      <c r="D857" s="79"/>
      <c r="J857" s="79"/>
      <c r="O857" s="79"/>
      <c r="P857" s="79"/>
      <c r="S857" s="79"/>
      <c r="T857" s="79"/>
      <c r="W857" s="130"/>
      <c r="Y857" s="106"/>
    </row>
    <row r="858">
      <c r="C858" s="79"/>
      <c r="D858" s="79"/>
      <c r="J858" s="79"/>
      <c r="O858" s="79"/>
      <c r="P858" s="79"/>
      <c r="S858" s="79"/>
      <c r="T858" s="79"/>
      <c r="W858" s="130"/>
      <c r="Y858" s="106"/>
    </row>
    <row r="859">
      <c r="C859" s="79"/>
      <c r="D859" s="79"/>
      <c r="J859" s="79"/>
      <c r="O859" s="79"/>
      <c r="P859" s="79"/>
      <c r="S859" s="79"/>
      <c r="T859" s="79"/>
      <c r="W859" s="130"/>
      <c r="Y859" s="106"/>
    </row>
    <row r="860">
      <c r="C860" s="79"/>
      <c r="D860" s="79"/>
      <c r="J860" s="79"/>
      <c r="O860" s="79"/>
      <c r="P860" s="79"/>
      <c r="S860" s="79"/>
      <c r="T860" s="79"/>
      <c r="W860" s="130"/>
      <c r="Y860" s="106"/>
    </row>
    <row r="861">
      <c r="C861" s="79"/>
      <c r="D861" s="79"/>
      <c r="J861" s="79"/>
      <c r="O861" s="79"/>
      <c r="P861" s="79"/>
      <c r="S861" s="79"/>
      <c r="T861" s="79"/>
      <c r="W861" s="130"/>
      <c r="Y861" s="106"/>
    </row>
    <row r="862">
      <c r="C862" s="79"/>
      <c r="D862" s="79"/>
      <c r="J862" s="79"/>
      <c r="O862" s="79"/>
      <c r="P862" s="79"/>
      <c r="S862" s="79"/>
      <c r="T862" s="79"/>
      <c r="W862" s="130"/>
      <c r="Y862" s="106"/>
    </row>
    <row r="863">
      <c r="C863" s="79"/>
      <c r="D863" s="79"/>
      <c r="J863" s="79"/>
      <c r="O863" s="79"/>
      <c r="P863" s="79"/>
      <c r="S863" s="79"/>
      <c r="T863" s="79"/>
      <c r="W863" s="130"/>
      <c r="Y863" s="106"/>
    </row>
    <row r="864">
      <c r="C864" s="79"/>
      <c r="D864" s="79"/>
      <c r="J864" s="79"/>
      <c r="O864" s="79"/>
      <c r="P864" s="79"/>
      <c r="S864" s="79"/>
      <c r="T864" s="79"/>
      <c r="W864" s="130"/>
      <c r="Y864" s="106"/>
    </row>
    <row r="865">
      <c r="C865" s="79"/>
      <c r="D865" s="79"/>
      <c r="J865" s="79"/>
      <c r="O865" s="79"/>
      <c r="P865" s="79"/>
      <c r="S865" s="79"/>
      <c r="T865" s="79"/>
      <c r="W865" s="130"/>
      <c r="Y865" s="106"/>
    </row>
    <row r="866">
      <c r="C866" s="79"/>
      <c r="D866" s="79"/>
      <c r="J866" s="79"/>
      <c r="O866" s="79"/>
      <c r="P866" s="79"/>
      <c r="S866" s="79"/>
      <c r="T866" s="79"/>
      <c r="W866" s="130"/>
      <c r="Y866" s="106"/>
    </row>
    <row r="867">
      <c r="C867" s="79"/>
      <c r="D867" s="79"/>
      <c r="J867" s="79"/>
      <c r="O867" s="79"/>
      <c r="P867" s="79"/>
      <c r="S867" s="79"/>
      <c r="T867" s="79"/>
      <c r="W867" s="130"/>
      <c r="Y867" s="106"/>
    </row>
    <row r="868">
      <c r="C868" s="79"/>
      <c r="D868" s="79"/>
      <c r="J868" s="79"/>
      <c r="O868" s="79"/>
      <c r="P868" s="79"/>
      <c r="S868" s="79"/>
      <c r="T868" s="79"/>
      <c r="W868" s="130"/>
      <c r="Y868" s="106"/>
    </row>
    <row r="869">
      <c r="C869" s="79"/>
      <c r="D869" s="79"/>
      <c r="J869" s="79"/>
      <c r="O869" s="79"/>
      <c r="P869" s="79"/>
      <c r="S869" s="79"/>
      <c r="T869" s="79"/>
      <c r="W869" s="130"/>
      <c r="Y869" s="106"/>
    </row>
    <row r="870">
      <c r="C870" s="79"/>
      <c r="D870" s="79"/>
      <c r="J870" s="79"/>
      <c r="O870" s="79"/>
      <c r="P870" s="79"/>
      <c r="S870" s="79"/>
      <c r="T870" s="79"/>
      <c r="W870" s="130"/>
      <c r="Y870" s="106"/>
    </row>
    <row r="871">
      <c r="C871" s="79"/>
      <c r="D871" s="79"/>
      <c r="J871" s="79"/>
      <c r="O871" s="79"/>
      <c r="P871" s="79"/>
      <c r="S871" s="79"/>
      <c r="T871" s="79"/>
      <c r="W871" s="130"/>
      <c r="Y871" s="106"/>
    </row>
    <row r="872">
      <c r="C872" s="79"/>
      <c r="D872" s="79"/>
      <c r="J872" s="79"/>
      <c r="O872" s="79"/>
      <c r="P872" s="79"/>
      <c r="S872" s="79"/>
      <c r="T872" s="79"/>
      <c r="W872" s="130"/>
      <c r="Y872" s="106"/>
    </row>
    <row r="873">
      <c r="C873" s="79"/>
      <c r="D873" s="79"/>
      <c r="J873" s="79"/>
      <c r="O873" s="79"/>
      <c r="P873" s="79"/>
      <c r="S873" s="79"/>
      <c r="T873" s="79"/>
      <c r="W873" s="130"/>
      <c r="Y873" s="106"/>
    </row>
    <row r="874">
      <c r="C874" s="79"/>
      <c r="D874" s="79"/>
      <c r="J874" s="79"/>
      <c r="O874" s="79"/>
      <c r="P874" s="79"/>
      <c r="S874" s="79"/>
      <c r="T874" s="79"/>
      <c r="W874" s="130"/>
      <c r="Y874" s="106"/>
    </row>
    <row r="875">
      <c r="C875" s="79"/>
      <c r="D875" s="79"/>
      <c r="J875" s="79"/>
      <c r="O875" s="79"/>
      <c r="P875" s="79"/>
      <c r="S875" s="79"/>
      <c r="T875" s="79"/>
      <c r="W875" s="130"/>
      <c r="Y875" s="106"/>
    </row>
    <row r="876">
      <c r="C876" s="79"/>
      <c r="D876" s="79"/>
      <c r="J876" s="79"/>
      <c r="O876" s="79"/>
      <c r="P876" s="79"/>
      <c r="S876" s="79"/>
      <c r="T876" s="79"/>
      <c r="W876" s="130"/>
      <c r="Y876" s="106"/>
    </row>
    <row r="877">
      <c r="C877" s="79"/>
      <c r="D877" s="79"/>
      <c r="J877" s="79"/>
      <c r="O877" s="79"/>
      <c r="P877" s="79"/>
      <c r="S877" s="79"/>
      <c r="T877" s="79"/>
      <c r="W877" s="130"/>
      <c r="Y877" s="106"/>
    </row>
    <row r="878">
      <c r="C878" s="79"/>
      <c r="D878" s="79"/>
      <c r="J878" s="79"/>
      <c r="O878" s="79"/>
      <c r="P878" s="79"/>
      <c r="S878" s="79"/>
      <c r="T878" s="79"/>
      <c r="W878" s="130"/>
      <c r="Y878" s="106"/>
    </row>
    <row r="879">
      <c r="C879" s="79"/>
      <c r="D879" s="79"/>
      <c r="J879" s="79"/>
      <c r="O879" s="79"/>
      <c r="P879" s="79"/>
      <c r="S879" s="79"/>
      <c r="T879" s="79"/>
      <c r="W879" s="130"/>
      <c r="Y879" s="106"/>
    </row>
    <row r="880">
      <c r="C880" s="79"/>
      <c r="D880" s="79"/>
      <c r="J880" s="79"/>
      <c r="O880" s="79"/>
      <c r="P880" s="79"/>
      <c r="S880" s="79"/>
      <c r="T880" s="79"/>
      <c r="W880" s="130"/>
      <c r="Y880" s="106"/>
    </row>
    <row r="881">
      <c r="C881" s="79"/>
      <c r="D881" s="79"/>
      <c r="J881" s="79"/>
      <c r="O881" s="79"/>
      <c r="P881" s="79"/>
      <c r="S881" s="79"/>
      <c r="T881" s="79"/>
      <c r="W881" s="130"/>
      <c r="Y881" s="106"/>
    </row>
    <row r="882">
      <c r="C882" s="79"/>
      <c r="D882" s="79"/>
      <c r="J882" s="79"/>
      <c r="O882" s="79"/>
      <c r="P882" s="79"/>
      <c r="S882" s="79"/>
      <c r="T882" s="79"/>
      <c r="W882" s="130"/>
      <c r="Y882" s="106"/>
    </row>
    <row r="883">
      <c r="C883" s="79"/>
      <c r="D883" s="79"/>
      <c r="J883" s="79"/>
      <c r="O883" s="79"/>
      <c r="P883" s="79"/>
      <c r="S883" s="79"/>
      <c r="T883" s="79"/>
      <c r="W883" s="130"/>
      <c r="Y883" s="106"/>
    </row>
    <row r="884">
      <c r="C884" s="79"/>
      <c r="D884" s="79"/>
      <c r="J884" s="79"/>
      <c r="O884" s="79"/>
      <c r="P884" s="79"/>
      <c r="S884" s="79"/>
      <c r="T884" s="79"/>
      <c r="W884" s="130"/>
      <c r="Y884" s="106"/>
    </row>
    <row r="885">
      <c r="C885" s="79"/>
      <c r="D885" s="79"/>
      <c r="J885" s="79"/>
      <c r="O885" s="79"/>
      <c r="P885" s="79"/>
      <c r="S885" s="79"/>
      <c r="T885" s="79"/>
      <c r="W885" s="130"/>
      <c r="Y885" s="106"/>
    </row>
    <row r="886">
      <c r="C886" s="79"/>
      <c r="D886" s="79"/>
      <c r="J886" s="79"/>
      <c r="O886" s="79"/>
      <c r="P886" s="79"/>
      <c r="S886" s="79"/>
      <c r="T886" s="79"/>
      <c r="W886" s="130"/>
      <c r="Y886" s="106"/>
    </row>
    <row r="887">
      <c r="C887" s="79"/>
      <c r="D887" s="79"/>
      <c r="J887" s="79"/>
      <c r="O887" s="79"/>
      <c r="P887" s="79"/>
      <c r="S887" s="79"/>
      <c r="T887" s="79"/>
      <c r="W887" s="130"/>
      <c r="Y887" s="106"/>
    </row>
    <row r="888">
      <c r="C888" s="79"/>
      <c r="D888" s="79"/>
      <c r="J888" s="79"/>
      <c r="O888" s="79"/>
      <c r="P888" s="79"/>
      <c r="S888" s="79"/>
      <c r="T888" s="79"/>
      <c r="W888" s="130"/>
      <c r="Y888" s="106"/>
    </row>
    <row r="889">
      <c r="C889" s="79"/>
      <c r="D889" s="79"/>
      <c r="J889" s="79"/>
      <c r="O889" s="79"/>
      <c r="P889" s="79"/>
      <c r="S889" s="79"/>
      <c r="T889" s="79"/>
      <c r="W889" s="130"/>
      <c r="Y889" s="106"/>
    </row>
    <row r="890">
      <c r="C890" s="79"/>
      <c r="D890" s="79"/>
      <c r="J890" s="79"/>
      <c r="O890" s="79"/>
      <c r="P890" s="79"/>
      <c r="S890" s="79"/>
      <c r="T890" s="79"/>
      <c r="W890" s="130"/>
      <c r="Y890" s="106"/>
    </row>
    <row r="891">
      <c r="C891" s="79"/>
      <c r="D891" s="79"/>
      <c r="J891" s="79"/>
      <c r="O891" s="79"/>
      <c r="P891" s="79"/>
      <c r="S891" s="79"/>
      <c r="T891" s="79"/>
      <c r="W891" s="130"/>
      <c r="Y891" s="106"/>
    </row>
    <row r="892">
      <c r="C892" s="79"/>
      <c r="D892" s="79"/>
      <c r="J892" s="79"/>
      <c r="O892" s="79"/>
      <c r="P892" s="79"/>
      <c r="S892" s="79"/>
      <c r="T892" s="79"/>
      <c r="W892" s="130"/>
      <c r="Y892" s="106"/>
    </row>
    <row r="893">
      <c r="C893" s="79"/>
      <c r="D893" s="79"/>
      <c r="J893" s="79"/>
      <c r="O893" s="79"/>
      <c r="P893" s="79"/>
      <c r="S893" s="79"/>
      <c r="T893" s="79"/>
      <c r="W893" s="130"/>
      <c r="Y893" s="106"/>
    </row>
    <row r="894">
      <c r="C894" s="79"/>
      <c r="D894" s="79"/>
      <c r="J894" s="79"/>
      <c r="O894" s="79"/>
      <c r="P894" s="79"/>
      <c r="S894" s="79"/>
      <c r="T894" s="79"/>
      <c r="W894" s="130"/>
      <c r="Y894" s="106"/>
    </row>
    <row r="895">
      <c r="C895" s="79"/>
      <c r="D895" s="79"/>
      <c r="J895" s="79"/>
      <c r="O895" s="79"/>
      <c r="P895" s="79"/>
      <c r="S895" s="79"/>
      <c r="T895" s="79"/>
      <c r="W895" s="130"/>
      <c r="Y895" s="106"/>
    </row>
    <row r="896">
      <c r="C896" s="79"/>
      <c r="D896" s="79"/>
      <c r="J896" s="79"/>
      <c r="O896" s="79"/>
      <c r="P896" s="79"/>
      <c r="S896" s="79"/>
      <c r="T896" s="79"/>
      <c r="W896" s="130"/>
      <c r="Y896" s="106"/>
    </row>
    <row r="897">
      <c r="C897" s="79"/>
      <c r="D897" s="79"/>
      <c r="J897" s="79"/>
      <c r="O897" s="79"/>
      <c r="P897" s="79"/>
      <c r="S897" s="79"/>
      <c r="T897" s="79"/>
      <c r="W897" s="130"/>
      <c r="Y897" s="106"/>
    </row>
    <row r="898">
      <c r="C898" s="79"/>
      <c r="D898" s="79"/>
      <c r="J898" s="79"/>
      <c r="O898" s="79"/>
      <c r="P898" s="79"/>
      <c r="S898" s="79"/>
      <c r="T898" s="79"/>
      <c r="W898" s="130"/>
      <c r="Y898" s="106"/>
    </row>
    <row r="899">
      <c r="C899" s="79"/>
      <c r="D899" s="79"/>
      <c r="J899" s="79"/>
      <c r="O899" s="79"/>
      <c r="P899" s="79"/>
      <c r="S899" s="79"/>
      <c r="T899" s="79"/>
      <c r="W899" s="130"/>
      <c r="Y899" s="106"/>
    </row>
    <row r="900">
      <c r="C900" s="79"/>
      <c r="D900" s="79"/>
      <c r="J900" s="79"/>
      <c r="O900" s="79"/>
      <c r="P900" s="79"/>
      <c r="S900" s="79"/>
      <c r="T900" s="79"/>
      <c r="W900" s="130"/>
      <c r="Y900" s="106"/>
    </row>
    <row r="901">
      <c r="C901" s="79"/>
      <c r="D901" s="79"/>
      <c r="J901" s="79"/>
      <c r="O901" s="79"/>
      <c r="P901" s="79"/>
      <c r="S901" s="79"/>
      <c r="T901" s="79"/>
      <c r="W901" s="130"/>
      <c r="Y901" s="106"/>
    </row>
    <row r="902">
      <c r="C902" s="79"/>
      <c r="D902" s="79"/>
      <c r="J902" s="79"/>
      <c r="O902" s="79"/>
      <c r="P902" s="79"/>
      <c r="S902" s="79"/>
      <c r="T902" s="79"/>
      <c r="W902" s="130"/>
      <c r="Y902" s="106"/>
    </row>
    <row r="903">
      <c r="C903" s="79"/>
      <c r="D903" s="79"/>
      <c r="J903" s="79"/>
      <c r="O903" s="79"/>
      <c r="P903" s="79"/>
      <c r="S903" s="79"/>
      <c r="T903" s="79"/>
      <c r="W903" s="130"/>
      <c r="Y903" s="106"/>
    </row>
    <row r="904">
      <c r="C904" s="79"/>
      <c r="D904" s="79"/>
      <c r="J904" s="79"/>
      <c r="O904" s="79"/>
      <c r="P904" s="79"/>
      <c r="S904" s="79"/>
      <c r="T904" s="79"/>
      <c r="W904" s="130"/>
      <c r="Y904" s="106"/>
    </row>
    <row r="905">
      <c r="C905" s="79"/>
      <c r="D905" s="79"/>
      <c r="J905" s="79"/>
      <c r="O905" s="79"/>
      <c r="P905" s="79"/>
      <c r="S905" s="79"/>
      <c r="T905" s="79"/>
      <c r="W905" s="130"/>
      <c r="Y905" s="106"/>
    </row>
    <row r="906">
      <c r="C906" s="79"/>
      <c r="D906" s="79"/>
      <c r="J906" s="79"/>
      <c r="O906" s="79"/>
      <c r="P906" s="79"/>
      <c r="S906" s="79"/>
      <c r="T906" s="79"/>
      <c r="W906" s="130"/>
      <c r="Y906" s="106"/>
    </row>
    <row r="907">
      <c r="C907" s="79"/>
      <c r="D907" s="79"/>
      <c r="J907" s="79"/>
      <c r="O907" s="79"/>
      <c r="P907" s="79"/>
      <c r="S907" s="79"/>
      <c r="T907" s="79"/>
      <c r="W907" s="130"/>
      <c r="Y907" s="106"/>
    </row>
    <row r="908">
      <c r="C908" s="79"/>
      <c r="D908" s="79"/>
      <c r="J908" s="79"/>
      <c r="O908" s="79"/>
      <c r="P908" s="79"/>
      <c r="S908" s="79"/>
      <c r="T908" s="79"/>
      <c r="W908" s="130"/>
      <c r="Y908" s="106"/>
    </row>
    <row r="909">
      <c r="C909" s="79"/>
      <c r="D909" s="79"/>
      <c r="J909" s="79"/>
      <c r="O909" s="79"/>
      <c r="P909" s="79"/>
      <c r="S909" s="79"/>
      <c r="T909" s="79"/>
      <c r="W909" s="130"/>
      <c r="Y909" s="106"/>
    </row>
    <row r="910">
      <c r="C910" s="79"/>
      <c r="D910" s="79"/>
      <c r="J910" s="79"/>
      <c r="O910" s="79"/>
      <c r="P910" s="79"/>
      <c r="S910" s="79"/>
      <c r="T910" s="79"/>
      <c r="W910" s="130"/>
      <c r="Y910" s="106"/>
    </row>
    <row r="911">
      <c r="C911" s="79"/>
      <c r="D911" s="79"/>
      <c r="J911" s="79"/>
      <c r="O911" s="79"/>
      <c r="P911" s="79"/>
      <c r="S911" s="79"/>
      <c r="T911" s="79"/>
      <c r="W911" s="130"/>
      <c r="Y911" s="106"/>
    </row>
    <row r="912">
      <c r="C912" s="79"/>
      <c r="D912" s="79"/>
      <c r="J912" s="79"/>
      <c r="O912" s="79"/>
      <c r="P912" s="79"/>
      <c r="S912" s="79"/>
      <c r="T912" s="79"/>
      <c r="W912" s="130"/>
      <c r="Y912" s="106"/>
    </row>
    <row r="913">
      <c r="C913" s="79"/>
      <c r="D913" s="79"/>
      <c r="J913" s="79"/>
      <c r="O913" s="79"/>
      <c r="P913" s="79"/>
      <c r="S913" s="79"/>
      <c r="T913" s="79"/>
      <c r="W913" s="130"/>
      <c r="Y913" s="106"/>
    </row>
    <row r="914">
      <c r="C914" s="79"/>
      <c r="D914" s="79"/>
      <c r="J914" s="79"/>
      <c r="O914" s="79"/>
      <c r="P914" s="79"/>
      <c r="S914" s="79"/>
      <c r="T914" s="79"/>
      <c r="W914" s="130"/>
      <c r="Y914" s="106"/>
    </row>
    <row r="915">
      <c r="C915" s="79"/>
      <c r="D915" s="79"/>
      <c r="J915" s="79"/>
      <c r="O915" s="79"/>
      <c r="P915" s="79"/>
      <c r="S915" s="79"/>
      <c r="T915" s="79"/>
      <c r="W915" s="130"/>
      <c r="Y915" s="106"/>
    </row>
    <row r="916">
      <c r="C916" s="79"/>
      <c r="D916" s="79"/>
      <c r="J916" s="79"/>
      <c r="O916" s="79"/>
      <c r="P916" s="79"/>
      <c r="S916" s="79"/>
      <c r="T916" s="79"/>
      <c r="W916" s="130"/>
      <c r="Y916" s="106"/>
    </row>
    <row r="917">
      <c r="C917" s="79"/>
      <c r="D917" s="79"/>
      <c r="J917" s="79"/>
      <c r="O917" s="79"/>
      <c r="P917" s="79"/>
      <c r="S917" s="79"/>
      <c r="T917" s="79"/>
      <c r="W917" s="130"/>
      <c r="Y917" s="106"/>
    </row>
    <row r="918">
      <c r="C918" s="79"/>
      <c r="D918" s="79"/>
      <c r="J918" s="79"/>
      <c r="O918" s="79"/>
      <c r="P918" s="79"/>
      <c r="S918" s="79"/>
      <c r="T918" s="79"/>
      <c r="W918" s="130"/>
      <c r="Y918" s="106"/>
    </row>
    <row r="919">
      <c r="C919" s="79"/>
      <c r="D919" s="79"/>
      <c r="J919" s="79"/>
      <c r="O919" s="79"/>
      <c r="P919" s="79"/>
      <c r="S919" s="79"/>
      <c r="T919" s="79"/>
      <c r="W919" s="130"/>
      <c r="Y919" s="106"/>
    </row>
    <row r="920">
      <c r="C920" s="79"/>
      <c r="D920" s="79"/>
      <c r="J920" s="79"/>
      <c r="O920" s="79"/>
      <c r="P920" s="79"/>
      <c r="S920" s="79"/>
      <c r="T920" s="79"/>
      <c r="W920" s="130"/>
      <c r="Y920" s="106"/>
    </row>
    <row r="921">
      <c r="C921" s="79"/>
      <c r="D921" s="79"/>
      <c r="J921" s="79"/>
      <c r="O921" s="79"/>
      <c r="P921" s="79"/>
      <c r="S921" s="79"/>
      <c r="T921" s="79"/>
      <c r="W921" s="130"/>
      <c r="Y921" s="106"/>
    </row>
    <row r="922">
      <c r="C922" s="79"/>
      <c r="D922" s="79"/>
      <c r="J922" s="79"/>
      <c r="O922" s="79"/>
      <c r="P922" s="79"/>
      <c r="S922" s="79"/>
      <c r="T922" s="79"/>
      <c r="W922" s="130"/>
      <c r="Y922" s="106"/>
    </row>
    <row r="923">
      <c r="C923" s="79"/>
      <c r="D923" s="79"/>
      <c r="J923" s="79"/>
      <c r="O923" s="79"/>
      <c r="P923" s="79"/>
      <c r="S923" s="79"/>
      <c r="T923" s="79"/>
      <c r="W923" s="130"/>
      <c r="Y923" s="106"/>
    </row>
    <row r="924">
      <c r="C924" s="79"/>
      <c r="D924" s="79"/>
      <c r="J924" s="79"/>
      <c r="O924" s="79"/>
      <c r="P924" s="79"/>
      <c r="S924" s="79"/>
      <c r="T924" s="79"/>
      <c r="W924" s="130"/>
      <c r="Y924" s="106"/>
    </row>
    <row r="925">
      <c r="C925" s="79"/>
      <c r="D925" s="79"/>
      <c r="J925" s="79"/>
      <c r="O925" s="79"/>
      <c r="P925" s="79"/>
      <c r="S925" s="79"/>
      <c r="T925" s="79"/>
      <c r="W925" s="130"/>
      <c r="Y925" s="106"/>
    </row>
    <row r="926">
      <c r="C926" s="79"/>
      <c r="D926" s="79"/>
      <c r="J926" s="79"/>
      <c r="O926" s="79"/>
      <c r="P926" s="79"/>
      <c r="S926" s="79"/>
      <c r="T926" s="79"/>
      <c r="W926" s="130"/>
      <c r="Y926" s="106"/>
    </row>
    <row r="927">
      <c r="C927" s="79"/>
      <c r="D927" s="79"/>
      <c r="J927" s="79"/>
      <c r="O927" s="79"/>
      <c r="P927" s="79"/>
      <c r="S927" s="79"/>
      <c r="T927" s="79"/>
      <c r="W927" s="130"/>
      <c r="Y927" s="106"/>
    </row>
    <row r="928">
      <c r="C928" s="79"/>
      <c r="D928" s="79"/>
      <c r="J928" s="79"/>
      <c r="O928" s="79"/>
      <c r="P928" s="79"/>
      <c r="S928" s="79"/>
      <c r="T928" s="79"/>
      <c r="W928" s="130"/>
      <c r="Y928" s="106"/>
    </row>
    <row r="929">
      <c r="C929" s="79"/>
      <c r="D929" s="79"/>
      <c r="J929" s="79"/>
      <c r="O929" s="79"/>
      <c r="P929" s="79"/>
      <c r="S929" s="79"/>
      <c r="T929" s="79"/>
      <c r="W929" s="130"/>
      <c r="Y929" s="106"/>
    </row>
    <row r="930">
      <c r="C930" s="79"/>
      <c r="D930" s="79"/>
      <c r="J930" s="79"/>
      <c r="O930" s="79"/>
      <c r="P930" s="79"/>
      <c r="S930" s="79"/>
      <c r="T930" s="79"/>
      <c r="W930" s="130"/>
      <c r="Y930" s="106"/>
    </row>
    <row r="931">
      <c r="C931" s="79"/>
      <c r="D931" s="79"/>
      <c r="J931" s="79"/>
      <c r="O931" s="79"/>
      <c r="P931" s="79"/>
      <c r="S931" s="79"/>
      <c r="T931" s="79"/>
      <c r="W931" s="130"/>
      <c r="Y931" s="106"/>
    </row>
    <row r="932">
      <c r="C932" s="79"/>
      <c r="D932" s="79"/>
      <c r="J932" s="79"/>
      <c r="O932" s="79"/>
      <c r="P932" s="79"/>
      <c r="S932" s="79"/>
      <c r="T932" s="79"/>
      <c r="W932" s="130"/>
      <c r="Y932" s="106"/>
    </row>
    <row r="933">
      <c r="C933" s="79"/>
      <c r="D933" s="79"/>
      <c r="J933" s="79"/>
      <c r="O933" s="79"/>
      <c r="P933" s="79"/>
      <c r="S933" s="79"/>
      <c r="T933" s="79"/>
      <c r="W933" s="130"/>
      <c r="Y933" s="106"/>
    </row>
    <row r="934">
      <c r="C934" s="79"/>
      <c r="D934" s="79"/>
      <c r="J934" s="79"/>
      <c r="O934" s="79"/>
      <c r="P934" s="79"/>
      <c r="S934" s="79"/>
      <c r="T934" s="79"/>
      <c r="W934" s="130"/>
      <c r="Y934" s="106"/>
    </row>
    <row r="935">
      <c r="C935" s="79"/>
      <c r="D935" s="79"/>
      <c r="J935" s="79"/>
      <c r="O935" s="79"/>
      <c r="P935" s="79"/>
      <c r="S935" s="79"/>
      <c r="T935" s="79"/>
      <c r="W935" s="130"/>
      <c r="Y935" s="106"/>
    </row>
    <row r="936">
      <c r="C936" s="79"/>
      <c r="D936" s="79"/>
      <c r="J936" s="79"/>
      <c r="O936" s="79"/>
      <c r="P936" s="79"/>
      <c r="S936" s="79"/>
      <c r="T936" s="79"/>
      <c r="W936" s="130"/>
      <c r="Y936" s="106"/>
    </row>
    <row r="937">
      <c r="C937" s="79"/>
      <c r="D937" s="79"/>
      <c r="J937" s="79"/>
      <c r="O937" s="79"/>
      <c r="P937" s="79"/>
      <c r="S937" s="79"/>
      <c r="T937" s="79"/>
      <c r="W937" s="130"/>
      <c r="Y937" s="106"/>
    </row>
    <row r="938">
      <c r="C938" s="79"/>
      <c r="D938" s="79"/>
      <c r="J938" s="79"/>
      <c r="O938" s="79"/>
      <c r="P938" s="79"/>
      <c r="S938" s="79"/>
      <c r="T938" s="79"/>
      <c r="W938" s="130"/>
      <c r="Y938" s="106"/>
    </row>
    <row r="939">
      <c r="C939" s="79"/>
      <c r="D939" s="79"/>
      <c r="J939" s="79"/>
      <c r="O939" s="79"/>
      <c r="P939" s="79"/>
      <c r="S939" s="79"/>
      <c r="T939" s="79"/>
      <c r="W939" s="130"/>
      <c r="Y939" s="106"/>
    </row>
    <row r="940">
      <c r="C940" s="79"/>
      <c r="D940" s="79"/>
      <c r="J940" s="79"/>
      <c r="O940" s="79"/>
      <c r="P940" s="79"/>
      <c r="S940" s="79"/>
      <c r="T940" s="79"/>
      <c r="W940" s="130"/>
      <c r="Y940" s="106"/>
    </row>
    <row r="941">
      <c r="C941" s="79"/>
      <c r="D941" s="79"/>
      <c r="J941" s="79"/>
      <c r="O941" s="79"/>
      <c r="P941" s="79"/>
      <c r="S941" s="79"/>
      <c r="T941" s="79"/>
      <c r="W941" s="130"/>
      <c r="Y941" s="106"/>
    </row>
    <row r="942">
      <c r="C942" s="79"/>
      <c r="D942" s="79"/>
      <c r="J942" s="79"/>
      <c r="O942" s="79"/>
      <c r="P942" s="79"/>
      <c r="S942" s="79"/>
      <c r="T942" s="79"/>
      <c r="W942" s="130"/>
      <c r="Y942" s="106"/>
    </row>
    <row r="943">
      <c r="C943" s="79"/>
      <c r="D943" s="79"/>
      <c r="J943" s="79"/>
      <c r="O943" s="79"/>
      <c r="P943" s="79"/>
      <c r="S943" s="79"/>
      <c r="T943" s="79"/>
      <c r="W943" s="130"/>
      <c r="Y943" s="106"/>
    </row>
    <row r="944">
      <c r="C944" s="79"/>
      <c r="D944" s="79"/>
      <c r="J944" s="79"/>
      <c r="O944" s="79"/>
      <c r="P944" s="79"/>
      <c r="S944" s="79"/>
      <c r="T944" s="79"/>
      <c r="W944" s="130"/>
      <c r="Y944" s="106"/>
    </row>
    <row r="945">
      <c r="C945" s="79"/>
      <c r="D945" s="79"/>
      <c r="J945" s="79"/>
      <c r="O945" s="79"/>
      <c r="P945" s="79"/>
      <c r="S945" s="79"/>
      <c r="T945" s="79"/>
      <c r="W945" s="130"/>
      <c r="Y945" s="106"/>
    </row>
    <row r="946">
      <c r="C946" s="79"/>
      <c r="D946" s="79"/>
      <c r="J946" s="79"/>
      <c r="O946" s="79"/>
      <c r="P946" s="79"/>
      <c r="S946" s="79"/>
      <c r="T946" s="79"/>
      <c r="W946" s="130"/>
      <c r="Y946" s="106"/>
    </row>
    <row r="947">
      <c r="C947" s="79"/>
      <c r="D947" s="79"/>
      <c r="J947" s="79"/>
      <c r="O947" s="79"/>
      <c r="P947" s="79"/>
      <c r="S947" s="79"/>
      <c r="T947" s="79"/>
      <c r="W947" s="130"/>
      <c r="Y947" s="106"/>
    </row>
    <row r="948">
      <c r="C948" s="79"/>
      <c r="D948" s="79"/>
      <c r="J948" s="79"/>
      <c r="O948" s="79"/>
      <c r="P948" s="79"/>
      <c r="S948" s="79"/>
      <c r="T948" s="79"/>
      <c r="W948" s="130"/>
      <c r="Y948" s="106"/>
    </row>
    <row r="949">
      <c r="C949" s="79"/>
      <c r="D949" s="79"/>
      <c r="J949" s="79"/>
      <c r="O949" s="79"/>
      <c r="P949" s="79"/>
      <c r="S949" s="79"/>
      <c r="T949" s="79"/>
      <c r="W949" s="130"/>
      <c r="Y949" s="106"/>
    </row>
    <row r="950">
      <c r="C950" s="79"/>
      <c r="D950" s="79"/>
      <c r="J950" s="79"/>
      <c r="O950" s="79"/>
      <c r="P950" s="79"/>
      <c r="S950" s="79"/>
      <c r="T950" s="79"/>
      <c r="W950" s="130"/>
      <c r="Y950" s="106"/>
    </row>
    <row r="951">
      <c r="C951" s="79"/>
      <c r="D951" s="79"/>
      <c r="J951" s="79"/>
      <c r="O951" s="79"/>
      <c r="P951" s="79"/>
      <c r="S951" s="79"/>
      <c r="T951" s="79"/>
      <c r="W951" s="130"/>
      <c r="Y951" s="106"/>
    </row>
    <row r="952">
      <c r="C952" s="79"/>
      <c r="D952" s="79"/>
      <c r="J952" s="79"/>
      <c r="O952" s="79"/>
      <c r="P952" s="79"/>
      <c r="S952" s="79"/>
      <c r="T952" s="79"/>
      <c r="W952" s="130"/>
      <c r="Y952" s="106"/>
    </row>
    <row r="953">
      <c r="C953" s="79"/>
      <c r="D953" s="79"/>
      <c r="J953" s="79"/>
      <c r="O953" s="79"/>
      <c r="P953" s="79"/>
      <c r="S953" s="79"/>
      <c r="T953" s="79"/>
      <c r="W953" s="130"/>
      <c r="Y953" s="106"/>
    </row>
    <row r="954">
      <c r="C954" s="79"/>
      <c r="D954" s="79"/>
      <c r="J954" s="79"/>
      <c r="O954" s="79"/>
      <c r="P954" s="79"/>
      <c r="S954" s="79"/>
      <c r="T954" s="79"/>
      <c r="W954" s="130"/>
      <c r="Y954" s="106"/>
    </row>
    <row r="955">
      <c r="C955" s="79"/>
      <c r="D955" s="79"/>
      <c r="J955" s="79"/>
      <c r="O955" s="79"/>
      <c r="P955" s="79"/>
      <c r="S955" s="79"/>
      <c r="T955" s="79"/>
      <c r="W955" s="130"/>
      <c r="Y955" s="106"/>
    </row>
    <row r="956">
      <c r="C956" s="79"/>
      <c r="D956" s="79"/>
      <c r="J956" s="79"/>
      <c r="O956" s="79"/>
      <c r="P956" s="79"/>
      <c r="S956" s="79"/>
      <c r="T956" s="79"/>
      <c r="W956" s="130"/>
      <c r="Y956" s="106"/>
    </row>
    <row r="957">
      <c r="C957" s="79"/>
      <c r="D957" s="79"/>
      <c r="J957" s="79"/>
      <c r="O957" s="79"/>
      <c r="P957" s="79"/>
      <c r="S957" s="79"/>
      <c r="T957" s="79"/>
      <c r="W957" s="130"/>
      <c r="Y957" s="106"/>
    </row>
    <row r="958">
      <c r="C958" s="79"/>
      <c r="D958" s="79"/>
      <c r="J958" s="79"/>
      <c r="O958" s="79"/>
      <c r="P958" s="79"/>
      <c r="S958" s="79"/>
      <c r="T958" s="79"/>
      <c r="W958" s="130"/>
      <c r="Y958" s="106"/>
    </row>
    <row r="959">
      <c r="C959" s="79"/>
      <c r="D959" s="79"/>
      <c r="J959" s="79"/>
      <c r="O959" s="79"/>
      <c r="P959" s="79"/>
      <c r="S959" s="79"/>
      <c r="T959" s="79"/>
      <c r="W959" s="130"/>
      <c r="Y959" s="106"/>
    </row>
    <row r="960">
      <c r="C960" s="79"/>
      <c r="D960" s="79"/>
      <c r="J960" s="79"/>
      <c r="O960" s="79"/>
      <c r="P960" s="79"/>
      <c r="S960" s="79"/>
      <c r="T960" s="79"/>
      <c r="W960" s="130"/>
      <c r="Y960" s="106"/>
    </row>
    <row r="961">
      <c r="C961" s="79"/>
      <c r="D961" s="79"/>
      <c r="J961" s="79"/>
      <c r="O961" s="79"/>
      <c r="P961" s="79"/>
      <c r="S961" s="79"/>
      <c r="T961" s="79"/>
      <c r="W961" s="130"/>
      <c r="Y961" s="106"/>
    </row>
    <row r="962">
      <c r="C962" s="79"/>
      <c r="D962" s="79"/>
      <c r="J962" s="79"/>
      <c r="O962" s="79"/>
      <c r="P962" s="79"/>
      <c r="S962" s="79"/>
      <c r="T962" s="79"/>
      <c r="W962" s="130"/>
      <c r="Y962" s="106"/>
    </row>
    <row r="963">
      <c r="C963" s="79"/>
      <c r="D963" s="79"/>
      <c r="J963" s="79"/>
      <c r="O963" s="79"/>
      <c r="P963" s="79"/>
      <c r="S963" s="79"/>
      <c r="T963" s="79"/>
      <c r="W963" s="130"/>
      <c r="Y963" s="106"/>
    </row>
    <row r="964">
      <c r="C964" s="79"/>
      <c r="D964" s="79"/>
      <c r="J964" s="79"/>
      <c r="O964" s="79"/>
      <c r="P964" s="79"/>
      <c r="S964" s="79"/>
      <c r="T964" s="79"/>
      <c r="W964" s="130"/>
      <c r="Y964" s="106"/>
    </row>
    <row r="965">
      <c r="C965" s="79"/>
      <c r="D965" s="79"/>
      <c r="J965" s="79"/>
      <c r="O965" s="79"/>
      <c r="P965" s="79"/>
      <c r="S965" s="79"/>
      <c r="T965" s="79"/>
      <c r="W965" s="130"/>
      <c r="Y965" s="106"/>
    </row>
    <row r="966">
      <c r="C966" s="79"/>
      <c r="D966" s="79"/>
      <c r="J966" s="79"/>
      <c r="O966" s="79"/>
      <c r="P966" s="79"/>
      <c r="S966" s="79"/>
      <c r="T966" s="79"/>
      <c r="W966" s="130"/>
      <c r="Y966" s="106"/>
    </row>
    <row r="967">
      <c r="C967" s="79"/>
      <c r="D967" s="79"/>
      <c r="J967" s="79"/>
      <c r="O967" s="79"/>
      <c r="P967" s="79"/>
      <c r="S967" s="79"/>
      <c r="T967" s="79"/>
      <c r="W967" s="130"/>
      <c r="Y967" s="106"/>
    </row>
    <row r="968">
      <c r="C968" s="79"/>
      <c r="D968" s="79"/>
      <c r="J968" s="79"/>
      <c r="O968" s="79"/>
      <c r="P968" s="79"/>
      <c r="S968" s="79"/>
      <c r="T968" s="79"/>
      <c r="W968" s="130"/>
      <c r="Y968" s="106"/>
    </row>
    <row r="969">
      <c r="C969" s="79"/>
      <c r="D969" s="79"/>
      <c r="J969" s="79"/>
      <c r="O969" s="79"/>
      <c r="P969" s="79"/>
      <c r="S969" s="79"/>
      <c r="T969" s="79"/>
      <c r="W969" s="130"/>
      <c r="Y969" s="106"/>
    </row>
    <row r="970">
      <c r="C970" s="79"/>
      <c r="D970" s="79"/>
      <c r="J970" s="79"/>
      <c r="O970" s="79"/>
      <c r="P970" s="79"/>
      <c r="S970" s="79"/>
      <c r="T970" s="79"/>
      <c r="W970" s="130"/>
      <c r="Y970" s="106"/>
    </row>
    <row r="971">
      <c r="C971" s="79"/>
      <c r="D971" s="79"/>
      <c r="J971" s="79"/>
      <c r="O971" s="79"/>
      <c r="P971" s="79"/>
      <c r="S971" s="79"/>
      <c r="T971" s="79"/>
      <c r="W971" s="130"/>
      <c r="Y971" s="106"/>
    </row>
    <row r="972">
      <c r="C972" s="79"/>
      <c r="D972" s="79"/>
      <c r="J972" s="79"/>
      <c r="O972" s="79"/>
      <c r="P972" s="79"/>
      <c r="S972" s="79"/>
      <c r="T972" s="79"/>
      <c r="W972" s="130"/>
      <c r="Y972" s="106"/>
    </row>
    <row r="973">
      <c r="C973" s="79"/>
      <c r="D973" s="79"/>
      <c r="J973" s="79"/>
      <c r="O973" s="79"/>
      <c r="P973" s="79"/>
      <c r="S973" s="79"/>
      <c r="T973" s="79"/>
      <c r="W973" s="130"/>
      <c r="Y973" s="106"/>
    </row>
    <row r="974">
      <c r="C974" s="79"/>
      <c r="D974" s="79"/>
      <c r="J974" s="79"/>
      <c r="O974" s="79"/>
      <c r="P974" s="79"/>
      <c r="S974" s="79"/>
      <c r="T974" s="79"/>
      <c r="W974" s="130"/>
      <c r="Y974" s="106"/>
    </row>
    <row r="975">
      <c r="C975" s="79"/>
      <c r="D975" s="79"/>
      <c r="J975" s="79"/>
      <c r="O975" s="79"/>
      <c r="P975" s="79"/>
      <c r="S975" s="79"/>
      <c r="T975" s="79"/>
      <c r="W975" s="130"/>
      <c r="Y975" s="106"/>
    </row>
    <row r="976">
      <c r="C976" s="79"/>
      <c r="D976" s="79"/>
      <c r="J976" s="79"/>
      <c r="O976" s="79"/>
      <c r="P976" s="79"/>
      <c r="S976" s="79"/>
      <c r="T976" s="79"/>
      <c r="W976" s="130"/>
      <c r="Y976" s="106"/>
    </row>
    <row r="977">
      <c r="C977" s="79"/>
      <c r="D977" s="79"/>
      <c r="J977" s="79"/>
      <c r="O977" s="79"/>
      <c r="P977" s="79"/>
      <c r="S977" s="79"/>
      <c r="T977" s="79"/>
      <c r="W977" s="130"/>
      <c r="Y977" s="106"/>
    </row>
    <row r="978">
      <c r="C978" s="79"/>
      <c r="D978" s="79"/>
      <c r="J978" s="79"/>
      <c r="O978" s="79"/>
      <c r="P978" s="79"/>
      <c r="S978" s="79"/>
      <c r="T978" s="79"/>
      <c r="W978" s="130"/>
      <c r="Y978" s="106"/>
    </row>
    <row r="979">
      <c r="C979" s="79"/>
      <c r="D979" s="79"/>
      <c r="J979" s="79"/>
      <c r="O979" s="79"/>
      <c r="P979" s="79"/>
      <c r="S979" s="79"/>
      <c r="T979" s="79"/>
      <c r="W979" s="130"/>
      <c r="Y979" s="106"/>
    </row>
    <row r="980">
      <c r="C980" s="79"/>
      <c r="D980" s="79"/>
      <c r="J980" s="79"/>
      <c r="O980" s="79"/>
      <c r="P980" s="79"/>
      <c r="S980" s="79"/>
      <c r="T980" s="79"/>
      <c r="W980" s="130"/>
      <c r="Y980" s="106"/>
    </row>
    <row r="981">
      <c r="C981" s="79"/>
      <c r="D981" s="79"/>
      <c r="J981" s="79"/>
      <c r="O981" s="79"/>
      <c r="P981" s="79"/>
      <c r="S981" s="79"/>
      <c r="T981" s="79"/>
      <c r="W981" s="130"/>
      <c r="Y981" s="106"/>
    </row>
    <row r="982">
      <c r="C982" s="79"/>
      <c r="D982" s="79"/>
      <c r="J982" s="79"/>
      <c r="O982" s="79"/>
      <c r="P982" s="79"/>
      <c r="S982" s="79"/>
      <c r="T982" s="79"/>
      <c r="W982" s="130"/>
      <c r="Y982" s="106"/>
    </row>
    <row r="983">
      <c r="C983" s="79"/>
      <c r="D983" s="79"/>
      <c r="J983" s="79"/>
      <c r="O983" s="79"/>
      <c r="P983" s="79"/>
      <c r="S983" s="79"/>
      <c r="T983" s="79"/>
      <c r="W983" s="130"/>
      <c r="Y983" s="106"/>
    </row>
    <row r="984">
      <c r="C984" s="79"/>
      <c r="D984" s="79"/>
      <c r="J984" s="79"/>
      <c r="O984" s="79"/>
      <c r="P984" s="79"/>
      <c r="S984" s="79"/>
      <c r="T984" s="79"/>
      <c r="W984" s="130"/>
      <c r="Y984" s="106"/>
    </row>
    <row r="985">
      <c r="C985" s="79"/>
      <c r="D985" s="79"/>
      <c r="J985" s="79"/>
      <c r="O985" s="79"/>
      <c r="P985" s="79"/>
      <c r="S985" s="79"/>
      <c r="T985" s="79"/>
      <c r="W985" s="130"/>
      <c r="Y985" s="106"/>
    </row>
    <row r="986">
      <c r="C986" s="79"/>
      <c r="D986" s="79"/>
      <c r="J986" s="79"/>
      <c r="O986" s="79"/>
      <c r="P986" s="79"/>
      <c r="S986" s="79"/>
      <c r="T986" s="79"/>
      <c r="W986" s="130"/>
      <c r="Y986" s="106"/>
    </row>
    <row r="987">
      <c r="C987" s="79"/>
      <c r="D987" s="79"/>
      <c r="J987" s="79"/>
      <c r="O987" s="79"/>
      <c r="P987" s="79"/>
      <c r="S987" s="79"/>
      <c r="T987" s="79"/>
      <c r="W987" s="130"/>
      <c r="Y987" s="106"/>
    </row>
    <row r="988">
      <c r="C988" s="79"/>
      <c r="D988" s="79"/>
      <c r="J988" s="79"/>
      <c r="O988" s="79"/>
      <c r="P988" s="79"/>
      <c r="S988" s="79"/>
      <c r="T988" s="79"/>
      <c r="W988" s="130"/>
      <c r="Y988" s="106"/>
    </row>
    <row r="989">
      <c r="C989" s="79"/>
      <c r="D989" s="79"/>
      <c r="J989" s="79"/>
      <c r="O989" s="79"/>
      <c r="P989" s="79"/>
      <c r="S989" s="79"/>
      <c r="T989" s="79"/>
      <c r="W989" s="130"/>
      <c r="Y989" s="106"/>
    </row>
    <row r="990">
      <c r="C990" s="79"/>
      <c r="D990" s="79"/>
      <c r="J990" s="79"/>
      <c r="O990" s="79"/>
      <c r="P990" s="79"/>
      <c r="S990" s="79"/>
      <c r="T990" s="79"/>
      <c r="W990" s="130"/>
      <c r="Y990" s="106"/>
    </row>
    <row r="991">
      <c r="C991" s="79"/>
      <c r="D991" s="79"/>
      <c r="J991" s="79"/>
      <c r="O991" s="79"/>
      <c r="P991" s="79"/>
      <c r="S991" s="79"/>
      <c r="T991" s="79"/>
      <c r="W991" s="130"/>
      <c r="Y991" s="106"/>
    </row>
    <row r="992">
      <c r="C992" s="79"/>
      <c r="D992" s="79"/>
      <c r="J992" s="79"/>
      <c r="O992" s="79"/>
      <c r="P992" s="79"/>
      <c r="S992" s="79"/>
      <c r="T992" s="79"/>
      <c r="W992" s="130"/>
      <c r="Y992" s="106"/>
    </row>
    <row r="993">
      <c r="C993" s="79"/>
      <c r="D993" s="79"/>
      <c r="J993" s="79"/>
      <c r="O993" s="79"/>
      <c r="P993" s="79"/>
      <c r="S993" s="79"/>
      <c r="T993" s="79"/>
      <c r="W993" s="130"/>
      <c r="Y993" s="106"/>
    </row>
    <row r="994">
      <c r="C994" s="79"/>
      <c r="D994" s="79"/>
      <c r="J994" s="79"/>
      <c r="O994" s="79"/>
      <c r="P994" s="79"/>
      <c r="S994" s="79"/>
      <c r="T994" s="79"/>
      <c r="W994" s="130"/>
      <c r="Y994" s="106"/>
    </row>
    <row r="995">
      <c r="C995" s="79"/>
      <c r="D995" s="79"/>
      <c r="J995" s="79"/>
      <c r="O995" s="79"/>
      <c r="P995" s="79"/>
      <c r="S995" s="79"/>
      <c r="T995" s="79"/>
      <c r="W995" s="130"/>
      <c r="Y995" s="106"/>
    </row>
    <row r="996">
      <c r="C996" s="79"/>
      <c r="D996" s="79"/>
      <c r="J996" s="79"/>
      <c r="O996" s="79"/>
      <c r="P996" s="79"/>
      <c r="S996" s="79"/>
      <c r="T996" s="79"/>
      <c r="W996" s="130"/>
      <c r="Y996" s="106"/>
    </row>
    <row r="997">
      <c r="C997" s="79"/>
      <c r="D997" s="79"/>
      <c r="J997" s="79"/>
      <c r="O997" s="79"/>
      <c r="P997" s="79"/>
      <c r="S997" s="79"/>
      <c r="T997" s="79"/>
      <c r="W997" s="130"/>
      <c r="Y997" s="106"/>
    </row>
    <row r="998">
      <c r="C998" s="79"/>
      <c r="D998" s="79"/>
      <c r="J998" s="79"/>
      <c r="O998" s="79"/>
      <c r="P998" s="79"/>
      <c r="S998" s="79"/>
      <c r="T998" s="79"/>
      <c r="W998" s="130"/>
      <c r="Y998" s="106"/>
    </row>
    <row r="999">
      <c r="C999" s="79"/>
      <c r="D999" s="79"/>
      <c r="J999" s="79"/>
      <c r="O999" s="79"/>
      <c r="P999" s="79"/>
      <c r="S999" s="79"/>
      <c r="T999" s="79"/>
      <c r="W999" s="130"/>
      <c r="Y999" s="106"/>
    </row>
    <row r="1000">
      <c r="C1000" s="79"/>
      <c r="D1000" s="79"/>
      <c r="J1000" s="79"/>
      <c r="O1000" s="79"/>
      <c r="P1000" s="79"/>
      <c r="S1000" s="79"/>
      <c r="T1000" s="79"/>
      <c r="W1000" s="130"/>
      <c r="Y1000" s="106"/>
    </row>
  </sheetData>
  <mergeCells count="1">
    <mergeCell ref="H19:J19"/>
  </mergeCells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5" max="25" width="17.0"/>
  </cols>
  <sheetData>
    <row r="1">
      <c r="B1" s="2" t="s">
        <v>0</v>
      </c>
      <c r="C1" s="105" t="s">
        <v>1</v>
      </c>
      <c r="D1" s="105" t="s">
        <v>7</v>
      </c>
      <c r="E1" s="2" t="s">
        <v>3</v>
      </c>
      <c r="F1" s="2" t="s">
        <v>129</v>
      </c>
      <c r="G1" s="2" t="s">
        <v>5</v>
      </c>
      <c r="H1" s="2" t="s">
        <v>6</v>
      </c>
      <c r="I1" s="2" t="s">
        <v>43</v>
      </c>
      <c r="J1" s="105" t="s">
        <v>40</v>
      </c>
      <c r="K1" s="2" t="s">
        <v>49</v>
      </c>
      <c r="L1" s="2" t="s">
        <v>42</v>
      </c>
      <c r="M1" s="2" t="s">
        <v>121</v>
      </c>
      <c r="N1" s="2" t="s">
        <v>164</v>
      </c>
      <c r="O1" s="105" t="s">
        <v>9</v>
      </c>
      <c r="P1" s="105" t="s">
        <v>165</v>
      </c>
      <c r="Q1" s="2" t="s">
        <v>37</v>
      </c>
      <c r="R1" s="2" t="s">
        <v>10</v>
      </c>
      <c r="S1" s="105" t="s">
        <v>11</v>
      </c>
      <c r="T1" s="105" t="s">
        <v>167</v>
      </c>
      <c r="U1" s="2" t="s">
        <v>12</v>
      </c>
      <c r="V1" s="3" t="s">
        <v>13</v>
      </c>
      <c r="W1" s="126" t="s">
        <v>14</v>
      </c>
      <c r="X1" s="3" t="s">
        <v>15</v>
      </c>
      <c r="Y1" s="106"/>
    </row>
    <row r="2">
      <c r="A2" s="74">
        <v>45159.0</v>
      </c>
      <c r="B2" s="5">
        <v>2439.17</v>
      </c>
      <c r="C2" s="93">
        <v>1358.79</v>
      </c>
      <c r="D2" s="93"/>
      <c r="E2" s="5"/>
      <c r="F2" s="5">
        <v>699.42</v>
      </c>
      <c r="G2" s="5"/>
      <c r="H2" s="5"/>
      <c r="I2" s="5"/>
      <c r="J2" s="136"/>
      <c r="K2" s="5">
        <v>168.0</v>
      </c>
      <c r="L2" s="5">
        <v>72.0</v>
      </c>
      <c r="M2" s="5"/>
      <c r="N2" s="5"/>
      <c r="O2" s="93"/>
      <c r="P2" s="93"/>
      <c r="Q2" s="5"/>
      <c r="R2" s="5"/>
      <c r="S2" s="93">
        <v>109.97</v>
      </c>
      <c r="T2" s="93">
        <v>304.5</v>
      </c>
      <c r="U2" s="5"/>
      <c r="V2" s="107">
        <f t="shared" ref="V2:V7" si="1">SUM(B2:U2)</f>
        <v>5151.85</v>
      </c>
      <c r="W2" s="108">
        <v>5460.0</v>
      </c>
      <c r="X2" s="59">
        <f t="shared" ref="X2:X8" si="2">V2/W2</f>
        <v>0.9435622711</v>
      </c>
      <c r="Y2" s="109">
        <f t="shared" ref="Y2:Y8" si="3">A2</f>
        <v>45159</v>
      </c>
    </row>
    <row r="3">
      <c r="A3" s="74">
        <v>45160.0</v>
      </c>
      <c r="B3" s="5">
        <v>1043.13</v>
      </c>
      <c r="C3" s="110">
        <v>784.34</v>
      </c>
      <c r="D3" s="93"/>
      <c r="E3" s="5"/>
      <c r="F3" s="5"/>
      <c r="G3" s="5">
        <v>507.6</v>
      </c>
      <c r="H3" s="5">
        <v>42.0</v>
      </c>
      <c r="I3" s="5"/>
      <c r="J3" s="93"/>
      <c r="K3" s="5"/>
      <c r="L3" s="5">
        <v>108.0</v>
      </c>
      <c r="M3" s="6"/>
      <c r="N3" s="6"/>
      <c r="O3" s="93"/>
      <c r="P3" s="93"/>
      <c r="Q3" s="93"/>
      <c r="R3" s="5"/>
      <c r="S3" s="93"/>
      <c r="T3" s="93"/>
      <c r="U3" s="93">
        <v>179.96</v>
      </c>
      <c r="V3" s="7">
        <f t="shared" si="1"/>
        <v>2665.03</v>
      </c>
      <c r="W3" s="97">
        <v>27577.25</v>
      </c>
      <c r="X3" s="59">
        <f t="shared" si="2"/>
        <v>0.09663871488</v>
      </c>
      <c r="Y3" s="109">
        <f t="shared" si="3"/>
        <v>45160</v>
      </c>
    </row>
    <row r="4">
      <c r="A4" s="74">
        <v>45161.0</v>
      </c>
      <c r="B4" s="5">
        <v>1752.22</v>
      </c>
      <c r="C4" s="93">
        <v>192.38</v>
      </c>
      <c r="D4" s="93"/>
      <c r="E4" s="5"/>
      <c r="F4" s="5">
        <v>307.15</v>
      </c>
      <c r="G4" s="5"/>
      <c r="H4" s="5"/>
      <c r="I4" s="5"/>
      <c r="J4" s="93"/>
      <c r="K4" s="5"/>
      <c r="L4" s="5"/>
      <c r="M4" s="5">
        <v>18.5</v>
      </c>
      <c r="N4" s="5"/>
      <c r="O4" s="93"/>
      <c r="P4" s="93"/>
      <c r="Q4" s="5"/>
      <c r="R4" s="83"/>
      <c r="S4" s="93">
        <v>109.97</v>
      </c>
      <c r="T4" s="93"/>
      <c r="U4" s="6"/>
      <c r="V4" s="7">
        <f t="shared" si="1"/>
        <v>2380.22</v>
      </c>
      <c r="W4" s="97">
        <v>7337.0</v>
      </c>
      <c r="X4" s="59">
        <f t="shared" si="2"/>
        <v>0.3244132479</v>
      </c>
      <c r="Y4" s="109">
        <f t="shared" si="3"/>
        <v>45161</v>
      </c>
    </row>
    <row r="5">
      <c r="A5" s="74">
        <v>45162.0</v>
      </c>
      <c r="B5" s="5">
        <v>948.52</v>
      </c>
      <c r="C5" s="93">
        <v>453.8</v>
      </c>
      <c r="D5" s="101"/>
      <c r="E5" s="5">
        <v>280.0</v>
      </c>
      <c r="F5" s="5"/>
      <c r="G5" s="5"/>
      <c r="H5" s="5"/>
      <c r="I5" s="5"/>
      <c r="J5" s="93"/>
      <c r="K5" s="5"/>
      <c r="L5" s="5">
        <v>950.0</v>
      </c>
      <c r="M5" s="5">
        <v>18.5</v>
      </c>
      <c r="N5" s="5"/>
      <c r="O5" s="93"/>
      <c r="P5" s="93"/>
      <c r="Q5" s="5"/>
      <c r="R5" s="5">
        <v>25.0</v>
      </c>
      <c r="S5" s="101"/>
      <c r="T5" s="101"/>
      <c r="U5" s="6"/>
      <c r="V5" s="7">
        <f t="shared" si="1"/>
        <v>2675.82</v>
      </c>
      <c r="W5" s="98">
        <v>5501.0</v>
      </c>
      <c r="X5" s="59">
        <f t="shared" si="2"/>
        <v>0.4864242865</v>
      </c>
      <c r="Y5" s="109">
        <f t="shared" si="3"/>
        <v>45162</v>
      </c>
    </row>
    <row r="6">
      <c r="A6" s="74">
        <v>45163.0</v>
      </c>
      <c r="B6" s="5">
        <v>1105.78</v>
      </c>
      <c r="C6" s="93">
        <v>179.8</v>
      </c>
      <c r="D6" s="93"/>
      <c r="E6" s="5"/>
      <c r="G6" s="5">
        <v>1007.0</v>
      </c>
      <c r="H6" s="5">
        <v>123.0</v>
      </c>
      <c r="I6" s="5"/>
      <c r="J6" s="111"/>
      <c r="K6" s="5"/>
      <c r="L6" s="5"/>
      <c r="M6" s="5">
        <v>18.5</v>
      </c>
      <c r="N6" s="5"/>
      <c r="O6" s="93"/>
      <c r="P6" s="93"/>
      <c r="Q6" s="5"/>
      <c r="R6" s="5">
        <v>77.0</v>
      </c>
      <c r="S6" s="93">
        <v>109.97</v>
      </c>
      <c r="T6" s="93"/>
      <c r="U6" s="5"/>
      <c r="V6" s="7">
        <f t="shared" si="1"/>
        <v>2621.05</v>
      </c>
      <c r="W6" s="97">
        <v>13262.0</v>
      </c>
      <c r="X6" s="59">
        <f t="shared" si="2"/>
        <v>0.1976361032</v>
      </c>
      <c r="Y6" s="109">
        <f t="shared" si="3"/>
        <v>45163</v>
      </c>
    </row>
    <row r="7">
      <c r="A7" s="74">
        <v>45164.0</v>
      </c>
      <c r="B7" s="5">
        <v>912.79</v>
      </c>
      <c r="C7" s="93">
        <v>263.0</v>
      </c>
      <c r="D7" s="93"/>
      <c r="E7" s="5"/>
      <c r="F7" s="5"/>
      <c r="G7" s="5"/>
      <c r="H7" s="5"/>
      <c r="I7" s="5"/>
      <c r="J7" s="101"/>
      <c r="K7" s="5"/>
      <c r="L7" s="5"/>
      <c r="M7" s="93"/>
      <c r="N7" s="93"/>
      <c r="O7" s="93"/>
      <c r="P7" s="93"/>
      <c r="Q7" s="6"/>
      <c r="R7" s="6"/>
      <c r="S7" s="101"/>
      <c r="T7" s="101"/>
      <c r="U7" s="5">
        <v>86.25</v>
      </c>
      <c r="V7" s="7">
        <f t="shared" si="1"/>
        <v>1262.04</v>
      </c>
      <c r="W7" s="97">
        <v>18215.5</v>
      </c>
      <c r="X7" s="59">
        <f t="shared" si="2"/>
        <v>0.06928385166</v>
      </c>
      <c r="Y7" s="109">
        <f t="shared" si="3"/>
        <v>45164</v>
      </c>
    </row>
    <row r="8">
      <c r="A8" s="74">
        <v>45165.0</v>
      </c>
      <c r="B8" s="10" t="s">
        <v>21</v>
      </c>
      <c r="C8" s="112" t="s">
        <v>21</v>
      </c>
      <c r="D8" s="112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12" t="s">
        <v>21</v>
      </c>
      <c r="K8" s="10" t="s">
        <v>21</v>
      </c>
      <c r="L8" s="10" t="s">
        <v>21</v>
      </c>
      <c r="M8" s="10"/>
      <c r="N8" s="10"/>
      <c r="O8" s="112" t="s">
        <v>21</v>
      </c>
      <c r="P8" s="112"/>
      <c r="Q8" s="10" t="s">
        <v>21</v>
      </c>
      <c r="R8" s="10" t="s">
        <v>21</v>
      </c>
      <c r="S8" s="112" t="s">
        <v>21</v>
      </c>
      <c r="T8" s="112"/>
      <c r="U8" s="10" t="s">
        <v>21</v>
      </c>
      <c r="V8" s="7">
        <v>0.0</v>
      </c>
      <c r="W8" s="97">
        <v>6643.2</v>
      </c>
      <c r="X8" s="59">
        <f t="shared" si="2"/>
        <v>0</v>
      </c>
      <c r="Y8" s="109">
        <f t="shared" si="3"/>
        <v>45165</v>
      </c>
    </row>
    <row r="9">
      <c r="C9" s="136"/>
      <c r="D9" s="138"/>
      <c r="J9" s="79"/>
      <c r="S9" s="79"/>
      <c r="T9" s="79"/>
      <c r="W9" s="129"/>
      <c r="Y9" s="106"/>
    </row>
    <row r="10">
      <c r="C10" s="79"/>
      <c r="D10" s="79"/>
      <c r="J10" s="79"/>
      <c r="O10" s="79"/>
      <c r="P10" s="79"/>
      <c r="S10" s="79"/>
      <c r="T10" s="79"/>
      <c r="W10" s="130"/>
      <c r="Y10" s="106"/>
    </row>
    <row r="11">
      <c r="A11" s="4" t="s">
        <v>22</v>
      </c>
      <c r="B11" s="11">
        <v>13000.0</v>
      </c>
      <c r="C11" s="79"/>
      <c r="D11" s="79"/>
      <c r="E11" s="78"/>
      <c r="F11" s="79"/>
      <c r="J11" s="79"/>
      <c r="O11" s="79"/>
      <c r="P11" s="79"/>
      <c r="S11" s="79"/>
      <c r="T11" s="79"/>
      <c r="W11" s="131"/>
      <c r="Y11" s="106"/>
    </row>
    <row r="12">
      <c r="A12" s="4" t="s">
        <v>23</v>
      </c>
      <c r="B12" s="12">
        <f>SUM(B2:U8)+C9</f>
        <v>16756.01</v>
      </c>
      <c r="C12" s="78"/>
      <c r="D12" s="79"/>
      <c r="E12" s="56"/>
      <c r="J12" s="79"/>
      <c r="O12" s="79"/>
      <c r="P12" s="79"/>
      <c r="S12" s="79"/>
      <c r="T12" s="79"/>
      <c r="W12" s="130"/>
      <c r="Y12" s="106"/>
    </row>
    <row r="13">
      <c r="A13" s="4" t="s">
        <v>24</v>
      </c>
      <c r="B13" s="12">
        <f> SUM(B11-B12)</f>
        <v>-3756.01</v>
      </c>
      <c r="C13" s="79"/>
      <c r="D13" s="79"/>
      <c r="J13" s="79"/>
      <c r="O13" s="79"/>
      <c r="P13" s="79"/>
      <c r="S13" s="79"/>
      <c r="T13" s="79"/>
      <c r="W13" s="130"/>
      <c r="Y13" s="106"/>
    </row>
    <row r="14">
      <c r="C14" s="79"/>
      <c r="D14" s="79"/>
      <c r="J14" s="79"/>
      <c r="O14" s="79"/>
      <c r="P14" s="79"/>
      <c r="S14" s="79"/>
      <c r="T14" s="79"/>
      <c r="W14" s="130"/>
      <c r="Y14" s="106"/>
    </row>
    <row r="15">
      <c r="A15" s="13" t="s">
        <v>25</v>
      </c>
      <c r="B15" s="14">
        <f>SUM(W2:W8)</f>
        <v>83995.95</v>
      </c>
      <c r="C15" s="79"/>
      <c r="D15" s="79"/>
      <c r="J15" s="79"/>
      <c r="O15" s="79"/>
      <c r="P15" s="79"/>
      <c r="S15" s="79"/>
      <c r="T15" s="79"/>
      <c r="W15" s="130"/>
      <c r="Y15" s="106"/>
    </row>
    <row r="16">
      <c r="A16" s="13" t="s">
        <v>26</v>
      </c>
      <c r="B16" s="15">
        <f>B12/B15</f>
        <v>0.1994859276</v>
      </c>
      <c r="C16" s="79"/>
      <c r="D16" s="79"/>
      <c r="J16" s="79"/>
      <c r="O16" s="79"/>
      <c r="P16" s="79"/>
      <c r="S16" s="79"/>
      <c r="T16" s="79"/>
      <c r="W16" s="130"/>
      <c r="Y16" s="106"/>
    </row>
    <row r="17">
      <c r="C17" s="79"/>
      <c r="D17" s="79"/>
      <c r="J17" s="79"/>
      <c r="O17" s="79"/>
      <c r="P17" s="79"/>
      <c r="S17" s="79"/>
      <c r="T17" s="79"/>
      <c r="W17" s="130"/>
      <c r="Y17" s="106"/>
    </row>
    <row r="18">
      <c r="C18" s="79"/>
      <c r="D18" s="79"/>
      <c r="J18" s="79"/>
      <c r="O18" s="79"/>
      <c r="P18" s="79"/>
      <c r="S18" s="79"/>
      <c r="T18" s="79"/>
      <c r="W18" s="130"/>
      <c r="Y18" s="106"/>
    </row>
    <row r="19">
      <c r="A19" s="16" t="s">
        <v>27</v>
      </c>
      <c r="B19" s="17"/>
      <c r="C19" s="114"/>
      <c r="D19" s="115"/>
      <c r="H19" s="84"/>
      <c r="O19" s="79"/>
      <c r="P19" s="79"/>
      <c r="S19" s="79"/>
      <c r="T19" s="79"/>
      <c r="W19" s="130"/>
      <c r="Y19" s="106"/>
    </row>
    <row r="20">
      <c r="A20" s="19" t="s">
        <v>28</v>
      </c>
      <c r="B20" s="20"/>
      <c r="C20" s="116"/>
      <c r="D20" s="117"/>
      <c r="H20" s="85"/>
      <c r="I20" s="85"/>
      <c r="J20" s="118"/>
      <c r="O20" s="79"/>
      <c r="P20" s="79"/>
      <c r="S20" s="79"/>
      <c r="T20" s="79"/>
      <c r="W20" s="130"/>
      <c r="Y20" s="106"/>
    </row>
    <row r="21">
      <c r="A21" s="22" t="s">
        <v>29</v>
      </c>
      <c r="B21" s="23" t="s">
        <v>30</v>
      </c>
      <c r="C21" s="119" t="s">
        <v>170</v>
      </c>
      <c r="D21" s="120" t="s">
        <v>171</v>
      </c>
      <c r="H21" s="86"/>
      <c r="I21" s="85"/>
      <c r="J21" s="118"/>
      <c r="O21" s="79"/>
      <c r="P21" s="79"/>
      <c r="S21" s="79"/>
      <c r="T21" s="79"/>
      <c r="W21" s="130"/>
      <c r="Y21" s="106"/>
    </row>
    <row r="22">
      <c r="A22" s="28" t="s">
        <v>149</v>
      </c>
      <c r="B22" s="72"/>
      <c r="C22" s="121"/>
      <c r="D22" s="122"/>
      <c r="H22" s="87"/>
      <c r="I22" s="85"/>
      <c r="J22" s="118"/>
      <c r="O22" s="79"/>
      <c r="P22" s="79"/>
      <c r="S22" s="79"/>
      <c r="T22" s="79"/>
      <c r="W22" s="130"/>
      <c r="Y22" s="106"/>
    </row>
    <row r="23">
      <c r="A23" s="28" t="s">
        <v>150</v>
      </c>
      <c r="B23" s="72"/>
      <c r="C23" s="121"/>
      <c r="D23" s="122"/>
      <c r="H23" s="88"/>
      <c r="I23" s="88"/>
      <c r="J23" s="123"/>
      <c r="O23" s="79"/>
      <c r="P23" s="79"/>
      <c r="S23" s="79"/>
      <c r="T23" s="79"/>
      <c r="W23" s="130"/>
      <c r="Y23" s="106"/>
    </row>
    <row r="24">
      <c r="A24" s="71" t="s">
        <v>108</v>
      </c>
      <c r="B24" s="72"/>
      <c r="C24" s="71"/>
      <c r="D24" s="124"/>
      <c r="H24" s="88"/>
      <c r="I24" s="88"/>
      <c r="J24" s="123"/>
      <c r="O24" s="79"/>
      <c r="P24" s="79"/>
      <c r="S24" s="79"/>
      <c r="T24" s="79"/>
      <c r="W24" s="130"/>
      <c r="Y24" s="106"/>
    </row>
    <row r="25">
      <c r="A25" s="28" t="s">
        <v>159</v>
      </c>
      <c r="B25" s="41"/>
      <c r="C25" s="121"/>
      <c r="D25" s="124"/>
      <c r="H25" s="88"/>
      <c r="I25" s="88"/>
      <c r="J25" s="123"/>
      <c r="O25" s="79"/>
      <c r="P25" s="79"/>
      <c r="S25" s="79"/>
      <c r="T25" s="79"/>
      <c r="W25" s="130"/>
      <c r="Y25" s="106"/>
    </row>
    <row r="26">
      <c r="A26" s="28" t="s">
        <v>160</v>
      </c>
      <c r="B26" s="41"/>
      <c r="C26" s="71"/>
      <c r="D26" s="124"/>
      <c r="H26" s="88"/>
      <c r="I26" s="88"/>
      <c r="J26" s="123"/>
      <c r="O26" s="79"/>
      <c r="P26" s="79"/>
      <c r="S26" s="79"/>
      <c r="T26" s="79"/>
      <c r="W26" s="130"/>
      <c r="Y26" s="106"/>
    </row>
    <row r="27">
      <c r="A27" s="28" t="s">
        <v>111</v>
      </c>
      <c r="B27" s="41">
        <v>1082.05</v>
      </c>
      <c r="C27" s="71" t="s">
        <v>176</v>
      </c>
      <c r="D27" s="124" t="s">
        <v>177</v>
      </c>
      <c r="H27" s="88"/>
      <c r="I27" s="88"/>
      <c r="J27" s="123"/>
      <c r="O27" s="79"/>
      <c r="P27" s="79"/>
      <c r="S27" s="79"/>
      <c r="T27" s="79"/>
      <c r="W27" s="130"/>
      <c r="Y27" s="106"/>
    </row>
    <row r="28">
      <c r="A28" s="25"/>
      <c r="B28" s="26"/>
      <c r="C28" s="121"/>
      <c r="D28" s="122"/>
      <c r="J28" s="79"/>
      <c r="O28" s="79"/>
      <c r="P28" s="79"/>
      <c r="S28" s="79"/>
      <c r="T28" s="79"/>
      <c r="W28" s="132"/>
      <c r="Y28" s="106"/>
    </row>
    <row r="29">
      <c r="A29" s="25"/>
      <c r="B29" s="26"/>
      <c r="C29" s="121"/>
      <c r="D29" s="122"/>
      <c r="I29" s="89"/>
      <c r="J29" s="125"/>
      <c r="O29" s="79"/>
      <c r="P29" s="79"/>
      <c r="S29" s="79"/>
      <c r="T29" s="79"/>
      <c r="W29" s="130"/>
      <c r="Y29" s="106"/>
    </row>
    <row r="30">
      <c r="C30" s="79"/>
      <c r="D30" s="79"/>
      <c r="J30" s="79"/>
      <c r="O30" s="79"/>
      <c r="P30" s="79"/>
      <c r="S30" s="79"/>
      <c r="T30" s="79"/>
      <c r="W30" s="130"/>
      <c r="Y30" s="106"/>
    </row>
    <row r="31">
      <c r="C31" s="79"/>
      <c r="D31" s="79"/>
      <c r="J31" s="79"/>
      <c r="O31" s="79"/>
      <c r="P31" s="79"/>
      <c r="S31" s="79"/>
      <c r="T31" s="79"/>
      <c r="W31" s="130"/>
      <c r="Y31" s="106"/>
    </row>
    <row r="32">
      <c r="C32" s="79"/>
      <c r="D32" s="79"/>
      <c r="J32" s="79"/>
      <c r="O32" s="79"/>
      <c r="P32" s="79"/>
      <c r="S32" s="79"/>
      <c r="T32" s="79"/>
      <c r="W32" s="130"/>
      <c r="Y32" s="106"/>
    </row>
    <row r="33">
      <c r="C33" s="79"/>
      <c r="D33" s="79"/>
      <c r="J33" s="79"/>
      <c r="O33" s="79"/>
      <c r="P33" s="79"/>
      <c r="S33" s="79"/>
      <c r="T33" s="79"/>
      <c r="W33" s="130"/>
      <c r="Y33" s="106"/>
    </row>
    <row r="34">
      <c r="C34" s="79"/>
      <c r="D34" s="79"/>
      <c r="J34" s="79"/>
      <c r="O34" s="79"/>
      <c r="P34" s="79"/>
      <c r="S34" s="79"/>
      <c r="T34" s="79"/>
      <c r="W34" s="130"/>
      <c r="Y34" s="106"/>
    </row>
    <row r="35">
      <c r="C35" s="79"/>
      <c r="D35" s="79"/>
      <c r="J35" s="79"/>
      <c r="O35" s="79"/>
      <c r="P35" s="79"/>
      <c r="S35" s="79"/>
      <c r="T35" s="79"/>
      <c r="W35" s="130"/>
      <c r="Y35" s="106"/>
    </row>
    <row r="36">
      <c r="C36" s="79"/>
      <c r="D36" s="79"/>
      <c r="J36" s="79"/>
      <c r="O36" s="79"/>
      <c r="P36" s="79"/>
      <c r="S36" s="79"/>
      <c r="T36" s="79"/>
      <c r="W36" s="130"/>
      <c r="Y36" s="106"/>
    </row>
    <row r="37">
      <c r="C37" s="79"/>
      <c r="D37" s="79"/>
      <c r="J37" s="79"/>
      <c r="O37" s="79"/>
      <c r="P37" s="79"/>
      <c r="S37" s="79"/>
      <c r="T37" s="79"/>
      <c r="W37" s="130"/>
      <c r="Y37" s="106"/>
    </row>
    <row r="38">
      <c r="C38" s="79"/>
      <c r="D38" s="79"/>
      <c r="J38" s="79"/>
      <c r="O38" s="79"/>
      <c r="P38" s="79"/>
      <c r="S38" s="79"/>
      <c r="T38" s="79"/>
      <c r="W38" s="130"/>
      <c r="Y38" s="106"/>
    </row>
    <row r="39">
      <c r="C39" s="79"/>
      <c r="D39" s="79"/>
      <c r="J39" s="79"/>
      <c r="O39" s="79"/>
      <c r="P39" s="79"/>
      <c r="S39" s="79"/>
      <c r="T39" s="79"/>
      <c r="W39" s="130"/>
      <c r="Y39" s="106"/>
    </row>
    <row r="40">
      <c r="C40" s="79"/>
      <c r="D40" s="79"/>
      <c r="J40" s="79"/>
      <c r="O40" s="79"/>
      <c r="P40" s="79"/>
      <c r="S40" s="79"/>
      <c r="T40" s="79"/>
      <c r="W40" s="130"/>
      <c r="Y40" s="106"/>
    </row>
    <row r="41">
      <c r="C41" s="79"/>
      <c r="D41" s="79"/>
      <c r="J41" s="79"/>
      <c r="O41" s="79"/>
      <c r="P41" s="79"/>
      <c r="S41" s="79"/>
      <c r="T41" s="79"/>
      <c r="W41" s="130"/>
      <c r="Y41" s="106"/>
    </row>
    <row r="42">
      <c r="C42" s="79"/>
      <c r="D42" s="79"/>
      <c r="J42" s="79"/>
      <c r="O42" s="79"/>
      <c r="P42" s="79"/>
      <c r="S42" s="79"/>
      <c r="T42" s="79"/>
      <c r="W42" s="130"/>
      <c r="Y42" s="106"/>
    </row>
    <row r="43">
      <c r="C43" s="79"/>
      <c r="D43" s="79"/>
      <c r="J43" s="79"/>
      <c r="O43" s="79"/>
      <c r="P43" s="79"/>
      <c r="S43" s="79"/>
      <c r="T43" s="79"/>
      <c r="W43" s="130"/>
      <c r="Y43" s="106"/>
    </row>
    <row r="44">
      <c r="C44" s="79"/>
      <c r="D44" s="79"/>
      <c r="J44" s="79"/>
      <c r="O44" s="79"/>
      <c r="P44" s="79"/>
      <c r="S44" s="79"/>
      <c r="T44" s="79"/>
      <c r="W44" s="130"/>
      <c r="Y44" s="106"/>
    </row>
    <row r="45">
      <c r="C45" s="79"/>
      <c r="D45" s="79"/>
      <c r="J45" s="79"/>
      <c r="O45" s="79"/>
      <c r="P45" s="79"/>
      <c r="S45" s="79"/>
      <c r="T45" s="79"/>
      <c r="W45" s="130"/>
      <c r="Y45" s="106"/>
    </row>
    <row r="46">
      <c r="C46" s="79"/>
      <c r="D46" s="79"/>
      <c r="J46" s="79"/>
      <c r="O46" s="79"/>
      <c r="P46" s="79"/>
      <c r="S46" s="79"/>
      <c r="T46" s="79"/>
      <c r="W46" s="130"/>
      <c r="Y46" s="106"/>
    </row>
    <row r="47">
      <c r="C47" s="79"/>
      <c r="D47" s="79"/>
      <c r="J47" s="79"/>
      <c r="O47" s="79"/>
      <c r="P47" s="79"/>
      <c r="S47" s="79"/>
      <c r="T47" s="79"/>
      <c r="W47" s="130"/>
      <c r="Y47" s="106"/>
    </row>
    <row r="48">
      <c r="C48" s="79"/>
      <c r="D48" s="79"/>
      <c r="J48" s="79"/>
      <c r="O48" s="79"/>
      <c r="P48" s="79"/>
      <c r="S48" s="79"/>
      <c r="T48" s="79"/>
      <c r="W48" s="130"/>
      <c r="Y48" s="106"/>
    </row>
    <row r="49">
      <c r="C49" s="79"/>
      <c r="D49" s="79"/>
      <c r="J49" s="79"/>
      <c r="O49" s="79"/>
      <c r="P49" s="79"/>
      <c r="S49" s="79"/>
      <c r="T49" s="79"/>
      <c r="W49" s="130"/>
      <c r="Y49" s="106"/>
    </row>
    <row r="50">
      <c r="C50" s="79"/>
      <c r="D50" s="79"/>
      <c r="J50" s="79"/>
      <c r="O50" s="79"/>
      <c r="P50" s="79"/>
      <c r="S50" s="79"/>
      <c r="T50" s="79"/>
      <c r="W50" s="130"/>
      <c r="Y50" s="106"/>
    </row>
    <row r="51">
      <c r="C51" s="79"/>
      <c r="D51" s="79"/>
      <c r="J51" s="79"/>
      <c r="O51" s="79"/>
      <c r="P51" s="79"/>
      <c r="S51" s="79"/>
      <c r="T51" s="79"/>
      <c r="W51" s="130"/>
      <c r="Y51" s="106"/>
    </row>
    <row r="52">
      <c r="C52" s="79"/>
      <c r="D52" s="79"/>
      <c r="J52" s="79"/>
      <c r="O52" s="79"/>
      <c r="P52" s="79"/>
      <c r="S52" s="79"/>
      <c r="T52" s="79"/>
      <c r="W52" s="130"/>
      <c r="Y52" s="106"/>
    </row>
    <row r="53">
      <c r="C53" s="79"/>
      <c r="D53" s="79"/>
      <c r="J53" s="79"/>
      <c r="O53" s="79"/>
      <c r="P53" s="79"/>
      <c r="S53" s="79"/>
      <c r="T53" s="79"/>
      <c r="W53" s="130"/>
      <c r="Y53" s="106"/>
    </row>
    <row r="54">
      <c r="C54" s="79"/>
      <c r="D54" s="79"/>
      <c r="J54" s="79"/>
      <c r="O54" s="79"/>
      <c r="P54" s="79"/>
      <c r="S54" s="79"/>
      <c r="T54" s="79"/>
      <c r="W54" s="130"/>
      <c r="Y54" s="106"/>
    </row>
    <row r="55">
      <c r="C55" s="79"/>
      <c r="D55" s="79"/>
      <c r="J55" s="79"/>
      <c r="O55" s="79"/>
      <c r="P55" s="79"/>
      <c r="S55" s="79"/>
      <c r="T55" s="79"/>
      <c r="W55" s="130"/>
      <c r="Y55" s="106"/>
    </row>
    <row r="56">
      <c r="C56" s="79"/>
      <c r="D56" s="79"/>
      <c r="J56" s="79"/>
      <c r="O56" s="79"/>
      <c r="P56" s="79"/>
      <c r="S56" s="79"/>
      <c r="T56" s="79"/>
      <c r="W56" s="130"/>
      <c r="Y56" s="106"/>
    </row>
    <row r="57">
      <c r="C57" s="79"/>
      <c r="D57" s="79"/>
      <c r="J57" s="79"/>
      <c r="O57" s="79"/>
      <c r="P57" s="79"/>
      <c r="S57" s="79"/>
      <c r="T57" s="79"/>
      <c r="W57" s="130"/>
      <c r="Y57" s="106"/>
    </row>
    <row r="58">
      <c r="C58" s="79"/>
      <c r="D58" s="79"/>
      <c r="J58" s="79"/>
      <c r="O58" s="79"/>
      <c r="P58" s="79"/>
      <c r="S58" s="79"/>
      <c r="T58" s="79"/>
      <c r="W58" s="130"/>
      <c r="Y58" s="106"/>
    </row>
    <row r="59">
      <c r="C59" s="79"/>
      <c r="D59" s="79"/>
      <c r="J59" s="79"/>
      <c r="O59" s="79"/>
      <c r="P59" s="79"/>
      <c r="S59" s="79"/>
      <c r="T59" s="79"/>
      <c r="W59" s="130"/>
      <c r="Y59" s="106"/>
    </row>
    <row r="60">
      <c r="C60" s="79"/>
      <c r="D60" s="79"/>
      <c r="J60" s="79"/>
      <c r="O60" s="79"/>
      <c r="P60" s="79"/>
      <c r="S60" s="79"/>
      <c r="T60" s="79"/>
      <c r="W60" s="130"/>
      <c r="Y60" s="106"/>
    </row>
    <row r="61">
      <c r="C61" s="79"/>
      <c r="D61" s="79"/>
      <c r="J61" s="79"/>
      <c r="O61" s="79"/>
      <c r="P61" s="79"/>
      <c r="S61" s="79"/>
      <c r="T61" s="79"/>
      <c r="W61" s="130"/>
      <c r="Y61" s="106"/>
    </row>
    <row r="62">
      <c r="C62" s="79"/>
      <c r="D62" s="79"/>
      <c r="J62" s="79"/>
      <c r="O62" s="79"/>
      <c r="P62" s="79"/>
      <c r="S62" s="79"/>
      <c r="T62" s="79"/>
      <c r="W62" s="130"/>
      <c r="Y62" s="106"/>
    </row>
    <row r="63">
      <c r="C63" s="79"/>
      <c r="D63" s="79"/>
      <c r="J63" s="79"/>
      <c r="O63" s="79"/>
      <c r="P63" s="79"/>
      <c r="S63" s="79"/>
      <c r="T63" s="79"/>
      <c r="W63" s="130"/>
      <c r="Y63" s="106"/>
    </row>
    <row r="64">
      <c r="C64" s="79"/>
      <c r="D64" s="79"/>
      <c r="J64" s="79"/>
      <c r="O64" s="79"/>
      <c r="P64" s="79"/>
      <c r="S64" s="79"/>
      <c r="T64" s="79"/>
      <c r="W64" s="130"/>
      <c r="Y64" s="106"/>
    </row>
    <row r="65">
      <c r="C65" s="79"/>
      <c r="D65" s="79"/>
      <c r="J65" s="79"/>
      <c r="O65" s="79"/>
      <c r="P65" s="79"/>
      <c r="S65" s="79"/>
      <c r="T65" s="79"/>
      <c r="W65" s="130"/>
      <c r="Y65" s="106"/>
    </row>
    <row r="66">
      <c r="C66" s="79"/>
      <c r="D66" s="79"/>
      <c r="J66" s="79"/>
      <c r="O66" s="79"/>
      <c r="P66" s="79"/>
      <c r="S66" s="79"/>
      <c r="T66" s="79"/>
      <c r="W66" s="130"/>
      <c r="Y66" s="106"/>
    </row>
    <row r="67">
      <c r="C67" s="79"/>
      <c r="D67" s="79"/>
      <c r="J67" s="79"/>
      <c r="O67" s="79"/>
      <c r="P67" s="79"/>
      <c r="S67" s="79"/>
      <c r="T67" s="79"/>
      <c r="W67" s="130"/>
      <c r="Y67" s="106"/>
    </row>
    <row r="68">
      <c r="C68" s="79"/>
      <c r="D68" s="79"/>
      <c r="J68" s="79"/>
      <c r="O68" s="79"/>
      <c r="P68" s="79"/>
      <c r="S68" s="79"/>
      <c r="T68" s="79"/>
      <c r="W68" s="130"/>
      <c r="Y68" s="106"/>
    </row>
    <row r="69">
      <c r="C69" s="79"/>
      <c r="D69" s="79"/>
      <c r="J69" s="79"/>
      <c r="O69" s="79"/>
      <c r="P69" s="79"/>
      <c r="S69" s="79"/>
      <c r="T69" s="79"/>
      <c r="W69" s="130"/>
      <c r="Y69" s="106"/>
    </row>
    <row r="70">
      <c r="C70" s="79"/>
      <c r="D70" s="79"/>
      <c r="J70" s="79"/>
      <c r="O70" s="79"/>
      <c r="P70" s="79"/>
      <c r="S70" s="79"/>
      <c r="T70" s="79"/>
      <c r="W70" s="130"/>
      <c r="Y70" s="106"/>
    </row>
    <row r="71">
      <c r="C71" s="79"/>
      <c r="D71" s="79"/>
      <c r="J71" s="79"/>
      <c r="O71" s="79"/>
      <c r="P71" s="79"/>
      <c r="S71" s="79"/>
      <c r="T71" s="79"/>
      <c r="W71" s="130"/>
      <c r="Y71" s="106"/>
    </row>
    <row r="72">
      <c r="C72" s="79"/>
      <c r="D72" s="79"/>
      <c r="J72" s="79"/>
      <c r="O72" s="79"/>
      <c r="P72" s="79"/>
      <c r="S72" s="79"/>
      <c r="T72" s="79"/>
      <c r="W72" s="130"/>
      <c r="Y72" s="106"/>
    </row>
    <row r="73">
      <c r="C73" s="79"/>
      <c r="D73" s="79"/>
      <c r="J73" s="79"/>
      <c r="O73" s="79"/>
      <c r="P73" s="79"/>
      <c r="S73" s="79"/>
      <c r="T73" s="79"/>
      <c r="W73" s="130"/>
      <c r="Y73" s="106"/>
    </row>
    <row r="74">
      <c r="C74" s="79"/>
      <c r="D74" s="79"/>
      <c r="J74" s="79"/>
      <c r="O74" s="79"/>
      <c r="P74" s="79"/>
      <c r="S74" s="79"/>
      <c r="T74" s="79"/>
      <c r="W74" s="130"/>
      <c r="Y74" s="106"/>
    </row>
    <row r="75">
      <c r="C75" s="79"/>
      <c r="D75" s="79"/>
      <c r="J75" s="79"/>
      <c r="O75" s="79"/>
      <c r="P75" s="79"/>
      <c r="S75" s="79"/>
      <c r="T75" s="79"/>
      <c r="W75" s="130"/>
      <c r="Y75" s="106"/>
    </row>
    <row r="76">
      <c r="C76" s="79"/>
      <c r="D76" s="79"/>
      <c r="J76" s="79"/>
      <c r="O76" s="79"/>
      <c r="P76" s="79"/>
      <c r="S76" s="79"/>
      <c r="T76" s="79"/>
      <c r="W76" s="130"/>
      <c r="Y76" s="106"/>
    </row>
    <row r="77">
      <c r="C77" s="79"/>
      <c r="D77" s="79"/>
      <c r="J77" s="79"/>
      <c r="O77" s="79"/>
      <c r="P77" s="79"/>
      <c r="S77" s="79"/>
      <c r="T77" s="79"/>
      <c r="W77" s="130"/>
      <c r="Y77" s="106"/>
    </row>
    <row r="78">
      <c r="C78" s="79"/>
      <c r="D78" s="79"/>
      <c r="J78" s="79"/>
      <c r="O78" s="79"/>
      <c r="P78" s="79"/>
      <c r="S78" s="79"/>
      <c r="T78" s="79"/>
      <c r="W78" s="130"/>
      <c r="Y78" s="106"/>
    </row>
    <row r="79">
      <c r="C79" s="79"/>
      <c r="D79" s="79"/>
      <c r="J79" s="79"/>
      <c r="O79" s="79"/>
      <c r="P79" s="79"/>
      <c r="S79" s="79"/>
      <c r="T79" s="79"/>
      <c r="W79" s="130"/>
      <c r="Y79" s="106"/>
    </row>
    <row r="80">
      <c r="C80" s="79"/>
      <c r="D80" s="79"/>
      <c r="J80" s="79"/>
      <c r="O80" s="79"/>
      <c r="P80" s="79"/>
      <c r="S80" s="79"/>
      <c r="T80" s="79"/>
      <c r="W80" s="130"/>
      <c r="Y80" s="106"/>
    </row>
    <row r="81">
      <c r="C81" s="79"/>
      <c r="D81" s="79"/>
      <c r="J81" s="79"/>
      <c r="O81" s="79"/>
      <c r="P81" s="79"/>
      <c r="S81" s="79"/>
      <c r="T81" s="79"/>
      <c r="W81" s="130"/>
      <c r="Y81" s="106"/>
    </row>
    <row r="82">
      <c r="C82" s="79"/>
      <c r="D82" s="79"/>
      <c r="J82" s="79"/>
      <c r="O82" s="79"/>
      <c r="P82" s="79"/>
      <c r="S82" s="79"/>
      <c r="T82" s="79"/>
      <c r="W82" s="130"/>
      <c r="Y82" s="106"/>
    </row>
    <row r="83">
      <c r="C83" s="79"/>
      <c r="D83" s="79"/>
      <c r="J83" s="79"/>
      <c r="O83" s="79"/>
      <c r="P83" s="79"/>
      <c r="S83" s="79"/>
      <c r="T83" s="79"/>
      <c r="W83" s="130"/>
      <c r="Y83" s="106"/>
    </row>
    <row r="84">
      <c r="C84" s="79"/>
      <c r="D84" s="79"/>
      <c r="J84" s="79"/>
      <c r="O84" s="79"/>
      <c r="P84" s="79"/>
      <c r="S84" s="79"/>
      <c r="T84" s="79"/>
      <c r="W84" s="130"/>
      <c r="Y84" s="106"/>
    </row>
    <row r="85">
      <c r="C85" s="79"/>
      <c r="D85" s="79"/>
      <c r="J85" s="79"/>
      <c r="O85" s="79"/>
      <c r="P85" s="79"/>
      <c r="S85" s="79"/>
      <c r="T85" s="79"/>
      <c r="W85" s="130"/>
      <c r="Y85" s="106"/>
    </row>
    <row r="86">
      <c r="C86" s="79"/>
      <c r="D86" s="79"/>
      <c r="J86" s="79"/>
      <c r="O86" s="79"/>
      <c r="P86" s="79"/>
      <c r="S86" s="79"/>
      <c r="T86" s="79"/>
      <c r="W86" s="130"/>
      <c r="Y86" s="106"/>
    </row>
    <row r="87">
      <c r="C87" s="79"/>
      <c r="D87" s="79"/>
      <c r="J87" s="79"/>
      <c r="O87" s="79"/>
      <c r="P87" s="79"/>
      <c r="S87" s="79"/>
      <c r="T87" s="79"/>
      <c r="W87" s="130"/>
      <c r="Y87" s="106"/>
    </row>
    <row r="88">
      <c r="C88" s="79"/>
      <c r="D88" s="79"/>
      <c r="J88" s="79"/>
      <c r="O88" s="79"/>
      <c r="P88" s="79"/>
      <c r="S88" s="79"/>
      <c r="T88" s="79"/>
      <c r="W88" s="130"/>
      <c r="Y88" s="106"/>
    </row>
    <row r="89">
      <c r="C89" s="79"/>
      <c r="D89" s="79"/>
      <c r="J89" s="79"/>
      <c r="O89" s="79"/>
      <c r="P89" s="79"/>
      <c r="S89" s="79"/>
      <c r="T89" s="79"/>
      <c r="W89" s="130"/>
      <c r="Y89" s="106"/>
    </row>
    <row r="90">
      <c r="C90" s="79"/>
      <c r="D90" s="79"/>
      <c r="J90" s="79"/>
      <c r="O90" s="79"/>
      <c r="P90" s="79"/>
      <c r="S90" s="79"/>
      <c r="T90" s="79"/>
      <c r="W90" s="130"/>
      <c r="Y90" s="106"/>
    </row>
    <row r="91">
      <c r="C91" s="79"/>
      <c r="D91" s="79"/>
      <c r="J91" s="79"/>
      <c r="O91" s="79"/>
      <c r="P91" s="79"/>
      <c r="S91" s="79"/>
      <c r="T91" s="79"/>
      <c r="W91" s="130"/>
      <c r="Y91" s="106"/>
    </row>
    <row r="92">
      <c r="C92" s="79"/>
      <c r="D92" s="79"/>
      <c r="J92" s="79"/>
      <c r="O92" s="79"/>
      <c r="P92" s="79"/>
      <c r="S92" s="79"/>
      <c r="T92" s="79"/>
      <c r="W92" s="130"/>
      <c r="Y92" s="106"/>
    </row>
    <row r="93">
      <c r="C93" s="79"/>
      <c r="D93" s="79"/>
      <c r="J93" s="79"/>
      <c r="O93" s="79"/>
      <c r="P93" s="79"/>
      <c r="S93" s="79"/>
      <c r="T93" s="79"/>
      <c r="W93" s="130"/>
      <c r="Y93" s="106"/>
    </row>
    <row r="94">
      <c r="C94" s="79"/>
      <c r="D94" s="79"/>
      <c r="J94" s="79"/>
      <c r="O94" s="79"/>
      <c r="P94" s="79"/>
      <c r="S94" s="79"/>
      <c r="T94" s="79"/>
      <c r="W94" s="130"/>
      <c r="Y94" s="106"/>
    </row>
    <row r="95">
      <c r="C95" s="79"/>
      <c r="D95" s="79"/>
      <c r="J95" s="79"/>
      <c r="O95" s="79"/>
      <c r="P95" s="79"/>
      <c r="S95" s="79"/>
      <c r="T95" s="79"/>
      <c r="W95" s="130"/>
      <c r="Y95" s="106"/>
    </row>
    <row r="96">
      <c r="C96" s="79"/>
      <c r="D96" s="79"/>
      <c r="J96" s="79"/>
      <c r="O96" s="79"/>
      <c r="P96" s="79"/>
      <c r="S96" s="79"/>
      <c r="T96" s="79"/>
      <c r="W96" s="130"/>
      <c r="Y96" s="106"/>
    </row>
    <row r="97">
      <c r="C97" s="79"/>
      <c r="D97" s="79"/>
      <c r="J97" s="79"/>
      <c r="O97" s="79"/>
      <c r="P97" s="79"/>
      <c r="S97" s="79"/>
      <c r="T97" s="79"/>
      <c r="W97" s="130"/>
      <c r="Y97" s="106"/>
    </row>
    <row r="98">
      <c r="C98" s="79"/>
      <c r="D98" s="79"/>
      <c r="J98" s="79"/>
      <c r="O98" s="79"/>
      <c r="P98" s="79"/>
      <c r="S98" s="79"/>
      <c r="T98" s="79"/>
      <c r="W98" s="130"/>
      <c r="Y98" s="106"/>
    </row>
    <row r="99">
      <c r="C99" s="79"/>
      <c r="D99" s="79"/>
      <c r="J99" s="79"/>
      <c r="O99" s="79"/>
      <c r="P99" s="79"/>
      <c r="S99" s="79"/>
      <c r="T99" s="79"/>
      <c r="W99" s="130"/>
      <c r="Y99" s="106"/>
    </row>
    <row r="100">
      <c r="C100" s="79"/>
      <c r="D100" s="79"/>
      <c r="J100" s="79"/>
      <c r="O100" s="79"/>
      <c r="P100" s="79"/>
      <c r="S100" s="79"/>
      <c r="T100" s="79"/>
      <c r="W100" s="130"/>
      <c r="Y100" s="106"/>
    </row>
    <row r="101">
      <c r="C101" s="79"/>
      <c r="D101" s="79"/>
      <c r="J101" s="79"/>
      <c r="O101" s="79"/>
      <c r="P101" s="79"/>
      <c r="S101" s="79"/>
      <c r="T101" s="79"/>
      <c r="W101" s="130"/>
      <c r="Y101" s="106"/>
    </row>
    <row r="102">
      <c r="C102" s="79"/>
      <c r="D102" s="79"/>
      <c r="J102" s="79"/>
      <c r="O102" s="79"/>
      <c r="P102" s="79"/>
      <c r="S102" s="79"/>
      <c r="T102" s="79"/>
      <c r="W102" s="130"/>
      <c r="Y102" s="106"/>
    </row>
    <row r="103">
      <c r="C103" s="79"/>
      <c r="D103" s="79"/>
      <c r="J103" s="79"/>
      <c r="O103" s="79"/>
      <c r="P103" s="79"/>
      <c r="S103" s="79"/>
      <c r="T103" s="79"/>
      <c r="W103" s="130"/>
      <c r="Y103" s="106"/>
    </row>
    <row r="104">
      <c r="C104" s="79"/>
      <c r="D104" s="79"/>
      <c r="J104" s="79"/>
      <c r="O104" s="79"/>
      <c r="P104" s="79"/>
      <c r="S104" s="79"/>
      <c r="T104" s="79"/>
      <c r="W104" s="130"/>
      <c r="Y104" s="106"/>
    </row>
    <row r="105">
      <c r="C105" s="79"/>
      <c r="D105" s="79"/>
      <c r="J105" s="79"/>
      <c r="O105" s="79"/>
      <c r="P105" s="79"/>
      <c r="S105" s="79"/>
      <c r="T105" s="79"/>
      <c r="W105" s="130"/>
      <c r="Y105" s="106"/>
    </row>
    <row r="106">
      <c r="C106" s="79"/>
      <c r="D106" s="79"/>
      <c r="J106" s="79"/>
      <c r="O106" s="79"/>
      <c r="P106" s="79"/>
      <c r="S106" s="79"/>
      <c r="T106" s="79"/>
      <c r="W106" s="130"/>
      <c r="Y106" s="106"/>
    </row>
    <row r="107">
      <c r="C107" s="79"/>
      <c r="D107" s="79"/>
      <c r="J107" s="79"/>
      <c r="O107" s="79"/>
      <c r="P107" s="79"/>
      <c r="S107" s="79"/>
      <c r="T107" s="79"/>
      <c r="W107" s="130"/>
      <c r="Y107" s="106"/>
    </row>
    <row r="108">
      <c r="C108" s="79"/>
      <c r="D108" s="79"/>
      <c r="J108" s="79"/>
      <c r="O108" s="79"/>
      <c r="P108" s="79"/>
      <c r="S108" s="79"/>
      <c r="T108" s="79"/>
      <c r="W108" s="130"/>
      <c r="Y108" s="106"/>
    </row>
    <row r="109">
      <c r="C109" s="79"/>
      <c r="D109" s="79"/>
      <c r="J109" s="79"/>
      <c r="O109" s="79"/>
      <c r="P109" s="79"/>
      <c r="S109" s="79"/>
      <c r="T109" s="79"/>
      <c r="W109" s="130"/>
      <c r="Y109" s="106"/>
    </row>
    <row r="110">
      <c r="C110" s="79"/>
      <c r="D110" s="79"/>
      <c r="J110" s="79"/>
      <c r="O110" s="79"/>
      <c r="P110" s="79"/>
      <c r="S110" s="79"/>
      <c r="T110" s="79"/>
      <c r="W110" s="130"/>
      <c r="Y110" s="106"/>
    </row>
    <row r="111">
      <c r="C111" s="79"/>
      <c r="D111" s="79"/>
      <c r="J111" s="79"/>
      <c r="O111" s="79"/>
      <c r="P111" s="79"/>
      <c r="S111" s="79"/>
      <c r="T111" s="79"/>
      <c r="W111" s="130"/>
      <c r="Y111" s="106"/>
    </row>
    <row r="112">
      <c r="C112" s="79"/>
      <c r="D112" s="79"/>
      <c r="J112" s="79"/>
      <c r="O112" s="79"/>
      <c r="P112" s="79"/>
      <c r="S112" s="79"/>
      <c r="T112" s="79"/>
      <c r="W112" s="130"/>
      <c r="Y112" s="106"/>
    </row>
    <row r="113">
      <c r="C113" s="79"/>
      <c r="D113" s="79"/>
      <c r="J113" s="79"/>
      <c r="O113" s="79"/>
      <c r="P113" s="79"/>
      <c r="S113" s="79"/>
      <c r="T113" s="79"/>
      <c r="W113" s="130"/>
      <c r="Y113" s="106"/>
    </row>
    <row r="114">
      <c r="C114" s="79"/>
      <c r="D114" s="79"/>
      <c r="J114" s="79"/>
      <c r="O114" s="79"/>
      <c r="P114" s="79"/>
      <c r="S114" s="79"/>
      <c r="T114" s="79"/>
      <c r="W114" s="130"/>
      <c r="Y114" s="106"/>
    </row>
    <row r="115">
      <c r="C115" s="79"/>
      <c r="D115" s="79"/>
      <c r="J115" s="79"/>
      <c r="O115" s="79"/>
      <c r="P115" s="79"/>
      <c r="S115" s="79"/>
      <c r="T115" s="79"/>
      <c r="W115" s="130"/>
      <c r="Y115" s="106"/>
    </row>
    <row r="116">
      <c r="C116" s="79"/>
      <c r="D116" s="79"/>
      <c r="J116" s="79"/>
      <c r="O116" s="79"/>
      <c r="P116" s="79"/>
      <c r="S116" s="79"/>
      <c r="T116" s="79"/>
      <c r="W116" s="130"/>
      <c r="Y116" s="106"/>
    </row>
    <row r="117">
      <c r="C117" s="79"/>
      <c r="D117" s="79"/>
      <c r="J117" s="79"/>
      <c r="O117" s="79"/>
      <c r="P117" s="79"/>
      <c r="S117" s="79"/>
      <c r="T117" s="79"/>
      <c r="W117" s="130"/>
      <c r="Y117" s="106"/>
    </row>
    <row r="118">
      <c r="C118" s="79"/>
      <c r="D118" s="79"/>
      <c r="J118" s="79"/>
      <c r="O118" s="79"/>
      <c r="P118" s="79"/>
      <c r="S118" s="79"/>
      <c r="T118" s="79"/>
      <c r="W118" s="130"/>
      <c r="Y118" s="106"/>
    </row>
    <row r="119">
      <c r="C119" s="79"/>
      <c r="D119" s="79"/>
      <c r="J119" s="79"/>
      <c r="O119" s="79"/>
      <c r="P119" s="79"/>
      <c r="S119" s="79"/>
      <c r="T119" s="79"/>
      <c r="W119" s="130"/>
      <c r="Y119" s="106"/>
    </row>
    <row r="120">
      <c r="C120" s="79"/>
      <c r="D120" s="79"/>
      <c r="J120" s="79"/>
      <c r="O120" s="79"/>
      <c r="P120" s="79"/>
      <c r="S120" s="79"/>
      <c r="T120" s="79"/>
      <c r="W120" s="130"/>
      <c r="Y120" s="106"/>
    </row>
    <row r="121">
      <c r="C121" s="79"/>
      <c r="D121" s="79"/>
      <c r="J121" s="79"/>
      <c r="O121" s="79"/>
      <c r="P121" s="79"/>
      <c r="S121" s="79"/>
      <c r="T121" s="79"/>
      <c r="W121" s="130"/>
      <c r="Y121" s="106"/>
    </row>
    <row r="122">
      <c r="C122" s="79"/>
      <c r="D122" s="79"/>
      <c r="J122" s="79"/>
      <c r="O122" s="79"/>
      <c r="P122" s="79"/>
      <c r="S122" s="79"/>
      <c r="T122" s="79"/>
      <c r="W122" s="130"/>
      <c r="Y122" s="106"/>
    </row>
    <row r="123">
      <c r="C123" s="79"/>
      <c r="D123" s="79"/>
      <c r="J123" s="79"/>
      <c r="O123" s="79"/>
      <c r="P123" s="79"/>
      <c r="S123" s="79"/>
      <c r="T123" s="79"/>
      <c r="W123" s="130"/>
      <c r="Y123" s="106"/>
    </row>
    <row r="124">
      <c r="C124" s="79"/>
      <c r="D124" s="79"/>
      <c r="J124" s="79"/>
      <c r="O124" s="79"/>
      <c r="P124" s="79"/>
      <c r="S124" s="79"/>
      <c r="T124" s="79"/>
      <c r="W124" s="130"/>
      <c r="Y124" s="106"/>
    </row>
    <row r="125">
      <c r="C125" s="79"/>
      <c r="D125" s="79"/>
      <c r="J125" s="79"/>
      <c r="O125" s="79"/>
      <c r="P125" s="79"/>
      <c r="S125" s="79"/>
      <c r="T125" s="79"/>
      <c r="W125" s="130"/>
      <c r="Y125" s="106"/>
    </row>
    <row r="126">
      <c r="C126" s="79"/>
      <c r="D126" s="79"/>
      <c r="J126" s="79"/>
      <c r="O126" s="79"/>
      <c r="P126" s="79"/>
      <c r="S126" s="79"/>
      <c r="T126" s="79"/>
      <c r="W126" s="130"/>
      <c r="Y126" s="106"/>
    </row>
    <row r="127">
      <c r="C127" s="79"/>
      <c r="D127" s="79"/>
      <c r="J127" s="79"/>
      <c r="O127" s="79"/>
      <c r="P127" s="79"/>
      <c r="S127" s="79"/>
      <c r="T127" s="79"/>
      <c r="W127" s="130"/>
      <c r="Y127" s="106"/>
    </row>
    <row r="128">
      <c r="C128" s="79"/>
      <c r="D128" s="79"/>
      <c r="J128" s="79"/>
      <c r="O128" s="79"/>
      <c r="P128" s="79"/>
      <c r="S128" s="79"/>
      <c r="T128" s="79"/>
      <c r="W128" s="130"/>
      <c r="Y128" s="106"/>
    </row>
    <row r="129">
      <c r="C129" s="79"/>
      <c r="D129" s="79"/>
      <c r="J129" s="79"/>
      <c r="O129" s="79"/>
      <c r="P129" s="79"/>
      <c r="S129" s="79"/>
      <c r="T129" s="79"/>
      <c r="W129" s="130"/>
      <c r="Y129" s="106"/>
    </row>
    <row r="130">
      <c r="C130" s="79"/>
      <c r="D130" s="79"/>
      <c r="J130" s="79"/>
      <c r="O130" s="79"/>
      <c r="P130" s="79"/>
      <c r="S130" s="79"/>
      <c r="T130" s="79"/>
      <c r="W130" s="130"/>
      <c r="Y130" s="106"/>
    </row>
    <row r="131">
      <c r="C131" s="79"/>
      <c r="D131" s="79"/>
      <c r="J131" s="79"/>
      <c r="O131" s="79"/>
      <c r="P131" s="79"/>
      <c r="S131" s="79"/>
      <c r="T131" s="79"/>
      <c r="W131" s="130"/>
      <c r="Y131" s="106"/>
    </row>
    <row r="132">
      <c r="C132" s="79"/>
      <c r="D132" s="79"/>
      <c r="J132" s="79"/>
      <c r="O132" s="79"/>
      <c r="P132" s="79"/>
      <c r="S132" s="79"/>
      <c r="T132" s="79"/>
      <c r="W132" s="130"/>
      <c r="Y132" s="106"/>
    </row>
    <row r="133">
      <c r="C133" s="79"/>
      <c r="D133" s="79"/>
      <c r="J133" s="79"/>
      <c r="O133" s="79"/>
      <c r="P133" s="79"/>
      <c r="S133" s="79"/>
      <c r="T133" s="79"/>
      <c r="W133" s="130"/>
      <c r="Y133" s="106"/>
    </row>
    <row r="134">
      <c r="C134" s="79"/>
      <c r="D134" s="79"/>
      <c r="J134" s="79"/>
      <c r="O134" s="79"/>
      <c r="P134" s="79"/>
      <c r="S134" s="79"/>
      <c r="T134" s="79"/>
      <c r="W134" s="130"/>
      <c r="Y134" s="106"/>
    </row>
    <row r="135">
      <c r="C135" s="79"/>
      <c r="D135" s="79"/>
      <c r="J135" s="79"/>
      <c r="O135" s="79"/>
      <c r="P135" s="79"/>
      <c r="S135" s="79"/>
      <c r="T135" s="79"/>
      <c r="W135" s="130"/>
      <c r="Y135" s="106"/>
    </row>
    <row r="136">
      <c r="C136" s="79"/>
      <c r="D136" s="79"/>
      <c r="J136" s="79"/>
      <c r="O136" s="79"/>
      <c r="P136" s="79"/>
      <c r="S136" s="79"/>
      <c r="T136" s="79"/>
      <c r="W136" s="130"/>
      <c r="Y136" s="106"/>
    </row>
    <row r="137">
      <c r="C137" s="79"/>
      <c r="D137" s="79"/>
      <c r="J137" s="79"/>
      <c r="O137" s="79"/>
      <c r="P137" s="79"/>
      <c r="S137" s="79"/>
      <c r="T137" s="79"/>
      <c r="W137" s="130"/>
      <c r="Y137" s="106"/>
    </row>
    <row r="138">
      <c r="C138" s="79"/>
      <c r="D138" s="79"/>
      <c r="J138" s="79"/>
      <c r="O138" s="79"/>
      <c r="P138" s="79"/>
      <c r="S138" s="79"/>
      <c r="T138" s="79"/>
      <c r="W138" s="130"/>
      <c r="Y138" s="106"/>
    </row>
    <row r="139">
      <c r="C139" s="79"/>
      <c r="D139" s="79"/>
      <c r="J139" s="79"/>
      <c r="O139" s="79"/>
      <c r="P139" s="79"/>
      <c r="S139" s="79"/>
      <c r="T139" s="79"/>
      <c r="W139" s="130"/>
      <c r="Y139" s="106"/>
    </row>
    <row r="140">
      <c r="C140" s="79"/>
      <c r="D140" s="79"/>
      <c r="J140" s="79"/>
      <c r="O140" s="79"/>
      <c r="P140" s="79"/>
      <c r="S140" s="79"/>
      <c r="T140" s="79"/>
      <c r="W140" s="130"/>
      <c r="Y140" s="106"/>
    </row>
    <row r="141">
      <c r="C141" s="79"/>
      <c r="D141" s="79"/>
      <c r="J141" s="79"/>
      <c r="O141" s="79"/>
      <c r="P141" s="79"/>
      <c r="S141" s="79"/>
      <c r="T141" s="79"/>
      <c r="W141" s="130"/>
      <c r="Y141" s="106"/>
    </row>
    <row r="142">
      <c r="C142" s="79"/>
      <c r="D142" s="79"/>
      <c r="J142" s="79"/>
      <c r="O142" s="79"/>
      <c r="P142" s="79"/>
      <c r="S142" s="79"/>
      <c r="T142" s="79"/>
      <c r="W142" s="130"/>
      <c r="Y142" s="106"/>
    </row>
    <row r="143">
      <c r="C143" s="79"/>
      <c r="D143" s="79"/>
      <c r="J143" s="79"/>
      <c r="O143" s="79"/>
      <c r="P143" s="79"/>
      <c r="S143" s="79"/>
      <c r="T143" s="79"/>
      <c r="W143" s="130"/>
      <c r="Y143" s="106"/>
    </row>
    <row r="144">
      <c r="C144" s="79"/>
      <c r="D144" s="79"/>
      <c r="J144" s="79"/>
      <c r="O144" s="79"/>
      <c r="P144" s="79"/>
      <c r="S144" s="79"/>
      <c r="T144" s="79"/>
      <c r="W144" s="130"/>
      <c r="Y144" s="106"/>
    </row>
    <row r="145">
      <c r="C145" s="79"/>
      <c r="D145" s="79"/>
      <c r="J145" s="79"/>
      <c r="O145" s="79"/>
      <c r="P145" s="79"/>
      <c r="S145" s="79"/>
      <c r="T145" s="79"/>
      <c r="W145" s="130"/>
      <c r="Y145" s="106"/>
    </row>
    <row r="146">
      <c r="C146" s="79"/>
      <c r="D146" s="79"/>
      <c r="J146" s="79"/>
      <c r="O146" s="79"/>
      <c r="P146" s="79"/>
      <c r="S146" s="79"/>
      <c r="T146" s="79"/>
      <c r="W146" s="130"/>
      <c r="Y146" s="106"/>
    </row>
    <row r="147">
      <c r="C147" s="79"/>
      <c r="D147" s="79"/>
      <c r="J147" s="79"/>
      <c r="O147" s="79"/>
      <c r="P147" s="79"/>
      <c r="S147" s="79"/>
      <c r="T147" s="79"/>
      <c r="W147" s="130"/>
      <c r="Y147" s="106"/>
    </row>
    <row r="148">
      <c r="C148" s="79"/>
      <c r="D148" s="79"/>
      <c r="J148" s="79"/>
      <c r="O148" s="79"/>
      <c r="P148" s="79"/>
      <c r="S148" s="79"/>
      <c r="T148" s="79"/>
      <c r="W148" s="130"/>
      <c r="Y148" s="106"/>
    </row>
    <row r="149">
      <c r="C149" s="79"/>
      <c r="D149" s="79"/>
      <c r="J149" s="79"/>
      <c r="O149" s="79"/>
      <c r="P149" s="79"/>
      <c r="S149" s="79"/>
      <c r="T149" s="79"/>
      <c r="W149" s="130"/>
      <c r="Y149" s="106"/>
    </row>
    <row r="150">
      <c r="C150" s="79"/>
      <c r="D150" s="79"/>
      <c r="J150" s="79"/>
      <c r="O150" s="79"/>
      <c r="P150" s="79"/>
      <c r="S150" s="79"/>
      <c r="T150" s="79"/>
      <c r="W150" s="130"/>
      <c r="Y150" s="106"/>
    </row>
    <row r="151">
      <c r="C151" s="79"/>
      <c r="D151" s="79"/>
      <c r="J151" s="79"/>
      <c r="O151" s="79"/>
      <c r="P151" s="79"/>
      <c r="S151" s="79"/>
      <c r="T151" s="79"/>
      <c r="W151" s="130"/>
      <c r="Y151" s="106"/>
    </row>
    <row r="152">
      <c r="C152" s="79"/>
      <c r="D152" s="79"/>
      <c r="J152" s="79"/>
      <c r="O152" s="79"/>
      <c r="P152" s="79"/>
      <c r="S152" s="79"/>
      <c r="T152" s="79"/>
      <c r="W152" s="130"/>
      <c r="Y152" s="106"/>
    </row>
    <row r="153">
      <c r="C153" s="79"/>
      <c r="D153" s="79"/>
      <c r="J153" s="79"/>
      <c r="O153" s="79"/>
      <c r="P153" s="79"/>
      <c r="S153" s="79"/>
      <c r="T153" s="79"/>
      <c r="W153" s="130"/>
      <c r="Y153" s="106"/>
    </row>
    <row r="154">
      <c r="C154" s="79"/>
      <c r="D154" s="79"/>
      <c r="J154" s="79"/>
      <c r="O154" s="79"/>
      <c r="P154" s="79"/>
      <c r="S154" s="79"/>
      <c r="T154" s="79"/>
      <c r="W154" s="130"/>
      <c r="Y154" s="106"/>
    </row>
    <row r="155">
      <c r="C155" s="79"/>
      <c r="D155" s="79"/>
      <c r="J155" s="79"/>
      <c r="O155" s="79"/>
      <c r="P155" s="79"/>
      <c r="S155" s="79"/>
      <c r="T155" s="79"/>
      <c r="W155" s="130"/>
      <c r="Y155" s="106"/>
    </row>
    <row r="156">
      <c r="C156" s="79"/>
      <c r="D156" s="79"/>
      <c r="J156" s="79"/>
      <c r="O156" s="79"/>
      <c r="P156" s="79"/>
      <c r="S156" s="79"/>
      <c r="T156" s="79"/>
      <c r="W156" s="130"/>
      <c r="Y156" s="106"/>
    </row>
    <row r="157">
      <c r="C157" s="79"/>
      <c r="D157" s="79"/>
      <c r="J157" s="79"/>
      <c r="O157" s="79"/>
      <c r="P157" s="79"/>
      <c r="S157" s="79"/>
      <c r="T157" s="79"/>
      <c r="W157" s="130"/>
      <c r="Y157" s="106"/>
    </row>
    <row r="158">
      <c r="C158" s="79"/>
      <c r="D158" s="79"/>
      <c r="J158" s="79"/>
      <c r="O158" s="79"/>
      <c r="P158" s="79"/>
      <c r="S158" s="79"/>
      <c r="T158" s="79"/>
      <c r="W158" s="130"/>
      <c r="Y158" s="106"/>
    </row>
    <row r="159">
      <c r="C159" s="79"/>
      <c r="D159" s="79"/>
      <c r="J159" s="79"/>
      <c r="O159" s="79"/>
      <c r="P159" s="79"/>
      <c r="S159" s="79"/>
      <c r="T159" s="79"/>
      <c r="W159" s="130"/>
      <c r="Y159" s="106"/>
    </row>
    <row r="160">
      <c r="C160" s="79"/>
      <c r="D160" s="79"/>
      <c r="J160" s="79"/>
      <c r="O160" s="79"/>
      <c r="P160" s="79"/>
      <c r="S160" s="79"/>
      <c r="T160" s="79"/>
      <c r="W160" s="130"/>
      <c r="Y160" s="106"/>
    </row>
    <row r="161">
      <c r="C161" s="79"/>
      <c r="D161" s="79"/>
      <c r="J161" s="79"/>
      <c r="O161" s="79"/>
      <c r="P161" s="79"/>
      <c r="S161" s="79"/>
      <c r="T161" s="79"/>
      <c r="W161" s="130"/>
      <c r="Y161" s="106"/>
    </row>
    <row r="162">
      <c r="C162" s="79"/>
      <c r="D162" s="79"/>
      <c r="J162" s="79"/>
      <c r="O162" s="79"/>
      <c r="P162" s="79"/>
      <c r="S162" s="79"/>
      <c r="T162" s="79"/>
      <c r="W162" s="130"/>
      <c r="Y162" s="106"/>
    </row>
    <row r="163">
      <c r="C163" s="79"/>
      <c r="D163" s="79"/>
      <c r="J163" s="79"/>
      <c r="O163" s="79"/>
      <c r="P163" s="79"/>
      <c r="S163" s="79"/>
      <c r="T163" s="79"/>
      <c r="W163" s="130"/>
      <c r="Y163" s="106"/>
    </row>
    <row r="164">
      <c r="C164" s="79"/>
      <c r="D164" s="79"/>
      <c r="J164" s="79"/>
      <c r="O164" s="79"/>
      <c r="P164" s="79"/>
      <c r="S164" s="79"/>
      <c r="T164" s="79"/>
      <c r="W164" s="130"/>
      <c r="Y164" s="106"/>
    </row>
    <row r="165">
      <c r="C165" s="79"/>
      <c r="D165" s="79"/>
      <c r="J165" s="79"/>
      <c r="O165" s="79"/>
      <c r="P165" s="79"/>
      <c r="S165" s="79"/>
      <c r="T165" s="79"/>
      <c r="W165" s="130"/>
      <c r="Y165" s="106"/>
    </row>
    <row r="166">
      <c r="C166" s="79"/>
      <c r="D166" s="79"/>
      <c r="J166" s="79"/>
      <c r="O166" s="79"/>
      <c r="P166" s="79"/>
      <c r="S166" s="79"/>
      <c r="T166" s="79"/>
      <c r="W166" s="130"/>
      <c r="Y166" s="106"/>
    </row>
    <row r="167">
      <c r="C167" s="79"/>
      <c r="D167" s="79"/>
      <c r="J167" s="79"/>
      <c r="O167" s="79"/>
      <c r="P167" s="79"/>
      <c r="S167" s="79"/>
      <c r="T167" s="79"/>
      <c r="W167" s="130"/>
      <c r="Y167" s="106"/>
    </row>
    <row r="168">
      <c r="C168" s="79"/>
      <c r="D168" s="79"/>
      <c r="J168" s="79"/>
      <c r="O168" s="79"/>
      <c r="P168" s="79"/>
      <c r="S168" s="79"/>
      <c r="T168" s="79"/>
      <c r="W168" s="130"/>
      <c r="Y168" s="106"/>
    </row>
    <row r="169">
      <c r="C169" s="79"/>
      <c r="D169" s="79"/>
      <c r="J169" s="79"/>
      <c r="O169" s="79"/>
      <c r="P169" s="79"/>
      <c r="S169" s="79"/>
      <c r="T169" s="79"/>
      <c r="W169" s="130"/>
      <c r="Y169" s="106"/>
    </row>
    <row r="170">
      <c r="C170" s="79"/>
      <c r="D170" s="79"/>
      <c r="J170" s="79"/>
      <c r="O170" s="79"/>
      <c r="P170" s="79"/>
      <c r="S170" s="79"/>
      <c r="T170" s="79"/>
      <c r="W170" s="130"/>
      <c r="Y170" s="106"/>
    </row>
    <row r="171">
      <c r="C171" s="79"/>
      <c r="D171" s="79"/>
      <c r="J171" s="79"/>
      <c r="O171" s="79"/>
      <c r="P171" s="79"/>
      <c r="S171" s="79"/>
      <c r="T171" s="79"/>
      <c r="W171" s="130"/>
      <c r="Y171" s="106"/>
    </row>
    <row r="172">
      <c r="C172" s="79"/>
      <c r="D172" s="79"/>
      <c r="J172" s="79"/>
      <c r="O172" s="79"/>
      <c r="P172" s="79"/>
      <c r="S172" s="79"/>
      <c r="T172" s="79"/>
      <c r="W172" s="130"/>
      <c r="Y172" s="106"/>
    </row>
    <row r="173">
      <c r="C173" s="79"/>
      <c r="D173" s="79"/>
      <c r="J173" s="79"/>
      <c r="O173" s="79"/>
      <c r="P173" s="79"/>
      <c r="S173" s="79"/>
      <c r="T173" s="79"/>
      <c r="W173" s="130"/>
      <c r="Y173" s="106"/>
    </row>
    <row r="174">
      <c r="C174" s="79"/>
      <c r="D174" s="79"/>
      <c r="J174" s="79"/>
      <c r="O174" s="79"/>
      <c r="P174" s="79"/>
      <c r="S174" s="79"/>
      <c r="T174" s="79"/>
      <c r="W174" s="130"/>
      <c r="Y174" s="106"/>
    </row>
    <row r="175">
      <c r="C175" s="79"/>
      <c r="D175" s="79"/>
      <c r="J175" s="79"/>
      <c r="O175" s="79"/>
      <c r="P175" s="79"/>
      <c r="S175" s="79"/>
      <c r="T175" s="79"/>
      <c r="W175" s="130"/>
      <c r="Y175" s="106"/>
    </row>
    <row r="176">
      <c r="C176" s="79"/>
      <c r="D176" s="79"/>
      <c r="J176" s="79"/>
      <c r="O176" s="79"/>
      <c r="P176" s="79"/>
      <c r="S176" s="79"/>
      <c r="T176" s="79"/>
      <c r="W176" s="130"/>
      <c r="Y176" s="106"/>
    </row>
    <row r="177">
      <c r="C177" s="79"/>
      <c r="D177" s="79"/>
      <c r="J177" s="79"/>
      <c r="O177" s="79"/>
      <c r="P177" s="79"/>
      <c r="S177" s="79"/>
      <c r="T177" s="79"/>
      <c r="W177" s="130"/>
      <c r="Y177" s="106"/>
    </row>
    <row r="178">
      <c r="C178" s="79"/>
      <c r="D178" s="79"/>
      <c r="J178" s="79"/>
      <c r="O178" s="79"/>
      <c r="P178" s="79"/>
      <c r="S178" s="79"/>
      <c r="T178" s="79"/>
      <c r="W178" s="130"/>
      <c r="Y178" s="106"/>
    </row>
    <row r="179">
      <c r="C179" s="79"/>
      <c r="D179" s="79"/>
      <c r="J179" s="79"/>
      <c r="O179" s="79"/>
      <c r="P179" s="79"/>
      <c r="S179" s="79"/>
      <c r="T179" s="79"/>
      <c r="W179" s="130"/>
      <c r="Y179" s="106"/>
    </row>
    <row r="180">
      <c r="C180" s="79"/>
      <c r="D180" s="79"/>
      <c r="J180" s="79"/>
      <c r="O180" s="79"/>
      <c r="P180" s="79"/>
      <c r="S180" s="79"/>
      <c r="T180" s="79"/>
      <c r="W180" s="130"/>
      <c r="Y180" s="106"/>
    </row>
    <row r="181">
      <c r="C181" s="79"/>
      <c r="D181" s="79"/>
      <c r="J181" s="79"/>
      <c r="O181" s="79"/>
      <c r="P181" s="79"/>
      <c r="S181" s="79"/>
      <c r="T181" s="79"/>
      <c r="W181" s="130"/>
      <c r="Y181" s="106"/>
    </row>
    <row r="182">
      <c r="C182" s="79"/>
      <c r="D182" s="79"/>
      <c r="J182" s="79"/>
      <c r="O182" s="79"/>
      <c r="P182" s="79"/>
      <c r="S182" s="79"/>
      <c r="T182" s="79"/>
      <c r="W182" s="130"/>
      <c r="Y182" s="106"/>
    </row>
    <row r="183">
      <c r="C183" s="79"/>
      <c r="D183" s="79"/>
      <c r="J183" s="79"/>
      <c r="O183" s="79"/>
      <c r="P183" s="79"/>
      <c r="S183" s="79"/>
      <c r="T183" s="79"/>
      <c r="W183" s="130"/>
      <c r="Y183" s="106"/>
    </row>
    <row r="184">
      <c r="C184" s="79"/>
      <c r="D184" s="79"/>
      <c r="J184" s="79"/>
      <c r="O184" s="79"/>
      <c r="P184" s="79"/>
      <c r="S184" s="79"/>
      <c r="T184" s="79"/>
      <c r="W184" s="130"/>
      <c r="Y184" s="106"/>
    </row>
    <row r="185">
      <c r="C185" s="79"/>
      <c r="D185" s="79"/>
      <c r="J185" s="79"/>
      <c r="O185" s="79"/>
      <c r="P185" s="79"/>
      <c r="S185" s="79"/>
      <c r="T185" s="79"/>
      <c r="W185" s="130"/>
      <c r="Y185" s="106"/>
    </row>
    <row r="186">
      <c r="C186" s="79"/>
      <c r="D186" s="79"/>
      <c r="J186" s="79"/>
      <c r="O186" s="79"/>
      <c r="P186" s="79"/>
      <c r="S186" s="79"/>
      <c r="T186" s="79"/>
      <c r="W186" s="130"/>
      <c r="Y186" s="106"/>
    </row>
    <row r="187">
      <c r="C187" s="79"/>
      <c r="D187" s="79"/>
      <c r="J187" s="79"/>
      <c r="O187" s="79"/>
      <c r="P187" s="79"/>
      <c r="S187" s="79"/>
      <c r="T187" s="79"/>
      <c r="W187" s="130"/>
      <c r="Y187" s="106"/>
    </row>
    <row r="188">
      <c r="C188" s="79"/>
      <c r="D188" s="79"/>
      <c r="J188" s="79"/>
      <c r="O188" s="79"/>
      <c r="P188" s="79"/>
      <c r="S188" s="79"/>
      <c r="T188" s="79"/>
      <c r="W188" s="130"/>
      <c r="Y188" s="106"/>
    </row>
    <row r="189">
      <c r="C189" s="79"/>
      <c r="D189" s="79"/>
      <c r="J189" s="79"/>
      <c r="O189" s="79"/>
      <c r="P189" s="79"/>
      <c r="S189" s="79"/>
      <c r="T189" s="79"/>
      <c r="W189" s="130"/>
      <c r="Y189" s="106"/>
    </row>
    <row r="190">
      <c r="C190" s="79"/>
      <c r="D190" s="79"/>
      <c r="J190" s="79"/>
      <c r="O190" s="79"/>
      <c r="P190" s="79"/>
      <c r="S190" s="79"/>
      <c r="T190" s="79"/>
      <c r="W190" s="130"/>
      <c r="Y190" s="106"/>
    </row>
    <row r="191">
      <c r="C191" s="79"/>
      <c r="D191" s="79"/>
      <c r="J191" s="79"/>
      <c r="O191" s="79"/>
      <c r="P191" s="79"/>
      <c r="S191" s="79"/>
      <c r="T191" s="79"/>
      <c r="W191" s="130"/>
      <c r="Y191" s="106"/>
    </row>
    <row r="192">
      <c r="C192" s="79"/>
      <c r="D192" s="79"/>
      <c r="J192" s="79"/>
      <c r="O192" s="79"/>
      <c r="P192" s="79"/>
      <c r="S192" s="79"/>
      <c r="T192" s="79"/>
      <c r="W192" s="130"/>
      <c r="Y192" s="106"/>
    </row>
    <row r="193">
      <c r="C193" s="79"/>
      <c r="D193" s="79"/>
      <c r="J193" s="79"/>
      <c r="O193" s="79"/>
      <c r="P193" s="79"/>
      <c r="S193" s="79"/>
      <c r="T193" s="79"/>
      <c r="W193" s="130"/>
      <c r="Y193" s="106"/>
    </row>
    <row r="194">
      <c r="C194" s="79"/>
      <c r="D194" s="79"/>
      <c r="J194" s="79"/>
      <c r="O194" s="79"/>
      <c r="P194" s="79"/>
      <c r="S194" s="79"/>
      <c r="T194" s="79"/>
      <c r="W194" s="130"/>
      <c r="Y194" s="106"/>
    </row>
    <row r="195">
      <c r="C195" s="79"/>
      <c r="D195" s="79"/>
      <c r="J195" s="79"/>
      <c r="O195" s="79"/>
      <c r="P195" s="79"/>
      <c r="S195" s="79"/>
      <c r="T195" s="79"/>
      <c r="W195" s="130"/>
      <c r="Y195" s="106"/>
    </row>
    <row r="196">
      <c r="C196" s="79"/>
      <c r="D196" s="79"/>
      <c r="J196" s="79"/>
      <c r="O196" s="79"/>
      <c r="P196" s="79"/>
      <c r="S196" s="79"/>
      <c r="T196" s="79"/>
      <c r="W196" s="130"/>
      <c r="Y196" s="106"/>
    </row>
    <row r="197">
      <c r="C197" s="79"/>
      <c r="D197" s="79"/>
      <c r="J197" s="79"/>
      <c r="O197" s="79"/>
      <c r="P197" s="79"/>
      <c r="S197" s="79"/>
      <c r="T197" s="79"/>
      <c r="W197" s="130"/>
      <c r="Y197" s="106"/>
    </row>
    <row r="198">
      <c r="C198" s="79"/>
      <c r="D198" s="79"/>
      <c r="J198" s="79"/>
      <c r="O198" s="79"/>
      <c r="P198" s="79"/>
      <c r="S198" s="79"/>
      <c r="T198" s="79"/>
      <c r="W198" s="130"/>
      <c r="Y198" s="106"/>
    </row>
    <row r="199">
      <c r="C199" s="79"/>
      <c r="D199" s="79"/>
      <c r="J199" s="79"/>
      <c r="O199" s="79"/>
      <c r="P199" s="79"/>
      <c r="S199" s="79"/>
      <c r="T199" s="79"/>
      <c r="W199" s="130"/>
      <c r="Y199" s="106"/>
    </row>
    <row r="200">
      <c r="C200" s="79"/>
      <c r="D200" s="79"/>
      <c r="J200" s="79"/>
      <c r="O200" s="79"/>
      <c r="P200" s="79"/>
      <c r="S200" s="79"/>
      <c r="T200" s="79"/>
      <c r="W200" s="130"/>
      <c r="Y200" s="106"/>
    </row>
    <row r="201">
      <c r="C201" s="79"/>
      <c r="D201" s="79"/>
      <c r="J201" s="79"/>
      <c r="O201" s="79"/>
      <c r="P201" s="79"/>
      <c r="S201" s="79"/>
      <c r="T201" s="79"/>
      <c r="W201" s="130"/>
      <c r="Y201" s="106"/>
    </row>
    <row r="202">
      <c r="C202" s="79"/>
      <c r="D202" s="79"/>
      <c r="J202" s="79"/>
      <c r="O202" s="79"/>
      <c r="P202" s="79"/>
      <c r="S202" s="79"/>
      <c r="T202" s="79"/>
      <c r="W202" s="130"/>
      <c r="Y202" s="106"/>
    </row>
    <row r="203">
      <c r="C203" s="79"/>
      <c r="D203" s="79"/>
      <c r="J203" s="79"/>
      <c r="O203" s="79"/>
      <c r="P203" s="79"/>
      <c r="S203" s="79"/>
      <c r="T203" s="79"/>
      <c r="W203" s="130"/>
      <c r="Y203" s="106"/>
    </row>
    <row r="204">
      <c r="C204" s="79"/>
      <c r="D204" s="79"/>
      <c r="J204" s="79"/>
      <c r="O204" s="79"/>
      <c r="P204" s="79"/>
      <c r="S204" s="79"/>
      <c r="T204" s="79"/>
      <c r="W204" s="130"/>
      <c r="Y204" s="106"/>
    </row>
    <row r="205">
      <c r="C205" s="79"/>
      <c r="D205" s="79"/>
      <c r="J205" s="79"/>
      <c r="O205" s="79"/>
      <c r="P205" s="79"/>
      <c r="S205" s="79"/>
      <c r="T205" s="79"/>
      <c r="W205" s="130"/>
      <c r="Y205" s="106"/>
    </row>
    <row r="206">
      <c r="C206" s="79"/>
      <c r="D206" s="79"/>
      <c r="J206" s="79"/>
      <c r="O206" s="79"/>
      <c r="P206" s="79"/>
      <c r="S206" s="79"/>
      <c r="T206" s="79"/>
      <c r="W206" s="130"/>
      <c r="Y206" s="106"/>
    </row>
    <row r="207">
      <c r="C207" s="79"/>
      <c r="D207" s="79"/>
      <c r="J207" s="79"/>
      <c r="O207" s="79"/>
      <c r="P207" s="79"/>
      <c r="S207" s="79"/>
      <c r="T207" s="79"/>
      <c r="W207" s="130"/>
      <c r="Y207" s="106"/>
    </row>
    <row r="208">
      <c r="C208" s="79"/>
      <c r="D208" s="79"/>
      <c r="J208" s="79"/>
      <c r="O208" s="79"/>
      <c r="P208" s="79"/>
      <c r="S208" s="79"/>
      <c r="T208" s="79"/>
      <c r="W208" s="130"/>
      <c r="Y208" s="106"/>
    </row>
    <row r="209">
      <c r="C209" s="79"/>
      <c r="D209" s="79"/>
      <c r="J209" s="79"/>
      <c r="O209" s="79"/>
      <c r="P209" s="79"/>
      <c r="S209" s="79"/>
      <c r="T209" s="79"/>
      <c r="W209" s="130"/>
      <c r="Y209" s="106"/>
    </row>
    <row r="210">
      <c r="C210" s="79"/>
      <c r="D210" s="79"/>
      <c r="J210" s="79"/>
      <c r="O210" s="79"/>
      <c r="P210" s="79"/>
      <c r="S210" s="79"/>
      <c r="T210" s="79"/>
      <c r="W210" s="130"/>
      <c r="Y210" s="106"/>
    </row>
    <row r="211">
      <c r="C211" s="79"/>
      <c r="D211" s="79"/>
      <c r="J211" s="79"/>
      <c r="O211" s="79"/>
      <c r="P211" s="79"/>
      <c r="S211" s="79"/>
      <c r="T211" s="79"/>
      <c r="W211" s="130"/>
      <c r="Y211" s="106"/>
    </row>
    <row r="212">
      <c r="C212" s="79"/>
      <c r="D212" s="79"/>
      <c r="J212" s="79"/>
      <c r="O212" s="79"/>
      <c r="P212" s="79"/>
      <c r="S212" s="79"/>
      <c r="T212" s="79"/>
      <c r="W212" s="130"/>
      <c r="Y212" s="106"/>
    </row>
    <row r="213">
      <c r="C213" s="79"/>
      <c r="D213" s="79"/>
      <c r="J213" s="79"/>
      <c r="O213" s="79"/>
      <c r="P213" s="79"/>
      <c r="S213" s="79"/>
      <c r="T213" s="79"/>
      <c r="W213" s="130"/>
      <c r="Y213" s="106"/>
    </row>
    <row r="214">
      <c r="C214" s="79"/>
      <c r="D214" s="79"/>
      <c r="J214" s="79"/>
      <c r="O214" s="79"/>
      <c r="P214" s="79"/>
      <c r="S214" s="79"/>
      <c r="T214" s="79"/>
      <c r="W214" s="130"/>
      <c r="Y214" s="106"/>
    </row>
    <row r="215">
      <c r="C215" s="79"/>
      <c r="D215" s="79"/>
      <c r="J215" s="79"/>
      <c r="O215" s="79"/>
      <c r="P215" s="79"/>
      <c r="S215" s="79"/>
      <c r="T215" s="79"/>
      <c r="W215" s="130"/>
      <c r="Y215" s="106"/>
    </row>
    <row r="216">
      <c r="C216" s="79"/>
      <c r="D216" s="79"/>
      <c r="J216" s="79"/>
      <c r="O216" s="79"/>
      <c r="P216" s="79"/>
      <c r="S216" s="79"/>
      <c r="T216" s="79"/>
      <c r="W216" s="130"/>
      <c r="Y216" s="106"/>
    </row>
    <row r="217">
      <c r="C217" s="79"/>
      <c r="D217" s="79"/>
      <c r="J217" s="79"/>
      <c r="O217" s="79"/>
      <c r="P217" s="79"/>
      <c r="S217" s="79"/>
      <c r="T217" s="79"/>
      <c r="W217" s="130"/>
      <c r="Y217" s="106"/>
    </row>
    <row r="218">
      <c r="C218" s="79"/>
      <c r="D218" s="79"/>
      <c r="J218" s="79"/>
      <c r="O218" s="79"/>
      <c r="P218" s="79"/>
      <c r="S218" s="79"/>
      <c r="T218" s="79"/>
      <c r="W218" s="130"/>
      <c r="Y218" s="106"/>
    </row>
    <row r="219">
      <c r="C219" s="79"/>
      <c r="D219" s="79"/>
      <c r="J219" s="79"/>
      <c r="O219" s="79"/>
      <c r="P219" s="79"/>
      <c r="S219" s="79"/>
      <c r="T219" s="79"/>
      <c r="W219" s="130"/>
      <c r="Y219" s="106"/>
    </row>
    <row r="220">
      <c r="C220" s="79"/>
      <c r="D220" s="79"/>
      <c r="J220" s="79"/>
      <c r="O220" s="79"/>
      <c r="P220" s="79"/>
      <c r="S220" s="79"/>
      <c r="T220" s="79"/>
      <c r="W220" s="130"/>
      <c r="Y220" s="106"/>
    </row>
    <row r="221">
      <c r="C221" s="79"/>
      <c r="D221" s="79"/>
      <c r="J221" s="79"/>
      <c r="O221" s="79"/>
      <c r="P221" s="79"/>
      <c r="S221" s="79"/>
      <c r="T221" s="79"/>
      <c r="W221" s="130"/>
      <c r="Y221" s="106"/>
    </row>
    <row r="222">
      <c r="C222" s="79"/>
      <c r="D222" s="79"/>
      <c r="J222" s="79"/>
      <c r="O222" s="79"/>
      <c r="P222" s="79"/>
      <c r="S222" s="79"/>
      <c r="T222" s="79"/>
      <c r="W222" s="130"/>
      <c r="Y222" s="106"/>
    </row>
    <row r="223">
      <c r="C223" s="79"/>
      <c r="D223" s="79"/>
      <c r="J223" s="79"/>
      <c r="O223" s="79"/>
      <c r="P223" s="79"/>
      <c r="S223" s="79"/>
      <c r="T223" s="79"/>
      <c r="W223" s="130"/>
      <c r="Y223" s="106"/>
    </row>
    <row r="224">
      <c r="C224" s="79"/>
      <c r="D224" s="79"/>
      <c r="J224" s="79"/>
      <c r="O224" s="79"/>
      <c r="P224" s="79"/>
      <c r="S224" s="79"/>
      <c r="T224" s="79"/>
      <c r="W224" s="130"/>
      <c r="Y224" s="106"/>
    </row>
    <row r="225">
      <c r="C225" s="79"/>
      <c r="D225" s="79"/>
      <c r="J225" s="79"/>
      <c r="O225" s="79"/>
      <c r="P225" s="79"/>
      <c r="S225" s="79"/>
      <c r="T225" s="79"/>
      <c r="W225" s="130"/>
      <c r="Y225" s="106"/>
    </row>
    <row r="226">
      <c r="C226" s="79"/>
      <c r="D226" s="79"/>
      <c r="J226" s="79"/>
      <c r="O226" s="79"/>
      <c r="P226" s="79"/>
      <c r="S226" s="79"/>
      <c r="T226" s="79"/>
      <c r="W226" s="130"/>
      <c r="Y226" s="106"/>
    </row>
    <row r="227">
      <c r="C227" s="79"/>
      <c r="D227" s="79"/>
      <c r="J227" s="79"/>
      <c r="O227" s="79"/>
      <c r="P227" s="79"/>
      <c r="S227" s="79"/>
      <c r="T227" s="79"/>
      <c r="W227" s="130"/>
      <c r="Y227" s="106"/>
    </row>
    <row r="228">
      <c r="C228" s="79"/>
      <c r="D228" s="79"/>
      <c r="J228" s="79"/>
      <c r="O228" s="79"/>
      <c r="P228" s="79"/>
      <c r="S228" s="79"/>
      <c r="T228" s="79"/>
      <c r="W228" s="130"/>
      <c r="Y228" s="106"/>
    </row>
    <row r="229">
      <c r="C229" s="79"/>
      <c r="D229" s="79"/>
      <c r="J229" s="79"/>
      <c r="O229" s="79"/>
      <c r="P229" s="79"/>
      <c r="S229" s="79"/>
      <c r="T229" s="79"/>
      <c r="W229" s="130"/>
      <c r="Y229" s="106"/>
    </row>
    <row r="230">
      <c r="C230" s="79"/>
      <c r="D230" s="79"/>
      <c r="J230" s="79"/>
      <c r="O230" s="79"/>
      <c r="P230" s="79"/>
      <c r="S230" s="79"/>
      <c r="T230" s="79"/>
      <c r="W230" s="130"/>
      <c r="Y230" s="106"/>
    </row>
    <row r="231">
      <c r="C231" s="79"/>
      <c r="D231" s="79"/>
      <c r="J231" s="79"/>
      <c r="O231" s="79"/>
      <c r="P231" s="79"/>
      <c r="S231" s="79"/>
      <c r="T231" s="79"/>
      <c r="W231" s="130"/>
      <c r="Y231" s="106"/>
    </row>
    <row r="232">
      <c r="C232" s="79"/>
      <c r="D232" s="79"/>
      <c r="J232" s="79"/>
      <c r="O232" s="79"/>
      <c r="P232" s="79"/>
      <c r="S232" s="79"/>
      <c r="T232" s="79"/>
      <c r="W232" s="130"/>
      <c r="Y232" s="106"/>
    </row>
    <row r="233">
      <c r="C233" s="79"/>
      <c r="D233" s="79"/>
      <c r="J233" s="79"/>
      <c r="O233" s="79"/>
      <c r="P233" s="79"/>
      <c r="S233" s="79"/>
      <c r="T233" s="79"/>
      <c r="W233" s="130"/>
      <c r="Y233" s="106"/>
    </row>
    <row r="234">
      <c r="C234" s="79"/>
      <c r="D234" s="79"/>
      <c r="J234" s="79"/>
      <c r="O234" s="79"/>
      <c r="P234" s="79"/>
      <c r="S234" s="79"/>
      <c r="T234" s="79"/>
      <c r="W234" s="130"/>
      <c r="Y234" s="106"/>
    </row>
    <row r="235">
      <c r="C235" s="79"/>
      <c r="D235" s="79"/>
      <c r="J235" s="79"/>
      <c r="O235" s="79"/>
      <c r="P235" s="79"/>
      <c r="S235" s="79"/>
      <c r="T235" s="79"/>
      <c r="W235" s="130"/>
      <c r="Y235" s="106"/>
    </row>
    <row r="236">
      <c r="C236" s="79"/>
      <c r="D236" s="79"/>
      <c r="J236" s="79"/>
      <c r="O236" s="79"/>
      <c r="P236" s="79"/>
      <c r="S236" s="79"/>
      <c r="T236" s="79"/>
      <c r="W236" s="130"/>
      <c r="Y236" s="106"/>
    </row>
    <row r="237">
      <c r="C237" s="79"/>
      <c r="D237" s="79"/>
      <c r="J237" s="79"/>
      <c r="O237" s="79"/>
      <c r="P237" s="79"/>
      <c r="S237" s="79"/>
      <c r="T237" s="79"/>
      <c r="W237" s="130"/>
      <c r="Y237" s="106"/>
    </row>
    <row r="238">
      <c r="C238" s="79"/>
      <c r="D238" s="79"/>
      <c r="J238" s="79"/>
      <c r="O238" s="79"/>
      <c r="P238" s="79"/>
      <c r="S238" s="79"/>
      <c r="T238" s="79"/>
      <c r="W238" s="130"/>
      <c r="Y238" s="106"/>
    </row>
    <row r="239">
      <c r="C239" s="79"/>
      <c r="D239" s="79"/>
      <c r="J239" s="79"/>
      <c r="O239" s="79"/>
      <c r="P239" s="79"/>
      <c r="S239" s="79"/>
      <c r="T239" s="79"/>
      <c r="W239" s="130"/>
      <c r="Y239" s="106"/>
    </row>
    <row r="240">
      <c r="C240" s="79"/>
      <c r="D240" s="79"/>
      <c r="J240" s="79"/>
      <c r="O240" s="79"/>
      <c r="P240" s="79"/>
      <c r="S240" s="79"/>
      <c r="T240" s="79"/>
      <c r="W240" s="130"/>
      <c r="Y240" s="106"/>
    </row>
    <row r="241">
      <c r="C241" s="79"/>
      <c r="D241" s="79"/>
      <c r="J241" s="79"/>
      <c r="O241" s="79"/>
      <c r="P241" s="79"/>
      <c r="S241" s="79"/>
      <c r="T241" s="79"/>
      <c r="W241" s="130"/>
      <c r="Y241" s="106"/>
    </row>
    <row r="242">
      <c r="C242" s="79"/>
      <c r="D242" s="79"/>
      <c r="J242" s="79"/>
      <c r="O242" s="79"/>
      <c r="P242" s="79"/>
      <c r="S242" s="79"/>
      <c r="T242" s="79"/>
      <c r="W242" s="130"/>
      <c r="Y242" s="106"/>
    </row>
    <row r="243">
      <c r="C243" s="79"/>
      <c r="D243" s="79"/>
      <c r="J243" s="79"/>
      <c r="O243" s="79"/>
      <c r="P243" s="79"/>
      <c r="S243" s="79"/>
      <c r="T243" s="79"/>
      <c r="W243" s="130"/>
      <c r="Y243" s="106"/>
    </row>
    <row r="244">
      <c r="C244" s="79"/>
      <c r="D244" s="79"/>
      <c r="J244" s="79"/>
      <c r="O244" s="79"/>
      <c r="P244" s="79"/>
      <c r="S244" s="79"/>
      <c r="T244" s="79"/>
      <c r="W244" s="130"/>
      <c r="Y244" s="106"/>
    </row>
    <row r="245">
      <c r="C245" s="79"/>
      <c r="D245" s="79"/>
      <c r="J245" s="79"/>
      <c r="O245" s="79"/>
      <c r="P245" s="79"/>
      <c r="S245" s="79"/>
      <c r="T245" s="79"/>
      <c r="W245" s="130"/>
      <c r="Y245" s="106"/>
    </row>
    <row r="246">
      <c r="C246" s="79"/>
      <c r="D246" s="79"/>
      <c r="J246" s="79"/>
      <c r="O246" s="79"/>
      <c r="P246" s="79"/>
      <c r="S246" s="79"/>
      <c r="T246" s="79"/>
      <c r="W246" s="130"/>
      <c r="Y246" s="106"/>
    </row>
    <row r="247">
      <c r="C247" s="79"/>
      <c r="D247" s="79"/>
      <c r="J247" s="79"/>
      <c r="O247" s="79"/>
      <c r="P247" s="79"/>
      <c r="S247" s="79"/>
      <c r="T247" s="79"/>
      <c r="W247" s="130"/>
      <c r="Y247" s="106"/>
    </row>
    <row r="248">
      <c r="C248" s="79"/>
      <c r="D248" s="79"/>
      <c r="J248" s="79"/>
      <c r="O248" s="79"/>
      <c r="P248" s="79"/>
      <c r="S248" s="79"/>
      <c r="T248" s="79"/>
      <c r="W248" s="130"/>
      <c r="Y248" s="106"/>
    </row>
    <row r="249">
      <c r="C249" s="79"/>
      <c r="D249" s="79"/>
      <c r="J249" s="79"/>
      <c r="O249" s="79"/>
      <c r="P249" s="79"/>
      <c r="S249" s="79"/>
      <c r="T249" s="79"/>
      <c r="W249" s="130"/>
      <c r="Y249" s="106"/>
    </row>
    <row r="250">
      <c r="C250" s="79"/>
      <c r="D250" s="79"/>
      <c r="J250" s="79"/>
      <c r="O250" s="79"/>
      <c r="P250" s="79"/>
      <c r="S250" s="79"/>
      <c r="T250" s="79"/>
      <c r="W250" s="130"/>
      <c r="Y250" s="106"/>
    </row>
    <row r="251">
      <c r="C251" s="79"/>
      <c r="D251" s="79"/>
      <c r="J251" s="79"/>
      <c r="O251" s="79"/>
      <c r="P251" s="79"/>
      <c r="S251" s="79"/>
      <c r="T251" s="79"/>
      <c r="W251" s="130"/>
      <c r="Y251" s="106"/>
    </row>
    <row r="252">
      <c r="C252" s="79"/>
      <c r="D252" s="79"/>
      <c r="J252" s="79"/>
      <c r="O252" s="79"/>
      <c r="P252" s="79"/>
      <c r="S252" s="79"/>
      <c r="T252" s="79"/>
      <c r="W252" s="130"/>
      <c r="Y252" s="106"/>
    </row>
    <row r="253">
      <c r="C253" s="79"/>
      <c r="D253" s="79"/>
      <c r="J253" s="79"/>
      <c r="O253" s="79"/>
      <c r="P253" s="79"/>
      <c r="S253" s="79"/>
      <c r="T253" s="79"/>
      <c r="W253" s="130"/>
      <c r="Y253" s="106"/>
    </row>
    <row r="254">
      <c r="C254" s="79"/>
      <c r="D254" s="79"/>
      <c r="J254" s="79"/>
      <c r="O254" s="79"/>
      <c r="P254" s="79"/>
      <c r="S254" s="79"/>
      <c r="T254" s="79"/>
      <c r="W254" s="130"/>
      <c r="Y254" s="106"/>
    </row>
    <row r="255">
      <c r="C255" s="79"/>
      <c r="D255" s="79"/>
      <c r="J255" s="79"/>
      <c r="O255" s="79"/>
      <c r="P255" s="79"/>
      <c r="S255" s="79"/>
      <c r="T255" s="79"/>
      <c r="W255" s="130"/>
      <c r="Y255" s="106"/>
    </row>
    <row r="256">
      <c r="C256" s="79"/>
      <c r="D256" s="79"/>
      <c r="J256" s="79"/>
      <c r="O256" s="79"/>
      <c r="P256" s="79"/>
      <c r="S256" s="79"/>
      <c r="T256" s="79"/>
      <c r="W256" s="130"/>
      <c r="Y256" s="106"/>
    </row>
    <row r="257">
      <c r="C257" s="79"/>
      <c r="D257" s="79"/>
      <c r="J257" s="79"/>
      <c r="O257" s="79"/>
      <c r="P257" s="79"/>
      <c r="S257" s="79"/>
      <c r="T257" s="79"/>
      <c r="W257" s="130"/>
      <c r="Y257" s="106"/>
    </row>
    <row r="258">
      <c r="C258" s="79"/>
      <c r="D258" s="79"/>
      <c r="J258" s="79"/>
      <c r="O258" s="79"/>
      <c r="P258" s="79"/>
      <c r="S258" s="79"/>
      <c r="T258" s="79"/>
      <c r="W258" s="130"/>
      <c r="Y258" s="106"/>
    </row>
    <row r="259">
      <c r="C259" s="79"/>
      <c r="D259" s="79"/>
      <c r="J259" s="79"/>
      <c r="O259" s="79"/>
      <c r="P259" s="79"/>
      <c r="S259" s="79"/>
      <c r="T259" s="79"/>
      <c r="W259" s="130"/>
      <c r="Y259" s="106"/>
    </row>
    <row r="260">
      <c r="C260" s="79"/>
      <c r="D260" s="79"/>
      <c r="J260" s="79"/>
      <c r="O260" s="79"/>
      <c r="P260" s="79"/>
      <c r="S260" s="79"/>
      <c r="T260" s="79"/>
      <c r="W260" s="130"/>
      <c r="Y260" s="106"/>
    </row>
    <row r="261">
      <c r="C261" s="79"/>
      <c r="D261" s="79"/>
      <c r="J261" s="79"/>
      <c r="O261" s="79"/>
      <c r="P261" s="79"/>
      <c r="S261" s="79"/>
      <c r="T261" s="79"/>
      <c r="W261" s="130"/>
      <c r="Y261" s="106"/>
    </row>
    <row r="262">
      <c r="C262" s="79"/>
      <c r="D262" s="79"/>
      <c r="J262" s="79"/>
      <c r="O262" s="79"/>
      <c r="P262" s="79"/>
      <c r="S262" s="79"/>
      <c r="T262" s="79"/>
      <c r="W262" s="130"/>
      <c r="Y262" s="106"/>
    </row>
    <row r="263">
      <c r="C263" s="79"/>
      <c r="D263" s="79"/>
      <c r="J263" s="79"/>
      <c r="O263" s="79"/>
      <c r="P263" s="79"/>
      <c r="S263" s="79"/>
      <c r="T263" s="79"/>
      <c r="W263" s="130"/>
      <c r="Y263" s="106"/>
    </row>
    <row r="264">
      <c r="C264" s="79"/>
      <c r="D264" s="79"/>
      <c r="J264" s="79"/>
      <c r="O264" s="79"/>
      <c r="P264" s="79"/>
      <c r="S264" s="79"/>
      <c r="T264" s="79"/>
      <c r="W264" s="130"/>
      <c r="Y264" s="106"/>
    </row>
    <row r="265">
      <c r="C265" s="79"/>
      <c r="D265" s="79"/>
      <c r="J265" s="79"/>
      <c r="O265" s="79"/>
      <c r="P265" s="79"/>
      <c r="S265" s="79"/>
      <c r="T265" s="79"/>
      <c r="W265" s="130"/>
      <c r="Y265" s="106"/>
    </row>
    <row r="266">
      <c r="C266" s="79"/>
      <c r="D266" s="79"/>
      <c r="J266" s="79"/>
      <c r="O266" s="79"/>
      <c r="P266" s="79"/>
      <c r="S266" s="79"/>
      <c r="T266" s="79"/>
      <c r="W266" s="130"/>
      <c r="Y266" s="106"/>
    </row>
    <row r="267">
      <c r="C267" s="79"/>
      <c r="D267" s="79"/>
      <c r="J267" s="79"/>
      <c r="O267" s="79"/>
      <c r="P267" s="79"/>
      <c r="S267" s="79"/>
      <c r="T267" s="79"/>
      <c r="W267" s="130"/>
      <c r="Y267" s="106"/>
    </row>
    <row r="268">
      <c r="C268" s="79"/>
      <c r="D268" s="79"/>
      <c r="J268" s="79"/>
      <c r="O268" s="79"/>
      <c r="P268" s="79"/>
      <c r="S268" s="79"/>
      <c r="T268" s="79"/>
      <c r="W268" s="130"/>
      <c r="Y268" s="106"/>
    </row>
    <row r="269">
      <c r="C269" s="79"/>
      <c r="D269" s="79"/>
      <c r="J269" s="79"/>
      <c r="O269" s="79"/>
      <c r="P269" s="79"/>
      <c r="S269" s="79"/>
      <c r="T269" s="79"/>
      <c r="W269" s="130"/>
      <c r="Y269" s="106"/>
    </row>
    <row r="270">
      <c r="C270" s="79"/>
      <c r="D270" s="79"/>
      <c r="J270" s="79"/>
      <c r="O270" s="79"/>
      <c r="P270" s="79"/>
      <c r="S270" s="79"/>
      <c r="T270" s="79"/>
      <c r="W270" s="130"/>
      <c r="Y270" s="106"/>
    </row>
    <row r="271">
      <c r="C271" s="79"/>
      <c r="D271" s="79"/>
      <c r="J271" s="79"/>
      <c r="O271" s="79"/>
      <c r="P271" s="79"/>
      <c r="S271" s="79"/>
      <c r="T271" s="79"/>
      <c r="W271" s="130"/>
      <c r="Y271" s="106"/>
    </row>
    <row r="272">
      <c r="C272" s="79"/>
      <c r="D272" s="79"/>
      <c r="J272" s="79"/>
      <c r="O272" s="79"/>
      <c r="P272" s="79"/>
      <c r="S272" s="79"/>
      <c r="T272" s="79"/>
      <c r="W272" s="130"/>
      <c r="Y272" s="106"/>
    </row>
    <row r="273">
      <c r="C273" s="79"/>
      <c r="D273" s="79"/>
      <c r="J273" s="79"/>
      <c r="O273" s="79"/>
      <c r="P273" s="79"/>
      <c r="S273" s="79"/>
      <c r="T273" s="79"/>
      <c r="W273" s="130"/>
      <c r="Y273" s="106"/>
    </row>
    <row r="274">
      <c r="C274" s="79"/>
      <c r="D274" s="79"/>
      <c r="J274" s="79"/>
      <c r="O274" s="79"/>
      <c r="P274" s="79"/>
      <c r="S274" s="79"/>
      <c r="T274" s="79"/>
      <c r="W274" s="130"/>
      <c r="Y274" s="106"/>
    </row>
    <row r="275">
      <c r="C275" s="79"/>
      <c r="D275" s="79"/>
      <c r="J275" s="79"/>
      <c r="O275" s="79"/>
      <c r="P275" s="79"/>
      <c r="S275" s="79"/>
      <c r="T275" s="79"/>
      <c r="W275" s="130"/>
      <c r="Y275" s="106"/>
    </row>
    <row r="276">
      <c r="C276" s="79"/>
      <c r="D276" s="79"/>
      <c r="J276" s="79"/>
      <c r="O276" s="79"/>
      <c r="P276" s="79"/>
      <c r="S276" s="79"/>
      <c r="T276" s="79"/>
      <c r="W276" s="130"/>
      <c r="Y276" s="106"/>
    </row>
    <row r="277">
      <c r="C277" s="79"/>
      <c r="D277" s="79"/>
      <c r="J277" s="79"/>
      <c r="O277" s="79"/>
      <c r="P277" s="79"/>
      <c r="S277" s="79"/>
      <c r="T277" s="79"/>
      <c r="W277" s="130"/>
      <c r="Y277" s="106"/>
    </row>
    <row r="278">
      <c r="C278" s="79"/>
      <c r="D278" s="79"/>
      <c r="J278" s="79"/>
      <c r="O278" s="79"/>
      <c r="P278" s="79"/>
      <c r="S278" s="79"/>
      <c r="T278" s="79"/>
      <c r="W278" s="130"/>
      <c r="Y278" s="106"/>
    </row>
    <row r="279">
      <c r="C279" s="79"/>
      <c r="D279" s="79"/>
      <c r="J279" s="79"/>
      <c r="O279" s="79"/>
      <c r="P279" s="79"/>
      <c r="S279" s="79"/>
      <c r="T279" s="79"/>
      <c r="W279" s="130"/>
      <c r="Y279" s="106"/>
    </row>
    <row r="280">
      <c r="C280" s="79"/>
      <c r="D280" s="79"/>
      <c r="J280" s="79"/>
      <c r="O280" s="79"/>
      <c r="P280" s="79"/>
      <c r="S280" s="79"/>
      <c r="T280" s="79"/>
      <c r="W280" s="130"/>
      <c r="Y280" s="106"/>
    </row>
    <row r="281">
      <c r="C281" s="79"/>
      <c r="D281" s="79"/>
      <c r="J281" s="79"/>
      <c r="O281" s="79"/>
      <c r="P281" s="79"/>
      <c r="S281" s="79"/>
      <c r="T281" s="79"/>
      <c r="W281" s="130"/>
      <c r="Y281" s="106"/>
    </row>
    <row r="282">
      <c r="C282" s="79"/>
      <c r="D282" s="79"/>
      <c r="J282" s="79"/>
      <c r="O282" s="79"/>
      <c r="P282" s="79"/>
      <c r="S282" s="79"/>
      <c r="T282" s="79"/>
      <c r="W282" s="130"/>
      <c r="Y282" s="106"/>
    </row>
    <row r="283">
      <c r="C283" s="79"/>
      <c r="D283" s="79"/>
      <c r="J283" s="79"/>
      <c r="O283" s="79"/>
      <c r="P283" s="79"/>
      <c r="S283" s="79"/>
      <c r="T283" s="79"/>
      <c r="W283" s="130"/>
      <c r="Y283" s="106"/>
    </row>
    <row r="284">
      <c r="C284" s="79"/>
      <c r="D284" s="79"/>
      <c r="J284" s="79"/>
      <c r="O284" s="79"/>
      <c r="P284" s="79"/>
      <c r="S284" s="79"/>
      <c r="T284" s="79"/>
      <c r="W284" s="130"/>
      <c r="Y284" s="106"/>
    </row>
    <row r="285">
      <c r="C285" s="79"/>
      <c r="D285" s="79"/>
      <c r="J285" s="79"/>
      <c r="O285" s="79"/>
      <c r="P285" s="79"/>
      <c r="S285" s="79"/>
      <c r="T285" s="79"/>
      <c r="W285" s="130"/>
      <c r="Y285" s="106"/>
    </row>
    <row r="286">
      <c r="C286" s="79"/>
      <c r="D286" s="79"/>
      <c r="J286" s="79"/>
      <c r="O286" s="79"/>
      <c r="P286" s="79"/>
      <c r="S286" s="79"/>
      <c r="T286" s="79"/>
      <c r="W286" s="130"/>
      <c r="Y286" s="106"/>
    </row>
    <row r="287">
      <c r="C287" s="79"/>
      <c r="D287" s="79"/>
      <c r="J287" s="79"/>
      <c r="O287" s="79"/>
      <c r="P287" s="79"/>
      <c r="S287" s="79"/>
      <c r="T287" s="79"/>
      <c r="W287" s="130"/>
      <c r="Y287" s="106"/>
    </row>
    <row r="288">
      <c r="C288" s="79"/>
      <c r="D288" s="79"/>
      <c r="J288" s="79"/>
      <c r="O288" s="79"/>
      <c r="P288" s="79"/>
      <c r="S288" s="79"/>
      <c r="T288" s="79"/>
      <c r="W288" s="130"/>
      <c r="Y288" s="106"/>
    </row>
    <row r="289">
      <c r="C289" s="79"/>
      <c r="D289" s="79"/>
      <c r="J289" s="79"/>
      <c r="O289" s="79"/>
      <c r="P289" s="79"/>
      <c r="S289" s="79"/>
      <c r="T289" s="79"/>
      <c r="W289" s="130"/>
      <c r="Y289" s="106"/>
    </row>
    <row r="290">
      <c r="C290" s="79"/>
      <c r="D290" s="79"/>
      <c r="J290" s="79"/>
      <c r="O290" s="79"/>
      <c r="P290" s="79"/>
      <c r="S290" s="79"/>
      <c r="T290" s="79"/>
      <c r="W290" s="130"/>
      <c r="Y290" s="106"/>
    </row>
    <row r="291">
      <c r="C291" s="79"/>
      <c r="D291" s="79"/>
      <c r="J291" s="79"/>
      <c r="O291" s="79"/>
      <c r="P291" s="79"/>
      <c r="S291" s="79"/>
      <c r="T291" s="79"/>
      <c r="W291" s="130"/>
      <c r="Y291" s="106"/>
    </row>
    <row r="292">
      <c r="C292" s="79"/>
      <c r="D292" s="79"/>
      <c r="J292" s="79"/>
      <c r="O292" s="79"/>
      <c r="P292" s="79"/>
      <c r="S292" s="79"/>
      <c r="T292" s="79"/>
      <c r="W292" s="130"/>
      <c r="Y292" s="106"/>
    </row>
    <row r="293">
      <c r="C293" s="79"/>
      <c r="D293" s="79"/>
      <c r="J293" s="79"/>
      <c r="O293" s="79"/>
      <c r="P293" s="79"/>
      <c r="S293" s="79"/>
      <c r="T293" s="79"/>
      <c r="W293" s="130"/>
      <c r="Y293" s="106"/>
    </row>
    <row r="294">
      <c r="C294" s="79"/>
      <c r="D294" s="79"/>
      <c r="J294" s="79"/>
      <c r="O294" s="79"/>
      <c r="P294" s="79"/>
      <c r="S294" s="79"/>
      <c r="T294" s="79"/>
      <c r="W294" s="130"/>
      <c r="Y294" s="106"/>
    </row>
    <row r="295">
      <c r="C295" s="79"/>
      <c r="D295" s="79"/>
      <c r="J295" s="79"/>
      <c r="O295" s="79"/>
      <c r="P295" s="79"/>
      <c r="S295" s="79"/>
      <c r="T295" s="79"/>
      <c r="W295" s="130"/>
      <c r="Y295" s="106"/>
    </row>
    <row r="296">
      <c r="C296" s="79"/>
      <c r="D296" s="79"/>
      <c r="J296" s="79"/>
      <c r="O296" s="79"/>
      <c r="P296" s="79"/>
      <c r="S296" s="79"/>
      <c r="T296" s="79"/>
      <c r="W296" s="130"/>
      <c r="Y296" s="106"/>
    </row>
    <row r="297">
      <c r="C297" s="79"/>
      <c r="D297" s="79"/>
      <c r="J297" s="79"/>
      <c r="O297" s="79"/>
      <c r="P297" s="79"/>
      <c r="S297" s="79"/>
      <c r="T297" s="79"/>
      <c r="W297" s="130"/>
      <c r="Y297" s="106"/>
    </row>
    <row r="298">
      <c r="C298" s="79"/>
      <c r="D298" s="79"/>
      <c r="J298" s="79"/>
      <c r="O298" s="79"/>
      <c r="P298" s="79"/>
      <c r="S298" s="79"/>
      <c r="T298" s="79"/>
      <c r="W298" s="130"/>
      <c r="Y298" s="106"/>
    </row>
    <row r="299">
      <c r="C299" s="79"/>
      <c r="D299" s="79"/>
      <c r="J299" s="79"/>
      <c r="O299" s="79"/>
      <c r="P299" s="79"/>
      <c r="S299" s="79"/>
      <c r="T299" s="79"/>
      <c r="W299" s="130"/>
      <c r="Y299" s="106"/>
    </row>
    <row r="300">
      <c r="C300" s="79"/>
      <c r="D300" s="79"/>
      <c r="J300" s="79"/>
      <c r="O300" s="79"/>
      <c r="P300" s="79"/>
      <c r="S300" s="79"/>
      <c r="T300" s="79"/>
      <c r="W300" s="130"/>
      <c r="Y300" s="106"/>
    </row>
    <row r="301">
      <c r="C301" s="79"/>
      <c r="D301" s="79"/>
      <c r="J301" s="79"/>
      <c r="O301" s="79"/>
      <c r="P301" s="79"/>
      <c r="S301" s="79"/>
      <c r="T301" s="79"/>
      <c r="W301" s="130"/>
      <c r="Y301" s="106"/>
    </row>
    <row r="302">
      <c r="C302" s="79"/>
      <c r="D302" s="79"/>
      <c r="J302" s="79"/>
      <c r="O302" s="79"/>
      <c r="P302" s="79"/>
      <c r="S302" s="79"/>
      <c r="T302" s="79"/>
      <c r="W302" s="130"/>
      <c r="Y302" s="106"/>
    </row>
    <row r="303">
      <c r="C303" s="79"/>
      <c r="D303" s="79"/>
      <c r="J303" s="79"/>
      <c r="O303" s="79"/>
      <c r="P303" s="79"/>
      <c r="S303" s="79"/>
      <c r="T303" s="79"/>
      <c r="W303" s="130"/>
      <c r="Y303" s="106"/>
    </row>
    <row r="304">
      <c r="C304" s="79"/>
      <c r="D304" s="79"/>
      <c r="J304" s="79"/>
      <c r="O304" s="79"/>
      <c r="P304" s="79"/>
      <c r="S304" s="79"/>
      <c r="T304" s="79"/>
      <c r="W304" s="130"/>
      <c r="Y304" s="106"/>
    </row>
    <row r="305">
      <c r="C305" s="79"/>
      <c r="D305" s="79"/>
      <c r="J305" s="79"/>
      <c r="O305" s="79"/>
      <c r="P305" s="79"/>
      <c r="S305" s="79"/>
      <c r="T305" s="79"/>
      <c r="W305" s="130"/>
      <c r="Y305" s="106"/>
    </row>
    <row r="306">
      <c r="C306" s="79"/>
      <c r="D306" s="79"/>
      <c r="J306" s="79"/>
      <c r="O306" s="79"/>
      <c r="P306" s="79"/>
      <c r="S306" s="79"/>
      <c r="T306" s="79"/>
      <c r="W306" s="130"/>
      <c r="Y306" s="106"/>
    </row>
    <row r="307">
      <c r="C307" s="79"/>
      <c r="D307" s="79"/>
      <c r="J307" s="79"/>
      <c r="O307" s="79"/>
      <c r="P307" s="79"/>
      <c r="S307" s="79"/>
      <c r="T307" s="79"/>
      <c r="W307" s="130"/>
      <c r="Y307" s="106"/>
    </row>
    <row r="308">
      <c r="C308" s="79"/>
      <c r="D308" s="79"/>
      <c r="J308" s="79"/>
      <c r="O308" s="79"/>
      <c r="P308" s="79"/>
      <c r="S308" s="79"/>
      <c r="T308" s="79"/>
      <c r="W308" s="130"/>
      <c r="Y308" s="106"/>
    </row>
    <row r="309">
      <c r="C309" s="79"/>
      <c r="D309" s="79"/>
      <c r="J309" s="79"/>
      <c r="O309" s="79"/>
      <c r="P309" s="79"/>
      <c r="S309" s="79"/>
      <c r="T309" s="79"/>
      <c r="W309" s="130"/>
      <c r="Y309" s="106"/>
    </row>
    <row r="310">
      <c r="C310" s="79"/>
      <c r="D310" s="79"/>
      <c r="J310" s="79"/>
      <c r="O310" s="79"/>
      <c r="P310" s="79"/>
      <c r="S310" s="79"/>
      <c r="T310" s="79"/>
      <c r="W310" s="130"/>
      <c r="Y310" s="106"/>
    </row>
    <row r="311">
      <c r="C311" s="79"/>
      <c r="D311" s="79"/>
      <c r="J311" s="79"/>
      <c r="O311" s="79"/>
      <c r="P311" s="79"/>
      <c r="S311" s="79"/>
      <c r="T311" s="79"/>
      <c r="W311" s="130"/>
      <c r="Y311" s="106"/>
    </row>
    <row r="312">
      <c r="C312" s="79"/>
      <c r="D312" s="79"/>
      <c r="J312" s="79"/>
      <c r="O312" s="79"/>
      <c r="P312" s="79"/>
      <c r="S312" s="79"/>
      <c r="T312" s="79"/>
      <c r="W312" s="130"/>
      <c r="Y312" s="106"/>
    </row>
    <row r="313">
      <c r="C313" s="79"/>
      <c r="D313" s="79"/>
      <c r="J313" s="79"/>
      <c r="O313" s="79"/>
      <c r="P313" s="79"/>
      <c r="S313" s="79"/>
      <c r="T313" s="79"/>
      <c r="W313" s="130"/>
      <c r="Y313" s="106"/>
    </row>
    <row r="314">
      <c r="C314" s="79"/>
      <c r="D314" s="79"/>
      <c r="J314" s="79"/>
      <c r="O314" s="79"/>
      <c r="P314" s="79"/>
      <c r="S314" s="79"/>
      <c r="T314" s="79"/>
      <c r="W314" s="130"/>
      <c r="Y314" s="106"/>
    </row>
    <row r="315">
      <c r="C315" s="79"/>
      <c r="D315" s="79"/>
      <c r="J315" s="79"/>
      <c r="O315" s="79"/>
      <c r="P315" s="79"/>
      <c r="S315" s="79"/>
      <c r="T315" s="79"/>
      <c r="W315" s="130"/>
      <c r="Y315" s="106"/>
    </row>
    <row r="316">
      <c r="C316" s="79"/>
      <c r="D316" s="79"/>
      <c r="J316" s="79"/>
      <c r="O316" s="79"/>
      <c r="P316" s="79"/>
      <c r="S316" s="79"/>
      <c r="T316" s="79"/>
      <c r="W316" s="130"/>
      <c r="Y316" s="106"/>
    </row>
    <row r="317">
      <c r="C317" s="79"/>
      <c r="D317" s="79"/>
      <c r="J317" s="79"/>
      <c r="O317" s="79"/>
      <c r="P317" s="79"/>
      <c r="S317" s="79"/>
      <c r="T317" s="79"/>
      <c r="W317" s="130"/>
      <c r="Y317" s="106"/>
    </row>
    <row r="318">
      <c r="C318" s="79"/>
      <c r="D318" s="79"/>
      <c r="J318" s="79"/>
      <c r="O318" s="79"/>
      <c r="P318" s="79"/>
      <c r="S318" s="79"/>
      <c r="T318" s="79"/>
      <c r="W318" s="130"/>
      <c r="Y318" s="106"/>
    </row>
    <row r="319">
      <c r="C319" s="79"/>
      <c r="D319" s="79"/>
      <c r="J319" s="79"/>
      <c r="O319" s="79"/>
      <c r="P319" s="79"/>
      <c r="S319" s="79"/>
      <c r="T319" s="79"/>
      <c r="W319" s="130"/>
      <c r="Y319" s="106"/>
    </row>
    <row r="320">
      <c r="C320" s="79"/>
      <c r="D320" s="79"/>
      <c r="J320" s="79"/>
      <c r="O320" s="79"/>
      <c r="P320" s="79"/>
      <c r="S320" s="79"/>
      <c r="T320" s="79"/>
      <c r="W320" s="130"/>
      <c r="Y320" s="106"/>
    </row>
    <row r="321">
      <c r="C321" s="79"/>
      <c r="D321" s="79"/>
      <c r="J321" s="79"/>
      <c r="O321" s="79"/>
      <c r="P321" s="79"/>
      <c r="S321" s="79"/>
      <c r="T321" s="79"/>
      <c r="W321" s="130"/>
      <c r="Y321" s="106"/>
    </row>
    <row r="322">
      <c r="C322" s="79"/>
      <c r="D322" s="79"/>
      <c r="J322" s="79"/>
      <c r="O322" s="79"/>
      <c r="P322" s="79"/>
      <c r="S322" s="79"/>
      <c r="T322" s="79"/>
      <c r="W322" s="130"/>
      <c r="Y322" s="106"/>
    </row>
    <row r="323">
      <c r="C323" s="79"/>
      <c r="D323" s="79"/>
      <c r="J323" s="79"/>
      <c r="O323" s="79"/>
      <c r="P323" s="79"/>
      <c r="S323" s="79"/>
      <c r="T323" s="79"/>
      <c r="W323" s="130"/>
      <c r="Y323" s="106"/>
    </row>
    <row r="324">
      <c r="C324" s="79"/>
      <c r="D324" s="79"/>
      <c r="J324" s="79"/>
      <c r="O324" s="79"/>
      <c r="P324" s="79"/>
      <c r="S324" s="79"/>
      <c r="T324" s="79"/>
      <c r="W324" s="130"/>
      <c r="Y324" s="106"/>
    </row>
    <row r="325">
      <c r="C325" s="79"/>
      <c r="D325" s="79"/>
      <c r="J325" s="79"/>
      <c r="O325" s="79"/>
      <c r="P325" s="79"/>
      <c r="S325" s="79"/>
      <c r="T325" s="79"/>
      <c r="W325" s="130"/>
      <c r="Y325" s="106"/>
    </row>
    <row r="326">
      <c r="C326" s="79"/>
      <c r="D326" s="79"/>
      <c r="J326" s="79"/>
      <c r="O326" s="79"/>
      <c r="P326" s="79"/>
      <c r="S326" s="79"/>
      <c r="T326" s="79"/>
      <c r="W326" s="130"/>
      <c r="Y326" s="106"/>
    </row>
    <row r="327">
      <c r="C327" s="79"/>
      <c r="D327" s="79"/>
      <c r="J327" s="79"/>
      <c r="O327" s="79"/>
      <c r="P327" s="79"/>
      <c r="S327" s="79"/>
      <c r="T327" s="79"/>
      <c r="W327" s="130"/>
      <c r="Y327" s="106"/>
    </row>
    <row r="328">
      <c r="C328" s="79"/>
      <c r="D328" s="79"/>
      <c r="J328" s="79"/>
      <c r="O328" s="79"/>
      <c r="P328" s="79"/>
      <c r="S328" s="79"/>
      <c r="T328" s="79"/>
      <c r="W328" s="130"/>
      <c r="Y328" s="106"/>
    </row>
    <row r="329">
      <c r="C329" s="79"/>
      <c r="D329" s="79"/>
      <c r="J329" s="79"/>
      <c r="O329" s="79"/>
      <c r="P329" s="79"/>
      <c r="S329" s="79"/>
      <c r="T329" s="79"/>
      <c r="W329" s="130"/>
      <c r="Y329" s="106"/>
    </row>
    <row r="330">
      <c r="C330" s="79"/>
      <c r="D330" s="79"/>
      <c r="J330" s="79"/>
      <c r="O330" s="79"/>
      <c r="P330" s="79"/>
      <c r="S330" s="79"/>
      <c r="T330" s="79"/>
      <c r="W330" s="130"/>
      <c r="Y330" s="106"/>
    </row>
    <row r="331">
      <c r="C331" s="79"/>
      <c r="D331" s="79"/>
      <c r="J331" s="79"/>
      <c r="O331" s="79"/>
      <c r="P331" s="79"/>
      <c r="S331" s="79"/>
      <c r="T331" s="79"/>
      <c r="W331" s="130"/>
      <c r="Y331" s="106"/>
    </row>
    <row r="332">
      <c r="C332" s="79"/>
      <c r="D332" s="79"/>
      <c r="J332" s="79"/>
      <c r="O332" s="79"/>
      <c r="P332" s="79"/>
      <c r="S332" s="79"/>
      <c r="T332" s="79"/>
      <c r="W332" s="130"/>
      <c r="Y332" s="106"/>
    </row>
    <row r="333">
      <c r="C333" s="79"/>
      <c r="D333" s="79"/>
      <c r="J333" s="79"/>
      <c r="O333" s="79"/>
      <c r="P333" s="79"/>
      <c r="S333" s="79"/>
      <c r="T333" s="79"/>
      <c r="W333" s="130"/>
      <c r="Y333" s="106"/>
    </row>
    <row r="334">
      <c r="C334" s="79"/>
      <c r="D334" s="79"/>
      <c r="J334" s="79"/>
      <c r="O334" s="79"/>
      <c r="P334" s="79"/>
      <c r="S334" s="79"/>
      <c r="T334" s="79"/>
      <c r="W334" s="130"/>
      <c r="Y334" s="106"/>
    </row>
    <row r="335">
      <c r="C335" s="79"/>
      <c r="D335" s="79"/>
      <c r="J335" s="79"/>
      <c r="O335" s="79"/>
      <c r="P335" s="79"/>
      <c r="S335" s="79"/>
      <c r="T335" s="79"/>
      <c r="W335" s="130"/>
      <c r="Y335" s="106"/>
    </row>
    <row r="336">
      <c r="C336" s="79"/>
      <c r="D336" s="79"/>
      <c r="J336" s="79"/>
      <c r="O336" s="79"/>
      <c r="P336" s="79"/>
      <c r="S336" s="79"/>
      <c r="T336" s="79"/>
      <c r="W336" s="130"/>
      <c r="Y336" s="106"/>
    </row>
    <row r="337">
      <c r="C337" s="79"/>
      <c r="D337" s="79"/>
      <c r="J337" s="79"/>
      <c r="O337" s="79"/>
      <c r="P337" s="79"/>
      <c r="S337" s="79"/>
      <c r="T337" s="79"/>
      <c r="W337" s="130"/>
      <c r="Y337" s="106"/>
    </row>
    <row r="338">
      <c r="C338" s="79"/>
      <c r="D338" s="79"/>
      <c r="J338" s="79"/>
      <c r="O338" s="79"/>
      <c r="P338" s="79"/>
      <c r="S338" s="79"/>
      <c r="T338" s="79"/>
      <c r="W338" s="130"/>
      <c r="Y338" s="106"/>
    </row>
    <row r="339">
      <c r="C339" s="79"/>
      <c r="D339" s="79"/>
      <c r="J339" s="79"/>
      <c r="O339" s="79"/>
      <c r="P339" s="79"/>
      <c r="S339" s="79"/>
      <c r="T339" s="79"/>
      <c r="W339" s="130"/>
      <c r="Y339" s="106"/>
    </row>
    <row r="340">
      <c r="C340" s="79"/>
      <c r="D340" s="79"/>
      <c r="J340" s="79"/>
      <c r="O340" s="79"/>
      <c r="P340" s="79"/>
      <c r="S340" s="79"/>
      <c r="T340" s="79"/>
      <c r="W340" s="130"/>
      <c r="Y340" s="106"/>
    </row>
    <row r="341">
      <c r="C341" s="79"/>
      <c r="D341" s="79"/>
      <c r="J341" s="79"/>
      <c r="O341" s="79"/>
      <c r="P341" s="79"/>
      <c r="S341" s="79"/>
      <c r="T341" s="79"/>
      <c r="W341" s="130"/>
      <c r="Y341" s="106"/>
    </row>
    <row r="342">
      <c r="C342" s="79"/>
      <c r="D342" s="79"/>
      <c r="J342" s="79"/>
      <c r="O342" s="79"/>
      <c r="P342" s="79"/>
      <c r="S342" s="79"/>
      <c r="T342" s="79"/>
      <c r="W342" s="130"/>
      <c r="Y342" s="106"/>
    </row>
    <row r="343">
      <c r="C343" s="79"/>
      <c r="D343" s="79"/>
      <c r="J343" s="79"/>
      <c r="O343" s="79"/>
      <c r="P343" s="79"/>
      <c r="S343" s="79"/>
      <c r="T343" s="79"/>
      <c r="W343" s="130"/>
      <c r="Y343" s="106"/>
    </row>
    <row r="344">
      <c r="C344" s="79"/>
      <c r="D344" s="79"/>
      <c r="J344" s="79"/>
      <c r="O344" s="79"/>
      <c r="P344" s="79"/>
      <c r="S344" s="79"/>
      <c r="T344" s="79"/>
      <c r="W344" s="130"/>
      <c r="Y344" s="106"/>
    </row>
    <row r="345">
      <c r="C345" s="79"/>
      <c r="D345" s="79"/>
      <c r="J345" s="79"/>
      <c r="O345" s="79"/>
      <c r="P345" s="79"/>
      <c r="S345" s="79"/>
      <c r="T345" s="79"/>
      <c r="W345" s="130"/>
      <c r="Y345" s="106"/>
    </row>
    <row r="346">
      <c r="C346" s="79"/>
      <c r="D346" s="79"/>
      <c r="J346" s="79"/>
      <c r="O346" s="79"/>
      <c r="P346" s="79"/>
      <c r="S346" s="79"/>
      <c r="T346" s="79"/>
      <c r="W346" s="130"/>
      <c r="Y346" s="106"/>
    </row>
    <row r="347">
      <c r="C347" s="79"/>
      <c r="D347" s="79"/>
      <c r="J347" s="79"/>
      <c r="O347" s="79"/>
      <c r="P347" s="79"/>
      <c r="S347" s="79"/>
      <c r="T347" s="79"/>
      <c r="W347" s="130"/>
      <c r="Y347" s="106"/>
    </row>
    <row r="348">
      <c r="C348" s="79"/>
      <c r="D348" s="79"/>
      <c r="J348" s="79"/>
      <c r="O348" s="79"/>
      <c r="P348" s="79"/>
      <c r="S348" s="79"/>
      <c r="T348" s="79"/>
      <c r="W348" s="130"/>
      <c r="Y348" s="106"/>
    </row>
    <row r="349">
      <c r="C349" s="79"/>
      <c r="D349" s="79"/>
      <c r="J349" s="79"/>
      <c r="O349" s="79"/>
      <c r="P349" s="79"/>
      <c r="S349" s="79"/>
      <c r="T349" s="79"/>
      <c r="W349" s="130"/>
      <c r="Y349" s="106"/>
    </row>
    <row r="350">
      <c r="C350" s="79"/>
      <c r="D350" s="79"/>
      <c r="J350" s="79"/>
      <c r="O350" s="79"/>
      <c r="P350" s="79"/>
      <c r="S350" s="79"/>
      <c r="T350" s="79"/>
      <c r="W350" s="130"/>
      <c r="Y350" s="106"/>
    </row>
    <row r="351">
      <c r="C351" s="79"/>
      <c r="D351" s="79"/>
      <c r="J351" s="79"/>
      <c r="O351" s="79"/>
      <c r="P351" s="79"/>
      <c r="S351" s="79"/>
      <c r="T351" s="79"/>
      <c r="W351" s="130"/>
      <c r="Y351" s="106"/>
    </row>
    <row r="352">
      <c r="C352" s="79"/>
      <c r="D352" s="79"/>
      <c r="J352" s="79"/>
      <c r="O352" s="79"/>
      <c r="P352" s="79"/>
      <c r="S352" s="79"/>
      <c r="T352" s="79"/>
      <c r="W352" s="130"/>
      <c r="Y352" s="106"/>
    </row>
    <row r="353">
      <c r="C353" s="79"/>
      <c r="D353" s="79"/>
      <c r="J353" s="79"/>
      <c r="O353" s="79"/>
      <c r="P353" s="79"/>
      <c r="S353" s="79"/>
      <c r="T353" s="79"/>
      <c r="W353" s="130"/>
      <c r="Y353" s="106"/>
    </row>
    <row r="354">
      <c r="C354" s="79"/>
      <c r="D354" s="79"/>
      <c r="J354" s="79"/>
      <c r="O354" s="79"/>
      <c r="P354" s="79"/>
      <c r="S354" s="79"/>
      <c r="T354" s="79"/>
      <c r="W354" s="130"/>
      <c r="Y354" s="106"/>
    </row>
    <row r="355">
      <c r="C355" s="79"/>
      <c r="D355" s="79"/>
      <c r="J355" s="79"/>
      <c r="O355" s="79"/>
      <c r="P355" s="79"/>
      <c r="S355" s="79"/>
      <c r="T355" s="79"/>
      <c r="W355" s="130"/>
      <c r="Y355" s="106"/>
    </row>
    <row r="356">
      <c r="C356" s="79"/>
      <c r="D356" s="79"/>
      <c r="J356" s="79"/>
      <c r="O356" s="79"/>
      <c r="P356" s="79"/>
      <c r="S356" s="79"/>
      <c r="T356" s="79"/>
      <c r="W356" s="130"/>
      <c r="Y356" s="106"/>
    </row>
    <row r="357">
      <c r="C357" s="79"/>
      <c r="D357" s="79"/>
      <c r="J357" s="79"/>
      <c r="O357" s="79"/>
      <c r="P357" s="79"/>
      <c r="S357" s="79"/>
      <c r="T357" s="79"/>
      <c r="W357" s="130"/>
      <c r="Y357" s="106"/>
    </row>
    <row r="358">
      <c r="C358" s="79"/>
      <c r="D358" s="79"/>
      <c r="J358" s="79"/>
      <c r="O358" s="79"/>
      <c r="P358" s="79"/>
      <c r="S358" s="79"/>
      <c r="T358" s="79"/>
      <c r="W358" s="130"/>
      <c r="Y358" s="106"/>
    </row>
    <row r="359">
      <c r="C359" s="79"/>
      <c r="D359" s="79"/>
      <c r="J359" s="79"/>
      <c r="O359" s="79"/>
      <c r="P359" s="79"/>
      <c r="S359" s="79"/>
      <c r="T359" s="79"/>
      <c r="W359" s="130"/>
      <c r="Y359" s="106"/>
    </row>
    <row r="360">
      <c r="C360" s="79"/>
      <c r="D360" s="79"/>
      <c r="J360" s="79"/>
      <c r="O360" s="79"/>
      <c r="P360" s="79"/>
      <c r="S360" s="79"/>
      <c r="T360" s="79"/>
      <c r="W360" s="130"/>
      <c r="Y360" s="106"/>
    </row>
    <row r="361">
      <c r="C361" s="79"/>
      <c r="D361" s="79"/>
      <c r="J361" s="79"/>
      <c r="O361" s="79"/>
      <c r="P361" s="79"/>
      <c r="S361" s="79"/>
      <c r="T361" s="79"/>
      <c r="W361" s="130"/>
      <c r="Y361" s="106"/>
    </row>
    <row r="362">
      <c r="C362" s="79"/>
      <c r="D362" s="79"/>
      <c r="J362" s="79"/>
      <c r="O362" s="79"/>
      <c r="P362" s="79"/>
      <c r="S362" s="79"/>
      <c r="T362" s="79"/>
      <c r="W362" s="130"/>
      <c r="Y362" s="106"/>
    </row>
    <row r="363">
      <c r="C363" s="79"/>
      <c r="D363" s="79"/>
      <c r="J363" s="79"/>
      <c r="O363" s="79"/>
      <c r="P363" s="79"/>
      <c r="S363" s="79"/>
      <c r="T363" s="79"/>
      <c r="W363" s="130"/>
      <c r="Y363" s="106"/>
    </row>
    <row r="364">
      <c r="C364" s="79"/>
      <c r="D364" s="79"/>
      <c r="J364" s="79"/>
      <c r="O364" s="79"/>
      <c r="P364" s="79"/>
      <c r="S364" s="79"/>
      <c r="T364" s="79"/>
      <c r="W364" s="130"/>
      <c r="Y364" s="106"/>
    </row>
    <row r="365">
      <c r="C365" s="79"/>
      <c r="D365" s="79"/>
      <c r="J365" s="79"/>
      <c r="O365" s="79"/>
      <c r="P365" s="79"/>
      <c r="S365" s="79"/>
      <c r="T365" s="79"/>
      <c r="W365" s="130"/>
      <c r="Y365" s="106"/>
    </row>
    <row r="366">
      <c r="C366" s="79"/>
      <c r="D366" s="79"/>
      <c r="J366" s="79"/>
      <c r="O366" s="79"/>
      <c r="P366" s="79"/>
      <c r="S366" s="79"/>
      <c r="T366" s="79"/>
      <c r="W366" s="130"/>
      <c r="Y366" s="106"/>
    </row>
    <row r="367">
      <c r="C367" s="79"/>
      <c r="D367" s="79"/>
      <c r="J367" s="79"/>
      <c r="O367" s="79"/>
      <c r="P367" s="79"/>
      <c r="S367" s="79"/>
      <c r="T367" s="79"/>
      <c r="W367" s="130"/>
      <c r="Y367" s="106"/>
    </row>
    <row r="368">
      <c r="C368" s="79"/>
      <c r="D368" s="79"/>
      <c r="J368" s="79"/>
      <c r="O368" s="79"/>
      <c r="P368" s="79"/>
      <c r="S368" s="79"/>
      <c r="T368" s="79"/>
      <c r="W368" s="130"/>
      <c r="Y368" s="106"/>
    </row>
    <row r="369">
      <c r="C369" s="79"/>
      <c r="D369" s="79"/>
      <c r="J369" s="79"/>
      <c r="O369" s="79"/>
      <c r="P369" s="79"/>
      <c r="S369" s="79"/>
      <c r="T369" s="79"/>
      <c r="W369" s="130"/>
      <c r="Y369" s="106"/>
    </row>
    <row r="370">
      <c r="C370" s="79"/>
      <c r="D370" s="79"/>
      <c r="J370" s="79"/>
      <c r="O370" s="79"/>
      <c r="P370" s="79"/>
      <c r="S370" s="79"/>
      <c r="T370" s="79"/>
      <c r="W370" s="130"/>
      <c r="Y370" s="106"/>
    </row>
    <row r="371">
      <c r="C371" s="79"/>
      <c r="D371" s="79"/>
      <c r="J371" s="79"/>
      <c r="O371" s="79"/>
      <c r="P371" s="79"/>
      <c r="S371" s="79"/>
      <c r="T371" s="79"/>
      <c r="W371" s="130"/>
      <c r="Y371" s="106"/>
    </row>
    <row r="372">
      <c r="C372" s="79"/>
      <c r="D372" s="79"/>
      <c r="J372" s="79"/>
      <c r="O372" s="79"/>
      <c r="P372" s="79"/>
      <c r="S372" s="79"/>
      <c r="T372" s="79"/>
      <c r="W372" s="130"/>
      <c r="Y372" s="106"/>
    </row>
    <row r="373">
      <c r="C373" s="79"/>
      <c r="D373" s="79"/>
      <c r="J373" s="79"/>
      <c r="O373" s="79"/>
      <c r="P373" s="79"/>
      <c r="S373" s="79"/>
      <c r="T373" s="79"/>
      <c r="W373" s="130"/>
      <c r="Y373" s="106"/>
    </row>
    <row r="374">
      <c r="C374" s="79"/>
      <c r="D374" s="79"/>
      <c r="J374" s="79"/>
      <c r="O374" s="79"/>
      <c r="P374" s="79"/>
      <c r="S374" s="79"/>
      <c r="T374" s="79"/>
      <c r="W374" s="130"/>
      <c r="Y374" s="106"/>
    </row>
    <row r="375">
      <c r="C375" s="79"/>
      <c r="D375" s="79"/>
      <c r="J375" s="79"/>
      <c r="O375" s="79"/>
      <c r="P375" s="79"/>
      <c r="S375" s="79"/>
      <c r="T375" s="79"/>
      <c r="W375" s="130"/>
      <c r="Y375" s="106"/>
    </row>
    <row r="376">
      <c r="C376" s="79"/>
      <c r="D376" s="79"/>
      <c r="J376" s="79"/>
      <c r="O376" s="79"/>
      <c r="P376" s="79"/>
      <c r="S376" s="79"/>
      <c r="T376" s="79"/>
      <c r="W376" s="130"/>
      <c r="Y376" s="106"/>
    </row>
    <row r="377">
      <c r="C377" s="79"/>
      <c r="D377" s="79"/>
      <c r="J377" s="79"/>
      <c r="O377" s="79"/>
      <c r="P377" s="79"/>
      <c r="S377" s="79"/>
      <c r="T377" s="79"/>
      <c r="W377" s="130"/>
      <c r="Y377" s="106"/>
    </row>
    <row r="378">
      <c r="C378" s="79"/>
      <c r="D378" s="79"/>
      <c r="J378" s="79"/>
      <c r="O378" s="79"/>
      <c r="P378" s="79"/>
      <c r="S378" s="79"/>
      <c r="T378" s="79"/>
      <c r="W378" s="130"/>
      <c r="Y378" s="106"/>
    </row>
    <row r="379">
      <c r="C379" s="79"/>
      <c r="D379" s="79"/>
      <c r="J379" s="79"/>
      <c r="O379" s="79"/>
      <c r="P379" s="79"/>
      <c r="S379" s="79"/>
      <c r="T379" s="79"/>
      <c r="W379" s="130"/>
      <c r="Y379" s="106"/>
    </row>
    <row r="380">
      <c r="C380" s="79"/>
      <c r="D380" s="79"/>
      <c r="J380" s="79"/>
      <c r="O380" s="79"/>
      <c r="P380" s="79"/>
      <c r="S380" s="79"/>
      <c r="T380" s="79"/>
      <c r="W380" s="130"/>
      <c r="Y380" s="106"/>
    </row>
    <row r="381">
      <c r="C381" s="79"/>
      <c r="D381" s="79"/>
      <c r="J381" s="79"/>
      <c r="O381" s="79"/>
      <c r="P381" s="79"/>
      <c r="S381" s="79"/>
      <c r="T381" s="79"/>
      <c r="W381" s="130"/>
      <c r="Y381" s="106"/>
    </row>
    <row r="382">
      <c r="C382" s="79"/>
      <c r="D382" s="79"/>
      <c r="J382" s="79"/>
      <c r="O382" s="79"/>
      <c r="P382" s="79"/>
      <c r="S382" s="79"/>
      <c r="T382" s="79"/>
      <c r="W382" s="130"/>
      <c r="Y382" s="106"/>
    </row>
    <row r="383">
      <c r="C383" s="79"/>
      <c r="D383" s="79"/>
      <c r="J383" s="79"/>
      <c r="O383" s="79"/>
      <c r="P383" s="79"/>
      <c r="S383" s="79"/>
      <c r="T383" s="79"/>
      <c r="W383" s="130"/>
      <c r="Y383" s="106"/>
    </row>
    <row r="384">
      <c r="C384" s="79"/>
      <c r="D384" s="79"/>
      <c r="J384" s="79"/>
      <c r="O384" s="79"/>
      <c r="P384" s="79"/>
      <c r="S384" s="79"/>
      <c r="T384" s="79"/>
      <c r="W384" s="130"/>
      <c r="Y384" s="106"/>
    </row>
    <row r="385">
      <c r="C385" s="79"/>
      <c r="D385" s="79"/>
      <c r="J385" s="79"/>
      <c r="O385" s="79"/>
      <c r="P385" s="79"/>
      <c r="S385" s="79"/>
      <c r="T385" s="79"/>
      <c r="W385" s="130"/>
      <c r="Y385" s="106"/>
    </row>
    <row r="386">
      <c r="C386" s="79"/>
      <c r="D386" s="79"/>
      <c r="J386" s="79"/>
      <c r="O386" s="79"/>
      <c r="P386" s="79"/>
      <c r="S386" s="79"/>
      <c r="T386" s="79"/>
      <c r="W386" s="130"/>
      <c r="Y386" s="106"/>
    </row>
    <row r="387">
      <c r="C387" s="79"/>
      <c r="D387" s="79"/>
      <c r="J387" s="79"/>
      <c r="O387" s="79"/>
      <c r="P387" s="79"/>
      <c r="S387" s="79"/>
      <c r="T387" s="79"/>
      <c r="W387" s="130"/>
      <c r="Y387" s="106"/>
    </row>
    <row r="388">
      <c r="C388" s="79"/>
      <c r="D388" s="79"/>
      <c r="J388" s="79"/>
      <c r="O388" s="79"/>
      <c r="P388" s="79"/>
      <c r="S388" s="79"/>
      <c r="T388" s="79"/>
      <c r="W388" s="130"/>
      <c r="Y388" s="106"/>
    </row>
    <row r="389">
      <c r="C389" s="79"/>
      <c r="D389" s="79"/>
      <c r="J389" s="79"/>
      <c r="O389" s="79"/>
      <c r="P389" s="79"/>
      <c r="S389" s="79"/>
      <c r="T389" s="79"/>
      <c r="W389" s="130"/>
      <c r="Y389" s="106"/>
    </row>
    <row r="390">
      <c r="C390" s="79"/>
      <c r="D390" s="79"/>
      <c r="J390" s="79"/>
      <c r="O390" s="79"/>
      <c r="P390" s="79"/>
      <c r="S390" s="79"/>
      <c r="T390" s="79"/>
      <c r="W390" s="130"/>
      <c r="Y390" s="106"/>
    </row>
    <row r="391">
      <c r="C391" s="79"/>
      <c r="D391" s="79"/>
      <c r="J391" s="79"/>
      <c r="O391" s="79"/>
      <c r="P391" s="79"/>
      <c r="S391" s="79"/>
      <c r="T391" s="79"/>
      <c r="W391" s="130"/>
      <c r="Y391" s="106"/>
    </row>
    <row r="392">
      <c r="C392" s="79"/>
      <c r="D392" s="79"/>
      <c r="J392" s="79"/>
      <c r="O392" s="79"/>
      <c r="P392" s="79"/>
      <c r="S392" s="79"/>
      <c r="T392" s="79"/>
      <c r="W392" s="130"/>
      <c r="Y392" s="106"/>
    </row>
    <row r="393">
      <c r="C393" s="79"/>
      <c r="D393" s="79"/>
      <c r="J393" s="79"/>
      <c r="O393" s="79"/>
      <c r="P393" s="79"/>
      <c r="S393" s="79"/>
      <c r="T393" s="79"/>
      <c r="W393" s="130"/>
      <c r="Y393" s="106"/>
    </row>
    <row r="394">
      <c r="C394" s="79"/>
      <c r="D394" s="79"/>
      <c r="J394" s="79"/>
      <c r="O394" s="79"/>
      <c r="P394" s="79"/>
      <c r="S394" s="79"/>
      <c r="T394" s="79"/>
      <c r="W394" s="130"/>
      <c r="Y394" s="106"/>
    </row>
    <row r="395">
      <c r="C395" s="79"/>
      <c r="D395" s="79"/>
      <c r="J395" s="79"/>
      <c r="O395" s="79"/>
      <c r="P395" s="79"/>
      <c r="S395" s="79"/>
      <c r="T395" s="79"/>
      <c r="W395" s="130"/>
      <c r="Y395" s="106"/>
    </row>
    <row r="396">
      <c r="C396" s="79"/>
      <c r="D396" s="79"/>
      <c r="J396" s="79"/>
      <c r="O396" s="79"/>
      <c r="P396" s="79"/>
      <c r="S396" s="79"/>
      <c r="T396" s="79"/>
      <c r="W396" s="130"/>
      <c r="Y396" s="106"/>
    </row>
    <row r="397">
      <c r="C397" s="79"/>
      <c r="D397" s="79"/>
      <c r="J397" s="79"/>
      <c r="O397" s="79"/>
      <c r="P397" s="79"/>
      <c r="S397" s="79"/>
      <c r="T397" s="79"/>
      <c r="W397" s="130"/>
      <c r="Y397" s="106"/>
    </row>
    <row r="398">
      <c r="C398" s="79"/>
      <c r="D398" s="79"/>
      <c r="J398" s="79"/>
      <c r="O398" s="79"/>
      <c r="P398" s="79"/>
      <c r="S398" s="79"/>
      <c r="T398" s="79"/>
      <c r="W398" s="130"/>
      <c r="Y398" s="106"/>
    </row>
    <row r="399">
      <c r="C399" s="79"/>
      <c r="D399" s="79"/>
      <c r="J399" s="79"/>
      <c r="O399" s="79"/>
      <c r="P399" s="79"/>
      <c r="S399" s="79"/>
      <c r="T399" s="79"/>
      <c r="W399" s="130"/>
      <c r="Y399" s="106"/>
    </row>
    <row r="400">
      <c r="C400" s="79"/>
      <c r="D400" s="79"/>
      <c r="J400" s="79"/>
      <c r="O400" s="79"/>
      <c r="P400" s="79"/>
      <c r="S400" s="79"/>
      <c r="T400" s="79"/>
      <c r="W400" s="130"/>
      <c r="Y400" s="106"/>
    </row>
    <row r="401">
      <c r="C401" s="79"/>
      <c r="D401" s="79"/>
      <c r="J401" s="79"/>
      <c r="O401" s="79"/>
      <c r="P401" s="79"/>
      <c r="S401" s="79"/>
      <c r="T401" s="79"/>
      <c r="W401" s="130"/>
      <c r="Y401" s="106"/>
    </row>
    <row r="402">
      <c r="C402" s="79"/>
      <c r="D402" s="79"/>
      <c r="J402" s="79"/>
      <c r="O402" s="79"/>
      <c r="P402" s="79"/>
      <c r="S402" s="79"/>
      <c r="T402" s="79"/>
      <c r="W402" s="130"/>
      <c r="Y402" s="106"/>
    </row>
    <row r="403">
      <c r="C403" s="79"/>
      <c r="D403" s="79"/>
      <c r="J403" s="79"/>
      <c r="O403" s="79"/>
      <c r="P403" s="79"/>
      <c r="S403" s="79"/>
      <c r="T403" s="79"/>
      <c r="W403" s="130"/>
      <c r="Y403" s="106"/>
    </row>
    <row r="404">
      <c r="C404" s="79"/>
      <c r="D404" s="79"/>
      <c r="J404" s="79"/>
      <c r="O404" s="79"/>
      <c r="P404" s="79"/>
      <c r="S404" s="79"/>
      <c r="T404" s="79"/>
      <c r="W404" s="130"/>
      <c r="Y404" s="106"/>
    </row>
    <row r="405">
      <c r="C405" s="79"/>
      <c r="D405" s="79"/>
      <c r="J405" s="79"/>
      <c r="O405" s="79"/>
      <c r="P405" s="79"/>
      <c r="S405" s="79"/>
      <c r="T405" s="79"/>
      <c r="W405" s="130"/>
      <c r="Y405" s="106"/>
    </row>
    <row r="406">
      <c r="C406" s="79"/>
      <c r="D406" s="79"/>
      <c r="J406" s="79"/>
      <c r="O406" s="79"/>
      <c r="P406" s="79"/>
      <c r="S406" s="79"/>
      <c r="T406" s="79"/>
      <c r="W406" s="130"/>
      <c r="Y406" s="106"/>
    </row>
    <row r="407">
      <c r="C407" s="79"/>
      <c r="D407" s="79"/>
      <c r="J407" s="79"/>
      <c r="O407" s="79"/>
      <c r="P407" s="79"/>
      <c r="S407" s="79"/>
      <c r="T407" s="79"/>
      <c r="W407" s="130"/>
      <c r="Y407" s="106"/>
    </row>
    <row r="408">
      <c r="C408" s="79"/>
      <c r="D408" s="79"/>
      <c r="J408" s="79"/>
      <c r="O408" s="79"/>
      <c r="P408" s="79"/>
      <c r="S408" s="79"/>
      <c r="T408" s="79"/>
      <c r="W408" s="130"/>
      <c r="Y408" s="106"/>
    </row>
    <row r="409">
      <c r="C409" s="79"/>
      <c r="D409" s="79"/>
      <c r="J409" s="79"/>
      <c r="O409" s="79"/>
      <c r="P409" s="79"/>
      <c r="S409" s="79"/>
      <c r="T409" s="79"/>
      <c r="W409" s="130"/>
      <c r="Y409" s="106"/>
    </row>
    <row r="410">
      <c r="C410" s="79"/>
      <c r="D410" s="79"/>
      <c r="J410" s="79"/>
      <c r="O410" s="79"/>
      <c r="P410" s="79"/>
      <c r="S410" s="79"/>
      <c r="T410" s="79"/>
      <c r="W410" s="130"/>
      <c r="Y410" s="106"/>
    </row>
    <row r="411">
      <c r="C411" s="79"/>
      <c r="D411" s="79"/>
      <c r="J411" s="79"/>
      <c r="O411" s="79"/>
      <c r="P411" s="79"/>
      <c r="S411" s="79"/>
      <c r="T411" s="79"/>
      <c r="W411" s="130"/>
      <c r="Y411" s="106"/>
    </row>
    <row r="412">
      <c r="C412" s="79"/>
      <c r="D412" s="79"/>
      <c r="J412" s="79"/>
      <c r="O412" s="79"/>
      <c r="P412" s="79"/>
      <c r="S412" s="79"/>
      <c r="T412" s="79"/>
      <c r="W412" s="130"/>
      <c r="Y412" s="106"/>
    </row>
    <row r="413">
      <c r="C413" s="79"/>
      <c r="D413" s="79"/>
      <c r="J413" s="79"/>
      <c r="O413" s="79"/>
      <c r="P413" s="79"/>
      <c r="S413" s="79"/>
      <c r="T413" s="79"/>
      <c r="W413" s="130"/>
      <c r="Y413" s="106"/>
    </row>
    <row r="414">
      <c r="C414" s="79"/>
      <c r="D414" s="79"/>
      <c r="J414" s="79"/>
      <c r="O414" s="79"/>
      <c r="P414" s="79"/>
      <c r="S414" s="79"/>
      <c r="T414" s="79"/>
      <c r="W414" s="130"/>
      <c r="Y414" s="106"/>
    </row>
    <row r="415">
      <c r="C415" s="79"/>
      <c r="D415" s="79"/>
      <c r="J415" s="79"/>
      <c r="O415" s="79"/>
      <c r="P415" s="79"/>
      <c r="S415" s="79"/>
      <c r="T415" s="79"/>
      <c r="W415" s="130"/>
      <c r="Y415" s="106"/>
    </row>
    <row r="416">
      <c r="C416" s="79"/>
      <c r="D416" s="79"/>
      <c r="J416" s="79"/>
      <c r="O416" s="79"/>
      <c r="P416" s="79"/>
      <c r="S416" s="79"/>
      <c r="T416" s="79"/>
      <c r="W416" s="130"/>
      <c r="Y416" s="106"/>
    </row>
    <row r="417">
      <c r="C417" s="79"/>
      <c r="D417" s="79"/>
      <c r="J417" s="79"/>
      <c r="O417" s="79"/>
      <c r="P417" s="79"/>
      <c r="S417" s="79"/>
      <c r="T417" s="79"/>
      <c r="W417" s="130"/>
      <c r="Y417" s="106"/>
    </row>
    <row r="418">
      <c r="C418" s="79"/>
      <c r="D418" s="79"/>
      <c r="J418" s="79"/>
      <c r="O418" s="79"/>
      <c r="P418" s="79"/>
      <c r="S418" s="79"/>
      <c r="T418" s="79"/>
      <c r="W418" s="130"/>
      <c r="Y418" s="106"/>
    </row>
    <row r="419">
      <c r="C419" s="79"/>
      <c r="D419" s="79"/>
      <c r="J419" s="79"/>
      <c r="O419" s="79"/>
      <c r="P419" s="79"/>
      <c r="S419" s="79"/>
      <c r="T419" s="79"/>
      <c r="W419" s="130"/>
      <c r="Y419" s="106"/>
    </row>
    <row r="420">
      <c r="C420" s="79"/>
      <c r="D420" s="79"/>
      <c r="J420" s="79"/>
      <c r="O420" s="79"/>
      <c r="P420" s="79"/>
      <c r="S420" s="79"/>
      <c r="T420" s="79"/>
      <c r="W420" s="130"/>
      <c r="Y420" s="106"/>
    </row>
    <row r="421">
      <c r="C421" s="79"/>
      <c r="D421" s="79"/>
      <c r="J421" s="79"/>
      <c r="O421" s="79"/>
      <c r="P421" s="79"/>
      <c r="S421" s="79"/>
      <c r="T421" s="79"/>
      <c r="W421" s="130"/>
      <c r="Y421" s="106"/>
    </row>
    <row r="422">
      <c r="C422" s="79"/>
      <c r="D422" s="79"/>
      <c r="J422" s="79"/>
      <c r="O422" s="79"/>
      <c r="P422" s="79"/>
      <c r="S422" s="79"/>
      <c r="T422" s="79"/>
      <c r="W422" s="130"/>
      <c r="Y422" s="106"/>
    </row>
    <row r="423">
      <c r="C423" s="79"/>
      <c r="D423" s="79"/>
      <c r="J423" s="79"/>
      <c r="O423" s="79"/>
      <c r="P423" s="79"/>
      <c r="S423" s="79"/>
      <c r="T423" s="79"/>
      <c r="W423" s="130"/>
      <c r="Y423" s="106"/>
    </row>
    <row r="424">
      <c r="C424" s="79"/>
      <c r="D424" s="79"/>
      <c r="J424" s="79"/>
      <c r="O424" s="79"/>
      <c r="P424" s="79"/>
      <c r="S424" s="79"/>
      <c r="T424" s="79"/>
      <c r="W424" s="130"/>
      <c r="Y424" s="106"/>
    </row>
    <row r="425">
      <c r="C425" s="79"/>
      <c r="D425" s="79"/>
      <c r="J425" s="79"/>
      <c r="O425" s="79"/>
      <c r="P425" s="79"/>
      <c r="S425" s="79"/>
      <c r="T425" s="79"/>
      <c r="W425" s="130"/>
      <c r="Y425" s="106"/>
    </row>
    <row r="426">
      <c r="C426" s="79"/>
      <c r="D426" s="79"/>
      <c r="J426" s="79"/>
      <c r="O426" s="79"/>
      <c r="P426" s="79"/>
      <c r="S426" s="79"/>
      <c r="T426" s="79"/>
      <c r="W426" s="130"/>
      <c r="Y426" s="106"/>
    </row>
    <row r="427">
      <c r="C427" s="79"/>
      <c r="D427" s="79"/>
      <c r="J427" s="79"/>
      <c r="O427" s="79"/>
      <c r="P427" s="79"/>
      <c r="S427" s="79"/>
      <c r="T427" s="79"/>
      <c r="W427" s="130"/>
      <c r="Y427" s="106"/>
    </row>
    <row r="428">
      <c r="C428" s="79"/>
      <c r="D428" s="79"/>
      <c r="J428" s="79"/>
      <c r="O428" s="79"/>
      <c r="P428" s="79"/>
      <c r="S428" s="79"/>
      <c r="T428" s="79"/>
      <c r="W428" s="130"/>
      <c r="Y428" s="106"/>
    </row>
    <row r="429">
      <c r="C429" s="79"/>
      <c r="D429" s="79"/>
      <c r="J429" s="79"/>
      <c r="O429" s="79"/>
      <c r="P429" s="79"/>
      <c r="S429" s="79"/>
      <c r="T429" s="79"/>
      <c r="W429" s="130"/>
      <c r="Y429" s="106"/>
    </row>
    <row r="430">
      <c r="C430" s="79"/>
      <c r="D430" s="79"/>
      <c r="J430" s="79"/>
      <c r="O430" s="79"/>
      <c r="P430" s="79"/>
      <c r="S430" s="79"/>
      <c r="T430" s="79"/>
      <c r="W430" s="130"/>
      <c r="Y430" s="106"/>
    </row>
    <row r="431">
      <c r="C431" s="79"/>
      <c r="D431" s="79"/>
      <c r="J431" s="79"/>
      <c r="O431" s="79"/>
      <c r="P431" s="79"/>
      <c r="S431" s="79"/>
      <c r="T431" s="79"/>
      <c r="W431" s="130"/>
      <c r="Y431" s="106"/>
    </row>
    <row r="432">
      <c r="C432" s="79"/>
      <c r="D432" s="79"/>
      <c r="J432" s="79"/>
      <c r="O432" s="79"/>
      <c r="P432" s="79"/>
      <c r="S432" s="79"/>
      <c r="T432" s="79"/>
      <c r="W432" s="130"/>
      <c r="Y432" s="106"/>
    </row>
    <row r="433">
      <c r="C433" s="79"/>
      <c r="D433" s="79"/>
      <c r="J433" s="79"/>
      <c r="O433" s="79"/>
      <c r="P433" s="79"/>
      <c r="S433" s="79"/>
      <c r="T433" s="79"/>
      <c r="W433" s="130"/>
      <c r="Y433" s="106"/>
    </row>
    <row r="434">
      <c r="C434" s="79"/>
      <c r="D434" s="79"/>
      <c r="J434" s="79"/>
      <c r="O434" s="79"/>
      <c r="P434" s="79"/>
      <c r="S434" s="79"/>
      <c r="T434" s="79"/>
      <c r="W434" s="130"/>
      <c r="Y434" s="106"/>
    </row>
    <row r="435">
      <c r="C435" s="79"/>
      <c r="D435" s="79"/>
      <c r="J435" s="79"/>
      <c r="O435" s="79"/>
      <c r="P435" s="79"/>
      <c r="S435" s="79"/>
      <c r="T435" s="79"/>
      <c r="W435" s="130"/>
      <c r="Y435" s="106"/>
    </row>
    <row r="436">
      <c r="C436" s="79"/>
      <c r="D436" s="79"/>
      <c r="J436" s="79"/>
      <c r="O436" s="79"/>
      <c r="P436" s="79"/>
      <c r="S436" s="79"/>
      <c r="T436" s="79"/>
      <c r="W436" s="130"/>
      <c r="Y436" s="106"/>
    </row>
    <row r="437">
      <c r="C437" s="79"/>
      <c r="D437" s="79"/>
      <c r="J437" s="79"/>
      <c r="O437" s="79"/>
      <c r="P437" s="79"/>
      <c r="S437" s="79"/>
      <c r="T437" s="79"/>
      <c r="W437" s="130"/>
      <c r="Y437" s="106"/>
    </row>
    <row r="438">
      <c r="C438" s="79"/>
      <c r="D438" s="79"/>
      <c r="J438" s="79"/>
      <c r="O438" s="79"/>
      <c r="P438" s="79"/>
      <c r="S438" s="79"/>
      <c r="T438" s="79"/>
      <c r="W438" s="130"/>
      <c r="Y438" s="106"/>
    </row>
    <row r="439">
      <c r="C439" s="79"/>
      <c r="D439" s="79"/>
      <c r="J439" s="79"/>
      <c r="O439" s="79"/>
      <c r="P439" s="79"/>
      <c r="S439" s="79"/>
      <c r="T439" s="79"/>
      <c r="W439" s="130"/>
      <c r="Y439" s="106"/>
    </row>
    <row r="440">
      <c r="C440" s="79"/>
      <c r="D440" s="79"/>
      <c r="J440" s="79"/>
      <c r="O440" s="79"/>
      <c r="P440" s="79"/>
      <c r="S440" s="79"/>
      <c r="T440" s="79"/>
      <c r="W440" s="130"/>
      <c r="Y440" s="106"/>
    </row>
    <row r="441">
      <c r="C441" s="79"/>
      <c r="D441" s="79"/>
      <c r="J441" s="79"/>
      <c r="O441" s="79"/>
      <c r="P441" s="79"/>
      <c r="S441" s="79"/>
      <c r="T441" s="79"/>
      <c r="W441" s="130"/>
      <c r="Y441" s="106"/>
    </row>
    <row r="442">
      <c r="C442" s="79"/>
      <c r="D442" s="79"/>
      <c r="J442" s="79"/>
      <c r="O442" s="79"/>
      <c r="P442" s="79"/>
      <c r="S442" s="79"/>
      <c r="T442" s="79"/>
      <c r="W442" s="130"/>
      <c r="Y442" s="106"/>
    </row>
    <row r="443">
      <c r="C443" s="79"/>
      <c r="D443" s="79"/>
      <c r="J443" s="79"/>
      <c r="O443" s="79"/>
      <c r="P443" s="79"/>
      <c r="S443" s="79"/>
      <c r="T443" s="79"/>
      <c r="W443" s="130"/>
      <c r="Y443" s="106"/>
    </row>
    <row r="444">
      <c r="C444" s="79"/>
      <c r="D444" s="79"/>
      <c r="J444" s="79"/>
      <c r="O444" s="79"/>
      <c r="P444" s="79"/>
      <c r="S444" s="79"/>
      <c r="T444" s="79"/>
      <c r="W444" s="130"/>
      <c r="Y444" s="106"/>
    </row>
    <row r="445">
      <c r="C445" s="79"/>
      <c r="D445" s="79"/>
      <c r="J445" s="79"/>
      <c r="O445" s="79"/>
      <c r="P445" s="79"/>
      <c r="S445" s="79"/>
      <c r="T445" s="79"/>
      <c r="W445" s="130"/>
      <c r="Y445" s="106"/>
    </row>
    <row r="446">
      <c r="C446" s="79"/>
      <c r="D446" s="79"/>
      <c r="J446" s="79"/>
      <c r="O446" s="79"/>
      <c r="P446" s="79"/>
      <c r="S446" s="79"/>
      <c r="T446" s="79"/>
      <c r="W446" s="130"/>
      <c r="Y446" s="106"/>
    </row>
    <row r="447">
      <c r="C447" s="79"/>
      <c r="D447" s="79"/>
      <c r="J447" s="79"/>
      <c r="O447" s="79"/>
      <c r="P447" s="79"/>
      <c r="S447" s="79"/>
      <c r="T447" s="79"/>
      <c r="W447" s="130"/>
      <c r="Y447" s="106"/>
    </row>
    <row r="448">
      <c r="C448" s="79"/>
      <c r="D448" s="79"/>
      <c r="J448" s="79"/>
      <c r="O448" s="79"/>
      <c r="P448" s="79"/>
      <c r="S448" s="79"/>
      <c r="T448" s="79"/>
      <c r="W448" s="130"/>
      <c r="Y448" s="106"/>
    </row>
    <row r="449">
      <c r="C449" s="79"/>
      <c r="D449" s="79"/>
      <c r="J449" s="79"/>
      <c r="O449" s="79"/>
      <c r="P449" s="79"/>
      <c r="S449" s="79"/>
      <c r="T449" s="79"/>
      <c r="W449" s="130"/>
      <c r="Y449" s="106"/>
    </row>
    <row r="450">
      <c r="C450" s="79"/>
      <c r="D450" s="79"/>
      <c r="J450" s="79"/>
      <c r="O450" s="79"/>
      <c r="P450" s="79"/>
      <c r="S450" s="79"/>
      <c r="T450" s="79"/>
      <c r="W450" s="130"/>
      <c r="Y450" s="106"/>
    </row>
    <row r="451">
      <c r="C451" s="79"/>
      <c r="D451" s="79"/>
      <c r="J451" s="79"/>
      <c r="O451" s="79"/>
      <c r="P451" s="79"/>
      <c r="S451" s="79"/>
      <c r="T451" s="79"/>
      <c r="W451" s="130"/>
      <c r="Y451" s="106"/>
    </row>
    <row r="452">
      <c r="C452" s="79"/>
      <c r="D452" s="79"/>
      <c r="J452" s="79"/>
      <c r="O452" s="79"/>
      <c r="P452" s="79"/>
      <c r="S452" s="79"/>
      <c r="T452" s="79"/>
      <c r="W452" s="130"/>
      <c r="Y452" s="106"/>
    </row>
    <row r="453">
      <c r="C453" s="79"/>
      <c r="D453" s="79"/>
      <c r="J453" s="79"/>
      <c r="O453" s="79"/>
      <c r="P453" s="79"/>
      <c r="S453" s="79"/>
      <c r="T453" s="79"/>
      <c r="W453" s="130"/>
      <c r="Y453" s="106"/>
    </row>
    <row r="454">
      <c r="C454" s="79"/>
      <c r="D454" s="79"/>
      <c r="J454" s="79"/>
      <c r="O454" s="79"/>
      <c r="P454" s="79"/>
      <c r="S454" s="79"/>
      <c r="T454" s="79"/>
      <c r="W454" s="130"/>
      <c r="Y454" s="106"/>
    </row>
    <row r="455">
      <c r="C455" s="79"/>
      <c r="D455" s="79"/>
      <c r="J455" s="79"/>
      <c r="O455" s="79"/>
      <c r="P455" s="79"/>
      <c r="S455" s="79"/>
      <c r="T455" s="79"/>
      <c r="W455" s="130"/>
      <c r="Y455" s="106"/>
    </row>
    <row r="456">
      <c r="C456" s="79"/>
      <c r="D456" s="79"/>
      <c r="J456" s="79"/>
      <c r="O456" s="79"/>
      <c r="P456" s="79"/>
      <c r="S456" s="79"/>
      <c r="T456" s="79"/>
      <c r="W456" s="130"/>
      <c r="Y456" s="106"/>
    </row>
    <row r="457">
      <c r="C457" s="79"/>
      <c r="D457" s="79"/>
      <c r="J457" s="79"/>
      <c r="O457" s="79"/>
      <c r="P457" s="79"/>
      <c r="S457" s="79"/>
      <c r="T457" s="79"/>
      <c r="W457" s="130"/>
      <c r="Y457" s="106"/>
    </row>
    <row r="458">
      <c r="C458" s="79"/>
      <c r="D458" s="79"/>
      <c r="J458" s="79"/>
      <c r="O458" s="79"/>
      <c r="P458" s="79"/>
      <c r="S458" s="79"/>
      <c r="T458" s="79"/>
      <c r="W458" s="130"/>
      <c r="Y458" s="106"/>
    </row>
    <row r="459">
      <c r="C459" s="79"/>
      <c r="D459" s="79"/>
      <c r="J459" s="79"/>
      <c r="O459" s="79"/>
      <c r="P459" s="79"/>
      <c r="S459" s="79"/>
      <c r="T459" s="79"/>
      <c r="W459" s="130"/>
      <c r="Y459" s="106"/>
    </row>
    <row r="460">
      <c r="C460" s="79"/>
      <c r="D460" s="79"/>
      <c r="J460" s="79"/>
      <c r="O460" s="79"/>
      <c r="P460" s="79"/>
      <c r="S460" s="79"/>
      <c r="T460" s="79"/>
      <c r="W460" s="130"/>
      <c r="Y460" s="106"/>
    </row>
    <row r="461">
      <c r="C461" s="79"/>
      <c r="D461" s="79"/>
      <c r="J461" s="79"/>
      <c r="O461" s="79"/>
      <c r="P461" s="79"/>
      <c r="S461" s="79"/>
      <c r="T461" s="79"/>
      <c r="W461" s="130"/>
      <c r="Y461" s="106"/>
    </row>
    <row r="462">
      <c r="C462" s="79"/>
      <c r="D462" s="79"/>
      <c r="J462" s="79"/>
      <c r="O462" s="79"/>
      <c r="P462" s="79"/>
      <c r="S462" s="79"/>
      <c r="T462" s="79"/>
      <c r="W462" s="130"/>
      <c r="Y462" s="106"/>
    </row>
    <row r="463">
      <c r="C463" s="79"/>
      <c r="D463" s="79"/>
      <c r="J463" s="79"/>
      <c r="O463" s="79"/>
      <c r="P463" s="79"/>
      <c r="S463" s="79"/>
      <c r="T463" s="79"/>
      <c r="W463" s="130"/>
      <c r="Y463" s="106"/>
    </row>
    <row r="464">
      <c r="C464" s="79"/>
      <c r="D464" s="79"/>
      <c r="J464" s="79"/>
      <c r="O464" s="79"/>
      <c r="P464" s="79"/>
      <c r="S464" s="79"/>
      <c r="T464" s="79"/>
      <c r="W464" s="130"/>
      <c r="Y464" s="106"/>
    </row>
    <row r="465">
      <c r="C465" s="79"/>
      <c r="D465" s="79"/>
      <c r="J465" s="79"/>
      <c r="O465" s="79"/>
      <c r="P465" s="79"/>
      <c r="S465" s="79"/>
      <c r="T465" s="79"/>
      <c r="W465" s="130"/>
      <c r="Y465" s="106"/>
    </row>
    <row r="466">
      <c r="C466" s="79"/>
      <c r="D466" s="79"/>
      <c r="J466" s="79"/>
      <c r="O466" s="79"/>
      <c r="P466" s="79"/>
      <c r="S466" s="79"/>
      <c r="T466" s="79"/>
      <c r="W466" s="130"/>
      <c r="Y466" s="106"/>
    </row>
    <row r="467">
      <c r="C467" s="79"/>
      <c r="D467" s="79"/>
      <c r="J467" s="79"/>
      <c r="O467" s="79"/>
      <c r="P467" s="79"/>
      <c r="S467" s="79"/>
      <c r="T467" s="79"/>
      <c r="W467" s="130"/>
      <c r="Y467" s="106"/>
    </row>
    <row r="468">
      <c r="C468" s="79"/>
      <c r="D468" s="79"/>
      <c r="J468" s="79"/>
      <c r="O468" s="79"/>
      <c r="P468" s="79"/>
      <c r="S468" s="79"/>
      <c r="T468" s="79"/>
      <c r="W468" s="130"/>
      <c r="Y468" s="106"/>
    </row>
    <row r="469">
      <c r="C469" s="79"/>
      <c r="D469" s="79"/>
      <c r="J469" s="79"/>
      <c r="O469" s="79"/>
      <c r="P469" s="79"/>
      <c r="S469" s="79"/>
      <c r="T469" s="79"/>
      <c r="W469" s="130"/>
      <c r="Y469" s="106"/>
    </row>
    <row r="470">
      <c r="C470" s="79"/>
      <c r="D470" s="79"/>
      <c r="J470" s="79"/>
      <c r="O470" s="79"/>
      <c r="P470" s="79"/>
      <c r="S470" s="79"/>
      <c r="T470" s="79"/>
      <c r="W470" s="130"/>
      <c r="Y470" s="106"/>
    </row>
    <row r="471">
      <c r="C471" s="79"/>
      <c r="D471" s="79"/>
      <c r="J471" s="79"/>
      <c r="O471" s="79"/>
      <c r="P471" s="79"/>
      <c r="S471" s="79"/>
      <c r="T471" s="79"/>
      <c r="W471" s="130"/>
      <c r="Y471" s="106"/>
    </row>
    <row r="472">
      <c r="C472" s="79"/>
      <c r="D472" s="79"/>
      <c r="J472" s="79"/>
      <c r="O472" s="79"/>
      <c r="P472" s="79"/>
      <c r="S472" s="79"/>
      <c r="T472" s="79"/>
      <c r="W472" s="130"/>
      <c r="Y472" s="106"/>
    </row>
    <row r="473">
      <c r="C473" s="79"/>
      <c r="D473" s="79"/>
      <c r="J473" s="79"/>
      <c r="O473" s="79"/>
      <c r="P473" s="79"/>
      <c r="S473" s="79"/>
      <c r="T473" s="79"/>
      <c r="W473" s="130"/>
      <c r="Y473" s="106"/>
    </row>
    <row r="474">
      <c r="C474" s="79"/>
      <c r="D474" s="79"/>
      <c r="J474" s="79"/>
      <c r="O474" s="79"/>
      <c r="P474" s="79"/>
      <c r="S474" s="79"/>
      <c r="T474" s="79"/>
      <c r="W474" s="130"/>
      <c r="Y474" s="106"/>
    </row>
    <row r="475">
      <c r="C475" s="79"/>
      <c r="D475" s="79"/>
      <c r="J475" s="79"/>
      <c r="O475" s="79"/>
      <c r="P475" s="79"/>
      <c r="S475" s="79"/>
      <c r="T475" s="79"/>
      <c r="W475" s="130"/>
      <c r="Y475" s="106"/>
    </row>
    <row r="476">
      <c r="C476" s="79"/>
      <c r="D476" s="79"/>
      <c r="J476" s="79"/>
      <c r="O476" s="79"/>
      <c r="P476" s="79"/>
      <c r="S476" s="79"/>
      <c r="T476" s="79"/>
      <c r="W476" s="130"/>
      <c r="Y476" s="106"/>
    </row>
    <row r="477">
      <c r="C477" s="79"/>
      <c r="D477" s="79"/>
      <c r="J477" s="79"/>
      <c r="O477" s="79"/>
      <c r="P477" s="79"/>
      <c r="S477" s="79"/>
      <c r="T477" s="79"/>
      <c r="W477" s="130"/>
      <c r="Y477" s="106"/>
    </row>
    <row r="478">
      <c r="C478" s="79"/>
      <c r="D478" s="79"/>
      <c r="J478" s="79"/>
      <c r="O478" s="79"/>
      <c r="P478" s="79"/>
      <c r="S478" s="79"/>
      <c r="T478" s="79"/>
      <c r="W478" s="130"/>
      <c r="Y478" s="106"/>
    </row>
    <row r="479">
      <c r="C479" s="79"/>
      <c r="D479" s="79"/>
      <c r="J479" s="79"/>
      <c r="O479" s="79"/>
      <c r="P479" s="79"/>
      <c r="S479" s="79"/>
      <c r="T479" s="79"/>
      <c r="W479" s="130"/>
      <c r="Y479" s="106"/>
    </row>
    <row r="480">
      <c r="C480" s="79"/>
      <c r="D480" s="79"/>
      <c r="J480" s="79"/>
      <c r="O480" s="79"/>
      <c r="P480" s="79"/>
      <c r="S480" s="79"/>
      <c r="T480" s="79"/>
      <c r="W480" s="130"/>
      <c r="Y480" s="106"/>
    </row>
    <row r="481">
      <c r="C481" s="79"/>
      <c r="D481" s="79"/>
      <c r="J481" s="79"/>
      <c r="O481" s="79"/>
      <c r="P481" s="79"/>
      <c r="S481" s="79"/>
      <c r="T481" s="79"/>
      <c r="W481" s="130"/>
      <c r="Y481" s="106"/>
    </row>
    <row r="482">
      <c r="C482" s="79"/>
      <c r="D482" s="79"/>
      <c r="J482" s="79"/>
      <c r="O482" s="79"/>
      <c r="P482" s="79"/>
      <c r="S482" s="79"/>
      <c r="T482" s="79"/>
      <c r="W482" s="130"/>
      <c r="Y482" s="106"/>
    </row>
    <row r="483">
      <c r="C483" s="79"/>
      <c r="D483" s="79"/>
      <c r="J483" s="79"/>
      <c r="O483" s="79"/>
      <c r="P483" s="79"/>
      <c r="S483" s="79"/>
      <c r="T483" s="79"/>
      <c r="W483" s="130"/>
      <c r="Y483" s="106"/>
    </row>
    <row r="484">
      <c r="C484" s="79"/>
      <c r="D484" s="79"/>
      <c r="J484" s="79"/>
      <c r="O484" s="79"/>
      <c r="P484" s="79"/>
      <c r="S484" s="79"/>
      <c r="T484" s="79"/>
      <c r="W484" s="130"/>
      <c r="Y484" s="106"/>
    </row>
    <row r="485">
      <c r="C485" s="79"/>
      <c r="D485" s="79"/>
      <c r="J485" s="79"/>
      <c r="O485" s="79"/>
      <c r="P485" s="79"/>
      <c r="S485" s="79"/>
      <c r="T485" s="79"/>
      <c r="W485" s="130"/>
      <c r="Y485" s="106"/>
    </row>
    <row r="486">
      <c r="C486" s="79"/>
      <c r="D486" s="79"/>
      <c r="J486" s="79"/>
      <c r="O486" s="79"/>
      <c r="P486" s="79"/>
      <c r="S486" s="79"/>
      <c r="T486" s="79"/>
      <c r="W486" s="130"/>
      <c r="Y486" s="106"/>
    </row>
    <row r="487">
      <c r="C487" s="79"/>
      <c r="D487" s="79"/>
      <c r="J487" s="79"/>
      <c r="O487" s="79"/>
      <c r="P487" s="79"/>
      <c r="S487" s="79"/>
      <c r="T487" s="79"/>
      <c r="W487" s="130"/>
      <c r="Y487" s="106"/>
    </row>
    <row r="488">
      <c r="C488" s="79"/>
      <c r="D488" s="79"/>
      <c r="J488" s="79"/>
      <c r="O488" s="79"/>
      <c r="P488" s="79"/>
      <c r="S488" s="79"/>
      <c r="T488" s="79"/>
      <c r="W488" s="130"/>
      <c r="Y488" s="106"/>
    </row>
    <row r="489">
      <c r="C489" s="79"/>
      <c r="D489" s="79"/>
      <c r="J489" s="79"/>
      <c r="O489" s="79"/>
      <c r="P489" s="79"/>
      <c r="S489" s="79"/>
      <c r="T489" s="79"/>
      <c r="W489" s="130"/>
      <c r="Y489" s="106"/>
    </row>
    <row r="490">
      <c r="C490" s="79"/>
      <c r="D490" s="79"/>
      <c r="J490" s="79"/>
      <c r="O490" s="79"/>
      <c r="P490" s="79"/>
      <c r="S490" s="79"/>
      <c r="T490" s="79"/>
      <c r="W490" s="130"/>
      <c r="Y490" s="106"/>
    </row>
    <row r="491">
      <c r="C491" s="79"/>
      <c r="D491" s="79"/>
      <c r="J491" s="79"/>
      <c r="O491" s="79"/>
      <c r="P491" s="79"/>
      <c r="S491" s="79"/>
      <c r="T491" s="79"/>
      <c r="W491" s="130"/>
      <c r="Y491" s="106"/>
    </row>
    <row r="492">
      <c r="C492" s="79"/>
      <c r="D492" s="79"/>
      <c r="J492" s="79"/>
      <c r="O492" s="79"/>
      <c r="P492" s="79"/>
      <c r="S492" s="79"/>
      <c r="T492" s="79"/>
      <c r="W492" s="130"/>
      <c r="Y492" s="106"/>
    </row>
    <row r="493">
      <c r="C493" s="79"/>
      <c r="D493" s="79"/>
      <c r="J493" s="79"/>
      <c r="O493" s="79"/>
      <c r="P493" s="79"/>
      <c r="S493" s="79"/>
      <c r="T493" s="79"/>
      <c r="W493" s="130"/>
      <c r="Y493" s="106"/>
    </row>
    <row r="494">
      <c r="C494" s="79"/>
      <c r="D494" s="79"/>
      <c r="J494" s="79"/>
      <c r="O494" s="79"/>
      <c r="P494" s="79"/>
      <c r="S494" s="79"/>
      <c r="T494" s="79"/>
      <c r="W494" s="130"/>
      <c r="Y494" s="106"/>
    </row>
    <row r="495">
      <c r="C495" s="79"/>
      <c r="D495" s="79"/>
      <c r="J495" s="79"/>
      <c r="O495" s="79"/>
      <c r="P495" s="79"/>
      <c r="S495" s="79"/>
      <c r="T495" s="79"/>
      <c r="W495" s="130"/>
      <c r="Y495" s="106"/>
    </row>
    <row r="496">
      <c r="C496" s="79"/>
      <c r="D496" s="79"/>
      <c r="J496" s="79"/>
      <c r="O496" s="79"/>
      <c r="P496" s="79"/>
      <c r="S496" s="79"/>
      <c r="T496" s="79"/>
      <c r="W496" s="130"/>
      <c r="Y496" s="106"/>
    </row>
    <row r="497">
      <c r="C497" s="79"/>
      <c r="D497" s="79"/>
      <c r="J497" s="79"/>
      <c r="O497" s="79"/>
      <c r="P497" s="79"/>
      <c r="S497" s="79"/>
      <c r="T497" s="79"/>
      <c r="W497" s="130"/>
      <c r="Y497" s="106"/>
    </row>
    <row r="498">
      <c r="C498" s="79"/>
      <c r="D498" s="79"/>
      <c r="J498" s="79"/>
      <c r="O498" s="79"/>
      <c r="P498" s="79"/>
      <c r="S498" s="79"/>
      <c r="T498" s="79"/>
      <c r="W498" s="130"/>
      <c r="Y498" s="106"/>
    </row>
    <row r="499">
      <c r="C499" s="79"/>
      <c r="D499" s="79"/>
      <c r="J499" s="79"/>
      <c r="O499" s="79"/>
      <c r="P499" s="79"/>
      <c r="S499" s="79"/>
      <c r="T499" s="79"/>
      <c r="W499" s="130"/>
      <c r="Y499" s="106"/>
    </row>
    <row r="500">
      <c r="C500" s="79"/>
      <c r="D500" s="79"/>
      <c r="J500" s="79"/>
      <c r="O500" s="79"/>
      <c r="P500" s="79"/>
      <c r="S500" s="79"/>
      <c r="T500" s="79"/>
      <c r="W500" s="130"/>
      <c r="Y500" s="106"/>
    </row>
    <row r="501">
      <c r="C501" s="79"/>
      <c r="D501" s="79"/>
      <c r="J501" s="79"/>
      <c r="O501" s="79"/>
      <c r="P501" s="79"/>
      <c r="S501" s="79"/>
      <c r="T501" s="79"/>
      <c r="W501" s="130"/>
      <c r="Y501" s="106"/>
    </row>
    <row r="502">
      <c r="C502" s="79"/>
      <c r="D502" s="79"/>
      <c r="J502" s="79"/>
      <c r="O502" s="79"/>
      <c r="P502" s="79"/>
      <c r="S502" s="79"/>
      <c r="T502" s="79"/>
      <c r="W502" s="130"/>
      <c r="Y502" s="106"/>
    </row>
    <row r="503">
      <c r="C503" s="79"/>
      <c r="D503" s="79"/>
      <c r="J503" s="79"/>
      <c r="O503" s="79"/>
      <c r="P503" s="79"/>
      <c r="S503" s="79"/>
      <c r="T503" s="79"/>
      <c r="W503" s="130"/>
      <c r="Y503" s="106"/>
    </row>
    <row r="504">
      <c r="C504" s="79"/>
      <c r="D504" s="79"/>
      <c r="J504" s="79"/>
      <c r="O504" s="79"/>
      <c r="P504" s="79"/>
      <c r="S504" s="79"/>
      <c r="T504" s="79"/>
      <c r="W504" s="130"/>
      <c r="Y504" s="106"/>
    </row>
    <row r="505">
      <c r="C505" s="79"/>
      <c r="D505" s="79"/>
      <c r="J505" s="79"/>
      <c r="O505" s="79"/>
      <c r="P505" s="79"/>
      <c r="S505" s="79"/>
      <c r="T505" s="79"/>
      <c r="W505" s="130"/>
      <c r="Y505" s="106"/>
    </row>
    <row r="506">
      <c r="C506" s="79"/>
      <c r="D506" s="79"/>
      <c r="J506" s="79"/>
      <c r="O506" s="79"/>
      <c r="P506" s="79"/>
      <c r="S506" s="79"/>
      <c r="T506" s="79"/>
      <c r="W506" s="130"/>
      <c r="Y506" s="106"/>
    </row>
    <row r="507">
      <c r="C507" s="79"/>
      <c r="D507" s="79"/>
      <c r="J507" s="79"/>
      <c r="O507" s="79"/>
      <c r="P507" s="79"/>
      <c r="S507" s="79"/>
      <c r="T507" s="79"/>
      <c r="W507" s="130"/>
      <c r="Y507" s="106"/>
    </row>
    <row r="508">
      <c r="C508" s="79"/>
      <c r="D508" s="79"/>
      <c r="J508" s="79"/>
      <c r="O508" s="79"/>
      <c r="P508" s="79"/>
      <c r="S508" s="79"/>
      <c r="T508" s="79"/>
      <c r="W508" s="130"/>
      <c r="Y508" s="106"/>
    </row>
    <row r="509">
      <c r="C509" s="79"/>
      <c r="D509" s="79"/>
      <c r="J509" s="79"/>
      <c r="O509" s="79"/>
      <c r="P509" s="79"/>
      <c r="S509" s="79"/>
      <c r="T509" s="79"/>
      <c r="W509" s="130"/>
      <c r="Y509" s="106"/>
    </row>
    <row r="510">
      <c r="C510" s="79"/>
      <c r="D510" s="79"/>
      <c r="J510" s="79"/>
      <c r="O510" s="79"/>
      <c r="P510" s="79"/>
      <c r="S510" s="79"/>
      <c r="T510" s="79"/>
      <c r="W510" s="130"/>
      <c r="Y510" s="106"/>
    </row>
    <row r="511">
      <c r="C511" s="79"/>
      <c r="D511" s="79"/>
      <c r="J511" s="79"/>
      <c r="O511" s="79"/>
      <c r="P511" s="79"/>
      <c r="S511" s="79"/>
      <c r="T511" s="79"/>
      <c r="W511" s="130"/>
      <c r="Y511" s="106"/>
    </row>
    <row r="512">
      <c r="C512" s="79"/>
      <c r="D512" s="79"/>
      <c r="J512" s="79"/>
      <c r="O512" s="79"/>
      <c r="P512" s="79"/>
      <c r="S512" s="79"/>
      <c r="T512" s="79"/>
      <c r="W512" s="130"/>
      <c r="Y512" s="106"/>
    </row>
    <row r="513">
      <c r="C513" s="79"/>
      <c r="D513" s="79"/>
      <c r="J513" s="79"/>
      <c r="O513" s="79"/>
      <c r="P513" s="79"/>
      <c r="S513" s="79"/>
      <c r="T513" s="79"/>
      <c r="W513" s="130"/>
      <c r="Y513" s="106"/>
    </row>
    <row r="514">
      <c r="C514" s="79"/>
      <c r="D514" s="79"/>
      <c r="J514" s="79"/>
      <c r="O514" s="79"/>
      <c r="P514" s="79"/>
      <c r="S514" s="79"/>
      <c r="T514" s="79"/>
      <c r="W514" s="130"/>
      <c r="Y514" s="106"/>
    </row>
    <row r="515">
      <c r="C515" s="79"/>
      <c r="D515" s="79"/>
      <c r="J515" s="79"/>
      <c r="O515" s="79"/>
      <c r="P515" s="79"/>
      <c r="S515" s="79"/>
      <c r="T515" s="79"/>
      <c r="W515" s="130"/>
      <c r="Y515" s="106"/>
    </row>
    <row r="516">
      <c r="C516" s="79"/>
      <c r="D516" s="79"/>
      <c r="J516" s="79"/>
      <c r="O516" s="79"/>
      <c r="P516" s="79"/>
      <c r="S516" s="79"/>
      <c r="T516" s="79"/>
      <c r="W516" s="130"/>
      <c r="Y516" s="106"/>
    </row>
    <row r="517">
      <c r="C517" s="79"/>
      <c r="D517" s="79"/>
      <c r="J517" s="79"/>
      <c r="O517" s="79"/>
      <c r="P517" s="79"/>
      <c r="S517" s="79"/>
      <c r="T517" s="79"/>
      <c r="W517" s="130"/>
      <c r="Y517" s="106"/>
    </row>
    <row r="518">
      <c r="C518" s="79"/>
      <c r="D518" s="79"/>
      <c r="J518" s="79"/>
      <c r="O518" s="79"/>
      <c r="P518" s="79"/>
      <c r="S518" s="79"/>
      <c r="T518" s="79"/>
      <c r="W518" s="130"/>
      <c r="Y518" s="106"/>
    </row>
    <row r="519">
      <c r="C519" s="79"/>
      <c r="D519" s="79"/>
      <c r="J519" s="79"/>
      <c r="O519" s="79"/>
      <c r="P519" s="79"/>
      <c r="S519" s="79"/>
      <c r="T519" s="79"/>
      <c r="W519" s="130"/>
      <c r="Y519" s="106"/>
    </row>
    <row r="520">
      <c r="C520" s="79"/>
      <c r="D520" s="79"/>
      <c r="J520" s="79"/>
      <c r="O520" s="79"/>
      <c r="P520" s="79"/>
      <c r="S520" s="79"/>
      <c r="T520" s="79"/>
      <c r="W520" s="130"/>
      <c r="Y520" s="106"/>
    </row>
    <row r="521">
      <c r="C521" s="79"/>
      <c r="D521" s="79"/>
      <c r="J521" s="79"/>
      <c r="O521" s="79"/>
      <c r="P521" s="79"/>
      <c r="S521" s="79"/>
      <c r="T521" s="79"/>
      <c r="W521" s="130"/>
      <c r="Y521" s="106"/>
    </row>
    <row r="522">
      <c r="C522" s="79"/>
      <c r="D522" s="79"/>
      <c r="J522" s="79"/>
      <c r="O522" s="79"/>
      <c r="P522" s="79"/>
      <c r="S522" s="79"/>
      <c r="T522" s="79"/>
      <c r="W522" s="130"/>
      <c r="Y522" s="106"/>
    </row>
    <row r="523">
      <c r="C523" s="79"/>
      <c r="D523" s="79"/>
      <c r="J523" s="79"/>
      <c r="O523" s="79"/>
      <c r="P523" s="79"/>
      <c r="S523" s="79"/>
      <c r="T523" s="79"/>
      <c r="W523" s="130"/>
      <c r="Y523" s="106"/>
    </row>
    <row r="524">
      <c r="C524" s="79"/>
      <c r="D524" s="79"/>
      <c r="J524" s="79"/>
      <c r="O524" s="79"/>
      <c r="P524" s="79"/>
      <c r="S524" s="79"/>
      <c r="T524" s="79"/>
      <c r="W524" s="130"/>
      <c r="Y524" s="106"/>
    </row>
    <row r="525">
      <c r="C525" s="79"/>
      <c r="D525" s="79"/>
      <c r="J525" s="79"/>
      <c r="O525" s="79"/>
      <c r="P525" s="79"/>
      <c r="S525" s="79"/>
      <c r="T525" s="79"/>
      <c r="W525" s="130"/>
      <c r="Y525" s="106"/>
    </row>
    <row r="526">
      <c r="C526" s="79"/>
      <c r="D526" s="79"/>
      <c r="J526" s="79"/>
      <c r="O526" s="79"/>
      <c r="P526" s="79"/>
      <c r="S526" s="79"/>
      <c r="T526" s="79"/>
      <c r="W526" s="130"/>
      <c r="Y526" s="106"/>
    </row>
    <row r="527">
      <c r="C527" s="79"/>
      <c r="D527" s="79"/>
      <c r="J527" s="79"/>
      <c r="O527" s="79"/>
      <c r="P527" s="79"/>
      <c r="S527" s="79"/>
      <c r="T527" s="79"/>
      <c r="W527" s="130"/>
      <c r="Y527" s="106"/>
    </row>
    <row r="528">
      <c r="C528" s="79"/>
      <c r="D528" s="79"/>
      <c r="J528" s="79"/>
      <c r="O528" s="79"/>
      <c r="P528" s="79"/>
      <c r="S528" s="79"/>
      <c r="T528" s="79"/>
      <c r="W528" s="130"/>
      <c r="Y528" s="106"/>
    </row>
    <row r="529">
      <c r="C529" s="79"/>
      <c r="D529" s="79"/>
      <c r="J529" s="79"/>
      <c r="O529" s="79"/>
      <c r="P529" s="79"/>
      <c r="S529" s="79"/>
      <c r="T529" s="79"/>
      <c r="W529" s="130"/>
      <c r="Y529" s="106"/>
    </row>
    <row r="530">
      <c r="C530" s="79"/>
      <c r="D530" s="79"/>
      <c r="J530" s="79"/>
      <c r="O530" s="79"/>
      <c r="P530" s="79"/>
      <c r="S530" s="79"/>
      <c r="T530" s="79"/>
      <c r="W530" s="130"/>
      <c r="Y530" s="106"/>
    </row>
    <row r="531">
      <c r="C531" s="79"/>
      <c r="D531" s="79"/>
      <c r="J531" s="79"/>
      <c r="O531" s="79"/>
      <c r="P531" s="79"/>
      <c r="S531" s="79"/>
      <c r="T531" s="79"/>
      <c r="W531" s="130"/>
      <c r="Y531" s="106"/>
    </row>
    <row r="532">
      <c r="C532" s="79"/>
      <c r="D532" s="79"/>
      <c r="J532" s="79"/>
      <c r="O532" s="79"/>
      <c r="P532" s="79"/>
      <c r="S532" s="79"/>
      <c r="T532" s="79"/>
      <c r="W532" s="130"/>
      <c r="Y532" s="106"/>
    </row>
    <row r="533">
      <c r="C533" s="79"/>
      <c r="D533" s="79"/>
      <c r="J533" s="79"/>
      <c r="O533" s="79"/>
      <c r="P533" s="79"/>
      <c r="S533" s="79"/>
      <c r="T533" s="79"/>
      <c r="W533" s="130"/>
      <c r="Y533" s="106"/>
    </row>
    <row r="534">
      <c r="C534" s="79"/>
      <c r="D534" s="79"/>
      <c r="J534" s="79"/>
      <c r="O534" s="79"/>
      <c r="P534" s="79"/>
      <c r="S534" s="79"/>
      <c r="T534" s="79"/>
      <c r="W534" s="130"/>
      <c r="Y534" s="106"/>
    </row>
    <row r="535">
      <c r="C535" s="79"/>
      <c r="D535" s="79"/>
      <c r="J535" s="79"/>
      <c r="O535" s="79"/>
      <c r="P535" s="79"/>
      <c r="S535" s="79"/>
      <c r="T535" s="79"/>
      <c r="W535" s="130"/>
      <c r="Y535" s="106"/>
    </row>
    <row r="536">
      <c r="C536" s="79"/>
      <c r="D536" s="79"/>
      <c r="J536" s="79"/>
      <c r="O536" s="79"/>
      <c r="P536" s="79"/>
      <c r="S536" s="79"/>
      <c r="T536" s="79"/>
      <c r="W536" s="130"/>
      <c r="Y536" s="106"/>
    </row>
    <row r="537">
      <c r="C537" s="79"/>
      <c r="D537" s="79"/>
      <c r="J537" s="79"/>
      <c r="O537" s="79"/>
      <c r="P537" s="79"/>
      <c r="S537" s="79"/>
      <c r="T537" s="79"/>
      <c r="W537" s="130"/>
      <c r="Y537" s="106"/>
    </row>
    <row r="538">
      <c r="C538" s="79"/>
      <c r="D538" s="79"/>
      <c r="J538" s="79"/>
      <c r="O538" s="79"/>
      <c r="P538" s="79"/>
      <c r="S538" s="79"/>
      <c r="T538" s="79"/>
      <c r="W538" s="130"/>
      <c r="Y538" s="106"/>
    </row>
    <row r="539">
      <c r="C539" s="79"/>
      <c r="D539" s="79"/>
      <c r="J539" s="79"/>
      <c r="O539" s="79"/>
      <c r="P539" s="79"/>
      <c r="S539" s="79"/>
      <c r="T539" s="79"/>
      <c r="W539" s="130"/>
      <c r="Y539" s="106"/>
    </row>
    <row r="540">
      <c r="C540" s="79"/>
      <c r="D540" s="79"/>
      <c r="J540" s="79"/>
      <c r="O540" s="79"/>
      <c r="P540" s="79"/>
      <c r="S540" s="79"/>
      <c r="T540" s="79"/>
      <c r="W540" s="130"/>
      <c r="Y540" s="106"/>
    </row>
    <row r="541">
      <c r="C541" s="79"/>
      <c r="D541" s="79"/>
      <c r="J541" s="79"/>
      <c r="O541" s="79"/>
      <c r="P541" s="79"/>
      <c r="S541" s="79"/>
      <c r="T541" s="79"/>
      <c r="W541" s="130"/>
      <c r="Y541" s="106"/>
    </row>
    <row r="542">
      <c r="C542" s="79"/>
      <c r="D542" s="79"/>
      <c r="J542" s="79"/>
      <c r="O542" s="79"/>
      <c r="P542" s="79"/>
      <c r="S542" s="79"/>
      <c r="T542" s="79"/>
      <c r="W542" s="130"/>
      <c r="Y542" s="106"/>
    </row>
    <row r="543">
      <c r="C543" s="79"/>
      <c r="D543" s="79"/>
      <c r="J543" s="79"/>
      <c r="O543" s="79"/>
      <c r="P543" s="79"/>
      <c r="S543" s="79"/>
      <c r="T543" s="79"/>
      <c r="W543" s="130"/>
      <c r="Y543" s="106"/>
    </row>
    <row r="544">
      <c r="C544" s="79"/>
      <c r="D544" s="79"/>
      <c r="J544" s="79"/>
      <c r="O544" s="79"/>
      <c r="P544" s="79"/>
      <c r="S544" s="79"/>
      <c r="T544" s="79"/>
      <c r="W544" s="130"/>
      <c r="Y544" s="106"/>
    </row>
    <row r="545">
      <c r="C545" s="79"/>
      <c r="D545" s="79"/>
      <c r="J545" s="79"/>
      <c r="O545" s="79"/>
      <c r="P545" s="79"/>
      <c r="S545" s="79"/>
      <c r="T545" s="79"/>
      <c r="W545" s="130"/>
      <c r="Y545" s="106"/>
    </row>
    <row r="546">
      <c r="C546" s="79"/>
      <c r="D546" s="79"/>
      <c r="J546" s="79"/>
      <c r="O546" s="79"/>
      <c r="P546" s="79"/>
      <c r="S546" s="79"/>
      <c r="T546" s="79"/>
      <c r="W546" s="130"/>
      <c r="Y546" s="106"/>
    </row>
    <row r="547">
      <c r="C547" s="79"/>
      <c r="D547" s="79"/>
      <c r="J547" s="79"/>
      <c r="O547" s="79"/>
      <c r="P547" s="79"/>
      <c r="S547" s="79"/>
      <c r="T547" s="79"/>
      <c r="W547" s="130"/>
      <c r="Y547" s="106"/>
    </row>
    <row r="548">
      <c r="C548" s="79"/>
      <c r="D548" s="79"/>
      <c r="J548" s="79"/>
      <c r="O548" s="79"/>
      <c r="P548" s="79"/>
      <c r="S548" s="79"/>
      <c r="T548" s="79"/>
      <c r="W548" s="130"/>
      <c r="Y548" s="106"/>
    </row>
    <row r="549">
      <c r="C549" s="79"/>
      <c r="D549" s="79"/>
      <c r="J549" s="79"/>
      <c r="O549" s="79"/>
      <c r="P549" s="79"/>
      <c r="S549" s="79"/>
      <c r="T549" s="79"/>
      <c r="W549" s="130"/>
      <c r="Y549" s="106"/>
    </row>
    <row r="550">
      <c r="C550" s="79"/>
      <c r="D550" s="79"/>
      <c r="J550" s="79"/>
      <c r="O550" s="79"/>
      <c r="P550" s="79"/>
      <c r="S550" s="79"/>
      <c r="T550" s="79"/>
      <c r="W550" s="130"/>
      <c r="Y550" s="106"/>
    </row>
    <row r="551">
      <c r="C551" s="79"/>
      <c r="D551" s="79"/>
      <c r="J551" s="79"/>
      <c r="O551" s="79"/>
      <c r="P551" s="79"/>
      <c r="S551" s="79"/>
      <c r="T551" s="79"/>
      <c r="W551" s="130"/>
      <c r="Y551" s="106"/>
    </row>
    <row r="552">
      <c r="C552" s="79"/>
      <c r="D552" s="79"/>
      <c r="J552" s="79"/>
      <c r="O552" s="79"/>
      <c r="P552" s="79"/>
      <c r="S552" s="79"/>
      <c r="T552" s="79"/>
      <c r="W552" s="130"/>
      <c r="Y552" s="106"/>
    </row>
    <row r="553">
      <c r="C553" s="79"/>
      <c r="D553" s="79"/>
      <c r="J553" s="79"/>
      <c r="O553" s="79"/>
      <c r="P553" s="79"/>
      <c r="S553" s="79"/>
      <c r="T553" s="79"/>
      <c r="W553" s="130"/>
      <c r="Y553" s="106"/>
    </row>
    <row r="554">
      <c r="C554" s="79"/>
      <c r="D554" s="79"/>
      <c r="J554" s="79"/>
      <c r="O554" s="79"/>
      <c r="P554" s="79"/>
      <c r="S554" s="79"/>
      <c r="T554" s="79"/>
      <c r="W554" s="130"/>
      <c r="Y554" s="106"/>
    </row>
    <row r="555">
      <c r="C555" s="79"/>
      <c r="D555" s="79"/>
      <c r="J555" s="79"/>
      <c r="O555" s="79"/>
      <c r="P555" s="79"/>
      <c r="S555" s="79"/>
      <c r="T555" s="79"/>
      <c r="W555" s="130"/>
      <c r="Y555" s="106"/>
    </row>
    <row r="556">
      <c r="C556" s="79"/>
      <c r="D556" s="79"/>
      <c r="J556" s="79"/>
      <c r="O556" s="79"/>
      <c r="P556" s="79"/>
      <c r="S556" s="79"/>
      <c r="T556" s="79"/>
      <c r="W556" s="130"/>
      <c r="Y556" s="106"/>
    </row>
    <row r="557">
      <c r="C557" s="79"/>
      <c r="D557" s="79"/>
      <c r="J557" s="79"/>
      <c r="O557" s="79"/>
      <c r="P557" s="79"/>
      <c r="S557" s="79"/>
      <c r="T557" s="79"/>
      <c r="W557" s="130"/>
      <c r="Y557" s="106"/>
    </row>
    <row r="558">
      <c r="C558" s="79"/>
      <c r="D558" s="79"/>
      <c r="J558" s="79"/>
      <c r="O558" s="79"/>
      <c r="P558" s="79"/>
      <c r="S558" s="79"/>
      <c r="T558" s="79"/>
      <c r="W558" s="130"/>
      <c r="Y558" s="106"/>
    </row>
    <row r="559">
      <c r="C559" s="79"/>
      <c r="D559" s="79"/>
      <c r="J559" s="79"/>
      <c r="O559" s="79"/>
      <c r="P559" s="79"/>
      <c r="S559" s="79"/>
      <c r="T559" s="79"/>
      <c r="W559" s="130"/>
      <c r="Y559" s="106"/>
    </row>
    <row r="560">
      <c r="C560" s="79"/>
      <c r="D560" s="79"/>
      <c r="J560" s="79"/>
      <c r="O560" s="79"/>
      <c r="P560" s="79"/>
      <c r="S560" s="79"/>
      <c r="T560" s="79"/>
      <c r="W560" s="130"/>
      <c r="Y560" s="106"/>
    </row>
    <row r="561">
      <c r="C561" s="79"/>
      <c r="D561" s="79"/>
      <c r="J561" s="79"/>
      <c r="O561" s="79"/>
      <c r="P561" s="79"/>
      <c r="S561" s="79"/>
      <c r="T561" s="79"/>
      <c r="W561" s="130"/>
      <c r="Y561" s="106"/>
    </row>
    <row r="562">
      <c r="C562" s="79"/>
      <c r="D562" s="79"/>
      <c r="J562" s="79"/>
      <c r="O562" s="79"/>
      <c r="P562" s="79"/>
      <c r="S562" s="79"/>
      <c r="T562" s="79"/>
      <c r="W562" s="130"/>
      <c r="Y562" s="106"/>
    </row>
    <row r="563">
      <c r="C563" s="79"/>
      <c r="D563" s="79"/>
      <c r="J563" s="79"/>
      <c r="O563" s="79"/>
      <c r="P563" s="79"/>
      <c r="S563" s="79"/>
      <c r="T563" s="79"/>
      <c r="W563" s="130"/>
      <c r="Y563" s="106"/>
    </row>
    <row r="564">
      <c r="C564" s="79"/>
      <c r="D564" s="79"/>
      <c r="J564" s="79"/>
      <c r="O564" s="79"/>
      <c r="P564" s="79"/>
      <c r="S564" s="79"/>
      <c r="T564" s="79"/>
      <c r="W564" s="130"/>
      <c r="Y564" s="106"/>
    </row>
    <row r="565">
      <c r="C565" s="79"/>
      <c r="D565" s="79"/>
      <c r="J565" s="79"/>
      <c r="O565" s="79"/>
      <c r="P565" s="79"/>
      <c r="S565" s="79"/>
      <c r="T565" s="79"/>
      <c r="W565" s="130"/>
      <c r="Y565" s="106"/>
    </row>
    <row r="566">
      <c r="C566" s="79"/>
      <c r="D566" s="79"/>
      <c r="J566" s="79"/>
      <c r="O566" s="79"/>
      <c r="P566" s="79"/>
      <c r="S566" s="79"/>
      <c r="T566" s="79"/>
      <c r="W566" s="130"/>
      <c r="Y566" s="106"/>
    </row>
    <row r="567">
      <c r="C567" s="79"/>
      <c r="D567" s="79"/>
      <c r="J567" s="79"/>
      <c r="O567" s="79"/>
      <c r="P567" s="79"/>
      <c r="S567" s="79"/>
      <c r="T567" s="79"/>
      <c r="W567" s="130"/>
      <c r="Y567" s="106"/>
    </row>
    <row r="568">
      <c r="C568" s="79"/>
      <c r="D568" s="79"/>
      <c r="J568" s="79"/>
      <c r="O568" s="79"/>
      <c r="P568" s="79"/>
      <c r="S568" s="79"/>
      <c r="T568" s="79"/>
      <c r="W568" s="130"/>
      <c r="Y568" s="106"/>
    </row>
    <row r="569">
      <c r="C569" s="79"/>
      <c r="D569" s="79"/>
      <c r="J569" s="79"/>
      <c r="O569" s="79"/>
      <c r="P569" s="79"/>
      <c r="S569" s="79"/>
      <c r="T569" s="79"/>
      <c r="W569" s="130"/>
      <c r="Y569" s="106"/>
    </row>
    <row r="570">
      <c r="C570" s="79"/>
      <c r="D570" s="79"/>
      <c r="J570" s="79"/>
      <c r="O570" s="79"/>
      <c r="P570" s="79"/>
      <c r="S570" s="79"/>
      <c r="T570" s="79"/>
      <c r="W570" s="130"/>
      <c r="Y570" s="106"/>
    </row>
    <row r="571">
      <c r="C571" s="79"/>
      <c r="D571" s="79"/>
      <c r="J571" s="79"/>
      <c r="O571" s="79"/>
      <c r="P571" s="79"/>
      <c r="S571" s="79"/>
      <c r="T571" s="79"/>
      <c r="W571" s="130"/>
      <c r="Y571" s="106"/>
    </row>
    <row r="572">
      <c r="C572" s="79"/>
      <c r="D572" s="79"/>
      <c r="J572" s="79"/>
      <c r="O572" s="79"/>
      <c r="P572" s="79"/>
      <c r="S572" s="79"/>
      <c r="T572" s="79"/>
      <c r="W572" s="130"/>
      <c r="Y572" s="106"/>
    </row>
    <row r="573">
      <c r="C573" s="79"/>
      <c r="D573" s="79"/>
      <c r="J573" s="79"/>
      <c r="O573" s="79"/>
      <c r="P573" s="79"/>
      <c r="S573" s="79"/>
      <c r="T573" s="79"/>
      <c r="W573" s="130"/>
      <c r="Y573" s="106"/>
    </row>
    <row r="574">
      <c r="C574" s="79"/>
      <c r="D574" s="79"/>
      <c r="J574" s="79"/>
      <c r="O574" s="79"/>
      <c r="P574" s="79"/>
      <c r="S574" s="79"/>
      <c r="T574" s="79"/>
      <c r="W574" s="130"/>
      <c r="Y574" s="106"/>
    </row>
    <row r="575">
      <c r="C575" s="79"/>
      <c r="D575" s="79"/>
      <c r="J575" s="79"/>
      <c r="O575" s="79"/>
      <c r="P575" s="79"/>
      <c r="S575" s="79"/>
      <c r="T575" s="79"/>
      <c r="W575" s="130"/>
      <c r="Y575" s="106"/>
    </row>
    <row r="576">
      <c r="C576" s="79"/>
      <c r="D576" s="79"/>
      <c r="J576" s="79"/>
      <c r="O576" s="79"/>
      <c r="P576" s="79"/>
      <c r="S576" s="79"/>
      <c r="T576" s="79"/>
      <c r="W576" s="130"/>
      <c r="Y576" s="106"/>
    </row>
    <row r="577">
      <c r="C577" s="79"/>
      <c r="D577" s="79"/>
      <c r="J577" s="79"/>
      <c r="O577" s="79"/>
      <c r="P577" s="79"/>
      <c r="S577" s="79"/>
      <c r="T577" s="79"/>
      <c r="W577" s="130"/>
      <c r="Y577" s="106"/>
    </row>
    <row r="578">
      <c r="C578" s="79"/>
      <c r="D578" s="79"/>
      <c r="J578" s="79"/>
      <c r="O578" s="79"/>
      <c r="P578" s="79"/>
      <c r="S578" s="79"/>
      <c r="T578" s="79"/>
      <c r="W578" s="130"/>
      <c r="Y578" s="106"/>
    </row>
    <row r="579">
      <c r="C579" s="79"/>
      <c r="D579" s="79"/>
      <c r="J579" s="79"/>
      <c r="O579" s="79"/>
      <c r="P579" s="79"/>
      <c r="S579" s="79"/>
      <c r="T579" s="79"/>
      <c r="W579" s="130"/>
      <c r="Y579" s="106"/>
    </row>
    <row r="580">
      <c r="C580" s="79"/>
      <c r="D580" s="79"/>
      <c r="J580" s="79"/>
      <c r="O580" s="79"/>
      <c r="P580" s="79"/>
      <c r="S580" s="79"/>
      <c r="T580" s="79"/>
      <c r="W580" s="130"/>
      <c r="Y580" s="106"/>
    </row>
    <row r="581">
      <c r="C581" s="79"/>
      <c r="D581" s="79"/>
      <c r="J581" s="79"/>
      <c r="O581" s="79"/>
      <c r="P581" s="79"/>
      <c r="S581" s="79"/>
      <c r="T581" s="79"/>
      <c r="W581" s="130"/>
      <c r="Y581" s="106"/>
    </row>
    <row r="582">
      <c r="C582" s="79"/>
      <c r="D582" s="79"/>
      <c r="J582" s="79"/>
      <c r="O582" s="79"/>
      <c r="P582" s="79"/>
      <c r="S582" s="79"/>
      <c r="T582" s="79"/>
      <c r="W582" s="130"/>
      <c r="Y582" s="106"/>
    </row>
    <row r="583">
      <c r="C583" s="79"/>
      <c r="D583" s="79"/>
      <c r="J583" s="79"/>
      <c r="O583" s="79"/>
      <c r="P583" s="79"/>
      <c r="S583" s="79"/>
      <c r="T583" s="79"/>
      <c r="W583" s="130"/>
      <c r="Y583" s="106"/>
    </row>
    <row r="584">
      <c r="C584" s="79"/>
      <c r="D584" s="79"/>
      <c r="J584" s="79"/>
      <c r="O584" s="79"/>
      <c r="P584" s="79"/>
      <c r="S584" s="79"/>
      <c r="T584" s="79"/>
      <c r="W584" s="130"/>
      <c r="Y584" s="106"/>
    </row>
    <row r="585">
      <c r="C585" s="79"/>
      <c r="D585" s="79"/>
      <c r="J585" s="79"/>
      <c r="O585" s="79"/>
      <c r="P585" s="79"/>
      <c r="S585" s="79"/>
      <c r="T585" s="79"/>
      <c r="W585" s="130"/>
      <c r="Y585" s="106"/>
    </row>
    <row r="586">
      <c r="C586" s="79"/>
      <c r="D586" s="79"/>
      <c r="J586" s="79"/>
      <c r="O586" s="79"/>
      <c r="P586" s="79"/>
      <c r="S586" s="79"/>
      <c r="T586" s="79"/>
      <c r="W586" s="130"/>
      <c r="Y586" s="106"/>
    </row>
    <row r="587">
      <c r="C587" s="79"/>
      <c r="D587" s="79"/>
      <c r="J587" s="79"/>
      <c r="O587" s="79"/>
      <c r="P587" s="79"/>
      <c r="S587" s="79"/>
      <c r="T587" s="79"/>
      <c r="W587" s="130"/>
      <c r="Y587" s="106"/>
    </row>
    <row r="588">
      <c r="C588" s="79"/>
      <c r="D588" s="79"/>
      <c r="J588" s="79"/>
      <c r="O588" s="79"/>
      <c r="P588" s="79"/>
      <c r="S588" s="79"/>
      <c r="T588" s="79"/>
      <c r="W588" s="130"/>
      <c r="Y588" s="106"/>
    </row>
    <row r="589">
      <c r="C589" s="79"/>
      <c r="D589" s="79"/>
      <c r="J589" s="79"/>
      <c r="O589" s="79"/>
      <c r="P589" s="79"/>
      <c r="S589" s="79"/>
      <c r="T589" s="79"/>
      <c r="W589" s="130"/>
      <c r="Y589" s="106"/>
    </row>
    <row r="590">
      <c r="C590" s="79"/>
      <c r="D590" s="79"/>
      <c r="J590" s="79"/>
      <c r="O590" s="79"/>
      <c r="P590" s="79"/>
      <c r="S590" s="79"/>
      <c r="T590" s="79"/>
      <c r="W590" s="130"/>
      <c r="Y590" s="106"/>
    </row>
    <row r="591">
      <c r="C591" s="79"/>
      <c r="D591" s="79"/>
      <c r="J591" s="79"/>
      <c r="O591" s="79"/>
      <c r="P591" s="79"/>
      <c r="S591" s="79"/>
      <c r="T591" s="79"/>
      <c r="W591" s="130"/>
      <c r="Y591" s="106"/>
    </row>
    <row r="592">
      <c r="C592" s="79"/>
      <c r="D592" s="79"/>
      <c r="J592" s="79"/>
      <c r="O592" s="79"/>
      <c r="P592" s="79"/>
      <c r="S592" s="79"/>
      <c r="T592" s="79"/>
      <c r="W592" s="130"/>
      <c r="Y592" s="106"/>
    </row>
    <row r="593">
      <c r="C593" s="79"/>
      <c r="D593" s="79"/>
      <c r="J593" s="79"/>
      <c r="O593" s="79"/>
      <c r="P593" s="79"/>
      <c r="S593" s="79"/>
      <c r="T593" s="79"/>
      <c r="W593" s="130"/>
      <c r="Y593" s="106"/>
    </row>
    <row r="594">
      <c r="C594" s="79"/>
      <c r="D594" s="79"/>
      <c r="J594" s="79"/>
      <c r="O594" s="79"/>
      <c r="P594" s="79"/>
      <c r="S594" s="79"/>
      <c r="T594" s="79"/>
      <c r="W594" s="130"/>
      <c r="Y594" s="106"/>
    </row>
    <row r="595">
      <c r="C595" s="79"/>
      <c r="D595" s="79"/>
      <c r="J595" s="79"/>
      <c r="O595" s="79"/>
      <c r="P595" s="79"/>
      <c r="S595" s="79"/>
      <c r="T595" s="79"/>
      <c r="W595" s="130"/>
      <c r="Y595" s="106"/>
    </row>
    <row r="596">
      <c r="C596" s="79"/>
      <c r="D596" s="79"/>
      <c r="J596" s="79"/>
      <c r="O596" s="79"/>
      <c r="P596" s="79"/>
      <c r="S596" s="79"/>
      <c r="T596" s="79"/>
      <c r="W596" s="130"/>
      <c r="Y596" s="106"/>
    </row>
    <row r="597">
      <c r="C597" s="79"/>
      <c r="D597" s="79"/>
      <c r="J597" s="79"/>
      <c r="O597" s="79"/>
      <c r="P597" s="79"/>
      <c r="S597" s="79"/>
      <c r="T597" s="79"/>
      <c r="W597" s="130"/>
      <c r="Y597" s="106"/>
    </row>
    <row r="598">
      <c r="C598" s="79"/>
      <c r="D598" s="79"/>
      <c r="J598" s="79"/>
      <c r="O598" s="79"/>
      <c r="P598" s="79"/>
      <c r="S598" s="79"/>
      <c r="T598" s="79"/>
      <c r="W598" s="130"/>
      <c r="Y598" s="106"/>
    </row>
    <row r="599">
      <c r="C599" s="79"/>
      <c r="D599" s="79"/>
      <c r="J599" s="79"/>
      <c r="O599" s="79"/>
      <c r="P599" s="79"/>
      <c r="S599" s="79"/>
      <c r="T599" s="79"/>
      <c r="W599" s="130"/>
      <c r="Y599" s="106"/>
    </row>
    <row r="600">
      <c r="C600" s="79"/>
      <c r="D600" s="79"/>
      <c r="J600" s="79"/>
      <c r="O600" s="79"/>
      <c r="P600" s="79"/>
      <c r="S600" s="79"/>
      <c r="T600" s="79"/>
      <c r="W600" s="130"/>
      <c r="Y600" s="106"/>
    </row>
    <row r="601">
      <c r="C601" s="79"/>
      <c r="D601" s="79"/>
      <c r="J601" s="79"/>
      <c r="O601" s="79"/>
      <c r="P601" s="79"/>
      <c r="S601" s="79"/>
      <c r="T601" s="79"/>
      <c r="W601" s="130"/>
      <c r="Y601" s="106"/>
    </row>
    <row r="602">
      <c r="C602" s="79"/>
      <c r="D602" s="79"/>
      <c r="J602" s="79"/>
      <c r="O602" s="79"/>
      <c r="P602" s="79"/>
      <c r="S602" s="79"/>
      <c r="T602" s="79"/>
      <c r="W602" s="130"/>
      <c r="Y602" s="106"/>
    </row>
    <row r="603">
      <c r="C603" s="79"/>
      <c r="D603" s="79"/>
      <c r="J603" s="79"/>
      <c r="O603" s="79"/>
      <c r="P603" s="79"/>
      <c r="S603" s="79"/>
      <c r="T603" s="79"/>
      <c r="W603" s="130"/>
      <c r="Y603" s="106"/>
    </row>
    <row r="604">
      <c r="C604" s="79"/>
      <c r="D604" s="79"/>
      <c r="J604" s="79"/>
      <c r="O604" s="79"/>
      <c r="P604" s="79"/>
      <c r="S604" s="79"/>
      <c r="T604" s="79"/>
      <c r="W604" s="130"/>
      <c r="Y604" s="106"/>
    </row>
    <row r="605">
      <c r="C605" s="79"/>
      <c r="D605" s="79"/>
      <c r="J605" s="79"/>
      <c r="O605" s="79"/>
      <c r="P605" s="79"/>
      <c r="S605" s="79"/>
      <c r="T605" s="79"/>
      <c r="W605" s="130"/>
      <c r="Y605" s="106"/>
    </row>
    <row r="606">
      <c r="C606" s="79"/>
      <c r="D606" s="79"/>
      <c r="J606" s="79"/>
      <c r="O606" s="79"/>
      <c r="P606" s="79"/>
      <c r="S606" s="79"/>
      <c r="T606" s="79"/>
      <c r="W606" s="130"/>
      <c r="Y606" s="106"/>
    </row>
    <row r="607">
      <c r="C607" s="79"/>
      <c r="D607" s="79"/>
      <c r="J607" s="79"/>
      <c r="O607" s="79"/>
      <c r="P607" s="79"/>
      <c r="S607" s="79"/>
      <c r="T607" s="79"/>
      <c r="W607" s="130"/>
      <c r="Y607" s="106"/>
    </row>
    <row r="608">
      <c r="C608" s="79"/>
      <c r="D608" s="79"/>
      <c r="J608" s="79"/>
      <c r="O608" s="79"/>
      <c r="P608" s="79"/>
      <c r="S608" s="79"/>
      <c r="T608" s="79"/>
      <c r="W608" s="130"/>
      <c r="Y608" s="106"/>
    </row>
    <row r="609">
      <c r="C609" s="79"/>
      <c r="D609" s="79"/>
      <c r="J609" s="79"/>
      <c r="O609" s="79"/>
      <c r="P609" s="79"/>
      <c r="S609" s="79"/>
      <c r="T609" s="79"/>
      <c r="W609" s="130"/>
      <c r="Y609" s="106"/>
    </row>
    <row r="610">
      <c r="C610" s="79"/>
      <c r="D610" s="79"/>
      <c r="J610" s="79"/>
      <c r="O610" s="79"/>
      <c r="P610" s="79"/>
      <c r="S610" s="79"/>
      <c r="T610" s="79"/>
      <c r="W610" s="130"/>
      <c r="Y610" s="106"/>
    </row>
    <row r="611">
      <c r="C611" s="79"/>
      <c r="D611" s="79"/>
      <c r="J611" s="79"/>
      <c r="O611" s="79"/>
      <c r="P611" s="79"/>
      <c r="S611" s="79"/>
      <c r="T611" s="79"/>
      <c r="W611" s="130"/>
      <c r="Y611" s="106"/>
    </row>
    <row r="612">
      <c r="C612" s="79"/>
      <c r="D612" s="79"/>
      <c r="J612" s="79"/>
      <c r="O612" s="79"/>
      <c r="P612" s="79"/>
      <c r="S612" s="79"/>
      <c r="T612" s="79"/>
      <c r="W612" s="130"/>
      <c r="Y612" s="106"/>
    </row>
    <row r="613">
      <c r="C613" s="79"/>
      <c r="D613" s="79"/>
      <c r="J613" s="79"/>
      <c r="O613" s="79"/>
      <c r="P613" s="79"/>
      <c r="S613" s="79"/>
      <c r="T613" s="79"/>
      <c r="W613" s="130"/>
      <c r="Y613" s="106"/>
    </row>
    <row r="614">
      <c r="C614" s="79"/>
      <c r="D614" s="79"/>
      <c r="J614" s="79"/>
      <c r="O614" s="79"/>
      <c r="P614" s="79"/>
      <c r="S614" s="79"/>
      <c r="T614" s="79"/>
      <c r="W614" s="130"/>
      <c r="Y614" s="106"/>
    </row>
    <row r="615">
      <c r="C615" s="79"/>
      <c r="D615" s="79"/>
      <c r="J615" s="79"/>
      <c r="O615" s="79"/>
      <c r="P615" s="79"/>
      <c r="S615" s="79"/>
      <c r="T615" s="79"/>
      <c r="W615" s="130"/>
      <c r="Y615" s="106"/>
    </row>
    <row r="616">
      <c r="C616" s="79"/>
      <c r="D616" s="79"/>
      <c r="J616" s="79"/>
      <c r="O616" s="79"/>
      <c r="P616" s="79"/>
      <c r="S616" s="79"/>
      <c r="T616" s="79"/>
      <c r="W616" s="130"/>
      <c r="Y616" s="106"/>
    </row>
    <row r="617">
      <c r="C617" s="79"/>
      <c r="D617" s="79"/>
      <c r="J617" s="79"/>
      <c r="O617" s="79"/>
      <c r="P617" s="79"/>
      <c r="S617" s="79"/>
      <c r="T617" s="79"/>
      <c r="W617" s="130"/>
      <c r="Y617" s="106"/>
    </row>
    <row r="618">
      <c r="C618" s="79"/>
      <c r="D618" s="79"/>
      <c r="J618" s="79"/>
      <c r="O618" s="79"/>
      <c r="P618" s="79"/>
      <c r="S618" s="79"/>
      <c r="T618" s="79"/>
      <c r="W618" s="130"/>
      <c r="Y618" s="106"/>
    </row>
    <row r="619">
      <c r="C619" s="79"/>
      <c r="D619" s="79"/>
      <c r="J619" s="79"/>
      <c r="O619" s="79"/>
      <c r="P619" s="79"/>
      <c r="S619" s="79"/>
      <c r="T619" s="79"/>
      <c r="W619" s="130"/>
      <c r="Y619" s="106"/>
    </row>
    <row r="620">
      <c r="C620" s="79"/>
      <c r="D620" s="79"/>
      <c r="J620" s="79"/>
      <c r="O620" s="79"/>
      <c r="P620" s="79"/>
      <c r="S620" s="79"/>
      <c r="T620" s="79"/>
      <c r="W620" s="130"/>
      <c r="Y620" s="106"/>
    </row>
    <row r="621">
      <c r="C621" s="79"/>
      <c r="D621" s="79"/>
      <c r="J621" s="79"/>
      <c r="O621" s="79"/>
      <c r="P621" s="79"/>
      <c r="S621" s="79"/>
      <c r="T621" s="79"/>
      <c r="W621" s="130"/>
      <c r="Y621" s="106"/>
    </row>
    <row r="622">
      <c r="C622" s="79"/>
      <c r="D622" s="79"/>
      <c r="J622" s="79"/>
      <c r="O622" s="79"/>
      <c r="P622" s="79"/>
      <c r="S622" s="79"/>
      <c r="T622" s="79"/>
      <c r="W622" s="130"/>
      <c r="Y622" s="106"/>
    </row>
    <row r="623">
      <c r="C623" s="79"/>
      <c r="D623" s="79"/>
      <c r="J623" s="79"/>
      <c r="O623" s="79"/>
      <c r="P623" s="79"/>
      <c r="S623" s="79"/>
      <c r="T623" s="79"/>
      <c r="W623" s="130"/>
      <c r="Y623" s="106"/>
    </row>
    <row r="624">
      <c r="C624" s="79"/>
      <c r="D624" s="79"/>
      <c r="J624" s="79"/>
      <c r="O624" s="79"/>
      <c r="P624" s="79"/>
      <c r="S624" s="79"/>
      <c r="T624" s="79"/>
      <c r="W624" s="130"/>
      <c r="Y624" s="106"/>
    </row>
    <row r="625">
      <c r="C625" s="79"/>
      <c r="D625" s="79"/>
      <c r="J625" s="79"/>
      <c r="O625" s="79"/>
      <c r="P625" s="79"/>
      <c r="S625" s="79"/>
      <c r="T625" s="79"/>
      <c r="W625" s="130"/>
      <c r="Y625" s="106"/>
    </row>
    <row r="626">
      <c r="C626" s="79"/>
      <c r="D626" s="79"/>
      <c r="J626" s="79"/>
      <c r="O626" s="79"/>
      <c r="P626" s="79"/>
      <c r="S626" s="79"/>
      <c r="T626" s="79"/>
      <c r="W626" s="130"/>
      <c r="Y626" s="106"/>
    </row>
    <row r="627">
      <c r="C627" s="79"/>
      <c r="D627" s="79"/>
      <c r="J627" s="79"/>
      <c r="O627" s="79"/>
      <c r="P627" s="79"/>
      <c r="S627" s="79"/>
      <c r="T627" s="79"/>
      <c r="W627" s="130"/>
      <c r="Y627" s="106"/>
    </row>
    <row r="628">
      <c r="C628" s="79"/>
      <c r="D628" s="79"/>
      <c r="J628" s="79"/>
      <c r="O628" s="79"/>
      <c r="P628" s="79"/>
      <c r="S628" s="79"/>
      <c r="T628" s="79"/>
      <c r="W628" s="130"/>
      <c r="Y628" s="106"/>
    </row>
    <row r="629">
      <c r="C629" s="79"/>
      <c r="D629" s="79"/>
      <c r="J629" s="79"/>
      <c r="O629" s="79"/>
      <c r="P629" s="79"/>
      <c r="S629" s="79"/>
      <c r="T629" s="79"/>
      <c r="W629" s="130"/>
      <c r="Y629" s="106"/>
    </row>
    <row r="630">
      <c r="C630" s="79"/>
      <c r="D630" s="79"/>
      <c r="J630" s="79"/>
      <c r="O630" s="79"/>
      <c r="P630" s="79"/>
      <c r="S630" s="79"/>
      <c r="T630" s="79"/>
      <c r="W630" s="130"/>
      <c r="Y630" s="106"/>
    </row>
    <row r="631">
      <c r="C631" s="79"/>
      <c r="D631" s="79"/>
      <c r="J631" s="79"/>
      <c r="O631" s="79"/>
      <c r="P631" s="79"/>
      <c r="S631" s="79"/>
      <c r="T631" s="79"/>
      <c r="W631" s="130"/>
      <c r="Y631" s="106"/>
    </row>
    <row r="632">
      <c r="C632" s="79"/>
      <c r="D632" s="79"/>
      <c r="J632" s="79"/>
      <c r="O632" s="79"/>
      <c r="P632" s="79"/>
      <c r="S632" s="79"/>
      <c r="T632" s="79"/>
      <c r="W632" s="130"/>
      <c r="Y632" s="106"/>
    </row>
    <row r="633">
      <c r="C633" s="79"/>
      <c r="D633" s="79"/>
      <c r="J633" s="79"/>
      <c r="O633" s="79"/>
      <c r="P633" s="79"/>
      <c r="S633" s="79"/>
      <c r="T633" s="79"/>
      <c r="W633" s="130"/>
      <c r="Y633" s="106"/>
    </row>
    <row r="634">
      <c r="C634" s="79"/>
      <c r="D634" s="79"/>
      <c r="J634" s="79"/>
      <c r="O634" s="79"/>
      <c r="P634" s="79"/>
      <c r="S634" s="79"/>
      <c r="T634" s="79"/>
      <c r="W634" s="130"/>
      <c r="Y634" s="106"/>
    </row>
    <row r="635">
      <c r="C635" s="79"/>
      <c r="D635" s="79"/>
      <c r="J635" s="79"/>
      <c r="O635" s="79"/>
      <c r="P635" s="79"/>
      <c r="S635" s="79"/>
      <c r="T635" s="79"/>
      <c r="W635" s="130"/>
      <c r="Y635" s="106"/>
    </row>
    <row r="636">
      <c r="C636" s="79"/>
      <c r="D636" s="79"/>
      <c r="J636" s="79"/>
      <c r="O636" s="79"/>
      <c r="P636" s="79"/>
      <c r="S636" s="79"/>
      <c r="T636" s="79"/>
      <c r="W636" s="130"/>
      <c r="Y636" s="106"/>
    </row>
    <row r="637">
      <c r="C637" s="79"/>
      <c r="D637" s="79"/>
      <c r="J637" s="79"/>
      <c r="O637" s="79"/>
      <c r="P637" s="79"/>
      <c r="S637" s="79"/>
      <c r="T637" s="79"/>
      <c r="W637" s="130"/>
      <c r="Y637" s="106"/>
    </row>
    <row r="638">
      <c r="C638" s="79"/>
      <c r="D638" s="79"/>
      <c r="J638" s="79"/>
      <c r="O638" s="79"/>
      <c r="P638" s="79"/>
      <c r="S638" s="79"/>
      <c r="T638" s="79"/>
      <c r="W638" s="130"/>
      <c r="Y638" s="106"/>
    </row>
    <row r="639">
      <c r="C639" s="79"/>
      <c r="D639" s="79"/>
      <c r="J639" s="79"/>
      <c r="O639" s="79"/>
      <c r="P639" s="79"/>
      <c r="S639" s="79"/>
      <c r="T639" s="79"/>
      <c r="W639" s="130"/>
      <c r="Y639" s="106"/>
    </row>
    <row r="640">
      <c r="C640" s="79"/>
      <c r="D640" s="79"/>
      <c r="J640" s="79"/>
      <c r="O640" s="79"/>
      <c r="P640" s="79"/>
      <c r="S640" s="79"/>
      <c r="T640" s="79"/>
      <c r="W640" s="130"/>
      <c r="Y640" s="106"/>
    </row>
    <row r="641">
      <c r="C641" s="79"/>
      <c r="D641" s="79"/>
      <c r="J641" s="79"/>
      <c r="O641" s="79"/>
      <c r="P641" s="79"/>
      <c r="S641" s="79"/>
      <c r="T641" s="79"/>
      <c r="W641" s="130"/>
      <c r="Y641" s="106"/>
    </row>
    <row r="642">
      <c r="C642" s="79"/>
      <c r="D642" s="79"/>
      <c r="J642" s="79"/>
      <c r="O642" s="79"/>
      <c r="P642" s="79"/>
      <c r="S642" s="79"/>
      <c r="T642" s="79"/>
      <c r="W642" s="130"/>
      <c r="Y642" s="106"/>
    </row>
    <row r="643">
      <c r="C643" s="79"/>
      <c r="D643" s="79"/>
      <c r="J643" s="79"/>
      <c r="O643" s="79"/>
      <c r="P643" s="79"/>
      <c r="S643" s="79"/>
      <c r="T643" s="79"/>
      <c r="W643" s="130"/>
      <c r="Y643" s="106"/>
    </row>
    <row r="644">
      <c r="C644" s="79"/>
      <c r="D644" s="79"/>
      <c r="J644" s="79"/>
      <c r="O644" s="79"/>
      <c r="P644" s="79"/>
      <c r="S644" s="79"/>
      <c r="T644" s="79"/>
      <c r="W644" s="130"/>
      <c r="Y644" s="106"/>
    </row>
    <row r="645">
      <c r="C645" s="79"/>
      <c r="D645" s="79"/>
      <c r="J645" s="79"/>
      <c r="O645" s="79"/>
      <c r="P645" s="79"/>
      <c r="S645" s="79"/>
      <c r="T645" s="79"/>
      <c r="W645" s="130"/>
      <c r="Y645" s="106"/>
    </row>
    <row r="646">
      <c r="C646" s="79"/>
      <c r="D646" s="79"/>
      <c r="J646" s="79"/>
      <c r="O646" s="79"/>
      <c r="P646" s="79"/>
      <c r="S646" s="79"/>
      <c r="T646" s="79"/>
      <c r="W646" s="130"/>
      <c r="Y646" s="106"/>
    </row>
    <row r="647">
      <c r="C647" s="79"/>
      <c r="D647" s="79"/>
      <c r="J647" s="79"/>
      <c r="O647" s="79"/>
      <c r="P647" s="79"/>
      <c r="S647" s="79"/>
      <c r="T647" s="79"/>
      <c r="W647" s="130"/>
      <c r="Y647" s="106"/>
    </row>
    <row r="648">
      <c r="C648" s="79"/>
      <c r="D648" s="79"/>
      <c r="J648" s="79"/>
      <c r="O648" s="79"/>
      <c r="P648" s="79"/>
      <c r="S648" s="79"/>
      <c r="T648" s="79"/>
      <c r="W648" s="130"/>
      <c r="Y648" s="106"/>
    </row>
    <row r="649">
      <c r="C649" s="79"/>
      <c r="D649" s="79"/>
      <c r="J649" s="79"/>
      <c r="O649" s="79"/>
      <c r="P649" s="79"/>
      <c r="S649" s="79"/>
      <c r="T649" s="79"/>
      <c r="W649" s="130"/>
      <c r="Y649" s="106"/>
    </row>
    <row r="650">
      <c r="C650" s="79"/>
      <c r="D650" s="79"/>
      <c r="J650" s="79"/>
      <c r="O650" s="79"/>
      <c r="P650" s="79"/>
      <c r="S650" s="79"/>
      <c r="T650" s="79"/>
      <c r="W650" s="130"/>
      <c r="Y650" s="106"/>
    </row>
    <row r="651">
      <c r="C651" s="79"/>
      <c r="D651" s="79"/>
      <c r="J651" s="79"/>
      <c r="O651" s="79"/>
      <c r="P651" s="79"/>
      <c r="S651" s="79"/>
      <c r="T651" s="79"/>
      <c r="W651" s="130"/>
      <c r="Y651" s="106"/>
    </row>
    <row r="652">
      <c r="C652" s="79"/>
      <c r="D652" s="79"/>
      <c r="J652" s="79"/>
      <c r="O652" s="79"/>
      <c r="P652" s="79"/>
      <c r="S652" s="79"/>
      <c r="T652" s="79"/>
      <c r="W652" s="130"/>
      <c r="Y652" s="106"/>
    </row>
    <row r="653">
      <c r="C653" s="79"/>
      <c r="D653" s="79"/>
      <c r="J653" s="79"/>
      <c r="O653" s="79"/>
      <c r="P653" s="79"/>
      <c r="S653" s="79"/>
      <c r="T653" s="79"/>
      <c r="W653" s="130"/>
      <c r="Y653" s="106"/>
    </row>
    <row r="654">
      <c r="C654" s="79"/>
      <c r="D654" s="79"/>
      <c r="J654" s="79"/>
      <c r="O654" s="79"/>
      <c r="P654" s="79"/>
      <c r="S654" s="79"/>
      <c r="T654" s="79"/>
      <c r="W654" s="130"/>
      <c r="Y654" s="106"/>
    </row>
    <row r="655">
      <c r="C655" s="79"/>
      <c r="D655" s="79"/>
      <c r="J655" s="79"/>
      <c r="O655" s="79"/>
      <c r="P655" s="79"/>
      <c r="S655" s="79"/>
      <c r="T655" s="79"/>
      <c r="W655" s="130"/>
      <c r="Y655" s="106"/>
    </row>
    <row r="656">
      <c r="C656" s="79"/>
      <c r="D656" s="79"/>
      <c r="J656" s="79"/>
      <c r="O656" s="79"/>
      <c r="P656" s="79"/>
      <c r="S656" s="79"/>
      <c r="T656" s="79"/>
      <c r="W656" s="130"/>
      <c r="Y656" s="106"/>
    </row>
    <row r="657">
      <c r="C657" s="79"/>
      <c r="D657" s="79"/>
      <c r="J657" s="79"/>
      <c r="O657" s="79"/>
      <c r="P657" s="79"/>
      <c r="S657" s="79"/>
      <c r="T657" s="79"/>
      <c r="W657" s="130"/>
      <c r="Y657" s="106"/>
    </row>
    <row r="658">
      <c r="C658" s="79"/>
      <c r="D658" s="79"/>
      <c r="J658" s="79"/>
      <c r="O658" s="79"/>
      <c r="P658" s="79"/>
      <c r="S658" s="79"/>
      <c r="T658" s="79"/>
      <c r="W658" s="130"/>
      <c r="Y658" s="106"/>
    </row>
    <row r="659">
      <c r="C659" s="79"/>
      <c r="D659" s="79"/>
      <c r="J659" s="79"/>
      <c r="O659" s="79"/>
      <c r="P659" s="79"/>
      <c r="S659" s="79"/>
      <c r="T659" s="79"/>
      <c r="W659" s="130"/>
      <c r="Y659" s="106"/>
    </row>
    <row r="660">
      <c r="C660" s="79"/>
      <c r="D660" s="79"/>
      <c r="J660" s="79"/>
      <c r="O660" s="79"/>
      <c r="P660" s="79"/>
      <c r="S660" s="79"/>
      <c r="T660" s="79"/>
      <c r="W660" s="130"/>
      <c r="Y660" s="106"/>
    </row>
    <row r="661">
      <c r="C661" s="79"/>
      <c r="D661" s="79"/>
      <c r="J661" s="79"/>
      <c r="O661" s="79"/>
      <c r="P661" s="79"/>
      <c r="S661" s="79"/>
      <c r="T661" s="79"/>
      <c r="W661" s="130"/>
      <c r="Y661" s="106"/>
    </row>
    <row r="662">
      <c r="C662" s="79"/>
      <c r="D662" s="79"/>
      <c r="J662" s="79"/>
      <c r="O662" s="79"/>
      <c r="P662" s="79"/>
      <c r="S662" s="79"/>
      <c r="T662" s="79"/>
      <c r="W662" s="130"/>
      <c r="Y662" s="106"/>
    </row>
    <row r="663">
      <c r="C663" s="79"/>
      <c r="D663" s="79"/>
      <c r="J663" s="79"/>
      <c r="O663" s="79"/>
      <c r="P663" s="79"/>
      <c r="S663" s="79"/>
      <c r="T663" s="79"/>
      <c r="W663" s="130"/>
      <c r="Y663" s="106"/>
    </row>
    <row r="664">
      <c r="C664" s="79"/>
      <c r="D664" s="79"/>
      <c r="J664" s="79"/>
      <c r="O664" s="79"/>
      <c r="P664" s="79"/>
      <c r="S664" s="79"/>
      <c r="T664" s="79"/>
      <c r="W664" s="130"/>
      <c r="Y664" s="106"/>
    </row>
    <row r="665">
      <c r="C665" s="79"/>
      <c r="D665" s="79"/>
      <c r="J665" s="79"/>
      <c r="O665" s="79"/>
      <c r="P665" s="79"/>
      <c r="S665" s="79"/>
      <c r="T665" s="79"/>
      <c r="W665" s="130"/>
      <c r="Y665" s="106"/>
    </row>
    <row r="666">
      <c r="C666" s="79"/>
      <c r="D666" s="79"/>
      <c r="J666" s="79"/>
      <c r="O666" s="79"/>
      <c r="P666" s="79"/>
      <c r="S666" s="79"/>
      <c r="T666" s="79"/>
      <c r="W666" s="130"/>
      <c r="Y666" s="106"/>
    </row>
    <row r="667">
      <c r="C667" s="79"/>
      <c r="D667" s="79"/>
      <c r="J667" s="79"/>
      <c r="O667" s="79"/>
      <c r="P667" s="79"/>
      <c r="S667" s="79"/>
      <c r="T667" s="79"/>
      <c r="W667" s="130"/>
      <c r="Y667" s="106"/>
    </row>
    <row r="668">
      <c r="C668" s="79"/>
      <c r="D668" s="79"/>
      <c r="J668" s="79"/>
      <c r="O668" s="79"/>
      <c r="P668" s="79"/>
      <c r="S668" s="79"/>
      <c r="T668" s="79"/>
      <c r="W668" s="130"/>
      <c r="Y668" s="106"/>
    </row>
    <row r="669">
      <c r="C669" s="79"/>
      <c r="D669" s="79"/>
      <c r="J669" s="79"/>
      <c r="O669" s="79"/>
      <c r="P669" s="79"/>
      <c r="S669" s="79"/>
      <c r="T669" s="79"/>
      <c r="W669" s="130"/>
      <c r="Y669" s="106"/>
    </row>
    <row r="670">
      <c r="C670" s="79"/>
      <c r="D670" s="79"/>
      <c r="J670" s="79"/>
      <c r="O670" s="79"/>
      <c r="P670" s="79"/>
      <c r="S670" s="79"/>
      <c r="T670" s="79"/>
      <c r="W670" s="130"/>
      <c r="Y670" s="106"/>
    </row>
    <row r="671">
      <c r="C671" s="79"/>
      <c r="D671" s="79"/>
      <c r="J671" s="79"/>
      <c r="O671" s="79"/>
      <c r="P671" s="79"/>
      <c r="S671" s="79"/>
      <c r="T671" s="79"/>
      <c r="W671" s="130"/>
      <c r="Y671" s="106"/>
    </row>
    <row r="672">
      <c r="C672" s="79"/>
      <c r="D672" s="79"/>
      <c r="J672" s="79"/>
      <c r="O672" s="79"/>
      <c r="P672" s="79"/>
      <c r="S672" s="79"/>
      <c r="T672" s="79"/>
      <c r="W672" s="130"/>
      <c r="Y672" s="106"/>
    </row>
    <row r="673">
      <c r="C673" s="79"/>
      <c r="D673" s="79"/>
      <c r="J673" s="79"/>
      <c r="O673" s="79"/>
      <c r="P673" s="79"/>
      <c r="S673" s="79"/>
      <c r="T673" s="79"/>
      <c r="W673" s="130"/>
      <c r="Y673" s="106"/>
    </row>
    <row r="674">
      <c r="C674" s="79"/>
      <c r="D674" s="79"/>
      <c r="J674" s="79"/>
      <c r="O674" s="79"/>
      <c r="P674" s="79"/>
      <c r="S674" s="79"/>
      <c r="T674" s="79"/>
      <c r="W674" s="130"/>
      <c r="Y674" s="106"/>
    </row>
    <row r="675">
      <c r="C675" s="79"/>
      <c r="D675" s="79"/>
      <c r="J675" s="79"/>
      <c r="O675" s="79"/>
      <c r="P675" s="79"/>
      <c r="S675" s="79"/>
      <c r="T675" s="79"/>
      <c r="W675" s="130"/>
      <c r="Y675" s="106"/>
    </row>
    <row r="676">
      <c r="C676" s="79"/>
      <c r="D676" s="79"/>
      <c r="J676" s="79"/>
      <c r="O676" s="79"/>
      <c r="P676" s="79"/>
      <c r="S676" s="79"/>
      <c r="T676" s="79"/>
      <c r="W676" s="130"/>
      <c r="Y676" s="106"/>
    </row>
    <row r="677">
      <c r="C677" s="79"/>
      <c r="D677" s="79"/>
      <c r="J677" s="79"/>
      <c r="O677" s="79"/>
      <c r="P677" s="79"/>
      <c r="S677" s="79"/>
      <c r="T677" s="79"/>
      <c r="W677" s="130"/>
      <c r="Y677" s="106"/>
    </row>
    <row r="678">
      <c r="C678" s="79"/>
      <c r="D678" s="79"/>
      <c r="J678" s="79"/>
      <c r="O678" s="79"/>
      <c r="P678" s="79"/>
      <c r="S678" s="79"/>
      <c r="T678" s="79"/>
      <c r="W678" s="130"/>
      <c r="Y678" s="106"/>
    </row>
    <row r="679">
      <c r="C679" s="79"/>
      <c r="D679" s="79"/>
      <c r="J679" s="79"/>
      <c r="O679" s="79"/>
      <c r="P679" s="79"/>
      <c r="S679" s="79"/>
      <c r="T679" s="79"/>
      <c r="W679" s="130"/>
      <c r="Y679" s="106"/>
    </row>
    <row r="680">
      <c r="C680" s="79"/>
      <c r="D680" s="79"/>
      <c r="J680" s="79"/>
      <c r="O680" s="79"/>
      <c r="P680" s="79"/>
      <c r="S680" s="79"/>
      <c r="T680" s="79"/>
      <c r="W680" s="130"/>
      <c r="Y680" s="106"/>
    </row>
    <row r="681">
      <c r="C681" s="79"/>
      <c r="D681" s="79"/>
      <c r="J681" s="79"/>
      <c r="O681" s="79"/>
      <c r="P681" s="79"/>
      <c r="S681" s="79"/>
      <c r="T681" s="79"/>
      <c r="W681" s="130"/>
      <c r="Y681" s="106"/>
    </row>
    <row r="682">
      <c r="C682" s="79"/>
      <c r="D682" s="79"/>
      <c r="J682" s="79"/>
      <c r="O682" s="79"/>
      <c r="P682" s="79"/>
      <c r="S682" s="79"/>
      <c r="T682" s="79"/>
      <c r="W682" s="130"/>
      <c r="Y682" s="106"/>
    </row>
    <row r="683">
      <c r="C683" s="79"/>
      <c r="D683" s="79"/>
      <c r="J683" s="79"/>
      <c r="O683" s="79"/>
      <c r="P683" s="79"/>
      <c r="S683" s="79"/>
      <c r="T683" s="79"/>
      <c r="W683" s="130"/>
      <c r="Y683" s="106"/>
    </row>
    <row r="684">
      <c r="C684" s="79"/>
      <c r="D684" s="79"/>
      <c r="J684" s="79"/>
      <c r="O684" s="79"/>
      <c r="P684" s="79"/>
      <c r="S684" s="79"/>
      <c r="T684" s="79"/>
      <c r="W684" s="130"/>
      <c r="Y684" s="106"/>
    </row>
    <row r="685">
      <c r="C685" s="79"/>
      <c r="D685" s="79"/>
      <c r="J685" s="79"/>
      <c r="O685" s="79"/>
      <c r="P685" s="79"/>
      <c r="S685" s="79"/>
      <c r="T685" s="79"/>
      <c r="W685" s="130"/>
      <c r="Y685" s="106"/>
    </row>
    <row r="686">
      <c r="C686" s="79"/>
      <c r="D686" s="79"/>
      <c r="J686" s="79"/>
      <c r="O686" s="79"/>
      <c r="P686" s="79"/>
      <c r="S686" s="79"/>
      <c r="T686" s="79"/>
      <c r="W686" s="130"/>
      <c r="Y686" s="106"/>
    </row>
    <row r="687">
      <c r="C687" s="79"/>
      <c r="D687" s="79"/>
      <c r="J687" s="79"/>
      <c r="O687" s="79"/>
      <c r="P687" s="79"/>
      <c r="S687" s="79"/>
      <c r="T687" s="79"/>
      <c r="W687" s="130"/>
      <c r="Y687" s="106"/>
    </row>
    <row r="688">
      <c r="C688" s="79"/>
      <c r="D688" s="79"/>
      <c r="J688" s="79"/>
      <c r="O688" s="79"/>
      <c r="P688" s="79"/>
      <c r="S688" s="79"/>
      <c r="T688" s="79"/>
      <c r="W688" s="130"/>
      <c r="Y688" s="106"/>
    </row>
    <row r="689">
      <c r="C689" s="79"/>
      <c r="D689" s="79"/>
      <c r="J689" s="79"/>
      <c r="O689" s="79"/>
      <c r="P689" s="79"/>
      <c r="S689" s="79"/>
      <c r="T689" s="79"/>
      <c r="W689" s="130"/>
      <c r="Y689" s="106"/>
    </row>
    <row r="690">
      <c r="C690" s="79"/>
      <c r="D690" s="79"/>
      <c r="J690" s="79"/>
      <c r="O690" s="79"/>
      <c r="P690" s="79"/>
      <c r="S690" s="79"/>
      <c r="T690" s="79"/>
      <c r="W690" s="130"/>
      <c r="Y690" s="106"/>
    </row>
    <row r="691">
      <c r="C691" s="79"/>
      <c r="D691" s="79"/>
      <c r="J691" s="79"/>
      <c r="O691" s="79"/>
      <c r="P691" s="79"/>
      <c r="S691" s="79"/>
      <c r="T691" s="79"/>
      <c r="W691" s="130"/>
      <c r="Y691" s="106"/>
    </row>
    <row r="692">
      <c r="C692" s="79"/>
      <c r="D692" s="79"/>
      <c r="J692" s="79"/>
      <c r="O692" s="79"/>
      <c r="P692" s="79"/>
      <c r="S692" s="79"/>
      <c r="T692" s="79"/>
      <c r="W692" s="130"/>
      <c r="Y692" s="106"/>
    </row>
    <row r="693">
      <c r="C693" s="79"/>
      <c r="D693" s="79"/>
      <c r="J693" s="79"/>
      <c r="O693" s="79"/>
      <c r="P693" s="79"/>
      <c r="S693" s="79"/>
      <c r="T693" s="79"/>
      <c r="W693" s="130"/>
      <c r="Y693" s="106"/>
    </row>
    <row r="694">
      <c r="C694" s="79"/>
      <c r="D694" s="79"/>
      <c r="J694" s="79"/>
      <c r="O694" s="79"/>
      <c r="P694" s="79"/>
      <c r="S694" s="79"/>
      <c r="T694" s="79"/>
      <c r="W694" s="130"/>
      <c r="Y694" s="106"/>
    </row>
    <row r="695">
      <c r="C695" s="79"/>
      <c r="D695" s="79"/>
      <c r="J695" s="79"/>
      <c r="O695" s="79"/>
      <c r="P695" s="79"/>
      <c r="S695" s="79"/>
      <c r="T695" s="79"/>
      <c r="W695" s="130"/>
      <c r="Y695" s="106"/>
    </row>
    <row r="696">
      <c r="C696" s="79"/>
      <c r="D696" s="79"/>
      <c r="J696" s="79"/>
      <c r="O696" s="79"/>
      <c r="P696" s="79"/>
      <c r="S696" s="79"/>
      <c r="T696" s="79"/>
      <c r="W696" s="130"/>
      <c r="Y696" s="106"/>
    </row>
    <row r="697">
      <c r="C697" s="79"/>
      <c r="D697" s="79"/>
      <c r="J697" s="79"/>
      <c r="O697" s="79"/>
      <c r="P697" s="79"/>
      <c r="S697" s="79"/>
      <c r="T697" s="79"/>
      <c r="W697" s="130"/>
      <c r="Y697" s="106"/>
    </row>
    <row r="698">
      <c r="C698" s="79"/>
      <c r="D698" s="79"/>
      <c r="J698" s="79"/>
      <c r="O698" s="79"/>
      <c r="P698" s="79"/>
      <c r="S698" s="79"/>
      <c r="T698" s="79"/>
      <c r="W698" s="130"/>
      <c r="Y698" s="106"/>
    </row>
    <row r="699">
      <c r="C699" s="79"/>
      <c r="D699" s="79"/>
      <c r="J699" s="79"/>
      <c r="O699" s="79"/>
      <c r="P699" s="79"/>
      <c r="S699" s="79"/>
      <c r="T699" s="79"/>
      <c r="W699" s="130"/>
      <c r="Y699" s="106"/>
    </row>
    <row r="700">
      <c r="C700" s="79"/>
      <c r="D700" s="79"/>
      <c r="J700" s="79"/>
      <c r="O700" s="79"/>
      <c r="P700" s="79"/>
      <c r="S700" s="79"/>
      <c r="T700" s="79"/>
      <c r="W700" s="130"/>
      <c r="Y700" s="106"/>
    </row>
    <row r="701">
      <c r="C701" s="79"/>
      <c r="D701" s="79"/>
      <c r="J701" s="79"/>
      <c r="O701" s="79"/>
      <c r="P701" s="79"/>
      <c r="S701" s="79"/>
      <c r="T701" s="79"/>
      <c r="W701" s="130"/>
      <c r="Y701" s="106"/>
    </row>
    <row r="702">
      <c r="C702" s="79"/>
      <c r="D702" s="79"/>
      <c r="J702" s="79"/>
      <c r="O702" s="79"/>
      <c r="P702" s="79"/>
      <c r="S702" s="79"/>
      <c r="T702" s="79"/>
      <c r="W702" s="130"/>
      <c r="Y702" s="106"/>
    </row>
    <row r="703">
      <c r="C703" s="79"/>
      <c r="D703" s="79"/>
      <c r="J703" s="79"/>
      <c r="O703" s="79"/>
      <c r="P703" s="79"/>
      <c r="S703" s="79"/>
      <c r="T703" s="79"/>
      <c r="W703" s="130"/>
      <c r="Y703" s="106"/>
    </row>
    <row r="704">
      <c r="C704" s="79"/>
      <c r="D704" s="79"/>
      <c r="J704" s="79"/>
      <c r="O704" s="79"/>
      <c r="P704" s="79"/>
      <c r="S704" s="79"/>
      <c r="T704" s="79"/>
      <c r="W704" s="130"/>
      <c r="Y704" s="106"/>
    </row>
    <row r="705">
      <c r="C705" s="79"/>
      <c r="D705" s="79"/>
      <c r="J705" s="79"/>
      <c r="O705" s="79"/>
      <c r="P705" s="79"/>
      <c r="S705" s="79"/>
      <c r="T705" s="79"/>
      <c r="W705" s="130"/>
      <c r="Y705" s="106"/>
    </row>
    <row r="706">
      <c r="C706" s="79"/>
      <c r="D706" s="79"/>
      <c r="J706" s="79"/>
      <c r="O706" s="79"/>
      <c r="P706" s="79"/>
      <c r="S706" s="79"/>
      <c r="T706" s="79"/>
      <c r="W706" s="130"/>
      <c r="Y706" s="106"/>
    </row>
    <row r="707">
      <c r="C707" s="79"/>
      <c r="D707" s="79"/>
      <c r="J707" s="79"/>
      <c r="O707" s="79"/>
      <c r="P707" s="79"/>
      <c r="S707" s="79"/>
      <c r="T707" s="79"/>
      <c r="W707" s="130"/>
      <c r="Y707" s="106"/>
    </row>
    <row r="708">
      <c r="C708" s="79"/>
      <c r="D708" s="79"/>
      <c r="J708" s="79"/>
      <c r="O708" s="79"/>
      <c r="P708" s="79"/>
      <c r="S708" s="79"/>
      <c r="T708" s="79"/>
      <c r="W708" s="130"/>
      <c r="Y708" s="106"/>
    </row>
    <row r="709">
      <c r="C709" s="79"/>
      <c r="D709" s="79"/>
      <c r="J709" s="79"/>
      <c r="O709" s="79"/>
      <c r="P709" s="79"/>
      <c r="S709" s="79"/>
      <c r="T709" s="79"/>
      <c r="W709" s="130"/>
      <c r="Y709" s="106"/>
    </row>
    <row r="710">
      <c r="C710" s="79"/>
      <c r="D710" s="79"/>
      <c r="J710" s="79"/>
      <c r="O710" s="79"/>
      <c r="P710" s="79"/>
      <c r="S710" s="79"/>
      <c r="T710" s="79"/>
      <c r="W710" s="130"/>
      <c r="Y710" s="106"/>
    </row>
    <row r="711">
      <c r="C711" s="79"/>
      <c r="D711" s="79"/>
      <c r="J711" s="79"/>
      <c r="O711" s="79"/>
      <c r="P711" s="79"/>
      <c r="S711" s="79"/>
      <c r="T711" s="79"/>
      <c r="W711" s="130"/>
      <c r="Y711" s="106"/>
    </row>
    <row r="712">
      <c r="C712" s="79"/>
      <c r="D712" s="79"/>
      <c r="J712" s="79"/>
      <c r="O712" s="79"/>
      <c r="P712" s="79"/>
      <c r="S712" s="79"/>
      <c r="T712" s="79"/>
      <c r="W712" s="130"/>
      <c r="Y712" s="106"/>
    </row>
    <row r="713">
      <c r="C713" s="79"/>
      <c r="D713" s="79"/>
      <c r="J713" s="79"/>
      <c r="O713" s="79"/>
      <c r="P713" s="79"/>
      <c r="S713" s="79"/>
      <c r="T713" s="79"/>
      <c r="W713" s="130"/>
      <c r="Y713" s="106"/>
    </row>
    <row r="714">
      <c r="C714" s="79"/>
      <c r="D714" s="79"/>
      <c r="J714" s="79"/>
      <c r="O714" s="79"/>
      <c r="P714" s="79"/>
      <c r="S714" s="79"/>
      <c r="T714" s="79"/>
      <c r="W714" s="130"/>
      <c r="Y714" s="106"/>
    </row>
    <row r="715">
      <c r="C715" s="79"/>
      <c r="D715" s="79"/>
      <c r="J715" s="79"/>
      <c r="O715" s="79"/>
      <c r="P715" s="79"/>
      <c r="S715" s="79"/>
      <c r="T715" s="79"/>
      <c r="W715" s="130"/>
      <c r="Y715" s="106"/>
    </row>
    <row r="716">
      <c r="C716" s="79"/>
      <c r="D716" s="79"/>
      <c r="J716" s="79"/>
      <c r="O716" s="79"/>
      <c r="P716" s="79"/>
      <c r="S716" s="79"/>
      <c r="T716" s="79"/>
      <c r="W716" s="130"/>
      <c r="Y716" s="106"/>
    </row>
    <row r="717">
      <c r="C717" s="79"/>
      <c r="D717" s="79"/>
      <c r="J717" s="79"/>
      <c r="O717" s="79"/>
      <c r="P717" s="79"/>
      <c r="S717" s="79"/>
      <c r="T717" s="79"/>
      <c r="W717" s="130"/>
      <c r="Y717" s="106"/>
    </row>
    <row r="718">
      <c r="C718" s="79"/>
      <c r="D718" s="79"/>
      <c r="J718" s="79"/>
      <c r="O718" s="79"/>
      <c r="P718" s="79"/>
      <c r="S718" s="79"/>
      <c r="T718" s="79"/>
      <c r="W718" s="130"/>
      <c r="Y718" s="106"/>
    </row>
    <row r="719">
      <c r="C719" s="79"/>
      <c r="D719" s="79"/>
      <c r="J719" s="79"/>
      <c r="O719" s="79"/>
      <c r="P719" s="79"/>
      <c r="S719" s="79"/>
      <c r="T719" s="79"/>
      <c r="W719" s="130"/>
      <c r="Y719" s="106"/>
    </row>
    <row r="720">
      <c r="C720" s="79"/>
      <c r="D720" s="79"/>
      <c r="J720" s="79"/>
      <c r="O720" s="79"/>
      <c r="P720" s="79"/>
      <c r="S720" s="79"/>
      <c r="T720" s="79"/>
      <c r="W720" s="130"/>
      <c r="Y720" s="106"/>
    </row>
    <row r="721">
      <c r="C721" s="79"/>
      <c r="D721" s="79"/>
      <c r="J721" s="79"/>
      <c r="O721" s="79"/>
      <c r="P721" s="79"/>
      <c r="S721" s="79"/>
      <c r="T721" s="79"/>
      <c r="W721" s="130"/>
      <c r="Y721" s="106"/>
    </row>
    <row r="722">
      <c r="C722" s="79"/>
      <c r="D722" s="79"/>
      <c r="J722" s="79"/>
      <c r="O722" s="79"/>
      <c r="P722" s="79"/>
      <c r="S722" s="79"/>
      <c r="T722" s="79"/>
      <c r="W722" s="130"/>
      <c r="Y722" s="106"/>
    </row>
    <row r="723">
      <c r="C723" s="79"/>
      <c r="D723" s="79"/>
      <c r="J723" s="79"/>
      <c r="O723" s="79"/>
      <c r="P723" s="79"/>
      <c r="S723" s="79"/>
      <c r="T723" s="79"/>
      <c r="W723" s="130"/>
      <c r="Y723" s="106"/>
    </row>
    <row r="724">
      <c r="C724" s="79"/>
      <c r="D724" s="79"/>
      <c r="J724" s="79"/>
      <c r="O724" s="79"/>
      <c r="P724" s="79"/>
      <c r="S724" s="79"/>
      <c r="T724" s="79"/>
      <c r="W724" s="130"/>
      <c r="Y724" s="106"/>
    </row>
    <row r="725">
      <c r="C725" s="79"/>
      <c r="D725" s="79"/>
      <c r="J725" s="79"/>
      <c r="O725" s="79"/>
      <c r="P725" s="79"/>
      <c r="S725" s="79"/>
      <c r="T725" s="79"/>
      <c r="W725" s="130"/>
      <c r="Y725" s="106"/>
    </row>
    <row r="726">
      <c r="C726" s="79"/>
      <c r="D726" s="79"/>
      <c r="J726" s="79"/>
      <c r="O726" s="79"/>
      <c r="P726" s="79"/>
      <c r="S726" s="79"/>
      <c r="T726" s="79"/>
      <c r="W726" s="130"/>
      <c r="Y726" s="106"/>
    </row>
    <row r="727">
      <c r="C727" s="79"/>
      <c r="D727" s="79"/>
      <c r="J727" s="79"/>
      <c r="O727" s="79"/>
      <c r="P727" s="79"/>
      <c r="S727" s="79"/>
      <c r="T727" s="79"/>
      <c r="W727" s="130"/>
      <c r="Y727" s="106"/>
    </row>
    <row r="728">
      <c r="C728" s="79"/>
      <c r="D728" s="79"/>
      <c r="J728" s="79"/>
      <c r="O728" s="79"/>
      <c r="P728" s="79"/>
      <c r="S728" s="79"/>
      <c r="T728" s="79"/>
      <c r="W728" s="130"/>
      <c r="Y728" s="106"/>
    </row>
    <row r="729">
      <c r="C729" s="79"/>
      <c r="D729" s="79"/>
      <c r="J729" s="79"/>
      <c r="O729" s="79"/>
      <c r="P729" s="79"/>
      <c r="S729" s="79"/>
      <c r="T729" s="79"/>
      <c r="W729" s="130"/>
      <c r="Y729" s="106"/>
    </row>
    <row r="730">
      <c r="C730" s="79"/>
      <c r="D730" s="79"/>
      <c r="J730" s="79"/>
      <c r="O730" s="79"/>
      <c r="P730" s="79"/>
      <c r="S730" s="79"/>
      <c r="T730" s="79"/>
      <c r="W730" s="130"/>
      <c r="Y730" s="106"/>
    </row>
    <row r="731">
      <c r="C731" s="79"/>
      <c r="D731" s="79"/>
      <c r="J731" s="79"/>
      <c r="O731" s="79"/>
      <c r="P731" s="79"/>
      <c r="S731" s="79"/>
      <c r="T731" s="79"/>
      <c r="W731" s="130"/>
      <c r="Y731" s="106"/>
    </row>
    <row r="732">
      <c r="C732" s="79"/>
      <c r="D732" s="79"/>
      <c r="J732" s="79"/>
      <c r="O732" s="79"/>
      <c r="P732" s="79"/>
      <c r="S732" s="79"/>
      <c r="T732" s="79"/>
      <c r="W732" s="130"/>
      <c r="Y732" s="106"/>
    </row>
    <row r="733">
      <c r="C733" s="79"/>
      <c r="D733" s="79"/>
      <c r="J733" s="79"/>
      <c r="O733" s="79"/>
      <c r="P733" s="79"/>
      <c r="S733" s="79"/>
      <c r="T733" s="79"/>
      <c r="W733" s="130"/>
      <c r="Y733" s="106"/>
    </row>
    <row r="734">
      <c r="C734" s="79"/>
      <c r="D734" s="79"/>
      <c r="J734" s="79"/>
      <c r="O734" s="79"/>
      <c r="P734" s="79"/>
      <c r="S734" s="79"/>
      <c r="T734" s="79"/>
      <c r="W734" s="130"/>
      <c r="Y734" s="106"/>
    </row>
    <row r="735">
      <c r="C735" s="79"/>
      <c r="D735" s="79"/>
      <c r="J735" s="79"/>
      <c r="O735" s="79"/>
      <c r="P735" s="79"/>
      <c r="S735" s="79"/>
      <c r="T735" s="79"/>
      <c r="W735" s="130"/>
      <c r="Y735" s="106"/>
    </row>
    <row r="736">
      <c r="C736" s="79"/>
      <c r="D736" s="79"/>
      <c r="J736" s="79"/>
      <c r="O736" s="79"/>
      <c r="P736" s="79"/>
      <c r="S736" s="79"/>
      <c r="T736" s="79"/>
      <c r="W736" s="130"/>
      <c r="Y736" s="106"/>
    </row>
    <row r="737">
      <c r="C737" s="79"/>
      <c r="D737" s="79"/>
      <c r="J737" s="79"/>
      <c r="O737" s="79"/>
      <c r="P737" s="79"/>
      <c r="S737" s="79"/>
      <c r="T737" s="79"/>
      <c r="W737" s="130"/>
      <c r="Y737" s="106"/>
    </row>
    <row r="738">
      <c r="C738" s="79"/>
      <c r="D738" s="79"/>
      <c r="J738" s="79"/>
      <c r="O738" s="79"/>
      <c r="P738" s="79"/>
      <c r="S738" s="79"/>
      <c r="T738" s="79"/>
      <c r="W738" s="130"/>
      <c r="Y738" s="106"/>
    </row>
    <row r="739">
      <c r="C739" s="79"/>
      <c r="D739" s="79"/>
      <c r="J739" s="79"/>
      <c r="O739" s="79"/>
      <c r="P739" s="79"/>
      <c r="S739" s="79"/>
      <c r="T739" s="79"/>
      <c r="W739" s="130"/>
      <c r="Y739" s="106"/>
    </row>
    <row r="740">
      <c r="C740" s="79"/>
      <c r="D740" s="79"/>
      <c r="J740" s="79"/>
      <c r="O740" s="79"/>
      <c r="P740" s="79"/>
      <c r="S740" s="79"/>
      <c r="T740" s="79"/>
      <c r="W740" s="130"/>
      <c r="Y740" s="106"/>
    </row>
    <row r="741">
      <c r="C741" s="79"/>
      <c r="D741" s="79"/>
      <c r="J741" s="79"/>
      <c r="O741" s="79"/>
      <c r="P741" s="79"/>
      <c r="S741" s="79"/>
      <c r="T741" s="79"/>
      <c r="W741" s="130"/>
      <c r="Y741" s="106"/>
    </row>
    <row r="742">
      <c r="C742" s="79"/>
      <c r="D742" s="79"/>
      <c r="J742" s="79"/>
      <c r="O742" s="79"/>
      <c r="P742" s="79"/>
      <c r="S742" s="79"/>
      <c r="T742" s="79"/>
      <c r="W742" s="130"/>
      <c r="Y742" s="106"/>
    </row>
    <row r="743">
      <c r="C743" s="79"/>
      <c r="D743" s="79"/>
      <c r="J743" s="79"/>
      <c r="O743" s="79"/>
      <c r="P743" s="79"/>
      <c r="S743" s="79"/>
      <c r="T743" s="79"/>
      <c r="W743" s="130"/>
      <c r="Y743" s="106"/>
    </row>
    <row r="744">
      <c r="C744" s="79"/>
      <c r="D744" s="79"/>
      <c r="J744" s="79"/>
      <c r="O744" s="79"/>
      <c r="P744" s="79"/>
      <c r="S744" s="79"/>
      <c r="T744" s="79"/>
      <c r="W744" s="130"/>
      <c r="Y744" s="106"/>
    </row>
    <row r="745">
      <c r="C745" s="79"/>
      <c r="D745" s="79"/>
      <c r="J745" s="79"/>
      <c r="O745" s="79"/>
      <c r="P745" s="79"/>
      <c r="S745" s="79"/>
      <c r="T745" s="79"/>
      <c r="W745" s="130"/>
      <c r="Y745" s="106"/>
    </row>
    <row r="746">
      <c r="C746" s="79"/>
      <c r="D746" s="79"/>
      <c r="J746" s="79"/>
      <c r="O746" s="79"/>
      <c r="P746" s="79"/>
      <c r="S746" s="79"/>
      <c r="T746" s="79"/>
      <c r="W746" s="130"/>
      <c r="Y746" s="106"/>
    </row>
    <row r="747">
      <c r="C747" s="79"/>
      <c r="D747" s="79"/>
      <c r="J747" s="79"/>
      <c r="O747" s="79"/>
      <c r="P747" s="79"/>
      <c r="S747" s="79"/>
      <c r="T747" s="79"/>
      <c r="W747" s="130"/>
      <c r="Y747" s="106"/>
    </row>
    <row r="748">
      <c r="C748" s="79"/>
      <c r="D748" s="79"/>
      <c r="J748" s="79"/>
      <c r="O748" s="79"/>
      <c r="P748" s="79"/>
      <c r="S748" s="79"/>
      <c r="T748" s="79"/>
      <c r="W748" s="130"/>
      <c r="Y748" s="106"/>
    </row>
    <row r="749">
      <c r="C749" s="79"/>
      <c r="D749" s="79"/>
      <c r="J749" s="79"/>
      <c r="O749" s="79"/>
      <c r="P749" s="79"/>
      <c r="S749" s="79"/>
      <c r="T749" s="79"/>
      <c r="W749" s="130"/>
      <c r="Y749" s="106"/>
    </row>
    <row r="750">
      <c r="C750" s="79"/>
      <c r="D750" s="79"/>
      <c r="J750" s="79"/>
      <c r="O750" s="79"/>
      <c r="P750" s="79"/>
      <c r="S750" s="79"/>
      <c r="T750" s="79"/>
      <c r="W750" s="130"/>
      <c r="Y750" s="106"/>
    </row>
    <row r="751">
      <c r="C751" s="79"/>
      <c r="D751" s="79"/>
      <c r="J751" s="79"/>
      <c r="O751" s="79"/>
      <c r="P751" s="79"/>
      <c r="S751" s="79"/>
      <c r="T751" s="79"/>
      <c r="W751" s="130"/>
      <c r="Y751" s="106"/>
    </row>
    <row r="752">
      <c r="C752" s="79"/>
      <c r="D752" s="79"/>
      <c r="J752" s="79"/>
      <c r="O752" s="79"/>
      <c r="P752" s="79"/>
      <c r="S752" s="79"/>
      <c r="T752" s="79"/>
      <c r="W752" s="130"/>
      <c r="Y752" s="106"/>
    </row>
    <row r="753">
      <c r="C753" s="79"/>
      <c r="D753" s="79"/>
      <c r="J753" s="79"/>
      <c r="O753" s="79"/>
      <c r="P753" s="79"/>
      <c r="S753" s="79"/>
      <c r="T753" s="79"/>
      <c r="W753" s="130"/>
      <c r="Y753" s="106"/>
    </row>
    <row r="754">
      <c r="C754" s="79"/>
      <c r="D754" s="79"/>
      <c r="J754" s="79"/>
      <c r="O754" s="79"/>
      <c r="P754" s="79"/>
      <c r="S754" s="79"/>
      <c r="T754" s="79"/>
      <c r="W754" s="130"/>
      <c r="Y754" s="106"/>
    </row>
    <row r="755">
      <c r="C755" s="79"/>
      <c r="D755" s="79"/>
      <c r="J755" s="79"/>
      <c r="O755" s="79"/>
      <c r="P755" s="79"/>
      <c r="S755" s="79"/>
      <c r="T755" s="79"/>
      <c r="W755" s="130"/>
      <c r="Y755" s="106"/>
    </row>
    <row r="756">
      <c r="C756" s="79"/>
      <c r="D756" s="79"/>
      <c r="J756" s="79"/>
      <c r="O756" s="79"/>
      <c r="P756" s="79"/>
      <c r="S756" s="79"/>
      <c r="T756" s="79"/>
      <c r="W756" s="130"/>
      <c r="Y756" s="106"/>
    </row>
    <row r="757">
      <c r="C757" s="79"/>
      <c r="D757" s="79"/>
      <c r="J757" s="79"/>
      <c r="O757" s="79"/>
      <c r="P757" s="79"/>
      <c r="S757" s="79"/>
      <c r="T757" s="79"/>
      <c r="W757" s="130"/>
      <c r="Y757" s="106"/>
    </row>
    <row r="758">
      <c r="C758" s="79"/>
      <c r="D758" s="79"/>
      <c r="J758" s="79"/>
      <c r="O758" s="79"/>
      <c r="P758" s="79"/>
      <c r="S758" s="79"/>
      <c r="T758" s="79"/>
      <c r="W758" s="130"/>
      <c r="Y758" s="106"/>
    </row>
    <row r="759">
      <c r="C759" s="79"/>
      <c r="D759" s="79"/>
      <c r="J759" s="79"/>
      <c r="O759" s="79"/>
      <c r="P759" s="79"/>
      <c r="S759" s="79"/>
      <c r="T759" s="79"/>
      <c r="W759" s="130"/>
      <c r="Y759" s="106"/>
    </row>
    <row r="760">
      <c r="C760" s="79"/>
      <c r="D760" s="79"/>
      <c r="J760" s="79"/>
      <c r="O760" s="79"/>
      <c r="P760" s="79"/>
      <c r="S760" s="79"/>
      <c r="T760" s="79"/>
      <c r="W760" s="130"/>
      <c r="Y760" s="106"/>
    </row>
    <row r="761">
      <c r="C761" s="79"/>
      <c r="D761" s="79"/>
      <c r="J761" s="79"/>
      <c r="O761" s="79"/>
      <c r="P761" s="79"/>
      <c r="S761" s="79"/>
      <c r="T761" s="79"/>
      <c r="W761" s="130"/>
      <c r="Y761" s="106"/>
    </row>
    <row r="762">
      <c r="C762" s="79"/>
      <c r="D762" s="79"/>
      <c r="J762" s="79"/>
      <c r="O762" s="79"/>
      <c r="P762" s="79"/>
      <c r="S762" s="79"/>
      <c r="T762" s="79"/>
      <c r="W762" s="130"/>
      <c r="Y762" s="106"/>
    </row>
    <row r="763">
      <c r="C763" s="79"/>
      <c r="D763" s="79"/>
      <c r="J763" s="79"/>
      <c r="O763" s="79"/>
      <c r="P763" s="79"/>
      <c r="S763" s="79"/>
      <c r="T763" s="79"/>
      <c r="W763" s="130"/>
      <c r="Y763" s="106"/>
    </row>
    <row r="764">
      <c r="C764" s="79"/>
      <c r="D764" s="79"/>
      <c r="J764" s="79"/>
      <c r="O764" s="79"/>
      <c r="P764" s="79"/>
      <c r="S764" s="79"/>
      <c r="T764" s="79"/>
      <c r="W764" s="130"/>
      <c r="Y764" s="106"/>
    </row>
    <row r="765">
      <c r="C765" s="79"/>
      <c r="D765" s="79"/>
      <c r="J765" s="79"/>
      <c r="O765" s="79"/>
      <c r="P765" s="79"/>
      <c r="S765" s="79"/>
      <c r="T765" s="79"/>
      <c r="W765" s="130"/>
      <c r="Y765" s="106"/>
    </row>
    <row r="766">
      <c r="C766" s="79"/>
      <c r="D766" s="79"/>
      <c r="J766" s="79"/>
      <c r="O766" s="79"/>
      <c r="P766" s="79"/>
      <c r="S766" s="79"/>
      <c r="T766" s="79"/>
      <c r="W766" s="130"/>
      <c r="Y766" s="106"/>
    </row>
    <row r="767">
      <c r="C767" s="79"/>
      <c r="D767" s="79"/>
      <c r="J767" s="79"/>
      <c r="O767" s="79"/>
      <c r="P767" s="79"/>
      <c r="S767" s="79"/>
      <c r="T767" s="79"/>
      <c r="W767" s="130"/>
      <c r="Y767" s="106"/>
    </row>
    <row r="768">
      <c r="C768" s="79"/>
      <c r="D768" s="79"/>
      <c r="J768" s="79"/>
      <c r="O768" s="79"/>
      <c r="P768" s="79"/>
      <c r="S768" s="79"/>
      <c r="T768" s="79"/>
      <c r="W768" s="130"/>
      <c r="Y768" s="106"/>
    </row>
    <row r="769">
      <c r="C769" s="79"/>
      <c r="D769" s="79"/>
      <c r="J769" s="79"/>
      <c r="O769" s="79"/>
      <c r="P769" s="79"/>
      <c r="S769" s="79"/>
      <c r="T769" s="79"/>
      <c r="W769" s="130"/>
      <c r="Y769" s="106"/>
    </row>
    <row r="770">
      <c r="C770" s="79"/>
      <c r="D770" s="79"/>
      <c r="J770" s="79"/>
      <c r="O770" s="79"/>
      <c r="P770" s="79"/>
      <c r="S770" s="79"/>
      <c r="T770" s="79"/>
      <c r="W770" s="130"/>
      <c r="Y770" s="106"/>
    </row>
    <row r="771">
      <c r="C771" s="79"/>
      <c r="D771" s="79"/>
      <c r="J771" s="79"/>
      <c r="O771" s="79"/>
      <c r="P771" s="79"/>
      <c r="S771" s="79"/>
      <c r="T771" s="79"/>
      <c r="W771" s="130"/>
      <c r="Y771" s="106"/>
    </row>
    <row r="772">
      <c r="C772" s="79"/>
      <c r="D772" s="79"/>
      <c r="J772" s="79"/>
      <c r="O772" s="79"/>
      <c r="P772" s="79"/>
      <c r="S772" s="79"/>
      <c r="T772" s="79"/>
      <c r="W772" s="130"/>
      <c r="Y772" s="106"/>
    </row>
    <row r="773">
      <c r="C773" s="79"/>
      <c r="D773" s="79"/>
      <c r="J773" s="79"/>
      <c r="O773" s="79"/>
      <c r="P773" s="79"/>
      <c r="S773" s="79"/>
      <c r="T773" s="79"/>
      <c r="W773" s="130"/>
      <c r="Y773" s="106"/>
    </row>
    <row r="774">
      <c r="C774" s="79"/>
      <c r="D774" s="79"/>
      <c r="J774" s="79"/>
      <c r="O774" s="79"/>
      <c r="P774" s="79"/>
      <c r="S774" s="79"/>
      <c r="T774" s="79"/>
      <c r="W774" s="130"/>
      <c r="Y774" s="106"/>
    </row>
    <row r="775">
      <c r="C775" s="79"/>
      <c r="D775" s="79"/>
      <c r="J775" s="79"/>
      <c r="O775" s="79"/>
      <c r="P775" s="79"/>
      <c r="S775" s="79"/>
      <c r="T775" s="79"/>
      <c r="W775" s="130"/>
      <c r="Y775" s="106"/>
    </row>
    <row r="776">
      <c r="C776" s="79"/>
      <c r="D776" s="79"/>
      <c r="J776" s="79"/>
      <c r="O776" s="79"/>
      <c r="P776" s="79"/>
      <c r="S776" s="79"/>
      <c r="T776" s="79"/>
      <c r="W776" s="130"/>
      <c r="Y776" s="106"/>
    </row>
    <row r="777">
      <c r="C777" s="79"/>
      <c r="D777" s="79"/>
      <c r="J777" s="79"/>
      <c r="O777" s="79"/>
      <c r="P777" s="79"/>
      <c r="S777" s="79"/>
      <c r="T777" s="79"/>
      <c r="W777" s="130"/>
      <c r="Y777" s="106"/>
    </row>
    <row r="778">
      <c r="C778" s="79"/>
      <c r="D778" s="79"/>
      <c r="J778" s="79"/>
      <c r="O778" s="79"/>
      <c r="P778" s="79"/>
      <c r="S778" s="79"/>
      <c r="T778" s="79"/>
      <c r="W778" s="130"/>
      <c r="Y778" s="106"/>
    </row>
    <row r="779">
      <c r="C779" s="79"/>
      <c r="D779" s="79"/>
      <c r="J779" s="79"/>
      <c r="O779" s="79"/>
      <c r="P779" s="79"/>
      <c r="S779" s="79"/>
      <c r="T779" s="79"/>
      <c r="W779" s="130"/>
      <c r="Y779" s="106"/>
    </row>
    <row r="780">
      <c r="C780" s="79"/>
      <c r="D780" s="79"/>
      <c r="J780" s="79"/>
      <c r="O780" s="79"/>
      <c r="P780" s="79"/>
      <c r="S780" s="79"/>
      <c r="T780" s="79"/>
      <c r="W780" s="130"/>
      <c r="Y780" s="106"/>
    </row>
    <row r="781">
      <c r="C781" s="79"/>
      <c r="D781" s="79"/>
      <c r="J781" s="79"/>
      <c r="O781" s="79"/>
      <c r="P781" s="79"/>
      <c r="S781" s="79"/>
      <c r="T781" s="79"/>
      <c r="W781" s="130"/>
      <c r="Y781" s="106"/>
    </row>
    <row r="782">
      <c r="C782" s="79"/>
      <c r="D782" s="79"/>
      <c r="J782" s="79"/>
      <c r="O782" s="79"/>
      <c r="P782" s="79"/>
      <c r="S782" s="79"/>
      <c r="T782" s="79"/>
      <c r="W782" s="130"/>
      <c r="Y782" s="106"/>
    </row>
    <row r="783">
      <c r="C783" s="79"/>
      <c r="D783" s="79"/>
      <c r="J783" s="79"/>
      <c r="O783" s="79"/>
      <c r="P783" s="79"/>
      <c r="S783" s="79"/>
      <c r="T783" s="79"/>
      <c r="W783" s="130"/>
      <c r="Y783" s="106"/>
    </row>
    <row r="784">
      <c r="C784" s="79"/>
      <c r="D784" s="79"/>
      <c r="J784" s="79"/>
      <c r="O784" s="79"/>
      <c r="P784" s="79"/>
      <c r="S784" s="79"/>
      <c r="T784" s="79"/>
      <c r="W784" s="130"/>
      <c r="Y784" s="106"/>
    </row>
    <row r="785">
      <c r="C785" s="79"/>
      <c r="D785" s="79"/>
      <c r="J785" s="79"/>
      <c r="O785" s="79"/>
      <c r="P785" s="79"/>
      <c r="S785" s="79"/>
      <c r="T785" s="79"/>
      <c r="W785" s="130"/>
      <c r="Y785" s="106"/>
    </row>
    <row r="786">
      <c r="C786" s="79"/>
      <c r="D786" s="79"/>
      <c r="J786" s="79"/>
      <c r="O786" s="79"/>
      <c r="P786" s="79"/>
      <c r="S786" s="79"/>
      <c r="T786" s="79"/>
      <c r="W786" s="130"/>
      <c r="Y786" s="106"/>
    </row>
    <row r="787">
      <c r="C787" s="79"/>
      <c r="D787" s="79"/>
      <c r="J787" s="79"/>
      <c r="O787" s="79"/>
      <c r="P787" s="79"/>
      <c r="S787" s="79"/>
      <c r="T787" s="79"/>
      <c r="W787" s="130"/>
      <c r="Y787" s="106"/>
    </row>
    <row r="788">
      <c r="C788" s="79"/>
      <c r="D788" s="79"/>
      <c r="J788" s="79"/>
      <c r="O788" s="79"/>
      <c r="P788" s="79"/>
      <c r="S788" s="79"/>
      <c r="T788" s="79"/>
      <c r="W788" s="130"/>
      <c r="Y788" s="106"/>
    </row>
    <row r="789">
      <c r="C789" s="79"/>
      <c r="D789" s="79"/>
      <c r="J789" s="79"/>
      <c r="O789" s="79"/>
      <c r="P789" s="79"/>
      <c r="S789" s="79"/>
      <c r="T789" s="79"/>
      <c r="W789" s="130"/>
      <c r="Y789" s="106"/>
    </row>
    <row r="790">
      <c r="C790" s="79"/>
      <c r="D790" s="79"/>
      <c r="J790" s="79"/>
      <c r="O790" s="79"/>
      <c r="P790" s="79"/>
      <c r="S790" s="79"/>
      <c r="T790" s="79"/>
      <c r="W790" s="130"/>
      <c r="Y790" s="106"/>
    </row>
    <row r="791">
      <c r="C791" s="79"/>
      <c r="D791" s="79"/>
      <c r="J791" s="79"/>
      <c r="O791" s="79"/>
      <c r="P791" s="79"/>
      <c r="S791" s="79"/>
      <c r="T791" s="79"/>
      <c r="W791" s="130"/>
      <c r="Y791" s="106"/>
    </row>
    <row r="792">
      <c r="C792" s="79"/>
      <c r="D792" s="79"/>
      <c r="J792" s="79"/>
      <c r="O792" s="79"/>
      <c r="P792" s="79"/>
      <c r="S792" s="79"/>
      <c r="T792" s="79"/>
      <c r="W792" s="130"/>
      <c r="Y792" s="106"/>
    </row>
    <row r="793">
      <c r="C793" s="79"/>
      <c r="D793" s="79"/>
      <c r="J793" s="79"/>
      <c r="O793" s="79"/>
      <c r="P793" s="79"/>
      <c r="S793" s="79"/>
      <c r="T793" s="79"/>
      <c r="W793" s="130"/>
      <c r="Y793" s="106"/>
    </row>
    <row r="794">
      <c r="C794" s="79"/>
      <c r="D794" s="79"/>
      <c r="J794" s="79"/>
      <c r="O794" s="79"/>
      <c r="P794" s="79"/>
      <c r="S794" s="79"/>
      <c r="T794" s="79"/>
      <c r="W794" s="130"/>
      <c r="Y794" s="106"/>
    </row>
    <row r="795">
      <c r="C795" s="79"/>
      <c r="D795" s="79"/>
      <c r="J795" s="79"/>
      <c r="O795" s="79"/>
      <c r="P795" s="79"/>
      <c r="S795" s="79"/>
      <c r="T795" s="79"/>
      <c r="W795" s="130"/>
      <c r="Y795" s="106"/>
    </row>
    <row r="796">
      <c r="C796" s="79"/>
      <c r="D796" s="79"/>
      <c r="J796" s="79"/>
      <c r="O796" s="79"/>
      <c r="P796" s="79"/>
      <c r="S796" s="79"/>
      <c r="T796" s="79"/>
      <c r="W796" s="130"/>
      <c r="Y796" s="106"/>
    </row>
    <row r="797">
      <c r="C797" s="79"/>
      <c r="D797" s="79"/>
      <c r="J797" s="79"/>
      <c r="O797" s="79"/>
      <c r="P797" s="79"/>
      <c r="S797" s="79"/>
      <c r="T797" s="79"/>
      <c r="W797" s="130"/>
      <c r="Y797" s="106"/>
    </row>
    <row r="798">
      <c r="C798" s="79"/>
      <c r="D798" s="79"/>
      <c r="J798" s="79"/>
      <c r="O798" s="79"/>
      <c r="P798" s="79"/>
      <c r="S798" s="79"/>
      <c r="T798" s="79"/>
      <c r="W798" s="130"/>
      <c r="Y798" s="106"/>
    </row>
    <row r="799">
      <c r="C799" s="79"/>
      <c r="D799" s="79"/>
      <c r="J799" s="79"/>
      <c r="O799" s="79"/>
      <c r="P799" s="79"/>
      <c r="S799" s="79"/>
      <c r="T799" s="79"/>
      <c r="W799" s="130"/>
      <c r="Y799" s="106"/>
    </row>
    <row r="800">
      <c r="C800" s="79"/>
      <c r="D800" s="79"/>
      <c r="J800" s="79"/>
      <c r="O800" s="79"/>
      <c r="P800" s="79"/>
      <c r="S800" s="79"/>
      <c r="T800" s="79"/>
      <c r="W800" s="130"/>
      <c r="Y800" s="106"/>
    </row>
    <row r="801">
      <c r="C801" s="79"/>
      <c r="D801" s="79"/>
      <c r="J801" s="79"/>
      <c r="O801" s="79"/>
      <c r="P801" s="79"/>
      <c r="S801" s="79"/>
      <c r="T801" s="79"/>
      <c r="W801" s="130"/>
      <c r="Y801" s="106"/>
    </row>
    <row r="802">
      <c r="C802" s="79"/>
      <c r="D802" s="79"/>
      <c r="J802" s="79"/>
      <c r="O802" s="79"/>
      <c r="P802" s="79"/>
      <c r="S802" s="79"/>
      <c r="T802" s="79"/>
      <c r="W802" s="130"/>
      <c r="Y802" s="106"/>
    </row>
    <row r="803">
      <c r="C803" s="79"/>
      <c r="D803" s="79"/>
      <c r="J803" s="79"/>
      <c r="O803" s="79"/>
      <c r="P803" s="79"/>
      <c r="S803" s="79"/>
      <c r="T803" s="79"/>
      <c r="W803" s="130"/>
      <c r="Y803" s="106"/>
    </row>
    <row r="804">
      <c r="C804" s="79"/>
      <c r="D804" s="79"/>
      <c r="J804" s="79"/>
      <c r="O804" s="79"/>
      <c r="P804" s="79"/>
      <c r="S804" s="79"/>
      <c r="T804" s="79"/>
      <c r="W804" s="130"/>
      <c r="Y804" s="106"/>
    </row>
    <row r="805">
      <c r="C805" s="79"/>
      <c r="D805" s="79"/>
      <c r="J805" s="79"/>
      <c r="O805" s="79"/>
      <c r="P805" s="79"/>
      <c r="S805" s="79"/>
      <c r="T805" s="79"/>
      <c r="W805" s="130"/>
      <c r="Y805" s="106"/>
    </row>
    <row r="806">
      <c r="C806" s="79"/>
      <c r="D806" s="79"/>
      <c r="J806" s="79"/>
      <c r="O806" s="79"/>
      <c r="P806" s="79"/>
      <c r="S806" s="79"/>
      <c r="T806" s="79"/>
      <c r="W806" s="130"/>
      <c r="Y806" s="106"/>
    </row>
    <row r="807">
      <c r="C807" s="79"/>
      <c r="D807" s="79"/>
      <c r="J807" s="79"/>
      <c r="O807" s="79"/>
      <c r="P807" s="79"/>
      <c r="S807" s="79"/>
      <c r="T807" s="79"/>
      <c r="W807" s="130"/>
      <c r="Y807" s="106"/>
    </row>
    <row r="808">
      <c r="C808" s="79"/>
      <c r="D808" s="79"/>
      <c r="J808" s="79"/>
      <c r="O808" s="79"/>
      <c r="P808" s="79"/>
      <c r="S808" s="79"/>
      <c r="T808" s="79"/>
      <c r="W808" s="130"/>
      <c r="Y808" s="106"/>
    </row>
    <row r="809">
      <c r="C809" s="79"/>
      <c r="D809" s="79"/>
      <c r="J809" s="79"/>
      <c r="O809" s="79"/>
      <c r="P809" s="79"/>
      <c r="S809" s="79"/>
      <c r="T809" s="79"/>
      <c r="W809" s="130"/>
      <c r="Y809" s="106"/>
    </row>
    <row r="810">
      <c r="C810" s="79"/>
      <c r="D810" s="79"/>
      <c r="J810" s="79"/>
      <c r="O810" s="79"/>
      <c r="P810" s="79"/>
      <c r="S810" s="79"/>
      <c r="T810" s="79"/>
      <c r="W810" s="130"/>
      <c r="Y810" s="106"/>
    </row>
    <row r="811">
      <c r="C811" s="79"/>
      <c r="D811" s="79"/>
      <c r="J811" s="79"/>
      <c r="O811" s="79"/>
      <c r="P811" s="79"/>
      <c r="S811" s="79"/>
      <c r="T811" s="79"/>
      <c r="W811" s="130"/>
      <c r="Y811" s="106"/>
    </row>
    <row r="812">
      <c r="C812" s="79"/>
      <c r="D812" s="79"/>
      <c r="J812" s="79"/>
      <c r="O812" s="79"/>
      <c r="P812" s="79"/>
      <c r="S812" s="79"/>
      <c r="T812" s="79"/>
      <c r="W812" s="130"/>
      <c r="Y812" s="106"/>
    </row>
    <row r="813">
      <c r="C813" s="79"/>
      <c r="D813" s="79"/>
      <c r="J813" s="79"/>
      <c r="O813" s="79"/>
      <c r="P813" s="79"/>
      <c r="S813" s="79"/>
      <c r="T813" s="79"/>
      <c r="W813" s="130"/>
      <c r="Y813" s="106"/>
    </row>
    <row r="814">
      <c r="C814" s="79"/>
      <c r="D814" s="79"/>
      <c r="J814" s="79"/>
      <c r="O814" s="79"/>
      <c r="P814" s="79"/>
      <c r="S814" s="79"/>
      <c r="T814" s="79"/>
      <c r="W814" s="130"/>
      <c r="Y814" s="106"/>
    </row>
    <row r="815">
      <c r="C815" s="79"/>
      <c r="D815" s="79"/>
      <c r="J815" s="79"/>
      <c r="O815" s="79"/>
      <c r="P815" s="79"/>
      <c r="S815" s="79"/>
      <c r="T815" s="79"/>
      <c r="W815" s="130"/>
      <c r="Y815" s="106"/>
    </row>
    <row r="816">
      <c r="C816" s="79"/>
      <c r="D816" s="79"/>
      <c r="J816" s="79"/>
      <c r="O816" s="79"/>
      <c r="P816" s="79"/>
      <c r="S816" s="79"/>
      <c r="T816" s="79"/>
      <c r="W816" s="130"/>
      <c r="Y816" s="106"/>
    </row>
    <row r="817">
      <c r="C817" s="79"/>
      <c r="D817" s="79"/>
      <c r="J817" s="79"/>
      <c r="O817" s="79"/>
      <c r="P817" s="79"/>
      <c r="S817" s="79"/>
      <c r="T817" s="79"/>
      <c r="W817" s="130"/>
      <c r="Y817" s="106"/>
    </row>
    <row r="818">
      <c r="C818" s="79"/>
      <c r="D818" s="79"/>
      <c r="J818" s="79"/>
      <c r="O818" s="79"/>
      <c r="P818" s="79"/>
      <c r="S818" s="79"/>
      <c r="T818" s="79"/>
      <c r="W818" s="130"/>
      <c r="Y818" s="106"/>
    </row>
    <row r="819">
      <c r="C819" s="79"/>
      <c r="D819" s="79"/>
      <c r="J819" s="79"/>
      <c r="O819" s="79"/>
      <c r="P819" s="79"/>
      <c r="S819" s="79"/>
      <c r="T819" s="79"/>
      <c r="W819" s="130"/>
      <c r="Y819" s="106"/>
    </row>
    <row r="820">
      <c r="C820" s="79"/>
      <c r="D820" s="79"/>
      <c r="J820" s="79"/>
      <c r="O820" s="79"/>
      <c r="P820" s="79"/>
      <c r="S820" s="79"/>
      <c r="T820" s="79"/>
      <c r="W820" s="130"/>
      <c r="Y820" s="106"/>
    </row>
    <row r="821">
      <c r="C821" s="79"/>
      <c r="D821" s="79"/>
      <c r="J821" s="79"/>
      <c r="O821" s="79"/>
      <c r="P821" s="79"/>
      <c r="S821" s="79"/>
      <c r="T821" s="79"/>
      <c r="W821" s="130"/>
      <c r="Y821" s="106"/>
    </row>
    <row r="822">
      <c r="C822" s="79"/>
      <c r="D822" s="79"/>
      <c r="J822" s="79"/>
      <c r="O822" s="79"/>
      <c r="P822" s="79"/>
      <c r="S822" s="79"/>
      <c r="T822" s="79"/>
      <c r="W822" s="130"/>
      <c r="Y822" s="106"/>
    </row>
    <row r="823">
      <c r="C823" s="79"/>
      <c r="D823" s="79"/>
      <c r="J823" s="79"/>
      <c r="O823" s="79"/>
      <c r="P823" s="79"/>
      <c r="S823" s="79"/>
      <c r="T823" s="79"/>
      <c r="W823" s="130"/>
      <c r="Y823" s="106"/>
    </row>
    <row r="824">
      <c r="C824" s="79"/>
      <c r="D824" s="79"/>
      <c r="J824" s="79"/>
      <c r="O824" s="79"/>
      <c r="P824" s="79"/>
      <c r="S824" s="79"/>
      <c r="T824" s="79"/>
      <c r="W824" s="130"/>
      <c r="Y824" s="106"/>
    </row>
    <row r="825">
      <c r="C825" s="79"/>
      <c r="D825" s="79"/>
      <c r="J825" s="79"/>
      <c r="O825" s="79"/>
      <c r="P825" s="79"/>
      <c r="S825" s="79"/>
      <c r="T825" s="79"/>
      <c r="W825" s="130"/>
      <c r="Y825" s="106"/>
    </row>
    <row r="826">
      <c r="C826" s="79"/>
      <c r="D826" s="79"/>
      <c r="J826" s="79"/>
      <c r="O826" s="79"/>
      <c r="P826" s="79"/>
      <c r="S826" s="79"/>
      <c r="T826" s="79"/>
      <c r="W826" s="130"/>
      <c r="Y826" s="106"/>
    </row>
    <row r="827">
      <c r="C827" s="79"/>
      <c r="D827" s="79"/>
      <c r="J827" s="79"/>
      <c r="O827" s="79"/>
      <c r="P827" s="79"/>
      <c r="S827" s="79"/>
      <c r="T827" s="79"/>
      <c r="W827" s="130"/>
      <c r="Y827" s="106"/>
    </row>
    <row r="828">
      <c r="C828" s="79"/>
      <c r="D828" s="79"/>
      <c r="J828" s="79"/>
      <c r="O828" s="79"/>
      <c r="P828" s="79"/>
      <c r="S828" s="79"/>
      <c r="T828" s="79"/>
      <c r="W828" s="130"/>
      <c r="Y828" s="106"/>
    </row>
    <row r="829">
      <c r="C829" s="79"/>
      <c r="D829" s="79"/>
      <c r="J829" s="79"/>
      <c r="O829" s="79"/>
      <c r="P829" s="79"/>
      <c r="S829" s="79"/>
      <c r="T829" s="79"/>
      <c r="W829" s="130"/>
      <c r="Y829" s="106"/>
    </row>
    <row r="830">
      <c r="C830" s="79"/>
      <c r="D830" s="79"/>
      <c r="J830" s="79"/>
      <c r="O830" s="79"/>
      <c r="P830" s="79"/>
      <c r="S830" s="79"/>
      <c r="T830" s="79"/>
      <c r="W830" s="130"/>
      <c r="Y830" s="106"/>
    </row>
    <row r="831">
      <c r="C831" s="79"/>
      <c r="D831" s="79"/>
      <c r="J831" s="79"/>
      <c r="O831" s="79"/>
      <c r="P831" s="79"/>
      <c r="S831" s="79"/>
      <c r="T831" s="79"/>
      <c r="W831" s="130"/>
      <c r="Y831" s="106"/>
    </row>
    <row r="832">
      <c r="C832" s="79"/>
      <c r="D832" s="79"/>
      <c r="J832" s="79"/>
      <c r="O832" s="79"/>
      <c r="P832" s="79"/>
      <c r="S832" s="79"/>
      <c r="T832" s="79"/>
      <c r="W832" s="130"/>
      <c r="Y832" s="106"/>
    </row>
    <row r="833">
      <c r="C833" s="79"/>
      <c r="D833" s="79"/>
      <c r="J833" s="79"/>
      <c r="O833" s="79"/>
      <c r="P833" s="79"/>
      <c r="S833" s="79"/>
      <c r="T833" s="79"/>
      <c r="W833" s="130"/>
      <c r="Y833" s="106"/>
    </row>
    <row r="834">
      <c r="C834" s="79"/>
      <c r="D834" s="79"/>
      <c r="J834" s="79"/>
      <c r="O834" s="79"/>
      <c r="P834" s="79"/>
      <c r="S834" s="79"/>
      <c r="T834" s="79"/>
      <c r="W834" s="130"/>
      <c r="Y834" s="106"/>
    </row>
    <row r="835">
      <c r="C835" s="79"/>
      <c r="D835" s="79"/>
      <c r="J835" s="79"/>
      <c r="O835" s="79"/>
      <c r="P835" s="79"/>
      <c r="S835" s="79"/>
      <c r="T835" s="79"/>
      <c r="W835" s="130"/>
      <c r="Y835" s="106"/>
    </row>
    <row r="836">
      <c r="C836" s="79"/>
      <c r="D836" s="79"/>
      <c r="J836" s="79"/>
      <c r="O836" s="79"/>
      <c r="P836" s="79"/>
      <c r="S836" s="79"/>
      <c r="T836" s="79"/>
      <c r="W836" s="130"/>
      <c r="Y836" s="106"/>
    </row>
    <row r="837">
      <c r="C837" s="79"/>
      <c r="D837" s="79"/>
      <c r="J837" s="79"/>
      <c r="O837" s="79"/>
      <c r="P837" s="79"/>
      <c r="S837" s="79"/>
      <c r="T837" s="79"/>
      <c r="W837" s="130"/>
      <c r="Y837" s="106"/>
    </row>
    <row r="838">
      <c r="C838" s="79"/>
      <c r="D838" s="79"/>
      <c r="J838" s="79"/>
      <c r="O838" s="79"/>
      <c r="P838" s="79"/>
      <c r="S838" s="79"/>
      <c r="T838" s="79"/>
      <c r="W838" s="130"/>
      <c r="Y838" s="106"/>
    </row>
    <row r="839">
      <c r="C839" s="79"/>
      <c r="D839" s="79"/>
      <c r="J839" s="79"/>
      <c r="O839" s="79"/>
      <c r="P839" s="79"/>
      <c r="S839" s="79"/>
      <c r="T839" s="79"/>
      <c r="W839" s="130"/>
      <c r="Y839" s="106"/>
    </row>
    <row r="840">
      <c r="C840" s="79"/>
      <c r="D840" s="79"/>
      <c r="J840" s="79"/>
      <c r="O840" s="79"/>
      <c r="P840" s="79"/>
      <c r="S840" s="79"/>
      <c r="T840" s="79"/>
      <c r="W840" s="130"/>
      <c r="Y840" s="106"/>
    </row>
    <row r="841">
      <c r="C841" s="79"/>
      <c r="D841" s="79"/>
      <c r="J841" s="79"/>
      <c r="O841" s="79"/>
      <c r="P841" s="79"/>
      <c r="S841" s="79"/>
      <c r="T841" s="79"/>
      <c r="W841" s="130"/>
      <c r="Y841" s="106"/>
    </row>
    <row r="842">
      <c r="C842" s="79"/>
      <c r="D842" s="79"/>
      <c r="J842" s="79"/>
      <c r="O842" s="79"/>
      <c r="P842" s="79"/>
      <c r="S842" s="79"/>
      <c r="T842" s="79"/>
      <c r="W842" s="130"/>
      <c r="Y842" s="106"/>
    </row>
    <row r="843">
      <c r="C843" s="79"/>
      <c r="D843" s="79"/>
      <c r="J843" s="79"/>
      <c r="O843" s="79"/>
      <c r="P843" s="79"/>
      <c r="S843" s="79"/>
      <c r="T843" s="79"/>
      <c r="W843" s="130"/>
      <c r="Y843" s="106"/>
    </row>
    <row r="844">
      <c r="C844" s="79"/>
      <c r="D844" s="79"/>
      <c r="J844" s="79"/>
      <c r="O844" s="79"/>
      <c r="P844" s="79"/>
      <c r="S844" s="79"/>
      <c r="T844" s="79"/>
      <c r="W844" s="130"/>
      <c r="Y844" s="106"/>
    </row>
    <row r="845">
      <c r="C845" s="79"/>
      <c r="D845" s="79"/>
      <c r="J845" s="79"/>
      <c r="O845" s="79"/>
      <c r="P845" s="79"/>
      <c r="S845" s="79"/>
      <c r="T845" s="79"/>
      <c r="W845" s="130"/>
      <c r="Y845" s="106"/>
    </row>
    <row r="846">
      <c r="C846" s="79"/>
      <c r="D846" s="79"/>
      <c r="J846" s="79"/>
      <c r="O846" s="79"/>
      <c r="P846" s="79"/>
      <c r="S846" s="79"/>
      <c r="T846" s="79"/>
      <c r="W846" s="130"/>
      <c r="Y846" s="106"/>
    </row>
    <row r="847">
      <c r="C847" s="79"/>
      <c r="D847" s="79"/>
      <c r="J847" s="79"/>
      <c r="O847" s="79"/>
      <c r="P847" s="79"/>
      <c r="S847" s="79"/>
      <c r="T847" s="79"/>
      <c r="W847" s="130"/>
      <c r="Y847" s="106"/>
    </row>
    <row r="848">
      <c r="C848" s="79"/>
      <c r="D848" s="79"/>
      <c r="J848" s="79"/>
      <c r="O848" s="79"/>
      <c r="P848" s="79"/>
      <c r="S848" s="79"/>
      <c r="T848" s="79"/>
      <c r="W848" s="130"/>
      <c r="Y848" s="106"/>
    </row>
    <row r="849">
      <c r="C849" s="79"/>
      <c r="D849" s="79"/>
      <c r="J849" s="79"/>
      <c r="O849" s="79"/>
      <c r="P849" s="79"/>
      <c r="S849" s="79"/>
      <c r="T849" s="79"/>
      <c r="W849" s="130"/>
      <c r="Y849" s="106"/>
    </row>
    <row r="850">
      <c r="C850" s="79"/>
      <c r="D850" s="79"/>
      <c r="J850" s="79"/>
      <c r="O850" s="79"/>
      <c r="P850" s="79"/>
      <c r="S850" s="79"/>
      <c r="T850" s="79"/>
      <c r="W850" s="130"/>
      <c r="Y850" s="106"/>
    </row>
    <row r="851">
      <c r="C851" s="79"/>
      <c r="D851" s="79"/>
      <c r="J851" s="79"/>
      <c r="O851" s="79"/>
      <c r="P851" s="79"/>
      <c r="S851" s="79"/>
      <c r="T851" s="79"/>
      <c r="W851" s="130"/>
      <c r="Y851" s="106"/>
    </row>
    <row r="852">
      <c r="C852" s="79"/>
      <c r="D852" s="79"/>
      <c r="J852" s="79"/>
      <c r="O852" s="79"/>
      <c r="P852" s="79"/>
      <c r="S852" s="79"/>
      <c r="T852" s="79"/>
      <c r="W852" s="130"/>
      <c r="Y852" s="106"/>
    </row>
    <row r="853">
      <c r="C853" s="79"/>
      <c r="D853" s="79"/>
      <c r="J853" s="79"/>
      <c r="O853" s="79"/>
      <c r="P853" s="79"/>
      <c r="S853" s="79"/>
      <c r="T853" s="79"/>
      <c r="W853" s="130"/>
      <c r="Y853" s="106"/>
    </row>
    <row r="854">
      <c r="C854" s="79"/>
      <c r="D854" s="79"/>
      <c r="J854" s="79"/>
      <c r="O854" s="79"/>
      <c r="P854" s="79"/>
      <c r="S854" s="79"/>
      <c r="T854" s="79"/>
      <c r="W854" s="130"/>
      <c r="Y854" s="106"/>
    </row>
    <row r="855">
      <c r="C855" s="79"/>
      <c r="D855" s="79"/>
      <c r="J855" s="79"/>
      <c r="O855" s="79"/>
      <c r="P855" s="79"/>
      <c r="S855" s="79"/>
      <c r="T855" s="79"/>
      <c r="W855" s="130"/>
      <c r="Y855" s="106"/>
    </row>
    <row r="856">
      <c r="C856" s="79"/>
      <c r="D856" s="79"/>
      <c r="J856" s="79"/>
      <c r="O856" s="79"/>
      <c r="P856" s="79"/>
      <c r="S856" s="79"/>
      <c r="T856" s="79"/>
      <c r="W856" s="130"/>
      <c r="Y856" s="106"/>
    </row>
    <row r="857">
      <c r="C857" s="79"/>
      <c r="D857" s="79"/>
      <c r="J857" s="79"/>
      <c r="O857" s="79"/>
      <c r="P857" s="79"/>
      <c r="S857" s="79"/>
      <c r="T857" s="79"/>
      <c r="W857" s="130"/>
      <c r="Y857" s="106"/>
    </row>
    <row r="858">
      <c r="C858" s="79"/>
      <c r="D858" s="79"/>
      <c r="J858" s="79"/>
      <c r="O858" s="79"/>
      <c r="P858" s="79"/>
      <c r="S858" s="79"/>
      <c r="T858" s="79"/>
      <c r="W858" s="130"/>
      <c r="Y858" s="106"/>
    </row>
    <row r="859">
      <c r="C859" s="79"/>
      <c r="D859" s="79"/>
      <c r="J859" s="79"/>
      <c r="O859" s="79"/>
      <c r="P859" s="79"/>
      <c r="S859" s="79"/>
      <c r="T859" s="79"/>
      <c r="W859" s="130"/>
      <c r="Y859" s="106"/>
    </row>
    <row r="860">
      <c r="C860" s="79"/>
      <c r="D860" s="79"/>
      <c r="J860" s="79"/>
      <c r="O860" s="79"/>
      <c r="P860" s="79"/>
      <c r="S860" s="79"/>
      <c r="T860" s="79"/>
      <c r="W860" s="130"/>
      <c r="Y860" s="106"/>
    </row>
    <row r="861">
      <c r="C861" s="79"/>
      <c r="D861" s="79"/>
      <c r="J861" s="79"/>
      <c r="O861" s="79"/>
      <c r="P861" s="79"/>
      <c r="S861" s="79"/>
      <c r="T861" s="79"/>
      <c r="W861" s="130"/>
      <c r="Y861" s="106"/>
    </row>
    <row r="862">
      <c r="C862" s="79"/>
      <c r="D862" s="79"/>
      <c r="J862" s="79"/>
      <c r="O862" s="79"/>
      <c r="P862" s="79"/>
      <c r="S862" s="79"/>
      <c r="T862" s="79"/>
      <c r="W862" s="130"/>
      <c r="Y862" s="106"/>
    </row>
    <row r="863">
      <c r="C863" s="79"/>
      <c r="D863" s="79"/>
      <c r="J863" s="79"/>
      <c r="O863" s="79"/>
      <c r="P863" s="79"/>
      <c r="S863" s="79"/>
      <c r="T863" s="79"/>
      <c r="W863" s="130"/>
      <c r="Y863" s="106"/>
    </row>
    <row r="864">
      <c r="C864" s="79"/>
      <c r="D864" s="79"/>
      <c r="J864" s="79"/>
      <c r="O864" s="79"/>
      <c r="P864" s="79"/>
      <c r="S864" s="79"/>
      <c r="T864" s="79"/>
      <c r="W864" s="130"/>
      <c r="Y864" s="106"/>
    </row>
    <row r="865">
      <c r="C865" s="79"/>
      <c r="D865" s="79"/>
      <c r="J865" s="79"/>
      <c r="O865" s="79"/>
      <c r="P865" s="79"/>
      <c r="S865" s="79"/>
      <c r="T865" s="79"/>
      <c r="W865" s="130"/>
      <c r="Y865" s="106"/>
    </row>
    <row r="866">
      <c r="C866" s="79"/>
      <c r="D866" s="79"/>
      <c r="J866" s="79"/>
      <c r="O866" s="79"/>
      <c r="P866" s="79"/>
      <c r="S866" s="79"/>
      <c r="T866" s="79"/>
      <c r="W866" s="130"/>
      <c r="Y866" s="106"/>
    </row>
    <row r="867">
      <c r="C867" s="79"/>
      <c r="D867" s="79"/>
      <c r="J867" s="79"/>
      <c r="O867" s="79"/>
      <c r="P867" s="79"/>
      <c r="S867" s="79"/>
      <c r="T867" s="79"/>
      <c r="W867" s="130"/>
      <c r="Y867" s="106"/>
    </row>
    <row r="868">
      <c r="C868" s="79"/>
      <c r="D868" s="79"/>
      <c r="J868" s="79"/>
      <c r="O868" s="79"/>
      <c r="P868" s="79"/>
      <c r="S868" s="79"/>
      <c r="T868" s="79"/>
      <c r="W868" s="130"/>
      <c r="Y868" s="106"/>
    </row>
    <row r="869">
      <c r="C869" s="79"/>
      <c r="D869" s="79"/>
      <c r="J869" s="79"/>
      <c r="O869" s="79"/>
      <c r="P869" s="79"/>
      <c r="S869" s="79"/>
      <c r="T869" s="79"/>
      <c r="W869" s="130"/>
      <c r="Y869" s="106"/>
    </row>
    <row r="870">
      <c r="C870" s="79"/>
      <c r="D870" s="79"/>
      <c r="J870" s="79"/>
      <c r="O870" s="79"/>
      <c r="P870" s="79"/>
      <c r="S870" s="79"/>
      <c r="T870" s="79"/>
      <c r="W870" s="130"/>
      <c r="Y870" s="106"/>
    </row>
    <row r="871">
      <c r="C871" s="79"/>
      <c r="D871" s="79"/>
      <c r="J871" s="79"/>
      <c r="O871" s="79"/>
      <c r="P871" s="79"/>
      <c r="S871" s="79"/>
      <c r="T871" s="79"/>
      <c r="W871" s="130"/>
      <c r="Y871" s="106"/>
    </row>
    <row r="872">
      <c r="C872" s="79"/>
      <c r="D872" s="79"/>
      <c r="J872" s="79"/>
      <c r="O872" s="79"/>
      <c r="P872" s="79"/>
      <c r="S872" s="79"/>
      <c r="T872" s="79"/>
      <c r="W872" s="130"/>
      <c r="Y872" s="106"/>
    </row>
    <row r="873">
      <c r="C873" s="79"/>
      <c r="D873" s="79"/>
      <c r="J873" s="79"/>
      <c r="O873" s="79"/>
      <c r="P873" s="79"/>
      <c r="S873" s="79"/>
      <c r="T873" s="79"/>
      <c r="W873" s="130"/>
      <c r="Y873" s="106"/>
    </row>
    <row r="874">
      <c r="C874" s="79"/>
      <c r="D874" s="79"/>
      <c r="J874" s="79"/>
      <c r="O874" s="79"/>
      <c r="P874" s="79"/>
      <c r="S874" s="79"/>
      <c r="T874" s="79"/>
      <c r="W874" s="130"/>
      <c r="Y874" s="106"/>
    </row>
    <row r="875">
      <c r="C875" s="79"/>
      <c r="D875" s="79"/>
      <c r="J875" s="79"/>
      <c r="O875" s="79"/>
      <c r="P875" s="79"/>
      <c r="S875" s="79"/>
      <c r="T875" s="79"/>
      <c r="W875" s="130"/>
      <c r="Y875" s="106"/>
    </row>
    <row r="876">
      <c r="C876" s="79"/>
      <c r="D876" s="79"/>
      <c r="J876" s="79"/>
      <c r="O876" s="79"/>
      <c r="P876" s="79"/>
      <c r="S876" s="79"/>
      <c r="T876" s="79"/>
      <c r="W876" s="130"/>
      <c r="Y876" s="106"/>
    </row>
    <row r="877">
      <c r="C877" s="79"/>
      <c r="D877" s="79"/>
      <c r="J877" s="79"/>
      <c r="O877" s="79"/>
      <c r="P877" s="79"/>
      <c r="S877" s="79"/>
      <c r="T877" s="79"/>
      <c r="W877" s="130"/>
      <c r="Y877" s="106"/>
    </row>
    <row r="878">
      <c r="C878" s="79"/>
      <c r="D878" s="79"/>
      <c r="J878" s="79"/>
      <c r="O878" s="79"/>
      <c r="P878" s="79"/>
      <c r="S878" s="79"/>
      <c r="T878" s="79"/>
      <c r="W878" s="130"/>
      <c r="Y878" s="106"/>
    </row>
    <row r="879">
      <c r="C879" s="79"/>
      <c r="D879" s="79"/>
      <c r="J879" s="79"/>
      <c r="O879" s="79"/>
      <c r="P879" s="79"/>
      <c r="S879" s="79"/>
      <c r="T879" s="79"/>
      <c r="W879" s="130"/>
      <c r="Y879" s="106"/>
    </row>
    <row r="880">
      <c r="C880" s="79"/>
      <c r="D880" s="79"/>
      <c r="J880" s="79"/>
      <c r="O880" s="79"/>
      <c r="P880" s="79"/>
      <c r="S880" s="79"/>
      <c r="T880" s="79"/>
      <c r="W880" s="130"/>
      <c r="Y880" s="106"/>
    </row>
    <row r="881">
      <c r="C881" s="79"/>
      <c r="D881" s="79"/>
      <c r="J881" s="79"/>
      <c r="O881" s="79"/>
      <c r="P881" s="79"/>
      <c r="S881" s="79"/>
      <c r="T881" s="79"/>
      <c r="W881" s="130"/>
      <c r="Y881" s="106"/>
    </row>
    <row r="882">
      <c r="C882" s="79"/>
      <c r="D882" s="79"/>
      <c r="J882" s="79"/>
      <c r="O882" s="79"/>
      <c r="P882" s="79"/>
      <c r="S882" s="79"/>
      <c r="T882" s="79"/>
      <c r="W882" s="130"/>
      <c r="Y882" s="106"/>
    </row>
    <row r="883">
      <c r="C883" s="79"/>
      <c r="D883" s="79"/>
      <c r="J883" s="79"/>
      <c r="O883" s="79"/>
      <c r="P883" s="79"/>
      <c r="S883" s="79"/>
      <c r="T883" s="79"/>
      <c r="W883" s="130"/>
      <c r="Y883" s="106"/>
    </row>
    <row r="884">
      <c r="C884" s="79"/>
      <c r="D884" s="79"/>
      <c r="J884" s="79"/>
      <c r="O884" s="79"/>
      <c r="P884" s="79"/>
      <c r="S884" s="79"/>
      <c r="T884" s="79"/>
      <c r="W884" s="130"/>
      <c r="Y884" s="106"/>
    </row>
    <row r="885">
      <c r="C885" s="79"/>
      <c r="D885" s="79"/>
      <c r="J885" s="79"/>
      <c r="O885" s="79"/>
      <c r="P885" s="79"/>
      <c r="S885" s="79"/>
      <c r="T885" s="79"/>
      <c r="W885" s="130"/>
      <c r="Y885" s="106"/>
    </row>
    <row r="886">
      <c r="C886" s="79"/>
      <c r="D886" s="79"/>
      <c r="J886" s="79"/>
      <c r="O886" s="79"/>
      <c r="P886" s="79"/>
      <c r="S886" s="79"/>
      <c r="T886" s="79"/>
      <c r="W886" s="130"/>
      <c r="Y886" s="106"/>
    </row>
    <row r="887">
      <c r="C887" s="79"/>
      <c r="D887" s="79"/>
      <c r="J887" s="79"/>
      <c r="O887" s="79"/>
      <c r="P887" s="79"/>
      <c r="S887" s="79"/>
      <c r="T887" s="79"/>
      <c r="W887" s="130"/>
      <c r="Y887" s="106"/>
    </row>
    <row r="888">
      <c r="C888" s="79"/>
      <c r="D888" s="79"/>
      <c r="J888" s="79"/>
      <c r="O888" s="79"/>
      <c r="P888" s="79"/>
      <c r="S888" s="79"/>
      <c r="T888" s="79"/>
      <c r="W888" s="130"/>
      <c r="Y888" s="106"/>
    </row>
    <row r="889">
      <c r="C889" s="79"/>
      <c r="D889" s="79"/>
      <c r="J889" s="79"/>
      <c r="O889" s="79"/>
      <c r="P889" s="79"/>
      <c r="S889" s="79"/>
      <c r="T889" s="79"/>
      <c r="W889" s="130"/>
      <c r="Y889" s="106"/>
    </row>
    <row r="890">
      <c r="C890" s="79"/>
      <c r="D890" s="79"/>
      <c r="J890" s="79"/>
      <c r="O890" s="79"/>
      <c r="P890" s="79"/>
      <c r="S890" s="79"/>
      <c r="T890" s="79"/>
      <c r="W890" s="130"/>
      <c r="Y890" s="106"/>
    </row>
    <row r="891">
      <c r="C891" s="79"/>
      <c r="D891" s="79"/>
      <c r="J891" s="79"/>
      <c r="O891" s="79"/>
      <c r="P891" s="79"/>
      <c r="S891" s="79"/>
      <c r="T891" s="79"/>
      <c r="W891" s="130"/>
      <c r="Y891" s="106"/>
    </row>
    <row r="892">
      <c r="C892" s="79"/>
      <c r="D892" s="79"/>
      <c r="J892" s="79"/>
      <c r="O892" s="79"/>
      <c r="P892" s="79"/>
      <c r="S892" s="79"/>
      <c r="T892" s="79"/>
      <c r="W892" s="130"/>
      <c r="Y892" s="106"/>
    </row>
    <row r="893">
      <c r="C893" s="79"/>
      <c r="D893" s="79"/>
      <c r="J893" s="79"/>
      <c r="O893" s="79"/>
      <c r="P893" s="79"/>
      <c r="S893" s="79"/>
      <c r="T893" s="79"/>
      <c r="W893" s="130"/>
      <c r="Y893" s="106"/>
    </row>
    <row r="894">
      <c r="C894" s="79"/>
      <c r="D894" s="79"/>
      <c r="J894" s="79"/>
      <c r="O894" s="79"/>
      <c r="P894" s="79"/>
      <c r="S894" s="79"/>
      <c r="T894" s="79"/>
      <c r="W894" s="130"/>
      <c r="Y894" s="106"/>
    </row>
    <row r="895">
      <c r="C895" s="79"/>
      <c r="D895" s="79"/>
      <c r="J895" s="79"/>
      <c r="O895" s="79"/>
      <c r="P895" s="79"/>
      <c r="S895" s="79"/>
      <c r="T895" s="79"/>
      <c r="W895" s="130"/>
      <c r="Y895" s="106"/>
    </row>
    <row r="896">
      <c r="C896" s="79"/>
      <c r="D896" s="79"/>
      <c r="J896" s="79"/>
      <c r="O896" s="79"/>
      <c r="P896" s="79"/>
      <c r="S896" s="79"/>
      <c r="T896" s="79"/>
      <c r="W896" s="130"/>
      <c r="Y896" s="106"/>
    </row>
    <row r="897">
      <c r="C897" s="79"/>
      <c r="D897" s="79"/>
      <c r="J897" s="79"/>
      <c r="O897" s="79"/>
      <c r="P897" s="79"/>
      <c r="S897" s="79"/>
      <c r="T897" s="79"/>
      <c r="W897" s="130"/>
      <c r="Y897" s="106"/>
    </row>
    <row r="898">
      <c r="C898" s="79"/>
      <c r="D898" s="79"/>
      <c r="J898" s="79"/>
      <c r="O898" s="79"/>
      <c r="P898" s="79"/>
      <c r="S898" s="79"/>
      <c r="T898" s="79"/>
      <c r="W898" s="130"/>
      <c r="Y898" s="106"/>
    </row>
    <row r="899">
      <c r="C899" s="79"/>
      <c r="D899" s="79"/>
      <c r="J899" s="79"/>
      <c r="O899" s="79"/>
      <c r="P899" s="79"/>
      <c r="S899" s="79"/>
      <c r="T899" s="79"/>
      <c r="W899" s="130"/>
      <c r="Y899" s="106"/>
    </row>
    <row r="900">
      <c r="C900" s="79"/>
      <c r="D900" s="79"/>
      <c r="J900" s="79"/>
      <c r="O900" s="79"/>
      <c r="P900" s="79"/>
      <c r="S900" s="79"/>
      <c r="T900" s="79"/>
      <c r="W900" s="130"/>
      <c r="Y900" s="106"/>
    </row>
    <row r="901">
      <c r="C901" s="79"/>
      <c r="D901" s="79"/>
      <c r="J901" s="79"/>
      <c r="O901" s="79"/>
      <c r="P901" s="79"/>
      <c r="S901" s="79"/>
      <c r="T901" s="79"/>
      <c r="W901" s="130"/>
      <c r="Y901" s="106"/>
    </row>
    <row r="902">
      <c r="C902" s="79"/>
      <c r="D902" s="79"/>
      <c r="J902" s="79"/>
      <c r="O902" s="79"/>
      <c r="P902" s="79"/>
      <c r="S902" s="79"/>
      <c r="T902" s="79"/>
      <c r="W902" s="130"/>
      <c r="Y902" s="106"/>
    </row>
    <row r="903">
      <c r="C903" s="79"/>
      <c r="D903" s="79"/>
      <c r="J903" s="79"/>
      <c r="O903" s="79"/>
      <c r="P903" s="79"/>
      <c r="S903" s="79"/>
      <c r="T903" s="79"/>
      <c r="W903" s="130"/>
      <c r="Y903" s="106"/>
    </row>
    <row r="904">
      <c r="C904" s="79"/>
      <c r="D904" s="79"/>
      <c r="J904" s="79"/>
      <c r="O904" s="79"/>
      <c r="P904" s="79"/>
      <c r="S904" s="79"/>
      <c r="T904" s="79"/>
      <c r="W904" s="130"/>
      <c r="Y904" s="106"/>
    </row>
    <row r="905">
      <c r="C905" s="79"/>
      <c r="D905" s="79"/>
      <c r="J905" s="79"/>
      <c r="O905" s="79"/>
      <c r="P905" s="79"/>
      <c r="S905" s="79"/>
      <c r="T905" s="79"/>
      <c r="W905" s="130"/>
      <c r="Y905" s="106"/>
    </row>
    <row r="906">
      <c r="C906" s="79"/>
      <c r="D906" s="79"/>
      <c r="J906" s="79"/>
      <c r="O906" s="79"/>
      <c r="P906" s="79"/>
      <c r="S906" s="79"/>
      <c r="T906" s="79"/>
      <c r="W906" s="130"/>
      <c r="Y906" s="106"/>
    </row>
    <row r="907">
      <c r="C907" s="79"/>
      <c r="D907" s="79"/>
      <c r="J907" s="79"/>
      <c r="O907" s="79"/>
      <c r="P907" s="79"/>
      <c r="S907" s="79"/>
      <c r="T907" s="79"/>
      <c r="W907" s="130"/>
      <c r="Y907" s="106"/>
    </row>
    <row r="908">
      <c r="C908" s="79"/>
      <c r="D908" s="79"/>
      <c r="J908" s="79"/>
      <c r="O908" s="79"/>
      <c r="P908" s="79"/>
      <c r="S908" s="79"/>
      <c r="T908" s="79"/>
      <c r="W908" s="130"/>
      <c r="Y908" s="106"/>
    </row>
    <row r="909">
      <c r="C909" s="79"/>
      <c r="D909" s="79"/>
      <c r="J909" s="79"/>
      <c r="O909" s="79"/>
      <c r="P909" s="79"/>
      <c r="S909" s="79"/>
      <c r="T909" s="79"/>
      <c r="W909" s="130"/>
      <c r="Y909" s="106"/>
    </row>
    <row r="910">
      <c r="C910" s="79"/>
      <c r="D910" s="79"/>
      <c r="J910" s="79"/>
      <c r="O910" s="79"/>
      <c r="P910" s="79"/>
      <c r="S910" s="79"/>
      <c r="T910" s="79"/>
      <c r="W910" s="130"/>
      <c r="Y910" s="106"/>
    </row>
    <row r="911">
      <c r="C911" s="79"/>
      <c r="D911" s="79"/>
      <c r="J911" s="79"/>
      <c r="O911" s="79"/>
      <c r="P911" s="79"/>
      <c r="S911" s="79"/>
      <c r="T911" s="79"/>
      <c r="W911" s="130"/>
      <c r="Y911" s="106"/>
    </row>
    <row r="912">
      <c r="C912" s="79"/>
      <c r="D912" s="79"/>
      <c r="J912" s="79"/>
      <c r="O912" s="79"/>
      <c r="P912" s="79"/>
      <c r="S912" s="79"/>
      <c r="T912" s="79"/>
      <c r="W912" s="130"/>
      <c r="Y912" s="106"/>
    </row>
    <row r="913">
      <c r="C913" s="79"/>
      <c r="D913" s="79"/>
      <c r="J913" s="79"/>
      <c r="O913" s="79"/>
      <c r="P913" s="79"/>
      <c r="S913" s="79"/>
      <c r="T913" s="79"/>
      <c r="W913" s="130"/>
      <c r="Y913" s="106"/>
    </row>
    <row r="914">
      <c r="C914" s="79"/>
      <c r="D914" s="79"/>
      <c r="J914" s="79"/>
      <c r="O914" s="79"/>
      <c r="P914" s="79"/>
      <c r="S914" s="79"/>
      <c r="T914" s="79"/>
      <c r="W914" s="130"/>
      <c r="Y914" s="106"/>
    </row>
    <row r="915">
      <c r="C915" s="79"/>
      <c r="D915" s="79"/>
      <c r="J915" s="79"/>
      <c r="O915" s="79"/>
      <c r="P915" s="79"/>
      <c r="S915" s="79"/>
      <c r="T915" s="79"/>
      <c r="W915" s="130"/>
      <c r="Y915" s="106"/>
    </row>
    <row r="916">
      <c r="C916" s="79"/>
      <c r="D916" s="79"/>
      <c r="J916" s="79"/>
      <c r="O916" s="79"/>
      <c r="P916" s="79"/>
      <c r="S916" s="79"/>
      <c r="T916" s="79"/>
      <c r="W916" s="130"/>
      <c r="Y916" s="106"/>
    </row>
    <row r="917">
      <c r="C917" s="79"/>
      <c r="D917" s="79"/>
      <c r="J917" s="79"/>
      <c r="O917" s="79"/>
      <c r="P917" s="79"/>
      <c r="S917" s="79"/>
      <c r="T917" s="79"/>
      <c r="W917" s="130"/>
      <c r="Y917" s="106"/>
    </row>
    <row r="918">
      <c r="C918" s="79"/>
      <c r="D918" s="79"/>
      <c r="J918" s="79"/>
      <c r="O918" s="79"/>
      <c r="P918" s="79"/>
      <c r="S918" s="79"/>
      <c r="T918" s="79"/>
      <c r="W918" s="130"/>
      <c r="Y918" s="106"/>
    </row>
    <row r="919">
      <c r="C919" s="79"/>
      <c r="D919" s="79"/>
      <c r="J919" s="79"/>
      <c r="O919" s="79"/>
      <c r="P919" s="79"/>
      <c r="S919" s="79"/>
      <c r="T919" s="79"/>
      <c r="W919" s="130"/>
      <c r="Y919" s="106"/>
    </row>
    <row r="920">
      <c r="C920" s="79"/>
      <c r="D920" s="79"/>
      <c r="J920" s="79"/>
      <c r="O920" s="79"/>
      <c r="P920" s="79"/>
      <c r="S920" s="79"/>
      <c r="T920" s="79"/>
      <c r="W920" s="130"/>
      <c r="Y920" s="106"/>
    </row>
    <row r="921">
      <c r="C921" s="79"/>
      <c r="D921" s="79"/>
      <c r="J921" s="79"/>
      <c r="O921" s="79"/>
      <c r="P921" s="79"/>
      <c r="S921" s="79"/>
      <c r="T921" s="79"/>
      <c r="W921" s="130"/>
      <c r="Y921" s="106"/>
    </row>
    <row r="922">
      <c r="C922" s="79"/>
      <c r="D922" s="79"/>
      <c r="J922" s="79"/>
      <c r="O922" s="79"/>
      <c r="P922" s="79"/>
      <c r="S922" s="79"/>
      <c r="T922" s="79"/>
      <c r="W922" s="130"/>
      <c r="Y922" s="106"/>
    </row>
    <row r="923">
      <c r="C923" s="79"/>
      <c r="D923" s="79"/>
      <c r="J923" s="79"/>
      <c r="O923" s="79"/>
      <c r="P923" s="79"/>
      <c r="S923" s="79"/>
      <c r="T923" s="79"/>
      <c r="W923" s="130"/>
      <c r="Y923" s="106"/>
    </row>
    <row r="924">
      <c r="C924" s="79"/>
      <c r="D924" s="79"/>
      <c r="J924" s="79"/>
      <c r="O924" s="79"/>
      <c r="P924" s="79"/>
      <c r="S924" s="79"/>
      <c r="T924" s="79"/>
      <c r="W924" s="130"/>
      <c r="Y924" s="106"/>
    </row>
    <row r="925">
      <c r="C925" s="79"/>
      <c r="D925" s="79"/>
      <c r="J925" s="79"/>
      <c r="O925" s="79"/>
      <c r="P925" s="79"/>
      <c r="S925" s="79"/>
      <c r="T925" s="79"/>
      <c r="W925" s="130"/>
      <c r="Y925" s="106"/>
    </row>
    <row r="926">
      <c r="C926" s="79"/>
      <c r="D926" s="79"/>
      <c r="J926" s="79"/>
      <c r="O926" s="79"/>
      <c r="P926" s="79"/>
      <c r="S926" s="79"/>
      <c r="T926" s="79"/>
      <c r="W926" s="130"/>
      <c r="Y926" s="106"/>
    </row>
    <row r="927">
      <c r="C927" s="79"/>
      <c r="D927" s="79"/>
      <c r="J927" s="79"/>
      <c r="O927" s="79"/>
      <c r="P927" s="79"/>
      <c r="S927" s="79"/>
      <c r="T927" s="79"/>
      <c r="W927" s="130"/>
      <c r="Y927" s="106"/>
    </row>
    <row r="928">
      <c r="C928" s="79"/>
      <c r="D928" s="79"/>
      <c r="J928" s="79"/>
      <c r="O928" s="79"/>
      <c r="P928" s="79"/>
      <c r="S928" s="79"/>
      <c r="T928" s="79"/>
      <c r="W928" s="130"/>
      <c r="Y928" s="106"/>
    </row>
    <row r="929">
      <c r="C929" s="79"/>
      <c r="D929" s="79"/>
      <c r="J929" s="79"/>
      <c r="O929" s="79"/>
      <c r="P929" s="79"/>
      <c r="S929" s="79"/>
      <c r="T929" s="79"/>
      <c r="W929" s="130"/>
      <c r="Y929" s="106"/>
    </row>
    <row r="930">
      <c r="C930" s="79"/>
      <c r="D930" s="79"/>
      <c r="J930" s="79"/>
      <c r="O930" s="79"/>
      <c r="P930" s="79"/>
      <c r="S930" s="79"/>
      <c r="T930" s="79"/>
      <c r="W930" s="130"/>
      <c r="Y930" s="106"/>
    </row>
    <row r="931">
      <c r="C931" s="79"/>
      <c r="D931" s="79"/>
      <c r="J931" s="79"/>
      <c r="O931" s="79"/>
      <c r="P931" s="79"/>
      <c r="S931" s="79"/>
      <c r="T931" s="79"/>
      <c r="W931" s="130"/>
      <c r="Y931" s="106"/>
    </row>
    <row r="932">
      <c r="C932" s="79"/>
      <c r="D932" s="79"/>
      <c r="J932" s="79"/>
      <c r="O932" s="79"/>
      <c r="P932" s="79"/>
      <c r="S932" s="79"/>
      <c r="T932" s="79"/>
      <c r="W932" s="130"/>
      <c r="Y932" s="106"/>
    </row>
    <row r="933">
      <c r="C933" s="79"/>
      <c r="D933" s="79"/>
      <c r="J933" s="79"/>
      <c r="O933" s="79"/>
      <c r="P933" s="79"/>
      <c r="S933" s="79"/>
      <c r="T933" s="79"/>
      <c r="W933" s="130"/>
      <c r="Y933" s="106"/>
    </row>
    <row r="934">
      <c r="C934" s="79"/>
      <c r="D934" s="79"/>
      <c r="J934" s="79"/>
      <c r="O934" s="79"/>
      <c r="P934" s="79"/>
      <c r="S934" s="79"/>
      <c r="T934" s="79"/>
      <c r="W934" s="130"/>
      <c r="Y934" s="106"/>
    </row>
    <row r="935">
      <c r="C935" s="79"/>
      <c r="D935" s="79"/>
      <c r="J935" s="79"/>
      <c r="O935" s="79"/>
      <c r="P935" s="79"/>
      <c r="S935" s="79"/>
      <c r="T935" s="79"/>
      <c r="W935" s="130"/>
      <c r="Y935" s="106"/>
    </row>
    <row r="936">
      <c r="C936" s="79"/>
      <c r="D936" s="79"/>
      <c r="J936" s="79"/>
      <c r="O936" s="79"/>
      <c r="P936" s="79"/>
      <c r="S936" s="79"/>
      <c r="T936" s="79"/>
      <c r="W936" s="130"/>
      <c r="Y936" s="106"/>
    </row>
    <row r="937">
      <c r="C937" s="79"/>
      <c r="D937" s="79"/>
      <c r="J937" s="79"/>
      <c r="O937" s="79"/>
      <c r="P937" s="79"/>
      <c r="S937" s="79"/>
      <c r="T937" s="79"/>
      <c r="W937" s="130"/>
      <c r="Y937" s="106"/>
    </row>
    <row r="938">
      <c r="C938" s="79"/>
      <c r="D938" s="79"/>
      <c r="J938" s="79"/>
      <c r="O938" s="79"/>
      <c r="P938" s="79"/>
      <c r="S938" s="79"/>
      <c r="T938" s="79"/>
      <c r="W938" s="130"/>
      <c r="Y938" s="106"/>
    </row>
    <row r="939">
      <c r="C939" s="79"/>
      <c r="D939" s="79"/>
      <c r="J939" s="79"/>
      <c r="O939" s="79"/>
      <c r="P939" s="79"/>
      <c r="S939" s="79"/>
      <c r="T939" s="79"/>
      <c r="W939" s="130"/>
      <c r="Y939" s="106"/>
    </row>
    <row r="940">
      <c r="C940" s="79"/>
      <c r="D940" s="79"/>
      <c r="J940" s="79"/>
      <c r="O940" s="79"/>
      <c r="P940" s="79"/>
      <c r="S940" s="79"/>
      <c r="T940" s="79"/>
      <c r="W940" s="130"/>
      <c r="Y940" s="106"/>
    </row>
    <row r="941">
      <c r="C941" s="79"/>
      <c r="D941" s="79"/>
      <c r="J941" s="79"/>
      <c r="O941" s="79"/>
      <c r="P941" s="79"/>
      <c r="S941" s="79"/>
      <c r="T941" s="79"/>
      <c r="W941" s="130"/>
      <c r="Y941" s="106"/>
    </row>
    <row r="942">
      <c r="C942" s="79"/>
      <c r="D942" s="79"/>
      <c r="J942" s="79"/>
      <c r="O942" s="79"/>
      <c r="P942" s="79"/>
      <c r="S942" s="79"/>
      <c r="T942" s="79"/>
      <c r="W942" s="130"/>
      <c r="Y942" s="106"/>
    </row>
    <row r="943">
      <c r="C943" s="79"/>
      <c r="D943" s="79"/>
      <c r="J943" s="79"/>
      <c r="O943" s="79"/>
      <c r="P943" s="79"/>
      <c r="S943" s="79"/>
      <c r="T943" s="79"/>
      <c r="W943" s="130"/>
      <c r="Y943" s="106"/>
    </row>
    <row r="944">
      <c r="C944" s="79"/>
      <c r="D944" s="79"/>
      <c r="J944" s="79"/>
      <c r="O944" s="79"/>
      <c r="P944" s="79"/>
      <c r="S944" s="79"/>
      <c r="T944" s="79"/>
      <c r="W944" s="130"/>
      <c r="Y944" s="106"/>
    </row>
    <row r="945">
      <c r="C945" s="79"/>
      <c r="D945" s="79"/>
      <c r="J945" s="79"/>
      <c r="O945" s="79"/>
      <c r="P945" s="79"/>
      <c r="S945" s="79"/>
      <c r="T945" s="79"/>
      <c r="W945" s="130"/>
      <c r="Y945" s="106"/>
    </row>
    <row r="946">
      <c r="C946" s="79"/>
      <c r="D946" s="79"/>
      <c r="J946" s="79"/>
      <c r="O946" s="79"/>
      <c r="P946" s="79"/>
      <c r="S946" s="79"/>
      <c r="T946" s="79"/>
      <c r="W946" s="130"/>
      <c r="Y946" s="106"/>
    </row>
    <row r="947">
      <c r="C947" s="79"/>
      <c r="D947" s="79"/>
      <c r="J947" s="79"/>
      <c r="O947" s="79"/>
      <c r="P947" s="79"/>
      <c r="S947" s="79"/>
      <c r="T947" s="79"/>
      <c r="W947" s="130"/>
      <c r="Y947" s="106"/>
    </row>
    <row r="948">
      <c r="C948" s="79"/>
      <c r="D948" s="79"/>
      <c r="J948" s="79"/>
      <c r="O948" s="79"/>
      <c r="P948" s="79"/>
      <c r="S948" s="79"/>
      <c r="T948" s="79"/>
      <c r="W948" s="130"/>
      <c r="Y948" s="106"/>
    </row>
    <row r="949">
      <c r="C949" s="79"/>
      <c r="D949" s="79"/>
      <c r="J949" s="79"/>
      <c r="O949" s="79"/>
      <c r="P949" s="79"/>
      <c r="S949" s="79"/>
      <c r="T949" s="79"/>
      <c r="W949" s="130"/>
      <c r="Y949" s="106"/>
    </row>
    <row r="950">
      <c r="C950" s="79"/>
      <c r="D950" s="79"/>
      <c r="J950" s="79"/>
      <c r="O950" s="79"/>
      <c r="P950" s="79"/>
      <c r="S950" s="79"/>
      <c r="T950" s="79"/>
      <c r="W950" s="130"/>
      <c r="Y950" s="106"/>
    </row>
    <row r="951">
      <c r="C951" s="79"/>
      <c r="D951" s="79"/>
      <c r="J951" s="79"/>
      <c r="O951" s="79"/>
      <c r="P951" s="79"/>
      <c r="S951" s="79"/>
      <c r="T951" s="79"/>
      <c r="W951" s="130"/>
      <c r="Y951" s="106"/>
    </row>
    <row r="952">
      <c r="C952" s="79"/>
      <c r="D952" s="79"/>
      <c r="J952" s="79"/>
      <c r="O952" s="79"/>
      <c r="P952" s="79"/>
      <c r="S952" s="79"/>
      <c r="T952" s="79"/>
      <c r="W952" s="130"/>
      <c r="Y952" s="106"/>
    </row>
    <row r="953">
      <c r="C953" s="79"/>
      <c r="D953" s="79"/>
      <c r="J953" s="79"/>
      <c r="O953" s="79"/>
      <c r="P953" s="79"/>
      <c r="S953" s="79"/>
      <c r="T953" s="79"/>
      <c r="W953" s="130"/>
      <c r="Y953" s="106"/>
    </row>
    <row r="954">
      <c r="C954" s="79"/>
      <c r="D954" s="79"/>
      <c r="J954" s="79"/>
      <c r="O954" s="79"/>
      <c r="P954" s="79"/>
      <c r="S954" s="79"/>
      <c r="T954" s="79"/>
      <c r="W954" s="130"/>
      <c r="Y954" s="106"/>
    </row>
    <row r="955">
      <c r="C955" s="79"/>
      <c r="D955" s="79"/>
      <c r="J955" s="79"/>
      <c r="O955" s="79"/>
      <c r="P955" s="79"/>
      <c r="S955" s="79"/>
      <c r="T955" s="79"/>
      <c r="W955" s="130"/>
      <c r="Y955" s="106"/>
    </row>
    <row r="956">
      <c r="C956" s="79"/>
      <c r="D956" s="79"/>
      <c r="J956" s="79"/>
      <c r="O956" s="79"/>
      <c r="P956" s="79"/>
      <c r="S956" s="79"/>
      <c r="T956" s="79"/>
      <c r="W956" s="130"/>
      <c r="Y956" s="106"/>
    </row>
    <row r="957">
      <c r="C957" s="79"/>
      <c r="D957" s="79"/>
      <c r="J957" s="79"/>
      <c r="O957" s="79"/>
      <c r="P957" s="79"/>
      <c r="S957" s="79"/>
      <c r="T957" s="79"/>
      <c r="W957" s="130"/>
      <c r="Y957" s="106"/>
    </row>
    <row r="958">
      <c r="C958" s="79"/>
      <c r="D958" s="79"/>
      <c r="J958" s="79"/>
      <c r="O958" s="79"/>
      <c r="P958" s="79"/>
      <c r="S958" s="79"/>
      <c r="T958" s="79"/>
      <c r="W958" s="130"/>
      <c r="Y958" s="106"/>
    </row>
    <row r="959">
      <c r="C959" s="79"/>
      <c r="D959" s="79"/>
      <c r="J959" s="79"/>
      <c r="O959" s="79"/>
      <c r="P959" s="79"/>
      <c r="S959" s="79"/>
      <c r="T959" s="79"/>
      <c r="W959" s="130"/>
      <c r="Y959" s="106"/>
    </row>
    <row r="960">
      <c r="C960" s="79"/>
      <c r="D960" s="79"/>
      <c r="J960" s="79"/>
      <c r="O960" s="79"/>
      <c r="P960" s="79"/>
      <c r="S960" s="79"/>
      <c r="T960" s="79"/>
      <c r="W960" s="130"/>
      <c r="Y960" s="106"/>
    </row>
    <row r="961">
      <c r="C961" s="79"/>
      <c r="D961" s="79"/>
      <c r="J961" s="79"/>
      <c r="O961" s="79"/>
      <c r="P961" s="79"/>
      <c r="S961" s="79"/>
      <c r="T961" s="79"/>
      <c r="W961" s="130"/>
      <c r="Y961" s="106"/>
    </row>
    <row r="962">
      <c r="C962" s="79"/>
      <c r="D962" s="79"/>
      <c r="J962" s="79"/>
      <c r="O962" s="79"/>
      <c r="P962" s="79"/>
      <c r="S962" s="79"/>
      <c r="T962" s="79"/>
      <c r="W962" s="130"/>
      <c r="Y962" s="106"/>
    </row>
    <row r="963">
      <c r="C963" s="79"/>
      <c r="D963" s="79"/>
      <c r="J963" s="79"/>
      <c r="O963" s="79"/>
      <c r="P963" s="79"/>
      <c r="S963" s="79"/>
      <c r="T963" s="79"/>
      <c r="W963" s="130"/>
      <c r="Y963" s="106"/>
    </row>
    <row r="964">
      <c r="C964" s="79"/>
      <c r="D964" s="79"/>
      <c r="J964" s="79"/>
      <c r="O964" s="79"/>
      <c r="P964" s="79"/>
      <c r="S964" s="79"/>
      <c r="T964" s="79"/>
      <c r="W964" s="130"/>
      <c r="Y964" s="106"/>
    </row>
    <row r="965">
      <c r="C965" s="79"/>
      <c r="D965" s="79"/>
      <c r="J965" s="79"/>
      <c r="O965" s="79"/>
      <c r="P965" s="79"/>
      <c r="S965" s="79"/>
      <c r="T965" s="79"/>
      <c r="W965" s="130"/>
      <c r="Y965" s="106"/>
    </row>
    <row r="966">
      <c r="C966" s="79"/>
      <c r="D966" s="79"/>
      <c r="J966" s="79"/>
      <c r="O966" s="79"/>
      <c r="P966" s="79"/>
      <c r="S966" s="79"/>
      <c r="T966" s="79"/>
      <c r="W966" s="130"/>
      <c r="Y966" s="106"/>
    </row>
    <row r="967">
      <c r="C967" s="79"/>
      <c r="D967" s="79"/>
      <c r="J967" s="79"/>
      <c r="O967" s="79"/>
      <c r="P967" s="79"/>
      <c r="S967" s="79"/>
      <c r="T967" s="79"/>
      <c r="W967" s="130"/>
      <c r="Y967" s="106"/>
    </row>
    <row r="968">
      <c r="C968" s="79"/>
      <c r="D968" s="79"/>
      <c r="J968" s="79"/>
      <c r="O968" s="79"/>
      <c r="P968" s="79"/>
      <c r="S968" s="79"/>
      <c r="T968" s="79"/>
      <c r="W968" s="130"/>
      <c r="Y968" s="106"/>
    </row>
    <row r="969">
      <c r="C969" s="79"/>
      <c r="D969" s="79"/>
      <c r="J969" s="79"/>
      <c r="O969" s="79"/>
      <c r="P969" s="79"/>
      <c r="S969" s="79"/>
      <c r="T969" s="79"/>
      <c r="W969" s="130"/>
      <c r="Y969" s="106"/>
    </row>
    <row r="970">
      <c r="C970" s="79"/>
      <c r="D970" s="79"/>
      <c r="J970" s="79"/>
      <c r="O970" s="79"/>
      <c r="P970" s="79"/>
      <c r="S970" s="79"/>
      <c r="T970" s="79"/>
      <c r="W970" s="130"/>
      <c r="Y970" s="106"/>
    </row>
    <row r="971">
      <c r="C971" s="79"/>
      <c r="D971" s="79"/>
      <c r="J971" s="79"/>
      <c r="O971" s="79"/>
      <c r="P971" s="79"/>
      <c r="S971" s="79"/>
      <c r="T971" s="79"/>
      <c r="W971" s="130"/>
      <c r="Y971" s="106"/>
    </row>
    <row r="972">
      <c r="C972" s="79"/>
      <c r="D972" s="79"/>
      <c r="J972" s="79"/>
      <c r="O972" s="79"/>
      <c r="P972" s="79"/>
      <c r="S972" s="79"/>
      <c r="T972" s="79"/>
      <c r="W972" s="130"/>
      <c r="Y972" s="106"/>
    </row>
    <row r="973">
      <c r="C973" s="79"/>
      <c r="D973" s="79"/>
      <c r="J973" s="79"/>
      <c r="O973" s="79"/>
      <c r="P973" s="79"/>
      <c r="S973" s="79"/>
      <c r="T973" s="79"/>
      <c r="W973" s="130"/>
      <c r="Y973" s="106"/>
    </row>
    <row r="974">
      <c r="C974" s="79"/>
      <c r="D974" s="79"/>
      <c r="J974" s="79"/>
      <c r="O974" s="79"/>
      <c r="P974" s="79"/>
      <c r="S974" s="79"/>
      <c r="T974" s="79"/>
      <c r="W974" s="130"/>
      <c r="Y974" s="106"/>
    </row>
    <row r="975">
      <c r="C975" s="79"/>
      <c r="D975" s="79"/>
      <c r="J975" s="79"/>
      <c r="O975" s="79"/>
      <c r="P975" s="79"/>
      <c r="S975" s="79"/>
      <c r="T975" s="79"/>
      <c r="W975" s="130"/>
      <c r="Y975" s="106"/>
    </row>
    <row r="976">
      <c r="C976" s="79"/>
      <c r="D976" s="79"/>
      <c r="J976" s="79"/>
      <c r="O976" s="79"/>
      <c r="P976" s="79"/>
      <c r="S976" s="79"/>
      <c r="T976" s="79"/>
      <c r="W976" s="130"/>
      <c r="Y976" s="106"/>
    </row>
    <row r="977">
      <c r="C977" s="79"/>
      <c r="D977" s="79"/>
      <c r="J977" s="79"/>
      <c r="O977" s="79"/>
      <c r="P977" s="79"/>
      <c r="S977" s="79"/>
      <c r="T977" s="79"/>
      <c r="W977" s="130"/>
      <c r="Y977" s="106"/>
    </row>
    <row r="978">
      <c r="C978" s="79"/>
      <c r="D978" s="79"/>
      <c r="J978" s="79"/>
      <c r="O978" s="79"/>
      <c r="P978" s="79"/>
      <c r="S978" s="79"/>
      <c r="T978" s="79"/>
      <c r="W978" s="130"/>
      <c r="Y978" s="106"/>
    </row>
    <row r="979">
      <c r="C979" s="79"/>
      <c r="D979" s="79"/>
      <c r="J979" s="79"/>
      <c r="O979" s="79"/>
      <c r="P979" s="79"/>
      <c r="S979" s="79"/>
      <c r="T979" s="79"/>
      <c r="W979" s="130"/>
      <c r="Y979" s="106"/>
    </row>
    <row r="980">
      <c r="C980" s="79"/>
      <c r="D980" s="79"/>
      <c r="J980" s="79"/>
      <c r="O980" s="79"/>
      <c r="P980" s="79"/>
      <c r="S980" s="79"/>
      <c r="T980" s="79"/>
      <c r="W980" s="130"/>
      <c r="Y980" s="106"/>
    </row>
    <row r="981">
      <c r="C981" s="79"/>
      <c r="D981" s="79"/>
      <c r="J981" s="79"/>
      <c r="O981" s="79"/>
      <c r="P981" s="79"/>
      <c r="S981" s="79"/>
      <c r="T981" s="79"/>
      <c r="W981" s="130"/>
      <c r="Y981" s="106"/>
    </row>
    <row r="982">
      <c r="C982" s="79"/>
      <c r="D982" s="79"/>
      <c r="J982" s="79"/>
      <c r="O982" s="79"/>
      <c r="P982" s="79"/>
      <c r="S982" s="79"/>
      <c r="T982" s="79"/>
      <c r="W982" s="130"/>
      <c r="Y982" s="106"/>
    </row>
    <row r="983">
      <c r="C983" s="79"/>
      <c r="D983" s="79"/>
      <c r="J983" s="79"/>
      <c r="O983" s="79"/>
      <c r="P983" s="79"/>
      <c r="S983" s="79"/>
      <c r="T983" s="79"/>
      <c r="W983" s="130"/>
      <c r="Y983" s="106"/>
    </row>
    <row r="984">
      <c r="C984" s="79"/>
      <c r="D984" s="79"/>
      <c r="J984" s="79"/>
      <c r="O984" s="79"/>
      <c r="P984" s="79"/>
      <c r="S984" s="79"/>
      <c r="T984" s="79"/>
      <c r="W984" s="130"/>
      <c r="Y984" s="106"/>
    </row>
    <row r="985">
      <c r="C985" s="79"/>
      <c r="D985" s="79"/>
      <c r="J985" s="79"/>
      <c r="O985" s="79"/>
      <c r="P985" s="79"/>
      <c r="S985" s="79"/>
      <c r="T985" s="79"/>
      <c r="W985" s="130"/>
      <c r="Y985" s="106"/>
    </row>
    <row r="986">
      <c r="C986" s="79"/>
      <c r="D986" s="79"/>
      <c r="J986" s="79"/>
      <c r="O986" s="79"/>
      <c r="P986" s="79"/>
      <c r="S986" s="79"/>
      <c r="T986" s="79"/>
      <c r="W986" s="130"/>
      <c r="Y986" s="106"/>
    </row>
    <row r="987">
      <c r="C987" s="79"/>
      <c r="D987" s="79"/>
      <c r="J987" s="79"/>
      <c r="O987" s="79"/>
      <c r="P987" s="79"/>
      <c r="S987" s="79"/>
      <c r="T987" s="79"/>
      <c r="W987" s="130"/>
      <c r="Y987" s="106"/>
    </row>
    <row r="988">
      <c r="C988" s="79"/>
      <c r="D988" s="79"/>
      <c r="J988" s="79"/>
      <c r="O988" s="79"/>
      <c r="P988" s="79"/>
      <c r="S988" s="79"/>
      <c r="T988" s="79"/>
      <c r="W988" s="130"/>
      <c r="Y988" s="106"/>
    </row>
    <row r="989">
      <c r="C989" s="79"/>
      <c r="D989" s="79"/>
      <c r="J989" s="79"/>
      <c r="O989" s="79"/>
      <c r="P989" s="79"/>
      <c r="S989" s="79"/>
      <c r="T989" s="79"/>
      <c r="W989" s="130"/>
      <c r="Y989" s="106"/>
    </row>
    <row r="990">
      <c r="C990" s="79"/>
      <c r="D990" s="79"/>
      <c r="J990" s="79"/>
      <c r="O990" s="79"/>
      <c r="P990" s="79"/>
      <c r="S990" s="79"/>
      <c r="T990" s="79"/>
      <c r="W990" s="130"/>
      <c r="Y990" s="106"/>
    </row>
    <row r="991">
      <c r="C991" s="79"/>
      <c r="D991" s="79"/>
      <c r="J991" s="79"/>
      <c r="O991" s="79"/>
      <c r="P991" s="79"/>
      <c r="S991" s="79"/>
      <c r="T991" s="79"/>
      <c r="W991" s="130"/>
      <c r="Y991" s="106"/>
    </row>
    <row r="992">
      <c r="C992" s="79"/>
      <c r="D992" s="79"/>
      <c r="J992" s="79"/>
      <c r="O992" s="79"/>
      <c r="P992" s="79"/>
      <c r="S992" s="79"/>
      <c r="T992" s="79"/>
      <c r="W992" s="130"/>
      <c r="Y992" s="106"/>
    </row>
    <row r="993">
      <c r="C993" s="79"/>
      <c r="D993" s="79"/>
      <c r="J993" s="79"/>
      <c r="O993" s="79"/>
      <c r="P993" s="79"/>
      <c r="S993" s="79"/>
      <c r="T993" s="79"/>
      <c r="W993" s="130"/>
      <c r="Y993" s="106"/>
    </row>
    <row r="994">
      <c r="C994" s="79"/>
      <c r="D994" s="79"/>
      <c r="J994" s="79"/>
      <c r="O994" s="79"/>
      <c r="P994" s="79"/>
      <c r="S994" s="79"/>
      <c r="T994" s="79"/>
      <c r="W994" s="130"/>
      <c r="Y994" s="106"/>
    </row>
    <row r="995">
      <c r="C995" s="79"/>
      <c r="D995" s="79"/>
      <c r="J995" s="79"/>
      <c r="O995" s="79"/>
      <c r="P995" s="79"/>
      <c r="S995" s="79"/>
      <c r="T995" s="79"/>
      <c r="W995" s="130"/>
      <c r="Y995" s="106"/>
    </row>
    <row r="996">
      <c r="C996" s="79"/>
      <c r="D996" s="79"/>
      <c r="J996" s="79"/>
      <c r="O996" s="79"/>
      <c r="P996" s="79"/>
      <c r="S996" s="79"/>
      <c r="T996" s="79"/>
      <c r="W996" s="130"/>
      <c r="Y996" s="106"/>
    </row>
    <row r="997">
      <c r="C997" s="79"/>
      <c r="D997" s="79"/>
      <c r="J997" s="79"/>
      <c r="O997" s="79"/>
      <c r="P997" s="79"/>
      <c r="S997" s="79"/>
      <c r="T997" s="79"/>
      <c r="W997" s="130"/>
      <c r="Y997" s="106"/>
    </row>
    <row r="998">
      <c r="C998" s="79"/>
      <c r="D998" s="79"/>
      <c r="J998" s="79"/>
      <c r="O998" s="79"/>
      <c r="P998" s="79"/>
      <c r="S998" s="79"/>
      <c r="T998" s="79"/>
      <c r="W998" s="130"/>
      <c r="Y998" s="106"/>
    </row>
    <row r="999">
      <c r="C999" s="79"/>
      <c r="D999" s="79"/>
      <c r="J999" s="79"/>
      <c r="O999" s="79"/>
      <c r="P999" s="79"/>
      <c r="S999" s="79"/>
      <c r="T999" s="79"/>
      <c r="W999" s="130"/>
      <c r="Y999" s="106"/>
    </row>
    <row r="1000">
      <c r="C1000" s="79"/>
      <c r="D1000" s="79"/>
      <c r="J1000" s="79"/>
      <c r="O1000" s="79"/>
      <c r="P1000" s="79"/>
      <c r="S1000" s="79"/>
      <c r="T1000" s="79"/>
      <c r="W1000" s="130"/>
      <c r="Y1000" s="106"/>
    </row>
  </sheetData>
  <mergeCells count="1">
    <mergeCell ref="H19:J19"/>
  </mergeCells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6" max="26" width="17.0"/>
  </cols>
  <sheetData>
    <row r="1">
      <c r="B1" s="2" t="s">
        <v>0</v>
      </c>
      <c r="C1" s="105" t="s">
        <v>1</v>
      </c>
      <c r="D1" s="105" t="s">
        <v>7</v>
      </c>
      <c r="E1" s="2" t="s">
        <v>3</v>
      </c>
      <c r="F1" s="2" t="s">
        <v>129</v>
      </c>
      <c r="G1" s="2" t="s">
        <v>5</v>
      </c>
      <c r="H1" s="2" t="s">
        <v>6</v>
      </c>
      <c r="I1" s="2" t="s">
        <v>43</v>
      </c>
      <c r="J1" s="105" t="s">
        <v>40</v>
      </c>
      <c r="K1" s="2" t="s">
        <v>49</v>
      </c>
      <c r="L1" s="2" t="s">
        <v>42</v>
      </c>
      <c r="M1" s="2"/>
      <c r="N1" s="2" t="s">
        <v>121</v>
      </c>
      <c r="O1" s="2" t="s">
        <v>164</v>
      </c>
      <c r="P1" s="105" t="s">
        <v>9</v>
      </c>
      <c r="Q1" s="105" t="s">
        <v>165</v>
      </c>
      <c r="R1" s="2" t="s">
        <v>37</v>
      </c>
      <c r="S1" s="2" t="s">
        <v>10</v>
      </c>
      <c r="T1" s="105" t="s">
        <v>11</v>
      </c>
      <c r="U1" s="105" t="s">
        <v>167</v>
      </c>
      <c r="V1" s="2" t="s">
        <v>12</v>
      </c>
      <c r="W1" s="3" t="s">
        <v>13</v>
      </c>
      <c r="X1" s="126" t="s">
        <v>14</v>
      </c>
      <c r="Y1" s="3" t="s">
        <v>15</v>
      </c>
      <c r="Z1" s="106"/>
    </row>
    <row r="2">
      <c r="A2" s="74">
        <v>45166.0</v>
      </c>
      <c r="B2" s="5">
        <v>1155.03</v>
      </c>
      <c r="C2" s="93">
        <v>555.81</v>
      </c>
      <c r="D2" s="93"/>
      <c r="E2" s="5"/>
      <c r="F2" s="5">
        <v>521.94</v>
      </c>
      <c r="G2" s="5"/>
      <c r="H2" s="5"/>
      <c r="I2" s="5"/>
      <c r="J2" s="136"/>
      <c r="K2" s="5"/>
      <c r="L2" s="5"/>
      <c r="M2" s="5"/>
      <c r="N2" s="5"/>
      <c r="O2" s="5"/>
      <c r="P2" s="93"/>
      <c r="Q2" s="93"/>
      <c r="R2" s="5"/>
      <c r="S2" s="5"/>
      <c r="T2" s="93">
        <v>109.97</v>
      </c>
      <c r="U2" s="93"/>
      <c r="V2" s="5">
        <v>20.1</v>
      </c>
      <c r="W2" s="107">
        <f t="shared" ref="W2:W7" si="1">SUM(B2:V2)</f>
        <v>2362.85</v>
      </c>
      <c r="X2" s="108">
        <v>3238.0</v>
      </c>
      <c r="Y2" s="59">
        <f t="shared" ref="Y2:Y8" si="2">W2/X2</f>
        <v>0.729725139</v>
      </c>
      <c r="Z2" s="109">
        <f t="shared" ref="Z2:Z8" si="3">A2</f>
        <v>45166</v>
      </c>
    </row>
    <row r="3">
      <c r="A3" s="74">
        <v>45167.0</v>
      </c>
      <c r="B3" s="5">
        <v>738.43</v>
      </c>
      <c r="C3" s="110"/>
      <c r="D3" s="93"/>
      <c r="E3" s="5"/>
      <c r="F3" s="5">
        <v>266.42</v>
      </c>
      <c r="G3" s="5"/>
      <c r="H3" s="5">
        <v>42.0</v>
      </c>
      <c r="I3" s="5"/>
      <c r="J3" s="93"/>
      <c r="K3" s="5"/>
      <c r="L3" s="5"/>
      <c r="M3" s="5"/>
      <c r="N3" s="6"/>
      <c r="O3" s="6"/>
      <c r="P3" s="93"/>
      <c r="Q3" s="93"/>
      <c r="R3" s="93"/>
      <c r="S3" s="5"/>
      <c r="T3" s="93"/>
      <c r="U3" s="93"/>
      <c r="V3" s="93">
        <v>179.96</v>
      </c>
      <c r="W3" s="7">
        <f t="shared" si="1"/>
        <v>1226.81</v>
      </c>
      <c r="X3" s="97">
        <v>5005.5</v>
      </c>
      <c r="Y3" s="59">
        <f t="shared" si="2"/>
        <v>0.2450923984</v>
      </c>
      <c r="Z3" s="109">
        <f t="shared" si="3"/>
        <v>45167</v>
      </c>
    </row>
    <row r="4">
      <c r="A4" s="74">
        <v>45168.0</v>
      </c>
      <c r="B4" s="5">
        <v>503.93</v>
      </c>
      <c r="C4" s="93">
        <v>1136.39</v>
      </c>
      <c r="D4" s="93"/>
      <c r="E4" s="5"/>
      <c r="F4" s="5"/>
      <c r="G4" s="5"/>
      <c r="H4" s="5"/>
      <c r="I4" s="5"/>
      <c r="J4" s="93"/>
      <c r="K4" s="5"/>
      <c r="L4" s="5"/>
      <c r="M4" s="5"/>
      <c r="N4" s="5">
        <v>18.5</v>
      </c>
      <c r="O4" s="5"/>
      <c r="P4" s="93"/>
      <c r="Q4" s="93"/>
      <c r="R4" s="5"/>
      <c r="S4" s="83"/>
      <c r="T4" s="93">
        <v>109.97</v>
      </c>
      <c r="U4" s="93"/>
      <c r="V4" s="6"/>
      <c r="W4" s="7">
        <f t="shared" si="1"/>
        <v>1768.79</v>
      </c>
      <c r="X4" s="97">
        <v>6469.7</v>
      </c>
      <c r="Y4" s="59">
        <f t="shared" si="2"/>
        <v>0.2733959844</v>
      </c>
      <c r="Z4" s="109">
        <f t="shared" si="3"/>
        <v>45168</v>
      </c>
    </row>
    <row r="5">
      <c r="A5" s="74">
        <v>45169.0</v>
      </c>
      <c r="B5" s="5">
        <v>1436.25</v>
      </c>
      <c r="C5" s="93">
        <v>402.36</v>
      </c>
      <c r="D5" s="101"/>
      <c r="E5" s="5">
        <v>180.0</v>
      </c>
      <c r="F5" s="5"/>
      <c r="G5" s="5"/>
      <c r="H5" s="5"/>
      <c r="I5" s="5"/>
      <c r="J5" s="93"/>
      <c r="K5" s="5"/>
      <c r="L5" s="5"/>
      <c r="M5" s="5"/>
      <c r="N5" s="5">
        <v>18.5</v>
      </c>
      <c r="O5" s="5"/>
      <c r="P5" s="93"/>
      <c r="Q5" s="93"/>
      <c r="R5" s="5"/>
      <c r="S5" s="5"/>
      <c r="T5" s="101"/>
      <c r="U5" s="101"/>
      <c r="V5" s="6"/>
      <c r="W5" s="7">
        <f t="shared" si="1"/>
        <v>2037.11</v>
      </c>
      <c r="X5" s="98">
        <v>7747.2</v>
      </c>
      <c r="Y5" s="59">
        <f t="shared" si="2"/>
        <v>0.2629479038</v>
      </c>
      <c r="Z5" s="109">
        <f t="shared" si="3"/>
        <v>45169</v>
      </c>
    </row>
    <row r="6">
      <c r="A6" s="74">
        <v>45170.0</v>
      </c>
      <c r="B6" s="5">
        <v>1891.25</v>
      </c>
      <c r="C6" s="93"/>
      <c r="D6" s="93"/>
      <c r="E6" s="5"/>
      <c r="F6" s="32">
        <v>575.52</v>
      </c>
      <c r="G6" s="5">
        <v>718.5</v>
      </c>
      <c r="H6" s="5">
        <v>123.0</v>
      </c>
      <c r="I6" s="5"/>
      <c r="J6" s="111"/>
      <c r="K6" s="5"/>
      <c r="L6" s="5"/>
      <c r="M6" s="5"/>
      <c r="N6" s="5">
        <v>18.5</v>
      </c>
      <c r="O6" s="5"/>
      <c r="P6" s="93"/>
      <c r="Q6" s="93">
        <v>50.0</v>
      </c>
      <c r="R6" s="5"/>
      <c r="S6" s="5"/>
      <c r="T6" s="93">
        <v>109.97</v>
      </c>
      <c r="U6" s="93"/>
      <c r="V6" s="5"/>
      <c r="W6" s="7">
        <f t="shared" si="1"/>
        <v>3486.74</v>
      </c>
      <c r="X6" s="97">
        <v>10548.5</v>
      </c>
      <c r="Y6" s="59">
        <f t="shared" si="2"/>
        <v>0.3305436792</v>
      </c>
      <c r="Z6" s="109">
        <f t="shared" si="3"/>
        <v>45170</v>
      </c>
    </row>
    <row r="7">
      <c r="A7" s="74">
        <v>45171.0</v>
      </c>
      <c r="B7" s="5">
        <v>1443.99</v>
      </c>
      <c r="C7" s="93">
        <v>358.32</v>
      </c>
      <c r="D7" s="93"/>
      <c r="E7" s="5"/>
      <c r="F7" s="5">
        <v>99.15</v>
      </c>
      <c r="G7" s="5"/>
      <c r="H7" s="5"/>
      <c r="I7" s="5"/>
      <c r="J7" s="101"/>
      <c r="K7" s="5">
        <v>84.0</v>
      </c>
      <c r="L7" s="5"/>
      <c r="M7" s="5"/>
      <c r="N7" s="93"/>
      <c r="O7" s="93"/>
      <c r="P7" s="93"/>
      <c r="Q7" s="93"/>
      <c r="R7" s="6"/>
      <c r="S7" s="6"/>
      <c r="T7" s="101"/>
      <c r="U7" s="101"/>
      <c r="V7" s="5"/>
      <c r="W7" s="7">
        <f t="shared" si="1"/>
        <v>1985.46</v>
      </c>
      <c r="X7" s="97">
        <v>15950.79</v>
      </c>
      <c r="Y7" s="59">
        <f t="shared" si="2"/>
        <v>0.1244740856</v>
      </c>
      <c r="Z7" s="109">
        <f t="shared" si="3"/>
        <v>45171</v>
      </c>
    </row>
    <row r="8">
      <c r="A8" s="74">
        <v>45172.0</v>
      </c>
      <c r="B8" s="10" t="s">
        <v>21</v>
      </c>
      <c r="C8" s="112" t="s">
        <v>21</v>
      </c>
      <c r="D8" s="112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12" t="s">
        <v>21</v>
      </c>
      <c r="K8" s="10" t="s">
        <v>21</v>
      </c>
      <c r="L8" s="10" t="s">
        <v>21</v>
      </c>
      <c r="M8" s="10"/>
      <c r="N8" s="10"/>
      <c r="O8" s="10"/>
      <c r="P8" s="112" t="s">
        <v>21</v>
      </c>
      <c r="Q8" s="112"/>
      <c r="R8" s="10" t="s">
        <v>21</v>
      </c>
      <c r="S8" s="10" t="s">
        <v>21</v>
      </c>
      <c r="T8" s="112" t="s">
        <v>21</v>
      </c>
      <c r="U8" s="112"/>
      <c r="V8" s="10" t="s">
        <v>21</v>
      </c>
      <c r="W8" s="7">
        <v>0.0</v>
      </c>
      <c r="X8" s="97">
        <v>13814.5</v>
      </c>
      <c r="Y8" s="59">
        <f t="shared" si="2"/>
        <v>0</v>
      </c>
      <c r="Z8" s="109">
        <f t="shared" si="3"/>
        <v>45172</v>
      </c>
    </row>
    <row r="9">
      <c r="C9" s="136"/>
      <c r="D9" s="138"/>
      <c r="J9" s="79"/>
      <c r="T9" s="79"/>
      <c r="U9" s="79"/>
      <c r="X9" s="129"/>
      <c r="Z9" s="106"/>
    </row>
    <row r="10">
      <c r="C10" s="79"/>
      <c r="D10" s="79"/>
      <c r="J10" s="79"/>
      <c r="P10" s="79"/>
      <c r="Q10" s="79"/>
      <c r="T10" s="79"/>
      <c r="U10" s="79"/>
      <c r="X10" s="130"/>
      <c r="Z10" s="106"/>
    </row>
    <row r="11">
      <c r="A11" s="4" t="s">
        <v>22</v>
      </c>
      <c r="B11" s="11">
        <v>13000.0</v>
      </c>
      <c r="C11" s="79"/>
      <c r="D11" s="79"/>
      <c r="E11" s="78"/>
      <c r="F11" s="79"/>
      <c r="J11" s="79"/>
      <c r="P11" s="79"/>
      <c r="Q11" s="79"/>
      <c r="T11" s="79"/>
      <c r="U11" s="79"/>
      <c r="X11" s="131"/>
      <c r="Z11" s="106"/>
    </row>
    <row r="12">
      <c r="A12" s="4" t="s">
        <v>23</v>
      </c>
      <c r="B12" s="12">
        <f>SUM(B2:V8)+C9</f>
        <v>12867.76</v>
      </c>
      <c r="C12" s="79"/>
      <c r="D12" s="79"/>
      <c r="E12" s="56"/>
      <c r="J12" s="79"/>
      <c r="P12" s="79"/>
      <c r="Q12" s="79"/>
      <c r="T12" s="79"/>
      <c r="U12" s="79"/>
      <c r="X12" s="130"/>
      <c r="Z12" s="106"/>
    </row>
    <row r="13">
      <c r="A13" s="4" t="s">
        <v>24</v>
      </c>
      <c r="B13" s="12">
        <f> SUM(B11-B12)</f>
        <v>132.24</v>
      </c>
      <c r="C13" s="79"/>
      <c r="D13" s="79"/>
      <c r="J13" s="79"/>
      <c r="P13" s="79"/>
      <c r="Q13" s="79"/>
      <c r="T13" s="79"/>
      <c r="U13" s="79"/>
      <c r="X13" s="130"/>
      <c r="Z13" s="106"/>
    </row>
    <row r="14">
      <c r="C14" s="79"/>
      <c r="D14" s="79"/>
      <c r="J14" s="79"/>
      <c r="P14" s="79"/>
      <c r="Q14" s="79"/>
      <c r="T14" s="79"/>
      <c r="U14" s="79"/>
      <c r="X14" s="130"/>
      <c r="Z14" s="106"/>
    </row>
    <row r="15">
      <c r="A15" s="13" t="s">
        <v>25</v>
      </c>
      <c r="B15" s="14">
        <f>SUM(X2:X8)</f>
        <v>62774.19</v>
      </c>
      <c r="C15" s="79"/>
      <c r="D15" s="79"/>
      <c r="J15" s="79"/>
      <c r="P15" s="79"/>
      <c r="Q15" s="79"/>
      <c r="T15" s="79"/>
      <c r="U15" s="79"/>
      <c r="X15" s="130"/>
      <c r="Z15" s="106"/>
    </row>
    <row r="16">
      <c r="A16" s="13" t="s">
        <v>26</v>
      </c>
      <c r="B16" s="15">
        <f>B12/B15</f>
        <v>0.2049848831</v>
      </c>
      <c r="C16" s="79"/>
      <c r="D16" s="79"/>
      <c r="J16" s="79"/>
      <c r="P16" s="79"/>
      <c r="Q16" s="79"/>
      <c r="T16" s="79"/>
      <c r="U16" s="79"/>
      <c r="X16" s="130"/>
      <c r="Z16" s="106"/>
    </row>
    <row r="17">
      <c r="C17" s="79"/>
      <c r="D17" s="79"/>
      <c r="J17" s="79"/>
      <c r="P17" s="79"/>
      <c r="Q17" s="79"/>
      <c r="T17" s="79"/>
      <c r="U17" s="79"/>
      <c r="X17" s="130"/>
      <c r="Z17" s="106"/>
    </row>
    <row r="18">
      <c r="C18" s="79"/>
      <c r="D18" s="79"/>
      <c r="J18" s="79"/>
      <c r="P18" s="79"/>
      <c r="Q18" s="79"/>
      <c r="T18" s="79"/>
      <c r="U18" s="79"/>
      <c r="X18" s="130"/>
      <c r="Z18" s="106"/>
    </row>
    <row r="19">
      <c r="A19" s="16" t="s">
        <v>27</v>
      </c>
      <c r="B19" s="17"/>
      <c r="C19" s="114"/>
      <c r="D19" s="115"/>
      <c r="H19" s="84"/>
      <c r="P19" s="79"/>
      <c r="Q19" s="79"/>
      <c r="T19" s="79"/>
      <c r="U19" s="79"/>
      <c r="X19" s="130"/>
      <c r="Z19" s="106"/>
    </row>
    <row r="20">
      <c r="A20" s="19" t="s">
        <v>28</v>
      </c>
      <c r="B20" s="20"/>
      <c r="C20" s="116"/>
      <c r="D20" s="117"/>
      <c r="H20" s="85"/>
      <c r="I20" s="85"/>
      <c r="J20" s="118"/>
      <c r="P20" s="79"/>
      <c r="Q20" s="79"/>
      <c r="T20" s="79"/>
      <c r="U20" s="79"/>
      <c r="X20" s="130"/>
      <c r="Z20" s="106"/>
    </row>
    <row r="21">
      <c r="A21" s="22" t="s">
        <v>29</v>
      </c>
      <c r="B21" s="23" t="s">
        <v>30</v>
      </c>
      <c r="C21" s="119" t="s">
        <v>170</v>
      </c>
      <c r="D21" s="120" t="s">
        <v>171</v>
      </c>
      <c r="H21" s="86"/>
      <c r="I21" s="85"/>
      <c r="J21" s="118"/>
      <c r="P21" s="79"/>
      <c r="Q21" s="79"/>
      <c r="T21" s="79"/>
      <c r="U21" s="79"/>
      <c r="X21" s="130"/>
      <c r="Z21" s="106"/>
    </row>
    <row r="22">
      <c r="A22" s="28" t="s">
        <v>149</v>
      </c>
      <c r="B22" s="72"/>
      <c r="C22" s="121"/>
      <c r="D22" s="122"/>
      <c r="H22" s="87"/>
      <c r="I22" s="85"/>
      <c r="J22" s="118"/>
      <c r="P22" s="79"/>
      <c r="Q22" s="79"/>
      <c r="T22" s="79"/>
      <c r="U22" s="79"/>
      <c r="X22" s="130"/>
      <c r="Z22" s="106"/>
    </row>
    <row r="23">
      <c r="A23" s="28" t="s">
        <v>150</v>
      </c>
      <c r="B23" s="72"/>
      <c r="C23" s="121"/>
      <c r="D23" s="122"/>
      <c r="H23" s="88"/>
      <c r="I23" s="88"/>
      <c r="J23" s="123"/>
      <c r="P23" s="79"/>
      <c r="Q23" s="79"/>
      <c r="T23" s="79"/>
      <c r="U23" s="79"/>
      <c r="X23" s="130"/>
      <c r="Z23" s="106"/>
    </row>
    <row r="24">
      <c r="A24" s="71" t="s">
        <v>108</v>
      </c>
      <c r="B24" s="72">
        <v>2243.86</v>
      </c>
      <c r="C24" s="71" t="s">
        <v>178</v>
      </c>
      <c r="D24" s="124"/>
      <c r="H24" s="88"/>
      <c r="I24" s="88"/>
      <c r="J24" s="123"/>
      <c r="P24" s="79"/>
      <c r="Q24" s="79"/>
      <c r="T24" s="79"/>
      <c r="U24" s="79"/>
      <c r="X24" s="130"/>
      <c r="Z24" s="106"/>
    </row>
    <row r="25">
      <c r="A25" s="28" t="s">
        <v>159</v>
      </c>
      <c r="B25" s="41"/>
      <c r="C25" s="121"/>
      <c r="D25" s="124"/>
      <c r="H25" s="88"/>
      <c r="I25" s="88"/>
      <c r="J25" s="123"/>
      <c r="P25" s="79"/>
      <c r="Q25" s="79"/>
      <c r="T25" s="79"/>
      <c r="U25" s="79"/>
      <c r="X25" s="130"/>
      <c r="Z25" s="106"/>
    </row>
    <row r="26">
      <c r="A26" s="28" t="s">
        <v>160</v>
      </c>
      <c r="B26" s="41"/>
      <c r="C26" s="71"/>
      <c r="D26" s="124"/>
      <c r="H26" s="88"/>
      <c r="I26" s="88"/>
      <c r="J26" s="123"/>
      <c r="P26" s="79"/>
      <c r="Q26" s="79"/>
      <c r="T26" s="79"/>
      <c r="U26" s="79"/>
      <c r="X26" s="130"/>
      <c r="Z26" s="106"/>
    </row>
    <row r="27">
      <c r="A27" s="28" t="s">
        <v>172</v>
      </c>
      <c r="B27" s="41"/>
      <c r="C27" s="71"/>
      <c r="D27" s="122"/>
      <c r="H27" s="88"/>
      <c r="I27" s="88"/>
      <c r="J27" s="123"/>
      <c r="P27" s="79"/>
      <c r="Q27" s="79"/>
      <c r="T27" s="79"/>
      <c r="U27" s="79"/>
      <c r="X27" s="130"/>
      <c r="Z27" s="106"/>
    </row>
    <row r="28">
      <c r="A28" s="25"/>
      <c r="B28" s="26"/>
      <c r="C28" s="121"/>
      <c r="D28" s="122"/>
      <c r="J28" s="79"/>
      <c r="P28" s="79"/>
      <c r="Q28" s="79"/>
      <c r="T28" s="79"/>
      <c r="U28" s="79"/>
      <c r="X28" s="132"/>
      <c r="Z28" s="106"/>
    </row>
    <row r="29">
      <c r="A29" s="25"/>
      <c r="B29" s="26"/>
      <c r="C29" s="121"/>
      <c r="D29" s="122"/>
      <c r="I29" s="89"/>
      <c r="J29" s="125"/>
      <c r="P29" s="79"/>
      <c r="Q29" s="79"/>
      <c r="T29" s="79"/>
      <c r="U29" s="79"/>
      <c r="X29" s="130"/>
      <c r="Z29" s="106"/>
    </row>
    <row r="30">
      <c r="C30" s="79"/>
      <c r="D30" s="79"/>
      <c r="J30" s="79"/>
      <c r="P30" s="79"/>
      <c r="Q30" s="79"/>
      <c r="T30" s="79"/>
      <c r="U30" s="79"/>
      <c r="X30" s="130"/>
      <c r="Z30" s="106"/>
    </row>
    <row r="31">
      <c r="C31" s="79"/>
      <c r="D31" s="79"/>
      <c r="J31" s="79"/>
      <c r="P31" s="79"/>
      <c r="Q31" s="79"/>
      <c r="T31" s="79"/>
      <c r="U31" s="79"/>
      <c r="X31" s="130"/>
      <c r="Z31" s="106"/>
    </row>
    <row r="32">
      <c r="C32" s="79"/>
      <c r="D32" s="79"/>
      <c r="J32" s="79"/>
      <c r="P32" s="79"/>
      <c r="Q32" s="79"/>
      <c r="T32" s="79"/>
      <c r="U32" s="79"/>
      <c r="X32" s="130"/>
      <c r="Z32" s="106"/>
    </row>
    <row r="33">
      <c r="C33" s="79"/>
      <c r="D33" s="79"/>
      <c r="J33" s="79"/>
      <c r="P33" s="79"/>
      <c r="Q33" s="79"/>
      <c r="T33" s="79"/>
      <c r="U33" s="79"/>
      <c r="X33" s="130"/>
      <c r="Z33" s="106"/>
    </row>
    <row r="34">
      <c r="C34" s="79"/>
      <c r="D34" s="79"/>
      <c r="J34" s="79"/>
      <c r="P34" s="79"/>
      <c r="Q34" s="79"/>
      <c r="T34" s="79"/>
      <c r="U34" s="79"/>
      <c r="X34" s="130"/>
      <c r="Z34" s="106"/>
    </row>
    <row r="35">
      <c r="C35" s="79"/>
      <c r="D35" s="79"/>
      <c r="J35" s="79"/>
      <c r="P35" s="79"/>
      <c r="Q35" s="79"/>
      <c r="T35" s="79"/>
      <c r="U35" s="79"/>
      <c r="X35" s="130"/>
      <c r="Z35" s="106"/>
    </row>
    <row r="36">
      <c r="C36" s="79"/>
      <c r="D36" s="79"/>
      <c r="J36" s="79"/>
      <c r="P36" s="79"/>
      <c r="Q36" s="79"/>
      <c r="T36" s="79"/>
      <c r="U36" s="79"/>
      <c r="X36" s="130"/>
      <c r="Z36" s="106"/>
    </row>
    <row r="37">
      <c r="C37" s="79"/>
      <c r="D37" s="79"/>
      <c r="J37" s="79"/>
      <c r="P37" s="79"/>
      <c r="Q37" s="79"/>
      <c r="T37" s="79"/>
      <c r="U37" s="79"/>
      <c r="X37" s="130"/>
      <c r="Z37" s="106"/>
    </row>
    <row r="38">
      <c r="C38" s="79"/>
      <c r="D38" s="79"/>
      <c r="J38" s="79"/>
      <c r="P38" s="79"/>
      <c r="Q38" s="79"/>
      <c r="T38" s="79"/>
      <c r="U38" s="79"/>
      <c r="X38" s="130"/>
      <c r="Z38" s="106"/>
    </row>
    <row r="39">
      <c r="C39" s="79"/>
      <c r="D39" s="79"/>
      <c r="J39" s="79"/>
      <c r="P39" s="79"/>
      <c r="Q39" s="79"/>
      <c r="T39" s="79"/>
      <c r="U39" s="79"/>
      <c r="X39" s="130"/>
      <c r="Z39" s="106"/>
    </row>
    <row r="40">
      <c r="C40" s="79"/>
      <c r="D40" s="79"/>
      <c r="J40" s="79"/>
      <c r="P40" s="79"/>
      <c r="Q40" s="79"/>
      <c r="T40" s="79"/>
      <c r="U40" s="79"/>
      <c r="X40" s="130"/>
      <c r="Z40" s="106"/>
    </row>
    <row r="41">
      <c r="C41" s="79"/>
      <c r="D41" s="79"/>
      <c r="J41" s="79"/>
      <c r="P41" s="79"/>
      <c r="Q41" s="79"/>
      <c r="T41" s="79"/>
      <c r="U41" s="79"/>
      <c r="X41" s="130"/>
      <c r="Z41" s="106"/>
    </row>
    <row r="42">
      <c r="C42" s="79"/>
      <c r="D42" s="79"/>
      <c r="J42" s="79"/>
      <c r="P42" s="79"/>
      <c r="Q42" s="79"/>
      <c r="T42" s="79"/>
      <c r="U42" s="79"/>
      <c r="X42" s="130"/>
      <c r="Z42" s="106"/>
    </row>
    <row r="43">
      <c r="C43" s="79"/>
      <c r="D43" s="79"/>
      <c r="J43" s="79"/>
      <c r="P43" s="79"/>
      <c r="Q43" s="79"/>
      <c r="T43" s="79"/>
      <c r="U43" s="79"/>
      <c r="X43" s="130"/>
      <c r="Z43" s="106"/>
    </row>
    <row r="44">
      <c r="C44" s="79"/>
      <c r="D44" s="79"/>
      <c r="J44" s="79"/>
      <c r="P44" s="79"/>
      <c r="Q44" s="79"/>
      <c r="T44" s="79"/>
      <c r="U44" s="79"/>
      <c r="X44" s="130"/>
      <c r="Z44" s="106"/>
    </row>
    <row r="45">
      <c r="C45" s="79"/>
      <c r="D45" s="79"/>
      <c r="J45" s="79"/>
      <c r="P45" s="79"/>
      <c r="Q45" s="79"/>
      <c r="T45" s="79"/>
      <c r="U45" s="79"/>
      <c r="X45" s="130"/>
      <c r="Z45" s="106"/>
    </row>
    <row r="46">
      <c r="C46" s="79"/>
      <c r="D46" s="79"/>
      <c r="J46" s="79"/>
      <c r="P46" s="79"/>
      <c r="Q46" s="79"/>
      <c r="T46" s="79"/>
      <c r="U46" s="79"/>
      <c r="X46" s="130"/>
      <c r="Z46" s="106"/>
    </row>
    <row r="47">
      <c r="C47" s="79"/>
      <c r="D47" s="79"/>
      <c r="J47" s="79"/>
      <c r="P47" s="79"/>
      <c r="Q47" s="79"/>
      <c r="T47" s="79"/>
      <c r="U47" s="79"/>
      <c r="X47" s="130"/>
      <c r="Z47" s="106"/>
    </row>
    <row r="48">
      <c r="C48" s="79"/>
      <c r="D48" s="79"/>
      <c r="J48" s="79"/>
      <c r="P48" s="79"/>
      <c r="Q48" s="79"/>
      <c r="T48" s="79"/>
      <c r="U48" s="79"/>
      <c r="X48" s="130"/>
      <c r="Z48" s="106"/>
    </row>
    <row r="49">
      <c r="C49" s="79"/>
      <c r="D49" s="79"/>
      <c r="J49" s="79"/>
      <c r="P49" s="79"/>
      <c r="Q49" s="79"/>
      <c r="T49" s="79"/>
      <c r="U49" s="79"/>
      <c r="X49" s="130"/>
      <c r="Z49" s="106"/>
    </row>
    <row r="50">
      <c r="C50" s="79"/>
      <c r="D50" s="79"/>
      <c r="J50" s="79"/>
      <c r="P50" s="79"/>
      <c r="Q50" s="79"/>
      <c r="T50" s="79"/>
      <c r="U50" s="79"/>
      <c r="X50" s="130"/>
      <c r="Z50" s="106"/>
    </row>
    <row r="51">
      <c r="C51" s="79"/>
      <c r="D51" s="79"/>
      <c r="J51" s="79"/>
      <c r="P51" s="79"/>
      <c r="Q51" s="79"/>
      <c r="T51" s="79"/>
      <c r="U51" s="79"/>
      <c r="X51" s="130"/>
      <c r="Z51" s="106"/>
    </row>
    <row r="52">
      <c r="C52" s="79"/>
      <c r="D52" s="79"/>
      <c r="J52" s="79"/>
      <c r="P52" s="79"/>
      <c r="Q52" s="79"/>
      <c r="T52" s="79"/>
      <c r="U52" s="79"/>
      <c r="X52" s="130"/>
      <c r="Z52" s="106"/>
    </row>
    <row r="53">
      <c r="C53" s="79"/>
      <c r="D53" s="79"/>
      <c r="J53" s="79"/>
      <c r="P53" s="79"/>
      <c r="Q53" s="79"/>
      <c r="T53" s="79"/>
      <c r="U53" s="79"/>
      <c r="X53" s="130"/>
      <c r="Z53" s="106"/>
    </row>
    <row r="54">
      <c r="C54" s="79"/>
      <c r="D54" s="79"/>
      <c r="J54" s="79"/>
      <c r="P54" s="79"/>
      <c r="Q54" s="79"/>
      <c r="T54" s="79"/>
      <c r="U54" s="79"/>
      <c r="X54" s="130"/>
      <c r="Z54" s="106"/>
    </row>
    <row r="55">
      <c r="C55" s="79"/>
      <c r="D55" s="79"/>
      <c r="J55" s="79"/>
      <c r="P55" s="79"/>
      <c r="Q55" s="79"/>
      <c r="T55" s="79"/>
      <c r="U55" s="79"/>
      <c r="X55" s="130"/>
      <c r="Z55" s="106"/>
    </row>
    <row r="56">
      <c r="C56" s="79"/>
      <c r="D56" s="79"/>
      <c r="J56" s="79"/>
      <c r="P56" s="79"/>
      <c r="Q56" s="79"/>
      <c r="T56" s="79"/>
      <c r="U56" s="79"/>
      <c r="X56" s="130"/>
      <c r="Z56" s="106"/>
    </row>
    <row r="57">
      <c r="C57" s="79"/>
      <c r="D57" s="79"/>
      <c r="J57" s="79"/>
      <c r="P57" s="79"/>
      <c r="Q57" s="79"/>
      <c r="T57" s="79"/>
      <c r="U57" s="79"/>
      <c r="X57" s="130"/>
      <c r="Z57" s="106"/>
    </row>
    <row r="58">
      <c r="C58" s="79"/>
      <c r="D58" s="79"/>
      <c r="J58" s="79"/>
      <c r="P58" s="79"/>
      <c r="Q58" s="79"/>
      <c r="T58" s="79"/>
      <c r="U58" s="79"/>
      <c r="X58" s="130"/>
      <c r="Z58" s="106"/>
    </row>
    <row r="59">
      <c r="C59" s="79"/>
      <c r="D59" s="79"/>
      <c r="J59" s="79"/>
      <c r="P59" s="79"/>
      <c r="Q59" s="79"/>
      <c r="T59" s="79"/>
      <c r="U59" s="79"/>
      <c r="X59" s="130"/>
      <c r="Z59" s="106"/>
    </row>
    <row r="60">
      <c r="C60" s="79"/>
      <c r="D60" s="79"/>
      <c r="J60" s="79"/>
      <c r="P60" s="79"/>
      <c r="Q60" s="79"/>
      <c r="T60" s="79"/>
      <c r="U60" s="79"/>
      <c r="X60" s="130"/>
      <c r="Z60" s="106"/>
    </row>
    <row r="61">
      <c r="C61" s="79"/>
      <c r="D61" s="79"/>
      <c r="J61" s="79"/>
      <c r="P61" s="79"/>
      <c r="Q61" s="79"/>
      <c r="T61" s="79"/>
      <c r="U61" s="79"/>
      <c r="X61" s="130"/>
      <c r="Z61" s="106"/>
    </row>
    <row r="62">
      <c r="C62" s="79"/>
      <c r="D62" s="79"/>
      <c r="J62" s="79"/>
      <c r="P62" s="79"/>
      <c r="Q62" s="79"/>
      <c r="T62" s="79"/>
      <c r="U62" s="79"/>
      <c r="X62" s="130"/>
      <c r="Z62" s="106"/>
    </row>
    <row r="63">
      <c r="C63" s="79"/>
      <c r="D63" s="79"/>
      <c r="J63" s="79"/>
      <c r="P63" s="79"/>
      <c r="Q63" s="79"/>
      <c r="T63" s="79"/>
      <c r="U63" s="79"/>
      <c r="X63" s="130"/>
      <c r="Z63" s="106"/>
    </row>
    <row r="64">
      <c r="C64" s="79"/>
      <c r="D64" s="79"/>
      <c r="J64" s="79"/>
      <c r="P64" s="79"/>
      <c r="Q64" s="79"/>
      <c r="T64" s="79"/>
      <c r="U64" s="79"/>
      <c r="X64" s="130"/>
      <c r="Z64" s="106"/>
    </row>
    <row r="65">
      <c r="C65" s="79"/>
      <c r="D65" s="79"/>
      <c r="J65" s="79"/>
      <c r="P65" s="79"/>
      <c r="Q65" s="79"/>
      <c r="T65" s="79"/>
      <c r="U65" s="79"/>
      <c r="X65" s="130"/>
      <c r="Z65" s="106"/>
    </row>
    <row r="66">
      <c r="C66" s="79"/>
      <c r="D66" s="79"/>
      <c r="J66" s="79"/>
      <c r="P66" s="79"/>
      <c r="Q66" s="79"/>
      <c r="T66" s="79"/>
      <c r="U66" s="79"/>
      <c r="X66" s="130"/>
      <c r="Z66" s="106"/>
    </row>
    <row r="67">
      <c r="C67" s="79"/>
      <c r="D67" s="79"/>
      <c r="J67" s="79"/>
      <c r="P67" s="79"/>
      <c r="Q67" s="79"/>
      <c r="T67" s="79"/>
      <c r="U67" s="79"/>
      <c r="X67" s="130"/>
      <c r="Z67" s="106"/>
    </row>
    <row r="68">
      <c r="C68" s="79"/>
      <c r="D68" s="79"/>
      <c r="J68" s="79"/>
      <c r="P68" s="79"/>
      <c r="Q68" s="79"/>
      <c r="T68" s="79"/>
      <c r="U68" s="79"/>
      <c r="X68" s="130"/>
      <c r="Z68" s="106"/>
    </row>
    <row r="69">
      <c r="C69" s="79"/>
      <c r="D69" s="79"/>
      <c r="J69" s="79"/>
      <c r="P69" s="79"/>
      <c r="Q69" s="79"/>
      <c r="T69" s="79"/>
      <c r="U69" s="79"/>
      <c r="X69" s="130"/>
      <c r="Z69" s="106"/>
    </row>
    <row r="70">
      <c r="C70" s="79"/>
      <c r="D70" s="79"/>
      <c r="J70" s="79"/>
      <c r="P70" s="79"/>
      <c r="Q70" s="79"/>
      <c r="T70" s="79"/>
      <c r="U70" s="79"/>
      <c r="X70" s="130"/>
      <c r="Z70" s="106"/>
    </row>
    <row r="71">
      <c r="C71" s="79"/>
      <c r="D71" s="79"/>
      <c r="J71" s="79"/>
      <c r="P71" s="79"/>
      <c r="Q71" s="79"/>
      <c r="T71" s="79"/>
      <c r="U71" s="79"/>
      <c r="X71" s="130"/>
      <c r="Z71" s="106"/>
    </row>
    <row r="72">
      <c r="C72" s="79"/>
      <c r="D72" s="79"/>
      <c r="J72" s="79"/>
      <c r="P72" s="79"/>
      <c r="Q72" s="79"/>
      <c r="T72" s="79"/>
      <c r="U72" s="79"/>
      <c r="X72" s="130"/>
      <c r="Z72" s="106"/>
    </row>
    <row r="73">
      <c r="C73" s="79"/>
      <c r="D73" s="79"/>
      <c r="J73" s="79"/>
      <c r="P73" s="79"/>
      <c r="Q73" s="79"/>
      <c r="T73" s="79"/>
      <c r="U73" s="79"/>
      <c r="X73" s="130"/>
      <c r="Z73" s="106"/>
    </row>
    <row r="74">
      <c r="C74" s="79"/>
      <c r="D74" s="79"/>
      <c r="J74" s="79"/>
      <c r="P74" s="79"/>
      <c r="Q74" s="79"/>
      <c r="T74" s="79"/>
      <c r="U74" s="79"/>
      <c r="X74" s="130"/>
      <c r="Z74" s="106"/>
    </row>
    <row r="75">
      <c r="C75" s="79"/>
      <c r="D75" s="79"/>
      <c r="J75" s="79"/>
      <c r="P75" s="79"/>
      <c r="Q75" s="79"/>
      <c r="T75" s="79"/>
      <c r="U75" s="79"/>
      <c r="X75" s="130"/>
      <c r="Z75" s="106"/>
    </row>
    <row r="76">
      <c r="C76" s="79"/>
      <c r="D76" s="79"/>
      <c r="J76" s="79"/>
      <c r="P76" s="79"/>
      <c r="Q76" s="79"/>
      <c r="T76" s="79"/>
      <c r="U76" s="79"/>
      <c r="X76" s="130"/>
      <c r="Z76" s="106"/>
    </row>
    <row r="77">
      <c r="C77" s="79"/>
      <c r="D77" s="79"/>
      <c r="J77" s="79"/>
      <c r="P77" s="79"/>
      <c r="Q77" s="79"/>
      <c r="T77" s="79"/>
      <c r="U77" s="79"/>
      <c r="X77" s="130"/>
      <c r="Z77" s="106"/>
    </row>
    <row r="78">
      <c r="C78" s="79"/>
      <c r="D78" s="79"/>
      <c r="J78" s="79"/>
      <c r="P78" s="79"/>
      <c r="Q78" s="79"/>
      <c r="T78" s="79"/>
      <c r="U78" s="79"/>
      <c r="X78" s="130"/>
      <c r="Z78" s="106"/>
    </row>
    <row r="79">
      <c r="C79" s="79"/>
      <c r="D79" s="79"/>
      <c r="J79" s="79"/>
      <c r="P79" s="79"/>
      <c r="Q79" s="79"/>
      <c r="T79" s="79"/>
      <c r="U79" s="79"/>
      <c r="X79" s="130"/>
      <c r="Z79" s="106"/>
    </row>
    <row r="80">
      <c r="C80" s="79"/>
      <c r="D80" s="79"/>
      <c r="J80" s="79"/>
      <c r="P80" s="79"/>
      <c r="Q80" s="79"/>
      <c r="T80" s="79"/>
      <c r="U80" s="79"/>
      <c r="X80" s="130"/>
      <c r="Z80" s="106"/>
    </row>
    <row r="81">
      <c r="C81" s="79"/>
      <c r="D81" s="79"/>
      <c r="J81" s="79"/>
      <c r="P81" s="79"/>
      <c r="Q81" s="79"/>
      <c r="T81" s="79"/>
      <c r="U81" s="79"/>
      <c r="X81" s="130"/>
      <c r="Z81" s="106"/>
    </row>
    <row r="82">
      <c r="C82" s="79"/>
      <c r="D82" s="79"/>
      <c r="J82" s="79"/>
      <c r="P82" s="79"/>
      <c r="Q82" s="79"/>
      <c r="T82" s="79"/>
      <c r="U82" s="79"/>
      <c r="X82" s="130"/>
      <c r="Z82" s="106"/>
    </row>
    <row r="83">
      <c r="C83" s="79"/>
      <c r="D83" s="79"/>
      <c r="J83" s="79"/>
      <c r="P83" s="79"/>
      <c r="Q83" s="79"/>
      <c r="T83" s="79"/>
      <c r="U83" s="79"/>
      <c r="X83" s="130"/>
      <c r="Z83" s="106"/>
    </row>
    <row r="84">
      <c r="C84" s="79"/>
      <c r="D84" s="79"/>
      <c r="J84" s="79"/>
      <c r="P84" s="79"/>
      <c r="Q84" s="79"/>
      <c r="T84" s="79"/>
      <c r="U84" s="79"/>
      <c r="X84" s="130"/>
      <c r="Z84" s="106"/>
    </row>
    <row r="85">
      <c r="C85" s="79"/>
      <c r="D85" s="79"/>
      <c r="J85" s="79"/>
      <c r="P85" s="79"/>
      <c r="Q85" s="79"/>
      <c r="T85" s="79"/>
      <c r="U85" s="79"/>
      <c r="X85" s="130"/>
      <c r="Z85" s="106"/>
    </row>
    <row r="86">
      <c r="C86" s="79"/>
      <c r="D86" s="79"/>
      <c r="J86" s="79"/>
      <c r="P86" s="79"/>
      <c r="Q86" s="79"/>
      <c r="T86" s="79"/>
      <c r="U86" s="79"/>
      <c r="X86" s="130"/>
      <c r="Z86" s="106"/>
    </row>
    <row r="87">
      <c r="C87" s="79"/>
      <c r="D87" s="79"/>
      <c r="J87" s="79"/>
      <c r="P87" s="79"/>
      <c r="Q87" s="79"/>
      <c r="T87" s="79"/>
      <c r="U87" s="79"/>
      <c r="X87" s="130"/>
      <c r="Z87" s="106"/>
    </row>
    <row r="88">
      <c r="C88" s="79"/>
      <c r="D88" s="79"/>
      <c r="J88" s="79"/>
      <c r="P88" s="79"/>
      <c r="Q88" s="79"/>
      <c r="T88" s="79"/>
      <c r="U88" s="79"/>
      <c r="X88" s="130"/>
      <c r="Z88" s="106"/>
    </row>
    <row r="89">
      <c r="C89" s="79"/>
      <c r="D89" s="79"/>
      <c r="J89" s="79"/>
      <c r="P89" s="79"/>
      <c r="Q89" s="79"/>
      <c r="T89" s="79"/>
      <c r="U89" s="79"/>
      <c r="X89" s="130"/>
      <c r="Z89" s="106"/>
    </row>
    <row r="90">
      <c r="C90" s="79"/>
      <c r="D90" s="79"/>
      <c r="J90" s="79"/>
      <c r="P90" s="79"/>
      <c r="Q90" s="79"/>
      <c r="T90" s="79"/>
      <c r="U90" s="79"/>
      <c r="X90" s="130"/>
      <c r="Z90" s="106"/>
    </row>
    <row r="91">
      <c r="C91" s="79"/>
      <c r="D91" s="79"/>
      <c r="J91" s="79"/>
      <c r="P91" s="79"/>
      <c r="Q91" s="79"/>
      <c r="T91" s="79"/>
      <c r="U91" s="79"/>
      <c r="X91" s="130"/>
      <c r="Z91" s="106"/>
    </row>
    <row r="92">
      <c r="C92" s="79"/>
      <c r="D92" s="79"/>
      <c r="J92" s="79"/>
      <c r="P92" s="79"/>
      <c r="Q92" s="79"/>
      <c r="T92" s="79"/>
      <c r="U92" s="79"/>
      <c r="X92" s="130"/>
      <c r="Z92" s="106"/>
    </row>
    <row r="93">
      <c r="C93" s="79"/>
      <c r="D93" s="79"/>
      <c r="J93" s="79"/>
      <c r="P93" s="79"/>
      <c r="Q93" s="79"/>
      <c r="T93" s="79"/>
      <c r="U93" s="79"/>
      <c r="X93" s="130"/>
      <c r="Z93" s="106"/>
    </row>
    <row r="94">
      <c r="C94" s="79"/>
      <c r="D94" s="79"/>
      <c r="J94" s="79"/>
      <c r="P94" s="79"/>
      <c r="Q94" s="79"/>
      <c r="T94" s="79"/>
      <c r="U94" s="79"/>
      <c r="X94" s="130"/>
      <c r="Z94" s="106"/>
    </row>
    <row r="95">
      <c r="C95" s="79"/>
      <c r="D95" s="79"/>
      <c r="J95" s="79"/>
      <c r="P95" s="79"/>
      <c r="Q95" s="79"/>
      <c r="T95" s="79"/>
      <c r="U95" s="79"/>
      <c r="X95" s="130"/>
      <c r="Z95" s="106"/>
    </row>
    <row r="96">
      <c r="C96" s="79"/>
      <c r="D96" s="79"/>
      <c r="J96" s="79"/>
      <c r="P96" s="79"/>
      <c r="Q96" s="79"/>
      <c r="T96" s="79"/>
      <c r="U96" s="79"/>
      <c r="X96" s="130"/>
      <c r="Z96" s="106"/>
    </row>
    <row r="97">
      <c r="C97" s="79"/>
      <c r="D97" s="79"/>
      <c r="J97" s="79"/>
      <c r="P97" s="79"/>
      <c r="Q97" s="79"/>
      <c r="T97" s="79"/>
      <c r="U97" s="79"/>
      <c r="X97" s="130"/>
      <c r="Z97" s="106"/>
    </row>
    <row r="98">
      <c r="C98" s="79"/>
      <c r="D98" s="79"/>
      <c r="J98" s="79"/>
      <c r="P98" s="79"/>
      <c r="Q98" s="79"/>
      <c r="T98" s="79"/>
      <c r="U98" s="79"/>
      <c r="X98" s="130"/>
      <c r="Z98" s="106"/>
    </row>
    <row r="99">
      <c r="C99" s="79"/>
      <c r="D99" s="79"/>
      <c r="J99" s="79"/>
      <c r="P99" s="79"/>
      <c r="Q99" s="79"/>
      <c r="T99" s="79"/>
      <c r="U99" s="79"/>
      <c r="X99" s="130"/>
      <c r="Z99" s="106"/>
    </row>
    <row r="100">
      <c r="C100" s="79"/>
      <c r="D100" s="79"/>
      <c r="J100" s="79"/>
      <c r="P100" s="79"/>
      <c r="Q100" s="79"/>
      <c r="T100" s="79"/>
      <c r="U100" s="79"/>
      <c r="X100" s="130"/>
      <c r="Z100" s="106"/>
    </row>
    <row r="101">
      <c r="C101" s="79"/>
      <c r="D101" s="79"/>
      <c r="J101" s="79"/>
      <c r="P101" s="79"/>
      <c r="Q101" s="79"/>
      <c r="T101" s="79"/>
      <c r="U101" s="79"/>
      <c r="X101" s="130"/>
      <c r="Z101" s="106"/>
    </row>
    <row r="102">
      <c r="C102" s="79"/>
      <c r="D102" s="79"/>
      <c r="J102" s="79"/>
      <c r="P102" s="79"/>
      <c r="Q102" s="79"/>
      <c r="T102" s="79"/>
      <c r="U102" s="79"/>
      <c r="X102" s="130"/>
      <c r="Z102" s="106"/>
    </row>
    <row r="103">
      <c r="C103" s="79"/>
      <c r="D103" s="79"/>
      <c r="J103" s="79"/>
      <c r="P103" s="79"/>
      <c r="Q103" s="79"/>
      <c r="T103" s="79"/>
      <c r="U103" s="79"/>
      <c r="X103" s="130"/>
      <c r="Z103" s="106"/>
    </row>
    <row r="104">
      <c r="C104" s="79"/>
      <c r="D104" s="79"/>
      <c r="J104" s="79"/>
      <c r="P104" s="79"/>
      <c r="Q104" s="79"/>
      <c r="T104" s="79"/>
      <c r="U104" s="79"/>
      <c r="X104" s="130"/>
      <c r="Z104" s="106"/>
    </row>
    <row r="105">
      <c r="C105" s="79"/>
      <c r="D105" s="79"/>
      <c r="J105" s="79"/>
      <c r="P105" s="79"/>
      <c r="Q105" s="79"/>
      <c r="T105" s="79"/>
      <c r="U105" s="79"/>
      <c r="X105" s="130"/>
      <c r="Z105" s="106"/>
    </row>
    <row r="106">
      <c r="C106" s="79"/>
      <c r="D106" s="79"/>
      <c r="J106" s="79"/>
      <c r="P106" s="79"/>
      <c r="Q106" s="79"/>
      <c r="T106" s="79"/>
      <c r="U106" s="79"/>
      <c r="X106" s="130"/>
      <c r="Z106" s="106"/>
    </row>
    <row r="107">
      <c r="C107" s="79"/>
      <c r="D107" s="79"/>
      <c r="J107" s="79"/>
      <c r="P107" s="79"/>
      <c r="Q107" s="79"/>
      <c r="T107" s="79"/>
      <c r="U107" s="79"/>
      <c r="X107" s="130"/>
      <c r="Z107" s="106"/>
    </row>
    <row r="108">
      <c r="C108" s="79"/>
      <c r="D108" s="79"/>
      <c r="J108" s="79"/>
      <c r="P108" s="79"/>
      <c r="Q108" s="79"/>
      <c r="T108" s="79"/>
      <c r="U108" s="79"/>
      <c r="X108" s="130"/>
      <c r="Z108" s="106"/>
    </row>
    <row r="109">
      <c r="C109" s="79"/>
      <c r="D109" s="79"/>
      <c r="J109" s="79"/>
      <c r="P109" s="79"/>
      <c r="Q109" s="79"/>
      <c r="T109" s="79"/>
      <c r="U109" s="79"/>
      <c r="X109" s="130"/>
      <c r="Z109" s="106"/>
    </row>
    <row r="110">
      <c r="C110" s="79"/>
      <c r="D110" s="79"/>
      <c r="J110" s="79"/>
      <c r="P110" s="79"/>
      <c r="Q110" s="79"/>
      <c r="T110" s="79"/>
      <c r="U110" s="79"/>
      <c r="X110" s="130"/>
      <c r="Z110" s="106"/>
    </row>
    <row r="111">
      <c r="C111" s="79"/>
      <c r="D111" s="79"/>
      <c r="J111" s="79"/>
      <c r="P111" s="79"/>
      <c r="Q111" s="79"/>
      <c r="T111" s="79"/>
      <c r="U111" s="79"/>
      <c r="X111" s="130"/>
      <c r="Z111" s="106"/>
    </row>
    <row r="112">
      <c r="C112" s="79"/>
      <c r="D112" s="79"/>
      <c r="J112" s="79"/>
      <c r="P112" s="79"/>
      <c r="Q112" s="79"/>
      <c r="T112" s="79"/>
      <c r="U112" s="79"/>
      <c r="X112" s="130"/>
      <c r="Z112" s="106"/>
    </row>
    <row r="113">
      <c r="C113" s="79"/>
      <c r="D113" s="79"/>
      <c r="J113" s="79"/>
      <c r="P113" s="79"/>
      <c r="Q113" s="79"/>
      <c r="T113" s="79"/>
      <c r="U113" s="79"/>
      <c r="X113" s="130"/>
      <c r="Z113" s="106"/>
    </row>
    <row r="114">
      <c r="C114" s="79"/>
      <c r="D114" s="79"/>
      <c r="J114" s="79"/>
      <c r="P114" s="79"/>
      <c r="Q114" s="79"/>
      <c r="T114" s="79"/>
      <c r="U114" s="79"/>
      <c r="X114" s="130"/>
      <c r="Z114" s="106"/>
    </row>
    <row r="115">
      <c r="C115" s="79"/>
      <c r="D115" s="79"/>
      <c r="J115" s="79"/>
      <c r="P115" s="79"/>
      <c r="Q115" s="79"/>
      <c r="T115" s="79"/>
      <c r="U115" s="79"/>
      <c r="X115" s="130"/>
      <c r="Z115" s="106"/>
    </row>
    <row r="116">
      <c r="C116" s="79"/>
      <c r="D116" s="79"/>
      <c r="J116" s="79"/>
      <c r="P116" s="79"/>
      <c r="Q116" s="79"/>
      <c r="T116" s="79"/>
      <c r="U116" s="79"/>
      <c r="X116" s="130"/>
      <c r="Z116" s="106"/>
    </row>
    <row r="117">
      <c r="C117" s="79"/>
      <c r="D117" s="79"/>
      <c r="J117" s="79"/>
      <c r="P117" s="79"/>
      <c r="Q117" s="79"/>
      <c r="T117" s="79"/>
      <c r="U117" s="79"/>
      <c r="X117" s="130"/>
      <c r="Z117" s="106"/>
    </row>
    <row r="118">
      <c r="C118" s="79"/>
      <c r="D118" s="79"/>
      <c r="J118" s="79"/>
      <c r="P118" s="79"/>
      <c r="Q118" s="79"/>
      <c r="T118" s="79"/>
      <c r="U118" s="79"/>
      <c r="X118" s="130"/>
      <c r="Z118" s="106"/>
    </row>
    <row r="119">
      <c r="C119" s="79"/>
      <c r="D119" s="79"/>
      <c r="J119" s="79"/>
      <c r="P119" s="79"/>
      <c r="Q119" s="79"/>
      <c r="T119" s="79"/>
      <c r="U119" s="79"/>
      <c r="X119" s="130"/>
      <c r="Z119" s="106"/>
    </row>
    <row r="120">
      <c r="C120" s="79"/>
      <c r="D120" s="79"/>
      <c r="J120" s="79"/>
      <c r="P120" s="79"/>
      <c r="Q120" s="79"/>
      <c r="T120" s="79"/>
      <c r="U120" s="79"/>
      <c r="X120" s="130"/>
      <c r="Z120" s="106"/>
    </row>
    <row r="121">
      <c r="C121" s="79"/>
      <c r="D121" s="79"/>
      <c r="J121" s="79"/>
      <c r="P121" s="79"/>
      <c r="Q121" s="79"/>
      <c r="T121" s="79"/>
      <c r="U121" s="79"/>
      <c r="X121" s="130"/>
      <c r="Z121" s="106"/>
    </row>
    <row r="122">
      <c r="C122" s="79"/>
      <c r="D122" s="79"/>
      <c r="J122" s="79"/>
      <c r="P122" s="79"/>
      <c r="Q122" s="79"/>
      <c r="T122" s="79"/>
      <c r="U122" s="79"/>
      <c r="X122" s="130"/>
      <c r="Z122" s="106"/>
    </row>
    <row r="123">
      <c r="C123" s="79"/>
      <c r="D123" s="79"/>
      <c r="J123" s="79"/>
      <c r="P123" s="79"/>
      <c r="Q123" s="79"/>
      <c r="T123" s="79"/>
      <c r="U123" s="79"/>
      <c r="X123" s="130"/>
      <c r="Z123" s="106"/>
    </row>
    <row r="124">
      <c r="C124" s="79"/>
      <c r="D124" s="79"/>
      <c r="J124" s="79"/>
      <c r="P124" s="79"/>
      <c r="Q124" s="79"/>
      <c r="T124" s="79"/>
      <c r="U124" s="79"/>
      <c r="X124" s="130"/>
      <c r="Z124" s="106"/>
    </row>
    <row r="125">
      <c r="C125" s="79"/>
      <c r="D125" s="79"/>
      <c r="J125" s="79"/>
      <c r="P125" s="79"/>
      <c r="Q125" s="79"/>
      <c r="T125" s="79"/>
      <c r="U125" s="79"/>
      <c r="X125" s="130"/>
      <c r="Z125" s="106"/>
    </row>
    <row r="126">
      <c r="C126" s="79"/>
      <c r="D126" s="79"/>
      <c r="J126" s="79"/>
      <c r="P126" s="79"/>
      <c r="Q126" s="79"/>
      <c r="T126" s="79"/>
      <c r="U126" s="79"/>
      <c r="X126" s="130"/>
      <c r="Z126" s="106"/>
    </row>
    <row r="127">
      <c r="C127" s="79"/>
      <c r="D127" s="79"/>
      <c r="J127" s="79"/>
      <c r="P127" s="79"/>
      <c r="Q127" s="79"/>
      <c r="T127" s="79"/>
      <c r="U127" s="79"/>
      <c r="X127" s="130"/>
      <c r="Z127" s="106"/>
    </row>
    <row r="128">
      <c r="C128" s="79"/>
      <c r="D128" s="79"/>
      <c r="J128" s="79"/>
      <c r="P128" s="79"/>
      <c r="Q128" s="79"/>
      <c r="T128" s="79"/>
      <c r="U128" s="79"/>
      <c r="X128" s="130"/>
      <c r="Z128" s="106"/>
    </row>
    <row r="129">
      <c r="C129" s="79"/>
      <c r="D129" s="79"/>
      <c r="J129" s="79"/>
      <c r="P129" s="79"/>
      <c r="Q129" s="79"/>
      <c r="T129" s="79"/>
      <c r="U129" s="79"/>
      <c r="X129" s="130"/>
      <c r="Z129" s="106"/>
    </row>
    <row r="130">
      <c r="C130" s="79"/>
      <c r="D130" s="79"/>
      <c r="J130" s="79"/>
      <c r="P130" s="79"/>
      <c r="Q130" s="79"/>
      <c r="T130" s="79"/>
      <c r="U130" s="79"/>
      <c r="X130" s="130"/>
      <c r="Z130" s="106"/>
    </row>
    <row r="131">
      <c r="C131" s="79"/>
      <c r="D131" s="79"/>
      <c r="J131" s="79"/>
      <c r="P131" s="79"/>
      <c r="Q131" s="79"/>
      <c r="T131" s="79"/>
      <c r="U131" s="79"/>
      <c r="X131" s="130"/>
      <c r="Z131" s="106"/>
    </row>
    <row r="132">
      <c r="C132" s="79"/>
      <c r="D132" s="79"/>
      <c r="J132" s="79"/>
      <c r="P132" s="79"/>
      <c r="Q132" s="79"/>
      <c r="T132" s="79"/>
      <c r="U132" s="79"/>
      <c r="X132" s="130"/>
      <c r="Z132" s="106"/>
    </row>
    <row r="133">
      <c r="C133" s="79"/>
      <c r="D133" s="79"/>
      <c r="J133" s="79"/>
      <c r="P133" s="79"/>
      <c r="Q133" s="79"/>
      <c r="T133" s="79"/>
      <c r="U133" s="79"/>
      <c r="X133" s="130"/>
      <c r="Z133" s="106"/>
    </row>
    <row r="134">
      <c r="C134" s="79"/>
      <c r="D134" s="79"/>
      <c r="J134" s="79"/>
      <c r="P134" s="79"/>
      <c r="Q134" s="79"/>
      <c r="T134" s="79"/>
      <c r="U134" s="79"/>
      <c r="X134" s="130"/>
      <c r="Z134" s="106"/>
    </row>
    <row r="135">
      <c r="C135" s="79"/>
      <c r="D135" s="79"/>
      <c r="J135" s="79"/>
      <c r="P135" s="79"/>
      <c r="Q135" s="79"/>
      <c r="T135" s="79"/>
      <c r="U135" s="79"/>
      <c r="X135" s="130"/>
      <c r="Z135" s="106"/>
    </row>
    <row r="136">
      <c r="C136" s="79"/>
      <c r="D136" s="79"/>
      <c r="J136" s="79"/>
      <c r="P136" s="79"/>
      <c r="Q136" s="79"/>
      <c r="T136" s="79"/>
      <c r="U136" s="79"/>
      <c r="X136" s="130"/>
      <c r="Z136" s="106"/>
    </row>
    <row r="137">
      <c r="C137" s="79"/>
      <c r="D137" s="79"/>
      <c r="J137" s="79"/>
      <c r="P137" s="79"/>
      <c r="Q137" s="79"/>
      <c r="T137" s="79"/>
      <c r="U137" s="79"/>
      <c r="X137" s="130"/>
      <c r="Z137" s="106"/>
    </row>
    <row r="138">
      <c r="C138" s="79"/>
      <c r="D138" s="79"/>
      <c r="J138" s="79"/>
      <c r="P138" s="79"/>
      <c r="Q138" s="79"/>
      <c r="T138" s="79"/>
      <c r="U138" s="79"/>
      <c r="X138" s="130"/>
      <c r="Z138" s="106"/>
    </row>
    <row r="139">
      <c r="C139" s="79"/>
      <c r="D139" s="79"/>
      <c r="J139" s="79"/>
      <c r="P139" s="79"/>
      <c r="Q139" s="79"/>
      <c r="T139" s="79"/>
      <c r="U139" s="79"/>
      <c r="X139" s="130"/>
      <c r="Z139" s="106"/>
    </row>
    <row r="140">
      <c r="C140" s="79"/>
      <c r="D140" s="79"/>
      <c r="J140" s="79"/>
      <c r="P140" s="79"/>
      <c r="Q140" s="79"/>
      <c r="T140" s="79"/>
      <c r="U140" s="79"/>
      <c r="X140" s="130"/>
      <c r="Z140" s="106"/>
    </row>
    <row r="141">
      <c r="C141" s="79"/>
      <c r="D141" s="79"/>
      <c r="J141" s="79"/>
      <c r="P141" s="79"/>
      <c r="Q141" s="79"/>
      <c r="T141" s="79"/>
      <c r="U141" s="79"/>
      <c r="X141" s="130"/>
      <c r="Z141" s="106"/>
    </row>
    <row r="142">
      <c r="C142" s="79"/>
      <c r="D142" s="79"/>
      <c r="J142" s="79"/>
      <c r="P142" s="79"/>
      <c r="Q142" s="79"/>
      <c r="T142" s="79"/>
      <c r="U142" s="79"/>
      <c r="X142" s="130"/>
      <c r="Z142" s="106"/>
    </row>
    <row r="143">
      <c r="C143" s="79"/>
      <c r="D143" s="79"/>
      <c r="J143" s="79"/>
      <c r="P143" s="79"/>
      <c r="Q143" s="79"/>
      <c r="T143" s="79"/>
      <c r="U143" s="79"/>
      <c r="X143" s="130"/>
      <c r="Z143" s="106"/>
    </row>
    <row r="144">
      <c r="C144" s="79"/>
      <c r="D144" s="79"/>
      <c r="J144" s="79"/>
      <c r="P144" s="79"/>
      <c r="Q144" s="79"/>
      <c r="T144" s="79"/>
      <c r="U144" s="79"/>
      <c r="X144" s="130"/>
      <c r="Z144" s="106"/>
    </row>
    <row r="145">
      <c r="C145" s="79"/>
      <c r="D145" s="79"/>
      <c r="J145" s="79"/>
      <c r="P145" s="79"/>
      <c r="Q145" s="79"/>
      <c r="T145" s="79"/>
      <c r="U145" s="79"/>
      <c r="X145" s="130"/>
      <c r="Z145" s="106"/>
    </row>
    <row r="146">
      <c r="C146" s="79"/>
      <c r="D146" s="79"/>
      <c r="J146" s="79"/>
      <c r="P146" s="79"/>
      <c r="Q146" s="79"/>
      <c r="T146" s="79"/>
      <c r="U146" s="79"/>
      <c r="X146" s="130"/>
      <c r="Z146" s="106"/>
    </row>
    <row r="147">
      <c r="C147" s="79"/>
      <c r="D147" s="79"/>
      <c r="J147" s="79"/>
      <c r="P147" s="79"/>
      <c r="Q147" s="79"/>
      <c r="T147" s="79"/>
      <c r="U147" s="79"/>
      <c r="X147" s="130"/>
      <c r="Z147" s="106"/>
    </row>
    <row r="148">
      <c r="C148" s="79"/>
      <c r="D148" s="79"/>
      <c r="J148" s="79"/>
      <c r="P148" s="79"/>
      <c r="Q148" s="79"/>
      <c r="T148" s="79"/>
      <c r="U148" s="79"/>
      <c r="X148" s="130"/>
      <c r="Z148" s="106"/>
    </row>
    <row r="149">
      <c r="C149" s="79"/>
      <c r="D149" s="79"/>
      <c r="J149" s="79"/>
      <c r="P149" s="79"/>
      <c r="Q149" s="79"/>
      <c r="T149" s="79"/>
      <c r="U149" s="79"/>
      <c r="X149" s="130"/>
      <c r="Z149" s="106"/>
    </row>
    <row r="150">
      <c r="C150" s="79"/>
      <c r="D150" s="79"/>
      <c r="J150" s="79"/>
      <c r="P150" s="79"/>
      <c r="Q150" s="79"/>
      <c r="T150" s="79"/>
      <c r="U150" s="79"/>
      <c r="X150" s="130"/>
      <c r="Z150" s="106"/>
    </row>
    <row r="151">
      <c r="C151" s="79"/>
      <c r="D151" s="79"/>
      <c r="J151" s="79"/>
      <c r="P151" s="79"/>
      <c r="Q151" s="79"/>
      <c r="T151" s="79"/>
      <c r="U151" s="79"/>
      <c r="X151" s="130"/>
      <c r="Z151" s="106"/>
    </row>
    <row r="152">
      <c r="C152" s="79"/>
      <c r="D152" s="79"/>
      <c r="J152" s="79"/>
      <c r="P152" s="79"/>
      <c r="Q152" s="79"/>
      <c r="T152" s="79"/>
      <c r="U152" s="79"/>
      <c r="X152" s="130"/>
      <c r="Z152" s="106"/>
    </row>
    <row r="153">
      <c r="C153" s="79"/>
      <c r="D153" s="79"/>
      <c r="J153" s="79"/>
      <c r="P153" s="79"/>
      <c r="Q153" s="79"/>
      <c r="T153" s="79"/>
      <c r="U153" s="79"/>
      <c r="X153" s="130"/>
      <c r="Z153" s="106"/>
    </row>
    <row r="154">
      <c r="C154" s="79"/>
      <c r="D154" s="79"/>
      <c r="J154" s="79"/>
      <c r="P154" s="79"/>
      <c r="Q154" s="79"/>
      <c r="T154" s="79"/>
      <c r="U154" s="79"/>
      <c r="X154" s="130"/>
      <c r="Z154" s="106"/>
    </row>
    <row r="155">
      <c r="C155" s="79"/>
      <c r="D155" s="79"/>
      <c r="J155" s="79"/>
      <c r="P155" s="79"/>
      <c r="Q155" s="79"/>
      <c r="T155" s="79"/>
      <c r="U155" s="79"/>
      <c r="X155" s="130"/>
      <c r="Z155" s="106"/>
    </row>
    <row r="156">
      <c r="C156" s="79"/>
      <c r="D156" s="79"/>
      <c r="J156" s="79"/>
      <c r="P156" s="79"/>
      <c r="Q156" s="79"/>
      <c r="T156" s="79"/>
      <c r="U156" s="79"/>
      <c r="X156" s="130"/>
      <c r="Z156" s="106"/>
    </row>
    <row r="157">
      <c r="C157" s="79"/>
      <c r="D157" s="79"/>
      <c r="J157" s="79"/>
      <c r="P157" s="79"/>
      <c r="Q157" s="79"/>
      <c r="T157" s="79"/>
      <c r="U157" s="79"/>
      <c r="X157" s="130"/>
      <c r="Z157" s="106"/>
    </row>
    <row r="158">
      <c r="C158" s="79"/>
      <c r="D158" s="79"/>
      <c r="J158" s="79"/>
      <c r="P158" s="79"/>
      <c r="Q158" s="79"/>
      <c r="T158" s="79"/>
      <c r="U158" s="79"/>
      <c r="X158" s="130"/>
      <c r="Z158" s="106"/>
    </row>
    <row r="159">
      <c r="C159" s="79"/>
      <c r="D159" s="79"/>
      <c r="J159" s="79"/>
      <c r="P159" s="79"/>
      <c r="Q159" s="79"/>
      <c r="T159" s="79"/>
      <c r="U159" s="79"/>
      <c r="X159" s="130"/>
      <c r="Z159" s="106"/>
    </row>
    <row r="160">
      <c r="C160" s="79"/>
      <c r="D160" s="79"/>
      <c r="J160" s="79"/>
      <c r="P160" s="79"/>
      <c r="Q160" s="79"/>
      <c r="T160" s="79"/>
      <c r="U160" s="79"/>
      <c r="X160" s="130"/>
      <c r="Z160" s="106"/>
    </row>
    <row r="161">
      <c r="C161" s="79"/>
      <c r="D161" s="79"/>
      <c r="J161" s="79"/>
      <c r="P161" s="79"/>
      <c r="Q161" s="79"/>
      <c r="T161" s="79"/>
      <c r="U161" s="79"/>
      <c r="X161" s="130"/>
      <c r="Z161" s="106"/>
    </row>
    <row r="162">
      <c r="C162" s="79"/>
      <c r="D162" s="79"/>
      <c r="J162" s="79"/>
      <c r="P162" s="79"/>
      <c r="Q162" s="79"/>
      <c r="T162" s="79"/>
      <c r="U162" s="79"/>
      <c r="X162" s="130"/>
      <c r="Z162" s="106"/>
    </row>
    <row r="163">
      <c r="C163" s="79"/>
      <c r="D163" s="79"/>
      <c r="J163" s="79"/>
      <c r="P163" s="79"/>
      <c r="Q163" s="79"/>
      <c r="T163" s="79"/>
      <c r="U163" s="79"/>
      <c r="X163" s="130"/>
      <c r="Z163" s="106"/>
    </row>
    <row r="164">
      <c r="C164" s="79"/>
      <c r="D164" s="79"/>
      <c r="J164" s="79"/>
      <c r="P164" s="79"/>
      <c r="Q164" s="79"/>
      <c r="T164" s="79"/>
      <c r="U164" s="79"/>
      <c r="X164" s="130"/>
      <c r="Z164" s="106"/>
    </row>
    <row r="165">
      <c r="C165" s="79"/>
      <c r="D165" s="79"/>
      <c r="J165" s="79"/>
      <c r="P165" s="79"/>
      <c r="Q165" s="79"/>
      <c r="T165" s="79"/>
      <c r="U165" s="79"/>
      <c r="X165" s="130"/>
      <c r="Z165" s="106"/>
    </row>
    <row r="166">
      <c r="C166" s="79"/>
      <c r="D166" s="79"/>
      <c r="J166" s="79"/>
      <c r="P166" s="79"/>
      <c r="Q166" s="79"/>
      <c r="T166" s="79"/>
      <c r="U166" s="79"/>
      <c r="X166" s="130"/>
      <c r="Z166" s="106"/>
    </row>
    <row r="167">
      <c r="C167" s="79"/>
      <c r="D167" s="79"/>
      <c r="J167" s="79"/>
      <c r="P167" s="79"/>
      <c r="Q167" s="79"/>
      <c r="T167" s="79"/>
      <c r="U167" s="79"/>
      <c r="X167" s="130"/>
      <c r="Z167" s="106"/>
    </row>
    <row r="168">
      <c r="C168" s="79"/>
      <c r="D168" s="79"/>
      <c r="J168" s="79"/>
      <c r="P168" s="79"/>
      <c r="Q168" s="79"/>
      <c r="T168" s="79"/>
      <c r="U168" s="79"/>
      <c r="X168" s="130"/>
      <c r="Z168" s="106"/>
    </row>
    <row r="169">
      <c r="C169" s="79"/>
      <c r="D169" s="79"/>
      <c r="J169" s="79"/>
      <c r="P169" s="79"/>
      <c r="Q169" s="79"/>
      <c r="T169" s="79"/>
      <c r="U169" s="79"/>
      <c r="X169" s="130"/>
      <c r="Z169" s="106"/>
    </row>
    <row r="170">
      <c r="C170" s="79"/>
      <c r="D170" s="79"/>
      <c r="J170" s="79"/>
      <c r="P170" s="79"/>
      <c r="Q170" s="79"/>
      <c r="T170" s="79"/>
      <c r="U170" s="79"/>
      <c r="X170" s="130"/>
      <c r="Z170" s="106"/>
    </row>
    <row r="171">
      <c r="C171" s="79"/>
      <c r="D171" s="79"/>
      <c r="J171" s="79"/>
      <c r="P171" s="79"/>
      <c r="Q171" s="79"/>
      <c r="T171" s="79"/>
      <c r="U171" s="79"/>
      <c r="X171" s="130"/>
      <c r="Z171" s="106"/>
    </row>
    <row r="172">
      <c r="C172" s="79"/>
      <c r="D172" s="79"/>
      <c r="J172" s="79"/>
      <c r="P172" s="79"/>
      <c r="Q172" s="79"/>
      <c r="T172" s="79"/>
      <c r="U172" s="79"/>
      <c r="X172" s="130"/>
      <c r="Z172" s="106"/>
    </row>
    <row r="173">
      <c r="C173" s="79"/>
      <c r="D173" s="79"/>
      <c r="J173" s="79"/>
      <c r="P173" s="79"/>
      <c r="Q173" s="79"/>
      <c r="T173" s="79"/>
      <c r="U173" s="79"/>
      <c r="X173" s="130"/>
      <c r="Z173" s="106"/>
    </row>
    <row r="174">
      <c r="C174" s="79"/>
      <c r="D174" s="79"/>
      <c r="J174" s="79"/>
      <c r="P174" s="79"/>
      <c r="Q174" s="79"/>
      <c r="T174" s="79"/>
      <c r="U174" s="79"/>
      <c r="X174" s="130"/>
      <c r="Z174" s="106"/>
    </row>
    <row r="175">
      <c r="C175" s="79"/>
      <c r="D175" s="79"/>
      <c r="J175" s="79"/>
      <c r="P175" s="79"/>
      <c r="Q175" s="79"/>
      <c r="T175" s="79"/>
      <c r="U175" s="79"/>
      <c r="X175" s="130"/>
      <c r="Z175" s="106"/>
    </row>
    <row r="176">
      <c r="C176" s="79"/>
      <c r="D176" s="79"/>
      <c r="J176" s="79"/>
      <c r="P176" s="79"/>
      <c r="Q176" s="79"/>
      <c r="T176" s="79"/>
      <c r="U176" s="79"/>
      <c r="X176" s="130"/>
      <c r="Z176" s="106"/>
    </row>
    <row r="177">
      <c r="C177" s="79"/>
      <c r="D177" s="79"/>
      <c r="J177" s="79"/>
      <c r="P177" s="79"/>
      <c r="Q177" s="79"/>
      <c r="T177" s="79"/>
      <c r="U177" s="79"/>
      <c r="X177" s="130"/>
      <c r="Z177" s="106"/>
    </row>
    <row r="178">
      <c r="C178" s="79"/>
      <c r="D178" s="79"/>
      <c r="J178" s="79"/>
      <c r="P178" s="79"/>
      <c r="Q178" s="79"/>
      <c r="T178" s="79"/>
      <c r="U178" s="79"/>
      <c r="X178" s="130"/>
      <c r="Z178" s="106"/>
    </row>
    <row r="179">
      <c r="C179" s="79"/>
      <c r="D179" s="79"/>
      <c r="J179" s="79"/>
      <c r="P179" s="79"/>
      <c r="Q179" s="79"/>
      <c r="T179" s="79"/>
      <c r="U179" s="79"/>
      <c r="X179" s="130"/>
      <c r="Z179" s="106"/>
    </row>
    <row r="180">
      <c r="C180" s="79"/>
      <c r="D180" s="79"/>
      <c r="J180" s="79"/>
      <c r="P180" s="79"/>
      <c r="Q180" s="79"/>
      <c r="T180" s="79"/>
      <c r="U180" s="79"/>
      <c r="X180" s="130"/>
      <c r="Z180" s="106"/>
    </row>
    <row r="181">
      <c r="C181" s="79"/>
      <c r="D181" s="79"/>
      <c r="J181" s="79"/>
      <c r="P181" s="79"/>
      <c r="Q181" s="79"/>
      <c r="T181" s="79"/>
      <c r="U181" s="79"/>
      <c r="X181" s="130"/>
      <c r="Z181" s="106"/>
    </row>
    <row r="182">
      <c r="C182" s="79"/>
      <c r="D182" s="79"/>
      <c r="J182" s="79"/>
      <c r="P182" s="79"/>
      <c r="Q182" s="79"/>
      <c r="T182" s="79"/>
      <c r="U182" s="79"/>
      <c r="X182" s="130"/>
      <c r="Z182" s="106"/>
    </row>
    <row r="183">
      <c r="C183" s="79"/>
      <c r="D183" s="79"/>
      <c r="J183" s="79"/>
      <c r="P183" s="79"/>
      <c r="Q183" s="79"/>
      <c r="T183" s="79"/>
      <c r="U183" s="79"/>
      <c r="X183" s="130"/>
      <c r="Z183" s="106"/>
    </row>
    <row r="184">
      <c r="C184" s="79"/>
      <c r="D184" s="79"/>
      <c r="J184" s="79"/>
      <c r="P184" s="79"/>
      <c r="Q184" s="79"/>
      <c r="T184" s="79"/>
      <c r="U184" s="79"/>
      <c r="X184" s="130"/>
      <c r="Z184" s="106"/>
    </row>
    <row r="185">
      <c r="C185" s="79"/>
      <c r="D185" s="79"/>
      <c r="J185" s="79"/>
      <c r="P185" s="79"/>
      <c r="Q185" s="79"/>
      <c r="T185" s="79"/>
      <c r="U185" s="79"/>
      <c r="X185" s="130"/>
      <c r="Z185" s="106"/>
    </row>
    <row r="186">
      <c r="C186" s="79"/>
      <c r="D186" s="79"/>
      <c r="J186" s="79"/>
      <c r="P186" s="79"/>
      <c r="Q186" s="79"/>
      <c r="T186" s="79"/>
      <c r="U186" s="79"/>
      <c r="X186" s="130"/>
      <c r="Z186" s="106"/>
    </row>
    <row r="187">
      <c r="C187" s="79"/>
      <c r="D187" s="79"/>
      <c r="J187" s="79"/>
      <c r="P187" s="79"/>
      <c r="Q187" s="79"/>
      <c r="T187" s="79"/>
      <c r="U187" s="79"/>
      <c r="X187" s="130"/>
      <c r="Z187" s="106"/>
    </row>
    <row r="188">
      <c r="C188" s="79"/>
      <c r="D188" s="79"/>
      <c r="J188" s="79"/>
      <c r="P188" s="79"/>
      <c r="Q188" s="79"/>
      <c r="T188" s="79"/>
      <c r="U188" s="79"/>
      <c r="X188" s="130"/>
      <c r="Z188" s="106"/>
    </row>
    <row r="189">
      <c r="C189" s="79"/>
      <c r="D189" s="79"/>
      <c r="J189" s="79"/>
      <c r="P189" s="79"/>
      <c r="Q189" s="79"/>
      <c r="T189" s="79"/>
      <c r="U189" s="79"/>
      <c r="X189" s="130"/>
      <c r="Z189" s="106"/>
    </row>
    <row r="190">
      <c r="C190" s="79"/>
      <c r="D190" s="79"/>
      <c r="J190" s="79"/>
      <c r="P190" s="79"/>
      <c r="Q190" s="79"/>
      <c r="T190" s="79"/>
      <c r="U190" s="79"/>
      <c r="X190" s="130"/>
      <c r="Z190" s="106"/>
    </row>
    <row r="191">
      <c r="C191" s="79"/>
      <c r="D191" s="79"/>
      <c r="J191" s="79"/>
      <c r="P191" s="79"/>
      <c r="Q191" s="79"/>
      <c r="T191" s="79"/>
      <c r="U191" s="79"/>
      <c r="X191" s="130"/>
      <c r="Z191" s="106"/>
    </row>
    <row r="192">
      <c r="C192" s="79"/>
      <c r="D192" s="79"/>
      <c r="J192" s="79"/>
      <c r="P192" s="79"/>
      <c r="Q192" s="79"/>
      <c r="T192" s="79"/>
      <c r="U192" s="79"/>
      <c r="X192" s="130"/>
      <c r="Z192" s="106"/>
    </row>
    <row r="193">
      <c r="C193" s="79"/>
      <c r="D193" s="79"/>
      <c r="J193" s="79"/>
      <c r="P193" s="79"/>
      <c r="Q193" s="79"/>
      <c r="T193" s="79"/>
      <c r="U193" s="79"/>
      <c r="X193" s="130"/>
      <c r="Z193" s="106"/>
    </row>
    <row r="194">
      <c r="C194" s="79"/>
      <c r="D194" s="79"/>
      <c r="J194" s="79"/>
      <c r="P194" s="79"/>
      <c r="Q194" s="79"/>
      <c r="T194" s="79"/>
      <c r="U194" s="79"/>
      <c r="X194" s="130"/>
      <c r="Z194" s="106"/>
    </row>
    <row r="195">
      <c r="C195" s="79"/>
      <c r="D195" s="79"/>
      <c r="J195" s="79"/>
      <c r="P195" s="79"/>
      <c r="Q195" s="79"/>
      <c r="T195" s="79"/>
      <c r="U195" s="79"/>
      <c r="X195" s="130"/>
      <c r="Z195" s="106"/>
    </row>
    <row r="196">
      <c r="C196" s="79"/>
      <c r="D196" s="79"/>
      <c r="J196" s="79"/>
      <c r="P196" s="79"/>
      <c r="Q196" s="79"/>
      <c r="T196" s="79"/>
      <c r="U196" s="79"/>
      <c r="X196" s="130"/>
      <c r="Z196" s="106"/>
    </row>
    <row r="197">
      <c r="C197" s="79"/>
      <c r="D197" s="79"/>
      <c r="J197" s="79"/>
      <c r="P197" s="79"/>
      <c r="Q197" s="79"/>
      <c r="T197" s="79"/>
      <c r="U197" s="79"/>
      <c r="X197" s="130"/>
      <c r="Z197" s="106"/>
    </row>
    <row r="198">
      <c r="C198" s="79"/>
      <c r="D198" s="79"/>
      <c r="J198" s="79"/>
      <c r="P198" s="79"/>
      <c r="Q198" s="79"/>
      <c r="T198" s="79"/>
      <c r="U198" s="79"/>
      <c r="X198" s="130"/>
      <c r="Z198" s="106"/>
    </row>
    <row r="199">
      <c r="C199" s="79"/>
      <c r="D199" s="79"/>
      <c r="J199" s="79"/>
      <c r="P199" s="79"/>
      <c r="Q199" s="79"/>
      <c r="T199" s="79"/>
      <c r="U199" s="79"/>
      <c r="X199" s="130"/>
      <c r="Z199" s="106"/>
    </row>
    <row r="200">
      <c r="C200" s="79"/>
      <c r="D200" s="79"/>
      <c r="J200" s="79"/>
      <c r="P200" s="79"/>
      <c r="Q200" s="79"/>
      <c r="T200" s="79"/>
      <c r="U200" s="79"/>
      <c r="X200" s="130"/>
      <c r="Z200" s="106"/>
    </row>
    <row r="201">
      <c r="C201" s="79"/>
      <c r="D201" s="79"/>
      <c r="J201" s="79"/>
      <c r="P201" s="79"/>
      <c r="Q201" s="79"/>
      <c r="T201" s="79"/>
      <c r="U201" s="79"/>
      <c r="X201" s="130"/>
      <c r="Z201" s="106"/>
    </row>
    <row r="202">
      <c r="C202" s="79"/>
      <c r="D202" s="79"/>
      <c r="J202" s="79"/>
      <c r="P202" s="79"/>
      <c r="Q202" s="79"/>
      <c r="T202" s="79"/>
      <c r="U202" s="79"/>
      <c r="X202" s="130"/>
      <c r="Z202" s="106"/>
    </row>
    <row r="203">
      <c r="C203" s="79"/>
      <c r="D203" s="79"/>
      <c r="J203" s="79"/>
      <c r="P203" s="79"/>
      <c r="Q203" s="79"/>
      <c r="T203" s="79"/>
      <c r="U203" s="79"/>
      <c r="X203" s="130"/>
      <c r="Z203" s="106"/>
    </row>
    <row r="204">
      <c r="C204" s="79"/>
      <c r="D204" s="79"/>
      <c r="J204" s="79"/>
      <c r="P204" s="79"/>
      <c r="Q204" s="79"/>
      <c r="T204" s="79"/>
      <c r="U204" s="79"/>
      <c r="X204" s="130"/>
      <c r="Z204" s="106"/>
    </row>
    <row r="205">
      <c r="C205" s="79"/>
      <c r="D205" s="79"/>
      <c r="J205" s="79"/>
      <c r="P205" s="79"/>
      <c r="Q205" s="79"/>
      <c r="T205" s="79"/>
      <c r="U205" s="79"/>
      <c r="X205" s="130"/>
      <c r="Z205" s="106"/>
    </row>
    <row r="206">
      <c r="C206" s="79"/>
      <c r="D206" s="79"/>
      <c r="J206" s="79"/>
      <c r="P206" s="79"/>
      <c r="Q206" s="79"/>
      <c r="T206" s="79"/>
      <c r="U206" s="79"/>
      <c r="X206" s="130"/>
      <c r="Z206" s="106"/>
    </row>
    <row r="207">
      <c r="C207" s="79"/>
      <c r="D207" s="79"/>
      <c r="J207" s="79"/>
      <c r="P207" s="79"/>
      <c r="Q207" s="79"/>
      <c r="T207" s="79"/>
      <c r="U207" s="79"/>
      <c r="X207" s="130"/>
      <c r="Z207" s="106"/>
    </row>
    <row r="208">
      <c r="C208" s="79"/>
      <c r="D208" s="79"/>
      <c r="J208" s="79"/>
      <c r="P208" s="79"/>
      <c r="Q208" s="79"/>
      <c r="T208" s="79"/>
      <c r="U208" s="79"/>
      <c r="X208" s="130"/>
      <c r="Z208" s="106"/>
    </row>
    <row r="209">
      <c r="C209" s="79"/>
      <c r="D209" s="79"/>
      <c r="J209" s="79"/>
      <c r="P209" s="79"/>
      <c r="Q209" s="79"/>
      <c r="T209" s="79"/>
      <c r="U209" s="79"/>
      <c r="X209" s="130"/>
      <c r="Z209" s="106"/>
    </row>
    <row r="210">
      <c r="C210" s="79"/>
      <c r="D210" s="79"/>
      <c r="J210" s="79"/>
      <c r="P210" s="79"/>
      <c r="Q210" s="79"/>
      <c r="T210" s="79"/>
      <c r="U210" s="79"/>
      <c r="X210" s="130"/>
      <c r="Z210" s="106"/>
    </row>
    <row r="211">
      <c r="C211" s="79"/>
      <c r="D211" s="79"/>
      <c r="J211" s="79"/>
      <c r="P211" s="79"/>
      <c r="Q211" s="79"/>
      <c r="T211" s="79"/>
      <c r="U211" s="79"/>
      <c r="X211" s="130"/>
      <c r="Z211" s="106"/>
    </row>
    <row r="212">
      <c r="C212" s="79"/>
      <c r="D212" s="79"/>
      <c r="J212" s="79"/>
      <c r="P212" s="79"/>
      <c r="Q212" s="79"/>
      <c r="T212" s="79"/>
      <c r="U212" s="79"/>
      <c r="X212" s="130"/>
      <c r="Z212" s="106"/>
    </row>
    <row r="213">
      <c r="C213" s="79"/>
      <c r="D213" s="79"/>
      <c r="J213" s="79"/>
      <c r="P213" s="79"/>
      <c r="Q213" s="79"/>
      <c r="T213" s="79"/>
      <c r="U213" s="79"/>
      <c r="X213" s="130"/>
      <c r="Z213" s="106"/>
    </row>
    <row r="214">
      <c r="C214" s="79"/>
      <c r="D214" s="79"/>
      <c r="J214" s="79"/>
      <c r="P214" s="79"/>
      <c r="Q214" s="79"/>
      <c r="T214" s="79"/>
      <c r="U214" s="79"/>
      <c r="X214" s="130"/>
      <c r="Z214" s="106"/>
    </row>
    <row r="215">
      <c r="C215" s="79"/>
      <c r="D215" s="79"/>
      <c r="J215" s="79"/>
      <c r="P215" s="79"/>
      <c r="Q215" s="79"/>
      <c r="T215" s="79"/>
      <c r="U215" s="79"/>
      <c r="X215" s="130"/>
      <c r="Z215" s="106"/>
    </row>
    <row r="216">
      <c r="C216" s="79"/>
      <c r="D216" s="79"/>
      <c r="J216" s="79"/>
      <c r="P216" s="79"/>
      <c r="Q216" s="79"/>
      <c r="T216" s="79"/>
      <c r="U216" s="79"/>
      <c r="X216" s="130"/>
      <c r="Z216" s="106"/>
    </row>
    <row r="217">
      <c r="C217" s="79"/>
      <c r="D217" s="79"/>
      <c r="J217" s="79"/>
      <c r="P217" s="79"/>
      <c r="Q217" s="79"/>
      <c r="T217" s="79"/>
      <c r="U217" s="79"/>
      <c r="X217" s="130"/>
      <c r="Z217" s="106"/>
    </row>
    <row r="218">
      <c r="C218" s="79"/>
      <c r="D218" s="79"/>
      <c r="J218" s="79"/>
      <c r="P218" s="79"/>
      <c r="Q218" s="79"/>
      <c r="T218" s="79"/>
      <c r="U218" s="79"/>
      <c r="X218" s="130"/>
      <c r="Z218" s="106"/>
    </row>
    <row r="219">
      <c r="C219" s="79"/>
      <c r="D219" s="79"/>
      <c r="J219" s="79"/>
      <c r="P219" s="79"/>
      <c r="Q219" s="79"/>
      <c r="T219" s="79"/>
      <c r="U219" s="79"/>
      <c r="X219" s="130"/>
      <c r="Z219" s="106"/>
    </row>
    <row r="220">
      <c r="C220" s="79"/>
      <c r="D220" s="79"/>
      <c r="J220" s="79"/>
      <c r="P220" s="79"/>
      <c r="Q220" s="79"/>
      <c r="T220" s="79"/>
      <c r="U220" s="79"/>
      <c r="X220" s="130"/>
      <c r="Z220" s="106"/>
    </row>
    <row r="221">
      <c r="C221" s="79"/>
      <c r="D221" s="79"/>
      <c r="J221" s="79"/>
      <c r="P221" s="79"/>
      <c r="Q221" s="79"/>
      <c r="T221" s="79"/>
      <c r="U221" s="79"/>
      <c r="X221" s="130"/>
      <c r="Z221" s="106"/>
    </row>
    <row r="222">
      <c r="C222" s="79"/>
      <c r="D222" s="79"/>
      <c r="J222" s="79"/>
      <c r="P222" s="79"/>
      <c r="Q222" s="79"/>
      <c r="T222" s="79"/>
      <c r="U222" s="79"/>
      <c r="X222" s="130"/>
      <c r="Z222" s="106"/>
    </row>
    <row r="223">
      <c r="C223" s="79"/>
      <c r="D223" s="79"/>
      <c r="J223" s="79"/>
      <c r="P223" s="79"/>
      <c r="Q223" s="79"/>
      <c r="T223" s="79"/>
      <c r="U223" s="79"/>
      <c r="X223" s="130"/>
      <c r="Z223" s="106"/>
    </row>
    <row r="224">
      <c r="C224" s="79"/>
      <c r="D224" s="79"/>
      <c r="J224" s="79"/>
      <c r="P224" s="79"/>
      <c r="Q224" s="79"/>
      <c r="T224" s="79"/>
      <c r="U224" s="79"/>
      <c r="X224" s="130"/>
      <c r="Z224" s="106"/>
    </row>
    <row r="225">
      <c r="C225" s="79"/>
      <c r="D225" s="79"/>
      <c r="J225" s="79"/>
      <c r="P225" s="79"/>
      <c r="Q225" s="79"/>
      <c r="T225" s="79"/>
      <c r="U225" s="79"/>
      <c r="X225" s="130"/>
      <c r="Z225" s="106"/>
    </row>
    <row r="226">
      <c r="C226" s="79"/>
      <c r="D226" s="79"/>
      <c r="J226" s="79"/>
      <c r="P226" s="79"/>
      <c r="Q226" s="79"/>
      <c r="T226" s="79"/>
      <c r="U226" s="79"/>
      <c r="X226" s="130"/>
      <c r="Z226" s="106"/>
    </row>
    <row r="227">
      <c r="C227" s="79"/>
      <c r="D227" s="79"/>
      <c r="J227" s="79"/>
      <c r="P227" s="79"/>
      <c r="Q227" s="79"/>
      <c r="T227" s="79"/>
      <c r="U227" s="79"/>
      <c r="X227" s="130"/>
      <c r="Z227" s="106"/>
    </row>
    <row r="228">
      <c r="C228" s="79"/>
      <c r="D228" s="79"/>
      <c r="J228" s="79"/>
      <c r="P228" s="79"/>
      <c r="Q228" s="79"/>
      <c r="T228" s="79"/>
      <c r="U228" s="79"/>
      <c r="X228" s="130"/>
      <c r="Z228" s="106"/>
    </row>
    <row r="229">
      <c r="C229" s="79"/>
      <c r="D229" s="79"/>
      <c r="J229" s="79"/>
      <c r="P229" s="79"/>
      <c r="Q229" s="79"/>
      <c r="T229" s="79"/>
      <c r="U229" s="79"/>
      <c r="X229" s="130"/>
      <c r="Z229" s="106"/>
    </row>
    <row r="230">
      <c r="C230" s="79"/>
      <c r="D230" s="79"/>
      <c r="J230" s="79"/>
      <c r="P230" s="79"/>
      <c r="Q230" s="79"/>
      <c r="T230" s="79"/>
      <c r="U230" s="79"/>
      <c r="X230" s="130"/>
      <c r="Z230" s="106"/>
    </row>
    <row r="231">
      <c r="C231" s="79"/>
      <c r="D231" s="79"/>
      <c r="J231" s="79"/>
      <c r="P231" s="79"/>
      <c r="Q231" s="79"/>
      <c r="T231" s="79"/>
      <c r="U231" s="79"/>
      <c r="X231" s="130"/>
      <c r="Z231" s="106"/>
    </row>
    <row r="232">
      <c r="C232" s="79"/>
      <c r="D232" s="79"/>
      <c r="J232" s="79"/>
      <c r="P232" s="79"/>
      <c r="Q232" s="79"/>
      <c r="T232" s="79"/>
      <c r="U232" s="79"/>
      <c r="X232" s="130"/>
      <c r="Z232" s="106"/>
    </row>
    <row r="233">
      <c r="C233" s="79"/>
      <c r="D233" s="79"/>
      <c r="J233" s="79"/>
      <c r="P233" s="79"/>
      <c r="Q233" s="79"/>
      <c r="T233" s="79"/>
      <c r="U233" s="79"/>
      <c r="X233" s="130"/>
      <c r="Z233" s="106"/>
    </row>
    <row r="234">
      <c r="C234" s="79"/>
      <c r="D234" s="79"/>
      <c r="J234" s="79"/>
      <c r="P234" s="79"/>
      <c r="Q234" s="79"/>
      <c r="T234" s="79"/>
      <c r="U234" s="79"/>
      <c r="X234" s="130"/>
      <c r="Z234" s="106"/>
    </row>
    <row r="235">
      <c r="C235" s="79"/>
      <c r="D235" s="79"/>
      <c r="J235" s="79"/>
      <c r="P235" s="79"/>
      <c r="Q235" s="79"/>
      <c r="T235" s="79"/>
      <c r="U235" s="79"/>
      <c r="X235" s="130"/>
      <c r="Z235" s="106"/>
    </row>
    <row r="236">
      <c r="C236" s="79"/>
      <c r="D236" s="79"/>
      <c r="J236" s="79"/>
      <c r="P236" s="79"/>
      <c r="Q236" s="79"/>
      <c r="T236" s="79"/>
      <c r="U236" s="79"/>
      <c r="X236" s="130"/>
      <c r="Z236" s="106"/>
    </row>
    <row r="237">
      <c r="C237" s="79"/>
      <c r="D237" s="79"/>
      <c r="J237" s="79"/>
      <c r="P237" s="79"/>
      <c r="Q237" s="79"/>
      <c r="T237" s="79"/>
      <c r="U237" s="79"/>
      <c r="X237" s="130"/>
      <c r="Z237" s="106"/>
    </row>
    <row r="238">
      <c r="C238" s="79"/>
      <c r="D238" s="79"/>
      <c r="J238" s="79"/>
      <c r="P238" s="79"/>
      <c r="Q238" s="79"/>
      <c r="T238" s="79"/>
      <c r="U238" s="79"/>
      <c r="X238" s="130"/>
      <c r="Z238" s="106"/>
    </row>
    <row r="239">
      <c r="C239" s="79"/>
      <c r="D239" s="79"/>
      <c r="J239" s="79"/>
      <c r="P239" s="79"/>
      <c r="Q239" s="79"/>
      <c r="T239" s="79"/>
      <c r="U239" s="79"/>
      <c r="X239" s="130"/>
      <c r="Z239" s="106"/>
    </row>
    <row r="240">
      <c r="C240" s="79"/>
      <c r="D240" s="79"/>
      <c r="J240" s="79"/>
      <c r="P240" s="79"/>
      <c r="Q240" s="79"/>
      <c r="T240" s="79"/>
      <c r="U240" s="79"/>
      <c r="X240" s="130"/>
      <c r="Z240" s="106"/>
    </row>
    <row r="241">
      <c r="C241" s="79"/>
      <c r="D241" s="79"/>
      <c r="J241" s="79"/>
      <c r="P241" s="79"/>
      <c r="Q241" s="79"/>
      <c r="T241" s="79"/>
      <c r="U241" s="79"/>
      <c r="X241" s="130"/>
      <c r="Z241" s="106"/>
    </row>
    <row r="242">
      <c r="C242" s="79"/>
      <c r="D242" s="79"/>
      <c r="J242" s="79"/>
      <c r="P242" s="79"/>
      <c r="Q242" s="79"/>
      <c r="T242" s="79"/>
      <c r="U242" s="79"/>
      <c r="X242" s="130"/>
      <c r="Z242" s="106"/>
    </row>
    <row r="243">
      <c r="C243" s="79"/>
      <c r="D243" s="79"/>
      <c r="J243" s="79"/>
      <c r="P243" s="79"/>
      <c r="Q243" s="79"/>
      <c r="T243" s="79"/>
      <c r="U243" s="79"/>
      <c r="X243" s="130"/>
      <c r="Z243" s="106"/>
    </row>
    <row r="244">
      <c r="C244" s="79"/>
      <c r="D244" s="79"/>
      <c r="J244" s="79"/>
      <c r="P244" s="79"/>
      <c r="Q244" s="79"/>
      <c r="T244" s="79"/>
      <c r="U244" s="79"/>
      <c r="X244" s="130"/>
      <c r="Z244" s="106"/>
    </row>
    <row r="245">
      <c r="C245" s="79"/>
      <c r="D245" s="79"/>
      <c r="J245" s="79"/>
      <c r="P245" s="79"/>
      <c r="Q245" s="79"/>
      <c r="T245" s="79"/>
      <c r="U245" s="79"/>
      <c r="X245" s="130"/>
      <c r="Z245" s="106"/>
    </row>
    <row r="246">
      <c r="C246" s="79"/>
      <c r="D246" s="79"/>
      <c r="J246" s="79"/>
      <c r="P246" s="79"/>
      <c r="Q246" s="79"/>
      <c r="T246" s="79"/>
      <c r="U246" s="79"/>
      <c r="X246" s="130"/>
      <c r="Z246" s="106"/>
    </row>
    <row r="247">
      <c r="C247" s="79"/>
      <c r="D247" s="79"/>
      <c r="J247" s="79"/>
      <c r="P247" s="79"/>
      <c r="Q247" s="79"/>
      <c r="T247" s="79"/>
      <c r="U247" s="79"/>
      <c r="X247" s="130"/>
      <c r="Z247" s="106"/>
    </row>
    <row r="248">
      <c r="C248" s="79"/>
      <c r="D248" s="79"/>
      <c r="J248" s="79"/>
      <c r="P248" s="79"/>
      <c r="Q248" s="79"/>
      <c r="T248" s="79"/>
      <c r="U248" s="79"/>
      <c r="X248" s="130"/>
      <c r="Z248" s="106"/>
    </row>
    <row r="249">
      <c r="C249" s="79"/>
      <c r="D249" s="79"/>
      <c r="J249" s="79"/>
      <c r="P249" s="79"/>
      <c r="Q249" s="79"/>
      <c r="T249" s="79"/>
      <c r="U249" s="79"/>
      <c r="X249" s="130"/>
      <c r="Z249" s="106"/>
    </row>
    <row r="250">
      <c r="C250" s="79"/>
      <c r="D250" s="79"/>
      <c r="J250" s="79"/>
      <c r="P250" s="79"/>
      <c r="Q250" s="79"/>
      <c r="T250" s="79"/>
      <c r="U250" s="79"/>
      <c r="X250" s="130"/>
      <c r="Z250" s="106"/>
    </row>
    <row r="251">
      <c r="C251" s="79"/>
      <c r="D251" s="79"/>
      <c r="J251" s="79"/>
      <c r="P251" s="79"/>
      <c r="Q251" s="79"/>
      <c r="T251" s="79"/>
      <c r="U251" s="79"/>
      <c r="X251" s="130"/>
      <c r="Z251" s="106"/>
    </row>
    <row r="252">
      <c r="C252" s="79"/>
      <c r="D252" s="79"/>
      <c r="J252" s="79"/>
      <c r="P252" s="79"/>
      <c r="Q252" s="79"/>
      <c r="T252" s="79"/>
      <c r="U252" s="79"/>
      <c r="X252" s="130"/>
      <c r="Z252" s="106"/>
    </row>
    <row r="253">
      <c r="C253" s="79"/>
      <c r="D253" s="79"/>
      <c r="J253" s="79"/>
      <c r="P253" s="79"/>
      <c r="Q253" s="79"/>
      <c r="T253" s="79"/>
      <c r="U253" s="79"/>
      <c r="X253" s="130"/>
      <c r="Z253" s="106"/>
    </row>
    <row r="254">
      <c r="C254" s="79"/>
      <c r="D254" s="79"/>
      <c r="J254" s="79"/>
      <c r="P254" s="79"/>
      <c r="Q254" s="79"/>
      <c r="T254" s="79"/>
      <c r="U254" s="79"/>
      <c r="X254" s="130"/>
      <c r="Z254" s="106"/>
    </row>
    <row r="255">
      <c r="C255" s="79"/>
      <c r="D255" s="79"/>
      <c r="J255" s="79"/>
      <c r="P255" s="79"/>
      <c r="Q255" s="79"/>
      <c r="T255" s="79"/>
      <c r="U255" s="79"/>
      <c r="X255" s="130"/>
      <c r="Z255" s="106"/>
    </row>
    <row r="256">
      <c r="C256" s="79"/>
      <c r="D256" s="79"/>
      <c r="J256" s="79"/>
      <c r="P256" s="79"/>
      <c r="Q256" s="79"/>
      <c r="T256" s="79"/>
      <c r="U256" s="79"/>
      <c r="X256" s="130"/>
      <c r="Z256" s="106"/>
    </row>
    <row r="257">
      <c r="C257" s="79"/>
      <c r="D257" s="79"/>
      <c r="J257" s="79"/>
      <c r="P257" s="79"/>
      <c r="Q257" s="79"/>
      <c r="T257" s="79"/>
      <c r="U257" s="79"/>
      <c r="X257" s="130"/>
      <c r="Z257" s="106"/>
    </row>
    <row r="258">
      <c r="C258" s="79"/>
      <c r="D258" s="79"/>
      <c r="J258" s="79"/>
      <c r="P258" s="79"/>
      <c r="Q258" s="79"/>
      <c r="T258" s="79"/>
      <c r="U258" s="79"/>
      <c r="X258" s="130"/>
      <c r="Z258" s="106"/>
    </row>
    <row r="259">
      <c r="C259" s="79"/>
      <c r="D259" s="79"/>
      <c r="J259" s="79"/>
      <c r="P259" s="79"/>
      <c r="Q259" s="79"/>
      <c r="T259" s="79"/>
      <c r="U259" s="79"/>
      <c r="X259" s="130"/>
      <c r="Z259" s="106"/>
    </row>
    <row r="260">
      <c r="C260" s="79"/>
      <c r="D260" s="79"/>
      <c r="J260" s="79"/>
      <c r="P260" s="79"/>
      <c r="Q260" s="79"/>
      <c r="T260" s="79"/>
      <c r="U260" s="79"/>
      <c r="X260" s="130"/>
      <c r="Z260" s="106"/>
    </row>
    <row r="261">
      <c r="C261" s="79"/>
      <c r="D261" s="79"/>
      <c r="J261" s="79"/>
      <c r="P261" s="79"/>
      <c r="Q261" s="79"/>
      <c r="T261" s="79"/>
      <c r="U261" s="79"/>
      <c r="X261" s="130"/>
      <c r="Z261" s="106"/>
    </row>
    <row r="262">
      <c r="C262" s="79"/>
      <c r="D262" s="79"/>
      <c r="J262" s="79"/>
      <c r="P262" s="79"/>
      <c r="Q262" s="79"/>
      <c r="T262" s="79"/>
      <c r="U262" s="79"/>
      <c r="X262" s="130"/>
      <c r="Z262" s="106"/>
    </row>
    <row r="263">
      <c r="C263" s="79"/>
      <c r="D263" s="79"/>
      <c r="J263" s="79"/>
      <c r="P263" s="79"/>
      <c r="Q263" s="79"/>
      <c r="T263" s="79"/>
      <c r="U263" s="79"/>
      <c r="X263" s="130"/>
      <c r="Z263" s="106"/>
    </row>
    <row r="264">
      <c r="C264" s="79"/>
      <c r="D264" s="79"/>
      <c r="J264" s="79"/>
      <c r="P264" s="79"/>
      <c r="Q264" s="79"/>
      <c r="T264" s="79"/>
      <c r="U264" s="79"/>
      <c r="X264" s="130"/>
      <c r="Z264" s="106"/>
    </row>
    <row r="265">
      <c r="C265" s="79"/>
      <c r="D265" s="79"/>
      <c r="J265" s="79"/>
      <c r="P265" s="79"/>
      <c r="Q265" s="79"/>
      <c r="T265" s="79"/>
      <c r="U265" s="79"/>
      <c r="X265" s="130"/>
      <c r="Z265" s="106"/>
    </row>
    <row r="266">
      <c r="C266" s="79"/>
      <c r="D266" s="79"/>
      <c r="J266" s="79"/>
      <c r="P266" s="79"/>
      <c r="Q266" s="79"/>
      <c r="T266" s="79"/>
      <c r="U266" s="79"/>
      <c r="X266" s="130"/>
      <c r="Z266" s="106"/>
    </row>
    <row r="267">
      <c r="C267" s="79"/>
      <c r="D267" s="79"/>
      <c r="J267" s="79"/>
      <c r="P267" s="79"/>
      <c r="Q267" s="79"/>
      <c r="T267" s="79"/>
      <c r="U267" s="79"/>
      <c r="X267" s="130"/>
      <c r="Z267" s="106"/>
    </row>
    <row r="268">
      <c r="C268" s="79"/>
      <c r="D268" s="79"/>
      <c r="J268" s="79"/>
      <c r="P268" s="79"/>
      <c r="Q268" s="79"/>
      <c r="T268" s="79"/>
      <c r="U268" s="79"/>
      <c r="X268" s="130"/>
      <c r="Z268" s="106"/>
    </row>
    <row r="269">
      <c r="C269" s="79"/>
      <c r="D269" s="79"/>
      <c r="J269" s="79"/>
      <c r="P269" s="79"/>
      <c r="Q269" s="79"/>
      <c r="T269" s="79"/>
      <c r="U269" s="79"/>
      <c r="X269" s="130"/>
      <c r="Z269" s="106"/>
    </row>
    <row r="270">
      <c r="C270" s="79"/>
      <c r="D270" s="79"/>
      <c r="J270" s="79"/>
      <c r="P270" s="79"/>
      <c r="Q270" s="79"/>
      <c r="T270" s="79"/>
      <c r="U270" s="79"/>
      <c r="X270" s="130"/>
      <c r="Z270" s="106"/>
    </row>
    <row r="271">
      <c r="C271" s="79"/>
      <c r="D271" s="79"/>
      <c r="J271" s="79"/>
      <c r="P271" s="79"/>
      <c r="Q271" s="79"/>
      <c r="T271" s="79"/>
      <c r="U271" s="79"/>
      <c r="X271" s="130"/>
      <c r="Z271" s="106"/>
    </row>
    <row r="272">
      <c r="C272" s="79"/>
      <c r="D272" s="79"/>
      <c r="J272" s="79"/>
      <c r="P272" s="79"/>
      <c r="Q272" s="79"/>
      <c r="T272" s="79"/>
      <c r="U272" s="79"/>
      <c r="X272" s="130"/>
      <c r="Z272" s="106"/>
    </row>
    <row r="273">
      <c r="C273" s="79"/>
      <c r="D273" s="79"/>
      <c r="J273" s="79"/>
      <c r="P273" s="79"/>
      <c r="Q273" s="79"/>
      <c r="T273" s="79"/>
      <c r="U273" s="79"/>
      <c r="X273" s="130"/>
      <c r="Z273" s="106"/>
    </row>
    <row r="274">
      <c r="C274" s="79"/>
      <c r="D274" s="79"/>
      <c r="J274" s="79"/>
      <c r="P274" s="79"/>
      <c r="Q274" s="79"/>
      <c r="T274" s="79"/>
      <c r="U274" s="79"/>
      <c r="X274" s="130"/>
      <c r="Z274" s="106"/>
    </row>
    <row r="275">
      <c r="C275" s="79"/>
      <c r="D275" s="79"/>
      <c r="J275" s="79"/>
      <c r="P275" s="79"/>
      <c r="Q275" s="79"/>
      <c r="T275" s="79"/>
      <c r="U275" s="79"/>
      <c r="X275" s="130"/>
      <c r="Z275" s="106"/>
    </row>
    <row r="276">
      <c r="C276" s="79"/>
      <c r="D276" s="79"/>
      <c r="J276" s="79"/>
      <c r="P276" s="79"/>
      <c r="Q276" s="79"/>
      <c r="T276" s="79"/>
      <c r="U276" s="79"/>
      <c r="X276" s="130"/>
      <c r="Z276" s="106"/>
    </row>
    <row r="277">
      <c r="C277" s="79"/>
      <c r="D277" s="79"/>
      <c r="J277" s="79"/>
      <c r="P277" s="79"/>
      <c r="Q277" s="79"/>
      <c r="T277" s="79"/>
      <c r="U277" s="79"/>
      <c r="X277" s="130"/>
      <c r="Z277" s="106"/>
    </row>
    <row r="278">
      <c r="C278" s="79"/>
      <c r="D278" s="79"/>
      <c r="J278" s="79"/>
      <c r="P278" s="79"/>
      <c r="Q278" s="79"/>
      <c r="T278" s="79"/>
      <c r="U278" s="79"/>
      <c r="X278" s="130"/>
      <c r="Z278" s="106"/>
    </row>
    <row r="279">
      <c r="C279" s="79"/>
      <c r="D279" s="79"/>
      <c r="J279" s="79"/>
      <c r="P279" s="79"/>
      <c r="Q279" s="79"/>
      <c r="T279" s="79"/>
      <c r="U279" s="79"/>
      <c r="X279" s="130"/>
      <c r="Z279" s="106"/>
    </row>
    <row r="280">
      <c r="C280" s="79"/>
      <c r="D280" s="79"/>
      <c r="J280" s="79"/>
      <c r="P280" s="79"/>
      <c r="Q280" s="79"/>
      <c r="T280" s="79"/>
      <c r="U280" s="79"/>
      <c r="X280" s="130"/>
      <c r="Z280" s="106"/>
    </row>
    <row r="281">
      <c r="C281" s="79"/>
      <c r="D281" s="79"/>
      <c r="J281" s="79"/>
      <c r="P281" s="79"/>
      <c r="Q281" s="79"/>
      <c r="T281" s="79"/>
      <c r="U281" s="79"/>
      <c r="X281" s="130"/>
      <c r="Z281" s="106"/>
    </row>
    <row r="282">
      <c r="C282" s="79"/>
      <c r="D282" s="79"/>
      <c r="J282" s="79"/>
      <c r="P282" s="79"/>
      <c r="Q282" s="79"/>
      <c r="T282" s="79"/>
      <c r="U282" s="79"/>
      <c r="X282" s="130"/>
      <c r="Z282" s="106"/>
    </row>
    <row r="283">
      <c r="C283" s="79"/>
      <c r="D283" s="79"/>
      <c r="J283" s="79"/>
      <c r="P283" s="79"/>
      <c r="Q283" s="79"/>
      <c r="T283" s="79"/>
      <c r="U283" s="79"/>
      <c r="X283" s="130"/>
      <c r="Z283" s="106"/>
    </row>
    <row r="284">
      <c r="C284" s="79"/>
      <c r="D284" s="79"/>
      <c r="J284" s="79"/>
      <c r="P284" s="79"/>
      <c r="Q284" s="79"/>
      <c r="T284" s="79"/>
      <c r="U284" s="79"/>
      <c r="X284" s="130"/>
      <c r="Z284" s="106"/>
    </row>
    <row r="285">
      <c r="C285" s="79"/>
      <c r="D285" s="79"/>
      <c r="J285" s="79"/>
      <c r="P285" s="79"/>
      <c r="Q285" s="79"/>
      <c r="T285" s="79"/>
      <c r="U285" s="79"/>
      <c r="X285" s="130"/>
      <c r="Z285" s="106"/>
    </row>
    <row r="286">
      <c r="C286" s="79"/>
      <c r="D286" s="79"/>
      <c r="J286" s="79"/>
      <c r="P286" s="79"/>
      <c r="Q286" s="79"/>
      <c r="T286" s="79"/>
      <c r="U286" s="79"/>
      <c r="X286" s="130"/>
      <c r="Z286" s="106"/>
    </row>
    <row r="287">
      <c r="C287" s="79"/>
      <c r="D287" s="79"/>
      <c r="J287" s="79"/>
      <c r="P287" s="79"/>
      <c r="Q287" s="79"/>
      <c r="T287" s="79"/>
      <c r="U287" s="79"/>
      <c r="X287" s="130"/>
      <c r="Z287" s="106"/>
    </row>
    <row r="288">
      <c r="C288" s="79"/>
      <c r="D288" s="79"/>
      <c r="J288" s="79"/>
      <c r="P288" s="79"/>
      <c r="Q288" s="79"/>
      <c r="T288" s="79"/>
      <c r="U288" s="79"/>
      <c r="X288" s="130"/>
      <c r="Z288" s="106"/>
    </row>
    <row r="289">
      <c r="C289" s="79"/>
      <c r="D289" s="79"/>
      <c r="J289" s="79"/>
      <c r="P289" s="79"/>
      <c r="Q289" s="79"/>
      <c r="T289" s="79"/>
      <c r="U289" s="79"/>
      <c r="X289" s="130"/>
      <c r="Z289" s="106"/>
    </row>
    <row r="290">
      <c r="C290" s="79"/>
      <c r="D290" s="79"/>
      <c r="J290" s="79"/>
      <c r="P290" s="79"/>
      <c r="Q290" s="79"/>
      <c r="T290" s="79"/>
      <c r="U290" s="79"/>
      <c r="X290" s="130"/>
      <c r="Z290" s="106"/>
    </row>
    <row r="291">
      <c r="C291" s="79"/>
      <c r="D291" s="79"/>
      <c r="J291" s="79"/>
      <c r="P291" s="79"/>
      <c r="Q291" s="79"/>
      <c r="T291" s="79"/>
      <c r="U291" s="79"/>
      <c r="X291" s="130"/>
      <c r="Z291" s="106"/>
    </row>
    <row r="292">
      <c r="C292" s="79"/>
      <c r="D292" s="79"/>
      <c r="J292" s="79"/>
      <c r="P292" s="79"/>
      <c r="Q292" s="79"/>
      <c r="T292" s="79"/>
      <c r="U292" s="79"/>
      <c r="X292" s="130"/>
      <c r="Z292" s="106"/>
    </row>
    <row r="293">
      <c r="C293" s="79"/>
      <c r="D293" s="79"/>
      <c r="J293" s="79"/>
      <c r="P293" s="79"/>
      <c r="Q293" s="79"/>
      <c r="T293" s="79"/>
      <c r="U293" s="79"/>
      <c r="X293" s="130"/>
      <c r="Z293" s="106"/>
    </row>
    <row r="294">
      <c r="C294" s="79"/>
      <c r="D294" s="79"/>
      <c r="J294" s="79"/>
      <c r="P294" s="79"/>
      <c r="Q294" s="79"/>
      <c r="T294" s="79"/>
      <c r="U294" s="79"/>
      <c r="X294" s="130"/>
      <c r="Z294" s="106"/>
    </row>
    <row r="295">
      <c r="C295" s="79"/>
      <c r="D295" s="79"/>
      <c r="J295" s="79"/>
      <c r="P295" s="79"/>
      <c r="Q295" s="79"/>
      <c r="T295" s="79"/>
      <c r="U295" s="79"/>
      <c r="X295" s="130"/>
      <c r="Z295" s="106"/>
    </row>
    <row r="296">
      <c r="C296" s="79"/>
      <c r="D296" s="79"/>
      <c r="J296" s="79"/>
      <c r="P296" s="79"/>
      <c r="Q296" s="79"/>
      <c r="T296" s="79"/>
      <c r="U296" s="79"/>
      <c r="X296" s="130"/>
      <c r="Z296" s="106"/>
    </row>
    <row r="297">
      <c r="C297" s="79"/>
      <c r="D297" s="79"/>
      <c r="J297" s="79"/>
      <c r="P297" s="79"/>
      <c r="Q297" s="79"/>
      <c r="T297" s="79"/>
      <c r="U297" s="79"/>
      <c r="X297" s="130"/>
      <c r="Z297" s="106"/>
    </row>
    <row r="298">
      <c r="C298" s="79"/>
      <c r="D298" s="79"/>
      <c r="J298" s="79"/>
      <c r="P298" s="79"/>
      <c r="Q298" s="79"/>
      <c r="T298" s="79"/>
      <c r="U298" s="79"/>
      <c r="X298" s="130"/>
      <c r="Z298" s="106"/>
    </row>
    <row r="299">
      <c r="C299" s="79"/>
      <c r="D299" s="79"/>
      <c r="J299" s="79"/>
      <c r="P299" s="79"/>
      <c r="Q299" s="79"/>
      <c r="T299" s="79"/>
      <c r="U299" s="79"/>
      <c r="X299" s="130"/>
      <c r="Z299" s="106"/>
    </row>
    <row r="300">
      <c r="C300" s="79"/>
      <c r="D300" s="79"/>
      <c r="J300" s="79"/>
      <c r="P300" s="79"/>
      <c r="Q300" s="79"/>
      <c r="T300" s="79"/>
      <c r="U300" s="79"/>
      <c r="X300" s="130"/>
      <c r="Z300" s="106"/>
    </row>
    <row r="301">
      <c r="C301" s="79"/>
      <c r="D301" s="79"/>
      <c r="J301" s="79"/>
      <c r="P301" s="79"/>
      <c r="Q301" s="79"/>
      <c r="T301" s="79"/>
      <c r="U301" s="79"/>
      <c r="X301" s="130"/>
      <c r="Z301" s="106"/>
    </row>
    <row r="302">
      <c r="C302" s="79"/>
      <c r="D302" s="79"/>
      <c r="J302" s="79"/>
      <c r="P302" s="79"/>
      <c r="Q302" s="79"/>
      <c r="T302" s="79"/>
      <c r="U302" s="79"/>
      <c r="X302" s="130"/>
      <c r="Z302" s="106"/>
    </row>
    <row r="303">
      <c r="C303" s="79"/>
      <c r="D303" s="79"/>
      <c r="J303" s="79"/>
      <c r="P303" s="79"/>
      <c r="Q303" s="79"/>
      <c r="T303" s="79"/>
      <c r="U303" s="79"/>
      <c r="X303" s="130"/>
      <c r="Z303" s="106"/>
    </row>
    <row r="304">
      <c r="C304" s="79"/>
      <c r="D304" s="79"/>
      <c r="J304" s="79"/>
      <c r="P304" s="79"/>
      <c r="Q304" s="79"/>
      <c r="T304" s="79"/>
      <c r="U304" s="79"/>
      <c r="X304" s="130"/>
      <c r="Z304" s="106"/>
    </row>
    <row r="305">
      <c r="C305" s="79"/>
      <c r="D305" s="79"/>
      <c r="J305" s="79"/>
      <c r="P305" s="79"/>
      <c r="Q305" s="79"/>
      <c r="T305" s="79"/>
      <c r="U305" s="79"/>
      <c r="X305" s="130"/>
      <c r="Z305" s="106"/>
    </row>
    <row r="306">
      <c r="C306" s="79"/>
      <c r="D306" s="79"/>
      <c r="J306" s="79"/>
      <c r="P306" s="79"/>
      <c r="Q306" s="79"/>
      <c r="T306" s="79"/>
      <c r="U306" s="79"/>
      <c r="X306" s="130"/>
      <c r="Z306" s="106"/>
    </row>
    <row r="307">
      <c r="C307" s="79"/>
      <c r="D307" s="79"/>
      <c r="J307" s="79"/>
      <c r="P307" s="79"/>
      <c r="Q307" s="79"/>
      <c r="T307" s="79"/>
      <c r="U307" s="79"/>
      <c r="X307" s="130"/>
      <c r="Z307" s="106"/>
    </row>
    <row r="308">
      <c r="C308" s="79"/>
      <c r="D308" s="79"/>
      <c r="J308" s="79"/>
      <c r="P308" s="79"/>
      <c r="Q308" s="79"/>
      <c r="T308" s="79"/>
      <c r="U308" s="79"/>
      <c r="X308" s="130"/>
      <c r="Z308" s="106"/>
    </row>
    <row r="309">
      <c r="C309" s="79"/>
      <c r="D309" s="79"/>
      <c r="J309" s="79"/>
      <c r="P309" s="79"/>
      <c r="Q309" s="79"/>
      <c r="T309" s="79"/>
      <c r="U309" s="79"/>
      <c r="X309" s="130"/>
      <c r="Z309" s="106"/>
    </row>
    <row r="310">
      <c r="C310" s="79"/>
      <c r="D310" s="79"/>
      <c r="J310" s="79"/>
      <c r="P310" s="79"/>
      <c r="Q310" s="79"/>
      <c r="T310" s="79"/>
      <c r="U310" s="79"/>
      <c r="X310" s="130"/>
      <c r="Z310" s="106"/>
    </row>
    <row r="311">
      <c r="C311" s="79"/>
      <c r="D311" s="79"/>
      <c r="J311" s="79"/>
      <c r="P311" s="79"/>
      <c r="Q311" s="79"/>
      <c r="T311" s="79"/>
      <c r="U311" s="79"/>
      <c r="X311" s="130"/>
      <c r="Z311" s="106"/>
    </row>
    <row r="312">
      <c r="C312" s="79"/>
      <c r="D312" s="79"/>
      <c r="J312" s="79"/>
      <c r="P312" s="79"/>
      <c r="Q312" s="79"/>
      <c r="T312" s="79"/>
      <c r="U312" s="79"/>
      <c r="X312" s="130"/>
      <c r="Z312" s="106"/>
    </row>
    <row r="313">
      <c r="C313" s="79"/>
      <c r="D313" s="79"/>
      <c r="J313" s="79"/>
      <c r="P313" s="79"/>
      <c r="Q313" s="79"/>
      <c r="T313" s="79"/>
      <c r="U313" s="79"/>
      <c r="X313" s="130"/>
      <c r="Z313" s="106"/>
    </row>
    <row r="314">
      <c r="C314" s="79"/>
      <c r="D314" s="79"/>
      <c r="J314" s="79"/>
      <c r="P314" s="79"/>
      <c r="Q314" s="79"/>
      <c r="T314" s="79"/>
      <c r="U314" s="79"/>
      <c r="X314" s="130"/>
      <c r="Z314" s="106"/>
    </row>
    <row r="315">
      <c r="C315" s="79"/>
      <c r="D315" s="79"/>
      <c r="J315" s="79"/>
      <c r="P315" s="79"/>
      <c r="Q315" s="79"/>
      <c r="T315" s="79"/>
      <c r="U315" s="79"/>
      <c r="X315" s="130"/>
      <c r="Z315" s="106"/>
    </row>
    <row r="316">
      <c r="C316" s="79"/>
      <c r="D316" s="79"/>
      <c r="J316" s="79"/>
      <c r="P316" s="79"/>
      <c r="Q316" s="79"/>
      <c r="T316" s="79"/>
      <c r="U316" s="79"/>
      <c r="X316" s="130"/>
      <c r="Z316" s="106"/>
    </row>
    <row r="317">
      <c r="C317" s="79"/>
      <c r="D317" s="79"/>
      <c r="J317" s="79"/>
      <c r="P317" s="79"/>
      <c r="Q317" s="79"/>
      <c r="T317" s="79"/>
      <c r="U317" s="79"/>
      <c r="X317" s="130"/>
      <c r="Z317" s="106"/>
    </row>
    <row r="318">
      <c r="C318" s="79"/>
      <c r="D318" s="79"/>
      <c r="J318" s="79"/>
      <c r="P318" s="79"/>
      <c r="Q318" s="79"/>
      <c r="T318" s="79"/>
      <c r="U318" s="79"/>
      <c r="X318" s="130"/>
      <c r="Z318" s="106"/>
    </row>
    <row r="319">
      <c r="C319" s="79"/>
      <c r="D319" s="79"/>
      <c r="J319" s="79"/>
      <c r="P319" s="79"/>
      <c r="Q319" s="79"/>
      <c r="T319" s="79"/>
      <c r="U319" s="79"/>
      <c r="X319" s="130"/>
      <c r="Z319" s="106"/>
    </row>
    <row r="320">
      <c r="C320" s="79"/>
      <c r="D320" s="79"/>
      <c r="J320" s="79"/>
      <c r="P320" s="79"/>
      <c r="Q320" s="79"/>
      <c r="T320" s="79"/>
      <c r="U320" s="79"/>
      <c r="X320" s="130"/>
      <c r="Z320" s="106"/>
    </row>
    <row r="321">
      <c r="C321" s="79"/>
      <c r="D321" s="79"/>
      <c r="J321" s="79"/>
      <c r="P321" s="79"/>
      <c r="Q321" s="79"/>
      <c r="T321" s="79"/>
      <c r="U321" s="79"/>
      <c r="X321" s="130"/>
      <c r="Z321" s="106"/>
    </row>
    <row r="322">
      <c r="C322" s="79"/>
      <c r="D322" s="79"/>
      <c r="J322" s="79"/>
      <c r="P322" s="79"/>
      <c r="Q322" s="79"/>
      <c r="T322" s="79"/>
      <c r="U322" s="79"/>
      <c r="X322" s="130"/>
      <c r="Z322" s="106"/>
    </row>
    <row r="323">
      <c r="C323" s="79"/>
      <c r="D323" s="79"/>
      <c r="J323" s="79"/>
      <c r="P323" s="79"/>
      <c r="Q323" s="79"/>
      <c r="T323" s="79"/>
      <c r="U323" s="79"/>
      <c r="X323" s="130"/>
      <c r="Z323" s="106"/>
    </row>
    <row r="324">
      <c r="C324" s="79"/>
      <c r="D324" s="79"/>
      <c r="J324" s="79"/>
      <c r="P324" s="79"/>
      <c r="Q324" s="79"/>
      <c r="T324" s="79"/>
      <c r="U324" s="79"/>
      <c r="X324" s="130"/>
      <c r="Z324" s="106"/>
    </row>
    <row r="325">
      <c r="C325" s="79"/>
      <c r="D325" s="79"/>
      <c r="J325" s="79"/>
      <c r="P325" s="79"/>
      <c r="Q325" s="79"/>
      <c r="T325" s="79"/>
      <c r="U325" s="79"/>
      <c r="X325" s="130"/>
      <c r="Z325" s="106"/>
    </row>
    <row r="326">
      <c r="C326" s="79"/>
      <c r="D326" s="79"/>
      <c r="J326" s="79"/>
      <c r="P326" s="79"/>
      <c r="Q326" s="79"/>
      <c r="T326" s="79"/>
      <c r="U326" s="79"/>
      <c r="X326" s="130"/>
      <c r="Z326" s="106"/>
    </row>
    <row r="327">
      <c r="C327" s="79"/>
      <c r="D327" s="79"/>
      <c r="J327" s="79"/>
      <c r="P327" s="79"/>
      <c r="Q327" s="79"/>
      <c r="T327" s="79"/>
      <c r="U327" s="79"/>
      <c r="X327" s="130"/>
      <c r="Z327" s="106"/>
    </row>
    <row r="328">
      <c r="C328" s="79"/>
      <c r="D328" s="79"/>
      <c r="J328" s="79"/>
      <c r="P328" s="79"/>
      <c r="Q328" s="79"/>
      <c r="T328" s="79"/>
      <c r="U328" s="79"/>
      <c r="X328" s="130"/>
      <c r="Z328" s="106"/>
    </row>
    <row r="329">
      <c r="C329" s="79"/>
      <c r="D329" s="79"/>
      <c r="J329" s="79"/>
      <c r="P329" s="79"/>
      <c r="Q329" s="79"/>
      <c r="T329" s="79"/>
      <c r="U329" s="79"/>
      <c r="X329" s="130"/>
      <c r="Z329" s="106"/>
    </row>
    <row r="330">
      <c r="C330" s="79"/>
      <c r="D330" s="79"/>
      <c r="J330" s="79"/>
      <c r="P330" s="79"/>
      <c r="Q330" s="79"/>
      <c r="T330" s="79"/>
      <c r="U330" s="79"/>
      <c r="X330" s="130"/>
      <c r="Z330" s="106"/>
    </row>
    <row r="331">
      <c r="C331" s="79"/>
      <c r="D331" s="79"/>
      <c r="J331" s="79"/>
      <c r="P331" s="79"/>
      <c r="Q331" s="79"/>
      <c r="T331" s="79"/>
      <c r="U331" s="79"/>
      <c r="X331" s="130"/>
      <c r="Z331" s="106"/>
    </row>
    <row r="332">
      <c r="C332" s="79"/>
      <c r="D332" s="79"/>
      <c r="J332" s="79"/>
      <c r="P332" s="79"/>
      <c r="Q332" s="79"/>
      <c r="T332" s="79"/>
      <c r="U332" s="79"/>
      <c r="X332" s="130"/>
      <c r="Z332" s="106"/>
    </row>
    <row r="333">
      <c r="C333" s="79"/>
      <c r="D333" s="79"/>
      <c r="J333" s="79"/>
      <c r="P333" s="79"/>
      <c r="Q333" s="79"/>
      <c r="T333" s="79"/>
      <c r="U333" s="79"/>
      <c r="X333" s="130"/>
      <c r="Z333" s="106"/>
    </row>
    <row r="334">
      <c r="C334" s="79"/>
      <c r="D334" s="79"/>
      <c r="J334" s="79"/>
      <c r="P334" s="79"/>
      <c r="Q334" s="79"/>
      <c r="T334" s="79"/>
      <c r="U334" s="79"/>
      <c r="X334" s="130"/>
      <c r="Z334" s="106"/>
    </row>
    <row r="335">
      <c r="C335" s="79"/>
      <c r="D335" s="79"/>
      <c r="J335" s="79"/>
      <c r="P335" s="79"/>
      <c r="Q335" s="79"/>
      <c r="T335" s="79"/>
      <c r="U335" s="79"/>
      <c r="X335" s="130"/>
      <c r="Z335" s="106"/>
    </row>
    <row r="336">
      <c r="C336" s="79"/>
      <c r="D336" s="79"/>
      <c r="J336" s="79"/>
      <c r="P336" s="79"/>
      <c r="Q336" s="79"/>
      <c r="T336" s="79"/>
      <c r="U336" s="79"/>
      <c r="X336" s="130"/>
      <c r="Z336" s="106"/>
    </row>
    <row r="337">
      <c r="C337" s="79"/>
      <c r="D337" s="79"/>
      <c r="J337" s="79"/>
      <c r="P337" s="79"/>
      <c r="Q337" s="79"/>
      <c r="T337" s="79"/>
      <c r="U337" s="79"/>
      <c r="X337" s="130"/>
      <c r="Z337" s="106"/>
    </row>
    <row r="338">
      <c r="C338" s="79"/>
      <c r="D338" s="79"/>
      <c r="J338" s="79"/>
      <c r="P338" s="79"/>
      <c r="Q338" s="79"/>
      <c r="T338" s="79"/>
      <c r="U338" s="79"/>
      <c r="X338" s="130"/>
      <c r="Z338" s="106"/>
    </row>
    <row r="339">
      <c r="C339" s="79"/>
      <c r="D339" s="79"/>
      <c r="J339" s="79"/>
      <c r="P339" s="79"/>
      <c r="Q339" s="79"/>
      <c r="T339" s="79"/>
      <c r="U339" s="79"/>
      <c r="X339" s="130"/>
      <c r="Z339" s="106"/>
    </row>
    <row r="340">
      <c r="C340" s="79"/>
      <c r="D340" s="79"/>
      <c r="J340" s="79"/>
      <c r="P340" s="79"/>
      <c r="Q340" s="79"/>
      <c r="T340" s="79"/>
      <c r="U340" s="79"/>
      <c r="X340" s="130"/>
      <c r="Z340" s="106"/>
    </row>
    <row r="341">
      <c r="C341" s="79"/>
      <c r="D341" s="79"/>
      <c r="J341" s="79"/>
      <c r="P341" s="79"/>
      <c r="Q341" s="79"/>
      <c r="T341" s="79"/>
      <c r="U341" s="79"/>
      <c r="X341" s="130"/>
      <c r="Z341" s="106"/>
    </row>
    <row r="342">
      <c r="C342" s="79"/>
      <c r="D342" s="79"/>
      <c r="J342" s="79"/>
      <c r="P342" s="79"/>
      <c r="Q342" s="79"/>
      <c r="T342" s="79"/>
      <c r="U342" s="79"/>
      <c r="X342" s="130"/>
      <c r="Z342" s="106"/>
    </row>
    <row r="343">
      <c r="C343" s="79"/>
      <c r="D343" s="79"/>
      <c r="J343" s="79"/>
      <c r="P343" s="79"/>
      <c r="Q343" s="79"/>
      <c r="T343" s="79"/>
      <c r="U343" s="79"/>
      <c r="X343" s="130"/>
      <c r="Z343" s="106"/>
    </row>
    <row r="344">
      <c r="C344" s="79"/>
      <c r="D344" s="79"/>
      <c r="J344" s="79"/>
      <c r="P344" s="79"/>
      <c r="Q344" s="79"/>
      <c r="T344" s="79"/>
      <c r="U344" s="79"/>
      <c r="X344" s="130"/>
      <c r="Z344" s="106"/>
    </row>
    <row r="345">
      <c r="C345" s="79"/>
      <c r="D345" s="79"/>
      <c r="J345" s="79"/>
      <c r="P345" s="79"/>
      <c r="Q345" s="79"/>
      <c r="T345" s="79"/>
      <c r="U345" s="79"/>
      <c r="X345" s="130"/>
      <c r="Z345" s="106"/>
    </row>
    <row r="346">
      <c r="C346" s="79"/>
      <c r="D346" s="79"/>
      <c r="J346" s="79"/>
      <c r="P346" s="79"/>
      <c r="Q346" s="79"/>
      <c r="T346" s="79"/>
      <c r="U346" s="79"/>
      <c r="X346" s="130"/>
      <c r="Z346" s="106"/>
    </row>
    <row r="347">
      <c r="C347" s="79"/>
      <c r="D347" s="79"/>
      <c r="J347" s="79"/>
      <c r="P347" s="79"/>
      <c r="Q347" s="79"/>
      <c r="T347" s="79"/>
      <c r="U347" s="79"/>
      <c r="X347" s="130"/>
      <c r="Z347" s="106"/>
    </row>
    <row r="348">
      <c r="C348" s="79"/>
      <c r="D348" s="79"/>
      <c r="J348" s="79"/>
      <c r="P348" s="79"/>
      <c r="Q348" s="79"/>
      <c r="T348" s="79"/>
      <c r="U348" s="79"/>
      <c r="X348" s="130"/>
      <c r="Z348" s="106"/>
    </row>
    <row r="349">
      <c r="C349" s="79"/>
      <c r="D349" s="79"/>
      <c r="J349" s="79"/>
      <c r="P349" s="79"/>
      <c r="Q349" s="79"/>
      <c r="T349" s="79"/>
      <c r="U349" s="79"/>
      <c r="X349" s="130"/>
      <c r="Z349" s="106"/>
    </row>
    <row r="350">
      <c r="C350" s="79"/>
      <c r="D350" s="79"/>
      <c r="J350" s="79"/>
      <c r="P350" s="79"/>
      <c r="Q350" s="79"/>
      <c r="T350" s="79"/>
      <c r="U350" s="79"/>
      <c r="X350" s="130"/>
      <c r="Z350" s="106"/>
    </row>
    <row r="351">
      <c r="C351" s="79"/>
      <c r="D351" s="79"/>
      <c r="J351" s="79"/>
      <c r="P351" s="79"/>
      <c r="Q351" s="79"/>
      <c r="T351" s="79"/>
      <c r="U351" s="79"/>
      <c r="X351" s="130"/>
      <c r="Z351" s="106"/>
    </row>
    <row r="352">
      <c r="C352" s="79"/>
      <c r="D352" s="79"/>
      <c r="J352" s="79"/>
      <c r="P352" s="79"/>
      <c r="Q352" s="79"/>
      <c r="T352" s="79"/>
      <c r="U352" s="79"/>
      <c r="X352" s="130"/>
      <c r="Z352" s="106"/>
    </row>
    <row r="353">
      <c r="C353" s="79"/>
      <c r="D353" s="79"/>
      <c r="J353" s="79"/>
      <c r="P353" s="79"/>
      <c r="Q353" s="79"/>
      <c r="T353" s="79"/>
      <c r="U353" s="79"/>
      <c r="X353" s="130"/>
      <c r="Z353" s="106"/>
    </row>
    <row r="354">
      <c r="C354" s="79"/>
      <c r="D354" s="79"/>
      <c r="J354" s="79"/>
      <c r="P354" s="79"/>
      <c r="Q354" s="79"/>
      <c r="T354" s="79"/>
      <c r="U354" s="79"/>
      <c r="X354" s="130"/>
      <c r="Z354" s="106"/>
    </row>
    <row r="355">
      <c r="C355" s="79"/>
      <c r="D355" s="79"/>
      <c r="J355" s="79"/>
      <c r="P355" s="79"/>
      <c r="Q355" s="79"/>
      <c r="T355" s="79"/>
      <c r="U355" s="79"/>
      <c r="X355" s="130"/>
      <c r="Z355" s="106"/>
    </row>
    <row r="356">
      <c r="C356" s="79"/>
      <c r="D356" s="79"/>
      <c r="J356" s="79"/>
      <c r="P356" s="79"/>
      <c r="Q356" s="79"/>
      <c r="T356" s="79"/>
      <c r="U356" s="79"/>
      <c r="X356" s="130"/>
      <c r="Z356" s="106"/>
    </row>
    <row r="357">
      <c r="C357" s="79"/>
      <c r="D357" s="79"/>
      <c r="J357" s="79"/>
      <c r="P357" s="79"/>
      <c r="Q357" s="79"/>
      <c r="T357" s="79"/>
      <c r="U357" s="79"/>
      <c r="X357" s="130"/>
      <c r="Z357" s="106"/>
    </row>
    <row r="358">
      <c r="C358" s="79"/>
      <c r="D358" s="79"/>
      <c r="J358" s="79"/>
      <c r="P358" s="79"/>
      <c r="Q358" s="79"/>
      <c r="T358" s="79"/>
      <c r="U358" s="79"/>
      <c r="X358" s="130"/>
      <c r="Z358" s="106"/>
    </row>
    <row r="359">
      <c r="C359" s="79"/>
      <c r="D359" s="79"/>
      <c r="J359" s="79"/>
      <c r="P359" s="79"/>
      <c r="Q359" s="79"/>
      <c r="T359" s="79"/>
      <c r="U359" s="79"/>
      <c r="X359" s="130"/>
      <c r="Z359" s="106"/>
    </row>
    <row r="360">
      <c r="C360" s="79"/>
      <c r="D360" s="79"/>
      <c r="J360" s="79"/>
      <c r="P360" s="79"/>
      <c r="Q360" s="79"/>
      <c r="T360" s="79"/>
      <c r="U360" s="79"/>
      <c r="X360" s="130"/>
      <c r="Z360" s="106"/>
    </row>
    <row r="361">
      <c r="C361" s="79"/>
      <c r="D361" s="79"/>
      <c r="J361" s="79"/>
      <c r="P361" s="79"/>
      <c r="Q361" s="79"/>
      <c r="T361" s="79"/>
      <c r="U361" s="79"/>
      <c r="X361" s="130"/>
      <c r="Z361" s="106"/>
    </row>
    <row r="362">
      <c r="C362" s="79"/>
      <c r="D362" s="79"/>
      <c r="J362" s="79"/>
      <c r="P362" s="79"/>
      <c r="Q362" s="79"/>
      <c r="T362" s="79"/>
      <c r="U362" s="79"/>
      <c r="X362" s="130"/>
      <c r="Z362" s="106"/>
    </row>
    <row r="363">
      <c r="C363" s="79"/>
      <c r="D363" s="79"/>
      <c r="J363" s="79"/>
      <c r="P363" s="79"/>
      <c r="Q363" s="79"/>
      <c r="T363" s="79"/>
      <c r="U363" s="79"/>
      <c r="X363" s="130"/>
      <c r="Z363" s="106"/>
    </row>
    <row r="364">
      <c r="C364" s="79"/>
      <c r="D364" s="79"/>
      <c r="J364" s="79"/>
      <c r="P364" s="79"/>
      <c r="Q364" s="79"/>
      <c r="T364" s="79"/>
      <c r="U364" s="79"/>
      <c r="X364" s="130"/>
      <c r="Z364" s="106"/>
    </row>
    <row r="365">
      <c r="C365" s="79"/>
      <c r="D365" s="79"/>
      <c r="J365" s="79"/>
      <c r="P365" s="79"/>
      <c r="Q365" s="79"/>
      <c r="T365" s="79"/>
      <c r="U365" s="79"/>
      <c r="X365" s="130"/>
      <c r="Z365" s="106"/>
    </row>
    <row r="366">
      <c r="C366" s="79"/>
      <c r="D366" s="79"/>
      <c r="J366" s="79"/>
      <c r="P366" s="79"/>
      <c r="Q366" s="79"/>
      <c r="T366" s="79"/>
      <c r="U366" s="79"/>
      <c r="X366" s="130"/>
      <c r="Z366" s="106"/>
    </row>
    <row r="367">
      <c r="C367" s="79"/>
      <c r="D367" s="79"/>
      <c r="J367" s="79"/>
      <c r="P367" s="79"/>
      <c r="Q367" s="79"/>
      <c r="T367" s="79"/>
      <c r="U367" s="79"/>
      <c r="X367" s="130"/>
      <c r="Z367" s="106"/>
    </row>
    <row r="368">
      <c r="C368" s="79"/>
      <c r="D368" s="79"/>
      <c r="J368" s="79"/>
      <c r="P368" s="79"/>
      <c r="Q368" s="79"/>
      <c r="T368" s="79"/>
      <c r="U368" s="79"/>
      <c r="X368" s="130"/>
      <c r="Z368" s="106"/>
    </row>
    <row r="369">
      <c r="C369" s="79"/>
      <c r="D369" s="79"/>
      <c r="J369" s="79"/>
      <c r="P369" s="79"/>
      <c r="Q369" s="79"/>
      <c r="T369" s="79"/>
      <c r="U369" s="79"/>
      <c r="X369" s="130"/>
      <c r="Z369" s="106"/>
    </row>
    <row r="370">
      <c r="C370" s="79"/>
      <c r="D370" s="79"/>
      <c r="J370" s="79"/>
      <c r="P370" s="79"/>
      <c r="Q370" s="79"/>
      <c r="T370" s="79"/>
      <c r="U370" s="79"/>
      <c r="X370" s="130"/>
      <c r="Z370" s="106"/>
    </row>
    <row r="371">
      <c r="C371" s="79"/>
      <c r="D371" s="79"/>
      <c r="J371" s="79"/>
      <c r="P371" s="79"/>
      <c r="Q371" s="79"/>
      <c r="T371" s="79"/>
      <c r="U371" s="79"/>
      <c r="X371" s="130"/>
      <c r="Z371" s="106"/>
    </row>
    <row r="372">
      <c r="C372" s="79"/>
      <c r="D372" s="79"/>
      <c r="J372" s="79"/>
      <c r="P372" s="79"/>
      <c r="Q372" s="79"/>
      <c r="T372" s="79"/>
      <c r="U372" s="79"/>
      <c r="X372" s="130"/>
      <c r="Z372" s="106"/>
    </row>
    <row r="373">
      <c r="C373" s="79"/>
      <c r="D373" s="79"/>
      <c r="J373" s="79"/>
      <c r="P373" s="79"/>
      <c r="Q373" s="79"/>
      <c r="T373" s="79"/>
      <c r="U373" s="79"/>
      <c r="X373" s="130"/>
      <c r="Z373" s="106"/>
    </row>
    <row r="374">
      <c r="C374" s="79"/>
      <c r="D374" s="79"/>
      <c r="J374" s="79"/>
      <c r="P374" s="79"/>
      <c r="Q374" s="79"/>
      <c r="T374" s="79"/>
      <c r="U374" s="79"/>
      <c r="X374" s="130"/>
      <c r="Z374" s="106"/>
    </row>
    <row r="375">
      <c r="C375" s="79"/>
      <c r="D375" s="79"/>
      <c r="J375" s="79"/>
      <c r="P375" s="79"/>
      <c r="Q375" s="79"/>
      <c r="T375" s="79"/>
      <c r="U375" s="79"/>
      <c r="X375" s="130"/>
      <c r="Z375" s="106"/>
    </row>
    <row r="376">
      <c r="C376" s="79"/>
      <c r="D376" s="79"/>
      <c r="J376" s="79"/>
      <c r="P376" s="79"/>
      <c r="Q376" s="79"/>
      <c r="T376" s="79"/>
      <c r="U376" s="79"/>
      <c r="X376" s="130"/>
      <c r="Z376" s="106"/>
    </row>
    <row r="377">
      <c r="C377" s="79"/>
      <c r="D377" s="79"/>
      <c r="J377" s="79"/>
      <c r="P377" s="79"/>
      <c r="Q377" s="79"/>
      <c r="T377" s="79"/>
      <c r="U377" s="79"/>
      <c r="X377" s="130"/>
      <c r="Z377" s="106"/>
    </row>
    <row r="378">
      <c r="C378" s="79"/>
      <c r="D378" s="79"/>
      <c r="J378" s="79"/>
      <c r="P378" s="79"/>
      <c r="Q378" s="79"/>
      <c r="T378" s="79"/>
      <c r="U378" s="79"/>
      <c r="X378" s="130"/>
      <c r="Z378" s="106"/>
    </row>
    <row r="379">
      <c r="C379" s="79"/>
      <c r="D379" s="79"/>
      <c r="J379" s="79"/>
      <c r="P379" s="79"/>
      <c r="Q379" s="79"/>
      <c r="T379" s="79"/>
      <c r="U379" s="79"/>
      <c r="X379" s="130"/>
      <c r="Z379" s="106"/>
    </row>
    <row r="380">
      <c r="C380" s="79"/>
      <c r="D380" s="79"/>
      <c r="J380" s="79"/>
      <c r="P380" s="79"/>
      <c r="Q380" s="79"/>
      <c r="T380" s="79"/>
      <c r="U380" s="79"/>
      <c r="X380" s="130"/>
      <c r="Z380" s="106"/>
    </row>
    <row r="381">
      <c r="C381" s="79"/>
      <c r="D381" s="79"/>
      <c r="J381" s="79"/>
      <c r="P381" s="79"/>
      <c r="Q381" s="79"/>
      <c r="T381" s="79"/>
      <c r="U381" s="79"/>
      <c r="X381" s="130"/>
      <c r="Z381" s="106"/>
    </row>
    <row r="382">
      <c r="C382" s="79"/>
      <c r="D382" s="79"/>
      <c r="J382" s="79"/>
      <c r="P382" s="79"/>
      <c r="Q382" s="79"/>
      <c r="T382" s="79"/>
      <c r="U382" s="79"/>
      <c r="X382" s="130"/>
      <c r="Z382" s="106"/>
    </row>
    <row r="383">
      <c r="C383" s="79"/>
      <c r="D383" s="79"/>
      <c r="J383" s="79"/>
      <c r="P383" s="79"/>
      <c r="Q383" s="79"/>
      <c r="T383" s="79"/>
      <c r="U383" s="79"/>
      <c r="X383" s="130"/>
      <c r="Z383" s="106"/>
    </row>
    <row r="384">
      <c r="C384" s="79"/>
      <c r="D384" s="79"/>
      <c r="J384" s="79"/>
      <c r="P384" s="79"/>
      <c r="Q384" s="79"/>
      <c r="T384" s="79"/>
      <c r="U384" s="79"/>
      <c r="X384" s="130"/>
      <c r="Z384" s="106"/>
    </row>
    <row r="385">
      <c r="C385" s="79"/>
      <c r="D385" s="79"/>
      <c r="J385" s="79"/>
      <c r="P385" s="79"/>
      <c r="Q385" s="79"/>
      <c r="T385" s="79"/>
      <c r="U385" s="79"/>
      <c r="X385" s="130"/>
      <c r="Z385" s="106"/>
    </row>
    <row r="386">
      <c r="C386" s="79"/>
      <c r="D386" s="79"/>
      <c r="J386" s="79"/>
      <c r="P386" s="79"/>
      <c r="Q386" s="79"/>
      <c r="T386" s="79"/>
      <c r="U386" s="79"/>
      <c r="X386" s="130"/>
      <c r="Z386" s="106"/>
    </row>
    <row r="387">
      <c r="C387" s="79"/>
      <c r="D387" s="79"/>
      <c r="J387" s="79"/>
      <c r="P387" s="79"/>
      <c r="Q387" s="79"/>
      <c r="T387" s="79"/>
      <c r="U387" s="79"/>
      <c r="X387" s="130"/>
      <c r="Z387" s="106"/>
    </row>
    <row r="388">
      <c r="C388" s="79"/>
      <c r="D388" s="79"/>
      <c r="J388" s="79"/>
      <c r="P388" s="79"/>
      <c r="Q388" s="79"/>
      <c r="T388" s="79"/>
      <c r="U388" s="79"/>
      <c r="X388" s="130"/>
      <c r="Z388" s="106"/>
    </row>
    <row r="389">
      <c r="C389" s="79"/>
      <c r="D389" s="79"/>
      <c r="J389" s="79"/>
      <c r="P389" s="79"/>
      <c r="Q389" s="79"/>
      <c r="T389" s="79"/>
      <c r="U389" s="79"/>
      <c r="X389" s="130"/>
      <c r="Z389" s="106"/>
    </row>
    <row r="390">
      <c r="C390" s="79"/>
      <c r="D390" s="79"/>
      <c r="J390" s="79"/>
      <c r="P390" s="79"/>
      <c r="Q390" s="79"/>
      <c r="T390" s="79"/>
      <c r="U390" s="79"/>
      <c r="X390" s="130"/>
      <c r="Z390" s="106"/>
    </row>
    <row r="391">
      <c r="C391" s="79"/>
      <c r="D391" s="79"/>
      <c r="J391" s="79"/>
      <c r="P391" s="79"/>
      <c r="Q391" s="79"/>
      <c r="T391" s="79"/>
      <c r="U391" s="79"/>
      <c r="X391" s="130"/>
      <c r="Z391" s="106"/>
    </row>
    <row r="392">
      <c r="C392" s="79"/>
      <c r="D392" s="79"/>
      <c r="J392" s="79"/>
      <c r="P392" s="79"/>
      <c r="Q392" s="79"/>
      <c r="T392" s="79"/>
      <c r="U392" s="79"/>
      <c r="X392" s="130"/>
      <c r="Z392" s="106"/>
    </row>
    <row r="393">
      <c r="C393" s="79"/>
      <c r="D393" s="79"/>
      <c r="J393" s="79"/>
      <c r="P393" s="79"/>
      <c r="Q393" s="79"/>
      <c r="T393" s="79"/>
      <c r="U393" s="79"/>
      <c r="X393" s="130"/>
      <c r="Z393" s="106"/>
    </row>
    <row r="394">
      <c r="C394" s="79"/>
      <c r="D394" s="79"/>
      <c r="J394" s="79"/>
      <c r="P394" s="79"/>
      <c r="Q394" s="79"/>
      <c r="T394" s="79"/>
      <c r="U394" s="79"/>
      <c r="X394" s="130"/>
      <c r="Z394" s="106"/>
    </row>
    <row r="395">
      <c r="C395" s="79"/>
      <c r="D395" s="79"/>
      <c r="J395" s="79"/>
      <c r="P395" s="79"/>
      <c r="Q395" s="79"/>
      <c r="T395" s="79"/>
      <c r="U395" s="79"/>
      <c r="X395" s="130"/>
      <c r="Z395" s="106"/>
    </row>
    <row r="396">
      <c r="C396" s="79"/>
      <c r="D396" s="79"/>
      <c r="J396" s="79"/>
      <c r="P396" s="79"/>
      <c r="Q396" s="79"/>
      <c r="T396" s="79"/>
      <c r="U396" s="79"/>
      <c r="X396" s="130"/>
      <c r="Z396" s="106"/>
    </row>
    <row r="397">
      <c r="C397" s="79"/>
      <c r="D397" s="79"/>
      <c r="J397" s="79"/>
      <c r="P397" s="79"/>
      <c r="Q397" s="79"/>
      <c r="T397" s="79"/>
      <c r="U397" s="79"/>
      <c r="X397" s="130"/>
      <c r="Z397" s="106"/>
    </row>
    <row r="398">
      <c r="C398" s="79"/>
      <c r="D398" s="79"/>
      <c r="J398" s="79"/>
      <c r="P398" s="79"/>
      <c r="Q398" s="79"/>
      <c r="T398" s="79"/>
      <c r="U398" s="79"/>
      <c r="X398" s="130"/>
      <c r="Z398" s="106"/>
    </row>
    <row r="399">
      <c r="C399" s="79"/>
      <c r="D399" s="79"/>
      <c r="J399" s="79"/>
      <c r="P399" s="79"/>
      <c r="Q399" s="79"/>
      <c r="T399" s="79"/>
      <c r="U399" s="79"/>
      <c r="X399" s="130"/>
      <c r="Z399" s="106"/>
    </row>
    <row r="400">
      <c r="C400" s="79"/>
      <c r="D400" s="79"/>
      <c r="J400" s="79"/>
      <c r="P400" s="79"/>
      <c r="Q400" s="79"/>
      <c r="T400" s="79"/>
      <c r="U400" s="79"/>
      <c r="X400" s="130"/>
      <c r="Z400" s="106"/>
    </row>
    <row r="401">
      <c r="C401" s="79"/>
      <c r="D401" s="79"/>
      <c r="J401" s="79"/>
      <c r="P401" s="79"/>
      <c r="Q401" s="79"/>
      <c r="T401" s="79"/>
      <c r="U401" s="79"/>
      <c r="X401" s="130"/>
      <c r="Z401" s="106"/>
    </row>
    <row r="402">
      <c r="C402" s="79"/>
      <c r="D402" s="79"/>
      <c r="J402" s="79"/>
      <c r="P402" s="79"/>
      <c r="Q402" s="79"/>
      <c r="T402" s="79"/>
      <c r="U402" s="79"/>
      <c r="X402" s="130"/>
      <c r="Z402" s="106"/>
    </row>
    <row r="403">
      <c r="C403" s="79"/>
      <c r="D403" s="79"/>
      <c r="J403" s="79"/>
      <c r="P403" s="79"/>
      <c r="Q403" s="79"/>
      <c r="T403" s="79"/>
      <c r="U403" s="79"/>
      <c r="X403" s="130"/>
      <c r="Z403" s="106"/>
    </row>
    <row r="404">
      <c r="C404" s="79"/>
      <c r="D404" s="79"/>
      <c r="J404" s="79"/>
      <c r="P404" s="79"/>
      <c r="Q404" s="79"/>
      <c r="T404" s="79"/>
      <c r="U404" s="79"/>
      <c r="X404" s="130"/>
      <c r="Z404" s="106"/>
    </row>
    <row r="405">
      <c r="C405" s="79"/>
      <c r="D405" s="79"/>
      <c r="J405" s="79"/>
      <c r="P405" s="79"/>
      <c r="Q405" s="79"/>
      <c r="T405" s="79"/>
      <c r="U405" s="79"/>
      <c r="X405" s="130"/>
      <c r="Z405" s="106"/>
    </row>
    <row r="406">
      <c r="C406" s="79"/>
      <c r="D406" s="79"/>
      <c r="J406" s="79"/>
      <c r="P406" s="79"/>
      <c r="Q406" s="79"/>
      <c r="T406" s="79"/>
      <c r="U406" s="79"/>
      <c r="X406" s="130"/>
      <c r="Z406" s="106"/>
    </row>
    <row r="407">
      <c r="C407" s="79"/>
      <c r="D407" s="79"/>
      <c r="J407" s="79"/>
      <c r="P407" s="79"/>
      <c r="Q407" s="79"/>
      <c r="T407" s="79"/>
      <c r="U407" s="79"/>
      <c r="X407" s="130"/>
      <c r="Z407" s="106"/>
    </row>
    <row r="408">
      <c r="C408" s="79"/>
      <c r="D408" s="79"/>
      <c r="J408" s="79"/>
      <c r="P408" s="79"/>
      <c r="Q408" s="79"/>
      <c r="T408" s="79"/>
      <c r="U408" s="79"/>
      <c r="X408" s="130"/>
      <c r="Z408" s="106"/>
    </row>
    <row r="409">
      <c r="C409" s="79"/>
      <c r="D409" s="79"/>
      <c r="J409" s="79"/>
      <c r="P409" s="79"/>
      <c r="Q409" s="79"/>
      <c r="T409" s="79"/>
      <c r="U409" s="79"/>
      <c r="X409" s="130"/>
      <c r="Z409" s="106"/>
    </row>
    <row r="410">
      <c r="C410" s="79"/>
      <c r="D410" s="79"/>
      <c r="J410" s="79"/>
      <c r="P410" s="79"/>
      <c r="Q410" s="79"/>
      <c r="T410" s="79"/>
      <c r="U410" s="79"/>
      <c r="X410" s="130"/>
      <c r="Z410" s="106"/>
    </row>
    <row r="411">
      <c r="C411" s="79"/>
      <c r="D411" s="79"/>
      <c r="J411" s="79"/>
      <c r="P411" s="79"/>
      <c r="Q411" s="79"/>
      <c r="T411" s="79"/>
      <c r="U411" s="79"/>
      <c r="X411" s="130"/>
      <c r="Z411" s="106"/>
    </row>
    <row r="412">
      <c r="C412" s="79"/>
      <c r="D412" s="79"/>
      <c r="J412" s="79"/>
      <c r="P412" s="79"/>
      <c r="Q412" s="79"/>
      <c r="T412" s="79"/>
      <c r="U412" s="79"/>
      <c r="X412" s="130"/>
      <c r="Z412" s="106"/>
    </row>
    <row r="413">
      <c r="C413" s="79"/>
      <c r="D413" s="79"/>
      <c r="J413" s="79"/>
      <c r="P413" s="79"/>
      <c r="Q413" s="79"/>
      <c r="T413" s="79"/>
      <c r="U413" s="79"/>
      <c r="X413" s="130"/>
      <c r="Z413" s="106"/>
    </row>
    <row r="414">
      <c r="C414" s="79"/>
      <c r="D414" s="79"/>
      <c r="J414" s="79"/>
      <c r="P414" s="79"/>
      <c r="Q414" s="79"/>
      <c r="T414" s="79"/>
      <c r="U414" s="79"/>
      <c r="X414" s="130"/>
      <c r="Z414" s="106"/>
    </row>
    <row r="415">
      <c r="C415" s="79"/>
      <c r="D415" s="79"/>
      <c r="J415" s="79"/>
      <c r="P415" s="79"/>
      <c r="Q415" s="79"/>
      <c r="T415" s="79"/>
      <c r="U415" s="79"/>
      <c r="X415" s="130"/>
      <c r="Z415" s="106"/>
    </row>
    <row r="416">
      <c r="C416" s="79"/>
      <c r="D416" s="79"/>
      <c r="J416" s="79"/>
      <c r="P416" s="79"/>
      <c r="Q416" s="79"/>
      <c r="T416" s="79"/>
      <c r="U416" s="79"/>
      <c r="X416" s="130"/>
      <c r="Z416" s="106"/>
    </row>
    <row r="417">
      <c r="C417" s="79"/>
      <c r="D417" s="79"/>
      <c r="J417" s="79"/>
      <c r="P417" s="79"/>
      <c r="Q417" s="79"/>
      <c r="T417" s="79"/>
      <c r="U417" s="79"/>
      <c r="X417" s="130"/>
      <c r="Z417" s="106"/>
    </row>
    <row r="418">
      <c r="C418" s="79"/>
      <c r="D418" s="79"/>
      <c r="J418" s="79"/>
      <c r="P418" s="79"/>
      <c r="Q418" s="79"/>
      <c r="T418" s="79"/>
      <c r="U418" s="79"/>
      <c r="X418" s="130"/>
      <c r="Z418" s="106"/>
    </row>
    <row r="419">
      <c r="C419" s="79"/>
      <c r="D419" s="79"/>
      <c r="J419" s="79"/>
      <c r="P419" s="79"/>
      <c r="Q419" s="79"/>
      <c r="T419" s="79"/>
      <c r="U419" s="79"/>
      <c r="X419" s="130"/>
      <c r="Z419" s="106"/>
    </row>
    <row r="420">
      <c r="C420" s="79"/>
      <c r="D420" s="79"/>
      <c r="J420" s="79"/>
      <c r="P420" s="79"/>
      <c r="Q420" s="79"/>
      <c r="T420" s="79"/>
      <c r="U420" s="79"/>
      <c r="X420" s="130"/>
      <c r="Z420" s="106"/>
    </row>
    <row r="421">
      <c r="C421" s="79"/>
      <c r="D421" s="79"/>
      <c r="J421" s="79"/>
      <c r="P421" s="79"/>
      <c r="Q421" s="79"/>
      <c r="T421" s="79"/>
      <c r="U421" s="79"/>
      <c r="X421" s="130"/>
      <c r="Z421" s="106"/>
    </row>
    <row r="422">
      <c r="C422" s="79"/>
      <c r="D422" s="79"/>
      <c r="J422" s="79"/>
      <c r="P422" s="79"/>
      <c r="Q422" s="79"/>
      <c r="T422" s="79"/>
      <c r="U422" s="79"/>
      <c r="X422" s="130"/>
      <c r="Z422" s="106"/>
    </row>
    <row r="423">
      <c r="C423" s="79"/>
      <c r="D423" s="79"/>
      <c r="J423" s="79"/>
      <c r="P423" s="79"/>
      <c r="Q423" s="79"/>
      <c r="T423" s="79"/>
      <c r="U423" s="79"/>
      <c r="X423" s="130"/>
      <c r="Z423" s="106"/>
    </row>
    <row r="424">
      <c r="C424" s="79"/>
      <c r="D424" s="79"/>
      <c r="J424" s="79"/>
      <c r="P424" s="79"/>
      <c r="Q424" s="79"/>
      <c r="T424" s="79"/>
      <c r="U424" s="79"/>
      <c r="X424" s="130"/>
      <c r="Z424" s="106"/>
    </row>
    <row r="425">
      <c r="C425" s="79"/>
      <c r="D425" s="79"/>
      <c r="J425" s="79"/>
      <c r="P425" s="79"/>
      <c r="Q425" s="79"/>
      <c r="T425" s="79"/>
      <c r="U425" s="79"/>
      <c r="X425" s="130"/>
      <c r="Z425" s="106"/>
    </row>
    <row r="426">
      <c r="C426" s="79"/>
      <c r="D426" s="79"/>
      <c r="J426" s="79"/>
      <c r="P426" s="79"/>
      <c r="Q426" s="79"/>
      <c r="T426" s="79"/>
      <c r="U426" s="79"/>
      <c r="X426" s="130"/>
      <c r="Z426" s="106"/>
    </row>
    <row r="427">
      <c r="C427" s="79"/>
      <c r="D427" s="79"/>
      <c r="J427" s="79"/>
      <c r="P427" s="79"/>
      <c r="Q427" s="79"/>
      <c r="T427" s="79"/>
      <c r="U427" s="79"/>
      <c r="X427" s="130"/>
      <c r="Z427" s="106"/>
    </row>
    <row r="428">
      <c r="C428" s="79"/>
      <c r="D428" s="79"/>
      <c r="J428" s="79"/>
      <c r="P428" s="79"/>
      <c r="Q428" s="79"/>
      <c r="T428" s="79"/>
      <c r="U428" s="79"/>
      <c r="X428" s="130"/>
      <c r="Z428" s="106"/>
    </row>
    <row r="429">
      <c r="C429" s="79"/>
      <c r="D429" s="79"/>
      <c r="J429" s="79"/>
      <c r="P429" s="79"/>
      <c r="Q429" s="79"/>
      <c r="T429" s="79"/>
      <c r="U429" s="79"/>
      <c r="X429" s="130"/>
      <c r="Z429" s="106"/>
    </row>
    <row r="430">
      <c r="C430" s="79"/>
      <c r="D430" s="79"/>
      <c r="J430" s="79"/>
      <c r="P430" s="79"/>
      <c r="Q430" s="79"/>
      <c r="T430" s="79"/>
      <c r="U430" s="79"/>
      <c r="X430" s="130"/>
      <c r="Z430" s="106"/>
    </row>
    <row r="431">
      <c r="C431" s="79"/>
      <c r="D431" s="79"/>
      <c r="J431" s="79"/>
      <c r="P431" s="79"/>
      <c r="Q431" s="79"/>
      <c r="T431" s="79"/>
      <c r="U431" s="79"/>
      <c r="X431" s="130"/>
      <c r="Z431" s="106"/>
    </row>
    <row r="432">
      <c r="C432" s="79"/>
      <c r="D432" s="79"/>
      <c r="J432" s="79"/>
      <c r="P432" s="79"/>
      <c r="Q432" s="79"/>
      <c r="T432" s="79"/>
      <c r="U432" s="79"/>
      <c r="X432" s="130"/>
      <c r="Z432" s="106"/>
    </row>
    <row r="433">
      <c r="C433" s="79"/>
      <c r="D433" s="79"/>
      <c r="J433" s="79"/>
      <c r="P433" s="79"/>
      <c r="Q433" s="79"/>
      <c r="T433" s="79"/>
      <c r="U433" s="79"/>
      <c r="X433" s="130"/>
      <c r="Z433" s="106"/>
    </row>
    <row r="434">
      <c r="C434" s="79"/>
      <c r="D434" s="79"/>
      <c r="J434" s="79"/>
      <c r="P434" s="79"/>
      <c r="Q434" s="79"/>
      <c r="T434" s="79"/>
      <c r="U434" s="79"/>
      <c r="X434" s="130"/>
      <c r="Z434" s="106"/>
    </row>
    <row r="435">
      <c r="C435" s="79"/>
      <c r="D435" s="79"/>
      <c r="J435" s="79"/>
      <c r="P435" s="79"/>
      <c r="Q435" s="79"/>
      <c r="T435" s="79"/>
      <c r="U435" s="79"/>
      <c r="X435" s="130"/>
      <c r="Z435" s="106"/>
    </row>
    <row r="436">
      <c r="C436" s="79"/>
      <c r="D436" s="79"/>
      <c r="J436" s="79"/>
      <c r="P436" s="79"/>
      <c r="Q436" s="79"/>
      <c r="T436" s="79"/>
      <c r="U436" s="79"/>
      <c r="X436" s="130"/>
      <c r="Z436" s="106"/>
    </row>
    <row r="437">
      <c r="C437" s="79"/>
      <c r="D437" s="79"/>
      <c r="J437" s="79"/>
      <c r="P437" s="79"/>
      <c r="Q437" s="79"/>
      <c r="T437" s="79"/>
      <c r="U437" s="79"/>
      <c r="X437" s="130"/>
      <c r="Z437" s="106"/>
    </row>
    <row r="438">
      <c r="C438" s="79"/>
      <c r="D438" s="79"/>
      <c r="J438" s="79"/>
      <c r="P438" s="79"/>
      <c r="Q438" s="79"/>
      <c r="T438" s="79"/>
      <c r="U438" s="79"/>
      <c r="X438" s="130"/>
      <c r="Z438" s="106"/>
    </row>
    <row r="439">
      <c r="C439" s="79"/>
      <c r="D439" s="79"/>
      <c r="J439" s="79"/>
      <c r="P439" s="79"/>
      <c r="Q439" s="79"/>
      <c r="T439" s="79"/>
      <c r="U439" s="79"/>
      <c r="X439" s="130"/>
      <c r="Z439" s="106"/>
    </row>
    <row r="440">
      <c r="C440" s="79"/>
      <c r="D440" s="79"/>
      <c r="J440" s="79"/>
      <c r="P440" s="79"/>
      <c r="Q440" s="79"/>
      <c r="T440" s="79"/>
      <c r="U440" s="79"/>
      <c r="X440" s="130"/>
      <c r="Z440" s="106"/>
    </row>
    <row r="441">
      <c r="C441" s="79"/>
      <c r="D441" s="79"/>
      <c r="J441" s="79"/>
      <c r="P441" s="79"/>
      <c r="Q441" s="79"/>
      <c r="T441" s="79"/>
      <c r="U441" s="79"/>
      <c r="X441" s="130"/>
      <c r="Z441" s="106"/>
    </row>
    <row r="442">
      <c r="C442" s="79"/>
      <c r="D442" s="79"/>
      <c r="J442" s="79"/>
      <c r="P442" s="79"/>
      <c r="Q442" s="79"/>
      <c r="T442" s="79"/>
      <c r="U442" s="79"/>
      <c r="X442" s="130"/>
      <c r="Z442" s="106"/>
    </row>
    <row r="443">
      <c r="C443" s="79"/>
      <c r="D443" s="79"/>
      <c r="J443" s="79"/>
      <c r="P443" s="79"/>
      <c r="Q443" s="79"/>
      <c r="T443" s="79"/>
      <c r="U443" s="79"/>
      <c r="X443" s="130"/>
      <c r="Z443" s="106"/>
    </row>
    <row r="444">
      <c r="C444" s="79"/>
      <c r="D444" s="79"/>
      <c r="J444" s="79"/>
      <c r="P444" s="79"/>
      <c r="Q444" s="79"/>
      <c r="T444" s="79"/>
      <c r="U444" s="79"/>
      <c r="X444" s="130"/>
      <c r="Z444" s="106"/>
    </row>
    <row r="445">
      <c r="C445" s="79"/>
      <c r="D445" s="79"/>
      <c r="J445" s="79"/>
      <c r="P445" s="79"/>
      <c r="Q445" s="79"/>
      <c r="T445" s="79"/>
      <c r="U445" s="79"/>
      <c r="X445" s="130"/>
      <c r="Z445" s="106"/>
    </row>
    <row r="446">
      <c r="C446" s="79"/>
      <c r="D446" s="79"/>
      <c r="J446" s="79"/>
      <c r="P446" s="79"/>
      <c r="Q446" s="79"/>
      <c r="T446" s="79"/>
      <c r="U446" s="79"/>
      <c r="X446" s="130"/>
      <c r="Z446" s="106"/>
    </row>
    <row r="447">
      <c r="C447" s="79"/>
      <c r="D447" s="79"/>
      <c r="J447" s="79"/>
      <c r="P447" s="79"/>
      <c r="Q447" s="79"/>
      <c r="T447" s="79"/>
      <c r="U447" s="79"/>
      <c r="X447" s="130"/>
      <c r="Z447" s="106"/>
    </row>
    <row r="448">
      <c r="C448" s="79"/>
      <c r="D448" s="79"/>
      <c r="J448" s="79"/>
      <c r="P448" s="79"/>
      <c r="Q448" s="79"/>
      <c r="T448" s="79"/>
      <c r="U448" s="79"/>
      <c r="X448" s="130"/>
      <c r="Z448" s="106"/>
    </row>
    <row r="449">
      <c r="C449" s="79"/>
      <c r="D449" s="79"/>
      <c r="J449" s="79"/>
      <c r="P449" s="79"/>
      <c r="Q449" s="79"/>
      <c r="T449" s="79"/>
      <c r="U449" s="79"/>
      <c r="X449" s="130"/>
      <c r="Z449" s="106"/>
    </row>
    <row r="450">
      <c r="C450" s="79"/>
      <c r="D450" s="79"/>
      <c r="J450" s="79"/>
      <c r="P450" s="79"/>
      <c r="Q450" s="79"/>
      <c r="T450" s="79"/>
      <c r="U450" s="79"/>
      <c r="X450" s="130"/>
      <c r="Z450" s="106"/>
    </row>
    <row r="451">
      <c r="C451" s="79"/>
      <c r="D451" s="79"/>
      <c r="J451" s="79"/>
      <c r="P451" s="79"/>
      <c r="Q451" s="79"/>
      <c r="T451" s="79"/>
      <c r="U451" s="79"/>
      <c r="X451" s="130"/>
      <c r="Z451" s="106"/>
    </row>
    <row r="452">
      <c r="C452" s="79"/>
      <c r="D452" s="79"/>
      <c r="J452" s="79"/>
      <c r="P452" s="79"/>
      <c r="Q452" s="79"/>
      <c r="T452" s="79"/>
      <c r="U452" s="79"/>
      <c r="X452" s="130"/>
      <c r="Z452" s="106"/>
    </row>
    <row r="453">
      <c r="C453" s="79"/>
      <c r="D453" s="79"/>
      <c r="J453" s="79"/>
      <c r="P453" s="79"/>
      <c r="Q453" s="79"/>
      <c r="T453" s="79"/>
      <c r="U453" s="79"/>
      <c r="X453" s="130"/>
      <c r="Z453" s="106"/>
    </row>
    <row r="454">
      <c r="C454" s="79"/>
      <c r="D454" s="79"/>
      <c r="J454" s="79"/>
      <c r="P454" s="79"/>
      <c r="Q454" s="79"/>
      <c r="T454" s="79"/>
      <c r="U454" s="79"/>
      <c r="X454" s="130"/>
      <c r="Z454" s="106"/>
    </row>
    <row r="455">
      <c r="C455" s="79"/>
      <c r="D455" s="79"/>
      <c r="J455" s="79"/>
      <c r="P455" s="79"/>
      <c r="Q455" s="79"/>
      <c r="T455" s="79"/>
      <c r="U455" s="79"/>
      <c r="X455" s="130"/>
      <c r="Z455" s="106"/>
    </row>
    <row r="456">
      <c r="C456" s="79"/>
      <c r="D456" s="79"/>
      <c r="J456" s="79"/>
      <c r="P456" s="79"/>
      <c r="Q456" s="79"/>
      <c r="T456" s="79"/>
      <c r="U456" s="79"/>
      <c r="X456" s="130"/>
      <c r="Z456" s="106"/>
    </row>
    <row r="457">
      <c r="C457" s="79"/>
      <c r="D457" s="79"/>
      <c r="J457" s="79"/>
      <c r="P457" s="79"/>
      <c r="Q457" s="79"/>
      <c r="T457" s="79"/>
      <c r="U457" s="79"/>
      <c r="X457" s="130"/>
      <c r="Z457" s="106"/>
    </row>
    <row r="458">
      <c r="C458" s="79"/>
      <c r="D458" s="79"/>
      <c r="J458" s="79"/>
      <c r="P458" s="79"/>
      <c r="Q458" s="79"/>
      <c r="T458" s="79"/>
      <c r="U458" s="79"/>
      <c r="X458" s="130"/>
      <c r="Z458" s="106"/>
    </row>
    <row r="459">
      <c r="C459" s="79"/>
      <c r="D459" s="79"/>
      <c r="J459" s="79"/>
      <c r="P459" s="79"/>
      <c r="Q459" s="79"/>
      <c r="T459" s="79"/>
      <c r="U459" s="79"/>
      <c r="X459" s="130"/>
      <c r="Z459" s="106"/>
    </row>
    <row r="460">
      <c r="C460" s="79"/>
      <c r="D460" s="79"/>
      <c r="J460" s="79"/>
      <c r="P460" s="79"/>
      <c r="Q460" s="79"/>
      <c r="T460" s="79"/>
      <c r="U460" s="79"/>
      <c r="X460" s="130"/>
      <c r="Z460" s="106"/>
    </row>
    <row r="461">
      <c r="C461" s="79"/>
      <c r="D461" s="79"/>
      <c r="J461" s="79"/>
      <c r="P461" s="79"/>
      <c r="Q461" s="79"/>
      <c r="T461" s="79"/>
      <c r="U461" s="79"/>
      <c r="X461" s="130"/>
      <c r="Z461" s="106"/>
    </row>
    <row r="462">
      <c r="C462" s="79"/>
      <c r="D462" s="79"/>
      <c r="J462" s="79"/>
      <c r="P462" s="79"/>
      <c r="Q462" s="79"/>
      <c r="T462" s="79"/>
      <c r="U462" s="79"/>
      <c r="X462" s="130"/>
      <c r="Z462" s="106"/>
    </row>
    <row r="463">
      <c r="C463" s="79"/>
      <c r="D463" s="79"/>
      <c r="J463" s="79"/>
      <c r="P463" s="79"/>
      <c r="Q463" s="79"/>
      <c r="T463" s="79"/>
      <c r="U463" s="79"/>
      <c r="X463" s="130"/>
      <c r="Z463" s="106"/>
    </row>
    <row r="464">
      <c r="C464" s="79"/>
      <c r="D464" s="79"/>
      <c r="J464" s="79"/>
      <c r="P464" s="79"/>
      <c r="Q464" s="79"/>
      <c r="T464" s="79"/>
      <c r="U464" s="79"/>
      <c r="X464" s="130"/>
      <c r="Z464" s="106"/>
    </row>
    <row r="465">
      <c r="C465" s="79"/>
      <c r="D465" s="79"/>
      <c r="J465" s="79"/>
      <c r="P465" s="79"/>
      <c r="Q465" s="79"/>
      <c r="T465" s="79"/>
      <c r="U465" s="79"/>
      <c r="X465" s="130"/>
      <c r="Z465" s="106"/>
    </row>
    <row r="466">
      <c r="C466" s="79"/>
      <c r="D466" s="79"/>
      <c r="J466" s="79"/>
      <c r="P466" s="79"/>
      <c r="Q466" s="79"/>
      <c r="T466" s="79"/>
      <c r="U466" s="79"/>
      <c r="X466" s="130"/>
      <c r="Z466" s="106"/>
    </row>
    <row r="467">
      <c r="C467" s="79"/>
      <c r="D467" s="79"/>
      <c r="J467" s="79"/>
      <c r="P467" s="79"/>
      <c r="Q467" s="79"/>
      <c r="T467" s="79"/>
      <c r="U467" s="79"/>
      <c r="X467" s="130"/>
      <c r="Z467" s="106"/>
    </row>
    <row r="468">
      <c r="C468" s="79"/>
      <c r="D468" s="79"/>
      <c r="J468" s="79"/>
      <c r="P468" s="79"/>
      <c r="Q468" s="79"/>
      <c r="T468" s="79"/>
      <c r="U468" s="79"/>
      <c r="X468" s="130"/>
      <c r="Z468" s="106"/>
    </row>
    <row r="469">
      <c r="C469" s="79"/>
      <c r="D469" s="79"/>
      <c r="J469" s="79"/>
      <c r="P469" s="79"/>
      <c r="Q469" s="79"/>
      <c r="T469" s="79"/>
      <c r="U469" s="79"/>
      <c r="X469" s="130"/>
      <c r="Z469" s="106"/>
    </row>
    <row r="470">
      <c r="C470" s="79"/>
      <c r="D470" s="79"/>
      <c r="J470" s="79"/>
      <c r="P470" s="79"/>
      <c r="Q470" s="79"/>
      <c r="T470" s="79"/>
      <c r="U470" s="79"/>
      <c r="X470" s="130"/>
      <c r="Z470" s="106"/>
    </row>
    <row r="471">
      <c r="C471" s="79"/>
      <c r="D471" s="79"/>
      <c r="J471" s="79"/>
      <c r="P471" s="79"/>
      <c r="Q471" s="79"/>
      <c r="T471" s="79"/>
      <c r="U471" s="79"/>
      <c r="X471" s="130"/>
      <c r="Z471" s="106"/>
    </row>
    <row r="472">
      <c r="C472" s="79"/>
      <c r="D472" s="79"/>
      <c r="J472" s="79"/>
      <c r="P472" s="79"/>
      <c r="Q472" s="79"/>
      <c r="T472" s="79"/>
      <c r="U472" s="79"/>
      <c r="X472" s="130"/>
      <c r="Z472" s="106"/>
    </row>
    <row r="473">
      <c r="C473" s="79"/>
      <c r="D473" s="79"/>
      <c r="J473" s="79"/>
      <c r="P473" s="79"/>
      <c r="Q473" s="79"/>
      <c r="T473" s="79"/>
      <c r="U473" s="79"/>
      <c r="X473" s="130"/>
      <c r="Z473" s="106"/>
    </row>
    <row r="474">
      <c r="C474" s="79"/>
      <c r="D474" s="79"/>
      <c r="J474" s="79"/>
      <c r="P474" s="79"/>
      <c r="Q474" s="79"/>
      <c r="T474" s="79"/>
      <c r="U474" s="79"/>
      <c r="X474" s="130"/>
      <c r="Z474" s="106"/>
    </row>
    <row r="475">
      <c r="C475" s="79"/>
      <c r="D475" s="79"/>
      <c r="J475" s="79"/>
      <c r="P475" s="79"/>
      <c r="Q475" s="79"/>
      <c r="T475" s="79"/>
      <c r="U475" s="79"/>
      <c r="X475" s="130"/>
      <c r="Z475" s="106"/>
    </row>
    <row r="476">
      <c r="C476" s="79"/>
      <c r="D476" s="79"/>
      <c r="J476" s="79"/>
      <c r="P476" s="79"/>
      <c r="Q476" s="79"/>
      <c r="T476" s="79"/>
      <c r="U476" s="79"/>
      <c r="X476" s="130"/>
      <c r="Z476" s="106"/>
    </row>
    <row r="477">
      <c r="C477" s="79"/>
      <c r="D477" s="79"/>
      <c r="J477" s="79"/>
      <c r="P477" s="79"/>
      <c r="Q477" s="79"/>
      <c r="T477" s="79"/>
      <c r="U477" s="79"/>
      <c r="X477" s="130"/>
      <c r="Z477" s="106"/>
    </row>
    <row r="478">
      <c r="C478" s="79"/>
      <c r="D478" s="79"/>
      <c r="J478" s="79"/>
      <c r="P478" s="79"/>
      <c r="Q478" s="79"/>
      <c r="T478" s="79"/>
      <c r="U478" s="79"/>
      <c r="X478" s="130"/>
      <c r="Z478" s="106"/>
    </row>
    <row r="479">
      <c r="C479" s="79"/>
      <c r="D479" s="79"/>
      <c r="J479" s="79"/>
      <c r="P479" s="79"/>
      <c r="Q479" s="79"/>
      <c r="T479" s="79"/>
      <c r="U479" s="79"/>
      <c r="X479" s="130"/>
      <c r="Z479" s="106"/>
    </row>
    <row r="480">
      <c r="C480" s="79"/>
      <c r="D480" s="79"/>
      <c r="J480" s="79"/>
      <c r="P480" s="79"/>
      <c r="Q480" s="79"/>
      <c r="T480" s="79"/>
      <c r="U480" s="79"/>
      <c r="X480" s="130"/>
      <c r="Z480" s="106"/>
    </row>
    <row r="481">
      <c r="C481" s="79"/>
      <c r="D481" s="79"/>
      <c r="J481" s="79"/>
      <c r="P481" s="79"/>
      <c r="Q481" s="79"/>
      <c r="T481" s="79"/>
      <c r="U481" s="79"/>
      <c r="X481" s="130"/>
      <c r="Z481" s="106"/>
    </row>
    <row r="482">
      <c r="C482" s="79"/>
      <c r="D482" s="79"/>
      <c r="J482" s="79"/>
      <c r="P482" s="79"/>
      <c r="Q482" s="79"/>
      <c r="T482" s="79"/>
      <c r="U482" s="79"/>
      <c r="X482" s="130"/>
      <c r="Z482" s="106"/>
    </row>
    <row r="483">
      <c r="C483" s="79"/>
      <c r="D483" s="79"/>
      <c r="J483" s="79"/>
      <c r="P483" s="79"/>
      <c r="Q483" s="79"/>
      <c r="T483" s="79"/>
      <c r="U483" s="79"/>
      <c r="X483" s="130"/>
      <c r="Z483" s="106"/>
    </row>
    <row r="484">
      <c r="C484" s="79"/>
      <c r="D484" s="79"/>
      <c r="J484" s="79"/>
      <c r="P484" s="79"/>
      <c r="Q484" s="79"/>
      <c r="T484" s="79"/>
      <c r="U484" s="79"/>
      <c r="X484" s="130"/>
      <c r="Z484" s="106"/>
    </row>
    <row r="485">
      <c r="C485" s="79"/>
      <c r="D485" s="79"/>
      <c r="J485" s="79"/>
      <c r="P485" s="79"/>
      <c r="Q485" s="79"/>
      <c r="T485" s="79"/>
      <c r="U485" s="79"/>
      <c r="X485" s="130"/>
      <c r="Z485" s="106"/>
    </row>
    <row r="486">
      <c r="C486" s="79"/>
      <c r="D486" s="79"/>
      <c r="J486" s="79"/>
      <c r="P486" s="79"/>
      <c r="Q486" s="79"/>
      <c r="T486" s="79"/>
      <c r="U486" s="79"/>
      <c r="X486" s="130"/>
      <c r="Z486" s="106"/>
    </row>
    <row r="487">
      <c r="C487" s="79"/>
      <c r="D487" s="79"/>
      <c r="J487" s="79"/>
      <c r="P487" s="79"/>
      <c r="Q487" s="79"/>
      <c r="T487" s="79"/>
      <c r="U487" s="79"/>
      <c r="X487" s="130"/>
      <c r="Z487" s="106"/>
    </row>
    <row r="488">
      <c r="C488" s="79"/>
      <c r="D488" s="79"/>
      <c r="J488" s="79"/>
      <c r="P488" s="79"/>
      <c r="Q488" s="79"/>
      <c r="T488" s="79"/>
      <c r="U488" s="79"/>
      <c r="X488" s="130"/>
      <c r="Z488" s="106"/>
    </row>
    <row r="489">
      <c r="C489" s="79"/>
      <c r="D489" s="79"/>
      <c r="J489" s="79"/>
      <c r="P489" s="79"/>
      <c r="Q489" s="79"/>
      <c r="T489" s="79"/>
      <c r="U489" s="79"/>
      <c r="X489" s="130"/>
      <c r="Z489" s="106"/>
    </row>
    <row r="490">
      <c r="C490" s="79"/>
      <c r="D490" s="79"/>
      <c r="J490" s="79"/>
      <c r="P490" s="79"/>
      <c r="Q490" s="79"/>
      <c r="T490" s="79"/>
      <c r="U490" s="79"/>
      <c r="X490" s="130"/>
      <c r="Z490" s="106"/>
    </row>
    <row r="491">
      <c r="C491" s="79"/>
      <c r="D491" s="79"/>
      <c r="J491" s="79"/>
      <c r="P491" s="79"/>
      <c r="Q491" s="79"/>
      <c r="T491" s="79"/>
      <c r="U491" s="79"/>
      <c r="X491" s="130"/>
      <c r="Z491" s="106"/>
    </row>
    <row r="492">
      <c r="C492" s="79"/>
      <c r="D492" s="79"/>
      <c r="J492" s="79"/>
      <c r="P492" s="79"/>
      <c r="Q492" s="79"/>
      <c r="T492" s="79"/>
      <c r="U492" s="79"/>
      <c r="X492" s="130"/>
      <c r="Z492" s="106"/>
    </row>
    <row r="493">
      <c r="C493" s="79"/>
      <c r="D493" s="79"/>
      <c r="J493" s="79"/>
      <c r="P493" s="79"/>
      <c r="Q493" s="79"/>
      <c r="T493" s="79"/>
      <c r="U493" s="79"/>
      <c r="X493" s="130"/>
      <c r="Z493" s="106"/>
    </row>
    <row r="494">
      <c r="C494" s="79"/>
      <c r="D494" s="79"/>
      <c r="J494" s="79"/>
      <c r="P494" s="79"/>
      <c r="Q494" s="79"/>
      <c r="T494" s="79"/>
      <c r="U494" s="79"/>
      <c r="X494" s="130"/>
      <c r="Z494" s="106"/>
    </row>
    <row r="495">
      <c r="C495" s="79"/>
      <c r="D495" s="79"/>
      <c r="J495" s="79"/>
      <c r="P495" s="79"/>
      <c r="Q495" s="79"/>
      <c r="T495" s="79"/>
      <c r="U495" s="79"/>
      <c r="X495" s="130"/>
      <c r="Z495" s="106"/>
    </row>
    <row r="496">
      <c r="C496" s="79"/>
      <c r="D496" s="79"/>
      <c r="J496" s="79"/>
      <c r="P496" s="79"/>
      <c r="Q496" s="79"/>
      <c r="T496" s="79"/>
      <c r="U496" s="79"/>
      <c r="X496" s="130"/>
      <c r="Z496" s="106"/>
    </row>
    <row r="497">
      <c r="C497" s="79"/>
      <c r="D497" s="79"/>
      <c r="J497" s="79"/>
      <c r="P497" s="79"/>
      <c r="Q497" s="79"/>
      <c r="T497" s="79"/>
      <c r="U497" s="79"/>
      <c r="X497" s="130"/>
      <c r="Z497" s="106"/>
    </row>
    <row r="498">
      <c r="C498" s="79"/>
      <c r="D498" s="79"/>
      <c r="J498" s="79"/>
      <c r="P498" s="79"/>
      <c r="Q498" s="79"/>
      <c r="T498" s="79"/>
      <c r="U498" s="79"/>
      <c r="X498" s="130"/>
      <c r="Z498" s="106"/>
    </row>
    <row r="499">
      <c r="C499" s="79"/>
      <c r="D499" s="79"/>
      <c r="J499" s="79"/>
      <c r="P499" s="79"/>
      <c r="Q499" s="79"/>
      <c r="T499" s="79"/>
      <c r="U499" s="79"/>
      <c r="X499" s="130"/>
      <c r="Z499" s="106"/>
    </row>
    <row r="500">
      <c r="C500" s="79"/>
      <c r="D500" s="79"/>
      <c r="J500" s="79"/>
      <c r="P500" s="79"/>
      <c r="Q500" s="79"/>
      <c r="T500" s="79"/>
      <c r="U500" s="79"/>
      <c r="X500" s="130"/>
      <c r="Z500" s="106"/>
    </row>
    <row r="501">
      <c r="C501" s="79"/>
      <c r="D501" s="79"/>
      <c r="J501" s="79"/>
      <c r="P501" s="79"/>
      <c r="Q501" s="79"/>
      <c r="T501" s="79"/>
      <c r="U501" s="79"/>
      <c r="X501" s="130"/>
      <c r="Z501" s="106"/>
    </row>
    <row r="502">
      <c r="C502" s="79"/>
      <c r="D502" s="79"/>
      <c r="J502" s="79"/>
      <c r="P502" s="79"/>
      <c r="Q502" s="79"/>
      <c r="T502" s="79"/>
      <c r="U502" s="79"/>
      <c r="X502" s="130"/>
      <c r="Z502" s="106"/>
    </row>
    <row r="503">
      <c r="C503" s="79"/>
      <c r="D503" s="79"/>
      <c r="J503" s="79"/>
      <c r="P503" s="79"/>
      <c r="Q503" s="79"/>
      <c r="T503" s="79"/>
      <c r="U503" s="79"/>
      <c r="X503" s="130"/>
      <c r="Z503" s="106"/>
    </row>
    <row r="504">
      <c r="C504" s="79"/>
      <c r="D504" s="79"/>
      <c r="J504" s="79"/>
      <c r="P504" s="79"/>
      <c r="Q504" s="79"/>
      <c r="T504" s="79"/>
      <c r="U504" s="79"/>
      <c r="X504" s="130"/>
      <c r="Z504" s="106"/>
    </row>
    <row r="505">
      <c r="C505" s="79"/>
      <c r="D505" s="79"/>
      <c r="J505" s="79"/>
      <c r="P505" s="79"/>
      <c r="Q505" s="79"/>
      <c r="T505" s="79"/>
      <c r="U505" s="79"/>
      <c r="X505" s="130"/>
      <c r="Z505" s="106"/>
    </row>
    <row r="506">
      <c r="C506" s="79"/>
      <c r="D506" s="79"/>
      <c r="J506" s="79"/>
      <c r="P506" s="79"/>
      <c r="Q506" s="79"/>
      <c r="T506" s="79"/>
      <c r="U506" s="79"/>
      <c r="X506" s="130"/>
      <c r="Z506" s="106"/>
    </row>
    <row r="507">
      <c r="C507" s="79"/>
      <c r="D507" s="79"/>
      <c r="J507" s="79"/>
      <c r="P507" s="79"/>
      <c r="Q507" s="79"/>
      <c r="T507" s="79"/>
      <c r="U507" s="79"/>
      <c r="X507" s="130"/>
      <c r="Z507" s="106"/>
    </row>
    <row r="508">
      <c r="C508" s="79"/>
      <c r="D508" s="79"/>
      <c r="J508" s="79"/>
      <c r="P508" s="79"/>
      <c r="Q508" s="79"/>
      <c r="T508" s="79"/>
      <c r="U508" s="79"/>
      <c r="X508" s="130"/>
      <c r="Z508" s="106"/>
    </row>
    <row r="509">
      <c r="C509" s="79"/>
      <c r="D509" s="79"/>
      <c r="J509" s="79"/>
      <c r="P509" s="79"/>
      <c r="Q509" s="79"/>
      <c r="T509" s="79"/>
      <c r="U509" s="79"/>
      <c r="X509" s="130"/>
      <c r="Z509" s="106"/>
    </row>
    <row r="510">
      <c r="C510" s="79"/>
      <c r="D510" s="79"/>
      <c r="J510" s="79"/>
      <c r="P510" s="79"/>
      <c r="Q510" s="79"/>
      <c r="T510" s="79"/>
      <c r="U510" s="79"/>
      <c r="X510" s="130"/>
      <c r="Z510" s="106"/>
    </row>
    <row r="511">
      <c r="C511" s="79"/>
      <c r="D511" s="79"/>
      <c r="J511" s="79"/>
      <c r="P511" s="79"/>
      <c r="Q511" s="79"/>
      <c r="T511" s="79"/>
      <c r="U511" s="79"/>
      <c r="X511" s="130"/>
      <c r="Z511" s="106"/>
    </row>
    <row r="512">
      <c r="C512" s="79"/>
      <c r="D512" s="79"/>
      <c r="J512" s="79"/>
      <c r="P512" s="79"/>
      <c r="Q512" s="79"/>
      <c r="T512" s="79"/>
      <c r="U512" s="79"/>
      <c r="X512" s="130"/>
      <c r="Z512" s="106"/>
    </row>
    <row r="513">
      <c r="C513" s="79"/>
      <c r="D513" s="79"/>
      <c r="J513" s="79"/>
      <c r="P513" s="79"/>
      <c r="Q513" s="79"/>
      <c r="T513" s="79"/>
      <c r="U513" s="79"/>
      <c r="X513" s="130"/>
      <c r="Z513" s="106"/>
    </row>
    <row r="514">
      <c r="C514" s="79"/>
      <c r="D514" s="79"/>
      <c r="J514" s="79"/>
      <c r="P514" s="79"/>
      <c r="Q514" s="79"/>
      <c r="T514" s="79"/>
      <c r="U514" s="79"/>
      <c r="X514" s="130"/>
      <c r="Z514" s="106"/>
    </row>
    <row r="515">
      <c r="C515" s="79"/>
      <c r="D515" s="79"/>
      <c r="J515" s="79"/>
      <c r="P515" s="79"/>
      <c r="Q515" s="79"/>
      <c r="T515" s="79"/>
      <c r="U515" s="79"/>
      <c r="X515" s="130"/>
      <c r="Z515" s="106"/>
    </row>
    <row r="516">
      <c r="C516" s="79"/>
      <c r="D516" s="79"/>
      <c r="J516" s="79"/>
      <c r="P516" s="79"/>
      <c r="Q516" s="79"/>
      <c r="T516" s="79"/>
      <c r="U516" s="79"/>
      <c r="X516" s="130"/>
      <c r="Z516" s="106"/>
    </row>
    <row r="517">
      <c r="C517" s="79"/>
      <c r="D517" s="79"/>
      <c r="J517" s="79"/>
      <c r="P517" s="79"/>
      <c r="Q517" s="79"/>
      <c r="T517" s="79"/>
      <c r="U517" s="79"/>
      <c r="X517" s="130"/>
      <c r="Z517" s="106"/>
    </row>
    <row r="518">
      <c r="C518" s="79"/>
      <c r="D518" s="79"/>
      <c r="J518" s="79"/>
      <c r="P518" s="79"/>
      <c r="Q518" s="79"/>
      <c r="T518" s="79"/>
      <c r="U518" s="79"/>
      <c r="X518" s="130"/>
      <c r="Z518" s="106"/>
    </row>
    <row r="519">
      <c r="C519" s="79"/>
      <c r="D519" s="79"/>
      <c r="J519" s="79"/>
      <c r="P519" s="79"/>
      <c r="Q519" s="79"/>
      <c r="T519" s="79"/>
      <c r="U519" s="79"/>
      <c r="X519" s="130"/>
      <c r="Z519" s="106"/>
    </row>
    <row r="520">
      <c r="C520" s="79"/>
      <c r="D520" s="79"/>
      <c r="J520" s="79"/>
      <c r="P520" s="79"/>
      <c r="Q520" s="79"/>
      <c r="T520" s="79"/>
      <c r="U520" s="79"/>
      <c r="X520" s="130"/>
      <c r="Z520" s="106"/>
    </row>
    <row r="521">
      <c r="C521" s="79"/>
      <c r="D521" s="79"/>
      <c r="J521" s="79"/>
      <c r="P521" s="79"/>
      <c r="Q521" s="79"/>
      <c r="T521" s="79"/>
      <c r="U521" s="79"/>
      <c r="X521" s="130"/>
      <c r="Z521" s="106"/>
    </row>
    <row r="522">
      <c r="C522" s="79"/>
      <c r="D522" s="79"/>
      <c r="J522" s="79"/>
      <c r="P522" s="79"/>
      <c r="Q522" s="79"/>
      <c r="T522" s="79"/>
      <c r="U522" s="79"/>
      <c r="X522" s="130"/>
      <c r="Z522" s="106"/>
    </row>
    <row r="523">
      <c r="C523" s="79"/>
      <c r="D523" s="79"/>
      <c r="J523" s="79"/>
      <c r="P523" s="79"/>
      <c r="Q523" s="79"/>
      <c r="T523" s="79"/>
      <c r="U523" s="79"/>
      <c r="X523" s="130"/>
      <c r="Z523" s="106"/>
    </row>
    <row r="524">
      <c r="C524" s="79"/>
      <c r="D524" s="79"/>
      <c r="J524" s="79"/>
      <c r="P524" s="79"/>
      <c r="Q524" s="79"/>
      <c r="T524" s="79"/>
      <c r="U524" s="79"/>
      <c r="X524" s="130"/>
      <c r="Z524" s="106"/>
    </row>
    <row r="525">
      <c r="C525" s="79"/>
      <c r="D525" s="79"/>
      <c r="J525" s="79"/>
      <c r="P525" s="79"/>
      <c r="Q525" s="79"/>
      <c r="T525" s="79"/>
      <c r="U525" s="79"/>
      <c r="X525" s="130"/>
      <c r="Z525" s="106"/>
    </row>
    <row r="526">
      <c r="C526" s="79"/>
      <c r="D526" s="79"/>
      <c r="J526" s="79"/>
      <c r="P526" s="79"/>
      <c r="Q526" s="79"/>
      <c r="T526" s="79"/>
      <c r="U526" s="79"/>
      <c r="X526" s="130"/>
      <c r="Z526" s="106"/>
    </row>
    <row r="527">
      <c r="C527" s="79"/>
      <c r="D527" s="79"/>
      <c r="J527" s="79"/>
      <c r="P527" s="79"/>
      <c r="Q527" s="79"/>
      <c r="T527" s="79"/>
      <c r="U527" s="79"/>
      <c r="X527" s="130"/>
      <c r="Z527" s="106"/>
    </row>
    <row r="528">
      <c r="C528" s="79"/>
      <c r="D528" s="79"/>
      <c r="J528" s="79"/>
      <c r="P528" s="79"/>
      <c r="Q528" s="79"/>
      <c r="T528" s="79"/>
      <c r="U528" s="79"/>
      <c r="X528" s="130"/>
      <c r="Z528" s="106"/>
    </row>
    <row r="529">
      <c r="C529" s="79"/>
      <c r="D529" s="79"/>
      <c r="J529" s="79"/>
      <c r="P529" s="79"/>
      <c r="Q529" s="79"/>
      <c r="T529" s="79"/>
      <c r="U529" s="79"/>
      <c r="X529" s="130"/>
      <c r="Z529" s="106"/>
    </row>
    <row r="530">
      <c r="C530" s="79"/>
      <c r="D530" s="79"/>
      <c r="J530" s="79"/>
      <c r="P530" s="79"/>
      <c r="Q530" s="79"/>
      <c r="T530" s="79"/>
      <c r="U530" s="79"/>
      <c r="X530" s="130"/>
      <c r="Z530" s="106"/>
    </row>
    <row r="531">
      <c r="C531" s="79"/>
      <c r="D531" s="79"/>
      <c r="J531" s="79"/>
      <c r="P531" s="79"/>
      <c r="Q531" s="79"/>
      <c r="T531" s="79"/>
      <c r="U531" s="79"/>
      <c r="X531" s="130"/>
      <c r="Z531" s="106"/>
    </row>
    <row r="532">
      <c r="C532" s="79"/>
      <c r="D532" s="79"/>
      <c r="J532" s="79"/>
      <c r="P532" s="79"/>
      <c r="Q532" s="79"/>
      <c r="T532" s="79"/>
      <c r="U532" s="79"/>
      <c r="X532" s="130"/>
      <c r="Z532" s="106"/>
    </row>
    <row r="533">
      <c r="C533" s="79"/>
      <c r="D533" s="79"/>
      <c r="J533" s="79"/>
      <c r="P533" s="79"/>
      <c r="Q533" s="79"/>
      <c r="T533" s="79"/>
      <c r="U533" s="79"/>
      <c r="X533" s="130"/>
      <c r="Z533" s="106"/>
    </row>
    <row r="534">
      <c r="C534" s="79"/>
      <c r="D534" s="79"/>
      <c r="J534" s="79"/>
      <c r="P534" s="79"/>
      <c r="Q534" s="79"/>
      <c r="T534" s="79"/>
      <c r="U534" s="79"/>
      <c r="X534" s="130"/>
      <c r="Z534" s="106"/>
    </row>
    <row r="535">
      <c r="C535" s="79"/>
      <c r="D535" s="79"/>
      <c r="J535" s="79"/>
      <c r="P535" s="79"/>
      <c r="Q535" s="79"/>
      <c r="T535" s="79"/>
      <c r="U535" s="79"/>
      <c r="X535" s="130"/>
      <c r="Z535" s="106"/>
    </row>
    <row r="536">
      <c r="C536" s="79"/>
      <c r="D536" s="79"/>
      <c r="J536" s="79"/>
      <c r="P536" s="79"/>
      <c r="Q536" s="79"/>
      <c r="T536" s="79"/>
      <c r="U536" s="79"/>
      <c r="X536" s="130"/>
      <c r="Z536" s="106"/>
    </row>
    <row r="537">
      <c r="C537" s="79"/>
      <c r="D537" s="79"/>
      <c r="J537" s="79"/>
      <c r="P537" s="79"/>
      <c r="Q537" s="79"/>
      <c r="T537" s="79"/>
      <c r="U537" s="79"/>
      <c r="X537" s="130"/>
      <c r="Z537" s="106"/>
    </row>
    <row r="538">
      <c r="C538" s="79"/>
      <c r="D538" s="79"/>
      <c r="J538" s="79"/>
      <c r="P538" s="79"/>
      <c r="Q538" s="79"/>
      <c r="T538" s="79"/>
      <c r="U538" s="79"/>
      <c r="X538" s="130"/>
      <c r="Z538" s="106"/>
    </row>
    <row r="539">
      <c r="C539" s="79"/>
      <c r="D539" s="79"/>
      <c r="J539" s="79"/>
      <c r="P539" s="79"/>
      <c r="Q539" s="79"/>
      <c r="T539" s="79"/>
      <c r="U539" s="79"/>
      <c r="X539" s="130"/>
      <c r="Z539" s="106"/>
    </row>
    <row r="540">
      <c r="C540" s="79"/>
      <c r="D540" s="79"/>
      <c r="J540" s="79"/>
      <c r="P540" s="79"/>
      <c r="Q540" s="79"/>
      <c r="T540" s="79"/>
      <c r="U540" s="79"/>
      <c r="X540" s="130"/>
      <c r="Z540" s="106"/>
    </row>
    <row r="541">
      <c r="C541" s="79"/>
      <c r="D541" s="79"/>
      <c r="J541" s="79"/>
      <c r="P541" s="79"/>
      <c r="Q541" s="79"/>
      <c r="T541" s="79"/>
      <c r="U541" s="79"/>
      <c r="X541" s="130"/>
      <c r="Z541" s="106"/>
    </row>
    <row r="542">
      <c r="C542" s="79"/>
      <c r="D542" s="79"/>
      <c r="J542" s="79"/>
      <c r="P542" s="79"/>
      <c r="Q542" s="79"/>
      <c r="T542" s="79"/>
      <c r="U542" s="79"/>
      <c r="X542" s="130"/>
      <c r="Z542" s="106"/>
    </row>
    <row r="543">
      <c r="C543" s="79"/>
      <c r="D543" s="79"/>
      <c r="J543" s="79"/>
      <c r="P543" s="79"/>
      <c r="Q543" s="79"/>
      <c r="T543" s="79"/>
      <c r="U543" s="79"/>
      <c r="X543" s="130"/>
      <c r="Z543" s="106"/>
    </row>
    <row r="544">
      <c r="C544" s="79"/>
      <c r="D544" s="79"/>
      <c r="J544" s="79"/>
      <c r="P544" s="79"/>
      <c r="Q544" s="79"/>
      <c r="T544" s="79"/>
      <c r="U544" s="79"/>
      <c r="X544" s="130"/>
      <c r="Z544" s="106"/>
    </row>
    <row r="545">
      <c r="C545" s="79"/>
      <c r="D545" s="79"/>
      <c r="J545" s="79"/>
      <c r="P545" s="79"/>
      <c r="Q545" s="79"/>
      <c r="T545" s="79"/>
      <c r="U545" s="79"/>
      <c r="X545" s="130"/>
      <c r="Z545" s="106"/>
    </row>
    <row r="546">
      <c r="C546" s="79"/>
      <c r="D546" s="79"/>
      <c r="J546" s="79"/>
      <c r="P546" s="79"/>
      <c r="Q546" s="79"/>
      <c r="T546" s="79"/>
      <c r="U546" s="79"/>
      <c r="X546" s="130"/>
      <c r="Z546" s="106"/>
    </row>
    <row r="547">
      <c r="C547" s="79"/>
      <c r="D547" s="79"/>
      <c r="J547" s="79"/>
      <c r="P547" s="79"/>
      <c r="Q547" s="79"/>
      <c r="T547" s="79"/>
      <c r="U547" s="79"/>
      <c r="X547" s="130"/>
      <c r="Z547" s="106"/>
    </row>
    <row r="548">
      <c r="C548" s="79"/>
      <c r="D548" s="79"/>
      <c r="J548" s="79"/>
      <c r="P548" s="79"/>
      <c r="Q548" s="79"/>
      <c r="T548" s="79"/>
      <c r="U548" s="79"/>
      <c r="X548" s="130"/>
      <c r="Z548" s="106"/>
    </row>
    <row r="549">
      <c r="C549" s="79"/>
      <c r="D549" s="79"/>
      <c r="J549" s="79"/>
      <c r="P549" s="79"/>
      <c r="Q549" s="79"/>
      <c r="T549" s="79"/>
      <c r="U549" s="79"/>
      <c r="X549" s="130"/>
      <c r="Z549" s="106"/>
    </row>
    <row r="550">
      <c r="C550" s="79"/>
      <c r="D550" s="79"/>
      <c r="J550" s="79"/>
      <c r="P550" s="79"/>
      <c r="Q550" s="79"/>
      <c r="T550" s="79"/>
      <c r="U550" s="79"/>
      <c r="X550" s="130"/>
      <c r="Z550" s="106"/>
    </row>
    <row r="551">
      <c r="C551" s="79"/>
      <c r="D551" s="79"/>
      <c r="J551" s="79"/>
      <c r="P551" s="79"/>
      <c r="Q551" s="79"/>
      <c r="T551" s="79"/>
      <c r="U551" s="79"/>
      <c r="X551" s="130"/>
      <c r="Z551" s="106"/>
    </row>
    <row r="552">
      <c r="C552" s="79"/>
      <c r="D552" s="79"/>
      <c r="J552" s="79"/>
      <c r="P552" s="79"/>
      <c r="Q552" s="79"/>
      <c r="T552" s="79"/>
      <c r="U552" s="79"/>
      <c r="X552" s="130"/>
      <c r="Z552" s="106"/>
    </row>
    <row r="553">
      <c r="C553" s="79"/>
      <c r="D553" s="79"/>
      <c r="J553" s="79"/>
      <c r="P553" s="79"/>
      <c r="Q553" s="79"/>
      <c r="T553" s="79"/>
      <c r="U553" s="79"/>
      <c r="X553" s="130"/>
      <c r="Z553" s="106"/>
    </row>
    <row r="554">
      <c r="C554" s="79"/>
      <c r="D554" s="79"/>
      <c r="J554" s="79"/>
      <c r="P554" s="79"/>
      <c r="Q554" s="79"/>
      <c r="T554" s="79"/>
      <c r="U554" s="79"/>
      <c r="X554" s="130"/>
      <c r="Z554" s="106"/>
    </row>
    <row r="555">
      <c r="C555" s="79"/>
      <c r="D555" s="79"/>
      <c r="J555" s="79"/>
      <c r="P555" s="79"/>
      <c r="Q555" s="79"/>
      <c r="T555" s="79"/>
      <c r="U555" s="79"/>
      <c r="X555" s="130"/>
      <c r="Z555" s="106"/>
    </row>
    <row r="556">
      <c r="C556" s="79"/>
      <c r="D556" s="79"/>
      <c r="J556" s="79"/>
      <c r="P556" s="79"/>
      <c r="Q556" s="79"/>
      <c r="T556" s="79"/>
      <c r="U556" s="79"/>
      <c r="X556" s="130"/>
      <c r="Z556" s="106"/>
    </row>
    <row r="557">
      <c r="C557" s="79"/>
      <c r="D557" s="79"/>
      <c r="J557" s="79"/>
      <c r="P557" s="79"/>
      <c r="Q557" s="79"/>
      <c r="T557" s="79"/>
      <c r="U557" s="79"/>
      <c r="X557" s="130"/>
      <c r="Z557" s="106"/>
    </row>
    <row r="558">
      <c r="C558" s="79"/>
      <c r="D558" s="79"/>
      <c r="J558" s="79"/>
      <c r="P558" s="79"/>
      <c r="Q558" s="79"/>
      <c r="T558" s="79"/>
      <c r="U558" s="79"/>
      <c r="X558" s="130"/>
      <c r="Z558" s="106"/>
    </row>
    <row r="559">
      <c r="C559" s="79"/>
      <c r="D559" s="79"/>
      <c r="J559" s="79"/>
      <c r="P559" s="79"/>
      <c r="Q559" s="79"/>
      <c r="T559" s="79"/>
      <c r="U559" s="79"/>
      <c r="X559" s="130"/>
      <c r="Z559" s="106"/>
    </row>
    <row r="560">
      <c r="C560" s="79"/>
      <c r="D560" s="79"/>
      <c r="J560" s="79"/>
      <c r="P560" s="79"/>
      <c r="Q560" s="79"/>
      <c r="T560" s="79"/>
      <c r="U560" s="79"/>
      <c r="X560" s="130"/>
      <c r="Z560" s="106"/>
    </row>
    <row r="561">
      <c r="C561" s="79"/>
      <c r="D561" s="79"/>
      <c r="J561" s="79"/>
      <c r="P561" s="79"/>
      <c r="Q561" s="79"/>
      <c r="T561" s="79"/>
      <c r="U561" s="79"/>
      <c r="X561" s="130"/>
      <c r="Z561" s="106"/>
    </row>
    <row r="562">
      <c r="C562" s="79"/>
      <c r="D562" s="79"/>
      <c r="J562" s="79"/>
      <c r="P562" s="79"/>
      <c r="Q562" s="79"/>
      <c r="T562" s="79"/>
      <c r="U562" s="79"/>
      <c r="X562" s="130"/>
      <c r="Z562" s="106"/>
    </row>
    <row r="563">
      <c r="C563" s="79"/>
      <c r="D563" s="79"/>
      <c r="J563" s="79"/>
      <c r="P563" s="79"/>
      <c r="Q563" s="79"/>
      <c r="T563" s="79"/>
      <c r="U563" s="79"/>
      <c r="X563" s="130"/>
      <c r="Z563" s="106"/>
    </row>
    <row r="564">
      <c r="C564" s="79"/>
      <c r="D564" s="79"/>
      <c r="J564" s="79"/>
      <c r="P564" s="79"/>
      <c r="Q564" s="79"/>
      <c r="T564" s="79"/>
      <c r="U564" s="79"/>
      <c r="X564" s="130"/>
      <c r="Z564" s="106"/>
    </row>
    <row r="565">
      <c r="C565" s="79"/>
      <c r="D565" s="79"/>
      <c r="J565" s="79"/>
      <c r="P565" s="79"/>
      <c r="Q565" s="79"/>
      <c r="T565" s="79"/>
      <c r="U565" s="79"/>
      <c r="X565" s="130"/>
      <c r="Z565" s="106"/>
    </row>
    <row r="566">
      <c r="C566" s="79"/>
      <c r="D566" s="79"/>
      <c r="J566" s="79"/>
      <c r="P566" s="79"/>
      <c r="Q566" s="79"/>
      <c r="T566" s="79"/>
      <c r="U566" s="79"/>
      <c r="X566" s="130"/>
      <c r="Z566" s="106"/>
    </row>
    <row r="567">
      <c r="C567" s="79"/>
      <c r="D567" s="79"/>
      <c r="J567" s="79"/>
      <c r="P567" s="79"/>
      <c r="Q567" s="79"/>
      <c r="T567" s="79"/>
      <c r="U567" s="79"/>
      <c r="X567" s="130"/>
      <c r="Z567" s="106"/>
    </row>
    <row r="568">
      <c r="C568" s="79"/>
      <c r="D568" s="79"/>
      <c r="J568" s="79"/>
      <c r="P568" s="79"/>
      <c r="Q568" s="79"/>
      <c r="T568" s="79"/>
      <c r="U568" s="79"/>
      <c r="X568" s="130"/>
      <c r="Z568" s="106"/>
    </row>
    <row r="569">
      <c r="C569" s="79"/>
      <c r="D569" s="79"/>
      <c r="J569" s="79"/>
      <c r="P569" s="79"/>
      <c r="Q569" s="79"/>
      <c r="T569" s="79"/>
      <c r="U569" s="79"/>
      <c r="X569" s="130"/>
      <c r="Z569" s="106"/>
    </row>
    <row r="570">
      <c r="C570" s="79"/>
      <c r="D570" s="79"/>
      <c r="J570" s="79"/>
      <c r="P570" s="79"/>
      <c r="Q570" s="79"/>
      <c r="T570" s="79"/>
      <c r="U570" s="79"/>
      <c r="X570" s="130"/>
      <c r="Z570" s="106"/>
    </row>
    <row r="571">
      <c r="C571" s="79"/>
      <c r="D571" s="79"/>
      <c r="J571" s="79"/>
      <c r="P571" s="79"/>
      <c r="Q571" s="79"/>
      <c r="T571" s="79"/>
      <c r="U571" s="79"/>
      <c r="X571" s="130"/>
      <c r="Z571" s="106"/>
    </row>
    <row r="572">
      <c r="C572" s="79"/>
      <c r="D572" s="79"/>
      <c r="J572" s="79"/>
      <c r="P572" s="79"/>
      <c r="Q572" s="79"/>
      <c r="T572" s="79"/>
      <c r="U572" s="79"/>
      <c r="X572" s="130"/>
      <c r="Z572" s="106"/>
    </row>
    <row r="573">
      <c r="C573" s="79"/>
      <c r="D573" s="79"/>
      <c r="J573" s="79"/>
      <c r="P573" s="79"/>
      <c r="Q573" s="79"/>
      <c r="T573" s="79"/>
      <c r="U573" s="79"/>
      <c r="X573" s="130"/>
      <c r="Z573" s="106"/>
    </row>
    <row r="574">
      <c r="C574" s="79"/>
      <c r="D574" s="79"/>
      <c r="J574" s="79"/>
      <c r="P574" s="79"/>
      <c r="Q574" s="79"/>
      <c r="T574" s="79"/>
      <c r="U574" s="79"/>
      <c r="X574" s="130"/>
      <c r="Z574" s="106"/>
    </row>
    <row r="575">
      <c r="C575" s="79"/>
      <c r="D575" s="79"/>
      <c r="J575" s="79"/>
      <c r="P575" s="79"/>
      <c r="Q575" s="79"/>
      <c r="T575" s="79"/>
      <c r="U575" s="79"/>
      <c r="X575" s="130"/>
      <c r="Z575" s="106"/>
    </row>
    <row r="576">
      <c r="C576" s="79"/>
      <c r="D576" s="79"/>
      <c r="J576" s="79"/>
      <c r="P576" s="79"/>
      <c r="Q576" s="79"/>
      <c r="T576" s="79"/>
      <c r="U576" s="79"/>
      <c r="X576" s="130"/>
      <c r="Z576" s="106"/>
    </row>
    <row r="577">
      <c r="C577" s="79"/>
      <c r="D577" s="79"/>
      <c r="J577" s="79"/>
      <c r="P577" s="79"/>
      <c r="Q577" s="79"/>
      <c r="T577" s="79"/>
      <c r="U577" s="79"/>
      <c r="X577" s="130"/>
      <c r="Z577" s="106"/>
    </row>
    <row r="578">
      <c r="C578" s="79"/>
      <c r="D578" s="79"/>
      <c r="J578" s="79"/>
      <c r="P578" s="79"/>
      <c r="Q578" s="79"/>
      <c r="T578" s="79"/>
      <c r="U578" s="79"/>
      <c r="X578" s="130"/>
      <c r="Z578" s="106"/>
    </row>
    <row r="579">
      <c r="C579" s="79"/>
      <c r="D579" s="79"/>
      <c r="J579" s="79"/>
      <c r="P579" s="79"/>
      <c r="Q579" s="79"/>
      <c r="T579" s="79"/>
      <c r="U579" s="79"/>
      <c r="X579" s="130"/>
      <c r="Z579" s="106"/>
    </row>
    <row r="580">
      <c r="C580" s="79"/>
      <c r="D580" s="79"/>
      <c r="J580" s="79"/>
      <c r="P580" s="79"/>
      <c r="Q580" s="79"/>
      <c r="T580" s="79"/>
      <c r="U580" s="79"/>
      <c r="X580" s="130"/>
      <c r="Z580" s="106"/>
    </row>
    <row r="581">
      <c r="C581" s="79"/>
      <c r="D581" s="79"/>
      <c r="J581" s="79"/>
      <c r="P581" s="79"/>
      <c r="Q581" s="79"/>
      <c r="T581" s="79"/>
      <c r="U581" s="79"/>
      <c r="X581" s="130"/>
      <c r="Z581" s="106"/>
    </row>
    <row r="582">
      <c r="C582" s="79"/>
      <c r="D582" s="79"/>
      <c r="J582" s="79"/>
      <c r="P582" s="79"/>
      <c r="Q582" s="79"/>
      <c r="T582" s="79"/>
      <c r="U582" s="79"/>
      <c r="X582" s="130"/>
      <c r="Z582" s="106"/>
    </row>
    <row r="583">
      <c r="C583" s="79"/>
      <c r="D583" s="79"/>
      <c r="J583" s="79"/>
      <c r="P583" s="79"/>
      <c r="Q583" s="79"/>
      <c r="T583" s="79"/>
      <c r="U583" s="79"/>
      <c r="X583" s="130"/>
      <c r="Z583" s="106"/>
    </row>
    <row r="584">
      <c r="C584" s="79"/>
      <c r="D584" s="79"/>
      <c r="J584" s="79"/>
      <c r="P584" s="79"/>
      <c r="Q584" s="79"/>
      <c r="T584" s="79"/>
      <c r="U584" s="79"/>
      <c r="X584" s="130"/>
      <c r="Z584" s="106"/>
    </row>
    <row r="585">
      <c r="C585" s="79"/>
      <c r="D585" s="79"/>
      <c r="J585" s="79"/>
      <c r="P585" s="79"/>
      <c r="Q585" s="79"/>
      <c r="T585" s="79"/>
      <c r="U585" s="79"/>
      <c r="X585" s="130"/>
      <c r="Z585" s="106"/>
    </row>
    <row r="586">
      <c r="C586" s="79"/>
      <c r="D586" s="79"/>
      <c r="J586" s="79"/>
      <c r="P586" s="79"/>
      <c r="Q586" s="79"/>
      <c r="T586" s="79"/>
      <c r="U586" s="79"/>
      <c r="X586" s="130"/>
      <c r="Z586" s="106"/>
    </row>
    <row r="587">
      <c r="C587" s="79"/>
      <c r="D587" s="79"/>
      <c r="J587" s="79"/>
      <c r="P587" s="79"/>
      <c r="Q587" s="79"/>
      <c r="T587" s="79"/>
      <c r="U587" s="79"/>
      <c r="X587" s="130"/>
      <c r="Z587" s="106"/>
    </row>
    <row r="588">
      <c r="C588" s="79"/>
      <c r="D588" s="79"/>
      <c r="J588" s="79"/>
      <c r="P588" s="79"/>
      <c r="Q588" s="79"/>
      <c r="T588" s="79"/>
      <c r="U588" s="79"/>
      <c r="X588" s="130"/>
      <c r="Z588" s="106"/>
    </row>
    <row r="589">
      <c r="C589" s="79"/>
      <c r="D589" s="79"/>
      <c r="J589" s="79"/>
      <c r="P589" s="79"/>
      <c r="Q589" s="79"/>
      <c r="T589" s="79"/>
      <c r="U589" s="79"/>
      <c r="X589" s="130"/>
      <c r="Z589" s="106"/>
    </row>
    <row r="590">
      <c r="C590" s="79"/>
      <c r="D590" s="79"/>
      <c r="J590" s="79"/>
      <c r="P590" s="79"/>
      <c r="Q590" s="79"/>
      <c r="T590" s="79"/>
      <c r="U590" s="79"/>
      <c r="X590" s="130"/>
      <c r="Z590" s="106"/>
    </row>
    <row r="591">
      <c r="C591" s="79"/>
      <c r="D591" s="79"/>
      <c r="J591" s="79"/>
      <c r="P591" s="79"/>
      <c r="Q591" s="79"/>
      <c r="T591" s="79"/>
      <c r="U591" s="79"/>
      <c r="X591" s="130"/>
      <c r="Z591" s="106"/>
    </row>
    <row r="592">
      <c r="C592" s="79"/>
      <c r="D592" s="79"/>
      <c r="J592" s="79"/>
      <c r="P592" s="79"/>
      <c r="Q592" s="79"/>
      <c r="T592" s="79"/>
      <c r="U592" s="79"/>
      <c r="X592" s="130"/>
      <c r="Z592" s="106"/>
    </row>
    <row r="593">
      <c r="C593" s="79"/>
      <c r="D593" s="79"/>
      <c r="J593" s="79"/>
      <c r="P593" s="79"/>
      <c r="Q593" s="79"/>
      <c r="T593" s="79"/>
      <c r="U593" s="79"/>
      <c r="X593" s="130"/>
      <c r="Z593" s="106"/>
    </row>
    <row r="594">
      <c r="C594" s="79"/>
      <c r="D594" s="79"/>
      <c r="J594" s="79"/>
      <c r="P594" s="79"/>
      <c r="Q594" s="79"/>
      <c r="T594" s="79"/>
      <c r="U594" s="79"/>
      <c r="X594" s="130"/>
      <c r="Z594" s="106"/>
    </row>
    <row r="595">
      <c r="C595" s="79"/>
      <c r="D595" s="79"/>
      <c r="J595" s="79"/>
      <c r="P595" s="79"/>
      <c r="Q595" s="79"/>
      <c r="T595" s="79"/>
      <c r="U595" s="79"/>
      <c r="X595" s="130"/>
      <c r="Z595" s="106"/>
    </row>
    <row r="596">
      <c r="C596" s="79"/>
      <c r="D596" s="79"/>
      <c r="J596" s="79"/>
      <c r="P596" s="79"/>
      <c r="Q596" s="79"/>
      <c r="T596" s="79"/>
      <c r="U596" s="79"/>
      <c r="X596" s="130"/>
      <c r="Z596" s="106"/>
    </row>
    <row r="597">
      <c r="C597" s="79"/>
      <c r="D597" s="79"/>
      <c r="J597" s="79"/>
      <c r="P597" s="79"/>
      <c r="Q597" s="79"/>
      <c r="T597" s="79"/>
      <c r="U597" s="79"/>
      <c r="X597" s="130"/>
      <c r="Z597" s="106"/>
    </row>
    <row r="598">
      <c r="C598" s="79"/>
      <c r="D598" s="79"/>
      <c r="J598" s="79"/>
      <c r="P598" s="79"/>
      <c r="Q598" s="79"/>
      <c r="T598" s="79"/>
      <c r="U598" s="79"/>
      <c r="X598" s="130"/>
      <c r="Z598" s="106"/>
    </row>
    <row r="599">
      <c r="C599" s="79"/>
      <c r="D599" s="79"/>
      <c r="J599" s="79"/>
      <c r="P599" s="79"/>
      <c r="Q599" s="79"/>
      <c r="T599" s="79"/>
      <c r="U599" s="79"/>
      <c r="X599" s="130"/>
      <c r="Z599" s="106"/>
    </row>
    <row r="600">
      <c r="C600" s="79"/>
      <c r="D600" s="79"/>
      <c r="J600" s="79"/>
      <c r="P600" s="79"/>
      <c r="Q600" s="79"/>
      <c r="T600" s="79"/>
      <c r="U600" s="79"/>
      <c r="X600" s="130"/>
      <c r="Z600" s="106"/>
    </row>
    <row r="601">
      <c r="C601" s="79"/>
      <c r="D601" s="79"/>
      <c r="J601" s="79"/>
      <c r="P601" s="79"/>
      <c r="Q601" s="79"/>
      <c r="T601" s="79"/>
      <c r="U601" s="79"/>
      <c r="X601" s="130"/>
      <c r="Z601" s="106"/>
    </row>
    <row r="602">
      <c r="C602" s="79"/>
      <c r="D602" s="79"/>
      <c r="J602" s="79"/>
      <c r="P602" s="79"/>
      <c r="Q602" s="79"/>
      <c r="T602" s="79"/>
      <c r="U602" s="79"/>
      <c r="X602" s="130"/>
      <c r="Z602" s="106"/>
    </row>
    <row r="603">
      <c r="C603" s="79"/>
      <c r="D603" s="79"/>
      <c r="J603" s="79"/>
      <c r="P603" s="79"/>
      <c r="Q603" s="79"/>
      <c r="T603" s="79"/>
      <c r="U603" s="79"/>
      <c r="X603" s="130"/>
      <c r="Z603" s="106"/>
    </row>
    <row r="604">
      <c r="C604" s="79"/>
      <c r="D604" s="79"/>
      <c r="J604" s="79"/>
      <c r="P604" s="79"/>
      <c r="Q604" s="79"/>
      <c r="T604" s="79"/>
      <c r="U604" s="79"/>
      <c r="X604" s="130"/>
      <c r="Z604" s="106"/>
    </row>
    <row r="605">
      <c r="C605" s="79"/>
      <c r="D605" s="79"/>
      <c r="J605" s="79"/>
      <c r="P605" s="79"/>
      <c r="Q605" s="79"/>
      <c r="T605" s="79"/>
      <c r="U605" s="79"/>
      <c r="X605" s="130"/>
      <c r="Z605" s="106"/>
    </row>
    <row r="606">
      <c r="C606" s="79"/>
      <c r="D606" s="79"/>
      <c r="J606" s="79"/>
      <c r="P606" s="79"/>
      <c r="Q606" s="79"/>
      <c r="T606" s="79"/>
      <c r="U606" s="79"/>
      <c r="X606" s="130"/>
      <c r="Z606" s="106"/>
    </row>
    <row r="607">
      <c r="C607" s="79"/>
      <c r="D607" s="79"/>
      <c r="J607" s="79"/>
      <c r="P607" s="79"/>
      <c r="Q607" s="79"/>
      <c r="T607" s="79"/>
      <c r="U607" s="79"/>
      <c r="X607" s="130"/>
      <c r="Z607" s="106"/>
    </row>
    <row r="608">
      <c r="C608" s="79"/>
      <c r="D608" s="79"/>
      <c r="J608" s="79"/>
      <c r="P608" s="79"/>
      <c r="Q608" s="79"/>
      <c r="T608" s="79"/>
      <c r="U608" s="79"/>
      <c r="X608" s="130"/>
      <c r="Z608" s="106"/>
    </row>
    <row r="609">
      <c r="C609" s="79"/>
      <c r="D609" s="79"/>
      <c r="J609" s="79"/>
      <c r="P609" s="79"/>
      <c r="Q609" s="79"/>
      <c r="T609" s="79"/>
      <c r="U609" s="79"/>
      <c r="X609" s="130"/>
      <c r="Z609" s="106"/>
    </row>
    <row r="610">
      <c r="C610" s="79"/>
      <c r="D610" s="79"/>
      <c r="J610" s="79"/>
      <c r="P610" s="79"/>
      <c r="Q610" s="79"/>
      <c r="T610" s="79"/>
      <c r="U610" s="79"/>
      <c r="X610" s="130"/>
      <c r="Z610" s="106"/>
    </row>
    <row r="611">
      <c r="C611" s="79"/>
      <c r="D611" s="79"/>
      <c r="J611" s="79"/>
      <c r="P611" s="79"/>
      <c r="Q611" s="79"/>
      <c r="T611" s="79"/>
      <c r="U611" s="79"/>
      <c r="X611" s="130"/>
      <c r="Z611" s="106"/>
    </row>
    <row r="612">
      <c r="C612" s="79"/>
      <c r="D612" s="79"/>
      <c r="J612" s="79"/>
      <c r="P612" s="79"/>
      <c r="Q612" s="79"/>
      <c r="T612" s="79"/>
      <c r="U612" s="79"/>
      <c r="X612" s="130"/>
      <c r="Z612" s="106"/>
    </row>
    <row r="613">
      <c r="C613" s="79"/>
      <c r="D613" s="79"/>
      <c r="J613" s="79"/>
      <c r="P613" s="79"/>
      <c r="Q613" s="79"/>
      <c r="T613" s="79"/>
      <c r="U613" s="79"/>
      <c r="X613" s="130"/>
      <c r="Z613" s="106"/>
    </row>
    <row r="614">
      <c r="C614" s="79"/>
      <c r="D614" s="79"/>
      <c r="J614" s="79"/>
      <c r="P614" s="79"/>
      <c r="Q614" s="79"/>
      <c r="T614" s="79"/>
      <c r="U614" s="79"/>
      <c r="X614" s="130"/>
      <c r="Z614" s="106"/>
    </row>
    <row r="615">
      <c r="C615" s="79"/>
      <c r="D615" s="79"/>
      <c r="J615" s="79"/>
      <c r="P615" s="79"/>
      <c r="Q615" s="79"/>
      <c r="T615" s="79"/>
      <c r="U615" s="79"/>
      <c r="X615" s="130"/>
      <c r="Z615" s="106"/>
    </row>
    <row r="616">
      <c r="C616" s="79"/>
      <c r="D616" s="79"/>
      <c r="J616" s="79"/>
      <c r="P616" s="79"/>
      <c r="Q616" s="79"/>
      <c r="T616" s="79"/>
      <c r="U616" s="79"/>
      <c r="X616" s="130"/>
      <c r="Z616" s="106"/>
    </row>
    <row r="617">
      <c r="C617" s="79"/>
      <c r="D617" s="79"/>
      <c r="J617" s="79"/>
      <c r="P617" s="79"/>
      <c r="Q617" s="79"/>
      <c r="T617" s="79"/>
      <c r="U617" s="79"/>
      <c r="X617" s="130"/>
      <c r="Z617" s="106"/>
    </row>
    <row r="618">
      <c r="C618" s="79"/>
      <c r="D618" s="79"/>
      <c r="J618" s="79"/>
      <c r="P618" s="79"/>
      <c r="Q618" s="79"/>
      <c r="T618" s="79"/>
      <c r="U618" s="79"/>
      <c r="X618" s="130"/>
      <c r="Z618" s="106"/>
    </row>
    <row r="619">
      <c r="C619" s="79"/>
      <c r="D619" s="79"/>
      <c r="J619" s="79"/>
      <c r="P619" s="79"/>
      <c r="Q619" s="79"/>
      <c r="T619" s="79"/>
      <c r="U619" s="79"/>
      <c r="X619" s="130"/>
      <c r="Z619" s="106"/>
    </row>
    <row r="620">
      <c r="C620" s="79"/>
      <c r="D620" s="79"/>
      <c r="J620" s="79"/>
      <c r="P620" s="79"/>
      <c r="Q620" s="79"/>
      <c r="T620" s="79"/>
      <c r="U620" s="79"/>
      <c r="X620" s="130"/>
      <c r="Z620" s="106"/>
    </row>
    <row r="621">
      <c r="C621" s="79"/>
      <c r="D621" s="79"/>
      <c r="J621" s="79"/>
      <c r="P621" s="79"/>
      <c r="Q621" s="79"/>
      <c r="T621" s="79"/>
      <c r="U621" s="79"/>
      <c r="X621" s="130"/>
      <c r="Z621" s="106"/>
    </row>
    <row r="622">
      <c r="C622" s="79"/>
      <c r="D622" s="79"/>
      <c r="J622" s="79"/>
      <c r="P622" s="79"/>
      <c r="Q622" s="79"/>
      <c r="T622" s="79"/>
      <c r="U622" s="79"/>
      <c r="X622" s="130"/>
      <c r="Z622" s="106"/>
    </row>
    <row r="623">
      <c r="C623" s="79"/>
      <c r="D623" s="79"/>
      <c r="J623" s="79"/>
      <c r="P623" s="79"/>
      <c r="Q623" s="79"/>
      <c r="T623" s="79"/>
      <c r="U623" s="79"/>
      <c r="X623" s="130"/>
      <c r="Z623" s="106"/>
    </row>
    <row r="624">
      <c r="C624" s="79"/>
      <c r="D624" s="79"/>
      <c r="J624" s="79"/>
      <c r="P624" s="79"/>
      <c r="Q624" s="79"/>
      <c r="T624" s="79"/>
      <c r="U624" s="79"/>
      <c r="X624" s="130"/>
      <c r="Z624" s="106"/>
    </row>
    <row r="625">
      <c r="C625" s="79"/>
      <c r="D625" s="79"/>
      <c r="J625" s="79"/>
      <c r="P625" s="79"/>
      <c r="Q625" s="79"/>
      <c r="T625" s="79"/>
      <c r="U625" s="79"/>
      <c r="X625" s="130"/>
      <c r="Z625" s="106"/>
    </row>
    <row r="626">
      <c r="C626" s="79"/>
      <c r="D626" s="79"/>
      <c r="J626" s="79"/>
      <c r="P626" s="79"/>
      <c r="Q626" s="79"/>
      <c r="T626" s="79"/>
      <c r="U626" s="79"/>
      <c r="X626" s="130"/>
      <c r="Z626" s="106"/>
    </row>
    <row r="627">
      <c r="C627" s="79"/>
      <c r="D627" s="79"/>
      <c r="J627" s="79"/>
      <c r="P627" s="79"/>
      <c r="Q627" s="79"/>
      <c r="T627" s="79"/>
      <c r="U627" s="79"/>
      <c r="X627" s="130"/>
      <c r="Z627" s="106"/>
    </row>
    <row r="628">
      <c r="C628" s="79"/>
      <c r="D628" s="79"/>
      <c r="J628" s="79"/>
      <c r="P628" s="79"/>
      <c r="Q628" s="79"/>
      <c r="T628" s="79"/>
      <c r="U628" s="79"/>
      <c r="X628" s="130"/>
      <c r="Z628" s="106"/>
    </row>
    <row r="629">
      <c r="C629" s="79"/>
      <c r="D629" s="79"/>
      <c r="J629" s="79"/>
      <c r="P629" s="79"/>
      <c r="Q629" s="79"/>
      <c r="T629" s="79"/>
      <c r="U629" s="79"/>
      <c r="X629" s="130"/>
      <c r="Z629" s="106"/>
    </row>
    <row r="630">
      <c r="C630" s="79"/>
      <c r="D630" s="79"/>
      <c r="J630" s="79"/>
      <c r="P630" s="79"/>
      <c r="Q630" s="79"/>
      <c r="T630" s="79"/>
      <c r="U630" s="79"/>
      <c r="X630" s="130"/>
      <c r="Z630" s="106"/>
    </row>
    <row r="631">
      <c r="C631" s="79"/>
      <c r="D631" s="79"/>
      <c r="J631" s="79"/>
      <c r="P631" s="79"/>
      <c r="Q631" s="79"/>
      <c r="T631" s="79"/>
      <c r="U631" s="79"/>
      <c r="X631" s="130"/>
      <c r="Z631" s="106"/>
    </row>
    <row r="632">
      <c r="C632" s="79"/>
      <c r="D632" s="79"/>
      <c r="J632" s="79"/>
      <c r="P632" s="79"/>
      <c r="Q632" s="79"/>
      <c r="T632" s="79"/>
      <c r="U632" s="79"/>
      <c r="X632" s="130"/>
      <c r="Z632" s="106"/>
    </row>
    <row r="633">
      <c r="C633" s="79"/>
      <c r="D633" s="79"/>
      <c r="J633" s="79"/>
      <c r="P633" s="79"/>
      <c r="Q633" s="79"/>
      <c r="T633" s="79"/>
      <c r="U633" s="79"/>
      <c r="X633" s="130"/>
      <c r="Z633" s="106"/>
    </row>
    <row r="634">
      <c r="C634" s="79"/>
      <c r="D634" s="79"/>
      <c r="J634" s="79"/>
      <c r="P634" s="79"/>
      <c r="Q634" s="79"/>
      <c r="T634" s="79"/>
      <c r="U634" s="79"/>
      <c r="X634" s="130"/>
      <c r="Z634" s="106"/>
    </row>
    <row r="635">
      <c r="C635" s="79"/>
      <c r="D635" s="79"/>
      <c r="J635" s="79"/>
      <c r="P635" s="79"/>
      <c r="Q635" s="79"/>
      <c r="T635" s="79"/>
      <c r="U635" s="79"/>
      <c r="X635" s="130"/>
      <c r="Z635" s="106"/>
    </row>
    <row r="636">
      <c r="C636" s="79"/>
      <c r="D636" s="79"/>
      <c r="J636" s="79"/>
      <c r="P636" s="79"/>
      <c r="Q636" s="79"/>
      <c r="T636" s="79"/>
      <c r="U636" s="79"/>
      <c r="X636" s="130"/>
      <c r="Z636" s="106"/>
    </row>
    <row r="637">
      <c r="C637" s="79"/>
      <c r="D637" s="79"/>
      <c r="J637" s="79"/>
      <c r="P637" s="79"/>
      <c r="Q637" s="79"/>
      <c r="T637" s="79"/>
      <c r="U637" s="79"/>
      <c r="X637" s="130"/>
      <c r="Z637" s="106"/>
    </row>
    <row r="638">
      <c r="C638" s="79"/>
      <c r="D638" s="79"/>
      <c r="J638" s="79"/>
      <c r="P638" s="79"/>
      <c r="Q638" s="79"/>
      <c r="T638" s="79"/>
      <c r="U638" s="79"/>
      <c r="X638" s="130"/>
      <c r="Z638" s="106"/>
    </row>
    <row r="639">
      <c r="C639" s="79"/>
      <c r="D639" s="79"/>
      <c r="J639" s="79"/>
      <c r="P639" s="79"/>
      <c r="Q639" s="79"/>
      <c r="T639" s="79"/>
      <c r="U639" s="79"/>
      <c r="X639" s="130"/>
      <c r="Z639" s="106"/>
    </row>
    <row r="640">
      <c r="C640" s="79"/>
      <c r="D640" s="79"/>
      <c r="J640" s="79"/>
      <c r="P640" s="79"/>
      <c r="Q640" s="79"/>
      <c r="T640" s="79"/>
      <c r="U640" s="79"/>
      <c r="X640" s="130"/>
      <c r="Z640" s="106"/>
    </row>
    <row r="641">
      <c r="C641" s="79"/>
      <c r="D641" s="79"/>
      <c r="J641" s="79"/>
      <c r="P641" s="79"/>
      <c r="Q641" s="79"/>
      <c r="T641" s="79"/>
      <c r="U641" s="79"/>
      <c r="X641" s="130"/>
      <c r="Z641" s="106"/>
    </row>
    <row r="642">
      <c r="C642" s="79"/>
      <c r="D642" s="79"/>
      <c r="J642" s="79"/>
      <c r="P642" s="79"/>
      <c r="Q642" s="79"/>
      <c r="T642" s="79"/>
      <c r="U642" s="79"/>
      <c r="X642" s="130"/>
      <c r="Z642" s="106"/>
    </row>
    <row r="643">
      <c r="C643" s="79"/>
      <c r="D643" s="79"/>
      <c r="J643" s="79"/>
      <c r="P643" s="79"/>
      <c r="Q643" s="79"/>
      <c r="T643" s="79"/>
      <c r="U643" s="79"/>
      <c r="X643" s="130"/>
      <c r="Z643" s="106"/>
    </row>
    <row r="644">
      <c r="C644" s="79"/>
      <c r="D644" s="79"/>
      <c r="J644" s="79"/>
      <c r="P644" s="79"/>
      <c r="Q644" s="79"/>
      <c r="T644" s="79"/>
      <c r="U644" s="79"/>
      <c r="X644" s="130"/>
      <c r="Z644" s="106"/>
    </row>
    <row r="645">
      <c r="C645" s="79"/>
      <c r="D645" s="79"/>
      <c r="J645" s="79"/>
      <c r="P645" s="79"/>
      <c r="Q645" s="79"/>
      <c r="T645" s="79"/>
      <c r="U645" s="79"/>
      <c r="X645" s="130"/>
      <c r="Z645" s="106"/>
    </row>
    <row r="646">
      <c r="C646" s="79"/>
      <c r="D646" s="79"/>
      <c r="J646" s="79"/>
      <c r="P646" s="79"/>
      <c r="Q646" s="79"/>
      <c r="T646" s="79"/>
      <c r="U646" s="79"/>
      <c r="X646" s="130"/>
      <c r="Z646" s="106"/>
    </row>
    <row r="647">
      <c r="C647" s="79"/>
      <c r="D647" s="79"/>
      <c r="J647" s="79"/>
      <c r="P647" s="79"/>
      <c r="Q647" s="79"/>
      <c r="T647" s="79"/>
      <c r="U647" s="79"/>
      <c r="X647" s="130"/>
      <c r="Z647" s="106"/>
    </row>
    <row r="648">
      <c r="C648" s="79"/>
      <c r="D648" s="79"/>
      <c r="J648" s="79"/>
      <c r="P648" s="79"/>
      <c r="Q648" s="79"/>
      <c r="T648" s="79"/>
      <c r="U648" s="79"/>
      <c r="X648" s="130"/>
      <c r="Z648" s="106"/>
    </row>
    <row r="649">
      <c r="C649" s="79"/>
      <c r="D649" s="79"/>
      <c r="J649" s="79"/>
      <c r="P649" s="79"/>
      <c r="Q649" s="79"/>
      <c r="T649" s="79"/>
      <c r="U649" s="79"/>
      <c r="X649" s="130"/>
      <c r="Z649" s="106"/>
    </row>
    <row r="650">
      <c r="C650" s="79"/>
      <c r="D650" s="79"/>
      <c r="J650" s="79"/>
      <c r="P650" s="79"/>
      <c r="Q650" s="79"/>
      <c r="T650" s="79"/>
      <c r="U650" s="79"/>
      <c r="X650" s="130"/>
      <c r="Z650" s="106"/>
    </row>
    <row r="651">
      <c r="C651" s="79"/>
      <c r="D651" s="79"/>
      <c r="J651" s="79"/>
      <c r="P651" s="79"/>
      <c r="Q651" s="79"/>
      <c r="T651" s="79"/>
      <c r="U651" s="79"/>
      <c r="X651" s="130"/>
      <c r="Z651" s="106"/>
    </row>
    <row r="652">
      <c r="C652" s="79"/>
      <c r="D652" s="79"/>
      <c r="J652" s="79"/>
      <c r="P652" s="79"/>
      <c r="Q652" s="79"/>
      <c r="T652" s="79"/>
      <c r="U652" s="79"/>
      <c r="X652" s="130"/>
      <c r="Z652" s="106"/>
    </row>
    <row r="653">
      <c r="C653" s="79"/>
      <c r="D653" s="79"/>
      <c r="J653" s="79"/>
      <c r="P653" s="79"/>
      <c r="Q653" s="79"/>
      <c r="T653" s="79"/>
      <c r="U653" s="79"/>
      <c r="X653" s="130"/>
      <c r="Z653" s="106"/>
    </row>
    <row r="654">
      <c r="C654" s="79"/>
      <c r="D654" s="79"/>
      <c r="J654" s="79"/>
      <c r="P654" s="79"/>
      <c r="Q654" s="79"/>
      <c r="T654" s="79"/>
      <c r="U654" s="79"/>
      <c r="X654" s="130"/>
      <c r="Z654" s="106"/>
    </row>
    <row r="655">
      <c r="C655" s="79"/>
      <c r="D655" s="79"/>
      <c r="J655" s="79"/>
      <c r="P655" s="79"/>
      <c r="Q655" s="79"/>
      <c r="T655" s="79"/>
      <c r="U655" s="79"/>
      <c r="X655" s="130"/>
      <c r="Z655" s="106"/>
    </row>
    <row r="656">
      <c r="C656" s="79"/>
      <c r="D656" s="79"/>
      <c r="J656" s="79"/>
      <c r="P656" s="79"/>
      <c r="Q656" s="79"/>
      <c r="T656" s="79"/>
      <c r="U656" s="79"/>
      <c r="X656" s="130"/>
      <c r="Z656" s="106"/>
    </row>
    <row r="657">
      <c r="C657" s="79"/>
      <c r="D657" s="79"/>
      <c r="J657" s="79"/>
      <c r="P657" s="79"/>
      <c r="Q657" s="79"/>
      <c r="T657" s="79"/>
      <c r="U657" s="79"/>
      <c r="X657" s="130"/>
      <c r="Z657" s="106"/>
    </row>
    <row r="658">
      <c r="C658" s="79"/>
      <c r="D658" s="79"/>
      <c r="J658" s="79"/>
      <c r="P658" s="79"/>
      <c r="Q658" s="79"/>
      <c r="T658" s="79"/>
      <c r="U658" s="79"/>
      <c r="X658" s="130"/>
      <c r="Z658" s="106"/>
    </row>
    <row r="659">
      <c r="C659" s="79"/>
      <c r="D659" s="79"/>
      <c r="J659" s="79"/>
      <c r="P659" s="79"/>
      <c r="Q659" s="79"/>
      <c r="T659" s="79"/>
      <c r="U659" s="79"/>
      <c r="X659" s="130"/>
      <c r="Z659" s="106"/>
    </row>
    <row r="660">
      <c r="C660" s="79"/>
      <c r="D660" s="79"/>
      <c r="J660" s="79"/>
      <c r="P660" s="79"/>
      <c r="Q660" s="79"/>
      <c r="T660" s="79"/>
      <c r="U660" s="79"/>
      <c r="X660" s="130"/>
      <c r="Z660" s="106"/>
    </row>
    <row r="661">
      <c r="C661" s="79"/>
      <c r="D661" s="79"/>
      <c r="J661" s="79"/>
      <c r="P661" s="79"/>
      <c r="Q661" s="79"/>
      <c r="T661" s="79"/>
      <c r="U661" s="79"/>
      <c r="X661" s="130"/>
      <c r="Z661" s="106"/>
    </row>
    <row r="662">
      <c r="C662" s="79"/>
      <c r="D662" s="79"/>
      <c r="J662" s="79"/>
      <c r="P662" s="79"/>
      <c r="Q662" s="79"/>
      <c r="T662" s="79"/>
      <c r="U662" s="79"/>
      <c r="X662" s="130"/>
      <c r="Z662" s="106"/>
    </row>
    <row r="663">
      <c r="C663" s="79"/>
      <c r="D663" s="79"/>
      <c r="J663" s="79"/>
      <c r="P663" s="79"/>
      <c r="Q663" s="79"/>
      <c r="T663" s="79"/>
      <c r="U663" s="79"/>
      <c r="X663" s="130"/>
      <c r="Z663" s="106"/>
    </row>
    <row r="664">
      <c r="C664" s="79"/>
      <c r="D664" s="79"/>
      <c r="J664" s="79"/>
      <c r="P664" s="79"/>
      <c r="Q664" s="79"/>
      <c r="T664" s="79"/>
      <c r="U664" s="79"/>
      <c r="X664" s="130"/>
      <c r="Z664" s="106"/>
    </row>
    <row r="665">
      <c r="C665" s="79"/>
      <c r="D665" s="79"/>
      <c r="J665" s="79"/>
      <c r="P665" s="79"/>
      <c r="Q665" s="79"/>
      <c r="T665" s="79"/>
      <c r="U665" s="79"/>
      <c r="X665" s="130"/>
      <c r="Z665" s="106"/>
    </row>
    <row r="666">
      <c r="C666" s="79"/>
      <c r="D666" s="79"/>
      <c r="J666" s="79"/>
      <c r="P666" s="79"/>
      <c r="Q666" s="79"/>
      <c r="T666" s="79"/>
      <c r="U666" s="79"/>
      <c r="X666" s="130"/>
      <c r="Z666" s="106"/>
    </row>
    <row r="667">
      <c r="C667" s="79"/>
      <c r="D667" s="79"/>
      <c r="J667" s="79"/>
      <c r="P667" s="79"/>
      <c r="Q667" s="79"/>
      <c r="T667" s="79"/>
      <c r="U667" s="79"/>
      <c r="X667" s="130"/>
      <c r="Z667" s="106"/>
    </row>
    <row r="668">
      <c r="C668" s="79"/>
      <c r="D668" s="79"/>
      <c r="J668" s="79"/>
      <c r="P668" s="79"/>
      <c r="Q668" s="79"/>
      <c r="T668" s="79"/>
      <c r="U668" s="79"/>
      <c r="X668" s="130"/>
      <c r="Z668" s="106"/>
    </row>
    <row r="669">
      <c r="C669" s="79"/>
      <c r="D669" s="79"/>
      <c r="J669" s="79"/>
      <c r="P669" s="79"/>
      <c r="Q669" s="79"/>
      <c r="T669" s="79"/>
      <c r="U669" s="79"/>
      <c r="X669" s="130"/>
      <c r="Z669" s="106"/>
    </row>
    <row r="670">
      <c r="C670" s="79"/>
      <c r="D670" s="79"/>
      <c r="J670" s="79"/>
      <c r="P670" s="79"/>
      <c r="Q670" s="79"/>
      <c r="T670" s="79"/>
      <c r="U670" s="79"/>
      <c r="X670" s="130"/>
      <c r="Z670" s="106"/>
    </row>
    <row r="671">
      <c r="C671" s="79"/>
      <c r="D671" s="79"/>
      <c r="J671" s="79"/>
      <c r="P671" s="79"/>
      <c r="Q671" s="79"/>
      <c r="T671" s="79"/>
      <c r="U671" s="79"/>
      <c r="X671" s="130"/>
      <c r="Z671" s="106"/>
    </row>
    <row r="672">
      <c r="C672" s="79"/>
      <c r="D672" s="79"/>
      <c r="J672" s="79"/>
      <c r="P672" s="79"/>
      <c r="Q672" s="79"/>
      <c r="T672" s="79"/>
      <c r="U672" s="79"/>
      <c r="X672" s="130"/>
      <c r="Z672" s="106"/>
    </row>
    <row r="673">
      <c r="C673" s="79"/>
      <c r="D673" s="79"/>
      <c r="J673" s="79"/>
      <c r="P673" s="79"/>
      <c r="Q673" s="79"/>
      <c r="T673" s="79"/>
      <c r="U673" s="79"/>
      <c r="X673" s="130"/>
      <c r="Z673" s="106"/>
    </row>
    <row r="674">
      <c r="C674" s="79"/>
      <c r="D674" s="79"/>
      <c r="J674" s="79"/>
      <c r="P674" s="79"/>
      <c r="Q674" s="79"/>
      <c r="T674" s="79"/>
      <c r="U674" s="79"/>
      <c r="X674" s="130"/>
      <c r="Z674" s="106"/>
    </row>
    <row r="675">
      <c r="C675" s="79"/>
      <c r="D675" s="79"/>
      <c r="J675" s="79"/>
      <c r="P675" s="79"/>
      <c r="Q675" s="79"/>
      <c r="T675" s="79"/>
      <c r="U675" s="79"/>
      <c r="X675" s="130"/>
      <c r="Z675" s="106"/>
    </row>
    <row r="676">
      <c r="C676" s="79"/>
      <c r="D676" s="79"/>
      <c r="J676" s="79"/>
      <c r="P676" s="79"/>
      <c r="Q676" s="79"/>
      <c r="T676" s="79"/>
      <c r="U676" s="79"/>
      <c r="X676" s="130"/>
      <c r="Z676" s="106"/>
    </row>
    <row r="677">
      <c r="C677" s="79"/>
      <c r="D677" s="79"/>
      <c r="J677" s="79"/>
      <c r="P677" s="79"/>
      <c r="Q677" s="79"/>
      <c r="T677" s="79"/>
      <c r="U677" s="79"/>
      <c r="X677" s="130"/>
      <c r="Z677" s="106"/>
    </row>
    <row r="678">
      <c r="C678" s="79"/>
      <c r="D678" s="79"/>
      <c r="J678" s="79"/>
      <c r="P678" s="79"/>
      <c r="Q678" s="79"/>
      <c r="T678" s="79"/>
      <c r="U678" s="79"/>
      <c r="X678" s="130"/>
      <c r="Z678" s="106"/>
    </row>
    <row r="679">
      <c r="C679" s="79"/>
      <c r="D679" s="79"/>
      <c r="J679" s="79"/>
      <c r="P679" s="79"/>
      <c r="Q679" s="79"/>
      <c r="T679" s="79"/>
      <c r="U679" s="79"/>
      <c r="X679" s="130"/>
      <c r="Z679" s="106"/>
    </row>
    <row r="680">
      <c r="C680" s="79"/>
      <c r="D680" s="79"/>
      <c r="J680" s="79"/>
      <c r="P680" s="79"/>
      <c r="Q680" s="79"/>
      <c r="T680" s="79"/>
      <c r="U680" s="79"/>
      <c r="X680" s="130"/>
      <c r="Z680" s="106"/>
    </row>
    <row r="681">
      <c r="C681" s="79"/>
      <c r="D681" s="79"/>
      <c r="J681" s="79"/>
      <c r="P681" s="79"/>
      <c r="Q681" s="79"/>
      <c r="T681" s="79"/>
      <c r="U681" s="79"/>
      <c r="X681" s="130"/>
      <c r="Z681" s="106"/>
    </row>
    <row r="682">
      <c r="C682" s="79"/>
      <c r="D682" s="79"/>
      <c r="J682" s="79"/>
      <c r="P682" s="79"/>
      <c r="Q682" s="79"/>
      <c r="T682" s="79"/>
      <c r="U682" s="79"/>
      <c r="X682" s="130"/>
      <c r="Z682" s="106"/>
    </row>
    <row r="683">
      <c r="C683" s="79"/>
      <c r="D683" s="79"/>
      <c r="J683" s="79"/>
      <c r="P683" s="79"/>
      <c r="Q683" s="79"/>
      <c r="T683" s="79"/>
      <c r="U683" s="79"/>
      <c r="X683" s="130"/>
      <c r="Z683" s="106"/>
    </row>
    <row r="684">
      <c r="C684" s="79"/>
      <c r="D684" s="79"/>
      <c r="J684" s="79"/>
      <c r="P684" s="79"/>
      <c r="Q684" s="79"/>
      <c r="T684" s="79"/>
      <c r="U684" s="79"/>
      <c r="X684" s="130"/>
      <c r="Z684" s="106"/>
    </row>
    <row r="685">
      <c r="C685" s="79"/>
      <c r="D685" s="79"/>
      <c r="J685" s="79"/>
      <c r="P685" s="79"/>
      <c r="Q685" s="79"/>
      <c r="T685" s="79"/>
      <c r="U685" s="79"/>
      <c r="X685" s="130"/>
      <c r="Z685" s="106"/>
    </row>
    <row r="686">
      <c r="C686" s="79"/>
      <c r="D686" s="79"/>
      <c r="J686" s="79"/>
      <c r="P686" s="79"/>
      <c r="Q686" s="79"/>
      <c r="T686" s="79"/>
      <c r="U686" s="79"/>
      <c r="X686" s="130"/>
      <c r="Z686" s="106"/>
    </row>
    <row r="687">
      <c r="C687" s="79"/>
      <c r="D687" s="79"/>
      <c r="J687" s="79"/>
      <c r="P687" s="79"/>
      <c r="Q687" s="79"/>
      <c r="T687" s="79"/>
      <c r="U687" s="79"/>
      <c r="X687" s="130"/>
      <c r="Z687" s="106"/>
    </row>
    <row r="688">
      <c r="C688" s="79"/>
      <c r="D688" s="79"/>
      <c r="J688" s="79"/>
      <c r="P688" s="79"/>
      <c r="Q688" s="79"/>
      <c r="T688" s="79"/>
      <c r="U688" s="79"/>
      <c r="X688" s="130"/>
      <c r="Z688" s="106"/>
    </row>
    <row r="689">
      <c r="C689" s="79"/>
      <c r="D689" s="79"/>
      <c r="J689" s="79"/>
      <c r="P689" s="79"/>
      <c r="Q689" s="79"/>
      <c r="T689" s="79"/>
      <c r="U689" s="79"/>
      <c r="X689" s="130"/>
      <c r="Z689" s="106"/>
    </row>
    <row r="690">
      <c r="C690" s="79"/>
      <c r="D690" s="79"/>
      <c r="J690" s="79"/>
      <c r="P690" s="79"/>
      <c r="Q690" s="79"/>
      <c r="T690" s="79"/>
      <c r="U690" s="79"/>
      <c r="X690" s="130"/>
      <c r="Z690" s="106"/>
    </row>
    <row r="691">
      <c r="C691" s="79"/>
      <c r="D691" s="79"/>
      <c r="J691" s="79"/>
      <c r="P691" s="79"/>
      <c r="Q691" s="79"/>
      <c r="T691" s="79"/>
      <c r="U691" s="79"/>
      <c r="X691" s="130"/>
      <c r="Z691" s="106"/>
    </row>
    <row r="692">
      <c r="C692" s="79"/>
      <c r="D692" s="79"/>
      <c r="J692" s="79"/>
      <c r="P692" s="79"/>
      <c r="Q692" s="79"/>
      <c r="T692" s="79"/>
      <c r="U692" s="79"/>
      <c r="X692" s="130"/>
      <c r="Z692" s="106"/>
    </row>
    <row r="693">
      <c r="C693" s="79"/>
      <c r="D693" s="79"/>
      <c r="J693" s="79"/>
      <c r="P693" s="79"/>
      <c r="Q693" s="79"/>
      <c r="T693" s="79"/>
      <c r="U693" s="79"/>
      <c r="X693" s="130"/>
      <c r="Z693" s="106"/>
    </row>
    <row r="694">
      <c r="C694" s="79"/>
      <c r="D694" s="79"/>
      <c r="J694" s="79"/>
      <c r="P694" s="79"/>
      <c r="Q694" s="79"/>
      <c r="T694" s="79"/>
      <c r="U694" s="79"/>
      <c r="X694" s="130"/>
      <c r="Z694" s="106"/>
    </row>
    <row r="695">
      <c r="C695" s="79"/>
      <c r="D695" s="79"/>
      <c r="J695" s="79"/>
      <c r="P695" s="79"/>
      <c r="Q695" s="79"/>
      <c r="T695" s="79"/>
      <c r="U695" s="79"/>
      <c r="X695" s="130"/>
      <c r="Z695" s="106"/>
    </row>
    <row r="696">
      <c r="C696" s="79"/>
      <c r="D696" s="79"/>
      <c r="J696" s="79"/>
      <c r="P696" s="79"/>
      <c r="Q696" s="79"/>
      <c r="T696" s="79"/>
      <c r="U696" s="79"/>
      <c r="X696" s="130"/>
      <c r="Z696" s="106"/>
    </row>
    <row r="697">
      <c r="C697" s="79"/>
      <c r="D697" s="79"/>
      <c r="J697" s="79"/>
      <c r="P697" s="79"/>
      <c r="Q697" s="79"/>
      <c r="T697" s="79"/>
      <c r="U697" s="79"/>
      <c r="X697" s="130"/>
      <c r="Z697" s="106"/>
    </row>
    <row r="698">
      <c r="C698" s="79"/>
      <c r="D698" s="79"/>
      <c r="J698" s="79"/>
      <c r="P698" s="79"/>
      <c r="Q698" s="79"/>
      <c r="T698" s="79"/>
      <c r="U698" s="79"/>
      <c r="X698" s="130"/>
      <c r="Z698" s="106"/>
    </row>
    <row r="699">
      <c r="C699" s="79"/>
      <c r="D699" s="79"/>
      <c r="J699" s="79"/>
      <c r="P699" s="79"/>
      <c r="Q699" s="79"/>
      <c r="T699" s="79"/>
      <c r="U699" s="79"/>
      <c r="X699" s="130"/>
      <c r="Z699" s="106"/>
    </row>
    <row r="700">
      <c r="C700" s="79"/>
      <c r="D700" s="79"/>
      <c r="J700" s="79"/>
      <c r="P700" s="79"/>
      <c r="Q700" s="79"/>
      <c r="T700" s="79"/>
      <c r="U700" s="79"/>
      <c r="X700" s="130"/>
      <c r="Z700" s="106"/>
    </row>
    <row r="701">
      <c r="C701" s="79"/>
      <c r="D701" s="79"/>
      <c r="J701" s="79"/>
      <c r="P701" s="79"/>
      <c r="Q701" s="79"/>
      <c r="T701" s="79"/>
      <c r="U701" s="79"/>
      <c r="X701" s="130"/>
      <c r="Z701" s="106"/>
    </row>
    <row r="702">
      <c r="C702" s="79"/>
      <c r="D702" s="79"/>
      <c r="J702" s="79"/>
      <c r="P702" s="79"/>
      <c r="Q702" s="79"/>
      <c r="T702" s="79"/>
      <c r="U702" s="79"/>
      <c r="X702" s="130"/>
      <c r="Z702" s="106"/>
    </row>
    <row r="703">
      <c r="C703" s="79"/>
      <c r="D703" s="79"/>
      <c r="J703" s="79"/>
      <c r="P703" s="79"/>
      <c r="Q703" s="79"/>
      <c r="T703" s="79"/>
      <c r="U703" s="79"/>
      <c r="X703" s="130"/>
      <c r="Z703" s="106"/>
    </row>
    <row r="704">
      <c r="C704" s="79"/>
      <c r="D704" s="79"/>
      <c r="J704" s="79"/>
      <c r="P704" s="79"/>
      <c r="Q704" s="79"/>
      <c r="T704" s="79"/>
      <c r="U704" s="79"/>
      <c r="X704" s="130"/>
      <c r="Z704" s="106"/>
    </row>
    <row r="705">
      <c r="C705" s="79"/>
      <c r="D705" s="79"/>
      <c r="J705" s="79"/>
      <c r="P705" s="79"/>
      <c r="Q705" s="79"/>
      <c r="T705" s="79"/>
      <c r="U705" s="79"/>
      <c r="X705" s="130"/>
      <c r="Z705" s="106"/>
    </row>
    <row r="706">
      <c r="C706" s="79"/>
      <c r="D706" s="79"/>
      <c r="J706" s="79"/>
      <c r="P706" s="79"/>
      <c r="Q706" s="79"/>
      <c r="T706" s="79"/>
      <c r="U706" s="79"/>
      <c r="X706" s="130"/>
      <c r="Z706" s="106"/>
    </row>
    <row r="707">
      <c r="C707" s="79"/>
      <c r="D707" s="79"/>
      <c r="J707" s="79"/>
      <c r="P707" s="79"/>
      <c r="Q707" s="79"/>
      <c r="T707" s="79"/>
      <c r="U707" s="79"/>
      <c r="X707" s="130"/>
      <c r="Z707" s="106"/>
    </row>
    <row r="708">
      <c r="C708" s="79"/>
      <c r="D708" s="79"/>
      <c r="J708" s="79"/>
      <c r="P708" s="79"/>
      <c r="Q708" s="79"/>
      <c r="T708" s="79"/>
      <c r="U708" s="79"/>
      <c r="X708" s="130"/>
      <c r="Z708" s="106"/>
    </row>
    <row r="709">
      <c r="C709" s="79"/>
      <c r="D709" s="79"/>
      <c r="J709" s="79"/>
      <c r="P709" s="79"/>
      <c r="Q709" s="79"/>
      <c r="T709" s="79"/>
      <c r="U709" s="79"/>
      <c r="X709" s="130"/>
      <c r="Z709" s="106"/>
    </row>
    <row r="710">
      <c r="C710" s="79"/>
      <c r="D710" s="79"/>
      <c r="J710" s="79"/>
      <c r="P710" s="79"/>
      <c r="Q710" s="79"/>
      <c r="T710" s="79"/>
      <c r="U710" s="79"/>
      <c r="X710" s="130"/>
      <c r="Z710" s="106"/>
    </row>
    <row r="711">
      <c r="C711" s="79"/>
      <c r="D711" s="79"/>
      <c r="J711" s="79"/>
      <c r="P711" s="79"/>
      <c r="Q711" s="79"/>
      <c r="T711" s="79"/>
      <c r="U711" s="79"/>
      <c r="X711" s="130"/>
      <c r="Z711" s="106"/>
    </row>
    <row r="712">
      <c r="C712" s="79"/>
      <c r="D712" s="79"/>
      <c r="J712" s="79"/>
      <c r="P712" s="79"/>
      <c r="Q712" s="79"/>
      <c r="T712" s="79"/>
      <c r="U712" s="79"/>
      <c r="X712" s="130"/>
      <c r="Z712" s="106"/>
    </row>
    <row r="713">
      <c r="C713" s="79"/>
      <c r="D713" s="79"/>
      <c r="J713" s="79"/>
      <c r="P713" s="79"/>
      <c r="Q713" s="79"/>
      <c r="T713" s="79"/>
      <c r="U713" s="79"/>
      <c r="X713" s="130"/>
      <c r="Z713" s="106"/>
    </row>
    <row r="714">
      <c r="C714" s="79"/>
      <c r="D714" s="79"/>
      <c r="J714" s="79"/>
      <c r="P714" s="79"/>
      <c r="Q714" s="79"/>
      <c r="T714" s="79"/>
      <c r="U714" s="79"/>
      <c r="X714" s="130"/>
      <c r="Z714" s="106"/>
    </row>
    <row r="715">
      <c r="C715" s="79"/>
      <c r="D715" s="79"/>
      <c r="J715" s="79"/>
      <c r="P715" s="79"/>
      <c r="Q715" s="79"/>
      <c r="T715" s="79"/>
      <c r="U715" s="79"/>
      <c r="X715" s="130"/>
      <c r="Z715" s="106"/>
    </row>
    <row r="716">
      <c r="C716" s="79"/>
      <c r="D716" s="79"/>
      <c r="J716" s="79"/>
      <c r="P716" s="79"/>
      <c r="Q716" s="79"/>
      <c r="T716" s="79"/>
      <c r="U716" s="79"/>
      <c r="X716" s="130"/>
      <c r="Z716" s="106"/>
    </row>
    <row r="717">
      <c r="C717" s="79"/>
      <c r="D717" s="79"/>
      <c r="J717" s="79"/>
      <c r="P717" s="79"/>
      <c r="Q717" s="79"/>
      <c r="T717" s="79"/>
      <c r="U717" s="79"/>
      <c r="X717" s="130"/>
      <c r="Z717" s="106"/>
    </row>
    <row r="718">
      <c r="C718" s="79"/>
      <c r="D718" s="79"/>
      <c r="J718" s="79"/>
      <c r="P718" s="79"/>
      <c r="Q718" s="79"/>
      <c r="T718" s="79"/>
      <c r="U718" s="79"/>
      <c r="X718" s="130"/>
      <c r="Z718" s="106"/>
    </row>
    <row r="719">
      <c r="C719" s="79"/>
      <c r="D719" s="79"/>
      <c r="J719" s="79"/>
      <c r="P719" s="79"/>
      <c r="Q719" s="79"/>
      <c r="T719" s="79"/>
      <c r="U719" s="79"/>
      <c r="X719" s="130"/>
      <c r="Z719" s="106"/>
    </row>
    <row r="720">
      <c r="C720" s="79"/>
      <c r="D720" s="79"/>
      <c r="J720" s="79"/>
      <c r="P720" s="79"/>
      <c r="Q720" s="79"/>
      <c r="T720" s="79"/>
      <c r="U720" s="79"/>
      <c r="X720" s="130"/>
      <c r="Z720" s="106"/>
    </row>
    <row r="721">
      <c r="C721" s="79"/>
      <c r="D721" s="79"/>
      <c r="J721" s="79"/>
      <c r="P721" s="79"/>
      <c r="Q721" s="79"/>
      <c r="T721" s="79"/>
      <c r="U721" s="79"/>
      <c r="X721" s="130"/>
      <c r="Z721" s="106"/>
    </row>
    <row r="722">
      <c r="C722" s="79"/>
      <c r="D722" s="79"/>
      <c r="J722" s="79"/>
      <c r="P722" s="79"/>
      <c r="Q722" s="79"/>
      <c r="T722" s="79"/>
      <c r="U722" s="79"/>
      <c r="X722" s="130"/>
      <c r="Z722" s="106"/>
    </row>
    <row r="723">
      <c r="C723" s="79"/>
      <c r="D723" s="79"/>
      <c r="J723" s="79"/>
      <c r="P723" s="79"/>
      <c r="Q723" s="79"/>
      <c r="T723" s="79"/>
      <c r="U723" s="79"/>
      <c r="X723" s="130"/>
      <c r="Z723" s="106"/>
    </row>
    <row r="724">
      <c r="C724" s="79"/>
      <c r="D724" s="79"/>
      <c r="J724" s="79"/>
      <c r="P724" s="79"/>
      <c r="Q724" s="79"/>
      <c r="T724" s="79"/>
      <c r="U724" s="79"/>
      <c r="X724" s="130"/>
      <c r="Z724" s="106"/>
    </row>
    <row r="725">
      <c r="C725" s="79"/>
      <c r="D725" s="79"/>
      <c r="J725" s="79"/>
      <c r="P725" s="79"/>
      <c r="Q725" s="79"/>
      <c r="T725" s="79"/>
      <c r="U725" s="79"/>
      <c r="X725" s="130"/>
      <c r="Z725" s="106"/>
    </row>
    <row r="726">
      <c r="C726" s="79"/>
      <c r="D726" s="79"/>
      <c r="J726" s="79"/>
      <c r="P726" s="79"/>
      <c r="Q726" s="79"/>
      <c r="T726" s="79"/>
      <c r="U726" s="79"/>
      <c r="X726" s="130"/>
      <c r="Z726" s="106"/>
    </row>
    <row r="727">
      <c r="C727" s="79"/>
      <c r="D727" s="79"/>
      <c r="J727" s="79"/>
      <c r="P727" s="79"/>
      <c r="Q727" s="79"/>
      <c r="T727" s="79"/>
      <c r="U727" s="79"/>
      <c r="X727" s="130"/>
      <c r="Z727" s="106"/>
    </row>
    <row r="728">
      <c r="C728" s="79"/>
      <c r="D728" s="79"/>
      <c r="J728" s="79"/>
      <c r="P728" s="79"/>
      <c r="Q728" s="79"/>
      <c r="T728" s="79"/>
      <c r="U728" s="79"/>
      <c r="X728" s="130"/>
      <c r="Z728" s="106"/>
    </row>
    <row r="729">
      <c r="C729" s="79"/>
      <c r="D729" s="79"/>
      <c r="J729" s="79"/>
      <c r="P729" s="79"/>
      <c r="Q729" s="79"/>
      <c r="T729" s="79"/>
      <c r="U729" s="79"/>
      <c r="X729" s="130"/>
      <c r="Z729" s="106"/>
    </row>
    <row r="730">
      <c r="C730" s="79"/>
      <c r="D730" s="79"/>
      <c r="J730" s="79"/>
      <c r="P730" s="79"/>
      <c r="Q730" s="79"/>
      <c r="T730" s="79"/>
      <c r="U730" s="79"/>
      <c r="X730" s="130"/>
      <c r="Z730" s="106"/>
    </row>
    <row r="731">
      <c r="C731" s="79"/>
      <c r="D731" s="79"/>
      <c r="J731" s="79"/>
      <c r="P731" s="79"/>
      <c r="Q731" s="79"/>
      <c r="T731" s="79"/>
      <c r="U731" s="79"/>
      <c r="X731" s="130"/>
      <c r="Z731" s="106"/>
    </row>
    <row r="732">
      <c r="C732" s="79"/>
      <c r="D732" s="79"/>
      <c r="J732" s="79"/>
      <c r="P732" s="79"/>
      <c r="Q732" s="79"/>
      <c r="T732" s="79"/>
      <c r="U732" s="79"/>
      <c r="X732" s="130"/>
      <c r="Z732" s="106"/>
    </row>
    <row r="733">
      <c r="C733" s="79"/>
      <c r="D733" s="79"/>
      <c r="J733" s="79"/>
      <c r="P733" s="79"/>
      <c r="Q733" s="79"/>
      <c r="T733" s="79"/>
      <c r="U733" s="79"/>
      <c r="X733" s="130"/>
      <c r="Z733" s="106"/>
    </row>
    <row r="734">
      <c r="C734" s="79"/>
      <c r="D734" s="79"/>
      <c r="J734" s="79"/>
      <c r="P734" s="79"/>
      <c r="Q734" s="79"/>
      <c r="T734" s="79"/>
      <c r="U734" s="79"/>
      <c r="X734" s="130"/>
      <c r="Z734" s="106"/>
    </row>
    <row r="735">
      <c r="C735" s="79"/>
      <c r="D735" s="79"/>
      <c r="J735" s="79"/>
      <c r="P735" s="79"/>
      <c r="Q735" s="79"/>
      <c r="T735" s="79"/>
      <c r="U735" s="79"/>
      <c r="X735" s="130"/>
      <c r="Z735" s="106"/>
    </row>
    <row r="736">
      <c r="C736" s="79"/>
      <c r="D736" s="79"/>
      <c r="J736" s="79"/>
      <c r="P736" s="79"/>
      <c r="Q736" s="79"/>
      <c r="T736" s="79"/>
      <c r="U736" s="79"/>
      <c r="X736" s="130"/>
      <c r="Z736" s="106"/>
    </row>
    <row r="737">
      <c r="C737" s="79"/>
      <c r="D737" s="79"/>
      <c r="J737" s="79"/>
      <c r="P737" s="79"/>
      <c r="Q737" s="79"/>
      <c r="T737" s="79"/>
      <c r="U737" s="79"/>
      <c r="X737" s="130"/>
      <c r="Z737" s="106"/>
    </row>
    <row r="738">
      <c r="C738" s="79"/>
      <c r="D738" s="79"/>
      <c r="J738" s="79"/>
      <c r="P738" s="79"/>
      <c r="Q738" s="79"/>
      <c r="T738" s="79"/>
      <c r="U738" s="79"/>
      <c r="X738" s="130"/>
      <c r="Z738" s="106"/>
    </row>
    <row r="739">
      <c r="C739" s="79"/>
      <c r="D739" s="79"/>
      <c r="J739" s="79"/>
      <c r="P739" s="79"/>
      <c r="Q739" s="79"/>
      <c r="T739" s="79"/>
      <c r="U739" s="79"/>
      <c r="X739" s="130"/>
      <c r="Z739" s="106"/>
    </row>
    <row r="740">
      <c r="C740" s="79"/>
      <c r="D740" s="79"/>
      <c r="J740" s="79"/>
      <c r="P740" s="79"/>
      <c r="Q740" s="79"/>
      <c r="T740" s="79"/>
      <c r="U740" s="79"/>
      <c r="X740" s="130"/>
      <c r="Z740" s="106"/>
    </row>
    <row r="741">
      <c r="C741" s="79"/>
      <c r="D741" s="79"/>
      <c r="J741" s="79"/>
      <c r="P741" s="79"/>
      <c r="Q741" s="79"/>
      <c r="T741" s="79"/>
      <c r="U741" s="79"/>
      <c r="X741" s="130"/>
      <c r="Z741" s="106"/>
    </row>
    <row r="742">
      <c r="C742" s="79"/>
      <c r="D742" s="79"/>
      <c r="J742" s="79"/>
      <c r="P742" s="79"/>
      <c r="Q742" s="79"/>
      <c r="T742" s="79"/>
      <c r="U742" s="79"/>
      <c r="X742" s="130"/>
      <c r="Z742" s="106"/>
    </row>
    <row r="743">
      <c r="C743" s="79"/>
      <c r="D743" s="79"/>
      <c r="J743" s="79"/>
      <c r="P743" s="79"/>
      <c r="Q743" s="79"/>
      <c r="T743" s="79"/>
      <c r="U743" s="79"/>
      <c r="X743" s="130"/>
      <c r="Z743" s="106"/>
    </row>
    <row r="744">
      <c r="C744" s="79"/>
      <c r="D744" s="79"/>
      <c r="J744" s="79"/>
      <c r="P744" s="79"/>
      <c r="Q744" s="79"/>
      <c r="T744" s="79"/>
      <c r="U744" s="79"/>
      <c r="X744" s="130"/>
      <c r="Z744" s="106"/>
    </row>
    <row r="745">
      <c r="C745" s="79"/>
      <c r="D745" s="79"/>
      <c r="J745" s="79"/>
      <c r="P745" s="79"/>
      <c r="Q745" s="79"/>
      <c r="T745" s="79"/>
      <c r="U745" s="79"/>
      <c r="X745" s="130"/>
      <c r="Z745" s="106"/>
    </row>
    <row r="746">
      <c r="C746" s="79"/>
      <c r="D746" s="79"/>
      <c r="J746" s="79"/>
      <c r="P746" s="79"/>
      <c r="Q746" s="79"/>
      <c r="T746" s="79"/>
      <c r="U746" s="79"/>
      <c r="X746" s="130"/>
      <c r="Z746" s="106"/>
    </row>
    <row r="747">
      <c r="C747" s="79"/>
      <c r="D747" s="79"/>
      <c r="J747" s="79"/>
      <c r="P747" s="79"/>
      <c r="Q747" s="79"/>
      <c r="T747" s="79"/>
      <c r="U747" s="79"/>
      <c r="X747" s="130"/>
      <c r="Z747" s="106"/>
    </row>
    <row r="748">
      <c r="C748" s="79"/>
      <c r="D748" s="79"/>
      <c r="J748" s="79"/>
      <c r="P748" s="79"/>
      <c r="Q748" s="79"/>
      <c r="T748" s="79"/>
      <c r="U748" s="79"/>
      <c r="X748" s="130"/>
      <c r="Z748" s="106"/>
    </row>
    <row r="749">
      <c r="C749" s="79"/>
      <c r="D749" s="79"/>
      <c r="J749" s="79"/>
      <c r="P749" s="79"/>
      <c r="Q749" s="79"/>
      <c r="T749" s="79"/>
      <c r="U749" s="79"/>
      <c r="X749" s="130"/>
      <c r="Z749" s="106"/>
    </row>
    <row r="750">
      <c r="C750" s="79"/>
      <c r="D750" s="79"/>
      <c r="J750" s="79"/>
      <c r="P750" s="79"/>
      <c r="Q750" s="79"/>
      <c r="T750" s="79"/>
      <c r="U750" s="79"/>
      <c r="X750" s="130"/>
      <c r="Z750" s="106"/>
    </row>
    <row r="751">
      <c r="C751" s="79"/>
      <c r="D751" s="79"/>
      <c r="J751" s="79"/>
      <c r="P751" s="79"/>
      <c r="Q751" s="79"/>
      <c r="T751" s="79"/>
      <c r="U751" s="79"/>
      <c r="X751" s="130"/>
      <c r="Z751" s="106"/>
    </row>
    <row r="752">
      <c r="C752" s="79"/>
      <c r="D752" s="79"/>
      <c r="J752" s="79"/>
      <c r="P752" s="79"/>
      <c r="Q752" s="79"/>
      <c r="T752" s="79"/>
      <c r="U752" s="79"/>
      <c r="X752" s="130"/>
      <c r="Z752" s="106"/>
    </row>
    <row r="753">
      <c r="C753" s="79"/>
      <c r="D753" s="79"/>
      <c r="J753" s="79"/>
      <c r="P753" s="79"/>
      <c r="Q753" s="79"/>
      <c r="T753" s="79"/>
      <c r="U753" s="79"/>
      <c r="X753" s="130"/>
      <c r="Z753" s="106"/>
    </row>
    <row r="754">
      <c r="C754" s="79"/>
      <c r="D754" s="79"/>
      <c r="J754" s="79"/>
      <c r="P754" s="79"/>
      <c r="Q754" s="79"/>
      <c r="T754" s="79"/>
      <c r="U754" s="79"/>
      <c r="X754" s="130"/>
      <c r="Z754" s="106"/>
    </row>
    <row r="755">
      <c r="C755" s="79"/>
      <c r="D755" s="79"/>
      <c r="J755" s="79"/>
      <c r="P755" s="79"/>
      <c r="Q755" s="79"/>
      <c r="T755" s="79"/>
      <c r="U755" s="79"/>
      <c r="X755" s="130"/>
      <c r="Z755" s="106"/>
    </row>
    <row r="756">
      <c r="C756" s="79"/>
      <c r="D756" s="79"/>
      <c r="J756" s="79"/>
      <c r="P756" s="79"/>
      <c r="Q756" s="79"/>
      <c r="T756" s="79"/>
      <c r="U756" s="79"/>
      <c r="X756" s="130"/>
      <c r="Z756" s="106"/>
    </row>
    <row r="757">
      <c r="C757" s="79"/>
      <c r="D757" s="79"/>
      <c r="J757" s="79"/>
      <c r="P757" s="79"/>
      <c r="Q757" s="79"/>
      <c r="T757" s="79"/>
      <c r="U757" s="79"/>
      <c r="X757" s="130"/>
      <c r="Z757" s="106"/>
    </row>
    <row r="758">
      <c r="C758" s="79"/>
      <c r="D758" s="79"/>
      <c r="J758" s="79"/>
      <c r="P758" s="79"/>
      <c r="Q758" s="79"/>
      <c r="T758" s="79"/>
      <c r="U758" s="79"/>
      <c r="X758" s="130"/>
      <c r="Z758" s="106"/>
    </row>
    <row r="759">
      <c r="C759" s="79"/>
      <c r="D759" s="79"/>
      <c r="J759" s="79"/>
      <c r="P759" s="79"/>
      <c r="Q759" s="79"/>
      <c r="T759" s="79"/>
      <c r="U759" s="79"/>
      <c r="X759" s="130"/>
      <c r="Z759" s="106"/>
    </row>
    <row r="760">
      <c r="C760" s="79"/>
      <c r="D760" s="79"/>
      <c r="J760" s="79"/>
      <c r="P760" s="79"/>
      <c r="Q760" s="79"/>
      <c r="T760" s="79"/>
      <c r="U760" s="79"/>
      <c r="X760" s="130"/>
      <c r="Z760" s="106"/>
    </row>
    <row r="761">
      <c r="C761" s="79"/>
      <c r="D761" s="79"/>
      <c r="J761" s="79"/>
      <c r="P761" s="79"/>
      <c r="Q761" s="79"/>
      <c r="T761" s="79"/>
      <c r="U761" s="79"/>
      <c r="X761" s="130"/>
      <c r="Z761" s="106"/>
    </row>
    <row r="762">
      <c r="C762" s="79"/>
      <c r="D762" s="79"/>
      <c r="J762" s="79"/>
      <c r="P762" s="79"/>
      <c r="Q762" s="79"/>
      <c r="T762" s="79"/>
      <c r="U762" s="79"/>
      <c r="X762" s="130"/>
      <c r="Z762" s="106"/>
    </row>
    <row r="763">
      <c r="C763" s="79"/>
      <c r="D763" s="79"/>
      <c r="J763" s="79"/>
      <c r="P763" s="79"/>
      <c r="Q763" s="79"/>
      <c r="T763" s="79"/>
      <c r="U763" s="79"/>
      <c r="X763" s="130"/>
      <c r="Z763" s="106"/>
    </row>
    <row r="764">
      <c r="C764" s="79"/>
      <c r="D764" s="79"/>
      <c r="J764" s="79"/>
      <c r="P764" s="79"/>
      <c r="Q764" s="79"/>
      <c r="T764" s="79"/>
      <c r="U764" s="79"/>
      <c r="X764" s="130"/>
      <c r="Z764" s="106"/>
    </row>
    <row r="765">
      <c r="C765" s="79"/>
      <c r="D765" s="79"/>
      <c r="J765" s="79"/>
      <c r="P765" s="79"/>
      <c r="Q765" s="79"/>
      <c r="T765" s="79"/>
      <c r="U765" s="79"/>
      <c r="X765" s="130"/>
      <c r="Z765" s="106"/>
    </row>
    <row r="766">
      <c r="C766" s="79"/>
      <c r="D766" s="79"/>
      <c r="J766" s="79"/>
      <c r="P766" s="79"/>
      <c r="Q766" s="79"/>
      <c r="T766" s="79"/>
      <c r="U766" s="79"/>
      <c r="X766" s="130"/>
      <c r="Z766" s="106"/>
    </row>
    <row r="767">
      <c r="C767" s="79"/>
      <c r="D767" s="79"/>
      <c r="J767" s="79"/>
      <c r="P767" s="79"/>
      <c r="Q767" s="79"/>
      <c r="T767" s="79"/>
      <c r="U767" s="79"/>
      <c r="X767" s="130"/>
      <c r="Z767" s="106"/>
    </row>
    <row r="768">
      <c r="C768" s="79"/>
      <c r="D768" s="79"/>
      <c r="J768" s="79"/>
      <c r="P768" s="79"/>
      <c r="Q768" s="79"/>
      <c r="T768" s="79"/>
      <c r="U768" s="79"/>
      <c r="X768" s="130"/>
      <c r="Z768" s="106"/>
    </row>
    <row r="769">
      <c r="C769" s="79"/>
      <c r="D769" s="79"/>
      <c r="J769" s="79"/>
      <c r="P769" s="79"/>
      <c r="Q769" s="79"/>
      <c r="T769" s="79"/>
      <c r="U769" s="79"/>
      <c r="X769" s="130"/>
      <c r="Z769" s="106"/>
    </row>
    <row r="770">
      <c r="C770" s="79"/>
      <c r="D770" s="79"/>
      <c r="J770" s="79"/>
      <c r="P770" s="79"/>
      <c r="Q770" s="79"/>
      <c r="T770" s="79"/>
      <c r="U770" s="79"/>
      <c r="X770" s="130"/>
      <c r="Z770" s="106"/>
    </row>
    <row r="771">
      <c r="C771" s="79"/>
      <c r="D771" s="79"/>
      <c r="J771" s="79"/>
      <c r="P771" s="79"/>
      <c r="Q771" s="79"/>
      <c r="T771" s="79"/>
      <c r="U771" s="79"/>
      <c r="X771" s="130"/>
      <c r="Z771" s="106"/>
    </row>
    <row r="772">
      <c r="C772" s="79"/>
      <c r="D772" s="79"/>
      <c r="J772" s="79"/>
      <c r="P772" s="79"/>
      <c r="Q772" s="79"/>
      <c r="T772" s="79"/>
      <c r="U772" s="79"/>
      <c r="X772" s="130"/>
      <c r="Z772" s="106"/>
    </row>
    <row r="773">
      <c r="C773" s="79"/>
      <c r="D773" s="79"/>
      <c r="J773" s="79"/>
      <c r="P773" s="79"/>
      <c r="Q773" s="79"/>
      <c r="T773" s="79"/>
      <c r="U773" s="79"/>
      <c r="X773" s="130"/>
      <c r="Z773" s="106"/>
    </row>
    <row r="774">
      <c r="C774" s="79"/>
      <c r="D774" s="79"/>
      <c r="J774" s="79"/>
      <c r="P774" s="79"/>
      <c r="Q774" s="79"/>
      <c r="T774" s="79"/>
      <c r="U774" s="79"/>
      <c r="X774" s="130"/>
      <c r="Z774" s="106"/>
    </row>
    <row r="775">
      <c r="C775" s="79"/>
      <c r="D775" s="79"/>
      <c r="J775" s="79"/>
      <c r="P775" s="79"/>
      <c r="Q775" s="79"/>
      <c r="T775" s="79"/>
      <c r="U775" s="79"/>
      <c r="X775" s="130"/>
      <c r="Z775" s="106"/>
    </row>
    <row r="776">
      <c r="C776" s="79"/>
      <c r="D776" s="79"/>
      <c r="J776" s="79"/>
      <c r="P776" s="79"/>
      <c r="Q776" s="79"/>
      <c r="T776" s="79"/>
      <c r="U776" s="79"/>
      <c r="X776" s="130"/>
      <c r="Z776" s="106"/>
    </row>
    <row r="777">
      <c r="C777" s="79"/>
      <c r="D777" s="79"/>
      <c r="J777" s="79"/>
      <c r="P777" s="79"/>
      <c r="Q777" s="79"/>
      <c r="T777" s="79"/>
      <c r="U777" s="79"/>
      <c r="X777" s="130"/>
      <c r="Z777" s="106"/>
    </row>
    <row r="778">
      <c r="C778" s="79"/>
      <c r="D778" s="79"/>
      <c r="J778" s="79"/>
      <c r="P778" s="79"/>
      <c r="Q778" s="79"/>
      <c r="T778" s="79"/>
      <c r="U778" s="79"/>
      <c r="X778" s="130"/>
      <c r="Z778" s="106"/>
    </row>
    <row r="779">
      <c r="C779" s="79"/>
      <c r="D779" s="79"/>
      <c r="J779" s="79"/>
      <c r="P779" s="79"/>
      <c r="Q779" s="79"/>
      <c r="T779" s="79"/>
      <c r="U779" s="79"/>
      <c r="X779" s="130"/>
      <c r="Z779" s="106"/>
    </row>
    <row r="780">
      <c r="C780" s="79"/>
      <c r="D780" s="79"/>
      <c r="J780" s="79"/>
      <c r="P780" s="79"/>
      <c r="Q780" s="79"/>
      <c r="T780" s="79"/>
      <c r="U780" s="79"/>
      <c r="X780" s="130"/>
      <c r="Z780" s="106"/>
    </row>
    <row r="781">
      <c r="C781" s="79"/>
      <c r="D781" s="79"/>
      <c r="J781" s="79"/>
      <c r="P781" s="79"/>
      <c r="Q781" s="79"/>
      <c r="T781" s="79"/>
      <c r="U781" s="79"/>
      <c r="X781" s="130"/>
      <c r="Z781" s="106"/>
    </row>
    <row r="782">
      <c r="C782" s="79"/>
      <c r="D782" s="79"/>
      <c r="J782" s="79"/>
      <c r="P782" s="79"/>
      <c r="Q782" s="79"/>
      <c r="T782" s="79"/>
      <c r="U782" s="79"/>
      <c r="X782" s="130"/>
      <c r="Z782" s="106"/>
    </row>
    <row r="783">
      <c r="C783" s="79"/>
      <c r="D783" s="79"/>
      <c r="J783" s="79"/>
      <c r="P783" s="79"/>
      <c r="Q783" s="79"/>
      <c r="T783" s="79"/>
      <c r="U783" s="79"/>
      <c r="X783" s="130"/>
      <c r="Z783" s="106"/>
    </row>
    <row r="784">
      <c r="C784" s="79"/>
      <c r="D784" s="79"/>
      <c r="J784" s="79"/>
      <c r="P784" s="79"/>
      <c r="Q784" s="79"/>
      <c r="T784" s="79"/>
      <c r="U784" s="79"/>
      <c r="X784" s="130"/>
      <c r="Z784" s="106"/>
    </row>
    <row r="785">
      <c r="C785" s="79"/>
      <c r="D785" s="79"/>
      <c r="J785" s="79"/>
      <c r="P785" s="79"/>
      <c r="Q785" s="79"/>
      <c r="T785" s="79"/>
      <c r="U785" s="79"/>
      <c r="X785" s="130"/>
      <c r="Z785" s="106"/>
    </row>
    <row r="786">
      <c r="C786" s="79"/>
      <c r="D786" s="79"/>
      <c r="J786" s="79"/>
      <c r="P786" s="79"/>
      <c r="Q786" s="79"/>
      <c r="T786" s="79"/>
      <c r="U786" s="79"/>
      <c r="X786" s="130"/>
      <c r="Z786" s="106"/>
    </row>
    <row r="787">
      <c r="C787" s="79"/>
      <c r="D787" s="79"/>
      <c r="J787" s="79"/>
      <c r="P787" s="79"/>
      <c r="Q787" s="79"/>
      <c r="T787" s="79"/>
      <c r="U787" s="79"/>
      <c r="X787" s="130"/>
      <c r="Z787" s="106"/>
    </row>
    <row r="788">
      <c r="C788" s="79"/>
      <c r="D788" s="79"/>
      <c r="J788" s="79"/>
      <c r="P788" s="79"/>
      <c r="Q788" s="79"/>
      <c r="T788" s="79"/>
      <c r="U788" s="79"/>
      <c r="X788" s="130"/>
      <c r="Z788" s="106"/>
    </row>
    <row r="789">
      <c r="C789" s="79"/>
      <c r="D789" s="79"/>
      <c r="J789" s="79"/>
      <c r="P789" s="79"/>
      <c r="Q789" s="79"/>
      <c r="T789" s="79"/>
      <c r="U789" s="79"/>
      <c r="X789" s="130"/>
      <c r="Z789" s="106"/>
    </row>
    <row r="790">
      <c r="C790" s="79"/>
      <c r="D790" s="79"/>
      <c r="J790" s="79"/>
      <c r="P790" s="79"/>
      <c r="Q790" s="79"/>
      <c r="T790" s="79"/>
      <c r="U790" s="79"/>
      <c r="X790" s="130"/>
      <c r="Z790" s="106"/>
    </row>
    <row r="791">
      <c r="C791" s="79"/>
      <c r="D791" s="79"/>
      <c r="J791" s="79"/>
      <c r="P791" s="79"/>
      <c r="Q791" s="79"/>
      <c r="T791" s="79"/>
      <c r="U791" s="79"/>
      <c r="X791" s="130"/>
      <c r="Z791" s="106"/>
    </row>
    <row r="792">
      <c r="C792" s="79"/>
      <c r="D792" s="79"/>
      <c r="J792" s="79"/>
      <c r="P792" s="79"/>
      <c r="Q792" s="79"/>
      <c r="T792" s="79"/>
      <c r="U792" s="79"/>
      <c r="X792" s="130"/>
      <c r="Z792" s="106"/>
    </row>
    <row r="793">
      <c r="C793" s="79"/>
      <c r="D793" s="79"/>
      <c r="J793" s="79"/>
      <c r="P793" s="79"/>
      <c r="Q793" s="79"/>
      <c r="T793" s="79"/>
      <c r="U793" s="79"/>
      <c r="X793" s="130"/>
      <c r="Z793" s="106"/>
    </row>
    <row r="794">
      <c r="C794" s="79"/>
      <c r="D794" s="79"/>
      <c r="J794" s="79"/>
      <c r="P794" s="79"/>
      <c r="Q794" s="79"/>
      <c r="T794" s="79"/>
      <c r="U794" s="79"/>
      <c r="X794" s="130"/>
      <c r="Z794" s="106"/>
    </row>
    <row r="795">
      <c r="C795" s="79"/>
      <c r="D795" s="79"/>
      <c r="J795" s="79"/>
      <c r="P795" s="79"/>
      <c r="Q795" s="79"/>
      <c r="T795" s="79"/>
      <c r="U795" s="79"/>
      <c r="X795" s="130"/>
      <c r="Z795" s="106"/>
    </row>
    <row r="796">
      <c r="C796" s="79"/>
      <c r="D796" s="79"/>
      <c r="J796" s="79"/>
      <c r="P796" s="79"/>
      <c r="Q796" s="79"/>
      <c r="T796" s="79"/>
      <c r="U796" s="79"/>
      <c r="X796" s="130"/>
      <c r="Z796" s="106"/>
    </row>
    <row r="797">
      <c r="C797" s="79"/>
      <c r="D797" s="79"/>
      <c r="J797" s="79"/>
      <c r="P797" s="79"/>
      <c r="Q797" s="79"/>
      <c r="T797" s="79"/>
      <c r="U797" s="79"/>
      <c r="X797" s="130"/>
      <c r="Z797" s="106"/>
    </row>
    <row r="798">
      <c r="C798" s="79"/>
      <c r="D798" s="79"/>
      <c r="J798" s="79"/>
      <c r="P798" s="79"/>
      <c r="Q798" s="79"/>
      <c r="T798" s="79"/>
      <c r="U798" s="79"/>
      <c r="X798" s="130"/>
      <c r="Z798" s="106"/>
    </row>
    <row r="799">
      <c r="C799" s="79"/>
      <c r="D799" s="79"/>
      <c r="J799" s="79"/>
      <c r="P799" s="79"/>
      <c r="Q799" s="79"/>
      <c r="T799" s="79"/>
      <c r="U799" s="79"/>
      <c r="X799" s="130"/>
      <c r="Z799" s="106"/>
    </row>
    <row r="800">
      <c r="C800" s="79"/>
      <c r="D800" s="79"/>
      <c r="J800" s="79"/>
      <c r="P800" s="79"/>
      <c r="Q800" s="79"/>
      <c r="T800" s="79"/>
      <c r="U800" s="79"/>
      <c r="X800" s="130"/>
      <c r="Z800" s="106"/>
    </row>
    <row r="801">
      <c r="C801" s="79"/>
      <c r="D801" s="79"/>
      <c r="J801" s="79"/>
      <c r="P801" s="79"/>
      <c r="Q801" s="79"/>
      <c r="T801" s="79"/>
      <c r="U801" s="79"/>
      <c r="X801" s="130"/>
      <c r="Z801" s="106"/>
    </row>
    <row r="802">
      <c r="C802" s="79"/>
      <c r="D802" s="79"/>
      <c r="J802" s="79"/>
      <c r="P802" s="79"/>
      <c r="Q802" s="79"/>
      <c r="T802" s="79"/>
      <c r="U802" s="79"/>
      <c r="X802" s="130"/>
      <c r="Z802" s="106"/>
    </row>
    <row r="803">
      <c r="C803" s="79"/>
      <c r="D803" s="79"/>
      <c r="J803" s="79"/>
      <c r="P803" s="79"/>
      <c r="Q803" s="79"/>
      <c r="T803" s="79"/>
      <c r="U803" s="79"/>
      <c r="X803" s="130"/>
      <c r="Z803" s="106"/>
    </row>
    <row r="804">
      <c r="C804" s="79"/>
      <c r="D804" s="79"/>
      <c r="J804" s="79"/>
      <c r="P804" s="79"/>
      <c r="Q804" s="79"/>
      <c r="T804" s="79"/>
      <c r="U804" s="79"/>
      <c r="X804" s="130"/>
      <c r="Z804" s="106"/>
    </row>
    <row r="805">
      <c r="C805" s="79"/>
      <c r="D805" s="79"/>
      <c r="J805" s="79"/>
      <c r="P805" s="79"/>
      <c r="Q805" s="79"/>
      <c r="T805" s="79"/>
      <c r="U805" s="79"/>
      <c r="X805" s="130"/>
      <c r="Z805" s="106"/>
    </row>
    <row r="806">
      <c r="C806" s="79"/>
      <c r="D806" s="79"/>
      <c r="J806" s="79"/>
      <c r="P806" s="79"/>
      <c r="Q806" s="79"/>
      <c r="T806" s="79"/>
      <c r="U806" s="79"/>
      <c r="X806" s="130"/>
      <c r="Z806" s="106"/>
    </row>
    <row r="807">
      <c r="C807" s="79"/>
      <c r="D807" s="79"/>
      <c r="J807" s="79"/>
      <c r="P807" s="79"/>
      <c r="Q807" s="79"/>
      <c r="T807" s="79"/>
      <c r="U807" s="79"/>
      <c r="X807" s="130"/>
      <c r="Z807" s="106"/>
    </row>
    <row r="808">
      <c r="C808" s="79"/>
      <c r="D808" s="79"/>
      <c r="J808" s="79"/>
      <c r="P808" s="79"/>
      <c r="Q808" s="79"/>
      <c r="T808" s="79"/>
      <c r="U808" s="79"/>
      <c r="X808" s="130"/>
      <c r="Z808" s="106"/>
    </row>
    <row r="809">
      <c r="C809" s="79"/>
      <c r="D809" s="79"/>
      <c r="J809" s="79"/>
      <c r="P809" s="79"/>
      <c r="Q809" s="79"/>
      <c r="T809" s="79"/>
      <c r="U809" s="79"/>
      <c r="X809" s="130"/>
      <c r="Z809" s="106"/>
    </row>
    <row r="810">
      <c r="C810" s="79"/>
      <c r="D810" s="79"/>
      <c r="J810" s="79"/>
      <c r="P810" s="79"/>
      <c r="Q810" s="79"/>
      <c r="T810" s="79"/>
      <c r="U810" s="79"/>
      <c r="X810" s="130"/>
      <c r="Z810" s="106"/>
    </row>
    <row r="811">
      <c r="C811" s="79"/>
      <c r="D811" s="79"/>
      <c r="J811" s="79"/>
      <c r="P811" s="79"/>
      <c r="Q811" s="79"/>
      <c r="T811" s="79"/>
      <c r="U811" s="79"/>
      <c r="X811" s="130"/>
      <c r="Z811" s="106"/>
    </row>
    <row r="812">
      <c r="C812" s="79"/>
      <c r="D812" s="79"/>
      <c r="J812" s="79"/>
      <c r="P812" s="79"/>
      <c r="Q812" s="79"/>
      <c r="T812" s="79"/>
      <c r="U812" s="79"/>
      <c r="X812" s="130"/>
      <c r="Z812" s="106"/>
    </row>
    <row r="813">
      <c r="C813" s="79"/>
      <c r="D813" s="79"/>
      <c r="J813" s="79"/>
      <c r="P813" s="79"/>
      <c r="Q813" s="79"/>
      <c r="T813" s="79"/>
      <c r="U813" s="79"/>
      <c r="X813" s="130"/>
      <c r="Z813" s="106"/>
    </row>
    <row r="814">
      <c r="C814" s="79"/>
      <c r="D814" s="79"/>
      <c r="J814" s="79"/>
      <c r="P814" s="79"/>
      <c r="Q814" s="79"/>
      <c r="T814" s="79"/>
      <c r="U814" s="79"/>
      <c r="X814" s="130"/>
      <c r="Z814" s="106"/>
    </row>
    <row r="815">
      <c r="C815" s="79"/>
      <c r="D815" s="79"/>
      <c r="J815" s="79"/>
      <c r="P815" s="79"/>
      <c r="Q815" s="79"/>
      <c r="T815" s="79"/>
      <c r="U815" s="79"/>
      <c r="X815" s="130"/>
      <c r="Z815" s="106"/>
    </row>
    <row r="816">
      <c r="C816" s="79"/>
      <c r="D816" s="79"/>
      <c r="J816" s="79"/>
      <c r="P816" s="79"/>
      <c r="Q816" s="79"/>
      <c r="T816" s="79"/>
      <c r="U816" s="79"/>
      <c r="X816" s="130"/>
      <c r="Z816" s="106"/>
    </row>
    <row r="817">
      <c r="C817" s="79"/>
      <c r="D817" s="79"/>
      <c r="J817" s="79"/>
      <c r="P817" s="79"/>
      <c r="Q817" s="79"/>
      <c r="T817" s="79"/>
      <c r="U817" s="79"/>
      <c r="X817" s="130"/>
      <c r="Z817" s="106"/>
    </row>
    <row r="818">
      <c r="C818" s="79"/>
      <c r="D818" s="79"/>
      <c r="J818" s="79"/>
      <c r="P818" s="79"/>
      <c r="Q818" s="79"/>
      <c r="T818" s="79"/>
      <c r="U818" s="79"/>
      <c r="X818" s="130"/>
      <c r="Z818" s="106"/>
    </row>
    <row r="819">
      <c r="C819" s="79"/>
      <c r="D819" s="79"/>
      <c r="J819" s="79"/>
      <c r="P819" s="79"/>
      <c r="Q819" s="79"/>
      <c r="T819" s="79"/>
      <c r="U819" s="79"/>
      <c r="X819" s="130"/>
      <c r="Z819" s="106"/>
    </row>
    <row r="820">
      <c r="C820" s="79"/>
      <c r="D820" s="79"/>
      <c r="J820" s="79"/>
      <c r="P820" s="79"/>
      <c r="Q820" s="79"/>
      <c r="T820" s="79"/>
      <c r="U820" s="79"/>
      <c r="X820" s="130"/>
      <c r="Z820" s="106"/>
    </row>
    <row r="821">
      <c r="C821" s="79"/>
      <c r="D821" s="79"/>
      <c r="J821" s="79"/>
      <c r="P821" s="79"/>
      <c r="Q821" s="79"/>
      <c r="T821" s="79"/>
      <c r="U821" s="79"/>
      <c r="X821" s="130"/>
      <c r="Z821" s="106"/>
    </row>
    <row r="822">
      <c r="C822" s="79"/>
      <c r="D822" s="79"/>
      <c r="J822" s="79"/>
      <c r="P822" s="79"/>
      <c r="Q822" s="79"/>
      <c r="T822" s="79"/>
      <c r="U822" s="79"/>
      <c r="X822" s="130"/>
      <c r="Z822" s="106"/>
    </row>
    <row r="823">
      <c r="C823" s="79"/>
      <c r="D823" s="79"/>
      <c r="J823" s="79"/>
      <c r="P823" s="79"/>
      <c r="Q823" s="79"/>
      <c r="T823" s="79"/>
      <c r="U823" s="79"/>
      <c r="X823" s="130"/>
      <c r="Z823" s="106"/>
    </row>
    <row r="824">
      <c r="C824" s="79"/>
      <c r="D824" s="79"/>
      <c r="J824" s="79"/>
      <c r="P824" s="79"/>
      <c r="Q824" s="79"/>
      <c r="T824" s="79"/>
      <c r="U824" s="79"/>
      <c r="X824" s="130"/>
      <c r="Z824" s="106"/>
    </row>
    <row r="825">
      <c r="C825" s="79"/>
      <c r="D825" s="79"/>
      <c r="J825" s="79"/>
      <c r="P825" s="79"/>
      <c r="Q825" s="79"/>
      <c r="T825" s="79"/>
      <c r="U825" s="79"/>
      <c r="X825" s="130"/>
      <c r="Z825" s="106"/>
    </row>
    <row r="826">
      <c r="C826" s="79"/>
      <c r="D826" s="79"/>
      <c r="J826" s="79"/>
      <c r="P826" s="79"/>
      <c r="Q826" s="79"/>
      <c r="T826" s="79"/>
      <c r="U826" s="79"/>
      <c r="X826" s="130"/>
      <c r="Z826" s="106"/>
    </row>
    <row r="827">
      <c r="C827" s="79"/>
      <c r="D827" s="79"/>
      <c r="J827" s="79"/>
      <c r="P827" s="79"/>
      <c r="Q827" s="79"/>
      <c r="T827" s="79"/>
      <c r="U827" s="79"/>
      <c r="X827" s="130"/>
      <c r="Z827" s="106"/>
    </row>
    <row r="828">
      <c r="C828" s="79"/>
      <c r="D828" s="79"/>
      <c r="J828" s="79"/>
      <c r="P828" s="79"/>
      <c r="Q828" s="79"/>
      <c r="T828" s="79"/>
      <c r="U828" s="79"/>
      <c r="X828" s="130"/>
      <c r="Z828" s="106"/>
    </row>
    <row r="829">
      <c r="C829" s="79"/>
      <c r="D829" s="79"/>
      <c r="J829" s="79"/>
      <c r="P829" s="79"/>
      <c r="Q829" s="79"/>
      <c r="T829" s="79"/>
      <c r="U829" s="79"/>
      <c r="X829" s="130"/>
      <c r="Z829" s="106"/>
    </row>
    <row r="830">
      <c r="C830" s="79"/>
      <c r="D830" s="79"/>
      <c r="J830" s="79"/>
      <c r="P830" s="79"/>
      <c r="Q830" s="79"/>
      <c r="T830" s="79"/>
      <c r="U830" s="79"/>
      <c r="X830" s="130"/>
      <c r="Z830" s="106"/>
    </row>
    <row r="831">
      <c r="C831" s="79"/>
      <c r="D831" s="79"/>
      <c r="J831" s="79"/>
      <c r="P831" s="79"/>
      <c r="Q831" s="79"/>
      <c r="T831" s="79"/>
      <c r="U831" s="79"/>
      <c r="X831" s="130"/>
      <c r="Z831" s="106"/>
    </row>
    <row r="832">
      <c r="C832" s="79"/>
      <c r="D832" s="79"/>
      <c r="J832" s="79"/>
      <c r="P832" s="79"/>
      <c r="Q832" s="79"/>
      <c r="T832" s="79"/>
      <c r="U832" s="79"/>
      <c r="X832" s="130"/>
      <c r="Z832" s="106"/>
    </row>
    <row r="833">
      <c r="C833" s="79"/>
      <c r="D833" s="79"/>
      <c r="J833" s="79"/>
      <c r="P833" s="79"/>
      <c r="Q833" s="79"/>
      <c r="T833" s="79"/>
      <c r="U833" s="79"/>
      <c r="X833" s="130"/>
      <c r="Z833" s="106"/>
    </row>
    <row r="834">
      <c r="C834" s="79"/>
      <c r="D834" s="79"/>
      <c r="J834" s="79"/>
      <c r="P834" s="79"/>
      <c r="Q834" s="79"/>
      <c r="T834" s="79"/>
      <c r="U834" s="79"/>
      <c r="X834" s="130"/>
      <c r="Z834" s="106"/>
    </row>
    <row r="835">
      <c r="C835" s="79"/>
      <c r="D835" s="79"/>
      <c r="J835" s="79"/>
      <c r="P835" s="79"/>
      <c r="Q835" s="79"/>
      <c r="T835" s="79"/>
      <c r="U835" s="79"/>
      <c r="X835" s="130"/>
      <c r="Z835" s="106"/>
    </row>
    <row r="836">
      <c r="C836" s="79"/>
      <c r="D836" s="79"/>
      <c r="J836" s="79"/>
      <c r="P836" s="79"/>
      <c r="Q836" s="79"/>
      <c r="T836" s="79"/>
      <c r="U836" s="79"/>
      <c r="X836" s="130"/>
      <c r="Z836" s="106"/>
    </row>
    <row r="837">
      <c r="C837" s="79"/>
      <c r="D837" s="79"/>
      <c r="J837" s="79"/>
      <c r="P837" s="79"/>
      <c r="Q837" s="79"/>
      <c r="T837" s="79"/>
      <c r="U837" s="79"/>
      <c r="X837" s="130"/>
      <c r="Z837" s="106"/>
    </row>
    <row r="838">
      <c r="C838" s="79"/>
      <c r="D838" s="79"/>
      <c r="J838" s="79"/>
      <c r="P838" s="79"/>
      <c r="Q838" s="79"/>
      <c r="T838" s="79"/>
      <c r="U838" s="79"/>
      <c r="X838" s="130"/>
      <c r="Z838" s="106"/>
    </row>
    <row r="839">
      <c r="C839" s="79"/>
      <c r="D839" s="79"/>
      <c r="J839" s="79"/>
      <c r="P839" s="79"/>
      <c r="Q839" s="79"/>
      <c r="T839" s="79"/>
      <c r="U839" s="79"/>
      <c r="X839" s="130"/>
      <c r="Z839" s="106"/>
    </row>
    <row r="840">
      <c r="C840" s="79"/>
      <c r="D840" s="79"/>
      <c r="J840" s="79"/>
      <c r="P840" s="79"/>
      <c r="Q840" s="79"/>
      <c r="T840" s="79"/>
      <c r="U840" s="79"/>
      <c r="X840" s="130"/>
      <c r="Z840" s="106"/>
    </row>
    <row r="841">
      <c r="C841" s="79"/>
      <c r="D841" s="79"/>
      <c r="J841" s="79"/>
      <c r="P841" s="79"/>
      <c r="Q841" s="79"/>
      <c r="T841" s="79"/>
      <c r="U841" s="79"/>
      <c r="X841" s="130"/>
      <c r="Z841" s="106"/>
    </row>
    <row r="842">
      <c r="C842" s="79"/>
      <c r="D842" s="79"/>
      <c r="J842" s="79"/>
      <c r="P842" s="79"/>
      <c r="Q842" s="79"/>
      <c r="T842" s="79"/>
      <c r="U842" s="79"/>
      <c r="X842" s="130"/>
      <c r="Z842" s="106"/>
    </row>
    <row r="843">
      <c r="C843" s="79"/>
      <c r="D843" s="79"/>
      <c r="J843" s="79"/>
      <c r="P843" s="79"/>
      <c r="Q843" s="79"/>
      <c r="T843" s="79"/>
      <c r="U843" s="79"/>
      <c r="X843" s="130"/>
      <c r="Z843" s="106"/>
    </row>
    <row r="844">
      <c r="C844" s="79"/>
      <c r="D844" s="79"/>
      <c r="J844" s="79"/>
      <c r="P844" s="79"/>
      <c r="Q844" s="79"/>
      <c r="T844" s="79"/>
      <c r="U844" s="79"/>
      <c r="X844" s="130"/>
      <c r="Z844" s="106"/>
    </row>
    <row r="845">
      <c r="C845" s="79"/>
      <c r="D845" s="79"/>
      <c r="J845" s="79"/>
      <c r="P845" s="79"/>
      <c r="Q845" s="79"/>
      <c r="T845" s="79"/>
      <c r="U845" s="79"/>
      <c r="X845" s="130"/>
      <c r="Z845" s="106"/>
    </row>
    <row r="846">
      <c r="C846" s="79"/>
      <c r="D846" s="79"/>
      <c r="J846" s="79"/>
      <c r="P846" s="79"/>
      <c r="Q846" s="79"/>
      <c r="T846" s="79"/>
      <c r="U846" s="79"/>
      <c r="X846" s="130"/>
      <c r="Z846" s="106"/>
    </row>
    <row r="847">
      <c r="C847" s="79"/>
      <c r="D847" s="79"/>
      <c r="J847" s="79"/>
      <c r="P847" s="79"/>
      <c r="Q847" s="79"/>
      <c r="T847" s="79"/>
      <c r="U847" s="79"/>
      <c r="X847" s="130"/>
      <c r="Z847" s="106"/>
    </row>
    <row r="848">
      <c r="C848" s="79"/>
      <c r="D848" s="79"/>
      <c r="J848" s="79"/>
      <c r="P848" s="79"/>
      <c r="Q848" s="79"/>
      <c r="T848" s="79"/>
      <c r="U848" s="79"/>
      <c r="X848" s="130"/>
      <c r="Z848" s="106"/>
    </row>
    <row r="849">
      <c r="C849" s="79"/>
      <c r="D849" s="79"/>
      <c r="J849" s="79"/>
      <c r="P849" s="79"/>
      <c r="Q849" s="79"/>
      <c r="T849" s="79"/>
      <c r="U849" s="79"/>
      <c r="X849" s="130"/>
      <c r="Z849" s="106"/>
    </row>
    <row r="850">
      <c r="C850" s="79"/>
      <c r="D850" s="79"/>
      <c r="J850" s="79"/>
      <c r="P850" s="79"/>
      <c r="Q850" s="79"/>
      <c r="T850" s="79"/>
      <c r="U850" s="79"/>
      <c r="X850" s="130"/>
      <c r="Z850" s="106"/>
    </row>
    <row r="851">
      <c r="C851" s="79"/>
      <c r="D851" s="79"/>
      <c r="J851" s="79"/>
      <c r="P851" s="79"/>
      <c r="Q851" s="79"/>
      <c r="T851" s="79"/>
      <c r="U851" s="79"/>
      <c r="X851" s="130"/>
      <c r="Z851" s="106"/>
    </row>
    <row r="852">
      <c r="C852" s="79"/>
      <c r="D852" s="79"/>
      <c r="J852" s="79"/>
      <c r="P852" s="79"/>
      <c r="Q852" s="79"/>
      <c r="T852" s="79"/>
      <c r="U852" s="79"/>
      <c r="X852" s="130"/>
      <c r="Z852" s="106"/>
    </row>
    <row r="853">
      <c r="C853" s="79"/>
      <c r="D853" s="79"/>
      <c r="J853" s="79"/>
      <c r="P853" s="79"/>
      <c r="Q853" s="79"/>
      <c r="T853" s="79"/>
      <c r="U853" s="79"/>
      <c r="X853" s="130"/>
      <c r="Z853" s="106"/>
    </row>
    <row r="854">
      <c r="C854" s="79"/>
      <c r="D854" s="79"/>
      <c r="J854" s="79"/>
      <c r="P854" s="79"/>
      <c r="Q854" s="79"/>
      <c r="T854" s="79"/>
      <c r="U854" s="79"/>
      <c r="X854" s="130"/>
      <c r="Z854" s="106"/>
    </row>
    <row r="855">
      <c r="C855" s="79"/>
      <c r="D855" s="79"/>
      <c r="J855" s="79"/>
      <c r="P855" s="79"/>
      <c r="Q855" s="79"/>
      <c r="T855" s="79"/>
      <c r="U855" s="79"/>
      <c r="X855" s="130"/>
      <c r="Z855" s="106"/>
    </row>
    <row r="856">
      <c r="C856" s="79"/>
      <c r="D856" s="79"/>
      <c r="J856" s="79"/>
      <c r="P856" s="79"/>
      <c r="Q856" s="79"/>
      <c r="T856" s="79"/>
      <c r="U856" s="79"/>
      <c r="X856" s="130"/>
      <c r="Z856" s="106"/>
    </row>
    <row r="857">
      <c r="C857" s="79"/>
      <c r="D857" s="79"/>
      <c r="J857" s="79"/>
      <c r="P857" s="79"/>
      <c r="Q857" s="79"/>
      <c r="T857" s="79"/>
      <c r="U857" s="79"/>
      <c r="X857" s="130"/>
      <c r="Z857" s="106"/>
    </row>
    <row r="858">
      <c r="C858" s="79"/>
      <c r="D858" s="79"/>
      <c r="J858" s="79"/>
      <c r="P858" s="79"/>
      <c r="Q858" s="79"/>
      <c r="T858" s="79"/>
      <c r="U858" s="79"/>
      <c r="X858" s="130"/>
      <c r="Z858" s="106"/>
    </row>
    <row r="859">
      <c r="C859" s="79"/>
      <c r="D859" s="79"/>
      <c r="J859" s="79"/>
      <c r="P859" s="79"/>
      <c r="Q859" s="79"/>
      <c r="T859" s="79"/>
      <c r="U859" s="79"/>
      <c r="X859" s="130"/>
      <c r="Z859" s="106"/>
    </row>
    <row r="860">
      <c r="C860" s="79"/>
      <c r="D860" s="79"/>
      <c r="J860" s="79"/>
      <c r="P860" s="79"/>
      <c r="Q860" s="79"/>
      <c r="T860" s="79"/>
      <c r="U860" s="79"/>
      <c r="X860" s="130"/>
      <c r="Z860" s="106"/>
    </row>
    <row r="861">
      <c r="C861" s="79"/>
      <c r="D861" s="79"/>
      <c r="J861" s="79"/>
      <c r="P861" s="79"/>
      <c r="Q861" s="79"/>
      <c r="T861" s="79"/>
      <c r="U861" s="79"/>
      <c r="X861" s="130"/>
      <c r="Z861" s="106"/>
    </row>
    <row r="862">
      <c r="C862" s="79"/>
      <c r="D862" s="79"/>
      <c r="J862" s="79"/>
      <c r="P862" s="79"/>
      <c r="Q862" s="79"/>
      <c r="T862" s="79"/>
      <c r="U862" s="79"/>
      <c r="X862" s="130"/>
      <c r="Z862" s="106"/>
    </row>
    <row r="863">
      <c r="C863" s="79"/>
      <c r="D863" s="79"/>
      <c r="J863" s="79"/>
      <c r="P863" s="79"/>
      <c r="Q863" s="79"/>
      <c r="T863" s="79"/>
      <c r="U863" s="79"/>
      <c r="X863" s="130"/>
      <c r="Z863" s="106"/>
    </row>
    <row r="864">
      <c r="C864" s="79"/>
      <c r="D864" s="79"/>
      <c r="J864" s="79"/>
      <c r="P864" s="79"/>
      <c r="Q864" s="79"/>
      <c r="T864" s="79"/>
      <c r="U864" s="79"/>
      <c r="X864" s="130"/>
      <c r="Z864" s="106"/>
    </row>
    <row r="865">
      <c r="C865" s="79"/>
      <c r="D865" s="79"/>
      <c r="J865" s="79"/>
      <c r="P865" s="79"/>
      <c r="Q865" s="79"/>
      <c r="T865" s="79"/>
      <c r="U865" s="79"/>
      <c r="X865" s="130"/>
      <c r="Z865" s="106"/>
    </row>
    <row r="866">
      <c r="C866" s="79"/>
      <c r="D866" s="79"/>
      <c r="J866" s="79"/>
      <c r="P866" s="79"/>
      <c r="Q866" s="79"/>
      <c r="T866" s="79"/>
      <c r="U866" s="79"/>
      <c r="X866" s="130"/>
      <c r="Z866" s="106"/>
    </row>
    <row r="867">
      <c r="C867" s="79"/>
      <c r="D867" s="79"/>
      <c r="J867" s="79"/>
      <c r="P867" s="79"/>
      <c r="Q867" s="79"/>
      <c r="T867" s="79"/>
      <c r="U867" s="79"/>
      <c r="X867" s="130"/>
      <c r="Z867" s="106"/>
    </row>
    <row r="868">
      <c r="C868" s="79"/>
      <c r="D868" s="79"/>
      <c r="J868" s="79"/>
      <c r="P868" s="79"/>
      <c r="Q868" s="79"/>
      <c r="T868" s="79"/>
      <c r="U868" s="79"/>
      <c r="X868" s="130"/>
      <c r="Z868" s="106"/>
    </row>
    <row r="869">
      <c r="C869" s="79"/>
      <c r="D869" s="79"/>
      <c r="J869" s="79"/>
      <c r="P869" s="79"/>
      <c r="Q869" s="79"/>
      <c r="T869" s="79"/>
      <c r="U869" s="79"/>
      <c r="X869" s="130"/>
      <c r="Z869" s="106"/>
    </row>
    <row r="870">
      <c r="C870" s="79"/>
      <c r="D870" s="79"/>
      <c r="J870" s="79"/>
      <c r="P870" s="79"/>
      <c r="Q870" s="79"/>
      <c r="T870" s="79"/>
      <c r="U870" s="79"/>
      <c r="X870" s="130"/>
      <c r="Z870" s="106"/>
    </row>
    <row r="871">
      <c r="C871" s="79"/>
      <c r="D871" s="79"/>
      <c r="J871" s="79"/>
      <c r="P871" s="79"/>
      <c r="Q871" s="79"/>
      <c r="T871" s="79"/>
      <c r="U871" s="79"/>
      <c r="X871" s="130"/>
      <c r="Z871" s="106"/>
    </row>
    <row r="872">
      <c r="C872" s="79"/>
      <c r="D872" s="79"/>
      <c r="J872" s="79"/>
      <c r="P872" s="79"/>
      <c r="Q872" s="79"/>
      <c r="T872" s="79"/>
      <c r="U872" s="79"/>
      <c r="X872" s="130"/>
      <c r="Z872" s="106"/>
    </row>
    <row r="873">
      <c r="C873" s="79"/>
      <c r="D873" s="79"/>
      <c r="J873" s="79"/>
      <c r="P873" s="79"/>
      <c r="Q873" s="79"/>
      <c r="T873" s="79"/>
      <c r="U873" s="79"/>
      <c r="X873" s="130"/>
      <c r="Z873" s="106"/>
    </row>
    <row r="874">
      <c r="C874" s="79"/>
      <c r="D874" s="79"/>
      <c r="J874" s="79"/>
      <c r="P874" s="79"/>
      <c r="Q874" s="79"/>
      <c r="T874" s="79"/>
      <c r="U874" s="79"/>
      <c r="X874" s="130"/>
      <c r="Z874" s="106"/>
    </row>
    <row r="875">
      <c r="C875" s="79"/>
      <c r="D875" s="79"/>
      <c r="J875" s="79"/>
      <c r="P875" s="79"/>
      <c r="Q875" s="79"/>
      <c r="T875" s="79"/>
      <c r="U875" s="79"/>
      <c r="X875" s="130"/>
      <c r="Z875" s="106"/>
    </row>
    <row r="876">
      <c r="C876" s="79"/>
      <c r="D876" s="79"/>
      <c r="J876" s="79"/>
      <c r="P876" s="79"/>
      <c r="Q876" s="79"/>
      <c r="T876" s="79"/>
      <c r="U876" s="79"/>
      <c r="X876" s="130"/>
      <c r="Z876" s="106"/>
    </row>
    <row r="877">
      <c r="C877" s="79"/>
      <c r="D877" s="79"/>
      <c r="J877" s="79"/>
      <c r="P877" s="79"/>
      <c r="Q877" s="79"/>
      <c r="T877" s="79"/>
      <c r="U877" s="79"/>
      <c r="X877" s="130"/>
      <c r="Z877" s="106"/>
    </row>
    <row r="878">
      <c r="C878" s="79"/>
      <c r="D878" s="79"/>
      <c r="J878" s="79"/>
      <c r="P878" s="79"/>
      <c r="Q878" s="79"/>
      <c r="T878" s="79"/>
      <c r="U878" s="79"/>
      <c r="X878" s="130"/>
      <c r="Z878" s="106"/>
    </row>
    <row r="879">
      <c r="C879" s="79"/>
      <c r="D879" s="79"/>
      <c r="J879" s="79"/>
      <c r="P879" s="79"/>
      <c r="Q879" s="79"/>
      <c r="T879" s="79"/>
      <c r="U879" s="79"/>
      <c r="X879" s="130"/>
      <c r="Z879" s="106"/>
    </row>
    <row r="880">
      <c r="C880" s="79"/>
      <c r="D880" s="79"/>
      <c r="J880" s="79"/>
      <c r="P880" s="79"/>
      <c r="Q880" s="79"/>
      <c r="T880" s="79"/>
      <c r="U880" s="79"/>
      <c r="X880" s="130"/>
      <c r="Z880" s="106"/>
    </row>
    <row r="881">
      <c r="C881" s="79"/>
      <c r="D881" s="79"/>
      <c r="J881" s="79"/>
      <c r="P881" s="79"/>
      <c r="Q881" s="79"/>
      <c r="T881" s="79"/>
      <c r="U881" s="79"/>
      <c r="X881" s="130"/>
      <c r="Z881" s="106"/>
    </row>
    <row r="882">
      <c r="C882" s="79"/>
      <c r="D882" s="79"/>
      <c r="J882" s="79"/>
      <c r="P882" s="79"/>
      <c r="Q882" s="79"/>
      <c r="T882" s="79"/>
      <c r="U882" s="79"/>
      <c r="X882" s="130"/>
      <c r="Z882" s="106"/>
    </row>
    <row r="883">
      <c r="C883" s="79"/>
      <c r="D883" s="79"/>
      <c r="J883" s="79"/>
      <c r="P883" s="79"/>
      <c r="Q883" s="79"/>
      <c r="T883" s="79"/>
      <c r="U883" s="79"/>
      <c r="X883" s="130"/>
      <c r="Z883" s="106"/>
    </row>
    <row r="884">
      <c r="C884" s="79"/>
      <c r="D884" s="79"/>
      <c r="J884" s="79"/>
      <c r="P884" s="79"/>
      <c r="Q884" s="79"/>
      <c r="T884" s="79"/>
      <c r="U884" s="79"/>
      <c r="X884" s="130"/>
      <c r="Z884" s="106"/>
    </row>
    <row r="885">
      <c r="C885" s="79"/>
      <c r="D885" s="79"/>
      <c r="J885" s="79"/>
      <c r="P885" s="79"/>
      <c r="Q885" s="79"/>
      <c r="T885" s="79"/>
      <c r="U885" s="79"/>
      <c r="X885" s="130"/>
      <c r="Z885" s="106"/>
    </row>
    <row r="886">
      <c r="C886" s="79"/>
      <c r="D886" s="79"/>
      <c r="J886" s="79"/>
      <c r="P886" s="79"/>
      <c r="Q886" s="79"/>
      <c r="T886" s="79"/>
      <c r="U886" s="79"/>
      <c r="X886" s="130"/>
      <c r="Z886" s="106"/>
    </row>
    <row r="887">
      <c r="C887" s="79"/>
      <c r="D887" s="79"/>
      <c r="J887" s="79"/>
      <c r="P887" s="79"/>
      <c r="Q887" s="79"/>
      <c r="T887" s="79"/>
      <c r="U887" s="79"/>
      <c r="X887" s="130"/>
      <c r="Z887" s="106"/>
    </row>
    <row r="888">
      <c r="C888" s="79"/>
      <c r="D888" s="79"/>
      <c r="J888" s="79"/>
      <c r="P888" s="79"/>
      <c r="Q888" s="79"/>
      <c r="T888" s="79"/>
      <c r="U888" s="79"/>
      <c r="X888" s="130"/>
      <c r="Z888" s="106"/>
    </row>
    <row r="889">
      <c r="C889" s="79"/>
      <c r="D889" s="79"/>
      <c r="J889" s="79"/>
      <c r="P889" s="79"/>
      <c r="Q889" s="79"/>
      <c r="T889" s="79"/>
      <c r="U889" s="79"/>
      <c r="X889" s="130"/>
      <c r="Z889" s="106"/>
    </row>
    <row r="890">
      <c r="C890" s="79"/>
      <c r="D890" s="79"/>
      <c r="J890" s="79"/>
      <c r="P890" s="79"/>
      <c r="Q890" s="79"/>
      <c r="T890" s="79"/>
      <c r="U890" s="79"/>
      <c r="X890" s="130"/>
      <c r="Z890" s="106"/>
    </row>
    <row r="891">
      <c r="C891" s="79"/>
      <c r="D891" s="79"/>
      <c r="J891" s="79"/>
      <c r="P891" s="79"/>
      <c r="Q891" s="79"/>
      <c r="T891" s="79"/>
      <c r="U891" s="79"/>
      <c r="X891" s="130"/>
      <c r="Z891" s="106"/>
    </row>
    <row r="892">
      <c r="C892" s="79"/>
      <c r="D892" s="79"/>
      <c r="J892" s="79"/>
      <c r="P892" s="79"/>
      <c r="Q892" s="79"/>
      <c r="T892" s="79"/>
      <c r="U892" s="79"/>
      <c r="X892" s="130"/>
      <c r="Z892" s="106"/>
    </row>
    <row r="893">
      <c r="C893" s="79"/>
      <c r="D893" s="79"/>
      <c r="J893" s="79"/>
      <c r="P893" s="79"/>
      <c r="Q893" s="79"/>
      <c r="T893" s="79"/>
      <c r="U893" s="79"/>
      <c r="X893" s="130"/>
      <c r="Z893" s="106"/>
    </row>
    <row r="894">
      <c r="C894" s="79"/>
      <c r="D894" s="79"/>
      <c r="J894" s="79"/>
      <c r="P894" s="79"/>
      <c r="Q894" s="79"/>
      <c r="T894" s="79"/>
      <c r="U894" s="79"/>
      <c r="X894" s="130"/>
      <c r="Z894" s="106"/>
    </row>
    <row r="895">
      <c r="C895" s="79"/>
      <c r="D895" s="79"/>
      <c r="J895" s="79"/>
      <c r="P895" s="79"/>
      <c r="Q895" s="79"/>
      <c r="T895" s="79"/>
      <c r="U895" s="79"/>
      <c r="X895" s="130"/>
      <c r="Z895" s="106"/>
    </row>
    <row r="896">
      <c r="C896" s="79"/>
      <c r="D896" s="79"/>
      <c r="J896" s="79"/>
      <c r="P896" s="79"/>
      <c r="Q896" s="79"/>
      <c r="T896" s="79"/>
      <c r="U896" s="79"/>
      <c r="X896" s="130"/>
      <c r="Z896" s="106"/>
    </row>
    <row r="897">
      <c r="C897" s="79"/>
      <c r="D897" s="79"/>
      <c r="J897" s="79"/>
      <c r="P897" s="79"/>
      <c r="Q897" s="79"/>
      <c r="T897" s="79"/>
      <c r="U897" s="79"/>
      <c r="X897" s="130"/>
      <c r="Z897" s="106"/>
    </row>
    <row r="898">
      <c r="C898" s="79"/>
      <c r="D898" s="79"/>
      <c r="J898" s="79"/>
      <c r="P898" s="79"/>
      <c r="Q898" s="79"/>
      <c r="T898" s="79"/>
      <c r="U898" s="79"/>
      <c r="X898" s="130"/>
      <c r="Z898" s="106"/>
    </row>
    <row r="899">
      <c r="C899" s="79"/>
      <c r="D899" s="79"/>
      <c r="J899" s="79"/>
      <c r="P899" s="79"/>
      <c r="Q899" s="79"/>
      <c r="T899" s="79"/>
      <c r="U899" s="79"/>
      <c r="X899" s="130"/>
      <c r="Z899" s="106"/>
    </row>
    <row r="900">
      <c r="C900" s="79"/>
      <c r="D900" s="79"/>
      <c r="J900" s="79"/>
      <c r="P900" s="79"/>
      <c r="Q900" s="79"/>
      <c r="T900" s="79"/>
      <c r="U900" s="79"/>
      <c r="X900" s="130"/>
      <c r="Z900" s="106"/>
    </row>
    <row r="901">
      <c r="C901" s="79"/>
      <c r="D901" s="79"/>
      <c r="J901" s="79"/>
      <c r="P901" s="79"/>
      <c r="Q901" s="79"/>
      <c r="T901" s="79"/>
      <c r="U901" s="79"/>
      <c r="X901" s="130"/>
      <c r="Z901" s="106"/>
    </row>
    <row r="902">
      <c r="C902" s="79"/>
      <c r="D902" s="79"/>
      <c r="J902" s="79"/>
      <c r="P902" s="79"/>
      <c r="Q902" s="79"/>
      <c r="T902" s="79"/>
      <c r="U902" s="79"/>
      <c r="X902" s="130"/>
      <c r="Z902" s="106"/>
    </row>
    <row r="903">
      <c r="C903" s="79"/>
      <c r="D903" s="79"/>
      <c r="J903" s="79"/>
      <c r="P903" s="79"/>
      <c r="Q903" s="79"/>
      <c r="T903" s="79"/>
      <c r="U903" s="79"/>
      <c r="X903" s="130"/>
      <c r="Z903" s="106"/>
    </row>
    <row r="904">
      <c r="C904" s="79"/>
      <c r="D904" s="79"/>
      <c r="J904" s="79"/>
      <c r="P904" s="79"/>
      <c r="Q904" s="79"/>
      <c r="T904" s="79"/>
      <c r="U904" s="79"/>
      <c r="X904" s="130"/>
      <c r="Z904" s="106"/>
    </row>
    <row r="905">
      <c r="C905" s="79"/>
      <c r="D905" s="79"/>
      <c r="J905" s="79"/>
      <c r="P905" s="79"/>
      <c r="Q905" s="79"/>
      <c r="T905" s="79"/>
      <c r="U905" s="79"/>
      <c r="X905" s="130"/>
      <c r="Z905" s="106"/>
    </row>
    <row r="906">
      <c r="C906" s="79"/>
      <c r="D906" s="79"/>
      <c r="J906" s="79"/>
      <c r="P906" s="79"/>
      <c r="Q906" s="79"/>
      <c r="T906" s="79"/>
      <c r="U906" s="79"/>
      <c r="X906" s="130"/>
      <c r="Z906" s="106"/>
    </row>
    <row r="907">
      <c r="C907" s="79"/>
      <c r="D907" s="79"/>
      <c r="J907" s="79"/>
      <c r="P907" s="79"/>
      <c r="Q907" s="79"/>
      <c r="T907" s="79"/>
      <c r="U907" s="79"/>
      <c r="X907" s="130"/>
      <c r="Z907" s="106"/>
    </row>
    <row r="908">
      <c r="C908" s="79"/>
      <c r="D908" s="79"/>
      <c r="J908" s="79"/>
      <c r="P908" s="79"/>
      <c r="Q908" s="79"/>
      <c r="T908" s="79"/>
      <c r="U908" s="79"/>
      <c r="X908" s="130"/>
      <c r="Z908" s="106"/>
    </row>
    <row r="909">
      <c r="C909" s="79"/>
      <c r="D909" s="79"/>
      <c r="J909" s="79"/>
      <c r="P909" s="79"/>
      <c r="Q909" s="79"/>
      <c r="T909" s="79"/>
      <c r="U909" s="79"/>
      <c r="X909" s="130"/>
      <c r="Z909" s="106"/>
    </row>
    <row r="910">
      <c r="C910" s="79"/>
      <c r="D910" s="79"/>
      <c r="J910" s="79"/>
      <c r="P910" s="79"/>
      <c r="Q910" s="79"/>
      <c r="T910" s="79"/>
      <c r="U910" s="79"/>
      <c r="X910" s="130"/>
      <c r="Z910" s="106"/>
    </row>
    <row r="911">
      <c r="C911" s="79"/>
      <c r="D911" s="79"/>
      <c r="J911" s="79"/>
      <c r="P911" s="79"/>
      <c r="Q911" s="79"/>
      <c r="T911" s="79"/>
      <c r="U911" s="79"/>
      <c r="X911" s="130"/>
      <c r="Z911" s="106"/>
    </row>
    <row r="912">
      <c r="C912" s="79"/>
      <c r="D912" s="79"/>
      <c r="J912" s="79"/>
      <c r="P912" s="79"/>
      <c r="Q912" s="79"/>
      <c r="T912" s="79"/>
      <c r="U912" s="79"/>
      <c r="X912" s="130"/>
      <c r="Z912" s="106"/>
    </row>
    <row r="913">
      <c r="C913" s="79"/>
      <c r="D913" s="79"/>
      <c r="J913" s="79"/>
      <c r="P913" s="79"/>
      <c r="Q913" s="79"/>
      <c r="T913" s="79"/>
      <c r="U913" s="79"/>
      <c r="X913" s="130"/>
      <c r="Z913" s="106"/>
    </row>
    <row r="914">
      <c r="C914" s="79"/>
      <c r="D914" s="79"/>
      <c r="J914" s="79"/>
      <c r="P914" s="79"/>
      <c r="Q914" s="79"/>
      <c r="T914" s="79"/>
      <c r="U914" s="79"/>
      <c r="X914" s="130"/>
      <c r="Z914" s="106"/>
    </row>
    <row r="915">
      <c r="C915" s="79"/>
      <c r="D915" s="79"/>
      <c r="J915" s="79"/>
      <c r="P915" s="79"/>
      <c r="Q915" s="79"/>
      <c r="T915" s="79"/>
      <c r="U915" s="79"/>
      <c r="X915" s="130"/>
      <c r="Z915" s="106"/>
    </row>
    <row r="916">
      <c r="C916" s="79"/>
      <c r="D916" s="79"/>
      <c r="J916" s="79"/>
      <c r="P916" s="79"/>
      <c r="Q916" s="79"/>
      <c r="T916" s="79"/>
      <c r="U916" s="79"/>
      <c r="X916" s="130"/>
      <c r="Z916" s="106"/>
    </row>
    <row r="917">
      <c r="C917" s="79"/>
      <c r="D917" s="79"/>
      <c r="J917" s="79"/>
      <c r="P917" s="79"/>
      <c r="Q917" s="79"/>
      <c r="T917" s="79"/>
      <c r="U917" s="79"/>
      <c r="X917" s="130"/>
      <c r="Z917" s="106"/>
    </row>
    <row r="918">
      <c r="C918" s="79"/>
      <c r="D918" s="79"/>
      <c r="J918" s="79"/>
      <c r="P918" s="79"/>
      <c r="Q918" s="79"/>
      <c r="T918" s="79"/>
      <c r="U918" s="79"/>
      <c r="X918" s="130"/>
      <c r="Z918" s="106"/>
    </row>
    <row r="919">
      <c r="C919" s="79"/>
      <c r="D919" s="79"/>
      <c r="J919" s="79"/>
      <c r="P919" s="79"/>
      <c r="Q919" s="79"/>
      <c r="T919" s="79"/>
      <c r="U919" s="79"/>
      <c r="X919" s="130"/>
      <c r="Z919" s="106"/>
    </row>
    <row r="920">
      <c r="C920" s="79"/>
      <c r="D920" s="79"/>
      <c r="J920" s="79"/>
      <c r="P920" s="79"/>
      <c r="Q920" s="79"/>
      <c r="T920" s="79"/>
      <c r="U920" s="79"/>
      <c r="X920" s="130"/>
      <c r="Z920" s="106"/>
    </row>
    <row r="921">
      <c r="C921" s="79"/>
      <c r="D921" s="79"/>
      <c r="J921" s="79"/>
      <c r="P921" s="79"/>
      <c r="Q921" s="79"/>
      <c r="T921" s="79"/>
      <c r="U921" s="79"/>
      <c r="X921" s="130"/>
      <c r="Z921" s="106"/>
    </row>
    <row r="922">
      <c r="C922" s="79"/>
      <c r="D922" s="79"/>
      <c r="J922" s="79"/>
      <c r="P922" s="79"/>
      <c r="Q922" s="79"/>
      <c r="T922" s="79"/>
      <c r="U922" s="79"/>
      <c r="X922" s="130"/>
      <c r="Z922" s="106"/>
    </row>
    <row r="923">
      <c r="C923" s="79"/>
      <c r="D923" s="79"/>
      <c r="J923" s="79"/>
      <c r="P923" s="79"/>
      <c r="Q923" s="79"/>
      <c r="T923" s="79"/>
      <c r="U923" s="79"/>
      <c r="X923" s="130"/>
      <c r="Z923" s="106"/>
    </row>
    <row r="924">
      <c r="C924" s="79"/>
      <c r="D924" s="79"/>
      <c r="J924" s="79"/>
      <c r="P924" s="79"/>
      <c r="Q924" s="79"/>
      <c r="T924" s="79"/>
      <c r="U924" s="79"/>
      <c r="X924" s="130"/>
      <c r="Z924" s="106"/>
    </row>
    <row r="925">
      <c r="C925" s="79"/>
      <c r="D925" s="79"/>
      <c r="J925" s="79"/>
      <c r="P925" s="79"/>
      <c r="Q925" s="79"/>
      <c r="T925" s="79"/>
      <c r="U925" s="79"/>
      <c r="X925" s="130"/>
      <c r="Z925" s="106"/>
    </row>
    <row r="926">
      <c r="C926" s="79"/>
      <c r="D926" s="79"/>
      <c r="J926" s="79"/>
      <c r="P926" s="79"/>
      <c r="Q926" s="79"/>
      <c r="T926" s="79"/>
      <c r="U926" s="79"/>
      <c r="X926" s="130"/>
      <c r="Z926" s="106"/>
    </row>
    <row r="927">
      <c r="C927" s="79"/>
      <c r="D927" s="79"/>
      <c r="J927" s="79"/>
      <c r="P927" s="79"/>
      <c r="Q927" s="79"/>
      <c r="T927" s="79"/>
      <c r="U927" s="79"/>
      <c r="X927" s="130"/>
      <c r="Z927" s="106"/>
    </row>
    <row r="928">
      <c r="C928" s="79"/>
      <c r="D928" s="79"/>
      <c r="J928" s="79"/>
      <c r="P928" s="79"/>
      <c r="Q928" s="79"/>
      <c r="T928" s="79"/>
      <c r="U928" s="79"/>
      <c r="X928" s="130"/>
      <c r="Z928" s="106"/>
    </row>
    <row r="929">
      <c r="C929" s="79"/>
      <c r="D929" s="79"/>
      <c r="J929" s="79"/>
      <c r="P929" s="79"/>
      <c r="Q929" s="79"/>
      <c r="T929" s="79"/>
      <c r="U929" s="79"/>
      <c r="X929" s="130"/>
      <c r="Z929" s="106"/>
    </row>
    <row r="930">
      <c r="C930" s="79"/>
      <c r="D930" s="79"/>
      <c r="J930" s="79"/>
      <c r="P930" s="79"/>
      <c r="Q930" s="79"/>
      <c r="T930" s="79"/>
      <c r="U930" s="79"/>
      <c r="X930" s="130"/>
      <c r="Z930" s="106"/>
    </row>
    <row r="931">
      <c r="C931" s="79"/>
      <c r="D931" s="79"/>
      <c r="J931" s="79"/>
      <c r="P931" s="79"/>
      <c r="Q931" s="79"/>
      <c r="T931" s="79"/>
      <c r="U931" s="79"/>
      <c r="X931" s="130"/>
      <c r="Z931" s="106"/>
    </row>
    <row r="932">
      <c r="C932" s="79"/>
      <c r="D932" s="79"/>
      <c r="J932" s="79"/>
      <c r="P932" s="79"/>
      <c r="Q932" s="79"/>
      <c r="T932" s="79"/>
      <c r="U932" s="79"/>
      <c r="X932" s="130"/>
      <c r="Z932" s="106"/>
    </row>
    <row r="933">
      <c r="C933" s="79"/>
      <c r="D933" s="79"/>
      <c r="J933" s="79"/>
      <c r="P933" s="79"/>
      <c r="Q933" s="79"/>
      <c r="T933" s="79"/>
      <c r="U933" s="79"/>
      <c r="X933" s="130"/>
      <c r="Z933" s="106"/>
    </row>
    <row r="934">
      <c r="C934" s="79"/>
      <c r="D934" s="79"/>
      <c r="J934" s="79"/>
      <c r="P934" s="79"/>
      <c r="Q934" s="79"/>
      <c r="T934" s="79"/>
      <c r="U934" s="79"/>
      <c r="X934" s="130"/>
      <c r="Z934" s="106"/>
    </row>
    <row r="935">
      <c r="C935" s="79"/>
      <c r="D935" s="79"/>
      <c r="J935" s="79"/>
      <c r="P935" s="79"/>
      <c r="Q935" s="79"/>
      <c r="T935" s="79"/>
      <c r="U935" s="79"/>
      <c r="X935" s="130"/>
      <c r="Z935" s="106"/>
    </row>
    <row r="936">
      <c r="C936" s="79"/>
      <c r="D936" s="79"/>
      <c r="J936" s="79"/>
      <c r="P936" s="79"/>
      <c r="Q936" s="79"/>
      <c r="T936" s="79"/>
      <c r="U936" s="79"/>
      <c r="X936" s="130"/>
      <c r="Z936" s="106"/>
    </row>
    <row r="937">
      <c r="C937" s="79"/>
      <c r="D937" s="79"/>
      <c r="J937" s="79"/>
      <c r="P937" s="79"/>
      <c r="Q937" s="79"/>
      <c r="T937" s="79"/>
      <c r="U937" s="79"/>
      <c r="X937" s="130"/>
      <c r="Z937" s="106"/>
    </row>
    <row r="938">
      <c r="C938" s="79"/>
      <c r="D938" s="79"/>
      <c r="J938" s="79"/>
      <c r="P938" s="79"/>
      <c r="Q938" s="79"/>
      <c r="T938" s="79"/>
      <c r="U938" s="79"/>
      <c r="X938" s="130"/>
      <c r="Z938" s="106"/>
    </row>
    <row r="939">
      <c r="C939" s="79"/>
      <c r="D939" s="79"/>
      <c r="J939" s="79"/>
      <c r="P939" s="79"/>
      <c r="Q939" s="79"/>
      <c r="T939" s="79"/>
      <c r="U939" s="79"/>
      <c r="X939" s="130"/>
      <c r="Z939" s="106"/>
    </row>
    <row r="940">
      <c r="C940" s="79"/>
      <c r="D940" s="79"/>
      <c r="J940" s="79"/>
      <c r="P940" s="79"/>
      <c r="Q940" s="79"/>
      <c r="T940" s="79"/>
      <c r="U940" s="79"/>
      <c r="X940" s="130"/>
      <c r="Z940" s="106"/>
    </row>
    <row r="941">
      <c r="C941" s="79"/>
      <c r="D941" s="79"/>
      <c r="J941" s="79"/>
      <c r="P941" s="79"/>
      <c r="Q941" s="79"/>
      <c r="T941" s="79"/>
      <c r="U941" s="79"/>
      <c r="X941" s="130"/>
      <c r="Z941" s="106"/>
    </row>
    <row r="942">
      <c r="C942" s="79"/>
      <c r="D942" s="79"/>
      <c r="J942" s="79"/>
      <c r="P942" s="79"/>
      <c r="Q942" s="79"/>
      <c r="T942" s="79"/>
      <c r="U942" s="79"/>
      <c r="X942" s="130"/>
      <c r="Z942" s="106"/>
    </row>
    <row r="943">
      <c r="C943" s="79"/>
      <c r="D943" s="79"/>
      <c r="J943" s="79"/>
      <c r="P943" s="79"/>
      <c r="Q943" s="79"/>
      <c r="T943" s="79"/>
      <c r="U943" s="79"/>
      <c r="X943" s="130"/>
      <c r="Z943" s="106"/>
    </row>
    <row r="944">
      <c r="C944" s="79"/>
      <c r="D944" s="79"/>
      <c r="J944" s="79"/>
      <c r="P944" s="79"/>
      <c r="Q944" s="79"/>
      <c r="T944" s="79"/>
      <c r="U944" s="79"/>
      <c r="X944" s="130"/>
      <c r="Z944" s="106"/>
    </row>
    <row r="945">
      <c r="C945" s="79"/>
      <c r="D945" s="79"/>
      <c r="J945" s="79"/>
      <c r="P945" s="79"/>
      <c r="Q945" s="79"/>
      <c r="T945" s="79"/>
      <c r="U945" s="79"/>
      <c r="X945" s="130"/>
      <c r="Z945" s="106"/>
    </row>
    <row r="946">
      <c r="C946" s="79"/>
      <c r="D946" s="79"/>
      <c r="J946" s="79"/>
      <c r="P946" s="79"/>
      <c r="Q946" s="79"/>
      <c r="T946" s="79"/>
      <c r="U946" s="79"/>
      <c r="X946" s="130"/>
      <c r="Z946" s="106"/>
    </row>
    <row r="947">
      <c r="C947" s="79"/>
      <c r="D947" s="79"/>
      <c r="J947" s="79"/>
      <c r="P947" s="79"/>
      <c r="Q947" s="79"/>
      <c r="T947" s="79"/>
      <c r="U947" s="79"/>
      <c r="X947" s="130"/>
      <c r="Z947" s="106"/>
    </row>
    <row r="948">
      <c r="C948" s="79"/>
      <c r="D948" s="79"/>
      <c r="J948" s="79"/>
      <c r="P948" s="79"/>
      <c r="Q948" s="79"/>
      <c r="T948" s="79"/>
      <c r="U948" s="79"/>
      <c r="X948" s="130"/>
      <c r="Z948" s="106"/>
    </row>
    <row r="949">
      <c r="C949" s="79"/>
      <c r="D949" s="79"/>
      <c r="J949" s="79"/>
      <c r="P949" s="79"/>
      <c r="Q949" s="79"/>
      <c r="T949" s="79"/>
      <c r="U949" s="79"/>
      <c r="X949" s="130"/>
      <c r="Z949" s="106"/>
    </row>
    <row r="950">
      <c r="C950" s="79"/>
      <c r="D950" s="79"/>
      <c r="J950" s="79"/>
      <c r="P950" s="79"/>
      <c r="Q950" s="79"/>
      <c r="T950" s="79"/>
      <c r="U950" s="79"/>
      <c r="X950" s="130"/>
      <c r="Z950" s="106"/>
    </row>
    <row r="951">
      <c r="C951" s="79"/>
      <c r="D951" s="79"/>
      <c r="J951" s="79"/>
      <c r="P951" s="79"/>
      <c r="Q951" s="79"/>
      <c r="T951" s="79"/>
      <c r="U951" s="79"/>
      <c r="X951" s="130"/>
      <c r="Z951" s="106"/>
    </row>
    <row r="952">
      <c r="C952" s="79"/>
      <c r="D952" s="79"/>
      <c r="J952" s="79"/>
      <c r="P952" s="79"/>
      <c r="Q952" s="79"/>
      <c r="T952" s="79"/>
      <c r="U952" s="79"/>
      <c r="X952" s="130"/>
      <c r="Z952" s="106"/>
    </row>
    <row r="953">
      <c r="C953" s="79"/>
      <c r="D953" s="79"/>
      <c r="J953" s="79"/>
      <c r="P953" s="79"/>
      <c r="Q953" s="79"/>
      <c r="T953" s="79"/>
      <c r="U953" s="79"/>
      <c r="X953" s="130"/>
      <c r="Z953" s="106"/>
    </row>
    <row r="954">
      <c r="C954" s="79"/>
      <c r="D954" s="79"/>
      <c r="J954" s="79"/>
      <c r="P954" s="79"/>
      <c r="Q954" s="79"/>
      <c r="T954" s="79"/>
      <c r="U954" s="79"/>
      <c r="X954" s="130"/>
      <c r="Z954" s="106"/>
    </row>
    <row r="955">
      <c r="C955" s="79"/>
      <c r="D955" s="79"/>
      <c r="J955" s="79"/>
      <c r="P955" s="79"/>
      <c r="Q955" s="79"/>
      <c r="T955" s="79"/>
      <c r="U955" s="79"/>
      <c r="X955" s="130"/>
      <c r="Z955" s="106"/>
    </row>
    <row r="956">
      <c r="C956" s="79"/>
      <c r="D956" s="79"/>
      <c r="J956" s="79"/>
      <c r="P956" s="79"/>
      <c r="Q956" s="79"/>
      <c r="T956" s="79"/>
      <c r="U956" s="79"/>
      <c r="X956" s="130"/>
      <c r="Z956" s="106"/>
    </row>
    <row r="957">
      <c r="C957" s="79"/>
      <c r="D957" s="79"/>
      <c r="J957" s="79"/>
      <c r="P957" s="79"/>
      <c r="Q957" s="79"/>
      <c r="T957" s="79"/>
      <c r="U957" s="79"/>
      <c r="X957" s="130"/>
      <c r="Z957" s="106"/>
    </row>
    <row r="958">
      <c r="C958" s="79"/>
      <c r="D958" s="79"/>
      <c r="J958" s="79"/>
      <c r="P958" s="79"/>
      <c r="Q958" s="79"/>
      <c r="T958" s="79"/>
      <c r="U958" s="79"/>
      <c r="X958" s="130"/>
      <c r="Z958" s="106"/>
    </row>
    <row r="959">
      <c r="C959" s="79"/>
      <c r="D959" s="79"/>
      <c r="J959" s="79"/>
      <c r="P959" s="79"/>
      <c r="Q959" s="79"/>
      <c r="T959" s="79"/>
      <c r="U959" s="79"/>
      <c r="X959" s="130"/>
      <c r="Z959" s="106"/>
    </row>
    <row r="960">
      <c r="C960" s="79"/>
      <c r="D960" s="79"/>
      <c r="J960" s="79"/>
      <c r="P960" s="79"/>
      <c r="Q960" s="79"/>
      <c r="T960" s="79"/>
      <c r="U960" s="79"/>
      <c r="X960" s="130"/>
      <c r="Z960" s="106"/>
    </row>
    <row r="961">
      <c r="C961" s="79"/>
      <c r="D961" s="79"/>
      <c r="J961" s="79"/>
      <c r="P961" s="79"/>
      <c r="Q961" s="79"/>
      <c r="T961" s="79"/>
      <c r="U961" s="79"/>
      <c r="X961" s="130"/>
      <c r="Z961" s="106"/>
    </row>
    <row r="962">
      <c r="C962" s="79"/>
      <c r="D962" s="79"/>
      <c r="J962" s="79"/>
      <c r="P962" s="79"/>
      <c r="Q962" s="79"/>
      <c r="T962" s="79"/>
      <c r="U962" s="79"/>
      <c r="X962" s="130"/>
      <c r="Z962" s="106"/>
    </row>
    <row r="963">
      <c r="C963" s="79"/>
      <c r="D963" s="79"/>
      <c r="J963" s="79"/>
      <c r="P963" s="79"/>
      <c r="Q963" s="79"/>
      <c r="T963" s="79"/>
      <c r="U963" s="79"/>
      <c r="X963" s="130"/>
      <c r="Z963" s="106"/>
    </row>
    <row r="964">
      <c r="C964" s="79"/>
      <c r="D964" s="79"/>
      <c r="J964" s="79"/>
      <c r="P964" s="79"/>
      <c r="Q964" s="79"/>
      <c r="T964" s="79"/>
      <c r="U964" s="79"/>
      <c r="X964" s="130"/>
      <c r="Z964" s="106"/>
    </row>
    <row r="965">
      <c r="C965" s="79"/>
      <c r="D965" s="79"/>
      <c r="J965" s="79"/>
      <c r="P965" s="79"/>
      <c r="Q965" s="79"/>
      <c r="T965" s="79"/>
      <c r="U965" s="79"/>
      <c r="X965" s="130"/>
      <c r="Z965" s="106"/>
    </row>
    <row r="966">
      <c r="C966" s="79"/>
      <c r="D966" s="79"/>
      <c r="J966" s="79"/>
      <c r="P966" s="79"/>
      <c r="Q966" s="79"/>
      <c r="T966" s="79"/>
      <c r="U966" s="79"/>
      <c r="X966" s="130"/>
      <c r="Z966" s="106"/>
    </row>
    <row r="967">
      <c r="C967" s="79"/>
      <c r="D967" s="79"/>
      <c r="J967" s="79"/>
      <c r="P967" s="79"/>
      <c r="Q967" s="79"/>
      <c r="T967" s="79"/>
      <c r="U967" s="79"/>
      <c r="X967" s="130"/>
      <c r="Z967" s="106"/>
    </row>
    <row r="968">
      <c r="C968" s="79"/>
      <c r="D968" s="79"/>
      <c r="J968" s="79"/>
      <c r="P968" s="79"/>
      <c r="Q968" s="79"/>
      <c r="T968" s="79"/>
      <c r="U968" s="79"/>
      <c r="X968" s="130"/>
      <c r="Z968" s="106"/>
    </row>
    <row r="969">
      <c r="C969" s="79"/>
      <c r="D969" s="79"/>
      <c r="J969" s="79"/>
      <c r="P969" s="79"/>
      <c r="Q969" s="79"/>
      <c r="T969" s="79"/>
      <c r="U969" s="79"/>
      <c r="X969" s="130"/>
      <c r="Z969" s="106"/>
    </row>
    <row r="970">
      <c r="C970" s="79"/>
      <c r="D970" s="79"/>
      <c r="J970" s="79"/>
      <c r="P970" s="79"/>
      <c r="Q970" s="79"/>
      <c r="T970" s="79"/>
      <c r="U970" s="79"/>
      <c r="X970" s="130"/>
      <c r="Z970" s="106"/>
    </row>
    <row r="971">
      <c r="C971" s="79"/>
      <c r="D971" s="79"/>
      <c r="J971" s="79"/>
      <c r="P971" s="79"/>
      <c r="Q971" s="79"/>
      <c r="T971" s="79"/>
      <c r="U971" s="79"/>
      <c r="X971" s="130"/>
      <c r="Z971" s="106"/>
    </row>
    <row r="972">
      <c r="C972" s="79"/>
      <c r="D972" s="79"/>
      <c r="J972" s="79"/>
      <c r="P972" s="79"/>
      <c r="Q972" s="79"/>
      <c r="T972" s="79"/>
      <c r="U972" s="79"/>
      <c r="X972" s="130"/>
      <c r="Z972" s="106"/>
    </row>
    <row r="973">
      <c r="C973" s="79"/>
      <c r="D973" s="79"/>
      <c r="J973" s="79"/>
      <c r="P973" s="79"/>
      <c r="Q973" s="79"/>
      <c r="T973" s="79"/>
      <c r="U973" s="79"/>
      <c r="X973" s="130"/>
      <c r="Z973" s="106"/>
    </row>
    <row r="974">
      <c r="C974" s="79"/>
      <c r="D974" s="79"/>
      <c r="J974" s="79"/>
      <c r="P974" s="79"/>
      <c r="Q974" s="79"/>
      <c r="T974" s="79"/>
      <c r="U974" s="79"/>
      <c r="X974" s="130"/>
      <c r="Z974" s="106"/>
    </row>
    <row r="975">
      <c r="C975" s="79"/>
      <c r="D975" s="79"/>
      <c r="J975" s="79"/>
      <c r="P975" s="79"/>
      <c r="Q975" s="79"/>
      <c r="T975" s="79"/>
      <c r="U975" s="79"/>
      <c r="X975" s="130"/>
      <c r="Z975" s="106"/>
    </row>
    <row r="976">
      <c r="C976" s="79"/>
      <c r="D976" s="79"/>
      <c r="J976" s="79"/>
      <c r="P976" s="79"/>
      <c r="Q976" s="79"/>
      <c r="T976" s="79"/>
      <c r="U976" s="79"/>
      <c r="X976" s="130"/>
      <c r="Z976" s="106"/>
    </row>
    <row r="977">
      <c r="C977" s="79"/>
      <c r="D977" s="79"/>
      <c r="J977" s="79"/>
      <c r="P977" s="79"/>
      <c r="Q977" s="79"/>
      <c r="T977" s="79"/>
      <c r="U977" s="79"/>
      <c r="X977" s="130"/>
      <c r="Z977" s="106"/>
    </row>
    <row r="978">
      <c r="C978" s="79"/>
      <c r="D978" s="79"/>
      <c r="J978" s="79"/>
      <c r="P978" s="79"/>
      <c r="Q978" s="79"/>
      <c r="T978" s="79"/>
      <c r="U978" s="79"/>
      <c r="X978" s="130"/>
      <c r="Z978" s="106"/>
    </row>
    <row r="979">
      <c r="C979" s="79"/>
      <c r="D979" s="79"/>
      <c r="J979" s="79"/>
      <c r="P979" s="79"/>
      <c r="Q979" s="79"/>
      <c r="T979" s="79"/>
      <c r="U979" s="79"/>
      <c r="X979" s="130"/>
      <c r="Z979" s="106"/>
    </row>
    <row r="980">
      <c r="C980" s="79"/>
      <c r="D980" s="79"/>
      <c r="J980" s="79"/>
      <c r="P980" s="79"/>
      <c r="Q980" s="79"/>
      <c r="T980" s="79"/>
      <c r="U980" s="79"/>
      <c r="X980" s="130"/>
      <c r="Z980" s="106"/>
    </row>
    <row r="981">
      <c r="C981" s="79"/>
      <c r="D981" s="79"/>
      <c r="J981" s="79"/>
      <c r="P981" s="79"/>
      <c r="Q981" s="79"/>
      <c r="T981" s="79"/>
      <c r="U981" s="79"/>
      <c r="X981" s="130"/>
      <c r="Z981" s="106"/>
    </row>
    <row r="982">
      <c r="C982" s="79"/>
      <c r="D982" s="79"/>
      <c r="J982" s="79"/>
      <c r="P982" s="79"/>
      <c r="Q982" s="79"/>
      <c r="T982" s="79"/>
      <c r="U982" s="79"/>
      <c r="X982" s="130"/>
      <c r="Z982" s="106"/>
    </row>
    <row r="983">
      <c r="C983" s="79"/>
      <c r="D983" s="79"/>
      <c r="J983" s="79"/>
      <c r="P983" s="79"/>
      <c r="Q983" s="79"/>
      <c r="T983" s="79"/>
      <c r="U983" s="79"/>
      <c r="X983" s="130"/>
      <c r="Z983" s="106"/>
    </row>
    <row r="984">
      <c r="C984" s="79"/>
      <c r="D984" s="79"/>
      <c r="J984" s="79"/>
      <c r="P984" s="79"/>
      <c r="Q984" s="79"/>
      <c r="T984" s="79"/>
      <c r="U984" s="79"/>
      <c r="X984" s="130"/>
      <c r="Z984" s="106"/>
    </row>
    <row r="985">
      <c r="C985" s="79"/>
      <c r="D985" s="79"/>
      <c r="J985" s="79"/>
      <c r="P985" s="79"/>
      <c r="Q985" s="79"/>
      <c r="T985" s="79"/>
      <c r="U985" s="79"/>
      <c r="X985" s="130"/>
      <c r="Z985" s="106"/>
    </row>
    <row r="986">
      <c r="C986" s="79"/>
      <c r="D986" s="79"/>
      <c r="J986" s="79"/>
      <c r="P986" s="79"/>
      <c r="Q986" s="79"/>
      <c r="T986" s="79"/>
      <c r="U986" s="79"/>
      <c r="X986" s="130"/>
      <c r="Z986" s="106"/>
    </row>
    <row r="987">
      <c r="C987" s="79"/>
      <c r="D987" s="79"/>
      <c r="J987" s="79"/>
      <c r="P987" s="79"/>
      <c r="Q987" s="79"/>
      <c r="T987" s="79"/>
      <c r="U987" s="79"/>
      <c r="X987" s="130"/>
      <c r="Z987" s="106"/>
    </row>
    <row r="988">
      <c r="C988" s="79"/>
      <c r="D988" s="79"/>
      <c r="J988" s="79"/>
      <c r="P988" s="79"/>
      <c r="Q988" s="79"/>
      <c r="T988" s="79"/>
      <c r="U988" s="79"/>
      <c r="X988" s="130"/>
      <c r="Z988" s="106"/>
    </row>
    <row r="989">
      <c r="C989" s="79"/>
      <c r="D989" s="79"/>
      <c r="J989" s="79"/>
      <c r="P989" s="79"/>
      <c r="Q989" s="79"/>
      <c r="T989" s="79"/>
      <c r="U989" s="79"/>
      <c r="X989" s="130"/>
      <c r="Z989" s="106"/>
    </row>
    <row r="990">
      <c r="C990" s="79"/>
      <c r="D990" s="79"/>
      <c r="J990" s="79"/>
      <c r="P990" s="79"/>
      <c r="Q990" s="79"/>
      <c r="T990" s="79"/>
      <c r="U990" s="79"/>
      <c r="X990" s="130"/>
      <c r="Z990" s="106"/>
    </row>
    <row r="991">
      <c r="C991" s="79"/>
      <c r="D991" s="79"/>
      <c r="J991" s="79"/>
      <c r="P991" s="79"/>
      <c r="Q991" s="79"/>
      <c r="T991" s="79"/>
      <c r="U991" s="79"/>
      <c r="X991" s="130"/>
      <c r="Z991" s="106"/>
    </row>
    <row r="992">
      <c r="C992" s="79"/>
      <c r="D992" s="79"/>
      <c r="J992" s="79"/>
      <c r="P992" s="79"/>
      <c r="Q992" s="79"/>
      <c r="T992" s="79"/>
      <c r="U992" s="79"/>
      <c r="X992" s="130"/>
      <c r="Z992" s="106"/>
    </row>
    <row r="993">
      <c r="C993" s="79"/>
      <c r="D993" s="79"/>
      <c r="J993" s="79"/>
      <c r="P993" s="79"/>
      <c r="Q993" s="79"/>
      <c r="T993" s="79"/>
      <c r="U993" s="79"/>
      <c r="X993" s="130"/>
      <c r="Z993" s="106"/>
    </row>
    <row r="994">
      <c r="C994" s="79"/>
      <c r="D994" s="79"/>
      <c r="J994" s="79"/>
      <c r="P994" s="79"/>
      <c r="Q994" s="79"/>
      <c r="T994" s="79"/>
      <c r="U994" s="79"/>
      <c r="X994" s="130"/>
      <c r="Z994" s="106"/>
    </row>
    <row r="995">
      <c r="C995" s="79"/>
      <c r="D995" s="79"/>
      <c r="J995" s="79"/>
      <c r="P995" s="79"/>
      <c r="Q995" s="79"/>
      <c r="T995" s="79"/>
      <c r="U995" s="79"/>
      <c r="X995" s="130"/>
      <c r="Z995" s="106"/>
    </row>
    <row r="996">
      <c r="C996" s="79"/>
      <c r="D996" s="79"/>
      <c r="J996" s="79"/>
      <c r="P996" s="79"/>
      <c r="Q996" s="79"/>
      <c r="T996" s="79"/>
      <c r="U996" s="79"/>
      <c r="X996" s="130"/>
      <c r="Z996" s="106"/>
    </row>
    <row r="997">
      <c r="C997" s="79"/>
      <c r="D997" s="79"/>
      <c r="J997" s="79"/>
      <c r="P997" s="79"/>
      <c r="Q997" s="79"/>
      <c r="T997" s="79"/>
      <c r="U997" s="79"/>
      <c r="X997" s="130"/>
      <c r="Z997" s="106"/>
    </row>
    <row r="998">
      <c r="C998" s="79"/>
      <c r="D998" s="79"/>
      <c r="J998" s="79"/>
      <c r="P998" s="79"/>
      <c r="Q998" s="79"/>
      <c r="T998" s="79"/>
      <c r="U998" s="79"/>
      <c r="X998" s="130"/>
      <c r="Z998" s="106"/>
    </row>
    <row r="999">
      <c r="C999" s="79"/>
      <c r="D999" s="79"/>
      <c r="J999" s="79"/>
      <c r="P999" s="79"/>
      <c r="Q999" s="79"/>
      <c r="T999" s="79"/>
      <c r="U999" s="79"/>
      <c r="X999" s="130"/>
      <c r="Z999" s="106"/>
    </row>
    <row r="1000">
      <c r="C1000" s="79"/>
      <c r="D1000" s="79"/>
      <c r="J1000" s="79"/>
      <c r="P1000" s="79"/>
      <c r="Q1000" s="79"/>
      <c r="T1000" s="79"/>
      <c r="U1000" s="79"/>
      <c r="X1000" s="130"/>
      <c r="Z1000" s="106"/>
    </row>
  </sheetData>
  <mergeCells count="1">
    <mergeCell ref="H19:J19"/>
  </mergeCells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6" max="26" width="17.0"/>
  </cols>
  <sheetData>
    <row r="1">
      <c r="B1" s="2" t="s">
        <v>0</v>
      </c>
      <c r="C1" s="105" t="s">
        <v>1</v>
      </c>
      <c r="D1" s="105" t="s">
        <v>7</v>
      </c>
      <c r="E1" s="2" t="s">
        <v>3</v>
      </c>
      <c r="F1" s="2" t="s">
        <v>129</v>
      </c>
      <c r="G1" s="2" t="s">
        <v>5</v>
      </c>
      <c r="H1" s="2" t="s">
        <v>6</v>
      </c>
      <c r="I1" s="2" t="s">
        <v>43</v>
      </c>
      <c r="J1" s="105" t="s">
        <v>40</v>
      </c>
      <c r="K1" s="2" t="s">
        <v>49</v>
      </c>
      <c r="L1" s="2" t="s">
        <v>42</v>
      </c>
      <c r="M1" s="2"/>
      <c r="N1" s="2" t="s">
        <v>121</v>
      </c>
      <c r="O1" s="2" t="s">
        <v>164</v>
      </c>
      <c r="P1" s="105" t="s">
        <v>9</v>
      </c>
      <c r="Q1" s="105" t="s">
        <v>165</v>
      </c>
      <c r="R1" s="2" t="s">
        <v>37</v>
      </c>
      <c r="S1" s="2" t="s">
        <v>10</v>
      </c>
      <c r="T1" s="105" t="s">
        <v>11</v>
      </c>
      <c r="U1" s="105" t="s">
        <v>167</v>
      </c>
      <c r="V1" s="2" t="s">
        <v>12</v>
      </c>
      <c r="W1" s="3" t="s">
        <v>13</v>
      </c>
      <c r="X1" s="126" t="s">
        <v>14</v>
      </c>
      <c r="Y1" s="3" t="s">
        <v>15</v>
      </c>
      <c r="Z1" s="106"/>
    </row>
    <row r="2">
      <c r="A2" s="74">
        <v>45173.0</v>
      </c>
      <c r="B2" s="5"/>
      <c r="C2" s="93"/>
      <c r="D2" s="93"/>
      <c r="E2" s="5"/>
      <c r="F2" s="5"/>
      <c r="G2" s="5"/>
      <c r="H2" s="5"/>
      <c r="I2" s="5"/>
      <c r="J2" s="136"/>
      <c r="K2" s="5">
        <v>84.0</v>
      </c>
      <c r="L2" s="5"/>
      <c r="M2" s="5"/>
      <c r="N2" s="5"/>
      <c r="O2" s="5"/>
      <c r="P2" s="93"/>
      <c r="Q2" s="93"/>
      <c r="R2" s="5"/>
      <c r="S2" s="5"/>
      <c r="T2" s="93">
        <v>109.97</v>
      </c>
      <c r="U2" s="93"/>
      <c r="V2" s="5"/>
      <c r="W2" s="107">
        <f t="shared" ref="W2:W7" si="1">SUM(B2:V2)</f>
        <v>193.97</v>
      </c>
      <c r="X2" s="108">
        <v>4430.8</v>
      </c>
      <c r="Y2" s="59">
        <f t="shared" ref="Y2:Y8" si="2">W2/X2</f>
        <v>0.04377764738</v>
      </c>
      <c r="Z2" s="109">
        <f t="shared" ref="Z2:Z8" si="3">A2</f>
        <v>45173</v>
      </c>
    </row>
    <row r="3">
      <c r="A3" s="74">
        <v>45174.0</v>
      </c>
      <c r="B3" s="5">
        <v>2813.54</v>
      </c>
      <c r="C3" s="110">
        <v>926.51</v>
      </c>
      <c r="D3" s="93"/>
      <c r="E3" s="5"/>
      <c r="F3" s="5">
        <v>638.89</v>
      </c>
      <c r="G3" s="5">
        <v>198.0</v>
      </c>
      <c r="H3" s="5">
        <v>42.0</v>
      </c>
      <c r="I3" s="5"/>
      <c r="J3" s="93"/>
      <c r="K3" s="5"/>
      <c r="L3" s="5"/>
      <c r="M3" s="5"/>
      <c r="N3" s="6"/>
      <c r="O3" s="6"/>
      <c r="P3" s="93"/>
      <c r="Q3" s="93"/>
      <c r="R3" s="93"/>
      <c r="S3" s="5"/>
      <c r="T3" s="93"/>
      <c r="U3" s="93"/>
      <c r="V3" s="93"/>
      <c r="W3" s="7">
        <f t="shared" si="1"/>
        <v>4618.94</v>
      </c>
      <c r="X3" s="97">
        <v>6820.0</v>
      </c>
      <c r="Y3" s="59">
        <f t="shared" si="2"/>
        <v>0.6772639296</v>
      </c>
      <c r="Z3" s="109">
        <f t="shared" si="3"/>
        <v>45174</v>
      </c>
    </row>
    <row r="4">
      <c r="A4" s="74">
        <v>45175.0</v>
      </c>
      <c r="B4" s="5">
        <v>984.72</v>
      </c>
      <c r="C4" s="93">
        <v>1018.16</v>
      </c>
      <c r="D4" s="93"/>
      <c r="E4" s="5"/>
      <c r="F4" s="5"/>
      <c r="G4" s="5"/>
      <c r="H4" s="5"/>
      <c r="I4" s="5"/>
      <c r="J4" s="93"/>
      <c r="K4" s="5"/>
      <c r="L4" s="5"/>
      <c r="M4" s="5"/>
      <c r="N4" s="5">
        <v>18.5</v>
      </c>
      <c r="O4" s="5"/>
      <c r="P4" s="93"/>
      <c r="Q4" s="93"/>
      <c r="R4" s="5"/>
      <c r="S4" s="83"/>
      <c r="T4" s="93">
        <v>109.97</v>
      </c>
      <c r="U4" s="93"/>
      <c r="V4" s="6"/>
      <c r="W4" s="7">
        <f t="shared" si="1"/>
        <v>2131.35</v>
      </c>
      <c r="X4" s="97">
        <v>7004.5</v>
      </c>
      <c r="Y4" s="59">
        <f t="shared" si="2"/>
        <v>0.304282961</v>
      </c>
      <c r="Z4" s="109">
        <f t="shared" si="3"/>
        <v>45175</v>
      </c>
    </row>
    <row r="5">
      <c r="A5" s="74">
        <v>45176.0</v>
      </c>
      <c r="B5" s="5">
        <v>1789.79</v>
      </c>
      <c r="C5" s="93">
        <v>303.83</v>
      </c>
      <c r="D5" s="101"/>
      <c r="E5" s="5">
        <v>180.0</v>
      </c>
      <c r="F5" s="5"/>
      <c r="G5" s="5"/>
      <c r="H5" s="5">
        <v>123.0</v>
      </c>
      <c r="I5" s="5"/>
      <c r="J5" s="93"/>
      <c r="K5" s="5"/>
      <c r="L5" s="5"/>
      <c r="M5" s="5"/>
      <c r="N5" s="5">
        <v>18.5</v>
      </c>
      <c r="O5" s="5"/>
      <c r="P5" s="93"/>
      <c r="Q5" s="93"/>
      <c r="R5" s="5"/>
      <c r="S5" s="5"/>
      <c r="T5" s="101"/>
      <c r="U5" s="101"/>
      <c r="V5" s="6"/>
      <c r="W5" s="7">
        <f t="shared" si="1"/>
        <v>2415.12</v>
      </c>
      <c r="X5" s="98">
        <v>7105.2</v>
      </c>
      <c r="Y5" s="59">
        <f t="shared" si="2"/>
        <v>0.3399087992</v>
      </c>
      <c r="Z5" s="109">
        <f t="shared" si="3"/>
        <v>45176</v>
      </c>
    </row>
    <row r="6">
      <c r="A6" s="74">
        <v>45177.0</v>
      </c>
      <c r="B6" s="5">
        <v>998.84</v>
      </c>
      <c r="C6" s="93">
        <v>604.38</v>
      </c>
      <c r="D6" s="93"/>
      <c r="E6" s="5"/>
      <c r="F6" s="32">
        <v>526.99</v>
      </c>
      <c r="G6" s="5">
        <v>336.75</v>
      </c>
      <c r="H6" s="5"/>
      <c r="I6" s="5"/>
      <c r="J6" s="111"/>
      <c r="K6" s="5"/>
      <c r="L6" s="5"/>
      <c r="M6" s="5"/>
      <c r="N6" s="5">
        <v>18.5</v>
      </c>
      <c r="O6" s="5"/>
      <c r="P6" s="93"/>
      <c r="Q6" s="93"/>
      <c r="R6" s="5"/>
      <c r="S6" s="5"/>
      <c r="T6" s="93">
        <v>109.97</v>
      </c>
      <c r="U6" s="93"/>
      <c r="V6" s="5"/>
      <c r="W6" s="7">
        <f t="shared" si="1"/>
        <v>2595.43</v>
      </c>
      <c r="X6" s="97">
        <v>11768.5</v>
      </c>
      <c r="Y6" s="59">
        <f t="shared" si="2"/>
        <v>0.2205404257</v>
      </c>
      <c r="Z6" s="109">
        <f t="shared" si="3"/>
        <v>45177</v>
      </c>
    </row>
    <row r="7">
      <c r="A7" s="74">
        <v>45178.0</v>
      </c>
      <c r="B7" s="5">
        <v>1078.9</v>
      </c>
      <c r="C7" s="93">
        <v>472.7</v>
      </c>
      <c r="D7" s="93"/>
      <c r="E7" s="5"/>
      <c r="F7" s="5"/>
      <c r="G7" s="5"/>
      <c r="H7" s="5"/>
      <c r="I7" s="5"/>
      <c r="J7" s="101"/>
      <c r="K7" s="5">
        <v>84.0</v>
      </c>
      <c r="L7" s="5">
        <v>36.0</v>
      </c>
      <c r="M7" s="5"/>
      <c r="N7" s="93"/>
      <c r="O7" s="93"/>
      <c r="P7" s="93"/>
      <c r="Q7" s="93"/>
      <c r="R7" s="6"/>
      <c r="S7" s="6"/>
      <c r="T7" s="101"/>
      <c r="U7" s="101"/>
      <c r="V7" s="5">
        <v>73.35</v>
      </c>
      <c r="W7" s="7">
        <f t="shared" si="1"/>
        <v>1744.95</v>
      </c>
      <c r="X7" s="97">
        <v>15021.5</v>
      </c>
      <c r="Y7" s="59">
        <f t="shared" si="2"/>
        <v>0.116163499</v>
      </c>
      <c r="Z7" s="109">
        <f t="shared" si="3"/>
        <v>45178</v>
      </c>
    </row>
    <row r="8">
      <c r="A8" s="74">
        <v>45179.0</v>
      </c>
      <c r="B8" s="10" t="s">
        <v>21</v>
      </c>
      <c r="C8" s="112" t="s">
        <v>21</v>
      </c>
      <c r="D8" s="112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12" t="s">
        <v>21</v>
      </c>
      <c r="K8" s="10" t="s">
        <v>21</v>
      </c>
      <c r="L8" s="10" t="s">
        <v>21</v>
      </c>
      <c r="M8" s="10"/>
      <c r="N8" s="10"/>
      <c r="O8" s="10"/>
      <c r="P8" s="112" t="s">
        <v>21</v>
      </c>
      <c r="Q8" s="112"/>
      <c r="R8" s="10" t="s">
        <v>21</v>
      </c>
      <c r="S8" s="10" t="s">
        <v>21</v>
      </c>
      <c r="T8" s="112" t="s">
        <v>21</v>
      </c>
      <c r="U8" s="112"/>
      <c r="V8" s="10" t="s">
        <v>21</v>
      </c>
      <c r="W8" s="7">
        <v>0.0</v>
      </c>
      <c r="X8" s="97">
        <v>2718.0</v>
      </c>
      <c r="Y8" s="59">
        <f t="shared" si="2"/>
        <v>0</v>
      </c>
      <c r="Z8" s="109">
        <f t="shared" si="3"/>
        <v>45179</v>
      </c>
    </row>
    <row r="9">
      <c r="C9" s="136"/>
      <c r="D9" s="138"/>
      <c r="J9" s="79"/>
      <c r="T9" s="79"/>
      <c r="U9" s="79"/>
      <c r="X9" s="129"/>
      <c r="Z9" s="106"/>
    </row>
    <row r="10">
      <c r="C10" s="79"/>
      <c r="D10" s="79"/>
      <c r="J10" s="79"/>
      <c r="P10" s="79"/>
      <c r="Q10" s="79"/>
      <c r="T10" s="79"/>
      <c r="U10" s="79"/>
      <c r="X10" s="130"/>
      <c r="Z10" s="106"/>
    </row>
    <row r="11">
      <c r="A11" s="4" t="s">
        <v>22</v>
      </c>
      <c r="B11" s="11">
        <v>13000.0</v>
      </c>
      <c r="C11" s="79"/>
      <c r="D11" s="79"/>
      <c r="E11" s="78"/>
      <c r="F11" s="79"/>
      <c r="J11" s="79"/>
      <c r="P11" s="79"/>
      <c r="Q11" s="79"/>
      <c r="T11" s="79"/>
      <c r="U11" s="79"/>
      <c r="X11" s="131"/>
      <c r="Z11" s="106"/>
    </row>
    <row r="12">
      <c r="A12" s="4" t="s">
        <v>23</v>
      </c>
      <c r="B12" s="12">
        <f>SUM(B2:V8)+C9</f>
        <v>13699.76</v>
      </c>
      <c r="C12" s="79"/>
      <c r="D12" s="79"/>
      <c r="E12" s="56"/>
      <c r="J12" s="79"/>
      <c r="P12" s="79"/>
      <c r="Q12" s="79"/>
      <c r="T12" s="79"/>
      <c r="U12" s="79"/>
      <c r="X12" s="130"/>
      <c r="Z12" s="106"/>
    </row>
    <row r="13">
      <c r="A13" s="4" t="s">
        <v>24</v>
      </c>
      <c r="B13" s="12">
        <f> SUM(B11-B12)</f>
        <v>-699.76</v>
      </c>
      <c r="C13" s="79"/>
      <c r="D13" s="79"/>
      <c r="J13" s="79"/>
      <c r="P13" s="79"/>
      <c r="Q13" s="79"/>
      <c r="T13" s="79"/>
      <c r="U13" s="79"/>
      <c r="X13" s="130"/>
      <c r="Z13" s="106"/>
    </row>
    <row r="14">
      <c r="C14" s="79"/>
      <c r="D14" s="79"/>
      <c r="J14" s="79"/>
      <c r="P14" s="79"/>
      <c r="Q14" s="79"/>
      <c r="T14" s="79"/>
      <c r="U14" s="79"/>
      <c r="X14" s="130"/>
      <c r="Z14" s="106"/>
    </row>
    <row r="15">
      <c r="A15" s="13" t="s">
        <v>25</v>
      </c>
      <c r="B15" s="14">
        <f>SUM(X2:X8)</f>
        <v>54868.5</v>
      </c>
      <c r="C15" s="79"/>
      <c r="D15" s="79"/>
      <c r="J15" s="79"/>
      <c r="P15" s="79"/>
      <c r="Q15" s="79"/>
      <c r="T15" s="79"/>
      <c r="U15" s="79"/>
      <c r="X15" s="130"/>
      <c r="Z15" s="106"/>
    </row>
    <row r="16">
      <c r="A16" s="13" t="s">
        <v>26</v>
      </c>
      <c r="B16" s="15">
        <f>B12/B15</f>
        <v>0.249683516</v>
      </c>
      <c r="C16" s="79"/>
      <c r="D16" s="79"/>
      <c r="J16" s="79"/>
      <c r="P16" s="79"/>
      <c r="Q16" s="79"/>
      <c r="T16" s="79"/>
      <c r="U16" s="79"/>
      <c r="X16" s="130"/>
      <c r="Z16" s="106"/>
    </row>
    <row r="17">
      <c r="C17" s="79"/>
      <c r="D17" s="79"/>
      <c r="J17" s="79"/>
      <c r="P17" s="79"/>
      <c r="Q17" s="79"/>
      <c r="T17" s="79"/>
      <c r="U17" s="79"/>
      <c r="X17" s="130"/>
      <c r="Z17" s="106"/>
    </row>
    <row r="18">
      <c r="C18" s="79"/>
      <c r="D18" s="79"/>
      <c r="J18" s="79"/>
      <c r="P18" s="79"/>
      <c r="Q18" s="79"/>
      <c r="T18" s="79"/>
      <c r="U18" s="79"/>
      <c r="X18" s="130"/>
      <c r="Z18" s="106"/>
    </row>
    <row r="19">
      <c r="A19" s="16" t="s">
        <v>27</v>
      </c>
      <c r="B19" s="17"/>
      <c r="C19" s="114"/>
      <c r="D19" s="115"/>
      <c r="H19" s="84"/>
      <c r="P19" s="79"/>
      <c r="Q19" s="79"/>
      <c r="T19" s="79"/>
      <c r="U19" s="79"/>
      <c r="X19" s="130"/>
      <c r="Z19" s="106"/>
    </row>
    <row r="20">
      <c r="A20" s="19" t="s">
        <v>28</v>
      </c>
      <c r="B20" s="20"/>
      <c r="C20" s="116"/>
      <c r="D20" s="117"/>
      <c r="H20" s="85"/>
      <c r="I20" s="85"/>
      <c r="J20" s="118"/>
      <c r="P20" s="79"/>
      <c r="Q20" s="79"/>
      <c r="T20" s="79"/>
      <c r="U20" s="79"/>
      <c r="X20" s="130"/>
      <c r="Z20" s="106"/>
    </row>
    <row r="21">
      <c r="A21" s="22" t="s">
        <v>29</v>
      </c>
      <c r="B21" s="23" t="s">
        <v>30</v>
      </c>
      <c r="C21" s="119" t="s">
        <v>170</v>
      </c>
      <c r="D21" s="120" t="s">
        <v>171</v>
      </c>
      <c r="H21" s="86"/>
      <c r="I21" s="85"/>
      <c r="J21" s="118"/>
      <c r="P21" s="79"/>
      <c r="Q21" s="79"/>
      <c r="T21" s="79"/>
      <c r="U21" s="79"/>
      <c r="X21" s="130"/>
      <c r="Z21" s="106"/>
    </row>
    <row r="22">
      <c r="A22" s="28" t="s">
        <v>149</v>
      </c>
      <c r="B22" s="72"/>
      <c r="C22" s="121"/>
      <c r="D22" s="122"/>
      <c r="H22" s="87"/>
      <c r="I22" s="85"/>
      <c r="J22" s="118"/>
      <c r="P22" s="79"/>
      <c r="Q22" s="79"/>
      <c r="T22" s="79"/>
      <c r="U22" s="79"/>
      <c r="X22" s="130"/>
      <c r="Z22" s="106"/>
    </row>
    <row r="23">
      <c r="A23" s="28" t="s">
        <v>150</v>
      </c>
      <c r="B23" s="72"/>
      <c r="C23" s="121"/>
      <c r="D23" s="122"/>
      <c r="H23" s="88"/>
      <c r="I23" s="88"/>
      <c r="J23" s="123"/>
      <c r="P23" s="79"/>
      <c r="Q23" s="79"/>
      <c r="T23" s="79"/>
      <c r="U23" s="79"/>
      <c r="X23" s="130"/>
      <c r="Z23" s="106"/>
    </row>
    <row r="24">
      <c r="A24" s="71" t="s">
        <v>108</v>
      </c>
      <c r="B24" s="72"/>
      <c r="C24" s="71"/>
      <c r="D24" s="124"/>
      <c r="H24" s="88"/>
      <c r="I24" s="88"/>
      <c r="J24" s="123"/>
      <c r="P24" s="79"/>
      <c r="Q24" s="79"/>
      <c r="T24" s="79"/>
      <c r="U24" s="79"/>
      <c r="X24" s="130"/>
      <c r="Z24" s="106"/>
    </row>
    <row r="25">
      <c r="A25" s="28" t="s">
        <v>159</v>
      </c>
      <c r="B25" s="41"/>
      <c r="C25" s="121"/>
      <c r="D25" s="124"/>
      <c r="H25" s="88"/>
      <c r="I25" s="88"/>
      <c r="J25" s="123"/>
      <c r="P25" s="79"/>
      <c r="Q25" s="79"/>
      <c r="T25" s="79"/>
      <c r="U25" s="79"/>
      <c r="X25" s="130"/>
      <c r="Z25" s="106"/>
    </row>
    <row r="26">
      <c r="A26" s="28" t="s">
        <v>160</v>
      </c>
      <c r="B26" s="41"/>
      <c r="C26" s="71"/>
      <c r="D26" s="124"/>
      <c r="H26" s="88"/>
      <c r="I26" s="88"/>
      <c r="J26" s="123"/>
      <c r="P26" s="79"/>
      <c r="Q26" s="79"/>
      <c r="T26" s="79"/>
      <c r="U26" s="79"/>
      <c r="X26" s="130"/>
      <c r="Z26" s="106"/>
    </row>
    <row r="27">
      <c r="A27" s="28" t="s">
        <v>172</v>
      </c>
      <c r="B27" s="41"/>
      <c r="C27" s="71"/>
      <c r="D27" s="122"/>
      <c r="H27" s="88"/>
      <c r="I27" s="88"/>
      <c r="J27" s="123"/>
      <c r="P27" s="79"/>
      <c r="Q27" s="79"/>
      <c r="T27" s="79"/>
      <c r="U27" s="79"/>
      <c r="X27" s="130"/>
      <c r="Z27" s="106"/>
    </row>
    <row r="28">
      <c r="A28" s="25"/>
      <c r="B28" s="26"/>
      <c r="C28" s="121"/>
      <c r="D28" s="122"/>
      <c r="J28" s="79"/>
      <c r="P28" s="79"/>
      <c r="Q28" s="79"/>
      <c r="T28" s="79"/>
      <c r="U28" s="79"/>
      <c r="X28" s="132"/>
      <c r="Z28" s="106"/>
    </row>
    <row r="29">
      <c r="A29" s="25"/>
      <c r="B29" s="26"/>
      <c r="C29" s="121"/>
      <c r="D29" s="122"/>
      <c r="I29" s="89"/>
      <c r="J29" s="125"/>
      <c r="P29" s="79"/>
      <c r="Q29" s="79"/>
      <c r="T29" s="79"/>
      <c r="U29" s="79"/>
      <c r="X29" s="130"/>
      <c r="Z29" s="106"/>
    </row>
    <row r="30">
      <c r="C30" s="79"/>
      <c r="D30" s="79"/>
      <c r="J30" s="79"/>
      <c r="P30" s="79"/>
      <c r="Q30" s="79"/>
      <c r="T30" s="79"/>
      <c r="U30" s="79"/>
      <c r="X30" s="130"/>
      <c r="Z30" s="106"/>
    </row>
    <row r="31">
      <c r="C31" s="79"/>
      <c r="D31" s="79"/>
      <c r="J31" s="79"/>
      <c r="P31" s="79"/>
      <c r="Q31" s="79"/>
      <c r="T31" s="79"/>
      <c r="U31" s="79"/>
      <c r="X31" s="130"/>
      <c r="Z31" s="106"/>
    </row>
    <row r="32">
      <c r="C32" s="79"/>
      <c r="D32" s="79"/>
      <c r="J32" s="79"/>
      <c r="P32" s="79"/>
      <c r="Q32" s="79"/>
      <c r="T32" s="79"/>
      <c r="U32" s="79"/>
      <c r="X32" s="130"/>
      <c r="Z32" s="106"/>
    </row>
    <row r="33">
      <c r="C33" s="79"/>
      <c r="D33" s="79"/>
      <c r="J33" s="79"/>
      <c r="P33" s="79"/>
      <c r="Q33" s="79"/>
      <c r="T33" s="79"/>
      <c r="U33" s="79"/>
      <c r="X33" s="130"/>
      <c r="Z33" s="106"/>
    </row>
    <row r="34">
      <c r="C34" s="79"/>
      <c r="D34" s="79"/>
      <c r="J34" s="79"/>
      <c r="P34" s="79"/>
      <c r="Q34" s="79"/>
      <c r="T34" s="79"/>
      <c r="U34" s="79"/>
      <c r="X34" s="130"/>
      <c r="Z34" s="106"/>
    </row>
    <row r="35">
      <c r="C35" s="79"/>
      <c r="D35" s="79"/>
      <c r="J35" s="79"/>
      <c r="P35" s="79"/>
      <c r="Q35" s="79"/>
      <c r="T35" s="79"/>
      <c r="U35" s="79"/>
      <c r="X35" s="130"/>
      <c r="Z35" s="106"/>
    </row>
    <row r="36">
      <c r="C36" s="79"/>
      <c r="D36" s="79"/>
      <c r="J36" s="79"/>
      <c r="P36" s="79"/>
      <c r="Q36" s="79"/>
      <c r="T36" s="79"/>
      <c r="U36" s="79"/>
      <c r="X36" s="130"/>
      <c r="Z36" s="106"/>
    </row>
    <row r="37">
      <c r="C37" s="79"/>
      <c r="D37" s="79"/>
      <c r="J37" s="79"/>
      <c r="P37" s="79"/>
      <c r="Q37" s="79"/>
      <c r="T37" s="79"/>
      <c r="U37" s="79"/>
      <c r="X37" s="130"/>
      <c r="Z37" s="106"/>
    </row>
    <row r="38">
      <c r="C38" s="79"/>
      <c r="D38" s="79"/>
      <c r="J38" s="79"/>
      <c r="P38" s="79"/>
      <c r="Q38" s="79"/>
      <c r="T38" s="79"/>
      <c r="U38" s="79"/>
      <c r="X38" s="130"/>
      <c r="Z38" s="106"/>
    </row>
    <row r="39">
      <c r="C39" s="79"/>
      <c r="D39" s="79"/>
      <c r="J39" s="79"/>
      <c r="P39" s="79"/>
      <c r="Q39" s="79"/>
      <c r="T39" s="79"/>
      <c r="U39" s="79"/>
      <c r="X39" s="130"/>
      <c r="Z39" s="106"/>
    </row>
    <row r="40">
      <c r="C40" s="79"/>
      <c r="D40" s="79"/>
      <c r="J40" s="79"/>
      <c r="P40" s="79"/>
      <c r="Q40" s="79"/>
      <c r="T40" s="79"/>
      <c r="U40" s="79"/>
      <c r="X40" s="130"/>
      <c r="Z40" s="106"/>
    </row>
    <row r="41">
      <c r="C41" s="79"/>
      <c r="D41" s="79"/>
      <c r="J41" s="79"/>
      <c r="P41" s="79"/>
      <c r="Q41" s="79"/>
      <c r="T41" s="79"/>
      <c r="U41" s="79"/>
      <c r="X41" s="130"/>
      <c r="Z41" s="106"/>
    </row>
    <row r="42">
      <c r="C42" s="79"/>
      <c r="D42" s="79"/>
      <c r="J42" s="79"/>
      <c r="P42" s="79"/>
      <c r="Q42" s="79"/>
      <c r="T42" s="79"/>
      <c r="U42" s="79"/>
      <c r="X42" s="130"/>
      <c r="Z42" s="106"/>
    </row>
    <row r="43">
      <c r="C43" s="79"/>
      <c r="D43" s="79"/>
      <c r="J43" s="79"/>
      <c r="P43" s="79"/>
      <c r="Q43" s="79"/>
      <c r="T43" s="79"/>
      <c r="U43" s="79"/>
      <c r="X43" s="130"/>
      <c r="Z43" s="106"/>
    </row>
    <row r="44">
      <c r="C44" s="79"/>
      <c r="D44" s="79"/>
      <c r="J44" s="79"/>
      <c r="P44" s="79"/>
      <c r="Q44" s="79"/>
      <c r="T44" s="79"/>
      <c r="U44" s="79"/>
      <c r="X44" s="130"/>
      <c r="Z44" s="106"/>
    </row>
    <row r="45">
      <c r="C45" s="79"/>
      <c r="D45" s="79"/>
      <c r="J45" s="79"/>
      <c r="P45" s="79"/>
      <c r="Q45" s="79"/>
      <c r="T45" s="79"/>
      <c r="U45" s="79"/>
      <c r="X45" s="130"/>
      <c r="Z45" s="106"/>
    </row>
    <row r="46">
      <c r="C46" s="79"/>
      <c r="D46" s="79"/>
      <c r="J46" s="79"/>
      <c r="P46" s="79"/>
      <c r="Q46" s="79"/>
      <c r="T46" s="79"/>
      <c r="U46" s="79"/>
      <c r="X46" s="130"/>
      <c r="Z46" s="106"/>
    </row>
    <row r="47">
      <c r="C47" s="79"/>
      <c r="D47" s="79"/>
      <c r="J47" s="79"/>
      <c r="P47" s="79"/>
      <c r="Q47" s="79"/>
      <c r="T47" s="79"/>
      <c r="U47" s="79"/>
      <c r="X47" s="130"/>
      <c r="Z47" s="106"/>
    </row>
    <row r="48">
      <c r="C48" s="79"/>
      <c r="D48" s="79"/>
      <c r="J48" s="79"/>
      <c r="P48" s="79"/>
      <c r="Q48" s="79"/>
      <c r="T48" s="79"/>
      <c r="U48" s="79"/>
      <c r="X48" s="130"/>
      <c r="Z48" s="106"/>
    </row>
    <row r="49">
      <c r="C49" s="79"/>
      <c r="D49" s="79"/>
      <c r="J49" s="79"/>
      <c r="P49" s="79"/>
      <c r="Q49" s="79"/>
      <c r="T49" s="79"/>
      <c r="U49" s="79"/>
      <c r="X49" s="130"/>
      <c r="Z49" s="106"/>
    </row>
    <row r="50">
      <c r="C50" s="79"/>
      <c r="D50" s="79"/>
      <c r="J50" s="79"/>
      <c r="P50" s="79"/>
      <c r="Q50" s="79"/>
      <c r="T50" s="79"/>
      <c r="U50" s="79"/>
      <c r="X50" s="130"/>
      <c r="Z50" s="106"/>
    </row>
    <row r="51">
      <c r="C51" s="79"/>
      <c r="D51" s="79"/>
      <c r="J51" s="79"/>
      <c r="P51" s="79"/>
      <c r="Q51" s="79"/>
      <c r="T51" s="79"/>
      <c r="U51" s="79"/>
      <c r="X51" s="130"/>
      <c r="Z51" s="106"/>
    </row>
    <row r="52">
      <c r="C52" s="79"/>
      <c r="D52" s="79"/>
      <c r="J52" s="79"/>
      <c r="P52" s="79"/>
      <c r="Q52" s="79"/>
      <c r="T52" s="79"/>
      <c r="U52" s="79"/>
      <c r="X52" s="130"/>
      <c r="Z52" s="106"/>
    </row>
    <row r="53">
      <c r="C53" s="79"/>
      <c r="D53" s="79"/>
      <c r="J53" s="79"/>
      <c r="P53" s="79"/>
      <c r="Q53" s="79"/>
      <c r="T53" s="79"/>
      <c r="U53" s="79"/>
      <c r="X53" s="130"/>
      <c r="Z53" s="106"/>
    </row>
    <row r="54">
      <c r="C54" s="79"/>
      <c r="D54" s="79"/>
      <c r="J54" s="79"/>
      <c r="P54" s="79"/>
      <c r="Q54" s="79"/>
      <c r="T54" s="79"/>
      <c r="U54" s="79"/>
      <c r="X54" s="130"/>
      <c r="Z54" s="106"/>
    </row>
    <row r="55">
      <c r="C55" s="79"/>
      <c r="D55" s="79"/>
      <c r="J55" s="79"/>
      <c r="P55" s="79"/>
      <c r="Q55" s="79"/>
      <c r="T55" s="79"/>
      <c r="U55" s="79"/>
      <c r="X55" s="130"/>
      <c r="Z55" s="106"/>
    </row>
    <row r="56">
      <c r="C56" s="79"/>
      <c r="D56" s="79"/>
      <c r="J56" s="79"/>
      <c r="P56" s="79"/>
      <c r="Q56" s="79"/>
      <c r="T56" s="79"/>
      <c r="U56" s="79"/>
      <c r="X56" s="130"/>
      <c r="Z56" s="106"/>
    </row>
    <row r="57">
      <c r="C57" s="79"/>
      <c r="D57" s="79"/>
      <c r="J57" s="79"/>
      <c r="P57" s="79"/>
      <c r="Q57" s="79"/>
      <c r="T57" s="79"/>
      <c r="U57" s="79"/>
      <c r="X57" s="130"/>
      <c r="Z57" s="106"/>
    </row>
    <row r="58">
      <c r="C58" s="79"/>
      <c r="D58" s="79"/>
      <c r="J58" s="79"/>
      <c r="P58" s="79"/>
      <c r="Q58" s="79"/>
      <c r="T58" s="79"/>
      <c r="U58" s="79"/>
      <c r="X58" s="130"/>
      <c r="Z58" s="106"/>
    </row>
    <row r="59">
      <c r="C59" s="79"/>
      <c r="D59" s="79"/>
      <c r="J59" s="79"/>
      <c r="P59" s="79"/>
      <c r="Q59" s="79"/>
      <c r="T59" s="79"/>
      <c r="U59" s="79"/>
      <c r="X59" s="130"/>
      <c r="Z59" s="106"/>
    </row>
    <row r="60">
      <c r="C60" s="79"/>
      <c r="D60" s="79"/>
      <c r="J60" s="79"/>
      <c r="P60" s="79"/>
      <c r="Q60" s="79"/>
      <c r="T60" s="79"/>
      <c r="U60" s="79"/>
      <c r="X60" s="130"/>
      <c r="Z60" s="106"/>
    </row>
    <row r="61">
      <c r="C61" s="79"/>
      <c r="D61" s="79"/>
      <c r="J61" s="79"/>
      <c r="P61" s="79"/>
      <c r="Q61" s="79"/>
      <c r="T61" s="79"/>
      <c r="U61" s="79"/>
      <c r="X61" s="130"/>
      <c r="Z61" s="106"/>
    </row>
    <row r="62">
      <c r="C62" s="79"/>
      <c r="D62" s="79"/>
      <c r="J62" s="79"/>
      <c r="P62" s="79"/>
      <c r="Q62" s="79"/>
      <c r="T62" s="79"/>
      <c r="U62" s="79"/>
      <c r="X62" s="130"/>
      <c r="Z62" s="106"/>
    </row>
    <row r="63">
      <c r="C63" s="79"/>
      <c r="D63" s="79"/>
      <c r="J63" s="79"/>
      <c r="P63" s="79"/>
      <c r="Q63" s="79"/>
      <c r="T63" s="79"/>
      <c r="U63" s="79"/>
      <c r="X63" s="130"/>
      <c r="Z63" s="106"/>
    </row>
    <row r="64">
      <c r="C64" s="79"/>
      <c r="D64" s="79"/>
      <c r="J64" s="79"/>
      <c r="P64" s="79"/>
      <c r="Q64" s="79"/>
      <c r="T64" s="79"/>
      <c r="U64" s="79"/>
      <c r="X64" s="130"/>
      <c r="Z64" s="106"/>
    </row>
    <row r="65">
      <c r="C65" s="79"/>
      <c r="D65" s="79"/>
      <c r="J65" s="79"/>
      <c r="P65" s="79"/>
      <c r="Q65" s="79"/>
      <c r="T65" s="79"/>
      <c r="U65" s="79"/>
      <c r="X65" s="130"/>
      <c r="Z65" s="106"/>
    </row>
    <row r="66">
      <c r="C66" s="79"/>
      <c r="D66" s="79"/>
      <c r="J66" s="79"/>
      <c r="P66" s="79"/>
      <c r="Q66" s="79"/>
      <c r="T66" s="79"/>
      <c r="U66" s="79"/>
      <c r="X66" s="130"/>
      <c r="Z66" s="106"/>
    </row>
    <row r="67">
      <c r="C67" s="79"/>
      <c r="D67" s="79"/>
      <c r="J67" s="79"/>
      <c r="P67" s="79"/>
      <c r="Q67" s="79"/>
      <c r="T67" s="79"/>
      <c r="U67" s="79"/>
      <c r="X67" s="130"/>
      <c r="Z67" s="106"/>
    </row>
    <row r="68">
      <c r="C68" s="79"/>
      <c r="D68" s="79"/>
      <c r="J68" s="79"/>
      <c r="P68" s="79"/>
      <c r="Q68" s="79"/>
      <c r="T68" s="79"/>
      <c r="U68" s="79"/>
      <c r="X68" s="130"/>
      <c r="Z68" s="106"/>
    </row>
    <row r="69">
      <c r="C69" s="79"/>
      <c r="D69" s="79"/>
      <c r="J69" s="79"/>
      <c r="P69" s="79"/>
      <c r="Q69" s="79"/>
      <c r="T69" s="79"/>
      <c r="U69" s="79"/>
      <c r="X69" s="130"/>
      <c r="Z69" s="106"/>
    </row>
    <row r="70">
      <c r="C70" s="79"/>
      <c r="D70" s="79"/>
      <c r="J70" s="79"/>
      <c r="P70" s="79"/>
      <c r="Q70" s="79"/>
      <c r="T70" s="79"/>
      <c r="U70" s="79"/>
      <c r="X70" s="130"/>
      <c r="Z70" s="106"/>
    </row>
    <row r="71">
      <c r="C71" s="79"/>
      <c r="D71" s="79"/>
      <c r="J71" s="79"/>
      <c r="P71" s="79"/>
      <c r="Q71" s="79"/>
      <c r="T71" s="79"/>
      <c r="U71" s="79"/>
      <c r="X71" s="130"/>
      <c r="Z71" s="106"/>
    </row>
    <row r="72">
      <c r="C72" s="79"/>
      <c r="D72" s="79"/>
      <c r="J72" s="79"/>
      <c r="P72" s="79"/>
      <c r="Q72" s="79"/>
      <c r="T72" s="79"/>
      <c r="U72" s="79"/>
      <c r="X72" s="130"/>
      <c r="Z72" s="106"/>
    </row>
    <row r="73">
      <c r="C73" s="79"/>
      <c r="D73" s="79"/>
      <c r="J73" s="79"/>
      <c r="P73" s="79"/>
      <c r="Q73" s="79"/>
      <c r="T73" s="79"/>
      <c r="U73" s="79"/>
      <c r="X73" s="130"/>
      <c r="Z73" s="106"/>
    </row>
    <row r="74">
      <c r="C74" s="79"/>
      <c r="D74" s="79"/>
      <c r="J74" s="79"/>
      <c r="P74" s="79"/>
      <c r="Q74" s="79"/>
      <c r="T74" s="79"/>
      <c r="U74" s="79"/>
      <c r="X74" s="130"/>
      <c r="Z74" s="106"/>
    </row>
    <row r="75">
      <c r="C75" s="79"/>
      <c r="D75" s="79"/>
      <c r="J75" s="79"/>
      <c r="P75" s="79"/>
      <c r="Q75" s="79"/>
      <c r="T75" s="79"/>
      <c r="U75" s="79"/>
      <c r="X75" s="130"/>
      <c r="Z75" s="106"/>
    </row>
    <row r="76">
      <c r="C76" s="79"/>
      <c r="D76" s="79"/>
      <c r="J76" s="79"/>
      <c r="P76" s="79"/>
      <c r="Q76" s="79"/>
      <c r="T76" s="79"/>
      <c r="U76" s="79"/>
      <c r="X76" s="130"/>
      <c r="Z76" s="106"/>
    </row>
    <row r="77">
      <c r="C77" s="79"/>
      <c r="D77" s="79"/>
      <c r="J77" s="79"/>
      <c r="P77" s="79"/>
      <c r="Q77" s="79"/>
      <c r="T77" s="79"/>
      <c r="U77" s="79"/>
      <c r="X77" s="130"/>
      <c r="Z77" s="106"/>
    </row>
    <row r="78">
      <c r="C78" s="79"/>
      <c r="D78" s="79"/>
      <c r="J78" s="79"/>
      <c r="P78" s="79"/>
      <c r="Q78" s="79"/>
      <c r="T78" s="79"/>
      <c r="U78" s="79"/>
      <c r="X78" s="130"/>
      <c r="Z78" s="106"/>
    </row>
    <row r="79">
      <c r="C79" s="79"/>
      <c r="D79" s="79"/>
      <c r="J79" s="79"/>
      <c r="P79" s="79"/>
      <c r="Q79" s="79"/>
      <c r="T79" s="79"/>
      <c r="U79" s="79"/>
      <c r="X79" s="130"/>
      <c r="Z79" s="106"/>
    </row>
    <row r="80">
      <c r="C80" s="79"/>
      <c r="D80" s="79"/>
      <c r="J80" s="79"/>
      <c r="P80" s="79"/>
      <c r="Q80" s="79"/>
      <c r="T80" s="79"/>
      <c r="U80" s="79"/>
      <c r="X80" s="130"/>
      <c r="Z80" s="106"/>
    </row>
    <row r="81">
      <c r="C81" s="79"/>
      <c r="D81" s="79"/>
      <c r="J81" s="79"/>
      <c r="P81" s="79"/>
      <c r="Q81" s="79"/>
      <c r="T81" s="79"/>
      <c r="U81" s="79"/>
      <c r="X81" s="130"/>
      <c r="Z81" s="106"/>
    </row>
    <row r="82">
      <c r="C82" s="79"/>
      <c r="D82" s="79"/>
      <c r="J82" s="79"/>
      <c r="P82" s="79"/>
      <c r="Q82" s="79"/>
      <c r="T82" s="79"/>
      <c r="U82" s="79"/>
      <c r="X82" s="130"/>
      <c r="Z82" s="106"/>
    </row>
    <row r="83">
      <c r="C83" s="79"/>
      <c r="D83" s="79"/>
      <c r="J83" s="79"/>
      <c r="P83" s="79"/>
      <c r="Q83" s="79"/>
      <c r="T83" s="79"/>
      <c r="U83" s="79"/>
      <c r="X83" s="130"/>
      <c r="Z83" s="106"/>
    </row>
    <row r="84">
      <c r="C84" s="79"/>
      <c r="D84" s="79"/>
      <c r="J84" s="79"/>
      <c r="P84" s="79"/>
      <c r="Q84" s="79"/>
      <c r="T84" s="79"/>
      <c r="U84" s="79"/>
      <c r="X84" s="130"/>
      <c r="Z84" s="106"/>
    </row>
    <row r="85">
      <c r="C85" s="79"/>
      <c r="D85" s="79"/>
      <c r="J85" s="79"/>
      <c r="P85" s="79"/>
      <c r="Q85" s="79"/>
      <c r="T85" s="79"/>
      <c r="U85" s="79"/>
      <c r="X85" s="130"/>
      <c r="Z85" s="106"/>
    </row>
    <row r="86">
      <c r="C86" s="79"/>
      <c r="D86" s="79"/>
      <c r="J86" s="79"/>
      <c r="P86" s="79"/>
      <c r="Q86" s="79"/>
      <c r="T86" s="79"/>
      <c r="U86" s="79"/>
      <c r="X86" s="130"/>
      <c r="Z86" s="106"/>
    </row>
    <row r="87">
      <c r="C87" s="79"/>
      <c r="D87" s="79"/>
      <c r="J87" s="79"/>
      <c r="P87" s="79"/>
      <c r="Q87" s="79"/>
      <c r="T87" s="79"/>
      <c r="U87" s="79"/>
      <c r="X87" s="130"/>
      <c r="Z87" s="106"/>
    </row>
    <row r="88">
      <c r="C88" s="79"/>
      <c r="D88" s="79"/>
      <c r="J88" s="79"/>
      <c r="P88" s="79"/>
      <c r="Q88" s="79"/>
      <c r="T88" s="79"/>
      <c r="U88" s="79"/>
      <c r="X88" s="130"/>
      <c r="Z88" s="106"/>
    </row>
    <row r="89">
      <c r="C89" s="79"/>
      <c r="D89" s="79"/>
      <c r="J89" s="79"/>
      <c r="P89" s="79"/>
      <c r="Q89" s="79"/>
      <c r="T89" s="79"/>
      <c r="U89" s="79"/>
      <c r="X89" s="130"/>
      <c r="Z89" s="106"/>
    </row>
    <row r="90">
      <c r="C90" s="79"/>
      <c r="D90" s="79"/>
      <c r="J90" s="79"/>
      <c r="P90" s="79"/>
      <c r="Q90" s="79"/>
      <c r="T90" s="79"/>
      <c r="U90" s="79"/>
      <c r="X90" s="130"/>
      <c r="Z90" s="106"/>
    </row>
    <row r="91">
      <c r="C91" s="79"/>
      <c r="D91" s="79"/>
      <c r="J91" s="79"/>
      <c r="P91" s="79"/>
      <c r="Q91" s="79"/>
      <c r="T91" s="79"/>
      <c r="U91" s="79"/>
      <c r="X91" s="130"/>
      <c r="Z91" s="106"/>
    </row>
    <row r="92">
      <c r="C92" s="79"/>
      <c r="D92" s="79"/>
      <c r="J92" s="79"/>
      <c r="P92" s="79"/>
      <c r="Q92" s="79"/>
      <c r="T92" s="79"/>
      <c r="U92" s="79"/>
      <c r="X92" s="130"/>
      <c r="Z92" s="106"/>
    </row>
    <row r="93">
      <c r="C93" s="79"/>
      <c r="D93" s="79"/>
      <c r="J93" s="79"/>
      <c r="P93" s="79"/>
      <c r="Q93" s="79"/>
      <c r="T93" s="79"/>
      <c r="U93" s="79"/>
      <c r="X93" s="130"/>
      <c r="Z93" s="106"/>
    </row>
    <row r="94">
      <c r="C94" s="79"/>
      <c r="D94" s="79"/>
      <c r="J94" s="79"/>
      <c r="P94" s="79"/>
      <c r="Q94" s="79"/>
      <c r="T94" s="79"/>
      <c r="U94" s="79"/>
      <c r="X94" s="130"/>
      <c r="Z94" s="106"/>
    </row>
    <row r="95">
      <c r="C95" s="79"/>
      <c r="D95" s="79"/>
      <c r="J95" s="79"/>
      <c r="P95" s="79"/>
      <c r="Q95" s="79"/>
      <c r="T95" s="79"/>
      <c r="U95" s="79"/>
      <c r="X95" s="130"/>
      <c r="Z95" s="106"/>
    </row>
    <row r="96">
      <c r="C96" s="79"/>
      <c r="D96" s="79"/>
      <c r="J96" s="79"/>
      <c r="P96" s="79"/>
      <c r="Q96" s="79"/>
      <c r="T96" s="79"/>
      <c r="U96" s="79"/>
      <c r="X96" s="130"/>
      <c r="Z96" s="106"/>
    </row>
    <row r="97">
      <c r="C97" s="79"/>
      <c r="D97" s="79"/>
      <c r="J97" s="79"/>
      <c r="P97" s="79"/>
      <c r="Q97" s="79"/>
      <c r="T97" s="79"/>
      <c r="U97" s="79"/>
      <c r="X97" s="130"/>
      <c r="Z97" s="106"/>
    </row>
    <row r="98">
      <c r="C98" s="79"/>
      <c r="D98" s="79"/>
      <c r="J98" s="79"/>
      <c r="P98" s="79"/>
      <c r="Q98" s="79"/>
      <c r="T98" s="79"/>
      <c r="U98" s="79"/>
      <c r="X98" s="130"/>
      <c r="Z98" s="106"/>
    </row>
    <row r="99">
      <c r="C99" s="79"/>
      <c r="D99" s="79"/>
      <c r="J99" s="79"/>
      <c r="P99" s="79"/>
      <c r="Q99" s="79"/>
      <c r="T99" s="79"/>
      <c r="U99" s="79"/>
      <c r="X99" s="130"/>
      <c r="Z99" s="106"/>
    </row>
    <row r="100">
      <c r="C100" s="79"/>
      <c r="D100" s="79"/>
      <c r="J100" s="79"/>
      <c r="P100" s="79"/>
      <c r="Q100" s="79"/>
      <c r="T100" s="79"/>
      <c r="U100" s="79"/>
      <c r="X100" s="130"/>
      <c r="Z100" s="106"/>
    </row>
    <row r="101">
      <c r="C101" s="79"/>
      <c r="D101" s="79"/>
      <c r="J101" s="79"/>
      <c r="P101" s="79"/>
      <c r="Q101" s="79"/>
      <c r="T101" s="79"/>
      <c r="U101" s="79"/>
      <c r="X101" s="130"/>
      <c r="Z101" s="106"/>
    </row>
    <row r="102">
      <c r="C102" s="79"/>
      <c r="D102" s="79"/>
      <c r="J102" s="79"/>
      <c r="P102" s="79"/>
      <c r="Q102" s="79"/>
      <c r="T102" s="79"/>
      <c r="U102" s="79"/>
      <c r="X102" s="130"/>
      <c r="Z102" s="106"/>
    </row>
    <row r="103">
      <c r="C103" s="79"/>
      <c r="D103" s="79"/>
      <c r="J103" s="79"/>
      <c r="P103" s="79"/>
      <c r="Q103" s="79"/>
      <c r="T103" s="79"/>
      <c r="U103" s="79"/>
      <c r="X103" s="130"/>
      <c r="Z103" s="106"/>
    </row>
    <row r="104">
      <c r="C104" s="79"/>
      <c r="D104" s="79"/>
      <c r="J104" s="79"/>
      <c r="P104" s="79"/>
      <c r="Q104" s="79"/>
      <c r="T104" s="79"/>
      <c r="U104" s="79"/>
      <c r="X104" s="130"/>
      <c r="Z104" s="106"/>
    </row>
    <row r="105">
      <c r="C105" s="79"/>
      <c r="D105" s="79"/>
      <c r="J105" s="79"/>
      <c r="P105" s="79"/>
      <c r="Q105" s="79"/>
      <c r="T105" s="79"/>
      <c r="U105" s="79"/>
      <c r="X105" s="130"/>
      <c r="Z105" s="106"/>
    </row>
    <row r="106">
      <c r="C106" s="79"/>
      <c r="D106" s="79"/>
      <c r="J106" s="79"/>
      <c r="P106" s="79"/>
      <c r="Q106" s="79"/>
      <c r="T106" s="79"/>
      <c r="U106" s="79"/>
      <c r="X106" s="130"/>
      <c r="Z106" s="106"/>
    </row>
    <row r="107">
      <c r="C107" s="79"/>
      <c r="D107" s="79"/>
      <c r="J107" s="79"/>
      <c r="P107" s="79"/>
      <c r="Q107" s="79"/>
      <c r="T107" s="79"/>
      <c r="U107" s="79"/>
      <c r="X107" s="130"/>
      <c r="Z107" s="106"/>
    </row>
    <row r="108">
      <c r="C108" s="79"/>
      <c r="D108" s="79"/>
      <c r="J108" s="79"/>
      <c r="P108" s="79"/>
      <c r="Q108" s="79"/>
      <c r="T108" s="79"/>
      <c r="U108" s="79"/>
      <c r="X108" s="130"/>
      <c r="Z108" s="106"/>
    </row>
    <row r="109">
      <c r="C109" s="79"/>
      <c r="D109" s="79"/>
      <c r="J109" s="79"/>
      <c r="P109" s="79"/>
      <c r="Q109" s="79"/>
      <c r="T109" s="79"/>
      <c r="U109" s="79"/>
      <c r="X109" s="130"/>
      <c r="Z109" s="106"/>
    </row>
    <row r="110">
      <c r="C110" s="79"/>
      <c r="D110" s="79"/>
      <c r="J110" s="79"/>
      <c r="P110" s="79"/>
      <c r="Q110" s="79"/>
      <c r="T110" s="79"/>
      <c r="U110" s="79"/>
      <c r="X110" s="130"/>
      <c r="Z110" s="106"/>
    </row>
    <row r="111">
      <c r="C111" s="79"/>
      <c r="D111" s="79"/>
      <c r="J111" s="79"/>
      <c r="P111" s="79"/>
      <c r="Q111" s="79"/>
      <c r="T111" s="79"/>
      <c r="U111" s="79"/>
      <c r="X111" s="130"/>
      <c r="Z111" s="106"/>
    </row>
    <row r="112">
      <c r="C112" s="79"/>
      <c r="D112" s="79"/>
      <c r="J112" s="79"/>
      <c r="P112" s="79"/>
      <c r="Q112" s="79"/>
      <c r="T112" s="79"/>
      <c r="U112" s="79"/>
      <c r="X112" s="130"/>
      <c r="Z112" s="106"/>
    </row>
    <row r="113">
      <c r="C113" s="79"/>
      <c r="D113" s="79"/>
      <c r="J113" s="79"/>
      <c r="P113" s="79"/>
      <c r="Q113" s="79"/>
      <c r="T113" s="79"/>
      <c r="U113" s="79"/>
      <c r="X113" s="130"/>
      <c r="Z113" s="106"/>
    </row>
    <row r="114">
      <c r="C114" s="79"/>
      <c r="D114" s="79"/>
      <c r="J114" s="79"/>
      <c r="P114" s="79"/>
      <c r="Q114" s="79"/>
      <c r="T114" s="79"/>
      <c r="U114" s="79"/>
      <c r="X114" s="130"/>
      <c r="Z114" s="106"/>
    </row>
    <row r="115">
      <c r="C115" s="79"/>
      <c r="D115" s="79"/>
      <c r="J115" s="79"/>
      <c r="P115" s="79"/>
      <c r="Q115" s="79"/>
      <c r="T115" s="79"/>
      <c r="U115" s="79"/>
      <c r="X115" s="130"/>
      <c r="Z115" s="106"/>
    </row>
    <row r="116">
      <c r="C116" s="79"/>
      <c r="D116" s="79"/>
      <c r="J116" s="79"/>
      <c r="P116" s="79"/>
      <c r="Q116" s="79"/>
      <c r="T116" s="79"/>
      <c r="U116" s="79"/>
      <c r="X116" s="130"/>
      <c r="Z116" s="106"/>
    </row>
    <row r="117">
      <c r="C117" s="79"/>
      <c r="D117" s="79"/>
      <c r="J117" s="79"/>
      <c r="P117" s="79"/>
      <c r="Q117" s="79"/>
      <c r="T117" s="79"/>
      <c r="U117" s="79"/>
      <c r="X117" s="130"/>
      <c r="Z117" s="106"/>
    </row>
    <row r="118">
      <c r="C118" s="79"/>
      <c r="D118" s="79"/>
      <c r="J118" s="79"/>
      <c r="P118" s="79"/>
      <c r="Q118" s="79"/>
      <c r="T118" s="79"/>
      <c r="U118" s="79"/>
      <c r="X118" s="130"/>
      <c r="Z118" s="106"/>
    </row>
    <row r="119">
      <c r="C119" s="79"/>
      <c r="D119" s="79"/>
      <c r="J119" s="79"/>
      <c r="P119" s="79"/>
      <c r="Q119" s="79"/>
      <c r="T119" s="79"/>
      <c r="U119" s="79"/>
      <c r="X119" s="130"/>
      <c r="Z119" s="106"/>
    </row>
    <row r="120">
      <c r="C120" s="79"/>
      <c r="D120" s="79"/>
      <c r="J120" s="79"/>
      <c r="P120" s="79"/>
      <c r="Q120" s="79"/>
      <c r="T120" s="79"/>
      <c r="U120" s="79"/>
      <c r="X120" s="130"/>
      <c r="Z120" s="106"/>
    </row>
    <row r="121">
      <c r="C121" s="79"/>
      <c r="D121" s="79"/>
      <c r="J121" s="79"/>
      <c r="P121" s="79"/>
      <c r="Q121" s="79"/>
      <c r="T121" s="79"/>
      <c r="U121" s="79"/>
      <c r="X121" s="130"/>
      <c r="Z121" s="106"/>
    </row>
    <row r="122">
      <c r="C122" s="79"/>
      <c r="D122" s="79"/>
      <c r="J122" s="79"/>
      <c r="P122" s="79"/>
      <c r="Q122" s="79"/>
      <c r="T122" s="79"/>
      <c r="U122" s="79"/>
      <c r="X122" s="130"/>
      <c r="Z122" s="106"/>
    </row>
    <row r="123">
      <c r="C123" s="79"/>
      <c r="D123" s="79"/>
      <c r="J123" s="79"/>
      <c r="P123" s="79"/>
      <c r="Q123" s="79"/>
      <c r="T123" s="79"/>
      <c r="U123" s="79"/>
      <c r="X123" s="130"/>
      <c r="Z123" s="106"/>
    </row>
    <row r="124">
      <c r="C124" s="79"/>
      <c r="D124" s="79"/>
      <c r="J124" s="79"/>
      <c r="P124" s="79"/>
      <c r="Q124" s="79"/>
      <c r="T124" s="79"/>
      <c r="U124" s="79"/>
      <c r="X124" s="130"/>
      <c r="Z124" s="106"/>
    </row>
    <row r="125">
      <c r="C125" s="79"/>
      <c r="D125" s="79"/>
      <c r="J125" s="79"/>
      <c r="P125" s="79"/>
      <c r="Q125" s="79"/>
      <c r="T125" s="79"/>
      <c r="U125" s="79"/>
      <c r="X125" s="130"/>
      <c r="Z125" s="106"/>
    </row>
    <row r="126">
      <c r="C126" s="79"/>
      <c r="D126" s="79"/>
      <c r="J126" s="79"/>
      <c r="P126" s="79"/>
      <c r="Q126" s="79"/>
      <c r="T126" s="79"/>
      <c r="U126" s="79"/>
      <c r="X126" s="130"/>
      <c r="Z126" s="106"/>
    </row>
    <row r="127">
      <c r="C127" s="79"/>
      <c r="D127" s="79"/>
      <c r="J127" s="79"/>
      <c r="P127" s="79"/>
      <c r="Q127" s="79"/>
      <c r="T127" s="79"/>
      <c r="U127" s="79"/>
      <c r="X127" s="130"/>
      <c r="Z127" s="106"/>
    </row>
    <row r="128">
      <c r="C128" s="79"/>
      <c r="D128" s="79"/>
      <c r="J128" s="79"/>
      <c r="P128" s="79"/>
      <c r="Q128" s="79"/>
      <c r="T128" s="79"/>
      <c r="U128" s="79"/>
      <c r="X128" s="130"/>
      <c r="Z128" s="106"/>
    </row>
    <row r="129">
      <c r="C129" s="79"/>
      <c r="D129" s="79"/>
      <c r="J129" s="79"/>
      <c r="P129" s="79"/>
      <c r="Q129" s="79"/>
      <c r="T129" s="79"/>
      <c r="U129" s="79"/>
      <c r="X129" s="130"/>
      <c r="Z129" s="106"/>
    </row>
    <row r="130">
      <c r="C130" s="79"/>
      <c r="D130" s="79"/>
      <c r="J130" s="79"/>
      <c r="P130" s="79"/>
      <c r="Q130" s="79"/>
      <c r="T130" s="79"/>
      <c r="U130" s="79"/>
      <c r="X130" s="130"/>
      <c r="Z130" s="106"/>
    </row>
    <row r="131">
      <c r="C131" s="79"/>
      <c r="D131" s="79"/>
      <c r="J131" s="79"/>
      <c r="P131" s="79"/>
      <c r="Q131" s="79"/>
      <c r="T131" s="79"/>
      <c r="U131" s="79"/>
      <c r="X131" s="130"/>
      <c r="Z131" s="106"/>
    </row>
    <row r="132">
      <c r="C132" s="79"/>
      <c r="D132" s="79"/>
      <c r="J132" s="79"/>
      <c r="P132" s="79"/>
      <c r="Q132" s="79"/>
      <c r="T132" s="79"/>
      <c r="U132" s="79"/>
      <c r="X132" s="130"/>
      <c r="Z132" s="106"/>
    </row>
    <row r="133">
      <c r="C133" s="79"/>
      <c r="D133" s="79"/>
      <c r="J133" s="79"/>
      <c r="P133" s="79"/>
      <c r="Q133" s="79"/>
      <c r="T133" s="79"/>
      <c r="U133" s="79"/>
      <c r="X133" s="130"/>
      <c r="Z133" s="106"/>
    </row>
    <row r="134">
      <c r="C134" s="79"/>
      <c r="D134" s="79"/>
      <c r="J134" s="79"/>
      <c r="P134" s="79"/>
      <c r="Q134" s="79"/>
      <c r="T134" s="79"/>
      <c r="U134" s="79"/>
      <c r="X134" s="130"/>
      <c r="Z134" s="106"/>
    </row>
    <row r="135">
      <c r="C135" s="79"/>
      <c r="D135" s="79"/>
      <c r="J135" s="79"/>
      <c r="P135" s="79"/>
      <c r="Q135" s="79"/>
      <c r="T135" s="79"/>
      <c r="U135" s="79"/>
      <c r="X135" s="130"/>
      <c r="Z135" s="106"/>
    </row>
    <row r="136">
      <c r="C136" s="79"/>
      <c r="D136" s="79"/>
      <c r="J136" s="79"/>
      <c r="P136" s="79"/>
      <c r="Q136" s="79"/>
      <c r="T136" s="79"/>
      <c r="U136" s="79"/>
      <c r="X136" s="130"/>
      <c r="Z136" s="106"/>
    </row>
    <row r="137">
      <c r="C137" s="79"/>
      <c r="D137" s="79"/>
      <c r="J137" s="79"/>
      <c r="P137" s="79"/>
      <c r="Q137" s="79"/>
      <c r="T137" s="79"/>
      <c r="U137" s="79"/>
      <c r="X137" s="130"/>
      <c r="Z137" s="106"/>
    </row>
    <row r="138">
      <c r="C138" s="79"/>
      <c r="D138" s="79"/>
      <c r="J138" s="79"/>
      <c r="P138" s="79"/>
      <c r="Q138" s="79"/>
      <c r="T138" s="79"/>
      <c r="U138" s="79"/>
      <c r="X138" s="130"/>
      <c r="Z138" s="106"/>
    </row>
    <row r="139">
      <c r="C139" s="79"/>
      <c r="D139" s="79"/>
      <c r="J139" s="79"/>
      <c r="P139" s="79"/>
      <c r="Q139" s="79"/>
      <c r="T139" s="79"/>
      <c r="U139" s="79"/>
      <c r="X139" s="130"/>
      <c r="Z139" s="106"/>
    </row>
    <row r="140">
      <c r="C140" s="79"/>
      <c r="D140" s="79"/>
      <c r="J140" s="79"/>
      <c r="P140" s="79"/>
      <c r="Q140" s="79"/>
      <c r="T140" s="79"/>
      <c r="U140" s="79"/>
      <c r="X140" s="130"/>
      <c r="Z140" s="106"/>
    </row>
    <row r="141">
      <c r="C141" s="79"/>
      <c r="D141" s="79"/>
      <c r="J141" s="79"/>
      <c r="P141" s="79"/>
      <c r="Q141" s="79"/>
      <c r="T141" s="79"/>
      <c r="U141" s="79"/>
      <c r="X141" s="130"/>
      <c r="Z141" s="106"/>
    </row>
    <row r="142">
      <c r="C142" s="79"/>
      <c r="D142" s="79"/>
      <c r="J142" s="79"/>
      <c r="P142" s="79"/>
      <c r="Q142" s="79"/>
      <c r="T142" s="79"/>
      <c r="U142" s="79"/>
      <c r="X142" s="130"/>
      <c r="Z142" s="106"/>
    </row>
    <row r="143">
      <c r="C143" s="79"/>
      <c r="D143" s="79"/>
      <c r="J143" s="79"/>
      <c r="P143" s="79"/>
      <c r="Q143" s="79"/>
      <c r="T143" s="79"/>
      <c r="U143" s="79"/>
      <c r="X143" s="130"/>
      <c r="Z143" s="106"/>
    </row>
    <row r="144">
      <c r="C144" s="79"/>
      <c r="D144" s="79"/>
      <c r="J144" s="79"/>
      <c r="P144" s="79"/>
      <c r="Q144" s="79"/>
      <c r="T144" s="79"/>
      <c r="U144" s="79"/>
      <c r="X144" s="130"/>
      <c r="Z144" s="106"/>
    </row>
    <row r="145">
      <c r="C145" s="79"/>
      <c r="D145" s="79"/>
      <c r="J145" s="79"/>
      <c r="P145" s="79"/>
      <c r="Q145" s="79"/>
      <c r="T145" s="79"/>
      <c r="U145" s="79"/>
      <c r="X145" s="130"/>
      <c r="Z145" s="106"/>
    </row>
    <row r="146">
      <c r="C146" s="79"/>
      <c r="D146" s="79"/>
      <c r="J146" s="79"/>
      <c r="P146" s="79"/>
      <c r="Q146" s="79"/>
      <c r="T146" s="79"/>
      <c r="U146" s="79"/>
      <c r="X146" s="130"/>
      <c r="Z146" s="106"/>
    </row>
    <row r="147">
      <c r="C147" s="79"/>
      <c r="D147" s="79"/>
      <c r="J147" s="79"/>
      <c r="P147" s="79"/>
      <c r="Q147" s="79"/>
      <c r="T147" s="79"/>
      <c r="U147" s="79"/>
      <c r="X147" s="130"/>
      <c r="Z147" s="106"/>
    </row>
    <row r="148">
      <c r="C148" s="79"/>
      <c r="D148" s="79"/>
      <c r="J148" s="79"/>
      <c r="P148" s="79"/>
      <c r="Q148" s="79"/>
      <c r="T148" s="79"/>
      <c r="U148" s="79"/>
      <c r="X148" s="130"/>
      <c r="Z148" s="106"/>
    </row>
    <row r="149">
      <c r="C149" s="79"/>
      <c r="D149" s="79"/>
      <c r="J149" s="79"/>
      <c r="P149" s="79"/>
      <c r="Q149" s="79"/>
      <c r="T149" s="79"/>
      <c r="U149" s="79"/>
      <c r="X149" s="130"/>
      <c r="Z149" s="106"/>
    </row>
    <row r="150">
      <c r="C150" s="79"/>
      <c r="D150" s="79"/>
      <c r="J150" s="79"/>
      <c r="P150" s="79"/>
      <c r="Q150" s="79"/>
      <c r="T150" s="79"/>
      <c r="U150" s="79"/>
      <c r="X150" s="130"/>
      <c r="Z150" s="106"/>
    </row>
    <row r="151">
      <c r="C151" s="79"/>
      <c r="D151" s="79"/>
      <c r="J151" s="79"/>
      <c r="P151" s="79"/>
      <c r="Q151" s="79"/>
      <c r="T151" s="79"/>
      <c r="U151" s="79"/>
      <c r="X151" s="130"/>
      <c r="Z151" s="106"/>
    </row>
    <row r="152">
      <c r="C152" s="79"/>
      <c r="D152" s="79"/>
      <c r="J152" s="79"/>
      <c r="P152" s="79"/>
      <c r="Q152" s="79"/>
      <c r="T152" s="79"/>
      <c r="U152" s="79"/>
      <c r="X152" s="130"/>
      <c r="Z152" s="106"/>
    </row>
    <row r="153">
      <c r="C153" s="79"/>
      <c r="D153" s="79"/>
      <c r="J153" s="79"/>
      <c r="P153" s="79"/>
      <c r="Q153" s="79"/>
      <c r="T153" s="79"/>
      <c r="U153" s="79"/>
      <c r="X153" s="130"/>
      <c r="Z153" s="106"/>
    </row>
    <row r="154">
      <c r="C154" s="79"/>
      <c r="D154" s="79"/>
      <c r="J154" s="79"/>
      <c r="P154" s="79"/>
      <c r="Q154" s="79"/>
      <c r="T154" s="79"/>
      <c r="U154" s="79"/>
      <c r="X154" s="130"/>
      <c r="Z154" s="106"/>
    </row>
    <row r="155">
      <c r="C155" s="79"/>
      <c r="D155" s="79"/>
      <c r="J155" s="79"/>
      <c r="P155" s="79"/>
      <c r="Q155" s="79"/>
      <c r="T155" s="79"/>
      <c r="U155" s="79"/>
      <c r="X155" s="130"/>
      <c r="Z155" s="106"/>
    </row>
    <row r="156">
      <c r="C156" s="79"/>
      <c r="D156" s="79"/>
      <c r="J156" s="79"/>
      <c r="P156" s="79"/>
      <c r="Q156" s="79"/>
      <c r="T156" s="79"/>
      <c r="U156" s="79"/>
      <c r="X156" s="130"/>
      <c r="Z156" s="106"/>
    </row>
    <row r="157">
      <c r="C157" s="79"/>
      <c r="D157" s="79"/>
      <c r="J157" s="79"/>
      <c r="P157" s="79"/>
      <c r="Q157" s="79"/>
      <c r="T157" s="79"/>
      <c r="U157" s="79"/>
      <c r="X157" s="130"/>
      <c r="Z157" s="106"/>
    </row>
    <row r="158">
      <c r="C158" s="79"/>
      <c r="D158" s="79"/>
      <c r="J158" s="79"/>
      <c r="P158" s="79"/>
      <c r="Q158" s="79"/>
      <c r="T158" s="79"/>
      <c r="U158" s="79"/>
      <c r="X158" s="130"/>
      <c r="Z158" s="106"/>
    </row>
    <row r="159">
      <c r="C159" s="79"/>
      <c r="D159" s="79"/>
      <c r="J159" s="79"/>
      <c r="P159" s="79"/>
      <c r="Q159" s="79"/>
      <c r="T159" s="79"/>
      <c r="U159" s="79"/>
      <c r="X159" s="130"/>
      <c r="Z159" s="106"/>
    </row>
    <row r="160">
      <c r="C160" s="79"/>
      <c r="D160" s="79"/>
      <c r="J160" s="79"/>
      <c r="P160" s="79"/>
      <c r="Q160" s="79"/>
      <c r="T160" s="79"/>
      <c r="U160" s="79"/>
      <c r="X160" s="130"/>
      <c r="Z160" s="106"/>
    </row>
    <row r="161">
      <c r="C161" s="79"/>
      <c r="D161" s="79"/>
      <c r="J161" s="79"/>
      <c r="P161" s="79"/>
      <c r="Q161" s="79"/>
      <c r="T161" s="79"/>
      <c r="U161" s="79"/>
      <c r="X161" s="130"/>
      <c r="Z161" s="106"/>
    </row>
    <row r="162">
      <c r="C162" s="79"/>
      <c r="D162" s="79"/>
      <c r="J162" s="79"/>
      <c r="P162" s="79"/>
      <c r="Q162" s="79"/>
      <c r="T162" s="79"/>
      <c r="U162" s="79"/>
      <c r="X162" s="130"/>
      <c r="Z162" s="106"/>
    </row>
    <row r="163">
      <c r="C163" s="79"/>
      <c r="D163" s="79"/>
      <c r="J163" s="79"/>
      <c r="P163" s="79"/>
      <c r="Q163" s="79"/>
      <c r="T163" s="79"/>
      <c r="U163" s="79"/>
      <c r="X163" s="130"/>
      <c r="Z163" s="106"/>
    </row>
    <row r="164">
      <c r="C164" s="79"/>
      <c r="D164" s="79"/>
      <c r="J164" s="79"/>
      <c r="P164" s="79"/>
      <c r="Q164" s="79"/>
      <c r="T164" s="79"/>
      <c r="U164" s="79"/>
      <c r="X164" s="130"/>
      <c r="Z164" s="106"/>
    </row>
    <row r="165">
      <c r="C165" s="79"/>
      <c r="D165" s="79"/>
      <c r="J165" s="79"/>
      <c r="P165" s="79"/>
      <c r="Q165" s="79"/>
      <c r="T165" s="79"/>
      <c r="U165" s="79"/>
      <c r="X165" s="130"/>
      <c r="Z165" s="106"/>
    </row>
    <row r="166">
      <c r="C166" s="79"/>
      <c r="D166" s="79"/>
      <c r="J166" s="79"/>
      <c r="P166" s="79"/>
      <c r="Q166" s="79"/>
      <c r="T166" s="79"/>
      <c r="U166" s="79"/>
      <c r="X166" s="130"/>
      <c r="Z166" s="106"/>
    </row>
    <row r="167">
      <c r="C167" s="79"/>
      <c r="D167" s="79"/>
      <c r="J167" s="79"/>
      <c r="P167" s="79"/>
      <c r="Q167" s="79"/>
      <c r="T167" s="79"/>
      <c r="U167" s="79"/>
      <c r="X167" s="130"/>
      <c r="Z167" s="106"/>
    </row>
    <row r="168">
      <c r="C168" s="79"/>
      <c r="D168" s="79"/>
      <c r="J168" s="79"/>
      <c r="P168" s="79"/>
      <c r="Q168" s="79"/>
      <c r="T168" s="79"/>
      <c r="U168" s="79"/>
      <c r="X168" s="130"/>
      <c r="Z168" s="106"/>
    </row>
    <row r="169">
      <c r="C169" s="79"/>
      <c r="D169" s="79"/>
      <c r="J169" s="79"/>
      <c r="P169" s="79"/>
      <c r="Q169" s="79"/>
      <c r="T169" s="79"/>
      <c r="U169" s="79"/>
      <c r="X169" s="130"/>
      <c r="Z169" s="106"/>
    </row>
    <row r="170">
      <c r="C170" s="79"/>
      <c r="D170" s="79"/>
      <c r="J170" s="79"/>
      <c r="P170" s="79"/>
      <c r="Q170" s="79"/>
      <c r="T170" s="79"/>
      <c r="U170" s="79"/>
      <c r="X170" s="130"/>
      <c r="Z170" s="106"/>
    </row>
    <row r="171">
      <c r="C171" s="79"/>
      <c r="D171" s="79"/>
      <c r="J171" s="79"/>
      <c r="P171" s="79"/>
      <c r="Q171" s="79"/>
      <c r="T171" s="79"/>
      <c r="U171" s="79"/>
      <c r="X171" s="130"/>
      <c r="Z171" s="106"/>
    </row>
    <row r="172">
      <c r="C172" s="79"/>
      <c r="D172" s="79"/>
      <c r="J172" s="79"/>
      <c r="P172" s="79"/>
      <c r="Q172" s="79"/>
      <c r="T172" s="79"/>
      <c r="U172" s="79"/>
      <c r="X172" s="130"/>
      <c r="Z172" s="106"/>
    </row>
    <row r="173">
      <c r="C173" s="79"/>
      <c r="D173" s="79"/>
      <c r="J173" s="79"/>
      <c r="P173" s="79"/>
      <c r="Q173" s="79"/>
      <c r="T173" s="79"/>
      <c r="U173" s="79"/>
      <c r="X173" s="130"/>
      <c r="Z173" s="106"/>
    </row>
    <row r="174">
      <c r="C174" s="79"/>
      <c r="D174" s="79"/>
      <c r="J174" s="79"/>
      <c r="P174" s="79"/>
      <c r="Q174" s="79"/>
      <c r="T174" s="79"/>
      <c r="U174" s="79"/>
      <c r="X174" s="130"/>
      <c r="Z174" s="106"/>
    </row>
    <row r="175">
      <c r="C175" s="79"/>
      <c r="D175" s="79"/>
      <c r="J175" s="79"/>
      <c r="P175" s="79"/>
      <c r="Q175" s="79"/>
      <c r="T175" s="79"/>
      <c r="U175" s="79"/>
      <c r="X175" s="130"/>
      <c r="Z175" s="106"/>
    </row>
    <row r="176">
      <c r="C176" s="79"/>
      <c r="D176" s="79"/>
      <c r="J176" s="79"/>
      <c r="P176" s="79"/>
      <c r="Q176" s="79"/>
      <c r="T176" s="79"/>
      <c r="U176" s="79"/>
      <c r="X176" s="130"/>
      <c r="Z176" s="106"/>
    </row>
    <row r="177">
      <c r="C177" s="79"/>
      <c r="D177" s="79"/>
      <c r="J177" s="79"/>
      <c r="P177" s="79"/>
      <c r="Q177" s="79"/>
      <c r="T177" s="79"/>
      <c r="U177" s="79"/>
      <c r="X177" s="130"/>
      <c r="Z177" s="106"/>
    </row>
    <row r="178">
      <c r="C178" s="79"/>
      <c r="D178" s="79"/>
      <c r="J178" s="79"/>
      <c r="P178" s="79"/>
      <c r="Q178" s="79"/>
      <c r="T178" s="79"/>
      <c r="U178" s="79"/>
      <c r="X178" s="130"/>
      <c r="Z178" s="106"/>
    </row>
    <row r="179">
      <c r="C179" s="79"/>
      <c r="D179" s="79"/>
      <c r="J179" s="79"/>
      <c r="P179" s="79"/>
      <c r="Q179" s="79"/>
      <c r="T179" s="79"/>
      <c r="U179" s="79"/>
      <c r="X179" s="130"/>
      <c r="Z179" s="106"/>
    </row>
    <row r="180">
      <c r="C180" s="79"/>
      <c r="D180" s="79"/>
      <c r="J180" s="79"/>
      <c r="P180" s="79"/>
      <c r="Q180" s="79"/>
      <c r="T180" s="79"/>
      <c r="U180" s="79"/>
      <c r="X180" s="130"/>
      <c r="Z180" s="106"/>
    </row>
    <row r="181">
      <c r="C181" s="79"/>
      <c r="D181" s="79"/>
      <c r="J181" s="79"/>
      <c r="P181" s="79"/>
      <c r="Q181" s="79"/>
      <c r="T181" s="79"/>
      <c r="U181" s="79"/>
      <c r="X181" s="130"/>
      <c r="Z181" s="106"/>
    </row>
    <row r="182">
      <c r="C182" s="79"/>
      <c r="D182" s="79"/>
      <c r="J182" s="79"/>
      <c r="P182" s="79"/>
      <c r="Q182" s="79"/>
      <c r="T182" s="79"/>
      <c r="U182" s="79"/>
      <c r="X182" s="130"/>
      <c r="Z182" s="106"/>
    </row>
    <row r="183">
      <c r="C183" s="79"/>
      <c r="D183" s="79"/>
      <c r="J183" s="79"/>
      <c r="P183" s="79"/>
      <c r="Q183" s="79"/>
      <c r="T183" s="79"/>
      <c r="U183" s="79"/>
      <c r="X183" s="130"/>
      <c r="Z183" s="106"/>
    </row>
    <row r="184">
      <c r="C184" s="79"/>
      <c r="D184" s="79"/>
      <c r="J184" s="79"/>
      <c r="P184" s="79"/>
      <c r="Q184" s="79"/>
      <c r="T184" s="79"/>
      <c r="U184" s="79"/>
      <c r="X184" s="130"/>
      <c r="Z184" s="106"/>
    </row>
    <row r="185">
      <c r="C185" s="79"/>
      <c r="D185" s="79"/>
      <c r="J185" s="79"/>
      <c r="P185" s="79"/>
      <c r="Q185" s="79"/>
      <c r="T185" s="79"/>
      <c r="U185" s="79"/>
      <c r="X185" s="130"/>
      <c r="Z185" s="106"/>
    </row>
    <row r="186">
      <c r="C186" s="79"/>
      <c r="D186" s="79"/>
      <c r="J186" s="79"/>
      <c r="P186" s="79"/>
      <c r="Q186" s="79"/>
      <c r="T186" s="79"/>
      <c r="U186" s="79"/>
      <c r="X186" s="130"/>
      <c r="Z186" s="106"/>
    </row>
    <row r="187">
      <c r="C187" s="79"/>
      <c r="D187" s="79"/>
      <c r="J187" s="79"/>
      <c r="P187" s="79"/>
      <c r="Q187" s="79"/>
      <c r="T187" s="79"/>
      <c r="U187" s="79"/>
      <c r="X187" s="130"/>
      <c r="Z187" s="106"/>
    </row>
    <row r="188">
      <c r="C188" s="79"/>
      <c r="D188" s="79"/>
      <c r="J188" s="79"/>
      <c r="P188" s="79"/>
      <c r="Q188" s="79"/>
      <c r="T188" s="79"/>
      <c r="U188" s="79"/>
      <c r="X188" s="130"/>
      <c r="Z188" s="106"/>
    </row>
    <row r="189">
      <c r="C189" s="79"/>
      <c r="D189" s="79"/>
      <c r="J189" s="79"/>
      <c r="P189" s="79"/>
      <c r="Q189" s="79"/>
      <c r="T189" s="79"/>
      <c r="U189" s="79"/>
      <c r="X189" s="130"/>
      <c r="Z189" s="106"/>
    </row>
    <row r="190">
      <c r="C190" s="79"/>
      <c r="D190" s="79"/>
      <c r="J190" s="79"/>
      <c r="P190" s="79"/>
      <c r="Q190" s="79"/>
      <c r="T190" s="79"/>
      <c r="U190" s="79"/>
      <c r="X190" s="130"/>
      <c r="Z190" s="106"/>
    </row>
    <row r="191">
      <c r="C191" s="79"/>
      <c r="D191" s="79"/>
      <c r="J191" s="79"/>
      <c r="P191" s="79"/>
      <c r="Q191" s="79"/>
      <c r="T191" s="79"/>
      <c r="U191" s="79"/>
      <c r="X191" s="130"/>
      <c r="Z191" s="106"/>
    </row>
    <row r="192">
      <c r="C192" s="79"/>
      <c r="D192" s="79"/>
      <c r="J192" s="79"/>
      <c r="P192" s="79"/>
      <c r="Q192" s="79"/>
      <c r="T192" s="79"/>
      <c r="U192" s="79"/>
      <c r="X192" s="130"/>
      <c r="Z192" s="106"/>
    </row>
    <row r="193">
      <c r="C193" s="79"/>
      <c r="D193" s="79"/>
      <c r="J193" s="79"/>
      <c r="P193" s="79"/>
      <c r="Q193" s="79"/>
      <c r="T193" s="79"/>
      <c r="U193" s="79"/>
      <c r="X193" s="130"/>
      <c r="Z193" s="106"/>
    </row>
    <row r="194">
      <c r="C194" s="79"/>
      <c r="D194" s="79"/>
      <c r="J194" s="79"/>
      <c r="P194" s="79"/>
      <c r="Q194" s="79"/>
      <c r="T194" s="79"/>
      <c r="U194" s="79"/>
      <c r="X194" s="130"/>
      <c r="Z194" s="106"/>
    </row>
    <row r="195">
      <c r="C195" s="79"/>
      <c r="D195" s="79"/>
      <c r="J195" s="79"/>
      <c r="P195" s="79"/>
      <c r="Q195" s="79"/>
      <c r="T195" s="79"/>
      <c r="U195" s="79"/>
      <c r="X195" s="130"/>
      <c r="Z195" s="106"/>
    </row>
    <row r="196">
      <c r="C196" s="79"/>
      <c r="D196" s="79"/>
      <c r="J196" s="79"/>
      <c r="P196" s="79"/>
      <c r="Q196" s="79"/>
      <c r="T196" s="79"/>
      <c r="U196" s="79"/>
      <c r="X196" s="130"/>
      <c r="Z196" s="106"/>
    </row>
    <row r="197">
      <c r="C197" s="79"/>
      <c r="D197" s="79"/>
      <c r="J197" s="79"/>
      <c r="P197" s="79"/>
      <c r="Q197" s="79"/>
      <c r="T197" s="79"/>
      <c r="U197" s="79"/>
      <c r="X197" s="130"/>
      <c r="Z197" s="106"/>
    </row>
    <row r="198">
      <c r="C198" s="79"/>
      <c r="D198" s="79"/>
      <c r="J198" s="79"/>
      <c r="P198" s="79"/>
      <c r="Q198" s="79"/>
      <c r="T198" s="79"/>
      <c r="U198" s="79"/>
      <c r="X198" s="130"/>
      <c r="Z198" s="106"/>
    </row>
    <row r="199">
      <c r="C199" s="79"/>
      <c r="D199" s="79"/>
      <c r="J199" s="79"/>
      <c r="P199" s="79"/>
      <c r="Q199" s="79"/>
      <c r="T199" s="79"/>
      <c r="U199" s="79"/>
      <c r="X199" s="130"/>
      <c r="Z199" s="106"/>
    </row>
    <row r="200">
      <c r="C200" s="79"/>
      <c r="D200" s="79"/>
      <c r="J200" s="79"/>
      <c r="P200" s="79"/>
      <c r="Q200" s="79"/>
      <c r="T200" s="79"/>
      <c r="U200" s="79"/>
      <c r="X200" s="130"/>
      <c r="Z200" s="106"/>
    </row>
    <row r="201">
      <c r="C201" s="79"/>
      <c r="D201" s="79"/>
      <c r="J201" s="79"/>
      <c r="P201" s="79"/>
      <c r="Q201" s="79"/>
      <c r="T201" s="79"/>
      <c r="U201" s="79"/>
      <c r="X201" s="130"/>
      <c r="Z201" s="106"/>
    </row>
    <row r="202">
      <c r="C202" s="79"/>
      <c r="D202" s="79"/>
      <c r="J202" s="79"/>
      <c r="P202" s="79"/>
      <c r="Q202" s="79"/>
      <c r="T202" s="79"/>
      <c r="U202" s="79"/>
      <c r="X202" s="130"/>
      <c r="Z202" s="106"/>
    </row>
    <row r="203">
      <c r="C203" s="79"/>
      <c r="D203" s="79"/>
      <c r="J203" s="79"/>
      <c r="P203" s="79"/>
      <c r="Q203" s="79"/>
      <c r="T203" s="79"/>
      <c r="U203" s="79"/>
      <c r="X203" s="130"/>
      <c r="Z203" s="106"/>
    </row>
    <row r="204">
      <c r="C204" s="79"/>
      <c r="D204" s="79"/>
      <c r="J204" s="79"/>
      <c r="P204" s="79"/>
      <c r="Q204" s="79"/>
      <c r="T204" s="79"/>
      <c r="U204" s="79"/>
      <c r="X204" s="130"/>
      <c r="Z204" s="106"/>
    </row>
    <row r="205">
      <c r="C205" s="79"/>
      <c r="D205" s="79"/>
      <c r="J205" s="79"/>
      <c r="P205" s="79"/>
      <c r="Q205" s="79"/>
      <c r="T205" s="79"/>
      <c r="U205" s="79"/>
      <c r="X205" s="130"/>
      <c r="Z205" s="106"/>
    </row>
    <row r="206">
      <c r="C206" s="79"/>
      <c r="D206" s="79"/>
      <c r="J206" s="79"/>
      <c r="P206" s="79"/>
      <c r="Q206" s="79"/>
      <c r="T206" s="79"/>
      <c r="U206" s="79"/>
      <c r="X206" s="130"/>
      <c r="Z206" s="106"/>
    </row>
    <row r="207">
      <c r="C207" s="79"/>
      <c r="D207" s="79"/>
      <c r="J207" s="79"/>
      <c r="P207" s="79"/>
      <c r="Q207" s="79"/>
      <c r="T207" s="79"/>
      <c r="U207" s="79"/>
      <c r="X207" s="130"/>
      <c r="Z207" s="106"/>
    </row>
    <row r="208">
      <c r="C208" s="79"/>
      <c r="D208" s="79"/>
      <c r="J208" s="79"/>
      <c r="P208" s="79"/>
      <c r="Q208" s="79"/>
      <c r="T208" s="79"/>
      <c r="U208" s="79"/>
      <c r="X208" s="130"/>
      <c r="Z208" s="106"/>
    </row>
    <row r="209">
      <c r="C209" s="79"/>
      <c r="D209" s="79"/>
      <c r="J209" s="79"/>
      <c r="P209" s="79"/>
      <c r="Q209" s="79"/>
      <c r="T209" s="79"/>
      <c r="U209" s="79"/>
      <c r="X209" s="130"/>
      <c r="Z209" s="106"/>
    </row>
    <row r="210">
      <c r="C210" s="79"/>
      <c r="D210" s="79"/>
      <c r="J210" s="79"/>
      <c r="P210" s="79"/>
      <c r="Q210" s="79"/>
      <c r="T210" s="79"/>
      <c r="U210" s="79"/>
      <c r="X210" s="130"/>
      <c r="Z210" s="106"/>
    </row>
    <row r="211">
      <c r="C211" s="79"/>
      <c r="D211" s="79"/>
      <c r="J211" s="79"/>
      <c r="P211" s="79"/>
      <c r="Q211" s="79"/>
      <c r="T211" s="79"/>
      <c r="U211" s="79"/>
      <c r="X211" s="130"/>
      <c r="Z211" s="106"/>
    </row>
    <row r="212">
      <c r="C212" s="79"/>
      <c r="D212" s="79"/>
      <c r="J212" s="79"/>
      <c r="P212" s="79"/>
      <c r="Q212" s="79"/>
      <c r="T212" s="79"/>
      <c r="U212" s="79"/>
      <c r="X212" s="130"/>
      <c r="Z212" s="106"/>
    </row>
    <row r="213">
      <c r="C213" s="79"/>
      <c r="D213" s="79"/>
      <c r="J213" s="79"/>
      <c r="P213" s="79"/>
      <c r="Q213" s="79"/>
      <c r="T213" s="79"/>
      <c r="U213" s="79"/>
      <c r="X213" s="130"/>
      <c r="Z213" s="106"/>
    </row>
    <row r="214">
      <c r="C214" s="79"/>
      <c r="D214" s="79"/>
      <c r="J214" s="79"/>
      <c r="P214" s="79"/>
      <c r="Q214" s="79"/>
      <c r="T214" s="79"/>
      <c r="U214" s="79"/>
      <c r="X214" s="130"/>
      <c r="Z214" s="106"/>
    </row>
    <row r="215">
      <c r="C215" s="79"/>
      <c r="D215" s="79"/>
      <c r="J215" s="79"/>
      <c r="P215" s="79"/>
      <c r="Q215" s="79"/>
      <c r="T215" s="79"/>
      <c r="U215" s="79"/>
      <c r="X215" s="130"/>
      <c r="Z215" s="106"/>
    </row>
    <row r="216">
      <c r="C216" s="79"/>
      <c r="D216" s="79"/>
      <c r="J216" s="79"/>
      <c r="P216" s="79"/>
      <c r="Q216" s="79"/>
      <c r="T216" s="79"/>
      <c r="U216" s="79"/>
      <c r="X216" s="130"/>
      <c r="Z216" s="106"/>
    </row>
    <row r="217">
      <c r="C217" s="79"/>
      <c r="D217" s="79"/>
      <c r="J217" s="79"/>
      <c r="P217" s="79"/>
      <c r="Q217" s="79"/>
      <c r="T217" s="79"/>
      <c r="U217" s="79"/>
      <c r="X217" s="130"/>
      <c r="Z217" s="106"/>
    </row>
    <row r="218">
      <c r="C218" s="79"/>
      <c r="D218" s="79"/>
      <c r="J218" s="79"/>
      <c r="P218" s="79"/>
      <c r="Q218" s="79"/>
      <c r="T218" s="79"/>
      <c r="U218" s="79"/>
      <c r="X218" s="130"/>
      <c r="Z218" s="106"/>
    </row>
    <row r="219">
      <c r="C219" s="79"/>
      <c r="D219" s="79"/>
      <c r="J219" s="79"/>
      <c r="P219" s="79"/>
      <c r="Q219" s="79"/>
      <c r="T219" s="79"/>
      <c r="U219" s="79"/>
      <c r="X219" s="130"/>
      <c r="Z219" s="106"/>
    </row>
    <row r="220">
      <c r="C220" s="79"/>
      <c r="D220" s="79"/>
      <c r="J220" s="79"/>
      <c r="P220" s="79"/>
      <c r="Q220" s="79"/>
      <c r="T220" s="79"/>
      <c r="U220" s="79"/>
      <c r="X220" s="130"/>
      <c r="Z220" s="106"/>
    </row>
    <row r="221">
      <c r="C221" s="79"/>
      <c r="D221" s="79"/>
      <c r="J221" s="79"/>
      <c r="P221" s="79"/>
      <c r="Q221" s="79"/>
      <c r="T221" s="79"/>
      <c r="U221" s="79"/>
      <c r="X221" s="130"/>
      <c r="Z221" s="106"/>
    </row>
    <row r="222">
      <c r="C222" s="79"/>
      <c r="D222" s="79"/>
      <c r="J222" s="79"/>
      <c r="P222" s="79"/>
      <c r="Q222" s="79"/>
      <c r="T222" s="79"/>
      <c r="U222" s="79"/>
      <c r="X222" s="130"/>
      <c r="Z222" s="106"/>
    </row>
    <row r="223">
      <c r="C223" s="79"/>
      <c r="D223" s="79"/>
      <c r="J223" s="79"/>
      <c r="P223" s="79"/>
      <c r="Q223" s="79"/>
      <c r="T223" s="79"/>
      <c r="U223" s="79"/>
      <c r="X223" s="130"/>
      <c r="Z223" s="106"/>
    </row>
    <row r="224">
      <c r="C224" s="79"/>
      <c r="D224" s="79"/>
      <c r="J224" s="79"/>
      <c r="P224" s="79"/>
      <c r="Q224" s="79"/>
      <c r="T224" s="79"/>
      <c r="U224" s="79"/>
      <c r="X224" s="130"/>
      <c r="Z224" s="106"/>
    </row>
    <row r="225">
      <c r="C225" s="79"/>
      <c r="D225" s="79"/>
      <c r="J225" s="79"/>
      <c r="P225" s="79"/>
      <c r="Q225" s="79"/>
      <c r="T225" s="79"/>
      <c r="U225" s="79"/>
      <c r="X225" s="130"/>
      <c r="Z225" s="106"/>
    </row>
    <row r="226">
      <c r="C226" s="79"/>
      <c r="D226" s="79"/>
      <c r="J226" s="79"/>
      <c r="P226" s="79"/>
      <c r="Q226" s="79"/>
      <c r="T226" s="79"/>
      <c r="U226" s="79"/>
      <c r="X226" s="130"/>
      <c r="Z226" s="106"/>
    </row>
    <row r="227">
      <c r="C227" s="79"/>
      <c r="D227" s="79"/>
      <c r="J227" s="79"/>
      <c r="P227" s="79"/>
      <c r="Q227" s="79"/>
      <c r="T227" s="79"/>
      <c r="U227" s="79"/>
      <c r="X227" s="130"/>
      <c r="Z227" s="106"/>
    </row>
    <row r="228">
      <c r="C228" s="79"/>
      <c r="D228" s="79"/>
      <c r="J228" s="79"/>
      <c r="P228" s="79"/>
      <c r="Q228" s="79"/>
      <c r="T228" s="79"/>
      <c r="U228" s="79"/>
      <c r="X228" s="130"/>
      <c r="Z228" s="106"/>
    </row>
    <row r="229">
      <c r="C229" s="79"/>
      <c r="D229" s="79"/>
      <c r="J229" s="79"/>
      <c r="P229" s="79"/>
      <c r="Q229" s="79"/>
      <c r="T229" s="79"/>
      <c r="U229" s="79"/>
      <c r="X229" s="130"/>
      <c r="Z229" s="106"/>
    </row>
    <row r="230">
      <c r="C230" s="79"/>
      <c r="D230" s="79"/>
      <c r="J230" s="79"/>
      <c r="P230" s="79"/>
      <c r="Q230" s="79"/>
      <c r="T230" s="79"/>
      <c r="U230" s="79"/>
      <c r="X230" s="130"/>
      <c r="Z230" s="106"/>
    </row>
    <row r="231">
      <c r="C231" s="79"/>
      <c r="D231" s="79"/>
      <c r="J231" s="79"/>
      <c r="P231" s="79"/>
      <c r="Q231" s="79"/>
      <c r="T231" s="79"/>
      <c r="U231" s="79"/>
      <c r="X231" s="130"/>
      <c r="Z231" s="106"/>
    </row>
    <row r="232">
      <c r="C232" s="79"/>
      <c r="D232" s="79"/>
      <c r="J232" s="79"/>
      <c r="P232" s="79"/>
      <c r="Q232" s="79"/>
      <c r="T232" s="79"/>
      <c r="U232" s="79"/>
      <c r="X232" s="130"/>
      <c r="Z232" s="106"/>
    </row>
    <row r="233">
      <c r="C233" s="79"/>
      <c r="D233" s="79"/>
      <c r="J233" s="79"/>
      <c r="P233" s="79"/>
      <c r="Q233" s="79"/>
      <c r="T233" s="79"/>
      <c r="U233" s="79"/>
      <c r="X233" s="130"/>
      <c r="Z233" s="106"/>
    </row>
    <row r="234">
      <c r="C234" s="79"/>
      <c r="D234" s="79"/>
      <c r="J234" s="79"/>
      <c r="P234" s="79"/>
      <c r="Q234" s="79"/>
      <c r="T234" s="79"/>
      <c r="U234" s="79"/>
      <c r="X234" s="130"/>
      <c r="Z234" s="106"/>
    </row>
    <row r="235">
      <c r="C235" s="79"/>
      <c r="D235" s="79"/>
      <c r="J235" s="79"/>
      <c r="P235" s="79"/>
      <c r="Q235" s="79"/>
      <c r="T235" s="79"/>
      <c r="U235" s="79"/>
      <c r="X235" s="130"/>
      <c r="Z235" s="106"/>
    </row>
    <row r="236">
      <c r="C236" s="79"/>
      <c r="D236" s="79"/>
      <c r="J236" s="79"/>
      <c r="P236" s="79"/>
      <c r="Q236" s="79"/>
      <c r="T236" s="79"/>
      <c r="U236" s="79"/>
      <c r="X236" s="130"/>
      <c r="Z236" s="106"/>
    </row>
    <row r="237">
      <c r="C237" s="79"/>
      <c r="D237" s="79"/>
      <c r="J237" s="79"/>
      <c r="P237" s="79"/>
      <c r="Q237" s="79"/>
      <c r="T237" s="79"/>
      <c r="U237" s="79"/>
      <c r="X237" s="130"/>
      <c r="Z237" s="106"/>
    </row>
    <row r="238">
      <c r="C238" s="79"/>
      <c r="D238" s="79"/>
      <c r="J238" s="79"/>
      <c r="P238" s="79"/>
      <c r="Q238" s="79"/>
      <c r="T238" s="79"/>
      <c r="U238" s="79"/>
      <c r="X238" s="130"/>
      <c r="Z238" s="106"/>
    </row>
    <row r="239">
      <c r="C239" s="79"/>
      <c r="D239" s="79"/>
      <c r="J239" s="79"/>
      <c r="P239" s="79"/>
      <c r="Q239" s="79"/>
      <c r="T239" s="79"/>
      <c r="U239" s="79"/>
      <c r="X239" s="130"/>
      <c r="Z239" s="106"/>
    </row>
    <row r="240">
      <c r="C240" s="79"/>
      <c r="D240" s="79"/>
      <c r="J240" s="79"/>
      <c r="P240" s="79"/>
      <c r="Q240" s="79"/>
      <c r="T240" s="79"/>
      <c r="U240" s="79"/>
      <c r="X240" s="130"/>
      <c r="Z240" s="106"/>
    </row>
    <row r="241">
      <c r="C241" s="79"/>
      <c r="D241" s="79"/>
      <c r="J241" s="79"/>
      <c r="P241" s="79"/>
      <c r="Q241" s="79"/>
      <c r="T241" s="79"/>
      <c r="U241" s="79"/>
      <c r="X241" s="130"/>
      <c r="Z241" s="106"/>
    </row>
    <row r="242">
      <c r="C242" s="79"/>
      <c r="D242" s="79"/>
      <c r="J242" s="79"/>
      <c r="P242" s="79"/>
      <c r="Q242" s="79"/>
      <c r="T242" s="79"/>
      <c r="U242" s="79"/>
      <c r="X242" s="130"/>
      <c r="Z242" s="106"/>
    </row>
    <row r="243">
      <c r="C243" s="79"/>
      <c r="D243" s="79"/>
      <c r="J243" s="79"/>
      <c r="P243" s="79"/>
      <c r="Q243" s="79"/>
      <c r="T243" s="79"/>
      <c r="U243" s="79"/>
      <c r="X243" s="130"/>
      <c r="Z243" s="106"/>
    </row>
    <row r="244">
      <c r="C244" s="79"/>
      <c r="D244" s="79"/>
      <c r="J244" s="79"/>
      <c r="P244" s="79"/>
      <c r="Q244" s="79"/>
      <c r="T244" s="79"/>
      <c r="U244" s="79"/>
      <c r="X244" s="130"/>
      <c r="Z244" s="106"/>
    </row>
    <row r="245">
      <c r="C245" s="79"/>
      <c r="D245" s="79"/>
      <c r="J245" s="79"/>
      <c r="P245" s="79"/>
      <c r="Q245" s="79"/>
      <c r="T245" s="79"/>
      <c r="U245" s="79"/>
      <c r="X245" s="130"/>
      <c r="Z245" s="106"/>
    </row>
    <row r="246">
      <c r="C246" s="79"/>
      <c r="D246" s="79"/>
      <c r="J246" s="79"/>
      <c r="P246" s="79"/>
      <c r="Q246" s="79"/>
      <c r="T246" s="79"/>
      <c r="U246" s="79"/>
      <c r="X246" s="130"/>
      <c r="Z246" s="106"/>
    </row>
    <row r="247">
      <c r="C247" s="79"/>
      <c r="D247" s="79"/>
      <c r="J247" s="79"/>
      <c r="P247" s="79"/>
      <c r="Q247" s="79"/>
      <c r="T247" s="79"/>
      <c r="U247" s="79"/>
      <c r="X247" s="130"/>
      <c r="Z247" s="106"/>
    </row>
    <row r="248">
      <c r="C248" s="79"/>
      <c r="D248" s="79"/>
      <c r="J248" s="79"/>
      <c r="P248" s="79"/>
      <c r="Q248" s="79"/>
      <c r="T248" s="79"/>
      <c r="U248" s="79"/>
      <c r="X248" s="130"/>
      <c r="Z248" s="106"/>
    </row>
    <row r="249">
      <c r="C249" s="79"/>
      <c r="D249" s="79"/>
      <c r="J249" s="79"/>
      <c r="P249" s="79"/>
      <c r="Q249" s="79"/>
      <c r="T249" s="79"/>
      <c r="U249" s="79"/>
      <c r="X249" s="130"/>
      <c r="Z249" s="106"/>
    </row>
    <row r="250">
      <c r="C250" s="79"/>
      <c r="D250" s="79"/>
      <c r="J250" s="79"/>
      <c r="P250" s="79"/>
      <c r="Q250" s="79"/>
      <c r="T250" s="79"/>
      <c r="U250" s="79"/>
      <c r="X250" s="130"/>
      <c r="Z250" s="106"/>
    </row>
    <row r="251">
      <c r="C251" s="79"/>
      <c r="D251" s="79"/>
      <c r="J251" s="79"/>
      <c r="P251" s="79"/>
      <c r="Q251" s="79"/>
      <c r="T251" s="79"/>
      <c r="U251" s="79"/>
      <c r="X251" s="130"/>
      <c r="Z251" s="106"/>
    </row>
    <row r="252">
      <c r="C252" s="79"/>
      <c r="D252" s="79"/>
      <c r="J252" s="79"/>
      <c r="P252" s="79"/>
      <c r="Q252" s="79"/>
      <c r="T252" s="79"/>
      <c r="U252" s="79"/>
      <c r="X252" s="130"/>
      <c r="Z252" s="106"/>
    </row>
    <row r="253">
      <c r="C253" s="79"/>
      <c r="D253" s="79"/>
      <c r="J253" s="79"/>
      <c r="P253" s="79"/>
      <c r="Q253" s="79"/>
      <c r="T253" s="79"/>
      <c r="U253" s="79"/>
      <c r="X253" s="130"/>
      <c r="Z253" s="106"/>
    </row>
    <row r="254">
      <c r="C254" s="79"/>
      <c r="D254" s="79"/>
      <c r="J254" s="79"/>
      <c r="P254" s="79"/>
      <c r="Q254" s="79"/>
      <c r="T254" s="79"/>
      <c r="U254" s="79"/>
      <c r="X254" s="130"/>
      <c r="Z254" s="106"/>
    </row>
    <row r="255">
      <c r="C255" s="79"/>
      <c r="D255" s="79"/>
      <c r="J255" s="79"/>
      <c r="P255" s="79"/>
      <c r="Q255" s="79"/>
      <c r="T255" s="79"/>
      <c r="U255" s="79"/>
      <c r="X255" s="130"/>
      <c r="Z255" s="106"/>
    </row>
    <row r="256">
      <c r="C256" s="79"/>
      <c r="D256" s="79"/>
      <c r="J256" s="79"/>
      <c r="P256" s="79"/>
      <c r="Q256" s="79"/>
      <c r="T256" s="79"/>
      <c r="U256" s="79"/>
      <c r="X256" s="130"/>
      <c r="Z256" s="106"/>
    </row>
    <row r="257">
      <c r="C257" s="79"/>
      <c r="D257" s="79"/>
      <c r="J257" s="79"/>
      <c r="P257" s="79"/>
      <c r="Q257" s="79"/>
      <c r="T257" s="79"/>
      <c r="U257" s="79"/>
      <c r="X257" s="130"/>
      <c r="Z257" s="106"/>
    </row>
    <row r="258">
      <c r="C258" s="79"/>
      <c r="D258" s="79"/>
      <c r="J258" s="79"/>
      <c r="P258" s="79"/>
      <c r="Q258" s="79"/>
      <c r="T258" s="79"/>
      <c r="U258" s="79"/>
      <c r="X258" s="130"/>
      <c r="Z258" s="106"/>
    </row>
    <row r="259">
      <c r="C259" s="79"/>
      <c r="D259" s="79"/>
      <c r="J259" s="79"/>
      <c r="P259" s="79"/>
      <c r="Q259" s="79"/>
      <c r="T259" s="79"/>
      <c r="U259" s="79"/>
      <c r="X259" s="130"/>
      <c r="Z259" s="106"/>
    </row>
    <row r="260">
      <c r="C260" s="79"/>
      <c r="D260" s="79"/>
      <c r="J260" s="79"/>
      <c r="P260" s="79"/>
      <c r="Q260" s="79"/>
      <c r="T260" s="79"/>
      <c r="U260" s="79"/>
      <c r="X260" s="130"/>
      <c r="Z260" s="106"/>
    </row>
    <row r="261">
      <c r="C261" s="79"/>
      <c r="D261" s="79"/>
      <c r="J261" s="79"/>
      <c r="P261" s="79"/>
      <c r="Q261" s="79"/>
      <c r="T261" s="79"/>
      <c r="U261" s="79"/>
      <c r="X261" s="130"/>
      <c r="Z261" s="106"/>
    </row>
    <row r="262">
      <c r="C262" s="79"/>
      <c r="D262" s="79"/>
      <c r="J262" s="79"/>
      <c r="P262" s="79"/>
      <c r="Q262" s="79"/>
      <c r="T262" s="79"/>
      <c r="U262" s="79"/>
      <c r="X262" s="130"/>
      <c r="Z262" s="106"/>
    </row>
    <row r="263">
      <c r="C263" s="79"/>
      <c r="D263" s="79"/>
      <c r="J263" s="79"/>
      <c r="P263" s="79"/>
      <c r="Q263" s="79"/>
      <c r="T263" s="79"/>
      <c r="U263" s="79"/>
      <c r="X263" s="130"/>
      <c r="Z263" s="106"/>
    </row>
    <row r="264">
      <c r="C264" s="79"/>
      <c r="D264" s="79"/>
      <c r="J264" s="79"/>
      <c r="P264" s="79"/>
      <c r="Q264" s="79"/>
      <c r="T264" s="79"/>
      <c r="U264" s="79"/>
      <c r="X264" s="130"/>
      <c r="Z264" s="106"/>
    </row>
    <row r="265">
      <c r="C265" s="79"/>
      <c r="D265" s="79"/>
      <c r="J265" s="79"/>
      <c r="P265" s="79"/>
      <c r="Q265" s="79"/>
      <c r="T265" s="79"/>
      <c r="U265" s="79"/>
      <c r="X265" s="130"/>
      <c r="Z265" s="106"/>
    </row>
    <row r="266">
      <c r="C266" s="79"/>
      <c r="D266" s="79"/>
      <c r="J266" s="79"/>
      <c r="P266" s="79"/>
      <c r="Q266" s="79"/>
      <c r="T266" s="79"/>
      <c r="U266" s="79"/>
      <c r="X266" s="130"/>
      <c r="Z266" s="106"/>
    </row>
    <row r="267">
      <c r="C267" s="79"/>
      <c r="D267" s="79"/>
      <c r="J267" s="79"/>
      <c r="P267" s="79"/>
      <c r="Q267" s="79"/>
      <c r="T267" s="79"/>
      <c r="U267" s="79"/>
      <c r="X267" s="130"/>
      <c r="Z267" s="106"/>
    </row>
    <row r="268">
      <c r="C268" s="79"/>
      <c r="D268" s="79"/>
      <c r="J268" s="79"/>
      <c r="P268" s="79"/>
      <c r="Q268" s="79"/>
      <c r="T268" s="79"/>
      <c r="U268" s="79"/>
      <c r="X268" s="130"/>
      <c r="Z268" s="106"/>
    </row>
    <row r="269">
      <c r="C269" s="79"/>
      <c r="D269" s="79"/>
      <c r="J269" s="79"/>
      <c r="P269" s="79"/>
      <c r="Q269" s="79"/>
      <c r="T269" s="79"/>
      <c r="U269" s="79"/>
      <c r="X269" s="130"/>
      <c r="Z269" s="106"/>
    </row>
    <row r="270">
      <c r="C270" s="79"/>
      <c r="D270" s="79"/>
      <c r="J270" s="79"/>
      <c r="P270" s="79"/>
      <c r="Q270" s="79"/>
      <c r="T270" s="79"/>
      <c r="U270" s="79"/>
      <c r="X270" s="130"/>
      <c r="Z270" s="106"/>
    </row>
    <row r="271">
      <c r="C271" s="79"/>
      <c r="D271" s="79"/>
      <c r="J271" s="79"/>
      <c r="P271" s="79"/>
      <c r="Q271" s="79"/>
      <c r="T271" s="79"/>
      <c r="U271" s="79"/>
      <c r="X271" s="130"/>
      <c r="Z271" s="106"/>
    </row>
    <row r="272">
      <c r="C272" s="79"/>
      <c r="D272" s="79"/>
      <c r="J272" s="79"/>
      <c r="P272" s="79"/>
      <c r="Q272" s="79"/>
      <c r="T272" s="79"/>
      <c r="U272" s="79"/>
      <c r="X272" s="130"/>
      <c r="Z272" s="106"/>
    </row>
    <row r="273">
      <c r="C273" s="79"/>
      <c r="D273" s="79"/>
      <c r="J273" s="79"/>
      <c r="P273" s="79"/>
      <c r="Q273" s="79"/>
      <c r="T273" s="79"/>
      <c r="U273" s="79"/>
      <c r="X273" s="130"/>
      <c r="Z273" s="106"/>
    </row>
    <row r="274">
      <c r="C274" s="79"/>
      <c r="D274" s="79"/>
      <c r="J274" s="79"/>
      <c r="P274" s="79"/>
      <c r="Q274" s="79"/>
      <c r="T274" s="79"/>
      <c r="U274" s="79"/>
      <c r="X274" s="130"/>
      <c r="Z274" s="106"/>
    </row>
    <row r="275">
      <c r="C275" s="79"/>
      <c r="D275" s="79"/>
      <c r="J275" s="79"/>
      <c r="P275" s="79"/>
      <c r="Q275" s="79"/>
      <c r="T275" s="79"/>
      <c r="U275" s="79"/>
      <c r="X275" s="130"/>
      <c r="Z275" s="106"/>
    </row>
    <row r="276">
      <c r="C276" s="79"/>
      <c r="D276" s="79"/>
      <c r="J276" s="79"/>
      <c r="P276" s="79"/>
      <c r="Q276" s="79"/>
      <c r="T276" s="79"/>
      <c r="U276" s="79"/>
      <c r="X276" s="130"/>
      <c r="Z276" s="106"/>
    </row>
    <row r="277">
      <c r="C277" s="79"/>
      <c r="D277" s="79"/>
      <c r="J277" s="79"/>
      <c r="P277" s="79"/>
      <c r="Q277" s="79"/>
      <c r="T277" s="79"/>
      <c r="U277" s="79"/>
      <c r="X277" s="130"/>
      <c r="Z277" s="106"/>
    </row>
    <row r="278">
      <c r="C278" s="79"/>
      <c r="D278" s="79"/>
      <c r="J278" s="79"/>
      <c r="P278" s="79"/>
      <c r="Q278" s="79"/>
      <c r="T278" s="79"/>
      <c r="U278" s="79"/>
      <c r="X278" s="130"/>
      <c r="Z278" s="106"/>
    </row>
    <row r="279">
      <c r="C279" s="79"/>
      <c r="D279" s="79"/>
      <c r="J279" s="79"/>
      <c r="P279" s="79"/>
      <c r="Q279" s="79"/>
      <c r="T279" s="79"/>
      <c r="U279" s="79"/>
      <c r="X279" s="130"/>
      <c r="Z279" s="106"/>
    </row>
    <row r="280">
      <c r="C280" s="79"/>
      <c r="D280" s="79"/>
      <c r="J280" s="79"/>
      <c r="P280" s="79"/>
      <c r="Q280" s="79"/>
      <c r="T280" s="79"/>
      <c r="U280" s="79"/>
      <c r="X280" s="130"/>
      <c r="Z280" s="106"/>
    </row>
    <row r="281">
      <c r="C281" s="79"/>
      <c r="D281" s="79"/>
      <c r="J281" s="79"/>
      <c r="P281" s="79"/>
      <c r="Q281" s="79"/>
      <c r="T281" s="79"/>
      <c r="U281" s="79"/>
      <c r="X281" s="130"/>
      <c r="Z281" s="106"/>
    </row>
    <row r="282">
      <c r="C282" s="79"/>
      <c r="D282" s="79"/>
      <c r="J282" s="79"/>
      <c r="P282" s="79"/>
      <c r="Q282" s="79"/>
      <c r="T282" s="79"/>
      <c r="U282" s="79"/>
      <c r="X282" s="130"/>
      <c r="Z282" s="106"/>
    </row>
    <row r="283">
      <c r="C283" s="79"/>
      <c r="D283" s="79"/>
      <c r="J283" s="79"/>
      <c r="P283" s="79"/>
      <c r="Q283" s="79"/>
      <c r="T283" s="79"/>
      <c r="U283" s="79"/>
      <c r="X283" s="130"/>
      <c r="Z283" s="106"/>
    </row>
    <row r="284">
      <c r="C284" s="79"/>
      <c r="D284" s="79"/>
      <c r="J284" s="79"/>
      <c r="P284" s="79"/>
      <c r="Q284" s="79"/>
      <c r="T284" s="79"/>
      <c r="U284" s="79"/>
      <c r="X284" s="130"/>
      <c r="Z284" s="106"/>
    </row>
    <row r="285">
      <c r="C285" s="79"/>
      <c r="D285" s="79"/>
      <c r="J285" s="79"/>
      <c r="P285" s="79"/>
      <c r="Q285" s="79"/>
      <c r="T285" s="79"/>
      <c r="U285" s="79"/>
      <c r="X285" s="130"/>
      <c r="Z285" s="106"/>
    </row>
    <row r="286">
      <c r="C286" s="79"/>
      <c r="D286" s="79"/>
      <c r="J286" s="79"/>
      <c r="P286" s="79"/>
      <c r="Q286" s="79"/>
      <c r="T286" s="79"/>
      <c r="U286" s="79"/>
      <c r="X286" s="130"/>
      <c r="Z286" s="106"/>
    </row>
    <row r="287">
      <c r="C287" s="79"/>
      <c r="D287" s="79"/>
      <c r="J287" s="79"/>
      <c r="P287" s="79"/>
      <c r="Q287" s="79"/>
      <c r="T287" s="79"/>
      <c r="U287" s="79"/>
      <c r="X287" s="130"/>
      <c r="Z287" s="106"/>
    </row>
    <row r="288">
      <c r="C288" s="79"/>
      <c r="D288" s="79"/>
      <c r="J288" s="79"/>
      <c r="P288" s="79"/>
      <c r="Q288" s="79"/>
      <c r="T288" s="79"/>
      <c r="U288" s="79"/>
      <c r="X288" s="130"/>
      <c r="Z288" s="106"/>
    </row>
    <row r="289">
      <c r="C289" s="79"/>
      <c r="D289" s="79"/>
      <c r="J289" s="79"/>
      <c r="P289" s="79"/>
      <c r="Q289" s="79"/>
      <c r="T289" s="79"/>
      <c r="U289" s="79"/>
      <c r="X289" s="130"/>
      <c r="Z289" s="106"/>
    </row>
    <row r="290">
      <c r="C290" s="79"/>
      <c r="D290" s="79"/>
      <c r="J290" s="79"/>
      <c r="P290" s="79"/>
      <c r="Q290" s="79"/>
      <c r="T290" s="79"/>
      <c r="U290" s="79"/>
      <c r="X290" s="130"/>
      <c r="Z290" s="106"/>
    </row>
    <row r="291">
      <c r="C291" s="79"/>
      <c r="D291" s="79"/>
      <c r="J291" s="79"/>
      <c r="P291" s="79"/>
      <c r="Q291" s="79"/>
      <c r="T291" s="79"/>
      <c r="U291" s="79"/>
      <c r="X291" s="130"/>
      <c r="Z291" s="106"/>
    </row>
    <row r="292">
      <c r="C292" s="79"/>
      <c r="D292" s="79"/>
      <c r="J292" s="79"/>
      <c r="P292" s="79"/>
      <c r="Q292" s="79"/>
      <c r="T292" s="79"/>
      <c r="U292" s="79"/>
      <c r="X292" s="130"/>
      <c r="Z292" s="106"/>
    </row>
    <row r="293">
      <c r="C293" s="79"/>
      <c r="D293" s="79"/>
      <c r="J293" s="79"/>
      <c r="P293" s="79"/>
      <c r="Q293" s="79"/>
      <c r="T293" s="79"/>
      <c r="U293" s="79"/>
      <c r="X293" s="130"/>
      <c r="Z293" s="106"/>
    </row>
    <row r="294">
      <c r="C294" s="79"/>
      <c r="D294" s="79"/>
      <c r="J294" s="79"/>
      <c r="P294" s="79"/>
      <c r="Q294" s="79"/>
      <c r="T294" s="79"/>
      <c r="U294" s="79"/>
      <c r="X294" s="130"/>
      <c r="Z294" s="106"/>
    </row>
    <row r="295">
      <c r="C295" s="79"/>
      <c r="D295" s="79"/>
      <c r="J295" s="79"/>
      <c r="P295" s="79"/>
      <c r="Q295" s="79"/>
      <c r="T295" s="79"/>
      <c r="U295" s="79"/>
      <c r="X295" s="130"/>
      <c r="Z295" s="106"/>
    </row>
    <row r="296">
      <c r="C296" s="79"/>
      <c r="D296" s="79"/>
      <c r="J296" s="79"/>
      <c r="P296" s="79"/>
      <c r="Q296" s="79"/>
      <c r="T296" s="79"/>
      <c r="U296" s="79"/>
      <c r="X296" s="130"/>
      <c r="Z296" s="106"/>
    </row>
    <row r="297">
      <c r="C297" s="79"/>
      <c r="D297" s="79"/>
      <c r="J297" s="79"/>
      <c r="P297" s="79"/>
      <c r="Q297" s="79"/>
      <c r="T297" s="79"/>
      <c r="U297" s="79"/>
      <c r="X297" s="130"/>
      <c r="Z297" s="106"/>
    </row>
    <row r="298">
      <c r="C298" s="79"/>
      <c r="D298" s="79"/>
      <c r="J298" s="79"/>
      <c r="P298" s="79"/>
      <c r="Q298" s="79"/>
      <c r="T298" s="79"/>
      <c r="U298" s="79"/>
      <c r="X298" s="130"/>
      <c r="Z298" s="106"/>
    </row>
    <row r="299">
      <c r="C299" s="79"/>
      <c r="D299" s="79"/>
      <c r="J299" s="79"/>
      <c r="P299" s="79"/>
      <c r="Q299" s="79"/>
      <c r="T299" s="79"/>
      <c r="U299" s="79"/>
      <c r="X299" s="130"/>
      <c r="Z299" s="106"/>
    </row>
    <row r="300">
      <c r="C300" s="79"/>
      <c r="D300" s="79"/>
      <c r="J300" s="79"/>
      <c r="P300" s="79"/>
      <c r="Q300" s="79"/>
      <c r="T300" s="79"/>
      <c r="U300" s="79"/>
      <c r="X300" s="130"/>
      <c r="Z300" s="106"/>
    </row>
    <row r="301">
      <c r="C301" s="79"/>
      <c r="D301" s="79"/>
      <c r="J301" s="79"/>
      <c r="P301" s="79"/>
      <c r="Q301" s="79"/>
      <c r="T301" s="79"/>
      <c r="U301" s="79"/>
      <c r="X301" s="130"/>
      <c r="Z301" s="106"/>
    </row>
    <row r="302">
      <c r="C302" s="79"/>
      <c r="D302" s="79"/>
      <c r="J302" s="79"/>
      <c r="P302" s="79"/>
      <c r="Q302" s="79"/>
      <c r="T302" s="79"/>
      <c r="U302" s="79"/>
      <c r="X302" s="130"/>
      <c r="Z302" s="106"/>
    </row>
    <row r="303">
      <c r="C303" s="79"/>
      <c r="D303" s="79"/>
      <c r="J303" s="79"/>
      <c r="P303" s="79"/>
      <c r="Q303" s="79"/>
      <c r="T303" s="79"/>
      <c r="U303" s="79"/>
      <c r="X303" s="130"/>
      <c r="Z303" s="106"/>
    </row>
    <row r="304">
      <c r="C304" s="79"/>
      <c r="D304" s="79"/>
      <c r="J304" s="79"/>
      <c r="P304" s="79"/>
      <c r="Q304" s="79"/>
      <c r="T304" s="79"/>
      <c r="U304" s="79"/>
      <c r="X304" s="130"/>
      <c r="Z304" s="106"/>
    </row>
    <row r="305">
      <c r="C305" s="79"/>
      <c r="D305" s="79"/>
      <c r="J305" s="79"/>
      <c r="P305" s="79"/>
      <c r="Q305" s="79"/>
      <c r="T305" s="79"/>
      <c r="U305" s="79"/>
      <c r="X305" s="130"/>
      <c r="Z305" s="106"/>
    </row>
    <row r="306">
      <c r="C306" s="79"/>
      <c r="D306" s="79"/>
      <c r="J306" s="79"/>
      <c r="P306" s="79"/>
      <c r="Q306" s="79"/>
      <c r="T306" s="79"/>
      <c r="U306" s="79"/>
      <c r="X306" s="130"/>
      <c r="Z306" s="106"/>
    </row>
    <row r="307">
      <c r="C307" s="79"/>
      <c r="D307" s="79"/>
      <c r="J307" s="79"/>
      <c r="P307" s="79"/>
      <c r="Q307" s="79"/>
      <c r="T307" s="79"/>
      <c r="U307" s="79"/>
      <c r="X307" s="130"/>
      <c r="Z307" s="106"/>
    </row>
    <row r="308">
      <c r="C308" s="79"/>
      <c r="D308" s="79"/>
      <c r="J308" s="79"/>
      <c r="P308" s="79"/>
      <c r="Q308" s="79"/>
      <c r="T308" s="79"/>
      <c r="U308" s="79"/>
      <c r="X308" s="130"/>
      <c r="Z308" s="106"/>
    </row>
    <row r="309">
      <c r="C309" s="79"/>
      <c r="D309" s="79"/>
      <c r="J309" s="79"/>
      <c r="P309" s="79"/>
      <c r="Q309" s="79"/>
      <c r="T309" s="79"/>
      <c r="U309" s="79"/>
      <c r="X309" s="130"/>
      <c r="Z309" s="106"/>
    </row>
    <row r="310">
      <c r="C310" s="79"/>
      <c r="D310" s="79"/>
      <c r="J310" s="79"/>
      <c r="P310" s="79"/>
      <c r="Q310" s="79"/>
      <c r="T310" s="79"/>
      <c r="U310" s="79"/>
      <c r="X310" s="130"/>
      <c r="Z310" s="106"/>
    </row>
    <row r="311">
      <c r="C311" s="79"/>
      <c r="D311" s="79"/>
      <c r="J311" s="79"/>
      <c r="P311" s="79"/>
      <c r="Q311" s="79"/>
      <c r="T311" s="79"/>
      <c r="U311" s="79"/>
      <c r="X311" s="130"/>
      <c r="Z311" s="106"/>
    </row>
    <row r="312">
      <c r="C312" s="79"/>
      <c r="D312" s="79"/>
      <c r="J312" s="79"/>
      <c r="P312" s="79"/>
      <c r="Q312" s="79"/>
      <c r="T312" s="79"/>
      <c r="U312" s="79"/>
      <c r="X312" s="130"/>
      <c r="Z312" s="106"/>
    </row>
    <row r="313">
      <c r="C313" s="79"/>
      <c r="D313" s="79"/>
      <c r="J313" s="79"/>
      <c r="P313" s="79"/>
      <c r="Q313" s="79"/>
      <c r="T313" s="79"/>
      <c r="U313" s="79"/>
      <c r="X313" s="130"/>
      <c r="Z313" s="106"/>
    </row>
    <row r="314">
      <c r="C314" s="79"/>
      <c r="D314" s="79"/>
      <c r="J314" s="79"/>
      <c r="P314" s="79"/>
      <c r="Q314" s="79"/>
      <c r="T314" s="79"/>
      <c r="U314" s="79"/>
      <c r="X314" s="130"/>
      <c r="Z314" s="106"/>
    </row>
    <row r="315">
      <c r="C315" s="79"/>
      <c r="D315" s="79"/>
      <c r="J315" s="79"/>
      <c r="P315" s="79"/>
      <c r="Q315" s="79"/>
      <c r="T315" s="79"/>
      <c r="U315" s="79"/>
      <c r="X315" s="130"/>
      <c r="Z315" s="106"/>
    </row>
    <row r="316">
      <c r="C316" s="79"/>
      <c r="D316" s="79"/>
      <c r="J316" s="79"/>
      <c r="P316" s="79"/>
      <c r="Q316" s="79"/>
      <c r="T316" s="79"/>
      <c r="U316" s="79"/>
      <c r="X316" s="130"/>
      <c r="Z316" s="106"/>
    </row>
    <row r="317">
      <c r="C317" s="79"/>
      <c r="D317" s="79"/>
      <c r="J317" s="79"/>
      <c r="P317" s="79"/>
      <c r="Q317" s="79"/>
      <c r="T317" s="79"/>
      <c r="U317" s="79"/>
      <c r="X317" s="130"/>
      <c r="Z317" s="106"/>
    </row>
    <row r="318">
      <c r="C318" s="79"/>
      <c r="D318" s="79"/>
      <c r="J318" s="79"/>
      <c r="P318" s="79"/>
      <c r="Q318" s="79"/>
      <c r="T318" s="79"/>
      <c r="U318" s="79"/>
      <c r="X318" s="130"/>
      <c r="Z318" s="106"/>
    </row>
    <row r="319">
      <c r="C319" s="79"/>
      <c r="D319" s="79"/>
      <c r="J319" s="79"/>
      <c r="P319" s="79"/>
      <c r="Q319" s="79"/>
      <c r="T319" s="79"/>
      <c r="U319" s="79"/>
      <c r="X319" s="130"/>
      <c r="Z319" s="106"/>
    </row>
    <row r="320">
      <c r="C320" s="79"/>
      <c r="D320" s="79"/>
      <c r="J320" s="79"/>
      <c r="P320" s="79"/>
      <c r="Q320" s="79"/>
      <c r="T320" s="79"/>
      <c r="U320" s="79"/>
      <c r="X320" s="130"/>
      <c r="Z320" s="106"/>
    </row>
    <row r="321">
      <c r="C321" s="79"/>
      <c r="D321" s="79"/>
      <c r="J321" s="79"/>
      <c r="P321" s="79"/>
      <c r="Q321" s="79"/>
      <c r="T321" s="79"/>
      <c r="U321" s="79"/>
      <c r="X321" s="130"/>
      <c r="Z321" s="106"/>
    </row>
    <row r="322">
      <c r="C322" s="79"/>
      <c r="D322" s="79"/>
      <c r="J322" s="79"/>
      <c r="P322" s="79"/>
      <c r="Q322" s="79"/>
      <c r="T322" s="79"/>
      <c r="U322" s="79"/>
      <c r="X322" s="130"/>
      <c r="Z322" s="106"/>
    </row>
    <row r="323">
      <c r="C323" s="79"/>
      <c r="D323" s="79"/>
      <c r="J323" s="79"/>
      <c r="P323" s="79"/>
      <c r="Q323" s="79"/>
      <c r="T323" s="79"/>
      <c r="U323" s="79"/>
      <c r="X323" s="130"/>
      <c r="Z323" s="106"/>
    </row>
    <row r="324">
      <c r="C324" s="79"/>
      <c r="D324" s="79"/>
      <c r="J324" s="79"/>
      <c r="P324" s="79"/>
      <c r="Q324" s="79"/>
      <c r="T324" s="79"/>
      <c r="U324" s="79"/>
      <c r="X324" s="130"/>
      <c r="Z324" s="106"/>
    </row>
    <row r="325">
      <c r="C325" s="79"/>
      <c r="D325" s="79"/>
      <c r="J325" s="79"/>
      <c r="P325" s="79"/>
      <c r="Q325" s="79"/>
      <c r="T325" s="79"/>
      <c r="U325" s="79"/>
      <c r="X325" s="130"/>
      <c r="Z325" s="106"/>
    </row>
    <row r="326">
      <c r="C326" s="79"/>
      <c r="D326" s="79"/>
      <c r="J326" s="79"/>
      <c r="P326" s="79"/>
      <c r="Q326" s="79"/>
      <c r="T326" s="79"/>
      <c r="U326" s="79"/>
      <c r="X326" s="130"/>
      <c r="Z326" s="106"/>
    </row>
    <row r="327">
      <c r="C327" s="79"/>
      <c r="D327" s="79"/>
      <c r="J327" s="79"/>
      <c r="P327" s="79"/>
      <c r="Q327" s="79"/>
      <c r="T327" s="79"/>
      <c r="U327" s="79"/>
      <c r="X327" s="130"/>
      <c r="Z327" s="106"/>
    </row>
    <row r="328">
      <c r="C328" s="79"/>
      <c r="D328" s="79"/>
      <c r="J328" s="79"/>
      <c r="P328" s="79"/>
      <c r="Q328" s="79"/>
      <c r="T328" s="79"/>
      <c r="U328" s="79"/>
      <c r="X328" s="130"/>
      <c r="Z328" s="106"/>
    </row>
    <row r="329">
      <c r="C329" s="79"/>
      <c r="D329" s="79"/>
      <c r="J329" s="79"/>
      <c r="P329" s="79"/>
      <c r="Q329" s="79"/>
      <c r="T329" s="79"/>
      <c r="U329" s="79"/>
      <c r="X329" s="130"/>
      <c r="Z329" s="106"/>
    </row>
    <row r="330">
      <c r="C330" s="79"/>
      <c r="D330" s="79"/>
      <c r="J330" s="79"/>
      <c r="P330" s="79"/>
      <c r="Q330" s="79"/>
      <c r="T330" s="79"/>
      <c r="U330" s="79"/>
      <c r="X330" s="130"/>
      <c r="Z330" s="106"/>
    </row>
    <row r="331">
      <c r="C331" s="79"/>
      <c r="D331" s="79"/>
      <c r="J331" s="79"/>
      <c r="P331" s="79"/>
      <c r="Q331" s="79"/>
      <c r="T331" s="79"/>
      <c r="U331" s="79"/>
      <c r="X331" s="130"/>
      <c r="Z331" s="106"/>
    </row>
    <row r="332">
      <c r="C332" s="79"/>
      <c r="D332" s="79"/>
      <c r="J332" s="79"/>
      <c r="P332" s="79"/>
      <c r="Q332" s="79"/>
      <c r="T332" s="79"/>
      <c r="U332" s="79"/>
      <c r="X332" s="130"/>
      <c r="Z332" s="106"/>
    </row>
    <row r="333">
      <c r="C333" s="79"/>
      <c r="D333" s="79"/>
      <c r="J333" s="79"/>
      <c r="P333" s="79"/>
      <c r="Q333" s="79"/>
      <c r="T333" s="79"/>
      <c r="U333" s="79"/>
      <c r="X333" s="130"/>
      <c r="Z333" s="106"/>
    </row>
    <row r="334">
      <c r="C334" s="79"/>
      <c r="D334" s="79"/>
      <c r="J334" s="79"/>
      <c r="P334" s="79"/>
      <c r="Q334" s="79"/>
      <c r="T334" s="79"/>
      <c r="U334" s="79"/>
      <c r="X334" s="130"/>
      <c r="Z334" s="106"/>
    </row>
    <row r="335">
      <c r="C335" s="79"/>
      <c r="D335" s="79"/>
      <c r="J335" s="79"/>
      <c r="P335" s="79"/>
      <c r="Q335" s="79"/>
      <c r="T335" s="79"/>
      <c r="U335" s="79"/>
      <c r="X335" s="130"/>
      <c r="Z335" s="106"/>
    </row>
    <row r="336">
      <c r="C336" s="79"/>
      <c r="D336" s="79"/>
      <c r="J336" s="79"/>
      <c r="P336" s="79"/>
      <c r="Q336" s="79"/>
      <c r="T336" s="79"/>
      <c r="U336" s="79"/>
      <c r="X336" s="130"/>
      <c r="Z336" s="106"/>
    </row>
    <row r="337">
      <c r="C337" s="79"/>
      <c r="D337" s="79"/>
      <c r="J337" s="79"/>
      <c r="P337" s="79"/>
      <c r="Q337" s="79"/>
      <c r="T337" s="79"/>
      <c r="U337" s="79"/>
      <c r="X337" s="130"/>
      <c r="Z337" s="106"/>
    </row>
    <row r="338">
      <c r="C338" s="79"/>
      <c r="D338" s="79"/>
      <c r="J338" s="79"/>
      <c r="P338" s="79"/>
      <c r="Q338" s="79"/>
      <c r="T338" s="79"/>
      <c r="U338" s="79"/>
      <c r="X338" s="130"/>
      <c r="Z338" s="106"/>
    </row>
    <row r="339">
      <c r="C339" s="79"/>
      <c r="D339" s="79"/>
      <c r="J339" s="79"/>
      <c r="P339" s="79"/>
      <c r="Q339" s="79"/>
      <c r="T339" s="79"/>
      <c r="U339" s="79"/>
      <c r="X339" s="130"/>
      <c r="Z339" s="106"/>
    </row>
    <row r="340">
      <c r="C340" s="79"/>
      <c r="D340" s="79"/>
      <c r="J340" s="79"/>
      <c r="P340" s="79"/>
      <c r="Q340" s="79"/>
      <c r="T340" s="79"/>
      <c r="U340" s="79"/>
      <c r="X340" s="130"/>
      <c r="Z340" s="106"/>
    </row>
    <row r="341">
      <c r="C341" s="79"/>
      <c r="D341" s="79"/>
      <c r="J341" s="79"/>
      <c r="P341" s="79"/>
      <c r="Q341" s="79"/>
      <c r="T341" s="79"/>
      <c r="U341" s="79"/>
      <c r="X341" s="130"/>
      <c r="Z341" s="106"/>
    </row>
    <row r="342">
      <c r="C342" s="79"/>
      <c r="D342" s="79"/>
      <c r="J342" s="79"/>
      <c r="P342" s="79"/>
      <c r="Q342" s="79"/>
      <c r="T342" s="79"/>
      <c r="U342" s="79"/>
      <c r="X342" s="130"/>
      <c r="Z342" s="106"/>
    </row>
    <row r="343">
      <c r="C343" s="79"/>
      <c r="D343" s="79"/>
      <c r="J343" s="79"/>
      <c r="P343" s="79"/>
      <c r="Q343" s="79"/>
      <c r="T343" s="79"/>
      <c r="U343" s="79"/>
      <c r="X343" s="130"/>
      <c r="Z343" s="106"/>
    </row>
    <row r="344">
      <c r="C344" s="79"/>
      <c r="D344" s="79"/>
      <c r="J344" s="79"/>
      <c r="P344" s="79"/>
      <c r="Q344" s="79"/>
      <c r="T344" s="79"/>
      <c r="U344" s="79"/>
      <c r="X344" s="130"/>
      <c r="Z344" s="106"/>
    </row>
    <row r="345">
      <c r="C345" s="79"/>
      <c r="D345" s="79"/>
      <c r="J345" s="79"/>
      <c r="P345" s="79"/>
      <c r="Q345" s="79"/>
      <c r="T345" s="79"/>
      <c r="U345" s="79"/>
      <c r="X345" s="130"/>
      <c r="Z345" s="106"/>
    </row>
    <row r="346">
      <c r="C346" s="79"/>
      <c r="D346" s="79"/>
      <c r="J346" s="79"/>
      <c r="P346" s="79"/>
      <c r="Q346" s="79"/>
      <c r="T346" s="79"/>
      <c r="U346" s="79"/>
      <c r="X346" s="130"/>
      <c r="Z346" s="106"/>
    </row>
    <row r="347">
      <c r="C347" s="79"/>
      <c r="D347" s="79"/>
      <c r="J347" s="79"/>
      <c r="P347" s="79"/>
      <c r="Q347" s="79"/>
      <c r="T347" s="79"/>
      <c r="U347" s="79"/>
      <c r="X347" s="130"/>
      <c r="Z347" s="106"/>
    </row>
    <row r="348">
      <c r="C348" s="79"/>
      <c r="D348" s="79"/>
      <c r="J348" s="79"/>
      <c r="P348" s="79"/>
      <c r="Q348" s="79"/>
      <c r="T348" s="79"/>
      <c r="U348" s="79"/>
      <c r="X348" s="130"/>
      <c r="Z348" s="106"/>
    </row>
    <row r="349">
      <c r="C349" s="79"/>
      <c r="D349" s="79"/>
      <c r="J349" s="79"/>
      <c r="P349" s="79"/>
      <c r="Q349" s="79"/>
      <c r="T349" s="79"/>
      <c r="U349" s="79"/>
      <c r="X349" s="130"/>
      <c r="Z349" s="106"/>
    </row>
    <row r="350">
      <c r="C350" s="79"/>
      <c r="D350" s="79"/>
      <c r="J350" s="79"/>
      <c r="P350" s="79"/>
      <c r="Q350" s="79"/>
      <c r="T350" s="79"/>
      <c r="U350" s="79"/>
      <c r="X350" s="130"/>
      <c r="Z350" s="106"/>
    </row>
    <row r="351">
      <c r="C351" s="79"/>
      <c r="D351" s="79"/>
      <c r="J351" s="79"/>
      <c r="P351" s="79"/>
      <c r="Q351" s="79"/>
      <c r="T351" s="79"/>
      <c r="U351" s="79"/>
      <c r="X351" s="130"/>
      <c r="Z351" s="106"/>
    </row>
    <row r="352">
      <c r="C352" s="79"/>
      <c r="D352" s="79"/>
      <c r="J352" s="79"/>
      <c r="P352" s="79"/>
      <c r="Q352" s="79"/>
      <c r="T352" s="79"/>
      <c r="U352" s="79"/>
      <c r="X352" s="130"/>
      <c r="Z352" s="106"/>
    </row>
    <row r="353">
      <c r="C353" s="79"/>
      <c r="D353" s="79"/>
      <c r="J353" s="79"/>
      <c r="P353" s="79"/>
      <c r="Q353" s="79"/>
      <c r="T353" s="79"/>
      <c r="U353" s="79"/>
      <c r="X353" s="130"/>
      <c r="Z353" s="106"/>
    </row>
    <row r="354">
      <c r="C354" s="79"/>
      <c r="D354" s="79"/>
      <c r="J354" s="79"/>
      <c r="P354" s="79"/>
      <c r="Q354" s="79"/>
      <c r="T354" s="79"/>
      <c r="U354" s="79"/>
      <c r="X354" s="130"/>
      <c r="Z354" s="106"/>
    </row>
    <row r="355">
      <c r="C355" s="79"/>
      <c r="D355" s="79"/>
      <c r="J355" s="79"/>
      <c r="P355" s="79"/>
      <c r="Q355" s="79"/>
      <c r="T355" s="79"/>
      <c r="U355" s="79"/>
      <c r="X355" s="130"/>
      <c r="Z355" s="106"/>
    </row>
    <row r="356">
      <c r="C356" s="79"/>
      <c r="D356" s="79"/>
      <c r="J356" s="79"/>
      <c r="P356" s="79"/>
      <c r="Q356" s="79"/>
      <c r="T356" s="79"/>
      <c r="U356" s="79"/>
      <c r="X356" s="130"/>
      <c r="Z356" s="106"/>
    </row>
    <row r="357">
      <c r="C357" s="79"/>
      <c r="D357" s="79"/>
      <c r="J357" s="79"/>
      <c r="P357" s="79"/>
      <c r="Q357" s="79"/>
      <c r="T357" s="79"/>
      <c r="U357" s="79"/>
      <c r="X357" s="130"/>
      <c r="Z357" s="106"/>
    </row>
    <row r="358">
      <c r="C358" s="79"/>
      <c r="D358" s="79"/>
      <c r="J358" s="79"/>
      <c r="P358" s="79"/>
      <c r="Q358" s="79"/>
      <c r="T358" s="79"/>
      <c r="U358" s="79"/>
      <c r="X358" s="130"/>
      <c r="Z358" s="106"/>
    </row>
    <row r="359">
      <c r="C359" s="79"/>
      <c r="D359" s="79"/>
      <c r="J359" s="79"/>
      <c r="P359" s="79"/>
      <c r="Q359" s="79"/>
      <c r="T359" s="79"/>
      <c r="U359" s="79"/>
      <c r="X359" s="130"/>
      <c r="Z359" s="106"/>
    </row>
    <row r="360">
      <c r="C360" s="79"/>
      <c r="D360" s="79"/>
      <c r="J360" s="79"/>
      <c r="P360" s="79"/>
      <c r="Q360" s="79"/>
      <c r="T360" s="79"/>
      <c r="U360" s="79"/>
      <c r="X360" s="130"/>
      <c r="Z360" s="106"/>
    </row>
    <row r="361">
      <c r="C361" s="79"/>
      <c r="D361" s="79"/>
      <c r="J361" s="79"/>
      <c r="P361" s="79"/>
      <c r="Q361" s="79"/>
      <c r="T361" s="79"/>
      <c r="U361" s="79"/>
      <c r="X361" s="130"/>
      <c r="Z361" s="106"/>
    </row>
    <row r="362">
      <c r="C362" s="79"/>
      <c r="D362" s="79"/>
      <c r="J362" s="79"/>
      <c r="P362" s="79"/>
      <c r="Q362" s="79"/>
      <c r="T362" s="79"/>
      <c r="U362" s="79"/>
      <c r="X362" s="130"/>
      <c r="Z362" s="106"/>
    </row>
    <row r="363">
      <c r="C363" s="79"/>
      <c r="D363" s="79"/>
      <c r="J363" s="79"/>
      <c r="P363" s="79"/>
      <c r="Q363" s="79"/>
      <c r="T363" s="79"/>
      <c r="U363" s="79"/>
      <c r="X363" s="130"/>
      <c r="Z363" s="106"/>
    </row>
    <row r="364">
      <c r="C364" s="79"/>
      <c r="D364" s="79"/>
      <c r="J364" s="79"/>
      <c r="P364" s="79"/>
      <c r="Q364" s="79"/>
      <c r="T364" s="79"/>
      <c r="U364" s="79"/>
      <c r="X364" s="130"/>
      <c r="Z364" s="106"/>
    </row>
    <row r="365">
      <c r="C365" s="79"/>
      <c r="D365" s="79"/>
      <c r="J365" s="79"/>
      <c r="P365" s="79"/>
      <c r="Q365" s="79"/>
      <c r="T365" s="79"/>
      <c r="U365" s="79"/>
      <c r="X365" s="130"/>
      <c r="Z365" s="106"/>
    </row>
    <row r="366">
      <c r="C366" s="79"/>
      <c r="D366" s="79"/>
      <c r="J366" s="79"/>
      <c r="P366" s="79"/>
      <c r="Q366" s="79"/>
      <c r="T366" s="79"/>
      <c r="U366" s="79"/>
      <c r="X366" s="130"/>
      <c r="Z366" s="106"/>
    </row>
    <row r="367">
      <c r="C367" s="79"/>
      <c r="D367" s="79"/>
      <c r="J367" s="79"/>
      <c r="P367" s="79"/>
      <c r="Q367" s="79"/>
      <c r="T367" s="79"/>
      <c r="U367" s="79"/>
      <c r="X367" s="130"/>
      <c r="Z367" s="106"/>
    </row>
    <row r="368">
      <c r="C368" s="79"/>
      <c r="D368" s="79"/>
      <c r="J368" s="79"/>
      <c r="P368" s="79"/>
      <c r="Q368" s="79"/>
      <c r="T368" s="79"/>
      <c r="U368" s="79"/>
      <c r="X368" s="130"/>
      <c r="Z368" s="106"/>
    </row>
    <row r="369">
      <c r="C369" s="79"/>
      <c r="D369" s="79"/>
      <c r="J369" s="79"/>
      <c r="P369" s="79"/>
      <c r="Q369" s="79"/>
      <c r="T369" s="79"/>
      <c r="U369" s="79"/>
      <c r="X369" s="130"/>
      <c r="Z369" s="106"/>
    </row>
    <row r="370">
      <c r="C370" s="79"/>
      <c r="D370" s="79"/>
      <c r="J370" s="79"/>
      <c r="P370" s="79"/>
      <c r="Q370" s="79"/>
      <c r="T370" s="79"/>
      <c r="U370" s="79"/>
      <c r="X370" s="130"/>
      <c r="Z370" s="106"/>
    </row>
    <row r="371">
      <c r="C371" s="79"/>
      <c r="D371" s="79"/>
      <c r="J371" s="79"/>
      <c r="P371" s="79"/>
      <c r="Q371" s="79"/>
      <c r="T371" s="79"/>
      <c r="U371" s="79"/>
      <c r="X371" s="130"/>
      <c r="Z371" s="106"/>
    </row>
    <row r="372">
      <c r="C372" s="79"/>
      <c r="D372" s="79"/>
      <c r="J372" s="79"/>
      <c r="P372" s="79"/>
      <c r="Q372" s="79"/>
      <c r="T372" s="79"/>
      <c r="U372" s="79"/>
      <c r="X372" s="130"/>
      <c r="Z372" s="106"/>
    </row>
    <row r="373">
      <c r="C373" s="79"/>
      <c r="D373" s="79"/>
      <c r="J373" s="79"/>
      <c r="P373" s="79"/>
      <c r="Q373" s="79"/>
      <c r="T373" s="79"/>
      <c r="U373" s="79"/>
      <c r="X373" s="130"/>
      <c r="Z373" s="106"/>
    </row>
    <row r="374">
      <c r="C374" s="79"/>
      <c r="D374" s="79"/>
      <c r="J374" s="79"/>
      <c r="P374" s="79"/>
      <c r="Q374" s="79"/>
      <c r="T374" s="79"/>
      <c r="U374" s="79"/>
      <c r="X374" s="130"/>
      <c r="Z374" s="106"/>
    </row>
    <row r="375">
      <c r="C375" s="79"/>
      <c r="D375" s="79"/>
      <c r="J375" s="79"/>
      <c r="P375" s="79"/>
      <c r="Q375" s="79"/>
      <c r="T375" s="79"/>
      <c r="U375" s="79"/>
      <c r="X375" s="130"/>
      <c r="Z375" s="106"/>
    </row>
    <row r="376">
      <c r="C376" s="79"/>
      <c r="D376" s="79"/>
      <c r="J376" s="79"/>
      <c r="P376" s="79"/>
      <c r="Q376" s="79"/>
      <c r="T376" s="79"/>
      <c r="U376" s="79"/>
      <c r="X376" s="130"/>
      <c r="Z376" s="106"/>
    </row>
    <row r="377">
      <c r="C377" s="79"/>
      <c r="D377" s="79"/>
      <c r="J377" s="79"/>
      <c r="P377" s="79"/>
      <c r="Q377" s="79"/>
      <c r="T377" s="79"/>
      <c r="U377" s="79"/>
      <c r="X377" s="130"/>
      <c r="Z377" s="106"/>
    </row>
    <row r="378">
      <c r="C378" s="79"/>
      <c r="D378" s="79"/>
      <c r="J378" s="79"/>
      <c r="P378" s="79"/>
      <c r="Q378" s="79"/>
      <c r="T378" s="79"/>
      <c r="U378" s="79"/>
      <c r="X378" s="130"/>
      <c r="Z378" s="106"/>
    </row>
    <row r="379">
      <c r="C379" s="79"/>
      <c r="D379" s="79"/>
      <c r="J379" s="79"/>
      <c r="P379" s="79"/>
      <c r="Q379" s="79"/>
      <c r="T379" s="79"/>
      <c r="U379" s="79"/>
      <c r="X379" s="130"/>
      <c r="Z379" s="106"/>
    </row>
    <row r="380">
      <c r="C380" s="79"/>
      <c r="D380" s="79"/>
      <c r="J380" s="79"/>
      <c r="P380" s="79"/>
      <c r="Q380" s="79"/>
      <c r="T380" s="79"/>
      <c r="U380" s="79"/>
      <c r="X380" s="130"/>
      <c r="Z380" s="106"/>
    </row>
    <row r="381">
      <c r="C381" s="79"/>
      <c r="D381" s="79"/>
      <c r="J381" s="79"/>
      <c r="P381" s="79"/>
      <c r="Q381" s="79"/>
      <c r="T381" s="79"/>
      <c r="U381" s="79"/>
      <c r="X381" s="130"/>
      <c r="Z381" s="106"/>
    </row>
    <row r="382">
      <c r="C382" s="79"/>
      <c r="D382" s="79"/>
      <c r="J382" s="79"/>
      <c r="P382" s="79"/>
      <c r="Q382" s="79"/>
      <c r="T382" s="79"/>
      <c r="U382" s="79"/>
      <c r="X382" s="130"/>
      <c r="Z382" s="106"/>
    </row>
    <row r="383">
      <c r="C383" s="79"/>
      <c r="D383" s="79"/>
      <c r="J383" s="79"/>
      <c r="P383" s="79"/>
      <c r="Q383" s="79"/>
      <c r="T383" s="79"/>
      <c r="U383" s="79"/>
      <c r="X383" s="130"/>
      <c r="Z383" s="106"/>
    </row>
    <row r="384">
      <c r="C384" s="79"/>
      <c r="D384" s="79"/>
      <c r="J384" s="79"/>
      <c r="P384" s="79"/>
      <c r="Q384" s="79"/>
      <c r="T384" s="79"/>
      <c r="U384" s="79"/>
      <c r="X384" s="130"/>
      <c r="Z384" s="106"/>
    </row>
    <row r="385">
      <c r="C385" s="79"/>
      <c r="D385" s="79"/>
      <c r="J385" s="79"/>
      <c r="P385" s="79"/>
      <c r="Q385" s="79"/>
      <c r="T385" s="79"/>
      <c r="U385" s="79"/>
      <c r="X385" s="130"/>
      <c r="Z385" s="106"/>
    </row>
    <row r="386">
      <c r="C386" s="79"/>
      <c r="D386" s="79"/>
      <c r="J386" s="79"/>
      <c r="P386" s="79"/>
      <c r="Q386" s="79"/>
      <c r="T386" s="79"/>
      <c r="U386" s="79"/>
      <c r="X386" s="130"/>
      <c r="Z386" s="106"/>
    </row>
    <row r="387">
      <c r="C387" s="79"/>
      <c r="D387" s="79"/>
      <c r="J387" s="79"/>
      <c r="P387" s="79"/>
      <c r="Q387" s="79"/>
      <c r="T387" s="79"/>
      <c r="U387" s="79"/>
      <c r="X387" s="130"/>
      <c r="Z387" s="106"/>
    </row>
    <row r="388">
      <c r="C388" s="79"/>
      <c r="D388" s="79"/>
      <c r="J388" s="79"/>
      <c r="P388" s="79"/>
      <c r="Q388" s="79"/>
      <c r="T388" s="79"/>
      <c r="U388" s="79"/>
      <c r="X388" s="130"/>
      <c r="Z388" s="106"/>
    </row>
    <row r="389">
      <c r="C389" s="79"/>
      <c r="D389" s="79"/>
      <c r="J389" s="79"/>
      <c r="P389" s="79"/>
      <c r="Q389" s="79"/>
      <c r="T389" s="79"/>
      <c r="U389" s="79"/>
      <c r="X389" s="130"/>
      <c r="Z389" s="106"/>
    </row>
    <row r="390">
      <c r="C390" s="79"/>
      <c r="D390" s="79"/>
      <c r="J390" s="79"/>
      <c r="P390" s="79"/>
      <c r="Q390" s="79"/>
      <c r="T390" s="79"/>
      <c r="U390" s="79"/>
      <c r="X390" s="130"/>
      <c r="Z390" s="106"/>
    </row>
    <row r="391">
      <c r="C391" s="79"/>
      <c r="D391" s="79"/>
      <c r="J391" s="79"/>
      <c r="P391" s="79"/>
      <c r="Q391" s="79"/>
      <c r="T391" s="79"/>
      <c r="U391" s="79"/>
      <c r="X391" s="130"/>
      <c r="Z391" s="106"/>
    </row>
    <row r="392">
      <c r="C392" s="79"/>
      <c r="D392" s="79"/>
      <c r="J392" s="79"/>
      <c r="P392" s="79"/>
      <c r="Q392" s="79"/>
      <c r="T392" s="79"/>
      <c r="U392" s="79"/>
      <c r="X392" s="130"/>
      <c r="Z392" s="106"/>
    </row>
    <row r="393">
      <c r="C393" s="79"/>
      <c r="D393" s="79"/>
      <c r="J393" s="79"/>
      <c r="P393" s="79"/>
      <c r="Q393" s="79"/>
      <c r="T393" s="79"/>
      <c r="U393" s="79"/>
      <c r="X393" s="130"/>
      <c r="Z393" s="106"/>
    </row>
    <row r="394">
      <c r="C394" s="79"/>
      <c r="D394" s="79"/>
      <c r="J394" s="79"/>
      <c r="P394" s="79"/>
      <c r="Q394" s="79"/>
      <c r="T394" s="79"/>
      <c r="U394" s="79"/>
      <c r="X394" s="130"/>
      <c r="Z394" s="106"/>
    </row>
    <row r="395">
      <c r="C395" s="79"/>
      <c r="D395" s="79"/>
      <c r="J395" s="79"/>
      <c r="P395" s="79"/>
      <c r="Q395" s="79"/>
      <c r="T395" s="79"/>
      <c r="U395" s="79"/>
      <c r="X395" s="130"/>
      <c r="Z395" s="106"/>
    </row>
    <row r="396">
      <c r="C396" s="79"/>
      <c r="D396" s="79"/>
      <c r="J396" s="79"/>
      <c r="P396" s="79"/>
      <c r="Q396" s="79"/>
      <c r="T396" s="79"/>
      <c r="U396" s="79"/>
      <c r="X396" s="130"/>
      <c r="Z396" s="106"/>
    </row>
    <row r="397">
      <c r="C397" s="79"/>
      <c r="D397" s="79"/>
      <c r="J397" s="79"/>
      <c r="P397" s="79"/>
      <c r="Q397" s="79"/>
      <c r="T397" s="79"/>
      <c r="U397" s="79"/>
      <c r="X397" s="130"/>
      <c r="Z397" s="106"/>
    </row>
    <row r="398">
      <c r="C398" s="79"/>
      <c r="D398" s="79"/>
      <c r="J398" s="79"/>
      <c r="P398" s="79"/>
      <c r="Q398" s="79"/>
      <c r="T398" s="79"/>
      <c r="U398" s="79"/>
      <c r="X398" s="130"/>
      <c r="Z398" s="106"/>
    </row>
    <row r="399">
      <c r="C399" s="79"/>
      <c r="D399" s="79"/>
      <c r="J399" s="79"/>
      <c r="P399" s="79"/>
      <c r="Q399" s="79"/>
      <c r="T399" s="79"/>
      <c r="U399" s="79"/>
      <c r="X399" s="130"/>
      <c r="Z399" s="106"/>
    </row>
    <row r="400">
      <c r="C400" s="79"/>
      <c r="D400" s="79"/>
      <c r="J400" s="79"/>
      <c r="P400" s="79"/>
      <c r="Q400" s="79"/>
      <c r="T400" s="79"/>
      <c r="U400" s="79"/>
      <c r="X400" s="130"/>
      <c r="Z400" s="106"/>
    </row>
    <row r="401">
      <c r="C401" s="79"/>
      <c r="D401" s="79"/>
      <c r="J401" s="79"/>
      <c r="P401" s="79"/>
      <c r="Q401" s="79"/>
      <c r="T401" s="79"/>
      <c r="U401" s="79"/>
      <c r="X401" s="130"/>
      <c r="Z401" s="106"/>
    </row>
    <row r="402">
      <c r="C402" s="79"/>
      <c r="D402" s="79"/>
      <c r="J402" s="79"/>
      <c r="P402" s="79"/>
      <c r="Q402" s="79"/>
      <c r="T402" s="79"/>
      <c r="U402" s="79"/>
      <c r="X402" s="130"/>
      <c r="Z402" s="106"/>
    </row>
    <row r="403">
      <c r="C403" s="79"/>
      <c r="D403" s="79"/>
      <c r="J403" s="79"/>
      <c r="P403" s="79"/>
      <c r="Q403" s="79"/>
      <c r="T403" s="79"/>
      <c r="U403" s="79"/>
      <c r="X403" s="130"/>
      <c r="Z403" s="106"/>
    </row>
    <row r="404">
      <c r="C404" s="79"/>
      <c r="D404" s="79"/>
      <c r="J404" s="79"/>
      <c r="P404" s="79"/>
      <c r="Q404" s="79"/>
      <c r="T404" s="79"/>
      <c r="U404" s="79"/>
      <c r="X404" s="130"/>
      <c r="Z404" s="106"/>
    </row>
    <row r="405">
      <c r="C405" s="79"/>
      <c r="D405" s="79"/>
      <c r="J405" s="79"/>
      <c r="P405" s="79"/>
      <c r="Q405" s="79"/>
      <c r="T405" s="79"/>
      <c r="U405" s="79"/>
      <c r="X405" s="130"/>
      <c r="Z405" s="106"/>
    </row>
    <row r="406">
      <c r="C406" s="79"/>
      <c r="D406" s="79"/>
      <c r="J406" s="79"/>
      <c r="P406" s="79"/>
      <c r="Q406" s="79"/>
      <c r="T406" s="79"/>
      <c r="U406" s="79"/>
      <c r="X406" s="130"/>
      <c r="Z406" s="106"/>
    </row>
    <row r="407">
      <c r="C407" s="79"/>
      <c r="D407" s="79"/>
      <c r="J407" s="79"/>
      <c r="P407" s="79"/>
      <c r="Q407" s="79"/>
      <c r="T407" s="79"/>
      <c r="U407" s="79"/>
      <c r="X407" s="130"/>
      <c r="Z407" s="106"/>
    </row>
    <row r="408">
      <c r="C408" s="79"/>
      <c r="D408" s="79"/>
      <c r="J408" s="79"/>
      <c r="P408" s="79"/>
      <c r="Q408" s="79"/>
      <c r="T408" s="79"/>
      <c r="U408" s="79"/>
      <c r="X408" s="130"/>
      <c r="Z408" s="106"/>
    </row>
    <row r="409">
      <c r="C409" s="79"/>
      <c r="D409" s="79"/>
      <c r="J409" s="79"/>
      <c r="P409" s="79"/>
      <c r="Q409" s="79"/>
      <c r="T409" s="79"/>
      <c r="U409" s="79"/>
      <c r="X409" s="130"/>
      <c r="Z409" s="106"/>
    </row>
    <row r="410">
      <c r="C410" s="79"/>
      <c r="D410" s="79"/>
      <c r="J410" s="79"/>
      <c r="P410" s="79"/>
      <c r="Q410" s="79"/>
      <c r="T410" s="79"/>
      <c r="U410" s="79"/>
      <c r="X410" s="130"/>
      <c r="Z410" s="106"/>
    </row>
    <row r="411">
      <c r="C411" s="79"/>
      <c r="D411" s="79"/>
      <c r="J411" s="79"/>
      <c r="P411" s="79"/>
      <c r="Q411" s="79"/>
      <c r="T411" s="79"/>
      <c r="U411" s="79"/>
      <c r="X411" s="130"/>
      <c r="Z411" s="106"/>
    </row>
    <row r="412">
      <c r="C412" s="79"/>
      <c r="D412" s="79"/>
      <c r="J412" s="79"/>
      <c r="P412" s="79"/>
      <c r="Q412" s="79"/>
      <c r="T412" s="79"/>
      <c r="U412" s="79"/>
      <c r="X412" s="130"/>
      <c r="Z412" s="106"/>
    </row>
    <row r="413">
      <c r="C413" s="79"/>
      <c r="D413" s="79"/>
      <c r="J413" s="79"/>
      <c r="P413" s="79"/>
      <c r="Q413" s="79"/>
      <c r="T413" s="79"/>
      <c r="U413" s="79"/>
      <c r="X413" s="130"/>
      <c r="Z413" s="106"/>
    </row>
    <row r="414">
      <c r="C414" s="79"/>
      <c r="D414" s="79"/>
      <c r="J414" s="79"/>
      <c r="P414" s="79"/>
      <c r="Q414" s="79"/>
      <c r="T414" s="79"/>
      <c r="U414" s="79"/>
      <c r="X414" s="130"/>
      <c r="Z414" s="106"/>
    </row>
    <row r="415">
      <c r="C415" s="79"/>
      <c r="D415" s="79"/>
      <c r="J415" s="79"/>
      <c r="P415" s="79"/>
      <c r="Q415" s="79"/>
      <c r="T415" s="79"/>
      <c r="U415" s="79"/>
      <c r="X415" s="130"/>
      <c r="Z415" s="106"/>
    </row>
    <row r="416">
      <c r="C416" s="79"/>
      <c r="D416" s="79"/>
      <c r="J416" s="79"/>
      <c r="P416" s="79"/>
      <c r="Q416" s="79"/>
      <c r="T416" s="79"/>
      <c r="U416" s="79"/>
      <c r="X416" s="130"/>
      <c r="Z416" s="106"/>
    </row>
    <row r="417">
      <c r="C417" s="79"/>
      <c r="D417" s="79"/>
      <c r="J417" s="79"/>
      <c r="P417" s="79"/>
      <c r="Q417" s="79"/>
      <c r="T417" s="79"/>
      <c r="U417" s="79"/>
      <c r="X417" s="130"/>
      <c r="Z417" s="106"/>
    </row>
    <row r="418">
      <c r="C418" s="79"/>
      <c r="D418" s="79"/>
      <c r="J418" s="79"/>
      <c r="P418" s="79"/>
      <c r="Q418" s="79"/>
      <c r="T418" s="79"/>
      <c r="U418" s="79"/>
      <c r="X418" s="130"/>
      <c r="Z418" s="106"/>
    </row>
    <row r="419">
      <c r="C419" s="79"/>
      <c r="D419" s="79"/>
      <c r="J419" s="79"/>
      <c r="P419" s="79"/>
      <c r="Q419" s="79"/>
      <c r="T419" s="79"/>
      <c r="U419" s="79"/>
      <c r="X419" s="130"/>
      <c r="Z419" s="106"/>
    </row>
    <row r="420">
      <c r="C420" s="79"/>
      <c r="D420" s="79"/>
      <c r="J420" s="79"/>
      <c r="P420" s="79"/>
      <c r="Q420" s="79"/>
      <c r="T420" s="79"/>
      <c r="U420" s="79"/>
      <c r="X420" s="130"/>
      <c r="Z420" s="106"/>
    </row>
    <row r="421">
      <c r="C421" s="79"/>
      <c r="D421" s="79"/>
      <c r="J421" s="79"/>
      <c r="P421" s="79"/>
      <c r="Q421" s="79"/>
      <c r="T421" s="79"/>
      <c r="U421" s="79"/>
      <c r="X421" s="130"/>
      <c r="Z421" s="106"/>
    </row>
    <row r="422">
      <c r="C422" s="79"/>
      <c r="D422" s="79"/>
      <c r="J422" s="79"/>
      <c r="P422" s="79"/>
      <c r="Q422" s="79"/>
      <c r="T422" s="79"/>
      <c r="U422" s="79"/>
      <c r="X422" s="130"/>
      <c r="Z422" s="106"/>
    </row>
    <row r="423">
      <c r="C423" s="79"/>
      <c r="D423" s="79"/>
      <c r="J423" s="79"/>
      <c r="P423" s="79"/>
      <c r="Q423" s="79"/>
      <c r="T423" s="79"/>
      <c r="U423" s="79"/>
      <c r="X423" s="130"/>
      <c r="Z423" s="106"/>
    </row>
    <row r="424">
      <c r="C424" s="79"/>
      <c r="D424" s="79"/>
      <c r="J424" s="79"/>
      <c r="P424" s="79"/>
      <c r="Q424" s="79"/>
      <c r="T424" s="79"/>
      <c r="U424" s="79"/>
      <c r="X424" s="130"/>
      <c r="Z424" s="106"/>
    </row>
    <row r="425">
      <c r="C425" s="79"/>
      <c r="D425" s="79"/>
      <c r="J425" s="79"/>
      <c r="P425" s="79"/>
      <c r="Q425" s="79"/>
      <c r="T425" s="79"/>
      <c r="U425" s="79"/>
      <c r="X425" s="130"/>
      <c r="Z425" s="106"/>
    </row>
    <row r="426">
      <c r="C426" s="79"/>
      <c r="D426" s="79"/>
      <c r="J426" s="79"/>
      <c r="P426" s="79"/>
      <c r="Q426" s="79"/>
      <c r="T426" s="79"/>
      <c r="U426" s="79"/>
      <c r="X426" s="130"/>
      <c r="Z426" s="106"/>
    </row>
    <row r="427">
      <c r="C427" s="79"/>
      <c r="D427" s="79"/>
      <c r="J427" s="79"/>
      <c r="P427" s="79"/>
      <c r="Q427" s="79"/>
      <c r="T427" s="79"/>
      <c r="U427" s="79"/>
      <c r="X427" s="130"/>
      <c r="Z427" s="106"/>
    </row>
    <row r="428">
      <c r="C428" s="79"/>
      <c r="D428" s="79"/>
      <c r="J428" s="79"/>
      <c r="P428" s="79"/>
      <c r="Q428" s="79"/>
      <c r="T428" s="79"/>
      <c r="U428" s="79"/>
      <c r="X428" s="130"/>
      <c r="Z428" s="106"/>
    </row>
    <row r="429">
      <c r="C429" s="79"/>
      <c r="D429" s="79"/>
      <c r="J429" s="79"/>
      <c r="P429" s="79"/>
      <c r="Q429" s="79"/>
      <c r="T429" s="79"/>
      <c r="U429" s="79"/>
      <c r="X429" s="130"/>
      <c r="Z429" s="106"/>
    </row>
    <row r="430">
      <c r="C430" s="79"/>
      <c r="D430" s="79"/>
      <c r="J430" s="79"/>
      <c r="P430" s="79"/>
      <c r="Q430" s="79"/>
      <c r="T430" s="79"/>
      <c r="U430" s="79"/>
      <c r="X430" s="130"/>
      <c r="Z430" s="106"/>
    </row>
    <row r="431">
      <c r="C431" s="79"/>
      <c r="D431" s="79"/>
      <c r="J431" s="79"/>
      <c r="P431" s="79"/>
      <c r="Q431" s="79"/>
      <c r="T431" s="79"/>
      <c r="U431" s="79"/>
      <c r="X431" s="130"/>
      <c r="Z431" s="106"/>
    </row>
    <row r="432">
      <c r="C432" s="79"/>
      <c r="D432" s="79"/>
      <c r="J432" s="79"/>
      <c r="P432" s="79"/>
      <c r="Q432" s="79"/>
      <c r="T432" s="79"/>
      <c r="U432" s="79"/>
      <c r="X432" s="130"/>
      <c r="Z432" s="106"/>
    </row>
    <row r="433">
      <c r="C433" s="79"/>
      <c r="D433" s="79"/>
      <c r="J433" s="79"/>
      <c r="P433" s="79"/>
      <c r="Q433" s="79"/>
      <c r="T433" s="79"/>
      <c r="U433" s="79"/>
      <c r="X433" s="130"/>
      <c r="Z433" s="106"/>
    </row>
    <row r="434">
      <c r="C434" s="79"/>
      <c r="D434" s="79"/>
      <c r="J434" s="79"/>
      <c r="P434" s="79"/>
      <c r="Q434" s="79"/>
      <c r="T434" s="79"/>
      <c r="U434" s="79"/>
      <c r="X434" s="130"/>
      <c r="Z434" s="106"/>
    </row>
    <row r="435">
      <c r="C435" s="79"/>
      <c r="D435" s="79"/>
      <c r="J435" s="79"/>
      <c r="P435" s="79"/>
      <c r="Q435" s="79"/>
      <c r="T435" s="79"/>
      <c r="U435" s="79"/>
      <c r="X435" s="130"/>
      <c r="Z435" s="106"/>
    </row>
    <row r="436">
      <c r="C436" s="79"/>
      <c r="D436" s="79"/>
      <c r="J436" s="79"/>
      <c r="P436" s="79"/>
      <c r="Q436" s="79"/>
      <c r="T436" s="79"/>
      <c r="U436" s="79"/>
      <c r="X436" s="130"/>
      <c r="Z436" s="106"/>
    </row>
    <row r="437">
      <c r="C437" s="79"/>
      <c r="D437" s="79"/>
      <c r="J437" s="79"/>
      <c r="P437" s="79"/>
      <c r="Q437" s="79"/>
      <c r="T437" s="79"/>
      <c r="U437" s="79"/>
      <c r="X437" s="130"/>
      <c r="Z437" s="106"/>
    </row>
    <row r="438">
      <c r="C438" s="79"/>
      <c r="D438" s="79"/>
      <c r="J438" s="79"/>
      <c r="P438" s="79"/>
      <c r="Q438" s="79"/>
      <c r="T438" s="79"/>
      <c r="U438" s="79"/>
      <c r="X438" s="130"/>
      <c r="Z438" s="106"/>
    </row>
    <row r="439">
      <c r="C439" s="79"/>
      <c r="D439" s="79"/>
      <c r="J439" s="79"/>
      <c r="P439" s="79"/>
      <c r="Q439" s="79"/>
      <c r="T439" s="79"/>
      <c r="U439" s="79"/>
      <c r="X439" s="130"/>
      <c r="Z439" s="106"/>
    </row>
    <row r="440">
      <c r="C440" s="79"/>
      <c r="D440" s="79"/>
      <c r="J440" s="79"/>
      <c r="P440" s="79"/>
      <c r="Q440" s="79"/>
      <c r="T440" s="79"/>
      <c r="U440" s="79"/>
      <c r="X440" s="130"/>
      <c r="Z440" s="106"/>
    </row>
    <row r="441">
      <c r="C441" s="79"/>
      <c r="D441" s="79"/>
      <c r="J441" s="79"/>
      <c r="P441" s="79"/>
      <c r="Q441" s="79"/>
      <c r="T441" s="79"/>
      <c r="U441" s="79"/>
      <c r="X441" s="130"/>
      <c r="Z441" s="106"/>
    </row>
    <row r="442">
      <c r="C442" s="79"/>
      <c r="D442" s="79"/>
      <c r="J442" s="79"/>
      <c r="P442" s="79"/>
      <c r="Q442" s="79"/>
      <c r="T442" s="79"/>
      <c r="U442" s="79"/>
      <c r="X442" s="130"/>
      <c r="Z442" s="106"/>
    </row>
    <row r="443">
      <c r="C443" s="79"/>
      <c r="D443" s="79"/>
      <c r="J443" s="79"/>
      <c r="P443" s="79"/>
      <c r="Q443" s="79"/>
      <c r="T443" s="79"/>
      <c r="U443" s="79"/>
      <c r="X443" s="130"/>
      <c r="Z443" s="106"/>
    </row>
    <row r="444">
      <c r="C444" s="79"/>
      <c r="D444" s="79"/>
      <c r="J444" s="79"/>
      <c r="P444" s="79"/>
      <c r="Q444" s="79"/>
      <c r="T444" s="79"/>
      <c r="U444" s="79"/>
      <c r="X444" s="130"/>
      <c r="Z444" s="106"/>
    </row>
    <row r="445">
      <c r="C445" s="79"/>
      <c r="D445" s="79"/>
      <c r="J445" s="79"/>
      <c r="P445" s="79"/>
      <c r="Q445" s="79"/>
      <c r="T445" s="79"/>
      <c r="U445" s="79"/>
      <c r="X445" s="130"/>
      <c r="Z445" s="106"/>
    </row>
    <row r="446">
      <c r="C446" s="79"/>
      <c r="D446" s="79"/>
      <c r="J446" s="79"/>
      <c r="P446" s="79"/>
      <c r="Q446" s="79"/>
      <c r="T446" s="79"/>
      <c r="U446" s="79"/>
      <c r="X446" s="130"/>
      <c r="Z446" s="106"/>
    </row>
    <row r="447">
      <c r="C447" s="79"/>
      <c r="D447" s="79"/>
      <c r="J447" s="79"/>
      <c r="P447" s="79"/>
      <c r="Q447" s="79"/>
      <c r="T447" s="79"/>
      <c r="U447" s="79"/>
      <c r="X447" s="130"/>
      <c r="Z447" s="106"/>
    </row>
    <row r="448">
      <c r="C448" s="79"/>
      <c r="D448" s="79"/>
      <c r="J448" s="79"/>
      <c r="P448" s="79"/>
      <c r="Q448" s="79"/>
      <c r="T448" s="79"/>
      <c r="U448" s="79"/>
      <c r="X448" s="130"/>
      <c r="Z448" s="106"/>
    </row>
    <row r="449">
      <c r="C449" s="79"/>
      <c r="D449" s="79"/>
      <c r="J449" s="79"/>
      <c r="P449" s="79"/>
      <c r="Q449" s="79"/>
      <c r="T449" s="79"/>
      <c r="U449" s="79"/>
      <c r="X449" s="130"/>
      <c r="Z449" s="106"/>
    </row>
    <row r="450">
      <c r="C450" s="79"/>
      <c r="D450" s="79"/>
      <c r="J450" s="79"/>
      <c r="P450" s="79"/>
      <c r="Q450" s="79"/>
      <c r="T450" s="79"/>
      <c r="U450" s="79"/>
      <c r="X450" s="130"/>
      <c r="Z450" s="106"/>
    </row>
    <row r="451">
      <c r="C451" s="79"/>
      <c r="D451" s="79"/>
      <c r="J451" s="79"/>
      <c r="P451" s="79"/>
      <c r="Q451" s="79"/>
      <c r="T451" s="79"/>
      <c r="U451" s="79"/>
      <c r="X451" s="130"/>
      <c r="Z451" s="106"/>
    </row>
    <row r="452">
      <c r="C452" s="79"/>
      <c r="D452" s="79"/>
      <c r="J452" s="79"/>
      <c r="P452" s="79"/>
      <c r="Q452" s="79"/>
      <c r="T452" s="79"/>
      <c r="U452" s="79"/>
      <c r="X452" s="130"/>
      <c r="Z452" s="106"/>
    </row>
    <row r="453">
      <c r="C453" s="79"/>
      <c r="D453" s="79"/>
      <c r="J453" s="79"/>
      <c r="P453" s="79"/>
      <c r="Q453" s="79"/>
      <c r="T453" s="79"/>
      <c r="U453" s="79"/>
      <c r="X453" s="130"/>
      <c r="Z453" s="106"/>
    </row>
    <row r="454">
      <c r="C454" s="79"/>
      <c r="D454" s="79"/>
      <c r="J454" s="79"/>
      <c r="P454" s="79"/>
      <c r="Q454" s="79"/>
      <c r="T454" s="79"/>
      <c r="U454" s="79"/>
      <c r="X454" s="130"/>
      <c r="Z454" s="106"/>
    </row>
    <row r="455">
      <c r="C455" s="79"/>
      <c r="D455" s="79"/>
      <c r="J455" s="79"/>
      <c r="P455" s="79"/>
      <c r="Q455" s="79"/>
      <c r="T455" s="79"/>
      <c r="U455" s="79"/>
      <c r="X455" s="130"/>
      <c r="Z455" s="106"/>
    </row>
    <row r="456">
      <c r="C456" s="79"/>
      <c r="D456" s="79"/>
      <c r="J456" s="79"/>
      <c r="P456" s="79"/>
      <c r="Q456" s="79"/>
      <c r="T456" s="79"/>
      <c r="U456" s="79"/>
      <c r="X456" s="130"/>
      <c r="Z456" s="106"/>
    </row>
    <row r="457">
      <c r="C457" s="79"/>
      <c r="D457" s="79"/>
      <c r="J457" s="79"/>
      <c r="P457" s="79"/>
      <c r="Q457" s="79"/>
      <c r="T457" s="79"/>
      <c r="U457" s="79"/>
      <c r="X457" s="130"/>
      <c r="Z457" s="106"/>
    </row>
    <row r="458">
      <c r="C458" s="79"/>
      <c r="D458" s="79"/>
      <c r="J458" s="79"/>
      <c r="P458" s="79"/>
      <c r="Q458" s="79"/>
      <c r="T458" s="79"/>
      <c r="U458" s="79"/>
      <c r="X458" s="130"/>
      <c r="Z458" s="106"/>
    </row>
    <row r="459">
      <c r="C459" s="79"/>
      <c r="D459" s="79"/>
      <c r="J459" s="79"/>
      <c r="P459" s="79"/>
      <c r="Q459" s="79"/>
      <c r="T459" s="79"/>
      <c r="U459" s="79"/>
      <c r="X459" s="130"/>
      <c r="Z459" s="106"/>
    </row>
    <row r="460">
      <c r="C460" s="79"/>
      <c r="D460" s="79"/>
      <c r="J460" s="79"/>
      <c r="P460" s="79"/>
      <c r="Q460" s="79"/>
      <c r="T460" s="79"/>
      <c r="U460" s="79"/>
      <c r="X460" s="130"/>
      <c r="Z460" s="106"/>
    </row>
    <row r="461">
      <c r="C461" s="79"/>
      <c r="D461" s="79"/>
      <c r="J461" s="79"/>
      <c r="P461" s="79"/>
      <c r="Q461" s="79"/>
      <c r="T461" s="79"/>
      <c r="U461" s="79"/>
      <c r="X461" s="130"/>
      <c r="Z461" s="106"/>
    </row>
    <row r="462">
      <c r="C462" s="79"/>
      <c r="D462" s="79"/>
      <c r="J462" s="79"/>
      <c r="P462" s="79"/>
      <c r="Q462" s="79"/>
      <c r="T462" s="79"/>
      <c r="U462" s="79"/>
      <c r="X462" s="130"/>
      <c r="Z462" s="106"/>
    </row>
    <row r="463">
      <c r="C463" s="79"/>
      <c r="D463" s="79"/>
      <c r="J463" s="79"/>
      <c r="P463" s="79"/>
      <c r="Q463" s="79"/>
      <c r="T463" s="79"/>
      <c r="U463" s="79"/>
      <c r="X463" s="130"/>
      <c r="Z463" s="106"/>
    </row>
    <row r="464">
      <c r="C464" s="79"/>
      <c r="D464" s="79"/>
      <c r="J464" s="79"/>
      <c r="P464" s="79"/>
      <c r="Q464" s="79"/>
      <c r="T464" s="79"/>
      <c r="U464" s="79"/>
      <c r="X464" s="130"/>
      <c r="Z464" s="106"/>
    </row>
    <row r="465">
      <c r="C465" s="79"/>
      <c r="D465" s="79"/>
      <c r="J465" s="79"/>
      <c r="P465" s="79"/>
      <c r="Q465" s="79"/>
      <c r="T465" s="79"/>
      <c r="U465" s="79"/>
      <c r="X465" s="130"/>
      <c r="Z465" s="106"/>
    </row>
    <row r="466">
      <c r="C466" s="79"/>
      <c r="D466" s="79"/>
      <c r="J466" s="79"/>
      <c r="P466" s="79"/>
      <c r="Q466" s="79"/>
      <c r="T466" s="79"/>
      <c r="U466" s="79"/>
      <c r="X466" s="130"/>
      <c r="Z466" s="106"/>
    </row>
    <row r="467">
      <c r="C467" s="79"/>
      <c r="D467" s="79"/>
      <c r="J467" s="79"/>
      <c r="P467" s="79"/>
      <c r="Q467" s="79"/>
      <c r="T467" s="79"/>
      <c r="U467" s="79"/>
      <c r="X467" s="130"/>
      <c r="Z467" s="106"/>
    </row>
    <row r="468">
      <c r="C468" s="79"/>
      <c r="D468" s="79"/>
      <c r="J468" s="79"/>
      <c r="P468" s="79"/>
      <c r="Q468" s="79"/>
      <c r="T468" s="79"/>
      <c r="U468" s="79"/>
      <c r="X468" s="130"/>
      <c r="Z468" s="106"/>
    </row>
    <row r="469">
      <c r="C469" s="79"/>
      <c r="D469" s="79"/>
      <c r="J469" s="79"/>
      <c r="P469" s="79"/>
      <c r="Q469" s="79"/>
      <c r="T469" s="79"/>
      <c r="U469" s="79"/>
      <c r="X469" s="130"/>
      <c r="Z469" s="106"/>
    </row>
    <row r="470">
      <c r="C470" s="79"/>
      <c r="D470" s="79"/>
      <c r="J470" s="79"/>
      <c r="P470" s="79"/>
      <c r="Q470" s="79"/>
      <c r="T470" s="79"/>
      <c r="U470" s="79"/>
      <c r="X470" s="130"/>
      <c r="Z470" s="106"/>
    </row>
    <row r="471">
      <c r="C471" s="79"/>
      <c r="D471" s="79"/>
      <c r="J471" s="79"/>
      <c r="P471" s="79"/>
      <c r="Q471" s="79"/>
      <c r="T471" s="79"/>
      <c r="U471" s="79"/>
      <c r="X471" s="130"/>
      <c r="Z471" s="106"/>
    </row>
    <row r="472">
      <c r="C472" s="79"/>
      <c r="D472" s="79"/>
      <c r="J472" s="79"/>
      <c r="P472" s="79"/>
      <c r="Q472" s="79"/>
      <c r="T472" s="79"/>
      <c r="U472" s="79"/>
      <c r="X472" s="130"/>
      <c r="Z472" s="106"/>
    </row>
    <row r="473">
      <c r="C473" s="79"/>
      <c r="D473" s="79"/>
      <c r="J473" s="79"/>
      <c r="P473" s="79"/>
      <c r="Q473" s="79"/>
      <c r="T473" s="79"/>
      <c r="U473" s="79"/>
      <c r="X473" s="130"/>
      <c r="Z473" s="106"/>
    </row>
    <row r="474">
      <c r="C474" s="79"/>
      <c r="D474" s="79"/>
      <c r="J474" s="79"/>
      <c r="P474" s="79"/>
      <c r="Q474" s="79"/>
      <c r="T474" s="79"/>
      <c r="U474" s="79"/>
      <c r="X474" s="130"/>
      <c r="Z474" s="106"/>
    </row>
    <row r="475">
      <c r="C475" s="79"/>
      <c r="D475" s="79"/>
      <c r="J475" s="79"/>
      <c r="P475" s="79"/>
      <c r="Q475" s="79"/>
      <c r="T475" s="79"/>
      <c r="U475" s="79"/>
      <c r="X475" s="130"/>
      <c r="Z475" s="106"/>
    </row>
    <row r="476">
      <c r="C476" s="79"/>
      <c r="D476" s="79"/>
      <c r="J476" s="79"/>
      <c r="P476" s="79"/>
      <c r="Q476" s="79"/>
      <c r="T476" s="79"/>
      <c r="U476" s="79"/>
      <c r="X476" s="130"/>
      <c r="Z476" s="106"/>
    </row>
    <row r="477">
      <c r="C477" s="79"/>
      <c r="D477" s="79"/>
      <c r="J477" s="79"/>
      <c r="P477" s="79"/>
      <c r="Q477" s="79"/>
      <c r="T477" s="79"/>
      <c r="U477" s="79"/>
      <c r="X477" s="130"/>
      <c r="Z477" s="106"/>
    </row>
    <row r="478">
      <c r="C478" s="79"/>
      <c r="D478" s="79"/>
      <c r="J478" s="79"/>
      <c r="P478" s="79"/>
      <c r="Q478" s="79"/>
      <c r="T478" s="79"/>
      <c r="U478" s="79"/>
      <c r="X478" s="130"/>
      <c r="Z478" s="106"/>
    </row>
    <row r="479">
      <c r="C479" s="79"/>
      <c r="D479" s="79"/>
      <c r="J479" s="79"/>
      <c r="P479" s="79"/>
      <c r="Q479" s="79"/>
      <c r="T479" s="79"/>
      <c r="U479" s="79"/>
      <c r="X479" s="130"/>
      <c r="Z479" s="106"/>
    </row>
    <row r="480">
      <c r="C480" s="79"/>
      <c r="D480" s="79"/>
      <c r="J480" s="79"/>
      <c r="P480" s="79"/>
      <c r="Q480" s="79"/>
      <c r="T480" s="79"/>
      <c r="U480" s="79"/>
      <c r="X480" s="130"/>
      <c r="Z480" s="106"/>
    </row>
    <row r="481">
      <c r="C481" s="79"/>
      <c r="D481" s="79"/>
      <c r="J481" s="79"/>
      <c r="P481" s="79"/>
      <c r="Q481" s="79"/>
      <c r="T481" s="79"/>
      <c r="U481" s="79"/>
      <c r="X481" s="130"/>
      <c r="Z481" s="106"/>
    </row>
    <row r="482">
      <c r="C482" s="79"/>
      <c r="D482" s="79"/>
      <c r="J482" s="79"/>
      <c r="P482" s="79"/>
      <c r="Q482" s="79"/>
      <c r="T482" s="79"/>
      <c r="U482" s="79"/>
      <c r="X482" s="130"/>
      <c r="Z482" s="106"/>
    </row>
    <row r="483">
      <c r="C483" s="79"/>
      <c r="D483" s="79"/>
      <c r="J483" s="79"/>
      <c r="P483" s="79"/>
      <c r="Q483" s="79"/>
      <c r="T483" s="79"/>
      <c r="U483" s="79"/>
      <c r="X483" s="130"/>
      <c r="Z483" s="106"/>
    </row>
    <row r="484">
      <c r="C484" s="79"/>
      <c r="D484" s="79"/>
      <c r="J484" s="79"/>
      <c r="P484" s="79"/>
      <c r="Q484" s="79"/>
      <c r="T484" s="79"/>
      <c r="U484" s="79"/>
      <c r="X484" s="130"/>
      <c r="Z484" s="106"/>
    </row>
    <row r="485">
      <c r="C485" s="79"/>
      <c r="D485" s="79"/>
      <c r="J485" s="79"/>
      <c r="P485" s="79"/>
      <c r="Q485" s="79"/>
      <c r="T485" s="79"/>
      <c r="U485" s="79"/>
      <c r="X485" s="130"/>
      <c r="Z485" s="106"/>
    </row>
    <row r="486">
      <c r="C486" s="79"/>
      <c r="D486" s="79"/>
      <c r="J486" s="79"/>
      <c r="P486" s="79"/>
      <c r="Q486" s="79"/>
      <c r="T486" s="79"/>
      <c r="U486" s="79"/>
      <c r="X486" s="130"/>
      <c r="Z486" s="106"/>
    </row>
    <row r="487">
      <c r="C487" s="79"/>
      <c r="D487" s="79"/>
      <c r="J487" s="79"/>
      <c r="P487" s="79"/>
      <c r="Q487" s="79"/>
      <c r="T487" s="79"/>
      <c r="U487" s="79"/>
      <c r="X487" s="130"/>
      <c r="Z487" s="106"/>
    </row>
    <row r="488">
      <c r="C488" s="79"/>
      <c r="D488" s="79"/>
      <c r="J488" s="79"/>
      <c r="P488" s="79"/>
      <c r="Q488" s="79"/>
      <c r="T488" s="79"/>
      <c r="U488" s="79"/>
      <c r="X488" s="130"/>
      <c r="Z488" s="106"/>
    </row>
    <row r="489">
      <c r="C489" s="79"/>
      <c r="D489" s="79"/>
      <c r="J489" s="79"/>
      <c r="P489" s="79"/>
      <c r="Q489" s="79"/>
      <c r="T489" s="79"/>
      <c r="U489" s="79"/>
      <c r="X489" s="130"/>
      <c r="Z489" s="106"/>
    </row>
    <row r="490">
      <c r="C490" s="79"/>
      <c r="D490" s="79"/>
      <c r="J490" s="79"/>
      <c r="P490" s="79"/>
      <c r="Q490" s="79"/>
      <c r="T490" s="79"/>
      <c r="U490" s="79"/>
      <c r="X490" s="130"/>
      <c r="Z490" s="106"/>
    </row>
    <row r="491">
      <c r="C491" s="79"/>
      <c r="D491" s="79"/>
      <c r="J491" s="79"/>
      <c r="P491" s="79"/>
      <c r="Q491" s="79"/>
      <c r="T491" s="79"/>
      <c r="U491" s="79"/>
      <c r="X491" s="130"/>
      <c r="Z491" s="106"/>
    </row>
    <row r="492">
      <c r="C492" s="79"/>
      <c r="D492" s="79"/>
      <c r="J492" s="79"/>
      <c r="P492" s="79"/>
      <c r="Q492" s="79"/>
      <c r="T492" s="79"/>
      <c r="U492" s="79"/>
      <c r="X492" s="130"/>
      <c r="Z492" s="106"/>
    </row>
    <row r="493">
      <c r="C493" s="79"/>
      <c r="D493" s="79"/>
      <c r="J493" s="79"/>
      <c r="P493" s="79"/>
      <c r="Q493" s="79"/>
      <c r="T493" s="79"/>
      <c r="U493" s="79"/>
      <c r="X493" s="130"/>
      <c r="Z493" s="106"/>
    </row>
    <row r="494">
      <c r="C494" s="79"/>
      <c r="D494" s="79"/>
      <c r="J494" s="79"/>
      <c r="P494" s="79"/>
      <c r="Q494" s="79"/>
      <c r="T494" s="79"/>
      <c r="U494" s="79"/>
      <c r="X494" s="130"/>
      <c r="Z494" s="106"/>
    </row>
    <row r="495">
      <c r="C495" s="79"/>
      <c r="D495" s="79"/>
      <c r="J495" s="79"/>
      <c r="P495" s="79"/>
      <c r="Q495" s="79"/>
      <c r="T495" s="79"/>
      <c r="U495" s="79"/>
      <c r="X495" s="130"/>
      <c r="Z495" s="106"/>
    </row>
    <row r="496">
      <c r="C496" s="79"/>
      <c r="D496" s="79"/>
      <c r="J496" s="79"/>
      <c r="P496" s="79"/>
      <c r="Q496" s="79"/>
      <c r="T496" s="79"/>
      <c r="U496" s="79"/>
      <c r="X496" s="130"/>
      <c r="Z496" s="106"/>
    </row>
    <row r="497">
      <c r="C497" s="79"/>
      <c r="D497" s="79"/>
      <c r="J497" s="79"/>
      <c r="P497" s="79"/>
      <c r="Q497" s="79"/>
      <c r="T497" s="79"/>
      <c r="U497" s="79"/>
      <c r="X497" s="130"/>
      <c r="Z497" s="106"/>
    </row>
    <row r="498">
      <c r="C498" s="79"/>
      <c r="D498" s="79"/>
      <c r="J498" s="79"/>
      <c r="P498" s="79"/>
      <c r="Q498" s="79"/>
      <c r="T498" s="79"/>
      <c r="U498" s="79"/>
      <c r="X498" s="130"/>
      <c r="Z498" s="106"/>
    </row>
    <row r="499">
      <c r="C499" s="79"/>
      <c r="D499" s="79"/>
      <c r="J499" s="79"/>
      <c r="P499" s="79"/>
      <c r="Q499" s="79"/>
      <c r="T499" s="79"/>
      <c r="U499" s="79"/>
      <c r="X499" s="130"/>
      <c r="Z499" s="106"/>
    </row>
    <row r="500">
      <c r="C500" s="79"/>
      <c r="D500" s="79"/>
      <c r="J500" s="79"/>
      <c r="P500" s="79"/>
      <c r="Q500" s="79"/>
      <c r="T500" s="79"/>
      <c r="U500" s="79"/>
      <c r="X500" s="130"/>
      <c r="Z500" s="106"/>
    </row>
    <row r="501">
      <c r="C501" s="79"/>
      <c r="D501" s="79"/>
      <c r="J501" s="79"/>
      <c r="P501" s="79"/>
      <c r="Q501" s="79"/>
      <c r="T501" s="79"/>
      <c r="U501" s="79"/>
      <c r="X501" s="130"/>
      <c r="Z501" s="106"/>
    </row>
    <row r="502">
      <c r="C502" s="79"/>
      <c r="D502" s="79"/>
      <c r="J502" s="79"/>
      <c r="P502" s="79"/>
      <c r="Q502" s="79"/>
      <c r="T502" s="79"/>
      <c r="U502" s="79"/>
      <c r="X502" s="130"/>
      <c r="Z502" s="106"/>
    </row>
    <row r="503">
      <c r="C503" s="79"/>
      <c r="D503" s="79"/>
      <c r="J503" s="79"/>
      <c r="P503" s="79"/>
      <c r="Q503" s="79"/>
      <c r="T503" s="79"/>
      <c r="U503" s="79"/>
      <c r="X503" s="130"/>
      <c r="Z503" s="106"/>
    </row>
    <row r="504">
      <c r="C504" s="79"/>
      <c r="D504" s="79"/>
      <c r="J504" s="79"/>
      <c r="P504" s="79"/>
      <c r="Q504" s="79"/>
      <c r="T504" s="79"/>
      <c r="U504" s="79"/>
      <c r="X504" s="130"/>
      <c r="Z504" s="106"/>
    </row>
    <row r="505">
      <c r="C505" s="79"/>
      <c r="D505" s="79"/>
      <c r="J505" s="79"/>
      <c r="P505" s="79"/>
      <c r="Q505" s="79"/>
      <c r="T505" s="79"/>
      <c r="U505" s="79"/>
      <c r="X505" s="130"/>
      <c r="Z505" s="106"/>
    </row>
    <row r="506">
      <c r="C506" s="79"/>
      <c r="D506" s="79"/>
      <c r="J506" s="79"/>
      <c r="P506" s="79"/>
      <c r="Q506" s="79"/>
      <c r="T506" s="79"/>
      <c r="U506" s="79"/>
      <c r="X506" s="130"/>
      <c r="Z506" s="106"/>
    </row>
    <row r="507">
      <c r="C507" s="79"/>
      <c r="D507" s="79"/>
      <c r="J507" s="79"/>
      <c r="P507" s="79"/>
      <c r="Q507" s="79"/>
      <c r="T507" s="79"/>
      <c r="U507" s="79"/>
      <c r="X507" s="130"/>
      <c r="Z507" s="106"/>
    </row>
    <row r="508">
      <c r="C508" s="79"/>
      <c r="D508" s="79"/>
      <c r="J508" s="79"/>
      <c r="P508" s="79"/>
      <c r="Q508" s="79"/>
      <c r="T508" s="79"/>
      <c r="U508" s="79"/>
      <c r="X508" s="130"/>
      <c r="Z508" s="106"/>
    </row>
    <row r="509">
      <c r="C509" s="79"/>
      <c r="D509" s="79"/>
      <c r="J509" s="79"/>
      <c r="P509" s="79"/>
      <c r="Q509" s="79"/>
      <c r="T509" s="79"/>
      <c r="U509" s="79"/>
      <c r="X509" s="130"/>
      <c r="Z509" s="106"/>
    </row>
    <row r="510">
      <c r="C510" s="79"/>
      <c r="D510" s="79"/>
      <c r="J510" s="79"/>
      <c r="P510" s="79"/>
      <c r="Q510" s="79"/>
      <c r="T510" s="79"/>
      <c r="U510" s="79"/>
      <c r="X510" s="130"/>
      <c r="Z510" s="106"/>
    </row>
    <row r="511">
      <c r="C511" s="79"/>
      <c r="D511" s="79"/>
      <c r="J511" s="79"/>
      <c r="P511" s="79"/>
      <c r="Q511" s="79"/>
      <c r="T511" s="79"/>
      <c r="U511" s="79"/>
      <c r="X511" s="130"/>
      <c r="Z511" s="106"/>
    </row>
    <row r="512">
      <c r="C512" s="79"/>
      <c r="D512" s="79"/>
      <c r="J512" s="79"/>
      <c r="P512" s="79"/>
      <c r="Q512" s="79"/>
      <c r="T512" s="79"/>
      <c r="U512" s="79"/>
      <c r="X512" s="130"/>
      <c r="Z512" s="106"/>
    </row>
    <row r="513">
      <c r="C513" s="79"/>
      <c r="D513" s="79"/>
      <c r="J513" s="79"/>
      <c r="P513" s="79"/>
      <c r="Q513" s="79"/>
      <c r="T513" s="79"/>
      <c r="U513" s="79"/>
      <c r="X513" s="130"/>
      <c r="Z513" s="106"/>
    </row>
    <row r="514">
      <c r="C514" s="79"/>
      <c r="D514" s="79"/>
      <c r="J514" s="79"/>
      <c r="P514" s="79"/>
      <c r="Q514" s="79"/>
      <c r="T514" s="79"/>
      <c r="U514" s="79"/>
      <c r="X514" s="130"/>
      <c r="Z514" s="106"/>
    </row>
    <row r="515">
      <c r="C515" s="79"/>
      <c r="D515" s="79"/>
      <c r="J515" s="79"/>
      <c r="P515" s="79"/>
      <c r="Q515" s="79"/>
      <c r="T515" s="79"/>
      <c r="U515" s="79"/>
      <c r="X515" s="130"/>
      <c r="Z515" s="106"/>
    </row>
    <row r="516">
      <c r="C516" s="79"/>
      <c r="D516" s="79"/>
      <c r="J516" s="79"/>
      <c r="P516" s="79"/>
      <c r="Q516" s="79"/>
      <c r="T516" s="79"/>
      <c r="U516" s="79"/>
      <c r="X516" s="130"/>
      <c r="Z516" s="106"/>
    </row>
    <row r="517">
      <c r="C517" s="79"/>
      <c r="D517" s="79"/>
      <c r="J517" s="79"/>
      <c r="P517" s="79"/>
      <c r="Q517" s="79"/>
      <c r="T517" s="79"/>
      <c r="U517" s="79"/>
      <c r="X517" s="130"/>
      <c r="Z517" s="106"/>
    </row>
    <row r="518">
      <c r="C518" s="79"/>
      <c r="D518" s="79"/>
      <c r="J518" s="79"/>
      <c r="P518" s="79"/>
      <c r="Q518" s="79"/>
      <c r="T518" s="79"/>
      <c r="U518" s="79"/>
      <c r="X518" s="130"/>
      <c r="Z518" s="106"/>
    </row>
    <row r="519">
      <c r="C519" s="79"/>
      <c r="D519" s="79"/>
      <c r="J519" s="79"/>
      <c r="P519" s="79"/>
      <c r="Q519" s="79"/>
      <c r="T519" s="79"/>
      <c r="U519" s="79"/>
      <c r="X519" s="130"/>
      <c r="Z519" s="106"/>
    </row>
    <row r="520">
      <c r="C520" s="79"/>
      <c r="D520" s="79"/>
      <c r="J520" s="79"/>
      <c r="P520" s="79"/>
      <c r="Q520" s="79"/>
      <c r="T520" s="79"/>
      <c r="U520" s="79"/>
      <c r="X520" s="130"/>
      <c r="Z520" s="106"/>
    </row>
    <row r="521">
      <c r="C521" s="79"/>
      <c r="D521" s="79"/>
      <c r="J521" s="79"/>
      <c r="P521" s="79"/>
      <c r="Q521" s="79"/>
      <c r="T521" s="79"/>
      <c r="U521" s="79"/>
      <c r="X521" s="130"/>
      <c r="Z521" s="106"/>
    </row>
    <row r="522">
      <c r="C522" s="79"/>
      <c r="D522" s="79"/>
      <c r="J522" s="79"/>
      <c r="P522" s="79"/>
      <c r="Q522" s="79"/>
      <c r="T522" s="79"/>
      <c r="U522" s="79"/>
      <c r="X522" s="130"/>
      <c r="Z522" s="106"/>
    </row>
    <row r="523">
      <c r="C523" s="79"/>
      <c r="D523" s="79"/>
      <c r="J523" s="79"/>
      <c r="P523" s="79"/>
      <c r="Q523" s="79"/>
      <c r="T523" s="79"/>
      <c r="U523" s="79"/>
      <c r="X523" s="130"/>
      <c r="Z523" s="106"/>
    </row>
    <row r="524">
      <c r="C524" s="79"/>
      <c r="D524" s="79"/>
      <c r="J524" s="79"/>
      <c r="P524" s="79"/>
      <c r="Q524" s="79"/>
      <c r="T524" s="79"/>
      <c r="U524" s="79"/>
      <c r="X524" s="130"/>
      <c r="Z524" s="106"/>
    </row>
    <row r="525">
      <c r="C525" s="79"/>
      <c r="D525" s="79"/>
      <c r="J525" s="79"/>
      <c r="P525" s="79"/>
      <c r="Q525" s="79"/>
      <c r="T525" s="79"/>
      <c r="U525" s="79"/>
      <c r="X525" s="130"/>
      <c r="Z525" s="106"/>
    </row>
    <row r="526">
      <c r="C526" s="79"/>
      <c r="D526" s="79"/>
      <c r="J526" s="79"/>
      <c r="P526" s="79"/>
      <c r="Q526" s="79"/>
      <c r="T526" s="79"/>
      <c r="U526" s="79"/>
      <c r="X526" s="130"/>
      <c r="Z526" s="106"/>
    </row>
    <row r="527">
      <c r="C527" s="79"/>
      <c r="D527" s="79"/>
      <c r="J527" s="79"/>
      <c r="P527" s="79"/>
      <c r="Q527" s="79"/>
      <c r="T527" s="79"/>
      <c r="U527" s="79"/>
      <c r="X527" s="130"/>
      <c r="Z527" s="106"/>
    </row>
    <row r="528">
      <c r="C528" s="79"/>
      <c r="D528" s="79"/>
      <c r="J528" s="79"/>
      <c r="P528" s="79"/>
      <c r="Q528" s="79"/>
      <c r="T528" s="79"/>
      <c r="U528" s="79"/>
      <c r="X528" s="130"/>
      <c r="Z528" s="106"/>
    </row>
    <row r="529">
      <c r="C529" s="79"/>
      <c r="D529" s="79"/>
      <c r="J529" s="79"/>
      <c r="P529" s="79"/>
      <c r="Q529" s="79"/>
      <c r="T529" s="79"/>
      <c r="U529" s="79"/>
      <c r="X529" s="130"/>
      <c r="Z529" s="106"/>
    </row>
    <row r="530">
      <c r="C530" s="79"/>
      <c r="D530" s="79"/>
      <c r="J530" s="79"/>
      <c r="P530" s="79"/>
      <c r="Q530" s="79"/>
      <c r="T530" s="79"/>
      <c r="U530" s="79"/>
      <c r="X530" s="130"/>
      <c r="Z530" s="106"/>
    </row>
    <row r="531">
      <c r="C531" s="79"/>
      <c r="D531" s="79"/>
      <c r="J531" s="79"/>
      <c r="P531" s="79"/>
      <c r="Q531" s="79"/>
      <c r="T531" s="79"/>
      <c r="U531" s="79"/>
      <c r="X531" s="130"/>
      <c r="Z531" s="106"/>
    </row>
    <row r="532">
      <c r="C532" s="79"/>
      <c r="D532" s="79"/>
      <c r="J532" s="79"/>
      <c r="P532" s="79"/>
      <c r="Q532" s="79"/>
      <c r="T532" s="79"/>
      <c r="U532" s="79"/>
      <c r="X532" s="130"/>
      <c r="Z532" s="106"/>
    </row>
    <row r="533">
      <c r="C533" s="79"/>
      <c r="D533" s="79"/>
      <c r="J533" s="79"/>
      <c r="P533" s="79"/>
      <c r="Q533" s="79"/>
      <c r="T533" s="79"/>
      <c r="U533" s="79"/>
      <c r="X533" s="130"/>
      <c r="Z533" s="106"/>
    </row>
    <row r="534">
      <c r="C534" s="79"/>
      <c r="D534" s="79"/>
      <c r="J534" s="79"/>
      <c r="P534" s="79"/>
      <c r="Q534" s="79"/>
      <c r="T534" s="79"/>
      <c r="U534" s="79"/>
      <c r="X534" s="130"/>
      <c r="Z534" s="106"/>
    </row>
    <row r="535">
      <c r="C535" s="79"/>
      <c r="D535" s="79"/>
      <c r="J535" s="79"/>
      <c r="P535" s="79"/>
      <c r="Q535" s="79"/>
      <c r="T535" s="79"/>
      <c r="U535" s="79"/>
      <c r="X535" s="130"/>
      <c r="Z535" s="106"/>
    </row>
    <row r="536">
      <c r="C536" s="79"/>
      <c r="D536" s="79"/>
      <c r="J536" s="79"/>
      <c r="P536" s="79"/>
      <c r="Q536" s="79"/>
      <c r="T536" s="79"/>
      <c r="U536" s="79"/>
      <c r="X536" s="130"/>
      <c r="Z536" s="106"/>
    </row>
    <row r="537">
      <c r="C537" s="79"/>
      <c r="D537" s="79"/>
      <c r="J537" s="79"/>
      <c r="P537" s="79"/>
      <c r="Q537" s="79"/>
      <c r="T537" s="79"/>
      <c r="U537" s="79"/>
      <c r="X537" s="130"/>
      <c r="Z537" s="106"/>
    </row>
    <row r="538">
      <c r="C538" s="79"/>
      <c r="D538" s="79"/>
      <c r="J538" s="79"/>
      <c r="P538" s="79"/>
      <c r="Q538" s="79"/>
      <c r="T538" s="79"/>
      <c r="U538" s="79"/>
      <c r="X538" s="130"/>
      <c r="Z538" s="106"/>
    </row>
    <row r="539">
      <c r="C539" s="79"/>
      <c r="D539" s="79"/>
      <c r="J539" s="79"/>
      <c r="P539" s="79"/>
      <c r="Q539" s="79"/>
      <c r="T539" s="79"/>
      <c r="U539" s="79"/>
      <c r="X539" s="130"/>
      <c r="Z539" s="106"/>
    </row>
    <row r="540">
      <c r="C540" s="79"/>
      <c r="D540" s="79"/>
      <c r="J540" s="79"/>
      <c r="P540" s="79"/>
      <c r="Q540" s="79"/>
      <c r="T540" s="79"/>
      <c r="U540" s="79"/>
      <c r="X540" s="130"/>
      <c r="Z540" s="106"/>
    </row>
    <row r="541">
      <c r="C541" s="79"/>
      <c r="D541" s="79"/>
      <c r="J541" s="79"/>
      <c r="P541" s="79"/>
      <c r="Q541" s="79"/>
      <c r="T541" s="79"/>
      <c r="U541" s="79"/>
      <c r="X541" s="130"/>
      <c r="Z541" s="106"/>
    </row>
    <row r="542">
      <c r="C542" s="79"/>
      <c r="D542" s="79"/>
      <c r="J542" s="79"/>
      <c r="P542" s="79"/>
      <c r="Q542" s="79"/>
      <c r="T542" s="79"/>
      <c r="U542" s="79"/>
      <c r="X542" s="130"/>
      <c r="Z542" s="106"/>
    </row>
    <row r="543">
      <c r="C543" s="79"/>
      <c r="D543" s="79"/>
      <c r="J543" s="79"/>
      <c r="P543" s="79"/>
      <c r="Q543" s="79"/>
      <c r="T543" s="79"/>
      <c r="U543" s="79"/>
      <c r="X543" s="130"/>
      <c r="Z543" s="106"/>
    </row>
    <row r="544">
      <c r="C544" s="79"/>
      <c r="D544" s="79"/>
      <c r="J544" s="79"/>
      <c r="P544" s="79"/>
      <c r="Q544" s="79"/>
      <c r="T544" s="79"/>
      <c r="U544" s="79"/>
      <c r="X544" s="130"/>
      <c r="Z544" s="106"/>
    </row>
    <row r="545">
      <c r="C545" s="79"/>
      <c r="D545" s="79"/>
      <c r="J545" s="79"/>
      <c r="P545" s="79"/>
      <c r="Q545" s="79"/>
      <c r="T545" s="79"/>
      <c r="U545" s="79"/>
      <c r="X545" s="130"/>
      <c r="Z545" s="106"/>
    </row>
    <row r="546">
      <c r="C546" s="79"/>
      <c r="D546" s="79"/>
      <c r="J546" s="79"/>
      <c r="P546" s="79"/>
      <c r="Q546" s="79"/>
      <c r="T546" s="79"/>
      <c r="U546" s="79"/>
      <c r="X546" s="130"/>
      <c r="Z546" s="106"/>
    </row>
    <row r="547">
      <c r="C547" s="79"/>
      <c r="D547" s="79"/>
      <c r="J547" s="79"/>
      <c r="P547" s="79"/>
      <c r="Q547" s="79"/>
      <c r="T547" s="79"/>
      <c r="U547" s="79"/>
      <c r="X547" s="130"/>
      <c r="Z547" s="106"/>
    </row>
    <row r="548">
      <c r="C548" s="79"/>
      <c r="D548" s="79"/>
      <c r="J548" s="79"/>
      <c r="P548" s="79"/>
      <c r="Q548" s="79"/>
      <c r="T548" s="79"/>
      <c r="U548" s="79"/>
      <c r="X548" s="130"/>
      <c r="Z548" s="106"/>
    </row>
    <row r="549">
      <c r="C549" s="79"/>
      <c r="D549" s="79"/>
      <c r="J549" s="79"/>
      <c r="P549" s="79"/>
      <c r="Q549" s="79"/>
      <c r="T549" s="79"/>
      <c r="U549" s="79"/>
      <c r="X549" s="130"/>
      <c r="Z549" s="106"/>
    </row>
    <row r="550">
      <c r="C550" s="79"/>
      <c r="D550" s="79"/>
      <c r="J550" s="79"/>
      <c r="P550" s="79"/>
      <c r="Q550" s="79"/>
      <c r="T550" s="79"/>
      <c r="U550" s="79"/>
      <c r="X550" s="130"/>
      <c r="Z550" s="106"/>
    </row>
    <row r="551">
      <c r="C551" s="79"/>
      <c r="D551" s="79"/>
      <c r="J551" s="79"/>
      <c r="P551" s="79"/>
      <c r="Q551" s="79"/>
      <c r="T551" s="79"/>
      <c r="U551" s="79"/>
      <c r="X551" s="130"/>
      <c r="Z551" s="106"/>
    </row>
    <row r="552">
      <c r="C552" s="79"/>
      <c r="D552" s="79"/>
      <c r="J552" s="79"/>
      <c r="P552" s="79"/>
      <c r="Q552" s="79"/>
      <c r="T552" s="79"/>
      <c r="U552" s="79"/>
      <c r="X552" s="130"/>
      <c r="Z552" s="106"/>
    </row>
    <row r="553">
      <c r="C553" s="79"/>
      <c r="D553" s="79"/>
      <c r="J553" s="79"/>
      <c r="P553" s="79"/>
      <c r="Q553" s="79"/>
      <c r="T553" s="79"/>
      <c r="U553" s="79"/>
      <c r="X553" s="130"/>
      <c r="Z553" s="106"/>
    </row>
    <row r="554">
      <c r="C554" s="79"/>
      <c r="D554" s="79"/>
      <c r="J554" s="79"/>
      <c r="P554" s="79"/>
      <c r="Q554" s="79"/>
      <c r="T554" s="79"/>
      <c r="U554" s="79"/>
      <c r="X554" s="130"/>
      <c r="Z554" s="106"/>
    </row>
    <row r="555">
      <c r="C555" s="79"/>
      <c r="D555" s="79"/>
      <c r="J555" s="79"/>
      <c r="P555" s="79"/>
      <c r="Q555" s="79"/>
      <c r="T555" s="79"/>
      <c r="U555" s="79"/>
      <c r="X555" s="130"/>
      <c r="Z555" s="106"/>
    </row>
    <row r="556">
      <c r="C556" s="79"/>
      <c r="D556" s="79"/>
      <c r="J556" s="79"/>
      <c r="P556" s="79"/>
      <c r="Q556" s="79"/>
      <c r="T556" s="79"/>
      <c r="U556" s="79"/>
      <c r="X556" s="130"/>
      <c r="Z556" s="106"/>
    </row>
    <row r="557">
      <c r="C557" s="79"/>
      <c r="D557" s="79"/>
      <c r="J557" s="79"/>
      <c r="P557" s="79"/>
      <c r="Q557" s="79"/>
      <c r="T557" s="79"/>
      <c r="U557" s="79"/>
      <c r="X557" s="130"/>
      <c r="Z557" s="106"/>
    </row>
    <row r="558">
      <c r="C558" s="79"/>
      <c r="D558" s="79"/>
      <c r="J558" s="79"/>
      <c r="P558" s="79"/>
      <c r="Q558" s="79"/>
      <c r="T558" s="79"/>
      <c r="U558" s="79"/>
      <c r="X558" s="130"/>
      <c r="Z558" s="106"/>
    </row>
    <row r="559">
      <c r="C559" s="79"/>
      <c r="D559" s="79"/>
      <c r="J559" s="79"/>
      <c r="P559" s="79"/>
      <c r="Q559" s="79"/>
      <c r="T559" s="79"/>
      <c r="U559" s="79"/>
      <c r="X559" s="130"/>
      <c r="Z559" s="106"/>
    </row>
    <row r="560">
      <c r="C560" s="79"/>
      <c r="D560" s="79"/>
      <c r="J560" s="79"/>
      <c r="P560" s="79"/>
      <c r="Q560" s="79"/>
      <c r="T560" s="79"/>
      <c r="U560" s="79"/>
      <c r="X560" s="130"/>
      <c r="Z560" s="106"/>
    </row>
    <row r="561">
      <c r="C561" s="79"/>
      <c r="D561" s="79"/>
      <c r="J561" s="79"/>
      <c r="P561" s="79"/>
      <c r="Q561" s="79"/>
      <c r="T561" s="79"/>
      <c r="U561" s="79"/>
      <c r="X561" s="130"/>
      <c r="Z561" s="106"/>
    </row>
    <row r="562">
      <c r="C562" s="79"/>
      <c r="D562" s="79"/>
      <c r="J562" s="79"/>
      <c r="P562" s="79"/>
      <c r="Q562" s="79"/>
      <c r="T562" s="79"/>
      <c r="U562" s="79"/>
      <c r="X562" s="130"/>
      <c r="Z562" s="106"/>
    </row>
    <row r="563">
      <c r="C563" s="79"/>
      <c r="D563" s="79"/>
      <c r="J563" s="79"/>
      <c r="P563" s="79"/>
      <c r="Q563" s="79"/>
      <c r="T563" s="79"/>
      <c r="U563" s="79"/>
      <c r="X563" s="130"/>
      <c r="Z563" s="106"/>
    </row>
    <row r="564">
      <c r="C564" s="79"/>
      <c r="D564" s="79"/>
      <c r="J564" s="79"/>
      <c r="P564" s="79"/>
      <c r="Q564" s="79"/>
      <c r="T564" s="79"/>
      <c r="U564" s="79"/>
      <c r="X564" s="130"/>
      <c r="Z564" s="106"/>
    </row>
    <row r="565">
      <c r="C565" s="79"/>
      <c r="D565" s="79"/>
      <c r="J565" s="79"/>
      <c r="P565" s="79"/>
      <c r="Q565" s="79"/>
      <c r="T565" s="79"/>
      <c r="U565" s="79"/>
      <c r="X565" s="130"/>
      <c r="Z565" s="106"/>
    </row>
    <row r="566">
      <c r="C566" s="79"/>
      <c r="D566" s="79"/>
      <c r="J566" s="79"/>
      <c r="P566" s="79"/>
      <c r="Q566" s="79"/>
      <c r="T566" s="79"/>
      <c r="U566" s="79"/>
      <c r="X566" s="130"/>
      <c r="Z566" s="106"/>
    </row>
    <row r="567">
      <c r="C567" s="79"/>
      <c r="D567" s="79"/>
      <c r="J567" s="79"/>
      <c r="P567" s="79"/>
      <c r="Q567" s="79"/>
      <c r="T567" s="79"/>
      <c r="U567" s="79"/>
      <c r="X567" s="130"/>
      <c r="Z567" s="106"/>
    </row>
    <row r="568">
      <c r="C568" s="79"/>
      <c r="D568" s="79"/>
      <c r="J568" s="79"/>
      <c r="P568" s="79"/>
      <c r="Q568" s="79"/>
      <c r="T568" s="79"/>
      <c r="U568" s="79"/>
      <c r="X568" s="130"/>
      <c r="Z568" s="106"/>
    </row>
    <row r="569">
      <c r="C569" s="79"/>
      <c r="D569" s="79"/>
      <c r="J569" s="79"/>
      <c r="P569" s="79"/>
      <c r="Q569" s="79"/>
      <c r="T569" s="79"/>
      <c r="U569" s="79"/>
      <c r="X569" s="130"/>
      <c r="Z569" s="106"/>
    </row>
    <row r="570">
      <c r="C570" s="79"/>
      <c r="D570" s="79"/>
      <c r="J570" s="79"/>
      <c r="P570" s="79"/>
      <c r="Q570" s="79"/>
      <c r="T570" s="79"/>
      <c r="U570" s="79"/>
      <c r="X570" s="130"/>
      <c r="Z570" s="106"/>
    </row>
    <row r="571">
      <c r="C571" s="79"/>
      <c r="D571" s="79"/>
      <c r="J571" s="79"/>
      <c r="P571" s="79"/>
      <c r="Q571" s="79"/>
      <c r="T571" s="79"/>
      <c r="U571" s="79"/>
      <c r="X571" s="130"/>
      <c r="Z571" s="106"/>
    </row>
    <row r="572">
      <c r="C572" s="79"/>
      <c r="D572" s="79"/>
      <c r="J572" s="79"/>
      <c r="P572" s="79"/>
      <c r="Q572" s="79"/>
      <c r="T572" s="79"/>
      <c r="U572" s="79"/>
      <c r="X572" s="130"/>
      <c r="Z572" s="106"/>
    </row>
    <row r="573">
      <c r="C573" s="79"/>
      <c r="D573" s="79"/>
      <c r="J573" s="79"/>
      <c r="P573" s="79"/>
      <c r="Q573" s="79"/>
      <c r="T573" s="79"/>
      <c r="U573" s="79"/>
      <c r="X573" s="130"/>
      <c r="Z573" s="106"/>
    </row>
    <row r="574">
      <c r="C574" s="79"/>
      <c r="D574" s="79"/>
      <c r="J574" s="79"/>
      <c r="P574" s="79"/>
      <c r="Q574" s="79"/>
      <c r="T574" s="79"/>
      <c r="U574" s="79"/>
      <c r="X574" s="130"/>
      <c r="Z574" s="106"/>
    </row>
    <row r="575">
      <c r="C575" s="79"/>
      <c r="D575" s="79"/>
      <c r="J575" s="79"/>
      <c r="P575" s="79"/>
      <c r="Q575" s="79"/>
      <c r="T575" s="79"/>
      <c r="U575" s="79"/>
      <c r="X575" s="130"/>
      <c r="Z575" s="106"/>
    </row>
    <row r="576">
      <c r="C576" s="79"/>
      <c r="D576" s="79"/>
      <c r="J576" s="79"/>
      <c r="P576" s="79"/>
      <c r="Q576" s="79"/>
      <c r="T576" s="79"/>
      <c r="U576" s="79"/>
      <c r="X576" s="130"/>
      <c r="Z576" s="106"/>
    </row>
    <row r="577">
      <c r="C577" s="79"/>
      <c r="D577" s="79"/>
      <c r="J577" s="79"/>
      <c r="P577" s="79"/>
      <c r="Q577" s="79"/>
      <c r="T577" s="79"/>
      <c r="U577" s="79"/>
      <c r="X577" s="130"/>
      <c r="Z577" s="106"/>
    </row>
    <row r="578">
      <c r="C578" s="79"/>
      <c r="D578" s="79"/>
      <c r="J578" s="79"/>
      <c r="P578" s="79"/>
      <c r="Q578" s="79"/>
      <c r="T578" s="79"/>
      <c r="U578" s="79"/>
      <c r="X578" s="130"/>
      <c r="Z578" s="106"/>
    </row>
    <row r="579">
      <c r="C579" s="79"/>
      <c r="D579" s="79"/>
      <c r="J579" s="79"/>
      <c r="P579" s="79"/>
      <c r="Q579" s="79"/>
      <c r="T579" s="79"/>
      <c r="U579" s="79"/>
      <c r="X579" s="130"/>
      <c r="Z579" s="106"/>
    </row>
    <row r="580">
      <c r="C580" s="79"/>
      <c r="D580" s="79"/>
      <c r="J580" s="79"/>
      <c r="P580" s="79"/>
      <c r="Q580" s="79"/>
      <c r="T580" s="79"/>
      <c r="U580" s="79"/>
      <c r="X580" s="130"/>
      <c r="Z580" s="106"/>
    </row>
    <row r="581">
      <c r="C581" s="79"/>
      <c r="D581" s="79"/>
      <c r="J581" s="79"/>
      <c r="P581" s="79"/>
      <c r="Q581" s="79"/>
      <c r="T581" s="79"/>
      <c r="U581" s="79"/>
      <c r="X581" s="130"/>
      <c r="Z581" s="106"/>
    </row>
    <row r="582">
      <c r="C582" s="79"/>
      <c r="D582" s="79"/>
      <c r="J582" s="79"/>
      <c r="P582" s="79"/>
      <c r="Q582" s="79"/>
      <c r="T582" s="79"/>
      <c r="U582" s="79"/>
      <c r="X582" s="130"/>
      <c r="Z582" s="106"/>
    </row>
    <row r="583">
      <c r="C583" s="79"/>
      <c r="D583" s="79"/>
      <c r="J583" s="79"/>
      <c r="P583" s="79"/>
      <c r="Q583" s="79"/>
      <c r="T583" s="79"/>
      <c r="U583" s="79"/>
      <c r="X583" s="130"/>
      <c r="Z583" s="106"/>
    </row>
    <row r="584">
      <c r="C584" s="79"/>
      <c r="D584" s="79"/>
      <c r="J584" s="79"/>
      <c r="P584" s="79"/>
      <c r="Q584" s="79"/>
      <c r="T584" s="79"/>
      <c r="U584" s="79"/>
      <c r="X584" s="130"/>
      <c r="Z584" s="106"/>
    </row>
    <row r="585">
      <c r="C585" s="79"/>
      <c r="D585" s="79"/>
      <c r="J585" s="79"/>
      <c r="P585" s="79"/>
      <c r="Q585" s="79"/>
      <c r="T585" s="79"/>
      <c r="U585" s="79"/>
      <c r="X585" s="130"/>
      <c r="Z585" s="106"/>
    </row>
    <row r="586">
      <c r="C586" s="79"/>
      <c r="D586" s="79"/>
      <c r="J586" s="79"/>
      <c r="P586" s="79"/>
      <c r="Q586" s="79"/>
      <c r="T586" s="79"/>
      <c r="U586" s="79"/>
      <c r="X586" s="130"/>
      <c r="Z586" s="106"/>
    </row>
    <row r="587">
      <c r="C587" s="79"/>
      <c r="D587" s="79"/>
      <c r="J587" s="79"/>
      <c r="P587" s="79"/>
      <c r="Q587" s="79"/>
      <c r="T587" s="79"/>
      <c r="U587" s="79"/>
      <c r="X587" s="130"/>
      <c r="Z587" s="106"/>
    </row>
    <row r="588">
      <c r="C588" s="79"/>
      <c r="D588" s="79"/>
      <c r="J588" s="79"/>
      <c r="P588" s="79"/>
      <c r="Q588" s="79"/>
      <c r="T588" s="79"/>
      <c r="U588" s="79"/>
      <c r="X588" s="130"/>
      <c r="Z588" s="106"/>
    </row>
    <row r="589">
      <c r="C589" s="79"/>
      <c r="D589" s="79"/>
      <c r="J589" s="79"/>
      <c r="P589" s="79"/>
      <c r="Q589" s="79"/>
      <c r="T589" s="79"/>
      <c r="U589" s="79"/>
      <c r="X589" s="130"/>
      <c r="Z589" s="106"/>
    </row>
    <row r="590">
      <c r="C590" s="79"/>
      <c r="D590" s="79"/>
      <c r="J590" s="79"/>
      <c r="P590" s="79"/>
      <c r="Q590" s="79"/>
      <c r="T590" s="79"/>
      <c r="U590" s="79"/>
      <c r="X590" s="130"/>
      <c r="Z590" s="106"/>
    </row>
    <row r="591">
      <c r="C591" s="79"/>
      <c r="D591" s="79"/>
      <c r="J591" s="79"/>
      <c r="P591" s="79"/>
      <c r="Q591" s="79"/>
      <c r="T591" s="79"/>
      <c r="U591" s="79"/>
      <c r="X591" s="130"/>
      <c r="Z591" s="106"/>
    </row>
    <row r="592">
      <c r="C592" s="79"/>
      <c r="D592" s="79"/>
      <c r="J592" s="79"/>
      <c r="P592" s="79"/>
      <c r="Q592" s="79"/>
      <c r="T592" s="79"/>
      <c r="U592" s="79"/>
      <c r="X592" s="130"/>
      <c r="Z592" s="106"/>
    </row>
    <row r="593">
      <c r="C593" s="79"/>
      <c r="D593" s="79"/>
      <c r="J593" s="79"/>
      <c r="P593" s="79"/>
      <c r="Q593" s="79"/>
      <c r="T593" s="79"/>
      <c r="U593" s="79"/>
      <c r="X593" s="130"/>
      <c r="Z593" s="106"/>
    </row>
    <row r="594">
      <c r="C594" s="79"/>
      <c r="D594" s="79"/>
      <c r="J594" s="79"/>
      <c r="P594" s="79"/>
      <c r="Q594" s="79"/>
      <c r="T594" s="79"/>
      <c r="U594" s="79"/>
      <c r="X594" s="130"/>
      <c r="Z594" s="106"/>
    </row>
    <row r="595">
      <c r="C595" s="79"/>
      <c r="D595" s="79"/>
      <c r="J595" s="79"/>
      <c r="P595" s="79"/>
      <c r="Q595" s="79"/>
      <c r="T595" s="79"/>
      <c r="U595" s="79"/>
      <c r="X595" s="130"/>
      <c r="Z595" s="106"/>
    </row>
    <row r="596">
      <c r="C596" s="79"/>
      <c r="D596" s="79"/>
      <c r="J596" s="79"/>
      <c r="P596" s="79"/>
      <c r="Q596" s="79"/>
      <c r="T596" s="79"/>
      <c r="U596" s="79"/>
      <c r="X596" s="130"/>
      <c r="Z596" s="106"/>
    </row>
    <row r="597">
      <c r="C597" s="79"/>
      <c r="D597" s="79"/>
      <c r="J597" s="79"/>
      <c r="P597" s="79"/>
      <c r="Q597" s="79"/>
      <c r="T597" s="79"/>
      <c r="U597" s="79"/>
      <c r="X597" s="130"/>
      <c r="Z597" s="106"/>
    </row>
    <row r="598">
      <c r="C598" s="79"/>
      <c r="D598" s="79"/>
      <c r="J598" s="79"/>
      <c r="P598" s="79"/>
      <c r="Q598" s="79"/>
      <c r="T598" s="79"/>
      <c r="U598" s="79"/>
      <c r="X598" s="130"/>
      <c r="Z598" s="106"/>
    </row>
    <row r="599">
      <c r="C599" s="79"/>
      <c r="D599" s="79"/>
      <c r="J599" s="79"/>
      <c r="P599" s="79"/>
      <c r="Q599" s="79"/>
      <c r="T599" s="79"/>
      <c r="U599" s="79"/>
      <c r="X599" s="130"/>
      <c r="Z599" s="106"/>
    </row>
    <row r="600">
      <c r="C600" s="79"/>
      <c r="D600" s="79"/>
      <c r="J600" s="79"/>
      <c r="P600" s="79"/>
      <c r="Q600" s="79"/>
      <c r="T600" s="79"/>
      <c r="U600" s="79"/>
      <c r="X600" s="130"/>
      <c r="Z600" s="106"/>
    </row>
    <row r="601">
      <c r="C601" s="79"/>
      <c r="D601" s="79"/>
      <c r="J601" s="79"/>
      <c r="P601" s="79"/>
      <c r="Q601" s="79"/>
      <c r="T601" s="79"/>
      <c r="U601" s="79"/>
      <c r="X601" s="130"/>
      <c r="Z601" s="106"/>
    </row>
    <row r="602">
      <c r="C602" s="79"/>
      <c r="D602" s="79"/>
      <c r="J602" s="79"/>
      <c r="P602" s="79"/>
      <c r="Q602" s="79"/>
      <c r="T602" s="79"/>
      <c r="U602" s="79"/>
      <c r="X602" s="130"/>
      <c r="Z602" s="106"/>
    </row>
    <row r="603">
      <c r="C603" s="79"/>
      <c r="D603" s="79"/>
      <c r="J603" s="79"/>
      <c r="P603" s="79"/>
      <c r="Q603" s="79"/>
      <c r="T603" s="79"/>
      <c r="U603" s="79"/>
      <c r="X603" s="130"/>
      <c r="Z603" s="106"/>
    </row>
    <row r="604">
      <c r="C604" s="79"/>
      <c r="D604" s="79"/>
      <c r="J604" s="79"/>
      <c r="P604" s="79"/>
      <c r="Q604" s="79"/>
      <c r="T604" s="79"/>
      <c r="U604" s="79"/>
      <c r="X604" s="130"/>
      <c r="Z604" s="106"/>
    </row>
    <row r="605">
      <c r="C605" s="79"/>
      <c r="D605" s="79"/>
      <c r="J605" s="79"/>
      <c r="P605" s="79"/>
      <c r="Q605" s="79"/>
      <c r="T605" s="79"/>
      <c r="U605" s="79"/>
      <c r="X605" s="130"/>
      <c r="Z605" s="106"/>
    </row>
    <row r="606">
      <c r="C606" s="79"/>
      <c r="D606" s="79"/>
      <c r="J606" s="79"/>
      <c r="P606" s="79"/>
      <c r="Q606" s="79"/>
      <c r="T606" s="79"/>
      <c r="U606" s="79"/>
      <c r="X606" s="130"/>
      <c r="Z606" s="106"/>
    </row>
    <row r="607">
      <c r="C607" s="79"/>
      <c r="D607" s="79"/>
      <c r="J607" s="79"/>
      <c r="P607" s="79"/>
      <c r="Q607" s="79"/>
      <c r="T607" s="79"/>
      <c r="U607" s="79"/>
      <c r="X607" s="130"/>
      <c r="Z607" s="106"/>
    </row>
    <row r="608">
      <c r="C608" s="79"/>
      <c r="D608" s="79"/>
      <c r="J608" s="79"/>
      <c r="P608" s="79"/>
      <c r="Q608" s="79"/>
      <c r="T608" s="79"/>
      <c r="U608" s="79"/>
      <c r="X608" s="130"/>
      <c r="Z608" s="106"/>
    </row>
    <row r="609">
      <c r="C609" s="79"/>
      <c r="D609" s="79"/>
      <c r="J609" s="79"/>
      <c r="P609" s="79"/>
      <c r="Q609" s="79"/>
      <c r="T609" s="79"/>
      <c r="U609" s="79"/>
      <c r="X609" s="130"/>
      <c r="Z609" s="106"/>
    </row>
    <row r="610">
      <c r="C610" s="79"/>
      <c r="D610" s="79"/>
      <c r="J610" s="79"/>
      <c r="P610" s="79"/>
      <c r="Q610" s="79"/>
      <c r="T610" s="79"/>
      <c r="U610" s="79"/>
      <c r="X610" s="130"/>
      <c r="Z610" s="106"/>
    </row>
    <row r="611">
      <c r="C611" s="79"/>
      <c r="D611" s="79"/>
      <c r="J611" s="79"/>
      <c r="P611" s="79"/>
      <c r="Q611" s="79"/>
      <c r="T611" s="79"/>
      <c r="U611" s="79"/>
      <c r="X611" s="130"/>
      <c r="Z611" s="106"/>
    </row>
    <row r="612">
      <c r="C612" s="79"/>
      <c r="D612" s="79"/>
      <c r="J612" s="79"/>
      <c r="P612" s="79"/>
      <c r="Q612" s="79"/>
      <c r="T612" s="79"/>
      <c r="U612" s="79"/>
      <c r="X612" s="130"/>
      <c r="Z612" s="106"/>
    </row>
    <row r="613">
      <c r="C613" s="79"/>
      <c r="D613" s="79"/>
      <c r="J613" s="79"/>
      <c r="P613" s="79"/>
      <c r="Q613" s="79"/>
      <c r="T613" s="79"/>
      <c r="U613" s="79"/>
      <c r="X613" s="130"/>
      <c r="Z613" s="106"/>
    </row>
    <row r="614">
      <c r="C614" s="79"/>
      <c r="D614" s="79"/>
      <c r="J614" s="79"/>
      <c r="P614" s="79"/>
      <c r="Q614" s="79"/>
      <c r="T614" s="79"/>
      <c r="U614" s="79"/>
      <c r="X614" s="130"/>
      <c r="Z614" s="106"/>
    </row>
    <row r="615">
      <c r="C615" s="79"/>
      <c r="D615" s="79"/>
      <c r="J615" s="79"/>
      <c r="P615" s="79"/>
      <c r="Q615" s="79"/>
      <c r="T615" s="79"/>
      <c r="U615" s="79"/>
      <c r="X615" s="130"/>
      <c r="Z615" s="106"/>
    </row>
    <row r="616">
      <c r="C616" s="79"/>
      <c r="D616" s="79"/>
      <c r="J616" s="79"/>
      <c r="P616" s="79"/>
      <c r="Q616" s="79"/>
      <c r="T616" s="79"/>
      <c r="U616" s="79"/>
      <c r="X616" s="130"/>
      <c r="Z616" s="106"/>
    </row>
    <row r="617">
      <c r="C617" s="79"/>
      <c r="D617" s="79"/>
      <c r="J617" s="79"/>
      <c r="P617" s="79"/>
      <c r="Q617" s="79"/>
      <c r="T617" s="79"/>
      <c r="U617" s="79"/>
      <c r="X617" s="130"/>
      <c r="Z617" s="106"/>
    </row>
    <row r="618">
      <c r="C618" s="79"/>
      <c r="D618" s="79"/>
      <c r="J618" s="79"/>
      <c r="P618" s="79"/>
      <c r="Q618" s="79"/>
      <c r="T618" s="79"/>
      <c r="U618" s="79"/>
      <c r="X618" s="130"/>
      <c r="Z618" s="106"/>
    </row>
    <row r="619">
      <c r="C619" s="79"/>
      <c r="D619" s="79"/>
      <c r="J619" s="79"/>
      <c r="P619" s="79"/>
      <c r="Q619" s="79"/>
      <c r="T619" s="79"/>
      <c r="U619" s="79"/>
      <c r="X619" s="130"/>
      <c r="Z619" s="106"/>
    </row>
    <row r="620">
      <c r="C620" s="79"/>
      <c r="D620" s="79"/>
      <c r="J620" s="79"/>
      <c r="P620" s="79"/>
      <c r="Q620" s="79"/>
      <c r="T620" s="79"/>
      <c r="U620" s="79"/>
      <c r="X620" s="130"/>
      <c r="Z620" s="106"/>
    </row>
    <row r="621">
      <c r="C621" s="79"/>
      <c r="D621" s="79"/>
      <c r="J621" s="79"/>
      <c r="P621" s="79"/>
      <c r="Q621" s="79"/>
      <c r="T621" s="79"/>
      <c r="U621" s="79"/>
      <c r="X621" s="130"/>
      <c r="Z621" s="106"/>
    </row>
    <row r="622">
      <c r="C622" s="79"/>
      <c r="D622" s="79"/>
      <c r="J622" s="79"/>
      <c r="P622" s="79"/>
      <c r="Q622" s="79"/>
      <c r="T622" s="79"/>
      <c r="U622" s="79"/>
      <c r="X622" s="130"/>
      <c r="Z622" s="106"/>
    </row>
    <row r="623">
      <c r="C623" s="79"/>
      <c r="D623" s="79"/>
      <c r="J623" s="79"/>
      <c r="P623" s="79"/>
      <c r="Q623" s="79"/>
      <c r="T623" s="79"/>
      <c r="U623" s="79"/>
      <c r="X623" s="130"/>
      <c r="Z623" s="106"/>
    </row>
    <row r="624">
      <c r="C624" s="79"/>
      <c r="D624" s="79"/>
      <c r="J624" s="79"/>
      <c r="P624" s="79"/>
      <c r="Q624" s="79"/>
      <c r="T624" s="79"/>
      <c r="U624" s="79"/>
      <c r="X624" s="130"/>
      <c r="Z624" s="106"/>
    </row>
    <row r="625">
      <c r="C625" s="79"/>
      <c r="D625" s="79"/>
      <c r="J625" s="79"/>
      <c r="P625" s="79"/>
      <c r="Q625" s="79"/>
      <c r="T625" s="79"/>
      <c r="U625" s="79"/>
      <c r="X625" s="130"/>
      <c r="Z625" s="106"/>
    </row>
    <row r="626">
      <c r="C626" s="79"/>
      <c r="D626" s="79"/>
      <c r="J626" s="79"/>
      <c r="P626" s="79"/>
      <c r="Q626" s="79"/>
      <c r="T626" s="79"/>
      <c r="U626" s="79"/>
      <c r="X626" s="130"/>
      <c r="Z626" s="106"/>
    </row>
    <row r="627">
      <c r="C627" s="79"/>
      <c r="D627" s="79"/>
      <c r="J627" s="79"/>
      <c r="P627" s="79"/>
      <c r="Q627" s="79"/>
      <c r="T627" s="79"/>
      <c r="U627" s="79"/>
      <c r="X627" s="130"/>
      <c r="Z627" s="106"/>
    </row>
    <row r="628">
      <c r="C628" s="79"/>
      <c r="D628" s="79"/>
      <c r="J628" s="79"/>
      <c r="P628" s="79"/>
      <c r="Q628" s="79"/>
      <c r="T628" s="79"/>
      <c r="U628" s="79"/>
      <c r="X628" s="130"/>
      <c r="Z628" s="106"/>
    </row>
    <row r="629">
      <c r="C629" s="79"/>
      <c r="D629" s="79"/>
      <c r="J629" s="79"/>
      <c r="P629" s="79"/>
      <c r="Q629" s="79"/>
      <c r="T629" s="79"/>
      <c r="U629" s="79"/>
      <c r="X629" s="130"/>
      <c r="Z629" s="106"/>
    </row>
    <row r="630">
      <c r="C630" s="79"/>
      <c r="D630" s="79"/>
      <c r="J630" s="79"/>
      <c r="P630" s="79"/>
      <c r="Q630" s="79"/>
      <c r="T630" s="79"/>
      <c r="U630" s="79"/>
      <c r="X630" s="130"/>
      <c r="Z630" s="106"/>
    </row>
    <row r="631">
      <c r="C631" s="79"/>
      <c r="D631" s="79"/>
      <c r="J631" s="79"/>
      <c r="P631" s="79"/>
      <c r="Q631" s="79"/>
      <c r="T631" s="79"/>
      <c r="U631" s="79"/>
      <c r="X631" s="130"/>
      <c r="Z631" s="106"/>
    </row>
    <row r="632">
      <c r="C632" s="79"/>
      <c r="D632" s="79"/>
      <c r="J632" s="79"/>
      <c r="P632" s="79"/>
      <c r="Q632" s="79"/>
      <c r="T632" s="79"/>
      <c r="U632" s="79"/>
      <c r="X632" s="130"/>
      <c r="Z632" s="106"/>
    </row>
    <row r="633">
      <c r="C633" s="79"/>
      <c r="D633" s="79"/>
      <c r="J633" s="79"/>
      <c r="P633" s="79"/>
      <c r="Q633" s="79"/>
      <c r="T633" s="79"/>
      <c r="U633" s="79"/>
      <c r="X633" s="130"/>
      <c r="Z633" s="106"/>
    </row>
    <row r="634">
      <c r="C634" s="79"/>
      <c r="D634" s="79"/>
      <c r="J634" s="79"/>
      <c r="P634" s="79"/>
      <c r="Q634" s="79"/>
      <c r="T634" s="79"/>
      <c r="U634" s="79"/>
      <c r="X634" s="130"/>
      <c r="Z634" s="106"/>
    </row>
    <row r="635">
      <c r="C635" s="79"/>
      <c r="D635" s="79"/>
      <c r="J635" s="79"/>
      <c r="P635" s="79"/>
      <c r="Q635" s="79"/>
      <c r="T635" s="79"/>
      <c r="U635" s="79"/>
      <c r="X635" s="130"/>
      <c r="Z635" s="106"/>
    </row>
    <row r="636">
      <c r="C636" s="79"/>
      <c r="D636" s="79"/>
      <c r="J636" s="79"/>
      <c r="P636" s="79"/>
      <c r="Q636" s="79"/>
      <c r="T636" s="79"/>
      <c r="U636" s="79"/>
      <c r="X636" s="130"/>
      <c r="Z636" s="106"/>
    </row>
    <row r="637">
      <c r="C637" s="79"/>
      <c r="D637" s="79"/>
      <c r="J637" s="79"/>
      <c r="P637" s="79"/>
      <c r="Q637" s="79"/>
      <c r="T637" s="79"/>
      <c r="U637" s="79"/>
      <c r="X637" s="130"/>
      <c r="Z637" s="106"/>
    </row>
    <row r="638">
      <c r="C638" s="79"/>
      <c r="D638" s="79"/>
      <c r="J638" s="79"/>
      <c r="P638" s="79"/>
      <c r="Q638" s="79"/>
      <c r="T638" s="79"/>
      <c r="U638" s="79"/>
      <c r="X638" s="130"/>
      <c r="Z638" s="106"/>
    </row>
    <row r="639">
      <c r="C639" s="79"/>
      <c r="D639" s="79"/>
      <c r="J639" s="79"/>
      <c r="P639" s="79"/>
      <c r="Q639" s="79"/>
      <c r="T639" s="79"/>
      <c r="U639" s="79"/>
      <c r="X639" s="130"/>
      <c r="Z639" s="106"/>
    </row>
    <row r="640">
      <c r="C640" s="79"/>
      <c r="D640" s="79"/>
      <c r="J640" s="79"/>
      <c r="P640" s="79"/>
      <c r="Q640" s="79"/>
      <c r="T640" s="79"/>
      <c r="U640" s="79"/>
      <c r="X640" s="130"/>
      <c r="Z640" s="106"/>
    </row>
    <row r="641">
      <c r="C641" s="79"/>
      <c r="D641" s="79"/>
      <c r="J641" s="79"/>
      <c r="P641" s="79"/>
      <c r="Q641" s="79"/>
      <c r="T641" s="79"/>
      <c r="U641" s="79"/>
      <c r="X641" s="130"/>
      <c r="Z641" s="106"/>
    </row>
    <row r="642">
      <c r="C642" s="79"/>
      <c r="D642" s="79"/>
      <c r="J642" s="79"/>
      <c r="P642" s="79"/>
      <c r="Q642" s="79"/>
      <c r="T642" s="79"/>
      <c r="U642" s="79"/>
      <c r="X642" s="130"/>
      <c r="Z642" s="106"/>
    </row>
    <row r="643">
      <c r="C643" s="79"/>
      <c r="D643" s="79"/>
      <c r="J643" s="79"/>
      <c r="P643" s="79"/>
      <c r="Q643" s="79"/>
      <c r="T643" s="79"/>
      <c r="U643" s="79"/>
      <c r="X643" s="130"/>
      <c r="Z643" s="106"/>
    </row>
    <row r="644">
      <c r="C644" s="79"/>
      <c r="D644" s="79"/>
      <c r="J644" s="79"/>
      <c r="P644" s="79"/>
      <c r="Q644" s="79"/>
      <c r="T644" s="79"/>
      <c r="U644" s="79"/>
      <c r="X644" s="130"/>
      <c r="Z644" s="106"/>
    </row>
    <row r="645">
      <c r="C645" s="79"/>
      <c r="D645" s="79"/>
      <c r="J645" s="79"/>
      <c r="P645" s="79"/>
      <c r="Q645" s="79"/>
      <c r="T645" s="79"/>
      <c r="U645" s="79"/>
      <c r="X645" s="130"/>
      <c r="Z645" s="106"/>
    </row>
    <row r="646">
      <c r="C646" s="79"/>
      <c r="D646" s="79"/>
      <c r="J646" s="79"/>
      <c r="P646" s="79"/>
      <c r="Q646" s="79"/>
      <c r="T646" s="79"/>
      <c r="U646" s="79"/>
      <c r="X646" s="130"/>
      <c r="Z646" s="106"/>
    </row>
    <row r="647">
      <c r="C647" s="79"/>
      <c r="D647" s="79"/>
      <c r="J647" s="79"/>
      <c r="P647" s="79"/>
      <c r="Q647" s="79"/>
      <c r="T647" s="79"/>
      <c r="U647" s="79"/>
      <c r="X647" s="130"/>
      <c r="Z647" s="106"/>
    </row>
    <row r="648">
      <c r="C648" s="79"/>
      <c r="D648" s="79"/>
      <c r="J648" s="79"/>
      <c r="P648" s="79"/>
      <c r="Q648" s="79"/>
      <c r="T648" s="79"/>
      <c r="U648" s="79"/>
      <c r="X648" s="130"/>
      <c r="Z648" s="106"/>
    </row>
    <row r="649">
      <c r="C649" s="79"/>
      <c r="D649" s="79"/>
      <c r="J649" s="79"/>
      <c r="P649" s="79"/>
      <c r="Q649" s="79"/>
      <c r="T649" s="79"/>
      <c r="U649" s="79"/>
      <c r="X649" s="130"/>
      <c r="Z649" s="106"/>
    </row>
    <row r="650">
      <c r="C650" s="79"/>
      <c r="D650" s="79"/>
      <c r="J650" s="79"/>
      <c r="P650" s="79"/>
      <c r="Q650" s="79"/>
      <c r="T650" s="79"/>
      <c r="U650" s="79"/>
      <c r="X650" s="130"/>
      <c r="Z650" s="106"/>
    </row>
    <row r="651">
      <c r="C651" s="79"/>
      <c r="D651" s="79"/>
      <c r="J651" s="79"/>
      <c r="P651" s="79"/>
      <c r="Q651" s="79"/>
      <c r="T651" s="79"/>
      <c r="U651" s="79"/>
      <c r="X651" s="130"/>
      <c r="Z651" s="106"/>
    </row>
    <row r="652">
      <c r="C652" s="79"/>
      <c r="D652" s="79"/>
      <c r="J652" s="79"/>
      <c r="P652" s="79"/>
      <c r="Q652" s="79"/>
      <c r="T652" s="79"/>
      <c r="U652" s="79"/>
      <c r="X652" s="130"/>
      <c r="Z652" s="106"/>
    </row>
    <row r="653">
      <c r="C653" s="79"/>
      <c r="D653" s="79"/>
      <c r="J653" s="79"/>
      <c r="P653" s="79"/>
      <c r="Q653" s="79"/>
      <c r="T653" s="79"/>
      <c r="U653" s="79"/>
      <c r="X653" s="130"/>
      <c r="Z653" s="106"/>
    </row>
    <row r="654">
      <c r="C654" s="79"/>
      <c r="D654" s="79"/>
      <c r="J654" s="79"/>
      <c r="P654" s="79"/>
      <c r="Q654" s="79"/>
      <c r="T654" s="79"/>
      <c r="U654" s="79"/>
      <c r="X654" s="130"/>
      <c r="Z654" s="106"/>
    </row>
    <row r="655">
      <c r="C655" s="79"/>
      <c r="D655" s="79"/>
      <c r="J655" s="79"/>
      <c r="P655" s="79"/>
      <c r="Q655" s="79"/>
      <c r="T655" s="79"/>
      <c r="U655" s="79"/>
      <c r="X655" s="130"/>
      <c r="Z655" s="106"/>
    </row>
    <row r="656">
      <c r="C656" s="79"/>
      <c r="D656" s="79"/>
      <c r="J656" s="79"/>
      <c r="P656" s="79"/>
      <c r="Q656" s="79"/>
      <c r="T656" s="79"/>
      <c r="U656" s="79"/>
      <c r="X656" s="130"/>
      <c r="Z656" s="106"/>
    </row>
    <row r="657">
      <c r="C657" s="79"/>
      <c r="D657" s="79"/>
      <c r="J657" s="79"/>
      <c r="P657" s="79"/>
      <c r="Q657" s="79"/>
      <c r="T657" s="79"/>
      <c r="U657" s="79"/>
      <c r="X657" s="130"/>
      <c r="Z657" s="106"/>
    </row>
    <row r="658">
      <c r="C658" s="79"/>
      <c r="D658" s="79"/>
      <c r="J658" s="79"/>
      <c r="P658" s="79"/>
      <c r="Q658" s="79"/>
      <c r="T658" s="79"/>
      <c r="U658" s="79"/>
      <c r="X658" s="130"/>
      <c r="Z658" s="106"/>
    </row>
    <row r="659">
      <c r="C659" s="79"/>
      <c r="D659" s="79"/>
      <c r="J659" s="79"/>
      <c r="P659" s="79"/>
      <c r="Q659" s="79"/>
      <c r="T659" s="79"/>
      <c r="U659" s="79"/>
      <c r="X659" s="130"/>
      <c r="Z659" s="106"/>
    </row>
    <row r="660">
      <c r="C660" s="79"/>
      <c r="D660" s="79"/>
      <c r="J660" s="79"/>
      <c r="P660" s="79"/>
      <c r="Q660" s="79"/>
      <c r="T660" s="79"/>
      <c r="U660" s="79"/>
      <c r="X660" s="130"/>
      <c r="Z660" s="106"/>
    </row>
    <row r="661">
      <c r="C661" s="79"/>
      <c r="D661" s="79"/>
      <c r="J661" s="79"/>
      <c r="P661" s="79"/>
      <c r="Q661" s="79"/>
      <c r="T661" s="79"/>
      <c r="U661" s="79"/>
      <c r="X661" s="130"/>
      <c r="Z661" s="106"/>
    </row>
    <row r="662">
      <c r="C662" s="79"/>
      <c r="D662" s="79"/>
      <c r="J662" s="79"/>
      <c r="P662" s="79"/>
      <c r="Q662" s="79"/>
      <c r="T662" s="79"/>
      <c r="U662" s="79"/>
      <c r="X662" s="130"/>
      <c r="Z662" s="106"/>
    </row>
    <row r="663">
      <c r="C663" s="79"/>
      <c r="D663" s="79"/>
      <c r="J663" s="79"/>
      <c r="P663" s="79"/>
      <c r="Q663" s="79"/>
      <c r="T663" s="79"/>
      <c r="U663" s="79"/>
      <c r="X663" s="130"/>
      <c r="Z663" s="106"/>
    </row>
    <row r="664">
      <c r="C664" s="79"/>
      <c r="D664" s="79"/>
      <c r="J664" s="79"/>
      <c r="P664" s="79"/>
      <c r="Q664" s="79"/>
      <c r="T664" s="79"/>
      <c r="U664" s="79"/>
      <c r="X664" s="130"/>
      <c r="Z664" s="106"/>
    </row>
    <row r="665">
      <c r="C665" s="79"/>
      <c r="D665" s="79"/>
      <c r="J665" s="79"/>
      <c r="P665" s="79"/>
      <c r="Q665" s="79"/>
      <c r="T665" s="79"/>
      <c r="U665" s="79"/>
      <c r="X665" s="130"/>
      <c r="Z665" s="106"/>
    </row>
    <row r="666">
      <c r="C666" s="79"/>
      <c r="D666" s="79"/>
      <c r="J666" s="79"/>
      <c r="P666" s="79"/>
      <c r="Q666" s="79"/>
      <c r="T666" s="79"/>
      <c r="U666" s="79"/>
      <c r="X666" s="130"/>
      <c r="Z666" s="106"/>
    </row>
    <row r="667">
      <c r="C667" s="79"/>
      <c r="D667" s="79"/>
      <c r="J667" s="79"/>
      <c r="P667" s="79"/>
      <c r="Q667" s="79"/>
      <c r="T667" s="79"/>
      <c r="U667" s="79"/>
      <c r="X667" s="130"/>
      <c r="Z667" s="106"/>
    </row>
    <row r="668">
      <c r="C668" s="79"/>
      <c r="D668" s="79"/>
      <c r="J668" s="79"/>
      <c r="P668" s="79"/>
      <c r="Q668" s="79"/>
      <c r="T668" s="79"/>
      <c r="U668" s="79"/>
      <c r="X668" s="130"/>
      <c r="Z668" s="106"/>
    </row>
    <row r="669">
      <c r="C669" s="79"/>
      <c r="D669" s="79"/>
      <c r="J669" s="79"/>
      <c r="P669" s="79"/>
      <c r="Q669" s="79"/>
      <c r="T669" s="79"/>
      <c r="U669" s="79"/>
      <c r="X669" s="130"/>
      <c r="Z669" s="106"/>
    </row>
    <row r="670">
      <c r="C670" s="79"/>
      <c r="D670" s="79"/>
      <c r="J670" s="79"/>
      <c r="P670" s="79"/>
      <c r="Q670" s="79"/>
      <c r="T670" s="79"/>
      <c r="U670" s="79"/>
      <c r="X670" s="130"/>
      <c r="Z670" s="106"/>
    </row>
    <row r="671">
      <c r="C671" s="79"/>
      <c r="D671" s="79"/>
      <c r="J671" s="79"/>
      <c r="P671" s="79"/>
      <c r="Q671" s="79"/>
      <c r="T671" s="79"/>
      <c r="U671" s="79"/>
      <c r="X671" s="130"/>
      <c r="Z671" s="106"/>
    </row>
    <row r="672">
      <c r="C672" s="79"/>
      <c r="D672" s="79"/>
      <c r="J672" s="79"/>
      <c r="P672" s="79"/>
      <c r="Q672" s="79"/>
      <c r="T672" s="79"/>
      <c r="U672" s="79"/>
      <c r="X672" s="130"/>
      <c r="Z672" s="106"/>
    </row>
    <row r="673">
      <c r="C673" s="79"/>
      <c r="D673" s="79"/>
      <c r="J673" s="79"/>
      <c r="P673" s="79"/>
      <c r="Q673" s="79"/>
      <c r="T673" s="79"/>
      <c r="U673" s="79"/>
      <c r="X673" s="130"/>
      <c r="Z673" s="106"/>
    </row>
    <row r="674">
      <c r="C674" s="79"/>
      <c r="D674" s="79"/>
      <c r="J674" s="79"/>
      <c r="P674" s="79"/>
      <c r="Q674" s="79"/>
      <c r="T674" s="79"/>
      <c r="U674" s="79"/>
      <c r="X674" s="130"/>
      <c r="Z674" s="106"/>
    </row>
    <row r="675">
      <c r="C675" s="79"/>
      <c r="D675" s="79"/>
      <c r="J675" s="79"/>
      <c r="P675" s="79"/>
      <c r="Q675" s="79"/>
      <c r="T675" s="79"/>
      <c r="U675" s="79"/>
      <c r="X675" s="130"/>
      <c r="Z675" s="106"/>
    </row>
    <row r="676">
      <c r="C676" s="79"/>
      <c r="D676" s="79"/>
      <c r="J676" s="79"/>
      <c r="P676" s="79"/>
      <c r="Q676" s="79"/>
      <c r="T676" s="79"/>
      <c r="U676" s="79"/>
      <c r="X676" s="130"/>
      <c r="Z676" s="106"/>
    </row>
    <row r="677">
      <c r="C677" s="79"/>
      <c r="D677" s="79"/>
      <c r="J677" s="79"/>
      <c r="P677" s="79"/>
      <c r="Q677" s="79"/>
      <c r="T677" s="79"/>
      <c r="U677" s="79"/>
      <c r="X677" s="130"/>
      <c r="Z677" s="106"/>
    </row>
    <row r="678">
      <c r="C678" s="79"/>
      <c r="D678" s="79"/>
      <c r="J678" s="79"/>
      <c r="P678" s="79"/>
      <c r="Q678" s="79"/>
      <c r="T678" s="79"/>
      <c r="U678" s="79"/>
      <c r="X678" s="130"/>
      <c r="Z678" s="106"/>
    </row>
    <row r="679">
      <c r="C679" s="79"/>
      <c r="D679" s="79"/>
      <c r="J679" s="79"/>
      <c r="P679" s="79"/>
      <c r="Q679" s="79"/>
      <c r="T679" s="79"/>
      <c r="U679" s="79"/>
      <c r="X679" s="130"/>
      <c r="Z679" s="106"/>
    </row>
    <row r="680">
      <c r="C680" s="79"/>
      <c r="D680" s="79"/>
      <c r="J680" s="79"/>
      <c r="P680" s="79"/>
      <c r="Q680" s="79"/>
      <c r="T680" s="79"/>
      <c r="U680" s="79"/>
      <c r="X680" s="130"/>
      <c r="Z680" s="106"/>
    </row>
    <row r="681">
      <c r="C681" s="79"/>
      <c r="D681" s="79"/>
      <c r="J681" s="79"/>
      <c r="P681" s="79"/>
      <c r="Q681" s="79"/>
      <c r="T681" s="79"/>
      <c r="U681" s="79"/>
      <c r="X681" s="130"/>
      <c r="Z681" s="106"/>
    </row>
    <row r="682">
      <c r="C682" s="79"/>
      <c r="D682" s="79"/>
      <c r="J682" s="79"/>
      <c r="P682" s="79"/>
      <c r="Q682" s="79"/>
      <c r="T682" s="79"/>
      <c r="U682" s="79"/>
      <c r="X682" s="130"/>
      <c r="Z682" s="106"/>
    </row>
    <row r="683">
      <c r="C683" s="79"/>
      <c r="D683" s="79"/>
      <c r="J683" s="79"/>
      <c r="P683" s="79"/>
      <c r="Q683" s="79"/>
      <c r="T683" s="79"/>
      <c r="U683" s="79"/>
      <c r="X683" s="130"/>
      <c r="Z683" s="106"/>
    </row>
    <row r="684">
      <c r="C684" s="79"/>
      <c r="D684" s="79"/>
      <c r="J684" s="79"/>
      <c r="P684" s="79"/>
      <c r="Q684" s="79"/>
      <c r="T684" s="79"/>
      <c r="U684" s="79"/>
      <c r="X684" s="130"/>
      <c r="Z684" s="106"/>
    </row>
    <row r="685">
      <c r="C685" s="79"/>
      <c r="D685" s="79"/>
      <c r="J685" s="79"/>
      <c r="P685" s="79"/>
      <c r="Q685" s="79"/>
      <c r="T685" s="79"/>
      <c r="U685" s="79"/>
      <c r="X685" s="130"/>
      <c r="Z685" s="106"/>
    </row>
    <row r="686">
      <c r="C686" s="79"/>
      <c r="D686" s="79"/>
      <c r="J686" s="79"/>
      <c r="P686" s="79"/>
      <c r="Q686" s="79"/>
      <c r="T686" s="79"/>
      <c r="U686" s="79"/>
      <c r="X686" s="130"/>
      <c r="Z686" s="106"/>
    </row>
    <row r="687">
      <c r="C687" s="79"/>
      <c r="D687" s="79"/>
      <c r="J687" s="79"/>
      <c r="P687" s="79"/>
      <c r="Q687" s="79"/>
      <c r="T687" s="79"/>
      <c r="U687" s="79"/>
      <c r="X687" s="130"/>
      <c r="Z687" s="106"/>
    </row>
    <row r="688">
      <c r="C688" s="79"/>
      <c r="D688" s="79"/>
      <c r="J688" s="79"/>
      <c r="P688" s="79"/>
      <c r="Q688" s="79"/>
      <c r="T688" s="79"/>
      <c r="U688" s="79"/>
      <c r="X688" s="130"/>
      <c r="Z688" s="106"/>
    </row>
    <row r="689">
      <c r="C689" s="79"/>
      <c r="D689" s="79"/>
      <c r="J689" s="79"/>
      <c r="P689" s="79"/>
      <c r="Q689" s="79"/>
      <c r="T689" s="79"/>
      <c r="U689" s="79"/>
      <c r="X689" s="130"/>
      <c r="Z689" s="106"/>
    </row>
    <row r="690">
      <c r="C690" s="79"/>
      <c r="D690" s="79"/>
      <c r="J690" s="79"/>
      <c r="P690" s="79"/>
      <c r="Q690" s="79"/>
      <c r="T690" s="79"/>
      <c r="U690" s="79"/>
      <c r="X690" s="130"/>
      <c r="Z690" s="106"/>
    </row>
    <row r="691">
      <c r="C691" s="79"/>
      <c r="D691" s="79"/>
      <c r="J691" s="79"/>
      <c r="P691" s="79"/>
      <c r="Q691" s="79"/>
      <c r="T691" s="79"/>
      <c r="U691" s="79"/>
      <c r="X691" s="130"/>
      <c r="Z691" s="106"/>
    </row>
    <row r="692">
      <c r="C692" s="79"/>
      <c r="D692" s="79"/>
      <c r="J692" s="79"/>
      <c r="P692" s="79"/>
      <c r="Q692" s="79"/>
      <c r="T692" s="79"/>
      <c r="U692" s="79"/>
      <c r="X692" s="130"/>
      <c r="Z692" s="106"/>
    </row>
    <row r="693">
      <c r="C693" s="79"/>
      <c r="D693" s="79"/>
      <c r="J693" s="79"/>
      <c r="P693" s="79"/>
      <c r="Q693" s="79"/>
      <c r="T693" s="79"/>
      <c r="U693" s="79"/>
      <c r="X693" s="130"/>
      <c r="Z693" s="106"/>
    </row>
    <row r="694">
      <c r="C694" s="79"/>
      <c r="D694" s="79"/>
      <c r="J694" s="79"/>
      <c r="P694" s="79"/>
      <c r="Q694" s="79"/>
      <c r="T694" s="79"/>
      <c r="U694" s="79"/>
      <c r="X694" s="130"/>
      <c r="Z694" s="106"/>
    </row>
    <row r="695">
      <c r="C695" s="79"/>
      <c r="D695" s="79"/>
      <c r="J695" s="79"/>
      <c r="P695" s="79"/>
      <c r="Q695" s="79"/>
      <c r="T695" s="79"/>
      <c r="U695" s="79"/>
      <c r="X695" s="130"/>
      <c r="Z695" s="106"/>
    </row>
    <row r="696">
      <c r="C696" s="79"/>
      <c r="D696" s="79"/>
      <c r="J696" s="79"/>
      <c r="P696" s="79"/>
      <c r="Q696" s="79"/>
      <c r="T696" s="79"/>
      <c r="U696" s="79"/>
      <c r="X696" s="130"/>
      <c r="Z696" s="106"/>
    </row>
    <row r="697">
      <c r="C697" s="79"/>
      <c r="D697" s="79"/>
      <c r="J697" s="79"/>
      <c r="P697" s="79"/>
      <c r="Q697" s="79"/>
      <c r="T697" s="79"/>
      <c r="U697" s="79"/>
      <c r="X697" s="130"/>
      <c r="Z697" s="106"/>
    </row>
    <row r="698">
      <c r="C698" s="79"/>
      <c r="D698" s="79"/>
      <c r="J698" s="79"/>
      <c r="P698" s="79"/>
      <c r="Q698" s="79"/>
      <c r="T698" s="79"/>
      <c r="U698" s="79"/>
      <c r="X698" s="130"/>
      <c r="Z698" s="106"/>
    </row>
    <row r="699">
      <c r="C699" s="79"/>
      <c r="D699" s="79"/>
      <c r="J699" s="79"/>
      <c r="P699" s="79"/>
      <c r="Q699" s="79"/>
      <c r="T699" s="79"/>
      <c r="U699" s="79"/>
      <c r="X699" s="130"/>
      <c r="Z699" s="106"/>
    </row>
    <row r="700">
      <c r="C700" s="79"/>
      <c r="D700" s="79"/>
      <c r="J700" s="79"/>
      <c r="P700" s="79"/>
      <c r="Q700" s="79"/>
      <c r="T700" s="79"/>
      <c r="U700" s="79"/>
      <c r="X700" s="130"/>
      <c r="Z700" s="106"/>
    </row>
    <row r="701">
      <c r="C701" s="79"/>
      <c r="D701" s="79"/>
      <c r="J701" s="79"/>
      <c r="P701" s="79"/>
      <c r="Q701" s="79"/>
      <c r="T701" s="79"/>
      <c r="U701" s="79"/>
      <c r="X701" s="130"/>
      <c r="Z701" s="106"/>
    </row>
    <row r="702">
      <c r="C702" s="79"/>
      <c r="D702" s="79"/>
      <c r="J702" s="79"/>
      <c r="P702" s="79"/>
      <c r="Q702" s="79"/>
      <c r="T702" s="79"/>
      <c r="U702" s="79"/>
      <c r="X702" s="130"/>
      <c r="Z702" s="106"/>
    </row>
    <row r="703">
      <c r="C703" s="79"/>
      <c r="D703" s="79"/>
      <c r="J703" s="79"/>
      <c r="P703" s="79"/>
      <c r="Q703" s="79"/>
      <c r="T703" s="79"/>
      <c r="U703" s="79"/>
      <c r="X703" s="130"/>
      <c r="Z703" s="106"/>
    </row>
    <row r="704">
      <c r="C704" s="79"/>
      <c r="D704" s="79"/>
      <c r="J704" s="79"/>
      <c r="P704" s="79"/>
      <c r="Q704" s="79"/>
      <c r="T704" s="79"/>
      <c r="U704" s="79"/>
      <c r="X704" s="130"/>
      <c r="Z704" s="106"/>
    </row>
    <row r="705">
      <c r="C705" s="79"/>
      <c r="D705" s="79"/>
      <c r="J705" s="79"/>
      <c r="P705" s="79"/>
      <c r="Q705" s="79"/>
      <c r="T705" s="79"/>
      <c r="U705" s="79"/>
      <c r="X705" s="130"/>
      <c r="Z705" s="106"/>
    </row>
    <row r="706">
      <c r="C706" s="79"/>
      <c r="D706" s="79"/>
      <c r="J706" s="79"/>
      <c r="P706" s="79"/>
      <c r="Q706" s="79"/>
      <c r="T706" s="79"/>
      <c r="U706" s="79"/>
      <c r="X706" s="130"/>
      <c r="Z706" s="106"/>
    </row>
    <row r="707">
      <c r="C707" s="79"/>
      <c r="D707" s="79"/>
      <c r="J707" s="79"/>
      <c r="P707" s="79"/>
      <c r="Q707" s="79"/>
      <c r="T707" s="79"/>
      <c r="U707" s="79"/>
      <c r="X707" s="130"/>
      <c r="Z707" s="106"/>
    </row>
    <row r="708">
      <c r="C708" s="79"/>
      <c r="D708" s="79"/>
      <c r="J708" s="79"/>
      <c r="P708" s="79"/>
      <c r="Q708" s="79"/>
      <c r="T708" s="79"/>
      <c r="U708" s="79"/>
      <c r="X708" s="130"/>
      <c r="Z708" s="106"/>
    </row>
    <row r="709">
      <c r="C709" s="79"/>
      <c r="D709" s="79"/>
      <c r="J709" s="79"/>
      <c r="P709" s="79"/>
      <c r="Q709" s="79"/>
      <c r="T709" s="79"/>
      <c r="U709" s="79"/>
      <c r="X709" s="130"/>
      <c r="Z709" s="106"/>
    </row>
    <row r="710">
      <c r="C710" s="79"/>
      <c r="D710" s="79"/>
      <c r="J710" s="79"/>
      <c r="P710" s="79"/>
      <c r="Q710" s="79"/>
      <c r="T710" s="79"/>
      <c r="U710" s="79"/>
      <c r="X710" s="130"/>
      <c r="Z710" s="106"/>
    </row>
    <row r="711">
      <c r="C711" s="79"/>
      <c r="D711" s="79"/>
      <c r="J711" s="79"/>
      <c r="P711" s="79"/>
      <c r="Q711" s="79"/>
      <c r="T711" s="79"/>
      <c r="U711" s="79"/>
      <c r="X711" s="130"/>
      <c r="Z711" s="106"/>
    </row>
    <row r="712">
      <c r="C712" s="79"/>
      <c r="D712" s="79"/>
      <c r="J712" s="79"/>
      <c r="P712" s="79"/>
      <c r="Q712" s="79"/>
      <c r="T712" s="79"/>
      <c r="U712" s="79"/>
      <c r="X712" s="130"/>
      <c r="Z712" s="106"/>
    </row>
    <row r="713">
      <c r="C713" s="79"/>
      <c r="D713" s="79"/>
      <c r="J713" s="79"/>
      <c r="P713" s="79"/>
      <c r="Q713" s="79"/>
      <c r="T713" s="79"/>
      <c r="U713" s="79"/>
      <c r="X713" s="130"/>
      <c r="Z713" s="106"/>
    </row>
    <row r="714">
      <c r="C714" s="79"/>
      <c r="D714" s="79"/>
      <c r="J714" s="79"/>
      <c r="P714" s="79"/>
      <c r="Q714" s="79"/>
      <c r="T714" s="79"/>
      <c r="U714" s="79"/>
      <c r="X714" s="130"/>
      <c r="Z714" s="106"/>
    </row>
    <row r="715">
      <c r="C715" s="79"/>
      <c r="D715" s="79"/>
      <c r="J715" s="79"/>
      <c r="P715" s="79"/>
      <c r="Q715" s="79"/>
      <c r="T715" s="79"/>
      <c r="U715" s="79"/>
      <c r="X715" s="130"/>
      <c r="Z715" s="106"/>
    </row>
    <row r="716">
      <c r="C716" s="79"/>
      <c r="D716" s="79"/>
      <c r="J716" s="79"/>
      <c r="P716" s="79"/>
      <c r="Q716" s="79"/>
      <c r="T716" s="79"/>
      <c r="U716" s="79"/>
      <c r="X716" s="130"/>
      <c r="Z716" s="106"/>
    </row>
    <row r="717">
      <c r="C717" s="79"/>
      <c r="D717" s="79"/>
      <c r="J717" s="79"/>
      <c r="P717" s="79"/>
      <c r="Q717" s="79"/>
      <c r="T717" s="79"/>
      <c r="U717" s="79"/>
      <c r="X717" s="130"/>
      <c r="Z717" s="106"/>
    </row>
    <row r="718">
      <c r="C718" s="79"/>
      <c r="D718" s="79"/>
      <c r="J718" s="79"/>
      <c r="P718" s="79"/>
      <c r="Q718" s="79"/>
      <c r="T718" s="79"/>
      <c r="U718" s="79"/>
      <c r="X718" s="130"/>
      <c r="Z718" s="106"/>
    </row>
    <row r="719">
      <c r="C719" s="79"/>
      <c r="D719" s="79"/>
      <c r="J719" s="79"/>
      <c r="P719" s="79"/>
      <c r="Q719" s="79"/>
      <c r="T719" s="79"/>
      <c r="U719" s="79"/>
      <c r="X719" s="130"/>
      <c r="Z719" s="106"/>
    </row>
    <row r="720">
      <c r="C720" s="79"/>
      <c r="D720" s="79"/>
      <c r="J720" s="79"/>
      <c r="P720" s="79"/>
      <c r="Q720" s="79"/>
      <c r="T720" s="79"/>
      <c r="U720" s="79"/>
      <c r="X720" s="130"/>
      <c r="Z720" s="106"/>
    </row>
    <row r="721">
      <c r="C721" s="79"/>
      <c r="D721" s="79"/>
      <c r="J721" s="79"/>
      <c r="P721" s="79"/>
      <c r="Q721" s="79"/>
      <c r="T721" s="79"/>
      <c r="U721" s="79"/>
      <c r="X721" s="130"/>
      <c r="Z721" s="106"/>
    </row>
    <row r="722">
      <c r="C722" s="79"/>
      <c r="D722" s="79"/>
      <c r="J722" s="79"/>
      <c r="P722" s="79"/>
      <c r="Q722" s="79"/>
      <c r="T722" s="79"/>
      <c r="U722" s="79"/>
      <c r="X722" s="130"/>
      <c r="Z722" s="106"/>
    </row>
    <row r="723">
      <c r="C723" s="79"/>
      <c r="D723" s="79"/>
      <c r="J723" s="79"/>
      <c r="P723" s="79"/>
      <c r="Q723" s="79"/>
      <c r="T723" s="79"/>
      <c r="U723" s="79"/>
      <c r="X723" s="130"/>
      <c r="Z723" s="106"/>
    </row>
    <row r="724">
      <c r="C724" s="79"/>
      <c r="D724" s="79"/>
      <c r="J724" s="79"/>
      <c r="P724" s="79"/>
      <c r="Q724" s="79"/>
      <c r="T724" s="79"/>
      <c r="U724" s="79"/>
      <c r="X724" s="130"/>
      <c r="Z724" s="106"/>
    </row>
    <row r="725">
      <c r="C725" s="79"/>
      <c r="D725" s="79"/>
      <c r="J725" s="79"/>
      <c r="P725" s="79"/>
      <c r="Q725" s="79"/>
      <c r="T725" s="79"/>
      <c r="U725" s="79"/>
      <c r="X725" s="130"/>
      <c r="Z725" s="106"/>
    </row>
    <row r="726">
      <c r="C726" s="79"/>
      <c r="D726" s="79"/>
      <c r="J726" s="79"/>
      <c r="P726" s="79"/>
      <c r="Q726" s="79"/>
      <c r="T726" s="79"/>
      <c r="U726" s="79"/>
      <c r="X726" s="130"/>
      <c r="Z726" s="106"/>
    </row>
    <row r="727">
      <c r="C727" s="79"/>
      <c r="D727" s="79"/>
      <c r="J727" s="79"/>
      <c r="P727" s="79"/>
      <c r="Q727" s="79"/>
      <c r="T727" s="79"/>
      <c r="U727" s="79"/>
      <c r="X727" s="130"/>
      <c r="Z727" s="106"/>
    </row>
    <row r="728">
      <c r="C728" s="79"/>
      <c r="D728" s="79"/>
      <c r="J728" s="79"/>
      <c r="P728" s="79"/>
      <c r="Q728" s="79"/>
      <c r="T728" s="79"/>
      <c r="U728" s="79"/>
      <c r="X728" s="130"/>
      <c r="Z728" s="106"/>
    </row>
    <row r="729">
      <c r="C729" s="79"/>
      <c r="D729" s="79"/>
      <c r="J729" s="79"/>
      <c r="P729" s="79"/>
      <c r="Q729" s="79"/>
      <c r="T729" s="79"/>
      <c r="U729" s="79"/>
      <c r="X729" s="130"/>
      <c r="Z729" s="106"/>
    </row>
    <row r="730">
      <c r="C730" s="79"/>
      <c r="D730" s="79"/>
      <c r="J730" s="79"/>
      <c r="P730" s="79"/>
      <c r="Q730" s="79"/>
      <c r="T730" s="79"/>
      <c r="U730" s="79"/>
      <c r="X730" s="130"/>
      <c r="Z730" s="106"/>
    </row>
    <row r="731">
      <c r="C731" s="79"/>
      <c r="D731" s="79"/>
      <c r="J731" s="79"/>
      <c r="P731" s="79"/>
      <c r="Q731" s="79"/>
      <c r="T731" s="79"/>
      <c r="U731" s="79"/>
      <c r="X731" s="130"/>
      <c r="Z731" s="106"/>
    </row>
    <row r="732">
      <c r="C732" s="79"/>
      <c r="D732" s="79"/>
      <c r="J732" s="79"/>
      <c r="P732" s="79"/>
      <c r="Q732" s="79"/>
      <c r="T732" s="79"/>
      <c r="U732" s="79"/>
      <c r="X732" s="130"/>
      <c r="Z732" s="106"/>
    </row>
    <row r="733">
      <c r="C733" s="79"/>
      <c r="D733" s="79"/>
      <c r="J733" s="79"/>
      <c r="P733" s="79"/>
      <c r="Q733" s="79"/>
      <c r="T733" s="79"/>
      <c r="U733" s="79"/>
      <c r="X733" s="130"/>
      <c r="Z733" s="106"/>
    </row>
    <row r="734">
      <c r="C734" s="79"/>
      <c r="D734" s="79"/>
      <c r="J734" s="79"/>
      <c r="P734" s="79"/>
      <c r="Q734" s="79"/>
      <c r="T734" s="79"/>
      <c r="U734" s="79"/>
      <c r="X734" s="130"/>
      <c r="Z734" s="106"/>
    </row>
    <row r="735">
      <c r="C735" s="79"/>
      <c r="D735" s="79"/>
      <c r="J735" s="79"/>
      <c r="P735" s="79"/>
      <c r="Q735" s="79"/>
      <c r="T735" s="79"/>
      <c r="U735" s="79"/>
      <c r="X735" s="130"/>
      <c r="Z735" s="106"/>
    </row>
    <row r="736">
      <c r="C736" s="79"/>
      <c r="D736" s="79"/>
      <c r="J736" s="79"/>
      <c r="P736" s="79"/>
      <c r="Q736" s="79"/>
      <c r="T736" s="79"/>
      <c r="U736" s="79"/>
      <c r="X736" s="130"/>
      <c r="Z736" s="106"/>
    </row>
    <row r="737">
      <c r="C737" s="79"/>
      <c r="D737" s="79"/>
      <c r="J737" s="79"/>
      <c r="P737" s="79"/>
      <c r="Q737" s="79"/>
      <c r="T737" s="79"/>
      <c r="U737" s="79"/>
      <c r="X737" s="130"/>
      <c r="Z737" s="106"/>
    </row>
    <row r="738">
      <c r="C738" s="79"/>
      <c r="D738" s="79"/>
      <c r="J738" s="79"/>
      <c r="P738" s="79"/>
      <c r="Q738" s="79"/>
      <c r="T738" s="79"/>
      <c r="U738" s="79"/>
      <c r="X738" s="130"/>
      <c r="Z738" s="106"/>
    </row>
    <row r="739">
      <c r="C739" s="79"/>
      <c r="D739" s="79"/>
      <c r="J739" s="79"/>
      <c r="P739" s="79"/>
      <c r="Q739" s="79"/>
      <c r="T739" s="79"/>
      <c r="U739" s="79"/>
      <c r="X739" s="130"/>
      <c r="Z739" s="106"/>
    </row>
    <row r="740">
      <c r="C740" s="79"/>
      <c r="D740" s="79"/>
      <c r="J740" s="79"/>
      <c r="P740" s="79"/>
      <c r="Q740" s="79"/>
      <c r="T740" s="79"/>
      <c r="U740" s="79"/>
      <c r="X740" s="130"/>
      <c r="Z740" s="106"/>
    </row>
    <row r="741">
      <c r="C741" s="79"/>
      <c r="D741" s="79"/>
      <c r="J741" s="79"/>
      <c r="P741" s="79"/>
      <c r="Q741" s="79"/>
      <c r="T741" s="79"/>
      <c r="U741" s="79"/>
      <c r="X741" s="130"/>
      <c r="Z741" s="106"/>
    </row>
    <row r="742">
      <c r="C742" s="79"/>
      <c r="D742" s="79"/>
      <c r="J742" s="79"/>
      <c r="P742" s="79"/>
      <c r="Q742" s="79"/>
      <c r="T742" s="79"/>
      <c r="U742" s="79"/>
      <c r="X742" s="130"/>
      <c r="Z742" s="106"/>
    </row>
    <row r="743">
      <c r="C743" s="79"/>
      <c r="D743" s="79"/>
      <c r="J743" s="79"/>
      <c r="P743" s="79"/>
      <c r="Q743" s="79"/>
      <c r="T743" s="79"/>
      <c r="U743" s="79"/>
      <c r="X743" s="130"/>
      <c r="Z743" s="106"/>
    </row>
    <row r="744">
      <c r="C744" s="79"/>
      <c r="D744" s="79"/>
      <c r="J744" s="79"/>
      <c r="P744" s="79"/>
      <c r="Q744" s="79"/>
      <c r="T744" s="79"/>
      <c r="U744" s="79"/>
      <c r="X744" s="130"/>
      <c r="Z744" s="106"/>
    </row>
    <row r="745">
      <c r="C745" s="79"/>
      <c r="D745" s="79"/>
      <c r="J745" s="79"/>
      <c r="P745" s="79"/>
      <c r="Q745" s="79"/>
      <c r="T745" s="79"/>
      <c r="U745" s="79"/>
      <c r="X745" s="130"/>
      <c r="Z745" s="106"/>
    </row>
    <row r="746">
      <c r="C746" s="79"/>
      <c r="D746" s="79"/>
      <c r="J746" s="79"/>
      <c r="P746" s="79"/>
      <c r="Q746" s="79"/>
      <c r="T746" s="79"/>
      <c r="U746" s="79"/>
      <c r="X746" s="130"/>
      <c r="Z746" s="106"/>
    </row>
    <row r="747">
      <c r="C747" s="79"/>
      <c r="D747" s="79"/>
      <c r="J747" s="79"/>
      <c r="P747" s="79"/>
      <c r="Q747" s="79"/>
      <c r="T747" s="79"/>
      <c r="U747" s="79"/>
      <c r="X747" s="130"/>
      <c r="Z747" s="106"/>
    </row>
    <row r="748">
      <c r="C748" s="79"/>
      <c r="D748" s="79"/>
      <c r="J748" s="79"/>
      <c r="P748" s="79"/>
      <c r="Q748" s="79"/>
      <c r="T748" s="79"/>
      <c r="U748" s="79"/>
      <c r="X748" s="130"/>
      <c r="Z748" s="106"/>
    </row>
    <row r="749">
      <c r="C749" s="79"/>
      <c r="D749" s="79"/>
      <c r="J749" s="79"/>
      <c r="P749" s="79"/>
      <c r="Q749" s="79"/>
      <c r="T749" s="79"/>
      <c r="U749" s="79"/>
      <c r="X749" s="130"/>
      <c r="Z749" s="106"/>
    </row>
    <row r="750">
      <c r="C750" s="79"/>
      <c r="D750" s="79"/>
      <c r="J750" s="79"/>
      <c r="P750" s="79"/>
      <c r="Q750" s="79"/>
      <c r="T750" s="79"/>
      <c r="U750" s="79"/>
      <c r="X750" s="130"/>
      <c r="Z750" s="106"/>
    </row>
    <row r="751">
      <c r="C751" s="79"/>
      <c r="D751" s="79"/>
      <c r="J751" s="79"/>
      <c r="P751" s="79"/>
      <c r="Q751" s="79"/>
      <c r="T751" s="79"/>
      <c r="U751" s="79"/>
      <c r="X751" s="130"/>
      <c r="Z751" s="106"/>
    </row>
    <row r="752">
      <c r="C752" s="79"/>
      <c r="D752" s="79"/>
      <c r="J752" s="79"/>
      <c r="P752" s="79"/>
      <c r="Q752" s="79"/>
      <c r="T752" s="79"/>
      <c r="U752" s="79"/>
      <c r="X752" s="130"/>
      <c r="Z752" s="106"/>
    </row>
    <row r="753">
      <c r="C753" s="79"/>
      <c r="D753" s="79"/>
      <c r="J753" s="79"/>
      <c r="P753" s="79"/>
      <c r="Q753" s="79"/>
      <c r="T753" s="79"/>
      <c r="U753" s="79"/>
      <c r="X753" s="130"/>
      <c r="Z753" s="106"/>
    </row>
    <row r="754">
      <c r="C754" s="79"/>
      <c r="D754" s="79"/>
      <c r="J754" s="79"/>
      <c r="P754" s="79"/>
      <c r="Q754" s="79"/>
      <c r="T754" s="79"/>
      <c r="U754" s="79"/>
      <c r="X754" s="130"/>
      <c r="Z754" s="106"/>
    </row>
    <row r="755">
      <c r="C755" s="79"/>
      <c r="D755" s="79"/>
      <c r="J755" s="79"/>
      <c r="P755" s="79"/>
      <c r="Q755" s="79"/>
      <c r="T755" s="79"/>
      <c r="U755" s="79"/>
      <c r="X755" s="130"/>
      <c r="Z755" s="106"/>
    </row>
    <row r="756">
      <c r="C756" s="79"/>
      <c r="D756" s="79"/>
      <c r="J756" s="79"/>
      <c r="P756" s="79"/>
      <c r="Q756" s="79"/>
      <c r="T756" s="79"/>
      <c r="U756" s="79"/>
      <c r="X756" s="130"/>
      <c r="Z756" s="106"/>
    </row>
    <row r="757">
      <c r="C757" s="79"/>
      <c r="D757" s="79"/>
      <c r="J757" s="79"/>
      <c r="P757" s="79"/>
      <c r="Q757" s="79"/>
      <c r="T757" s="79"/>
      <c r="U757" s="79"/>
      <c r="X757" s="130"/>
      <c r="Z757" s="106"/>
    </row>
    <row r="758">
      <c r="C758" s="79"/>
      <c r="D758" s="79"/>
      <c r="J758" s="79"/>
      <c r="P758" s="79"/>
      <c r="Q758" s="79"/>
      <c r="T758" s="79"/>
      <c r="U758" s="79"/>
      <c r="X758" s="130"/>
      <c r="Z758" s="106"/>
    </row>
    <row r="759">
      <c r="C759" s="79"/>
      <c r="D759" s="79"/>
      <c r="J759" s="79"/>
      <c r="P759" s="79"/>
      <c r="Q759" s="79"/>
      <c r="T759" s="79"/>
      <c r="U759" s="79"/>
      <c r="X759" s="130"/>
      <c r="Z759" s="106"/>
    </row>
    <row r="760">
      <c r="C760" s="79"/>
      <c r="D760" s="79"/>
      <c r="J760" s="79"/>
      <c r="P760" s="79"/>
      <c r="Q760" s="79"/>
      <c r="T760" s="79"/>
      <c r="U760" s="79"/>
      <c r="X760" s="130"/>
      <c r="Z760" s="106"/>
    </row>
    <row r="761">
      <c r="C761" s="79"/>
      <c r="D761" s="79"/>
      <c r="J761" s="79"/>
      <c r="P761" s="79"/>
      <c r="Q761" s="79"/>
      <c r="T761" s="79"/>
      <c r="U761" s="79"/>
      <c r="X761" s="130"/>
      <c r="Z761" s="106"/>
    </row>
    <row r="762">
      <c r="C762" s="79"/>
      <c r="D762" s="79"/>
      <c r="J762" s="79"/>
      <c r="P762" s="79"/>
      <c r="Q762" s="79"/>
      <c r="T762" s="79"/>
      <c r="U762" s="79"/>
      <c r="X762" s="130"/>
      <c r="Z762" s="106"/>
    </row>
    <row r="763">
      <c r="C763" s="79"/>
      <c r="D763" s="79"/>
      <c r="J763" s="79"/>
      <c r="P763" s="79"/>
      <c r="Q763" s="79"/>
      <c r="T763" s="79"/>
      <c r="U763" s="79"/>
      <c r="X763" s="130"/>
      <c r="Z763" s="106"/>
    </row>
    <row r="764">
      <c r="C764" s="79"/>
      <c r="D764" s="79"/>
      <c r="J764" s="79"/>
      <c r="P764" s="79"/>
      <c r="Q764" s="79"/>
      <c r="T764" s="79"/>
      <c r="U764" s="79"/>
      <c r="X764" s="130"/>
      <c r="Z764" s="106"/>
    </row>
    <row r="765">
      <c r="C765" s="79"/>
      <c r="D765" s="79"/>
      <c r="J765" s="79"/>
      <c r="P765" s="79"/>
      <c r="Q765" s="79"/>
      <c r="T765" s="79"/>
      <c r="U765" s="79"/>
      <c r="X765" s="130"/>
      <c r="Z765" s="106"/>
    </row>
    <row r="766">
      <c r="C766" s="79"/>
      <c r="D766" s="79"/>
      <c r="J766" s="79"/>
      <c r="P766" s="79"/>
      <c r="Q766" s="79"/>
      <c r="T766" s="79"/>
      <c r="U766" s="79"/>
      <c r="X766" s="130"/>
      <c r="Z766" s="106"/>
    </row>
    <row r="767">
      <c r="C767" s="79"/>
      <c r="D767" s="79"/>
      <c r="J767" s="79"/>
      <c r="P767" s="79"/>
      <c r="Q767" s="79"/>
      <c r="T767" s="79"/>
      <c r="U767" s="79"/>
      <c r="X767" s="130"/>
      <c r="Z767" s="106"/>
    </row>
    <row r="768">
      <c r="C768" s="79"/>
      <c r="D768" s="79"/>
      <c r="J768" s="79"/>
      <c r="P768" s="79"/>
      <c r="Q768" s="79"/>
      <c r="T768" s="79"/>
      <c r="U768" s="79"/>
      <c r="X768" s="130"/>
      <c r="Z768" s="106"/>
    </row>
    <row r="769">
      <c r="C769" s="79"/>
      <c r="D769" s="79"/>
      <c r="J769" s="79"/>
      <c r="P769" s="79"/>
      <c r="Q769" s="79"/>
      <c r="T769" s="79"/>
      <c r="U769" s="79"/>
      <c r="X769" s="130"/>
      <c r="Z769" s="106"/>
    </row>
    <row r="770">
      <c r="C770" s="79"/>
      <c r="D770" s="79"/>
      <c r="J770" s="79"/>
      <c r="P770" s="79"/>
      <c r="Q770" s="79"/>
      <c r="T770" s="79"/>
      <c r="U770" s="79"/>
      <c r="X770" s="130"/>
      <c r="Z770" s="106"/>
    </row>
    <row r="771">
      <c r="C771" s="79"/>
      <c r="D771" s="79"/>
      <c r="J771" s="79"/>
      <c r="P771" s="79"/>
      <c r="Q771" s="79"/>
      <c r="T771" s="79"/>
      <c r="U771" s="79"/>
      <c r="X771" s="130"/>
      <c r="Z771" s="106"/>
    </row>
    <row r="772">
      <c r="C772" s="79"/>
      <c r="D772" s="79"/>
      <c r="J772" s="79"/>
      <c r="P772" s="79"/>
      <c r="Q772" s="79"/>
      <c r="T772" s="79"/>
      <c r="U772" s="79"/>
      <c r="X772" s="130"/>
      <c r="Z772" s="106"/>
    </row>
    <row r="773">
      <c r="C773" s="79"/>
      <c r="D773" s="79"/>
      <c r="J773" s="79"/>
      <c r="P773" s="79"/>
      <c r="Q773" s="79"/>
      <c r="T773" s="79"/>
      <c r="U773" s="79"/>
      <c r="X773" s="130"/>
      <c r="Z773" s="106"/>
    </row>
    <row r="774">
      <c r="C774" s="79"/>
      <c r="D774" s="79"/>
      <c r="J774" s="79"/>
      <c r="P774" s="79"/>
      <c r="Q774" s="79"/>
      <c r="T774" s="79"/>
      <c r="U774" s="79"/>
      <c r="X774" s="130"/>
      <c r="Z774" s="106"/>
    </row>
    <row r="775">
      <c r="C775" s="79"/>
      <c r="D775" s="79"/>
      <c r="J775" s="79"/>
      <c r="P775" s="79"/>
      <c r="Q775" s="79"/>
      <c r="T775" s="79"/>
      <c r="U775" s="79"/>
      <c r="X775" s="130"/>
      <c r="Z775" s="106"/>
    </row>
    <row r="776">
      <c r="C776" s="79"/>
      <c r="D776" s="79"/>
      <c r="J776" s="79"/>
      <c r="P776" s="79"/>
      <c r="Q776" s="79"/>
      <c r="T776" s="79"/>
      <c r="U776" s="79"/>
      <c r="X776" s="130"/>
      <c r="Z776" s="106"/>
    </row>
    <row r="777">
      <c r="C777" s="79"/>
      <c r="D777" s="79"/>
      <c r="J777" s="79"/>
      <c r="P777" s="79"/>
      <c r="Q777" s="79"/>
      <c r="T777" s="79"/>
      <c r="U777" s="79"/>
      <c r="X777" s="130"/>
      <c r="Z777" s="106"/>
    </row>
    <row r="778">
      <c r="C778" s="79"/>
      <c r="D778" s="79"/>
      <c r="J778" s="79"/>
      <c r="P778" s="79"/>
      <c r="Q778" s="79"/>
      <c r="T778" s="79"/>
      <c r="U778" s="79"/>
      <c r="X778" s="130"/>
      <c r="Z778" s="106"/>
    </row>
    <row r="779">
      <c r="C779" s="79"/>
      <c r="D779" s="79"/>
      <c r="J779" s="79"/>
      <c r="P779" s="79"/>
      <c r="Q779" s="79"/>
      <c r="T779" s="79"/>
      <c r="U779" s="79"/>
      <c r="X779" s="130"/>
      <c r="Z779" s="106"/>
    </row>
    <row r="780">
      <c r="C780" s="79"/>
      <c r="D780" s="79"/>
      <c r="J780" s="79"/>
      <c r="P780" s="79"/>
      <c r="Q780" s="79"/>
      <c r="T780" s="79"/>
      <c r="U780" s="79"/>
      <c r="X780" s="130"/>
      <c r="Z780" s="106"/>
    </row>
    <row r="781">
      <c r="C781" s="79"/>
      <c r="D781" s="79"/>
      <c r="J781" s="79"/>
      <c r="P781" s="79"/>
      <c r="Q781" s="79"/>
      <c r="T781" s="79"/>
      <c r="U781" s="79"/>
      <c r="X781" s="130"/>
      <c r="Z781" s="106"/>
    </row>
    <row r="782">
      <c r="C782" s="79"/>
      <c r="D782" s="79"/>
      <c r="J782" s="79"/>
      <c r="P782" s="79"/>
      <c r="Q782" s="79"/>
      <c r="T782" s="79"/>
      <c r="U782" s="79"/>
      <c r="X782" s="130"/>
      <c r="Z782" s="106"/>
    </row>
    <row r="783">
      <c r="C783" s="79"/>
      <c r="D783" s="79"/>
      <c r="J783" s="79"/>
      <c r="P783" s="79"/>
      <c r="Q783" s="79"/>
      <c r="T783" s="79"/>
      <c r="U783" s="79"/>
      <c r="X783" s="130"/>
      <c r="Z783" s="106"/>
    </row>
    <row r="784">
      <c r="C784" s="79"/>
      <c r="D784" s="79"/>
      <c r="J784" s="79"/>
      <c r="P784" s="79"/>
      <c r="Q784" s="79"/>
      <c r="T784" s="79"/>
      <c r="U784" s="79"/>
      <c r="X784" s="130"/>
      <c r="Z784" s="106"/>
    </row>
    <row r="785">
      <c r="C785" s="79"/>
      <c r="D785" s="79"/>
      <c r="J785" s="79"/>
      <c r="P785" s="79"/>
      <c r="Q785" s="79"/>
      <c r="T785" s="79"/>
      <c r="U785" s="79"/>
      <c r="X785" s="130"/>
      <c r="Z785" s="106"/>
    </row>
    <row r="786">
      <c r="C786" s="79"/>
      <c r="D786" s="79"/>
      <c r="J786" s="79"/>
      <c r="P786" s="79"/>
      <c r="Q786" s="79"/>
      <c r="T786" s="79"/>
      <c r="U786" s="79"/>
      <c r="X786" s="130"/>
      <c r="Z786" s="106"/>
    </row>
    <row r="787">
      <c r="C787" s="79"/>
      <c r="D787" s="79"/>
      <c r="J787" s="79"/>
      <c r="P787" s="79"/>
      <c r="Q787" s="79"/>
      <c r="T787" s="79"/>
      <c r="U787" s="79"/>
      <c r="X787" s="130"/>
      <c r="Z787" s="106"/>
    </row>
    <row r="788">
      <c r="C788" s="79"/>
      <c r="D788" s="79"/>
      <c r="J788" s="79"/>
      <c r="P788" s="79"/>
      <c r="Q788" s="79"/>
      <c r="T788" s="79"/>
      <c r="U788" s="79"/>
      <c r="X788" s="130"/>
      <c r="Z788" s="106"/>
    </row>
    <row r="789">
      <c r="C789" s="79"/>
      <c r="D789" s="79"/>
      <c r="J789" s="79"/>
      <c r="P789" s="79"/>
      <c r="Q789" s="79"/>
      <c r="T789" s="79"/>
      <c r="U789" s="79"/>
      <c r="X789" s="130"/>
      <c r="Z789" s="106"/>
    </row>
    <row r="790">
      <c r="C790" s="79"/>
      <c r="D790" s="79"/>
      <c r="J790" s="79"/>
      <c r="P790" s="79"/>
      <c r="Q790" s="79"/>
      <c r="T790" s="79"/>
      <c r="U790" s="79"/>
      <c r="X790" s="130"/>
      <c r="Z790" s="106"/>
    </row>
    <row r="791">
      <c r="C791" s="79"/>
      <c r="D791" s="79"/>
      <c r="J791" s="79"/>
      <c r="P791" s="79"/>
      <c r="Q791" s="79"/>
      <c r="T791" s="79"/>
      <c r="U791" s="79"/>
      <c r="X791" s="130"/>
      <c r="Z791" s="106"/>
    </row>
    <row r="792">
      <c r="C792" s="79"/>
      <c r="D792" s="79"/>
      <c r="J792" s="79"/>
      <c r="P792" s="79"/>
      <c r="Q792" s="79"/>
      <c r="T792" s="79"/>
      <c r="U792" s="79"/>
      <c r="X792" s="130"/>
      <c r="Z792" s="106"/>
    </row>
    <row r="793">
      <c r="C793" s="79"/>
      <c r="D793" s="79"/>
      <c r="J793" s="79"/>
      <c r="P793" s="79"/>
      <c r="Q793" s="79"/>
      <c r="T793" s="79"/>
      <c r="U793" s="79"/>
      <c r="X793" s="130"/>
      <c r="Z793" s="106"/>
    </row>
    <row r="794">
      <c r="C794" s="79"/>
      <c r="D794" s="79"/>
      <c r="J794" s="79"/>
      <c r="P794" s="79"/>
      <c r="Q794" s="79"/>
      <c r="T794" s="79"/>
      <c r="U794" s="79"/>
      <c r="X794" s="130"/>
      <c r="Z794" s="106"/>
    </row>
    <row r="795">
      <c r="C795" s="79"/>
      <c r="D795" s="79"/>
      <c r="J795" s="79"/>
      <c r="P795" s="79"/>
      <c r="Q795" s="79"/>
      <c r="T795" s="79"/>
      <c r="U795" s="79"/>
      <c r="X795" s="130"/>
      <c r="Z795" s="106"/>
    </row>
    <row r="796">
      <c r="C796" s="79"/>
      <c r="D796" s="79"/>
      <c r="J796" s="79"/>
      <c r="P796" s="79"/>
      <c r="Q796" s="79"/>
      <c r="T796" s="79"/>
      <c r="U796" s="79"/>
      <c r="X796" s="130"/>
      <c r="Z796" s="106"/>
    </row>
    <row r="797">
      <c r="C797" s="79"/>
      <c r="D797" s="79"/>
      <c r="J797" s="79"/>
      <c r="P797" s="79"/>
      <c r="Q797" s="79"/>
      <c r="T797" s="79"/>
      <c r="U797" s="79"/>
      <c r="X797" s="130"/>
      <c r="Z797" s="106"/>
    </row>
    <row r="798">
      <c r="C798" s="79"/>
      <c r="D798" s="79"/>
      <c r="J798" s="79"/>
      <c r="P798" s="79"/>
      <c r="Q798" s="79"/>
      <c r="T798" s="79"/>
      <c r="U798" s="79"/>
      <c r="X798" s="130"/>
      <c r="Z798" s="106"/>
    </row>
    <row r="799">
      <c r="C799" s="79"/>
      <c r="D799" s="79"/>
      <c r="J799" s="79"/>
      <c r="P799" s="79"/>
      <c r="Q799" s="79"/>
      <c r="T799" s="79"/>
      <c r="U799" s="79"/>
      <c r="X799" s="130"/>
      <c r="Z799" s="106"/>
    </row>
    <row r="800">
      <c r="C800" s="79"/>
      <c r="D800" s="79"/>
      <c r="J800" s="79"/>
      <c r="P800" s="79"/>
      <c r="Q800" s="79"/>
      <c r="T800" s="79"/>
      <c r="U800" s="79"/>
      <c r="X800" s="130"/>
      <c r="Z800" s="106"/>
    </row>
    <row r="801">
      <c r="C801" s="79"/>
      <c r="D801" s="79"/>
      <c r="J801" s="79"/>
      <c r="P801" s="79"/>
      <c r="Q801" s="79"/>
      <c r="T801" s="79"/>
      <c r="U801" s="79"/>
      <c r="X801" s="130"/>
      <c r="Z801" s="106"/>
    </row>
    <row r="802">
      <c r="C802" s="79"/>
      <c r="D802" s="79"/>
      <c r="J802" s="79"/>
      <c r="P802" s="79"/>
      <c r="Q802" s="79"/>
      <c r="T802" s="79"/>
      <c r="U802" s="79"/>
      <c r="X802" s="130"/>
      <c r="Z802" s="106"/>
    </row>
    <row r="803">
      <c r="C803" s="79"/>
      <c r="D803" s="79"/>
      <c r="J803" s="79"/>
      <c r="P803" s="79"/>
      <c r="Q803" s="79"/>
      <c r="T803" s="79"/>
      <c r="U803" s="79"/>
      <c r="X803" s="130"/>
      <c r="Z803" s="106"/>
    </row>
    <row r="804">
      <c r="C804" s="79"/>
      <c r="D804" s="79"/>
      <c r="J804" s="79"/>
      <c r="P804" s="79"/>
      <c r="Q804" s="79"/>
      <c r="T804" s="79"/>
      <c r="U804" s="79"/>
      <c r="X804" s="130"/>
      <c r="Z804" s="106"/>
    </row>
    <row r="805">
      <c r="C805" s="79"/>
      <c r="D805" s="79"/>
      <c r="J805" s="79"/>
      <c r="P805" s="79"/>
      <c r="Q805" s="79"/>
      <c r="T805" s="79"/>
      <c r="U805" s="79"/>
      <c r="X805" s="130"/>
      <c r="Z805" s="106"/>
    </row>
    <row r="806">
      <c r="C806" s="79"/>
      <c r="D806" s="79"/>
      <c r="J806" s="79"/>
      <c r="P806" s="79"/>
      <c r="Q806" s="79"/>
      <c r="T806" s="79"/>
      <c r="U806" s="79"/>
      <c r="X806" s="130"/>
      <c r="Z806" s="106"/>
    </row>
    <row r="807">
      <c r="C807" s="79"/>
      <c r="D807" s="79"/>
      <c r="J807" s="79"/>
      <c r="P807" s="79"/>
      <c r="Q807" s="79"/>
      <c r="T807" s="79"/>
      <c r="U807" s="79"/>
      <c r="X807" s="130"/>
      <c r="Z807" s="106"/>
    </row>
    <row r="808">
      <c r="C808" s="79"/>
      <c r="D808" s="79"/>
      <c r="J808" s="79"/>
      <c r="P808" s="79"/>
      <c r="Q808" s="79"/>
      <c r="T808" s="79"/>
      <c r="U808" s="79"/>
      <c r="X808" s="130"/>
      <c r="Z808" s="106"/>
    </row>
    <row r="809">
      <c r="C809" s="79"/>
      <c r="D809" s="79"/>
      <c r="J809" s="79"/>
      <c r="P809" s="79"/>
      <c r="Q809" s="79"/>
      <c r="T809" s="79"/>
      <c r="U809" s="79"/>
      <c r="X809" s="130"/>
      <c r="Z809" s="106"/>
    </row>
    <row r="810">
      <c r="C810" s="79"/>
      <c r="D810" s="79"/>
      <c r="J810" s="79"/>
      <c r="P810" s="79"/>
      <c r="Q810" s="79"/>
      <c r="T810" s="79"/>
      <c r="U810" s="79"/>
      <c r="X810" s="130"/>
      <c r="Z810" s="106"/>
    </row>
    <row r="811">
      <c r="C811" s="79"/>
      <c r="D811" s="79"/>
      <c r="J811" s="79"/>
      <c r="P811" s="79"/>
      <c r="Q811" s="79"/>
      <c r="T811" s="79"/>
      <c r="U811" s="79"/>
      <c r="X811" s="130"/>
      <c r="Z811" s="106"/>
    </row>
    <row r="812">
      <c r="C812" s="79"/>
      <c r="D812" s="79"/>
      <c r="J812" s="79"/>
      <c r="P812" s="79"/>
      <c r="Q812" s="79"/>
      <c r="T812" s="79"/>
      <c r="U812" s="79"/>
      <c r="X812" s="130"/>
      <c r="Z812" s="106"/>
    </row>
    <row r="813">
      <c r="C813" s="79"/>
      <c r="D813" s="79"/>
      <c r="J813" s="79"/>
      <c r="P813" s="79"/>
      <c r="Q813" s="79"/>
      <c r="T813" s="79"/>
      <c r="U813" s="79"/>
      <c r="X813" s="130"/>
      <c r="Z813" s="106"/>
    </row>
    <row r="814">
      <c r="C814" s="79"/>
      <c r="D814" s="79"/>
      <c r="J814" s="79"/>
      <c r="P814" s="79"/>
      <c r="Q814" s="79"/>
      <c r="T814" s="79"/>
      <c r="U814" s="79"/>
      <c r="X814" s="130"/>
      <c r="Z814" s="106"/>
    </row>
    <row r="815">
      <c r="C815" s="79"/>
      <c r="D815" s="79"/>
      <c r="J815" s="79"/>
      <c r="P815" s="79"/>
      <c r="Q815" s="79"/>
      <c r="T815" s="79"/>
      <c r="U815" s="79"/>
      <c r="X815" s="130"/>
      <c r="Z815" s="106"/>
    </row>
    <row r="816">
      <c r="C816" s="79"/>
      <c r="D816" s="79"/>
      <c r="J816" s="79"/>
      <c r="P816" s="79"/>
      <c r="Q816" s="79"/>
      <c r="T816" s="79"/>
      <c r="U816" s="79"/>
      <c r="X816" s="130"/>
      <c r="Z816" s="106"/>
    </row>
    <row r="817">
      <c r="C817" s="79"/>
      <c r="D817" s="79"/>
      <c r="J817" s="79"/>
      <c r="P817" s="79"/>
      <c r="Q817" s="79"/>
      <c r="T817" s="79"/>
      <c r="U817" s="79"/>
      <c r="X817" s="130"/>
      <c r="Z817" s="106"/>
    </row>
    <row r="818">
      <c r="C818" s="79"/>
      <c r="D818" s="79"/>
      <c r="J818" s="79"/>
      <c r="P818" s="79"/>
      <c r="Q818" s="79"/>
      <c r="T818" s="79"/>
      <c r="U818" s="79"/>
      <c r="X818" s="130"/>
      <c r="Z818" s="106"/>
    </row>
    <row r="819">
      <c r="C819" s="79"/>
      <c r="D819" s="79"/>
      <c r="J819" s="79"/>
      <c r="P819" s="79"/>
      <c r="Q819" s="79"/>
      <c r="T819" s="79"/>
      <c r="U819" s="79"/>
      <c r="X819" s="130"/>
      <c r="Z819" s="106"/>
    </row>
    <row r="820">
      <c r="C820" s="79"/>
      <c r="D820" s="79"/>
      <c r="J820" s="79"/>
      <c r="P820" s="79"/>
      <c r="Q820" s="79"/>
      <c r="T820" s="79"/>
      <c r="U820" s="79"/>
      <c r="X820" s="130"/>
      <c r="Z820" s="106"/>
    </row>
    <row r="821">
      <c r="C821" s="79"/>
      <c r="D821" s="79"/>
      <c r="J821" s="79"/>
      <c r="P821" s="79"/>
      <c r="Q821" s="79"/>
      <c r="T821" s="79"/>
      <c r="U821" s="79"/>
      <c r="X821" s="130"/>
      <c r="Z821" s="106"/>
    </row>
    <row r="822">
      <c r="C822" s="79"/>
      <c r="D822" s="79"/>
      <c r="J822" s="79"/>
      <c r="P822" s="79"/>
      <c r="Q822" s="79"/>
      <c r="T822" s="79"/>
      <c r="U822" s="79"/>
      <c r="X822" s="130"/>
      <c r="Z822" s="106"/>
    </row>
    <row r="823">
      <c r="C823" s="79"/>
      <c r="D823" s="79"/>
      <c r="J823" s="79"/>
      <c r="P823" s="79"/>
      <c r="Q823" s="79"/>
      <c r="T823" s="79"/>
      <c r="U823" s="79"/>
      <c r="X823" s="130"/>
      <c r="Z823" s="106"/>
    </row>
    <row r="824">
      <c r="C824" s="79"/>
      <c r="D824" s="79"/>
      <c r="J824" s="79"/>
      <c r="P824" s="79"/>
      <c r="Q824" s="79"/>
      <c r="T824" s="79"/>
      <c r="U824" s="79"/>
      <c r="X824" s="130"/>
      <c r="Z824" s="106"/>
    </row>
    <row r="825">
      <c r="C825" s="79"/>
      <c r="D825" s="79"/>
      <c r="J825" s="79"/>
      <c r="P825" s="79"/>
      <c r="Q825" s="79"/>
      <c r="T825" s="79"/>
      <c r="U825" s="79"/>
      <c r="X825" s="130"/>
      <c r="Z825" s="106"/>
    </row>
    <row r="826">
      <c r="C826" s="79"/>
      <c r="D826" s="79"/>
      <c r="J826" s="79"/>
      <c r="P826" s="79"/>
      <c r="Q826" s="79"/>
      <c r="T826" s="79"/>
      <c r="U826" s="79"/>
      <c r="X826" s="130"/>
      <c r="Z826" s="106"/>
    </row>
    <row r="827">
      <c r="C827" s="79"/>
      <c r="D827" s="79"/>
      <c r="J827" s="79"/>
      <c r="P827" s="79"/>
      <c r="Q827" s="79"/>
      <c r="T827" s="79"/>
      <c r="U827" s="79"/>
      <c r="X827" s="130"/>
      <c r="Z827" s="106"/>
    </row>
    <row r="828">
      <c r="C828" s="79"/>
      <c r="D828" s="79"/>
      <c r="J828" s="79"/>
      <c r="P828" s="79"/>
      <c r="Q828" s="79"/>
      <c r="T828" s="79"/>
      <c r="U828" s="79"/>
      <c r="X828" s="130"/>
      <c r="Z828" s="106"/>
    </row>
    <row r="829">
      <c r="C829" s="79"/>
      <c r="D829" s="79"/>
      <c r="J829" s="79"/>
      <c r="P829" s="79"/>
      <c r="Q829" s="79"/>
      <c r="T829" s="79"/>
      <c r="U829" s="79"/>
      <c r="X829" s="130"/>
      <c r="Z829" s="106"/>
    </row>
    <row r="830">
      <c r="C830" s="79"/>
      <c r="D830" s="79"/>
      <c r="J830" s="79"/>
      <c r="P830" s="79"/>
      <c r="Q830" s="79"/>
      <c r="T830" s="79"/>
      <c r="U830" s="79"/>
      <c r="X830" s="130"/>
      <c r="Z830" s="106"/>
    </row>
    <row r="831">
      <c r="C831" s="79"/>
      <c r="D831" s="79"/>
      <c r="J831" s="79"/>
      <c r="P831" s="79"/>
      <c r="Q831" s="79"/>
      <c r="T831" s="79"/>
      <c r="U831" s="79"/>
      <c r="X831" s="130"/>
      <c r="Z831" s="106"/>
    </row>
    <row r="832">
      <c r="C832" s="79"/>
      <c r="D832" s="79"/>
      <c r="J832" s="79"/>
      <c r="P832" s="79"/>
      <c r="Q832" s="79"/>
      <c r="T832" s="79"/>
      <c r="U832" s="79"/>
      <c r="X832" s="130"/>
      <c r="Z832" s="106"/>
    </row>
    <row r="833">
      <c r="C833" s="79"/>
      <c r="D833" s="79"/>
      <c r="J833" s="79"/>
      <c r="P833" s="79"/>
      <c r="Q833" s="79"/>
      <c r="T833" s="79"/>
      <c r="U833" s="79"/>
      <c r="X833" s="130"/>
      <c r="Z833" s="106"/>
    </row>
    <row r="834">
      <c r="C834" s="79"/>
      <c r="D834" s="79"/>
      <c r="J834" s="79"/>
      <c r="P834" s="79"/>
      <c r="Q834" s="79"/>
      <c r="T834" s="79"/>
      <c r="U834" s="79"/>
      <c r="X834" s="130"/>
      <c r="Z834" s="106"/>
    </row>
    <row r="835">
      <c r="C835" s="79"/>
      <c r="D835" s="79"/>
      <c r="J835" s="79"/>
      <c r="P835" s="79"/>
      <c r="Q835" s="79"/>
      <c r="T835" s="79"/>
      <c r="U835" s="79"/>
      <c r="X835" s="130"/>
      <c r="Z835" s="106"/>
    </row>
    <row r="836">
      <c r="C836" s="79"/>
      <c r="D836" s="79"/>
      <c r="J836" s="79"/>
      <c r="P836" s="79"/>
      <c r="Q836" s="79"/>
      <c r="T836" s="79"/>
      <c r="U836" s="79"/>
      <c r="X836" s="130"/>
      <c r="Z836" s="106"/>
    </row>
    <row r="837">
      <c r="C837" s="79"/>
      <c r="D837" s="79"/>
      <c r="J837" s="79"/>
      <c r="P837" s="79"/>
      <c r="Q837" s="79"/>
      <c r="T837" s="79"/>
      <c r="U837" s="79"/>
      <c r="X837" s="130"/>
      <c r="Z837" s="106"/>
    </row>
    <row r="838">
      <c r="C838" s="79"/>
      <c r="D838" s="79"/>
      <c r="J838" s="79"/>
      <c r="P838" s="79"/>
      <c r="Q838" s="79"/>
      <c r="T838" s="79"/>
      <c r="U838" s="79"/>
      <c r="X838" s="130"/>
      <c r="Z838" s="106"/>
    </row>
    <row r="839">
      <c r="C839" s="79"/>
      <c r="D839" s="79"/>
      <c r="J839" s="79"/>
      <c r="P839" s="79"/>
      <c r="Q839" s="79"/>
      <c r="T839" s="79"/>
      <c r="U839" s="79"/>
      <c r="X839" s="130"/>
      <c r="Z839" s="106"/>
    </row>
    <row r="840">
      <c r="C840" s="79"/>
      <c r="D840" s="79"/>
      <c r="J840" s="79"/>
      <c r="P840" s="79"/>
      <c r="Q840" s="79"/>
      <c r="T840" s="79"/>
      <c r="U840" s="79"/>
      <c r="X840" s="130"/>
      <c r="Z840" s="106"/>
    </row>
    <row r="841">
      <c r="C841" s="79"/>
      <c r="D841" s="79"/>
      <c r="J841" s="79"/>
      <c r="P841" s="79"/>
      <c r="Q841" s="79"/>
      <c r="T841" s="79"/>
      <c r="U841" s="79"/>
      <c r="X841" s="130"/>
      <c r="Z841" s="106"/>
    </row>
    <row r="842">
      <c r="C842" s="79"/>
      <c r="D842" s="79"/>
      <c r="J842" s="79"/>
      <c r="P842" s="79"/>
      <c r="Q842" s="79"/>
      <c r="T842" s="79"/>
      <c r="U842" s="79"/>
      <c r="X842" s="130"/>
      <c r="Z842" s="106"/>
    </row>
    <row r="843">
      <c r="C843" s="79"/>
      <c r="D843" s="79"/>
      <c r="J843" s="79"/>
      <c r="P843" s="79"/>
      <c r="Q843" s="79"/>
      <c r="T843" s="79"/>
      <c r="U843" s="79"/>
      <c r="X843" s="130"/>
      <c r="Z843" s="106"/>
    </row>
    <row r="844">
      <c r="C844" s="79"/>
      <c r="D844" s="79"/>
      <c r="J844" s="79"/>
      <c r="P844" s="79"/>
      <c r="Q844" s="79"/>
      <c r="T844" s="79"/>
      <c r="U844" s="79"/>
      <c r="X844" s="130"/>
      <c r="Z844" s="106"/>
    </row>
    <row r="845">
      <c r="C845" s="79"/>
      <c r="D845" s="79"/>
      <c r="J845" s="79"/>
      <c r="P845" s="79"/>
      <c r="Q845" s="79"/>
      <c r="T845" s="79"/>
      <c r="U845" s="79"/>
      <c r="X845" s="130"/>
      <c r="Z845" s="106"/>
    </row>
    <row r="846">
      <c r="C846" s="79"/>
      <c r="D846" s="79"/>
      <c r="J846" s="79"/>
      <c r="P846" s="79"/>
      <c r="Q846" s="79"/>
      <c r="T846" s="79"/>
      <c r="U846" s="79"/>
      <c r="X846" s="130"/>
      <c r="Z846" s="106"/>
    </row>
    <row r="847">
      <c r="C847" s="79"/>
      <c r="D847" s="79"/>
      <c r="J847" s="79"/>
      <c r="P847" s="79"/>
      <c r="Q847" s="79"/>
      <c r="T847" s="79"/>
      <c r="U847" s="79"/>
      <c r="X847" s="130"/>
      <c r="Z847" s="106"/>
    </row>
    <row r="848">
      <c r="C848" s="79"/>
      <c r="D848" s="79"/>
      <c r="J848" s="79"/>
      <c r="P848" s="79"/>
      <c r="Q848" s="79"/>
      <c r="T848" s="79"/>
      <c r="U848" s="79"/>
      <c r="X848" s="130"/>
      <c r="Z848" s="106"/>
    </row>
    <row r="849">
      <c r="C849" s="79"/>
      <c r="D849" s="79"/>
      <c r="J849" s="79"/>
      <c r="P849" s="79"/>
      <c r="Q849" s="79"/>
      <c r="T849" s="79"/>
      <c r="U849" s="79"/>
      <c r="X849" s="130"/>
      <c r="Z849" s="106"/>
    </row>
    <row r="850">
      <c r="C850" s="79"/>
      <c r="D850" s="79"/>
      <c r="J850" s="79"/>
      <c r="P850" s="79"/>
      <c r="Q850" s="79"/>
      <c r="T850" s="79"/>
      <c r="U850" s="79"/>
      <c r="X850" s="130"/>
      <c r="Z850" s="106"/>
    </row>
    <row r="851">
      <c r="C851" s="79"/>
      <c r="D851" s="79"/>
      <c r="J851" s="79"/>
      <c r="P851" s="79"/>
      <c r="Q851" s="79"/>
      <c r="T851" s="79"/>
      <c r="U851" s="79"/>
      <c r="X851" s="130"/>
      <c r="Z851" s="106"/>
    </row>
    <row r="852">
      <c r="C852" s="79"/>
      <c r="D852" s="79"/>
      <c r="J852" s="79"/>
      <c r="P852" s="79"/>
      <c r="Q852" s="79"/>
      <c r="T852" s="79"/>
      <c r="U852" s="79"/>
      <c r="X852" s="130"/>
      <c r="Z852" s="106"/>
    </row>
    <row r="853">
      <c r="C853" s="79"/>
      <c r="D853" s="79"/>
      <c r="J853" s="79"/>
      <c r="P853" s="79"/>
      <c r="Q853" s="79"/>
      <c r="T853" s="79"/>
      <c r="U853" s="79"/>
      <c r="X853" s="130"/>
      <c r="Z853" s="106"/>
    </row>
    <row r="854">
      <c r="C854" s="79"/>
      <c r="D854" s="79"/>
      <c r="J854" s="79"/>
      <c r="P854" s="79"/>
      <c r="Q854" s="79"/>
      <c r="T854" s="79"/>
      <c r="U854" s="79"/>
      <c r="X854" s="130"/>
      <c r="Z854" s="106"/>
    </row>
    <row r="855">
      <c r="C855" s="79"/>
      <c r="D855" s="79"/>
      <c r="J855" s="79"/>
      <c r="P855" s="79"/>
      <c r="Q855" s="79"/>
      <c r="T855" s="79"/>
      <c r="U855" s="79"/>
      <c r="X855" s="130"/>
      <c r="Z855" s="106"/>
    </row>
    <row r="856">
      <c r="C856" s="79"/>
      <c r="D856" s="79"/>
      <c r="J856" s="79"/>
      <c r="P856" s="79"/>
      <c r="Q856" s="79"/>
      <c r="T856" s="79"/>
      <c r="U856" s="79"/>
      <c r="X856" s="130"/>
      <c r="Z856" s="106"/>
    </row>
    <row r="857">
      <c r="C857" s="79"/>
      <c r="D857" s="79"/>
      <c r="J857" s="79"/>
      <c r="P857" s="79"/>
      <c r="Q857" s="79"/>
      <c r="T857" s="79"/>
      <c r="U857" s="79"/>
      <c r="X857" s="130"/>
      <c r="Z857" s="106"/>
    </row>
    <row r="858">
      <c r="C858" s="79"/>
      <c r="D858" s="79"/>
      <c r="J858" s="79"/>
      <c r="P858" s="79"/>
      <c r="Q858" s="79"/>
      <c r="T858" s="79"/>
      <c r="U858" s="79"/>
      <c r="X858" s="130"/>
      <c r="Z858" s="106"/>
    </row>
    <row r="859">
      <c r="C859" s="79"/>
      <c r="D859" s="79"/>
      <c r="J859" s="79"/>
      <c r="P859" s="79"/>
      <c r="Q859" s="79"/>
      <c r="T859" s="79"/>
      <c r="U859" s="79"/>
      <c r="X859" s="130"/>
      <c r="Z859" s="106"/>
    </row>
    <row r="860">
      <c r="C860" s="79"/>
      <c r="D860" s="79"/>
      <c r="J860" s="79"/>
      <c r="P860" s="79"/>
      <c r="Q860" s="79"/>
      <c r="T860" s="79"/>
      <c r="U860" s="79"/>
      <c r="X860" s="130"/>
      <c r="Z860" s="106"/>
    </row>
    <row r="861">
      <c r="C861" s="79"/>
      <c r="D861" s="79"/>
      <c r="J861" s="79"/>
      <c r="P861" s="79"/>
      <c r="Q861" s="79"/>
      <c r="T861" s="79"/>
      <c r="U861" s="79"/>
      <c r="X861" s="130"/>
      <c r="Z861" s="106"/>
    </row>
    <row r="862">
      <c r="C862" s="79"/>
      <c r="D862" s="79"/>
      <c r="J862" s="79"/>
      <c r="P862" s="79"/>
      <c r="Q862" s="79"/>
      <c r="T862" s="79"/>
      <c r="U862" s="79"/>
      <c r="X862" s="130"/>
      <c r="Z862" s="106"/>
    </row>
    <row r="863">
      <c r="C863" s="79"/>
      <c r="D863" s="79"/>
      <c r="J863" s="79"/>
      <c r="P863" s="79"/>
      <c r="Q863" s="79"/>
      <c r="T863" s="79"/>
      <c r="U863" s="79"/>
      <c r="X863" s="130"/>
      <c r="Z863" s="106"/>
    </row>
    <row r="864">
      <c r="C864" s="79"/>
      <c r="D864" s="79"/>
      <c r="J864" s="79"/>
      <c r="P864" s="79"/>
      <c r="Q864" s="79"/>
      <c r="T864" s="79"/>
      <c r="U864" s="79"/>
      <c r="X864" s="130"/>
      <c r="Z864" s="106"/>
    </row>
    <row r="865">
      <c r="C865" s="79"/>
      <c r="D865" s="79"/>
      <c r="J865" s="79"/>
      <c r="P865" s="79"/>
      <c r="Q865" s="79"/>
      <c r="T865" s="79"/>
      <c r="U865" s="79"/>
      <c r="X865" s="130"/>
      <c r="Z865" s="106"/>
    </row>
    <row r="866">
      <c r="C866" s="79"/>
      <c r="D866" s="79"/>
      <c r="J866" s="79"/>
      <c r="P866" s="79"/>
      <c r="Q866" s="79"/>
      <c r="T866" s="79"/>
      <c r="U866" s="79"/>
      <c r="X866" s="130"/>
      <c r="Z866" s="106"/>
    </row>
    <row r="867">
      <c r="C867" s="79"/>
      <c r="D867" s="79"/>
      <c r="J867" s="79"/>
      <c r="P867" s="79"/>
      <c r="Q867" s="79"/>
      <c r="T867" s="79"/>
      <c r="U867" s="79"/>
      <c r="X867" s="130"/>
      <c r="Z867" s="106"/>
    </row>
    <row r="868">
      <c r="C868" s="79"/>
      <c r="D868" s="79"/>
      <c r="J868" s="79"/>
      <c r="P868" s="79"/>
      <c r="Q868" s="79"/>
      <c r="T868" s="79"/>
      <c r="U868" s="79"/>
      <c r="X868" s="130"/>
      <c r="Z868" s="106"/>
    </row>
    <row r="869">
      <c r="C869" s="79"/>
      <c r="D869" s="79"/>
      <c r="J869" s="79"/>
      <c r="P869" s="79"/>
      <c r="Q869" s="79"/>
      <c r="T869" s="79"/>
      <c r="U869" s="79"/>
      <c r="X869" s="130"/>
      <c r="Z869" s="106"/>
    </row>
    <row r="870">
      <c r="C870" s="79"/>
      <c r="D870" s="79"/>
      <c r="J870" s="79"/>
      <c r="P870" s="79"/>
      <c r="Q870" s="79"/>
      <c r="T870" s="79"/>
      <c r="U870" s="79"/>
      <c r="X870" s="130"/>
      <c r="Z870" s="106"/>
    </row>
    <row r="871">
      <c r="C871" s="79"/>
      <c r="D871" s="79"/>
      <c r="J871" s="79"/>
      <c r="P871" s="79"/>
      <c r="Q871" s="79"/>
      <c r="T871" s="79"/>
      <c r="U871" s="79"/>
      <c r="X871" s="130"/>
      <c r="Z871" s="106"/>
    </row>
    <row r="872">
      <c r="C872" s="79"/>
      <c r="D872" s="79"/>
      <c r="J872" s="79"/>
      <c r="P872" s="79"/>
      <c r="Q872" s="79"/>
      <c r="T872" s="79"/>
      <c r="U872" s="79"/>
      <c r="X872" s="130"/>
      <c r="Z872" s="106"/>
    </row>
    <row r="873">
      <c r="C873" s="79"/>
      <c r="D873" s="79"/>
      <c r="J873" s="79"/>
      <c r="P873" s="79"/>
      <c r="Q873" s="79"/>
      <c r="T873" s="79"/>
      <c r="U873" s="79"/>
      <c r="X873" s="130"/>
      <c r="Z873" s="106"/>
    </row>
    <row r="874">
      <c r="C874" s="79"/>
      <c r="D874" s="79"/>
      <c r="J874" s="79"/>
      <c r="P874" s="79"/>
      <c r="Q874" s="79"/>
      <c r="T874" s="79"/>
      <c r="U874" s="79"/>
      <c r="X874" s="130"/>
      <c r="Z874" s="106"/>
    </row>
    <row r="875">
      <c r="C875" s="79"/>
      <c r="D875" s="79"/>
      <c r="J875" s="79"/>
      <c r="P875" s="79"/>
      <c r="Q875" s="79"/>
      <c r="T875" s="79"/>
      <c r="U875" s="79"/>
      <c r="X875" s="130"/>
      <c r="Z875" s="106"/>
    </row>
    <row r="876">
      <c r="C876" s="79"/>
      <c r="D876" s="79"/>
      <c r="J876" s="79"/>
      <c r="P876" s="79"/>
      <c r="Q876" s="79"/>
      <c r="T876" s="79"/>
      <c r="U876" s="79"/>
      <c r="X876" s="130"/>
      <c r="Z876" s="106"/>
    </row>
    <row r="877">
      <c r="C877" s="79"/>
      <c r="D877" s="79"/>
      <c r="J877" s="79"/>
      <c r="P877" s="79"/>
      <c r="Q877" s="79"/>
      <c r="T877" s="79"/>
      <c r="U877" s="79"/>
      <c r="X877" s="130"/>
      <c r="Z877" s="106"/>
    </row>
    <row r="878">
      <c r="C878" s="79"/>
      <c r="D878" s="79"/>
      <c r="J878" s="79"/>
      <c r="P878" s="79"/>
      <c r="Q878" s="79"/>
      <c r="T878" s="79"/>
      <c r="U878" s="79"/>
      <c r="X878" s="130"/>
      <c r="Z878" s="106"/>
    </row>
    <row r="879">
      <c r="C879" s="79"/>
      <c r="D879" s="79"/>
      <c r="J879" s="79"/>
      <c r="P879" s="79"/>
      <c r="Q879" s="79"/>
      <c r="T879" s="79"/>
      <c r="U879" s="79"/>
      <c r="X879" s="130"/>
      <c r="Z879" s="106"/>
    </row>
    <row r="880">
      <c r="C880" s="79"/>
      <c r="D880" s="79"/>
      <c r="J880" s="79"/>
      <c r="P880" s="79"/>
      <c r="Q880" s="79"/>
      <c r="T880" s="79"/>
      <c r="U880" s="79"/>
      <c r="X880" s="130"/>
      <c r="Z880" s="106"/>
    </row>
    <row r="881">
      <c r="C881" s="79"/>
      <c r="D881" s="79"/>
      <c r="J881" s="79"/>
      <c r="P881" s="79"/>
      <c r="Q881" s="79"/>
      <c r="T881" s="79"/>
      <c r="U881" s="79"/>
      <c r="X881" s="130"/>
      <c r="Z881" s="106"/>
    </row>
    <row r="882">
      <c r="C882" s="79"/>
      <c r="D882" s="79"/>
      <c r="J882" s="79"/>
      <c r="P882" s="79"/>
      <c r="Q882" s="79"/>
      <c r="T882" s="79"/>
      <c r="U882" s="79"/>
      <c r="X882" s="130"/>
      <c r="Z882" s="106"/>
    </row>
    <row r="883">
      <c r="C883" s="79"/>
      <c r="D883" s="79"/>
      <c r="J883" s="79"/>
      <c r="P883" s="79"/>
      <c r="Q883" s="79"/>
      <c r="T883" s="79"/>
      <c r="U883" s="79"/>
      <c r="X883" s="130"/>
      <c r="Z883" s="106"/>
    </row>
    <row r="884">
      <c r="C884" s="79"/>
      <c r="D884" s="79"/>
      <c r="J884" s="79"/>
      <c r="P884" s="79"/>
      <c r="Q884" s="79"/>
      <c r="T884" s="79"/>
      <c r="U884" s="79"/>
      <c r="X884" s="130"/>
      <c r="Z884" s="106"/>
    </row>
    <row r="885">
      <c r="C885" s="79"/>
      <c r="D885" s="79"/>
      <c r="J885" s="79"/>
      <c r="P885" s="79"/>
      <c r="Q885" s="79"/>
      <c r="T885" s="79"/>
      <c r="U885" s="79"/>
      <c r="X885" s="130"/>
      <c r="Z885" s="106"/>
    </row>
    <row r="886">
      <c r="C886" s="79"/>
      <c r="D886" s="79"/>
      <c r="J886" s="79"/>
      <c r="P886" s="79"/>
      <c r="Q886" s="79"/>
      <c r="T886" s="79"/>
      <c r="U886" s="79"/>
      <c r="X886" s="130"/>
      <c r="Z886" s="106"/>
    </row>
    <row r="887">
      <c r="C887" s="79"/>
      <c r="D887" s="79"/>
      <c r="J887" s="79"/>
      <c r="P887" s="79"/>
      <c r="Q887" s="79"/>
      <c r="T887" s="79"/>
      <c r="U887" s="79"/>
      <c r="X887" s="130"/>
      <c r="Z887" s="106"/>
    </row>
    <row r="888">
      <c r="C888" s="79"/>
      <c r="D888" s="79"/>
      <c r="J888" s="79"/>
      <c r="P888" s="79"/>
      <c r="Q888" s="79"/>
      <c r="T888" s="79"/>
      <c r="U888" s="79"/>
      <c r="X888" s="130"/>
      <c r="Z888" s="106"/>
    </row>
    <row r="889">
      <c r="C889" s="79"/>
      <c r="D889" s="79"/>
      <c r="J889" s="79"/>
      <c r="P889" s="79"/>
      <c r="Q889" s="79"/>
      <c r="T889" s="79"/>
      <c r="U889" s="79"/>
      <c r="X889" s="130"/>
      <c r="Z889" s="106"/>
    </row>
    <row r="890">
      <c r="C890" s="79"/>
      <c r="D890" s="79"/>
      <c r="J890" s="79"/>
      <c r="P890" s="79"/>
      <c r="Q890" s="79"/>
      <c r="T890" s="79"/>
      <c r="U890" s="79"/>
      <c r="X890" s="130"/>
      <c r="Z890" s="106"/>
    </row>
    <row r="891">
      <c r="C891" s="79"/>
      <c r="D891" s="79"/>
      <c r="J891" s="79"/>
      <c r="P891" s="79"/>
      <c r="Q891" s="79"/>
      <c r="T891" s="79"/>
      <c r="U891" s="79"/>
      <c r="X891" s="130"/>
      <c r="Z891" s="106"/>
    </row>
    <row r="892">
      <c r="C892" s="79"/>
      <c r="D892" s="79"/>
      <c r="J892" s="79"/>
      <c r="P892" s="79"/>
      <c r="Q892" s="79"/>
      <c r="T892" s="79"/>
      <c r="U892" s="79"/>
      <c r="X892" s="130"/>
      <c r="Z892" s="106"/>
    </row>
    <row r="893">
      <c r="C893" s="79"/>
      <c r="D893" s="79"/>
      <c r="J893" s="79"/>
      <c r="P893" s="79"/>
      <c r="Q893" s="79"/>
      <c r="T893" s="79"/>
      <c r="U893" s="79"/>
      <c r="X893" s="130"/>
      <c r="Z893" s="106"/>
    </row>
    <row r="894">
      <c r="C894" s="79"/>
      <c r="D894" s="79"/>
      <c r="J894" s="79"/>
      <c r="P894" s="79"/>
      <c r="Q894" s="79"/>
      <c r="T894" s="79"/>
      <c r="U894" s="79"/>
      <c r="X894" s="130"/>
      <c r="Z894" s="106"/>
    </row>
    <row r="895">
      <c r="C895" s="79"/>
      <c r="D895" s="79"/>
      <c r="J895" s="79"/>
      <c r="P895" s="79"/>
      <c r="Q895" s="79"/>
      <c r="T895" s="79"/>
      <c r="U895" s="79"/>
      <c r="X895" s="130"/>
      <c r="Z895" s="106"/>
    </row>
    <row r="896">
      <c r="C896" s="79"/>
      <c r="D896" s="79"/>
      <c r="J896" s="79"/>
      <c r="P896" s="79"/>
      <c r="Q896" s="79"/>
      <c r="T896" s="79"/>
      <c r="U896" s="79"/>
      <c r="X896" s="130"/>
      <c r="Z896" s="106"/>
    </row>
    <row r="897">
      <c r="C897" s="79"/>
      <c r="D897" s="79"/>
      <c r="J897" s="79"/>
      <c r="P897" s="79"/>
      <c r="Q897" s="79"/>
      <c r="T897" s="79"/>
      <c r="U897" s="79"/>
      <c r="X897" s="130"/>
      <c r="Z897" s="106"/>
    </row>
    <row r="898">
      <c r="C898" s="79"/>
      <c r="D898" s="79"/>
      <c r="J898" s="79"/>
      <c r="P898" s="79"/>
      <c r="Q898" s="79"/>
      <c r="T898" s="79"/>
      <c r="U898" s="79"/>
      <c r="X898" s="130"/>
      <c r="Z898" s="106"/>
    </row>
    <row r="899">
      <c r="C899" s="79"/>
      <c r="D899" s="79"/>
      <c r="J899" s="79"/>
      <c r="P899" s="79"/>
      <c r="Q899" s="79"/>
      <c r="T899" s="79"/>
      <c r="U899" s="79"/>
      <c r="X899" s="130"/>
      <c r="Z899" s="106"/>
    </row>
    <row r="900">
      <c r="C900" s="79"/>
      <c r="D900" s="79"/>
      <c r="J900" s="79"/>
      <c r="P900" s="79"/>
      <c r="Q900" s="79"/>
      <c r="T900" s="79"/>
      <c r="U900" s="79"/>
      <c r="X900" s="130"/>
      <c r="Z900" s="106"/>
    </row>
    <row r="901">
      <c r="C901" s="79"/>
      <c r="D901" s="79"/>
      <c r="J901" s="79"/>
      <c r="P901" s="79"/>
      <c r="Q901" s="79"/>
      <c r="T901" s="79"/>
      <c r="U901" s="79"/>
      <c r="X901" s="130"/>
      <c r="Z901" s="106"/>
    </row>
    <row r="902">
      <c r="C902" s="79"/>
      <c r="D902" s="79"/>
      <c r="J902" s="79"/>
      <c r="P902" s="79"/>
      <c r="Q902" s="79"/>
      <c r="T902" s="79"/>
      <c r="U902" s="79"/>
      <c r="X902" s="130"/>
      <c r="Z902" s="106"/>
    </row>
    <row r="903">
      <c r="C903" s="79"/>
      <c r="D903" s="79"/>
      <c r="J903" s="79"/>
      <c r="P903" s="79"/>
      <c r="Q903" s="79"/>
      <c r="T903" s="79"/>
      <c r="U903" s="79"/>
      <c r="X903" s="130"/>
      <c r="Z903" s="106"/>
    </row>
    <row r="904">
      <c r="C904" s="79"/>
      <c r="D904" s="79"/>
      <c r="J904" s="79"/>
      <c r="P904" s="79"/>
      <c r="Q904" s="79"/>
      <c r="T904" s="79"/>
      <c r="U904" s="79"/>
      <c r="X904" s="130"/>
      <c r="Z904" s="106"/>
    </row>
    <row r="905">
      <c r="C905" s="79"/>
      <c r="D905" s="79"/>
      <c r="J905" s="79"/>
      <c r="P905" s="79"/>
      <c r="Q905" s="79"/>
      <c r="T905" s="79"/>
      <c r="U905" s="79"/>
      <c r="X905" s="130"/>
      <c r="Z905" s="106"/>
    </row>
    <row r="906">
      <c r="C906" s="79"/>
      <c r="D906" s="79"/>
      <c r="J906" s="79"/>
      <c r="P906" s="79"/>
      <c r="Q906" s="79"/>
      <c r="T906" s="79"/>
      <c r="U906" s="79"/>
      <c r="X906" s="130"/>
      <c r="Z906" s="106"/>
    </row>
    <row r="907">
      <c r="C907" s="79"/>
      <c r="D907" s="79"/>
      <c r="J907" s="79"/>
      <c r="P907" s="79"/>
      <c r="Q907" s="79"/>
      <c r="T907" s="79"/>
      <c r="U907" s="79"/>
      <c r="X907" s="130"/>
      <c r="Z907" s="106"/>
    </row>
    <row r="908">
      <c r="C908" s="79"/>
      <c r="D908" s="79"/>
      <c r="J908" s="79"/>
      <c r="P908" s="79"/>
      <c r="Q908" s="79"/>
      <c r="T908" s="79"/>
      <c r="U908" s="79"/>
      <c r="X908" s="130"/>
      <c r="Z908" s="106"/>
    </row>
    <row r="909">
      <c r="C909" s="79"/>
      <c r="D909" s="79"/>
      <c r="J909" s="79"/>
      <c r="P909" s="79"/>
      <c r="Q909" s="79"/>
      <c r="T909" s="79"/>
      <c r="U909" s="79"/>
      <c r="X909" s="130"/>
      <c r="Z909" s="106"/>
    </row>
    <row r="910">
      <c r="C910" s="79"/>
      <c r="D910" s="79"/>
      <c r="J910" s="79"/>
      <c r="P910" s="79"/>
      <c r="Q910" s="79"/>
      <c r="T910" s="79"/>
      <c r="U910" s="79"/>
      <c r="X910" s="130"/>
      <c r="Z910" s="106"/>
    </row>
    <row r="911">
      <c r="C911" s="79"/>
      <c r="D911" s="79"/>
      <c r="J911" s="79"/>
      <c r="P911" s="79"/>
      <c r="Q911" s="79"/>
      <c r="T911" s="79"/>
      <c r="U911" s="79"/>
      <c r="X911" s="130"/>
      <c r="Z911" s="106"/>
    </row>
    <row r="912">
      <c r="C912" s="79"/>
      <c r="D912" s="79"/>
      <c r="J912" s="79"/>
      <c r="P912" s="79"/>
      <c r="Q912" s="79"/>
      <c r="T912" s="79"/>
      <c r="U912" s="79"/>
      <c r="X912" s="130"/>
      <c r="Z912" s="106"/>
    </row>
    <row r="913">
      <c r="C913" s="79"/>
      <c r="D913" s="79"/>
      <c r="J913" s="79"/>
      <c r="P913" s="79"/>
      <c r="Q913" s="79"/>
      <c r="T913" s="79"/>
      <c r="U913" s="79"/>
      <c r="X913" s="130"/>
      <c r="Z913" s="106"/>
    </row>
    <row r="914">
      <c r="C914" s="79"/>
      <c r="D914" s="79"/>
      <c r="J914" s="79"/>
      <c r="P914" s="79"/>
      <c r="Q914" s="79"/>
      <c r="T914" s="79"/>
      <c r="U914" s="79"/>
      <c r="X914" s="130"/>
      <c r="Z914" s="106"/>
    </row>
    <row r="915">
      <c r="C915" s="79"/>
      <c r="D915" s="79"/>
      <c r="J915" s="79"/>
      <c r="P915" s="79"/>
      <c r="Q915" s="79"/>
      <c r="T915" s="79"/>
      <c r="U915" s="79"/>
      <c r="X915" s="130"/>
      <c r="Z915" s="106"/>
    </row>
    <row r="916">
      <c r="C916" s="79"/>
      <c r="D916" s="79"/>
      <c r="J916" s="79"/>
      <c r="P916" s="79"/>
      <c r="Q916" s="79"/>
      <c r="T916" s="79"/>
      <c r="U916" s="79"/>
      <c r="X916" s="130"/>
      <c r="Z916" s="106"/>
    </row>
    <row r="917">
      <c r="C917" s="79"/>
      <c r="D917" s="79"/>
      <c r="J917" s="79"/>
      <c r="P917" s="79"/>
      <c r="Q917" s="79"/>
      <c r="T917" s="79"/>
      <c r="U917" s="79"/>
      <c r="X917" s="130"/>
      <c r="Z917" s="106"/>
    </row>
    <row r="918">
      <c r="C918" s="79"/>
      <c r="D918" s="79"/>
      <c r="J918" s="79"/>
      <c r="P918" s="79"/>
      <c r="Q918" s="79"/>
      <c r="T918" s="79"/>
      <c r="U918" s="79"/>
      <c r="X918" s="130"/>
      <c r="Z918" s="106"/>
    </row>
    <row r="919">
      <c r="C919" s="79"/>
      <c r="D919" s="79"/>
      <c r="J919" s="79"/>
      <c r="P919" s="79"/>
      <c r="Q919" s="79"/>
      <c r="T919" s="79"/>
      <c r="U919" s="79"/>
      <c r="X919" s="130"/>
      <c r="Z919" s="106"/>
    </row>
    <row r="920">
      <c r="C920" s="79"/>
      <c r="D920" s="79"/>
      <c r="J920" s="79"/>
      <c r="P920" s="79"/>
      <c r="Q920" s="79"/>
      <c r="T920" s="79"/>
      <c r="U920" s="79"/>
      <c r="X920" s="130"/>
      <c r="Z920" s="106"/>
    </row>
    <row r="921">
      <c r="C921" s="79"/>
      <c r="D921" s="79"/>
      <c r="J921" s="79"/>
      <c r="P921" s="79"/>
      <c r="Q921" s="79"/>
      <c r="T921" s="79"/>
      <c r="U921" s="79"/>
      <c r="X921" s="130"/>
      <c r="Z921" s="106"/>
    </row>
    <row r="922">
      <c r="C922" s="79"/>
      <c r="D922" s="79"/>
      <c r="J922" s="79"/>
      <c r="P922" s="79"/>
      <c r="Q922" s="79"/>
      <c r="T922" s="79"/>
      <c r="U922" s="79"/>
      <c r="X922" s="130"/>
      <c r="Z922" s="106"/>
    </row>
    <row r="923">
      <c r="C923" s="79"/>
      <c r="D923" s="79"/>
      <c r="J923" s="79"/>
      <c r="P923" s="79"/>
      <c r="Q923" s="79"/>
      <c r="T923" s="79"/>
      <c r="U923" s="79"/>
      <c r="X923" s="130"/>
      <c r="Z923" s="106"/>
    </row>
    <row r="924">
      <c r="C924" s="79"/>
      <c r="D924" s="79"/>
      <c r="J924" s="79"/>
      <c r="P924" s="79"/>
      <c r="Q924" s="79"/>
      <c r="T924" s="79"/>
      <c r="U924" s="79"/>
      <c r="X924" s="130"/>
      <c r="Z924" s="106"/>
    </row>
    <row r="925">
      <c r="C925" s="79"/>
      <c r="D925" s="79"/>
      <c r="J925" s="79"/>
      <c r="P925" s="79"/>
      <c r="Q925" s="79"/>
      <c r="T925" s="79"/>
      <c r="U925" s="79"/>
      <c r="X925" s="130"/>
      <c r="Z925" s="106"/>
    </row>
    <row r="926">
      <c r="C926" s="79"/>
      <c r="D926" s="79"/>
      <c r="J926" s="79"/>
      <c r="P926" s="79"/>
      <c r="Q926" s="79"/>
      <c r="T926" s="79"/>
      <c r="U926" s="79"/>
      <c r="X926" s="130"/>
      <c r="Z926" s="106"/>
    </row>
    <row r="927">
      <c r="C927" s="79"/>
      <c r="D927" s="79"/>
      <c r="J927" s="79"/>
      <c r="P927" s="79"/>
      <c r="Q927" s="79"/>
      <c r="T927" s="79"/>
      <c r="U927" s="79"/>
      <c r="X927" s="130"/>
      <c r="Z927" s="106"/>
    </row>
    <row r="928">
      <c r="C928" s="79"/>
      <c r="D928" s="79"/>
      <c r="J928" s="79"/>
      <c r="P928" s="79"/>
      <c r="Q928" s="79"/>
      <c r="T928" s="79"/>
      <c r="U928" s="79"/>
      <c r="X928" s="130"/>
      <c r="Z928" s="106"/>
    </row>
    <row r="929">
      <c r="C929" s="79"/>
      <c r="D929" s="79"/>
      <c r="J929" s="79"/>
      <c r="P929" s="79"/>
      <c r="Q929" s="79"/>
      <c r="T929" s="79"/>
      <c r="U929" s="79"/>
      <c r="X929" s="130"/>
      <c r="Z929" s="106"/>
    </row>
    <row r="930">
      <c r="C930" s="79"/>
      <c r="D930" s="79"/>
      <c r="J930" s="79"/>
      <c r="P930" s="79"/>
      <c r="Q930" s="79"/>
      <c r="T930" s="79"/>
      <c r="U930" s="79"/>
      <c r="X930" s="130"/>
      <c r="Z930" s="106"/>
    </row>
    <row r="931">
      <c r="C931" s="79"/>
      <c r="D931" s="79"/>
      <c r="J931" s="79"/>
      <c r="P931" s="79"/>
      <c r="Q931" s="79"/>
      <c r="T931" s="79"/>
      <c r="U931" s="79"/>
      <c r="X931" s="130"/>
      <c r="Z931" s="106"/>
    </row>
    <row r="932">
      <c r="C932" s="79"/>
      <c r="D932" s="79"/>
      <c r="J932" s="79"/>
      <c r="P932" s="79"/>
      <c r="Q932" s="79"/>
      <c r="T932" s="79"/>
      <c r="U932" s="79"/>
      <c r="X932" s="130"/>
      <c r="Z932" s="106"/>
    </row>
    <row r="933">
      <c r="C933" s="79"/>
      <c r="D933" s="79"/>
      <c r="J933" s="79"/>
      <c r="P933" s="79"/>
      <c r="Q933" s="79"/>
      <c r="T933" s="79"/>
      <c r="U933" s="79"/>
      <c r="X933" s="130"/>
      <c r="Z933" s="106"/>
    </row>
    <row r="934">
      <c r="C934" s="79"/>
      <c r="D934" s="79"/>
      <c r="J934" s="79"/>
      <c r="P934" s="79"/>
      <c r="Q934" s="79"/>
      <c r="T934" s="79"/>
      <c r="U934" s="79"/>
      <c r="X934" s="130"/>
      <c r="Z934" s="106"/>
    </row>
    <row r="935">
      <c r="C935" s="79"/>
      <c r="D935" s="79"/>
      <c r="J935" s="79"/>
      <c r="P935" s="79"/>
      <c r="Q935" s="79"/>
      <c r="T935" s="79"/>
      <c r="U935" s="79"/>
      <c r="X935" s="130"/>
      <c r="Z935" s="106"/>
    </row>
    <row r="936">
      <c r="C936" s="79"/>
      <c r="D936" s="79"/>
      <c r="J936" s="79"/>
      <c r="P936" s="79"/>
      <c r="Q936" s="79"/>
      <c r="T936" s="79"/>
      <c r="U936" s="79"/>
      <c r="X936" s="130"/>
      <c r="Z936" s="106"/>
    </row>
    <row r="937">
      <c r="C937" s="79"/>
      <c r="D937" s="79"/>
      <c r="J937" s="79"/>
      <c r="P937" s="79"/>
      <c r="Q937" s="79"/>
      <c r="T937" s="79"/>
      <c r="U937" s="79"/>
      <c r="X937" s="130"/>
      <c r="Z937" s="106"/>
    </row>
    <row r="938">
      <c r="C938" s="79"/>
      <c r="D938" s="79"/>
      <c r="J938" s="79"/>
      <c r="P938" s="79"/>
      <c r="Q938" s="79"/>
      <c r="T938" s="79"/>
      <c r="U938" s="79"/>
      <c r="X938" s="130"/>
      <c r="Z938" s="106"/>
    </row>
    <row r="939">
      <c r="C939" s="79"/>
      <c r="D939" s="79"/>
      <c r="J939" s="79"/>
      <c r="P939" s="79"/>
      <c r="Q939" s="79"/>
      <c r="T939" s="79"/>
      <c r="U939" s="79"/>
      <c r="X939" s="130"/>
      <c r="Z939" s="106"/>
    </row>
    <row r="940">
      <c r="C940" s="79"/>
      <c r="D940" s="79"/>
      <c r="J940" s="79"/>
      <c r="P940" s="79"/>
      <c r="Q940" s="79"/>
      <c r="T940" s="79"/>
      <c r="U940" s="79"/>
      <c r="X940" s="130"/>
      <c r="Z940" s="106"/>
    </row>
    <row r="941">
      <c r="C941" s="79"/>
      <c r="D941" s="79"/>
      <c r="J941" s="79"/>
      <c r="P941" s="79"/>
      <c r="Q941" s="79"/>
      <c r="T941" s="79"/>
      <c r="U941" s="79"/>
      <c r="X941" s="130"/>
      <c r="Z941" s="106"/>
    </row>
    <row r="942">
      <c r="C942" s="79"/>
      <c r="D942" s="79"/>
      <c r="J942" s="79"/>
      <c r="P942" s="79"/>
      <c r="Q942" s="79"/>
      <c r="T942" s="79"/>
      <c r="U942" s="79"/>
      <c r="X942" s="130"/>
      <c r="Z942" s="106"/>
    </row>
    <row r="943">
      <c r="C943" s="79"/>
      <c r="D943" s="79"/>
      <c r="J943" s="79"/>
      <c r="P943" s="79"/>
      <c r="Q943" s="79"/>
      <c r="T943" s="79"/>
      <c r="U943" s="79"/>
      <c r="X943" s="130"/>
      <c r="Z943" s="106"/>
    </row>
    <row r="944">
      <c r="C944" s="79"/>
      <c r="D944" s="79"/>
      <c r="J944" s="79"/>
      <c r="P944" s="79"/>
      <c r="Q944" s="79"/>
      <c r="T944" s="79"/>
      <c r="U944" s="79"/>
      <c r="X944" s="130"/>
      <c r="Z944" s="106"/>
    </row>
    <row r="945">
      <c r="C945" s="79"/>
      <c r="D945" s="79"/>
      <c r="J945" s="79"/>
      <c r="P945" s="79"/>
      <c r="Q945" s="79"/>
      <c r="T945" s="79"/>
      <c r="U945" s="79"/>
      <c r="X945" s="130"/>
      <c r="Z945" s="106"/>
    </row>
    <row r="946">
      <c r="C946" s="79"/>
      <c r="D946" s="79"/>
      <c r="J946" s="79"/>
      <c r="P946" s="79"/>
      <c r="Q946" s="79"/>
      <c r="T946" s="79"/>
      <c r="U946" s="79"/>
      <c r="X946" s="130"/>
      <c r="Z946" s="106"/>
    </row>
    <row r="947">
      <c r="C947" s="79"/>
      <c r="D947" s="79"/>
      <c r="J947" s="79"/>
      <c r="P947" s="79"/>
      <c r="Q947" s="79"/>
      <c r="T947" s="79"/>
      <c r="U947" s="79"/>
      <c r="X947" s="130"/>
      <c r="Z947" s="106"/>
    </row>
    <row r="948">
      <c r="C948" s="79"/>
      <c r="D948" s="79"/>
      <c r="J948" s="79"/>
      <c r="P948" s="79"/>
      <c r="Q948" s="79"/>
      <c r="T948" s="79"/>
      <c r="U948" s="79"/>
      <c r="X948" s="130"/>
      <c r="Z948" s="106"/>
    </row>
    <row r="949">
      <c r="C949" s="79"/>
      <c r="D949" s="79"/>
      <c r="J949" s="79"/>
      <c r="P949" s="79"/>
      <c r="Q949" s="79"/>
      <c r="T949" s="79"/>
      <c r="U949" s="79"/>
      <c r="X949" s="130"/>
      <c r="Z949" s="106"/>
    </row>
    <row r="950">
      <c r="C950" s="79"/>
      <c r="D950" s="79"/>
      <c r="J950" s="79"/>
      <c r="P950" s="79"/>
      <c r="Q950" s="79"/>
      <c r="T950" s="79"/>
      <c r="U950" s="79"/>
      <c r="X950" s="130"/>
      <c r="Z950" s="106"/>
    </row>
    <row r="951">
      <c r="C951" s="79"/>
      <c r="D951" s="79"/>
      <c r="J951" s="79"/>
      <c r="P951" s="79"/>
      <c r="Q951" s="79"/>
      <c r="T951" s="79"/>
      <c r="U951" s="79"/>
      <c r="X951" s="130"/>
      <c r="Z951" s="106"/>
    </row>
    <row r="952">
      <c r="C952" s="79"/>
      <c r="D952" s="79"/>
      <c r="J952" s="79"/>
      <c r="P952" s="79"/>
      <c r="Q952" s="79"/>
      <c r="T952" s="79"/>
      <c r="U952" s="79"/>
      <c r="X952" s="130"/>
      <c r="Z952" s="106"/>
    </row>
    <row r="953">
      <c r="C953" s="79"/>
      <c r="D953" s="79"/>
      <c r="J953" s="79"/>
      <c r="P953" s="79"/>
      <c r="Q953" s="79"/>
      <c r="T953" s="79"/>
      <c r="U953" s="79"/>
      <c r="X953" s="130"/>
      <c r="Z953" s="106"/>
    </row>
    <row r="954">
      <c r="C954" s="79"/>
      <c r="D954" s="79"/>
      <c r="J954" s="79"/>
      <c r="P954" s="79"/>
      <c r="Q954" s="79"/>
      <c r="T954" s="79"/>
      <c r="U954" s="79"/>
      <c r="X954" s="130"/>
      <c r="Z954" s="106"/>
    </row>
    <row r="955">
      <c r="C955" s="79"/>
      <c r="D955" s="79"/>
      <c r="J955" s="79"/>
      <c r="P955" s="79"/>
      <c r="Q955" s="79"/>
      <c r="T955" s="79"/>
      <c r="U955" s="79"/>
      <c r="X955" s="130"/>
      <c r="Z955" s="106"/>
    </row>
    <row r="956">
      <c r="C956" s="79"/>
      <c r="D956" s="79"/>
      <c r="J956" s="79"/>
      <c r="P956" s="79"/>
      <c r="Q956" s="79"/>
      <c r="T956" s="79"/>
      <c r="U956" s="79"/>
      <c r="X956" s="130"/>
      <c r="Z956" s="106"/>
    </row>
    <row r="957">
      <c r="C957" s="79"/>
      <c r="D957" s="79"/>
      <c r="J957" s="79"/>
      <c r="P957" s="79"/>
      <c r="Q957" s="79"/>
      <c r="T957" s="79"/>
      <c r="U957" s="79"/>
      <c r="X957" s="130"/>
      <c r="Z957" s="106"/>
    </row>
    <row r="958">
      <c r="C958" s="79"/>
      <c r="D958" s="79"/>
      <c r="J958" s="79"/>
      <c r="P958" s="79"/>
      <c r="Q958" s="79"/>
      <c r="T958" s="79"/>
      <c r="U958" s="79"/>
      <c r="X958" s="130"/>
      <c r="Z958" s="106"/>
    </row>
    <row r="959">
      <c r="C959" s="79"/>
      <c r="D959" s="79"/>
      <c r="J959" s="79"/>
      <c r="P959" s="79"/>
      <c r="Q959" s="79"/>
      <c r="T959" s="79"/>
      <c r="U959" s="79"/>
      <c r="X959" s="130"/>
      <c r="Z959" s="106"/>
    </row>
    <row r="960">
      <c r="C960" s="79"/>
      <c r="D960" s="79"/>
      <c r="J960" s="79"/>
      <c r="P960" s="79"/>
      <c r="Q960" s="79"/>
      <c r="T960" s="79"/>
      <c r="U960" s="79"/>
      <c r="X960" s="130"/>
      <c r="Z960" s="106"/>
    </row>
    <row r="961">
      <c r="C961" s="79"/>
      <c r="D961" s="79"/>
      <c r="J961" s="79"/>
      <c r="P961" s="79"/>
      <c r="Q961" s="79"/>
      <c r="T961" s="79"/>
      <c r="U961" s="79"/>
      <c r="X961" s="130"/>
      <c r="Z961" s="106"/>
    </row>
    <row r="962">
      <c r="C962" s="79"/>
      <c r="D962" s="79"/>
      <c r="J962" s="79"/>
      <c r="P962" s="79"/>
      <c r="Q962" s="79"/>
      <c r="T962" s="79"/>
      <c r="U962" s="79"/>
      <c r="X962" s="130"/>
      <c r="Z962" s="106"/>
    </row>
    <row r="963">
      <c r="C963" s="79"/>
      <c r="D963" s="79"/>
      <c r="J963" s="79"/>
      <c r="P963" s="79"/>
      <c r="Q963" s="79"/>
      <c r="T963" s="79"/>
      <c r="U963" s="79"/>
      <c r="X963" s="130"/>
      <c r="Z963" s="106"/>
    </row>
    <row r="964">
      <c r="C964" s="79"/>
      <c r="D964" s="79"/>
      <c r="J964" s="79"/>
      <c r="P964" s="79"/>
      <c r="Q964" s="79"/>
      <c r="T964" s="79"/>
      <c r="U964" s="79"/>
      <c r="X964" s="130"/>
      <c r="Z964" s="106"/>
    </row>
    <row r="965">
      <c r="C965" s="79"/>
      <c r="D965" s="79"/>
      <c r="J965" s="79"/>
      <c r="P965" s="79"/>
      <c r="Q965" s="79"/>
      <c r="T965" s="79"/>
      <c r="U965" s="79"/>
      <c r="X965" s="130"/>
      <c r="Z965" s="106"/>
    </row>
    <row r="966">
      <c r="C966" s="79"/>
      <c r="D966" s="79"/>
      <c r="J966" s="79"/>
      <c r="P966" s="79"/>
      <c r="Q966" s="79"/>
      <c r="T966" s="79"/>
      <c r="U966" s="79"/>
      <c r="X966" s="130"/>
      <c r="Z966" s="106"/>
    </row>
    <row r="967">
      <c r="C967" s="79"/>
      <c r="D967" s="79"/>
      <c r="J967" s="79"/>
      <c r="P967" s="79"/>
      <c r="Q967" s="79"/>
      <c r="T967" s="79"/>
      <c r="U967" s="79"/>
      <c r="X967" s="130"/>
      <c r="Z967" s="106"/>
    </row>
    <row r="968">
      <c r="C968" s="79"/>
      <c r="D968" s="79"/>
      <c r="J968" s="79"/>
      <c r="P968" s="79"/>
      <c r="Q968" s="79"/>
      <c r="T968" s="79"/>
      <c r="U968" s="79"/>
      <c r="X968" s="130"/>
      <c r="Z968" s="106"/>
    </row>
    <row r="969">
      <c r="C969" s="79"/>
      <c r="D969" s="79"/>
      <c r="J969" s="79"/>
      <c r="P969" s="79"/>
      <c r="Q969" s="79"/>
      <c r="T969" s="79"/>
      <c r="U969" s="79"/>
      <c r="X969" s="130"/>
      <c r="Z969" s="106"/>
    </row>
    <row r="970">
      <c r="C970" s="79"/>
      <c r="D970" s="79"/>
      <c r="J970" s="79"/>
      <c r="P970" s="79"/>
      <c r="Q970" s="79"/>
      <c r="T970" s="79"/>
      <c r="U970" s="79"/>
      <c r="X970" s="130"/>
      <c r="Z970" s="106"/>
    </row>
    <row r="971">
      <c r="C971" s="79"/>
      <c r="D971" s="79"/>
      <c r="J971" s="79"/>
      <c r="P971" s="79"/>
      <c r="Q971" s="79"/>
      <c r="T971" s="79"/>
      <c r="U971" s="79"/>
      <c r="X971" s="130"/>
      <c r="Z971" s="106"/>
    </row>
    <row r="972">
      <c r="C972" s="79"/>
      <c r="D972" s="79"/>
      <c r="J972" s="79"/>
      <c r="P972" s="79"/>
      <c r="Q972" s="79"/>
      <c r="T972" s="79"/>
      <c r="U972" s="79"/>
      <c r="X972" s="130"/>
      <c r="Z972" s="106"/>
    </row>
    <row r="973">
      <c r="C973" s="79"/>
      <c r="D973" s="79"/>
      <c r="J973" s="79"/>
      <c r="P973" s="79"/>
      <c r="Q973" s="79"/>
      <c r="T973" s="79"/>
      <c r="U973" s="79"/>
      <c r="X973" s="130"/>
      <c r="Z973" s="106"/>
    </row>
    <row r="974">
      <c r="C974" s="79"/>
      <c r="D974" s="79"/>
      <c r="J974" s="79"/>
      <c r="P974" s="79"/>
      <c r="Q974" s="79"/>
      <c r="T974" s="79"/>
      <c r="U974" s="79"/>
      <c r="X974" s="130"/>
      <c r="Z974" s="106"/>
    </row>
    <row r="975">
      <c r="C975" s="79"/>
      <c r="D975" s="79"/>
      <c r="J975" s="79"/>
      <c r="P975" s="79"/>
      <c r="Q975" s="79"/>
      <c r="T975" s="79"/>
      <c r="U975" s="79"/>
      <c r="X975" s="130"/>
      <c r="Z975" s="106"/>
    </row>
    <row r="976">
      <c r="C976" s="79"/>
      <c r="D976" s="79"/>
      <c r="J976" s="79"/>
      <c r="P976" s="79"/>
      <c r="Q976" s="79"/>
      <c r="T976" s="79"/>
      <c r="U976" s="79"/>
      <c r="X976" s="130"/>
      <c r="Z976" s="106"/>
    </row>
    <row r="977">
      <c r="C977" s="79"/>
      <c r="D977" s="79"/>
      <c r="J977" s="79"/>
      <c r="P977" s="79"/>
      <c r="Q977" s="79"/>
      <c r="T977" s="79"/>
      <c r="U977" s="79"/>
      <c r="X977" s="130"/>
      <c r="Z977" s="106"/>
    </row>
    <row r="978">
      <c r="C978" s="79"/>
      <c r="D978" s="79"/>
      <c r="J978" s="79"/>
      <c r="P978" s="79"/>
      <c r="Q978" s="79"/>
      <c r="T978" s="79"/>
      <c r="U978" s="79"/>
      <c r="X978" s="130"/>
      <c r="Z978" s="106"/>
    </row>
    <row r="979">
      <c r="C979" s="79"/>
      <c r="D979" s="79"/>
      <c r="J979" s="79"/>
      <c r="P979" s="79"/>
      <c r="Q979" s="79"/>
      <c r="T979" s="79"/>
      <c r="U979" s="79"/>
      <c r="X979" s="130"/>
      <c r="Z979" s="106"/>
    </row>
    <row r="980">
      <c r="C980" s="79"/>
      <c r="D980" s="79"/>
      <c r="J980" s="79"/>
      <c r="P980" s="79"/>
      <c r="Q980" s="79"/>
      <c r="T980" s="79"/>
      <c r="U980" s="79"/>
      <c r="X980" s="130"/>
      <c r="Z980" s="106"/>
    </row>
    <row r="981">
      <c r="C981" s="79"/>
      <c r="D981" s="79"/>
      <c r="J981" s="79"/>
      <c r="P981" s="79"/>
      <c r="Q981" s="79"/>
      <c r="T981" s="79"/>
      <c r="U981" s="79"/>
      <c r="X981" s="130"/>
      <c r="Z981" s="106"/>
    </row>
    <row r="982">
      <c r="C982" s="79"/>
      <c r="D982" s="79"/>
      <c r="J982" s="79"/>
      <c r="P982" s="79"/>
      <c r="Q982" s="79"/>
      <c r="T982" s="79"/>
      <c r="U982" s="79"/>
      <c r="X982" s="130"/>
      <c r="Z982" s="106"/>
    </row>
    <row r="983">
      <c r="C983" s="79"/>
      <c r="D983" s="79"/>
      <c r="J983" s="79"/>
      <c r="P983" s="79"/>
      <c r="Q983" s="79"/>
      <c r="T983" s="79"/>
      <c r="U983" s="79"/>
      <c r="X983" s="130"/>
      <c r="Z983" s="106"/>
    </row>
    <row r="984">
      <c r="C984" s="79"/>
      <c r="D984" s="79"/>
      <c r="J984" s="79"/>
      <c r="P984" s="79"/>
      <c r="Q984" s="79"/>
      <c r="T984" s="79"/>
      <c r="U984" s="79"/>
      <c r="X984" s="130"/>
      <c r="Z984" s="106"/>
    </row>
    <row r="985">
      <c r="C985" s="79"/>
      <c r="D985" s="79"/>
      <c r="J985" s="79"/>
      <c r="P985" s="79"/>
      <c r="Q985" s="79"/>
      <c r="T985" s="79"/>
      <c r="U985" s="79"/>
      <c r="X985" s="130"/>
      <c r="Z985" s="106"/>
    </row>
    <row r="986">
      <c r="C986" s="79"/>
      <c r="D986" s="79"/>
      <c r="J986" s="79"/>
      <c r="P986" s="79"/>
      <c r="Q986" s="79"/>
      <c r="T986" s="79"/>
      <c r="U986" s="79"/>
      <c r="X986" s="130"/>
      <c r="Z986" s="106"/>
    </row>
    <row r="987">
      <c r="C987" s="79"/>
      <c r="D987" s="79"/>
      <c r="J987" s="79"/>
      <c r="P987" s="79"/>
      <c r="Q987" s="79"/>
      <c r="T987" s="79"/>
      <c r="U987" s="79"/>
      <c r="X987" s="130"/>
      <c r="Z987" s="106"/>
    </row>
    <row r="988">
      <c r="C988" s="79"/>
      <c r="D988" s="79"/>
      <c r="J988" s="79"/>
      <c r="P988" s="79"/>
      <c r="Q988" s="79"/>
      <c r="T988" s="79"/>
      <c r="U988" s="79"/>
      <c r="X988" s="130"/>
      <c r="Z988" s="106"/>
    </row>
    <row r="989">
      <c r="C989" s="79"/>
      <c r="D989" s="79"/>
      <c r="J989" s="79"/>
      <c r="P989" s="79"/>
      <c r="Q989" s="79"/>
      <c r="T989" s="79"/>
      <c r="U989" s="79"/>
      <c r="X989" s="130"/>
      <c r="Z989" s="106"/>
    </row>
    <row r="990">
      <c r="C990" s="79"/>
      <c r="D990" s="79"/>
      <c r="J990" s="79"/>
      <c r="P990" s="79"/>
      <c r="Q990" s="79"/>
      <c r="T990" s="79"/>
      <c r="U990" s="79"/>
      <c r="X990" s="130"/>
      <c r="Z990" s="106"/>
    </row>
    <row r="991">
      <c r="C991" s="79"/>
      <c r="D991" s="79"/>
      <c r="J991" s="79"/>
      <c r="P991" s="79"/>
      <c r="Q991" s="79"/>
      <c r="T991" s="79"/>
      <c r="U991" s="79"/>
      <c r="X991" s="130"/>
      <c r="Z991" s="106"/>
    </row>
    <row r="992">
      <c r="C992" s="79"/>
      <c r="D992" s="79"/>
      <c r="J992" s="79"/>
      <c r="P992" s="79"/>
      <c r="Q992" s="79"/>
      <c r="T992" s="79"/>
      <c r="U992" s="79"/>
      <c r="X992" s="130"/>
      <c r="Z992" s="106"/>
    </row>
    <row r="993">
      <c r="C993" s="79"/>
      <c r="D993" s="79"/>
      <c r="J993" s="79"/>
      <c r="P993" s="79"/>
      <c r="Q993" s="79"/>
      <c r="T993" s="79"/>
      <c r="U993" s="79"/>
      <c r="X993" s="130"/>
      <c r="Z993" s="106"/>
    </row>
    <row r="994">
      <c r="C994" s="79"/>
      <c r="D994" s="79"/>
      <c r="J994" s="79"/>
      <c r="P994" s="79"/>
      <c r="Q994" s="79"/>
      <c r="T994" s="79"/>
      <c r="U994" s="79"/>
      <c r="X994" s="130"/>
      <c r="Z994" s="106"/>
    </row>
    <row r="995">
      <c r="C995" s="79"/>
      <c r="D995" s="79"/>
      <c r="J995" s="79"/>
      <c r="P995" s="79"/>
      <c r="Q995" s="79"/>
      <c r="T995" s="79"/>
      <c r="U995" s="79"/>
      <c r="X995" s="130"/>
      <c r="Z995" s="106"/>
    </row>
    <row r="996">
      <c r="C996" s="79"/>
      <c r="D996" s="79"/>
      <c r="J996" s="79"/>
      <c r="P996" s="79"/>
      <c r="Q996" s="79"/>
      <c r="T996" s="79"/>
      <c r="U996" s="79"/>
      <c r="X996" s="130"/>
      <c r="Z996" s="106"/>
    </row>
    <row r="997">
      <c r="C997" s="79"/>
      <c r="D997" s="79"/>
      <c r="J997" s="79"/>
      <c r="P997" s="79"/>
      <c r="Q997" s="79"/>
      <c r="T997" s="79"/>
      <c r="U997" s="79"/>
      <c r="X997" s="130"/>
      <c r="Z997" s="106"/>
    </row>
    <row r="998">
      <c r="C998" s="79"/>
      <c r="D998" s="79"/>
      <c r="J998" s="79"/>
      <c r="P998" s="79"/>
      <c r="Q998" s="79"/>
      <c r="T998" s="79"/>
      <c r="U998" s="79"/>
      <c r="X998" s="130"/>
      <c r="Z998" s="106"/>
    </row>
    <row r="999">
      <c r="C999" s="79"/>
      <c r="D999" s="79"/>
      <c r="J999" s="79"/>
      <c r="P999" s="79"/>
      <c r="Q999" s="79"/>
      <c r="T999" s="79"/>
      <c r="U999" s="79"/>
      <c r="X999" s="130"/>
      <c r="Z999" s="106"/>
    </row>
    <row r="1000">
      <c r="C1000" s="79"/>
      <c r="D1000" s="79"/>
      <c r="J1000" s="79"/>
      <c r="P1000" s="79"/>
      <c r="Q1000" s="79"/>
      <c r="T1000" s="79"/>
      <c r="U1000" s="79"/>
      <c r="X1000" s="130"/>
      <c r="Z1000" s="106"/>
    </row>
  </sheetData>
  <mergeCells count="1">
    <mergeCell ref="H19:J19"/>
  </mergeCells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5" max="25" width="17.0"/>
  </cols>
  <sheetData>
    <row r="1">
      <c r="B1" s="2" t="s">
        <v>0</v>
      </c>
      <c r="C1" s="105" t="s">
        <v>1</v>
      </c>
      <c r="D1" s="105" t="s">
        <v>7</v>
      </c>
      <c r="E1" s="2" t="s">
        <v>3</v>
      </c>
      <c r="F1" s="2" t="s">
        <v>129</v>
      </c>
      <c r="G1" s="2" t="s">
        <v>5</v>
      </c>
      <c r="H1" s="2" t="s">
        <v>6</v>
      </c>
      <c r="I1" s="2" t="s">
        <v>43</v>
      </c>
      <c r="J1" s="105" t="s">
        <v>40</v>
      </c>
      <c r="K1" s="2" t="s">
        <v>49</v>
      </c>
      <c r="L1" s="2" t="s">
        <v>42</v>
      </c>
      <c r="M1" s="2" t="s">
        <v>121</v>
      </c>
      <c r="N1" s="2" t="s">
        <v>164</v>
      </c>
      <c r="O1" s="105" t="s">
        <v>9</v>
      </c>
      <c r="P1" s="105" t="s">
        <v>165</v>
      </c>
      <c r="Q1" s="2" t="s">
        <v>37</v>
      </c>
      <c r="R1" s="2" t="s">
        <v>10</v>
      </c>
      <c r="S1" s="105" t="s">
        <v>11</v>
      </c>
      <c r="T1" s="105" t="s">
        <v>167</v>
      </c>
      <c r="U1" s="2" t="s">
        <v>12</v>
      </c>
      <c r="V1" s="3" t="s">
        <v>13</v>
      </c>
      <c r="W1" s="126" t="s">
        <v>14</v>
      </c>
      <c r="X1" s="3" t="s">
        <v>15</v>
      </c>
      <c r="Y1" s="106"/>
    </row>
    <row r="2">
      <c r="A2" s="74">
        <v>45180.0</v>
      </c>
      <c r="B2" s="5">
        <v>1007.94</v>
      </c>
      <c r="C2" s="93">
        <v>453.8</v>
      </c>
      <c r="D2" s="93"/>
      <c r="E2" s="5"/>
      <c r="F2" s="5">
        <v>448.6</v>
      </c>
      <c r="G2" s="5"/>
      <c r="H2" s="5"/>
      <c r="I2" s="5"/>
      <c r="J2" s="136"/>
      <c r="K2" s="5">
        <v>168.0</v>
      </c>
      <c r="L2" s="5">
        <v>1102.0</v>
      </c>
      <c r="M2" s="5"/>
      <c r="N2" s="5">
        <v>252.0</v>
      </c>
      <c r="O2" s="93"/>
      <c r="P2" s="93"/>
      <c r="Q2" s="5"/>
      <c r="R2" s="5"/>
      <c r="S2" s="93">
        <v>109.97</v>
      </c>
      <c r="T2" s="93"/>
      <c r="U2" s="5"/>
      <c r="V2" s="107">
        <f t="shared" ref="V2:V7" si="1">SUM(B2:U2)</f>
        <v>3542.31</v>
      </c>
      <c r="W2" s="108">
        <v>12450.0</v>
      </c>
      <c r="X2" s="59">
        <f t="shared" ref="X2:X8" si="2">V2/W2</f>
        <v>0.2845228916</v>
      </c>
      <c r="Y2" s="109">
        <f t="shared" ref="Y2:Y8" si="3">A2</f>
        <v>45180</v>
      </c>
    </row>
    <row r="3">
      <c r="A3" s="74">
        <v>45181.0</v>
      </c>
      <c r="B3" s="5">
        <v>1724.77</v>
      </c>
      <c r="C3" s="110"/>
      <c r="D3" s="93"/>
      <c r="E3" s="5"/>
      <c r="F3" s="5"/>
      <c r="G3" s="5">
        <v>507.6</v>
      </c>
      <c r="H3" s="5">
        <v>42.0</v>
      </c>
      <c r="I3" s="5"/>
      <c r="J3" s="93"/>
      <c r="K3" s="5"/>
      <c r="L3" s="5"/>
      <c r="M3" s="6"/>
      <c r="N3" s="6"/>
      <c r="O3" s="93"/>
      <c r="P3" s="93">
        <v>188.0</v>
      </c>
      <c r="Q3" s="93"/>
      <c r="R3" s="5"/>
      <c r="S3" s="93"/>
      <c r="T3" s="93"/>
      <c r="U3" s="93">
        <v>179.96</v>
      </c>
      <c r="V3" s="7">
        <f t="shared" si="1"/>
        <v>2642.33</v>
      </c>
      <c r="W3" s="97">
        <v>17143.5</v>
      </c>
      <c r="X3" s="59">
        <f t="shared" si="2"/>
        <v>0.1541301368</v>
      </c>
      <c r="Y3" s="109">
        <f t="shared" si="3"/>
        <v>45181</v>
      </c>
    </row>
    <row r="4">
      <c r="A4" s="74">
        <v>45182.0</v>
      </c>
      <c r="B4" s="5">
        <v>573.97</v>
      </c>
      <c r="C4" s="93">
        <v>185.0</v>
      </c>
      <c r="D4" s="93"/>
      <c r="E4" s="5"/>
      <c r="F4" s="5">
        <v>263.77</v>
      </c>
      <c r="G4" s="5"/>
      <c r="H4" s="5"/>
      <c r="I4" s="5"/>
      <c r="J4" s="93"/>
      <c r="K4" s="5"/>
      <c r="L4" s="5"/>
      <c r="M4" s="5">
        <v>18.5</v>
      </c>
      <c r="N4" s="5"/>
      <c r="O4" s="93"/>
      <c r="P4" s="93"/>
      <c r="Q4" s="5"/>
      <c r="R4" s="83"/>
      <c r="S4" s="93">
        <v>109.97</v>
      </c>
      <c r="T4" s="93"/>
      <c r="U4" s="6"/>
      <c r="V4" s="7">
        <f t="shared" si="1"/>
        <v>1151.21</v>
      </c>
      <c r="W4" s="97">
        <v>6196.6</v>
      </c>
      <c r="X4" s="59">
        <f t="shared" si="2"/>
        <v>0.1857809121</v>
      </c>
      <c r="Y4" s="109">
        <f t="shared" si="3"/>
        <v>45182</v>
      </c>
    </row>
    <row r="5">
      <c r="A5" s="74">
        <v>45183.0</v>
      </c>
      <c r="B5" s="5">
        <v>1029.94</v>
      </c>
      <c r="C5" s="93">
        <v>772.92</v>
      </c>
      <c r="D5" s="101"/>
      <c r="E5" s="5">
        <v>280.0</v>
      </c>
      <c r="F5" s="5">
        <v>171.64</v>
      </c>
      <c r="G5" s="5"/>
      <c r="H5" s="5">
        <v>123.0</v>
      </c>
      <c r="I5" s="5"/>
      <c r="J5" s="93"/>
      <c r="K5" s="5"/>
      <c r="L5" s="5"/>
      <c r="M5" s="5">
        <v>18.5</v>
      </c>
      <c r="N5" s="5"/>
      <c r="O5" s="93"/>
      <c r="P5" s="93"/>
      <c r="Q5" s="5"/>
      <c r="R5" s="5"/>
      <c r="S5" s="101"/>
      <c r="T5" s="101"/>
      <c r="U5" s="6"/>
      <c r="V5" s="7">
        <f t="shared" si="1"/>
        <v>2396</v>
      </c>
      <c r="W5" s="98">
        <v>8182.6</v>
      </c>
      <c r="X5" s="59">
        <f t="shared" si="2"/>
        <v>0.2928164642</v>
      </c>
      <c r="Y5" s="109">
        <f t="shared" si="3"/>
        <v>45183</v>
      </c>
    </row>
    <row r="6">
      <c r="A6" s="74">
        <v>45184.0</v>
      </c>
      <c r="B6" s="5">
        <v>673.74</v>
      </c>
      <c r="C6" s="93"/>
      <c r="D6" s="93"/>
      <c r="E6" s="5"/>
      <c r="F6" s="32">
        <v>1187.01</v>
      </c>
      <c r="G6" s="5">
        <v>350.7</v>
      </c>
      <c r="H6" s="5"/>
      <c r="I6" s="5"/>
      <c r="J6" s="111"/>
      <c r="K6" s="5"/>
      <c r="L6" s="5"/>
      <c r="M6" s="5">
        <v>18.5</v>
      </c>
      <c r="N6" s="5"/>
      <c r="O6" s="93"/>
      <c r="P6" s="93"/>
      <c r="Q6" s="5"/>
      <c r="R6" s="5"/>
      <c r="S6" s="93">
        <v>109.97</v>
      </c>
      <c r="T6" s="93"/>
      <c r="U6" s="5"/>
      <c r="V6" s="7">
        <f t="shared" si="1"/>
        <v>2339.92</v>
      </c>
      <c r="W6" s="97">
        <v>9886.5</v>
      </c>
      <c r="X6" s="59">
        <f t="shared" si="2"/>
        <v>0.2366782987</v>
      </c>
      <c r="Y6" s="109">
        <f t="shared" si="3"/>
        <v>45184</v>
      </c>
    </row>
    <row r="7">
      <c r="A7" s="74">
        <v>45185.0</v>
      </c>
      <c r="B7" s="5">
        <v>651.05</v>
      </c>
      <c r="C7" s="93">
        <v>142.68</v>
      </c>
      <c r="D7" s="93"/>
      <c r="E7" s="5"/>
      <c r="F7" s="5">
        <v>185.79</v>
      </c>
      <c r="G7" s="5"/>
      <c r="H7" s="5"/>
      <c r="I7" s="5"/>
      <c r="J7" s="101"/>
      <c r="K7" s="5">
        <v>84.0</v>
      </c>
      <c r="L7" s="5"/>
      <c r="M7" s="93"/>
      <c r="N7" s="93"/>
      <c r="O7" s="93"/>
      <c r="P7" s="93"/>
      <c r="Q7" s="6"/>
      <c r="R7" s="6"/>
      <c r="S7" s="101"/>
      <c r="T7" s="101"/>
      <c r="U7" s="5">
        <v>54.78</v>
      </c>
      <c r="V7" s="7">
        <f t="shared" si="1"/>
        <v>1118.3</v>
      </c>
      <c r="W7" s="97">
        <v>13984.6</v>
      </c>
      <c r="X7" s="59">
        <f t="shared" si="2"/>
        <v>0.07996653462</v>
      </c>
      <c r="Y7" s="109">
        <f t="shared" si="3"/>
        <v>45185</v>
      </c>
    </row>
    <row r="8">
      <c r="A8" s="74">
        <v>45186.0</v>
      </c>
      <c r="B8" s="10" t="s">
        <v>21</v>
      </c>
      <c r="C8" s="112" t="s">
        <v>21</v>
      </c>
      <c r="D8" s="112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12" t="s">
        <v>21</v>
      </c>
      <c r="K8" s="10" t="s">
        <v>21</v>
      </c>
      <c r="L8" s="10" t="s">
        <v>21</v>
      </c>
      <c r="M8" s="10"/>
      <c r="N8" s="10"/>
      <c r="O8" s="112" t="s">
        <v>21</v>
      </c>
      <c r="P8" s="112"/>
      <c r="Q8" s="10" t="s">
        <v>21</v>
      </c>
      <c r="R8" s="10" t="s">
        <v>21</v>
      </c>
      <c r="S8" s="112" t="s">
        <v>21</v>
      </c>
      <c r="T8" s="112"/>
      <c r="U8" s="10" t="s">
        <v>21</v>
      </c>
      <c r="V8" s="7">
        <v>0.0</v>
      </c>
      <c r="W8" s="97">
        <v>8047.2</v>
      </c>
      <c r="X8" s="59">
        <f t="shared" si="2"/>
        <v>0</v>
      </c>
      <c r="Y8" s="109">
        <f t="shared" si="3"/>
        <v>45186</v>
      </c>
    </row>
    <row r="9">
      <c r="C9" s="136"/>
      <c r="D9" s="138"/>
      <c r="J9" s="79"/>
      <c r="S9" s="79"/>
      <c r="T9" s="79"/>
      <c r="W9" s="129"/>
      <c r="Y9" s="106"/>
    </row>
    <row r="10">
      <c r="C10" s="79"/>
      <c r="D10" s="79"/>
      <c r="J10" s="79"/>
      <c r="O10" s="79"/>
      <c r="P10" s="79"/>
      <c r="S10" s="79"/>
      <c r="T10" s="79"/>
      <c r="W10" s="130"/>
      <c r="Y10" s="106"/>
    </row>
    <row r="11">
      <c r="A11" s="4" t="s">
        <v>22</v>
      </c>
      <c r="B11" s="11">
        <v>13000.0</v>
      </c>
      <c r="C11" s="79"/>
      <c r="D11" s="79"/>
      <c r="E11" s="78"/>
      <c r="F11" s="79"/>
      <c r="J11" s="79"/>
      <c r="O11" s="79"/>
      <c r="P11" s="79"/>
      <c r="S11" s="79"/>
      <c r="T11" s="79"/>
      <c r="W11" s="131"/>
      <c r="Y11" s="106"/>
    </row>
    <row r="12">
      <c r="A12" s="4" t="s">
        <v>23</v>
      </c>
      <c r="B12" s="12">
        <f>SUM(B2:U8)+C9</f>
        <v>13190.07</v>
      </c>
      <c r="C12" s="79"/>
      <c r="D12" s="79"/>
      <c r="E12" s="56"/>
      <c r="J12" s="79"/>
      <c r="O12" s="79"/>
      <c r="P12" s="79"/>
      <c r="S12" s="79"/>
      <c r="T12" s="79"/>
      <c r="W12" s="130"/>
      <c r="Y12" s="106"/>
    </row>
    <row r="13">
      <c r="A13" s="4" t="s">
        <v>24</v>
      </c>
      <c r="B13" s="12">
        <f> SUM(B11-B12)</f>
        <v>-190.07</v>
      </c>
      <c r="C13" s="79"/>
      <c r="D13" s="79"/>
      <c r="J13" s="79"/>
      <c r="O13" s="79"/>
      <c r="P13" s="79"/>
      <c r="S13" s="79"/>
      <c r="T13" s="79"/>
      <c r="W13" s="130"/>
      <c r="Y13" s="106"/>
    </row>
    <row r="14">
      <c r="C14" s="79"/>
      <c r="D14" s="79"/>
      <c r="J14" s="79"/>
      <c r="O14" s="79"/>
      <c r="P14" s="79"/>
      <c r="S14" s="79"/>
      <c r="T14" s="79"/>
      <c r="W14" s="130"/>
      <c r="Y14" s="106"/>
    </row>
    <row r="15">
      <c r="A15" s="13" t="s">
        <v>25</v>
      </c>
      <c r="B15" s="14">
        <f>SUM(W2:W8)</f>
        <v>75891</v>
      </c>
      <c r="C15" s="79"/>
      <c r="D15" s="79"/>
      <c r="J15" s="79"/>
      <c r="O15" s="79"/>
      <c r="P15" s="79"/>
      <c r="S15" s="79"/>
      <c r="T15" s="79"/>
      <c r="W15" s="130"/>
      <c r="Y15" s="106"/>
    </row>
    <row r="16">
      <c r="A16" s="13" t="s">
        <v>26</v>
      </c>
      <c r="B16" s="15">
        <f>B12/B15</f>
        <v>0.1738028225</v>
      </c>
      <c r="C16" s="79"/>
      <c r="D16" s="79"/>
      <c r="J16" s="79"/>
      <c r="O16" s="79"/>
      <c r="P16" s="79"/>
      <c r="S16" s="79"/>
      <c r="T16" s="79"/>
      <c r="W16" s="130"/>
      <c r="Y16" s="106"/>
    </row>
    <row r="17">
      <c r="C17" s="79"/>
      <c r="D17" s="79"/>
      <c r="J17" s="79"/>
      <c r="O17" s="79"/>
      <c r="P17" s="79"/>
      <c r="S17" s="79"/>
      <c r="T17" s="79"/>
      <c r="W17" s="130"/>
      <c r="Y17" s="106"/>
    </row>
    <row r="18">
      <c r="C18" s="79"/>
      <c r="D18" s="79"/>
      <c r="J18" s="79"/>
      <c r="O18" s="79"/>
      <c r="P18" s="79"/>
      <c r="S18" s="79"/>
      <c r="T18" s="79"/>
      <c r="W18" s="130"/>
      <c r="Y18" s="106"/>
    </row>
    <row r="19">
      <c r="A19" s="16" t="s">
        <v>27</v>
      </c>
      <c r="B19" s="17"/>
      <c r="C19" s="114"/>
      <c r="D19" s="115"/>
      <c r="H19" s="84"/>
      <c r="O19" s="79"/>
      <c r="P19" s="79"/>
      <c r="S19" s="79"/>
      <c r="T19" s="79"/>
      <c r="W19" s="130"/>
      <c r="Y19" s="106"/>
    </row>
    <row r="20">
      <c r="A20" s="19" t="s">
        <v>28</v>
      </c>
      <c r="B20" s="20"/>
      <c r="C20" s="116"/>
      <c r="D20" s="117"/>
      <c r="H20" s="85"/>
      <c r="I20" s="85"/>
      <c r="J20" s="118"/>
      <c r="O20" s="79"/>
      <c r="P20" s="79"/>
      <c r="S20" s="79"/>
      <c r="T20" s="79"/>
      <c r="W20" s="130"/>
      <c r="Y20" s="106"/>
    </row>
    <row r="21">
      <c r="A21" s="22" t="s">
        <v>29</v>
      </c>
      <c r="B21" s="23" t="s">
        <v>30</v>
      </c>
      <c r="C21" s="119" t="s">
        <v>170</v>
      </c>
      <c r="D21" s="120" t="s">
        <v>171</v>
      </c>
      <c r="H21" s="86"/>
      <c r="I21" s="85"/>
      <c r="J21" s="118"/>
      <c r="O21" s="79"/>
      <c r="P21" s="79"/>
      <c r="S21" s="79"/>
      <c r="T21" s="79"/>
      <c r="W21" s="130"/>
      <c r="Y21" s="106"/>
    </row>
    <row r="22">
      <c r="A22" s="28" t="s">
        <v>149</v>
      </c>
      <c r="B22" s="72"/>
      <c r="C22" s="121"/>
      <c r="D22" s="122"/>
      <c r="H22" s="87"/>
      <c r="I22" s="85"/>
      <c r="J22" s="118"/>
      <c r="O22" s="79"/>
      <c r="P22" s="79"/>
      <c r="S22" s="79"/>
      <c r="T22" s="79"/>
      <c r="W22" s="130"/>
      <c r="Y22" s="106"/>
    </row>
    <row r="23">
      <c r="A23" s="28" t="s">
        <v>150</v>
      </c>
      <c r="B23" s="72"/>
      <c r="C23" s="121"/>
      <c r="D23" s="122"/>
      <c r="H23" s="88"/>
      <c r="I23" s="88"/>
      <c r="J23" s="123"/>
      <c r="O23" s="79"/>
      <c r="P23" s="79"/>
      <c r="S23" s="79"/>
      <c r="T23" s="79"/>
      <c r="W23" s="130"/>
      <c r="Y23" s="106"/>
    </row>
    <row r="24">
      <c r="A24" s="71" t="s">
        <v>108</v>
      </c>
      <c r="B24" s="72"/>
      <c r="C24" s="71"/>
      <c r="D24" s="124"/>
      <c r="H24" s="88"/>
      <c r="I24" s="88"/>
      <c r="J24" s="123"/>
      <c r="O24" s="79"/>
      <c r="P24" s="79"/>
      <c r="S24" s="79"/>
      <c r="T24" s="79"/>
      <c r="W24" s="130"/>
      <c r="Y24" s="106"/>
    </row>
    <row r="25">
      <c r="A25" s="28" t="s">
        <v>159</v>
      </c>
      <c r="B25" s="41"/>
      <c r="C25" s="121"/>
      <c r="D25" s="124"/>
      <c r="H25" s="88"/>
      <c r="I25" s="88"/>
      <c r="J25" s="123"/>
      <c r="O25" s="79"/>
      <c r="P25" s="79"/>
      <c r="S25" s="79"/>
      <c r="T25" s="79"/>
      <c r="W25" s="130"/>
      <c r="Y25" s="106"/>
    </row>
    <row r="26">
      <c r="A26" s="28" t="s">
        <v>160</v>
      </c>
      <c r="B26" s="41"/>
      <c r="C26" s="71"/>
      <c r="D26" s="124"/>
      <c r="H26" s="88"/>
      <c r="I26" s="88"/>
      <c r="J26" s="123"/>
      <c r="O26" s="79"/>
      <c r="P26" s="79"/>
      <c r="S26" s="79"/>
      <c r="T26" s="79"/>
      <c r="W26" s="130"/>
      <c r="Y26" s="106"/>
    </row>
    <row r="27">
      <c r="A27" s="28" t="s">
        <v>172</v>
      </c>
      <c r="B27" s="41"/>
      <c r="C27" s="71"/>
      <c r="D27" s="122"/>
      <c r="H27" s="88"/>
      <c r="I27" s="88"/>
      <c r="J27" s="123"/>
      <c r="O27" s="79"/>
      <c r="P27" s="79"/>
      <c r="S27" s="79"/>
      <c r="T27" s="79"/>
      <c r="W27" s="130"/>
      <c r="Y27" s="106"/>
    </row>
    <row r="28">
      <c r="A28" s="25"/>
      <c r="B28" s="26"/>
      <c r="C28" s="121"/>
      <c r="D28" s="122"/>
      <c r="J28" s="79"/>
      <c r="O28" s="79"/>
      <c r="P28" s="79"/>
      <c r="S28" s="79"/>
      <c r="T28" s="79"/>
      <c r="W28" s="132"/>
      <c r="Y28" s="106"/>
    </row>
    <row r="29">
      <c r="A29" s="25"/>
      <c r="B29" s="26"/>
      <c r="C29" s="121"/>
      <c r="D29" s="122"/>
      <c r="I29" s="89"/>
      <c r="J29" s="125"/>
      <c r="O29" s="79"/>
      <c r="P29" s="79"/>
      <c r="S29" s="79"/>
      <c r="T29" s="79"/>
      <c r="W29" s="130"/>
      <c r="Y29" s="106"/>
    </row>
    <row r="30">
      <c r="C30" s="79"/>
      <c r="D30" s="79"/>
      <c r="J30" s="79"/>
      <c r="O30" s="79"/>
      <c r="P30" s="79"/>
      <c r="S30" s="79"/>
      <c r="T30" s="79"/>
      <c r="W30" s="130"/>
      <c r="Y30" s="106"/>
    </row>
    <row r="31">
      <c r="C31" s="79"/>
      <c r="D31" s="79"/>
      <c r="J31" s="79"/>
      <c r="O31" s="79"/>
      <c r="P31" s="79"/>
      <c r="S31" s="79"/>
      <c r="T31" s="79"/>
      <c r="W31" s="130"/>
      <c r="Y31" s="106"/>
    </row>
    <row r="32">
      <c r="C32" s="79"/>
      <c r="D32" s="79"/>
      <c r="J32" s="79"/>
      <c r="O32" s="79"/>
      <c r="P32" s="79"/>
      <c r="S32" s="79"/>
      <c r="T32" s="79"/>
      <c r="W32" s="130"/>
      <c r="Y32" s="106"/>
    </row>
    <row r="33">
      <c r="C33" s="79"/>
      <c r="D33" s="79"/>
      <c r="J33" s="79"/>
      <c r="O33" s="79"/>
      <c r="P33" s="79"/>
      <c r="S33" s="79"/>
      <c r="T33" s="79"/>
      <c r="W33" s="130"/>
      <c r="Y33" s="106"/>
    </row>
    <row r="34">
      <c r="C34" s="79"/>
      <c r="D34" s="79"/>
      <c r="J34" s="79"/>
      <c r="O34" s="79"/>
      <c r="P34" s="79"/>
      <c r="S34" s="79"/>
      <c r="T34" s="79"/>
      <c r="W34" s="130"/>
      <c r="Y34" s="106"/>
    </row>
    <row r="35">
      <c r="C35" s="79"/>
      <c r="D35" s="79"/>
      <c r="J35" s="79"/>
      <c r="O35" s="79"/>
      <c r="P35" s="79"/>
      <c r="S35" s="79"/>
      <c r="T35" s="79"/>
      <c r="W35" s="130"/>
      <c r="Y35" s="106"/>
    </row>
    <row r="36">
      <c r="C36" s="79"/>
      <c r="D36" s="79"/>
      <c r="J36" s="79"/>
      <c r="O36" s="79"/>
      <c r="P36" s="79"/>
      <c r="S36" s="79"/>
      <c r="T36" s="79"/>
      <c r="W36" s="130"/>
      <c r="Y36" s="106"/>
    </row>
    <row r="37">
      <c r="C37" s="79"/>
      <c r="D37" s="79"/>
      <c r="J37" s="79"/>
      <c r="O37" s="79"/>
      <c r="P37" s="79"/>
      <c r="S37" s="79"/>
      <c r="T37" s="79"/>
      <c r="W37" s="130"/>
      <c r="Y37" s="106"/>
    </row>
    <row r="38">
      <c r="C38" s="79"/>
      <c r="D38" s="79"/>
      <c r="J38" s="79"/>
      <c r="O38" s="79"/>
      <c r="P38" s="79"/>
      <c r="S38" s="79"/>
      <c r="T38" s="79"/>
      <c r="W38" s="130"/>
      <c r="Y38" s="106"/>
    </row>
    <row r="39">
      <c r="C39" s="79"/>
      <c r="D39" s="79"/>
      <c r="J39" s="79"/>
      <c r="O39" s="79"/>
      <c r="P39" s="79"/>
      <c r="S39" s="79"/>
      <c r="T39" s="79"/>
      <c r="W39" s="130"/>
      <c r="Y39" s="106"/>
    </row>
    <row r="40">
      <c r="C40" s="79"/>
      <c r="D40" s="79"/>
      <c r="J40" s="79"/>
      <c r="O40" s="79"/>
      <c r="P40" s="79"/>
      <c r="S40" s="79"/>
      <c r="T40" s="79"/>
      <c r="W40" s="130"/>
      <c r="Y40" s="106"/>
    </row>
    <row r="41">
      <c r="C41" s="79"/>
      <c r="D41" s="79"/>
      <c r="J41" s="79"/>
      <c r="O41" s="79"/>
      <c r="P41" s="79"/>
      <c r="S41" s="79"/>
      <c r="T41" s="79"/>
      <c r="W41" s="130"/>
      <c r="Y41" s="106"/>
    </row>
    <row r="42">
      <c r="C42" s="79"/>
      <c r="D42" s="79"/>
      <c r="J42" s="79"/>
      <c r="O42" s="79"/>
      <c r="P42" s="79"/>
      <c r="S42" s="79"/>
      <c r="T42" s="79"/>
      <c r="W42" s="130"/>
      <c r="Y42" s="106"/>
    </row>
    <row r="43">
      <c r="C43" s="79"/>
      <c r="D43" s="79"/>
      <c r="J43" s="79"/>
      <c r="O43" s="79"/>
      <c r="P43" s="79"/>
      <c r="S43" s="79"/>
      <c r="T43" s="79"/>
      <c r="W43" s="130"/>
      <c r="Y43" s="106"/>
    </row>
    <row r="44">
      <c r="C44" s="79"/>
      <c r="D44" s="79"/>
      <c r="J44" s="79"/>
      <c r="O44" s="79"/>
      <c r="P44" s="79"/>
      <c r="S44" s="79"/>
      <c r="T44" s="79"/>
      <c r="W44" s="130"/>
      <c r="Y44" s="106"/>
    </row>
    <row r="45">
      <c r="C45" s="79"/>
      <c r="D45" s="79"/>
      <c r="J45" s="79"/>
      <c r="O45" s="79"/>
      <c r="P45" s="79"/>
      <c r="S45" s="79"/>
      <c r="T45" s="79"/>
      <c r="W45" s="130"/>
      <c r="Y45" s="106"/>
    </row>
    <row r="46">
      <c r="C46" s="79"/>
      <c r="D46" s="79"/>
      <c r="J46" s="79"/>
      <c r="O46" s="79"/>
      <c r="P46" s="79"/>
      <c r="S46" s="79"/>
      <c r="T46" s="79"/>
      <c r="W46" s="130"/>
      <c r="Y46" s="106"/>
    </row>
    <row r="47">
      <c r="C47" s="79"/>
      <c r="D47" s="79"/>
      <c r="J47" s="79"/>
      <c r="O47" s="79"/>
      <c r="P47" s="79"/>
      <c r="S47" s="79"/>
      <c r="T47" s="79"/>
      <c r="W47" s="130"/>
      <c r="Y47" s="106"/>
    </row>
    <row r="48">
      <c r="C48" s="79"/>
      <c r="D48" s="79"/>
      <c r="J48" s="79"/>
      <c r="O48" s="79"/>
      <c r="P48" s="79"/>
      <c r="S48" s="79"/>
      <c r="T48" s="79"/>
      <c r="W48" s="130"/>
      <c r="Y48" s="106"/>
    </row>
    <row r="49">
      <c r="C49" s="79"/>
      <c r="D49" s="79"/>
      <c r="J49" s="79"/>
      <c r="O49" s="79"/>
      <c r="P49" s="79"/>
      <c r="S49" s="79"/>
      <c r="T49" s="79"/>
      <c r="W49" s="130"/>
      <c r="Y49" s="106"/>
    </row>
    <row r="50">
      <c r="C50" s="79"/>
      <c r="D50" s="79"/>
      <c r="J50" s="79"/>
      <c r="O50" s="79"/>
      <c r="P50" s="79"/>
      <c r="S50" s="79"/>
      <c r="T50" s="79"/>
      <c r="W50" s="130"/>
      <c r="Y50" s="106"/>
    </row>
    <row r="51">
      <c r="C51" s="79"/>
      <c r="D51" s="79"/>
      <c r="J51" s="79"/>
      <c r="O51" s="79"/>
      <c r="P51" s="79"/>
      <c r="S51" s="79"/>
      <c r="T51" s="79"/>
      <c r="W51" s="130"/>
      <c r="Y51" s="106"/>
    </row>
    <row r="52">
      <c r="C52" s="79"/>
      <c r="D52" s="79"/>
      <c r="J52" s="79"/>
      <c r="O52" s="79"/>
      <c r="P52" s="79"/>
      <c r="S52" s="79"/>
      <c r="T52" s="79"/>
      <c r="W52" s="130"/>
      <c r="Y52" s="106"/>
    </row>
    <row r="53">
      <c r="C53" s="79"/>
      <c r="D53" s="79"/>
      <c r="J53" s="79"/>
      <c r="O53" s="79"/>
      <c r="P53" s="79"/>
      <c r="S53" s="79"/>
      <c r="T53" s="79"/>
      <c r="W53" s="130"/>
      <c r="Y53" s="106"/>
    </row>
    <row r="54">
      <c r="C54" s="79"/>
      <c r="D54" s="79"/>
      <c r="J54" s="79"/>
      <c r="O54" s="79"/>
      <c r="P54" s="79"/>
      <c r="S54" s="79"/>
      <c r="T54" s="79"/>
      <c r="W54" s="130"/>
      <c r="Y54" s="106"/>
    </row>
    <row r="55">
      <c r="C55" s="79"/>
      <c r="D55" s="79"/>
      <c r="J55" s="79"/>
      <c r="O55" s="79"/>
      <c r="P55" s="79"/>
      <c r="S55" s="79"/>
      <c r="T55" s="79"/>
      <c r="W55" s="130"/>
      <c r="Y55" s="106"/>
    </row>
    <row r="56">
      <c r="C56" s="79"/>
      <c r="D56" s="79"/>
      <c r="J56" s="79"/>
      <c r="O56" s="79"/>
      <c r="P56" s="79"/>
      <c r="S56" s="79"/>
      <c r="T56" s="79"/>
      <c r="W56" s="130"/>
      <c r="Y56" s="106"/>
    </row>
    <row r="57">
      <c r="C57" s="79"/>
      <c r="D57" s="79"/>
      <c r="J57" s="79"/>
      <c r="O57" s="79"/>
      <c r="P57" s="79"/>
      <c r="S57" s="79"/>
      <c r="T57" s="79"/>
      <c r="W57" s="130"/>
      <c r="Y57" s="106"/>
    </row>
    <row r="58">
      <c r="C58" s="79"/>
      <c r="D58" s="79"/>
      <c r="J58" s="79"/>
      <c r="O58" s="79"/>
      <c r="P58" s="79"/>
      <c r="S58" s="79"/>
      <c r="T58" s="79"/>
      <c r="W58" s="130"/>
      <c r="Y58" s="106"/>
    </row>
    <row r="59">
      <c r="C59" s="79"/>
      <c r="D59" s="79"/>
      <c r="J59" s="79"/>
      <c r="O59" s="79"/>
      <c r="P59" s="79"/>
      <c r="S59" s="79"/>
      <c r="T59" s="79"/>
      <c r="W59" s="130"/>
      <c r="Y59" s="106"/>
    </row>
    <row r="60">
      <c r="C60" s="79"/>
      <c r="D60" s="79"/>
      <c r="J60" s="79"/>
      <c r="O60" s="79"/>
      <c r="P60" s="79"/>
      <c r="S60" s="79"/>
      <c r="T60" s="79"/>
      <c r="W60" s="130"/>
      <c r="Y60" s="106"/>
    </row>
    <row r="61">
      <c r="C61" s="79"/>
      <c r="D61" s="79"/>
      <c r="J61" s="79"/>
      <c r="O61" s="79"/>
      <c r="P61" s="79"/>
      <c r="S61" s="79"/>
      <c r="T61" s="79"/>
      <c r="W61" s="130"/>
      <c r="Y61" s="106"/>
    </row>
    <row r="62">
      <c r="C62" s="79"/>
      <c r="D62" s="79"/>
      <c r="J62" s="79"/>
      <c r="O62" s="79"/>
      <c r="P62" s="79"/>
      <c r="S62" s="79"/>
      <c r="T62" s="79"/>
      <c r="W62" s="130"/>
      <c r="Y62" s="106"/>
    </row>
    <row r="63">
      <c r="C63" s="79"/>
      <c r="D63" s="79"/>
      <c r="J63" s="79"/>
      <c r="O63" s="79"/>
      <c r="P63" s="79"/>
      <c r="S63" s="79"/>
      <c r="T63" s="79"/>
      <c r="W63" s="130"/>
      <c r="Y63" s="106"/>
    </row>
    <row r="64">
      <c r="C64" s="79"/>
      <c r="D64" s="79"/>
      <c r="J64" s="79"/>
      <c r="O64" s="79"/>
      <c r="P64" s="79"/>
      <c r="S64" s="79"/>
      <c r="T64" s="79"/>
      <c r="W64" s="130"/>
      <c r="Y64" s="106"/>
    </row>
    <row r="65">
      <c r="C65" s="79"/>
      <c r="D65" s="79"/>
      <c r="J65" s="79"/>
      <c r="O65" s="79"/>
      <c r="P65" s="79"/>
      <c r="S65" s="79"/>
      <c r="T65" s="79"/>
      <c r="W65" s="130"/>
      <c r="Y65" s="106"/>
    </row>
    <row r="66">
      <c r="C66" s="79"/>
      <c r="D66" s="79"/>
      <c r="J66" s="79"/>
      <c r="O66" s="79"/>
      <c r="P66" s="79"/>
      <c r="S66" s="79"/>
      <c r="T66" s="79"/>
      <c r="W66" s="130"/>
      <c r="Y66" s="106"/>
    </row>
    <row r="67">
      <c r="C67" s="79"/>
      <c r="D67" s="79"/>
      <c r="J67" s="79"/>
      <c r="O67" s="79"/>
      <c r="P67" s="79"/>
      <c r="S67" s="79"/>
      <c r="T67" s="79"/>
      <c r="W67" s="130"/>
      <c r="Y67" s="106"/>
    </row>
    <row r="68">
      <c r="C68" s="79"/>
      <c r="D68" s="79"/>
      <c r="J68" s="79"/>
      <c r="O68" s="79"/>
      <c r="P68" s="79"/>
      <c r="S68" s="79"/>
      <c r="T68" s="79"/>
      <c r="W68" s="130"/>
      <c r="Y68" s="106"/>
    </row>
    <row r="69">
      <c r="C69" s="79"/>
      <c r="D69" s="79"/>
      <c r="J69" s="79"/>
      <c r="O69" s="79"/>
      <c r="P69" s="79"/>
      <c r="S69" s="79"/>
      <c r="T69" s="79"/>
      <c r="W69" s="130"/>
      <c r="Y69" s="106"/>
    </row>
    <row r="70">
      <c r="C70" s="79"/>
      <c r="D70" s="79"/>
      <c r="J70" s="79"/>
      <c r="O70" s="79"/>
      <c r="P70" s="79"/>
      <c r="S70" s="79"/>
      <c r="T70" s="79"/>
      <c r="W70" s="130"/>
      <c r="Y70" s="106"/>
    </row>
    <row r="71">
      <c r="C71" s="79"/>
      <c r="D71" s="79"/>
      <c r="J71" s="79"/>
      <c r="O71" s="79"/>
      <c r="P71" s="79"/>
      <c r="S71" s="79"/>
      <c r="T71" s="79"/>
      <c r="W71" s="130"/>
      <c r="Y71" s="106"/>
    </row>
    <row r="72">
      <c r="C72" s="79"/>
      <c r="D72" s="79"/>
      <c r="J72" s="79"/>
      <c r="O72" s="79"/>
      <c r="P72" s="79"/>
      <c r="S72" s="79"/>
      <c r="T72" s="79"/>
      <c r="W72" s="130"/>
      <c r="Y72" s="106"/>
    </row>
    <row r="73">
      <c r="C73" s="79"/>
      <c r="D73" s="79"/>
      <c r="J73" s="79"/>
      <c r="O73" s="79"/>
      <c r="P73" s="79"/>
      <c r="S73" s="79"/>
      <c r="T73" s="79"/>
      <c r="W73" s="130"/>
      <c r="Y73" s="106"/>
    </row>
    <row r="74">
      <c r="C74" s="79"/>
      <c r="D74" s="79"/>
      <c r="J74" s="79"/>
      <c r="O74" s="79"/>
      <c r="P74" s="79"/>
      <c r="S74" s="79"/>
      <c r="T74" s="79"/>
      <c r="W74" s="130"/>
      <c r="Y74" s="106"/>
    </row>
    <row r="75">
      <c r="C75" s="79"/>
      <c r="D75" s="79"/>
      <c r="J75" s="79"/>
      <c r="O75" s="79"/>
      <c r="P75" s="79"/>
      <c r="S75" s="79"/>
      <c r="T75" s="79"/>
      <c r="W75" s="130"/>
      <c r="Y75" s="106"/>
    </row>
    <row r="76">
      <c r="C76" s="79"/>
      <c r="D76" s="79"/>
      <c r="J76" s="79"/>
      <c r="O76" s="79"/>
      <c r="P76" s="79"/>
      <c r="S76" s="79"/>
      <c r="T76" s="79"/>
      <c r="W76" s="130"/>
      <c r="Y76" s="106"/>
    </row>
    <row r="77">
      <c r="C77" s="79"/>
      <c r="D77" s="79"/>
      <c r="J77" s="79"/>
      <c r="O77" s="79"/>
      <c r="P77" s="79"/>
      <c r="S77" s="79"/>
      <c r="T77" s="79"/>
      <c r="W77" s="130"/>
      <c r="Y77" s="106"/>
    </row>
    <row r="78">
      <c r="C78" s="79"/>
      <c r="D78" s="79"/>
      <c r="J78" s="79"/>
      <c r="O78" s="79"/>
      <c r="P78" s="79"/>
      <c r="S78" s="79"/>
      <c r="T78" s="79"/>
      <c r="W78" s="130"/>
      <c r="Y78" s="106"/>
    </row>
    <row r="79">
      <c r="C79" s="79"/>
      <c r="D79" s="79"/>
      <c r="J79" s="79"/>
      <c r="O79" s="79"/>
      <c r="P79" s="79"/>
      <c r="S79" s="79"/>
      <c r="T79" s="79"/>
      <c r="W79" s="130"/>
      <c r="Y79" s="106"/>
    </row>
    <row r="80">
      <c r="C80" s="79"/>
      <c r="D80" s="79"/>
      <c r="J80" s="79"/>
      <c r="O80" s="79"/>
      <c r="P80" s="79"/>
      <c r="S80" s="79"/>
      <c r="T80" s="79"/>
      <c r="W80" s="130"/>
      <c r="Y80" s="106"/>
    </row>
    <row r="81">
      <c r="C81" s="79"/>
      <c r="D81" s="79"/>
      <c r="J81" s="79"/>
      <c r="O81" s="79"/>
      <c r="P81" s="79"/>
      <c r="S81" s="79"/>
      <c r="T81" s="79"/>
      <c r="W81" s="130"/>
      <c r="Y81" s="106"/>
    </row>
    <row r="82">
      <c r="C82" s="79"/>
      <c r="D82" s="79"/>
      <c r="J82" s="79"/>
      <c r="O82" s="79"/>
      <c r="P82" s="79"/>
      <c r="S82" s="79"/>
      <c r="T82" s="79"/>
      <c r="W82" s="130"/>
      <c r="Y82" s="106"/>
    </row>
    <row r="83">
      <c r="C83" s="79"/>
      <c r="D83" s="79"/>
      <c r="J83" s="79"/>
      <c r="O83" s="79"/>
      <c r="P83" s="79"/>
      <c r="S83" s="79"/>
      <c r="T83" s="79"/>
      <c r="W83" s="130"/>
      <c r="Y83" s="106"/>
    </row>
    <row r="84">
      <c r="C84" s="79"/>
      <c r="D84" s="79"/>
      <c r="J84" s="79"/>
      <c r="O84" s="79"/>
      <c r="P84" s="79"/>
      <c r="S84" s="79"/>
      <c r="T84" s="79"/>
      <c r="W84" s="130"/>
      <c r="Y84" s="106"/>
    </row>
    <row r="85">
      <c r="C85" s="79"/>
      <c r="D85" s="79"/>
      <c r="J85" s="79"/>
      <c r="O85" s="79"/>
      <c r="P85" s="79"/>
      <c r="S85" s="79"/>
      <c r="T85" s="79"/>
      <c r="W85" s="130"/>
      <c r="Y85" s="106"/>
    </row>
    <row r="86">
      <c r="C86" s="79"/>
      <c r="D86" s="79"/>
      <c r="J86" s="79"/>
      <c r="O86" s="79"/>
      <c r="P86" s="79"/>
      <c r="S86" s="79"/>
      <c r="T86" s="79"/>
      <c r="W86" s="130"/>
      <c r="Y86" s="106"/>
    </row>
    <row r="87">
      <c r="C87" s="79"/>
      <c r="D87" s="79"/>
      <c r="J87" s="79"/>
      <c r="O87" s="79"/>
      <c r="P87" s="79"/>
      <c r="S87" s="79"/>
      <c r="T87" s="79"/>
      <c r="W87" s="130"/>
      <c r="Y87" s="106"/>
    </row>
    <row r="88">
      <c r="C88" s="79"/>
      <c r="D88" s="79"/>
      <c r="J88" s="79"/>
      <c r="O88" s="79"/>
      <c r="P88" s="79"/>
      <c r="S88" s="79"/>
      <c r="T88" s="79"/>
      <c r="W88" s="130"/>
      <c r="Y88" s="106"/>
    </row>
    <row r="89">
      <c r="C89" s="79"/>
      <c r="D89" s="79"/>
      <c r="J89" s="79"/>
      <c r="O89" s="79"/>
      <c r="P89" s="79"/>
      <c r="S89" s="79"/>
      <c r="T89" s="79"/>
      <c r="W89" s="130"/>
      <c r="Y89" s="106"/>
    </row>
    <row r="90">
      <c r="C90" s="79"/>
      <c r="D90" s="79"/>
      <c r="J90" s="79"/>
      <c r="O90" s="79"/>
      <c r="P90" s="79"/>
      <c r="S90" s="79"/>
      <c r="T90" s="79"/>
      <c r="W90" s="130"/>
      <c r="Y90" s="106"/>
    </row>
    <row r="91">
      <c r="C91" s="79"/>
      <c r="D91" s="79"/>
      <c r="J91" s="79"/>
      <c r="O91" s="79"/>
      <c r="P91" s="79"/>
      <c r="S91" s="79"/>
      <c r="T91" s="79"/>
      <c r="W91" s="130"/>
      <c r="Y91" s="106"/>
    </row>
    <row r="92">
      <c r="C92" s="79"/>
      <c r="D92" s="79"/>
      <c r="J92" s="79"/>
      <c r="O92" s="79"/>
      <c r="P92" s="79"/>
      <c r="S92" s="79"/>
      <c r="T92" s="79"/>
      <c r="W92" s="130"/>
      <c r="Y92" s="106"/>
    </row>
    <row r="93">
      <c r="C93" s="79"/>
      <c r="D93" s="79"/>
      <c r="J93" s="79"/>
      <c r="O93" s="79"/>
      <c r="P93" s="79"/>
      <c r="S93" s="79"/>
      <c r="T93" s="79"/>
      <c r="W93" s="130"/>
      <c r="Y93" s="106"/>
    </row>
    <row r="94">
      <c r="C94" s="79"/>
      <c r="D94" s="79"/>
      <c r="J94" s="79"/>
      <c r="O94" s="79"/>
      <c r="P94" s="79"/>
      <c r="S94" s="79"/>
      <c r="T94" s="79"/>
      <c r="W94" s="130"/>
      <c r="Y94" s="106"/>
    </row>
    <row r="95">
      <c r="C95" s="79"/>
      <c r="D95" s="79"/>
      <c r="J95" s="79"/>
      <c r="O95" s="79"/>
      <c r="P95" s="79"/>
      <c r="S95" s="79"/>
      <c r="T95" s="79"/>
      <c r="W95" s="130"/>
      <c r="Y95" s="106"/>
    </row>
    <row r="96">
      <c r="C96" s="79"/>
      <c r="D96" s="79"/>
      <c r="J96" s="79"/>
      <c r="O96" s="79"/>
      <c r="P96" s="79"/>
      <c r="S96" s="79"/>
      <c r="T96" s="79"/>
      <c r="W96" s="130"/>
      <c r="Y96" s="106"/>
    </row>
    <row r="97">
      <c r="C97" s="79"/>
      <c r="D97" s="79"/>
      <c r="J97" s="79"/>
      <c r="O97" s="79"/>
      <c r="P97" s="79"/>
      <c r="S97" s="79"/>
      <c r="T97" s="79"/>
      <c r="W97" s="130"/>
      <c r="Y97" s="106"/>
    </row>
    <row r="98">
      <c r="C98" s="79"/>
      <c r="D98" s="79"/>
      <c r="J98" s="79"/>
      <c r="O98" s="79"/>
      <c r="P98" s="79"/>
      <c r="S98" s="79"/>
      <c r="T98" s="79"/>
      <c r="W98" s="130"/>
      <c r="Y98" s="106"/>
    </row>
    <row r="99">
      <c r="C99" s="79"/>
      <c r="D99" s="79"/>
      <c r="J99" s="79"/>
      <c r="O99" s="79"/>
      <c r="P99" s="79"/>
      <c r="S99" s="79"/>
      <c r="T99" s="79"/>
      <c r="W99" s="130"/>
      <c r="Y99" s="106"/>
    </row>
    <row r="100">
      <c r="C100" s="79"/>
      <c r="D100" s="79"/>
      <c r="J100" s="79"/>
      <c r="O100" s="79"/>
      <c r="P100" s="79"/>
      <c r="S100" s="79"/>
      <c r="T100" s="79"/>
      <c r="W100" s="130"/>
      <c r="Y100" s="106"/>
    </row>
    <row r="101">
      <c r="C101" s="79"/>
      <c r="D101" s="79"/>
      <c r="J101" s="79"/>
      <c r="O101" s="79"/>
      <c r="P101" s="79"/>
      <c r="S101" s="79"/>
      <c r="T101" s="79"/>
      <c r="W101" s="130"/>
      <c r="Y101" s="106"/>
    </row>
    <row r="102">
      <c r="C102" s="79"/>
      <c r="D102" s="79"/>
      <c r="J102" s="79"/>
      <c r="O102" s="79"/>
      <c r="P102" s="79"/>
      <c r="S102" s="79"/>
      <c r="T102" s="79"/>
      <c r="W102" s="130"/>
      <c r="Y102" s="106"/>
    </row>
    <row r="103">
      <c r="C103" s="79"/>
      <c r="D103" s="79"/>
      <c r="J103" s="79"/>
      <c r="O103" s="79"/>
      <c r="P103" s="79"/>
      <c r="S103" s="79"/>
      <c r="T103" s="79"/>
      <c r="W103" s="130"/>
      <c r="Y103" s="106"/>
    </row>
    <row r="104">
      <c r="C104" s="79"/>
      <c r="D104" s="79"/>
      <c r="J104" s="79"/>
      <c r="O104" s="79"/>
      <c r="P104" s="79"/>
      <c r="S104" s="79"/>
      <c r="T104" s="79"/>
      <c r="W104" s="130"/>
      <c r="Y104" s="106"/>
    </row>
    <row r="105">
      <c r="C105" s="79"/>
      <c r="D105" s="79"/>
      <c r="J105" s="79"/>
      <c r="O105" s="79"/>
      <c r="P105" s="79"/>
      <c r="S105" s="79"/>
      <c r="T105" s="79"/>
      <c r="W105" s="130"/>
      <c r="Y105" s="106"/>
    </row>
    <row r="106">
      <c r="C106" s="79"/>
      <c r="D106" s="79"/>
      <c r="J106" s="79"/>
      <c r="O106" s="79"/>
      <c r="P106" s="79"/>
      <c r="S106" s="79"/>
      <c r="T106" s="79"/>
      <c r="W106" s="130"/>
      <c r="Y106" s="106"/>
    </row>
    <row r="107">
      <c r="C107" s="79"/>
      <c r="D107" s="79"/>
      <c r="J107" s="79"/>
      <c r="O107" s="79"/>
      <c r="P107" s="79"/>
      <c r="S107" s="79"/>
      <c r="T107" s="79"/>
      <c r="W107" s="130"/>
      <c r="Y107" s="106"/>
    </row>
    <row r="108">
      <c r="C108" s="79"/>
      <c r="D108" s="79"/>
      <c r="J108" s="79"/>
      <c r="O108" s="79"/>
      <c r="P108" s="79"/>
      <c r="S108" s="79"/>
      <c r="T108" s="79"/>
      <c r="W108" s="130"/>
      <c r="Y108" s="106"/>
    </row>
    <row r="109">
      <c r="C109" s="79"/>
      <c r="D109" s="79"/>
      <c r="J109" s="79"/>
      <c r="O109" s="79"/>
      <c r="P109" s="79"/>
      <c r="S109" s="79"/>
      <c r="T109" s="79"/>
      <c r="W109" s="130"/>
      <c r="Y109" s="106"/>
    </row>
    <row r="110">
      <c r="C110" s="79"/>
      <c r="D110" s="79"/>
      <c r="J110" s="79"/>
      <c r="O110" s="79"/>
      <c r="P110" s="79"/>
      <c r="S110" s="79"/>
      <c r="T110" s="79"/>
      <c r="W110" s="130"/>
      <c r="Y110" s="106"/>
    </row>
    <row r="111">
      <c r="C111" s="79"/>
      <c r="D111" s="79"/>
      <c r="J111" s="79"/>
      <c r="O111" s="79"/>
      <c r="P111" s="79"/>
      <c r="S111" s="79"/>
      <c r="T111" s="79"/>
      <c r="W111" s="130"/>
      <c r="Y111" s="106"/>
    </row>
    <row r="112">
      <c r="C112" s="79"/>
      <c r="D112" s="79"/>
      <c r="J112" s="79"/>
      <c r="O112" s="79"/>
      <c r="P112" s="79"/>
      <c r="S112" s="79"/>
      <c r="T112" s="79"/>
      <c r="W112" s="130"/>
      <c r="Y112" s="106"/>
    </row>
    <row r="113">
      <c r="C113" s="79"/>
      <c r="D113" s="79"/>
      <c r="J113" s="79"/>
      <c r="O113" s="79"/>
      <c r="P113" s="79"/>
      <c r="S113" s="79"/>
      <c r="T113" s="79"/>
      <c r="W113" s="130"/>
      <c r="Y113" s="106"/>
    </row>
    <row r="114">
      <c r="C114" s="79"/>
      <c r="D114" s="79"/>
      <c r="J114" s="79"/>
      <c r="O114" s="79"/>
      <c r="P114" s="79"/>
      <c r="S114" s="79"/>
      <c r="T114" s="79"/>
      <c r="W114" s="130"/>
      <c r="Y114" s="106"/>
    </row>
    <row r="115">
      <c r="C115" s="79"/>
      <c r="D115" s="79"/>
      <c r="J115" s="79"/>
      <c r="O115" s="79"/>
      <c r="P115" s="79"/>
      <c r="S115" s="79"/>
      <c r="T115" s="79"/>
      <c r="W115" s="130"/>
      <c r="Y115" s="106"/>
    </row>
    <row r="116">
      <c r="C116" s="79"/>
      <c r="D116" s="79"/>
      <c r="J116" s="79"/>
      <c r="O116" s="79"/>
      <c r="P116" s="79"/>
      <c r="S116" s="79"/>
      <c r="T116" s="79"/>
      <c r="W116" s="130"/>
      <c r="Y116" s="106"/>
    </row>
    <row r="117">
      <c r="C117" s="79"/>
      <c r="D117" s="79"/>
      <c r="J117" s="79"/>
      <c r="O117" s="79"/>
      <c r="P117" s="79"/>
      <c r="S117" s="79"/>
      <c r="T117" s="79"/>
      <c r="W117" s="130"/>
      <c r="Y117" s="106"/>
    </row>
    <row r="118">
      <c r="C118" s="79"/>
      <c r="D118" s="79"/>
      <c r="J118" s="79"/>
      <c r="O118" s="79"/>
      <c r="P118" s="79"/>
      <c r="S118" s="79"/>
      <c r="T118" s="79"/>
      <c r="W118" s="130"/>
      <c r="Y118" s="106"/>
    </row>
    <row r="119">
      <c r="C119" s="79"/>
      <c r="D119" s="79"/>
      <c r="J119" s="79"/>
      <c r="O119" s="79"/>
      <c r="P119" s="79"/>
      <c r="S119" s="79"/>
      <c r="T119" s="79"/>
      <c r="W119" s="130"/>
      <c r="Y119" s="106"/>
    </row>
    <row r="120">
      <c r="C120" s="79"/>
      <c r="D120" s="79"/>
      <c r="J120" s="79"/>
      <c r="O120" s="79"/>
      <c r="P120" s="79"/>
      <c r="S120" s="79"/>
      <c r="T120" s="79"/>
      <c r="W120" s="130"/>
      <c r="Y120" s="106"/>
    </row>
    <row r="121">
      <c r="C121" s="79"/>
      <c r="D121" s="79"/>
      <c r="J121" s="79"/>
      <c r="O121" s="79"/>
      <c r="P121" s="79"/>
      <c r="S121" s="79"/>
      <c r="T121" s="79"/>
      <c r="W121" s="130"/>
      <c r="Y121" s="106"/>
    </row>
    <row r="122">
      <c r="C122" s="79"/>
      <c r="D122" s="79"/>
      <c r="J122" s="79"/>
      <c r="O122" s="79"/>
      <c r="P122" s="79"/>
      <c r="S122" s="79"/>
      <c r="T122" s="79"/>
      <c r="W122" s="130"/>
      <c r="Y122" s="106"/>
    </row>
    <row r="123">
      <c r="C123" s="79"/>
      <c r="D123" s="79"/>
      <c r="J123" s="79"/>
      <c r="O123" s="79"/>
      <c r="P123" s="79"/>
      <c r="S123" s="79"/>
      <c r="T123" s="79"/>
      <c r="W123" s="130"/>
      <c r="Y123" s="106"/>
    </row>
    <row r="124">
      <c r="C124" s="79"/>
      <c r="D124" s="79"/>
      <c r="J124" s="79"/>
      <c r="O124" s="79"/>
      <c r="P124" s="79"/>
      <c r="S124" s="79"/>
      <c r="T124" s="79"/>
      <c r="W124" s="130"/>
      <c r="Y124" s="106"/>
    </row>
    <row r="125">
      <c r="C125" s="79"/>
      <c r="D125" s="79"/>
      <c r="J125" s="79"/>
      <c r="O125" s="79"/>
      <c r="P125" s="79"/>
      <c r="S125" s="79"/>
      <c r="T125" s="79"/>
      <c r="W125" s="130"/>
      <c r="Y125" s="106"/>
    </row>
    <row r="126">
      <c r="C126" s="79"/>
      <c r="D126" s="79"/>
      <c r="J126" s="79"/>
      <c r="O126" s="79"/>
      <c r="P126" s="79"/>
      <c r="S126" s="79"/>
      <c r="T126" s="79"/>
      <c r="W126" s="130"/>
      <c r="Y126" s="106"/>
    </row>
    <row r="127">
      <c r="C127" s="79"/>
      <c r="D127" s="79"/>
      <c r="J127" s="79"/>
      <c r="O127" s="79"/>
      <c r="P127" s="79"/>
      <c r="S127" s="79"/>
      <c r="T127" s="79"/>
      <c r="W127" s="130"/>
      <c r="Y127" s="106"/>
    </row>
    <row r="128">
      <c r="C128" s="79"/>
      <c r="D128" s="79"/>
      <c r="J128" s="79"/>
      <c r="O128" s="79"/>
      <c r="P128" s="79"/>
      <c r="S128" s="79"/>
      <c r="T128" s="79"/>
      <c r="W128" s="130"/>
      <c r="Y128" s="106"/>
    </row>
    <row r="129">
      <c r="C129" s="79"/>
      <c r="D129" s="79"/>
      <c r="J129" s="79"/>
      <c r="O129" s="79"/>
      <c r="P129" s="79"/>
      <c r="S129" s="79"/>
      <c r="T129" s="79"/>
      <c r="W129" s="130"/>
      <c r="Y129" s="106"/>
    </row>
    <row r="130">
      <c r="C130" s="79"/>
      <c r="D130" s="79"/>
      <c r="J130" s="79"/>
      <c r="O130" s="79"/>
      <c r="P130" s="79"/>
      <c r="S130" s="79"/>
      <c r="T130" s="79"/>
      <c r="W130" s="130"/>
      <c r="Y130" s="106"/>
    </row>
    <row r="131">
      <c r="C131" s="79"/>
      <c r="D131" s="79"/>
      <c r="J131" s="79"/>
      <c r="O131" s="79"/>
      <c r="P131" s="79"/>
      <c r="S131" s="79"/>
      <c r="T131" s="79"/>
      <c r="W131" s="130"/>
      <c r="Y131" s="106"/>
    </row>
    <row r="132">
      <c r="C132" s="79"/>
      <c r="D132" s="79"/>
      <c r="J132" s="79"/>
      <c r="O132" s="79"/>
      <c r="P132" s="79"/>
      <c r="S132" s="79"/>
      <c r="T132" s="79"/>
      <c r="W132" s="130"/>
      <c r="Y132" s="106"/>
    </row>
    <row r="133">
      <c r="C133" s="79"/>
      <c r="D133" s="79"/>
      <c r="J133" s="79"/>
      <c r="O133" s="79"/>
      <c r="P133" s="79"/>
      <c r="S133" s="79"/>
      <c r="T133" s="79"/>
      <c r="W133" s="130"/>
      <c r="Y133" s="106"/>
    </row>
    <row r="134">
      <c r="C134" s="79"/>
      <c r="D134" s="79"/>
      <c r="J134" s="79"/>
      <c r="O134" s="79"/>
      <c r="P134" s="79"/>
      <c r="S134" s="79"/>
      <c r="T134" s="79"/>
      <c r="W134" s="130"/>
      <c r="Y134" s="106"/>
    </row>
    <row r="135">
      <c r="C135" s="79"/>
      <c r="D135" s="79"/>
      <c r="J135" s="79"/>
      <c r="O135" s="79"/>
      <c r="P135" s="79"/>
      <c r="S135" s="79"/>
      <c r="T135" s="79"/>
      <c r="W135" s="130"/>
      <c r="Y135" s="106"/>
    </row>
    <row r="136">
      <c r="C136" s="79"/>
      <c r="D136" s="79"/>
      <c r="J136" s="79"/>
      <c r="O136" s="79"/>
      <c r="P136" s="79"/>
      <c r="S136" s="79"/>
      <c r="T136" s="79"/>
      <c r="W136" s="130"/>
      <c r="Y136" s="106"/>
    </row>
    <row r="137">
      <c r="C137" s="79"/>
      <c r="D137" s="79"/>
      <c r="J137" s="79"/>
      <c r="O137" s="79"/>
      <c r="P137" s="79"/>
      <c r="S137" s="79"/>
      <c r="T137" s="79"/>
      <c r="W137" s="130"/>
      <c r="Y137" s="106"/>
    </row>
    <row r="138">
      <c r="C138" s="79"/>
      <c r="D138" s="79"/>
      <c r="J138" s="79"/>
      <c r="O138" s="79"/>
      <c r="P138" s="79"/>
      <c r="S138" s="79"/>
      <c r="T138" s="79"/>
      <c r="W138" s="130"/>
      <c r="Y138" s="106"/>
    </row>
    <row r="139">
      <c r="C139" s="79"/>
      <c r="D139" s="79"/>
      <c r="J139" s="79"/>
      <c r="O139" s="79"/>
      <c r="P139" s="79"/>
      <c r="S139" s="79"/>
      <c r="T139" s="79"/>
      <c r="W139" s="130"/>
      <c r="Y139" s="106"/>
    </row>
    <row r="140">
      <c r="C140" s="79"/>
      <c r="D140" s="79"/>
      <c r="J140" s="79"/>
      <c r="O140" s="79"/>
      <c r="P140" s="79"/>
      <c r="S140" s="79"/>
      <c r="T140" s="79"/>
      <c r="W140" s="130"/>
      <c r="Y140" s="106"/>
    </row>
    <row r="141">
      <c r="C141" s="79"/>
      <c r="D141" s="79"/>
      <c r="J141" s="79"/>
      <c r="O141" s="79"/>
      <c r="P141" s="79"/>
      <c r="S141" s="79"/>
      <c r="T141" s="79"/>
      <c r="W141" s="130"/>
      <c r="Y141" s="106"/>
    </row>
    <row r="142">
      <c r="C142" s="79"/>
      <c r="D142" s="79"/>
      <c r="J142" s="79"/>
      <c r="O142" s="79"/>
      <c r="P142" s="79"/>
      <c r="S142" s="79"/>
      <c r="T142" s="79"/>
      <c r="W142" s="130"/>
      <c r="Y142" s="106"/>
    </row>
    <row r="143">
      <c r="C143" s="79"/>
      <c r="D143" s="79"/>
      <c r="J143" s="79"/>
      <c r="O143" s="79"/>
      <c r="P143" s="79"/>
      <c r="S143" s="79"/>
      <c r="T143" s="79"/>
      <c r="W143" s="130"/>
      <c r="Y143" s="106"/>
    </row>
    <row r="144">
      <c r="C144" s="79"/>
      <c r="D144" s="79"/>
      <c r="J144" s="79"/>
      <c r="O144" s="79"/>
      <c r="P144" s="79"/>
      <c r="S144" s="79"/>
      <c r="T144" s="79"/>
      <c r="W144" s="130"/>
      <c r="Y144" s="106"/>
    </row>
    <row r="145">
      <c r="C145" s="79"/>
      <c r="D145" s="79"/>
      <c r="J145" s="79"/>
      <c r="O145" s="79"/>
      <c r="P145" s="79"/>
      <c r="S145" s="79"/>
      <c r="T145" s="79"/>
      <c r="W145" s="130"/>
      <c r="Y145" s="106"/>
    </row>
    <row r="146">
      <c r="C146" s="79"/>
      <c r="D146" s="79"/>
      <c r="J146" s="79"/>
      <c r="O146" s="79"/>
      <c r="P146" s="79"/>
      <c r="S146" s="79"/>
      <c r="T146" s="79"/>
      <c r="W146" s="130"/>
      <c r="Y146" s="106"/>
    </row>
    <row r="147">
      <c r="C147" s="79"/>
      <c r="D147" s="79"/>
      <c r="J147" s="79"/>
      <c r="O147" s="79"/>
      <c r="P147" s="79"/>
      <c r="S147" s="79"/>
      <c r="T147" s="79"/>
      <c r="W147" s="130"/>
      <c r="Y147" s="106"/>
    </row>
    <row r="148">
      <c r="C148" s="79"/>
      <c r="D148" s="79"/>
      <c r="J148" s="79"/>
      <c r="O148" s="79"/>
      <c r="P148" s="79"/>
      <c r="S148" s="79"/>
      <c r="T148" s="79"/>
      <c r="W148" s="130"/>
      <c r="Y148" s="106"/>
    </row>
    <row r="149">
      <c r="C149" s="79"/>
      <c r="D149" s="79"/>
      <c r="J149" s="79"/>
      <c r="O149" s="79"/>
      <c r="P149" s="79"/>
      <c r="S149" s="79"/>
      <c r="T149" s="79"/>
      <c r="W149" s="130"/>
      <c r="Y149" s="106"/>
    </row>
    <row r="150">
      <c r="C150" s="79"/>
      <c r="D150" s="79"/>
      <c r="J150" s="79"/>
      <c r="O150" s="79"/>
      <c r="P150" s="79"/>
      <c r="S150" s="79"/>
      <c r="T150" s="79"/>
      <c r="W150" s="130"/>
      <c r="Y150" s="106"/>
    </row>
    <row r="151">
      <c r="C151" s="79"/>
      <c r="D151" s="79"/>
      <c r="J151" s="79"/>
      <c r="O151" s="79"/>
      <c r="P151" s="79"/>
      <c r="S151" s="79"/>
      <c r="T151" s="79"/>
      <c r="W151" s="130"/>
      <c r="Y151" s="106"/>
    </row>
    <row r="152">
      <c r="C152" s="79"/>
      <c r="D152" s="79"/>
      <c r="J152" s="79"/>
      <c r="O152" s="79"/>
      <c r="P152" s="79"/>
      <c r="S152" s="79"/>
      <c r="T152" s="79"/>
      <c r="W152" s="130"/>
      <c r="Y152" s="106"/>
    </row>
    <row r="153">
      <c r="C153" s="79"/>
      <c r="D153" s="79"/>
      <c r="J153" s="79"/>
      <c r="O153" s="79"/>
      <c r="P153" s="79"/>
      <c r="S153" s="79"/>
      <c r="T153" s="79"/>
      <c r="W153" s="130"/>
      <c r="Y153" s="106"/>
    </row>
    <row r="154">
      <c r="C154" s="79"/>
      <c r="D154" s="79"/>
      <c r="J154" s="79"/>
      <c r="O154" s="79"/>
      <c r="P154" s="79"/>
      <c r="S154" s="79"/>
      <c r="T154" s="79"/>
      <c r="W154" s="130"/>
      <c r="Y154" s="106"/>
    </row>
    <row r="155">
      <c r="C155" s="79"/>
      <c r="D155" s="79"/>
      <c r="J155" s="79"/>
      <c r="O155" s="79"/>
      <c r="P155" s="79"/>
      <c r="S155" s="79"/>
      <c r="T155" s="79"/>
      <c r="W155" s="130"/>
      <c r="Y155" s="106"/>
    </row>
    <row r="156">
      <c r="C156" s="79"/>
      <c r="D156" s="79"/>
      <c r="J156" s="79"/>
      <c r="O156" s="79"/>
      <c r="P156" s="79"/>
      <c r="S156" s="79"/>
      <c r="T156" s="79"/>
      <c r="W156" s="130"/>
      <c r="Y156" s="106"/>
    </row>
    <row r="157">
      <c r="C157" s="79"/>
      <c r="D157" s="79"/>
      <c r="J157" s="79"/>
      <c r="O157" s="79"/>
      <c r="P157" s="79"/>
      <c r="S157" s="79"/>
      <c r="T157" s="79"/>
      <c r="W157" s="130"/>
      <c r="Y157" s="106"/>
    </row>
    <row r="158">
      <c r="C158" s="79"/>
      <c r="D158" s="79"/>
      <c r="J158" s="79"/>
      <c r="O158" s="79"/>
      <c r="P158" s="79"/>
      <c r="S158" s="79"/>
      <c r="T158" s="79"/>
      <c r="W158" s="130"/>
      <c r="Y158" s="106"/>
    </row>
    <row r="159">
      <c r="C159" s="79"/>
      <c r="D159" s="79"/>
      <c r="J159" s="79"/>
      <c r="O159" s="79"/>
      <c r="P159" s="79"/>
      <c r="S159" s="79"/>
      <c r="T159" s="79"/>
      <c r="W159" s="130"/>
      <c r="Y159" s="106"/>
    </row>
    <row r="160">
      <c r="C160" s="79"/>
      <c r="D160" s="79"/>
      <c r="J160" s="79"/>
      <c r="O160" s="79"/>
      <c r="P160" s="79"/>
      <c r="S160" s="79"/>
      <c r="T160" s="79"/>
      <c r="W160" s="130"/>
      <c r="Y160" s="106"/>
    </row>
    <row r="161">
      <c r="C161" s="79"/>
      <c r="D161" s="79"/>
      <c r="J161" s="79"/>
      <c r="O161" s="79"/>
      <c r="P161" s="79"/>
      <c r="S161" s="79"/>
      <c r="T161" s="79"/>
      <c r="W161" s="130"/>
      <c r="Y161" s="106"/>
    </row>
    <row r="162">
      <c r="C162" s="79"/>
      <c r="D162" s="79"/>
      <c r="J162" s="79"/>
      <c r="O162" s="79"/>
      <c r="P162" s="79"/>
      <c r="S162" s="79"/>
      <c r="T162" s="79"/>
      <c r="W162" s="130"/>
      <c r="Y162" s="106"/>
    </row>
    <row r="163">
      <c r="C163" s="79"/>
      <c r="D163" s="79"/>
      <c r="J163" s="79"/>
      <c r="O163" s="79"/>
      <c r="P163" s="79"/>
      <c r="S163" s="79"/>
      <c r="T163" s="79"/>
      <c r="W163" s="130"/>
      <c r="Y163" s="106"/>
    </row>
    <row r="164">
      <c r="C164" s="79"/>
      <c r="D164" s="79"/>
      <c r="J164" s="79"/>
      <c r="O164" s="79"/>
      <c r="P164" s="79"/>
      <c r="S164" s="79"/>
      <c r="T164" s="79"/>
      <c r="W164" s="130"/>
      <c r="Y164" s="106"/>
    </row>
    <row r="165">
      <c r="C165" s="79"/>
      <c r="D165" s="79"/>
      <c r="J165" s="79"/>
      <c r="O165" s="79"/>
      <c r="P165" s="79"/>
      <c r="S165" s="79"/>
      <c r="T165" s="79"/>
      <c r="W165" s="130"/>
      <c r="Y165" s="106"/>
    </row>
    <row r="166">
      <c r="C166" s="79"/>
      <c r="D166" s="79"/>
      <c r="J166" s="79"/>
      <c r="O166" s="79"/>
      <c r="P166" s="79"/>
      <c r="S166" s="79"/>
      <c r="T166" s="79"/>
      <c r="W166" s="130"/>
      <c r="Y166" s="106"/>
    </row>
    <row r="167">
      <c r="C167" s="79"/>
      <c r="D167" s="79"/>
      <c r="J167" s="79"/>
      <c r="O167" s="79"/>
      <c r="P167" s="79"/>
      <c r="S167" s="79"/>
      <c r="T167" s="79"/>
      <c r="W167" s="130"/>
      <c r="Y167" s="106"/>
    </row>
    <row r="168">
      <c r="C168" s="79"/>
      <c r="D168" s="79"/>
      <c r="J168" s="79"/>
      <c r="O168" s="79"/>
      <c r="P168" s="79"/>
      <c r="S168" s="79"/>
      <c r="T168" s="79"/>
      <c r="W168" s="130"/>
      <c r="Y168" s="106"/>
    </row>
    <row r="169">
      <c r="C169" s="79"/>
      <c r="D169" s="79"/>
      <c r="J169" s="79"/>
      <c r="O169" s="79"/>
      <c r="P169" s="79"/>
      <c r="S169" s="79"/>
      <c r="T169" s="79"/>
      <c r="W169" s="130"/>
      <c r="Y169" s="106"/>
    </row>
    <row r="170">
      <c r="C170" s="79"/>
      <c r="D170" s="79"/>
      <c r="J170" s="79"/>
      <c r="O170" s="79"/>
      <c r="P170" s="79"/>
      <c r="S170" s="79"/>
      <c r="T170" s="79"/>
      <c r="W170" s="130"/>
      <c r="Y170" s="106"/>
    </row>
    <row r="171">
      <c r="C171" s="79"/>
      <c r="D171" s="79"/>
      <c r="J171" s="79"/>
      <c r="O171" s="79"/>
      <c r="P171" s="79"/>
      <c r="S171" s="79"/>
      <c r="T171" s="79"/>
      <c r="W171" s="130"/>
      <c r="Y171" s="106"/>
    </row>
    <row r="172">
      <c r="C172" s="79"/>
      <c r="D172" s="79"/>
      <c r="J172" s="79"/>
      <c r="O172" s="79"/>
      <c r="P172" s="79"/>
      <c r="S172" s="79"/>
      <c r="T172" s="79"/>
      <c r="W172" s="130"/>
      <c r="Y172" s="106"/>
    </row>
    <row r="173">
      <c r="C173" s="79"/>
      <c r="D173" s="79"/>
      <c r="J173" s="79"/>
      <c r="O173" s="79"/>
      <c r="P173" s="79"/>
      <c r="S173" s="79"/>
      <c r="T173" s="79"/>
      <c r="W173" s="130"/>
      <c r="Y173" s="106"/>
    </row>
    <row r="174">
      <c r="C174" s="79"/>
      <c r="D174" s="79"/>
      <c r="J174" s="79"/>
      <c r="O174" s="79"/>
      <c r="P174" s="79"/>
      <c r="S174" s="79"/>
      <c r="T174" s="79"/>
      <c r="W174" s="130"/>
      <c r="Y174" s="106"/>
    </row>
    <row r="175">
      <c r="C175" s="79"/>
      <c r="D175" s="79"/>
      <c r="J175" s="79"/>
      <c r="O175" s="79"/>
      <c r="P175" s="79"/>
      <c r="S175" s="79"/>
      <c r="T175" s="79"/>
      <c r="W175" s="130"/>
      <c r="Y175" s="106"/>
    </row>
    <row r="176">
      <c r="C176" s="79"/>
      <c r="D176" s="79"/>
      <c r="J176" s="79"/>
      <c r="O176" s="79"/>
      <c r="P176" s="79"/>
      <c r="S176" s="79"/>
      <c r="T176" s="79"/>
      <c r="W176" s="130"/>
      <c r="Y176" s="106"/>
    </row>
    <row r="177">
      <c r="C177" s="79"/>
      <c r="D177" s="79"/>
      <c r="J177" s="79"/>
      <c r="O177" s="79"/>
      <c r="P177" s="79"/>
      <c r="S177" s="79"/>
      <c r="T177" s="79"/>
      <c r="W177" s="130"/>
      <c r="Y177" s="106"/>
    </row>
    <row r="178">
      <c r="C178" s="79"/>
      <c r="D178" s="79"/>
      <c r="J178" s="79"/>
      <c r="O178" s="79"/>
      <c r="P178" s="79"/>
      <c r="S178" s="79"/>
      <c r="T178" s="79"/>
      <c r="W178" s="130"/>
      <c r="Y178" s="106"/>
    </row>
    <row r="179">
      <c r="C179" s="79"/>
      <c r="D179" s="79"/>
      <c r="J179" s="79"/>
      <c r="O179" s="79"/>
      <c r="P179" s="79"/>
      <c r="S179" s="79"/>
      <c r="T179" s="79"/>
      <c r="W179" s="130"/>
      <c r="Y179" s="106"/>
    </row>
    <row r="180">
      <c r="C180" s="79"/>
      <c r="D180" s="79"/>
      <c r="J180" s="79"/>
      <c r="O180" s="79"/>
      <c r="P180" s="79"/>
      <c r="S180" s="79"/>
      <c r="T180" s="79"/>
      <c r="W180" s="130"/>
      <c r="Y180" s="106"/>
    </row>
    <row r="181">
      <c r="C181" s="79"/>
      <c r="D181" s="79"/>
      <c r="J181" s="79"/>
      <c r="O181" s="79"/>
      <c r="P181" s="79"/>
      <c r="S181" s="79"/>
      <c r="T181" s="79"/>
      <c r="W181" s="130"/>
      <c r="Y181" s="106"/>
    </row>
    <row r="182">
      <c r="C182" s="79"/>
      <c r="D182" s="79"/>
      <c r="J182" s="79"/>
      <c r="O182" s="79"/>
      <c r="P182" s="79"/>
      <c r="S182" s="79"/>
      <c r="T182" s="79"/>
      <c r="W182" s="130"/>
      <c r="Y182" s="106"/>
    </row>
    <row r="183">
      <c r="C183" s="79"/>
      <c r="D183" s="79"/>
      <c r="J183" s="79"/>
      <c r="O183" s="79"/>
      <c r="P183" s="79"/>
      <c r="S183" s="79"/>
      <c r="T183" s="79"/>
      <c r="W183" s="130"/>
      <c r="Y183" s="106"/>
    </row>
    <row r="184">
      <c r="C184" s="79"/>
      <c r="D184" s="79"/>
      <c r="J184" s="79"/>
      <c r="O184" s="79"/>
      <c r="P184" s="79"/>
      <c r="S184" s="79"/>
      <c r="T184" s="79"/>
      <c r="W184" s="130"/>
      <c r="Y184" s="106"/>
    </row>
    <row r="185">
      <c r="C185" s="79"/>
      <c r="D185" s="79"/>
      <c r="J185" s="79"/>
      <c r="O185" s="79"/>
      <c r="P185" s="79"/>
      <c r="S185" s="79"/>
      <c r="T185" s="79"/>
      <c r="W185" s="130"/>
      <c r="Y185" s="106"/>
    </row>
    <row r="186">
      <c r="C186" s="79"/>
      <c r="D186" s="79"/>
      <c r="J186" s="79"/>
      <c r="O186" s="79"/>
      <c r="P186" s="79"/>
      <c r="S186" s="79"/>
      <c r="T186" s="79"/>
      <c r="W186" s="130"/>
      <c r="Y186" s="106"/>
    </row>
    <row r="187">
      <c r="C187" s="79"/>
      <c r="D187" s="79"/>
      <c r="J187" s="79"/>
      <c r="O187" s="79"/>
      <c r="P187" s="79"/>
      <c r="S187" s="79"/>
      <c r="T187" s="79"/>
      <c r="W187" s="130"/>
      <c r="Y187" s="106"/>
    </row>
    <row r="188">
      <c r="C188" s="79"/>
      <c r="D188" s="79"/>
      <c r="J188" s="79"/>
      <c r="O188" s="79"/>
      <c r="P188" s="79"/>
      <c r="S188" s="79"/>
      <c r="T188" s="79"/>
      <c r="W188" s="130"/>
      <c r="Y188" s="106"/>
    </row>
    <row r="189">
      <c r="C189" s="79"/>
      <c r="D189" s="79"/>
      <c r="J189" s="79"/>
      <c r="O189" s="79"/>
      <c r="P189" s="79"/>
      <c r="S189" s="79"/>
      <c r="T189" s="79"/>
      <c r="W189" s="130"/>
      <c r="Y189" s="106"/>
    </row>
    <row r="190">
      <c r="C190" s="79"/>
      <c r="D190" s="79"/>
      <c r="J190" s="79"/>
      <c r="O190" s="79"/>
      <c r="P190" s="79"/>
      <c r="S190" s="79"/>
      <c r="T190" s="79"/>
      <c r="W190" s="130"/>
      <c r="Y190" s="106"/>
    </row>
    <row r="191">
      <c r="C191" s="79"/>
      <c r="D191" s="79"/>
      <c r="J191" s="79"/>
      <c r="O191" s="79"/>
      <c r="P191" s="79"/>
      <c r="S191" s="79"/>
      <c r="T191" s="79"/>
      <c r="W191" s="130"/>
      <c r="Y191" s="106"/>
    </row>
    <row r="192">
      <c r="C192" s="79"/>
      <c r="D192" s="79"/>
      <c r="J192" s="79"/>
      <c r="O192" s="79"/>
      <c r="P192" s="79"/>
      <c r="S192" s="79"/>
      <c r="T192" s="79"/>
      <c r="W192" s="130"/>
      <c r="Y192" s="106"/>
    </row>
    <row r="193">
      <c r="C193" s="79"/>
      <c r="D193" s="79"/>
      <c r="J193" s="79"/>
      <c r="O193" s="79"/>
      <c r="P193" s="79"/>
      <c r="S193" s="79"/>
      <c r="T193" s="79"/>
      <c r="W193" s="130"/>
      <c r="Y193" s="106"/>
    </row>
    <row r="194">
      <c r="C194" s="79"/>
      <c r="D194" s="79"/>
      <c r="J194" s="79"/>
      <c r="O194" s="79"/>
      <c r="P194" s="79"/>
      <c r="S194" s="79"/>
      <c r="T194" s="79"/>
      <c r="W194" s="130"/>
      <c r="Y194" s="106"/>
    </row>
    <row r="195">
      <c r="C195" s="79"/>
      <c r="D195" s="79"/>
      <c r="J195" s="79"/>
      <c r="O195" s="79"/>
      <c r="P195" s="79"/>
      <c r="S195" s="79"/>
      <c r="T195" s="79"/>
      <c r="W195" s="130"/>
      <c r="Y195" s="106"/>
    </row>
    <row r="196">
      <c r="C196" s="79"/>
      <c r="D196" s="79"/>
      <c r="J196" s="79"/>
      <c r="O196" s="79"/>
      <c r="P196" s="79"/>
      <c r="S196" s="79"/>
      <c r="T196" s="79"/>
      <c r="W196" s="130"/>
      <c r="Y196" s="106"/>
    </row>
    <row r="197">
      <c r="C197" s="79"/>
      <c r="D197" s="79"/>
      <c r="J197" s="79"/>
      <c r="O197" s="79"/>
      <c r="P197" s="79"/>
      <c r="S197" s="79"/>
      <c r="T197" s="79"/>
      <c r="W197" s="130"/>
      <c r="Y197" s="106"/>
    </row>
    <row r="198">
      <c r="C198" s="79"/>
      <c r="D198" s="79"/>
      <c r="J198" s="79"/>
      <c r="O198" s="79"/>
      <c r="P198" s="79"/>
      <c r="S198" s="79"/>
      <c r="T198" s="79"/>
      <c r="W198" s="130"/>
      <c r="Y198" s="106"/>
    </row>
    <row r="199">
      <c r="C199" s="79"/>
      <c r="D199" s="79"/>
      <c r="J199" s="79"/>
      <c r="O199" s="79"/>
      <c r="P199" s="79"/>
      <c r="S199" s="79"/>
      <c r="T199" s="79"/>
      <c r="W199" s="130"/>
      <c r="Y199" s="106"/>
    </row>
    <row r="200">
      <c r="C200" s="79"/>
      <c r="D200" s="79"/>
      <c r="J200" s="79"/>
      <c r="O200" s="79"/>
      <c r="P200" s="79"/>
      <c r="S200" s="79"/>
      <c r="T200" s="79"/>
      <c r="W200" s="130"/>
      <c r="Y200" s="106"/>
    </row>
    <row r="201">
      <c r="C201" s="79"/>
      <c r="D201" s="79"/>
      <c r="J201" s="79"/>
      <c r="O201" s="79"/>
      <c r="P201" s="79"/>
      <c r="S201" s="79"/>
      <c r="T201" s="79"/>
      <c r="W201" s="130"/>
      <c r="Y201" s="106"/>
    </row>
    <row r="202">
      <c r="C202" s="79"/>
      <c r="D202" s="79"/>
      <c r="J202" s="79"/>
      <c r="O202" s="79"/>
      <c r="P202" s="79"/>
      <c r="S202" s="79"/>
      <c r="T202" s="79"/>
      <c r="W202" s="130"/>
      <c r="Y202" s="106"/>
    </row>
    <row r="203">
      <c r="C203" s="79"/>
      <c r="D203" s="79"/>
      <c r="J203" s="79"/>
      <c r="O203" s="79"/>
      <c r="P203" s="79"/>
      <c r="S203" s="79"/>
      <c r="T203" s="79"/>
      <c r="W203" s="130"/>
      <c r="Y203" s="106"/>
    </row>
    <row r="204">
      <c r="C204" s="79"/>
      <c r="D204" s="79"/>
      <c r="J204" s="79"/>
      <c r="O204" s="79"/>
      <c r="P204" s="79"/>
      <c r="S204" s="79"/>
      <c r="T204" s="79"/>
      <c r="W204" s="130"/>
      <c r="Y204" s="106"/>
    </row>
    <row r="205">
      <c r="C205" s="79"/>
      <c r="D205" s="79"/>
      <c r="J205" s="79"/>
      <c r="O205" s="79"/>
      <c r="P205" s="79"/>
      <c r="S205" s="79"/>
      <c r="T205" s="79"/>
      <c r="W205" s="130"/>
      <c r="Y205" s="106"/>
    </row>
    <row r="206">
      <c r="C206" s="79"/>
      <c r="D206" s="79"/>
      <c r="J206" s="79"/>
      <c r="O206" s="79"/>
      <c r="P206" s="79"/>
      <c r="S206" s="79"/>
      <c r="T206" s="79"/>
      <c r="W206" s="130"/>
      <c r="Y206" s="106"/>
    </row>
    <row r="207">
      <c r="C207" s="79"/>
      <c r="D207" s="79"/>
      <c r="J207" s="79"/>
      <c r="O207" s="79"/>
      <c r="P207" s="79"/>
      <c r="S207" s="79"/>
      <c r="T207" s="79"/>
      <c r="W207" s="130"/>
      <c r="Y207" s="106"/>
    </row>
    <row r="208">
      <c r="C208" s="79"/>
      <c r="D208" s="79"/>
      <c r="J208" s="79"/>
      <c r="O208" s="79"/>
      <c r="P208" s="79"/>
      <c r="S208" s="79"/>
      <c r="T208" s="79"/>
      <c r="W208" s="130"/>
      <c r="Y208" s="106"/>
    </row>
    <row r="209">
      <c r="C209" s="79"/>
      <c r="D209" s="79"/>
      <c r="J209" s="79"/>
      <c r="O209" s="79"/>
      <c r="P209" s="79"/>
      <c r="S209" s="79"/>
      <c r="T209" s="79"/>
      <c r="W209" s="130"/>
      <c r="Y209" s="106"/>
    </row>
    <row r="210">
      <c r="C210" s="79"/>
      <c r="D210" s="79"/>
      <c r="J210" s="79"/>
      <c r="O210" s="79"/>
      <c r="P210" s="79"/>
      <c r="S210" s="79"/>
      <c r="T210" s="79"/>
      <c r="W210" s="130"/>
      <c r="Y210" s="106"/>
    </row>
    <row r="211">
      <c r="C211" s="79"/>
      <c r="D211" s="79"/>
      <c r="J211" s="79"/>
      <c r="O211" s="79"/>
      <c r="P211" s="79"/>
      <c r="S211" s="79"/>
      <c r="T211" s="79"/>
      <c r="W211" s="130"/>
      <c r="Y211" s="106"/>
    </row>
    <row r="212">
      <c r="C212" s="79"/>
      <c r="D212" s="79"/>
      <c r="J212" s="79"/>
      <c r="O212" s="79"/>
      <c r="P212" s="79"/>
      <c r="S212" s="79"/>
      <c r="T212" s="79"/>
      <c r="W212" s="130"/>
      <c r="Y212" s="106"/>
    </row>
    <row r="213">
      <c r="C213" s="79"/>
      <c r="D213" s="79"/>
      <c r="J213" s="79"/>
      <c r="O213" s="79"/>
      <c r="P213" s="79"/>
      <c r="S213" s="79"/>
      <c r="T213" s="79"/>
      <c r="W213" s="130"/>
      <c r="Y213" s="106"/>
    </row>
    <row r="214">
      <c r="C214" s="79"/>
      <c r="D214" s="79"/>
      <c r="J214" s="79"/>
      <c r="O214" s="79"/>
      <c r="P214" s="79"/>
      <c r="S214" s="79"/>
      <c r="T214" s="79"/>
      <c r="W214" s="130"/>
      <c r="Y214" s="106"/>
    </row>
    <row r="215">
      <c r="C215" s="79"/>
      <c r="D215" s="79"/>
      <c r="J215" s="79"/>
      <c r="O215" s="79"/>
      <c r="P215" s="79"/>
      <c r="S215" s="79"/>
      <c r="T215" s="79"/>
      <c r="W215" s="130"/>
      <c r="Y215" s="106"/>
    </row>
    <row r="216">
      <c r="C216" s="79"/>
      <c r="D216" s="79"/>
      <c r="J216" s="79"/>
      <c r="O216" s="79"/>
      <c r="P216" s="79"/>
      <c r="S216" s="79"/>
      <c r="T216" s="79"/>
      <c r="W216" s="130"/>
      <c r="Y216" s="106"/>
    </row>
    <row r="217">
      <c r="C217" s="79"/>
      <c r="D217" s="79"/>
      <c r="J217" s="79"/>
      <c r="O217" s="79"/>
      <c r="P217" s="79"/>
      <c r="S217" s="79"/>
      <c r="T217" s="79"/>
      <c r="W217" s="130"/>
      <c r="Y217" s="106"/>
    </row>
    <row r="218">
      <c r="C218" s="79"/>
      <c r="D218" s="79"/>
      <c r="J218" s="79"/>
      <c r="O218" s="79"/>
      <c r="P218" s="79"/>
      <c r="S218" s="79"/>
      <c r="T218" s="79"/>
      <c r="W218" s="130"/>
      <c r="Y218" s="106"/>
    </row>
    <row r="219">
      <c r="C219" s="79"/>
      <c r="D219" s="79"/>
      <c r="J219" s="79"/>
      <c r="O219" s="79"/>
      <c r="P219" s="79"/>
      <c r="S219" s="79"/>
      <c r="T219" s="79"/>
      <c r="W219" s="130"/>
      <c r="Y219" s="106"/>
    </row>
    <row r="220">
      <c r="C220" s="79"/>
      <c r="D220" s="79"/>
      <c r="J220" s="79"/>
      <c r="O220" s="79"/>
      <c r="P220" s="79"/>
      <c r="S220" s="79"/>
      <c r="T220" s="79"/>
      <c r="W220" s="130"/>
      <c r="Y220" s="106"/>
    </row>
    <row r="221">
      <c r="C221" s="79"/>
      <c r="D221" s="79"/>
      <c r="J221" s="79"/>
      <c r="O221" s="79"/>
      <c r="P221" s="79"/>
      <c r="S221" s="79"/>
      <c r="T221" s="79"/>
      <c r="W221" s="130"/>
      <c r="Y221" s="106"/>
    </row>
    <row r="222">
      <c r="C222" s="79"/>
      <c r="D222" s="79"/>
      <c r="J222" s="79"/>
      <c r="O222" s="79"/>
      <c r="P222" s="79"/>
      <c r="S222" s="79"/>
      <c r="T222" s="79"/>
      <c r="W222" s="130"/>
      <c r="Y222" s="106"/>
    </row>
    <row r="223">
      <c r="C223" s="79"/>
      <c r="D223" s="79"/>
      <c r="J223" s="79"/>
      <c r="O223" s="79"/>
      <c r="P223" s="79"/>
      <c r="S223" s="79"/>
      <c r="T223" s="79"/>
      <c r="W223" s="130"/>
      <c r="Y223" s="106"/>
    </row>
    <row r="224">
      <c r="C224" s="79"/>
      <c r="D224" s="79"/>
      <c r="J224" s="79"/>
      <c r="O224" s="79"/>
      <c r="P224" s="79"/>
      <c r="S224" s="79"/>
      <c r="T224" s="79"/>
      <c r="W224" s="130"/>
      <c r="Y224" s="106"/>
    </row>
    <row r="225">
      <c r="C225" s="79"/>
      <c r="D225" s="79"/>
      <c r="J225" s="79"/>
      <c r="O225" s="79"/>
      <c r="P225" s="79"/>
      <c r="S225" s="79"/>
      <c r="T225" s="79"/>
      <c r="W225" s="130"/>
      <c r="Y225" s="106"/>
    </row>
    <row r="226">
      <c r="C226" s="79"/>
      <c r="D226" s="79"/>
      <c r="J226" s="79"/>
      <c r="O226" s="79"/>
      <c r="P226" s="79"/>
      <c r="S226" s="79"/>
      <c r="T226" s="79"/>
      <c r="W226" s="130"/>
      <c r="Y226" s="106"/>
    </row>
    <row r="227">
      <c r="C227" s="79"/>
      <c r="D227" s="79"/>
      <c r="J227" s="79"/>
      <c r="O227" s="79"/>
      <c r="P227" s="79"/>
      <c r="S227" s="79"/>
      <c r="T227" s="79"/>
      <c r="W227" s="130"/>
      <c r="Y227" s="106"/>
    </row>
    <row r="228">
      <c r="C228" s="79"/>
      <c r="D228" s="79"/>
      <c r="J228" s="79"/>
      <c r="O228" s="79"/>
      <c r="P228" s="79"/>
      <c r="S228" s="79"/>
      <c r="T228" s="79"/>
      <c r="W228" s="130"/>
      <c r="Y228" s="106"/>
    </row>
    <row r="229">
      <c r="C229" s="79"/>
      <c r="D229" s="79"/>
      <c r="J229" s="79"/>
      <c r="O229" s="79"/>
      <c r="P229" s="79"/>
      <c r="S229" s="79"/>
      <c r="T229" s="79"/>
      <c r="W229" s="130"/>
      <c r="Y229" s="106"/>
    </row>
    <row r="230">
      <c r="C230" s="79"/>
      <c r="D230" s="79"/>
      <c r="J230" s="79"/>
      <c r="O230" s="79"/>
      <c r="P230" s="79"/>
      <c r="S230" s="79"/>
      <c r="T230" s="79"/>
      <c r="W230" s="130"/>
      <c r="Y230" s="106"/>
    </row>
    <row r="231">
      <c r="C231" s="79"/>
      <c r="D231" s="79"/>
      <c r="J231" s="79"/>
      <c r="O231" s="79"/>
      <c r="P231" s="79"/>
      <c r="S231" s="79"/>
      <c r="T231" s="79"/>
      <c r="W231" s="130"/>
      <c r="Y231" s="106"/>
    </row>
    <row r="232">
      <c r="C232" s="79"/>
      <c r="D232" s="79"/>
      <c r="J232" s="79"/>
      <c r="O232" s="79"/>
      <c r="P232" s="79"/>
      <c r="S232" s="79"/>
      <c r="T232" s="79"/>
      <c r="W232" s="130"/>
      <c r="Y232" s="106"/>
    </row>
    <row r="233">
      <c r="C233" s="79"/>
      <c r="D233" s="79"/>
      <c r="J233" s="79"/>
      <c r="O233" s="79"/>
      <c r="P233" s="79"/>
      <c r="S233" s="79"/>
      <c r="T233" s="79"/>
      <c r="W233" s="130"/>
      <c r="Y233" s="106"/>
    </row>
    <row r="234">
      <c r="C234" s="79"/>
      <c r="D234" s="79"/>
      <c r="J234" s="79"/>
      <c r="O234" s="79"/>
      <c r="P234" s="79"/>
      <c r="S234" s="79"/>
      <c r="T234" s="79"/>
      <c r="W234" s="130"/>
      <c r="Y234" s="106"/>
    </row>
    <row r="235">
      <c r="C235" s="79"/>
      <c r="D235" s="79"/>
      <c r="J235" s="79"/>
      <c r="O235" s="79"/>
      <c r="P235" s="79"/>
      <c r="S235" s="79"/>
      <c r="T235" s="79"/>
      <c r="W235" s="130"/>
      <c r="Y235" s="106"/>
    </row>
    <row r="236">
      <c r="C236" s="79"/>
      <c r="D236" s="79"/>
      <c r="J236" s="79"/>
      <c r="O236" s="79"/>
      <c r="P236" s="79"/>
      <c r="S236" s="79"/>
      <c r="T236" s="79"/>
      <c r="W236" s="130"/>
      <c r="Y236" s="106"/>
    </row>
    <row r="237">
      <c r="C237" s="79"/>
      <c r="D237" s="79"/>
      <c r="J237" s="79"/>
      <c r="O237" s="79"/>
      <c r="P237" s="79"/>
      <c r="S237" s="79"/>
      <c r="T237" s="79"/>
      <c r="W237" s="130"/>
      <c r="Y237" s="106"/>
    </row>
    <row r="238">
      <c r="C238" s="79"/>
      <c r="D238" s="79"/>
      <c r="J238" s="79"/>
      <c r="O238" s="79"/>
      <c r="P238" s="79"/>
      <c r="S238" s="79"/>
      <c r="T238" s="79"/>
      <c r="W238" s="130"/>
      <c r="Y238" s="106"/>
    </row>
    <row r="239">
      <c r="C239" s="79"/>
      <c r="D239" s="79"/>
      <c r="J239" s="79"/>
      <c r="O239" s="79"/>
      <c r="P239" s="79"/>
      <c r="S239" s="79"/>
      <c r="T239" s="79"/>
      <c r="W239" s="130"/>
      <c r="Y239" s="106"/>
    </row>
    <row r="240">
      <c r="C240" s="79"/>
      <c r="D240" s="79"/>
      <c r="J240" s="79"/>
      <c r="O240" s="79"/>
      <c r="P240" s="79"/>
      <c r="S240" s="79"/>
      <c r="T240" s="79"/>
      <c r="W240" s="130"/>
      <c r="Y240" s="106"/>
    </row>
    <row r="241">
      <c r="C241" s="79"/>
      <c r="D241" s="79"/>
      <c r="J241" s="79"/>
      <c r="O241" s="79"/>
      <c r="P241" s="79"/>
      <c r="S241" s="79"/>
      <c r="T241" s="79"/>
      <c r="W241" s="130"/>
      <c r="Y241" s="106"/>
    </row>
    <row r="242">
      <c r="C242" s="79"/>
      <c r="D242" s="79"/>
      <c r="J242" s="79"/>
      <c r="O242" s="79"/>
      <c r="P242" s="79"/>
      <c r="S242" s="79"/>
      <c r="T242" s="79"/>
      <c r="W242" s="130"/>
      <c r="Y242" s="106"/>
    </row>
    <row r="243">
      <c r="C243" s="79"/>
      <c r="D243" s="79"/>
      <c r="J243" s="79"/>
      <c r="O243" s="79"/>
      <c r="P243" s="79"/>
      <c r="S243" s="79"/>
      <c r="T243" s="79"/>
      <c r="W243" s="130"/>
      <c r="Y243" s="106"/>
    </row>
    <row r="244">
      <c r="C244" s="79"/>
      <c r="D244" s="79"/>
      <c r="J244" s="79"/>
      <c r="O244" s="79"/>
      <c r="P244" s="79"/>
      <c r="S244" s="79"/>
      <c r="T244" s="79"/>
      <c r="W244" s="130"/>
      <c r="Y244" s="106"/>
    </row>
    <row r="245">
      <c r="C245" s="79"/>
      <c r="D245" s="79"/>
      <c r="J245" s="79"/>
      <c r="O245" s="79"/>
      <c r="P245" s="79"/>
      <c r="S245" s="79"/>
      <c r="T245" s="79"/>
      <c r="W245" s="130"/>
      <c r="Y245" s="106"/>
    </row>
    <row r="246">
      <c r="C246" s="79"/>
      <c r="D246" s="79"/>
      <c r="J246" s="79"/>
      <c r="O246" s="79"/>
      <c r="P246" s="79"/>
      <c r="S246" s="79"/>
      <c r="T246" s="79"/>
      <c r="W246" s="130"/>
      <c r="Y246" s="106"/>
    </row>
    <row r="247">
      <c r="C247" s="79"/>
      <c r="D247" s="79"/>
      <c r="J247" s="79"/>
      <c r="O247" s="79"/>
      <c r="P247" s="79"/>
      <c r="S247" s="79"/>
      <c r="T247" s="79"/>
      <c r="W247" s="130"/>
      <c r="Y247" s="106"/>
    </row>
    <row r="248">
      <c r="C248" s="79"/>
      <c r="D248" s="79"/>
      <c r="J248" s="79"/>
      <c r="O248" s="79"/>
      <c r="P248" s="79"/>
      <c r="S248" s="79"/>
      <c r="T248" s="79"/>
      <c r="W248" s="130"/>
      <c r="Y248" s="106"/>
    </row>
    <row r="249">
      <c r="C249" s="79"/>
      <c r="D249" s="79"/>
      <c r="J249" s="79"/>
      <c r="O249" s="79"/>
      <c r="P249" s="79"/>
      <c r="S249" s="79"/>
      <c r="T249" s="79"/>
      <c r="W249" s="130"/>
      <c r="Y249" s="106"/>
    </row>
    <row r="250">
      <c r="C250" s="79"/>
      <c r="D250" s="79"/>
      <c r="J250" s="79"/>
      <c r="O250" s="79"/>
      <c r="P250" s="79"/>
      <c r="S250" s="79"/>
      <c r="T250" s="79"/>
      <c r="W250" s="130"/>
      <c r="Y250" s="106"/>
    </row>
    <row r="251">
      <c r="C251" s="79"/>
      <c r="D251" s="79"/>
      <c r="J251" s="79"/>
      <c r="O251" s="79"/>
      <c r="P251" s="79"/>
      <c r="S251" s="79"/>
      <c r="T251" s="79"/>
      <c r="W251" s="130"/>
      <c r="Y251" s="106"/>
    </row>
    <row r="252">
      <c r="C252" s="79"/>
      <c r="D252" s="79"/>
      <c r="J252" s="79"/>
      <c r="O252" s="79"/>
      <c r="P252" s="79"/>
      <c r="S252" s="79"/>
      <c r="T252" s="79"/>
      <c r="W252" s="130"/>
      <c r="Y252" s="106"/>
    </row>
    <row r="253">
      <c r="C253" s="79"/>
      <c r="D253" s="79"/>
      <c r="J253" s="79"/>
      <c r="O253" s="79"/>
      <c r="P253" s="79"/>
      <c r="S253" s="79"/>
      <c r="T253" s="79"/>
      <c r="W253" s="130"/>
      <c r="Y253" s="106"/>
    </row>
    <row r="254">
      <c r="C254" s="79"/>
      <c r="D254" s="79"/>
      <c r="J254" s="79"/>
      <c r="O254" s="79"/>
      <c r="P254" s="79"/>
      <c r="S254" s="79"/>
      <c r="T254" s="79"/>
      <c r="W254" s="130"/>
      <c r="Y254" s="106"/>
    </row>
    <row r="255">
      <c r="C255" s="79"/>
      <c r="D255" s="79"/>
      <c r="J255" s="79"/>
      <c r="O255" s="79"/>
      <c r="P255" s="79"/>
      <c r="S255" s="79"/>
      <c r="T255" s="79"/>
      <c r="W255" s="130"/>
      <c r="Y255" s="106"/>
    </row>
    <row r="256">
      <c r="C256" s="79"/>
      <c r="D256" s="79"/>
      <c r="J256" s="79"/>
      <c r="O256" s="79"/>
      <c r="P256" s="79"/>
      <c r="S256" s="79"/>
      <c r="T256" s="79"/>
      <c r="W256" s="130"/>
      <c r="Y256" s="106"/>
    </row>
    <row r="257">
      <c r="C257" s="79"/>
      <c r="D257" s="79"/>
      <c r="J257" s="79"/>
      <c r="O257" s="79"/>
      <c r="P257" s="79"/>
      <c r="S257" s="79"/>
      <c r="T257" s="79"/>
      <c r="W257" s="130"/>
      <c r="Y257" s="106"/>
    </row>
    <row r="258">
      <c r="C258" s="79"/>
      <c r="D258" s="79"/>
      <c r="J258" s="79"/>
      <c r="O258" s="79"/>
      <c r="P258" s="79"/>
      <c r="S258" s="79"/>
      <c r="T258" s="79"/>
      <c r="W258" s="130"/>
      <c r="Y258" s="106"/>
    </row>
    <row r="259">
      <c r="C259" s="79"/>
      <c r="D259" s="79"/>
      <c r="J259" s="79"/>
      <c r="O259" s="79"/>
      <c r="P259" s="79"/>
      <c r="S259" s="79"/>
      <c r="T259" s="79"/>
      <c r="W259" s="130"/>
      <c r="Y259" s="106"/>
    </row>
    <row r="260">
      <c r="C260" s="79"/>
      <c r="D260" s="79"/>
      <c r="J260" s="79"/>
      <c r="O260" s="79"/>
      <c r="P260" s="79"/>
      <c r="S260" s="79"/>
      <c r="T260" s="79"/>
      <c r="W260" s="130"/>
      <c r="Y260" s="106"/>
    </row>
    <row r="261">
      <c r="C261" s="79"/>
      <c r="D261" s="79"/>
      <c r="J261" s="79"/>
      <c r="O261" s="79"/>
      <c r="P261" s="79"/>
      <c r="S261" s="79"/>
      <c r="T261" s="79"/>
      <c r="W261" s="130"/>
      <c r="Y261" s="106"/>
    </row>
    <row r="262">
      <c r="C262" s="79"/>
      <c r="D262" s="79"/>
      <c r="J262" s="79"/>
      <c r="O262" s="79"/>
      <c r="P262" s="79"/>
      <c r="S262" s="79"/>
      <c r="T262" s="79"/>
      <c r="W262" s="130"/>
      <c r="Y262" s="106"/>
    </row>
    <row r="263">
      <c r="C263" s="79"/>
      <c r="D263" s="79"/>
      <c r="J263" s="79"/>
      <c r="O263" s="79"/>
      <c r="P263" s="79"/>
      <c r="S263" s="79"/>
      <c r="T263" s="79"/>
      <c r="W263" s="130"/>
      <c r="Y263" s="106"/>
    </row>
    <row r="264">
      <c r="C264" s="79"/>
      <c r="D264" s="79"/>
      <c r="J264" s="79"/>
      <c r="O264" s="79"/>
      <c r="P264" s="79"/>
      <c r="S264" s="79"/>
      <c r="T264" s="79"/>
      <c r="W264" s="130"/>
      <c r="Y264" s="106"/>
    </row>
    <row r="265">
      <c r="C265" s="79"/>
      <c r="D265" s="79"/>
      <c r="J265" s="79"/>
      <c r="O265" s="79"/>
      <c r="P265" s="79"/>
      <c r="S265" s="79"/>
      <c r="T265" s="79"/>
      <c r="W265" s="130"/>
      <c r="Y265" s="106"/>
    </row>
    <row r="266">
      <c r="C266" s="79"/>
      <c r="D266" s="79"/>
      <c r="J266" s="79"/>
      <c r="O266" s="79"/>
      <c r="P266" s="79"/>
      <c r="S266" s="79"/>
      <c r="T266" s="79"/>
      <c r="W266" s="130"/>
      <c r="Y266" s="106"/>
    </row>
    <row r="267">
      <c r="C267" s="79"/>
      <c r="D267" s="79"/>
      <c r="J267" s="79"/>
      <c r="O267" s="79"/>
      <c r="P267" s="79"/>
      <c r="S267" s="79"/>
      <c r="T267" s="79"/>
      <c r="W267" s="130"/>
      <c r="Y267" s="106"/>
    </row>
    <row r="268">
      <c r="C268" s="79"/>
      <c r="D268" s="79"/>
      <c r="J268" s="79"/>
      <c r="O268" s="79"/>
      <c r="P268" s="79"/>
      <c r="S268" s="79"/>
      <c r="T268" s="79"/>
      <c r="W268" s="130"/>
      <c r="Y268" s="106"/>
    </row>
    <row r="269">
      <c r="C269" s="79"/>
      <c r="D269" s="79"/>
      <c r="J269" s="79"/>
      <c r="O269" s="79"/>
      <c r="P269" s="79"/>
      <c r="S269" s="79"/>
      <c r="T269" s="79"/>
      <c r="W269" s="130"/>
      <c r="Y269" s="106"/>
    </row>
    <row r="270">
      <c r="C270" s="79"/>
      <c r="D270" s="79"/>
      <c r="J270" s="79"/>
      <c r="O270" s="79"/>
      <c r="P270" s="79"/>
      <c r="S270" s="79"/>
      <c r="T270" s="79"/>
      <c r="W270" s="130"/>
      <c r="Y270" s="106"/>
    </row>
    <row r="271">
      <c r="C271" s="79"/>
      <c r="D271" s="79"/>
      <c r="J271" s="79"/>
      <c r="O271" s="79"/>
      <c r="P271" s="79"/>
      <c r="S271" s="79"/>
      <c r="T271" s="79"/>
      <c r="W271" s="130"/>
      <c r="Y271" s="106"/>
    </row>
    <row r="272">
      <c r="C272" s="79"/>
      <c r="D272" s="79"/>
      <c r="J272" s="79"/>
      <c r="O272" s="79"/>
      <c r="P272" s="79"/>
      <c r="S272" s="79"/>
      <c r="T272" s="79"/>
      <c r="W272" s="130"/>
      <c r="Y272" s="106"/>
    </row>
    <row r="273">
      <c r="C273" s="79"/>
      <c r="D273" s="79"/>
      <c r="J273" s="79"/>
      <c r="O273" s="79"/>
      <c r="P273" s="79"/>
      <c r="S273" s="79"/>
      <c r="T273" s="79"/>
      <c r="W273" s="130"/>
      <c r="Y273" s="106"/>
    </row>
    <row r="274">
      <c r="C274" s="79"/>
      <c r="D274" s="79"/>
      <c r="J274" s="79"/>
      <c r="O274" s="79"/>
      <c r="P274" s="79"/>
      <c r="S274" s="79"/>
      <c r="T274" s="79"/>
      <c r="W274" s="130"/>
      <c r="Y274" s="106"/>
    </row>
    <row r="275">
      <c r="C275" s="79"/>
      <c r="D275" s="79"/>
      <c r="J275" s="79"/>
      <c r="O275" s="79"/>
      <c r="P275" s="79"/>
      <c r="S275" s="79"/>
      <c r="T275" s="79"/>
      <c r="W275" s="130"/>
      <c r="Y275" s="106"/>
    </row>
    <row r="276">
      <c r="C276" s="79"/>
      <c r="D276" s="79"/>
      <c r="J276" s="79"/>
      <c r="O276" s="79"/>
      <c r="P276" s="79"/>
      <c r="S276" s="79"/>
      <c r="T276" s="79"/>
      <c r="W276" s="130"/>
      <c r="Y276" s="106"/>
    </row>
    <row r="277">
      <c r="C277" s="79"/>
      <c r="D277" s="79"/>
      <c r="J277" s="79"/>
      <c r="O277" s="79"/>
      <c r="P277" s="79"/>
      <c r="S277" s="79"/>
      <c r="T277" s="79"/>
      <c r="W277" s="130"/>
      <c r="Y277" s="106"/>
    </row>
    <row r="278">
      <c r="C278" s="79"/>
      <c r="D278" s="79"/>
      <c r="J278" s="79"/>
      <c r="O278" s="79"/>
      <c r="P278" s="79"/>
      <c r="S278" s="79"/>
      <c r="T278" s="79"/>
      <c r="W278" s="130"/>
      <c r="Y278" s="106"/>
    </row>
    <row r="279">
      <c r="C279" s="79"/>
      <c r="D279" s="79"/>
      <c r="J279" s="79"/>
      <c r="O279" s="79"/>
      <c r="P279" s="79"/>
      <c r="S279" s="79"/>
      <c r="T279" s="79"/>
      <c r="W279" s="130"/>
      <c r="Y279" s="106"/>
    </row>
    <row r="280">
      <c r="C280" s="79"/>
      <c r="D280" s="79"/>
      <c r="J280" s="79"/>
      <c r="O280" s="79"/>
      <c r="P280" s="79"/>
      <c r="S280" s="79"/>
      <c r="T280" s="79"/>
      <c r="W280" s="130"/>
      <c r="Y280" s="106"/>
    </row>
    <row r="281">
      <c r="C281" s="79"/>
      <c r="D281" s="79"/>
      <c r="J281" s="79"/>
      <c r="O281" s="79"/>
      <c r="P281" s="79"/>
      <c r="S281" s="79"/>
      <c r="T281" s="79"/>
      <c r="W281" s="130"/>
      <c r="Y281" s="106"/>
    </row>
    <row r="282">
      <c r="C282" s="79"/>
      <c r="D282" s="79"/>
      <c r="J282" s="79"/>
      <c r="O282" s="79"/>
      <c r="P282" s="79"/>
      <c r="S282" s="79"/>
      <c r="T282" s="79"/>
      <c r="W282" s="130"/>
      <c r="Y282" s="106"/>
    </row>
    <row r="283">
      <c r="C283" s="79"/>
      <c r="D283" s="79"/>
      <c r="J283" s="79"/>
      <c r="O283" s="79"/>
      <c r="P283" s="79"/>
      <c r="S283" s="79"/>
      <c r="T283" s="79"/>
      <c r="W283" s="130"/>
      <c r="Y283" s="106"/>
    </row>
    <row r="284">
      <c r="C284" s="79"/>
      <c r="D284" s="79"/>
      <c r="J284" s="79"/>
      <c r="O284" s="79"/>
      <c r="P284" s="79"/>
      <c r="S284" s="79"/>
      <c r="T284" s="79"/>
      <c r="W284" s="130"/>
      <c r="Y284" s="106"/>
    </row>
    <row r="285">
      <c r="C285" s="79"/>
      <c r="D285" s="79"/>
      <c r="J285" s="79"/>
      <c r="O285" s="79"/>
      <c r="P285" s="79"/>
      <c r="S285" s="79"/>
      <c r="T285" s="79"/>
      <c r="W285" s="130"/>
      <c r="Y285" s="106"/>
    </row>
    <row r="286">
      <c r="C286" s="79"/>
      <c r="D286" s="79"/>
      <c r="J286" s="79"/>
      <c r="O286" s="79"/>
      <c r="P286" s="79"/>
      <c r="S286" s="79"/>
      <c r="T286" s="79"/>
      <c r="W286" s="130"/>
      <c r="Y286" s="106"/>
    </row>
    <row r="287">
      <c r="C287" s="79"/>
      <c r="D287" s="79"/>
      <c r="J287" s="79"/>
      <c r="O287" s="79"/>
      <c r="P287" s="79"/>
      <c r="S287" s="79"/>
      <c r="T287" s="79"/>
      <c r="W287" s="130"/>
      <c r="Y287" s="106"/>
    </row>
    <row r="288">
      <c r="C288" s="79"/>
      <c r="D288" s="79"/>
      <c r="J288" s="79"/>
      <c r="O288" s="79"/>
      <c r="P288" s="79"/>
      <c r="S288" s="79"/>
      <c r="T288" s="79"/>
      <c r="W288" s="130"/>
      <c r="Y288" s="106"/>
    </row>
    <row r="289">
      <c r="C289" s="79"/>
      <c r="D289" s="79"/>
      <c r="J289" s="79"/>
      <c r="O289" s="79"/>
      <c r="P289" s="79"/>
      <c r="S289" s="79"/>
      <c r="T289" s="79"/>
      <c r="W289" s="130"/>
      <c r="Y289" s="106"/>
    </row>
    <row r="290">
      <c r="C290" s="79"/>
      <c r="D290" s="79"/>
      <c r="J290" s="79"/>
      <c r="O290" s="79"/>
      <c r="P290" s="79"/>
      <c r="S290" s="79"/>
      <c r="T290" s="79"/>
      <c r="W290" s="130"/>
      <c r="Y290" s="106"/>
    </row>
    <row r="291">
      <c r="C291" s="79"/>
      <c r="D291" s="79"/>
      <c r="J291" s="79"/>
      <c r="O291" s="79"/>
      <c r="P291" s="79"/>
      <c r="S291" s="79"/>
      <c r="T291" s="79"/>
      <c r="W291" s="130"/>
      <c r="Y291" s="106"/>
    </row>
    <row r="292">
      <c r="C292" s="79"/>
      <c r="D292" s="79"/>
      <c r="J292" s="79"/>
      <c r="O292" s="79"/>
      <c r="P292" s="79"/>
      <c r="S292" s="79"/>
      <c r="T292" s="79"/>
      <c r="W292" s="130"/>
      <c r="Y292" s="106"/>
    </row>
    <row r="293">
      <c r="C293" s="79"/>
      <c r="D293" s="79"/>
      <c r="J293" s="79"/>
      <c r="O293" s="79"/>
      <c r="P293" s="79"/>
      <c r="S293" s="79"/>
      <c r="T293" s="79"/>
      <c r="W293" s="130"/>
      <c r="Y293" s="106"/>
    </row>
    <row r="294">
      <c r="C294" s="79"/>
      <c r="D294" s="79"/>
      <c r="J294" s="79"/>
      <c r="O294" s="79"/>
      <c r="P294" s="79"/>
      <c r="S294" s="79"/>
      <c r="T294" s="79"/>
      <c r="W294" s="130"/>
      <c r="Y294" s="106"/>
    </row>
    <row r="295">
      <c r="C295" s="79"/>
      <c r="D295" s="79"/>
      <c r="J295" s="79"/>
      <c r="O295" s="79"/>
      <c r="P295" s="79"/>
      <c r="S295" s="79"/>
      <c r="T295" s="79"/>
      <c r="W295" s="130"/>
      <c r="Y295" s="106"/>
    </row>
    <row r="296">
      <c r="C296" s="79"/>
      <c r="D296" s="79"/>
      <c r="J296" s="79"/>
      <c r="O296" s="79"/>
      <c r="P296" s="79"/>
      <c r="S296" s="79"/>
      <c r="T296" s="79"/>
      <c r="W296" s="130"/>
      <c r="Y296" s="106"/>
    </row>
    <row r="297">
      <c r="C297" s="79"/>
      <c r="D297" s="79"/>
      <c r="J297" s="79"/>
      <c r="O297" s="79"/>
      <c r="P297" s="79"/>
      <c r="S297" s="79"/>
      <c r="T297" s="79"/>
      <c r="W297" s="130"/>
      <c r="Y297" s="106"/>
    </row>
    <row r="298">
      <c r="C298" s="79"/>
      <c r="D298" s="79"/>
      <c r="J298" s="79"/>
      <c r="O298" s="79"/>
      <c r="P298" s="79"/>
      <c r="S298" s="79"/>
      <c r="T298" s="79"/>
      <c r="W298" s="130"/>
      <c r="Y298" s="106"/>
    </row>
    <row r="299">
      <c r="C299" s="79"/>
      <c r="D299" s="79"/>
      <c r="J299" s="79"/>
      <c r="O299" s="79"/>
      <c r="P299" s="79"/>
      <c r="S299" s="79"/>
      <c r="T299" s="79"/>
      <c r="W299" s="130"/>
      <c r="Y299" s="106"/>
    </row>
    <row r="300">
      <c r="C300" s="79"/>
      <c r="D300" s="79"/>
      <c r="J300" s="79"/>
      <c r="O300" s="79"/>
      <c r="P300" s="79"/>
      <c r="S300" s="79"/>
      <c r="T300" s="79"/>
      <c r="W300" s="130"/>
      <c r="Y300" s="106"/>
    </row>
    <row r="301">
      <c r="C301" s="79"/>
      <c r="D301" s="79"/>
      <c r="J301" s="79"/>
      <c r="O301" s="79"/>
      <c r="P301" s="79"/>
      <c r="S301" s="79"/>
      <c r="T301" s="79"/>
      <c r="W301" s="130"/>
      <c r="Y301" s="106"/>
    </row>
    <row r="302">
      <c r="C302" s="79"/>
      <c r="D302" s="79"/>
      <c r="J302" s="79"/>
      <c r="O302" s="79"/>
      <c r="P302" s="79"/>
      <c r="S302" s="79"/>
      <c r="T302" s="79"/>
      <c r="W302" s="130"/>
      <c r="Y302" s="106"/>
    </row>
    <row r="303">
      <c r="C303" s="79"/>
      <c r="D303" s="79"/>
      <c r="J303" s="79"/>
      <c r="O303" s="79"/>
      <c r="P303" s="79"/>
      <c r="S303" s="79"/>
      <c r="T303" s="79"/>
      <c r="W303" s="130"/>
      <c r="Y303" s="106"/>
    </row>
    <row r="304">
      <c r="C304" s="79"/>
      <c r="D304" s="79"/>
      <c r="J304" s="79"/>
      <c r="O304" s="79"/>
      <c r="P304" s="79"/>
      <c r="S304" s="79"/>
      <c r="T304" s="79"/>
      <c r="W304" s="130"/>
      <c r="Y304" s="106"/>
    </row>
    <row r="305">
      <c r="C305" s="79"/>
      <c r="D305" s="79"/>
      <c r="J305" s="79"/>
      <c r="O305" s="79"/>
      <c r="P305" s="79"/>
      <c r="S305" s="79"/>
      <c r="T305" s="79"/>
      <c r="W305" s="130"/>
      <c r="Y305" s="106"/>
    </row>
    <row r="306">
      <c r="C306" s="79"/>
      <c r="D306" s="79"/>
      <c r="J306" s="79"/>
      <c r="O306" s="79"/>
      <c r="P306" s="79"/>
      <c r="S306" s="79"/>
      <c r="T306" s="79"/>
      <c r="W306" s="130"/>
      <c r="Y306" s="106"/>
    </row>
    <row r="307">
      <c r="C307" s="79"/>
      <c r="D307" s="79"/>
      <c r="J307" s="79"/>
      <c r="O307" s="79"/>
      <c r="P307" s="79"/>
      <c r="S307" s="79"/>
      <c r="T307" s="79"/>
      <c r="W307" s="130"/>
      <c r="Y307" s="106"/>
    </row>
    <row r="308">
      <c r="C308" s="79"/>
      <c r="D308" s="79"/>
      <c r="J308" s="79"/>
      <c r="O308" s="79"/>
      <c r="P308" s="79"/>
      <c r="S308" s="79"/>
      <c r="T308" s="79"/>
      <c r="W308" s="130"/>
      <c r="Y308" s="106"/>
    </row>
    <row r="309">
      <c r="C309" s="79"/>
      <c r="D309" s="79"/>
      <c r="J309" s="79"/>
      <c r="O309" s="79"/>
      <c r="P309" s="79"/>
      <c r="S309" s="79"/>
      <c r="T309" s="79"/>
      <c r="W309" s="130"/>
      <c r="Y309" s="106"/>
    </row>
    <row r="310">
      <c r="C310" s="79"/>
      <c r="D310" s="79"/>
      <c r="J310" s="79"/>
      <c r="O310" s="79"/>
      <c r="P310" s="79"/>
      <c r="S310" s="79"/>
      <c r="T310" s="79"/>
      <c r="W310" s="130"/>
      <c r="Y310" s="106"/>
    </row>
    <row r="311">
      <c r="C311" s="79"/>
      <c r="D311" s="79"/>
      <c r="J311" s="79"/>
      <c r="O311" s="79"/>
      <c r="P311" s="79"/>
      <c r="S311" s="79"/>
      <c r="T311" s="79"/>
      <c r="W311" s="130"/>
      <c r="Y311" s="106"/>
    </row>
    <row r="312">
      <c r="C312" s="79"/>
      <c r="D312" s="79"/>
      <c r="J312" s="79"/>
      <c r="O312" s="79"/>
      <c r="P312" s="79"/>
      <c r="S312" s="79"/>
      <c r="T312" s="79"/>
      <c r="W312" s="130"/>
      <c r="Y312" s="106"/>
    </row>
    <row r="313">
      <c r="C313" s="79"/>
      <c r="D313" s="79"/>
      <c r="J313" s="79"/>
      <c r="O313" s="79"/>
      <c r="P313" s="79"/>
      <c r="S313" s="79"/>
      <c r="T313" s="79"/>
      <c r="W313" s="130"/>
      <c r="Y313" s="106"/>
    </row>
    <row r="314">
      <c r="C314" s="79"/>
      <c r="D314" s="79"/>
      <c r="J314" s="79"/>
      <c r="O314" s="79"/>
      <c r="P314" s="79"/>
      <c r="S314" s="79"/>
      <c r="T314" s="79"/>
      <c r="W314" s="130"/>
      <c r="Y314" s="106"/>
    </row>
    <row r="315">
      <c r="C315" s="79"/>
      <c r="D315" s="79"/>
      <c r="J315" s="79"/>
      <c r="O315" s="79"/>
      <c r="P315" s="79"/>
      <c r="S315" s="79"/>
      <c r="T315" s="79"/>
      <c r="W315" s="130"/>
      <c r="Y315" s="106"/>
    </row>
    <row r="316">
      <c r="C316" s="79"/>
      <c r="D316" s="79"/>
      <c r="J316" s="79"/>
      <c r="O316" s="79"/>
      <c r="P316" s="79"/>
      <c r="S316" s="79"/>
      <c r="T316" s="79"/>
      <c r="W316" s="130"/>
      <c r="Y316" s="106"/>
    </row>
    <row r="317">
      <c r="C317" s="79"/>
      <c r="D317" s="79"/>
      <c r="J317" s="79"/>
      <c r="O317" s="79"/>
      <c r="P317" s="79"/>
      <c r="S317" s="79"/>
      <c r="T317" s="79"/>
      <c r="W317" s="130"/>
      <c r="Y317" s="106"/>
    </row>
    <row r="318">
      <c r="C318" s="79"/>
      <c r="D318" s="79"/>
      <c r="J318" s="79"/>
      <c r="O318" s="79"/>
      <c r="P318" s="79"/>
      <c r="S318" s="79"/>
      <c r="T318" s="79"/>
      <c r="W318" s="130"/>
      <c r="Y318" s="106"/>
    </row>
    <row r="319">
      <c r="C319" s="79"/>
      <c r="D319" s="79"/>
      <c r="J319" s="79"/>
      <c r="O319" s="79"/>
      <c r="P319" s="79"/>
      <c r="S319" s="79"/>
      <c r="T319" s="79"/>
      <c r="W319" s="130"/>
      <c r="Y319" s="106"/>
    </row>
    <row r="320">
      <c r="C320" s="79"/>
      <c r="D320" s="79"/>
      <c r="J320" s="79"/>
      <c r="O320" s="79"/>
      <c r="P320" s="79"/>
      <c r="S320" s="79"/>
      <c r="T320" s="79"/>
      <c r="W320" s="130"/>
      <c r="Y320" s="106"/>
    </row>
    <row r="321">
      <c r="C321" s="79"/>
      <c r="D321" s="79"/>
      <c r="J321" s="79"/>
      <c r="O321" s="79"/>
      <c r="P321" s="79"/>
      <c r="S321" s="79"/>
      <c r="T321" s="79"/>
      <c r="W321" s="130"/>
      <c r="Y321" s="106"/>
    </row>
    <row r="322">
      <c r="C322" s="79"/>
      <c r="D322" s="79"/>
      <c r="J322" s="79"/>
      <c r="O322" s="79"/>
      <c r="P322" s="79"/>
      <c r="S322" s="79"/>
      <c r="T322" s="79"/>
      <c r="W322" s="130"/>
      <c r="Y322" s="106"/>
    </row>
    <row r="323">
      <c r="C323" s="79"/>
      <c r="D323" s="79"/>
      <c r="J323" s="79"/>
      <c r="O323" s="79"/>
      <c r="P323" s="79"/>
      <c r="S323" s="79"/>
      <c r="T323" s="79"/>
      <c r="W323" s="130"/>
      <c r="Y323" s="106"/>
    </row>
    <row r="324">
      <c r="C324" s="79"/>
      <c r="D324" s="79"/>
      <c r="J324" s="79"/>
      <c r="O324" s="79"/>
      <c r="P324" s="79"/>
      <c r="S324" s="79"/>
      <c r="T324" s="79"/>
      <c r="W324" s="130"/>
      <c r="Y324" s="106"/>
    </row>
    <row r="325">
      <c r="C325" s="79"/>
      <c r="D325" s="79"/>
      <c r="J325" s="79"/>
      <c r="O325" s="79"/>
      <c r="P325" s="79"/>
      <c r="S325" s="79"/>
      <c r="T325" s="79"/>
      <c r="W325" s="130"/>
      <c r="Y325" s="106"/>
    </row>
    <row r="326">
      <c r="C326" s="79"/>
      <c r="D326" s="79"/>
      <c r="J326" s="79"/>
      <c r="O326" s="79"/>
      <c r="P326" s="79"/>
      <c r="S326" s="79"/>
      <c r="T326" s="79"/>
      <c r="W326" s="130"/>
      <c r="Y326" s="106"/>
    </row>
    <row r="327">
      <c r="C327" s="79"/>
      <c r="D327" s="79"/>
      <c r="J327" s="79"/>
      <c r="O327" s="79"/>
      <c r="P327" s="79"/>
      <c r="S327" s="79"/>
      <c r="T327" s="79"/>
      <c r="W327" s="130"/>
      <c r="Y327" s="106"/>
    </row>
    <row r="328">
      <c r="C328" s="79"/>
      <c r="D328" s="79"/>
      <c r="J328" s="79"/>
      <c r="O328" s="79"/>
      <c r="P328" s="79"/>
      <c r="S328" s="79"/>
      <c r="T328" s="79"/>
      <c r="W328" s="130"/>
      <c r="Y328" s="106"/>
    </row>
    <row r="329">
      <c r="C329" s="79"/>
      <c r="D329" s="79"/>
      <c r="J329" s="79"/>
      <c r="O329" s="79"/>
      <c r="P329" s="79"/>
      <c r="S329" s="79"/>
      <c r="T329" s="79"/>
      <c r="W329" s="130"/>
      <c r="Y329" s="106"/>
    </row>
    <row r="330">
      <c r="C330" s="79"/>
      <c r="D330" s="79"/>
      <c r="J330" s="79"/>
      <c r="O330" s="79"/>
      <c r="P330" s="79"/>
      <c r="S330" s="79"/>
      <c r="T330" s="79"/>
      <c r="W330" s="130"/>
      <c r="Y330" s="106"/>
    </row>
    <row r="331">
      <c r="C331" s="79"/>
      <c r="D331" s="79"/>
      <c r="J331" s="79"/>
      <c r="O331" s="79"/>
      <c r="P331" s="79"/>
      <c r="S331" s="79"/>
      <c r="T331" s="79"/>
      <c r="W331" s="130"/>
      <c r="Y331" s="106"/>
    </row>
    <row r="332">
      <c r="C332" s="79"/>
      <c r="D332" s="79"/>
      <c r="J332" s="79"/>
      <c r="O332" s="79"/>
      <c r="P332" s="79"/>
      <c r="S332" s="79"/>
      <c r="T332" s="79"/>
      <c r="W332" s="130"/>
      <c r="Y332" s="106"/>
    </row>
    <row r="333">
      <c r="C333" s="79"/>
      <c r="D333" s="79"/>
      <c r="J333" s="79"/>
      <c r="O333" s="79"/>
      <c r="P333" s="79"/>
      <c r="S333" s="79"/>
      <c r="T333" s="79"/>
      <c r="W333" s="130"/>
      <c r="Y333" s="106"/>
    </row>
    <row r="334">
      <c r="C334" s="79"/>
      <c r="D334" s="79"/>
      <c r="J334" s="79"/>
      <c r="O334" s="79"/>
      <c r="P334" s="79"/>
      <c r="S334" s="79"/>
      <c r="T334" s="79"/>
      <c r="W334" s="130"/>
      <c r="Y334" s="106"/>
    </row>
    <row r="335">
      <c r="C335" s="79"/>
      <c r="D335" s="79"/>
      <c r="J335" s="79"/>
      <c r="O335" s="79"/>
      <c r="P335" s="79"/>
      <c r="S335" s="79"/>
      <c r="T335" s="79"/>
      <c r="W335" s="130"/>
      <c r="Y335" s="106"/>
    </row>
    <row r="336">
      <c r="C336" s="79"/>
      <c r="D336" s="79"/>
      <c r="J336" s="79"/>
      <c r="O336" s="79"/>
      <c r="P336" s="79"/>
      <c r="S336" s="79"/>
      <c r="T336" s="79"/>
      <c r="W336" s="130"/>
      <c r="Y336" s="106"/>
    </row>
    <row r="337">
      <c r="C337" s="79"/>
      <c r="D337" s="79"/>
      <c r="J337" s="79"/>
      <c r="O337" s="79"/>
      <c r="P337" s="79"/>
      <c r="S337" s="79"/>
      <c r="T337" s="79"/>
      <c r="W337" s="130"/>
      <c r="Y337" s="106"/>
    </row>
    <row r="338">
      <c r="C338" s="79"/>
      <c r="D338" s="79"/>
      <c r="J338" s="79"/>
      <c r="O338" s="79"/>
      <c r="P338" s="79"/>
      <c r="S338" s="79"/>
      <c r="T338" s="79"/>
      <c r="W338" s="130"/>
      <c r="Y338" s="106"/>
    </row>
    <row r="339">
      <c r="C339" s="79"/>
      <c r="D339" s="79"/>
      <c r="J339" s="79"/>
      <c r="O339" s="79"/>
      <c r="P339" s="79"/>
      <c r="S339" s="79"/>
      <c r="T339" s="79"/>
      <c r="W339" s="130"/>
      <c r="Y339" s="106"/>
    </row>
    <row r="340">
      <c r="C340" s="79"/>
      <c r="D340" s="79"/>
      <c r="J340" s="79"/>
      <c r="O340" s="79"/>
      <c r="P340" s="79"/>
      <c r="S340" s="79"/>
      <c r="T340" s="79"/>
      <c r="W340" s="130"/>
      <c r="Y340" s="106"/>
    </row>
    <row r="341">
      <c r="C341" s="79"/>
      <c r="D341" s="79"/>
      <c r="J341" s="79"/>
      <c r="O341" s="79"/>
      <c r="P341" s="79"/>
      <c r="S341" s="79"/>
      <c r="T341" s="79"/>
      <c r="W341" s="130"/>
      <c r="Y341" s="106"/>
    </row>
    <row r="342">
      <c r="C342" s="79"/>
      <c r="D342" s="79"/>
      <c r="J342" s="79"/>
      <c r="O342" s="79"/>
      <c r="P342" s="79"/>
      <c r="S342" s="79"/>
      <c r="T342" s="79"/>
      <c r="W342" s="130"/>
      <c r="Y342" s="106"/>
    </row>
    <row r="343">
      <c r="C343" s="79"/>
      <c r="D343" s="79"/>
      <c r="J343" s="79"/>
      <c r="O343" s="79"/>
      <c r="P343" s="79"/>
      <c r="S343" s="79"/>
      <c r="T343" s="79"/>
      <c r="W343" s="130"/>
      <c r="Y343" s="106"/>
    </row>
    <row r="344">
      <c r="C344" s="79"/>
      <c r="D344" s="79"/>
      <c r="J344" s="79"/>
      <c r="O344" s="79"/>
      <c r="P344" s="79"/>
      <c r="S344" s="79"/>
      <c r="T344" s="79"/>
      <c r="W344" s="130"/>
      <c r="Y344" s="106"/>
    </row>
    <row r="345">
      <c r="C345" s="79"/>
      <c r="D345" s="79"/>
      <c r="J345" s="79"/>
      <c r="O345" s="79"/>
      <c r="P345" s="79"/>
      <c r="S345" s="79"/>
      <c r="T345" s="79"/>
      <c r="W345" s="130"/>
      <c r="Y345" s="106"/>
    </row>
    <row r="346">
      <c r="C346" s="79"/>
      <c r="D346" s="79"/>
      <c r="J346" s="79"/>
      <c r="O346" s="79"/>
      <c r="P346" s="79"/>
      <c r="S346" s="79"/>
      <c r="T346" s="79"/>
      <c r="W346" s="130"/>
      <c r="Y346" s="106"/>
    </row>
    <row r="347">
      <c r="C347" s="79"/>
      <c r="D347" s="79"/>
      <c r="J347" s="79"/>
      <c r="O347" s="79"/>
      <c r="P347" s="79"/>
      <c r="S347" s="79"/>
      <c r="T347" s="79"/>
      <c r="W347" s="130"/>
      <c r="Y347" s="106"/>
    </row>
    <row r="348">
      <c r="C348" s="79"/>
      <c r="D348" s="79"/>
      <c r="J348" s="79"/>
      <c r="O348" s="79"/>
      <c r="P348" s="79"/>
      <c r="S348" s="79"/>
      <c r="T348" s="79"/>
      <c r="W348" s="130"/>
      <c r="Y348" s="106"/>
    </row>
    <row r="349">
      <c r="C349" s="79"/>
      <c r="D349" s="79"/>
      <c r="J349" s="79"/>
      <c r="O349" s="79"/>
      <c r="P349" s="79"/>
      <c r="S349" s="79"/>
      <c r="T349" s="79"/>
      <c r="W349" s="130"/>
      <c r="Y349" s="106"/>
    </row>
    <row r="350">
      <c r="C350" s="79"/>
      <c r="D350" s="79"/>
      <c r="J350" s="79"/>
      <c r="O350" s="79"/>
      <c r="P350" s="79"/>
      <c r="S350" s="79"/>
      <c r="T350" s="79"/>
      <c r="W350" s="130"/>
      <c r="Y350" s="106"/>
    </row>
    <row r="351">
      <c r="C351" s="79"/>
      <c r="D351" s="79"/>
      <c r="J351" s="79"/>
      <c r="O351" s="79"/>
      <c r="P351" s="79"/>
      <c r="S351" s="79"/>
      <c r="T351" s="79"/>
      <c r="W351" s="130"/>
      <c r="Y351" s="106"/>
    </row>
    <row r="352">
      <c r="C352" s="79"/>
      <c r="D352" s="79"/>
      <c r="J352" s="79"/>
      <c r="O352" s="79"/>
      <c r="P352" s="79"/>
      <c r="S352" s="79"/>
      <c r="T352" s="79"/>
      <c r="W352" s="130"/>
      <c r="Y352" s="106"/>
    </row>
    <row r="353">
      <c r="C353" s="79"/>
      <c r="D353" s="79"/>
      <c r="J353" s="79"/>
      <c r="O353" s="79"/>
      <c r="P353" s="79"/>
      <c r="S353" s="79"/>
      <c r="T353" s="79"/>
      <c r="W353" s="130"/>
      <c r="Y353" s="106"/>
    </row>
    <row r="354">
      <c r="C354" s="79"/>
      <c r="D354" s="79"/>
      <c r="J354" s="79"/>
      <c r="O354" s="79"/>
      <c r="P354" s="79"/>
      <c r="S354" s="79"/>
      <c r="T354" s="79"/>
      <c r="W354" s="130"/>
      <c r="Y354" s="106"/>
    </row>
    <row r="355">
      <c r="C355" s="79"/>
      <c r="D355" s="79"/>
      <c r="J355" s="79"/>
      <c r="O355" s="79"/>
      <c r="P355" s="79"/>
      <c r="S355" s="79"/>
      <c r="T355" s="79"/>
      <c r="W355" s="130"/>
      <c r="Y355" s="106"/>
    </row>
    <row r="356">
      <c r="C356" s="79"/>
      <c r="D356" s="79"/>
      <c r="J356" s="79"/>
      <c r="O356" s="79"/>
      <c r="P356" s="79"/>
      <c r="S356" s="79"/>
      <c r="T356" s="79"/>
      <c r="W356" s="130"/>
      <c r="Y356" s="106"/>
    </row>
    <row r="357">
      <c r="C357" s="79"/>
      <c r="D357" s="79"/>
      <c r="J357" s="79"/>
      <c r="O357" s="79"/>
      <c r="P357" s="79"/>
      <c r="S357" s="79"/>
      <c r="T357" s="79"/>
      <c r="W357" s="130"/>
      <c r="Y357" s="106"/>
    </row>
    <row r="358">
      <c r="C358" s="79"/>
      <c r="D358" s="79"/>
      <c r="J358" s="79"/>
      <c r="O358" s="79"/>
      <c r="P358" s="79"/>
      <c r="S358" s="79"/>
      <c r="T358" s="79"/>
      <c r="W358" s="130"/>
      <c r="Y358" s="106"/>
    </row>
    <row r="359">
      <c r="C359" s="79"/>
      <c r="D359" s="79"/>
      <c r="J359" s="79"/>
      <c r="O359" s="79"/>
      <c r="P359" s="79"/>
      <c r="S359" s="79"/>
      <c r="T359" s="79"/>
      <c r="W359" s="130"/>
      <c r="Y359" s="106"/>
    </row>
    <row r="360">
      <c r="C360" s="79"/>
      <c r="D360" s="79"/>
      <c r="J360" s="79"/>
      <c r="O360" s="79"/>
      <c r="P360" s="79"/>
      <c r="S360" s="79"/>
      <c r="T360" s="79"/>
      <c r="W360" s="130"/>
      <c r="Y360" s="106"/>
    </row>
    <row r="361">
      <c r="C361" s="79"/>
      <c r="D361" s="79"/>
      <c r="J361" s="79"/>
      <c r="O361" s="79"/>
      <c r="P361" s="79"/>
      <c r="S361" s="79"/>
      <c r="T361" s="79"/>
      <c r="W361" s="130"/>
      <c r="Y361" s="106"/>
    </row>
    <row r="362">
      <c r="C362" s="79"/>
      <c r="D362" s="79"/>
      <c r="J362" s="79"/>
      <c r="O362" s="79"/>
      <c r="P362" s="79"/>
      <c r="S362" s="79"/>
      <c r="T362" s="79"/>
      <c r="W362" s="130"/>
      <c r="Y362" s="106"/>
    </row>
    <row r="363">
      <c r="C363" s="79"/>
      <c r="D363" s="79"/>
      <c r="J363" s="79"/>
      <c r="O363" s="79"/>
      <c r="P363" s="79"/>
      <c r="S363" s="79"/>
      <c r="T363" s="79"/>
      <c r="W363" s="130"/>
      <c r="Y363" s="106"/>
    </row>
    <row r="364">
      <c r="C364" s="79"/>
      <c r="D364" s="79"/>
      <c r="J364" s="79"/>
      <c r="O364" s="79"/>
      <c r="P364" s="79"/>
      <c r="S364" s="79"/>
      <c r="T364" s="79"/>
      <c r="W364" s="130"/>
      <c r="Y364" s="106"/>
    </row>
    <row r="365">
      <c r="C365" s="79"/>
      <c r="D365" s="79"/>
      <c r="J365" s="79"/>
      <c r="O365" s="79"/>
      <c r="P365" s="79"/>
      <c r="S365" s="79"/>
      <c r="T365" s="79"/>
      <c r="W365" s="130"/>
      <c r="Y365" s="106"/>
    </row>
    <row r="366">
      <c r="C366" s="79"/>
      <c r="D366" s="79"/>
      <c r="J366" s="79"/>
      <c r="O366" s="79"/>
      <c r="P366" s="79"/>
      <c r="S366" s="79"/>
      <c r="T366" s="79"/>
      <c r="W366" s="130"/>
      <c r="Y366" s="106"/>
    </row>
    <row r="367">
      <c r="C367" s="79"/>
      <c r="D367" s="79"/>
      <c r="J367" s="79"/>
      <c r="O367" s="79"/>
      <c r="P367" s="79"/>
      <c r="S367" s="79"/>
      <c r="T367" s="79"/>
      <c r="W367" s="130"/>
      <c r="Y367" s="106"/>
    </row>
    <row r="368">
      <c r="C368" s="79"/>
      <c r="D368" s="79"/>
      <c r="J368" s="79"/>
      <c r="O368" s="79"/>
      <c r="P368" s="79"/>
      <c r="S368" s="79"/>
      <c r="T368" s="79"/>
      <c r="W368" s="130"/>
      <c r="Y368" s="106"/>
    </row>
    <row r="369">
      <c r="C369" s="79"/>
      <c r="D369" s="79"/>
      <c r="J369" s="79"/>
      <c r="O369" s="79"/>
      <c r="P369" s="79"/>
      <c r="S369" s="79"/>
      <c r="T369" s="79"/>
      <c r="W369" s="130"/>
      <c r="Y369" s="106"/>
    </row>
    <row r="370">
      <c r="C370" s="79"/>
      <c r="D370" s="79"/>
      <c r="J370" s="79"/>
      <c r="O370" s="79"/>
      <c r="P370" s="79"/>
      <c r="S370" s="79"/>
      <c r="T370" s="79"/>
      <c r="W370" s="130"/>
      <c r="Y370" s="106"/>
    </row>
    <row r="371">
      <c r="C371" s="79"/>
      <c r="D371" s="79"/>
      <c r="J371" s="79"/>
      <c r="O371" s="79"/>
      <c r="P371" s="79"/>
      <c r="S371" s="79"/>
      <c r="T371" s="79"/>
      <c r="W371" s="130"/>
      <c r="Y371" s="106"/>
    </row>
    <row r="372">
      <c r="C372" s="79"/>
      <c r="D372" s="79"/>
      <c r="J372" s="79"/>
      <c r="O372" s="79"/>
      <c r="P372" s="79"/>
      <c r="S372" s="79"/>
      <c r="T372" s="79"/>
      <c r="W372" s="130"/>
      <c r="Y372" s="106"/>
    </row>
    <row r="373">
      <c r="C373" s="79"/>
      <c r="D373" s="79"/>
      <c r="J373" s="79"/>
      <c r="O373" s="79"/>
      <c r="P373" s="79"/>
      <c r="S373" s="79"/>
      <c r="T373" s="79"/>
      <c r="W373" s="130"/>
      <c r="Y373" s="106"/>
    </row>
    <row r="374">
      <c r="C374" s="79"/>
      <c r="D374" s="79"/>
      <c r="J374" s="79"/>
      <c r="O374" s="79"/>
      <c r="P374" s="79"/>
      <c r="S374" s="79"/>
      <c r="T374" s="79"/>
      <c r="W374" s="130"/>
      <c r="Y374" s="106"/>
    </row>
    <row r="375">
      <c r="C375" s="79"/>
      <c r="D375" s="79"/>
      <c r="J375" s="79"/>
      <c r="O375" s="79"/>
      <c r="P375" s="79"/>
      <c r="S375" s="79"/>
      <c r="T375" s="79"/>
      <c r="W375" s="130"/>
      <c r="Y375" s="106"/>
    </row>
    <row r="376">
      <c r="C376" s="79"/>
      <c r="D376" s="79"/>
      <c r="J376" s="79"/>
      <c r="O376" s="79"/>
      <c r="P376" s="79"/>
      <c r="S376" s="79"/>
      <c r="T376" s="79"/>
      <c r="W376" s="130"/>
      <c r="Y376" s="106"/>
    </row>
    <row r="377">
      <c r="C377" s="79"/>
      <c r="D377" s="79"/>
      <c r="J377" s="79"/>
      <c r="O377" s="79"/>
      <c r="P377" s="79"/>
      <c r="S377" s="79"/>
      <c r="T377" s="79"/>
      <c r="W377" s="130"/>
      <c r="Y377" s="106"/>
    </row>
    <row r="378">
      <c r="C378" s="79"/>
      <c r="D378" s="79"/>
      <c r="J378" s="79"/>
      <c r="O378" s="79"/>
      <c r="P378" s="79"/>
      <c r="S378" s="79"/>
      <c r="T378" s="79"/>
      <c r="W378" s="130"/>
      <c r="Y378" s="106"/>
    </row>
    <row r="379">
      <c r="C379" s="79"/>
      <c r="D379" s="79"/>
      <c r="J379" s="79"/>
      <c r="O379" s="79"/>
      <c r="P379" s="79"/>
      <c r="S379" s="79"/>
      <c r="T379" s="79"/>
      <c r="W379" s="130"/>
      <c r="Y379" s="106"/>
    </row>
    <row r="380">
      <c r="C380" s="79"/>
      <c r="D380" s="79"/>
      <c r="J380" s="79"/>
      <c r="O380" s="79"/>
      <c r="P380" s="79"/>
      <c r="S380" s="79"/>
      <c r="T380" s="79"/>
      <c r="W380" s="130"/>
      <c r="Y380" s="106"/>
    </row>
    <row r="381">
      <c r="C381" s="79"/>
      <c r="D381" s="79"/>
      <c r="J381" s="79"/>
      <c r="O381" s="79"/>
      <c r="P381" s="79"/>
      <c r="S381" s="79"/>
      <c r="T381" s="79"/>
      <c r="W381" s="130"/>
      <c r="Y381" s="106"/>
    </row>
    <row r="382">
      <c r="C382" s="79"/>
      <c r="D382" s="79"/>
      <c r="J382" s="79"/>
      <c r="O382" s="79"/>
      <c r="P382" s="79"/>
      <c r="S382" s="79"/>
      <c r="T382" s="79"/>
      <c r="W382" s="130"/>
      <c r="Y382" s="106"/>
    </row>
    <row r="383">
      <c r="C383" s="79"/>
      <c r="D383" s="79"/>
      <c r="J383" s="79"/>
      <c r="O383" s="79"/>
      <c r="P383" s="79"/>
      <c r="S383" s="79"/>
      <c r="T383" s="79"/>
      <c r="W383" s="130"/>
      <c r="Y383" s="106"/>
    </row>
    <row r="384">
      <c r="C384" s="79"/>
      <c r="D384" s="79"/>
      <c r="J384" s="79"/>
      <c r="O384" s="79"/>
      <c r="P384" s="79"/>
      <c r="S384" s="79"/>
      <c r="T384" s="79"/>
      <c r="W384" s="130"/>
      <c r="Y384" s="106"/>
    </row>
    <row r="385">
      <c r="C385" s="79"/>
      <c r="D385" s="79"/>
      <c r="J385" s="79"/>
      <c r="O385" s="79"/>
      <c r="P385" s="79"/>
      <c r="S385" s="79"/>
      <c r="T385" s="79"/>
      <c r="W385" s="130"/>
      <c r="Y385" s="106"/>
    </row>
    <row r="386">
      <c r="C386" s="79"/>
      <c r="D386" s="79"/>
      <c r="J386" s="79"/>
      <c r="O386" s="79"/>
      <c r="P386" s="79"/>
      <c r="S386" s="79"/>
      <c r="T386" s="79"/>
      <c r="W386" s="130"/>
      <c r="Y386" s="106"/>
    </row>
    <row r="387">
      <c r="C387" s="79"/>
      <c r="D387" s="79"/>
      <c r="J387" s="79"/>
      <c r="O387" s="79"/>
      <c r="P387" s="79"/>
      <c r="S387" s="79"/>
      <c r="T387" s="79"/>
      <c r="W387" s="130"/>
      <c r="Y387" s="106"/>
    </row>
    <row r="388">
      <c r="C388" s="79"/>
      <c r="D388" s="79"/>
      <c r="J388" s="79"/>
      <c r="O388" s="79"/>
      <c r="P388" s="79"/>
      <c r="S388" s="79"/>
      <c r="T388" s="79"/>
      <c r="W388" s="130"/>
      <c r="Y388" s="106"/>
    </row>
    <row r="389">
      <c r="C389" s="79"/>
      <c r="D389" s="79"/>
      <c r="J389" s="79"/>
      <c r="O389" s="79"/>
      <c r="P389" s="79"/>
      <c r="S389" s="79"/>
      <c r="T389" s="79"/>
      <c r="W389" s="130"/>
      <c r="Y389" s="106"/>
    </row>
    <row r="390">
      <c r="C390" s="79"/>
      <c r="D390" s="79"/>
      <c r="J390" s="79"/>
      <c r="O390" s="79"/>
      <c r="P390" s="79"/>
      <c r="S390" s="79"/>
      <c r="T390" s="79"/>
      <c r="W390" s="130"/>
      <c r="Y390" s="106"/>
    </row>
    <row r="391">
      <c r="C391" s="79"/>
      <c r="D391" s="79"/>
      <c r="J391" s="79"/>
      <c r="O391" s="79"/>
      <c r="P391" s="79"/>
      <c r="S391" s="79"/>
      <c r="T391" s="79"/>
      <c r="W391" s="130"/>
      <c r="Y391" s="106"/>
    </row>
    <row r="392">
      <c r="C392" s="79"/>
      <c r="D392" s="79"/>
      <c r="J392" s="79"/>
      <c r="O392" s="79"/>
      <c r="P392" s="79"/>
      <c r="S392" s="79"/>
      <c r="T392" s="79"/>
      <c r="W392" s="130"/>
      <c r="Y392" s="106"/>
    </row>
    <row r="393">
      <c r="C393" s="79"/>
      <c r="D393" s="79"/>
      <c r="J393" s="79"/>
      <c r="O393" s="79"/>
      <c r="P393" s="79"/>
      <c r="S393" s="79"/>
      <c r="T393" s="79"/>
      <c r="W393" s="130"/>
      <c r="Y393" s="106"/>
    </row>
    <row r="394">
      <c r="C394" s="79"/>
      <c r="D394" s="79"/>
      <c r="J394" s="79"/>
      <c r="O394" s="79"/>
      <c r="P394" s="79"/>
      <c r="S394" s="79"/>
      <c r="T394" s="79"/>
      <c r="W394" s="130"/>
      <c r="Y394" s="106"/>
    </row>
    <row r="395">
      <c r="C395" s="79"/>
      <c r="D395" s="79"/>
      <c r="J395" s="79"/>
      <c r="O395" s="79"/>
      <c r="P395" s="79"/>
      <c r="S395" s="79"/>
      <c r="T395" s="79"/>
      <c r="W395" s="130"/>
      <c r="Y395" s="106"/>
    </row>
    <row r="396">
      <c r="C396" s="79"/>
      <c r="D396" s="79"/>
      <c r="J396" s="79"/>
      <c r="O396" s="79"/>
      <c r="P396" s="79"/>
      <c r="S396" s="79"/>
      <c r="T396" s="79"/>
      <c r="W396" s="130"/>
      <c r="Y396" s="106"/>
    </row>
    <row r="397">
      <c r="C397" s="79"/>
      <c r="D397" s="79"/>
      <c r="J397" s="79"/>
      <c r="O397" s="79"/>
      <c r="P397" s="79"/>
      <c r="S397" s="79"/>
      <c r="T397" s="79"/>
      <c r="W397" s="130"/>
      <c r="Y397" s="106"/>
    </row>
    <row r="398">
      <c r="C398" s="79"/>
      <c r="D398" s="79"/>
      <c r="J398" s="79"/>
      <c r="O398" s="79"/>
      <c r="P398" s="79"/>
      <c r="S398" s="79"/>
      <c r="T398" s="79"/>
      <c r="W398" s="130"/>
      <c r="Y398" s="106"/>
    </row>
    <row r="399">
      <c r="C399" s="79"/>
      <c r="D399" s="79"/>
      <c r="J399" s="79"/>
      <c r="O399" s="79"/>
      <c r="P399" s="79"/>
      <c r="S399" s="79"/>
      <c r="T399" s="79"/>
      <c r="W399" s="130"/>
      <c r="Y399" s="106"/>
    </row>
    <row r="400">
      <c r="C400" s="79"/>
      <c r="D400" s="79"/>
      <c r="J400" s="79"/>
      <c r="O400" s="79"/>
      <c r="P400" s="79"/>
      <c r="S400" s="79"/>
      <c r="T400" s="79"/>
      <c r="W400" s="130"/>
      <c r="Y400" s="106"/>
    </row>
    <row r="401">
      <c r="C401" s="79"/>
      <c r="D401" s="79"/>
      <c r="J401" s="79"/>
      <c r="O401" s="79"/>
      <c r="P401" s="79"/>
      <c r="S401" s="79"/>
      <c r="T401" s="79"/>
      <c r="W401" s="130"/>
      <c r="Y401" s="106"/>
    </row>
    <row r="402">
      <c r="C402" s="79"/>
      <c r="D402" s="79"/>
      <c r="J402" s="79"/>
      <c r="O402" s="79"/>
      <c r="P402" s="79"/>
      <c r="S402" s="79"/>
      <c r="T402" s="79"/>
      <c r="W402" s="130"/>
      <c r="Y402" s="106"/>
    </row>
    <row r="403">
      <c r="C403" s="79"/>
      <c r="D403" s="79"/>
      <c r="J403" s="79"/>
      <c r="O403" s="79"/>
      <c r="P403" s="79"/>
      <c r="S403" s="79"/>
      <c r="T403" s="79"/>
      <c r="W403" s="130"/>
      <c r="Y403" s="106"/>
    </row>
    <row r="404">
      <c r="C404" s="79"/>
      <c r="D404" s="79"/>
      <c r="J404" s="79"/>
      <c r="O404" s="79"/>
      <c r="P404" s="79"/>
      <c r="S404" s="79"/>
      <c r="T404" s="79"/>
      <c r="W404" s="130"/>
      <c r="Y404" s="106"/>
    </row>
    <row r="405">
      <c r="C405" s="79"/>
      <c r="D405" s="79"/>
      <c r="J405" s="79"/>
      <c r="O405" s="79"/>
      <c r="P405" s="79"/>
      <c r="S405" s="79"/>
      <c r="T405" s="79"/>
      <c r="W405" s="130"/>
      <c r="Y405" s="106"/>
    </row>
    <row r="406">
      <c r="C406" s="79"/>
      <c r="D406" s="79"/>
      <c r="J406" s="79"/>
      <c r="O406" s="79"/>
      <c r="P406" s="79"/>
      <c r="S406" s="79"/>
      <c r="T406" s="79"/>
      <c r="W406" s="130"/>
      <c r="Y406" s="106"/>
    </row>
    <row r="407">
      <c r="C407" s="79"/>
      <c r="D407" s="79"/>
      <c r="J407" s="79"/>
      <c r="O407" s="79"/>
      <c r="P407" s="79"/>
      <c r="S407" s="79"/>
      <c r="T407" s="79"/>
      <c r="W407" s="130"/>
      <c r="Y407" s="106"/>
    </row>
    <row r="408">
      <c r="C408" s="79"/>
      <c r="D408" s="79"/>
      <c r="J408" s="79"/>
      <c r="O408" s="79"/>
      <c r="P408" s="79"/>
      <c r="S408" s="79"/>
      <c r="T408" s="79"/>
      <c r="W408" s="130"/>
      <c r="Y408" s="106"/>
    </row>
    <row r="409">
      <c r="C409" s="79"/>
      <c r="D409" s="79"/>
      <c r="J409" s="79"/>
      <c r="O409" s="79"/>
      <c r="P409" s="79"/>
      <c r="S409" s="79"/>
      <c r="T409" s="79"/>
      <c r="W409" s="130"/>
      <c r="Y409" s="106"/>
    </row>
    <row r="410">
      <c r="C410" s="79"/>
      <c r="D410" s="79"/>
      <c r="J410" s="79"/>
      <c r="O410" s="79"/>
      <c r="P410" s="79"/>
      <c r="S410" s="79"/>
      <c r="T410" s="79"/>
      <c r="W410" s="130"/>
      <c r="Y410" s="106"/>
    </row>
    <row r="411">
      <c r="C411" s="79"/>
      <c r="D411" s="79"/>
      <c r="J411" s="79"/>
      <c r="O411" s="79"/>
      <c r="P411" s="79"/>
      <c r="S411" s="79"/>
      <c r="T411" s="79"/>
      <c r="W411" s="130"/>
      <c r="Y411" s="106"/>
    </row>
    <row r="412">
      <c r="C412" s="79"/>
      <c r="D412" s="79"/>
      <c r="J412" s="79"/>
      <c r="O412" s="79"/>
      <c r="P412" s="79"/>
      <c r="S412" s="79"/>
      <c r="T412" s="79"/>
      <c r="W412" s="130"/>
      <c r="Y412" s="106"/>
    </row>
    <row r="413">
      <c r="C413" s="79"/>
      <c r="D413" s="79"/>
      <c r="J413" s="79"/>
      <c r="O413" s="79"/>
      <c r="P413" s="79"/>
      <c r="S413" s="79"/>
      <c r="T413" s="79"/>
      <c r="W413" s="130"/>
      <c r="Y413" s="106"/>
    </row>
    <row r="414">
      <c r="C414" s="79"/>
      <c r="D414" s="79"/>
      <c r="J414" s="79"/>
      <c r="O414" s="79"/>
      <c r="P414" s="79"/>
      <c r="S414" s="79"/>
      <c r="T414" s="79"/>
      <c r="W414" s="130"/>
      <c r="Y414" s="106"/>
    </row>
    <row r="415">
      <c r="C415" s="79"/>
      <c r="D415" s="79"/>
      <c r="J415" s="79"/>
      <c r="O415" s="79"/>
      <c r="P415" s="79"/>
      <c r="S415" s="79"/>
      <c r="T415" s="79"/>
      <c r="W415" s="130"/>
      <c r="Y415" s="106"/>
    </row>
    <row r="416">
      <c r="C416" s="79"/>
      <c r="D416" s="79"/>
      <c r="J416" s="79"/>
      <c r="O416" s="79"/>
      <c r="P416" s="79"/>
      <c r="S416" s="79"/>
      <c r="T416" s="79"/>
      <c r="W416" s="130"/>
      <c r="Y416" s="106"/>
    </row>
    <row r="417">
      <c r="C417" s="79"/>
      <c r="D417" s="79"/>
      <c r="J417" s="79"/>
      <c r="O417" s="79"/>
      <c r="P417" s="79"/>
      <c r="S417" s="79"/>
      <c r="T417" s="79"/>
      <c r="W417" s="130"/>
      <c r="Y417" s="106"/>
    </row>
    <row r="418">
      <c r="C418" s="79"/>
      <c r="D418" s="79"/>
      <c r="J418" s="79"/>
      <c r="O418" s="79"/>
      <c r="P418" s="79"/>
      <c r="S418" s="79"/>
      <c r="T418" s="79"/>
      <c r="W418" s="130"/>
      <c r="Y418" s="106"/>
    </row>
    <row r="419">
      <c r="C419" s="79"/>
      <c r="D419" s="79"/>
      <c r="J419" s="79"/>
      <c r="O419" s="79"/>
      <c r="P419" s="79"/>
      <c r="S419" s="79"/>
      <c r="T419" s="79"/>
      <c r="W419" s="130"/>
      <c r="Y419" s="106"/>
    </row>
    <row r="420">
      <c r="C420" s="79"/>
      <c r="D420" s="79"/>
      <c r="J420" s="79"/>
      <c r="O420" s="79"/>
      <c r="P420" s="79"/>
      <c r="S420" s="79"/>
      <c r="T420" s="79"/>
      <c r="W420" s="130"/>
      <c r="Y420" s="106"/>
    </row>
    <row r="421">
      <c r="C421" s="79"/>
      <c r="D421" s="79"/>
      <c r="J421" s="79"/>
      <c r="O421" s="79"/>
      <c r="P421" s="79"/>
      <c r="S421" s="79"/>
      <c r="T421" s="79"/>
      <c r="W421" s="130"/>
      <c r="Y421" s="106"/>
    </row>
    <row r="422">
      <c r="C422" s="79"/>
      <c r="D422" s="79"/>
      <c r="J422" s="79"/>
      <c r="O422" s="79"/>
      <c r="P422" s="79"/>
      <c r="S422" s="79"/>
      <c r="T422" s="79"/>
      <c r="W422" s="130"/>
      <c r="Y422" s="106"/>
    </row>
    <row r="423">
      <c r="C423" s="79"/>
      <c r="D423" s="79"/>
      <c r="J423" s="79"/>
      <c r="O423" s="79"/>
      <c r="P423" s="79"/>
      <c r="S423" s="79"/>
      <c r="T423" s="79"/>
      <c r="W423" s="130"/>
      <c r="Y423" s="106"/>
    </row>
    <row r="424">
      <c r="C424" s="79"/>
      <c r="D424" s="79"/>
      <c r="J424" s="79"/>
      <c r="O424" s="79"/>
      <c r="P424" s="79"/>
      <c r="S424" s="79"/>
      <c r="T424" s="79"/>
      <c r="W424" s="130"/>
      <c r="Y424" s="106"/>
    </row>
    <row r="425">
      <c r="C425" s="79"/>
      <c r="D425" s="79"/>
      <c r="J425" s="79"/>
      <c r="O425" s="79"/>
      <c r="P425" s="79"/>
      <c r="S425" s="79"/>
      <c r="T425" s="79"/>
      <c r="W425" s="130"/>
      <c r="Y425" s="106"/>
    </row>
    <row r="426">
      <c r="C426" s="79"/>
      <c r="D426" s="79"/>
      <c r="J426" s="79"/>
      <c r="O426" s="79"/>
      <c r="P426" s="79"/>
      <c r="S426" s="79"/>
      <c r="T426" s="79"/>
      <c r="W426" s="130"/>
      <c r="Y426" s="106"/>
    </row>
    <row r="427">
      <c r="C427" s="79"/>
      <c r="D427" s="79"/>
      <c r="J427" s="79"/>
      <c r="O427" s="79"/>
      <c r="P427" s="79"/>
      <c r="S427" s="79"/>
      <c r="T427" s="79"/>
      <c r="W427" s="130"/>
      <c r="Y427" s="106"/>
    </row>
    <row r="428">
      <c r="C428" s="79"/>
      <c r="D428" s="79"/>
      <c r="J428" s="79"/>
      <c r="O428" s="79"/>
      <c r="P428" s="79"/>
      <c r="S428" s="79"/>
      <c r="T428" s="79"/>
      <c r="W428" s="130"/>
      <c r="Y428" s="106"/>
    </row>
    <row r="429">
      <c r="C429" s="79"/>
      <c r="D429" s="79"/>
      <c r="J429" s="79"/>
      <c r="O429" s="79"/>
      <c r="P429" s="79"/>
      <c r="S429" s="79"/>
      <c r="T429" s="79"/>
      <c r="W429" s="130"/>
      <c r="Y429" s="106"/>
    </row>
    <row r="430">
      <c r="C430" s="79"/>
      <c r="D430" s="79"/>
      <c r="J430" s="79"/>
      <c r="O430" s="79"/>
      <c r="P430" s="79"/>
      <c r="S430" s="79"/>
      <c r="T430" s="79"/>
      <c r="W430" s="130"/>
      <c r="Y430" s="106"/>
    </row>
    <row r="431">
      <c r="C431" s="79"/>
      <c r="D431" s="79"/>
      <c r="J431" s="79"/>
      <c r="O431" s="79"/>
      <c r="P431" s="79"/>
      <c r="S431" s="79"/>
      <c r="T431" s="79"/>
      <c r="W431" s="130"/>
      <c r="Y431" s="106"/>
    </row>
    <row r="432">
      <c r="C432" s="79"/>
      <c r="D432" s="79"/>
      <c r="J432" s="79"/>
      <c r="O432" s="79"/>
      <c r="P432" s="79"/>
      <c r="S432" s="79"/>
      <c r="T432" s="79"/>
      <c r="W432" s="130"/>
      <c r="Y432" s="106"/>
    </row>
    <row r="433">
      <c r="C433" s="79"/>
      <c r="D433" s="79"/>
      <c r="J433" s="79"/>
      <c r="O433" s="79"/>
      <c r="P433" s="79"/>
      <c r="S433" s="79"/>
      <c r="T433" s="79"/>
      <c r="W433" s="130"/>
      <c r="Y433" s="106"/>
    </row>
    <row r="434">
      <c r="C434" s="79"/>
      <c r="D434" s="79"/>
      <c r="J434" s="79"/>
      <c r="O434" s="79"/>
      <c r="P434" s="79"/>
      <c r="S434" s="79"/>
      <c r="T434" s="79"/>
      <c r="W434" s="130"/>
      <c r="Y434" s="106"/>
    </row>
    <row r="435">
      <c r="C435" s="79"/>
      <c r="D435" s="79"/>
      <c r="J435" s="79"/>
      <c r="O435" s="79"/>
      <c r="P435" s="79"/>
      <c r="S435" s="79"/>
      <c r="T435" s="79"/>
      <c r="W435" s="130"/>
      <c r="Y435" s="106"/>
    </row>
    <row r="436">
      <c r="C436" s="79"/>
      <c r="D436" s="79"/>
      <c r="J436" s="79"/>
      <c r="O436" s="79"/>
      <c r="P436" s="79"/>
      <c r="S436" s="79"/>
      <c r="T436" s="79"/>
      <c r="W436" s="130"/>
      <c r="Y436" s="106"/>
    </row>
    <row r="437">
      <c r="C437" s="79"/>
      <c r="D437" s="79"/>
      <c r="J437" s="79"/>
      <c r="O437" s="79"/>
      <c r="P437" s="79"/>
      <c r="S437" s="79"/>
      <c r="T437" s="79"/>
      <c r="W437" s="130"/>
      <c r="Y437" s="106"/>
    </row>
    <row r="438">
      <c r="C438" s="79"/>
      <c r="D438" s="79"/>
      <c r="J438" s="79"/>
      <c r="O438" s="79"/>
      <c r="P438" s="79"/>
      <c r="S438" s="79"/>
      <c r="T438" s="79"/>
      <c r="W438" s="130"/>
      <c r="Y438" s="106"/>
    </row>
    <row r="439">
      <c r="C439" s="79"/>
      <c r="D439" s="79"/>
      <c r="J439" s="79"/>
      <c r="O439" s="79"/>
      <c r="P439" s="79"/>
      <c r="S439" s="79"/>
      <c r="T439" s="79"/>
      <c r="W439" s="130"/>
      <c r="Y439" s="106"/>
    </row>
    <row r="440">
      <c r="C440" s="79"/>
      <c r="D440" s="79"/>
      <c r="J440" s="79"/>
      <c r="O440" s="79"/>
      <c r="P440" s="79"/>
      <c r="S440" s="79"/>
      <c r="T440" s="79"/>
      <c r="W440" s="130"/>
      <c r="Y440" s="106"/>
    </row>
    <row r="441">
      <c r="C441" s="79"/>
      <c r="D441" s="79"/>
      <c r="J441" s="79"/>
      <c r="O441" s="79"/>
      <c r="P441" s="79"/>
      <c r="S441" s="79"/>
      <c r="T441" s="79"/>
      <c r="W441" s="130"/>
      <c r="Y441" s="106"/>
    </row>
    <row r="442">
      <c r="C442" s="79"/>
      <c r="D442" s="79"/>
      <c r="J442" s="79"/>
      <c r="O442" s="79"/>
      <c r="P442" s="79"/>
      <c r="S442" s="79"/>
      <c r="T442" s="79"/>
      <c r="W442" s="130"/>
      <c r="Y442" s="106"/>
    </row>
    <row r="443">
      <c r="C443" s="79"/>
      <c r="D443" s="79"/>
      <c r="J443" s="79"/>
      <c r="O443" s="79"/>
      <c r="P443" s="79"/>
      <c r="S443" s="79"/>
      <c r="T443" s="79"/>
      <c r="W443" s="130"/>
      <c r="Y443" s="106"/>
    </row>
    <row r="444">
      <c r="C444" s="79"/>
      <c r="D444" s="79"/>
      <c r="J444" s="79"/>
      <c r="O444" s="79"/>
      <c r="P444" s="79"/>
      <c r="S444" s="79"/>
      <c r="T444" s="79"/>
      <c r="W444" s="130"/>
      <c r="Y444" s="106"/>
    </row>
    <row r="445">
      <c r="C445" s="79"/>
      <c r="D445" s="79"/>
      <c r="J445" s="79"/>
      <c r="O445" s="79"/>
      <c r="P445" s="79"/>
      <c r="S445" s="79"/>
      <c r="T445" s="79"/>
      <c r="W445" s="130"/>
      <c r="Y445" s="106"/>
    </row>
    <row r="446">
      <c r="C446" s="79"/>
      <c r="D446" s="79"/>
      <c r="J446" s="79"/>
      <c r="O446" s="79"/>
      <c r="P446" s="79"/>
      <c r="S446" s="79"/>
      <c r="T446" s="79"/>
      <c r="W446" s="130"/>
      <c r="Y446" s="106"/>
    </row>
    <row r="447">
      <c r="C447" s="79"/>
      <c r="D447" s="79"/>
      <c r="J447" s="79"/>
      <c r="O447" s="79"/>
      <c r="P447" s="79"/>
      <c r="S447" s="79"/>
      <c r="T447" s="79"/>
      <c r="W447" s="130"/>
      <c r="Y447" s="106"/>
    </row>
    <row r="448">
      <c r="C448" s="79"/>
      <c r="D448" s="79"/>
      <c r="J448" s="79"/>
      <c r="O448" s="79"/>
      <c r="P448" s="79"/>
      <c r="S448" s="79"/>
      <c r="T448" s="79"/>
      <c r="W448" s="130"/>
      <c r="Y448" s="106"/>
    </row>
    <row r="449">
      <c r="C449" s="79"/>
      <c r="D449" s="79"/>
      <c r="J449" s="79"/>
      <c r="O449" s="79"/>
      <c r="P449" s="79"/>
      <c r="S449" s="79"/>
      <c r="T449" s="79"/>
      <c r="W449" s="130"/>
      <c r="Y449" s="106"/>
    </row>
    <row r="450">
      <c r="C450" s="79"/>
      <c r="D450" s="79"/>
      <c r="J450" s="79"/>
      <c r="O450" s="79"/>
      <c r="P450" s="79"/>
      <c r="S450" s="79"/>
      <c r="T450" s="79"/>
      <c r="W450" s="130"/>
      <c r="Y450" s="106"/>
    </row>
    <row r="451">
      <c r="C451" s="79"/>
      <c r="D451" s="79"/>
      <c r="J451" s="79"/>
      <c r="O451" s="79"/>
      <c r="P451" s="79"/>
      <c r="S451" s="79"/>
      <c r="T451" s="79"/>
      <c r="W451" s="130"/>
      <c r="Y451" s="106"/>
    </row>
    <row r="452">
      <c r="C452" s="79"/>
      <c r="D452" s="79"/>
      <c r="J452" s="79"/>
      <c r="O452" s="79"/>
      <c r="P452" s="79"/>
      <c r="S452" s="79"/>
      <c r="T452" s="79"/>
      <c r="W452" s="130"/>
      <c r="Y452" s="106"/>
    </row>
    <row r="453">
      <c r="C453" s="79"/>
      <c r="D453" s="79"/>
      <c r="J453" s="79"/>
      <c r="O453" s="79"/>
      <c r="P453" s="79"/>
      <c r="S453" s="79"/>
      <c r="T453" s="79"/>
      <c r="W453" s="130"/>
      <c r="Y453" s="106"/>
    </row>
    <row r="454">
      <c r="C454" s="79"/>
      <c r="D454" s="79"/>
      <c r="J454" s="79"/>
      <c r="O454" s="79"/>
      <c r="P454" s="79"/>
      <c r="S454" s="79"/>
      <c r="T454" s="79"/>
      <c r="W454" s="130"/>
      <c r="Y454" s="106"/>
    </row>
    <row r="455">
      <c r="C455" s="79"/>
      <c r="D455" s="79"/>
      <c r="J455" s="79"/>
      <c r="O455" s="79"/>
      <c r="P455" s="79"/>
      <c r="S455" s="79"/>
      <c r="T455" s="79"/>
      <c r="W455" s="130"/>
      <c r="Y455" s="106"/>
    </row>
    <row r="456">
      <c r="C456" s="79"/>
      <c r="D456" s="79"/>
      <c r="J456" s="79"/>
      <c r="O456" s="79"/>
      <c r="P456" s="79"/>
      <c r="S456" s="79"/>
      <c r="T456" s="79"/>
      <c r="W456" s="130"/>
      <c r="Y456" s="106"/>
    </row>
    <row r="457">
      <c r="C457" s="79"/>
      <c r="D457" s="79"/>
      <c r="J457" s="79"/>
      <c r="O457" s="79"/>
      <c r="P457" s="79"/>
      <c r="S457" s="79"/>
      <c r="T457" s="79"/>
      <c r="W457" s="130"/>
      <c r="Y457" s="106"/>
    </row>
    <row r="458">
      <c r="C458" s="79"/>
      <c r="D458" s="79"/>
      <c r="J458" s="79"/>
      <c r="O458" s="79"/>
      <c r="P458" s="79"/>
      <c r="S458" s="79"/>
      <c r="T458" s="79"/>
      <c r="W458" s="130"/>
      <c r="Y458" s="106"/>
    </row>
    <row r="459">
      <c r="C459" s="79"/>
      <c r="D459" s="79"/>
      <c r="J459" s="79"/>
      <c r="O459" s="79"/>
      <c r="P459" s="79"/>
      <c r="S459" s="79"/>
      <c r="T459" s="79"/>
      <c r="W459" s="130"/>
      <c r="Y459" s="106"/>
    </row>
    <row r="460">
      <c r="C460" s="79"/>
      <c r="D460" s="79"/>
      <c r="J460" s="79"/>
      <c r="O460" s="79"/>
      <c r="P460" s="79"/>
      <c r="S460" s="79"/>
      <c r="T460" s="79"/>
      <c r="W460" s="130"/>
      <c r="Y460" s="106"/>
    </row>
    <row r="461">
      <c r="C461" s="79"/>
      <c r="D461" s="79"/>
      <c r="J461" s="79"/>
      <c r="O461" s="79"/>
      <c r="P461" s="79"/>
      <c r="S461" s="79"/>
      <c r="T461" s="79"/>
      <c r="W461" s="130"/>
      <c r="Y461" s="106"/>
    </row>
    <row r="462">
      <c r="C462" s="79"/>
      <c r="D462" s="79"/>
      <c r="J462" s="79"/>
      <c r="O462" s="79"/>
      <c r="P462" s="79"/>
      <c r="S462" s="79"/>
      <c r="T462" s="79"/>
      <c r="W462" s="130"/>
      <c r="Y462" s="106"/>
    </row>
    <row r="463">
      <c r="C463" s="79"/>
      <c r="D463" s="79"/>
      <c r="J463" s="79"/>
      <c r="O463" s="79"/>
      <c r="P463" s="79"/>
      <c r="S463" s="79"/>
      <c r="T463" s="79"/>
      <c r="W463" s="130"/>
      <c r="Y463" s="106"/>
    </row>
    <row r="464">
      <c r="C464" s="79"/>
      <c r="D464" s="79"/>
      <c r="J464" s="79"/>
      <c r="O464" s="79"/>
      <c r="P464" s="79"/>
      <c r="S464" s="79"/>
      <c r="T464" s="79"/>
      <c r="W464" s="130"/>
      <c r="Y464" s="106"/>
    </row>
    <row r="465">
      <c r="C465" s="79"/>
      <c r="D465" s="79"/>
      <c r="J465" s="79"/>
      <c r="O465" s="79"/>
      <c r="P465" s="79"/>
      <c r="S465" s="79"/>
      <c r="T465" s="79"/>
      <c r="W465" s="130"/>
      <c r="Y465" s="106"/>
    </row>
    <row r="466">
      <c r="C466" s="79"/>
      <c r="D466" s="79"/>
      <c r="J466" s="79"/>
      <c r="O466" s="79"/>
      <c r="P466" s="79"/>
      <c r="S466" s="79"/>
      <c r="T466" s="79"/>
      <c r="W466" s="130"/>
      <c r="Y466" s="106"/>
    </row>
    <row r="467">
      <c r="C467" s="79"/>
      <c r="D467" s="79"/>
      <c r="J467" s="79"/>
      <c r="O467" s="79"/>
      <c r="P467" s="79"/>
      <c r="S467" s="79"/>
      <c r="T467" s="79"/>
      <c r="W467" s="130"/>
      <c r="Y467" s="106"/>
    </row>
    <row r="468">
      <c r="C468" s="79"/>
      <c r="D468" s="79"/>
      <c r="J468" s="79"/>
      <c r="O468" s="79"/>
      <c r="P468" s="79"/>
      <c r="S468" s="79"/>
      <c r="T468" s="79"/>
      <c r="W468" s="130"/>
      <c r="Y468" s="106"/>
    </row>
    <row r="469">
      <c r="C469" s="79"/>
      <c r="D469" s="79"/>
      <c r="J469" s="79"/>
      <c r="O469" s="79"/>
      <c r="P469" s="79"/>
      <c r="S469" s="79"/>
      <c r="T469" s="79"/>
      <c r="W469" s="130"/>
      <c r="Y469" s="106"/>
    </row>
    <row r="470">
      <c r="C470" s="79"/>
      <c r="D470" s="79"/>
      <c r="J470" s="79"/>
      <c r="O470" s="79"/>
      <c r="P470" s="79"/>
      <c r="S470" s="79"/>
      <c r="T470" s="79"/>
      <c r="W470" s="130"/>
      <c r="Y470" s="106"/>
    </row>
    <row r="471">
      <c r="C471" s="79"/>
      <c r="D471" s="79"/>
      <c r="J471" s="79"/>
      <c r="O471" s="79"/>
      <c r="P471" s="79"/>
      <c r="S471" s="79"/>
      <c r="T471" s="79"/>
      <c r="W471" s="130"/>
      <c r="Y471" s="106"/>
    </row>
    <row r="472">
      <c r="C472" s="79"/>
      <c r="D472" s="79"/>
      <c r="J472" s="79"/>
      <c r="O472" s="79"/>
      <c r="P472" s="79"/>
      <c r="S472" s="79"/>
      <c r="T472" s="79"/>
      <c r="W472" s="130"/>
      <c r="Y472" s="106"/>
    </row>
    <row r="473">
      <c r="C473" s="79"/>
      <c r="D473" s="79"/>
      <c r="J473" s="79"/>
      <c r="O473" s="79"/>
      <c r="P473" s="79"/>
      <c r="S473" s="79"/>
      <c r="T473" s="79"/>
      <c r="W473" s="130"/>
      <c r="Y473" s="106"/>
    </row>
    <row r="474">
      <c r="C474" s="79"/>
      <c r="D474" s="79"/>
      <c r="J474" s="79"/>
      <c r="O474" s="79"/>
      <c r="P474" s="79"/>
      <c r="S474" s="79"/>
      <c r="T474" s="79"/>
      <c r="W474" s="130"/>
      <c r="Y474" s="106"/>
    </row>
    <row r="475">
      <c r="C475" s="79"/>
      <c r="D475" s="79"/>
      <c r="J475" s="79"/>
      <c r="O475" s="79"/>
      <c r="P475" s="79"/>
      <c r="S475" s="79"/>
      <c r="T475" s="79"/>
      <c r="W475" s="130"/>
      <c r="Y475" s="106"/>
    </row>
    <row r="476">
      <c r="C476" s="79"/>
      <c r="D476" s="79"/>
      <c r="J476" s="79"/>
      <c r="O476" s="79"/>
      <c r="P476" s="79"/>
      <c r="S476" s="79"/>
      <c r="T476" s="79"/>
      <c r="W476" s="130"/>
      <c r="Y476" s="106"/>
    </row>
    <row r="477">
      <c r="C477" s="79"/>
      <c r="D477" s="79"/>
      <c r="J477" s="79"/>
      <c r="O477" s="79"/>
      <c r="P477" s="79"/>
      <c r="S477" s="79"/>
      <c r="T477" s="79"/>
      <c r="W477" s="130"/>
      <c r="Y477" s="106"/>
    </row>
    <row r="478">
      <c r="C478" s="79"/>
      <c r="D478" s="79"/>
      <c r="J478" s="79"/>
      <c r="O478" s="79"/>
      <c r="P478" s="79"/>
      <c r="S478" s="79"/>
      <c r="T478" s="79"/>
      <c r="W478" s="130"/>
      <c r="Y478" s="106"/>
    </row>
    <row r="479">
      <c r="C479" s="79"/>
      <c r="D479" s="79"/>
      <c r="J479" s="79"/>
      <c r="O479" s="79"/>
      <c r="P479" s="79"/>
      <c r="S479" s="79"/>
      <c r="T479" s="79"/>
      <c r="W479" s="130"/>
      <c r="Y479" s="106"/>
    </row>
    <row r="480">
      <c r="C480" s="79"/>
      <c r="D480" s="79"/>
      <c r="J480" s="79"/>
      <c r="O480" s="79"/>
      <c r="P480" s="79"/>
      <c r="S480" s="79"/>
      <c r="T480" s="79"/>
      <c r="W480" s="130"/>
      <c r="Y480" s="106"/>
    </row>
    <row r="481">
      <c r="C481" s="79"/>
      <c r="D481" s="79"/>
      <c r="J481" s="79"/>
      <c r="O481" s="79"/>
      <c r="P481" s="79"/>
      <c r="S481" s="79"/>
      <c r="T481" s="79"/>
      <c r="W481" s="130"/>
      <c r="Y481" s="106"/>
    </row>
    <row r="482">
      <c r="C482" s="79"/>
      <c r="D482" s="79"/>
      <c r="J482" s="79"/>
      <c r="O482" s="79"/>
      <c r="P482" s="79"/>
      <c r="S482" s="79"/>
      <c r="T482" s="79"/>
      <c r="W482" s="130"/>
      <c r="Y482" s="106"/>
    </row>
    <row r="483">
      <c r="C483" s="79"/>
      <c r="D483" s="79"/>
      <c r="J483" s="79"/>
      <c r="O483" s="79"/>
      <c r="P483" s="79"/>
      <c r="S483" s="79"/>
      <c r="T483" s="79"/>
      <c r="W483" s="130"/>
      <c r="Y483" s="106"/>
    </row>
    <row r="484">
      <c r="C484" s="79"/>
      <c r="D484" s="79"/>
      <c r="J484" s="79"/>
      <c r="O484" s="79"/>
      <c r="P484" s="79"/>
      <c r="S484" s="79"/>
      <c r="T484" s="79"/>
      <c r="W484" s="130"/>
      <c r="Y484" s="106"/>
    </row>
    <row r="485">
      <c r="C485" s="79"/>
      <c r="D485" s="79"/>
      <c r="J485" s="79"/>
      <c r="O485" s="79"/>
      <c r="P485" s="79"/>
      <c r="S485" s="79"/>
      <c r="T485" s="79"/>
      <c r="W485" s="130"/>
      <c r="Y485" s="106"/>
    </row>
    <row r="486">
      <c r="C486" s="79"/>
      <c r="D486" s="79"/>
      <c r="J486" s="79"/>
      <c r="O486" s="79"/>
      <c r="P486" s="79"/>
      <c r="S486" s="79"/>
      <c r="T486" s="79"/>
      <c r="W486" s="130"/>
      <c r="Y486" s="106"/>
    </row>
    <row r="487">
      <c r="C487" s="79"/>
      <c r="D487" s="79"/>
      <c r="J487" s="79"/>
      <c r="O487" s="79"/>
      <c r="P487" s="79"/>
      <c r="S487" s="79"/>
      <c r="T487" s="79"/>
      <c r="W487" s="130"/>
      <c r="Y487" s="106"/>
    </row>
    <row r="488">
      <c r="C488" s="79"/>
      <c r="D488" s="79"/>
      <c r="J488" s="79"/>
      <c r="O488" s="79"/>
      <c r="P488" s="79"/>
      <c r="S488" s="79"/>
      <c r="T488" s="79"/>
      <c r="W488" s="130"/>
      <c r="Y488" s="106"/>
    </row>
    <row r="489">
      <c r="C489" s="79"/>
      <c r="D489" s="79"/>
      <c r="J489" s="79"/>
      <c r="O489" s="79"/>
      <c r="P489" s="79"/>
      <c r="S489" s="79"/>
      <c r="T489" s="79"/>
      <c r="W489" s="130"/>
      <c r="Y489" s="106"/>
    </row>
    <row r="490">
      <c r="C490" s="79"/>
      <c r="D490" s="79"/>
      <c r="J490" s="79"/>
      <c r="O490" s="79"/>
      <c r="P490" s="79"/>
      <c r="S490" s="79"/>
      <c r="T490" s="79"/>
      <c r="W490" s="130"/>
      <c r="Y490" s="106"/>
    </row>
    <row r="491">
      <c r="C491" s="79"/>
      <c r="D491" s="79"/>
      <c r="J491" s="79"/>
      <c r="O491" s="79"/>
      <c r="P491" s="79"/>
      <c r="S491" s="79"/>
      <c r="T491" s="79"/>
      <c r="W491" s="130"/>
      <c r="Y491" s="106"/>
    </row>
    <row r="492">
      <c r="C492" s="79"/>
      <c r="D492" s="79"/>
      <c r="J492" s="79"/>
      <c r="O492" s="79"/>
      <c r="P492" s="79"/>
      <c r="S492" s="79"/>
      <c r="T492" s="79"/>
      <c r="W492" s="130"/>
      <c r="Y492" s="106"/>
    </row>
    <row r="493">
      <c r="C493" s="79"/>
      <c r="D493" s="79"/>
      <c r="J493" s="79"/>
      <c r="O493" s="79"/>
      <c r="P493" s="79"/>
      <c r="S493" s="79"/>
      <c r="T493" s="79"/>
      <c r="W493" s="130"/>
      <c r="Y493" s="106"/>
    </row>
    <row r="494">
      <c r="C494" s="79"/>
      <c r="D494" s="79"/>
      <c r="J494" s="79"/>
      <c r="O494" s="79"/>
      <c r="P494" s="79"/>
      <c r="S494" s="79"/>
      <c r="T494" s="79"/>
      <c r="W494" s="130"/>
      <c r="Y494" s="106"/>
    </row>
    <row r="495">
      <c r="C495" s="79"/>
      <c r="D495" s="79"/>
      <c r="J495" s="79"/>
      <c r="O495" s="79"/>
      <c r="P495" s="79"/>
      <c r="S495" s="79"/>
      <c r="T495" s="79"/>
      <c r="W495" s="130"/>
      <c r="Y495" s="106"/>
    </row>
    <row r="496">
      <c r="C496" s="79"/>
      <c r="D496" s="79"/>
      <c r="J496" s="79"/>
      <c r="O496" s="79"/>
      <c r="P496" s="79"/>
      <c r="S496" s="79"/>
      <c r="T496" s="79"/>
      <c r="W496" s="130"/>
      <c r="Y496" s="106"/>
    </row>
    <row r="497">
      <c r="C497" s="79"/>
      <c r="D497" s="79"/>
      <c r="J497" s="79"/>
      <c r="O497" s="79"/>
      <c r="P497" s="79"/>
      <c r="S497" s="79"/>
      <c r="T497" s="79"/>
      <c r="W497" s="130"/>
      <c r="Y497" s="106"/>
    </row>
    <row r="498">
      <c r="C498" s="79"/>
      <c r="D498" s="79"/>
      <c r="J498" s="79"/>
      <c r="O498" s="79"/>
      <c r="P498" s="79"/>
      <c r="S498" s="79"/>
      <c r="T498" s="79"/>
      <c r="W498" s="130"/>
      <c r="Y498" s="106"/>
    </row>
    <row r="499">
      <c r="C499" s="79"/>
      <c r="D499" s="79"/>
      <c r="J499" s="79"/>
      <c r="O499" s="79"/>
      <c r="P499" s="79"/>
      <c r="S499" s="79"/>
      <c r="T499" s="79"/>
      <c r="W499" s="130"/>
      <c r="Y499" s="106"/>
    </row>
    <row r="500">
      <c r="C500" s="79"/>
      <c r="D500" s="79"/>
      <c r="J500" s="79"/>
      <c r="O500" s="79"/>
      <c r="P500" s="79"/>
      <c r="S500" s="79"/>
      <c r="T500" s="79"/>
      <c r="W500" s="130"/>
      <c r="Y500" s="106"/>
    </row>
    <row r="501">
      <c r="C501" s="79"/>
      <c r="D501" s="79"/>
      <c r="J501" s="79"/>
      <c r="O501" s="79"/>
      <c r="P501" s="79"/>
      <c r="S501" s="79"/>
      <c r="T501" s="79"/>
      <c r="W501" s="130"/>
      <c r="Y501" s="106"/>
    </row>
    <row r="502">
      <c r="C502" s="79"/>
      <c r="D502" s="79"/>
      <c r="J502" s="79"/>
      <c r="O502" s="79"/>
      <c r="P502" s="79"/>
      <c r="S502" s="79"/>
      <c r="T502" s="79"/>
      <c r="W502" s="130"/>
      <c r="Y502" s="106"/>
    </row>
    <row r="503">
      <c r="C503" s="79"/>
      <c r="D503" s="79"/>
      <c r="J503" s="79"/>
      <c r="O503" s="79"/>
      <c r="P503" s="79"/>
      <c r="S503" s="79"/>
      <c r="T503" s="79"/>
      <c r="W503" s="130"/>
      <c r="Y503" s="106"/>
    </row>
    <row r="504">
      <c r="C504" s="79"/>
      <c r="D504" s="79"/>
      <c r="J504" s="79"/>
      <c r="O504" s="79"/>
      <c r="P504" s="79"/>
      <c r="S504" s="79"/>
      <c r="T504" s="79"/>
      <c r="W504" s="130"/>
      <c r="Y504" s="106"/>
    </row>
    <row r="505">
      <c r="C505" s="79"/>
      <c r="D505" s="79"/>
      <c r="J505" s="79"/>
      <c r="O505" s="79"/>
      <c r="P505" s="79"/>
      <c r="S505" s="79"/>
      <c r="T505" s="79"/>
      <c r="W505" s="130"/>
      <c r="Y505" s="106"/>
    </row>
    <row r="506">
      <c r="C506" s="79"/>
      <c r="D506" s="79"/>
      <c r="J506" s="79"/>
      <c r="O506" s="79"/>
      <c r="P506" s="79"/>
      <c r="S506" s="79"/>
      <c r="T506" s="79"/>
      <c r="W506" s="130"/>
      <c r="Y506" s="106"/>
    </row>
    <row r="507">
      <c r="C507" s="79"/>
      <c r="D507" s="79"/>
      <c r="J507" s="79"/>
      <c r="O507" s="79"/>
      <c r="P507" s="79"/>
      <c r="S507" s="79"/>
      <c r="T507" s="79"/>
      <c r="W507" s="130"/>
      <c r="Y507" s="106"/>
    </row>
    <row r="508">
      <c r="C508" s="79"/>
      <c r="D508" s="79"/>
      <c r="J508" s="79"/>
      <c r="O508" s="79"/>
      <c r="P508" s="79"/>
      <c r="S508" s="79"/>
      <c r="T508" s="79"/>
      <c r="W508" s="130"/>
      <c r="Y508" s="106"/>
    </row>
    <row r="509">
      <c r="C509" s="79"/>
      <c r="D509" s="79"/>
      <c r="J509" s="79"/>
      <c r="O509" s="79"/>
      <c r="P509" s="79"/>
      <c r="S509" s="79"/>
      <c r="T509" s="79"/>
      <c r="W509" s="130"/>
      <c r="Y509" s="106"/>
    </row>
    <row r="510">
      <c r="C510" s="79"/>
      <c r="D510" s="79"/>
      <c r="J510" s="79"/>
      <c r="O510" s="79"/>
      <c r="P510" s="79"/>
      <c r="S510" s="79"/>
      <c r="T510" s="79"/>
      <c r="W510" s="130"/>
      <c r="Y510" s="106"/>
    </row>
    <row r="511">
      <c r="C511" s="79"/>
      <c r="D511" s="79"/>
      <c r="J511" s="79"/>
      <c r="O511" s="79"/>
      <c r="P511" s="79"/>
      <c r="S511" s="79"/>
      <c r="T511" s="79"/>
      <c r="W511" s="130"/>
      <c r="Y511" s="106"/>
    </row>
    <row r="512">
      <c r="C512" s="79"/>
      <c r="D512" s="79"/>
      <c r="J512" s="79"/>
      <c r="O512" s="79"/>
      <c r="P512" s="79"/>
      <c r="S512" s="79"/>
      <c r="T512" s="79"/>
      <c r="W512" s="130"/>
      <c r="Y512" s="106"/>
    </row>
    <row r="513">
      <c r="C513" s="79"/>
      <c r="D513" s="79"/>
      <c r="J513" s="79"/>
      <c r="O513" s="79"/>
      <c r="P513" s="79"/>
      <c r="S513" s="79"/>
      <c r="T513" s="79"/>
      <c r="W513" s="130"/>
      <c r="Y513" s="106"/>
    </row>
    <row r="514">
      <c r="C514" s="79"/>
      <c r="D514" s="79"/>
      <c r="J514" s="79"/>
      <c r="O514" s="79"/>
      <c r="P514" s="79"/>
      <c r="S514" s="79"/>
      <c r="T514" s="79"/>
      <c r="W514" s="130"/>
      <c r="Y514" s="106"/>
    </row>
    <row r="515">
      <c r="C515" s="79"/>
      <c r="D515" s="79"/>
      <c r="J515" s="79"/>
      <c r="O515" s="79"/>
      <c r="P515" s="79"/>
      <c r="S515" s="79"/>
      <c r="T515" s="79"/>
      <c r="W515" s="130"/>
      <c r="Y515" s="106"/>
    </row>
    <row r="516">
      <c r="C516" s="79"/>
      <c r="D516" s="79"/>
      <c r="J516" s="79"/>
      <c r="O516" s="79"/>
      <c r="P516" s="79"/>
      <c r="S516" s="79"/>
      <c r="T516" s="79"/>
      <c r="W516" s="130"/>
      <c r="Y516" s="106"/>
    </row>
    <row r="517">
      <c r="C517" s="79"/>
      <c r="D517" s="79"/>
      <c r="J517" s="79"/>
      <c r="O517" s="79"/>
      <c r="P517" s="79"/>
      <c r="S517" s="79"/>
      <c r="T517" s="79"/>
      <c r="W517" s="130"/>
      <c r="Y517" s="106"/>
    </row>
    <row r="518">
      <c r="C518" s="79"/>
      <c r="D518" s="79"/>
      <c r="J518" s="79"/>
      <c r="O518" s="79"/>
      <c r="P518" s="79"/>
      <c r="S518" s="79"/>
      <c r="T518" s="79"/>
      <c r="W518" s="130"/>
      <c r="Y518" s="106"/>
    </row>
    <row r="519">
      <c r="C519" s="79"/>
      <c r="D519" s="79"/>
      <c r="J519" s="79"/>
      <c r="O519" s="79"/>
      <c r="P519" s="79"/>
      <c r="S519" s="79"/>
      <c r="T519" s="79"/>
      <c r="W519" s="130"/>
      <c r="Y519" s="106"/>
    </row>
    <row r="520">
      <c r="C520" s="79"/>
      <c r="D520" s="79"/>
      <c r="J520" s="79"/>
      <c r="O520" s="79"/>
      <c r="P520" s="79"/>
      <c r="S520" s="79"/>
      <c r="T520" s="79"/>
      <c r="W520" s="130"/>
      <c r="Y520" s="106"/>
    </row>
    <row r="521">
      <c r="C521" s="79"/>
      <c r="D521" s="79"/>
      <c r="J521" s="79"/>
      <c r="O521" s="79"/>
      <c r="P521" s="79"/>
      <c r="S521" s="79"/>
      <c r="T521" s="79"/>
      <c r="W521" s="130"/>
      <c r="Y521" s="106"/>
    </row>
    <row r="522">
      <c r="C522" s="79"/>
      <c r="D522" s="79"/>
      <c r="J522" s="79"/>
      <c r="O522" s="79"/>
      <c r="P522" s="79"/>
      <c r="S522" s="79"/>
      <c r="T522" s="79"/>
      <c r="W522" s="130"/>
      <c r="Y522" s="106"/>
    </row>
    <row r="523">
      <c r="C523" s="79"/>
      <c r="D523" s="79"/>
      <c r="J523" s="79"/>
      <c r="O523" s="79"/>
      <c r="P523" s="79"/>
      <c r="S523" s="79"/>
      <c r="T523" s="79"/>
      <c r="W523" s="130"/>
      <c r="Y523" s="106"/>
    </row>
    <row r="524">
      <c r="C524" s="79"/>
      <c r="D524" s="79"/>
      <c r="J524" s="79"/>
      <c r="O524" s="79"/>
      <c r="P524" s="79"/>
      <c r="S524" s="79"/>
      <c r="T524" s="79"/>
      <c r="W524" s="130"/>
      <c r="Y524" s="106"/>
    </row>
    <row r="525">
      <c r="C525" s="79"/>
      <c r="D525" s="79"/>
      <c r="J525" s="79"/>
      <c r="O525" s="79"/>
      <c r="P525" s="79"/>
      <c r="S525" s="79"/>
      <c r="T525" s="79"/>
      <c r="W525" s="130"/>
      <c r="Y525" s="106"/>
    </row>
    <row r="526">
      <c r="C526" s="79"/>
      <c r="D526" s="79"/>
      <c r="J526" s="79"/>
      <c r="O526" s="79"/>
      <c r="P526" s="79"/>
      <c r="S526" s="79"/>
      <c r="T526" s="79"/>
      <c r="W526" s="130"/>
      <c r="Y526" s="106"/>
    </row>
    <row r="527">
      <c r="C527" s="79"/>
      <c r="D527" s="79"/>
      <c r="J527" s="79"/>
      <c r="O527" s="79"/>
      <c r="P527" s="79"/>
      <c r="S527" s="79"/>
      <c r="T527" s="79"/>
      <c r="W527" s="130"/>
      <c r="Y527" s="106"/>
    </row>
    <row r="528">
      <c r="C528" s="79"/>
      <c r="D528" s="79"/>
      <c r="J528" s="79"/>
      <c r="O528" s="79"/>
      <c r="P528" s="79"/>
      <c r="S528" s="79"/>
      <c r="T528" s="79"/>
      <c r="W528" s="130"/>
      <c r="Y528" s="106"/>
    </row>
    <row r="529">
      <c r="C529" s="79"/>
      <c r="D529" s="79"/>
      <c r="J529" s="79"/>
      <c r="O529" s="79"/>
      <c r="P529" s="79"/>
      <c r="S529" s="79"/>
      <c r="T529" s="79"/>
      <c r="W529" s="130"/>
      <c r="Y529" s="106"/>
    </row>
    <row r="530">
      <c r="C530" s="79"/>
      <c r="D530" s="79"/>
      <c r="J530" s="79"/>
      <c r="O530" s="79"/>
      <c r="P530" s="79"/>
      <c r="S530" s="79"/>
      <c r="T530" s="79"/>
      <c r="W530" s="130"/>
      <c r="Y530" s="106"/>
    </row>
    <row r="531">
      <c r="C531" s="79"/>
      <c r="D531" s="79"/>
      <c r="J531" s="79"/>
      <c r="O531" s="79"/>
      <c r="P531" s="79"/>
      <c r="S531" s="79"/>
      <c r="T531" s="79"/>
      <c r="W531" s="130"/>
      <c r="Y531" s="106"/>
    </row>
    <row r="532">
      <c r="C532" s="79"/>
      <c r="D532" s="79"/>
      <c r="J532" s="79"/>
      <c r="O532" s="79"/>
      <c r="P532" s="79"/>
      <c r="S532" s="79"/>
      <c r="T532" s="79"/>
      <c r="W532" s="130"/>
      <c r="Y532" s="106"/>
    </row>
    <row r="533">
      <c r="C533" s="79"/>
      <c r="D533" s="79"/>
      <c r="J533" s="79"/>
      <c r="O533" s="79"/>
      <c r="P533" s="79"/>
      <c r="S533" s="79"/>
      <c r="T533" s="79"/>
      <c r="W533" s="130"/>
      <c r="Y533" s="106"/>
    </row>
    <row r="534">
      <c r="C534" s="79"/>
      <c r="D534" s="79"/>
      <c r="J534" s="79"/>
      <c r="O534" s="79"/>
      <c r="P534" s="79"/>
      <c r="S534" s="79"/>
      <c r="T534" s="79"/>
      <c r="W534" s="130"/>
      <c r="Y534" s="106"/>
    </row>
    <row r="535">
      <c r="C535" s="79"/>
      <c r="D535" s="79"/>
      <c r="J535" s="79"/>
      <c r="O535" s="79"/>
      <c r="P535" s="79"/>
      <c r="S535" s="79"/>
      <c r="T535" s="79"/>
      <c r="W535" s="130"/>
      <c r="Y535" s="106"/>
    </row>
    <row r="536">
      <c r="C536" s="79"/>
      <c r="D536" s="79"/>
      <c r="J536" s="79"/>
      <c r="O536" s="79"/>
      <c r="P536" s="79"/>
      <c r="S536" s="79"/>
      <c r="T536" s="79"/>
      <c r="W536" s="130"/>
      <c r="Y536" s="106"/>
    </row>
    <row r="537">
      <c r="C537" s="79"/>
      <c r="D537" s="79"/>
      <c r="J537" s="79"/>
      <c r="O537" s="79"/>
      <c r="P537" s="79"/>
      <c r="S537" s="79"/>
      <c r="T537" s="79"/>
      <c r="W537" s="130"/>
      <c r="Y537" s="106"/>
    </row>
    <row r="538">
      <c r="C538" s="79"/>
      <c r="D538" s="79"/>
      <c r="J538" s="79"/>
      <c r="O538" s="79"/>
      <c r="P538" s="79"/>
      <c r="S538" s="79"/>
      <c r="T538" s="79"/>
      <c r="W538" s="130"/>
      <c r="Y538" s="106"/>
    </row>
    <row r="539">
      <c r="C539" s="79"/>
      <c r="D539" s="79"/>
      <c r="J539" s="79"/>
      <c r="O539" s="79"/>
      <c r="P539" s="79"/>
      <c r="S539" s="79"/>
      <c r="T539" s="79"/>
      <c r="W539" s="130"/>
      <c r="Y539" s="106"/>
    </row>
    <row r="540">
      <c r="C540" s="79"/>
      <c r="D540" s="79"/>
      <c r="J540" s="79"/>
      <c r="O540" s="79"/>
      <c r="P540" s="79"/>
      <c r="S540" s="79"/>
      <c r="T540" s="79"/>
      <c r="W540" s="130"/>
      <c r="Y540" s="106"/>
    </row>
    <row r="541">
      <c r="C541" s="79"/>
      <c r="D541" s="79"/>
      <c r="J541" s="79"/>
      <c r="O541" s="79"/>
      <c r="P541" s="79"/>
      <c r="S541" s="79"/>
      <c r="T541" s="79"/>
      <c r="W541" s="130"/>
      <c r="Y541" s="106"/>
    </row>
    <row r="542">
      <c r="C542" s="79"/>
      <c r="D542" s="79"/>
      <c r="J542" s="79"/>
      <c r="O542" s="79"/>
      <c r="P542" s="79"/>
      <c r="S542" s="79"/>
      <c r="T542" s="79"/>
      <c r="W542" s="130"/>
      <c r="Y542" s="106"/>
    </row>
    <row r="543">
      <c r="C543" s="79"/>
      <c r="D543" s="79"/>
      <c r="J543" s="79"/>
      <c r="O543" s="79"/>
      <c r="P543" s="79"/>
      <c r="S543" s="79"/>
      <c r="T543" s="79"/>
      <c r="W543" s="130"/>
      <c r="Y543" s="106"/>
    </row>
    <row r="544">
      <c r="C544" s="79"/>
      <c r="D544" s="79"/>
      <c r="J544" s="79"/>
      <c r="O544" s="79"/>
      <c r="P544" s="79"/>
      <c r="S544" s="79"/>
      <c r="T544" s="79"/>
      <c r="W544" s="130"/>
      <c r="Y544" s="106"/>
    </row>
    <row r="545">
      <c r="C545" s="79"/>
      <c r="D545" s="79"/>
      <c r="J545" s="79"/>
      <c r="O545" s="79"/>
      <c r="P545" s="79"/>
      <c r="S545" s="79"/>
      <c r="T545" s="79"/>
      <c r="W545" s="130"/>
      <c r="Y545" s="106"/>
    </row>
    <row r="546">
      <c r="C546" s="79"/>
      <c r="D546" s="79"/>
      <c r="J546" s="79"/>
      <c r="O546" s="79"/>
      <c r="P546" s="79"/>
      <c r="S546" s="79"/>
      <c r="T546" s="79"/>
      <c r="W546" s="130"/>
      <c r="Y546" s="106"/>
    </row>
    <row r="547">
      <c r="C547" s="79"/>
      <c r="D547" s="79"/>
      <c r="J547" s="79"/>
      <c r="O547" s="79"/>
      <c r="P547" s="79"/>
      <c r="S547" s="79"/>
      <c r="T547" s="79"/>
      <c r="W547" s="130"/>
      <c r="Y547" s="106"/>
    </row>
    <row r="548">
      <c r="C548" s="79"/>
      <c r="D548" s="79"/>
      <c r="J548" s="79"/>
      <c r="O548" s="79"/>
      <c r="P548" s="79"/>
      <c r="S548" s="79"/>
      <c r="T548" s="79"/>
      <c r="W548" s="130"/>
      <c r="Y548" s="106"/>
    </row>
    <row r="549">
      <c r="C549" s="79"/>
      <c r="D549" s="79"/>
      <c r="J549" s="79"/>
      <c r="O549" s="79"/>
      <c r="P549" s="79"/>
      <c r="S549" s="79"/>
      <c r="T549" s="79"/>
      <c r="W549" s="130"/>
      <c r="Y549" s="106"/>
    </row>
    <row r="550">
      <c r="C550" s="79"/>
      <c r="D550" s="79"/>
      <c r="J550" s="79"/>
      <c r="O550" s="79"/>
      <c r="P550" s="79"/>
      <c r="S550" s="79"/>
      <c r="T550" s="79"/>
      <c r="W550" s="130"/>
      <c r="Y550" s="106"/>
    </row>
    <row r="551">
      <c r="C551" s="79"/>
      <c r="D551" s="79"/>
      <c r="J551" s="79"/>
      <c r="O551" s="79"/>
      <c r="P551" s="79"/>
      <c r="S551" s="79"/>
      <c r="T551" s="79"/>
      <c r="W551" s="130"/>
      <c r="Y551" s="106"/>
    </row>
    <row r="552">
      <c r="C552" s="79"/>
      <c r="D552" s="79"/>
      <c r="J552" s="79"/>
      <c r="O552" s="79"/>
      <c r="P552" s="79"/>
      <c r="S552" s="79"/>
      <c r="T552" s="79"/>
      <c r="W552" s="130"/>
      <c r="Y552" s="106"/>
    </row>
    <row r="553">
      <c r="C553" s="79"/>
      <c r="D553" s="79"/>
      <c r="J553" s="79"/>
      <c r="O553" s="79"/>
      <c r="P553" s="79"/>
      <c r="S553" s="79"/>
      <c r="T553" s="79"/>
      <c r="W553" s="130"/>
      <c r="Y553" s="106"/>
    </row>
    <row r="554">
      <c r="C554" s="79"/>
      <c r="D554" s="79"/>
      <c r="J554" s="79"/>
      <c r="O554" s="79"/>
      <c r="P554" s="79"/>
      <c r="S554" s="79"/>
      <c r="T554" s="79"/>
      <c r="W554" s="130"/>
      <c r="Y554" s="106"/>
    </row>
    <row r="555">
      <c r="C555" s="79"/>
      <c r="D555" s="79"/>
      <c r="J555" s="79"/>
      <c r="O555" s="79"/>
      <c r="P555" s="79"/>
      <c r="S555" s="79"/>
      <c r="T555" s="79"/>
      <c r="W555" s="130"/>
      <c r="Y555" s="106"/>
    </row>
    <row r="556">
      <c r="C556" s="79"/>
      <c r="D556" s="79"/>
      <c r="J556" s="79"/>
      <c r="O556" s="79"/>
      <c r="P556" s="79"/>
      <c r="S556" s="79"/>
      <c r="T556" s="79"/>
      <c r="W556" s="130"/>
      <c r="Y556" s="106"/>
    </row>
    <row r="557">
      <c r="C557" s="79"/>
      <c r="D557" s="79"/>
      <c r="J557" s="79"/>
      <c r="O557" s="79"/>
      <c r="P557" s="79"/>
      <c r="S557" s="79"/>
      <c r="T557" s="79"/>
      <c r="W557" s="130"/>
      <c r="Y557" s="106"/>
    </row>
    <row r="558">
      <c r="C558" s="79"/>
      <c r="D558" s="79"/>
      <c r="J558" s="79"/>
      <c r="O558" s="79"/>
      <c r="P558" s="79"/>
      <c r="S558" s="79"/>
      <c r="T558" s="79"/>
      <c r="W558" s="130"/>
      <c r="Y558" s="106"/>
    </row>
    <row r="559">
      <c r="C559" s="79"/>
      <c r="D559" s="79"/>
      <c r="J559" s="79"/>
      <c r="O559" s="79"/>
      <c r="P559" s="79"/>
      <c r="S559" s="79"/>
      <c r="T559" s="79"/>
      <c r="W559" s="130"/>
      <c r="Y559" s="106"/>
    </row>
    <row r="560">
      <c r="C560" s="79"/>
      <c r="D560" s="79"/>
      <c r="J560" s="79"/>
      <c r="O560" s="79"/>
      <c r="P560" s="79"/>
      <c r="S560" s="79"/>
      <c r="T560" s="79"/>
      <c r="W560" s="130"/>
      <c r="Y560" s="106"/>
    </row>
    <row r="561">
      <c r="C561" s="79"/>
      <c r="D561" s="79"/>
      <c r="J561" s="79"/>
      <c r="O561" s="79"/>
      <c r="P561" s="79"/>
      <c r="S561" s="79"/>
      <c r="T561" s="79"/>
      <c r="W561" s="130"/>
      <c r="Y561" s="106"/>
    </row>
    <row r="562">
      <c r="C562" s="79"/>
      <c r="D562" s="79"/>
      <c r="J562" s="79"/>
      <c r="O562" s="79"/>
      <c r="P562" s="79"/>
      <c r="S562" s="79"/>
      <c r="T562" s="79"/>
      <c r="W562" s="130"/>
      <c r="Y562" s="106"/>
    </row>
    <row r="563">
      <c r="C563" s="79"/>
      <c r="D563" s="79"/>
      <c r="J563" s="79"/>
      <c r="O563" s="79"/>
      <c r="P563" s="79"/>
      <c r="S563" s="79"/>
      <c r="T563" s="79"/>
      <c r="W563" s="130"/>
      <c r="Y563" s="106"/>
    </row>
    <row r="564">
      <c r="C564" s="79"/>
      <c r="D564" s="79"/>
      <c r="J564" s="79"/>
      <c r="O564" s="79"/>
      <c r="P564" s="79"/>
      <c r="S564" s="79"/>
      <c r="T564" s="79"/>
      <c r="W564" s="130"/>
      <c r="Y564" s="106"/>
    </row>
    <row r="565">
      <c r="C565" s="79"/>
      <c r="D565" s="79"/>
      <c r="J565" s="79"/>
      <c r="O565" s="79"/>
      <c r="P565" s="79"/>
      <c r="S565" s="79"/>
      <c r="T565" s="79"/>
      <c r="W565" s="130"/>
      <c r="Y565" s="106"/>
    </row>
    <row r="566">
      <c r="C566" s="79"/>
      <c r="D566" s="79"/>
      <c r="J566" s="79"/>
      <c r="O566" s="79"/>
      <c r="P566" s="79"/>
      <c r="S566" s="79"/>
      <c r="T566" s="79"/>
      <c r="W566" s="130"/>
      <c r="Y566" s="106"/>
    </row>
    <row r="567">
      <c r="C567" s="79"/>
      <c r="D567" s="79"/>
      <c r="J567" s="79"/>
      <c r="O567" s="79"/>
      <c r="P567" s="79"/>
      <c r="S567" s="79"/>
      <c r="T567" s="79"/>
      <c r="W567" s="130"/>
      <c r="Y567" s="106"/>
    </row>
    <row r="568">
      <c r="C568" s="79"/>
      <c r="D568" s="79"/>
      <c r="J568" s="79"/>
      <c r="O568" s="79"/>
      <c r="P568" s="79"/>
      <c r="S568" s="79"/>
      <c r="T568" s="79"/>
      <c r="W568" s="130"/>
      <c r="Y568" s="106"/>
    </row>
    <row r="569">
      <c r="C569" s="79"/>
      <c r="D569" s="79"/>
      <c r="J569" s="79"/>
      <c r="O569" s="79"/>
      <c r="P569" s="79"/>
      <c r="S569" s="79"/>
      <c r="T569" s="79"/>
      <c r="W569" s="130"/>
      <c r="Y569" s="106"/>
    </row>
    <row r="570">
      <c r="C570" s="79"/>
      <c r="D570" s="79"/>
      <c r="J570" s="79"/>
      <c r="O570" s="79"/>
      <c r="P570" s="79"/>
      <c r="S570" s="79"/>
      <c r="T570" s="79"/>
      <c r="W570" s="130"/>
      <c r="Y570" s="106"/>
    </row>
    <row r="571">
      <c r="C571" s="79"/>
      <c r="D571" s="79"/>
      <c r="J571" s="79"/>
      <c r="O571" s="79"/>
      <c r="P571" s="79"/>
      <c r="S571" s="79"/>
      <c r="T571" s="79"/>
      <c r="W571" s="130"/>
      <c r="Y571" s="106"/>
    </row>
    <row r="572">
      <c r="C572" s="79"/>
      <c r="D572" s="79"/>
      <c r="J572" s="79"/>
      <c r="O572" s="79"/>
      <c r="P572" s="79"/>
      <c r="S572" s="79"/>
      <c r="T572" s="79"/>
      <c r="W572" s="130"/>
      <c r="Y572" s="106"/>
    </row>
    <row r="573">
      <c r="C573" s="79"/>
      <c r="D573" s="79"/>
      <c r="J573" s="79"/>
      <c r="O573" s="79"/>
      <c r="P573" s="79"/>
      <c r="S573" s="79"/>
      <c r="T573" s="79"/>
      <c r="W573" s="130"/>
      <c r="Y573" s="106"/>
    </row>
    <row r="574">
      <c r="C574" s="79"/>
      <c r="D574" s="79"/>
      <c r="J574" s="79"/>
      <c r="O574" s="79"/>
      <c r="P574" s="79"/>
      <c r="S574" s="79"/>
      <c r="T574" s="79"/>
      <c r="W574" s="130"/>
      <c r="Y574" s="106"/>
    </row>
    <row r="575">
      <c r="C575" s="79"/>
      <c r="D575" s="79"/>
      <c r="J575" s="79"/>
      <c r="O575" s="79"/>
      <c r="P575" s="79"/>
      <c r="S575" s="79"/>
      <c r="T575" s="79"/>
      <c r="W575" s="130"/>
      <c r="Y575" s="106"/>
    </row>
    <row r="576">
      <c r="C576" s="79"/>
      <c r="D576" s="79"/>
      <c r="J576" s="79"/>
      <c r="O576" s="79"/>
      <c r="P576" s="79"/>
      <c r="S576" s="79"/>
      <c r="T576" s="79"/>
      <c r="W576" s="130"/>
      <c r="Y576" s="106"/>
    </row>
    <row r="577">
      <c r="C577" s="79"/>
      <c r="D577" s="79"/>
      <c r="J577" s="79"/>
      <c r="O577" s="79"/>
      <c r="P577" s="79"/>
      <c r="S577" s="79"/>
      <c r="T577" s="79"/>
      <c r="W577" s="130"/>
      <c r="Y577" s="106"/>
    </row>
    <row r="578">
      <c r="C578" s="79"/>
      <c r="D578" s="79"/>
      <c r="J578" s="79"/>
      <c r="O578" s="79"/>
      <c r="P578" s="79"/>
      <c r="S578" s="79"/>
      <c r="T578" s="79"/>
      <c r="W578" s="130"/>
      <c r="Y578" s="106"/>
    </row>
    <row r="579">
      <c r="C579" s="79"/>
      <c r="D579" s="79"/>
      <c r="J579" s="79"/>
      <c r="O579" s="79"/>
      <c r="P579" s="79"/>
      <c r="S579" s="79"/>
      <c r="T579" s="79"/>
      <c r="W579" s="130"/>
      <c r="Y579" s="106"/>
    </row>
    <row r="580">
      <c r="C580" s="79"/>
      <c r="D580" s="79"/>
      <c r="J580" s="79"/>
      <c r="O580" s="79"/>
      <c r="P580" s="79"/>
      <c r="S580" s="79"/>
      <c r="T580" s="79"/>
      <c r="W580" s="130"/>
      <c r="Y580" s="106"/>
    </row>
    <row r="581">
      <c r="C581" s="79"/>
      <c r="D581" s="79"/>
      <c r="J581" s="79"/>
      <c r="O581" s="79"/>
      <c r="P581" s="79"/>
      <c r="S581" s="79"/>
      <c r="T581" s="79"/>
      <c r="W581" s="130"/>
      <c r="Y581" s="106"/>
    </row>
    <row r="582">
      <c r="C582" s="79"/>
      <c r="D582" s="79"/>
      <c r="J582" s="79"/>
      <c r="O582" s="79"/>
      <c r="P582" s="79"/>
      <c r="S582" s="79"/>
      <c r="T582" s="79"/>
      <c r="W582" s="130"/>
      <c r="Y582" s="106"/>
    </row>
    <row r="583">
      <c r="C583" s="79"/>
      <c r="D583" s="79"/>
      <c r="J583" s="79"/>
      <c r="O583" s="79"/>
      <c r="P583" s="79"/>
      <c r="S583" s="79"/>
      <c r="T583" s="79"/>
      <c r="W583" s="130"/>
      <c r="Y583" s="106"/>
    </row>
    <row r="584">
      <c r="C584" s="79"/>
      <c r="D584" s="79"/>
      <c r="J584" s="79"/>
      <c r="O584" s="79"/>
      <c r="P584" s="79"/>
      <c r="S584" s="79"/>
      <c r="T584" s="79"/>
      <c r="W584" s="130"/>
      <c r="Y584" s="106"/>
    </row>
    <row r="585">
      <c r="C585" s="79"/>
      <c r="D585" s="79"/>
      <c r="J585" s="79"/>
      <c r="O585" s="79"/>
      <c r="P585" s="79"/>
      <c r="S585" s="79"/>
      <c r="T585" s="79"/>
      <c r="W585" s="130"/>
      <c r="Y585" s="106"/>
    </row>
    <row r="586">
      <c r="C586" s="79"/>
      <c r="D586" s="79"/>
      <c r="J586" s="79"/>
      <c r="O586" s="79"/>
      <c r="P586" s="79"/>
      <c r="S586" s="79"/>
      <c r="T586" s="79"/>
      <c r="W586" s="130"/>
      <c r="Y586" s="106"/>
    </row>
    <row r="587">
      <c r="C587" s="79"/>
      <c r="D587" s="79"/>
      <c r="J587" s="79"/>
      <c r="O587" s="79"/>
      <c r="P587" s="79"/>
      <c r="S587" s="79"/>
      <c r="T587" s="79"/>
      <c r="W587" s="130"/>
      <c r="Y587" s="106"/>
    </row>
    <row r="588">
      <c r="C588" s="79"/>
      <c r="D588" s="79"/>
      <c r="J588" s="79"/>
      <c r="O588" s="79"/>
      <c r="P588" s="79"/>
      <c r="S588" s="79"/>
      <c r="T588" s="79"/>
      <c r="W588" s="130"/>
      <c r="Y588" s="106"/>
    </row>
    <row r="589">
      <c r="C589" s="79"/>
      <c r="D589" s="79"/>
      <c r="J589" s="79"/>
      <c r="O589" s="79"/>
      <c r="P589" s="79"/>
      <c r="S589" s="79"/>
      <c r="T589" s="79"/>
      <c r="W589" s="130"/>
      <c r="Y589" s="106"/>
    </row>
    <row r="590">
      <c r="C590" s="79"/>
      <c r="D590" s="79"/>
      <c r="J590" s="79"/>
      <c r="O590" s="79"/>
      <c r="P590" s="79"/>
      <c r="S590" s="79"/>
      <c r="T590" s="79"/>
      <c r="W590" s="130"/>
      <c r="Y590" s="106"/>
    </row>
    <row r="591">
      <c r="C591" s="79"/>
      <c r="D591" s="79"/>
      <c r="J591" s="79"/>
      <c r="O591" s="79"/>
      <c r="P591" s="79"/>
      <c r="S591" s="79"/>
      <c r="T591" s="79"/>
      <c r="W591" s="130"/>
      <c r="Y591" s="106"/>
    </row>
    <row r="592">
      <c r="C592" s="79"/>
      <c r="D592" s="79"/>
      <c r="J592" s="79"/>
      <c r="O592" s="79"/>
      <c r="P592" s="79"/>
      <c r="S592" s="79"/>
      <c r="T592" s="79"/>
      <c r="W592" s="130"/>
      <c r="Y592" s="106"/>
    </row>
    <row r="593">
      <c r="C593" s="79"/>
      <c r="D593" s="79"/>
      <c r="J593" s="79"/>
      <c r="O593" s="79"/>
      <c r="P593" s="79"/>
      <c r="S593" s="79"/>
      <c r="T593" s="79"/>
      <c r="W593" s="130"/>
      <c r="Y593" s="106"/>
    </row>
    <row r="594">
      <c r="C594" s="79"/>
      <c r="D594" s="79"/>
      <c r="J594" s="79"/>
      <c r="O594" s="79"/>
      <c r="P594" s="79"/>
      <c r="S594" s="79"/>
      <c r="T594" s="79"/>
      <c r="W594" s="130"/>
      <c r="Y594" s="106"/>
    </row>
    <row r="595">
      <c r="C595" s="79"/>
      <c r="D595" s="79"/>
      <c r="J595" s="79"/>
      <c r="O595" s="79"/>
      <c r="P595" s="79"/>
      <c r="S595" s="79"/>
      <c r="T595" s="79"/>
      <c r="W595" s="130"/>
      <c r="Y595" s="106"/>
    </row>
    <row r="596">
      <c r="C596" s="79"/>
      <c r="D596" s="79"/>
      <c r="J596" s="79"/>
      <c r="O596" s="79"/>
      <c r="P596" s="79"/>
      <c r="S596" s="79"/>
      <c r="T596" s="79"/>
      <c r="W596" s="130"/>
      <c r="Y596" s="106"/>
    </row>
    <row r="597">
      <c r="C597" s="79"/>
      <c r="D597" s="79"/>
      <c r="J597" s="79"/>
      <c r="O597" s="79"/>
      <c r="P597" s="79"/>
      <c r="S597" s="79"/>
      <c r="T597" s="79"/>
      <c r="W597" s="130"/>
      <c r="Y597" s="106"/>
    </row>
    <row r="598">
      <c r="C598" s="79"/>
      <c r="D598" s="79"/>
      <c r="J598" s="79"/>
      <c r="O598" s="79"/>
      <c r="P598" s="79"/>
      <c r="S598" s="79"/>
      <c r="T598" s="79"/>
      <c r="W598" s="130"/>
      <c r="Y598" s="106"/>
    </row>
    <row r="599">
      <c r="C599" s="79"/>
      <c r="D599" s="79"/>
      <c r="J599" s="79"/>
      <c r="O599" s="79"/>
      <c r="P599" s="79"/>
      <c r="S599" s="79"/>
      <c r="T599" s="79"/>
      <c r="W599" s="130"/>
      <c r="Y599" s="106"/>
    </row>
    <row r="600">
      <c r="C600" s="79"/>
      <c r="D600" s="79"/>
      <c r="J600" s="79"/>
      <c r="O600" s="79"/>
      <c r="P600" s="79"/>
      <c r="S600" s="79"/>
      <c r="T600" s="79"/>
      <c r="W600" s="130"/>
      <c r="Y600" s="106"/>
    </row>
    <row r="601">
      <c r="C601" s="79"/>
      <c r="D601" s="79"/>
      <c r="J601" s="79"/>
      <c r="O601" s="79"/>
      <c r="P601" s="79"/>
      <c r="S601" s="79"/>
      <c r="T601" s="79"/>
      <c r="W601" s="130"/>
      <c r="Y601" s="106"/>
    </row>
    <row r="602">
      <c r="C602" s="79"/>
      <c r="D602" s="79"/>
      <c r="J602" s="79"/>
      <c r="O602" s="79"/>
      <c r="P602" s="79"/>
      <c r="S602" s="79"/>
      <c r="T602" s="79"/>
      <c r="W602" s="130"/>
      <c r="Y602" s="106"/>
    </row>
    <row r="603">
      <c r="C603" s="79"/>
      <c r="D603" s="79"/>
      <c r="J603" s="79"/>
      <c r="O603" s="79"/>
      <c r="P603" s="79"/>
      <c r="S603" s="79"/>
      <c r="T603" s="79"/>
      <c r="W603" s="130"/>
      <c r="Y603" s="106"/>
    </row>
    <row r="604">
      <c r="C604" s="79"/>
      <c r="D604" s="79"/>
      <c r="J604" s="79"/>
      <c r="O604" s="79"/>
      <c r="P604" s="79"/>
      <c r="S604" s="79"/>
      <c r="T604" s="79"/>
      <c r="W604" s="130"/>
      <c r="Y604" s="106"/>
    </row>
    <row r="605">
      <c r="C605" s="79"/>
      <c r="D605" s="79"/>
      <c r="J605" s="79"/>
      <c r="O605" s="79"/>
      <c r="P605" s="79"/>
      <c r="S605" s="79"/>
      <c r="T605" s="79"/>
      <c r="W605" s="130"/>
      <c r="Y605" s="106"/>
    </row>
    <row r="606">
      <c r="C606" s="79"/>
      <c r="D606" s="79"/>
      <c r="J606" s="79"/>
      <c r="O606" s="79"/>
      <c r="P606" s="79"/>
      <c r="S606" s="79"/>
      <c r="T606" s="79"/>
      <c r="W606" s="130"/>
      <c r="Y606" s="106"/>
    </row>
    <row r="607">
      <c r="C607" s="79"/>
      <c r="D607" s="79"/>
      <c r="J607" s="79"/>
      <c r="O607" s="79"/>
      <c r="P607" s="79"/>
      <c r="S607" s="79"/>
      <c r="T607" s="79"/>
      <c r="W607" s="130"/>
      <c r="Y607" s="106"/>
    </row>
    <row r="608">
      <c r="C608" s="79"/>
      <c r="D608" s="79"/>
      <c r="J608" s="79"/>
      <c r="O608" s="79"/>
      <c r="P608" s="79"/>
      <c r="S608" s="79"/>
      <c r="T608" s="79"/>
      <c r="W608" s="130"/>
      <c r="Y608" s="106"/>
    </row>
    <row r="609">
      <c r="C609" s="79"/>
      <c r="D609" s="79"/>
      <c r="J609" s="79"/>
      <c r="O609" s="79"/>
      <c r="P609" s="79"/>
      <c r="S609" s="79"/>
      <c r="T609" s="79"/>
      <c r="W609" s="130"/>
      <c r="Y609" s="106"/>
    </row>
    <row r="610">
      <c r="C610" s="79"/>
      <c r="D610" s="79"/>
      <c r="J610" s="79"/>
      <c r="O610" s="79"/>
      <c r="P610" s="79"/>
      <c r="S610" s="79"/>
      <c r="T610" s="79"/>
      <c r="W610" s="130"/>
      <c r="Y610" s="106"/>
    </row>
    <row r="611">
      <c r="C611" s="79"/>
      <c r="D611" s="79"/>
      <c r="J611" s="79"/>
      <c r="O611" s="79"/>
      <c r="P611" s="79"/>
      <c r="S611" s="79"/>
      <c r="T611" s="79"/>
      <c r="W611" s="130"/>
      <c r="Y611" s="106"/>
    </row>
    <row r="612">
      <c r="C612" s="79"/>
      <c r="D612" s="79"/>
      <c r="J612" s="79"/>
      <c r="O612" s="79"/>
      <c r="P612" s="79"/>
      <c r="S612" s="79"/>
      <c r="T612" s="79"/>
      <c r="W612" s="130"/>
      <c r="Y612" s="106"/>
    </row>
    <row r="613">
      <c r="C613" s="79"/>
      <c r="D613" s="79"/>
      <c r="J613" s="79"/>
      <c r="O613" s="79"/>
      <c r="P613" s="79"/>
      <c r="S613" s="79"/>
      <c r="T613" s="79"/>
      <c r="W613" s="130"/>
      <c r="Y613" s="106"/>
    </row>
    <row r="614">
      <c r="C614" s="79"/>
      <c r="D614" s="79"/>
      <c r="J614" s="79"/>
      <c r="O614" s="79"/>
      <c r="P614" s="79"/>
      <c r="S614" s="79"/>
      <c r="T614" s="79"/>
      <c r="W614" s="130"/>
      <c r="Y614" s="106"/>
    </row>
    <row r="615">
      <c r="C615" s="79"/>
      <c r="D615" s="79"/>
      <c r="J615" s="79"/>
      <c r="O615" s="79"/>
      <c r="P615" s="79"/>
      <c r="S615" s="79"/>
      <c r="T615" s="79"/>
      <c r="W615" s="130"/>
      <c r="Y615" s="106"/>
    </row>
    <row r="616">
      <c r="C616" s="79"/>
      <c r="D616" s="79"/>
      <c r="J616" s="79"/>
      <c r="O616" s="79"/>
      <c r="P616" s="79"/>
      <c r="S616" s="79"/>
      <c r="T616" s="79"/>
      <c r="W616" s="130"/>
      <c r="Y616" s="106"/>
    </row>
    <row r="617">
      <c r="C617" s="79"/>
      <c r="D617" s="79"/>
      <c r="J617" s="79"/>
      <c r="O617" s="79"/>
      <c r="P617" s="79"/>
      <c r="S617" s="79"/>
      <c r="T617" s="79"/>
      <c r="W617" s="130"/>
      <c r="Y617" s="106"/>
    </row>
    <row r="618">
      <c r="C618" s="79"/>
      <c r="D618" s="79"/>
      <c r="J618" s="79"/>
      <c r="O618" s="79"/>
      <c r="P618" s="79"/>
      <c r="S618" s="79"/>
      <c r="T618" s="79"/>
      <c r="W618" s="130"/>
      <c r="Y618" s="106"/>
    </row>
    <row r="619">
      <c r="C619" s="79"/>
      <c r="D619" s="79"/>
      <c r="J619" s="79"/>
      <c r="O619" s="79"/>
      <c r="P619" s="79"/>
      <c r="S619" s="79"/>
      <c r="T619" s="79"/>
      <c r="W619" s="130"/>
      <c r="Y619" s="106"/>
    </row>
    <row r="620">
      <c r="C620" s="79"/>
      <c r="D620" s="79"/>
      <c r="J620" s="79"/>
      <c r="O620" s="79"/>
      <c r="P620" s="79"/>
      <c r="S620" s="79"/>
      <c r="T620" s="79"/>
      <c r="W620" s="130"/>
      <c r="Y620" s="106"/>
    </row>
    <row r="621">
      <c r="C621" s="79"/>
      <c r="D621" s="79"/>
      <c r="J621" s="79"/>
      <c r="O621" s="79"/>
      <c r="P621" s="79"/>
      <c r="S621" s="79"/>
      <c r="T621" s="79"/>
      <c r="W621" s="130"/>
      <c r="Y621" s="106"/>
    </row>
    <row r="622">
      <c r="C622" s="79"/>
      <c r="D622" s="79"/>
      <c r="J622" s="79"/>
      <c r="O622" s="79"/>
      <c r="P622" s="79"/>
      <c r="S622" s="79"/>
      <c r="T622" s="79"/>
      <c r="W622" s="130"/>
      <c r="Y622" s="106"/>
    </row>
    <row r="623">
      <c r="C623" s="79"/>
      <c r="D623" s="79"/>
      <c r="J623" s="79"/>
      <c r="O623" s="79"/>
      <c r="P623" s="79"/>
      <c r="S623" s="79"/>
      <c r="T623" s="79"/>
      <c r="W623" s="130"/>
      <c r="Y623" s="106"/>
    </row>
    <row r="624">
      <c r="C624" s="79"/>
      <c r="D624" s="79"/>
      <c r="J624" s="79"/>
      <c r="O624" s="79"/>
      <c r="P624" s="79"/>
      <c r="S624" s="79"/>
      <c r="T624" s="79"/>
      <c r="W624" s="130"/>
      <c r="Y624" s="106"/>
    </row>
    <row r="625">
      <c r="C625" s="79"/>
      <c r="D625" s="79"/>
      <c r="J625" s="79"/>
      <c r="O625" s="79"/>
      <c r="P625" s="79"/>
      <c r="S625" s="79"/>
      <c r="T625" s="79"/>
      <c r="W625" s="130"/>
      <c r="Y625" s="106"/>
    </row>
    <row r="626">
      <c r="C626" s="79"/>
      <c r="D626" s="79"/>
      <c r="J626" s="79"/>
      <c r="O626" s="79"/>
      <c r="P626" s="79"/>
      <c r="S626" s="79"/>
      <c r="T626" s="79"/>
      <c r="W626" s="130"/>
      <c r="Y626" s="106"/>
    </row>
    <row r="627">
      <c r="C627" s="79"/>
      <c r="D627" s="79"/>
      <c r="J627" s="79"/>
      <c r="O627" s="79"/>
      <c r="P627" s="79"/>
      <c r="S627" s="79"/>
      <c r="T627" s="79"/>
      <c r="W627" s="130"/>
      <c r="Y627" s="106"/>
    </row>
    <row r="628">
      <c r="C628" s="79"/>
      <c r="D628" s="79"/>
      <c r="J628" s="79"/>
      <c r="O628" s="79"/>
      <c r="P628" s="79"/>
      <c r="S628" s="79"/>
      <c r="T628" s="79"/>
      <c r="W628" s="130"/>
      <c r="Y628" s="106"/>
    </row>
    <row r="629">
      <c r="C629" s="79"/>
      <c r="D629" s="79"/>
      <c r="J629" s="79"/>
      <c r="O629" s="79"/>
      <c r="P629" s="79"/>
      <c r="S629" s="79"/>
      <c r="T629" s="79"/>
      <c r="W629" s="130"/>
      <c r="Y629" s="106"/>
    </row>
    <row r="630">
      <c r="C630" s="79"/>
      <c r="D630" s="79"/>
      <c r="J630" s="79"/>
      <c r="O630" s="79"/>
      <c r="P630" s="79"/>
      <c r="S630" s="79"/>
      <c r="T630" s="79"/>
      <c r="W630" s="130"/>
      <c r="Y630" s="106"/>
    </row>
    <row r="631">
      <c r="C631" s="79"/>
      <c r="D631" s="79"/>
      <c r="J631" s="79"/>
      <c r="O631" s="79"/>
      <c r="P631" s="79"/>
      <c r="S631" s="79"/>
      <c r="T631" s="79"/>
      <c r="W631" s="130"/>
      <c r="Y631" s="106"/>
    </row>
    <row r="632">
      <c r="C632" s="79"/>
      <c r="D632" s="79"/>
      <c r="J632" s="79"/>
      <c r="O632" s="79"/>
      <c r="P632" s="79"/>
      <c r="S632" s="79"/>
      <c r="T632" s="79"/>
      <c r="W632" s="130"/>
      <c r="Y632" s="106"/>
    </row>
    <row r="633">
      <c r="C633" s="79"/>
      <c r="D633" s="79"/>
      <c r="J633" s="79"/>
      <c r="O633" s="79"/>
      <c r="P633" s="79"/>
      <c r="S633" s="79"/>
      <c r="T633" s="79"/>
      <c r="W633" s="130"/>
      <c r="Y633" s="106"/>
    </row>
    <row r="634">
      <c r="C634" s="79"/>
      <c r="D634" s="79"/>
      <c r="J634" s="79"/>
      <c r="O634" s="79"/>
      <c r="P634" s="79"/>
      <c r="S634" s="79"/>
      <c r="T634" s="79"/>
      <c r="W634" s="130"/>
      <c r="Y634" s="106"/>
    </row>
    <row r="635">
      <c r="C635" s="79"/>
      <c r="D635" s="79"/>
      <c r="J635" s="79"/>
      <c r="O635" s="79"/>
      <c r="P635" s="79"/>
      <c r="S635" s="79"/>
      <c r="T635" s="79"/>
      <c r="W635" s="130"/>
      <c r="Y635" s="106"/>
    </row>
    <row r="636">
      <c r="C636" s="79"/>
      <c r="D636" s="79"/>
      <c r="J636" s="79"/>
      <c r="O636" s="79"/>
      <c r="P636" s="79"/>
      <c r="S636" s="79"/>
      <c r="T636" s="79"/>
      <c r="W636" s="130"/>
      <c r="Y636" s="106"/>
    </row>
    <row r="637">
      <c r="C637" s="79"/>
      <c r="D637" s="79"/>
      <c r="J637" s="79"/>
      <c r="O637" s="79"/>
      <c r="P637" s="79"/>
      <c r="S637" s="79"/>
      <c r="T637" s="79"/>
      <c r="W637" s="130"/>
      <c r="Y637" s="106"/>
    </row>
    <row r="638">
      <c r="C638" s="79"/>
      <c r="D638" s="79"/>
      <c r="J638" s="79"/>
      <c r="O638" s="79"/>
      <c r="P638" s="79"/>
      <c r="S638" s="79"/>
      <c r="T638" s="79"/>
      <c r="W638" s="130"/>
      <c r="Y638" s="106"/>
    </row>
    <row r="639">
      <c r="C639" s="79"/>
      <c r="D639" s="79"/>
      <c r="J639" s="79"/>
      <c r="O639" s="79"/>
      <c r="P639" s="79"/>
      <c r="S639" s="79"/>
      <c r="T639" s="79"/>
      <c r="W639" s="130"/>
      <c r="Y639" s="106"/>
    </row>
    <row r="640">
      <c r="C640" s="79"/>
      <c r="D640" s="79"/>
      <c r="J640" s="79"/>
      <c r="O640" s="79"/>
      <c r="P640" s="79"/>
      <c r="S640" s="79"/>
      <c r="T640" s="79"/>
      <c r="W640" s="130"/>
      <c r="Y640" s="106"/>
    </row>
    <row r="641">
      <c r="C641" s="79"/>
      <c r="D641" s="79"/>
      <c r="J641" s="79"/>
      <c r="O641" s="79"/>
      <c r="P641" s="79"/>
      <c r="S641" s="79"/>
      <c r="T641" s="79"/>
      <c r="W641" s="130"/>
      <c r="Y641" s="106"/>
    </row>
    <row r="642">
      <c r="C642" s="79"/>
      <c r="D642" s="79"/>
      <c r="J642" s="79"/>
      <c r="O642" s="79"/>
      <c r="P642" s="79"/>
      <c r="S642" s="79"/>
      <c r="T642" s="79"/>
      <c r="W642" s="130"/>
      <c r="Y642" s="106"/>
    </row>
    <row r="643">
      <c r="C643" s="79"/>
      <c r="D643" s="79"/>
      <c r="J643" s="79"/>
      <c r="O643" s="79"/>
      <c r="P643" s="79"/>
      <c r="S643" s="79"/>
      <c r="T643" s="79"/>
      <c r="W643" s="130"/>
      <c r="Y643" s="106"/>
    </row>
    <row r="644">
      <c r="C644" s="79"/>
      <c r="D644" s="79"/>
      <c r="J644" s="79"/>
      <c r="O644" s="79"/>
      <c r="P644" s="79"/>
      <c r="S644" s="79"/>
      <c r="T644" s="79"/>
      <c r="W644" s="130"/>
      <c r="Y644" s="106"/>
    </row>
    <row r="645">
      <c r="C645" s="79"/>
      <c r="D645" s="79"/>
      <c r="J645" s="79"/>
      <c r="O645" s="79"/>
      <c r="P645" s="79"/>
      <c r="S645" s="79"/>
      <c r="T645" s="79"/>
      <c r="W645" s="130"/>
      <c r="Y645" s="106"/>
    </row>
    <row r="646">
      <c r="C646" s="79"/>
      <c r="D646" s="79"/>
      <c r="J646" s="79"/>
      <c r="O646" s="79"/>
      <c r="P646" s="79"/>
      <c r="S646" s="79"/>
      <c r="T646" s="79"/>
      <c r="W646" s="130"/>
      <c r="Y646" s="106"/>
    </row>
    <row r="647">
      <c r="C647" s="79"/>
      <c r="D647" s="79"/>
      <c r="J647" s="79"/>
      <c r="O647" s="79"/>
      <c r="P647" s="79"/>
      <c r="S647" s="79"/>
      <c r="T647" s="79"/>
      <c r="W647" s="130"/>
      <c r="Y647" s="106"/>
    </row>
    <row r="648">
      <c r="C648" s="79"/>
      <c r="D648" s="79"/>
      <c r="J648" s="79"/>
      <c r="O648" s="79"/>
      <c r="P648" s="79"/>
      <c r="S648" s="79"/>
      <c r="T648" s="79"/>
      <c r="W648" s="130"/>
      <c r="Y648" s="106"/>
    </row>
    <row r="649">
      <c r="C649" s="79"/>
      <c r="D649" s="79"/>
      <c r="J649" s="79"/>
      <c r="O649" s="79"/>
      <c r="P649" s="79"/>
      <c r="S649" s="79"/>
      <c r="T649" s="79"/>
      <c r="W649" s="130"/>
      <c r="Y649" s="106"/>
    </row>
    <row r="650">
      <c r="C650" s="79"/>
      <c r="D650" s="79"/>
      <c r="J650" s="79"/>
      <c r="O650" s="79"/>
      <c r="P650" s="79"/>
      <c r="S650" s="79"/>
      <c r="T650" s="79"/>
      <c r="W650" s="130"/>
      <c r="Y650" s="106"/>
    </row>
    <row r="651">
      <c r="C651" s="79"/>
      <c r="D651" s="79"/>
      <c r="J651" s="79"/>
      <c r="O651" s="79"/>
      <c r="P651" s="79"/>
      <c r="S651" s="79"/>
      <c r="T651" s="79"/>
      <c r="W651" s="130"/>
      <c r="Y651" s="106"/>
    </row>
    <row r="652">
      <c r="C652" s="79"/>
      <c r="D652" s="79"/>
      <c r="J652" s="79"/>
      <c r="O652" s="79"/>
      <c r="P652" s="79"/>
      <c r="S652" s="79"/>
      <c r="T652" s="79"/>
      <c r="W652" s="130"/>
      <c r="Y652" s="106"/>
    </row>
    <row r="653">
      <c r="C653" s="79"/>
      <c r="D653" s="79"/>
      <c r="J653" s="79"/>
      <c r="O653" s="79"/>
      <c r="P653" s="79"/>
      <c r="S653" s="79"/>
      <c r="T653" s="79"/>
      <c r="W653" s="130"/>
      <c r="Y653" s="106"/>
    </row>
    <row r="654">
      <c r="C654" s="79"/>
      <c r="D654" s="79"/>
      <c r="J654" s="79"/>
      <c r="O654" s="79"/>
      <c r="P654" s="79"/>
      <c r="S654" s="79"/>
      <c r="T654" s="79"/>
      <c r="W654" s="130"/>
      <c r="Y654" s="106"/>
    </row>
    <row r="655">
      <c r="C655" s="79"/>
      <c r="D655" s="79"/>
      <c r="J655" s="79"/>
      <c r="O655" s="79"/>
      <c r="P655" s="79"/>
      <c r="S655" s="79"/>
      <c r="T655" s="79"/>
      <c r="W655" s="130"/>
      <c r="Y655" s="106"/>
    </row>
    <row r="656">
      <c r="C656" s="79"/>
      <c r="D656" s="79"/>
      <c r="J656" s="79"/>
      <c r="O656" s="79"/>
      <c r="P656" s="79"/>
      <c r="S656" s="79"/>
      <c r="T656" s="79"/>
      <c r="W656" s="130"/>
      <c r="Y656" s="106"/>
    </row>
    <row r="657">
      <c r="C657" s="79"/>
      <c r="D657" s="79"/>
      <c r="J657" s="79"/>
      <c r="O657" s="79"/>
      <c r="P657" s="79"/>
      <c r="S657" s="79"/>
      <c r="T657" s="79"/>
      <c r="W657" s="130"/>
      <c r="Y657" s="106"/>
    </row>
    <row r="658">
      <c r="C658" s="79"/>
      <c r="D658" s="79"/>
      <c r="J658" s="79"/>
      <c r="O658" s="79"/>
      <c r="P658" s="79"/>
      <c r="S658" s="79"/>
      <c r="T658" s="79"/>
      <c r="W658" s="130"/>
      <c r="Y658" s="106"/>
    </row>
    <row r="659">
      <c r="C659" s="79"/>
      <c r="D659" s="79"/>
      <c r="J659" s="79"/>
      <c r="O659" s="79"/>
      <c r="P659" s="79"/>
      <c r="S659" s="79"/>
      <c r="T659" s="79"/>
      <c r="W659" s="130"/>
      <c r="Y659" s="106"/>
    </row>
    <row r="660">
      <c r="C660" s="79"/>
      <c r="D660" s="79"/>
      <c r="J660" s="79"/>
      <c r="O660" s="79"/>
      <c r="P660" s="79"/>
      <c r="S660" s="79"/>
      <c r="T660" s="79"/>
      <c r="W660" s="130"/>
      <c r="Y660" s="106"/>
    </row>
    <row r="661">
      <c r="C661" s="79"/>
      <c r="D661" s="79"/>
      <c r="J661" s="79"/>
      <c r="O661" s="79"/>
      <c r="P661" s="79"/>
      <c r="S661" s="79"/>
      <c r="T661" s="79"/>
      <c r="W661" s="130"/>
      <c r="Y661" s="106"/>
    </row>
    <row r="662">
      <c r="C662" s="79"/>
      <c r="D662" s="79"/>
      <c r="J662" s="79"/>
      <c r="O662" s="79"/>
      <c r="P662" s="79"/>
      <c r="S662" s="79"/>
      <c r="T662" s="79"/>
      <c r="W662" s="130"/>
      <c r="Y662" s="106"/>
    </row>
    <row r="663">
      <c r="C663" s="79"/>
      <c r="D663" s="79"/>
      <c r="J663" s="79"/>
      <c r="O663" s="79"/>
      <c r="P663" s="79"/>
      <c r="S663" s="79"/>
      <c r="T663" s="79"/>
      <c r="W663" s="130"/>
      <c r="Y663" s="106"/>
    </row>
    <row r="664">
      <c r="C664" s="79"/>
      <c r="D664" s="79"/>
      <c r="J664" s="79"/>
      <c r="O664" s="79"/>
      <c r="P664" s="79"/>
      <c r="S664" s="79"/>
      <c r="T664" s="79"/>
      <c r="W664" s="130"/>
      <c r="Y664" s="106"/>
    </row>
    <row r="665">
      <c r="C665" s="79"/>
      <c r="D665" s="79"/>
      <c r="J665" s="79"/>
      <c r="O665" s="79"/>
      <c r="P665" s="79"/>
      <c r="S665" s="79"/>
      <c r="T665" s="79"/>
      <c r="W665" s="130"/>
      <c r="Y665" s="106"/>
    </row>
    <row r="666">
      <c r="C666" s="79"/>
      <c r="D666" s="79"/>
      <c r="J666" s="79"/>
      <c r="O666" s="79"/>
      <c r="P666" s="79"/>
      <c r="S666" s="79"/>
      <c r="T666" s="79"/>
      <c r="W666" s="130"/>
      <c r="Y666" s="106"/>
    </row>
    <row r="667">
      <c r="C667" s="79"/>
      <c r="D667" s="79"/>
      <c r="J667" s="79"/>
      <c r="O667" s="79"/>
      <c r="P667" s="79"/>
      <c r="S667" s="79"/>
      <c r="T667" s="79"/>
      <c r="W667" s="130"/>
      <c r="Y667" s="106"/>
    </row>
    <row r="668">
      <c r="C668" s="79"/>
      <c r="D668" s="79"/>
      <c r="J668" s="79"/>
      <c r="O668" s="79"/>
      <c r="P668" s="79"/>
      <c r="S668" s="79"/>
      <c r="T668" s="79"/>
      <c r="W668" s="130"/>
      <c r="Y668" s="106"/>
    </row>
    <row r="669">
      <c r="C669" s="79"/>
      <c r="D669" s="79"/>
      <c r="J669" s="79"/>
      <c r="O669" s="79"/>
      <c r="P669" s="79"/>
      <c r="S669" s="79"/>
      <c r="T669" s="79"/>
      <c r="W669" s="130"/>
      <c r="Y669" s="106"/>
    </row>
    <row r="670">
      <c r="C670" s="79"/>
      <c r="D670" s="79"/>
      <c r="J670" s="79"/>
      <c r="O670" s="79"/>
      <c r="P670" s="79"/>
      <c r="S670" s="79"/>
      <c r="T670" s="79"/>
      <c r="W670" s="130"/>
      <c r="Y670" s="106"/>
    </row>
    <row r="671">
      <c r="C671" s="79"/>
      <c r="D671" s="79"/>
      <c r="J671" s="79"/>
      <c r="O671" s="79"/>
      <c r="P671" s="79"/>
      <c r="S671" s="79"/>
      <c r="T671" s="79"/>
      <c r="W671" s="130"/>
      <c r="Y671" s="106"/>
    </row>
    <row r="672">
      <c r="C672" s="79"/>
      <c r="D672" s="79"/>
      <c r="J672" s="79"/>
      <c r="O672" s="79"/>
      <c r="P672" s="79"/>
      <c r="S672" s="79"/>
      <c r="T672" s="79"/>
      <c r="W672" s="130"/>
      <c r="Y672" s="106"/>
    </row>
    <row r="673">
      <c r="C673" s="79"/>
      <c r="D673" s="79"/>
      <c r="J673" s="79"/>
      <c r="O673" s="79"/>
      <c r="P673" s="79"/>
      <c r="S673" s="79"/>
      <c r="T673" s="79"/>
      <c r="W673" s="130"/>
      <c r="Y673" s="106"/>
    </row>
    <row r="674">
      <c r="C674" s="79"/>
      <c r="D674" s="79"/>
      <c r="J674" s="79"/>
      <c r="O674" s="79"/>
      <c r="P674" s="79"/>
      <c r="S674" s="79"/>
      <c r="T674" s="79"/>
      <c r="W674" s="130"/>
      <c r="Y674" s="106"/>
    </row>
    <row r="675">
      <c r="C675" s="79"/>
      <c r="D675" s="79"/>
      <c r="J675" s="79"/>
      <c r="O675" s="79"/>
      <c r="P675" s="79"/>
      <c r="S675" s="79"/>
      <c r="T675" s="79"/>
      <c r="W675" s="130"/>
      <c r="Y675" s="106"/>
    </row>
    <row r="676">
      <c r="C676" s="79"/>
      <c r="D676" s="79"/>
      <c r="J676" s="79"/>
      <c r="O676" s="79"/>
      <c r="P676" s="79"/>
      <c r="S676" s="79"/>
      <c r="T676" s="79"/>
      <c r="W676" s="130"/>
      <c r="Y676" s="106"/>
    </row>
    <row r="677">
      <c r="C677" s="79"/>
      <c r="D677" s="79"/>
      <c r="J677" s="79"/>
      <c r="O677" s="79"/>
      <c r="P677" s="79"/>
      <c r="S677" s="79"/>
      <c r="T677" s="79"/>
      <c r="W677" s="130"/>
      <c r="Y677" s="106"/>
    </row>
    <row r="678">
      <c r="C678" s="79"/>
      <c r="D678" s="79"/>
      <c r="J678" s="79"/>
      <c r="O678" s="79"/>
      <c r="P678" s="79"/>
      <c r="S678" s="79"/>
      <c r="T678" s="79"/>
      <c r="W678" s="130"/>
      <c r="Y678" s="106"/>
    </row>
    <row r="679">
      <c r="C679" s="79"/>
      <c r="D679" s="79"/>
      <c r="J679" s="79"/>
      <c r="O679" s="79"/>
      <c r="P679" s="79"/>
      <c r="S679" s="79"/>
      <c r="T679" s="79"/>
      <c r="W679" s="130"/>
      <c r="Y679" s="106"/>
    </row>
    <row r="680">
      <c r="C680" s="79"/>
      <c r="D680" s="79"/>
      <c r="J680" s="79"/>
      <c r="O680" s="79"/>
      <c r="P680" s="79"/>
      <c r="S680" s="79"/>
      <c r="T680" s="79"/>
      <c r="W680" s="130"/>
      <c r="Y680" s="106"/>
    </row>
    <row r="681">
      <c r="C681" s="79"/>
      <c r="D681" s="79"/>
      <c r="J681" s="79"/>
      <c r="O681" s="79"/>
      <c r="P681" s="79"/>
      <c r="S681" s="79"/>
      <c r="T681" s="79"/>
      <c r="W681" s="130"/>
      <c r="Y681" s="106"/>
    </row>
    <row r="682">
      <c r="C682" s="79"/>
      <c r="D682" s="79"/>
      <c r="J682" s="79"/>
      <c r="O682" s="79"/>
      <c r="P682" s="79"/>
      <c r="S682" s="79"/>
      <c r="T682" s="79"/>
      <c r="W682" s="130"/>
      <c r="Y682" s="106"/>
    </row>
    <row r="683">
      <c r="C683" s="79"/>
      <c r="D683" s="79"/>
      <c r="J683" s="79"/>
      <c r="O683" s="79"/>
      <c r="P683" s="79"/>
      <c r="S683" s="79"/>
      <c r="T683" s="79"/>
      <c r="W683" s="130"/>
      <c r="Y683" s="106"/>
    </row>
    <row r="684">
      <c r="C684" s="79"/>
      <c r="D684" s="79"/>
      <c r="J684" s="79"/>
      <c r="O684" s="79"/>
      <c r="P684" s="79"/>
      <c r="S684" s="79"/>
      <c r="T684" s="79"/>
      <c r="W684" s="130"/>
      <c r="Y684" s="106"/>
    </row>
    <row r="685">
      <c r="C685" s="79"/>
      <c r="D685" s="79"/>
      <c r="J685" s="79"/>
      <c r="O685" s="79"/>
      <c r="P685" s="79"/>
      <c r="S685" s="79"/>
      <c r="T685" s="79"/>
      <c r="W685" s="130"/>
      <c r="Y685" s="106"/>
    </row>
    <row r="686">
      <c r="C686" s="79"/>
      <c r="D686" s="79"/>
      <c r="J686" s="79"/>
      <c r="O686" s="79"/>
      <c r="P686" s="79"/>
      <c r="S686" s="79"/>
      <c r="T686" s="79"/>
      <c r="W686" s="130"/>
      <c r="Y686" s="106"/>
    </row>
    <row r="687">
      <c r="C687" s="79"/>
      <c r="D687" s="79"/>
      <c r="J687" s="79"/>
      <c r="O687" s="79"/>
      <c r="P687" s="79"/>
      <c r="S687" s="79"/>
      <c r="T687" s="79"/>
      <c r="W687" s="130"/>
      <c r="Y687" s="106"/>
    </row>
    <row r="688">
      <c r="C688" s="79"/>
      <c r="D688" s="79"/>
      <c r="J688" s="79"/>
      <c r="O688" s="79"/>
      <c r="P688" s="79"/>
      <c r="S688" s="79"/>
      <c r="T688" s="79"/>
      <c r="W688" s="130"/>
      <c r="Y688" s="106"/>
    </row>
    <row r="689">
      <c r="C689" s="79"/>
      <c r="D689" s="79"/>
      <c r="J689" s="79"/>
      <c r="O689" s="79"/>
      <c r="P689" s="79"/>
      <c r="S689" s="79"/>
      <c r="T689" s="79"/>
      <c r="W689" s="130"/>
      <c r="Y689" s="106"/>
    </row>
    <row r="690">
      <c r="C690" s="79"/>
      <c r="D690" s="79"/>
      <c r="J690" s="79"/>
      <c r="O690" s="79"/>
      <c r="P690" s="79"/>
      <c r="S690" s="79"/>
      <c r="T690" s="79"/>
      <c r="W690" s="130"/>
      <c r="Y690" s="106"/>
    </row>
    <row r="691">
      <c r="C691" s="79"/>
      <c r="D691" s="79"/>
      <c r="J691" s="79"/>
      <c r="O691" s="79"/>
      <c r="P691" s="79"/>
      <c r="S691" s="79"/>
      <c r="T691" s="79"/>
      <c r="W691" s="130"/>
      <c r="Y691" s="106"/>
    </row>
    <row r="692">
      <c r="C692" s="79"/>
      <c r="D692" s="79"/>
      <c r="J692" s="79"/>
      <c r="O692" s="79"/>
      <c r="P692" s="79"/>
      <c r="S692" s="79"/>
      <c r="T692" s="79"/>
      <c r="W692" s="130"/>
      <c r="Y692" s="106"/>
    </row>
    <row r="693">
      <c r="C693" s="79"/>
      <c r="D693" s="79"/>
      <c r="J693" s="79"/>
      <c r="O693" s="79"/>
      <c r="P693" s="79"/>
      <c r="S693" s="79"/>
      <c r="T693" s="79"/>
      <c r="W693" s="130"/>
      <c r="Y693" s="106"/>
    </row>
    <row r="694">
      <c r="C694" s="79"/>
      <c r="D694" s="79"/>
      <c r="J694" s="79"/>
      <c r="O694" s="79"/>
      <c r="P694" s="79"/>
      <c r="S694" s="79"/>
      <c r="T694" s="79"/>
      <c r="W694" s="130"/>
      <c r="Y694" s="106"/>
    </row>
    <row r="695">
      <c r="C695" s="79"/>
      <c r="D695" s="79"/>
      <c r="J695" s="79"/>
      <c r="O695" s="79"/>
      <c r="P695" s="79"/>
      <c r="S695" s="79"/>
      <c r="T695" s="79"/>
      <c r="W695" s="130"/>
      <c r="Y695" s="106"/>
    </row>
    <row r="696">
      <c r="C696" s="79"/>
      <c r="D696" s="79"/>
      <c r="J696" s="79"/>
      <c r="O696" s="79"/>
      <c r="P696" s="79"/>
      <c r="S696" s="79"/>
      <c r="T696" s="79"/>
      <c r="W696" s="130"/>
      <c r="Y696" s="106"/>
    </row>
    <row r="697">
      <c r="C697" s="79"/>
      <c r="D697" s="79"/>
      <c r="J697" s="79"/>
      <c r="O697" s="79"/>
      <c r="P697" s="79"/>
      <c r="S697" s="79"/>
      <c r="T697" s="79"/>
      <c r="W697" s="130"/>
      <c r="Y697" s="106"/>
    </row>
    <row r="698">
      <c r="C698" s="79"/>
      <c r="D698" s="79"/>
      <c r="J698" s="79"/>
      <c r="O698" s="79"/>
      <c r="P698" s="79"/>
      <c r="S698" s="79"/>
      <c r="T698" s="79"/>
      <c r="W698" s="130"/>
      <c r="Y698" s="106"/>
    </row>
    <row r="699">
      <c r="C699" s="79"/>
      <c r="D699" s="79"/>
      <c r="J699" s="79"/>
      <c r="O699" s="79"/>
      <c r="P699" s="79"/>
      <c r="S699" s="79"/>
      <c r="T699" s="79"/>
      <c r="W699" s="130"/>
      <c r="Y699" s="106"/>
    </row>
    <row r="700">
      <c r="C700" s="79"/>
      <c r="D700" s="79"/>
      <c r="J700" s="79"/>
      <c r="O700" s="79"/>
      <c r="P700" s="79"/>
      <c r="S700" s="79"/>
      <c r="T700" s="79"/>
      <c r="W700" s="130"/>
      <c r="Y700" s="106"/>
    </row>
    <row r="701">
      <c r="C701" s="79"/>
      <c r="D701" s="79"/>
      <c r="J701" s="79"/>
      <c r="O701" s="79"/>
      <c r="P701" s="79"/>
      <c r="S701" s="79"/>
      <c r="T701" s="79"/>
      <c r="W701" s="130"/>
      <c r="Y701" s="106"/>
    </row>
    <row r="702">
      <c r="C702" s="79"/>
      <c r="D702" s="79"/>
      <c r="J702" s="79"/>
      <c r="O702" s="79"/>
      <c r="P702" s="79"/>
      <c r="S702" s="79"/>
      <c r="T702" s="79"/>
      <c r="W702" s="130"/>
      <c r="Y702" s="106"/>
    </row>
    <row r="703">
      <c r="C703" s="79"/>
      <c r="D703" s="79"/>
      <c r="J703" s="79"/>
      <c r="O703" s="79"/>
      <c r="P703" s="79"/>
      <c r="S703" s="79"/>
      <c r="T703" s="79"/>
      <c r="W703" s="130"/>
      <c r="Y703" s="106"/>
    </row>
    <row r="704">
      <c r="C704" s="79"/>
      <c r="D704" s="79"/>
      <c r="J704" s="79"/>
      <c r="O704" s="79"/>
      <c r="P704" s="79"/>
      <c r="S704" s="79"/>
      <c r="T704" s="79"/>
      <c r="W704" s="130"/>
      <c r="Y704" s="106"/>
    </row>
    <row r="705">
      <c r="C705" s="79"/>
      <c r="D705" s="79"/>
      <c r="J705" s="79"/>
      <c r="O705" s="79"/>
      <c r="P705" s="79"/>
      <c r="S705" s="79"/>
      <c r="T705" s="79"/>
      <c r="W705" s="130"/>
      <c r="Y705" s="106"/>
    </row>
    <row r="706">
      <c r="C706" s="79"/>
      <c r="D706" s="79"/>
      <c r="J706" s="79"/>
      <c r="O706" s="79"/>
      <c r="P706" s="79"/>
      <c r="S706" s="79"/>
      <c r="T706" s="79"/>
      <c r="W706" s="130"/>
      <c r="Y706" s="106"/>
    </row>
    <row r="707">
      <c r="C707" s="79"/>
      <c r="D707" s="79"/>
      <c r="J707" s="79"/>
      <c r="O707" s="79"/>
      <c r="P707" s="79"/>
      <c r="S707" s="79"/>
      <c r="T707" s="79"/>
      <c r="W707" s="130"/>
      <c r="Y707" s="106"/>
    </row>
    <row r="708">
      <c r="C708" s="79"/>
      <c r="D708" s="79"/>
      <c r="J708" s="79"/>
      <c r="O708" s="79"/>
      <c r="P708" s="79"/>
      <c r="S708" s="79"/>
      <c r="T708" s="79"/>
      <c r="W708" s="130"/>
      <c r="Y708" s="106"/>
    </row>
    <row r="709">
      <c r="C709" s="79"/>
      <c r="D709" s="79"/>
      <c r="J709" s="79"/>
      <c r="O709" s="79"/>
      <c r="P709" s="79"/>
      <c r="S709" s="79"/>
      <c r="T709" s="79"/>
      <c r="W709" s="130"/>
      <c r="Y709" s="106"/>
    </row>
    <row r="710">
      <c r="C710" s="79"/>
      <c r="D710" s="79"/>
      <c r="J710" s="79"/>
      <c r="O710" s="79"/>
      <c r="P710" s="79"/>
      <c r="S710" s="79"/>
      <c r="T710" s="79"/>
      <c r="W710" s="130"/>
      <c r="Y710" s="106"/>
    </row>
    <row r="711">
      <c r="C711" s="79"/>
      <c r="D711" s="79"/>
      <c r="J711" s="79"/>
      <c r="O711" s="79"/>
      <c r="P711" s="79"/>
      <c r="S711" s="79"/>
      <c r="T711" s="79"/>
      <c r="W711" s="130"/>
      <c r="Y711" s="106"/>
    </row>
    <row r="712">
      <c r="C712" s="79"/>
      <c r="D712" s="79"/>
      <c r="J712" s="79"/>
      <c r="O712" s="79"/>
      <c r="P712" s="79"/>
      <c r="S712" s="79"/>
      <c r="T712" s="79"/>
      <c r="W712" s="130"/>
      <c r="Y712" s="106"/>
    </row>
    <row r="713">
      <c r="C713" s="79"/>
      <c r="D713" s="79"/>
      <c r="J713" s="79"/>
      <c r="O713" s="79"/>
      <c r="P713" s="79"/>
      <c r="S713" s="79"/>
      <c r="T713" s="79"/>
      <c r="W713" s="130"/>
      <c r="Y713" s="106"/>
    </row>
    <row r="714">
      <c r="C714" s="79"/>
      <c r="D714" s="79"/>
      <c r="J714" s="79"/>
      <c r="O714" s="79"/>
      <c r="P714" s="79"/>
      <c r="S714" s="79"/>
      <c r="T714" s="79"/>
      <c r="W714" s="130"/>
      <c r="Y714" s="106"/>
    </row>
    <row r="715">
      <c r="C715" s="79"/>
      <c r="D715" s="79"/>
      <c r="J715" s="79"/>
      <c r="O715" s="79"/>
      <c r="P715" s="79"/>
      <c r="S715" s="79"/>
      <c r="T715" s="79"/>
      <c r="W715" s="130"/>
      <c r="Y715" s="106"/>
    </row>
    <row r="716">
      <c r="C716" s="79"/>
      <c r="D716" s="79"/>
      <c r="J716" s="79"/>
      <c r="O716" s="79"/>
      <c r="P716" s="79"/>
      <c r="S716" s="79"/>
      <c r="T716" s="79"/>
      <c r="W716" s="130"/>
      <c r="Y716" s="106"/>
    </row>
    <row r="717">
      <c r="C717" s="79"/>
      <c r="D717" s="79"/>
      <c r="J717" s="79"/>
      <c r="O717" s="79"/>
      <c r="P717" s="79"/>
      <c r="S717" s="79"/>
      <c r="T717" s="79"/>
      <c r="W717" s="130"/>
      <c r="Y717" s="106"/>
    </row>
    <row r="718">
      <c r="C718" s="79"/>
      <c r="D718" s="79"/>
      <c r="J718" s="79"/>
      <c r="O718" s="79"/>
      <c r="P718" s="79"/>
      <c r="S718" s="79"/>
      <c r="T718" s="79"/>
      <c r="W718" s="130"/>
      <c r="Y718" s="106"/>
    </row>
    <row r="719">
      <c r="C719" s="79"/>
      <c r="D719" s="79"/>
      <c r="J719" s="79"/>
      <c r="O719" s="79"/>
      <c r="P719" s="79"/>
      <c r="S719" s="79"/>
      <c r="T719" s="79"/>
      <c r="W719" s="130"/>
      <c r="Y719" s="106"/>
    </row>
    <row r="720">
      <c r="C720" s="79"/>
      <c r="D720" s="79"/>
      <c r="J720" s="79"/>
      <c r="O720" s="79"/>
      <c r="P720" s="79"/>
      <c r="S720" s="79"/>
      <c r="T720" s="79"/>
      <c r="W720" s="130"/>
      <c r="Y720" s="106"/>
    </row>
    <row r="721">
      <c r="C721" s="79"/>
      <c r="D721" s="79"/>
      <c r="J721" s="79"/>
      <c r="O721" s="79"/>
      <c r="P721" s="79"/>
      <c r="S721" s="79"/>
      <c r="T721" s="79"/>
      <c r="W721" s="130"/>
      <c r="Y721" s="106"/>
    </row>
    <row r="722">
      <c r="C722" s="79"/>
      <c r="D722" s="79"/>
      <c r="J722" s="79"/>
      <c r="O722" s="79"/>
      <c r="P722" s="79"/>
      <c r="S722" s="79"/>
      <c r="T722" s="79"/>
      <c r="W722" s="130"/>
      <c r="Y722" s="106"/>
    </row>
    <row r="723">
      <c r="C723" s="79"/>
      <c r="D723" s="79"/>
      <c r="J723" s="79"/>
      <c r="O723" s="79"/>
      <c r="P723" s="79"/>
      <c r="S723" s="79"/>
      <c r="T723" s="79"/>
      <c r="W723" s="130"/>
      <c r="Y723" s="106"/>
    </row>
    <row r="724">
      <c r="C724" s="79"/>
      <c r="D724" s="79"/>
      <c r="J724" s="79"/>
      <c r="O724" s="79"/>
      <c r="P724" s="79"/>
      <c r="S724" s="79"/>
      <c r="T724" s="79"/>
      <c r="W724" s="130"/>
      <c r="Y724" s="106"/>
    </row>
    <row r="725">
      <c r="C725" s="79"/>
      <c r="D725" s="79"/>
      <c r="J725" s="79"/>
      <c r="O725" s="79"/>
      <c r="P725" s="79"/>
      <c r="S725" s="79"/>
      <c r="T725" s="79"/>
      <c r="W725" s="130"/>
      <c r="Y725" s="106"/>
    </row>
    <row r="726">
      <c r="C726" s="79"/>
      <c r="D726" s="79"/>
      <c r="J726" s="79"/>
      <c r="O726" s="79"/>
      <c r="P726" s="79"/>
      <c r="S726" s="79"/>
      <c r="T726" s="79"/>
      <c r="W726" s="130"/>
      <c r="Y726" s="106"/>
    </row>
    <row r="727">
      <c r="C727" s="79"/>
      <c r="D727" s="79"/>
      <c r="J727" s="79"/>
      <c r="O727" s="79"/>
      <c r="P727" s="79"/>
      <c r="S727" s="79"/>
      <c r="T727" s="79"/>
      <c r="W727" s="130"/>
      <c r="Y727" s="106"/>
    </row>
    <row r="728">
      <c r="C728" s="79"/>
      <c r="D728" s="79"/>
      <c r="J728" s="79"/>
      <c r="O728" s="79"/>
      <c r="P728" s="79"/>
      <c r="S728" s="79"/>
      <c r="T728" s="79"/>
      <c r="W728" s="130"/>
      <c r="Y728" s="106"/>
    </row>
    <row r="729">
      <c r="C729" s="79"/>
      <c r="D729" s="79"/>
      <c r="J729" s="79"/>
      <c r="O729" s="79"/>
      <c r="P729" s="79"/>
      <c r="S729" s="79"/>
      <c r="T729" s="79"/>
      <c r="W729" s="130"/>
      <c r="Y729" s="106"/>
    </row>
    <row r="730">
      <c r="C730" s="79"/>
      <c r="D730" s="79"/>
      <c r="J730" s="79"/>
      <c r="O730" s="79"/>
      <c r="P730" s="79"/>
      <c r="S730" s="79"/>
      <c r="T730" s="79"/>
      <c r="W730" s="130"/>
      <c r="Y730" s="106"/>
    </row>
    <row r="731">
      <c r="C731" s="79"/>
      <c r="D731" s="79"/>
      <c r="J731" s="79"/>
      <c r="O731" s="79"/>
      <c r="P731" s="79"/>
      <c r="S731" s="79"/>
      <c r="T731" s="79"/>
      <c r="W731" s="130"/>
      <c r="Y731" s="106"/>
    </row>
    <row r="732">
      <c r="C732" s="79"/>
      <c r="D732" s="79"/>
      <c r="J732" s="79"/>
      <c r="O732" s="79"/>
      <c r="P732" s="79"/>
      <c r="S732" s="79"/>
      <c r="T732" s="79"/>
      <c r="W732" s="130"/>
      <c r="Y732" s="106"/>
    </row>
    <row r="733">
      <c r="C733" s="79"/>
      <c r="D733" s="79"/>
      <c r="J733" s="79"/>
      <c r="O733" s="79"/>
      <c r="P733" s="79"/>
      <c r="S733" s="79"/>
      <c r="T733" s="79"/>
      <c r="W733" s="130"/>
      <c r="Y733" s="106"/>
    </row>
    <row r="734">
      <c r="C734" s="79"/>
      <c r="D734" s="79"/>
      <c r="J734" s="79"/>
      <c r="O734" s="79"/>
      <c r="P734" s="79"/>
      <c r="S734" s="79"/>
      <c r="T734" s="79"/>
      <c r="W734" s="130"/>
      <c r="Y734" s="106"/>
    </row>
    <row r="735">
      <c r="C735" s="79"/>
      <c r="D735" s="79"/>
      <c r="J735" s="79"/>
      <c r="O735" s="79"/>
      <c r="P735" s="79"/>
      <c r="S735" s="79"/>
      <c r="T735" s="79"/>
      <c r="W735" s="130"/>
      <c r="Y735" s="106"/>
    </row>
    <row r="736">
      <c r="C736" s="79"/>
      <c r="D736" s="79"/>
      <c r="J736" s="79"/>
      <c r="O736" s="79"/>
      <c r="P736" s="79"/>
      <c r="S736" s="79"/>
      <c r="T736" s="79"/>
      <c r="W736" s="130"/>
      <c r="Y736" s="106"/>
    </row>
    <row r="737">
      <c r="C737" s="79"/>
      <c r="D737" s="79"/>
      <c r="J737" s="79"/>
      <c r="O737" s="79"/>
      <c r="P737" s="79"/>
      <c r="S737" s="79"/>
      <c r="T737" s="79"/>
      <c r="W737" s="130"/>
      <c r="Y737" s="106"/>
    </row>
    <row r="738">
      <c r="C738" s="79"/>
      <c r="D738" s="79"/>
      <c r="J738" s="79"/>
      <c r="O738" s="79"/>
      <c r="P738" s="79"/>
      <c r="S738" s="79"/>
      <c r="T738" s="79"/>
      <c r="W738" s="130"/>
      <c r="Y738" s="106"/>
    </row>
    <row r="739">
      <c r="C739" s="79"/>
      <c r="D739" s="79"/>
      <c r="J739" s="79"/>
      <c r="O739" s="79"/>
      <c r="P739" s="79"/>
      <c r="S739" s="79"/>
      <c r="T739" s="79"/>
      <c r="W739" s="130"/>
      <c r="Y739" s="106"/>
    </row>
    <row r="740">
      <c r="C740" s="79"/>
      <c r="D740" s="79"/>
      <c r="J740" s="79"/>
      <c r="O740" s="79"/>
      <c r="P740" s="79"/>
      <c r="S740" s="79"/>
      <c r="T740" s="79"/>
      <c r="W740" s="130"/>
      <c r="Y740" s="106"/>
    </row>
    <row r="741">
      <c r="C741" s="79"/>
      <c r="D741" s="79"/>
      <c r="J741" s="79"/>
      <c r="O741" s="79"/>
      <c r="P741" s="79"/>
      <c r="S741" s="79"/>
      <c r="T741" s="79"/>
      <c r="W741" s="130"/>
      <c r="Y741" s="106"/>
    </row>
    <row r="742">
      <c r="C742" s="79"/>
      <c r="D742" s="79"/>
      <c r="J742" s="79"/>
      <c r="O742" s="79"/>
      <c r="P742" s="79"/>
      <c r="S742" s="79"/>
      <c r="T742" s="79"/>
      <c r="W742" s="130"/>
      <c r="Y742" s="106"/>
    </row>
    <row r="743">
      <c r="C743" s="79"/>
      <c r="D743" s="79"/>
      <c r="J743" s="79"/>
      <c r="O743" s="79"/>
      <c r="P743" s="79"/>
      <c r="S743" s="79"/>
      <c r="T743" s="79"/>
      <c r="W743" s="130"/>
      <c r="Y743" s="106"/>
    </row>
    <row r="744">
      <c r="C744" s="79"/>
      <c r="D744" s="79"/>
      <c r="J744" s="79"/>
      <c r="O744" s="79"/>
      <c r="P744" s="79"/>
      <c r="S744" s="79"/>
      <c r="T744" s="79"/>
      <c r="W744" s="130"/>
      <c r="Y744" s="106"/>
    </row>
    <row r="745">
      <c r="C745" s="79"/>
      <c r="D745" s="79"/>
      <c r="J745" s="79"/>
      <c r="O745" s="79"/>
      <c r="P745" s="79"/>
      <c r="S745" s="79"/>
      <c r="T745" s="79"/>
      <c r="W745" s="130"/>
      <c r="Y745" s="106"/>
    </row>
    <row r="746">
      <c r="C746" s="79"/>
      <c r="D746" s="79"/>
      <c r="J746" s="79"/>
      <c r="O746" s="79"/>
      <c r="P746" s="79"/>
      <c r="S746" s="79"/>
      <c r="T746" s="79"/>
      <c r="W746" s="130"/>
      <c r="Y746" s="106"/>
    </row>
    <row r="747">
      <c r="C747" s="79"/>
      <c r="D747" s="79"/>
      <c r="J747" s="79"/>
      <c r="O747" s="79"/>
      <c r="P747" s="79"/>
      <c r="S747" s="79"/>
      <c r="T747" s="79"/>
      <c r="W747" s="130"/>
      <c r="Y747" s="106"/>
    </row>
    <row r="748">
      <c r="C748" s="79"/>
      <c r="D748" s="79"/>
      <c r="J748" s="79"/>
      <c r="O748" s="79"/>
      <c r="P748" s="79"/>
      <c r="S748" s="79"/>
      <c r="T748" s="79"/>
      <c r="W748" s="130"/>
      <c r="Y748" s="106"/>
    </row>
    <row r="749">
      <c r="C749" s="79"/>
      <c r="D749" s="79"/>
      <c r="J749" s="79"/>
      <c r="O749" s="79"/>
      <c r="P749" s="79"/>
      <c r="S749" s="79"/>
      <c r="T749" s="79"/>
      <c r="W749" s="130"/>
      <c r="Y749" s="106"/>
    </row>
    <row r="750">
      <c r="C750" s="79"/>
      <c r="D750" s="79"/>
      <c r="J750" s="79"/>
      <c r="O750" s="79"/>
      <c r="P750" s="79"/>
      <c r="S750" s="79"/>
      <c r="T750" s="79"/>
      <c r="W750" s="130"/>
      <c r="Y750" s="106"/>
    </row>
    <row r="751">
      <c r="C751" s="79"/>
      <c r="D751" s="79"/>
      <c r="J751" s="79"/>
      <c r="O751" s="79"/>
      <c r="P751" s="79"/>
      <c r="S751" s="79"/>
      <c r="T751" s="79"/>
      <c r="W751" s="130"/>
      <c r="Y751" s="106"/>
    </row>
    <row r="752">
      <c r="C752" s="79"/>
      <c r="D752" s="79"/>
      <c r="J752" s="79"/>
      <c r="O752" s="79"/>
      <c r="P752" s="79"/>
      <c r="S752" s="79"/>
      <c r="T752" s="79"/>
      <c r="W752" s="130"/>
      <c r="Y752" s="106"/>
    </row>
    <row r="753">
      <c r="C753" s="79"/>
      <c r="D753" s="79"/>
      <c r="J753" s="79"/>
      <c r="O753" s="79"/>
      <c r="P753" s="79"/>
      <c r="S753" s="79"/>
      <c r="T753" s="79"/>
      <c r="W753" s="130"/>
      <c r="Y753" s="106"/>
    </row>
    <row r="754">
      <c r="C754" s="79"/>
      <c r="D754" s="79"/>
      <c r="J754" s="79"/>
      <c r="O754" s="79"/>
      <c r="P754" s="79"/>
      <c r="S754" s="79"/>
      <c r="T754" s="79"/>
      <c r="W754" s="130"/>
      <c r="Y754" s="106"/>
    </row>
    <row r="755">
      <c r="C755" s="79"/>
      <c r="D755" s="79"/>
      <c r="J755" s="79"/>
      <c r="O755" s="79"/>
      <c r="P755" s="79"/>
      <c r="S755" s="79"/>
      <c r="T755" s="79"/>
      <c r="W755" s="130"/>
      <c r="Y755" s="106"/>
    </row>
    <row r="756">
      <c r="C756" s="79"/>
      <c r="D756" s="79"/>
      <c r="J756" s="79"/>
      <c r="O756" s="79"/>
      <c r="P756" s="79"/>
      <c r="S756" s="79"/>
      <c r="T756" s="79"/>
      <c r="W756" s="130"/>
      <c r="Y756" s="106"/>
    </row>
    <row r="757">
      <c r="C757" s="79"/>
      <c r="D757" s="79"/>
      <c r="J757" s="79"/>
      <c r="O757" s="79"/>
      <c r="P757" s="79"/>
      <c r="S757" s="79"/>
      <c r="T757" s="79"/>
      <c r="W757" s="130"/>
      <c r="Y757" s="106"/>
    </row>
    <row r="758">
      <c r="C758" s="79"/>
      <c r="D758" s="79"/>
      <c r="J758" s="79"/>
      <c r="O758" s="79"/>
      <c r="P758" s="79"/>
      <c r="S758" s="79"/>
      <c r="T758" s="79"/>
      <c r="W758" s="130"/>
      <c r="Y758" s="106"/>
    </row>
    <row r="759">
      <c r="C759" s="79"/>
      <c r="D759" s="79"/>
      <c r="J759" s="79"/>
      <c r="O759" s="79"/>
      <c r="P759" s="79"/>
      <c r="S759" s="79"/>
      <c r="T759" s="79"/>
      <c r="W759" s="130"/>
      <c r="Y759" s="106"/>
    </row>
    <row r="760">
      <c r="C760" s="79"/>
      <c r="D760" s="79"/>
      <c r="J760" s="79"/>
      <c r="O760" s="79"/>
      <c r="P760" s="79"/>
      <c r="S760" s="79"/>
      <c r="T760" s="79"/>
      <c r="W760" s="130"/>
      <c r="Y760" s="106"/>
    </row>
    <row r="761">
      <c r="C761" s="79"/>
      <c r="D761" s="79"/>
      <c r="J761" s="79"/>
      <c r="O761" s="79"/>
      <c r="P761" s="79"/>
      <c r="S761" s="79"/>
      <c r="T761" s="79"/>
      <c r="W761" s="130"/>
      <c r="Y761" s="106"/>
    </row>
    <row r="762">
      <c r="C762" s="79"/>
      <c r="D762" s="79"/>
      <c r="J762" s="79"/>
      <c r="O762" s="79"/>
      <c r="P762" s="79"/>
      <c r="S762" s="79"/>
      <c r="T762" s="79"/>
      <c r="W762" s="130"/>
      <c r="Y762" s="106"/>
    </row>
    <row r="763">
      <c r="C763" s="79"/>
      <c r="D763" s="79"/>
      <c r="J763" s="79"/>
      <c r="O763" s="79"/>
      <c r="P763" s="79"/>
      <c r="S763" s="79"/>
      <c r="T763" s="79"/>
      <c r="W763" s="130"/>
      <c r="Y763" s="106"/>
    </row>
    <row r="764">
      <c r="C764" s="79"/>
      <c r="D764" s="79"/>
      <c r="J764" s="79"/>
      <c r="O764" s="79"/>
      <c r="P764" s="79"/>
      <c r="S764" s="79"/>
      <c r="T764" s="79"/>
      <c r="W764" s="130"/>
      <c r="Y764" s="106"/>
    </row>
    <row r="765">
      <c r="C765" s="79"/>
      <c r="D765" s="79"/>
      <c r="J765" s="79"/>
      <c r="O765" s="79"/>
      <c r="P765" s="79"/>
      <c r="S765" s="79"/>
      <c r="T765" s="79"/>
      <c r="W765" s="130"/>
      <c r="Y765" s="106"/>
    </row>
    <row r="766">
      <c r="C766" s="79"/>
      <c r="D766" s="79"/>
      <c r="J766" s="79"/>
      <c r="O766" s="79"/>
      <c r="P766" s="79"/>
      <c r="S766" s="79"/>
      <c r="T766" s="79"/>
      <c r="W766" s="130"/>
      <c r="Y766" s="106"/>
    </row>
    <row r="767">
      <c r="C767" s="79"/>
      <c r="D767" s="79"/>
      <c r="J767" s="79"/>
      <c r="O767" s="79"/>
      <c r="P767" s="79"/>
      <c r="S767" s="79"/>
      <c r="T767" s="79"/>
      <c r="W767" s="130"/>
      <c r="Y767" s="106"/>
    </row>
    <row r="768">
      <c r="C768" s="79"/>
      <c r="D768" s="79"/>
      <c r="J768" s="79"/>
      <c r="O768" s="79"/>
      <c r="P768" s="79"/>
      <c r="S768" s="79"/>
      <c r="T768" s="79"/>
      <c r="W768" s="130"/>
      <c r="Y768" s="106"/>
    </row>
    <row r="769">
      <c r="C769" s="79"/>
      <c r="D769" s="79"/>
      <c r="J769" s="79"/>
      <c r="O769" s="79"/>
      <c r="P769" s="79"/>
      <c r="S769" s="79"/>
      <c r="T769" s="79"/>
      <c r="W769" s="130"/>
      <c r="Y769" s="106"/>
    </row>
    <row r="770">
      <c r="C770" s="79"/>
      <c r="D770" s="79"/>
      <c r="J770" s="79"/>
      <c r="O770" s="79"/>
      <c r="P770" s="79"/>
      <c r="S770" s="79"/>
      <c r="T770" s="79"/>
      <c r="W770" s="130"/>
      <c r="Y770" s="106"/>
    </row>
    <row r="771">
      <c r="C771" s="79"/>
      <c r="D771" s="79"/>
      <c r="J771" s="79"/>
      <c r="O771" s="79"/>
      <c r="P771" s="79"/>
      <c r="S771" s="79"/>
      <c r="T771" s="79"/>
      <c r="W771" s="130"/>
      <c r="Y771" s="106"/>
    </row>
    <row r="772">
      <c r="C772" s="79"/>
      <c r="D772" s="79"/>
      <c r="J772" s="79"/>
      <c r="O772" s="79"/>
      <c r="P772" s="79"/>
      <c r="S772" s="79"/>
      <c r="T772" s="79"/>
      <c r="W772" s="130"/>
      <c r="Y772" s="106"/>
    </row>
    <row r="773">
      <c r="C773" s="79"/>
      <c r="D773" s="79"/>
      <c r="J773" s="79"/>
      <c r="O773" s="79"/>
      <c r="P773" s="79"/>
      <c r="S773" s="79"/>
      <c r="T773" s="79"/>
      <c r="W773" s="130"/>
      <c r="Y773" s="106"/>
    </row>
    <row r="774">
      <c r="C774" s="79"/>
      <c r="D774" s="79"/>
      <c r="J774" s="79"/>
      <c r="O774" s="79"/>
      <c r="P774" s="79"/>
      <c r="S774" s="79"/>
      <c r="T774" s="79"/>
      <c r="W774" s="130"/>
      <c r="Y774" s="106"/>
    </row>
    <row r="775">
      <c r="C775" s="79"/>
      <c r="D775" s="79"/>
      <c r="J775" s="79"/>
      <c r="O775" s="79"/>
      <c r="P775" s="79"/>
      <c r="S775" s="79"/>
      <c r="T775" s="79"/>
      <c r="W775" s="130"/>
      <c r="Y775" s="106"/>
    </row>
    <row r="776">
      <c r="C776" s="79"/>
      <c r="D776" s="79"/>
      <c r="J776" s="79"/>
      <c r="O776" s="79"/>
      <c r="P776" s="79"/>
      <c r="S776" s="79"/>
      <c r="T776" s="79"/>
      <c r="W776" s="130"/>
      <c r="Y776" s="106"/>
    </row>
    <row r="777">
      <c r="C777" s="79"/>
      <c r="D777" s="79"/>
      <c r="J777" s="79"/>
      <c r="O777" s="79"/>
      <c r="P777" s="79"/>
      <c r="S777" s="79"/>
      <c r="T777" s="79"/>
      <c r="W777" s="130"/>
      <c r="Y777" s="106"/>
    </row>
    <row r="778">
      <c r="C778" s="79"/>
      <c r="D778" s="79"/>
      <c r="J778" s="79"/>
      <c r="O778" s="79"/>
      <c r="P778" s="79"/>
      <c r="S778" s="79"/>
      <c r="T778" s="79"/>
      <c r="W778" s="130"/>
      <c r="Y778" s="106"/>
    </row>
    <row r="779">
      <c r="C779" s="79"/>
      <c r="D779" s="79"/>
      <c r="J779" s="79"/>
      <c r="O779" s="79"/>
      <c r="P779" s="79"/>
      <c r="S779" s="79"/>
      <c r="T779" s="79"/>
      <c r="W779" s="130"/>
      <c r="Y779" s="106"/>
    </row>
    <row r="780">
      <c r="C780" s="79"/>
      <c r="D780" s="79"/>
      <c r="J780" s="79"/>
      <c r="O780" s="79"/>
      <c r="P780" s="79"/>
      <c r="S780" s="79"/>
      <c r="T780" s="79"/>
      <c r="W780" s="130"/>
      <c r="Y780" s="106"/>
    </row>
    <row r="781">
      <c r="C781" s="79"/>
      <c r="D781" s="79"/>
      <c r="J781" s="79"/>
      <c r="O781" s="79"/>
      <c r="P781" s="79"/>
      <c r="S781" s="79"/>
      <c r="T781" s="79"/>
      <c r="W781" s="130"/>
      <c r="Y781" s="106"/>
    </row>
    <row r="782">
      <c r="C782" s="79"/>
      <c r="D782" s="79"/>
      <c r="J782" s="79"/>
      <c r="O782" s="79"/>
      <c r="P782" s="79"/>
      <c r="S782" s="79"/>
      <c r="T782" s="79"/>
      <c r="W782" s="130"/>
      <c r="Y782" s="106"/>
    </row>
    <row r="783">
      <c r="C783" s="79"/>
      <c r="D783" s="79"/>
      <c r="J783" s="79"/>
      <c r="O783" s="79"/>
      <c r="P783" s="79"/>
      <c r="S783" s="79"/>
      <c r="T783" s="79"/>
      <c r="W783" s="130"/>
      <c r="Y783" s="106"/>
    </row>
    <row r="784">
      <c r="C784" s="79"/>
      <c r="D784" s="79"/>
      <c r="J784" s="79"/>
      <c r="O784" s="79"/>
      <c r="P784" s="79"/>
      <c r="S784" s="79"/>
      <c r="T784" s="79"/>
      <c r="W784" s="130"/>
      <c r="Y784" s="106"/>
    </row>
    <row r="785">
      <c r="C785" s="79"/>
      <c r="D785" s="79"/>
      <c r="J785" s="79"/>
      <c r="O785" s="79"/>
      <c r="P785" s="79"/>
      <c r="S785" s="79"/>
      <c r="T785" s="79"/>
      <c r="W785" s="130"/>
      <c r="Y785" s="106"/>
    </row>
    <row r="786">
      <c r="C786" s="79"/>
      <c r="D786" s="79"/>
      <c r="J786" s="79"/>
      <c r="O786" s="79"/>
      <c r="P786" s="79"/>
      <c r="S786" s="79"/>
      <c r="T786" s="79"/>
      <c r="W786" s="130"/>
      <c r="Y786" s="106"/>
    </row>
    <row r="787">
      <c r="C787" s="79"/>
      <c r="D787" s="79"/>
      <c r="J787" s="79"/>
      <c r="O787" s="79"/>
      <c r="P787" s="79"/>
      <c r="S787" s="79"/>
      <c r="T787" s="79"/>
      <c r="W787" s="130"/>
      <c r="Y787" s="106"/>
    </row>
    <row r="788">
      <c r="C788" s="79"/>
      <c r="D788" s="79"/>
      <c r="J788" s="79"/>
      <c r="O788" s="79"/>
      <c r="P788" s="79"/>
      <c r="S788" s="79"/>
      <c r="T788" s="79"/>
      <c r="W788" s="130"/>
      <c r="Y788" s="106"/>
    </row>
    <row r="789">
      <c r="C789" s="79"/>
      <c r="D789" s="79"/>
      <c r="J789" s="79"/>
      <c r="O789" s="79"/>
      <c r="P789" s="79"/>
      <c r="S789" s="79"/>
      <c r="T789" s="79"/>
      <c r="W789" s="130"/>
      <c r="Y789" s="106"/>
    </row>
    <row r="790">
      <c r="C790" s="79"/>
      <c r="D790" s="79"/>
      <c r="J790" s="79"/>
      <c r="O790" s="79"/>
      <c r="P790" s="79"/>
      <c r="S790" s="79"/>
      <c r="T790" s="79"/>
      <c r="W790" s="130"/>
      <c r="Y790" s="106"/>
    </row>
    <row r="791">
      <c r="C791" s="79"/>
      <c r="D791" s="79"/>
      <c r="J791" s="79"/>
      <c r="O791" s="79"/>
      <c r="P791" s="79"/>
      <c r="S791" s="79"/>
      <c r="T791" s="79"/>
      <c r="W791" s="130"/>
      <c r="Y791" s="106"/>
    </row>
    <row r="792">
      <c r="C792" s="79"/>
      <c r="D792" s="79"/>
      <c r="J792" s="79"/>
      <c r="O792" s="79"/>
      <c r="P792" s="79"/>
      <c r="S792" s="79"/>
      <c r="T792" s="79"/>
      <c r="W792" s="130"/>
      <c r="Y792" s="106"/>
    </row>
    <row r="793">
      <c r="C793" s="79"/>
      <c r="D793" s="79"/>
      <c r="J793" s="79"/>
      <c r="O793" s="79"/>
      <c r="P793" s="79"/>
      <c r="S793" s="79"/>
      <c r="T793" s="79"/>
      <c r="W793" s="130"/>
      <c r="Y793" s="106"/>
    </row>
    <row r="794">
      <c r="C794" s="79"/>
      <c r="D794" s="79"/>
      <c r="J794" s="79"/>
      <c r="O794" s="79"/>
      <c r="P794" s="79"/>
      <c r="S794" s="79"/>
      <c r="T794" s="79"/>
      <c r="W794" s="130"/>
      <c r="Y794" s="106"/>
    </row>
    <row r="795">
      <c r="C795" s="79"/>
      <c r="D795" s="79"/>
      <c r="J795" s="79"/>
      <c r="O795" s="79"/>
      <c r="P795" s="79"/>
      <c r="S795" s="79"/>
      <c r="T795" s="79"/>
      <c r="W795" s="130"/>
      <c r="Y795" s="106"/>
    </row>
    <row r="796">
      <c r="C796" s="79"/>
      <c r="D796" s="79"/>
      <c r="J796" s="79"/>
      <c r="O796" s="79"/>
      <c r="P796" s="79"/>
      <c r="S796" s="79"/>
      <c r="T796" s="79"/>
      <c r="W796" s="130"/>
      <c r="Y796" s="106"/>
    </row>
    <row r="797">
      <c r="C797" s="79"/>
      <c r="D797" s="79"/>
      <c r="J797" s="79"/>
      <c r="O797" s="79"/>
      <c r="P797" s="79"/>
      <c r="S797" s="79"/>
      <c r="T797" s="79"/>
      <c r="W797" s="130"/>
      <c r="Y797" s="106"/>
    </row>
    <row r="798">
      <c r="C798" s="79"/>
      <c r="D798" s="79"/>
      <c r="J798" s="79"/>
      <c r="O798" s="79"/>
      <c r="P798" s="79"/>
      <c r="S798" s="79"/>
      <c r="T798" s="79"/>
      <c r="W798" s="130"/>
      <c r="Y798" s="106"/>
    </row>
    <row r="799">
      <c r="C799" s="79"/>
      <c r="D799" s="79"/>
      <c r="J799" s="79"/>
      <c r="O799" s="79"/>
      <c r="P799" s="79"/>
      <c r="S799" s="79"/>
      <c r="T799" s="79"/>
      <c r="W799" s="130"/>
      <c r="Y799" s="106"/>
    </row>
    <row r="800">
      <c r="C800" s="79"/>
      <c r="D800" s="79"/>
      <c r="J800" s="79"/>
      <c r="O800" s="79"/>
      <c r="P800" s="79"/>
      <c r="S800" s="79"/>
      <c r="T800" s="79"/>
      <c r="W800" s="130"/>
      <c r="Y800" s="106"/>
    </row>
    <row r="801">
      <c r="C801" s="79"/>
      <c r="D801" s="79"/>
      <c r="J801" s="79"/>
      <c r="O801" s="79"/>
      <c r="P801" s="79"/>
      <c r="S801" s="79"/>
      <c r="T801" s="79"/>
      <c r="W801" s="130"/>
      <c r="Y801" s="106"/>
    </row>
    <row r="802">
      <c r="C802" s="79"/>
      <c r="D802" s="79"/>
      <c r="J802" s="79"/>
      <c r="O802" s="79"/>
      <c r="P802" s="79"/>
      <c r="S802" s="79"/>
      <c r="T802" s="79"/>
      <c r="W802" s="130"/>
      <c r="Y802" s="106"/>
    </row>
    <row r="803">
      <c r="C803" s="79"/>
      <c r="D803" s="79"/>
      <c r="J803" s="79"/>
      <c r="O803" s="79"/>
      <c r="P803" s="79"/>
      <c r="S803" s="79"/>
      <c r="T803" s="79"/>
      <c r="W803" s="130"/>
      <c r="Y803" s="106"/>
    </row>
    <row r="804">
      <c r="C804" s="79"/>
      <c r="D804" s="79"/>
      <c r="J804" s="79"/>
      <c r="O804" s="79"/>
      <c r="P804" s="79"/>
      <c r="S804" s="79"/>
      <c r="T804" s="79"/>
      <c r="W804" s="130"/>
      <c r="Y804" s="106"/>
    </row>
    <row r="805">
      <c r="C805" s="79"/>
      <c r="D805" s="79"/>
      <c r="J805" s="79"/>
      <c r="O805" s="79"/>
      <c r="P805" s="79"/>
      <c r="S805" s="79"/>
      <c r="T805" s="79"/>
      <c r="W805" s="130"/>
      <c r="Y805" s="106"/>
    </row>
    <row r="806">
      <c r="C806" s="79"/>
      <c r="D806" s="79"/>
      <c r="J806" s="79"/>
      <c r="O806" s="79"/>
      <c r="P806" s="79"/>
      <c r="S806" s="79"/>
      <c r="T806" s="79"/>
      <c r="W806" s="130"/>
      <c r="Y806" s="106"/>
    </row>
    <row r="807">
      <c r="C807" s="79"/>
      <c r="D807" s="79"/>
      <c r="J807" s="79"/>
      <c r="O807" s="79"/>
      <c r="P807" s="79"/>
      <c r="S807" s="79"/>
      <c r="T807" s="79"/>
      <c r="W807" s="130"/>
      <c r="Y807" s="106"/>
    </row>
    <row r="808">
      <c r="C808" s="79"/>
      <c r="D808" s="79"/>
      <c r="J808" s="79"/>
      <c r="O808" s="79"/>
      <c r="P808" s="79"/>
      <c r="S808" s="79"/>
      <c r="T808" s="79"/>
      <c r="W808" s="130"/>
      <c r="Y808" s="106"/>
    </row>
    <row r="809">
      <c r="C809" s="79"/>
      <c r="D809" s="79"/>
      <c r="J809" s="79"/>
      <c r="O809" s="79"/>
      <c r="P809" s="79"/>
      <c r="S809" s="79"/>
      <c r="T809" s="79"/>
      <c r="W809" s="130"/>
      <c r="Y809" s="106"/>
    </row>
    <row r="810">
      <c r="C810" s="79"/>
      <c r="D810" s="79"/>
      <c r="J810" s="79"/>
      <c r="O810" s="79"/>
      <c r="P810" s="79"/>
      <c r="S810" s="79"/>
      <c r="T810" s="79"/>
      <c r="W810" s="130"/>
      <c r="Y810" s="106"/>
    </row>
    <row r="811">
      <c r="C811" s="79"/>
      <c r="D811" s="79"/>
      <c r="J811" s="79"/>
      <c r="O811" s="79"/>
      <c r="P811" s="79"/>
      <c r="S811" s="79"/>
      <c r="T811" s="79"/>
      <c r="W811" s="130"/>
      <c r="Y811" s="106"/>
    </row>
    <row r="812">
      <c r="C812" s="79"/>
      <c r="D812" s="79"/>
      <c r="J812" s="79"/>
      <c r="O812" s="79"/>
      <c r="P812" s="79"/>
      <c r="S812" s="79"/>
      <c r="T812" s="79"/>
      <c r="W812" s="130"/>
      <c r="Y812" s="106"/>
    </row>
    <row r="813">
      <c r="C813" s="79"/>
      <c r="D813" s="79"/>
      <c r="J813" s="79"/>
      <c r="O813" s="79"/>
      <c r="P813" s="79"/>
      <c r="S813" s="79"/>
      <c r="T813" s="79"/>
      <c r="W813" s="130"/>
      <c r="Y813" s="106"/>
    </row>
    <row r="814">
      <c r="C814" s="79"/>
      <c r="D814" s="79"/>
      <c r="J814" s="79"/>
      <c r="O814" s="79"/>
      <c r="P814" s="79"/>
      <c r="S814" s="79"/>
      <c r="T814" s="79"/>
      <c r="W814" s="130"/>
      <c r="Y814" s="106"/>
    </row>
    <row r="815">
      <c r="C815" s="79"/>
      <c r="D815" s="79"/>
      <c r="J815" s="79"/>
      <c r="O815" s="79"/>
      <c r="P815" s="79"/>
      <c r="S815" s="79"/>
      <c r="T815" s="79"/>
      <c r="W815" s="130"/>
      <c r="Y815" s="106"/>
    </row>
    <row r="816">
      <c r="C816" s="79"/>
      <c r="D816" s="79"/>
      <c r="J816" s="79"/>
      <c r="O816" s="79"/>
      <c r="P816" s="79"/>
      <c r="S816" s="79"/>
      <c r="T816" s="79"/>
      <c r="W816" s="130"/>
      <c r="Y816" s="106"/>
    </row>
    <row r="817">
      <c r="C817" s="79"/>
      <c r="D817" s="79"/>
      <c r="J817" s="79"/>
      <c r="O817" s="79"/>
      <c r="P817" s="79"/>
      <c r="S817" s="79"/>
      <c r="T817" s="79"/>
      <c r="W817" s="130"/>
      <c r="Y817" s="106"/>
    </row>
    <row r="818">
      <c r="C818" s="79"/>
      <c r="D818" s="79"/>
      <c r="J818" s="79"/>
      <c r="O818" s="79"/>
      <c r="P818" s="79"/>
      <c r="S818" s="79"/>
      <c r="T818" s="79"/>
      <c r="W818" s="130"/>
      <c r="Y818" s="106"/>
    </row>
    <row r="819">
      <c r="C819" s="79"/>
      <c r="D819" s="79"/>
      <c r="J819" s="79"/>
      <c r="O819" s="79"/>
      <c r="P819" s="79"/>
      <c r="S819" s="79"/>
      <c r="T819" s="79"/>
      <c r="W819" s="130"/>
      <c r="Y819" s="106"/>
    </row>
    <row r="820">
      <c r="C820" s="79"/>
      <c r="D820" s="79"/>
      <c r="J820" s="79"/>
      <c r="O820" s="79"/>
      <c r="P820" s="79"/>
      <c r="S820" s="79"/>
      <c r="T820" s="79"/>
      <c r="W820" s="130"/>
      <c r="Y820" s="106"/>
    </row>
    <row r="821">
      <c r="C821" s="79"/>
      <c r="D821" s="79"/>
      <c r="J821" s="79"/>
      <c r="O821" s="79"/>
      <c r="P821" s="79"/>
      <c r="S821" s="79"/>
      <c r="T821" s="79"/>
      <c r="W821" s="130"/>
      <c r="Y821" s="106"/>
    </row>
    <row r="822">
      <c r="C822" s="79"/>
      <c r="D822" s="79"/>
      <c r="J822" s="79"/>
      <c r="O822" s="79"/>
      <c r="P822" s="79"/>
      <c r="S822" s="79"/>
      <c r="T822" s="79"/>
      <c r="W822" s="130"/>
      <c r="Y822" s="106"/>
    </row>
    <row r="823">
      <c r="C823" s="79"/>
      <c r="D823" s="79"/>
      <c r="J823" s="79"/>
      <c r="O823" s="79"/>
      <c r="P823" s="79"/>
      <c r="S823" s="79"/>
      <c r="T823" s="79"/>
      <c r="W823" s="130"/>
      <c r="Y823" s="106"/>
    </row>
    <row r="824">
      <c r="C824" s="79"/>
      <c r="D824" s="79"/>
      <c r="J824" s="79"/>
      <c r="O824" s="79"/>
      <c r="P824" s="79"/>
      <c r="S824" s="79"/>
      <c r="T824" s="79"/>
      <c r="W824" s="130"/>
      <c r="Y824" s="106"/>
    </row>
    <row r="825">
      <c r="C825" s="79"/>
      <c r="D825" s="79"/>
      <c r="J825" s="79"/>
      <c r="O825" s="79"/>
      <c r="P825" s="79"/>
      <c r="S825" s="79"/>
      <c r="T825" s="79"/>
      <c r="W825" s="130"/>
      <c r="Y825" s="106"/>
    </row>
    <row r="826">
      <c r="C826" s="79"/>
      <c r="D826" s="79"/>
      <c r="J826" s="79"/>
      <c r="O826" s="79"/>
      <c r="P826" s="79"/>
      <c r="S826" s="79"/>
      <c r="T826" s="79"/>
      <c r="W826" s="130"/>
      <c r="Y826" s="106"/>
    </row>
    <row r="827">
      <c r="C827" s="79"/>
      <c r="D827" s="79"/>
      <c r="J827" s="79"/>
      <c r="O827" s="79"/>
      <c r="P827" s="79"/>
      <c r="S827" s="79"/>
      <c r="T827" s="79"/>
      <c r="W827" s="130"/>
      <c r="Y827" s="106"/>
    </row>
    <row r="828">
      <c r="C828" s="79"/>
      <c r="D828" s="79"/>
      <c r="J828" s="79"/>
      <c r="O828" s="79"/>
      <c r="P828" s="79"/>
      <c r="S828" s="79"/>
      <c r="T828" s="79"/>
      <c r="W828" s="130"/>
      <c r="Y828" s="106"/>
    </row>
    <row r="829">
      <c r="C829" s="79"/>
      <c r="D829" s="79"/>
      <c r="J829" s="79"/>
      <c r="O829" s="79"/>
      <c r="P829" s="79"/>
      <c r="S829" s="79"/>
      <c r="T829" s="79"/>
      <c r="W829" s="130"/>
      <c r="Y829" s="106"/>
    </row>
    <row r="830">
      <c r="C830" s="79"/>
      <c r="D830" s="79"/>
      <c r="J830" s="79"/>
      <c r="O830" s="79"/>
      <c r="P830" s="79"/>
      <c r="S830" s="79"/>
      <c r="T830" s="79"/>
      <c r="W830" s="130"/>
      <c r="Y830" s="106"/>
    </row>
    <row r="831">
      <c r="C831" s="79"/>
      <c r="D831" s="79"/>
      <c r="J831" s="79"/>
      <c r="O831" s="79"/>
      <c r="P831" s="79"/>
      <c r="S831" s="79"/>
      <c r="T831" s="79"/>
      <c r="W831" s="130"/>
      <c r="Y831" s="106"/>
    </row>
    <row r="832">
      <c r="C832" s="79"/>
      <c r="D832" s="79"/>
      <c r="J832" s="79"/>
      <c r="O832" s="79"/>
      <c r="P832" s="79"/>
      <c r="S832" s="79"/>
      <c r="T832" s="79"/>
      <c r="W832" s="130"/>
      <c r="Y832" s="106"/>
    </row>
    <row r="833">
      <c r="C833" s="79"/>
      <c r="D833" s="79"/>
      <c r="J833" s="79"/>
      <c r="O833" s="79"/>
      <c r="P833" s="79"/>
      <c r="S833" s="79"/>
      <c r="T833" s="79"/>
      <c r="W833" s="130"/>
      <c r="Y833" s="106"/>
    </row>
    <row r="834">
      <c r="C834" s="79"/>
      <c r="D834" s="79"/>
      <c r="J834" s="79"/>
      <c r="O834" s="79"/>
      <c r="P834" s="79"/>
      <c r="S834" s="79"/>
      <c r="T834" s="79"/>
      <c r="W834" s="130"/>
      <c r="Y834" s="106"/>
    </row>
    <row r="835">
      <c r="C835" s="79"/>
      <c r="D835" s="79"/>
      <c r="J835" s="79"/>
      <c r="O835" s="79"/>
      <c r="P835" s="79"/>
      <c r="S835" s="79"/>
      <c r="T835" s="79"/>
      <c r="W835" s="130"/>
      <c r="Y835" s="106"/>
    </row>
    <row r="836">
      <c r="C836" s="79"/>
      <c r="D836" s="79"/>
      <c r="J836" s="79"/>
      <c r="O836" s="79"/>
      <c r="P836" s="79"/>
      <c r="S836" s="79"/>
      <c r="T836" s="79"/>
      <c r="W836" s="130"/>
      <c r="Y836" s="106"/>
    </row>
    <row r="837">
      <c r="C837" s="79"/>
      <c r="D837" s="79"/>
      <c r="J837" s="79"/>
      <c r="O837" s="79"/>
      <c r="P837" s="79"/>
      <c r="S837" s="79"/>
      <c r="T837" s="79"/>
      <c r="W837" s="130"/>
      <c r="Y837" s="106"/>
    </row>
    <row r="838">
      <c r="C838" s="79"/>
      <c r="D838" s="79"/>
      <c r="J838" s="79"/>
      <c r="O838" s="79"/>
      <c r="P838" s="79"/>
      <c r="S838" s="79"/>
      <c r="T838" s="79"/>
      <c r="W838" s="130"/>
      <c r="Y838" s="106"/>
    </row>
    <row r="839">
      <c r="C839" s="79"/>
      <c r="D839" s="79"/>
      <c r="J839" s="79"/>
      <c r="O839" s="79"/>
      <c r="P839" s="79"/>
      <c r="S839" s="79"/>
      <c r="T839" s="79"/>
      <c r="W839" s="130"/>
      <c r="Y839" s="106"/>
    </row>
    <row r="840">
      <c r="C840" s="79"/>
      <c r="D840" s="79"/>
      <c r="J840" s="79"/>
      <c r="O840" s="79"/>
      <c r="P840" s="79"/>
      <c r="S840" s="79"/>
      <c r="T840" s="79"/>
      <c r="W840" s="130"/>
      <c r="Y840" s="106"/>
    </row>
    <row r="841">
      <c r="C841" s="79"/>
      <c r="D841" s="79"/>
      <c r="J841" s="79"/>
      <c r="O841" s="79"/>
      <c r="P841" s="79"/>
      <c r="S841" s="79"/>
      <c r="T841" s="79"/>
      <c r="W841" s="130"/>
      <c r="Y841" s="106"/>
    </row>
    <row r="842">
      <c r="C842" s="79"/>
      <c r="D842" s="79"/>
      <c r="J842" s="79"/>
      <c r="O842" s="79"/>
      <c r="P842" s="79"/>
      <c r="S842" s="79"/>
      <c r="T842" s="79"/>
      <c r="W842" s="130"/>
      <c r="Y842" s="106"/>
    </row>
    <row r="843">
      <c r="C843" s="79"/>
      <c r="D843" s="79"/>
      <c r="J843" s="79"/>
      <c r="O843" s="79"/>
      <c r="P843" s="79"/>
      <c r="S843" s="79"/>
      <c r="T843" s="79"/>
      <c r="W843" s="130"/>
      <c r="Y843" s="106"/>
    </row>
    <row r="844">
      <c r="C844" s="79"/>
      <c r="D844" s="79"/>
      <c r="J844" s="79"/>
      <c r="O844" s="79"/>
      <c r="P844" s="79"/>
      <c r="S844" s="79"/>
      <c r="T844" s="79"/>
      <c r="W844" s="130"/>
      <c r="Y844" s="106"/>
    </row>
    <row r="845">
      <c r="C845" s="79"/>
      <c r="D845" s="79"/>
      <c r="J845" s="79"/>
      <c r="O845" s="79"/>
      <c r="P845" s="79"/>
      <c r="S845" s="79"/>
      <c r="T845" s="79"/>
      <c r="W845" s="130"/>
      <c r="Y845" s="106"/>
    </row>
    <row r="846">
      <c r="C846" s="79"/>
      <c r="D846" s="79"/>
      <c r="J846" s="79"/>
      <c r="O846" s="79"/>
      <c r="P846" s="79"/>
      <c r="S846" s="79"/>
      <c r="T846" s="79"/>
      <c r="W846" s="130"/>
      <c r="Y846" s="106"/>
    </row>
    <row r="847">
      <c r="C847" s="79"/>
      <c r="D847" s="79"/>
      <c r="J847" s="79"/>
      <c r="O847" s="79"/>
      <c r="P847" s="79"/>
      <c r="S847" s="79"/>
      <c r="T847" s="79"/>
      <c r="W847" s="130"/>
      <c r="Y847" s="106"/>
    </row>
    <row r="848">
      <c r="C848" s="79"/>
      <c r="D848" s="79"/>
      <c r="J848" s="79"/>
      <c r="O848" s="79"/>
      <c r="P848" s="79"/>
      <c r="S848" s="79"/>
      <c r="T848" s="79"/>
      <c r="W848" s="130"/>
      <c r="Y848" s="106"/>
    </row>
    <row r="849">
      <c r="C849" s="79"/>
      <c r="D849" s="79"/>
      <c r="J849" s="79"/>
      <c r="O849" s="79"/>
      <c r="P849" s="79"/>
      <c r="S849" s="79"/>
      <c r="T849" s="79"/>
      <c r="W849" s="130"/>
      <c r="Y849" s="106"/>
    </row>
    <row r="850">
      <c r="C850" s="79"/>
      <c r="D850" s="79"/>
      <c r="J850" s="79"/>
      <c r="O850" s="79"/>
      <c r="P850" s="79"/>
      <c r="S850" s="79"/>
      <c r="T850" s="79"/>
      <c r="W850" s="130"/>
      <c r="Y850" s="106"/>
    </row>
    <row r="851">
      <c r="C851" s="79"/>
      <c r="D851" s="79"/>
      <c r="J851" s="79"/>
      <c r="O851" s="79"/>
      <c r="P851" s="79"/>
      <c r="S851" s="79"/>
      <c r="T851" s="79"/>
      <c r="W851" s="130"/>
      <c r="Y851" s="106"/>
    </row>
    <row r="852">
      <c r="C852" s="79"/>
      <c r="D852" s="79"/>
      <c r="J852" s="79"/>
      <c r="O852" s="79"/>
      <c r="P852" s="79"/>
      <c r="S852" s="79"/>
      <c r="T852" s="79"/>
      <c r="W852" s="130"/>
      <c r="Y852" s="106"/>
    </row>
    <row r="853">
      <c r="C853" s="79"/>
      <c r="D853" s="79"/>
      <c r="J853" s="79"/>
      <c r="O853" s="79"/>
      <c r="P853" s="79"/>
      <c r="S853" s="79"/>
      <c r="T853" s="79"/>
      <c r="W853" s="130"/>
      <c r="Y853" s="106"/>
    </row>
    <row r="854">
      <c r="C854" s="79"/>
      <c r="D854" s="79"/>
      <c r="J854" s="79"/>
      <c r="O854" s="79"/>
      <c r="P854" s="79"/>
      <c r="S854" s="79"/>
      <c r="T854" s="79"/>
      <c r="W854" s="130"/>
      <c r="Y854" s="106"/>
    </row>
    <row r="855">
      <c r="C855" s="79"/>
      <c r="D855" s="79"/>
      <c r="J855" s="79"/>
      <c r="O855" s="79"/>
      <c r="P855" s="79"/>
      <c r="S855" s="79"/>
      <c r="T855" s="79"/>
      <c r="W855" s="130"/>
      <c r="Y855" s="106"/>
    </row>
    <row r="856">
      <c r="C856" s="79"/>
      <c r="D856" s="79"/>
      <c r="J856" s="79"/>
      <c r="O856" s="79"/>
      <c r="P856" s="79"/>
      <c r="S856" s="79"/>
      <c r="T856" s="79"/>
      <c r="W856" s="130"/>
      <c r="Y856" s="106"/>
    </row>
    <row r="857">
      <c r="C857" s="79"/>
      <c r="D857" s="79"/>
      <c r="J857" s="79"/>
      <c r="O857" s="79"/>
      <c r="P857" s="79"/>
      <c r="S857" s="79"/>
      <c r="T857" s="79"/>
      <c r="W857" s="130"/>
      <c r="Y857" s="106"/>
    </row>
    <row r="858">
      <c r="C858" s="79"/>
      <c r="D858" s="79"/>
      <c r="J858" s="79"/>
      <c r="O858" s="79"/>
      <c r="P858" s="79"/>
      <c r="S858" s="79"/>
      <c r="T858" s="79"/>
      <c r="W858" s="130"/>
      <c r="Y858" s="106"/>
    </row>
    <row r="859">
      <c r="C859" s="79"/>
      <c r="D859" s="79"/>
      <c r="J859" s="79"/>
      <c r="O859" s="79"/>
      <c r="P859" s="79"/>
      <c r="S859" s="79"/>
      <c r="T859" s="79"/>
      <c r="W859" s="130"/>
      <c r="Y859" s="106"/>
    </row>
    <row r="860">
      <c r="C860" s="79"/>
      <c r="D860" s="79"/>
      <c r="J860" s="79"/>
      <c r="O860" s="79"/>
      <c r="P860" s="79"/>
      <c r="S860" s="79"/>
      <c r="T860" s="79"/>
      <c r="W860" s="130"/>
      <c r="Y860" s="106"/>
    </row>
    <row r="861">
      <c r="C861" s="79"/>
      <c r="D861" s="79"/>
      <c r="J861" s="79"/>
      <c r="O861" s="79"/>
      <c r="P861" s="79"/>
      <c r="S861" s="79"/>
      <c r="T861" s="79"/>
      <c r="W861" s="130"/>
      <c r="Y861" s="106"/>
    </row>
    <row r="862">
      <c r="C862" s="79"/>
      <c r="D862" s="79"/>
      <c r="J862" s="79"/>
      <c r="O862" s="79"/>
      <c r="P862" s="79"/>
      <c r="S862" s="79"/>
      <c r="T862" s="79"/>
      <c r="W862" s="130"/>
      <c r="Y862" s="106"/>
    </row>
    <row r="863">
      <c r="C863" s="79"/>
      <c r="D863" s="79"/>
      <c r="J863" s="79"/>
      <c r="O863" s="79"/>
      <c r="P863" s="79"/>
      <c r="S863" s="79"/>
      <c r="T863" s="79"/>
      <c r="W863" s="130"/>
      <c r="Y863" s="106"/>
    </row>
    <row r="864">
      <c r="C864" s="79"/>
      <c r="D864" s="79"/>
      <c r="J864" s="79"/>
      <c r="O864" s="79"/>
      <c r="P864" s="79"/>
      <c r="S864" s="79"/>
      <c r="T864" s="79"/>
      <c r="W864" s="130"/>
      <c r="Y864" s="106"/>
    </row>
    <row r="865">
      <c r="C865" s="79"/>
      <c r="D865" s="79"/>
      <c r="J865" s="79"/>
      <c r="O865" s="79"/>
      <c r="P865" s="79"/>
      <c r="S865" s="79"/>
      <c r="T865" s="79"/>
      <c r="W865" s="130"/>
      <c r="Y865" s="106"/>
    </row>
    <row r="866">
      <c r="C866" s="79"/>
      <c r="D866" s="79"/>
      <c r="J866" s="79"/>
      <c r="O866" s="79"/>
      <c r="P866" s="79"/>
      <c r="S866" s="79"/>
      <c r="T866" s="79"/>
      <c r="W866" s="130"/>
      <c r="Y866" s="106"/>
    </row>
    <row r="867">
      <c r="C867" s="79"/>
      <c r="D867" s="79"/>
      <c r="J867" s="79"/>
      <c r="O867" s="79"/>
      <c r="P867" s="79"/>
      <c r="S867" s="79"/>
      <c r="T867" s="79"/>
      <c r="W867" s="130"/>
      <c r="Y867" s="106"/>
    </row>
    <row r="868">
      <c r="C868" s="79"/>
      <c r="D868" s="79"/>
      <c r="J868" s="79"/>
      <c r="O868" s="79"/>
      <c r="P868" s="79"/>
      <c r="S868" s="79"/>
      <c r="T868" s="79"/>
      <c r="W868" s="130"/>
      <c r="Y868" s="106"/>
    </row>
    <row r="869">
      <c r="C869" s="79"/>
      <c r="D869" s="79"/>
      <c r="J869" s="79"/>
      <c r="O869" s="79"/>
      <c r="P869" s="79"/>
      <c r="S869" s="79"/>
      <c r="T869" s="79"/>
      <c r="W869" s="130"/>
      <c r="Y869" s="106"/>
    </row>
    <row r="870">
      <c r="C870" s="79"/>
      <c r="D870" s="79"/>
      <c r="J870" s="79"/>
      <c r="O870" s="79"/>
      <c r="P870" s="79"/>
      <c r="S870" s="79"/>
      <c r="T870" s="79"/>
      <c r="W870" s="130"/>
      <c r="Y870" s="106"/>
    </row>
    <row r="871">
      <c r="C871" s="79"/>
      <c r="D871" s="79"/>
      <c r="J871" s="79"/>
      <c r="O871" s="79"/>
      <c r="P871" s="79"/>
      <c r="S871" s="79"/>
      <c r="T871" s="79"/>
      <c r="W871" s="130"/>
      <c r="Y871" s="106"/>
    </row>
    <row r="872">
      <c r="C872" s="79"/>
      <c r="D872" s="79"/>
      <c r="J872" s="79"/>
      <c r="O872" s="79"/>
      <c r="P872" s="79"/>
      <c r="S872" s="79"/>
      <c r="T872" s="79"/>
      <c r="W872" s="130"/>
      <c r="Y872" s="106"/>
    </row>
    <row r="873">
      <c r="C873" s="79"/>
      <c r="D873" s="79"/>
      <c r="J873" s="79"/>
      <c r="O873" s="79"/>
      <c r="P873" s="79"/>
      <c r="S873" s="79"/>
      <c r="T873" s="79"/>
      <c r="W873" s="130"/>
      <c r="Y873" s="106"/>
    </row>
    <row r="874">
      <c r="C874" s="79"/>
      <c r="D874" s="79"/>
      <c r="J874" s="79"/>
      <c r="O874" s="79"/>
      <c r="P874" s="79"/>
      <c r="S874" s="79"/>
      <c r="T874" s="79"/>
      <c r="W874" s="130"/>
      <c r="Y874" s="106"/>
    </row>
    <row r="875">
      <c r="C875" s="79"/>
      <c r="D875" s="79"/>
      <c r="J875" s="79"/>
      <c r="O875" s="79"/>
      <c r="P875" s="79"/>
      <c r="S875" s="79"/>
      <c r="T875" s="79"/>
      <c r="W875" s="130"/>
      <c r="Y875" s="106"/>
    </row>
    <row r="876">
      <c r="C876" s="79"/>
      <c r="D876" s="79"/>
      <c r="J876" s="79"/>
      <c r="O876" s="79"/>
      <c r="P876" s="79"/>
      <c r="S876" s="79"/>
      <c r="T876" s="79"/>
      <c r="W876" s="130"/>
      <c r="Y876" s="106"/>
    </row>
    <row r="877">
      <c r="C877" s="79"/>
      <c r="D877" s="79"/>
      <c r="J877" s="79"/>
      <c r="O877" s="79"/>
      <c r="P877" s="79"/>
      <c r="S877" s="79"/>
      <c r="T877" s="79"/>
      <c r="W877" s="130"/>
      <c r="Y877" s="106"/>
    </row>
    <row r="878">
      <c r="C878" s="79"/>
      <c r="D878" s="79"/>
      <c r="J878" s="79"/>
      <c r="O878" s="79"/>
      <c r="P878" s="79"/>
      <c r="S878" s="79"/>
      <c r="T878" s="79"/>
      <c r="W878" s="130"/>
      <c r="Y878" s="106"/>
    </row>
    <row r="879">
      <c r="C879" s="79"/>
      <c r="D879" s="79"/>
      <c r="J879" s="79"/>
      <c r="O879" s="79"/>
      <c r="P879" s="79"/>
      <c r="S879" s="79"/>
      <c r="T879" s="79"/>
      <c r="W879" s="130"/>
      <c r="Y879" s="106"/>
    </row>
    <row r="880">
      <c r="C880" s="79"/>
      <c r="D880" s="79"/>
      <c r="J880" s="79"/>
      <c r="O880" s="79"/>
      <c r="P880" s="79"/>
      <c r="S880" s="79"/>
      <c r="T880" s="79"/>
      <c r="W880" s="130"/>
      <c r="Y880" s="106"/>
    </row>
    <row r="881">
      <c r="C881" s="79"/>
      <c r="D881" s="79"/>
      <c r="J881" s="79"/>
      <c r="O881" s="79"/>
      <c r="P881" s="79"/>
      <c r="S881" s="79"/>
      <c r="T881" s="79"/>
      <c r="W881" s="130"/>
      <c r="Y881" s="106"/>
    </row>
    <row r="882">
      <c r="C882" s="79"/>
      <c r="D882" s="79"/>
      <c r="J882" s="79"/>
      <c r="O882" s="79"/>
      <c r="P882" s="79"/>
      <c r="S882" s="79"/>
      <c r="T882" s="79"/>
      <c r="W882" s="130"/>
      <c r="Y882" s="106"/>
    </row>
    <row r="883">
      <c r="C883" s="79"/>
      <c r="D883" s="79"/>
      <c r="J883" s="79"/>
      <c r="O883" s="79"/>
      <c r="P883" s="79"/>
      <c r="S883" s="79"/>
      <c r="T883" s="79"/>
      <c r="W883" s="130"/>
      <c r="Y883" s="106"/>
    </row>
    <row r="884">
      <c r="C884" s="79"/>
      <c r="D884" s="79"/>
      <c r="J884" s="79"/>
      <c r="O884" s="79"/>
      <c r="P884" s="79"/>
      <c r="S884" s="79"/>
      <c r="T884" s="79"/>
      <c r="W884" s="130"/>
      <c r="Y884" s="106"/>
    </row>
    <row r="885">
      <c r="C885" s="79"/>
      <c r="D885" s="79"/>
      <c r="J885" s="79"/>
      <c r="O885" s="79"/>
      <c r="P885" s="79"/>
      <c r="S885" s="79"/>
      <c r="T885" s="79"/>
      <c r="W885" s="130"/>
      <c r="Y885" s="106"/>
    </row>
    <row r="886">
      <c r="C886" s="79"/>
      <c r="D886" s="79"/>
      <c r="J886" s="79"/>
      <c r="O886" s="79"/>
      <c r="P886" s="79"/>
      <c r="S886" s="79"/>
      <c r="T886" s="79"/>
      <c r="W886" s="130"/>
      <c r="Y886" s="106"/>
    </row>
    <row r="887">
      <c r="C887" s="79"/>
      <c r="D887" s="79"/>
      <c r="J887" s="79"/>
      <c r="O887" s="79"/>
      <c r="P887" s="79"/>
      <c r="S887" s="79"/>
      <c r="T887" s="79"/>
      <c r="W887" s="130"/>
      <c r="Y887" s="106"/>
    </row>
    <row r="888">
      <c r="C888" s="79"/>
      <c r="D888" s="79"/>
      <c r="J888" s="79"/>
      <c r="O888" s="79"/>
      <c r="P888" s="79"/>
      <c r="S888" s="79"/>
      <c r="T888" s="79"/>
      <c r="W888" s="130"/>
      <c r="Y888" s="106"/>
    </row>
    <row r="889">
      <c r="C889" s="79"/>
      <c r="D889" s="79"/>
      <c r="J889" s="79"/>
      <c r="O889" s="79"/>
      <c r="P889" s="79"/>
      <c r="S889" s="79"/>
      <c r="T889" s="79"/>
      <c r="W889" s="130"/>
      <c r="Y889" s="106"/>
    </row>
    <row r="890">
      <c r="C890" s="79"/>
      <c r="D890" s="79"/>
      <c r="J890" s="79"/>
      <c r="O890" s="79"/>
      <c r="P890" s="79"/>
      <c r="S890" s="79"/>
      <c r="T890" s="79"/>
      <c r="W890" s="130"/>
      <c r="Y890" s="106"/>
    </row>
    <row r="891">
      <c r="C891" s="79"/>
      <c r="D891" s="79"/>
      <c r="J891" s="79"/>
      <c r="O891" s="79"/>
      <c r="P891" s="79"/>
      <c r="S891" s="79"/>
      <c r="T891" s="79"/>
      <c r="W891" s="130"/>
      <c r="Y891" s="106"/>
    </row>
    <row r="892">
      <c r="C892" s="79"/>
      <c r="D892" s="79"/>
      <c r="J892" s="79"/>
      <c r="O892" s="79"/>
      <c r="P892" s="79"/>
      <c r="S892" s="79"/>
      <c r="T892" s="79"/>
      <c r="W892" s="130"/>
      <c r="Y892" s="106"/>
    </row>
    <row r="893">
      <c r="C893" s="79"/>
      <c r="D893" s="79"/>
      <c r="J893" s="79"/>
      <c r="O893" s="79"/>
      <c r="P893" s="79"/>
      <c r="S893" s="79"/>
      <c r="T893" s="79"/>
      <c r="W893" s="130"/>
      <c r="Y893" s="106"/>
    </row>
    <row r="894">
      <c r="C894" s="79"/>
      <c r="D894" s="79"/>
      <c r="J894" s="79"/>
      <c r="O894" s="79"/>
      <c r="P894" s="79"/>
      <c r="S894" s="79"/>
      <c r="T894" s="79"/>
      <c r="W894" s="130"/>
      <c r="Y894" s="106"/>
    </row>
    <row r="895">
      <c r="C895" s="79"/>
      <c r="D895" s="79"/>
      <c r="J895" s="79"/>
      <c r="O895" s="79"/>
      <c r="P895" s="79"/>
      <c r="S895" s="79"/>
      <c r="T895" s="79"/>
      <c r="W895" s="130"/>
      <c r="Y895" s="106"/>
    </row>
    <row r="896">
      <c r="C896" s="79"/>
      <c r="D896" s="79"/>
      <c r="J896" s="79"/>
      <c r="O896" s="79"/>
      <c r="P896" s="79"/>
      <c r="S896" s="79"/>
      <c r="T896" s="79"/>
      <c r="W896" s="130"/>
      <c r="Y896" s="106"/>
    </row>
    <row r="897">
      <c r="C897" s="79"/>
      <c r="D897" s="79"/>
      <c r="J897" s="79"/>
      <c r="O897" s="79"/>
      <c r="P897" s="79"/>
      <c r="S897" s="79"/>
      <c r="T897" s="79"/>
      <c r="W897" s="130"/>
      <c r="Y897" s="106"/>
    </row>
    <row r="898">
      <c r="C898" s="79"/>
      <c r="D898" s="79"/>
      <c r="J898" s="79"/>
      <c r="O898" s="79"/>
      <c r="P898" s="79"/>
      <c r="S898" s="79"/>
      <c r="T898" s="79"/>
      <c r="W898" s="130"/>
      <c r="Y898" s="106"/>
    </row>
    <row r="899">
      <c r="C899" s="79"/>
      <c r="D899" s="79"/>
      <c r="J899" s="79"/>
      <c r="O899" s="79"/>
      <c r="P899" s="79"/>
      <c r="S899" s="79"/>
      <c r="T899" s="79"/>
      <c r="W899" s="130"/>
      <c r="Y899" s="106"/>
    </row>
    <row r="900">
      <c r="C900" s="79"/>
      <c r="D900" s="79"/>
      <c r="J900" s="79"/>
      <c r="O900" s="79"/>
      <c r="P900" s="79"/>
      <c r="S900" s="79"/>
      <c r="T900" s="79"/>
      <c r="W900" s="130"/>
      <c r="Y900" s="106"/>
    </row>
    <row r="901">
      <c r="C901" s="79"/>
      <c r="D901" s="79"/>
      <c r="J901" s="79"/>
      <c r="O901" s="79"/>
      <c r="P901" s="79"/>
      <c r="S901" s="79"/>
      <c r="T901" s="79"/>
      <c r="W901" s="130"/>
      <c r="Y901" s="106"/>
    </row>
    <row r="902">
      <c r="C902" s="79"/>
      <c r="D902" s="79"/>
      <c r="J902" s="79"/>
      <c r="O902" s="79"/>
      <c r="P902" s="79"/>
      <c r="S902" s="79"/>
      <c r="T902" s="79"/>
      <c r="W902" s="130"/>
      <c r="Y902" s="106"/>
    </row>
    <row r="903">
      <c r="C903" s="79"/>
      <c r="D903" s="79"/>
      <c r="J903" s="79"/>
      <c r="O903" s="79"/>
      <c r="P903" s="79"/>
      <c r="S903" s="79"/>
      <c r="T903" s="79"/>
      <c r="W903" s="130"/>
      <c r="Y903" s="106"/>
    </row>
    <row r="904">
      <c r="C904" s="79"/>
      <c r="D904" s="79"/>
      <c r="J904" s="79"/>
      <c r="O904" s="79"/>
      <c r="P904" s="79"/>
      <c r="S904" s="79"/>
      <c r="T904" s="79"/>
      <c r="W904" s="130"/>
      <c r="Y904" s="106"/>
    </row>
    <row r="905">
      <c r="C905" s="79"/>
      <c r="D905" s="79"/>
      <c r="J905" s="79"/>
      <c r="O905" s="79"/>
      <c r="P905" s="79"/>
      <c r="S905" s="79"/>
      <c r="T905" s="79"/>
      <c r="W905" s="130"/>
      <c r="Y905" s="106"/>
    </row>
    <row r="906">
      <c r="C906" s="79"/>
      <c r="D906" s="79"/>
      <c r="J906" s="79"/>
      <c r="O906" s="79"/>
      <c r="P906" s="79"/>
      <c r="S906" s="79"/>
      <c r="T906" s="79"/>
      <c r="W906" s="130"/>
      <c r="Y906" s="106"/>
    </row>
    <row r="907">
      <c r="C907" s="79"/>
      <c r="D907" s="79"/>
      <c r="J907" s="79"/>
      <c r="O907" s="79"/>
      <c r="P907" s="79"/>
      <c r="S907" s="79"/>
      <c r="T907" s="79"/>
      <c r="W907" s="130"/>
      <c r="Y907" s="106"/>
    </row>
    <row r="908">
      <c r="C908" s="79"/>
      <c r="D908" s="79"/>
      <c r="J908" s="79"/>
      <c r="O908" s="79"/>
      <c r="P908" s="79"/>
      <c r="S908" s="79"/>
      <c r="T908" s="79"/>
      <c r="W908" s="130"/>
      <c r="Y908" s="106"/>
    </row>
    <row r="909">
      <c r="C909" s="79"/>
      <c r="D909" s="79"/>
      <c r="J909" s="79"/>
      <c r="O909" s="79"/>
      <c r="P909" s="79"/>
      <c r="S909" s="79"/>
      <c r="T909" s="79"/>
      <c r="W909" s="130"/>
      <c r="Y909" s="106"/>
    </row>
    <row r="910">
      <c r="C910" s="79"/>
      <c r="D910" s="79"/>
      <c r="J910" s="79"/>
      <c r="O910" s="79"/>
      <c r="P910" s="79"/>
      <c r="S910" s="79"/>
      <c r="T910" s="79"/>
      <c r="W910" s="130"/>
      <c r="Y910" s="106"/>
    </row>
    <row r="911">
      <c r="C911" s="79"/>
      <c r="D911" s="79"/>
      <c r="J911" s="79"/>
      <c r="O911" s="79"/>
      <c r="P911" s="79"/>
      <c r="S911" s="79"/>
      <c r="T911" s="79"/>
      <c r="W911" s="130"/>
      <c r="Y911" s="106"/>
    </row>
    <row r="912">
      <c r="C912" s="79"/>
      <c r="D912" s="79"/>
      <c r="J912" s="79"/>
      <c r="O912" s="79"/>
      <c r="P912" s="79"/>
      <c r="S912" s="79"/>
      <c r="T912" s="79"/>
      <c r="W912" s="130"/>
      <c r="Y912" s="106"/>
    </row>
    <row r="913">
      <c r="C913" s="79"/>
      <c r="D913" s="79"/>
      <c r="J913" s="79"/>
      <c r="O913" s="79"/>
      <c r="P913" s="79"/>
      <c r="S913" s="79"/>
      <c r="T913" s="79"/>
      <c r="W913" s="130"/>
      <c r="Y913" s="106"/>
    </row>
    <row r="914">
      <c r="C914" s="79"/>
      <c r="D914" s="79"/>
      <c r="J914" s="79"/>
      <c r="O914" s="79"/>
      <c r="P914" s="79"/>
      <c r="S914" s="79"/>
      <c r="T914" s="79"/>
      <c r="W914" s="130"/>
      <c r="Y914" s="106"/>
    </row>
    <row r="915">
      <c r="C915" s="79"/>
      <c r="D915" s="79"/>
      <c r="J915" s="79"/>
      <c r="O915" s="79"/>
      <c r="P915" s="79"/>
      <c r="S915" s="79"/>
      <c r="T915" s="79"/>
      <c r="W915" s="130"/>
      <c r="Y915" s="106"/>
    </row>
    <row r="916">
      <c r="C916" s="79"/>
      <c r="D916" s="79"/>
      <c r="J916" s="79"/>
      <c r="O916" s="79"/>
      <c r="P916" s="79"/>
      <c r="S916" s="79"/>
      <c r="T916" s="79"/>
      <c r="W916" s="130"/>
      <c r="Y916" s="106"/>
    </row>
    <row r="917">
      <c r="C917" s="79"/>
      <c r="D917" s="79"/>
      <c r="J917" s="79"/>
      <c r="O917" s="79"/>
      <c r="P917" s="79"/>
      <c r="S917" s="79"/>
      <c r="T917" s="79"/>
      <c r="W917" s="130"/>
      <c r="Y917" s="106"/>
    </row>
    <row r="918">
      <c r="C918" s="79"/>
      <c r="D918" s="79"/>
      <c r="J918" s="79"/>
      <c r="O918" s="79"/>
      <c r="P918" s="79"/>
      <c r="S918" s="79"/>
      <c r="T918" s="79"/>
      <c r="W918" s="130"/>
      <c r="Y918" s="106"/>
    </row>
    <row r="919">
      <c r="C919" s="79"/>
      <c r="D919" s="79"/>
      <c r="J919" s="79"/>
      <c r="O919" s="79"/>
      <c r="P919" s="79"/>
      <c r="S919" s="79"/>
      <c r="T919" s="79"/>
      <c r="W919" s="130"/>
      <c r="Y919" s="106"/>
    </row>
    <row r="920">
      <c r="C920" s="79"/>
      <c r="D920" s="79"/>
      <c r="J920" s="79"/>
      <c r="O920" s="79"/>
      <c r="P920" s="79"/>
      <c r="S920" s="79"/>
      <c r="T920" s="79"/>
      <c r="W920" s="130"/>
      <c r="Y920" s="106"/>
    </row>
    <row r="921">
      <c r="C921" s="79"/>
      <c r="D921" s="79"/>
      <c r="J921" s="79"/>
      <c r="O921" s="79"/>
      <c r="P921" s="79"/>
      <c r="S921" s="79"/>
      <c r="T921" s="79"/>
      <c r="W921" s="130"/>
      <c r="Y921" s="106"/>
    </row>
    <row r="922">
      <c r="C922" s="79"/>
      <c r="D922" s="79"/>
      <c r="J922" s="79"/>
      <c r="O922" s="79"/>
      <c r="P922" s="79"/>
      <c r="S922" s="79"/>
      <c r="T922" s="79"/>
      <c r="W922" s="130"/>
      <c r="Y922" s="106"/>
    </row>
    <row r="923">
      <c r="C923" s="79"/>
      <c r="D923" s="79"/>
      <c r="J923" s="79"/>
      <c r="O923" s="79"/>
      <c r="P923" s="79"/>
      <c r="S923" s="79"/>
      <c r="T923" s="79"/>
      <c r="W923" s="130"/>
      <c r="Y923" s="106"/>
    </row>
    <row r="924">
      <c r="C924" s="79"/>
      <c r="D924" s="79"/>
      <c r="J924" s="79"/>
      <c r="O924" s="79"/>
      <c r="P924" s="79"/>
      <c r="S924" s="79"/>
      <c r="T924" s="79"/>
      <c r="W924" s="130"/>
      <c r="Y924" s="106"/>
    </row>
    <row r="925">
      <c r="C925" s="79"/>
      <c r="D925" s="79"/>
      <c r="J925" s="79"/>
      <c r="O925" s="79"/>
      <c r="P925" s="79"/>
      <c r="S925" s="79"/>
      <c r="T925" s="79"/>
      <c r="W925" s="130"/>
      <c r="Y925" s="106"/>
    </row>
    <row r="926">
      <c r="C926" s="79"/>
      <c r="D926" s="79"/>
      <c r="J926" s="79"/>
      <c r="O926" s="79"/>
      <c r="P926" s="79"/>
      <c r="S926" s="79"/>
      <c r="T926" s="79"/>
      <c r="W926" s="130"/>
      <c r="Y926" s="106"/>
    </row>
    <row r="927">
      <c r="C927" s="79"/>
      <c r="D927" s="79"/>
      <c r="J927" s="79"/>
      <c r="O927" s="79"/>
      <c r="P927" s="79"/>
      <c r="S927" s="79"/>
      <c r="T927" s="79"/>
      <c r="W927" s="130"/>
      <c r="Y927" s="106"/>
    </row>
    <row r="928">
      <c r="C928" s="79"/>
      <c r="D928" s="79"/>
      <c r="J928" s="79"/>
      <c r="O928" s="79"/>
      <c r="P928" s="79"/>
      <c r="S928" s="79"/>
      <c r="T928" s="79"/>
      <c r="W928" s="130"/>
      <c r="Y928" s="106"/>
    </row>
    <row r="929">
      <c r="C929" s="79"/>
      <c r="D929" s="79"/>
      <c r="J929" s="79"/>
      <c r="O929" s="79"/>
      <c r="P929" s="79"/>
      <c r="S929" s="79"/>
      <c r="T929" s="79"/>
      <c r="W929" s="130"/>
      <c r="Y929" s="106"/>
    </row>
    <row r="930">
      <c r="C930" s="79"/>
      <c r="D930" s="79"/>
      <c r="J930" s="79"/>
      <c r="O930" s="79"/>
      <c r="P930" s="79"/>
      <c r="S930" s="79"/>
      <c r="T930" s="79"/>
      <c r="W930" s="130"/>
      <c r="Y930" s="106"/>
    </row>
    <row r="931">
      <c r="C931" s="79"/>
      <c r="D931" s="79"/>
      <c r="J931" s="79"/>
      <c r="O931" s="79"/>
      <c r="P931" s="79"/>
      <c r="S931" s="79"/>
      <c r="T931" s="79"/>
      <c r="W931" s="130"/>
      <c r="Y931" s="106"/>
    </row>
    <row r="932">
      <c r="C932" s="79"/>
      <c r="D932" s="79"/>
      <c r="J932" s="79"/>
      <c r="O932" s="79"/>
      <c r="P932" s="79"/>
      <c r="S932" s="79"/>
      <c r="T932" s="79"/>
      <c r="W932" s="130"/>
      <c r="Y932" s="106"/>
    </row>
    <row r="933">
      <c r="C933" s="79"/>
      <c r="D933" s="79"/>
      <c r="J933" s="79"/>
      <c r="O933" s="79"/>
      <c r="P933" s="79"/>
      <c r="S933" s="79"/>
      <c r="T933" s="79"/>
      <c r="W933" s="130"/>
      <c r="Y933" s="106"/>
    </row>
    <row r="934">
      <c r="C934" s="79"/>
      <c r="D934" s="79"/>
      <c r="J934" s="79"/>
      <c r="O934" s="79"/>
      <c r="P934" s="79"/>
      <c r="S934" s="79"/>
      <c r="T934" s="79"/>
      <c r="W934" s="130"/>
      <c r="Y934" s="106"/>
    </row>
    <row r="935">
      <c r="C935" s="79"/>
      <c r="D935" s="79"/>
      <c r="J935" s="79"/>
      <c r="O935" s="79"/>
      <c r="P935" s="79"/>
      <c r="S935" s="79"/>
      <c r="T935" s="79"/>
      <c r="W935" s="130"/>
      <c r="Y935" s="106"/>
    </row>
    <row r="936">
      <c r="C936" s="79"/>
      <c r="D936" s="79"/>
      <c r="J936" s="79"/>
      <c r="O936" s="79"/>
      <c r="P936" s="79"/>
      <c r="S936" s="79"/>
      <c r="T936" s="79"/>
      <c r="W936" s="130"/>
      <c r="Y936" s="106"/>
    </row>
    <row r="937">
      <c r="C937" s="79"/>
      <c r="D937" s="79"/>
      <c r="J937" s="79"/>
      <c r="O937" s="79"/>
      <c r="P937" s="79"/>
      <c r="S937" s="79"/>
      <c r="T937" s="79"/>
      <c r="W937" s="130"/>
      <c r="Y937" s="106"/>
    </row>
    <row r="938">
      <c r="C938" s="79"/>
      <c r="D938" s="79"/>
      <c r="J938" s="79"/>
      <c r="O938" s="79"/>
      <c r="P938" s="79"/>
      <c r="S938" s="79"/>
      <c r="T938" s="79"/>
      <c r="W938" s="130"/>
      <c r="Y938" s="106"/>
    </row>
    <row r="939">
      <c r="C939" s="79"/>
      <c r="D939" s="79"/>
      <c r="J939" s="79"/>
      <c r="O939" s="79"/>
      <c r="P939" s="79"/>
      <c r="S939" s="79"/>
      <c r="T939" s="79"/>
      <c r="W939" s="130"/>
      <c r="Y939" s="106"/>
    </row>
    <row r="940">
      <c r="C940" s="79"/>
      <c r="D940" s="79"/>
      <c r="J940" s="79"/>
      <c r="O940" s="79"/>
      <c r="P940" s="79"/>
      <c r="S940" s="79"/>
      <c r="T940" s="79"/>
      <c r="W940" s="130"/>
      <c r="Y940" s="106"/>
    </row>
    <row r="941">
      <c r="C941" s="79"/>
      <c r="D941" s="79"/>
      <c r="J941" s="79"/>
      <c r="O941" s="79"/>
      <c r="P941" s="79"/>
      <c r="S941" s="79"/>
      <c r="T941" s="79"/>
      <c r="W941" s="130"/>
      <c r="Y941" s="106"/>
    </row>
    <row r="942">
      <c r="C942" s="79"/>
      <c r="D942" s="79"/>
      <c r="J942" s="79"/>
      <c r="O942" s="79"/>
      <c r="P942" s="79"/>
      <c r="S942" s="79"/>
      <c r="T942" s="79"/>
      <c r="W942" s="130"/>
      <c r="Y942" s="106"/>
    </row>
    <row r="943">
      <c r="C943" s="79"/>
      <c r="D943" s="79"/>
      <c r="J943" s="79"/>
      <c r="O943" s="79"/>
      <c r="P943" s="79"/>
      <c r="S943" s="79"/>
      <c r="T943" s="79"/>
      <c r="W943" s="130"/>
      <c r="Y943" s="106"/>
    </row>
    <row r="944">
      <c r="C944" s="79"/>
      <c r="D944" s="79"/>
      <c r="J944" s="79"/>
      <c r="O944" s="79"/>
      <c r="P944" s="79"/>
      <c r="S944" s="79"/>
      <c r="T944" s="79"/>
      <c r="W944" s="130"/>
      <c r="Y944" s="106"/>
    </row>
    <row r="945">
      <c r="C945" s="79"/>
      <c r="D945" s="79"/>
      <c r="J945" s="79"/>
      <c r="O945" s="79"/>
      <c r="P945" s="79"/>
      <c r="S945" s="79"/>
      <c r="T945" s="79"/>
      <c r="W945" s="130"/>
      <c r="Y945" s="106"/>
    </row>
    <row r="946">
      <c r="C946" s="79"/>
      <c r="D946" s="79"/>
      <c r="J946" s="79"/>
      <c r="O946" s="79"/>
      <c r="P946" s="79"/>
      <c r="S946" s="79"/>
      <c r="T946" s="79"/>
      <c r="W946" s="130"/>
      <c r="Y946" s="106"/>
    </row>
    <row r="947">
      <c r="C947" s="79"/>
      <c r="D947" s="79"/>
      <c r="J947" s="79"/>
      <c r="O947" s="79"/>
      <c r="P947" s="79"/>
      <c r="S947" s="79"/>
      <c r="T947" s="79"/>
      <c r="W947" s="130"/>
      <c r="Y947" s="106"/>
    </row>
    <row r="948">
      <c r="C948" s="79"/>
      <c r="D948" s="79"/>
      <c r="J948" s="79"/>
      <c r="O948" s="79"/>
      <c r="P948" s="79"/>
      <c r="S948" s="79"/>
      <c r="T948" s="79"/>
      <c r="W948" s="130"/>
      <c r="Y948" s="106"/>
    </row>
    <row r="949">
      <c r="C949" s="79"/>
      <c r="D949" s="79"/>
      <c r="J949" s="79"/>
      <c r="O949" s="79"/>
      <c r="P949" s="79"/>
      <c r="S949" s="79"/>
      <c r="T949" s="79"/>
      <c r="W949" s="130"/>
      <c r="Y949" s="106"/>
    </row>
    <row r="950">
      <c r="C950" s="79"/>
      <c r="D950" s="79"/>
      <c r="J950" s="79"/>
      <c r="O950" s="79"/>
      <c r="P950" s="79"/>
      <c r="S950" s="79"/>
      <c r="T950" s="79"/>
      <c r="W950" s="130"/>
      <c r="Y950" s="106"/>
    </row>
    <row r="951">
      <c r="C951" s="79"/>
      <c r="D951" s="79"/>
      <c r="J951" s="79"/>
      <c r="O951" s="79"/>
      <c r="P951" s="79"/>
      <c r="S951" s="79"/>
      <c r="T951" s="79"/>
      <c r="W951" s="130"/>
      <c r="Y951" s="106"/>
    </row>
    <row r="952">
      <c r="C952" s="79"/>
      <c r="D952" s="79"/>
      <c r="J952" s="79"/>
      <c r="O952" s="79"/>
      <c r="P952" s="79"/>
      <c r="S952" s="79"/>
      <c r="T952" s="79"/>
      <c r="W952" s="130"/>
      <c r="Y952" s="106"/>
    </row>
    <row r="953">
      <c r="C953" s="79"/>
      <c r="D953" s="79"/>
      <c r="J953" s="79"/>
      <c r="O953" s="79"/>
      <c r="P953" s="79"/>
      <c r="S953" s="79"/>
      <c r="T953" s="79"/>
      <c r="W953" s="130"/>
      <c r="Y953" s="106"/>
    </row>
    <row r="954">
      <c r="C954" s="79"/>
      <c r="D954" s="79"/>
      <c r="J954" s="79"/>
      <c r="O954" s="79"/>
      <c r="P954" s="79"/>
      <c r="S954" s="79"/>
      <c r="T954" s="79"/>
      <c r="W954" s="130"/>
      <c r="Y954" s="106"/>
    </row>
    <row r="955">
      <c r="C955" s="79"/>
      <c r="D955" s="79"/>
      <c r="J955" s="79"/>
      <c r="O955" s="79"/>
      <c r="P955" s="79"/>
      <c r="S955" s="79"/>
      <c r="T955" s="79"/>
      <c r="W955" s="130"/>
      <c r="Y955" s="106"/>
    </row>
    <row r="956">
      <c r="C956" s="79"/>
      <c r="D956" s="79"/>
      <c r="J956" s="79"/>
      <c r="O956" s="79"/>
      <c r="P956" s="79"/>
      <c r="S956" s="79"/>
      <c r="T956" s="79"/>
      <c r="W956" s="130"/>
      <c r="Y956" s="106"/>
    </row>
    <row r="957">
      <c r="C957" s="79"/>
      <c r="D957" s="79"/>
      <c r="J957" s="79"/>
      <c r="O957" s="79"/>
      <c r="P957" s="79"/>
      <c r="S957" s="79"/>
      <c r="T957" s="79"/>
      <c r="W957" s="130"/>
      <c r="Y957" s="106"/>
    </row>
    <row r="958">
      <c r="C958" s="79"/>
      <c r="D958" s="79"/>
      <c r="J958" s="79"/>
      <c r="O958" s="79"/>
      <c r="P958" s="79"/>
      <c r="S958" s="79"/>
      <c r="T958" s="79"/>
      <c r="W958" s="130"/>
      <c r="Y958" s="106"/>
    </row>
    <row r="959">
      <c r="C959" s="79"/>
      <c r="D959" s="79"/>
      <c r="J959" s="79"/>
      <c r="O959" s="79"/>
      <c r="P959" s="79"/>
      <c r="S959" s="79"/>
      <c r="T959" s="79"/>
      <c r="W959" s="130"/>
      <c r="Y959" s="106"/>
    </row>
    <row r="960">
      <c r="C960" s="79"/>
      <c r="D960" s="79"/>
      <c r="J960" s="79"/>
      <c r="O960" s="79"/>
      <c r="P960" s="79"/>
      <c r="S960" s="79"/>
      <c r="T960" s="79"/>
      <c r="W960" s="130"/>
      <c r="Y960" s="106"/>
    </row>
    <row r="961">
      <c r="C961" s="79"/>
      <c r="D961" s="79"/>
      <c r="J961" s="79"/>
      <c r="O961" s="79"/>
      <c r="P961" s="79"/>
      <c r="S961" s="79"/>
      <c r="T961" s="79"/>
      <c r="W961" s="130"/>
      <c r="Y961" s="106"/>
    </row>
    <row r="962">
      <c r="C962" s="79"/>
      <c r="D962" s="79"/>
      <c r="J962" s="79"/>
      <c r="O962" s="79"/>
      <c r="P962" s="79"/>
      <c r="S962" s="79"/>
      <c r="T962" s="79"/>
      <c r="W962" s="130"/>
      <c r="Y962" s="106"/>
    </row>
    <row r="963">
      <c r="C963" s="79"/>
      <c r="D963" s="79"/>
      <c r="J963" s="79"/>
      <c r="O963" s="79"/>
      <c r="P963" s="79"/>
      <c r="S963" s="79"/>
      <c r="T963" s="79"/>
      <c r="W963" s="130"/>
      <c r="Y963" s="106"/>
    </row>
    <row r="964">
      <c r="C964" s="79"/>
      <c r="D964" s="79"/>
      <c r="J964" s="79"/>
      <c r="O964" s="79"/>
      <c r="P964" s="79"/>
      <c r="S964" s="79"/>
      <c r="T964" s="79"/>
      <c r="W964" s="130"/>
      <c r="Y964" s="106"/>
    </row>
    <row r="965">
      <c r="C965" s="79"/>
      <c r="D965" s="79"/>
      <c r="J965" s="79"/>
      <c r="O965" s="79"/>
      <c r="P965" s="79"/>
      <c r="S965" s="79"/>
      <c r="T965" s="79"/>
      <c r="W965" s="130"/>
      <c r="Y965" s="106"/>
    </row>
    <row r="966">
      <c r="C966" s="79"/>
      <c r="D966" s="79"/>
      <c r="J966" s="79"/>
      <c r="O966" s="79"/>
      <c r="P966" s="79"/>
      <c r="S966" s="79"/>
      <c r="T966" s="79"/>
      <c r="W966" s="130"/>
      <c r="Y966" s="106"/>
    </row>
    <row r="967">
      <c r="C967" s="79"/>
      <c r="D967" s="79"/>
      <c r="J967" s="79"/>
      <c r="O967" s="79"/>
      <c r="P967" s="79"/>
      <c r="S967" s="79"/>
      <c r="T967" s="79"/>
      <c r="W967" s="130"/>
      <c r="Y967" s="106"/>
    </row>
    <row r="968">
      <c r="C968" s="79"/>
      <c r="D968" s="79"/>
      <c r="J968" s="79"/>
      <c r="O968" s="79"/>
      <c r="P968" s="79"/>
      <c r="S968" s="79"/>
      <c r="T968" s="79"/>
      <c r="W968" s="130"/>
      <c r="Y968" s="106"/>
    </row>
    <row r="969">
      <c r="C969" s="79"/>
      <c r="D969" s="79"/>
      <c r="J969" s="79"/>
      <c r="O969" s="79"/>
      <c r="P969" s="79"/>
      <c r="S969" s="79"/>
      <c r="T969" s="79"/>
      <c r="W969" s="130"/>
      <c r="Y969" s="106"/>
    </row>
    <row r="970">
      <c r="C970" s="79"/>
      <c r="D970" s="79"/>
      <c r="J970" s="79"/>
      <c r="O970" s="79"/>
      <c r="P970" s="79"/>
      <c r="S970" s="79"/>
      <c r="T970" s="79"/>
      <c r="W970" s="130"/>
      <c r="Y970" s="106"/>
    </row>
    <row r="971">
      <c r="C971" s="79"/>
      <c r="D971" s="79"/>
      <c r="J971" s="79"/>
      <c r="O971" s="79"/>
      <c r="P971" s="79"/>
      <c r="S971" s="79"/>
      <c r="T971" s="79"/>
      <c r="W971" s="130"/>
      <c r="Y971" s="106"/>
    </row>
    <row r="972">
      <c r="C972" s="79"/>
      <c r="D972" s="79"/>
      <c r="J972" s="79"/>
      <c r="O972" s="79"/>
      <c r="P972" s="79"/>
      <c r="S972" s="79"/>
      <c r="T972" s="79"/>
      <c r="W972" s="130"/>
      <c r="Y972" s="106"/>
    </row>
    <row r="973">
      <c r="C973" s="79"/>
      <c r="D973" s="79"/>
      <c r="J973" s="79"/>
      <c r="O973" s="79"/>
      <c r="P973" s="79"/>
      <c r="S973" s="79"/>
      <c r="T973" s="79"/>
      <c r="W973" s="130"/>
      <c r="Y973" s="106"/>
    </row>
    <row r="974">
      <c r="C974" s="79"/>
      <c r="D974" s="79"/>
      <c r="J974" s="79"/>
      <c r="O974" s="79"/>
      <c r="P974" s="79"/>
      <c r="S974" s="79"/>
      <c r="T974" s="79"/>
      <c r="W974" s="130"/>
      <c r="Y974" s="106"/>
    </row>
    <row r="975">
      <c r="C975" s="79"/>
      <c r="D975" s="79"/>
      <c r="J975" s="79"/>
      <c r="O975" s="79"/>
      <c r="P975" s="79"/>
      <c r="S975" s="79"/>
      <c r="T975" s="79"/>
      <c r="W975" s="130"/>
      <c r="Y975" s="106"/>
    </row>
    <row r="976">
      <c r="C976" s="79"/>
      <c r="D976" s="79"/>
      <c r="J976" s="79"/>
      <c r="O976" s="79"/>
      <c r="P976" s="79"/>
      <c r="S976" s="79"/>
      <c r="T976" s="79"/>
      <c r="W976" s="130"/>
      <c r="Y976" s="106"/>
    </row>
    <row r="977">
      <c r="C977" s="79"/>
      <c r="D977" s="79"/>
      <c r="J977" s="79"/>
      <c r="O977" s="79"/>
      <c r="P977" s="79"/>
      <c r="S977" s="79"/>
      <c r="T977" s="79"/>
      <c r="W977" s="130"/>
      <c r="Y977" s="106"/>
    </row>
    <row r="978">
      <c r="C978" s="79"/>
      <c r="D978" s="79"/>
      <c r="J978" s="79"/>
      <c r="O978" s="79"/>
      <c r="P978" s="79"/>
      <c r="S978" s="79"/>
      <c r="T978" s="79"/>
      <c r="W978" s="130"/>
      <c r="Y978" s="106"/>
    </row>
    <row r="979">
      <c r="C979" s="79"/>
      <c r="D979" s="79"/>
      <c r="J979" s="79"/>
      <c r="O979" s="79"/>
      <c r="P979" s="79"/>
      <c r="S979" s="79"/>
      <c r="T979" s="79"/>
      <c r="W979" s="130"/>
      <c r="Y979" s="106"/>
    </row>
    <row r="980">
      <c r="C980" s="79"/>
      <c r="D980" s="79"/>
      <c r="J980" s="79"/>
      <c r="O980" s="79"/>
      <c r="P980" s="79"/>
      <c r="S980" s="79"/>
      <c r="T980" s="79"/>
      <c r="W980" s="130"/>
      <c r="Y980" s="106"/>
    </row>
    <row r="981">
      <c r="C981" s="79"/>
      <c r="D981" s="79"/>
      <c r="J981" s="79"/>
      <c r="O981" s="79"/>
      <c r="P981" s="79"/>
      <c r="S981" s="79"/>
      <c r="T981" s="79"/>
      <c r="W981" s="130"/>
      <c r="Y981" s="106"/>
    </row>
    <row r="982">
      <c r="C982" s="79"/>
      <c r="D982" s="79"/>
      <c r="J982" s="79"/>
      <c r="O982" s="79"/>
      <c r="P982" s="79"/>
      <c r="S982" s="79"/>
      <c r="T982" s="79"/>
      <c r="W982" s="130"/>
      <c r="Y982" s="106"/>
    </row>
    <row r="983">
      <c r="C983" s="79"/>
      <c r="D983" s="79"/>
      <c r="J983" s="79"/>
      <c r="O983" s="79"/>
      <c r="P983" s="79"/>
      <c r="S983" s="79"/>
      <c r="T983" s="79"/>
      <c r="W983" s="130"/>
      <c r="Y983" s="106"/>
    </row>
    <row r="984">
      <c r="C984" s="79"/>
      <c r="D984" s="79"/>
      <c r="J984" s="79"/>
      <c r="O984" s="79"/>
      <c r="P984" s="79"/>
      <c r="S984" s="79"/>
      <c r="T984" s="79"/>
      <c r="W984" s="130"/>
      <c r="Y984" s="106"/>
    </row>
    <row r="985">
      <c r="C985" s="79"/>
      <c r="D985" s="79"/>
      <c r="J985" s="79"/>
      <c r="O985" s="79"/>
      <c r="P985" s="79"/>
      <c r="S985" s="79"/>
      <c r="T985" s="79"/>
      <c r="W985" s="130"/>
      <c r="Y985" s="106"/>
    </row>
    <row r="986">
      <c r="C986" s="79"/>
      <c r="D986" s="79"/>
      <c r="J986" s="79"/>
      <c r="O986" s="79"/>
      <c r="P986" s="79"/>
      <c r="S986" s="79"/>
      <c r="T986" s="79"/>
      <c r="W986" s="130"/>
      <c r="Y986" s="106"/>
    </row>
    <row r="987">
      <c r="C987" s="79"/>
      <c r="D987" s="79"/>
      <c r="J987" s="79"/>
      <c r="O987" s="79"/>
      <c r="P987" s="79"/>
      <c r="S987" s="79"/>
      <c r="T987" s="79"/>
      <c r="W987" s="130"/>
      <c r="Y987" s="106"/>
    </row>
    <row r="988">
      <c r="C988" s="79"/>
      <c r="D988" s="79"/>
      <c r="J988" s="79"/>
      <c r="O988" s="79"/>
      <c r="P988" s="79"/>
      <c r="S988" s="79"/>
      <c r="T988" s="79"/>
      <c r="W988" s="130"/>
      <c r="Y988" s="106"/>
    </row>
    <row r="989">
      <c r="C989" s="79"/>
      <c r="D989" s="79"/>
      <c r="J989" s="79"/>
      <c r="O989" s="79"/>
      <c r="P989" s="79"/>
      <c r="S989" s="79"/>
      <c r="T989" s="79"/>
      <c r="W989" s="130"/>
      <c r="Y989" s="106"/>
    </row>
    <row r="990">
      <c r="C990" s="79"/>
      <c r="D990" s="79"/>
      <c r="J990" s="79"/>
      <c r="O990" s="79"/>
      <c r="P990" s="79"/>
      <c r="S990" s="79"/>
      <c r="T990" s="79"/>
      <c r="W990" s="130"/>
      <c r="Y990" s="106"/>
    </row>
    <row r="991">
      <c r="C991" s="79"/>
      <c r="D991" s="79"/>
      <c r="J991" s="79"/>
      <c r="O991" s="79"/>
      <c r="P991" s="79"/>
      <c r="S991" s="79"/>
      <c r="T991" s="79"/>
      <c r="W991" s="130"/>
      <c r="Y991" s="106"/>
    </row>
    <row r="992">
      <c r="C992" s="79"/>
      <c r="D992" s="79"/>
      <c r="J992" s="79"/>
      <c r="O992" s="79"/>
      <c r="P992" s="79"/>
      <c r="S992" s="79"/>
      <c r="T992" s="79"/>
      <c r="W992" s="130"/>
      <c r="Y992" s="106"/>
    </row>
    <row r="993">
      <c r="C993" s="79"/>
      <c r="D993" s="79"/>
      <c r="J993" s="79"/>
      <c r="O993" s="79"/>
      <c r="P993" s="79"/>
      <c r="S993" s="79"/>
      <c r="T993" s="79"/>
      <c r="W993" s="130"/>
      <c r="Y993" s="106"/>
    </row>
    <row r="994">
      <c r="C994" s="79"/>
      <c r="D994" s="79"/>
      <c r="J994" s="79"/>
      <c r="O994" s="79"/>
      <c r="P994" s="79"/>
      <c r="S994" s="79"/>
      <c r="T994" s="79"/>
      <c r="W994" s="130"/>
      <c r="Y994" s="106"/>
    </row>
    <row r="995">
      <c r="C995" s="79"/>
      <c r="D995" s="79"/>
      <c r="J995" s="79"/>
      <c r="O995" s="79"/>
      <c r="P995" s="79"/>
      <c r="S995" s="79"/>
      <c r="T995" s="79"/>
      <c r="W995" s="130"/>
      <c r="Y995" s="106"/>
    </row>
    <row r="996">
      <c r="C996" s="79"/>
      <c r="D996" s="79"/>
      <c r="J996" s="79"/>
      <c r="O996" s="79"/>
      <c r="P996" s="79"/>
      <c r="S996" s="79"/>
      <c r="T996" s="79"/>
      <c r="W996" s="130"/>
      <c r="Y996" s="106"/>
    </row>
    <row r="997">
      <c r="C997" s="79"/>
      <c r="D997" s="79"/>
      <c r="J997" s="79"/>
      <c r="O997" s="79"/>
      <c r="P997" s="79"/>
      <c r="S997" s="79"/>
      <c r="T997" s="79"/>
      <c r="W997" s="130"/>
      <c r="Y997" s="106"/>
    </row>
    <row r="998">
      <c r="C998" s="79"/>
      <c r="D998" s="79"/>
      <c r="J998" s="79"/>
      <c r="O998" s="79"/>
      <c r="P998" s="79"/>
      <c r="S998" s="79"/>
      <c r="T998" s="79"/>
      <c r="W998" s="130"/>
      <c r="Y998" s="106"/>
    </row>
    <row r="999">
      <c r="C999" s="79"/>
      <c r="D999" s="79"/>
      <c r="J999" s="79"/>
      <c r="O999" s="79"/>
      <c r="P999" s="79"/>
      <c r="S999" s="79"/>
      <c r="T999" s="79"/>
      <c r="W999" s="130"/>
      <c r="Y999" s="106"/>
    </row>
    <row r="1000">
      <c r="C1000" s="79"/>
      <c r="D1000" s="79"/>
      <c r="J1000" s="79"/>
      <c r="O1000" s="79"/>
      <c r="P1000" s="79"/>
      <c r="S1000" s="79"/>
      <c r="T1000" s="79"/>
      <c r="W1000" s="130"/>
      <c r="Y1000" s="106"/>
    </row>
  </sheetData>
  <mergeCells count="1">
    <mergeCell ref="H19:J19"/>
  </mergeCells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5" max="25" width="17.0"/>
  </cols>
  <sheetData>
    <row r="1">
      <c r="B1" s="2" t="s">
        <v>0</v>
      </c>
      <c r="C1" s="105" t="s">
        <v>1</v>
      </c>
      <c r="D1" s="105" t="s">
        <v>7</v>
      </c>
      <c r="E1" s="2" t="s">
        <v>3</v>
      </c>
      <c r="F1" s="2" t="s">
        <v>129</v>
      </c>
      <c r="G1" s="2" t="s">
        <v>5</v>
      </c>
      <c r="H1" s="2" t="s">
        <v>6</v>
      </c>
      <c r="I1" s="2" t="s">
        <v>43</v>
      </c>
      <c r="J1" s="105" t="s">
        <v>40</v>
      </c>
      <c r="K1" s="2" t="s">
        <v>49</v>
      </c>
      <c r="L1" s="2" t="s">
        <v>42</v>
      </c>
      <c r="M1" s="2" t="s">
        <v>121</v>
      </c>
      <c r="N1" s="2" t="s">
        <v>164</v>
      </c>
      <c r="O1" s="105" t="s">
        <v>9</v>
      </c>
      <c r="P1" s="105" t="s">
        <v>165</v>
      </c>
      <c r="Q1" s="2" t="s">
        <v>179</v>
      </c>
      <c r="R1" s="2" t="s">
        <v>10</v>
      </c>
      <c r="S1" s="105" t="s">
        <v>11</v>
      </c>
      <c r="T1" s="105" t="s">
        <v>180</v>
      </c>
      <c r="U1" s="2" t="s">
        <v>12</v>
      </c>
      <c r="V1" s="3" t="s">
        <v>13</v>
      </c>
      <c r="W1" s="126" t="s">
        <v>14</v>
      </c>
      <c r="X1" s="3" t="s">
        <v>15</v>
      </c>
      <c r="Y1" s="106"/>
    </row>
    <row r="2">
      <c r="A2" s="74">
        <v>45187.0</v>
      </c>
      <c r="B2" s="5">
        <v>1133.84</v>
      </c>
      <c r="C2" s="93">
        <v>348.4</v>
      </c>
      <c r="D2" s="93"/>
      <c r="E2" s="5"/>
      <c r="F2" s="5">
        <v>911.6</v>
      </c>
      <c r="G2" s="5"/>
      <c r="H2" s="5"/>
      <c r="I2" s="5"/>
      <c r="J2" s="136"/>
      <c r="K2" s="5">
        <v>168.0</v>
      </c>
      <c r="L2" s="5"/>
      <c r="M2" s="5"/>
      <c r="N2" s="5"/>
      <c r="O2" s="93"/>
      <c r="P2" s="93">
        <v>137.0</v>
      </c>
      <c r="Q2" s="5">
        <v>245.0</v>
      </c>
      <c r="R2" s="5">
        <v>198.0</v>
      </c>
      <c r="S2" s="93">
        <v>57.05</v>
      </c>
      <c r="T2" s="93"/>
      <c r="U2" s="5"/>
      <c r="V2" s="107">
        <f t="shared" ref="V2:V7" si="1">SUM(B2:U2)</f>
        <v>3198.89</v>
      </c>
      <c r="W2" s="108">
        <v>9048.42</v>
      </c>
      <c r="X2" s="59">
        <f t="shared" ref="X2:X8" si="2">V2/W2</f>
        <v>0.3535302296</v>
      </c>
      <c r="Y2" s="109">
        <f t="shared" ref="Y2:Y8" si="3">A2</f>
        <v>45187</v>
      </c>
    </row>
    <row r="3">
      <c r="A3" s="74">
        <v>45188.0</v>
      </c>
      <c r="B3" s="5">
        <v>1662.92</v>
      </c>
      <c r="C3" s="110">
        <v>285.3</v>
      </c>
      <c r="D3" s="93"/>
      <c r="E3" s="5"/>
      <c r="F3" s="5"/>
      <c r="G3" s="5">
        <v>865.04</v>
      </c>
      <c r="H3" s="5">
        <v>42.0</v>
      </c>
      <c r="I3" s="5"/>
      <c r="J3" s="93"/>
      <c r="K3" s="5"/>
      <c r="L3" s="5"/>
      <c r="M3" s="6"/>
      <c r="N3" s="6"/>
      <c r="O3" s="93"/>
      <c r="P3" s="93"/>
      <c r="Q3" s="93"/>
      <c r="R3" s="5"/>
      <c r="S3" s="93"/>
      <c r="T3" s="93">
        <v>132.0</v>
      </c>
      <c r="U3" s="93">
        <v>179.96</v>
      </c>
      <c r="V3" s="7">
        <f t="shared" si="1"/>
        <v>3167.22</v>
      </c>
      <c r="W3" s="97">
        <v>8908.8</v>
      </c>
      <c r="X3" s="59">
        <f t="shared" si="2"/>
        <v>0.3555158944</v>
      </c>
      <c r="Y3" s="109">
        <f t="shared" si="3"/>
        <v>45188</v>
      </c>
    </row>
    <row r="4">
      <c r="A4" s="74">
        <v>45189.0</v>
      </c>
      <c r="B4" s="5">
        <v>406.03</v>
      </c>
      <c r="C4" s="93">
        <v>68.29</v>
      </c>
      <c r="D4" s="93"/>
      <c r="E4" s="5"/>
      <c r="F4" s="5"/>
      <c r="G4" s="5"/>
      <c r="H4" s="5"/>
      <c r="I4" s="5"/>
      <c r="J4" s="93"/>
      <c r="K4" s="5"/>
      <c r="L4" s="5"/>
      <c r="M4" s="5">
        <v>18.5</v>
      </c>
      <c r="N4" s="5"/>
      <c r="O4" s="93"/>
      <c r="P4" s="93"/>
      <c r="Q4" s="5"/>
      <c r="R4" s="83"/>
      <c r="S4" s="93">
        <v>57.05</v>
      </c>
      <c r="T4" s="93"/>
      <c r="U4" s="6"/>
      <c r="V4" s="7">
        <f t="shared" si="1"/>
        <v>549.87</v>
      </c>
      <c r="W4" s="97">
        <v>20539.05</v>
      </c>
      <c r="X4" s="59">
        <f t="shared" si="2"/>
        <v>0.02677192957</v>
      </c>
      <c r="Y4" s="109">
        <f t="shared" si="3"/>
        <v>45189</v>
      </c>
    </row>
    <row r="5">
      <c r="A5" s="74">
        <v>45190.0</v>
      </c>
      <c r="B5" s="5">
        <v>858.86</v>
      </c>
      <c r="C5" s="93">
        <v>453.8</v>
      </c>
      <c r="D5" s="44">
        <v>197.0</v>
      </c>
      <c r="E5" s="5">
        <v>280.0</v>
      </c>
      <c r="F5" s="5"/>
      <c r="G5" s="5"/>
      <c r="H5" s="5">
        <v>123.0</v>
      </c>
      <c r="I5" s="5"/>
      <c r="J5" s="93"/>
      <c r="K5" s="5"/>
      <c r="L5" s="5"/>
      <c r="M5" s="5">
        <v>18.5</v>
      </c>
      <c r="N5" s="5"/>
      <c r="O5" s="93"/>
      <c r="P5" s="93"/>
      <c r="Q5" s="5"/>
      <c r="R5" s="5"/>
      <c r="S5" s="101"/>
      <c r="T5" s="101"/>
      <c r="U5" s="6"/>
      <c r="V5" s="7">
        <f t="shared" si="1"/>
        <v>1931.16</v>
      </c>
      <c r="W5" s="98">
        <v>7633.0</v>
      </c>
      <c r="X5" s="59">
        <f t="shared" si="2"/>
        <v>0.2530014411</v>
      </c>
      <c r="Y5" s="109">
        <f t="shared" si="3"/>
        <v>45190</v>
      </c>
    </row>
    <row r="6">
      <c r="A6" s="74">
        <v>45191.0</v>
      </c>
      <c r="B6" s="5">
        <v>1712.12</v>
      </c>
      <c r="C6" s="93">
        <v>1179.58</v>
      </c>
      <c r="D6" s="93"/>
      <c r="E6" s="5"/>
      <c r="F6" s="32">
        <v>595.83</v>
      </c>
      <c r="G6" s="5"/>
      <c r="H6" s="5"/>
      <c r="I6" s="5"/>
      <c r="J6" s="111"/>
      <c r="K6" s="5"/>
      <c r="L6" s="5">
        <v>104.72</v>
      </c>
      <c r="M6" s="5">
        <v>18.5</v>
      </c>
      <c r="N6" s="5"/>
      <c r="O6" s="93"/>
      <c r="P6" s="93"/>
      <c r="Q6" s="5"/>
      <c r="R6" s="5"/>
      <c r="S6" s="93">
        <v>57.05</v>
      </c>
      <c r="T6" s="93"/>
      <c r="U6" s="5"/>
      <c r="V6" s="7">
        <f t="shared" si="1"/>
        <v>3667.8</v>
      </c>
      <c r="W6" s="97">
        <v>16895.0</v>
      </c>
      <c r="X6" s="59">
        <f t="shared" si="2"/>
        <v>0.2170938147</v>
      </c>
      <c r="Y6" s="109">
        <f t="shared" si="3"/>
        <v>45191</v>
      </c>
    </row>
    <row r="7">
      <c r="A7" s="74">
        <v>45192.0</v>
      </c>
      <c r="B7" s="5">
        <v>1390.56</v>
      </c>
      <c r="C7" s="93">
        <v>635.5</v>
      </c>
      <c r="D7" s="93"/>
      <c r="E7" s="5"/>
      <c r="F7" s="5"/>
      <c r="G7" s="5"/>
      <c r="H7" s="5"/>
      <c r="I7" s="5"/>
      <c r="J7" s="101"/>
      <c r="K7" s="5"/>
      <c r="L7" s="5"/>
      <c r="M7" s="93"/>
      <c r="N7" s="93"/>
      <c r="O7" s="93"/>
      <c r="P7" s="93">
        <v>168.0</v>
      </c>
      <c r="Q7" s="6"/>
      <c r="R7" s="6"/>
      <c r="S7" s="101"/>
      <c r="T7" s="101"/>
      <c r="U7" s="5"/>
      <c r="V7" s="7">
        <f t="shared" si="1"/>
        <v>2194.06</v>
      </c>
      <c r="W7" s="97">
        <v>15413.5</v>
      </c>
      <c r="X7" s="59">
        <f t="shared" si="2"/>
        <v>0.1423466442</v>
      </c>
      <c r="Y7" s="109">
        <f t="shared" si="3"/>
        <v>45192</v>
      </c>
    </row>
    <row r="8">
      <c r="A8" s="74">
        <v>45193.0</v>
      </c>
      <c r="B8" s="10" t="s">
        <v>21</v>
      </c>
      <c r="C8" s="112" t="s">
        <v>21</v>
      </c>
      <c r="D8" s="112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12" t="s">
        <v>21</v>
      </c>
      <c r="K8" s="10" t="s">
        <v>21</v>
      </c>
      <c r="L8" s="10" t="s">
        <v>21</v>
      </c>
      <c r="M8" s="10"/>
      <c r="N8" s="10"/>
      <c r="O8" s="112" t="s">
        <v>21</v>
      </c>
      <c r="P8" s="112"/>
      <c r="Q8" s="10" t="s">
        <v>21</v>
      </c>
      <c r="R8" s="10" t="s">
        <v>21</v>
      </c>
      <c r="S8" s="112" t="s">
        <v>21</v>
      </c>
      <c r="T8" s="112"/>
      <c r="U8" s="10" t="s">
        <v>21</v>
      </c>
      <c r="V8" s="7">
        <v>0.0</v>
      </c>
      <c r="W8" s="97"/>
      <c r="X8" s="59" t="str">
        <f t="shared" si="2"/>
        <v>#DIV/0!</v>
      </c>
      <c r="Y8" s="109">
        <f t="shared" si="3"/>
        <v>45193</v>
      </c>
    </row>
    <row r="9">
      <c r="C9" s="136"/>
      <c r="D9" s="138"/>
      <c r="J9" s="79"/>
      <c r="S9" s="79"/>
      <c r="T9" s="79"/>
      <c r="W9" s="129"/>
      <c r="Y9" s="106"/>
    </row>
    <row r="10">
      <c r="C10" s="79"/>
      <c r="D10" s="79"/>
      <c r="J10" s="79"/>
      <c r="O10" s="79"/>
      <c r="P10" s="79"/>
      <c r="S10" s="79"/>
      <c r="T10" s="79"/>
      <c r="W10" s="130"/>
      <c r="Y10" s="106"/>
    </row>
    <row r="11">
      <c r="A11" s="4" t="s">
        <v>22</v>
      </c>
      <c r="B11" s="11">
        <v>13000.0</v>
      </c>
      <c r="C11" s="79"/>
      <c r="D11" s="79"/>
      <c r="E11" s="78"/>
      <c r="F11" s="79"/>
      <c r="J11" s="79"/>
      <c r="O11" s="79"/>
      <c r="P11" s="79"/>
      <c r="S11" s="79"/>
      <c r="T11" s="79"/>
      <c r="W11" s="131"/>
      <c r="Y11" s="106"/>
    </row>
    <row r="12">
      <c r="A12" s="4" t="s">
        <v>23</v>
      </c>
      <c r="B12" s="12">
        <f>SUM(B2:U8)+C9</f>
        <v>14709</v>
      </c>
      <c r="C12" s="79"/>
      <c r="D12" s="79"/>
      <c r="E12" s="56"/>
      <c r="J12" s="79"/>
      <c r="O12" s="79"/>
      <c r="P12" s="79"/>
      <c r="S12" s="79"/>
      <c r="T12" s="79"/>
      <c r="W12" s="130"/>
      <c r="Y12" s="106"/>
    </row>
    <row r="13">
      <c r="A13" s="4" t="s">
        <v>24</v>
      </c>
      <c r="B13" s="12">
        <f> SUM(B11-B12)</f>
        <v>-1709</v>
      </c>
      <c r="C13" s="79"/>
      <c r="D13" s="79"/>
      <c r="J13" s="79"/>
      <c r="O13" s="79"/>
      <c r="P13" s="79"/>
      <c r="S13" s="79"/>
      <c r="T13" s="79"/>
      <c r="W13" s="130"/>
      <c r="Y13" s="106"/>
    </row>
    <row r="14">
      <c r="C14" s="79"/>
      <c r="D14" s="79"/>
      <c r="J14" s="79"/>
      <c r="O14" s="79"/>
      <c r="P14" s="79"/>
      <c r="S14" s="79"/>
      <c r="T14" s="79"/>
      <c r="W14" s="130"/>
      <c r="Y14" s="106"/>
    </row>
    <row r="15">
      <c r="A15" s="13" t="s">
        <v>25</v>
      </c>
      <c r="B15" s="14">
        <f>SUM(W2:W8)</f>
        <v>78437.77</v>
      </c>
      <c r="C15" s="79"/>
      <c r="D15" s="79"/>
      <c r="J15" s="79"/>
      <c r="O15" s="79"/>
      <c r="P15" s="79"/>
      <c r="S15" s="79"/>
      <c r="T15" s="79"/>
      <c r="W15" s="130"/>
      <c r="Y15" s="106"/>
    </row>
    <row r="16">
      <c r="A16" s="13" t="s">
        <v>26</v>
      </c>
      <c r="B16" s="15">
        <f>B12/B15</f>
        <v>0.1875244541</v>
      </c>
      <c r="C16" s="79"/>
      <c r="D16" s="79"/>
      <c r="J16" s="79"/>
      <c r="O16" s="79"/>
      <c r="P16" s="79"/>
      <c r="S16" s="79"/>
      <c r="T16" s="79"/>
      <c r="W16" s="130"/>
      <c r="Y16" s="106"/>
    </row>
    <row r="17">
      <c r="C17" s="79"/>
      <c r="D17" s="79"/>
      <c r="J17" s="79"/>
      <c r="O17" s="79"/>
      <c r="P17" s="79"/>
      <c r="S17" s="79"/>
      <c r="T17" s="79"/>
      <c r="W17" s="130"/>
      <c r="Y17" s="106"/>
    </row>
    <row r="18">
      <c r="C18" s="79"/>
      <c r="D18" s="79"/>
      <c r="J18" s="79"/>
      <c r="O18" s="79"/>
      <c r="P18" s="79"/>
      <c r="S18" s="79"/>
      <c r="T18" s="79"/>
      <c r="W18" s="130"/>
      <c r="Y18" s="106"/>
    </row>
    <row r="19">
      <c r="A19" s="16" t="s">
        <v>27</v>
      </c>
      <c r="B19" s="17"/>
      <c r="C19" s="114"/>
      <c r="D19" s="115"/>
      <c r="H19" s="84"/>
      <c r="O19" s="79"/>
      <c r="P19" s="79"/>
      <c r="S19" s="79"/>
      <c r="T19" s="79"/>
      <c r="W19" s="130"/>
      <c r="Y19" s="106"/>
    </row>
    <row r="20">
      <c r="A20" s="19" t="s">
        <v>28</v>
      </c>
      <c r="B20" s="20"/>
      <c r="C20" s="116"/>
      <c r="D20" s="117"/>
      <c r="H20" s="85"/>
      <c r="I20" s="85"/>
      <c r="J20" s="118"/>
      <c r="O20" s="79"/>
      <c r="P20" s="79"/>
      <c r="S20" s="79"/>
      <c r="T20" s="79"/>
      <c r="W20" s="130"/>
      <c r="Y20" s="106"/>
    </row>
    <row r="21">
      <c r="A21" s="22" t="s">
        <v>29</v>
      </c>
      <c r="B21" s="23" t="s">
        <v>30</v>
      </c>
      <c r="C21" s="119" t="s">
        <v>170</v>
      </c>
      <c r="D21" s="120" t="s">
        <v>171</v>
      </c>
      <c r="H21" s="86"/>
      <c r="I21" s="85"/>
      <c r="J21" s="118"/>
      <c r="O21" s="79"/>
      <c r="P21" s="79"/>
      <c r="S21" s="79"/>
      <c r="T21" s="79"/>
      <c r="W21" s="130"/>
      <c r="Y21" s="106"/>
    </row>
    <row r="22">
      <c r="A22" s="28" t="s">
        <v>149</v>
      </c>
      <c r="B22" s="72"/>
      <c r="C22" s="121"/>
      <c r="D22" s="122"/>
      <c r="H22" s="87"/>
      <c r="I22" s="85"/>
      <c r="J22" s="118"/>
      <c r="O22" s="79"/>
      <c r="P22" s="79"/>
      <c r="S22" s="79"/>
      <c r="T22" s="79"/>
      <c r="W22" s="130"/>
      <c r="Y22" s="106"/>
    </row>
    <row r="23">
      <c r="A23" s="28" t="s">
        <v>150</v>
      </c>
      <c r="B23" s="72"/>
      <c r="C23" s="121"/>
      <c r="D23" s="122"/>
      <c r="H23" s="88"/>
      <c r="I23" s="88"/>
      <c r="J23" s="123"/>
      <c r="O23" s="79"/>
      <c r="P23" s="79"/>
      <c r="S23" s="79"/>
      <c r="T23" s="79"/>
      <c r="W23" s="130"/>
      <c r="Y23" s="106"/>
    </row>
    <row r="24">
      <c r="A24" s="71" t="s">
        <v>108</v>
      </c>
      <c r="B24" s="72"/>
      <c r="C24" s="71"/>
      <c r="D24" s="124"/>
      <c r="H24" s="88"/>
      <c r="I24" s="88"/>
      <c r="J24" s="123"/>
      <c r="O24" s="79"/>
      <c r="P24" s="79"/>
      <c r="S24" s="79"/>
      <c r="T24" s="79"/>
      <c r="W24" s="130"/>
      <c r="Y24" s="106"/>
    </row>
    <row r="25">
      <c r="A25" s="28" t="s">
        <v>159</v>
      </c>
      <c r="B25" s="41"/>
      <c r="C25" s="121"/>
      <c r="D25" s="124"/>
      <c r="H25" s="88"/>
      <c r="I25" s="88"/>
      <c r="J25" s="123"/>
      <c r="O25" s="79"/>
      <c r="P25" s="79"/>
      <c r="S25" s="79"/>
      <c r="T25" s="79"/>
      <c r="W25" s="130"/>
      <c r="Y25" s="106"/>
    </row>
    <row r="26">
      <c r="A26" s="28" t="s">
        <v>160</v>
      </c>
      <c r="B26" s="41"/>
      <c r="C26" s="71"/>
      <c r="D26" s="124"/>
      <c r="H26" s="88"/>
      <c r="I26" s="88"/>
      <c r="J26" s="123"/>
      <c r="O26" s="79"/>
      <c r="P26" s="79"/>
      <c r="S26" s="79"/>
      <c r="T26" s="79"/>
      <c r="W26" s="130"/>
      <c r="Y26" s="106"/>
    </row>
    <row r="27">
      <c r="A27" s="28" t="s">
        <v>172</v>
      </c>
      <c r="B27" s="41"/>
      <c r="C27" s="71"/>
      <c r="D27" s="122"/>
      <c r="H27" s="88"/>
      <c r="I27" s="88"/>
      <c r="J27" s="123"/>
      <c r="O27" s="79"/>
      <c r="P27" s="79"/>
      <c r="S27" s="79"/>
      <c r="T27" s="79"/>
      <c r="W27" s="130"/>
      <c r="Y27" s="106"/>
    </row>
    <row r="28">
      <c r="A28" s="25"/>
      <c r="B28" s="26"/>
      <c r="C28" s="121"/>
      <c r="D28" s="122"/>
      <c r="J28" s="79"/>
      <c r="O28" s="79"/>
      <c r="P28" s="79"/>
      <c r="S28" s="79"/>
      <c r="T28" s="79"/>
      <c r="W28" s="132"/>
      <c r="Y28" s="106"/>
    </row>
    <row r="29">
      <c r="A29" s="25"/>
      <c r="B29" s="26"/>
      <c r="C29" s="121"/>
      <c r="D29" s="122"/>
      <c r="I29" s="89"/>
      <c r="J29" s="125"/>
      <c r="O29" s="79"/>
      <c r="P29" s="79"/>
      <c r="S29" s="79"/>
      <c r="T29" s="79"/>
      <c r="W29" s="130"/>
      <c r="Y29" s="106"/>
    </row>
    <row r="30">
      <c r="C30" s="79"/>
      <c r="D30" s="79"/>
      <c r="J30" s="79"/>
      <c r="O30" s="79"/>
      <c r="P30" s="79"/>
      <c r="S30" s="79"/>
      <c r="T30" s="79"/>
      <c r="W30" s="130"/>
      <c r="Y30" s="106"/>
    </row>
    <row r="31">
      <c r="C31" s="79"/>
      <c r="D31" s="79"/>
      <c r="J31" s="79"/>
      <c r="O31" s="79"/>
      <c r="P31" s="79"/>
      <c r="S31" s="79"/>
      <c r="T31" s="79"/>
      <c r="W31" s="130"/>
      <c r="Y31" s="106"/>
    </row>
    <row r="32">
      <c r="C32" s="79"/>
      <c r="D32" s="79"/>
      <c r="J32" s="79"/>
      <c r="O32" s="79"/>
      <c r="P32" s="79"/>
      <c r="S32" s="79"/>
      <c r="T32" s="79"/>
      <c r="W32" s="130"/>
      <c r="Y32" s="106"/>
    </row>
    <row r="33">
      <c r="C33" s="79"/>
      <c r="D33" s="79"/>
      <c r="J33" s="79"/>
      <c r="O33" s="79"/>
      <c r="P33" s="79"/>
      <c r="S33" s="79"/>
      <c r="T33" s="79"/>
      <c r="W33" s="130"/>
      <c r="Y33" s="106"/>
    </row>
    <row r="34">
      <c r="C34" s="79"/>
      <c r="D34" s="79"/>
      <c r="J34" s="79"/>
      <c r="O34" s="79"/>
      <c r="P34" s="79"/>
      <c r="S34" s="79"/>
      <c r="T34" s="79"/>
      <c r="W34" s="130"/>
      <c r="Y34" s="106"/>
    </row>
    <row r="35">
      <c r="C35" s="79"/>
      <c r="D35" s="79"/>
      <c r="J35" s="79"/>
      <c r="O35" s="79"/>
      <c r="P35" s="79"/>
      <c r="S35" s="79"/>
      <c r="T35" s="79"/>
      <c r="W35" s="130"/>
      <c r="Y35" s="106"/>
    </row>
    <row r="36">
      <c r="C36" s="79"/>
      <c r="D36" s="79"/>
      <c r="J36" s="79"/>
      <c r="O36" s="79"/>
      <c r="P36" s="79"/>
      <c r="S36" s="79"/>
      <c r="T36" s="79"/>
      <c r="W36" s="130"/>
      <c r="Y36" s="106"/>
    </row>
    <row r="37">
      <c r="C37" s="79"/>
      <c r="D37" s="79"/>
      <c r="J37" s="79"/>
      <c r="O37" s="79"/>
      <c r="P37" s="79"/>
      <c r="S37" s="79"/>
      <c r="T37" s="79"/>
      <c r="W37" s="130"/>
      <c r="Y37" s="106"/>
    </row>
    <row r="38">
      <c r="C38" s="79"/>
      <c r="D38" s="79"/>
      <c r="J38" s="79"/>
      <c r="O38" s="79"/>
      <c r="P38" s="79"/>
      <c r="S38" s="79"/>
      <c r="T38" s="79"/>
      <c r="W38" s="130"/>
      <c r="Y38" s="106"/>
    </row>
    <row r="39">
      <c r="C39" s="79"/>
      <c r="D39" s="79"/>
      <c r="J39" s="79"/>
      <c r="O39" s="79"/>
      <c r="P39" s="79"/>
      <c r="S39" s="79"/>
      <c r="T39" s="79"/>
      <c r="W39" s="130"/>
      <c r="Y39" s="106"/>
    </row>
    <row r="40">
      <c r="C40" s="79"/>
      <c r="D40" s="79"/>
      <c r="J40" s="79"/>
      <c r="O40" s="79"/>
      <c r="P40" s="79"/>
      <c r="S40" s="79"/>
      <c r="T40" s="79"/>
      <c r="W40" s="130"/>
      <c r="Y40" s="106"/>
    </row>
    <row r="41">
      <c r="C41" s="79"/>
      <c r="D41" s="79"/>
      <c r="J41" s="79"/>
      <c r="O41" s="79"/>
      <c r="P41" s="79"/>
      <c r="S41" s="79"/>
      <c r="T41" s="79"/>
      <c r="W41" s="130"/>
      <c r="Y41" s="106"/>
    </row>
    <row r="42">
      <c r="C42" s="79"/>
      <c r="D42" s="79"/>
      <c r="J42" s="79"/>
      <c r="O42" s="79"/>
      <c r="P42" s="79"/>
      <c r="S42" s="79"/>
      <c r="T42" s="79"/>
      <c r="W42" s="130"/>
      <c r="Y42" s="106"/>
    </row>
    <row r="43">
      <c r="C43" s="79"/>
      <c r="D43" s="79"/>
      <c r="J43" s="79"/>
      <c r="O43" s="79"/>
      <c r="P43" s="79"/>
      <c r="S43" s="79"/>
      <c r="T43" s="79"/>
      <c r="W43" s="130"/>
      <c r="Y43" s="106"/>
    </row>
    <row r="44">
      <c r="C44" s="79"/>
      <c r="D44" s="79"/>
      <c r="J44" s="79"/>
      <c r="O44" s="79"/>
      <c r="P44" s="79"/>
      <c r="S44" s="79"/>
      <c r="T44" s="79"/>
      <c r="W44" s="130"/>
      <c r="Y44" s="106"/>
    </row>
    <row r="45">
      <c r="C45" s="79"/>
      <c r="D45" s="79"/>
      <c r="J45" s="79"/>
      <c r="O45" s="79"/>
      <c r="P45" s="79"/>
      <c r="S45" s="79"/>
      <c r="T45" s="79"/>
      <c r="W45" s="130"/>
      <c r="Y45" s="106"/>
    </row>
    <row r="46">
      <c r="C46" s="79"/>
      <c r="D46" s="79"/>
      <c r="J46" s="79"/>
      <c r="O46" s="79"/>
      <c r="P46" s="79"/>
      <c r="S46" s="79"/>
      <c r="T46" s="79"/>
      <c r="W46" s="130"/>
      <c r="Y46" s="106"/>
    </row>
    <row r="47">
      <c r="C47" s="79"/>
      <c r="D47" s="79"/>
      <c r="J47" s="79"/>
      <c r="O47" s="79"/>
      <c r="P47" s="79"/>
      <c r="S47" s="79"/>
      <c r="T47" s="79"/>
      <c r="W47" s="130"/>
      <c r="Y47" s="106"/>
    </row>
    <row r="48">
      <c r="C48" s="79"/>
      <c r="D48" s="79"/>
      <c r="J48" s="79"/>
      <c r="O48" s="79"/>
      <c r="P48" s="79"/>
      <c r="S48" s="79"/>
      <c r="T48" s="79"/>
      <c r="W48" s="130"/>
      <c r="Y48" s="106"/>
    </row>
    <row r="49">
      <c r="C49" s="79"/>
      <c r="D49" s="79"/>
      <c r="J49" s="79"/>
      <c r="O49" s="79"/>
      <c r="P49" s="79"/>
      <c r="S49" s="79"/>
      <c r="T49" s="79"/>
      <c r="W49" s="130"/>
      <c r="Y49" s="106"/>
    </row>
    <row r="50">
      <c r="C50" s="79"/>
      <c r="D50" s="79"/>
      <c r="J50" s="79"/>
      <c r="O50" s="79"/>
      <c r="P50" s="79"/>
      <c r="S50" s="79"/>
      <c r="T50" s="79"/>
      <c r="W50" s="130"/>
      <c r="Y50" s="106"/>
    </row>
    <row r="51">
      <c r="C51" s="79"/>
      <c r="D51" s="79"/>
      <c r="J51" s="79"/>
      <c r="O51" s="79"/>
      <c r="P51" s="79"/>
      <c r="S51" s="79"/>
      <c r="T51" s="79"/>
      <c r="W51" s="130"/>
      <c r="Y51" s="106"/>
    </row>
    <row r="52">
      <c r="C52" s="79"/>
      <c r="D52" s="79"/>
      <c r="J52" s="79"/>
      <c r="O52" s="79"/>
      <c r="P52" s="79"/>
      <c r="S52" s="79"/>
      <c r="T52" s="79"/>
      <c r="W52" s="130"/>
      <c r="Y52" s="106"/>
    </row>
    <row r="53">
      <c r="C53" s="79"/>
      <c r="D53" s="79"/>
      <c r="J53" s="79"/>
      <c r="O53" s="79"/>
      <c r="P53" s="79"/>
      <c r="S53" s="79"/>
      <c r="T53" s="79"/>
      <c r="W53" s="130"/>
      <c r="Y53" s="106"/>
    </row>
    <row r="54">
      <c r="C54" s="79"/>
      <c r="D54" s="79"/>
      <c r="J54" s="79"/>
      <c r="O54" s="79"/>
      <c r="P54" s="79"/>
      <c r="S54" s="79"/>
      <c r="T54" s="79"/>
      <c r="W54" s="130"/>
      <c r="Y54" s="106"/>
    </row>
    <row r="55">
      <c r="C55" s="79"/>
      <c r="D55" s="79"/>
      <c r="J55" s="79"/>
      <c r="O55" s="79"/>
      <c r="P55" s="79"/>
      <c r="S55" s="79"/>
      <c r="T55" s="79"/>
      <c r="W55" s="130"/>
      <c r="Y55" s="106"/>
    </row>
    <row r="56">
      <c r="C56" s="79"/>
      <c r="D56" s="79"/>
      <c r="J56" s="79"/>
      <c r="O56" s="79"/>
      <c r="P56" s="79"/>
      <c r="S56" s="79"/>
      <c r="T56" s="79"/>
      <c r="W56" s="130"/>
      <c r="Y56" s="106"/>
    </row>
    <row r="57">
      <c r="C57" s="79"/>
      <c r="D57" s="79"/>
      <c r="J57" s="79"/>
      <c r="O57" s="79"/>
      <c r="P57" s="79"/>
      <c r="S57" s="79"/>
      <c r="T57" s="79"/>
      <c r="W57" s="130"/>
      <c r="Y57" s="106"/>
    </row>
    <row r="58">
      <c r="C58" s="79"/>
      <c r="D58" s="79"/>
      <c r="J58" s="79"/>
      <c r="O58" s="79"/>
      <c r="P58" s="79"/>
      <c r="S58" s="79"/>
      <c r="T58" s="79"/>
      <c r="W58" s="130"/>
      <c r="Y58" s="106"/>
    </row>
    <row r="59">
      <c r="C59" s="79"/>
      <c r="D59" s="79"/>
      <c r="J59" s="79"/>
      <c r="O59" s="79"/>
      <c r="P59" s="79"/>
      <c r="S59" s="79"/>
      <c r="T59" s="79"/>
      <c r="W59" s="130"/>
      <c r="Y59" s="106"/>
    </row>
    <row r="60">
      <c r="C60" s="79"/>
      <c r="D60" s="79"/>
      <c r="J60" s="79"/>
      <c r="O60" s="79"/>
      <c r="P60" s="79"/>
      <c r="S60" s="79"/>
      <c r="T60" s="79"/>
      <c r="W60" s="130"/>
      <c r="Y60" s="106"/>
    </row>
    <row r="61">
      <c r="C61" s="79"/>
      <c r="D61" s="79"/>
      <c r="J61" s="79"/>
      <c r="O61" s="79"/>
      <c r="P61" s="79"/>
      <c r="S61" s="79"/>
      <c r="T61" s="79"/>
      <c r="W61" s="130"/>
      <c r="Y61" s="106"/>
    </row>
    <row r="62">
      <c r="C62" s="79"/>
      <c r="D62" s="79"/>
      <c r="J62" s="79"/>
      <c r="O62" s="79"/>
      <c r="P62" s="79"/>
      <c r="S62" s="79"/>
      <c r="T62" s="79"/>
      <c r="W62" s="130"/>
      <c r="Y62" s="106"/>
    </row>
    <row r="63">
      <c r="C63" s="79"/>
      <c r="D63" s="79"/>
      <c r="J63" s="79"/>
      <c r="O63" s="79"/>
      <c r="P63" s="79"/>
      <c r="S63" s="79"/>
      <c r="T63" s="79"/>
      <c r="W63" s="130"/>
      <c r="Y63" s="106"/>
    </row>
    <row r="64">
      <c r="C64" s="79"/>
      <c r="D64" s="79"/>
      <c r="J64" s="79"/>
      <c r="O64" s="79"/>
      <c r="P64" s="79"/>
      <c r="S64" s="79"/>
      <c r="T64" s="79"/>
      <c r="W64" s="130"/>
      <c r="Y64" s="106"/>
    </row>
    <row r="65">
      <c r="C65" s="79"/>
      <c r="D65" s="79"/>
      <c r="J65" s="79"/>
      <c r="O65" s="79"/>
      <c r="P65" s="79"/>
      <c r="S65" s="79"/>
      <c r="T65" s="79"/>
      <c r="W65" s="130"/>
      <c r="Y65" s="106"/>
    </row>
    <row r="66">
      <c r="C66" s="79"/>
      <c r="D66" s="79"/>
      <c r="J66" s="79"/>
      <c r="O66" s="79"/>
      <c r="P66" s="79"/>
      <c r="S66" s="79"/>
      <c r="T66" s="79"/>
      <c r="W66" s="130"/>
      <c r="Y66" s="106"/>
    </row>
    <row r="67">
      <c r="C67" s="79"/>
      <c r="D67" s="79"/>
      <c r="J67" s="79"/>
      <c r="O67" s="79"/>
      <c r="P67" s="79"/>
      <c r="S67" s="79"/>
      <c r="T67" s="79"/>
      <c r="W67" s="130"/>
      <c r="Y67" s="106"/>
    </row>
    <row r="68">
      <c r="C68" s="79"/>
      <c r="D68" s="79"/>
      <c r="J68" s="79"/>
      <c r="O68" s="79"/>
      <c r="P68" s="79"/>
      <c r="S68" s="79"/>
      <c r="T68" s="79"/>
      <c r="W68" s="130"/>
      <c r="Y68" s="106"/>
    </row>
    <row r="69">
      <c r="C69" s="79"/>
      <c r="D69" s="79"/>
      <c r="J69" s="79"/>
      <c r="O69" s="79"/>
      <c r="P69" s="79"/>
      <c r="S69" s="79"/>
      <c r="T69" s="79"/>
      <c r="W69" s="130"/>
      <c r="Y69" s="106"/>
    </row>
    <row r="70">
      <c r="C70" s="79"/>
      <c r="D70" s="79"/>
      <c r="J70" s="79"/>
      <c r="O70" s="79"/>
      <c r="P70" s="79"/>
      <c r="S70" s="79"/>
      <c r="T70" s="79"/>
      <c r="W70" s="130"/>
      <c r="Y70" s="106"/>
    </row>
    <row r="71">
      <c r="C71" s="79"/>
      <c r="D71" s="79"/>
      <c r="J71" s="79"/>
      <c r="O71" s="79"/>
      <c r="P71" s="79"/>
      <c r="S71" s="79"/>
      <c r="T71" s="79"/>
      <c r="W71" s="130"/>
      <c r="Y71" s="106"/>
    </row>
    <row r="72">
      <c r="C72" s="79"/>
      <c r="D72" s="79"/>
      <c r="J72" s="79"/>
      <c r="O72" s="79"/>
      <c r="P72" s="79"/>
      <c r="S72" s="79"/>
      <c r="T72" s="79"/>
      <c r="W72" s="130"/>
      <c r="Y72" s="106"/>
    </row>
    <row r="73">
      <c r="C73" s="79"/>
      <c r="D73" s="79"/>
      <c r="J73" s="79"/>
      <c r="O73" s="79"/>
      <c r="P73" s="79"/>
      <c r="S73" s="79"/>
      <c r="T73" s="79"/>
      <c r="W73" s="130"/>
      <c r="Y73" s="106"/>
    </row>
    <row r="74">
      <c r="C74" s="79"/>
      <c r="D74" s="79"/>
      <c r="J74" s="79"/>
      <c r="O74" s="79"/>
      <c r="P74" s="79"/>
      <c r="S74" s="79"/>
      <c r="T74" s="79"/>
      <c r="W74" s="130"/>
      <c r="Y74" s="106"/>
    </row>
    <row r="75">
      <c r="C75" s="79"/>
      <c r="D75" s="79"/>
      <c r="J75" s="79"/>
      <c r="O75" s="79"/>
      <c r="P75" s="79"/>
      <c r="S75" s="79"/>
      <c r="T75" s="79"/>
      <c r="W75" s="130"/>
      <c r="Y75" s="106"/>
    </row>
    <row r="76">
      <c r="C76" s="79"/>
      <c r="D76" s="79"/>
      <c r="J76" s="79"/>
      <c r="O76" s="79"/>
      <c r="P76" s="79"/>
      <c r="S76" s="79"/>
      <c r="T76" s="79"/>
      <c r="W76" s="130"/>
      <c r="Y76" s="106"/>
    </row>
    <row r="77">
      <c r="C77" s="79"/>
      <c r="D77" s="79"/>
      <c r="J77" s="79"/>
      <c r="O77" s="79"/>
      <c r="P77" s="79"/>
      <c r="S77" s="79"/>
      <c r="T77" s="79"/>
      <c r="W77" s="130"/>
      <c r="Y77" s="106"/>
    </row>
    <row r="78">
      <c r="C78" s="79"/>
      <c r="D78" s="79"/>
      <c r="J78" s="79"/>
      <c r="O78" s="79"/>
      <c r="P78" s="79"/>
      <c r="S78" s="79"/>
      <c r="T78" s="79"/>
      <c r="W78" s="130"/>
      <c r="Y78" s="106"/>
    </row>
    <row r="79">
      <c r="C79" s="79"/>
      <c r="D79" s="79"/>
      <c r="J79" s="79"/>
      <c r="O79" s="79"/>
      <c r="P79" s="79"/>
      <c r="S79" s="79"/>
      <c r="T79" s="79"/>
      <c r="W79" s="130"/>
      <c r="Y79" s="106"/>
    </row>
    <row r="80">
      <c r="C80" s="79"/>
      <c r="D80" s="79"/>
      <c r="J80" s="79"/>
      <c r="O80" s="79"/>
      <c r="P80" s="79"/>
      <c r="S80" s="79"/>
      <c r="T80" s="79"/>
      <c r="W80" s="130"/>
      <c r="Y80" s="106"/>
    </row>
    <row r="81">
      <c r="C81" s="79"/>
      <c r="D81" s="79"/>
      <c r="J81" s="79"/>
      <c r="O81" s="79"/>
      <c r="P81" s="79"/>
      <c r="S81" s="79"/>
      <c r="T81" s="79"/>
      <c r="W81" s="130"/>
      <c r="Y81" s="106"/>
    </row>
    <row r="82">
      <c r="C82" s="79"/>
      <c r="D82" s="79"/>
      <c r="J82" s="79"/>
      <c r="O82" s="79"/>
      <c r="P82" s="79"/>
      <c r="S82" s="79"/>
      <c r="T82" s="79"/>
      <c r="W82" s="130"/>
      <c r="Y82" s="106"/>
    </row>
    <row r="83">
      <c r="C83" s="79"/>
      <c r="D83" s="79"/>
      <c r="J83" s="79"/>
      <c r="O83" s="79"/>
      <c r="P83" s="79"/>
      <c r="S83" s="79"/>
      <c r="T83" s="79"/>
      <c r="W83" s="130"/>
      <c r="Y83" s="106"/>
    </row>
    <row r="84">
      <c r="C84" s="79"/>
      <c r="D84" s="79"/>
      <c r="J84" s="79"/>
      <c r="O84" s="79"/>
      <c r="P84" s="79"/>
      <c r="S84" s="79"/>
      <c r="T84" s="79"/>
      <c r="W84" s="130"/>
      <c r="Y84" s="106"/>
    </row>
    <row r="85">
      <c r="C85" s="79"/>
      <c r="D85" s="79"/>
      <c r="J85" s="79"/>
      <c r="O85" s="79"/>
      <c r="P85" s="79"/>
      <c r="S85" s="79"/>
      <c r="T85" s="79"/>
      <c r="W85" s="130"/>
      <c r="Y85" s="106"/>
    </row>
    <row r="86">
      <c r="C86" s="79"/>
      <c r="D86" s="79"/>
      <c r="J86" s="79"/>
      <c r="O86" s="79"/>
      <c r="P86" s="79"/>
      <c r="S86" s="79"/>
      <c r="T86" s="79"/>
      <c r="W86" s="130"/>
      <c r="Y86" s="106"/>
    </row>
    <row r="87">
      <c r="C87" s="79"/>
      <c r="D87" s="79"/>
      <c r="J87" s="79"/>
      <c r="O87" s="79"/>
      <c r="P87" s="79"/>
      <c r="S87" s="79"/>
      <c r="T87" s="79"/>
      <c r="W87" s="130"/>
      <c r="Y87" s="106"/>
    </row>
    <row r="88">
      <c r="C88" s="79"/>
      <c r="D88" s="79"/>
      <c r="J88" s="79"/>
      <c r="O88" s="79"/>
      <c r="P88" s="79"/>
      <c r="S88" s="79"/>
      <c r="T88" s="79"/>
      <c r="W88" s="130"/>
      <c r="Y88" s="106"/>
    </row>
    <row r="89">
      <c r="C89" s="79"/>
      <c r="D89" s="79"/>
      <c r="J89" s="79"/>
      <c r="O89" s="79"/>
      <c r="P89" s="79"/>
      <c r="S89" s="79"/>
      <c r="T89" s="79"/>
      <c r="W89" s="130"/>
      <c r="Y89" s="106"/>
    </row>
    <row r="90">
      <c r="C90" s="79"/>
      <c r="D90" s="79"/>
      <c r="J90" s="79"/>
      <c r="O90" s="79"/>
      <c r="P90" s="79"/>
      <c r="S90" s="79"/>
      <c r="T90" s="79"/>
      <c r="W90" s="130"/>
      <c r="Y90" s="106"/>
    </row>
    <row r="91">
      <c r="C91" s="79"/>
      <c r="D91" s="79"/>
      <c r="J91" s="79"/>
      <c r="O91" s="79"/>
      <c r="P91" s="79"/>
      <c r="S91" s="79"/>
      <c r="T91" s="79"/>
      <c r="W91" s="130"/>
      <c r="Y91" s="106"/>
    </row>
    <row r="92">
      <c r="C92" s="79"/>
      <c r="D92" s="79"/>
      <c r="J92" s="79"/>
      <c r="O92" s="79"/>
      <c r="P92" s="79"/>
      <c r="S92" s="79"/>
      <c r="T92" s="79"/>
      <c r="W92" s="130"/>
      <c r="Y92" s="106"/>
    </row>
    <row r="93">
      <c r="C93" s="79"/>
      <c r="D93" s="79"/>
      <c r="J93" s="79"/>
      <c r="O93" s="79"/>
      <c r="P93" s="79"/>
      <c r="S93" s="79"/>
      <c r="T93" s="79"/>
      <c r="W93" s="130"/>
      <c r="Y93" s="106"/>
    </row>
    <row r="94">
      <c r="C94" s="79"/>
      <c r="D94" s="79"/>
      <c r="J94" s="79"/>
      <c r="O94" s="79"/>
      <c r="P94" s="79"/>
      <c r="S94" s="79"/>
      <c r="T94" s="79"/>
      <c r="W94" s="130"/>
      <c r="Y94" s="106"/>
    </row>
    <row r="95">
      <c r="C95" s="79"/>
      <c r="D95" s="79"/>
      <c r="J95" s="79"/>
      <c r="O95" s="79"/>
      <c r="P95" s="79"/>
      <c r="S95" s="79"/>
      <c r="T95" s="79"/>
      <c r="W95" s="130"/>
      <c r="Y95" s="106"/>
    </row>
    <row r="96">
      <c r="C96" s="79"/>
      <c r="D96" s="79"/>
      <c r="J96" s="79"/>
      <c r="O96" s="79"/>
      <c r="P96" s="79"/>
      <c r="S96" s="79"/>
      <c r="T96" s="79"/>
      <c r="W96" s="130"/>
      <c r="Y96" s="106"/>
    </row>
    <row r="97">
      <c r="C97" s="79"/>
      <c r="D97" s="79"/>
      <c r="J97" s="79"/>
      <c r="O97" s="79"/>
      <c r="P97" s="79"/>
      <c r="S97" s="79"/>
      <c r="T97" s="79"/>
      <c r="W97" s="130"/>
      <c r="Y97" s="106"/>
    </row>
    <row r="98">
      <c r="C98" s="79"/>
      <c r="D98" s="79"/>
      <c r="J98" s="79"/>
      <c r="O98" s="79"/>
      <c r="P98" s="79"/>
      <c r="S98" s="79"/>
      <c r="T98" s="79"/>
      <c r="W98" s="130"/>
      <c r="Y98" s="106"/>
    </row>
    <row r="99">
      <c r="C99" s="79"/>
      <c r="D99" s="79"/>
      <c r="J99" s="79"/>
      <c r="O99" s="79"/>
      <c r="P99" s="79"/>
      <c r="S99" s="79"/>
      <c r="T99" s="79"/>
      <c r="W99" s="130"/>
      <c r="Y99" s="106"/>
    </row>
    <row r="100">
      <c r="C100" s="79"/>
      <c r="D100" s="79"/>
      <c r="J100" s="79"/>
      <c r="O100" s="79"/>
      <c r="P100" s="79"/>
      <c r="S100" s="79"/>
      <c r="T100" s="79"/>
      <c r="W100" s="130"/>
      <c r="Y100" s="106"/>
    </row>
    <row r="101">
      <c r="C101" s="79"/>
      <c r="D101" s="79"/>
      <c r="J101" s="79"/>
      <c r="O101" s="79"/>
      <c r="P101" s="79"/>
      <c r="S101" s="79"/>
      <c r="T101" s="79"/>
      <c r="W101" s="130"/>
      <c r="Y101" s="106"/>
    </row>
    <row r="102">
      <c r="C102" s="79"/>
      <c r="D102" s="79"/>
      <c r="J102" s="79"/>
      <c r="O102" s="79"/>
      <c r="P102" s="79"/>
      <c r="S102" s="79"/>
      <c r="T102" s="79"/>
      <c r="W102" s="130"/>
      <c r="Y102" s="106"/>
    </row>
    <row r="103">
      <c r="C103" s="79"/>
      <c r="D103" s="79"/>
      <c r="J103" s="79"/>
      <c r="O103" s="79"/>
      <c r="P103" s="79"/>
      <c r="S103" s="79"/>
      <c r="T103" s="79"/>
      <c r="W103" s="130"/>
      <c r="Y103" s="106"/>
    </row>
    <row r="104">
      <c r="C104" s="79"/>
      <c r="D104" s="79"/>
      <c r="J104" s="79"/>
      <c r="O104" s="79"/>
      <c r="P104" s="79"/>
      <c r="S104" s="79"/>
      <c r="T104" s="79"/>
      <c r="W104" s="130"/>
      <c r="Y104" s="106"/>
    </row>
    <row r="105">
      <c r="C105" s="79"/>
      <c r="D105" s="79"/>
      <c r="J105" s="79"/>
      <c r="O105" s="79"/>
      <c r="P105" s="79"/>
      <c r="S105" s="79"/>
      <c r="T105" s="79"/>
      <c r="W105" s="130"/>
      <c r="Y105" s="106"/>
    </row>
    <row r="106">
      <c r="C106" s="79"/>
      <c r="D106" s="79"/>
      <c r="J106" s="79"/>
      <c r="O106" s="79"/>
      <c r="P106" s="79"/>
      <c r="S106" s="79"/>
      <c r="T106" s="79"/>
      <c r="W106" s="130"/>
      <c r="Y106" s="106"/>
    </row>
    <row r="107">
      <c r="C107" s="79"/>
      <c r="D107" s="79"/>
      <c r="J107" s="79"/>
      <c r="O107" s="79"/>
      <c r="P107" s="79"/>
      <c r="S107" s="79"/>
      <c r="T107" s="79"/>
      <c r="W107" s="130"/>
      <c r="Y107" s="106"/>
    </row>
    <row r="108">
      <c r="C108" s="79"/>
      <c r="D108" s="79"/>
      <c r="J108" s="79"/>
      <c r="O108" s="79"/>
      <c r="P108" s="79"/>
      <c r="S108" s="79"/>
      <c r="T108" s="79"/>
      <c r="W108" s="130"/>
      <c r="Y108" s="106"/>
    </row>
    <row r="109">
      <c r="C109" s="79"/>
      <c r="D109" s="79"/>
      <c r="J109" s="79"/>
      <c r="O109" s="79"/>
      <c r="P109" s="79"/>
      <c r="S109" s="79"/>
      <c r="T109" s="79"/>
      <c r="W109" s="130"/>
      <c r="Y109" s="106"/>
    </row>
    <row r="110">
      <c r="C110" s="79"/>
      <c r="D110" s="79"/>
      <c r="J110" s="79"/>
      <c r="O110" s="79"/>
      <c r="P110" s="79"/>
      <c r="S110" s="79"/>
      <c r="T110" s="79"/>
      <c r="W110" s="130"/>
      <c r="Y110" s="106"/>
    </row>
    <row r="111">
      <c r="C111" s="79"/>
      <c r="D111" s="79"/>
      <c r="J111" s="79"/>
      <c r="O111" s="79"/>
      <c r="P111" s="79"/>
      <c r="S111" s="79"/>
      <c r="T111" s="79"/>
      <c r="W111" s="130"/>
      <c r="Y111" s="106"/>
    </row>
    <row r="112">
      <c r="C112" s="79"/>
      <c r="D112" s="79"/>
      <c r="J112" s="79"/>
      <c r="O112" s="79"/>
      <c r="P112" s="79"/>
      <c r="S112" s="79"/>
      <c r="T112" s="79"/>
      <c r="W112" s="130"/>
      <c r="Y112" s="106"/>
    </row>
    <row r="113">
      <c r="C113" s="79"/>
      <c r="D113" s="79"/>
      <c r="J113" s="79"/>
      <c r="O113" s="79"/>
      <c r="P113" s="79"/>
      <c r="S113" s="79"/>
      <c r="T113" s="79"/>
      <c r="W113" s="130"/>
      <c r="Y113" s="106"/>
    </row>
    <row r="114">
      <c r="C114" s="79"/>
      <c r="D114" s="79"/>
      <c r="J114" s="79"/>
      <c r="O114" s="79"/>
      <c r="P114" s="79"/>
      <c r="S114" s="79"/>
      <c r="T114" s="79"/>
      <c r="W114" s="130"/>
      <c r="Y114" s="106"/>
    </row>
    <row r="115">
      <c r="C115" s="79"/>
      <c r="D115" s="79"/>
      <c r="J115" s="79"/>
      <c r="O115" s="79"/>
      <c r="P115" s="79"/>
      <c r="S115" s="79"/>
      <c r="T115" s="79"/>
      <c r="W115" s="130"/>
      <c r="Y115" s="106"/>
    </row>
    <row r="116">
      <c r="C116" s="79"/>
      <c r="D116" s="79"/>
      <c r="J116" s="79"/>
      <c r="O116" s="79"/>
      <c r="P116" s="79"/>
      <c r="S116" s="79"/>
      <c r="T116" s="79"/>
      <c r="W116" s="130"/>
      <c r="Y116" s="106"/>
    </row>
    <row r="117">
      <c r="C117" s="79"/>
      <c r="D117" s="79"/>
      <c r="J117" s="79"/>
      <c r="O117" s="79"/>
      <c r="P117" s="79"/>
      <c r="S117" s="79"/>
      <c r="T117" s="79"/>
      <c r="W117" s="130"/>
      <c r="Y117" s="106"/>
    </row>
    <row r="118">
      <c r="C118" s="79"/>
      <c r="D118" s="79"/>
      <c r="J118" s="79"/>
      <c r="O118" s="79"/>
      <c r="P118" s="79"/>
      <c r="S118" s="79"/>
      <c r="T118" s="79"/>
      <c r="W118" s="130"/>
      <c r="Y118" s="106"/>
    </row>
    <row r="119">
      <c r="C119" s="79"/>
      <c r="D119" s="79"/>
      <c r="J119" s="79"/>
      <c r="O119" s="79"/>
      <c r="P119" s="79"/>
      <c r="S119" s="79"/>
      <c r="T119" s="79"/>
      <c r="W119" s="130"/>
      <c r="Y119" s="106"/>
    </row>
    <row r="120">
      <c r="C120" s="79"/>
      <c r="D120" s="79"/>
      <c r="J120" s="79"/>
      <c r="O120" s="79"/>
      <c r="P120" s="79"/>
      <c r="S120" s="79"/>
      <c r="T120" s="79"/>
      <c r="W120" s="130"/>
      <c r="Y120" s="106"/>
    </row>
    <row r="121">
      <c r="C121" s="79"/>
      <c r="D121" s="79"/>
      <c r="J121" s="79"/>
      <c r="O121" s="79"/>
      <c r="P121" s="79"/>
      <c r="S121" s="79"/>
      <c r="T121" s="79"/>
      <c r="W121" s="130"/>
      <c r="Y121" s="106"/>
    </row>
    <row r="122">
      <c r="C122" s="79"/>
      <c r="D122" s="79"/>
      <c r="J122" s="79"/>
      <c r="O122" s="79"/>
      <c r="P122" s="79"/>
      <c r="S122" s="79"/>
      <c r="T122" s="79"/>
      <c r="W122" s="130"/>
      <c r="Y122" s="106"/>
    </row>
    <row r="123">
      <c r="C123" s="79"/>
      <c r="D123" s="79"/>
      <c r="J123" s="79"/>
      <c r="O123" s="79"/>
      <c r="P123" s="79"/>
      <c r="S123" s="79"/>
      <c r="T123" s="79"/>
      <c r="W123" s="130"/>
      <c r="Y123" s="106"/>
    </row>
    <row r="124">
      <c r="C124" s="79"/>
      <c r="D124" s="79"/>
      <c r="J124" s="79"/>
      <c r="O124" s="79"/>
      <c r="P124" s="79"/>
      <c r="S124" s="79"/>
      <c r="T124" s="79"/>
      <c r="W124" s="130"/>
      <c r="Y124" s="106"/>
    </row>
    <row r="125">
      <c r="C125" s="79"/>
      <c r="D125" s="79"/>
      <c r="J125" s="79"/>
      <c r="O125" s="79"/>
      <c r="P125" s="79"/>
      <c r="S125" s="79"/>
      <c r="T125" s="79"/>
      <c r="W125" s="130"/>
      <c r="Y125" s="106"/>
    </row>
    <row r="126">
      <c r="C126" s="79"/>
      <c r="D126" s="79"/>
      <c r="J126" s="79"/>
      <c r="O126" s="79"/>
      <c r="P126" s="79"/>
      <c r="S126" s="79"/>
      <c r="T126" s="79"/>
      <c r="W126" s="130"/>
      <c r="Y126" s="106"/>
    </row>
    <row r="127">
      <c r="C127" s="79"/>
      <c r="D127" s="79"/>
      <c r="J127" s="79"/>
      <c r="O127" s="79"/>
      <c r="P127" s="79"/>
      <c r="S127" s="79"/>
      <c r="T127" s="79"/>
      <c r="W127" s="130"/>
      <c r="Y127" s="106"/>
    </row>
    <row r="128">
      <c r="C128" s="79"/>
      <c r="D128" s="79"/>
      <c r="J128" s="79"/>
      <c r="O128" s="79"/>
      <c r="P128" s="79"/>
      <c r="S128" s="79"/>
      <c r="T128" s="79"/>
      <c r="W128" s="130"/>
      <c r="Y128" s="106"/>
    </row>
    <row r="129">
      <c r="C129" s="79"/>
      <c r="D129" s="79"/>
      <c r="J129" s="79"/>
      <c r="O129" s="79"/>
      <c r="P129" s="79"/>
      <c r="S129" s="79"/>
      <c r="T129" s="79"/>
      <c r="W129" s="130"/>
      <c r="Y129" s="106"/>
    </row>
    <row r="130">
      <c r="C130" s="79"/>
      <c r="D130" s="79"/>
      <c r="J130" s="79"/>
      <c r="O130" s="79"/>
      <c r="P130" s="79"/>
      <c r="S130" s="79"/>
      <c r="T130" s="79"/>
      <c r="W130" s="130"/>
      <c r="Y130" s="106"/>
    </row>
    <row r="131">
      <c r="C131" s="79"/>
      <c r="D131" s="79"/>
      <c r="J131" s="79"/>
      <c r="O131" s="79"/>
      <c r="P131" s="79"/>
      <c r="S131" s="79"/>
      <c r="T131" s="79"/>
      <c r="W131" s="130"/>
      <c r="Y131" s="106"/>
    </row>
    <row r="132">
      <c r="C132" s="79"/>
      <c r="D132" s="79"/>
      <c r="J132" s="79"/>
      <c r="O132" s="79"/>
      <c r="P132" s="79"/>
      <c r="S132" s="79"/>
      <c r="T132" s="79"/>
      <c r="W132" s="130"/>
      <c r="Y132" s="106"/>
    </row>
    <row r="133">
      <c r="C133" s="79"/>
      <c r="D133" s="79"/>
      <c r="J133" s="79"/>
      <c r="O133" s="79"/>
      <c r="P133" s="79"/>
      <c r="S133" s="79"/>
      <c r="T133" s="79"/>
      <c r="W133" s="130"/>
      <c r="Y133" s="106"/>
    </row>
    <row r="134">
      <c r="C134" s="79"/>
      <c r="D134" s="79"/>
      <c r="J134" s="79"/>
      <c r="O134" s="79"/>
      <c r="P134" s="79"/>
      <c r="S134" s="79"/>
      <c r="T134" s="79"/>
      <c r="W134" s="130"/>
      <c r="Y134" s="106"/>
    </row>
    <row r="135">
      <c r="C135" s="79"/>
      <c r="D135" s="79"/>
      <c r="J135" s="79"/>
      <c r="O135" s="79"/>
      <c r="P135" s="79"/>
      <c r="S135" s="79"/>
      <c r="T135" s="79"/>
      <c r="W135" s="130"/>
      <c r="Y135" s="106"/>
    </row>
    <row r="136">
      <c r="C136" s="79"/>
      <c r="D136" s="79"/>
      <c r="J136" s="79"/>
      <c r="O136" s="79"/>
      <c r="P136" s="79"/>
      <c r="S136" s="79"/>
      <c r="T136" s="79"/>
      <c r="W136" s="130"/>
      <c r="Y136" s="106"/>
    </row>
    <row r="137">
      <c r="C137" s="79"/>
      <c r="D137" s="79"/>
      <c r="J137" s="79"/>
      <c r="O137" s="79"/>
      <c r="P137" s="79"/>
      <c r="S137" s="79"/>
      <c r="T137" s="79"/>
      <c r="W137" s="130"/>
      <c r="Y137" s="106"/>
    </row>
    <row r="138">
      <c r="C138" s="79"/>
      <c r="D138" s="79"/>
      <c r="J138" s="79"/>
      <c r="O138" s="79"/>
      <c r="P138" s="79"/>
      <c r="S138" s="79"/>
      <c r="T138" s="79"/>
      <c r="W138" s="130"/>
      <c r="Y138" s="106"/>
    </row>
    <row r="139">
      <c r="C139" s="79"/>
      <c r="D139" s="79"/>
      <c r="J139" s="79"/>
      <c r="O139" s="79"/>
      <c r="P139" s="79"/>
      <c r="S139" s="79"/>
      <c r="T139" s="79"/>
      <c r="W139" s="130"/>
      <c r="Y139" s="106"/>
    </row>
    <row r="140">
      <c r="C140" s="79"/>
      <c r="D140" s="79"/>
      <c r="J140" s="79"/>
      <c r="O140" s="79"/>
      <c r="P140" s="79"/>
      <c r="S140" s="79"/>
      <c r="T140" s="79"/>
      <c r="W140" s="130"/>
      <c r="Y140" s="106"/>
    </row>
    <row r="141">
      <c r="C141" s="79"/>
      <c r="D141" s="79"/>
      <c r="J141" s="79"/>
      <c r="O141" s="79"/>
      <c r="P141" s="79"/>
      <c r="S141" s="79"/>
      <c r="T141" s="79"/>
      <c r="W141" s="130"/>
      <c r="Y141" s="106"/>
    </row>
    <row r="142">
      <c r="C142" s="79"/>
      <c r="D142" s="79"/>
      <c r="J142" s="79"/>
      <c r="O142" s="79"/>
      <c r="P142" s="79"/>
      <c r="S142" s="79"/>
      <c r="T142" s="79"/>
      <c r="W142" s="130"/>
      <c r="Y142" s="106"/>
    </row>
    <row r="143">
      <c r="C143" s="79"/>
      <c r="D143" s="79"/>
      <c r="J143" s="79"/>
      <c r="O143" s="79"/>
      <c r="P143" s="79"/>
      <c r="S143" s="79"/>
      <c r="T143" s="79"/>
      <c r="W143" s="130"/>
      <c r="Y143" s="106"/>
    </row>
    <row r="144">
      <c r="C144" s="79"/>
      <c r="D144" s="79"/>
      <c r="J144" s="79"/>
      <c r="O144" s="79"/>
      <c r="P144" s="79"/>
      <c r="S144" s="79"/>
      <c r="T144" s="79"/>
      <c r="W144" s="130"/>
      <c r="Y144" s="106"/>
    </row>
    <row r="145">
      <c r="C145" s="79"/>
      <c r="D145" s="79"/>
      <c r="J145" s="79"/>
      <c r="O145" s="79"/>
      <c r="P145" s="79"/>
      <c r="S145" s="79"/>
      <c r="T145" s="79"/>
      <c r="W145" s="130"/>
      <c r="Y145" s="106"/>
    </row>
    <row r="146">
      <c r="C146" s="79"/>
      <c r="D146" s="79"/>
      <c r="J146" s="79"/>
      <c r="O146" s="79"/>
      <c r="P146" s="79"/>
      <c r="S146" s="79"/>
      <c r="T146" s="79"/>
      <c r="W146" s="130"/>
      <c r="Y146" s="106"/>
    </row>
    <row r="147">
      <c r="C147" s="79"/>
      <c r="D147" s="79"/>
      <c r="J147" s="79"/>
      <c r="O147" s="79"/>
      <c r="P147" s="79"/>
      <c r="S147" s="79"/>
      <c r="T147" s="79"/>
      <c r="W147" s="130"/>
      <c r="Y147" s="106"/>
    </row>
    <row r="148">
      <c r="C148" s="79"/>
      <c r="D148" s="79"/>
      <c r="J148" s="79"/>
      <c r="O148" s="79"/>
      <c r="P148" s="79"/>
      <c r="S148" s="79"/>
      <c r="T148" s="79"/>
      <c r="W148" s="130"/>
      <c r="Y148" s="106"/>
    </row>
    <row r="149">
      <c r="C149" s="79"/>
      <c r="D149" s="79"/>
      <c r="J149" s="79"/>
      <c r="O149" s="79"/>
      <c r="P149" s="79"/>
      <c r="S149" s="79"/>
      <c r="T149" s="79"/>
      <c r="W149" s="130"/>
      <c r="Y149" s="106"/>
    </row>
    <row r="150">
      <c r="C150" s="79"/>
      <c r="D150" s="79"/>
      <c r="J150" s="79"/>
      <c r="O150" s="79"/>
      <c r="P150" s="79"/>
      <c r="S150" s="79"/>
      <c r="T150" s="79"/>
      <c r="W150" s="130"/>
      <c r="Y150" s="106"/>
    </row>
    <row r="151">
      <c r="C151" s="79"/>
      <c r="D151" s="79"/>
      <c r="J151" s="79"/>
      <c r="O151" s="79"/>
      <c r="P151" s="79"/>
      <c r="S151" s="79"/>
      <c r="T151" s="79"/>
      <c r="W151" s="130"/>
      <c r="Y151" s="106"/>
    </row>
    <row r="152">
      <c r="C152" s="79"/>
      <c r="D152" s="79"/>
      <c r="J152" s="79"/>
      <c r="O152" s="79"/>
      <c r="P152" s="79"/>
      <c r="S152" s="79"/>
      <c r="T152" s="79"/>
      <c r="W152" s="130"/>
      <c r="Y152" s="106"/>
    </row>
    <row r="153">
      <c r="C153" s="79"/>
      <c r="D153" s="79"/>
      <c r="J153" s="79"/>
      <c r="O153" s="79"/>
      <c r="P153" s="79"/>
      <c r="S153" s="79"/>
      <c r="T153" s="79"/>
      <c r="W153" s="130"/>
      <c r="Y153" s="106"/>
    </row>
    <row r="154">
      <c r="C154" s="79"/>
      <c r="D154" s="79"/>
      <c r="J154" s="79"/>
      <c r="O154" s="79"/>
      <c r="P154" s="79"/>
      <c r="S154" s="79"/>
      <c r="T154" s="79"/>
      <c r="W154" s="130"/>
      <c r="Y154" s="106"/>
    </row>
    <row r="155">
      <c r="C155" s="79"/>
      <c r="D155" s="79"/>
      <c r="J155" s="79"/>
      <c r="O155" s="79"/>
      <c r="P155" s="79"/>
      <c r="S155" s="79"/>
      <c r="T155" s="79"/>
      <c r="W155" s="130"/>
      <c r="Y155" s="106"/>
    </row>
    <row r="156">
      <c r="C156" s="79"/>
      <c r="D156" s="79"/>
      <c r="J156" s="79"/>
      <c r="O156" s="79"/>
      <c r="P156" s="79"/>
      <c r="S156" s="79"/>
      <c r="T156" s="79"/>
      <c r="W156" s="130"/>
      <c r="Y156" s="106"/>
    </row>
    <row r="157">
      <c r="C157" s="79"/>
      <c r="D157" s="79"/>
      <c r="J157" s="79"/>
      <c r="O157" s="79"/>
      <c r="P157" s="79"/>
      <c r="S157" s="79"/>
      <c r="T157" s="79"/>
      <c r="W157" s="130"/>
      <c r="Y157" s="106"/>
    </row>
    <row r="158">
      <c r="C158" s="79"/>
      <c r="D158" s="79"/>
      <c r="J158" s="79"/>
      <c r="O158" s="79"/>
      <c r="P158" s="79"/>
      <c r="S158" s="79"/>
      <c r="T158" s="79"/>
      <c r="W158" s="130"/>
      <c r="Y158" s="106"/>
    </row>
    <row r="159">
      <c r="C159" s="79"/>
      <c r="D159" s="79"/>
      <c r="J159" s="79"/>
      <c r="O159" s="79"/>
      <c r="P159" s="79"/>
      <c r="S159" s="79"/>
      <c r="T159" s="79"/>
      <c r="W159" s="130"/>
      <c r="Y159" s="106"/>
    </row>
    <row r="160">
      <c r="C160" s="79"/>
      <c r="D160" s="79"/>
      <c r="J160" s="79"/>
      <c r="O160" s="79"/>
      <c r="P160" s="79"/>
      <c r="S160" s="79"/>
      <c r="T160" s="79"/>
      <c r="W160" s="130"/>
      <c r="Y160" s="106"/>
    </row>
    <row r="161">
      <c r="C161" s="79"/>
      <c r="D161" s="79"/>
      <c r="J161" s="79"/>
      <c r="O161" s="79"/>
      <c r="P161" s="79"/>
      <c r="S161" s="79"/>
      <c r="T161" s="79"/>
      <c r="W161" s="130"/>
      <c r="Y161" s="106"/>
    </row>
    <row r="162">
      <c r="C162" s="79"/>
      <c r="D162" s="79"/>
      <c r="J162" s="79"/>
      <c r="O162" s="79"/>
      <c r="P162" s="79"/>
      <c r="S162" s="79"/>
      <c r="T162" s="79"/>
      <c r="W162" s="130"/>
      <c r="Y162" s="106"/>
    </row>
    <row r="163">
      <c r="C163" s="79"/>
      <c r="D163" s="79"/>
      <c r="J163" s="79"/>
      <c r="O163" s="79"/>
      <c r="P163" s="79"/>
      <c r="S163" s="79"/>
      <c r="T163" s="79"/>
      <c r="W163" s="130"/>
      <c r="Y163" s="106"/>
    </row>
    <row r="164">
      <c r="C164" s="79"/>
      <c r="D164" s="79"/>
      <c r="J164" s="79"/>
      <c r="O164" s="79"/>
      <c r="P164" s="79"/>
      <c r="S164" s="79"/>
      <c r="T164" s="79"/>
      <c r="W164" s="130"/>
      <c r="Y164" s="106"/>
    </row>
    <row r="165">
      <c r="C165" s="79"/>
      <c r="D165" s="79"/>
      <c r="J165" s="79"/>
      <c r="O165" s="79"/>
      <c r="P165" s="79"/>
      <c r="S165" s="79"/>
      <c r="T165" s="79"/>
      <c r="W165" s="130"/>
      <c r="Y165" s="106"/>
    </row>
    <row r="166">
      <c r="C166" s="79"/>
      <c r="D166" s="79"/>
      <c r="J166" s="79"/>
      <c r="O166" s="79"/>
      <c r="P166" s="79"/>
      <c r="S166" s="79"/>
      <c r="T166" s="79"/>
      <c r="W166" s="130"/>
      <c r="Y166" s="106"/>
    </row>
    <row r="167">
      <c r="C167" s="79"/>
      <c r="D167" s="79"/>
      <c r="J167" s="79"/>
      <c r="O167" s="79"/>
      <c r="P167" s="79"/>
      <c r="S167" s="79"/>
      <c r="T167" s="79"/>
      <c r="W167" s="130"/>
      <c r="Y167" s="106"/>
    </row>
    <row r="168">
      <c r="C168" s="79"/>
      <c r="D168" s="79"/>
      <c r="J168" s="79"/>
      <c r="O168" s="79"/>
      <c r="P168" s="79"/>
      <c r="S168" s="79"/>
      <c r="T168" s="79"/>
      <c r="W168" s="130"/>
      <c r="Y168" s="106"/>
    </row>
    <row r="169">
      <c r="C169" s="79"/>
      <c r="D169" s="79"/>
      <c r="J169" s="79"/>
      <c r="O169" s="79"/>
      <c r="P169" s="79"/>
      <c r="S169" s="79"/>
      <c r="T169" s="79"/>
      <c r="W169" s="130"/>
      <c r="Y169" s="106"/>
    </row>
    <row r="170">
      <c r="C170" s="79"/>
      <c r="D170" s="79"/>
      <c r="J170" s="79"/>
      <c r="O170" s="79"/>
      <c r="P170" s="79"/>
      <c r="S170" s="79"/>
      <c r="T170" s="79"/>
      <c r="W170" s="130"/>
      <c r="Y170" s="106"/>
    </row>
    <row r="171">
      <c r="C171" s="79"/>
      <c r="D171" s="79"/>
      <c r="J171" s="79"/>
      <c r="O171" s="79"/>
      <c r="P171" s="79"/>
      <c r="S171" s="79"/>
      <c r="T171" s="79"/>
      <c r="W171" s="130"/>
      <c r="Y171" s="106"/>
    </row>
    <row r="172">
      <c r="C172" s="79"/>
      <c r="D172" s="79"/>
      <c r="J172" s="79"/>
      <c r="O172" s="79"/>
      <c r="P172" s="79"/>
      <c r="S172" s="79"/>
      <c r="T172" s="79"/>
      <c r="W172" s="130"/>
      <c r="Y172" s="106"/>
    </row>
    <row r="173">
      <c r="C173" s="79"/>
      <c r="D173" s="79"/>
      <c r="J173" s="79"/>
      <c r="O173" s="79"/>
      <c r="P173" s="79"/>
      <c r="S173" s="79"/>
      <c r="T173" s="79"/>
      <c r="W173" s="130"/>
      <c r="Y173" s="106"/>
    </row>
    <row r="174">
      <c r="C174" s="79"/>
      <c r="D174" s="79"/>
      <c r="J174" s="79"/>
      <c r="O174" s="79"/>
      <c r="P174" s="79"/>
      <c r="S174" s="79"/>
      <c r="T174" s="79"/>
      <c r="W174" s="130"/>
      <c r="Y174" s="106"/>
    </row>
    <row r="175">
      <c r="C175" s="79"/>
      <c r="D175" s="79"/>
      <c r="J175" s="79"/>
      <c r="O175" s="79"/>
      <c r="P175" s="79"/>
      <c r="S175" s="79"/>
      <c r="T175" s="79"/>
      <c r="W175" s="130"/>
      <c r="Y175" s="106"/>
    </row>
    <row r="176">
      <c r="C176" s="79"/>
      <c r="D176" s="79"/>
      <c r="J176" s="79"/>
      <c r="O176" s="79"/>
      <c r="P176" s="79"/>
      <c r="S176" s="79"/>
      <c r="T176" s="79"/>
      <c r="W176" s="130"/>
      <c r="Y176" s="106"/>
    </row>
    <row r="177">
      <c r="C177" s="79"/>
      <c r="D177" s="79"/>
      <c r="J177" s="79"/>
      <c r="O177" s="79"/>
      <c r="P177" s="79"/>
      <c r="S177" s="79"/>
      <c r="T177" s="79"/>
      <c r="W177" s="130"/>
      <c r="Y177" s="106"/>
    </row>
    <row r="178">
      <c r="C178" s="79"/>
      <c r="D178" s="79"/>
      <c r="J178" s="79"/>
      <c r="O178" s="79"/>
      <c r="P178" s="79"/>
      <c r="S178" s="79"/>
      <c r="T178" s="79"/>
      <c r="W178" s="130"/>
      <c r="Y178" s="106"/>
    </row>
    <row r="179">
      <c r="C179" s="79"/>
      <c r="D179" s="79"/>
      <c r="J179" s="79"/>
      <c r="O179" s="79"/>
      <c r="P179" s="79"/>
      <c r="S179" s="79"/>
      <c r="T179" s="79"/>
      <c r="W179" s="130"/>
      <c r="Y179" s="106"/>
    </row>
    <row r="180">
      <c r="C180" s="79"/>
      <c r="D180" s="79"/>
      <c r="J180" s="79"/>
      <c r="O180" s="79"/>
      <c r="P180" s="79"/>
      <c r="S180" s="79"/>
      <c r="T180" s="79"/>
      <c r="W180" s="130"/>
      <c r="Y180" s="106"/>
    </row>
    <row r="181">
      <c r="C181" s="79"/>
      <c r="D181" s="79"/>
      <c r="J181" s="79"/>
      <c r="O181" s="79"/>
      <c r="P181" s="79"/>
      <c r="S181" s="79"/>
      <c r="T181" s="79"/>
      <c r="W181" s="130"/>
      <c r="Y181" s="106"/>
    </row>
    <row r="182">
      <c r="C182" s="79"/>
      <c r="D182" s="79"/>
      <c r="J182" s="79"/>
      <c r="O182" s="79"/>
      <c r="P182" s="79"/>
      <c r="S182" s="79"/>
      <c r="T182" s="79"/>
      <c r="W182" s="130"/>
      <c r="Y182" s="106"/>
    </row>
    <row r="183">
      <c r="C183" s="79"/>
      <c r="D183" s="79"/>
      <c r="J183" s="79"/>
      <c r="O183" s="79"/>
      <c r="P183" s="79"/>
      <c r="S183" s="79"/>
      <c r="T183" s="79"/>
      <c r="W183" s="130"/>
      <c r="Y183" s="106"/>
    </row>
    <row r="184">
      <c r="C184" s="79"/>
      <c r="D184" s="79"/>
      <c r="J184" s="79"/>
      <c r="O184" s="79"/>
      <c r="P184" s="79"/>
      <c r="S184" s="79"/>
      <c r="T184" s="79"/>
      <c r="W184" s="130"/>
      <c r="Y184" s="106"/>
    </row>
    <row r="185">
      <c r="C185" s="79"/>
      <c r="D185" s="79"/>
      <c r="J185" s="79"/>
      <c r="O185" s="79"/>
      <c r="P185" s="79"/>
      <c r="S185" s="79"/>
      <c r="T185" s="79"/>
      <c r="W185" s="130"/>
      <c r="Y185" s="106"/>
    </row>
    <row r="186">
      <c r="C186" s="79"/>
      <c r="D186" s="79"/>
      <c r="J186" s="79"/>
      <c r="O186" s="79"/>
      <c r="P186" s="79"/>
      <c r="S186" s="79"/>
      <c r="T186" s="79"/>
      <c r="W186" s="130"/>
      <c r="Y186" s="106"/>
    </row>
    <row r="187">
      <c r="C187" s="79"/>
      <c r="D187" s="79"/>
      <c r="J187" s="79"/>
      <c r="O187" s="79"/>
      <c r="P187" s="79"/>
      <c r="S187" s="79"/>
      <c r="T187" s="79"/>
      <c r="W187" s="130"/>
      <c r="Y187" s="106"/>
    </row>
    <row r="188">
      <c r="C188" s="79"/>
      <c r="D188" s="79"/>
      <c r="J188" s="79"/>
      <c r="O188" s="79"/>
      <c r="P188" s="79"/>
      <c r="S188" s="79"/>
      <c r="T188" s="79"/>
      <c r="W188" s="130"/>
      <c r="Y188" s="106"/>
    </row>
    <row r="189">
      <c r="C189" s="79"/>
      <c r="D189" s="79"/>
      <c r="J189" s="79"/>
      <c r="O189" s="79"/>
      <c r="P189" s="79"/>
      <c r="S189" s="79"/>
      <c r="T189" s="79"/>
      <c r="W189" s="130"/>
      <c r="Y189" s="106"/>
    </row>
    <row r="190">
      <c r="C190" s="79"/>
      <c r="D190" s="79"/>
      <c r="J190" s="79"/>
      <c r="O190" s="79"/>
      <c r="P190" s="79"/>
      <c r="S190" s="79"/>
      <c r="T190" s="79"/>
      <c r="W190" s="130"/>
      <c r="Y190" s="106"/>
    </row>
    <row r="191">
      <c r="C191" s="79"/>
      <c r="D191" s="79"/>
      <c r="J191" s="79"/>
      <c r="O191" s="79"/>
      <c r="P191" s="79"/>
      <c r="S191" s="79"/>
      <c r="T191" s="79"/>
      <c r="W191" s="130"/>
      <c r="Y191" s="106"/>
    </row>
    <row r="192">
      <c r="C192" s="79"/>
      <c r="D192" s="79"/>
      <c r="J192" s="79"/>
      <c r="O192" s="79"/>
      <c r="P192" s="79"/>
      <c r="S192" s="79"/>
      <c r="T192" s="79"/>
      <c r="W192" s="130"/>
      <c r="Y192" s="106"/>
    </row>
    <row r="193">
      <c r="C193" s="79"/>
      <c r="D193" s="79"/>
      <c r="J193" s="79"/>
      <c r="O193" s="79"/>
      <c r="P193" s="79"/>
      <c r="S193" s="79"/>
      <c r="T193" s="79"/>
      <c r="W193" s="130"/>
      <c r="Y193" s="106"/>
    </row>
    <row r="194">
      <c r="C194" s="79"/>
      <c r="D194" s="79"/>
      <c r="J194" s="79"/>
      <c r="O194" s="79"/>
      <c r="P194" s="79"/>
      <c r="S194" s="79"/>
      <c r="T194" s="79"/>
      <c r="W194" s="130"/>
      <c r="Y194" s="106"/>
    </row>
    <row r="195">
      <c r="C195" s="79"/>
      <c r="D195" s="79"/>
      <c r="J195" s="79"/>
      <c r="O195" s="79"/>
      <c r="P195" s="79"/>
      <c r="S195" s="79"/>
      <c r="T195" s="79"/>
      <c r="W195" s="130"/>
      <c r="Y195" s="106"/>
    </row>
    <row r="196">
      <c r="C196" s="79"/>
      <c r="D196" s="79"/>
      <c r="J196" s="79"/>
      <c r="O196" s="79"/>
      <c r="P196" s="79"/>
      <c r="S196" s="79"/>
      <c r="T196" s="79"/>
      <c r="W196" s="130"/>
      <c r="Y196" s="106"/>
    </row>
    <row r="197">
      <c r="C197" s="79"/>
      <c r="D197" s="79"/>
      <c r="J197" s="79"/>
      <c r="O197" s="79"/>
      <c r="P197" s="79"/>
      <c r="S197" s="79"/>
      <c r="T197" s="79"/>
      <c r="W197" s="130"/>
      <c r="Y197" s="106"/>
    </row>
    <row r="198">
      <c r="C198" s="79"/>
      <c r="D198" s="79"/>
      <c r="J198" s="79"/>
      <c r="O198" s="79"/>
      <c r="P198" s="79"/>
      <c r="S198" s="79"/>
      <c r="T198" s="79"/>
      <c r="W198" s="130"/>
      <c r="Y198" s="106"/>
    </row>
    <row r="199">
      <c r="C199" s="79"/>
      <c r="D199" s="79"/>
      <c r="J199" s="79"/>
      <c r="O199" s="79"/>
      <c r="P199" s="79"/>
      <c r="S199" s="79"/>
      <c r="T199" s="79"/>
      <c r="W199" s="130"/>
      <c r="Y199" s="106"/>
    </row>
    <row r="200">
      <c r="C200" s="79"/>
      <c r="D200" s="79"/>
      <c r="J200" s="79"/>
      <c r="O200" s="79"/>
      <c r="P200" s="79"/>
      <c r="S200" s="79"/>
      <c r="T200" s="79"/>
      <c r="W200" s="130"/>
      <c r="Y200" s="106"/>
    </row>
    <row r="201">
      <c r="C201" s="79"/>
      <c r="D201" s="79"/>
      <c r="J201" s="79"/>
      <c r="O201" s="79"/>
      <c r="P201" s="79"/>
      <c r="S201" s="79"/>
      <c r="T201" s="79"/>
      <c r="W201" s="130"/>
      <c r="Y201" s="106"/>
    </row>
    <row r="202">
      <c r="C202" s="79"/>
      <c r="D202" s="79"/>
      <c r="J202" s="79"/>
      <c r="O202" s="79"/>
      <c r="P202" s="79"/>
      <c r="S202" s="79"/>
      <c r="T202" s="79"/>
      <c r="W202" s="130"/>
      <c r="Y202" s="106"/>
    </row>
    <row r="203">
      <c r="C203" s="79"/>
      <c r="D203" s="79"/>
      <c r="J203" s="79"/>
      <c r="O203" s="79"/>
      <c r="P203" s="79"/>
      <c r="S203" s="79"/>
      <c r="T203" s="79"/>
      <c r="W203" s="130"/>
      <c r="Y203" s="106"/>
    </row>
    <row r="204">
      <c r="C204" s="79"/>
      <c r="D204" s="79"/>
      <c r="J204" s="79"/>
      <c r="O204" s="79"/>
      <c r="P204" s="79"/>
      <c r="S204" s="79"/>
      <c r="T204" s="79"/>
      <c r="W204" s="130"/>
      <c r="Y204" s="106"/>
    </row>
    <row r="205">
      <c r="C205" s="79"/>
      <c r="D205" s="79"/>
      <c r="J205" s="79"/>
      <c r="O205" s="79"/>
      <c r="P205" s="79"/>
      <c r="S205" s="79"/>
      <c r="T205" s="79"/>
      <c r="W205" s="130"/>
      <c r="Y205" s="106"/>
    </row>
    <row r="206">
      <c r="C206" s="79"/>
      <c r="D206" s="79"/>
      <c r="J206" s="79"/>
      <c r="O206" s="79"/>
      <c r="P206" s="79"/>
      <c r="S206" s="79"/>
      <c r="T206" s="79"/>
      <c r="W206" s="130"/>
      <c r="Y206" s="106"/>
    </row>
    <row r="207">
      <c r="C207" s="79"/>
      <c r="D207" s="79"/>
      <c r="J207" s="79"/>
      <c r="O207" s="79"/>
      <c r="P207" s="79"/>
      <c r="S207" s="79"/>
      <c r="T207" s="79"/>
      <c r="W207" s="130"/>
      <c r="Y207" s="106"/>
    </row>
    <row r="208">
      <c r="C208" s="79"/>
      <c r="D208" s="79"/>
      <c r="J208" s="79"/>
      <c r="O208" s="79"/>
      <c r="P208" s="79"/>
      <c r="S208" s="79"/>
      <c r="T208" s="79"/>
      <c r="W208" s="130"/>
      <c r="Y208" s="106"/>
    </row>
    <row r="209">
      <c r="C209" s="79"/>
      <c r="D209" s="79"/>
      <c r="J209" s="79"/>
      <c r="O209" s="79"/>
      <c r="P209" s="79"/>
      <c r="S209" s="79"/>
      <c r="T209" s="79"/>
      <c r="W209" s="130"/>
      <c r="Y209" s="106"/>
    </row>
    <row r="210">
      <c r="C210" s="79"/>
      <c r="D210" s="79"/>
      <c r="J210" s="79"/>
      <c r="O210" s="79"/>
      <c r="P210" s="79"/>
      <c r="S210" s="79"/>
      <c r="T210" s="79"/>
      <c r="W210" s="130"/>
      <c r="Y210" s="106"/>
    </row>
    <row r="211">
      <c r="C211" s="79"/>
      <c r="D211" s="79"/>
      <c r="J211" s="79"/>
      <c r="O211" s="79"/>
      <c r="P211" s="79"/>
      <c r="S211" s="79"/>
      <c r="T211" s="79"/>
      <c r="W211" s="130"/>
      <c r="Y211" s="106"/>
    </row>
    <row r="212">
      <c r="C212" s="79"/>
      <c r="D212" s="79"/>
      <c r="J212" s="79"/>
      <c r="O212" s="79"/>
      <c r="P212" s="79"/>
      <c r="S212" s="79"/>
      <c r="T212" s="79"/>
      <c r="W212" s="130"/>
      <c r="Y212" s="106"/>
    </row>
    <row r="213">
      <c r="C213" s="79"/>
      <c r="D213" s="79"/>
      <c r="J213" s="79"/>
      <c r="O213" s="79"/>
      <c r="P213" s="79"/>
      <c r="S213" s="79"/>
      <c r="T213" s="79"/>
      <c r="W213" s="130"/>
      <c r="Y213" s="106"/>
    </row>
    <row r="214">
      <c r="C214" s="79"/>
      <c r="D214" s="79"/>
      <c r="J214" s="79"/>
      <c r="O214" s="79"/>
      <c r="P214" s="79"/>
      <c r="S214" s="79"/>
      <c r="T214" s="79"/>
      <c r="W214" s="130"/>
      <c r="Y214" s="106"/>
    </row>
    <row r="215">
      <c r="C215" s="79"/>
      <c r="D215" s="79"/>
      <c r="J215" s="79"/>
      <c r="O215" s="79"/>
      <c r="P215" s="79"/>
      <c r="S215" s="79"/>
      <c r="T215" s="79"/>
      <c r="W215" s="130"/>
      <c r="Y215" s="106"/>
    </row>
    <row r="216">
      <c r="C216" s="79"/>
      <c r="D216" s="79"/>
      <c r="J216" s="79"/>
      <c r="O216" s="79"/>
      <c r="P216" s="79"/>
      <c r="S216" s="79"/>
      <c r="T216" s="79"/>
      <c r="W216" s="130"/>
      <c r="Y216" s="106"/>
    </row>
    <row r="217">
      <c r="C217" s="79"/>
      <c r="D217" s="79"/>
      <c r="J217" s="79"/>
      <c r="O217" s="79"/>
      <c r="P217" s="79"/>
      <c r="S217" s="79"/>
      <c r="T217" s="79"/>
      <c r="W217" s="130"/>
      <c r="Y217" s="106"/>
    </row>
    <row r="218">
      <c r="C218" s="79"/>
      <c r="D218" s="79"/>
      <c r="J218" s="79"/>
      <c r="O218" s="79"/>
      <c r="P218" s="79"/>
      <c r="S218" s="79"/>
      <c r="T218" s="79"/>
      <c r="W218" s="130"/>
      <c r="Y218" s="106"/>
    </row>
    <row r="219">
      <c r="C219" s="79"/>
      <c r="D219" s="79"/>
      <c r="J219" s="79"/>
      <c r="O219" s="79"/>
      <c r="P219" s="79"/>
      <c r="S219" s="79"/>
      <c r="T219" s="79"/>
      <c r="W219" s="130"/>
      <c r="Y219" s="106"/>
    </row>
    <row r="220">
      <c r="C220" s="79"/>
      <c r="D220" s="79"/>
      <c r="J220" s="79"/>
      <c r="O220" s="79"/>
      <c r="P220" s="79"/>
      <c r="S220" s="79"/>
      <c r="T220" s="79"/>
      <c r="W220" s="130"/>
      <c r="Y220" s="106"/>
    </row>
    <row r="221">
      <c r="C221" s="79"/>
      <c r="D221" s="79"/>
      <c r="J221" s="79"/>
      <c r="O221" s="79"/>
      <c r="P221" s="79"/>
      <c r="S221" s="79"/>
      <c r="T221" s="79"/>
      <c r="W221" s="130"/>
      <c r="Y221" s="106"/>
    </row>
    <row r="222">
      <c r="C222" s="79"/>
      <c r="D222" s="79"/>
      <c r="J222" s="79"/>
      <c r="O222" s="79"/>
      <c r="P222" s="79"/>
      <c r="S222" s="79"/>
      <c r="T222" s="79"/>
      <c r="W222" s="130"/>
      <c r="Y222" s="106"/>
    </row>
    <row r="223">
      <c r="C223" s="79"/>
      <c r="D223" s="79"/>
      <c r="J223" s="79"/>
      <c r="O223" s="79"/>
      <c r="P223" s="79"/>
      <c r="S223" s="79"/>
      <c r="T223" s="79"/>
      <c r="W223" s="130"/>
      <c r="Y223" s="106"/>
    </row>
    <row r="224">
      <c r="C224" s="79"/>
      <c r="D224" s="79"/>
      <c r="J224" s="79"/>
      <c r="O224" s="79"/>
      <c r="P224" s="79"/>
      <c r="S224" s="79"/>
      <c r="T224" s="79"/>
      <c r="W224" s="130"/>
      <c r="Y224" s="106"/>
    </row>
    <row r="225">
      <c r="C225" s="79"/>
      <c r="D225" s="79"/>
      <c r="J225" s="79"/>
      <c r="O225" s="79"/>
      <c r="P225" s="79"/>
      <c r="S225" s="79"/>
      <c r="T225" s="79"/>
      <c r="W225" s="130"/>
      <c r="Y225" s="106"/>
    </row>
    <row r="226">
      <c r="C226" s="79"/>
      <c r="D226" s="79"/>
      <c r="J226" s="79"/>
      <c r="O226" s="79"/>
      <c r="P226" s="79"/>
      <c r="S226" s="79"/>
      <c r="T226" s="79"/>
      <c r="W226" s="130"/>
      <c r="Y226" s="106"/>
    </row>
    <row r="227">
      <c r="C227" s="79"/>
      <c r="D227" s="79"/>
      <c r="J227" s="79"/>
      <c r="O227" s="79"/>
      <c r="P227" s="79"/>
      <c r="S227" s="79"/>
      <c r="T227" s="79"/>
      <c r="W227" s="130"/>
      <c r="Y227" s="106"/>
    </row>
    <row r="228">
      <c r="C228" s="79"/>
      <c r="D228" s="79"/>
      <c r="J228" s="79"/>
      <c r="O228" s="79"/>
      <c r="P228" s="79"/>
      <c r="S228" s="79"/>
      <c r="T228" s="79"/>
      <c r="W228" s="130"/>
      <c r="Y228" s="106"/>
    </row>
    <row r="229">
      <c r="C229" s="79"/>
      <c r="D229" s="79"/>
      <c r="J229" s="79"/>
      <c r="O229" s="79"/>
      <c r="P229" s="79"/>
      <c r="S229" s="79"/>
      <c r="T229" s="79"/>
      <c r="W229" s="130"/>
      <c r="Y229" s="106"/>
    </row>
    <row r="230">
      <c r="C230" s="79"/>
      <c r="D230" s="79"/>
      <c r="J230" s="79"/>
      <c r="O230" s="79"/>
      <c r="P230" s="79"/>
      <c r="S230" s="79"/>
      <c r="T230" s="79"/>
      <c r="W230" s="130"/>
      <c r="Y230" s="106"/>
    </row>
    <row r="231">
      <c r="C231" s="79"/>
      <c r="D231" s="79"/>
      <c r="J231" s="79"/>
      <c r="O231" s="79"/>
      <c r="P231" s="79"/>
      <c r="S231" s="79"/>
      <c r="T231" s="79"/>
      <c r="W231" s="130"/>
      <c r="Y231" s="106"/>
    </row>
    <row r="232">
      <c r="C232" s="79"/>
      <c r="D232" s="79"/>
      <c r="J232" s="79"/>
      <c r="O232" s="79"/>
      <c r="P232" s="79"/>
      <c r="S232" s="79"/>
      <c r="T232" s="79"/>
      <c r="W232" s="130"/>
      <c r="Y232" s="106"/>
    </row>
    <row r="233">
      <c r="C233" s="79"/>
      <c r="D233" s="79"/>
      <c r="J233" s="79"/>
      <c r="O233" s="79"/>
      <c r="P233" s="79"/>
      <c r="S233" s="79"/>
      <c r="T233" s="79"/>
      <c r="W233" s="130"/>
      <c r="Y233" s="106"/>
    </row>
    <row r="234">
      <c r="C234" s="79"/>
      <c r="D234" s="79"/>
      <c r="J234" s="79"/>
      <c r="O234" s="79"/>
      <c r="P234" s="79"/>
      <c r="S234" s="79"/>
      <c r="T234" s="79"/>
      <c r="W234" s="130"/>
      <c r="Y234" s="106"/>
    </row>
    <row r="235">
      <c r="C235" s="79"/>
      <c r="D235" s="79"/>
      <c r="J235" s="79"/>
      <c r="O235" s="79"/>
      <c r="P235" s="79"/>
      <c r="S235" s="79"/>
      <c r="T235" s="79"/>
      <c r="W235" s="130"/>
      <c r="Y235" s="106"/>
    </row>
    <row r="236">
      <c r="C236" s="79"/>
      <c r="D236" s="79"/>
      <c r="J236" s="79"/>
      <c r="O236" s="79"/>
      <c r="P236" s="79"/>
      <c r="S236" s="79"/>
      <c r="T236" s="79"/>
      <c r="W236" s="130"/>
      <c r="Y236" s="106"/>
    </row>
    <row r="237">
      <c r="C237" s="79"/>
      <c r="D237" s="79"/>
      <c r="J237" s="79"/>
      <c r="O237" s="79"/>
      <c r="P237" s="79"/>
      <c r="S237" s="79"/>
      <c r="T237" s="79"/>
      <c r="W237" s="130"/>
      <c r="Y237" s="106"/>
    </row>
    <row r="238">
      <c r="C238" s="79"/>
      <c r="D238" s="79"/>
      <c r="J238" s="79"/>
      <c r="O238" s="79"/>
      <c r="P238" s="79"/>
      <c r="S238" s="79"/>
      <c r="T238" s="79"/>
      <c r="W238" s="130"/>
      <c r="Y238" s="106"/>
    </row>
    <row r="239">
      <c r="C239" s="79"/>
      <c r="D239" s="79"/>
      <c r="J239" s="79"/>
      <c r="O239" s="79"/>
      <c r="P239" s="79"/>
      <c r="S239" s="79"/>
      <c r="T239" s="79"/>
      <c r="W239" s="130"/>
      <c r="Y239" s="106"/>
    </row>
    <row r="240">
      <c r="C240" s="79"/>
      <c r="D240" s="79"/>
      <c r="J240" s="79"/>
      <c r="O240" s="79"/>
      <c r="P240" s="79"/>
      <c r="S240" s="79"/>
      <c r="T240" s="79"/>
      <c r="W240" s="130"/>
      <c r="Y240" s="106"/>
    </row>
    <row r="241">
      <c r="C241" s="79"/>
      <c r="D241" s="79"/>
      <c r="J241" s="79"/>
      <c r="O241" s="79"/>
      <c r="P241" s="79"/>
      <c r="S241" s="79"/>
      <c r="T241" s="79"/>
      <c r="W241" s="130"/>
      <c r="Y241" s="106"/>
    </row>
    <row r="242">
      <c r="C242" s="79"/>
      <c r="D242" s="79"/>
      <c r="J242" s="79"/>
      <c r="O242" s="79"/>
      <c r="P242" s="79"/>
      <c r="S242" s="79"/>
      <c r="T242" s="79"/>
      <c r="W242" s="130"/>
      <c r="Y242" s="106"/>
    </row>
    <row r="243">
      <c r="C243" s="79"/>
      <c r="D243" s="79"/>
      <c r="J243" s="79"/>
      <c r="O243" s="79"/>
      <c r="P243" s="79"/>
      <c r="S243" s="79"/>
      <c r="T243" s="79"/>
      <c r="W243" s="130"/>
      <c r="Y243" s="106"/>
    </row>
    <row r="244">
      <c r="C244" s="79"/>
      <c r="D244" s="79"/>
      <c r="J244" s="79"/>
      <c r="O244" s="79"/>
      <c r="P244" s="79"/>
      <c r="S244" s="79"/>
      <c r="T244" s="79"/>
      <c r="W244" s="130"/>
      <c r="Y244" s="106"/>
    </row>
    <row r="245">
      <c r="C245" s="79"/>
      <c r="D245" s="79"/>
      <c r="J245" s="79"/>
      <c r="O245" s="79"/>
      <c r="P245" s="79"/>
      <c r="S245" s="79"/>
      <c r="T245" s="79"/>
      <c r="W245" s="130"/>
      <c r="Y245" s="106"/>
    </row>
    <row r="246">
      <c r="C246" s="79"/>
      <c r="D246" s="79"/>
      <c r="J246" s="79"/>
      <c r="O246" s="79"/>
      <c r="P246" s="79"/>
      <c r="S246" s="79"/>
      <c r="T246" s="79"/>
      <c r="W246" s="130"/>
      <c r="Y246" s="106"/>
    </row>
    <row r="247">
      <c r="C247" s="79"/>
      <c r="D247" s="79"/>
      <c r="J247" s="79"/>
      <c r="O247" s="79"/>
      <c r="P247" s="79"/>
      <c r="S247" s="79"/>
      <c r="T247" s="79"/>
      <c r="W247" s="130"/>
      <c r="Y247" s="106"/>
    </row>
    <row r="248">
      <c r="C248" s="79"/>
      <c r="D248" s="79"/>
      <c r="J248" s="79"/>
      <c r="O248" s="79"/>
      <c r="P248" s="79"/>
      <c r="S248" s="79"/>
      <c r="T248" s="79"/>
      <c r="W248" s="130"/>
      <c r="Y248" s="106"/>
    </row>
    <row r="249">
      <c r="C249" s="79"/>
      <c r="D249" s="79"/>
      <c r="J249" s="79"/>
      <c r="O249" s="79"/>
      <c r="P249" s="79"/>
      <c r="S249" s="79"/>
      <c r="T249" s="79"/>
      <c r="W249" s="130"/>
      <c r="Y249" s="106"/>
    </row>
    <row r="250">
      <c r="C250" s="79"/>
      <c r="D250" s="79"/>
      <c r="J250" s="79"/>
      <c r="O250" s="79"/>
      <c r="P250" s="79"/>
      <c r="S250" s="79"/>
      <c r="T250" s="79"/>
      <c r="W250" s="130"/>
      <c r="Y250" s="106"/>
    </row>
    <row r="251">
      <c r="C251" s="79"/>
      <c r="D251" s="79"/>
      <c r="J251" s="79"/>
      <c r="O251" s="79"/>
      <c r="P251" s="79"/>
      <c r="S251" s="79"/>
      <c r="T251" s="79"/>
      <c r="W251" s="130"/>
      <c r="Y251" s="106"/>
    </row>
    <row r="252">
      <c r="C252" s="79"/>
      <c r="D252" s="79"/>
      <c r="J252" s="79"/>
      <c r="O252" s="79"/>
      <c r="P252" s="79"/>
      <c r="S252" s="79"/>
      <c r="T252" s="79"/>
      <c r="W252" s="130"/>
      <c r="Y252" s="106"/>
    </row>
    <row r="253">
      <c r="C253" s="79"/>
      <c r="D253" s="79"/>
      <c r="J253" s="79"/>
      <c r="O253" s="79"/>
      <c r="P253" s="79"/>
      <c r="S253" s="79"/>
      <c r="T253" s="79"/>
      <c r="W253" s="130"/>
      <c r="Y253" s="106"/>
    </row>
    <row r="254">
      <c r="C254" s="79"/>
      <c r="D254" s="79"/>
      <c r="J254" s="79"/>
      <c r="O254" s="79"/>
      <c r="P254" s="79"/>
      <c r="S254" s="79"/>
      <c r="T254" s="79"/>
      <c r="W254" s="130"/>
      <c r="Y254" s="106"/>
    </row>
    <row r="255">
      <c r="C255" s="79"/>
      <c r="D255" s="79"/>
      <c r="J255" s="79"/>
      <c r="O255" s="79"/>
      <c r="P255" s="79"/>
      <c r="S255" s="79"/>
      <c r="T255" s="79"/>
      <c r="W255" s="130"/>
      <c r="Y255" s="106"/>
    </row>
    <row r="256">
      <c r="C256" s="79"/>
      <c r="D256" s="79"/>
      <c r="J256" s="79"/>
      <c r="O256" s="79"/>
      <c r="P256" s="79"/>
      <c r="S256" s="79"/>
      <c r="T256" s="79"/>
      <c r="W256" s="130"/>
      <c r="Y256" s="106"/>
    </row>
    <row r="257">
      <c r="C257" s="79"/>
      <c r="D257" s="79"/>
      <c r="J257" s="79"/>
      <c r="O257" s="79"/>
      <c r="P257" s="79"/>
      <c r="S257" s="79"/>
      <c r="T257" s="79"/>
      <c r="W257" s="130"/>
      <c r="Y257" s="106"/>
    </row>
    <row r="258">
      <c r="C258" s="79"/>
      <c r="D258" s="79"/>
      <c r="J258" s="79"/>
      <c r="O258" s="79"/>
      <c r="P258" s="79"/>
      <c r="S258" s="79"/>
      <c r="T258" s="79"/>
      <c r="W258" s="130"/>
      <c r="Y258" s="106"/>
    </row>
    <row r="259">
      <c r="C259" s="79"/>
      <c r="D259" s="79"/>
      <c r="J259" s="79"/>
      <c r="O259" s="79"/>
      <c r="P259" s="79"/>
      <c r="S259" s="79"/>
      <c r="T259" s="79"/>
      <c r="W259" s="130"/>
      <c r="Y259" s="106"/>
    </row>
    <row r="260">
      <c r="C260" s="79"/>
      <c r="D260" s="79"/>
      <c r="J260" s="79"/>
      <c r="O260" s="79"/>
      <c r="P260" s="79"/>
      <c r="S260" s="79"/>
      <c r="T260" s="79"/>
      <c r="W260" s="130"/>
      <c r="Y260" s="106"/>
    </row>
    <row r="261">
      <c r="C261" s="79"/>
      <c r="D261" s="79"/>
      <c r="J261" s="79"/>
      <c r="O261" s="79"/>
      <c r="P261" s="79"/>
      <c r="S261" s="79"/>
      <c r="T261" s="79"/>
      <c r="W261" s="130"/>
      <c r="Y261" s="106"/>
    </row>
    <row r="262">
      <c r="C262" s="79"/>
      <c r="D262" s="79"/>
      <c r="J262" s="79"/>
      <c r="O262" s="79"/>
      <c r="P262" s="79"/>
      <c r="S262" s="79"/>
      <c r="T262" s="79"/>
      <c r="W262" s="130"/>
      <c r="Y262" s="106"/>
    </row>
    <row r="263">
      <c r="C263" s="79"/>
      <c r="D263" s="79"/>
      <c r="J263" s="79"/>
      <c r="O263" s="79"/>
      <c r="P263" s="79"/>
      <c r="S263" s="79"/>
      <c r="T263" s="79"/>
      <c r="W263" s="130"/>
      <c r="Y263" s="106"/>
    </row>
    <row r="264">
      <c r="C264" s="79"/>
      <c r="D264" s="79"/>
      <c r="J264" s="79"/>
      <c r="O264" s="79"/>
      <c r="P264" s="79"/>
      <c r="S264" s="79"/>
      <c r="T264" s="79"/>
      <c r="W264" s="130"/>
      <c r="Y264" s="106"/>
    </row>
    <row r="265">
      <c r="C265" s="79"/>
      <c r="D265" s="79"/>
      <c r="J265" s="79"/>
      <c r="O265" s="79"/>
      <c r="P265" s="79"/>
      <c r="S265" s="79"/>
      <c r="T265" s="79"/>
      <c r="W265" s="130"/>
      <c r="Y265" s="106"/>
    </row>
    <row r="266">
      <c r="C266" s="79"/>
      <c r="D266" s="79"/>
      <c r="J266" s="79"/>
      <c r="O266" s="79"/>
      <c r="P266" s="79"/>
      <c r="S266" s="79"/>
      <c r="T266" s="79"/>
      <c r="W266" s="130"/>
      <c r="Y266" s="106"/>
    </row>
    <row r="267">
      <c r="C267" s="79"/>
      <c r="D267" s="79"/>
      <c r="J267" s="79"/>
      <c r="O267" s="79"/>
      <c r="P267" s="79"/>
      <c r="S267" s="79"/>
      <c r="T267" s="79"/>
      <c r="W267" s="130"/>
      <c r="Y267" s="106"/>
    </row>
    <row r="268">
      <c r="C268" s="79"/>
      <c r="D268" s="79"/>
      <c r="J268" s="79"/>
      <c r="O268" s="79"/>
      <c r="P268" s="79"/>
      <c r="S268" s="79"/>
      <c r="T268" s="79"/>
      <c r="W268" s="130"/>
      <c r="Y268" s="106"/>
    </row>
    <row r="269">
      <c r="C269" s="79"/>
      <c r="D269" s="79"/>
      <c r="J269" s="79"/>
      <c r="O269" s="79"/>
      <c r="P269" s="79"/>
      <c r="S269" s="79"/>
      <c r="T269" s="79"/>
      <c r="W269" s="130"/>
      <c r="Y269" s="106"/>
    </row>
    <row r="270">
      <c r="C270" s="79"/>
      <c r="D270" s="79"/>
      <c r="J270" s="79"/>
      <c r="O270" s="79"/>
      <c r="P270" s="79"/>
      <c r="S270" s="79"/>
      <c r="T270" s="79"/>
      <c r="W270" s="130"/>
      <c r="Y270" s="106"/>
    </row>
    <row r="271">
      <c r="C271" s="79"/>
      <c r="D271" s="79"/>
      <c r="J271" s="79"/>
      <c r="O271" s="79"/>
      <c r="P271" s="79"/>
      <c r="S271" s="79"/>
      <c r="T271" s="79"/>
      <c r="W271" s="130"/>
      <c r="Y271" s="106"/>
    </row>
    <row r="272">
      <c r="C272" s="79"/>
      <c r="D272" s="79"/>
      <c r="J272" s="79"/>
      <c r="O272" s="79"/>
      <c r="P272" s="79"/>
      <c r="S272" s="79"/>
      <c r="T272" s="79"/>
      <c r="W272" s="130"/>
      <c r="Y272" s="106"/>
    </row>
    <row r="273">
      <c r="C273" s="79"/>
      <c r="D273" s="79"/>
      <c r="J273" s="79"/>
      <c r="O273" s="79"/>
      <c r="P273" s="79"/>
      <c r="S273" s="79"/>
      <c r="T273" s="79"/>
      <c r="W273" s="130"/>
      <c r="Y273" s="106"/>
    </row>
    <row r="274">
      <c r="C274" s="79"/>
      <c r="D274" s="79"/>
      <c r="J274" s="79"/>
      <c r="O274" s="79"/>
      <c r="P274" s="79"/>
      <c r="S274" s="79"/>
      <c r="T274" s="79"/>
      <c r="W274" s="130"/>
      <c r="Y274" s="106"/>
    </row>
    <row r="275">
      <c r="C275" s="79"/>
      <c r="D275" s="79"/>
      <c r="J275" s="79"/>
      <c r="O275" s="79"/>
      <c r="P275" s="79"/>
      <c r="S275" s="79"/>
      <c r="T275" s="79"/>
      <c r="W275" s="130"/>
      <c r="Y275" s="106"/>
    </row>
    <row r="276">
      <c r="C276" s="79"/>
      <c r="D276" s="79"/>
      <c r="J276" s="79"/>
      <c r="O276" s="79"/>
      <c r="P276" s="79"/>
      <c r="S276" s="79"/>
      <c r="T276" s="79"/>
      <c r="W276" s="130"/>
      <c r="Y276" s="106"/>
    </row>
    <row r="277">
      <c r="C277" s="79"/>
      <c r="D277" s="79"/>
      <c r="J277" s="79"/>
      <c r="O277" s="79"/>
      <c r="P277" s="79"/>
      <c r="S277" s="79"/>
      <c r="T277" s="79"/>
      <c r="W277" s="130"/>
      <c r="Y277" s="106"/>
    </row>
    <row r="278">
      <c r="C278" s="79"/>
      <c r="D278" s="79"/>
      <c r="J278" s="79"/>
      <c r="O278" s="79"/>
      <c r="P278" s="79"/>
      <c r="S278" s="79"/>
      <c r="T278" s="79"/>
      <c r="W278" s="130"/>
      <c r="Y278" s="106"/>
    </row>
    <row r="279">
      <c r="C279" s="79"/>
      <c r="D279" s="79"/>
      <c r="J279" s="79"/>
      <c r="O279" s="79"/>
      <c r="P279" s="79"/>
      <c r="S279" s="79"/>
      <c r="T279" s="79"/>
      <c r="W279" s="130"/>
      <c r="Y279" s="106"/>
    </row>
    <row r="280">
      <c r="C280" s="79"/>
      <c r="D280" s="79"/>
      <c r="J280" s="79"/>
      <c r="O280" s="79"/>
      <c r="P280" s="79"/>
      <c r="S280" s="79"/>
      <c r="T280" s="79"/>
      <c r="W280" s="130"/>
      <c r="Y280" s="106"/>
    </row>
    <row r="281">
      <c r="C281" s="79"/>
      <c r="D281" s="79"/>
      <c r="J281" s="79"/>
      <c r="O281" s="79"/>
      <c r="P281" s="79"/>
      <c r="S281" s="79"/>
      <c r="T281" s="79"/>
      <c r="W281" s="130"/>
      <c r="Y281" s="106"/>
    </row>
    <row r="282">
      <c r="C282" s="79"/>
      <c r="D282" s="79"/>
      <c r="J282" s="79"/>
      <c r="O282" s="79"/>
      <c r="P282" s="79"/>
      <c r="S282" s="79"/>
      <c r="T282" s="79"/>
      <c r="W282" s="130"/>
      <c r="Y282" s="106"/>
    </row>
    <row r="283">
      <c r="C283" s="79"/>
      <c r="D283" s="79"/>
      <c r="J283" s="79"/>
      <c r="O283" s="79"/>
      <c r="P283" s="79"/>
      <c r="S283" s="79"/>
      <c r="T283" s="79"/>
      <c r="W283" s="130"/>
      <c r="Y283" s="106"/>
    </row>
    <row r="284">
      <c r="C284" s="79"/>
      <c r="D284" s="79"/>
      <c r="J284" s="79"/>
      <c r="O284" s="79"/>
      <c r="P284" s="79"/>
      <c r="S284" s="79"/>
      <c r="T284" s="79"/>
      <c r="W284" s="130"/>
      <c r="Y284" s="106"/>
    </row>
    <row r="285">
      <c r="C285" s="79"/>
      <c r="D285" s="79"/>
      <c r="J285" s="79"/>
      <c r="O285" s="79"/>
      <c r="P285" s="79"/>
      <c r="S285" s="79"/>
      <c r="T285" s="79"/>
      <c r="W285" s="130"/>
      <c r="Y285" s="106"/>
    </row>
    <row r="286">
      <c r="C286" s="79"/>
      <c r="D286" s="79"/>
      <c r="J286" s="79"/>
      <c r="O286" s="79"/>
      <c r="P286" s="79"/>
      <c r="S286" s="79"/>
      <c r="T286" s="79"/>
      <c r="W286" s="130"/>
      <c r="Y286" s="106"/>
    </row>
    <row r="287">
      <c r="C287" s="79"/>
      <c r="D287" s="79"/>
      <c r="J287" s="79"/>
      <c r="O287" s="79"/>
      <c r="P287" s="79"/>
      <c r="S287" s="79"/>
      <c r="T287" s="79"/>
      <c r="W287" s="130"/>
      <c r="Y287" s="106"/>
    </row>
    <row r="288">
      <c r="C288" s="79"/>
      <c r="D288" s="79"/>
      <c r="J288" s="79"/>
      <c r="O288" s="79"/>
      <c r="P288" s="79"/>
      <c r="S288" s="79"/>
      <c r="T288" s="79"/>
      <c r="W288" s="130"/>
      <c r="Y288" s="106"/>
    </row>
    <row r="289">
      <c r="C289" s="79"/>
      <c r="D289" s="79"/>
      <c r="J289" s="79"/>
      <c r="O289" s="79"/>
      <c r="P289" s="79"/>
      <c r="S289" s="79"/>
      <c r="T289" s="79"/>
      <c r="W289" s="130"/>
      <c r="Y289" s="106"/>
    </row>
    <row r="290">
      <c r="C290" s="79"/>
      <c r="D290" s="79"/>
      <c r="J290" s="79"/>
      <c r="O290" s="79"/>
      <c r="P290" s="79"/>
      <c r="S290" s="79"/>
      <c r="T290" s="79"/>
      <c r="W290" s="130"/>
      <c r="Y290" s="106"/>
    </row>
    <row r="291">
      <c r="C291" s="79"/>
      <c r="D291" s="79"/>
      <c r="J291" s="79"/>
      <c r="O291" s="79"/>
      <c r="P291" s="79"/>
      <c r="S291" s="79"/>
      <c r="T291" s="79"/>
      <c r="W291" s="130"/>
      <c r="Y291" s="106"/>
    </row>
    <row r="292">
      <c r="C292" s="79"/>
      <c r="D292" s="79"/>
      <c r="J292" s="79"/>
      <c r="O292" s="79"/>
      <c r="P292" s="79"/>
      <c r="S292" s="79"/>
      <c r="T292" s="79"/>
      <c r="W292" s="130"/>
      <c r="Y292" s="106"/>
    </row>
    <row r="293">
      <c r="C293" s="79"/>
      <c r="D293" s="79"/>
      <c r="J293" s="79"/>
      <c r="O293" s="79"/>
      <c r="P293" s="79"/>
      <c r="S293" s="79"/>
      <c r="T293" s="79"/>
      <c r="W293" s="130"/>
      <c r="Y293" s="106"/>
    </row>
    <row r="294">
      <c r="C294" s="79"/>
      <c r="D294" s="79"/>
      <c r="J294" s="79"/>
      <c r="O294" s="79"/>
      <c r="P294" s="79"/>
      <c r="S294" s="79"/>
      <c r="T294" s="79"/>
      <c r="W294" s="130"/>
      <c r="Y294" s="106"/>
    </row>
    <row r="295">
      <c r="C295" s="79"/>
      <c r="D295" s="79"/>
      <c r="J295" s="79"/>
      <c r="O295" s="79"/>
      <c r="P295" s="79"/>
      <c r="S295" s="79"/>
      <c r="T295" s="79"/>
      <c r="W295" s="130"/>
      <c r="Y295" s="106"/>
    </row>
    <row r="296">
      <c r="C296" s="79"/>
      <c r="D296" s="79"/>
      <c r="J296" s="79"/>
      <c r="O296" s="79"/>
      <c r="P296" s="79"/>
      <c r="S296" s="79"/>
      <c r="T296" s="79"/>
      <c r="W296" s="130"/>
      <c r="Y296" s="106"/>
    </row>
    <row r="297">
      <c r="C297" s="79"/>
      <c r="D297" s="79"/>
      <c r="J297" s="79"/>
      <c r="O297" s="79"/>
      <c r="P297" s="79"/>
      <c r="S297" s="79"/>
      <c r="T297" s="79"/>
      <c r="W297" s="130"/>
      <c r="Y297" s="106"/>
    </row>
    <row r="298">
      <c r="C298" s="79"/>
      <c r="D298" s="79"/>
      <c r="J298" s="79"/>
      <c r="O298" s="79"/>
      <c r="P298" s="79"/>
      <c r="S298" s="79"/>
      <c r="T298" s="79"/>
      <c r="W298" s="130"/>
      <c r="Y298" s="106"/>
    </row>
    <row r="299">
      <c r="C299" s="79"/>
      <c r="D299" s="79"/>
      <c r="J299" s="79"/>
      <c r="O299" s="79"/>
      <c r="P299" s="79"/>
      <c r="S299" s="79"/>
      <c r="T299" s="79"/>
      <c r="W299" s="130"/>
      <c r="Y299" s="106"/>
    </row>
    <row r="300">
      <c r="C300" s="79"/>
      <c r="D300" s="79"/>
      <c r="J300" s="79"/>
      <c r="O300" s="79"/>
      <c r="P300" s="79"/>
      <c r="S300" s="79"/>
      <c r="T300" s="79"/>
      <c r="W300" s="130"/>
      <c r="Y300" s="106"/>
    </row>
    <row r="301">
      <c r="C301" s="79"/>
      <c r="D301" s="79"/>
      <c r="J301" s="79"/>
      <c r="O301" s="79"/>
      <c r="P301" s="79"/>
      <c r="S301" s="79"/>
      <c r="T301" s="79"/>
      <c r="W301" s="130"/>
      <c r="Y301" s="106"/>
    </row>
    <row r="302">
      <c r="C302" s="79"/>
      <c r="D302" s="79"/>
      <c r="J302" s="79"/>
      <c r="O302" s="79"/>
      <c r="P302" s="79"/>
      <c r="S302" s="79"/>
      <c r="T302" s="79"/>
      <c r="W302" s="130"/>
      <c r="Y302" s="106"/>
    </row>
    <row r="303">
      <c r="C303" s="79"/>
      <c r="D303" s="79"/>
      <c r="J303" s="79"/>
      <c r="O303" s="79"/>
      <c r="P303" s="79"/>
      <c r="S303" s="79"/>
      <c r="T303" s="79"/>
      <c r="W303" s="130"/>
      <c r="Y303" s="106"/>
    </row>
    <row r="304">
      <c r="C304" s="79"/>
      <c r="D304" s="79"/>
      <c r="J304" s="79"/>
      <c r="O304" s="79"/>
      <c r="P304" s="79"/>
      <c r="S304" s="79"/>
      <c r="T304" s="79"/>
      <c r="W304" s="130"/>
      <c r="Y304" s="106"/>
    </row>
    <row r="305">
      <c r="C305" s="79"/>
      <c r="D305" s="79"/>
      <c r="J305" s="79"/>
      <c r="O305" s="79"/>
      <c r="P305" s="79"/>
      <c r="S305" s="79"/>
      <c r="T305" s="79"/>
      <c r="W305" s="130"/>
      <c r="Y305" s="106"/>
    </row>
    <row r="306">
      <c r="C306" s="79"/>
      <c r="D306" s="79"/>
      <c r="J306" s="79"/>
      <c r="O306" s="79"/>
      <c r="P306" s="79"/>
      <c r="S306" s="79"/>
      <c r="T306" s="79"/>
      <c r="W306" s="130"/>
      <c r="Y306" s="106"/>
    </row>
    <row r="307">
      <c r="C307" s="79"/>
      <c r="D307" s="79"/>
      <c r="J307" s="79"/>
      <c r="O307" s="79"/>
      <c r="P307" s="79"/>
      <c r="S307" s="79"/>
      <c r="T307" s="79"/>
      <c r="W307" s="130"/>
      <c r="Y307" s="106"/>
    </row>
    <row r="308">
      <c r="C308" s="79"/>
      <c r="D308" s="79"/>
      <c r="J308" s="79"/>
      <c r="O308" s="79"/>
      <c r="P308" s="79"/>
      <c r="S308" s="79"/>
      <c r="T308" s="79"/>
      <c r="W308" s="130"/>
      <c r="Y308" s="106"/>
    </row>
    <row r="309">
      <c r="C309" s="79"/>
      <c r="D309" s="79"/>
      <c r="J309" s="79"/>
      <c r="O309" s="79"/>
      <c r="P309" s="79"/>
      <c r="S309" s="79"/>
      <c r="T309" s="79"/>
      <c r="W309" s="130"/>
      <c r="Y309" s="106"/>
    </row>
    <row r="310">
      <c r="C310" s="79"/>
      <c r="D310" s="79"/>
      <c r="J310" s="79"/>
      <c r="O310" s="79"/>
      <c r="P310" s="79"/>
      <c r="S310" s="79"/>
      <c r="T310" s="79"/>
      <c r="W310" s="130"/>
      <c r="Y310" s="106"/>
    </row>
    <row r="311">
      <c r="C311" s="79"/>
      <c r="D311" s="79"/>
      <c r="J311" s="79"/>
      <c r="O311" s="79"/>
      <c r="P311" s="79"/>
      <c r="S311" s="79"/>
      <c r="T311" s="79"/>
      <c r="W311" s="130"/>
      <c r="Y311" s="106"/>
    </row>
    <row r="312">
      <c r="C312" s="79"/>
      <c r="D312" s="79"/>
      <c r="J312" s="79"/>
      <c r="O312" s="79"/>
      <c r="P312" s="79"/>
      <c r="S312" s="79"/>
      <c r="T312" s="79"/>
      <c r="W312" s="130"/>
      <c r="Y312" s="106"/>
    </row>
    <row r="313">
      <c r="C313" s="79"/>
      <c r="D313" s="79"/>
      <c r="J313" s="79"/>
      <c r="O313" s="79"/>
      <c r="P313" s="79"/>
      <c r="S313" s="79"/>
      <c r="T313" s="79"/>
      <c r="W313" s="130"/>
      <c r="Y313" s="106"/>
    </row>
    <row r="314">
      <c r="C314" s="79"/>
      <c r="D314" s="79"/>
      <c r="J314" s="79"/>
      <c r="O314" s="79"/>
      <c r="P314" s="79"/>
      <c r="S314" s="79"/>
      <c r="T314" s="79"/>
      <c r="W314" s="130"/>
      <c r="Y314" s="106"/>
    </row>
    <row r="315">
      <c r="C315" s="79"/>
      <c r="D315" s="79"/>
      <c r="J315" s="79"/>
      <c r="O315" s="79"/>
      <c r="P315" s="79"/>
      <c r="S315" s="79"/>
      <c r="T315" s="79"/>
      <c r="W315" s="130"/>
      <c r="Y315" s="106"/>
    </row>
    <row r="316">
      <c r="C316" s="79"/>
      <c r="D316" s="79"/>
      <c r="J316" s="79"/>
      <c r="O316" s="79"/>
      <c r="P316" s="79"/>
      <c r="S316" s="79"/>
      <c r="T316" s="79"/>
      <c r="W316" s="130"/>
      <c r="Y316" s="106"/>
    </row>
    <row r="317">
      <c r="C317" s="79"/>
      <c r="D317" s="79"/>
      <c r="J317" s="79"/>
      <c r="O317" s="79"/>
      <c r="P317" s="79"/>
      <c r="S317" s="79"/>
      <c r="T317" s="79"/>
      <c r="W317" s="130"/>
      <c r="Y317" s="106"/>
    </row>
    <row r="318">
      <c r="C318" s="79"/>
      <c r="D318" s="79"/>
      <c r="J318" s="79"/>
      <c r="O318" s="79"/>
      <c r="P318" s="79"/>
      <c r="S318" s="79"/>
      <c r="T318" s="79"/>
      <c r="W318" s="130"/>
      <c r="Y318" s="106"/>
    </row>
    <row r="319">
      <c r="C319" s="79"/>
      <c r="D319" s="79"/>
      <c r="J319" s="79"/>
      <c r="O319" s="79"/>
      <c r="P319" s="79"/>
      <c r="S319" s="79"/>
      <c r="T319" s="79"/>
      <c r="W319" s="130"/>
      <c r="Y319" s="106"/>
    </row>
    <row r="320">
      <c r="C320" s="79"/>
      <c r="D320" s="79"/>
      <c r="J320" s="79"/>
      <c r="O320" s="79"/>
      <c r="P320" s="79"/>
      <c r="S320" s="79"/>
      <c r="T320" s="79"/>
      <c r="W320" s="130"/>
      <c r="Y320" s="106"/>
    </row>
    <row r="321">
      <c r="C321" s="79"/>
      <c r="D321" s="79"/>
      <c r="J321" s="79"/>
      <c r="O321" s="79"/>
      <c r="P321" s="79"/>
      <c r="S321" s="79"/>
      <c r="T321" s="79"/>
      <c r="W321" s="130"/>
      <c r="Y321" s="106"/>
    </row>
    <row r="322">
      <c r="C322" s="79"/>
      <c r="D322" s="79"/>
      <c r="J322" s="79"/>
      <c r="O322" s="79"/>
      <c r="P322" s="79"/>
      <c r="S322" s="79"/>
      <c r="T322" s="79"/>
      <c r="W322" s="130"/>
      <c r="Y322" s="106"/>
    </row>
    <row r="323">
      <c r="C323" s="79"/>
      <c r="D323" s="79"/>
      <c r="J323" s="79"/>
      <c r="O323" s="79"/>
      <c r="P323" s="79"/>
      <c r="S323" s="79"/>
      <c r="T323" s="79"/>
      <c r="W323" s="130"/>
      <c r="Y323" s="106"/>
    </row>
    <row r="324">
      <c r="C324" s="79"/>
      <c r="D324" s="79"/>
      <c r="J324" s="79"/>
      <c r="O324" s="79"/>
      <c r="P324" s="79"/>
      <c r="S324" s="79"/>
      <c r="T324" s="79"/>
      <c r="W324" s="130"/>
      <c r="Y324" s="106"/>
    </row>
    <row r="325">
      <c r="C325" s="79"/>
      <c r="D325" s="79"/>
      <c r="J325" s="79"/>
      <c r="O325" s="79"/>
      <c r="P325" s="79"/>
      <c r="S325" s="79"/>
      <c r="T325" s="79"/>
      <c r="W325" s="130"/>
      <c r="Y325" s="106"/>
    </row>
    <row r="326">
      <c r="C326" s="79"/>
      <c r="D326" s="79"/>
      <c r="J326" s="79"/>
      <c r="O326" s="79"/>
      <c r="P326" s="79"/>
      <c r="S326" s="79"/>
      <c r="T326" s="79"/>
      <c r="W326" s="130"/>
      <c r="Y326" s="106"/>
    </row>
    <row r="327">
      <c r="C327" s="79"/>
      <c r="D327" s="79"/>
      <c r="J327" s="79"/>
      <c r="O327" s="79"/>
      <c r="P327" s="79"/>
      <c r="S327" s="79"/>
      <c r="T327" s="79"/>
      <c r="W327" s="130"/>
      <c r="Y327" s="106"/>
    </row>
    <row r="328">
      <c r="C328" s="79"/>
      <c r="D328" s="79"/>
      <c r="J328" s="79"/>
      <c r="O328" s="79"/>
      <c r="P328" s="79"/>
      <c r="S328" s="79"/>
      <c r="T328" s="79"/>
      <c r="W328" s="130"/>
      <c r="Y328" s="106"/>
    </row>
    <row r="329">
      <c r="C329" s="79"/>
      <c r="D329" s="79"/>
      <c r="J329" s="79"/>
      <c r="O329" s="79"/>
      <c r="P329" s="79"/>
      <c r="S329" s="79"/>
      <c r="T329" s="79"/>
      <c r="W329" s="130"/>
      <c r="Y329" s="106"/>
    </row>
    <row r="330">
      <c r="C330" s="79"/>
      <c r="D330" s="79"/>
      <c r="J330" s="79"/>
      <c r="O330" s="79"/>
      <c r="P330" s="79"/>
      <c r="S330" s="79"/>
      <c r="T330" s="79"/>
      <c r="W330" s="130"/>
      <c r="Y330" s="106"/>
    </row>
    <row r="331">
      <c r="C331" s="79"/>
      <c r="D331" s="79"/>
      <c r="J331" s="79"/>
      <c r="O331" s="79"/>
      <c r="P331" s="79"/>
      <c r="S331" s="79"/>
      <c r="T331" s="79"/>
      <c r="W331" s="130"/>
      <c r="Y331" s="106"/>
    </row>
    <row r="332">
      <c r="C332" s="79"/>
      <c r="D332" s="79"/>
      <c r="J332" s="79"/>
      <c r="O332" s="79"/>
      <c r="P332" s="79"/>
      <c r="S332" s="79"/>
      <c r="T332" s="79"/>
      <c r="W332" s="130"/>
      <c r="Y332" s="106"/>
    </row>
    <row r="333">
      <c r="C333" s="79"/>
      <c r="D333" s="79"/>
      <c r="J333" s="79"/>
      <c r="O333" s="79"/>
      <c r="P333" s="79"/>
      <c r="S333" s="79"/>
      <c r="T333" s="79"/>
      <c r="W333" s="130"/>
      <c r="Y333" s="106"/>
    </row>
    <row r="334">
      <c r="C334" s="79"/>
      <c r="D334" s="79"/>
      <c r="J334" s="79"/>
      <c r="O334" s="79"/>
      <c r="P334" s="79"/>
      <c r="S334" s="79"/>
      <c r="T334" s="79"/>
      <c r="W334" s="130"/>
      <c r="Y334" s="106"/>
    </row>
    <row r="335">
      <c r="C335" s="79"/>
      <c r="D335" s="79"/>
      <c r="J335" s="79"/>
      <c r="O335" s="79"/>
      <c r="P335" s="79"/>
      <c r="S335" s="79"/>
      <c r="T335" s="79"/>
      <c r="W335" s="130"/>
      <c r="Y335" s="106"/>
    </row>
    <row r="336">
      <c r="C336" s="79"/>
      <c r="D336" s="79"/>
      <c r="J336" s="79"/>
      <c r="O336" s="79"/>
      <c r="P336" s="79"/>
      <c r="S336" s="79"/>
      <c r="T336" s="79"/>
      <c r="W336" s="130"/>
      <c r="Y336" s="106"/>
    </row>
    <row r="337">
      <c r="C337" s="79"/>
      <c r="D337" s="79"/>
      <c r="J337" s="79"/>
      <c r="O337" s="79"/>
      <c r="P337" s="79"/>
      <c r="S337" s="79"/>
      <c r="T337" s="79"/>
      <c r="W337" s="130"/>
      <c r="Y337" s="106"/>
    </row>
    <row r="338">
      <c r="C338" s="79"/>
      <c r="D338" s="79"/>
      <c r="J338" s="79"/>
      <c r="O338" s="79"/>
      <c r="P338" s="79"/>
      <c r="S338" s="79"/>
      <c r="T338" s="79"/>
      <c r="W338" s="130"/>
      <c r="Y338" s="106"/>
    </row>
    <row r="339">
      <c r="C339" s="79"/>
      <c r="D339" s="79"/>
      <c r="J339" s="79"/>
      <c r="O339" s="79"/>
      <c r="P339" s="79"/>
      <c r="S339" s="79"/>
      <c r="T339" s="79"/>
      <c r="W339" s="130"/>
      <c r="Y339" s="106"/>
    </row>
    <row r="340">
      <c r="C340" s="79"/>
      <c r="D340" s="79"/>
      <c r="J340" s="79"/>
      <c r="O340" s="79"/>
      <c r="P340" s="79"/>
      <c r="S340" s="79"/>
      <c r="T340" s="79"/>
      <c r="W340" s="130"/>
      <c r="Y340" s="106"/>
    </row>
    <row r="341">
      <c r="C341" s="79"/>
      <c r="D341" s="79"/>
      <c r="J341" s="79"/>
      <c r="O341" s="79"/>
      <c r="P341" s="79"/>
      <c r="S341" s="79"/>
      <c r="T341" s="79"/>
      <c r="W341" s="130"/>
      <c r="Y341" s="106"/>
    </row>
    <row r="342">
      <c r="C342" s="79"/>
      <c r="D342" s="79"/>
      <c r="J342" s="79"/>
      <c r="O342" s="79"/>
      <c r="P342" s="79"/>
      <c r="S342" s="79"/>
      <c r="T342" s="79"/>
      <c r="W342" s="130"/>
      <c r="Y342" s="106"/>
    </row>
    <row r="343">
      <c r="C343" s="79"/>
      <c r="D343" s="79"/>
      <c r="J343" s="79"/>
      <c r="O343" s="79"/>
      <c r="P343" s="79"/>
      <c r="S343" s="79"/>
      <c r="T343" s="79"/>
      <c r="W343" s="130"/>
      <c r="Y343" s="106"/>
    </row>
    <row r="344">
      <c r="C344" s="79"/>
      <c r="D344" s="79"/>
      <c r="J344" s="79"/>
      <c r="O344" s="79"/>
      <c r="P344" s="79"/>
      <c r="S344" s="79"/>
      <c r="T344" s="79"/>
      <c r="W344" s="130"/>
      <c r="Y344" s="106"/>
    </row>
    <row r="345">
      <c r="C345" s="79"/>
      <c r="D345" s="79"/>
      <c r="J345" s="79"/>
      <c r="O345" s="79"/>
      <c r="P345" s="79"/>
      <c r="S345" s="79"/>
      <c r="T345" s="79"/>
      <c r="W345" s="130"/>
      <c r="Y345" s="106"/>
    </row>
    <row r="346">
      <c r="C346" s="79"/>
      <c r="D346" s="79"/>
      <c r="J346" s="79"/>
      <c r="O346" s="79"/>
      <c r="P346" s="79"/>
      <c r="S346" s="79"/>
      <c r="T346" s="79"/>
      <c r="W346" s="130"/>
      <c r="Y346" s="106"/>
    </row>
    <row r="347">
      <c r="C347" s="79"/>
      <c r="D347" s="79"/>
      <c r="J347" s="79"/>
      <c r="O347" s="79"/>
      <c r="P347" s="79"/>
      <c r="S347" s="79"/>
      <c r="T347" s="79"/>
      <c r="W347" s="130"/>
      <c r="Y347" s="106"/>
    </row>
    <row r="348">
      <c r="C348" s="79"/>
      <c r="D348" s="79"/>
      <c r="J348" s="79"/>
      <c r="O348" s="79"/>
      <c r="P348" s="79"/>
      <c r="S348" s="79"/>
      <c r="T348" s="79"/>
      <c r="W348" s="130"/>
      <c r="Y348" s="106"/>
    </row>
    <row r="349">
      <c r="C349" s="79"/>
      <c r="D349" s="79"/>
      <c r="J349" s="79"/>
      <c r="O349" s="79"/>
      <c r="P349" s="79"/>
      <c r="S349" s="79"/>
      <c r="T349" s="79"/>
      <c r="W349" s="130"/>
      <c r="Y349" s="106"/>
    </row>
    <row r="350">
      <c r="C350" s="79"/>
      <c r="D350" s="79"/>
      <c r="J350" s="79"/>
      <c r="O350" s="79"/>
      <c r="P350" s="79"/>
      <c r="S350" s="79"/>
      <c r="T350" s="79"/>
      <c r="W350" s="130"/>
      <c r="Y350" s="106"/>
    </row>
    <row r="351">
      <c r="C351" s="79"/>
      <c r="D351" s="79"/>
      <c r="J351" s="79"/>
      <c r="O351" s="79"/>
      <c r="P351" s="79"/>
      <c r="S351" s="79"/>
      <c r="T351" s="79"/>
      <c r="W351" s="130"/>
      <c r="Y351" s="106"/>
    </row>
    <row r="352">
      <c r="C352" s="79"/>
      <c r="D352" s="79"/>
      <c r="J352" s="79"/>
      <c r="O352" s="79"/>
      <c r="P352" s="79"/>
      <c r="S352" s="79"/>
      <c r="T352" s="79"/>
      <c r="W352" s="130"/>
      <c r="Y352" s="106"/>
    </row>
    <row r="353">
      <c r="C353" s="79"/>
      <c r="D353" s="79"/>
      <c r="J353" s="79"/>
      <c r="O353" s="79"/>
      <c r="P353" s="79"/>
      <c r="S353" s="79"/>
      <c r="T353" s="79"/>
      <c r="W353" s="130"/>
      <c r="Y353" s="106"/>
    </row>
    <row r="354">
      <c r="C354" s="79"/>
      <c r="D354" s="79"/>
      <c r="J354" s="79"/>
      <c r="O354" s="79"/>
      <c r="P354" s="79"/>
      <c r="S354" s="79"/>
      <c r="T354" s="79"/>
      <c r="W354" s="130"/>
      <c r="Y354" s="106"/>
    </row>
    <row r="355">
      <c r="C355" s="79"/>
      <c r="D355" s="79"/>
      <c r="J355" s="79"/>
      <c r="O355" s="79"/>
      <c r="P355" s="79"/>
      <c r="S355" s="79"/>
      <c r="T355" s="79"/>
      <c r="W355" s="130"/>
      <c r="Y355" s="106"/>
    </row>
    <row r="356">
      <c r="C356" s="79"/>
      <c r="D356" s="79"/>
      <c r="J356" s="79"/>
      <c r="O356" s="79"/>
      <c r="P356" s="79"/>
      <c r="S356" s="79"/>
      <c r="T356" s="79"/>
      <c r="W356" s="130"/>
      <c r="Y356" s="106"/>
    </row>
    <row r="357">
      <c r="C357" s="79"/>
      <c r="D357" s="79"/>
      <c r="J357" s="79"/>
      <c r="O357" s="79"/>
      <c r="P357" s="79"/>
      <c r="S357" s="79"/>
      <c r="T357" s="79"/>
      <c r="W357" s="130"/>
      <c r="Y357" s="106"/>
    </row>
    <row r="358">
      <c r="C358" s="79"/>
      <c r="D358" s="79"/>
      <c r="J358" s="79"/>
      <c r="O358" s="79"/>
      <c r="P358" s="79"/>
      <c r="S358" s="79"/>
      <c r="T358" s="79"/>
      <c r="W358" s="130"/>
      <c r="Y358" s="106"/>
    </row>
    <row r="359">
      <c r="C359" s="79"/>
      <c r="D359" s="79"/>
      <c r="J359" s="79"/>
      <c r="O359" s="79"/>
      <c r="P359" s="79"/>
      <c r="S359" s="79"/>
      <c r="T359" s="79"/>
      <c r="W359" s="130"/>
      <c r="Y359" s="106"/>
    </row>
    <row r="360">
      <c r="C360" s="79"/>
      <c r="D360" s="79"/>
      <c r="J360" s="79"/>
      <c r="O360" s="79"/>
      <c r="P360" s="79"/>
      <c r="S360" s="79"/>
      <c r="T360" s="79"/>
      <c r="W360" s="130"/>
      <c r="Y360" s="106"/>
    </row>
    <row r="361">
      <c r="C361" s="79"/>
      <c r="D361" s="79"/>
      <c r="J361" s="79"/>
      <c r="O361" s="79"/>
      <c r="P361" s="79"/>
      <c r="S361" s="79"/>
      <c r="T361" s="79"/>
      <c r="W361" s="130"/>
      <c r="Y361" s="106"/>
    </row>
    <row r="362">
      <c r="C362" s="79"/>
      <c r="D362" s="79"/>
      <c r="J362" s="79"/>
      <c r="O362" s="79"/>
      <c r="P362" s="79"/>
      <c r="S362" s="79"/>
      <c r="T362" s="79"/>
      <c r="W362" s="130"/>
      <c r="Y362" s="106"/>
    </row>
    <row r="363">
      <c r="C363" s="79"/>
      <c r="D363" s="79"/>
      <c r="J363" s="79"/>
      <c r="O363" s="79"/>
      <c r="P363" s="79"/>
      <c r="S363" s="79"/>
      <c r="T363" s="79"/>
      <c r="W363" s="130"/>
      <c r="Y363" s="106"/>
    </row>
    <row r="364">
      <c r="C364" s="79"/>
      <c r="D364" s="79"/>
      <c r="J364" s="79"/>
      <c r="O364" s="79"/>
      <c r="P364" s="79"/>
      <c r="S364" s="79"/>
      <c r="T364" s="79"/>
      <c r="W364" s="130"/>
      <c r="Y364" s="106"/>
    </row>
    <row r="365">
      <c r="C365" s="79"/>
      <c r="D365" s="79"/>
      <c r="J365" s="79"/>
      <c r="O365" s="79"/>
      <c r="P365" s="79"/>
      <c r="S365" s="79"/>
      <c r="T365" s="79"/>
      <c r="W365" s="130"/>
      <c r="Y365" s="106"/>
    </row>
    <row r="366">
      <c r="C366" s="79"/>
      <c r="D366" s="79"/>
      <c r="J366" s="79"/>
      <c r="O366" s="79"/>
      <c r="P366" s="79"/>
      <c r="S366" s="79"/>
      <c r="T366" s="79"/>
      <c r="W366" s="130"/>
      <c r="Y366" s="106"/>
    </row>
    <row r="367">
      <c r="C367" s="79"/>
      <c r="D367" s="79"/>
      <c r="J367" s="79"/>
      <c r="O367" s="79"/>
      <c r="P367" s="79"/>
      <c r="S367" s="79"/>
      <c r="T367" s="79"/>
      <c r="W367" s="130"/>
      <c r="Y367" s="106"/>
    </row>
    <row r="368">
      <c r="C368" s="79"/>
      <c r="D368" s="79"/>
      <c r="J368" s="79"/>
      <c r="O368" s="79"/>
      <c r="P368" s="79"/>
      <c r="S368" s="79"/>
      <c r="T368" s="79"/>
      <c r="W368" s="130"/>
      <c r="Y368" s="106"/>
    </row>
    <row r="369">
      <c r="C369" s="79"/>
      <c r="D369" s="79"/>
      <c r="J369" s="79"/>
      <c r="O369" s="79"/>
      <c r="P369" s="79"/>
      <c r="S369" s="79"/>
      <c r="T369" s="79"/>
      <c r="W369" s="130"/>
      <c r="Y369" s="106"/>
    </row>
    <row r="370">
      <c r="C370" s="79"/>
      <c r="D370" s="79"/>
      <c r="J370" s="79"/>
      <c r="O370" s="79"/>
      <c r="P370" s="79"/>
      <c r="S370" s="79"/>
      <c r="T370" s="79"/>
      <c r="W370" s="130"/>
      <c r="Y370" s="106"/>
    </row>
    <row r="371">
      <c r="C371" s="79"/>
      <c r="D371" s="79"/>
      <c r="J371" s="79"/>
      <c r="O371" s="79"/>
      <c r="P371" s="79"/>
      <c r="S371" s="79"/>
      <c r="T371" s="79"/>
      <c r="W371" s="130"/>
      <c r="Y371" s="106"/>
    </row>
    <row r="372">
      <c r="C372" s="79"/>
      <c r="D372" s="79"/>
      <c r="J372" s="79"/>
      <c r="O372" s="79"/>
      <c r="P372" s="79"/>
      <c r="S372" s="79"/>
      <c r="T372" s="79"/>
      <c r="W372" s="130"/>
      <c r="Y372" s="106"/>
    </row>
    <row r="373">
      <c r="C373" s="79"/>
      <c r="D373" s="79"/>
      <c r="J373" s="79"/>
      <c r="O373" s="79"/>
      <c r="P373" s="79"/>
      <c r="S373" s="79"/>
      <c r="T373" s="79"/>
      <c r="W373" s="130"/>
      <c r="Y373" s="106"/>
    </row>
    <row r="374">
      <c r="C374" s="79"/>
      <c r="D374" s="79"/>
      <c r="J374" s="79"/>
      <c r="O374" s="79"/>
      <c r="P374" s="79"/>
      <c r="S374" s="79"/>
      <c r="T374" s="79"/>
      <c r="W374" s="130"/>
      <c r="Y374" s="106"/>
    </row>
    <row r="375">
      <c r="C375" s="79"/>
      <c r="D375" s="79"/>
      <c r="J375" s="79"/>
      <c r="O375" s="79"/>
      <c r="P375" s="79"/>
      <c r="S375" s="79"/>
      <c r="T375" s="79"/>
      <c r="W375" s="130"/>
      <c r="Y375" s="106"/>
    </row>
    <row r="376">
      <c r="C376" s="79"/>
      <c r="D376" s="79"/>
      <c r="J376" s="79"/>
      <c r="O376" s="79"/>
      <c r="P376" s="79"/>
      <c r="S376" s="79"/>
      <c r="T376" s="79"/>
      <c r="W376" s="130"/>
      <c r="Y376" s="106"/>
    </row>
    <row r="377">
      <c r="C377" s="79"/>
      <c r="D377" s="79"/>
      <c r="J377" s="79"/>
      <c r="O377" s="79"/>
      <c r="P377" s="79"/>
      <c r="S377" s="79"/>
      <c r="T377" s="79"/>
      <c r="W377" s="130"/>
      <c r="Y377" s="106"/>
    </row>
    <row r="378">
      <c r="C378" s="79"/>
      <c r="D378" s="79"/>
      <c r="J378" s="79"/>
      <c r="O378" s="79"/>
      <c r="P378" s="79"/>
      <c r="S378" s="79"/>
      <c r="T378" s="79"/>
      <c r="W378" s="130"/>
      <c r="Y378" s="106"/>
    </row>
    <row r="379">
      <c r="C379" s="79"/>
      <c r="D379" s="79"/>
      <c r="J379" s="79"/>
      <c r="O379" s="79"/>
      <c r="P379" s="79"/>
      <c r="S379" s="79"/>
      <c r="T379" s="79"/>
      <c r="W379" s="130"/>
      <c r="Y379" s="106"/>
    </row>
    <row r="380">
      <c r="C380" s="79"/>
      <c r="D380" s="79"/>
      <c r="J380" s="79"/>
      <c r="O380" s="79"/>
      <c r="P380" s="79"/>
      <c r="S380" s="79"/>
      <c r="T380" s="79"/>
      <c r="W380" s="130"/>
      <c r="Y380" s="106"/>
    </row>
    <row r="381">
      <c r="C381" s="79"/>
      <c r="D381" s="79"/>
      <c r="J381" s="79"/>
      <c r="O381" s="79"/>
      <c r="P381" s="79"/>
      <c r="S381" s="79"/>
      <c r="T381" s="79"/>
      <c r="W381" s="130"/>
      <c r="Y381" s="106"/>
    </row>
    <row r="382">
      <c r="C382" s="79"/>
      <c r="D382" s="79"/>
      <c r="J382" s="79"/>
      <c r="O382" s="79"/>
      <c r="P382" s="79"/>
      <c r="S382" s="79"/>
      <c r="T382" s="79"/>
      <c r="W382" s="130"/>
      <c r="Y382" s="106"/>
    </row>
    <row r="383">
      <c r="C383" s="79"/>
      <c r="D383" s="79"/>
      <c r="J383" s="79"/>
      <c r="O383" s="79"/>
      <c r="P383" s="79"/>
      <c r="S383" s="79"/>
      <c r="T383" s="79"/>
      <c r="W383" s="130"/>
      <c r="Y383" s="106"/>
    </row>
    <row r="384">
      <c r="C384" s="79"/>
      <c r="D384" s="79"/>
      <c r="J384" s="79"/>
      <c r="O384" s="79"/>
      <c r="P384" s="79"/>
      <c r="S384" s="79"/>
      <c r="T384" s="79"/>
      <c r="W384" s="130"/>
      <c r="Y384" s="106"/>
    </row>
    <row r="385">
      <c r="C385" s="79"/>
      <c r="D385" s="79"/>
      <c r="J385" s="79"/>
      <c r="O385" s="79"/>
      <c r="P385" s="79"/>
      <c r="S385" s="79"/>
      <c r="T385" s="79"/>
      <c r="W385" s="130"/>
      <c r="Y385" s="106"/>
    </row>
    <row r="386">
      <c r="C386" s="79"/>
      <c r="D386" s="79"/>
      <c r="J386" s="79"/>
      <c r="O386" s="79"/>
      <c r="P386" s="79"/>
      <c r="S386" s="79"/>
      <c r="T386" s="79"/>
      <c r="W386" s="130"/>
      <c r="Y386" s="106"/>
    </row>
    <row r="387">
      <c r="C387" s="79"/>
      <c r="D387" s="79"/>
      <c r="J387" s="79"/>
      <c r="O387" s="79"/>
      <c r="P387" s="79"/>
      <c r="S387" s="79"/>
      <c r="T387" s="79"/>
      <c r="W387" s="130"/>
      <c r="Y387" s="106"/>
    </row>
    <row r="388">
      <c r="C388" s="79"/>
      <c r="D388" s="79"/>
      <c r="J388" s="79"/>
      <c r="O388" s="79"/>
      <c r="P388" s="79"/>
      <c r="S388" s="79"/>
      <c r="T388" s="79"/>
      <c r="W388" s="130"/>
      <c r="Y388" s="106"/>
    </row>
    <row r="389">
      <c r="C389" s="79"/>
      <c r="D389" s="79"/>
      <c r="J389" s="79"/>
      <c r="O389" s="79"/>
      <c r="P389" s="79"/>
      <c r="S389" s="79"/>
      <c r="T389" s="79"/>
      <c r="W389" s="130"/>
      <c r="Y389" s="106"/>
    </row>
    <row r="390">
      <c r="C390" s="79"/>
      <c r="D390" s="79"/>
      <c r="J390" s="79"/>
      <c r="O390" s="79"/>
      <c r="P390" s="79"/>
      <c r="S390" s="79"/>
      <c r="T390" s="79"/>
      <c r="W390" s="130"/>
      <c r="Y390" s="106"/>
    </row>
    <row r="391">
      <c r="C391" s="79"/>
      <c r="D391" s="79"/>
      <c r="J391" s="79"/>
      <c r="O391" s="79"/>
      <c r="P391" s="79"/>
      <c r="S391" s="79"/>
      <c r="T391" s="79"/>
      <c r="W391" s="130"/>
      <c r="Y391" s="106"/>
    </row>
    <row r="392">
      <c r="C392" s="79"/>
      <c r="D392" s="79"/>
      <c r="J392" s="79"/>
      <c r="O392" s="79"/>
      <c r="P392" s="79"/>
      <c r="S392" s="79"/>
      <c r="T392" s="79"/>
      <c r="W392" s="130"/>
      <c r="Y392" s="106"/>
    </row>
    <row r="393">
      <c r="C393" s="79"/>
      <c r="D393" s="79"/>
      <c r="J393" s="79"/>
      <c r="O393" s="79"/>
      <c r="P393" s="79"/>
      <c r="S393" s="79"/>
      <c r="T393" s="79"/>
      <c r="W393" s="130"/>
      <c r="Y393" s="106"/>
    </row>
    <row r="394">
      <c r="C394" s="79"/>
      <c r="D394" s="79"/>
      <c r="J394" s="79"/>
      <c r="O394" s="79"/>
      <c r="P394" s="79"/>
      <c r="S394" s="79"/>
      <c r="T394" s="79"/>
      <c r="W394" s="130"/>
      <c r="Y394" s="106"/>
    </row>
    <row r="395">
      <c r="C395" s="79"/>
      <c r="D395" s="79"/>
      <c r="J395" s="79"/>
      <c r="O395" s="79"/>
      <c r="P395" s="79"/>
      <c r="S395" s="79"/>
      <c r="T395" s="79"/>
      <c r="W395" s="130"/>
      <c r="Y395" s="106"/>
    </row>
    <row r="396">
      <c r="C396" s="79"/>
      <c r="D396" s="79"/>
      <c r="J396" s="79"/>
      <c r="O396" s="79"/>
      <c r="P396" s="79"/>
      <c r="S396" s="79"/>
      <c r="T396" s="79"/>
      <c r="W396" s="130"/>
      <c r="Y396" s="106"/>
    </row>
    <row r="397">
      <c r="C397" s="79"/>
      <c r="D397" s="79"/>
      <c r="J397" s="79"/>
      <c r="O397" s="79"/>
      <c r="P397" s="79"/>
      <c r="S397" s="79"/>
      <c r="T397" s="79"/>
      <c r="W397" s="130"/>
      <c r="Y397" s="106"/>
    </row>
    <row r="398">
      <c r="C398" s="79"/>
      <c r="D398" s="79"/>
      <c r="J398" s="79"/>
      <c r="O398" s="79"/>
      <c r="P398" s="79"/>
      <c r="S398" s="79"/>
      <c r="T398" s="79"/>
      <c r="W398" s="130"/>
      <c r="Y398" s="106"/>
    </row>
    <row r="399">
      <c r="C399" s="79"/>
      <c r="D399" s="79"/>
      <c r="J399" s="79"/>
      <c r="O399" s="79"/>
      <c r="P399" s="79"/>
      <c r="S399" s="79"/>
      <c r="T399" s="79"/>
      <c r="W399" s="130"/>
      <c r="Y399" s="106"/>
    </row>
    <row r="400">
      <c r="C400" s="79"/>
      <c r="D400" s="79"/>
      <c r="J400" s="79"/>
      <c r="O400" s="79"/>
      <c r="P400" s="79"/>
      <c r="S400" s="79"/>
      <c r="T400" s="79"/>
      <c r="W400" s="130"/>
      <c r="Y400" s="106"/>
    </row>
    <row r="401">
      <c r="C401" s="79"/>
      <c r="D401" s="79"/>
      <c r="J401" s="79"/>
      <c r="O401" s="79"/>
      <c r="P401" s="79"/>
      <c r="S401" s="79"/>
      <c r="T401" s="79"/>
      <c r="W401" s="130"/>
      <c r="Y401" s="106"/>
    </row>
    <row r="402">
      <c r="C402" s="79"/>
      <c r="D402" s="79"/>
      <c r="J402" s="79"/>
      <c r="O402" s="79"/>
      <c r="P402" s="79"/>
      <c r="S402" s="79"/>
      <c r="T402" s="79"/>
      <c r="W402" s="130"/>
      <c r="Y402" s="106"/>
    </row>
    <row r="403">
      <c r="C403" s="79"/>
      <c r="D403" s="79"/>
      <c r="J403" s="79"/>
      <c r="O403" s="79"/>
      <c r="P403" s="79"/>
      <c r="S403" s="79"/>
      <c r="T403" s="79"/>
      <c r="W403" s="130"/>
      <c r="Y403" s="106"/>
    </row>
    <row r="404">
      <c r="C404" s="79"/>
      <c r="D404" s="79"/>
      <c r="J404" s="79"/>
      <c r="O404" s="79"/>
      <c r="P404" s="79"/>
      <c r="S404" s="79"/>
      <c r="T404" s="79"/>
      <c r="W404" s="130"/>
      <c r="Y404" s="106"/>
    </row>
    <row r="405">
      <c r="C405" s="79"/>
      <c r="D405" s="79"/>
      <c r="J405" s="79"/>
      <c r="O405" s="79"/>
      <c r="P405" s="79"/>
      <c r="S405" s="79"/>
      <c r="T405" s="79"/>
      <c r="W405" s="130"/>
      <c r="Y405" s="106"/>
    </row>
    <row r="406">
      <c r="C406" s="79"/>
      <c r="D406" s="79"/>
      <c r="J406" s="79"/>
      <c r="O406" s="79"/>
      <c r="P406" s="79"/>
      <c r="S406" s="79"/>
      <c r="T406" s="79"/>
      <c r="W406" s="130"/>
      <c r="Y406" s="106"/>
    </row>
    <row r="407">
      <c r="C407" s="79"/>
      <c r="D407" s="79"/>
      <c r="J407" s="79"/>
      <c r="O407" s="79"/>
      <c r="P407" s="79"/>
      <c r="S407" s="79"/>
      <c r="T407" s="79"/>
      <c r="W407" s="130"/>
      <c r="Y407" s="106"/>
    </row>
    <row r="408">
      <c r="C408" s="79"/>
      <c r="D408" s="79"/>
      <c r="J408" s="79"/>
      <c r="O408" s="79"/>
      <c r="P408" s="79"/>
      <c r="S408" s="79"/>
      <c r="T408" s="79"/>
      <c r="W408" s="130"/>
      <c r="Y408" s="106"/>
    </row>
    <row r="409">
      <c r="C409" s="79"/>
      <c r="D409" s="79"/>
      <c r="J409" s="79"/>
      <c r="O409" s="79"/>
      <c r="P409" s="79"/>
      <c r="S409" s="79"/>
      <c r="T409" s="79"/>
      <c r="W409" s="130"/>
      <c r="Y409" s="106"/>
    </row>
    <row r="410">
      <c r="C410" s="79"/>
      <c r="D410" s="79"/>
      <c r="J410" s="79"/>
      <c r="O410" s="79"/>
      <c r="P410" s="79"/>
      <c r="S410" s="79"/>
      <c r="T410" s="79"/>
      <c r="W410" s="130"/>
      <c r="Y410" s="106"/>
    </row>
    <row r="411">
      <c r="C411" s="79"/>
      <c r="D411" s="79"/>
      <c r="J411" s="79"/>
      <c r="O411" s="79"/>
      <c r="P411" s="79"/>
      <c r="S411" s="79"/>
      <c r="T411" s="79"/>
      <c r="W411" s="130"/>
      <c r="Y411" s="106"/>
    </row>
    <row r="412">
      <c r="C412" s="79"/>
      <c r="D412" s="79"/>
      <c r="J412" s="79"/>
      <c r="O412" s="79"/>
      <c r="P412" s="79"/>
      <c r="S412" s="79"/>
      <c r="T412" s="79"/>
      <c r="W412" s="130"/>
      <c r="Y412" s="106"/>
    </row>
    <row r="413">
      <c r="C413" s="79"/>
      <c r="D413" s="79"/>
      <c r="J413" s="79"/>
      <c r="O413" s="79"/>
      <c r="P413" s="79"/>
      <c r="S413" s="79"/>
      <c r="T413" s="79"/>
      <c r="W413" s="130"/>
      <c r="Y413" s="106"/>
    </row>
    <row r="414">
      <c r="C414" s="79"/>
      <c r="D414" s="79"/>
      <c r="J414" s="79"/>
      <c r="O414" s="79"/>
      <c r="P414" s="79"/>
      <c r="S414" s="79"/>
      <c r="T414" s="79"/>
      <c r="W414" s="130"/>
      <c r="Y414" s="106"/>
    </row>
    <row r="415">
      <c r="C415" s="79"/>
      <c r="D415" s="79"/>
      <c r="J415" s="79"/>
      <c r="O415" s="79"/>
      <c r="P415" s="79"/>
      <c r="S415" s="79"/>
      <c r="T415" s="79"/>
      <c r="W415" s="130"/>
      <c r="Y415" s="106"/>
    </row>
    <row r="416">
      <c r="C416" s="79"/>
      <c r="D416" s="79"/>
      <c r="J416" s="79"/>
      <c r="O416" s="79"/>
      <c r="P416" s="79"/>
      <c r="S416" s="79"/>
      <c r="T416" s="79"/>
      <c r="W416" s="130"/>
      <c r="Y416" s="106"/>
    </row>
    <row r="417">
      <c r="C417" s="79"/>
      <c r="D417" s="79"/>
      <c r="J417" s="79"/>
      <c r="O417" s="79"/>
      <c r="P417" s="79"/>
      <c r="S417" s="79"/>
      <c r="T417" s="79"/>
      <c r="W417" s="130"/>
      <c r="Y417" s="106"/>
    </row>
    <row r="418">
      <c r="C418" s="79"/>
      <c r="D418" s="79"/>
      <c r="J418" s="79"/>
      <c r="O418" s="79"/>
      <c r="P418" s="79"/>
      <c r="S418" s="79"/>
      <c r="T418" s="79"/>
      <c r="W418" s="130"/>
      <c r="Y418" s="106"/>
    </row>
    <row r="419">
      <c r="C419" s="79"/>
      <c r="D419" s="79"/>
      <c r="J419" s="79"/>
      <c r="O419" s="79"/>
      <c r="P419" s="79"/>
      <c r="S419" s="79"/>
      <c r="T419" s="79"/>
      <c r="W419" s="130"/>
      <c r="Y419" s="106"/>
    </row>
    <row r="420">
      <c r="C420" s="79"/>
      <c r="D420" s="79"/>
      <c r="J420" s="79"/>
      <c r="O420" s="79"/>
      <c r="P420" s="79"/>
      <c r="S420" s="79"/>
      <c r="T420" s="79"/>
      <c r="W420" s="130"/>
      <c r="Y420" s="106"/>
    </row>
    <row r="421">
      <c r="C421" s="79"/>
      <c r="D421" s="79"/>
      <c r="J421" s="79"/>
      <c r="O421" s="79"/>
      <c r="P421" s="79"/>
      <c r="S421" s="79"/>
      <c r="T421" s="79"/>
      <c r="W421" s="130"/>
      <c r="Y421" s="106"/>
    </row>
    <row r="422">
      <c r="C422" s="79"/>
      <c r="D422" s="79"/>
      <c r="J422" s="79"/>
      <c r="O422" s="79"/>
      <c r="P422" s="79"/>
      <c r="S422" s="79"/>
      <c r="T422" s="79"/>
      <c r="W422" s="130"/>
      <c r="Y422" s="106"/>
    </row>
    <row r="423">
      <c r="C423" s="79"/>
      <c r="D423" s="79"/>
      <c r="J423" s="79"/>
      <c r="O423" s="79"/>
      <c r="P423" s="79"/>
      <c r="S423" s="79"/>
      <c r="T423" s="79"/>
      <c r="W423" s="130"/>
      <c r="Y423" s="106"/>
    </row>
    <row r="424">
      <c r="C424" s="79"/>
      <c r="D424" s="79"/>
      <c r="J424" s="79"/>
      <c r="O424" s="79"/>
      <c r="P424" s="79"/>
      <c r="S424" s="79"/>
      <c r="T424" s="79"/>
      <c r="W424" s="130"/>
      <c r="Y424" s="106"/>
    </row>
    <row r="425">
      <c r="C425" s="79"/>
      <c r="D425" s="79"/>
      <c r="J425" s="79"/>
      <c r="O425" s="79"/>
      <c r="P425" s="79"/>
      <c r="S425" s="79"/>
      <c r="T425" s="79"/>
      <c r="W425" s="130"/>
      <c r="Y425" s="106"/>
    </row>
    <row r="426">
      <c r="C426" s="79"/>
      <c r="D426" s="79"/>
      <c r="J426" s="79"/>
      <c r="O426" s="79"/>
      <c r="P426" s="79"/>
      <c r="S426" s="79"/>
      <c r="T426" s="79"/>
      <c r="W426" s="130"/>
      <c r="Y426" s="106"/>
    </row>
    <row r="427">
      <c r="C427" s="79"/>
      <c r="D427" s="79"/>
      <c r="J427" s="79"/>
      <c r="O427" s="79"/>
      <c r="P427" s="79"/>
      <c r="S427" s="79"/>
      <c r="T427" s="79"/>
      <c r="W427" s="130"/>
      <c r="Y427" s="106"/>
    </row>
    <row r="428">
      <c r="C428" s="79"/>
      <c r="D428" s="79"/>
      <c r="J428" s="79"/>
      <c r="O428" s="79"/>
      <c r="P428" s="79"/>
      <c r="S428" s="79"/>
      <c r="T428" s="79"/>
      <c r="W428" s="130"/>
      <c r="Y428" s="106"/>
    </row>
    <row r="429">
      <c r="C429" s="79"/>
      <c r="D429" s="79"/>
      <c r="J429" s="79"/>
      <c r="O429" s="79"/>
      <c r="P429" s="79"/>
      <c r="S429" s="79"/>
      <c r="T429" s="79"/>
      <c r="W429" s="130"/>
      <c r="Y429" s="106"/>
    </row>
    <row r="430">
      <c r="C430" s="79"/>
      <c r="D430" s="79"/>
      <c r="J430" s="79"/>
      <c r="O430" s="79"/>
      <c r="P430" s="79"/>
      <c r="S430" s="79"/>
      <c r="T430" s="79"/>
      <c r="W430" s="130"/>
      <c r="Y430" s="106"/>
    </row>
    <row r="431">
      <c r="C431" s="79"/>
      <c r="D431" s="79"/>
      <c r="J431" s="79"/>
      <c r="O431" s="79"/>
      <c r="P431" s="79"/>
      <c r="S431" s="79"/>
      <c r="T431" s="79"/>
      <c r="W431" s="130"/>
      <c r="Y431" s="106"/>
    </row>
    <row r="432">
      <c r="C432" s="79"/>
      <c r="D432" s="79"/>
      <c r="J432" s="79"/>
      <c r="O432" s="79"/>
      <c r="P432" s="79"/>
      <c r="S432" s="79"/>
      <c r="T432" s="79"/>
      <c r="W432" s="130"/>
      <c r="Y432" s="106"/>
    </row>
    <row r="433">
      <c r="C433" s="79"/>
      <c r="D433" s="79"/>
      <c r="J433" s="79"/>
      <c r="O433" s="79"/>
      <c r="P433" s="79"/>
      <c r="S433" s="79"/>
      <c r="T433" s="79"/>
      <c r="W433" s="130"/>
      <c r="Y433" s="106"/>
    </row>
    <row r="434">
      <c r="C434" s="79"/>
      <c r="D434" s="79"/>
      <c r="J434" s="79"/>
      <c r="O434" s="79"/>
      <c r="P434" s="79"/>
      <c r="S434" s="79"/>
      <c r="T434" s="79"/>
      <c r="W434" s="130"/>
      <c r="Y434" s="106"/>
    </row>
    <row r="435">
      <c r="C435" s="79"/>
      <c r="D435" s="79"/>
      <c r="J435" s="79"/>
      <c r="O435" s="79"/>
      <c r="P435" s="79"/>
      <c r="S435" s="79"/>
      <c r="T435" s="79"/>
      <c r="W435" s="130"/>
      <c r="Y435" s="106"/>
    </row>
    <row r="436">
      <c r="C436" s="79"/>
      <c r="D436" s="79"/>
      <c r="J436" s="79"/>
      <c r="O436" s="79"/>
      <c r="P436" s="79"/>
      <c r="S436" s="79"/>
      <c r="T436" s="79"/>
      <c r="W436" s="130"/>
      <c r="Y436" s="106"/>
    </row>
    <row r="437">
      <c r="C437" s="79"/>
      <c r="D437" s="79"/>
      <c r="J437" s="79"/>
      <c r="O437" s="79"/>
      <c r="P437" s="79"/>
      <c r="S437" s="79"/>
      <c r="T437" s="79"/>
      <c r="W437" s="130"/>
      <c r="Y437" s="106"/>
    </row>
    <row r="438">
      <c r="C438" s="79"/>
      <c r="D438" s="79"/>
      <c r="J438" s="79"/>
      <c r="O438" s="79"/>
      <c r="P438" s="79"/>
      <c r="S438" s="79"/>
      <c r="T438" s="79"/>
      <c r="W438" s="130"/>
      <c r="Y438" s="106"/>
    </row>
    <row r="439">
      <c r="C439" s="79"/>
      <c r="D439" s="79"/>
      <c r="J439" s="79"/>
      <c r="O439" s="79"/>
      <c r="P439" s="79"/>
      <c r="S439" s="79"/>
      <c r="T439" s="79"/>
      <c r="W439" s="130"/>
      <c r="Y439" s="106"/>
    </row>
    <row r="440">
      <c r="C440" s="79"/>
      <c r="D440" s="79"/>
      <c r="J440" s="79"/>
      <c r="O440" s="79"/>
      <c r="P440" s="79"/>
      <c r="S440" s="79"/>
      <c r="T440" s="79"/>
      <c r="W440" s="130"/>
      <c r="Y440" s="106"/>
    </row>
    <row r="441">
      <c r="C441" s="79"/>
      <c r="D441" s="79"/>
      <c r="J441" s="79"/>
      <c r="O441" s="79"/>
      <c r="P441" s="79"/>
      <c r="S441" s="79"/>
      <c r="T441" s="79"/>
      <c r="W441" s="130"/>
      <c r="Y441" s="106"/>
    </row>
    <row r="442">
      <c r="C442" s="79"/>
      <c r="D442" s="79"/>
      <c r="J442" s="79"/>
      <c r="O442" s="79"/>
      <c r="P442" s="79"/>
      <c r="S442" s="79"/>
      <c r="T442" s="79"/>
      <c r="W442" s="130"/>
      <c r="Y442" s="106"/>
    </row>
    <row r="443">
      <c r="C443" s="79"/>
      <c r="D443" s="79"/>
      <c r="J443" s="79"/>
      <c r="O443" s="79"/>
      <c r="P443" s="79"/>
      <c r="S443" s="79"/>
      <c r="T443" s="79"/>
      <c r="W443" s="130"/>
      <c r="Y443" s="106"/>
    </row>
    <row r="444">
      <c r="C444" s="79"/>
      <c r="D444" s="79"/>
      <c r="J444" s="79"/>
      <c r="O444" s="79"/>
      <c r="P444" s="79"/>
      <c r="S444" s="79"/>
      <c r="T444" s="79"/>
      <c r="W444" s="130"/>
      <c r="Y444" s="106"/>
    </row>
    <row r="445">
      <c r="C445" s="79"/>
      <c r="D445" s="79"/>
      <c r="J445" s="79"/>
      <c r="O445" s="79"/>
      <c r="P445" s="79"/>
      <c r="S445" s="79"/>
      <c r="T445" s="79"/>
      <c r="W445" s="130"/>
      <c r="Y445" s="106"/>
    </row>
    <row r="446">
      <c r="C446" s="79"/>
      <c r="D446" s="79"/>
      <c r="J446" s="79"/>
      <c r="O446" s="79"/>
      <c r="P446" s="79"/>
      <c r="S446" s="79"/>
      <c r="T446" s="79"/>
      <c r="W446" s="130"/>
      <c r="Y446" s="106"/>
    </row>
    <row r="447">
      <c r="C447" s="79"/>
      <c r="D447" s="79"/>
      <c r="J447" s="79"/>
      <c r="O447" s="79"/>
      <c r="P447" s="79"/>
      <c r="S447" s="79"/>
      <c r="T447" s="79"/>
      <c r="W447" s="130"/>
      <c r="Y447" s="106"/>
    </row>
    <row r="448">
      <c r="C448" s="79"/>
      <c r="D448" s="79"/>
      <c r="J448" s="79"/>
      <c r="O448" s="79"/>
      <c r="P448" s="79"/>
      <c r="S448" s="79"/>
      <c r="T448" s="79"/>
      <c r="W448" s="130"/>
      <c r="Y448" s="106"/>
    </row>
    <row r="449">
      <c r="C449" s="79"/>
      <c r="D449" s="79"/>
      <c r="J449" s="79"/>
      <c r="O449" s="79"/>
      <c r="P449" s="79"/>
      <c r="S449" s="79"/>
      <c r="T449" s="79"/>
      <c r="W449" s="130"/>
      <c r="Y449" s="106"/>
    </row>
    <row r="450">
      <c r="C450" s="79"/>
      <c r="D450" s="79"/>
      <c r="J450" s="79"/>
      <c r="O450" s="79"/>
      <c r="P450" s="79"/>
      <c r="S450" s="79"/>
      <c r="T450" s="79"/>
      <c r="W450" s="130"/>
      <c r="Y450" s="106"/>
    </row>
    <row r="451">
      <c r="C451" s="79"/>
      <c r="D451" s="79"/>
      <c r="J451" s="79"/>
      <c r="O451" s="79"/>
      <c r="P451" s="79"/>
      <c r="S451" s="79"/>
      <c r="T451" s="79"/>
      <c r="W451" s="130"/>
      <c r="Y451" s="106"/>
    </row>
    <row r="452">
      <c r="C452" s="79"/>
      <c r="D452" s="79"/>
      <c r="J452" s="79"/>
      <c r="O452" s="79"/>
      <c r="P452" s="79"/>
      <c r="S452" s="79"/>
      <c r="T452" s="79"/>
      <c r="W452" s="130"/>
      <c r="Y452" s="106"/>
    </row>
    <row r="453">
      <c r="C453" s="79"/>
      <c r="D453" s="79"/>
      <c r="J453" s="79"/>
      <c r="O453" s="79"/>
      <c r="P453" s="79"/>
      <c r="S453" s="79"/>
      <c r="T453" s="79"/>
      <c r="W453" s="130"/>
      <c r="Y453" s="106"/>
    </row>
    <row r="454">
      <c r="C454" s="79"/>
      <c r="D454" s="79"/>
      <c r="J454" s="79"/>
      <c r="O454" s="79"/>
      <c r="P454" s="79"/>
      <c r="S454" s="79"/>
      <c r="T454" s="79"/>
      <c r="W454" s="130"/>
      <c r="Y454" s="106"/>
    </row>
    <row r="455">
      <c r="C455" s="79"/>
      <c r="D455" s="79"/>
      <c r="J455" s="79"/>
      <c r="O455" s="79"/>
      <c r="P455" s="79"/>
      <c r="S455" s="79"/>
      <c r="T455" s="79"/>
      <c r="W455" s="130"/>
      <c r="Y455" s="106"/>
    </row>
    <row r="456">
      <c r="C456" s="79"/>
      <c r="D456" s="79"/>
      <c r="J456" s="79"/>
      <c r="O456" s="79"/>
      <c r="P456" s="79"/>
      <c r="S456" s="79"/>
      <c r="T456" s="79"/>
      <c r="W456" s="130"/>
      <c r="Y456" s="106"/>
    </row>
    <row r="457">
      <c r="C457" s="79"/>
      <c r="D457" s="79"/>
      <c r="J457" s="79"/>
      <c r="O457" s="79"/>
      <c r="P457" s="79"/>
      <c r="S457" s="79"/>
      <c r="T457" s="79"/>
      <c r="W457" s="130"/>
      <c r="Y457" s="106"/>
    </row>
    <row r="458">
      <c r="C458" s="79"/>
      <c r="D458" s="79"/>
      <c r="J458" s="79"/>
      <c r="O458" s="79"/>
      <c r="P458" s="79"/>
      <c r="S458" s="79"/>
      <c r="T458" s="79"/>
      <c r="W458" s="130"/>
      <c r="Y458" s="106"/>
    </row>
    <row r="459">
      <c r="C459" s="79"/>
      <c r="D459" s="79"/>
      <c r="J459" s="79"/>
      <c r="O459" s="79"/>
      <c r="P459" s="79"/>
      <c r="S459" s="79"/>
      <c r="T459" s="79"/>
      <c r="W459" s="130"/>
      <c r="Y459" s="106"/>
    </row>
    <row r="460">
      <c r="C460" s="79"/>
      <c r="D460" s="79"/>
      <c r="J460" s="79"/>
      <c r="O460" s="79"/>
      <c r="P460" s="79"/>
      <c r="S460" s="79"/>
      <c r="T460" s="79"/>
      <c r="W460" s="130"/>
      <c r="Y460" s="106"/>
    </row>
    <row r="461">
      <c r="C461" s="79"/>
      <c r="D461" s="79"/>
      <c r="J461" s="79"/>
      <c r="O461" s="79"/>
      <c r="P461" s="79"/>
      <c r="S461" s="79"/>
      <c r="T461" s="79"/>
      <c r="W461" s="130"/>
      <c r="Y461" s="106"/>
    </row>
    <row r="462">
      <c r="C462" s="79"/>
      <c r="D462" s="79"/>
      <c r="J462" s="79"/>
      <c r="O462" s="79"/>
      <c r="P462" s="79"/>
      <c r="S462" s="79"/>
      <c r="T462" s="79"/>
      <c r="W462" s="130"/>
      <c r="Y462" s="106"/>
    </row>
    <row r="463">
      <c r="C463" s="79"/>
      <c r="D463" s="79"/>
      <c r="J463" s="79"/>
      <c r="O463" s="79"/>
      <c r="P463" s="79"/>
      <c r="S463" s="79"/>
      <c r="T463" s="79"/>
      <c r="W463" s="130"/>
      <c r="Y463" s="106"/>
    </row>
    <row r="464">
      <c r="C464" s="79"/>
      <c r="D464" s="79"/>
      <c r="J464" s="79"/>
      <c r="O464" s="79"/>
      <c r="P464" s="79"/>
      <c r="S464" s="79"/>
      <c r="T464" s="79"/>
      <c r="W464" s="130"/>
      <c r="Y464" s="106"/>
    </row>
    <row r="465">
      <c r="C465" s="79"/>
      <c r="D465" s="79"/>
      <c r="J465" s="79"/>
      <c r="O465" s="79"/>
      <c r="P465" s="79"/>
      <c r="S465" s="79"/>
      <c r="T465" s="79"/>
      <c r="W465" s="130"/>
      <c r="Y465" s="106"/>
    </row>
    <row r="466">
      <c r="C466" s="79"/>
      <c r="D466" s="79"/>
      <c r="J466" s="79"/>
      <c r="O466" s="79"/>
      <c r="P466" s="79"/>
      <c r="S466" s="79"/>
      <c r="T466" s="79"/>
      <c r="W466" s="130"/>
      <c r="Y466" s="106"/>
    </row>
    <row r="467">
      <c r="C467" s="79"/>
      <c r="D467" s="79"/>
      <c r="J467" s="79"/>
      <c r="O467" s="79"/>
      <c r="P467" s="79"/>
      <c r="S467" s="79"/>
      <c r="T467" s="79"/>
      <c r="W467" s="130"/>
      <c r="Y467" s="106"/>
    </row>
    <row r="468">
      <c r="C468" s="79"/>
      <c r="D468" s="79"/>
      <c r="J468" s="79"/>
      <c r="O468" s="79"/>
      <c r="P468" s="79"/>
      <c r="S468" s="79"/>
      <c r="T468" s="79"/>
      <c r="W468" s="130"/>
      <c r="Y468" s="106"/>
    </row>
    <row r="469">
      <c r="C469" s="79"/>
      <c r="D469" s="79"/>
      <c r="J469" s="79"/>
      <c r="O469" s="79"/>
      <c r="P469" s="79"/>
      <c r="S469" s="79"/>
      <c r="T469" s="79"/>
      <c r="W469" s="130"/>
      <c r="Y469" s="106"/>
    </row>
    <row r="470">
      <c r="C470" s="79"/>
      <c r="D470" s="79"/>
      <c r="J470" s="79"/>
      <c r="O470" s="79"/>
      <c r="P470" s="79"/>
      <c r="S470" s="79"/>
      <c r="T470" s="79"/>
      <c r="W470" s="130"/>
      <c r="Y470" s="106"/>
    </row>
    <row r="471">
      <c r="C471" s="79"/>
      <c r="D471" s="79"/>
      <c r="J471" s="79"/>
      <c r="O471" s="79"/>
      <c r="P471" s="79"/>
      <c r="S471" s="79"/>
      <c r="T471" s="79"/>
      <c r="W471" s="130"/>
      <c r="Y471" s="106"/>
    </row>
    <row r="472">
      <c r="C472" s="79"/>
      <c r="D472" s="79"/>
      <c r="J472" s="79"/>
      <c r="O472" s="79"/>
      <c r="P472" s="79"/>
      <c r="S472" s="79"/>
      <c r="T472" s="79"/>
      <c r="W472" s="130"/>
      <c r="Y472" s="106"/>
    </row>
    <row r="473">
      <c r="C473" s="79"/>
      <c r="D473" s="79"/>
      <c r="J473" s="79"/>
      <c r="O473" s="79"/>
      <c r="P473" s="79"/>
      <c r="S473" s="79"/>
      <c r="T473" s="79"/>
      <c r="W473" s="130"/>
      <c r="Y473" s="106"/>
    </row>
    <row r="474">
      <c r="C474" s="79"/>
      <c r="D474" s="79"/>
      <c r="J474" s="79"/>
      <c r="O474" s="79"/>
      <c r="P474" s="79"/>
      <c r="S474" s="79"/>
      <c r="T474" s="79"/>
      <c r="W474" s="130"/>
      <c r="Y474" s="106"/>
    </row>
    <row r="475">
      <c r="C475" s="79"/>
      <c r="D475" s="79"/>
      <c r="J475" s="79"/>
      <c r="O475" s="79"/>
      <c r="P475" s="79"/>
      <c r="S475" s="79"/>
      <c r="T475" s="79"/>
      <c r="W475" s="130"/>
      <c r="Y475" s="106"/>
    </row>
    <row r="476">
      <c r="C476" s="79"/>
      <c r="D476" s="79"/>
      <c r="J476" s="79"/>
      <c r="O476" s="79"/>
      <c r="P476" s="79"/>
      <c r="S476" s="79"/>
      <c r="T476" s="79"/>
      <c r="W476" s="130"/>
      <c r="Y476" s="106"/>
    </row>
    <row r="477">
      <c r="C477" s="79"/>
      <c r="D477" s="79"/>
      <c r="J477" s="79"/>
      <c r="O477" s="79"/>
      <c r="P477" s="79"/>
      <c r="S477" s="79"/>
      <c r="T477" s="79"/>
      <c r="W477" s="130"/>
      <c r="Y477" s="106"/>
    </row>
    <row r="478">
      <c r="C478" s="79"/>
      <c r="D478" s="79"/>
      <c r="J478" s="79"/>
      <c r="O478" s="79"/>
      <c r="P478" s="79"/>
      <c r="S478" s="79"/>
      <c r="T478" s="79"/>
      <c r="W478" s="130"/>
      <c r="Y478" s="106"/>
    </row>
    <row r="479">
      <c r="C479" s="79"/>
      <c r="D479" s="79"/>
      <c r="J479" s="79"/>
      <c r="O479" s="79"/>
      <c r="P479" s="79"/>
      <c r="S479" s="79"/>
      <c r="T479" s="79"/>
      <c r="W479" s="130"/>
      <c r="Y479" s="106"/>
    </row>
    <row r="480">
      <c r="C480" s="79"/>
      <c r="D480" s="79"/>
      <c r="J480" s="79"/>
      <c r="O480" s="79"/>
      <c r="P480" s="79"/>
      <c r="S480" s="79"/>
      <c r="T480" s="79"/>
      <c r="W480" s="130"/>
      <c r="Y480" s="106"/>
    </row>
    <row r="481">
      <c r="C481" s="79"/>
      <c r="D481" s="79"/>
      <c r="J481" s="79"/>
      <c r="O481" s="79"/>
      <c r="P481" s="79"/>
      <c r="S481" s="79"/>
      <c r="T481" s="79"/>
      <c r="W481" s="130"/>
      <c r="Y481" s="106"/>
    </row>
    <row r="482">
      <c r="C482" s="79"/>
      <c r="D482" s="79"/>
      <c r="J482" s="79"/>
      <c r="O482" s="79"/>
      <c r="P482" s="79"/>
      <c r="S482" s="79"/>
      <c r="T482" s="79"/>
      <c r="W482" s="130"/>
      <c r="Y482" s="106"/>
    </row>
    <row r="483">
      <c r="C483" s="79"/>
      <c r="D483" s="79"/>
      <c r="J483" s="79"/>
      <c r="O483" s="79"/>
      <c r="P483" s="79"/>
      <c r="S483" s="79"/>
      <c r="T483" s="79"/>
      <c r="W483" s="130"/>
      <c r="Y483" s="106"/>
    </row>
    <row r="484">
      <c r="C484" s="79"/>
      <c r="D484" s="79"/>
      <c r="J484" s="79"/>
      <c r="O484" s="79"/>
      <c r="P484" s="79"/>
      <c r="S484" s="79"/>
      <c r="T484" s="79"/>
      <c r="W484" s="130"/>
      <c r="Y484" s="106"/>
    </row>
    <row r="485">
      <c r="C485" s="79"/>
      <c r="D485" s="79"/>
      <c r="J485" s="79"/>
      <c r="O485" s="79"/>
      <c r="P485" s="79"/>
      <c r="S485" s="79"/>
      <c r="T485" s="79"/>
      <c r="W485" s="130"/>
      <c r="Y485" s="106"/>
    </row>
    <row r="486">
      <c r="C486" s="79"/>
      <c r="D486" s="79"/>
      <c r="J486" s="79"/>
      <c r="O486" s="79"/>
      <c r="P486" s="79"/>
      <c r="S486" s="79"/>
      <c r="T486" s="79"/>
      <c r="W486" s="130"/>
      <c r="Y486" s="106"/>
    </row>
    <row r="487">
      <c r="C487" s="79"/>
      <c r="D487" s="79"/>
      <c r="J487" s="79"/>
      <c r="O487" s="79"/>
      <c r="P487" s="79"/>
      <c r="S487" s="79"/>
      <c r="T487" s="79"/>
      <c r="W487" s="130"/>
      <c r="Y487" s="106"/>
    </row>
    <row r="488">
      <c r="C488" s="79"/>
      <c r="D488" s="79"/>
      <c r="J488" s="79"/>
      <c r="O488" s="79"/>
      <c r="P488" s="79"/>
      <c r="S488" s="79"/>
      <c r="T488" s="79"/>
      <c r="W488" s="130"/>
      <c r="Y488" s="106"/>
    </row>
    <row r="489">
      <c r="C489" s="79"/>
      <c r="D489" s="79"/>
      <c r="J489" s="79"/>
      <c r="O489" s="79"/>
      <c r="P489" s="79"/>
      <c r="S489" s="79"/>
      <c r="T489" s="79"/>
      <c r="W489" s="130"/>
      <c r="Y489" s="106"/>
    </row>
    <row r="490">
      <c r="C490" s="79"/>
      <c r="D490" s="79"/>
      <c r="J490" s="79"/>
      <c r="O490" s="79"/>
      <c r="P490" s="79"/>
      <c r="S490" s="79"/>
      <c r="T490" s="79"/>
      <c r="W490" s="130"/>
      <c r="Y490" s="106"/>
    </row>
    <row r="491">
      <c r="C491" s="79"/>
      <c r="D491" s="79"/>
      <c r="J491" s="79"/>
      <c r="O491" s="79"/>
      <c r="P491" s="79"/>
      <c r="S491" s="79"/>
      <c r="T491" s="79"/>
      <c r="W491" s="130"/>
      <c r="Y491" s="106"/>
    </row>
    <row r="492">
      <c r="C492" s="79"/>
      <c r="D492" s="79"/>
      <c r="J492" s="79"/>
      <c r="O492" s="79"/>
      <c r="P492" s="79"/>
      <c r="S492" s="79"/>
      <c r="T492" s="79"/>
      <c r="W492" s="130"/>
      <c r="Y492" s="106"/>
    </row>
    <row r="493">
      <c r="C493" s="79"/>
      <c r="D493" s="79"/>
      <c r="J493" s="79"/>
      <c r="O493" s="79"/>
      <c r="P493" s="79"/>
      <c r="S493" s="79"/>
      <c r="T493" s="79"/>
      <c r="W493" s="130"/>
      <c r="Y493" s="106"/>
    </row>
    <row r="494">
      <c r="C494" s="79"/>
      <c r="D494" s="79"/>
      <c r="J494" s="79"/>
      <c r="O494" s="79"/>
      <c r="P494" s="79"/>
      <c r="S494" s="79"/>
      <c r="T494" s="79"/>
      <c r="W494" s="130"/>
      <c r="Y494" s="106"/>
    </row>
    <row r="495">
      <c r="C495" s="79"/>
      <c r="D495" s="79"/>
      <c r="J495" s="79"/>
      <c r="O495" s="79"/>
      <c r="P495" s="79"/>
      <c r="S495" s="79"/>
      <c r="T495" s="79"/>
      <c r="W495" s="130"/>
      <c r="Y495" s="106"/>
    </row>
    <row r="496">
      <c r="C496" s="79"/>
      <c r="D496" s="79"/>
      <c r="J496" s="79"/>
      <c r="O496" s="79"/>
      <c r="P496" s="79"/>
      <c r="S496" s="79"/>
      <c r="T496" s="79"/>
      <c r="W496" s="130"/>
      <c r="Y496" s="106"/>
    </row>
    <row r="497">
      <c r="C497" s="79"/>
      <c r="D497" s="79"/>
      <c r="J497" s="79"/>
      <c r="O497" s="79"/>
      <c r="P497" s="79"/>
      <c r="S497" s="79"/>
      <c r="T497" s="79"/>
      <c r="W497" s="130"/>
      <c r="Y497" s="106"/>
    </row>
    <row r="498">
      <c r="C498" s="79"/>
      <c r="D498" s="79"/>
      <c r="J498" s="79"/>
      <c r="O498" s="79"/>
      <c r="P498" s="79"/>
      <c r="S498" s="79"/>
      <c r="T498" s="79"/>
      <c r="W498" s="130"/>
      <c r="Y498" s="106"/>
    </row>
    <row r="499">
      <c r="C499" s="79"/>
      <c r="D499" s="79"/>
      <c r="J499" s="79"/>
      <c r="O499" s="79"/>
      <c r="P499" s="79"/>
      <c r="S499" s="79"/>
      <c r="T499" s="79"/>
      <c r="W499" s="130"/>
      <c r="Y499" s="106"/>
    </row>
    <row r="500">
      <c r="C500" s="79"/>
      <c r="D500" s="79"/>
      <c r="J500" s="79"/>
      <c r="O500" s="79"/>
      <c r="P500" s="79"/>
      <c r="S500" s="79"/>
      <c r="T500" s="79"/>
      <c r="W500" s="130"/>
      <c r="Y500" s="106"/>
    </row>
    <row r="501">
      <c r="C501" s="79"/>
      <c r="D501" s="79"/>
      <c r="J501" s="79"/>
      <c r="O501" s="79"/>
      <c r="P501" s="79"/>
      <c r="S501" s="79"/>
      <c r="T501" s="79"/>
      <c r="W501" s="130"/>
      <c r="Y501" s="106"/>
    </row>
    <row r="502">
      <c r="C502" s="79"/>
      <c r="D502" s="79"/>
      <c r="J502" s="79"/>
      <c r="O502" s="79"/>
      <c r="P502" s="79"/>
      <c r="S502" s="79"/>
      <c r="T502" s="79"/>
      <c r="W502" s="130"/>
      <c r="Y502" s="106"/>
    </row>
    <row r="503">
      <c r="C503" s="79"/>
      <c r="D503" s="79"/>
      <c r="J503" s="79"/>
      <c r="O503" s="79"/>
      <c r="P503" s="79"/>
      <c r="S503" s="79"/>
      <c r="T503" s="79"/>
      <c r="W503" s="130"/>
      <c r="Y503" s="106"/>
    </row>
    <row r="504">
      <c r="C504" s="79"/>
      <c r="D504" s="79"/>
      <c r="J504" s="79"/>
      <c r="O504" s="79"/>
      <c r="P504" s="79"/>
      <c r="S504" s="79"/>
      <c r="T504" s="79"/>
      <c r="W504" s="130"/>
      <c r="Y504" s="106"/>
    </row>
    <row r="505">
      <c r="C505" s="79"/>
      <c r="D505" s="79"/>
      <c r="J505" s="79"/>
      <c r="O505" s="79"/>
      <c r="P505" s="79"/>
      <c r="S505" s="79"/>
      <c r="T505" s="79"/>
      <c r="W505" s="130"/>
      <c r="Y505" s="106"/>
    </row>
    <row r="506">
      <c r="C506" s="79"/>
      <c r="D506" s="79"/>
      <c r="J506" s="79"/>
      <c r="O506" s="79"/>
      <c r="P506" s="79"/>
      <c r="S506" s="79"/>
      <c r="T506" s="79"/>
      <c r="W506" s="130"/>
      <c r="Y506" s="106"/>
    </row>
    <row r="507">
      <c r="C507" s="79"/>
      <c r="D507" s="79"/>
      <c r="J507" s="79"/>
      <c r="O507" s="79"/>
      <c r="P507" s="79"/>
      <c r="S507" s="79"/>
      <c r="T507" s="79"/>
      <c r="W507" s="130"/>
      <c r="Y507" s="106"/>
    </row>
    <row r="508">
      <c r="C508" s="79"/>
      <c r="D508" s="79"/>
      <c r="J508" s="79"/>
      <c r="O508" s="79"/>
      <c r="P508" s="79"/>
      <c r="S508" s="79"/>
      <c r="T508" s="79"/>
      <c r="W508" s="130"/>
      <c r="Y508" s="106"/>
    </row>
    <row r="509">
      <c r="C509" s="79"/>
      <c r="D509" s="79"/>
      <c r="J509" s="79"/>
      <c r="O509" s="79"/>
      <c r="P509" s="79"/>
      <c r="S509" s="79"/>
      <c r="T509" s="79"/>
      <c r="W509" s="130"/>
      <c r="Y509" s="106"/>
    </row>
    <row r="510">
      <c r="C510" s="79"/>
      <c r="D510" s="79"/>
      <c r="J510" s="79"/>
      <c r="O510" s="79"/>
      <c r="P510" s="79"/>
      <c r="S510" s="79"/>
      <c r="T510" s="79"/>
      <c r="W510" s="130"/>
      <c r="Y510" s="106"/>
    </row>
    <row r="511">
      <c r="C511" s="79"/>
      <c r="D511" s="79"/>
      <c r="J511" s="79"/>
      <c r="O511" s="79"/>
      <c r="P511" s="79"/>
      <c r="S511" s="79"/>
      <c r="T511" s="79"/>
      <c r="W511" s="130"/>
      <c r="Y511" s="106"/>
    </row>
    <row r="512">
      <c r="C512" s="79"/>
      <c r="D512" s="79"/>
      <c r="J512" s="79"/>
      <c r="O512" s="79"/>
      <c r="P512" s="79"/>
      <c r="S512" s="79"/>
      <c r="T512" s="79"/>
      <c r="W512" s="130"/>
      <c r="Y512" s="106"/>
    </row>
    <row r="513">
      <c r="C513" s="79"/>
      <c r="D513" s="79"/>
      <c r="J513" s="79"/>
      <c r="O513" s="79"/>
      <c r="P513" s="79"/>
      <c r="S513" s="79"/>
      <c r="T513" s="79"/>
      <c r="W513" s="130"/>
      <c r="Y513" s="106"/>
    </row>
    <row r="514">
      <c r="C514" s="79"/>
      <c r="D514" s="79"/>
      <c r="J514" s="79"/>
      <c r="O514" s="79"/>
      <c r="P514" s="79"/>
      <c r="S514" s="79"/>
      <c r="T514" s="79"/>
      <c r="W514" s="130"/>
      <c r="Y514" s="106"/>
    </row>
    <row r="515">
      <c r="C515" s="79"/>
      <c r="D515" s="79"/>
      <c r="J515" s="79"/>
      <c r="O515" s="79"/>
      <c r="P515" s="79"/>
      <c r="S515" s="79"/>
      <c r="T515" s="79"/>
      <c r="W515" s="130"/>
      <c r="Y515" s="106"/>
    </row>
    <row r="516">
      <c r="C516" s="79"/>
      <c r="D516" s="79"/>
      <c r="J516" s="79"/>
      <c r="O516" s="79"/>
      <c r="P516" s="79"/>
      <c r="S516" s="79"/>
      <c r="T516" s="79"/>
      <c r="W516" s="130"/>
      <c r="Y516" s="106"/>
    </row>
    <row r="517">
      <c r="C517" s="79"/>
      <c r="D517" s="79"/>
      <c r="J517" s="79"/>
      <c r="O517" s="79"/>
      <c r="P517" s="79"/>
      <c r="S517" s="79"/>
      <c r="T517" s="79"/>
      <c r="W517" s="130"/>
      <c r="Y517" s="106"/>
    </row>
    <row r="518">
      <c r="C518" s="79"/>
      <c r="D518" s="79"/>
      <c r="J518" s="79"/>
      <c r="O518" s="79"/>
      <c r="P518" s="79"/>
      <c r="S518" s="79"/>
      <c r="T518" s="79"/>
      <c r="W518" s="130"/>
      <c r="Y518" s="106"/>
    </row>
    <row r="519">
      <c r="C519" s="79"/>
      <c r="D519" s="79"/>
      <c r="J519" s="79"/>
      <c r="O519" s="79"/>
      <c r="P519" s="79"/>
      <c r="S519" s="79"/>
      <c r="T519" s="79"/>
      <c r="W519" s="130"/>
      <c r="Y519" s="106"/>
    </row>
    <row r="520">
      <c r="C520" s="79"/>
      <c r="D520" s="79"/>
      <c r="J520" s="79"/>
      <c r="O520" s="79"/>
      <c r="P520" s="79"/>
      <c r="S520" s="79"/>
      <c r="T520" s="79"/>
      <c r="W520" s="130"/>
      <c r="Y520" s="106"/>
    </row>
    <row r="521">
      <c r="C521" s="79"/>
      <c r="D521" s="79"/>
      <c r="J521" s="79"/>
      <c r="O521" s="79"/>
      <c r="P521" s="79"/>
      <c r="S521" s="79"/>
      <c r="T521" s="79"/>
      <c r="W521" s="130"/>
      <c r="Y521" s="106"/>
    </row>
    <row r="522">
      <c r="C522" s="79"/>
      <c r="D522" s="79"/>
      <c r="J522" s="79"/>
      <c r="O522" s="79"/>
      <c r="P522" s="79"/>
      <c r="S522" s="79"/>
      <c r="T522" s="79"/>
      <c r="W522" s="130"/>
      <c r="Y522" s="106"/>
    </row>
    <row r="523">
      <c r="C523" s="79"/>
      <c r="D523" s="79"/>
      <c r="J523" s="79"/>
      <c r="O523" s="79"/>
      <c r="P523" s="79"/>
      <c r="S523" s="79"/>
      <c r="T523" s="79"/>
      <c r="W523" s="130"/>
      <c r="Y523" s="106"/>
    </row>
    <row r="524">
      <c r="C524" s="79"/>
      <c r="D524" s="79"/>
      <c r="J524" s="79"/>
      <c r="O524" s="79"/>
      <c r="P524" s="79"/>
      <c r="S524" s="79"/>
      <c r="T524" s="79"/>
      <c r="W524" s="130"/>
      <c r="Y524" s="106"/>
    </row>
    <row r="525">
      <c r="C525" s="79"/>
      <c r="D525" s="79"/>
      <c r="J525" s="79"/>
      <c r="O525" s="79"/>
      <c r="P525" s="79"/>
      <c r="S525" s="79"/>
      <c r="T525" s="79"/>
      <c r="W525" s="130"/>
      <c r="Y525" s="106"/>
    </row>
    <row r="526">
      <c r="C526" s="79"/>
      <c r="D526" s="79"/>
      <c r="J526" s="79"/>
      <c r="O526" s="79"/>
      <c r="P526" s="79"/>
      <c r="S526" s="79"/>
      <c r="T526" s="79"/>
      <c r="W526" s="130"/>
      <c r="Y526" s="106"/>
    </row>
    <row r="527">
      <c r="C527" s="79"/>
      <c r="D527" s="79"/>
      <c r="J527" s="79"/>
      <c r="O527" s="79"/>
      <c r="P527" s="79"/>
      <c r="S527" s="79"/>
      <c r="T527" s="79"/>
      <c r="W527" s="130"/>
      <c r="Y527" s="106"/>
    </row>
    <row r="528">
      <c r="C528" s="79"/>
      <c r="D528" s="79"/>
      <c r="J528" s="79"/>
      <c r="O528" s="79"/>
      <c r="P528" s="79"/>
      <c r="S528" s="79"/>
      <c r="T528" s="79"/>
      <c r="W528" s="130"/>
      <c r="Y528" s="106"/>
    </row>
    <row r="529">
      <c r="C529" s="79"/>
      <c r="D529" s="79"/>
      <c r="J529" s="79"/>
      <c r="O529" s="79"/>
      <c r="P529" s="79"/>
      <c r="S529" s="79"/>
      <c r="T529" s="79"/>
      <c r="W529" s="130"/>
      <c r="Y529" s="106"/>
    </row>
    <row r="530">
      <c r="C530" s="79"/>
      <c r="D530" s="79"/>
      <c r="J530" s="79"/>
      <c r="O530" s="79"/>
      <c r="P530" s="79"/>
      <c r="S530" s="79"/>
      <c r="T530" s="79"/>
      <c r="W530" s="130"/>
      <c r="Y530" s="106"/>
    </row>
    <row r="531">
      <c r="C531" s="79"/>
      <c r="D531" s="79"/>
      <c r="J531" s="79"/>
      <c r="O531" s="79"/>
      <c r="P531" s="79"/>
      <c r="S531" s="79"/>
      <c r="T531" s="79"/>
      <c r="W531" s="130"/>
      <c r="Y531" s="106"/>
    </row>
    <row r="532">
      <c r="C532" s="79"/>
      <c r="D532" s="79"/>
      <c r="J532" s="79"/>
      <c r="O532" s="79"/>
      <c r="P532" s="79"/>
      <c r="S532" s="79"/>
      <c r="T532" s="79"/>
      <c r="W532" s="130"/>
      <c r="Y532" s="106"/>
    </row>
    <row r="533">
      <c r="C533" s="79"/>
      <c r="D533" s="79"/>
      <c r="J533" s="79"/>
      <c r="O533" s="79"/>
      <c r="P533" s="79"/>
      <c r="S533" s="79"/>
      <c r="T533" s="79"/>
      <c r="W533" s="130"/>
      <c r="Y533" s="106"/>
    </row>
    <row r="534">
      <c r="C534" s="79"/>
      <c r="D534" s="79"/>
      <c r="J534" s="79"/>
      <c r="O534" s="79"/>
      <c r="P534" s="79"/>
      <c r="S534" s="79"/>
      <c r="T534" s="79"/>
      <c r="W534" s="130"/>
      <c r="Y534" s="106"/>
    </row>
    <row r="535">
      <c r="C535" s="79"/>
      <c r="D535" s="79"/>
      <c r="J535" s="79"/>
      <c r="O535" s="79"/>
      <c r="P535" s="79"/>
      <c r="S535" s="79"/>
      <c r="T535" s="79"/>
      <c r="W535" s="130"/>
      <c r="Y535" s="106"/>
    </row>
    <row r="536">
      <c r="C536" s="79"/>
      <c r="D536" s="79"/>
      <c r="J536" s="79"/>
      <c r="O536" s="79"/>
      <c r="P536" s="79"/>
      <c r="S536" s="79"/>
      <c r="T536" s="79"/>
      <c r="W536" s="130"/>
      <c r="Y536" s="106"/>
    </row>
    <row r="537">
      <c r="C537" s="79"/>
      <c r="D537" s="79"/>
      <c r="J537" s="79"/>
      <c r="O537" s="79"/>
      <c r="P537" s="79"/>
      <c r="S537" s="79"/>
      <c r="T537" s="79"/>
      <c r="W537" s="130"/>
      <c r="Y537" s="106"/>
    </row>
    <row r="538">
      <c r="C538" s="79"/>
      <c r="D538" s="79"/>
      <c r="J538" s="79"/>
      <c r="O538" s="79"/>
      <c r="P538" s="79"/>
      <c r="S538" s="79"/>
      <c r="T538" s="79"/>
      <c r="W538" s="130"/>
      <c r="Y538" s="106"/>
    </row>
    <row r="539">
      <c r="C539" s="79"/>
      <c r="D539" s="79"/>
      <c r="J539" s="79"/>
      <c r="O539" s="79"/>
      <c r="P539" s="79"/>
      <c r="S539" s="79"/>
      <c r="T539" s="79"/>
      <c r="W539" s="130"/>
      <c r="Y539" s="106"/>
    </row>
    <row r="540">
      <c r="C540" s="79"/>
      <c r="D540" s="79"/>
      <c r="J540" s="79"/>
      <c r="O540" s="79"/>
      <c r="P540" s="79"/>
      <c r="S540" s="79"/>
      <c r="T540" s="79"/>
      <c r="W540" s="130"/>
      <c r="Y540" s="106"/>
    </row>
    <row r="541">
      <c r="C541" s="79"/>
      <c r="D541" s="79"/>
      <c r="J541" s="79"/>
      <c r="O541" s="79"/>
      <c r="P541" s="79"/>
      <c r="S541" s="79"/>
      <c r="T541" s="79"/>
      <c r="W541" s="130"/>
      <c r="Y541" s="106"/>
    </row>
    <row r="542">
      <c r="C542" s="79"/>
      <c r="D542" s="79"/>
      <c r="J542" s="79"/>
      <c r="O542" s="79"/>
      <c r="P542" s="79"/>
      <c r="S542" s="79"/>
      <c r="T542" s="79"/>
      <c r="W542" s="130"/>
      <c r="Y542" s="106"/>
    </row>
    <row r="543">
      <c r="C543" s="79"/>
      <c r="D543" s="79"/>
      <c r="J543" s="79"/>
      <c r="O543" s="79"/>
      <c r="P543" s="79"/>
      <c r="S543" s="79"/>
      <c r="T543" s="79"/>
      <c r="W543" s="130"/>
      <c r="Y543" s="106"/>
    </row>
    <row r="544">
      <c r="C544" s="79"/>
      <c r="D544" s="79"/>
      <c r="J544" s="79"/>
      <c r="O544" s="79"/>
      <c r="P544" s="79"/>
      <c r="S544" s="79"/>
      <c r="T544" s="79"/>
      <c r="W544" s="130"/>
      <c r="Y544" s="106"/>
    </row>
    <row r="545">
      <c r="C545" s="79"/>
      <c r="D545" s="79"/>
      <c r="J545" s="79"/>
      <c r="O545" s="79"/>
      <c r="P545" s="79"/>
      <c r="S545" s="79"/>
      <c r="T545" s="79"/>
      <c r="W545" s="130"/>
      <c r="Y545" s="106"/>
    </row>
    <row r="546">
      <c r="C546" s="79"/>
      <c r="D546" s="79"/>
      <c r="J546" s="79"/>
      <c r="O546" s="79"/>
      <c r="P546" s="79"/>
      <c r="S546" s="79"/>
      <c r="T546" s="79"/>
      <c r="W546" s="130"/>
      <c r="Y546" s="106"/>
    </row>
    <row r="547">
      <c r="C547" s="79"/>
      <c r="D547" s="79"/>
      <c r="J547" s="79"/>
      <c r="O547" s="79"/>
      <c r="P547" s="79"/>
      <c r="S547" s="79"/>
      <c r="T547" s="79"/>
      <c r="W547" s="130"/>
      <c r="Y547" s="106"/>
    </row>
    <row r="548">
      <c r="C548" s="79"/>
      <c r="D548" s="79"/>
      <c r="J548" s="79"/>
      <c r="O548" s="79"/>
      <c r="P548" s="79"/>
      <c r="S548" s="79"/>
      <c r="T548" s="79"/>
      <c r="W548" s="130"/>
      <c r="Y548" s="106"/>
    </row>
    <row r="549">
      <c r="C549" s="79"/>
      <c r="D549" s="79"/>
      <c r="J549" s="79"/>
      <c r="O549" s="79"/>
      <c r="P549" s="79"/>
      <c r="S549" s="79"/>
      <c r="T549" s="79"/>
      <c r="W549" s="130"/>
      <c r="Y549" s="106"/>
    </row>
    <row r="550">
      <c r="C550" s="79"/>
      <c r="D550" s="79"/>
      <c r="J550" s="79"/>
      <c r="O550" s="79"/>
      <c r="P550" s="79"/>
      <c r="S550" s="79"/>
      <c r="T550" s="79"/>
      <c r="W550" s="130"/>
      <c r="Y550" s="106"/>
    </row>
    <row r="551">
      <c r="C551" s="79"/>
      <c r="D551" s="79"/>
      <c r="J551" s="79"/>
      <c r="O551" s="79"/>
      <c r="P551" s="79"/>
      <c r="S551" s="79"/>
      <c r="T551" s="79"/>
      <c r="W551" s="130"/>
      <c r="Y551" s="106"/>
    </row>
    <row r="552">
      <c r="C552" s="79"/>
      <c r="D552" s="79"/>
      <c r="J552" s="79"/>
      <c r="O552" s="79"/>
      <c r="P552" s="79"/>
      <c r="S552" s="79"/>
      <c r="T552" s="79"/>
      <c r="W552" s="130"/>
      <c r="Y552" s="106"/>
    </row>
    <row r="553">
      <c r="C553" s="79"/>
      <c r="D553" s="79"/>
      <c r="J553" s="79"/>
      <c r="O553" s="79"/>
      <c r="P553" s="79"/>
      <c r="S553" s="79"/>
      <c r="T553" s="79"/>
      <c r="W553" s="130"/>
      <c r="Y553" s="106"/>
    </row>
    <row r="554">
      <c r="C554" s="79"/>
      <c r="D554" s="79"/>
      <c r="J554" s="79"/>
      <c r="O554" s="79"/>
      <c r="P554" s="79"/>
      <c r="S554" s="79"/>
      <c r="T554" s="79"/>
      <c r="W554" s="130"/>
      <c r="Y554" s="106"/>
    </row>
    <row r="555">
      <c r="C555" s="79"/>
      <c r="D555" s="79"/>
      <c r="J555" s="79"/>
      <c r="O555" s="79"/>
      <c r="P555" s="79"/>
      <c r="S555" s="79"/>
      <c r="T555" s="79"/>
      <c r="W555" s="130"/>
      <c r="Y555" s="106"/>
    </row>
    <row r="556">
      <c r="C556" s="79"/>
      <c r="D556" s="79"/>
      <c r="J556" s="79"/>
      <c r="O556" s="79"/>
      <c r="P556" s="79"/>
      <c r="S556" s="79"/>
      <c r="T556" s="79"/>
      <c r="W556" s="130"/>
      <c r="Y556" s="106"/>
    </row>
    <row r="557">
      <c r="C557" s="79"/>
      <c r="D557" s="79"/>
      <c r="J557" s="79"/>
      <c r="O557" s="79"/>
      <c r="P557" s="79"/>
      <c r="S557" s="79"/>
      <c r="T557" s="79"/>
      <c r="W557" s="130"/>
      <c r="Y557" s="106"/>
    </row>
    <row r="558">
      <c r="C558" s="79"/>
      <c r="D558" s="79"/>
      <c r="J558" s="79"/>
      <c r="O558" s="79"/>
      <c r="P558" s="79"/>
      <c r="S558" s="79"/>
      <c r="T558" s="79"/>
      <c r="W558" s="130"/>
      <c r="Y558" s="106"/>
    </row>
    <row r="559">
      <c r="C559" s="79"/>
      <c r="D559" s="79"/>
      <c r="J559" s="79"/>
      <c r="O559" s="79"/>
      <c r="P559" s="79"/>
      <c r="S559" s="79"/>
      <c r="T559" s="79"/>
      <c r="W559" s="130"/>
      <c r="Y559" s="106"/>
    </row>
    <row r="560">
      <c r="C560" s="79"/>
      <c r="D560" s="79"/>
      <c r="J560" s="79"/>
      <c r="O560" s="79"/>
      <c r="P560" s="79"/>
      <c r="S560" s="79"/>
      <c r="T560" s="79"/>
      <c r="W560" s="130"/>
      <c r="Y560" s="106"/>
    </row>
    <row r="561">
      <c r="C561" s="79"/>
      <c r="D561" s="79"/>
      <c r="J561" s="79"/>
      <c r="O561" s="79"/>
      <c r="P561" s="79"/>
      <c r="S561" s="79"/>
      <c r="T561" s="79"/>
      <c r="W561" s="130"/>
      <c r="Y561" s="106"/>
    </row>
    <row r="562">
      <c r="C562" s="79"/>
      <c r="D562" s="79"/>
      <c r="J562" s="79"/>
      <c r="O562" s="79"/>
      <c r="P562" s="79"/>
      <c r="S562" s="79"/>
      <c r="T562" s="79"/>
      <c r="W562" s="130"/>
      <c r="Y562" s="106"/>
    </row>
    <row r="563">
      <c r="C563" s="79"/>
      <c r="D563" s="79"/>
      <c r="J563" s="79"/>
      <c r="O563" s="79"/>
      <c r="P563" s="79"/>
      <c r="S563" s="79"/>
      <c r="T563" s="79"/>
      <c r="W563" s="130"/>
      <c r="Y563" s="106"/>
    </row>
    <row r="564">
      <c r="C564" s="79"/>
      <c r="D564" s="79"/>
      <c r="J564" s="79"/>
      <c r="O564" s="79"/>
      <c r="P564" s="79"/>
      <c r="S564" s="79"/>
      <c r="T564" s="79"/>
      <c r="W564" s="130"/>
      <c r="Y564" s="106"/>
    </row>
    <row r="565">
      <c r="C565" s="79"/>
      <c r="D565" s="79"/>
      <c r="J565" s="79"/>
      <c r="O565" s="79"/>
      <c r="P565" s="79"/>
      <c r="S565" s="79"/>
      <c r="T565" s="79"/>
      <c r="W565" s="130"/>
      <c r="Y565" s="106"/>
    </row>
    <row r="566">
      <c r="C566" s="79"/>
      <c r="D566" s="79"/>
      <c r="J566" s="79"/>
      <c r="O566" s="79"/>
      <c r="P566" s="79"/>
      <c r="S566" s="79"/>
      <c r="T566" s="79"/>
      <c r="W566" s="130"/>
      <c r="Y566" s="106"/>
    </row>
    <row r="567">
      <c r="C567" s="79"/>
      <c r="D567" s="79"/>
      <c r="J567" s="79"/>
      <c r="O567" s="79"/>
      <c r="P567" s="79"/>
      <c r="S567" s="79"/>
      <c r="T567" s="79"/>
      <c r="W567" s="130"/>
      <c r="Y567" s="106"/>
    </row>
    <row r="568">
      <c r="C568" s="79"/>
      <c r="D568" s="79"/>
      <c r="J568" s="79"/>
      <c r="O568" s="79"/>
      <c r="P568" s="79"/>
      <c r="S568" s="79"/>
      <c r="T568" s="79"/>
      <c r="W568" s="130"/>
      <c r="Y568" s="106"/>
    </row>
    <row r="569">
      <c r="C569" s="79"/>
      <c r="D569" s="79"/>
      <c r="J569" s="79"/>
      <c r="O569" s="79"/>
      <c r="P569" s="79"/>
      <c r="S569" s="79"/>
      <c r="T569" s="79"/>
      <c r="W569" s="130"/>
      <c r="Y569" s="106"/>
    </row>
    <row r="570">
      <c r="C570" s="79"/>
      <c r="D570" s="79"/>
      <c r="J570" s="79"/>
      <c r="O570" s="79"/>
      <c r="P570" s="79"/>
      <c r="S570" s="79"/>
      <c r="T570" s="79"/>
      <c r="W570" s="130"/>
      <c r="Y570" s="106"/>
    </row>
    <row r="571">
      <c r="C571" s="79"/>
      <c r="D571" s="79"/>
      <c r="J571" s="79"/>
      <c r="O571" s="79"/>
      <c r="P571" s="79"/>
      <c r="S571" s="79"/>
      <c r="T571" s="79"/>
      <c r="W571" s="130"/>
      <c r="Y571" s="106"/>
    </row>
    <row r="572">
      <c r="C572" s="79"/>
      <c r="D572" s="79"/>
      <c r="J572" s="79"/>
      <c r="O572" s="79"/>
      <c r="P572" s="79"/>
      <c r="S572" s="79"/>
      <c r="T572" s="79"/>
      <c r="W572" s="130"/>
      <c r="Y572" s="106"/>
    </row>
    <row r="573">
      <c r="C573" s="79"/>
      <c r="D573" s="79"/>
      <c r="J573" s="79"/>
      <c r="O573" s="79"/>
      <c r="P573" s="79"/>
      <c r="S573" s="79"/>
      <c r="T573" s="79"/>
      <c r="W573" s="130"/>
      <c r="Y573" s="106"/>
    </row>
    <row r="574">
      <c r="C574" s="79"/>
      <c r="D574" s="79"/>
      <c r="J574" s="79"/>
      <c r="O574" s="79"/>
      <c r="P574" s="79"/>
      <c r="S574" s="79"/>
      <c r="T574" s="79"/>
      <c r="W574" s="130"/>
      <c r="Y574" s="106"/>
    </row>
    <row r="575">
      <c r="C575" s="79"/>
      <c r="D575" s="79"/>
      <c r="J575" s="79"/>
      <c r="O575" s="79"/>
      <c r="P575" s="79"/>
      <c r="S575" s="79"/>
      <c r="T575" s="79"/>
      <c r="W575" s="130"/>
      <c r="Y575" s="106"/>
    </row>
    <row r="576">
      <c r="C576" s="79"/>
      <c r="D576" s="79"/>
      <c r="J576" s="79"/>
      <c r="O576" s="79"/>
      <c r="P576" s="79"/>
      <c r="S576" s="79"/>
      <c r="T576" s="79"/>
      <c r="W576" s="130"/>
      <c r="Y576" s="106"/>
    </row>
    <row r="577">
      <c r="C577" s="79"/>
      <c r="D577" s="79"/>
      <c r="J577" s="79"/>
      <c r="O577" s="79"/>
      <c r="P577" s="79"/>
      <c r="S577" s="79"/>
      <c r="T577" s="79"/>
      <c r="W577" s="130"/>
      <c r="Y577" s="106"/>
    </row>
    <row r="578">
      <c r="C578" s="79"/>
      <c r="D578" s="79"/>
      <c r="J578" s="79"/>
      <c r="O578" s="79"/>
      <c r="P578" s="79"/>
      <c r="S578" s="79"/>
      <c r="T578" s="79"/>
      <c r="W578" s="130"/>
      <c r="Y578" s="106"/>
    </row>
    <row r="579">
      <c r="C579" s="79"/>
      <c r="D579" s="79"/>
      <c r="J579" s="79"/>
      <c r="O579" s="79"/>
      <c r="P579" s="79"/>
      <c r="S579" s="79"/>
      <c r="T579" s="79"/>
      <c r="W579" s="130"/>
      <c r="Y579" s="106"/>
    </row>
    <row r="580">
      <c r="C580" s="79"/>
      <c r="D580" s="79"/>
      <c r="J580" s="79"/>
      <c r="O580" s="79"/>
      <c r="P580" s="79"/>
      <c r="S580" s="79"/>
      <c r="T580" s="79"/>
      <c r="W580" s="130"/>
      <c r="Y580" s="106"/>
    </row>
    <row r="581">
      <c r="C581" s="79"/>
      <c r="D581" s="79"/>
      <c r="J581" s="79"/>
      <c r="O581" s="79"/>
      <c r="P581" s="79"/>
      <c r="S581" s="79"/>
      <c r="T581" s="79"/>
      <c r="W581" s="130"/>
      <c r="Y581" s="106"/>
    </row>
    <row r="582">
      <c r="C582" s="79"/>
      <c r="D582" s="79"/>
      <c r="J582" s="79"/>
      <c r="O582" s="79"/>
      <c r="P582" s="79"/>
      <c r="S582" s="79"/>
      <c r="T582" s="79"/>
      <c r="W582" s="130"/>
      <c r="Y582" s="106"/>
    </row>
    <row r="583">
      <c r="C583" s="79"/>
      <c r="D583" s="79"/>
      <c r="J583" s="79"/>
      <c r="O583" s="79"/>
      <c r="P583" s="79"/>
      <c r="S583" s="79"/>
      <c r="T583" s="79"/>
      <c r="W583" s="130"/>
      <c r="Y583" s="106"/>
    </row>
    <row r="584">
      <c r="C584" s="79"/>
      <c r="D584" s="79"/>
      <c r="J584" s="79"/>
      <c r="O584" s="79"/>
      <c r="P584" s="79"/>
      <c r="S584" s="79"/>
      <c r="T584" s="79"/>
      <c r="W584" s="130"/>
      <c r="Y584" s="106"/>
    </row>
    <row r="585">
      <c r="C585" s="79"/>
      <c r="D585" s="79"/>
      <c r="J585" s="79"/>
      <c r="O585" s="79"/>
      <c r="P585" s="79"/>
      <c r="S585" s="79"/>
      <c r="T585" s="79"/>
      <c r="W585" s="130"/>
      <c r="Y585" s="106"/>
    </row>
    <row r="586">
      <c r="C586" s="79"/>
      <c r="D586" s="79"/>
      <c r="J586" s="79"/>
      <c r="O586" s="79"/>
      <c r="P586" s="79"/>
      <c r="S586" s="79"/>
      <c r="T586" s="79"/>
      <c r="W586" s="130"/>
      <c r="Y586" s="106"/>
    </row>
    <row r="587">
      <c r="C587" s="79"/>
      <c r="D587" s="79"/>
      <c r="J587" s="79"/>
      <c r="O587" s="79"/>
      <c r="P587" s="79"/>
      <c r="S587" s="79"/>
      <c r="T587" s="79"/>
      <c r="W587" s="130"/>
      <c r="Y587" s="106"/>
    </row>
    <row r="588">
      <c r="C588" s="79"/>
      <c r="D588" s="79"/>
      <c r="J588" s="79"/>
      <c r="O588" s="79"/>
      <c r="P588" s="79"/>
      <c r="S588" s="79"/>
      <c r="T588" s="79"/>
      <c r="W588" s="130"/>
      <c r="Y588" s="106"/>
    </row>
    <row r="589">
      <c r="C589" s="79"/>
      <c r="D589" s="79"/>
      <c r="J589" s="79"/>
      <c r="O589" s="79"/>
      <c r="P589" s="79"/>
      <c r="S589" s="79"/>
      <c r="T589" s="79"/>
      <c r="W589" s="130"/>
      <c r="Y589" s="106"/>
    </row>
    <row r="590">
      <c r="C590" s="79"/>
      <c r="D590" s="79"/>
      <c r="J590" s="79"/>
      <c r="O590" s="79"/>
      <c r="P590" s="79"/>
      <c r="S590" s="79"/>
      <c r="T590" s="79"/>
      <c r="W590" s="130"/>
      <c r="Y590" s="106"/>
    </row>
    <row r="591">
      <c r="C591" s="79"/>
      <c r="D591" s="79"/>
      <c r="J591" s="79"/>
      <c r="O591" s="79"/>
      <c r="P591" s="79"/>
      <c r="S591" s="79"/>
      <c r="T591" s="79"/>
      <c r="W591" s="130"/>
      <c r="Y591" s="106"/>
    </row>
    <row r="592">
      <c r="C592" s="79"/>
      <c r="D592" s="79"/>
      <c r="J592" s="79"/>
      <c r="O592" s="79"/>
      <c r="P592" s="79"/>
      <c r="S592" s="79"/>
      <c r="T592" s="79"/>
      <c r="W592" s="130"/>
      <c r="Y592" s="106"/>
    </row>
    <row r="593">
      <c r="C593" s="79"/>
      <c r="D593" s="79"/>
      <c r="J593" s="79"/>
      <c r="O593" s="79"/>
      <c r="P593" s="79"/>
      <c r="S593" s="79"/>
      <c r="T593" s="79"/>
      <c r="W593" s="130"/>
      <c r="Y593" s="106"/>
    </row>
    <row r="594">
      <c r="C594" s="79"/>
      <c r="D594" s="79"/>
      <c r="J594" s="79"/>
      <c r="O594" s="79"/>
      <c r="P594" s="79"/>
      <c r="S594" s="79"/>
      <c r="T594" s="79"/>
      <c r="W594" s="130"/>
      <c r="Y594" s="106"/>
    </row>
    <row r="595">
      <c r="C595" s="79"/>
      <c r="D595" s="79"/>
      <c r="J595" s="79"/>
      <c r="O595" s="79"/>
      <c r="P595" s="79"/>
      <c r="S595" s="79"/>
      <c r="T595" s="79"/>
      <c r="W595" s="130"/>
      <c r="Y595" s="106"/>
    </row>
    <row r="596">
      <c r="C596" s="79"/>
      <c r="D596" s="79"/>
      <c r="J596" s="79"/>
      <c r="O596" s="79"/>
      <c r="P596" s="79"/>
      <c r="S596" s="79"/>
      <c r="T596" s="79"/>
      <c r="W596" s="130"/>
      <c r="Y596" s="106"/>
    </row>
    <row r="597">
      <c r="C597" s="79"/>
      <c r="D597" s="79"/>
      <c r="J597" s="79"/>
      <c r="O597" s="79"/>
      <c r="P597" s="79"/>
      <c r="S597" s="79"/>
      <c r="T597" s="79"/>
      <c r="W597" s="130"/>
      <c r="Y597" s="106"/>
    </row>
    <row r="598">
      <c r="C598" s="79"/>
      <c r="D598" s="79"/>
      <c r="J598" s="79"/>
      <c r="O598" s="79"/>
      <c r="P598" s="79"/>
      <c r="S598" s="79"/>
      <c r="T598" s="79"/>
      <c r="W598" s="130"/>
      <c r="Y598" s="106"/>
    </row>
    <row r="599">
      <c r="C599" s="79"/>
      <c r="D599" s="79"/>
      <c r="J599" s="79"/>
      <c r="O599" s="79"/>
      <c r="P599" s="79"/>
      <c r="S599" s="79"/>
      <c r="T599" s="79"/>
      <c r="W599" s="130"/>
      <c r="Y599" s="106"/>
    </row>
    <row r="600">
      <c r="C600" s="79"/>
      <c r="D600" s="79"/>
      <c r="J600" s="79"/>
      <c r="O600" s="79"/>
      <c r="P600" s="79"/>
      <c r="S600" s="79"/>
      <c r="T600" s="79"/>
      <c r="W600" s="130"/>
      <c r="Y600" s="106"/>
    </row>
    <row r="601">
      <c r="C601" s="79"/>
      <c r="D601" s="79"/>
      <c r="J601" s="79"/>
      <c r="O601" s="79"/>
      <c r="P601" s="79"/>
      <c r="S601" s="79"/>
      <c r="T601" s="79"/>
      <c r="W601" s="130"/>
      <c r="Y601" s="106"/>
    </row>
    <row r="602">
      <c r="C602" s="79"/>
      <c r="D602" s="79"/>
      <c r="J602" s="79"/>
      <c r="O602" s="79"/>
      <c r="P602" s="79"/>
      <c r="S602" s="79"/>
      <c r="T602" s="79"/>
      <c r="W602" s="130"/>
      <c r="Y602" s="106"/>
    </row>
    <row r="603">
      <c r="C603" s="79"/>
      <c r="D603" s="79"/>
      <c r="J603" s="79"/>
      <c r="O603" s="79"/>
      <c r="P603" s="79"/>
      <c r="S603" s="79"/>
      <c r="T603" s="79"/>
      <c r="W603" s="130"/>
      <c r="Y603" s="106"/>
    </row>
    <row r="604">
      <c r="C604" s="79"/>
      <c r="D604" s="79"/>
      <c r="J604" s="79"/>
      <c r="O604" s="79"/>
      <c r="P604" s="79"/>
      <c r="S604" s="79"/>
      <c r="T604" s="79"/>
      <c r="W604" s="130"/>
      <c r="Y604" s="106"/>
    </row>
    <row r="605">
      <c r="C605" s="79"/>
      <c r="D605" s="79"/>
      <c r="J605" s="79"/>
      <c r="O605" s="79"/>
      <c r="P605" s="79"/>
      <c r="S605" s="79"/>
      <c r="T605" s="79"/>
      <c r="W605" s="130"/>
      <c r="Y605" s="106"/>
    </row>
    <row r="606">
      <c r="C606" s="79"/>
      <c r="D606" s="79"/>
      <c r="J606" s="79"/>
      <c r="O606" s="79"/>
      <c r="P606" s="79"/>
      <c r="S606" s="79"/>
      <c r="T606" s="79"/>
      <c r="W606" s="130"/>
      <c r="Y606" s="106"/>
    </row>
    <row r="607">
      <c r="C607" s="79"/>
      <c r="D607" s="79"/>
      <c r="J607" s="79"/>
      <c r="O607" s="79"/>
      <c r="P607" s="79"/>
      <c r="S607" s="79"/>
      <c r="T607" s="79"/>
      <c r="W607" s="130"/>
      <c r="Y607" s="106"/>
    </row>
    <row r="608">
      <c r="C608" s="79"/>
      <c r="D608" s="79"/>
      <c r="J608" s="79"/>
      <c r="O608" s="79"/>
      <c r="P608" s="79"/>
      <c r="S608" s="79"/>
      <c r="T608" s="79"/>
      <c r="W608" s="130"/>
      <c r="Y608" s="106"/>
    </row>
    <row r="609">
      <c r="C609" s="79"/>
      <c r="D609" s="79"/>
      <c r="J609" s="79"/>
      <c r="O609" s="79"/>
      <c r="P609" s="79"/>
      <c r="S609" s="79"/>
      <c r="T609" s="79"/>
      <c r="W609" s="130"/>
      <c r="Y609" s="106"/>
    </row>
    <row r="610">
      <c r="C610" s="79"/>
      <c r="D610" s="79"/>
      <c r="J610" s="79"/>
      <c r="O610" s="79"/>
      <c r="P610" s="79"/>
      <c r="S610" s="79"/>
      <c r="T610" s="79"/>
      <c r="W610" s="130"/>
      <c r="Y610" s="106"/>
    </row>
    <row r="611">
      <c r="C611" s="79"/>
      <c r="D611" s="79"/>
      <c r="J611" s="79"/>
      <c r="O611" s="79"/>
      <c r="P611" s="79"/>
      <c r="S611" s="79"/>
      <c r="T611" s="79"/>
      <c r="W611" s="130"/>
      <c r="Y611" s="106"/>
    </row>
    <row r="612">
      <c r="C612" s="79"/>
      <c r="D612" s="79"/>
      <c r="J612" s="79"/>
      <c r="O612" s="79"/>
      <c r="P612" s="79"/>
      <c r="S612" s="79"/>
      <c r="T612" s="79"/>
      <c r="W612" s="130"/>
      <c r="Y612" s="106"/>
    </row>
    <row r="613">
      <c r="C613" s="79"/>
      <c r="D613" s="79"/>
      <c r="J613" s="79"/>
      <c r="O613" s="79"/>
      <c r="P613" s="79"/>
      <c r="S613" s="79"/>
      <c r="T613" s="79"/>
      <c r="W613" s="130"/>
      <c r="Y613" s="106"/>
    </row>
    <row r="614">
      <c r="C614" s="79"/>
      <c r="D614" s="79"/>
      <c r="J614" s="79"/>
      <c r="O614" s="79"/>
      <c r="P614" s="79"/>
      <c r="S614" s="79"/>
      <c r="T614" s="79"/>
      <c r="W614" s="130"/>
      <c r="Y614" s="106"/>
    </row>
    <row r="615">
      <c r="C615" s="79"/>
      <c r="D615" s="79"/>
      <c r="J615" s="79"/>
      <c r="O615" s="79"/>
      <c r="P615" s="79"/>
      <c r="S615" s="79"/>
      <c r="T615" s="79"/>
      <c r="W615" s="130"/>
      <c r="Y615" s="106"/>
    </row>
    <row r="616">
      <c r="C616" s="79"/>
      <c r="D616" s="79"/>
      <c r="J616" s="79"/>
      <c r="O616" s="79"/>
      <c r="P616" s="79"/>
      <c r="S616" s="79"/>
      <c r="T616" s="79"/>
      <c r="W616" s="130"/>
      <c r="Y616" s="106"/>
    </row>
    <row r="617">
      <c r="C617" s="79"/>
      <c r="D617" s="79"/>
      <c r="J617" s="79"/>
      <c r="O617" s="79"/>
      <c r="P617" s="79"/>
      <c r="S617" s="79"/>
      <c r="T617" s="79"/>
      <c r="W617" s="130"/>
      <c r="Y617" s="106"/>
    </row>
    <row r="618">
      <c r="C618" s="79"/>
      <c r="D618" s="79"/>
      <c r="J618" s="79"/>
      <c r="O618" s="79"/>
      <c r="P618" s="79"/>
      <c r="S618" s="79"/>
      <c r="T618" s="79"/>
      <c r="W618" s="130"/>
      <c r="Y618" s="106"/>
    </row>
    <row r="619">
      <c r="C619" s="79"/>
      <c r="D619" s="79"/>
      <c r="J619" s="79"/>
      <c r="O619" s="79"/>
      <c r="P619" s="79"/>
      <c r="S619" s="79"/>
      <c r="T619" s="79"/>
      <c r="W619" s="130"/>
      <c r="Y619" s="106"/>
    </row>
    <row r="620">
      <c r="C620" s="79"/>
      <c r="D620" s="79"/>
      <c r="J620" s="79"/>
      <c r="O620" s="79"/>
      <c r="P620" s="79"/>
      <c r="S620" s="79"/>
      <c r="T620" s="79"/>
      <c r="W620" s="130"/>
      <c r="Y620" s="106"/>
    </row>
    <row r="621">
      <c r="C621" s="79"/>
      <c r="D621" s="79"/>
      <c r="J621" s="79"/>
      <c r="O621" s="79"/>
      <c r="P621" s="79"/>
      <c r="S621" s="79"/>
      <c r="T621" s="79"/>
      <c r="W621" s="130"/>
      <c r="Y621" s="106"/>
    </row>
    <row r="622">
      <c r="C622" s="79"/>
      <c r="D622" s="79"/>
      <c r="J622" s="79"/>
      <c r="O622" s="79"/>
      <c r="P622" s="79"/>
      <c r="S622" s="79"/>
      <c r="T622" s="79"/>
      <c r="W622" s="130"/>
      <c r="Y622" s="106"/>
    </row>
    <row r="623">
      <c r="C623" s="79"/>
      <c r="D623" s="79"/>
      <c r="J623" s="79"/>
      <c r="O623" s="79"/>
      <c r="P623" s="79"/>
      <c r="S623" s="79"/>
      <c r="T623" s="79"/>
      <c r="W623" s="130"/>
      <c r="Y623" s="106"/>
    </row>
    <row r="624">
      <c r="C624" s="79"/>
      <c r="D624" s="79"/>
      <c r="J624" s="79"/>
      <c r="O624" s="79"/>
      <c r="P624" s="79"/>
      <c r="S624" s="79"/>
      <c r="T624" s="79"/>
      <c r="W624" s="130"/>
      <c r="Y624" s="106"/>
    </row>
    <row r="625">
      <c r="C625" s="79"/>
      <c r="D625" s="79"/>
      <c r="J625" s="79"/>
      <c r="O625" s="79"/>
      <c r="P625" s="79"/>
      <c r="S625" s="79"/>
      <c r="T625" s="79"/>
      <c r="W625" s="130"/>
      <c r="Y625" s="106"/>
    </row>
    <row r="626">
      <c r="C626" s="79"/>
      <c r="D626" s="79"/>
      <c r="J626" s="79"/>
      <c r="O626" s="79"/>
      <c r="P626" s="79"/>
      <c r="S626" s="79"/>
      <c r="T626" s="79"/>
      <c r="W626" s="130"/>
      <c r="Y626" s="106"/>
    </row>
    <row r="627">
      <c r="C627" s="79"/>
      <c r="D627" s="79"/>
      <c r="J627" s="79"/>
      <c r="O627" s="79"/>
      <c r="P627" s="79"/>
      <c r="S627" s="79"/>
      <c r="T627" s="79"/>
      <c r="W627" s="130"/>
      <c r="Y627" s="106"/>
    </row>
    <row r="628">
      <c r="C628" s="79"/>
      <c r="D628" s="79"/>
      <c r="J628" s="79"/>
      <c r="O628" s="79"/>
      <c r="P628" s="79"/>
      <c r="S628" s="79"/>
      <c r="T628" s="79"/>
      <c r="W628" s="130"/>
      <c r="Y628" s="106"/>
    </row>
    <row r="629">
      <c r="C629" s="79"/>
      <c r="D629" s="79"/>
      <c r="J629" s="79"/>
      <c r="O629" s="79"/>
      <c r="P629" s="79"/>
      <c r="S629" s="79"/>
      <c r="T629" s="79"/>
      <c r="W629" s="130"/>
      <c r="Y629" s="106"/>
    </row>
    <row r="630">
      <c r="C630" s="79"/>
      <c r="D630" s="79"/>
      <c r="J630" s="79"/>
      <c r="O630" s="79"/>
      <c r="P630" s="79"/>
      <c r="S630" s="79"/>
      <c r="T630" s="79"/>
      <c r="W630" s="130"/>
      <c r="Y630" s="106"/>
    </row>
    <row r="631">
      <c r="C631" s="79"/>
      <c r="D631" s="79"/>
      <c r="J631" s="79"/>
      <c r="O631" s="79"/>
      <c r="P631" s="79"/>
      <c r="S631" s="79"/>
      <c r="T631" s="79"/>
      <c r="W631" s="130"/>
      <c r="Y631" s="106"/>
    </row>
    <row r="632">
      <c r="C632" s="79"/>
      <c r="D632" s="79"/>
      <c r="J632" s="79"/>
      <c r="O632" s="79"/>
      <c r="P632" s="79"/>
      <c r="S632" s="79"/>
      <c r="T632" s="79"/>
      <c r="W632" s="130"/>
      <c r="Y632" s="106"/>
    </row>
    <row r="633">
      <c r="C633" s="79"/>
      <c r="D633" s="79"/>
      <c r="J633" s="79"/>
      <c r="O633" s="79"/>
      <c r="P633" s="79"/>
      <c r="S633" s="79"/>
      <c r="T633" s="79"/>
      <c r="W633" s="130"/>
      <c r="Y633" s="106"/>
    </row>
    <row r="634">
      <c r="C634" s="79"/>
      <c r="D634" s="79"/>
      <c r="J634" s="79"/>
      <c r="O634" s="79"/>
      <c r="P634" s="79"/>
      <c r="S634" s="79"/>
      <c r="T634" s="79"/>
      <c r="W634" s="130"/>
      <c r="Y634" s="106"/>
    </row>
    <row r="635">
      <c r="C635" s="79"/>
      <c r="D635" s="79"/>
      <c r="J635" s="79"/>
      <c r="O635" s="79"/>
      <c r="P635" s="79"/>
      <c r="S635" s="79"/>
      <c r="T635" s="79"/>
      <c r="W635" s="130"/>
      <c r="Y635" s="106"/>
    </row>
    <row r="636">
      <c r="C636" s="79"/>
      <c r="D636" s="79"/>
      <c r="J636" s="79"/>
      <c r="O636" s="79"/>
      <c r="P636" s="79"/>
      <c r="S636" s="79"/>
      <c r="T636" s="79"/>
      <c r="W636" s="130"/>
      <c r="Y636" s="106"/>
    </row>
    <row r="637">
      <c r="C637" s="79"/>
      <c r="D637" s="79"/>
      <c r="J637" s="79"/>
      <c r="O637" s="79"/>
      <c r="P637" s="79"/>
      <c r="S637" s="79"/>
      <c r="T637" s="79"/>
      <c r="W637" s="130"/>
      <c r="Y637" s="106"/>
    </row>
    <row r="638">
      <c r="C638" s="79"/>
      <c r="D638" s="79"/>
      <c r="J638" s="79"/>
      <c r="O638" s="79"/>
      <c r="P638" s="79"/>
      <c r="S638" s="79"/>
      <c r="T638" s="79"/>
      <c r="W638" s="130"/>
      <c r="Y638" s="106"/>
    </row>
    <row r="639">
      <c r="C639" s="79"/>
      <c r="D639" s="79"/>
      <c r="J639" s="79"/>
      <c r="O639" s="79"/>
      <c r="P639" s="79"/>
      <c r="S639" s="79"/>
      <c r="T639" s="79"/>
      <c r="W639" s="130"/>
      <c r="Y639" s="106"/>
    </row>
    <row r="640">
      <c r="C640" s="79"/>
      <c r="D640" s="79"/>
      <c r="J640" s="79"/>
      <c r="O640" s="79"/>
      <c r="P640" s="79"/>
      <c r="S640" s="79"/>
      <c r="T640" s="79"/>
      <c r="W640" s="130"/>
      <c r="Y640" s="106"/>
    </row>
    <row r="641">
      <c r="C641" s="79"/>
      <c r="D641" s="79"/>
      <c r="J641" s="79"/>
      <c r="O641" s="79"/>
      <c r="P641" s="79"/>
      <c r="S641" s="79"/>
      <c r="T641" s="79"/>
      <c r="W641" s="130"/>
      <c r="Y641" s="106"/>
    </row>
    <row r="642">
      <c r="C642" s="79"/>
      <c r="D642" s="79"/>
      <c r="J642" s="79"/>
      <c r="O642" s="79"/>
      <c r="P642" s="79"/>
      <c r="S642" s="79"/>
      <c r="T642" s="79"/>
      <c r="W642" s="130"/>
      <c r="Y642" s="106"/>
    </row>
    <row r="643">
      <c r="C643" s="79"/>
      <c r="D643" s="79"/>
      <c r="J643" s="79"/>
      <c r="O643" s="79"/>
      <c r="P643" s="79"/>
      <c r="S643" s="79"/>
      <c r="T643" s="79"/>
      <c r="W643" s="130"/>
      <c r="Y643" s="106"/>
    </row>
    <row r="644">
      <c r="C644" s="79"/>
      <c r="D644" s="79"/>
      <c r="J644" s="79"/>
      <c r="O644" s="79"/>
      <c r="P644" s="79"/>
      <c r="S644" s="79"/>
      <c r="T644" s="79"/>
      <c r="W644" s="130"/>
      <c r="Y644" s="106"/>
    </row>
    <row r="645">
      <c r="C645" s="79"/>
      <c r="D645" s="79"/>
      <c r="J645" s="79"/>
      <c r="O645" s="79"/>
      <c r="P645" s="79"/>
      <c r="S645" s="79"/>
      <c r="T645" s="79"/>
      <c r="W645" s="130"/>
      <c r="Y645" s="106"/>
    </row>
    <row r="646">
      <c r="C646" s="79"/>
      <c r="D646" s="79"/>
      <c r="J646" s="79"/>
      <c r="O646" s="79"/>
      <c r="P646" s="79"/>
      <c r="S646" s="79"/>
      <c r="T646" s="79"/>
      <c r="W646" s="130"/>
      <c r="Y646" s="106"/>
    </row>
    <row r="647">
      <c r="C647" s="79"/>
      <c r="D647" s="79"/>
      <c r="J647" s="79"/>
      <c r="O647" s="79"/>
      <c r="P647" s="79"/>
      <c r="S647" s="79"/>
      <c r="T647" s="79"/>
      <c r="W647" s="130"/>
      <c r="Y647" s="106"/>
    </row>
    <row r="648">
      <c r="C648" s="79"/>
      <c r="D648" s="79"/>
      <c r="J648" s="79"/>
      <c r="O648" s="79"/>
      <c r="P648" s="79"/>
      <c r="S648" s="79"/>
      <c r="T648" s="79"/>
      <c r="W648" s="130"/>
      <c r="Y648" s="106"/>
    </row>
    <row r="649">
      <c r="C649" s="79"/>
      <c r="D649" s="79"/>
      <c r="J649" s="79"/>
      <c r="O649" s="79"/>
      <c r="P649" s="79"/>
      <c r="S649" s="79"/>
      <c r="T649" s="79"/>
      <c r="W649" s="130"/>
      <c r="Y649" s="106"/>
    </row>
    <row r="650">
      <c r="C650" s="79"/>
      <c r="D650" s="79"/>
      <c r="J650" s="79"/>
      <c r="O650" s="79"/>
      <c r="P650" s="79"/>
      <c r="S650" s="79"/>
      <c r="T650" s="79"/>
      <c r="W650" s="130"/>
      <c r="Y650" s="106"/>
    </row>
    <row r="651">
      <c r="C651" s="79"/>
      <c r="D651" s="79"/>
      <c r="J651" s="79"/>
      <c r="O651" s="79"/>
      <c r="P651" s="79"/>
      <c r="S651" s="79"/>
      <c r="T651" s="79"/>
      <c r="W651" s="130"/>
      <c r="Y651" s="106"/>
    </row>
    <row r="652">
      <c r="C652" s="79"/>
      <c r="D652" s="79"/>
      <c r="J652" s="79"/>
      <c r="O652" s="79"/>
      <c r="P652" s="79"/>
      <c r="S652" s="79"/>
      <c r="T652" s="79"/>
      <c r="W652" s="130"/>
      <c r="Y652" s="106"/>
    </row>
    <row r="653">
      <c r="C653" s="79"/>
      <c r="D653" s="79"/>
      <c r="J653" s="79"/>
      <c r="O653" s="79"/>
      <c r="P653" s="79"/>
      <c r="S653" s="79"/>
      <c r="T653" s="79"/>
      <c r="W653" s="130"/>
      <c r="Y653" s="106"/>
    </row>
    <row r="654">
      <c r="C654" s="79"/>
      <c r="D654" s="79"/>
      <c r="J654" s="79"/>
      <c r="O654" s="79"/>
      <c r="P654" s="79"/>
      <c r="S654" s="79"/>
      <c r="T654" s="79"/>
      <c r="W654" s="130"/>
      <c r="Y654" s="106"/>
    </row>
    <row r="655">
      <c r="C655" s="79"/>
      <c r="D655" s="79"/>
      <c r="J655" s="79"/>
      <c r="O655" s="79"/>
      <c r="P655" s="79"/>
      <c r="S655" s="79"/>
      <c r="T655" s="79"/>
      <c r="W655" s="130"/>
      <c r="Y655" s="106"/>
    </row>
    <row r="656">
      <c r="C656" s="79"/>
      <c r="D656" s="79"/>
      <c r="J656" s="79"/>
      <c r="O656" s="79"/>
      <c r="P656" s="79"/>
      <c r="S656" s="79"/>
      <c r="T656" s="79"/>
      <c r="W656" s="130"/>
      <c r="Y656" s="106"/>
    </row>
    <row r="657">
      <c r="C657" s="79"/>
      <c r="D657" s="79"/>
      <c r="J657" s="79"/>
      <c r="O657" s="79"/>
      <c r="P657" s="79"/>
      <c r="S657" s="79"/>
      <c r="T657" s="79"/>
      <c r="W657" s="130"/>
      <c r="Y657" s="106"/>
    </row>
    <row r="658">
      <c r="C658" s="79"/>
      <c r="D658" s="79"/>
      <c r="J658" s="79"/>
      <c r="O658" s="79"/>
      <c r="P658" s="79"/>
      <c r="S658" s="79"/>
      <c r="T658" s="79"/>
      <c r="W658" s="130"/>
      <c r="Y658" s="106"/>
    </row>
    <row r="659">
      <c r="C659" s="79"/>
      <c r="D659" s="79"/>
      <c r="J659" s="79"/>
      <c r="O659" s="79"/>
      <c r="P659" s="79"/>
      <c r="S659" s="79"/>
      <c r="T659" s="79"/>
      <c r="W659" s="130"/>
      <c r="Y659" s="106"/>
    </row>
    <row r="660">
      <c r="C660" s="79"/>
      <c r="D660" s="79"/>
      <c r="J660" s="79"/>
      <c r="O660" s="79"/>
      <c r="P660" s="79"/>
      <c r="S660" s="79"/>
      <c r="T660" s="79"/>
      <c r="W660" s="130"/>
      <c r="Y660" s="106"/>
    </row>
    <row r="661">
      <c r="C661" s="79"/>
      <c r="D661" s="79"/>
      <c r="J661" s="79"/>
      <c r="O661" s="79"/>
      <c r="P661" s="79"/>
      <c r="S661" s="79"/>
      <c r="T661" s="79"/>
      <c r="W661" s="130"/>
      <c r="Y661" s="106"/>
    </row>
    <row r="662">
      <c r="C662" s="79"/>
      <c r="D662" s="79"/>
      <c r="J662" s="79"/>
      <c r="O662" s="79"/>
      <c r="P662" s="79"/>
      <c r="S662" s="79"/>
      <c r="T662" s="79"/>
      <c r="W662" s="130"/>
      <c r="Y662" s="106"/>
    </row>
    <row r="663">
      <c r="C663" s="79"/>
      <c r="D663" s="79"/>
      <c r="J663" s="79"/>
      <c r="O663" s="79"/>
      <c r="P663" s="79"/>
      <c r="S663" s="79"/>
      <c r="T663" s="79"/>
      <c r="W663" s="130"/>
      <c r="Y663" s="106"/>
    </row>
    <row r="664">
      <c r="C664" s="79"/>
      <c r="D664" s="79"/>
      <c r="J664" s="79"/>
      <c r="O664" s="79"/>
      <c r="P664" s="79"/>
      <c r="S664" s="79"/>
      <c r="T664" s="79"/>
      <c r="W664" s="130"/>
      <c r="Y664" s="106"/>
    </row>
    <row r="665">
      <c r="C665" s="79"/>
      <c r="D665" s="79"/>
      <c r="J665" s="79"/>
      <c r="O665" s="79"/>
      <c r="P665" s="79"/>
      <c r="S665" s="79"/>
      <c r="T665" s="79"/>
      <c r="W665" s="130"/>
      <c r="Y665" s="106"/>
    </row>
    <row r="666">
      <c r="C666" s="79"/>
      <c r="D666" s="79"/>
      <c r="J666" s="79"/>
      <c r="O666" s="79"/>
      <c r="P666" s="79"/>
      <c r="S666" s="79"/>
      <c r="T666" s="79"/>
      <c r="W666" s="130"/>
      <c r="Y666" s="106"/>
    </row>
    <row r="667">
      <c r="C667" s="79"/>
      <c r="D667" s="79"/>
      <c r="J667" s="79"/>
      <c r="O667" s="79"/>
      <c r="P667" s="79"/>
      <c r="S667" s="79"/>
      <c r="T667" s="79"/>
      <c r="W667" s="130"/>
      <c r="Y667" s="106"/>
    </row>
    <row r="668">
      <c r="C668" s="79"/>
      <c r="D668" s="79"/>
      <c r="J668" s="79"/>
      <c r="O668" s="79"/>
      <c r="P668" s="79"/>
      <c r="S668" s="79"/>
      <c r="T668" s="79"/>
      <c r="W668" s="130"/>
      <c r="Y668" s="106"/>
    </row>
    <row r="669">
      <c r="C669" s="79"/>
      <c r="D669" s="79"/>
      <c r="J669" s="79"/>
      <c r="O669" s="79"/>
      <c r="P669" s="79"/>
      <c r="S669" s="79"/>
      <c r="T669" s="79"/>
      <c r="W669" s="130"/>
      <c r="Y669" s="106"/>
    </row>
    <row r="670">
      <c r="C670" s="79"/>
      <c r="D670" s="79"/>
      <c r="J670" s="79"/>
      <c r="O670" s="79"/>
      <c r="P670" s="79"/>
      <c r="S670" s="79"/>
      <c r="T670" s="79"/>
      <c r="W670" s="130"/>
      <c r="Y670" s="106"/>
    </row>
    <row r="671">
      <c r="C671" s="79"/>
      <c r="D671" s="79"/>
      <c r="J671" s="79"/>
      <c r="O671" s="79"/>
      <c r="P671" s="79"/>
      <c r="S671" s="79"/>
      <c r="T671" s="79"/>
      <c r="W671" s="130"/>
      <c r="Y671" s="106"/>
    </row>
    <row r="672">
      <c r="C672" s="79"/>
      <c r="D672" s="79"/>
      <c r="J672" s="79"/>
      <c r="O672" s="79"/>
      <c r="P672" s="79"/>
      <c r="S672" s="79"/>
      <c r="T672" s="79"/>
      <c r="W672" s="130"/>
      <c r="Y672" s="106"/>
    </row>
    <row r="673">
      <c r="C673" s="79"/>
      <c r="D673" s="79"/>
      <c r="J673" s="79"/>
      <c r="O673" s="79"/>
      <c r="P673" s="79"/>
      <c r="S673" s="79"/>
      <c r="T673" s="79"/>
      <c r="W673" s="130"/>
      <c r="Y673" s="106"/>
    </row>
    <row r="674">
      <c r="C674" s="79"/>
      <c r="D674" s="79"/>
      <c r="J674" s="79"/>
      <c r="O674" s="79"/>
      <c r="P674" s="79"/>
      <c r="S674" s="79"/>
      <c r="T674" s="79"/>
      <c r="W674" s="130"/>
      <c r="Y674" s="106"/>
    </row>
    <row r="675">
      <c r="C675" s="79"/>
      <c r="D675" s="79"/>
      <c r="J675" s="79"/>
      <c r="O675" s="79"/>
      <c r="P675" s="79"/>
      <c r="S675" s="79"/>
      <c r="T675" s="79"/>
      <c r="W675" s="130"/>
      <c r="Y675" s="106"/>
    </row>
    <row r="676">
      <c r="C676" s="79"/>
      <c r="D676" s="79"/>
      <c r="J676" s="79"/>
      <c r="O676" s="79"/>
      <c r="P676" s="79"/>
      <c r="S676" s="79"/>
      <c r="T676" s="79"/>
      <c r="W676" s="130"/>
      <c r="Y676" s="106"/>
    </row>
    <row r="677">
      <c r="C677" s="79"/>
      <c r="D677" s="79"/>
      <c r="J677" s="79"/>
      <c r="O677" s="79"/>
      <c r="P677" s="79"/>
      <c r="S677" s="79"/>
      <c r="T677" s="79"/>
      <c r="W677" s="130"/>
      <c r="Y677" s="106"/>
    </row>
    <row r="678">
      <c r="C678" s="79"/>
      <c r="D678" s="79"/>
      <c r="J678" s="79"/>
      <c r="O678" s="79"/>
      <c r="P678" s="79"/>
      <c r="S678" s="79"/>
      <c r="T678" s="79"/>
      <c r="W678" s="130"/>
      <c r="Y678" s="106"/>
    </row>
    <row r="679">
      <c r="C679" s="79"/>
      <c r="D679" s="79"/>
      <c r="J679" s="79"/>
      <c r="O679" s="79"/>
      <c r="P679" s="79"/>
      <c r="S679" s="79"/>
      <c r="T679" s="79"/>
      <c r="W679" s="130"/>
      <c r="Y679" s="106"/>
    </row>
    <row r="680">
      <c r="C680" s="79"/>
      <c r="D680" s="79"/>
      <c r="J680" s="79"/>
      <c r="O680" s="79"/>
      <c r="P680" s="79"/>
      <c r="S680" s="79"/>
      <c r="T680" s="79"/>
      <c r="W680" s="130"/>
      <c r="Y680" s="106"/>
    </row>
    <row r="681">
      <c r="C681" s="79"/>
      <c r="D681" s="79"/>
      <c r="J681" s="79"/>
      <c r="O681" s="79"/>
      <c r="P681" s="79"/>
      <c r="S681" s="79"/>
      <c r="T681" s="79"/>
      <c r="W681" s="130"/>
      <c r="Y681" s="106"/>
    </row>
    <row r="682">
      <c r="C682" s="79"/>
      <c r="D682" s="79"/>
      <c r="J682" s="79"/>
      <c r="O682" s="79"/>
      <c r="P682" s="79"/>
      <c r="S682" s="79"/>
      <c r="T682" s="79"/>
      <c r="W682" s="130"/>
      <c r="Y682" s="106"/>
    </row>
    <row r="683">
      <c r="C683" s="79"/>
      <c r="D683" s="79"/>
      <c r="J683" s="79"/>
      <c r="O683" s="79"/>
      <c r="P683" s="79"/>
      <c r="S683" s="79"/>
      <c r="T683" s="79"/>
      <c r="W683" s="130"/>
      <c r="Y683" s="106"/>
    </row>
    <row r="684">
      <c r="C684" s="79"/>
      <c r="D684" s="79"/>
      <c r="J684" s="79"/>
      <c r="O684" s="79"/>
      <c r="P684" s="79"/>
      <c r="S684" s="79"/>
      <c r="T684" s="79"/>
      <c r="W684" s="130"/>
      <c r="Y684" s="106"/>
    </row>
    <row r="685">
      <c r="C685" s="79"/>
      <c r="D685" s="79"/>
      <c r="J685" s="79"/>
      <c r="O685" s="79"/>
      <c r="P685" s="79"/>
      <c r="S685" s="79"/>
      <c r="T685" s="79"/>
      <c r="W685" s="130"/>
      <c r="Y685" s="106"/>
    </row>
    <row r="686">
      <c r="C686" s="79"/>
      <c r="D686" s="79"/>
      <c r="J686" s="79"/>
      <c r="O686" s="79"/>
      <c r="P686" s="79"/>
      <c r="S686" s="79"/>
      <c r="T686" s="79"/>
      <c r="W686" s="130"/>
      <c r="Y686" s="106"/>
    </row>
    <row r="687">
      <c r="C687" s="79"/>
      <c r="D687" s="79"/>
      <c r="J687" s="79"/>
      <c r="O687" s="79"/>
      <c r="P687" s="79"/>
      <c r="S687" s="79"/>
      <c r="T687" s="79"/>
      <c r="W687" s="130"/>
      <c r="Y687" s="106"/>
    </row>
    <row r="688">
      <c r="C688" s="79"/>
      <c r="D688" s="79"/>
      <c r="J688" s="79"/>
      <c r="O688" s="79"/>
      <c r="P688" s="79"/>
      <c r="S688" s="79"/>
      <c r="T688" s="79"/>
      <c r="W688" s="130"/>
      <c r="Y688" s="106"/>
    </row>
    <row r="689">
      <c r="C689" s="79"/>
      <c r="D689" s="79"/>
      <c r="J689" s="79"/>
      <c r="O689" s="79"/>
      <c r="P689" s="79"/>
      <c r="S689" s="79"/>
      <c r="T689" s="79"/>
      <c r="W689" s="130"/>
      <c r="Y689" s="106"/>
    </row>
    <row r="690">
      <c r="C690" s="79"/>
      <c r="D690" s="79"/>
      <c r="J690" s="79"/>
      <c r="O690" s="79"/>
      <c r="P690" s="79"/>
      <c r="S690" s="79"/>
      <c r="T690" s="79"/>
      <c r="W690" s="130"/>
      <c r="Y690" s="106"/>
    </row>
    <row r="691">
      <c r="C691" s="79"/>
      <c r="D691" s="79"/>
      <c r="J691" s="79"/>
      <c r="O691" s="79"/>
      <c r="P691" s="79"/>
      <c r="S691" s="79"/>
      <c r="T691" s="79"/>
      <c r="W691" s="130"/>
      <c r="Y691" s="106"/>
    </row>
    <row r="692">
      <c r="C692" s="79"/>
      <c r="D692" s="79"/>
      <c r="J692" s="79"/>
      <c r="O692" s="79"/>
      <c r="P692" s="79"/>
      <c r="S692" s="79"/>
      <c r="T692" s="79"/>
      <c r="W692" s="130"/>
      <c r="Y692" s="106"/>
    </row>
    <row r="693">
      <c r="C693" s="79"/>
      <c r="D693" s="79"/>
      <c r="J693" s="79"/>
      <c r="O693" s="79"/>
      <c r="P693" s="79"/>
      <c r="S693" s="79"/>
      <c r="T693" s="79"/>
      <c r="W693" s="130"/>
      <c r="Y693" s="106"/>
    </row>
    <row r="694">
      <c r="C694" s="79"/>
      <c r="D694" s="79"/>
      <c r="J694" s="79"/>
      <c r="O694" s="79"/>
      <c r="P694" s="79"/>
      <c r="S694" s="79"/>
      <c r="T694" s="79"/>
      <c r="W694" s="130"/>
      <c r="Y694" s="106"/>
    </row>
    <row r="695">
      <c r="C695" s="79"/>
      <c r="D695" s="79"/>
      <c r="J695" s="79"/>
      <c r="O695" s="79"/>
      <c r="P695" s="79"/>
      <c r="S695" s="79"/>
      <c r="T695" s="79"/>
      <c r="W695" s="130"/>
      <c r="Y695" s="106"/>
    </row>
    <row r="696">
      <c r="C696" s="79"/>
      <c r="D696" s="79"/>
      <c r="J696" s="79"/>
      <c r="O696" s="79"/>
      <c r="P696" s="79"/>
      <c r="S696" s="79"/>
      <c r="T696" s="79"/>
      <c r="W696" s="130"/>
      <c r="Y696" s="106"/>
    </row>
    <row r="697">
      <c r="C697" s="79"/>
      <c r="D697" s="79"/>
      <c r="J697" s="79"/>
      <c r="O697" s="79"/>
      <c r="P697" s="79"/>
      <c r="S697" s="79"/>
      <c r="T697" s="79"/>
      <c r="W697" s="130"/>
      <c r="Y697" s="106"/>
    </row>
    <row r="698">
      <c r="C698" s="79"/>
      <c r="D698" s="79"/>
      <c r="J698" s="79"/>
      <c r="O698" s="79"/>
      <c r="P698" s="79"/>
      <c r="S698" s="79"/>
      <c r="T698" s="79"/>
      <c r="W698" s="130"/>
      <c r="Y698" s="106"/>
    </row>
    <row r="699">
      <c r="C699" s="79"/>
      <c r="D699" s="79"/>
      <c r="J699" s="79"/>
      <c r="O699" s="79"/>
      <c r="P699" s="79"/>
      <c r="S699" s="79"/>
      <c r="T699" s="79"/>
      <c r="W699" s="130"/>
      <c r="Y699" s="106"/>
    </row>
    <row r="700">
      <c r="C700" s="79"/>
      <c r="D700" s="79"/>
      <c r="J700" s="79"/>
      <c r="O700" s="79"/>
      <c r="P700" s="79"/>
      <c r="S700" s="79"/>
      <c r="T700" s="79"/>
      <c r="W700" s="130"/>
      <c r="Y700" s="106"/>
    </row>
    <row r="701">
      <c r="C701" s="79"/>
      <c r="D701" s="79"/>
      <c r="J701" s="79"/>
      <c r="O701" s="79"/>
      <c r="P701" s="79"/>
      <c r="S701" s="79"/>
      <c r="T701" s="79"/>
      <c r="W701" s="130"/>
      <c r="Y701" s="106"/>
    </row>
    <row r="702">
      <c r="C702" s="79"/>
      <c r="D702" s="79"/>
      <c r="J702" s="79"/>
      <c r="O702" s="79"/>
      <c r="P702" s="79"/>
      <c r="S702" s="79"/>
      <c r="T702" s="79"/>
      <c r="W702" s="130"/>
      <c r="Y702" s="106"/>
    </row>
    <row r="703">
      <c r="C703" s="79"/>
      <c r="D703" s="79"/>
      <c r="J703" s="79"/>
      <c r="O703" s="79"/>
      <c r="P703" s="79"/>
      <c r="S703" s="79"/>
      <c r="T703" s="79"/>
      <c r="W703" s="130"/>
      <c r="Y703" s="106"/>
    </row>
    <row r="704">
      <c r="C704" s="79"/>
      <c r="D704" s="79"/>
      <c r="J704" s="79"/>
      <c r="O704" s="79"/>
      <c r="P704" s="79"/>
      <c r="S704" s="79"/>
      <c r="T704" s="79"/>
      <c r="W704" s="130"/>
      <c r="Y704" s="106"/>
    </row>
    <row r="705">
      <c r="C705" s="79"/>
      <c r="D705" s="79"/>
      <c r="J705" s="79"/>
      <c r="O705" s="79"/>
      <c r="P705" s="79"/>
      <c r="S705" s="79"/>
      <c r="T705" s="79"/>
      <c r="W705" s="130"/>
      <c r="Y705" s="106"/>
    </row>
    <row r="706">
      <c r="C706" s="79"/>
      <c r="D706" s="79"/>
      <c r="J706" s="79"/>
      <c r="O706" s="79"/>
      <c r="P706" s="79"/>
      <c r="S706" s="79"/>
      <c r="T706" s="79"/>
      <c r="W706" s="130"/>
      <c r="Y706" s="106"/>
    </row>
    <row r="707">
      <c r="C707" s="79"/>
      <c r="D707" s="79"/>
      <c r="J707" s="79"/>
      <c r="O707" s="79"/>
      <c r="P707" s="79"/>
      <c r="S707" s="79"/>
      <c r="T707" s="79"/>
      <c r="W707" s="130"/>
      <c r="Y707" s="106"/>
    </row>
    <row r="708">
      <c r="C708" s="79"/>
      <c r="D708" s="79"/>
      <c r="J708" s="79"/>
      <c r="O708" s="79"/>
      <c r="P708" s="79"/>
      <c r="S708" s="79"/>
      <c r="T708" s="79"/>
      <c r="W708" s="130"/>
      <c r="Y708" s="106"/>
    </row>
    <row r="709">
      <c r="C709" s="79"/>
      <c r="D709" s="79"/>
      <c r="J709" s="79"/>
      <c r="O709" s="79"/>
      <c r="P709" s="79"/>
      <c r="S709" s="79"/>
      <c r="T709" s="79"/>
      <c r="W709" s="130"/>
      <c r="Y709" s="106"/>
    </row>
    <row r="710">
      <c r="C710" s="79"/>
      <c r="D710" s="79"/>
      <c r="J710" s="79"/>
      <c r="O710" s="79"/>
      <c r="P710" s="79"/>
      <c r="S710" s="79"/>
      <c r="T710" s="79"/>
      <c r="W710" s="130"/>
      <c r="Y710" s="106"/>
    </row>
    <row r="711">
      <c r="C711" s="79"/>
      <c r="D711" s="79"/>
      <c r="J711" s="79"/>
      <c r="O711" s="79"/>
      <c r="P711" s="79"/>
      <c r="S711" s="79"/>
      <c r="T711" s="79"/>
      <c r="W711" s="130"/>
      <c r="Y711" s="106"/>
    </row>
    <row r="712">
      <c r="C712" s="79"/>
      <c r="D712" s="79"/>
      <c r="J712" s="79"/>
      <c r="O712" s="79"/>
      <c r="P712" s="79"/>
      <c r="S712" s="79"/>
      <c r="T712" s="79"/>
      <c r="W712" s="130"/>
      <c r="Y712" s="106"/>
    </row>
    <row r="713">
      <c r="C713" s="79"/>
      <c r="D713" s="79"/>
      <c r="J713" s="79"/>
      <c r="O713" s="79"/>
      <c r="P713" s="79"/>
      <c r="S713" s="79"/>
      <c r="T713" s="79"/>
      <c r="W713" s="130"/>
      <c r="Y713" s="106"/>
    </row>
    <row r="714">
      <c r="C714" s="79"/>
      <c r="D714" s="79"/>
      <c r="J714" s="79"/>
      <c r="O714" s="79"/>
      <c r="P714" s="79"/>
      <c r="S714" s="79"/>
      <c r="T714" s="79"/>
      <c r="W714" s="130"/>
      <c r="Y714" s="106"/>
    </row>
    <row r="715">
      <c r="C715" s="79"/>
      <c r="D715" s="79"/>
      <c r="J715" s="79"/>
      <c r="O715" s="79"/>
      <c r="P715" s="79"/>
      <c r="S715" s="79"/>
      <c r="T715" s="79"/>
      <c r="W715" s="130"/>
      <c r="Y715" s="106"/>
    </row>
    <row r="716">
      <c r="C716" s="79"/>
      <c r="D716" s="79"/>
      <c r="J716" s="79"/>
      <c r="O716" s="79"/>
      <c r="P716" s="79"/>
      <c r="S716" s="79"/>
      <c r="T716" s="79"/>
      <c r="W716" s="130"/>
      <c r="Y716" s="106"/>
    </row>
    <row r="717">
      <c r="C717" s="79"/>
      <c r="D717" s="79"/>
      <c r="J717" s="79"/>
      <c r="O717" s="79"/>
      <c r="P717" s="79"/>
      <c r="S717" s="79"/>
      <c r="T717" s="79"/>
      <c r="W717" s="130"/>
      <c r="Y717" s="106"/>
    </row>
    <row r="718">
      <c r="C718" s="79"/>
      <c r="D718" s="79"/>
      <c r="J718" s="79"/>
      <c r="O718" s="79"/>
      <c r="P718" s="79"/>
      <c r="S718" s="79"/>
      <c r="T718" s="79"/>
      <c r="W718" s="130"/>
      <c r="Y718" s="106"/>
    </row>
    <row r="719">
      <c r="C719" s="79"/>
      <c r="D719" s="79"/>
      <c r="J719" s="79"/>
      <c r="O719" s="79"/>
      <c r="P719" s="79"/>
      <c r="S719" s="79"/>
      <c r="T719" s="79"/>
      <c r="W719" s="130"/>
      <c r="Y719" s="106"/>
    </row>
    <row r="720">
      <c r="C720" s="79"/>
      <c r="D720" s="79"/>
      <c r="J720" s="79"/>
      <c r="O720" s="79"/>
      <c r="P720" s="79"/>
      <c r="S720" s="79"/>
      <c r="T720" s="79"/>
      <c r="W720" s="130"/>
      <c r="Y720" s="106"/>
    </row>
    <row r="721">
      <c r="C721" s="79"/>
      <c r="D721" s="79"/>
      <c r="J721" s="79"/>
      <c r="O721" s="79"/>
      <c r="P721" s="79"/>
      <c r="S721" s="79"/>
      <c r="T721" s="79"/>
      <c r="W721" s="130"/>
      <c r="Y721" s="106"/>
    </row>
    <row r="722">
      <c r="C722" s="79"/>
      <c r="D722" s="79"/>
      <c r="J722" s="79"/>
      <c r="O722" s="79"/>
      <c r="P722" s="79"/>
      <c r="S722" s="79"/>
      <c r="T722" s="79"/>
      <c r="W722" s="130"/>
      <c r="Y722" s="106"/>
    </row>
    <row r="723">
      <c r="C723" s="79"/>
      <c r="D723" s="79"/>
      <c r="J723" s="79"/>
      <c r="O723" s="79"/>
      <c r="P723" s="79"/>
      <c r="S723" s="79"/>
      <c r="T723" s="79"/>
      <c r="W723" s="130"/>
      <c r="Y723" s="106"/>
    </row>
    <row r="724">
      <c r="C724" s="79"/>
      <c r="D724" s="79"/>
      <c r="J724" s="79"/>
      <c r="O724" s="79"/>
      <c r="P724" s="79"/>
      <c r="S724" s="79"/>
      <c r="T724" s="79"/>
      <c r="W724" s="130"/>
      <c r="Y724" s="106"/>
    </row>
    <row r="725">
      <c r="C725" s="79"/>
      <c r="D725" s="79"/>
      <c r="J725" s="79"/>
      <c r="O725" s="79"/>
      <c r="P725" s="79"/>
      <c r="S725" s="79"/>
      <c r="T725" s="79"/>
      <c r="W725" s="130"/>
      <c r="Y725" s="106"/>
    </row>
    <row r="726">
      <c r="C726" s="79"/>
      <c r="D726" s="79"/>
      <c r="J726" s="79"/>
      <c r="O726" s="79"/>
      <c r="P726" s="79"/>
      <c r="S726" s="79"/>
      <c r="T726" s="79"/>
      <c r="W726" s="130"/>
      <c r="Y726" s="106"/>
    </row>
    <row r="727">
      <c r="C727" s="79"/>
      <c r="D727" s="79"/>
      <c r="J727" s="79"/>
      <c r="O727" s="79"/>
      <c r="P727" s="79"/>
      <c r="S727" s="79"/>
      <c r="T727" s="79"/>
      <c r="W727" s="130"/>
      <c r="Y727" s="106"/>
    </row>
    <row r="728">
      <c r="C728" s="79"/>
      <c r="D728" s="79"/>
      <c r="J728" s="79"/>
      <c r="O728" s="79"/>
      <c r="P728" s="79"/>
      <c r="S728" s="79"/>
      <c r="T728" s="79"/>
      <c r="W728" s="130"/>
      <c r="Y728" s="106"/>
    </row>
    <row r="729">
      <c r="C729" s="79"/>
      <c r="D729" s="79"/>
      <c r="J729" s="79"/>
      <c r="O729" s="79"/>
      <c r="P729" s="79"/>
      <c r="S729" s="79"/>
      <c r="T729" s="79"/>
      <c r="W729" s="130"/>
      <c r="Y729" s="106"/>
    </row>
    <row r="730">
      <c r="C730" s="79"/>
      <c r="D730" s="79"/>
      <c r="J730" s="79"/>
      <c r="O730" s="79"/>
      <c r="P730" s="79"/>
      <c r="S730" s="79"/>
      <c r="T730" s="79"/>
      <c r="W730" s="130"/>
      <c r="Y730" s="106"/>
    </row>
    <row r="731">
      <c r="C731" s="79"/>
      <c r="D731" s="79"/>
      <c r="J731" s="79"/>
      <c r="O731" s="79"/>
      <c r="P731" s="79"/>
      <c r="S731" s="79"/>
      <c r="T731" s="79"/>
      <c r="W731" s="130"/>
      <c r="Y731" s="106"/>
    </row>
    <row r="732">
      <c r="C732" s="79"/>
      <c r="D732" s="79"/>
      <c r="J732" s="79"/>
      <c r="O732" s="79"/>
      <c r="P732" s="79"/>
      <c r="S732" s="79"/>
      <c r="T732" s="79"/>
      <c r="W732" s="130"/>
      <c r="Y732" s="106"/>
    </row>
    <row r="733">
      <c r="C733" s="79"/>
      <c r="D733" s="79"/>
      <c r="J733" s="79"/>
      <c r="O733" s="79"/>
      <c r="P733" s="79"/>
      <c r="S733" s="79"/>
      <c r="T733" s="79"/>
      <c r="W733" s="130"/>
      <c r="Y733" s="106"/>
    </row>
    <row r="734">
      <c r="C734" s="79"/>
      <c r="D734" s="79"/>
      <c r="J734" s="79"/>
      <c r="O734" s="79"/>
      <c r="P734" s="79"/>
      <c r="S734" s="79"/>
      <c r="T734" s="79"/>
      <c r="W734" s="130"/>
      <c r="Y734" s="106"/>
    </row>
    <row r="735">
      <c r="C735" s="79"/>
      <c r="D735" s="79"/>
      <c r="J735" s="79"/>
      <c r="O735" s="79"/>
      <c r="P735" s="79"/>
      <c r="S735" s="79"/>
      <c r="T735" s="79"/>
      <c r="W735" s="130"/>
      <c r="Y735" s="106"/>
    </row>
    <row r="736">
      <c r="C736" s="79"/>
      <c r="D736" s="79"/>
      <c r="J736" s="79"/>
      <c r="O736" s="79"/>
      <c r="P736" s="79"/>
      <c r="S736" s="79"/>
      <c r="T736" s="79"/>
      <c r="W736" s="130"/>
      <c r="Y736" s="106"/>
    </row>
    <row r="737">
      <c r="C737" s="79"/>
      <c r="D737" s="79"/>
      <c r="J737" s="79"/>
      <c r="O737" s="79"/>
      <c r="P737" s="79"/>
      <c r="S737" s="79"/>
      <c r="T737" s="79"/>
      <c r="W737" s="130"/>
      <c r="Y737" s="106"/>
    </row>
    <row r="738">
      <c r="C738" s="79"/>
      <c r="D738" s="79"/>
      <c r="J738" s="79"/>
      <c r="O738" s="79"/>
      <c r="P738" s="79"/>
      <c r="S738" s="79"/>
      <c r="T738" s="79"/>
      <c r="W738" s="130"/>
      <c r="Y738" s="106"/>
    </row>
    <row r="739">
      <c r="C739" s="79"/>
      <c r="D739" s="79"/>
      <c r="J739" s="79"/>
      <c r="O739" s="79"/>
      <c r="P739" s="79"/>
      <c r="S739" s="79"/>
      <c r="T739" s="79"/>
      <c r="W739" s="130"/>
      <c r="Y739" s="106"/>
    </row>
    <row r="740">
      <c r="C740" s="79"/>
      <c r="D740" s="79"/>
      <c r="J740" s="79"/>
      <c r="O740" s="79"/>
      <c r="P740" s="79"/>
      <c r="S740" s="79"/>
      <c r="T740" s="79"/>
      <c r="W740" s="130"/>
      <c r="Y740" s="106"/>
    </row>
    <row r="741">
      <c r="C741" s="79"/>
      <c r="D741" s="79"/>
      <c r="J741" s="79"/>
      <c r="O741" s="79"/>
      <c r="P741" s="79"/>
      <c r="S741" s="79"/>
      <c r="T741" s="79"/>
      <c r="W741" s="130"/>
      <c r="Y741" s="106"/>
    </row>
    <row r="742">
      <c r="C742" s="79"/>
      <c r="D742" s="79"/>
      <c r="J742" s="79"/>
      <c r="O742" s="79"/>
      <c r="P742" s="79"/>
      <c r="S742" s="79"/>
      <c r="T742" s="79"/>
      <c r="W742" s="130"/>
      <c r="Y742" s="106"/>
    </row>
    <row r="743">
      <c r="C743" s="79"/>
      <c r="D743" s="79"/>
      <c r="J743" s="79"/>
      <c r="O743" s="79"/>
      <c r="P743" s="79"/>
      <c r="S743" s="79"/>
      <c r="T743" s="79"/>
      <c r="W743" s="130"/>
      <c r="Y743" s="106"/>
    </row>
    <row r="744">
      <c r="C744" s="79"/>
      <c r="D744" s="79"/>
      <c r="J744" s="79"/>
      <c r="O744" s="79"/>
      <c r="P744" s="79"/>
      <c r="S744" s="79"/>
      <c r="T744" s="79"/>
      <c r="W744" s="130"/>
      <c r="Y744" s="106"/>
    </row>
    <row r="745">
      <c r="C745" s="79"/>
      <c r="D745" s="79"/>
      <c r="J745" s="79"/>
      <c r="O745" s="79"/>
      <c r="P745" s="79"/>
      <c r="S745" s="79"/>
      <c r="T745" s="79"/>
      <c r="W745" s="130"/>
      <c r="Y745" s="106"/>
    </row>
    <row r="746">
      <c r="C746" s="79"/>
      <c r="D746" s="79"/>
      <c r="J746" s="79"/>
      <c r="O746" s="79"/>
      <c r="P746" s="79"/>
      <c r="S746" s="79"/>
      <c r="T746" s="79"/>
      <c r="W746" s="130"/>
      <c r="Y746" s="106"/>
    </row>
    <row r="747">
      <c r="C747" s="79"/>
      <c r="D747" s="79"/>
      <c r="J747" s="79"/>
      <c r="O747" s="79"/>
      <c r="P747" s="79"/>
      <c r="S747" s="79"/>
      <c r="T747" s="79"/>
      <c r="W747" s="130"/>
      <c r="Y747" s="106"/>
    </row>
    <row r="748">
      <c r="C748" s="79"/>
      <c r="D748" s="79"/>
      <c r="J748" s="79"/>
      <c r="O748" s="79"/>
      <c r="P748" s="79"/>
      <c r="S748" s="79"/>
      <c r="T748" s="79"/>
      <c r="W748" s="130"/>
      <c r="Y748" s="106"/>
    </row>
    <row r="749">
      <c r="C749" s="79"/>
      <c r="D749" s="79"/>
      <c r="J749" s="79"/>
      <c r="O749" s="79"/>
      <c r="P749" s="79"/>
      <c r="S749" s="79"/>
      <c r="T749" s="79"/>
      <c r="W749" s="130"/>
      <c r="Y749" s="106"/>
    </row>
    <row r="750">
      <c r="C750" s="79"/>
      <c r="D750" s="79"/>
      <c r="J750" s="79"/>
      <c r="O750" s="79"/>
      <c r="P750" s="79"/>
      <c r="S750" s="79"/>
      <c r="T750" s="79"/>
      <c r="W750" s="130"/>
      <c r="Y750" s="106"/>
    </row>
    <row r="751">
      <c r="C751" s="79"/>
      <c r="D751" s="79"/>
      <c r="J751" s="79"/>
      <c r="O751" s="79"/>
      <c r="P751" s="79"/>
      <c r="S751" s="79"/>
      <c r="T751" s="79"/>
      <c r="W751" s="130"/>
      <c r="Y751" s="106"/>
    </row>
    <row r="752">
      <c r="C752" s="79"/>
      <c r="D752" s="79"/>
      <c r="J752" s="79"/>
      <c r="O752" s="79"/>
      <c r="P752" s="79"/>
      <c r="S752" s="79"/>
      <c r="T752" s="79"/>
      <c r="W752" s="130"/>
      <c r="Y752" s="106"/>
    </row>
    <row r="753">
      <c r="C753" s="79"/>
      <c r="D753" s="79"/>
      <c r="J753" s="79"/>
      <c r="O753" s="79"/>
      <c r="P753" s="79"/>
      <c r="S753" s="79"/>
      <c r="T753" s="79"/>
      <c r="W753" s="130"/>
      <c r="Y753" s="106"/>
    </row>
    <row r="754">
      <c r="C754" s="79"/>
      <c r="D754" s="79"/>
      <c r="J754" s="79"/>
      <c r="O754" s="79"/>
      <c r="P754" s="79"/>
      <c r="S754" s="79"/>
      <c r="T754" s="79"/>
      <c r="W754" s="130"/>
      <c r="Y754" s="106"/>
    </row>
    <row r="755">
      <c r="C755" s="79"/>
      <c r="D755" s="79"/>
      <c r="J755" s="79"/>
      <c r="O755" s="79"/>
      <c r="P755" s="79"/>
      <c r="S755" s="79"/>
      <c r="T755" s="79"/>
      <c r="W755" s="130"/>
      <c r="Y755" s="106"/>
    </row>
    <row r="756">
      <c r="C756" s="79"/>
      <c r="D756" s="79"/>
      <c r="J756" s="79"/>
      <c r="O756" s="79"/>
      <c r="P756" s="79"/>
      <c r="S756" s="79"/>
      <c r="T756" s="79"/>
      <c r="W756" s="130"/>
      <c r="Y756" s="106"/>
    </row>
    <row r="757">
      <c r="C757" s="79"/>
      <c r="D757" s="79"/>
      <c r="J757" s="79"/>
      <c r="O757" s="79"/>
      <c r="P757" s="79"/>
      <c r="S757" s="79"/>
      <c r="T757" s="79"/>
      <c r="W757" s="130"/>
      <c r="Y757" s="106"/>
    </row>
    <row r="758">
      <c r="C758" s="79"/>
      <c r="D758" s="79"/>
      <c r="J758" s="79"/>
      <c r="O758" s="79"/>
      <c r="P758" s="79"/>
      <c r="S758" s="79"/>
      <c r="T758" s="79"/>
      <c r="W758" s="130"/>
      <c r="Y758" s="106"/>
    </row>
    <row r="759">
      <c r="C759" s="79"/>
      <c r="D759" s="79"/>
      <c r="J759" s="79"/>
      <c r="O759" s="79"/>
      <c r="P759" s="79"/>
      <c r="S759" s="79"/>
      <c r="T759" s="79"/>
      <c r="W759" s="130"/>
      <c r="Y759" s="106"/>
    </row>
    <row r="760">
      <c r="C760" s="79"/>
      <c r="D760" s="79"/>
      <c r="J760" s="79"/>
      <c r="O760" s="79"/>
      <c r="P760" s="79"/>
      <c r="S760" s="79"/>
      <c r="T760" s="79"/>
      <c r="W760" s="130"/>
      <c r="Y760" s="106"/>
    </row>
    <row r="761">
      <c r="C761" s="79"/>
      <c r="D761" s="79"/>
      <c r="J761" s="79"/>
      <c r="O761" s="79"/>
      <c r="P761" s="79"/>
      <c r="S761" s="79"/>
      <c r="T761" s="79"/>
      <c r="W761" s="130"/>
      <c r="Y761" s="106"/>
    </row>
    <row r="762">
      <c r="C762" s="79"/>
      <c r="D762" s="79"/>
      <c r="J762" s="79"/>
      <c r="O762" s="79"/>
      <c r="P762" s="79"/>
      <c r="S762" s="79"/>
      <c r="T762" s="79"/>
      <c r="W762" s="130"/>
      <c r="Y762" s="106"/>
    </row>
    <row r="763">
      <c r="C763" s="79"/>
      <c r="D763" s="79"/>
      <c r="J763" s="79"/>
      <c r="O763" s="79"/>
      <c r="P763" s="79"/>
      <c r="S763" s="79"/>
      <c r="T763" s="79"/>
      <c r="W763" s="130"/>
      <c r="Y763" s="106"/>
    </row>
    <row r="764">
      <c r="C764" s="79"/>
      <c r="D764" s="79"/>
      <c r="J764" s="79"/>
      <c r="O764" s="79"/>
      <c r="P764" s="79"/>
      <c r="S764" s="79"/>
      <c r="T764" s="79"/>
      <c r="W764" s="130"/>
      <c r="Y764" s="106"/>
    </row>
    <row r="765">
      <c r="C765" s="79"/>
      <c r="D765" s="79"/>
      <c r="J765" s="79"/>
      <c r="O765" s="79"/>
      <c r="P765" s="79"/>
      <c r="S765" s="79"/>
      <c r="T765" s="79"/>
      <c r="W765" s="130"/>
      <c r="Y765" s="106"/>
    </row>
    <row r="766">
      <c r="C766" s="79"/>
      <c r="D766" s="79"/>
      <c r="J766" s="79"/>
      <c r="O766" s="79"/>
      <c r="P766" s="79"/>
      <c r="S766" s="79"/>
      <c r="T766" s="79"/>
      <c r="W766" s="130"/>
      <c r="Y766" s="106"/>
    </row>
    <row r="767">
      <c r="C767" s="79"/>
      <c r="D767" s="79"/>
      <c r="J767" s="79"/>
      <c r="O767" s="79"/>
      <c r="P767" s="79"/>
      <c r="S767" s="79"/>
      <c r="T767" s="79"/>
      <c r="W767" s="130"/>
      <c r="Y767" s="106"/>
    </row>
    <row r="768">
      <c r="C768" s="79"/>
      <c r="D768" s="79"/>
      <c r="J768" s="79"/>
      <c r="O768" s="79"/>
      <c r="P768" s="79"/>
      <c r="S768" s="79"/>
      <c r="T768" s="79"/>
      <c r="W768" s="130"/>
      <c r="Y768" s="106"/>
    </row>
    <row r="769">
      <c r="C769" s="79"/>
      <c r="D769" s="79"/>
      <c r="J769" s="79"/>
      <c r="O769" s="79"/>
      <c r="P769" s="79"/>
      <c r="S769" s="79"/>
      <c r="T769" s="79"/>
      <c r="W769" s="130"/>
      <c r="Y769" s="106"/>
    </row>
    <row r="770">
      <c r="C770" s="79"/>
      <c r="D770" s="79"/>
      <c r="J770" s="79"/>
      <c r="O770" s="79"/>
      <c r="P770" s="79"/>
      <c r="S770" s="79"/>
      <c r="T770" s="79"/>
      <c r="W770" s="130"/>
      <c r="Y770" s="106"/>
    </row>
    <row r="771">
      <c r="C771" s="79"/>
      <c r="D771" s="79"/>
      <c r="J771" s="79"/>
      <c r="O771" s="79"/>
      <c r="P771" s="79"/>
      <c r="S771" s="79"/>
      <c r="T771" s="79"/>
      <c r="W771" s="130"/>
      <c r="Y771" s="106"/>
    </row>
    <row r="772">
      <c r="C772" s="79"/>
      <c r="D772" s="79"/>
      <c r="J772" s="79"/>
      <c r="O772" s="79"/>
      <c r="P772" s="79"/>
      <c r="S772" s="79"/>
      <c r="T772" s="79"/>
      <c r="W772" s="130"/>
      <c r="Y772" s="106"/>
    </row>
    <row r="773">
      <c r="C773" s="79"/>
      <c r="D773" s="79"/>
      <c r="J773" s="79"/>
      <c r="O773" s="79"/>
      <c r="P773" s="79"/>
      <c r="S773" s="79"/>
      <c r="T773" s="79"/>
      <c r="W773" s="130"/>
      <c r="Y773" s="106"/>
    </row>
    <row r="774">
      <c r="C774" s="79"/>
      <c r="D774" s="79"/>
      <c r="J774" s="79"/>
      <c r="O774" s="79"/>
      <c r="P774" s="79"/>
      <c r="S774" s="79"/>
      <c r="T774" s="79"/>
      <c r="W774" s="130"/>
      <c r="Y774" s="106"/>
    </row>
    <row r="775">
      <c r="C775" s="79"/>
      <c r="D775" s="79"/>
      <c r="J775" s="79"/>
      <c r="O775" s="79"/>
      <c r="P775" s="79"/>
      <c r="S775" s="79"/>
      <c r="T775" s="79"/>
      <c r="W775" s="130"/>
      <c r="Y775" s="106"/>
    </row>
    <row r="776">
      <c r="C776" s="79"/>
      <c r="D776" s="79"/>
      <c r="J776" s="79"/>
      <c r="O776" s="79"/>
      <c r="P776" s="79"/>
      <c r="S776" s="79"/>
      <c r="T776" s="79"/>
      <c r="W776" s="130"/>
      <c r="Y776" s="106"/>
    </row>
    <row r="777">
      <c r="C777" s="79"/>
      <c r="D777" s="79"/>
      <c r="J777" s="79"/>
      <c r="O777" s="79"/>
      <c r="P777" s="79"/>
      <c r="S777" s="79"/>
      <c r="T777" s="79"/>
      <c r="W777" s="130"/>
      <c r="Y777" s="106"/>
    </row>
    <row r="778">
      <c r="C778" s="79"/>
      <c r="D778" s="79"/>
      <c r="J778" s="79"/>
      <c r="O778" s="79"/>
      <c r="P778" s="79"/>
      <c r="S778" s="79"/>
      <c r="T778" s="79"/>
      <c r="W778" s="130"/>
      <c r="Y778" s="106"/>
    </row>
    <row r="779">
      <c r="C779" s="79"/>
      <c r="D779" s="79"/>
      <c r="J779" s="79"/>
      <c r="O779" s="79"/>
      <c r="P779" s="79"/>
      <c r="S779" s="79"/>
      <c r="T779" s="79"/>
      <c r="W779" s="130"/>
      <c r="Y779" s="106"/>
    </row>
    <row r="780">
      <c r="C780" s="79"/>
      <c r="D780" s="79"/>
      <c r="J780" s="79"/>
      <c r="O780" s="79"/>
      <c r="P780" s="79"/>
      <c r="S780" s="79"/>
      <c r="T780" s="79"/>
      <c r="W780" s="130"/>
      <c r="Y780" s="106"/>
    </row>
    <row r="781">
      <c r="C781" s="79"/>
      <c r="D781" s="79"/>
      <c r="J781" s="79"/>
      <c r="O781" s="79"/>
      <c r="P781" s="79"/>
      <c r="S781" s="79"/>
      <c r="T781" s="79"/>
      <c r="W781" s="130"/>
      <c r="Y781" s="106"/>
    </row>
    <row r="782">
      <c r="C782" s="79"/>
      <c r="D782" s="79"/>
      <c r="J782" s="79"/>
      <c r="O782" s="79"/>
      <c r="P782" s="79"/>
      <c r="S782" s="79"/>
      <c r="T782" s="79"/>
      <c r="W782" s="130"/>
      <c r="Y782" s="106"/>
    </row>
    <row r="783">
      <c r="C783" s="79"/>
      <c r="D783" s="79"/>
      <c r="J783" s="79"/>
      <c r="O783" s="79"/>
      <c r="P783" s="79"/>
      <c r="S783" s="79"/>
      <c r="T783" s="79"/>
      <c r="W783" s="130"/>
      <c r="Y783" s="106"/>
    </row>
    <row r="784">
      <c r="C784" s="79"/>
      <c r="D784" s="79"/>
      <c r="J784" s="79"/>
      <c r="O784" s="79"/>
      <c r="P784" s="79"/>
      <c r="S784" s="79"/>
      <c r="T784" s="79"/>
      <c r="W784" s="130"/>
      <c r="Y784" s="106"/>
    </row>
    <row r="785">
      <c r="C785" s="79"/>
      <c r="D785" s="79"/>
      <c r="J785" s="79"/>
      <c r="O785" s="79"/>
      <c r="P785" s="79"/>
      <c r="S785" s="79"/>
      <c r="T785" s="79"/>
      <c r="W785" s="130"/>
      <c r="Y785" s="106"/>
    </row>
    <row r="786">
      <c r="C786" s="79"/>
      <c r="D786" s="79"/>
      <c r="J786" s="79"/>
      <c r="O786" s="79"/>
      <c r="P786" s="79"/>
      <c r="S786" s="79"/>
      <c r="T786" s="79"/>
      <c r="W786" s="130"/>
      <c r="Y786" s="106"/>
    </row>
    <row r="787">
      <c r="C787" s="79"/>
      <c r="D787" s="79"/>
      <c r="J787" s="79"/>
      <c r="O787" s="79"/>
      <c r="P787" s="79"/>
      <c r="S787" s="79"/>
      <c r="T787" s="79"/>
      <c r="W787" s="130"/>
      <c r="Y787" s="106"/>
    </row>
    <row r="788">
      <c r="C788" s="79"/>
      <c r="D788" s="79"/>
      <c r="J788" s="79"/>
      <c r="O788" s="79"/>
      <c r="P788" s="79"/>
      <c r="S788" s="79"/>
      <c r="T788" s="79"/>
      <c r="W788" s="130"/>
      <c r="Y788" s="106"/>
    </row>
    <row r="789">
      <c r="C789" s="79"/>
      <c r="D789" s="79"/>
      <c r="J789" s="79"/>
      <c r="O789" s="79"/>
      <c r="P789" s="79"/>
      <c r="S789" s="79"/>
      <c r="T789" s="79"/>
      <c r="W789" s="130"/>
      <c r="Y789" s="106"/>
    </row>
    <row r="790">
      <c r="C790" s="79"/>
      <c r="D790" s="79"/>
      <c r="J790" s="79"/>
      <c r="O790" s="79"/>
      <c r="P790" s="79"/>
      <c r="S790" s="79"/>
      <c r="T790" s="79"/>
      <c r="W790" s="130"/>
      <c r="Y790" s="106"/>
    </row>
    <row r="791">
      <c r="C791" s="79"/>
      <c r="D791" s="79"/>
      <c r="J791" s="79"/>
      <c r="O791" s="79"/>
      <c r="P791" s="79"/>
      <c r="S791" s="79"/>
      <c r="T791" s="79"/>
      <c r="W791" s="130"/>
      <c r="Y791" s="106"/>
    </row>
    <row r="792">
      <c r="C792" s="79"/>
      <c r="D792" s="79"/>
      <c r="J792" s="79"/>
      <c r="O792" s="79"/>
      <c r="P792" s="79"/>
      <c r="S792" s="79"/>
      <c r="T792" s="79"/>
      <c r="W792" s="130"/>
      <c r="Y792" s="106"/>
    </row>
    <row r="793">
      <c r="C793" s="79"/>
      <c r="D793" s="79"/>
      <c r="J793" s="79"/>
      <c r="O793" s="79"/>
      <c r="P793" s="79"/>
      <c r="S793" s="79"/>
      <c r="T793" s="79"/>
      <c r="W793" s="130"/>
      <c r="Y793" s="106"/>
    </row>
    <row r="794">
      <c r="C794" s="79"/>
      <c r="D794" s="79"/>
      <c r="J794" s="79"/>
      <c r="O794" s="79"/>
      <c r="P794" s="79"/>
      <c r="S794" s="79"/>
      <c r="T794" s="79"/>
      <c r="W794" s="130"/>
      <c r="Y794" s="106"/>
    </row>
    <row r="795">
      <c r="C795" s="79"/>
      <c r="D795" s="79"/>
      <c r="J795" s="79"/>
      <c r="O795" s="79"/>
      <c r="P795" s="79"/>
      <c r="S795" s="79"/>
      <c r="T795" s="79"/>
      <c r="W795" s="130"/>
      <c r="Y795" s="106"/>
    </row>
    <row r="796">
      <c r="C796" s="79"/>
      <c r="D796" s="79"/>
      <c r="J796" s="79"/>
      <c r="O796" s="79"/>
      <c r="P796" s="79"/>
      <c r="S796" s="79"/>
      <c r="T796" s="79"/>
      <c r="W796" s="130"/>
      <c r="Y796" s="106"/>
    </row>
    <row r="797">
      <c r="C797" s="79"/>
      <c r="D797" s="79"/>
      <c r="J797" s="79"/>
      <c r="O797" s="79"/>
      <c r="P797" s="79"/>
      <c r="S797" s="79"/>
      <c r="T797" s="79"/>
      <c r="W797" s="130"/>
      <c r="Y797" s="106"/>
    </row>
    <row r="798">
      <c r="C798" s="79"/>
      <c r="D798" s="79"/>
      <c r="J798" s="79"/>
      <c r="O798" s="79"/>
      <c r="P798" s="79"/>
      <c r="S798" s="79"/>
      <c r="T798" s="79"/>
      <c r="W798" s="130"/>
      <c r="Y798" s="106"/>
    </row>
    <row r="799">
      <c r="C799" s="79"/>
      <c r="D799" s="79"/>
      <c r="J799" s="79"/>
      <c r="O799" s="79"/>
      <c r="P799" s="79"/>
      <c r="S799" s="79"/>
      <c r="T799" s="79"/>
      <c r="W799" s="130"/>
      <c r="Y799" s="106"/>
    </row>
    <row r="800">
      <c r="C800" s="79"/>
      <c r="D800" s="79"/>
      <c r="J800" s="79"/>
      <c r="O800" s="79"/>
      <c r="P800" s="79"/>
      <c r="S800" s="79"/>
      <c r="T800" s="79"/>
      <c r="W800" s="130"/>
      <c r="Y800" s="106"/>
    </row>
    <row r="801">
      <c r="C801" s="79"/>
      <c r="D801" s="79"/>
      <c r="J801" s="79"/>
      <c r="O801" s="79"/>
      <c r="P801" s="79"/>
      <c r="S801" s="79"/>
      <c r="T801" s="79"/>
      <c r="W801" s="130"/>
      <c r="Y801" s="106"/>
    </row>
    <row r="802">
      <c r="C802" s="79"/>
      <c r="D802" s="79"/>
      <c r="J802" s="79"/>
      <c r="O802" s="79"/>
      <c r="P802" s="79"/>
      <c r="S802" s="79"/>
      <c r="T802" s="79"/>
      <c r="W802" s="130"/>
      <c r="Y802" s="106"/>
    </row>
    <row r="803">
      <c r="C803" s="79"/>
      <c r="D803" s="79"/>
      <c r="J803" s="79"/>
      <c r="O803" s="79"/>
      <c r="P803" s="79"/>
      <c r="S803" s="79"/>
      <c r="T803" s="79"/>
      <c r="W803" s="130"/>
      <c r="Y803" s="106"/>
    </row>
    <row r="804">
      <c r="C804" s="79"/>
      <c r="D804" s="79"/>
      <c r="J804" s="79"/>
      <c r="O804" s="79"/>
      <c r="P804" s="79"/>
      <c r="S804" s="79"/>
      <c r="T804" s="79"/>
      <c r="W804" s="130"/>
      <c r="Y804" s="106"/>
    </row>
    <row r="805">
      <c r="C805" s="79"/>
      <c r="D805" s="79"/>
      <c r="J805" s="79"/>
      <c r="O805" s="79"/>
      <c r="P805" s="79"/>
      <c r="S805" s="79"/>
      <c r="T805" s="79"/>
      <c r="W805" s="130"/>
      <c r="Y805" s="106"/>
    </row>
    <row r="806">
      <c r="C806" s="79"/>
      <c r="D806" s="79"/>
      <c r="J806" s="79"/>
      <c r="O806" s="79"/>
      <c r="P806" s="79"/>
      <c r="S806" s="79"/>
      <c r="T806" s="79"/>
      <c r="W806" s="130"/>
      <c r="Y806" s="106"/>
    </row>
    <row r="807">
      <c r="C807" s="79"/>
      <c r="D807" s="79"/>
      <c r="J807" s="79"/>
      <c r="O807" s="79"/>
      <c r="P807" s="79"/>
      <c r="S807" s="79"/>
      <c r="T807" s="79"/>
      <c r="W807" s="130"/>
      <c r="Y807" s="106"/>
    </row>
    <row r="808">
      <c r="C808" s="79"/>
      <c r="D808" s="79"/>
      <c r="J808" s="79"/>
      <c r="O808" s="79"/>
      <c r="P808" s="79"/>
      <c r="S808" s="79"/>
      <c r="T808" s="79"/>
      <c r="W808" s="130"/>
      <c r="Y808" s="106"/>
    </row>
    <row r="809">
      <c r="C809" s="79"/>
      <c r="D809" s="79"/>
      <c r="J809" s="79"/>
      <c r="O809" s="79"/>
      <c r="P809" s="79"/>
      <c r="S809" s="79"/>
      <c r="T809" s="79"/>
      <c r="W809" s="130"/>
      <c r="Y809" s="106"/>
    </row>
    <row r="810">
      <c r="C810" s="79"/>
      <c r="D810" s="79"/>
      <c r="J810" s="79"/>
      <c r="O810" s="79"/>
      <c r="P810" s="79"/>
      <c r="S810" s="79"/>
      <c r="T810" s="79"/>
      <c r="W810" s="130"/>
      <c r="Y810" s="106"/>
    </row>
    <row r="811">
      <c r="C811" s="79"/>
      <c r="D811" s="79"/>
      <c r="J811" s="79"/>
      <c r="O811" s="79"/>
      <c r="P811" s="79"/>
      <c r="S811" s="79"/>
      <c r="T811" s="79"/>
      <c r="W811" s="130"/>
      <c r="Y811" s="106"/>
    </row>
    <row r="812">
      <c r="C812" s="79"/>
      <c r="D812" s="79"/>
      <c r="J812" s="79"/>
      <c r="O812" s="79"/>
      <c r="P812" s="79"/>
      <c r="S812" s="79"/>
      <c r="T812" s="79"/>
      <c r="W812" s="130"/>
      <c r="Y812" s="106"/>
    </row>
    <row r="813">
      <c r="C813" s="79"/>
      <c r="D813" s="79"/>
      <c r="J813" s="79"/>
      <c r="O813" s="79"/>
      <c r="P813" s="79"/>
      <c r="S813" s="79"/>
      <c r="T813" s="79"/>
      <c r="W813" s="130"/>
      <c r="Y813" s="106"/>
    </row>
    <row r="814">
      <c r="C814" s="79"/>
      <c r="D814" s="79"/>
      <c r="J814" s="79"/>
      <c r="O814" s="79"/>
      <c r="P814" s="79"/>
      <c r="S814" s="79"/>
      <c r="T814" s="79"/>
      <c r="W814" s="130"/>
      <c r="Y814" s="106"/>
    </row>
    <row r="815">
      <c r="C815" s="79"/>
      <c r="D815" s="79"/>
      <c r="J815" s="79"/>
      <c r="O815" s="79"/>
      <c r="P815" s="79"/>
      <c r="S815" s="79"/>
      <c r="T815" s="79"/>
      <c r="W815" s="130"/>
      <c r="Y815" s="106"/>
    </row>
    <row r="816">
      <c r="C816" s="79"/>
      <c r="D816" s="79"/>
      <c r="J816" s="79"/>
      <c r="O816" s="79"/>
      <c r="P816" s="79"/>
      <c r="S816" s="79"/>
      <c r="T816" s="79"/>
      <c r="W816" s="130"/>
      <c r="Y816" s="106"/>
    </row>
    <row r="817">
      <c r="C817" s="79"/>
      <c r="D817" s="79"/>
      <c r="J817" s="79"/>
      <c r="O817" s="79"/>
      <c r="P817" s="79"/>
      <c r="S817" s="79"/>
      <c r="T817" s="79"/>
      <c r="W817" s="130"/>
      <c r="Y817" s="106"/>
    </row>
    <row r="818">
      <c r="C818" s="79"/>
      <c r="D818" s="79"/>
      <c r="J818" s="79"/>
      <c r="O818" s="79"/>
      <c r="P818" s="79"/>
      <c r="S818" s="79"/>
      <c r="T818" s="79"/>
      <c r="W818" s="130"/>
      <c r="Y818" s="106"/>
    </row>
    <row r="819">
      <c r="C819" s="79"/>
      <c r="D819" s="79"/>
      <c r="J819" s="79"/>
      <c r="O819" s="79"/>
      <c r="P819" s="79"/>
      <c r="S819" s="79"/>
      <c r="T819" s="79"/>
      <c r="W819" s="130"/>
      <c r="Y819" s="106"/>
    </row>
    <row r="820">
      <c r="C820" s="79"/>
      <c r="D820" s="79"/>
      <c r="J820" s="79"/>
      <c r="O820" s="79"/>
      <c r="P820" s="79"/>
      <c r="S820" s="79"/>
      <c r="T820" s="79"/>
      <c r="W820" s="130"/>
      <c r="Y820" s="106"/>
    </row>
    <row r="821">
      <c r="C821" s="79"/>
      <c r="D821" s="79"/>
      <c r="J821" s="79"/>
      <c r="O821" s="79"/>
      <c r="P821" s="79"/>
      <c r="S821" s="79"/>
      <c r="T821" s="79"/>
      <c r="W821" s="130"/>
      <c r="Y821" s="106"/>
    </row>
    <row r="822">
      <c r="C822" s="79"/>
      <c r="D822" s="79"/>
      <c r="J822" s="79"/>
      <c r="O822" s="79"/>
      <c r="P822" s="79"/>
      <c r="S822" s="79"/>
      <c r="T822" s="79"/>
      <c r="W822" s="130"/>
      <c r="Y822" s="106"/>
    </row>
    <row r="823">
      <c r="C823" s="79"/>
      <c r="D823" s="79"/>
      <c r="J823" s="79"/>
      <c r="O823" s="79"/>
      <c r="P823" s="79"/>
      <c r="S823" s="79"/>
      <c r="T823" s="79"/>
      <c r="W823" s="130"/>
      <c r="Y823" s="106"/>
    </row>
    <row r="824">
      <c r="C824" s="79"/>
      <c r="D824" s="79"/>
      <c r="J824" s="79"/>
      <c r="O824" s="79"/>
      <c r="P824" s="79"/>
      <c r="S824" s="79"/>
      <c r="T824" s="79"/>
      <c r="W824" s="130"/>
      <c r="Y824" s="106"/>
    </row>
    <row r="825">
      <c r="C825" s="79"/>
      <c r="D825" s="79"/>
      <c r="J825" s="79"/>
      <c r="O825" s="79"/>
      <c r="P825" s="79"/>
      <c r="S825" s="79"/>
      <c r="T825" s="79"/>
      <c r="W825" s="130"/>
      <c r="Y825" s="106"/>
    </row>
    <row r="826">
      <c r="C826" s="79"/>
      <c r="D826" s="79"/>
      <c r="J826" s="79"/>
      <c r="O826" s="79"/>
      <c r="P826" s="79"/>
      <c r="S826" s="79"/>
      <c r="T826" s="79"/>
      <c r="W826" s="130"/>
      <c r="Y826" s="106"/>
    </row>
    <row r="827">
      <c r="C827" s="79"/>
      <c r="D827" s="79"/>
      <c r="J827" s="79"/>
      <c r="O827" s="79"/>
      <c r="P827" s="79"/>
      <c r="S827" s="79"/>
      <c r="T827" s="79"/>
      <c r="W827" s="130"/>
      <c r="Y827" s="106"/>
    </row>
    <row r="828">
      <c r="C828" s="79"/>
      <c r="D828" s="79"/>
      <c r="J828" s="79"/>
      <c r="O828" s="79"/>
      <c r="P828" s="79"/>
      <c r="S828" s="79"/>
      <c r="T828" s="79"/>
      <c r="W828" s="130"/>
      <c r="Y828" s="106"/>
    </row>
    <row r="829">
      <c r="C829" s="79"/>
      <c r="D829" s="79"/>
      <c r="J829" s="79"/>
      <c r="O829" s="79"/>
      <c r="P829" s="79"/>
      <c r="S829" s="79"/>
      <c r="T829" s="79"/>
      <c r="W829" s="130"/>
      <c r="Y829" s="106"/>
    </row>
    <row r="830">
      <c r="C830" s="79"/>
      <c r="D830" s="79"/>
      <c r="J830" s="79"/>
      <c r="O830" s="79"/>
      <c r="P830" s="79"/>
      <c r="S830" s="79"/>
      <c r="T830" s="79"/>
      <c r="W830" s="130"/>
      <c r="Y830" s="106"/>
    </row>
    <row r="831">
      <c r="C831" s="79"/>
      <c r="D831" s="79"/>
      <c r="J831" s="79"/>
      <c r="O831" s="79"/>
      <c r="P831" s="79"/>
      <c r="S831" s="79"/>
      <c r="T831" s="79"/>
      <c r="W831" s="130"/>
      <c r="Y831" s="106"/>
    </row>
    <row r="832">
      <c r="C832" s="79"/>
      <c r="D832" s="79"/>
      <c r="J832" s="79"/>
      <c r="O832" s="79"/>
      <c r="P832" s="79"/>
      <c r="S832" s="79"/>
      <c r="T832" s="79"/>
      <c r="W832" s="130"/>
      <c r="Y832" s="106"/>
    </row>
    <row r="833">
      <c r="C833" s="79"/>
      <c r="D833" s="79"/>
      <c r="J833" s="79"/>
      <c r="O833" s="79"/>
      <c r="P833" s="79"/>
      <c r="S833" s="79"/>
      <c r="T833" s="79"/>
      <c r="W833" s="130"/>
      <c r="Y833" s="106"/>
    </row>
    <row r="834">
      <c r="C834" s="79"/>
      <c r="D834" s="79"/>
      <c r="J834" s="79"/>
      <c r="O834" s="79"/>
      <c r="P834" s="79"/>
      <c r="S834" s="79"/>
      <c r="T834" s="79"/>
      <c r="W834" s="130"/>
      <c r="Y834" s="106"/>
    </row>
    <row r="835">
      <c r="C835" s="79"/>
      <c r="D835" s="79"/>
      <c r="J835" s="79"/>
      <c r="O835" s="79"/>
      <c r="P835" s="79"/>
      <c r="S835" s="79"/>
      <c r="T835" s="79"/>
      <c r="W835" s="130"/>
      <c r="Y835" s="106"/>
    </row>
    <row r="836">
      <c r="C836" s="79"/>
      <c r="D836" s="79"/>
      <c r="J836" s="79"/>
      <c r="O836" s="79"/>
      <c r="P836" s="79"/>
      <c r="S836" s="79"/>
      <c r="T836" s="79"/>
      <c r="W836" s="130"/>
      <c r="Y836" s="106"/>
    </row>
    <row r="837">
      <c r="C837" s="79"/>
      <c r="D837" s="79"/>
      <c r="J837" s="79"/>
      <c r="O837" s="79"/>
      <c r="P837" s="79"/>
      <c r="S837" s="79"/>
      <c r="T837" s="79"/>
      <c r="W837" s="130"/>
      <c r="Y837" s="106"/>
    </row>
    <row r="838">
      <c r="C838" s="79"/>
      <c r="D838" s="79"/>
      <c r="J838" s="79"/>
      <c r="O838" s="79"/>
      <c r="P838" s="79"/>
      <c r="S838" s="79"/>
      <c r="T838" s="79"/>
      <c r="W838" s="130"/>
      <c r="Y838" s="106"/>
    </row>
    <row r="839">
      <c r="C839" s="79"/>
      <c r="D839" s="79"/>
      <c r="J839" s="79"/>
      <c r="O839" s="79"/>
      <c r="P839" s="79"/>
      <c r="S839" s="79"/>
      <c r="T839" s="79"/>
      <c r="W839" s="130"/>
      <c r="Y839" s="106"/>
    </row>
    <row r="840">
      <c r="C840" s="79"/>
      <c r="D840" s="79"/>
      <c r="J840" s="79"/>
      <c r="O840" s="79"/>
      <c r="P840" s="79"/>
      <c r="S840" s="79"/>
      <c r="T840" s="79"/>
      <c r="W840" s="130"/>
      <c r="Y840" s="106"/>
    </row>
    <row r="841">
      <c r="C841" s="79"/>
      <c r="D841" s="79"/>
      <c r="J841" s="79"/>
      <c r="O841" s="79"/>
      <c r="P841" s="79"/>
      <c r="S841" s="79"/>
      <c r="T841" s="79"/>
      <c r="W841" s="130"/>
      <c r="Y841" s="106"/>
    </row>
    <row r="842">
      <c r="C842" s="79"/>
      <c r="D842" s="79"/>
      <c r="J842" s="79"/>
      <c r="O842" s="79"/>
      <c r="P842" s="79"/>
      <c r="S842" s="79"/>
      <c r="T842" s="79"/>
      <c r="W842" s="130"/>
      <c r="Y842" s="106"/>
    </row>
    <row r="843">
      <c r="C843" s="79"/>
      <c r="D843" s="79"/>
      <c r="J843" s="79"/>
      <c r="O843" s="79"/>
      <c r="P843" s="79"/>
      <c r="S843" s="79"/>
      <c r="T843" s="79"/>
      <c r="W843" s="130"/>
      <c r="Y843" s="106"/>
    </row>
    <row r="844">
      <c r="C844" s="79"/>
      <c r="D844" s="79"/>
      <c r="J844" s="79"/>
      <c r="O844" s="79"/>
      <c r="P844" s="79"/>
      <c r="S844" s="79"/>
      <c r="T844" s="79"/>
      <c r="W844" s="130"/>
      <c r="Y844" s="106"/>
    </row>
    <row r="845">
      <c r="C845" s="79"/>
      <c r="D845" s="79"/>
      <c r="J845" s="79"/>
      <c r="O845" s="79"/>
      <c r="P845" s="79"/>
      <c r="S845" s="79"/>
      <c r="T845" s="79"/>
      <c r="W845" s="130"/>
      <c r="Y845" s="106"/>
    </row>
    <row r="846">
      <c r="C846" s="79"/>
      <c r="D846" s="79"/>
      <c r="J846" s="79"/>
      <c r="O846" s="79"/>
      <c r="P846" s="79"/>
      <c r="S846" s="79"/>
      <c r="T846" s="79"/>
      <c r="W846" s="130"/>
      <c r="Y846" s="106"/>
    </row>
    <row r="847">
      <c r="C847" s="79"/>
      <c r="D847" s="79"/>
      <c r="J847" s="79"/>
      <c r="O847" s="79"/>
      <c r="P847" s="79"/>
      <c r="S847" s="79"/>
      <c r="T847" s="79"/>
      <c r="W847" s="130"/>
      <c r="Y847" s="106"/>
    </row>
    <row r="848">
      <c r="C848" s="79"/>
      <c r="D848" s="79"/>
      <c r="J848" s="79"/>
      <c r="O848" s="79"/>
      <c r="P848" s="79"/>
      <c r="S848" s="79"/>
      <c r="T848" s="79"/>
      <c r="W848" s="130"/>
      <c r="Y848" s="106"/>
    </row>
    <row r="849">
      <c r="C849" s="79"/>
      <c r="D849" s="79"/>
      <c r="J849" s="79"/>
      <c r="O849" s="79"/>
      <c r="P849" s="79"/>
      <c r="S849" s="79"/>
      <c r="T849" s="79"/>
      <c r="W849" s="130"/>
      <c r="Y849" s="106"/>
    </row>
    <row r="850">
      <c r="C850" s="79"/>
      <c r="D850" s="79"/>
      <c r="J850" s="79"/>
      <c r="O850" s="79"/>
      <c r="P850" s="79"/>
      <c r="S850" s="79"/>
      <c r="T850" s="79"/>
      <c r="W850" s="130"/>
      <c r="Y850" s="106"/>
    </row>
    <row r="851">
      <c r="C851" s="79"/>
      <c r="D851" s="79"/>
      <c r="J851" s="79"/>
      <c r="O851" s="79"/>
      <c r="P851" s="79"/>
      <c r="S851" s="79"/>
      <c r="T851" s="79"/>
      <c r="W851" s="130"/>
      <c r="Y851" s="106"/>
    </row>
    <row r="852">
      <c r="C852" s="79"/>
      <c r="D852" s="79"/>
      <c r="J852" s="79"/>
      <c r="O852" s="79"/>
      <c r="P852" s="79"/>
      <c r="S852" s="79"/>
      <c r="T852" s="79"/>
      <c r="W852" s="130"/>
      <c r="Y852" s="106"/>
    </row>
    <row r="853">
      <c r="C853" s="79"/>
      <c r="D853" s="79"/>
      <c r="J853" s="79"/>
      <c r="O853" s="79"/>
      <c r="P853" s="79"/>
      <c r="S853" s="79"/>
      <c r="T853" s="79"/>
      <c r="W853" s="130"/>
      <c r="Y853" s="106"/>
    </row>
    <row r="854">
      <c r="C854" s="79"/>
      <c r="D854" s="79"/>
      <c r="J854" s="79"/>
      <c r="O854" s="79"/>
      <c r="P854" s="79"/>
      <c r="S854" s="79"/>
      <c r="T854" s="79"/>
      <c r="W854" s="130"/>
      <c r="Y854" s="106"/>
    </row>
    <row r="855">
      <c r="C855" s="79"/>
      <c r="D855" s="79"/>
      <c r="J855" s="79"/>
      <c r="O855" s="79"/>
      <c r="P855" s="79"/>
      <c r="S855" s="79"/>
      <c r="T855" s="79"/>
      <c r="W855" s="130"/>
      <c r="Y855" s="106"/>
    </row>
    <row r="856">
      <c r="C856" s="79"/>
      <c r="D856" s="79"/>
      <c r="J856" s="79"/>
      <c r="O856" s="79"/>
      <c r="P856" s="79"/>
      <c r="S856" s="79"/>
      <c r="T856" s="79"/>
      <c r="W856" s="130"/>
      <c r="Y856" s="106"/>
    </row>
    <row r="857">
      <c r="C857" s="79"/>
      <c r="D857" s="79"/>
      <c r="J857" s="79"/>
      <c r="O857" s="79"/>
      <c r="P857" s="79"/>
      <c r="S857" s="79"/>
      <c r="T857" s="79"/>
      <c r="W857" s="130"/>
      <c r="Y857" s="106"/>
    </row>
    <row r="858">
      <c r="C858" s="79"/>
      <c r="D858" s="79"/>
      <c r="J858" s="79"/>
      <c r="O858" s="79"/>
      <c r="P858" s="79"/>
      <c r="S858" s="79"/>
      <c r="T858" s="79"/>
      <c r="W858" s="130"/>
      <c r="Y858" s="106"/>
    </row>
    <row r="859">
      <c r="C859" s="79"/>
      <c r="D859" s="79"/>
      <c r="J859" s="79"/>
      <c r="O859" s="79"/>
      <c r="P859" s="79"/>
      <c r="S859" s="79"/>
      <c r="T859" s="79"/>
      <c r="W859" s="130"/>
      <c r="Y859" s="106"/>
    </row>
    <row r="860">
      <c r="C860" s="79"/>
      <c r="D860" s="79"/>
      <c r="J860" s="79"/>
      <c r="O860" s="79"/>
      <c r="P860" s="79"/>
      <c r="S860" s="79"/>
      <c r="T860" s="79"/>
      <c r="W860" s="130"/>
      <c r="Y860" s="106"/>
    </row>
    <row r="861">
      <c r="C861" s="79"/>
      <c r="D861" s="79"/>
      <c r="J861" s="79"/>
      <c r="O861" s="79"/>
      <c r="P861" s="79"/>
      <c r="S861" s="79"/>
      <c r="T861" s="79"/>
      <c r="W861" s="130"/>
      <c r="Y861" s="106"/>
    </row>
    <row r="862">
      <c r="C862" s="79"/>
      <c r="D862" s="79"/>
      <c r="J862" s="79"/>
      <c r="O862" s="79"/>
      <c r="P862" s="79"/>
      <c r="S862" s="79"/>
      <c r="T862" s="79"/>
      <c r="W862" s="130"/>
      <c r="Y862" s="106"/>
    </row>
    <row r="863">
      <c r="C863" s="79"/>
      <c r="D863" s="79"/>
      <c r="J863" s="79"/>
      <c r="O863" s="79"/>
      <c r="P863" s="79"/>
      <c r="S863" s="79"/>
      <c r="T863" s="79"/>
      <c r="W863" s="130"/>
      <c r="Y863" s="106"/>
    </row>
    <row r="864">
      <c r="C864" s="79"/>
      <c r="D864" s="79"/>
      <c r="J864" s="79"/>
      <c r="O864" s="79"/>
      <c r="P864" s="79"/>
      <c r="S864" s="79"/>
      <c r="T864" s="79"/>
      <c r="W864" s="130"/>
      <c r="Y864" s="106"/>
    </row>
    <row r="865">
      <c r="C865" s="79"/>
      <c r="D865" s="79"/>
      <c r="J865" s="79"/>
      <c r="O865" s="79"/>
      <c r="P865" s="79"/>
      <c r="S865" s="79"/>
      <c r="T865" s="79"/>
      <c r="W865" s="130"/>
      <c r="Y865" s="106"/>
    </row>
    <row r="866">
      <c r="C866" s="79"/>
      <c r="D866" s="79"/>
      <c r="J866" s="79"/>
      <c r="O866" s="79"/>
      <c r="P866" s="79"/>
      <c r="S866" s="79"/>
      <c r="T866" s="79"/>
      <c r="W866" s="130"/>
      <c r="Y866" s="106"/>
    </row>
    <row r="867">
      <c r="C867" s="79"/>
      <c r="D867" s="79"/>
      <c r="J867" s="79"/>
      <c r="O867" s="79"/>
      <c r="P867" s="79"/>
      <c r="S867" s="79"/>
      <c r="T867" s="79"/>
      <c r="W867" s="130"/>
      <c r="Y867" s="106"/>
    </row>
    <row r="868">
      <c r="C868" s="79"/>
      <c r="D868" s="79"/>
      <c r="J868" s="79"/>
      <c r="O868" s="79"/>
      <c r="P868" s="79"/>
      <c r="S868" s="79"/>
      <c r="T868" s="79"/>
      <c r="W868" s="130"/>
      <c r="Y868" s="106"/>
    </row>
    <row r="869">
      <c r="C869" s="79"/>
      <c r="D869" s="79"/>
      <c r="J869" s="79"/>
      <c r="O869" s="79"/>
      <c r="P869" s="79"/>
      <c r="S869" s="79"/>
      <c r="T869" s="79"/>
      <c r="W869" s="130"/>
      <c r="Y869" s="106"/>
    </row>
    <row r="870">
      <c r="C870" s="79"/>
      <c r="D870" s="79"/>
      <c r="J870" s="79"/>
      <c r="O870" s="79"/>
      <c r="P870" s="79"/>
      <c r="S870" s="79"/>
      <c r="T870" s="79"/>
      <c r="W870" s="130"/>
      <c r="Y870" s="106"/>
    </row>
    <row r="871">
      <c r="C871" s="79"/>
      <c r="D871" s="79"/>
      <c r="J871" s="79"/>
      <c r="O871" s="79"/>
      <c r="P871" s="79"/>
      <c r="S871" s="79"/>
      <c r="T871" s="79"/>
      <c r="W871" s="130"/>
      <c r="Y871" s="106"/>
    </row>
    <row r="872">
      <c r="C872" s="79"/>
      <c r="D872" s="79"/>
      <c r="J872" s="79"/>
      <c r="O872" s="79"/>
      <c r="P872" s="79"/>
      <c r="S872" s="79"/>
      <c r="T872" s="79"/>
      <c r="W872" s="130"/>
      <c r="Y872" s="106"/>
    </row>
    <row r="873">
      <c r="C873" s="79"/>
      <c r="D873" s="79"/>
      <c r="J873" s="79"/>
      <c r="O873" s="79"/>
      <c r="P873" s="79"/>
      <c r="S873" s="79"/>
      <c r="T873" s="79"/>
      <c r="W873" s="130"/>
      <c r="Y873" s="106"/>
    </row>
    <row r="874">
      <c r="C874" s="79"/>
      <c r="D874" s="79"/>
      <c r="J874" s="79"/>
      <c r="O874" s="79"/>
      <c r="P874" s="79"/>
      <c r="S874" s="79"/>
      <c r="T874" s="79"/>
      <c r="W874" s="130"/>
      <c r="Y874" s="106"/>
    </row>
    <row r="875">
      <c r="C875" s="79"/>
      <c r="D875" s="79"/>
      <c r="J875" s="79"/>
      <c r="O875" s="79"/>
      <c r="P875" s="79"/>
      <c r="S875" s="79"/>
      <c r="T875" s="79"/>
      <c r="W875" s="130"/>
      <c r="Y875" s="106"/>
    </row>
    <row r="876">
      <c r="C876" s="79"/>
      <c r="D876" s="79"/>
      <c r="J876" s="79"/>
      <c r="O876" s="79"/>
      <c r="P876" s="79"/>
      <c r="S876" s="79"/>
      <c r="T876" s="79"/>
      <c r="W876" s="130"/>
      <c r="Y876" s="106"/>
    </row>
    <row r="877">
      <c r="C877" s="79"/>
      <c r="D877" s="79"/>
      <c r="J877" s="79"/>
      <c r="O877" s="79"/>
      <c r="P877" s="79"/>
      <c r="S877" s="79"/>
      <c r="T877" s="79"/>
      <c r="W877" s="130"/>
      <c r="Y877" s="106"/>
    </row>
    <row r="878">
      <c r="C878" s="79"/>
      <c r="D878" s="79"/>
      <c r="J878" s="79"/>
      <c r="O878" s="79"/>
      <c r="P878" s="79"/>
      <c r="S878" s="79"/>
      <c r="T878" s="79"/>
      <c r="W878" s="130"/>
      <c r="Y878" s="106"/>
    </row>
    <row r="879">
      <c r="C879" s="79"/>
      <c r="D879" s="79"/>
      <c r="J879" s="79"/>
      <c r="O879" s="79"/>
      <c r="P879" s="79"/>
      <c r="S879" s="79"/>
      <c r="T879" s="79"/>
      <c r="W879" s="130"/>
      <c r="Y879" s="106"/>
    </row>
    <row r="880">
      <c r="C880" s="79"/>
      <c r="D880" s="79"/>
      <c r="J880" s="79"/>
      <c r="O880" s="79"/>
      <c r="P880" s="79"/>
      <c r="S880" s="79"/>
      <c r="T880" s="79"/>
      <c r="W880" s="130"/>
      <c r="Y880" s="106"/>
    </row>
    <row r="881">
      <c r="C881" s="79"/>
      <c r="D881" s="79"/>
      <c r="J881" s="79"/>
      <c r="O881" s="79"/>
      <c r="P881" s="79"/>
      <c r="S881" s="79"/>
      <c r="T881" s="79"/>
      <c r="W881" s="130"/>
      <c r="Y881" s="106"/>
    </row>
    <row r="882">
      <c r="C882" s="79"/>
      <c r="D882" s="79"/>
      <c r="J882" s="79"/>
      <c r="O882" s="79"/>
      <c r="P882" s="79"/>
      <c r="S882" s="79"/>
      <c r="T882" s="79"/>
      <c r="W882" s="130"/>
      <c r="Y882" s="106"/>
    </row>
    <row r="883">
      <c r="C883" s="79"/>
      <c r="D883" s="79"/>
      <c r="J883" s="79"/>
      <c r="O883" s="79"/>
      <c r="P883" s="79"/>
      <c r="S883" s="79"/>
      <c r="T883" s="79"/>
      <c r="W883" s="130"/>
      <c r="Y883" s="106"/>
    </row>
    <row r="884">
      <c r="C884" s="79"/>
      <c r="D884" s="79"/>
      <c r="J884" s="79"/>
      <c r="O884" s="79"/>
      <c r="P884" s="79"/>
      <c r="S884" s="79"/>
      <c r="T884" s="79"/>
      <c r="W884" s="130"/>
      <c r="Y884" s="106"/>
    </row>
    <row r="885">
      <c r="C885" s="79"/>
      <c r="D885" s="79"/>
      <c r="J885" s="79"/>
      <c r="O885" s="79"/>
      <c r="P885" s="79"/>
      <c r="S885" s="79"/>
      <c r="T885" s="79"/>
      <c r="W885" s="130"/>
      <c r="Y885" s="106"/>
    </row>
    <row r="886">
      <c r="C886" s="79"/>
      <c r="D886" s="79"/>
      <c r="J886" s="79"/>
      <c r="O886" s="79"/>
      <c r="P886" s="79"/>
      <c r="S886" s="79"/>
      <c r="T886" s="79"/>
      <c r="W886" s="130"/>
      <c r="Y886" s="106"/>
    </row>
    <row r="887">
      <c r="C887" s="79"/>
      <c r="D887" s="79"/>
      <c r="J887" s="79"/>
      <c r="O887" s="79"/>
      <c r="P887" s="79"/>
      <c r="S887" s="79"/>
      <c r="T887" s="79"/>
      <c r="W887" s="130"/>
      <c r="Y887" s="106"/>
    </row>
    <row r="888">
      <c r="C888" s="79"/>
      <c r="D888" s="79"/>
      <c r="J888" s="79"/>
      <c r="O888" s="79"/>
      <c r="P888" s="79"/>
      <c r="S888" s="79"/>
      <c r="T888" s="79"/>
      <c r="W888" s="130"/>
      <c r="Y888" s="106"/>
    </row>
    <row r="889">
      <c r="C889" s="79"/>
      <c r="D889" s="79"/>
      <c r="J889" s="79"/>
      <c r="O889" s="79"/>
      <c r="P889" s="79"/>
      <c r="S889" s="79"/>
      <c r="T889" s="79"/>
      <c r="W889" s="130"/>
      <c r="Y889" s="106"/>
    </row>
    <row r="890">
      <c r="C890" s="79"/>
      <c r="D890" s="79"/>
      <c r="J890" s="79"/>
      <c r="O890" s="79"/>
      <c r="P890" s="79"/>
      <c r="S890" s="79"/>
      <c r="T890" s="79"/>
      <c r="W890" s="130"/>
      <c r="Y890" s="106"/>
    </row>
    <row r="891">
      <c r="C891" s="79"/>
      <c r="D891" s="79"/>
      <c r="J891" s="79"/>
      <c r="O891" s="79"/>
      <c r="P891" s="79"/>
      <c r="S891" s="79"/>
      <c r="T891" s="79"/>
      <c r="W891" s="130"/>
      <c r="Y891" s="106"/>
    </row>
    <row r="892">
      <c r="C892" s="79"/>
      <c r="D892" s="79"/>
      <c r="J892" s="79"/>
      <c r="O892" s="79"/>
      <c r="P892" s="79"/>
      <c r="S892" s="79"/>
      <c r="T892" s="79"/>
      <c r="W892" s="130"/>
      <c r="Y892" s="106"/>
    </row>
    <row r="893">
      <c r="C893" s="79"/>
      <c r="D893" s="79"/>
      <c r="J893" s="79"/>
      <c r="O893" s="79"/>
      <c r="P893" s="79"/>
      <c r="S893" s="79"/>
      <c r="T893" s="79"/>
      <c r="W893" s="130"/>
      <c r="Y893" s="106"/>
    </row>
    <row r="894">
      <c r="C894" s="79"/>
      <c r="D894" s="79"/>
      <c r="J894" s="79"/>
      <c r="O894" s="79"/>
      <c r="P894" s="79"/>
      <c r="S894" s="79"/>
      <c r="T894" s="79"/>
      <c r="W894" s="130"/>
      <c r="Y894" s="106"/>
    </row>
    <row r="895">
      <c r="C895" s="79"/>
      <c r="D895" s="79"/>
      <c r="J895" s="79"/>
      <c r="O895" s="79"/>
      <c r="P895" s="79"/>
      <c r="S895" s="79"/>
      <c r="T895" s="79"/>
      <c r="W895" s="130"/>
      <c r="Y895" s="106"/>
    </row>
    <row r="896">
      <c r="C896" s="79"/>
      <c r="D896" s="79"/>
      <c r="J896" s="79"/>
      <c r="O896" s="79"/>
      <c r="P896" s="79"/>
      <c r="S896" s="79"/>
      <c r="T896" s="79"/>
      <c r="W896" s="130"/>
      <c r="Y896" s="106"/>
    </row>
    <row r="897">
      <c r="C897" s="79"/>
      <c r="D897" s="79"/>
      <c r="J897" s="79"/>
      <c r="O897" s="79"/>
      <c r="P897" s="79"/>
      <c r="S897" s="79"/>
      <c r="T897" s="79"/>
      <c r="W897" s="130"/>
      <c r="Y897" s="106"/>
    </row>
    <row r="898">
      <c r="C898" s="79"/>
      <c r="D898" s="79"/>
      <c r="J898" s="79"/>
      <c r="O898" s="79"/>
      <c r="P898" s="79"/>
      <c r="S898" s="79"/>
      <c r="T898" s="79"/>
      <c r="W898" s="130"/>
      <c r="Y898" s="106"/>
    </row>
    <row r="899">
      <c r="C899" s="79"/>
      <c r="D899" s="79"/>
      <c r="J899" s="79"/>
      <c r="O899" s="79"/>
      <c r="P899" s="79"/>
      <c r="S899" s="79"/>
      <c r="T899" s="79"/>
      <c r="W899" s="130"/>
      <c r="Y899" s="106"/>
    </row>
    <row r="900">
      <c r="C900" s="79"/>
      <c r="D900" s="79"/>
      <c r="J900" s="79"/>
      <c r="O900" s="79"/>
      <c r="P900" s="79"/>
      <c r="S900" s="79"/>
      <c r="T900" s="79"/>
      <c r="W900" s="130"/>
      <c r="Y900" s="106"/>
    </row>
    <row r="901">
      <c r="C901" s="79"/>
      <c r="D901" s="79"/>
      <c r="J901" s="79"/>
      <c r="O901" s="79"/>
      <c r="P901" s="79"/>
      <c r="S901" s="79"/>
      <c r="T901" s="79"/>
      <c r="W901" s="130"/>
      <c r="Y901" s="106"/>
    </row>
    <row r="902">
      <c r="C902" s="79"/>
      <c r="D902" s="79"/>
      <c r="J902" s="79"/>
      <c r="O902" s="79"/>
      <c r="P902" s="79"/>
      <c r="S902" s="79"/>
      <c r="T902" s="79"/>
      <c r="W902" s="130"/>
      <c r="Y902" s="106"/>
    </row>
    <row r="903">
      <c r="C903" s="79"/>
      <c r="D903" s="79"/>
      <c r="J903" s="79"/>
      <c r="O903" s="79"/>
      <c r="P903" s="79"/>
      <c r="S903" s="79"/>
      <c r="T903" s="79"/>
      <c r="W903" s="130"/>
      <c r="Y903" s="106"/>
    </row>
    <row r="904">
      <c r="C904" s="79"/>
      <c r="D904" s="79"/>
      <c r="J904" s="79"/>
      <c r="O904" s="79"/>
      <c r="P904" s="79"/>
      <c r="S904" s="79"/>
      <c r="T904" s="79"/>
      <c r="W904" s="130"/>
      <c r="Y904" s="106"/>
    </row>
    <row r="905">
      <c r="C905" s="79"/>
      <c r="D905" s="79"/>
      <c r="J905" s="79"/>
      <c r="O905" s="79"/>
      <c r="P905" s="79"/>
      <c r="S905" s="79"/>
      <c r="T905" s="79"/>
      <c r="W905" s="130"/>
      <c r="Y905" s="106"/>
    </row>
    <row r="906">
      <c r="C906" s="79"/>
      <c r="D906" s="79"/>
      <c r="J906" s="79"/>
      <c r="O906" s="79"/>
      <c r="P906" s="79"/>
      <c r="S906" s="79"/>
      <c r="T906" s="79"/>
      <c r="W906" s="130"/>
      <c r="Y906" s="106"/>
    </row>
    <row r="907">
      <c r="C907" s="79"/>
      <c r="D907" s="79"/>
      <c r="J907" s="79"/>
      <c r="O907" s="79"/>
      <c r="P907" s="79"/>
      <c r="S907" s="79"/>
      <c r="T907" s="79"/>
      <c r="W907" s="130"/>
      <c r="Y907" s="106"/>
    </row>
    <row r="908">
      <c r="C908" s="79"/>
      <c r="D908" s="79"/>
      <c r="J908" s="79"/>
      <c r="O908" s="79"/>
      <c r="P908" s="79"/>
      <c r="S908" s="79"/>
      <c r="T908" s="79"/>
      <c r="W908" s="130"/>
      <c r="Y908" s="106"/>
    </row>
    <row r="909">
      <c r="C909" s="79"/>
      <c r="D909" s="79"/>
      <c r="J909" s="79"/>
      <c r="O909" s="79"/>
      <c r="P909" s="79"/>
      <c r="S909" s="79"/>
      <c r="T909" s="79"/>
      <c r="W909" s="130"/>
      <c r="Y909" s="106"/>
    </row>
    <row r="910">
      <c r="C910" s="79"/>
      <c r="D910" s="79"/>
      <c r="J910" s="79"/>
      <c r="O910" s="79"/>
      <c r="P910" s="79"/>
      <c r="S910" s="79"/>
      <c r="T910" s="79"/>
      <c r="W910" s="130"/>
      <c r="Y910" s="106"/>
    </row>
    <row r="911">
      <c r="C911" s="79"/>
      <c r="D911" s="79"/>
      <c r="J911" s="79"/>
      <c r="O911" s="79"/>
      <c r="P911" s="79"/>
      <c r="S911" s="79"/>
      <c r="T911" s="79"/>
      <c r="W911" s="130"/>
      <c r="Y911" s="106"/>
    </row>
    <row r="912">
      <c r="C912" s="79"/>
      <c r="D912" s="79"/>
      <c r="J912" s="79"/>
      <c r="O912" s="79"/>
      <c r="P912" s="79"/>
      <c r="S912" s="79"/>
      <c r="T912" s="79"/>
      <c r="W912" s="130"/>
      <c r="Y912" s="106"/>
    </row>
    <row r="913">
      <c r="C913" s="79"/>
      <c r="D913" s="79"/>
      <c r="J913" s="79"/>
      <c r="O913" s="79"/>
      <c r="P913" s="79"/>
      <c r="S913" s="79"/>
      <c r="T913" s="79"/>
      <c r="W913" s="130"/>
      <c r="Y913" s="106"/>
    </row>
    <row r="914">
      <c r="C914" s="79"/>
      <c r="D914" s="79"/>
      <c r="J914" s="79"/>
      <c r="O914" s="79"/>
      <c r="P914" s="79"/>
      <c r="S914" s="79"/>
      <c r="T914" s="79"/>
      <c r="W914" s="130"/>
      <c r="Y914" s="106"/>
    </row>
    <row r="915">
      <c r="C915" s="79"/>
      <c r="D915" s="79"/>
      <c r="J915" s="79"/>
      <c r="O915" s="79"/>
      <c r="P915" s="79"/>
      <c r="S915" s="79"/>
      <c r="T915" s="79"/>
      <c r="W915" s="130"/>
      <c r="Y915" s="106"/>
    </row>
    <row r="916">
      <c r="C916" s="79"/>
      <c r="D916" s="79"/>
      <c r="J916" s="79"/>
      <c r="O916" s="79"/>
      <c r="P916" s="79"/>
      <c r="S916" s="79"/>
      <c r="T916" s="79"/>
      <c r="W916" s="130"/>
      <c r="Y916" s="106"/>
    </row>
    <row r="917">
      <c r="C917" s="79"/>
      <c r="D917" s="79"/>
      <c r="J917" s="79"/>
      <c r="O917" s="79"/>
      <c r="P917" s="79"/>
      <c r="S917" s="79"/>
      <c r="T917" s="79"/>
      <c r="W917" s="130"/>
      <c r="Y917" s="106"/>
    </row>
    <row r="918">
      <c r="C918" s="79"/>
      <c r="D918" s="79"/>
      <c r="J918" s="79"/>
      <c r="O918" s="79"/>
      <c r="P918" s="79"/>
      <c r="S918" s="79"/>
      <c r="T918" s="79"/>
      <c r="W918" s="130"/>
      <c r="Y918" s="106"/>
    </row>
    <row r="919">
      <c r="C919" s="79"/>
      <c r="D919" s="79"/>
      <c r="J919" s="79"/>
      <c r="O919" s="79"/>
      <c r="P919" s="79"/>
      <c r="S919" s="79"/>
      <c r="T919" s="79"/>
      <c r="W919" s="130"/>
      <c r="Y919" s="106"/>
    </row>
    <row r="920">
      <c r="C920" s="79"/>
      <c r="D920" s="79"/>
      <c r="J920" s="79"/>
      <c r="O920" s="79"/>
      <c r="P920" s="79"/>
      <c r="S920" s="79"/>
      <c r="T920" s="79"/>
      <c r="W920" s="130"/>
      <c r="Y920" s="106"/>
    </row>
    <row r="921">
      <c r="C921" s="79"/>
      <c r="D921" s="79"/>
      <c r="J921" s="79"/>
      <c r="O921" s="79"/>
      <c r="P921" s="79"/>
      <c r="S921" s="79"/>
      <c r="T921" s="79"/>
      <c r="W921" s="130"/>
      <c r="Y921" s="106"/>
    </row>
    <row r="922">
      <c r="C922" s="79"/>
      <c r="D922" s="79"/>
      <c r="J922" s="79"/>
      <c r="O922" s="79"/>
      <c r="P922" s="79"/>
      <c r="S922" s="79"/>
      <c r="T922" s="79"/>
      <c r="W922" s="130"/>
      <c r="Y922" s="106"/>
    </row>
    <row r="923">
      <c r="C923" s="79"/>
      <c r="D923" s="79"/>
      <c r="J923" s="79"/>
      <c r="O923" s="79"/>
      <c r="P923" s="79"/>
      <c r="S923" s="79"/>
      <c r="T923" s="79"/>
      <c r="W923" s="130"/>
      <c r="Y923" s="106"/>
    </row>
    <row r="924">
      <c r="C924" s="79"/>
      <c r="D924" s="79"/>
      <c r="J924" s="79"/>
      <c r="O924" s="79"/>
      <c r="P924" s="79"/>
      <c r="S924" s="79"/>
      <c r="T924" s="79"/>
      <c r="W924" s="130"/>
      <c r="Y924" s="106"/>
    </row>
    <row r="925">
      <c r="C925" s="79"/>
      <c r="D925" s="79"/>
      <c r="J925" s="79"/>
      <c r="O925" s="79"/>
      <c r="P925" s="79"/>
      <c r="S925" s="79"/>
      <c r="T925" s="79"/>
      <c r="W925" s="130"/>
      <c r="Y925" s="106"/>
    </row>
    <row r="926">
      <c r="C926" s="79"/>
      <c r="D926" s="79"/>
      <c r="J926" s="79"/>
      <c r="O926" s="79"/>
      <c r="P926" s="79"/>
      <c r="S926" s="79"/>
      <c r="T926" s="79"/>
      <c r="W926" s="130"/>
      <c r="Y926" s="106"/>
    </row>
    <row r="927">
      <c r="C927" s="79"/>
      <c r="D927" s="79"/>
      <c r="J927" s="79"/>
      <c r="O927" s="79"/>
      <c r="P927" s="79"/>
      <c r="S927" s="79"/>
      <c r="T927" s="79"/>
      <c r="W927" s="130"/>
      <c r="Y927" s="106"/>
    </row>
    <row r="928">
      <c r="C928" s="79"/>
      <c r="D928" s="79"/>
      <c r="J928" s="79"/>
      <c r="O928" s="79"/>
      <c r="P928" s="79"/>
      <c r="S928" s="79"/>
      <c r="T928" s="79"/>
      <c r="W928" s="130"/>
      <c r="Y928" s="106"/>
    </row>
    <row r="929">
      <c r="C929" s="79"/>
      <c r="D929" s="79"/>
      <c r="J929" s="79"/>
      <c r="O929" s="79"/>
      <c r="P929" s="79"/>
      <c r="S929" s="79"/>
      <c r="T929" s="79"/>
      <c r="W929" s="130"/>
      <c r="Y929" s="106"/>
    </row>
    <row r="930">
      <c r="C930" s="79"/>
      <c r="D930" s="79"/>
      <c r="J930" s="79"/>
      <c r="O930" s="79"/>
      <c r="P930" s="79"/>
      <c r="S930" s="79"/>
      <c r="T930" s="79"/>
      <c r="W930" s="130"/>
      <c r="Y930" s="106"/>
    </row>
    <row r="931">
      <c r="C931" s="79"/>
      <c r="D931" s="79"/>
      <c r="J931" s="79"/>
      <c r="O931" s="79"/>
      <c r="P931" s="79"/>
      <c r="S931" s="79"/>
      <c r="T931" s="79"/>
      <c r="W931" s="130"/>
      <c r="Y931" s="106"/>
    </row>
    <row r="932">
      <c r="C932" s="79"/>
      <c r="D932" s="79"/>
      <c r="J932" s="79"/>
      <c r="O932" s="79"/>
      <c r="P932" s="79"/>
      <c r="S932" s="79"/>
      <c r="T932" s="79"/>
      <c r="W932" s="130"/>
      <c r="Y932" s="106"/>
    </row>
    <row r="933">
      <c r="C933" s="79"/>
      <c r="D933" s="79"/>
      <c r="J933" s="79"/>
      <c r="O933" s="79"/>
      <c r="P933" s="79"/>
      <c r="S933" s="79"/>
      <c r="T933" s="79"/>
      <c r="W933" s="130"/>
      <c r="Y933" s="106"/>
    </row>
    <row r="934">
      <c r="C934" s="79"/>
      <c r="D934" s="79"/>
      <c r="J934" s="79"/>
      <c r="O934" s="79"/>
      <c r="P934" s="79"/>
      <c r="S934" s="79"/>
      <c r="T934" s="79"/>
      <c r="W934" s="130"/>
      <c r="Y934" s="106"/>
    </row>
    <row r="935">
      <c r="C935" s="79"/>
      <c r="D935" s="79"/>
      <c r="J935" s="79"/>
      <c r="O935" s="79"/>
      <c r="P935" s="79"/>
      <c r="S935" s="79"/>
      <c r="T935" s="79"/>
      <c r="W935" s="130"/>
      <c r="Y935" s="106"/>
    </row>
    <row r="936">
      <c r="C936" s="79"/>
      <c r="D936" s="79"/>
      <c r="J936" s="79"/>
      <c r="O936" s="79"/>
      <c r="P936" s="79"/>
      <c r="S936" s="79"/>
      <c r="T936" s="79"/>
      <c r="W936" s="130"/>
      <c r="Y936" s="106"/>
    </row>
    <row r="937">
      <c r="C937" s="79"/>
      <c r="D937" s="79"/>
      <c r="J937" s="79"/>
      <c r="O937" s="79"/>
      <c r="P937" s="79"/>
      <c r="S937" s="79"/>
      <c r="T937" s="79"/>
      <c r="W937" s="130"/>
      <c r="Y937" s="106"/>
    </row>
    <row r="938">
      <c r="C938" s="79"/>
      <c r="D938" s="79"/>
      <c r="J938" s="79"/>
      <c r="O938" s="79"/>
      <c r="P938" s="79"/>
      <c r="S938" s="79"/>
      <c r="T938" s="79"/>
      <c r="W938" s="130"/>
      <c r="Y938" s="106"/>
    </row>
    <row r="939">
      <c r="C939" s="79"/>
      <c r="D939" s="79"/>
      <c r="J939" s="79"/>
      <c r="O939" s="79"/>
      <c r="P939" s="79"/>
      <c r="S939" s="79"/>
      <c r="T939" s="79"/>
      <c r="W939" s="130"/>
      <c r="Y939" s="106"/>
    </row>
    <row r="940">
      <c r="C940" s="79"/>
      <c r="D940" s="79"/>
      <c r="J940" s="79"/>
      <c r="O940" s="79"/>
      <c r="P940" s="79"/>
      <c r="S940" s="79"/>
      <c r="T940" s="79"/>
      <c r="W940" s="130"/>
      <c r="Y940" s="106"/>
    </row>
    <row r="941">
      <c r="C941" s="79"/>
      <c r="D941" s="79"/>
      <c r="J941" s="79"/>
      <c r="O941" s="79"/>
      <c r="P941" s="79"/>
      <c r="S941" s="79"/>
      <c r="T941" s="79"/>
      <c r="W941" s="130"/>
      <c r="Y941" s="106"/>
    </row>
    <row r="942">
      <c r="C942" s="79"/>
      <c r="D942" s="79"/>
      <c r="J942" s="79"/>
      <c r="O942" s="79"/>
      <c r="P942" s="79"/>
      <c r="S942" s="79"/>
      <c r="T942" s="79"/>
      <c r="W942" s="130"/>
      <c r="Y942" s="106"/>
    </row>
    <row r="943">
      <c r="C943" s="79"/>
      <c r="D943" s="79"/>
      <c r="J943" s="79"/>
      <c r="O943" s="79"/>
      <c r="P943" s="79"/>
      <c r="S943" s="79"/>
      <c r="T943" s="79"/>
      <c r="W943" s="130"/>
      <c r="Y943" s="106"/>
    </row>
    <row r="944">
      <c r="C944" s="79"/>
      <c r="D944" s="79"/>
      <c r="J944" s="79"/>
      <c r="O944" s="79"/>
      <c r="P944" s="79"/>
      <c r="S944" s="79"/>
      <c r="T944" s="79"/>
      <c r="W944" s="130"/>
      <c r="Y944" s="106"/>
    </row>
    <row r="945">
      <c r="C945" s="79"/>
      <c r="D945" s="79"/>
      <c r="J945" s="79"/>
      <c r="O945" s="79"/>
      <c r="P945" s="79"/>
      <c r="S945" s="79"/>
      <c r="T945" s="79"/>
      <c r="W945" s="130"/>
      <c r="Y945" s="106"/>
    </row>
    <row r="946">
      <c r="C946" s="79"/>
      <c r="D946" s="79"/>
      <c r="J946" s="79"/>
      <c r="O946" s="79"/>
      <c r="P946" s="79"/>
      <c r="S946" s="79"/>
      <c r="T946" s="79"/>
      <c r="W946" s="130"/>
      <c r="Y946" s="106"/>
    </row>
    <row r="947">
      <c r="C947" s="79"/>
      <c r="D947" s="79"/>
      <c r="J947" s="79"/>
      <c r="O947" s="79"/>
      <c r="P947" s="79"/>
      <c r="S947" s="79"/>
      <c r="T947" s="79"/>
      <c r="W947" s="130"/>
      <c r="Y947" s="106"/>
    </row>
    <row r="948">
      <c r="C948" s="79"/>
      <c r="D948" s="79"/>
      <c r="J948" s="79"/>
      <c r="O948" s="79"/>
      <c r="P948" s="79"/>
      <c r="S948" s="79"/>
      <c r="T948" s="79"/>
      <c r="W948" s="130"/>
      <c r="Y948" s="106"/>
    </row>
    <row r="949">
      <c r="C949" s="79"/>
      <c r="D949" s="79"/>
      <c r="J949" s="79"/>
      <c r="O949" s="79"/>
      <c r="P949" s="79"/>
      <c r="S949" s="79"/>
      <c r="T949" s="79"/>
      <c r="W949" s="130"/>
      <c r="Y949" s="106"/>
    </row>
    <row r="950">
      <c r="C950" s="79"/>
      <c r="D950" s="79"/>
      <c r="J950" s="79"/>
      <c r="O950" s="79"/>
      <c r="P950" s="79"/>
      <c r="S950" s="79"/>
      <c r="T950" s="79"/>
      <c r="W950" s="130"/>
      <c r="Y950" s="106"/>
    </row>
    <row r="951">
      <c r="C951" s="79"/>
      <c r="D951" s="79"/>
      <c r="J951" s="79"/>
      <c r="O951" s="79"/>
      <c r="P951" s="79"/>
      <c r="S951" s="79"/>
      <c r="T951" s="79"/>
      <c r="W951" s="130"/>
      <c r="Y951" s="106"/>
    </row>
    <row r="952">
      <c r="C952" s="79"/>
      <c r="D952" s="79"/>
      <c r="J952" s="79"/>
      <c r="O952" s="79"/>
      <c r="P952" s="79"/>
      <c r="S952" s="79"/>
      <c r="T952" s="79"/>
      <c r="W952" s="130"/>
      <c r="Y952" s="106"/>
    </row>
    <row r="953">
      <c r="C953" s="79"/>
      <c r="D953" s="79"/>
      <c r="J953" s="79"/>
      <c r="O953" s="79"/>
      <c r="P953" s="79"/>
      <c r="S953" s="79"/>
      <c r="T953" s="79"/>
      <c r="W953" s="130"/>
      <c r="Y953" s="106"/>
    </row>
    <row r="954">
      <c r="C954" s="79"/>
      <c r="D954" s="79"/>
      <c r="J954" s="79"/>
      <c r="O954" s="79"/>
      <c r="P954" s="79"/>
      <c r="S954" s="79"/>
      <c r="T954" s="79"/>
      <c r="W954" s="130"/>
      <c r="Y954" s="106"/>
    </row>
    <row r="955">
      <c r="C955" s="79"/>
      <c r="D955" s="79"/>
      <c r="J955" s="79"/>
      <c r="O955" s="79"/>
      <c r="P955" s="79"/>
      <c r="S955" s="79"/>
      <c r="T955" s="79"/>
      <c r="W955" s="130"/>
      <c r="Y955" s="106"/>
    </row>
    <row r="956">
      <c r="C956" s="79"/>
      <c r="D956" s="79"/>
      <c r="J956" s="79"/>
      <c r="O956" s="79"/>
      <c r="P956" s="79"/>
      <c r="S956" s="79"/>
      <c r="T956" s="79"/>
      <c r="W956" s="130"/>
      <c r="Y956" s="106"/>
    </row>
    <row r="957">
      <c r="C957" s="79"/>
      <c r="D957" s="79"/>
      <c r="J957" s="79"/>
      <c r="O957" s="79"/>
      <c r="P957" s="79"/>
      <c r="S957" s="79"/>
      <c r="T957" s="79"/>
      <c r="W957" s="130"/>
      <c r="Y957" s="106"/>
    </row>
    <row r="958">
      <c r="C958" s="79"/>
      <c r="D958" s="79"/>
      <c r="J958" s="79"/>
      <c r="O958" s="79"/>
      <c r="P958" s="79"/>
      <c r="S958" s="79"/>
      <c r="T958" s="79"/>
      <c r="W958" s="130"/>
      <c r="Y958" s="106"/>
    </row>
    <row r="959">
      <c r="C959" s="79"/>
      <c r="D959" s="79"/>
      <c r="J959" s="79"/>
      <c r="O959" s="79"/>
      <c r="P959" s="79"/>
      <c r="S959" s="79"/>
      <c r="T959" s="79"/>
      <c r="W959" s="130"/>
      <c r="Y959" s="106"/>
    </row>
    <row r="960">
      <c r="C960" s="79"/>
      <c r="D960" s="79"/>
      <c r="J960" s="79"/>
      <c r="O960" s="79"/>
      <c r="P960" s="79"/>
      <c r="S960" s="79"/>
      <c r="T960" s="79"/>
      <c r="W960" s="130"/>
      <c r="Y960" s="106"/>
    </row>
    <row r="961">
      <c r="C961" s="79"/>
      <c r="D961" s="79"/>
      <c r="J961" s="79"/>
      <c r="O961" s="79"/>
      <c r="P961" s="79"/>
      <c r="S961" s="79"/>
      <c r="T961" s="79"/>
      <c r="W961" s="130"/>
      <c r="Y961" s="106"/>
    </row>
    <row r="962">
      <c r="C962" s="79"/>
      <c r="D962" s="79"/>
      <c r="J962" s="79"/>
      <c r="O962" s="79"/>
      <c r="P962" s="79"/>
      <c r="S962" s="79"/>
      <c r="T962" s="79"/>
      <c r="W962" s="130"/>
      <c r="Y962" s="106"/>
    </row>
    <row r="963">
      <c r="C963" s="79"/>
      <c r="D963" s="79"/>
      <c r="J963" s="79"/>
      <c r="O963" s="79"/>
      <c r="P963" s="79"/>
      <c r="S963" s="79"/>
      <c r="T963" s="79"/>
      <c r="W963" s="130"/>
      <c r="Y963" s="106"/>
    </row>
    <row r="964">
      <c r="C964" s="79"/>
      <c r="D964" s="79"/>
      <c r="J964" s="79"/>
      <c r="O964" s="79"/>
      <c r="P964" s="79"/>
      <c r="S964" s="79"/>
      <c r="T964" s="79"/>
      <c r="W964" s="130"/>
      <c r="Y964" s="106"/>
    </row>
    <row r="965">
      <c r="C965" s="79"/>
      <c r="D965" s="79"/>
      <c r="J965" s="79"/>
      <c r="O965" s="79"/>
      <c r="P965" s="79"/>
      <c r="S965" s="79"/>
      <c r="T965" s="79"/>
      <c r="W965" s="130"/>
      <c r="Y965" s="106"/>
    </row>
    <row r="966">
      <c r="C966" s="79"/>
      <c r="D966" s="79"/>
      <c r="J966" s="79"/>
      <c r="O966" s="79"/>
      <c r="P966" s="79"/>
      <c r="S966" s="79"/>
      <c r="T966" s="79"/>
      <c r="W966" s="130"/>
      <c r="Y966" s="106"/>
    </row>
    <row r="967">
      <c r="C967" s="79"/>
      <c r="D967" s="79"/>
      <c r="J967" s="79"/>
      <c r="O967" s="79"/>
      <c r="P967" s="79"/>
      <c r="S967" s="79"/>
      <c r="T967" s="79"/>
      <c r="W967" s="130"/>
      <c r="Y967" s="106"/>
    </row>
    <row r="968">
      <c r="C968" s="79"/>
      <c r="D968" s="79"/>
      <c r="J968" s="79"/>
      <c r="O968" s="79"/>
      <c r="P968" s="79"/>
      <c r="S968" s="79"/>
      <c r="T968" s="79"/>
      <c r="W968" s="130"/>
      <c r="Y968" s="106"/>
    </row>
    <row r="969">
      <c r="C969" s="79"/>
      <c r="D969" s="79"/>
      <c r="J969" s="79"/>
      <c r="O969" s="79"/>
      <c r="P969" s="79"/>
      <c r="S969" s="79"/>
      <c r="T969" s="79"/>
      <c r="W969" s="130"/>
      <c r="Y969" s="106"/>
    </row>
    <row r="970">
      <c r="C970" s="79"/>
      <c r="D970" s="79"/>
      <c r="J970" s="79"/>
      <c r="O970" s="79"/>
      <c r="P970" s="79"/>
      <c r="S970" s="79"/>
      <c r="T970" s="79"/>
      <c r="W970" s="130"/>
      <c r="Y970" s="106"/>
    </row>
    <row r="971">
      <c r="C971" s="79"/>
      <c r="D971" s="79"/>
      <c r="J971" s="79"/>
      <c r="O971" s="79"/>
      <c r="P971" s="79"/>
      <c r="S971" s="79"/>
      <c r="T971" s="79"/>
      <c r="W971" s="130"/>
      <c r="Y971" s="106"/>
    </row>
    <row r="972">
      <c r="C972" s="79"/>
      <c r="D972" s="79"/>
      <c r="J972" s="79"/>
      <c r="O972" s="79"/>
      <c r="P972" s="79"/>
      <c r="S972" s="79"/>
      <c r="T972" s="79"/>
      <c r="W972" s="130"/>
      <c r="Y972" s="106"/>
    </row>
    <row r="973">
      <c r="C973" s="79"/>
      <c r="D973" s="79"/>
      <c r="J973" s="79"/>
      <c r="O973" s="79"/>
      <c r="P973" s="79"/>
      <c r="S973" s="79"/>
      <c r="T973" s="79"/>
      <c r="W973" s="130"/>
      <c r="Y973" s="106"/>
    </row>
    <row r="974">
      <c r="C974" s="79"/>
      <c r="D974" s="79"/>
      <c r="J974" s="79"/>
      <c r="O974" s="79"/>
      <c r="P974" s="79"/>
      <c r="S974" s="79"/>
      <c r="T974" s="79"/>
      <c r="W974" s="130"/>
      <c r="Y974" s="106"/>
    </row>
    <row r="975">
      <c r="C975" s="79"/>
      <c r="D975" s="79"/>
      <c r="J975" s="79"/>
      <c r="O975" s="79"/>
      <c r="P975" s="79"/>
      <c r="S975" s="79"/>
      <c r="T975" s="79"/>
      <c r="W975" s="130"/>
      <c r="Y975" s="106"/>
    </row>
    <row r="976">
      <c r="C976" s="79"/>
      <c r="D976" s="79"/>
      <c r="J976" s="79"/>
      <c r="O976" s="79"/>
      <c r="P976" s="79"/>
      <c r="S976" s="79"/>
      <c r="T976" s="79"/>
      <c r="W976" s="130"/>
      <c r="Y976" s="106"/>
    </row>
    <row r="977">
      <c r="C977" s="79"/>
      <c r="D977" s="79"/>
      <c r="J977" s="79"/>
      <c r="O977" s="79"/>
      <c r="P977" s="79"/>
      <c r="S977" s="79"/>
      <c r="T977" s="79"/>
      <c r="W977" s="130"/>
      <c r="Y977" s="106"/>
    </row>
    <row r="978">
      <c r="C978" s="79"/>
      <c r="D978" s="79"/>
      <c r="J978" s="79"/>
      <c r="O978" s="79"/>
      <c r="P978" s="79"/>
      <c r="S978" s="79"/>
      <c r="T978" s="79"/>
      <c r="W978" s="130"/>
      <c r="Y978" s="106"/>
    </row>
    <row r="979">
      <c r="C979" s="79"/>
      <c r="D979" s="79"/>
      <c r="J979" s="79"/>
      <c r="O979" s="79"/>
      <c r="P979" s="79"/>
      <c r="S979" s="79"/>
      <c r="T979" s="79"/>
      <c r="W979" s="130"/>
      <c r="Y979" s="106"/>
    </row>
    <row r="980">
      <c r="C980" s="79"/>
      <c r="D980" s="79"/>
      <c r="J980" s="79"/>
      <c r="O980" s="79"/>
      <c r="P980" s="79"/>
      <c r="S980" s="79"/>
      <c r="T980" s="79"/>
      <c r="W980" s="130"/>
      <c r="Y980" s="106"/>
    </row>
    <row r="981">
      <c r="C981" s="79"/>
      <c r="D981" s="79"/>
      <c r="J981" s="79"/>
      <c r="O981" s="79"/>
      <c r="P981" s="79"/>
      <c r="S981" s="79"/>
      <c r="T981" s="79"/>
      <c r="W981" s="130"/>
      <c r="Y981" s="106"/>
    </row>
    <row r="982">
      <c r="C982" s="79"/>
      <c r="D982" s="79"/>
      <c r="J982" s="79"/>
      <c r="O982" s="79"/>
      <c r="P982" s="79"/>
      <c r="S982" s="79"/>
      <c r="T982" s="79"/>
      <c r="W982" s="130"/>
      <c r="Y982" s="106"/>
    </row>
    <row r="983">
      <c r="C983" s="79"/>
      <c r="D983" s="79"/>
      <c r="J983" s="79"/>
      <c r="O983" s="79"/>
      <c r="P983" s="79"/>
      <c r="S983" s="79"/>
      <c r="T983" s="79"/>
      <c r="W983" s="130"/>
      <c r="Y983" s="106"/>
    </row>
    <row r="984">
      <c r="C984" s="79"/>
      <c r="D984" s="79"/>
      <c r="J984" s="79"/>
      <c r="O984" s="79"/>
      <c r="P984" s="79"/>
      <c r="S984" s="79"/>
      <c r="T984" s="79"/>
      <c r="W984" s="130"/>
      <c r="Y984" s="106"/>
    </row>
    <row r="985">
      <c r="C985" s="79"/>
      <c r="D985" s="79"/>
      <c r="J985" s="79"/>
      <c r="O985" s="79"/>
      <c r="P985" s="79"/>
      <c r="S985" s="79"/>
      <c r="T985" s="79"/>
      <c r="W985" s="130"/>
      <c r="Y985" s="106"/>
    </row>
    <row r="986">
      <c r="C986" s="79"/>
      <c r="D986" s="79"/>
      <c r="J986" s="79"/>
      <c r="O986" s="79"/>
      <c r="P986" s="79"/>
      <c r="S986" s="79"/>
      <c r="T986" s="79"/>
      <c r="W986" s="130"/>
      <c r="Y986" s="106"/>
    </row>
    <row r="987">
      <c r="C987" s="79"/>
      <c r="D987" s="79"/>
      <c r="J987" s="79"/>
      <c r="O987" s="79"/>
      <c r="P987" s="79"/>
      <c r="S987" s="79"/>
      <c r="T987" s="79"/>
      <c r="W987" s="130"/>
      <c r="Y987" s="106"/>
    </row>
    <row r="988">
      <c r="C988" s="79"/>
      <c r="D988" s="79"/>
      <c r="J988" s="79"/>
      <c r="O988" s="79"/>
      <c r="P988" s="79"/>
      <c r="S988" s="79"/>
      <c r="T988" s="79"/>
      <c r="W988" s="130"/>
      <c r="Y988" s="106"/>
    </row>
    <row r="989">
      <c r="C989" s="79"/>
      <c r="D989" s="79"/>
      <c r="J989" s="79"/>
      <c r="O989" s="79"/>
      <c r="P989" s="79"/>
      <c r="S989" s="79"/>
      <c r="T989" s="79"/>
      <c r="W989" s="130"/>
      <c r="Y989" s="106"/>
    </row>
    <row r="990">
      <c r="C990" s="79"/>
      <c r="D990" s="79"/>
      <c r="J990" s="79"/>
      <c r="O990" s="79"/>
      <c r="P990" s="79"/>
      <c r="S990" s="79"/>
      <c r="T990" s="79"/>
      <c r="W990" s="130"/>
      <c r="Y990" s="106"/>
    </row>
    <row r="991">
      <c r="C991" s="79"/>
      <c r="D991" s="79"/>
      <c r="J991" s="79"/>
      <c r="O991" s="79"/>
      <c r="P991" s="79"/>
      <c r="S991" s="79"/>
      <c r="T991" s="79"/>
      <c r="W991" s="130"/>
      <c r="Y991" s="106"/>
    </row>
    <row r="992">
      <c r="C992" s="79"/>
      <c r="D992" s="79"/>
      <c r="J992" s="79"/>
      <c r="O992" s="79"/>
      <c r="P992" s="79"/>
      <c r="S992" s="79"/>
      <c r="T992" s="79"/>
      <c r="W992" s="130"/>
      <c r="Y992" s="106"/>
    </row>
    <row r="993">
      <c r="C993" s="79"/>
      <c r="D993" s="79"/>
      <c r="J993" s="79"/>
      <c r="O993" s="79"/>
      <c r="P993" s="79"/>
      <c r="S993" s="79"/>
      <c r="T993" s="79"/>
      <c r="W993" s="130"/>
      <c r="Y993" s="106"/>
    </row>
    <row r="994">
      <c r="C994" s="79"/>
      <c r="D994" s="79"/>
      <c r="J994" s="79"/>
      <c r="O994" s="79"/>
      <c r="P994" s="79"/>
      <c r="S994" s="79"/>
      <c r="T994" s="79"/>
      <c r="W994" s="130"/>
      <c r="Y994" s="106"/>
    </row>
    <row r="995">
      <c r="C995" s="79"/>
      <c r="D995" s="79"/>
      <c r="J995" s="79"/>
      <c r="O995" s="79"/>
      <c r="P995" s="79"/>
      <c r="S995" s="79"/>
      <c r="T995" s="79"/>
      <c r="W995" s="130"/>
      <c r="Y995" s="106"/>
    </row>
    <row r="996">
      <c r="C996" s="79"/>
      <c r="D996" s="79"/>
      <c r="J996" s="79"/>
      <c r="O996" s="79"/>
      <c r="P996" s="79"/>
      <c r="S996" s="79"/>
      <c r="T996" s="79"/>
      <c r="W996" s="130"/>
      <c r="Y996" s="106"/>
    </row>
    <row r="997">
      <c r="C997" s="79"/>
      <c r="D997" s="79"/>
      <c r="J997" s="79"/>
      <c r="O997" s="79"/>
      <c r="P997" s="79"/>
      <c r="S997" s="79"/>
      <c r="T997" s="79"/>
      <c r="W997" s="130"/>
      <c r="Y997" s="106"/>
    </row>
    <row r="998">
      <c r="C998" s="79"/>
      <c r="D998" s="79"/>
      <c r="J998" s="79"/>
      <c r="O998" s="79"/>
      <c r="P998" s="79"/>
      <c r="S998" s="79"/>
      <c r="T998" s="79"/>
      <c r="W998" s="130"/>
      <c r="Y998" s="106"/>
    </row>
    <row r="999">
      <c r="C999" s="79"/>
      <c r="D999" s="79"/>
      <c r="J999" s="79"/>
      <c r="O999" s="79"/>
      <c r="P999" s="79"/>
      <c r="S999" s="79"/>
      <c r="T999" s="79"/>
      <c r="W999" s="130"/>
      <c r="Y999" s="106"/>
    </row>
    <row r="1000">
      <c r="C1000" s="79"/>
      <c r="D1000" s="79"/>
      <c r="J1000" s="79"/>
      <c r="O1000" s="79"/>
      <c r="P1000" s="79"/>
      <c r="S1000" s="79"/>
      <c r="T1000" s="79"/>
      <c r="W1000" s="130"/>
      <c r="Y1000" s="106"/>
    </row>
  </sheetData>
  <mergeCells count="1">
    <mergeCell ref="H19:J19"/>
  </mergeCells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5" max="25" width="17.0"/>
  </cols>
  <sheetData>
    <row r="1">
      <c r="B1" s="2" t="s">
        <v>0</v>
      </c>
      <c r="C1" s="105" t="s">
        <v>1</v>
      </c>
      <c r="D1" s="105" t="s">
        <v>7</v>
      </c>
      <c r="E1" s="2" t="s">
        <v>3</v>
      </c>
      <c r="F1" s="2" t="s">
        <v>129</v>
      </c>
      <c r="G1" s="2" t="s">
        <v>5</v>
      </c>
      <c r="H1" s="2" t="s">
        <v>6</v>
      </c>
      <c r="I1" s="2" t="s">
        <v>43</v>
      </c>
      <c r="J1" s="105" t="s">
        <v>40</v>
      </c>
      <c r="K1" s="2" t="s">
        <v>49</v>
      </c>
      <c r="L1" s="2" t="s">
        <v>42</v>
      </c>
      <c r="M1" s="2" t="s">
        <v>121</v>
      </c>
      <c r="N1" s="2" t="s">
        <v>164</v>
      </c>
      <c r="O1" s="105" t="s">
        <v>9</v>
      </c>
      <c r="P1" s="105" t="s">
        <v>165</v>
      </c>
      <c r="Q1" s="2" t="s">
        <v>37</v>
      </c>
      <c r="R1" s="2" t="s">
        <v>10</v>
      </c>
      <c r="S1" s="105" t="s">
        <v>11</v>
      </c>
      <c r="T1" s="105" t="s">
        <v>167</v>
      </c>
      <c r="U1" s="2" t="s">
        <v>12</v>
      </c>
      <c r="V1" s="3" t="s">
        <v>13</v>
      </c>
      <c r="W1" s="126" t="s">
        <v>14</v>
      </c>
      <c r="X1" s="3" t="s">
        <v>15</v>
      </c>
      <c r="Y1" s="106"/>
    </row>
    <row r="2">
      <c r="A2" s="74">
        <v>45194.0</v>
      </c>
      <c r="B2" s="5">
        <v>1300.52</v>
      </c>
      <c r="C2" s="93">
        <v>1736.75</v>
      </c>
      <c r="D2" s="93"/>
      <c r="E2" s="5"/>
      <c r="F2" s="5"/>
      <c r="G2" s="5"/>
      <c r="H2" s="5"/>
      <c r="I2" s="5"/>
      <c r="J2" s="136"/>
      <c r="K2" s="5">
        <v>168.0</v>
      </c>
      <c r="L2" s="5"/>
      <c r="M2" s="5"/>
      <c r="N2" s="5"/>
      <c r="O2" s="93"/>
      <c r="P2" s="93"/>
      <c r="Q2" s="5"/>
      <c r="R2" s="5"/>
      <c r="S2" s="93">
        <v>57.05</v>
      </c>
      <c r="T2" s="93"/>
      <c r="U2" s="5"/>
      <c r="V2" s="107">
        <f t="shared" ref="V2:V7" si="1">SUM(B2:U2)</f>
        <v>3262.32</v>
      </c>
      <c r="W2" s="108">
        <v>4108.5</v>
      </c>
      <c r="X2" s="59">
        <f t="shared" ref="X2:X8" si="2">V2/W2</f>
        <v>0.794041621</v>
      </c>
      <c r="Y2" s="109">
        <f t="shared" ref="Y2:Y8" si="3">A2</f>
        <v>45194</v>
      </c>
    </row>
    <row r="3">
      <c r="A3" s="74">
        <v>45195.0</v>
      </c>
      <c r="B3" s="5">
        <v>1080.25</v>
      </c>
      <c r="C3" s="110">
        <v>249.2</v>
      </c>
      <c r="D3" s="93"/>
      <c r="E3" s="5"/>
      <c r="F3" s="5">
        <v>403.72</v>
      </c>
      <c r="G3" s="5"/>
      <c r="H3" s="5">
        <v>42.0</v>
      </c>
      <c r="I3" s="5"/>
      <c r="J3" s="93"/>
      <c r="K3" s="5"/>
      <c r="L3" s="5"/>
      <c r="M3" s="6"/>
      <c r="N3" s="6"/>
      <c r="O3" s="93"/>
      <c r="P3" s="93"/>
      <c r="Q3" s="93"/>
      <c r="R3" s="5"/>
      <c r="S3" s="93"/>
      <c r="T3" s="93"/>
      <c r="U3" s="93"/>
      <c r="V3" s="7">
        <f t="shared" si="1"/>
        <v>1775.17</v>
      </c>
      <c r="W3" s="97">
        <v>7696.4</v>
      </c>
      <c r="X3" s="59">
        <f t="shared" si="2"/>
        <v>0.2306493945</v>
      </c>
      <c r="Y3" s="109">
        <f t="shared" si="3"/>
        <v>45195</v>
      </c>
    </row>
    <row r="4">
      <c r="A4" s="74">
        <v>45196.0</v>
      </c>
      <c r="B4" s="5">
        <v>982.93</v>
      </c>
      <c r="C4" s="93">
        <v>529.6</v>
      </c>
      <c r="D4" s="93"/>
      <c r="E4" s="5"/>
      <c r="F4" s="5"/>
      <c r="G4" s="5">
        <v>396.0</v>
      </c>
      <c r="H4" s="5"/>
      <c r="I4" s="5"/>
      <c r="J4" s="93"/>
      <c r="K4" s="5">
        <v>168.0</v>
      </c>
      <c r="L4" s="5">
        <v>1017.0</v>
      </c>
      <c r="M4" s="5">
        <v>18.5</v>
      </c>
      <c r="N4" s="5">
        <v>252.0</v>
      </c>
      <c r="O4" s="93"/>
      <c r="P4" s="93"/>
      <c r="Q4" s="5"/>
      <c r="R4" s="83"/>
      <c r="S4" s="93">
        <v>57.05</v>
      </c>
      <c r="T4" s="93"/>
      <c r="U4" s="6"/>
      <c r="V4" s="7">
        <f t="shared" si="1"/>
        <v>3421.08</v>
      </c>
      <c r="W4" s="97">
        <v>6500.4</v>
      </c>
      <c r="X4" s="59">
        <f t="shared" si="2"/>
        <v>0.5262876131</v>
      </c>
      <c r="Y4" s="109">
        <f t="shared" si="3"/>
        <v>45196</v>
      </c>
    </row>
    <row r="5">
      <c r="A5" s="74">
        <v>45197.0</v>
      </c>
      <c r="B5" s="5">
        <v>992.68</v>
      </c>
      <c r="C5" s="93">
        <v>807.16</v>
      </c>
      <c r="D5" s="101"/>
      <c r="E5" s="5">
        <v>180.0</v>
      </c>
      <c r="F5" s="5"/>
      <c r="G5" s="5">
        <v>198.0</v>
      </c>
      <c r="H5" s="5">
        <v>123.0</v>
      </c>
      <c r="I5" s="5"/>
      <c r="J5" s="93"/>
      <c r="K5" s="5"/>
      <c r="L5" s="5"/>
      <c r="M5" s="5">
        <v>18.5</v>
      </c>
      <c r="N5" s="5"/>
      <c r="O5" s="93"/>
      <c r="P5" s="93"/>
      <c r="Q5" s="5"/>
      <c r="R5" s="5">
        <v>86.4</v>
      </c>
      <c r="S5" s="101"/>
      <c r="T5" s="101"/>
      <c r="U5" s="5">
        <v>24.34</v>
      </c>
      <c r="V5" s="7">
        <f t="shared" si="1"/>
        <v>2430.08</v>
      </c>
      <c r="W5" s="98">
        <v>27718.3</v>
      </c>
      <c r="X5" s="59">
        <f t="shared" si="2"/>
        <v>0.08767060029</v>
      </c>
      <c r="Y5" s="109">
        <f t="shared" si="3"/>
        <v>45197</v>
      </c>
    </row>
    <row r="6">
      <c r="A6" s="74">
        <v>45198.0</v>
      </c>
      <c r="B6" s="5">
        <v>1446.72</v>
      </c>
      <c r="C6" s="93">
        <v>137.74</v>
      </c>
      <c r="D6" s="93"/>
      <c r="E6" s="5"/>
      <c r="F6" s="32">
        <v>415.7</v>
      </c>
      <c r="G6" s="5"/>
      <c r="H6" s="5"/>
      <c r="I6" s="5"/>
      <c r="J6" s="111"/>
      <c r="K6" s="5"/>
      <c r="L6" s="5"/>
      <c r="M6" s="5">
        <v>18.5</v>
      </c>
      <c r="N6" s="5"/>
      <c r="O6" s="93"/>
      <c r="P6" s="93"/>
      <c r="Q6" s="5"/>
      <c r="R6" s="5"/>
      <c r="S6" s="93">
        <v>57.05</v>
      </c>
      <c r="T6" s="93"/>
      <c r="U6" s="5"/>
      <c r="V6" s="7">
        <f t="shared" si="1"/>
        <v>2075.71</v>
      </c>
      <c r="W6" s="97">
        <v>11966.89</v>
      </c>
      <c r="X6" s="59">
        <f t="shared" si="2"/>
        <v>0.173454423</v>
      </c>
      <c r="Y6" s="109">
        <f t="shared" si="3"/>
        <v>45198</v>
      </c>
    </row>
    <row r="7">
      <c r="A7" s="74">
        <v>45199.0</v>
      </c>
      <c r="B7" s="5">
        <v>1794.79</v>
      </c>
      <c r="C7" s="93">
        <v>293.41</v>
      </c>
      <c r="D7" s="93"/>
      <c r="E7" s="5"/>
      <c r="F7" s="5"/>
      <c r="G7" s="5"/>
      <c r="H7" s="5"/>
      <c r="I7" s="5"/>
      <c r="J7" s="101"/>
      <c r="K7" s="5"/>
      <c r="L7" s="5"/>
      <c r="M7" s="93"/>
      <c r="N7" s="93"/>
      <c r="O7" s="93"/>
      <c r="P7" s="93"/>
      <c r="Q7" s="6"/>
      <c r="R7" s="6"/>
      <c r="S7" s="101"/>
      <c r="T7" s="101"/>
      <c r="U7" s="5"/>
      <c r="V7" s="7">
        <f t="shared" si="1"/>
        <v>2088.2</v>
      </c>
      <c r="W7" s="97">
        <v>17788.3</v>
      </c>
      <c r="X7" s="59">
        <f t="shared" si="2"/>
        <v>0.1173917687</v>
      </c>
      <c r="Y7" s="109">
        <f t="shared" si="3"/>
        <v>45199</v>
      </c>
    </row>
    <row r="8">
      <c r="A8" s="74">
        <v>45170.0</v>
      </c>
      <c r="B8" s="10" t="s">
        <v>21</v>
      </c>
      <c r="C8" s="112" t="s">
        <v>21</v>
      </c>
      <c r="D8" s="112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12" t="s">
        <v>21</v>
      </c>
      <c r="K8" s="10" t="s">
        <v>21</v>
      </c>
      <c r="L8" s="10" t="s">
        <v>21</v>
      </c>
      <c r="M8" s="10"/>
      <c r="N8" s="10"/>
      <c r="O8" s="112" t="s">
        <v>21</v>
      </c>
      <c r="P8" s="112"/>
      <c r="Q8" s="10" t="s">
        <v>21</v>
      </c>
      <c r="R8" s="10" t="s">
        <v>21</v>
      </c>
      <c r="S8" s="112" t="s">
        <v>21</v>
      </c>
      <c r="T8" s="112"/>
      <c r="U8" s="10" t="s">
        <v>21</v>
      </c>
      <c r="V8" s="7">
        <v>0.0</v>
      </c>
      <c r="W8" s="97">
        <v>9640.6</v>
      </c>
      <c r="X8" s="59">
        <f t="shared" si="2"/>
        <v>0</v>
      </c>
      <c r="Y8" s="109">
        <f t="shared" si="3"/>
        <v>45170</v>
      </c>
    </row>
    <row r="9">
      <c r="C9" s="136"/>
      <c r="D9" s="138"/>
      <c r="J9" s="79"/>
      <c r="S9" s="79"/>
      <c r="T9" s="79"/>
      <c r="W9" s="129"/>
      <c r="Y9" s="106"/>
    </row>
    <row r="10">
      <c r="C10" s="79"/>
      <c r="D10" s="79"/>
      <c r="J10" s="79"/>
      <c r="O10" s="79"/>
      <c r="P10" s="79"/>
      <c r="S10" s="79"/>
      <c r="T10" s="79"/>
      <c r="W10" s="130"/>
      <c r="Y10" s="106"/>
    </row>
    <row r="11">
      <c r="A11" s="4" t="s">
        <v>22</v>
      </c>
      <c r="B11" s="11">
        <v>13000.0</v>
      </c>
      <c r="C11" s="79"/>
      <c r="D11" s="79"/>
      <c r="E11" s="78"/>
      <c r="F11" s="79"/>
      <c r="J11" s="79"/>
      <c r="O11" s="79"/>
      <c r="P11" s="79"/>
      <c r="S11" s="79"/>
      <c r="T11" s="79"/>
      <c r="W11" s="131"/>
      <c r="Y11" s="106"/>
    </row>
    <row r="12">
      <c r="A12" s="4" t="s">
        <v>23</v>
      </c>
      <c r="B12" s="12">
        <f>SUM(B2:U8)+C9</f>
        <v>15052.56</v>
      </c>
      <c r="C12" s="79"/>
      <c r="D12" s="79"/>
      <c r="E12" s="56"/>
      <c r="J12" s="79"/>
      <c r="O12" s="79"/>
      <c r="P12" s="79"/>
      <c r="S12" s="79"/>
      <c r="T12" s="79"/>
      <c r="W12" s="130"/>
      <c r="Y12" s="106"/>
    </row>
    <row r="13">
      <c r="A13" s="4" t="s">
        <v>24</v>
      </c>
      <c r="B13" s="12">
        <f> SUM(B11-B12)</f>
        <v>-2052.56</v>
      </c>
      <c r="C13" s="79"/>
      <c r="D13" s="79"/>
      <c r="J13" s="79"/>
      <c r="O13" s="79"/>
      <c r="P13" s="79"/>
      <c r="S13" s="79"/>
      <c r="T13" s="79"/>
      <c r="W13" s="130"/>
      <c r="Y13" s="106"/>
    </row>
    <row r="14">
      <c r="C14" s="79"/>
      <c r="D14" s="79"/>
      <c r="J14" s="79"/>
      <c r="O14" s="79"/>
      <c r="P14" s="79"/>
      <c r="S14" s="79"/>
      <c r="T14" s="79"/>
      <c r="W14" s="130"/>
      <c r="Y14" s="106"/>
    </row>
    <row r="15">
      <c r="A15" s="13" t="s">
        <v>25</v>
      </c>
      <c r="B15" s="14">
        <f>SUM(W2:W8)</f>
        <v>85419.39</v>
      </c>
      <c r="C15" s="79"/>
      <c r="D15" s="79"/>
      <c r="J15" s="79"/>
      <c r="O15" s="79"/>
      <c r="P15" s="79"/>
      <c r="S15" s="79"/>
      <c r="T15" s="79"/>
      <c r="W15" s="130"/>
      <c r="Y15" s="106"/>
    </row>
    <row r="16">
      <c r="A16" s="13" t="s">
        <v>26</v>
      </c>
      <c r="B16" s="15">
        <f>B12/B15</f>
        <v>0.1762194743</v>
      </c>
      <c r="C16" s="79"/>
      <c r="D16" s="79"/>
      <c r="J16" s="79"/>
      <c r="O16" s="79"/>
      <c r="P16" s="79"/>
      <c r="S16" s="79"/>
      <c r="T16" s="79"/>
      <c r="W16" s="130"/>
      <c r="Y16" s="106"/>
    </row>
    <row r="17">
      <c r="C17" s="79"/>
      <c r="D17" s="79"/>
      <c r="J17" s="79"/>
      <c r="O17" s="79"/>
      <c r="P17" s="79"/>
      <c r="S17" s="79"/>
      <c r="T17" s="79"/>
      <c r="W17" s="130"/>
      <c r="Y17" s="106"/>
    </row>
    <row r="18">
      <c r="C18" s="79"/>
      <c r="D18" s="79"/>
      <c r="J18" s="79"/>
      <c r="O18" s="79"/>
      <c r="P18" s="79"/>
      <c r="S18" s="79"/>
      <c r="T18" s="79"/>
      <c r="W18" s="130"/>
      <c r="Y18" s="106"/>
    </row>
    <row r="19">
      <c r="A19" s="16" t="s">
        <v>27</v>
      </c>
      <c r="B19" s="17"/>
      <c r="C19" s="114"/>
      <c r="D19" s="115"/>
      <c r="H19" s="84"/>
      <c r="O19" s="79"/>
      <c r="P19" s="79"/>
      <c r="S19" s="79"/>
      <c r="T19" s="79"/>
      <c r="W19" s="130"/>
      <c r="Y19" s="106"/>
    </row>
    <row r="20">
      <c r="A20" s="19" t="s">
        <v>28</v>
      </c>
      <c r="B20" s="20"/>
      <c r="C20" s="116"/>
      <c r="D20" s="117"/>
      <c r="H20" s="85"/>
      <c r="I20" s="85"/>
      <c r="J20" s="118"/>
      <c r="O20" s="79"/>
      <c r="P20" s="79"/>
      <c r="S20" s="79"/>
      <c r="T20" s="79"/>
      <c r="W20" s="130"/>
      <c r="Y20" s="106"/>
    </row>
    <row r="21">
      <c r="A21" s="22" t="s">
        <v>29</v>
      </c>
      <c r="B21" s="23" t="s">
        <v>30</v>
      </c>
      <c r="C21" s="119" t="s">
        <v>170</v>
      </c>
      <c r="D21" s="120" t="s">
        <v>171</v>
      </c>
      <c r="H21" s="86"/>
      <c r="I21" s="85"/>
      <c r="J21" s="118"/>
      <c r="O21" s="79"/>
      <c r="P21" s="79"/>
      <c r="S21" s="79"/>
      <c r="T21" s="79"/>
      <c r="W21" s="130"/>
      <c r="Y21" s="106"/>
    </row>
    <row r="22">
      <c r="A22" s="28" t="s">
        <v>149</v>
      </c>
      <c r="B22" s="72"/>
      <c r="C22" s="121"/>
      <c r="D22" s="122"/>
      <c r="H22" s="87"/>
      <c r="I22" s="85"/>
      <c r="J22" s="118"/>
      <c r="O22" s="79"/>
      <c r="P22" s="79"/>
      <c r="S22" s="79"/>
      <c r="T22" s="79"/>
      <c r="W22" s="130"/>
      <c r="Y22" s="106"/>
    </row>
    <row r="23">
      <c r="A23" s="28" t="s">
        <v>150</v>
      </c>
      <c r="B23" s="58">
        <v>1108.18</v>
      </c>
      <c r="C23" s="57" t="s">
        <v>181</v>
      </c>
      <c r="D23" s="140" t="s">
        <v>182</v>
      </c>
      <c r="H23" s="88"/>
      <c r="I23" s="88"/>
      <c r="J23" s="123"/>
      <c r="O23" s="79"/>
      <c r="P23" s="79"/>
      <c r="S23" s="79"/>
      <c r="T23" s="79"/>
      <c r="W23" s="130"/>
      <c r="Y23" s="106"/>
    </row>
    <row r="24">
      <c r="A24" s="71" t="s">
        <v>108</v>
      </c>
      <c r="B24" s="72"/>
      <c r="C24" s="71"/>
      <c r="D24" s="124"/>
      <c r="H24" s="88"/>
      <c r="I24" s="88"/>
      <c r="J24" s="123"/>
      <c r="O24" s="79"/>
      <c r="P24" s="79"/>
      <c r="S24" s="79"/>
      <c r="T24" s="79"/>
      <c r="W24" s="130"/>
      <c r="Y24" s="106"/>
    </row>
    <row r="25">
      <c r="A25" s="28" t="s">
        <v>159</v>
      </c>
      <c r="B25" s="41"/>
      <c r="C25" s="121"/>
      <c r="D25" s="124"/>
      <c r="H25" s="88"/>
      <c r="I25" s="88"/>
      <c r="J25" s="123"/>
      <c r="O25" s="79"/>
      <c r="P25" s="79"/>
      <c r="S25" s="79"/>
      <c r="T25" s="79"/>
      <c r="W25" s="130"/>
      <c r="Y25" s="106"/>
    </row>
    <row r="26">
      <c r="A26" s="28" t="s">
        <v>160</v>
      </c>
      <c r="B26" s="41"/>
      <c r="C26" s="71"/>
      <c r="D26" s="124"/>
      <c r="H26" s="88"/>
      <c r="I26" s="88"/>
      <c r="J26" s="123"/>
      <c r="O26" s="79"/>
      <c r="P26" s="79"/>
      <c r="S26" s="79"/>
      <c r="T26" s="79"/>
      <c r="W26" s="130"/>
      <c r="Y26" s="106"/>
    </row>
    <row r="27">
      <c r="A27" s="28" t="s">
        <v>172</v>
      </c>
      <c r="B27" s="41"/>
      <c r="C27" s="71"/>
      <c r="D27" s="122"/>
      <c r="H27" s="88"/>
      <c r="I27" s="88"/>
      <c r="J27" s="123"/>
      <c r="O27" s="79"/>
      <c r="P27" s="79"/>
      <c r="S27" s="79"/>
      <c r="T27" s="79"/>
      <c r="W27" s="130"/>
      <c r="Y27" s="106"/>
    </row>
    <row r="28">
      <c r="A28" s="25"/>
      <c r="B28" s="26"/>
      <c r="C28" s="121"/>
      <c r="D28" s="122"/>
      <c r="J28" s="79"/>
      <c r="O28" s="79"/>
      <c r="P28" s="79"/>
      <c r="S28" s="79"/>
      <c r="T28" s="79"/>
      <c r="W28" s="132"/>
      <c r="Y28" s="106"/>
    </row>
    <row r="29">
      <c r="A29" s="25"/>
      <c r="B29" s="26"/>
      <c r="C29" s="121"/>
      <c r="D29" s="122"/>
      <c r="I29" s="89"/>
      <c r="J29" s="125"/>
      <c r="O29" s="79"/>
      <c r="P29" s="79"/>
      <c r="S29" s="79"/>
      <c r="T29" s="79"/>
      <c r="W29" s="130"/>
      <c r="Y29" s="106"/>
    </row>
    <row r="30">
      <c r="C30" s="79"/>
      <c r="D30" s="79"/>
      <c r="J30" s="79"/>
      <c r="O30" s="79"/>
      <c r="P30" s="79"/>
      <c r="S30" s="79"/>
      <c r="T30" s="79"/>
      <c r="W30" s="130"/>
      <c r="Y30" s="106"/>
    </row>
    <row r="31">
      <c r="C31" s="79"/>
      <c r="D31" s="79"/>
      <c r="J31" s="79"/>
      <c r="O31" s="79"/>
      <c r="P31" s="79"/>
      <c r="S31" s="79"/>
      <c r="T31" s="79"/>
      <c r="W31" s="130"/>
      <c r="Y31" s="106"/>
    </row>
    <row r="32">
      <c r="C32" s="79"/>
      <c r="D32" s="79"/>
      <c r="J32" s="79"/>
      <c r="O32" s="79"/>
      <c r="P32" s="79"/>
      <c r="S32" s="79"/>
      <c r="T32" s="79"/>
      <c r="W32" s="130"/>
      <c r="Y32" s="106"/>
    </row>
    <row r="33">
      <c r="C33" s="79"/>
      <c r="D33" s="79"/>
      <c r="J33" s="79"/>
      <c r="O33" s="79"/>
      <c r="P33" s="79"/>
      <c r="S33" s="79"/>
      <c r="T33" s="79"/>
      <c r="W33" s="130"/>
      <c r="Y33" s="106"/>
    </row>
    <row r="34">
      <c r="C34" s="79"/>
      <c r="D34" s="79"/>
      <c r="J34" s="79"/>
      <c r="O34" s="79"/>
      <c r="P34" s="79"/>
      <c r="S34" s="79"/>
      <c r="T34" s="79"/>
      <c r="W34" s="130"/>
      <c r="Y34" s="106"/>
    </row>
    <row r="35">
      <c r="C35" s="79"/>
      <c r="D35" s="79"/>
      <c r="J35" s="79"/>
      <c r="O35" s="79"/>
      <c r="P35" s="79"/>
      <c r="S35" s="79"/>
      <c r="T35" s="79"/>
      <c r="W35" s="130"/>
      <c r="Y35" s="106"/>
    </row>
    <row r="36">
      <c r="C36" s="79"/>
      <c r="D36" s="79"/>
      <c r="J36" s="79"/>
      <c r="O36" s="79"/>
      <c r="P36" s="79"/>
      <c r="S36" s="79"/>
      <c r="T36" s="79"/>
      <c r="W36" s="130"/>
      <c r="Y36" s="106"/>
    </row>
    <row r="37">
      <c r="C37" s="79"/>
      <c r="D37" s="79"/>
      <c r="J37" s="79"/>
      <c r="O37" s="79"/>
      <c r="P37" s="79"/>
      <c r="S37" s="79"/>
      <c r="T37" s="79"/>
      <c r="W37" s="130"/>
      <c r="Y37" s="106"/>
    </row>
    <row r="38">
      <c r="C38" s="79"/>
      <c r="D38" s="79"/>
      <c r="J38" s="79"/>
      <c r="O38" s="79"/>
      <c r="P38" s="79"/>
      <c r="S38" s="79"/>
      <c r="T38" s="79"/>
      <c r="W38" s="130"/>
      <c r="Y38" s="106"/>
    </row>
    <row r="39">
      <c r="C39" s="79"/>
      <c r="D39" s="79"/>
      <c r="J39" s="79"/>
      <c r="O39" s="79"/>
      <c r="P39" s="79"/>
      <c r="S39" s="79"/>
      <c r="T39" s="79"/>
      <c r="W39" s="130"/>
      <c r="Y39" s="106"/>
    </row>
    <row r="40">
      <c r="C40" s="79"/>
      <c r="D40" s="79"/>
      <c r="J40" s="79"/>
      <c r="O40" s="79"/>
      <c r="P40" s="79"/>
      <c r="S40" s="79"/>
      <c r="T40" s="79"/>
      <c r="W40" s="130"/>
      <c r="Y40" s="106"/>
    </row>
    <row r="41">
      <c r="C41" s="79"/>
      <c r="D41" s="79"/>
      <c r="J41" s="79"/>
      <c r="O41" s="79"/>
      <c r="P41" s="79"/>
      <c r="S41" s="79"/>
      <c r="T41" s="79"/>
      <c r="W41" s="130"/>
      <c r="Y41" s="106"/>
    </row>
    <row r="42">
      <c r="C42" s="79"/>
      <c r="D42" s="79"/>
      <c r="J42" s="79"/>
      <c r="O42" s="79"/>
      <c r="P42" s="79"/>
      <c r="S42" s="79"/>
      <c r="T42" s="79"/>
      <c r="W42" s="130"/>
      <c r="Y42" s="106"/>
    </row>
    <row r="43">
      <c r="C43" s="79"/>
      <c r="D43" s="79"/>
      <c r="J43" s="79"/>
      <c r="O43" s="79"/>
      <c r="P43" s="79"/>
      <c r="S43" s="79"/>
      <c r="T43" s="79"/>
      <c r="W43" s="130"/>
      <c r="Y43" s="106"/>
    </row>
    <row r="44">
      <c r="C44" s="79"/>
      <c r="D44" s="79"/>
      <c r="J44" s="79"/>
      <c r="O44" s="79"/>
      <c r="P44" s="79"/>
      <c r="S44" s="79"/>
      <c r="T44" s="79"/>
      <c r="W44" s="130"/>
      <c r="Y44" s="106"/>
    </row>
    <row r="45">
      <c r="C45" s="79"/>
      <c r="D45" s="79"/>
      <c r="J45" s="79"/>
      <c r="O45" s="79"/>
      <c r="P45" s="79"/>
      <c r="S45" s="79"/>
      <c r="T45" s="79"/>
      <c r="W45" s="130"/>
      <c r="Y45" s="106"/>
    </row>
    <row r="46">
      <c r="C46" s="79"/>
      <c r="D46" s="79"/>
      <c r="J46" s="79"/>
      <c r="O46" s="79"/>
      <c r="P46" s="79"/>
      <c r="S46" s="79"/>
      <c r="T46" s="79"/>
      <c r="W46" s="130"/>
      <c r="Y46" s="106"/>
    </row>
    <row r="47">
      <c r="C47" s="79"/>
      <c r="D47" s="79"/>
      <c r="J47" s="79"/>
      <c r="O47" s="79"/>
      <c r="P47" s="79"/>
      <c r="S47" s="79"/>
      <c r="T47" s="79"/>
      <c r="W47" s="130"/>
      <c r="Y47" s="106"/>
    </row>
    <row r="48">
      <c r="C48" s="79"/>
      <c r="D48" s="79"/>
      <c r="J48" s="79"/>
      <c r="O48" s="79"/>
      <c r="P48" s="79"/>
      <c r="S48" s="79"/>
      <c r="T48" s="79"/>
      <c r="W48" s="130"/>
      <c r="Y48" s="106"/>
    </row>
    <row r="49">
      <c r="C49" s="79"/>
      <c r="D49" s="79"/>
      <c r="J49" s="79"/>
      <c r="O49" s="79"/>
      <c r="P49" s="79"/>
      <c r="S49" s="79"/>
      <c r="T49" s="79"/>
      <c r="W49" s="130"/>
      <c r="Y49" s="106"/>
    </row>
    <row r="50">
      <c r="C50" s="79"/>
      <c r="D50" s="79"/>
      <c r="J50" s="79"/>
      <c r="O50" s="79"/>
      <c r="P50" s="79"/>
      <c r="S50" s="79"/>
      <c r="T50" s="79"/>
      <c r="W50" s="130"/>
      <c r="Y50" s="106"/>
    </row>
    <row r="51">
      <c r="C51" s="79"/>
      <c r="D51" s="79"/>
      <c r="J51" s="79"/>
      <c r="O51" s="79"/>
      <c r="P51" s="79"/>
      <c r="S51" s="79"/>
      <c r="T51" s="79"/>
      <c r="W51" s="130"/>
      <c r="Y51" s="106"/>
    </row>
    <row r="52">
      <c r="C52" s="79"/>
      <c r="D52" s="79"/>
      <c r="J52" s="79"/>
      <c r="O52" s="79"/>
      <c r="P52" s="79"/>
      <c r="S52" s="79"/>
      <c r="T52" s="79"/>
      <c r="W52" s="130"/>
      <c r="Y52" s="106"/>
    </row>
    <row r="53">
      <c r="C53" s="79"/>
      <c r="D53" s="79"/>
      <c r="J53" s="79"/>
      <c r="O53" s="79"/>
      <c r="P53" s="79"/>
      <c r="S53" s="79"/>
      <c r="T53" s="79"/>
      <c r="W53" s="130"/>
      <c r="Y53" s="106"/>
    </row>
    <row r="54">
      <c r="C54" s="79"/>
      <c r="D54" s="79"/>
      <c r="J54" s="79"/>
      <c r="O54" s="79"/>
      <c r="P54" s="79"/>
      <c r="S54" s="79"/>
      <c r="T54" s="79"/>
      <c r="W54" s="130"/>
      <c r="Y54" s="106"/>
    </row>
    <row r="55">
      <c r="C55" s="79"/>
      <c r="D55" s="79"/>
      <c r="J55" s="79"/>
      <c r="O55" s="79"/>
      <c r="P55" s="79"/>
      <c r="S55" s="79"/>
      <c r="T55" s="79"/>
      <c r="W55" s="130"/>
      <c r="Y55" s="106"/>
    </row>
    <row r="56">
      <c r="C56" s="79"/>
      <c r="D56" s="79"/>
      <c r="J56" s="79"/>
      <c r="O56" s="79"/>
      <c r="P56" s="79"/>
      <c r="S56" s="79"/>
      <c r="T56" s="79"/>
      <c r="W56" s="130"/>
      <c r="Y56" s="106"/>
    </row>
    <row r="57">
      <c r="C57" s="79"/>
      <c r="D57" s="79"/>
      <c r="J57" s="79"/>
      <c r="O57" s="79"/>
      <c r="P57" s="79"/>
      <c r="S57" s="79"/>
      <c r="T57" s="79"/>
      <c r="W57" s="130"/>
      <c r="Y57" s="106"/>
    </row>
    <row r="58">
      <c r="C58" s="79"/>
      <c r="D58" s="79"/>
      <c r="J58" s="79"/>
      <c r="O58" s="79"/>
      <c r="P58" s="79"/>
      <c r="S58" s="79"/>
      <c r="T58" s="79"/>
      <c r="W58" s="130"/>
      <c r="Y58" s="106"/>
    </row>
    <row r="59">
      <c r="C59" s="79"/>
      <c r="D59" s="79"/>
      <c r="J59" s="79"/>
      <c r="O59" s="79"/>
      <c r="P59" s="79"/>
      <c r="S59" s="79"/>
      <c r="T59" s="79"/>
      <c r="W59" s="130"/>
      <c r="Y59" s="106"/>
    </row>
    <row r="60">
      <c r="C60" s="79"/>
      <c r="D60" s="79"/>
      <c r="J60" s="79"/>
      <c r="O60" s="79"/>
      <c r="P60" s="79"/>
      <c r="S60" s="79"/>
      <c r="T60" s="79"/>
      <c r="W60" s="130"/>
      <c r="Y60" s="106"/>
    </row>
    <row r="61">
      <c r="C61" s="79"/>
      <c r="D61" s="79"/>
      <c r="J61" s="79"/>
      <c r="O61" s="79"/>
      <c r="P61" s="79"/>
      <c r="S61" s="79"/>
      <c r="T61" s="79"/>
      <c r="W61" s="130"/>
      <c r="Y61" s="106"/>
    </row>
    <row r="62">
      <c r="C62" s="79"/>
      <c r="D62" s="79"/>
      <c r="J62" s="79"/>
      <c r="O62" s="79"/>
      <c r="P62" s="79"/>
      <c r="S62" s="79"/>
      <c r="T62" s="79"/>
      <c r="W62" s="130"/>
      <c r="Y62" s="106"/>
    </row>
    <row r="63">
      <c r="C63" s="79"/>
      <c r="D63" s="79"/>
      <c r="J63" s="79"/>
      <c r="O63" s="79"/>
      <c r="P63" s="79"/>
      <c r="S63" s="79"/>
      <c r="T63" s="79"/>
      <c r="W63" s="130"/>
      <c r="Y63" s="106"/>
    </row>
    <row r="64">
      <c r="C64" s="79"/>
      <c r="D64" s="79"/>
      <c r="J64" s="79"/>
      <c r="O64" s="79"/>
      <c r="P64" s="79"/>
      <c r="S64" s="79"/>
      <c r="T64" s="79"/>
      <c r="W64" s="130"/>
      <c r="Y64" s="106"/>
    </row>
    <row r="65">
      <c r="C65" s="79"/>
      <c r="D65" s="79"/>
      <c r="J65" s="79"/>
      <c r="O65" s="79"/>
      <c r="P65" s="79"/>
      <c r="S65" s="79"/>
      <c r="T65" s="79"/>
      <c r="W65" s="130"/>
      <c r="Y65" s="106"/>
    </row>
    <row r="66">
      <c r="C66" s="79"/>
      <c r="D66" s="79"/>
      <c r="J66" s="79"/>
      <c r="O66" s="79"/>
      <c r="P66" s="79"/>
      <c r="S66" s="79"/>
      <c r="T66" s="79"/>
      <c r="W66" s="130"/>
      <c r="Y66" s="106"/>
    </row>
    <row r="67">
      <c r="C67" s="79"/>
      <c r="D67" s="79"/>
      <c r="J67" s="79"/>
      <c r="O67" s="79"/>
      <c r="P67" s="79"/>
      <c r="S67" s="79"/>
      <c r="T67" s="79"/>
      <c r="W67" s="130"/>
      <c r="Y67" s="106"/>
    </row>
    <row r="68">
      <c r="C68" s="79"/>
      <c r="D68" s="79"/>
      <c r="J68" s="79"/>
      <c r="O68" s="79"/>
      <c r="P68" s="79"/>
      <c r="S68" s="79"/>
      <c r="T68" s="79"/>
      <c r="W68" s="130"/>
      <c r="Y68" s="106"/>
    </row>
    <row r="69">
      <c r="C69" s="79"/>
      <c r="D69" s="79"/>
      <c r="J69" s="79"/>
      <c r="O69" s="79"/>
      <c r="P69" s="79"/>
      <c r="S69" s="79"/>
      <c r="T69" s="79"/>
      <c r="W69" s="130"/>
      <c r="Y69" s="106"/>
    </row>
    <row r="70">
      <c r="C70" s="79"/>
      <c r="D70" s="79"/>
      <c r="J70" s="79"/>
      <c r="O70" s="79"/>
      <c r="P70" s="79"/>
      <c r="S70" s="79"/>
      <c r="T70" s="79"/>
      <c r="W70" s="130"/>
      <c r="Y70" s="106"/>
    </row>
    <row r="71">
      <c r="C71" s="79"/>
      <c r="D71" s="79"/>
      <c r="J71" s="79"/>
      <c r="O71" s="79"/>
      <c r="P71" s="79"/>
      <c r="S71" s="79"/>
      <c r="T71" s="79"/>
      <c r="W71" s="130"/>
      <c r="Y71" s="106"/>
    </row>
    <row r="72">
      <c r="C72" s="79"/>
      <c r="D72" s="79"/>
      <c r="J72" s="79"/>
      <c r="O72" s="79"/>
      <c r="P72" s="79"/>
      <c r="S72" s="79"/>
      <c r="T72" s="79"/>
      <c r="W72" s="130"/>
      <c r="Y72" s="106"/>
    </row>
    <row r="73">
      <c r="C73" s="79"/>
      <c r="D73" s="79"/>
      <c r="J73" s="79"/>
      <c r="O73" s="79"/>
      <c r="P73" s="79"/>
      <c r="S73" s="79"/>
      <c r="T73" s="79"/>
      <c r="W73" s="130"/>
      <c r="Y73" s="106"/>
    </row>
    <row r="74">
      <c r="C74" s="79"/>
      <c r="D74" s="79"/>
      <c r="J74" s="79"/>
      <c r="O74" s="79"/>
      <c r="P74" s="79"/>
      <c r="S74" s="79"/>
      <c r="T74" s="79"/>
      <c r="W74" s="130"/>
      <c r="Y74" s="106"/>
    </row>
    <row r="75">
      <c r="C75" s="79"/>
      <c r="D75" s="79"/>
      <c r="J75" s="79"/>
      <c r="O75" s="79"/>
      <c r="P75" s="79"/>
      <c r="S75" s="79"/>
      <c r="T75" s="79"/>
      <c r="W75" s="130"/>
      <c r="Y75" s="106"/>
    </row>
    <row r="76">
      <c r="C76" s="79"/>
      <c r="D76" s="79"/>
      <c r="J76" s="79"/>
      <c r="O76" s="79"/>
      <c r="P76" s="79"/>
      <c r="S76" s="79"/>
      <c r="T76" s="79"/>
      <c r="W76" s="130"/>
      <c r="Y76" s="106"/>
    </row>
    <row r="77">
      <c r="C77" s="79"/>
      <c r="D77" s="79"/>
      <c r="J77" s="79"/>
      <c r="O77" s="79"/>
      <c r="P77" s="79"/>
      <c r="S77" s="79"/>
      <c r="T77" s="79"/>
      <c r="W77" s="130"/>
      <c r="Y77" s="106"/>
    </row>
    <row r="78">
      <c r="C78" s="79"/>
      <c r="D78" s="79"/>
      <c r="J78" s="79"/>
      <c r="O78" s="79"/>
      <c r="P78" s="79"/>
      <c r="S78" s="79"/>
      <c r="T78" s="79"/>
      <c r="W78" s="130"/>
      <c r="Y78" s="106"/>
    </row>
    <row r="79">
      <c r="C79" s="79"/>
      <c r="D79" s="79"/>
      <c r="J79" s="79"/>
      <c r="O79" s="79"/>
      <c r="P79" s="79"/>
      <c r="S79" s="79"/>
      <c r="T79" s="79"/>
      <c r="W79" s="130"/>
      <c r="Y79" s="106"/>
    </row>
    <row r="80">
      <c r="C80" s="79"/>
      <c r="D80" s="79"/>
      <c r="J80" s="79"/>
      <c r="O80" s="79"/>
      <c r="P80" s="79"/>
      <c r="S80" s="79"/>
      <c r="T80" s="79"/>
      <c r="W80" s="130"/>
      <c r="Y80" s="106"/>
    </row>
    <row r="81">
      <c r="C81" s="79"/>
      <c r="D81" s="79"/>
      <c r="J81" s="79"/>
      <c r="O81" s="79"/>
      <c r="P81" s="79"/>
      <c r="S81" s="79"/>
      <c r="T81" s="79"/>
      <c r="W81" s="130"/>
      <c r="Y81" s="106"/>
    </row>
    <row r="82">
      <c r="C82" s="79"/>
      <c r="D82" s="79"/>
      <c r="J82" s="79"/>
      <c r="O82" s="79"/>
      <c r="P82" s="79"/>
      <c r="S82" s="79"/>
      <c r="T82" s="79"/>
      <c r="W82" s="130"/>
      <c r="Y82" s="106"/>
    </row>
    <row r="83">
      <c r="C83" s="79"/>
      <c r="D83" s="79"/>
      <c r="J83" s="79"/>
      <c r="O83" s="79"/>
      <c r="P83" s="79"/>
      <c r="S83" s="79"/>
      <c r="T83" s="79"/>
      <c r="W83" s="130"/>
      <c r="Y83" s="106"/>
    </row>
    <row r="84">
      <c r="C84" s="79"/>
      <c r="D84" s="79"/>
      <c r="J84" s="79"/>
      <c r="O84" s="79"/>
      <c r="P84" s="79"/>
      <c r="S84" s="79"/>
      <c r="T84" s="79"/>
      <c r="W84" s="130"/>
      <c r="Y84" s="106"/>
    </row>
    <row r="85">
      <c r="C85" s="79"/>
      <c r="D85" s="79"/>
      <c r="J85" s="79"/>
      <c r="O85" s="79"/>
      <c r="P85" s="79"/>
      <c r="S85" s="79"/>
      <c r="T85" s="79"/>
      <c r="W85" s="130"/>
      <c r="Y85" s="106"/>
    </row>
    <row r="86">
      <c r="C86" s="79"/>
      <c r="D86" s="79"/>
      <c r="J86" s="79"/>
      <c r="O86" s="79"/>
      <c r="P86" s="79"/>
      <c r="S86" s="79"/>
      <c r="T86" s="79"/>
      <c r="W86" s="130"/>
      <c r="Y86" s="106"/>
    </row>
    <row r="87">
      <c r="C87" s="79"/>
      <c r="D87" s="79"/>
      <c r="J87" s="79"/>
      <c r="O87" s="79"/>
      <c r="P87" s="79"/>
      <c r="S87" s="79"/>
      <c r="T87" s="79"/>
      <c r="W87" s="130"/>
      <c r="Y87" s="106"/>
    </row>
    <row r="88">
      <c r="C88" s="79"/>
      <c r="D88" s="79"/>
      <c r="J88" s="79"/>
      <c r="O88" s="79"/>
      <c r="P88" s="79"/>
      <c r="S88" s="79"/>
      <c r="T88" s="79"/>
      <c r="W88" s="130"/>
      <c r="Y88" s="106"/>
    </row>
    <row r="89">
      <c r="C89" s="79"/>
      <c r="D89" s="79"/>
      <c r="J89" s="79"/>
      <c r="O89" s="79"/>
      <c r="P89" s="79"/>
      <c r="S89" s="79"/>
      <c r="T89" s="79"/>
      <c r="W89" s="130"/>
      <c r="Y89" s="106"/>
    </row>
    <row r="90">
      <c r="C90" s="79"/>
      <c r="D90" s="79"/>
      <c r="J90" s="79"/>
      <c r="O90" s="79"/>
      <c r="P90" s="79"/>
      <c r="S90" s="79"/>
      <c r="T90" s="79"/>
      <c r="W90" s="130"/>
      <c r="Y90" s="106"/>
    </row>
    <row r="91">
      <c r="C91" s="79"/>
      <c r="D91" s="79"/>
      <c r="J91" s="79"/>
      <c r="O91" s="79"/>
      <c r="P91" s="79"/>
      <c r="S91" s="79"/>
      <c r="T91" s="79"/>
      <c r="W91" s="130"/>
      <c r="Y91" s="106"/>
    </row>
    <row r="92">
      <c r="C92" s="79"/>
      <c r="D92" s="79"/>
      <c r="J92" s="79"/>
      <c r="O92" s="79"/>
      <c r="P92" s="79"/>
      <c r="S92" s="79"/>
      <c r="T92" s="79"/>
      <c r="W92" s="130"/>
      <c r="Y92" s="106"/>
    </row>
    <row r="93">
      <c r="C93" s="79"/>
      <c r="D93" s="79"/>
      <c r="J93" s="79"/>
      <c r="O93" s="79"/>
      <c r="P93" s="79"/>
      <c r="S93" s="79"/>
      <c r="T93" s="79"/>
      <c r="W93" s="130"/>
      <c r="Y93" s="106"/>
    </row>
    <row r="94">
      <c r="C94" s="79"/>
      <c r="D94" s="79"/>
      <c r="J94" s="79"/>
      <c r="O94" s="79"/>
      <c r="P94" s="79"/>
      <c r="S94" s="79"/>
      <c r="T94" s="79"/>
      <c r="W94" s="130"/>
      <c r="Y94" s="106"/>
    </row>
    <row r="95">
      <c r="C95" s="79"/>
      <c r="D95" s="79"/>
      <c r="J95" s="79"/>
      <c r="O95" s="79"/>
      <c r="P95" s="79"/>
      <c r="S95" s="79"/>
      <c r="T95" s="79"/>
      <c r="W95" s="130"/>
      <c r="Y95" s="106"/>
    </row>
    <row r="96">
      <c r="C96" s="79"/>
      <c r="D96" s="79"/>
      <c r="J96" s="79"/>
      <c r="O96" s="79"/>
      <c r="P96" s="79"/>
      <c r="S96" s="79"/>
      <c r="T96" s="79"/>
      <c r="W96" s="130"/>
      <c r="Y96" s="106"/>
    </row>
    <row r="97">
      <c r="C97" s="79"/>
      <c r="D97" s="79"/>
      <c r="J97" s="79"/>
      <c r="O97" s="79"/>
      <c r="P97" s="79"/>
      <c r="S97" s="79"/>
      <c r="T97" s="79"/>
      <c r="W97" s="130"/>
      <c r="Y97" s="106"/>
    </row>
    <row r="98">
      <c r="C98" s="79"/>
      <c r="D98" s="79"/>
      <c r="J98" s="79"/>
      <c r="O98" s="79"/>
      <c r="P98" s="79"/>
      <c r="S98" s="79"/>
      <c r="T98" s="79"/>
      <c r="W98" s="130"/>
      <c r="Y98" s="106"/>
    </row>
    <row r="99">
      <c r="C99" s="79"/>
      <c r="D99" s="79"/>
      <c r="J99" s="79"/>
      <c r="O99" s="79"/>
      <c r="P99" s="79"/>
      <c r="S99" s="79"/>
      <c r="T99" s="79"/>
      <c r="W99" s="130"/>
      <c r="Y99" s="106"/>
    </row>
    <row r="100">
      <c r="C100" s="79"/>
      <c r="D100" s="79"/>
      <c r="J100" s="79"/>
      <c r="O100" s="79"/>
      <c r="P100" s="79"/>
      <c r="S100" s="79"/>
      <c r="T100" s="79"/>
      <c r="W100" s="130"/>
      <c r="Y100" s="106"/>
    </row>
    <row r="101">
      <c r="C101" s="79"/>
      <c r="D101" s="79"/>
      <c r="J101" s="79"/>
      <c r="O101" s="79"/>
      <c r="P101" s="79"/>
      <c r="S101" s="79"/>
      <c r="T101" s="79"/>
      <c r="W101" s="130"/>
      <c r="Y101" s="106"/>
    </row>
    <row r="102">
      <c r="C102" s="79"/>
      <c r="D102" s="79"/>
      <c r="J102" s="79"/>
      <c r="O102" s="79"/>
      <c r="P102" s="79"/>
      <c r="S102" s="79"/>
      <c r="T102" s="79"/>
      <c r="W102" s="130"/>
      <c r="Y102" s="106"/>
    </row>
    <row r="103">
      <c r="C103" s="79"/>
      <c r="D103" s="79"/>
      <c r="J103" s="79"/>
      <c r="O103" s="79"/>
      <c r="P103" s="79"/>
      <c r="S103" s="79"/>
      <c r="T103" s="79"/>
      <c r="W103" s="130"/>
      <c r="Y103" s="106"/>
    </row>
    <row r="104">
      <c r="C104" s="79"/>
      <c r="D104" s="79"/>
      <c r="J104" s="79"/>
      <c r="O104" s="79"/>
      <c r="P104" s="79"/>
      <c r="S104" s="79"/>
      <c r="T104" s="79"/>
      <c r="W104" s="130"/>
      <c r="Y104" s="106"/>
    </row>
    <row r="105">
      <c r="C105" s="79"/>
      <c r="D105" s="79"/>
      <c r="J105" s="79"/>
      <c r="O105" s="79"/>
      <c r="P105" s="79"/>
      <c r="S105" s="79"/>
      <c r="T105" s="79"/>
      <c r="W105" s="130"/>
      <c r="Y105" s="106"/>
    </row>
    <row r="106">
      <c r="C106" s="79"/>
      <c r="D106" s="79"/>
      <c r="J106" s="79"/>
      <c r="O106" s="79"/>
      <c r="P106" s="79"/>
      <c r="S106" s="79"/>
      <c r="T106" s="79"/>
      <c r="W106" s="130"/>
      <c r="Y106" s="106"/>
    </row>
    <row r="107">
      <c r="C107" s="79"/>
      <c r="D107" s="79"/>
      <c r="J107" s="79"/>
      <c r="O107" s="79"/>
      <c r="P107" s="79"/>
      <c r="S107" s="79"/>
      <c r="T107" s="79"/>
      <c r="W107" s="130"/>
      <c r="Y107" s="106"/>
    </row>
    <row r="108">
      <c r="C108" s="79"/>
      <c r="D108" s="79"/>
      <c r="J108" s="79"/>
      <c r="O108" s="79"/>
      <c r="P108" s="79"/>
      <c r="S108" s="79"/>
      <c r="T108" s="79"/>
      <c r="W108" s="130"/>
      <c r="Y108" s="106"/>
    </row>
    <row r="109">
      <c r="C109" s="79"/>
      <c r="D109" s="79"/>
      <c r="J109" s="79"/>
      <c r="O109" s="79"/>
      <c r="P109" s="79"/>
      <c r="S109" s="79"/>
      <c r="T109" s="79"/>
      <c r="W109" s="130"/>
      <c r="Y109" s="106"/>
    </row>
    <row r="110">
      <c r="C110" s="79"/>
      <c r="D110" s="79"/>
      <c r="J110" s="79"/>
      <c r="O110" s="79"/>
      <c r="P110" s="79"/>
      <c r="S110" s="79"/>
      <c r="T110" s="79"/>
      <c r="W110" s="130"/>
      <c r="Y110" s="106"/>
    </row>
    <row r="111">
      <c r="C111" s="79"/>
      <c r="D111" s="79"/>
      <c r="J111" s="79"/>
      <c r="O111" s="79"/>
      <c r="P111" s="79"/>
      <c r="S111" s="79"/>
      <c r="T111" s="79"/>
      <c r="W111" s="130"/>
      <c r="Y111" s="106"/>
    </row>
    <row r="112">
      <c r="C112" s="79"/>
      <c r="D112" s="79"/>
      <c r="J112" s="79"/>
      <c r="O112" s="79"/>
      <c r="P112" s="79"/>
      <c r="S112" s="79"/>
      <c r="T112" s="79"/>
      <c r="W112" s="130"/>
      <c r="Y112" s="106"/>
    </row>
    <row r="113">
      <c r="C113" s="79"/>
      <c r="D113" s="79"/>
      <c r="J113" s="79"/>
      <c r="O113" s="79"/>
      <c r="P113" s="79"/>
      <c r="S113" s="79"/>
      <c r="T113" s="79"/>
      <c r="W113" s="130"/>
      <c r="Y113" s="106"/>
    </row>
    <row r="114">
      <c r="C114" s="79"/>
      <c r="D114" s="79"/>
      <c r="J114" s="79"/>
      <c r="O114" s="79"/>
      <c r="P114" s="79"/>
      <c r="S114" s="79"/>
      <c r="T114" s="79"/>
      <c r="W114" s="130"/>
      <c r="Y114" s="106"/>
    </row>
    <row r="115">
      <c r="C115" s="79"/>
      <c r="D115" s="79"/>
      <c r="J115" s="79"/>
      <c r="O115" s="79"/>
      <c r="P115" s="79"/>
      <c r="S115" s="79"/>
      <c r="T115" s="79"/>
      <c r="W115" s="130"/>
      <c r="Y115" s="106"/>
    </row>
    <row r="116">
      <c r="C116" s="79"/>
      <c r="D116" s="79"/>
      <c r="J116" s="79"/>
      <c r="O116" s="79"/>
      <c r="P116" s="79"/>
      <c r="S116" s="79"/>
      <c r="T116" s="79"/>
      <c r="W116" s="130"/>
      <c r="Y116" s="106"/>
    </row>
    <row r="117">
      <c r="C117" s="79"/>
      <c r="D117" s="79"/>
      <c r="J117" s="79"/>
      <c r="O117" s="79"/>
      <c r="P117" s="79"/>
      <c r="S117" s="79"/>
      <c r="T117" s="79"/>
      <c r="W117" s="130"/>
      <c r="Y117" s="106"/>
    </row>
    <row r="118">
      <c r="C118" s="79"/>
      <c r="D118" s="79"/>
      <c r="J118" s="79"/>
      <c r="O118" s="79"/>
      <c r="P118" s="79"/>
      <c r="S118" s="79"/>
      <c r="T118" s="79"/>
      <c r="W118" s="130"/>
      <c r="Y118" s="106"/>
    </row>
    <row r="119">
      <c r="C119" s="79"/>
      <c r="D119" s="79"/>
      <c r="J119" s="79"/>
      <c r="O119" s="79"/>
      <c r="P119" s="79"/>
      <c r="S119" s="79"/>
      <c r="T119" s="79"/>
      <c r="W119" s="130"/>
      <c r="Y119" s="106"/>
    </row>
    <row r="120">
      <c r="C120" s="79"/>
      <c r="D120" s="79"/>
      <c r="J120" s="79"/>
      <c r="O120" s="79"/>
      <c r="P120" s="79"/>
      <c r="S120" s="79"/>
      <c r="T120" s="79"/>
      <c r="W120" s="130"/>
      <c r="Y120" s="106"/>
    </row>
    <row r="121">
      <c r="C121" s="79"/>
      <c r="D121" s="79"/>
      <c r="J121" s="79"/>
      <c r="O121" s="79"/>
      <c r="P121" s="79"/>
      <c r="S121" s="79"/>
      <c r="T121" s="79"/>
      <c r="W121" s="130"/>
      <c r="Y121" s="106"/>
    </row>
    <row r="122">
      <c r="C122" s="79"/>
      <c r="D122" s="79"/>
      <c r="J122" s="79"/>
      <c r="O122" s="79"/>
      <c r="P122" s="79"/>
      <c r="S122" s="79"/>
      <c r="T122" s="79"/>
      <c r="W122" s="130"/>
      <c r="Y122" s="106"/>
    </row>
    <row r="123">
      <c r="C123" s="79"/>
      <c r="D123" s="79"/>
      <c r="J123" s="79"/>
      <c r="O123" s="79"/>
      <c r="P123" s="79"/>
      <c r="S123" s="79"/>
      <c r="T123" s="79"/>
      <c r="W123" s="130"/>
      <c r="Y123" s="106"/>
    </row>
    <row r="124">
      <c r="C124" s="79"/>
      <c r="D124" s="79"/>
      <c r="J124" s="79"/>
      <c r="O124" s="79"/>
      <c r="P124" s="79"/>
      <c r="S124" s="79"/>
      <c r="T124" s="79"/>
      <c r="W124" s="130"/>
      <c r="Y124" s="106"/>
    </row>
    <row r="125">
      <c r="C125" s="79"/>
      <c r="D125" s="79"/>
      <c r="J125" s="79"/>
      <c r="O125" s="79"/>
      <c r="P125" s="79"/>
      <c r="S125" s="79"/>
      <c r="T125" s="79"/>
      <c r="W125" s="130"/>
      <c r="Y125" s="106"/>
    </row>
    <row r="126">
      <c r="C126" s="79"/>
      <c r="D126" s="79"/>
      <c r="J126" s="79"/>
      <c r="O126" s="79"/>
      <c r="P126" s="79"/>
      <c r="S126" s="79"/>
      <c r="T126" s="79"/>
      <c r="W126" s="130"/>
      <c r="Y126" s="106"/>
    </row>
    <row r="127">
      <c r="C127" s="79"/>
      <c r="D127" s="79"/>
      <c r="J127" s="79"/>
      <c r="O127" s="79"/>
      <c r="P127" s="79"/>
      <c r="S127" s="79"/>
      <c r="T127" s="79"/>
      <c r="W127" s="130"/>
      <c r="Y127" s="106"/>
    </row>
    <row r="128">
      <c r="C128" s="79"/>
      <c r="D128" s="79"/>
      <c r="J128" s="79"/>
      <c r="O128" s="79"/>
      <c r="P128" s="79"/>
      <c r="S128" s="79"/>
      <c r="T128" s="79"/>
      <c r="W128" s="130"/>
      <c r="Y128" s="106"/>
    </row>
    <row r="129">
      <c r="C129" s="79"/>
      <c r="D129" s="79"/>
      <c r="J129" s="79"/>
      <c r="O129" s="79"/>
      <c r="P129" s="79"/>
      <c r="S129" s="79"/>
      <c r="T129" s="79"/>
      <c r="W129" s="130"/>
      <c r="Y129" s="106"/>
    </row>
    <row r="130">
      <c r="C130" s="79"/>
      <c r="D130" s="79"/>
      <c r="J130" s="79"/>
      <c r="O130" s="79"/>
      <c r="P130" s="79"/>
      <c r="S130" s="79"/>
      <c r="T130" s="79"/>
      <c r="W130" s="130"/>
      <c r="Y130" s="106"/>
    </row>
    <row r="131">
      <c r="C131" s="79"/>
      <c r="D131" s="79"/>
      <c r="J131" s="79"/>
      <c r="O131" s="79"/>
      <c r="P131" s="79"/>
      <c r="S131" s="79"/>
      <c r="T131" s="79"/>
      <c r="W131" s="130"/>
      <c r="Y131" s="106"/>
    </row>
    <row r="132">
      <c r="C132" s="79"/>
      <c r="D132" s="79"/>
      <c r="J132" s="79"/>
      <c r="O132" s="79"/>
      <c r="P132" s="79"/>
      <c r="S132" s="79"/>
      <c r="T132" s="79"/>
      <c r="W132" s="130"/>
      <c r="Y132" s="106"/>
    </row>
    <row r="133">
      <c r="C133" s="79"/>
      <c r="D133" s="79"/>
      <c r="J133" s="79"/>
      <c r="O133" s="79"/>
      <c r="P133" s="79"/>
      <c r="S133" s="79"/>
      <c r="T133" s="79"/>
      <c r="W133" s="130"/>
      <c r="Y133" s="106"/>
    </row>
    <row r="134">
      <c r="C134" s="79"/>
      <c r="D134" s="79"/>
      <c r="J134" s="79"/>
      <c r="O134" s="79"/>
      <c r="P134" s="79"/>
      <c r="S134" s="79"/>
      <c r="T134" s="79"/>
      <c r="W134" s="130"/>
      <c r="Y134" s="106"/>
    </row>
    <row r="135">
      <c r="C135" s="79"/>
      <c r="D135" s="79"/>
      <c r="J135" s="79"/>
      <c r="O135" s="79"/>
      <c r="P135" s="79"/>
      <c r="S135" s="79"/>
      <c r="T135" s="79"/>
      <c r="W135" s="130"/>
      <c r="Y135" s="106"/>
    </row>
    <row r="136">
      <c r="C136" s="79"/>
      <c r="D136" s="79"/>
      <c r="J136" s="79"/>
      <c r="O136" s="79"/>
      <c r="P136" s="79"/>
      <c r="S136" s="79"/>
      <c r="T136" s="79"/>
      <c r="W136" s="130"/>
      <c r="Y136" s="106"/>
    </row>
    <row r="137">
      <c r="C137" s="79"/>
      <c r="D137" s="79"/>
      <c r="J137" s="79"/>
      <c r="O137" s="79"/>
      <c r="P137" s="79"/>
      <c r="S137" s="79"/>
      <c r="T137" s="79"/>
      <c r="W137" s="130"/>
      <c r="Y137" s="106"/>
    </row>
    <row r="138">
      <c r="C138" s="79"/>
      <c r="D138" s="79"/>
      <c r="J138" s="79"/>
      <c r="O138" s="79"/>
      <c r="P138" s="79"/>
      <c r="S138" s="79"/>
      <c r="T138" s="79"/>
      <c r="W138" s="130"/>
      <c r="Y138" s="106"/>
    </row>
    <row r="139">
      <c r="C139" s="79"/>
      <c r="D139" s="79"/>
      <c r="J139" s="79"/>
      <c r="O139" s="79"/>
      <c r="P139" s="79"/>
      <c r="S139" s="79"/>
      <c r="T139" s="79"/>
      <c r="W139" s="130"/>
      <c r="Y139" s="106"/>
    </row>
    <row r="140">
      <c r="C140" s="79"/>
      <c r="D140" s="79"/>
      <c r="J140" s="79"/>
      <c r="O140" s="79"/>
      <c r="P140" s="79"/>
      <c r="S140" s="79"/>
      <c r="T140" s="79"/>
      <c r="W140" s="130"/>
      <c r="Y140" s="106"/>
    </row>
    <row r="141">
      <c r="C141" s="79"/>
      <c r="D141" s="79"/>
      <c r="J141" s="79"/>
      <c r="O141" s="79"/>
      <c r="P141" s="79"/>
      <c r="S141" s="79"/>
      <c r="T141" s="79"/>
      <c r="W141" s="130"/>
      <c r="Y141" s="106"/>
    </row>
    <row r="142">
      <c r="C142" s="79"/>
      <c r="D142" s="79"/>
      <c r="J142" s="79"/>
      <c r="O142" s="79"/>
      <c r="P142" s="79"/>
      <c r="S142" s="79"/>
      <c r="T142" s="79"/>
      <c r="W142" s="130"/>
      <c r="Y142" s="106"/>
    </row>
    <row r="143">
      <c r="C143" s="79"/>
      <c r="D143" s="79"/>
      <c r="J143" s="79"/>
      <c r="O143" s="79"/>
      <c r="P143" s="79"/>
      <c r="S143" s="79"/>
      <c r="T143" s="79"/>
      <c r="W143" s="130"/>
      <c r="Y143" s="106"/>
    </row>
    <row r="144">
      <c r="C144" s="79"/>
      <c r="D144" s="79"/>
      <c r="J144" s="79"/>
      <c r="O144" s="79"/>
      <c r="P144" s="79"/>
      <c r="S144" s="79"/>
      <c r="T144" s="79"/>
      <c r="W144" s="130"/>
      <c r="Y144" s="106"/>
    </row>
    <row r="145">
      <c r="C145" s="79"/>
      <c r="D145" s="79"/>
      <c r="J145" s="79"/>
      <c r="O145" s="79"/>
      <c r="P145" s="79"/>
      <c r="S145" s="79"/>
      <c r="T145" s="79"/>
      <c r="W145" s="130"/>
      <c r="Y145" s="106"/>
    </row>
    <row r="146">
      <c r="C146" s="79"/>
      <c r="D146" s="79"/>
      <c r="J146" s="79"/>
      <c r="O146" s="79"/>
      <c r="P146" s="79"/>
      <c r="S146" s="79"/>
      <c r="T146" s="79"/>
      <c r="W146" s="130"/>
      <c r="Y146" s="106"/>
    </row>
    <row r="147">
      <c r="C147" s="79"/>
      <c r="D147" s="79"/>
      <c r="J147" s="79"/>
      <c r="O147" s="79"/>
      <c r="P147" s="79"/>
      <c r="S147" s="79"/>
      <c r="T147" s="79"/>
      <c r="W147" s="130"/>
      <c r="Y147" s="106"/>
    </row>
    <row r="148">
      <c r="C148" s="79"/>
      <c r="D148" s="79"/>
      <c r="J148" s="79"/>
      <c r="O148" s="79"/>
      <c r="P148" s="79"/>
      <c r="S148" s="79"/>
      <c r="T148" s="79"/>
      <c r="W148" s="130"/>
      <c r="Y148" s="106"/>
    </row>
    <row r="149">
      <c r="C149" s="79"/>
      <c r="D149" s="79"/>
      <c r="J149" s="79"/>
      <c r="O149" s="79"/>
      <c r="P149" s="79"/>
      <c r="S149" s="79"/>
      <c r="T149" s="79"/>
      <c r="W149" s="130"/>
      <c r="Y149" s="106"/>
    </row>
    <row r="150">
      <c r="C150" s="79"/>
      <c r="D150" s="79"/>
      <c r="J150" s="79"/>
      <c r="O150" s="79"/>
      <c r="P150" s="79"/>
      <c r="S150" s="79"/>
      <c r="T150" s="79"/>
      <c r="W150" s="130"/>
      <c r="Y150" s="106"/>
    </row>
    <row r="151">
      <c r="C151" s="79"/>
      <c r="D151" s="79"/>
      <c r="J151" s="79"/>
      <c r="O151" s="79"/>
      <c r="P151" s="79"/>
      <c r="S151" s="79"/>
      <c r="T151" s="79"/>
      <c r="W151" s="130"/>
      <c r="Y151" s="106"/>
    </row>
    <row r="152">
      <c r="C152" s="79"/>
      <c r="D152" s="79"/>
      <c r="J152" s="79"/>
      <c r="O152" s="79"/>
      <c r="P152" s="79"/>
      <c r="S152" s="79"/>
      <c r="T152" s="79"/>
      <c r="W152" s="130"/>
      <c r="Y152" s="106"/>
    </row>
    <row r="153">
      <c r="C153" s="79"/>
      <c r="D153" s="79"/>
      <c r="J153" s="79"/>
      <c r="O153" s="79"/>
      <c r="P153" s="79"/>
      <c r="S153" s="79"/>
      <c r="T153" s="79"/>
      <c r="W153" s="130"/>
      <c r="Y153" s="106"/>
    </row>
    <row r="154">
      <c r="C154" s="79"/>
      <c r="D154" s="79"/>
      <c r="J154" s="79"/>
      <c r="O154" s="79"/>
      <c r="P154" s="79"/>
      <c r="S154" s="79"/>
      <c r="T154" s="79"/>
      <c r="W154" s="130"/>
      <c r="Y154" s="106"/>
    </row>
    <row r="155">
      <c r="C155" s="79"/>
      <c r="D155" s="79"/>
      <c r="J155" s="79"/>
      <c r="O155" s="79"/>
      <c r="P155" s="79"/>
      <c r="S155" s="79"/>
      <c r="T155" s="79"/>
      <c r="W155" s="130"/>
      <c r="Y155" s="106"/>
    </row>
    <row r="156">
      <c r="C156" s="79"/>
      <c r="D156" s="79"/>
      <c r="J156" s="79"/>
      <c r="O156" s="79"/>
      <c r="P156" s="79"/>
      <c r="S156" s="79"/>
      <c r="T156" s="79"/>
      <c r="W156" s="130"/>
      <c r="Y156" s="106"/>
    </row>
    <row r="157">
      <c r="C157" s="79"/>
      <c r="D157" s="79"/>
      <c r="J157" s="79"/>
      <c r="O157" s="79"/>
      <c r="P157" s="79"/>
      <c r="S157" s="79"/>
      <c r="T157" s="79"/>
      <c r="W157" s="130"/>
      <c r="Y157" s="106"/>
    </row>
    <row r="158">
      <c r="C158" s="79"/>
      <c r="D158" s="79"/>
      <c r="J158" s="79"/>
      <c r="O158" s="79"/>
      <c r="P158" s="79"/>
      <c r="S158" s="79"/>
      <c r="T158" s="79"/>
      <c r="W158" s="130"/>
      <c r="Y158" s="106"/>
    </row>
    <row r="159">
      <c r="C159" s="79"/>
      <c r="D159" s="79"/>
      <c r="J159" s="79"/>
      <c r="O159" s="79"/>
      <c r="P159" s="79"/>
      <c r="S159" s="79"/>
      <c r="T159" s="79"/>
      <c r="W159" s="130"/>
      <c r="Y159" s="106"/>
    </row>
    <row r="160">
      <c r="C160" s="79"/>
      <c r="D160" s="79"/>
      <c r="J160" s="79"/>
      <c r="O160" s="79"/>
      <c r="P160" s="79"/>
      <c r="S160" s="79"/>
      <c r="T160" s="79"/>
      <c r="W160" s="130"/>
      <c r="Y160" s="106"/>
    </row>
    <row r="161">
      <c r="C161" s="79"/>
      <c r="D161" s="79"/>
      <c r="J161" s="79"/>
      <c r="O161" s="79"/>
      <c r="P161" s="79"/>
      <c r="S161" s="79"/>
      <c r="T161" s="79"/>
      <c r="W161" s="130"/>
      <c r="Y161" s="106"/>
    </row>
    <row r="162">
      <c r="C162" s="79"/>
      <c r="D162" s="79"/>
      <c r="J162" s="79"/>
      <c r="O162" s="79"/>
      <c r="P162" s="79"/>
      <c r="S162" s="79"/>
      <c r="T162" s="79"/>
      <c r="W162" s="130"/>
      <c r="Y162" s="106"/>
    </row>
    <row r="163">
      <c r="C163" s="79"/>
      <c r="D163" s="79"/>
      <c r="J163" s="79"/>
      <c r="O163" s="79"/>
      <c r="P163" s="79"/>
      <c r="S163" s="79"/>
      <c r="T163" s="79"/>
      <c r="W163" s="130"/>
      <c r="Y163" s="106"/>
    </row>
    <row r="164">
      <c r="C164" s="79"/>
      <c r="D164" s="79"/>
      <c r="J164" s="79"/>
      <c r="O164" s="79"/>
      <c r="P164" s="79"/>
      <c r="S164" s="79"/>
      <c r="T164" s="79"/>
      <c r="W164" s="130"/>
      <c r="Y164" s="106"/>
    </row>
    <row r="165">
      <c r="C165" s="79"/>
      <c r="D165" s="79"/>
      <c r="J165" s="79"/>
      <c r="O165" s="79"/>
      <c r="P165" s="79"/>
      <c r="S165" s="79"/>
      <c r="T165" s="79"/>
      <c r="W165" s="130"/>
      <c r="Y165" s="106"/>
    </row>
    <row r="166">
      <c r="C166" s="79"/>
      <c r="D166" s="79"/>
      <c r="J166" s="79"/>
      <c r="O166" s="79"/>
      <c r="P166" s="79"/>
      <c r="S166" s="79"/>
      <c r="T166" s="79"/>
      <c r="W166" s="130"/>
      <c r="Y166" s="106"/>
    </row>
    <row r="167">
      <c r="C167" s="79"/>
      <c r="D167" s="79"/>
      <c r="J167" s="79"/>
      <c r="O167" s="79"/>
      <c r="P167" s="79"/>
      <c r="S167" s="79"/>
      <c r="T167" s="79"/>
      <c r="W167" s="130"/>
      <c r="Y167" s="106"/>
    </row>
    <row r="168">
      <c r="C168" s="79"/>
      <c r="D168" s="79"/>
      <c r="J168" s="79"/>
      <c r="O168" s="79"/>
      <c r="P168" s="79"/>
      <c r="S168" s="79"/>
      <c r="T168" s="79"/>
      <c r="W168" s="130"/>
      <c r="Y168" s="106"/>
    </row>
    <row r="169">
      <c r="C169" s="79"/>
      <c r="D169" s="79"/>
      <c r="J169" s="79"/>
      <c r="O169" s="79"/>
      <c r="P169" s="79"/>
      <c r="S169" s="79"/>
      <c r="T169" s="79"/>
      <c r="W169" s="130"/>
      <c r="Y169" s="106"/>
    </row>
    <row r="170">
      <c r="C170" s="79"/>
      <c r="D170" s="79"/>
      <c r="J170" s="79"/>
      <c r="O170" s="79"/>
      <c r="P170" s="79"/>
      <c r="S170" s="79"/>
      <c r="T170" s="79"/>
      <c r="W170" s="130"/>
      <c r="Y170" s="106"/>
    </row>
    <row r="171">
      <c r="C171" s="79"/>
      <c r="D171" s="79"/>
      <c r="J171" s="79"/>
      <c r="O171" s="79"/>
      <c r="P171" s="79"/>
      <c r="S171" s="79"/>
      <c r="T171" s="79"/>
      <c r="W171" s="130"/>
      <c r="Y171" s="106"/>
    </row>
    <row r="172">
      <c r="C172" s="79"/>
      <c r="D172" s="79"/>
      <c r="J172" s="79"/>
      <c r="O172" s="79"/>
      <c r="P172" s="79"/>
      <c r="S172" s="79"/>
      <c r="T172" s="79"/>
      <c r="W172" s="130"/>
      <c r="Y172" s="106"/>
    </row>
    <row r="173">
      <c r="C173" s="79"/>
      <c r="D173" s="79"/>
      <c r="J173" s="79"/>
      <c r="O173" s="79"/>
      <c r="P173" s="79"/>
      <c r="S173" s="79"/>
      <c r="T173" s="79"/>
      <c r="W173" s="130"/>
      <c r="Y173" s="106"/>
    </row>
    <row r="174">
      <c r="C174" s="79"/>
      <c r="D174" s="79"/>
      <c r="J174" s="79"/>
      <c r="O174" s="79"/>
      <c r="P174" s="79"/>
      <c r="S174" s="79"/>
      <c r="T174" s="79"/>
      <c r="W174" s="130"/>
      <c r="Y174" s="106"/>
    </row>
    <row r="175">
      <c r="C175" s="79"/>
      <c r="D175" s="79"/>
      <c r="J175" s="79"/>
      <c r="O175" s="79"/>
      <c r="P175" s="79"/>
      <c r="S175" s="79"/>
      <c r="T175" s="79"/>
      <c r="W175" s="130"/>
      <c r="Y175" s="106"/>
    </row>
    <row r="176">
      <c r="C176" s="79"/>
      <c r="D176" s="79"/>
      <c r="J176" s="79"/>
      <c r="O176" s="79"/>
      <c r="P176" s="79"/>
      <c r="S176" s="79"/>
      <c r="T176" s="79"/>
      <c r="W176" s="130"/>
      <c r="Y176" s="106"/>
    </row>
    <row r="177">
      <c r="C177" s="79"/>
      <c r="D177" s="79"/>
      <c r="J177" s="79"/>
      <c r="O177" s="79"/>
      <c r="P177" s="79"/>
      <c r="S177" s="79"/>
      <c r="T177" s="79"/>
      <c r="W177" s="130"/>
      <c r="Y177" s="106"/>
    </row>
    <row r="178">
      <c r="C178" s="79"/>
      <c r="D178" s="79"/>
      <c r="J178" s="79"/>
      <c r="O178" s="79"/>
      <c r="P178" s="79"/>
      <c r="S178" s="79"/>
      <c r="T178" s="79"/>
      <c r="W178" s="130"/>
      <c r="Y178" s="106"/>
    </row>
    <row r="179">
      <c r="C179" s="79"/>
      <c r="D179" s="79"/>
      <c r="J179" s="79"/>
      <c r="O179" s="79"/>
      <c r="P179" s="79"/>
      <c r="S179" s="79"/>
      <c r="T179" s="79"/>
      <c r="W179" s="130"/>
      <c r="Y179" s="106"/>
    </row>
    <row r="180">
      <c r="C180" s="79"/>
      <c r="D180" s="79"/>
      <c r="J180" s="79"/>
      <c r="O180" s="79"/>
      <c r="P180" s="79"/>
      <c r="S180" s="79"/>
      <c r="T180" s="79"/>
      <c r="W180" s="130"/>
      <c r="Y180" s="106"/>
    </row>
    <row r="181">
      <c r="C181" s="79"/>
      <c r="D181" s="79"/>
      <c r="J181" s="79"/>
      <c r="O181" s="79"/>
      <c r="P181" s="79"/>
      <c r="S181" s="79"/>
      <c r="T181" s="79"/>
      <c r="W181" s="130"/>
      <c r="Y181" s="106"/>
    </row>
    <row r="182">
      <c r="C182" s="79"/>
      <c r="D182" s="79"/>
      <c r="J182" s="79"/>
      <c r="O182" s="79"/>
      <c r="P182" s="79"/>
      <c r="S182" s="79"/>
      <c r="T182" s="79"/>
      <c r="W182" s="130"/>
      <c r="Y182" s="106"/>
    </row>
    <row r="183">
      <c r="C183" s="79"/>
      <c r="D183" s="79"/>
      <c r="J183" s="79"/>
      <c r="O183" s="79"/>
      <c r="P183" s="79"/>
      <c r="S183" s="79"/>
      <c r="T183" s="79"/>
      <c r="W183" s="130"/>
      <c r="Y183" s="106"/>
    </row>
    <row r="184">
      <c r="C184" s="79"/>
      <c r="D184" s="79"/>
      <c r="J184" s="79"/>
      <c r="O184" s="79"/>
      <c r="P184" s="79"/>
      <c r="S184" s="79"/>
      <c r="T184" s="79"/>
      <c r="W184" s="130"/>
      <c r="Y184" s="106"/>
    </row>
    <row r="185">
      <c r="C185" s="79"/>
      <c r="D185" s="79"/>
      <c r="J185" s="79"/>
      <c r="O185" s="79"/>
      <c r="P185" s="79"/>
      <c r="S185" s="79"/>
      <c r="T185" s="79"/>
      <c r="W185" s="130"/>
      <c r="Y185" s="106"/>
    </row>
    <row r="186">
      <c r="C186" s="79"/>
      <c r="D186" s="79"/>
      <c r="J186" s="79"/>
      <c r="O186" s="79"/>
      <c r="P186" s="79"/>
      <c r="S186" s="79"/>
      <c r="T186" s="79"/>
      <c r="W186" s="130"/>
      <c r="Y186" s="106"/>
    </row>
    <row r="187">
      <c r="C187" s="79"/>
      <c r="D187" s="79"/>
      <c r="J187" s="79"/>
      <c r="O187" s="79"/>
      <c r="P187" s="79"/>
      <c r="S187" s="79"/>
      <c r="T187" s="79"/>
      <c r="W187" s="130"/>
      <c r="Y187" s="106"/>
    </row>
    <row r="188">
      <c r="C188" s="79"/>
      <c r="D188" s="79"/>
      <c r="J188" s="79"/>
      <c r="O188" s="79"/>
      <c r="P188" s="79"/>
      <c r="S188" s="79"/>
      <c r="T188" s="79"/>
      <c r="W188" s="130"/>
      <c r="Y188" s="106"/>
    </row>
    <row r="189">
      <c r="C189" s="79"/>
      <c r="D189" s="79"/>
      <c r="J189" s="79"/>
      <c r="O189" s="79"/>
      <c r="P189" s="79"/>
      <c r="S189" s="79"/>
      <c r="T189" s="79"/>
      <c r="W189" s="130"/>
      <c r="Y189" s="106"/>
    </row>
    <row r="190">
      <c r="C190" s="79"/>
      <c r="D190" s="79"/>
      <c r="J190" s="79"/>
      <c r="O190" s="79"/>
      <c r="P190" s="79"/>
      <c r="S190" s="79"/>
      <c r="T190" s="79"/>
      <c r="W190" s="130"/>
      <c r="Y190" s="106"/>
    </row>
    <row r="191">
      <c r="C191" s="79"/>
      <c r="D191" s="79"/>
      <c r="J191" s="79"/>
      <c r="O191" s="79"/>
      <c r="P191" s="79"/>
      <c r="S191" s="79"/>
      <c r="T191" s="79"/>
      <c r="W191" s="130"/>
      <c r="Y191" s="106"/>
    </row>
    <row r="192">
      <c r="C192" s="79"/>
      <c r="D192" s="79"/>
      <c r="J192" s="79"/>
      <c r="O192" s="79"/>
      <c r="P192" s="79"/>
      <c r="S192" s="79"/>
      <c r="T192" s="79"/>
      <c r="W192" s="130"/>
      <c r="Y192" s="106"/>
    </row>
    <row r="193">
      <c r="C193" s="79"/>
      <c r="D193" s="79"/>
      <c r="J193" s="79"/>
      <c r="O193" s="79"/>
      <c r="P193" s="79"/>
      <c r="S193" s="79"/>
      <c r="T193" s="79"/>
      <c r="W193" s="130"/>
      <c r="Y193" s="106"/>
    </row>
    <row r="194">
      <c r="C194" s="79"/>
      <c r="D194" s="79"/>
      <c r="J194" s="79"/>
      <c r="O194" s="79"/>
      <c r="P194" s="79"/>
      <c r="S194" s="79"/>
      <c r="T194" s="79"/>
      <c r="W194" s="130"/>
      <c r="Y194" s="106"/>
    </row>
    <row r="195">
      <c r="C195" s="79"/>
      <c r="D195" s="79"/>
      <c r="J195" s="79"/>
      <c r="O195" s="79"/>
      <c r="P195" s="79"/>
      <c r="S195" s="79"/>
      <c r="T195" s="79"/>
      <c r="W195" s="130"/>
      <c r="Y195" s="106"/>
    </row>
    <row r="196">
      <c r="C196" s="79"/>
      <c r="D196" s="79"/>
      <c r="J196" s="79"/>
      <c r="O196" s="79"/>
      <c r="P196" s="79"/>
      <c r="S196" s="79"/>
      <c r="T196" s="79"/>
      <c r="W196" s="130"/>
      <c r="Y196" s="106"/>
    </row>
    <row r="197">
      <c r="C197" s="79"/>
      <c r="D197" s="79"/>
      <c r="J197" s="79"/>
      <c r="O197" s="79"/>
      <c r="P197" s="79"/>
      <c r="S197" s="79"/>
      <c r="T197" s="79"/>
      <c r="W197" s="130"/>
      <c r="Y197" s="106"/>
    </row>
    <row r="198">
      <c r="C198" s="79"/>
      <c r="D198" s="79"/>
      <c r="J198" s="79"/>
      <c r="O198" s="79"/>
      <c r="P198" s="79"/>
      <c r="S198" s="79"/>
      <c r="T198" s="79"/>
      <c r="W198" s="130"/>
      <c r="Y198" s="106"/>
    </row>
    <row r="199">
      <c r="C199" s="79"/>
      <c r="D199" s="79"/>
      <c r="J199" s="79"/>
      <c r="O199" s="79"/>
      <c r="P199" s="79"/>
      <c r="S199" s="79"/>
      <c r="T199" s="79"/>
      <c r="W199" s="130"/>
      <c r="Y199" s="106"/>
    </row>
    <row r="200">
      <c r="C200" s="79"/>
      <c r="D200" s="79"/>
      <c r="J200" s="79"/>
      <c r="O200" s="79"/>
      <c r="P200" s="79"/>
      <c r="S200" s="79"/>
      <c r="T200" s="79"/>
      <c r="W200" s="130"/>
      <c r="Y200" s="106"/>
    </row>
    <row r="201">
      <c r="C201" s="79"/>
      <c r="D201" s="79"/>
      <c r="J201" s="79"/>
      <c r="O201" s="79"/>
      <c r="P201" s="79"/>
      <c r="S201" s="79"/>
      <c r="T201" s="79"/>
      <c r="W201" s="130"/>
      <c r="Y201" s="106"/>
    </row>
    <row r="202">
      <c r="C202" s="79"/>
      <c r="D202" s="79"/>
      <c r="J202" s="79"/>
      <c r="O202" s="79"/>
      <c r="P202" s="79"/>
      <c r="S202" s="79"/>
      <c r="T202" s="79"/>
      <c r="W202" s="130"/>
      <c r="Y202" s="106"/>
    </row>
    <row r="203">
      <c r="C203" s="79"/>
      <c r="D203" s="79"/>
      <c r="J203" s="79"/>
      <c r="O203" s="79"/>
      <c r="P203" s="79"/>
      <c r="S203" s="79"/>
      <c r="T203" s="79"/>
      <c r="W203" s="130"/>
      <c r="Y203" s="106"/>
    </row>
    <row r="204">
      <c r="C204" s="79"/>
      <c r="D204" s="79"/>
      <c r="J204" s="79"/>
      <c r="O204" s="79"/>
      <c r="P204" s="79"/>
      <c r="S204" s="79"/>
      <c r="T204" s="79"/>
      <c r="W204" s="130"/>
      <c r="Y204" s="106"/>
    </row>
    <row r="205">
      <c r="C205" s="79"/>
      <c r="D205" s="79"/>
      <c r="J205" s="79"/>
      <c r="O205" s="79"/>
      <c r="P205" s="79"/>
      <c r="S205" s="79"/>
      <c r="T205" s="79"/>
      <c r="W205" s="130"/>
      <c r="Y205" s="106"/>
    </row>
    <row r="206">
      <c r="C206" s="79"/>
      <c r="D206" s="79"/>
      <c r="J206" s="79"/>
      <c r="O206" s="79"/>
      <c r="P206" s="79"/>
      <c r="S206" s="79"/>
      <c r="T206" s="79"/>
      <c r="W206" s="130"/>
      <c r="Y206" s="106"/>
    </row>
    <row r="207">
      <c r="C207" s="79"/>
      <c r="D207" s="79"/>
      <c r="J207" s="79"/>
      <c r="O207" s="79"/>
      <c r="P207" s="79"/>
      <c r="S207" s="79"/>
      <c r="T207" s="79"/>
      <c r="W207" s="130"/>
      <c r="Y207" s="106"/>
    </row>
    <row r="208">
      <c r="C208" s="79"/>
      <c r="D208" s="79"/>
      <c r="J208" s="79"/>
      <c r="O208" s="79"/>
      <c r="P208" s="79"/>
      <c r="S208" s="79"/>
      <c r="T208" s="79"/>
      <c r="W208" s="130"/>
      <c r="Y208" s="106"/>
    </row>
    <row r="209">
      <c r="C209" s="79"/>
      <c r="D209" s="79"/>
      <c r="J209" s="79"/>
      <c r="O209" s="79"/>
      <c r="P209" s="79"/>
      <c r="S209" s="79"/>
      <c r="T209" s="79"/>
      <c r="W209" s="130"/>
      <c r="Y209" s="106"/>
    </row>
    <row r="210">
      <c r="C210" s="79"/>
      <c r="D210" s="79"/>
      <c r="J210" s="79"/>
      <c r="O210" s="79"/>
      <c r="P210" s="79"/>
      <c r="S210" s="79"/>
      <c r="T210" s="79"/>
      <c r="W210" s="130"/>
      <c r="Y210" s="106"/>
    </row>
    <row r="211">
      <c r="C211" s="79"/>
      <c r="D211" s="79"/>
      <c r="J211" s="79"/>
      <c r="O211" s="79"/>
      <c r="P211" s="79"/>
      <c r="S211" s="79"/>
      <c r="T211" s="79"/>
      <c r="W211" s="130"/>
      <c r="Y211" s="106"/>
    </row>
    <row r="212">
      <c r="C212" s="79"/>
      <c r="D212" s="79"/>
      <c r="J212" s="79"/>
      <c r="O212" s="79"/>
      <c r="P212" s="79"/>
      <c r="S212" s="79"/>
      <c r="T212" s="79"/>
      <c r="W212" s="130"/>
      <c r="Y212" s="106"/>
    </row>
    <row r="213">
      <c r="C213" s="79"/>
      <c r="D213" s="79"/>
      <c r="J213" s="79"/>
      <c r="O213" s="79"/>
      <c r="P213" s="79"/>
      <c r="S213" s="79"/>
      <c r="T213" s="79"/>
      <c r="W213" s="130"/>
      <c r="Y213" s="106"/>
    </row>
    <row r="214">
      <c r="C214" s="79"/>
      <c r="D214" s="79"/>
      <c r="J214" s="79"/>
      <c r="O214" s="79"/>
      <c r="P214" s="79"/>
      <c r="S214" s="79"/>
      <c r="T214" s="79"/>
      <c r="W214" s="130"/>
      <c r="Y214" s="106"/>
    </row>
    <row r="215">
      <c r="C215" s="79"/>
      <c r="D215" s="79"/>
      <c r="J215" s="79"/>
      <c r="O215" s="79"/>
      <c r="P215" s="79"/>
      <c r="S215" s="79"/>
      <c r="T215" s="79"/>
      <c r="W215" s="130"/>
      <c r="Y215" s="106"/>
    </row>
    <row r="216">
      <c r="C216" s="79"/>
      <c r="D216" s="79"/>
      <c r="J216" s="79"/>
      <c r="O216" s="79"/>
      <c r="P216" s="79"/>
      <c r="S216" s="79"/>
      <c r="T216" s="79"/>
      <c r="W216" s="130"/>
      <c r="Y216" s="106"/>
    </row>
    <row r="217">
      <c r="C217" s="79"/>
      <c r="D217" s="79"/>
      <c r="J217" s="79"/>
      <c r="O217" s="79"/>
      <c r="P217" s="79"/>
      <c r="S217" s="79"/>
      <c r="T217" s="79"/>
      <c r="W217" s="130"/>
      <c r="Y217" s="106"/>
    </row>
    <row r="218">
      <c r="C218" s="79"/>
      <c r="D218" s="79"/>
      <c r="J218" s="79"/>
      <c r="O218" s="79"/>
      <c r="P218" s="79"/>
      <c r="S218" s="79"/>
      <c r="T218" s="79"/>
      <c r="W218" s="130"/>
      <c r="Y218" s="106"/>
    </row>
    <row r="219">
      <c r="C219" s="79"/>
      <c r="D219" s="79"/>
      <c r="J219" s="79"/>
      <c r="O219" s="79"/>
      <c r="P219" s="79"/>
      <c r="S219" s="79"/>
      <c r="T219" s="79"/>
      <c r="W219" s="130"/>
      <c r="Y219" s="106"/>
    </row>
    <row r="220">
      <c r="C220" s="79"/>
      <c r="D220" s="79"/>
      <c r="J220" s="79"/>
      <c r="O220" s="79"/>
      <c r="P220" s="79"/>
      <c r="S220" s="79"/>
      <c r="T220" s="79"/>
      <c r="W220" s="130"/>
      <c r="Y220" s="106"/>
    </row>
    <row r="221">
      <c r="C221" s="79"/>
      <c r="D221" s="79"/>
      <c r="J221" s="79"/>
      <c r="O221" s="79"/>
      <c r="P221" s="79"/>
      <c r="S221" s="79"/>
      <c r="T221" s="79"/>
      <c r="W221" s="130"/>
      <c r="Y221" s="106"/>
    </row>
    <row r="222">
      <c r="C222" s="79"/>
      <c r="D222" s="79"/>
      <c r="J222" s="79"/>
      <c r="O222" s="79"/>
      <c r="P222" s="79"/>
      <c r="S222" s="79"/>
      <c r="T222" s="79"/>
      <c r="W222" s="130"/>
      <c r="Y222" s="106"/>
    </row>
    <row r="223">
      <c r="C223" s="79"/>
      <c r="D223" s="79"/>
      <c r="J223" s="79"/>
      <c r="O223" s="79"/>
      <c r="P223" s="79"/>
      <c r="S223" s="79"/>
      <c r="T223" s="79"/>
      <c r="W223" s="130"/>
      <c r="Y223" s="106"/>
    </row>
    <row r="224">
      <c r="C224" s="79"/>
      <c r="D224" s="79"/>
      <c r="J224" s="79"/>
      <c r="O224" s="79"/>
      <c r="P224" s="79"/>
      <c r="S224" s="79"/>
      <c r="T224" s="79"/>
      <c r="W224" s="130"/>
      <c r="Y224" s="106"/>
    </row>
    <row r="225">
      <c r="C225" s="79"/>
      <c r="D225" s="79"/>
      <c r="J225" s="79"/>
      <c r="O225" s="79"/>
      <c r="P225" s="79"/>
      <c r="S225" s="79"/>
      <c r="T225" s="79"/>
      <c r="W225" s="130"/>
      <c r="Y225" s="106"/>
    </row>
    <row r="226">
      <c r="C226" s="79"/>
      <c r="D226" s="79"/>
      <c r="J226" s="79"/>
      <c r="O226" s="79"/>
      <c r="P226" s="79"/>
      <c r="S226" s="79"/>
      <c r="T226" s="79"/>
      <c r="W226" s="130"/>
      <c r="Y226" s="106"/>
    </row>
    <row r="227">
      <c r="C227" s="79"/>
      <c r="D227" s="79"/>
      <c r="J227" s="79"/>
      <c r="O227" s="79"/>
      <c r="P227" s="79"/>
      <c r="S227" s="79"/>
      <c r="T227" s="79"/>
      <c r="W227" s="130"/>
      <c r="Y227" s="106"/>
    </row>
    <row r="228">
      <c r="C228" s="79"/>
      <c r="D228" s="79"/>
      <c r="J228" s="79"/>
      <c r="O228" s="79"/>
      <c r="P228" s="79"/>
      <c r="S228" s="79"/>
      <c r="T228" s="79"/>
      <c r="W228" s="130"/>
      <c r="Y228" s="106"/>
    </row>
    <row r="229">
      <c r="C229" s="79"/>
      <c r="D229" s="79"/>
      <c r="J229" s="79"/>
      <c r="O229" s="79"/>
      <c r="P229" s="79"/>
      <c r="S229" s="79"/>
      <c r="T229" s="79"/>
      <c r="W229" s="130"/>
      <c r="Y229" s="106"/>
    </row>
    <row r="230">
      <c r="C230" s="79"/>
      <c r="D230" s="79"/>
      <c r="J230" s="79"/>
      <c r="O230" s="79"/>
      <c r="P230" s="79"/>
      <c r="S230" s="79"/>
      <c r="T230" s="79"/>
      <c r="W230" s="130"/>
      <c r="Y230" s="106"/>
    </row>
    <row r="231">
      <c r="C231" s="79"/>
      <c r="D231" s="79"/>
      <c r="J231" s="79"/>
      <c r="O231" s="79"/>
      <c r="P231" s="79"/>
      <c r="S231" s="79"/>
      <c r="T231" s="79"/>
      <c r="W231" s="130"/>
      <c r="Y231" s="106"/>
    </row>
    <row r="232">
      <c r="C232" s="79"/>
      <c r="D232" s="79"/>
      <c r="J232" s="79"/>
      <c r="O232" s="79"/>
      <c r="P232" s="79"/>
      <c r="S232" s="79"/>
      <c r="T232" s="79"/>
      <c r="W232" s="130"/>
      <c r="Y232" s="106"/>
    </row>
    <row r="233">
      <c r="C233" s="79"/>
      <c r="D233" s="79"/>
      <c r="J233" s="79"/>
      <c r="O233" s="79"/>
      <c r="P233" s="79"/>
      <c r="S233" s="79"/>
      <c r="T233" s="79"/>
      <c r="W233" s="130"/>
      <c r="Y233" s="106"/>
    </row>
    <row r="234">
      <c r="C234" s="79"/>
      <c r="D234" s="79"/>
      <c r="J234" s="79"/>
      <c r="O234" s="79"/>
      <c r="P234" s="79"/>
      <c r="S234" s="79"/>
      <c r="T234" s="79"/>
      <c r="W234" s="130"/>
      <c r="Y234" s="106"/>
    </row>
    <row r="235">
      <c r="C235" s="79"/>
      <c r="D235" s="79"/>
      <c r="J235" s="79"/>
      <c r="O235" s="79"/>
      <c r="P235" s="79"/>
      <c r="S235" s="79"/>
      <c r="T235" s="79"/>
      <c r="W235" s="130"/>
      <c r="Y235" s="106"/>
    </row>
    <row r="236">
      <c r="C236" s="79"/>
      <c r="D236" s="79"/>
      <c r="J236" s="79"/>
      <c r="O236" s="79"/>
      <c r="P236" s="79"/>
      <c r="S236" s="79"/>
      <c r="T236" s="79"/>
      <c r="W236" s="130"/>
      <c r="Y236" s="106"/>
    </row>
    <row r="237">
      <c r="C237" s="79"/>
      <c r="D237" s="79"/>
      <c r="J237" s="79"/>
      <c r="O237" s="79"/>
      <c r="P237" s="79"/>
      <c r="S237" s="79"/>
      <c r="T237" s="79"/>
      <c r="W237" s="130"/>
      <c r="Y237" s="106"/>
    </row>
    <row r="238">
      <c r="C238" s="79"/>
      <c r="D238" s="79"/>
      <c r="J238" s="79"/>
      <c r="O238" s="79"/>
      <c r="P238" s="79"/>
      <c r="S238" s="79"/>
      <c r="T238" s="79"/>
      <c r="W238" s="130"/>
      <c r="Y238" s="106"/>
    </row>
    <row r="239">
      <c r="C239" s="79"/>
      <c r="D239" s="79"/>
      <c r="J239" s="79"/>
      <c r="O239" s="79"/>
      <c r="P239" s="79"/>
      <c r="S239" s="79"/>
      <c r="T239" s="79"/>
      <c r="W239" s="130"/>
      <c r="Y239" s="106"/>
    </row>
    <row r="240">
      <c r="C240" s="79"/>
      <c r="D240" s="79"/>
      <c r="J240" s="79"/>
      <c r="O240" s="79"/>
      <c r="P240" s="79"/>
      <c r="S240" s="79"/>
      <c r="T240" s="79"/>
      <c r="W240" s="130"/>
      <c r="Y240" s="106"/>
    </row>
    <row r="241">
      <c r="C241" s="79"/>
      <c r="D241" s="79"/>
      <c r="J241" s="79"/>
      <c r="O241" s="79"/>
      <c r="P241" s="79"/>
      <c r="S241" s="79"/>
      <c r="T241" s="79"/>
      <c r="W241" s="130"/>
      <c r="Y241" s="106"/>
    </row>
    <row r="242">
      <c r="C242" s="79"/>
      <c r="D242" s="79"/>
      <c r="J242" s="79"/>
      <c r="O242" s="79"/>
      <c r="P242" s="79"/>
      <c r="S242" s="79"/>
      <c r="T242" s="79"/>
      <c r="W242" s="130"/>
      <c r="Y242" s="106"/>
    </row>
    <row r="243">
      <c r="C243" s="79"/>
      <c r="D243" s="79"/>
      <c r="J243" s="79"/>
      <c r="O243" s="79"/>
      <c r="P243" s="79"/>
      <c r="S243" s="79"/>
      <c r="T243" s="79"/>
      <c r="W243" s="130"/>
      <c r="Y243" s="106"/>
    </row>
    <row r="244">
      <c r="C244" s="79"/>
      <c r="D244" s="79"/>
      <c r="J244" s="79"/>
      <c r="O244" s="79"/>
      <c r="P244" s="79"/>
      <c r="S244" s="79"/>
      <c r="T244" s="79"/>
      <c r="W244" s="130"/>
      <c r="Y244" s="106"/>
    </row>
    <row r="245">
      <c r="C245" s="79"/>
      <c r="D245" s="79"/>
      <c r="J245" s="79"/>
      <c r="O245" s="79"/>
      <c r="P245" s="79"/>
      <c r="S245" s="79"/>
      <c r="T245" s="79"/>
      <c r="W245" s="130"/>
      <c r="Y245" s="106"/>
    </row>
    <row r="246">
      <c r="C246" s="79"/>
      <c r="D246" s="79"/>
      <c r="J246" s="79"/>
      <c r="O246" s="79"/>
      <c r="P246" s="79"/>
      <c r="S246" s="79"/>
      <c r="T246" s="79"/>
      <c r="W246" s="130"/>
      <c r="Y246" s="106"/>
    </row>
    <row r="247">
      <c r="C247" s="79"/>
      <c r="D247" s="79"/>
      <c r="J247" s="79"/>
      <c r="O247" s="79"/>
      <c r="P247" s="79"/>
      <c r="S247" s="79"/>
      <c r="T247" s="79"/>
      <c r="W247" s="130"/>
      <c r="Y247" s="106"/>
    </row>
    <row r="248">
      <c r="C248" s="79"/>
      <c r="D248" s="79"/>
      <c r="J248" s="79"/>
      <c r="O248" s="79"/>
      <c r="P248" s="79"/>
      <c r="S248" s="79"/>
      <c r="T248" s="79"/>
      <c r="W248" s="130"/>
      <c r="Y248" s="106"/>
    </row>
    <row r="249">
      <c r="C249" s="79"/>
      <c r="D249" s="79"/>
      <c r="J249" s="79"/>
      <c r="O249" s="79"/>
      <c r="P249" s="79"/>
      <c r="S249" s="79"/>
      <c r="T249" s="79"/>
      <c r="W249" s="130"/>
      <c r="Y249" s="106"/>
    </row>
    <row r="250">
      <c r="C250" s="79"/>
      <c r="D250" s="79"/>
      <c r="J250" s="79"/>
      <c r="O250" s="79"/>
      <c r="P250" s="79"/>
      <c r="S250" s="79"/>
      <c r="T250" s="79"/>
      <c r="W250" s="130"/>
      <c r="Y250" s="106"/>
    </row>
    <row r="251">
      <c r="C251" s="79"/>
      <c r="D251" s="79"/>
      <c r="J251" s="79"/>
      <c r="O251" s="79"/>
      <c r="P251" s="79"/>
      <c r="S251" s="79"/>
      <c r="T251" s="79"/>
      <c r="W251" s="130"/>
      <c r="Y251" s="106"/>
    </row>
    <row r="252">
      <c r="C252" s="79"/>
      <c r="D252" s="79"/>
      <c r="J252" s="79"/>
      <c r="O252" s="79"/>
      <c r="P252" s="79"/>
      <c r="S252" s="79"/>
      <c r="T252" s="79"/>
      <c r="W252" s="130"/>
      <c r="Y252" s="106"/>
    </row>
    <row r="253">
      <c r="C253" s="79"/>
      <c r="D253" s="79"/>
      <c r="J253" s="79"/>
      <c r="O253" s="79"/>
      <c r="P253" s="79"/>
      <c r="S253" s="79"/>
      <c r="T253" s="79"/>
      <c r="W253" s="130"/>
      <c r="Y253" s="106"/>
    </row>
    <row r="254">
      <c r="C254" s="79"/>
      <c r="D254" s="79"/>
      <c r="J254" s="79"/>
      <c r="O254" s="79"/>
      <c r="P254" s="79"/>
      <c r="S254" s="79"/>
      <c r="T254" s="79"/>
      <c r="W254" s="130"/>
      <c r="Y254" s="106"/>
    </row>
    <row r="255">
      <c r="C255" s="79"/>
      <c r="D255" s="79"/>
      <c r="J255" s="79"/>
      <c r="O255" s="79"/>
      <c r="P255" s="79"/>
      <c r="S255" s="79"/>
      <c r="T255" s="79"/>
      <c r="W255" s="130"/>
      <c r="Y255" s="106"/>
    </row>
    <row r="256">
      <c r="C256" s="79"/>
      <c r="D256" s="79"/>
      <c r="J256" s="79"/>
      <c r="O256" s="79"/>
      <c r="P256" s="79"/>
      <c r="S256" s="79"/>
      <c r="T256" s="79"/>
      <c r="W256" s="130"/>
      <c r="Y256" s="106"/>
    </row>
    <row r="257">
      <c r="C257" s="79"/>
      <c r="D257" s="79"/>
      <c r="J257" s="79"/>
      <c r="O257" s="79"/>
      <c r="P257" s="79"/>
      <c r="S257" s="79"/>
      <c r="T257" s="79"/>
      <c r="W257" s="130"/>
      <c r="Y257" s="106"/>
    </row>
    <row r="258">
      <c r="C258" s="79"/>
      <c r="D258" s="79"/>
      <c r="J258" s="79"/>
      <c r="O258" s="79"/>
      <c r="P258" s="79"/>
      <c r="S258" s="79"/>
      <c r="T258" s="79"/>
      <c r="W258" s="130"/>
      <c r="Y258" s="106"/>
    </row>
    <row r="259">
      <c r="C259" s="79"/>
      <c r="D259" s="79"/>
      <c r="J259" s="79"/>
      <c r="O259" s="79"/>
      <c r="P259" s="79"/>
      <c r="S259" s="79"/>
      <c r="T259" s="79"/>
      <c r="W259" s="130"/>
      <c r="Y259" s="106"/>
    </row>
    <row r="260">
      <c r="C260" s="79"/>
      <c r="D260" s="79"/>
      <c r="J260" s="79"/>
      <c r="O260" s="79"/>
      <c r="P260" s="79"/>
      <c r="S260" s="79"/>
      <c r="T260" s="79"/>
      <c r="W260" s="130"/>
      <c r="Y260" s="106"/>
    </row>
    <row r="261">
      <c r="C261" s="79"/>
      <c r="D261" s="79"/>
      <c r="J261" s="79"/>
      <c r="O261" s="79"/>
      <c r="P261" s="79"/>
      <c r="S261" s="79"/>
      <c r="T261" s="79"/>
      <c r="W261" s="130"/>
      <c r="Y261" s="106"/>
    </row>
    <row r="262">
      <c r="C262" s="79"/>
      <c r="D262" s="79"/>
      <c r="J262" s="79"/>
      <c r="O262" s="79"/>
      <c r="P262" s="79"/>
      <c r="S262" s="79"/>
      <c r="T262" s="79"/>
      <c r="W262" s="130"/>
      <c r="Y262" s="106"/>
    </row>
    <row r="263">
      <c r="C263" s="79"/>
      <c r="D263" s="79"/>
      <c r="J263" s="79"/>
      <c r="O263" s="79"/>
      <c r="P263" s="79"/>
      <c r="S263" s="79"/>
      <c r="T263" s="79"/>
      <c r="W263" s="130"/>
      <c r="Y263" s="106"/>
    </row>
    <row r="264">
      <c r="C264" s="79"/>
      <c r="D264" s="79"/>
      <c r="J264" s="79"/>
      <c r="O264" s="79"/>
      <c r="P264" s="79"/>
      <c r="S264" s="79"/>
      <c r="T264" s="79"/>
      <c r="W264" s="130"/>
      <c r="Y264" s="106"/>
    </row>
    <row r="265">
      <c r="C265" s="79"/>
      <c r="D265" s="79"/>
      <c r="J265" s="79"/>
      <c r="O265" s="79"/>
      <c r="P265" s="79"/>
      <c r="S265" s="79"/>
      <c r="T265" s="79"/>
      <c r="W265" s="130"/>
      <c r="Y265" s="106"/>
    </row>
    <row r="266">
      <c r="C266" s="79"/>
      <c r="D266" s="79"/>
      <c r="J266" s="79"/>
      <c r="O266" s="79"/>
      <c r="P266" s="79"/>
      <c r="S266" s="79"/>
      <c r="T266" s="79"/>
      <c r="W266" s="130"/>
      <c r="Y266" s="106"/>
    </row>
    <row r="267">
      <c r="C267" s="79"/>
      <c r="D267" s="79"/>
      <c r="J267" s="79"/>
      <c r="O267" s="79"/>
      <c r="P267" s="79"/>
      <c r="S267" s="79"/>
      <c r="T267" s="79"/>
      <c r="W267" s="130"/>
      <c r="Y267" s="106"/>
    </row>
    <row r="268">
      <c r="C268" s="79"/>
      <c r="D268" s="79"/>
      <c r="J268" s="79"/>
      <c r="O268" s="79"/>
      <c r="P268" s="79"/>
      <c r="S268" s="79"/>
      <c r="T268" s="79"/>
      <c r="W268" s="130"/>
      <c r="Y268" s="106"/>
    </row>
    <row r="269">
      <c r="C269" s="79"/>
      <c r="D269" s="79"/>
      <c r="J269" s="79"/>
      <c r="O269" s="79"/>
      <c r="P269" s="79"/>
      <c r="S269" s="79"/>
      <c r="T269" s="79"/>
      <c r="W269" s="130"/>
      <c r="Y269" s="106"/>
    </row>
    <row r="270">
      <c r="C270" s="79"/>
      <c r="D270" s="79"/>
      <c r="J270" s="79"/>
      <c r="O270" s="79"/>
      <c r="P270" s="79"/>
      <c r="S270" s="79"/>
      <c r="T270" s="79"/>
      <c r="W270" s="130"/>
      <c r="Y270" s="106"/>
    </row>
    <row r="271">
      <c r="C271" s="79"/>
      <c r="D271" s="79"/>
      <c r="J271" s="79"/>
      <c r="O271" s="79"/>
      <c r="P271" s="79"/>
      <c r="S271" s="79"/>
      <c r="T271" s="79"/>
      <c r="W271" s="130"/>
      <c r="Y271" s="106"/>
    </row>
    <row r="272">
      <c r="C272" s="79"/>
      <c r="D272" s="79"/>
      <c r="J272" s="79"/>
      <c r="O272" s="79"/>
      <c r="P272" s="79"/>
      <c r="S272" s="79"/>
      <c r="T272" s="79"/>
      <c r="W272" s="130"/>
      <c r="Y272" s="106"/>
    </row>
    <row r="273">
      <c r="C273" s="79"/>
      <c r="D273" s="79"/>
      <c r="J273" s="79"/>
      <c r="O273" s="79"/>
      <c r="P273" s="79"/>
      <c r="S273" s="79"/>
      <c r="T273" s="79"/>
      <c r="W273" s="130"/>
      <c r="Y273" s="106"/>
    </row>
    <row r="274">
      <c r="C274" s="79"/>
      <c r="D274" s="79"/>
      <c r="J274" s="79"/>
      <c r="O274" s="79"/>
      <c r="P274" s="79"/>
      <c r="S274" s="79"/>
      <c r="T274" s="79"/>
      <c r="W274" s="130"/>
      <c r="Y274" s="106"/>
    </row>
    <row r="275">
      <c r="C275" s="79"/>
      <c r="D275" s="79"/>
      <c r="J275" s="79"/>
      <c r="O275" s="79"/>
      <c r="P275" s="79"/>
      <c r="S275" s="79"/>
      <c r="T275" s="79"/>
      <c r="W275" s="130"/>
      <c r="Y275" s="106"/>
    </row>
    <row r="276">
      <c r="C276" s="79"/>
      <c r="D276" s="79"/>
      <c r="J276" s="79"/>
      <c r="O276" s="79"/>
      <c r="P276" s="79"/>
      <c r="S276" s="79"/>
      <c r="T276" s="79"/>
      <c r="W276" s="130"/>
      <c r="Y276" s="106"/>
    </row>
    <row r="277">
      <c r="C277" s="79"/>
      <c r="D277" s="79"/>
      <c r="J277" s="79"/>
      <c r="O277" s="79"/>
      <c r="P277" s="79"/>
      <c r="S277" s="79"/>
      <c r="T277" s="79"/>
      <c r="W277" s="130"/>
      <c r="Y277" s="106"/>
    </row>
    <row r="278">
      <c r="C278" s="79"/>
      <c r="D278" s="79"/>
      <c r="J278" s="79"/>
      <c r="O278" s="79"/>
      <c r="P278" s="79"/>
      <c r="S278" s="79"/>
      <c r="T278" s="79"/>
      <c r="W278" s="130"/>
      <c r="Y278" s="106"/>
    </row>
    <row r="279">
      <c r="C279" s="79"/>
      <c r="D279" s="79"/>
      <c r="J279" s="79"/>
      <c r="O279" s="79"/>
      <c r="P279" s="79"/>
      <c r="S279" s="79"/>
      <c r="T279" s="79"/>
      <c r="W279" s="130"/>
      <c r="Y279" s="106"/>
    </row>
    <row r="280">
      <c r="C280" s="79"/>
      <c r="D280" s="79"/>
      <c r="J280" s="79"/>
      <c r="O280" s="79"/>
      <c r="P280" s="79"/>
      <c r="S280" s="79"/>
      <c r="T280" s="79"/>
      <c r="W280" s="130"/>
      <c r="Y280" s="106"/>
    </row>
    <row r="281">
      <c r="C281" s="79"/>
      <c r="D281" s="79"/>
      <c r="J281" s="79"/>
      <c r="O281" s="79"/>
      <c r="P281" s="79"/>
      <c r="S281" s="79"/>
      <c r="T281" s="79"/>
      <c r="W281" s="130"/>
      <c r="Y281" s="106"/>
    </row>
    <row r="282">
      <c r="C282" s="79"/>
      <c r="D282" s="79"/>
      <c r="J282" s="79"/>
      <c r="O282" s="79"/>
      <c r="P282" s="79"/>
      <c r="S282" s="79"/>
      <c r="T282" s="79"/>
      <c r="W282" s="130"/>
      <c r="Y282" s="106"/>
    </row>
    <row r="283">
      <c r="C283" s="79"/>
      <c r="D283" s="79"/>
      <c r="J283" s="79"/>
      <c r="O283" s="79"/>
      <c r="P283" s="79"/>
      <c r="S283" s="79"/>
      <c r="T283" s="79"/>
      <c r="W283" s="130"/>
      <c r="Y283" s="106"/>
    </row>
    <row r="284">
      <c r="C284" s="79"/>
      <c r="D284" s="79"/>
      <c r="J284" s="79"/>
      <c r="O284" s="79"/>
      <c r="P284" s="79"/>
      <c r="S284" s="79"/>
      <c r="T284" s="79"/>
      <c r="W284" s="130"/>
      <c r="Y284" s="106"/>
    </row>
    <row r="285">
      <c r="C285" s="79"/>
      <c r="D285" s="79"/>
      <c r="J285" s="79"/>
      <c r="O285" s="79"/>
      <c r="P285" s="79"/>
      <c r="S285" s="79"/>
      <c r="T285" s="79"/>
      <c r="W285" s="130"/>
      <c r="Y285" s="106"/>
    </row>
    <row r="286">
      <c r="C286" s="79"/>
      <c r="D286" s="79"/>
      <c r="J286" s="79"/>
      <c r="O286" s="79"/>
      <c r="P286" s="79"/>
      <c r="S286" s="79"/>
      <c r="T286" s="79"/>
      <c r="W286" s="130"/>
      <c r="Y286" s="106"/>
    </row>
    <row r="287">
      <c r="C287" s="79"/>
      <c r="D287" s="79"/>
      <c r="J287" s="79"/>
      <c r="O287" s="79"/>
      <c r="P287" s="79"/>
      <c r="S287" s="79"/>
      <c r="T287" s="79"/>
      <c r="W287" s="130"/>
      <c r="Y287" s="106"/>
    </row>
    <row r="288">
      <c r="C288" s="79"/>
      <c r="D288" s="79"/>
      <c r="J288" s="79"/>
      <c r="O288" s="79"/>
      <c r="P288" s="79"/>
      <c r="S288" s="79"/>
      <c r="T288" s="79"/>
      <c r="W288" s="130"/>
      <c r="Y288" s="106"/>
    </row>
    <row r="289">
      <c r="C289" s="79"/>
      <c r="D289" s="79"/>
      <c r="J289" s="79"/>
      <c r="O289" s="79"/>
      <c r="P289" s="79"/>
      <c r="S289" s="79"/>
      <c r="T289" s="79"/>
      <c r="W289" s="130"/>
      <c r="Y289" s="106"/>
    </row>
    <row r="290">
      <c r="C290" s="79"/>
      <c r="D290" s="79"/>
      <c r="J290" s="79"/>
      <c r="O290" s="79"/>
      <c r="P290" s="79"/>
      <c r="S290" s="79"/>
      <c r="T290" s="79"/>
      <c r="W290" s="130"/>
      <c r="Y290" s="106"/>
    </row>
    <row r="291">
      <c r="C291" s="79"/>
      <c r="D291" s="79"/>
      <c r="J291" s="79"/>
      <c r="O291" s="79"/>
      <c r="P291" s="79"/>
      <c r="S291" s="79"/>
      <c r="T291" s="79"/>
      <c r="W291" s="130"/>
      <c r="Y291" s="106"/>
    </row>
    <row r="292">
      <c r="C292" s="79"/>
      <c r="D292" s="79"/>
      <c r="J292" s="79"/>
      <c r="O292" s="79"/>
      <c r="P292" s="79"/>
      <c r="S292" s="79"/>
      <c r="T292" s="79"/>
      <c r="W292" s="130"/>
      <c r="Y292" s="106"/>
    </row>
    <row r="293">
      <c r="C293" s="79"/>
      <c r="D293" s="79"/>
      <c r="J293" s="79"/>
      <c r="O293" s="79"/>
      <c r="P293" s="79"/>
      <c r="S293" s="79"/>
      <c r="T293" s="79"/>
      <c r="W293" s="130"/>
      <c r="Y293" s="106"/>
    </row>
    <row r="294">
      <c r="C294" s="79"/>
      <c r="D294" s="79"/>
      <c r="J294" s="79"/>
      <c r="O294" s="79"/>
      <c r="P294" s="79"/>
      <c r="S294" s="79"/>
      <c r="T294" s="79"/>
      <c r="W294" s="130"/>
      <c r="Y294" s="106"/>
    </row>
    <row r="295">
      <c r="C295" s="79"/>
      <c r="D295" s="79"/>
      <c r="J295" s="79"/>
      <c r="O295" s="79"/>
      <c r="P295" s="79"/>
      <c r="S295" s="79"/>
      <c r="T295" s="79"/>
      <c r="W295" s="130"/>
      <c r="Y295" s="106"/>
    </row>
    <row r="296">
      <c r="C296" s="79"/>
      <c r="D296" s="79"/>
      <c r="J296" s="79"/>
      <c r="O296" s="79"/>
      <c r="P296" s="79"/>
      <c r="S296" s="79"/>
      <c r="T296" s="79"/>
      <c r="W296" s="130"/>
      <c r="Y296" s="106"/>
    </row>
    <row r="297">
      <c r="C297" s="79"/>
      <c r="D297" s="79"/>
      <c r="J297" s="79"/>
      <c r="O297" s="79"/>
      <c r="P297" s="79"/>
      <c r="S297" s="79"/>
      <c r="T297" s="79"/>
      <c r="W297" s="130"/>
      <c r="Y297" s="106"/>
    </row>
    <row r="298">
      <c r="C298" s="79"/>
      <c r="D298" s="79"/>
      <c r="J298" s="79"/>
      <c r="O298" s="79"/>
      <c r="P298" s="79"/>
      <c r="S298" s="79"/>
      <c r="T298" s="79"/>
      <c r="W298" s="130"/>
      <c r="Y298" s="106"/>
    </row>
    <row r="299">
      <c r="C299" s="79"/>
      <c r="D299" s="79"/>
      <c r="J299" s="79"/>
      <c r="O299" s="79"/>
      <c r="P299" s="79"/>
      <c r="S299" s="79"/>
      <c r="T299" s="79"/>
      <c r="W299" s="130"/>
      <c r="Y299" s="106"/>
    </row>
    <row r="300">
      <c r="C300" s="79"/>
      <c r="D300" s="79"/>
      <c r="J300" s="79"/>
      <c r="O300" s="79"/>
      <c r="P300" s="79"/>
      <c r="S300" s="79"/>
      <c r="T300" s="79"/>
      <c r="W300" s="130"/>
      <c r="Y300" s="106"/>
    </row>
    <row r="301">
      <c r="C301" s="79"/>
      <c r="D301" s="79"/>
      <c r="J301" s="79"/>
      <c r="O301" s="79"/>
      <c r="P301" s="79"/>
      <c r="S301" s="79"/>
      <c r="T301" s="79"/>
      <c r="W301" s="130"/>
      <c r="Y301" s="106"/>
    </row>
    <row r="302">
      <c r="C302" s="79"/>
      <c r="D302" s="79"/>
      <c r="J302" s="79"/>
      <c r="O302" s="79"/>
      <c r="P302" s="79"/>
      <c r="S302" s="79"/>
      <c r="T302" s="79"/>
      <c r="W302" s="130"/>
      <c r="Y302" s="106"/>
    </row>
    <row r="303">
      <c r="C303" s="79"/>
      <c r="D303" s="79"/>
      <c r="J303" s="79"/>
      <c r="O303" s="79"/>
      <c r="P303" s="79"/>
      <c r="S303" s="79"/>
      <c r="T303" s="79"/>
      <c r="W303" s="130"/>
      <c r="Y303" s="106"/>
    </row>
    <row r="304">
      <c r="C304" s="79"/>
      <c r="D304" s="79"/>
      <c r="J304" s="79"/>
      <c r="O304" s="79"/>
      <c r="P304" s="79"/>
      <c r="S304" s="79"/>
      <c r="T304" s="79"/>
      <c r="W304" s="130"/>
      <c r="Y304" s="106"/>
    </row>
    <row r="305">
      <c r="C305" s="79"/>
      <c r="D305" s="79"/>
      <c r="J305" s="79"/>
      <c r="O305" s="79"/>
      <c r="P305" s="79"/>
      <c r="S305" s="79"/>
      <c r="T305" s="79"/>
      <c r="W305" s="130"/>
      <c r="Y305" s="106"/>
    </row>
    <row r="306">
      <c r="C306" s="79"/>
      <c r="D306" s="79"/>
      <c r="J306" s="79"/>
      <c r="O306" s="79"/>
      <c r="P306" s="79"/>
      <c r="S306" s="79"/>
      <c r="T306" s="79"/>
      <c r="W306" s="130"/>
      <c r="Y306" s="106"/>
    </row>
    <row r="307">
      <c r="C307" s="79"/>
      <c r="D307" s="79"/>
      <c r="J307" s="79"/>
      <c r="O307" s="79"/>
      <c r="P307" s="79"/>
      <c r="S307" s="79"/>
      <c r="T307" s="79"/>
      <c r="W307" s="130"/>
      <c r="Y307" s="106"/>
    </row>
    <row r="308">
      <c r="C308" s="79"/>
      <c r="D308" s="79"/>
      <c r="J308" s="79"/>
      <c r="O308" s="79"/>
      <c r="P308" s="79"/>
      <c r="S308" s="79"/>
      <c r="T308" s="79"/>
      <c r="W308" s="130"/>
      <c r="Y308" s="106"/>
    </row>
    <row r="309">
      <c r="C309" s="79"/>
      <c r="D309" s="79"/>
      <c r="J309" s="79"/>
      <c r="O309" s="79"/>
      <c r="P309" s="79"/>
      <c r="S309" s="79"/>
      <c r="T309" s="79"/>
      <c r="W309" s="130"/>
      <c r="Y309" s="106"/>
    </row>
    <row r="310">
      <c r="C310" s="79"/>
      <c r="D310" s="79"/>
      <c r="J310" s="79"/>
      <c r="O310" s="79"/>
      <c r="P310" s="79"/>
      <c r="S310" s="79"/>
      <c r="T310" s="79"/>
      <c r="W310" s="130"/>
      <c r="Y310" s="106"/>
    </row>
    <row r="311">
      <c r="C311" s="79"/>
      <c r="D311" s="79"/>
      <c r="J311" s="79"/>
      <c r="O311" s="79"/>
      <c r="P311" s="79"/>
      <c r="S311" s="79"/>
      <c r="T311" s="79"/>
      <c r="W311" s="130"/>
      <c r="Y311" s="106"/>
    </row>
    <row r="312">
      <c r="C312" s="79"/>
      <c r="D312" s="79"/>
      <c r="J312" s="79"/>
      <c r="O312" s="79"/>
      <c r="P312" s="79"/>
      <c r="S312" s="79"/>
      <c r="T312" s="79"/>
      <c r="W312" s="130"/>
      <c r="Y312" s="106"/>
    </row>
    <row r="313">
      <c r="C313" s="79"/>
      <c r="D313" s="79"/>
      <c r="J313" s="79"/>
      <c r="O313" s="79"/>
      <c r="P313" s="79"/>
      <c r="S313" s="79"/>
      <c r="T313" s="79"/>
      <c r="W313" s="130"/>
      <c r="Y313" s="106"/>
    </row>
    <row r="314">
      <c r="C314" s="79"/>
      <c r="D314" s="79"/>
      <c r="J314" s="79"/>
      <c r="O314" s="79"/>
      <c r="P314" s="79"/>
      <c r="S314" s="79"/>
      <c r="T314" s="79"/>
      <c r="W314" s="130"/>
      <c r="Y314" s="106"/>
    </row>
    <row r="315">
      <c r="C315" s="79"/>
      <c r="D315" s="79"/>
      <c r="J315" s="79"/>
      <c r="O315" s="79"/>
      <c r="P315" s="79"/>
      <c r="S315" s="79"/>
      <c r="T315" s="79"/>
      <c r="W315" s="130"/>
      <c r="Y315" s="106"/>
    </row>
    <row r="316">
      <c r="C316" s="79"/>
      <c r="D316" s="79"/>
      <c r="J316" s="79"/>
      <c r="O316" s="79"/>
      <c r="P316" s="79"/>
      <c r="S316" s="79"/>
      <c r="T316" s="79"/>
      <c r="W316" s="130"/>
      <c r="Y316" s="106"/>
    </row>
    <row r="317">
      <c r="C317" s="79"/>
      <c r="D317" s="79"/>
      <c r="J317" s="79"/>
      <c r="O317" s="79"/>
      <c r="P317" s="79"/>
      <c r="S317" s="79"/>
      <c r="T317" s="79"/>
      <c r="W317" s="130"/>
      <c r="Y317" s="106"/>
    </row>
    <row r="318">
      <c r="C318" s="79"/>
      <c r="D318" s="79"/>
      <c r="J318" s="79"/>
      <c r="O318" s="79"/>
      <c r="P318" s="79"/>
      <c r="S318" s="79"/>
      <c r="T318" s="79"/>
      <c r="W318" s="130"/>
      <c r="Y318" s="106"/>
    </row>
    <row r="319">
      <c r="C319" s="79"/>
      <c r="D319" s="79"/>
      <c r="J319" s="79"/>
      <c r="O319" s="79"/>
      <c r="P319" s="79"/>
      <c r="S319" s="79"/>
      <c r="T319" s="79"/>
      <c r="W319" s="130"/>
      <c r="Y319" s="106"/>
    </row>
    <row r="320">
      <c r="C320" s="79"/>
      <c r="D320" s="79"/>
      <c r="J320" s="79"/>
      <c r="O320" s="79"/>
      <c r="P320" s="79"/>
      <c r="S320" s="79"/>
      <c r="T320" s="79"/>
      <c r="W320" s="130"/>
      <c r="Y320" s="106"/>
    </row>
    <row r="321">
      <c r="C321" s="79"/>
      <c r="D321" s="79"/>
      <c r="J321" s="79"/>
      <c r="O321" s="79"/>
      <c r="P321" s="79"/>
      <c r="S321" s="79"/>
      <c r="T321" s="79"/>
      <c r="W321" s="130"/>
      <c r="Y321" s="106"/>
    </row>
    <row r="322">
      <c r="C322" s="79"/>
      <c r="D322" s="79"/>
      <c r="J322" s="79"/>
      <c r="O322" s="79"/>
      <c r="P322" s="79"/>
      <c r="S322" s="79"/>
      <c r="T322" s="79"/>
      <c r="W322" s="130"/>
      <c r="Y322" s="106"/>
    </row>
    <row r="323">
      <c r="C323" s="79"/>
      <c r="D323" s="79"/>
      <c r="J323" s="79"/>
      <c r="O323" s="79"/>
      <c r="P323" s="79"/>
      <c r="S323" s="79"/>
      <c r="T323" s="79"/>
      <c r="W323" s="130"/>
      <c r="Y323" s="106"/>
    </row>
    <row r="324">
      <c r="C324" s="79"/>
      <c r="D324" s="79"/>
      <c r="J324" s="79"/>
      <c r="O324" s="79"/>
      <c r="P324" s="79"/>
      <c r="S324" s="79"/>
      <c r="T324" s="79"/>
      <c r="W324" s="130"/>
      <c r="Y324" s="106"/>
    </row>
    <row r="325">
      <c r="C325" s="79"/>
      <c r="D325" s="79"/>
      <c r="J325" s="79"/>
      <c r="O325" s="79"/>
      <c r="P325" s="79"/>
      <c r="S325" s="79"/>
      <c r="T325" s="79"/>
      <c r="W325" s="130"/>
      <c r="Y325" s="106"/>
    </row>
    <row r="326">
      <c r="C326" s="79"/>
      <c r="D326" s="79"/>
      <c r="J326" s="79"/>
      <c r="O326" s="79"/>
      <c r="P326" s="79"/>
      <c r="S326" s="79"/>
      <c r="T326" s="79"/>
      <c r="W326" s="130"/>
      <c r="Y326" s="106"/>
    </row>
    <row r="327">
      <c r="C327" s="79"/>
      <c r="D327" s="79"/>
      <c r="J327" s="79"/>
      <c r="O327" s="79"/>
      <c r="P327" s="79"/>
      <c r="S327" s="79"/>
      <c r="T327" s="79"/>
      <c r="W327" s="130"/>
      <c r="Y327" s="106"/>
    </row>
    <row r="328">
      <c r="C328" s="79"/>
      <c r="D328" s="79"/>
      <c r="J328" s="79"/>
      <c r="O328" s="79"/>
      <c r="P328" s="79"/>
      <c r="S328" s="79"/>
      <c r="T328" s="79"/>
      <c r="W328" s="130"/>
      <c r="Y328" s="106"/>
    </row>
    <row r="329">
      <c r="C329" s="79"/>
      <c r="D329" s="79"/>
      <c r="J329" s="79"/>
      <c r="O329" s="79"/>
      <c r="P329" s="79"/>
      <c r="S329" s="79"/>
      <c r="T329" s="79"/>
      <c r="W329" s="130"/>
      <c r="Y329" s="106"/>
    </row>
    <row r="330">
      <c r="C330" s="79"/>
      <c r="D330" s="79"/>
      <c r="J330" s="79"/>
      <c r="O330" s="79"/>
      <c r="P330" s="79"/>
      <c r="S330" s="79"/>
      <c r="T330" s="79"/>
      <c r="W330" s="130"/>
      <c r="Y330" s="106"/>
    </row>
    <row r="331">
      <c r="C331" s="79"/>
      <c r="D331" s="79"/>
      <c r="J331" s="79"/>
      <c r="O331" s="79"/>
      <c r="P331" s="79"/>
      <c r="S331" s="79"/>
      <c r="T331" s="79"/>
      <c r="W331" s="130"/>
      <c r="Y331" s="106"/>
    </row>
    <row r="332">
      <c r="C332" s="79"/>
      <c r="D332" s="79"/>
      <c r="J332" s="79"/>
      <c r="O332" s="79"/>
      <c r="P332" s="79"/>
      <c r="S332" s="79"/>
      <c r="T332" s="79"/>
      <c r="W332" s="130"/>
      <c r="Y332" s="106"/>
    </row>
    <row r="333">
      <c r="C333" s="79"/>
      <c r="D333" s="79"/>
      <c r="J333" s="79"/>
      <c r="O333" s="79"/>
      <c r="P333" s="79"/>
      <c r="S333" s="79"/>
      <c r="T333" s="79"/>
      <c r="W333" s="130"/>
      <c r="Y333" s="106"/>
    </row>
    <row r="334">
      <c r="C334" s="79"/>
      <c r="D334" s="79"/>
      <c r="J334" s="79"/>
      <c r="O334" s="79"/>
      <c r="P334" s="79"/>
      <c r="S334" s="79"/>
      <c r="T334" s="79"/>
      <c r="W334" s="130"/>
      <c r="Y334" s="106"/>
    </row>
    <row r="335">
      <c r="C335" s="79"/>
      <c r="D335" s="79"/>
      <c r="J335" s="79"/>
      <c r="O335" s="79"/>
      <c r="P335" s="79"/>
      <c r="S335" s="79"/>
      <c r="T335" s="79"/>
      <c r="W335" s="130"/>
      <c r="Y335" s="106"/>
    </row>
    <row r="336">
      <c r="C336" s="79"/>
      <c r="D336" s="79"/>
      <c r="J336" s="79"/>
      <c r="O336" s="79"/>
      <c r="P336" s="79"/>
      <c r="S336" s="79"/>
      <c r="T336" s="79"/>
      <c r="W336" s="130"/>
      <c r="Y336" s="106"/>
    </row>
    <row r="337">
      <c r="C337" s="79"/>
      <c r="D337" s="79"/>
      <c r="J337" s="79"/>
      <c r="O337" s="79"/>
      <c r="P337" s="79"/>
      <c r="S337" s="79"/>
      <c r="T337" s="79"/>
      <c r="W337" s="130"/>
      <c r="Y337" s="106"/>
    </row>
    <row r="338">
      <c r="C338" s="79"/>
      <c r="D338" s="79"/>
      <c r="J338" s="79"/>
      <c r="O338" s="79"/>
      <c r="P338" s="79"/>
      <c r="S338" s="79"/>
      <c r="T338" s="79"/>
      <c r="W338" s="130"/>
      <c r="Y338" s="106"/>
    </row>
    <row r="339">
      <c r="C339" s="79"/>
      <c r="D339" s="79"/>
      <c r="J339" s="79"/>
      <c r="O339" s="79"/>
      <c r="P339" s="79"/>
      <c r="S339" s="79"/>
      <c r="T339" s="79"/>
      <c r="W339" s="130"/>
      <c r="Y339" s="106"/>
    </row>
    <row r="340">
      <c r="C340" s="79"/>
      <c r="D340" s="79"/>
      <c r="J340" s="79"/>
      <c r="O340" s="79"/>
      <c r="P340" s="79"/>
      <c r="S340" s="79"/>
      <c r="T340" s="79"/>
      <c r="W340" s="130"/>
      <c r="Y340" s="106"/>
    </row>
    <row r="341">
      <c r="C341" s="79"/>
      <c r="D341" s="79"/>
      <c r="J341" s="79"/>
      <c r="O341" s="79"/>
      <c r="P341" s="79"/>
      <c r="S341" s="79"/>
      <c r="T341" s="79"/>
      <c r="W341" s="130"/>
      <c r="Y341" s="106"/>
    </row>
    <row r="342">
      <c r="C342" s="79"/>
      <c r="D342" s="79"/>
      <c r="J342" s="79"/>
      <c r="O342" s="79"/>
      <c r="P342" s="79"/>
      <c r="S342" s="79"/>
      <c r="T342" s="79"/>
      <c r="W342" s="130"/>
      <c r="Y342" s="106"/>
    </row>
    <row r="343">
      <c r="C343" s="79"/>
      <c r="D343" s="79"/>
      <c r="J343" s="79"/>
      <c r="O343" s="79"/>
      <c r="P343" s="79"/>
      <c r="S343" s="79"/>
      <c r="T343" s="79"/>
      <c r="W343" s="130"/>
      <c r="Y343" s="106"/>
    </row>
    <row r="344">
      <c r="C344" s="79"/>
      <c r="D344" s="79"/>
      <c r="J344" s="79"/>
      <c r="O344" s="79"/>
      <c r="P344" s="79"/>
      <c r="S344" s="79"/>
      <c r="T344" s="79"/>
      <c r="W344" s="130"/>
      <c r="Y344" s="106"/>
    </row>
    <row r="345">
      <c r="C345" s="79"/>
      <c r="D345" s="79"/>
      <c r="J345" s="79"/>
      <c r="O345" s="79"/>
      <c r="P345" s="79"/>
      <c r="S345" s="79"/>
      <c r="T345" s="79"/>
      <c r="W345" s="130"/>
      <c r="Y345" s="106"/>
    </row>
    <row r="346">
      <c r="C346" s="79"/>
      <c r="D346" s="79"/>
      <c r="J346" s="79"/>
      <c r="O346" s="79"/>
      <c r="P346" s="79"/>
      <c r="S346" s="79"/>
      <c r="T346" s="79"/>
      <c r="W346" s="130"/>
      <c r="Y346" s="106"/>
    </row>
    <row r="347">
      <c r="C347" s="79"/>
      <c r="D347" s="79"/>
      <c r="J347" s="79"/>
      <c r="O347" s="79"/>
      <c r="P347" s="79"/>
      <c r="S347" s="79"/>
      <c r="T347" s="79"/>
      <c r="W347" s="130"/>
      <c r="Y347" s="106"/>
    </row>
    <row r="348">
      <c r="C348" s="79"/>
      <c r="D348" s="79"/>
      <c r="J348" s="79"/>
      <c r="O348" s="79"/>
      <c r="P348" s="79"/>
      <c r="S348" s="79"/>
      <c r="T348" s="79"/>
      <c r="W348" s="130"/>
      <c r="Y348" s="106"/>
    </row>
    <row r="349">
      <c r="C349" s="79"/>
      <c r="D349" s="79"/>
      <c r="J349" s="79"/>
      <c r="O349" s="79"/>
      <c r="P349" s="79"/>
      <c r="S349" s="79"/>
      <c r="T349" s="79"/>
      <c r="W349" s="130"/>
      <c r="Y349" s="106"/>
    </row>
    <row r="350">
      <c r="C350" s="79"/>
      <c r="D350" s="79"/>
      <c r="J350" s="79"/>
      <c r="O350" s="79"/>
      <c r="P350" s="79"/>
      <c r="S350" s="79"/>
      <c r="T350" s="79"/>
      <c r="W350" s="130"/>
      <c r="Y350" s="106"/>
    </row>
    <row r="351">
      <c r="C351" s="79"/>
      <c r="D351" s="79"/>
      <c r="J351" s="79"/>
      <c r="O351" s="79"/>
      <c r="P351" s="79"/>
      <c r="S351" s="79"/>
      <c r="T351" s="79"/>
      <c r="W351" s="130"/>
      <c r="Y351" s="106"/>
    </row>
    <row r="352">
      <c r="C352" s="79"/>
      <c r="D352" s="79"/>
      <c r="J352" s="79"/>
      <c r="O352" s="79"/>
      <c r="P352" s="79"/>
      <c r="S352" s="79"/>
      <c r="T352" s="79"/>
      <c r="W352" s="130"/>
      <c r="Y352" s="106"/>
    </row>
    <row r="353">
      <c r="C353" s="79"/>
      <c r="D353" s="79"/>
      <c r="J353" s="79"/>
      <c r="O353" s="79"/>
      <c r="P353" s="79"/>
      <c r="S353" s="79"/>
      <c r="T353" s="79"/>
      <c r="W353" s="130"/>
      <c r="Y353" s="106"/>
    </row>
    <row r="354">
      <c r="C354" s="79"/>
      <c r="D354" s="79"/>
      <c r="J354" s="79"/>
      <c r="O354" s="79"/>
      <c r="P354" s="79"/>
      <c r="S354" s="79"/>
      <c r="T354" s="79"/>
      <c r="W354" s="130"/>
      <c r="Y354" s="106"/>
    </row>
    <row r="355">
      <c r="C355" s="79"/>
      <c r="D355" s="79"/>
      <c r="J355" s="79"/>
      <c r="O355" s="79"/>
      <c r="P355" s="79"/>
      <c r="S355" s="79"/>
      <c r="T355" s="79"/>
      <c r="W355" s="130"/>
      <c r="Y355" s="106"/>
    </row>
    <row r="356">
      <c r="C356" s="79"/>
      <c r="D356" s="79"/>
      <c r="J356" s="79"/>
      <c r="O356" s="79"/>
      <c r="P356" s="79"/>
      <c r="S356" s="79"/>
      <c r="T356" s="79"/>
      <c r="W356" s="130"/>
      <c r="Y356" s="106"/>
    </row>
    <row r="357">
      <c r="C357" s="79"/>
      <c r="D357" s="79"/>
      <c r="J357" s="79"/>
      <c r="O357" s="79"/>
      <c r="P357" s="79"/>
      <c r="S357" s="79"/>
      <c r="T357" s="79"/>
      <c r="W357" s="130"/>
      <c r="Y357" s="106"/>
    </row>
    <row r="358">
      <c r="C358" s="79"/>
      <c r="D358" s="79"/>
      <c r="J358" s="79"/>
      <c r="O358" s="79"/>
      <c r="P358" s="79"/>
      <c r="S358" s="79"/>
      <c r="T358" s="79"/>
      <c r="W358" s="130"/>
      <c r="Y358" s="106"/>
    </row>
    <row r="359">
      <c r="C359" s="79"/>
      <c r="D359" s="79"/>
      <c r="J359" s="79"/>
      <c r="O359" s="79"/>
      <c r="P359" s="79"/>
      <c r="S359" s="79"/>
      <c r="T359" s="79"/>
      <c r="W359" s="130"/>
      <c r="Y359" s="106"/>
    </row>
    <row r="360">
      <c r="C360" s="79"/>
      <c r="D360" s="79"/>
      <c r="J360" s="79"/>
      <c r="O360" s="79"/>
      <c r="P360" s="79"/>
      <c r="S360" s="79"/>
      <c r="T360" s="79"/>
      <c r="W360" s="130"/>
      <c r="Y360" s="106"/>
    </row>
    <row r="361">
      <c r="C361" s="79"/>
      <c r="D361" s="79"/>
      <c r="J361" s="79"/>
      <c r="O361" s="79"/>
      <c r="P361" s="79"/>
      <c r="S361" s="79"/>
      <c r="T361" s="79"/>
      <c r="W361" s="130"/>
      <c r="Y361" s="106"/>
    </row>
    <row r="362">
      <c r="C362" s="79"/>
      <c r="D362" s="79"/>
      <c r="J362" s="79"/>
      <c r="O362" s="79"/>
      <c r="P362" s="79"/>
      <c r="S362" s="79"/>
      <c r="T362" s="79"/>
      <c r="W362" s="130"/>
      <c r="Y362" s="106"/>
    </row>
    <row r="363">
      <c r="C363" s="79"/>
      <c r="D363" s="79"/>
      <c r="J363" s="79"/>
      <c r="O363" s="79"/>
      <c r="P363" s="79"/>
      <c r="S363" s="79"/>
      <c r="T363" s="79"/>
      <c r="W363" s="130"/>
      <c r="Y363" s="106"/>
    </row>
    <row r="364">
      <c r="C364" s="79"/>
      <c r="D364" s="79"/>
      <c r="J364" s="79"/>
      <c r="O364" s="79"/>
      <c r="P364" s="79"/>
      <c r="S364" s="79"/>
      <c r="T364" s="79"/>
      <c r="W364" s="130"/>
      <c r="Y364" s="106"/>
    </row>
    <row r="365">
      <c r="C365" s="79"/>
      <c r="D365" s="79"/>
      <c r="J365" s="79"/>
      <c r="O365" s="79"/>
      <c r="P365" s="79"/>
      <c r="S365" s="79"/>
      <c r="T365" s="79"/>
      <c r="W365" s="130"/>
      <c r="Y365" s="106"/>
    </row>
    <row r="366">
      <c r="C366" s="79"/>
      <c r="D366" s="79"/>
      <c r="J366" s="79"/>
      <c r="O366" s="79"/>
      <c r="P366" s="79"/>
      <c r="S366" s="79"/>
      <c r="T366" s="79"/>
      <c r="W366" s="130"/>
      <c r="Y366" s="106"/>
    </row>
    <row r="367">
      <c r="C367" s="79"/>
      <c r="D367" s="79"/>
      <c r="J367" s="79"/>
      <c r="O367" s="79"/>
      <c r="P367" s="79"/>
      <c r="S367" s="79"/>
      <c r="T367" s="79"/>
      <c r="W367" s="130"/>
      <c r="Y367" s="106"/>
    </row>
    <row r="368">
      <c r="C368" s="79"/>
      <c r="D368" s="79"/>
      <c r="J368" s="79"/>
      <c r="O368" s="79"/>
      <c r="P368" s="79"/>
      <c r="S368" s="79"/>
      <c r="T368" s="79"/>
      <c r="W368" s="130"/>
      <c r="Y368" s="106"/>
    </row>
    <row r="369">
      <c r="C369" s="79"/>
      <c r="D369" s="79"/>
      <c r="J369" s="79"/>
      <c r="O369" s="79"/>
      <c r="P369" s="79"/>
      <c r="S369" s="79"/>
      <c r="T369" s="79"/>
      <c r="W369" s="130"/>
      <c r="Y369" s="106"/>
    </row>
    <row r="370">
      <c r="C370" s="79"/>
      <c r="D370" s="79"/>
      <c r="J370" s="79"/>
      <c r="O370" s="79"/>
      <c r="P370" s="79"/>
      <c r="S370" s="79"/>
      <c r="T370" s="79"/>
      <c r="W370" s="130"/>
      <c r="Y370" s="106"/>
    </row>
    <row r="371">
      <c r="C371" s="79"/>
      <c r="D371" s="79"/>
      <c r="J371" s="79"/>
      <c r="O371" s="79"/>
      <c r="P371" s="79"/>
      <c r="S371" s="79"/>
      <c r="T371" s="79"/>
      <c r="W371" s="130"/>
      <c r="Y371" s="106"/>
    </row>
    <row r="372">
      <c r="C372" s="79"/>
      <c r="D372" s="79"/>
      <c r="J372" s="79"/>
      <c r="O372" s="79"/>
      <c r="P372" s="79"/>
      <c r="S372" s="79"/>
      <c r="T372" s="79"/>
      <c r="W372" s="130"/>
      <c r="Y372" s="106"/>
    </row>
    <row r="373">
      <c r="C373" s="79"/>
      <c r="D373" s="79"/>
      <c r="J373" s="79"/>
      <c r="O373" s="79"/>
      <c r="P373" s="79"/>
      <c r="S373" s="79"/>
      <c r="T373" s="79"/>
      <c r="W373" s="130"/>
      <c r="Y373" s="106"/>
    </row>
    <row r="374">
      <c r="C374" s="79"/>
      <c r="D374" s="79"/>
      <c r="J374" s="79"/>
      <c r="O374" s="79"/>
      <c r="P374" s="79"/>
      <c r="S374" s="79"/>
      <c r="T374" s="79"/>
      <c r="W374" s="130"/>
      <c r="Y374" s="106"/>
    </row>
    <row r="375">
      <c r="C375" s="79"/>
      <c r="D375" s="79"/>
      <c r="J375" s="79"/>
      <c r="O375" s="79"/>
      <c r="P375" s="79"/>
      <c r="S375" s="79"/>
      <c r="T375" s="79"/>
      <c r="W375" s="130"/>
      <c r="Y375" s="106"/>
    </row>
    <row r="376">
      <c r="C376" s="79"/>
      <c r="D376" s="79"/>
      <c r="J376" s="79"/>
      <c r="O376" s="79"/>
      <c r="P376" s="79"/>
      <c r="S376" s="79"/>
      <c r="T376" s="79"/>
      <c r="W376" s="130"/>
      <c r="Y376" s="106"/>
    </row>
    <row r="377">
      <c r="C377" s="79"/>
      <c r="D377" s="79"/>
      <c r="J377" s="79"/>
      <c r="O377" s="79"/>
      <c r="P377" s="79"/>
      <c r="S377" s="79"/>
      <c r="T377" s="79"/>
      <c r="W377" s="130"/>
      <c r="Y377" s="106"/>
    </row>
    <row r="378">
      <c r="C378" s="79"/>
      <c r="D378" s="79"/>
      <c r="J378" s="79"/>
      <c r="O378" s="79"/>
      <c r="P378" s="79"/>
      <c r="S378" s="79"/>
      <c r="T378" s="79"/>
      <c r="W378" s="130"/>
      <c r="Y378" s="106"/>
    </row>
    <row r="379">
      <c r="C379" s="79"/>
      <c r="D379" s="79"/>
      <c r="J379" s="79"/>
      <c r="O379" s="79"/>
      <c r="P379" s="79"/>
      <c r="S379" s="79"/>
      <c r="T379" s="79"/>
      <c r="W379" s="130"/>
      <c r="Y379" s="106"/>
    </row>
    <row r="380">
      <c r="C380" s="79"/>
      <c r="D380" s="79"/>
      <c r="J380" s="79"/>
      <c r="O380" s="79"/>
      <c r="P380" s="79"/>
      <c r="S380" s="79"/>
      <c r="T380" s="79"/>
      <c r="W380" s="130"/>
      <c r="Y380" s="106"/>
    </row>
    <row r="381">
      <c r="C381" s="79"/>
      <c r="D381" s="79"/>
      <c r="J381" s="79"/>
      <c r="O381" s="79"/>
      <c r="P381" s="79"/>
      <c r="S381" s="79"/>
      <c r="T381" s="79"/>
      <c r="W381" s="130"/>
      <c r="Y381" s="106"/>
    </row>
    <row r="382">
      <c r="C382" s="79"/>
      <c r="D382" s="79"/>
      <c r="J382" s="79"/>
      <c r="O382" s="79"/>
      <c r="P382" s="79"/>
      <c r="S382" s="79"/>
      <c r="T382" s="79"/>
      <c r="W382" s="130"/>
      <c r="Y382" s="106"/>
    </row>
    <row r="383">
      <c r="C383" s="79"/>
      <c r="D383" s="79"/>
      <c r="J383" s="79"/>
      <c r="O383" s="79"/>
      <c r="P383" s="79"/>
      <c r="S383" s="79"/>
      <c r="T383" s="79"/>
      <c r="W383" s="130"/>
      <c r="Y383" s="106"/>
    </row>
    <row r="384">
      <c r="C384" s="79"/>
      <c r="D384" s="79"/>
      <c r="J384" s="79"/>
      <c r="O384" s="79"/>
      <c r="P384" s="79"/>
      <c r="S384" s="79"/>
      <c r="T384" s="79"/>
      <c r="W384" s="130"/>
      <c r="Y384" s="106"/>
    </row>
    <row r="385">
      <c r="C385" s="79"/>
      <c r="D385" s="79"/>
      <c r="J385" s="79"/>
      <c r="O385" s="79"/>
      <c r="P385" s="79"/>
      <c r="S385" s="79"/>
      <c r="T385" s="79"/>
      <c r="W385" s="130"/>
      <c r="Y385" s="106"/>
    </row>
    <row r="386">
      <c r="C386" s="79"/>
      <c r="D386" s="79"/>
      <c r="J386" s="79"/>
      <c r="O386" s="79"/>
      <c r="P386" s="79"/>
      <c r="S386" s="79"/>
      <c r="T386" s="79"/>
      <c r="W386" s="130"/>
      <c r="Y386" s="106"/>
    </row>
    <row r="387">
      <c r="C387" s="79"/>
      <c r="D387" s="79"/>
      <c r="J387" s="79"/>
      <c r="O387" s="79"/>
      <c r="P387" s="79"/>
      <c r="S387" s="79"/>
      <c r="T387" s="79"/>
      <c r="W387" s="130"/>
      <c r="Y387" s="106"/>
    </row>
    <row r="388">
      <c r="C388" s="79"/>
      <c r="D388" s="79"/>
      <c r="J388" s="79"/>
      <c r="O388" s="79"/>
      <c r="P388" s="79"/>
      <c r="S388" s="79"/>
      <c r="T388" s="79"/>
      <c r="W388" s="130"/>
      <c r="Y388" s="106"/>
    </row>
    <row r="389">
      <c r="C389" s="79"/>
      <c r="D389" s="79"/>
      <c r="J389" s="79"/>
      <c r="O389" s="79"/>
      <c r="P389" s="79"/>
      <c r="S389" s="79"/>
      <c r="T389" s="79"/>
      <c r="W389" s="130"/>
      <c r="Y389" s="106"/>
    </row>
    <row r="390">
      <c r="C390" s="79"/>
      <c r="D390" s="79"/>
      <c r="J390" s="79"/>
      <c r="O390" s="79"/>
      <c r="P390" s="79"/>
      <c r="S390" s="79"/>
      <c r="T390" s="79"/>
      <c r="W390" s="130"/>
      <c r="Y390" s="106"/>
    </row>
    <row r="391">
      <c r="C391" s="79"/>
      <c r="D391" s="79"/>
      <c r="J391" s="79"/>
      <c r="O391" s="79"/>
      <c r="P391" s="79"/>
      <c r="S391" s="79"/>
      <c r="T391" s="79"/>
      <c r="W391" s="130"/>
      <c r="Y391" s="106"/>
    </row>
    <row r="392">
      <c r="C392" s="79"/>
      <c r="D392" s="79"/>
      <c r="J392" s="79"/>
      <c r="O392" s="79"/>
      <c r="P392" s="79"/>
      <c r="S392" s="79"/>
      <c r="T392" s="79"/>
      <c r="W392" s="130"/>
      <c r="Y392" s="106"/>
    </row>
    <row r="393">
      <c r="C393" s="79"/>
      <c r="D393" s="79"/>
      <c r="J393" s="79"/>
      <c r="O393" s="79"/>
      <c r="P393" s="79"/>
      <c r="S393" s="79"/>
      <c r="T393" s="79"/>
      <c r="W393" s="130"/>
      <c r="Y393" s="106"/>
    </row>
    <row r="394">
      <c r="C394" s="79"/>
      <c r="D394" s="79"/>
      <c r="J394" s="79"/>
      <c r="O394" s="79"/>
      <c r="P394" s="79"/>
      <c r="S394" s="79"/>
      <c r="T394" s="79"/>
      <c r="W394" s="130"/>
      <c r="Y394" s="106"/>
    </row>
    <row r="395">
      <c r="C395" s="79"/>
      <c r="D395" s="79"/>
      <c r="J395" s="79"/>
      <c r="O395" s="79"/>
      <c r="P395" s="79"/>
      <c r="S395" s="79"/>
      <c r="T395" s="79"/>
      <c r="W395" s="130"/>
      <c r="Y395" s="106"/>
    </row>
    <row r="396">
      <c r="C396" s="79"/>
      <c r="D396" s="79"/>
      <c r="J396" s="79"/>
      <c r="O396" s="79"/>
      <c r="P396" s="79"/>
      <c r="S396" s="79"/>
      <c r="T396" s="79"/>
      <c r="W396" s="130"/>
      <c r="Y396" s="106"/>
    </row>
    <row r="397">
      <c r="C397" s="79"/>
      <c r="D397" s="79"/>
      <c r="J397" s="79"/>
      <c r="O397" s="79"/>
      <c r="P397" s="79"/>
      <c r="S397" s="79"/>
      <c r="T397" s="79"/>
      <c r="W397" s="130"/>
      <c r="Y397" s="106"/>
    </row>
    <row r="398">
      <c r="C398" s="79"/>
      <c r="D398" s="79"/>
      <c r="J398" s="79"/>
      <c r="O398" s="79"/>
      <c r="P398" s="79"/>
      <c r="S398" s="79"/>
      <c r="T398" s="79"/>
      <c r="W398" s="130"/>
      <c r="Y398" s="106"/>
    </row>
    <row r="399">
      <c r="C399" s="79"/>
      <c r="D399" s="79"/>
      <c r="J399" s="79"/>
      <c r="O399" s="79"/>
      <c r="P399" s="79"/>
      <c r="S399" s="79"/>
      <c r="T399" s="79"/>
      <c r="W399" s="130"/>
      <c r="Y399" s="106"/>
    </row>
    <row r="400">
      <c r="C400" s="79"/>
      <c r="D400" s="79"/>
      <c r="J400" s="79"/>
      <c r="O400" s="79"/>
      <c r="P400" s="79"/>
      <c r="S400" s="79"/>
      <c r="T400" s="79"/>
      <c r="W400" s="130"/>
      <c r="Y400" s="106"/>
    </row>
    <row r="401">
      <c r="C401" s="79"/>
      <c r="D401" s="79"/>
      <c r="J401" s="79"/>
      <c r="O401" s="79"/>
      <c r="P401" s="79"/>
      <c r="S401" s="79"/>
      <c r="T401" s="79"/>
      <c r="W401" s="130"/>
      <c r="Y401" s="106"/>
    </row>
    <row r="402">
      <c r="C402" s="79"/>
      <c r="D402" s="79"/>
      <c r="J402" s="79"/>
      <c r="O402" s="79"/>
      <c r="P402" s="79"/>
      <c r="S402" s="79"/>
      <c r="T402" s="79"/>
      <c r="W402" s="130"/>
      <c r="Y402" s="106"/>
    </row>
    <row r="403">
      <c r="C403" s="79"/>
      <c r="D403" s="79"/>
      <c r="J403" s="79"/>
      <c r="O403" s="79"/>
      <c r="P403" s="79"/>
      <c r="S403" s="79"/>
      <c r="T403" s="79"/>
      <c r="W403" s="130"/>
      <c r="Y403" s="106"/>
    </row>
    <row r="404">
      <c r="C404" s="79"/>
      <c r="D404" s="79"/>
      <c r="J404" s="79"/>
      <c r="O404" s="79"/>
      <c r="P404" s="79"/>
      <c r="S404" s="79"/>
      <c r="T404" s="79"/>
      <c r="W404" s="130"/>
      <c r="Y404" s="106"/>
    </row>
    <row r="405">
      <c r="C405" s="79"/>
      <c r="D405" s="79"/>
      <c r="J405" s="79"/>
      <c r="O405" s="79"/>
      <c r="P405" s="79"/>
      <c r="S405" s="79"/>
      <c r="T405" s="79"/>
      <c r="W405" s="130"/>
      <c r="Y405" s="106"/>
    </row>
    <row r="406">
      <c r="C406" s="79"/>
      <c r="D406" s="79"/>
      <c r="J406" s="79"/>
      <c r="O406" s="79"/>
      <c r="P406" s="79"/>
      <c r="S406" s="79"/>
      <c r="T406" s="79"/>
      <c r="W406" s="130"/>
      <c r="Y406" s="106"/>
    </row>
    <row r="407">
      <c r="C407" s="79"/>
      <c r="D407" s="79"/>
      <c r="J407" s="79"/>
      <c r="O407" s="79"/>
      <c r="P407" s="79"/>
      <c r="S407" s="79"/>
      <c r="T407" s="79"/>
      <c r="W407" s="130"/>
      <c r="Y407" s="106"/>
    </row>
    <row r="408">
      <c r="C408" s="79"/>
      <c r="D408" s="79"/>
      <c r="J408" s="79"/>
      <c r="O408" s="79"/>
      <c r="P408" s="79"/>
      <c r="S408" s="79"/>
      <c r="T408" s="79"/>
      <c r="W408" s="130"/>
      <c r="Y408" s="106"/>
    </row>
    <row r="409">
      <c r="C409" s="79"/>
      <c r="D409" s="79"/>
      <c r="J409" s="79"/>
      <c r="O409" s="79"/>
      <c r="P409" s="79"/>
      <c r="S409" s="79"/>
      <c r="T409" s="79"/>
      <c r="W409" s="130"/>
      <c r="Y409" s="106"/>
    </row>
    <row r="410">
      <c r="C410" s="79"/>
      <c r="D410" s="79"/>
      <c r="J410" s="79"/>
      <c r="O410" s="79"/>
      <c r="P410" s="79"/>
      <c r="S410" s="79"/>
      <c r="T410" s="79"/>
      <c r="W410" s="130"/>
      <c r="Y410" s="106"/>
    </row>
    <row r="411">
      <c r="C411" s="79"/>
      <c r="D411" s="79"/>
      <c r="J411" s="79"/>
      <c r="O411" s="79"/>
      <c r="P411" s="79"/>
      <c r="S411" s="79"/>
      <c r="T411" s="79"/>
      <c r="W411" s="130"/>
      <c r="Y411" s="106"/>
    </row>
    <row r="412">
      <c r="C412" s="79"/>
      <c r="D412" s="79"/>
      <c r="J412" s="79"/>
      <c r="O412" s="79"/>
      <c r="P412" s="79"/>
      <c r="S412" s="79"/>
      <c r="T412" s="79"/>
      <c r="W412" s="130"/>
      <c r="Y412" s="106"/>
    </row>
    <row r="413">
      <c r="C413" s="79"/>
      <c r="D413" s="79"/>
      <c r="J413" s="79"/>
      <c r="O413" s="79"/>
      <c r="P413" s="79"/>
      <c r="S413" s="79"/>
      <c r="T413" s="79"/>
      <c r="W413" s="130"/>
      <c r="Y413" s="106"/>
    </row>
    <row r="414">
      <c r="C414" s="79"/>
      <c r="D414" s="79"/>
      <c r="J414" s="79"/>
      <c r="O414" s="79"/>
      <c r="P414" s="79"/>
      <c r="S414" s="79"/>
      <c r="T414" s="79"/>
      <c r="W414" s="130"/>
      <c r="Y414" s="106"/>
    </row>
    <row r="415">
      <c r="C415" s="79"/>
      <c r="D415" s="79"/>
      <c r="J415" s="79"/>
      <c r="O415" s="79"/>
      <c r="P415" s="79"/>
      <c r="S415" s="79"/>
      <c r="T415" s="79"/>
      <c r="W415" s="130"/>
      <c r="Y415" s="106"/>
    </row>
    <row r="416">
      <c r="C416" s="79"/>
      <c r="D416" s="79"/>
      <c r="J416" s="79"/>
      <c r="O416" s="79"/>
      <c r="P416" s="79"/>
      <c r="S416" s="79"/>
      <c r="T416" s="79"/>
      <c r="W416" s="130"/>
      <c r="Y416" s="106"/>
    </row>
    <row r="417">
      <c r="C417" s="79"/>
      <c r="D417" s="79"/>
      <c r="J417" s="79"/>
      <c r="O417" s="79"/>
      <c r="P417" s="79"/>
      <c r="S417" s="79"/>
      <c r="T417" s="79"/>
      <c r="W417" s="130"/>
      <c r="Y417" s="106"/>
    </row>
    <row r="418">
      <c r="C418" s="79"/>
      <c r="D418" s="79"/>
      <c r="J418" s="79"/>
      <c r="O418" s="79"/>
      <c r="P418" s="79"/>
      <c r="S418" s="79"/>
      <c r="T418" s="79"/>
      <c r="W418" s="130"/>
      <c r="Y418" s="106"/>
    </row>
    <row r="419">
      <c r="C419" s="79"/>
      <c r="D419" s="79"/>
      <c r="J419" s="79"/>
      <c r="O419" s="79"/>
      <c r="P419" s="79"/>
      <c r="S419" s="79"/>
      <c r="T419" s="79"/>
      <c r="W419" s="130"/>
      <c r="Y419" s="106"/>
    </row>
    <row r="420">
      <c r="C420" s="79"/>
      <c r="D420" s="79"/>
      <c r="J420" s="79"/>
      <c r="O420" s="79"/>
      <c r="P420" s="79"/>
      <c r="S420" s="79"/>
      <c r="T420" s="79"/>
      <c r="W420" s="130"/>
      <c r="Y420" s="106"/>
    </row>
    <row r="421">
      <c r="C421" s="79"/>
      <c r="D421" s="79"/>
      <c r="J421" s="79"/>
      <c r="O421" s="79"/>
      <c r="P421" s="79"/>
      <c r="S421" s="79"/>
      <c r="T421" s="79"/>
      <c r="W421" s="130"/>
      <c r="Y421" s="106"/>
    </row>
    <row r="422">
      <c r="C422" s="79"/>
      <c r="D422" s="79"/>
      <c r="J422" s="79"/>
      <c r="O422" s="79"/>
      <c r="P422" s="79"/>
      <c r="S422" s="79"/>
      <c r="T422" s="79"/>
      <c r="W422" s="130"/>
      <c r="Y422" s="106"/>
    </row>
    <row r="423">
      <c r="C423" s="79"/>
      <c r="D423" s="79"/>
      <c r="J423" s="79"/>
      <c r="O423" s="79"/>
      <c r="P423" s="79"/>
      <c r="S423" s="79"/>
      <c r="T423" s="79"/>
      <c r="W423" s="130"/>
      <c r="Y423" s="106"/>
    </row>
    <row r="424">
      <c r="C424" s="79"/>
      <c r="D424" s="79"/>
      <c r="J424" s="79"/>
      <c r="O424" s="79"/>
      <c r="P424" s="79"/>
      <c r="S424" s="79"/>
      <c r="T424" s="79"/>
      <c r="W424" s="130"/>
      <c r="Y424" s="106"/>
    </row>
    <row r="425">
      <c r="C425" s="79"/>
      <c r="D425" s="79"/>
      <c r="J425" s="79"/>
      <c r="O425" s="79"/>
      <c r="P425" s="79"/>
      <c r="S425" s="79"/>
      <c r="T425" s="79"/>
      <c r="W425" s="130"/>
      <c r="Y425" s="106"/>
    </row>
    <row r="426">
      <c r="C426" s="79"/>
      <c r="D426" s="79"/>
      <c r="J426" s="79"/>
      <c r="O426" s="79"/>
      <c r="P426" s="79"/>
      <c r="S426" s="79"/>
      <c r="T426" s="79"/>
      <c r="W426" s="130"/>
      <c r="Y426" s="106"/>
    </row>
    <row r="427">
      <c r="C427" s="79"/>
      <c r="D427" s="79"/>
      <c r="J427" s="79"/>
      <c r="O427" s="79"/>
      <c r="P427" s="79"/>
      <c r="S427" s="79"/>
      <c r="T427" s="79"/>
      <c r="W427" s="130"/>
      <c r="Y427" s="106"/>
    </row>
    <row r="428">
      <c r="C428" s="79"/>
      <c r="D428" s="79"/>
      <c r="J428" s="79"/>
      <c r="O428" s="79"/>
      <c r="P428" s="79"/>
      <c r="S428" s="79"/>
      <c r="T428" s="79"/>
      <c r="W428" s="130"/>
      <c r="Y428" s="106"/>
    </row>
    <row r="429">
      <c r="C429" s="79"/>
      <c r="D429" s="79"/>
      <c r="J429" s="79"/>
      <c r="O429" s="79"/>
      <c r="P429" s="79"/>
      <c r="S429" s="79"/>
      <c r="T429" s="79"/>
      <c r="W429" s="130"/>
      <c r="Y429" s="106"/>
    </row>
    <row r="430">
      <c r="C430" s="79"/>
      <c r="D430" s="79"/>
      <c r="J430" s="79"/>
      <c r="O430" s="79"/>
      <c r="P430" s="79"/>
      <c r="S430" s="79"/>
      <c r="T430" s="79"/>
      <c r="W430" s="130"/>
      <c r="Y430" s="106"/>
    </row>
    <row r="431">
      <c r="C431" s="79"/>
      <c r="D431" s="79"/>
      <c r="J431" s="79"/>
      <c r="O431" s="79"/>
      <c r="P431" s="79"/>
      <c r="S431" s="79"/>
      <c r="T431" s="79"/>
      <c r="W431" s="130"/>
      <c r="Y431" s="106"/>
    </row>
    <row r="432">
      <c r="C432" s="79"/>
      <c r="D432" s="79"/>
      <c r="J432" s="79"/>
      <c r="O432" s="79"/>
      <c r="P432" s="79"/>
      <c r="S432" s="79"/>
      <c r="T432" s="79"/>
      <c r="W432" s="130"/>
      <c r="Y432" s="106"/>
    </row>
    <row r="433">
      <c r="C433" s="79"/>
      <c r="D433" s="79"/>
      <c r="J433" s="79"/>
      <c r="O433" s="79"/>
      <c r="P433" s="79"/>
      <c r="S433" s="79"/>
      <c r="T433" s="79"/>
      <c r="W433" s="130"/>
      <c r="Y433" s="106"/>
    </row>
    <row r="434">
      <c r="C434" s="79"/>
      <c r="D434" s="79"/>
      <c r="J434" s="79"/>
      <c r="O434" s="79"/>
      <c r="P434" s="79"/>
      <c r="S434" s="79"/>
      <c r="T434" s="79"/>
      <c r="W434" s="130"/>
      <c r="Y434" s="106"/>
    </row>
    <row r="435">
      <c r="C435" s="79"/>
      <c r="D435" s="79"/>
      <c r="J435" s="79"/>
      <c r="O435" s="79"/>
      <c r="P435" s="79"/>
      <c r="S435" s="79"/>
      <c r="T435" s="79"/>
      <c r="W435" s="130"/>
      <c r="Y435" s="106"/>
    </row>
    <row r="436">
      <c r="C436" s="79"/>
      <c r="D436" s="79"/>
      <c r="J436" s="79"/>
      <c r="O436" s="79"/>
      <c r="P436" s="79"/>
      <c r="S436" s="79"/>
      <c r="T436" s="79"/>
      <c r="W436" s="130"/>
      <c r="Y436" s="106"/>
    </row>
    <row r="437">
      <c r="C437" s="79"/>
      <c r="D437" s="79"/>
      <c r="J437" s="79"/>
      <c r="O437" s="79"/>
      <c r="P437" s="79"/>
      <c r="S437" s="79"/>
      <c r="T437" s="79"/>
      <c r="W437" s="130"/>
      <c r="Y437" s="106"/>
    </row>
    <row r="438">
      <c r="C438" s="79"/>
      <c r="D438" s="79"/>
      <c r="J438" s="79"/>
      <c r="O438" s="79"/>
      <c r="P438" s="79"/>
      <c r="S438" s="79"/>
      <c r="T438" s="79"/>
      <c r="W438" s="130"/>
      <c r="Y438" s="106"/>
    </row>
    <row r="439">
      <c r="C439" s="79"/>
      <c r="D439" s="79"/>
      <c r="J439" s="79"/>
      <c r="O439" s="79"/>
      <c r="P439" s="79"/>
      <c r="S439" s="79"/>
      <c r="T439" s="79"/>
      <c r="W439" s="130"/>
      <c r="Y439" s="106"/>
    </row>
    <row r="440">
      <c r="C440" s="79"/>
      <c r="D440" s="79"/>
      <c r="J440" s="79"/>
      <c r="O440" s="79"/>
      <c r="P440" s="79"/>
      <c r="S440" s="79"/>
      <c r="T440" s="79"/>
      <c r="W440" s="130"/>
      <c r="Y440" s="106"/>
    </row>
    <row r="441">
      <c r="C441" s="79"/>
      <c r="D441" s="79"/>
      <c r="J441" s="79"/>
      <c r="O441" s="79"/>
      <c r="P441" s="79"/>
      <c r="S441" s="79"/>
      <c r="T441" s="79"/>
      <c r="W441" s="130"/>
      <c r="Y441" s="106"/>
    </row>
    <row r="442">
      <c r="C442" s="79"/>
      <c r="D442" s="79"/>
      <c r="J442" s="79"/>
      <c r="O442" s="79"/>
      <c r="P442" s="79"/>
      <c r="S442" s="79"/>
      <c r="T442" s="79"/>
      <c r="W442" s="130"/>
      <c r="Y442" s="106"/>
    </row>
    <row r="443">
      <c r="C443" s="79"/>
      <c r="D443" s="79"/>
      <c r="J443" s="79"/>
      <c r="O443" s="79"/>
      <c r="P443" s="79"/>
      <c r="S443" s="79"/>
      <c r="T443" s="79"/>
      <c r="W443" s="130"/>
      <c r="Y443" s="106"/>
    </row>
    <row r="444">
      <c r="C444" s="79"/>
      <c r="D444" s="79"/>
      <c r="J444" s="79"/>
      <c r="O444" s="79"/>
      <c r="P444" s="79"/>
      <c r="S444" s="79"/>
      <c r="T444" s="79"/>
      <c r="W444" s="130"/>
      <c r="Y444" s="106"/>
    </row>
    <row r="445">
      <c r="C445" s="79"/>
      <c r="D445" s="79"/>
      <c r="J445" s="79"/>
      <c r="O445" s="79"/>
      <c r="P445" s="79"/>
      <c r="S445" s="79"/>
      <c r="T445" s="79"/>
      <c r="W445" s="130"/>
      <c r="Y445" s="106"/>
    </row>
    <row r="446">
      <c r="C446" s="79"/>
      <c r="D446" s="79"/>
      <c r="J446" s="79"/>
      <c r="O446" s="79"/>
      <c r="P446" s="79"/>
      <c r="S446" s="79"/>
      <c r="T446" s="79"/>
      <c r="W446" s="130"/>
      <c r="Y446" s="106"/>
    </row>
    <row r="447">
      <c r="C447" s="79"/>
      <c r="D447" s="79"/>
      <c r="J447" s="79"/>
      <c r="O447" s="79"/>
      <c r="P447" s="79"/>
      <c r="S447" s="79"/>
      <c r="T447" s="79"/>
      <c r="W447" s="130"/>
      <c r="Y447" s="106"/>
    </row>
    <row r="448">
      <c r="C448" s="79"/>
      <c r="D448" s="79"/>
      <c r="J448" s="79"/>
      <c r="O448" s="79"/>
      <c r="P448" s="79"/>
      <c r="S448" s="79"/>
      <c r="T448" s="79"/>
      <c r="W448" s="130"/>
      <c r="Y448" s="106"/>
    </row>
    <row r="449">
      <c r="C449" s="79"/>
      <c r="D449" s="79"/>
      <c r="J449" s="79"/>
      <c r="O449" s="79"/>
      <c r="P449" s="79"/>
      <c r="S449" s="79"/>
      <c r="T449" s="79"/>
      <c r="W449" s="130"/>
      <c r="Y449" s="106"/>
    </row>
    <row r="450">
      <c r="C450" s="79"/>
      <c r="D450" s="79"/>
      <c r="J450" s="79"/>
      <c r="O450" s="79"/>
      <c r="P450" s="79"/>
      <c r="S450" s="79"/>
      <c r="T450" s="79"/>
      <c r="W450" s="130"/>
      <c r="Y450" s="106"/>
    </row>
    <row r="451">
      <c r="C451" s="79"/>
      <c r="D451" s="79"/>
      <c r="J451" s="79"/>
      <c r="O451" s="79"/>
      <c r="P451" s="79"/>
      <c r="S451" s="79"/>
      <c r="T451" s="79"/>
      <c r="W451" s="130"/>
      <c r="Y451" s="106"/>
    </row>
    <row r="452">
      <c r="C452" s="79"/>
      <c r="D452" s="79"/>
      <c r="J452" s="79"/>
      <c r="O452" s="79"/>
      <c r="P452" s="79"/>
      <c r="S452" s="79"/>
      <c r="T452" s="79"/>
      <c r="W452" s="130"/>
      <c r="Y452" s="106"/>
    </row>
    <row r="453">
      <c r="C453" s="79"/>
      <c r="D453" s="79"/>
      <c r="J453" s="79"/>
      <c r="O453" s="79"/>
      <c r="P453" s="79"/>
      <c r="S453" s="79"/>
      <c r="T453" s="79"/>
      <c r="W453" s="130"/>
      <c r="Y453" s="106"/>
    </row>
    <row r="454">
      <c r="C454" s="79"/>
      <c r="D454" s="79"/>
      <c r="J454" s="79"/>
      <c r="O454" s="79"/>
      <c r="P454" s="79"/>
      <c r="S454" s="79"/>
      <c r="T454" s="79"/>
      <c r="W454" s="130"/>
      <c r="Y454" s="106"/>
    </row>
    <row r="455">
      <c r="C455" s="79"/>
      <c r="D455" s="79"/>
      <c r="J455" s="79"/>
      <c r="O455" s="79"/>
      <c r="P455" s="79"/>
      <c r="S455" s="79"/>
      <c r="T455" s="79"/>
      <c r="W455" s="130"/>
      <c r="Y455" s="106"/>
    </row>
    <row r="456">
      <c r="C456" s="79"/>
      <c r="D456" s="79"/>
      <c r="J456" s="79"/>
      <c r="O456" s="79"/>
      <c r="P456" s="79"/>
      <c r="S456" s="79"/>
      <c r="T456" s="79"/>
      <c r="W456" s="130"/>
      <c r="Y456" s="106"/>
    </row>
    <row r="457">
      <c r="C457" s="79"/>
      <c r="D457" s="79"/>
      <c r="J457" s="79"/>
      <c r="O457" s="79"/>
      <c r="P457" s="79"/>
      <c r="S457" s="79"/>
      <c r="T457" s="79"/>
      <c r="W457" s="130"/>
      <c r="Y457" s="106"/>
    </row>
    <row r="458">
      <c r="C458" s="79"/>
      <c r="D458" s="79"/>
      <c r="J458" s="79"/>
      <c r="O458" s="79"/>
      <c r="P458" s="79"/>
      <c r="S458" s="79"/>
      <c r="T458" s="79"/>
      <c r="W458" s="130"/>
      <c r="Y458" s="106"/>
    </row>
    <row r="459">
      <c r="C459" s="79"/>
      <c r="D459" s="79"/>
      <c r="J459" s="79"/>
      <c r="O459" s="79"/>
      <c r="P459" s="79"/>
      <c r="S459" s="79"/>
      <c r="T459" s="79"/>
      <c r="W459" s="130"/>
      <c r="Y459" s="106"/>
    </row>
    <row r="460">
      <c r="C460" s="79"/>
      <c r="D460" s="79"/>
      <c r="J460" s="79"/>
      <c r="O460" s="79"/>
      <c r="P460" s="79"/>
      <c r="S460" s="79"/>
      <c r="T460" s="79"/>
      <c r="W460" s="130"/>
      <c r="Y460" s="106"/>
    </row>
    <row r="461">
      <c r="C461" s="79"/>
      <c r="D461" s="79"/>
      <c r="J461" s="79"/>
      <c r="O461" s="79"/>
      <c r="P461" s="79"/>
      <c r="S461" s="79"/>
      <c r="T461" s="79"/>
      <c r="W461" s="130"/>
      <c r="Y461" s="106"/>
    </row>
    <row r="462">
      <c r="C462" s="79"/>
      <c r="D462" s="79"/>
      <c r="J462" s="79"/>
      <c r="O462" s="79"/>
      <c r="P462" s="79"/>
      <c r="S462" s="79"/>
      <c r="T462" s="79"/>
      <c r="W462" s="130"/>
      <c r="Y462" s="106"/>
    </row>
    <row r="463">
      <c r="C463" s="79"/>
      <c r="D463" s="79"/>
      <c r="J463" s="79"/>
      <c r="O463" s="79"/>
      <c r="P463" s="79"/>
      <c r="S463" s="79"/>
      <c r="T463" s="79"/>
      <c r="W463" s="130"/>
      <c r="Y463" s="106"/>
    </row>
    <row r="464">
      <c r="C464" s="79"/>
      <c r="D464" s="79"/>
      <c r="J464" s="79"/>
      <c r="O464" s="79"/>
      <c r="P464" s="79"/>
      <c r="S464" s="79"/>
      <c r="T464" s="79"/>
      <c r="W464" s="130"/>
      <c r="Y464" s="106"/>
    </row>
    <row r="465">
      <c r="C465" s="79"/>
      <c r="D465" s="79"/>
      <c r="J465" s="79"/>
      <c r="O465" s="79"/>
      <c r="P465" s="79"/>
      <c r="S465" s="79"/>
      <c r="T465" s="79"/>
      <c r="W465" s="130"/>
      <c r="Y465" s="106"/>
    </row>
    <row r="466">
      <c r="C466" s="79"/>
      <c r="D466" s="79"/>
      <c r="J466" s="79"/>
      <c r="O466" s="79"/>
      <c r="P466" s="79"/>
      <c r="S466" s="79"/>
      <c r="T466" s="79"/>
      <c r="W466" s="130"/>
      <c r="Y466" s="106"/>
    </row>
    <row r="467">
      <c r="C467" s="79"/>
      <c r="D467" s="79"/>
      <c r="J467" s="79"/>
      <c r="O467" s="79"/>
      <c r="P467" s="79"/>
      <c r="S467" s="79"/>
      <c r="T467" s="79"/>
      <c r="W467" s="130"/>
      <c r="Y467" s="106"/>
    </row>
    <row r="468">
      <c r="C468" s="79"/>
      <c r="D468" s="79"/>
      <c r="J468" s="79"/>
      <c r="O468" s="79"/>
      <c r="P468" s="79"/>
      <c r="S468" s="79"/>
      <c r="T468" s="79"/>
      <c r="W468" s="130"/>
      <c r="Y468" s="106"/>
    </row>
    <row r="469">
      <c r="C469" s="79"/>
      <c r="D469" s="79"/>
      <c r="J469" s="79"/>
      <c r="O469" s="79"/>
      <c r="P469" s="79"/>
      <c r="S469" s="79"/>
      <c r="T469" s="79"/>
      <c r="W469" s="130"/>
      <c r="Y469" s="106"/>
    </row>
    <row r="470">
      <c r="C470" s="79"/>
      <c r="D470" s="79"/>
      <c r="J470" s="79"/>
      <c r="O470" s="79"/>
      <c r="P470" s="79"/>
      <c r="S470" s="79"/>
      <c r="T470" s="79"/>
      <c r="W470" s="130"/>
      <c r="Y470" s="106"/>
    </row>
    <row r="471">
      <c r="C471" s="79"/>
      <c r="D471" s="79"/>
      <c r="J471" s="79"/>
      <c r="O471" s="79"/>
      <c r="P471" s="79"/>
      <c r="S471" s="79"/>
      <c r="T471" s="79"/>
      <c r="W471" s="130"/>
      <c r="Y471" s="106"/>
    </row>
    <row r="472">
      <c r="C472" s="79"/>
      <c r="D472" s="79"/>
      <c r="J472" s="79"/>
      <c r="O472" s="79"/>
      <c r="P472" s="79"/>
      <c r="S472" s="79"/>
      <c r="T472" s="79"/>
      <c r="W472" s="130"/>
      <c r="Y472" s="106"/>
    </row>
    <row r="473">
      <c r="C473" s="79"/>
      <c r="D473" s="79"/>
      <c r="J473" s="79"/>
      <c r="O473" s="79"/>
      <c r="P473" s="79"/>
      <c r="S473" s="79"/>
      <c r="T473" s="79"/>
      <c r="W473" s="130"/>
      <c r="Y473" s="106"/>
    </row>
    <row r="474">
      <c r="C474" s="79"/>
      <c r="D474" s="79"/>
      <c r="J474" s="79"/>
      <c r="O474" s="79"/>
      <c r="P474" s="79"/>
      <c r="S474" s="79"/>
      <c r="T474" s="79"/>
      <c r="W474" s="130"/>
      <c r="Y474" s="106"/>
    </row>
    <row r="475">
      <c r="C475" s="79"/>
      <c r="D475" s="79"/>
      <c r="J475" s="79"/>
      <c r="O475" s="79"/>
      <c r="P475" s="79"/>
      <c r="S475" s="79"/>
      <c r="T475" s="79"/>
      <c r="W475" s="130"/>
      <c r="Y475" s="106"/>
    </row>
    <row r="476">
      <c r="C476" s="79"/>
      <c r="D476" s="79"/>
      <c r="J476" s="79"/>
      <c r="O476" s="79"/>
      <c r="P476" s="79"/>
      <c r="S476" s="79"/>
      <c r="T476" s="79"/>
      <c r="W476" s="130"/>
      <c r="Y476" s="106"/>
    </row>
    <row r="477">
      <c r="C477" s="79"/>
      <c r="D477" s="79"/>
      <c r="J477" s="79"/>
      <c r="O477" s="79"/>
      <c r="P477" s="79"/>
      <c r="S477" s="79"/>
      <c r="T477" s="79"/>
      <c r="W477" s="130"/>
      <c r="Y477" s="106"/>
    </row>
    <row r="478">
      <c r="C478" s="79"/>
      <c r="D478" s="79"/>
      <c r="J478" s="79"/>
      <c r="O478" s="79"/>
      <c r="P478" s="79"/>
      <c r="S478" s="79"/>
      <c r="T478" s="79"/>
      <c r="W478" s="130"/>
      <c r="Y478" s="106"/>
    </row>
    <row r="479">
      <c r="C479" s="79"/>
      <c r="D479" s="79"/>
      <c r="J479" s="79"/>
      <c r="O479" s="79"/>
      <c r="P479" s="79"/>
      <c r="S479" s="79"/>
      <c r="T479" s="79"/>
      <c r="W479" s="130"/>
      <c r="Y479" s="106"/>
    </row>
    <row r="480">
      <c r="C480" s="79"/>
      <c r="D480" s="79"/>
      <c r="J480" s="79"/>
      <c r="O480" s="79"/>
      <c r="P480" s="79"/>
      <c r="S480" s="79"/>
      <c r="T480" s="79"/>
      <c r="W480" s="130"/>
      <c r="Y480" s="106"/>
    </row>
    <row r="481">
      <c r="C481" s="79"/>
      <c r="D481" s="79"/>
      <c r="J481" s="79"/>
      <c r="O481" s="79"/>
      <c r="P481" s="79"/>
      <c r="S481" s="79"/>
      <c r="T481" s="79"/>
      <c r="W481" s="130"/>
      <c r="Y481" s="106"/>
    </row>
    <row r="482">
      <c r="C482" s="79"/>
      <c r="D482" s="79"/>
      <c r="J482" s="79"/>
      <c r="O482" s="79"/>
      <c r="P482" s="79"/>
      <c r="S482" s="79"/>
      <c r="T482" s="79"/>
      <c r="W482" s="130"/>
      <c r="Y482" s="106"/>
    </row>
    <row r="483">
      <c r="C483" s="79"/>
      <c r="D483" s="79"/>
      <c r="J483" s="79"/>
      <c r="O483" s="79"/>
      <c r="P483" s="79"/>
      <c r="S483" s="79"/>
      <c r="T483" s="79"/>
      <c r="W483" s="130"/>
      <c r="Y483" s="106"/>
    </row>
    <row r="484">
      <c r="C484" s="79"/>
      <c r="D484" s="79"/>
      <c r="J484" s="79"/>
      <c r="O484" s="79"/>
      <c r="P484" s="79"/>
      <c r="S484" s="79"/>
      <c r="T484" s="79"/>
      <c r="W484" s="130"/>
      <c r="Y484" s="106"/>
    </row>
    <row r="485">
      <c r="C485" s="79"/>
      <c r="D485" s="79"/>
      <c r="J485" s="79"/>
      <c r="O485" s="79"/>
      <c r="P485" s="79"/>
      <c r="S485" s="79"/>
      <c r="T485" s="79"/>
      <c r="W485" s="130"/>
      <c r="Y485" s="106"/>
    </row>
    <row r="486">
      <c r="C486" s="79"/>
      <c r="D486" s="79"/>
      <c r="J486" s="79"/>
      <c r="O486" s="79"/>
      <c r="P486" s="79"/>
      <c r="S486" s="79"/>
      <c r="T486" s="79"/>
      <c r="W486" s="130"/>
      <c r="Y486" s="106"/>
    </row>
    <row r="487">
      <c r="C487" s="79"/>
      <c r="D487" s="79"/>
      <c r="J487" s="79"/>
      <c r="O487" s="79"/>
      <c r="P487" s="79"/>
      <c r="S487" s="79"/>
      <c r="T487" s="79"/>
      <c r="W487" s="130"/>
      <c r="Y487" s="106"/>
    </row>
    <row r="488">
      <c r="C488" s="79"/>
      <c r="D488" s="79"/>
      <c r="J488" s="79"/>
      <c r="O488" s="79"/>
      <c r="P488" s="79"/>
      <c r="S488" s="79"/>
      <c r="T488" s="79"/>
      <c r="W488" s="130"/>
      <c r="Y488" s="106"/>
    </row>
    <row r="489">
      <c r="C489" s="79"/>
      <c r="D489" s="79"/>
      <c r="J489" s="79"/>
      <c r="O489" s="79"/>
      <c r="P489" s="79"/>
      <c r="S489" s="79"/>
      <c r="T489" s="79"/>
      <c r="W489" s="130"/>
      <c r="Y489" s="106"/>
    </row>
    <row r="490">
      <c r="C490" s="79"/>
      <c r="D490" s="79"/>
      <c r="J490" s="79"/>
      <c r="O490" s="79"/>
      <c r="P490" s="79"/>
      <c r="S490" s="79"/>
      <c r="T490" s="79"/>
      <c r="W490" s="130"/>
      <c r="Y490" s="106"/>
    </row>
    <row r="491">
      <c r="C491" s="79"/>
      <c r="D491" s="79"/>
      <c r="J491" s="79"/>
      <c r="O491" s="79"/>
      <c r="P491" s="79"/>
      <c r="S491" s="79"/>
      <c r="T491" s="79"/>
      <c r="W491" s="130"/>
      <c r="Y491" s="106"/>
    </row>
    <row r="492">
      <c r="C492" s="79"/>
      <c r="D492" s="79"/>
      <c r="J492" s="79"/>
      <c r="O492" s="79"/>
      <c r="P492" s="79"/>
      <c r="S492" s="79"/>
      <c r="T492" s="79"/>
      <c r="W492" s="130"/>
      <c r="Y492" s="106"/>
    </row>
    <row r="493">
      <c r="C493" s="79"/>
      <c r="D493" s="79"/>
      <c r="J493" s="79"/>
      <c r="O493" s="79"/>
      <c r="P493" s="79"/>
      <c r="S493" s="79"/>
      <c r="T493" s="79"/>
      <c r="W493" s="130"/>
      <c r="Y493" s="106"/>
    </row>
    <row r="494">
      <c r="C494" s="79"/>
      <c r="D494" s="79"/>
      <c r="J494" s="79"/>
      <c r="O494" s="79"/>
      <c r="P494" s="79"/>
      <c r="S494" s="79"/>
      <c r="T494" s="79"/>
      <c r="W494" s="130"/>
      <c r="Y494" s="106"/>
    </row>
    <row r="495">
      <c r="C495" s="79"/>
      <c r="D495" s="79"/>
      <c r="J495" s="79"/>
      <c r="O495" s="79"/>
      <c r="P495" s="79"/>
      <c r="S495" s="79"/>
      <c r="T495" s="79"/>
      <c r="W495" s="130"/>
      <c r="Y495" s="106"/>
    </row>
    <row r="496">
      <c r="C496" s="79"/>
      <c r="D496" s="79"/>
      <c r="J496" s="79"/>
      <c r="O496" s="79"/>
      <c r="P496" s="79"/>
      <c r="S496" s="79"/>
      <c r="T496" s="79"/>
      <c r="W496" s="130"/>
      <c r="Y496" s="106"/>
    </row>
    <row r="497">
      <c r="C497" s="79"/>
      <c r="D497" s="79"/>
      <c r="J497" s="79"/>
      <c r="O497" s="79"/>
      <c r="P497" s="79"/>
      <c r="S497" s="79"/>
      <c r="T497" s="79"/>
      <c r="W497" s="130"/>
      <c r="Y497" s="106"/>
    </row>
    <row r="498">
      <c r="C498" s="79"/>
      <c r="D498" s="79"/>
      <c r="J498" s="79"/>
      <c r="O498" s="79"/>
      <c r="P498" s="79"/>
      <c r="S498" s="79"/>
      <c r="T498" s="79"/>
      <c r="W498" s="130"/>
      <c r="Y498" s="106"/>
    </row>
    <row r="499">
      <c r="C499" s="79"/>
      <c r="D499" s="79"/>
      <c r="J499" s="79"/>
      <c r="O499" s="79"/>
      <c r="P499" s="79"/>
      <c r="S499" s="79"/>
      <c r="T499" s="79"/>
      <c r="W499" s="130"/>
      <c r="Y499" s="106"/>
    </row>
    <row r="500">
      <c r="C500" s="79"/>
      <c r="D500" s="79"/>
      <c r="J500" s="79"/>
      <c r="O500" s="79"/>
      <c r="P500" s="79"/>
      <c r="S500" s="79"/>
      <c r="T500" s="79"/>
      <c r="W500" s="130"/>
      <c r="Y500" s="106"/>
    </row>
    <row r="501">
      <c r="C501" s="79"/>
      <c r="D501" s="79"/>
      <c r="J501" s="79"/>
      <c r="O501" s="79"/>
      <c r="P501" s="79"/>
      <c r="S501" s="79"/>
      <c r="T501" s="79"/>
      <c r="W501" s="130"/>
      <c r="Y501" s="106"/>
    </row>
    <row r="502">
      <c r="C502" s="79"/>
      <c r="D502" s="79"/>
      <c r="J502" s="79"/>
      <c r="O502" s="79"/>
      <c r="P502" s="79"/>
      <c r="S502" s="79"/>
      <c r="T502" s="79"/>
      <c r="W502" s="130"/>
      <c r="Y502" s="106"/>
    </row>
    <row r="503">
      <c r="C503" s="79"/>
      <c r="D503" s="79"/>
      <c r="J503" s="79"/>
      <c r="O503" s="79"/>
      <c r="P503" s="79"/>
      <c r="S503" s="79"/>
      <c r="T503" s="79"/>
      <c r="W503" s="130"/>
      <c r="Y503" s="106"/>
    </row>
    <row r="504">
      <c r="C504" s="79"/>
      <c r="D504" s="79"/>
      <c r="J504" s="79"/>
      <c r="O504" s="79"/>
      <c r="P504" s="79"/>
      <c r="S504" s="79"/>
      <c r="T504" s="79"/>
      <c r="W504" s="130"/>
      <c r="Y504" s="106"/>
    </row>
    <row r="505">
      <c r="C505" s="79"/>
      <c r="D505" s="79"/>
      <c r="J505" s="79"/>
      <c r="O505" s="79"/>
      <c r="P505" s="79"/>
      <c r="S505" s="79"/>
      <c r="T505" s="79"/>
      <c r="W505" s="130"/>
      <c r="Y505" s="106"/>
    </row>
    <row r="506">
      <c r="C506" s="79"/>
      <c r="D506" s="79"/>
      <c r="J506" s="79"/>
      <c r="O506" s="79"/>
      <c r="P506" s="79"/>
      <c r="S506" s="79"/>
      <c r="T506" s="79"/>
      <c r="W506" s="130"/>
      <c r="Y506" s="106"/>
    </row>
    <row r="507">
      <c r="C507" s="79"/>
      <c r="D507" s="79"/>
      <c r="J507" s="79"/>
      <c r="O507" s="79"/>
      <c r="P507" s="79"/>
      <c r="S507" s="79"/>
      <c r="T507" s="79"/>
      <c r="W507" s="130"/>
      <c r="Y507" s="106"/>
    </row>
    <row r="508">
      <c r="C508" s="79"/>
      <c r="D508" s="79"/>
      <c r="J508" s="79"/>
      <c r="O508" s="79"/>
      <c r="P508" s="79"/>
      <c r="S508" s="79"/>
      <c r="T508" s="79"/>
      <c r="W508" s="130"/>
      <c r="Y508" s="106"/>
    </row>
    <row r="509">
      <c r="C509" s="79"/>
      <c r="D509" s="79"/>
      <c r="J509" s="79"/>
      <c r="O509" s="79"/>
      <c r="P509" s="79"/>
      <c r="S509" s="79"/>
      <c r="T509" s="79"/>
      <c r="W509" s="130"/>
      <c r="Y509" s="106"/>
    </row>
    <row r="510">
      <c r="C510" s="79"/>
      <c r="D510" s="79"/>
      <c r="J510" s="79"/>
      <c r="O510" s="79"/>
      <c r="P510" s="79"/>
      <c r="S510" s="79"/>
      <c r="T510" s="79"/>
      <c r="W510" s="130"/>
      <c r="Y510" s="106"/>
    </row>
    <row r="511">
      <c r="C511" s="79"/>
      <c r="D511" s="79"/>
      <c r="J511" s="79"/>
      <c r="O511" s="79"/>
      <c r="P511" s="79"/>
      <c r="S511" s="79"/>
      <c r="T511" s="79"/>
      <c r="W511" s="130"/>
      <c r="Y511" s="106"/>
    </row>
    <row r="512">
      <c r="C512" s="79"/>
      <c r="D512" s="79"/>
      <c r="J512" s="79"/>
      <c r="O512" s="79"/>
      <c r="P512" s="79"/>
      <c r="S512" s="79"/>
      <c r="T512" s="79"/>
      <c r="W512" s="130"/>
      <c r="Y512" s="106"/>
    </row>
    <row r="513">
      <c r="C513" s="79"/>
      <c r="D513" s="79"/>
      <c r="J513" s="79"/>
      <c r="O513" s="79"/>
      <c r="P513" s="79"/>
      <c r="S513" s="79"/>
      <c r="T513" s="79"/>
      <c r="W513" s="130"/>
      <c r="Y513" s="106"/>
    </row>
    <row r="514">
      <c r="C514" s="79"/>
      <c r="D514" s="79"/>
      <c r="J514" s="79"/>
      <c r="O514" s="79"/>
      <c r="P514" s="79"/>
      <c r="S514" s="79"/>
      <c r="T514" s="79"/>
      <c r="W514" s="130"/>
      <c r="Y514" s="106"/>
    </row>
    <row r="515">
      <c r="C515" s="79"/>
      <c r="D515" s="79"/>
      <c r="J515" s="79"/>
      <c r="O515" s="79"/>
      <c r="P515" s="79"/>
      <c r="S515" s="79"/>
      <c r="T515" s="79"/>
      <c r="W515" s="130"/>
      <c r="Y515" s="106"/>
    </row>
    <row r="516">
      <c r="C516" s="79"/>
      <c r="D516" s="79"/>
      <c r="J516" s="79"/>
      <c r="O516" s="79"/>
      <c r="P516" s="79"/>
      <c r="S516" s="79"/>
      <c r="T516" s="79"/>
      <c r="W516" s="130"/>
      <c r="Y516" s="106"/>
    </row>
    <row r="517">
      <c r="C517" s="79"/>
      <c r="D517" s="79"/>
      <c r="J517" s="79"/>
      <c r="O517" s="79"/>
      <c r="P517" s="79"/>
      <c r="S517" s="79"/>
      <c r="T517" s="79"/>
      <c r="W517" s="130"/>
      <c r="Y517" s="106"/>
    </row>
    <row r="518">
      <c r="C518" s="79"/>
      <c r="D518" s="79"/>
      <c r="J518" s="79"/>
      <c r="O518" s="79"/>
      <c r="P518" s="79"/>
      <c r="S518" s="79"/>
      <c r="T518" s="79"/>
      <c r="W518" s="130"/>
      <c r="Y518" s="106"/>
    </row>
    <row r="519">
      <c r="C519" s="79"/>
      <c r="D519" s="79"/>
      <c r="J519" s="79"/>
      <c r="O519" s="79"/>
      <c r="P519" s="79"/>
      <c r="S519" s="79"/>
      <c r="T519" s="79"/>
      <c r="W519" s="130"/>
      <c r="Y519" s="106"/>
    </row>
    <row r="520">
      <c r="C520" s="79"/>
      <c r="D520" s="79"/>
      <c r="J520" s="79"/>
      <c r="O520" s="79"/>
      <c r="P520" s="79"/>
      <c r="S520" s="79"/>
      <c r="T520" s="79"/>
      <c r="W520" s="130"/>
      <c r="Y520" s="106"/>
    </row>
    <row r="521">
      <c r="C521" s="79"/>
      <c r="D521" s="79"/>
      <c r="J521" s="79"/>
      <c r="O521" s="79"/>
      <c r="P521" s="79"/>
      <c r="S521" s="79"/>
      <c r="T521" s="79"/>
      <c r="W521" s="130"/>
      <c r="Y521" s="106"/>
    </row>
    <row r="522">
      <c r="C522" s="79"/>
      <c r="D522" s="79"/>
      <c r="J522" s="79"/>
      <c r="O522" s="79"/>
      <c r="P522" s="79"/>
      <c r="S522" s="79"/>
      <c r="T522" s="79"/>
      <c r="W522" s="130"/>
      <c r="Y522" s="106"/>
    </row>
    <row r="523">
      <c r="C523" s="79"/>
      <c r="D523" s="79"/>
      <c r="J523" s="79"/>
      <c r="O523" s="79"/>
      <c r="P523" s="79"/>
      <c r="S523" s="79"/>
      <c r="T523" s="79"/>
      <c r="W523" s="130"/>
      <c r="Y523" s="106"/>
    </row>
    <row r="524">
      <c r="C524" s="79"/>
      <c r="D524" s="79"/>
      <c r="J524" s="79"/>
      <c r="O524" s="79"/>
      <c r="P524" s="79"/>
      <c r="S524" s="79"/>
      <c r="T524" s="79"/>
      <c r="W524" s="130"/>
      <c r="Y524" s="106"/>
    </row>
    <row r="525">
      <c r="C525" s="79"/>
      <c r="D525" s="79"/>
      <c r="J525" s="79"/>
      <c r="O525" s="79"/>
      <c r="P525" s="79"/>
      <c r="S525" s="79"/>
      <c r="T525" s="79"/>
      <c r="W525" s="130"/>
      <c r="Y525" s="106"/>
    </row>
    <row r="526">
      <c r="C526" s="79"/>
      <c r="D526" s="79"/>
      <c r="J526" s="79"/>
      <c r="O526" s="79"/>
      <c r="P526" s="79"/>
      <c r="S526" s="79"/>
      <c r="T526" s="79"/>
      <c r="W526" s="130"/>
      <c r="Y526" s="106"/>
    </row>
    <row r="527">
      <c r="C527" s="79"/>
      <c r="D527" s="79"/>
      <c r="J527" s="79"/>
      <c r="O527" s="79"/>
      <c r="P527" s="79"/>
      <c r="S527" s="79"/>
      <c r="T527" s="79"/>
      <c r="W527" s="130"/>
      <c r="Y527" s="106"/>
    </row>
    <row r="528">
      <c r="C528" s="79"/>
      <c r="D528" s="79"/>
      <c r="J528" s="79"/>
      <c r="O528" s="79"/>
      <c r="P528" s="79"/>
      <c r="S528" s="79"/>
      <c r="T528" s="79"/>
      <c r="W528" s="130"/>
      <c r="Y528" s="106"/>
    </row>
    <row r="529">
      <c r="C529" s="79"/>
      <c r="D529" s="79"/>
      <c r="J529" s="79"/>
      <c r="O529" s="79"/>
      <c r="P529" s="79"/>
      <c r="S529" s="79"/>
      <c r="T529" s="79"/>
      <c r="W529" s="130"/>
      <c r="Y529" s="106"/>
    </row>
    <row r="530">
      <c r="C530" s="79"/>
      <c r="D530" s="79"/>
      <c r="J530" s="79"/>
      <c r="O530" s="79"/>
      <c r="P530" s="79"/>
      <c r="S530" s="79"/>
      <c r="T530" s="79"/>
      <c r="W530" s="130"/>
      <c r="Y530" s="106"/>
    </row>
    <row r="531">
      <c r="C531" s="79"/>
      <c r="D531" s="79"/>
      <c r="J531" s="79"/>
      <c r="O531" s="79"/>
      <c r="P531" s="79"/>
      <c r="S531" s="79"/>
      <c r="T531" s="79"/>
      <c r="W531" s="130"/>
      <c r="Y531" s="106"/>
    </row>
    <row r="532">
      <c r="C532" s="79"/>
      <c r="D532" s="79"/>
      <c r="J532" s="79"/>
      <c r="O532" s="79"/>
      <c r="P532" s="79"/>
      <c r="S532" s="79"/>
      <c r="T532" s="79"/>
      <c r="W532" s="130"/>
      <c r="Y532" s="106"/>
    </row>
    <row r="533">
      <c r="C533" s="79"/>
      <c r="D533" s="79"/>
      <c r="J533" s="79"/>
      <c r="O533" s="79"/>
      <c r="P533" s="79"/>
      <c r="S533" s="79"/>
      <c r="T533" s="79"/>
      <c r="W533" s="130"/>
      <c r="Y533" s="106"/>
    </row>
    <row r="534">
      <c r="C534" s="79"/>
      <c r="D534" s="79"/>
      <c r="J534" s="79"/>
      <c r="O534" s="79"/>
      <c r="P534" s="79"/>
      <c r="S534" s="79"/>
      <c r="T534" s="79"/>
      <c r="W534" s="130"/>
      <c r="Y534" s="106"/>
    </row>
    <row r="535">
      <c r="C535" s="79"/>
      <c r="D535" s="79"/>
      <c r="J535" s="79"/>
      <c r="O535" s="79"/>
      <c r="P535" s="79"/>
      <c r="S535" s="79"/>
      <c r="T535" s="79"/>
      <c r="W535" s="130"/>
      <c r="Y535" s="106"/>
    </row>
    <row r="536">
      <c r="C536" s="79"/>
      <c r="D536" s="79"/>
      <c r="J536" s="79"/>
      <c r="O536" s="79"/>
      <c r="P536" s="79"/>
      <c r="S536" s="79"/>
      <c r="T536" s="79"/>
      <c r="W536" s="130"/>
      <c r="Y536" s="106"/>
    </row>
    <row r="537">
      <c r="C537" s="79"/>
      <c r="D537" s="79"/>
      <c r="J537" s="79"/>
      <c r="O537" s="79"/>
      <c r="P537" s="79"/>
      <c r="S537" s="79"/>
      <c r="T537" s="79"/>
      <c r="W537" s="130"/>
      <c r="Y537" s="106"/>
    </row>
    <row r="538">
      <c r="C538" s="79"/>
      <c r="D538" s="79"/>
      <c r="J538" s="79"/>
      <c r="O538" s="79"/>
      <c r="P538" s="79"/>
      <c r="S538" s="79"/>
      <c r="T538" s="79"/>
      <c r="W538" s="130"/>
      <c r="Y538" s="106"/>
    </row>
    <row r="539">
      <c r="C539" s="79"/>
      <c r="D539" s="79"/>
      <c r="J539" s="79"/>
      <c r="O539" s="79"/>
      <c r="P539" s="79"/>
      <c r="S539" s="79"/>
      <c r="T539" s="79"/>
      <c r="W539" s="130"/>
      <c r="Y539" s="106"/>
    </row>
    <row r="540">
      <c r="C540" s="79"/>
      <c r="D540" s="79"/>
      <c r="J540" s="79"/>
      <c r="O540" s="79"/>
      <c r="P540" s="79"/>
      <c r="S540" s="79"/>
      <c r="T540" s="79"/>
      <c r="W540" s="130"/>
      <c r="Y540" s="106"/>
    </row>
    <row r="541">
      <c r="C541" s="79"/>
      <c r="D541" s="79"/>
      <c r="J541" s="79"/>
      <c r="O541" s="79"/>
      <c r="P541" s="79"/>
      <c r="S541" s="79"/>
      <c r="T541" s="79"/>
      <c r="W541" s="130"/>
      <c r="Y541" s="106"/>
    </row>
    <row r="542">
      <c r="C542" s="79"/>
      <c r="D542" s="79"/>
      <c r="J542" s="79"/>
      <c r="O542" s="79"/>
      <c r="P542" s="79"/>
      <c r="S542" s="79"/>
      <c r="T542" s="79"/>
      <c r="W542" s="130"/>
      <c r="Y542" s="106"/>
    </row>
    <row r="543">
      <c r="C543" s="79"/>
      <c r="D543" s="79"/>
      <c r="J543" s="79"/>
      <c r="O543" s="79"/>
      <c r="P543" s="79"/>
      <c r="S543" s="79"/>
      <c r="T543" s="79"/>
      <c r="W543" s="130"/>
      <c r="Y543" s="106"/>
    </row>
    <row r="544">
      <c r="C544" s="79"/>
      <c r="D544" s="79"/>
      <c r="J544" s="79"/>
      <c r="O544" s="79"/>
      <c r="P544" s="79"/>
      <c r="S544" s="79"/>
      <c r="T544" s="79"/>
      <c r="W544" s="130"/>
      <c r="Y544" s="106"/>
    </row>
    <row r="545">
      <c r="C545" s="79"/>
      <c r="D545" s="79"/>
      <c r="J545" s="79"/>
      <c r="O545" s="79"/>
      <c r="P545" s="79"/>
      <c r="S545" s="79"/>
      <c r="T545" s="79"/>
      <c r="W545" s="130"/>
      <c r="Y545" s="106"/>
    </row>
    <row r="546">
      <c r="C546" s="79"/>
      <c r="D546" s="79"/>
      <c r="J546" s="79"/>
      <c r="O546" s="79"/>
      <c r="P546" s="79"/>
      <c r="S546" s="79"/>
      <c r="T546" s="79"/>
      <c r="W546" s="130"/>
      <c r="Y546" s="106"/>
    </row>
    <row r="547">
      <c r="C547" s="79"/>
      <c r="D547" s="79"/>
      <c r="J547" s="79"/>
      <c r="O547" s="79"/>
      <c r="P547" s="79"/>
      <c r="S547" s="79"/>
      <c r="T547" s="79"/>
      <c r="W547" s="130"/>
      <c r="Y547" s="106"/>
    </row>
    <row r="548">
      <c r="C548" s="79"/>
      <c r="D548" s="79"/>
      <c r="J548" s="79"/>
      <c r="O548" s="79"/>
      <c r="P548" s="79"/>
      <c r="S548" s="79"/>
      <c r="T548" s="79"/>
      <c r="W548" s="130"/>
      <c r="Y548" s="106"/>
    </row>
    <row r="549">
      <c r="C549" s="79"/>
      <c r="D549" s="79"/>
      <c r="J549" s="79"/>
      <c r="O549" s="79"/>
      <c r="P549" s="79"/>
      <c r="S549" s="79"/>
      <c r="T549" s="79"/>
      <c r="W549" s="130"/>
      <c r="Y549" s="106"/>
    </row>
    <row r="550">
      <c r="C550" s="79"/>
      <c r="D550" s="79"/>
      <c r="J550" s="79"/>
      <c r="O550" s="79"/>
      <c r="P550" s="79"/>
      <c r="S550" s="79"/>
      <c r="T550" s="79"/>
      <c r="W550" s="130"/>
      <c r="Y550" s="106"/>
    </row>
    <row r="551">
      <c r="C551" s="79"/>
      <c r="D551" s="79"/>
      <c r="J551" s="79"/>
      <c r="O551" s="79"/>
      <c r="P551" s="79"/>
      <c r="S551" s="79"/>
      <c r="T551" s="79"/>
      <c r="W551" s="130"/>
      <c r="Y551" s="106"/>
    </row>
    <row r="552">
      <c r="C552" s="79"/>
      <c r="D552" s="79"/>
      <c r="J552" s="79"/>
      <c r="O552" s="79"/>
      <c r="P552" s="79"/>
      <c r="S552" s="79"/>
      <c r="T552" s="79"/>
      <c r="W552" s="130"/>
      <c r="Y552" s="106"/>
    </row>
    <row r="553">
      <c r="C553" s="79"/>
      <c r="D553" s="79"/>
      <c r="J553" s="79"/>
      <c r="O553" s="79"/>
      <c r="P553" s="79"/>
      <c r="S553" s="79"/>
      <c r="T553" s="79"/>
      <c r="W553" s="130"/>
      <c r="Y553" s="106"/>
    </row>
    <row r="554">
      <c r="C554" s="79"/>
      <c r="D554" s="79"/>
      <c r="J554" s="79"/>
      <c r="O554" s="79"/>
      <c r="P554" s="79"/>
      <c r="S554" s="79"/>
      <c r="T554" s="79"/>
      <c r="W554" s="130"/>
      <c r="Y554" s="106"/>
    </row>
    <row r="555">
      <c r="C555" s="79"/>
      <c r="D555" s="79"/>
      <c r="J555" s="79"/>
      <c r="O555" s="79"/>
      <c r="P555" s="79"/>
      <c r="S555" s="79"/>
      <c r="T555" s="79"/>
      <c r="W555" s="130"/>
      <c r="Y555" s="106"/>
    </row>
    <row r="556">
      <c r="C556" s="79"/>
      <c r="D556" s="79"/>
      <c r="J556" s="79"/>
      <c r="O556" s="79"/>
      <c r="P556" s="79"/>
      <c r="S556" s="79"/>
      <c r="T556" s="79"/>
      <c r="W556" s="130"/>
      <c r="Y556" s="106"/>
    </row>
    <row r="557">
      <c r="C557" s="79"/>
      <c r="D557" s="79"/>
      <c r="J557" s="79"/>
      <c r="O557" s="79"/>
      <c r="P557" s="79"/>
      <c r="S557" s="79"/>
      <c r="T557" s="79"/>
      <c r="W557" s="130"/>
      <c r="Y557" s="106"/>
    </row>
    <row r="558">
      <c r="C558" s="79"/>
      <c r="D558" s="79"/>
      <c r="J558" s="79"/>
      <c r="O558" s="79"/>
      <c r="P558" s="79"/>
      <c r="S558" s="79"/>
      <c r="T558" s="79"/>
      <c r="W558" s="130"/>
      <c r="Y558" s="106"/>
    </row>
    <row r="559">
      <c r="C559" s="79"/>
      <c r="D559" s="79"/>
      <c r="J559" s="79"/>
      <c r="O559" s="79"/>
      <c r="P559" s="79"/>
      <c r="S559" s="79"/>
      <c r="T559" s="79"/>
      <c r="W559" s="130"/>
      <c r="Y559" s="106"/>
    </row>
    <row r="560">
      <c r="C560" s="79"/>
      <c r="D560" s="79"/>
      <c r="J560" s="79"/>
      <c r="O560" s="79"/>
      <c r="P560" s="79"/>
      <c r="S560" s="79"/>
      <c r="T560" s="79"/>
      <c r="W560" s="130"/>
      <c r="Y560" s="106"/>
    </row>
    <row r="561">
      <c r="C561" s="79"/>
      <c r="D561" s="79"/>
      <c r="J561" s="79"/>
      <c r="O561" s="79"/>
      <c r="P561" s="79"/>
      <c r="S561" s="79"/>
      <c r="T561" s="79"/>
      <c r="W561" s="130"/>
      <c r="Y561" s="106"/>
    </row>
    <row r="562">
      <c r="C562" s="79"/>
      <c r="D562" s="79"/>
      <c r="J562" s="79"/>
      <c r="O562" s="79"/>
      <c r="P562" s="79"/>
      <c r="S562" s="79"/>
      <c r="T562" s="79"/>
      <c r="W562" s="130"/>
      <c r="Y562" s="106"/>
    </row>
    <row r="563">
      <c r="C563" s="79"/>
      <c r="D563" s="79"/>
      <c r="J563" s="79"/>
      <c r="O563" s="79"/>
      <c r="P563" s="79"/>
      <c r="S563" s="79"/>
      <c r="T563" s="79"/>
      <c r="W563" s="130"/>
      <c r="Y563" s="106"/>
    </row>
    <row r="564">
      <c r="C564" s="79"/>
      <c r="D564" s="79"/>
      <c r="J564" s="79"/>
      <c r="O564" s="79"/>
      <c r="P564" s="79"/>
      <c r="S564" s="79"/>
      <c r="T564" s="79"/>
      <c r="W564" s="130"/>
      <c r="Y564" s="106"/>
    </row>
    <row r="565">
      <c r="C565" s="79"/>
      <c r="D565" s="79"/>
      <c r="J565" s="79"/>
      <c r="O565" s="79"/>
      <c r="P565" s="79"/>
      <c r="S565" s="79"/>
      <c r="T565" s="79"/>
      <c r="W565" s="130"/>
      <c r="Y565" s="106"/>
    </row>
    <row r="566">
      <c r="C566" s="79"/>
      <c r="D566" s="79"/>
      <c r="J566" s="79"/>
      <c r="O566" s="79"/>
      <c r="P566" s="79"/>
      <c r="S566" s="79"/>
      <c r="T566" s="79"/>
      <c r="W566" s="130"/>
      <c r="Y566" s="106"/>
    </row>
    <row r="567">
      <c r="C567" s="79"/>
      <c r="D567" s="79"/>
      <c r="J567" s="79"/>
      <c r="O567" s="79"/>
      <c r="P567" s="79"/>
      <c r="S567" s="79"/>
      <c r="T567" s="79"/>
      <c r="W567" s="130"/>
      <c r="Y567" s="106"/>
    </row>
    <row r="568">
      <c r="C568" s="79"/>
      <c r="D568" s="79"/>
      <c r="J568" s="79"/>
      <c r="O568" s="79"/>
      <c r="P568" s="79"/>
      <c r="S568" s="79"/>
      <c r="T568" s="79"/>
      <c r="W568" s="130"/>
      <c r="Y568" s="106"/>
    </row>
    <row r="569">
      <c r="C569" s="79"/>
      <c r="D569" s="79"/>
      <c r="J569" s="79"/>
      <c r="O569" s="79"/>
      <c r="P569" s="79"/>
      <c r="S569" s="79"/>
      <c r="T569" s="79"/>
      <c r="W569" s="130"/>
      <c r="Y569" s="106"/>
    </row>
    <row r="570">
      <c r="C570" s="79"/>
      <c r="D570" s="79"/>
      <c r="J570" s="79"/>
      <c r="O570" s="79"/>
      <c r="P570" s="79"/>
      <c r="S570" s="79"/>
      <c r="T570" s="79"/>
      <c r="W570" s="130"/>
      <c r="Y570" s="106"/>
    </row>
    <row r="571">
      <c r="C571" s="79"/>
      <c r="D571" s="79"/>
      <c r="J571" s="79"/>
      <c r="O571" s="79"/>
      <c r="P571" s="79"/>
      <c r="S571" s="79"/>
      <c r="T571" s="79"/>
      <c r="W571" s="130"/>
      <c r="Y571" s="106"/>
    </row>
    <row r="572">
      <c r="C572" s="79"/>
      <c r="D572" s="79"/>
      <c r="J572" s="79"/>
      <c r="O572" s="79"/>
      <c r="P572" s="79"/>
      <c r="S572" s="79"/>
      <c r="T572" s="79"/>
      <c r="W572" s="130"/>
      <c r="Y572" s="106"/>
    </row>
    <row r="573">
      <c r="C573" s="79"/>
      <c r="D573" s="79"/>
      <c r="J573" s="79"/>
      <c r="O573" s="79"/>
      <c r="P573" s="79"/>
      <c r="S573" s="79"/>
      <c r="T573" s="79"/>
      <c r="W573" s="130"/>
      <c r="Y573" s="106"/>
    </row>
    <row r="574">
      <c r="C574" s="79"/>
      <c r="D574" s="79"/>
      <c r="J574" s="79"/>
      <c r="O574" s="79"/>
      <c r="P574" s="79"/>
      <c r="S574" s="79"/>
      <c r="T574" s="79"/>
      <c r="W574" s="130"/>
      <c r="Y574" s="106"/>
    </row>
    <row r="575">
      <c r="C575" s="79"/>
      <c r="D575" s="79"/>
      <c r="J575" s="79"/>
      <c r="O575" s="79"/>
      <c r="P575" s="79"/>
      <c r="S575" s="79"/>
      <c r="T575" s="79"/>
      <c r="W575" s="130"/>
      <c r="Y575" s="106"/>
    </row>
    <row r="576">
      <c r="C576" s="79"/>
      <c r="D576" s="79"/>
      <c r="J576" s="79"/>
      <c r="O576" s="79"/>
      <c r="P576" s="79"/>
      <c r="S576" s="79"/>
      <c r="T576" s="79"/>
      <c r="W576" s="130"/>
      <c r="Y576" s="106"/>
    </row>
    <row r="577">
      <c r="C577" s="79"/>
      <c r="D577" s="79"/>
      <c r="J577" s="79"/>
      <c r="O577" s="79"/>
      <c r="P577" s="79"/>
      <c r="S577" s="79"/>
      <c r="T577" s="79"/>
      <c r="W577" s="130"/>
      <c r="Y577" s="106"/>
    </row>
    <row r="578">
      <c r="C578" s="79"/>
      <c r="D578" s="79"/>
      <c r="J578" s="79"/>
      <c r="O578" s="79"/>
      <c r="P578" s="79"/>
      <c r="S578" s="79"/>
      <c r="T578" s="79"/>
      <c r="W578" s="130"/>
      <c r="Y578" s="106"/>
    </row>
    <row r="579">
      <c r="C579" s="79"/>
      <c r="D579" s="79"/>
      <c r="J579" s="79"/>
      <c r="O579" s="79"/>
      <c r="P579" s="79"/>
      <c r="S579" s="79"/>
      <c r="T579" s="79"/>
      <c r="W579" s="130"/>
      <c r="Y579" s="106"/>
    </row>
    <row r="580">
      <c r="C580" s="79"/>
      <c r="D580" s="79"/>
      <c r="J580" s="79"/>
      <c r="O580" s="79"/>
      <c r="P580" s="79"/>
      <c r="S580" s="79"/>
      <c r="T580" s="79"/>
      <c r="W580" s="130"/>
      <c r="Y580" s="106"/>
    </row>
    <row r="581">
      <c r="C581" s="79"/>
      <c r="D581" s="79"/>
      <c r="J581" s="79"/>
      <c r="O581" s="79"/>
      <c r="P581" s="79"/>
      <c r="S581" s="79"/>
      <c r="T581" s="79"/>
      <c r="W581" s="130"/>
      <c r="Y581" s="106"/>
    </row>
    <row r="582">
      <c r="C582" s="79"/>
      <c r="D582" s="79"/>
      <c r="J582" s="79"/>
      <c r="O582" s="79"/>
      <c r="P582" s="79"/>
      <c r="S582" s="79"/>
      <c r="T582" s="79"/>
      <c r="W582" s="130"/>
      <c r="Y582" s="106"/>
    </row>
    <row r="583">
      <c r="C583" s="79"/>
      <c r="D583" s="79"/>
      <c r="J583" s="79"/>
      <c r="O583" s="79"/>
      <c r="P583" s="79"/>
      <c r="S583" s="79"/>
      <c r="T583" s="79"/>
      <c r="W583" s="130"/>
      <c r="Y583" s="106"/>
    </row>
    <row r="584">
      <c r="C584" s="79"/>
      <c r="D584" s="79"/>
      <c r="J584" s="79"/>
      <c r="O584" s="79"/>
      <c r="P584" s="79"/>
      <c r="S584" s="79"/>
      <c r="T584" s="79"/>
      <c r="W584" s="130"/>
      <c r="Y584" s="106"/>
    </row>
    <row r="585">
      <c r="C585" s="79"/>
      <c r="D585" s="79"/>
      <c r="J585" s="79"/>
      <c r="O585" s="79"/>
      <c r="P585" s="79"/>
      <c r="S585" s="79"/>
      <c r="T585" s="79"/>
      <c r="W585" s="130"/>
      <c r="Y585" s="106"/>
    </row>
    <row r="586">
      <c r="C586" s="79"/>
      <c r="D586" s="79"/>
      <c r="J586" s="79"/>
      <c r="O586" s="79"/>
      <c r="P586" s="79"/>
      <c r="S586" s="79"/>
      <c r="T586" s="79"/>
      <c r="W586" s="130"/>
      <c r="Y586" s="106"/>
    </row>
    <row r="587">
      <c r="C587" s="79"/>
      <c r="D587" s="79"/>
      <c r="J587" s="79"/>
      <c r="O587" s="79"/>
      <c r="P587" s="79"/>
      <c r="S587" s="79"/>
      <c r="T587" s="79"/>
      <c r="W587" s="130"/>
      <c r="Y587" s="106"/>
    </row>
    <row r="588">
      <c r="C588" s="79"/>
      <c r="D588" s="79"/>
      <c r="J588" s="79"/>
      <c r="O588" s="79"/>
      <c r="P588" s="79"/>
      <c r="S588" s="79"/>
      <c r="T588" s="79"/>
      <c r="W588" s="130"/>
      <c r="Y588" s="106"/>
    </row>
    <row r="589">
      <c r="C589" s="79"/>
      <c r="D589" s="79"/>
      <c r="J589" s="79"/>
      <c r="O589" s="79"/>
      <c r="P589" s="79"/>
      <c r="S589" s="79"/>
      <c r="T589" s="79"/>
      <c r="W589" s="130"/>
      <c r="Y589" s="106"/>
    </row>
    <row r="590">
      <c r="C590" s="79"/>
      <c r="D590" s="79"/>
      <c r="J590" s="79"/>
      <c r="O590" s="79"/>
      <c r="P590" s="79"/>
      <c r="S590" s="79"/>
      <c r="T590" s="79"/>
      <c r="W590" s="130"/>
      <c r="Y590" s="106"/>
    </row>
    <row r="591">
      <c r="C591" s="79"/>
      <c r="D591" s="79"/>
      <c r="J591" s="79"/>
      <c r="O591" s="79"/>
      <c r="P591" s="79"/>
      <c r="S591" s="79"/>
      <c r="T591" s="79"/>
      <c r="W591" s="130"/>
      <c r="Y591" s="106"/>
    </row>
    <row r="592">
      <c r="C592" s="79"/>
      <c r="D592" s="79"/>
      <c r="J592" s="79"/>
      <c r="O592" s="79"/>
      <c r="P592" s="79"/>
      <c r="S592" s="79"/>
      <c r="T592" s="79"/>
      <c r="W592" s="130"/>
      <c r="Y592" s="106"/>
    </row>
    <row r="593">
      <c r="C593" s="79"/>
      <c r="D593" s="79"/>
      <c r="J593" s="79"/>
      <c r="O593" s="79"/>
      <c r="P593" s="79"/>
      <c r="S593" s="79"/>
      <c r="T593" s="79"/>
      <c r="W593" s="130"/>
      <c r="Y593" s="106"/>
    </row>
    <row r="594">
      <c r="C594" s="79"/>
      <c r="D594" s="79"/>
      <c r="J594" s="79"/>
      <c r="O594" s="79"/>
      <c r="P594" s="79"/>
      <c r="S594" s="79"/>
      <c r="T594" s="79"/>
      <c r="W594" s="130"/>
      <c r="Y594" s="106"/>
    </row>
    <row r="595">
      <c r="C595" s="79"/>
      <c r="D595" s="79"/>
      <c r="J595" s="79"/>
      <c r="O595" s="79"/>
      <c r="P595" s="79"/>
      <c r="S595" s="79"/>
      <c r="T595" s="79"/>
      <c r="W595" s="130"/>
      <c r="Y595" s="106"/>
    </row>
    <row r="596">
      <c r="C596" s="79"/>
      <c r="D596" s="79"/>
      <c r="J596" s="79"/>
      <c r="O596" s="79"/>
      <c r="P596" s="79"/>
      <c r="S596" s="79"/>
      <c r="T596" s="79"/>
      <c r="W596" s="130"/>
      <c r="Y596" s="106"/>
    </row>
    <row r="597">
      <c r="C597" s="79"/>
      <c r="D597" s="79"/>
      <c r="J597" s="79"/>
      <c r="O597" s="79"/>
      <c r="P597" s="79"/>
      <c r="S597" s="79"/>
      <c r="T597" s="79"/>
      <c r="W597" s="130"/>
      <c r="Y597" s="106"/>
    </row>
    <row r="598">
      <c r="C598" s="79"/>
      <c r="D598" s="79"/>
      <c r="J598" s="79"/>
      <c r="O598" s="79"/>
      <c r="P598" s="79"/>
      <c r="S598" s="79"/>
      <c r="T598" s="79"/>
      <c r="W598" s="130"/>
      <c r="Y598" s="106"/>
    </row>
    <row r="599">
      <c r="C599" s="79"/>
      <c r="D599" s="79"/>
      <c r="J599" s="79"/>
      <c r="O599" s="79"/>
      <c r="P599" s="79"/>
      <c r="S599" s="79"/>
      <c r="T599" s="79"/>
      <c r="W599" s="130"/>
      <c r="Y599" s="106"/>
    </row>
    <row r="600">
      <c r="C600" s="79"/>
      <c r="D600" s="79"/>
      <c r="J600" s="79"/>
      <c r="O600" s="79"/>
      <c r="P600" s="79"/>
      <c r="S600" s="79"/>
      <c r="T600" s="79"/>
      <c r="W600" s="130"/>
      <c r="Y600" s="106"/>
    </row>
    <row r="601">
      <c r="C601" s="79"/>
      <c r="D601" s="79"/>
      <c r="J601" s="79"/>
      <c r="O601" s="79"/>
      <c r="P601" s="79"/>
      <c r="S601" s="79"/>
      <c r="T601" s="79"/>
      <c r="W601" s="130"/>
      <c r="Y601" s="106"/>
    </row>
    <row r="602">
      <c r="C602" s="79"/>
      <c r="D602" s="79"/>
      <c r="J602" s="79"/>
      <c r="O602" s="79"/>
      <c r="P602" s="79"/>
      <c r="S602" s="79"/>
      <c r="T602" s="79"/>
      <c r="W602" s="130"/>
      <c r="Y602" s="106"/>
    </row>
    <row r="603">
      <c r="C603" s="79"/>
      <c r="D603" s="79"/>
      <c r="J603" s="79"/>
      <c r="O603" s="79"/>
      <c r="P603" s="79"/>
      <c r="S603" s="79"/>
      <c r="T603" s="79"/>
      <c r="W603" s="130"/>
      <c r="Y603" s="106"/>
    </row>
    <row r="604">
      <c r="C604" s="79"/>
      <c r="D604" s="79"/>
      <c r="J604" s="79"/>
      <c r="O604" s="79"/>
      <c r="P604" s="79"/>
      <c r="S604" s="79"/>
      <c r="T604" s="79"/>
      <c r="W604" s="130"/>
      <c r="Y604" s="106"/>
    </row>
    <row r="605">
      <c r="C605" s="79"/>
      <c r="D605" s="79"/>
      <c r="J605" s="79"/>
      <c r="O605" s="79"/>
      <c r="P605" s="79"/>
      <c r="S605" s="79"/>
      <c r="T605" s="79"/>
      <c r="W605" s="130"/>
      <c r="Y605" s="106"/>
    </row>
    <row r="606">
      <c r="C606" s="79"/>
      <c r="D606" s="79"/>
      <c r="J606" s="79"/>
      <c r="O606" s="79"/>
      <c r="P606" s="79"/>
      <c r="S606" s="79"/>
      <c r="T606" s="79"/>
      <c r="W606" s="130"/>
      <c r="Y606" s="106"/>
    </row>
    <row r="607">
      <c r="C607" s="79"/>
      <c r="D607" s="79"/>
      <c r="J607" s="79"/>
      <c r="O607" s="79"/>
      <c r="P607" s="79"/>
      <c r="S607" s="79"/>
      <c r="T607" s="79"/>
      <c r="W607" s="130"/>
      <c r="Y607" s="106"/>
    </row>
    <row r="608">
      <c r="C608" s="79"/>
      <c r="D608" s="79"/>
      <c r="J608" s="79"/>
      <c r="O608" s="79"/>
      <c r="P608" s="79"/>
      <c r="S608" s="79"/>
      <c r="T608" s="79"/>
      <c r="W608" s="130"/>
      <c r="Y608" s="106"/>
    </row>
    <row r="609">
      <c r="C609" s="79"/>
      <c r="D609" s="79"/>
      <c r="J609" s="79"/>
      <c r="O609" s="79"/>
      <c r="P609" s="79"/>
      <c r="S609" s="79"/>
      <c r="T609" s="79"/>
      <c r="W609" s="130"/>
      <c r="Y609" s="106"/>
    </row>
    <row r="610">
      <c r="C610" s="79"/>
      <c r="D610" s="79"/>
      <c r="J610" s="79"/>
      <c r="O610" s="79"/>
      <c r="P610" s="79"/>
      <c r="S610" s="79"/>
      <c r="T610" s="79"/>
      <c r="W610" s="130"/>
      <c r="Y610" s="106"/>
    </row>
    <row r="611">
      <c r="C611" s="79"/>
      <c r="D611" s="79"/>
      <c r="J611" s="79"/>
      <c r="O611" s="79"/>
      <c r="P611" s="79"/>
      <c r="S611" s="79"/>
      <c r="T611" s="79"/>
      <c r="W611" s="130"/>
      <c r="Y611" s="106"/>
    </row>
    <row r="612">
      <c r="C612" s="79"/>
      <c r="D612" s="79"/>
      <c r="J612" s="79"/>
      <c r="O612" s="79"/>
      <c r="P612" s="79"/>
      <c r="S612" s="79"/>
      <c r="T612" s="79"/>
      <c r="W612" s="130"/>
      <c r="Y612" s="106"/>
    </row>
    <row r="613">
      <c r="C613" s="79"/>
      <c r="D613" s="79"/>
      <c r="J613" s="79"/>
      <c r="O613" s="79"/>
      <c r="P613" s="79"/>
      <c r="S613" s="79"/>
      <c r="T613" s="79"/>
      <c r="W613" s="130"/>
      <c r="Y613" s="106"/>
    </row>
    <row r="614">
      <c r="C614" s="79"/>
      <c r="D614" s="79"/>
      <c r="J614" s="79"/>
      <c r="O614" s="79"/>
      <c r="P614" s="79"/>
      <c r="S614" s="79"/>
      <c r="T614" s="79"/>
      <c r="W614" s="130"/>
      <c r="Y614" s="106"/>
    </row>
    <row r="615">
      <c r="C615" s="79"/>
      <c r="D615" s="79"/>
      <c r="J615" s="79"/>
      <c r="O615" s="79"/>
      <c r="P615" s="79"/>
      <c r="S615" s="79"/>
      <c r="T615" s="79"/>
      <c r="W615" s="130"/>
      <c r="Y615" s="106"/>
    </row>
    <row r="616">
      <c r="C616" s="79"/>
      <c r="D616" s="79"/>
      <c r="J616" s="79"/>
      <c r="O616" s="79"/>
      <c r="P616" s="79"/>
      <c r="S616" s="79"/>
      <c r="T616" s="79"/>
      <c r="W616" s="130"/>
      <c r="Y616" s="106"/>
    </row>
    <row r="617">
      <c r="C617" s="79"/>
      <c r="D617" s="79"/>
      <c r="J617" s="79"/>
      <c r="O617" s="79"/>
      <c r="P617" s="79"/>
      <c r="S617" s="79"/>
      <c r="T617" s="79"/>
      <c r="W617" s="130"/>
      <c r="Y617" s="106"/>
    </row>
    <row r="618">
      <c r="C618" s="79"/>
      <c r="D618" s="79"/>
      <c r="J618" s="79"/>
      <c r="O618" s="79"/>
      <c r="P618" s="79"/>
      <c r="S618" s="79"/>
      <c r="T618" s="79"/>
      <c r="W618" s="130"/>
      <c r="Y618" s="106"/>
    </row>
    <row r="619">
      <c r="C619" s="79"/>
      <c r="D619" s="79"/>
      <c r="J619" s="79"/>
      <c r="O619" s="79"/>
      <c r="P619" s="79"/>
      <c r="S619" s="79"/>
      <c r="T619" s="79"/>
      <c r="W619" s="130"/>
      <c r="Y619" s="106"/>
    </row>
    <row r="620">
      <c r="C620" s="79"/>
      <c r="D620" s="79"/>
      <c r="J620" s="79"/>
      <c r="O620" s="79"/>
      <c r="P620" s="79"/>
      <c r="S620" s="79"/>
      <c r="T620" s="79"/>
      <c r="W620" s="130"/>
      <c r="Y620" s="106"/>
    </row>
    <row r="621">
      <c r="C621" s="79"/>
      <c r="D621" s="79"/>
      <c r="J621" s="79"/>
      <c r="O621" s="79"/>
      <c r="P621" s="79"/>
      <c r="S621" s="79"/>
      <c r="T621" s="79"/>
      <c r="W621" s="130"/>
      <c r="Y621" s="106"/>
    </row>
    <row r="622">
      <c r="C622" s="79"/>
      <c r="D622" s="79"/>
      <c r="J622" s="79"/>
      <c r="O622" s="79"/>
      <c r="P622" s="79"/>
      <c r="S622" s="79"/>
      <c r="T622" s="79"/>
      <c r="W622" s="130"/>
      <c r="Y622" s="106"/>
    </row>
    <row r="623">
      <c r="C623" s="79"/>
      <c r="D623" s="79"/>
      <c r="J623" s="79"/>
      <c r="O623" s="79"/>
      <c r="P623" s="79"/>
      <c r="S623" s="79"/>
      <c r="T623" s="79"/>
      <c r="W623" s="130"/>
      <c r="Y623" s="106"/>
    </row>
    <row r="624">
      <c r="C624" s="79"/>
      <c r="D624" s="79"/>
      <c r="J624" s="79"/>
      <c r="O624" s="79"/>
      <c r="P624" s="79"/>
      <c r="S624" s="79"/>
      <c r="T624" s="79"/>
      <c r="W624" s="130"/>
      <c r="Y624" s="106"/>
    </row>
    <row r="625">
      <c r="C625" s="79"/>
      <c r="D625" s="79"/>
      <c r="J625" s="79"/>
      <c r="O625" s="79"/>
      <c r="P625" s="79"/>
      <c r="S625" s="79"/>
      <c r="T625" s="79"/>
      <c r="W625" s="130"/>
      <c r="Y625" s="106"/>
    </row>
    <row r="626">
      <c r="C626" s="79"/>
      <c r="D626" s="79"/>
      <c r="J626" s="79"/>
      <c r="O626" s="79"/>
      <c r="P626" s="79"/>
      <c r="S626" s="79"/>
      <c r="T626" s="79"/>
      <c r="W626" s="130"/>
      <c r="Y626" s="106"/>
    </row>
    <row r="627">
      <c r="C627" s="79"/>
      <c r="D627" s="79"/>
      <c r="J627" s="79"/>
      <c r="O627" s="79"/>
      <c r="P627" s="79"/>
      <c r="S627" s="79"/>
      <c r="T627" s="79"/>
      <c r="W627" s="130"/>
      <c r="Y627" s="106"/>
    </row>
    <row r="628">
      <c r="C628" s="79"/>
      <c r="D628" s="79"/>
      <c r="J628" s="79"/>
      <c r="O628" s="79"/>
      <c r="P628" s="79"/>
      <c r="S628" s="79"/>
      <c r="T628" s="79"/>
      <c r="W628" s="130"/>
      <c r="Y628" s="106"/>
    </row>
    <row r="629">
      <c r="C629" s="79"/>
      <c r="D629" s="79"/>
      <c r="J629" s="79"/>
      <c r="O629" s="79"/>
      <c r="P629" s="79"/>
      <c r="S629" s="79"/>
      <c r="T629" s="79"/>
      <c r="W629" s="130"/>
      <c r="Y629" s="106"/>
    </row>
    <row r="630">
      <c r="C630" s="79"/>
      <c r="D630" s="79"/>
      <c r="J630" s="79"/>
      <c r="O630" s="79"/>
      <c r="P630" s="79"/>
      <c r="S630" s="79"/>
      <c r="T630" s="79"/>
      <c r="W630" s="130"/>
      <c r="Y630" s="106"/>
    </row>
    <row r="631">
      <c r="C631" s="79"/>
      <c r="D631" s="79"/>
      <c r="J631" s="79"/>
      <c r="O631" s="79"/>
      <c r="P631" s="79"/>
      <c r="S631" s="79"/>
      <c r="T631" s="79"/>
      <c r="W631" s="130"/>
      <c r="Y631" s="106"/>
    </row>
    <row r="632">
      <c r="C632" s="79"/>
      <c r="D632" s="79"/>
      <c r="J632" s="79"/>
      <c r="O632" s="79"/>
      <c r="P632" s="79"/>
      <c r="S632" s="79"/>
      <c r="T632" s="79"/>
      <c r="W632" s="130"/>
      <c r="Y632" s="106"/>
    </row>
    <row r="633">
      <c r="C633" s="79"/>
      <c r="D633" s="79"/>
      <c r="J633" s="79"/>
      <c r="O633" s="79"/>
      <c r="P633" s="79"/>
      <c r="S633" s="79"/>
      <c r="T633" s="79"/>
      <c r="W633" s="130"/>
      <c r="Y633" s="106"/>
    </row>
    <row r="634">
      <c r="C634" s="79"/>
      <c r="D634" s="79"/>
      <c r="J634" s="79"/>
      <c r="O634" s="79"/>
      <c r="P634" s="79"/>
      <c r="S634" s="79"/>
      <c r="T634" s="79"/>
      <c r="W634" s="130"/>
      <c r="Y634" s="106"/>
    </row>
    <row r="635">
      <c r="C635" s="79"/>
      <c r="D635" s="79"/>
      <c r="J635" s="79"/>
      <c r="O635" s="79"/>
      <c r="P635" s="79"/>
      <c r="S635" s="79"/>
      <c r="T635" s="79"/>
      <c r="W635" s="130"/>
      <c r="Y635" s="106"/>
    </row>
    <row r="636">
      <c r="C636" s="79"/>
      <c r="D636" s="79"/>
      <c r="J636" s="79"/>
      <c r="O636" s="79"/>
      <c r="P636" s="79"/>
      <c r="S636" s="79"/>
      <c r="T636" s="79"/>
      <c r="W636" s="130"/>
      <c r="Y636" s="106"/>
    </row>
    <row r="637">
      <c r="C637" s="79"/>
      <c r="D637" s="79"/>
      <c r="J637" s="79"/>
      <c r="O637" s="79"/>
      <c r="P637" s="79"/>
      <c r="S637" s="79"/>
      <c r="T637" s="79"/>
      <c r="W637" s="130"/>
      <c r="Y637" s="106"/>
    </row>
    <row r="638">
      <c r="C638" s="79"/>
      <c r="D638" s="79"/>
      <c r="J638" s="79"/>
      <c r="O638" s="79"/>
      <c r="P638" s="79"/>
      <c r="S638" s="79"/>
      <c r="T638" s="79"/>
      <c r="W638" s="130"/>
      <c r="Y638" s="106"/>
    </row>
    <row r="639">
      <c r="C639" s="79"/>
      <c r="D639" s="79"/>
      <c r="J639" s="79"/>
      <c r="O639" s="79"/>
      <c r="P639" s="79"/>
      <c r="S639" s="79"/>
      <c r="T639" s="79"/>
      <c r="W639" s="130"/>
      <c r="Y639" s="106"/>
    </row>
    <row r="640">
      <c r="C640" s="79"/>
      <c r="D640" s="79"/>
      <c r="J640" s="79"/>
      <c r="O640" s="79"/>
      <c r="P640" s="79"/>
      <c r="S640" s="79"/>
      <c r="T640" s="79"/>
      <c r="W640" s="130"/>
      <c r="Y640" s="106"/>
    </row>
    <row r="641">
      <c r="C641" s="79"/>
      <c r="D641" s="79"/>
      <c r="J641" s="79"/>
      <c r="O641" s="79"/>
      <c r="P641" s="79"/>
      <c r="S641" s="79"/>
      <c r="T641" s="79"/>
      <c r="W641" s="130"/>
      <c r="Y641" s="106"/>
    </row>
    <row r="642">
      <c r="C642" s="79"/>
      <c r="D642" s="79"/>
      <c r="J642" s="79"/>
      <c r="O642" s="79"/>
      <c r="P642" s="79"/>
      <c r="S642" s="79"/>
      <c r="T642" s="79"/>
      <c r="W642" s="130"/>
      <c r="Y642" s="106"/>
    </row>
    <row r="643">
      <c r="C643" s="79"/>
      <c r="D643" s="79"/>
      <c r="J643" s="79"/>
      <c r="O643" s="79"/>
      <c r="P643" s="79"/>
      <c r="S643" s="79"/>
      <c r="T643" s="79"/>
      <c r="W643" s="130"/>
      <c r="Y643" s="106"/>
    </row>
    <row r="644">
      <c r="C644" s="79"/>
      <c r="D644" s="79"/>
      <c r="J644" s="79"/>
      <c r="O644" s="79"/>
      <c r="P644" s="79"/>
      <c r="S644" s="79"/>
      <c r="T644" s="79"/>
      <c r="W644" s="130"/>
      <c r="Y644" s="106"/>
    </row>
    <row r="645">
      <c r="C645" s="79"/>
      <c r="D645" s="79"/>
      <c r="J645" s="79"/>
      <c r="O645" s="79"/>
      <c r="P645" s="79"/>
      <c r="S645" s="79"/>
      <c r="T645" s="79"/>
      <c r="W645" s="130"/>
      <c r="Y645" s="106"/>
    </row>
    <row r="646">
      <c r="C646" s="79"/>
      <c r="D646" s="79"/>
      <c r="J646" s="79"/>
      <c r="O646" s="79"/>
      <c r="P646" s="79"/>
      <c r="S646" s="79"/>
      <c r="T646" s="79"/>
      <c r="W646" s="130"/>
      <c r="Y646" s="106"/>
    </row>
    <row r="647">
      <c r="C647" s="79"/>
      <c r="D647" s="79"/>
      <c r="J647" s="79"/>
      <c r="O647" s="79"/>
      <c r="P647" s="79"/>
      <c r="S647" s="79"/>
      <c r="T647" s="79"/>
      <c r="W647" s="130"/>
      <c r="Y647" s="106"/>
    </row>
    <row r="648">
      <c r="C648" s="79"/>
      <c r="D648" s="79"/>
      <c r="J648" s="79"/>
      <c r="O648" s="79"/>
      <c r="P648" s="79"/>
      <c r="S648" s="79"/>
      <c r="T648" s="79"/>
      <c r="W648" s="130"/>
      <c r="Y648" s="106"/>
    </row>
    <row r="649">
      <c r="C649" s="79"/>
      <c r="D649" s="79"/>
      <c r="J649" s="79"/>
      <c r="O649" s="79"/>
      <c r="P649" s="79"/>
      <c r="S649" s="79"/>
      <c r="T649" s="79"/>
      <c r="W649" s="130"/>
      <c r="Y649" s="106"/>
    </row>
    <row r="650">
      <c r="C650" s="79"/>
      <c r="D650" s="79"/>
      <c r="J650" s="79"/>
      <c r="O650" s="79"/>
      <c r="P650" s="79"/>
      <c r="S650" s="79"/>
      <c r="T650" s="79"/>
      <c r="W650" s="130"/>
      <c r="Y650" s="106"/>
    </row>
    <row r="651">
      <c r="C651" s="79"/>
      <c r="D651" s="79"/>
      <c r="J651" s="79"/>
      <c r="O651" s="79"/>
      <c r="P651" s="79"/>
      <c r="S651" s="79"/>
      <c r="T651" s="79"/>
      <c r="W651" s="130"/>
      <c r="Y651" s="106"/>
    </row>
    <row r="652">
      <c r="C652" s="79"/>
      <c r="D652" s="79"/>
      <c r="J652" s="79"/>
      <c r="O652" s="79"/>
      <c r="P652" s="79"/>
      <c r="S652" s="79"/>
      <c r="T652" s="79"/>
      <c r="W652" s="130"/>
      <c r="Y652" s="106"/>
    </row>
    <row r="653">
      <c r="C653" s="79"/>
      <c r="D653" s="79"/>
      <c r="J653" s="79"/>
      <c r="O653" s="79"/>
      <c r="P653" s="79"/>
      <c r="S653" s="79"/>
      <c r="T653" s="79"/>
      <c r="W653" s="130"/>
      <c r="Y653" s="106"/>
    </row>
    <row r="654">
      <c r="C654" s="79"/>
      <c r="D654" s="79"/>
      <c r="J654" s="79"/>
      <c r="O654" s="79"/>
      <c r="P654" s="79"/>
      <c r="S654" s="79"/>
      <c r="T654" s="79"/>
      <c r="W654" s="130"/>
      <c r="Y654" s="106"/>
    </row>
    <row r="655">
      <c r="C655" s="79"/>
      <c r="D655" s="79"/>
      <c r="J655" s="79"/>
      <c r="O655" s="79"/>
      <c r="P655" s="79"/>
      <c r="S655" s="79"/>
      <c r="T655" s="79"/>
      <c r="W655" s="130"/>
      <c r="Y655" s="106"/>
    </row>
    <row r="656">
      <c r="C656" s="79"/>
      <c r="D656" s="79"/>
      <c r="J656" s="79"/>
      <c r="O656" s="79"/>
      <c r="P656" s="79"/>
      <c r="S656" s="79"/>
      <c r="T656" s="79"/>
      <c r="W656" s="130"/>
      <c r="Y656" s="106"/>
    </row>
    <row r="657">
      <c r="C657" s="79"/>
      <c r="D657" s="79"/>
      <c r="J657" s="79"/>
      <c r="O657" s="79"/>
      <c r="P657" s="79"/>
      <c r="S657" s="79"/>
      <c r="T657" s="79"/>
      <c r="W657" s="130"/>
      <c r="Y657" s="106"/>
    </row>
    <row r="658">
      <c r="C658" s="79"/>
      <c r="D658" s="79"/>
      <c r="J658" s="79"/>
      <c r="O658" s="79"/>
      <c r="P658" s="79"/>
      <c r="S658" s="79"/>
      <c r="T658" s="79"/>
      <c r="W658" s="130"/>
      <c r="Y658" s="106"/>
    </row>
    <row r="659">
      <c r="C659" s="79"/>
      <c r="D659" s="79"/>
      <c r="J659" s="79"/>
      <c r="O659" s="79"/>
      <c r="P659" s="79"/>
      <c r="S659" s="79"/>
      <c r="T659" s="79"/>
      <c r="W659" s="130"/>
      <c r="Y659" s="106"/>
    </row>
    <row r="660">
      <c r="C660" s="79"/>
      <c r="D660" s="79"/>
      <c r="J660" s="79"/>
      <c r="O660" s="79"/>
      <c r="P660" s="79"/>
      <c r="S660" s="79"/>
      <c r="T660" s="79"/>
      <c r="W660" s="130"/>
      <c r="Y660" s="106"/>
    </row>
    <row r="661">
      <c r="C661" s="79"/>
      <c r="D661" s="79"/>
      <c r="J661" s="79"/>
      <c r="O661" s="79"/>
      <c r="P661" s="79"/>
      <c r="S661" s="79"/>
      <c r="T661" s="79"/>
      <c r="W661" s="130"/>
      <c r="Y661" s="106"/>
    </row>
    <row r="662">
      <c r="C662" s="79"/>
      <c r="D662" s="79"/>
      <c r="J662" s="79"/>
      <c r="O662" s="79"/>
      <c r="P662" s="79"/>
      <c r="S662" s="79"/>
      <c r="T662" s="79"/>
      <c r="W662" s="130"/>
      <c r="Y662" s="106"/>
    </row>
    <row r="663">
      <c r="C663" s="79"/>
      <c r="D663" s="79"/>
      <c r="J663" s="79"/>
      <c r="O663" s="79"/>
      <c r="P663" s="79"/>
      <c r="S663" s="79"/>
      <c r="T663" s="79"/>
      <c r="W663" s="130"/>
      <c r="Y663" s="106"/>
    </row>
    <row r="664">
      <c r="C664" s="79"/>
      <c r="D664" s="79"/>
      <c r="J664" s="79"/>
      <c r="O664" s="79"/>
      <c r="P664" s="79"/>
      <c r="S664" s="79"/>
      <c r="T664" s="79"/>
      <c r="W664" s="130"/>
      <c r="Y664" s="106"/>
    </row>
    <row r="665">
      <c r="C665" s="79"/>
      <c r="D665" s="79"/>
      <c r="J665" s="79"/>
      <c r="O665" s="79"/>
      <c r="P665" s="79"/>
      <c r="S665" s="79"/>
      <c r="T665" s="79"/>
      <c r="W665" s="130"/>
      <c r="Y665" s="106"/>
    </row>
    <row r="666">
      <c r="C666" s="79"/>
      <c r="D666" s="79"/>
      <c r="J666" s="79"/>
      <c r="O666" s="79"/>
      <c r="P666" s="79"/>
      <c r="S666" s="79"/>
      <c r="T666" s="79"/>
      <c r="W666" s="130"/>
      <c r="Y666" s="106"/>
    </row>
    <row r="667">
      <c r="C667" s="79"/>
      <c r="D667" s="79"/>
      <c r="J667" s="79"/>
      <c r="O667" s="79"/>
      <c r="P667" s="79"/>
      <c r="S667" s="79"/>
      <c r="T667" s="79"/>
      <c r="W667" s="130"/>
      <c r="Y667" s="106"/>
    </row>
    <row r="668">
      <c r="C668" s="79"/>
      <c r="D668" s="79"/>
      <c r="J668" s="79"/>
      <c r="O668" s="79"/>
      <c r="P668" s="79"/>
      <c r="S668" s="79"/>
      <c r="T668" s="79"/>
      <c r="W668" s="130"/>
      <c r="Y668" s="106"/>
    </row>
    <row r="669">
      <c r="C669" s="79"/>
      <c r="D669" s="79"/>
      <c r="J669" s="79"/>
      <c r="O669" s="79"/>
      <c r="P669" s="79"/>
      <c r="S669" s="79"/>
      <c r="T669" s="79"/>
      <c r="W669" s="130"/>
      <c r="Y669" s="106"/>
    </row>
    <row r="670">
      <c r="C670" s="79"/>
      <c r="D670" s="79"/>
      <c r="J670" s="79"/>
      <c r="O670" s="79"/>
      <c r="P670" s="79"/>
      <c r="S670" s="79"/>
      <c r="T670" s="79"/>
      <c r="W670" s="130"/>
      <c r="Y670" s="106"/>
    </row>
    <row r="671">
      <c r="C671" s="79"/>
      <c r="D671" s="79"/>
      <c r="J671" s="79"/>
      <c r="O671" s="79"/>
      <c r="P671" s="79"/>
      <c r="S671" s="79"/>
      <c r="T671" s="79"/>
      <c r="W671" s="130"/>
      <c r="Y671" s="106"/>
    </row>
    <row r="672">
      <c r="C672" s="79"/>
      <c r="D672" s="79"/>
      <c r="J672" s="79"/>
      <c r="O672" s="79"/>
      <c r="P672" s="79"/>
      <c r="S672" s="79"/>
      <c r="T672" s="79"/>
      <c r="W672" s="130"/>
      <c r="Y672" s="106"/>
    </row>
    <row r="673">
      <c r="C673" s="79"/>
      <c r="D673" s="79"/>
      <c r="J673" s="79"/>
      <c r="O673" s="79"/>
      <c r="P673" s="79"/>
      <c r="S673" s="79"/>
      <c r="T673" s="79"/>
      <c r="W673" s="130"/>
      <c r="Y673" s="106"/>
    </row>
    <row r="674">
      <c r="C674" s="79"/>
      <c r="D674" s="79"/>
      <c r="J674" s="79"/>
      <c r="O674" s="79"/>
      <c r="P674" s="79"/>
      <c r="S674" s="79"/>
      <c r="T674" s="79"/>
      <c r="W674" s="130"/>
      <c r="Y674" s="106"/>
    </row>
    <row r="675">
      <c r="C675" s="79"/>
      <c r="D675" s="79"/>
      <c r="J675" s="79"/>
      <c r="O675" s="79"/>
      <c r="P675" s="79"/>
      <c r="S675" s="79"/>
      <c r="T675" s="79"/>
      <c r="W675" s="130"/>
      <c r="Y675" s="106"/>
    </row>
    <row r="676">
      <c r="C676" s="79"/>
      <c r="D676" s="79"/>
      <c r="J676" s="79"/>
      <c r="O676" s="79"/>
      <c r="P676" s="79"/>
      <c r="S676" s="79"/>
      <c r="T676" s="79"/>
      <c r="W676" s="130"/>
      <c r="Y676" s="106"/>
    </row>
    <row r="677">
      <c r="C677" s="79"/>
      <c r="D677" s="79"/>
      <c r="J677" s="79"/>
      <c r="O677" s="79"/>
      <c r="P677" s="79"/>
      <c r="S677" s="79"/>
      <c r="T677" s="79"/>
      <c r="W677" s="130"/>
      <c r="Y677" s="106"/>
    </row>
    <row r="678">
      <c r="C678" s="79"/>
      <c r="D678" s="79"/>
      <c r="J678" s="79"/>
      <c r="O678" s="79"/>
      <c r="P678" s="79"/>
      <c r="S678" s="79"/>
      <c r="T678" s="79"/>
      <c r="W678" s="130"/>
      <c r="Y678" s="106"/>
    </row>
    <row r="679">
      <c r="C679" s="79"/>
      <c r="D679" s="79"/>
      <c r="J679" s="79"/>
      <c r="O679" s="79"/>
      <c r="P679" s="79"/>
      <c r="S679" s="79"/>
      <c r="T679" s="79"/>
      <c r="W679" s="130"/>
      <c r="Y679" s="106"/>
    </row>
    <row r="680">
      <c r="C680" s="79"/>
      <c r="D680" s="79"/>
      <c r="J680" s="79"/>
      <c r="O680" s="79"/>
      <c r="P680" s="79"/>
      <c r="S680" s="79"/>
      <c r="T680" s="79"/>
      <c r="W680" s="130"/>
      <c r="Y680" s="106"/>
    </row>
    <row r="681">
      <c r="C681" s="79"/>
      <c r="D681" s="79"/>
      <c r="J681" s="79"/>
      <c r="O681" s="79"/>
      <c r="P681" s="79"/>
      <c r="S681" s="79"/>
      <c r="T681" s="79"/>
      <c r="W681" s="130"/>
      <c r="Y681" s="106"/>
    </row>
    <row r="682">
      <c r="C682" s="79"/>
      <c r="D682" s="79"/>
      <c r="J682" s="79"/>
      <c r="O682" s="79"/>
      <c r="P682" s="79"/>
      <c r="S682" s="79"/>
      <c r="T682" s="79"/>
      <c r="W682" s="130"/>
      <c r="Y682" s="106"/>
    </row>
    <row r="683">
      <c r="C683" s="79"/>
      <c r="D683" s="79"/>
      <c r="J683" s="79"/>
      <c r="O683" s="79"/>
      <c r="P683" s="79"/>
      <c r="S683" s="79"/>
      <c r="T683" s="79"/>
      <c r="W683" s="130"/>
      <c r="Y683" s="106"/>
    </row>
    <row r="684">
      <c r="C684" s="79"/>
      <c r="D684" s="79"/>
      <c r="J684" s="79"/>
      <c r="O684" s="79"/>
      <c r="P684" s="79"/>
      <c r="S684" s="79"/>
      <c r="T684" s="79"/>
      <c r="W684" s="130"/>
      <c r="Y684" s="106"/>
    </row>
    <row r="685">
      <c r="C685" s="79"/>
      <c r="D685" s="79"/>
      <c r="J685" s="79"/>
      <c r="O685" s="79"/>
      <c r="P685" s="79"/>
      <c r="S685" s="79"/>
      <c r="T685" s="79"/>
      <c r="W685" s="130"/>
      <c r="Y685" s="106"/>
    </row>
    <row r="686">
      <c r="C686" s="79"/>
      <c r="D686" s="79"/>
      <c r="J686" s="79"/>
      <c r="O686" s="79"/>
      <c r="P686" s="79"/>
      <c r="S686" s="79"/>
      <c r="T686" s="79"/>
      <c r="W686" s="130"/>
      <c r="Y686" s="106"/>
    </row>
    <row r="687">
      <c r="C687" s="79"/>
      <c r="D687" s="79"/>
      <c r="J687" s="79"/>
      <c r="O687" s="79"/>
      <c r="P687" s="79"/>
      <c r="S687" s="79"/>
      <c r="T687" s="79"/>
      <c r="W687" s="130"/>
      <c r="Y687" s="106"/>
    </row>
    <row r="688">
      <c r="C688" s="79"/>
      <c r="D688" s="79"/>
      <c r="J688" s="79"/>
      <c r="O688" s="79"/>
      <c r="P688" s="79"/>
      <c r="S688" s="79"/>
      <c r="T688" s="79"/>
      <c r="W688" s="130"/>
      <c r="Y688" s="106"/>
    </row>
    <row r="689">
      <c r="C689" s="79"/>
      <c r="D689" s="79"/>
      <c r="J689" s="79"/>
      <c r="O689" s="79"/>
      <c r="P689" s="79"/>
      <c r="S689" s="79"/>
      <c r="T689" s="79"/>
      <c r="W689" s="130"/>
      <c r="Y689" s="106"/>
    </row>
    <row r="690">
      <c r="C690" s="79"/>
      <c r="D690" s="79"/>
      <c r="J690" s="79"/>
      <c r="O690" s="79"/>
      <c r="P690" s="79"/>
      <c r="S690" s="79"/>
      <c r="T690" s="79"/>
      <c r="W690" s="130"/>
      <c r="Y690" s="106"/>
    </row>
    <row r="691">
      <c r="C691" s="79"/>
      <c r="D691" s="79"/>
      <c r="J691" s="79"/>
      <c r="O691" s="79"/>
      <c r="P691" s="79"/>
      <c r="S691" s="79"/>
      <c r="T691" s="79"/>
      <c r="W691" s="130"/>
      <c r="Y691" s="106"/>
    </row>
    <row r="692">
      <c r="C692" s="79"/>
      <c r="D692" s="79"/>
      <c r="J692" s="79"/>
      <c r="O692" s="79"/>
      <c r="P692" s="79"/>
      <c r="S692" s="79"/>
      <c r="T692" s="79"/>
      <c r="W692" s="130"/>
      <c r="Y692" s="106"/>
    </row>
    <row r="693">
      <c r="C693" s="79"/>
      <c r="D693" s="79"/>
      <c r="J693" s="79"/>
      <c r="O693" s="79"/>
      <c r="P693" s="79"/>
      <c r="S693" s="79"/>
      <c r="T693" s="79"/>
      <c r="W693" s="130"/>
      <c r="Y693" s="106"/>
    </row>
    <row r="694">
      <c r="C694" s="79"/>
      <c r="D694" s="79"/>
      <c r="J694" s="79"/>
      <c r="O694" s="79"/>
      <c r="P694" s="79"/>
      <c r="S694" s="79"/>
      <c r="T694" s="79"/>
      <c r="W694" s="130"/>
      <c r="Y694" s="106"/>
    </row>
    <row r="695">
      <c r="C695" s="79"/>
      <c r="D695" s="79"/>
      <c r="J695" s="79"/>
      <c r="O695" s="79"/>
      <c r="P695" s="79"/>
      <c r="S695" s="79"/>
      <c r="T695" s="79"/>
      <c r="W695" s="130"/>
      <c r="Y695" s="106"/>
    </row>
    <row r="696">
      <c r="C696" s="79"/>
      <c r="D696" s="79"/>
      <c r="J696" s="79"/>
      <c r="O696" s="79"/>
      <c r="P696" s="79"/>
      <c r="S696" s="79"/>
      <c r="T696" s="79"/>
      <c r="W696" s="130"/>
      <c r="Y696" s="106"/>
    </row>
    <row r="697">
      <c r="C697" s="79"/>
      <c r="D697" s="79"/>
      <c r="J697" s="79"/>
      <c r="O697" s="79"/>
      <c r="P697" s="79"/>
      <c r="S697" s="79"/>
      <c r="T697" s="79"/>
      <c r="W697" s="130"/>
      <c r="Y697" s="106"/>
    </row>
    <row r="698">
      <c r="C698" s="79"/>
      <c r="D698" s="79"/>
      <c r="J698" s="79"/>
      <c r="O698" s="79"/>
      <c r="P698" s="79"/>
      <c r="S698" s="79"/>
      <c r="T698" s="79"/>
      <c r="W698" s="130"/>
      <c r="Y698" s="106"/>
    </row>
    <row r="699">
      <c r="C699" s="79"/>
      <c r="D699" s="79"/>
      <c r="J699" s="79"/>
      <c r="O699" s="79"/>
      <c r="P699" s="79"/>
      <c r="S699" s="79"/>
      <c r="T699" s="79"/>
      <c r="W699" s="130"/>
      <c r="Y699" s="106"/>
    </row>
    <row r="700">
      <c r="C700" s="79"/>
      <c r="D700" s="79"/>
      <c r="J700" s="79"/>
      <c r="O700" s="79"/>
      <c r="P700" s="79"/>
      <c r="S700" s="79"/>
      <c r="T700" s="79"/>
      <c r="W700" s="130"/>
      <c r="Y700" s="106"/>
    </row>
    <row r="701">
      <c r="C701" s="79"/>
      <c r="D701" s="79"/>
      <c r="J701" s="79"/>
      <c r="O701" s="79"/>
      <c r="P701" s="79"/>
      <c r="S701" s="79"/>
      <c r="T701" s="79"/>
      <c r="W701" s="130"/>
      <c r="Y701" s="106"/>
    </row>
    <row r="702">
      <c r="C702" s="79"/>
      <c r="D702" s="79"/>
      <c r="J702" s="79"/>
      <c r="O702" s="79"/>
      <c r="P702" s="79"/>
      <c r="S702" s="79"/>
      <c r="T702" s="79"/>
      <c r="W702" s="130"/>
      <c r="Y702" s="106"/>
    </row>
    <row r="703">
      <c r="C703" s="79"/>
      <c r="D703" s="79"/>
      <c r="J703" s="79"/>
      <c r="O703" s="79"/>
      <c r="P703" s="79"/>
      <c r="S703" s="79"/>
      <c r="T703" s="79"/>
      <c r="W703" s="130"/>
      <c r="Y703" s="106"/>
    </row>
    <row r="704">
      <c r="C704" s="79"/>
      <c r="D704" s="79"/>
      <c r="J704" s="79"/>
      <c r="O704" s="79"/>
      <c r="P704" s="79"/>
      <c r="S704" s="79"/>
      <c r="T704" s="79"/>
      <c r="W704" s="130"/>
      <c r="Y704" s="106"/>
    </row>
    <row r="705">
      <c r="C705" s="79"/>
      <c r="D705" s="79"/>
      <c r="J705" s="79"/>
      <c r="O705" s="79"/>
      <c r="P705" s="79"/>
      <c r="S705" s="79"/>
      <c r="T705" s="79"/>
      <c r="W705" s="130"/>
      <c r="Y705" s="106"/>
    </row>
    <row r="706">
      <c r="C706" s="79"/>
      <c r="D706" s="79"/>
      <c r="J706" s="79"/>
      <c r="O706" s="79"/>
      <c r="P706" s="79"/>
      <c r="S706" s="79"/>
      <c r="T706" s="79"/>
      <c r="W706" s="130"/>
      <c r="Y706" s="106"/>
    </row>
    <row r="707">
      <c r="C707" s="79"/>
      <c r="D707" s="79"/>
      <c r="J707" s="79"/>
      <c r="O707" s="79"/>
      <c r="P707" s="79"/>
      <c r="S707" s="79"/>
      <c r="T707" s="79"/>
      <c r="W707" s="130"/>
      <c r="Y707" s="106"/>
    </row>
    <row r="708">
      <c r="C708" s="79"/>
      <c r="D708" s="79"/>
      <c r="J708" s="79"/>
      <c r="O708" s="79"/>
      <c r="P708" s="79"/>
      <c r="S708" s="79"/>
      <c r="T708" s="79"/>
      <c r="W708" s="130"/>
      <c r="Y708" s="106"/>
    </row>
    <row r="709">
      <c r="C709" s="79"/>
      <c r="D709" s="79"/>
      <c r="J709" s="79"/>
      <c r="O709" s="79"/>
      <c r="P709" s="79"/>
      <c r="S709" s="79"/>
      <c r="T709" s="79"/>
      <c r="W709" s="130"/>
      <c r="Y709" s="106"/>
    </row>
    <row r="710">
      <c r="C710" s="79"/>
      <c r="D710" s="79"/>
      <c r="J710" s="79"/>
      <c r="O710" s="79"/>
      <c r="P710" s="79"/>
      <c r="S710" s="79"/>
      <c r="T710" s="79"/>
      <c r="W710" s="130"/>
      <c r="Y710" s="106"/>
    </row>
    <row r="711">
      <c r="C711" s="79"/>
      <c r="D711" s="79"/>
      <c r="J711" s="79"/>
      <c r="O711" s="79"/>
      <c r="P711" s="79"/>
      <c r="S711" s="79"/>
      <c r="T711" s="79"/>
      <c r="W711" s="130"/>
      <c r="Y711" s="106"/>
    </row>
    <row r="712">
      <c r="C712" s="79"/>
      <c r="D712" s="79"/>
      <c r="J712" s="79"/>
      <c r="O712" s="79"/>
      <c r="P712" s="79"/>
      <c r="S712" s="79"/>
      <c r="T712" s="79"/>
      <c r="W712" s="130"/>
      <c r="Y712" s="106"/>
    </row>
    <row r="713">
      <c r="C713" s="79"/>
      <c r="D713" s="79"/>
      <c r="J713" s="79"/>
      <c r="O713" s="79"/>
      <c r="P713" s="79"/>
      <c r="S713" s="79"/>
      <c r="T713" s="79"/>
      <c r="W713" s="130"/>
      <c r="Y713" s="106"/>
    </row>
    <row r="714">
      <c r="C714" s="79"/>
      <c r="D714" s="79"/>
      <c r="J714" s="79"/>
      <c r="O714" s="79"/>
      <c r="P714" s="79"/>
      <c r="S714" s="79"/>
      <c r="T714" s="79"/>
      <c r="W714" s="130"/>
      <c r="Y714" s="106"/>
    </row>
    <row r="715">
      <c r="C715" s="79"/>
      <c r="D715" s="79"/>
      <c r="J715" s="79"/>
      <c r="O715" s="79"/>
      <c r="P715" s="79"/>
      <c r="S715" s="79"/>
      <c r="T715" s="79"/>
      <c r="W715" s="130"/>
      <c r="Y715" s="106"/>
    </row>
    <row r="716">
      <c r="C716" s="79"/>
      <c r="D716" s="79"/>
      <c r="J716" s="79"/>
      <c r="O716" s="79"/>
      <c r="P716" s="79"/>
      <c r="S716" s="79"/>
      <c r="T716" s="79"/>
      <c r="W716" s="130"/>
      <c r="Y716" s="106"/>
    </row>
    <row r="717">
      <c r="C717" s="79"/>
      <c r="D717" s="79"/>
      <c r="J717" s="79"/>
      <c r="O717" s="79"/>
      <c r="P717" s="79"/>
      <c r="S717" s="79"/>
      <c r="T717" s="79"/>
      <c r="W717" s="130"/>
      <c r="Y717" s="106"/>
    </row>
    <row r="718">
      <c r="C718" s="79"/>
      <c r="D718" s="79"/>
      <c r="J718" s="79"/>
      <c r="O718" s="79"/>
      <c r="P718" s="79"/>
      <c r="S718" s="79"/>
      <c r="T718" s="79"/>
      <c r="W718" s="130"/>
      <c r="Y718" s="106"/>
    </row>
    <row r="719">
      <c r="C719" s="79"/>
      <c r="D719" s="79"/>
      <c r="J719" s="79"/>
      <c r="O719" s="79"/>
      <c r="P719" s="79"/>
      <c r="S719" s="79"/>
      <c r="T719" s="79"/>
      <c r="W719" s="130"/>
      <c r="Y719" s="106"/>
    </row>
    <row r="720">
      <c r="C720" s="79"/>
      <c r="D720" s="79"/>
      <c r="J720" s="79"/>
      <c r="O720" s="79"/>
      <c r="P720" s="79"/>
      <c r="S720" s="79"/>
      <c r="T720" s="79"/>
      <c r="W720" s="130"/>
      <c r="Y720" s="106"/>
    </row>
    <row r="721">
      <c r="C721" s="79"/>
      <c r="D721" s="79"/>
      <c r="J721" s="79"/>
      <c r="O721" s="79"/>
      <c r="P721" s="79"/>
      <c r="S721" s="79"/>
      <c r="T721" s="79"/>
      <c r="W721" s="130"/>
      <c r="Y721" s="106"/>
    </row>
    <row r="722">
      <c r="C722" s="79"/>
      <c r="D722" s="79"/>
      <c r="J722" s="79"/>
      <c r="O722" s="79"/>
      <c r="P722" s="79"/>
      <c r="S722" s="79"/>
      <c r="T722" s="79"/>
      <c r="W722" s="130"/>
      <c r="Y722" s="106"/>
    </row>
    <row r="723">
      <c r="C723" s="79"/>
      <c r="D723" s="79"/>
      <c r="J723" s="79"/>
      <c r="O723" s="79"/>
      <c r="P723" s="79"/>
      <c r="S723" s="79"/>
      <c r="T723" s="79"/>
      <c r="W723" s="130"/>
      <c r="Y723" s="106"/>
    </row>
    <row r="724">
      <c r="C724" s="79"/>
      <c r="D724" s="79"/>
      <c r="J724" s="79"/>
      <c r="O724" s="79"/>
      <c r="P724" s="79"/>
      <c r="S724" s="79"/>
      <c r="T724" s="79"/>
      <c r="W724" s="130"/>
      <c r="Y724" s="106"/>
    </row>
    <row r="725">
      <c r="C725" s="79"/>
      <c r="D725" s="79"/>
      <c r="J725" s="79"/>
      <c r="O725" s="79"/>
      <c r="P725" s="79"/>
      <c r="S725" s="79"/>
      <c r="T725" s="79"/>
      <c r="W725" s="130"/>
      <c r="Y725" s="106"/>
    </row>
    <row r="726">
      <c r="C726" s="79"/>
      <c r="D726" s="79"/>
      <c r="J726" s="79"/>
      <c r="O726" s="79"/>
      <c r="P726" s="79"/>
      <c r="S726" s="79"/>
      <c r="T726" s="79"/>
      <c r="W726" s="130"/>
      <c r="Y726" s="106"/>
    </row>
    <row r="727">
      <c r="C727" s="79"/>
      <c r="D727" s="79"/>
      <c r="J727" s="79"/>
      <c r="O727" s="79"/>
      <c r="P727" s="79"/>
      <c r="S727" s="79"/>
      <c r="T727" s="79"/>
      <c r="W727" s="130"/>
      <c r="Y727" s="106"/>
    </row>
    <row r="728">
      <c r="C728" s="79"/>
      <c r="D728" s="79"/>
      <c r="J728" s="79"/>
      <c r="O728" s="79"/>
      <c r="P728" s="79"/>
      <c r="S728" s="79"/>
      <c r="T728" s="79"/>
      <c r="W728" s="130"/>
      <c r="Y728" s="106"/>
    </row>
    <row r="729">
      <c r="C729" s="79"/>
      <c r="D729" s="79"/>
      <c r="J729" s="79"/>
      <c r="O729" s="79"/>
      <c r="P729" s="79"/>
      <c r="S729" s="79"/>
      <c r="T729" s="79"/>
      <c r="W729" s="130"/>
      <c r="Y729" s="106"/>
    </row>
    <row r="730">
      <c r="C730" s="79"/>
      <c r="D730" s="79"/>
      <c r="J730" s="79"/>
      <c r="O730" s="79"/>
      <c r="P730" s="79"/>
      <c r="S730" s="79"/>
      <c r="T730" s="79"/>
      <c r="W730" s="130"/>
      <c r="Y730" s="106"/>
    </row>
    <row r="731">
      <c r="C731" s="79"/>
      <c r="D731" s="79"/>
      <c r="J731" s="79"/>
      <c r="O731" s="79"/>
      <c r="P731" s="79"/>
      <c r="S731" s="79"/>
      <c r="T731" s="79"/>
      <c r="W731" s="130"/>
      <c r="Y731" s="106"/>
    </row>
    <row r="732">
      <c r="C732" s="79"/>
      <c r="D732" s="79"/>
      <c r="J732" s="79"/>
      <c r="O732" s="79"/>
      <c r="P732" s="79"/>
      <c r="S732" s="79"/>
      <c r="T732" s="79"/>
      <c r="W732" s="130"/>
      <c r="Y732" s="106"/>
    </row>
    <row r="733">
      <c r="C733" s="79"/>
      <c r="D733" s="79"/>
      <c r="J733" s="79"/>
      <c r="O733" s="79"/>
      <c r="P733" s="79"/>
      <c r="S733" s="79"/>
      <c r="T733" s="79"/>
      <c r="W733" s="130"/>
      <c r="Y733" s="106"/>
    </row>
    <row r="734">
      <c r="C734" s="79"/>
      <c r="D734" s="79"/>
      <c r="J734" s="79"/>
      <c r="O734" s="79"/>
      <c r="P734" s="79"/>
      <c r="S734" s="79"/>
      <c r="T734" s="79"/>
      <c r="W734" s="130"/>
      <c r="Y734" s="106"/>
    </row>
    <row r="735">
      <c r="C735" s="79"/>
      <c r="D735" s="79"/>
      <c r="J735" s="79"/>
      <c r="O735" s="79"/>
      <c r="P735" s="79"/>
      <c r="S735" s="79"/>
      <c r="T735" s="79"/>
      <c r="W735" s="130"/>
      <c r="Y735" s="106"/>
    </row>
    <row r="736">
      <c r="C736" s="79"/>
      <c r="D736" s="79"/>
      <c r="J736" s="79"/>
      <c r="O736" s="79"/>
      <c r="P736" s="79"/>
      <c r="S736" s="79"/>
      <c r="T736" s="79"/>
      <c r="W736" s="130"/>
      <c r="Y736" s="106"/>
    </row>
    <row r="737">
      <c r="C737" s="79"/>
      <c r="D737" s="79"/>
      <c r="J737" s="79"/>
      <c r="O737" s="79"/>
      <c r="P737" s="79"/>
      <c r="S737" s="79"/>
      <c r="T737" s="79"/>
      <c r="W737" s="130"/>
      <c r="Y737" s="106"/>
    </row>
    <row r="738">
      <c r="C738" s="79"/>
      <c r="D738" s="79"/>
      <c r="J738" s="79"/>
      <c r="O738" s="79"/>
      <c r="P738" s="79"/>
      <c r="S738" s="79"/>
      <c r="T738" s="79"/>
      <c r="W738" s="130"/>
      <c r="Y738" s="106"/>
    </row>
    <row r="739">
      <c r="C739" s="79"/>
      <c r="D739" s="79"/>
      <c r="J739" s="79"/>
      <c r="O739" s="79"/>
      <c r="P739" s="79"/>
      <c r="S739" s="79"/>
      <c r="T739" s="79"/>
      <c r="W739" s="130"/>
      <c r="Y739" s="106"/>
    </row>
    <row r="740">
      <c r="C740" s="79"/>
      <c r="D740" s="79"/>
      <c r="J740" s="79"/>
      <c r="O740" s="79"/>
      <c r="P740" s="79"/>
      <c r="S740" s="79"/>
      <c r="T740" s="79"/>
      <c r="W740" s="130"/>
      <c r="Y740" s="106"/>
    </row>
    <row r="741">
      <c r="C741" s="79"/>
      <c r="D741" s="79"/>
      <c r="J741" s="79"/>
      <c r="O741" s="79"/>
      <c r="P741" s="79"/>
      <c r="S741" s="79"/>
      <c r="T741" s="79"/>
      <c r="W741" s="130"/>
      <c r="Y741" s="106"/>
    </row>
    <row r="742">
      <c r="C742" s="79"/>
      <c r="D742" s="79"/>
      <c r="J742" s="79"/>
      <c r="O742" s="79"/>
      <c r="P742" s="79"/>
      <c r="S742" s="79"/>
      <c r="T742" s="79"/>
      <c r="W742" s="130"/>
      <c r="Y742" s="106"/>
    </row>
    <row r="743">
      <c r="C743" s="79"/>
      <c r="D743" s="79"/>
      <c r="J743" s="79"/>
      <c r="O743" s="79"/>
      <c r="P743" s="79"/>
      <c r="S743" s="79"/>
      <c r="T743" s="79"/>
      <c r="W743" s="130"/>
      <c r="Y743" s="106"/>
    </row>
    <row r="744">
      <c r="C744" s="79"/>
      <c r="D744" s="79"/>
      <c r="J744" s="79"/>
      <c r="O744" s="79"/>
      <c r="P744" s="79"/>
      <c r="S744" s="79"/>
      <c r="T744" s="79"/>
      <c r="W744" s="130"/>
      <c r="Y744" s="106"/>
    </row>
    <row r="745">
      <c r="C745" s="79"/>
      <c r="D745" s="79"/>
      <c r="J745" s="79"/>
      <c r="O745" s="79"/>
      <c r="P745" s="79"/>
      <c r="S745" s="79"/>
      <c r="T745" s="79"/>
      <c r="W745" s="130"/>
      <c r="Y745" s="106"/>
    </row>
    <row r="746">
      <c r="C746" s="79"/>
      <c r="D746" s="79"/>
      <c r="J746" s="79"/>
      <c r="O746" s="79"/>
      <c r="P746" s="79"/>
      <c r="S746" s="79"/>
      <c r="T746" s="79"/>
      <c r="W746" s="130"/>
      <c r="Y746" s="106"/>
    </row>
    <row r="747">
      <c r="C747" s="79"/>
      <c r="D747" s="79"/>
      <c r="J747" s="79"/>
      <c r="O747" s="79"/>
      <c r="P747" s="79"/>
      <c r="S747" s="79"/>
      <c r="T747" s="79"/>
      <c r="W747" s="130"/>
      <c r="Y747" s="106"/>
    </row>
    <row r="748">
      <c r="C748" s="79"/>
      <c r="D748" s="79"/>
      <c r="J748" s="79"/>
      <c r="O748" s="79"/>
      <c r="P748" s="79"/>
      <c r="S748" s="79"/>
      <c r="T748" s="79"/>
      <c r="W748" s="130"/>
      <c r="Y748" s="106"/>
    </row>
    <row r="749">
      <c r="C749" s="79"/>
      <c r="D749" s="79"/>
      <c r="J749" s="79"/>
      <c r="O749" s="79"/>
      <c r="P749" s="79"/>
      <c r="S749" s="79"/>
      <c r="T749" s="79"/>
      <c r="W749" s="130"/>
      <c r="Y749" s="106"/>
    </row>
    <row r="750">
      <c r="C750" s="79"/>
      <c r="D750" s="79"/>
      <c r="J750" s="79"/>
      <c r="O750" s="79"/>
      <c r="P750" s="79"/>
      <c r="S750" s="79"/>
      <c r="T750" s="79"/>
      <c r="W750" s="130"/>
      <c r="Y750" s="106"/>
    </row>
    <row r="751">
      <c r="C751" s="79"/>
      <c r="D751" s="79"/>
      <c r="J751" s="79"/>
      <c r="O751" s="79"/>
      <c r="P751" s="79"/>
      <c r="S751" s="79"/>
      <c r="T751" s="79"/>
      <c r="W751" s="130"/>
      <c r="Y751" s="106"/>
    </row>
    <row r="752">
      <c r="C752" s="79"/>
      <c r="D752" s="79"/>
      <c r="J752" s="79"/>
      <c r="O752" s="79"/>
      <c r="P752" s="79"/>
      <c r="S752" s="79"/>
      <c r="T752" s="79"/>
      <c r="W752" s="130"/>
      <c r="Y752" s="106"/>
    </row>
    <row r="753">
      <c r="C753" s="79"/>
      <c r="D753" s="79"/>
      <c r="J753" s="79"/>
      <c r="O753" s="79"/>
      <c r="P753" s="79"/>
      <c r="S753" s="79"/>
      <c r="T753" s="79"/>
      <c r="W753" s="130"/>
      <c r="Y753" s="106"/>
    </row>
    <row r="754">
      <c r="C754" s="79"/>
      <c r="D754" s="79"/>
      <c r="J754" s="79"/>
      <c r="O754" s="79"/>
      <c r="P754" s="79"/>
      <c r="S754" s="79"/>
      <c r="T754" s="79"/>
      <c r="W754" s="130"/>
      <c r="Y754" s="106"/>
    </row>
    <row r="755">
      <c r="C755" s="79"/>
      <c r="D755" s="79"/>
      <c r="J755" s="79"/>
      <c r="O755" s="79"/>
      <c r="P755" s="79"/>
      <c r="S755" s="79"/>
      <c r="T755" s="79"/>
      <c r="W755" s="130"/>
      <c r="Y755" s="106"/>
    </row>
    <row r="756">
      <c r="C756" s="79"/>
      <c r="D756" s="79"/>
      <c r="J756" s="79"/>
      <c r="O756" s="79"/>
      <c r="P756" s="79"/>
      <c r="S756" s="79"/>
      <c r="T756" s="79"/>
      <c r="W756" s="130"/>
      <c r="Y756" s="106"/>
    </row>
    <row r="757">
      <c r="C757" s="79"/>
      <c r="D757" s="79"/>
      <c r="J757" s="79"/>
      <c r="O757" s="79"/>
      <c r="P757" s="79"/>
      <c r="S757" s="79"/>
      <c r="T757" s="79"/>
      <c r="W757" s="130"/>
      <c r="Y757" s="106"/>
    </row>
    <row r="758">
      <c r="C758" s="79"/>
      <c r="D758" s="79"/>
      <c r="J758" s="79"/>
      <c r="O758" s="79"/>
      <c r="P758" s="79"/>
      <c r="S758" s="79"/>
      <c r="T758" s="79"/>
      <c r="W758" s="130"/>
      <c r="Y758" s="106"/>
    </row>
    <row r="759">
      <c r="C759" s="79"/>
      <c r="D759" s="79"/>
      <c r="J759" s="79"/>
      <c r="O759" s="79"/>
      <c r="P759" s="79"/>
      <c r="S759" s="79"/>
      <c r="T759" s="79"/>
      <c r="W759" s="130"/>
      <c r="Y759" s="106"/>
    </row>
    <row r="760">
      <c r="C760" s="79"/>
      <c r="D760" s="79"/>
      <c r="J760" s="79"/>
      <c r="O760" s="79"/>
      <c r="P760" s="79"/>
      <c r="S760" s="79"/>
      <c r="T760" s="79"/>
      <c r="W760" s="130"/>
      <c r="Y760" s="106"/>
    </row>
    <row r="761">
      <c r="C761" s="79"/>
      <c r="D761" s="79"/>
      <c r="J761" s="79"/>
      <c r="O761" s="79"/>
      <c r="P761" s="79"/>
      <c r="S761" s="79"/>
      <c r="T761" s="79"/>
      <c r="W761" s="130"/>
      <c r="Y761" s="106"/>
    </row>
    <row r="762">
      <c r="C762" s="79"/>
      <c r="D762" s="79"/>
      <c r="J762" s="79"/>
      <c r="O762" s="79"/>
      <c r="P762" s="79"/>
      <c r="S762" s="79"/>
      <c r="T762" s="79"/>
      <c r="W762" s="130"/>
      <c r="Y762" s="106"/>
    </row>
    <row r="763">
      <c r="C763" s="79"/>
      <c r="D763" s="79"/>
      <c r="J763" s="79"/>
      <c r="O763" s="79"/>
      <c r="P763" s="79"/>
      <c r="S763" s="79"/>
      <c r="T763" s="79"/>
      <c r="W763" s="130"/>
      <c r="Y763" s="106"/>
    </row>
    <row r="764">
      <c r="C764" s="79"/>
      <c r="D764" s="79"/>
      <c r="J764" s="79"/>
      <c r="O764" s="79"/>
      <c r="P764" s="79"/>
      <c r="S764" s="79"/>
      <c r="T764" s="79"/>
      <c r="W764" s="130"/>
      <c r="Y764" s="106"/>
    </row>
    <row r="765">
      <c r="C765" s="79"/>
      <c r="D765" s="79"/>
      <c r="J765" s="79"/>
      <c r="O765" s="79"/>
      <c r="P765" s="79"/>
      <c r="S765" s="79"/>
      <c r="T765" s="79"/>
      <c r="W765" s="130"/>
      <c r="Y765" s="106"/>
    </row>
    <row r="766">
      <c r="C766" s="79"/>
      <c r="D766" s="79"/>
      <c r="J766" s="79"/>
      <c r="O766" s="79"/>
      <c r="P766" s="79"/>
      <c r="S766" s="79"/>
      <c r="T766" s="79"/>
      <c r="W766" s="130"/>
      <c r="Y766" s="106"/>
    </row>
    <row r="767">
      <c r="C767" s="79"/>
      <c r="D767" s="79"/>
      <c r="J767" s="79"/>
      <c r="O767" s="79"/>
      <c r="P767" s="79"/>
      <c r="S767" s="79"/>
      <c r="T767" s="79"/>
      <c r="W767" s="130"/>
      <c r="Y767" s="106"/>
    </row>
    <row r="768">
      <c r="C768" s="79"/>
      <c r="D768" s="79"/>
      <c r="J768" s="79"/>
      <c r="O768" s="79"/>
      <c r="P768" s="79"/>
      <c r="S768" s="79"/>
      <c r="T768" s="79"/>
      <c r="W768" s="130"/>
      <c r="Y768" s="106"/>
    </row>
    <row r="769">
      <c r="C769" s="79"/>
      <c r="D769" s="79"/>
      <c r="J769" s="79"/>
      <c r="O769" s="79"/>
      <c r="P769" s="79"/>
      <c r="S769" s="79"/>
      <c r="T769" s="79"/>
      <c r="W769" s="130"/>
      <c r="Y769" s="106"/>
    </row>
    <row r="770">
      <c r="C770" s="79"/>
      <c r="D770" s="79"/>
      <c r="J770" s="79"/>
      <c r="O770" s="79"/>
      <c r="P770" s="79"/>
      <c r="S770" s="79"/>
      <c r="T770" s="79"/>
      <c r="W770" s="130"/>
      <c r="Y770" s="106"/>
    </row>
    <row r="771">
      <c r="C771" s="79"/>
      <c r="D771" s="79"/>
      <c r="J771" s="79"/>
      <c r="O771" s="79"/>
      <c r="P771" s="79"/>
      <c r="S771" s="79"/>
      <c r="T771" s="79"/>
      <c r="W771" s="130"/>
      <c r="Y771" s="106"/>
    </row>
    <row r="772">
      <c r="C772" s="79"/>
      <c r="D772" s="79"/>
      <c r="J772" s="79"/>
      <c r="O772" s="79"/>
      <c r="P772" s="79"/>
      <c r="S772" s="79"/>
      <c r="T772" s="79"/>
      <c r="W772" s="130"/>
      <c r="Y772" s="106"/>
    </row>
    <row r="773">
      <c r="C773" s="79"/>
      <c r="D773" s="79"/>
      <c r="J773" s="79"/>
      <c r="O773" s="79"/>
      <c r="P773" s="79"/>
      <c r="S773" s="79"/>
      <c r="T773" s="79"/>
      <c r="W773" s="130"/>
      <c r="Y773" s="106"/>
    </row>
    <row r="774">
      <c r="C774" s="79"/>
      <c r="D774" s="79"/>
      <c r="J774" s="79"/>
      <c r="O774" s="79"/>
      <c r="P774" s="79"/>
      <c r="S774" s="79"/>
      <c r="T774" s="79"/>
      <c r="W774" s="130"/>
      <c r="Y774" s="106"/>
    </row>
    <row r="775">
      <c r="C775" s="79"/>
      <c r="D775" s="79"/>
      <c r="J775" s="79"/>
      <c r="O775" s="79"/>
      <c r="P775" s="79"/>
      <c r="S775" s="79"/>
      <c r="T775" s="79"/>
      <c r="W775" s="130"/>
      <c r="Y775" s="106"/>
    </row>
    <row r="776">
      <c r="C776" s="79"/>
      <c r="D776" s="79"/>
      <c r="J776" s="79"/>
      <c r="O776" s="79"/>
      <c r="P776" s="79"/>
      <c r="S776" s="79"/>
      <c r="T776" s="79"/>
      <c r="W776" s="130"/>
      <c r="Y776" s="106"/>
    </row>
    <row r="777">
      <c r="C777" s="79"/>
      <c r="D777" s="79"/>
      <c r="J777" s="79"/>
      <c r="O777" s="79"/>
      <c r="P777" s="79"/>
      <c r="S777" s="79"/>
      <c r="T777" s="79"/>
      <c r="W777" s="130"/>
      <c r="Y777" s="106"/>
    </row>
    <row r="778">
      <c r="C778" s="79"/>
      <c r="D778" s="79"/>
      <c r="J778" s="79"/>
      <c r="O778" s="79"/>
      <c r="P778" s="79"/>
      <c r="S778" s="79"/>
      <c r="T778" s="79"/>
      <c r="W778" s="130"/>
      <c r="Y778" s="106"/>
    </row>
    <row r="779">
      <c r="C779" s="79"/>
      <c r="D779" s="79"/>
      <c r="J779" s="79"/>
      <c r="O779" s="79"/>
      <c r="P779" s="79"/>
      <c r="S779" s="79"/>
      <c r="T779" s="79"/>
      <c r="W779" s="130"/>
      <c r="Y779" s="106"/>
    </row>
    <row r="780">
      <c r="C780" s="79"/>
      <c r="D780" s="79"/>
      <c r="J780" s="79"/>
      <c r="O780" s="79"/>
      <c r="P780" s="79"/>
      <c r="S780" s="79"/>
      <c r="T780" s="79"/>
      <c r="W780" s="130"/>
      <c r="Y780" s="106"/>
    </row>
    <row r="781">
      <c r="C781" s="79"/>
      <c r="D781" s="79"/>
      <c r="J781" s="79"/>
      <c r="O781" s="79"/>
      <c r="P781" s="79"/>
      <c r="S781" s="79"/>
      <c r="T781" s="79"/>
      <c r="W781" s="130"/>
      <c r="Y781" s="106"/>
    </row>
    <row r="782">
      <c r="C782" s="79"/>
      <c r="D782" s="79"/>
      <c r="J782" s="79"/>
      <c r="O782" s="79"/>
      <c r="P782" s="79"/>
      <c r="S782" s="79"/>
      <c r="T782" s="79"/>
      <c r="W782" s="130"/>
      <c r="Y782" s="106"/>
    </row>
    <row r="783">
      <c r="C783" s="79"/>
      <c r="D783" s="79"/>
      <c r="J783" s="79"/>
      <c r="O783" s="79"/>
      <c r="P783" s="79"/>
      <c r="S783" s="79"/>
      <c r="T783" s="79"/>
      <c r="W783" s="130"/>
      <c r="Y783" s="106"/>
    </row>
    <row r="784">
      <c r="C784" s="79"/>
      <c r="D784" s="79"/>
      <c r="J784" s="79"/>
      <c r="O784" s="79"/>
      <c r="P784" s="79"/>
      <c r="S784" s="79"/>
      <c r="T784" s="79"/>
      <c r="W784" s="130"/>
      <c r="Y784" s="106"/>
    </row>
    <row r="785">
      <c r="C785" s="79"/>
      <c r="D785" s="79"/>
      <c r="J785" s="79"/>
      <c r="O785" s="79"/>
      <c r="P785" s="79"/>
      <c r="S785" s="79"/>
      <c r="T785" s="79"/>
      <c r="W785" s="130"/>
      <c r="Y785" s="106"/>
    </row>
    <row r="786">
      <c r="C786" s="79"/>
      <c r="D786" s="79"/>
      <c r="J786" s="79"/>
      <c r="O786" s="79"/>
      <c r="P786" s="79"/>
      <c r="S786" s="79"/>
      <c r="T786" s="79"/>
      <c r="W786" s="130"/>
      <c r="Y786" s="106"/>
    </row>
    <row r="787">
      <c r="C787" s="79"/>
      <c r="D787" s="79"/>
      <c r="J787" s="79"/>
      <c r="O787" s="79"/>
      <c r="P787" s="79"/>
      <c r="S787" s="79"/>
      <c r="T787" s="79"/>
      <c r="W787" s="130"/>
      <c r="Y787" s="106"/>
    </row>
    <row r="788">
      <c r="C788" s="79"/>
      <c r="D788" s="79"/>
      <c r="J788" s="79"/>
      <c r="O788" s="79"/>
      <c r="P788" s="79"/>
      <c r="S788" s="79"/>
      <c r="T788" s="79"/>
      <c r="W788" s="130"/>
      <c r="Y788" s="106"/>
    </row>
    <row r="789">
      <c r="C789" s="79"/>
      <c r="D789" s="79"/>
      <c r="J789" s="79"/>
      <c r="O789" s="79"/>
      <c r="P789" s="79"/>
      <c r="S789" s="79"/>
      <c r="T789" s="79"/>
      <c r="W789" s="130"/>
      <c r="Y789" s="106"/>
    </row>
    <row r="790">
      <c r="C790" s="79"/>
      <c r="D790" s="79"/>
      <c r="J790" s="79"/>
      <c r="O790" s="79"/>
      <c r="P790" s="79"/>
      <c r="S790" s="79"/>
      <c r="T790" s="79"/>
      <c r="W790" s="130"/>
      <c r="Y790" s="106"/>
    </row>
    <row r="791">
      <c r="C791" s="79"/>
      <c r="D791" s="79"/>
      <c r="J791" s="79"/>
      <c r="O791" s="79"/>
      <c r="P791" s="79"/>
      <c r="S791" s="79"/>
      <c r="T791" s="79"/>
      <c r="W791" s="130"/>
      <c r="Y791" s="106"/>
    </row>
    <row r="792">
      <c r="C792" s="79"/>
      <c r="D792" s="79"/>
      <c r="J792" s="79"/>
      <c r="O792" s="79"/>
      <c r="P792" s="79"/>
      <c r="S792" s="79"/>
      <c r="T792" s="79"/>
      <c r="W792" s="130"/>
      <c r="Y792" s="106"/>
    </row>
    <row r="793">
      <c r="C793" s="79"/>
      <c r="D793" s="79"/>
      <c r="J793" s="79"/>
      <c r="O793" s="79"/>
      <c r="P793" s="79"/>
      <c r="S793" s="79"/>
      <c r="T793" s="79"/>
      <c r="W793" s="130"/>
      <c r="Y793" s="106"/>
    </row>
    <row r="794">
      <c r="C794" s="79"/>
      <c r="D794" s="79"/>
      <c r="J794" s="79"/>
      <c r="O794" s="79"/>
      <c r="P794" s="79"/>
      <c r="S794" s="79"/>
      <c r="T794" s="79"/>
      <c r="W794" s="130"/>
      <c r="Y794" s="106"/>
    </row>
    <row r="795">
      <c r="C795" s="79"/>
      <c r="D795" s="79"/>
      <c r="J795" s="79"/>
      <c r="O795" s="79"/>
      <c r="P795" s="79"/>
      <c r="S795" s="79"/>
      <c r="T795" s="79"/>
      <c r="W795" s="130"/>
      <c r="Y795" s="106"/>
    </row>
    <row r="796">
      <c r="C796" s="79"/>
      <c r="D796" s="79"/>
      <c r="J796" s="79"/>
      <c r="O796" s="79"/>
      <c r="P796" s="79"/>
      <c r="S796" s="79"/>
      <c r="T796" s="79"/>
      <c r="W796" s="130"/>
      <c r="Y796" s="106"/>
    </row>
    <row r="797">
      <c r="C797" s="79"/>
      <c r="D797" s="79"/>
      <c r="J797" s="79"/>
      <c r="O797" s="79"/>
      <c r="P797" s="79"/>
      <c r="S797" s="79"/>
      <c r="T797" s="79"/>
      <c r="W797" s="130"/>
      <c r="Y797" s="106"/>
    </row>
    <row r="798">
      <c r="C798" s="79"/>
      <c r="D798" s="79"/>
      <c r="J798" s="79"/>
      <c r="O798" s="79"/>
      <c r="P798" s="79"/>
      <c r="S798" s="79"/>
      <c r="T798" s="79"/>
      <c r="W798" s="130"/>
      <c r="Y798" s="106"/>
    </row>
    <row r="799">
      <c r="C799" s="79"/>
      <c r="D799" s="79"/>
      <c r="J799" s="79"/>
      <c r="O799" s="79"/>
      <c r="P799" s="79"/>
      <c r="S799" s="79"/>
      <c r="T799" s="79"/>
      <c r="W799" s="130"/>
      <c r="Y799" s="106"/>
    </row>
    <row r="800">
      <c r="C800" s="79"/>
      <c r="D800" s="79"/>
      <c r="J800" s="79"/>
      <c r="O800" s="79"/>
      <c r="P800" s="79"/>
      <c r="S800" s="79"/>
      <c r="T800" s="79"/>
      <c r="W800" s="130"/>
      <c r="Y800" s="106"/>
    </row>
    <row r="801">
      <c r="C801" s="79"/>
      <c r="D801" s="79"/>
      <c r="J801" s="79"/>
      <c r="O801" s="79"/>
      <c r="P801" s="79"/>
      <c r="S801" s="79"/>
      <c r="T801" s="79"/>
      <c r="W801" s="130"/>
      <c r="Y801" s="106"/>
    </row>
    <row r="802">
      <c r="C802" s="79"/>
      <c r="D802" s="79"/>
      <c r="J802" s="79"/>
      <c r="O802" s="79"/>
      <c r="P802" s="79"/>
      <c r="S802" s="79"/>
      <c r="T802" s="79"/>
      <c r="W802" s="130"/>
      <c r="Y802" s="106"/>
    </row>
    <row r="803">
      <c r="C803" s="79"/>
      <c r="D803" s="79"/>
      <c r="J803" s="79"/>
      <c r="O803" s="79"/>
      <c r="P803" s="79"/>
      <c r="S803" s="79"/>
      <c r="T803" s="79"/>
      <c r="W803" s="130"/>
      <c r="Y803" s="106"/>
    </row>
    <row r="804">
      <c r="C804" s="79"/>
      <c r="D804" s="79"/>
      <c r="J804" s="79"/>
      <c r="O804" s="79"/>
      <c r="P804" s="79"/>
      <c r="S804" s="79"/>
      <c r="T804" s="79"/>
      <c r="W804" s="130"/>
      <c r="Y804" s="106"/>
    </row>
    <row r="805">
      <c r="C805" s="79"/>
      <c r="D805" s="79"/>
      <c r="J805" s="79"/>
      <c r="O805" s="79"/>
      <c r="P805" s="79"/>
      <c r="S805" s="79"/>
      <c r="T805" s="79"/>
      <c r="W805" s="130"/>
      <c r="Y805" s="106"/>
    </row>
    <row r="806">
      <c r="C806" s="79"/>
      <c r="D806" s="79"/>
      <c r="J806" s="79"/>
      <c r="O806" s="79"/>
      <c r="P806" s="79"/>
      <c r="S806" s="79"/>
      <c r="T806" s="79"/>
      <c r="W806" s="130"/>
      <c r="Y806" s="106"/>
    </row>
    <row r="807">
      <c r="C807" s="79"/>
      <c r="D807" s="79"/>
      <c r="J807" s="79"/>
      <c r="O807" s="79"/>
      <c r="P807" s="79"/>
      <c r="S807" s="79"/>
      <c r="T807" s="79"/>
      <c r="W807" s="130"/>
      <c r="Y807" s="106"/>
    </row>
    <row r="808">
      <c r="C808" s="79"/>
      <c r="D808" s="79"/>
      <c r="J808" s="79"/>
      <c r="O808" s="79"/>
      <c r="P808" s="79"/>
      <c r="S808" s="79"/>
      <c r="T808" s="79"/>
      <c r="W808" s="130"/>
      <c r="Y808" s="106"/>
    </row>
    <row r="809">
      <c r="C809" s="79"/>
      <c r="D809" s="79"/>
      <c r="J809" s="79"/>
      <c r="O809" s="79"/>
      <c r="P809" s="79"/>
      <c r="S809" s="79"/>
      <c r="T809" s="79"/>
      <c r="W809" s="130"/>
      <c r="Y809" s="106"/>
    </row>
    <row r="810">
      <c r="C810" s="79"/>
      <c r="D810" s="79"/>
      <c r="J810" s="79"/>
      <c r="O810" s="79"/>
      <c r="P810" s="79"/>
      <c r="S810" s="79"/>
      <c r="T810" s="79"/>
      <c r="W810" s="130"/>
      <c r="Y810" s="106"/>
    </row>
    <row r="811">
      <c r="C811" s="79"/>
      <c r="D811" s="79"/>
      <c r="J811" s="79"/>
      <c r="O811" s="79"/>
      <c r="P811" s="79"/>
      <c r="S811" s="79"/>
      <c r="T811" s="79"/>
      <c r="W811" s="130"/>
      <c r="Y811" s="106"/>
    </row>
    <row r="812">
      <c r="C812" s="79"/>
      <c r="D812" s="79"/>
      <c r="J812" s="79"/>
      <c r="O812" s="79"/>
      <c r="P812" s="79"/>
      <c r="S812" s="79"/>
      <c r="T812" s="79"/>
      <c r="W812" s="130"/>
      <c r="Y812" s="106"/>
    </row>
    <row r="813">
      <c r="C813" s="79"/>
      <c r="D813" s="79"/>
      <c r="J813" s="79"/>
      <c r="O813" s="79"/>
      <c r="P813" s="79"/>
      <c r="S813" s="79"/>
      <c r="T813" s="79"/>
      <c r="W813" s="130"/>
      <c r="Y813" s="106"/>
    </row>
    <row r="814">
      <c r="C814" s="79"/>
      <c r="D814" s="79"/>
      <c r="J814" s="79"/>
      <c r="O814" s="79"/>
      <c r="P814" s="79"/>
      <c r="S814" s="79"/>
      <c r="T814" s="79"/>
      <c r="W814" s="130"/>
      <c r="Y814" s="106"/>
    </row>
    <row r="815">
      <c r="C815" s="79"/>
      <c r="D815" s="79"/>
      <c r="J815" s="79"/>
      <c r="O815" s="79"/>
      <c r="P815" s="79"/>
      <c r="S815" s="79"/>
      <c r="T815" s="79"/>
      <c r="W815" s="130"/>
      <c r="Y815" s="106"/>
    </row>
    <row r="816">
      <c r="C816" s="79"/>
      <c r="D816" s="79"/>
      <c r="J816" s="79"/>
      <c r="O816" s="79"/>
      <c r="P816" s="79"/>
      <c r="S816" s="79"/>
      <c r="T816" s="79"/>
      <c r="W816" s="130"/>
      <c r="Y816" s="106"/>
    </row>
    <row r="817">
      <c r="C817" s="79"/>
      <c r="D817" s="79"/>
      <c r="J817" s="79"/>
      <c r="O817" s="79"/>
      <c r="P817" s="79"/>
      <c r="S817" s="79"/>
      <c r="T817" s="79"/>
      <c r="W817" s="130"/>
      <c r="Y817" s="106"/>
    </row>
    <row r="818">
      <c r="C818" s="79"/>
      <c r="D818" s="79"/>
      <c r="J818" s="79"/>
      <c r="O818" s="79"/>
      <c r="P818" s="79"/>
      <c r="S818" s="79"/>
      <c r="T818" s="79"/>
      <c r="W818" s="130"/>
      <c r="Y818" s="106"/>
    </row>
    <row r="819">
      <c r="C819" s="79"/>
      <c r="D819" s="79"/>
      <c r="J819" s="79"/>
      <c r="O819" s="79"/>
      <c r="P819" s="79"/>
      <c r="S819" s="79"/>
      <c r="T819" s="79"/>
      <c r="W819" s="130"/>
      <c r="Y819" s="106"/>
    </row>
    <row r="820">
      <c r="C820" s="79"/>
      <c r="D820" s="79"/>
      <c r="J820" s="79"/>
      <c r="O820" s="79"/>
      <c r="P820" s="79"/>
      <c r="S820" s="79"/>
      <c r="T820" s="79"/>
      <c r="W820" s="130"/>
      <c r="Y820" s="106"/>
    </row>
    <row r="821">
      <c r="C821" s="79"/>
      <c r="D821" s="79"/>
      <c r="J821" s="79"/>
      <c r="O821" s="79"/>
      <c r="P821" s="79"/>
      <c r="S821" s="79"/>
      <c r="T821" s="79"/>
      <c r="W821" s="130"/>
      <c r="Y821" s="106"/>
    </row>
    <row r="822">
      <c r="C822" s="79"/>
      <c r="D822" s="79"/>
      <c r="J822" s="79"/>
      <c r="O822" s="79"/>
      <c r="P822" s="79"/>
      <c r="S822" s="79"/>
      <c r="T822" s="79"/>
      <c r="W822" s="130"/>
      <c r="Y822" s="106"/>
    </row>
    <row r="823">
      <c r="C823" s="79"/>
      <c r="D823" s="79"/>
      <c r="J823" s="79"/>
      <c r="O823" s="79"/>
      <c r="P823" s="79"/>
      <c r="S823" s="79"/>
      <c r="T823" s="79"/>
      <c r="W823" s="130"/>
      <c r="Y823" s="106"/>
    </row>
    <row r="824">
      <c r="C824" s="79"/>
      <c r="D824" s="79"/>
      <c r="J824" s="79"/>
      <c r="O824" s="79"/>
      <c r="P824" s="79"/>
      <c r="S824" s="79"/>
      <c r="T824" s="79"/>
      <c r="W824" s="130"/>
      <c r="Y824" s="106"/>
    </row>
    <row r="825">
      <c r="C825" s="79"/>
      <c r="D825" s="79"/>
      <c r="J825" s="79"/>
      <c r="O825" s="79"/>
      <c r="P825" s="79"/>
      <c r="S825" s="79"/>
      <c r="T825" s="79"/>
      <c r="W825" s="130"/>
      <c r="Y825" s="106"/>
    </row>
    <row r="826">
      <c r="C826" s="79"/>
      <c r="D826" s="79"/>
      <c r="J826" s="79"/>
      <c r="O826" s="79"/>
      <c r="P826" s="79"/>
      <c r="S826" s="79"/>
      <c r="T826" s="79"/>
      <c r="W826" s="130"/>
      <c r="Y826" s="106"/>
    </row>
    <row r="827">
      <c r="C827" s="79"/>
      <c r="D827" s="79"/>
      <c r="J827" s="79"/>
      <c r="O827" s="79"/>
      <c r="P827" s="79"/>
      <c r="S827" s="79"/>
      <c r="T827" s="79"/>
      <c r="W827" s="130"/>
      <c r="Y827" s="106"/>
    </row>
    <row r="828">
      <c r="C828" s="79"/>
      <c r="D828" s="79"/>
      <c r="J828" s="79"/>
      <c r="O828" s="79"/>
      <c r="P828" s="79"/>
      <c r="S828" s="79"/>
      <c r="T828" s="79"/>
      <c r="W828" s="130"/>
      <c r="Y828" s="106"/>
    </row>
    <row r="829">
      <c r="C829" s="79"/>
      <c r="D829" s="79"/>
      <c r="J829" s="79"/>
      <c r="O829" s="79"/>
      <c r="P829" s="79"/>
      <c r="S829" s="79"/>
      <c r="T829" s="79"/>
      <c r="W829" s="130"/>
      <c r="Y829" s="106"/>
    </row>
    <row r="830">
      <c r="C830" s="79"/>
      <c r="D830" s="79"/>
      <c r="J830" s="79"/>
      <c r="O830" s="79"/>
      <c r="P830" s="79"/>
      <c r="S830" s="79"/>
      <c r="T830" s="79"/>
      <c r="W830" s="130"/>
      <c r="Y830" s="106"/>
    </row>
    <row r="831">
      <c r="C831" s="79"/>
      <c r="D831" s="79"/>
      <c r="J831" s="79"/>
      <c r="O831" s="79"/>
      <c r="P831" s="79"/>
      <c r="S831" s="79"/>
      <c r="T831" s="79"/>
      <c r="W831" s="130"/>
      <c r="Y831" s="106"/>
    </row>
    <row r="832">
      <c r="C832" s="79"/>
      <c r="D832" s="79"/>
      <c r="J832" s="79"/>
      <c r="O832" s="79"/>
      <c r="P832" s="79"/>
      <c r="S832" s="79"/>
      <c r="T832" s="79"/>
      <c r="W832" s="130"/>
      <c r="Y832" s="106"/>
    </row>
    <row r="833">
      <c r="C833" s="79"/>
      <c r="D833" s="79"/>
      <c r="J833" s="79"/>
      <c r="O833" s="79"/>
      <c r="P833" s="79"/>
      <c r="S833" s="79"/>
      <c r="T833" s="79"/>
      <c r="W833" s="130"/>
      <c r="Y833" s="106"/>
    </row>
    <row r="834">
      <c r="C834" s="79"/>
      <c r="D834" s="79"/>
      <c r="J834" s="79"/>
      <c r="O834" s="79"/>
      <c r="P834" s="79"/>
      <c r="S834" s="79"/>
      <c r="T834" s="79"/>
      <c r="W834" s="130"/>
      <c r="Y834" s="106"/>
    </row>
    <row r="835">
      <c r="C835" s="79"/>
      <c r="D835" s="79"/>
      <c r="J835" s="79"/>
      <c r="O835" s="79"/>
      <c r="P835" s="79"/>
      <c r="S835" s="79"/>
      <c r="T835" s="79"/>
      <c r="W835" s="130"/>
      <c r="Y835" s="106"/>
    </row>
    <row r="836">
      <c r="C836" s="79"/>
      <c r="D836" s="79"/>
      <c r="J836" s="79"/>
      <c r="O836" s="79"/>
      <c r="P836" s="79"/>
      <c r="S836" s="79"/>
      <c r="T836" s="79"/>
      <c r="W836" s="130"/>
      <c r="Y836" s="106"/>
    </row>
    <row r="837">
      <c r="C837" s="79"/>
      <c r="D837" s="79"/>
      <c r="J837" s="79"/>
      <c r="O837" s="79"/>
      <c r="P837" s="79"/>
      <c r="S837" s="79"/>
      <c r="T837" s="79"/>
      <c r="W837" s="130"/>
      <c r="Y837" s="106"/>
    </row>
    <row r="838">
      <c r="C838" s="79"/>
      <c r="D838" s="79"/>
      <c r="J838" s="79"/>
      <c r="O838" s="79"/>
      <c r="P838" s="79"/>
      <c r="S838" s="79"/>
      <c r="T838" s="79"/>
      <c r="W838" s="130"/>
      <c r="Y838" s="106"/>
    </row>
    <row r="839">
      <c r="C839" s="79"/>
      <c r="D839" s="79"/>
      <c r="J839" s="79"/>
      <c r="O839" s="79"/>
      <c r="P839" s="79"/>
      <c r="S839" s="79"/>
      <c r="T839" s="79"/>
      <c r="W839" s="130"/>
      <c r="Y839" s="106"/>
    </row>
    <row r="840">
      <c r="C840" s="79"/>
      <c r="D840" s="79"/>
      <c r="J840" s="79"/>
      <c r="O840" s="79"/>
      <c r="P840" s="79"/>
      <c r="S840" s="79"/>
      <c r="T840" s="79"/>
      <c r="W840" s="130"/>
      <c r="Y840" s="106"/>
    </row>
    <row r="841">
      <c r="C841" s="79"/>
      <c r="D841" s="79"/>
      <c r="J841" s="79"/>
      <c r="O841" s="79"/>
      <c r="P841" s="79"/>
      <c r="S841" s="79"/>
      <c r="T841" s="79"/>
      <c r="W841" s="130"/>
      <c r="Y841" s="106"/>
    </row>
    <row r="842">
      <c r="C842" s="79"/>
      <c r="D842" s="79"/>
      <c r="J842" s="79"/>
      <c r="O842" s="79"/>
      <c r="P842" s="79"/>
      <c r="S842" s="79"/>
      <c r="T842" s="79"/>
      <c r="W842" s="130"/>
      <c r="Y842" s="106"/>
    </row>
    <row r="843">
      <c r="C843" s="79"/>
      <c r="D843" s="79"/>
      <c r="J843" s="79"/>
      <c r="O843" s="79"/>
      <c r="P843" s="79"/>
      <c r="S843" s="79"/>
      <c r="T843" s="79"/>
      <c r="W843" s="130"/>
      <c r="Y843" s="106"/>
    </row>
    <row r="844">
      <c r="C844" s="79"/>
      <c r="D844" s="79"/>
      <c r="J844" s="79"/>
      <c r="O844" s="79"/>
      <c r="P844" s="79"/>
      <c r="S844" s="79"/>
      <c r="T844" s="79"/>
      <c r="W844" s="130"/>
      <c r="Y844" s="106"/>
    </row>
    <row r="845">
      <c r="C845" s="79"/>
      <c r="D845" s="79"/>
      <c r="J845" s="79"/>
      <c r="O845" s="79"/>
      <c r="P845" s="79"/>
      <c r="S845" s="79"/>
      <c r="T845" s="79"/>
      <c r="W845" s="130"/>
      <c r="Y845" s="106"/>
    </row>
    <row r="846">
      <c r="C846" s="79"/>
      <c r="D846" s="79"/>
      <c r="J846" s="79"/>
      <c r="O846" s="79"/>
      <c r="P846" s="79"/>
      <c r="S846" s="79"/>
      <c r="T846" s="79"/>
      <c r="W846" s="130"/>
      <c r="Y846" s="106"/>
    </row>
    <row r="847">
      <c r="C847" s="79"/>
      <c r="D847" s="79"/>
      <c r="J847" s="79"/>
      <c r="O847" s="79"/>
      <c r="P847" s="79"/>
      <c r="S847" s="79"/>
      <c r="T847" s="79"/>
      <c r="W847" s="130"/>
      <c r="Y847" s="106"/>
    </row>
    <row r="848">
      <c r="C848" s="79"/>
      <c r="D848" s="79"/>
      <c r="J848" s="79"/>
      <c r="O848" s="79"/>
      <c r="P848" s="79"/>
      <c r="S848" s="79"/>
      <c r="T848" s="79"/>
      <c r="W848" s="130"/>
      <c r="Y848" s="106"/>
    </row>
    <row r="849">
      <c r="C849" s="79"/>
      <c r="D849" s="79"/>
      <c r="J849" s="79"/>
      <c r="O849" s="79"/>
      <c r="P849" s="79"/>
      <c r="S849" s="79"/>
      <c r="T849" s="79"/>
      <c r="W849" s="130"/>
      <c r="Y849" s="106"/>
    </row>
    <row r="850">
      <c r="C850" s="79"/>
      <c r="D850" s="79"/>
      <c r="J850" s="79"/>
      <c r="O850" s="79"/>
      <c r="P850" s="79"/>
      <c r="S850" s="79"/>
      <c r="T850" s="79"/>
      <c r="W850" s="130"/>
      <c r="Y850" s="106"/>
    </row>
    <row r="851">
      <c r="C851" s="79"/>
      <c r="D851" s="79"/>
      <c r="J851" s="79"/>
      <c r="O851" s="79"/>
      <c r="P851" s="79"/>
      <c r="S851" s="79"/>
      <c r="T851" s="79"/>
      <c r="W851" s="130"/>
      <c r="Y851" s="106"/>
    </row>
    <row r="852">
      <c r="C852" s="79"/>
      <c r="D852" s="79"/>
      <c r="J852" s="79"/>
      <c r="O852" s="79"/>
      <c r="P852" s="79"/>
      <c r="S852" s="79"/>
      <c r="T852" s="79"/>
      <c r="W852" s="130"/>
      <c r="Y852" s="106"/>
    </row>
    <row r="853">
      <c r="C853" s="79"/>
      <c r="D853" s="79"/>
      <c r="J853" s="79"/>
      <c r="O853" s="79"/>
      <c r="P853" s="79"/>
      <c r="S853" s="79"/>
      <c r="T853" s="79"/>
      <c r="W853" s="130"/>
      <c r="Y853" s="106"/>
    </row>
    <row r="854">
      <c r="C854" s="79"/>
      <c r="D854" s="79"/>
      <c r="J854" s="79"/>
      <c r="O854" s="79"/>
      <c r="P854" s="79"/>
      <c r="S854" s="79"/>
      <c r="T854" s="79"/>
      <c r="W854" s="130"/>
      <c r="Y854" s="106"/>
    </row>
    <row r="855">
      <c r="C855" s="79"/>
      <c r="D855" s="79"/>
      <c r="J855" s="79"/>
      <c r="O855" s="79"/>
      <c r="P855" s="79"/>
      <c r="S855" s="79"/>
      <c r="T855" s="79"/>
      <c r="W855" s="130"/>
      <c r="Y855" s="106"/>
    </row>
    <row r="856">
      <c r="C856" s="79"/>
      <c r="D856" s="79"/>
      <c r="J856" s="79"/>
      <c r="O856" s="79"/>
      <c r="P856" s="79"/>
      <c r="S856" s="79"/>
      <c r="T856" s="79"/>
      <c r="W856" s="130"/>
      <c r="Y856" s="106"/>
    </row>
    <row r="857">
      <c r="C857" s="79"/>
      <c r="D857" s="79"/>
      <c r="J857" s="79"/>
      <c r="O857" s="79"/>
      <c r="P857" s="79"/>
      <c r="S857" s="79"/>
      <c r="T857" s="79"/>
      <c r="W857" s="130"/>
      <c r="Y857" s="106"/>
    </row>
    <row r="858">
      <c r="C858" s="79"/>
      <c r="D858" s="79"/>
      <c r="J858" s="79"/>
      <c r="O858" s="79"/>
      <c r="P858" s="79"/>
      <c r="S858" s="79"/>
      <c r="T858" s="79"/>
      <c r="W858" s="130"/>
      <c r="Y858" s="106"/>
    </row>
    <row r="859">
      <c r="C859" s="79"/>
      <c r="D859" s="79"/>
      <c r="J859" s="79"/>
      <c r="O859" s="79"/>
      <c r="P859" s="79"/>
      <c r="S859" s="79"/>
      <c r="T859" s="79"/>
      <c r="W859" s="130"/>
      <c r="Y859" s="106"/>
    </row>
    <row r="860">
      <c r="C860" s="79"/>
      <c r="D860" s="79"/>
      <c r="J860" s="79"/>
      <c r="O860" s="79"/>
      <c r="P860" s="79"/>
      <c r="S860" s="79"/>
      <c r="T860" s="79"/>
      <c r="W860" s="130"/>
      <c r="Y860" s="106"/>
    </row>
    <row r="861">
      <c r="C861" s="79"/>
      <c r="D861" s="79"/>
      <c r="J861" s="79"/>
      <c r="O861" s="79"/>
      <c r="P861" s="79"/>
      <c r="S861" s="79"/>
      <c r="T861" s="79"/>
      <c r="W861" s="130"/>
      <c r="Y861" s="106"/>
    </row>
    <row r="862">
      <c r="C862" s="79"/>
      <c r="D862" s="79"/>
      <c r="J862" s="79"/>
      <c r="O862" s="79"/>
      <c r="P862" s="79"/>
      <c r="S862" s="79"/>
      <c r="T862" s="79"/>
      <c r="W862" s="130"/>
      <c r="Y862" s="106"/>
    </row>
    <row r="863">
      <c r="C863" s="79"/>
      <c r="D863" s="79"/>
      <c r="J863" s="79"/>
      <c r="O863" s="79"/>
      <c r="P863" s="79"/>
      <c r="S863" s="79"/>
      <c r="T863" s="79"/>
      <c r="W863" s="130"/>
      <c r="Y863" s="106"/>
    </row>
    <row r="864">
      <c r="C864" s="79"/>
      <c r="D864" s="79"/>
      <c r="J864" s="79"/>
      <c r="O864" s="79"/>
      <c r="P864" s="79"/>
      <c r="S864" s="79"/>
      <c r="T864" s="79"/>
      <c r="W864" s="130"/>
      <c r="Y864" s="106"/>
    </row>
    <row r="865">
      <c r="C865" s="79"/>
      <c r="D865" s="79"/>
      <c r="J865" s="79"/>
      <c r="O865" s="79"/>
      <c r="P865" s="79"/>
      <c r="S865" s="79"/>
      <c r="T865" s="79"/>
      <c r="W865" s="130"/>
      <c r="Y865" s="106"/>
    </row>
    <row r="866">
      <c r="C866" s="79"/>
      <c r="D866" s="79"/>
      <c r="J866" s="79"/>
      <c r="O866" s="79"/>
      <c r="P866" s="79"/>
      <c r="S866" s="79"/>
      <c r="T866" s="79"/>
      <c r="W866" s="130"/>
      <c r="Y866" s="106"/>
    </row>
    <row r="867">
      <c r="C867" s="79"/>
      <c r="D867" s="79"/>
      <c r="J867" s="79"/>
      <c r="O867" s="79"/>
      <c r="P867" s="79"/>
      <c r="S867" s="79"/>
      <c r="T867" s="79"/>
      <c r="W867" s="130"/>
      <c r="Y867" s="106"/>
    </row>
    <row r="868">
      <c r="C868" s="79"/>
      <c r="D868" s="79"/>
      <c r="J868" s="79"/>
      <c r="O868" s="79"/>
      <c r="P868" s="79"/>
      <c r="S868" s="79"/>
      <c r="T868" s="79"/>
      <c r="W868" s="130"/>
      <c r="Y868" s="106"/>
    </row>
    <row r="869">
      <c r="C869" s="79"/>
      <c r="D869" s="79"/>
      <c r="J869" s="79"/>
      <c r="O869" s="79"/>
      <c r="P869" s="79"/>
      <c r="S869" s="79"/>
      <c r="T869" s="79"/>
      <c r="W869" s="130"/>
      <c r="Y869" s="106"/>
    </row>
    <row r="870">
      <c r="C870" s="79"/>
      <c r="D870" s="79"/>
      <c r="J870" s="79"/>
      <c r="O870" s="79"/>
      <c r="P870" s="79"/>
      <c r="S870" s="79"/>
      <c r="T870" s="79"/>
      <c r="W870" s="130"/>
      <c r="Y870" s="106"/>
    </row>
    <row r="871">
      <c r="C871" s="79"/>
      <c r="D871" s="79"/>
      <c r="J871" s="79"/>
      <c r="O871" s="79"/>
      <c r="P871" s="79"/>
      <c r="S871" s="79"/>
      <c r="T871" s="79"/>
      <c r="W871" s="130"/>
      <c r="Y871" s="106"/>
    </row>
    <row r="872">
      <c r="C872" s="79"/>
      <c r="D872" s="79"/>
      <c r="J872" s="79"/>
      <c r="O872" s="79"/>
      <c r="P872" s="79"/>
      <c r="S872" s="79"/>
      <c r="T872" s="79"/>
      <c r="W872" s="130"/>
      <c r="Y872" s="106"/>
    </row>
    <row r="873">
      <c r="C873" s="79"/>
      <c r="D873" s="79"/>
      <c r="J873" s="79"/>
      <c r="O873" s="79"/>
      <c r="P873" s="79"/>
      <c r="S873" s="79"/>
      <c r="T873" s="79"/>
      <c r="W873" s="130"/>
      <c r="Y873" s="106"/>
    </row>
    <row r="874">
      <c r="C874" s="79"/>
      <c r="D874" s="79"/>
      <c r="J874" s="79"/>
      <c r="O874" s="79"/>
      <c r="P874" s="79"/>
      <c r="S874" s="79"/>
      <c r="T874" s="79"/>
      <c r="W874" s="130"/>
      <c r="Y874" s="106"/>
    </row>
    <row r="875">
      <c r="C875" s="79"/>
      <c r="D875" s="79"/>
      <c r="J875" s="79"/>
      <c r="O875" s="79"/>
      <c r="P875" s="79"/>
      <c r="S875" s="79"/>
      <c r="T875" s="79"/>
      <c r="W875" s="130"/>
      <c r="Y875" s="106"/>
    </row>
    <row r="876">
      <c r="C876" s="79"/>
      <c r="D876" s="79"/>
      <c r="J876" s="79"/>
      <c r="O876" s="79"/>
      <c r="P876" s="79"/>
      <c r="S876" s="79"/>
      <c r="T876" s="79"/>
      <c r="W876" s="130"/>
      <c r="Y876" s="106"/>
    </row>
    <row r="877">
      <c r="C877" s="79"/>
      <c r="D877" s="79"/>
      <c r="J877" s="79"/>
      <c r="O877" s="79"/>
      <c r="P877" s="79"/>
      <c r="S877" s="79"/>
      <c r="T877" s="79"/>
      <c r="W877" s="130"/>
      <c r="Y877" s="106"/>
    </row>
    <row r="878">
      <c r="C878" s="79"/>
      <c r="D878" s="79"/>
      <c r="J878" s="79"/>
      <c r="O878" s="79"/>
      <c r="P878" s="79"/>
      <c r="S878" s="79"/>
      <c r="T878" s="79"/>
      <c r="W878" s="130"/>
      <c r="Y878" s="106"/>
    </row>
    <row r="879">
      <c r="C879" s="79"/>
      <c r="D879" s="79"/>
      <c r="J879" s="79"/>
      <c r="O879" s="79"/>
      <c r="P879" s="79"/>
      <c r="S879" s="79"/>
      <c r="T879" s="79"/>
      <c r="W879" s="130"/>
      <c r="Y879" s="106"/>
    </row>
    <row r="880">
      <c r="C880" s="79"/>
      <c r="D880" s="79"/>
      <c r="J880" s="79"/>
      <c r="O880" s="79"/>
      <c r="P880" s="79"/>
      <c r="S880" s="79"/>
      <c r="T880" s="79"/>
      <c r="W880" s="130"/>
      <c r="Y880" s="106"/>
    </row>
    <row r="881">
      <c r="C881" s="79"/>
      <c r="D881" s="79"/>
      <c r="J881" s="79"/>
      <c r="O881" s="79"/>
      <c r="P881" s="79"/>
      <c r="S881" s="79"/>
      <c r="T881" s="79"/>
      <c r="W881" s="130"/>
      <c r="Y881" s="106"/>
    </row>
    <row r="882">
      <c r="C882" s="79"/>
      <c r="D882" s="79"/>
      <c r="J882" s="79"/>
      <c r="O882" s="79"/>
      <c r="P882" s="79"/>
      <c r="S882" s="79"/>
      <c r="T882" s="79"/>
      <c r="W882" s="130"/>
      <c r="Y882" s="106"/>
    </row>
    <row r="883">
      <c r="C883" s="79"/>
      <c r="D883" s="79"/>
      <c r="J883" s="79"/>
      <c r="O883" s="79"/>
      <c r="P883" s="79"/>
      <c r="S883" s="79"/>
      <c r="T883" s="79"/>
      <c r="W883" s="130"/>
      <c r="Y883" s="106"/>
    </row>
    <row r="884">
      <c r="C884" s="79"/>
      <c r="D884" s="79"/>
      <c r="J884" s="79"/>
      <c r="O884" s="79"/>
      <c r="P884" s="79"/>
      <c r="S884" s="79"/>
      <c r="T884" s="79"/>
      <c r="W884" s="130"/>
      <c r="Y884" s="106"/>
    </row>
    <row r="885">
      <c r="C885" s="79"/>
      <c r="D885" s="79"/>
      <c r="J885" s="79"/>
      <c r="O885" s="79"/>
      <c r="P885" s="79"/>
      <c r="S885" s="79"/>
      <c r="T885" s="79"/>
      <c r="W885" s="130"/>
      <c r="Y885" s="106"/>
    </row>
    <row r="886">
      <c r="C886" s="79"/>
      <c r="D886" s="79"/>
      <c r="J886" s="79"/>
      <c r="O886" s="79"/>
      <c r="P886" s="79"/>
      <c r="S886" s="79"/>
      <c r="T886" s="79"/>
      <c r="W886" s="130"/>
      <c r="Y886" s="106"/>
    </row>
    <row r="887">
      <c r="C887" s="79"/>
      <c r="D887" s="79"/>
      <c r="J887" s="79"/>
      <c r="O887" s="79"/>
      <c r="P887" s="79"/>
      <c r="S887" s="79"/>
      <c r="T887" s="79"/>
      <c r="W887" s="130"/>
      <c r="Y887" s="106"/>
    </row>
    <row r="888">
      <c r="C888" s="79"/>
      <c r="D888" s="79"/>
      <c r="J888" s="79"/>
      <c r="O888" s="79"/>
      <c r="P888" s="79"/>
      <c r="S888" s="79"/>
      <c r="T888" s="79"/>
      <c r="W888" s="130"/>
      <c r="Y888" s="106"/>
    </row>
    <row r="889">
      <c r="C889" s="79"/>
      <c r="D889" s="79"/>
      <c r="J889" s="79"/>
      <c r="O889" s="79"/>
      <c r="P889" s="79"/>
      <c r="S889" s="79"/>
      <c r="T889" s="79"/>
      <c r="W889" s="130"/>
      <c r="Y889" s="106"/>
    </row>
    <row r="890">
      <c r="C890" s="79"/>
      <c r="D890" s="79"/>
      <c r="J890" s="79"/>
      <c r="O890" s="79"/>
      <c r="P890" s="79"/>
      <c r="S890" s="79"/>
      <c r="T890" s="79"/>
      <c r="W890" s="130"/>
      <c r="Y890" s="106"/>
    </row>
    <row r="891">
      <c r="C891" s="79"/>
      <c r="D891" s="79"/>
      <c r="J891" s="79"/>
      <c r="O891" s="79"/>
      <c r="P891" s="79"/>
      <c r="S891" s="79"/>
      <c r="T891" s="79"/>
      <c r="W891" s="130"/>
      <c r="Y891" s="106"/>
    </row>
    <row r="892">
      <c r="C892" s="79"/>
      <c r="D892" s="79"/>
      <c r="J892" s="79"/>
      <c r="O892" s="79"/>
      <c r="P892" s="79"/>
      <c r="S892" s="79"/>
      <c r="T892" s="79"/>
      <c r="W892" s="130"/>
      <c r="Y892" s="106"/>
    </row>
    <row r="893">
      <c r="C893" s="79"/>
      <c r="D893" s="79"/>
      <c r="J893" s="79"/>
      <c r="O893" s="79"/>
      <c r="P893" s="79"/>
      <c r="S893" s="79"/>
      <c r="T893" s="79"/>
      <c r="W893" s="130"/>
      <c r="Y893" s="106"/>
    </row>
    <row r="894">
      <c r="C894" s="79"/>
      <c r="D894" s="79"/>
      <c r="J894" s="79"/>
      <c r="O894" s="79"/>
      <c r="P894" s="79"/>
      <c r="S894" s="79"/>
      <c r="T894" s="79"/>
      <c r="W894" s="130"/>
      <c r="Y894" s="106"/>
    </row>
    <row r="895">
      <c r="C895" s="79"/>
      <c r="D895" s="79"/>
      <c r="J895" s="79"/>
      <c r="O895" s="79"/>
      <c r="P895" s="79"/>
      <c r="S895" s="79"/>
      <c r="T895" s="79"/>
      <c r="W895" s="130"/>
      <c r="Y895" s="106"/>
    </row>
    <row r="896">
      <c r="C896" s="79"/>
      <c r="D896" s="79"/>
      <c r="J896" s="79"/>
      <c r="O896" s="79"/>
      <c r="P896" s="79"/>
      <c r="S896" s="79"/>
      <c r="T896" s="79"/>
      <c r="W896" s="130"/>
      <c r="Y896" s="106"/>
    </row>
    <row r="897">
      <c r="C897" s="79"/>
      <c r="D897" s="79"/>
      <c r="J897" s="79"/>
      <c r="O897" s="79"/>
      <c r="P897" s="79"/>
      <c r="S897" s="79"/>
      <c r="T897" s="79"/>
      <c r="W897" s="130"/>
      <c r="Y897" s="106"/>
    </row>
    <row r="898">
      <c r="C898" s="79"/>
      <c r="D898" s="79"/>
      <c r="J898" s="79"/>
      <c r="O898" s="79"/>
      <c r="P898" s="79"/>
      <c r="S898" s="79"/>
      <c r="T898" s="79"/>
      <c r="W898" s="130"/>
      <c r="Y898" s="106"/>
    </row>
    <row r="899">
      <c r="C899" s="79"/>
      <c r="D899" s="79"/>
      <c r="J899" s="79"/>
      <c r="O899" s="79"/>
      <c r="P899" s="79"/>
      <c r="S899" s="79"/>
      <c r="T899" s="79"/>
      <c r="W899" s="130"/>
      <c r="Y899" s="106"/>
    </row>
    <row r="900">
      <c r="C900" s="79"/>
      <c r="D900" s="79"/>
      <c r="J900" s="79"/>
      <c r="O900" s="79"/>
      <c r="P900" s="79"/>
      <c r="S900" s="79"/>
      <c r="T900" s="79"/>
      <c r="W900" s="130"/>
      <c r="Y900" s="106"/>
    </row>
    <row r="901">
      <c r="C901" s="79"/>
      <c r="D901" s="79"/>
      <c r="J901" s="79"/>
      <c r="O901" s="79"/>
      <c r="P901" s="79"/>
      <c r="S901" s="79"/>
      <c r="T901" s="79"/>
      <c r="W901" s="130"/>
      <c r="Y901" s="106"/>
    </row>
    <row r="902">
      <c r="C902" s="79"/>
      <c r="D902" s="79"/>
      <c r="J902" s="79"/>
      <c r="O902" s="79"/>
      <c r="P902" s="79"/>
      <c r="S902" s="79"/>
      <c r="T902" s="79"/>
      <c r="W902" s="130"/>
      <c r="Y902" s="106"/>
    </row>
    <row r="903">
      <c r="C903" s="79"/>
      <c r="D903" s="79"/>
      <c r="J903" s="79"/>
      <c r="O903" s="79"/>
      <c r="P903" s="79"/>
      <c r="S903" s="79"/>
      <c r="T903" s="79"/>
      <c r="W903" s="130"/>
      <c r="Y903" s="106"/>
    </row>
    <row r="904">
      <c r="C904" s="79"/>
      <c r="D904" s="79"/>
      <c r="J904" s="79"/>
      <c r="O904" s="79"/>
      <c r="P904" s="79"/>
      <c r="S904" s="79"/>
      <c r="T904" s="79"/>
      <c r="W904" s="130"/>
      <c r="Y904" s="106"/>
    </row>
    <row r="905">
      <c r="C905" s="79"/>
      <c r="D905" s="79"/>
      <c r="J905" s="79"/>
      <c r="O905" s="79"/>
      <c r="P905" s="79"/>
      <c r="S905" s="79"/>
      <c r="T905" s="79"/>
      <c r="W905" s="130"/>
      <c r="Y905" s="106"/>
    </row>
    <row r="906">
      <c r="C906" s="79"/>
      <c r="D906" s="79"/>
      <c r="J906" s="79"/>
      <c r="O906" s="79"/>
      <c r="P906" s="79"/>
      <c r="S906" s="79"/>
      <c r="T906" s="79"/>
      <c r="W906" s="130"/>
      <c r="Y906" s="106"/>
    </row>
    <row r="907">
      <c r="C907" s="79"/>
      <c r="D907" s="79"/>
      <c r="J907" s="79"/>
      <c r="O907" s="79"/>
      <c r="P907" s="79"/>
      <c r="S907" s="79"/>
      <c r="T907" s="79"/>
      <c r="W907" s="130"/>
      <c r="Y907" s="106"/>
    </row>
    <row r="908">
      <c r="C908" s="79"/>
      <c r="D908" s="79"/>
      <c r="J908" s="79"/>
      <c r="O908" s="79"/>
      <c r="P908" s="79"/>
      <c r="S908" s="79"/>
      <c r="T908" s="79"/>
      <c r="W908" s="130"/>
      <c r="Y908" s="106"/>
    </row>
    <row r="909">
      <c r="C909" s="79"/>
      <c r="D909" s="79"/>
      <c r="J909" s="79"/>
      <c r="O909" s="79"/>
      <c r="P909" s="79"/>
      <c r="S909" s="79"/>
      <c r="T909" s="79"/>
      <c r="W909" s="130"/>
      <c r="Y909" s="106"/>
    </row>
    <row r="910">
      <c r="C910" s="79"/>
      <c r="D910" s="79"/>
      <c r="J910" s="79"/>
      <c r="O910" s="79"/>
      <c r="P910" s="79"/>
      <c r="S910" s="79"/>
      <c r="T910" s="79"/>
      <c r="W910" s="130"/>
      <c r="Y910" s="106"/>
    </row>
    <row r="911">
      <c r="C911" s="79"/>
      <c r="D911" s="79"/>
      <c r="J911" s="79"/>
      <c r="O911" s="79"/>
      <c r="P911" s="79"/>
      <c r="S911" s="79"/>
      <c r="T911" s="79"/>
      <c r="W911" s="130"/>
      <c r="Y911" s="106"/>
    </row>
    <row r="912">
      <c r="C912" s="79"/>
      <c r="D912" s="79"/>
      <c r="J912" s="79"/>
      <c r="O912" s="79"/>
      <c r="P912" s="79"/>
      <c r="S912" s="79"/>
      <c r="T912" s="79"/>
      <c r="W912" s="130"/>
      <c r="Y912" s="106"/>
    </row>
    <row r="913">
      <c r="C913" s="79"/>
      <c r="D913" s="79"/>
      <c r="J913" s="79"/>
      <c r="O913" s="79"/>
      <c r="P913" s="79"/>
      <c r="S913" s="79"/>
      <c r="T913" s="79"/>
      <c r="W913" s="130"/>
      <c r="Y913" s="106"/>
    </row>
    <row r="914">
      <c r="C914" s="79"/>
      <c r="D914" s="79"/>
      <c r="J914" s="79"/>
      <c r="O914" s="79"/>
      <c r="P914" s="79"/>
      <c r="S914" s="79"/>
      <c r="T914" s="79"/>
      <c r="W914" s="130"/>
      <c r="Y914" s="106"/>
    </row>
    <row r="915">
      <c r="C915" s="79"/>
      <c r="D915" s="79"/>
      <c r="J915" s="79"/>
      <c r="O915" s="79"/>
      <c r="P915" s="79"/>
      <c r="S915" s="79"/>
      <c r="T915" s="79"/>
      <c r="W915" s="130"/>
      <c r="Y915" s="106"/>
    </row>
    <row r="916">
      <c r="C916" s="79"/>
      <c r="D916" s="79"/>
      <c r="J916" s="79"/>
      <c r="O916" s="79"/>
      <c r="P916" s="79"/>
      <c r="S916" s="79"/>
      <c r="T916" s="79"/>
      <c r="W916" s="130"/>
      <c r="Y916" s="106"/>
    </row>
    <row r="917">
      <c r="C917" s="79"/>
      <c r="D917" s="79"/>
      <c r="J917" s="79"/>
      <c r="O917" s="79"/>
      <c r="P917" s="79"/>
      <c r="S917" s="79"/>
      <c r="T917" s="79"/>
      <c r="W917" s="130"/>
      <c r="Y917" s="106"/>
    </row>
    <row r="918">
      <c r="C918" s="79"/>
      <c r="D918" s="79"/>
      <c r="J918" s="79"/>
      <c r="O918" s="79"/>
      <c r="P918" s="79"/>
      <c r="S918" s="79"/>
      <c r="T918" s="79"/>
      <c r="W918" s="130"/>
      <c r="Y918" s="106"/>
    </row>
    <row r="919">
      <c r="C919" s="79"/>
      <c r="D919" s="79"/>
      <c r="J919" s="79"/>
      <c r="O919" s="79"/>
      <c r="P919" s="79"/>
      <c r="S919" s="79"/>
      <c r="T919" s="79"/>
      <c r="W919" s="130"/>
      <c r="Y919" s="106"/>
    </row>
    <row r="920">
      <c r="C920" s="79"/>
      <c r="D920" s="79"/>
      <c r="J920" s="79"/>
      <c r="O920" s="79"/>
      <c r="P920" s="79"/>
      <c r="S920" s="79"/>
      <c r="T920" s="79"/>
      <c r="W920" s="130"/>
      <c r="Y920" s="106"/>
    </row>
    <row r="921">
      <c r="C921" s="79"/>
      <c r="D921" s="79"/>
      <c r="J921" s="79"/>
      <c r="O921" s="79"/>
      <c r="P921" s="79"/>
      <c r="S921" s="79"/>
      <c r="T921" s="79"/>
      <c r="W921" s="130"/>
      <c r="Y921" s="106"/>
    </row>
    <row r="922">
      <c r="C922" s="79"/>
      <c r="D922" s="79"/>
      <c r="J922" s="79"/>
      <c r="O922" s="79"/>
      <c r="P922" s="79"/>
      <c r="S922" s="79"/>
      <c r="T922" s="79"/>
      <c r="W922" s="130"/>
      <c r="Y922" s="106"/>
    </row>
    <row r="923">
      <c r="C923" s="79"/>
      <c r="D923" s="79"/>
      <c r="J923" s="79"/>
      <c r="O923" s="79"/>
      <c r="P923" s="79"/>
      <c r="S923" s="79"/>
      <c r="T923" s="79"/>
      <c r="W923" s="130"/>
      <c r="Y923" s="106"/>
    </row>
    <row r="924">
      <c r="C924" s="79"/>
      <c r="D924" s="79"/>
      <c r="J924" s="79"/>
      <c r="O924" s="79"/>
      <c r="P924" s="79"/>
      <c r="S924" s="79"/>
      <c r="T924" s="79"/>
      <c r="W924" s="130"/>
      <c r="Y924" s="106"/>
    </row>
    <row r="925">
      <c r="C925" s="79"/>
      <c r="D925" s="79"/>
      <c r="J925" s="79"/>
      <c r="O925" s="79"/>
      <c r="P925" s="79"/>
      <c r="S925" s="79"/>
      <c r="T925" s="79"/>
      <c r="W925" s="130"/>
      <c r="Y925" s="106"/>
    </row>
    <row r="926">
      <c r="C926" s="79"/>
      <c r="D926" s="79"/>
      <c r="J926" s="79"/>
      <c r="O926" s="79"/>
      <c r="P926" s="79"/>
      <c r="S926" s="79"/>
      <c r="T926" s="79"/>
      <c r="W926" s="130"/>
      <c r="Y926" s="106"/>
    </row>
    <row r="927">
      <c r="C927" s="79"/>
      <c r="D927" s="79"/>
      <c r="J927" s="79"/>
      <c r="O927" s="79"/>
      <c r="P927" s="79"/>
      <c r="S927" s="79"/>
      <c r="T927" s="79"/>
      <c r="W927" s="130"/>
      <c r="Y927" s="106"/>
    </row>
    <row r="928">
      <c r="C928" s="79"/>
      <c r="D928" s="79"/>
      <c r="J928" s="79"/>
      <c r="O928" s="79"/>
      <c r="P928" s="79"/>
      <c r="S928" s="79"/>
      <c r="T928" s="79"/>
      <c r="W928" s="130"/>
      <c r="Y928" s="106"/>
    </row>
    <row r="929">
      <c r="C929" s="79"/>
      <c r="D929" s="79"/>
      <c r="J929" s="79"/>
      <c r="O929" s="79"/>
      <c r="P929" s="79"/>
      <c r="S929" s="79"/>
      <c r="T929" s="79"/>
      <c r="W929" s="130"/>
      <c r="Y929" s="106"/>
    </row>
    <row r="930">
      <c r="C930" s="79"/>
      <c r="D930" s="79"/>
      <c r="J930" s="79"/>
      <c r="O930" s="79"/>
      <c r="P930" s="79"/>
      <c r="S930" s="79"/>
      <c r="T930" s="79"/>
      <c r="W930" s="130"/>
      <c r="Y930" s="106"/>
    </row>
    <row r="931">
      <c r="C931" s="79"/>
      <c r="D931" s="79"/>
      <c r="J931" s="79"/>
      <c r="O931" s="79"/>
      <c r="P931" s="79"/>
      <c r="S931" s="79"/>
      <c r="T931" s="79"/>
      <c r="W931" s="130"/>
      <c r="Y931" s="106"/>
    </row>
    <row r="932">
      <c r="C932" s="79"/>
      <c r="D932" s="79"/>
      <c r="J932" s="79"/>
      <c r="O932" s="79"/>
      <c r="P932" s="79"/>
      <c r="S932" s="79"/>
      <c r="T932" s="79"/>
      <c r="W932" s="130"/>
      <c r="Y932" s="106"/>
    </row>
    <row r="933">
      <c r="C933" s="79"/>
      <c r="D933" s="79"/>
      <c r="J933" s="79"/>
      <c r="O933" s="79"/>
      <c r="P933" s="79"/>
      <c r="S933" s="79"/>
      <c r="T933" s="79"/>
      <c r="W933" s="130"/>
      <c r="Y933" s="106"/>
    </row>
    <row r="934">
      <c r="C934" s="79"/>
      <c r="D934" s="79"/>
      <c r="J934" s="79"/>
      <c r="O934" s="79"/>
      <c r="P934" s="79"/>
      <c r="S934" s="79"/>
      <c r="T934" s="79"/>
      <c r="W934" s="130"/>
      <c r="Y934" s="106"/>
    </row>
    <row r="935">
      <c r="C935" s="79"/>
      <c r="D935" s="79"/>
      <c r="J935" s="79"/>
      <c r="O935" s="79"/>
      <c r="P935" s="79"/>
      <c r="S935" s="79"/>
      <c r="T935" s="79"/>
      <c r="W935" s="130"/>
      <c r="Y935" s="106"/>
    </row>
    <row r="936">
      <c r="C936" s="79"/>
      <c r="D936" s="79"/>
      <c r="J936" s="79"/>
      <c r="O936" s="79"/>
      <c r="P936" s="79"/>
      <c r="S936" s="79"/>
      <c r="T936" s="79"/>
      <c r="W936" s="130"/>
      <c r="Y936" s="106"/>
    </row>
    <row r="937">
      <c r="C937" s="79"/>
      <c r="D937" s="79"/>
      <c r="J937" s="79"/>
      <c r="O937" s="79"/>
      <c r="P937" s="79"/>
      <c r="S937" s="79"/>
      <c r="T937" s="79"/>
      <c r="W937" s="130"/>
      <c r="Y937" s="106"/>
    </row>
    <row r="938">
      <c r="C938" s="79"/>
      <c r="D938" s="79"/>
      <c r="J938" s="79"/>
      <c r="O938" s="79"/>
      <c r="P938" s="79"/>
      <c r="S938" s="79"/>
      <c r="T938" s="79"/>
      <c r="W938" s="130"/>
      <c r="Y938" s="106"/>
    </row>
    <row r="939">
      <c r="C939" s="79"/>
      <c r="D939" s="79"/>
      <c r="J939" s="79"/>
      <c r="O939" s="79"/>
      <c r="P939" s="79"/>
      <c r="S939" s="79"/>
      <c r="T939" s="79"/>
      <c r="W939" s="130"/>
      <c r="Y939" s="106"/>
    </row>
    <row r="940">
      <c r="C940" s="79"/>
      <c r="D940" s="79"/>
      <c r="J940" s="79"/>
      <c r="O940" s="79"/>
      <c r="P940" s="79"/>
      <c r="S940" s="79"/>
      <c r="T940" s="79"/>
      <c r="W940" s="130"/>
      <c r="Y940" s="106"/>
    </row>
    <row r="941">
      <c r="C941" s="79"/>
      <c r="D941" s="79"/>
      <c r="J941" s="79"/>
      <c r="O941" s="79"/>
      <c r="P941" s="79"/>
      <c r="S941" s="79"/>
      <c r="T941" s="79"/>
      <c r="W941" s="130"/>
      <c r="Y941" s="106"/>
    </row>
    <row r="942">
      <c r="C942" s="79"/>
      <c r="D942" s="79"/>
      <c r="J942" s="79"/>
      <c r="O942" s="79"/>
      <c r="P942" s="79"/>
      <c r="S942" s="79"/>
      <c r="T942" s="79"/>
      <c r="W942" s="130"/>
      <c r="Y942" s="106"/>
    </row>
    <row r="943">
      <c r="C943" s="79"/>
      <c r="D943" s="79"/>
      <c r="J943" s="79"/>
      <c r="O943" s="79"/>
      <c r="P943" s="79"/>
      <c r="S943" s="79"/>
      <c r="T943" s="79"/>
      <c r="W943" s="130"/>
      <c r="Y943" s="106"/>
    </row>
    <row r="944">
      <c r="C944" s="79"/>
      <c r="D944" s="79"/>
      <c r="J944" s="79"/>
      <c r="O944" s="79"/>
      <c r="P944" s="79"/>
      <c r="S944" s="79"/>
      <c r="T944" s="79"/>
      <c r="W944" s="130"/>
      <c r="Y944" s="106"/>
    </row>
    <row r="945">
      <c r="C945" s="79"/>
      <c r="D945" s="79"/>
      <c r="J945" s="79"/>
      <c r="O945" s="79"/>
      <c r="P945" s="79"/>
      <c r="S945" s="79"/>
      <c r="T945" s="79"/>
      <c r="W945" s="130"/>
      <c r="Y945" s="106"/>
    </row>
    <row r="946">
      <c r="C946" s="79"/>
      <c r="D946" s="79"/>
      <c r="J946" s="79"/>
      <c r="O946" s="79"/>
      <c r="P946" s="79"/>
      <c r="S946" s="79"/>
      <c r="T946" s="79"/>
      <c r="W946" s="130"/>
      <c r="Y946" s="106"/>
    </row>
    <row r="947">
      <c r="C947" s="79"/>
      <c r="D947" s="79"/>
      <c r="J947" s="79"/>
      <c r="O947" s="79"/>
      <c r="P947" s="79"/>
      <c r="S947" s="79"/>
      <c r="T947" s="79"/>
      <c r="W947" s="130"/>
      <c r="Y947" s="106"/>
    </row>
    <row r="948">
      <c r="C948" s="79"/>
      <c r="D948" s="79"/>
      <c r="J948" s="79"/>
      <c r="O948" s="79"/>
      <c r="P948" s="79"/>
      <c r="S948" s="79"/>
      <c r="T948" s="79"/>
      <c r="W948" s="130"/>
      <c r="Y948" s="106"/>
    </row>
    <row r="949">
      <c r="C949" s="79"/>
      <c r="D949" s="79"/>
      <c r="J949" s="79"/>
      <c r="O949" s="79"/>
      <c r="P949" s="79"/>
      <c r="S949" s="79"/>
      <c r="T949" s="79"/>
      <c r="W949" s="130"/>
      <c r="Y949" s="106"/>
    </row>
    <row r="950">
      <c r="C950" s="79"/>
      <c r="D950" s="79"/>
      <c r="J950" s="79"/>
      <c r="O950" s="79"/>
      <c r="P950" s="79"/>
      <c r="S950" s="79"/>
      <c r="T950" s="79"/>
      <c r="W950" s="130"/>
      <c r="Y950" s="106"/>
    </row>
    <row r="951">
      <c r="C951" s="79"/>
      <c r="D951" s="79"/>
      <c r="J951" s="79"/>
      <c r="O951" s="79"/>
      <c r="P951" s="79"/>
      <c r="S951" s="79"/>
      <c r="T951" s="79"/>
      <c r="W951" s="130"/>
      <c r="Y951" s="106"/>
    </row>
    <row r="952">
      <c r="C952" s="79"/>
      <c r="D952" s="79"/>
      <c r="J952" s="79"/>
      <c r="O952" s="79"/>
      <c r="P952" s="79"/>
      <c r="S952" s="79"/>
      <c r="T952" s="79"/>
      <c r="W952" s="130"/>
      <c r="Y952" s="106"/>
    </row>
    <row r="953">
      <c r="C953" s="79"/>
      <c r="D953" s="79"/>
      <c r="J953" s="79"/>
      <c r="O953" s="79"/>
      <c r="P953" s="79"/>
      <c r="S953" s="79"/>
      <c r="T953" s="79"/>
      <c r="W953" s="130"/>
      <c r="Y953" s="106"/>
    </row>
    <row r="954">
      <c r="C954" s="79"/>
      <c r="D954" s="79"/>
      <c r="J954" s="79"/>
      <c r="O954" s="79"/>
      <c r="P954" s="79"/>
      <c r="S954" s="79"/>
      <c r="T954" s="79"/>
      <c r="W954" s="130"/>
      <c r="Y954" s="106"/>
    </row>
    <row r="955">
      <c r="C955" s="79"/>
      <c r="D955" s="79"/>
      <c r="J955" s="79"/>
      <c r="O955" s="79"/>
      <c r="P955" s="79"/>
      <c r="S955" s="79"/>
      <c r="T955" s="79"/>
      <c r="W955" s="130"/>
      <c r="Y955" s="106"/>
    </row>
    <row r="956">
      <c r="C956" s="79"/>
      <c r="D956" s="79"/>
      <c r="J956" s="79"/>
      <c r="O956" s="79"/>
      <c r="P956" s="79"/>
      <c r="S956" s="79"/>
      <c r="T956" s="79"/>
      <c r="W956" s="130"/>
      <c r="Y956" s="106"/>
    </row>
    <row r="957">
      <c r="C957" s="79"/>
      <c r="D957" s="79"/>
      <c r="J957" s="79"/>
      <c r="O957" s="79"/>
      <c r="P957" s="79"/>
      <c r="S957" s="79"/>
      <c r="T957" s="79"/>
      <c r="W957" s="130"/>
      <c r="Y957" s="106"/>
    </row>
    <row r="958">
      <c r="C958" s="79"/>
      <c r="D958" s="79"/>
      <c r="J958" s="79"/>
      <c r="O958" s="79"/>
      <c r="P958" s="79"/>
      <c r="S958" s="79"/>
      <c r="T958" s="79"/>
      <c r="W958" s="130"/>
      <c r="Y958" s="106"/>
    </row>
    <row r="959">
      <c r="C959" s="79"/>
      <c r="D959" s="79"/>
      <c r="J959" s="79"/>
      <c r="O959" s="79"/>
      <c r="P959" s="79"/>
      <c r="S959" s="79"/>
      <c r="T959" s="79"/>
      <c r="W959" s="130"/>
      <c r="Y959" s="106"/>
    </row>
    <row r="960">
      <c r="C960" s="79"/>
      <c r="D960" s="79"/>
      <c r="J960" s="79"/>
      <c r="O960" s="79"/>
      <c r="P960" s="79"/>
      <c r="S960" s="79"/>
      <c r="T960" s="79"/>
      <c r="W960" s="130"/>
      <c r="Y960" s="106"/>
    </row>
    <row r="961">
      <c r="C961" s="79"/>
      <c r="D961" s="79"/>
      <c r="J961" s="79"/>
      <c r="O961" s="79"/>
      <c r="P961" s="79"/>
      <c r="S961" s="79"/>
      <c r="T961" s="79"/>
      <c r="W961" s="130"/>
      <c r="Y961" s="106"/>
    </row>
    <row r="962">
      <c r="C962" s="79"/>
      <c r="D962" s="79"/>
      <c r="J962" s="79"/>
      <c r="O962" s="79"/>
      <c r="P962" s="79"/>
      <c r="S962" s="79"/>
      <c r="T962" s="79"/>
      <c r="W962" s="130"/>
      <c r="Y962" s="106"/>
    </row>
    <row r="963">
      <c r="C963" s="79"/>
      <c r="D963" s="79"/>
      <c r="J963" s="79"/>
      <c r="O963" s="79"/>
      <c r="P963" s="79"/>
      <c r="S963" s="79"/>
      <c r="T963" s="79"/>
      <c r="W963" s="130"/>
      <c r="Y963" s="106"/>
    </row>
    <row r="964">
      <c r="C964" s="79"/>
      <c r="D964" s="79"/>
      <c r="J964" s="79"/>
      <c r="O964" s="79"/>
      <c r="P964" s="79"/>
      <c r="S964" s="79"/>
      <c r="T964" s="79"/>
      <c r="W964" s="130"/>
      <c r="Y964" s="106"/>
    </row>
    <row r="965">
      <c r="C965" s="79"/>
      <c r="D965" s="79"/>
      <c r="J965" s="79"/>
      <c r="O965" s="79"/>
      <c r="P965" s="79"/>
      <c r="S965" s="79"/>
      <c r="T965" s="79"/>
      <c r="W965" s="130"/>
      <c r="Y965" s="106"/>
    </row>
    <row r="966">
      <c r="C966" s="79"/>
      <c r="D966" s="79"/>
      <c r="J966" s="79"/>
      <c r="O966" s="79"/>
      <c r="P966" s="79"/>
      <c r="S966" s="79"/>
      <c r="T966" s="79"/>
      <c r="W966" s="130"/>
      <c r="Y966" s="106"/>
    </row>
    <row r="967">
      <c r="C967" s="79"/>
      <c r="D967" s="79"/>
      <c r="J967" s="79"/>
      <c r="O967" s="79"/>
      <c r="P967" s="79"/>
      <c r="S967" s="79"/>
      <c r="T967" s="79"/>
      <c r="W967" s="130"/>
      <c r="Y967" s="106"/>
    </row>
    <row r="968">
      <c r="C968" s="79"/>
      <c r="D968" s="79"/>
      <c r="J968" s="79"/>
      <c r="O968" s="79"/>
      <c r="P968" s="79"/>
      <c r="S968" s="79"/>
      <c r="T968" s="79"/>
      <c r="W968" s="130"/>
      <c r="Y968" s="106"/>
    </row>
    <row r="969">
      <c r="C969" s="79"/>
      <c r="D969" s="79"/>
      <c r="J969" s="79"/>
      <c r="O969" s="79"/>
      <c r="P969" s="79"/>
      <c r="S969" s="79"/>
      <c r="T969" s="79"/>
      <c r="W969" s="130"/>
      <c r="Y969" s="106"/>
    </row>
    <row r="970">
      <c r="C970" s="79"/>
      <c r="D970" s="79"/>
      <c r="J970" s="79"/>
      <c r="O970" s="79"/>
      <c r="P970" s="79"/>
      <c r="S970" s="79"/>
      <c r="T970" s="79"/>
      <c r="W970" s="130"/>
      <c r="Y970" s="106"/>
    </row>
    <row r="971">
      <c r="C971" s="79"/>
      <c r="D971" s="79"/>
      <c r="J971" s="79"/>
      <c r="O971" s="79"/>
      <c r="P971" s="79"/>
      <c r="S971" s="79"/>
      <c r="T971" s="79"/>
      <c r="W971" s="130"/>
      <c r="Y971" s="106"/>
    </row>
    <row r="972">
      <c r="C972" s="79"/>
      <c r="D972" s="79"/>
      <c r="J972" s="79"/>
      <c r="O972" s="79"/>
      <c r="P972" s="79"/>
      <c r="S972" s="79"/>
      <c r="T972" s="79"/>
      <c r="W972" s="130"/>
      <c r="Y972" s="106"/>
    </row>
    <row r="973">
      <c r="C973" s="79"/>
      <c r="D973" s="79"/>
      <c r="J973" s="79"/>
      <c r="O973" s="79"/>
      <c r="P973" s="79"/>
      <c r="S973" s="79"/>
      <c r="T973" s="79"/>
      <c r="W973" s="130"/>
      <c r="Y973" s="106"/>
    </row>
    <row r="974">
      <c r="C974" s="79"/>
      <c r="D974" s="79"/>
      <c r="J974" s="79"/>
      <c r="O974" s="79"/>
      <c r="P974" s="79"/>
      <c r="S974" s="79"/>
      <c r="T974" s="79"/>
      <c r="W974" s="130"/>
      <c r="Y974" s="106"/>
    </row>
    <row r="975">
      <c r="C975" s="79"/>
      <c r="D975" s="79"/>
      <c r="J975" s="79"/>
      <c r="O975" s="79"/>
      <c r="P975" s="79"/>
      <c r="S975" s="79"/>
      <c r="T975" s="79"/>
      <c r="W975" s="130"/>
      <c r="Y975" s="106"/>
    </row>
    <row r="976">
      <c r="C976" s="79"/>
      <c r="D976" s="79"/>
      <c r="J976" s="79"/>
      <c r="O976" s="79"/>
      <c r="P976" s="79"/>
      <c r="S976" s="79"/>
      <c r="T976" s="79"/>
      <c r="W976" s="130"/>
      <c r="Y976" s="106"/>
    </row>
    <row r="977">
      <c r="C977" s="79"/>
      <c r="D977" s="79"/>
      <c r="J977" s="79"/>
      <c r="O977" s="79"/>
      <c r="P977" s="79"/>
      <c r="S977" s="79"/>
      <c r="T977" s="79"/>
      <c r="W977" s="130"/>
      <c r="Y977" s="106"/>
    </row>
    <row r="978">
      <c r="C978" s="79"/>
      <c r="D978" s="79"/>
      <c r="J978" s="79"/>
      <c r="O978" s="79"/>
      <c r="P978" s="79"/>
      <c r="S978" s="79"/>
      <c r="T978" s="79"/>
      <c r="W978" s="130"/>
      <c r="Y978" s="106"/>
    </row>
    <row r="979">
      <c r="C979" s="79"/>
      <c r="D979" s="79"/>
      <c r="J979" s="79"/>
      <c r="O979" s="79"/>
      <c r="P979" s="79"/>
      <c r="S979" s="79"/>
      <c r="T979" s="79"/>
      <c r="W979" s="130"/>
      <c r="Y979" s="106"/>
    </row>
    <row r="980">
      <c r="C980" s="79"/>
      <c r="D980" s="79"/>
      <c r="J980" s="79"/>
      <c r="O980" s="79"/>
      <c r="P980" s="79"/>
      <c r="S980" s="79"/>
      <c r="T980" s="79"/>
      <c r="W980" s="130"/>
      <c r="Y980" s="106"/>
    </row>
    <row r="981">
      <c r="C981" s="79"/>
      <c r="D981" s="79"/>
      <c r="J981" s="79"/>
      <c r="O981" s="79"/>
      <c r="P981" s="79"/>
      <c r="S981" s="79"/>
      <c r="T981" s="79"/>
      <c r="W981" s="130"/>
      <c r="Y981" s="106"/>
    </row>
    <row r="982">
      <c r="C982" s="79"/>
      <c r="D982" s="79"/>
      <c r="J982" s="79"/>
      <c r="O982" s="79"/>
      <c r="P982" s="79"/>
      <c r="S982" s="79"/>
      <c r="T982" s="79"/>
      <c r="W982" s="130"/>
      <c r="Y982" s="106"/>
    </row>
    <row r="983">
      <c r="C983" s="79"/>
      <c r="D983" s="79"/>
      <c r="J983" s="79"/>
      <c r="O983" s="79"/>
      <c r="P983" s="79"/>
      <c r="S983" s="79"/>
      <c r="T983" s="79"/>
      <c r="W983" s="130"/>
      <c r="Y983" s="106"/>
    </row>
    <row r="984">
      <c r="C984" s="79"/>
      <c r="D984" s="79"/>
      <c r="J984" s="79"/>
      <c r="O984" s="79"/>
      <c r="P984" s="79"/>
      <c r="S984" s="79"/>
      <c r="T984" s="79"/>
      <c r="W984" s="130"/>
      <c r="Y984" s="106"/>
    </row>
    <row r="985">
      <c r="C985" s="79"/>
      <c r="D985" s="79"/>
      <c r="J985" s="79"/>
      <c r="O985" s="79"/>
      <c r="P985" s="79"/>
      <c r="S985" s="79"/>
      <c r="T985" s="79"/>
      <c r="W985" s="130"/>
      <c r="Y985" s="106"/>
    </row>
    <row r="986">
      <c r="C986" s="79"/>
      <c r="D986" s="79"/>
      <c r="J986" s="79"/>
      <c r="O986" s="79"/>
      <c r="P986" s="79"/>
      <c r="S986" s="79"/>
      <c r="T986" s="79"/>
      <c r="W986" s="130"/>
      <c r="Y986" s="106"/>
    </row>
    <row r="987">
      <c r="C987" s="79"/>
      <c r="D987" s="79"/>
      <c r="J987" s="79"/>
      <c r="O987" s="79"/>
      <c r="P987" s="79"/>
      <c r="S987" s="79"/>
      <c r="T987" s="79"/>
      <c r="W987" s="130"/>
      <c r="Y987" s="106"/>
    </row>
    <row r="988">
      <c r="C988" s="79"/>
      <c r="D988" s="79"/>
      <c r="J988" s="79"/>
      <c r="O988" s="79"/>
      <c r="P988" s="79"/>
      <c r="S988" s="79"/>
      <c r="T988" s="79"/>
      <c r="W988" s="130"/>
      <c r="Y988" s="106"/>
    </row>
    <row r="989">
      <c r="C989" s="79"/>
      <c r="D989" s="79"/>
      <c r="J989" s="79"/>
      <c r="O989" s="79"/>
      <c r="P989" s="79"/>
      <c r="S989" s="79"/>
      <c r="T989" s="79"/>
      <c r="W989" s="130"/>
      <c r="Y989" s="106"/>
    </row>
    <row r="990">
      <c r="C990" s="79"/>
      <c r="D990" s="79"/>
      <c r="J990" s="79"/>
      <c r="O990" s="79"/>
      <c r="P990" s="79"/>
      <c r="S990" s="79"/>
      <c r="T990" s="79"/>
      <c r="W990" s="130"/>
      <c r="Y990" s="106"/>
    </row>
    <row r="991">
      <c r="C991" s="79"/>
      <c r="D991" s="79"/>
      <c r="J991" s="79"/>
      <c r="O991" s="79"/>
      <c r="P991" s="79"/>
      <c r="S991" s="79"/>
      <c r="T991" s="79"/>
      <c r="W991" s="130"/>
      <c r="Y991" s="106"/>
    </row>
    <row r="992">
      <c r="C992" s="79"/>
      <c r="D992" s="79"/>
      <c r="J992" s="79"/>
      <c r="O992" s="79"/>
      <c r="P992" s="79"/>
      <c r="S992" s="79"/>
      <c r="T992" s="79"/>
      <c r="W992" s="130"/>
      <c r="Y992" s="106"/>
    </row>
    <row r="993">
      <c r="C993" s="79"/>
      <c r="D993" s="79"/>
      <c r="J993" s="79"/>
      <c r="O993" s="79"/>
      <c r="P993" s="79"/>
      <c r="S993" s="79"/>
      <c r="T993" s="79"/>
      <c r="W993" s="130"/>
      <c r="Y993" s="106"/>
    </row>
    <row r="994">
      <c r="C994" s="79"/>
      <c r="D994" s="79"/>
      <c r="J994" s="79"/>
      <c r="O994" s="79"/>
      <c r="P994" s="79"/>
      <c r="S994" s="79"/>
      <c r="T994" s="79"/>
      <c r="W994" s="130"/>
      <c r="Y994" s="106"/>
    </row>
    <row r="995">
      <c r="C995" s="79"/>
      <c r="D995" s="79"/>
      <c r="J995" s="79"/>
      <c r="O995" s="79"/>
      <c r="P995" s="79"/>
      <c r="S995" s="79"/>
      <c r="T995" s="79"/>
      <c r="W995" s="130"/>
      <c r="Y995" s="106"/>
    </row>
    <row r="996">
      <c r="C996" s="79"/>
      <c r="D996" s="79"/>
      <c r="J996" s="79"/>
      <c r="O996" s="79"/>
      <c r="P996" s="79"/>
      <c r="S996" s="79"/>
      <c r="T996" s="79"/>
      <c r="W996" s="130"/>
      <c r="Y996" s="106"/>
    </row>
    <row r="997">
      <c r="C997" s="79"/>
      <c r="D997" s="79"/>
      <c r="J997" s="79"/>
      <c r="O997" s="79"/>
      <c r="P997" s="79"/>
      <c r="S997" s="79"/>
      <c r="T997" s="79"/>
      <c r="W997" s="130"/>
      <c r="Y997" s="106"/>
    </row>
    <row r="998">
      <c r="C998" s="79"/>
      <c r="D998" s="79"/>
      <c r="J998" s="79"/>
      <c r="O998" s="79"/>
      <c r="P998" s="79"/>
      <c r="S998" s="79"/>
      <c r="T998" s="79"/>
      <c r="W998" s="130"/>
      <c r="Y998" s="106"/>
    </row>
    <row r="999">
      <c r="C999" s="79"/>
      <c r="D999" s="79"/>
      <c r="J999" s="79"/>
      <c r="O999" s="79"/>
      <c r="P999" s="79"/>
      <c r="S999" s="79"/>
      <c r="T999" s="79"/>
      <c r="W999" s="130"/>
      <c r="Y999" s="106"/>
    </row>
    <row r="1000">
      <c r="C1000" s="79"/>
      <c r="D1000" s="79"/>
      <c r="J1000" s="79"/>
      <c r="O1000" s="79"/>
      <c r="P1000" s="79"/>
      <c r="S1000" s="79"/>
      <c r="T1000" s="79"/>
      <c r="W1000" s="130"/>
      <c r="Y1000" s="106"/>
    </row>
  </sheetData>
  <mergeCells count="1">
    <mergeCell ref="H19:J19"/>
  </mergeCells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5" max="25" width="17.0"/>
  </cols>
  <sheetData>
    <row r="1">
      <c r="B1" s="2" t="s">
        <v>0</v>
      </c>
      <c r="C1" s="105" t="s">
        <v>1</v>
      </c>
      <c r="D1" s="105" t="s">
        <v>7</v>
      </c>
      <c r="E1" s="2" t="s">
        <v>3</v>
      </c>
      <c r="F1" s="2" t="s">
        <v>129</v>
      </c>
      <c r="G1" s="2" t="s">
        <v>5</v>
      </c>
      <c r="H1" s="2" t="s">
        <v>6</v>
      </c>
      <c r="I1" s="2" t="s">
        <v>43</v>
      </c>
      <c r="J1" s="105" t="s">
        <v>40</v>
      </c>
      <c r="K1" s="2" t="s">
        <v>49</v>
      </c>
      <c r="L1" s="2" t="s">
        <v>42</v>
      </c>
      <c r="M1" s="2" t="s">
        <v>121</v>
      </c>
      <c r="N1" s="2" t="s">
        <v>164</v>
      </c>
      <c r="O1" s="105" t="s">
        <v>9</v>
      </c>
      <c r="P1" s="105" t="s">
        <v>165</v>
      </c>
      <c r="Q1" s="2" t="s">
        <v>37</v>
      </c>
      <c r="R1" s="2" t="s">
        <v>10</v>
      </c>
      <c r="S1" s="105" t="s">
        <v>11</v>
      </c>
      <c r="T1" s="105" t="s">
        <v>167</v>
      </c>
      <c r="U1" s="2" t="s">
        <v>12</v>
      </c>
      <c r="V1" s="3" t="s">
        <v>13</v>
      </c>
      <c r="W1" s="126" t="s">
        <v>14</v>
      </c>
      <c r="X1" s="3" t="s">
        <v>15</v>
      </c>
      <c r="Y1" s="106"/>
    </row>
    <row r="2">
      <c r="A2" s="74">
        <v>45201.0</v>
      </c>
      <c r="B2" s="5">
        <v>1397.34</v>
      </c>
      <c r="C2" s="93">
        <v>569.8</v>
      </c>
      <c r="D2" s="93"/>
      <c r="E2" s="5"/>
      <c r="F2" s="5">
        <v>758.52</v>
      </c>
      <c r="G2" s="5"/>
      <c r="H2" s="5"/>
      <c r="I2" s="5"/>
      <c r="J2" s="136"/>
      <c r="K2" s="5">
        <v>168.0</v>
      </c>
      <c r="L2" s="5"/>
      <c r="M2" s="5"/>
      <c r="N2" s="5"/>
      <c r="O2" s="93"/>
      <c r="P2" s="93"/>
      <c r="Q2" s="5"/>
      <c r="R2" s="5"/>
      <c r="S2" s="93">
        <v>57.05</v>
      </c>
      <c r="T2" s="93"/>
      <c r="U2" s="5"/>
      <c r="V2" s="107">
        <f t="shared" ref="V2:V7" si="1">SUM(B2:U2)</f>
        <v>2950.71</v>
      </c>
      <c r="W2" s="108">
        <v>4822.01</v>
      </c>
      <c r="X2" s="59">
        <f t="shared" ref="X2:X8" si="2">V2/W2</f>
        <v>0.6119253175</v>
      </c>
      <c r="Y2" s="109">
        <f t="shared" ref="Y2:Y8" si="3">A2</f>
        <v>45201</v>
      </c>
    </row>
    <row r="3">
      <c r="A3" s="74">
        <v>45202.0</v>
      </c>
      <c r="B3" s="5">
        <v>1177.81</v>
      </c>
      <c r="C3" s="110">
        <v>407.09</v>
      </c>
      <c r="D3" s="93"/>
      <c r="E3" s="5"/>
      <c r="F3" s="5">
        <v>637.9</v>
      </c>
      <c r="G3" s="5"/>
      <c r="H3" s="5">
        <v>42.0</v>
      </c>
      <c r="I3" s="5"/>
      <c r="J3" s="93"/>
      <c r="K3" s="5">
        <v>168.0</v>
      </c>
      <c r="L3" s="5"/>
      <c r="M3" s="6"/>
      <c r="N3" s="6"/>
      <c r="O3" s="93"/>
      <c r="P3" s="93"/>
      <c r="Q3" s="93"/>
      <c r="R3" s="5">
        <v>219.75</v>
      </c>
      <c r="S3" s="93"/>
      <c r="T3" s="93"/>
      <c r="U3" s="93"/>
      <c r="V3" s="7">
        <f t="shared" si="1"/>
        <v>2652.55</v>
      </c>
      <c r="W3" s="97">
        <v>7630.0</v>
      </c>
      <c r="X3" s="59">
        <f t="shared" si="2"/>
        <v>0.3476474443</v>
      </c>
      <c r="Y3" s="109">
        <f t="shared" si="3"/>
        <v>45202</v>
      </c>
    </row>
    <row r="4">
      <c r="A4" s="74">
        <v>45203.0</v>
      </c>
      <c r="B4" s="5">
        <v>1804.7</v>
      </c>
      <c r="C4" s="93">
        <v>460.8</v>
      </c>
      <c r="D4" s="93"/>
      <c r="E4" s="5"/>
      <c r="F4" s="5"/>
      <c r="G4" s="5">
        <v>399.0</v>
      </c>
      <c r="H4" s="5"/>
      <c r="I4" s="5"/>
      <c r="J4" s="93"/>
      <c r="K4" s="5"/>
      <c r="L4" s="5"/>
      <c r="M4" s="5">
        <v>18.5</v>
      </c>
      <c r="N4" s="5"/>
      <c r="O4" s="93"/>
      <c r="P4" s="93"/>
      <c r="Q4" s="5"/>
      <c r="R4" s="83"/>
      <c r="S4" s="93">
        <v>57.05</v>
      </c>
      <c r="T4" s="93"/>
      <c r="U4" s="6"/>
      <c r="V4" s="7">
        <f t="shared" si="1"/>
        <v>2740.05</v>
      </c>
      <c r="W4" s="97">
        <v>14313.5</v>
      </c>
      <c r="X4" s="59">
        <f t="shared" si="2"/>
        <v>0.1914311664</v>
      </c>
      <c r="Y4" s="109">
        <f t="shared" si="3"/>
        <v>45203</v>
      </c>
    </row>
    <row r="5">
      <c r="A5" s="74">
        <v>45204.0</v>
      </c>
      <c r="B5" s="5">
        <v>1024.89</v>
      </c>
      <c r="C5" s="93">
        <v>282.76</v>
      </c>
      <c r="D5" s="101"/>
      <c r="E5" s="5">
        <v>180.0</v>
      </c>
      <c r="F5" s="5"/>
      <c r="G5" s="5"/>
      <c r="H5" s="5">
        <v>123.0</v>
      </c>
      <c r="I5" s="5"/>
      <c r="J5" s="93"/>
      <c r="K5" s="5"/>
      <c r="L5" s="5"/>
      <c r="M5" s="5">
        <v>18.5</v>
      </c>
      <c r="N5" s="5"/>
      <c r="O5" s="93"/>
      <c r="P5" s="93"/>
      <c r="Q5" s="5"/>
      <c r="R5" s="5"/>
      <c r="S5" s="101"/>
      <c r="T5" s="101"/>
      <c r="U5" s="6"/>
      <c r="V5" s="7">
        <f t="shared" si="1"/>
        <v>1629.15</v>
      </c>
      <c r="W5" s="98">
        <v>8693.41</v>
      </c>
      <c r="X5" s="59">
        <f t="shared" si="2"/>
        <v>0.1874005712</v>
      </c>
      <c r="Y5" s="109">
        <f t="shared" si="3"/>
        <v>45204</v>
      </c>
    </row>
    <row r="6">
      <c r="A6" s="74">
        <v>45205.0</v>
      </c>
      <c r="B6" s="5">
        <v>2536.18</v>
      </c>
      <c r="C6" s="93">
        <v>532.49</v>
      </c>
      <c r="D6" s="93"/>
      <c r="E6" s="5"/>
      <c r="F6" s="32">
        <v>551.55</v>
      </c>
      <c r="G6" s="5">
        <v>680.02</v>
      </c>
      <c r="H6" s="5"/>
      <c r="I6" s="5"/>
      <c r="J6" s="111"/>
      <c r="K6" s="5"/>
      <c r="L6" s="5"/>
      <c r="M6" s="5">
        <v>18.5</v>
      </c>
      <c r="N6" s="5"/>
      <c r="O6" s="93"/>
      <c r="P6" s="93"/>
      <c r="Q6" s="5"/>
      <c r="R6" s="5"/>
      <c r="S6" s="93">
        <v>57.05</v>
      </c>
      <c r="T6" s="93"/>
      <c r="U6" s="5"/>
      <c r="V6" s="7">
        <f t="shared" si="1"/>
        <v>4375.79</v>
      </c>
      <c r="W6" s="97">
        <v>10999.0</v>
      </c>
      <c r="X6" s="59">
        <f t="shared" si="2"/>
        <v>0.3978352578</v>
      </c>
      <c r="Y6" s="109">
        <f t="shared" si="3"/>
        <v>45205</v>
      </c>
    </row>
    <row r="7">
      <c r="A7" s="74">
        <v>45206.0</v>
      </c>
      <c r="B7" s="5">
        <v>1920.43</v>
      </c>
      <c r="C7" s="93">
        <v>64.6</v>
      </c>
      <c r="D7" s="93"/>
      <c r="E7" s="5"/>
      <c r="F7" s="5"/>
      <c r="G7" s="5"/>
      <c r="H7" s="5"/>
      <c r="I7" s="5"/>
      <c r="J7" s="101"/>
      <c r="K7" s="5"/>
      <c r="L7" s="5"/>
      <c r="M7" s="93"/>
      <c r="N7" s="93"/>
      <c r="O7" s="93"/>
      <c r="P7" s="93"/>
      <c r="Q7" s="5">
        <v>468.0</v>
      </c>
      <c r="R7" s="6"/>
      <c r="S7" s="101"/>
      <c r="T7" s="101"/>
      <c r="U7" s="5"/>
      <c r="V7" s="7">
        <f t="shared" si="1"/>
        <v>2453.03</v>
      </c>
      <c r="W7" s="97">
        <v>11610.0</v>
      </c>
      <c r="X7" s="59">
        <f t="shared" si="2"/>
        <v>0.2112859604</v>
      </c>
      <c r="Y7" s="109">
        <f t="shared" si="3"/>
        <v>45206</v>
      </c>
    </row>
    <row r="8">
      <c r="A8" s="74">
        <v>45207.0</v>
      </c>
      <c r="B8" s="10" t="s">
        <v>21</v>
      </c>
      <c r="C8" s="112" t="s">
        <v>21</v>
      </c>
      <c r="D8" s="112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12" t="s">
        <v>21</v>
      </c>
      <c r="K8" s="10" t="s">
        <v>21</v>
      </c>
      <c r="L8" s="10" t="s">
        <v>21</v>
      </c>
      <c r="M8" s="10"/>
      <c r="N8" s="10"/>
      <c r="O8" s="112" t="s">
        <v>21</v>
      </c>
      <c r="P8" s="112"/>
      <c r="Q8" s="10" t="s">
        <v>21</v>
      </c>
      <c r="R8" s="10" t="s">
        <v>21</v>
      </c>
      <c r="S8" s="112" t="s">
        <v>21</v>
      </c>
      <c r="T8" s="112"/>
      <c r="U8" s="10" t="s">
        <v>21</v>
      </c>
      <c r="V8" s="7">
        <v>0.0</v>
      </c>
      <c r="W8" s="97">
        <v>9723.5</v>
      </c>
      <c r="X8" s="59">
        <f t="shared" si="2"/>
        <v>0</v>
      </c>
      <c r="Y8" s="109">
        <f t="shared" si="3"/>
        <v>45207</v>
      </c>
    </row>
    <row r="9">
      <c r="C9" s="136"/>
      <c r="D9" s="138"/>
      <c r="J9" s="79"/>
      <c r="S9" s="79"/>
      <c r="T9" s="79"/>
      <c r="W9" s="129"/>
      <c r="Y9" s="106"/>
    </row>
    <row r="10">
      <c r="C10" s="79"/>
      <c r="D10" s="79"/>
      <c r="J10" s="79"/>
      <c r="O10" s="79"/>
      <c r="P10" s="79"/>
      <c r="S10" s="79"/>
      <c r="T10" s="79"/>
      <c r="W10" s="130"/>
      <c r="Y10" s="106"/>
    </row>
    <row r="11">
      <c r="A11" s="4" t="s">
        <v>22</v>
      </c>
      <c r="B11" s="11">
        <v>13000.0</v>
      </c>
      <c r="C11" s="79"/>
      <c r="D11" s="79"/>
      <c r="E11" s="78"/>
      <c r="F11" s="79"/>
      <c r="J11" s="79"/>
      <c r="O11" s="79"/>
      <c r="P11" s="79"/>
      <c r="S11" s="79"/>
      <c r="T11" s="79"/>
      <c r="W11" s="131"/>
      <c r="Y11" s="106"/>
    </row>
    <row r="12">
      <c r="A12" s="4" t="s">
        <v>23</v>
      </c>
      <c r="B12" s="12">
        <f>SUM(B2:U8)+C9</f>
        <v>16801.28</v>
      </c>
      <c r="C12" s="79"/>
      <c r="D12" s="79"/>
      <c r="E12" s="56"/>
      <c r="J12" s="79"/>
      <c r="O12" s="79"/>
      <c r="P12" s="79"/>
      <c r="S12" s="79"/>
      <c r="T12" s="79"/>
      <c r="W12" s="130"/>
      <c r="Y12" s="106"/>
    </row>
    <row r="13">
      <c r="A13" s="4" t="s">
        <v>24</v>
      </c>
      <c r="B13" s="12">
        <f> SUM(B11-B12)</f>
        <v>-3801.28</v>
      </c>
      <c r="C13" s="79"/>
      <c r="D13" s="79"/>
      <c r="J13" s="79"/>
      <c r="O13" s="79"/>
      <c r="P13" s="79"/>
      <c r="S13" s="79"/>
      <c r="T13" s="79"/>
      <c r="W13" s="130"/>
      <c r="Y13" s="106"/>
    </row>
    <row r="14">
      <c r="C14" s="79"/>
      <c r="D14" s="79"/>
      <c r="J14" s="79"/>
      <c r="O14" s="79"/>
      <c r="P14" s="79"/>
      <c r="S14" s="79"/>
      <c r="T14" s="79"/>
      <c r="W14" s="130"/>
      <c r="Y14" s="106"/>
    </row>
    <row r="15">
      <c r="A15" s="13" t="s">
        <v>25</v>
      </c>
      <c r="B15" s="14">
        <f>SUM(W2:W8)</f>
        <v>67791.42</v>
      </c>
      <c r="C15" s="79"/>
      <c r="D15" s="79"/>
      <c r="J15" s="79"/>
      <c r="O15" s="79"/>
      <c r="P15" s="79"/>
      <c r="S15" s="79"/>
      <c r="T15" s="79"/>
      <c r="W15" s="130"/>
      <c r="Y15" s="106"/>
    </row>
    <row r="16">
      <c r="A16" s="13" t="s">
        <v>26</v>
      </c>
      <c r="B16" s="15">
        <f>B12/B15</f>
        <v>0.2478378532</v>
      </c>
      <c r="C16" s="79"/>
      <c r="D16" s="79"/>
      <c r="J16" s="79"/>
      <c r="O16" s="79"/>
      <c r="P16" s="79"/>
      <c r="S16" s="79"/>
      <c r="T16" s="79"/>
      <c r="W16" s="130"/>
      <c r="Y16" s="106"/>
    </row>
    <row r="17">
      <c r="C17" s="79"/>
      <c r="D17" s="79"/>
      <c r="J17" s="79"/>
      <c r="O17" s="79"/>
      <c r="P17" s="79"/>
      <c r="S17" s="79"/>
      <c r="T17" s="79"/>
      <c r="W17" s="130"/>
      <c r="Y17" s="106"/>
    </row>
    <row r="18">
      <c r="C18" s="79"/>
      <c r="D18" s="79"/>
      <c r="J18" s="79"/>
      <c r="O18" s="79"/>
      <c r="P18" s="79"/>
      <c r="S18" s="79"/>
      <c r="T18" s="79"/>
      <c r="W18" s="130"/>
      <c r="Y18" s="106"/>
    </row>
    <row r="19">
      <c r="A19" s="16" t="s">
        <v>27</v>
      </c>
      <c r="B19" s="17"/>
      <c r="C19" s="114"/>
      <c r="D19" s="115"/>
      <c r="H19" s="84"/>
      <c r="O19" s="79"/>
      <c r="P19" s="79"/>
      <c r="S19" s="79"/>
      <c r="T19" s="79"/>
      <c r="W19" s="130"/>
      <c r="Y19" s="106"/>
    </row>
    <row r="20">
      <c r="A20" s="19" t="s">
        <v>28</v>
      </c>
      <c r="B20" s="20"/>
      <c r="C20" s="116"/>
      <c r="D20" s="117"/>
      <c r="H20" s="85"/>
      <c r="I20" s="85"/>
      <c r="J20" s="118"/>
      <c r="O20" s="79"/>
      <c r="P20" s="79"/>
      <c r="S20" s="79"/>
      <c r="T20" s="79"/>
      <c r="W20" s="130"/>
      <c r="Y20" s="106"/>
    </row>
    <row r="21">
      <c r="A21" s="22" t="s">
        <v>29</v>
      </c>
      <c r="B21" s="23" t="s">
        <v>30</v>
      </c>
      <c r="C21" s="119" t="s">
        <v>170</v>
      </c>
      <c r="D21" s="120" t="s">
        <v>171</v>
      </c>
      <c r="H21" s="86"/>
      <c r="I21" s="85"/>
      <c r="J21" s="118"/>
      <c r="O21" s="79"/>
      <c r="P21" s="79"/>
      <c r="S21" s="79"/>
      <c r="T21" s="79"/>
      <c r="W21" s="130"/>
      <c r="Y21" s="106"/>
    </row>
    <row r="22">
      <c r="A22" s="28" t="s">
        <v>149</v>
      </c>
      <c r="B22" s="72"/>
      <c r="C22" s="121"/>
      <c r="D22" s="122"/>
      <c r="H22" s="87"/>
      <c r="I22" s="85"/>
      <c r="J22" s="118"/>
      <c r="O22" s="79"/>
      <c r="P22" s="79"/>
      <c r="S22" s="79"/>
      <c r="T22" s="79"/>
      <c r="W22" s="130"/>
      <c r="Y22" s="106"/>
    </row>
    <row r="23">
      <c r="A23" s="28" t="s">
        <v>150</v>
      </c>
      <c r="B23" s="72"/>
      <c r="C23" s="121"/>
      <c r="D23" s="122"/>
      <c r="H23" s="88"/>
      <c r="I23" s="88"/>
      <c r="J23" s="123"/>
      <c r="O23" s="79"/>
      <c r="P23" s="79"/>
      <c r="S23" s="79"/>
      <c r="T23" s="79"/>
      <c r="W23" s="130"/>
      <c r="Y23" s="106"/>
    </row>
    <row r="24">
      <c r="A24" s="71" t="s">
        <v>108</v>
      </c>
      <c r="B24" s="72">
        <v>637.8</v>
      </c>
      <c r="C24" s="71"/>
      <c r="D24" s="124" t="s">
        <v>183</v>
      </c>
      <c r="H24" s="88"/>
      <c r="I24" s="88"/>
      <c r="J24" s="123"/>
      <c r="O24" s="79"/>
      <c r="P24" s="79"/>
      <c r="S24" s="79"/>
      <c r="T24" s="79"/>
      <c r="W24" s="130"/>
      <c r="Y24" s="106"/>
    </row>
    <row r="25">
      <c r="A25" s="28" t="s">
        <v>159</v>
      </c>
      <c r="B25" s="41"/>
      <c r="C25" s="121"/>
      <c r="D25" s="124"/>
      <c r="H25" s="88"/>
      <c r="I25" s="88"/>
      <c r="J25" s="123"/>
      <c r="O25" s="79"/>
      <c r="P25" s="79"/>
      <c r="S25" s="79"/>
      <c r="T25" s="79"/>
      <c r="W25" s="130"/>
      <c r="Y25" s="106"/>
    </row>
    <row r="26">
      <c r="A26" s="28" t="s">
        <v>160</v>
      </c>
      <c r="B26" s="41"/>
      <c r="C26" s="71"/>
      <c r="D26" s="124"/>
      <c r="H26" s="88"/>
      <c r="I26" s="88"/>
      <c r="J26" s="123"/>
      <c r="O26" s="79"/>
      <c r="P26" s="79"/>
      <c r="S26" s="79"/>
      <c r="T26" s="79"/>
      <c r="W26" s="130"/>
      <c r="Y26" s="106"/>
    </row>
    <row r="27">
      <c r="A27" s="28" t="s">
        <v>172</v>
      </c>
      <c r="B27" s="41"/>
      <c r="C27" s="71"/>
      <c r="D27" s="122"/>
      <c r="H27" s="88"/>
      <c r="I27" s="88"/>
      <c r="J27" s="123"/>
      <c r="O27" s="79"/>
      <c r="P27" s="79"/>
      <c r="S27" s="79"/>
      <c r="T27" s="79"/>
      <c r="W27" s="130"/>
      <c r="Y27" s="106"/>
    </row>
    <row r="28">
      <c r="A28" s="25"/>
      <c r="B28" s="26"/>
      <c r="C28" s="121"/>
      <c r="D28" s="122"/>
      <c r="J28" s="79"/>
      <c r="O28" s="79"/>
      <c r="P28" s="79"/>
      <c r="S28" s="79"/>
      <c r="T28" s="79"/>
      <c r="W28" s="132"/>
      <c r="Y28" s="106"/>
    </row>
    <row r="29">
      <c r="A29" s="25"/>
      <c r="B29" s="26"/>
      <c r="C29" s="121"/>
      <c r="D29" s="122"/>
      <c r="I29" s="89"/>
      <c r="J29" s="125"/>
      <c r="O29" s="79"/>
      <c r="P29" s="79"/>
      <c r="S29" s="79"/>
      <c r="T29" s="79"/>
      <c r="W29" s="130"/>
      <c r="Y29" s="106"/>
    </row>
    <row r="30">
      <c r="C30" s="79"/>
      <c r="D30" s="79"/>
      <c r="J30" s="79"/>
      <c r="O30" s="79"/>
      <c r="P30" s="79"/>
      <c r="S30" s="79"/>
      <c r="T30" s="79"/>
      <c r="W30" s="130"/>
      <c r="Y30" s="106"/>
    </row>
    <row r="31">
      <c r="C31" s="79"/>
      <c r="D31" s="79"/>
      <c r="J31" s="79"/>
      <c r="O31" s="79"/>
      <c r="P31" s="79"/>
      <c r="S31" s="79"/>
      <c r="T31" s="79"/>
      <c r="W31" s="130"/>
      <c r="Y31" s="106"/>
    </row>
    <row r="32">
      <c r="C32" s="79"/>
      <c r="D32" s="79"/>
      <c r="J32" s="79"/>
      <c r="O32" s="79"/>
      <c r="P32" s="79"/>
      <c r="S32" s="79"/>
      <c r="T32" s="79"/>
      <c r="W32" s="130"/>
      <c r="Y32" s="106"/>
    </row>
    <row r="33">
      <c r="C33" s="79"/>
      <c r="D33" s="79"/>
      <c r="J33" s="79"/>
      <c r="O33" s="79"/>
      <c r="P33" s="79"/>
      <c r="S33" s="79"/>
      <c r="T33" s="79"/>
      <c r="W33" s="130"/>
      <c r="Y33" s="106"/>
    </row>
    <row r="34">
      <c r="C34" s="79"/>
      <c r="D34" s="79"/>
      <c r="J34" s="79"/>
      <c r="O34" s="79"/>
      <c r="P34" s="79"/>
      <c r="S34" s="79"/>
      <c r="T34" s="79"/>
      <c r="W34" s="130"/>
      <c r="Y34" s="106"/>
    </row>
    <row r="35">
      <c r="C35" s="79"/>
      <c r="D35" s="79"/>
      <c r="J35" s="79"/>
      <c r="O35" s="79"/>
      <c r="P35" s="79"/>
      <c r="S35" s="79"/>
      <c r="T35" s="79"/>
      <c r="W35" s="130"/>
      <c r="Y35" s="106"/>
    </row>
    <row r="36">
      <c r="C36" s="79"/>
      <c r="D36" s="79"/>
      <c r="J36" s="79"/>
      <c r="O36" s="79"/>
      <c r="P36" s="79"/>
      <c r="S36" s="79"/>
      <c r="T36" s="79"/>
      <c r="W36" s="130"/>
      <c r="Y36" s="106"/>
    </row>
    <row r="37">
      <c r="C37" s="79"/>
      <c r="D37" s="79"/>
      <c r="J37" s="79"/>
      <c r="O37" s="79"/>
      <c r="P37" s="79"/>
      <c r="S37" s="79"/>
      <c r="T37" s="79"/>
      <c r="W37" s="130"/>
      <c r="Y37" s="106"/>
    </row>
    <row r="38">
      <c r="C38" s="79"/>
      <c r="D38" s="79"/>
      <c r="J38" s="79"/>
      <c r="O38" s="79"/>
      <c r="P38" s="79"/>
      <c r="S38" s="79"/>
      <c r="T38" s="79"/>
      <c r="W38" s="130"/>
      <c r="Y38" s="106"/>
    </row>
    <row r="39">
      <c r="C39" s="79"/>
      <c r="D39" s="79"/>
      <c r="J39" s="79"/>
      <c r="O39" s="79"/>
      <c r="P39" s="79"/>
      <c r="S39" s="79"/>
      <c r="T39" s="79"/>
      <c r="W39" s="130"/>
      <c r="Y39" s="106"/>
    </row>
    <row r="40">
      <c r="C40" s="79"/>
      <c r="D40" s="79"/>
      <c r="J40" s="79"/>
      <c r="O40" s="79"/>
      <c r="P40" s="79"/>
      <c r="S40" s="79"/>
      <c r="T40" s="79"/>
      <c r="W40" s="130"/>
      <c r="Y40" s="106"/>
    </row>
    <row r="41">
      <c r="C41" s="79"/>
      <c r="D41" s="79"/>
      <c r="J41" s="79"/>
      <c r="O41" s="79"/>
      <c r="P41" s="79"/>
      <c r="S41" s="79"/>
      <c r="T41" s="79"/>
      <c r="W41" s="130"/>
      <c r="Y41" s="106"/>
    </row>
    <row r="42">
      <c r="C42" s="79"/>
      <c r="D42" s="79"/>
      <c r="J42" s="79"/>
      <c r="O42" s="79"/>
      <c r="P42" s="79"/>
      <c r="S42" s="79"/>
      <c r="T42" s="79"/>
      <c r="W42" s="130"/>
      <c r="Y42" s="106"/>
    </row>
    <row r="43">
      <c r="C43" s="79"/>
      <c r="D43" s="79"/>
      <c r="J43" s="79"/>
      <c r="O43" s="79"/>
      <c r="P43" s="79"/>
      <c r="S43" s="79"/>
      <c r="T43" s="79"/>
      <c r="W43" s="130"/>
      <c r="Y43" s="106"/>
    </row>
    <row r="44">
      <c r="C44" s="79"/>
      <c r="D44" s="79"/>
      <c r="J44" s="79"/>
      <c r="O44" s="79"/>
      <c r="P44" s="79"/>
      <c r="S44" s="79"/>
      <c r="T44" s="79"/>
      <c r="W44" s="130"/>
      <c r="Y44" s="106"/>
    </row>
    <row r="45">
      <c r="C45" s="79"/>
      <c r="D45" s="79"/>
      <c r="J45" s="79"/>
      <c r="O45" s="79"/>
      <c r="P45" s="79"/>
      <c r="S45" s="79"/>
      <c r="T45" s="79"/>
      <c r="W45" s="130"/>
      <c r="Y45" s="106"/>
    </row>
    <row r="46">
      <c r="C46" s="79"/>
      <c r="D46" s="79"/>
      <c r="J46" s="79"/>
      <c r="O46" s="79"/>
      <c r="P46" s="79"/>
      <c r="S46" s="79"/>
      <c r="T46" s="79"/>
      <c r="W46" s="130"/>
      <c r="Y46" s="106"/>
    </row>
    <row r="47">
      <c r="C47" s="79"/>
      <c r="D47" s="79"/>
      <c r="J47" s="79"/>
      <c r="O47" s="79"/>
      <c r="P47" s="79"/>
      <c r="S47" s="79"/>
      <c r="T47" s="79"/>
      <c r="W47" s="130"/>
      <c r="Y47" s="106"/>
    </row>
    <row r="48">
      <c r="C48" s="79"/>
      <c r="D48" s="79"/>
      <c r="J48" s="79"/>
      <c r="O48" s="79"/>
      <c r="P48" s="79"/>
      <c r="S48" s="79"/>
      <c r="T48" s="79"/>
      <c r="W48" s="130"/>
      <c r="Y48" s="106"/>
    </row>
    <row r="49">
      <c r="C49" s="79"/>
      <c r="D49" s="79"/>
      <c r="J49" s="79"/>
      <c r="O49" s="79"/>
      <c r="P49" s="79"/>
      <c r="S49" s="79"/>
      <c r="T49" s="79"/>
      <c r="W49" s="130"/>
      <c r="Y49" s="106"/>
    </row>
    <row r="50">
      <c r="C50" s="79"/>
      <c r="D50" s="79"/>
      <c r="J50" s="79"/>
      <c r="O50" s="79"/>
      <c r="P50" s="79"/>
      <c r="S50" s="79"/>
      <c r="T50" s="79"/>
      <c r="W50" s="130"/>
      <c r="Y50" s="106"/>
    </row>
    <row r="51">
      <c r="C51" s="79"/>
      <c r="D51" s="79"/>
      <c r="J51" s="79"/>
      <c r="O51" s="79"/>
      <c r="P51" s="79"/>
      <c r="S51" s="79"/>
      <c r="T51" s="79"/>
      <c r="W51" s="130"/>
      <c r="Y51" s="106"/>
    </row>
    <row r="52">
      <c r="C52" s="79"/>
      <c r="D52" s="79"/>
      <c r="J52" s="79"/>
      <c r="O52" s="79"/>
      <c r="P52" s="79"/>
      <c r="S52" s="79"/>
      <c r="T52" s="79"/>
      <c r="W52" s="130"/>
      <c r="Y52" s="106"/>
    </row>
    <row r="53">
      <c r="C53" s="79"/>
      <c r="D53" s="79"/>
      <c r="J53" s="79"/>
      <c r="O53" s="79"/>
      <c r="P53" s="79"/>
      <c r="S53" s="79"/>
      <c r="T53" s="79"/>
      <c r="W53" s="130"/>
      <c r="Y53" s="106"/>
    </row>
    <row r="54">
      <c r="C54" s="79"/>
      <c r="D54" s="79"/>
      <c r="J54" s="79"/>
      <c r="O54" s="79"/>
      <c r="P54" s="79"/>
      <c r="S54" s="79"/>
      <c r="T54" s="79"/>
      <c r="W54" s="130"/>
      <c r="Y54" s="106"/>
    </row>
    <row r="55">
      <c r="C55" s="79"/>
      <c r="D55" s="79"/>
      <c r="J55" s="79"/>
      <c r="O55" s="79"/>
      <c r="P55" s="79"/>
      <c r="S55" s="79"/>
      <c r="T55" s="79"/>
      <c r="W55" s="130"/>
      <c r="Y55" s="106"/>
    </row>
    <row r="56">
      <c r="C56" s="79"/>
      <c r="D56" s="79"/>
      <c r="J56" s="79"/>
      <c r="O56" s="79"/>
      <c r="P56" s="79"/>
      <c r="S56" s="79"/>
      <c r="T56" s="79"/>
      <c r="W56" s="130"/>
      <c r="Y56" s="106"/>
    </row>
    <row r="57">
      <c r="C57" s="79"/>
      <c r="D57" s="79"/>
      <c r="J57" s="79"/>
      <c r="O57" s="79"/>
      <c r="P57" s="79"/>
      <c r="S57" s="79"/>
      <c r="T57" s="79"/>
      <c r="W57" s="130"/>
      <c r="Y57" s="106"/>
    </row>
    <row r="58">
      <c r="C58" s="79"/>
      <c r="D58" s="79"/>
      <c r="J58" s="79"/>
      <c r="O58" s="79"/>
      <c r="P58" s="79"/>
      <c r="S58" s="79"/>
      <c r="T58" s="79"/>
      <c r="W58" s="130"/>
      <c r="Y58" s="106"/>
    </row>
    <row r="59">
      <c r="C59" s="79"/>
      <c r="D59" s="79"/>
      <c r="J59" s="79"/>
      <c r="O59" s="79"/>
      <c r="P59" s="79"/>
      <c r="S59" s="79"/>
      <c r="T59" s="79"/>
      <c r="W59" s="130"/>
      <c r="Y59" s="106"/>
    </row>
    <row r="60">
      <c r="C60" s="79"/>
      <c r="D60" s="79"/>
      <c r="J60" s="79"/>
      <c r="O60" s="79"/>
      <c r="P60" s="79"/>
      <c r="S60" s="79"/>
      <c r="T60" s="79"/>
      <c r="W60" s="130"/>
      <c r="Y60" s="106"/>
    </row>
    <row r="61">
      <c r="C61" s="79"/>
      <c r="D61" s="79"/>
      <c r="J61" s="79"/>
      <c r="O61" s="79"/>
      <c r="P61" s="79"/>
      <c r="S61" s="79"/>
      <c r="T61" s="79"/>
      <c r="W61" s="130"/>
      <c r="Y61" s="106"/>
    </row>
    <row r="62">
      <c r="C62" s="79"/>
      <c r="D62" s="79"/>
      <c r="J62" s="79"/>
      <c r="O62" s="79"/>
      <c r="P62" s="79"/>
      <c r="S62" s="79"/>
      <c r="T62" s="79"/>
      <c r="W62" s="130"/>
      <c r="Y62" s="106"/>
    </row>
    <row r="63">
      <c r="C63" s="79"/>
      <c r="D63" s="79"/>
      <c r="J63" s="79"/>
      <c r="O63" s="79"/>
      <c r="P63" s="79"/>
      <c r="S63" s="79"/>
      <c r="T63" s="79"/>
      <c r="W63" s="130"/>
      <c r="Y63" s="106"/>
    </row>
    <row r="64">
      <c r="C64" s="79"/>
      <c r="D64" s="79"/>
      <c r="J64" s="79"/>
      <c r="O64" s="79"/>
      <c r="P64" s="79"/>
      <c r="S64" s="79"/>
      <c r="T64" s="79"/>
      <c r="W64" s="130"/>
      <c r="Y64" s="106"/>
    </row>
    <row r="65">
      <c r="C65" s="79"/>
      <c r="D65" s="79"/>
      <c r="J65" s="79"/>
      <c r="O65" s="79"/>
      <c r="P65" s="79"/>
      <c r="S65" s="79"/>
      <c r="T65" s="79"/>
      <c r="W65" s="130"/>
      <c r="Y65" s="106"/>
    </row>
    <row r="66">
      <c r="C66" s="79"/>
      <c r="D66" s="79"/>
      <c r="J66" s="79"/>
      <c r="O66" s="79"/>
      <c r="P66" s="79"/>
      <c r="S66" s="79"/>
      <c r="T66" s="79"/>
      <c r="W66" s="130"/>
      <c r="Y66" s="106"/>
    </row>
    <row r="67">
      <c r="C67" s="79"/>
      <c r="D67" s="79"/>
      <c r="J67" s="79"/>
      <c r="O67" s="79"/>
      <c r="P67" s="79"/>
      <c r="S67" s="79"/>
      <c r="T67" s="79"/>
      <c r="W67" s="130"/>
      <c r="Y67" s="106"/>
    </row>
    <row r="68">
      <c r="C68" s="79"/>
      <c r="D68" s="79"/>
      <c r="J68" s="79"/>
      <c r="O68" s="79"/>
      <c r="P68" s="79"/>
      <c r="S68" s="79"/>
      <c r="T68" s="79"/>
      <c r="W68" s="130"/>
      <c r="Y68" s="106"/>
    </row>
    <row r="69">
      <c r="C69" s="79"/>
      <c r="D69" s="79"/>
      <c r="J69" s="79"/>
      <c r="O69" s="79"/>
      <c r="P69" s="79"/>
      <c r="S69" s="79"/>
      <c r="T69" s="79"/>
      <c r="W69" s="130"/>
      <c r="Y69" s="106"/>
    </row>
    <row r="70">
      <c r="C70" s="79"/>
      <c r="D70" s="79"/>
      <c r="J70" s="79"/>
      <c r="O70" s="79"/>
      <c r="P70" s="79"/>
      <c r="S70" s="79"/>
      <c r="T70" s="79"/>
      <c r="W70" s="130"/>
      <c r="Y70" s="106"/>
    </row>
    <row r="71">
      <c r="C71" s="79"/>
      <c r="D71" s="79"/>
      <c r="J71" s="79"/>
      <c r="O71" s="79"/>
      <c r="P71" s="79"/>
      <c r="S71" s="79"/>
      <c r="T71" s="79"/>
      <c r="W71" s="130"/>
      <c r="Y71" s="106"/>
    </row>
    <row r="72">
      <c r="C72" s="79"/>
      <c r="D72" s="79"/>
      <c r="J72" s="79"/>
      <c r="O72" s="79"/>
      <c r="P72" s="79"/>
      <c r="S72" s="79"/>
      <c r="T72" s="79"/>
      <c r="W72" s="130"/>
      <c r="Y72" s="106"/>
    </row>
    <row r="73">
      <c r="C73" s="79"/>
      <c r="D73" s="79"/>
      <c r="J73" s="79"/>
      <c r="O73" s="79"/>
      <c r="P73" s="79"/>
      <c r="S73" s="79"/>
      <c r="T73" s="79"/>
      <c r="W73" s="130"/>
      <c r="Y73" s="106"/>
    </row>
    <row r="74">
      <c r="C74" s="79"/>
      <c r="D74" s="79"/>
      <c r="J74" s="79"/>
      <c r="O74" s="79"/>
      <c r="P74" s="79"/>
      <c r="S74" s="79"/>
      <c r="T74" s="79"/>
      <c r="W74" s="130"/>
      <c r="Y74" s="106"/>
    </row>
    <row r="75">
      <c r="C75" s="79"/>
      <c r="D75" s="79"/>
      <c r="J75" s="79"/>
      <c r="O75" s="79"/>
      <c r="P75" s="79"/>
      <c r="S75" s="79"/>
      <c r="T75" s="79"/>
      <c r="W75" s="130"/>
      <c r="Y75" s="106"/>
    </row>
    <row r="76">
      <c r="C76" s="79"/>
      <c r="D76" s="79"/>
      <c r="J76" s="79"/>
      <c r="O76" s="79"/>
      <c r="P76" s="79"/>
      <c r="S76" s="79"/>
      <c r="T76" s="79"/>
      <c r="W76" s="130"/>
      <c r="Y76" s="106"/>
    </row>
    <row r="77">
      <c r="C77" s="79"/>
      <c r="D77" s="79"/>
      <c r="J77" s="79"/>
      <c r="O77" s="79"/>
      <c r="P77" s="79"/>
      <c r="S77" s="79"/>
      <c r="T77" s="79"/>
      <c r="W77" s="130"/>
      <c r="Y77" s="106"/>
    </row>
    <row r="78">
      <c r="C78" s="79"/>
      <c r="D78" s="79"/>
      <c r="J78" s="79"/>
      <c r="O78" s="79"/>
      <c r="P78" s="79"/>
      <c r="S78" s="79"/>
      <c r="T78" s="79"/>
      <c r="W78" s="130"/>
      <c r="Y78" s="106"/>
    </row>
    <row r="79">
      <c r="C79" s="79"/>
      <c r="D79" s="79"/>
      <c r="J79" s="79"/>
      <c r="O79" s="79"/>
      <c r="P79" s="79"/>
      <c r="S79" s="79"/>
      <c r="T79" s="79"/>
      <c r="W79" s="130"/>
      <c r="Y79" s="106"/>
    </row>
    <row r="80">
      <c r="C80" s="79"/>
      <c r="D80" s="79"/>
      <c r="J80" s="79"/>
      <c r="O80" s="79"/>
      <c r="P80" s="79"/>
      <c r="S80" s="79"/>
      <c r="T80" s="79"/>
      <c r="W80" s="130"/>
      <c r="Y80" s="106"/>
    </row>
    <row r="81">
      <c r="C81" s="79"/>
      <c r="D81" s="79"/>
      <c r="J81" s="79"/>
      <c r="O81" s="79"/>
      <c r="P81" s="79"/>
      <c r="S81" s="79"/>
      <c r="T81" s="79"/>
      <c r="W81" s="130"/>
      <c r="Y81" s="106"/>
    </row>
    <row r="82">
      <c r="C82" s="79"/>
      <c r="D82" s="79"/>
      <c r="J82" s="79"/>
      <c r="O82" s="79"/>
      <c r="P82" s="79"/>
      <c r="S82" s="79"/>
      <c r="T82" s="79"/>
      <c r="W82" s="130"/>
      <c r="Y82" s="106"/>
    </row>
    <row r="83">
      <c r="C83" s="79"/>
      <c r="D83" s="79"/>
      <c r="J83" s="79"/>
      <c r="O83" s="79"/>
      <c r="P83" s="79"/>
      <c r="S83" s="79"/>
      <c r="T83" s="79"/>
      <c r="W83" s="130"/>
      <c r="Y83" s="106"/>
    </row>
    <row r="84">
      <c r="C84" s="79"/>
      <c r="D84" s="79"/>
      <c r="J84" s="79"/>
      <c r="O84" s="79"/>
      <c r="P84" s="79"/>
      <c r="S84" s="79"/>
      <c r="T84" s="79"/>
      <c r="W84" s="130"/>
      <c r="Y84" s="106"/>
    </row>
    <row r="85">
      <c r="C85" s="79"/>
      <c r="D85" s="79"/>
      <c r="J85" s="79"/>
      <c r="O85" s="79"/>
      <c r="P85" s="79"/>
      <c r="S85" s="79"/>
      <c r="T85" s="79"/>
      <c r="W85" s="130"/>
      <c r="Y85" s="106"/>
    </row>
    <row r="86">
      <c r="C86" s="79"/>
      <c r="D86" s="79"/>
      <c r="J86" s="79"/>
      <c r="O86" s="79"/>
      <c r="P86" s="79"/>
      <c r="S86" s="79"/>
      <c r="T86" s="79"/>
      <c r="W86" s="130"/>
      <c r="Y86" s="106"/>
    </row>
    <row r="87">
      <c r="C87" s="79"/>
      <c r="D87" s="79"/>
      <c r="J87" s="79"/>
      <c r="O87" s="79"/>
      <c r="P87" s="79"/>
      <c r="S87" s="79"/>
      <c r="T87" s="79"/>
      <c r="W87" s="130"/>
      <c r="Y87" s="106"/>
    </row>
    <row r="88">
      <c r="C88" s="79"/>
      <c r="D88" s="79"/>
      <c r="J88" s="79"/>
      <c r="O88" s="79"/>
      <c r="P88" s="79"/>
      <c r="S88" s="79"/>
      <c r="T88" s="79"/>
      <c r="W88" s="130"/>
      <c r="Y88" s="106"/>
    </row>
    <row r="89">
      <c r="C89" s="79"/>
      <c r="D89" s="79"/>
      <c r="J89" s="79"/>
      <c r="O89" s="79"/>
      <c r="P89" s="79"/>
      <c r="S89" s="79"/>
      <c r="T89" s="79"/>
      <c r="W89" s="130"/>
      <c r="Y89" s="106"/>
    </row>
    <row r="90">
      <c r="C90" s="79"/>
      <c r="D90" s="79"/>
      <c r="J90" s="79"/>
      <c r="O90" s="79"/>
      <c r="P90" s="79"/>
      <c r="S90" s="79"/>
      <c r="T90" s="79"/>
      <c r="W90" s="130"/>
      <c r="Y90" s="106"/>
    </row>
    <row r="91">
      <c r="C91" s="79"/>
      <c r="D91" s="79"/>
      <c r="J91" s="79"/>
      <c r="O91" s="79"/>
      <c r="P91" s="79"/>
      <c r="S91" s="79"/>
      <c r="T91" s="79"/>
      <c r="W91" s="130"/>
      <c r="Y91" s="106"/>
    </row>
    <row r="92">
      <c r="C92" s="79"/>
      <c r="D92" s="79"/>
      <c r="J92" s="79"/>
      <c r="O92" s="79"/>
      <c r="P92" s="79"/>
      <c r="S92" s="79"/>
      <c r="T92" s="79"/>
      <c r="W92" s="130"/>
      <c r="Y92" s="106"/>
    </row>
    <row r="93">
      <c r="C93" s="79"/>
      <c r="D93" s="79"/>
      <c r="J93" s="79"/>
      <c r="O93" s="79"/>
      <c r="P93" s="79"/>
      <c r="S93" s="79"/>
      <c r="T93" s="79"/>
      <c r="W93" s="130"/>
      <c r="Y93" s="106"/>
    </row>
    <row r="94">
      <c r="C94" s="79"/>
      <c r="D94" s="79"/>
      <c r="J94" s="79"/>
      <c r="O94" s="79"/>
      <c r="P94" s="79"/>
      <c r="S94" s="79"/>
      <c r="T94" s="79"/>
      <c r="W94" s="130"/>
      <c r="Y94" s="106"/>
    </row>
    <row r="95">
      <c r="C95" s="79"/>
      <c r="D95" s="79"/>
      <c r="J95" s="79"/>
      <c r="O95" s="79"/>
      <c r="P95" s="79"/>
      <c r="S95" s="79"/>
      <c r="T95" s="79"/>
      <c r="W95" s="130"/>
      <c r="Y95" s="106"/>
    </row>
    <row r="96">
      <c r="C96" s="79"/>
      <c r="D96" s="79"/>
      <c r="J96" s="79"/>
      <c r="O96" s="79"/>
      <c r="P96" s="79"/>
      <c r="S96" s="79"/>
      <c r="T96" s="79"/>
      <c r="W96" s="130"/>
      <c r="Y96" s="106"/>
    </row>
    <row r="97">
      <c r="C97" s="79"/>
      <c r="D97" s="79"/>
      <c r="J97" s="79"/>
      <c r="O97" s="79"/>
      <c r="P97" s="79"/>
      <c r="S97" s="79"/>
      <c r="T97" s="79"/>
      <c r="W97" s="130"/>
      <c r="Y97" s="106"/>
    </row>
    <row r="98">
      <c r="C98" s="79"/>
      <c r="D98" s="79"/>
      <c r="J98" s="79"/>
      <c r="O98" s="79"/>
      <c r="P98" s="79"/>
      <c r="S98" s="79"/>
      <c r="T98" s="79"/>
      <c r="W98" s="130"/>
      <c r="Y98" s="106"/>
    </row>
    <row r="99">
      <c r="C99" s="79"/>
      <c r="D99" s="79"/>
      <c r="J99" s="79"/>
      <c r="O99" s="79"/>
      <c r="P99" s="79"/>
      <c r="S99" s="79"/>
      <c r="T99" s="79"/>
      <c r="W99" s="130"/>
      <c r="Y99" s="106"/>
    </row>
    <row r="100">
      <c r="C100" s="79"/>
      <c r="D100" s="79"/>
      <c r="J100" s="79"/>
      <c r="O100" s="79"/>
      <c r="P100" s="79"/>
      <c r="S100" s="79"/>
      <c r="T100" s="79"/>
      <c r="W100" s="130"/>
      <c r="Y100" s="106"/>
    </row>
    <row r="101">
      <c r="C101" s="79"/>
      <c r="D101" s="79"/>
      <c r="J101" s="79"/>
      <c r="O101" s="79"/>
      <c r="P101" s="79"/>
      <c r="S101" s="79"/>
      <c r="T101" s="79"/>
      <c r="W101" s="130"/>
      <c r="Y101" s="106"/>
    </row>
    <row r="102">
      <c r="C102" s="79"/>
      <c r="D102" s="79"/>
      <c r="J102" s="79"/>
      <c r="O102" s="79"/>
      <c r="P102" s="79"/>
      <c r="S102" s="79"/>
      <c r="T102" s="79"/>
      <c r="W102" s="130"/>
      <c r="Y102" s="106"/>
    </row>
    <row r="103">
      <c r="C103" s="79"/>
      <c r="D103" s="79"/>
      <c r="J103" s="79"/>
      <c r="O103" s="79"/>
      <c r="P103" s="79"/>
      <c r="S103" s="79"/>
      <c r="T103" s="79"/>
      <c r="W103" s="130"/>
      <c r="Y103" s="106"/>
    </row>
    <row r="104">
      <c r="C104" s="79"/>
      <c r="D104" s="79"/>
      <c r="J104" s="79"/>
      <c r="O104" s="79"/>
      <c r="P104" s="79"/>
      <c r="S104" s="79"/>
      <c r="T104" s="79"/>
      <c r="W104" s="130"/>
      <c r="Y104" s="106"/>
    </row>
    <row r="105">
      <c r="C105" s="79"/>
      <c r="D105" s="79"/>
      <c r="J105" s="79"/>
      <c r="O105" s="79"/>
      <c r="P105" s="79"/>
      <c r="S105" s="79"/>
      <c r="T105" s="79"/>
      <c r="W105" s="130"/>
      <c r="Y105" s="106"/>
    </row>
    <row r="106">
      <c r="C106" s="79"/>
      <c r="D106" s="79"/>
      <c r="J106" s="79"/>
      <c r="O106" s="79"/>
      <c r="P106" s="79"/>
      <c r="S106" s="79"/>
      <c r="T106" s="79"/>
      <c r="W106" s="130"/>
      <c r="Y106" s="106"/>
    </row>
    <row r="107">
      <c r="C107" s="79"/>
      <c r="D107" s="79"/>
      <c r="J107" s="79"/>
      <c r="O107" s="79"/>
      <c r="P107" s="79"/>
      <c r="S107" s="79"/>
      <c r="T107" s="79"/>
      <c r="W107" s="130"/>
      <c r="Y107" s="106"/>
    </row>
    <row r="108">
      <c r="C108" s="79"/>
      <c r="D108" s="79"/>
      <c r="J108" s="79"/>
      <c r="O108" s="79"/>
      <c r="P108" s="79"/>
      <c r="S108" s="79"/>
      <c r="T108" s="79"/>
      <c r="W108" s="130"/>
      <c r="Y108" s="106"/>
    </row>
    <row r="109">
      <c r="C109" s="79"/>
      <c r="D109" s="79"/>
      <c r="J109" s="79"/>
      <c r="O109" s="79"/>
      <c r="P109" s="79"/>
      <c r="S109" s="79"/>
      <c r="T109" s="79"/>
      <c r="W109" s="130"/>
      <c r="Y109" s="106"/>
    </row>
    <row r="110">
      <c r="C110" s="79"/>
      <c r="D110" s="79"/>
      <c r="J110" s="79"/>
      <c r="O110" s="79"/>
      <c r="P110" s="79"/>
      <c r="S110" s="79"/>
      <c r="T110" s="79"/>
      <c r="W110" s="130"/>
      <c r="Y110" s="106"/>
    </row>
    <row r="111">
      <c r="C111" s="79"/>
      <c r="D111" s="79"/>
      <c r="J111" s="79"/>
      <c r="O111" s="79"/>
      <c r="P111" s="79"/>
      <c r="S111" s="79"/>
      <c r="T111" s="79"/>
      <c r="W111" s="130"/>
      <c r="Y111" s="106"/>
    </row>
    <row r="112">
      <c r="C112" s="79"/>
      <c r="D112" s="79"/>
      <c r="J112" s="79"/>
      <c r="O112" s="79"/>
      <c r="P112" s="79"/>
      <c r="S112" s="79"/>
      <c r="T112" s="79"/>
      <c r="W112" s="130"/>
      <c r="Y112" s="106"/>
    </row>
    <row r="113">
      <c r="C113" s="79"/>
      <c r="D113" s="79"/>
      <c r="J113" s="79"/>
      <c r="O113" s="79"/>
      <c r="P113" s="79"/>
      <c r="S113" s="79"/>
      <c r="T113" s="79"/>
      <c r="W113" s="130"/>
      <c r="Y113" s="106"/>
    </row>
    <row r="114">
      <c r="C114" s="79"/>
      <c r="D114" s="79"/>
      <c r="J114" s="79"/>
      <c r="O114" s="79"/>
      <c r="P114" s="79"/>
      <c r="S114" s="79"/>
      <c r="T114" s="79"/>
      <c r="W114" s="130"/>
      <c r="Y114" s="106"/>
    </row>
    <row r="115">
      <c r="C115" s="79"/>
      <c r="D115" s="79"/>
      <c r="J115" s="79"/>
      <c r="O115" s="79"/>
      <c r="P115" s="79"/>
      <c r="S115" s="79"/>
      <c r="T115" s="79"/>
      <c r="W115" s="130"/>
      <c r="Y115" s="106"/>
    </row>
    <row r="116">
      <c r="C116" s="79"/>
      <c r="D116" s="79"/>
      <c r="J116" s="79"/>
      <c r="O116" s="79"/>
      <c r="P116" s="79"/>
      <c r="S116" s="79"/>
      <c r="T116" s="79"/>
      <c r="W116" s="130"/>
      <c r="Y116" s="106"/>
    </row>
    <row r="117">
      <c r="C117" s="79"/>
      <c r="D117" s="79"/>
      <c r="J117" s="79"/>
      <c r="O117" s="79"/>
      <c r="P117" s="79"/>
      <c r="S117" s="79"/>
      <c r="T117" s="79"/>
      <c r="W117" s="130"/>
      <c r="Y117" s="106"/>
    </row>
    <row r="118">
      <c r="C118" s="79"/>
      <c r="D118" s="79"/>
      <c r="J118" s="79"/>
      <c r="O118" s="79"/>
      <c r="P118" s="79"/>
      <c r="S118" s="79"/>
      <c r="T118" s="79"/>
      <c r="W118" s="130"/>
      <c r="Y118" s="106"/>
    </row>
    <row r="119">
      <c r="C119" s="79"/>
      <c r="D119" s="79"/>
      <c r="J119" s="79"/>
      <c r="O119" s="79"/>
      <c r="P119" s="79"/>
      <c r="S119" s="79"/>
      <c r="T119" s="79"/>
      <c r="W119" s="130"/>
      <c r="Y119" s="106"/>
    </row>
    <row r="120">
      <c r="C120" s="79"/>
      <c r="D120" s="79"/>
      <c r="J120" s="79"/>
      <c r="O120" s="79"/>
      <c r="P120" s="79"/>
      <c r="S120" s="79"/>
      <c r="T120" s="79"/>
      <c r="W120" s="130"/>
      <c r="Y120" s="106"/>
    </row>
    <row r="121">
      <c r="C121" s="79"/>
      <c r="D121" s="79"/>
      <c r="J121" s="79"/>
      <c r="O121" s="79"/>
      <c r="P121" s="79"/>
      <c r="S121" s="79"/>
      <c r="T121" s="79"/>
      <c r="W121" s="130"/>
      <c r="Y121" s="106"/>
    </row>
    <row r="122">
      <c r="C122" s="79"/>
      <c r="D122" s="79"/>
      <c r="J122" s="79"/>
      <c r="O122" s="79"/>
      <c r="P122" s="79"/>
      <c r="S122" s="79"/>
      <c r="T122" s="79"/>
      <c r="W122" s="130"/>
      <c r="Y122" s="106"/>
    </row>
    <row r="123">
      <c r="C123" s="79"/>
      <c r="D123" s="79"/>
      <c r="J123" s="79"/>
      <c r="O123" s="79"/>
      <c r="P123" s="79"/>
      <c r="S123" s="79"/>
      <c r="T123" s="79"/>
      <c r="W123" s="130"/>
      <c r="Y123" s="106"/>
    </row>
    <row r="124">
      <c r="C124" s="79"/>
      <c r="D124" s="79"/>
      <c r="J124" s="79"/>
      <c r="O124" s="79"/>
      <c r="P124" s="79"/>
      <c r="S124" s="79"/>
      <c r="T124" s="79"/>
      <c r="W124" s="130"/>
      <c r="Y124" s="106"/>
    </row>
    <row r="125">
      <c r="C125" s="79"/>
      <c r="D125" s="79"/>
      <c r="J125" s="79"/>
      <c r="O125" s="79"/>
      <c r="P125" s="79"/>
      <c r="S125" s="79"/>
      <c r="T125" s="79"/>
      <c r="W125" s="130"/>
      <c r="Y125" s="106"/>
    </row>
    <row r="126">
      <c r="C126" s="79"/>
      <c r="D126" s="79"/>
      <c r="J126" s="79"/>
      <c r="O126" s="79"/>
      <c r="P126" s="79"/>
      <c r="S126" s="79"/>
      <c r="T126" s="79"/>
      <c r="W126" s="130"/>
      <c r="Y126" s="106"/>
    </row>
    <row r="127">
      <c r="C127" s="79"/>
      <c r="D127" s="79"/>
      <c r="J127" s="79"/>
      <c r="O127" s="79"/>
      <c r="P127" s="79"/>
      <c r="S127" s="79"/>
      <c r="T127" s="79"/>
      <c r="W127" s="130"/>
      <c r="Y127" s="106"/>
    </row>
    <row r="128">
      <c r="C128" s="79"/>
      <c r="D128" s="79"/>
      <c r="J128" s="79"/>
      <c r="O128" s="79"/>
      <c r="P128" s="79"/>
      <c r="S128" s="79"/>
      <c r="T128" s="79"/>
      <c r="W128" s="130"/>
      <c r="Y128" s="106"/>
    </row>
    <row r="129">
      <c r="C129" s="79"/>
      <c r="D129" s="79"/>
      <c r="J129" s="79"/>
      <c r="O129" s="79"/>
      <c r="P129" s="79"/>
      <c r="S129" s="79"/>
      <c r="T129" s="79"/>
      <c r="W129" s="130"/>
      <c r="Y129" s="106"/>
    </row>
    <row r="130">
      <c r="C130" s="79"/>
      <c r="D130" s="79"/>
      <c r="J130" s="79"/>
      <c r="O130" s="79"/>
      <c r="P130" s="79"/>
      <c r="S130" s="79"/>
      <c r="T130" s="79"/>
      <c r="W130" s="130"/>
      <c r="Y130" s="106"/>
    </row>
    <row r="131">
      <c r="C131" s="79"/>
      <c r="D131" s="79"/>
      <c r="J131" s="79"/>
      <c r="O131" s="79"/>
      <c r="P131" s="79"/>
      <c r="S131" s="79"/>
      <c r="T131" s="79"/>
      <c r="W131" s="130"/>
      <c r="Y131" s="106"/>
    </row>
    <row r="132">
      <c r="C132" s="79"/>
      <c r="D132" s="79"/>
      <c r="J132" s="79"/>
      <c r="O132" s="79"/>
      <c r="P132" s="79"/>
      <c r="S132" s="79"/>
      <c r="T132" s="79"/>
      <c r="W132" s="130"/>
      <c r="Y132" s="106"/>
    </row>
    <row r="133">
      <c r="C133" s="79"/>
      <c r="D133" s="79"/>
      <c r="J133" s="79"/>
      <c r="O133" s="79"/>
      <c r="P133" s="79"/>
      <c r="S133" s="79"/>
      <c r="T133" s="79"/>
      <c r="W133" s="130"/>
      <c r="Y133" s="106"/>
    </row>
    <row r="134">
      <c r="C134" s="79"/>
      <c r="D134" s="79"/>
      <c r="J134" s="79"/>
      <c r="O134" s="79"/>
      <c r="P134" s="79"/>
      <c r="S134" s="79"/>
      <c r="T134" s="79"/>
      <c r="W134" s="130"/>
      <c r="Y134" s="106"/>
    </row>
    <row r="135">
      <c r="C135" s="79"/>
      <c r="D135" s="79"/>
      <c r="J135" s="79"/>
      <c r="O135" s="79"/>
      <c r="P135" s="79"/>
      <c r="S135" s="79"/>
      <c r="T135" s="79"/>
      <c r="W135" s="130"/>
      <c r="Y135" s="106"/>
    </row>
    <row r="136">
      <c r="C136" s="79"/>
      <c r="D136" s="79"/>
      <c r="J136" s="79"/>
      <c r="O136" s="79"/>
      <c r="P136" s="79"/>
      <c r="S136" s="79"/>
      <c r="T136" s="79"/>
      <c r="W136" s="130"/>
      <c r="Y136" s="106"/>
    </row>
    <row r="137">
      <c r="C137" s="79"/>
      <c r="D137" s="79"/>
      <c r="J137" s="79"/>
      <c r="O137" s="79"/>
      <c r="P137" s="79"/>
      <c r="S137" s="79"/>
      <c r="T137" s="79"/>
      <c r="W137" s="130"/>
      <c r="Y137" s="106"/>
    </row>
    <row r="138">
      <c r="C138" s="79"/>
      <c r="D138" s="79"/>
      <c r="J138" s="79"/>
      <c r="O138" s="79"/>
      <c r="P138" s="79"/>
      <c r="S138" s="79"/>
      <c r="T138" s="79"/>
      <c r="W138" s="130"/>
      <c r="Y138" s="106"/>
    </row>
    <row r="139">
      <c r="C139" s="79"/>
      <c r="D139" s="79"/>
      <c r="J139" s="79"/>
      <c r="O139" s="79"/>
      <c r="P139" s="79"/>
      <c r="S139" s="79"/>
      <c r="T139" s="79"/>
      <c r="W139" s="130"/>
      <c r="Y139" s="106"/>
    </row>
    <row r="140">
      <c r="C140" s="79"/>
      <c r="D140" s="79"/>
      <c r="J140" s="79"/>
      <c r="O140" s="79"/>
      <c r="P140" s="79"/>
      <c r="S140" s="79"/>
      <c r="T140" s="79"/>
      <c r="W140" s="130"/>
      <c r="Y140" s="106"/>
    </row>
    <row r="141">
      <c r="C141" s="79"/>
      <c r="D141" s="79"/>
      <c r="J141" s="79"/>
      <c r="O141" s="79"/>
      <c r="P141" s="79"/>
      <c r="S141" s="79"/>
      <c r="T141" s="79"/>
      <c r="W141" s="130"/>
      <c r="Y141" s="106"/>
    </row>
    <row r="142">
      <c r="C142" s="79"/>
      <c r="D142" s="79"/>
      <c r="J142" s="79"/>
      <c r="O142" s="79"/>
      <c r="P142" s="79"/>
      <c r="S142" s="79"/>
      <c r="T142" s="79"/>
      <c r="W142" s="130"/>
      <c r="Y142" s="106"/>
    </row>
    <row r="143">
      <c r="C143" s="79"/>
      <c r="D143" s="79"/>
      <c r="J143" s="79"/>
      <c r="O143" s="79"/>
      <c r="P143" s="79"/>
      <c r="S143" s="79"/>
      <c r="T143" s="79"/>
      <c r="W143" s="130"/>
      <c r="Y143" s="106"/>
    </row>
    <row r="144">
      <c r="C144" s="79"/>
      <c r="D144" s="79"/>
      <c r="J144" s="79"/>
      <c r="O144" s="79"/>
      <c r="P144" s="79"/>
      <c r="S144" s="79"/>
      <c r="T144" s="79"/>
      <c r="W144" s="130"/>
      <c r="Y144" s="106"/>
    </row>
    <row r="145">
      <c r="C145" s="79"/>
      <c r="D145" s="79"/>
      <c r="J145" s="79"/>
      <c r="O145" s="79"/>
      <c r="P145" s="79"/>
      <c r="S145" s="79"/>
      <c r="T145" s="79"/>
      <c r="W145" s="130"/>
      <c r="Y145" s="106"/>
    </row>
    <row r="146">
      <c r="C146" s="79"/>
      <c r="D146" s="79"/>
      <c r="J146" s="79"/>
      <c r="O146" s="79"/>
      <c r="P146" s="79"/>
      <c r="S146" s="79"/>
      <c r="T146" s="79"/>
      <c r="W146" s="130"/>
      <c r="Y146" s="106"/>
    </row>
    <row r="147">
      <c r="C147" s="79"/>
      <c r="D147" s="79"/>
      <c r="J147" s="79"/>
      <c r="O147" s="79"/>
      <c r="P147" s="79"/>
      <c r="S147" s="79"/>
      <c r="T147" s="79"/>
      <c r="W147" s="130"/>
      <c r="Y147" s="106"/>
    </row>
    <row r="148">
      <c r="C148" s="79"/>
      <c r="D148" s="79"/>
      <c r="J148" s="79"/>
      <c r="O148" s="79"/>
      <c r="P148" s="79"/>
      <c r="S148" s="79"/>
      <c r="T148" s="79"/>
      <c r="W148" s="130"/>
      <c r="Y148" s="106"/>
    </row>
    <row r="149">
      <c r="C149" s="79"/>
      <c r="D149" s="79"/>
      <c r="J149" s="79"/>
      <c r="O149" s="79"/>
      <c r="P149" s="79"/>
      <c r="S149" s="79"/>
      <c r="T149" s="79"/>
      <c r="W149" s="130"/>
      <c r="Y149" s="106"/>
    </row>
    <row r="150">
      <c r="C150" s="79"/>
      <c r="D150" s="79"/>
      <c r="J150" s="79"/>
      <c r="O150" s="79"/>
      <c r="P150" s="79"/>
      <c r="S150" s="79"/>
      <c r="T150" s="79"/>
      <c r="W150" s="130"/>
      <c r="Y150" s="106"/>
    </row>
    <row r="151">
      <c r="C151" s="79"/>
      <c r="D151" s="79"/>
      <c r="J151" s="79"/>
      <c r="O151" s="79"/>
      <c r="P151" s="79"/>
      <c r="S151" s="79"/>
      <c r="T151" s="79"/>
      <c r="W151" s="130"/>
      <c r="Y151" s="106"/>
    </row>
    <row r="152">
      <c r="C152" s="79"/>
      <c r="D152" s="79"/>
      <c r="J152" s="79"/>
      <c r="O152" s="79"/>
      <c r="P152" s="79"/>
      <c r="S152" s="79"/>
      <c r="T152" s="79"/>
      <c r="W152" s="130"/>
      <c r="Y152" s="106"/>
    </row>
    <row r="153">
      <c r="C153" s="79"/>
      <c r="D153" s="79"/>
      <c r="J153" s="79"/>
      <c r="O153" s="79"/>
      <c r="P153" s="79"/>
      <c r="S153" s="79"/>
      <c r="T153" s="79"/>
      <c r="W153" s="130"/>
      <c r="Y153" s="106"/>
    </row>
    <row r="154">
      <c r="C154" s="79"/>
      <c r="D154" s="79"/>
      <c r="J154" s="79"/>
      <c r="O154" s="79"/>
      <c r="P154" s="79"/>
      <c r="S154" s="79"/>
      <c r="T154" s="79"/>
      <c r="W154" s="130"/>
      <c r="Y154" s="106"/>
    </row>
    <row r="155">
      <c r="C155" s="79"/>
      <c r="D155" s="79"/>
      <c r="J155" s="79"/>
      <c r="O155" s="79"/>
      <c r="P155" s="79"/>
      <c r="S155" s="79"/>
      <c r="T155" s="79"/>
      <c r="W155" s="130"/>
      <c r="Y155" s="106"/>
    </row>
    <row r="156">
      <c r="C156" s="79"/>
      <c r="D156" s="79"/>
      <c r="J156" s="79"/>
      <c r="O156" s="79"/>
      <c r="P156" s="79"/>
      <c r="S156" s="79"/>
      <c r="T156" s="79"/>
      <c r="W156" s="130"/>
      <c r="Y156" s="106"/>
    </row>
    <row r="157">
      <c r="C157" s="79"/>
      <c r="D157" s="79"/>
      <c r="J157" s="79"/>
      <c r="O157" s="79"/>
      <c r="P157" s="79"/>
      <c r="S157" s="79"/>
      <c r="T157" s="79"/>
      <c r="W157" s="130"/>
      <c r="Y157" s="106"/>
    </row>
    <row r="158">
      <c r="C158" s="79"/>
      <c r="D158" s="79"/>
      <c r="J158" s="79"/>
      <c r="O158" s="79"/>
      <c r="P158" s="79"/>
      <c r="S158" s="79"/>
      <c r="T158" s="79"/>
      <c r="W158" s="130"/>
      <c r="Y158" s="106"/>
    </row>
    <row r="159">
      <c r="C159" s="79"/>
      <c r="D159" s="79"/>
      <c r="J159" s="79"/>
      <c r="O159" s="79"/>
      <c r="P159" s="79"/>
      <c r="S159" s="79"/>
      <c r="T159" s="79"/>
      <c r="W159" s="130"/>
      <c r="Y159" s="106"/>
    </row>
    <row r="160">
      <c r="C160" s="79"/>
      <c r="D160" s="79"/>
      <c r="J160" s="79"/>
      <c r="O160" s="79"/>
      <c r="P160" s="79"/>
      <c r="S160" s="79"/>
      <c r="T160" s="79"/>
      <c r="W160" s="130"/>
      <c r="Y160" s="106"/>
    </row>
    <row r="161">
      <c r="C161" s="79"/>
      <c r="D161" s="79"/>
      <c r="J161" s="79"/>
      <c r="O161" s="79"/>
      <c r="P161" s="79"/>
      <c r="S161" s="79"/>
      <c r="T161" s="79"/>
      <c r="W161" s="130"/>
      <c r="Y161" s="106"/>
    </row>
    <row r="162">
      <c r="C162" s="79"/>
      <c r="D162" s="79"/>
      <c r="J162" s="79"/>
      <c r="O162" s="79"/>
      <c r="P162" s="79"/>
      <c r="S162" s="79"/>
      <c r="T162" s="79"/>
      <c r="W162" s="130"/>
      <c r="Y162" s="106"/>
    </row>
    <row r="163">
      <c r="C163" s="79"/>
      <c r="D163" s="79"/>
      <c r="J163" s="79"/>
      <c r="O163" s="79"/>
      <c r="P163" s="79"/>
      <c r="S163" s="79"/>
      <c r="T163" s="79"/>
      <c r="W163" s="130"/>
      <c r="Y163" s="106"/>
    </row>
    <row r="164">
      <c r="C164" s="79"/>
      <c r="D164" s="79"/>
      <c r="J164" s="79"/>
      <c r="O164" s="79"/>
      <c r="P164" s="79"/>
      <c r="S164" s="79"/>
      <c r="T164" s="79"/>
      <c r="W164" s="130"/>
      <c r="Y164" s="106"/>
    </row>
    <row r="165">
      <c r="C165" s="79"/>
      <c r="D165" s="79"/>
      <c r="J165" s="79"/>
      <c r="O165" s="79"/>
      <c r="P165" s="79"/>
      <c r="S165" s="79"/>
      <c r="T165" s="79"/>
      <c r="W165" s="130"/>
      <c r="Y165" s="106"/>
    </row>
    <row r="166">
      <c r="C166" s="79"/>
      <c r="D166" s="79"/>
      <c r="J166" s="79"/>
      <c r="O166" s="79"/>
      <c r="P166" s="79"/>
      <c r="S166" s="79"/>
      <c r="T166" s="79"/>
      <c r="W166" s="130"/>
      <c r="Y166" s="106"/>
    </row>
    <row r="167">
      <c r="C167" s="79"/>
      <c r="D167" s="79"/>
      <c r="J167" s="79"/>
      <c r="O167" s="79"/>
      <c r="P167" s="79"/>
      <c r="S167" s="79"/>
      <c r="T167" s="79"/>
      <c r="W167" s="130"/>
      <c r="Y167" s="106"/>
    </row>
    <row r="168">
      <c r="C168" s="79"/>
      <c r="D168" s="79"/>
      <c r="J168" s="79"/>
      <c r="O168" s="79"/>
      <c r="P168" s="79"/>
      <c r="S168" s="79"/>
      <c r="T168" s="79"/>
      <c r="W168" s="130"/>
      <c r="Y168" s="106"/>
    </row>
    <row r="169">
      <c r="C169" s="79"/>
      <c r="D169" s="79"/>
      <c r="J169" s="79"/>
      <c r="O169" s="79"/>
      <c r="P169" s="79"/>
      <c r="S169" s="79"/>
      <c r="T169" s="79"/>
      <c r="W169" s="130"/>
      <c r="Y169" s="106"/>
    </row>
    <row r="170">
      <c r="C170" s="79"/>
      <c r="D170" s="79"/>
      <c r="J170" s="79"/>
      <c r="O170" s="79"/>
      <c r="P170" s="79"/>
      <c r="S170" s="79"/>
      <c r="T170" s="79"/>
      <c r="W170" s="130"/>
      <c r="Y170" s="106"/>
    </row>
    <row r="171">
      <c r="C171" s="79"/>
      <c r="D171" s="79"/>
      <c r="J171" s="79"/>
      <c r="O171" s="79"/>
      <c r="P171" s="79"/>
      <c r="S171" s="79"/>
      <c r="T171" s="79"/>
      <c r="W171" s="130"/>
      <c r="Y171" s="106"/>
    </row>
    <row r="172">
      <c r="C172" s="79"/>
      <c r="D172" s="79"/>
      <c r="J172" s="79"/>
      <c r="O172" s="79"/>
      <c r="P172" s="79"/>
      <c r="S172" s="79"/>
      <c r="T172" s="79"/>
      <c r="W172" s="130"/>
      <c r="Y172" s="106"/>
    </row>
    <row r="173">
      <c r="C173" s="79"/>
      <c r="D173" s="79"/>
      <c r="J173" s="79"/>
      <c r="O173" s="79"/>
      <c r="P173" s="79"/>
      <c r="S173" s="79"/>
      <c r="T173" s="79"/>
      <c r="W173" s="130"/>
      <c r="Y173" s="106"/>
    </row>
    <row r="174">
      <c r="C174" s="79"/>
      <c r="D174" s="79"/>
      <c r="J174" s="79"/>
      <c r="O174" s="79"/>
      <c r="P174" s="79"/>
      <c r="S174" s="79"/>
      <c r="T174" s="79"/>
      <c r="W174" s="130"/>
      <c r="Y174" s="106"/>
    </row>
    <row r="175">
      <c r="C175" s="79"/>
      <c r="D175" s="79"/>
      <c r="J175" s="79"/>
      <c r="O175" s="79"/>
      <c r="P175" s="79"/>
      <c r="S175" s="79"/>
      <c r="T175" s="79"/>
      <c r="W175" s="130"/>
      <c r="Y175" s="106"/>
    </row>
    <row r="176">
      <c r="C176" s="79"/>
      <c r="D176" s="79"/>
      <c r="J176" s="79"/>
      <c r="O176" s="79"/>
      <c r="P176" s="79"/>
      <c r="S176" s="79"/>
      <c r="T176" s="79"/>
      <c r="W176" s="130"/>
      <c r="Y176" s="106"/>
    </row>
    <row r="177">
      <c r="C177" s="79"/>
      <c r="D177" s="79"/>
      <c r="J177" s="79"/>
      <c r="O177" s="79"/>
      <c r="P177" s="79"/>
      <c r="S177" s="79"/>
      <c r="T177" s="79"/>
      <c r="W177" s="130"/>
      <c r="Y177" s="106"/>
    </row>
    <row r="178">
      <c r="C178" s="79"/>
      <c r="D178" s="79"/>
      <c r="J178" s="79"/>
      <c r="O178" s="79"/>
      <c r="P178" s="79"/>
      <c r="S178" s="79"/>
      <c r="T178" s="79"/>
      <c r="W178" s="130"/>
      <c r="Y178" s="106"/>
    </row>
    <row r="179">
      <c r="C179" s="79"/>
      <c r="D179" s="79"/>
      <c r="J179" s="79"/>
      <c r="O179" s="79"/>
      <c r="P179" s="79"/>
      <c r="S179" s="79"/>
      <c r="T179" s="79"/>
      <c r="W179" s="130"/>
      <c r="Y179" s="106"/>
    </row>
    <row r="180">
      <c r="C180" s="79"/>
      <c r="D180" s="79"/>
      <c r="J180" s="79"/>
      <c r="O180" s="79"/>
      <c r="P180" s="79"/>
      <c r="S180" s="79"/>
      <c r="T180" s="79"/>
      <c r="W180" s="130"/>
      <c r="Y180" s="106"/>
    </row>
    <row r="181">
      <c r="C181" s="79"/>
      <c r="D181" s="79"/>
      <c r="J181" s="79"/>
      <c r="O181" s="79"/>
      <c r="P181" s="79"/>
      <c r="S181" s="79"/>
      <c r="T181" s="79"/>
      <c r="W181" s="130"/>
      <c r="Y181" s="106"/>
    </row>
    <row r="182">
      <c r="C182" s="79"/>
      <c r="D182" s="79"/>
      <c r="J182" s="79"/>
      <c r="O182" s="79"/>
      <c r="P182" s="79"/>
      <c r="S182" s="79"/>
      <c r="T182" s="79"/>
      <c r="W182" s="130"/>
      <c r="Y182" s="106"/>
    </row>
    <row r="183">
      <c r="C183" s="79"/>
      <c r="D183" s="79"/>
      <c r="J183" s="79"/>
      <c r="O183" s="79"/>
      <c r="P183" s="79"/>
      <c r="S183" s="79"/>
      <c r="T183" s="79"/>
      <c r="W183" s="130"/>
      <c r="Y183" s="106"/>
    </row>
    <row r="184">
      <c r="C184" s="79"/>
      <c r="D184" s="79"/>
      <c r="J184" s="79"/>
      <c r="O184" s="79"/>
      <c r="P184" s="79"/>
      <c r="S184" s="79"/>
      <c r="T184" s="79"/>
      <c r="W184" s="130"/>
      <c r="Y184" s="106"/>
    </row>
    <row r="185">
      <c r="C185" s="79"/>
      <c r="D185" s="79"/>
      <c r="J185" s="79"/>
      <c r="O185" s="79"/>
      <c r="P185" s="79"/>
      <c r="S185" s="79"/>
      <c r="T185" s="79"/>
      <c r="W185" s="130"/>
      <c r="Y185" s="106"/>
    </row>
    <row r="186">
      <c r="C186" s="79"/>
      <c r="D186" s="79"/>
      <c r="J186" s="79"/>
      <c r="O186" s="79"/>
      <c r="P186" s="79"/>
      <c r="S186" s="79"/>
      <c r="T186" s="79"/>
      <c r="W186" s="130"/>
      <c r="Y186" s="106"/>
    </row>
    <row r="187">
      <c r="C187" s="79"/>
      <c r="D187" s="79"/>
      <c r="J187" s="79"/>
      <c r="O187" s="79"/>
      <c r="P187" s="79"/>
      <c r="S187" s="79"/>
      <c r="T187" s="79"/>
      <c r="W187" s="130"/>
      <c r="Y187" s="106"/>
    </row>
    <row r="188">
      <c r="C188" s="79"/>
      <c r="D188" s="79"/>
      <c r="J188" s="79"/>
      <c r="O188" s="79"/>
      <c r="P188" s="79"/>
      <c r="S188" s="79"/>
      <c r="T188" s="79"/>
      <c r="W188" s="130"/>
      <c r="Y188" s="106"/>
    </row>
    <row r="189">
      <c r="C189" s="79"/>
      <c r="D189" s="79"/>
      <c r="J189" s="79"/>
      <c r="O189" s="79"/>
      <c r="P189" s="79"/>
      <c r="S189" s="79"/>
      <c r="T189" s="79"/>
      <c r="W189" s="130"/>
      <c r="Y189" s="106"/>
    </row>
    <row r="190">
      <c r="C190" s="79"/>
      <c r="D190" s="79"/>
      <c r="J190" s="79"/>
      <c r="O190" s="79"/>
      <c r="P190" s="79"/>
      <c r="S190" s="79"/>
      <c r="T190" s="79"/>
      <c r="W190" s="130"/>
      <c r="Y190" s="106"/>
    </row>
    <row r="191">
      <c r="C191" s="79"/>
      <c r="D191" s="79"/>
      <c r="J191" s="79"/>
      <c r="O191" s="79"/>
      <c r="P191" s="79"/>
      <c r="S191" s="79"/>
      <c r="T191" s="79"/>
      <c r="W191" s="130"/>
      <c r="Y191" s="106"/>
    </row>
    <row r="192">
      <c r="C192" s="79"/>
      <c r="D192" s="79"/>
      <c r="J192" s="79"/>
      <c r="O192" s="79"/>
      <c r="P192" s="79"/>
      <c r="S192" s="79"/>
      <c r="T192" s="79"/>
      <c r="W192" s="130"/>
      <c r="Y192" s="106"/>
    </row>
    <row r="193">
      <c r="C193" s="79"/>
      <c r="D193" s="79"/>
      <c r="J193" s="79"/>
      <c r="O193" s="79"/>
      <c r="P193" s="79"/>
      <c r="S193" s="79"/>
      <c r="T193" s="79"/>
      <c r="W193" s="130"/>
      <c r="Y193" s="106"/>
    </row>
    <row r="194">
      <c r="C194" s="79"/>
      <c r="D194" s="79"/>
      <c r="J194" s="79"/>
      <c r="O194" s="79"/>
      <c r="P194" s="79"/>
      <c r="S194" s="79"/>
      <c r="T194" s="79"/>
      <c r="W194" s="130"/>
      <c r="Y194" s="106"/>
    </row>
    <row r="195">
      <c r="C195" s="79"/>
      <c r="D195" s="79"/>
      <c r="J195" s="79"/>
      <c r="O195" s="79"/>
      <c r="P195" s="79"/>
      <c r="S195" s="79"/>
      <c r="T195" s="79"/>
      <c r="W195" s="130"/>
      <c r="Y195" s="106"/>
    </row>
    <row r="196">
      <c r="C196" s="79"/>
      <c r="D196" s="79"/>
      <c r="J196" s="79"/>
      <c r="O196" s="79"/>
      <c r="P196" s="79"/>
      <c r="S196" s="79"/>
      <c r="T196" s="79"/>
      <c r="W196" s="130"/>
      <c r="Y196" s="106"/>
    </row>
    <row r="197">
      <c r="C197" s="79"/>
      <c r="D197" s="79"/>
      <c r="J197" s="79"/>
      <c r="O197" s="79"/>
      <c r="P197" s="79"/>
      <c r="S197" s="79"/>
      <c r="T197" s="79"/>
      <c r="W197" s="130"/>
      <c r="Y197" s="106"/>
    </row>
    <row r="198">
      <c r="C198" s="79"/>
      <c r="D198" s="79"/>
      <c r="J198" s="79"/>
      <c r="O198" s="79"/>
      <c r="P198" s="79"/>
      <c r="S198" s="79"/>
      <c r="T198" s="79"/>
      <c r="W198" s="130"/>
      <c r="Y198" s="106"/>
    </row>
    <row r="199">
      <c r="C199" s="79"/>
      <c r="D199" s="79"/>
      <c r="J199" s="79"/>
      <c r="O199" s="79"/>
      <c r="P199" s="79"/>
      <c r="S199" s="79"/>
      <c r="T199" s="79"/>
      <c r="W199" s="130"/>
      <c r="Y199" s="106"/>
    </row>
    <row r="200">
      <c r="C200" s="79"/>
      <c r="D200" s="79"/>
      <c r="J200" s="79"/>
      <c r="O200" s="79"/>
      <c r="P200" s="79"/>
      <c r="S200" s="79"/>
      <c r="T200" s="79"/>
      <c r="W200" s="130"/>
      <c r="Y200" s="106"/>
    </row>
    <row r="201">
      <c r="C201" s="79"/>
      <c r="D201" s="79"/>
      <c r="J201" s="79"/>
      <c r="O201" s="79"/>
      <c r="P201" s="79"/>
      <c r="S201" s="79"/>
      <c r="T201" s="79"/>
      <c r="W201" s="130"/>
      <c r="Y201" s="106"/>
    </row>
    <row r="202">
      <c r="C202" s="79"/>
      <c r="D202" s="79"/>
      <c r="J202" s="79"/>
      <c r="O202" s="79"/>
      <c r="P202" s="79"/>
      <c r="S202" s="79"/>
      <c r="T202" s="79"/>
      <c r="W202" s="130"/>
      <c r="Y202" s="106"/>
    </row>
    <row r="203">
      <c r="C203" s="79"/>
      <c r="D203" s="79"/>
      <c r="J203" s="79"/>
      <c r="O203" s="79"/>
      <c r="P203" s="79"/>
      <c r="S203" s="79"/>
      <c r="T203" s="79"/>
      <c r="W203" s="130"/>
      <c r="Y203" s="106"/>
    </row>
    <row r="204">
      <c r="C204" s="79"/>
      <c r="D204" s="79"/>
      <c r="J204" s="79"/>
      <c r="O204" s="79"/>
      <c r="P204" s="79"/>
      <c r="S204" s="79"/>
      <c r="T204" s="79"/>
      <c r="W204" s="130"/>
      <c r="Y204" s="106"/>
    </row>
    <row r="205">
      <c r="C205" s="79"/>
      <c r="D205" s="79"/>
      <c r="J205" s="79"/>
      <c r="O205" s="79"/>
      <c r="P205" s="79"/>
      <c r="S205" s="79"/>
      <c r="T205" s="79"/>
      <c r="W205" s="130"/>
      <c r="Y205" s="106"/>
    </row>
    <row r="206">
      <c r="C206" s="79"/>
      <c r="D206" s="79"/>
      <c r="J206" s="79"/>
      <c r="O206" s="79"/>
      <c r="P206" s="79"/>
      <c r="S206" s="79"/>
      <c r="T206" s="79"/>
      <c r="W206" s="130"/>
      <c r="Y206" s="106"/>
    </row>
    <row r="207">
      <c r="C207" s="79"/>
      <c r="D207" s="79"/>
      <c r="J207" s="79"/>
      <c r="O207" s="79"/>
      <c r="P207" s="79"/>
      <c r="S207" s="79"/>
      <c r="T207" s="79"/>
      <c r="W207" s="130"/>
      <c r="Y207" s="106"/>
    </row>
    <row r="208">
      <c r="C208" s="79"/>
      <c r="D208" s="79"/>
      <c r="J208" s="79"/>
      <c r="O208" s="79"/>
      <c r="P208" s="79"/>
      <c r="S208" s="79"/>
      <c r="T208" s="79"/>
      <c r="W208" s="130"/>
      <c r="Y208" s="106"/>
    </row>
    <row r="209">
      <c r="C209" s="79"/>
      <c r="D209" s="79"/>
      <c r="J209" s="79"/>
      <c r="O209" s="79"/>
      <c r="P209" s="79"/>
      <c r="S209" s="79"/>
      <c r="T209" s="79"/>
      <c r="W209" s="130"/>
      <c r="Y209" s="106"/>
    </row>
    <row r="210">
      <c r="C210" s="79"/>
      <c r="D210" s="79"/>
      <c r="J210" s="79"/>
      <c r="O210" s="79"/>
      <c r="P210" s="79"/>
      <c r="S210" s="79"/>
      <c r="T210" s="79"/>
      <c r="W210" s="130"/>
      <c r="Y210" s="106"/>
    </row>
    <row r="211">
      <c r="C211" s="79"/>
      <c r="D211" s="79"/>
      <c r="J211" s="79"/>
      <c r="O211" s="79"/>
      <c r="P211" s="79"/>
      <c r="S211" s="79"/>
      <c r="T211" s="79"/>
      <c r="W211" s="130"/>
      <c r="Y211" s="106"/>
    </row>
    <row r="212">
      <c r="C212" s="79"/>
      <c r="D212" s="79"/>
      <c r="J212" s="79"/>
      <c r="O212" s="79"/>
      <c r="P212" s="79"/>
      <c r="S212" s="79"/>
      <c r="T212" s="79"/>
      <c r="W212" s="130"/>
      <c r="Y212" s="106"/>
    </row>
    <row r="213">
      <c r="C213" s="79"/>
      <c r="D213" s="79"/>
      <c r="J213" s="79"/>
      <c r="O213" s="79"/>
      <c r="P213" s="79"/>
      <c r="S213" s="79"/>
      <c r="T213" s="79"/>
      <c r="W213" s="130"/>
      <c r="Y213" s="106"/>
    </row>
    <row r="214">
      <c r="C214" s="79"/>
      <c r="D214" s="79"/>
      <c r="J214" s="79"/>
      <c r="O214" s="79"/>
      <c r="P214" s="79"/>
      <c r="S214" s="79"/>
      <c r="T214" s="79"/>
      <c r="W214" s="130"/>
      <c r="Y214" s="106"/>
    </row>
    <row r="215">
      <c r="C215" s="79"/>
      <c r="D215" s="79"/>
      <c r="J215" s="79"/>
      <c r="O215" s="79"/>
      <c r="P215" s="79"/>
      <c r="S215" s="79"/>
      <c r="T215" s="79"/>
      <c r="W215" s="130"/>
      <c r="Y215" s="106"/>
    </row>
    <row r="216">
      <c r="C216" s="79"/>
      <c r="D216" s="79"/>
      <c r="J216" s="79"/>
      <c r="O216" s="79"/>
      <c r="P216" s="79"/>
      <c r="S216" s="79"/>
      <c r="T216" s="79"/>
      <c r="W216" s="130"/>
      <c r="Y216" s="106"/>
    </row>
    <row r="217">
      <c r="C217" s="79"/>
      <c r="D217" s="79"/>
      <c r="J217" s="79"/>
      <c r="O217" s="79"/>
      <c r="P217" s="79"/>
      <c r="S217" s="79"/>
      <c r="T217" s="79"/>
      <c r="W217" s="130"/>
      <c r="Y217" s="106"/>
    </row>
    <row r="218">
      <c r="C218" s="79"/>
      <c r="D218" s="79"/>
      <c r="J218" s="79"/>
      <c r="O218" s="79"/>
      <c r="P218" s="79"/>
      <c r="S218" s="79"/>
      <c r="T218" s="79"/>
      <c r="W218" s="130"/>
      <c r="Y218" s="106"/>
    </row>
    <row r="219">
      <c r="C219" s="79"/>
      <c r="D219" s="79"/>
      <c r="J219" s="79"/>
      <c r="O219" s="79"/>
      <c r="P219" s="79"/>
      <c r="S219" s="79"/>
      <c r="T219" s="79"/>
      <c r="W219" s="130"/>
      <c r="Y219" s="106"/>
    </row>
    <row r="220">
      <c r="C220" s="79"/>
      <c r="D220" s="79"/>
      <c r="J220" s="79"/>
      <c r="O220" s="79"/>
      <c r="P220" s="79"/>
      <c r="S220" s="79"/>
      <c r="T220" s="79"/>
      <c r="W220" s="130"/>
      <c r="Y220" s="106"/>
    </row>
    <row r="221">
      <c r="C221" s="79"/>
      <c r="D221" s="79"/>
      <c r="J221" s="79"/>
      <c r="O221" s="79"/>
      <c r="P221" s="79"/>
      <c r="S221" s="79"/>
      <c r="T221" s="79"/>
      <c r="W221" s="130"/>
      <c r="Y221" s="106"/>
    </row>
    <row r="222">
      <c r="C222" s="79"/>
      <c r="D222" s="79"/>
      <c r="J222" s="79"/>
      <c r="O222" s="79"/>
      <c r="P222" s="79"/>
      <c r="S222" s="79"/>
      <c r="T222" s="79"/>
      <c r="W222" s="130"/>
      <c r="Y222" s="106"/>
    </row>
    <row r="223">
      <c r="C223" s="79"/>
      <c r="D223" s="79"/>
      <c r="J223" s="79"/>
      <c r="O223" s="79"/>
      <c r="P223" s="79"/>
      <c r="S223" s="79"/>
      <c r="T223" s="79"/>
      <c r="W223" s="130"/>
      <c r="Y223" s="106"/>
    </row>
    <row r="224">
      <c r="C224" s="79"/>
      <c r="D224" s="79"/>
      <c r="J224" s="79"/>
      <c r="O224" s="79"/>
      <c r="P224" s="79"/>
      <c r="S224" s="79"/>
      <c r="T224" s="79"/>
      <c r="W224" s="130"/>
      <c r="Y224" s="106"/>
    </row>
    <row r="225">
      <c r="C225" s="79"/>
      <c r="D225" s="79"/>
      <c r="J225" s="79"/>
      <c r="O225" s="79"/>
      <c r="P225" s="79"/>
      <c r="S225" s="79"/>
      <c r="T225" s="79"/>
      <c r="W225" s="130"/>
      <c r="Y225" s="106"/>
    </row>
    <row r="226">
      <c r="C226" s="79"/>
      <c r="D226" s="79"/>
      <c r="J226" s="79"/>
      <c r="O226" s="79"/>
      <c r="P226" s="79"/>
      <c r="S226" s="79"/>
      <c r="T226" s="79"/>
      <c r="W226" s="130"/>
      <c r="Y226" s="106"/>
    </row>
    <row r="227">
      <c r="C227" s="79"/>
      <c r="D227" s="79"/>
      <c r="J227" s="79"/>
      <c r="O227" s="79"/>
      <c r="P227" s="79"/>
      <c r="S227" s="79"/>
      <c r="T227" s="79"/>
      <c r="W227" s="130"/>
      <c r="Y227" s="106"/>
    </row>
    <row r="228">
      <c r="C228" s="79"/>
      <c r="D228" s="79"/>
      <c r="J228" s="79"/>
      <c r="O228" s="79"/>
      <c r="P228" s="79"/>
      <c r="S228" s="79"/>
      <c r="T228" s="79"/>
      <c r="W228" s="130"/>
      <c r="Y228" s="106"/>
    </row>
    <row r="229">
      <c r="C229" s="79"/>
      <c r="D229" s="79"/>
      <c r="J229" s="79"/>
      <c r="O229" s="79"/>
      <c r="P229" s="79"/>
      <c r="S229" s="79"/>
      <c r="T229" s="79"/>
      <c r="W229" s="130"/>
      <c r="Y229" s="106"/>
    </row>
    <row r="230">
      <c r="C230" s="79"/>
      <c r="D230" s="79"/>
      <c r="J230" s="79"/>
      <c r="O230" s="79"/>
      <c r="P230" s="79"/>
      <c r="S230" s="79"/>
      <c r="T230" s="79"/>
      <c r="W230" s="130"/>
      <c r="Y230" s="106"/>
    </row>
    <row r="231">
      <c r="C231" s="79"/>
      <c r="D231" s="79"/>
      <c r="J231" s="79"/>
      <c r="O231" s="79"/>
      <c r="P231" s="79"/>
      <c r="S231" s="79"/>
      <c r="T231" s="79"/>
      <c r="W231" s="130"/>
      <c r="Y231" s="106"/>
    </row>
    <row r="232">
      <c r="C232" s="79"/>
      <c r="D232" s="79"/>
      <c r="J232" s="79"/>
      <c r="O232" s="79"/>
      <c r="P232" s="79"/>
      <c r="S232" s="79"/>
      <c r="T232" s="79"/>
      <c r="W232" s="130"/>
      <c r="Y232" s="106"/>
    </row>
    <row r="233">
      <c r="C233" s="79"/>
      <c r="D233" s="79"/>
      <c r="J233" s="79"/>
      <c r="O233" s="79"/>
      <c r="P233" s="79"/>
      <c r="S233" s="79"/>
      <c r="T233" s="79"/>
      <c r="W233" s="130"/>
      <c r="Y233" s="106"/>
    </row>
    <row r="234">
      <c r="C234" s="79"/>
      <c r="D234" s="79"/>
      <c r="J234" s="79"/>
      <c r="O234" s="79"/>
      <c r="P234" s="79"/>
      <c r="S234" s="79"/>
      <c r="T234" s="79"/>
      <c r="W234" s="130"/>
      <c r="Y234" s="106"/>
    </row>
    <row r="235">
      <c r="C235" s="79"/>
      <c r="D235" s="79"/>
      <c r="J235" s="79"/>
      <c r="O235" s="79"/>
      <c r="P235" s="79"/>
      <c r="S235" s="79"/>
      <c r="T235" s="79"/>
      <c r="W235" s="130"/>
      <c r="Y235" s="106"/>
    </row>
    <row r="236">
      <c r="C236" s="79"/>
      <c r="D236" s="79"/>
      <c r="J236" s="79"/>
      <c r="O236" s="79"/>
      <c r="P236" s="79"/>
      <c r="S236" s="79"/>
      <c r="T236" s="79"/>
      <c r="W236" s="130"/>
      <c r="Y236" s="106"/>
    </row>
    <row r="237">
      <c r="C237" s="79"/>
      <c r="D237" s="79"/>
      <c r="J237" s="79"/>
      <c r="O237" s="79"/>
      <c r="P237" s="79"/>
      <c r="S237" s="79"/>
      <c r="T237" s="79"/>
      <c r="W237" s="130"/>
      <c r="Y237" s="106"/>
    </row>
    <row r="238">
      <c r="C238" s="79"/>
      <c r="D238" s="79"/>
      <c r="J238" s="79"/>
      <c r="O238" s="79"/>
      <c r="P238" s="79"/>
      <c r="S238" s="79"/>
      <c r="T238" s="79"/>
      <c r="W238" s="130"/>
      <c r="Y238" s="106"/>
    </row>
    <row r="239">
      <c r="C239" s="79"/>
      <c r="D239" s="79"/>
      <c r="J239" s="79"/>
      <c r="O239" s="79"/>
      <c r="P239" s="79"/>
      <c r="S239" s="79"/>
      <c r="T239" s="79"/>
      <c r="W239" s="130"/>
      <c r="Y239" s="106"/>
    </row>
    <row r="240">
      <c r="C240" s="79"/>
      <c r="D240" s="79"/>
      <c r="J240" s="79"/>
      <c r="O240" s="79"/>
      <c r="P240" s="79"/>
      <c r="S240" s="79"/>
      <c r="T240" s="79"/>
      <c r="W240" s="130"/>
      <c r="Y240" s="106"/>
    </row>
    <row r="241">
      <c r="C241" s="79"/>
      <c r="D241" s="79"/>
      <c r="J241" s="79"/>
      <c r="O241" s="79"/>
      <c r="P241" s="79"/>
      <c r="S241" s="79"/>
      <c r="T241" s="79"/>
      <c r="W241" s="130"/>
      <c r="Y241" s="106"/>
    </row>
    <row r="242">
      <c r="C242" s="79"/>
      <c r="D242" s="79"/>
      <c r="J242" s="79"/>
      <c r="O242" s="79"/>
      <c r="P242" s="79"/>
      <c r="S242" s="79"/>
      <c r="T242" s="79"/>
      <c r="W242" s="130"/>
      <c r="Y242" s="106"/>
    </row>
    <row r="243">
      <c r="C243" s="79"/>
      <c r="D243" s="79"/>
      <c r="J243" s="79"/>
      <c r="O243" s="79"/>
      <c r="P243" s="79"/>
      <c r="S243" s="79"/>
      <c r="T243" s="79"/>
      <c r="W243" s="130"/>
      <c r="Y243" s="106"/>
    </row>
    <row r="244">
      <c r="C244" s="79"/>
      <c r="D244" s="79"/>
      <c r="J244" s="79"/>
      <c r="O244" s="79"/>
      <c r="P244" s="79"/>
      <c r="S244" s="79"/>
      <c r="T244" s="79"/>
      <c r="W244" s="130"/>
      <c r="Y244" s="106"/>
    </row>
    <row r="245">
      <c r="C245" s="79"/>
      <c r="D245" s="79"/>
      <c r="J245" s="79"/>
      <c r="O245" s="79"/>
      <c r="P245" s="79"/>
      <c r="S245" s="79"/>
      <c r="T245" s="79"/>
      <c r="W245" s="130"/>
      <c r="Y245" s="106"/>
    </row>
    <row r="246">
      <c r="C246" s="79"/>
      <c r="D246" s="79"/>
      <c r="J246" s="79"/>
      <c r="O246" s="79"/>
      <c r="P246" s="79"/>
      <c r="S246" s="79"/>
      <c r="T246" s="79"/>
      <c r="W246" s="130"/>
      <c r="Y246" s="106"/>
    </row>
    <row r="247">
      <c r="C247" s="79"/>
      <c r="D247" s="79"/>
      <c r="J247" s="79"/>
      <c r="O247" s="79"/>
      <c r="P247" s="79"/>
      <c r="S247" s="79"/>
      <c r="T247" s="79"/>
      <c r="W247" s="130"/>
      <c r="Y247" s="106"/>
    </row>
    <row r="248">
      <c r="C248" s="79"/>
      <c r="D248" s="79"/>
      <c r="J248" s="79"/>
      <c r="O248" s="79"/>
      <c r="P248" s="79"/>
      <c r="S248" s="79"/>
      <c r="T248" s="79"/>
      <c r="W248" s="130"/>
      <c r="Y248" s="106"/>
    </row>
    <row r="249">
      <c r="C249" s="79"/>
      <c r="D249" s="79"/>
      <c r="J249" s="79"/>
      <c r="O249" s="79"/>
      <c r="P249" s="79"/>
      <c r="S249" s="79"/>
      <c r="T249" s="79"/>
      <c r="W249" s="130"/>
      <c r="Y249" s="106"/>
    </row>
    <row r="250">
      <c r="C250" s="79"/>
      <c r="D250" s="79"/>
      <c r="J250" s="79"/>
      <c r="O250" s="79"/>
      <c r="P250" s="79"/>
      <c r="S250" s="79"/>
      <c r="T250" s="79"/>
      <c r="W250" s="130"/>
      <c r="Y250" s="106"/>
    </row>
    <row r="251">
      <c r="C251" s="79"/>
      <c r="D251" s="79"/>
      <c r="J251" s="79"/>
      <c r="O251" s="79"/>
      <c r="P251" s="79"/>
      <c r="S251" s="79"/>
      <c r="T251" s="79"/>
      <c r="W251" s="130"/>
      <c r="Y251" s="106"/>
    </row>
    <row r="252">
      <c r="C252" s="79"/>
      <c r="D252" s="79"/>
      <c r="J252" s="79"/>
      <c r="O252" s="79"/>
      <c r="P252" s="79"/>
      <c r="S252" s="79"/>
      <c r="T252" s="79"/>
      <c r="W252" s="130"/>
      <c r="Y252" s="106"/>
    </row>
    <row r="253">
      <c r="C253" s="79"/>
      <c r="D253" s="79"/>
      <c r="J253" s="79"/>
      <c r="O253" s="79"/>
      <c r="P253" s="79"/>
      <c r="S253" s="79"/>
      <c r="T253" s="79"/>
      <c r="W253" s="130"/>
      <c r="Y253" s="106"/>
    </row>
    <row r="254">
      <c r="C254" s="79"/>
      <c r="D254" s="79"/>
      <c r="J254" s="79"/>
      <c r="O254" s="79"/>
      <c r="P254" s="79"/>
      <c r="S254" s="79"/>
      <c r="T254" s="79"/>
      <c r="W254" s="130"/>
      <c r="Y254" s="106"/>
    </row>
    <row r="255">
      <c r="C255" s="79"/>
      <c r="D255" s="79"/>
      <c r="J255" s="79"/>
      <c r="O255" s="79"/>
      <c r="P255" s="79"/>
      <c r="S255" s="79"/>
      <c r="T255" s="79"/>
      <c r="W255" s="130"/>
      <c r="Y255" s="106"/>
    </row>
    <row r="256">
      <c r="C256" s="79"/>
      <c r="D256" s="79"/>
      <c r="J256" s="79"/>
      <c r="O256" s="79"/>
      <c r="P256" s="79"/>
      <c r="S256" s="79"/>
      <c r="T256" s="79"/>
      <c r="W256" s="130"/>
      <c r="Y256" s="106"/>
    </row>
    <row r="257">
      <c r="C257" s="79"/>
      <c r="D257" s="79"/>
      <c r="J257" s="79"/>
      <c r="O257" s="79"/>
      <c r="P257" s="79"/>
      <c r="S257" s="79"/>
      <c r="T257" s="79"/>
      <c r="W257" s="130"/>
      <c r="Y257" s="106"/>
    </row>
    <row r="258">
      <c r="C258" s="79"/>
      <c r="D258" s="79"/>
      <c r="J258" s="79"/>
      <c r="O258" s="79"/>
      <c r="P258" s="79"/>
      <c r="S258" s="79"/>
      <c r="T258" s="79"/>
      <c r="W258" s="130"/>
      <c r="Y258" s="106"/>
    </row>
    <row r="259">
      <c r="C259" s="79"/>
      <c r="D259" s="79"/>
      <c r="J259" s="79"/>
      <c r="O259" s="79"/>
      <c r="P259" s="79"/>
      <c r="S259" s="79"/>
      <c r="T259" s="79"/>
      <c r="W259" s="130"/>
      <c r="Y259" s="106"/>
    </row>
    <row r="260">
      <c r="C260" s="79"/>
      <c r="D260" s="79"/>
      <c r="J260" s="79"/>
      <c r="O260" s="79"/>
      <c r="P260" s="79"/>
      <c r="S260" s="79"/>
      <c r="T260" s="79"/>
      <c r="W260" s="130"/>
      <c r="Y260" s="106"/>
    </row>
    <row r="261">
      <c r="C261" s="79"/>
      <c r="D261" s="79"/>
      <c r="J261" s="79"/>
      <c r="O261" s="79"/>
      <c r="P261" s="79"/>
      <c r="S261" s="79"/>
      <c r="T261" s="79"/>
      <c r="W261" s="130"/>
      <c r="Y261" s="106"/>
    </row>
    <row r="262">
      <c r="C262" s="79"/>
      <c r="D262" s="79"/>
      <c r="J262" s="79"/>
      <c r="O262" s="79"/>
      <c r="P262" s="79"/>
      <c r="S262" s="79"/>
      <c r="T262" s="79"/>
      <c r="W262" s="130"/>
      <c r="Y262" s="106"/>
    </row>
    <row r="263">
      <c r="C263" s="79"/>
      <c r="D263" s="79"/>
      <c r="J263" s="79"/>
      <c r="O263" s="79"/>
      <c r="P263" s="79"/>
      <c r="S263" s="79"/>
      <c r="T263" s="79"/>
      <c r="W263" s="130"/>
      <c r="Y263" s="106"/>
    </row>
    <row r="264">
      <c r="C264" s="79"/>
      <c r="D264" s="79"/>
      <c r="J264" s="79"/>
      <c r="O264" s="79"/>
      <c r="P264" s="79"/>
      <c r="S264" s="79"/>
      <c r="T264" s="79"/>
      <c r="W264" s="130"/>
      <c r="Y264" s="106"/>
    </row>
    <row r="265">
      <c r="C265" s="79"/>
      <c r="D265" s="79"/>
      <c r="J265" s="79"/>
      <c r="O265" s="79"/>
      <c r="P265" s="79"/>
      <c r="S265" s="79"/>
      <c r="T265" s="79"/>
      <c r="W265" s="130"/>
      <c r="Y265" s="106"/>
    </row>
    <row r="266">
      <c r="C266" s="79"/>
      <c r="D266" s="79"/>
      <c r="J266" s="79"/>
      <c r="O266" s="79"/>
      <c r="P266" s="79"/>
      <c r="S266" s="79"/>
      <c r="T266" s="79"/>
      <c r="W266" s="130"/>
      <c r="Y266" s="106"/>
    </row>
    <row r="267">
      <c r="C267" s="79"/>
      <c r="D267" s="79"/>
      <c r="J267" s="79"/>
      <c r="O267" s="79"/>
      <c r="P267" s="79"/>
      <c r="S267" s="79"/>
      <c r="T267" s="79"/>
      <c r="W267" s="130"/>
      <c r="Y267" s="106"/>
    </row>
    <row r="268">
      <c r="C268" s="79"/>
      <c r="D268" s="79"/>
      <c r="J268" s="79"/>
      <c r="O268" s="79"/>
      <c r="P268" s="79"/>
      <c r="S268" s="79"/>
      <c r="T268" s="79"/>
      <c r="W268" s="130"/>
      <c r="Y268" s="106"/>
    </row>
    <row r="269">
      <c r="C269" s="79"/>
      <c r="D269" s="79"/>
      <c r="J269" s="79"/>
      <c r="O269" s="79"/>
      <c r="P269" s="79"/>
      <c r="S269" s="79"/>
      <c r="T269" s="79"/>
      <c r="W269" s="130"/>
      <c r="Y269" s="106"/>
    </row>
    <row r="270">
      <c r="C270" s="79"/>
      <c r="D270" s="79"/>
      <c r="J270" s="79"/>
      <c r="O270" s="79"/>
      <c r="P270" s="79"/>
      <c r="S270" s="79"/>
      <c r="T270" s="79"/>
      <c r="W270" s="130"/>
      <c r="Y270" s="106"/>
    </row>
    <row r="271">
      <c r="C271" s="79"/>
      <c r="D271" s="79"/>
      <c r="J271" s="79"/>
      <c r="O271" s="79"/>
      <c r="P271" s="79"/>
      <c r="S271" s="79"/>
      <c r="T271" s="79"/>
      <c r="W271" s="130"/>
      <c r="Y271" s="106"/>
    </row>
    <row r="272">
      <c r="C272" s="79"/>
      <c r="D272" s="79"/>
      <c r="J272" s="79"/>
      <c r="O272" s="79"/>
      <c r="P272" s="79"/>
      <c r="S272" s="79"/>
      <c r="T272" s="79"/>
      <c r="W272" s="130"/>
      <c r="Y272" s="106"/>
    </row>
    <row r="273">
      <c r="C273" s="79"/>
      <c r="D273" s="79"/>
      <c r="J273" s="79"/>
      <c r="O273" s="79"/>
      <c r="P273" s="79"/>
      <c r="S273" s="79"/>
      <c r="T273" s="79"/>
      <c r="W273" s="130"/>
      <c r="Y273" s="106"/>
    </row>
    <row r="274">
      <c r="C274" s="79"/>
      <c r="D274" s="79"/>
      <c r="J274" s="79"/>
      <c r="O274" s="79"/>
      <c r="P274" s="79"/>
      <c r="S274" s="79"/>
      <c r="T274" s="79"/>
      <c r="W274" s="130"/>
      <c r="Y274" s="106"/>
    </row>
    <row r="275">
      <c r="C275" s="79"/>
      <c r="D275" s="79"/>
      <c r="J275" s="79"/>
      <c r="O275" s="79"/>
      <c r="P275" s="79"/>
      <c r="S275" s="79"/>
      <c r="T275" s="79"/>
      <c r="W275" s="130"/>
      <c r="Y275" s="106"/>
    </row>
    <row r="276">
      <c r="C276" s="79"/>
      <c r="D276" s="79"/>
      <c r="J276" s="79"/>
      <c r="O276" s="79"/>
      <c r="P276" s="79"/>
      <c r="S276" s="79"/>
      <c r="T276" s="79"/>
      <c r="W276" s="130"/>
      <c r="Y276" s="106"/>
    </row>
    <row r="277">
      <c r="C277" s="79"/>
      <c r="D277" s="79"/>
      <c r="J277" s="79"/>
      <c r="O277" s="79"/>
      <c r="P277" s="79"/>
      <c r="S277" s="79"/>
      <c r="T277" s="79"/>
      <c r="W277" s="130"/>
      <c r="Y277" s="106"/>
    </row>
    <row r="278">
      <c r="C278" s="79"/>
      <c r="D278" s="79"/>
      <c r="J278" s="79"/>
      <c r="O278" s="79"/>
      <c r="P278" s="79"/>
      <c r="S278" s="79"/>
      <c r="T278" s="79"/>
      <c r="W278" s="130"/>
      <c r="Y278" s="106"/>
    </row>
    <row r="279">
      <c r="C279" s="79"/>
      <c r="D279" s="79"/>
      <c r="J279" s="79"/>
      <c r="O279" s="79"/>
      <c r="P279" s="79"/>
      <c r="S279" s="79"/>
      <c r="T279" s="79"/>
      <c r="W279" s="130"/>
      <c r="Y279" s="106"/>
    </row>
    <row r="280">
      <c r="C280" s="79"/>
      <c r="D280" s="79"/>
      <c r="J280" s="79"/>
      <c r="O280" s="79"/>
      <c r="P280" s="79"/>
      <c r="S280" s="79"/>
      <c r="T280" s="79"/>
      <c r="W280" s="130"/>
      <c r="Y280" s="106"/>
    </row>
    <row r="281">
      <c r="C281" s="79"/>
      <c r="D281" s="79"/>
      <c r="J281" s="79"/>
      <c r="O281" s="79"/>
      <c r="P281" s="79"/>
      <c r="S281" s="79"/>
      <c r="T281" s="79"/>
      <c r="W281" s="130"/>
      <c r="Y281" s="106"/>
    </row>
    <row r="282">
      <c r="C282" s="79"/>
      <c r="D282" s="79"/>
      <c r="J282" s="79"/>
      <c r="O282" s="79"/>
      <c r="P282" s="79"/>
      <c r="S282" s="79"/>
      <c r="T282" s="79"/>
      <c r="W282" s="130"/>
      <c r="Y282" s="106"/>
    </row>
    <row r="283">
      <c r="C283" s="79"/>
      <c r="D283" s="79"/>
      <c r="J283" s="79"/>
      <c r="O283" s="79"/>
      <c r="P283" s="79"/>
      <c r="S283" s="79"/>
      <c r="T283" s="79"/>
      <c r="W283" s="130"/>
      <c r="Y283" s="106"/>
    </row>
    <row r="284">
      <c r="C284" s="79"/>
      <c r="D284" s="79"/>
      <c r="J284" s="79"/>
      <c r="O284" s="79"/>
      <c r="P284" s="79"/>
      <c r="S284" s="79"/>
      <c r="T284" s="79"/>
      <c r="W284" s="130"/>
      <c r="Y284" s="106"/>
    </row>
    <row r="285">
      <c r="C285" s="79"/>
      <c r="D285" s="79"/>
      <c r="J285" s="79"/>
      <c r="O285" s="79"/>
      <c r="P285" s="79"/>
      <c r="S285" s="79"/>
      <c r="T285" s="79"/>
      <c r="W285" s="130"/>
      <c r="Y285" s="106"/>
    </row>
    <row r="286">
      <c r="C286" s="79"/>
      <c r="D286" s="79"/>
      <c r="J286" s="79"/>
      <c r="O286" s="79"/>
      <c r="P286" s="79"/>
      <c r="S286" s="79"/>
      <c r="T286" s="79"/>
      <c r="W286" s="130"/>
      <c r="Y286" s="106"/>
    </row>
    <row r="287">
      <c r="C287" s="79"/>
      <c r="D287" s="79"/>
      <c r="J287" s="79"/>
      <c r="O287" s="79"/>
      <c r="P287" s="79"/>
      <c r="S287" s="79"/>
      <c r="T287" s="79"/>
      <c r="W287" s="130"/>
      <c r="Y287" s="106"/>
    </row>
    <row r="288">
      <c r="C288" s="79"/>
      <c r="D288" s="79"/>
      <c r="J288" s="79"/>
      <c r="O288" s="79"/>
      <c r="P288" s="79"/>
      <c r="S288" s="79"/>
      <c r="T288" s="79"/>
      <c r="W288" s="130"/>
      <c r="Y288" s="106"/>
    </row>
    <row r="289">
      <c r="C289" s="79"/>
      <c r="D289" s="79"/>
      <c r="J289" s="79"/>
      <c r="O289" s="79"/>
      <c r="P289" s="79"/>
      <c r="S289" s="79"/>
      <c r="T289" s="79"/>
      <c r="W289" s="130"/>
      <c r="Y289" s="106"/>
    </row>
    <row r="290">
      <c r="C290" s="79"/>
      <c r="D290" s="79"/>
      <c r="J290" s="79"/>
      <c r="O290" s="79"/>
      <c r="P290" s="79"/>
      <c r="S290" s="79"/>
      <c r="T290" s="79"/>
      <c r="W290" s="130"/>
      <c r="Y290" s="106"/>
    </row>
    <row r="291">
      <c r="C291" s="79"/>
      <c r="D291" s="79"/>
      <c r="J291" s="79"/>
      <c r="O291" s="79"/>
      <c r="P291" s="79"/>
      <c r="S291" s="79"/>
      <c r="T291" s="79"/>
      <c r="W291" s="130"/>
      <c r="Y291" s="106"/>
    </row>
    <row r="292">
      <c r="C292" s="79"/>
      <c r="D292" s="79"/>
      <c r="J292" s="79"/>
      <c r="O292" s="79"/>
      <c r="P292" s="79"/>
      <c r="S292" s="79"/>
      <c r="T292" s="79"/>
      <c r="W292" s="130"/>
      <c r="Y292" s="106"/>
    </row>
    <row r="293">
      <c r="C293" s="79"/>
      <c r="D293" s="79"/>
      <c r="J293" s="79"/>
      <c r="O293" s="79"/>
      <c r="P293" s="79"/>
      <c r="S293" s="79"/>
      <c r="T293" s="79"/>
      <c r="W293" s="130"/>
      <c r="Y293" s="106"/>
    </row>
    <row r="294">
      <c r="C294" s="79"/>
      <c r="D294" s="79"/>
      <c r="J294" s="79"/>
      <c r="O294" s="79"/>
      <c r="P294" s="79"/>
      <c r="S294" s="79"/>
      <c r="T294" s="79"/>
      <c r="W294" s="130"/>
      <c r="Y294" s="106"/>
    </row>
    <row r="295">
      <c r="C295" s="79"/>
      <c r="D295" s="79"/>
      <c r="J295" s="79"/>
      <c r="O295" s="79"/>
      <c r="P295" s="79"/>
      <c r="S295" s="79"/>
      <c r="T295" s="79"/>
      <c r="W295" s="130"/>
      <c r="Y295" s="106"/>
    </row>
    <row r="296">
      <c r="C296" s="79"/>
      <c r="D296" s="79"/>
      <c r="J296" s="79"/>
      <c r="O296" s="79"/>
      <c r="P296" s="79"/>
      <c r="S296" s="79"/>
      <c r="T296" s="79"/>
      <c r="W296" s="130"/>
      <c r="Y296" s="106"/>
    </row>
    <row r="297">
      <c r="C297" s="79"/>
      <c r="D297" s="79"/>
      <c r="J297" s="79"/>
      <c r="O297" s="79"/>
      <c r="P297" s="79"/>
      <c r="S297" s="79"/>
      <c r="T297" s="79"/>
      <c r="W297" s="130"/>
      <c r="Y297" s="106"/>
    </row>
    <row r="298">
      <c r="C298" s="79"/>
      <c r="D298" s="79"/>
      <c r="J298" s="79"/>
      <c r="O298" s="79"/>
      <c r="P298" s="79"/>
      <c r="S298" s="79"/>
      <c r="T298" s="79"/>
      <c r="W298" s="130"/>
      <c r="Y298" s="106"/>
    </row>
    <row r="299">
      <c r="C299" s="79"/>
      <c r="D299" s="79"/>
      <c r="J299" s="79"/>
      <c r="O299" s="79"/>
      <c r="P299" s="79"/>
      <c r="S299" s="79"/>
      <c r="T299" s="79"/>
      <c r="W299" s="130"/>
      <c r="Y299" s="106"/>
    </row>
    <row r="300">
      <c r="C300" s="79"/>
      <c r="D300" s="79"/>
      <c r="J300" s="79"/>
      <c r="O300" s="79"/>
      <c r="P300" s="79"/>
      <c r="S300" s="79"/>
      <c r="T300" s="79"/>
      <c r="W300" s="130"/>
      <c r="Y300" s="106"/>
    </row>
    <row r="301">
      <c r="C301" s="79"/>
      <c r="D301" s="79"/>
      <c r="J301" s="79"/>
      <c r="O301" s="79"/>
      <c r="P301" s="79"/>
      <c r="S301" s="79"/>
      <c r="T301" s="79"/>
      <c r="W301" s="130"/>
      <c r="Y301" s="106"/>
    </row>
    <row r="302">
      <c r="C302" s="79"/>
      <c r="D302" s="79"/>
      <c r="J302" s="79"/>
      <c r="O302" s="79"/>
      <c r="P302" s="79"/>
      <c r="S302" s="79"/>
      <c r="T302" s="79"/>
      <c r="W302" s="130"/>
      <c r="Y302" s="106"/>
    </row>
    <row r="303">
      <c r="C303" s="79"/>
      <c r="D303" s="79"/>
      <c r="J303" s="79"/>
      <c r="O303" s="79"/>
      <c r="P303" s="79"/>
      <c r="S303" s="79"/>
      <c r="T303" s="79"/>
      <c r="W303" s="130"/>
      <c r="Y303" s="106"/>
    </row>
    <row r="304">
      <c r="C304" s="79"/>
      <c r="D304" s="79"/>
      <c r="J304" s="79"/>
      <c r="O304" s="79"/>
      <c r="P304" s="79"/>
      <c r="S304" s="79"/>
      <c r="T304" s="79"/>
      <c r="W304" s="130"/>
      <c r="Y304" s="106"/>
    </row>
    <row r="305">
      <c r="C305" s="79"/>
      <c r="D305" s="79"/>
      <c r="J305" s="79"/>
      <c r="O305" s="79"/>
      <c r="P305" s="79"/>
      <c r="S305" s="79"/>
      <c r="T305" s="79"/>
      <c r="W305" s="130"/>
      <c r="Y305" s="106"/>
    </row>
    <row r="306">
      <c r="C306" s="79"/>
      <c r="D306" s="79"/>
      <c r="J306" s="79"/>
      <c r="O306" s="79"/>
      <c r="P306" s="79"/>
      <c r="S306" s="79"/>
      <c r="T306" s="79"/>
      <c r="W306" s="130"/>
      <c r="Y306" s="106"/>
    </row>
    <row r="307">
      <c r="C307" s="79"/>
      <c r="D307" s="79"/>
      <c r="J307" s="79"/>
      <c r="O307" s="79"/>
      <c r="P307" s="79"/>
      <c r="S307" s="79"/>
      <c r="T307" s="79"/>
      <c r="W307" s="130"/>
      <c r="Y307" s="106"/>
    </row>
    <row r="308">
      <c r="C308" s="79"/>
      <c r="D308" s="79"/>
      <c r="J308" s="79"/>
      <c r="O308" s="79"/>
      <c r="P308" s="79"/>
      <c r="S308" s="79"/>
      <c r="T308" s="79"/>
      <c r="W308" s="130"/>
      <c r="Y308" s="106"/>
    </row>
    <row r="309">
      <c r="C309" s="79"/>
      <c r="D309" s="79"/>
      <c r="J309" s="79"/>
      <c r="O309" s="79"/>
      <c r="P309" s="79"/>
      <c r="S309" s="79"/>
      <c r="T309" s="79"/>
      <c r="W309" s="130"/>
      <c r="Y309" s="106"/>
    </row>
    <row r="310">
      <c r="C310" s="79"/>
      <c r="D310" s="79"/>
      <c r="J310" s="79"/>
      <c r="O310" s="79"/>
      <c r="P310" s="79"/>
      <c r="S310" s="79"/>
      <c r="T310" s="79"/>
      <c r="W310" s="130"/>
      <c r="Y310" s="106"/>
    </row>
    <row r="311">
      <c r="C311" s="79"/>
      <c r="D311" s="79"/>
      <c r="J311" s="79"/>
      <c r="O311" s="79"/>
      <c r="P311" s="79"/>
      <c r="S311" s="79"/>
      <c r="T311" s="79"/>
      <c r="W311" s="130"/>
      <c r="Y311" s="106"/>
    </row>
    <row r="312">
      <c r="C312" s="79"/>
      <c r="D312" s="79"/>
      <c r="J312" s="79"/>
      <c r="O312" s="79"/>
      <c r="P312" s="79"/>
      <c r="S312" s="79"/>
      <c r="T312" s="79"/>
      <c r="W312" s="130"/>
      <c r="Y312" s="106"/>
    </row>
    <row r="313">
      <c r="C313" s="79"/>
      <c r="D313" s="79"/>
      <c r="J313" s="79"/>
      <c r="O313" s="79"/>
      <c r="P313" s="79"/>
      <c r="S313" s="79"/>
      <c r="T313" s="79"/>
      <c r="W313" s="130"/>
      <c r="Y313" s="106"/>
    </row>
    <row r="314">
      <c r="C314" s="79"/>
      <c r="D314" s="79"/>
      <c r="J314" s="79"/>
      <c r="O314" s="79"/>
      <c r="P314" s="79"/>
      <c r="S314" s="79"/>
      <c r="T314" s="79"/>
      <c r="W314" s="130"/>
      <c r="Y314" s="106"/>
    </row>
    <row r="315">
      <c r="C315" s="79"/>
      <c r="D315" s="79"/>
      <c r="J315" s="79"/>
      <c r="O315" s="79"/>
      <c r="P315" s="79"/>
      <c r="S315" s="79"/>
      <c r="T315" s="79"/>
      <c r="W315" s="130"/>
      <c r="Y315" s="106"/>
    </row>
    <row r="316">
      <c r="C316" s="79"/>
      <c r="D316" s="79"/>
      <c r="J316" s="79"/>
      <c r="O316" s="79"/>
      <c r="P316" s="79"/>
      <c r="S316" s="79"/>
      <c r="T316" s="79"/>
      <c r="W316" s="130"/>
      <c r="Y316" s="106"/>
    </row>
    <row r="317">
      <c r="C317" s="79"/>
      <c r="D317" s="79"/>
      <c r="J317" s="79"/>
      <c r="O317" s="79"/>
      <c r="P317" s="79"/>
      <c r="S317" s="79"/>
      <c r="T317" s="79"/>
      <c r="W317" s="130"/>
      <c r="Y317" s="106"/>
    </row>
    <row r="318">
      <c r="C318" s="79"/>
      <c r="D318" s="79"/>
      <c r="J318" s="79"/>
      <c r="O318" s="79"/>
      <c r="P318" s="79"/>
      <c r="S318" s="79"/>
      <c r="T318" s="79"/>
      <c r="W318" s="130"/>
      <c r="Y318" s="106"/>
    </row>
    <row r="319">
      <c r="C319" s="79"/>
      <c r="D319" s="79"/>
      <c r="J319" s="79"/>
      <c r="O319" s="79"/>
      <c r="P319" s="79"/>
      <c r="S319" s="79"/>
      <c r="T319" s="79"/>
      <c r="W319" s="130"/>
      <c r="Y319" s="106"/>
    </row>
    <row r="320">
      <c r="C320" s="79"/>
      <c r="D320" s="79"/>
      <c r="J320" s="79"/>
      <c r="O320" s="79"/>
      <c r="P320" s="79"/>
      <c r="S320" s="79"/>
      <c r="T320" s="79"/>
      <c r="W320" s="130"/>
      <c r="Y320" s="106"/>
    </row>
    <row r="321">
      <c r="C321" s="79"/>
      <c r="D321" s="79"/>
      <c r="J321" s="79"/>
      <c r="O321" s="79"/>
      <c r="P321" s="79"/>
      <c r="S321" s="79"/>
      <c r="T321" s="79"/>
      <c r="W321" s="130"/>
      <c r="Y321" s="106"/>
    </row>
    <row r="322">
      <c r="C322" s="79"/>
      <c r="D322" s="79"/>
      <c r="J322" s="79"/>
      <c r="O322" s="79"/>
      <c r="P322" s="79"/>
      <c r="S322" s="79"/>
      <c r="T322" s="79"/>
      <c r="W322" s="130"/>
      <c r="Y322" s="106"/>
    </row>
    <row r="323">
      <c r="C323" s="79"/>
      <c r="D323" s="79"/>
      <c r="J323" s="79"/>
      <c r="O323" s="79"/>
      <c r="P323" s="79"/>
      <c r="S323" s="79"/>
      <c r="T323" s="79"/>
      <c r="W323" s="130"/>
      <c r="Y323" s="106"/>
    </row>
    <row r="324">
      <c r="C324" s="79"/>
      <c r="D324" s="79"/>
      <c r="J324" s="79"/>
      <c r="O324" s="79"/>
      <c r="P324" s="79"/>
      <c r="S324" s="79"/>
      <c r="T324" s="79"/>
      <c r="W324" s="130"/>
      <c r="Y324" s="106"/>
    </row>
    <row r="325">
      <c r="C325" s="79"/>
      <c r="D325" s="79"/>
      <c r="J325" s="79"/>
      <c r="O325" s="79"/>
      <c r="P325" s="79"/>
      <c r="S325" s="79"/>
      <c r="T325" s="79"/>
      <c r="W325" s="130"/>
      <c r="Y325" s="106"/>
    </row>
    <row r="326">
      <c r="C326" s="79"/>
      <c r="D326" s="79"/>
      <c r="J326" s="79"/>
      <c r="O326" s="79"/>
      <c r="P326" s="79"/>
      <c r="S326" s="79"/>
      <c r="T326" s="79"/>
      <c r="W326" s="130"/>
      <c r="Y326" s="106"/>
    </row>
    <row r="327">
      <c r="C327" s="79"/>
      <c r="D327" s="79"/>
      <c r="J327" s="79"/>
      <c r="O327" s="79"/>
      <c r="P327" s="79"/>
      <c r="S327" s="79"/>
      <c r="T327" s="79"/>
      <c r="W327" s="130"/>
      <c r="Y327" s="106"/>
    </row>
    <row r="328">
      <c r="C328" s="79"/>
      <c r="D328" s="79"/>
      <c r="J328" s="79"/>
      <c r="O328" s="79"/>
      <c r="P328" s="79"/>
      <c r="S328" s="79"/>
      <c r="T328" s="79"/>
      <c r="W328" s="130"/>
      <c r="Y328" s="106"/>
    </row>
    <row r="329">
      <c r="C329" s="79"/>
      <c r="D329" s="79"/>
      <c r="J329" s="79"/>
      <c r="O329" s="79"/>
      <c r="P329" s="79"/>
      <c r="S329" s="79"/>
      <c r="T329" s="79"/>
      <c r="W329" s="130"/>
      <c r="Y329" s="106"/>
    </row>
    <row r="330">
      <c r="C330" s="79"/>
      <c r="D330" s="79"/>
      <c r="J330" s="79"/>
      <c r="O330" s="79"/>
      <c r="P330" s="79"/>
      <c r="S330" s="79"/>
      <c r="T330" s="79"/>
      <c r="W330" s="130"/>
      <c r="Y330" s="106"/>
    </row>
    <row r="331">
      <c r="C331" s="79"/>
      <c r="D331" s="79"/>
      <c r="J331" s="79"/>
      <c r="O331" s="79"/>
      <c r="P331" s="79"/>
      <c r="S331" s="79"/>
      <c r="T331" s="79"/>
      <c r="W331" s="130"/>
      <c r="Y331" s="106"/>
    </row>
    <row r="332">
      <c r="C332" s="79"/>
      <c r="D332" s="79"/>
      <c r="J332" s="79"/>
      <c r="O332" s="79"/>
      <c r="P332" s="79"/>
      <c r="S332" s="79"/>
      <c r="T332" s="79"/>
      <c r="W332" s="130"/>
      <c r="Y332" s="106"/>
    </row>
    <row r="333">
      <c r="C333" s="79"/>
      <c r="D333" s="79"/>
      <c r="J333" s="79"/>
      <c r="O333" s="79"/>
      <c r="P333" s="79"/>
      <c r="S333" s="79"/>
      <c r="T333" s="79"/>
      <c r="W333" s="130"/>
      <c r="Y333" s="106"/>
    </row>
    <row r="334">
      <c r="C334" s="79"/>
      <c r="D334" s="79"/>
      <c r="J334" s="79"/>
      <c r="O334" s="79"/>
      <c r="P334" s="79"/>
      <c r="S334" s="79"/>
      <c r="T334" s="79"/>
      <c r="W334" s="130"/>
      <c r="Y334" s="106"/>
    </row>
    <row r="335">
      <c r="C335" s="79"/>
      <c r="D335" s="79"/>
      <c r="J335" s="79"/>
      <c r="O335" s="79"/>
      <c r="P335" s="79"/>
      <c r="S335" s="79"/>
      <c r="T335" s="79"/>
      <c r="W335" s="130"/>
      <c r="Y335" s="106"/>
    </row>
    <row r="336">
      <c r="C336" s="79"/>
      <c r="D336" s="79"/>
      <c r="J336" s="79"/>
      <c r="O336" s="79"/>
      <c r="P336" s="79"/>
      <c r="S336" s="79"/>
      <c r="T336" s="79"/>
      <c r="W336" s="130"/>
      <c r="Y336" s="106"/>
    </row>
    <row r="337">
      <c r="C337" s="79"/>
      <c r="D337" s="79"/>
      <c r="J337" s="79"/>
      <c r="O337" s="79"/>
      <c r="P337" s="79"/>
      <c r="S337" s="79"/>
      <c r="T337" s="79"/>
      <c r="W337" s="130"/>
      <c r="Y337" s="106"/>
    </row>
    <row r="338">
      <c r="C338" s="79"/>
      <c r="D338" s="79"/>
      <c r="J338" s="79"/>
      <c r="O338" s="79"/>
      <c r="P338" s="79"/>
      <c r="S338" s="79"/>
      <c r="T338" s="79"/>
      <c r="W338" s="130"/>
      <c r="Y338" s="106"/>
    </row>
    <row r="339">
      <c r="C339" s="79"/>
      <c r="D339" s="79"/>
      <c r="J339" s="79"/>
      <c r="O339" s="79"/>
      <c r="P339" s="79"/>
      <c r="S339" s="79"/>
      <c r="T339" s="79"/>
      <c r="W339" s="130"/>
      <c r="Y339" s="106"/>
    </row>
    <row r="340">
      <c r="C340" s="79"/>
      <c r="D340" s="79"/>
      <c r="J340" s="79"/>
      <c r="O340" s="79"/>
      <c r="P340" s="79"/>
      <c r="S340" s="79"/>
      <c r="T340" s="79"/>
      <c r="W340" s="130"/>
      <c r="Y340" s="106"/>
    </row>
    <row r="341">
      <c r="C341" s="79"/>
      <c r="D341" s="79"/>
      <c r="J341" s="79"/>
      <c r="O341" s="79"/>
      <c r="P341" s="79"/>
      <c r="S341" s="79"/>
      <c r="T341" s="79"/>
      <c r="W341" s="130"/>
      <c r="Y341" s="106"/>
    </row>
    <row r="342">
      <c r="C342" s="79"/>
      <c r="D342" s="79"/>
      <c r="J342" s="79"/>
      <c r="O342" s="79"/>
      <c r="P342" s="79"/>
      <c r="S342" s="79"/>
      <c r="T342" s="79"/>
      <c r="W342" s="130"/>
      <c r="Y342" s="106"/>
    </row>
    <row r="343">
      <c r="C343" s="79"/>
      <c r="D343" s="79"/>
      <c r="J343" s="79"/>
      <c r="O343" s="79"/>
      <c r="P343" s="79"/>
      <c r="S343" s="79"/>
      <c r="T343" s="79"/>
      <c r="W343" s="130"/>
      <c r="Y343" s="106"/>
    </row>
    <row r="344">
      <c r="C344" s="79"/>
      <c r="D344" s="79"/>
      <c r="J344" s="79"/>
      <c r="O344" s="79"/>
      <c r="P344" s="79"/>
      <c r="S344" s="79"/>
      <c r="T344" s="79"/>
      <c r="W344" s="130"/>
      <c r="Y344" s="106"/>
    </row>
    <row r="345">
      <c r="C345" s="79"/>
      <c r="D345" s="79"/>
      <c r="J345" s="79"/>
      <c r="O345" s="79"/>
      <c r="P345" s="79"/>
      <c r="S345" s="79"/>
      <c r="T345" s="79"/>
      <c r="W345" s="130"/>
      <c r="Y345" s="106"/>
    </row>
    <row r="346">
      <c r="C346" s="79"/>
      <c r="D346" s="79"/>
      <c r="J346" s="79"/>
      <c r="O346" s="79"/>
      <c r="P346" s="79"/>
      <c r="S346" s="79"/>
      <c r="T346" s="79"/>
      <c r="W346" s="130"/>
      <c r="Y346" s="106"/>
    </row>
    <row r="347">
      <c r="C347" s="79"/>
      <c r="D347" s="79"/>
      <c r="J347" s="79"/>
      <c r="O347" s="79"/>
      <c r="P347" s="79"/>
      <c r="S347" s="79"/>
      <c r="T347" s="79"/>
      <c r="W347" s="130"/>
      <c r="Y347" s="106"/>
    </row>
    <row r="348">
      <c r="C348" s="79"/>
      <c r="D348" s="79"/>
      <c r="J348" s="79"/>
      <c r="O348" s="79"/>
      <c r="P348" s="79"/>
      <c r="S348" s="79"/>
      <c r="T348" s="79"/>
      <c r="W348" s="130"/>
      <c r="Y348" s="106"/>
    </row>
    <row r="349">
      <c r="C349" s="79"/>
      <c r="D349" s="79"/>
      <c r="J349" s="79"/>
      <c r="O349" s="79"/>
      <c r="P349" s="79"/>
      <c r="S349" s="79"/>
      <c r="T349" s="79"/>
      <c r="W349" s="130"/>
      <c r="Y349" s="106"/>
    </row>
    <row r="350">
      <c r="C350" s="79"/>
      <c r="D350" s="79"/>
      <c r="J350" s="79"/>
      <c r="O350" s="79"/>
      <c r="P350" s="79"/>
      <c r="S350" s="79"/>
      <c r="T350" s="79"/>
      <c r="W350" s="130"/>
      <c r="Y350" s="106"/>
    </row>
    <row r="351">
      <c r="C351" s="79"/>
      <c r="D351" s="79"/>
      <c r="J351" s="79"/>
      <c r="O351" s="79"/>
      <c r="P351" s="79"/>
      <c r="S351" s="79"/>
      <c r="T351" s="79"/>
      <c r="W351" s="130"/>
      <c r="Y351" s="106"/>
    </row>
    <row r="352">
      <c r="C352" s="79"/>
      <c r="D352" s="79"/>
      <c r="J352" s="79"/>
      <c r="O352" s="79"/>
      <c r="P352" s="79"/>
      <c r="S352" s="79"/>
      <c r="T352" s="79"/>
      <c r="W352" s="130"/>
      <c r="Y352" s="106"/>
    </row>
    <row r="353">
      <c r="C353" s="79"/>
      <c r="D353" s="79"/>
      <c r="J353" s="79"/>
      <c r="O353" s="79"/>
      <c r="P353" s="79"/>
      <c r="S353" s="79"/>
      <c r="T353" s="79"/>
      <c r="W353" s="130"/>
      <c r="Y353" s="106"/>
    </row>
    <row r="354">
      <c r="C354" s="79"/>
      <c r="D354" s="79"/>
      <c r="J354" s="79"/>
      <c r="O354" s="79"/>
      <c r="P354" s="79"/>
      <c r="S354" s="79"/>
      <c r="T354" s="79"/>
      <c r="W354" s="130"/>
      <c r="Y354" s="106"/>
    </row>
    <row r="355">
      <c r="C355" s="79"/>
      <c r="D355" s="79"/>
      <c r="J355" s="79"/>
      <c r="O355" s="79"/>
      <c r="P355" s="79"/>
      <c r="S355" s="79"/>
      <c r="T355" s="79"/>
      <c r="W355" s="130"/>
      <c r="Y355" s="106"/>
    </row>
    <row r="356">
      <c r="C356" s="79"/>
      <c r="D356" s="79"/>
      <c r="J356" s="79"/>
      <c r="O356" s="79"/>
      <c r="P356" s="79"/>
      <c r="S356" s="79"/>
      <c r="T356" s="79"/>
      <c r="W356" s="130"/>
      <c r="Y356" s="106"/>
    </row>
    <row r="357">
      <c r="C357" s="79"/>
      <c r="D357" s="79"/>
      <c r="J357" s="79"/>
      <c r="O357" s="79"/>
      <c r="P357" s="79"/>
      <c r="S357" s="79"/>
      <c r="T357" s="79"/>
      <c r="W357" s="130"/>
      <c r="Y357" s="106"/>
    </row>
    <row r="358">
      <c r="C358" s="79"/>
      <c r="D358" s="79"/>
      <c r="J358" s="79"/>
      <c r="O358" s="79"/>
      <c r="P358" s="79"/>
      <c r="S358" s="79"/>
      <c r="T358" s="79"/>
      <c r="W358" s="130"/>
      <c r="Y358" s="106"/>
    </row>
    <row r="359">
      <c r="C359" s="79"/>
      <c r="D359" s="79"/>
      <c r="J359" s="79"/>
      <c r="O359" s="79"/>
      <c r="P359" s="79"/>
      <c r="S359" s="79"/>
      <c r="T359" s="79"/>
      <c r="W359" s="130"/>
      <c r="Y359" s="106"/>
    </row>
    <row r="360">
      <c r="C360" s="79"/>
      <c r="D360" s="79"/>
      <c r="J360" s="79"/>
      <c r="O360" s="79"/>
      <c r="P360" s="79"/>
      <c r="S360" s="79"/>
      <c r="T360" s="79"/>
      <c r="W360" s="130"/>
      <c r="Y360" s="106"/>
    </row>
    <row r="361">
      <c r="C361" s="79"/>
      <c r="D361" s="79"/>
      <c r="J361" s="79"/>
      <c r="O361" s="79"/>
      <c r="P361" s="79"/>
      <c r="S361" s="79"/>
      <c r="T361" s="79"/>
      <c r="W361" s="130"/>
      <c r="Y361" s="106"/>
    </row>
    <row r="362">
      <c r="C362" s="79"/>
      <c r="D362" s="79"/>
      <c r="J362" s="79"/>
      <c r="O362" s="79"/>
      <c r="P362" s="79"/>
      <c r="S362" s="79"/>
      <c r="T362" s="79"/>
      <c r="W362" s="130"/>
      <c r="Y362" s="106"/>
    </row>
    <row r="363">
      <c r="C363" s="79"/>
      <c r="D363" s="79"/>
      <c r="J363" s="79"/>
      <c r="O363" s="79"/>
      <c r="P363" s="79"/>
      <c r="S363" s="79"/>
      <c r="T363" s="79"/>
      <c r="W363" s="130"/>
      <c r="Y363" s="106"/>
    </row>
    <row r="364">
      <c r="C364" s="79"/>
      <c r="D364" s="79"/>
      <c r="J364" s="79"/>
      <c r="O364" s="79"/>
      <c r="P364" s="79"/>
      <c r="S364" s="79"/>
      <c r="T364" s="79"/>
      <c r="W364" s="130"/>
      <c r="Y364" s="106"/>
    </row>
    <row r="365">
      <c r="C365" s="79"/>
      <c r="D365" s="79"/>
      <c r="J365" s="79"/>
      <c r="O365" s="79"/>
      <c r="P365" s="79"/>
      <c r="S365" s="79"/>
      <c r="T365" s="79"/>
      <c r="W365" s="130"/>
      <c r="Y365" s="106"/>
    </row>
    <row r="366">
      <c r="C366" s="79"/>
      <c r="D366" s="79"/>
      <c r="J366" s="79"/>
      <c r="O366" s="79"/>
      <c r="P366" s="79"/>
      <c r="S366" s="79"/>
      <c r="T366" s="79"/>
      <c r="W366" s="130"/>
      <c r="Y366" s="106"/>
    </row>
    <row r="367">
      <c r="C367" s="79"/>
      <c r="D367" s="79"/>
      <c r="J367" s="79"/>
      <c r="O367" s="79"/>
      <c r="P367" s="79"/>
      <c r="S367" s="79"/>
      <c r="T367" s="79"/>
      <c r="W367" s="130"/>
      <c r="Y367" s="106"/>
    </row>
    <row r="368">
      <c r="C368" s="79"/>
      <c r="D368" s="79"/>
      <c r="J368" s="79"/>
      <c r="O368" s="79"/>
      <c r="P368" s="79"/>
      <c r="S368" s="79"/>
      <c r="T368" s="79"/>
      <c r="W368" s="130"/>
      <c r="Y368" s="106"/>
    </row>
    <row r="369">
      <c r="C369" s="79"/>
      <c r="D369" s="79"/>
      <c r="J369" s="79"/>
      <c r="O369" s="79"/>
      <c r="P369" s="79"/>
      <c r="S369" s="79"/>
      <c r="T369" s="79"/>
      <c r="W369" s="130"/>
      <c r="Y369" s="106"/>
    </row>
    <row r="370">
      <c r="C370" s="79"/>
      <c r="D370" s="79"/>
      <c r="J370" s="79"/>
      <c r="O370" s="79"/>
      <c r="P370" s="79"/>
      <c r="S370" s="79"/>
      <c r="T370" s="79"/>
      <c r="W370" s="130"/>
      <c r="Y370" s="106"/>
    </row>
    <row r="371">
      <c r="C371" s="79"/>
      <c r="D371" s="79"/>
      <c r="J371" s="79"/>
      <c r="O371" s="79"/>
      <c r="P371" s="79"/>
      <c r="S371" s="79"/>
      <c r="T371" s="79"/>
      <c r="W371" s="130"/>
      <c r="Y371" s="106"/>
    </row>
    <row r="372">
      <c r="C372" s="79"/>
      <c r="D372" s="79"/>
      <c r="J372" s="79"/>
      <c r="O372" s="79"/>
      <c r="P372" s="79"/>
      <c r="S372" s="79"/>
      <c r="T372" s="79"/>
      <c r="W372" s="130"/>
      <c r="Y372" s="106"/>
    </row>
    <row r="373">
      <c r="C373" s="79"/>
      <c r="D373" s="79"/>
      <c r="J373" s="79"/>
      <c r="O373" s="79"/>
      <c r="P373" s="79"/>
      <c r="S373" s="79"/>
      <c r="T373" s="79"/>
      <c r="W373" s="130"/>
      <c r="Y373" s="106"/>
    </row>
    <row r="374">
      <c r="C374" s="79"/>
      <c r="D374" s="79"/>
      <c r="J374" s="79"/>
      <c r="O374" s="79"/>
      <c r="P374" s="79"/>
      <c r="S374" s="79"/>
      <c r="T374" s="79"/>
      <c r="W374" s="130"/>
      <c r="Y374" s="106"/>
    </row>
    <row r="375">
      <c r="C375" s="79"/>
      <c r="D375" s="79"/>
      <c r="J375" s="79"/>
      <c r="O375" s="79"/>
      <c r="P375" s="79"/>
      <c r="S375" s="79"/>
      <c r="T375" s="79"/>
      <c r="W375" s="130"/>
      <c r="Y375" s="106"/>
    </row>
    <row r="376">
      <c r="C376" s="79"/>
      <c r="D376" s="79"/>
      <c r="J376" s="79"/>
      <c r="O376" s="79"/>
      <c r="P376" s="79"/>
      <c r="S376" s="79"/>
      <c r="T376" s="79"/>
      <c r="W376" s="130"/>
      <c r="Y376" s="106"/>
    </row>
    <row r="377">
      <c r="C377" s="79"/>
      <c r="D377" s="79"/>
      <c r="J377" s="79"/>
      <c r="O377" s="79"/>
      <c r="P377" s="79"/>
      <c r="S377" s="79"/>
      <c r="T377" s="79"/>
      <c r="W377" s="130"/>
      <c r="Y377" s="106"/>
    </row>
    <row r="378">
      <c r="C378" s="79"/>
      <c r="D378" s="79"/>
      <c r="J378" s="79"/>
      <c r="O378" s="79"/>
      <c r="P378" s="79"/>
      <c r="S378" s="79"/>
      <c r="T378" s="79"/>
      <c r="W378" s="130"/>
      <c r="Y378" s="106"/>
    </row>
    <row r="379">
      <c r="C379" s="79"/>
      <c r="D379" s="79"/>
      <c r="J379" s="79"/>
      <c r="O379" s="79"/>
      <c r="P379" s="79"/>
      <c r="S379" s="79"/>
      <c r="T379" s="79"/>
      <c r="W379" s="130"/>
      <c r="Y379" s="106"/>
    </row>
    <row r="380">
      <c r="C380" s="79"/>
      <c r="D380" s="79"/>
      <c r="J380" s="79"/>
      <c r="O380" s="79"/>
      <c r="P380" s="79"/>
      <c r="S380" s="79"/>
      <c r="T380" s="79"/>
      <c r="W380" s="130"/>
      <c r="Y380" s="106"/>
    </row>
    <row r="381">
      <c r="C381" s="79"/>
      <c r="D381" s="79"/>
      <c r="J381" s="79"/>
      <c r="O381" s="79"/>
      <c r="P381" s="79"/>
      <c r="S381" s="79"/>
      <c r="T381" s="79"/>
      <c r="W381" s="130"/>
      <c r="Y381" s="106"/>
    </row>
    <row r="382">
      <c r="C382" s="79"/>
      <c r="D382" s="79"/>
      <c r="J382" s="79"/>
      <c r="O382" s="79"/>
      <c r="P382" s="79"/>
      <c r="S382" s="79"/>
      <c r="T382" s="79"/>
      <c r="W382" s="130"/>
      <c r="Y382" s="106"/>
    </row>
    <row r="383">
      <c r="C383" s="79"/>
      <c r="D383" s="79"/>
      <c r="J383" s="79"/>
      <c r="O383" s="79"/>
      <c r="P383" s="79"/>
      <c r="S383" s="79"/>
      <c r="T383" s="79"/>
      <c r="W383" s="130"/>
      <c r="Y383" s="106"/>
    </row>
    <row r="384">
      <c r="C384" s="79"/>
      <c r="D384" s="79"/>
      <c r="J384" s="79"/>
      <c r="O384" s="79"/>
      <c r="P384" s="79"/>
      <c r="S384" s="79"/>
      <c r="T384" s="79"/>
      <c r="W384" s="130"/>
      <c r="Y384" s="106"/>
    </row>
    <row r="385">
      <c r="C385" s="79"/>
      <c r="D385" s="79"/>
      <c r="J385" s="79"/>
      <c r="O385" s="79"/>
      <c r="P385" s="79"/>
      <c r="S385" s="79"/>
      <c r="T385" s="79"/>
      <c r="W385" s="130"/>
      <c r="Y385" s="106"/>
    </row>
    <row r="386">
      <c r="C386" s="79"/>
      <c r="D386" s="79"/>
      <c r="J386" s="79"/>
      <c r="O386" s="79"/>
      <c r="P386" s="79"/>
      <c r="S386" s="79"/>
      <c r="T386" s="79"/>
      <c r="W386" s="130"/>
      <c r="Y386" s="106"/>
    </row>
    <row r="387">
      <c r="C387" s="79"/>
      <c r="D387" s="79"/>
      <c r="J387" s="79"/>
      <c r="O387" s="79"/>
      <c r="P387" s="79"/>
      <c r="S387" s="79"/>
      <c r="T387" s="79"/>
      <c r="W387" s="130"/>
      <c r="Y387" s="106"/>
    </row>
    <row r="388">
      <c r="C388" s="79"/>
      <c r="D388" s="79"/>
      <c r="J388" s="79"/>
      <c r="O388" s="79"/>
      <c r="P388" s="79"/>
      <c r="S388" s="79"/>
      <c r="T388" s="79"/>
      <c r="W388" s="130"/>
      <c r="Y388" s="106"/>
    </row>
    <row r="389">
      <c r="C389" s="79"/>
      <c r="D389" s="79"/>
      <c r="J389" s="79"/>
      <c r="O389" s="79"/>
      <c r="P389" s="79"/>
      <c r="S389" s="79"/>
      <c r="T389" s="79"/>
      <c r="W389" s="130"/>
      <c r="Y389" s="106"/>
    </row>
    <row r="390">
      <c r="C390" s="79"/>
      <c r="D390" s="79"/>
      <c r="J390" s="79"/>
      <c r="O390" s="79"/>
      <c r="P390" s="79"/>
      <c r="S390" s="79"/>
      <c r="T390" s="79"/>
      <c r="W390" s="130"/>
      <c r="Y390" s="106"/>
    </row>
    <row r="391">
      <c r="C391" s="79"/>
      <c r="D391" s="79"/>
      <c r="J391" s="79"/>
      <c r="O391" s="79"/>
      <c r="P391" s="79"/>
      <c r="S391" s="79"/>
      <c r="T391" s="79"/>
      <c r="W391" s="130"/>
      <c r="Y391" s="106"/>
    </row>
    <row r="392">
      <c r="C392" s="79"/>
      <c r="D392" s="79"/>
      <c r="J392" s="79"/>
      <c r="O392" s="79"/>
      <c r="P392" s="79"/>
      <c r="S392" s="79"/>
      <c r="T392" s="79"/>
      <c r="W392" s="130"/>
      <c r="Y392" s="106"/>
    </row>
    <row r="393">
      <c r="C393" s="79"/>
      <c r="D393" s="79"/>
      <c r="J393" s="79"/>
      <c r="O393" s="79"/>
      <c r="P393" s="79"/>
      <c r="S393" s="79"/>
      <c r="T393" s="79"/>
      <c r="W393" s="130"/>
      <c r="Y393" s="106"/>
    </row>
    <row r="394">
      <c r="C394" s="79"/>
      <c r="D394" s="79"/>
      <c r="J394" s="79"/>
      <c r="O394" s="79"/>
      <c r="P394" s="79"/>
      <c r="S394" s="79"/>
      <c r="T394" s="79"/>
      <c r="W394" s="130"/>
      <c r="Y394" s="106"/>
    </row>
    <row r="395">
      <c r="C395" s="79"/>
      <c r="D395" s="79"/>
      <c r="J395" s="79"/>
      <c r="O395" s="79"/>
      <c r="P395" s="79"/>
      <c r="S395" s="79"/>
      <c r="T395" s="79"/>
      <c r="W395" s="130"/>
      <c r="Y395" s="106"/>
    </row>
    <row r="396">
      <c r="C396" s="79"/>
      <c r="D396" s="79"/>
      <c r="J396" s="79"/>
      <c r="O396" s="79"/>
      <c r="P396" s="79"/>
      <c r="S396" s="79"/>
      <c r="T396" s="79"/>
      <c r="W396" s="130"/>
      <c r="Y396" s="106"/>
    </row>
    <row r="397">
      <c r="C397" s="79"/>
      <c r="D397" s="79"/>
      <c r="J397" s="79"/>
      <c r="O397" s="79"/>
      <c r="P397" s="79"/>
      <c r="S397" s="79"/>
      <c r="T397" s="79"/>
      <c r="W397" s="130"/>
      <c r="Y397" s="106"/>
    </row>
    <row r="398">
      <c r="C398" s="79"/>
      <c r="D398" s="79"/>
      <c r="J398" s="79"/>
      <c r="O398" s="79"/>
      <c r="P398" s="79"/>
      <c r="S398" s="79"/>
      <c r="T398" s="79"/>
      <c r="W398" s="130"/>
      <c r="Y398" s="106"/>
    </row>
    <row r="399">
      <c r="C399" s="79"/>
      <c r="D399" s="79"/>
      <c r="J399" s="79"/>
      <c r="O399" s="79"/>
      <c r="P399" s="79"/>
      <c r="S399" s="79"/>
      <c r="T399" s="79"/>
      <c r="W399" s="130"/>
      <c r="Y399" s="106"/>
    </row>
    <row r="400">
      <c r="C400" s="79"/>
      <c r="D400" s="79"/>
      <c r="J400" s="79"/>
      <c r="O400" s="79"/>
      <c r="P400" s="79"/>
      <c r="S400" s="79"/>
      <c r="T400" s="79"/>
      <c r="W400" s="130"/>
      <c r="Y400" s="106"/>
    </row>
    <row r="401">
      <c r="C401" s="79"/>
      <c r="D401" s="79"/>
      <c r="J401" s="79"/>
      <c r="O401" s="79"/>
      <c r="P401" s="79"/>
      <c r="S401" s="79"/>
      <c r="T401" s="79"/>
      <c r="W401" s="130"/>
      <c r="Y401" s="106"/>
    </row>
    <row r="402">
      <c r="C402" s="79"/>
      <c r="D402" s="79"/>
      <c r="J402" s="79"/>
      <c r="O402" s="79"/>
      <c r="P402" s="79"/>
      <c r="S402" s="79"/>
      <c r="T402" s="79"/>
      <c r="W402" s="130"/>
      <c r="Y402" s="106"/>
    </row>
    <row r="403">
      <c r="C403" s="79"/>
      <c r="D403" s="79"/>
      <c r="J403" s="79"/>
      <c r="O403" s="79"/>
      <c r="P403" s="79"/>
      <c r="S403" s="79"/>
      <c r="T403" s="79"/>
      <c r="W403" s="130"/>
      <c r="Y403" s="106"/>
    </row>
    <row r="404">
      <c r="C404" s="79"/>
      <c r="D404" s="79"/>
      <c r="J404" s="79"/>
      <c r="O404" s="79"/>
      <c r="P404" s="79"/>
      <c r="S404" s="79"/>
      <c r="T404" s="79"/>
      <c r="W404" s="130"/>
      <c r="Y404" s="106"/>
    </row>
    <row r="405">
      <c r="C405" s="79"/>
      <c r="D405" s="79"/>
      <c r="J405" s="79"/>
      <c r="O405" s="79"/>
      <c r="P405" s="79"/>
      <c r="S405" s="79"/>
      <c r="T405" s="79"/>
      <c r="W405" s="130"/>
      <c r="Y405" s="106"/>
    </row>
    <row r="406">
      <c r="C406" s="79"/>
      <c r="D406" s="79"/>
      <c r="J406" s="79"/>
      <c r="O406" s="79"/>
      <c r="P406" s="79"/>
      <c r="S406" s="79"/>
      <c r="T406" s="79"/>
      <c r="W406" s="130"/>
      <c r="Y406" s="106"/>
    </row>
    <row r="407">
      <c r="C407" s="79"/>
      <c r="D407" s="79"/>
      <c r="J407" s="79"/>
      <c r="O407" s="79"/>
      <c r="P407" s="79"/>
      <c r="S407" s="79"/>
      <c r="T407" s="79"/>
      <c r="W407" s="130"/>
      <c r="Y407" s="106"/>
    </row>
    <row r="408">
      <c r="C408" s="79"/>
      <c r="D408" s="79"/>
      <c r="J408" s="79"/>
      <c r="O408" s="79"/>
      <c r="P408" s="79"/>
      <c r="S408" s="79"/>
      <c r="T408" s="79"/>
      <c r="W408" s="130"/>
      <c r="Y408" s="106"/>
    </row>
    <row r="409">
      <c r="C409" s="79"/>
      <c r="D409" s="79"/>
      <c r="J409" s="79"/>
      <c r="O409" s="79"/>
      <c r="P409" s="79"/>
      <c r="S409" s="79"/>
      <c r="T409" s="79"/>
      <c r="W409" s="130"/>
      <c r="Y409" s="106"/>
    </row>
    <row r="410">
      <c r="C410" s="79"/>
      <c r="D410" s="79"/>
      <c r="J410" s="79"/>
      <c r="O410" s="79"/>
      <c r="P410" s="79"/>
      <c r="S410" s="79"/>
      <c r="T410" s="79"/>
      <c r="W410" s="130"/>
      <c r="Y410" s="106"/>
    </row>
    <row r="411">
      <c r="C411" s="79"/>
      <c r="D411" s="79"/>
      <c r="J411" s="79"/>
      <c r="O411" s="79"/>
      <c r="P411" s="79"/>
      <c r="S411" s="79"/>
      <c r="T411" s="79"/>
      <c r="W411" s="130"/>
      <c r="Y411" s="106"/>
    </row>
    <row r="412">
      <c r="C412" s="79"/>
      <c r="D412" s="79"/>
      <c r="J412" s="79"/>
      <c r="O412" s="79"/>
      <c r="P412" s="79"/>
      <c r="S412" s="79"/>
      <c r="T412" s="79"/>
      <c r="W412" s="130"/>
      <c r="Y412" s="106"/>
    </row>
    <row r="413">
      <c r="C413" s="79"/>
      <c r="D413" s="79"/>
      <c r="J413" s="79"/>
      <c r="O413" s="79"/>
      <c r="P413" s="79"/>
      <c r="S413" s="79"/>
      <c r="T413" s="79"/>
      <c r="W413" s="130"/>
      <c r="Y413" s="106"/>
    </row>
    <row r="414">
      <c r="C414" s="79"/>
      <c r="D414" s="79"/>
      <c r="J414" s="79"/>
      <c r="O414" s="79"/>
      <c r="P414" s="79"/>
      <c r="S414" s="79"/>
      <c r="T414" s="79"/>
      <c r="W414" s="130"/>
      <c r="Y414" s="106"/>
    </row>
    <row r="415">
      <c r="C415" s="79"/>
      <c r="D415" s="79"/>
      <c r="J415" s="79"/>
      <c r="O415" s="79"/>
      <c r="P415" s="79"/>
      <c r="S415" s="79"/>
      <c r="T415" s="79"/>
      <c r="W415" s="130"/>
      <c r="Y415" s="106"/>
    </row>
    <row r="416">
      <c r="C416" s="79"/>
      <c r="D416" s="79"/>
      <c r="J416" s="79"/>
      <c r="O416" s="79"/>
      <c r="P416" s="79"/>
      <c r="S416" s="79"/>
      <c r="T416" s="79"/>
      <c r="W416" s="130"/>
      <c r="Y416" s="106"/>
    </row>
    <row r="417">
      <c r="C417" s="79"/>
      <c r="D417" s="79"/>
      <c r="J417" s="79"/>
      <c r="O417" s="79"/>
      <c r="P417" s="79"/>
      <c r="S417" s="79"/>
      <c r="T417" s="79"/>
      <c r="W417" s="130"/>
      <c r="Y417" s="106"/>
    </row>
    <row r="418">
      <c r="C418" s="79"/>
      <c r="D418" s="79"/>
      <c r="J418" s="79"/>
      <c r="O418" s="79"/>
      <c r="P418" s="79"/>
      <c r="S418" s="79"/>
      <c r="T418" s="79"/>
      <c r="W418" s="130"/>
      <c r="Y418" s="106"/>
    </row>
    <row r="419">
      <c r="C419" s="79"/>
      <c r="D419" s="79"/>
      <c r="J419" s="79"/>
      <c r="O419" s="79"/>
      <c r="P419" s="79"/>
      <c r="S419" s="79"/>
      <c r="T419" s="79"/>
      <c r="W419" s="130"/>
      <c r="Y419" s="106"/>
    </row>
    <row r="420">
      <c r="C420" s="79"/>
      <c r="D420" s="79"/>
      <c r="J420" s="79"/>
      <c r="O420" s="79"/>
      <c r="P420" s="79"/>
      <c r="S420" s="79"/>
      <c r="T420" s="79"/>
      <c r="W420" s="130"/>
      <c r="Y420" s="106"/>
    </row>
    <row r="421">
      <c r="C421" s="79"/>
      <c r="D421" s="79"/>
      <c r="J421" s="79"/>
      <c r="O421" s="79"/>
      <c r="P421" s="79"/>
      <c r="S421" s="79"/>
      <c r="T421" s="79"/>
      <c r="W421" s="130"/>
      <c r="Y421" s="106"/>
    </row>
    <row r="422">
      <c r="C422" s="79"/>
      <c r="D422" s="79"/>
      <c r="J422" s="79"/>
      <c r="O422" s="79"/>
      <c r="P422" s="79"/>
      <c r="S422" s="79"/>
      <c r="T422" s="79"/>
      <c r="W422" s="130"/>
      <c r="Y422" s="106"/>
    </row>
    <row r="423">
      <c r="C423" s="79"/>
      <c r="D423" s="79"/>
      <c r="J423" s="79"/>
      <c r="O423" s="79"/>
      <c r="P423" s="79"/>
      <c r="S423" s="79"/>
      <c r="T423" s="79"/>
      <c r="W423" s="130"/>
      <c r="Y423" s="106"/>
    </row>
    <row r="424">
      <c r="C424" s="79"/>
      <c r="D424" s="79"/>
      <c r="J424" s="79"/>
      <c r="O424" s="79"/>
      <c r="P424" s="79"/>
      <c r="S424" s="79"/>
      <c r="T424" s="79"/>
      <c r="W424" s="130"/>
      <c r="Y424" s="106"/>
    </row>
    <row r="425">
      <c r="C425" s="79"/>
      <c r="D425" s="79"/>
      <c r="J425" s="79"/>
      <c r="O425" s="79"/>
      <c r="P425" s="79"/>
      <c r="S425" s="79"/>
      <c r="T425" s="79"/>
      <c r="W425" s="130"/>
      <c r="Y425" s="106"/>
    </row>
    <row r="426">
      <c r="C426" s="79"/>
      <c r="D426" s="79"/>
      <c r="J426" s="79"/>
      <c r="O426" s="79"/>
      <c r="P426" s="79"/>
      <c r="S426" s="79"/>
      <c r="T426" s="79"/>
      <c r="W426" s="130"/>
      <c r="Y426" s="106"/>
    </row>
    <row r="427">
      <c r="C427" s="79"/>
      <c r="D427" s="79"/>
      <c r="J427" s="79"/>
      <c r="O427" s="79"/>
      <c r="P427" s="79"/>
      <c r="S427" s="79"/>
      <c r="T427" s="79"/>
      <c r="W427" s="130"/>
      <c r="Y427" s="106"/>
    </row>
    <row r="428">
      <c r="C428" s="79"/>
      <c r="D428" s="79"/>
      <c r="J428" s="79"/>
      <c r="O428" s="79"/>
      <c r="P428" s="79"/>
      <c r="S428" s="79"/>
      <c r="T428" s="79"/>
      <c r="W428" s="130"/>
      <c r="Y428" s="106"/>
    </row>
    <row r="429">
      <c r="C429" s="79"/>
      <c r="D429" s="79"/>
      <c r="J429" s="79"/>
      <c r="O429" s="79"/>
      <c r="P429" s="79"/>
      <c r="S429" s="79"/>
      <c r="T429" s="79"/>
      <c r="W429" s="130"/>
      <c r="Y429" s="106"/>
    </row>
    <row r="430">
      <c r="C430" s="79"/>
      <c r="D430" s="79"/>
      <c r="J430" s="79"/>
      <c r="O430" s="79"/>
      <c r="P430" s="79"/>
      <c r="S430" s="79"/>
      <c r="T430" s="79"/>
      <c r="W430" s="130"/>
      <c r="Y430" s="106"/>
    </row>
    <row r="431">
      <c r="C431" s="79"/>
      <c r="D431" s="79"/>
      <c r="J431" s="79"/>
      <c r="O431" s="79"/>
      <c r="P431" s="79"/>
      <c r="S431" s="79"/>
      <c r="T431" s="79"/>
      <c r="W431" s="130"/>
      <c r="Y431" s="106"/>
    </row>
    <row r="432">
      <c r="C432" s="79"/>
      <c r="D432" s="79"/>
      <c r="J432" s="79"/>
      <c r="O432" s="79"/>
      <c r="P432" s="79"/>
      <c r="S432" s="79"/>
      <c r="T432" s="79"/>
      <c r="W432" s="130"/>
      <c r="Y432" s="106"/>
    </row>
    <row r="433">
      <c r="C433" s="79"/>
      <c r="D433" s="79"/>
      <c r="J433" s="79"/>
      <c r="O433" s="79"/>
      <c r="P433" s="79"/>
      <c r="S433" s="79"/>
      <c r="T433" s="79"/>
      <c r="W433" s="130"/>
      <c r="Y433" s="106"/>
    </row>
    <row r="434">
      <c r="C434" s="79"/>
      <c r="D434" s="79"/>
      <c r="J434" s="79"/>
      <c r="O434" s="79"/>
      <c r="P434" s="79"/>
      <c r="S434" s="79"/>
      <c r="T434" s="79"/>
      <c r="W434" s="130"/>
      <c r="Y434" s="106"/>
    </row>
    <row r="435">
      <c r="C435" s="79"/>
      <c r="D435" s="79"/>
      <c r="J435" s="79"/>
      <c r="O435" s="79"/>
      <c r="P435" s="79"/>
      <c r="S435" s="79"/>
      <c r="T435" s="79"/>
      <c r="W435" s="130"/>
      <c r="Y435" s="106"/>
    </row>
    <row r="436">
      <c r="C436" s="79"/>
      <c r="D436" s="79"/>
      <c r="J436" s="79"/>
      <c r="O436" s="79"/>
      <c r="P436" s="79"/>
      <c r="S436" s="79"/>
      <c r="T436" s="79"/>
      <c r="W436" s="130"/>
      <c r="Y436" s="106"/>
    </row>
    <row r="437">
      <c r="C437" s="79"/>
      <c r="D437" s="79"/>
      <c r="J437" s="79"/>
      <c r="O437" s="79"/>
      <c r="P437" s="79"/>
      <c r="S437" s="79"/>
      <c r="T437" s="79"/>
      <c r="W437" s="130"/>
      <c r="Y437" s="106"/>
    </row>
    <row r="438">
      <c r="C438" s="79"/>
      <c r="D438" s="79"/>
      <c r="J438" s="79"/>
      <c r="O438" s="79"/>
      <c r="P438" s="79"/>
      <c r="S438" s="79"/>
      <c r="T438" s="79"/>
      <c r="W438" s="130"/>
      <c r="Y438" s="106"/>
    </row>
    <row r="439">
      <c r="C439" s="79"/>
      <c r="D439" s="79"/>
      <c r="J439" s="79"/>
      <c r="O439" s="79"/>
      <c r="P439" s="79"/>
      <c r="S439" s="79"/>
      <c r="T439" s="79"/>
      <c r="W439" s="130"/>
      <c r="Y439" s="106"/>
    </row>
    <row r="440">
      <c r="C440" s="79"/>
      <c r="D440" s="79"/>
      <c r="J440" s="79"/>
      <c r="O440" s="79"/>
      <c r="P440" s="79"/>
      <c r="S440" s="79"/>
      <c r="T440" s="79"/>
      <c r="W440" s="130"/>
      <c r="Y440" s="106"/>
    </row>
    <row r="441">
      <c r="C441" s="79"/>
      <c r="D441" s="79"/>
      <c r="J441" s="79"/>
      <c r="O441" s="79"/>
      <c r="P441" s="79"/>
      <c r="S441" s="79"/>
      <c r="T441" s="79"/>
      <c r="W441" s="130"/>
      <c r="Y441" s="106"/>
    </row>
    <row r="442">
      <c r="C442" s="79"/>
      <c r="D442" s="79"/>
      <c r="J442" s="79"/>
      <c r="O442" s="79"/>
      <c r="P442" s="79"/>
      <c r="S442" s="79"/>
      <c r="T442" s="79"/>
      <c r="W442" s="130"/>
      <c r="Y442" s="106"/>
    </row>
    <row r="443">
      <c r="C443" s="79"/>
      <c r="D443" s="79"/>
      <c r="J443" s="79"/>
      <c r="O443" s="79"/>
      <c r="P443" s="79"/>
      <c r="S443" s="79"/>
      <c r="T443" s="79"/>
      <c r="W443" s="130"/>
      <c r="Y443" s="106"/>
    </row>
    <row r="444">
      <c r="C444" s="79"/>
      <c r="D444" s="79"/>
      <c r="J444" s="79"/>
      <c r="O444" s="79"/>
      <c r="P444" s="79"/>
      <c r="S444" s="79"/>
      <c r="T444" s="79"/>
      <c r="W444" s="130"/>
      <c r="Y444" s="106"/>
    </row>
    <row r="445">
      <c r="C445" s="79"/>
      <c r="D445" s="79"/>
      <c r="J445" s="79"/>
      <c r="O445" s="79"/>
      <c r="P445" s="79"/>
      <c r="S445" s="79"/>
      <c r="T445" s="79"/>
      <c r="W445" s="130"/>
      <c r="Y445" s="106"/>
    </row>
    <row r="446">
      <c r="C446" s="79"/>
      <c r="D446" s="79"/>
      <c r="J446" s="79"/>
      <c r="O446" s="79"/>
      <c r="P446" s="79"/>
      <c r="S446" s="79"/>
      <c r="T446" s="79"/>
      <c r="W446" s="130"/>
      <c r="Y446" s="106"/>
    </row>
    <row r="447">
      <c r="C447" s="79"/>
      <c r="D447" s="79"/>
      <c r="J447" s="79"/>
      <c r="O447" s="79"/>
      <c r="P447" s="79"/>
      <c r="S447" s="79"/>
      <c r="T447" s="79"/>
      <c r="W447" s="130"/>
      <c r="Y447" s="106"/>
    </row>
    <row r="448">
      <c r="C448" s="79"/>
      <c r="D448" s="79"/>
      <c r="J448" s="79"/>
      <c r="O448" s="79"/>
      <c r="P448" s="79"/>
      <c r="S448" s="79"/>
      <c r="T448" s="79"/>
      <c r="W448" s="130"/>
      <c r="Y448" s="106"/>
    </row>
    <row r="449">
      <c r="C449" s="79"/>
      <c r="D449" s="79"/>
      <c r="J449" s="79"/>
      <c r="O449" s="79"/>
      <c r="P449" s="79"/>
      <c r="S449" s="79"/>
      <c r="T449" s="79"/>
      <c r="W449" s="130"/>
      <c r="Y449" s="106"/>
    </row>
    <row r="450">
      <c r="C450" s="79"/>
      <c r="D450" s="79"/>
      <c r="J450" s="79"/>
      <c r="O450" s="79"/>
      <c r="P450" s="79"/>
      <c r="S450" s="79"/>
      <c r="T450" s="79"/>
      <c r="W450" s="130"/>
      <c r="Y450" s="106"/>
    </row>
    <row r="451">
      <c r="C451" s="79"/>
      <c r="D451" s="79"/>
      <c r="J451" s="79"/>
      <c r="O451" s="79"/>
      <c r="P451" s="79"/>
      <c r="S451" s="79"/>
      <c r="T451" s="79"/>
      <c r="W451" s="130"/>
      <c r="Y451" s="106"/>
    </row>
    <row r="452">
      <c r="C452" s="79"/>
      <c r="D452" s="79"/>
      <c r="J452" s="79"/>
      <c r="O452" s="79"/>
      <c r="P452" s="79"/>
      <c r="S452" s="79"/>
      <c r="T452" s="79"/>
      <c r="W452" s="130"/>
      <c r="Y452" s="106"/>
    </row>
    <row r="453">
      <c r="C453" s="79"/>
      <c r="D453" s="79"/>
      <c r="J453" s="79"/>
      <c r="O453" s="79"/>
      <c r="P453" s="79"/>
      <c r="S453" s="79"/>
      <c r="T453" s="79"/>
      <c r="W453" s="130"/>
      <c r="Y453" s="106"/>
    </row>
    <row r="454">
      <c r="C454" s="79"/>
      <c r="D454" s="79"/>
      <c r="J454" s="79"/>
      <c r="O454" s="79"/>
      <c r="P454" s="79"/>
      <c r="S454" s="79"/>
      <c r="T454" s="79"/>
      <c r="W454" s="130"/>
      <c r="Y454" s="106"/>
    </row>
    <row r="455">
      <c r="C455" s="79"/>
      <c r="D455" s="79"/>
      <c r="J455" s="79"/>
      <c r="O455" s="79"/>
      <c r="P455" s="79"/>
      <c r="S455" s="79"/>
      <c r="T455" s="79"/>
      <c r="W455" s="130"/>
      <c r="Y455" s="106"/>
    </row>
    <row r="456">
      <c r="C456" s="79"/>
      <c r="D456" s="79"/>
      <c r="J456" s="79"/>
      <c r="O456" s="79"/>
      <c r="P456" s="79"/>
      <c r="S456" s="79"/>
      <c r="T456" s="79"/>
      <c r="W456" s="130"/>
      <c r="Y456" s="106"/>
    </row>
    <row r="457">
      <c r="C457" s="79"/>
      <c r="D457" s="79"/>
      <c r="J457" s="79"/>
      <c r="O457" s="79"/>
      <c r="P457" s="79"/>
      <c r="S457" s="79"/>
      <c r="T457" s="79"/>
      <c r="W457" s="130"/>
      <c r="Y457" s="106"/>
    </row>
    <row r="458">
      <c r="C458" s="79"/>
      <c r="D458" s="79"/>
      <c r="J458" s="79"/>
      <c r="O458" s="79"/>
      <c r="P458" s="79"/>
      <c r="S458" s="79"/>
      <c r="T458" s="79"/>
      <c r="W458" s="130"/>
      <c r="Y458" s="106"/>
    </row>
    <row r="459">
      <c r="C459" s="79"/>
      <c r="D459" s="79"/>
      <c r="J459" s="79"/>
      <c r="O459" s="79"/>
      <c r="P459" s="79"/>
      <c r="S459" s="79"/>
      <c r="T459" s="79"/>
      <c r="W459" s="130"/>
      <c r="Y459" s="106"/>
    </row>
    <row r="460">
      <c r="C460" s="79"/>
      <c r="D460" s="79"/>
      <c r="J460" s="79"/>
      <c r="O460" s="79"/>
      <c r="P460" s="79"/>
      <c r="S460" s="79"/>
      <c r="T460" s="79"/>
      <c r="W460" s="130"/>
      <c r="Y460" s="106"/>
    </row>
    <row r="461">
      <c r="C461" s="79"/>
      <c r="D461" s="79"/>
      <c r="J461" s="79"/>
      <c r="O461" s="79"/>
      <c r="P461" s="79"/>
      <c r="S461" s="79"/>
      <c r="T461" s="79"/>
      <c r="W461" s="130"/>
      <c r="Y461" s="106"/>
    </row>
    <row r="462">
      <c r="C462" s="79"/>
      <c r="D462" s="79"/>
      <c r="J462" s="79"/>
      <c r="O462" s="79"/>
      <c r="P462" s="79"/>
      <c r="S462" s="79"/>
      <c r="T462" s="79"/>
      <c r="W462" s="130"/>
      <c r="Y462" s="106"/>
    </row>
    <row r="463">
      <c r="C463" s="79"/>
      <c r="D463" s="79"/>
      <c r="J463" s="79"/>
      <c r="O463" s="79"/>
      <c r="P463" s="79"/>
      <c r="S463" s="79"/>
      <c r="T463" s="79"/>
      <c r="W463" s="130"/>
      <c r="Y463" s="106"/>
    </row>
    <row r="464">
      <c r="C464" s="79"/>
      <c r="D464" s="79"/>
      <c r="J464" s="79"/>
      <c r="O464" s="79"/>
      <c r="P464" s="79"/>
      <c r="S464" s="79"/>
      <c r="T464" s="79"/>
      <c r="W464" s="130"/>
      <c r="Y464" s="106"/>
    </row>
    <row r="465">
      <c r="C465" s="79"/>
      <c r="D465" s="79"/>
      <c r="J465" s="79"/>
      <c r="O465" s="79"/>
      <c r="P465" s="79"/>
      <c r="S465" s="79"/>
      <c r="T465" s="79"/>
      <c r="W465" s="130"/>
      <c r="Y465" s="106"/>
    </row>
    <row r="466">
      <c r="C466" s="79"/>
      <c r="D466" s="79"/>
      <c r="J466" s="79"/>
      <c r="O466" s="79"/>
      <c r="P466" s="79"/>
      <c r="S466" s="79"/>
      <c r="T466" s="79"/>
      <c r="W466" s="130"/>
      <c r="Y466" s="106"/>
    </row>
    <row r="467">
      <c r="C467" s="79"/>
      <c r="D467" s="79"/>
      <c r="J467" s="79"/>
      <c r="O467" s="79"/>
      <c r="P467" s="79"/>
      <c r="S467" s="79"/>
      <c r="T467" s="79"/>
      <c r="W467" s="130"/>
      <c r="Y467" s="106"/>
    </row>
    <row r="468">
      <c r="C468" s="79"/>
      <c r="D468" s="79"/>
      <c r="J468" s="79"/>
      <c r="O468" s="79"/>
      <c r="P468" s="79"/>
      <c r="S468" s="79"/>
      <c r="T468" s="79"/>
      <c r="W468" s="130"/>
      <c r="Y468" s="106"/>
    </row>
    <row r="469">
      <c r="C469" s="79"/>
      <c r="D469" s="79"/>
      <c r="J469" s="79"/>
      <c r="O469" s="79"/>
      <c r="P469" s="79"/>
      <c r="S469" s="79"/>
      <c r="T469" s="79"/>
      <c r="W469" s="130"/>
      <c r="Y469" s="106"/>
    </row>
    <row r="470">
      <c r="C470" s="79"/>
      <c r="D470" s="79"/>
      <c r="J470" s="79"/>
      <c r="O470" s="79"/>
      <c r="P470" s="79"/>
      <c r="S470" s="79"/>
      <c r="T470" s="79"/>
      <c r="W470" s="130"/>
      <c r="Y470" s="106"/>
    </row>
    <row r="471">
      <c r="C471" s="79"/>
      <c r="D471" s="79"/>
      <c r="J471" s="79"/>
      <c r="O471" s="79"/>
      <c r="P471" s="79"/>
      <c r="S471" s="79"/>
      <c r="T471" s="79"/>
      <c r="W471" s="130"/>
      <c r="Y471" s="106"/>
    </row>
    <row r="472">
      <c r="C472" s="79"/>
      <c r="D472" s="79"/>
      <c r="J472" s="79"/>
      <c r="O472" s="79"/>
      <c r="P472" s="79"/>
      <c r="S472" s="79"/>
      <c r="T472" s="79"/>
      <c r="W472" s="130"/>
      <c r="Y472" s="106"/>
    </row>
    <row r="473">
      <c r="C473" s="79"/>
      <c r="D473" s="79"/>
      <c r="J473" s="79"/>
      <c r="O473" s="79"/>
      <c r="P473" s="79"/>
      <c r="S473" s="79"/>
      <c r="T473" s="79"/>
      <c r="W473" s="130"/>
      <c r="Y473" s="106"/>
    </row>
    <row r="474">
      <c r="C474" s="79"/>
      <c r="D474" s="79"/>
      <c r="J474" s="79"/>
      <c r="O474" s="79"/>
      <c r="P474" s="79"/>
      <c r="S474" s="79"/>
      <c r="T474" s="79"/>
      <c r="W474" s="130"/>
      <c r="Y474" s="106"/>
    </row>
    <row r="475">
      <c r="C475" s="79"/>
      <c r="D475" s="79"/>
      <c r="J475" s="79"/>
      <c r="O475" s="79"/>
      <c r="P475" s="79"/>
      <c r="S475" s="79"/>
      <c r="T475" s="79"/>
      <c r="W475" s="130"/>
      <c r="Y475" s="106"/>
    </row>
    <row r="476">
      <c r="C476" s="79"/>
      <c r="D476" s="79"/>
      <c r="J476" s="79"/>
      <c r="O476" s="79"/>
      <c r="P476" s="79"/>
      <c r="S476" s="79"/>
      <c r="T476" s="79"/>
      <c r="W476" s="130"/>
      <c r="Y476" s="106"/>
    </row>
    <row r="477">
      <c r="C477" s="79"/>
      <c r="D477" s="79"/>
      <c r="J477" s="79"/>
      <c r="O477" s="79"/>
      <c r="P477" s="79"/>
      <c r="S477" s="79"/>
      <c r="T477" s="79"/>
      <c r="W477" s="130"/>
      <c r="Y477" s="106"/>
    </row>
    <row r="478">
      <c r="C478" s="79"/>
      <c r="D478" s="79"/>
      <c r="J478" s="79"/>
      <c r="O478" s="79"/>
      <c r="P478" s="79"/>
      <c r="S478" s="79"/>
      <c r="T478" s="79"/>
      <c r="W478" s="130"/>
      <c r="Y478" s="106"/>
    </row>
    <row r="479">
      <c r="C479" s="79"/>
      <c r="D479" s="79"/>
      <c r="J479" s="79"/>
      <c r="O479" s="79"/>
      <c r="P479" s="79"/>
      <c r="S479" s="79"/>
      <c r="T479" s="79"/>
      <c r="W479" s="130"/>
      <c r="Y479" s="106"/>
    </row>
    <row r="480">
      <c r="C480" s="79"/>
      <c r="D480" s="79"/>
      <c r="J480" s="79"/>
      <c r="O480" s="79"/>
      <c r="P480" s="79"/>
      <c r="S480" s="79"/>
      <c r="T480" s="79"/>
      <c r="W480" s="130"/>
      <c r="Y480" s="106"/>
    </row>
    <row r="481">
      <c r="C481" s="79"/>
      <c r="D481" s="79"/>
      <c r="J481" s="79"/>
      <c r="O481" s="79"/>
      <c r="P481" s="79"/>
      <c r="S481" s="79"/>
      <c r="T481" s="79"/>
      <c r="W481" s="130"/>
      <c r="Y481" s="106"/>
    </row>
    <row r="482">
      <c r="C482" s="79"/>
      <c r="D482" s="79"/>
      <c r="J482" s="79"/>
      <c r="O482" s="79"/>
      <c r="P482" s="79"/>
      <c r="S482" s="79"/>
      <c r="T482" s="79"/>
      <c r="W482" s="130"/>
      <c r="Y482" s="106"/>
    </row>
    <row r="483">
      <c r="C483" s="79"/>
      <c r="D483" s="79"/>
      <c r="J483" s="79"/>
      <c r="O483" s="79"/>
      <c r="P483" s="79"/>
      <c r="S483" s="79"/>
      <c r="T483" s="79"/>
      <c r="W483" s="130"/>
      <c r="Y483" s="106"/>
    </row>
    <row r="484">
      <c r="C484" s="79"/>
      <c r="D484" s="79"/>
      <c r="J484" s="79"/>
      <c r="O484" s="79"/>
      <c r="P484" s="79"/>
      <c r="S484" s="79"/>
      <c r="T484" s="79"/>
      <c r="W484" s="130"/>
      <c r="Y484" s="106"/>
    </row>
    <row r="485">
      <c r="C485" s="79"/>
      <c r="D485" s="79"/>
      <c r="J485" s="79"/>
      <c r="O485" s="79"/>
      <c r="P485" s="79"/>
      <c r="S485" s="79"/>
      <c r="T485" s="79"/>
      <c r="W485" s="130"/>
      <c r="Y485" s="106"/>
    </row>
    <row r="486">
      <c r="C486" s="79"/>
      <c r="D486" s="79"/>
      <c r="J486" s="79"/>
      <c r="O486" s="79"/>
      <c r="P486" s="79"/>
      <c r="S486" s="79"/>
      <c r="T486" s="79"/>
      <c r="W486" s="130"/>
      <c r="Y486" s="106"/>
    </row>
    <row r="487">
      <c r="C487" s="79"/>
      <c r="D487" s="79"/>
      <c r="J487" s="79"/>
      <c r="O487" s="79"/>
      <c r="P487" s="79"/>
      <c r="S487" s="79"/>
      <c r="T487" s="79"/>
      <c r="W487" s="130"/>
      <c r="Y487" s="106"/>
    </row>
    <row r="488">
      <c r="C488" s="79"/>
      <c r="D488" s="79"/>
      <c r="J488" s="79"/>
      <c r="O488" s="79"/>
      <c r="P488" s="79"/>
      <c r="S488" s="79"/>
      <c r="T488" s="79"/>
      <c r="W488" s="130"/>
      <c r="Y488" s="106"/>
    </row>
    <row r="489">
      <c r="C489" s="79"/>
      <c r="D489" s="79"/>
      <c r="J489" s="79"/>
      <c r="O489" s="79"/>
      <c r="P489" s="79"/>
      <c r="S489" s="79"/>
      <c r="T489" s="79"/>
      <c r="W489" s="130"/>
      <c r="Y489" s="106"/>
    </row>
    <row r="490">
      <c r="C490" s="79"/>
      <c r="D490" s="79"/>
      <c r="J490" s="79"/>
      <c r="O490" s="79"/>
      <c r="P490" s="79"/>
      <c r="S490" s="79"/>
      <c r="T490" s="79"/>
      <c r="W490" s="130"/>
      <c r="Y490" s="106"/>
    </row>
    <row r="491">
      <c r="C491" s="79"/>
      <c r="D491" s="79"/>
      <c r="J491" s="79"/>
      <c r="O491" s="79"/>
      <c r="P491" s="79"/>
      <c r="S491" s="79"/>
      <c r="T491" s="79"/>
      <c r="W491" s="130"/>
      <c r="Y491" s="106"/>
    </row>
    <row r="492">
      <c r="C492" s="79"/>
      <c r="D492" s="79"/>
      <c r="J492" s="79"/>
      <c r="O492" s="79"/>
      <c r="P492" s="79"/>
      <c r="S492" s="79"/>
      <c r="T492" s="79"/>
      <c r="W492" s="130"/>
      <c r="Y492" s="106"/>
    </row>
    <row r="493">
      <c r="C493" s="79"/>
      <c r="D493" s="79"/>
      <c r="J493" s="79"/>
      <c r="O493" s="79"/>
      <c r="P493" s="79"/>
      <c r="S493" s="79"/>
      <c r="T493" s="79"/>
      <c r="W493" s="130"/>
      <c r="Y493" s="106"/>
    </row>
    <row r="494">
      <c r="C494" s="79"/>
      <c r="D494" s="79"/>
      <c r="J494" s="79"/>
      <c r="O494" s="79"/>
      <c r="P494" s="79"/>
      <c r="S494" s="79"/>
      <c r="T494" s="79"/>
      <c r="W494" s="130"/>
      <c r="Y494" s="106"/>
    </row>
    <row r="495">
      <c r="C495" s="79"/>
      <c r="D495" s="79"/>
      <c r="J495" s="79"/>
      <c r="O495" s="79"/>
      <c r="P495" s="79"/>
      <c r="S495" s="79"/>
      <c r="T495" s="79"/>
      <c r="W495" s="130"/>
      <c r="Y495" s="106"/>
    </row>
    <row r="496">
      <c r="C496" s="79"/>
      <c r="D496" s="79"/>
      <c r="J496" s="79"/>
      <c r="O496" s="79"/>
      <c r="P496" s="79"/>
      <c r="S496" s="79"/>
      <c r="T496" s="79"/>
      <c r="W496" s="130"/>
      <c r="Y496" s="106"/>
    </row>
    <row r="497">
      <c r="C497" s="79"/>
      <c r="D497" s="79"/>
      <c r="J497" s="79"/>
      <c r="O497" s="79"/>
      <c r="P497" s="79"/>
      <c r="S497" s="79"/>
      <c r="T497" s="79"/>
      <c r="W497" s="130"/>
      <c r="Y497" s="106"/>
    </row>
    <row r="498">
      <c r="C498" s="79"/>
      <c r="D498" s="79"/>
      <c r="J498" s="79"/>
      <c r="O498" s="79"/>
      <c r="P498" s="79"/>
      <c r="S498" s="79"/>
      <c r="T498" s="79"/>
      <c r="W498" s="130"/>
      <c r="Y498" s="106"/>
    </row>
    <row r="499">
      <c r="C499" s="79"/>
      <c r="D499" s="79"/>
      <c r="J499" s="79"/>
      <c r="O499" s="79"/>
      <c r="P499" s="79"/>
      <c r="S499" s="79"/>
      <c r="T499" s="79"/>
      <c r="W499" s="130"/>
      <c r="Y499" s="106"/>
    </row>
    <row r="500">
      <c r="C500" s="79"/>
      <c r="D500" s="79"/>
      <c r="J500" s="79"/>
      <c r="O500" s="79"/>
      <c r="P500" s="79"/>
      <c r="S500" s="79"/>
      <c r="T500" s="79"/>
      <c r="W500" s="130"/>
      <c r="Y500" s="106"/>
    </row>
    <row r="501">
      <c r="C501" s="79"/>
      <c r="D501" s="79"/>
      <c r="J501" s="79"/>
      <c r="O501" s="79"/>
      <c r="P501" s="79"/>
      <c r="S501" s="79"/>
      <c r="T501" s="79"/>
      <c r="W501" s="130"/>
      <c r="Y501" s="106"/>
    </row>
    <row r="502">
      <c r="C502" s="79"/>
      <c r="D502" s="79"/>
      <c r="J502" s="79"/>
      <c r="O502" s="79"/>
      <c r="P502" s="79"/>
      <c r="S502" s="79"/>
      <c r="T502" s="79"/>
      <c r="W502" s="130"/>
      <c r="Y502" s="106"/>
    </row>
    <row r="503">
      <c r="C503" s="79"/>
      <c r="D503" s="79"/>
      <c r="J503" s="79"/>
      <c r="O503" s="79"/>
      <c r="P503" s="79"/>
      <c r="S503" s="79"/>
      <c r="T503" s="79"/>
      <c r="W503" s="130"/>
      <c r="Y503" s="106"/>
    </row>
    <row r="504">
      <c r="C504" s="79"/>
      <c r="D504" s="79"/>
      <c r="J504" s="79"/>
      <c r="O504" s="79"/>
      <c r="P504" s="79"/>
      <c r="S504" s="79"/>
      <c r="T504" s="79"/>
      <c r="W504" s="130"/>
      <c r="Y504" s="106"/>
    </row>
    <row r="505">
      <c r="C505" s="79"/>
      <c r="D505" s="79"/>
      <c r="J505" s="79"/>
      <c r="O505" s="79"/>
      <c r="P505" s="79"/>
      <c r="S505" s="79"/>
      <c r="T505" s="79"/>
      <c r="W505" s="130"/>
      <c r="Y505" s="106"/>
    </row>
    <row r="506">
      <c r="C506" s="79"/>
      <c r="D506" s="79"/>
      <c r="J506" s="79"/>
      <c r="O506" s="79"/>
      <c r="P506" s="79"/>
      <c r="S506" s="79"/>
      <c r="T506" s="79"/>
      <c r="W506" s="130"/>
      <c r="Y506" s="106"/>
    </row>
    <row r="507">
      <c r="C507" s="79"/>
      <c r="D507" s="79"/>
      <c r="J507" s="79"/>
      <c r="O507" s="79"/>
      <c r="P507" s="79"/>
      <c r="S507" s="79"/>
      <c r="T507" s="79"/>
      <c r="W507" s="130"/>
      <c r="Y507" s="106"/>
    </row>
    <row r="508">
      <c r="C508" s="79"/>
      <c r="D508" s="79"/>
      <c r="J508" s="79"/>
      <c r="O508" s="79"/>
      <c r="P508" s="79"/>
      <c r="S508" s="79"/>
      <c r="T508" s="79"/>
      <c r="W508" s="130"/>
      <c r="Y508" s="106"/>
    </row>
    <row r="509">
      <c r="C509" s="79"/>
      <c r="D509" s="79"/>
      <c r="J509" s="79"/>
      <c r="O509" s="79"/>
      <c r="P509" s="79"/>
      <c r="S509" s="79"/>
      <c r="T509" s="79"/>
      <c r="W509" s="130"/>
      <c r="Y509" s="106"/>
    </row>
    <row r="510">
      <c r="C510" s="79"/>
      <c r="D510" s="79"/>
      <c r="J510" s="79"/>
      <c r="O510" s="79"/>
      <c r="P510" s="79"/>
      <c r="S510" s="79"/>
      <c r="T510" s="79"/>
      <c r="W510" s="130"/>
      <c r="Y510" s="106"/>
    </row>
    <row r="511">
      <c r="C511" s="79"/>
      <c r="D511" s="79"/>
      <c r="J511" s="79"/>
      <c r="O511" s="79"/>
      <c r="P511" s="79"/>
      <c r="S511" s="79"/>
      <c r="T511" s="79"/>
      <c r="W511" s="130"/>
      <c r="Y511" s="106"/>
    </row>
    <row r="512">
      <c r="C512" s="79"/>
      <c r="D512" s="79"/>
      <c r="J512" s="79"/>
      <c r="O512" s="79"/>
      <c r="P512" s="79"/>
      <c r="S512" s="79"/>
      <c r="T512" s="79"/>
      <c r="W512" s="130"/>
      <c r="Y512" s="106"/>
    </row>
    <row r="513">
      <c r="C513" s="79"/>
      <c r="D513" s="79"/>
      <c r="J513" s="79"/>
      <c r="O513" s="79"/>
      <c r="P513" s="79"/>
      <c r="S513" s="79"/>
      <c r="T513" s="79"/>
      <c r="W513" s="130"/>
      <c r="Y513" s="106"/>
    </row>
    <row r="514">
      <c r="C514" s="79"/>
      <c r="D514" s="79"/>
      <c r="J514" s="79"/>
      <c r="O514" s="79"/>
      <c r="P514" s="79"/>
      <c r="S514" s="79"/>
      <c r="T514" s="79"/>
      <c r="W514" s="130"/>
      <c r="Y514" s="106"/>
    </row>
    <row r="515">
      <c r="C515" s="79"/>
      <c r="D515" s="79"/>
      <c r="J515" s="79"/>
      <c r="O515" s="79"/>
      <c r="P515" s="79"/>
      <c r="S515" s="79"/>
      <c r="T515" s="79"/>
      <c r="W515" s="130"/>
      <c r="Y515" s="106"/>
    </row>
    <row r="516">
      <c r="C516" s="79"/>
      <c r="D516" s="79"/>
      <c r="J516" s="79"/>
      <c r="O516" s="79"/>
      <c r="P516" s="79"/>
      <c r="S516" s="79"/>
      <c r="T516" s="79"/>
      <c r="W516" s="130"/>
      <c r="Y516" s="106"/>
    </row>
    <row r="517">
      <c r="C517" s="79"/>
      <c r="D517" s="79"/>
      <c r="J517" s="79"/>
      <c r="O517" s="79"/>
      <c r="P517" s="79"/>
      <c r="S517" s="79"/>
      <c r="T517" s="79"/>
      <c r="W517" s="130"/>
      <c r="Y517" s="106"/>
    </row>
    <row r="518">
      <c r="C518" s="79"/>
      <c r="D518" s="79"/>
      <c r="J518" s="79"/>
      <c r="O518" s="79"/>
      <c r="P518" s="79"/>
      <c r="S518" s="79"/>
      <c r="T518" s="79"/>
      <c r="W518" s="130"/>
      <c r="Y518" s="106"/>
    </row>
    <row r="519">
      <c r="C519" s="79"/>
      <c r="D519" s="79"/>
      <c r="J519" s="79"/>
      <c r="O519" s="79"/>
      <c r="P519" s="79"/>
      <c r="S519" s="79"/>
      <c r="T519" s="79"/>
      <c r="W519" s="130"/>
      <c r="Y519" s="106"/>
    </row>
    <row r="520">
      <c r="C520" s="79"/>
      <c r="D520" s="79"/>
      <c r="J520" s="79"/>
      <c r="O520" s="79"/>
      <c r="P520" s="79"/>
      <c r="S520" s="79"/>
      <c r="T520" s="79"/>
      <c r="W520" s="130"/>
      <c r="Y520" s="106"/>
    </row>
    <row r="521">
      <c r="C521" s="79"/>
      <c r="D521" s="79"/>
      <c r="J521" s="79"/>
      <c r="O521" s="79"/>
      <c r="P521" s="79"/>
      <c r="S521" s="79"/>
      <c r="T521" s="79"/>
      <c r="W521" s="130"/>
      <c r="Y521" s="106"/>
    </row>
    <row r="522">
      <c r="C522" s="79"/>
      <c r="D522" s="79"/>
      <c r="J522" s="79"/>
      <c r="O522" s="79"/>
      <c r="P522" s="79"/>
      <c r="S522" s="79"/>
      <c r="T522" s="79"/>
      <c r="W522" s="130"/>
      <c r="Y522" s="106"/>
    </row>
    <row r="523">
      <c r="C523" s="79"/>
      <c r="D523" s="79"/>
      <c r="J523" s="79"/>
      <c r="O523" s="79"/>
      <c r="P523" s="79"/>
      <c r="S523" s="79"/>
      <c r="T523" s="79"/>
      <c r="W523" s="130"/>
      <c r="Y523" s="106"/>
    </row>
    <row r="524">
      <c r="C524" s="79"/>
      <c r="D524" s="79"/>
      <c r="J524" s="79"/>
      <c r="O524" s="79"/>
      <c r="P524" s="79"/>
      <c r="S524" s="79"/>
      <c r="T524" s="79"/>
      <c r="W524" s="130"/>
      <c r="Y524" s="106"/>
    </row>
    <row r="525">
      <c r="C525" s="79"/>
      <c r="D525" s="79"/>
      <c r="J525" s="79"/>
      <c r="O525" s="79"/>
      <c r="P525" s="79"/>
      <c r="S525" s="79"/>
      <c r="T525" s="79"/>
      <c r="W525" s="130"/>
      <c r="Y525" s="106"/>
    </row>
    <row r="526">
      <c r="C526" s="79"/>
      <c r="D526" s="79"/>
      <c r="J526" s="79"/>
      <c r="O526" s="79"/>
      <c r="P526" s="79"/>
      <c r="S526" s="79"/>
      <c r="T526" s="79"/>
      <c r="W526" s="130"/>
      <c r="Y526" s="106"/>
    </row>
    <row r="527">
      <c r="C527" s="79"/>
      <c r="D527" s="79"/>
      <c r="J527" s="79"/>
      <c r="O527" s="79"/>
      <c r="P527" s="79"/>
      <c r="S527" s="79"/>
      <c r="T527" s="79"/>
      <c r="W527" s="130"/>
      <c r="Y527" s="106"/>
    </row>
    <row r="528">
      <c r="C528" s="79"/>
      <c r="D528" s="79"/>
      <c r="J528" s="79"/>
      <c r="O528" s="79"/>
      <c r="P528" s="79"/>
      <c r="S528" s="79"/>
      <c r="T528" s="79"/>
      <c r="W528" s="130"/>
      <c r="Y528" s="106"/>
    </row>
    <row r="529">
      <c r="C529" s="79"/>
      <c r="D529" s="79"/>
      <c r="J529" s="79"/>
      <c r="O529" s="79"/>
      <c r="P529" s="79"/>
      <c r="S529" s="79"/>
      <c r="T529" s="79"/>
      <c r="W529" s="130"/>
      <c r="Y529" s="106"/>
    </row>
    <row r="530">
      <c r="C530" s="79"/>
      <c r="D530" s="79"/>
      <c r="J530" s="79"/>
      <c r="O530" s="79"/>
      <c r="P530" s="79"/>
      <c r="S530" s="79"/>
      <c r="T530" s="79"/>
      <c r="W530" s="130"/>
      <c r="Y530" s="106"/>
    </row>
    <row r="531">
      <c r="C531" s="79"/>
      <c r="D531" s="79"/>
      <c r="J531" s="79"/>
      <c r="O531" s="79"/>
      <c r="P531" s="79"/>
      <c r="S531" s="79"/>
      <c r="T531" s="79"/>
      <c r="W531" s="130"/>
      <c r="Y531" s="106"/>
    </row>
    <row r="532">
      <c r="C532" s="79"/>
      <c r="D532" s="79"/>
      <c r="J532" s="79"/>
      <c r="O532" s="79"/>
      <c r="P532" s="79"/>
      <c r="S532" s="79"/>
      <c r="T532" s="79"/>
      <c r="W532" s="130"/>
      <c r="Y532" s="106"/>
    </row>
    <row r="533">
      <c r="C533" s="79"/>
      <c r="D533" s="79"/>
      <c r="J533" s="79"/>
      <c r="O533" s="79"/>
      <c r="P533" s="79"/>
      <c r="S533" s="79"/>
      <c r="T533" s="79"/>
      <c r="W533" s="130"/>
      <c r="Y533" s="106"/>
    </row>
    <row r="534">
      <c r="C534" s="79"/>
      <c r="D534" s="79"/>
      <c r="J534" s="79"/>
      <c r="O534" s="79"/>
      <c r="P534" s="79"/>
      <c r="S534" s="79"/>
      <c r="T534" s="79"/>
      <c r="W534" s="130"/>
      <c r="Y534" s="106"/>
    </row>
    <row r="535">
      <c r="C535" s="79"/>
      <c r="D535" s="79"/>
      <c r="J535" s="79"/>
      <c r="O535" s="79"/>
      <c r="P535" s="79"/>
      <c r="S535" s="79"/>
      <c r="T535" s="79"/>
      <c r="W535" s="130"/>
      <c r="Y535" s="106"/>
    </row>
    <row r="536">
      <c r="C536" s="79"/>
      <c r="D536" s="79"/>
      <c r="J536" s="79"/>
      <c r="O536" s="79"/>
      <c r="P536" s="79"/>
      <c r="S536" s="79"/>
      <c r="T536" s="79"/>
      <c r="W536" s="130"/>
      <c r="Y536" s="106"/>
    </row>
    <row r="537">
      <c r="C537" s="79"/>
      <c r="D537" s="79"/>
      <c r="J537" s="79"/>
      <c r="O537" s="79"/>
      <c r="P537" s="79"/>
      <c r="S537" s="79"/>
      <c r="T537" s="79"/>
      <c r="W537" s="130"/>
      <c r="Y537" s="106"/>
    </row>
    <row r="538">
      <c r="C538" s="79"/>
      <c r="D538" s="79"/>
      <c r="J538" s="79"/>
      <c r="O538" s="79"/>
      <c r="P538" s="79"/>
      <c r="S538" s="79"/>
      <c r="T538" s="79"/>
      <c r="W538" s="130"/>
      <c r="Y538" s="106"/>
    </row>
    <row r="539">
      <c r="C539" s="79"/>
      <c r="D539" s="79"/>
      <c r="J539" s="79"/>
      <c r="O539" s="79"/>
      <c r="P539" s="79"/>
      <c r="S539" s="79"/>
      <c r="T539" s="79"/>
      <c r="W539" s="130"/>
      <c r="Y539" s="106"/>
    </row>
    <row r="540">
      <c r="C540" s="79"/>
      <c r="D540" s="79"/>
      <c r="J540" s="79"/>
      <c r="O540" s="79"/>
      <c r="P540" s="79"/>
      <c r="S540" s="79"/>
      <c r="T540" s="79"/>
      <c r="W540" s="130"/>
      <c r="Y540" s="106"/>
    </row>
    <row r="541">
      <c r="C541" s="79"/>
      <c r="D541" s="79"/>
      <c r="J541" s="79"/>
      <c r="O541" s="79"/>
      <c r="P541" s="79"/>
      <c r="S541" s="79"/>
      <c r="T541" s="79"/>
      <c r="W541" s="130"/>
      <c r="Y541" s="106"/>
    </row>
    <row r="542">
      <c r="C542" s="79"/>
      <c r="D542" s="79"/>
      <c r="J542" s="79"/>
      <c r="O542" s="79"/>
      <c r="P542" s="79"/>
      <c r="S542" s="79"/>
      <c r="T542" s="79"/>
      <c r="W542" s="130"/>
      <c r="Y542" s="106"/>
    </row>
    <row r="543">
      <c r="C543" s="79"/>
      <c r="D543" s="79"/>
      <c r="J543" s="79"/>
      <c r="O543" s="79"/>
      <c r="P543" s="79"/>
      <c r="S543" s="79"/>
      <c r="T543" s="79"/>
      <c r="W543" s="130"/>
      <c r="Y543" s="106"/>
    </row>
    <row r="544">
      <c r="C544" s="79"/>
      <c r="D544" s="79"/>
      <c r="J544" s="79"/>
      <c r="O544" s="79"/>
      <c r="P544" s="79"/>
      <c r="S544" s="79"/>
      <c r="T544" s="79"/>
      <c r="W544" s="130"/>
      <c r="Y544" s="106"/>
    </row>
    <row r="545">
      <c r="C545" s="79"/>
      <c r="D545" s="79"/>
      <c r="J545" s="79"/>
      <c r="O545" s="79"/>
      <c r="P545" s="79"/>
      <c r="S545" s="79"/>
      <c r="T545" s="79"/>
      <c r="W545" s="130"/>
      <c r="Y545" s="106"/>
    </row>
    <row r="546">
      <c r="C546" s="79"/>
      <c r="D546" s="79"/>
      <c r="J546" s="79"/>
      <c r="O546" s="79"/>
      <c r="P546" s="79"/>
      <c r="S546" s="79"/>
      <c r="T546" s="79"/>
      <c r="W546" s="130"/>
      <c r="Y546" s="106"/>
    </row>
    <row r="547">
      <c r="C547" s="79"/>
      <c r="D547" s="79"/>
      <c r="J547" s="79"/>
      <c r="O547" s="79"/>
      <c r="P547" s="79"/>
      <c r="S547" s="79"/>
      <c r="T547" s="79"/>
      <c r="W547" s="130"/>
      <c r="Y547" s="106"/>
    </row>
    <row r="548">
      <c r="C548" s="79"/>
      <c r="D548" s="79"/>
      <c r="J548" s="79"/>
      <c r="O548" s="79"/>
      <c r="P548" s="79"/>
      <c r="S548" s="79"/>
      <c r="T548" s="79"/>
      <c r="W548" s="130"/>
      <c r="Y548" s="106"/>
    </row>
    <row r="549">
      <c r="C549" s="79"/>
      <c r="D549" s="79"/>
      <c r="J549" s="79"/>
      <c r="O549" s="79"/>
      <c r="P549" s="79"/>
      <c r="S549" s="79"/>
      <c r="T549" s="79"/>
      <c r="W549" s="130"/>
      <c r="Y549" s="106"/>
    </row>
    <row r="550">
      <c r="C550" s="79"/>
      <c r="D550" s="79"/>
      <c r="J550" s="79"/>
      <c r="O550" s="79"/>
      <c r="P550" s="79"/>
      <c r="S550" s="79"/>
      <c r="T550" s="79"/>
      <c r="W550" s="130"/>
      <c r="Y550" s="106"/>
    </row>
    <row r="551">
      <c r="C551" s="79"/>
      <c r="D551" s="79"/>
      <c r="J551" s="79"/>
      <c r="O551" s="79"/>
      <c r="P551" s="79"/>
      <c r="S551" s="79"/>
      <c r="T551" s="79"/>
      <c r="W551" s="130"/>
      <c r="Y551" s="106"/>
    </row>
    <row r="552">
      <c r="C552" s="79"/>
      <c r="D552" s="79"/>
      <c r="J552" s="79"/>
      <c r="O552" s="79"/>
      <c r="P552" s="79"/>
      <c r="S552" s="79"/>
      <c r="T552" s="79"/>
      <c r="W552" s="130"/>
      <c r="Y552" s="106"/>
    </row>
    <row r="553">
      <c r="C553" s="79"/>
      <c r="D553" s="79"/>
      <c r="J553" s="79"/>
      <c r="O553" s="79"/>
      <c r="P553" s="79"/>
      <c r="S553" s="79"/>
      <c r="T553" s="79"/>
      <c r="W553" s="130"/>
      <c r="Y553" s="106"/>
    </row>
    <row r="554">
      <c r="C554" s="79"/>
      <c r="D554" s="79"/>
      <c r="J554" s="79"/>
      <c r="O554" s="79"/>
      <c r="P554" s="79"/>
      <c r="S554" s="79"/>
      <c r="T554" s="79"/>
      <c r="W554" s="130"/>
      <c r="Y554" s="106"/>
    </row>
    <row r="555">
      <c r="C555" s="79"/>
      <c r="D555" s="79"/>
      <c r="J555" s="79"/>
      <c r="O555" s="79"/>
      <c r="P555" s="79"/>
      <c r="S555" s="79"/>
      <c r="T555" s="79"/>
      <c r="W555" s="130"/>
      <c r="Y555" s="106"/>
    </row>
    <row r="556">
      <c r="C556" s="79"/>
      <c r="D556" s="79"/>
      <c r="J556" s="79"/>
      <c r="O556" s="79"/>
      <c r="P556" s="79"/>
      <c r="S556" s="79"/>
      <c r="T556" s="79"/>
      <c r="W556" s="130"/>
      <c r="Y556" s="106"/>
    </row>
    <row r="557">
      <c r="C557" s="79"/>
      <c r="D557" s="79"/>
      <c r="J557" s="79"/>
      <c r="O557" s="79"/>
      <c r="P557" s="79"/>
      <c r="S557" s="79"/>
      <c r="T557" s="79"/>
      <c r="W557" s="130"/>
      <c r="Y557" s="106"/>
    </row>
    <row r="558">
      <c r="C558" s="79"/>
      <c r="D558" s="79"/>
      <c r="J558" s="79"/>
      <c r="O558" s="79"/>
      <c r="P558" s="79"/>
      <c r="S558" s="79"/>
      <c r="T558" s="79"/>
      <c r="W558" s="130"/>
      <c r="Y558" s="106"/>
    </row>
    <row r="559">
      <c r="C559" s="79"/>
      <c r="D559" s="79"/>
      <c r="J559" s="79"/>
      <c r="O559" s="79"/>
      <c r="P559" s="79"/>
      <c r="S559" s="79"/>
      <c r="T559" s="79"/>
      <c r="W559" s="130"/>
      <c r="Y559" s="106"/>
    </row>
    <row r="560">
      <c r="C560" s="79"/>
      <c r="D560" s="79"/>
      <c r="J560" s="79"/>
      <c r="O560" s="79"/>
      <c r="P560" s="79"/>
      <c r="S560" s="79"/>
      <c r="T560" s="79"/>
      <c r="W560" s="130"/>
      <c r="Y560" s="106"/>
    </row>
    <row r="561">
      <c r="C561" s="79"/>
      <c r="D561" s="79"/>
      <c r="J561" s="79"/>
      <c r="O561" s="79"/>
      <c r="P561" s="79"/>
      <c r="S561" s="79"/>
      <c r="T561" s="79"/>
      <c r="W561" s="130"/>
      <c r="Y561" s="106"/>
    </row>
    <row r="562">
      <c r="C562" s="79"/>
      <c r="D562" s="79"/>
      <c r="J562" s="79"/>
      <c r="O562" s="79"/>
      <c r="P562" s="79"/>
      <c r="S562" s="79"/>
      <c r="T562" s="79"/>
      <c r="W562" s="130"/>
      <c r="Y562" s="106"/>
    </row>
    <row r="563">
      <c r="C563" s="79"/>
      <c r="D563" s="79"/>
      <c r="J563" s="79"/>
      <c r="O563" s="79"/>
      <c r="P563" s="79"/>
      <c r="S563" s="79"/>
      <c r="T563" s="79"/>
      <c r="W563" s="130"/>
      <c r="Y563" s="106"/>
    </row>
    <row r="564">
      <c r="C564" s="79"/>
      <c r="D564" s="79"/>
      <c r="J564" s="79"/>
      <c r="O564" s="79"/>
      <c r="P564" s="79"/>
      <c r="S564" s="79"/>
      <c r="T564" s="79"/>
      <c r="W564" s="130"/>
      <c r="Y564" s="106"/>
    </row>
    <row r="565">
      <c r="C565" s="79"/>
      <c r="D565" s="79"/>
      <c r="J565" s="79"/>
      <c r="O565" s="79"/>
      <c r="P565" s="79"/>
      <c r="S565" s="79"/>
      <c r="T565" s="79"/>
      <c r="W565" s="130"/>
      <c r="Y565" s="106"/>
    </row>
    <row r="566">
      <c r="C566" s="79"/>
      <c r="D566" s="79"/>
      <c r="J566" s="79"/>
      <c r="O566" s="79"/>
      <c r="P566" s="79"/>
      <c r="S566" s="79"/>
      <c r="T566" s="79"/>
      <c r="W566" s="130"/>
      <c r="Y566" s="106"/>
    </row>
    <row r="567">
      <c r="C567" s="79"/>
      <c r="D567" s="79"/>
      <c r="J567" s="79"/>
      <c r="O567" s="79"/>
      <c r="P567" s="79"/>
      <c r="S567" s="79"/>
      <c r="T567" s="79"/>
      <c r="W567" s="130"/>
      <c r="Y567" s="106"/>
    </row>
    <row r="568">
      <c r="C568" s="79"/>
      <c r="D568" s="79"/>
      <c r="J568" s="79"/>
      <c r="O568" s="79"/>
      <c r="P568" s="79"/>
      <c r="S568" s="79"/>
      <c r="T568" s="79"/>
      <c r="W568" s="130"/>
      <c r="Y568" s="106"/>
    </row>
    <row r="569">
      <c r="C569" s="79"/>
      <c r="D569" s="79"/>
      <c r="J569" s="79"/>
      <c r="O569" s="79"/>
      <c r="P569" s="79"/>
      <c r="S569" s="79"/>
      <c r="T569" s="79"/>
      <c r="W569" s="130"/>
      <c r="Y569" s="106"/>
    </row>
    <row r="570">
      <c r="C570" s="79"/>
      <c r="D570" s="79"/>
      <c r="J570" s="79"/>
      <c r="O570" s="79"/>
      <c r="P570" s="79"/>
      <c r="S570" s="79"/>
      <c r="T570" s="79"/>
      <c r="W570" s="130"/>
      <c r="Y570" s="106"/>
    </row>
    <row r="571">
      <c r="C571" s="79"/>
      <c r="D571" s="79"/>
      <c r="J571" s="79"/>
      <c r="O571" s="79"/>
      <c r="P571" s="79"/>
      <c r="S571" s="79"/>
      <c r="T571" s="79"/>
      <c r="W571" s="130"/>
      <c r="Y571" s="106"/>
    </row>
    <row r="572">
      <c r="C572" s="79"/>
      <c r="D572" s="79"/>
      <c r="J572" s="79"/>
      <c r="O572" s="79"/>
      <c r="P572" s="79"/>
      <c r="S572" s="79"/>
      <c r="T572" s="79"/>
      <c r="W572" s="130"/>
      <c r="Y572" s="106"/>
    </row>
    <row r="573">
      <c r="C573" s="79"/>
      <c r="D573" s="79"/>
      <c r="J573" s="79"/>
      <c r="O573" s="79"/>
      <c r="P573" s="79"/>
      <c r="S573" s="79"/>
      <c r="T573" s="79"/>
      <c r="W573" s="130"/>
      <c r="Y573" s="106"/>
    </row>
    <row r="574">
      <c r="C574" s="79"/>
      <c r="D574" s="79"/>
      <c r="J574" s="79"/>
      <c r="O574" s="79"/>
      <c r="P574" s="79"/>
      <c r="S574" s="79"/>
      <c r="T574" s="79"/>
      <c r="W574" s="130"/>
      <c r="Y574" s="106"/>
    </row>
    <row r="575">
      <c r="C575" s="79"/>
      <c r="D575" s="79"/>
      <c r="J575" s="79"/>
      <c r="O575" s="79"/>
      <c r="P575" s="79"/>
      <c r="S575" s="79"/>
      <c r="T575" s="79"/>
      <c r="W575" s="130"/>
      <c r="Y575" s="106"/>
    </row>
    <row r="576">
      <c r="C576" s="79"/>
      <c r="D576" s="79"/>
      <c r="J576" s="79"/>
      <c r="O576" s="79"/>
      <c r="P576" s="79"/>
      <c r="S576" s="79"/>
      <c r="T576" s="79"/>
      <c r="W576" s="130"/>
      <c r="Y576" s="106"/>
    </row>
    <row r="577">
      <c r="C577" s="79"/>
      <c r="D577" s="79"/>
      <c r="J577" s="79"/>
      <c r="O577" s="79"/>
      <c r="P577" s="79"/>
      <c r="S577" s="79"/>
      <c r="T577" s="79"/>
      <c r="W577" s="130"/>
      <c r="Y577" s="106"/>
    </row>
    <row r="578">
      <c r="C578" s="79"/>
      <c r="D578" s="79"/>
      <c r="J578" s="79"/>
      <c r="O578" s="79"/>
      <c r="P578" s="79"/>
      <c r="S578" s="79"/>
      <c r="T578" s="79"/>
      <c r="W578" s="130"/>
      <c r="Y578" s="106"/>
    </row>
    <row r="579">
      <c r="C579" s="79"/>
      <c r="D579" s="79"/>
      <c r="J579" s="79"/>
      <c r="O579" s="79"/>
      <c r="P579" s="79"/>
      <c r="S579" s="79"/>
      <c r="T579" s="79"/>
      <c r="W579" s="130"/>
      <c r="Y579" s="106"/>
    </row>
    <row r="580">
      <c r="C580" s="79"/>
      <c r="D580" s="79"/>
      <c r="J580" s="79"/>
      <c r="O580" s="79"/>
      <c r="P580" s="79"/>
      <c r="S580" s="79"/>
      <c r="T580" s="79"/>
      <c r="W580" s="130"/>
      <c r="Y580" s="106"/>
    </row>
    <row r="581">
      <c r="C581" s="79"/>
      <c r="D581" s="79"/>
      <c r="J581" s="79"/>
      <c r="O581" s="79"/>
      <c r="P581" s="79"/>
      <c r="S581" s="79"/>
      <c r="T581" s="79"/>
      <c r="W581" s="130"/>
      <c r="Y581" s="106"/>
    </row>
    <row r="582">
      <c r="C582" s="79"/>
      <c r="D582" s="79"/>
      <c r="J582" s="79"/>
      <c r="O582" s="79"/>
      <c r="P582" s="79"/>
      <c r="S582" s="79"/>
      <c r="T582" s="79"/>
      <c r="W582" s="130"/>
      <c r="Y582" s="106"/>
    </row>
    <row r="583">
      <c r="C583" s="79"/>
      <c r="D583" s="79"/>
      <c r="J583" s="79"/>
      <c r="O583" s="79"/>
      <c r="P583" s="79"/>
      <c r="S583" s="79"/>
      <c r="T583" s="79"/>
      <c r="W583" s="130"/>
      <c r="Y583" s="106"/>
    </row>
    <row r="584">
      <c r="C584" s="79"/>
      <c r="D584" s="79"/>
      <c r="J584" s="79"/>
      <c r="O584" s="79"/>
      <c r="P584" s="79"/>
      <c r="S584" s="79"/>
      <c r="T584" s="79"/>
      <c r="W584" s="130"/>
      <c r="Y584" s="106"/>
    </row>
    <row r="585">
      <c r="C585" s="79"/>
      <c r="D585" s="79"/>
      <c r="J585" s="79"/>
      <c r="O585" s="79"/>
      <c r="P585" s="79"/>
      <c r="S585" s="79"/>
      <c r="T585" s="79"/>
      <c r="W585" s="130"/>
      <c r="Y585" s="106"/>
    </row>
    <row r="586">
      <c r="C586" s="79"/>
      <c r="D586" s="79"/>
      <c r="J586" s="79"/>
      <c r="O586" s="79"/>
      <c r="P586" s="79"/>
      <c r="S586" s="79"/>
      <c r="T586" s="79"/>
      <c r="W586" s="130"/>
      <c r="Y586" s="106"/>
    </row>
    <row r="587">
      <c r="C587" s="79"/>
      <c r="D587" s="79"/>
      <c r="J587" s="79"/>
      <c r="O587" s="79"/>
      <c r="P587" s="79"/>
      <c r="S587" s="79"/>
      <c r="T587" s="79"/>
      <c r="W587" s="130"/>
      <c r="Y587" s="106"/>
    </row>
    <row r="588">
      <c r="C588" s="79"/>
      <c r="D588" s="79"/>
      <c r="J588" s="79"/>
      <c r="O588" s="79"/>
      <c r="P588" s="79"/>
      <c r="S588" s="79"/>
      <c r="T588" s="79"/>
      <c r="W588" s="130"/>
      <c r="Y588" s="106"/>
    </row>
    <row r="589">
      <c r="C589" s="79"/>
      <c r="D589" s="79"/>
      <c r="J589" s="79"/>
      <c r="O589" s="79"/>
      <c r="P589" s="79"/>
      <c r="S589" s="79"/>
      <c r="T589" s="79"/>
      <c r="W589" s="130"/>
      <c r="Y589" s="106"/>
    </row>
    <row r="590">
      <c r="C590" s="79"/>
      <c r="D590" s="79"/>
      <c r="J590" s="79"/>
      <c r="O590" s="79"/>
      <c r="P590" s="79"/>
      <c r="S590" s="79"/>
      <c r="T590" s="79"/>
      <c r="W590" s="130"/>
      <c r="Y590" s="106"/>
    </row>
    <row r="591">
      <c r="C591" s="79"/>
      <c r="D591" s="79"/>
      <c r="J591" s="79"/>
      <c r="O591" s="79"/>
      <c r="P591" s="79"/>
      <c r="S591" s="79"/>
      <c r="T591" s="79"/>
      <c r="W591" s="130"/>
      <c r="Y591" s="106"/>
    </row>
    <row r="592">
      <c r="C592" s="79"/>
      <c r="D592" s="79"/>
      <c r="J592" s="79"/>
      <c r="O592" s="79"/>
      <c r="P592" s="79"/>
      <c r="S592" s="79"/>
      <c r="T592" s="79"/>
      <c r="W592" s="130"/>
      <c r="Y592" s="106"/>
    </row>
    <row r="593">
      <c r="C593" s="79"/>
      <c r="D593" s="79"/>
      <c r="J593" s="79"/>
      <c r="O593" s="79"/>
      <c r="P593" s="79"/>
      <c r="S593" s="79"/>
      <c r="T593" s="79"/>
      <c r="W593" s="130"/>
      <c r="Y593" s="106"/>
    </row>
    <row r="594">
      <c r="C594" s="79"/>
      <c r="D594" s="79"/>
      <c r="J594" s="79"/>
      <c r="O594" s="79"/>
      <c r="P594" s="79"/>
      <c r="S594" s="79"/>
      <c r="T594" s="79"/>
      <c r="W594" s="130"/>
      <c r="Y594" s="106"/>
    </row>
    <row r="595">
      <c r="C595" s="79"/>
      <c r="D595" s="79"/>
      <c r="J595" s="79"/>
      <c r="O595" s="79"/>
      <c r="P595" s="79"/>
      <c r="S595" s="79"/>
      <c r="T595" s="79"/>
      <c r="W595" s="130"/>
      <c r="Y595" s="106"/>
    </row>
    <row r="596">
      <c r="C596" s="79"/>
      <c r="D596" s="79"/>
      <c r="J596" s="79"/>
      <c r="O596" s="79"/>
      <c r="P596" s="79"/>
      <c r="S596" s="79"/>
      <c r="T596" s="79"/>
      <c r="W596" s="130"/>
      <c r="Y596" s="106"/>
    </row>
    <row r="597">
      <c r="C597" s="79"/>
      <c r="D597" s="79"/>
      <c r="J597" s="79"/>
      <c r="O597" s="79"/>
      <c r="P597" s="79"/>
      <c r="S597" s="79"/>
      <c r="T597" s="79"/>
      <c r="W597" s="130"/>
      <c r="Y597" s="106"/>
    </row>
    <row r="598">
      <c r="C598" s="79"/>
      <c r="D598" s="79"/>
      <c r="J598" s="79"/>
      <c r="O598" s="79"/>
      <c r="P598" s="79"/>
      <c r="S598" s="79"/>
      <c r="T598" s="79"/>
      <c r="W598" s="130"/>
      <c r="Y598" s="106"/>
    </row>
    <row r="599">
      <c r="C599" s="79"/>
      <c r="D599" s="79"/>
      <c r="J599" s="79"/>
      <c r="O599" s="79"/>
      <c r="P599" s="79"/>
      <c r="S599" s="79"/>
      <c r="T599" s="79"/>
      <c r="W599" s="130"/>
      <c r="Y599" s="106"/>
    </row>
    <row r="600">
      <c r="C600" s="79"/>
      <c r="D600" s="79"/>
      <c r="J600" s="79"/>
      <c r="O600" s="79"/>
      <c r="P600" s="79"/>
      <c r="S600" s="79"/>
      <c r="T600" s="79"/>
      <c r="W600" s="130"/>
      <c r="Y600" s="106"/>
    </row>
    <row r="601">
      <c r="C601" s="79"/>
      <c r="D601" s="79"/>
      <c r="J601" s="79"/>
      <c r="O601" s="79"/>
      <c r="P601" s="79"/>
      <c r="S601" s="79"/>
      <c r="T601" s="79"/>
      <c r="W601" s="130"/>
      <c r="Y601" s="106"/>
    </row>
    <row r="602">
      <c r="C602" s="79"/>
      <c r="D602" s="79"/>
      <c r="J602" s="79"/>
      <c r="O602" s="79"/>
      <c r="P602" s="79"/>
      <c r="S602" s="79"/>
      <c r="T602" s="79"/>
      <c r="W602" s="130"/>
      <c r="Y602" s="106"/>
    </row>
    <row r="603">
      <c r="C603" s="79"/>
      <c r="D603" s="79"/>
      <c r="J603" s="79"/>
      <c r="O603" s="79"/>
      <c r="P603" s="79"/>
      <c r="S603" s="79"/>
      <c r="T603" s="79"/>
      <c r="W603" s="130"/>
      <c r="Y603" s="106"/>
    </row>
    <row r="604">
      <c r="C604" s="79"/>
      <c r="D604" s="79"/>
      <c r="J604" s="79"/>
      <c r="O604" s="79"/>
      <c r="P604" s="79"/>
      <c r="S604" s="79"/>
      <c r="T604" s="79"/>
      <c r="W604" s="130"/>
      <c r="Y604" s="106"/>
    </row>
    <row r="605">
      <c r="C605" s="79"/>
      <c r="D605" s="79"/>
      <c r="J605" s="79"/>
      <c r="O605" s="79"/>
      <c r="P605" s="79"/>
      <c r="S605" s="79"/>
      <c r="T605" s="79"/>
      <c r="W605" s="130"/>
      <c r="Y605" s="106"/>
    </row>
    <row r="606">
      <c r="C606" s="79"/>
      <c r="D606" s="79"/>
      <c r="J606" s="79"/>
      <c r="O606" s="79"/>
      <c r="P606" s="79"/>
      <c r="S606" s="79"/>
      <c r="T606" s="79"/>
      <c r="W606" s="130"/>
      <c r="Y606" s="106"/>
    </row>
    <row r="607">
      <c r="C607" s="79"/>
      <c r="D607" s="79"/>
      <c r="J607" s="79"/>
      <c r="O607" s="79"/>
      <c r="P607" s="79"/>
      <c r="S607" s="79"/>
      <c r="T607" s="79"/>
      <c r="W607" s="130"/>
      <c r="Y607" s="106"/>
    </row>
    <row r="608">
      <c r="C608" s="79"/>
      <c r="D608" s="79"/>
      <c r="J608" s="79"/>
      <c r="O608" s="79"/>
      <c r="P608" s="79"/>
      <c r="S608" s="79"/>
      <c r="T608" s="79"/>
      <c r="W608" s="130"/>
      <c r="Y608" s="106"/>
    </row>
    <row r="609">
      <c r="C609" s="79"/>
      <c r="D609" s="79"/>
      <c r="J609" s="79"/>
      <c r="O609" s="79"/>
      <c r="P609" s="79"/>
      <c r="S609" s="79"/>
      <c r="T609" s="79"/>
      <c r="W609" s="130"/>
      <c r="Y609" s="106"/>
    </row>
    <row r="610">
      <c r="C610" s="79"/>
      <c r="D610" s="79"/>
      <c r="J610" s="79"/>
      <c r="O610" s="79"/>
      <c r="P610" s="79"/>
      <c r="S610" s="79"/>
      <c r="T610" s="79"/>
      <c r="W610" s="130"/>
      <c r="Y610" s="106"/>
    </row>
    <row r="611">
      <c r="C611" s="79"/>
      <c r="D611" s="79"/>
      <c r="J611" s="79"/>
      <c r="O611" s="79"/>
      <c r="P611" s="79"/>
      <c r="S611" s="79"/>
      <c r="T611" s="79"/>
      <c r="W611" s="130"/>
      <c r="Y611" s="106"/>
    </row>
    <row r="612">
      <c r="C612" s="79"/>
      <c r="D612" s="79"/>
      <c r="J612" s="79"/>
      <c r="O612" s="79"/>
      <c r="P612" s="79"/>
      <c r="S612" s="79"/>
      <c r="T612" s="79"/>
      <c r="W612" s="130"/>
      <c r="Y612" s="106"/>
    </row>
    <row r="613">
      <c r="C613" s="79"/>
      <c r="D613" s="79"/>
      <c r="J613" s="79"/>
      <c r="O613" s="79"/>
      <c r="P613" s="79"/>
      <c r="S613" s="79"/>
      <c r="T613" s="79"/>
      <c r="W613" s="130"/>
      <c r="Y613" s="106"/>
    </row>
    <row r="614">
      <c r="C614" s="79"/>
      <c r="D614" s="79"/>
      <c r="J614" s="79"/>
      <c r="O614" s="79"/>
      <c r="P614" s="79"/>
      <c r="S614" s="79"/>
      <c r="T614" s="79"/>
      <c r="W614" s="130"/>
      <c r="Y614" s="106"/>
    </row>
    <row r="615">
      <c r="C615" s="79"/>
      <c r="D615" s="79"/>
      <c r="J615" s="79"/>
      <c r="O615" s="79"/>
      <c r="P615" s="79"/>
      <c r="S615" s="79"/>
      <c r="T615" s="79"/>
      <c r="W615" s="130"/>
      <c r="Y615" s="106"/>
    </row>
    <row r="616">
      <c r="C616" s="79"/>
      <c r="D616" s="79"/>
      <c r="J616" s="79"/>
      <c r="O616" s="79"/>
      <c r="P616" s="79"/>
      <c r="S616" s="79"/>
      <c r="T616" s="79"/>
      <c r="W616" s="130"/>
      <c r="Y616" s="106"/>
    </row>
    <row r="617">
      <c r="C617" s="79"/>
      <c r="D617" s="79"/>
      <c r="J617" s="79"/>
      <c r="O617" s="79"/>
      <c r="P617" s="79"/>
      <c r="S617" s="79"/>
      <c r="T617" s="79"/>
      <c r="W617" s="130"/>
      <c r="Y617" s="106"/>
    </row>
    <row r="618">
      <c r="C618" s="79"/>
      <c r="D618" s="79"/>
      <c r="J618" s="79"/>
      <c r="O618" s="79"/>
      <c r="P618" s="79"/>
      <c r="S618" s="79"/>
      <c r="T618" s="79"/>
      <c r="W618" s="130"/>
      <c r="Y618" s="106"/>
    </row>
    <row r="619">
      <c r="C619" s="79"/>
      <c r="D619" s="79"/>
      <c r="J619" s="79"/>
      <c r="O619" s="79"/>
      <c r="P619" s="79"/>
      <c r="S619" s="79"/>
      <c r="T619" s="79"/>
      <c r="W619" s="130"/>
      <c r="Y619" s="106"/>
    </row>
    <row r="620">
      <c r="C620" s="79"/>
      <c r="D620" s="79"/>
      <c r="J620" s="79"/>
      <c r="O620" s="79"/>
      <c r="P620" s="79"/>
      <c r="S620" s="79"/>
      <c r="T620" s="79"/>
      <c r="W620" s="130"/>
      <c r="Y620" s="106"/>
    </row>
    <row r="621">
      <c r="C621" s="79"/>
      <c r="D621" s="79"/>
      <c r="J621" s="79"/>
      <c r="O621" s="79"/>
      <c r="P621" s="79"/>
      <c r="S621" s="79"/>
      <c r="T621" s="79"/>
      <c r="W621" s="130"/>
      <c r="Y621" s="106"/>
    </row>
    <row r="622">
      <c r="C622" s="79"/>
      <c r="D622" s="79"/>
      <c r="J622" s="79"/>
      <c r="O622" s="79"/>
      <c r="P622" s="79"/>
      <c r="S622" s="79"/>
      <c r="T622" s="79"/>
      <c r="W622" s="130"/>
      <c r="Y622" s="106"/>
    </row>
    <row r="623">
      <c r="C623" s="79"/>
      <c r="D623" s="79"/>
      <c r="J623" s="79"/>
      <c r="O623" s="79"/>
      <c r="P623" s="79"/>
      <c r="S623" s="79"/>
      <c r="T623" s="79"/>
      <c r="W623" s="130"/>
      <c r="Y623" s="106"/>
    </row>
    <row r="624">
      <c r="C624" s="79"/>
      <c r="D624" s="79"/>
      <c r="J624" s="79"/>
      <c r="O624" s="79"/>
      <c r="P624" s="79"/>
      <c r="S624" s="79"/>
      <c r="T624" s="79"/>
      <c r="W624" s="130"/>
      <c r="Y624" s="106"/>
    </row>
    <row r="625">
      <c r="C625" s="79"/>
      <c r="D625" s="79"/>
      <c r="J625" s="79"/>
      <c r="O625" s="79"/>
      <c r="P625" s="79"/>
      <c r="S625" s="79"/>
      <c r="T625" s="79"/>
      <c r="W625" s="130"/>
      <c r="Y625" s="106"/>
    </row>
    <row r="626">
      <c r="C626" s="79"/>
      <c r="D626" s="79"/>
      <c r="J626" s="79"/>
      <c r="O626" s="79"/>
      <c r="P626" s="79"/>
      <c r="S626" s="79"/>
      <c r="T626" s="79"/>
      <c r="W626" s="130"/>
      <c r="Y626" s="106"/>
    </row>
    <row r="627">
      <c r="C627" s="79"/>
      <c r="D627" s="79"/>
      <c r="J627" s="79"/>
      <c r="O627" s="79"/>
      <c r="P627" s="79"/>
      <c r="S627" s="79"/>
      <c r="T627" s="79"/>
      <c r="W627" s="130"/>
      <c r="Y627" s="106"/>
    </row>
    <row r="628">
      <c r="C628" s="79"/>
      <c r="D628" s="79"/>
      <c r="J628" s="79"/>
      <c r="O628" s="79"/>
      <c r="P628" s="79"/>
      <c r="S628" s="79"/>
      <c r="T628" s="79"/>
      <c r="W628" s="130"/>
      <c r="Y628" s="106"/>
    </row>
    <row r="629">
      <c r="C629" s="79"/>
      <c r="D629" s="79"/>
      <c r="J629" s="79"/>
      <c r="O629" s="79"/>
      <c r="P629" s="79"/>
      <c r="S629" s="79"/>
      <c r="T629" s="79"/>
      <c r="W629" s="130"/>
      <c r="Y629" s="106"/>
    </row>
    <row r="630">
      <c r="C630" s="79"/>
      <c r="D630" s="79"/>
      <c r="J630" s="79"/>
      <c r="O630" s="79"/>
      <c r="P630" s="79"/>
      <c r="S630" s="79"/>
      <c r="T630" s="79"/>
      <c r="W630" s="130"/>
      <c r="Y630" s="106"/>
    </row>
    <row r="631">
      <c r="C631" s="79"/>
      <c r="D631" s="79"/>
      <c r="J631" s="79"/>
      <c r="O631" s="79"/>
      <c r="P631" s="79"/>
      <c r="S631" s="79"/>
      <c r="T631" s="79"/>
      <c r="W631" s="130"/>
      <c r="Y631" s="106"/>
    </row>
    <row r="632">
      <c r="C632" s="79"/>
      <c r="D632" s="79"/>
      <c r="J632" s="79"/>
      <c r="O632" s="79"/>
      <c r="P632" s="79"/>
      <c r="S632" s="79"/>
      <c r="T632" s="79"/>
      <c r="W632" s="130"/>
      <c r="Y632" s="106"/>
    </row>
    <row r="633">
      <c r="C633" s="79"/>
      <c r="D633" s="79"/>
      <c r="J633" s="79"/>
      <c r="O633" s="79"/>
      <c r="P633" s="79"/>
      <c r="S633" s="79"/>
      <c r="T633" s="79"/>
      <c r="W633" s="130"/>
      <c r="Y633" s="106"/>
    </row>
    <row r="634">
      <c r="C634" s="79"/>
      <c r="D634" s="79"/>
      <c r="J634" s="79"/>
      <c r="O634" s="79"/>
      <c r="P634" s="79"/>
      <c r="S634" s="79"/>
      <c r="T634" s="79"/>
      <c r="W634" s="130"/>
      <c r="Y634" s="106"/>
    </row>
    <row r="635">
      <c r="C635" s="79"/>
      <c r="D635" s="79"/>
      <c r="J635" s="79"/>
      <c r="O635" s="79"/>
      <c r="P635" s="79"/>
      <c r="S635" s="79"/>
      <c r="T635" s="79"/>
      <c r="W635" s="130"/>
      <c r="Y635" s="106"/>
    </row>
    <row r="636">
      <c r="C636" s="79"/>
      <c r="D636" s="79"/>
      <c r="J636" s="79"/>
      <c r="O636" s="79"/>
      <c r="P636" s="79"/>
      <c r="S636" s="79"/>
      <c r="T636" s="79"/>
      <c r="W636" s="130"/>
      <c r="Y636" s="106"/>
    </row>
    <row r="637">
      <c r="C637" s="79"/>
      <c r="D637" s="79"/>
      <c r="J637" s="79"/>
      <c r="O637" s="79"/>
      <c r="P637" s="79"/>
      <c r="S637" s="79"/>
      <c r="T637" s="79"/>
      <c r="W637" s="130"/>
      <c r="Y637" s="106"/>
    </row>
    <row r="638">
      <c r="C638" s="79"/>
      <c r="D638" s="79"/>
      <c r="J638" s="79"/>
      <c r="O638" s="79"/>
      <c r="P638" s="79"/>
      <c r="S638" s="79"/>
      <c r="T638" s="79"/>
      <c r="W638" s="130"/>
      <c r="Y638" s="106"/>
    </row>
    <row r="639">
      <c r="C639" s="79"/>
      <c r="D639" s="79"/>
      <c r="J639" s="79"/>
      <c r="O639" s="79"/>
      <c r="P639" s="79"/>
      <c r="S639" s="79"/>
      <c r="T639" s="79"/>
      <c r="W639" s="130"/>
      <c r="Y639" s="106"/>
    </row>
    <row r="640">
      <c r="C640" s="79"/>
      <c r="D640" s="79"/>
      <c r="J640" s="79"/>
      <c r="O640" s="79"/>
      <c r="P640" s="79"/>
      <c r="S640" s="79"/>
      <c r="T640" s="79"/>
      <c r="W640" s="130"/>
      <c r="Y640" s="106"/>
    </row>
    <row r="641">
      <c r="C641" s="79"/>
      <c r="D641" s="79"/>
      <c r="J641" s="79"/>
      <c r="O641" s="79"/>
      <c r="P641" s="79"/>
      <c r="S641" s="79"/>
      <c r="T641" s="79"/>
      <c r="W641" s="130"/>
      <c r="Y641" s="106"/>
    </row>
    <row r="642">
      <c r="C642" s="79"/>
      <c r="D642" s="79"/>
      <c r="J642" s="79"/>
      <c r="O642" s="79"/>
      <c r="P642" s="79"/>
      <c r="S642" s="79"/>
      <c r="T642" s="79"/>
      <c r="W642" s="130"/>
      <c r="Y642" s="106"/>
    </row>
    <row r="643">
      <c r="C643" s="79"/>
      <c r="D643" s="79"/>
      <c r="J643" s="79"/>
      <c r="O643" s="79"/>
      <c r="P643" s="79"/>
      <c r="S643" s="79"/>
      <c r="T643" s="79"/>
      <c r="W643" s="130"/>
      <c r="Y643" s="106"/>
    </row>
    <row r="644">
      <c r="C644" s="79"/>
      <c r="D644" s="79"/>
      <c r="J644" s="79"/>
      <c r="O644" s="79"/>
      <c r="P644" s="79"/>
      <c r="S644" s="79"/>
      <c r="T644" s="79"/>
      <c r="W644" s="130"/>
      <c r="Y644" s="106"/>
    </row>
    <row r="645">
      <c r="C645" s="79"/>
      <c r="D645" s="79"/>
      <c r="J645" s="79"/>
      <c r="O645" s="79"/>
      <c r="P645" s="79"/>
      <c r="S645" s="79"/>
      <c r="T645" s="79"/>
      <c r="W645" s="130"/>
      <c r="Y645" s="106"/>
    </row>
    <row r="646">
      <c r="C646" s="79"/>
      <c r="D646" s="79"/>
      <c r="J646" s="79"/>
      <c r="O646" s="79"/>
      <c r="P646" s="79"/>
      <c r="S646" s="79"/>
      <c r="T646" s="79"/>
      <c r="W646" s="130"/>
      <c r="Y646" s="106"/>
    </row>
    <row r="647">
      <c r="C647" s="79"/>
      <c r="D647" s="79"/>
      <c r="J647" s="79"/>
      <c r="O647" s="79"/>
      <c r="P647" s="79"/>
      <c r="S647" s="79"/>
      <c r="T647" s="79"/>
      <c r="W647" s="130"/>
      <c r="Y647" s="106"/>
    </row>
    <row r="648">
      <c r="C648" s="79"/>
      <c r="D648" s="79"/>
      <c r="J648" s="79"/>
      <c r="O648" s="79"/>
      <c r="P648" s="79"/>
      <c r="S648" s="79"/>
      <c r="T648" s="79"/>
      <c r="W648" s="130"/>
      <c r="Y648" s="106"/>
    </row>
    <row r="649">
      <c r="C649" s="79"/>
      <c r="D649" s="79"/>
      <c r="J649" s="79"/>
      <c r="O649" s="79"/>
      <c r="P649" s="79"/>
      <c r="S649" s="79"/>
      <c r="T649" s="79"/>
      <c r="W649" s="130"/>
      <c r="Y649" s="106"/>
    </row>
    <row r="650">
      <c r="C650" s="79"/>
      <c r="D650" s="79"/>
      <c r="J650" s="79"/>
      <c r="O650" s="79"/>
      <c r="P650" s="79"/>
      <c r="S650" s="79"/>
      <c r="T650" s="79"/>
      <c r="W650" s="130"/>
      <c r="Y650" s="106"/>
    </row>
    <row r="651">
      <c r="C651" s="79"/>
      <c r="D651" s="79"/>
      <c r="J651" s="79"/>
      <c r="O651" s="79"/>
      <c r="P651" s="79"/>
      <c r="S651" s="79"/>
      <c r="T651" s="79"/>
      <c r="W651" s="130"/>
      <c r="Y651" s="106"/>
    </row>
    <row r="652">
      <c r="C652" s="79"/>
      <c r="D652" s="79"/>
      <c r="J652" s="79"/>
      <c r="O652" s="79"/>
      <c r="P652" s="79"/>
      <c r="S652" s="79"/>
      <c r="T652" s="79"/>
      <c r="W652" s="130"/>
      <c r="Y652" s="106"/>
    </row>
    <row r="653">
      <c r="C653" s="79"/>
      <c r="D653" s="79"/>
      <c r="J653" s="79"/>
      <c r="O653" s="79"/>
      <c r="P653" s="79"/>
      <c r="S653" s="79"/>
      <c r="T653" s="79"/>
      <c r="W653" s="130"/>
      <c r="Y653" s="106"/>
    </row>
    <row r="654">
      <c r="C654" s="79"/>
      <c r="D654" s="79"/>
      <c r="J654" s="79"/>
      <c r="O654" s="79"/>
      <c r="P654" s="79"/>
      <c r="S654" s="79"/>
      <c r="T654" s="79"/>
      <c r="W654" s="130"/>
      <c r="Y654" s="106"/>
    </row>
    <row r="655">
      <c r="C655" s="79"/>
      <c r="D655" s="79"/>
      <c r="J655" s="79"/>
      <c r="O655" s="79"/>
      <c r="P655" s="79"/>
      <c r="S655" s="79"/>
      <c r="T655" s="79"/>
      <c r="W655" s="130"/>
      <c r="Y655" s="106"/>
    </row>
    <row r="656">
      <c r="C656" s="79"/>
      <c r="D656" s="79"/>
      <c r="J656" s="79"/>
      <c r="O656" s="79"/>
      <c r="P656" s="79"/>
      <c r="S656" s="79"/>
      <c r="T656" s="79"/>
      <c r="W656" s="130"/>
      <c r="Y656" s="106"/>
    </row>
    <row r="657">
      <c r="C657" s="79"/>
      <c r="D657" s="79"/>
      <c r="J657" s="79"/>
      <c r="O657" s="79"/>
      <c r="P657" s="79"/>
      <c r="S657" s="79"/>
      <c r="T657" s="79"/>
      <c r="W657" s="130"/>
      <c r="Y657" s="106"/>
    </row>
    <row r="658">
      <c r="C658" s="79"/>
      <c r="D658" s="79"/>
      <c r="J658" s="79"/>
      <c r="O658" s="79"/>
      <c r="P658" s="79"/>
      <c r="S658" s="79"/>
      <c r="T658" s="79"/>
      <c r="W658" s="130"/>
      <c r="Y658" s="106"/>
    </row>
    <row r="659">
      <c r="C659" s="79"/>
      <c r="D659" s="79"/>
      <c r="J659" s="79"/>
      <c r="O659" s="79"/>
      <c r="P659" s="79"/>
      <c r="S659" s="79"/>
      <c r="T659" s="79"/>
      <c r="W659" s="130"/>
      <c r="Y659" s="106"/>
    </row>
    <row r="660">
      <c r="C660" s="79"/>
      <c r="D660" s="79"/>
      <c r="J660" s="79"/>
      <c r="O660" s="79"/>
      <c r="P660" s="79"/>
      <c r="S660" s="79"/>
      <c r="T660" s="79"/>
      <c r="W660" s="130"/>
      <c r="Y660" s="106"/>
    </row>
    <row r="661">
      <c r="C661" s="79"/>
      <c r="D661" s="79"/>
      <c r="J661" s="79"/>
      <c r="O661" s="79"/>
      <c r="P661" s="79"/>
      <c r="S661" s="79"/>
      <c r="T661" s="79"/>
      <c r="W661" s="130"/>
      <c r="Y661" s="106"/>
    </row>
    <row r="662">
      <c r="C662" s="79"/>
      <c r="D662" s="79"/>
      <c r="J662" s="79"/>
      <c r="O662" s="79"/>
      <c r="P662" s="79"/>
      <c r="S662" s="79"/>
      <c r="T662" s="79"/>
      <c r="W662" s="130"/>
      <c r="Y662" s="106"/>
    </row>
    <row r="663">
      <c r="C663" s="79"/>
      <c r="D663" s="79"/>
      <c r="J663" s="79"/>
      <c r="O663" s="79"/>
      <c r="P663" s="79"/>
      <c r="S663" s="79"/>
      <c r="T663" s="79"/>
      <c r="W663" s="130"/>
      <c r="Y663" s="106"/>
    </row>
    <row r="664">
      <c r="C664" s="79"/>
      <c r="D664" s="79"/>
      <c r="J664" s="79"/>
      <c r="O664" s="79"/>
      <c r="P664" s="79"/>
      <c r="S664" s="79"/>
      <c r="T664" s="79"/>
      <c r="W664" s="130"/>
      <c r="Y664" s="106"/>
    </row>
    <row r="665">
      <c r="C665" s="79"/>
      <c r="D665" s="79"/>
      <c r="J665" s="79"/>
      <c r="O665" s="79"/>
      <c r="P665" s="79"/>
      <c r="S665" s="79"/>
      <c r="T665" s="79"/>
      <c r="W665" s="130"/>
      <c r="Y665" s="106"/>
    </row>
    <row r="666">
      <c r="C666" s="79"/>
      <c r="D666" s="79"/>
      <c r="J666" s="79"/>
      <c r="O666" s="79"/>
      <c r="P666" s="79"/>
      <c r="S666" s="79"/>
      <c r="T666" s="79"/>
      <c r="W666" s="130"/>
      <c r="Y666" s="106"/>
    </row>
    <row r="667">
      <c r="C667" s="79"/>
      <c r="D667" s="79"/>
      <c r="J667" s="79"/>
      <c r="O667" s="79"/>
      <c r="P667" s="79"/>
      <c r="S667" s="79"/>
      <c r="T667" s="79"/>
      <c r="W667" s="130"/>
      <c r="Y667" s="106"/>
    </row>
    <row r="668">
      <c r="C668" s="79"/>
      <c r="D668" s="79"/>
      <c r="J668" s="79"/>
      <c r="O668" s="79"/>
      <c r="P668" s="79"/>
      <c r="S668" s="79"/>
      <c r="T668" s="79"/>
      <c r="W668" s="130"/>
      <c r="Y668" s="106"/>
    </row>
    <row r="669">
      <c r="C669" s="79"/>
      <c r="D669" s="79"/>
      <c r="J669" s="79"/>
      <c r="O669" s="79"/>
      <c r="P669" s="79"/>
      <c r="S669" s="79"/>
      <c r="T669" s="79"/>
      <c r="W669" s="130"/>
      <c r="Y669" s="106"/>
    </row>
    <row r="670">
      <c r="C670" s="79"/>
      <c r="D670" s="79"/>
      <c r="J670" s="79"/>
      <c r="O670" s="79"/>
      <c r="P670" s="79"/>
      <c r="S670" s="79"/>
      <c r="T670" s="79"/>
      <c r="W670" s="130"/>
      <c r="Y670" s="106"/>
    </row>
    <row r="671">
      <c r="C671" s="79"/>
      <c r="D671" s="79"/>
      <c r="J671" s="79"/>
      <c r="O671" s="79"/>
      <c r="P671" s="79"/>
      <c r="S671" s="79"/>
      <c r="T671" s="79"/>
      <c r="W671" s="130"/>
      <c r="Y671" s="106"/>
    </row>
    <row r="672">
      <c r="C672" s="79"/>
      <c r="D672" s="79"/>
      <c r="J672" s="79"/>
      <c r="O672" s="79"/>
      <c r="P672" s="79"/>
      <c r="S672" s="79"/>
      <c r="T672" s="79"/>
      <c r="W672" s="130"/>
      <c r="Y672" s="106"/>
    </row>
    <row r="673">
      <c r="C673" s="79"/>
      <c r="D673" s="79"/>
      <c r="J673" s="79"/>
      <c r="O673" s="79"/>
      <c r="P673" s="79"/>
      <c r="S673" s="79"/>
      <c r="T673" s="79"/>
      <c r="W673" s="130"/>
      <c r="Y673" s="106"/>
    </row>
    <row r="674">
      <c r="C674" s="79"/>
      <c r="D674" s="79"/>
      <c r="J674" s="79"/>
      <c r="O674" s="79"/>
      <c r="P674" s="79"/>
      <c r="S674" s="79"/>
      <c r="T674" s="79"/>
      <c r="W674" s="130"/>
      <c r="Y674" s="106"/>
    </row>
    <row r="675">
      <c r="C675" s="79"/>
      <c r="D675" s="79"/>
      <c r="J675" s="79"/>
      <c r="O675" s="79"/>
      <c r="P675" s="79"/>
      <c r="S675" s="79"/>
      <c r="T675" s="79"/>
      <c r="W675" s="130"/>
      <c r="Y675" s="106"/>
    </row>
    <row r="676">
      <c r="C676" s="79"/>
      <c r="D676" s="79"/>
      <c r="J676" s="79"/>
      <c r="O676" s="79"/>
      <c r="P676" s="79"/>
      <c r="S676" s="79"/>
      <c r="T676" s="79"/>
      <c r="W676" s="130"/>
      <c r="Y676" s="106"/>
    </row>
    <row r="677">
      <c r="C677" s="79"/>
      <c r="D677" s="79"/>
      <c r="J677" s="79"/>
      <c r="O677" s="79"/>
      <c r="P677" s="79"/>
      <c r="S677" s="79"/>
      <c r="T677" s="79"/>
      <c r="W677" s="130"/>
      <c r="Y677" s="106"/>
    </row>
    <row r="678">
      <c r="C678" s="79"/>
      <c r="D678" s="79"/>
      <c r="J678" s="79"/>
      <c r="O678" s="79"/>
      <c r="P678" s="79"/>
      <c r="S678" s="79"/>
      <c r="T678" s="79"/>
      <c r="W678" s="130"/>
      <c r="Y678" s="106"/>
    </row>
    <row r="679">
      <c r="C679" s="79"/>
      <c r="D679" s="79"/>
      <c r="J679" s="79"/>
      <c r="O679" s="79"/>
      <c r="P679" s="79"/>
      <c r="S679" s="79"/>
      <c r="T679" s="79"/>
      <c r="W679" s="130"/>
      <c r="Y679" s="106"/>
    </row>
    <row r="680">
      <c r="C680" s="79"/>
      <c r="D680" s="79"/>
      <c r="J680" s="79"/>
      <c r="O680" s="79"/>
      <c r="P680" s="79"/>
      <c r="S680" s="79"/>
      <c r="T680" s="79"/>
      <c r="W680" s="130"/>
      <c r="Y680" s="106"/>
    </row>
    <row r="681">
      <c r="C681" s="79"/>
      <c r="D681" s="79"/>
      <c r="J681" s="79"/>
      <c r="O681" s="79"/>
      <c r="P681" s="79"/>
      <c r="S681" s="79"/>
      <c r="T681" s="79"/>
      <c r="W681" s="130"/>
      <c r="Y681" s="106"/>
    </row>
    <row r="682">
      <c r="C682" s="79"/>
      <c r="D682" s="79"/>
      <c r="J682" s="79"/>
      <c r="O682" s="79"/>
      <c r="P682" s="79"/>
      <c r="S682" s="79"/>
      <c r="T682" s="79"/>
      <c r="W682" s="130"/>
      <c r="Y682" s="106"/>
    </row>
    <row r="683">
      <c r="C683" s="79"/>
      <c r="D683" s="79"/>
      <c r="J683" s="79"/>
      <c r="O683" s="79"/>
      <c r="P683" s="79"/>
      <c r="S683" s="79"/>
      <c r="T683" s="79"/>
      <c r="W683" s="130"/>
      <c r="Y683" s="106"/>
    </row>
    <row r="684">
      <c r="C684" s="79"/>
      <c r="D684" s="79"/>
      <c r="J684" s="79"/>
      <c r="O684" s="79"/>
      <c r="P684" s="79"/>
      <c r="S684" s="79"/>
      <c r="T684" s="79"/>
      <c r="W684" s="130"/>
      <c r="Y684" s="106"/>
    </row>
    <row r="685">
      <c r="C685" s="79"/>
      <c r="D685" s="79"/>
      <c r="J685" s="79"/>
      <c r="O685" s="79"/>
      <c r="P685" s="79"/>
      <c r="S685" s="79"/>
      <c r="T685" s="79"/>
      <c r="W685" s="130"/>
      <c r="Y685" s="106"/>
    </row>
    <row r="686">
      <c r="C686" s="79"/>
      <c r="D686" s="79"/>
      <c r="J686" s="79"/>
      <c r="O686" s="79"/>
      <c r="P686" s="79"/>
      <c r="S686" s="79"/>
      <c r="T686" s="79"/>
      <c r="W686" s="130"/>
      <c r="Y686" s="106"/>
    </row>
    <row r="687">
      <c r="C687" s="79"/>
      <c r="D687" s="79"/>
      <c r="J687" s="79"/>
      <c r="O687" s="79"/>
      <c r="P687" s="79"/>
      <c r="S687" s="79"/>
      <c r="T687" s="79"/>
      <c r="W687" s="130"/>
      <c r="Y687" s="106"/>
    </row>
    <row r="688">
      <c r="C688" s="79"/>
      <c r="D688" s="79"/>
      <c r="J688" s="79"/>
      <c r="O688" s="79"/>
      <c r="P688" s="79"/>
      <c r="S688" s="79"/>
      <c r="T688" s="79"/>
      <c r="W688" s="130"/>
      <c r="Y688" s="106"/>
    </row>
    <row r="689">
      <c r="C689" s="79"/>
      <c r="D689" s="79"/>
      <c r="J689" s="79"/>
      <c r="O689" s="79"/>
      <c r="P689" s="79"/>
      <c r="S689" s="79"/>
      <c r="T689" s="79"/>
      <c r="W689" s="130"/>
      <c r="Y689" s="106"/>
    </row>
    <row r="690">
      <c r="C690" s="79"/>
      <c r="D690" s="79"/>
      <c r="J690" s="79"/>
      <c r="O690" s="79"/>
      <c r="P690" s="79"/>
      <c r="S690" s="79"/>
      <c r="T690" s="79"/>
      <c r="W690" s="130"/>
      <c r="Y690" s="106"/>
    </row>
    <row r="691">
      <c r="C691" s="79"/>
      <c r="D691" s="79"/>
      <c r="J691" s="79"/>
      <c r="O691" s="79"/>
      <c r="P691" s="79"/>
      <c r="S691" s="79"/>
      <c r="T691" s="79"/>
      <c r="W691" s="130"/>
      <c r="Y691" s="106"/>
    </row>
    <row r="692">
      <c r="C692" s="79"/>
      <c r="D692" s="79"/>
      <c r="J692" s="79"/>
      <c r="O692" s="79"/>
      <c r="P692" s="79"/>
      <c r="S692" s="79"/>
      <c r="T692" s="79"/>
      <c r="W692" s="130"/>
      <c r="Y692" s="106"/>
    </row>
    <row r="693">
      <c r="C693" s="79"/>
      <c r="D693" s="79"/>
      <c r="J693" s="79"/>
      <c r="O693" s="79"/>
      <c r="P693" s="79"/>
      <c r="S693" s="79"/>
      <c r="T693" s="79"/>
      <c r="W693" s="130"/>
      <c r="Y693" s="106"/>
    </row>
    <row r="694">
      <c r="C694" s="79"/>
      <c r="D694" s="79"/>
      <c r="J694" s="79"/>
      <c r="O694" s="79"/>
      <c r="P694" s="79"/>
      <c r="S694" s="79"/>
      <c r="T694" s="79"/>
      <c r="W694" s="130"/>
      <c r="Y694" s="106"/>
    </row>
    <row r="695">
      <c r="C695" s="79"/>
      <c r="D695" s="79"/>
      <c r="J695" s="79"/>
      <c r="O695" s="79"/>
      <c r="P695" s="79"/>
      <c r="S695" s="79"/>
      <c r="T695" s="79"/>
      <c r="W695" s="130"/>
      <c r="Y695" s="106"/>
    </row>
    <row r="696">
      <c r="C696" s="79"/>
      <c r="D696" s="79"/>
      <c r="J696" s="79"/>
      <c r="O696" s="79"/>
      <c r="P696" s="79"/>
      <c r="S696" s="79"/>
      <c r="T696" s="79"/>
      <c r="W696" s="130"/>
      <c r="Y696" s="106"/>
    </row>
    <row r="697">
      <c r="C697" s="79"/>
      <c r="D697" s="79"/>
      <c r="J697" s="79"/>
      <c r="O697" s="79"/>
      <c r="P697" s="79"/>
      <c r="S697" s="79"/>
      <c r="T697" s="79"/>
      <c r="W697" s="130"/>
      <c r="Y697" s="106"/>
    </row>
    <row r="698">
      <c r="C698" s="79"/>
      <c r="D698" s="79"/>
      <c r="J698" s="79"/>
      <c r="O698" s="79"/>
      <c r="P698" s="79"/>
      <c r="S698" s="79"/>
      <c r="T698" s="79"/>
      <c r="W698" s="130"/>
      <c r="Y698" s="106"/>
    </row>
    <row r="699">
      <c r="C699" s="79"/>
      <c r="D699" s="79"/>
      <c r="J699" s="79"/>
      <c r="O699" s="79"/>
      <c r="P699" s="79"/>
      <c r="S699" s="79"/>
      <c r="T699" s="79"/>
      <c r="W699" s="130"/>
      <c r="Y699" s="106"/>
    </row>
    <row r="700">
      <c r="C700" s="79"/>
      <c r="D700" s="79"/>
      <c r="J700" s="79"/>
      <c r="O700" s="79"/>
      <c r="P700" s="79"/>
      <c r="S700" s="79"/>
      <c r="T700" s="79"/>
      <c r="W700" s="130"/>
      <c r="Y700" s="106"/>
    </row>
    <row r="701">
      <c r="C701" s="79"/>
      <c r="D701" s="79"/>
      <c r="J701" s="79"/>
      <c r="O701" s="79"/>
      <c r="P701" s="79"/>
      <c r="S701" s="79"/>
      <c r="T701" s="79"/>
      <c r="W701" s="130"/>
      <c r="Y701" s="106"/>
    </row>
    <row r="702">
      <c r="C702" s="79"/>
      <c r="D702" s="79"/>
      <c r="J702" s="79"/>
      <c r="O702" s="79"/>
      <c r="P702" s="79"/>
      <c r="S702" s="79"/>
      <c r="T702" s="79"/>
      <c r="W702" s="130"/>
      <c r="Y702" s="106"/>
    </row>
    <row r="703">
      <c r="C703" s="79"/>
      <c r="D703" s="79"/>
      <c r="J703" s="79"/>
      <c r="O703" s="79"/>
      <c r="P703" s="79"/>
      <c r="S703" s="79"/>
      <c r="T703" s="79"/>
      <c r="W703" s="130"/>
      <c r="Y703" s="106"/>
    </row>
    <row r="704">
      <c r="C704" s="79"/>
      <c r="D704" s="79"/>
      <c r="J704" s="79"/>
      <c r="O704" s="79"/>
      <c r="P704" s="79"/>
      <c r="S704" s="79"/>
      <c r="T704" s="79"/>
      <c r="W704" s="130"/>
      <c r="Y704" s="106"/>
    </row>
    <row r="705">
      <c r="C705" s="79"/>
      <c r="D705" s="79"/>
      <c r="J705" s="79"/>
      <c r="O705" s="79"/>
      <c r="P705" s="79"/>
      <c r="S705" s="79"/>
      <c r="T705" s="79"/>
      <c r="W705" s="130"/>
      <c r="Y705" s="106"/>
    </row>
    <row r="706">
      <c r="C706" s="79"/>
      <c r="D706" s="79"/>
      <c r="J706" s="79"/>
      <c r="O706" s="79"/>
      <c r="P706" s="79"/>
      <c r="S706" s="79"/>
      <c r="T706" s="79"/>
      <c r="W706" s="130"/>
      <c r="Y706" s="106"/>
    </row>
    <row r="707">
      <c r="C707" s="79"/>
      <c r="D707" s="79"/>
      <c r="J707" s="79"/>
      <c r="O707" s="79"/>
      <c r="P707" s="79"/>
      <c r="S707" s="79"/>
      <c r="T707" s="79"/>
      <c r="W707" s="130"/>
      <c r="Y707" s="106"/>
    </row>
    <row r="708">
      <c r="C708" s="79"/>
      <c r="D708" s="79"/>
      <c r="J708" s="79"/>
      <c r="O708" s="79"/>
      <c r="P708" s="79"/>
      <c r="S708" s="79"/>
      <c r="T708" s="79"/>
      <c r="W708" s="130"/>
      <c r="Y708" s="106"/>
    </row>
    <row r="709">
      <c r="C709" s="79"/>
      <c r="D709" s="79"/>
      <c r="J709" s="79"/>
      <c r="O709" s="79"/>
      <c r="P709" s="79"/>
      <c r="S709" s="79"/>
      <c r="T709" s="79"/>
      <c r="W709" s="130"/>
      <c r="Y709" s="106"/>
    </row>
    <row r="710">
      <c r="C710" s="79"/>
      <c r="D710" s="79"/>
      <c r="J710" s="79"/>
      <c r="O710" s="79"/>
      <c r="P710" s="79"/>
      <c r="S710" s="79"/>
      <c r="T710" s="79"/>
      <c r="W710" s="130"/>
      <c r="Y710" s="106"/>
    </row>
    <row r="711">
      <c r="C711" s="79"/>
      <c r="D711" s="79"/>
      <c r="J711" s="79"/>
      <c r="O711" s="79"/>
      <c r="P711" s="79"/>
      <c r="S711" s="79"/>
      <c r="T711" s="79"/>
      <c r="W711" s="130"/>
      <c r="Y711" s="106"/>
    </row>
    <row r="712">
      <c r="C712" s="79"/>
      <c r="D712" s="79"/>
      <c r="J712" s="79"/>
      <c r="O712" s="79"/>
      <c r="P712" s="79"/>
      <c r="S712" s="79"/>
      <c r="T712" s="79"/>
      <c r="W712" s="130"/>
      <c r="Y712" s="106"/>
    </row>
    <row r="713">
      <c r="C713" s="79"/>
      <c r="D713" s="79"/>
      <c r="J713" s="79"/>
      <c r="O713" s="79"/>
      <c r="P713" s="79"/>
      <c r="S713" s="79"/>
      <c r="T713" s="79"/>
      <c r="W713" s="130"/>
      <c r="Y713" s="106"/>
    </row>
    <row r="714">
      <c r="C714" s="79"/>
      <c r="D714" s="79"/>
      <c r="J714" s="79"/>
      <c r="O714" s="79"/>
      <c r="P714" s="79"/>
      <c r="S714" s="79"/>
      <c r="T714" s="79"/>
      <c r="W714" s="130"/>
      <c r="Y714" s="106"/>
    </row>
    <row r="715">
      <c r="C715" s="79"/>
      <c r="D715" s="79"/>
      <c r="J715" s="79"/>
      <c r="O715" s="79"/>
      <c r="P715" s="79"/>
      <c r="S715" s="79"/>
      <c r="T715" s="79"/>
      <c r="W715" s="130"/>
      <c r="Y715" s="106"/>
    </row>
    <row r="716">
      <c r="C716" s="79"/>
      <c r="D716" s="79"/>
      <c r="J716" s="79"/>
      <c r="O716" s="79"/>
      <c r="P716" s="79"/>
      <c r="S716" s="79"/>
      <c r="T716" s="79"/>
      <c r="W716" s="130"/>
      <c r="Y716" s="106"/>
    </row>
    <row r="717">
      <c r="C717" s="79"/>
      <c r="D717" s="79"/>
      <c r="J717" s="79"/>
      <c r="O717" s="79"/>
      <c r="P717" s="79"/>
      <c r="S717" s="79"/>
      <c r="T717" s="79"/>
      <c r="W717" s="130"/>
      <c r="Y717" s="106"/>
    </row>
    <row r="718">
      <c r="C718" s="79"/>
      <c r="D718" s="79"/>
      <c r="J718" s="79"/>
      <c r="O718" s="79"/>
      <c r="P718" s="79"/>
      <c r="S718" s="79"/>
      <c r="T718" s="79"/>
      <c r="W718" s="130"/>
      <c r="Y718" s="106"/>
    </row>
    <row r="719">
      <c r="C719" s="79"/>
      <c r="D719" s="79"/>
      <c r="J719" s="79"/>
      <c r="O719" s="79"/>
      <c r="P719" s="79"/>
      <c r="S719" s="79"/>
      <c r="T719" s="79"/>
      <c r="W719" s="130"/>
      <c r="Y719" s="106"/>
    </row>
    <row r="720">
      <c r="C720" s="79"/>
      <c r="D720" s="79"/>
      <c r="J720" s="79"/>
      <c r="O720" s="79"/>
      <c r="P720" s="79"/>
      <c r="S720" s="79"/>
      <c r="T720" s="79"/>
      <c r="W720" s="130"/>
      <c r="Y720" s="106"/>
    </row>
    <row r="721">
      <c r="C721" s="79"/>
      <c r="D721" s="79"/>
      <c r="J721" s="79"/>
      <c r="O721" s="79"/>
      <c r="P721" s="79"/>
      <c r="S721" s="79"/>
      <c r="T721" s="79"/>
      <c r="W721" s="130"/>
      <c r="Y721" s="106"/>
    </row>
    <row r="722">
      <c r="C722" s="79"/>
      <c r="D722" s="79"/>
      <c r="J722" s="79"/>
      <c r="O722" s="79"/>
      <c r="P722" s="79"/>
      <c r="S722" s="79"/>
      <c r="T722" s="79"/>
      <c r="W722" s="130"/>
      <c r="Y722" s="106"/>
    </row>
    <row r="723">
      <c r="C723" s="79"/>
      <c r="D723" s="79"/>
      <c r="J723" s="79"/>
      <c r="O723" s="79"/>
      <c r="P723" s="79"/>
      <c r="S723" s="79"/>
      <c r="T723" s="79"/>
      <c r="W723" s="130"/>
      <c r="Y723" s="106"/>
    </row>
    <row r="724">
      <c r="C724" s="79"/>
      <c r="D724" s="79"/>
      <c r="J724" s="79"/>
      <c r="O724" s="79"/>
      <c r="P724" s="79"/>
      <c r="S724" s="79"/>
      <c r="T724" s="79"/>
      <c r="W724" s="130"/>
      <c r="Y724" s="106"/>
    </row>
    <row r="725">
      <c r="C725" s="79"/>
      <c r="D725" s="79"/>
      <c r="J725" s="79"/>
      <c r="O725" s="79"/>
      <c r="P725" s="79"/>
      <c r="S725" s="79"/>
      <c r="T725" s="79"/>
      <c r="W725" s="130"/>
      <c r="Y725" s="106"/>
    </row>
    <row r="726">
      <c r="C726" s="79"/>
      <c r="D726" s="79"/>
      <c r="J726" s="79"/>
      <c r="O726" s="79"/>
      <c r="P726" s="79"/>
      <c r="S726" s="79"/>
      <c r="T726" s="79"/>
      <c r="W726" s="130"/>
      <c r="Y726" s="106"/>
    </row>
    <row r="727">
      <c r="C727" s="79"/>
      <c r="D727" s="79"/>
      <c r="J727" s="79"/>
      <c r="O727" s="79"/>
      <c r="P727" s="79"/>
      <c r="S727" s="79"/>
      <c r="T727" s="79"/>
      <c r="W727" s="130"/>
      <c r="Y727" s="106"/>
    </row>
    <row r="728">
      <c r="C728" s="79"/>
      <c r="D728" s="79"/>
      <c r="J728" s="79"/>
      <c r="O728" s="79"/>
      <c r="P728" s="79"/>
      <c r="S728" s="79"/>
      <c r="T728" s="79"/>
      <c r="W728" s="130"/>
      <c r="Y728" s="106"/>
    </row>
    <row r="729">
      <c r="C729" s="79"/>
      <c r="D729" s="79"/>
      <c r="J729" s="79"/>
      <c r="O729" s="79"/>
      <c r="P729" s="79"/>
      <c r="S729" s="79"/>
      <c r="T729" s="79"/>
      <c r="W729" s="130"/>
      <c r="Y729" s="106"/>
    </row>
    <row r="730">
      <c r="C730" s="79"/>
      <c r="D730" s="79"/>
      <c r="J730" s="79"/>
      <c r="O730" s="79"/>
      <c r="P730" s="79"/>
      <c r="S730" s="79"/>
      <c r="T730" s="79"/>
      <c r="W730" s="130"/>
      <c r="Y730" s="106"/>
    </row>
    <row r="731">
      <c r="C731" s="79"/>
      <c r="D731" s="79"/>
      <c r="J731" s="79"/>
      <c r="O731" s="79"/>
      <c r="P731" s="79"/>
      <c r="S731" s="79"/>
      <c r="T731" s="79"/>
      <c r="W731" s="130"/>
      <c r="Y731" s="106"/>
    </row>
    <row r="732">
      <c r="C732" s="79"/>
      <c r="D732" s="79"/>
      <c r="J732" s="79"/>
      <c r="O732" s="79"/>
      <c r="P732" s="79"/>
      <c r="S732" s="79"/>
      <c r="T732" s="79"/>
      <c r="W732" s="130"/>
      <c r="Y732" s="106"/>
    </row>
    <row r="733">
      <c r="C733" s="79"/>
      <c r="D733" s="79"/>
      <c r="J733" s="79"/>
      <c r="O733" s="79"/>
      <c r="P733" s="79"/>
      <c r="S733" s="79"/>
      <c r="T733" s="79"/>
      <c r="W733" s="130"/>
      <c r="Y733" s="106"/>
    </row>
    <row r="734">
      <c r="C734" s="79"/>
      <c r="D734" s="79"/>
      <c r="J734" s="79"/>
      <c r="O734" s="79"/>
      <c r="P734" s="79"/>
      <c r="S734" s="79"/>
      <c r="T734" s="79"/>
      <c r="W734" s="130"/>
      <c r="Y734" s="106"/>
    </row>
    <row r="735">
      <c r="C735" s="79"/>
      <c r="D735" s="79"/>
      <c r="J735" s="79"/>
      <c r="O735" s="79"/>
      <c r="P735" s="79"/>
      <c r="S735" s="79"/>
      <c r="T735" s="79"/>
      <c r="W735" s="130"/>
      <c r="Y735" s="106"/>
    </row>
    <row r="736">
      <c r="C736" s="79"/>
      <c r="D736" s="79"/>
      <c r="J736" s="79"/>
      <c r="O736" s="79"/>
      <c r="P736" s="79"/>
      <c r="S736" s="79"/>
      <c r="T736" s="79"/>
      <c r="W736" s="130"/>
      <c r="Y736" s="106"/>
    </row>
    <row r="737">
      <c r="C737" s="79"/>
      <c r="D737" s="79"/>
      <c r="J737" s="79"/>
      <c r="O737" s="79"/>
      <c r="P737" s="79"/>
      <c r="S737" s="79"/>
      <c r="T737" s="79"/>
      <c r="W737" s="130"/>
      <c r="Y737" s="106"/>
    </row>
    <row r="738">
      <c r="C738" s="79"/>
      <c r="D738" s="79"/>
      <c r="J738" s="79"/>
      <c r="O738" s="79"/>
      <c r="P738" s="79"/>
      <c r="S738" s="79"/>
      <c r="T738" s="79"/>
      <c r="W738" s="130"/>
      <c r="Y738" s="106"/>
    </row>
    <row r="739">
      <c r="C739" s="79"/>
      <c r="D739" s="79"/>
      <c r="J739" s="79"/>
      <c r="O739" s="79"/>
      <c r="P739" s="79"/>
      <c r="S739" s="79"/>
      <c r="T739" s="79"/>
      <c r="W739" s="130"/>
      <c r="Y739" s="106"/>
    </row>
    <row r="740">
      <c r="C740" s="79"/>
      <c r="D740" s="79"/>
      <c r="J740" s="79"/>
      <c r="O740" s="79"/>
      <c r="P740" s="79"/>
      <c r="S740" s="79"/>
      <c r="T740" s="79"/>
      <c r="W740" s="130"/>
      <c r="Y740" s="106"/>
    </row>
    <row r="741">
      <c r="C741" s="79"/>
      <c r="D741" s="79"/>
      <c r="J741" s="79"/>
      <c r="O741" s="79"/>
      <c r="P741" s="79"/>
      <c r="S741" s="79"/>
      <c r="T741" s="79"/>
      <c r="W741" s="130"/>
      <c r="Y741" s="106"/>
    </row>
    <row r="742">
      <c r="C742" s="79"/>
      <c r="D742" s="79"/>
      <c r="J742" s="79"/>
      <c r="O742" s="79"/>
      <c r="P742" s="79"/>
      <c r="S742" s="79"/>
      <c r="T742" s="79"/>
      <c r="W742" s="130"/>
      <c r="Y742" s="106"/>
    </row>
    <row r="743">
      <c r="C743" s="79"/>
      <c r="D743" s="79"/>
      <c r="J743" s="79"/>
      <c r="O743" s="79"/>
      <c r="P743" s="79"/>
      <c r="S743" s="79"/>
      <c r="T743" s="79"/>
      <c r="W743" s="130"/>
      <c r="Y743" s="106"/>
    </row>
    <row r="744">
      <c r="C744" s="79"/>
      <c r="D744" s="79"/>
      <c r="J744" s="79"/>
      <c r="O744" s="79"/>
      <c r="P744" s="79"/>
      <c r="S744" s="79"/>
      <c r="T744" s="79"/>
      <c r="W744" s="130"/>
      <c r="Y744" s="106"/>
    </row>
    <row r="745">
      <c r="C745" s="79"/>
      <c r="D745" s="79"/>
      <c r="J745" s="79"/>
      <c r="O745" s="79"/>
      <c r="P745" s="79"/>
      <c r="S745" s="79"/>
      <c r="T745" s="79"/>
      <c r="W745" s="130"/>
      <c r="Y745" s="106"/>
    </row>
    <row r="746">
      <c r="C746" s="79"/>
      <c r="D746" s="79"/>
      <c r="J746" s="79"/>
      <c r="O746" s="79"/>
      <c r="P746" s="79"/>
      <c r="S746" s="79"/>
      <c r="T746" s="79"/>
      <c r="W746" s="130"/>
      <c r="Y746" s="106"/>
    </row>
    <row r="747">
      <c r="C747" s="79"/>
      <c r="D747" s="79"/>
      <c r="J747" s="79"/>
      <c r="O747" s="79"/>
      <c r="P747" s="79"/>
      <c r="S747" s="79"/>
      <c r="T747" s="79"/>
      <c r="W747" s="130"/>
      <c r="Y747" s="106"/>
    </row>
    <row r="748">
      <c r="C748" s="79"/>
      <c r="D748" s="79"/>
      <c r="J748" s="79"/>
      <c r="O748" s="79"/>
      <c r="P748" s="79"/>
      <c r="S748" s="79"/>
      <c r="T748" s="79"/>
      <c r="W748" s="130"/>
      <c r="Y748" s="106"/>
    </row>
    <row r="749">
      <c r="C749" s="79"/>
      <c r="D749" s="79"/>
      <c r="J749" s="79"/>
      <c r="O749" s="79"/>
      <c r="P749" s="79"/>
      <c r="S749" s="79"/>
      <c r="T749" s="79"/>
      <c r="W749" s="130"/>
      <c r="Y749" s="106"/>
    </row>
    <row r="750">
      <c r="C750" s="79"/>
      <c r="D750" s="79"/>
      <c r="J750" s="79"/>
      <c r="O750" s="79"/>
      <c r="P750" s="79"/>
      <c r="S750" s="79"/>
      <c r="T750" s="79"/>
      <c r="W750" s="130"/>
      <c r="Y750" s="106"/>
    </row>
    <row r="751">
      <c r="C751" s="79"/>
      <c r="D751" s="79"/>
      <c r="J751" s="79"/>
      <c r="O751" s="79"/>
      <c r="P751" s="79"/>
      <c r="S751" s="79"/>
      <c r="T751" s="79"/>
      <c r="W751" s="130"/>
      <c r="Y751" s="106"/>
    </row>
    <row r="752">
      <c r="C752" s="79"/>
      <c r="D752" s="79"/>
      <c r="J752" s="79"/>
      <c r="O752" s="79"/>
      <c r="P752" s="79"/>
      <c r="S752" s="79"/>
      <c r="T752" s="79"/>
      <c r="W752" s="130"/>
      <c r="Y752" s="106"/>
    </row>
    <row r="753">
      <c r="C753" s="79"/>
      <c r="D753" s="79"/>
      <c r="J753" s="79"/>
      <c r="O753" s="79"/>
      <c r="P753" s="79"/>
      <c r="S753" s="79"/>
      <c r="T753" s="79"/>
      <c r="W753" s="130"/>
      <c r="Y753" s="106"/>
    </row>
    <row r="754">
      <c r="C754" s="79"/>
      <c r="D754" s="79"/>
      <c r="J754" s="79"/>
      <c r="O754" s="79"/>
      <c r="P754" s="79"/>
      <c r="S754" s="79"/>
      <c r="T754" s="79"/>
      <c r="W754" s="130"/>
      <c r="Y754" s="106"/>
    </row>
    <row r="755">
      <c r="C755" s="79"/>
      <c r="D755" s="79"/>
      <c r="J755" s="79"/>
      <c r="O755" s="79"/>
      <c r="P755" s="79"/>
      <c r="S755" s="79"/>
      <c r="T755" s="79"/>
      <c r="W755" s="130"/>
      <c r="Y755" s="106"/>
    </row>
    <row r="756">
      <c r="C756" s="79"/>
      <c r="D756" s="79"/>
      <c r="J756" s="79"/>
      <c r="O756" s="79"/>
      <c r="P756" s="79"/>
      <c r="S756" s="79"/>
      <c r="T756" s="79"/>
      <c r="W756" s="130"/>
      <c r="Y756" s="106"/>
    </row>
    <row r="757">
      <c r="C757" s="79"/>
      <c r="D757" s="79"/>
      <c r="J757" s="79"/>
      <c r="O757" s="79"/>
      <c r="P757" s="79"/>
      <c r="S757" s="79"/>
      <c r="T757" s="79"/>
      <c r="W757" s="130"/>
      <c r="Y757" s="106"/>
    </row>
    <row r="758">
      <c r="C758" s="79"/>
      <c r="D758" s="79"/>
      <c r="J758" s="79"/>
      <c r="O758" s="79"/>
      <c r="P758" s="79"/>
      <c r="S758" s="79"/>
      <c r="T758" s="79"/>
      <c r="W758" s="130"/>
      <c r="Y758" s="106"/>
    </row>
    <row r="759">
      <c r="C759" s="79"/>
      <c r="D759" s="79"/>
      <c r="J759" s="79"/>
      <c r="O759" s="79"/>
      <c r="P759" s="79"/>
      <c r="S759" s="79"/>
      <c r="T759" s="79"/>
      <c r="W759" s="130"/>
      <c r="Y759" s="106"/>
    </row>
    <row r="760">
      <c r="C760" s="79"/>
      <c r="D760" s="79"/>
      <c r="J760" s="79"/>
      <c r="O760" s="79"/>
      <c r="P760" s="79"/>
      <c r="S760" s="79"/>
      <c r="T760" s="79"/>
      <c r="W760" s="130"/>
      <c r="Y760" s="106"/>
    </row>
    <row r="761">
      <c r="C761" s="79"/>
      <c r="D761" s="79"/>
      <c r="J761" s="79"/>
      <c r="O761" s="79"/>
      <c r="P761" s="79"/>
      <c r="S761" s="79"/>
      <c r="T761" s="79"/>
      <c r="W761" s="130"/>
      <c r="Y761" s="106"/>
    </row>
    <row r="762">
      <c r="C762" s="79"/>
      <c r="D762" s="79"/>
      <c r="J762" s="79"/>
      <c r="O762" s="79"/>
      <c r="P762" s="79"/>
      <c r="S762" s="79"/>
      <c r="T762" s="79"/>
      <c r="W762" s="130"/>
      <c r="Y762" s="106"/>
    </row>
    <row r="763">
      <c r="C763" s="79"/>
      <c r="D763" s="79"/>
      <c r="J763" s="79"/>
      <c r="O763" s="79"/>
      <c r="P763" s="79"/>
      <c r="S763" s="79"/>
      <c r="T763" s="79"/>
      <c r="W763" s="130"/>
      <c r="Y763" s="106"/>
    </row>
    <row r="764">
      <c r="C764" s="79"/>
      <c r="D764" s="79"/>
      <c r="J764" s="79"/>
      <c r="O764" s="79"/>
      <c r="P764" s="79"/>
      <c r="S764" s="79"/>
      <c r="T764" s="79"/>
      <c r="W764" s="130"/>
      <c r="Y764" s="106"/>
    </row>
    <row r="765">
      <c r="C765" s="79"/>
      <c r="D765" s="79"/>
      <c r="J765" s="79"/>
      <c r="O765" s="79"/>
      <c r="P765" s="79"/>
      <c r="S765" s="79"/>
      <c r="T765" s="79"/>
      <c r="W765" s="130"/>
      <c r="Y765" s="106"/>
    </row>
    <row r="766">
      <c r="C766" s="79"/>
      <c r="D766" s="79"/>
      <c r="J766" s="79"/>
      <c r="O766" s="79"/>
      <c r="P766" s="79"/>
      <c r="S766" s="79"/>
      <c r="T766" s="79"/>
      <c r="W766" s="130"/>
      <c r="Y766" s="106"/>
    </row>
    <row r="767">
      <c r="C767" s="79"/>
      <c r="D767" s="79"/>
      <c r="J767" s="79"/>
      <c r="O767" s="79"/>
      <c r="P767" s="79"/>
      <c r="S767" s="79"/>
      <c r="T767" s="79"/>
      <c r="W767" s="130"/>
      <c r="Y767" s="106"/>
    </row>
    <row r="768">
      <c r="C768" s="79"/>
      <c r="D768" s="79"/>
      <c r="J768" s="79"/>
      <c r="O768" s="79"/>
      <c r="P768" s="79"/>
      <c r="S768" s="79"/>
      <c r="T768" s="79"/>
      <c r="W768" s="130"/>
      <c r="Y768" s="106"/>
    </row>
    <row r="769">
      <c r="C769" s="79"/>
      <c r="D769" s="79"/>
      <c r="J769" s="79"/>
      <c r="O769" s="79"/>
      <c r="P769" s="79"/>
      <c r="S769" s="79"/>
      <c r="T769" s="79"/>
      <c r="W769" s="130"/>
      <c r="Y769" s="106"/>
    </row>
    <row r="770">
      <c r="C770" s="79"/>
      <c r="D770" s="79"/>
      <c r="J770" s="79"/>
      <c r="O770" s="79"/>
      <c r="P770" s="79"/>
      <c r="S770" s="79"/>
      <c r="T770" s="79"/>
      <c r="W770" s="130"/>
      <c r="Y770" s="106"/>
    </row>
    <row r="771">
      <c r="C771" s="79"/>
      <c r="D771" s="79"/>
      <c r="J771" s="79"/>
      <c r="O771" s="79"/>
      <c r="P771" s="79"/>
      <c r="S771" s="79"/>
      <c r="T771" s="79"/>
      <c r="W771" s="130"/>
      <c r="Y771" s="106"/>
    </row>
    <row r="772">
      <c r="C772" s="79"/>
      <c r="D772" s="79"/>
      <c r="J772" s="79"/>
      <c r="O772" s="79"/>
      <c r="P772" s="79"/>
      <c r="S772" s="79"/>
      <c r="T772" s="79"/>
      <c r="W772" s="130"/>
      <c r="Y772" s="106"/>
    </row>
    <row r="773">
      <c r="C773" s="79"/>
      <c r="D773" s="79"/>
      <c r="J773" s="79"/>
      <c r="O773" s="79"/>
      <c r="P773" s="79"/>
      <c r="S773" s="79"/>
      <c r="T773" s="79"/>
      <c r="W773" s="130"/>
      <c r="Y773" s="106"/>
    </row>
    <row r="774">
      <c r="C774" s="79"/>
      <c r="D774" s="79"/>
      <c r="J774" s="79"/>
      <c r="O774" s="79"/>
      <c r="P774" s="79"/>
      <c r="S774" s="79"/>
      <c r="T774" s="79"/>
      <c r="W774" s="130"/>
      <c r="Y774" s="106"/>
    </row>
    <row r="775">
      <c r="C775" s="79"/>
      <c r="D775" s="79"/>
      <c r="J775" s="79"/>
      <c r="O775" s="79"/>
      <c r="P775" s="79"/>
      <c r="S775" s="79"/>
      <c r="T775" s="79"/>
      <c r="W775" s="130"/>
      <c r="Y775" s="106"/>
    </row>
    <row r="776">
      <c r="C776" s="79"/>
      <c r="D776" s="79"/>
      <c r="J776" s="79"/>
      <c r="O776" s="79"/>
      <c r="P776" s="79"/>
      <c r="S776" s="79"/>
      <c r="T776" s="79"/>
      <c r="W776" s="130"/>
      <c r="Y776" s="106"/>
    </row>
    <row r="777">
      <c r="C777" s="79"/>
      <c r="D777" s="79"/>
      <c r="J777" s="79"/>
      <c r="O777" s="79"/>
      <c r="P777" s="79"/>
      <c r="S777" s="79"/>
      <c r="T777" s="79"/>
      <c r="W777" s="130"/>
      <c r="Y777" s="106"/>
    </row>
    <row r="778">
      <c r="C778" s="79"/>
      <c r="D778" s="79"/>
      <c r="J778" s="79"/>
      <c r="O778" s="79"/>
      <c r="P778" s="79"/>
      <c r="S778" s="79"/>
      <c r="T778" s="79"/>
      <c r="W778" s="130"/>
      <c r="Y778" s="106"/>
    </row>
    <row r="779">
      <c r="C779" s="79"/>
      <c r="D779" s="79"/>
      <c r="J779" s="79"/>
      <c r="O779" s="79"/>
      <c r="P779" s="79"/>
      <c r="S779" s="79"/>
      <c r="T779" s="79"/>
      <c r="W779" s="130"/>
      <c r="Y779" s="106"/>
    </row>
    <row r="780">
      <c r="C780" s="79"/>
      <c r="D780" s="79"/>
      <c r="J780" s="79"/>
      <c r="O780" s="79"/>
      <c r="P780" s="79"/>
      <c r="S780" s="79"/>
      <c r="T780" s="79"/>
      <c r="W780" s="130"/>
      <c r="Y780" s="106"/>
    </row>
    <row r="781">
      <c r="C781" s="79"/>
      <c r="D781" s="79"/>
      <c r="J781" s="79"/>
      <c r="O781" s="79"/>
      <c r="P781" s="79"/>
      <c r="S781" s="79"/>
      <c r="T781" s="79"/>
      <c r="W781" s="130"/>
      <c r="Y781" s="106"/>
    </row>
    <row r="782">
      <c r="C782" s="79"/>
      <c r="D782" s="79"/>
      <c r="J782" s="79"/>
      <c r="O782" s="79"/>
      <c r="P782" s="79"/>
      <c r="S782" s="79"/>
      <c r="T782" s="79"/>
      <c r="W782" s="130"/>
      <c r="Y782" s="106"/>
    </row>
    <row r="783">
      <c r="C783" s="79"/>
      <c r="D783" s="79"/>
      <c r="J783" s="79"/>
      <c r="O783" s="79"/>
      <c r="P783" s="79"/>
      <c r="S783" s="79"/>
      <c r="T783" s="79"/>
      <c r="W783" s="130"/>
      <c r="Y783" s="106"/>
    </row>
    <row r="784">
      <c r="C784" s="79"/>
      <c r="D784" s="79"/>
      <c r="J784" s="79"/>
      <c r="O784" s="79"/>
      <c r="P784" s="79"/>
      <c r="S784" s="79"/>
      <c r="T784" s="79"/>
      <c r="W784" s="130"/>
      <c r="Y784" s="106"/>
    </row>
    <row r="785">
      <c r="C785" s="79"/>
      <c r="D785" s="79"/>
      <c r="J785" s="79"/>
      <c r="O785" s="79"/>
      <c r="P785" s="79"/>
      <c r="S785" s="79"/>
      <c r="T785" s="79"/>
      <c r="W785" s="130"/>
      <c r="Y785" s="106"/>
    </row>
    <row r="786">
      <c r="C786" s="79"/>
      <c r="D786" s="79"/>
      <c r="J786" s="79"/>
      <c r="O786" s="79"/>
      <c r="P786" s="79"/>
      <c r="S786" s="79"/>
      <c r="T786" s="79"/>
      <c r="W786" s="130"/>
      <c r="Y786" s="106"/>
    </row>
    <row r="787">
      <c r="C787" s="79"/>
      <c r="D787" s="79"/>
      <c r="J787" s="79"/>
      <c r="O787" s="79"/>
      <c r="P787" s="79"/>
      <c r="S787" s="79"/>
      <c r="T787" s="79"/>
      <c r="W787" s="130"/>
      <c r="Y787" s="106"/>
    </row>
    <row r="788">
      <c r="C788" s="79"/>
      <c r="D788" s="79"/>
      <c r="J788" s="79"/>
      <c r="O788" s="79"/>
      <c r="P788" s="79"/>
      <c r="S788" s="79"/>
      <c r="T788" s="79"/>
      <c r="W788" s="130"/>
      <c r="Y788" s="106"/>
    </row>
    <row r="789">
      <c r="C789" s="79"/>
      <c r="D789" s="79"/>
      <c r="J789" s="79"/>
      <c r="O789" s="79"/>
      <c r="P789" s="79"/>
      <c r="S789" s="79"/>
      <c r="T789" s="79"/>
      <c r="W789" s="130"/>
      <c r="Y789" s="106"/>
    </row>
    <row r="790">
      <c r="C790" s="79"/>
      <c r="D790" s="79"/>
      <c r="J790" s="79"/>
      <c r="O790" s="79"/>
      <c r="P790" s="79"/>
      <c r="S790" s="79"/>
      <c r="T790" s="79"/>
      <c r="W790" s="130"/>
      <c r="Y790" s="106"/>
    </row>
    <row r="791">
      <c r="C791" s="79"/>
      <c r="D791" s="79"/>
      <c r="J791" s="79"/>
      <c r="O791" s="79"/>
      <c r="P791" s="79"/>
      <c r="S791" s="79"/>
      <c r="T791" s="79"/>
      <c r="W791" s="130"/>
      <c r="Y791" s="106"/>
    </row>
    <row r="792">
      <c r="C792" s="79"/>
      <c r="D792" s="79"/>
      <c r="J792" s="79"/>
      <c r="O792" s="79"/>
      <c r="P792" s="79"/>
      <c r="S792" s="79"/>
      <c r="T792" s="79"/>
      <c r="W792" s="130"/>
      <c r="Y792" s="106"/>
    </row>
    <row r="793">
      <c r="C793" s="79"/>
      <c r="D793" s="79"/>
      <c r="J793" s="79"/>
      <c r="O793" s="79"/>
      <c r="P793" s="79"/>
      <c r="S793" s="79"/>
      <c r="T793" s="79"/>
      <c r="W793" s="130"/>
      <c r="Y793" s="106"/>
    </row>
    <row r="794">
      <c r="C794" s="79"/>
      <c r="D794" s="79"/>
      <c r="J794" s="79"/>
      <c r="O794" s="79"/>
      <c r="P794" s="79"/>
      <c r="S794" s="79"/>
      <c r="T794" s="79"/>
      <c r="W794" s="130"/>
      <c r="Y794" s="106"/>
    </row>
    <row r="795">
      <c r="C795" s="79"/>
      <c r="D795" s="79"/>
      <c r="J795" s="79"/>
      <c r="O795" s="79"/>
      <c r="P795" s="79"/>
      <c r="S795" s="79"/>
      <c r="T795" s="79"/>
      <c r="W795" s="130"/>
      <c r="Y795" s="106"/>
    </row>
    <row r="796">
      <c r="C796" s="79"/>
      <c r="D796" s="79"/>
      <c r="J796" s="79"/>
      <c r="O796" s="79"/>
      <c r="P796" s="79"/>
      <c r="S796" s="79"/>
      <c r="T796" s="79"/>
      <c r="W796" s="130"/>
      <c r="Y796" s="106"/>
    </row>
    <row r="797">
      <c r="C797" s="79"/>
      <c r="D797" s="79"/>
      <c r="J797" s="79"/>
      <c r="O797" s="79"/>
      <c r="P797" s="79"/>
      <c r="S797" s="79"/>
      <c r="T797" s="79"/>
      <c r="W797" s="130"/>
      <c r="Y797" s="106"/>
    </row>
    <row r="798">
      <c r="C798" s="79"/>
      <c r="D798" s="79"/>
      <c r="J798" s="79"/>
      <c r="O798" s="79"/>
      <c r="P798" s="79"/>
      <c r="S798" s="79"/>
      <c r="T798" s="79"/>
      <c r="W798" s="130"/>
      <c r="Y798" s="106"/>
    </row>
    <row r="799">
      <c r="C799" s="79"/>
      <c r="D799" s="79"/>
      <c r="J799" s="79"/>
      <c r="O799" s="79"/>
      <c r="P799" s="79"/>
      <c r="S799" s="79"/>
      <c r="T799" s="79"/>
      <c r="W799" s="130"/>
      <c r="Y799" s="106"/>
    </row>
    <row r="800">
      <c r="C800" s="79"/>
      <c r="D800" s="79"/>
      <c r="J800" s="79"/>
      <c r="O800" s="79"/>
      <c r="P800" s="79"/>
      <c r="S800" s="79"/>
      <c r="T800" s="79"/>
      <c r="W800" s="130"/>
      <c r="Y800" s="106"/>
    </row>
    <row r="801">
      <c r="C801" s="79"/>
      <c r="D801" s="79"/>
      <c r="J801" s="79"/>
      <c r="O801" s="79"/>
      <c r="P801" s="79"/>
      <c r="S801" s="79"/>
      <c r="T801" s="79"/>
      <c r="W801" s="130"/>
      <c r="Y801" s="106"/>
    </row>
    <row r="802">
      <c r="C802" s="79"/>
      <c r="D802" s="79"/>
      <c r="J802" s="79"/>
      <c r="O802" s="79"/>
      <c r="P802" s="79"/>
      <c r="S802" s="79"/>
      <c r="T802" s="79"/>
      <c r="W802" s="130"/>
      <c r="Y802" s="106"/>
    </row>
    <row r="803">
      <c r="C803" s="79"/>
      <c r="D803" s="79"/>
      <c r="J803" s="79"/>
      <c r="O803" s="79"/>
      <c r="P803" s="79"/>
      <c r="S803" s="79"/>
      <c r="T803" s="79"/>
      <c r="W803" s="130"/>
      <c r="Y803" s="106"/>
    </row>
    <row r="804">
      <c r="C804" s="79"/>
      <c r="D804" s="79"/>
      <c r="J804" s="79"/>
      <c r="O804" s="79"/>
      <c r="P804" s="79"/>
      <c r="S804" s="79"/>
      <c r="T804" s="79"/>
      <c r="W804" s="130"/>
      <c r="Y804" s="106"/>
    </row>
    <row r="805">
      <c r="C805" s="79"/>
      <c r="D805" s="79"/>
      <c r="J805" s="79"/>
      <c r="O805" s="79"/>
      <c r="P805" s="79"/>
      <c r="S805" s="79"/>
      <c r="T805" s="79"/>
      <c r="W805" s="130"/>
      <c r="Y805" s="106"/>
    </row>
    <row r="806">
      <c r="C806" s="79"/>
      <c r="D806" s="79"/>
      <c r="J806" s="79"/>
      <c r="O806" s="79"/>
      <c r="P806" s="79"/>
      <c r="S806" s="79"/>
      <c r="T806" s="79"/>
      <c r="W806" s="130"/>
      <c r="Y806" s="106"/>
    </row>
    <row r="807">
      <c r="C807" s="79"/>
      <c r="D807" s="79"/>
      <c r="J807" s="79"/>
      <c r="O807" s="79"/>
      <c r="P807" s="79"/>
      <c r="S807" s="79"/>
      <c r="T807" s="79"/>
      <c r="W807" s="130"/>
      <c r="Y807" s="106"/>
    </row>
    <row r="808">
      <c r="C808" s="79"/>
      <c r="D808" s="79"/>
      <c r="J808" s="79"/>
      <c r="O808" s="79"/>
      <c r="P808" s="79"/>
      <c r="S808" s="79"/>
      <c r="T808" s="79"/>
      <c r="W808" s="130"/>
      <c r="Y808" s="106"/>
    </row>
    <row r="809">
      <c r="C809" s="79"/>
      <c r="D809" s="79"/>
      <c r="J809" s="79"/>
      <c r="O809" s="79"/>
      <c r="P809" s="79"/>
      <c r="S809" s="79"/>
      <c r="T809" s="79"/>
      <c r="W809" s="130"/>
      <c r="Y809" s="106"/>
    </row>
    <row r="810">
      <c r="C810" s="79"/>
      <c r="D810" s="79"/>
      <c r="J810" s="79"/>
      <c r="O810" s="79"/>
      <c r="P810" s="79"/>
      <c r="S810" s="79"/>
      <c r="T810" s="79"/>
      <c r="W810" s="130"/>
      <c r="Y810" s="106"/>
    </row>
    <row r="811">
      <c r="C811" s="79"/>
      <c r="D811" s="79"/>
      <c r="J811" s="79"/>
      <c r="O811" s="79"/>
      <c r="P811" s="79"/>
      <c r="S811" s="79"/>
      <c r="T811" s="79"/>
      <c r="W811" s="130"/>
      <c r="Y811" s="106"/>
    </row>
    <row r="812">
      <c r="C812" s="79"/>
      <c r="D812" s="79"/>
      <c r="J812" s="79"/>
      <c r="O812" s="79"/>
      <c r="P812" s="79"/>
      <c r="S812" s="79"/>
      <c r="T812" s="79"/>
      <c r="W812" s="130"/>
      <c r="Y812" s="106"/>
    </row>
    <row r="813">
      <c r="C813" s="79"/>
      <c r="D813" s="79"/>
      <c r="J813" s="79"/>
      <c r="O813" s="79"/>
      <c r="P813" s="79"/>
      <c r="S813" s="79"/>
      <c r="T813" s="79"/>
      <c r="W813" s="130"/>
      <c r="Y813" s="106"/>
    </row>
    <row r="814">
      <c r="C814" s="79"/>
      <c r="D814" s="79"/>
      <c r="J814" s="79"/>
      <c r="O814" s="79"/>
      <c r="P814" s="79"/>
      <c r="S814" s="79"/>
      <c r="T814" s="79"/>
      <c r="W814" s="130"/>
      <c r="Y814" s="106"/>
    </row>
    <row r="815">
      <c r="C815" s="79"/>
      <c r="D815" s="79"/>
      <c r="J815" s="79"/>
      <c r="O815" s="79"/>
      <c r="P815" s="79"/>
      <c r="S815" s="79"/>
      <c r="T815" s="79"/>
      <c r="W815" s="130"/>
      <c r="Y815" s="106"/>
    </row>
    <row r="816">
      <c r="C816" s="79"/>
      <c r="D816" s="79"/>
      <c r="J816" s="79"/>
      <c r="O816" s="79"/>
      <c r="P816" s="79"/>
      <c r="S816" s="79"/>
      <c r="T816" s="79"/>
      <c r="W816" s="130"/>
      <c r="Y816" s="106"/>
    </row>
    <row r="817">
      <c r="C817" s="79"/>
      <c r="D817" s="79"/>
      <c r="J817" s="79"/>
      <c r="O817" s="79"/>
      <c r="P817" s="79"/>
      <c r="S817" s="79"/>
      <c r="T817" s="79"/>
      <c r="W817" s="130"/>
      <c r="Y817" s="106"/>
    </row>
    <row r="818">
      <c r="C818" s="79"/>
      <c r="D818" s="79"/>
      <c r="J818" s="79"/>
      <c r="O818" s="79"/>
      <c r="P818" s="79"/>
      <c r="S818" s="79"/>
      <c r="T818" s="79"/>
      <c r="W818" s="130"/>
      <c r="Y818" s="106"/>
    </row>
    <row r="819">
      <c r="C819" s="79"/>
      <c r="D819" s="79"/>
      <c r="J819" s="79"/>
      <c r="O819" s="79"/>
      <c r="P819" s="79"/>
      <c r="S819" s="79"/>
      <c r="T819" s="79"/>
      <c r="W819" s="130"/>
      <c r="Y819" s="106"/>
    </row>
    <row r="820">
      <c r="C820" s="79"/>
      <c r="D820" s="79"/>
      <c r="J820" s="79"/>
      <c r="O820" s="79"/>
      <c r="P820" s="79"/>
      <c r="S820" s="79"/>
      <c r="T820" s="79"/>
      <c r="W820" s="130"/>
      <c r="Y820" s="106"/>
    </row>
    <row r="821">
      <c r="C821" s="79"/>
      <c r="D821" s="79"/>
      <c r="J821" s="79"/>
      <c r="O821" s="79"/>
      <c r="P821" s="79"/>
      <c r="S821" s="79"/>
      <c r="T821" s="79"/>
      <c r="W821" s="130"/>
      <c r="Y821" s="106"/>
    </row>
    <row r="822">
      <c r="C822" s="79"/>
      <c r="D822" s="79"/>
      <c r="J822" s="79"/>
      <c r="O822" s="79"/>
      <c r="P822" s="79"/>
      <c r="S822" s="79"/>
      <c r="T822" s="79"/>
      <c r="W822" s="130"/>
      <c r="Y822" s="106"/>
    </row>
    <row r="823">
      <c r="C823" s="79"/>
      <c r="D823" s="79"/>
      <c r="J823" s="79"/>
      <c r="O823" s="79"/>
      <c r="P823" s="79"/>
      <c r="S823" s="79"/>
      <c r="T823" s="79"/>
      <c r="W823" s="130"/>
      <c r="Y823" s="106"/>
    </row>
    <row r="824">
      <c r="C824" s="79"/>
      <c r="D824" s="79"/>
      <c r="J824" s="79"/>
      <c r="O824" s="79"/>
      <c r="P824" s="79"/>
      <c r="S824" s="79"/>
      <c r="T824" s="79"/>
      <c r="W824" s="130"/>
      <c r="Y824" s="106"/>
    </row>
    <row r="825">
      <c r="C825" s="79"/>
      <c r="D825" s="79"/>
      <c r="J825" s="79"/>
      <c r="O825" s="79"/>
      <c r="P825" s="79"/>
      <c r="S825" s="79"/>
      <c r="T825" s="79"/>
      <c r="W825" s="130"/>
      <c r="Y825" s="106"/>
    </row>
    <row r="826">
      <c r="C826" s="79"/>
      <c r="D826" s="79"/>
      <c r="J826" s="79"/>
      <c r="O826" s="79"/>
      <c r="P826" s="79"/>
      <c r="S826" s="79"/>
      <c r="T826" s="79"/>
      <c r="W826" s="130"/>
      <c r="Y826" s="106"/>
    </row>
    <row r="827">
      <c r="C827" s="79"/>
      <c r="D827" s="79"/>
      <c r="J827" s="79"/>
      <c r="O827" s="79"/>
      <c r="P827" s="79"/>
      <c r="S827" s="79"/>
      <c r="T827" s="79"/>
      <c r="W827" s="130"/>
      <c r="Y827" s="106"/>
    </row>
    <row r="828">
      <c r="C828" s="79"/>
      <c r="D828" s="79"/>
      <c r="J828" s="79"/>
      <c r="O828" s="79"/>
      <c r="P828" s="79"/>
      <c r="S828" s="79"/>
      <c r="T828" s="79"/>
      <c r="W828" s="130"/>
      <c r="Y828" s="106"/>
    </row>
    <row r="829">
      <c r="C829" s="79"/>
      <c r="D829" s="79"/>
      <c r="J829" s="79"/>
      <c r="O829" s="79"/>
      <c r="P829" s="79"/>
      <c r="S829" s="79"/>
      <c r="T829" s="79"/>
      <c r="W829" s="130"/>
      <c r="Y829" s="106"/>
    </row>
    <row r="830">
      <c r="C830" s="79"/>
      <c r="D830" s="79"/>
      <c r="J830" s="79"/>
      <c r="O830" s="79"/>
      <c r="P830" s="79"/>
      <c r="S830" s="79"/>
      <c r="T830" s="79"/>
      <c r="W830" s="130"/>
      <c r="Y830" s="106"/>
    </row>
    <row r="831">
      <c r="C831" s="79"/>
      <c r="D831" s="79"/>
      <c r="J831" s="79"/>
      <c r="O831" s="79"/>
      <c r="P831" s="79"/>
      <c r="S831" s="79"/>
      <c r="T831" s="79"/>
      <c r="W831" s="130"/>
      <c r="Y831" s="106"/>
    </row>
    <row r="832">
      <c r="C832" s="79"/>
      <c r="D832" s="79"/>
      <c r="J832" s="79"/>
      <c r="O832" s="79"/>
      <c r="P832" s="79"/>
      <c r="S832" s="79"/>
      <c r="T832" s="79"/>
      <c r="W832" s="130"/>
      <c r="Y832" s="106"/>
    </row>
    <row r="833">
      <c r="C833" s="79"/>
      <c r="D833" s="79"/>
      <c r="J833" s="79"/>
      <c r="O833" s="79"/>
      <c r="P833" s="79"/>
      <c r="S833" s="79"/>
      <c r="T833" s="79"/>
      <c r="W833" s="130"/>
      <c r="Y833" s="106"/>
    </row>
    <row r="834">
      <c r="C834" s="79"/>
      <c r="D834" s="79"/>
      <c r="J834" s="79"/>
      <c r="O834" s="79"/>
      <c r="P834" s="79"/>
      <c r="S834" s="79"/>
      <c r="T834" s="79"/>
      <c r="W834" s="130"/>
      <c r="Y834" s="106"/>
    </row>
    <row r="835">
      <c r="C835" s="79"/>
      <c r="D835" s="79"/>
      <c r="J835" s="79"/>
      <c r="O835" s="79"/>
      <c r="P835" s="79"/>
      <c r="S835" s="79"/>
      <c r="T835" s="79"/>
      <c r="W835" s="130"/>
      <c r="Y835" s="106"/>
    </row>
    <row r="836">
      <c r="C836" s="79"/>
      <c r="D836" s="79"/>
      <c r="J836" s="79"/>
      <c r="O836" s="79"/>
      <c r="P836" s="79"/>
      <c r="S836" s="79"/>
      <c r="T836" s="79"/>
      <c r="W836" s="130"/>
      <c r="Y836" s="106"/>
    </row>
    <row r="837">
      <c r="C837" s="79"/>
      <c r="D837" s="79"/>
      <c r="J837" s="79"/>
      <c r="O837" s="79"/>
      <c r="P837" s="79"/>
      <c r="S837" s="79"/>
      <c r="T837" s="79"/>
      <c r="W837" s="130"/>
      <c r="Y837" s="106"/>
    </row>
    <row r="838">
      <c r="C838" s="79"/>
      <c r="D838" s="79"/>
      <c r="J838" s="79"/>
      <c r="O838" s="79"/>
      <c r="P838" s="79"/>
      <c r="S838" s="79"/>
      <c r="T838" s="79"/>
      <c r="W838" s="130"/>
      <c r="Y838" s="106"/>
    </row>
    <row r="839">
      <c r="C839" s="79"/>
      <c r="D839" s="79"/>
      <c r="J839" s="79"/>
      <c r="O839" s="79"/>
      <c r="P839" s="79"/>
      <c r="S839" s="79"/>
      <c r="T839" s="79"/>
      <c r="W839" s="130"/>
      <c r="Y839" s="106"/>
    </row>
    <row r="840">
      <c r="C840" s="79"/>
      <c r="D840" s="79"/>
      <c r="J840" s="79"/>
      <c r="O840" s="79"/>
      <c r="P840" s="79"/>
      <c r="S840" s="79"/>
      <c r="T840" s="79"/>
      <c r="W840" s="130"/>
      <c r="Y840" s="106"/>
    </row>
    <row r="841">
      <c r="C841" s="79"/>
      <c r="D841" s="79"/>
      <c r="J841" s="79"/>
      <c r="O841" s="79"/>
      <c r="P841" s="79"/>
      <c r="S841" s="79"/>
      <c r="T841" s="79"/>
      <c r="W841" s="130"/>
      <c r="Y841" s="106"/>
    </row>
    <row r="842">
      <c r="C842" s="79"/>
      <c r="D842" s="79"/>
      <c r="J842" s="79"/>
      <c r="O842" s="79"/>
      <c r="P842" s="79"/>
      <c r="S842" s="79"/>
      <c r="T842" s="79"/>
      <c r="W842" s="130"/>
      <c r="Y842" s="106"/>
    </row>
    <row r="843">
      <c r="C843" s="79"/>
      <c r="D843" s="79"/>
      <c r="J843" s="79"/>
      <c r="O843" s="79"/>
      <c r="P843" s="79"/>
      <c r="S843" s="79"/>
      <c r="T843" s="79"/>
      <c r="W843" s="130"/>
      <c r="Y843" s="106"/>
    </row>
    <row r="844">
      <c r="C844" s="79"/>
      <c r="D844" s="79"/>
      <c r="J844" s="79"/>
      <c r="O844" s="79"/>
      <c r="P844" s="79"/>
      <c r="S844" s="79"/>
      <c r="T844" s="79"/>
      <c r="W844" s="130"/>
      <c r="Y844" s="106"/>
    </row>
    <row r="845">
      <c r="C845" s="79"/>
      <c r="D845" s="79"/>
      <c r="J845" s="79"/>
      <c r="O845" s="79"/>
      <c r="P845" s="79"/>
      <c r="S845" s="79"/>
      <c r="T845" s="79"/>
      <c r="W845" s="130"/>
      <c r="Y845" s="106"/>
    </row>
    <row r="846">
      <c r="C846" s="79"/>
      <c r="D846" s="79"/>
      <c r="J846" s="79"/>
      <c r="O846" s="79"/>
      <c r="P846" s="79"/>
      <c r="S846" s="79"/>
      <c r="T846" s="79"/>
      <c r="W846" s="130"/>
      <c r="Y846" s="106"/>
    </row>
    <row r="847">
      <c r="C847" s="79"/>
      <c r="D847" s="79"/>
      <c r="J847" s="79"/>
      <c r="O847" s="79"/>
      <c r="P847" s="79"/>
      <c r="S847" s="79"/>
      <c r="T847" s="79"/>
      <c r="W847" s="130"/>
      <c r="Y847" s="106"/>
    </row>
    <row r="848">
      <c r="C848" s="79"/>
      <c r="D848" s="79"/>
      <c r="J848" s="79"/>
      <c r="O848" s="79"/>
      <c r="P848" s="79"/>
      <c r="S848" s="79"/>
      <c r="T848" s="79"/>
      <c r="W848" s="130"/>
      <c r="Y848" s="106"/>
    </row>
    <row r="849">
      <c r="C849" s="79"/>
      <c r="D849" s="79"/>
      <c r="J849" s="79"/>
      <c r="O849" s="79"/>
      <c r="P849" s="79"/>
      <c r="S849" s="79"/>
      <c r="T849" s="79"/>
      <c r="W849" s="130"/>
      <c r="Y849" s="106"/>
    </row>
    <row r="850">
      <c r="C850" s="79"/>
      <c r="D850" s="79"/>
      <c r="J850" s="79"/>
      <c r="O850" s="79"/>
      <c r="P850" s="79"/>
      <c r="S850" s="79"/>
      <c r="T850" s="79"/>
      <c r="W850" s="130"/>
      <c r="Y850" s="106"/>
    </row>
    <row r="851">
      <c r="C851" s="79"/>
      <c r="D851" s="79"/>
      <c r="J851" s="79"/>
      <c r="O851" s="79"/>
      <c r="P851" s="79"/>
      <c r="S851" s="79"/>
      <c r="T851" s="79"/>
      <c r="W851" s="130"/>
      <c r="Y851" s="106"/>
    </row>
    <row r="852">
      <c r="C852" s="79"/>
      <c r="D852" s="79"/>
      <c r="J852" s="79"/>
      <c r="O852" s="79"/>
      <c r="P852" s="79"/>
      <c r="S852" s="79"/>
      <c r="T852" s="79"/>
      <c r="W852" s="130"/>
      <c r="Y852" s="106"/>
    </row>
    <row r="853">
      <c r="C853" s="79"/>
      <c r="D853" s="79"/>
      <c r="J853" s="79"/>
      <c r="O853" s="79"/>
      <c r="P853" s="79"/>
      <c r="S853" s="79"/>
      <c r="T853" s="79"/>
      <c r="W853" s="130"/>
      <c r="Y853" s="106"/>
    </row>
    <row r="854">
      <c r="C854" s="79"/>
      <c r="D854" s="79"/>
      <c r="J854" s="79"/>
      <c r="O854" s="79"/>
      <c r="P854" s="79"/>
      <c r="S854" s="79"/>
      <c r="T854" s="79"/>
      <c r="W854" s="130"/>
      <c r="Y854" s="106"/>
    </row>
    <row r="855">
      <c r="C855" s="79"/>
      <c r="D855" s="79"/>
      <c r="J855" s="79"/>
      <c r="O855" s="79"/>
      <c r="P855" s="79"/>
      <c r="S855" s="79"/>
      <c r="T855" s="79"/>
      <c r="W855" s="130"/>
      <c r="Y855" s="106"/>
    </row>
    <row r="856">
      <c r="C856" s="79"/>
      <c r="D856" s="79"/>
      <c r="J856" s="79"/>
      <c r="O856" s="79"/>
      <c r="P856" s="79"/>
      <c r="S856" s="79"/>
      <c r="T856" s="79"/>
      <c r="W856" s="130"/>
      <c r="Y856" s="106"/>
    </row>
    <row r="857">
      <c r="C857" s="79"/>
      <c r="D857" s="79"/>
      <c r="J857" s="79"/>
      <c r="O857" s="79"/>
      <c r="P857" s="79"/>
      <c r="S857" s="79"/>
      <c r="T857" s="79"/>
      <c r="W857" s="130"/>
      <c r="Y857" s="106"/>
    </row>
    <row r="858">
      <c r="C858" s="79"/>
      <c r="D858" s="79"/>
      <c r="J858" s="79"/>
      <c r="O858" s="79"/>
      <c r="P858" s="79"/>
      <c r="S858" s="79"/>
      <c r="T858" s="79"/>
      <c r="W858" s="130"/>
      <c r="Y858" s="106"/>
    </row>
    <row r="859">
      <c r="C859" s="79"/>
      <c r="D859" s="79"/>
      <c r="J859" s="79"/>
      <c r="O859" s="79"/>
      <c r="P859" s="79"/>
      <c r="S859" s="79"/>
      <c r="T859" s="79"/>
      <c r="W859" s="130"/>
      <c r="Y859" s="106"/>
    </row>
    <row r="860">
      <c r="C860" s="79"/>
      <c r="D860" s="79"/>
      <c r="J860" s="79"/>
      <c r="O860" s="79"/>
      <c r="P860" s="79"/>
      <c r="S860" s="79"/>
      <c r="T860" s="79"/>
      <c r="W860" s="130"/>
      <c r="Y860" s="106"/>
    </row>
    <row r="861">
      <c r="C861" s="79"/>
      <c r="D861" s="79"/>
      <c r="J861" s="79"/>
      <c r="O861" s="79"/>
      <c r="P861" s="79"/>
      <c r="S861" s="79"/>
      <c r="T861" s="79"/>
      <c r="W861" s="130"/>
      <c r="Y861" s="106"/>
    </row>
    <row r="862">
      <c r="C862" s="79"/>
      <c r="D862" s="79"/>
      <c r="J862" s="79"/>
      <c r="O862" s="79"/>
      <c r="P862" s="79"/>
      <c r="S862" s="79"/>
      <c r="T862" s="79"/>
      <c r="W862" s="130"/>
      <c r="Y862" s="106"/>
    </row>
    <row r="863">
      <c r="C863" s="79"/>
      <c r="D863" s="79"/>
      <c r="J863" s="79"/>
      <c r="O863" s="79"/>
      <c r="P863" s="79"/>
      <c r="S863" s="79"/>
      <c r="T863" s="79"/>
      <c r="W863" s="130"/>
      <c r="Y863" s="106"/>
    </row>
    <row r="864">
      <c r="C864" s="79"/>
      <c r="D864" s="79"/>
      <c r="J864" s="79"/>
      <c r="O864" s="79"/>
      <c r="P864" s="79"/>
      <c r="S864" s="79"/>
      <c r="T864" s="79"/>
      <c r="W864" s="130"/>
      <c r="Y864" s="106"/>
    </row>
    <row r="865">
      <c r="C865" s="79"/>
      <c r="D865" s="79"/>
      <c r="J865" s="79"/>
      <c r="O865" s="79"/>
      <c r="P865" s="79"/>
      <c r="S865" s="79"/>
      <c r="T865" s="79"/>
      <c r="W865" s="130"/>
      <c r="Y865" s="106"/>
    </row>
    <row r="866">
      <c r="C866" s="79"/>
      <c r="D866" s="79"/>
      <c r="J866" s="79"/>
      <c r="O866" s="79"/>
      <c r="P866" s="79"/>
      <c r="S866" s="79"/>
      <c r="T866" s="79"/>
      <c r="W866" s="130"/>
      <c r="Y866" s="106"/>
    </row>
    <row r="867">
      <c r="C867" s="79"/>
      <c r="D867" s="79"/>
      <c r="J867" s="79"/>
      <c r="O867" s="79"/>
      <c r="P867" s="79"/>
      <c r="S867" s="79"/>
      <c r="T867" s="79"/>
      <c r="W867" s="130"/>
      <c r="Y867" s="106"/>
    </row>
    <row r="868">
      <c r="C868" s="79"/>
      <c r="D868" s="79"/>
      <c r="J868" s="79"/>
      <c r="O868" s="79"/>
      <c r="P868" s="79"/>
      <c r="S868" s="79"/>
      <c r="T868" s="79"/>
      <c r="W868" s="130"/>
      <c r="Y868" s="106"/>
    </row>
    <row r="869">
      <c r="C869" s="79"/>
      <c r="D869" s="79"/>
      <c r="J869" s="79"/>
      <c r="O869" s="79"/>
      <c r="P869" s="79"/>
      <c r="S869" s="79"/>
      <c r="T869" s="79"/>
      <c r="W869" s="130"/>
      <c r="Y869" s="106"/>
    </row>
    <row r="870">
      <c r="C870" s="79"/>
      <c r="D870" s="79"/>
      <c r="J870" s="79"/>
      <c r="O870" s="79"/>
      <c r="P870" s="79"/>
      <c r="S870" s="79"/>
      <c r="T870" s="79"/>
      <c r="W870" s="130"/>
      <c r="Y870" s="106"/>
    </row>
    <row r="871">
      <c r="C871" s="79"/>
      <c r="D871" s="79"/>
      <c r="J871" s="79"/>
      <c r="O871" s="79"/>
      <c r="P871" s="79"/>
      <c r="S871" s="79"/>
      <c r="T871" s="79"/>
      <c r="W871" s="130"/>
      <c r="Y871" s="106"/>
    </row>
    <row r="872">
      <c r="C872" s="79"/>
      <c r="D872" s="79"/>
      <c r="J872" s="79"/>
      <c r="O872" s="79"/>
      <c r="P872" s="79"/>
      <c r="S872" s="79"/>
      <c r="T872" s="79"/>
      <c r="W872" s="130"/>
      <c r="Y872" s="106"/>
    </row>
    <row r="873">
      <c r="C873" s="79"/>
      <c r="D873" s="79"/>
      <c r="J873" s="79"/>
      <c r="O873" s="79"/>
      <c r="P873" s="79"/>
      <c r="S873" s="79"/>
      <c r="T873" s="79"/>
      <c r="W873" s="130"/>
      <c r="Y873" s="106"/>
    </row>
    <row r="874">
      <c r="C874" s="79"/>
      <c r="D874" s="79"/>
      <c r="J874" s="79"/>
      <c r="O874" s="79"/>
      <c r="P874" s="79"/>
      <c r="S874" s="79"/>
      <c r="T874" s="79"/>
      <c r="W874" s="130"/>
      <c r="Y874" s="106"/>
    </row>
    <row r="875">
      <c r="C875" s="79"/>
      <c r="D875" s="79"/>
      <c r="J875" s="79"/>
      <c r="O875" s="79"/>
      <c r="P875" s="79"/>
      <c r="S875" s="79"/>
      <c r="T875" s="79"/>
      <c r="W875" s="130"/>
      <c r="Y875" s="106"/>
    </row>
    <row r="876">
      <c r="C876" s="79"/>
      <c r="D876" s="79"/>
      <c r="J876" s="79"/>
      <c r="O876" s="79"/>
      <c r="P876" s="79"/>
      <c r="S876" s="79"/>
      <c r="T876" s="79"/>
      <c r="W876" s="130"/>
      <c r="Y876" s="106"/>
    </row>
    <row r="877">
      <c r="C877" s="79"/>
      <c r="D877" s="79"/>
      <c r="J877" s="79"/>
      <c r="O877" s="79"/>
      <c r="P877" s="79"/>
      <c r="S877" s="79"/>
      <c r="T877" s="79"/>
      <c r="W877" s="130"/>
      <c r="Y877" s="106"/>
    </row>
    <row r="878">
      <c r="C878" s="79"/>
      <c r="D878" s="79"/>
      <c r="J878" s="79"/>
      <c r="O878" s="79"/>
      <c r="P878" s="79"/>
      <c r="S878" s="79"/>
      <c r="T878" s="79"/>
      <c r="W878" s="130"/>
      <c r="Y878" s="106"/>
    </row>
    <row r="879">
      <c r="C879" s="79"/>
      <c r="D879" s="79"/>
      <c r="J879" s="79"/>
      <c r="O879" s="79"/>
      <c r="P879" s="79"/>
      <c r="S879" s="79"/>
      <c r="T879" s="79"/>
      <c r="W879" s="130"/>
      <c r="Y879" s="106"/>
    </row>
    <row r="880">
      <c r="C880" s="79"/>
      <c r="D880" s="79"/>
      <c r="J880" s="79"/>
      <c r="O880" s="79"/>
      <c r="P880" s="79"/>
      <c r="S880" s="79"/>
      <c r="T880" s="79"/>
      <c r="W880" s="130"/>
      <c r="Y880" s="106"/>
    </row>
    <row r="881">
      <c r="C881" s="79"/>
      <c r="D881" s="79"/>
      <c r="J881" s="79"/>
      <c r="O881" s="79"/>
      <c r="P881" s="79"/>
      <c r="S881" s="79"/>
      <c r="T881" s="79"/>
      <c r="W881" s="130"/>
      <c r="Y881" s="106"/>
    </row>
    <row r="882">
      <c r="C882" s="79"/>
      <c r="D882" s="79"/>
      <c r="J882" s="79"/>
      <c r="O882" s="79"/>
      <c r="P882" s="79"/>
      <c r="S882" s="79"/>
      <c r="T882" s="79"/>
      <c r="W882" s="130"/>
      <c r="Y882" s="106"/>
    </row>
    <row r="883">
      <c r="C883" s="79"/>
      <c r="D883" s="79"/>
      <c r="J883" s="79"/>
      <c r="O883" s="79"/>
      <c r="P883" s="79"/>
      <c r="S883" s="79"/>
      <c r="T883" s="79"/>
      <c r="W883" s="130"/>
      <c r="Y883" s="106"/>
    </row>
    <row r="884">
      <c r="C884" s="79"/>
      <c r="D884" s="79"/>
      <c r="J884" s="79"/>
      <c r="O884" s="79"/>
      <c r="P884" s="79"/>
      <c r="S884" s="79"/>
      <c r="T884" s="79"/>
      <c r="W884" s="130"/>
      <c r="Y884" s="106"/>
    </row>
    <row r="885">
      <c r="C885" s="79"/>
      <c r="D885" s="79"/>
      <c r="J885" s="79"/>
      <c r="O885" s="79"/>
      <c r="P885" s="79"/>
      <c r="S885" s="79"/>
      <c r="T885" s="79"/>
      <c r="W885" s="130"/>
      <c r="Y885" s="106"/>
    </row>
    <row r="886">
      <c r="C886" s="79"/>
      <c r="D886" s="79"/>
      <c r="J886" s="79"/>
      <c r="O886" s="79"/>
      <c r="P886" s="79"/>
      <c r="S886" s="79"/>
      <c r="T886" s="79"/>
      <c r="W886" s="130"/>
      <c r="Y886" s="106"/>
    </row>
    <row r="887">
      <c r="C887" s="79"/>
      <c r="D887" s="79"/>
      <c r="J887" s="79"/>
      <c r="O887" s="79"/>
      <c r="P887" s="79"/>
      <c r="S887" s="79"/>
      <c r="T887" s="79"/>
      <c r="W887" s="130"/>
      <c r="Y887" s="106"/>
    </row>
    <row r="888">
      <c r="C888" s="79"/>
      <c r="D888" s="79"/>
      <c r="J888" s="79"/>
      <c r="O888" s="79"/>
      <c r="P888" s="79"/>
      <c r="S888" s="79"/>
      <c r="T888" s="79"/>
      <c r="W888" s="130"/>
      <c r="Y888" s="106"/>
    </row>
    <row r="889">
      <c r="C889" s="79"/>
      <c r="D889" s="79"/>
      <c r="J889" s="79"/>
      <c r="O889" s="79"/>
      <c r="P889" s="79"/>
      <c r="S889" s="79"/>
      <c r="T889" s="79"/>
      <c r="W889" s="130"/>
      <c r="Y889" s="106"/>
    </row>
    <row r="890">
      <c r="C890" s="79"/>
      <c r="D890" s="79"/>
      <c r="J890" s="79"/>
      <c r="O890" s="79"/>
      <c r="P890" s="79"/>
      <c r="S890" s="79"/>
      <c r="T890" s="79"/>
      <c r="W890" s="130"/>
      <c r="Y890" s="106"/>
    </row>
    <row r="891">
      <c r="C891" s="79"/>
      <c r="D891" s="79"/>
      <c r="J891" s="79"/>
      <c r="O891" s="79"/>
      <c r="P891" s="79"/>
      <c r="S891" s="79"/>
      <c r="T891" s="79"/>
      <c r="W891" s="130"/>
      <c r="Y891" s="106"/>
    </row>
    <row r="892">
      <c r="C892" s="79"/>
      <c r="D892" s="79"/>
      <c r="J892" s="79"/>
      <c r="O892" s="79"/>
      <c r="P892" s="79"/>
      <c r="S892" s="79"/>
      <c r="T892" s="79"/>
      <c r="W892" s="130"/>
      <c r="Y892" s="106"/>
    </row>
    <row r="893">
      <c r="C893" s="79"/>
      <c r="D893" s="79"/>
      <c r="J893" s="79"/>
      <c r="O893" s="79"/>
      <c r="P893" s="79"/>
      <c r="S893" s="79"/>
      <c r="T893" s="79"/>
      <c r="W893" s="130"/>
      <c r="Y893" s="106"/>
    </row>
    <row r="894">
      <c r="C894" s="79"/>
      <c r="D894" s="79"/>
      <c r="J894" s="79"/>
      <c r="O894" s="79"/>
      <c r="P894" s="79"/>
      <c r="S894" s="79"/>
      <c r="T894" s="79"/>
      <c r="W894" s="130"/>
      <c r="Y894" s="106"/>
    </row>
    <row r="895">
      <c r="C895" s="79"/>
      <c r="D895" s="79"/>
      <c r="J895" s="79"/>
      <c r="O895" s="79"/>
      <c r="P895" s="79"/>
      <c r="S895" s="79"/>
      <c r="T895" s="79"/>
      <c r="W895" s="130"/>
      <c r="Y895" s="106"/>
    </row>
    <row r="896">
      <c r="C896" s="79"/>
      <c r="D896" s="79"/>
      <c r="J896" s="79"/>
      <c r="O896" s="79"/>
      <c r="P896" s="79"/>
      <c r="S896" s="79"/>
      <c r="T896" s="79"/>
      <c r="W896" s="130"/>
      <c r="Y896" s="106"/>
    </row>
    <row r="897">
      <c r="C897" s="79"/>
      <c r="D897" s="79"/>
      <c r="J897" s="79"/>
      <c r="O897" s="79"/>
      <c r="P897" s="79"/>
      <c r="S897" s="79"/>
      <c r="T897" s="79"/>
      <c r="W897" s="130"/>
      <c r="Y897" s="106"/>
    </row>
    <row r="898">
      <c r="C898" s="79"/>
      <c r="D898" s="79"/>
      <c r="J898" s="79"/>
      <c r="O898" s="79"/>
      <c r="P898" s="79"/>
      <c r="S898" s="79"/>
      <c r="T898" s="79"/>
      <c r="W898" s="130"/>
      <c r="Y898" s="106"/>
    </row>
    <row r="899">
      <c r="C899" s="79"/>
      <c r="D899" s="79"/>
      <c r="J899" s="79"/>
      <c r="O899" s="79"/>
      <c r="P899" s="79"/>
      <c r="S899" s="79"/>
      <c r="T899" s="79"/>
      <c r="W899" s="130"/>
      <c r="Y899" s="106"/>
    </row>
    <row r="900">
      <c r="C900" s="79"/>
      <c r="D900" s="79"/>
      <c r="J900" s="79"/>
      <c r="O900" s="79"/>
      <c r="P900" s="79"/>
      <c r="S900" s="79"/>
      <c r="T900" s="79"/>
      <c r="W900" s="130"/>
      <c r="Y900" s="106"/>
    </row>
    <row r="901">
      <c r="C901" s="79"/>
      <c r="D901" s="79"/>
      <c r="J901" s="79"/>
      <c r="O901" s="79"/>
      <c r="P901" s="79"/>
      <c r="S901" s="79"/>
      <c r="T901" s="79"/>
      <c r="W901" s="130"/>
      <c r="Y901" s="106"/>
    </row>
    <row r="902">
      <c r="C902" s="79"/>
      <c r="D902" s="79"/>
      <c r="J902" s="79"/>
      <c r="O902" s="79"/>
      <c r="P902" s="79"/>
      <c r="S902" s="79"/>
      <c r="T902" s="79"/>
      <c r="W902" s="130"/>
      <c r="Y902" s="106"/>
    </row>
    <row r="903">
      <c r="C903" s="79"/>
      <c r="D903" s="79"/>
      <c r="J903" s="79"/>
      <c r="O903" s="79"/>
      <c r="P903" s="79"/>
      <c r="S903" s="79"/>
      <c r="T903" s="79"/>
      <c r="W903" s="130"/>
      <c r="Y903" s="106"/>
    </row>
    <row r="904">
      <c r="C904" s="79"/>
      <c r="D904" s="79"/>
      <c r="J904" s="79"/>
      <c r="O904" s="79"/>
      <c r="P904" s="79"/>
      <c r="S904" s="79"/>
      <c r="T904" s="79"/>
      <c r="W904" s="130"/>
      <c r="Y904" s="106"/>
    </row>
    <row r="905">
      <c r="C905" s="79"/>
      <c r="D905" s="79"/>
      <c r="J905" s="79"/>
      <c r="O905" s="79"/>
      <c r="P905" s="79"/>
      <c r="S905" s="79"/>
      <c r="T905" s="79"/>
      <c r="W905" s="130"/>
      <c r="Y905" s="106"/>
    </row>
    <row r="906">
      <c r="C906" s="79"/>
      <c r="D906" s="79"/>
      <c r="J906" s="79"/>
      <c r="O906" s="79"/>
      <c r="P906" s="79"/>
      <c r="S906" s="79"/>
      <c r="T906" s="79"/>
      <c r="W906" s="130"/>
      <c r="Y906" s="106"/>
    </row>
    <row r="907">
      <c r="C907" s="79"/>
      <c r="D907" s="79"/>
      <c r="J907" s="79"/>
      <c r="O907" s="79"/>
      <c r="P907" s="79"/>
      <c r="S907" s="79"/>
      <c r="T907" s="79"/>
      <c r="W907" s="130"/>
      <c r="Y907" s="106"/>
    </row>
    <row r="908">
      <c r="C908" s="79"/>
      <c r="D908" s="79"/>
      <c r="J908" s="79"/>
      <c r="O908" s="79"/>
      <c r="P908" s="79"/>
      <c r="S908" s="79"/>
      <c r="T908" s="79"/>
      <c r="W908" s="130"/>
      <c r="Y908" s="106"/>
    </row>
    <row r="909">
      <c r="C909" s="79"/>
      <c r="D909" s="79"/>
      <c r="J909" s="79"/>
      <c r="O909" s="79"/>
      <c r="P909" s="79"/>
      <c r="S909" s="79"/>
      <c r="T909" s="79"/>
      <c r="W909" s="130"/>
      <c r="Y909" s="106"/>
    </row>
    <row r="910">
      <c r="C910" s="79"/>
      <c r="D910" s="79"/>
      <c r="J910" s="79"/>
      <c r="O910" s="79"/>
      <c r="P910" s="79"/>
      <c r="S910" s="79"/>
      <c r="T910" s="79"/>
      <c r="W910" s="130"/>
      <c r="Y910" s="106"/>
    </row>
    <row r="911">
      <c r="C911" s="79"/>
      <c r="D911" s="79"/>
      <c r="J911" s="79"/>
      <c r="O911" s="79"/>
      <c r="P911" s="79"/>
      <c r="S911" s="79"/>
      <c r="T911" s="79"/>
      <c r="W911" s="130"/>
      <c r="Y911" s="106"/>
    </row>
    <row r="912">
      <c r="C912" s="79"/>
      <c r="D912" s="79"/>
      <c r="J912" s="79"/>
      <c r="O912" s="79"/>
      <c r="P912" s="79"/>
      <c r="S912" s="79"/>
      <c r="T912" s="79"/>
      <c r="W912" s="130"/>
      <c r="Y912" s="106"/>
    </row>
    <row r="913">
      <c r="C913" s="79"/>
      <c r="D913" s="79"/>
      <c r="J913" s="79"/>
      <c r="O913" s="79"/>
      <c r="P913" s="79"/>
      <c r="S913" s="79"/>
      <c r="T913" s="79"/>
      <c r="W913" s="130"/>
      <c r="Y913" s="106"/>
    </row>
    <row r="914">
      <c r="C914" s="79"/>
      <c r="D914" s="79"/>
      <c r="J914" s="79"/>
      <c r="O914" s="79"/>
      <c r="P914" s="79"/>
      <c r="S914" s="79"/>
      <c r="T914" s="79"/>
      <c r="W914" s="130"/>
      <c r="Y914" s="106"/>
    </row>
    <row r="915">
      <c r="C915" s="79"/>
      <c r="D915" s="79"/>
      <c r="J915" s="79"/>
      <c r="O915" s="79"/>
      <c r="P915" s="79"/>
      <c r="S915" s="79"/>
      <c r="T915" s="79"/>
      <c r="W915" s="130"/>
      <c r="Y915" s="106"/>
    </row>
    <row r="916">
      <c r="C916" s="79"/>
      <c r="D916" s="79"/>
      <c r="J916" s="79"/>
      <c r="O916" s="79"/>
      <c r="P916" s="79"/>
      <c r="S916" s="79"/>
      <c r="T916" s="79"/>
      <c r="W916" s="130"/>
      <c r="Y916" s="106"/>
    </row>
    <row r="917">
      <c r="C917" s="79"/>
      <c r="D917" s="79"/>
      <c r="J917" s="79"/>
      <c r="O917" s="79"/>
      <c r="P917" s="79"/>
      <c r="S917" s="79"/>
      <c r="T917" s="79"/>
      <c r="W917" s="130"/>
      <c r="Y917" s="106"/>
    </row>
    <row r="918">
      <c r="C918" s="79"/>
      <c r="D918" s="79"/>
      <c r="J918" s="79"/>
      <c r="O918" s="79"/>
      <c r="P918" s="79"/>
      <c r="S918" s="79"/>
      <c r="T918" s="79"/>
      <c r="W918" s="130"/>
      <c r="Y918" s="106"/>
    </row>
    <row r="919">
      <c r="C919" s="79"/>
      <c r="D919" s="79"/>
      <c r="J919" s="79"/>
      <c r="O919" s="79"/>
      <c r="P919" s="79"/>
      <c r="S919" s="79"/>
      <c r="T919" s="79"/>
      <c r="W919" s="130"/>
      <c r="Y919" s="106"/>
    </row>
    <row r="920">
      <c r="C920" s="79"/>
      <c r="D920" s="79"/>
      <c r="J920" s="79"/>
      <c r="O920" s="79"/>
      <c r="P920" s="79"/>
      <c r="S920" s="79"/>
      <c r="T920" s="79"/>
      <c r="W920" s="130"/>
      <c r="Y920" s="106"/>
    </row>
    <row r="921">
      <c r="C921" s="79"/>
      <c r="D921" s="79"/>
      <c r="J921" s="79"/>
      <c r="O921" s="79"/>
      <c r="P921" s="79"/>
      <c r="S921" s="79"/>
      <c r="T921" s="79"/>
      <c r="W921" s="130"/>
      <c r="Y921" s="106"/>
    </row>
    <row r="922">
      <c r="C922" s="79"/>
      <c r="D922" s="79"/>
      <c r="J922" s="79"/>
      <c r="O922" s="79"/>
      <c r="P922" s="79"/>
      <c r="S922" s="79"/>
      <c r="T922" s="79"/>
      <c r="W922" s="130"/>
      <c r="Y922" s="106"/>
    </row>
    <row r="923">
      <c r="C923" s="79"/>
      <c r="D923" s="79"/>
      <c r="J923" s="79"/>
      <c r="O923" s="79"/>
      <c r="P923" s="79"/>
      <c r="S923" s="79"/>
      <c r="T923" s="79"/>
      <c r="W923" s="130"/>
      <c r="Y923" s="106"/>
    </row>
    <row r="924">
      <c r="C924" s="79"/>
      <c r="D924" s="79"/>
      <c r="J924" s="79"/>
      <c r="O924" s="79"/>
      <c r="P924" s="79"/>
      <c r="S924" s="79"/>
      <c r="T924" s="79"/>
      <c r="W924" s="130"/>
      <c r="Y924" s="106"/>
    </row>
    <row r="925">
      <c r="C925" s="79"/>
      <c r="D925" s="79"/>
      <c r="J925" s="79"/>
      <c r="O925" s="79"/>
      <c r="P925" s="79"/>
      <c r="S925" s="79"/>
      <c r="T925" s="79"/>
      <c r="W925" s="130"/>
      <c r="Y925" s="106"/>
    </row>
    <row r="926">
      <c r="C926" s="79"/>
      <c r="D926" s="79"/>
      <c r="J926" s="79"/>
      <c r="O926" s="79"/>
      <c r="P926" s="79"/>
      <c r="S926" s="79"/>
      <c r="T926" s="79"/>
      <c r="W926" s="130"/>
      <c r="Y926" s="106"/>
    </row>
    <row r="927">
      <c r="C927" s="79"/>
      <c r="D927" s="79"/>
      <c r="J927" s="79"/>
      <c r="O927" s="79"/>
      <c r="P927" s="79"/>
      <c r="S927" s="79"/>
      <c r="T927" s="79"/>
      <c r="W927" s="130"/>
      <c r="Y927" s="106"/>
    </row>
    <row r="928">
      <c r="C928" s="79"/>
      <c r="D928" s="79"/>
      <c r="J928" s="79"/>
      <c r="O928" s="79"/>
      <c r="P928" s="79"/>
      <c r="S928" s="79"/>
      <c r="T928" s="79"/>
      <c r="W928" s="130"/>
      <c r="Y928" s="106"/>
    </row>
    <row r="929">
      <c r="C929" s="79"/>
      <c r="D929" s="79"/>
      <c r="J929" s="79"/>
      <c r="O929" s="79"/>
      <c r="P929" s="79"/>
      <c r="S929" s="79"/>
      <c r="T929" s="79"/>
      <c r="W929" s="130"/>
      <c r="Y929" s="106"/>
    </row>
    <row r="930">
      <c r="C930" s="79"/>
      <c r="D930" s="79"/>
      <c r="J930" s="79"/>
      <c r="O930" s="79"/>
      <c r="P930" s="79"/>
      <c r="S930" s="79"/>
      <c r="T930" s="79"/>
      <c r="W930" s="130"/>
      <c r="Y930" s="106"/>
    </row>
    <row r="931">
      <c r="C931" s="79"/>
      <c r="D931" s="79"/>
      <c r="J931" s="79"/>
      <c r="O931" s="79"/>
      <c r="P931" s="79"/>
      <c r="S931" s="79"/>
      <c r="T931" s="79"/>
      <c r="W931" s="130"/>
      <c r="Y931" s="106"/>
    </row>
    <row r="932">
      <c r="C932" s="79"/>
      <c r="D932" s="79"/>
      <c r="J932" s="79"/>
      <c r="O932" s="79"/>
      <c r="P932" s="79"/>
      <c r="S932" s="79"/>
      <c r="T932" s="79"/>
      <c r="W932" s="130"/>
      <c r="Y932" s="106"/>
    </row>
    <row r="933">
      <c r="C933" s="79"/>
      <c r="D933" s="79"/>
      <c r="J933" s="79"/>
      <c r="O933" s="79"/>
      <c r="P933" s="79"/>
      <c r="S933" s="79"/>
      <c r="T933" s="79"/>
      <c r="W933" s="130"/>
      <c r="Y933" s="106"/>
    </row>
    <row r="934">
      <c r="C934" s="79"/>
      <c r="D934" s="79"/>
      <c r="J934" s="79"/>
      <c r="O934" s="79"/>
      <c r="P934" s="79"/>
      <c r="S934" s="79"/>
      <c r="T934" s="79"/>
      <c r="W934" s="130"/>
      <c r="Y934" s="106"/>
    </row>
    <row r="935">
      <c r="C935" s="79"/>
      <c r="D935" s="79"/>
      <c r="J935" s="79"/>
      <c r="O935" s="79"/>
      <c r="P935" s="79"/>
      <c r="S935" s="79"/>
      <c r="T935" s="79"/>
      <c r="W935" s="130"/>
      <c r="Y935" s="106"/>
    </row>
    <row r="936">
      <c r="C936" s="79"/>
      <c r="D936" s="79"/>
      <c r="J936" s="79"/>
      <c r="O936" s="79"/>
      <c r="P936" s="79"/>
      <c r="S936" s="79"/>
      <c r="T936" s="79"/>
      <c r="W936" s="130"/>
      <c r="Y936" s="106"/>
    </row>
    <row r="937">
      <c r="C937" s="79"/>
      <c r="D937" s="79"/>
      <c r="J937" s="79"/>
      <c r="O937" s="79"/>
      <c r="P937" s="79"/>
      <c r="S937" s="79"/>
      <c r="T937" s="79"/>
      <c r="W937" s="130"/>
      <c r="Y937" s="106"/>
    </row>
    <row r="938">
      <c r="C938" s="79"/>
      <c r="D938" s="79"/>
      <c r="J938" s="79"/>
      <c r="O938" s="79"/>
      <c r="P938" s="79"/>
      <c r="S938" s="79"/>
      <c r="T938" s="79"/>
      <c r="W938" s="130"/>
      <c r="Y938" s="106"/>
    </row>
    <row r="939">
      <c r="C939" s="79"/>
      <c r="D939" s="79"/>
      <c r="J939" s="79"/>
      <c r="O939" s="79"/>
      <c r="P939" s="79"/>
      <c r="S939" s="79"/>
      <c r="T939" s="79"/>
      <c r="W939" s="130"/>
      <c r="Y939" s="106"/>
    </row>
    <row r="940">
      <c r="C940" s="79"/>
      <c r="D940" s="79"/>
      <c r="J940" s="79"/>
      <c r="O940" s="79"/>
      <c r="P940" s="79"/>
      <c r="S940" s="79"/>
      <c r="T940" s="79"/>
      <c r="W940" s="130"/>
      <c r="Y940" s="106"/>
    </row>
    <row r="941">
      <c r="C941" s="79"/>
      <c r="D941" s="79"/>
      <c r="J941" s="79"/>
      <c r="O941" s="79"/>
      <c r="P941" s="79"/>
      <c r="S941" s="79"/>
      <c r="T941" s="79"/>
      <c r="W941" s="130"/>
      <c r="Y941" s="106"/>
    </row>
    <row r="942">
      <c r="C942" s="79"/>
      <c r="D942" s="79"/>
      <c r="J942" s="79"/>
      <c r="O942" s="79"/>
      <c r="P942" s="79"/>
      <c r="S942" s="79"/>
      <c r="T942" s="79"/>
      <c r="W942" s="130"/>
      <c r="Y942" s="106"/>
    </row>
    <row r="943">
      <c r="C943" s="79"/>
      <c r="D943" s="79"/>
      <c r="J943" s="79"/>
      <c r="O943" s="79"/>
      <c r="P943" s="79"/>
      <c r="S943" s="79"/>
      <c r="T943" s="79"/>
      <c r="W943" s="130"/>
      <c r="Y943" s="106"/>
    </row>
    <row r="944">
      <c r="C944" s="79"/>
      <c r="D944" s="79"/>
      <c r="J944" s="79"/>
      <c r="O944" s="79"/>
      <c r="P944" s="79"/>
      <c r="S944" s="79"/>
      <c r="T944" s="79"/>
      <c r="W944" s="130"/>
      <c r="Y944" s="106"/>
    </row>
    <row r="945">
      <c r="C945" s="79"/>
      <c r="D945" s="79"/>
      <c r="J945" s="79"/>
      <c r="O945" s="79"/>
      <c r="P945" s="79"/>
      <c r="S945" s="79"/>
      <c r="T945" s="79"/>
      <c r="W945" s="130"/>
      <c r="Y945" s="106"/>
    </row>
    <row r="946">
      <c r="C946" s="79"/>
      <c r="D946" s="79"/>
      <c r="J946" s="79"/>
      <c r="O946" s="79"/>
      <c r="P946" s="79"/>
      <c r="S946" s="79"/>
      <c r="T946" s="79"/>
      <c r="W946" s="130"/>
      <c r="Y946" s="106"/>
    </row>
    <row r="947">
      <c r="C947" s="79"/>
      <c r="D947" s="79"/>
      <c r="J947" s="79"/>
      <c r="O947" s="79"/>
      <c r="P947" s="79"/>
      <c r="S947" s="79"/>
      <c r="T947" s="79"/>
      <c r="W947" s="130"/>
      <c r="Y947" s="106"/>
    </row>
    <row r="948">
      <c r="C948" s="79"/>
      <c r="D948" s="79"/>
      <c r="J948" s="79"/>
      <c r="O948" s="79"/>
      <c r="P948" s="79"/>
      <c r="S948" s="79"/>
      <c r="T948" s="79"/>
      <c r="W948" s="130"/>
      <c r="Y948" s="106"/>
    </row>
    <row r="949">
      <c r="C949" s="79"/>
      <c r="D949" s="79"/>
      <c r="J949" s="79"/>
      <c r="O949" s="79"/>
      <c r="P949" s="79"/>
      <c r="S949" s="79"/>
      <c r="T949" s="79"/>
      <c r="W949" s="130"/>
      <c r="Y949" s="106"/>
    </row>
    <row r="950">
      <c r="C950" s="79"/>
      <c r="D950" s="79"/>
      <c r="J950" s="79"/>
      <c r="O950" s="79"/>
      <c r="P950" s="79"/>
      <c r="S950" s="79"/>
      <c r="T950" s="79"/>
      <c r="W950" s="130"/>
      <c r="Y950" s="106"/>
    </row>
    <row r="951">
      <c r="C951" s="79"/>
      <c r="D951" s="79"/>
      <c r="J951" s="79"/>
      <c r="O951" s="79"/>
      <c r="P951" s="79"/>
      <c r="S951" s="79"/>
      <c r="T951" s="79"/>
      <c r="W951" s="130"/>
      <c r="Y951" s="106"/>
    </row>
    <row r="952">
      <c r="C952" s="79"/>
      <c r="D952" s="79"/>
      <c r="J952" s="79"/>
      <c r="O952" s="79"/>
      <c r="P952" s="79"/>
      <c r="S952" s="79"/>
      <c r="T952" s="79"/>
      <c r="W952" s="130"/>
      <c r="Y952" s="106"/>
    </row>
    <row r="953">
      <c r="C953" s="79"/>
      <c r="D953" s="79"/>
      <c r="J953" s="79"/>
      <c r="O953" s="79"/>
      <c r="P953" s="79"/>
      <c r="S953" s="79"/>
      <c r="T953" s="79"/>
      <c r="W953" s="130"/>
      <c r="Y953" s="106"/>
    </row>
    <row r="954">
      <c r="C954" s="79"/>
      <c r="D954" s="79"/>
      <c r="J954" s="79"/>
      <c r="O954" s="79"/>
      <c r="P954" s="79"/>
      <c r="S954" s="79"/>
      <c r="T954" s="79"/>
      <c r="W954" s="130"/>
      <c r="Y954" s="106"/>
    </row>
    <row r="955">
      <c r="C955" s="79"/>
      <c r="D955" s="79"/>
      <c r="J955" s="79"/>
      <c r="O955" s="79"/>
      <c r="P955" s="79"/>
      <c r="S955" s="79"/>
      <c r="T955" s="79"/>
      <c r="W955" s="130"/>
      <c r="Y955" s="106"/>
    </row>
    <row r="956">
      <c r="C956" s="79"/>
      <c r="D956" s="79"/>
      <c r="J956" s="79"/>
      <c r="O956" s="79"/>
      <c r="P956" s="79"/>
      <c r="S956" s="79"/>
      <c r="T956" s="79"/>
      <c r="W956" s="130"/>
      <c r="Y956" s="106"/>
    </row>
    <row r="957">
      <c r="C957" s="79"/>
      <c r="D957" s="79"/>
      <c r="J957" s="79"/>
      <c r="O957" s="79"/>
      <c r="P957" s="79"/>
      <c r="S957" s="79"/>
      <c r="T957" s="79"/>
      <c r="W957" s="130"/>
      <c r="Y957" s="106"/>
    </row>
    <row r="958">
      <c r="C958" s="79"/>
      <c r="D958" s="79"/>
      <c r="J958" s="79"/>
      <c r="O958" s="79"/>
      <c r="P958" s="79"/>
      <c r="S958" s="79"/>
      <c r="T958" s="79"/>
      <c r="W958" s="130"/>
      <c r="Y958" s="106"/>
    </row>
    <row r="959">
      <c r="C959" s="79"/>
      <c r="D959" s="79"/>
      <c r="J959" s="79"/>
      <c r="O959" s="79"/>
      <c r="P959" s="79"/>
      <c r="S959" s="79"/>
      <c r="T959" s="79"/>
      <c r="W959" s="130"/>
      <c r="Y959" s="106"/>
    </row>
    <row r="960">
      <c r="C960" s="79"/>
      <c r="D960" s="79"/>
      <c r="J960" s="79"/>
      <c r="O960" s="79"/>
      <c r="P960" s="79"/>
      <c r="S960" s="79"/>
      <c r="T960" s="79"/>
      <c r="W960" s="130"/>
      <c r="Y960" s="106"/>
    </row>
    <row r="961">
      <c r="C961" s="79"/>
      <c r="D961" s="79"/>
      <c r="J961" s="79"/>
      <c r="O961" s="79"/>
      <c r="P961" s="79"/>
      <c r="S961" s="79"/>
      <c r="T961" s="79"/>
      <c r="W961" s="130"/>
      <c r="Y961" s="106"/>
    </row>
    <row r="962">
      <c r="C962" s="79"/>
      <c r="D962" s="79"/>
      <c r="J962" s="79"/>
      <c r="O962" s="79"/>
      <c r="P962" s="79"/>
      <c r="S962" s="79"/>
      <c r="T962" s="79"/>
      <c r="W962" s="130"/>
      <c r="Y962" s="106"/>
    </row>
    <row r="963">
      <c r="C963" s="79"/>
      <c r="D963" s="79"/>
      <c r="J963" s="79"/>
      <c r="O963" s="79"/>
      <c r="P963" s="79"/>
      <c r="S963" s="79"/>
      <c r="T963" s="79"/>
      <c r="W963" s="130"/>
      <c r="Y963" s="106"/>
    </row>
    <row r="964">
      <c r="C964" s="79"/>
      <c r="D964" s="79"/>
      <c r="J964" s="79"/>
      <c r="O964" s="79"/>
      <c r="P964" s="79"/>
      <c r="S964" s="79"/>
      <c r="T964" s="79"/>
      <c r="W964" s="130"/>
      <c r="Y964" s="106"/>
    </row>
    <row r="965">
      <c r="C965" s="79"/>
      <c r="D965" s="79"/>
      <c r="J965" s="79"/>
      <c r="O965" s="79"/>
      <c r="P965" s="79"/>
      <c r="S965" s="79"/>
      <c r="T965" s="79"/>
      <c r="W965" s="130"/>
      <c r="Y965" s="106"/>
    </row>
    <row r="966">
      <c r="C966" s="79"/>
      <c r="D966" s="79"/>
      <c r="J966" s="79"/>
      <c r="O966" s="79"/>
      <c r="P966" s="79"/>
      <c r="S966" s="79"/>
      <c r="T966" s="79"/>
      <c r="W966" s="130"/>
      <c r="Y966" s="106"/>
    </row>
    <row r="967">
      <c r="C967" s="79"/>
      <c r="D967" s="79"/>
      <c r="J967" s="79"/>
      <c r="O967" s="79"/>
      <c r="P967" s="79"/>
      <c r="S967" s="79"/>
      <c r="T967" s="79"/>
      <c r="W967" s="130"/>
      <c r="Y967" s="106"/>
    </row>
    <row r="968">
      <c r="C968" s="79"/>
      <c r="D968" s="79"/>
      <c r="J968" s="79"/>
      <c r="O968" s="79"/>
      <c r="P968" s="79"/>
      <c r="S968" s="79"/>
      <c r="T968" s="79"/>
      <c r="W968" s="130"/>
      <c r="Y968" s="106"/>
    </row>
    <row r="969">
      <c r="C969" s="79"/>
      <c r="D969" s="79"/>
      <c r="J969" s="79"/>
      <c r="O969" s="79"/>
      <c r="P969" s="79"/>
      <c r="S969" s="79"/>
      <c r="T969" s="79"/>
      <c r="W969" s="130"/>
      <c r="Y969" s="106"/>
    </row>
    <row r="970">
      <c r="C970" s="79"/>
      <c r="D970" s="79"/>
      <c r="J970" s="79"/>
      <c r="O970" s="79"/>
      <c r="P970" s="79"/>
      <c r="S970" s="79"/>
      <c r="T970" s="79"/>
      <c r="W970" s="130"/>
      <c r="Y970" s="106"/>
    </row>
    <row r="971">
      <c r="C971" s="79"/>
      <c r="D971" s="79"/>
      <c r="J971" s="79"/>
      <c r="O971" s="79"/>
      <c r="P971" s="79"/>
      <c r="S971" s="79"/>
      <c r="T971" s="79"/>
      <c r="W971" s="130"/>
      <c r="Y971" s="106"/>
    </row>
    <row r="972">
      <c r="C972" s="79"/>
      <c r="D972" s="79"/>
      <c r="J972" s="79"/>
      <c r="O972" s="79"/>
      <c r="P972" s="79"/>
      <c r="S972" s="79"/>
      <c r="T972" s="79"/>
      <c r="W972" s="130"/>
      <c r="Y972" s="106"/>
    </row>
    <row r="973">
      <c r="C973" s="79"/>
      <c r="D973" s="79"/>
      <c r="J973" s="79"/>
      <c r="O973" s="79"/>
      <c r="P973" s="79"/>
      <c r="S973" s="79"/>
      <c r="T973" s="79"/>
      <c r="W973" s="130"/>
      <c r="Y973" s="106"/>
    </row>
    <row r="974">
      <c r="C974" s="79"/>
      <c r="D974" s="79"/>
      <c r="J974" s="79"/>
      <c r="O974" s="79"/>
      <c r="P974" s="79"/>
      <c r="S974" s="79"/>
      <c r="T974" s="79"/>
      <c r="W974" s="130"/>
      <c r="Y974" s="106"/>
    </row>
    <row r="975">
      <c r="C975" s="79"/>
      <c r="D975" s="79"/>
      <c r="J975" s="79"/>
      <c r="O975" s="79"/>
      <c r="P975" s="79"/>
      <c r="S975" s="79"/>
      <c r="T975" s="79"/>
      <c r="W975" s="130"/>
      <c r="Y975" s="106"/>
    </row>
    <row r="976">
      <c r="C976" s="79"/>
      <c r="D976" s="79"/>
      <c r="J976" s="79"/>
      <c r="O976" s="79"/>
      <c r="P976" s="79"/>
      <c r="S976" s="79"/>
      <c r="T976" s="79"/>
      <c r="W976" s="130"/>
      <c r="Y976" s="106"/>
    </row>
    <row r="977">
      <c r="C977" s="79"/>
      <c r="D977" s="79"/>
      <c r="J977" s="79"/>
      <c r="O977" s="79"/>
      <c r="P977" s="79"/>
      <c r="S977" s="79"/>
      <c r="T977" s="79"/>
      <c r="W977" s="130"/>
      <c r="Y977" s="106"/>
    </row>
    <row r="978">
      <c r="C978" s="79"/>
      <c r="D978" s="79"/>
      <c r="J978" s="79"/>
      <c r="O978" s="79"/>
      <c r="P978" s="79"/>
      <c r="S978" s="79"/>
      <c r="T978" s="79"/>
      <c r="W978" s="130"/>
      <c r="Y978" s="106"/>
    </row>
    <row r="979">
      <c r="C979" s="79"/>
      <c r="D979" s="79"/>
      <c r="J979" s="79"/>
      <c r="O979" s="79"/>
      <c r="P979" s="79"/>
      <c r="S979" s="79"/>
      <c r="T979" s="79"/>
      <c r="W979" s="130"/>
      <c r="Y979" s="106"/>
    </row>
    <row r="980">
      <c r="C980" s="79"/>
      <c r="D980" s="79"/>
      <c r="J980" s="79"/>
      <c r="O980" s="79"/>
      <c r="P980" s="79"/>
      <c r="S980" s="79"/>
      <c r="T980" s="79"/>
      <c r="W980" s="130"/>
      <c r="Y980" s="106"/>
    </row>
    <row r="981">
      <c r="C981" s="79"/>
      <c r="D981" s="79"/>
      <c r="J981" s="79"/>
      <c r="O981" s="79"/>
      <c r="P981" s="79"/>
      <c r="S981" s="79"/>
      <c r="T981" s="79"/>
      <c r="W981" s="130"/>
      <c r="Y981" s="106"/>
    </row>
    <row r="982">
      <c r="C982" s="79"/>
      <c r="D982" s="79"/>
      <c r="J982" s="79"/>
      <c r="O982" s="79"/>
      <c r="P982" s="79"/>
      <c r="S982" s="79"/>
      <c r="T982" s="79"/>
      <c r="W982" s="130"/>
      <c r="Y982" s="106"/>
    </row>
    <row r="983">
      <c r="C983" s="79"/>
      <c r="D983" s="79"/>
      <c r="J983" s="79"/>
      <c r="O983" s="79"/>
      <c r="P983" s="79"/>
      <c r="S983" s="79"/>
      <c r="T983" s="79"/>
      <c r="W983" s="130"/>
      <c r="Y983" s="106"/>
    </row>
    <row r="984">
      <c r="C984" s="79"/>
      <c r="D984" s="79"/>
      <c r="J984" s="79"/>
      <c r="O984" s="79"/>
      <c r="P984" s="79"/>
      <c r="S984" s="79"/>
      <c r="T984" s="79"/>
      <c r="W984" s="130"/>
      <c r="Y984" s="106"/>
    </row>
    <row r="985">
      <c r="C985" s="79"/>
      <c r="D985" s="79"/>
      <c r="J985" s="79"/>
      <c r="O985" s="79"/>
      <c r="P985" s="79"/>
      <c r="S985" s="79"/>
      <c r="T985" s="79"/>
      <c r="W985" s="130"/>
      <c r="Y985" s="106"/>
    </row>
    <row r="986">
      <c r="C986" s="79"/>
      <c r="D986" s="79"/>
      <c r="J986" s="79"/>
      <c r="O986" s="79"/>
      <c r="P986" s="79"/>
      <c r="S986" s="79"/>
      <c r="T986" s="79"/>
      <c r="W986" s="130"/>
      <c r="Y986" s="106"/>
    </row>
    <row r="987">
      <c r="C987" s="79"/>
      <c r="D987" s="79"/>
      <c r="J987" s="79"/>
      <c r="O987" s="79"/>
      <c r="P987" s="79"/>
      <c r="S987" s="79"/>
      <c r="T987" s="79"/>
      <c r="W987" s="130"/>
      <c r="Y987" s="106"/>
    </row>
    <row r="988">
      <c r="C988" s="79"/>
      <c r="D988" s="79"/>
      <c r="J988" s="79"/>
      <c r="O988" s="79"/>
      <c r="P988" s="79"/>
      <c r="S988" s="79"/>
      <c r="T988" s="79"/>
      <c r="W988" s="130"/>
      <c r="Y988" s="106"/>
    </row>
    <row r="989">
      <c r="C989" s="79"/>
      <c r="D989" s="79"/>
      <c r="J989" s="79"/>
      <c r="O989" s="79"/>
      <c r="P989" s="79"/>
      <c r="S989" s="79"/>
      <c r="T989" s="79"/>
      <c r="W989" s="130"/>
      <c r="Y989" s="106"/>
    </row>
    <row r="990">
      <c r="C990" s="79"/>
      <c r="D990" s="79"/>
      <c r="J990" s="79"/>
      <c r="O990" s="79"/>
      <c r="P990" s="79"/>
      <c r="S990" s="79"/>
      <c r="T990" s="79"/>
      <c r="W990" s="130"/>
      <c r="Y990" s="106"/>
    </row>
    <row r="991">
      <c r="C991" s="79"/>
      <c r="D991" s="79"/>
      <c r="J991" s="79"/>
      <c r="O991" s="79"/>
      <c r="P991" s="79"/>
      <c r="S991" s="79"/>
      <c r="T991" s="79"/>
      <c r="W991" s="130"/>
      <c r="Y991" s="106"/>
    </row>
    <row r="992">
      <c r="C992" s="79"/>
      <c r="D992" s="79"/>
      <c r="J992" s="79"/>
      <c r="O992" s="79"/>
      <c r="P992" s="79"/>
      <c r="S992" s="79"/>
      <c r="T992" s="79"/>
      <c r="W992" s="130"/>
      <c r="Y992" s="106"/>
    </row>
    <row r="993">
      <c r="C993" s="79"/>
      <c r="D993" s="79"/>
      <c r="J993" s="79"/>
      <c r="O993" s="79"/>
      <c r="P993" s="79"/>
      <c r="S993" s="79"/>
      <c r="T993" s="79"/>
      <c r="W993" s="130"/>
      <c r="Y993" s="106"/>
    </row>
    <row r="994">
      <c r="C994" s="79"/>
      <c r="D994" s="79"/>
      <c r="J994" s="79"/>
      <c r="O994" s="79"/>
      <c r="P994" s="79"/>
      <c r="S994" s="79"/>
      <c r="T994" s="79"/>
      <c r="W994" s="130"/>
      <c r="Y994" s="106"/>
    </row>
    <row r="995">
      <c r="C995" s="79"/>
      <c r="D995" s="79"/>
      <c r="J995" s="79"/>
      <c r="O995" s="79"/>
      <c r="P995" s="79"/>
      <c r="S995" s="79"/>
      <c r="T995" s="79"/>
      <c r="W995" s="130"/>
      <c r="Y995" s="106"/>
    </row>
    <row r="996">
      <c r="C996" s="79"/>
      <c r="D996" s="79"/>
      <c r="J996" s="79"/>
      <c r="O996" s="79"/>
      <c r="P996" s="79"/>
      <c r="S996" s="79"/>
      <c r="T996" s="79"/>
      <c r="W996" s="130"/>
      <c r="Y996" s="106"/>
    </row>
    <row r="997">
      <c r="C997" s="79"/>
      <c r="D997" s="79"/>
      <c r="J997" s="79"/>
      <c r="O997" s="79"/>
      <c r="P997" s="79"/>
      <c r="S997" s="79"/>
      <c r="T997" s="79"/>
      <c r="W997" s="130"/>
      <c r="Y997" s="106"/>
    </row>
    <row r="998">
      <c r="C998" s="79"/>
      <c r="D998" s="79"/>
      <c r="J998" s="79"/>
      <c r="O998" s="79"/>
      <c r="P998" s="79"/>
      <c r="S998" s="79"/>
      <c r="T998" s="79"/>
      <c r="W998" s="130"/>
      <c r="Y998" s="106"/>
    </row>
    <row r="999">
      <c r="C999" s="79"/>
      <c r="D999" s="79"/>
      <c r="J999" s="79"/>
      <c r="O999" s="79"/>
      <c r="P999" s="79"/>
      <c r="S999" s="79"/>
      <c r="T999" s="79"/>
      <c r="W999" s="130"/>
      <c r="Y999" s="106"/>
    </row>
    <row r="1000">
      <c r="C1000" s="79"/>
      <c r="D1000" s="79"/>
      <c r="J1000" s="79"/>
      <c r="O1000" s="79"/>
      <c r="P1000" s="79"/>
      <c r="S1000" s="79"/>
      <c r="T1000" s="79"/>
      <c r="W1000" s="130"/>
      <c r="Y1000" s="106"/>
    </row>
  </sheetData>
  <mergeCells count="1">
    <mergeCell ref="H19:J19"/>
  </mergeCells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5" max="25" width="17.0"/>
  </cols>
  <sheetData>
    <row r="1">
      <c r="B1" s="2" t="s">
        <v>0</v>
      </c>
      <c r="C1" s="105" t="s">
        <v>1</v>
      </c>
      <c r="D1" s="105" t="s">
        <v>7</v>
      </c>
      <c r="E1" s="2" t="s">
        <v>3</v>
      </c>
      <c r="F1" s="2" t="s">
        <v>129</v>
      </c>
      <c r="G1" s="2" t="s">
        <v>5</v>
      </c>
      <c r="H1" s="2" t="s">
        <v>6</v>
      </c>
      <c r="I1" s="2" t="s">
        <v>43</v>
      </c>
      <c r="J1" s="105" t="s">
        <v>40</v>
      </c>
      <c r="K1" s="2" t="s">
        <v>49</v>
      </c>
      <c r="L1" s="2" t="s">
        <v>42</v>
      </c>
      <c r="M1" s="2" t="s">
        <v>121</v>
      </c>
      <c r="N1" s="2" t="s">
        <v>164</v>
      </c>
      <c r="O1" s="105" t="s">
        <v>9</v>
      </c>
      <c r="P1" s="105" t="s">
        <v>165</v>
      </c>
      <c r="Q1" s="2" t="s">
        <v>37</v>
      </c>
      <c r="R1" s="2" t="s">
        <v>10</v>
      </c>
      <c r="S1" s="105" t="s">
        <v>11</v>
      </c>
      <c r="T1" s="105" t="s">
        <v>167</v>
      </c>
      <c r="U1" s="2" t="s">
        <v>12</v>
      </c>
      <c r="V1" s="3" t="s">
        <v>13</v>
      </c>
      <c r="W1" s="126" t="s">
        <v>14</v>
      </c>
      <c r="X1" s="3" t="s">
        <v>15</v>
      </c>
      <c r="Y1" s="106"/>
    </row>
    <row r="2">
      <c r="A2" s="74">
        <v>45208.0</v>
      </c>
      <c r="B2" s="5">
        <v>1091.36</v>
      </c>
      <c r="C2" s="93">
        <v>1721.18</v>
      </c>
      <c r="D2" s="93"/>
      <c r="E2" s="5"/>
      <c r="F2" s="5">
        <v>181.31</v>
      </c>
      <c r="G2" s="5"/>
      <c r="H2" s="5"/>
      <c r="I2" s="5"/>
      <c r="J2" s="136"/>
      <c r="K2" s="5">
        <v>168.0</v>
      </c>
      <c r="L2" s="5">
        <v>1121.29</v>
      </c>
      <c r="M2" s="5"/>
      <c r="N2" s="5"/>
      <c r="O2" s="93"/>
      <c r="P2" s="93"/>
      <c r="Q2" s="5"/>
      <c r="R2" s="5"/>
      <c r="S2" s="93">
        <v>57.05</v>
      </c>
      <c r="T2" s="93"/>
      <c r="U2" s="5"/>
      <c r="V2" s="107">
        <f t="shared" ref="V2:V7" si="1">SUM(B2:U2)</f>
        <v>4340.19</v>
      </c>
      <c r="W2" s="108"/>
      <c r="X2" s="59" t="str">
        <f t="shared" ref="X2:X8" si="2">V2/W2</f>
        <v>#DIV/0!</v>
      </c>
      <c r="Y2" s="109">
        <f t="shared" ref="Y2:Y8" si="3">A2</f>
        <v>45208</v>
      </c>
    </row>
    <row r="3">
      <c r="A3" s="74">
        <v>45209.0</v>
      </c>
      <c r="B3" s="5">
        <v>673.95</v>
      </c>
      <c r="C3" s="110"/>
      <c r="D3" s="93"/>
      <c r="E3" s="5"/>
      <c r="F3" s="5"/>
      <c r="G3" s="5"/>
      <c r="H3" s="5">
        <v>42.0</v>
      </c>
      <c r="I3" s="5"/>
      <c r="J3" s="93"/>
      <c r="K3" s="5"/>
      <c r="L3" s="5"/>
      <c r="M3" s="6"/>
      <c r="N3" s="6"/>
      <c r="O3" s="93"/>
      <c r="P3" s="93"/>
      <c r="Q3" s="93"/>
      <c r="R3" s="5"/>
      <c r="S3" s="93"/>
      <c r="T3" s="93"/>
      <c r="U3" s="93"/>
      <c r="V3" s="7">
        <f t="shared" si="1"/>
        <v>715.95</v>
      </c>
      <c r="W3" s="97"/>
      <c r="X3" s="59" t="str">
        <f t="shared" si="2"/>
        <v>#DIV/0!</v>
      </c>
      <c r="Y3" s="109">
        <f t="shared" si="3"/>
        <v>45209</v>
      </c>
    </row>
    <row r="4">
      <c r="A4" s="74">
        <v>45210.0</v>
      </c>
      <c r="B4" s="5">
        <v>2388.45</v>
      </c>
      <c r="C4" s="93"/>
      <c r="D4" s="93"/>
      <c r="E4" s="5"/>
      <c r="F4" s="5"/>
      <c r="G4" s="5">
        <v>549.02</v>
      </c>
      <c r="H4" s="5"/>
      <c r="I4" s="5"/>
      <c r="J4" s="93"/>
      <c r="K4" s="5"/>
      <c r="L4" s="5"/>
      <c r="M4" s="5">
        <v>18.5</v>
      </c>
      <c r="N4" s="5"/>
      <c r="O4" s="93"/>
      <c r="P4" s="93"/>
      <c r="Q4" s="5"/>
      <c r="R4" s="83"/>
      <c r="S4" s="93">
        <v>57.05</v>
      </c>
      <c r="T4" s="93"/>
      <c r="U4" s="6"/>
      <c r="V4" s="7">
        <f t="shared" si="1"/>
        <v>3013.02</v>
      </c>
      <c r="W4" s="97"/>
      <c r="X4" s="59" t="str">
        <f t="shared" si="2"/>
        <v>#DIV/0!</v>
      </c>
      <c r="Y4" s="109">
        <f t="shared" si="3"/>
        <v>45210</v>
      </c>
    </row>
    <row r="5">
      <c r="A5" s="74">
        <v>45211.0</v>
      </c>
      <c r="B5" s="5">
        <v>1119.21</v>
      </c>
      <c r="C5" s="93">
        <v>605.5</v>
      </c>
      <c r="D5" s="101"/>
      <c r="E5" s="5">
        <v>180.0</v>
      </c>
      <c r="F5" s="5"/>
      <c r="G5" s="5"/>
      <c r="H5" s="5">
        <v>123.0</v>
      </c>
      <c r="I5" s="5"/>
      <c r="J5" s="93"/>
      <c r="K5" s="5"/>
      <c r="L5" s="5"/>
      <c r="M5" s="5">
        <v>18.5</v>
      </c>
      <c r="N5" s="5"/>
      <c r="O5" s="93"/>
      <c r="P5" s="93"/>
      <c r="Q5" s="5"/>
      <c r="R5" s="5"/>
      <c r="S5" s="101"/>
      <c r="T5" s="101"/>
      <c r="U5" s="6"/>
      <c r="V5" s="7">
        <f t="shared" si="1"/>
        <v>2046.21</v>
      </c>
      <c r="W5" s="98"/>
      <c r="X5" s="59" t="str">
        <f t="shared" si="2"/>
        <v>#DIV/0!</v>
      </c>
      <c r="Y5" s="109">
        <f t="shared" si="3"/>
        <v>45211</v>
      </c>
    </row>
    <row r="6">
      <c r="A6" s="74">
        <v>45212.0</v>
      </c>
      <c r="B6" s="5">
        <v>1552.88</v>
      </c>
      <c r="C6" s="93">
        <v>517.17</v>
      </c>
      <c r="D6" s="93"/>
      <c r="E6" s="5"/>
      <c r="F6" s="32">
        <v>574.95</v>
      </c>
      <c r="G6" s="5">
        <v>396.0</v>
      </c>
      <c r="H6" s="5"/>
      <c r="I6" s="5"/>
      <c r="J6" s="111"/>
      <c r="K6" s="5"/>
      <c r="L6" s="5"/>
      <c r="M6" s="5">
        <v>18.5</v>
      </c>
      <c r="N6" s="5"/>
      <c r="O6" s="93"/>
      <c r="P6" s="93"/>
      <c r="Q6" s="5"/>
      <c r="R6" s="5"/>
      <c r="S6" s="93">
        <v>57.05</v>
      </c>
      <c r="T6" s="93"/>
      <c r="U6" s="5"/>
      <c r="V6" s="7">
        <f t="shared" si="1"/>
        <v>3116.55</v>
      </c>
      <c r="W6" s="97"/>
      <c r="X6" s="59" t="str">
        <f t="shared" si="2"/>
        <v>#DIV/0!</v>
      </c>
      <c r="Y6" s="109">
        <f t="shared" si="3"/>
        <v>45212</v>
      </c>
    </row>
    <row r="7">
      <c r="A7" s="74">
        <v>45213.0</v>
      </c>
      <c r="B7" s="5">
        <v>1617.9</v>
      </c>
      <c r="C7" s="93">
        <v>332.4</v>
      </c>
      <c r="D7" s="93"/>
      <c r="E7" s="5"/>
      <c r="F7" s="5">
        <v>221.91</v>
      </c>
      <c r="G7" s="5"/>
      <c r="H7" s="5"/>
      <c r="I7" s="5"/>
      <c r="J7" s="101"/>
      <c r="K7" s="5">
        <v>84.0</v>
      </c>
      <c r="L7" s="5"/>
      <c r="M7" s="93"/>
      <c r="N7" s="93"/>
      <c r="O7" s="93"/>
      <c r="P7" s="93"/>
      <c r="Q7" s="6"/>
      <c r="R7" s="6"/>
      <c r="S7" s="101"/>
      <c r="T7" s="101"/>
      <c r="U7" s="5"/>
      <c r="V7" s="7">
        <f t="shared" si="1"/>
        <v>2256.21</v>
      </c>
      <c r="W7" s="97"/>
      <c r="X7" s="59" t="str">
        <f t="shared" si="2"/>
        <v>#DIV/0!</v>
      </c>
      <c r="Y7" s="109">
        <f t="shared" si="3"/>
        <v>45213</v>
      </c>
    </row>
    <row r="8">
      <c r="A8" s="74">
        <v>45214.0</v>
      </c>
      <c r="B8" s="10" t="s">
        <v>21</v>
      </c>
      <c r="C8" s="112" t="s">
        <v>21</v>
      </c>
      <c r="D8" s="112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12" t="s">
        <v>21</v>
      </c>
      <c r="K8" s="10" t="s">
        <v>21</v>
      </c>
      <c r="L8" s="10" t="s">
        <v>21</v>
      </c>
      <c r="M8" s="10"/>
      <c r="N8" s="10"/>
      <c r="O8" s="112" t="s">
        <v>21</v>
      </c>
      <c r="P8" s="112"/>
      <c r="Q8" s="10" t="s">
        <v>21</v>
      </c>
      <c r="R8" s="10" t="s">
        <v>21</v>
      </c>
      <c r="S8" s="112" t="s">
        <v>21</v>
      </c>
      <c r="T8" s="112"/>
      <c r="U8" s="10" t="s">
        <v>21</v>
      </c>
      <c r="V8" s="7">
        <v>0.0</v>
      </c>
      <c r="W8" s="97"/>
      <c r="X8" s="59" t="str">
        <f t="shared" si="2"/>
        <v>#DIV/0!</v>
      </c>
      <c r="Y8" s="109">
        <f t="shared" si="3"/>
        <v>45214</v>
      </c>
    </row>
    <row r="9">
      <c r="C9" s="136"/>
      <c r="D9" s="138"/>
      <c r="J9" s="79"/>
      <c r="S9" s="79"/>
      <c r="T9" s="79"/>
      <c r="W9" s="129"/>
      <c r="Y9" s="106"/>
    </row>
    <row r="10">
      <c r="C10" s="79"/>
      <c r="D10" s="79"/>
      <c r="J10" s="79"/>
      <c r="O10" s="79"/>
      <c r="P10" s="79"/>
      <c r="S10" s="79"/>
      <c r="T10" s="79"/>
      <c r="W10" s="130"/>
      <c r="Y10" s="106"/>
    </row>
    <row r="11">
      <c r="A11" s="4" t="s">
        <v>22</v>
      </c>
      <c r="B11" s="11">
        <v>13000.0</v>
      </c>
      <c r="C11" s="79"/>
      <c r="D11" s="79"/>
      <c r="E11" s="78"/>
      <c r="F11" s="79"/>
      <c r="J11" s="79"/>
      <c r="O11" s="79"/>
      <c r="P11" s="79"/>
      <c r="S11" s="79"/>
      <c r="T11" s="79"/>
      <c r="W11" s="131"/>
      <c r="Y11" s="106"/>
    </row>
    <row r="12">
      <c r="A12" s="4" t="s">
        <v>23</v>
      </c>
      <c r="B12" s="12">
        <f>SUM(B2:U8)+C9</f>
        <v>15488.13</v>
      </c>
      <c r="C12" s="79"/>
      <c r="D12" s="79"/>
      <c r="E12" s="56"/>
      <c r="J12" s="79"/>
      <c r="O12" s="79"/>
      <c r="P12" s="79"/>
      <c r="S12" s="79"/>
      <c r="T12" s="79"/>
      <c r="W12" s="130"/>
      <c r="Y12" s="106"/>
    </row>
    <row r="13">
      <c r="A13" s="4" t="s">
        <v>24</v>
      </c>
      <c r="B13" s="12">
        <f> SUM(B11-B12)</f>
        <v>-2488.13</v>
      </c>
      <c r="C13" s="79"/>
      <c r="D13" s="79"/>
      <c r="J13" s="79"/>
      <c r="O13" s="79"/>
      <c r="P13" s="79"/>
      <c r="S13" s="79"/>
      <c r="T13" s="79"/>
      <c r="W13" s="130"/>
      <c r="Y13" s="106"/>
    </row>
    <row r="14">
      <c r="C14" s="79"/>
      <c r="D14" s="79"/>
      <c r="J14" s="79"/>
      <c r="O14" s="79"/>
      <c r="P14" s="79"/>
      <c r="S14" s="79"/>
      <c r="T14" s="79"/>
      <c r="W14" s="130"/>
      <c r="Y14" s="106"/>
    </row>
    <row r="15">
      <c r="A15" s="13" t="s">
        <v>25</v>
      </c>
      <c r="B15" s="14">
        <f>SUM(W2:W8)</f>
        <v>0</v>
      </c>
      <c r="C15" s="79"/>
      <c r="D15" s="79"/>
      <c r="J15" s="79"/>
      <c r="O15" s="79"/>
      <c r="P15" s="79"/>
      <c r="S15" s="79"/>
      <c r="T15" s="79"/>
      <c r="W15" s="130"/>
      <c r="Y15" s="106"/>
    </row>
    <row r="16">
      <c r="A16" s="13" t="s">
        <v>26</v>
      </c>
      <c r="B16" s="15" t="str">
        <f>B12/B15</f>
        <v>#DIV/0!</v>
      </c>
      <c r="C16" s="79"/>
      <c r="D16" s="79"/>
      <c r="J16" s="79"/>
      <c r="O16" s="79"/>
      <c r="P16" s="79"/>
      <c r="S16" s="79"/>
      <c r="T16" s="79"/>
      <c r="W16" s="130"/>
      <c r="Y16" s="106"/>
    </row>
    <row r="17">
      <c r="C17" s="79"/>
      <c r="D17" s="79"/>
      <c r="J17" s="79"/>
      <c r="O17" s="79"/>
      <c r="P17" s="79"/>
      <c r="S17" s="79"/>
      <c r="T17" s="79"/>
      <c r="W17" s="130"/>
      <c r="Y17" s="106"/>
    </row>
    <row r="18">
      <c r="C18" s="79"/>
      <c r="D18" s="79"/>
      <c r="J18" s="79"/>
      <c r="O18" s="79"/>
      <c r="P18" s="79"/>
      <c r="S18" s="79"/>
      <c r="T18" s="79"/>
      <c r="W18" s="130"/>
      <c r="Y18" s="106"/>
    </row>
    <row r="19">
      <c r="A19" s="16" t="s">
        <v>27</v>
      </c>
      <c r="B19" s="17"/>
      <c r="C19" s="114"/>
      <c r="D19" s="115"/>
      <c r="H19" s="84"/>
      <c r="O19" s="79"/>
      <c r="P19" s="79"/>
      <c r="S19" s="79"/>
      <c r="T19" s="79"/>
      <c r="W19" s="130"/>
      <c r="Y19" s="106"/>
    </row>
    <row r="20">
      <c r="A20" s="19" t="s">
        <v>28</v>
      </c>
      <c r="B20" s="20"/>
      <c r="C20" s="116"/>
      <c r="D20" s="117"/>
      <c r="H20" s="85"/>
      <c r="I20" s="85"/>
      <c r="J20" s="118"/>
      <c r="O20" s="79"/>
      <c r="P20" s="79"/>
      <c r="S20" s="79"/>
      <c r="T20" s="79"/>
      <c r="W20" s="130"/>
      <c r="Y20" s="106"/>
    </row>
    <row r="21">
      <c r="A21" s="22" t="s">
        <v>29</v>
      </c>
      <c r="B21" s="23" t="s">
        <v>30</v>
      </c>
      <c r="C21" s="119" t="s">
        <v>170</v>
      </c>
      <c r="D21" s="120" t="s">
        <v>171</v>
      </c>
      <c r="H21" s="86"/>
      <c r="I21" s="85"/>
      <c r="J21" s="118"/>
      <c r="O21" s="79"/>
      <c r="P21" s="79"/>
      <c r="S21" s="79"/>
      <c r="T21" s="79"/>
      <c r="W21" s="130"/>
      <c r="Y21" s="106"/>
    </row>
    <row r="22">
      <c r="A22" s="28" t="s">
        <v>149</v>
      </c>
      <c r="B22" s="72"/>
      <c r="C22" s="121"/>
      <c r="D22" s="122"/>
      <c r="H22" s="87"/>
      <c r="I22" s="85"/>
      <c r="J22" s="118"/>
      <c r="O22" s="79"/>
      <c r="P22" s="79"/>
      <c r="S22" s="79"/>
      <c r="T22" s="79"/>
      <c r="W22" s="130"/>
      <c r="Y22" s="106"/>
    </row>
    <row r="23">
      <c r="A23" s="28" t="s">
        <v>150</v>
      </c>
      <c r="B23" s="72"/>
      <c r="C23" s="121"/>
      <c r="D23" s="122"/>
      <c r="H23" s="88"/>
      <c r="I23" s="88"/>
      <c r="J23" s="123"/>
      <c r="O23" s="79"/>
      <c r="P23" s="79"/>
      <c r="S23" s="79"/>
      <c r="T23" s="79"/>
      <c r="W23" s="130"/>
      <c r="Y23" s="106"/>
    </row>
    <row r="24">
      <c r="A24" s="71" t="s">
        <v>108</v>
      </c>
      <c r="B24" s="72">
        <v>1637.85</v>
      </c>
      <c r="C24" s="71"/>
      <c r="D24" s="124" t="s">
        <v>184</v>
      </c>
      <c r="H24" s="88"/>
      <c r="I24" s="88"/>
      <c r="J24" s="123"/>
      <c r="O24" s="79"/>
      <c r="P24" s="79"/>
      <c r="S24" s="79"/>
      <c r="T24" s="79"/>
      <c r="W24" s="130"/>
      <c r="Y24" s="106"/>
    </row>
    <row r="25">
      <c r="A25" s="28" t="s">
        <v>159</v>
      </c>
      <c r="B25" s="41"/>
      <c r="C25" s="121"/>
      <c r="D25" s="124"/>
      <c r="H25" s="88"/>
      <c r="I25" s="88"/>
      <c r="J25" s="123"/>
      <c r="O25" s="79"/>
      <c r="P25" s="79"/>
      <c r="S25" s="79"/>
      <c r="T25" s="79"/>
      <c r="W25" s="130"/>
      <c r="Y25" s="106"/>
    </row>
    <row r="26">
      <c r="A26" s="28" t="s">
        <v>160</v>
      </c>
      <c r="B26" s="41"/>
      <c r="C26" s="71"/>
      <c r="D26" s="124"/>
      <c r="H26" s="88"/>
      <c r="I26" s="88"/>
      <c r="J26" s="123"/>
      <c r="O26" s="79"/>
      <c r="P26" s="79"/>
      <c r="S26" s="79"/>
      <c r="T26" s="79"/>
      <c r="W26" s="130"/>
      <c r="Y26" s="106"/>
    </row>
    <row r="27">
      <c r="A27" s="28" t="s">
        <v>172</v>
      </c>
      <c r="B27" s="41"/>
      <c r="C27" s="71"/>
      <c r="D27" s="122"/>
      <c r="H27" s="88"/>
      <c r="I27" s="88"/>
      <c r="J27" s="123"/>
      <c r="O27" s="79"/>
      <c r="P27" s="79"/>
      <c r="S27" s="79"/>
      <c r="T27" s="79"/>
      <c r="W27" s="130"/>
      <c r="Y27" s="106"/>
    </row>
    <row r="28">
      <c r="A28" s="28" t="s">
        <v>185</v>
      </c>
      <c r="B28" s="41">
        <v>838.86</v>
      </c>
      <c r="C28" s="121"/>
      <c r="D28" s="124" t="s">
        <v>186</v>
      </c>
      <c r="J28" s="79"/>
      <c r="O28" s="79"/>
      <c r="P28" s="79"/>
      <c r="S28" s="79"/>
      <c r="T28" s="79"/>
      <c r="W28" s="132"/>
      <c r="Y28" s="106"/>
    </row>
    <row r="29">
      <c r="A29" s="25"/>
      <c r="B29" s="26"/>
      <c r="C29" s="121"/>
      <c r="D29" s="122"/>
      <c r="I29" s="89"/>
      <c r="J29" s="125"/>
      <c r="O29" s="79"/>
      <c r="P29" s="79"/>
      <c r="S29" s="79"/>
      <c r="T29" s="79"/>
      <c r="W29" s="130"/>
      <c r="Y29" s="106"/>
    </row>
    <row r="30">
      <c r="C30" s="79"/>
      <c r="D30" s="79"/>
      <c r="J30" s="79"/>
      <c r="O30" s="79"/>
      <c r="P30" s="79"/>
      <c r="S30" s="79"/>
      <c r="T30" s="79"/>
      <c r="W30" s="130"/>
      <c r="Y30" s="106"/>
    </row>
    <row r="31">
      <c r="C31" s="79"/>
      <c r="D31" s="79"/>
      <c r="J31" s="79"/>
      <c r="O31" s="79"/>
      <c r="P31" s="79"/>
      <c r="S31" s="79"/>
      <c r="T31" s="79"/>
      <c r="W31" s="130"/>
      <c r="Y31" s="106"/>
    </row>
    <row r="32">
      <c r="C32" s="79"/>
      <c r="D32" s="79"/>
      <c r="J32" s="79"/>
      <c r="O32" s="79"/>
      <c r="P32" s="79"/>
      <c r="S32" s="79"/>
      <c r="T32" s="79"/>
      <c r="W32" s="130"/>
      <c r="Y32" s="106"/>
    </row>
    <row r="33">
      <c r="C33" s="79"/>
      <c r="D33" s="79"/>
      <c r="J33" s="79"/>
      <c r="O33" s="79"/>
      <c r="P33" s="79"/>
      <c r="S33" s="79"/>
      <c r="T33" s="79"/>
      <c r="W33" s="130"/>
      <c r="Y33" s="106"/>
    </row>
    <row r="34">
      <c r="C34" s="79"/>
      <c r="D34" s="79"/>
      <c r="J34" s="79"/>
      <c r="O34" s="79"/>
      <c r="P34" s="79"/>
      <c r="S34" s="79"/>
      <c r="T34" s="79"/>
      <c r="W34" s="130"/>
      <c r="Y34" s="106"/>
    </row>
    <row r="35">
      <c r="C35" s="79"/>
      <c r="D35" s="79"/>
      <c r="J35" s="79"/>
      <c r="O35" s="79"/>
      <c r="P35" s="79"/>
      <c r="S35" s="79"/>
      <c r="T35" s="79"/>
      <c r="W35" s="130"/>
      <c r="Y35" s="106"/>
    </row>
    <row r="36">
      <c r="C36" s="79"/>
      <c r="D36" s="79"/>
      <c r="J36" s="79"/>
      <c r="O36" s="79"/>
      <c r="P36" s="79"/>
      <c r="S36" s="79"/>
      <c r="T36" s="79"/>
      <c r="W36" s="130"/>
      <c r="Y36" s="106"/>
    </row>
    <row r="37">
      <c r="C37" s="79"/>
      <c r="D37" s="79"/>
      <c r="J37" s="79"/>
      <c r="O37" s="79"/>
      <c r="P37" s="79"/>
      <c r="S37" s="79"/>
      <c r="T37" s="79"/>
      <c r="W37" s="130"/>
      <c r="Y37" s="106"/>
    </row>
    <row r="38">
      <c r="C38" s="79"/>
      <c r="D38" s="79"/>
      <c r="J38" s="79"/>
      <c r="O38" s="79"/>
      <c r="P38" s="79"/>
      <c r="S38" s="79"/>
      <c r="T38" s="79"/>
      <c r="W38" s="130"/>
      <c r="Y38" s="106"/>
    </row>
    <row r="39">
      <c r="C39" s="79"/>
      <c r="D39" s="79"/>
      <c r="J39" s="79"/>
      <c r="O39" s="79"/>
      <c r="P39" s="79"/>
      <c r="S39" s="79"/>
      <c r="T39" s="79"/>
      <c r="W39" s="130"/>
      <c r="Y39" s="106"/>
    </row>
    <row r="40">
      <c r="C40" s="79"/>
      <c r="D40" s="79"/>
      <c r="J40" s="79"/>
      <c r="O40" s="79"/>
      <c r="P40" s="79"/>
      <c r="S40" s="79"/>
      <c r="T40" s="79"/>
      <c r="W40" s="130"/>
      <c r="Y40" s="106"/>
    </row>
    <row r="41">
      <c r="C41" s="79"/>
      <c r="D41" s="79"/>
      <c r="J41" s="79"/>
      <c r="O41" s="79"/>
      <c r="P41" s="79"/>
      <c r="S41" s="79"/>
      <c r="T41" s="79"/>
      <c r="W41" s="130"/>
      <c r="Y41" s="106"/>
    </row>
    <row r="42">
      <c r="C42" s="79"/>
      <c r="D42" s="79"/>
      <c r="J42" s="79"/>
      <c r="O42" s="79"/>
      <c r="P42" s="79"/>
      <c r="S42" s="79"/>
      <c r="T42" s="79"/>
      <c r="W42" s="130"/>
      <c r="Y42" s="106"/>
    </row>
    <row r="43">
      <c r="C43" s="79"/>
      <c r="D43" s="79"/>
      <c r="J43" s="79"/>
      <c r="O43" s="79"/>
      <c r="P43" s="79"/>
      <c r="S43" s="79"/>
      <c r="T43" s="79"/>
      <c r="W43" s="130"/>
      <c r="Y43" s="106"/>
    </row>
    <row r="44">
      <c r="C44" s="79"/>
      <c r="D44" s="79"/>
      <c r="J44" s="79"/>
      <c r="O44" s="79"/>
      <c r="P44" s="79"/>
      <c r="S44" s="79"/>
      <c r="T44" s="79"/>
      <c r="W44" s="130"/>
      <c r="Y44" s="106"/>
    </row>
    <row r="45">
      <c r="C45" s="79"/>
      <c r="D45" s="79"/>
      <c r="J45" s="79"/>
      <c r="O45" s="79"/>
      <c r="P45" s="79"/>
      <c r="S45" s="79"/>
      <c r="T45" s="79"/>
      <c r="W45" s="130"/>
      <c r="Y45" s="106"/>
    </row>
    <row r="46">
      <c r="C46" s="79"/>
      <c r="D46" s="79"/>
      <c r="J46" s="79"/>
      <c r="O46" s="79"/>
      <c r="P46" s="79"/>
      <c r="S46" s="79"/>
      <c r="T46" s="79"/>
      <c r="W46" s="130"/>
      <c r="Y46" s="106"/>
    </row>
    <row r="47">
      <c r="C47" s="79"/>
      <c r="D47" s="79"/>
      <c r="J47" s="79"/>
      <c r="O47" s="79"/>
      <c r="P47" s="79"/>
      <c r="S47" s="79"/>
      <c r="T47" s="79"/>
      <c r="W47" s="130"/>
      <c r="Y47" s="106"/>
    </row>
    <row r="48">
      <c r="C48" s="79"/>
      <c r="D48" s="79"/>
      <c r="J48" s="79"/>
      <c r="O48" s="79"/>
      <c r="P48" s="79"/>
      <c r="S48" s="79"/>
      <c r="T48" s="79"/>
      <c r="W48" s="130"/>
      <c r="Y48" s="106"/>
    </row>
    <row r="49">
      <c r="C49" s="79"/>
      <c r="D49" s="79"/>
      <c r="J49" s="79"/>
      <c r="O49" s="79"/>
      <c r="P49" s="79"/>
      <c r="S49" s="79"/>
      <c r="T49" s="79"/>
      <c r="W49" s="130"/>
      <c r="Y49" s="106"/>
    </row>
    <row r="50">
      <c r="C50" s="79"/>
      <c r="D50" s="79"/>
      <c r="J50" s="79"/>
      <c r="O50" s="79"/>
      <c r="P50" s="79"/>
      <c r="S50" s="79"/>
      <c r="T50" s="79"/>
      <c r="W50" s="130"/>
      <c r="Y50" s="106"/>
    </row>
    <row r="51">
      <c r="C51" s="79"/>
      <c r="D51" s="79"/>
      <c r="J51" s="79"/>
      <c r="O51" s="79"/>
      <c r="P51" s="79"/>
      <c r="S51" s="79"/>
      <c r="T51" s="79"/>
      <c r="W51" s="130"/>
      <c r="Y51" s="106"/>
    </row>
    <row r="52">
      <c r="C52" s="79"/>
      <c r="D52" s="79"/>
      <c r="J52" s="79"/>
      <c r="O52" s="79"/>
      <c r="P52" s="79"/>
      <c r="S52" s="79"/>
      <c r="T52" s="79"/>
      <c r="W52" s="130"/>
      <c r="Y52" s="106"/>
    </row>
    <row r="53">
      <c r="C53" s="79"/>
      <c r="D53" s="79"/>
      <c r="J53" s="79"/>
      <c r="O53" s="79"/>
      <c r="P53" s="79"/>
      <c r="S53" s="79"/>
      <c r="T53" s="79"/>
      <c r="W53" s="130"/>
      <c r="Y53" s="106"/>
    </row>
    <row r="54">
      <c r="C54" s="79"/>
      <c r="D54" s="79"/>
      <c r="J54" s="79"/>
      <c r="O54" s="79"/>
      <c r="P54" s="79"/>
      <c r="S54" s="79"/>
      <c r="T54" s="79"/>
      <c r="W54" s="130"/>
      <c r="Y54" s="106"/>
    </row>
    <row r="55">
      <c r="C55" s="79"/>
      <c r="D55" s="79"/>
      <c r="J55" s="79"/>
      <c r="O55" s="79"/>
      <c r="P55" s="79"/>
      <c r="S55" s="79"/>
      <c r="T55" s="79"/>
      <c r="W55" s="130"/>
      <c r="Y55" s="106"/>
    </row>
    <row r="56">
      <c r="C56" s="79"/>
      <c r="D56" s="79"/>
      <c r="J56" s="79"/>
      <c r="O56" s="79"/>
      <c r="P56" s="79"/>
      <c r="S56" s="79"/>
      <c r="T56" s="79"/>
      <c r="W56" s="130"/>
      <c r="Y56" s="106"/>
    </row>
    <row r="57">
      <c r="C57" s="79"/>
      <c r="D57" s="79"/>
      <c r="J57" s="79"/>
      <c r="O57" s="79"/>
      <c r="P57" s="79"/>
      <c r="S57" s="79"/>
      <c r="T57" s="79"/>
      <c r="W57" s="130"/>
      <c r="Y57" s="106"/>
    </row>
    <row r="58">
      <c r="C58" s="79"/>
      <c r="D58" s="79"/>
      <c r="J58" s="79"/>
      <c r="O58" s="79"/>
      <c r="P58" s="79"/>
      <c r="S58" s="79"/>
      <c r="T58" s="79"/>
      <c r="W58" s="130"/>
      <c r="Y58" s="106"/>
    </row>
    <row r="59">
      <c r="C59" s="79"/>
      <c r="D59" s="79"/>
      <c r="J59" s="79"/>
      <c r="O59" s="79"/>
      <c r="P59" s="79"/>
      <c r="S59" s="79"/>
      <c r="T59" s="79"/>
      <c r="W59" s="130"/>
      <c r="Y59" s="106"/>
    </row>
    <row r="60">
      <c r="C60" s="79"/>
      <c r="D60" s="79"/>
      <c r="J60" s="79"/>
      <c r="O60" s="79"/>
      <c r="P60" s="79"/>
      <c r="S60" s="79"/>
      <c r="T60" s="79"/>
      <c r="W60" s="130"/>
      <c r="Y60" s="106"/>
    </row>
    <row r="61">
      <c r="C61" s="79"/>
      <c r="D61" s="79"/>
      <c r="J61" s="79"/>
      <c r="O61" s="79"/>
      <c r="P61" s="79"/>
      <c r="S61" s="79"/>
      <c r="T61" s="79"/>
      <c r="W61" s="130"/>
      <c r="Y61" s="106"/>
    </row>
    <row r="62">
      <c r="C62" s="79"/>
      <c r="D62" s="79"/>
      <c r="J62" s="79"/>
      <c r="O62" s="79"/>
      <c r="P62" s="79"/>
      <c r="S62" s="79"/>
      <c r="T62" s="79"/>
      <c r="W62" s="130"/>
      <c r="Y62" s="106"/>
    </row>
    <row r="63">
      <c r="C63" s="79"/>
      <c r="D63" s="79"/>
      <c r="J63" s="79"/>
      <c r="O63" s="79"/>
      <c r="P63" s="79"/>
      <c r="S63" s="79"/>
      <c r="T63" s="79"/>
      <c r="W63" s="130"/>
      <c r="Y63" s="106"/>
    </row>
    <row r="64">
      <c r="C64" s="79"/>
      <c r="D64" s="79"/>
      <c r="J64" s="79"/>
      <c r="O64" s="79"/>
      <c r="P64" s="79"/>
      <c r="S64" s="79"/>
      <c r="T64" s="79"/>
      <c r="W64" s="130"/>
      <c r="Y64" s="106"/>
    </row>
    <row r="65">
      <c r="C65" s="79"/>
      <c r="D65" s="79"/>
      <c r="J65" s="79"/>
      <c r="O65" s="79"/>
      <c r="P65" s="79"/>
      <c r="S65" s="79"/>
      <c r="T65" s="79"/>
      <c r="W65" s="130"/>
      <c r="Y65" s="106"/>
    </row>
    <row r="66">
      <c r="C66" s="79"/>
      <c r="D66" s="79"/>
      <c r="J66" s="79"/>
      <c r="O66" s="79"/>
      <c r="P66" s="79"/>
      <c r="S66" s="79"/>
      <c r="T66" s="79"/>
      <c r="W66" s="130"/>
      <c r="Y66" s="106"/>
    </row>
    <row r="67">
      <c r="C67" s="79"/>
      <c r="D67" s="79"/>
      <c r="J67" s="79"/>
      <c r="O67" s="79"/>
      <c r="P67" s="79"/>
      <c r="S67" s="79"/>
      <c r="T67" s="79"/>
      <c r="W67" s="130"/>
      <c r="Y67" s="106"/>
    </row>
    <row r="68">
      <c r="C68" s="79"/>
      <c r="D68" s="79"/>
      <c r="J68" s="79"/>
      <c r="O68" s="79"/>
      <c r="P68" s="79"/>
      <c r="S68" s="79"/>
      <c r="T68" s="79"/>
      <c r="W68" s="130"/>
      <c r="Y68" s="106"/>
    </row>
    <row r="69">
      <c r="C69" s="79"/>
      <c r="D69" s="79"/>
      <c r="J69" s="79"/>
      <c r="O69" s="79"/>
      <c r="P69" s="79"/>
      <c r="S69" s="79"/>
      <c r="T69" s="79"/>
      <c r="W69" s="130"/>
      <c r="Y69" s="106"/>
    </row>
    <row r="70">
      <c r="C70" s="79"/>
      <c r="D70" s="79"/>
      <c r="J70" s="79"/>
      <c r="O70" s="79"/>
      <c r="P70" s="79"/>
      <c r="S70" s="79"/>
      <c r="T70" s="79"/>
      <c r="W70" s="130"/>
      <c r="Y70" s="106"/>
    </row>
    <row r="71">
      <c r="C71" s="79"/>
      <c r="D71" s="79"/>
      <c r="J71" s="79"/>
      <c r="O71" s="79"/>
      <c r="P71" s="79"/>
      <c r="S71" s="79"/>
      <c r="T71" s="79"/>
      <c r="W71" s="130"/>
      <c r="Y71" s="106"/>
    </row>
    <row r="72">
      <c r="C72" s="79"/>
      <c r="D72" s="79"/>
      <c r="J72" s="79"/>
      <c r="O72" s="79"/>
      <c r="P72" s="79"/>
      <c r="S72" s="79"/>
      <c r="T72" s="79"/>
      <c r="W72" s="130"/>
      <c r="Y72" s="106"/>
    </row>
    <row r="73">
      <c r="C73" s="79"/>
      <c r="D73" s="79"/>
      <c r="J73" s="79"/>
      <c r="O73" s="79"/>
      <c r="P73" s="79"/>
      <c r="S73" s="79"/>
      <c r="T73" s="79"/>
      <c r="W73" s="130"/>
      <c r="Y73" s="106"/>
    </row>
    <row r="74">
      <c r="C74" s="79"/>
      <c r="D74" s="79"/>
      <c r="J74" s="79"/>
      <c r="O74" s="79"/>
      <c r="P74" s="79"/>
      <c r="S74" s="79"/>
      <c r="T74" s="79"/>
      <c r="W74" s="130"/>
      <c r="Y74" s="106"/>
    </row>
    <row r="75">
      <c r="C75" s="79"/>
      <c r="D75" s="79"/>
      <c r="J75" s="79"/>
      <c r="O75" s="79"/>
      <c r="P75" s="79"/>
      <c r="S75" s="79"/>
      <c r="T75" s="79"/>
      <c r="W75" s="130"/>
      <c r="Y75" s="106"/>
    </row>
    <row r="76">
      <c r="C76" s="79"/>
      <c r="D76" s="79"/>
      <c r="J76" s="79"/>
      <c r="O76" s="79"/>
      <c r="P76" s="79"/>
      <c r="S76" s="79"/>
      <c r="T76" s="79"/>
      <c r="W76" s="130"/>
      <c r="Y76" s="106"/>
    </row>
    <row r="77">
      <c r="C77" s="79"/>
      <c r="D77" s="79"/>
      <c r="J77" s="79"/>
      <c r="O77" s="79"/>
      <c r="P77" s="79"/>
      <c r="S77" s="79"/>
      <c r="T77" s="79"/>
      <c r="W77" s="130"/>
      <c r="Y77" s="106"/>
    </row>
    <row r="78">
      <c r="C78" s="79"/>
      <c r="D78" s="79"/>
      <c r="J78" s="79"/>
      <c r="O78" s="79"/>
      <c r="P78" s="79"/>
      <c r="S78" s="79"/>
      <c r="T78" s="79"/>
      <c r="W78" s="130"/>
      <c r="Y78" s="106"/>
    </row>
    <row r="79">
      <c r="C79" s="79"/>
      <c r="D79" s="79"/>
      <c r="J79" s="79"/>
      <c r="O79" s="79"/>
      <c r="P79" s="79"/>
      <c r="S79" s="79"/>
      <c r="T79" s="79"/>
      <c r="W79" s="130"/>
      <c r="Y79" s="106"/>
    </row>
    <row r="80">
      <c r="C80" s="79"/>
      <c r="D80" s="79"/>
      <c r="J80" s="79"/>
      <c r="O80" s="79"/>
      <c r="P80" s="79"/>
      <c r="S80" s="79"/>
      <c r="T80" s="79"/>
      <c r="W80" s="130"/>
      <c r="Y80" s="106"/>
    </row>
    <row r="81">
      <c r="C81" s="79"/>
      <c r="D81" s="79"/>
      <c r="J81" s="79"/>
      <c r="O81" s="79"/>
      <c r="P81" s="79"/>
      <c r="S81" s="79"/>
      <c r="T81" s="79"/>
      <c r="W81" s="130"/>
      <c r="Y81" s="106"/>
    </row>
    <row r="82">
      <c r="C82" s="79"/>
      <c r="D82" s="79"/>
      <c r="J82" s="79"/>
      <c r="O82" s="79"/>
      <c r="P82" s="79"/>
      <c r="S82" s="79"/>
      <c r="T82" s="79"/>
      <c r="W82" s="130"/>
      <c r="Y82" s="106"/>
    </row>
    <row r="83">
      <c r="C83" s="79"/>
      <c r="D83" s="79"/>
      <c r="J83" s="79"/>
      <c r="O83" s="79"/>
      <c r="P83" s="79"/>
      <c r="S83" s="79"/>
      <c r="T83" s="79"/>
      <c r="W83" s="130"/>
      <c r="Y83" s="106"/>
    </row>
    <row r="84">
      <c r="C84" s="79"/>
      <c r="D84" s="79"/>
      <c r="J84" s="79"/>
      <c r="O84" s="79"/>
      <c r="P84" s="79"/>
      <c r="S84" s="79"/>
      <c r="T84" s="79"/>
      <c r="W84" s="130"/>
      <c r="Y84" s="106"/>
    </row>
    <row r="85">
      <c r="C85" s="79"/>
      <c r="D85" s="79"/>
      <c r="J85" s="79"/>
      <c r="O85" s="79"/>
      <c r="P85" s="79"/>
      <c r="S85" s="79"/>
      <c r="T85" s="79"/>
      <c r="W85" s="130"/>
      <c r="Y85" s="106"/>
    </row>
    <row r="86">
      <c r="C86" s="79"/>
      <c r="D86" s="79"/>
      <c r="J86" s="79"/>
      <c r="O86" s="79"/>
      <c r="P86" s="79"/>
      <c r="S86" s="79"/>
      <c r="T86" s="79"/>
      <c r="W86" s="130"/>
      <c r="Y86" s="106"/>
    </row>
    <row r="87">
      <c r="C87" s="79"/>
      <c r="D87" s="79"/>
      <c r="J87" s="79"/>
      <c r="O87" s="79"/>
      <c r="P87" s="79"/>
      <c r="S87" s="79"/>
      <c r="T87" s="79"/>
      <c r="W87" s="130"/>
      <c r="Y87" s="106"/>
    </row>
    <row r="88">
      <c r="C88" s="79"/>
      <c r="D88" s="79"/>
      <c r="J88" s="79"/>
      <c r="O88" s="79"/>
      <c r="P88" s="79"/>
      <c r="S88" s="79"/>
      <c r="T88" s="79"/>
      <c r="W88" s="130"/>
      <c r="Y88" s="106"/>
    </row>
    <row r="89">
      <c r="C89" s="79"/>
      <c r="D89" s="79"/>
      <c r="J89" s="79"/>
      <c r="O89" s="79"/>
      <c r="P89" s="79"/>
      <c r="S89" s="79"/>
      <c r="T89" s="79"/>
      <c r="W89" s="130"/>
      <c r="Y89" s="106"/>
    </row>
    <row r="90">
      <c r="C90" s="79"/>
      <c r="D90" s="79"/>
      <c r="J90" s="79"/>
      <c r="O90" s="79"/>
      <c r="P90" s="79"/>
      <c r="S90" s="79"/>
      <c r="T90" s="79"/>
      <c r="W90" s="130"/>
      <c r="Y90" s="106"/>
    </row>
    <row r="91">
      <c r="C91" s="79"/>
      <c r="D91" s="79"/>
      <c r="J91" s="79"/>
      <c r="O91" s="79"/>
      <c r="P91" s="79"/>
      <c r="S91" s="79"/>
      <c r="T91" s="79"/>
      <c r="W91" s="130"/>
      <c r="Y91" s="106"/>
    </row>
    <row r="92">
      <c r="C92" s="79"/>
      <c r="D92" s="79"/>
      <c r="J92" s="79"/>
      <c r="O92" s="79"/>
      <c r="P92" s="79"/>
      <c r="S92" s="79"/>
      <c r="T92" s="79"/>
      <c r="W92" s="130"/>
      <c r="Y92" s="106"/>
    </row>
    <row r="93">
      <c r="C93" s="79"/>
      <c r="D93" s="79"/>
      <c r="J93" s="79"/>
      <c r="O93" s="79"/>
      <c r="P93" s="79"/>
      <c r="S93" s="79"/>
      <c r="T93" s="79"/>
      <c r="W93" s="130"/>
      <c r="Y93" s="106"/>
    </row>
    <row r="94">
      <c r="C94" s="79"/>
      <c r="D94" s="79"/>
      <c r="J94" s="79"/>
      <c r="O94" s="79"/>
      <c r="P94" s="79"/>
      <c r="S94" s="79"/>
      <c r="T94" s="79"/>
      <c r="W94" s="130"/>
      <c r="Y94" s="106"/>
    </row>
    <row r="95">
      <c r="C95" s="79"/>
      <c r="D95" s="79"/>
      <c r="J95" s="79"/>
      <c r="O95" s="79"/>
      <c r="P95" s="79"/>
      <c r="S95" s="79"/>
      <c r="T95" s="79"/>
      <c r="W95" s="130"/>
      <c r="Y95" s="106"/>
    </row>
    <row r="96">
      <c r="C96" s="79"/>
      <c r="D96" s="79"/>
      <c r="J96" s="79"/>
      <c r="O96" s="79"/>
      <c r="P96" s="79"/>
      <c r="S96" s="79"/>
      <c r="T96" s="79"/>
      <c r="W96" s="130"/>
      <c r="Y96" s="106"/>
    </row>
    <row r="97">
      <c r="C97" s="79"/>
      <c r="D97" s="79"/>
      <c r="J97" s="79"/>
      <c r="O97" s="79"/>
      <c r="P97" s="79"/>
      <c r="S97" s="79"/>
      <c r="T97" s="79"/>
      <c r="W97" s="130"/>
      <c r="Y97" s="106"/>
    </row>
    <row r="98">
      <c r="C98" s="79"/>
      <c r="D98" s="79"/>
      <c r="J98" s="79"/>
      <c r="O98" s="79"/>
      <c r="P98" s="79"/>
      <c r="S98" s="79"/>
      <c r="T98" s="79"/>
      <c r="W98" s="130"/>
      <c r="Y98" s="106"/>
    </row>
    <row r="99">
      <c r="C99" s="79"/>
      <c r="D99" s="79"/>
      <c r="J99" s="79"/>
      <c r="O99" s="79"/>
      <c r="P99" s="79"/>
      <c r="S99" s="79"/>
      <c r="T99" s="79"/>
      <c r="W99" s="130"/>
      <c r="Y99" s="106"/>
    </row>
    <row r="100">
      <c r="C100" s="79"/>
      <c r="D100" s="79"/>
      <c r="J100" s="79"/>
      <c r="O100" s="79"/>
      <c r="P100" s="79"/>
      <c r="S100" s="79"/>
      <c r="T100" s="79"/>
      <c r="W100" s="130"/>
      <c r="Y100" s="106"/>
    </row>
    <row r="101">
      <c r="C101" s="79"/>
      <c r="D101" s="79"/>
      <c r="J101" s="79"/>
      <c r="O101" s="79"/>
      <c r="P101" s="79"/>
      <c r="S101" s="79"/>
      <c r="T101" s="79"/>
      <c r="W101" s="130"/>
      <c r="Y101" s="106"/>
    </row>
    <row r="102">
      <c r="C102" s="79"/>
      <c r="D102" s="79"/>
      <c r="J102" s="79"/>
      <c r="O102" s="79"/>
      <c r="P102" s="79"/>
      <c r="S102" s="79"/>
      <c r="T102" s="79"/>
      <c r="W102" s="130"/>
      <c r="Y102" s="106"/>
    </row>
    <row r="103">
      <c r="C103" s="79"/>
      <c r="D103" s="79"/>
      <c r="J103" s="79"/>
      <c r="O103" s="79"/>
      <c r="P103" s="79"/>
      <c r="S103" s="79"/>
      <c r="T103" s="79"/>
      <c r="W103" s="130"/>
      <c r="Y103" s="106"/>
    </row>
    <row r="104">
      <c r="C104" s="79"/>
      <c r="D104" s="79"/>
      <c r="J104" s="79"/>
      <c r="O104" s="79"/>
      <c r="P104" s="79"/>
      <c r="S104" s="79"/>
      <c r="T104" s="79"/>
      <c r="W104" s="130"/>
      <c r="Y104" s="106"/>
    </row>
    <row r="105">
      <c r="C105" s="79"/>
      <c r="D105" s="79"/>
      <c r="J105" s="79"/>
      <c r="O105" s="79"/>
      <c r="P105" s="79"/>
      <c r="S105" s="79"/>
      <c r="T105" s="79"/>
      <c r="W105" s="130"/>
      <c r="Y105" s="106"/>
    </row>
    <row r="106">
      <c r="C106" s="79"/>
      <c r="D106" s="79"/>
      <c r="J106" s="79"/>
      <c r="O106" s="79"/>
      <c r="P106" s="79"/>
      <c r="S106" s="79"/>
      <c r="T106" s="79"/>
      <c r="W106" s="130"/>
      <c r="Y106" s="106"/>
    </row>
    <row r="107">
      <c r="C107" s="79"/>
      <c r="D107" s="79"/>
      <c r="J107" s="79"/>
      <c r="O107" s="79"/>
      <c r="P107" s="79"/>
      <c r="S107" s="79"/>
      <c r="T107" s="79"/>
      <c r="W107" s="130"/>
      <c r="Y107" s="106"/>
    </row>
    <row r="108">
      <c r="C108" s="79"/>
      <c r="D108" s="79"/>
      <c r="J108" s="79"/>
      <c r="O108" s="79"/>
      <c r="P108" s="79"/>
      <c r="S108" s="79"/>
      <c r="T108" s="79"/>
      <c r="W108" s="130"/>
      <c r="Y108" s="106"/>
    </row>
    <row r="109">
      <c r="C109" s="79"/>
      <c r="D109" s="79"/>
      <c r="J109" s="79"/>
      <c r="O109" s="79"/>
      <c r="P109" s="79"/>
      <c r="S109" s="79"/>
      <c r="T109" s="79"/>
      <c r="W109" s="130"/>
      <c r="Y109" s="106"/>
    </row>
    <row r="110">
      <c r="C110" s="79"/>
      <c r="D110" s="79"/>
      <c r="J110" s="79"/>
      <c r="O110" s="79"/>
      <c r="P110" s="79"/>
      <c r="S110" s="79"/>
      <c r="T110" s="79"/>
      <c r="W110" s="130"/>
      <c r="Y110" s="106"/>
    </row>
    <row r="111">
      <c r="C111" s="79"/>
      <c r="D111" s="79"/>
      <c r="J111" s="79"/>
      <c r="O111" s="79"/>
      <c r="P111" s="79"/>
      <c r="S111" s="79"/>
      <c r="T111" s="79"/>
      <c r="W111" s="130"/>
      <c r="Y111" s="106"/>
    </row>
    <row r="112">
      <c r="C112" s="79"/>
      <c r="D112" s="79"/>
      <c r="J112" s="79"/>
      <c r="O112" s="79"/>
      <c r="P112" s="79"/>
      <c r="S112" s="79"/>
      <c r="T112" s="79"/>
      <c r="W112" s="130"/>
      <c r="Y112" s="106"/>
    </row>
    <row r="113">
      <c r="C113" s="79"/>
      <c r="D113" s="79"/>
      <c r="J113" s="79"/>
      <c r="O113" s="79"/>
      <c r="P113" s="79"/>
      <c r="S113" s="79"/>
      <c r="T113" s="79"/>
      <c r="W113" s="130"/>
      <c r="Y113" s="106"/>
    </row>
    <row r="114">
      <c r="C114" s="79"/>
      <c r="D114" s="79"/>
      <c r="J114" s="79"/>
      <c r="O114" s="79"/>
      <c r="P114" s="79"/>
      <c r="S114" s="79"/>
      <c r="T114" s="79"/>
      <c r="W114" s="130"/>
      <c r="Y114" s="106"/>
    </row>
    <row r="115">
      <c r="C115" s="79"/>
      <c r="D115" s="79"/>
      <c r="J115" s="79"/>
      <c r="O115" s="79"/>
      <c r="P115" s="79"/>
      <c r="S115" s="79"/>
      <c r="T115" s="79"/>
      <c r="W115" s="130"/>
      <c r="Y115" s="106"/>
    </row>
    <row r="116">
      <c r="C116" s="79"/>
      <c r="D116" s="79"/>
      <c r="J116" s="79"/>
      <c r="O116" s="79"/>
      <c r="P116" s="79"/>
      <c r="S116" s="79"/>
      <c r="T116" s="79"/>
      <c r="W116" s="130"/>
      <c r="Y116" s="106"/>
    </row>
    <row r="117">
      <c r="C117" s="79"/>
      <c r="D117" s="79"/>
      <c r="J117" s="79"/>
      <c r="O117" s="79"/>
      <c r="P117" s="79"/>
      <c r="S117" s="79"/>
      <c r="T117" s="79"/>
      <c r="W117" s="130"/>
      <c r="Y117" s="106"/>
    </row>
    <row r="118">
      <c r="C118" s="79"/>
      <c r="D118" s="79"/>
      <c r="J118" s="79"/>
      <c r="O118" s="79"/>
      <c r="P118" s="79"/>
      <c r="S118" s="79"/>
      <c r="T118" s="79"/>
      <c r="W118" s="130"/>
      <c r="Y118" s="106"/>
    </row>
    <row r="119">
      <c r="C119" s="79"/>
      <c r="D119" s="79"/>
      <c r="J119" s="79"/>
      <c r="O119" s="79"/>
      <c r="P119" s="79"/>
      <c r="S119" s="79"/>
      <c r="T119" s="79"/>
      <c r="W119" s="130"/>
      <c r="Y119" s="106"/>
    </row>
    <row r="120">
      <c r="C120" s="79"/>
      <c r="D120" s="79"/>
      <c r="J120" s="79"/>
      <c r="O120" s="79"/>
      <c r="P120" s="79"/>
      <c r="S120" s="79"/>
      <c r="T120" s="79"/>
      <c r="W120" s="130"/>
      <c r="Y120" s="106"/>
    </row>
    <row r="121">
      <c r="C121" s="79"/>
      <c r="D121" s="79"/>
      <c r="J121" s="79"/>
      <c r="O121" s="79"/>
      <c r="P121" s="79"/>
      <c r="S121" s="79"/>
      <c r="T121" s="79"/>
      <c r="W121" s="130"/>
      <c r="Y121" s="106"/>
    </row>
    <row r="122">
      <c r="C122" s="79"/>
      <c r="D122" s="79"/>
      <c r="J122" s="79"/>
      <c r="O122" s="79"/>
      <c r="P122" s="79"/>
      <c r="S122" s="79"/>
      <c r="T122" s="79"/>
      <c r="W122" s="130"/>
      <c r="Y122" s="106"/>
    </row>
    <row r="123">
      <c r="C123" s="79"/>
      <c r="D123" s="79"/>
      <c r="J123" s="79"/>
      <c r="O123" s="79"/>
      <c r="P123" s="79"/>
      <c r="S123" s="79"/>
      <c r="T123" s="79"/>
      <c r="W123" s="130"/>
      <c r="Y123" s="106"/>
    </row>
    <row r="124">
      <c r="C124" s="79"/>
      <c r="D124" s="79"/>
      <c r="J124" s="79"/>
      <c r="O124" s="79"/>
      <c r="P124" s="79"/>
      <c r="S124" s="79"/>
      <c r="T124" s="79"/>
      <c r="W124" s="130"/>
      <c r="Y124" s="106"/>
    </row>
    <row r="125">
      <c r="C125" s="79"/>
      <c r="D125" s="79"/>
      <c r="J125" s="79"/>
      <c r="O125" s="79"/>
      <c r="P125" s="79"/>
      <c r="S125" s="79"/>
      <c r="T125" s="79"/>
      <c r="W125" s="130"/>
      <c r="Y125" s="106"/>
    </row>
    <row r="126">
      <c r="C126" s="79"/>
      <c r="D126" s="79"/>
      <c r="J126" s="79"/>
      <c r="O126" s="79"/>
      <c r="P126" s="79"/>
      <c r="S126" s="79"/>
      <c r="T126" s="79"/>
      <c r="W126" s="130"/>
      <c r="Y126" s="106"/>
    </row>
    <row r="127">
      <c r="C127" s="79"/>
      <c r="D127" s="79"/>
      <c r="J127" s="79"/>
      <c r="O127" s="79"/>
      <c r="P127" s="79"/>
      <c r="S127" s="79"/>
      <c r="T127" s="79"/>
      <c r="W127" s="130"/>
      <c r="Y127" s="106"/>
    </row>
    <row r="128">
      <c r="C128" s="79"/>
      <c r="D128" s="79"/>
      <c r="J128" s="79"/>
      <c r="O128" s="79"/>
      <c r="P128" s="79"/>
      <c r="S128" s="79"/>
      <c r="T128" s="79"/>
      <c r="W128" s="130"/>
      <c r="Y128" s="106"/>
    </row>
    <row r="129">
      <c r="C129" s="79"/>
      <c r="D129" s="79"/>
      <c r="J129" s="79"/>
      <c r="O129" s="79"/>
      <c r="P129" s="79"/>
      <c r="S129" s="79"/>
      <c r="T129" s="79"/>
      <c r="W129" s="130"/>
      <c r="Y129" s="106"/>
    </row>
    <row r="130">
      <c r="C130" s="79"/>
      <c r="D130" s="79"/>
      <c r="J130" s="79"/>
      <c r="O130" s="79"/>
      <c r="P130" s="79"/>
      <c r="S130" s="79"/>
      <c r="T130" s="79"/>
      <c r="W130" s="130"/>
      <c r="Y130" s="106"/>
    </row>
    <row r="131">
      <c r="C131" s="79"/>
      <c r="D131" s="79"/>
      <c r="J131" s="79"/>
      <c r="O131" s="79"/>
      <c r="P131" s="79"/>
      <c r="S131" s="79"/>
      <c r="T131" s="79"/>
      <c r="W131" s="130"/>
      <c r="Y131" s="106"/>
    </row>
    <row r="132">
      <c r="C132" s="79"/>
      <c r="D132" s="79"/>
      <c r="J132" s="79"/>
      <c r="O132" s="79"/>
      <c r="P132" s="79"/>
      <c r="S132" s="79"/>
      <c r="T132" s="79"/>
      <c r="W132" s="130"/>
      <c r="Y132" s="106"/>
    </row>
    <row r="133">
      <c r="C133" s="79"/>
      <c r="D133" s="79"/>
      <c r="J133" s="79"/>
      <c r="O133" s="79"/>
      <c r="P133" s="79"/>
      <c r="S133" s="79"/>
      <c r="T133" s="79"/>
      <c r="W133" s="130"/>
      <c r="Y133" s="106"/>
    </row>
    <row r="134">
      <c r="C134" s="79"/>
      <c r="D134" s="79"/>
      <c r="J134" s="79"/>
      <c r="O134" s="79"/>
      <c r="P134" s="79"/>
      <c r="S134" s="79"/>
      <c r="T134" s="79"/>
      <c r="W134" s="130"/>
      <c r="Y134" s="106"/>
    </row>
    <row r="135">
      <c r="C135" s="79"/>
      <c r="D135" s="79"/>
      <c r="J135" s="79"/>
      <c r="O135" s="79"/>
      <c r="P135" s="79"/>
      <c r="S135" s="79"/>
      <c r="T135" s="79"/>
      <c r="W135" s="130"/>
      <c r="Y135" s="106"/>
    </row>
    <row r="136">
      <c r="C136" s="79"/>
      <c r="D136" s="79"/>
      <c r="J136" s="79"/>
      <c r="O136" s="79"/>
      <c r="P136" s="79"/>
      <c r="S136" s="79"/>
      <c r="T136" s="79"/>
      <c r="W136" s="130"/>
      <c r="Y136" s="106"/>
    </row>
    <row r="137">
      <c r="C137" s="79"/>
      <c r="D137" s="79"/>
      <c r="J137" s="79"/>
      <c r="O137" s="79"/>
      <c r="P137" s="79"/>
      <c r="S137" s="79"/>
      <c r="T137" s="79"/>
      <c r="W137" s="130"/>
      <c r="Y137" s="106"/>
    </row>
    <row r="138">
      <c r="C138" s="79"/>
      <c r="D138" s="79"/>
      <c r="J138" s="79"/>
      <c r="O138" s="79"/>
      <c r="P138" s="79"/>
      <c r="S138" s="79"/>
      <c r="T138" s="79"/>
      <c r="W138" s="130"/>
      <c r="Y138" s="106"/>
    </row>
    <row r="139">
      <c r="C139" s="79"/>
      <c r="D139" s="79"/>
      <c r="J139" s="79"/>
      <c r="O139" s="79"/>
      <c r="P139" s="79"/>
      <c r="S139" s="79"/>
      <c r="T139" s="79"/>
      <c r="W139" s="130"/>
      <c r="Y139" s="106"/>
    </row>
    <row r="140">
      <c r="C140" s="79"/>
      <c r="D140" s="79"/>
      <c r="J140" s="79"/>
      <c r="O140" s="79"/>
      <c r="P140" s="79"/>
      <c r="S140" s="79"/>
      <c r="T140" s="79"/>
      <c r="W140" s="130"/>
      <c r="Y140" s="106"/>
    </row>
    <row r="141">
      <c r="C141" s="79"/>
      <c r="D141" s="79"/>
      <c r="J141" s="79"/>
      <c r="O141" s="79"/>
      <c r="P141" s="79"/>
      <c r="S141" s="79"/>
      <c r="T141" s="79"/>
      <c r="W141" s="130"/>
      <c r="Y141" s="106"/>
    </row>
    <row r="142">
      <c r="C142" s="79"/>
      <c r="D142" s="79"/>
      <c r="J142" s="79"/>
      <c r="O142" s="79"/>
      <c r="P142" s="79"/>
      <c r="S142" s="79"/>
      <c r="T142" s="79"/>
      <c r="W142" s="130"/>
      <c r="Y142" s="106"/>
    </row>
    <row r="143">
      <c r="C143" s="79"/>
      <c r="D143" s="79"/>
      <c r="J143" s="79"/>
      <c r="O143" s="79"/>
      <c r="P143" s="79"/>
      <c r="S143" s="79"/>
      <c r="T143" s="79"/>
      <c r="W143" s="130"/>
      <c r="Y143" s="106"/>
    </row>
    <row r="144">
      <c r="C144" s="79"/>
      <c r="D144" s="79"/>
      <c r="J144" s="79"/>
      <c r="O144" s="79"/>
      <c r="P144" s="79"/>
      <c r="S144" s="79"/>
      <c r="T144" s="79"/>
      <c r="W144" s="130"/>
      <c r="Y144" s="106"/>
    </row>
    <row r="145">
      <c r="C145" s="79"/>
      <c r="D145" s="79"/>
      <c r="J145" s="79"/>
      <c r="O145" s="79"/>
      <c r="P145" s="79"/>
      <c r="S145" s="79"/>
      <c r="T145" s="79"/>
      <c r="W145" s="130"/>
      <c r="Y145" s="106"/>
    </row>
    <row r="146">
      <c r="C146" s="79"/>
      <c r="D146" s="79"/>
      <c r="J146" s="79"/>
      <c r="O146" s="79"/>
      <c r="P146" s="79"/>
      <c r="S146" s="79"/>
      <c r="T146" s="79"/>
      <c r="W146" s="130"/>
      <c r="Y146" s="106"/>
    </row>
    <row r="147">
      <c r="C147" s="79"/>
      <c r="D147" s="79"/>
      <c r="J147" s="79"/>
      <c r="O147" s="79"/>
      <c r="P147" s="79"/>
      <c r="S147" s="79"/>
      <c r="T147" s="79"/>
      <c r="W147" s="130"/>
      <c r="Y147" s="106"/>
    </row>
    <row r="148">
      <c r="C148" s="79"/>
      <c r="D148" s="79"/>
      <c r="J148" s="79"/>
      <c r="O148" s="79"/>
      <c r="P148" s="79"/>
      <c r="S148" s="79"/>
      <c r="T148" s="79"/>
      <c r="W148" s="130"/>
      <c r="Y148" s="106"/>
    </row>
    <row r="149">
      <c r="C149" s="79"/>
      <c r="D149" s="79"/>
      <c r="J149" s="79"/>
      <c r="O149" s="79"/>
      <c r="P149" s="79"/>
      <c r="S149" s="79"/>
      <c r="T149" s="79"/>
      <c r="W149" s="130"/>
      <c r="Y149" s="106"/>
    </row>
    <row r="150">
      <c r="C150" s="79"/>
      <c r="D150" s="79"/>
      <c r="J150" s="79"/>
      <c r="O150" s="79"/>
      <c r="P150" s="79"/>
      <c r="S150" s="79"/>
      <c r="T150" s="79"/>
      <c r="W150" s="130"/>
      <c r="Y150" s="106"/>
    </row>
    <row r="151">
      <c r="C151" s="79"/>
      <c r="D151" s="79"/>
      <c r="J151" s="79"/>
      <c r="O151" s="79"/>
      <c r="P151" s="79"/>
      <c r="S151" s="79"/>
      <c r="T151" s="79"/>
      <c r="W151" s="130"/>
      <c r="Y151" s="106"/>
    </row>
    <row r="152">
      <c r="C152" s="79"/>
      <c r="D152" s="79"/>
      <c r="J152" s="79"/>
      <c r="O152" s="79"/>
      <c r="P152" s="79"/>
      <c r="S152" s="79"/>
      <c r="T152" s="79"/>
      <c r="W152" s="130"/>
      <c r="Y152" s="106"/>
    </row>
    <row r="153">
      <c r="C153" s="79"/>
      <c r="D153" s="79"/>
      <c r="J153" s="79"/>
      <c r="O153" s="79"/>
      <c r="P153" s="79"/>
      <c r="S153" s="79"/>
      <c r="T153" s="79"/>
      <c r="W153" s="130"/>
      <c r="Y153" s="106"/>
    </row>
    <row r="154">
      <c r="C154" s="79"/>
      <c r="D154" s="79"/>
      <c r="J154" s="79"/>
      <c r="O154" s="79"/>
      <c r="P154" s="79"/>
      <c r="S154" s="79"/>
      <c r="T154" s="79"/>
      <c r="W154" s="130"/>
      <c r="Y154" s="106"/>
    </row>
    <row r="155">
      <c r="C155" s="79"/>
      <c r="D155" s="79"/>
      <c r="J155" s="79"/>
      <c r="O155" s="79"/>
      <c r="P155" s="79"/>
      <c r="S155" s="79"/>
      <c r="T155" s="79"/>
      <c r="W155" s="130"/>
      <c r="Y155" s="106"/>
    </row>
    <row r="156">
      <c r="C156" s="79"/>
      <c r="D156" s="79"/>
      <c r="J156" s="79"/>
      <c r="O156" s="79"/>
      <c r="P156" s="79"/>
      <c r="S156" s="79"/>
      <c r="T156" s="79"/>
      <c r="W156" s="130"/>
      <c r="Y156" s="106"/>
    </row>
    <row r="157">
      <c r="C157" s="79"/>
      <c r="D157" s="79"/>
      <c r="J157" s="79"/>
      <c r="O157" s="79"/>
      <c r="P157" s="79"/>
      <c r="S157" s="79"/>
      <c r="T157" s="79"/>
      <c r="W157" s="130"/>
      <c r="Y157" s="106"/>
    </row>
    <row r="158">
      <c r="C158" s="79"/>
      <c r="D158" s="79"/>
      <c r="J158" s="79"/>
      <c r="O158" s="79"/>
      <c r="P158" s="79"/>
      <c r="S158" s="79"/>
      <c r="T158" s="79"/>
      <c r="W158" s="130"/>
      <c r="Y158" s="106"/>
    </row>
    <row r="159">
      <c r="C159" s="79"/>
      <c r="D159" s="79"/>
      <c r="J159" s="79"/>
      <c r="O159" s="79"/>
      <c r="P159" s="79"/>
      <c r="S159" s="79"/>
      <c r="T159" s="79"/>
      <c r="W159" s="130"/>
      <c r="Y159" s="106"/>
    </row>
    <row r="160">
      <c r="C160" s="79"/>
      <c r="D160" s="79"/>
      <c r="J160" s="79"/>
      <c r="O160" s="79"/>
      <c r="P160" s="79"/>
      <c r="S160" s="79"/>
      <c r="T160" s="79"/>
      <c r="W160" s="130"/>
      <c r="Y160" s="106"/>
    </row>
    <row r="161">
      <c r="C161" s="79"/>
      <c r="D161" s="79"/>
      <c r="J161" s="79"/>
      <c r="O161" s="79"/>
      <c r="P161" s="79"/>
      <c r="S161" s="79"/>
      <c r="T161" s="79"/>
      <c r="W161" s="130"/>
      <c r="Y161" s="106"/>
    </row>
    <row r="162">
      <c r="C162" s="79"/>
      <c r="D162" s="79"/>
      <c r="J162" s="79"/>
      <c r="O162" s="79"/>
      <c r="P162" s="79"/>
      <c r="S162" s="79"/>
      <c r="T162" s="79"/>
      <c r="W162" s="130"/>
      <c r="Y162" s="106"/>
    </row>
    <row r="163">
      <c r="C163" s="79"/>
      <c r="D163" s="79"/>
      <c r="J163" s="79"/>
      <c r="O163" s="79"/>
      <c r="P163" s="79"/>
      <c r="S163" s="79"/>
      <c r="T163" s="79"/>
      <c r="W163" s="130"/>
      <c r="Y163" s="106"/>
    </row>
    <row r="164">
      <c r="C164" s="79"/>
      <c r="D164" s="79"/>
      <c r="J164" s="79"/>
      <c r="O164" s="79"/>
      <c r="P164" s="79"/>
      <c r="S164" s="79"/>
      <c r="T164" s="79"/>
      <c r="W164" s="130"/>
      <c r="Y164" s="106"/>
    </row>
    <row r="165">
      <c r="C165" s="79"/>
      <c r="D165" s="79"/>
      <c r="J165" s="79"/>
      <c r="O165" s="79"/>
      <c r="P165" s="79"/>
      <c r="S165" s="79"/>
      <c r="T165" s="79"/>
      <c r="W165" s="130"/>
      <c r="Y165" s="106"/>
    </row>
    <row r="166">
      <c r="C166" s="79"/>
      <c r="D166" s="79"/>
      <c r="J166" s="79"/>
      <c r="O166" s="79"/>
      <c r="P166" s="79"/>
      <c r="S166" s="79"/>
      <c r="T166" s="79"/>
      <c r="W166" s="130"/>
      <c r="Y166" s="106"/>
    </row>
    <row r="167">
      <c r="C167" s="79"/>
      <c r="D167" s="79"/>
      <c r="J167" s="79"/>
      <c r="O167" s="79"/>
      <c r="P167" s="79"/>
      <c r="S167" s="79"/>
      <c r="T167" s="79"/>
      <c r="W167" s="130"/>
      <c r="Y167" s="106"/>
    </row>
    <row r="168">
      <c r="C168" s="79"/>
      <c r="D168" s="79"/>
      <c r="J168" s="79"/>
      <c r="O168" s="79"/>
      <c r="P168" s="79"/>
      <c r="S168" s="79"/>
      <c r="T168" s="79"/>
      <c r="W168" s="130"/>
      <c r="Y168" s="106"/>
    </row>
    <row r="169">
      <c r="C169" s="79"/>
      <c r="D169" s="79"/>
      <c r="J169" s="79"/>
      <c r="O169" s="79"/>
      <c r="P169" s="79"/>
      <c r="S169" s="79"/>
      <c r="T169" s="79"/>
      <c r="W169" s="130"/>
      <c r="Y169" s="106"/>
    </row>
    <row r="170">
      <c r="C170" s="79"/>
      <c r="D170" s="79"/>
      <c r="J170" s="79"/>
      <c r="O170" s="79"/>
      <c r="P170" s="79"/>
      <c r="S170" s="79"/>
      <c r="T170" s="79"/>
      <c r="W170" s="130"/>
      <c r="Y170" s="106"/>
    </row>
    <row r="171">
      <c r="C171" s="79"/>
      <c r="D171" s="79"/>
      <c r="J171" s="79"/>
      <c r="O171" s="79"/>
      <c r="P171" s="79"/>
      <c r="S171" s="79"/>
      <c r="T171" s="79"/>
      <c r="W171" s="130"/>
      <c r="Y171" s="106"/>
    </row>
    <row r="172">
      <c r="C172" s="79"/>
      <c r="D172" s="79"/>
      <c r="J172" s="79"/>
      <c r="O172" s="79"/>
      <c r="P172" s="79"/>
      <c r="S172" s="79"/>
      <c r="T172" s="79"/>
      <c r="W172" s="130"/>
      <c r="Y172" s="106"/>
    </row>
    <row r="173">
      <c r="C173" s="79"/>
      <c r="D173" s="79"/>
      <c r="J173" s="79"/>
      <c r="O173" s="79"/>
      <c r="P173" s="79"/>
      <c r="S173" s="79"/>
      <c r="T173" s="79"/>
      <c r="W173" s="130"/>
      <c r="Y173" s="106"/>
    </row>
    <row r="174">
      <c r="C174" s="79"/>
      <c r="D174" s="79"/>
      <c r="J174" s="79"/>
      <c r="O174" s="79"/>
      <c r="P174" s="79"/>
      <c r="S174" s="79"/>
      <c r="T174" s="79"/>
      <c r="W174" s="130"/>
      <c r="Y174" s="106"/>
    </row>
    <row r="175">
      <c r="C175" s="79"/>
      <c r="D175" s="79"/>
      <c r="J175" s="79"/>
      <c r="O175" s="79"/>
      <c r="P175" s="79"/>
      <c r="S175" s="79"/>
      <c r="T175" s="79"/>
      <c r="W175" s="130"/>
      <c r="Y175" s="106"/>
    </row>
    <row r="176">
      <c r="C176" s="79"/>
      <c r="D176" s="79"/>
      <c r="J176" s="79"/>
      <c r="O176" s="79"/>
      <c r="P176" s="79"/>
      <c r="S176" s="79"/>
      <c r="T176" s="79"/>
      <c r="W176" s="130"/>
      <c r="Y176" s="106"/>
    </row>
    <row r="177">
      <c r="C177" s="79"/>
      <c r="D177" s="79"/>
      <c r="J177" s="79"/>
      <c r="O177" s="79"/>
      <c r="P177" s="79"/>
      <c r="S177" s="79"/>
      <c r="T177" s="79"/>
      <c r="W177" s="130"/>
      <c r="Y177" s="106"/>
    </row>
    <row r="178">
      <c r="C178" s="79"/>
      <c r="D178" s="79"/>
      <c r="J178" s="79"/>
      <c r="O178" s="79"/>
      <c r="P178" s="79"/>
      <c r="S178" s="79"/>
      <c r="T178" s="79"/>
      <c r="W178" s="130"/>
      <c r="Y178" s="106"/>
    </row>
    <row r="179">
      <c r="C179" s="79"/>
      <c r="D179" s="79"/>
      <c r="J179" s="79"/>
      <c r="O179" s="79"/>
      <c r="P179" s="79"/>
      <c r="S179" s="79"/>
      <c r="T179" s="79"/>
      <c r="W179" s="130"/>
      <c r="Y179" s="106"/>
    </row>
    <row r="180">
      <c r="C180" s="79"/>
      <c r="D180" s="79"/>
      <c r="J180" s="79"/>
      <c r="O180" s="79"/>
      <c r="P180" s="79"/>
      <c r="S180" s="79"/>
      <c r="T180" s="79"/>
      <c r="W180" s="130"/>
      <c r="Y180" s="106"/>
    </row>
    <row r="181">
      <c r="C181" s="79"/>
      <c r="D181" s="79"/>
      <c r="J181" s="79"/>
      <c r="O181" s="79"/>
      <c r="P181" s="79"/>
      <c r="S181" s="79"/>
      <c r="T181" s="79"/>
      <c r="W181" s="130"/>
      <c r="Y181" s="106"/>
    </row>
    <row r="182">
      <c r="C182" s="79"/>
      <c r="D182" s="79"/>
      <c r="J182" s="79"/>
      <c r="O182" s="79"/>
      <c r="P182" s="79"/>
      <c r="S182" s="79"/>
      <c r="T182" s="79"/>
      <c r="W182" s="130"/>
      <c r="Y182" s="106"/>
    </row>
    <row r="183">
      <c r="C183" s="79"/>
      <c r="D183" s="79"/>
      <c r="J183" s="79"/>
      <c r="O183" s="79"/>
      <c r="P183" s="79"/>
      <c r="S183" s="79"/>
      <c r="T183" s="79"/>
      <c r="W183" s="130"/>
      <c r="Y183" s="106"/>
    </row>
    <row r="184">
      <c r="C184" s="79"/>
      <c r="D184" s="79"/>
      <c r="J184" s="79"/>
      <c r="O184" s="79"/>
      <c r="P184" s="79"/>
      <c r="S184" s="79"/>
      <c r="T184" s="79"/>
      <c r="W184" s="130"/>
      <c r="Y184" s="106"/>
    </row>
    <row r="185">
      <c r="C185" s="79"/>
      <c r="D185" s="79"/>
      <c r="J185" s="79"/>
      <c r="O185" s="79"/>
      <c r="P185" s="79"/>
      <c r="S185" s="79"/>
      <c r="T185" s="79"/>
      <c r="W185" s="130"/>
      <c r="Y185" s="106"/>
    </row>
    <row r="186">
      <c r="C186" s="79"/>
      <c r="D186" s="79"/>
      <c r="J186" s="79"/>
      <c r="O186" s="79"/>
      <c r="P186" s="79"/>
      <c r="S186" s="79"/>
      <c r="T186" s="79"/>
      <c r="W186" s="130"/>
      <c r="Y186" s="106"/>
    </row>
    <row r="187">
      <c r="C187" s="79"/>
      <c r="D187" s="79"/>
      <c r="J187" s="79"/>
      <c r="O187" s="79"/>
      <c r="P187" s="79"/>
      <c r="S187" s="79"/>
      <c r="T187" s="79"/>
      <c r="W187" s="130"/>
      <c r="Y187" s="106"/>
    </row>
    <row r="188">
      <c r="C188" s="79"/>
      <c r="D188" s="79"/>
      <c r="J188" s="79"/>
      <c r="O188" s="79"/>
      <c r="P188" s="79"/>
      <c r="S188" s="79"/>
      <c r="T188" s="79"/>
      <c r="W188" s="130"/>
      <c r="Y188" s="106"/>
    </row>
    <row r="189">
      <c r="C189" s="79"/>
      <c r="D189" s="79"/>
      <c r="J189" s="79"/>
      <c r="O189" s="79"/>
      <c r="P189" s="79"/>
      <c r="S189" s="79"/>
      <c r="T189" s="79"/>
      <c r="W189" s="130"/>
      <c r="Y189" s="106"/>
    </row>
    <row r="190">
      <c r="C190" s="79"/>
      <c r="D190" s="79"/>
      <c r="J190" s="79"/>
      <c r="O190" s="79"/>
      <c r="P190" s="79"/>
      <c r="S190" s="79"/>
      <c r="T190" s="79"/>
      <c r="W190" s="130"/>
      <c r="Y190" s="106"/>
    </row>
    <row r="191">
      <c r="C191" s="79"/>
      <c r="D191" s="79"/>
      <c r="J191" s="79"/>
      <c r="O191" s="79"/>
      <c r="P191" s="79"/>
      <c r="S191" s="79"/>
      <c r="T191" s="79"/>
      <c r="W191" s="130"/>
      <c r="Y191" s="106"/>
    </row>
    <row r="192">
      <c r="C192" s="79"/>
      <c r="D192" s="79"/>
      <c r="J192" s="79"/>
      <c r="O192" s="79"/>
      <c r="P192" s="79"/>
      <c r="S192" s="79"/>
      <c r="T192" s="79"/>
      <c r="W192" s="130"/>
      <c r="Y192" s="106"/>
    </row>
    <row r="193">
      <c r="C193" s="79"/>
      <c r="D193" s="79"/>
      <c r="J193" s="79"/>
      <c r="O193" s="79"/>
      <c r="P193" s="79"/>
      <c r="S193" s="79"/>
      <c r="T193" s="79"/>
      <c r="W193" s="130"/>
      <c r="Y193" s="106"/>
    </row>
    <row r="194">
      <c r="C194" s="79"/>
      <c r="D194" s="79"/>
      <c r="J194" s="79"/>
      <c r="O194" s="79"/>
      <c r="P194" s="79"/>
      <c r="S194" s="79"/>
      <c r="T194" s="79"/>
      <c r="W194" s="130"/>
      <c r="Y194" s="106"/>
    </row>
    <row r="195">
      <c r="C195" s="79"/>
      <c r="D195" s="79"/>
      <c r="J195" s="79"/>
      <c r="O195" s="79"/>
      <c r="P195" s="79"/>
      <c r="S195" s="79"/>
      <c r="T195" s="79"/>
      <c r="W195" s="130"/>
      <c r="Y195" s="106"/>
    </row>
    <row r="196">
      <c r="C196" s="79"/>
      <c r="D196" s="79"/>
      <c r="J196" s="79"/>
      <c r="O196" s="79"/>
      <c r="P196" s="79"/>
      <c r="S196" s="79"/>
      <c r="T196" s="79"/>
      <c r="W196" s="130"/>
      <c r="Y196" s="106"/>
    </row>
    <row r="197">
      <c r="C197" s="79"/>
      <c r="D197" s="79"/>
      <c r="J197" s="79"/>
      <c r="O197" s="79"/>
      <c r="P197" s="79"/>
      <c r="S197" s="79"/>
      <c r="T197" s="79"/>
      <c r="W197" s="130"/>
      <c r="Y197" s="106"/>
    </row>
    <row r="198">
      <c r="C198" s="79"/>
      <c r="D198" s="79"/>
      <c r="J198" s="79"/>
      <c r="O198" s="79"/>
      <c r="P198" s="79"/>
      <c r="S198" s="79"/>
      <c r="T198" s="79"/>
      <c r="W198" s="130"/>
      <c r="Y198" s="106"/>
    </row>
    <row r="199">
      <c r="C199" s="79"/>
      <c r="D199" s="79"/>
      <c r="J199" s="79"/>
      <c r="O199" s="79"/>
      <c r="P199" s="79"/>
      <c r="S199" s="79"/>
      <c r="T199" s="79"/>
      <c r="W199" s="130"/>
      <c r="Y199" s="106"/>
    </row>
    <row r="200">
      <c r="C200" s="79"/>
      <c r="D200" s="79"/>
      <c r="J200" s="79"/>
      <c r="O200" s="79"/>
      <c r="P200" s="79"/>
      <c r="S200" s="79"/>
      <c r="T200" s="79"/>
      <c r="W200" s="130"/>
      <c r="Y200" s="106"/>
    </row>
    <row r="201">
      <c r="C201" s="79"/>
      <c r="D201" s="79"/>
      <c r="J201" s="79"/>
      <c r="O201" s="79"/>
      <c r="P201" s="79"/>
      <c r="S201" s="79"/>
      <c r="T201" s="79"/>
      <c r="W201" s="130"/>
      <c r="Y201" s="106"/>
    </row>
    <row r="202">
      <c r="C202" s="79"/>
      <c r="D202" s="79"/>
      <c r="J202" s="79"/>
      <c r="O202" s="79"/>
      <c r="P202" s="79"/>
      <c r="S202" s="79"/>
      <c r="T202" s="79"/>
      <c r="W202" s="130"/>
      <c r="Y202" s="106"/>
    </row>
    <row r="203">
      <c r="C203" s="79"/>
      <c r="D203" s="79"/>
      <c r="J203" s="79"/>
      <c r="O203" s="79"/>
      <c r="P203" s="79"/>
      <c r="S203" s="79"/>
      <c r="T203" s="79"/>
      <c r="W203" s="130"/>
      <c r="Y203" s="106"/>
    </row>
    <row r="204">
      <c r="C204" s="79"/>
      <c r="D204" s="79"/>
      <c r="J204" s="79"/>
      <c r="O204" s="79"/>
      <c r="P204" s="79"/>
      <c r="S204" s="79"/>
      <c r="T204" s="79"/>
      <c r="W204" s="130"/>
      <c r="Y204" s="106"/>
    </row>
    <row r="205">
      <c r="C205" s="79"/>
      <c r="D205" s="79"/>
      <c r="J205" s="79"/>
      <c r="O205" s="79"/>
      <c r="P205" s="79"/>
      <c r="S205" s="79"/>
      <c r="T205" s="79"/>
      <c r="W205" s="130"/>
      <c r="Y205" s="106"/>
    </row>
    <row r="206">
      <c r="C206" s="79"/>
      <c r="D206" s="79"/>
      <c r="J206" s="79"/>
      <c r="O206" s="79"/>
      <c r="P206" s="79"/>
      <c r="S206" s="79"/>
      <c r="T206" s="79"/>
      <c r="W206" s="130"/>
      <c r="Y206" s="106"/>
    </row>
    <row r="207">
      <c r="C207" s="79"/>
      <c r="D207" s="79"/>
      <c r="J207" s="79"/>
      <c r="O207" s="79"/>
      <c r="P207" s="79"/>
      <c r="S207" s="79"/>
      <c r="T207" s="79"/>
      <c r="W207" s="130"/>
      <c r="Y207" s="106"/>
    </row>
    <row r="208">
      <c r="C208" s="79"/>
      <c r="D208" s="79"/>
      <c r="J208" s="79"/>
      <c r="O208" s="79"/>
      <c r="P208" s="79"/>
      <c r="S208" s="79"/>
      <c r="T208" s="79"/>
      <c r="W208" s="130"/>
      <c r="Y208" s="106"/>
    </row>
    <row r="209">
      <c r="C209" s="79"/>
      <c r="D209" s="79"/>
      <c r="J209" s="79"/>
      <c r="O209" s="79"/>
      <c r="P209" s="79"/>
      <c r="S209" s="79"/>
      <c r="T209" s="79"/>
      <c r="W209" s="130"/>
      <c r="Y209" s="106"/>
    </row>
    <row r="210">
      <c r="C210" s="79"/>
      <c r="D210" s="79"/>
      <c r="J210" s="79"/>
      <c r="O210" s="79"/>
      <c r="P210" s="79"/>
      <c r="S210" s="79"/>
      <c r="T210" s="79"/>
      <c r="W210" s="130"/>
      <c r="Y210" s="106"/>
    </row>
    <row r="211">
      <c r="C211" s="79"/>
      <c r="D211" s="79"/>
      <c r="J211" s="79"/>
      <c r="O211" s="79"/>
      <c r="P211" s="79"/>
      <c r="S211" s="79"/>
      <c r="T211" s="79"/>
      <c r="W211" s="130"/>
      <c r="Y211" s="106"/>
    </row>
    <row r="212">
      <c r="C212" s="79"/>
      <c r="D212" s="79"/>
      <c r="J212" s="79"/>
      <c r="O212" s="79"/>
      <c r="P212" s="79"/>
      <c r="S212" s="79"/>
      <c r="T212" s="79"/>
      <c r="W212" s="130"/>
      <c r="Y212" s="106"/>
    </row>
    <row r="213">
      <c r="C213" s="79"/>
      <c r="D213" s="79"/>
      <c r="J213" s="79"/>
      <c r="O213" s="79"/>
      <c r="P213" s="79"/>
      <c r="S213" s="79"/>
      <c r="T213" s="79"/>
      <c r="W213" s="130"/>
      <c r="Y213" s="106"/>
    </row>
    <row r="214">
      <c r="C214" s="79"/>
      <c r="D214" s="79"/>
      <c r="J214" s="79"/>
      <c r="O214" s="79"/>
      <c r="P214" s="79"/>
      <c r="S214" s="79"/>
      <c r="T214" s="79"/>
      <c r="W214" s="130"/>
      <c r="Y214" s="106"/>
    </row>
    <row r="215">
      <c r="C215" s="79"/>
      <c r="D215" s="79"/>
      <c r="J215" s="79"/>
      <c r="O215" s="79"/>
      <c r="P215" s="79"/>
      <c r="S215" s="79"/>
      <c r="T215" s="79"/>
      <c r="W215" s="130"/>
      <c r="Y215" s="106"/>
    </row>
    <row r="216">
      <c r="C216" s="79"/>
      <c r="D216" s="79"/>
      <c r="J216" s="79"/>
      <c r="O216" s="79"/>
      <c r="P216" s="79"/>
      <c r="S216" s="79"/>
      <c r="T216" s="79"/>
      <c r="W216" s="130"/>
      <c r="Y216" s="106"/>
    </row>
    <row r="217">
      <c r="C217" s="79"/>
      <c r="D217" s="79"/>
      <c r="J217" s="79"/>
      <c r="O217" s="79"/>
      <c r="P217" s="79"/>
      <c r="S217" s="79"/>
      <c r="T217" s="79"/>
      <c r="W217" s="130"/>
      <c r="Y217" s="106"/>
    </row>
    <row r="218">
      <c r="C218" s="79"/>
      <c r="D218" s="79"/>
      <c r="J218" s="79"/>
      <c r="O218" s="79"/>
      <c r="P218" s="79"/>
      <c r="S218" s="79"/>
      <c r="T218" s="79"/>
      <c r="W218" s="130"/>
      <c r="Y218" s="106"/>
    </row>
    <row r="219">
      <c r="C219" s="79"/>
      <c r="D219" s="79"/>
      <c r="J219" s="79"/>
      <c r="O219" s="79"/>
      <c r="P219" s="79"/>
      <c r="S219" s="79"/>
      <c r="T219" s="79"/>
      <c r="W219" s="130"/>
      <c r="Y219" s="106"/>
    </row>
    <row r="220">
      <c r="C220" s="79"/>
      <c r="D220" s="79"/>
      <c r="J220" s="79"/>
      <c r="O220" s="79"/>
      <c r="P220" s="79"/>
      <c r="S220" s="79"/>
      <c r="T220" s="79"/>
      <c r="W220" s="130"/>
      <c r="Y220" s="106"/>
    </row>
    <row r="221">
      <c r="C221" s="79"/>
      <c r="D221" s="79"/>
      <c r="J221" s="79"/>
      <c r="O221" s="79"/>
      <c r="P221" s="79"/>
      <c r="S221" s="79"/>
      <c r="T221" s="79"/>
      <c r="W221" s="130"/>
      <c r="Y221" s="106"/>
    </row>
    <row r="222">
      <c r="C222" s="79"/>
      <c r="D222" s="79"/>
      <c r="J222" s="79"/>
      <c r="O222" s="79"/>
      <c r="P222" s="79"/>
      <c r="S222" s="79"/>
      <c r="T222" s="79"/>
      <c r="W222" s="130"/>
      <c r="Y222" s="106"/>
    </row>
    <row r="223">
      <c r="C223" s="79"/>
      <c r="D223" s="79"/>
      <c r="J223" s="79"/>
      <c r="O223" s="79"/>
      <c r="P223" s="79"/>
      <c r="S223" s="79"/>
      <c r="T223" s="79"/>
      <c r="W223" s="130"/>
      <c r="Y223" s="106"/>
    </row>
    <row r="224">
      <c r="C224" s="79"/>
      <c r="D224" s="79"/>
      <c r="J224" s="79"/>
      <c r="O224" s="79"/>
      <c r="P224" s="79"/>
      <c r="S224" s="79"/>
      <c r="T224" s="79"/>
      <c r="W224" s="130"/>
      <c r="Y224" s="106"/>
    </row>
    <row r="225">
      <c r="C225" s="79"/>
      <c r="D225" s="79"/>
      <c r="J225" s="79"/>
      <c r="O225" s="79"/>
      <c r="P225" s="79"/>
      <c r="S225" s="79"/>
      <c r="T225" s="79"/>
      <c r="W225" s="130"/>
      <c r="Y225" s="106"/>
    </row>
    <row r="226">
      <c r="C226" s="79"/>
      <c r="D226" s="79"/>
      <c r="J226" s="79"/>
      <c r="O226" s="79"/>
      <c r="P226" s="79"/>
      <c r="S226" s="79"/>
      <c r="T226" s="79"/>
      <c r="W226" s="130"/>
      <c r="Y226" s="106"/>
    </row>
    <row r="227">
      <c r="C227" s="79"/>
      <c r="D227" s="79"/>
      <c r="J227" s="79"/>
      <c r="O227" s="79"/>
      <c r="P227" s="79"/>
      <c r="S227" s="79"/>
      <c r="T227" s="79"/>
      <c r="W227" s="130"/>
      <c r="Y227" s="106"/>
    </row>
    <row r="228">
      <c r="C228" s="79"/>
      <c r="D228" s="79"/>
      <c r="J228" s="79"/>
      <c r="O228" s="79"/>
      <c r="P228" s="79"/>
      <c r="S228" s="79"/>
      <c r="T228" s="79"/>
      <c r="W228" s="130"/>
      <c r="Y228" s="106"/>
    </row>
    <row r="229">
      <c r="C229" s="79"/>
      <c r="D229" s="79"/>
      <c r="J229" s="79"/>
      <c r="O229" s="79"/>
      <c r="P229" s="79"/>
      <c r="S229" s="79"/>
      <c r="T229" s="79"/>
      <c r="W229" s="130"/>
      <c r="Y229" s="106"/>
    </row>
    <row r="230">
      <c r="C230" s="79"/>
      <c r="D230" s="79"/>
      <c r="J230" s="79"/>
      <c r="O230" s="79"/>
      <c r="P230" s="79"/>
      <c r="S230" s="79"/>
      <c r="T230" s="79"/>
      <c r="W230" s="130"/>
      <c r="Y230" s="106"/>
    </row>
    <row r="231">
      <c r="C231" s="79"/>
      <c r="D231" s="79"/>
      <c r="J231" s="79"/>
      <c r="O231" s="79"/>
      <c r="P231" s="79"/>
      <c r="S231" s="79"/>
      <c r="T231" s="79"/>
      <c r="W231" s="130"/>
      <c r="Y231" s="106"/>
    </row>
    <row r="232">
      <c r="C232" s="79"/>
      <c r="D232" s="79"/>
      <c r="J232" s="79"/>
      <c r="O232" s="79"/>
      <c r="P232" s="79"/>
      <c r="S232" s="79"/>
      <c r="T232" s="79"/>
      <c r="W232" s="130"/>
      <c r="Y232" s="106"/>
    </row>
    <row r="233">
      <c r="C233" s="79"/>
      <c r="D233" s="79"/>
      <c r="J233" s="79"/>
      <c r="O233" s="79"/>
      <c r="P233" s="79"/>
      <c r="S233" s="79"/>
      <c r="T233" s="79"/>
      <c r="W233" s="130"/>
      <c r="Y233" s="106"/>
    </row>
    <row r="234">
      <c r="C234" s="79"/>
      <c r="D234" s="79"/>
      <c r="J234" s="79"/>
      <c r="O234" s="79"/>
      <c r="P234" s="79"/>
      <c r="S234" s="79"/>
      <c r="T234" s="79"/>
      <c r="W234" s="130"/>
      <c r="Y234" s="106"/>
    </row>
    <row r="235">
      <c r="C235" s="79"/>
      <c r="D235" s="79"/>
      <c r="J235" s="79"/>
      <c r="O235" s="79"/>
      <c r="P235" s="79"/>
      <c r="S235" s="79"/>
      <c r="T235" s="79"/>
      <c r="W235" s="130"/>
      <c r="Y235" s="106"/>
    </row>
    <row r="236">
      <c r="C236" s="79"/>
      <c r="D236" s="79"/>
      <c r="J236" s="79"/>
      <c r="O236" s="79"/>
      <c r="P236" s="79"/>
      <c r="S236" s="79"/>
      <c r="T236" s="79"/>
      <c r="W236" s="130"/>
      <c r="Y236" s="106"/>
    </row>
    <row r="237">
      <c r="C237" s="79"/>
      <c r="D237" s="79"/>
      <c r="J237" s="79"/>
      <c r="O237" s="79"/>
      <c r="P237" s="79"/>
      <c r="S237" s="79"/>
      <c r="T237" s="79"/>
      <c r="W237" s="130"/>
      <c r="Y237" s="106"/>
    </row>
    <row r="238">
      <c r="C238" s="79"/>
      <c r="D238" s="79"/>
      <c r="J238" s="79"/>
      <c r="O238" s="79"/>
      <c r="P238" s="79"/>
      <c r="S238" s="79"/>
      <c r="T238" s="79"/>
      <c r="W238" s="130"/>
      <c r="Y238" s="106"/>
    </row>
    <row r="239">
      <c r="C239" s="79"/>
      <c r="D239" s="79"/>
      <c r="J239" s="79"/>
      <c r="O239" s="79"/>
      <c r="P239" s="79"/>
      <c r="S239" s="79"/>
      <c r="T239" s="79"/>
      <c r="W239" s="130"/>
      <c r="Y239" s="106"/>
    </row>
    <row r="240">
      <c r="C240" s="79"/>
      <c r="D240" s="79"/>
      <c r="J240" s="79"/>
      <c r="O240" s="79"/>
      <c r="P240" s="79"/>
      <c r="S240" s="79"/>
      <c r="T240" s="79"/>
      <c r="W240" s="130"/>
      <c r="Y240" s="106"/>
    </row>
    <row r="241">
      <c r="C241" s="79"/>
      <c r="D241" s="79"/>
      <c r="J241" s="79"/>
      <c r="O241" s="79"/>
      <c r="P241" s="79"/>
      <c r="S241" s="79"/>
      <c r="T241" s="79"/>
      <c r="W241" s="130"/>
      <c r="Y241" s="106"/>
    </row>
    <row r="242">
      <c r="C242" s="79"/>
      <c r="D242" s="79"/>
      <c r="J242" s="79"/>
      <c r="O242" s="79"/>
      <c r="P242" s="79"/>
      <c r="S242" s="79"/>
      <c r="T242" s="79"/>
      <c r="W242" s="130"/>
      <c r="Y242" s="106"/>
    </row>
    <row r="243">
      <c r="C243" s="79"/>
      <c r="D243" s="79"/>
      <c r="J243" s="79"/>
      <c r="O243" s="79"/>
      <c r="P243" s="79"/>
      <c r="S243" s="79"/>
      <c r="T243" s="79"/>
      <c r="W243" s="130"/>
      <c r="Y243" s="106"/>
    </row>
    <row r="244">
      <c r="C244" s="79"/>
      <c r="D244" s="79"/>
      <c r="J244" s="79"/>
      <c r="O244" s="79"/>
      <c r="P244" s="79"/>
      <c r="S244" s="79"/>
      <c r="T244" s="79"/>
      <c r="W244" s="130"/>
      <c r="Y244" s="106"/>
    </row>
    <row r="245">
      <c r="C245" s="79"/>
      <c r="D245" s="79"/>
      <c r="J245" s="79"/>
      <c r="O245" s="79"/>
      <c r="P245" s="79"/>
      <c r="S245" s="79"/>
      <c r="T245" s="79"/>
      <c r="W245" s="130"/>
      <c r="Y245" s="106"/>
    </row>
    <row r="246">
      <c r="C246" s="79"/>
      <c r="D246" s="79"/>
      <c r="J246" s="79"/>
      <c r="O246" s="79"/>
      <c r="P246" s="79"/>
      <c r="S246" s="79"/>
      <c r="T246" s="79"/>
      <c r="W246" s="130"/>
      <c r="Y246" s="106"/>
    </row>
    <row r="247">
      <c r="C247" s="79"/>
      <c r="D247" s="79"/>
      <c r="J247" s="79"/>
      <c r="O247" s="79"/>
      <c r="P247" s="79"/>
      <c r="S247" s="79"/>
      <c r="T247" s="79"/>
      <c r="W247" s="130"/>
      <c r="Y247" s="106"/>
    </row>
    <row r="248">
      <c r="C248" s="79"/>
      <c r="D248" s="79"/>
      <c r="J248" s="79"/>
      <c r="O248" s="79"/>
      <c r="P248" s="79"/>
      <c r="S248" s="79"/>
      <c r="T248" s="79"/>
      <c r="W248" s="130"/>
      <c r="Y248" s="106"/>
    </row>
    <row r="249">
      <c r="C249" s="79"/>
      <c r="D249" s="79"/>
      <c r="J249" s="79"/>
      <c r="O249" s="79"/>
      <c r="P249" s="79"/>
      <c r="S249" s="79"/>
      <c r="T249" s="79"/>
      <c r="W249" s="130"/>
      <c r="Y249" s="106"/>
    </row>
    <row r="250">
      <c r="C250" s="79"/>
      <c r="D250" s="79"/>
      <c r="J250" s="79"/>
      <c r="O250" s="79"/>
      <c r="P250" s="79"/>
      <c r="S250" s="79"/>
      <c r="T250" s="79"/>
      <c r="W250" s="130"/>
      <c r="Y250" s="106"/>
    </row>
    <row r="251">
      <c r="C251" s="79"/>
      <c r="D251" s="79"/>
      <c r="J251" s="79"/>
      <c r="O251" s="79"/>
      <c r="P251" s="79"/>
      <c r="S251" s="79"/>
      <c r="T251" s="79"/>
      <c r="W251" s="130"/>
      <c r="Y251" s="106"/>
    </row>
    <row r="252">
      <c r="C252" s="79"/>
      <c r="D252" s="79"/>
      <c r="J252" s="79"/>
      <c r="O252" s="79"/>
      <c r="P252" s="79"/>
      <c r="S252" s="79"/>
      <c r="T252" s="79"/>
      <c r="W252" s="130"/>
      <c r="Y252" s="106"/>
    </row>
    <row r="253">
      <c r="C253" s="79"/>
      <c r="D253" s="79"/>
      <c r="J253" s="79"/>
      <c r="O253" s="79"/>
      <c r="P253" s="79"/>
      <c r="S253" s="79"/>
      <c r="T253" s="79"/>
      <c r="W253" s="130"/>
      <c r="Y253" s="106"/>
    </row>
    <row r="254">
      <c r="C254" s="79"/>
      <c r="D254" s="79"/>
      <c r="J254" s="79"/>
      <c r="O254" s="79"/>
      <c r="P254" s="79"/>
      <c r="S254" s="79"/>
      <c r="T254" s="79"/>
      <c r="W254" s="130"/>
      <c r="Y254" s="106"/>
    </row>
    <row r="255">
      <c r="C255" s="79"/>
      <c r="D255" s="79"/>
      <c r="J255" s="79"/>
      <c r="O255" s="79"/>
      <c r="P255" s="79"/>
      <c r="S255" s="79"/>
      <c r="T255" s="79"/>
      <c r="W255" s="130"/>
      <c r="Y255" s="106"/>
    </row>
    <row r="256">
      <c r="C256" s="79"/>
      <c r="D256" s="79"/>
      <c r="J256" s="79"/>
      <c r="O256" s="79"/>
      <c r="P256" s="79"/>
      <c r="S256" s="79"/>
      <c r="T256" s="79"/>
      <c r="W256" s="130"/>
      <c r="Y256" s="106"/>
    </row>
    <row r="257">
      <c r="C257" s="79"/>
      <c r="D257" s="79"/>
      <c r="J257" s="79"/>
      <c r="O257" s="79"/>
      <c r="P257" s="79"/>
      <c r="S257" s="79"/>
      <c r="T257" s="79"/>
      <c r="W257" s="130"/>
      <c r="Y257" s="106"/>
    </row>
    <row r="258">
      <c r="C258" s="79"/>
      <c r="D258" s="79"/>
      <c r="J258" s="79"/>
      <c r="O258" s="79"/>
      <c r="P258" s="79"/>
      <c r="S258" s="79"/>
      <c r="T258" s="79"/>
      <c r="W258" s="130"/>
      <c r="Y258" s="106"/>
    </row>
    <row r="259">
      <c r="C259" s="79"/>
      <c r="D259" s="79"/>
      <c r="J259" s="79"/>
      <c r="O259" s="79"/>
      <c r="P259" s="79"/>
      <c r="S259" s="79"/>
      <c r="T259" s="79"/>
      <c r="W259" s="130"/>
      <c r="Y259" s="106"/>
    </row>
    <row r="260">
      <c r="C260" s="79"/>
      <c r="D260" s="79"/>
      <c r="J260" s="79"/>
      <c r="O260" s="79"/>
      <c r="P260" s="79"/>
      <c r="S260" s="79"/>
      <c r="T260" s="79"/>
      <c r="W260" s="130"/>
      <c r="Y260" s="106"/>
    </row>
    <row r="261">
      <c r="C261" s="79"/>
      <c r="D261" s="79"/>
      <c r="J261" s="79"/>
      <c r="O261" s="79"/>
      <c r="P261" s="79"/>
      <c r="S261" s="79"/>
      <c r="T261" s="79"/>
      <c r="W261" s="130"/>
      <c r="Y261" s="106"/>
    </row>
    <row r="262">
      <c r="C262" s="79"/>
      <c r="D262" s="79"/>
      <c r="J262" s="79"/>
      <c r="O262" s="79"/>
      <c r="P262" s="79"/>
      <c r="S262" s="79"/>
      <c r="T262" s="79"/>
      <c r="W262" s="130"/>
      <c r="Y262" s="106"/>
    </row>
    <row r="263">
      <c r="C263" s="79"/>
      <c r="D263" s="79"/>
      <c r="J263" s="79"/>
      <c r="O263" s="79"/>
      <c r="P263" s="79"/>
      <c r="S263" s="79"/>
      <c r="T263" s="79"/>
      <c r="W263" s="130"/>
      <c r="Y263" s="106"/>
    </row>
    <row r="264">
      <c r="C264" s="79"/>
      <c r="D264" s="79"/>
      <c r="J264" s="79"/>
      <c r="O264" s="79"/>
      <c r="P264" s="79"/>
      <c r="S264" s="79"/>
      <c r="T264" s="79"/>
      <c r="W264" s="130"/>
      <c r="Y264" s="106"/>
    </row>
    <row r="265">
      <c r="C265" s="79"/>
      <c r="D265" s="79"/>
      <c r="J265" s="79"/>
      <c r="O265" s="79"/>
      <c r="P265" s="79"/>
      <c r="S265" s="79"/>
      <c r="T265" s="79"/>
      <c r="W265" s="130"/>
      <c r="Y265" s="106"/>
    </row>
    <row r="266">
      <c r="C266" s="79"/>
      <c r="D266" s="79"/>
      <c r="J266" s="79"/>
      <c r="O266" s="79"/>
      <c r="P266" s="79"/>
      <c r="S266" s="79"/>
      <c r="T266" s="79"/>
      <c r="W266" s="130"/>
      <c r="Y266" s="106"/>
    </row>
    <row r="267">
      <c r="C267" s="79"/>
      <c r="D267" s="79"/>
      <c r="J267" s="79"/>
      <c r="O267" s="79"/>
      <c r="P267" s="79"/>
      <c r="S267" s="79"/>
      <c r="T267" s="79"/>
      <c r="W267" s="130"/>
      <c r="Y267" s="106"/>
    </row>
    <row r="268">
      <c r="C268" s="79"/>
      <c r="D268" s="79"/>
      <c r="J268" s="79"/>
      <c r="O268" s="79"/>
      <c r="P268" s="79"/>
      <c r="S268" s="79"/>
      <c r="T268" s="79"/>
      <c r="W268" s="130"/>
      <c r="Y268" s="106"/>
    </row>
    <row r="269">
      <c r="C269" s="79"/>
      <c r="D269" s="79"/>
      <c r="J269" s="79"/>
      <c r="O269" s="79"/>
      <c r="P269" s="79"/>
      <c r="S269" s="79"/>
      <c r="T269" s="79"/>
      <c r="W269" s="130"/>
      <c r="Y269" s="106"/>
    </row>
    <row r="270">
      <c r="C270" s="79"/>
      <c r="D270" s="79"/>
      <c r="J270" s="79"/>
      <c r="O270" s="79"/>
      <c r="P270" s="79"/>
      <c r="S270" s="79"/>
      <c r="T270" s="79"/>
      <c r="W270" s="130"/>
      <c r="Y270" s="106"/>
    </row>
    <row r="271">
      <c r="C271" s="79"/>
      <c r="D271" s="79"/>
      <c r="J271" s="79"/>
      <c r="O271" s="79"/>
      <c r="P271" s="79"/>
      <c r="S271" s="79"/>
      <c r="T271" s="79"/>
      <c r="W271" s="130"/>
      <c r="Y271" s="106"/>
    </row>
    <row r="272">
      <c r="C272" s="79"/>
      <c r="D272" s="79"/>
      <c r="J272" s="79"/>
      <c r="O272" s="79"/>
      <c r="P272" s="79"/>
      <c r="S272" s="79"/>
      <c r="T272" s="79"/>
      <c r="W272" s="130"/>
      <c r="Y272" s="106"/>
    </row>
    <row r="273">
      <c r="C273" s="79"/>
      <c r="D273" s="79"/>
      <c r="J273" s="79"/>
      <c r="O273" s="79"/>
      <c r="P273" s="79"/>
      <c r="S273" s="79"/>
      <c r="T273" s="79"/>
      <c r="W273" s="130"/>
      <c r="Y273" s="106"/>
    </row>
    <row r="274">
      <c r="C274" s="79"/>
      <c r="D274" s="79"/>
      <c r="J274" s="79"/>
      <c r="O274" s="79"/>
      <c r="P274" s="79"/>
      <c r="S274" s="79"/>
      <c r="T274" s="79"/>
      <c r="W274" s="130"/>
      <c r="Y274" s="106"/>
    </row>
    <row r="275">
      <c r="C275" s="79"/>
      <c r="D275" s="79"/>
      <c r="J275" s="79"/>
      <c r="O275" s="79"/>
      <c r="P275" s="79"/>
      <c r="S275" s="79"/>
      <c r="T275" s="79"/>
      <c r="W275" s="130"/>
      <c r="Y275" s="106"/>
    </row>
    <row r="276">
      <c r="C276" s="79"/>
      <c r="D276" s="79"/>
      <c r="J276" s="79"/>
      <c r="O276" s="79"/>
      <c r="P276" s="79"/>
      <c r="S276" s="79"/>
      <c r="T276" s="79"/>
      <c r="W276" s="130"/>
      <c r="Y276" s="106"/>
    </row>
    <row r="277">
      <c r="C277" s="79"/>
      <c r="D277" s="79"/>
      <c r="J277" s="79"/>
      <c r="O277" s="79"/>
      <c r="P277" s="79"/>
      <c r="S277" s="79"/>
      <c r="T277" s="79"/>
      <c r="W277" s="130"/>
      <c r="Y277" s="106"/>
    </row>
    <row r="278">
      <c r="C278" s="79"/>
      <c r="D278" s="79"/>
      <c r="J278" s="79"/>
      <c r="O278" s="79"/>
      <c r="P278" s="79"/>
      <c r="S278" s="79"/>
      <c r="T278" s="79"/>
      <c r="W278" s="130"/>
      <c r="Y278" s="106"/>
    </row>
    <row r="279">
      <c r="C279" s="79"/>
      <c r="D279" s="79"/>
      <c r="J279" s="79"/>
      <c r="O279" s="79"/>
      <c r="P279" s="79"/>
      <c r="S279" s="79"/>
      <c r="T279" s="79"/>
      <c r="W279" s="130"/>
      <c r="Y279" s="106"/>
    </row>
    <row r="280">
      <c r="C280" s="79"/>
      <c r="D280" s="79"/>
      <c r="J280" s="79"/>
      <c r="O280" s="79"/>
      <c r="P280" s="79"/>
      <c r="S280" s="79"/>
      <c r="T280" s="79"/>
      <c r="W280" s="130"/>
      <c r="Y280" s="106"/>
    </row>
    <row r="281">
      <c r="C281" s="79"/>
      <c r="D281" s="79"/>
      <c r="J281" s="79"/>
      <c r="O281" s="79"/>
      <c r="P281" s="79"/>
      <c r="S281" s="79"/>
      <c r="T281" s="79"/>
      <c r="W281" s="130"/>
      <c r="Y281" s="106"/>
    </row>
    <row r="282">
      <c r="C282" s="79"/>
      <c r="D282" s="79"/>
      <c r="J282" s="79"/>
      <c r="O282" s="79"/>
      <c r="P282" s="79"/>
      <c r="S282" s="79"/>
      <c r="T282" s="79"/>
      <c r="W282" s="130"/>
      <c r="Y282" s="106"/>
    </row>
    <row r="283">
      <c r="C283" s="79"/>
      <c r="D283" s="79"/>
      <c r="J283" s="79"/>
      <c r="O283" s="79"/>
      <c r="P283" s="79"/>
      <c r="S283" s="79"/>
      <c r="T283" s="79"/>
      <c r="W283" s="130"/>
      <c r="Y283" s="106"/>
    </row>
    <row r="284">
      <c r="C284" s="79"/>
      <c r="D284" s="79"/>
      <c r="J284" s="79"/>
      <c r="O284" s="79"/>
      <c r="P284" s="79"/>
      <c r="S284" s="79"/>
      <c r="T284" s="79"/>
      <c r="W284" s="130"/>
      <c r="Y284" s="106"/>
    </row>
    <row r="285">
      <c r="C285" s="79"/>
      <c r="D285" s="79"/>
      <c r="J285" s="79"/>
      <c r="O285" s="79"/>
      <c r="P285" s="79"/>
      <c r="S285" s="79"/>
      <c r="T285" s="79"/>
      <c r="W285" s="130"/>
      <c r="Y285" s="106"/>
    </row>
    <row r="286">
      <c r="C286" s="79"/>
      <c r="D286" s="79"/>
      <c r="J286" s="79"/>
      <c r="O286" s="79"/>
      <c r="P286" s="79"/>
      <c r="S286" s="79"/>
      <c r="T286" s="79"/>
      <c r="W286" s="130"/>
      <c r="Y286" s="106"/>
    </row>
    <row r="287">
      <c r="C287" s="79"/>
      <c r="D287" s="79"/>
      <c r="J287" s="79"/>
      <c r="O287" s="79"/>
      <c r="P287" s="79"/>
      <c r="S287" s="79"/>
      <c r="T287" s="79"/>
      <c r="W287" s="130"/>
      <c r="Y287" s="106"/>
    </row>
    <row r="288">
      <c r="C288" s="79"/>
      <c r="D288" s="79"/>
      <c r="J288" s="79"/>
      <c r="O288" s="79"/>
      <c r="P288" s="79"/>
      <c r="S288" s="79"/>
      <c r="T288" s="79"/>
      <c r="W288" s="130"/>
      <c r="Y288" s="106"/>
    </row>
    <row r="289">
      <c r="C289" s="79"/>
      <c r="D289" s="79"/>
      <c r="J289" s="79"/>
      <c r="O289" s="79"/>
      <c r="P289" s="79"/>
      <c r="S289" s="79"/>
      <c r="T289" s="79"/>
      <c r="W289" s="130"/>
      <c r="Y289" s="106"/>
    </row>
    <row r="290">
      <c r="C290" s="79"/>
      <c r="D290" s="79"/>
      <c r="J290" s="79"/>
      <c r="O290" s="79"/>
      <c r="P290" s="79"/>
      <c r="S290" s="79"/>
      <c r="T290" s="79"/>
      <c r="W290" s="130"/>
      <c r="Y290" s="106"/>
    </row>
    <row r="291">
      <c r="C291" s="79"/>
      <c r="D291" s="79"/>
      <c r="J291" s="79"/>
      <c r="O291" s="79"/>
      <c r="P291" s="79"/>
      <c r="S291" s="79"/>
      <c r="T291" s="79"/>
      <c r="W291" s="130"/>
      <c r="Y291" s="106"/>
    </row>
    <row r="292">
      <c r="C292" s="79"/>
      <c r="D292" s="79"/>
      <c r="J292" s="79"/>
      <c r="O292" s="79"/>
      <c r="P292" s="79"/>
      <c r="S292" s="79"/>
      <c r="T292" s="79"/>
      <c r="W292" s="130"/>
      <c r="Y292" s="106"/>
    </row>
    <row r="293">
      <c r="C293" s="79"/>
      <c r="D293" s="79"/>
      <c r="J293" s="79"/>
      <c r="O293" s="79"/>
      <c r="P293" s="79"/>
      <c r="S293" s="79"/>
      <c r="T293" s="79"/>
      <c r="W293" s="130"/>
      <c r="Y293" s="106"/>
    </row>
    <row r="294">
      <c r="C294" s="79"/>
      <c r="D294" s="79"/>
      <c r="J294" s="79"/>
      <c r="O294" s="79"/>
      <c r="P294" s="79"/>
      <c r="S294" s="79"/>
      <c r="T294" s="79"/>
      <c r="W294" s="130"/>
      <c r="Y294" s="106"/>
    </row>
    <row r="295">
      <c r="C295" s="79"/>
      <c r="D295" s="79"/>
      <c r="J295" s="79"/>
      <c r="O295" s="79"/>
      <c r="P295" s="79"/>
      <c r="S295" s="79"/>
      <c r="T295" s="79"/>
      <c r="W295" s="130"/>
      <c r="Y295" s="106"/>
    </row>
    <row r="296">
      <c r="C296" s="79"/>
      <c r="D296" s="79"/>
      <c r="J296" s="79"/>
      <c r="O296" s="79"/>
      <c r="P296" s="79"/>
      <c r="S296" s="79"/>
      <c r="T296" s="79"/>
      <c r="W296" s="130"/>
      <c r="Y296" s="106"/>
    </row>
    <row r="297">
      <c r="C297" s="79"/>
      <c r="D297" s="79"/>
      <c r="J297" s="79"/>
      <c r="O297" s="79"/>
      <c r="P297" s="79"/>
      <c r="S297" s="79"/>
      <c r="T297" s="79"/>
      <c r="W297" s="130"/>
      <c r="Y297" s="106"/>
    </row>
    <row r="298">
      <c r="C298" s="79"/>
      <c r="D298" s="79"/>
      <c r="J298" s="79"/>
      <c r="O298" s="79"/>
      <c r="P298" s="79"/>
      <c r="S298" s="79"/>
      <c r="T298" s="79"/>
      <c r="W298" s="130"/>
      <c r="Y298" s="106"/>
    </row>
    <row r="299">
      <c r="C299" s="79"/>
      <c r="D299" s="79"/>
      <c r="J299" s="79"/>
      <c r="O299" s="79"/>
      <c r="P299" s="79"/>
      <c r="S299" s="79"/>
      <c r="T299" s="79"/>
      <c r="W299" s="130"/>
      <c r="Y299" s="106"/>
    </row>
    <row r="300">
      <c r="C300" s="79"/>
      <c r="D300" s="79"/>
      <c r="J300" s="79"/>
      <c r="O300" s="79"/>
      <c r="P300" s="79"/>
      <c r="S300" s="79"/>
      <c r="T300" s="79"/>
      <c r="W300" s="130"/>
      <c r="Y300" s="106"/>
    </row>
    <row r="301">
      <c r="C301" s="79"/>
      <c r="D301" s="79"/>
      <c r="J301" s="79"/>
      <c r="O301" s="79"/>
      <c r="P301" s="79"/>
      <c r="S301" s="79"/>
      <c r="T301" s="79"/>
      <c r="W301" s="130"/>
      <c r="Y301" s="106"/>
    </row>
    <row r="302">
      <c r="C302" s="79"/>
      <c r="D302" s="79"/>
      <c r="J302" s="79"/>
      <c r="O302" s="79"/>
      <c r="P302" s="79"/>
      <c r="S302" s="79"/>
      <c r="T302" s="79"/>
      <c r="W302" s="130"/>
      <c r="Y302" s="106"/>
    </row>
    <row r="303">
      <c r="C303" s="79"/>
      <c r="D303" s="79"/>
      <c r="J303" s="79"/>
      <c r="O303" s="79"/>
      <c r="P303" s="79"/>
      <c r="S303" s="79"/>
      <c r="T303" s="79"/>
      <c r="W303" s="130"/>
      <c r="Y303" s="106"/>
    </row>
    <row r="304">
      <c r="C304" s="79"/>
      <c r="D304" s="79"/>
      <c r="J304" s="79"/>
      <c r="O304" s="79"/>
      <c r="P304" s="79"/>
      <c r="S304" s="79"/>
      <c r="T304" s="79"/>
      <c r="W304" s="130"/>
      <c r="Y304" s="106"/>
    </row>
    <row r="305">
      <c r="C305" s="79"/>
      <c r="D305" s="79"/>
      <c r="J305" s="79"/>
      <c r="O305" s="79"/>
      <c r="P305" s="79"/>
      <c r="S305" s="79"/>
      <c r="T305" s="79"/>
      <c r="W305" s="130"/>
      <c r="Y305" s="106"/>
    </row>
    <row r="306">
      <c r="C306" s="79"/>
      <c r="D306" s="79"/>
      <c r="J306" s="79"/>
      <c r="O306" s="79"/>
      <c r="P306" s="79"/>
      <c r="S306" s="79"/>
      <c r="T306" s="79"/>
      <c r="W306" s="130"/>
      <c r="Y306" s="106"/>
    </row>
    <row r="307">
      <c r="C307" s="79"/>
      <c r="D307" s="79"/>
      <c r="J307" s="79"/>
      <c r="O307" s="79"/>
      <c r="P307" s="79"/>
      <c r="S307" s="79"/>
      <c r="T307" s="79"/>
      <c r="W307" s="130"/>
      <c r="Y307" s="106"/>
    </row>
    <row r="308">
      <c r="C308" s="79"/>
      <c r="D308" s="79"/>
      <c r="J308" s="79"/>
      <c r="O308" s="79"/>
      <c r="P308" s="79"/>
      <c r="S308" s="79"/>
      <c r="T308" s="79"/>
      <c r="W308" s="130"/>
      <c r="Y308" s="106"/>
    </row>
    <row r="309">
      <c r="C309" s="79"/>
      <c r="D309" s="79"/>
      <c r="J309" s="79"/>
      <c r="O309" s="79"/>
      <c r="P309" s="79"/>
      <c r="S309" s="79"/>
      <c r="T309" s="79"/>
      <c r="W309" s="130"/>
      <c r="Y309" s="106"/>
    </row>
    <row r="310">
      <c r="C310" s="79"/>
      <c r="D310" s="79"/>
      <c r="J310" s="79"/>
      <c r="O310" s="79"/>
      <c r="P310" s="79"/>
      <c r="S310" s="79"/>
      <c r="T310" s="79"/>
      <c r="W310" s="130"/>
      <c r="Y310" s="106"/>
    </row>
    <row r="311">
      <c r="C311" s="79"/>
      <c r="D311" s="79"/>
      <c r="J311" s="79"/>
      <c r="O311" s="79"/>
      <c r="P311" s="79"/>
      <c r="S311" s="79"/>
      <c r="T311" s="79"/>
      <c r="W311" s="130"/>
      <c r="Y311" s="106"/>
    </row>
    <row r="312">
      <c r="C312" s="79"/>
      <c r="D312" s="79"/>
      <c r="J312" s="79"/>
      <c r="O312" s="79"/>
      <c r="P312" s="79"/>
      <c r="S312" s="79"/>
      <c r="T312" s="79"/>
      <c r="W312" s="130"/>
      <c r="Y312" s="106"/>
    </row>
    <row r="313">
      <c r="C313" s="79"/>
      <c r="D313" s="79"/>
      <c r="J313" s="79"/>
      <c r="O313" s="79"/>
      <c r="P313" s="79"/>
      <c r="S313" s="79"/>
      <c r="T313" s="79"/>
      <c r="W313" s="130"/>
      <c r="Y313" s="106"/>
    </row>
    <row r="314">
      <c r="C314" s="79"/>
      <c r="D314" s="79"/>
      <c r="J314" s="79"/>
      <c r="O314" s="79"/>
      <c r="P314" s="79"/>
      <c r="S314" s="79"/>
      <c r="T314" s="79"/>
      <c r="W314" s="130"/>
      <c r="Y314" s="106"/>
    </row>
    <row r="315">
      <c r="C315" s="79"/>
      <c r="D315" s="79"/>
      <c r="J315" s="79"/>
      <c r="O315" s="79"/>
      <c r="P315" s="79"/>
      <c r="S315" s="79"/>
      <c r="T315" s="79"/>
      <c r="W315" s="130"/>
      <c r="Y315" s="106"/>
    </row>
    <row r="316">
      <c r="C316" s="79"/>
      <c r="D316" s="79"/>
      <c r="J316" s="79"/>
      <c r="O316" s="79"/>
      <c r="P316" s="79"/>
      <c r="S316" s="79"/>
      <c r="T316" s="79"/>
      <c r="W316" s="130"/>
      <c r="Y316" s="106"/>
    </row>
    <row r="317">
      <c r="C317" s="79"/>
      <c r="D317" s="79"/>
      <c r="J317" s="79"/>
      <c r="O317" s="79"/>
      <c r="P317" s="79"/>
      <c r="S317" s="79"/>
      <c r="T317" s="79"/>
      <c r="W317" s="130"/>
      <c r="Y317" s="106"/>
    </row>
    <row r="318">
      <c r="C318" s="79"/>
      <c r="D318" s="79"/>
      <c r="J318" s="79"/>
      <c r="O318" s="79"/>
      <c r="P318" s="79"/>
      <c r="S318" s="79"/>
      <c r="T318" s="79"/>
      <c r="W318" s="130"/>
      <c r="Y318" s="106"/>
    </row>
    <row r="319">
      <c r="C319" s="79"/>
      <c r="D319" s="79"/>
      <c r="J319" s="79"/>
      <c r="O319" s="79"/>
      <c r="P319" s="79"/>
      <c r="S319" s="79"/>
      <c r="T319" s="79"/>
      <c r="W319" s="130"/>
      <c r="Y319" s="106"/>
    </row>
    <row r="320">
      <c r="C320" s="79"/>
      <c r="D320" s="79"/>
      <c r="J320" s="79"/>
      <c r="O320" s="79"/>
      <c r="P320" s="79"/>
      <c r="S320" s="79"/>
      <c r="T320" s="79"/>
      <c r="W320" s="130"/>
      <c r="Y320" s="106"/>
    </row>
    <row r="321">
      <c r="C321" s="79"/>
      <c r="D321" s="79"/>
      <c r="J321" s="79"/>
      <c r="O321" s="79"/>
      <c r="P321" s="79"/>
      <c r="S321" s="79"/>
      <c r="T321" s="79"/>
      <c r="W321" s="130"/>
      <c r="Y321" s="106"/>
    </row>
    <row r="322">
      <c r="C322" s="79"/>
      <c r="D322" s="79"/>
      <c r="J322" s="79"/>
      <c r="O322" s="79"/>
      <c r="P322" s="79"/>
      <c r="S322" s="79"/>
      <c r="T322" s="79"/>
      <c r="W322" s="130"/>
      <c r="Y322" s="106"/>
    </row>
    <row r="323">
      <c r="C323" s="79"/>
      <c r="D323" s="79"/>
      <c r="J323" s="79"/>
      <c r="O323" s="79"/>
      <c r="P323" s="79"/>
      <c r="S323" s="79"/>
      <c r="T323" s="79"/>
      <c r="W323" s="130"/>
      <c r="Y323" s="106"/>
    </row>
    <row r="324">
      <c r="C324" s="79"/>
      <c r="D324" s="79"/>
      <c r="J324" s="79"/>
      <c r="O324" s="79"/>
      <c r="P324" s="79"/>
      <c r="S324" s="79"/>
      <c r="T324" s="79"/>
      <c r="W324" s="130"/>
      <c r="Y324" s="106"/>
    </row>
    <row r="325">
      <c r="C325" s="79"/>
      <c r="D325" s="79"/>
      <c r="J325" s="79"/>
      <c r="O325" s="79"/>
      <c r="P325" s="79"/>
      <c r="S325" s="79"/>
      <c r="T325" s="79"/>
      <c r="W325" s="130"/>
      <c r="Y325" s="106"/>
    </row>
    <row r="326">
      <c r="C326" s="79"/>
      <c r="D326" s="79"/>
      <c r="J326" s="79"/>
      <c r="O326" s="79"/>
      <c r="P326" s="79"/>
      <c r="S326" s="79"/>
      <c r="T326" s="79"/>
      <c r="W326" s="130"/>
      <c r="Y326" s="106"/>
    </row>
    <row r="327">
      <c r="C327" s="79"/>
      <c r="D327" s="79"/>
      <c r="J327" s="79"/>
      <c r="O327" s="79"/>
      <c r="P327" s="79"/>
      <c r="S327" s="79"/>
      <c r="T327" s="79"/>
      <c r="W327" s="130"/>
      <c r="Y327" s="106"/>
    </row>
    <row r="328">
      <c r="C328" s="79"/>
      <c r="D328" s="79"/>
      <c r="J328" s="79"/>
      <c r="O328" s="79"/>
      <c r="P328" s="79"/>
      <c r="S328" s="79"/>
      <c r="T328" s="79"/>
      <c r="W328" s="130"/>
      <c r="Y328" s="106"/>
    </row>
    <row r="329">
      <c r="C329" s="79"/>
      <c r="D329" s="79"/>
      <c r="J329" s="79"/>
      <c r="O329" s="79"/>
      <c r="P329" s="79"/>
      <c r="S329" s="79"/>
      <c r="T329" s="79"/>
      <c r="W329" s="130"/>
      <c r="Y329" s="106"/>
    </row>
    <row r="330">
      <c r="C330" s="79"/>
      <c r="D330" s="79"/>
      <c r="J330" s="79"/>
      <c r="O330" s="79"/>
      <c r="P330" s="79"/>
      <c r="S330" s="79"/>
      <c r="T330" s="79"/>
      <c r="W330" s="130"/>
      <c r="Y330" s="106"/>
    </row>
    <row r="331">
      <c r="C331" s="79"/>
      <c r="D331" s="79"/>
      <c r="J331" s="79"/>
      <c r="O331" s="79"/>
      <c r="P331" s="79"/>
      <c r="S331" s="79"/>
      <c r="T331" s="79"/>
      <c r="W331" s="130"/>
      <c r="Y331" s="106"/>
    </row>
    <row r="332">
      <c r="C332" s="79"/>
      <c r="D332" s="79"/>
      <c r="J332" s="79"/>
      <c r="O332" s="79"/>
      <c r="P332" s="79"/>
      <c r="S332" s="79"/>
      <c r="T332" s="79"/>
      <c r="W332" s="130"/>
      <c r="Y332" s="106"/>
    </row>
    <row r="333">
      <c r="C333" s="79"/>
      <c r="D333" s="79"/>
      <c r="J333" s="79"/>
      <c r="O333" s="79"/>
      <c r="P333" s="79"/>
      <c r="S333" s="79"/>
      <c r="T333" s="79"/>
      <c r="W333" s="130"/>
      <c r="Y333" s="106"/>
    </row>
    <row r="334">
      <c r="C334" s="79"/>
      <c r="D334" s="79"/>
      <c r="J334" s="79"/>
      <c r="O334" s="79"/>
      <c r="P334" s="79"/>
      <c r="S334" s="79"/>
      <c r="T334" s="79"/>
      <c r="W334" s="130"/>
      <c r="Y334" s="106"/>
    </row>
    <row r="335">
      <c r="C335" s="79"/>
      <c r="D335" s="79"/>
      <c r="J335" s="79"/>
      <c r="O335" s="79"/>
      <c r="P335" s="79"/>
      <c r="S335" s="79"/>
      <c r="T335" s="79"/>
      <c r="W335" s="130"/>
      <c r="Y335" s="106"/>
    </row>
    <row r="336">
      <c r="C336" s="79"/>
      <c r="D336" s="79"/>
      <c r="J336" s="79"/>
      <c r="O336" s="79"/>
      <c r="P336" s="79"/>
      <c r="S336" s="79"/>
      <c r="T336" s="79"/>
      <c r="W336" s="130"/>
      <c r="Y336" s="106"/>
    </row>
    <row r="337">
      <c r="C337" s="79"/>
      <c r="D337" s="79"/>
      <c r="J337" s="79"/>
      <c r="O337" s="79"/>
      <c r="P337" s="79"/>
      <c r="S337" s="79"/>
      <c r="T337" s="79"/>
      <c r="W337" s="130"/>
      <c r="Y337" s="106"/>
    </row>
    <row r="338">
      <c r="C338" s="79"/>
      <c r="D338" s="79"/>
      <c r="J338" s="79"/>
      <c r="O338" s="79"/>
      <c r="P338" s="79"/>
      <c r="S338" s="79"/>
      <c r="T338" s="79"/>
      <c r="W338" s="130"/>
      <c r="Y338" s="106"/>
    </row>
    <row r="339">
      <c r="C339" s="79"/>
      <c r="D339" s="79"/>
      <c r="J339" s="79"/>
      <c r="O339" s="79"/>
      <c r="P339" s="79"/>
      <c r="S339" s="79"/>
      <c r="T339" s="79"/>
      <c r="W339" s="130"/>
      <c r="Y339" s="106"/>
    </row>
    <row r="340">
      <c r="C340" s="79"/>
      <c r="D340" s="79"/>
      <c r="J340" s="79"/>
      <c r="O340" s="79"/>
      <c r="P340" s="79"/>
      <c r="S340" s="79"/>
      <c r="T340" s="79"/>
      <c r="W340" s="130"/>
      <c r="Y340" s="106"/>
    </row>
    <row r="341">
      <c r="C341" s="79"/>
      <c r="D341" s="79"/>
      <c r="J341" s="79"/>
      <c r="O341" s="79"/>
      <c r="P341" s="79"/>
      <c r="S341" s="79"/>
      <c r="T341" s="79"/>
      <c r="W341" s="130"/>
      <c r="Y341" s="106"/>
    </row>
    <row r="342">
      <c r="C342" s="79"/>
      <c r="D342" s="79"/>
      <c r="J342" s="79"/>
      <c r="O342" s="79"/>
      <c r="P342" s="79"/>
      <c r="S342" s="79"/>
      <c r="T342" s="79"/>
      <c r="W342" s="130"/>
      <c r="Y342" s="106"/>
    </row>
    <row r="343">
      <c r="C343" s="79"/>
      <c r="D343" s="79"/>
      <c r="J343" s="79"/>
      <c r="O343" s="79"/>
      <c r="P343" s="79"/>
      <c r="S343" s="79"/>
      <c r="T343" s="79"/>
      <c r="W343" s="130"/>
      <c r="Y343" s="106"/>
    </row>
    <row r="344">
      <c r="C344" s="79"/>
      <c r="D344" s="79"/>
      <c r="J344" s="79"/>
      <c r="O344" s="79"/>
      <c r="P344" s="79"/>
      <c r="S344" s="79"/>
      <c r="T344" s="79"/>
      <c r="W344" s="130"/>
      <c r="Y344" s="106"/>
    </row>
    <row r="345">
      <c r="C345" s="79"/>
      <c r="D345" s="79"/>
      <c r="J345" s="79"/>
      <c r="O345" s="79"/>
      <c r="P345" s="79"/>
      <c r="S345" s="79"/>
      <c r="T345" s="79"/>
      <c r="W345" s="130"/>
      <c r="Y345" s="106"/>
    </row>
    <row r="346">
      <c r="C346" s="79"/>
      <c r="D346" s="79"/>
      <c r="J346" s="79"/>
      <c r="O346" s="79"/>
      <c r="P346" s="79"/>
      <c r="S346" s="79"/>
      <c r="T346" s="79"/>
      <c r="W346" s="130"/>
      <c r="Y346" s="106"/>
    </row>
    <row r="347">
      <c r="C347" s="79"/>
      <c r="D347" s="79"/>
      <c r="J347" s="79"/>
      <c r="O347" s="79"/>
      <c r="P347" s="79"/>
      <c r="S347" s="79"/>
      <c r="T347" s="79"/>
      <c r="W347" s="130"/>
      <c r="Y347" s="106"/>
    </row>
    <row r="348">
      <c r="C348" s="79"/>
      <c r="D348" s="79"/>
      <c r="J348" s="79"/>
      <c r="O348" s="79"/>
      <c r="P348" s="79"/>
      <c r="S348" s="79"/>
      <c r="T348" s="79"/>
      <c r="W348" s="130"/>
      <c r="Y348" s="106"/>
    </row>
    <row r="349">
      <c r="C349" s="79"/>
      <c r="D349" s="79"/>
      <c r="J349" s="79"/>
      <c r="O349" s="79"/>
      <c r="P349" s="79"/>
      <c r="S349" s="79"/>
      <c r="T349" s="79"/>
      <c r="W349" s="130"/>
      <c r="Y349" s="106"/>
    </row>
    <row r="350">
      <c r="C350" s="79"/>
      <c r="D350" s="79"/>
      <c r="J350" s="79"/>
      <c r="O350" s="79"/>
      <c r="P350" s="79"/>
      <c r="S350" s="79"/>
      <c r="T350" s="79"/>
      <c r="W350" s="130"/>
      <c r="Y350" s="106"/>
    </row>
    <row r="351">
      <c r="C351" s="79"/>
      <c r="D351" s="79"/>
      <c r="J351" s="79"/>
      <c r="O351" s="79"/>
      <c r="P351" s="79"/>
      <c r="S351" s="79"/>
      <c r="T351" s="79"/>
      <c r="W351" s="130"/>
      <c r="Y351" s="106"/>
    </row>
    <row r="352">
      <c r="C352" s="79"/>
      <c r="D352" s="79"/>
      <c r="J352" s="79"/>
      <c r="O352" s="79"/>
      <c r="P352" s="79"/>
      <c r="S352" s="79"/>
      <c r="T352" s="79"/>
      <c r="W352" s="130"/>
      <c r="Y352" s="106"/>
    </row>
    <row r="353">
      <c r="C353" s="79"/>
      <c r="D353" s="79"/>
      <c r="J353" s="79"/>
      <c r="O353" s="79"/>
      <c r="P353" s="79"/>
      <c r="S353" s="79"/>
      <c r="T353" s="79"/>
      <c r="W353" s="130"/>
      <c r="Y353" s="106"/>
    </row>
    <row r="354">
      <c r="C354" s="79"/>
      <c r="D354" s="79"/>
      <c r="J354" s="79"/>
      <c r="O354" s="79"/>
      <c r="P354" s="79"/>
      <c r="S354" s="79"/>
      <c r="T354" s="79"/>
      <c r="W354" s="130"/>
      <c r="Y354" s="106"/>
    </row>
    <row r="355">
      <c r="C355" s="79"/>
      <c r="D355" s="79"/>
      <c r="J355" s="79"/>
      <c r="O355" s="79"/>
      <c r="P355" s="79"/>
      <c r="S355" s="79"/>
      <c r="T355" s="79"/>
      <c r="W355" s="130"/>
      <c r="Y355" s="106"/>
    </row>
    <row r="356">
      <c r="C356" s="79"/>
      <c r="D356" s="79"/>
      <c r="J356" s="79"/>
      <c r="O356" s="79"/>
      <c r="P356" s="79"/>
      <c r="S356" s="79"/>
      <c r="T356" s="79"/>
      <c r="W356" s="130"/>
      <c r="Y356" s="106"/>
    </row>
    <row r="357">
      <c r="C357" s="79"/>
      <c r="D357" s="79"/>
      <c r="J357" s="79"/>
      <c r="O357" s="79"/>
      <c r="P357" s="79"/>
      <c r="S357" s="79"/>
      <c r="T357" s="79"/>
      <c r="W357" s="130"/>
      <c r="Y357" s="106"/>
    </row>
    <row r="358">
      <c r="C358" s="79"/>
      <c r="D358" s="79"/>
      <c r="J358" s="79"/>
      <c r="O358" s="79"/>
      <c r="P358" s="79"/>
      <c r="S358" s="79"/>
      <c r="T358" s="79"/>
      <c r="W358" s="130"/>
      <c r="Y358" s="106"/>
    </row>
    <row r="359">
      <c r="C359" s="79"/>
      <c r="D359" s="79"/>
      <c r="J359" s="79"/>
      <c r="O359" s="79"/>
      <c r="P359" s="79"/>
      <c r="S359" s="79"/>
      <c r="T359" s="79"/>
      <c r="W359" s="130"/>
      <c r="Y359" s="106"/>
    </row>
    <row r="360">
      <c r="C360" s="79"/>
      <c r="D360" s="79"/>
      <c r="J360" s="79"/>
      <c r="O360" s="79"/>
      <c r="P360" s="79"/>
      <c r="S360" s="79"/>
      <c r="T360" s="79"/>
      <c r="W360" s="130"/>
      <c r="Y360" s="106"/>
    </row>
    <row r="361">
      <c r="C361" s="79"/>
      <c r="D361" s="79"/>
      <c r="J361" s="79"/>
      <c r="O361" s="79"/>
      <c r="P361" s="79"/>
      <c r="S361" s="79"/>
      <c r="T361" s="79"/>
      <c r="W361" s="130"/>
      <c r="Y361" s="106"/>
    </row>
    <row r="362">
      <c r="C362" s="79"/>
      <c r="D362" s="79"/>
      <c r="J362" s="79"/>
      <c r="O362" s="79"/>
      <c r="P362" s="79"/>
      <c r="S362" s="79"/>
      <c r="T362" s="79"/>
      <c r="W362" s="130"/>
      <c r="Y362" s="106"/>
    </row>
    <row r="363">
      <c r="C363" s="79"/>
      <c r="D363" s="79"/>
      <c r="J363" s="79"/>
      <c r="O363" s="79"/>
      <c r="P363" s="79"/>
      <c r="S363" s="79"/>
      <c r="T363" s="79"/>
      <c r="W363" s="130"/>
      <c r="Y363" s="106"/>
    </row>
    <row r="364">
      <c r="C364" s="79"/>
      <c r="D364" s="79"/>
      <c r="J364" s="79"/>
      <c r="O364" s="79"/>
      <c r="P364" s="79"/>
      <c r="S364" s="79"/>
      <c r="T364" s="79"/>
      <c r="W364" s="130"/>
      <c r="Y364" s="106"/>
    </row>
    <row r="365">
      <c r="C365" s="79"/>
      <c r="D365" s="79"/>
      <c r="J365" s="79"/>
      <c r="O365" s="79"/>
      <c r="P365" s="79"/>
      <c r="S365" s="79"/>
      <c r="T365" s="79"/>
      <c r="W365" s="130"/>
      <c r="Y365" s="106"/>
    </row>
    <row r="366">
      <c r="C366" s="79"/>
      <c r="D366" s="79"/>
      <c r="J366" s="79"/>
      <c r="O366" s="79"/>
      <c r="P366" s="79"/>
      <c r="S366" s="79"/>
      <c r="T366" s="79"/>
      <c r="W366" s="130"/>
      <c r="Y366" s="106"/>
    </row>
    <row r="367">
      <c r="C367" s="79"/>
      <c r="D367" s="79"/>
      <c r="J367" s="79"/>
      <c r="O367" s="79"/>
      <c r="P367" s="79"/>
      <c r="S367" s="79"/>
      <c r="T367" s="79"/>
      <c r="W367" s="130"/>
      <c r="Y367" s="106"/>
    </row>
    <row r="368">
      <c r="C368" s="79"/>
      <c r="D368" s="79"/>
      <c r="J368" s="79"/>
      <c r="O368" s="79"/>
      <c r="P368" s="79"/>
      <c r="S368" s="79"/>
      <c r="T368" s="79"/>
      <c r="W368" s="130"/>
      <c r="Y368" s="106"/>
    </row>
    <row r="369">
      <c r="C369" s="79"/>
      <c r="D369" s="79"/>
      <c r="J369" s="79"/>
      <c r="O369" s="79"/>
      <c r="P369" s="79"/>
      <c r="S369" s="79"/>
      <c r="T369" s="79"/>
      <c r="W369" s="130"/>
      <c r="Y369" s="106"/>
    </row>
    <row r="370">
      <c r="C370" s="79"/>
      <c r="D370" s="79"/>
      <c r="J370" s="79"/>
      <c r="O370" s="79"/>
      <c r="P370" s="79"/>
      <c r="S370" s="79"/>
      <c r="T370" s="79"/>
      <c r="W370" s="130"/>
      <c r="Y370" s="106"/>
    </row>
    <row r="371">
      <c r="C371" s="79"/>
      <c r="D371" s="79"/>
      <c r="J371" s="79"/>
      <c r="O371" s="79"/>
      <c r="P371" s="79"/>
      <c r="S371" s="79"/>
      <c r="T371" s="79"/>
      <c r="W371" s="130"/>
      <c r="Y371" s="106"/>
    </row>
    <row r="372">
      <c r="C372" s="79"/>
      <c r="D372" s="79"/>
      <c r="J372" s="79"/>
      <c r="O372" s="79"/>
      <c r="P372" s="79"/>
      <c r="S372" s="79"/>
      <c r="T372" s="79"/>
      <c r="W372" s="130"/>
      <c r="Y372" s="106"/>
    </row>
    <row r="373">
      <c r="C373" s="79"/>
      <c r="D373" s="79"/>
      <c r="J373" s="79"/>
      <c r="O373" s="79"/>
      <c r="P373" s="79"/>
      <c r="S373" s="79"/>
      <c r="T373" s="79"/>
      <c r="W373" s="130"/>
      <c r="Y373" s="106"/>
    </row>
    <row r="374">
      <c r="C374" s="79"/>
      <c r="D374" s="79"/>
      <c r="J374" s="79"/>
      <c r="O374" s="79"/>
      <c r="P374" s="79"/>
      <c r="S374" s="79"/>
      <c r="T374" s="79"/>
      <c r="W374" s="130"/>
      <c r="Y374" s="106"/>
    </row>
    <row r="375">
      <c r="C375" s="79"/>
      <c r="D375" s="79"/>
      <c r="J375" s="79"/>
      <c r="O375" s="79"/>
      <c r="P375" s="79"/>
      <c r="S375" s="79"/>
      <c r="T375" s="79"/>
      <c r="W375" s="130"/>
      <c r="Y375" s="106"/>
    </row>
    <row r="376">
      <c r="C376" s="79"/>
      <c r="D376" s="79"/>
      <c r="J376" s="79"/>
      <c r="O376" s="79"/>
      <c r="P376" s="79"/>
      <c r="S376" s="79"/>
      <c r="T376" s="79"/>
      <c r="W376" s="130"/>
      <c r="Y376" s="106"/>
    </row>
    <row r="377">
      <c r="C377" s="79"/>
      <c r="D377" s="79"/>
      <c r="J377" s="79"/>
      <c r="O377" s="79"/>
      <c r="P377" s="79"/>
      <c r="S377" s="79"/>
      <c r="T377" s="79"/>
      <c r="W377" s="130"/>
      <c r="Y377" s="106"/>
    </row>
    <row r="378">
      <c r="C378" s="79"/>
      <c r="D378" s="79"/>
      <c r="J378" s="79"/>
      <c r="O378" s="79"/>
      <c r="P378" s="79"/>
      <c r="S378" s="79"/>
      <c r="T378" s="79"/>
      <c r="W378" s="130"/>
      <c r="Y378" s="106"/>
    </row>
    <row r="379">
      <c r="C379" s="79"/>
      <c r="D379" s="79"/>
      <c r="J379" s="79"/>
      <c r="O379" s="79"/>
      <c r="P379" s="79"/>
      <c r="S379" s="79"/>
      <c r="T379" s="79"/>
      <c r="W379" s="130"/>
      <c r="Y379" s="106"/>
    </row>
    <row r="380">
      <c r="C380" s="79"/>
      <c r="D380" s="79"/>
      <c r="J380" s="79"/>
      <c r="O380" s="79"/>
      <c r="P380" s="79"/>
      <c r="S380" s="79"/>
      <c r="T380" s="79"/>
      <c r="W380" s="130"/>
      <c r="Y380" s="106"/>
    </row>
    <row r="381">
      <c r="C381" s="79"/>
      <c r="D381" s="79"/>
      <c r="J381" s="79"/>
      <c r="O381" s="79"/>
      <c r="P381" s="79"/>
      <c r="S381" s="79"/>
      <c r="T381" s="79"/>
      <c r="W381" s="130"/>
      <c r="Y381" s="106"/>
    </row>
    <row r="382">
      <c r="C382" s="79"/>
      <c r="D382" s="79"/>
      <c r="J382" s="79"/>
      <c r="O382" s="79"/>
      <c r="P382" s="79"/>
      <c r="S382" s="79"/>
      <c r="T382" s="79"/>
      <c r="W382" s="130"/>
      <c r="Y382" s="106"/>
    </row>
    <row r="383">
      <c r="C383" s="79"/>
      <c r="D383" s="79"/>
      <c r="J383" s="79"/>
      <c r="O383" s="79"/>
      <c r="P383" s="79"/>
      <c r="S383" s="79"/>
      <c r="T383" s="79"/>
      <c r="W383" s="130"/>
      <c r="Y383" s="106"/>
    </row>
    <row r="384">
      <c r="C384" s="79"/>
      <c r="D384" s="79"/>
      <c r="J384" s="79"/>
      <c r="O384" s="79"/>
      <c r="P384" s="79"/>
      <c r="S384" s="79"/>
      <c r="T384" s="79"/>
      <c r="W384" s="130"/>
      <c r="Y384" s="106"/>
    </row>
    <row r="385">
      <c r="C385" s="79"/>
      <c r="D385" s="79"/>
      <c r="J385" s="79"/>
      <c r="O385" s="79"/>
      <c r="P385" s="79"/>
      <c r="S385" s="79"/>
      <c r="T385" s="79"/>
      <c r="W385" s="130"/>
      <c r="Y385" s="106"/>
    </row>
    <row r="386">
      <c r="C386" s="79"/>
      <c r="D386" s="79"/>
      <c r="J386" s="79"/>
      <c r="O386" s="79"/>
      <c r="P386" s="79"/>
      <c r="S386" s="79"/>
      <c r="T386" s="79"/>
      <c r="W386" s="130"/>
      <c r="Y386" s="106"/>
    </row>
    <row r="387">
      <c r="C387" s="79"/>
      <c r="D387" s="79"/>
      <c r="J387" s="79"/>
      <c r="O387" s="79"/>
      <c r="P387" s="79"/>
      <c r="S387" s="79"/>
      <c r="T387" s="79"/>
      <c r="W387" s="130"/>
      <c r="Y387" s="106"/>
    </row>
    <row r="388">
      <c r="C388" s="79"/>
      <c r="D388" s="79"/>
      <c r="J388" s="79"/>
      <c r="O388" s="79"/>
      <c r="P388" s="79"/>
      <c r="S388" s="79"/>
      <c r="T388" s="79"/>
      <c r="W388" s="130"/>
      <c r="Y388" s="106"/>
    </row>
    <row r="389">
      <c r="C389" s="79"/>
      <c r="D389" s="79"/>
      <c r="J389" s="79"/>
      <c r="O389" s="79"/>
      <c r="P389" s="79"/>
      <c r="S389" s="79"/>
      <c r="T389" s="79"/>
      <c r="W389" s="130"/>
      <c r="Y389" s="106"/>
    </row>
    <row r="390">
      <c r="C390" s="79"/>
      <c r="D390" s="79"/>
      <c r="J390" s="79"/>
      <c r="O390" s="79"/>
      <c r="P390" s="79"/>
      <c r="S390" s="79"/>
      <c r="T390" s="79"/>
      <c r="W390" s="130"/>
      <c r="Y390" s="106"/>
    </row>
    <row r="391">
      <c r="C391" s="79"/>
      <c r="D391" s="79"/>
      <c r="J391" s="79"/>
      <c r="O391" s="79"/>
      <c r="P391" s="79"/>
      <c r="S391" s="79"/>
      <c r="T391" s="79"/>
      <c r="W391" s="130"/>
      <c r="Y391" s="106"/>
    </row>
    <row r="392">
      <c r="C392" s="79"/>
      <c r="D392" s="79"/>
      <c r="J392" s="79"/>
      <c r="O392" s="79"/>
      <c r="P392" s="79"/>
      <c r="S392" s="79"/>
      <c r="T392" s="79"/>
      <c r="W392" s="130"/>
      <c r="Y392" s="106"/>
    </row>
    <row r="393">
      <c r="C393" s="79"/>
      <c r="D393" s="79"/>
      <c r="J393" s="79"/>
      <c r="O393" s="79"/>
      <c r="P393" s="79"/>
      <c r="S393" s="79"/>
      <c r="T393" s="79"/>
      <c r="W393" s="130"/>
      <c r="Y393" s="106"/>
    </row>
    <row r="394">
      <c r="C394" s="79"/>
      <c r="D394" s="79"/>
      <c r="J394" s="79"/>
      <c r="O394" s="79"/>
      <c r="P394" s="79"/>
      <c r="S394" s="79"/>
      <c r="T394" s="79"/>
      <c r="W394" s="130"/>
      <c r="Y394" s="106"/>
    </row>
    <row r="395">
      <c r="C395" s="79"/>
      <c r="D395" s="79"/>
      <c r="J395" s="79"/>
      <c r="O395" s="79"/>
      <c r="P395" s="79"/>
      <c r="S395" s="79"/>
      <c r="T395" s="79"/>
      <c r="W395" s="130"/>
      <c r="Y395" s="106"/>
    </row>
    <row r="396">
      <c r="C396" s="79"/>
      <c r="D396" s="79"/>
      <c r="J396" s="79"/>
      <c r="O396" s="79"/>
      <c r="P396" s="79"/>
      <c r="S396" s="79"/>
      <c r="T396" s="79"/>
      <c r="W396" s="130"/>
      <c r="Y396" s="106"/>
    </row>
    <row r="397">
      <c r="C397" s="79"/>
      <c r="D397" s="79"/>
      <c r="J397" s="79"/>
      <c r="O397" s="79"/>
      <c r="P397" s="79"/>
      <c r="S397" s="79"/>
      <c r="T397" s="79"/>
      <c r="W397" s="130"/>
      <c r="Y397" s="106"/>
    </row>
    <row r="398">
      <c r="C398" s="79"/>
      <c r="D398" s="79"/>
      <c r="J398" s="79"/>
      <c r="O398" s="79"/>
      <c r="P398" s="79"/>
      <c r="S398" s="79"/>
      <c r="T398" s="79"/>
      <c r="W398" s="130"/>
      <c r="Y398" s="106"/>
    </row>
    <row r="399">
      <c r="C399" s="79"/>
      <c r="D399" s="79"/>
      <c r="J399" s="79"/>
      <c r="O399" s="79"/>
      <c r="P399" s="79"/>
      <c r="S399" s="79"/>
      <c r="T399" s="79"/>
      <c r="W399" s="130"/>
      <c r="Y399" s="106"/>
    </row>
    <row r="400">
      <c r="C400" s="79"/>
      <c r="D400" s="79"/>
      <c r="J400" s="79"/>
      <c r="O400" s="79"/>
      <c r="P400" s="79"/>
      <c r="S400" s="79"/>
      <c r="T400" s="79"/>
      <c r="W400" s="130"/>
      <c r="Y400" s="106"/>
    </row>
    <row r="401">
      <c r="C401" s="79"/>
      <c r="D401" s="79"/>
      <c r="J401" s="79"/>
      <c r="O401" s="79"/>
      <c r="P401" s="79"/>
      <c r="S401" s="79"/>
      <c r="T401" s="79"/>
      <c r="W401" s="130"/>
      <c r="Y401" s="106"/>
    </row>
    <row r="402">
      <c r="C402" s="79"/>
      <c r="D402" s="79"/>
      <c r="J402" s="79"/>
      <c r="O402" s="79"/>
      <c r="P402" s="79"/>
      <c r="S402" s="79"/>
      <c r="T402" s="79"/>
      <c r="W402" s="130"/>
      <c r="Y402" s="106"/>
    </row>
    <row r="403">
      <c r="C403" s="79"/>
      <c r="D403" s="79"/>
      <c r="J403" s="79"/>
      <c r="O403" s="79"/>
      <c r="P403" s="79"/>
      <c r="S403" s="79"/>
      <c r="T403" s="79"/>
      <c r="W403" s="130"/>
      <c r="Y403" s="106"/>
    </row>
    <row r="404">
      <c r="C404" s="79"/>
      <c r="D404" s="79"/>
      <c r="J404" s="79"/>
      <c r="O404" s="79"/>
      <c r="P404" s="79"/>
      <c r="S404" s="79"/>
      <c r="T404" s="79"/>
      <c r="W404" s="130"/>
      <c r="Y404" s="106"/>
    </row>
    <row r="405">
      <c r="C405" s="79"/>
      <c r="D405" s="79"/>
      <c r="J405" s="79"/>
      <c r="O405" s="79"/>
      <c r="P405" s="79"/>
      <c r="S405" s="79"/>
      <c r="T405" s="79"/>
      <c r="W405" s="130"/>
      <c r="Y405" s="106"/>
    </row>
    <row r="406">
      <c r="C406" s="79"/>
      <c r="D406" s="79"/>
      <c r="J406" s="79"/>
      <c r="O406" s="79"/>
      <c r="P406" s="79"/>
      <c r="S406" s="79"/>
      <c r="T406" s="79"/>
      <c r="W406" s="130"/>
      <c r="Y406" s="106"/>
    </row>
    <row r="407">
      <c r="C407" s="79"/>
      <c r="D407" s="79"/>
      <c r="J407" s="79"/>
      <c r="O407" s="79"/>
      <c r="P407" s="79"/>
      <c r="S407" s="79"/>
      <c r="T407" s="79"/>
      <c r="W407" s="130"/>
      <c r="Y407" s="106"/>
    </row>
    <row r="408">
      <c r="C408" s="79"/>
      <c r="D408" s="79"/>
      <c r="J408" s="79"/>
      <c r="O408" s="79"/>
      <c r="P408" s="79"/>
      <c r="S408" s="79"/>
      <c r="T408" s="79"/>
      <c r="W408" s="130"/>
      <c r="Y408" s="106"/>
    </row>
    <row r="409">
      <c r="C409" s="79"/>
      <c r="D409" s="79"/>
      <c r="J409" s="79"/>
      <c r="O409" s="79"/>
      <c r="P409" s="79"/>
      <c r="S409" s="79"/>
      <c r="T409" s="79"/>
      <c r="W409" s="130"/>
      <c r="Y409" s="106"/>
    </row>
    <row r="410">
      <c r="C410" s="79"/>
      <c r="D410" s="79"/>
      <c r="J410" s="79"/>
      <c r="O410" s="79"/>
      <c r="P410" s="79"/>
      <c r="S410" s="79"/>
      <c r="T410" s="79"/>
      <c r="W410" s="130"/>
      <c r="Y410" s="106"/>
    </row>
    <row r="411">
      <c r="C411" s="79"/>
      <c r="D411" s="79"/>
      <c r="J411" s="79"/>
      <c r="O411" s="79"/>
      <c r="P411" s="79"/>
      <c r="S411" s="79"/>
      <c r="T411" s="79"/>
      <c r="W411" s="130"/>
      <c r="Y411" s="106"/>
    </row>
    <row r="412">
      <c r="C412" s="79"/>
      <c r="D412" s="79"/>
      <c r="J412" s="79"/>
      <c r="O412" s="79"/>
      <c r="P412" s="79"/>
      <c r="S412" s="79"/>
      <c r="T412" s="79"/>
      <c r="W412" s="130"/>
      <c r="Y412" s="106"/>
    </row>
    <row r="413">
      <c r="C413" s="79"/>
      <c r="D413" s="79"/>
      <c r="J413" s="79"/>
      <c r="O413" s="79"/>
      <c r="P413" s="79"/>
      <c r="S413" s="79"/>
      <c r="T413" s="79"/>
      <c r="W413" s="130"/>
      <c r="Y413" s="106"/>
    </row>
    <row r="414">
      <c r="C414" s="79"/>
      <c r="D414" s="79"/>
      <c r="J414" s="79"/>
      <c r="O414" s="79"/>
      <c r="P414" s="79"/>
      <c r="S414" s="79"/>
      <c r="T414" s="79"/>
      <c r="W414" s="130"/>
      <c r="Y414" s="106"/>
    </row>
    <row r="415">
      <c r="C415" s="79"/>
      <c r="D415" s="79"/>
      <c r="J415" s="79"/>
      <c r="O415" s="79"/>
      <c r="P415" s="79"/>
      <c r="S415" s="79"/>
      <c r="T415" s="79"/>
      <c r="W415" s="130"/>
      <c r="Y415" s="106"/>
    </row>
    <row r="416">
      <c r="C416" s="79"/>
      <c r="D416" s="79"/>
      <c r="J416" s="79"/>
      <c r="O416" s="79"/>
      <c r="P416" s="79"/>
      <c r="S416" s="79"/>
      <c r="T416" s="79"/>
      <c r="W416" s="130"/>
      <c r="Y416" s="106"/>
    </row>
    <row r="417">
      <c r="C417" s="79"/>
      <c r="D417" s="79"/>
      <c r="J417" s="79"/>
      <c r="O417" s="79"/>
      <c r="P417" s="79"/>
      <c r="S417" s="79"/>
      <c r="T417" s="79"/>
      <c r="W417" s="130"/>
      <c r="Y417" s="106"/>
    </row>
    <row r="418">
      <c r="C418" s="79"/>
      <c r="D418" s="79"/>
      <c r="J418" s="79"/>
      <c r="O418" s="79"/>
      <c r="P418" s="79"/>
      <c r="S418" s="79"/>
      <c r="T418" s="79"/>
      <c r="W418" s="130"/>
      <c r="Y418" s="106"/>
    </row>
    <row r="419">
      <c r="C419" s="79"/>
      <c r="D419" s="79"/>
      <c r="J419" s="79"/>
      <c r="O419" s="79"/>
      <c r="P419" s="79"/>
      <c r="S419" s="79"/>
      <c r="T419" s="79"/>
      <c r="W419" s="130"/>
      <c r="Y419" s="106"/>
    </row>
    <row r="420">
      <c r="C420" s="79"/>
      <c r="D420" s="79"/>
      <c r="J420" s="79"/>
      <c r="O420" s="79"/>
      <c r="P420" s="79"/>
      <c r="S420" s="79"/>
      <c r="T420" s="79"/>
      <c r="W420" s="130"/>
      <c r="Y420" s="106"/>
    </row>
    <row r="421">
      <c r="C421" s="79"/>
      <c r="D421" s="79"/>
      <c r="J421" s="79"/>
      <c r="O421" s="79"/>
      <c r="P421" s="79"/>
      <c r="S421" s="79"/>
      <c r="T421" s="79"/>
      <c r="W421" s="130"/>
      <c r="Y421" s="106"/>
    </row>
    <row r="422">
      <c r="C422" s="79"/>
      <c r="D422" s="79"/>
      <c r="J422" s="79"/>
      <c r="O422" s="79"/>
      <c r="P422" s="79"/>
      <c r="S422" s="79"/>
      <c r="T422" s="79"/>
      <c r="W422" s="130"/>
      <c r="Y422" s="106"/>
    </row>
    <row r="423">
      <c r="C423" s="79"/>
      <c r="D423" s="79"/>
      <c r="J423" s="79"/>
      <c r="O423" s="79"/>
      <c r="P423" s="79"/>
      <c r="S423" s="79"/>
      <c r="T423" s="79"/>
      <c r="W423" s="130"/>
      <c r="Y423" s="106"/>
    </row>
    <row r="424">
      <c r="C424" s="79"/>
      <c r="D424" s="79"/>
      <c r="J424" s="79"/>
      <c r="O424" s="79"/>
      <c r="P424" s="79"/>
      <c r="S424" s="79"/>
      <c r="T424" s="79"/>
      <c r="W424" s="130"/>
      <c r="Y424" s="106"/>
    </row>
    <row r="425">
      <c r="C425" s="79"/>
      <c r="D425" s="79"/>
      <c r="J425" s="79"/>
      <c r="O425" s="79"/>
      <c r="P425" s="79"/>
      <c r="S425" s="79"/>
      <c r="T425" s="79"/>
      <c r="W425" s="130"/>
      <c r="Y425" s="106"/>
    </row>
    <row r="426">
      <c r="C426" s="79"/>
      <c r="D426" s="79"/>
      <c r="J426" s="79"/>
      <c r="O426" s="79"/>
      <c r="P426" s="79"/>
      <c r="S426" s="79"/>
      <c r="T426" s="79"/>
      <c r="W426" s="130"/>
      <c r="Y426" s="106"/>
    </row>
    <row r="427">
      <c r="C427" s="79"/>
      <c r="D427" s="79"/>
      <c r="J427" s="79"/>
      <c r="O427" s="79"/>
      <c r="P427" s="79"/>
      <c r="S427" s="79"/>
      <c r="T427" s="79"/>
      <c r="W427" s="130"/>
      <c r="Y427" s="106"/>
    </row>
    <row r="428">
      <c r="C428" s="79"/>
      <c r="D428" s="79"/>
      <c r="J428" s="79"/>
      <c r="O428" s="79"/>
      <c r="P428" s="79"/>
      <c r="S428" s="79"/>
      <c r="T428" s="79"/>
      <c r="W428" s="130"/>
      <c r="Y428" s="106"/>
    </row>
    <row r="429">
      <c r="C429" s="79"/>
      <c r="D429" s="79"/>
      <c r="J429" s="79"/>
      <c r="O429" s="79"/>
      <c r="P429" s="79"/>
      <c r="S429" s="79"/>
      <c r="T429" s="79"/>
      <c r="W429" s="130"/>
      <c r="Y429" s="106"/>
    </row>
    <row r="430">
      <c r="C430" s="79"/>
      <c r="D430" s="79"/>
      <c r="J430" s="79"/>
      <c r="O430" s="79"/>
      <c r="P430" s="79"/>
      <c r="S430" s="79"/>
      <c r="T430" s="79"/>
      <c r="W430" s="130"/>
      <c r="Y430" s="106"/>
    </row>
    <row r="431">
      <c r="C431" s="79"/>
      <c r="D431" s="79"/>
      <c r="J431" s="79"/>
      <c r="O431" s="79"/>
      <c r="P431" s="79"/>
      <c r="S431" s="79"/>
      <c r="T431" s="79"/>
      <c r="W431" s="130"/>
      <c r="Y431" s="106"/>
    </row>
    <row r="432">
      <c r="C432" s="79"/>
      <c r="D432" s="79"/>
      <c r="J432" s="79"/>
      <c r="O432" s="79"/>
      <c r="P432" s="79"/>
      <c r="S432" s="79"/>
      <c r="T432" s="79"/>
      <c r="W432" s="130"/>
      <c r="Y432" s="106"/>
    </row>
    <row r="433">
      <c r="C433" s="79"/>
      <c r="D433" s="79"/>
      <c r="J433" s="79"/>
      <c r="O433" s="79"/>
      <c r="P433" s="79"/>
      <c r="S433" s="79"/>
      <c r="T433" s="79"/>
      <c r="W433" s="130"/>
      <c r="Y433" s="106"/>
    </row>
    <row r="434">
      <c r="C434" s="79"/>
      <c r="D434" s="79"/>
      <c r="J434" s="79"/>
      <c r="O434" s="79"/>
      <c r="P434" s="79"/>
      <c r="S434" s="79"/>
      <c r="T434" s="79"/>
      <c r="W434" s="130"/>
      <c r="Y434" s="106"/>
    </row>
    <row r="435">
      <c r="C435" s="79"/>
      <c r="D435" s="79"/>
      <c r="J435" s="79"/>
      <c r="O435" s="79"/>
      <c r="P435" s="79"/>
      <c r="S435" s="79"/>
      <c r="T435" s="79"/>
      <c r="W435" s="130"/>
      <c r="Y435" s="106"/>
    </row>
    <row r="436">
      <c r="C436" s="79"/>
      <c r="D436" s="79"/>
      <c r="J436" s="79"/>
      <c r="O436" s="79"/>
      <c r="P436" s="79"/>
      <c r="S436" s="79"/>
      <c r="T436" s="79"/>
      <c r="W436" s="130"/>
      <c r="Y436" s="106"/>
    </row>
    <row r="437">
      <c r="C437" s="79"/>
      <c r="D437" s="79"/>
      <c r="J437" s="79"/>
      <c r="O437" s="79"/>
      <c r="P437" s="79"/>
      <c r="S437" s="79"/>
      <c r="T437" s="79"/>
      <c r="W437" s="130"/>
      <c r="Y437" s="106"/>
    </row>
    <row r="438">
      <c r="C438" s="79"/>
      <c r="D438" s="79"/>
      <c r="J438" s="79"/>
      <c r="O438" s="79"/>
      <c r="P438" s="79"/>
      <c r="S438" s="79"/>
      <c r="T438" s="79"/>
      <c r="W438" s="130"/>
      <c r="Y438" s="106"/>
    </row>
    <row r="439">
      <c r="C439" s="79"/>
      <c r="D439" s="79"/>
      <c r="J439" s="79"/>
      <c r="O439" s="79"/>
      <c r="P439" s="79"/>
      <c r="S439" s="79"/>
      <c r="T439" s="79"/>
      <c r="W439" s="130"/>
      <c r="Y439" s="106"/>
    </row>
    <row r="440">
      <c r="C440" s="79"/>
      <c r="D440" s="79"/>
      <c r="J440" s="79"/>
      <c r="O440" s="79"/>
      <c r="P440" s="79"/>
      <c r="S440" s="79"/>
      <c r="T440" s="79"/>
      <c r="W440" s="130"/>
      <c r="Y440" s="106"/>
    </row>
    <row r="441">
      <c r="C441" s="79"/>
      <c r="D441" s="79"/>
      <c r="J441" s="79"/>
      <c r="O441" s="79"/>
      <c r="P441" s="79"/>
      <c r="S441" s="79"/>
      <c r="T441" s="79"/>
      <c r="W441" s="130"/>
      <c r="Y441" s="106"/>
    </row>
    <row r="442">
      <c r="C442" s="79"/>
      <c r="D442" s="79"/>
      <c r="J442" s="79"/>
      <c r="O442" s="79"/>
      <c r="P442" s="79"/>
      <c r="S442" s="79"/>
      <c r="T442" s="79"/>
      <c r="W442" s="130"/>
      <c r="Y442" s="106"/>
    </row>
    <row r="443">
      <c r="C443" s="79"/>
      <c r="D443" s="79"/>
      <c r="J443" s="79"/>
      <c r="O443" s="79"/>
      <c r="P443" s="79"/>
      <c r="S443" s="79"/>
      <c r="T443" s="79"/>
      <c r="W443" s="130"/>
      <c r="Y443" s="106"/>
    </row>
    <row r="444">
      <c r="C444" s="79"/>
      <c r="D444" s="79"/>
      <c r="J444" s="79"/>
      <c r="O444" s="79"/>
      <c r="P444" s="79"/>
      <c r="S444" s="79"/>
      <c r="T444" s="79"/>
      <c r="W444" s="130"/>
      <c r="Y444" s="106"/>
    </row>
    <row r="445">
      <c r="C445" s="79"/>
      <c r="D445" s="79"/>
      <c r="J445" s="79"/>
      <c r="O445" s="79"/>
      <c r="P445" s="79"/>
      <c r="S445" s="79"/>
      <c r="T445" s="79"/>
      <c r="W445" s="130"/>
      <c r="Y445" s="106"/>
    </row>
    <row r="446">
      <c r="C446" s="79"/>
      <c r="D446" s="79"/>
      <c r="J446" s="79"/>
      <c r="O446" s="79"/>
      <c r="P446" s="79"/>
      <c r="S446" s="79"/>
      <c r="T446" s="79"/>
      <c r="W446" s="130"/>
      <c r="Y446" s="106"/>
    </row>
    <row r="447">
      <c r="C447" s="79"/>
      <c r="D447" s="79"/>
      <c r="J447" s="79"/>
      <c r="O447" s="79"/>
      <c r="P447" s="79"/>
      <c r="S447" s="79"/>
      <c r="T447" s="79"/>
      <c r="W447" s="130"/>
      <c r="Y447" s="106"/>
    </row>
    <row r="448">
      <c r="C448" s="79"/>
      <c r="D448" s="79"/>
      <c r="J448" s="79"/>
      <c r="O448" s="79"/>
      <c r="P448" s="79"/>
      <c r="S448" s="79"/>
      <c r="T448" s="79"/>
      <c r="W448" s="130"/>
      <c r="Y448" s="106"/>
    </row>
    <row r="449">
      <c r="C449" s="79"/>
      <c r="D449" s="79"/>
      <c r="J449" s="79"/>
      <c r="O449" s="79"/>
      <c r="P449" s="79"/>
      <c r="S449" s="79"/>
      <c r="T449" s="79"/>
      <c r="W449" s="130"/>
      <c r="Y449" s="106"/>
    </row>
    <row r="450">
      <c r="C450" s="79"/>
      <c r="D450" s="79"/>
      <c r="J450" s="79"/>
      <c r="O450" s="79"/>
      <c r="P450" s="79"/>
      <c r="S450" s="79"/>
      <c r="T450" s="79"/>
      <c r="W450" s="130"/>
      <c r="Y450" s="106"/>
    </row>
    <row r="451">
      <c r="C451" s="79"/>
      <c r="D451" s="79"/>
      <c r="J451" s="79"/>
      <c r="O451" s="79"/>
      <c r="P451" s="79"/>
      <c r="S451" s="79"/>
      <c r="T451" s="79"/>
      <c r="W451" s="130"/>
      <c r="Y451" s="106"/>
    </row>
    <row r="452">
      <c r="C452" s="79"/>
      <c r="D452" s="79"/>
      <c r="J452" s="79"/>
      <c r="O452" s="79"/>
      <c r="P452" s="79"/>
      <c r="S452" s="79"/>
      <c r="T452" s="79"/>
      <c r="W452" s="130"/>
      <c r="Y452" s="106"/>
    </row>
    <row r="453">
      <c r="C453" s="79"/>
      <c r="D453" s="79"/>
      <c r="J453" s="79"/>
      <c r="O453" s="79"/>
      <c r="P453" s="79"/>
      <c r="S453" s="79"/>
      <c r="T453" s="79"/>
      <c r="W453" s="130"/>
      <c r="Y453" s="106"/>
    </row>
    <row r="454">
      <c r="C454" s="79"/>
      <c r="D454" s="79"/>
      <c r="J454" s="79"/>
      <c r="O454" s="79"/>
      <c r="P454" s="79"/>
      <c r="S454" s="79"/>
      <c r="T454" s="79"/>
      <c r="W454" s="130"/>
      <c r="Y454" s="106"/>
    </row>
    <row r="455">
      <c r="C455" s="79"/>
      <c r="D455" s="79"/>
      <c r="J455" s="79"/>
      <c r="O455" s="79"/>
      <c r="P455" s="79"/>
      <c r="S455" s="79"/>
      <c r="T455" s="79"/>
      <c r="W455" s="130"/>
      <c r="Y455" s="106"/>
    </row>
    <row r="456">
      <c r="C456" s="79"/>
      <c r="D456" s="79"/>
      <c r="J456" s="79"/>
      <c r="O456" s="79"/>
      <c r="P456" s="79"/>
      <c r="S456" s="79"/>
      <c r="T456" s="79"/>
      <c r="W456" s="130"/>
      <c r="Y456" s="106"/>
    </row>
    <row r="457">
      <c r="C457" s="79"/>
      <c r="D457" s="79"/>
      <c r="J457" s="79"/>
      <c r="O457" s="79"/>
      <c r="P457" s="79"/>
      <c r="S457" s="79"/>
      <c r="T457" s="79"/>
      <c r="W457" s="130"/>
      <c r="Y457" s="106"/>
    </row>
    <row r="458">
      <c r="C458" s="79"/>
      <c r="D458" s="79"/>
      <c r="J458" s="79"/>
      <c r="O458" s="79"/>
      <c r="P458" s="79"/>
      <c r="S458" s="79"/>
      <c r="T458" s="79"/>
      <c r="W458" s="130"/>
      <c r="Y458" s="106"/>
    </row>
    <row r="459">
      <c r="C459" s="79"/>
      <c r="D459" s="79"/>
      <c r="J459" s="79"/>
      <c r="O459" s="79"/>
      <c r="P459" s="79"/>
      <c r="S459" s="79"/>
      <c r="T459" s="79"/>
      <c r="W459" s="130"/>
      <c r="Y459" s="106"/>
    </row>
    <row r="460">
      <c r="C460" s="79"/>
      <c r="D460" s="79"/>
      <c r="J460" s="79"/>
      <c r="O460" s="79"/>
      <c r="P460" s="79"/>
      <c r="S460" s="79"/>
      <c r="T460" s="79"/>
      <c r="W460" s="130"/>
      <c r="Y460" s="106"/>
    </row>
    <row r="461">
      <c r="C461" s="79"/>
      <c r="D461" s="79"/>
      <c r="J461" s="79"/>
      <c r="O461" s="79"/>
      <c r="P461" s="79"/>
      <c r="S461" s="79"/>
      <c r="T461" s="79"/>
      <c r="W461" s="130"/>
      <c r="Y461" s="106"/>
    </row>
    <row r="462">
      <c r="C462" s="79"/>
      <c r="D462" s="79"/>
      <c r="J462" s="79"/>
      <c r="O462" s="79"/>
      <c r="P462" s="79"/>
      <c r="S462" s="79"/>
      <c r="T462" s="79"/>
      <c r="W462" s="130"/>
      <c r="Y462" s="106"/>
    </row>
    <row r="463">
      <c r="C463" s="79"/>
      <c r="D463" s="79"/>
      <c r="J463" s="79"/>
      <c r="O463" s="79"/>
      <c r="P463" s="79"/>
      <c r="S463" s="79"/>
      <c r="T463" s="79"/>
      <c r="W463" s="130"/>
      <c r="Y463" s="106"/>
    </row>
    <row r="464">
      <c r="C464" s="79"/>
      <c r="D464" s="79"/>
      <c r="J464" s="79"/>
      <c r="O464" s="79"/>
      <c r="P464" s="79"/>
      <c r="S464" s="79"/>
      <c r="T464" s="79"/>
      <c r="W464" s="130"/>
      <c r="Y464" s="106"/>
    </row>
    <row r="465">
      <c r="C465" s="79"/>
      <c r="D465" s="79"/>
      <c r="J465" s="79"/>
      <c r="O465" s="79"/>
      <c r="P465" s="79"/>
      <c r="S465" s="79"/>
      <c r="T465" s="79"/>
      <c r="W465" s="130"/>
      <c r="Y465" s="106"/>
    </row>
    <row r="466">
      <c r="C466" s="79"/>
      <c r="D466" s="79"/>
      <c r="J466" s="79"/>
      <c r="O466" s="79"/>
      <c r="P466" s="79"/>
      <c r="S466" s="79"/>
      <c r="T466" s="79"/>
      <c r="W466" s="130"/>
      <c r="Y466" s="106"/>
    </row>
    <row r="467">
      <c r="C467" s="79"/>
      <c r="D467" s="79"/>
      <c r="J467" s="79"/>
      <c r="O467" s="79"/>
      <c r="P467" s="79"/>
      <c r="S467" s="79"/>
      <c r="T467" s="79"/>
      <c r="W467" s="130"/>
      <c r="Y467" s="106"/>
    </row>
    <row r="468">
      <c r="C468" s="79"/>
      <c r="D468" s="79"/>
      <c r="J468" s="79"/>
      <c r="O468" s="79"/>
      <c r="P468" s="79"/>
      <c r="S468" s="79"/>
      <c r="T468" s="79"/>
      <c r="W468" s="130"/>
      <c r="Y468" s="106"/>
    </row>
    <row r="469">
      <c r="C469" s="79"/>
      <c r="D469" s="79"/>
      <c r="J469" s="79"/>
      <c r="O469" s="79"/>
      <c r="P469" s="79"/>
      <c r="S469" s="79"/>
      <c r="T469" s="79"/>
      <c r="W469" s="130"/>
      <c r="Y469" s="106"/>
    </row>
    <row r="470">
      <c r="C470" s="79"/>
      <c r="D470" s="79"/>
      <c r="J470" s="79"/>
      <c r="O470" s="79"/>
      <c r="P470" s="79"/>
      <c r="S470" s="79"/>
      <c r="T470" s="79"/>
      <c r="W470" s="130"/>
      <c r="Y470" s="106"/>
    </row>
    <row r="471">
      <c r="C471" s="79"/>
      <c r="D471" s="79"/>
      <c r="J471" s="79"/>
      <c r="O471" s="79"/>
      <c r="P471" s="79"/>
      <c r="S471" s="79"/>
      <c r="T471" s="79"/>
      <c r="W471" s="130"/>
      <c r="Y471" s="106"/>
    </row>
    <row r="472">
      <c r="C472" s="79"/>
      <c r="D472" s="79"/>
      <c r="J472" s="79"/>
      <c r="O472" s="79"/>
      <c r="P472" s="79"/>
      <c r="S472" s="79"/>
      <c r="T472" s="79"/>
      <c r="W472" s="130"/>
      <c r="Y472" s="106"/>
    </row>
    <row r="473">
      <c r="C473" s="79"/>
      <c r="D473" s="79"/>
      <c r="J473" s="79"/>
      <c r="O473" s="79"/>
      <c r="P473" s="79"/>
      <c r="S473" s="79"/>
      <c r="T473" s="79"/>
      <c r="W473" s="130"/>
      <c r="Y473" s="106"/>
    </row>
    <row r="474">
      <c r="C474" s="79"/>
      <c r="D474" s="79"/>
      <c r="J474" s="79"/>
      <c r="O474" s="79"/>
      <c r="P474" s="79"/>
      <c r="S474" s="79"/>
      <c r="T474" s="79"/>
      <c r="W474" s="130"/>
      <c r="Y474" s="106"/>
    </row>
    <row r="475">
      <c r="C475" s="79"/>
      <c r="D475" s="79"/>
      <c r="J475" s="79"/>
      <c r="O475" s="79"/>
      <c r="P475" s="79"/>
      <c r="S475" s="79"/>
      <c r="T475" s="79"/>
      <c r="W475" s="130"/>
      <c r="Y475" s="106"/>
    </row>
    <row r="476">
      <c r="C476" s="79"/>
      <c r="D476" s="79"/>
      <c r="J476" s="79"/>
      <c r="O476" s="79"/>
      <c r="P476" s="79"/>
      <c r="S476" s="79"/>
      <c r="T476" s="79"/>
      <c r="W476" s="130"/>
      <c r="Y476" s="106"/>
    </row>
    <row r="477">
      <c r="C477" s="79"/>
      <c r="D477" s="79"/>
      <c r="J477" s="79"/>
      <c r="O477" s="79"/>
      <c r="P477" s="79"/>
      <c r="S477" s="79"/>
      <c r="T477" s="79"/>
      <c r="W477" s="130"/>
      <c r="Y477" s="106"/>
    </row>
    <row r="478">
      <c r="C478" s="79"/>
      <c r="D478" s="79"/>
      <c r="J478" s="79"/>
      <c r="O478" s="79"/>
      <c r="P478" s="79"/>
      <c r="S478" s="79"/>
      <c r="T478" s="79"/>
      <c r="W478" s="130"/>
      <c r="Y478" s="106"/>
    </row>
    <row r="479">
      <c r="C479" s="79"/>
      <c r="D479" s="79"/>
      <c r="J479" s="79"/>
      <c r="O479" s="79"/>
      <c r="P479" s="79"/>
      <c r="S479" s="79"/>
      <c r="T479" s="79"/>
      <c r="W479" s="130"/>
      <c r="Y479" s="106"/>
    </row>
    <row r="480">
      <c r="C480" s="79"/>
      <c r="D480" s="79"/>
      <c r="J480" s="79"/>
      <c r="O480" s="79"/>
      <c r="P480" s="79"/>
      <c r="S480" s="79"/>
      <c r="T480" s="79"/>
      <c r="W480" s="130"/>
      <c r="Y480" s="106"/>
    </row>
    <row r="481">
      <c r="C481" s="79"/>
      <c r="D481" s="79"/>
      <c r="J481" s="79"/>
      <c r="O481" s="79"/>
      <c r="P481" s="79"/>
      <c r="S481" s="79"/>
      <c r="T481" s="79"/>
      <c r="W481" s="130"/>
      <c r="Y481" s="106"/>
    </row>
    <row r="482">
      <c r="C482" s="79"/>
      <c r="D482" s="79"/>
      <c r="J482" s="79"/>
      <c r="O482" s="79"/>
      <c r="P482" s="79"/>
      <c r="S482" s="79"/>
      <c r="T482" s="79"/>
      <c r="W482" s="130"/>
      <c r="Y482" s="106"/>
    </row>
    <row r="483">
      <c r="C483" s="79"/>
      <c r="D483" s="79"/>
      <c r="J483" s="79"/>
      <c r="O483" s="79"/>
      <c r="P483" s="79"/>
      <c r="S483" s="79"/>
      <c r="T483" s="79"/>
      <c r="W483" s="130"/>
      <c r="Y483" s="106"/>
    </row>
    <row r="484">
      <c r="C484" s="79"/>
      <c r="D484" s="79"/>
      <c r="J484" s="79"/>
      <c r="O484" s="79"/>
      <c r="P484" s="79"/>
      <c r="S484" s="79"/>
      <c r="T484" s="79"/>
      <c r="W484" s="130"/>
      <c r="Y484" s="106"/>
    </row>
    <row r="485">
      <c r="C485" s="79"/>
      <c r="D485" s="79"/>
      <c r="J485" s="79"/>
      <c r="O485" s="79"/>
      <c r="P485" s="79"/>
      <c r="S485" s="79"/>
      <c r="T485" s="79"/>
      <c r="W485" s="130"/>
      <c r="Y485" s="106"/>
    </row>
    <row r="486">
      <c r="C486" s="79"/>
      <c r="D486" s="79"/>
      <c r="J486" s="79"/>
      <c r="O486" s="79"/>
      <c r="P486" s="79"/>
      <c r="S486" s="79"/>
      <c r="T486" s="79"/>
      <c r="W486" s="130"/>
      <c r="Y486" s="106"/>
    </row>
    <row r="487">
      <c r="C487" s="79"/>
      <c r="D487" s="79"/>
      <c r="J487" s="79"/>
      <c r="O487" s="79"/>
      <c r="P487" s="79"/>
      <c r="S487" s="79"/>
      <c r="T487" s="79"/>
      <c r="W487" s="130"/>
      <c r="Y487" s="106"/>
    </row>
    <row r="488">
      <c r="C488" s="79"/>
      <c r="D488" s="79"/>
      <c r="J488" s="79"/>
      <c r="O488" s="79"/>
      <c r="P488" s="79"/>
      <c r="S488" s="79"/>
      <c r="T488" s="79"/>
      <c r="W488" s="130"/>
      <c r="Y488" s="106"/>
    </row>
    <row r="489">
      <c r="C489" s="79"/>
      <c r="D489" s="79"/>
      <c r="J489" s="79"/>
      <c r="O489" s="79"/>
      <c r="P489" s="79"/>
      <c r="S489" s="79"/>
      <c r="T489" s="79"/>
      <c r="W489" s="130"/>
      <c r="Y489" s="106"/>
    </row>
    <row r="490">
      <c r="C490" s="79"/>
      <c r="D490" s="79"/>
      <c r="J490" s="79"/>
      <c r="O490" s="79"/>
      <c r="P490" s="79"/>
      <c r="S490" s="79"/>
      <c r="T490" s="79"/>
      <c r="W490" s="130"/>
      <c r="Y490" s="106"/>
    </row>
    <row r="491">
      <c r="C491" s="79"/>
      <c r="D491" s="79"/>
      <c r="J491" s="79"/>
      <c r="O491" s="79"/>
      <c r="P491" s="79"/>
      <c r="S491" s="79"/>
      <c r="T491" s="79"/>
      <c r="W491" s="130"/>
      <c r="Y491" s="106"/>
    </row>
    <row r="492">
      <c r="C492" s="79"/>
      <c r="D492" s="79"/>
      <c r="J492" s="79"/>
      <c r="O492" s="79"/>
      <c r="P492" s="79"/>
      <c r="S492" s="79"/>
      <c r="T492" s="79"/>
      <c r="W492" s="130"/>
      <c r="Y492" s="106"/>
    </row>
    <row r="493">
      <c r="C493" s="79"/>
      <c r="D493" s="79"/>
      <c r="J493" s="79"/>
      <c r="O493" s="79"/>
      <c r="P493" s="79"/>
      <c r="S493" s="79"/>
      <c r="T493" s="79"/>
      <c r="W493" s="130"/>
      <c r="Y493" s="106"/>
    </row>
    <row r="494">
      <c r="C494" s="79"/>
      <c r="D494" s="79"/>
      <c r="J494" s="79"/>
      <c r="O494" s="79"/>
      <c r="P494" s="79"/>
      <c r="S494" s="79"/>
      <c r="T494" s="79"/>
      <c r="W494" s="130"/>
      <c r="Y494" s="106"/>
    </row>
    <row r="495">
      <c r="C495" s="79"/>
      <c r="D495" s="79"/>
      <c r="J495" s="79"/>
      <c r="O495" s="79"/>
      <c r="P495" s="79"/>
      <c r="S495" s="79"/>
      <c r="T495" s="79"/>
      <c r="W495" s="130"/>
      <c r="Y495" s="106"/>
    </row>
    <row r="496">
      <c r="C496" s="79"/>
      <c r="D496" s="79"/>
      <c r="J496" s="79"/>
      <c r="O496" s="79"/>
      <c r="P496" s="79"/>
      <c r="S496" s="79"/>
      <c r="T496" s="79"/>
      <c r="W496" s="130"/>
      <c r="Y496" s="106"/>
    </row>
    <row r="497">
      <c r="C497" s="79"/>
      <c r="D497" s="79"/>
      <c r="J497" s="79"/>
      <c r="O497" s="79"/>
      <c r="P497" s="79"/>
      <c r="S497" s="79"/>
      <c r="T497" s="79"/>
      <c r="W497" s="130"/>
      <c r="Y497" s="106"/>
    </row>
    <row r="498">
      <c r="C498" s="79"/>
      <c r="D498" s="79"/>
      <c r="J498" s="79"/>
      <c r="O498" s="79"/>
      <c r="P498" s="79"/>
      <c r="S498" s="79"/>
      <c r="T498" s="79"/>
      <c r="W498" s="130"/>
      <c r="Y498" s="106"/>
    </row>
    <row r="499">
      <c r="C499" s="79"/>
      <c r="D499" s="79"/>
      <c r="J499" s="79"/>
      <c r="O499" s="79"/>
      <c r="P499" s="79"/>
      <c r="S499" s="79"/>
      <c r="T499" s="79"/>
      <c r="W499" s="130"/>
      <c r="Y499" s="106"/>
    </row>
    <row r="500">
      <c r="C500" s="79"/>
      <c r="D500" s="79"/>
      <c r="J500" s="79"/>
      <c r="O500" s="79"/>
      <c r="P500" s="79"/>
      <c r="S500" s="79"/>
      <c r="T500" s="79"/>
      <c r="W500" s="130"/>
      <c r="Y500" s="106"/>
    </row>
    <row r="501">
      <c r="C501" s="79"/>
      <c r="D501" s="79"/>
      <c r="J501" s="79"/>
      <c r="O501" s="79"/>
      <c r="P501" s="79"/>
      <c r="S501" s="79"/>
      <c r="T501" s="79"/>
      <c r="W501" s="130"/>
      <c r="Y501" s="106"/>
    </row>
    <row r="502">
      <c r="C502" s="79"/>
      <c r="D502" s="79"/>
      <c r="J502" s="79"/>
      <c r="O502" s="79"/>
      <c r="P502" s="79"/>
      <c r="S502" s="79"/>
      <c r="T502" s="79"/>
      <c r="W502" s="130"/>
      <c r="Y502" s="106"/>
    </row>
    <row r="503">
      <c r="C503" s="79"/>
      <c r="D503" s="79"/>
      <c r="J503" s="79"/>
      <c r="O503" s="79"/>
      <c r="P503" s="79"/>
      <c r="S503" s="79"/>
      <c r="T503" s="79"/>
      <c r="W503" s="130"/>
      <c r="Y503" s="106"/>
    </row>
    <row r="504">
      <c r="C504" s="79"/>
      <c r="D504" s="79"/>
      <c r="J504" s="79"/>
      <c r="O504" s="79"/>
      <c r="P504" s="79"/>
      <c r="S504" s="79"/>
      <c r="T504" s="79"/>
      <c r="W504" s="130"/>
      <c r="Y504" s="106"/>
    </row>
    <row r="505">
      <c r="C505" s="79"/>
      <c r="D505" s="79"/>
      <c r="J505" s="79"/>
      <c r="O505" s="79"/>
      <c r="P505" s="79"/>
      <c r="S505" s="79"/>
      <c r="T505" s="79"/>
      <c r="W505" s="130"/>
      <c r="Y505" s="106"/>
    </row>
    <row r="506">
      <c r="C506" s="79"/>
      <c r="D506" s="79"/>
      <c r="J506" s="79"/>
      <c r="O506" s="79"/>
      <c r="P506" s="79"/>
      <c r="S506" s="79"/>
      <c r="T506" s="79"/>
      <c r="W506" s="130"/>
      <c r="Y506" s="106"/>
    </row>
    <row r="507">
      <c r="C507" s="79"/>
      <c r="D507" s="79"/>
      <c r="J507" s="79"/>
      <c r="O507" s="79"/>
      <c r="P507" s="79"/>
      <c r="S507" s="79"/>
      <c r="T507" s="79"/>
      <c r="W507" s="130"/>
      <c r="Y507" s="106"/>
    </row>
    <row r="508">
      <c r="C508" s="79"/>
      <c r="D508" s="79"/>
      <c r="J508" s="79"/>
      <c r="O508" s="79"/>
      <c r="P508" s="79"/>
      <c r="S508" s="79"/>
      <c r="T508" s="79"/>
      <c r="W508" s="130"/>
      <c r="Y508" s="106"/>
    </row>
    <row r="509">
      <c r="C509" s="79"/>
      <c r="D509" s="79"/>
      <c r="J509" s="79"/>
      <c r="O509" s="79"/>
      <c r="P509" s="79"/>
      <c r="S509" s="79"/>
      <c r="T509" s="79"/>
      <c r="W509" s="130"/>
      <c r="Y509" s="106"/>
    </row>
    <row r="510">
      <c r="C510" s="79"/>
      <c r="D510" s="79"/>
      <c r="J510" s="79"/>
      <c r="O510" s="79"/>
      <c r="P510" s="79"/>
      <c r="S510" s="79"/>
      <c r="T510" s="79"/>
      <c r="W510" s="130"/>
      <c r="Y510" s="106"/>
    </row>
    <row r="511">
      <c r="C511" s="79"/>
      <c r="D511" s="79"/>
      <c r="J511" s="79"/>
      <c r="O511" s="79"/>
      <c r="P511" s="79"/>
      <c r="S511" s="79"/>
      <c r="T511" s="79"/>
      <c r="W511" s="130"/>
      <c r="Y511" s="106"/>
    </row>
    <row r="512">
      <c r="C512" s="79"/>
      <c r="D512" s="79"/>
      <c r="J512" s="79"/>
      <c r="O512" s="79"/>
      <c r="P512" s="79"/>
      <c r="S512" s="79"/>
      <c r="T512" s="79"/>
      <c r="W512" s="130"/>
      <c r="Y512" s="106"/>
    </row>
    <row r="513">
      <c r="C513" s="79"/>
      <c r="D513" s="79"/>
      <c r="J513" s="79"/>
      <c r="O513" s="79"/>
      <c r="P513" s="79"/>
      <c r="S513" s="79"/>
      <c r="T513" s="79"/>
      <c r="W513" s="130"/>
      <c r="Y513" s="106"/>
    </row>
    <row r="514">
      <c r="C514" s="79"/>
      <c r="D514" s="79"/>
      <c r="J514" s="79"/>
      <c r="O514" s="79"/>
      <c r="P514" s="79"/>
      <c r="S514" s="79"/>
      <c r="T514" s="79"/>
      <c r="W514" s="130"/>
      <c r="Y514" s="106"/>
    </row>
    <row r="515">
      <c r="C515" s="79"/>
      <c r="D515" s="79"/>
      <c r="J515" s="79"/>
      <c r="O515" s="79"/>
      <c r="P515" s="79"/>
      <c r="S515" s="79"/>
      <c r="T515" s="79"/>
      <c r="W515" s="130"/>
      <c r="Y515" s="106"/>
    </row>
    <row r="516">
      <c r="C516" s="79"/>
      <c r="D516" s="79"/>
      <c r="J516" s="79"/>
      <c r="O516" s="79"/>
      <c r="P516" s="79"/>
      <c r="S516" s="79"/>
      <c r="T516" s="79"/>
      <c r="W516" s="130"/>
      <c r="Y516" s="106"/>
    </row>
    <row r="517">
      <c r="C517" s="79"/>
      <c r="D517" s="79"/>
      <c r="J517" s="79"/>
      <c r="O517" s="79"/>
      <c r="P517" s="79"/>
      <c r="S517" s="79"/>
      <c r="T517" s="79"/>
      <c r="W517" s="130"/>
      <c r="Y517" s="106"/>
    </row>
    <row r="518">
      <c r="C518" s="79"/>
      <c r="D518" s="79"/>
      <c r="J518" s="79"/>
      <c r="O518" s="79"/>
      <c r="P518" s="79"/>
      <c r="S518" s="79"/>
      <c r="T518" s="79"/>
      <c r="W518" s="130"/>
      <c r="Y518" s="106"/>
    </row>
    <row r="519">
      <c r="C519" s="79"/>
      <c r="D519" s="79"/>
      <c r="J519" s="79"/>
      <c r="O519" s="79"/>
      <c r="P519" s="79"/>
      <c r="S519" s="79"/>
      <c r="T519" s="79"/>
      <c r="W519" s="130"/>
      <c r="Y519" s="106"/>
    </row>
    <row r="520">
      <c r="C520" s="79"/>
      <c r="D520" s="79"/>
      <c r="J520" s="79"/>
      <c r="O520" s="79"/>
      <c r="P520" s="79"/>
      <c r="S520" s="79"/>
      <c r="T520" s="79"/>
      <c r="W520" s="130"/>
      <c r="Y520" s="106"/>
    </row>
    <row r="521">
      <c r="C521" s="79"/>
      <c r="D521" s="79"/>
      <c r="J521" s="79"/>
      <c r="O521" s="79"/>
      <c r="P521" s="79"/>
      <c r="S521" s="79"/>
      <c r="T521" s="79"/>
      <c r="W521" s="130"/>
      <c r="Y521" s="106"/>
    </row>
    <row r="522">
      <c r="C522" s="79"/>
      <c r="D522" s="79"/>
      <c r="J522" s="79"/>
      <c r="O522" s="79"/>
      <c r="P522" s="79"/>
      <c r="S522" s="79"/>
      <c r="T522" s="79"/>
      <c r="W522" s="130"/>
      <c r="Y522" s="106"/>
    </row>
    <row r="523">
      <c r="C523" s="79"/>
      <c r="D523" s="79"/>
      <c r="J523" s="79"/>
      <c r="O523" s="79"/>
      <c r="P523" s="79"/>
      <c r="S523" s="79"/>
      <c r="T523" s="79"/>
      <c r="W523" s="130"/>
      <c r="Y523" s="106"/>
    </row>
    <row r="524">
      <c r="C524" s="79"/>
      <c r="D524" s="79"/>
      <c r="J524" s="79"/>
      <c r="O524" s="79"/>
      <c r="P524" s="79"/>
      <c r="S524" s="79"/>
      <c r="T524" s="79"/>
      <c r="W524" s="130"/>
      <c r="Y524" s="106"/>
    </row>
    <row r="525">
      <c r="C525" s="79"/>
      <c r="D525" s="79"/>
      <c r="J525" s="79"/>
      <c r="O525" s="79"/>
      <c r="P525" s="79"/>
      <c r="S525" s="79"/>
      <c r="T525" s="79"/>
      <c r="W525" s="130"/>
      <c r="Y525" s="106"/>
    </row>
    <row r="526">
      <c r="C526" s="79"/>
      <c r="D526" s="79"/>
      <c r="J526" s="79"/>
      <c r="O526" s="79"/>
      <c r="P526" s="79"/>
      <c r="S526" s="79"/>
      <c r="T526" s="79"/>
      <c r="W526" s="130"/>
      <c r="Y526" s="106"/>
    </row>
    <row r="527">
      <c r="C527" s="79"/>
      <c r="D527" s="79"/>
      <c r="J527" s="79"/>
      <c r="O527" s="79"/>
      <c r="P527" s="79"/>
      <c r="S527" s="79"/>
      <c r="T527" s="79"/>
      <c r="W527" s="130"/>
      <c r="Y527" s="106"/>
    </row>
    <row r="528">
      <c r="C528" s="79"/>
      <c r="D528" s="79"/>
      <c r="J528" s="79"/>
      <c r="O528" s="79"/>
      <c r="P528" s="79"/>
      <c r="S528" s="79"/>
      <c r="T528" s="79"/>
      <c r="W528" s="130"/>
      <c r="Y528" s="106"/>
    </row>
    <row r="529">
      <c r="C529" s="79"/>
      <c r="D529" s="79"/>
      <c r="J529" s="79"/>
      <c r="O529" s="79"/>
      <c r="P529" s="79"/>
      <c r="S529" s="79"/>
      <c r="T529" s="79"/>
      <c r="W529" s="130"/>
      <c r="Y529" s="106"/>
    </row>
    <row r="530">
      <c r="C530" s="79"/>
      <c r="D530" s="79"/>
      <c r="J530" s="79"/>
      <c r="O530" s="79"/>
      <c r="P530" s="79"/>
      <c r="S530" s="79"/>
      <c r="T530" s="79"/>
      <c r="W530" s="130"/>
      <c r="Y530" s="106"/>
    </row>
    <row r="531">
      <c r="C531" s="79"/>
      <c r="D531" s="79"/>
      <c r="J531" s="79"/>
      <c r="O531" s="79"/>
      <c r="P531" s="79"/>
      <c r="S531" s="79"/>
      <c r="T531" s="79"/>
      <c r="W531" s="130"/>
      <c r="Y531" s="106"/>
    </row>
    <row r="532">
      <c r="C532" s="79"/>
      <c r="D532" s="79"/>
      <c r="J532" s="79"/>
      <c r="O532" s="79"/>
      <c r="P532" s="79"/>
      <c r="S532" s="79"/>
      <c r="T532" s="79"/>
      <c r="W532" s="130"/>
      <c r="Y532" s="106"/>
    </row>
    <row r="533">
      <c r="C533" s="79"/>
      <c r="D533" s="79"/>
      <c r="J533" s="79"/>
      <c r="O533" s="79"/>
      <c r="P533" s="79"/>
      <c r="S533" s="79"/>
      <c r="T533" s="79"/>
      <c r="W533" s="130"/>
      <c r="Y533" s="106"/>
    </row>
    <row r="534">
      <c r="C534" s="79"/>
      <c r="D534" s="79"/>
      <c r="J534" s="79"/>
      <c r="O534" s="79"/>
      <c r="P534" s="79"/>
      <c r="S534" s="79"/>
      <c r="T534" s="79"/>
      <c r="W534" s="130"/>
      <c r="Y534" s="106"/>
    </row>
    <row r="535">
      <c r="C535" s="79"/>
      <c r="D535" s="79"/>
      <c r="J535" s="79"/>
      <c r="O535" s="79"/>
      <c r="P535" s="79"/>
      <c r="S535" s="79"/>
      <c r="T535" s="79"/>
      <c r="W535" s="130"/>
      <c r="Y535" s="106"/>
    </row>
    <row r="536">
      <c r="C536" s="79"/>
      <c r="D536" s="79"/>
      <c r="J536" s="79"/>
      <c r="O536" s="79"/>
      <c r="P536" s="79"/>
      <c r="S536" s="79"/>
      <c r="T536" s="79"/>
      <c r="W536" s="130"/>
      <c r="Y536" s="106"/>
    </row>
    <row r="537">
      <c r="C537" s="79"/>
      <c r="D537" s="79"/>
      <c r="J537" s="79"/>
      <c r="O537" s="79"/>
      <c r="P537" s="79"/>
      <c r="S537" s="79"/>
      <c r="T537" s="79"/>
      <c r="W537" s="130"/>
      <c r="Y537" s="106"/>
    </row>
    <row r="538">
      <c r="C538" s="79"/>
      <c r="D538" s="79"/>
      <c r="J538" s="79"/>
      <c r="O538" s="79"/>
      <c r="P538" s="79"/>
      <c r="S538" s="79"/>
      <c r="T538" s="79"/>
      <c r="W538" s="130"/>
      <c r="Y538" s="106"/>
    </row>
    <row r="539">
      <c r="C539" s="79"/>
      <c r="D539" s="79"/>
      <c r="J539" s="79"/>
      <c r="O539" s="79"/>
      <c r="P539" s="79"/>
      <c r="S539" s="79"/>
      <c r="T539" s="79"/>
      <c r="W539" s="130"/>
      <c r="Y539" s="106"/>
    </row>
    <row r="540">
      <c r="C540" s="79"/>
      <c r="D540" s="79"/>
      <c r="J540" s="79"/>
      <c r="O540" s="79"/>
      <c r="P540" s="79"/>
      <c r="S540" s="79"/>
      <c r="T540" s="79"/>
      <c r="W540" s="130"/>
      <c r="Y540" s="106"/>
    </row>
    <row r="541">
      <c r="C541" s="79"/>
      <c r="D541" s="79"/>
      <c r="J541" s="79"/>
      <c r="O541" s="79"/>
      <c r="P541" s="79"/>
      <c r="S541" s="79"/>
      <c r="T541" s="79"/>
      <c r="W541" s="130"/>
      <c r="Y541" s="106"/>
    </row>
    <row r="542">
      <c r="C542" s="79"/>
      <c r="D542" s="79"/>
      <c r="J542" s="79"/>
      <c r="O542" s="79"/>
      <c r="P542" s="79"/>
      <c r="S542" s="79"/>
      <c r="T542" s="79"/>
      <c r="W542" s="130"/>
      <c r="Y542" s="106"/>
    </row>
    <row r="543">
      <c r="C543" s="79"/>
      <c r="D543" s="79"/>
      <c r="J543" s="79"/>
      <c r="O543" s="79"/>
      <c r="P543" s="79"/>
      <c r="S543" s="79"/>
      <c r="T543" s="79"/>
      <c r="W543" s="130"/>
      <c r="Y543" s="106"/>
    </row>
    <row r="544">
      <c r="C544" s="79"/>
      <c r="D544" s="79"/>
      <c r="J544" s="79"/>
      <c r="O544" s="79"/>
      <c r="P544" s="79"/>
      <c r="S544" s="79"/>
      <c r="T544" s="79"/>
      <c r="W544" s="130"/>
      <c r="Y544" s="106"/>
    </row>
    <row r="545">
      <c r="C545" s="79"/>
      <c r="D545" s="79"/>
      <c r="J545" s="79"/>
      <c r="O545" s="79"/>
      <c r="P545" s="79"/>
      <c r="S545" s="79"/>
      <c r="T545" s="79"/>
      <c r="W545" s="130"/>
      <c r="Y545" s="106"/>
    </row>
    <row r="546">
      <c r="C546" s="79"/>
      <c r="D546" s="79"/>
      <c r="J546" s="79"/>
      <c r="O546" s="79"/>
      <c r="P546" s="79"/>
      <c r="S546" s="79"/>
      <c r="T546" s="79"/>
      <c r="W546" s="130"/>
      <c r="Y546" s="106"/>
    </row>
    <row r="547">
      <c r="C547" s="79"/>
      <c r="D547" s="79"/>
      <c r="J547" s="79"/>
      <c r="O547" s="79"/>
      <c r="P547" s="79"/>
      <c r="S547" s="79"/>
      <c r="T547" s="79"/>
      <c r="W547" s="130"/>
      <c r="Y547" s="106"/>
    </row>
    <row r="548">
      <c r="C548" s="79"/>
      <c r="D548" s="79"/>
      <c r="J548" s="79"/>
      <c r="O548" s="79"/>
      <c r="P548" s="79"/>
      <c r="S548" s="79"/>
      <c r="T548" s="79"/>
      <c r="W548" s="130"/>
      <c r="Y548" s="106"/>
    </row>
    <row r="549">
      <c r="C549" s="79"/>
      <c r="D549" s="79"/>
      <c r="J549" s="79"/>
      <c r="O549" s="79"/>
      <c r="P549" s="79"/>
      <c r="S549" s="79"/>
      <c r="T549" s="79"/>
      <c r="W549" s="130"/>
      <c r="Y549" s="106"/>
    </row>
    <row r="550">
      <c r="C550" s="79"/>
      <c r="D550" s="79"/>
      <c r="J550" s="79"/>
      <c r="O550" s="79"/>
      <c r="P550" s="79"/>
      <c r="S550" s="79"/>
      <c r="T550" s="79"/>
      <c r="W550" s="130"/>
      <c r="Y550" s="106"/>
    </row>
    <row r="551">
      <c r="C551" s="79"/>
      <c r="D551" s="79"/>
      <c r="J551" s="79"/>
      <c r="O551" s="79"/>
      <c r="P551" s="79"/>
      <c r="S551" s="79"/>
      <c r="T551" s="79"/>
      <c r="W551" s="130"/>
      <c r="Y551" s="106"/>
    </row>
    <row r="552">
      <c r="C552" s="79"/>
      <c r="D552" s="79"/>
      <c r="J552" s="79"/>
      <c r="O552" s="79"/>
      <c r="P552" s="79"/>
      <c r="S552" s="79"/>
      <c r="T552" s="79"/>
      <c r="W552" s="130"/>
      <c r="Y552" s="106"/>
    </row>
    <row r="553">
      <c r="C553" s="79"/>
      <c r="D553" s="79"/>
      <c r="J553" s="79"/>
      <c r="O553" s="79"/>
      <c r="P553" s="79"/>
      <c r="S553" s="79"/>
      <c r="T553" s="79"/>
      <c r="W553" s="130"/>
      <c r="Y553" s="106"/>
    </row>
    <row r="554">
      <c r="C554" s="79"/>
      <c r="D554" s="79"/>
      <c r="J554" s="79"/>
      <c r="O554" s="79"/>
      <c r="P554" s="79"/>
      <c r="S554" s="79"/>
      <c r="T554" s="79"/>
      <c r="W554" s="130"/>
      <c r="Y554" s="106"/>
    </row>
    <row r="555">
      <c r="C555" s="79"/>
      <c r="D555" s="79"/>
      <c r="J555" s="79"/>
      <c r="O555" s="79"/>
      <c r="P555" s="79"/>
      <c r="S555" s="79"/>
      <c r="T555" s="79"/>
      <c r="W555" s="130"/>
      <c r="Y555" s="106"/>
    </row>
    <row r="556">
      <c r="C556" s="79"/>
      <c r="D556" s="79"/>
      <c r="J556" s="79"/>
      <c r="O556" s="79"/>
      <c r="P556" s="79"/>
      <c r="S556" s="79"/>
      <c r="T556" s="79"/>
      <c r="W556" s="130"/>
      <c r="Y556" s="106"/>
    </row>
    <row r="557">
      <c r="C557" s="79"/>
      <c r="D557" s="79"/>
      <c r="J557" s="79"/>
      <c r="O557" s="79"/>
      <c r="P557" s="79"/>
      <c r="S557" s="79"/>
      <c r="T557" s="79"/>
      <c r="W557" s="130"/>
      <c r="Y557" s="106"/>
    </row>
    <row r="558">
      <c r="C558" s="79"/>
      <c r="D558" s="79"/>
      <c r="J558" s="79"/>
      <c r="O558" s="79"/>
      <c r="P558" s="79"/>
      <c r="S558" s="79"/>
      <c r="T558" s="79"/>
      <c r="W558" s="130"/>
      <c r="Y558" s="106"/>
    </row>
    <row r="559">
      <c r="C559" s="79"/>
      <c r="D559" s="79"/>
      <c r="J559" s="79"/>
      <c r="O559" s="79"/>
      <c r="P559" s="79"/>
      <c r="S559" s="79"/>
      <c r="T559" s="79"/>
      <c r="W559" s="130"/>
      <c r="Y559" s="106"/>
    </row>
    <row r="560">
      <c r="C560" s="79"/>
      <c r="D560" s="79"/>
      <c r="J560" s="79"/>
      <c r="O560" s="79"/>
      <c r="P560" s="79"/>
      <c r="S560" s="79"/>
      <c r="T560" s="79"/>
      <c r="W560" s="130"/>
      <c r="Y560" s="106"/>
    </row>
    <row r="561">
      <c r="C561" s="79"/>
      <c r="D561" s="79"/>
      <c r="J561" s="79"/>
      <c r="O561" s="79"/>
      <c r="P561" s="79"/>
      <c r="S561" s="79"/>
      <c r="T561" s="79"/>
      <c r="W561" s="130"/>
      <c r="Y561" s="106"/>
    </row>
    <row r="562">
      <c r="C562" s="79"/>
      <c r="D562" s="79"/>
      <c r="J562" s="79"/>
      <c r="O562" s="79"/>
      <c r="P562" s="79"/>
      <c r="S562" s="79"/>
      <c r="T562" s="79"/>
      <c r="W562" s="130"/>
      <c r="Y562" s="106"/>
    </row>
    <row r="563">
      <c r="C563" s="79"/>
      <c r="D563" s="79"/>
      <c r="J563" s="79"/>
      <c r="O563" s="79"/>
      <c r="P563" s="79"/>
      <c r="S563" s="79"/>
      <c r="T563" s="79"/>
      <c r="W563" s="130"/>
      <c r="Y563" s="106"/>
    </row>
    <row r="564">
      <c r="C564" s="79"/>
      <c r="D564" s="79"/>
      <c r="J564" s="79"/>
      <c r="O564" s="79"/>
      <c r="P564" s="79"/>
      <c r="S564" s="79"/>
      <c r="T564" s="79"/>
      <c r="W564" s="130"/>
      <c r="Y564" s="106"/>
    </row>
    <row r="565">
      <c r="C565" s="79"/>
      <c r="D565" s="79"/>
      <c r="J565" s="79"/>
      <c r="O565" s="79"/>
      <c r="P565" s="79"/>
      <c r="S565" s="79"/>
      <c r="T565" s="79"/>
      <c r="W565" s="130"/>
      <c r="Y565" s="106"/>
    </row>
    <row r="566">
      <c r="C566" s="79"/>
      <c r="D566" s="79"/>
      <c r="J566" s="79"/>
      <c r="O566" s="79"/>
      <c r="P566" s="79"/>
      <c r="S566" s="79"/>
      <c r="T566" s="79"/>
      <c r="W566" s="130"/>
      <c r="Y566" s="106"/>
    </row>
    <row r="567">
      <c r="C567" s="79"/>
      <c r="D567" s="79"/>
      <c r="J567" s="79"/>
      <c r="O567" s="79"/>
      <c r="P567" s="79"/>
      <c r="S567" s="79"/>
      <c r="T567" s="79"/>
      <c r="W567" s="130"/>
      <c r="Y567" s="106"/>
    </row>
    <row r="568">
      <c r="C568" s="79"/>
      <c r="D568" s="79"/>
      <c r="J568" s="79"/>
      <c r="O568" s="79"/>
      <c r="P568" s="79"/>
      <c r="S568" s="79"/>
      <c r="T568" s="79"/>
      <c r="W568" s="130"/>
      <c r="Y568" s="106"/>
    </row>
    <row r="569">
      <c r="C569" s="79"/>
      <c r="D569" s="79"/>
      <c r="J569" s="79"/>
      <c r="O569" s="79"/>
      <c r="P569" s="79"/>
      <c r="S569" s="79"/>
      <c r="T569" s="79"/>
      <c r="W569" s="130"/>
      <c r="Y569" s="106"/>
    </row>
    <row r="570">
      <c r="C570" s="79"/>
      <c r="D570" s="79"/>
      <c r="J570" s="79"/>
      <c r="O570" s="79"/>
      <c r="P570" s="79"/>
      <c r="S570" s="79"/>
      <c r="T570" s="79"/>
      <c r="W570" s="130"/>
      <c r="Y570" s="106"/>
    </row>
    <row r="571">
      <c r="C571" s="79"/>
      <c r="D571" s="79"/>
      <c r="J571" s="79"/>
      <c r="O571" s="79"/>
      <c r="P571" s="79"/>
      <c r="S571" s="79"/>
      <c r="T571" s="79"/>
      <c r="W571" s="130"/>
      <c r="Y571" s="106"/>
    </row>
    <row r="572">
      <c r="C572" s="79"/>
      <c r="D572" s="79"/>
      <c r="J572" s="79"/>
      <c r="O572" s="79"/>
      <c r="P572" s="79"/>
      <c r="S572" s="79"/>
      <c r="T572" s="79"/>
      <c r="W572" s="130"/>
      <c r="Y572" s="106"/>
    </row>
    <row r="573">
      <c r="C573" s="79"/>
      <c r="D573" s="79"/>
      <c r="J573" s="79"/>
      <c r="O573" s="79"/>
      <c r="P573" s="79"/>
      <c r="S573" s="79"/>
      <c r="T573" s="79"/>
      <c r="W573" s="130"/>
      <c r="Y573" s="106"/>
    </row>
    <row r="574">
      <c r="C574" s="79"/>
      <c r="D574" s="79"/>
      <c r="J574" s="79"/>
      <c r="O574" s="79"/>
      <c r="P574" s="79"/>
      <c r="S574" s="79"/>
      <c r="T574" s="79"/>
      <c r="W574" s="130"/>
      <c r="Y574" s="106"/>
    </row>
    <row r="575">
      <c r="C575" s="79"/>
      <c r="D575" s="79"/>
      <c r="J575" s="79"/>
      <c r="O575" s="79"/>
      <c r="P575" s="79"/>
      <c r="S575" s="79"/>
      <c r="T575" s="79"/>
      <c r="W575" s="130"/>
      <c r="Y575" s="106"/>
    </row>
    <row r="576">
      <c r="C576" s="79"/>
      <c r="D576" s="79"/>
      <c r="J576" s="79"/>
      <c r="O576" s="79"/>
      <c r="P576" s="79"/>
      <c r="S576" s="79"/>
      <c r="T576" s="79"/>
      <c r="W576" s="130"/>
      <c r="Y576" s="106"/>
    </row>
    <row r="577">
      <c r="C577" s="79"/>
      <c r="D577" s="79"/>
      <c r="J577" s="79"/>
      <c r="O577" s="79"/>
      <c r="P577" s="79"/>
      <c r="S577" s="79"/>
      <c r="T577" s="79"/>
      <c r="W577" s="130"/>
      <c r="Y577" s="106"/>
    </row>
    <row r="578">
      <c r="C578" s="79"/>
      <c r="D578" s="79"/>
      <c r="J578" s="79"/>
      <c r="O578" s="79"/>
      <c r="P578" s="79"/>
      <c r="S578" s="79"/>
      <c r="T578" s="79"/>
      <c r="W578" s="130"/>
      <c r="Y578" s="106"/>
    </row>
    <row r="579">
      <c r="C579" s="79"/>
      <c r="D579" s="79"/>
      <c r="J579" s="79"/>
      <c r="O579" s="79"/>
      <c r="P579" s="79"/>
      <c r="S579" s="79"/>
      <c r="T579" s="79"/>
      <c r="W579" s="130"/>
      <c r="Y579" s="106"/>
    </row>
    <row r="580">
      <c r="C580" s="79"/>
      <c r="D580" s="79"/>
      <c r="J580" s="79"/>
      <c r="O580" s="79"/>
      <c r="P580" s="79"/>
      <c r="S580" s="79"/>
      <c r="T580" s="79"/>
      <c r="W580" s="130"/>
      <c r="Y580" s="106"/>
    </row>
    <row r="581">
      <c r="C581" s="79"/>
      <c r="D581" s="79"/>
      <c r="J581" s="79"/>
      <c r="O581" s="79"/>
      <c r="P581" s="79"/>
      <c r="S581" s="79"/>
      <c r="T581" s="79"/>
      <c r="W581" s="130"/>
      <c r="Y581" s="106"/>
    </row>
    <row r="582">
      <c r="C582" s="79"/>
      <c r="D582" s="79"/>
      <c r="J582" s="79"/>
      <c r="O582" s="79"/>
      <c r="P582" s="79"/>
      <c r="S582" s="79"/>
      <c r="T582" s="79"/>
      <c r="W582" s="130"/>
      <c r="Y582" s="106"/>
    </row>
    <row r="583">
      <c r="C583" s="79"/>
      <c r="D583" s="79"/>
      <c r="J583" s="79"/>
      <c r="O583" s="79"/>
      <c r="P583" s="79"/>
      <c r="S583" s="79"/>
      <c r="T583" s="79"/>
      <c r="W583" s="130"/>
      <c r="Y583" s="106"/>
    </row>
    <row r="584">
      <c r="C584" s="79"/>
      <c r="D584" s="79"/>
      <c r="J584" s="79"/>
      <c r="O584" s="79"/>
      <c r="P584" s="79"/>
      <c r="S584" s="79"/>
      <c r="T584" s="79"/>
      <c r="W584" s="130"/>
      <c r="Y584" s="106"/>
    </row>
    <row r="585">
      <c r="C585" s="79"/>
      <c r="D585" s="79"/>
      <c r="J585" s="79"/>
      <c r="O585" s="79"/>
      <c r="P585" s="79"/>
      <c r="S585" s="79"/>
      <c r="T585" s="79"/>
      <c r="W585" s="130"/>
      <c r="Y585" s="106"/>
    </row>
    <row r="586">
      <c r="C586" s="79"/>
      <c r="D586" s="79"/>
      <c r="J586" s="79"/>
      <c r="O586" s="79"/>
      <c r="P586" s="79"/>
      <c r="S586" s="79"/>
      <c r="T586" s="79"/>
      <c r="W586" s="130"/>
      <c r="Y586" s="106"/>
    </row>
    <row r="587">
      <c r="C587" s="79"/>
      <c r="D587" s="79"/>
      <c r="J587" s="79"/>
      <c r="O587" s="79"/>
      <c r="P587" s="79"/>
      <c r="S587" s="79"/>
      <c r="T587" s="79"/>
      <c r="W587" s="130"/>
      <c r="Y587" s="106"/>
    </row>
    <row r="588">
      <c r="C588" s="79"/>
      <c r="D588" s="79"/>
      <c r="J588" s="79"/>
      <c r="O588" s="79"/>
      <c r="P588" s="79"/>
      <c r="S588" s="79"/>
      <c r="T588" s="79"/>
      <c r="W588" s="130"/>
      <c r="Y588" s="106"/>
    </row>
    <row r="589">
      <c r="C589" s="79"/>
      <c r="D589" s="79"/>
      <c r="J589" s="79"/>
      <c r="O589" s="79"/>
      <c r="P589" s="79"/>
      <c r="S589" s="79"/>
      <c r="T589" s="79"/>
      <c r="W589" s="130"/>
      <c r="Y589" s="106"/>
    </row>
    <row r="590">
      <c r="C590" s="79"/>
      <c r="D590" s="79"/>
      <c r="J590" s="79"/>
      <c r="O590" s="79"/>
      <c r="P590" s="79"/>
      <c r="S590" s="79"/>
      <c r="T590" s="79"/>
      <c r="W590" s="130"/>
      <c r="Y590" s="106"/>
    </row>
    <row r="591">
      <c r="C591" s="79"/>
      <c r="D591" s="79"/>
      <c r="J591" s="79"/>
      <c r="O591" s="79"/>
      <c r="P591" s="79"/>
      <c r="S591" s="79"/>
      <c r="T591" s="79"/>
      <c r="W591" s="130"/>
      <c r="Y591" s="106"/>
    </row>
    <row r="592">
      <c r="C592" s="79"/>
      <c r="D592" s="79"/>
      <c r="J592" s="79"/>
      <c r="O592" s="79"/>
      <c r="P592" s="79"/>
      <c r="S592" s="79"/>
      <c r="T592" s="79"/>
      <c r="W592" s="130"/>
      <c r="Y592" s="106"/>
    </row>
    <row r="593">
      <c r="C593" s="79"/>
      <c r="D593" s="79"/>
      <c r="J593" s="79"/>
      <c r="O593" s="79"/>
      <c r="P593" s="79"/>
      <c r="S593" s="79"/>
      <c r="T593" s="79"/>
      <c r="W593" s="130"/>
      <c r="Y593" s="106"/>
    </row>
    <row r="594">
      <c r="C594" s="79"/>
      <c r="D594" s="79"/>
      <c r="J594" s="79"/>
      <c r="O594" s="79"/>
      <c r="P594" s="79"/>
      <c r="S594" s="79"/>
      <c r="T594" s="79"/>
      <c r="W594" s="130"/>
      <c r="Y594" s="106"/>
    </row>
    <row r="595">
      <c r="C595" s="79"/>
      <c r="D595" s="79"/>
      <c r="J595" s="79"/>
      <c r="O595" s="79"/>
      <c r="P595" s="79"/>
      <c r="S595" s="79"/>
      <c r="T595" s="79"/>
      <c r="W595" s="130"/>
      <c r="Y595" s="106"/>
    </row>
    <row r="596">
      <c r="C596" s="79"/>
      <c r="D596" s="79"/>
      <c r="J596" s="79"/>
      <c r="O596" s="79"/>
      <c r="P596" s="79"/>
      <c r="S596" s="79"/>
      <c r="T596" s="79"/>
      <c r="W596" s="130"/>
      <c r="Y596" s="106"/>
    </row>
    <row r="597">
      <c r="C597" s="79"/>
      <c r="D597" s="79"/>
      <c r="J597" s="79"/>
      <c r="O597" s="79"/>
      <c r="P597" s="79"/>
      <c r="S597" s="79"/>
      <c r="T597" s="79"/>
      <c r="W597" s="130"/>
      <c r="Y597" s="106"/>
    </row>
    <row r="598">
      <c r="C598" s="79"/>
      <c r="D598" s="79"/>
      <c r="J598" s="79"/>
      <c r="O598" s="79"/>
      <c r="P598" s="79"/>
      <c r="S598" s="79"/>
      <c r="T598" s="79"/>
      <c r="W598" s="130"/>
      <c r="Y598" s="106"/>
    </row>
    <row r="599">
      <c r="C599" s="79"/>
      <c r="D599" s="79"/>
      <c r="J599" s="79"/>
      <c r="O599" s="79"/>
      <c r="P599" s="79"/>
      <c r="S599" s="79"/>
      <c r="T599" s="79"/>
      <c r="W599" s="130"/>
      <c r="Y599" s="106"/>
    </row>
    <row r="600">
      <c r="C600" s="79"/>
      <c r="D600" s="79"/>
      <c r="J600" s="79"/>
      <c r="O600" s="79"/>
      <c r="P600" s="79"/>
      <c r="S600" s="79"/>
      <c r="T600" s="79"/>
      <c r="W600" s="130"/>
      <c r="Y600" s="106"/>
    </row>
    <row r="601">
      <c r="C601" s="79"/>
      <c r="D601" s="79"/>
      <c r="J601" s="79"/>
      <c r="O601" s="79"/>
      <c r="P601" s="79"/>
      <c r="S601" s="79"/>
      <c r="T601" s="79"/>
      <c r="W601" s="130"/>
      <c r="Y601" s="106"/>
    </row>
    <row r="602">
      <c r="C602" s="79"/>
      <c r="D602" s="79"/>
      <c r="J602" s="79"/>
      <c r="O602" s="79"/>
      <c r="P602" s="79"/>
      <c r="S602" s="79"/>
      <c r="T602" s="79"/>
      <c r="W602" s="130"/>
      <c r="Y602" s="106"/>
    </row>
    <row r="603">
      <c r="C603" s="79"/>
      <c r="D603" s="79"/>
      <c r="J603" s="79"/>
      <c r="O603" s="79"/>
      <c r="P603" s="79"/>
      <c r="S603" s="79"/>
      <c r="T603" s="79"/>
      <c r="W603" s="130"/>
      <c r="Y603" s="106"/>
    </row>
    <row r="604">
      <c r="C604" s="79"/>
      <c r="D604" s="79"/>
      <c r="J604" s="79"/>
      <c r="O604" s="79"/>
      <c r="P604" s="79"/>
      <c r="S604" s="79"/>
      <c r="T604" s="79"/>
      <c r="W604" s="130"/>
      <c r="Y604" s="106"/>
    </row>
    <row r="605">
      <c r="C605" s="79"/>
      <c r="D605" s="79"/>
      <c r="J605" s="79"/>
      <c r="O605" s="79"/>
      <c r="P605" s="79"/>
      <c r="S605" s="79"/>
      <c r="T605" s="79"/>
      <c r="W605" s="130"/>
      <c r="Y605" s="106"/>
    </row>
    <row r="606">
      <c r="C606" s="79"/>
      <c r="D606" s="79"/>
      <c r="J606" s="79"/>
      <c r="O606" s="79"/>
      <c r="P606" s="79"/>
      <c r="S606" s="79"/>
      <c r="T606" s="79"/>
      <c r="W606" s="130"/>
      <c r="Y606" s="106"/>
    </row>
    <row r="607">
      <c r="C607" s="79"/>
      <c r="D607" s="79"/>
      <c r="J607" s="79"/>
      <c r="O607" s="79"/>
      <c r="P607" s="79"/>
      <c r="S607" s="79"/>
      <c r="T607" s="79"/>
      <c r="W607" s="130"/>
      <c r="Y607" s="106"/>
    </row>
    <row r="608">
      <c r="C608" s="79"/>
      <c r="D608" s="79"/>
      <c r="J608" s="79"/>
      <c r="O608" s="79"/>
      <c r="P608" s="79"/>
      <c r="S608" s="79"/>
      <c r="T608" s="79"/>
      <c r="W608" s="130"/>
      <c r="Y608" s="106"/>
    </row>
    <row r="609">
      <c r="C609" s="79"/>
      <c r="D609" s="79"/>
      <c r="J609" s="79"/>
      <c r="O609" s="79"/>
      <c r="P609" s="79"/>
      <c r="S609" s="79"/>
      <c r="T609" s="79"/>
      <c r="W609" s="130"/>
      <c r="Y609" s="106"/>
    </row>
    <row r="610">
      <c r="C610" s="79"/>
      <c r="D610" s="79"/>
      <c r="J610" s="79"/>
      <c r="O610" s="79"/>
      <c r="P610" s="79"/>
      <c r="S610" s="79"/>
      <c r="T610" s="79"/>
      <c r="W610" s="130"/>
      <c r="Y610" s="106"/>
    </row>
    <row r="611">
      <c r="C611" s="79"/>
      <c r="D611" s="79"/>
      <c r="J611" s="79"/>
      <c r="O611" s="79"/>
      <c r="P611" s="79"/>
      <c r="S611" s="79"/>
      <c r="T611" s="79"/>
      <c r="W611" s="130"/>
      <c r="Y611" s="106"/>
    </row>
    <row r="612">
      <c r="C612" s="79"/>
      <c r="D612" s="79"/>
      <c r="J612" s="79"/>
      <c r="O612" s="79"/>
      <c r="P612" s="79"/>
      <c r="S612" s="79"/>
      <c r="T612" s="79"/>
      <c r="W612" s="130"/>
      <c r="Y612" s="106"/>
    </row>
    <row r="613">
      <c r="C613" s="79"/>
      <c r="D613" s="79"/>
      <c r="J613" s="79"/>
      <c r="O613" s="79"/>
      <c r="P613" s="79"/>
      <c r="S613" s="79"/>
      <c r="T613" s="79"/>
      <c r="W613" s="130"/>
      <c r="Y613" s="106"/>
    </row>
    <row r="614">
      <c r="C614" s="79"/>
      <c r="D614" s="79"/>
      <c r="J614" s="79"/>
      <c r="O614" s="79"/>
      <c r="P614" s="79"/>
      <c r="S614" s="79"/>
      <c r="T614" s="79"/>
      <c r="W614" s="130"/>
      <c r="Y614" s="106"/>
    </row>
    <row r="615">
      <c r="C615" s="79"/>
      <c r="D615" s="79"/>
      <c r="J615" s="79"/>
      <c r="O615" s="79"/>
      <c r="P615" s="79"/>
      <c r="S615" s="79"/>
      <c r="T615" s="79"/>
      <c r="W615" s="130"/>
      <c r="Y615" s="106"/>
    </row>
    <row r="616">
      <c r="C616" s="79"/>
      <c r="D616" s="79"/>
      <c r="J616" s="79"/>
      <c r="O616" s="79"/>
      <c r="P616" s="79"/>
      <c r="S616" s="79"/>
      <c r="T616" s="79"/>
      <c r="W616" s="130"/>
      <c r="Y616" s="106"/>
    </row>
    <row r="617">
      <c r="C617" s="79"/>
      <c r="D617" s="79"/>
      <c r="J617" s="79"/>
      <c r="O617" s="79"/>
      <c r="P617" s="79"/>
      <c r="S617" s="79"/>
      <c r="T617" s="79"/>
      <c r="W617" s="130"/>
      <c r="Y617" s="106"/>
    </row>
    <row r="618">
      <c r="C618" s="79"/>
      <c r="D618" s="79"/>
      <c r="J618" s="79"/>
      <c r="O618" s="79"/>
      <c r="P618" s="79"/>
      <c r="S618" s="79"/>
      <c r="T618" s="79"/>
      <c r="W618" s="130"/>
      <c r="Y618" s="106"/>
    </row>
    <row r="619">
      <c r="C619" s="79"/>
      <c r="D619" s="79"/>
      <c r="J619" s="79"/>
      <c r="O619" s="79"/>
      <c r="P619" s="79"/>
      <c r="S619" s="79"/>
      <c r="T619" s="79"/>
      <c r="W619" s="130"/>
      <c r="Y619" s="106"/>
    </row>
    <row r="620">
      <c r="C620" s="79"/>
      <c r="D620" s="79"/>
      <c r="J620" s="79"/>
      <c r="O620" s="79"/>
      <c r="P620" s="79"/>
      <c r="S620" s="79"/>
      <c r="T620" s="79"/>
      <c r="W620" s="130"/>
      <c r="Y620" s="106"/>
    </row>
    <row r="621">
      <c r="C621" s="79"/>
      <c r="D621" s="79"/>
      <c r="J621" s="79"/>
      <c r="O621" s="79"/>
      <c r="P621" s="79"/>
      <c r="S621" s="79"/>
      <c r="T621" s="79"/>
      <c r="W621" s="130"/>
      <c r="Y621" s="106"/>
    </row>
    <row r="622">
      <c r="C622" s="79"/>
      <c r="D622" s="79"/>
      <c r="J622" s="79"/>
      <c r="O622" s="79"/>
      <c r="P622" s="79"/>
      <c r="S622" s="79"/>
      <c r="T622" s="79"/>
      <c r="W622" s="130"/>
      <c r="Y622" s="106"/>
    </row>
    <row r="623">
      <c r="C623" s="79"/>
      <c r="D623" s="79"/>
      <c r="J623" s="79"/>
      <c r="O623" s="79"/>
      <c r="P623" s="79"/>
      <c r="S623" s="79"/>
      <c r="T623" s="79"/>
      <c r="W623" s="130"/>
      <c r="Y623" s="106"/>
    </row>
    <row r="624">
      <c r="C624" s="79"/>
      <c r="D624" s="79"/>
      <c r="J624" s="79"/>
      <c r="O624" s="79"/>
      <c r="P624" s="79"/>
      <c r="S624" s="79"/>
      <c r="T624" s="79"/>
      <c r="W624" s="130"/>
      <c r="Y624" s="106"/>
    </row>
    <row r="625">
      <c r="C625" s="79"/>
      <c r="D625" s="79"/>
      <c r="J625" s="79"/>
      <c r="O625" s="79"/>
      <c r="P625" s="79"/>
      <c r="S625" s="79"/>
      <c r="T625" s="79"/>
      <c r="W625" s="130"/>
      <c r="Y625" s="106"/>
    </row>
    <row r="626">
      <c r="C626" s="79"/>
      <c r="D626" s="79"/>
      <c r="J626" s="79"/>
      <c r="O626" s="79"/>
      <c r="P626" s="79"/>
      <c r="S626" s="79"/>
      <c r="T626" s="79"/>
      <c r="W626" s="130"/>
      <c r="Y626" s="106"/>
    </row>
    <row r="627">
      <c r="C627" s="79"/>
      <c r="D627" s="79"/>
      <c r="J627" s="79"/>
      <c r="O627" s="79"/>
      <c r="P627" s="79"/>
      <c r="S627" s="79"/>
      <c r="T627" s="79"/>
      <c r="W627" s="130"/>
      <c r="Y627" s="106"/>
    </row>
    <row r="628">
      <c r="C628" s="79"/>
      <c r="D628" s="79"/>
      <c r="J628" s="79"/>
      <c r="O628" s="79"/>
      <c r="P628" s="79"/>
      <c r="S628" s="79"/>
      <c r="T628" s="79"/>
      <c r="W628" s="130"/>
      <c r="Y628" s="106"/>
    </row>
    <row r="629">
      <c r="C629" s="79"/>
      <c r="D629" s="79"/>
      <c r="J629" s="79"/>
      <c r="O629" s="79"/>
      <c r="P629" s="79"/>
      <c r="S629" s="79"/>
      <c r="T629" s="79"/>
      <c r="W629" s="130"/>
      <c r="Y629" s="106"/>
    </row>
    <row r="630">
      <c r="C630" s="79"/>
      <c r="D630" s="79"/>
      <c r="J630" s="79"/>
      <c r="O630" s="79"/>
      <c r="P630" s="79"/>
      <c r="S630" s="79"/>
      <c r="T630" s="79"/>
      <c r="W630" s="130"/>
      <c r="Y630" s="106"/>
    </row>
    <row r="631">
      <c r="C631" s="79"/>
      <c r="D631" s="79"/>
      <c r="J631" s="79"/>
      <c r="O631" s="79"/>
      <c r="P631" s="79"/>
      <c r="S631" s="79"/>
      <c r="T631" s="79"/>
      <c r="W631" s="130"/>
      <c r="Y631" s="106"/>
    </row>
    <row r="632">
      <c r="C632" s="79"/>
      <c r="D632" s="79"/>
      <c r="J632" s="79"/>
      <c r="O632" s="79"/>
      <c r="P632" s="79"/>
      <c r="S632" s="79"/>
      <c r="T632" s="79"/>
      <c r="W632" s="130"/>
      <c r="Y632" s="106"/>
    </row>
    <row r="633">
      <c r="C633" s="79"/>
      <c r="D633" s="79"/>
      <c r="J633" s="79"/>
      <c r="O633" s="79"/>
      <c r="P633" s="79"/>
      <c r="S633" s="79"/>
      <c r="T633" s="79"/>
      <c r="W633" s="130"/>
      <c r="Y633" s="106"/>
    </row>
    <row r="634">
      <c r="C634" s="79"/>
      <c r="D634" s="79"/>
      <c r="J634" s="79"/>
      <c r="O634" s="79"/>
      <c r="P634" s="79"/>
      <c r="S634" s="79"/>
      <c r="T634" s="79"/>
      <c r="W634" s="130"/>
      <c r="Y634" s="106"/>
    </row>
    <row r="635">
      <c r="C635" s="79"/>
      <c r="D635" s="79"/>
      <c r="J635" s="79"/>
      <c r="O635" s="79"/>
      <c r="P635" s="79"/>
      <c r="S635" s="79"/>
      <c r="T635" s="79"/>
      <c r="W635" s="130"/>
      <c r="Y635" s="106"/>
    </row>
    <row r="636">
      <c r="C636" s="79"/>
      <c r="D636" s="79"/>
      <c r="J636" s="79"/>
      <c r="O636" s="79"/>
      <c r="P636" s="79"/>
      <c r="S636" s="79"/>
      <c r="T636" s="79"/>
      <c r="W636" s="130"/>
      <c r="Y636" s="106"/>
    </row>
    <row r="637">
      <c r="C637" s="79"/>
      <c r="D637" s="79"/>
      <c r="J637" s="79"/>
      <c r="O637" s="79"/>
      <c r="P637" s="79"/>
      <c r="S637" s="79"/>
      <c r="T637" s="79"/>
      <c r="W637" s="130"/>
      <c r="Y637" s="106"/>
    </row>
    <row r="638">
      <c r="C638" s="79"/>
      <c r="D638" s="79"/>
      <c r="J638" s="79"/>
      <c r="O638" s="79"/>
      <c r="P638" s="79"/>
      <c r="S638" s="79"/>
      <c r="T638" s="79"/>
      <c r="W638" s="130"/>
      <c r="Y638" s="106"/>
    </row>
    <row r="639">
      <c r="C639" s="79"/>
      <c r="D639" s="79"/>
      <c r="J639" s="79"/>
      <c r="O639" s="79"/>
      <c r="P639" s="79"/>
      <c r="S639" s="79"/>
      <c r="T639" s="79"/>
      <c r="W639" s="130"/>
      <c r="Y639" s="106"/>
    </row>
    <row r="640">
      <c r="C640" s="79"/>
      <c r="D640" s="79"/>
      <c r="J640" s="79"/>
      <c r="O640" s="79"/>
      <c r="P640" s="79"/>
      <c r="S640" s="79"/>
      <c r="T640" s="79"/>
      <c r="W640" s="130"/>
      <c r="Y640" s="106"/>
    </row>
    <row r="641">
      <c r="C641" s="79"/>
      <c r="D641" s="79"/>
      <c r="J641" s="79"/>
      <c r="O641" s="79"/>
      <c r="P641" s="79"/>
      <c r="S641" s="79"/>
      <c r="T641" s="79"/>
      <c r="W641" s="130"/>
      <c r="Y641" s="106"/>
    </row>
    <row r="642">
      <c r="C642" s="79"/>
      <c r="D642" s="79"/>
      <c r="J642" s="79"/>
      <c r="O642" s="79"/>
      <c r="P642" s="79"/>
      <c r="S642" s="79"/>
      <c r="T642" s="79"/>
      <c r="W642" s="130"/>
      <c r="Y642" s="106"/>
    </row>
    <row r="643">
      <c r="C643" s="79"/>
      <c r="D643" s="79"/>
      <c r="J643" s="79"/>
      <c r="O643" s="79"/>
      <c r="P643" s="79"/>
      <c r="S643" s="79"/>
      <c r="T643" s="79"/>
      <c r="W643" s="130"/>
      <c r="Y643" s="106"/>
    </row>
    <row r="644">
      <c r="C644" s="79"/>
      <c r="D644" s="79"/>
      <c r="J644" s="79"/>
      <c r="O644" s="79"/>
      <c r="P644" s="79"/>
      <c r="S644" s="79"/>
      <c r="T644" s="79"/>
      <c r="W644" s="130"/>
      <c r="Y644" s="106"/>
    </row>
    <row r="645">
      <c r="C645" s="79"/>
      <c r="D645" s="79"/>
      <c r="J645" s="79"/>
      <c r="O645" s="79"/>
      <c r="P645" s="79"/>
      <c r="S645" s="79"/>
      <c r="T645" s="79"/>
      <c r="W645" s="130"/>
      <c r="Y645" s="106"/>
    </row>
    <row r="646">
      <c r="C646" s="79"/>
      <c r="D646" s="79"/>
      <c r="J646" s="79"/>
      <c r="O646" s="79"/>
      <c r="P646" s="79"/>
      <c r="S646" s="79"/>
      <c r="T646" s="79"/>
      <c r="W646" s="130"/>
      <c r="Y646" s="106"/>
    </row>
    <row r="647">
      <c r="C647" s="79"/>
      <c r="D647" s="79"/>
      <c r="J647" s="79"/>
      <c r="O647" s="79"/>
      <c r="P647" s="79"/>
      <c r="S647" s="79"/>
      <c r="T647" s="79"/>
      <c r="W647" s="130"/>
      <c r="Y647" s="106"/>
    </row>
    <row r="648">
      <c r="C648" s="79"/>
      <c r="D648" s="79"/>
      <c r="J648" s="79"/>
      <c r="O648" s="79"/>
      <c r="P648" s="79"/>
      <c r="S648" s="79"/>
      <c r="T648" s="79"/>
      <c r="W648" s="130"/>
      <c r="Y648" s="106"/>
    </row>
    <row r="649">
      <c r="C649" s="79"/>
      <c r="D649" s="79"/>
      <c r="J649" s="79"/>
      <c r="O649" s="79"/>
      <c r="P649" s="79"/>
      <c r="S649" s="79"/>
      <c r="T649" s="79"/>
      <c r="W649" s="130"/>
      <c r="Y649" s="106"/>
    </row>
    <row r="650">
      <c r="C650" s="79"/>
      <c r="D650" s="79"/>
      <c r="J650" s="79"/>
      <c r="O650" s="79"/>
      <c r="P650" s="79"/>
      <c r="S650" s="79"/>
      <c r="T650" s="79"/>
      <c r="W650" s="130"/>
      <c r="Y650" s="106"/>
    </row>
    <row r="651">
      <c r="C651" s="79"/>
      <c r="D651" s="79"/>
      <c r="J651" s="79"/>
      <c r="O651" s="79"/>
      <c r="P651" s="79"/>
      <c r="S651" s="79"/>
      <c r="T651" s="79"/>
      <c r="W651" s="130"/>
      <c r="Y651" s="106"/>
    </row>
    <row r="652">
      <c r="C652" s="79"/>
      <c r="D652" s="79"/>
      <c r="J652" s="79"/>
      <c r="O652" s="79"/>
      <c r="P652" s="79"/>
      <c r="S652" s="79"/>
      <c r="T652" s="79"/>
      <c r="W652" s="130"/>
      <c r="Y652" s="106"/>
    </row>
    <row r="653">
      <c r="C653" s="79"/>
      <c r="D653" s="79"/>
      <c r="J653" s="79"/>
      <c r="O653" s="79"/>
      <c r="P653" s="79"/>
      <c r="S653" s="79"/>
      <c r="T653" s="79"/>
      <c r="W653" s="130"/>
      <c r="Y653" s="106"/>
    </row>
    <row r="654">
      <c r="C654" s="79"/>
      <c r="D654" s="79"/>
      <c r="J654" s="79"/>
      <c r="O654" s="79"/>
      <c r="P654" s="79"/>
      <c r="S654" s="79"/>
      <c r="T654" s="79"/>
      <c r="W654" s="130"/>
      <c r="Y654" s="106"/>
    </row>
    <row r="655">
      <c r="C655" s="79"/>
      <c r="D655" s="79"/>
      <c r="J655" s="79"/>
      <c r="O655" s="79"/>
      <c r="P655" s="79"/>
      <c r="S655" s="79"/>
      <c r="T655" s="79"/>
      <c r="W655" s="130"/>
      <c r="Y655" s="106"/>
    </row>
    <row r="656">
      <c r="C656" s="79"/>
      <c r="D656" s="79"/>
      <c r="J656" s="79"/>
      <c r="O656" s="79"/>
      <c r="P656" s="79"/>
      <c r="S656" s="79"/>
      <c r="T656" s="79"/>
      <c r="W656" s="130"/>
      <c r="Y656" s="106"/>
    </row>
    <row r="657">
      <c r="C657" s="79"/>
      <c r="D657" s="79"/>
      <c r="J657" s="79"/>
      <c r="O657" s="79"/>
      <c r="P657" s="79"/>
      <c r="S657" s="79"/>
      <c r="T657" s="79"/>
      <c r="W657" s="130"/>
      <c r="Y657" s="106"/>
    </row>
    <row r="658">
      <c r="C658" s="79"/>
      <c r="D658" s="79"/>
      <c r="J658" s="79"/>
      <c r="O658" s="79"/>
      <c r="P658" s="79"/>
      <c r="S658" s="79"/>
      <c r="T658" s="79"/>
      <c r="W658" s="130"/>
      <c r="Y658" s="106"/>
    </row>
    <row r="659">
      <c r="C659" s="79"/>
      <c r="D659" s="79"/>
      <c r="J659" s="79"/>
      <c r="O659" s="79"/>
      <c r="P659" s="79"/>
      <c r="S659" s="79"/>
      <c r="T659" s="79"/>
      <c r="W659" s="130"/>
      <c r="Y659" s="106"/>
    </row>
    <row r="660">
      <c r="C660" s="79"/>
      <c r="D660" s="79"/>
      <c r="J660" s="79"/>
      <c r="O660" s="79"/>
      <c r="P660" s="79"/>
      <c r="S660" s="79"/>
      <c r="T660" s="79"/>
      <c r="W660" s="130"/>
      <c r="Y660" s="106"/>
    </row>
    <row r="661">
      <c r="C661" s="79"/>
      <c r="D661" s="79"/>
      <c r="J661" s="79"/>
      <c r="O661" s="79"/>
      <c r="P661" s="79"/>
      <c r="S661" s="79"/>
      <c r="T661" s="79"/>
      <c r="W661" s="130"/>
      <c r="Y661" s="106"/>
    </row>
    <row r="662">
      <c r="C662" s="79"/>
      <c r="D662" s="79"/>
      <c r="J662" s="79"/>
      <c r="O662" s="79"/>
      <c r="P662" s="79"/>
      <c r="S662" s="79"/>
      <c r="T662" s="79"/>
      <c r="W662" s="130"/>
      <c r="Y662" s="106"/>
    </row>
    <row r="663">
      <c r="C663" s="79"/>
      <c r="D663" s="79"/>
      <c r="J663" s="79"/>
      <c r="O663" s="79"/>
      <c r="P663" s="79"/>
      <c r="S663" s="79"/>
      <c r="T663" s="79"/>
      <c r="W663" s="130"/>
      <c r="Y663" s="106"/>
    </row>
    <row r="664">
      <c r="C664" s="79"/>
      <c r="D664" s="79"/>
      <c r="J664" s="79"/>
      <c r="O664" s="79"/>
      <c r="P664" s="79"/>
      <c r="S664" s="79"/>
      <c r="T664" s="79"/>
      <c r="W664" s="130"/>
      <c r="Y664" s="106"/>
    </row>
    <row r="665">
      <c r="C665" s="79"/>
      <c r="D665" s="79"/>
      <c r="J665" s="79"/>
      <c r="O665" s="79"/>
      <c r="P665" s="79"/>
      <c r="S665" s="79"/>
      <c r="T665" s="79"/>
      <c r="W665" s="130"/>
      <c r="Y665" s="106"/>
    </row>
    <row r="666">
      <c r="C666" s="79"/>
      <c r="D666" s="79"/>
      <c r="J666" s="79"/>
      <c r="O666" s="79"/>
      <c r="P666" s="79"/>
      <c r="S666" s="79"/>
      <c r="T666" s="79"/>
      <c r="W666" s="130"/>
      <c r="Y666" s="106"/>
    </row>
    <row r="667">
      <c r="C667" s="79"/>
      <c r="D667" s="79"/>
      <c r="J667" s="79"/>
      <c r="O667" s="79"/>
      <c r="P667" s="79"/>
      <c r="S667" s="79"/>
      <c r="T667" s="79"/>
      <c r="W667" s="130"/>
      <c r="Y667" s="106"/>
    </row>
    <row r="668">
      <c r="C668" s="79"/>
      <c r="D668" s="79"/>
      <c r="J668" s="79"/>
      <c r="O668" s="79"/>
      <c r="P668" s="79"/>
      <c r="S668" s="79"/>
      <c r="T668" s="79"/>
      <c r="W668" s="130"/>
      <c r="Y668" s="106"/>
    </row>
    <row r="669">
      <c r="C669" s="79"/>
      <c r="D669" s="79"/>
      <c r="J669" s="79"/>
      <c r="O669" s="79"/>
      <c r="P669" s="79"/>
      <c r="S669" s="79"/>
      <c r="T669" s="79"/>
      <c r="W669" s="130"/>
      <c r="Y669" s="106"/>
    </row>
    <row r="670">
      <c r="C670" s="79"/>
      <c r="D670" s="79"/>
      <c r="J670" s="79"/>
      <c r="O670" s="79"/>
      <c r="P670" s="79"/>
      <c r="S670" s="79"/>
      <c r="T670" s="79"/>
      <c r="W670" s="130"/>
      <c r="Y670" s="106"/>
    </row>
    <row r="671">
      <c r="C671" s="79"/>
      <c r="D671" s="79"/>
      <c r="J671" s="79"/>
      <c r="O671" s="79"/>
      <c r="P671" s="79"/>
      <c r="S671" s="79"/>
      <c r="T671" s="79"/>
      <c r="W671" s="130"/>
      <c r="Y671" s="106"/>
    </row>
    <row r="672">
      <c r="C672" s="79"/>
      <c r="D672" s="79"/>
      <c r="J672" s="79"/>
      <c r="O672" s="79"/>
      <c r="P672" s="79"/>
      <c r="S672" s="79"/>
      <c r="T672" s="79"/>
      <c r="W672" s="130"/>
      <c r="Y672" s="106"/>
    </row>
    <row r="673">
      <c r="C673" s="79"/>
      <c r="D673" s="79"/>
      <c r="J673" s="79"/>
      <c r="O673" s="79"/>
      <c r="P673" s="79"/>
      <c r="S673" s="79"/>
      <c r="T673" s="79"/>
      <c r="W673" s="130"/>
      <c r="Y673" s="106"/>
    </row>
    <row r="674">
      <c r="C674" s="79"/>
      <c r="D674" s="79"/>
      <c r="J674" s="79"/>
      <c r="O674" s="79"/>
      <c r="P674" s="79"/>
      <c r="S674" s="79"/>
      <c r="T674" s="79"/>
      <c r="W674" s="130"/>
      <c r="Y674" s="106"/>
    </row>
    <row r="675">
      <c r="C675" s="79"/>
      <c r="D675" s="79"/>
      <c r="J675" s="79"/>
      <c r="O675" s="79"/>
      <c r="P675" s="79"/>
      <c r="S675" s="79"/>
      <c r="T675" s="79"/>
      <c r="W675" s="130"/>
      <c r="Y675" s="106"/>
    </row>
    <row r="676">
      <c r="C676" s="79"/>
      <c r="D676" s="79"/>
      <c r="J676" s="79"/>
      <c r="O676" s="79"/>
      <c r="P676" s="79"/>
      <c r="S676" s="79"/>
      <c r="T676" s="79"/>
      <c r="W676" s="130"/>
      <c r="Y676" s="106"/>
    </row>
    <row r="677">
      <c r="C677" s="79"/>
      <c r="D677" s="79"/>
      <c r="J677" s="79"/>
      <c r="O677" s="79"/>
      <c r="P677" s="79"/>
      <c r="S677" s="79"/>
      <c r="T677" s="79"/>
      <c r="W677" s="130"/>
      <c r="Y677" s="106"/>
    </row>
    <row r="678">
      <c r="C678" s="79"/>
      <c r="D678" s="79"/>
      <c r="J678" s="79"/>
      <c r="O678" s="79"/>
      <c r="P678" s="79"/>
      <c r="S678" s="79"/>
      <c r="T678" s="79"/>
      <c r="W678" s="130"/>
      <c r="Y678" s="106"/>
    </row>
    <row r="679">
      <c r="C679" s="79"/>
      <c r="D679" s="79"/>
      <c r="J679" s="79"/>
      <c r="O679" s="79"/>
      <c r="P679" s="79"/>
      <c r="S679" s="79"/>
      <c r="T679" s="79"/>
      <c r="W679" s="130"/>
      <c r="Y679" s="106"/>
    </row>
    <row r="680">
      <c r="C680" s="79"/>
      <c r="D680" s="79"/>
      <c r="J680" s="79"/>
      <c r="O680" s="79"/>
      <c r="P680" s="79"/>
      <c r="S680" s="79"/>
      <c r="T680" s="79"/>
      <c r="W680" s="130"/>
      <c r="Y680" s="106"/>
    </row>
    <row r="681">
      <c r="C681" s="79"/>
      <c r="D681" s="79"/>
      <c r="J681" s="79"/>
      <c r="O681" s="79"/>
      <c r="P681" s="79"/>
      <c r="S681" s="79"/>
      <c r="T681" s="79"/>
      <c r="W681" s="130"/>
      <c r="Y681" s="106"/>
    </row>
    <row r="682">
      <c r="C682" s="79"/>
      <c r="D682" s="79"/>
      <c r="J682" s="79"/>
      <c r="O682" s="79"/>
      <c r="P682" s="79"/>
      <c r="S682" s="79"/>
      <c r="T682" s="79"/>
      <c r="W682" s="130"/>
      <c r="Y682" s="106"/>
    </row>
    <row r="683">
      <c r="C683" s="79"/>
      <c r="D683" s="79"/>
      <c r="J683" s="79"/>
      <c r="O683" s="79"/>
      <c r="P683" s="79"/>
      <c r="S683" s="79"/>
      <c r="T683" s="79"/>
      <c r="W683" s="130"/>
      <c r="Y683" s="106"/>
    </row>
    <row r="684">
      <c r="C684" s="79"/>
      <c r="D684" s="79"/>
      <c r="J684" s="79"/>
      <c r="O684" s="79"/>
      <c r="P684" s="79"/>
      <c r="S684" s="79"/>
      <c r="T684" s="79"/>
      <c r="W684" s="130"/>
      <c r="Y684" s="106"/>
    </row>
    <row r="685">
      <c r="C685" s="79"/>
      <c r="D685" s="79"/>
      <c r="J685" s="79"/>
      <c r="O685" s="79"/>
      <c r="P685" s="79"/>
      <c r="S685" s="79"/>
      <c r="T685" s="79"/>
      <c r="W685" s="130"/>
      <c r="Y685" s="106"/>
    </row>
    <row r="686">
      <c r="C686" s="79"/>
      <c r="D686" s="79"/>
      <c r="J686" s="79"/>
      <c r="O686" s="79"/>
      <c r="P686" s="79"/>
      <c r="S686" s="79"/>
      <c r="T686" s="79"/>
      <c r="W686" s="130"/>
      <c r="Y686" s="106"/>
    </row>
    <row r="687">
      <c r="C687" s="79"/>
      <c r="D687" s="79"/>
      <c r="J687" s="79"/>
      <c r="O687" s="79"/>
      <c r="P687" s="79"/>
      <c r="S687" s="79"/>
      <c r="T687" s="79"/>
      <c r="W687" s="130"/>
      <c r="Y687" s="106"/>
    </row>
    <row r="688">
      <c r="C688" s="79"/>
      <c r="D688" s="79"/>
      <c r="J688" s="79"/>
      <c r="O688" s="79"/>
      <c r="P688" s="79"/>
      <c r="S688" s="79"/>
      <c r="T688" s="79"/>
      <c r="W688" s="130"/>
      <c r="Y688" s="106"/>
    </row>
    <row r="689">
      <c r="C689" s="79"/>
      <c r="D689" s="79"/>
      <c r="J689" s="79"/>
      <c r="O689" s="79"/>
      <c r="P689" s="79"/>
      <c r="S689" s="79"/>
      <c r="T689" s="79"/>
      <c r="W689" s="130"/>
      <c r="Y689" s="106"/>
    </row>
    <row r="690">
      <c r="C690" s="79"/>
      <c r="D690" s="79"/>
      <c r="J690" s="79"/>
      <c r="O690" s="79"/>
      <c r="P690" s="79"/>
      <c r="S690" s="79"/>
      <c r="T690" s="79"/>
      <c r="W690" s="130"/>
      <c r="Y690" s="106"/>
    </row>
    <row r="691">
      <c r="C691" s="79"/>
      <c r="D691" s="79"/>
      <c r="J691" s="79"/>
      <c r="O691" s="79"/>
      <c r="P691" s="79"/>
      <c r="S691" s="79"/>
      <c r="T691" s="79"/>
      <c r="W691" s="130"/>
      <c r="Y691" s="106"/>
    </row>
    <row r="692">
      <c r="C692" s="79"/>
      <c r="D692" s="79"/>
      <c r="J692" s="79"/>
      <c r="O692" s="79"/>
      <c r="P692" s="79"/>
      <c r="S692" s="79"/>
      <c r="T692" s="79"/>
      <c r="W692" s="130"/>
      <c r="Y692" s="106"/>
    </row>
    <row r="693">
      <c r="C693" s="79"/>
      <c r="D693" s="79"/>
      <c r="J693" s="79"/>
      <c r="O693" s="79"/>
      <c r="P693" s="79"/>
      <c r="S693" s="79"/>
      <c r="T693" s="79"/>
      <c r="W693" s="130"/>
      <c r="Y693" s="106"/>
    </row>
    <row r="694">
      <c r="C694" s="79"/>
      <c r="D694" s="79"/>
      <c r="J694" s="79"/>
      <c r="O694" s="79"/>
      <c r="P694" s="79"/>
      <c r="S694" s="79"/>
      <c r="T694" s="79"/>
      <c r="W694" s="130"/>
      <c r="Y694" s="106"/>
    </row>
    <row r="695">
      <c r="C695" s="79"/>
      <c r="D695" s="79"/>
      <c r="J695" s="79"/>
      <c r="O695" s="79"/>
      <c r="P695" s="79"/>
      <c r="S695" s="79"/>
      <c r="T695" s="79"/>
      <c r="W695" s="130"/>
      <c r="Y695" s="106"/>
    </row>
    <row r="696">
      <c r="C696" s="79"/>
      <c r="D696" s="79"/>
      <c r="J696" s="79"/>
      <c r="O696" s="79"/>
      <c r="P696" s="79"/>
      <c r="S696" s="79"/>
      <c r="T696" s="79"/>
      <c r="W696" s="130"/>
      <c r="Y696" s="106"/>
    </row>
    <row r="697">
      <c r="C697" s="79"/>
      <c r="D697" s="79"/>
      <c r="J697" s="79"/>
      <c r="O697" s="79"/>
      <c r="P697" s="79"/>
      <c r="S697" s="79"/>
      <c r="T697" s="79"/>
      <c r="W697" s="130"/>
      <c r="Y697" s="106"/>
    </row>
    <row r="698">
      <c r="C698" s="79"/>
      <c r="D698" s="79"/>
      <c r="J698" s="79"/>
      <c r="O698" s="79"/>
      <c r="P698" s="79"/>
      <c r="S698" s="79"/>
      <c r="T698" s="79"/>
      <c r="W698" s="130"/>
      <c r="Y698" s="106"/>
    </row>
    <row r="699">
      <c r="C699" s="79"/>
      <c r="D699" s="79"/>
      <c r="J699" s="79"/>
      <c r="O699" s="79"/>
      <c r="P699" s="79"/>
      <c r="S699" s="79"/>
      <c r="T699" s="79"/>
      <c r="W699" s="130"/>
      <c r="Y699" s="106"/>
    </row>
    <row r="700">
      <c r="C700" s="79"/>
      <c r="D700" s="79"/>
      <c r="J700" s="79"/>
      <c r="O700" s="79"/>
      <c r="P700" s="79"/>
      <c r="S700" s="79"/>
      <c r="T700" s="79"/>
      <c r="W700" s="130"/>
      <c r="Y700" s="106"/>
    </row>
    <row r="701">
      <c r="C701" s="79"/>
      <c r="D701" s="79"/>
      <c r="J701" s="79"/>
      <c r="O701" s="79"/>
      <c r="P701" s="79"/>
      <c r="S701" s="79"/>
      <c r="T701" s="79"/>
      <c r="W701" s="130"/>
      <c r="Y701" s="106"/>
    </row>
    <row r="702">
      <c r="C702" s="79"/>
      <c r="D702" s="79"/>
      <c r="J702" s="79"/>
      <c r="O702" s="79"/>
      <c r="P702" s="79"/>
      <c r="S702" s="79"/>
      <c r="T702" s="79"/>
      <c r="W702" s="130"/>
      <c r="Y702" s="106"/>
    </row>
    <row r="703">
      <c r="C703" s="79"/>
      <c r="D703" s="79"/>
      <c r="J703" s="79"/>
      <c r="O703" s="79"/>
      <c r="P703" s="79"/>
      <c r="S703" s="79"/>
      <c r="T703" s="79"/>
      <c r="W703" s="130"/>
      <c r="Y703" s="106"/>
    </row>
    <row r="704">
      <c r="C704" s="79"/>
      <c r="D704" s="79"/>
      <c r="J704" s="79"/>
      <c r="O704" s="79"/>
      <c r="P704" s="79"/>
      <c r="S704" s="79"/>
      <c r="T704" s="79"/>
      <c r="W704" s="130"/>
      <c r="Y704" s="106"/>
    </row>
    <row r="705">
      <c r="C705" s="79"/>
      <c r="D705" s="79"/>
      <c r="J705" s="79"/>
      <c r="O705" s="79"/>
      <c r="P705" s="79"/>
      <c r="S705" s="79"/>
      <c r="T705" s="79"/>
      <c r="W705" s="130"/>
      <c r="Y705" s="106"/>
    </row>
    <row r="706">
      <c r="C706" s="79"/>
      <c r="D706" s="79"/>
      <c r="J706" s="79"/>
      <c r="O706" s="79"/>
      <c r="P706" s="79"/>
      <c r="S706" s="79"/>
      <c r="T706" s="79"/>
      <c r="W706" s="130"/>
      <c r="Y706" s="106"/>
    </row>
    <row r="707">
      <c r="C707" s="79"/>
      <c r="D707" s="79"/>
      <c r="J707" s="79"/>
      <c r="O707" s="79"/>
      <c r="P707" s="79"/>
      <c r="S707" s="79"/>
      <c r="T707" s="79"/>
      <c r="W707" s="130"/>
      <c r="Y707" s="106"/>
    </row>
    <row r="708">
      <c r="C708" s="79"/>
      <c r="D708" s="79"/>
      <c r="J708" s="79"/>
      <c r="O708" s="79"/>
      <c r="P708" s="79"/>
      <c r="S708" s="79"/>
      <c r="T708" s="79"/>
      <c r="W708" s="130"/>
      <c r="Y708" s="106"/>
    </row>
    <row r="709">
      <c r="C709" s="79"/>
      <c r="D709" s="79"/>
      <c r="J709" s="79"/>
      <c r="O709" s="79"/>
      <c r="P709" s="79"/>
      <c r="S709" s="79"/>
      <c r="T709" s="79"/>
      <c r="W709" s="130"/>
      <c r="Y709" s="106"/>
    </row>
    <row r="710">
      <c r="C710" s="79"/>
      <c r="D710" s="79"/>
      <c r="J710" s="79"/>
      <c r="O710" s="79"/>
      <c r="P710" s="79"/>
      <c r="S710" s="79"/>
      <c r="T710" s="79"/>
      <c r="W710" s="130"/>
      <c r="Y710" s="106"/>
    </row>
    <row r="711">
      <c r="C711" s="79"/>
      <c r="D711" s="79"/>
      <c r="J711" s="79"/>
      <c r="O711" s="79"/>
      <c r="P711" s="79"/>
      <c r="S711" s="79"/>
      <c r="T711" s="79"/>
      <c r="W711" s="130"/>
      <c r="Y711" s="106"/>
    </row>
    <row r="712">
      <c r="C712" s="79"/>
      <c r="D712" s="79"/>
      <c r="J712" s="79"/>
      <c r="O712" s="79"/>
      <c r="P712" s="79"/>
      <c r="S712" s="79"/>
      <c r="T712" s="79"/>
      <c r="W712" s="130"/>
      <c r="Y712" s="106"/>
    </row>
    <row r="713">
      <c r="C713" s="79"/>
      <c r="D713" s="79"/>
      <c r="J713" s="79"/>
      <c r="O713" s="79"/>
      <c r="P713" s="79"/>
      <c r="S713" s="79"/>
      <c r="T713" s="79"/>
      <c r="W713" s="130"/>
      <c r="Y713" s="106"/>
    </row>
    <row r="714">
      <c r="C714" s="79"/>
      <c r="D714" s="79"/>
      <c r="J714" s="79"/>
      <c r="O714" s="79"/>
      <c r="P714" s="79"/>
      <c r="S714" s="79"/>
      <c r="T714" s="79"/>
      <c r="W714" s="130"/>
      <c r="Y714" s="106"/>
    </row>
    <row r="715">
      <c r="C715" s="79"/>
      <c r="D715" s="79"/>
      <c r="J715" s="79"/>
      <c r="O715" s="79"/>
      <c r="P715" s="79"/>
      <c r="S715" s="79"/>
      <c r="T715" s="79"/>
      <c r="W715" s="130"/>
      <c r="Y715" s="106"/>
    </row>
    <row r="716">
      <c r="C716" s="79"/>
      <c r="D716" s="79"/>
      <c r="J716" s="79"/>
      <c r="O716" s="79"/>
      <c r="P716" s="79"/>
      <c r="S716" s="79"/>
      <c r="T716" s="79"/>
      <c r="W716" s="130"/>
      <c r="Y716" s="106"/>
    </row>
    <row r="717">
      <c r="C717" s="79"/>
      <c r="D717" s="79"/>
      <c r="J717" s="79"/>
      <c r="O717" s="79"/>
      <c r="P717" s="79"/>
      <c r="S717" s="79"/>
      <c r="T717" s="79"/>
      <c r="W717" s="130"/>
      <c r="Y717" s="106"/>
    </row>
    <row r="718">
      <c r="C718" s="79"/>
      <c r="D718" s="79"/>
      <c r="J718" s="79"/>
      <c r="O718" s="79"/>
      <c r="P718" s="79"/>
      <c r="S718" s="79"/>
      <c r="T718" s="79"/>
      <c r="W718" s="130"/>
      <c r="Y718" s="106"/>
    </row>
    <row r="719">
      <c r="C719" s="79"/>
      <c r="D719" s="79"/>
      <c r="J719" s="79"/>
      <c r="O719" s="79"/>
      <c r="P719" s="79"/>
      <c r="S719" s="79"/>
      <c r="T719" s="79"/>
      <c r="W719" s="130"/>
      <c r="Y719" s="106"/>
    </row>
    <row r="720">
      <c r="C720" s="79"/>
      <c r="D720" s="79"/>
      <c r="J720" s="79"/>
      <c r="O720" s="79"/>
      <c r="P720" s="79"/>
      <c r="S720" s="79"/>
      <c r="T720" s="79"/>
      <c r="W720" s="130"/>
      <c r="Y720" s="106"/>
    </row>
    <row r="721">
      <c r="C721" s="79"/>
      <c r="D721" s="79"/>
      <c r="J721" s="79"/>
      <c r="O721" s="79"/>
      <c r="P721" s="79"/>
      <c r="S721" s="79"/>
      <c r="T721" s="79"/>
      <c r="W721" s="130"/>
      <c r="Y721" s="106"/>
    </row>
    <row r="722">
      <c r="C722" s="79"/>
      <c r="D722" s="79"/>
      <c r="J722" s="79"/>
      <c r="O722" s="79"/>
      <c r="P722" s="79"/>
      <c r="S722" s="79"/>
      <c r="T722" s="79"/>
      <c r="W722" s="130"/>
      <c r="Y722" s="106"/>
    </row>
    <row r="723">
      <c r="C723" s="79"/>
      <c r="D723" s="79"/>
      <c r="J723" s="79"/>
      <c r="O723" s="79"/>
      <c r="P723" s="79"/>
      <c r="S723" s="79"/>
      <c r="T723" s="79"/>
      <c r="W723" s="130"/>
      <c r="Y723" s="106"/>
    </row>
    <row r="724">
      <c r="C724" s="79"/>
      <c r="D724" s="79"/>
      <c r="J724" s="79"/>
      <c r="O724" s="79"/>
      <c r="P724" s="79"/>
      <c r="S724" s="79"/>
      <c r="T724" s="79"/>
      <c r="W724" s="130"/>
      <c r="Y724" s="106"/>
    </row>
    <row r="725">
      <c r="C725" s="79"/>
      <c r="D725" s="79"/>
      <c r="J725" s="79"/>
      <c r="O725" s="79"/>
      <c r="P725" s="79"/>
      <c r="S725" s="79"/>
      <c r="T725" s="79"/>
      <c r="W725" s="130"/>
      <c r="Y725" s="106"/>
    </row>
    <row r="726">
      <c r="C726" s="79"/>
      <c r="D726" s="79"/>
      <c r="J726" s="79"/>
      <c r="O726" s="79"/>
      <c r="P726" s="79"/>
      <c r="S726" s="79"/>
      <c r="T726" s="79"/>
      <c r="W726" s="130"/>
      <c r="Y726" s="106"/>
    </row>
    <row r="727">
      <c r="C727" s="79"/>
      <c r="D727" s="79"/>
      <c r="J727" s="79"/>
      <c r="O727" s="79"/>
      <c r="P727" s="79"/>
      <c r="S727" s="79"/>
      <c r="T727" s="79"/>
      <c r="W727" s="130"/>
      <c r="Y727" s="106"/>
    </row>
    <row r="728">
      <c r="C728" s="79"/>
      <c r="D728" s="79"/>
      <c r="J728" s="79"/>
      <c r="O728" s="79"/>
      <c r="P728" s="79"/>
      <c r="S728" s="79"/>
      <c r="T728" s="79"/>
      <c r="W728" s="130"/>
      <c r="Y728" s="106"/>
    </row>
    <row r="729">
      <c r="C729" s="79"/>
      <c r="D729" s="79"/>
      <c r="J729" s="79"/>
      <c r="O729" s="79"/>
      <c r="P729" s="79"/>
      <c r="S729" s="79"/>
      <c r="T729" s="79"/>
      <c r="W729" s="130"/>
      <c r="Y729" s="106"/>
    </row>
    <row r="730">
      <c r="C730" s="79"/>
      <c r="D730" s="79"/>
      <c r="J730" s="79"/>
      <c r="O730" s="79"/>
      <c r="P730" s="79"/>
      <c r="S730" s="79"/>
      <c r="T730" s="79"/>
      <c r="W730" s="130"/>
      <c r="Y730" s="106"/>
    </row>
    <row r="731">
      <c r="C731" s="79"/>
      <c r="D731" s="79"/>
      <c r="J731" s="79"/>
      <c r="O731" s="79"/>
      <c r="P731" s="79"/>
      <c r="S731" s="79"/>
      <c r="T731" s="79"/>
      <c r="W731" s="130"/>
      <c r="Y731" s="106"/>
    </row>
    <row r="732">
      <c r="C732" s="79"/>
      <c r="D732" s="79"/>
      <c r="J732" s="79"/>
      <c r="O732" s="79"/>
      <c r="P732" s="79"/>
      <c r="S732" s="79"/>
      <c r="T732" s="79"/>
      <c r="W732" s="130"/>
      <c r="Y732" s="106"/>
    </row>
    <row r="733">
      <c r="C733" s="79"/>
      <c r="D733" s="79"/>
      <c r="J733" s="79"/>
      <c r="O733" s="79"/>
      <c r="P733" s="79"/>
      <c r="S733" s="79"/>
      <c r="T733" s="79"/>
      <c r="W733" s="130"/>
      <c r="Y733" s="106"/>
    </row>
    <row r="734">
      <c r="C734" s="79"/>
      <c r="D734" s="79"/>
      <c r="J734" s="79"/>
      <c r="O734" s="79"/>
      <c r="P734" s="79"/>
      <c r="S734" s="79"/>
      <c r="T734" s="79"/>
      <c r="W734" s="130"/>
      <c r="Y734" s="106"/>
    </row>
    <row r="735">
      <c r="C735" s="79"/>
      <c r="D735" s="79"/>
      <c r="J735" s="79"/>
      <c r="O735" s="79"/>
      <c r="P735" s="79"/>
      <c r="S735" s="79"/>
      <c r="T735" s="79"/>
      <c r="W735" s="130"/>
      <c r="Y735" s="106"/>
    </row>
    <row r="736">
      <c r="C736" s="79"/>
      <c r="D736" s="79"/>
      <c r="J736" s="79"/>
      <c r="O736" s="79"/>
      <c r="P736" s="79"/>
      <c r="S736" s="79"/>
      <c r="T736" s="79"/>
      <c r="W736" s="130"/>
      <c r="Y736" s="106"/>
    </row>
    <row r="737">
      <c r="C737" s="79"/>
      <c r="D737" s="79"/>
      <c r="J737" s="79"/>
      <c r="O737" s="79"/>
      <c r="P737" s="79"/>
      <c r="S737" s="79"/>
      <c r="T737" s="79"/>
      <c r="W737" s="130"/>
      <c r="Y737" s="106"/>
    </row>
    <row r="738">
      <c r="C738" s="79"/>
      <c r="D738" s="79"/>
      <c r="J738" s="79"/>
      <c r="O738" s="79"/>
      <c r="P738" s="79"/>
      <c r="S738" s="79"/>
      <c r="T738" s="79"/>
      <c r="W738" s="130"/>
      <c r="Y738" s="106"/>
    </row>
    <row r="739">
      <c r="C739" s="79"/>
      <c r="D739" s="79"/>
      <c r="J739" s="79"/>
      <c r="O739" s="79"/>
      <c r="P739" s="79"/>
      <c r="S739" s="79"/>
      <c r="T739" s="79"/>
      <c r="W739" s="130"/>
      <c r="Y739" s="106"/>
    </row>
    <row r="740">
      <c r="C740" s="79"/>
      <c r="D740" s="79"/>
      <c r="J740" s="79"/>
      <c r="O740" s="79"/>
      <c r="P740" s="79"/>
      <c r="S740" s="79"/>
      <c r="T740" s="79"/>
      <c r="W740" s="130"/>
      <c r="Y740" s="106"/>
    </row>
    <row r="741">
      <c r="C741" s="79"/>
      <c r="D741" s="79"/>
      <c r="J741" s="79"/>
      <c r="O741" s="79"/>
      <c r="P741" s="79"/>
      <c r="S741" s="79"/>
      <c r="T741" s="79"/>
      <c r="W741" s="130"/>
      <c r="Y741" s="106"/>
    </row>
    <row r="742">
      <c r="C742" s="79"/>
      <c r="D742" s="79"/>
      <c r="J742" s="79"/>
      <c r="O742" s="79"/>
      <c r="P742" s="79"/>
      <c r="S742" s="79"/>
      <c r="T742" s="79"/>
      <c r="W742" s="130"/>
      <c r="Y742" s="106"/>
    </row>
    <row r="743">
      <c r="C743" s="79"/>
      <c r="D743" s="79"/>
      <c r="J743" s="79"/>
      <c r="O743" s="79"/>
      <c r="P743" s="79"/>
      <c r="S743" s="79"/>
      <c r="T743" s="79"/>
      <c r="W743" s="130"/>
      <c r="Y743" s="106"/>
    </row>
    <row r="744">
      <c r="C744" s="79"/>
      <c r="D744" s="79"/>
      <c r="J744" s="79"/>
      <c r="O744" s="79"/>
      <c r="P744" s="79"/>
      <c r="S744" s="79"/>
      <c r="T744" s="79"/>
      <c r="W744" s="130"/>
      <c r="Y744" s="106"/>
    </row>
    <row r="745">
      <c r="C745" s="79"/>
      <c r="D745" s="79"/>
      <c r="J745" s="79"/>
      <c r="O745" s="79"/>
      <c r="P745" s="79"/>
      <c r="S745" s="79"/>
      <c r="T745" s="79"/>
      <c r="W745" s="130"/>
      <c r="Y745" s="106"/>
    </row>
    <row r="746">
      <c r="C746" s="79"/>
      <c r="D746" s="79"/>
      <c r="J746" s="79"/>
      <c r="O746" s="79"/>
      <c r="P746" s="79"/>
      <c r="S746" s="79"/>
      <c r="T746" s="79"/>
      <c r="W746" s="130"/>
      <c r="Y746" s="106"/>
    </row>
    <row r="747">
      <c r="C747" s="79"/>
      <c r="D747" s="79"/>
      <c r="J747" s="79"/>
      <c r="O747" s="79"/>
      <c r="P747" s="79"/>
      <c r="S747" s="79"/>
      <c r="T747" s="79"/>
      <c r="W747" s="130"/>
      <c r="Y747" s="106"/>
    </row>
    <row r="748">
      <c r="C748" s="79"/>
      <c r="D748" s="79"/>
      <c r="J748" s="79"/>
      <c r="O748" s="79"/>
      <c r="P748" s="79"/>
      <c r="S748" s="79"/>
      <c r="T748" s="79"/>
      <c r="W748" s="130"/>
      <c r="Y748" s="106"/>
    </row>
    <row r="749">
      <c r="C749" s="79"/>
      <c r="D749" s="79"/>
      <c r="J749" s="79"/>
      <c r="O749" s="79"/>
      <c r="P749" s="79"/>
      <c r="S749" s="79"/>
      <c r="T749" s="79"/>
      <c r="W749" s="130"/>
      <c r="Y749" s="106"/>
    </row>
    <row r="750">
      <c r="C750" s="79"/>
      <c r="D750" s="79"/>
      <c r="J750" s="79"/>
      <c r="O750" s="79"/>
      <c r="P750" s="79"/>
      <c r="S750" s="79"/>
      <c r="T750" s="79"/>
      <c r="W750" s="130"/>
      <c r="Y750" s="106"/>
    </row>
    <row r="751">
      <c r="C751" s="79"/>
      <c r="D751" s="79"/>
      <c r="J751" s="79"/>
      <c r="O751" s="79"/>
      <c r="P751" s="79"/>
      <c r="S751" s="79"/>
      <c r="T751" s="79"/>
      <c r="W751" s="130"/>
      <c r="Y751" s="106"/>
    </row>
    <row r="752">
      <c r="C752" s="79"/>
      <c r="D752" s="79"/>
      <c r="J752" s="79"/>
      <c r="O752" s="79"/>
      <c r="P752" s="79"/>
      <c r="S752" s="79"/>
      <c r="T752" s="79"/>
      <c r="W752" s="130"/>
      <c r="Y752" s="106"/>
    </row>
    <row r="753">
      <c r="C753" s="79"/>
      <c r="D753" s="79"/>
      <c r="J753" s="79"/>
      <c r="O753" s="79"/>
      <c r="P753" s="79"/>
      <c r="S753" s="79"/>
      <c r="T753" s="79"/>
      <c r="W753" s="130"/>
      <c r="Y753" s="106"/>
    </row>
    <row r="754">
      <c r="C754" s="79"/>
      <c r="D754" s="79"/>
      <c r="J754" s="79"/>
      <c r="O754" s="79"/>
      <c r="P754" s="79"/>
      <c r="S754" s="79"/>
      <c r="T754" s="79"/>
      <c r="W754" s="130"/>
      <c r="Y754" s="106"/>
    </row>
    <row r="755">
      <c r="C755" s="79"/>
      <c r="D755" s="79"/>
      <c r="J755" s="79"/>
      <c r="O755" s="79"/>
      <c r="P755" s="79"/>
      <c r="S755" s="79"/>
      <c r="T755" s="79"/>
      <c r="W755" s="130"/>
      <c r="Y755" s="106"/>
    </row>
    <row r="756">
      <c r="C756" s="79"/>
      <c r="D756" s="79"/>
      <c r="J756" s="79"/>
      <c r="O756" s="79"/>
      <c r="P756" s="79"/>
      <c r="S756" s="79"/>
      <c r="T756" s="79"/>
      <c r="W756" s="130"/>
      <c r="Y756" s="106"/>
    </row>
    <row r="757">
      <c r="C757" s="79"/>
      <c r="D757" s="79"/>
      <c r="J757" s="79"/>
      <c r="O757" s="79"/>
      <c r="P757" s="79"/>
      <c r="S757" s="79"/>
      <c r="T757" s="79"/>
      <c r="W757" s="130"/>
      <c r="Y757" s="106"/>
    </row>
    <row r="758">
      <c r="C758" s="79"/>
      <c r="D758" s="79"/>
      <c r="J758" s="79"/>
      <c r="O758" s="79"/>
      <c r="P758" s="79"/>
      <c r="S758" s="79"/>
      <c r="T758" s="79"/>
      <c r="W758" s="130"/>
      <c r="Y758" s="106"/>
    </row>
    <row r="759">
      <c r="C759" s="79"/>
      <c r="D759" s="79"/>
      <c r="J759" s="79"/>
      <c r="O759" s="79"/>
      <c r="P759" s="79"/>
      <c r="S759" s="79"/>
      <c r="T759" s="79"/>
      <c r="W759" s="130"/>
      <c r="Y759" s="106"/>
    </row>
    <row r="760">
      <c r="C760" s="79"/>
      <c r="D760" s="79"/>
      <c r="J760" s="79"/>
      <c r="O760" s="79"/>
      <c r="P760" s="79"/>
      <c r="S760" s="79"/>
      <c r="T760" s="79"/>
      <c r="W760" s="130"/>
      <c r="Y760" s="106"/>
    </row>
    <row r="761">
      <c r="C761" s="79"/>
      <c r="D761" s="79"/>
      <c r="J761" s="79"/>
      <c r="O761" s="79"/>
      <c r="P761" s="79"/>
      <c r="S761" s="79"/>
      <c r="T761" s="79"/>
      <c r="W761" s="130"/>
      <c r="Y761" s="106"/>
    </row>
    <row r="762">
      <c r="C762" s="79"/>
      <c r="D762" s="79"/>
      <c r="J762" s="79"/>
      <c r="O762" s="79"/>
      <c r="P762" s="79"/>
      <c r="S762" s="79"/>
      <c r="T762" s="79"/>
      <c r="W762" s="130"/>
      <c r="Y762" s="106"/>
    </row>
    <row r="763">
      <c r="C763" s="79"/>
      <c r="D763" s="79"/>
      <c r="J763" s="79"/>
      <c r="O763" s="79"/>
      <c r="P763" s="79"/>
      <c r="S763" s="79"/>
      <c r="T763" s="79"/>
      <c r="W763" s="130"/>
      <c r="Y763" s="106"/>
    </row>
    <row r="764">
      <c r="C764" s="79"/>
      <c r="D764" s="79"/>
      <c r="J764" s="79"/>
      <c r="O764" s="79"/>
      <c r="P764" s="79"/>
      <c r="S764" s="79"/>
      <c r="T764" s="79"/>
      <c r="W764" s="130"/>
      <c r="Y764" s="106"/>
    </row>
    <row r="765">
      <c r="C765" s="79"/>
      <c r="D765" s="79"/>
      <c r="J765" s="79"/>
      <c r="O765" s="79"/>
      <c r="P765" s="79"/>
      <c r="S765" s="79"/>
      <c r="T765" s="79"/>
      <c r="W765" s="130"/>
      <c r="Y765" s="106"/>
    </row>
    <row r="766">
      <c r="C766" s="79"/>
      <c r="D766" s="79"/>
      <c r="J766" s="79"/>
      <c r="O766" s="79"/>
      <c r="P766" s="79"/>
      <c r="S766" s="79"/>
      <c r="T766" s="79"/>
      <c r="W766" s="130"/>
      <c r="Y766" s="106"/>
    </row>
    <row r="767">
      <c r="C767" s="79"/>
      <c r="D767" s="79"/>
      <c r="J767" s="79"/>
      <c r="O767" s="79"/>
      <c r="P767" s="79"/>
      <c r="S767" s="79"/>
      <c r="T767" s="79"/>
      <c r="W767" s="130"/>
      <c r="Y767" s="106"/>
    </row>
    <row r="768">
      <c r="C768" s="79"/>
      <c r="D768" s="79"/>
      <c r="J768" s="79"/>
      <c r="O768" s="79"/>
      <c r="P768" s="79"/>
      <c r="S768" s="79"/>
      <c r="T768" s="79"/>
      <c r="W768" s="130"/>
      <c r="Y768" s="106"/>
    </row>
    <row r="769">
      <c r="C769" s="79"/>
      <c r="D769" s="79"/>
      <c r="J769" s="79"/>
      <c r="O769" s="79"/>
      <c r="P769" s="79"/>
      <c r="S769" s="79"/>
      <c r="T769" s="79"/>
      <c r="W769" s="130"/>
      <c r="Y769" s="106"/>
    </row>
    <row r="770">
      <c r="C770" s="79"/>
      <c r="D770" s="79"/>
      <c r="J770" s="79"/>
      <c r="O770" s="79"/>
      <c r="P770" s="79"/>
      <c r="S770" s="79"/>
      <c r="T770" s="79"/>
      <c r="W770" s="130"/>
      <c r="Y770" s="106"/>
    </row>
    <row r="771">
      <c r="C771" s="79"/>
      <c r="D771" s="79"/>
      <c r="J771" s="79"/>
      <c r="O771" s="79"/>
      <c r="P771" s="79"/>
      <c r="S771" s="79"/>
      <c r="T771" s="79"/>
      <c r="W771" s="130"/>
      <c r="Y771" s="106"/>
    </row>
    <row r="772">
      <c r="C772" s="79"/>
      <c r="D772" s="79"/>
      <c r="J772" s="79"/>
      <c r="O772" s="79"/>
      <c r="P772" s="79"/>
      <c r="S772" s="79"/>
      <c r="T772" s="79"/>
      <c r="W772" s="130"/>
      <c r="Y772" s="106"/>
    </row>
    <row r="773">
      <c r="C773" s="79"/>
      <c r="D773" s="79"/>
      <c r="J773" s="79"/>
      <c r="O773" s="79"/>
      <c r="P773" s="79"/>
      <c r="S773" s="79"/>
      <c r="T773" s="79"/>
      <c r="W773" s="130"/>
      <c r="Y773" s="106"/>
    </row>
    <row r="774">
      <c r="C774" s="79"/>
      <c r="D774" s="79"/>
      <c r="J774" s="79"/>
      <c r="O774" s="79"/>
      <c r="P774" s="79"/>
      <c r="S774" s="79"/>
      <c r="T774" s="79"/>
      <c r="W774" s="130"/>
      <c r="Y774" s="106"/>
    </row>
    <row r="775">
      <c r="C775" s="79"/>
      <c r="D775" s="79"/>
      <c r="J775" s="79"/>
      <c r="O775" s="79"/>
      <c r="P775" s="79"/>
      <c r="S775" s="79"/>
      <c r="T775" s="79"/>
      <c r="W775" s="130"/>
      <c r="Y775" s="106"/>
    </row>
    <row r="776">
      <c r="C776" s="79"/>
      <c r="D776" s="79"/>
      <c r="J776" s="79"/>
      <c r="O776" s="79"/>
      <c r="P776" s="79"/>
      <c r="S776" s="79"/>
      <c r="T776" s="79"/>
      <c r="W776" s="130"/>
      <c r="Y776" s="106"/>
    </row>
    <row r="777">
      <c r="C777" s="79"/>
      <c r="D777" s="79"/>
      <c r="J777" s="79"/>
      <c r="O777" s="79"/>
      <c r="P777" s="79"/>
      <c r="S777" s="79"/>
      <c r="T777" s="79"/>
      <c r="W777" s="130"/>
      <c r="Y777" s="106"/>
    </row>
    <row r="778">
      <c r="C778" s="79"/>
      <c r="D778" s="79"/>
      <c r="J778" s="79"/>
      <c r="O778" s="79"/>
      <c r="P778" s="79"/>
      <c r="S778" s="79"/>
      <c r="T778" s="79"/>
      <c r="W778" s="130"/>
      <c r="Y778" s="106"/>
    </row>
    <row r="779">
      <c r="C779" s="79"/>
      <c r="D779" s="79"/>
      <c r="J779" s="79"/>
      <c r="O779" s="79"/>
      <c r="P779" s="79"/>
      <c r="S779" s="79"/>
      <c r="T779" s="79"/>
      <c r="W779" s="130"/>
      <c r="Y779" s="106"/>
    </row>
    <row r="780">
      <c r="C780" s="79"/>
      <c r="D780" s="79"/>
      <c r="J780" s="79"/>
      <c r="O780" s="79"/>
      <c r="P780" s="79"/>
      <c r="S780" s="79"/>
      <c r="T780" s="79"/>
      <c r="W780" s="130"/>
      <c r="Y780" s="106"/>
    </row>
    <row r="781">
      <c r="C781" s="79"/>
      <c r="D781" s="79"/>
      <c r="J781" s="79"/>
      <c r="O781" s="79"/>
      <c r="P781" s="79"/>
      <c r="S781" s="79"/>
      <c r="T781" s="79"/>
      <c r="W781" s="130"/>
      <c r="Y781" s="106"/>
    </row>
    <row r="782">
      <c r="C782" s="79"/>
      <c r="D782" s="79"/>
      <c r="J782" s="79"/>
      <c r="O782" s="79"/>
      <c r="P782" s="79"/>
      <c r="S782" s="79"/>
      <c r="T782" s="79"/>
      <c r="W782" s="130"/>
      <c r="Y782" s="106"/>
    </row>
    <row r="783">
      <c r="C783" s="79"/>
      <c r="D783" s="79"/>
      <c r="J783" s="79"/>
      <c r="O783" s="79"/>
      <c r="P783" s="79"/>
      <c r="S783" s="79"/>
      <c r="T783" s="79"/>
      <c r="W783" s="130"/>
      <c r="Y783" s="106"/>
    </row>
    <row r="784">
      <c r="C784" s="79"/>
      <c r="D784" s="79"/>
      <c r="J784" s="79"/>
      <c r="O784" s="79"/>
      <c r="P784" s="79"/>
      <c r="S784" s="79"/>
      <c r="T784" s="79"/>
      <c r="W784" s="130"/>
      <c r="Y784" s="106"/>
    </row>
    <row r="785">
      <c r="C785" s="79"/>
      <c r="D785" s="79"/>
      <c r="J785" s="79"/>
      <c r="O785" s="79"/>
      <c r="P785" s="79"/>
      <c r="S785" s="79"/>
      <c r="T785" s="79"/>
      <c r="W785" s="130"/>
      <c r="Y785" s="106"/>
    </row>
    <row r="786">
      <c r="C786" s="79"/>
      <c r="D786" s="79"/>
      <c r="J786" s="79"/>
      <c r="O786" s="79"/>
      <c r="P786" s="79"/>
      <c r="S786" s="79"/>
      <c r="T786" s="79"/>
      <c r="W786" s="130"/>
      <c r="Y786" s="106"/>
    </row>
    <row r="787">
      <c r="C787" s="79"/>
      <c r="D787" s="79"/>
      <c r="J787" s="79"/>
      <c r="O787" s="79"/>
      <c r="P787" s="79"/>
      <c r="S787" s="79"/>
      <c r="T787" s="79"/>
      <c r="W787" s="130"/>
      <c r="Y787" s="106"/>
    </row>
    <row r="788">
      <c r="C788" s="79"/>
      <c r="D788" s="79"/>
      <c r="J788" s="79"/>
      <c r="O788" s="79"/>
      <c r="P788" s="79"/>
      <c r="S788" s="79"/>
      <c r="T788" s="79"/>
      <c r="W788" s="130"/>
      <c r="Y788" s="106"/>
    </row>
    <row r="789">
      <c r="C789" s="79"/>
      <c r="D789" s="79"/>
      <c r="J789" s="79"/>
      <c r="O789" s="79"/>
      <c r="P789" s="79"/>
      <c r="S789" s="79"/>
      <c r="T789" s="79"/>
      <c r="W789" s="130"/>
      <c r="Y789" s="106"/>
    </row>
    <row r="790">
      <c r="C790" s="79"/>
      <c r="D790" s="79"/>
      <c r="J790" s="79"/>
      <c r="O790" s="79"/>
      <c r="P790" s="79"/>
      <c r="S790" s="79"/>
      <c r="T790" s="79"/>
      <c r="W790" s="130"/>
      <c r="Y790" s="106"/>
    </row>
    <row r="791">
      <c r="C791" s="79"/>
      <c r="D791" s="79"/>
      <c r="J791" s="79"/>
      <c r="O791" s="79"/>
      <c r="P791" s="79"/>
      <c r="S791" s="79"/>
      <c r="T791" s="79"/>
      <c r="W791" s="130"/>
      <c r="Y791" s="106"/>
    </row>
    <row r="792">
      <c r="C792" s="79"/>
      <c r="D792" s="79"/>
      <c r="J792" s="79"/>
      <c r="O792" s="79"/>
      <c r="P792" s="79"/>
      <c r="S792" s="79"/>
      <c r="T792" s="79"/>
      <c r="W792" s="130"/>
      <c r="Y792" s="106"/>
    </row>
    <row r="793">
      <c r="C793" s="79"/>
      <c r="D793" s="79"/>
      <c r="J793" s="79"/>
      <c r="O793" s="79"/>
      <c r="P793" s="79"/>
      <c r="S793" s="79"/>
      <c r="T793" s="79"/>
      <c r="W793" s="130"/>
      <c r="Y793" s="106"/>
    </row>
    <row r="794">
      <c r="C794" s="79"/>
      <c r="D794" s="79"/>
      <c r="J794" s="79"/>
      <c r="O794" s="79"/>
      <c r="P794" s="79"/>
      <c r="S794" s="79"/>
      <c r="T794" s="79"/>
      <c r="W794" s="130"/>
      <c r="Y794" s="106"/>
    </row>
    <row r="795">
      <c r="C795" s="79"/>
      <c r="D795" s="79"/>
      <c r="J795" s="79"/>
      <c r="O795" s="79"/>
      <c r="P795" s="79"/>
      <c r="S795" s="79"/>
      <c r="T795" s="79"/>
      <c r="W795" s="130"/>
      <c r="Y795" s="106"/>
    </row>
    <row r="796">
      <c r="C796" s="79"/>
      <c r="D796" s="79"/>
      <c r="J796" s="79"/>
      <c r="O796" s="79"/>
      <c r="P796" s="79"/>
      <c r="S796" s="79"/>
      <c r="T796" s="79"/>
      <c r="W796" s="130"/>
      <c r="Y796" s="106"/>
    </row>
    <row r="797">
      <c r="C797" s="79"/>
      <c r="D797" s="79"/>
      <c r="J797" s="79"/>
      <c r="O797" s="79"/>
      <c r="P797" s="79"/>
      <c r="S797" s="79"/>
      <c r="T797" s="79"/>
      <c r="W797" s="130"/>
      <c r="Y797" s="106"/>
    </row>
    <row r="798">
      <c r="C798" s="79"/>
      <c r="D798" s="79"/>
      <c r="J798" s="79"/>
      <c r="O798" s="79"/>
      <c r="P798" s="79"/>
      <c r="S798" s="79"/>
      <c r="T798" s="79"/>
      <c r="W798" s="130"/>
      <c r="Y798" s="106"/>
    </row>
    <row r="799">
      <c r="C799" s="79"/>
      <c r="D799" s="79"/>
      <c r="J799" s="79"/>
      <c r="O799" s="79"/>
      <c r="P799" s="79"/>
      <c r="S799" s="79"/>
      <c r="T799" s="79"/>
      <c r="W799" s="130"/>
      <c r="Y799" s="106"/>
    </row>
    <row r="800">
      <c r="C800" s="79"/>
      <c r="D800" s="79"/>
      <c r="J800" s="79"/>
      <c r="O800" s="79"/>
      <c r="P800" s="79"/>
      <c r="S800" s="79"/>
      <c r="T800" s="79"/>
      <c r="W800" s="130"/>
      <c r="Y800" s="106"/>
    </row>
    <row r="801">
      <c r="C801" s="79"/>
      <c r="D801" s="79"/>
      <c r="J801" s="79"/>
      <c r="O801" s="79"/>
      <c r="P801" s="79"/>
      <c r="S801" s="79"/>
      <c r="T801" s="79"/>
      <c r="W801" s="130"/>
      <c r="Y801" s="106"/>
    </row>
    <row r="802">
      <c r="C802" s="79"/>
      <c r="D802" s="79"/>
      <c r="J802" s="79"/>
      <c r="O802" s="79"/>
      <c r="P802" s="79"/>
      <c r="S802" s="79"/>
      <c r="T802" s="79"/>
      <c r="W802" s="130"/>
      <c r="Y802" s="106"/>
    </row>
    <row r="803">
      <c r="C803" s="79"/>
      <c r="D803" s="79"/>
      <c r="J803" s="79"/>
      <c r="O803" s="79"/>
      <c r="P803" s="79"/>
      <c r="S803" s="79"/>
      <c r="T803" s="79"/>
      <c r="W803" s="130"/>
      <c r="Y803" s="106"/>
    </row>
    <row r="804">
      <c r="C804" s="79"/>
      <c r="D804" s="79"/>
      <c r="J804" s="79"/>
      <c r="O804" s="79"/>
      <c r="P804" s="79"/>
      <c r="S804" s="79"/>
      <c r="T804" s="79"/>
      <c r="W804" s="130"/>
      <c r="Y804" s="106"/>
    </row>
    <row r="805">
      <c r="C805" s="79"/>
      <c r="D805" s="79"/>
      <c r="J805" s="79"/>
      <c r="O805" s="79"/>
      <c r="P805" s="79"/>
      <c r="S805" s="79"/>
      <c r="T805" s="79"/>
      <c r="W805" s="130"/>
      <c r="Y805" s="106"/>
    </row>
    <row r="806">
      <c r="C806" s="79"/>
      <c r="D806" s="79"/>
      <c r="J806" s="79"/>
      <c r="O806" s="79"/>
      <c r="P806" s="79"/>
      <c r="S806" s="79"/>
      <c r="T806" s="79"/>
      <c r="W806" s="130"/>
      <c r="Y806" s="106"/>
    </row>
    <row r="807">
      <c r="C807" s="79"/>
      <c r="D807" s="79"/>
      <c r="J807" s="79"/>
      <c r="O807" s="79"/>
      <c r="P807" s="79"/>
      <c r="S807" s="79"/>
      <c r="T807" s="79"/>
      <c r="W807" s="130"/>
      <c r="Y807" s="106"/>
    </row>
    <row r="808">
      <c r="C808" s="79"/>
      <c r="D808" s="79"/>
      <c r="J808" s="79"/>
      <c r="O808" s="79"/>
      <c r="P808" s="79"/>
      <c r="S808" s="79"/>
      <c r="T808" s="79"/>
      <c r="W808" s="130"/>
      <c r="Y808" s="106"/>
    </row>
    <row r="809">
      <c r="C809" s="79"/>
      <c r="D809" s="79"/>
      <c r="J809" s="79"/>
      <c r="O809" s="79"/>
      <c r="P809" s="79"/>
      <c r="S809" s="79"/>
      <c r="T809" s="79"/>
      <c r="W809" s="130"/>
      <c r="Y809" s="106"/>
    </row>
    <row r="810">
      <c r="C810" s="79"/>
      <c r="D810" s="79"/>
      <c r="J810" s="79"/>
      <c r="O810" s="79"/>
      <c r="P810" s="79"/>
      <c r="S810" s="79"/>
      <c r="T810" s="79"/>
      <c r="W810" s="130"/>
      <c r="Y810" s="106"/>
    </row>
    <row r="811">
      <c r="C811" s="79"/>
      <c r="D811" s="79"/>
      <c r="J811" s="79"/>
      <c r="O811" s="79"/>
      <c r="P811" s="79"/>
      <c r="S811" s="79"/>
      <c r="T811" s="79"/>
      <c r="W811" s="130"/>
      <c r="Y811" s="106"/>
    </row>
    <row r="812">
      <c r="C812" s="79"/>
      <c r="D812" s="79"/>
      <c r="J812" s="79"/>
      <c r="O812" s="79"/>
      <c r="P812" s="79"/>
      <c r="S812" s="79"/>
      <c r="T812" s="79"/>
      <c r="W812" s="130"/>
      <c r="Y812" s="106"/>
    </row>
    <row r="813">
      <c r="C813" s="79"/>
      <c r="D813" s="79"/>
      <c r="J813" s="79"/>
      <c r="O813" s="79"/>
      <c r="P813" s="79"/>
      <c r="S813" s="79"/>
      <c r="T813" s="79"/>
      <c r="W813" s="130"/>
      <c r="Y813" s="106"/>
    </row>
    <row r="814">
      <c r="C814" s="79"/>
      <c r="D814" s="79"/>
      <c r="J814" s="79"/>
      <c r="O814" s="79"/>
      <c r="P814" s="79"/>
      <c r="S814" s="79"/>
      <c r="T814" s="79"/>
      <c r="W814" s="130"/>
      <c r="Y814" s="106"/>
    </row>
    <row r="815">
      <c r="C815" s="79"/>
      <c r="D815" s="79"/>
      <c r="J815" s="79"/>
      <c r="O815" s="79"/>
      <c r="P815" s="79"/>
      <c r="S815" s="79"/>
      <c r="T815" s="79"/>
      <c r="W815" s="130"/>
      <c r="Y815" s="106"/>
    </row>
    <row r="816">
      <c r="C816" s="79"/>
      <c r="D816" s="79"/>
      <c r="J816" s="79"/>
      <c r="O816" s="79"/>
      <c r="P816" s="79"/>
      <c r="S816" s="79"/>
      <c r="T816" s="79"/>
      <c r="W816" s="130"/>
      <c r="Y816" s="106"/>
    </row>
    <row r="817">
      <c r="C817" s="79"/>
      <c r="D817" s="79"/>
      <c r="J817" s="79"/>
      <c r="O817" s="79"/>
      <c r="P817" s="79"/>
      <c r="S817" s="79"/>
      <c r="T817" s="79"/>
      <c r="W817" s="130"/>
      <c r="Y817" s="106"/>
    </row>
    <row r="818">
      <c r="C818" s="79"/>
      <c r="D818" s="79"/>
      <c r="J818" s="79"/>
      <c r="O818" s="79"/>
      <c r="P818" s="79"/>
      <c r="S818" s="79"/>
      <c r="T818" s="79"/>
      <c r="W818" s="130"/>
      <c r="Y818" s="106"/>
    </row>
    <row r="819">
      <c r="C819" s="79"/>
      <c r="D819" s="79"/>
      <c r="J819" s="79"/>
      <c r="O819" s="79"/>
      <c r="P819" s="79"/>
      <c r="S819" s="79"/>
      <c r="T819" s="79"/>
      <c r="W819" s="130"/>
      <c r="Y819" s="106"/>
    </row>
    <row r="820">
      <c r="C820" s="79"/>
      <c r="D820" s="79"/>
      <c r="J820" s="79"/>
      <c r="O820" s="79"/>
      <c r="P820" s="79"/>
      <c r="S820" s="79"/>
      <c r="T820" s="79"/>
      <c r="W820" s="130"/>
      <c r="Y820" s="106"/>
    </row>
    <row r="821">
      <c r="C821" s="79"/>
      <c r="D821" s="79"/>
      <c r="J821" s="79"/>
      <c r="O821" s="79"/>
      <c r="P821" s="79"/>
      <c r="S821" s="79"/>
      <c r="T821" s="79"/>
      <c r="W821" s="130"/>
      <c r="Y821" s="106"/>
    </row>
    <row r="822">
      <c r="C822" s="79"/>
      <c r="D822" s="79"/>
      <c r="J822" s="79"/>
      <c r="O822" s="79"/>
      <c r="P822" s="79"/>
      <c r="S822" s="79"/>
      <c r="T822" s="79"/>
      <c r="W822" s="130"/>
      <c r="Y822" s="106"/>
    </row>
    <row r="823">
      <c r="C823" s="79"/>
      <c r="D823" s="79"/>
      <c r="J823" s="79"/>
      <c r="O823" s="79"/>
      <c r="P823" s="79"/>
      <c r="S823" s="79"/>
      <c r="T823" s="79"/>
      <c r="W823" s="130"/>
      <c r="Y823" s="106"/>
    </row>
    <row r="824">
      <c r="C824" s="79"/>
      <c r="D824" s="79"/>
      <c r="J824" s="79"/>
      <c r="O824" s="79"/>
      <c r="P824" s="79"/>
      <c r="S824" s="79"/>
      <c r="T824" s="79"/>
      <c r="W824" s="130"/>
      <c r="Y824" s="106"/>
    </row>
    <row r="825">
      <c r="C825" s="79"/>
      <c r="D825" s="79"/>
      <c r="J825" s="79"/>
      <c r="O825" s="79"/>
      <c r="P825" s="79"/>
      <c r="S825" s="79"/>
      <c r="T825" s="79"/>
      <c r="W825" s="130"/>
      <c r="Y825" s="106"/>
    </row>
    <row r="826">
      <c r="C826" s="79"/>
      <c r="D826" s="79"/>
      <c r="J826" s="79"/>
      <c r="O826" s="79"/>
      <c r="P826" s="79"/>
      <c r="S826" s="79"/>
      <c r="T826" s="79"/>
      <c r="W826" s="130"/>
      <c r="Y826" s="106"/>
    </row>
    <row r="827">
      <c r="C827" s="79"/>
      <c r="D827" s="79"/>
      <c r="J827" s="79"/>
      <c r="O827" s="79"/>
      <c r="P827" s="79"/>
      <c r="S827" s="79"/>
      <c r="T827" s="79"/>
      <c r="W827" s="130"/>
      <c r="Y827" s="106"/>
    </row>
    <row r="828">
      <c r="C828" s="79"/>
      <c r="D828" s="79"/>
      <c r="J828" s="79"/>
      <c r="O828" s="79"/>
      <c r="P828" s="79"/>
      <c r="S828" s="79"/>
      <c r="T828" s="79"/>
      <c r="W828" s="130"/>
      <c r="Y828" s="106"/>
    </row>
    <row r="829">
      <c r="C829" s="79"/>
      <c r="D829" s="79"/>
      <c r="J829" s="79"/>
      <c r="O829" s="79"/>
      <c r="P829" s="79"/>
      <c r="S829" s="79"/>
      <c r="T829" s="79"/>
      <c r="W829" s="130"/>
      <c r="Y829" s="106"/>
    </row>
    <row r="830">
      <c r="C830" s="79"/>
      <c r="D830" s="79"/>
      <c r="J830" s="79"/>
      <c r="O830" s="79"/>
      <c r="P830" s="79"/>
      <c r="S830" s="79"/>
      <c r="T830" s="79"/>
      <c r="W830" s="130"/>
      <c r="Y830" s="106"/>
    </row>
    <row r="831">
      <c r="C831" s="79"/>
      <c r="D831" s="79"/>
      <c r="J831" s="79"/>
      <c r="O831" s="79"/>
      <c r="P831" s="79"/>
      <c r="S831" s="79"/>
      <c r="T831" s="79"/>
      <c r="W831" s="130"/>
      <c r="Y831" s="106"/>
    </row>
    <row r="832">
      <c r="C832" s="79"/>
      <c r="D832" s="79"/>
      <c r="J832" s="79"/>
      <c r="O832" s="79"/>
      <c r="P832" s="79"/>
      <c r="S832" s="79"/>
      <c r="T832" s="79"/>
      <c r="W832" s="130"/>
      <c r="Y832" s="106"/>
    </row>
    <row r="833">
      <c r="C833" s="79"/>
      <c r="D833" s="79"/>
      <c r="J833" s="79"/>
      <c r="O833" s="79"/>
      <c r="P833" s="79"/>
      <c r="S833" s="79"/>
      <c r="T833" s="79"/>
      <c r="W833" s="130"/>
      <c r="Y833" s="106"/>
    </row>
    <row r="834">
      <c r="C834" s="79"/>
      <c r="D834" s="79"/>
      <c r="J834" s="79"/>
      <c r="O834" s="79"/>
      <c r="P834" s="79"/>
      <c r="S834" s="79"/>
      <c r="T834" s="79"/>
      <c r="W834" s="130"/>
      <c r="Y834" s="106"/>
    </row>
    <row r="835">
      <c r="C835" s="79"/>
      <c r="D835" s="79"/>
      <c r="J835" s="79"/>
      <c r="O835" s="79"/>
      <c r="P835" s="79"/>
      <c r="S835" s="79"/>
      <c r="T835" s="79"/>
      <c r="W835" s="130"/>
      <c r="Y835" s="106"/>
    </row>
    <row r="836">
      <c r="C836" s="79"/>
      <c r="D836" s="79"/>
      <c r="J836" s="79"/>
      <c r="O836" s="79"/>
      <c r="P836" s="79"/>
      <c r="S836" s="79"/>
      <c r="T836" s="79"/>
      <c r="W836" s="130"/>
      <c r="Y836" s="106"/>
    </row>
    <row r="837">
      <c r="C837" s="79"/>
      <c r="D837" s="79"/>
      <c r="J837" s="79"/>
      <c r="O837" s="79"/>
      <c r="P837" s="79"/>
      <c r="S837" s="79"/>
      <c r="T837" s="79"/>
      <c r="W837" s="130"/>
      <c r="Y837" s="106"/>
    </row>
    <row r="838">
      <c r="C838" s="79"/>
      <c r="D838" s="79"/>
      <c r="J838" s="79"/>
      <c r="O838" s="79"/>
      <c r="P838" s="79"/>
      <c r="S838" s="79"/>
      <c r="T838" s="79"/>
      <c r="W838" s="130"/>
      <c r="Y838" s="106"/>
    </row>
    <row r="839">
      <c r="C839" s="79"/>
      <c r="D839" s="79"/>
      <c r="J839" s="79"/>
      <c r="O839" s="79"/>
      <c r="P839" s="79"/>
      <c r="S839" s="79"/>
      <c r="T839" s="79"/>
      <c r="W839" s="130"/>
      <c r="Y839" s="106"/>
    </row>
    <row r="840">
      <c r="C840" s="79"/>
      <c r="D840" s="79"/>
      <c r="J840" s="79"/>
      <c r="O840" s="79"/>
      <c r="P840" s="79"/>
      <c r="S840" s="79"/>
      <c r="T840" s="79"/>
      <c r="W840" s="130"/>
      <c r="Y840" s="106"/>
    </row>
    <row r="841">
      <c r="C841" s="79"/>
      <c r="D841" s="79"/>
      <c r="J841" s="79"/>
      <c r="O841" s="79"/>
      <c r="P841" s="79"/>
      <c r="S841" s="79"/>
      <c r="T841" s="79"/>
      <c r="W841" s="130"/>
      <c r="Y841" s="106"/>
    </row>
    <row r="842">
      <c r="C842" s="79"/>
      <c r="D842" s="79"/>
      <c r="J842" s="79"/>
      <c r="O842" s="79"/>
      <c r="P842" s="79"/>
      <c r="S842" s="79"/>
      <c r="T842" s="79"/>
      <c r="W842" s="130"/>
      <c r="Y842" s="106"/>
    </row>
    <row r="843">
      <c r="C843" s="79"/>
      <c r="D843" s="79"/>
      <c r="J843" s="79"/>
      <c r="O843" s="79"/>
      <c r="P843" s="79"/>
      <c r="S843" s="79"/>
      <c r="T843" s="79"/>
      <c r="W843" s="130"/>
      <c r="Y843" s="106"/>
    </row>
    <row r="844">
      <c r="C844" s="79"/>
      <c r="D844" s="79"/>
      <c r="J844" s="79"/>
      <c r="O844" s="79"/>
      <c r="P844" s="79"/>
      <c r="S844" s="79"/>
      <c r="T844" s="79"/>
      <c r="W844" s="130"/>
      <c r="Y844" s="106"/>
    </row>
    <row r="845">
      <c r="C845" s="79"/>
      <c r="D845" s="79"/>
      <c r="J845" s="79"/>
      <c r="O845" s="79"/>
      <c r="P845" s="79"/>
      <c r="S845" s="79"/>
      <c r="T845" s="79"/>
      <c r="W845" s="130"/>
      <c r="Y845" s="106"/>
    </row>
    <row r="846">
      <c r="C846" s="79"/>
      <c r="D846" s="79"/>
      <c r="J846" s="79"/>
      <c r="O846" s="79"/>
      <c r="P846" s="79"/>
      <c r="S846" s="79"/>
      <c r="T846" s="79"/>
      <c r="W846" s="130"/>
      <c r="Y846" s="106"/>
    </row>
    <row r="847">
      <c r="C847" s="79"/>
      <c r="D847" s="79"/>
      <c r="J847" s="79"/>
      <c r="O847" s="79"/>
      <c r="P847" s="79"/>
      <c r="S847" s="79"/>
      <c r="T847" s="79"/>
      <c r="W847" s="130"/>
      <c r="Y847" s="106"/>
    </row>
    <row r="848">
      <c r="C848" s="79"/>
      <c r="D848" s="79"/>
      <c r="J848" s="79"/>
      <c r="O848" s="79"/>
      <c r="P848" s="79"/>
      <c r="S848" s="79"/>
      <c r="T848" s="79"/>
      <c r="W848" s="130"/>
      <c r="Y848" s="106"/>
    </row>
    <row r="849">
      <c r="C849" s="79"/>
      <c r="D849" s="79"/>
      <c r="J849" s="79"/>
      <c r="O849" s="79"/>
      <c r="P849" s="79"/>
      <c r="S849" s="79"/>
      <c r="T849" s="79"/>
      <c r="W849" s="130"/>
      <c r="Y849" s="106"/>
    </row>
    <row r="850">
      <c r="C850" s="79"/>
      <c r="D850" s="79"/>
      <c r="J850" s="79"/>
      <c r="O850" s="79"/>
      <c r="P850" s="79"/>
      <c r="S850" s="79"/>
      <c r="T850" s="79"/>
      <c r="W850" s="130"/>
      <c r="Y850" s="106"/>
    </row>
    <row r="851">
      <c r="C851" s="79"/>
      <c r="D851" s="79"/>
      <c r="J851" s="79"/>
      <c r="O851" s="79"/>
      <c r="P851" s="79"/>
      <c r="S851" s="79"/>
      <c r="T851" s="79"/>
      <c r="W851" s="130"/>
      <c r="Y851" s="106"/>
    </row>
    <row r="852">
      <c r="C852" s="79"/>
      <c r="D852" s="79"/>
      <c r="J852" s="79"/>
      <c r="O852" s="79"/>
      <c r="P852" s="79"/>
      <c r="S852" s="79"/>
      <c r="T852" s="79"/>
      <c r="W852" s="130"/>
      <c r="Y852" s="106"/>
    </row>
    <row r="853">
      <c r="C853" s="79"/>
      <c r="D853" s="79"/>
      <c r="J853" s="79"/>
      <c r="O853" s="79"/>
      <c r="P853" s="79"/>
      <c r="S853" s="79"/>
      <c r="T853" s="79"/>
      <c r="W853" s="130"/>
      <c r="Y853" s="106"/>
    </row>
    <row r="854">
      <c r="C854" s="79"/>
      <c r="D854" s="79"/>
      <c r="J854" s="79"/>
      <c r="O854" s="79"/>
      <c r="P854" s="79"/>
      <c r="S854" s="79"/>
      <c r="T854" s="79"/>
      <c r="W854" s="130"/>
      <c r="Y854" s="106"/>
    </row>
    <row r="855">
      <c r="C855" s="79"/>
      <c r="D855" s="79"/>
      <c r="J855" s="79"/>
      <c r="O855" s="79"/>
      <c r="P855" s="79"/>
      <c r="S855" s="79"/>
      <c r="T855" s="79"/>
      <c r="W855" s="130"/>
      <c r="Y855" s="106"/>
    </row>
    <row r="856">
      <c r="C856" s="79"/>
      <c r="D856" s="79"/>
      <c r="J856" s="79"/>
      <c r="O856" s="79"/>
      <c r="P856" s="79"/>
      <c r="S856" s="79"/>
      <c r="T856" s="79"/>
      <c r="W856" s="130"/>
      <c r="Y856" s="106"/>
    </row>
    <row r="857">
      <c r="C857" s="79"/>
      <c r="D857" s="79"/>
      <c r="J857" s="79"/>
      <c r="O857" s="79"/>
      <c r="P857" s="79"/>
      <c r="S857" s="79"/>
      <c r="T857" s="79"/>
      <c r="W857" s="130"/>
      <c r="Y857" s="106"/>
    </row>
    <row r="858">
      <c r="C858" s="79"/>
      <c r="D858" s="79"/>
      <c r="J858" s="79"/>
      <c r="O858" s="79"/>
      <c r="P858" s="79"/>
      <c r="S858" s="79"/>
      <c r="T858" s="79"/>
      <c r="W858" s="130"/>
      <c r="Y858" s="106"/>
    </row>
    <row r="859">
      <c r="C859" s="79"/>
      <c r="D859" s="79"/>
      <c r="J859" s="79"/>
      <c r="O859" s="79"/>
      <c r="P859" s="79"/>
      <c r="S859" s="79"/>
      <c r="T859" s="79"/>
      <c r="W859" s="130"/>
      <c r="Y859" s="106"/>
    </row>
    <row r="860">
      <c r="C860" s="79"/>
      <c r="D860" s="79"/>
      <c r="J860" s="79"/>
      <c r="O860" s="79"/>
      <c r="P860" s="79"/>
      <c r="S860" s="79"/>
      <c r="T860" s="79"/>
      <c r="W860" s="130"/>
      <c r="Y860" s="106"/>
    </row>
    <row r="861">
      <c r="C861" s="79"/>
      <c r="D861" s="79"/>
      <c r="J861" s="79"/>
      <c r="O861" s="79"/>
      <c r="P861" s="79"/>
      <c r="S861" s="79"/>
      <c r="T861" s="79"/>
      <c r="W861" s="130"/>
      <c r="Y861" s="106"/>
    </row>
    <row r="862">
      <c r="C862" s="79"/>
      <c r="D862" s="79"/>
      <c r="J862" s="79"/>
      <c r="O862" s="79"/>
      <c r="P862" s="79"/>
      <c r="S862" s="79"/>
      <c r="T862" s="79"/>
      <c r="W862" s="130"/>
      <c r="Y862" s="106"/>
    </row>
    <row r="863">
      <c r="C863" s="79"/>
      <c r="D863" s="79"/>
      <c r="J863" s="79"/>
      <c r="O863" s="79"/>
      <c r="P863" s="79"/>
      <c r="S863" s="79"/>
      <c r="T863" s="79"/>
      <c r="W863" s="130"/>
      <c r="Y863" s="106"/>
    </row>
    <row r="864">
      <c r="C864" s="79"/>
      <c r="D864" s="79"/>
      <c r="J864" s="79"/>
      <c r="O864" s="79"/>
      <c r="P864" s="79"/>
      <c r="S864" s="79"/>
      <c r="T864" s="79"/>
      <c r="W864" s="130"/>
      <c r="Y864" s="106"/>
    </row>
    <row r="865">
      <c r="C865" s="79"/>
      <c r="D865" s="79"/>
      <c r="J865" s="79"/>
      <c r="O865" s="79"/>
      <c r="P865" s="79"/>
      <c r="S865" s="79"/>
      <c r="T865" s="79"/>
      <c r="W865" s="130"/>
      <c r="Y865" s="106"/>
    </row>
    <row r="866">
      <c r="C866" s="79"/>
      <c r="D866" s="79"/>
      <c r="J866" s="79"/>
      <c r="O866" s="79"/>
      <c r="P866" s="79"/>
      <c r="S866" s="79"/>
      <c r="T866" s="79"/>
      <c r="W866" s="130"/>
      <c r="Y866" s="106"/>
    </row>
    <row r="867">
      <c r="C867" s="79"/>
      <c r="D867" s="79"/>
      <c r="J867" s="79"/>
      <c r="O867" s="79"/>
      <c r="P867" s="79"/>
      <c r="S867" s="79"/>
      <c r="T867" s="79"/>
      <c r="W867" s="130"/>
      <c r="Y867" s="106"/>
    </row>
    <row r="868">
      <c r="C868" s="79"/>
      <c r="D868" s="79"/>
      <c r="J868" s="79"/>
      <c r="O868" s="79"/>
      <c r="P868" s="79"/>
      <c r="S868" s="79"/>
      <c r="T868" s="79"/>
      <c r="W868" s="130"/>
      <c r="Y868" s="106"/>
    </row>
    <row r="869">
      <c r="C869" s="79"/>
      <c r="D869" s="79"/>
      <c r="J869" s="79"/>
      <c r="O869" s="79"/>
      <c r="P869" s="79"/>
      <c r="S869" s="79"/>
      <c r="T869" s="79"/>
      <c r="W869" s="130"/>
      <c r="Y869" s="106"/>
    </row>
    <row r="870">
      <c r="C870" s="79"/>
      <c r="D870" s="79"/>
      <c r="J870" s="79"/>
      <c r="O870" s="79"/>
      <c r="P870" s="79"/>
      <c r="S870" s="79"/>
      <c r="T870" s="79"/>
      <c r="W870" s="130"/>
      <c r="Y870" s="106"/>
    </row>
    <row r="871">
      <c r="C871" s="79"/>
      <c r="D871" s="79"/>
      <c r="J871" s="79"/>
      <c r="O871" s="79"/>
      <c r="P871" s="79"/>
      <c r="S871" s="79"/>
      <c r="T871" s="79"/>
      <c r="W871" s="130"/>
      <c r="Y871" s="106"/>
    </row>
    <row r="872">
      <c r="C872" s="79"/>
      <c r="D872" s="79"/>
      <c r="J872" s="79"/>
      <c r="O872" s="79"/>
      <c r="P872" s="79"/>
      <c r="S872" s="79"/>
      <c r="T872" s="79"/>
      <c r="W872" s="130"/>
      <c r="Y872" s="106"/>
    </row>
    <row r="873">
      <c r="C873" s="79"/>
      <c r="D873" s="79"/>
      <c r="J873" s="79"/>
      <c r="O873" s="79"/>
      <c r="P873" s="79"/>
      <c r="S873" s="79"/>
      <c r="T873" s="79"/>
      <c r="W873" s="130"/>
      <c r="Y873" s="106"/>
    </row>
    <row r="874">
      <c r="C874" s="79"/>
      <c r="D874" s="79"/>
      <c r="J874" s="79"/>
      <c r="O874" s="79"/>
      <c r="P874" s="79"/>
      <c r="S874" s="79"/>
      <c r="T874" s="79"/>
      <c r="W874" s="130"/>
      <c r="Y874" s="106"/>
    </row>
    <row r="875">
      <c r="C875" s="79"/>
      <c r="D875" s="79"/>
      <c r="J875" s="79"/>
      <c r="O875" s="79"/>
      <c r="P875" s="79"/>
      <c r="S875" s="79"/>
      <c r="T875" s="79"/>
      <c r="W875" s="130"/>
      <c r="Y875" s="106"/>
    </row>
    <row r="876">
      <c r="C876" s="79"/>
      <c r="D876" s="79"/>
      <c r="J876" s="79"/>
      <c r="O876" s="79"/>
      <c r="P876" s="79"/>
      <c r="S876" s="79"/>
      <c r="T876" s="79"/>
      <c r="W876" s="130"/>
      <c r="Y876" s="106"/>
    </row>
    <row r="877">
      <c r="C877" s="79"/>
      <c r="D877" s="79"/>
      <c r="J877" s="79"/>
      <c r="O877" s="79"/>
      <c r="P877" s="79"/>
      <c r="S877" s="79"/>
      <c r="T877" s="79"/>
      <c r="W877" s="130"/>
      <c r="Y877" s="106"/>
    </row>
    <row r="878">
      <c r="C878" s="79"/>
      <c r="D878" s="79"/>
      <c r="J878" s="79"/>
      <c r="O878" s="79"/>
      <c r="P878" s="79"/>
      <c r="S878" s="79"/>
      <c r="T878" s="79"/>
      <c r="W878" s="130"/>
      <c r="Y878" s="106"/>
    </row>
    <row r="879">
      <c r="C879" s="79"/>
      <c r="D879" s="79"/>
      <c r="J879" s="79"/>
      <c r="O879" s="79"/>
      <c r="P879" s="79"/>
      <c r="S879" s="79"/>
      <c r="T879" s="79"/>
      <c r="W879" s="130"/>
      <c r="Y879" s="106"/>
    </row>
    <row r="880">
      <c r="C880" s="79"/>
      <c r="D880" s="79"/>
      <c r="J880" s="79"/>
      <c r="O880" s="79"/>
      <c r="P880" s="79"/>
      <c r="S880" s="79"/>
      <c r="T880" s="79"/>
      <c r="W880" s="130"/>
      <c r="Y880" s="106"/>
    </row>
    <row r="881">
      <c r="C881" s="79"/>
      <c r="D881" s="79"/>
      <c r="J881" s="79"/>
      <c r="O881" s="79"/>
      <c r="P881" s="79"/>
      <c r="S881" s="79"/>
      <c r="T881" s="79"/>
      <c r="W881" s="130"/>
      <c r="Y881" s="106"/>
    </row>
    <row r="882">
      <c r="C882" s="79"/>
      <c r="D882" s="79"/>
      <c r="J882" s="79"/>
      <c r="O882" s="79"/>
      <c r="P882" s="79"/>
      <c r="S882" s="79"/>
      <c r="T882" s="79"/>
      <c r="W882" s="130"/>
      <c r="Y882" s="106"/>
    </row>
    <row r="883">
      <c r="C883" s="79"/>
      <c r="D883" s="79"/>
      <c r="J883" s="79"/>
      <c r="O883" s="79"/>
      <c r="P883" s="79"/>
      <c r="S883" s="79"/>
      <c r="T883" s="79"/>
      <c r="W883" s="130"/>
      <c r="Y883" s="106"/>
    </row>
    <row r="884">
      <c r="C884" s="79"/>
      <c r="D884" s="79"/>
      <c r="J884" s="79"/>
      <c r="O884" s="79"/>
      <c r="P884" s="79"/>
      <c r="S884" s="79"/>
      <c r="T884" s="79"/>
      <c r="W884" s="130"/>
      <c r="Y884" s="106"/>
    </row>
    <row r="885">
      <c r="C885" s="79"/>
      <c r="D885" s="79"/>
      <c r="J885" s="79"/>
      <c r="O885" s="79"/>
      <c r="P885" s="79"/>
      <c r="S885" s="79"/>
      <c r="T885" s="79"/>
      <c r="W885" s="130"/>
      <c r="Y885" s="106"/>
    </row>
    <row r="886">
      <c r="C886" s="79"/>
      <c r="D886" s="79"/>
      <c r="J886" s="79"/>
      <c r="O886" s="79"/>
      <c r="P886" s="79"/>
      <c r="S886" s="79"/>
      <c r="T886" s="79"/>
      <c r="W886" s="130"/>
      <c r="Y886" s="106"/>
    </row>
    <row r="887">
      <c r="C887" s="79"/>
      <c r="D887" s="79"/>
      <c r="J887" s="79"/>
      <c r="O887" s="79"/>
      <c r="P887" s="79"/>
      <c r="S887" s="79"/>
      <c r="T887" s="79"/>
      <c r="W887" s="130"/>
      <c r="Y887" s="106"/>
    </row>
    <row r="888">
      <c r="C888" s="79"/>
      <c r="D888" s="79"/>
      <c r="J888" s="79"/>
      <c r="O888" s="79"/>
      <c r="P888" s="79"/>
      <c r="S888" s="79"/>
      <c r="T888" s="79"/>
      <c r="W888" s="130"/>
      <c r="Y888" s="106"/>
    </row>
    <row r="889">
      <c r="C889" s="79"/>
      <c r="D889" s="79"/>
      <c r="J889" s="79"/>
      <c r="O889" s="79"/>
      <c r="P889" s="79"/>
      <c r="S889" s="79"/>
      <c r="T889" s="79"/>
      <c r="W889" s="130"/>
      <c r="Y889" s="106"/>
    </row>
    <row r="890">
      <c r="C890" s="79"/>
      <c r="D890" s="79"/>
      <c r="J890" s="79"/>
      <c r="O890" s="79"/>
      <c r="P890" s="79"/>
      <c r="S890" s="79"/>
      <c r="T890" s="79"/>
      <c r="W890" s="130"/>
      <c r="Y890" s="106"/>
    </row>
    <row r="891">
      <c r="C891" s="79"/>
      <c r="D891" s="79"/>
      <c r="J891" s="79"/>
      <c r="O891" s="79"/>
      <c r="P891" s="79"/>
      <c r="S891" s="79"/>
      <c r="T891" s="79"/>
      <c r="W891" s="130"/>
      <c r="Y891" s="106"/>
    </row>
    <row r="892">
      <c r="C892" s="79"/>
      <c r="D892" s="79"/>
      <c r="J892" s="79"/>
      <c r="O892" s="79"/>
      <c r="P892" s="79"/>
      <c r="S892" s="79"/>
      <c r="T892" s="79"/>
      <c r="W892" s="130"/>
      <c r="Y892" s="106"/>
    </row>
    <row r="893">
      <c r="C893" s="79"/>
      <c r="D893" s="79"/>
      <c r="J893" s="79"/>
      <c r="O893" s="79"/>
      <c r="P893" s="79"/>
      <c r="S893" s="79"/>
      <c r="T893" s="79"/>
      <c r="W893" s="130"/>
      <c r="Y893" s="106"/>
    </row>
    <row r="894">
      <c r="C894" s="79"/>
      <c r="D894" s="79"/>
      <c r="J894" s="79"/>
      <c r="O894" s="79"/>
      <c r="P894" s="79"/>
      <c r="S894" s="79"/>
      <c r="T894" s="79"/>
      <c r="W894" s="130"/>
      <c r="Y894" s="106"/>
    </row>
    <row r="895">
      <c r="C895" s="79"/>
      <c r="D895" s="79"/>
      <c r="J895" s="79"/>
      <c r="O895" s="79"/>
      <c r="P895" s="79"/>
      <c r="S895" s="79"/>
      <c r="T895" s="79"/>
      <c r="W895" s="130"/>
      <c r="Y895" s="106"/>
    </row>
    <row r="896">
      <c r="C896" s="79"/>
      <c r="D896" s="79"/>
      <c r="J896" s="79"/>
      <c r="O896" s="79"/>
      <c r="P896" s="79"/>
      <c r="S896" s="79"/>
      <c r="T896" s="79"/>
      <c r="W896" s="130"/>
      <c r="Y896" s="106"/>
    </row>
    <row r="897">
      <c r="C897" s="79"/>
      <c r="D897" s="79"/>
      <c r="J897" s="79"/>
      <c r="O897" s="79"/>
      <c r="P897" s="79"/>
      <c r="S897" s="79"/>
      <c r="T897" s="79"/>
      <c r="W897" s="130"/>
      <c r="Y897" s="106"/>
    </row>
    <row r="898">
      <c r="C898" s="79"/>
      <c r="D898" s="79"/>
      <c r="J898" s="79"/>
      <c r="O898" s="79"/>
      <c r="P898" s="79"/>
      <c r="S898" s="79"/>
      <c r="T898" s="79"/>
      <c r="W898" s="130"/>
      <c r="Y898" s="106"/>
    </row>
    <row r="899">
      <c r="C899" s="79"/>
      <c r="D899" s="79"/>
      <c r="J899" s="79"/>
      <c r="O899" s="79"/>
      <c r="P899" s="79"/>
      <c r="S899" s="79"/>
      <c r="T899" s="79"/>
      <c r="W899" s="130"/>
      <c r="Y899" s="106"/>
    </row>
    <row r="900">
      <c r="C900" s="79"/>
      <c r="D900" s="79"/>
      <c r="J900" s="79"/>
      <c r="O900" s="79"/>
      <c r="P900" s="79"/>
      <c r="S900" s="79"/>
      <c r="T900" s="79"/>
      <c r="W900" s="130"/>
      <c r="Y900" s="106"/>
    </row>
    <row r="901">
      <c r="C901" s="79"/>
      <c r="D901" s="79"/>
      <c r="J901" s="79"/>
      <c r="O901" s="79"/>
      <c r="P901" s="79"/>
      <c r="S901" s="79"/>
      <c r="T901" s="79"/>
      <c r="W901" s="130"/>
      <c r="Y901" s="106"/>
    </row>
    <row r="902">
      <c r="C902" s="79"/>
      <c r="D902" s="79"/>
      <c r="J902" s="79"/>
      <c r="O902" s="79"/>
      <c r="P902" s="79"/>
      <c r="S902" s="79"/>
      <c r="T902" s="79"/>
      <c r="W902" s="130"/>
      <c r="Y902" s="106"/>
    </row>
    <row r="903">
      <c r="C903" s="79"/>
      <c r="D903" s="79"/>
      <c r="J903" s="79"/>
      <c r="O903" s="79"/>
      <c r="P903" s="79"/>
      <c r="S903" s="79"/>
      <c r="T903" s="79"/>
      <c r="W903" s="130"/>
      <c r="Y903" s="106"/>
    </row>
    <row r="904">
      <c r="C904" s="79"/>
      <c r="D904" s="79"/>
      <c r="J904" s="79"/>
      <c r="O904" s="79"/>
      <c r="P904" s="79"/>
      <c r="S904" s="79"/>
      <c r="T904" s="79"/>
      <c r="W904" s="130"/>
      <c r="Y904" s="106"/>
    </row>
    <row r="905">
      <c r="C905" s="79"/>
      <c r="D905" s="79"/>
      <c r="J905" s="79"/>
      <c r="O905" s="79"/>
      <c r="P905" s="79"/>
      <c r="S905" s="79"/>
      <c r="T905" s="79"/>
      <c r="W905" s="130"/>
      <c r="Y905" s="106"/>
    </row>
    <row r="906">
      <c r="C906" s="79"/>
      <c r="D906" s="79"/>
      <c r="J906" s="79"/>
      <c r="O906" s="79"/>
      <c r="P906" s="79"/>
      <c r="S906" s="79"/>
      <c r="T906" s="79"/>
      <c r="W906" s="130"/>
      <c r="Y906" s="106"/>
    </row>
    <row r="907">
      <c r="C907" s="79"/>
      <c r="D907" s="79"/>
      <c r="J907" s="79"/>
      <c r="O907" s="79"/>
      <c r="P907" s="79"/>
      <c r="S907" s="79"/>
      <c r="T907" s="79"/>
      <c r="W907" s="130"/>
      <c r="Y907" s="106"/>
    </row>
    <row r="908">
      <c r="C908" s="79"/>
      <c r="D908" s="79"/>
      <c r="J908" s="79"/>
      <c r="O908" s="79"/>
      <c r="P908" s="79"/>
      <c r="S908" s="79"/>
      <c r="T908" s="79"/>
      <c r="W908" s="130"/>
      <c r="Y908" s="106"/>
    </row>
    <row r="909">
      <c r="C909" s="79"/>
      <c r="D909" s="79"/>
      <c r="J909" s="79"/>
      <c r="O909" s="79"/>
      <c r="P909" s="79"/>
      <c r="S909" s="79"/>
      <c r="T909" s="79"/>
      <c r="W909" s="130"/>
      <c r="Y909" s="106"/>
    </row>
    <row r="910">
      <c r="C910" s="79"/>
      <c r="D910" s="79"/>
      <c r="J910" s="79"/>
      <c r="O910" s="79"/>
      <c r="P910" s="79"/>
      <c r="S910" s="79"/>
      <c r="T910" s="79"/>
      <c r="W910" s="130"/>
      <c r="Y910" s="106"/>
    </row>
    <row r="911">
      <c r="C911" s="79"/>
      <c r="D911" s="79"/>
      <c r="J911" s="79"/>
      <c r="O911" s="79"/>
      <c r="P911" s="79"/>
      <c r="S911" s="79"/>
      <c r="T911" s="79"/>
      <c r="W911" s="130"/>
      <c r="Y911" s="106"/>
    </row>
    <row r="912">
      <c r="C912" s="79"/>
      <c r="D912" s="79"/>
      <c r="J912" s="79"/>
      <c r="O912" s="79"/>
      <c r="P912" s="79"/>
      <c r="S912" s="79"/>
      <c r="T912" s="79"/>
      <c r="W912" s="130"/>
      <c r="Y912" s="106"/>
    </row>
    <row r="913">
      <c r="C913" s="79"/>
      <c r="D913" s="79"/>
      <c r="J913" s="79"/>
      <c r="O913" s="79"/>
      <c r="P913" s="79"/>
      <c r="S913" s="79"/>
      <c r="T913" s="79"/>
      <c r="W913" s="130"/>
      <c r="Y913" s="106"/>
    </row>
    <row r="914">
      <c r="C914" s="79"/>
      <c r="D914" s="79"/>
      <c r="J914" s="79"/>
      <c r="O914" s="79"/>
      <c r="P914" s="79"/>
      <c r="S914" s="79"/>
      <c r="T914" s="79"/>
      <c r="W914" s="130"/>
      <c r="Y914" s="106"/>
    </row>
    <row r="915">
      <c r="C915" s="79"/>
      <c r="D915" s="79"/>
      <c r="J915" s="79"/>
      <c r="O915" s="79"/>
      <c r="P915" s="79"/>
      <c r="S915" s="79"/>
      <c r="T915" s="79"/>
      <c r="W915" s="130"/>
      <c r="Y915" s="106"/>
    </row>
    <row r="916">
      <c r="C916" s="79"/>
      <c r="D916" s="79"/>
      <c r="J916" s="79"/>
      <c r="O916" s="79"/>
      <c r="P916" s="79"/>
      <c r="S916" s="79"/>
      <c r="T916" s="79"/>
      <c r="W916" s="130"/>
      <c r="Y916" s="106"/>
    </row>
    <row r="917">
      <c r="C917" s="79"/>
      <c r="D917" s="79"/>
      <c r="J917" s="79"/>
      <c r="O917" s="79"/>
      <c r="P917" s="79"/>
      <c r="S917" s="79"/>
      <c r="T917" s="79"/>
      <c r="W917" s="130"/>
      <c r="Y917" s="106"/>
    </row>
    <row r="918">
      <c r="C918" s="79"/>
      <c r="D918" s="79"/>
      <c r="J918" s="79"/>
      <c r="O918" s="79"/>
      <c r="P918" s="79"/>
      <c r="S918" s="79"/>
      <c r="T918" s="79"/>
      <c r="W918" s="130"/>
      <c r="Y918" s="106"/>
    </row>
    <row r="919">
      <c r="C919" s="79"/>
      <c r="D919" s="79"/>
      <c r="J919" s="79"/>
      <c r="O919" s="79"/>
      <c r="P919" s="79"/>
      <c r="S919" s="79"/>
      <c r="T919" s="79"/>
      <c r="W919" s="130"/>
      <c r="Y919" s="106"/>
    </row>
    <row r="920">
      <c r="C920" s="79"/>
      <c r="D920" s="79"/>
      <c r="J920" s="79"/>
      <c r="O920" s="79"/>
      <c r="P920" s="79"/>
      <c r="S920" s="79"/>
      <c r="T920" s="79"/>
      <c r="W920" s="130"/>
      <c r="Y920" s="106"/>
    </row>
    <row r="921">
      <c r="C921" s="79"/>
      <c r="D921" s="79"/>
      <c r="J921" s="79"/>
      <c r="O921" s="79"/>
      <c r="P921" s="79"/>
      <c r="S921" s="79"/>
      <c r="T921" s="79"/>
      <c r="W921" s="130"/>
      <c r="Y921" s="106"/>
    </row>
    <row r="922">
      <c r="C922" s="79"/>
      <c r="D922" s="79"/>
      <c r="J922" s="79"/>
      <c r="O922" s="79"/>
      <c r="P922" s="79"/>
      <c r="S922" s="79"/>
      <c r="T922" s="79"/>
      <c r="W922" s="130"/>
      <c r="Y922" s="106"/>
    </row>
    <row r="923">
      <c r="C923" s="79"/>
      <c r="D923" s="79"/>
      <c r="J923" s="79"/>
      <c r="O923" s="79"/>
      <c r="P923" s="79"/>
      <c r="S923" s="79"/>
      <c r="T923" s="79"/>
      <c r="W923" s="130"/>
      <c r="Y923" s="106"/>
    </row>
    <row r="924">
      <c r="C924" s="79"/>
      <c r="D924" s="79"/>
      <c r="J924" s="79"/>
      <c r="O924" s="79"/>
      <c r="P924" s="79"/>
      <c r="S924" s="79"/>
      <c r="T924" s="79"/>
      <c r="W924" s="130"/>
      <c r="Y924" s="106"/>
    </row>
    <row r="925">
      <c r="C925" s="79"/>
      <c r="D925" s="79"/>
      <c r="J925" s="79"/>
      <c r="O925" s="79"/>
      <c r="P925" s="79"/>
      <c r="S925" s="79"/>
      <c r="T925" s="79"/>
      <c r="W925" s="130"/>
      <c r="Y925" s="106"/>
    </row>
    <row r="926">
      <c r="C926" s="79"/>
      <c r="D926" s="79"/>
      <c r="J926" s="79"/>
      <c r="O926" s="79"/>
      <c r="P926" s="79"/>
      <c r="S926" s="79"/>
      <c r="T926" s="79"/>
      <c r="W926" s="130"/>
      <c r="Y926" s="106"/>
    </row>
    <row r="927">
      <c r="C927" s="79"/>
      <c r="D927" s="79"/>
      <c r="J927" s="79"/>
      <c r="O927" s="79"/>
      <c r="P927" s="79"/>
      <c r="S927" s="79"/>
      <c r="T927" s="79"/>
      <c r="W927" s="130"/>
      <c r="Y927" s="106"/>
    </row>
    <row r="928">
      <c r="C928" s="79"/>
      <c r="D928" s="79"/>
      <c r="J928" s="79"/>
      <c r="O928" s="79"/>
      <c r="P928" s="79"/>
      <c r="S928" s="79"/>
      <c r="T928" s="79"/>
      <c r="W928" s="130"/>
      <c r="Y928" s="106"/>
    </row>
    <row r="929">
      <c r="C929" s="79"/>
      <c r="D929" s="79"/>
      <c r="J929" s="79"/>
      <c r="O929" s="79"/>
      <c r="P929" s="79"/>
      <c r="S929" s="79"/>
      <c r="T929" s="79"/>
      <c r="W929" s="130"/>
      <c r="Y929" s="106"/>
    </row>
    <row r="930">
      <c r="C930" s="79"/>
      <c r="D930" s="79"/>
      <c r="J930" s="79"/>
      <c r="O930" s="79"/>
      <c r="P930" s="79"/>
      <c r="S930" s="79"/>
      <c r="T930" s="79"/>
      <c r="W930" s="130"/>
      <c r="Y930" s="106"/>
    </row>
    <row r="931">
      <c r="C931" s="79"/>
      <c r="D931" s="79"/>
      <c r="J931" s="79"/>
      <c r="O931" s="79"/>
      <c r="P931" s="79"/>
      <c r="S931" s="79"/>
      <c r="T931" s="79"/>
      <c r="W931" s="130"/>
      <c r="Y931" s="106"/>
    </row>
    <row r="932">
      <c r="C932" s="79"/>
      <c r="D932" s="79"/>
      <c r="J932" s="79"/>
      <c r="O932" s="79"/>
      <c r="P932" s="79"/>
      <c r="S932" s="79"/>
      <c r="T932" s="79"/>
      <c r="W932" s="130"/>
      <c r="Y932" s="106"/>
    </row>
    <row r="933">
      <c r="C933" s="79"/>
      <c r="D933" s="79"/>
      <c r="J933" s="79"/>
      <c r="O933" s="79"/>
      <c r="P933" s="79"/>
      <c r="S933" s="79"/>
      <c r="T933" s="79"/>
      <c r="W933" s="130"/>
      <c r="Y933" s="106"/>
    </row>
    <row r="934">
      <c r="C934" s="79"/>
      <c r="D934" s="79"/>
      <c r="J934" s="79"/>
      <c r="O934" s="79"/>
      <c r="P934" s="79"/>
      <c r="S934" s="79"/>
      <c r="T934" s="79"/>
      <c r="W934" s="130"/>
      <c r="Y934" s="106"/>
    </row>
    <row r="935">
      <c r="C935" s="79"/>
      <c r="D935" s="79"/>
      <c r="J935" s="79"/>
      <c r="O935" s="79"/>
      <c r="P935" s="79"/>
      <c r="S935" s="79"/>
      <c r="T935" s="79"/>
      <c r="W935" s="130"/>
      <c r="Y935" s="106"/>
    </row>
    <row r="936">
      <c r="C936" s="79"/>
      <c r="D936" s="79"/>
      <c r="J936" s="79"/>
      <c r="O936" s="79"/>
      <c r="P936" s="79"/>
      <c r="S936" s="79"/>
      <c r="T936" s="79"/>
      <c r="W936" s="130"/>
      <c r="Y936" s="106"/>
    </row>
    <row r="937">
      <c r="C937" s="79"/>
      <c r="D937" s="79"/>
      <c r="J937" s="79"/>
      <c r="O937" s="79"/>
      <c r="P937" s="79"/>
      <c r="S937" s="79"/>
      <c r="T937" s="79"/>
      <c r="W937" s="130"/>
      <c r="Y937" s="106"/>
    </row>
    <row r="938">
      <c r="C938" s="79"/>
      <c r="D938" s="79"/>
      <c r="J938" s="79"/>
      <c r="O938" s="79"/>
      <c r="P938" s="79"/>
      <c r="S938" s="79"/>
      <c r="T938" s="79"/>
      <c r="W938" s="130"/>
      <c r="Y938" s="106"/>
    </row>
    <row r="939">
      <c r="C939" s="79"/>
      <c r="D939" s="79"/>
      <c r="J939" s="79"/>
      <c r="O939" s="79"/>
      <c r="P939" s="79"/>
      <c r="S939" s="79"/>
      <c r="T939" s="79"/>
      <c r="W939" s="130"/>
      <c r="Y939" s="106"/>
    </row>
    <row r="940">
      <c r="C940" s="79"/>
      <c r="D940" s="79"/>
      <c r="J940" s="79"/>
      <c r="O940" s="79"/>
      <c r="P940" s="79"/>
      <c r="S940" s="79"/>
      <c r="T940" s="79"/>
      <c r="W940" s="130"/>
      <c r="Y940" s="106"/>
    </row>
    <row r="941">
      <c r="C941" s="79"/>
      <c r="D941" s="79"/>
      <c r="J941" s="79"/>
      <c r="O941" s="79"/>
      <c r="P941" s="79"/>
      <c r="S941" s="79"/>
      <c r="T941" s="79"/>
      <c r="W941" s="130"/>
      <c r="Y941" s="106"/>
    </row>
    <row r="942">
      <c r="C942" s="79"/>
      <c r="D942" s="79"/>
      <c r="J942" s="79"/>
      <c r="O942" s="79"/>
      <c r="P942" s="79"/>
      <c r="S942" s="79"/>
      <c r="T942" s="79"/>
      <c r="W942" s="130"/>
      <c r="Y942" s="106"/>
    </row>
    <row r="943">
      <c r="C943" s="79"/>
      <c r="D943" s="79"/>
      <c r="J943" s="79"/>
      <c r="O943" s="79"/>
      <c r="P943" s="79"/>
      <c r="S943" s="79"/>
      <c r="T943" s="79"/>
      <c r="W943" s="130"/>
      <c r="Y943" s="106"/>
    </row>
    <row r="944">
      <c r="C944" s="79"/>
      <c r="D944" s="79"/>
      <c r="J944" s="79"/>
      <c r="O944" s="79"/>
      <c r="P944" s="79"/>
      <c r="S944" s="79"/>
      <c r="T944" s="79"/>
      <c r="W944" s="130"/>
      <c r="Y944" s="106"/>
    </row>
    <row r="945">
      <c r="C945" s="79"/>
      <c r="D945" s="79"/>
      <c r="J945" s="79"/>
      <c r="O945" s="79"/>
      <c r="P945" s="79"/>
      <c r="S945" s="79"/>
      <c r="T945" s="79"/>
      <c r="W945" s="130"/>
      <c r="Y945" s="106"/>
    </row>
    <row r="946">
      <c r="C946" s="79"/>
      <c r="D946" s="79"/>
      <c r="J946" s="79"/>
      <c r="O946" s="79"/>
      <c r="P946" s="79"/>
      <c r="S946" s="79"/>
      <c r="T946" s="79"/>
      <c r="W946" s="130"/>
      <c r="Y946" s="106"/>
    </row>
    <row r="947">
      <c r="C947" s="79"/>
      <c r="D947" s="79"/>
      <c r="J947" s="79"/>
      <c r="O947" s="79"/>
      <c r="P947" s="79"/>
      <c r="S947" s="79"/>
      <c r="T947" s="79"/>
      <c r="W947" s="130"/>
      <c r="Y947" s="106"/>
    </row>
    <row r="948">
      <c r="C948" s="79"/>
      <c r="D948" s="79"/>
      <c r="J948" s="79"/>
      <c r="O948" s="79"/>
      <c r="P948" s="79"/>
      <c r="S948" s="79"/>
      <c r="T948" s="79"/>
      <c r="W948" s="130"/>
      <c r="Y948" s="106"/>
    </row>
    <row r="949">
      <c r="C949" s="79"/>
      <c r="D949" s="79"/>
      <c r="J949" s="79"/>
      <c r="O949" s="79"/>
      <c r="P949" s="79"/>
      <c r="S949" s="79"/>
      <c r="T949" s="79"/>
      <c r="W949" s="130"/>
      <c r="Y949" s="106"/>
    </row>
    <row r="950">
      <c r="C950" s="79"/>
      <c r="D950" s="79"/>
      <c r="J950" s="79"/>
      <c r="O950" s="79"/>
      <c r="P950" s="79"/>
      <c r="S950" s="79"/>
      <c r="T950" s="79"/>
      <c r="W950" s="130"/>
      <c r="Y950" s="106"/>
    </row>
    <row r="951">
      <c r="C951" s="79"/>
      <c r="D951" s="79"/>
      <c r="J951" s="79"/>
      <c r="O951" s="79"/>
      <c r="P951" s="79"/>
      <c r="S951" s="79"/>
      <c r="T951" s="79"/>
      <c r="W951" s="130"/>
      <c r="Y951" s="106"/>
    </row>
    <row r="952">
      <c r="C952" s="79"/>
      <c r="D952" s="79"/>
      <c r="J952" s="79"/>
      <c r="O952" s="79"/>
      <c r="P952" s="79"/>
      <c r="S952" s="79"/>
      <c r="T952" s="79"/>
      <c r="W952" s="130"/>
      <c r="Y952" s="106"/>
    </row>
    <row r="953">
      <c r="C953" s="79"/>
      <c r="D953" s="79"/>
      <c r="J953" s="79"/>
      <c r="O953" s="79"/>
      <c r="P953" s="79"/>
      <c r="S953" s="79"/>
      <c r="T953" s="79"/>
      <c r="W953" s="130"/>
      <c r="Y953" s="106"/>
    </row>
    <row r="954">
      <c r="C954" s="79"/>
      <c r="D954" s="79"/>
      <c r="J954" s="79"/>
      <c r="O954" s="79"/>
      <c r="P954" s="79"/>
      <c r="S954" s="79"/>
      <c r="T954" s="79"/>
      <c r="W954" s="130"/>
      <c r="Y954" s="106"/>
    </row>
    <row r="955">
      <c r="C955" s="79"/>
      <c r="D955" s="79"/>
      <c r="J955" s="79"/>
      <c r="O955" s="79"/>
      <c r="P955" s="79"/>
      <c r="S955" s="79"/>
      <c r="T955" s="79"/>
      <c r="W955" s="130"/>
      <c r="Y955" s="106"/>
    </row>
    <row r="956">
      <c r="C956" s="79"/>
      <c r="D956" s="79"/>
      <c r="J956" s="79"/>
      <c r="O956" s="79"/>
      <c r="P956" s="79"/>
      <c r="S956" s="79"/>
      <c r="T956" s="79"/>
      <c r="W956" s="130"/>
      <c r="Y956" s="106"/>
    </row>
    <row r="957">
      <c r="C957" s="79"/>
      <c r="D957" s="79"/>
      <c r="J957" s="79"/>
      <c r="O957" s="79"/>
      <c r="P957" s="79"/>
      <c r="S957" s="79"/>
      <c r="T957" s="79"/>
      <c r="W957" s="130"/>
      <c r="Y957" s="106"/>
    </row>
    <row r="958">
      <c r="C958" s="79"/>
      <c r="D958" s="79"/>
      <c r="J958" s="79"/>
      <c r="O958" s="79"/>
      <c r="P958" s="79"/>
      <c r="S958" s="79"/>
      <c r="T958" s="79"/>
      <c r="W958" s="130"/>
      <c r="Y958" s="106"/>
    </row>
    <row r="959">
      <c r="C959" s="79"/>
      <c r="D959" s="79"/>
      <c r="J959" s="79"/>
      <c r="O959" s="79"/>
      <c r="P959" s="79"/>
      <c r="S959" s="79"/>
      <c r="T959" s="79"/>
      <c r="W959" s="130"/>
      <c r="Y959" s="106"/>
    </row>
    <row r="960">
      <c r="C960" s="79"/>
      <c r="D960" s="79"/>
      <c r="J960" s="79"/>
      <c r="O960" s="79"/>
      <c r="P960" s="79"/>
      <c r="S960" s="79"/>
      <c r="T960" s="79"/>
      <c r="W960" s="130"/>
      <c r="Y960" s="106"/>
    </row>
    <row r="961">
      <c r="C961" s="79"/>
      <c r="D961" s="79"/>
      <c r="J961" s="79"/>
      <c r="O961" s="79"/>
      <c r="P961" s="79"/>
      <c r="S961" s="79"/>
      <c r="T961" s="79"/>
      <c r="W961" s="130"/>
      <c r="Y961" s="106"/>
    </row>
    <row r="962">
      <c r="C962" s="79"/>
      <c r="D962" s="79"/>
      <c r="J962" s="79"/>
      <c r="O962" s="79"/>
      <c r="P962" s="79"/>
      <c r="S962" s="79"/>
      <c r="T962" s="79"/>
      <c r="W962" s="130"/>
      <c r="Y962" s="106"/>
    </row>
    <row r="963">
      <c r="C963" s="79"/>
      <c r="D963" s="79"/>
      <c r="J963" s="79"/>
      <c r="O963" s="79"/>
      <c r="P963" s="79"/>
      <c r="S963" s="79"/>
      <c r="T963" s="79"/>
      <c r="W963" s="130"/>
      <c r="Y963" s="106"/>
    </row>
    <row r="964">
      <c r="C964" s="79"/>
      <c r="D964" s="79"/>
      <c r="J964" s="79"/>
      <c r="O964" s="79"/>
      <c r="P964" s="79"/>
      <c r="S964" s="79"/>
      <c r="T964" s="79"/>
      <c r="W964" s="130"/>
      <c r="Y964" s="106"/>
    </row>
    <row r="965">
      <c r="C965" s="79"/>
      <c r="D965" s="79"/>
      <c r="J965" s="79"/>
      <c r="O965" s="79"/>
      <c r="P965" s="79"/>
      <c r="S965" s="79"/>
      <c r="T965" s="79"/>
      <c r="W965" s="130"/>
      <c r="Y965" s="106"/>
    </row>
    <row r="966">
      <c r="C966" s="79"/>
      <c r="D966" s="79"/>
      <c r="J966" s="79"/>
      <c r="O966" s="79"/>
      <c r="P966" s="79"/>
      <c r="S966" s="79"/>
      <c r="T966" s="79"/>
      <c r="W966" s="130"/>
      <c r="Y966" s="106"/>
    </row>
    <row r="967">
      <c r="C967" s="79"/>
      <c r="D967" s="79"/>
      <c r="J967" s="79"/>
      <c r="O967" s="79"/>
      <c r="P967" s="79"/>
      <c r="S967" s="79"/>
      <c r="T967" s="79"/>
      <c r="W967" s="130"/>
      <c r="Y967" s="106"/>
    </row>
    <row r="968">
      <c r="C968" s="79"/>
      <c r="D968" s="79"/>
      <c r="J968" s="79"/>
      <c r="O968" s="79"/>
      <c r="P968" s="79"/>
      <c r="S968" s="79"/>
      <c r="T968" s="79"/>
      <c r="W968" s="130"/>
      <c r="Y968" s="106"/>
    </row>
    <row r="969">
      <c r="C969" s="79"/>
      <c r="D969" s="79"/>
      <c r="J969" s="79"/>
      <c r="O969" s="79"/>
      <c r="P969" s="79"/>
      <c r="S969" s="79"/>
      <c r="T969" s="79"/>
      <c r="W969" s="130"/>
      <c r="Y969" s="106"/>
    </row>
    <row r="970">
      <c r="C970" s="79"/>
      <c r="D970" s="79"/>
      <c r="J970" s="79"/>
      <c r="O970" s="79"/>
      <c r="P970" s="79"/>
      <c r="S970" s="79"/>
      <c r="T970" s="79"/>
      <c r="W970" s="130"/>
      <c r="Y970" s="106"/>
    </row>
    <row r="971">
      <c r="C971" s="79"/>
      <c r="D971" s="79"/>
      <c r="J971" s="79"/>
      <c r="O971" s="79"/>
      <c r="P971" s="79"/>
      <c r="S971" s="79"/>
      <c r="T971" s="79"/>
      <c r="W971" s="130"/>
      <c r="Y971" s="106"/>
    </row>
    <row r="972">
      <c r="C972" s="79"/>
      <c r="D972" s="79"/>
      <c r="J972" s="79"/>
      <c r="O972" s="79"/>
      <c r="P972" s="79"/>
      <c r="S972" s="79"/>
      <c r="T972" s="79"/>
      <c r="W972" s="130"/>
      <c r="Y972" s="106"/>
    </row>
    <row r="973">
      <c r="C973" s="79"/>
      <c r="D973" s="79"/>
      <c r="J973" s="79"/>
      <c r="O973" s="79"/>
      <c r="P973" s="79"/>
      <c r="S973" s="79"/>
      <c r="T973" s="79"/>
      <c r="W973" s="130"/>
      <c r="Y973" s="106"/>
    </row>
    <row r="974">
      <c r="C974" s="79"/>
      <c r="D974" s="79"/>
      <c r="J974" s="79"/>
      <c r="O974" s="79"/>
      <c r="P974" s="79"/>
      <c r="S974" s="79"/>
      <c r="T974" s="79"/>
      <c r="W974" s="130"/>
      <c r="Y974" s="106"/>
    </row>
    <row r="975">
      <c r="C975" s="79"/>
      <c r="D975" s="79"/>
      <c r="J975" s="79"/>
      <c r="O975" s="79"/>
      <c r="P975" s="79"/>
      <c r="S975" s="79"/>
      <c r="T975" s="79"/>
      <c r="W975" s="130"/>
      <c r="Y975" s="106"/>
    </row>
    <row r="976">
      <c r="C976" s="79"/>
      <c r="D976" s="79"/>
      <c r="J976" s="79"/>
      <c r="O976" s="79"/>
      <c r="P976" s="79"/>
      <c r="S976" s="79"/>
      <c r="T976" s="79"/>
      <c r="W976" s="130"/>
      <c r="Y976" s="106"/>
    </row>
    <row r="977">
      <c r="C977" s="79"/>
      <c r="D977" s="79"/>
      <c r="J977" s="79"/>
      <c r="O977" s="79"/>
      <c r="P977" s="79"/>
      <c r="S977" s="79"/>
      <c r="T977" s="79"/>
      <c r="W977" s="130"/>
      <c r="Y977" s="106"/>
    </row>
    <row r="978">
      <c r="C978" s="79"/>
      <c r="D978" s="79"/>
      <c r="J978" s="79"/>
      <c r="O978" s="79"/>
      <c r="P978" s="79"/>
      <c r="S978" s="79"/>
      <c r="T978" s="79"/>
      <c r="W978" s="130"/>
      <c r="Y978" s="106"/>
    </row>
    <row r="979">
      <c r="C979" s="79"/>
      <c r="D979" s="79"/>
      <c r="J979" s="79"/>
      <c r="O979" s="79"/>
      <c r="P979" s="79"/>
      <c r="S979" s="79"/>
      <c r="T979" s="79"/>
      <c r="W979" s="130"/>
      <c r="Y979" s="106"/>
    </row>
    <row r="980">
      <c r="C980" s="79"/>
      <c r="D980" s="79"/>
      <c r="J980" s="79"/>
      <c r="O980" s="79"/>
      <c r="P980" s="79"/>
      <c r="S980" s="79"/>
      <c r="T980" s="79"/>
      <c r="W980" s="130"/>
      <c r="Y980" s="106"/>
    </row>
    <row r="981">
      <c r="C981" s="79"/>
      <c r="D981" s="79"/>
      <c r="J981" s="79"/>
      <c r="O981" s="79"/>
      <c r="P981" s="79"/>
      <c r="S981" s="79"/>
      <c r="T981" s="79"/>
      <c r="W981" s="130"/>
      <c r="Y981" s="106"/>
    </row>
    <row r="982">
      <c r="C982" s="79"/>
      <c r="D982" s="79"/>
      <c r="J982" s="79"/>
      <c r="O982" s="79"/>
      <c r="P982" s="79"/>
      <c r="S982" s="79"/>
      <c r="T982" s="79"/>
      <c r="W982" s="130"/>
      <c r="Y982" s="106"/>
    </row>
    <row r="983">
      <c r="C983" s="79"/>
      <c r="D983" s="79"/>
      <c r="J983" s="79"/>
      <c r="O983" s="79"/>
      <c r="P983" s="79"/>
      <c r="S983" s="79"/>
      <c r="T983" s="79"/>
      <c r="W983" s="130"/>
      <c r="Y983" s="106"/>
    </row>
    <row r="984">
      <c r="C984" s="79"/>
      <c r="D984" s="79"/>
      <c r="J984" s="79"/>
      <c r="O984" s="79"/>
      <c r="P984" s="79"/>
      <c r="S984" s="79"/>
      <c r="T984" s="79"/>
      <c r="W984" s="130"/>
      <c r="Y984" s="106"/>
    </row>
    <row r="985">
      <c r="C985" s="79"/>
      <c r="D985" s="79"/>
      <c r="J985" s="79"/>
      <c r="O985" s="79"/>
      <c r="P985" s="79"/>
      <c r="S985" s="79"/>
      <c r="T985" s="79"/>
      <c r="W985" s="130"/>
      <c r="Y985" s="106"/>
    </row>
    <row r="986">
      <c r="C986" s="79"/>
      <c r="D986" s="79"/>
      <c r="J986" s="79"/>
      <c r="O986" s="79"/>
      <c r="P986" s="79"/>
      <c r="S986" s="79"/>
      <c r="T986" s="79"/>
      <c r="W986" s="130"/>
      <c r="Y986" s="106"/>
    </row>
    <row r="987">
      <c r="C987" s="79"/>
      <c r="D987" s="79"/>
      <c r="J987" s="79"/>
      <c r="O987" s="79"/>
      <c r="P987" s="79"/>
      <c r="S987" s="79"/>
      <c r="T987" s="79"/>
      <c r="W987" s="130"/>
      <c r="Y987" s="106"/>
    </row>
    <row r="988">
      <c r="C988" s="79"/>
      <c r="D988" s="79"/>
      <c r="J988" s="79"/>
      <c r="O988" s="79"/>
      <c r="P988" s="79"/>
      <c r="S988" s="79"/>
      <c r="T988" s="79"/>
      <c r="W988" s="130"/>
      <c r="Y988" s="106"/>
    </row>
    <row r="989">
      <c r="C989" s="79"/>
      <c r="D989" s="79"/>
      <c r="J989" s="79"/>
      <c r="O989" s="79"/>
      <c r="P989" s="79"/>
      <c r="S989" s="79"/>
      <c r="T989" s="79"/>
      <c r="W989" s="130"/>
      <c r="Y989" s="106"/>
    </row>
    <row r="990">
      <c r="C990" s="79"/>
      <c r="D990" s="79"/>
      <c r="J990" s="79"/>
      <c r="O990" s="79"/>
      <c r="P990" s="79"/>
      <c r="S990" s="79"/>
      <c r="T990" s="79"/>
      <c r="W990" s="130"/>
      <c r="Y990" s="106"/>
    </row>
    <row r="991">
      <c r="C991" s="79"/>
      <c r="D991" s="79"/>
      <c r="J991" s="79"/>
      <c r="O991" s="79"/>
      <c r="P991" s="79"/>
      <c r="S991" s="79"/>
      <c r="T991" s="79"/>
      <c r="W991" s="130"/>
      <c r="Y991" s="106"/>
    </row>
    <row r="992">
      <c r="C992" s="79"/>
      <c r="D992" s="79"/>
      <c r="J992" s="79"/>
      <c r="O992" s="79"/>
      <c r="P992" s="79"/>
      <c r="S992" s="79"/>
      <c r="T992" s="79"/>
      <c r="W992" s="130"/>
      <c r="Y992" s="106"/>
    </row>
    <row r="993">
      <c r="C993" s="79"/>
      <c r="D993" s="79"/>
      <c r="J993" s="79"/>
      <c r="O993" s="79"/>
      <c r="P993" s="79"/>
      <c r="S993" s="79"/>
      <c r="T993" s="79"/>
      <c r="W993" s="130"/>
      <c r="Y993" s="106"/>
    </row>
    <row r="994">
      <c r="C994" s="79"/>
      <c r="D994" s="79"/>
      <c r="J994" s="79"/>
      <c r="O994" s="79"/>
      <c r="P994" s="79"/>
      <c r="S994" s="79"/>
      <c r="T994" s="79"/>
      <c r="W994" s="130"/>
      <c r="Y994" s="106"/>
    </row>
    <row r="995">
      <c r="C995" s="79"/>
      <c r="D995" s="79"/>
      <c r="J995" s="79"/>
      <c r="O995" s="79"/>
      <c r="P995" s="79"/>
      <c r="S995" s="79"/>
      <c r="T995" s="79"/>
      <c r="W995" s="130"/>
      <c r="Y995" s="106"/>
    </row>
    <row r="996">
      <c r="C996" s="79"/>
      <c r="D996" s="79"/>
      <c r="J996" s="79"/>
      <c r="O996" s="79"/>
      <c r="P996" s="79"/>
      <c r="S996" s="79"/>
      <c r="T996" s="79"/>
      <c r="W996" s="130"/>
      <c r="Y996" s="106"/>
    </row>
    <row r="997">
      <c r="C997" s="79"/>
      <c r="D997" s="79"/>
      <c r="J997" s="79"/>
      <c r="O997" s="79"/>
      <c r="P997" s="79"/>
      <c r="S997" s="79"/>
      <c r="T997" s="79"/>
      <c r="W997" s="130"/>
      <c r="Y997" s="106"/>
    </row>
    <row r="998">
      <c r="C998" s="79"/>
      <c r="D998" s="79"/>
      <c r="J998" s="79"/>
      <c r="O998" s="79"/>
      <c r="P998" s="79"/>
      <c r="S998" s="79"/>
      <c r="T998" s="79"/>
      <c r="W998" s="130"/>
      <c r="Y998" s="106"/>
    </row>
    <row r="999">
      <c r="C999" s="79"/>
      <c r="D999" s="79"/>
      <c r="J999" s="79"/>
      <c r="O999" s="79"/>
      <c r="P999" s="79"/>
      <c r="S999" s="79"/>
      <c r="T999" s="79"/>
      <c r="W999" s="130"/>
      <c r="Y999" s="106"/>
    </row>
    <row r="1000">
      <c r="C1000" s="79"/>
      <c r="D1000" s="79"/>
      <c r="J1000" s="79"/>
      <c r="O1000" s="79"/>
      <c r="P1000" s="79"/>
      <c r="S1000" s="79"/>
      <c r="T1000" s="79"/>
      <c r="W1000" s="130"/>
      <c r="Y1000" s="106"/>
    </row>
  </sheetData>
  <mergeCells count="1">
    <mergeCell ref="H19:J19"/>
  </mergeCells>
  <drawing r:id="rId2"/>
  <legacyDrawing r:id="rId3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5" max="25" width="17.0"/>
  </cols>
  <sheetData>
    <row r="1">
      <c r="B1" s="2" t="s">
        <v>0</v>
      </c>
      <c r="C1" s="105" t="s">
        <v>1</v>
      </c>
      <c r="D1" s="105" t="s">
        <v>7</v>
      </c>
      <c r="E1" s="2" t="s">
        <v>3</v>
      </c>
      <c r="F1" s="2" t="s">
        <v>129</v>
      </c>
      <c r="G1" s="2" t="s">
        <v>5</v>
      </c>
      <c r="H1" s="2" t="s">
        <v>6</v>
      </c>
      <c r="I1" s="2" t="s">
        <v>43</v>
      </c>
      <c r="J1" s="105" t="s">
        <v>40</v>
      </c>
      <c r="K1" s="2" t="s">
        <v>49</v>
      </c>
      <c r="L1" s="2" t="s">
        <v>42</v>
      </c>
      <c r="M1" s="2" t="s">
        <v>121</v>
      </c>
      <c r="N1" s="2" t="s">
        <v>164</v>
      </c>
      <c r="O1" s="105" t="s">
        <v>9</v>
      </c>
      <c r="P1" s="105" t="s">
        <v>165</v>
      </c>
      <c r="Q1" s="2" t="s">
        <v>37</v>
      </c>
      <c r="R1" s="2" t="s">
        <v>10</v>
      </c>
      <c r="S1" s="105" t="s">
        <v>11</v>
      </c>
      <c r="T1" s="105" t="s">
        <v>167</v>
      </c>
      <c r="U1" s="2" t="s">
        <v>12</v>
      </c>
      <c r="V1" s="3" t="s">
        <v>13</v>
      </c>
      <c r="W1" s="126" t="s">
        <v>14</v>
      </c>
      <c r="X1" s="3" t="s">
        <v>15</v>
      </c>
      <c r="Y1" s="106"/>
    </row>
    <row r="2">
      <c r="A2" s="74">
        <v>45215.0</v>
      </c>
      <c r="B2" s="5">
        <v>2202.33</v>
      </c>
      <c r="C2" s="93">
        <v>856.74</v>
      </c>
      <c r="D2" s="93"/>
      <c r="E2" s="5">
        <v>180.0</v>
      </c>
      <c r="F2" s="5">
        <v>593.0</v>
      </c>
      <c r="G2" s="5"/>
      <c r="H2" s="5"/>
      <c r="I2" s="5"/>
      <c r="J2" s="136"/>
      <c r="K2" s="5">
        <v>84.0</v>
      </c>
      <c r="L2" s="5"/>
      <c r="M2" s="5"/>
      <c r="N2" s="5"/>
      <c r="O2" s="93"/>
      <c r="P2" s="93"/>
      <c r="Q2" s="5"/>
      <c r="R2" s="5"/>
      <c r="S2" s="93">
        <v>57.05</v>
      </c>
      <c r="T2" s="93"/>
      <c r="U2" s="5"/>
      <c r="V2" s="107">
        <f t="shared" ref="V2:V7" si="1">SUM(B2:U2)</f>
        <v>3973.12</v>
      </c>
      <c r="W2" s="108">
        <v>15767.5</v>
      </c>
      <c r="X2" s="59">
        <f t="shared" ref="X2:X8" si="2">V2/W2</f>
        <v>0.2519816077</v>
      </c>
      <c r="Y2" s="109">
        <f t="shared" ref="Y2:Y8" si="3">A2</f>
        <v>45215</v>
      </c>
    </row>
    <row r="3">
      <c r="A3" s="74">
        <v>45216.0</v>
      </c>
      <c r="B3" s="5"/>
      <c r="C3" s="110"/>
      <c r="D3" s="93"/>
      <c r="E3" s="5"/>
      <c r="F3" s="5"/>
      <c r="G3" s="5"/>
      <c r="H3" s="5">
        <v>42.0</v>
      </c>
      <c r="I3" s="5"/>
      <c r="J3" s="93"/>
      <c r="K3" s="5"/>
      <c r="L3" s="5">
        <v>60.0</v>
      </c>
      <c r="M3" s="6"/>
      <c r="N3" s="6"/>
      <c r="O3" s="93"/>
      <c r="P3" s="93"/>
      <c r="Q3" s="93"/>
      <c r="R3" s="5"/>
      <c r="S3" s="93"/>
      <c r="T3" s="93"/>
      <c r="U3" s="93"/>
      <c r="V3" s="7">
        <f t="shared" si="1"/>
        <v>102</v>
      </c>
      <c r="W3" s="97">
        <v>22823.5</v>
      </c>
      <c r="X3" s="59">
        <f t="shared" si="2"/>
        <v>0.004469077924</v>
      </c>
      <c r="Y3" s="109">
        <f t="shared" si="3"/>
        <v>45216</v>
      </c>
    </row>
    <row r="4">
      <c r="A4" s="74">
        <v>45217.0</v>
      </c>
      <c r="B4" s="5">
        <v>2357.58</v>
      </c>
      <c r="C4" s="93">
        <v>619.68</v>
      </c>
      <c r="D4" s="93"/>
      <c r="E4" s="5"/>
      <c r="F4" s="5"/>
      <c r="G4" s="5">
        <v>715.02</v>
      </c>
      <c r="H4" s="5"/>
      <c r="I4" s="5"/>
      <c r="J4" s="93"/>
      <c r="K4" s="5"/>
      <c r="L4" s="5"/>
      <c r="M4" s="5">
        <v>18.5</v>
      </c>
      <c r="N4" s="5"/>
      <c r="O4" s="93"/>
      <c r="P4" s="93"/>
      <c r="Q4" s="5"/>
      <c r="R4" s="83"/>
      <c r="S4" s="93">
        <v>57.05</v>
      </c>
      <c r="T4" s="93"/>
      <c r="U4" s="6"/>
      <c r="V4" s="7">
        <f t="shared" si="1"/>
        <v>3767.83</v>
      </c>
      <c r="W4" s="97">
        <v>7525.0</v>
      </c>
      <c r="X4" s="59">
        <f t="shared" si="2"/>
        <v>0.5007083056</v>
      </c>
      <c r="Y4" s="109">
        <f t="shared" si="3"/>
        <v>45217</v>
      </c>
    </row>
    <row r="5">
      <c r="A5" s="74">
        <v>45218.0</v>
      </c>
      <c r="B5" s="5" t="s">
        <v>187</v>
      </c>
      <c r="C5" s="93">
        <v>561.3</v>
      </c>
      <c r="D5" s="101"/>
      <c r="E5" s="5"/>
      <c r="F5" s="5">
        <v>200.2</v>
      </c>
      <c r="G5" s="5"/>
      <c r="H5" s="5">
        <v>123.0</v>
      </c>
      <c r="I5" s="5"/>
      <c r="J5" s="93"/>
      <c r="K5" s="5"/>
      <c r="L5" s="5"/>
      <c r="M5" s="5">
        <v>18.5</v>
      </c>
      <c r="N5" s="5"/>
      <c r="O5" s="93"/>
      <c r="P5" s="93"/>
      <c r="Q5" s="5"/>
      <c r="R5" s="5"/>
      <c r="S5" s="101"/>
      <c r="T5" s="101"/>
      <c r="U5" s="6"/>
      <c r="V5" s="7">
        <f t="shared" si="1"/>
        <v>903</v>
      </c>
      <c r="W5" s="98">
        <v>10704.86</v>
      </c>
      <c r="X5" s="59">
        <f t="shared" si="2"/>
        <v>0.08435420921</v>
      </c>
      <c r="Y5" s="109">
        <f t="shared" si="3"/>
        <v>45218</v>
      </c>
    </row>
    <row r="6">
      <c r="A6" s="74">
        <v>45219.0</v>
      </c>
      <c r="B6" s="5">
        <v>1292.55</v>
      </c>
      <c r="C6" s="93">
        <v>440.71</v>
      </c>
      <c r="D6" s="93"/>
      <c r="E6" s="5"/>
      <c r="F6" s="32">
        <v>199.49</v>
      </c>
      <c r="G6" s="5">
        <v>1050.06</v>
      </c>
      <c r="H6" s="5"/>
      <c r="I6" s="5"/>
      <c r="J6" s="111"/>
      <c r="K6" s="5"/>
      <c r="L6" s="5"/>
      <c r="M6" s="5">
        <v>18.5</v>
      </c>
      <c r="N6" s="5"/>
      <c r="O6" s="93"/>
      <c r="P6" s="93"/>
      <c r="Q6" s="5"/>
      <c r="R6" s="5"/>
      <c r="S6" s="93">
        <v>57.05</v>
      </c>
      <c r="T6" s="93"/>
      <c r="U6" s="5"/>
      <c r="V6" s="7">
        <f t="shared" si="1"/>
        <v>3058.36</v>
      </c>
      <c r="W6" s="97">
        <v>19723.63</v>
      </c>
      <c r="X6" s="59">
        <f t="shared" si="2"/>
        <v>0.1550607064</v>
      </c>
      <c r="Y6" s="109">
        <f t="shared" si="3"/>
        <v>45219</v>
      </c>
    </row>
    <row r="7">
      <c r="A7" s="74">
        <v>45220.0</v>
      </c>
      <c r="B7" s="5">
        <v>2301.65</v>
      </c>
      <c r="C7" s="93">
        <v>590.24</v>
      </c>
      <c r="D7" s="93"/>
      <c r="E7" s="5"/>
      <c r="F7" s="5">
        <v>249.4</v>
      </c>
      <c r="G7" s="5"/>
      <c r="H7" s="5"/>
      <c r="I7" s="5"/>
      <c r="J7" s="101"/>
      <c r="K7" s="5">
        <v>84.0</v>
      </c>
      <c r="L7" s="5">
        <v>60.0</v>
      </c>
      <c r="M7" s="93"/>
      <c r="N7" s="93"/>
      <c r="O7" s="93">
        <v>642.8</v>
      </c>
      <c r="P7" s="93"/>
      <c r="Q7" s="6"/>
      <c r="R7" s="6"/>
      <c r="S7" s="101"/>
      <c r="T7" s="101"/>
      <c r="U7" s="5"/>
      <c r="V7" s="7">
        <f t="shared" si="1"/>
        <v>3928.09</v>
      </c>
      <c r="W7" s="97">
        <v>15032.9</v>
      </c>
      <c r="X7" s="59">
        <f t="shared" si="2"/>
        <v>0.2612995497</v>
      </c>
      <c r="Y7" s="109">
        <f t="shared" si="3"/>
        <v>45220</v>
      </c>
    </row>
    <row r="8">
      <c r="A8" s="74">
        <v>45221.0</v>
      </c>
      <c r="B8" s="10" t="s">
        <v>21</v>
      </c>
      <c r="C8" s="112" t="s">
        <v>21</v>
      </c>
      <c r="D8" s="112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12" t="s">
        <v>21</v>
      </c>
      <c r="K8" s="10" t="s">
        <v>21</v>
      </c>
      <c r="L8" s="10" t="s">
        <v>21</v>
      </c>
      <c r="M8" s="10"/>
      <c r="N8" s="10"/>
      <c r="O8" s="112" t="s">
        <v>21</v>
      </c>
      <c r="P8" s="112"/>
      <c r="Q8" s="10" t="s">
        <v>21</v>
      </c>
      <c r="R8" s="10" t="s">
        <v>21</v>
      </c>
      <c r="S8" s="112" t="s">
        <v>21</v>
      </c>
      <c r="T8" s="112"/>
      <c r="U8" s="10" t="s">
        <v>21</v>
      </c>
      <c r="V8" s="7">
        <v>0.0</v>
      </c>
      <c r="W8" s="97">
        <v>9056.6</v>
      </c>
      <c r="X8" s="59">
        <f t="shared" si="2"/>
        <v>0</v>
      </c>
      <c r="Y8" s="109">
        <f t="shared" si="3"/>
        <v>45221</v>
      </c>
    </row>
    <row r="9">
      <c r="C9" s="136"/>
      <c r="D9" s="138"/>
      <c r="J9" s="79"/>
      <c r="S9" s="79"/>
      <c r="T9" s="79"/>
      <c r="W9" s="129"/>
      <c r="Y9" s="106"/>
    </row>
    <row r="10">
      <c r="A10" s="10" t="s">
        <v>188</v>
      </c>
      <c r="B10" s="10">
        <v>9766.76</v>
      </c>
      <c r="C10" s="112">
        <v>4714.68</v>
      </c>
      <c r="D10" s="112">
        <v>159.0</v>
      </c>
      <c r="E10" s="10">
        <v>180.0</v>
      </c>
      <c r="F10" s="10">
        <v>1305.79</v>
      </c>
      <c r="G10" s="10">
        <v>1765.08</v>
      </c>
      <c r="H10" s="10">
        <v>165.0</v>
      </c>
      <c r="I10" s="141"/>
      <c r="J10" s="142"/>
      <c r="K10" s="10">
        <v>84.0</v>
      </c>
      <c r="L10" s="10">
        <v>539.43</v>
      </c>
      <c r="M10" s="141"/>
      <c r="N10" s="141"/>
      <c r="O10" s="112">
        <v>642.8</v>
      </c>
      <c r="P10" s="142"/>
      <c r="Q10" s="141"/>
      <c r="R10" s="141"/>
      <c r="S10" s="112">
        <v>171.15</v>
      </c>
      <c r="T10" s="142"/>
      <c r="U10" s="141"/>
      <c r="V10" s="141"/>
      <c r="W10" s="130"/>
      <c r="Y10" s="106"/>
    </row>
    <row r="11">
      <c r="C11" s="79"/>
      <c r="D11" s="79"/>
      <c r="J11" s="79"/>
      <c r="O11" s="78"/>
      <c r="P11" s="79"/>
      <c r="S11" s="79"/>
      <c r="T11" s="79"/>
      <c r="W11" s="130"/>
      <c r="Y11" s="106"/>
    </row>
    <row r="12">
      <c r="A12" s="10" t="s">
        <v>80</v>
      </c>
      <c r="B12" s="10">
        <f t="shared" ref="B12:U12" si="4">B10-sum(B2:B7)</f>
        <v>1612.65</v>
      </c>
      <c r="C12" s="10">
        <f t="shared" si="4"/>
        <v>1646.01</v>
      </c>
      <c r="D12" s="10">
        <f t="shared" si="4"/>
        <v>159</v>
      </c>
      <c r="E12" s="10">
        <f t="shared" si="4"/>
        <v>0</v>
      </c>
      <c r="F12" s="10">
        <f t="shared" si="4"/>
        <v>63.7</v>
      </c>
      <c r="G12" s="10">
        <f t="shared" si="4"/>
        <v>0</v>
      </c>
      <c r="H12" s="10">
        <f t="shared" si="4"/>
        <v>0</v>
      </c>
      <c r="I12" s="10">
        <f t="shared" si="4"/>
        <v>0</v>
      </c>
      <c r="J12" s="10">
        <f t="shared" si="4"/>
        <v>0</v>
      </c>
      <c r="K12" s="10">
        <f t="shared" si="4"/>
        <v>-84</v>
      </c>
      <c r="L12" s="10">
        <f t="shared" si="4"/>
        <v>419.43</v>
      </c>
      <c r="M12" s="10">
        <f t="shared" si="4"/>
        <v>-55.5</v>
      </c>
      <c r="N12" s="10">
        <f t="shared" si="4"/>
        <v>0</v>
      </c>
      <c r="O12" s="10">
        <f t="shared" si="4"/>
        <v>0</v>
      </c>
      <c r="P12" s="10">
        <f t="shared" si="4"/>
        <v>0</v>
      </c>
      <c r="Q12" s="10">
        <f t="shared" si="4"/>
        <v>0</v>
      </c>
      <c r="R12" s="10">
        <f t="shared" si="4"/>
        <v>0</v>
      </c>
      <c r="S12" s="10">
        <f t="shared" si="4"/>
        <v>0</v>
      </c>
      <c r="T12" s="10">
        <f t="shared" si="4"/>
        <v>0</v>
      </c>
      <c r="U12" s="10">
        <f t="shared" si="4"/>
        <v>0</v>
      </c>
      <c r="V12" s="10"/>
      <c r="W12" s="130"/>
      <c r="Y12" s="106"/>
    </row>
    <row r="13">
      <c r="C13" s="79"/>
      <c r="D13" s="79"/>
      <c r="J13" s="79"/>
      <c r="O13" s="79"/>
      <c r="P13" s="79"/>
      <c r="S13" s="79"/>
      <c r="T13" s="79"/>
      <c r="W13" s="130"/>
      <c r="Y13" s="106"/>
    </row>
    <row r="14">
      <c r="A14" s="4" t="s">
        <v>22</v>
      </c>
      <c r="B14" s="11">
        <v>13000.0</v>
      </c>
      <c r="C14" s="79"/>
      <c r="D14" s="79"/>
      <c r="E14" s="78"/>
      <c r="F14" s="79"/>
      <c r="J14" s="79"/>
      <c r="O14" s="79"/>
      <c r="P14" s="79"/>
      <c r="S14" s="79"/>
      <c r="T14" s="79"/>
      <c r="W14" s="131"/>
      <c r="Y14" s="106"/>
    </row>
    <row r="15">
      <c r="A15" s="4" t="s">
        <v>23</v>
      </c>
      <c r="B15" s="12">
        <f>SUM(B2:U8)+C9</f>
        <v>15732.4</v>
      </c>
      <c r="C15" s="79"/>
      <c r="D15" s="79"/>
      <c r="E15" s="56"/>
      <c r="J15" s="79"/>
      <c r="O15" s="79"/>
      <c r="P15" s="79"/>
      <c r="S15" s="79"/>
      <c r="T15" s="79"/>
      <c r="W15" s="130"/>
      <c r="Y15" s="106"/>
    </row>
    <row r="16">
      <c r="A16" s="4" t="s">
        <v>24</v>
      </c>
      <c r="B16" s="12">
        <f> SUM(B14-B15)</f>
        <v>-2732.4</v>
      </c>
      <c r="C16" s="79"/>
      <c r="D16" s="79"/>
      <c r="J16" s="79"/>
      <c r="O16" s="79"/>
      <c r="P16" s="79"/>
      <c r="S16" s="79"/>
      <c r="T16" s="79"/>
      <c r="W16" s="130"/>
      <c r="Y16" s="106"/>
    </row>
    <row r="17">
      <c r="C17" s="79"/>
      <c r="D17" s="79"/>
      <c r="J17" s="79"/>
      <c r="O17" s="79"/>
      <c r="P17" s="79"/>
      <c r="S17" s="79"/>
      <c r="T17" s="79"/>
      <c r="W17" s="130"/>
      <c r="Y17" s="106"/>
    </row>
    <row r="18">
      <c r="A18" s="13" t="s">
        <v>25</v>
      </c>
      <c r="B18" s="14">
        <f>SUM(W2:W8)</f>
        <v>100633.99</v>
      </c>
      <c r="C18" s="79"/>
      <c r="D18" s="79"/>
      <c r="J18" s="79"/>
      <c r="O18" s="79"/>
      <c r="P18" s="79"/>
      <c r="S18" s="79"/>
      <c r="T18" s="79"/>
      <c r="W18" s="130"/>
      <c r="Y18" s="106"/>
    </row>
    <row r="19">
      <c r="A19" s="13" t="s">
        <v>26</v>
      </c>
      <c r="B19" s="15">
        <f>B15/B18</f>
        <v>0.1563328653</v>
      </c>
      <c r="C19" s="79"/>
      <c r="D19" s="79"/>
      <c r="J19" s="79"/>
      <c r="O19" s="79"/>
      <c r="P19" s="79"/>
      <c r="S19" s="79"/>
      <c r="T19" s="79"/>
      <c r="W19" s="130"/>
      <c r="Y19" s="106"/>
    </row>
    <row r="20">
      <c r="C20" s="79"/>
      <c r="D20" s="79"/>
      <c r="J20" s="79"/>
      <c r="O20" s="79"/>
      <c r="P20" s="79"/>
      <c r="S20" s="79"/>
      <c r="T20" s="79"/>
      <c r="W20" s="130"/>
      <c r="Y20" s="106"/>
    </row>
    <row r="21">
      <c r="C21" s="79"/>
      <c r="D21" s="79"/>
      <c r="J21" s="79"/>
      <c r="O21" s="79"/>
      <c r="P21" s="79"/>
      <c r="S21" s="79"/>
      <c r="T21" s="79"/>
      <c r="W21" s="130"/>
      <c r="Y21" s="106"/>
    </row>
    <row r="22">
      <c r="A22" s="16" t="s">
        <v>27</v>
      </c>
      <c r="B22" s="17"/>
      <c r="C22" s="114"/>
      <c r="D22" s="115"/>
      <c r="H22" s="84"/>
      <c r="O22" s="79"/>
      <c r="P22" s="79"/>
      <c r="S22" s="79"/>
      <c r="T22" s="79"/>
      <c r="W22" s="130"/>
      <c r="Y22" s="106"/>
    </row>
    <row r="23">
      <c r="A23" s="19" t="s">
        <v>28</v>
      </c>
      <c r="B23" s="20"/>
      <c r="C23" s="116"/>
      <c r="D23" s="117"/>
      <c r="H23" s="85"/>
      <c r="I23" s="85"/>
      <c r="J23" s="118"/>
      <c r="O23" s="79"/>
      <c r="P23" s="79"/>
      <c r="S23" s="79"/>
      <c r="T23" s="79"/>
      <c r="W23" s="130"/>
      <c r="Y23" s="106"/>
    </row>
    <row r="24">
      <c r="A24" s="22" t="s">
        <v>29</v>
      </c>
      <c r="B24" s="23" t="s">
        <v>30</v>
      </c>
      <c r="C24" s="119" t="s">
        <v>170</v>
      </c>
      <c r="D24" s="120" t="s">
        <v>171</v>
      </c>
      <c r="H24" s="86"/>
      <c r="I24" s="85"/>
      <c r="J24" s="118"/>
      <c r="O24" s="79"/>
      <c r="P24" s="79"/>
      <c r="S24" s="79"/>
      <c r="T24" s="79"/>
      <c r="W24" s="130"/>
      <c r="Y24" s="106"/>
    </row>
    <row r="25">
      <c r="A25" s="28" t="s">
        <v>149</v>
      </c>
      <c r="B25" s="72"/>
      <c r="C25" s="121"/>
      <c r="D25" s="122"/>
      <c r="H25" s="87"/>
      <c r="I25" s="85"/>
      <c r="J25" s="118"/>
      <c r="O25" s="79"/>
      <c r="P25" s="79"/>
      <c r="S25" s="79"/>
      <c r="T25" s="79"/>
      <c r="W25" s="130"/>
      <c r="Y25" s="106"/>
    </row>
    <row r="26">
      <c r="A26" s="28" t="s">
        <v>150</v>
      </c>
      <c r="B26" s="72"/>
      <c r="C26" s="121"/>
      <c r="D26" s="122"/>
      <c r="H26" s="88"/>
      <c r="I26" s="88"/>
      <c r="J26" s="123"/>
      <c r="O26" s="79"/>
      <c r="P26" s="79"/>
      <c r="S26" s="79"/>
      <c r="T26" s="79"/>
      <c r="W26" s="130"/>
      <c r="Y26" s="106"/>
    </row>
    <row r="27">
      <c r="A27" s="71" t="s">
        <v>108</v>
      </c>
      <c r="B27" s="72">
        <v>1637.85</v>
      </c>
      <c r="C27" s="71"/>
      <c r="D27" s="124" t="s">
        <v>184</v>
      </c>
      <c r="H27" s="88"/>
      <c r="I27" s="88"/>
      <c r="J27" s="123"/>
      <c r="O27" s="79"/>
      <c r="P27" s="79"/>
      <c r="S27" s="79"/>
      <c r="T27" s="79"/>
      <c r="W27" s="130"/>
      <c r="Y27" s="106"/>
    </row>
    <row r="28">
      <c r="A28" s="28" t="s">
        <v>159</v>
      </c>
      <c r="B28" s="41"/>
      <c r="C28" s="121"/>
      <c r="D28" s="124"/>
      <c r="H28" s="88"/>
      <c r="I28" s="88"/>
      <c r="J28" s="123"/>
      <c r="O28" s="79"/>
      <c r="P28" s="79"/>
      <c r="S28" s="79"/>
      <c r="T28" s="79"/>
      <c r="W28" s="130"/>
      <c r="Y28" s="106"/>
    </row>
    <row r="29">
      <c r="A29" s="28" t="s">
        <v>160</v>
      </c>
      <c r="B29" s="41"/>
      <c r="C29" s="71"/>
      <c r="D29" s="124"/>
      <c r="H29" s="88"/>
      <c r="I29" s="88"/>
      <c r="J29" s="123"/>
      <c r="O29" s="79"/>
      <c r="P29" s="79"/>
      <c r="S29" s="79"/>
      <c r="T29" s="79"/>
      <c r="W29" s="130"/>
      <c r="Y29" s="106"/>
    </row>
    <row r="30">
      <c r="A30" s="28" t="s">
        <v>172</v>
      </c>
      <c r="B30" s="41"/>
      <c r="C30" s="71"/>
      <c r="D30" s="122"/>
      <c r="H30" s="88"/>
      <c r="I30" s="88"/>
      <c r="J30" s="123"/>
      <c r="O30" s="79"/>
      <c r="P30" s="79"/>
      <c r="S30" s="79"/>
      <c r="T30" s="79"/>
      <c r="W30" s="130"/>
      <c r="Y30" s="106"/>
    </row>
    <row r="31">
      <c r="A31" s="28" t="s">
        <v>185</v>
      </c>
      <c r="B31" s="41">
        <v>838.86</v>
      </c>
      <c r="C31" s="121"/>
      <c r="D31" s="124" t="s">
        <v>186</v>
      </c>
      <c r="J31" s="79"/>
      <c r="O31" s="79"/>
      <c r="P31" s="79"/>
      <c r="S31" s="79"/>
      <c r="T31" s="79"/>
      <c r="W31" s="132"/>
      <c r="Y31" s="106"/>
    </row>
    <row r="32">
      <c r="A32" s="25"/>
      <c r="B32" s="26"/>
      <c r="C32" s="121"/>
      <c r="D32" s="122"/>
      <c r="I32" s="89"/>
      <c r="J32" s="125"/>
      <c r="O32" s="79"/>
      <c r="P32" s="79"/>
      <c r="S32" s="79"/>
      <c r="T32" s="79"/>
      <c r="W32" s="130"/>
      <c r="Y32" s="106"/>
    </row>
    <row r="33">
      <c r="C33" s="79"/>
      <c r="D33" s="79"/>
      <c r="J33" s="79"/>
      <c r="O33" s="79"/>
      <c r="P33" s="79"/>
      <c r="S33" s="79"/>
      <c r="T33" s="79"/>
      <c r="W33" s="130"/>
      <c r="Y33" s="106"/>
    </row>
    <row r="34">
      <c r="C34" s="79"/>
      <c r="D34" s="79"/>
      <c r="J34" s="79"/>
      <c r="O34" s="79"/>
      <c r="P34" s="79"/>
      <c r="S34" s="79"/>
      <c r="T34" s="79"/>
      <c r="W34" s="130"/>
      <c r="Y34" s="106"/>
    </row>
    <row r="35">
      <c r="C35" s="79"/>
      <c r="D35" s="79"/>
      <c r="J35" s="79"/>
      <c r="O35" s="79"/>
      <c r="P35" s="79"/>
      <c r="S35" s="79"/>
      <c r="T35" s="79"/>
      <c r="W35" s="130"/>
      <c r="Y35" s="106"/>
    </row>
    <row r="36">
      <c r="C36" s="79"/>
      <c r="D36" s="79"/>
      <c r="J36" s="79"/>
      <c r="O36" s="79"/>
      <c r="P36" s="79"/>
      <c r="S36" s="79"/>
      <c r="T36" s="79"/>
      <c r="W36" s="130"/>
      <c r="Y36" s="106"/>
    </row>
    <row r="37">
      <c r="C37" s="79"/>
      <c r="D37" s="79"/>
      <c r="J37" s="79"/>
      <c r="O37" s="79"/>
      <c r="P37" s="79"/>
      <c r="S37" s="79"/>
      <c r="T37" s="79"/>
      <c r="W37" s="130"/>
      <c r="Y37" s="106"/>
    </row>
    <row r="38">
      <c r="C38" s="79"/>
      <c r="D38" s="79"/>
      <c r="J38" s="79"/>
      <c r="O38" s="79"/>
      <c r="P38" s="79"/>
      <c r="S38" s="79"/>
      <c r="T38" s="79"/>
      <c r="W38" s="130"/>
      <c r="Y38" s="106"/>
    </row>
    <row r="39">
      <c r="C39" s="79"/>
      <c r="D39" s="79"/>
      <c r="J39" s="79"/>
      <c r="O39" s="79"/>
      <c r="P39" s="79"/>
      <c r="S39" s="79"/>
      <c r="T39" s="79"/>
      <c r="W39" s="130"/>
      <c r="Y39" s="106"/>
    </row>
    <row r="40">
      <c r="C40" s="79"/>
      <c r="D40" s="79"/>
      <c r="J40" s="79"/>
      <c r="O40" s="79"/>
      <c r="P40" s="79"/>
      <c r="S40" s="79"/>
      <c r="T40" s="79"/>
      <c r="W40" s="130"/>
      <c r="Y40" s="106"/>
    </row>
    <row r="41">
      <c r="C41" s="79"/>
      <c r="D41" s="79"/>
      <c r="J41" s="79"/>
      <c r="O41" s="79"/>
      <c r="P41" s="79"/>
      <c r="S41" s="79"/>
      <c r="T41" s="79"/>
      <c r="W41" s="130"/>
      <c r="Y41" s="106"/>
    </row>
    <row r="42">
      <c r="C42" s="79"/>
      <c r="D42" s="79"/>
      <c r="J42" s="79"/>
      <c r="O42" s="79"/>
      <c r="P42" s="79"/>
      <c r="S42" s="79"/>
      <c r="T42" s="79"/>
      <c r="W42" s="130"/>
      <c r="Y42" s="106"/>
    </row>
    <row r="43">
      <c r="C43" s="79"/>
      <c r="D43" s="79"/>
      <c r="J43" s="79"/>
      <c r="O43" s="79"/>
      <c r="P43" s="79"/>
      <c r="S43" s="79"/>
      <c r="T43" s="79"/>
      <c r="W43" s="130"/>
      <c r="Y43" s="106"/>
    </row>
    <row r="44">
      <c r="C44" s="79"/>
      <c r="D44" s="79"/>
      <c r="J44" s="79"/>
      <c r="O44" s="79"/>
      <c r="P44" s="79"/>
      <c r="S44" s="79"/>
      <c r="T44" s="79"/>
      <c r="W44" s="130"/>
      <c r="Y44" s="106"/>
    </row>
    <row r="45">
      <c r="C45" s="79"/>
      <c r="D45" s="79"/>
      <c r="J45" s="79"/>
      <c r="O45" s="79"/>
      <c r="P45" s="79"/>
      <c r="S45" s="79"/>
      <c r="T45" s="79"/>
      <c r="W45" s="130"/>
      <c r="Y45" s="106"/>
    </row>
    <row r="46">
      <c r="C46" s="79"/>
      <c r="D46" s="79"/>
      <c r="J46" s="79"/>
      <c r="O46" s="79"/>
      <c r="P46" s="79"/>
      <c r="S46" s="79"/>
      <c r="T46" s="79"/>
      <c r="W46" s="130"/>
      <c r="Y46" s="106"/>
    </row>
    <row r="47">
      <c r="C47" s="79"/>
      <c r="D47" s="79"/>
      <c r="J47" s="79"/>
      <c r="O47" s="79"/>
      <c r="P47" s="79"/>
      <c r="S47" s="79"/>
      <c r="T47" s="79"/>
      <c r="W47" s="130"/>
      <c r="Y47" s="106"/>
    </row>
    <row r="48">
      <c r="C48" s="79"/>
      <c r="D48" s="79"/>
      <c r="J48" s="79"/>
      <c r="O48" s="79"/>
      <c r="P48" s="79"/>
      <c r="S48" s="79"/>
      <c r="T48" s="79"/>
      <c r="W48" s="130"/>
      <c r="Y48" s="106"/>
    </row>
    <row r="49">
      <c r="C49" s="79"/>
      <c r="D49" s="79"/>
      <c r="J49" s="79"/>
      <c r="O49" s="79"/>
      <c r="P49" s="79"/>
      <c r="S49" s="79"/>
      <c r="T49" s="79"/>
      <c r="W49" s="130"/>
      <c r="Y49" s="106"/>
    </row>
    <row r="50">
      <c r="C50" s="79"/>
      <c r="D50" s="79"/>
      <c r="J50" s="79"/>
      <c r="O50" s="79"/>
      <c r="P50" s="79"/>
      <c r="S50" s="79"/>
      <c r="T50" s="79"/>
      <c r="W50" s="130"/>
      <c r="Y50" s="106"/>
    </row>
    <row r="51">
      <c r="C51" s="79"/>
      <c r="D51" s="79"/>
      <c r="J51" s="79"/>
      <c r="O51" s="79"/>
      <c r="P51" s="79"/>
      <c r="S51" s="79"/>
      <c r="T51" s="79"/>
      <c r="W51" s="130"/>
      <c r="Y51" s="106"/>
    </row>
    <row r="52">
      <c r="C52" s="79"/>
      <c r="D52" s="79"/>
      <c r="J52" s="79"/>
      <c r="O52" s="79"/>
      <c r="P52" s="79"/>
      <c r="S52" s="79"/>
      <c r="T52" s="79"/>
      <c r="W52" s="130"/>
      <c r="Y52" s="106"/>
    </row>
    <row r="53">
      <c r="C53" s="79"/>
      <c r="D53" s="79"/>
      <c r="J53" s="79"/>
      <c r="O53" s="79"/>
      <c r="P53" s="79"/>
      <c r="S53" s="79"/>
      <c r="T53" s="79"/>
      <c r="W53" s="130"/>
      <c r="Y53" s="106"/>
    </row>
    <row r="54">
      <c r="C54" s="79"/>
      <c r="D54" s="79"/>
      <c r="J54" s="79"/>
      <c r="O54" s="79"/>
      <c r="P54" s="79"/>
      <c r="S54" s="79"/>
      <c r="T54" s="79"/>
      <c r="W54" s="130"/>
      <c r="Y54" s="106"/>
    </row>
    <row r="55">
      <c r="C55" s="79"/>
      <c r="D55" s="79"/>
      <c r="J55" s="79"/>
      <c r="O55" s="79"/>
      <c r="P55" s="79"/>
      <c r="S55" s="79"/>
      <c r="T55" s="79"/>
      <c r="W55" s="130"/>
      <c r="Y55" s="106"/>
    </row>
    <row r="56">
      <c r="C56" s="79"/>
      <c r="D56" s="79"/>
      <c r="J56" s="79"/>
      <c r="O56" s="79"/>
      <c r="P56" s="79"/>
      <c r="S56" s="79"/>
      <c r="T56" s="79"/>
      <c r="W56" s="130"/>
      <c r="Y56" s="106"/>
    </row>
    <row r="57">
      <c r="C57" s="79"/>
      <c r="D57" s="79"/>
      <c r="J57" s="79"/>
      <c r="O57" s="79"/>
      <c r="P57" s="79"/>
      <c r="S57" s="79"/>
      <c r="T57" s="79"/>
      <c r="W57" s="130"/>
      <c r="Y57" s="106"/>
    </row>
    <row r="58">
      <c r="C58" s="79"/>
      <c r="D58" s="79"/>
      <c r="J58" s="79"/>
      <c r="O58" s="79"/>
      <c r="P58" s="79"/>
      <c r="S58" s="79"/>
      <c r="T58" s="79"/>
      <c r="W58" s="130"/>
      <c r="Y58" s="106"/>
    </row>
    <row r="59">
      <c r="C59" s="79"/>
      <c r="D59" s="79"/>
      <c r="J59" s="79"/>
      <c r="O59" s="79"/>
      <c r="P59" s="79"/>
      <c r="S59" s="79"/>
      <c r="T59" s="79"/>
      <c r="W59" s="130"/>
      <c r="Y59" s="106"/>
    </row>
    <row r="60">
      <c r="C60" s="79"/>
      <c r="D60" s="79"/>
      <c r="J60" s="79"/>
      <c r="O60" s="79"/>
      <c r="P60" s="79"/>
      <c r="S60" s="79"/>
      <c r="T60" s="79"/>
      <c r="W60" s="130"/>
      <c r="Y60" s="106"/>
    </row>
    <row r="61">
      <c r="C61" s="79"/>
      <c r="D61" s="79"/>
      <c r="J61" s="79"/>
      <c r="O61" s="79"/>
      <c r="P61" s="79"/>
      <c r="S61" s="79"/>
      <c r="T61" s="79"/>
      <c r="W61" s="130"/>
      <c r="Y61" s="106"/>
    </row>
    <row r="62">
      <c r="C62" s="79"/>
      <c r="D62" s="79"/>
      <c r="J62" s="79"/>
      <c r="O62" s="79"/>
      <c r="P62" s="79"/>
      <c r="S62" s="79"/>
      <c r="T62" s="79"/>
      <c r="W62" s="130"/>
      <c r="Y62" s="106"/>
    </row>
    <row r="63">
      <c r="C63" s="79"/>
      <c r="D63" s="79"/>
      <c r="J63" s="79"/>
      <c r="O63" s="79"/>
      <c r="P63" s="79"/>
      <c r="S63" s="79"/>
      <c r="T63" s="79"/>
      <c r="W63" s="130"/>
      <c r="Y63" s="106"/>
    </row>
    <row r="64">
      <c r="C64" s="79"/>
      <c r="D64" s="79"/>
      <c r="J64" s="79"/>
      <c r="O64" s="79"/>
      <c r="P64" s="79"/>
      <c r="S64" s="79"/>
      <c r="T64" s="79"/>
      <c r="W64" s="130"/>
      <c r="Y64" s="106"/>
    </row>
    <row r="65">
      <c r="C65" s="79"/>
      <c r="D65" s="79"/>
      <c r="J65" s="79"/>
      <c r="O65" s="79"/>
      <c r="P65" s="79"/>
      <c r="S65" s="79"/>
      <c r="T65" s="79"/>
      <c r="W65" s="130"/>
      <c r="Y65" s="106"/>
    </row>
    <row r="66">
      <c r="C66" s="79"/>
      <c r="D66" s="79"/>
      <c r="J66" s="79"/>
      <c r="O66" s="79"/>
      <c r="P66" s="79"/>
      <c r="S66" s="79"/>
      <c r="T66" s="79"/>
      <c r="W66" s="130"/>
      <c r="Y66" s="106"/>
    </row>
    <row r="67">
      <c r="C67" s="79"/>
      <c r="D67" s="79"/>
      <c r="J67" s="79"/>
      <c r="O67" s="79"/>
      <c r="P67" s="79"/>
      <c r="S67" s="79"/>
      <c r="T67" s="79"/>
      <c r="W67" s="130"/>
      <c r="Y67" s="106"/>
    </row>
    <row r="68">
      <c r="C68" s="79"/>
      <c r="D68" s="79"/>
      <c r="J68" s="79"/>
      <c r="O68" s="79"/>
      <c r="P68" s="79"/>
      <c r="S68" s="79"/>
      <c r="T68" s="79"/>
      <c r="W68" s="130"/>
      <c r="Y68" s="106"/>
    </row>
    <row r="69">
      <c r="C69" s="79"/>
      <c r="D69" s="79"/>
      <c r="J69" s="79"/>
      <c r="O69" s="79"/>
      <c r="P69" s="79"/>
      <c r="S69" s="79"/>
      <c r="T69" s="79"/>
      <c r="W69" s="130"/>
      <c r="Y69" s="106"/>
    </row>
    <row r="70">
      <c r="C70" s="79"/>
      <c r="D70" s="79"/>
      <c r="J70" s="79"/>
      <c r="O70" s="79"/>
      <c r="P70" s="79"/>
      <c r="S70" s="79"/>
      <c r="T70" s="79"/>
      <c r="W70" s="130"/>
      <c r="Y70" s="106"/>
    </row>
    <row r="71">
      <c r="C71" s="79"/>
      <c r="D71" s="79"/>
      <c r="J71" s="79"/>
      <c r="O71" s="79"/>
      <c r="P71" s="79"/>
      <c r="S71" s="79"/>
      <c r="T71" s="79"/>
      <c r="W71" s="130"/>
      <c r="Y71" s="106"/>
    </row>
    <row r="72">
      <c r="C72" s="79"/>
      <c r="D72" s="79"/>
      <c r="J72" s="79"/>
      <c r="O72" s="79"/>
      <c r="P72" s="79"/>
      <c r="S72" s="79"/>
      <c r="T72" s="79"/>
      <c r="W72" s="130"/>
      <c r="Y72" s="106"/>
    </row>
    <row r="73">
      <c r="C73" s="79"/>
      <c r="D73" s="79"/>
      <c r="J73" s="79"/>
      <c r="O73" s="79"/>
      <c r="P73" s="79"/>
      <c r="S73" s="79"/>
      <c r="T73" s="79"/>
      <c r="W73" s="130"/>
      <c r="Y73" s="106"/>
    </row>
    <row r="74">
      <c r="C74" s="79"/>
      <c r="D74" s="79"/>
      <c r="J74" s="79"/>
      <c r="O74" s="79"/>
      <c r="P74" s="79"/>
      <c r="S74" s="79"/>
      <c r="T74" s="79"/>
      <c r="W74" s="130"/>
      <c r="Y74" s="106"/>
    </row>
    <row r="75">
      <c r="C75" s="79"/>
      <c r="D75" s="79"/>
      <c r="J75" s="79"/>
      <c r="O75" s="79"/>
      <c r="P75" s="79"/>
      <c r="S75" s="79"/>
      <c r="T75" s="79"/>
      <c r="W75" s="130"/>
      <c r="Y75" s="106"/>
    </row>
    <row r="76">
      <c r="C76" s="79"/>
      <c r="D76" s="79"/>
      <c r="J76" s="79"/>
      <c r="O76" s="79"/>
      <c r="P76" s="79"/>
      <c r="S76" s="79"/>
      <c r="T76" s="79"/>
      <c r="W76" s="130"/>
      <c r="Y76" s="106"/>
    </row>
    <row r="77">
      <c r="C77" s="79"/>
      <c r="D77" s="79"/>
      <c r="J77" s="79"/>
      <c r="O77" s="79"/>
      <c r="P77" s="79"/>
      <c r="S77" s="79"/>
      <c r="T77" s="79"/>
      <c r="W77" s="130"/>
      <c r="Y77" s="106"/>
    </row>
    <row r="78">
      <c r="C78" s="79"/>
      <c r="D78" s="79"/>
      <c r="J78" s="79"/>
      <c r="O78" s="79"/>
      <c r="P78" s="79"/>
      <c r="S78" s="79"/>
      <c r="T78" s="79"/>
      <c r="W78" s="130"/>
      <c r="Y78" s="106"/>
    </row>
    <row r="79">
      <c r="C79" s="79"/>
      <c r="D79" s="79"/>
      <c r="J79" s="79"/>
      <c r="O79" s="79"/>
      <c r="P79" s="79"/>
      <c r="S79" s="79"/>
      <c r="T79" s="79"/>
      <c r="W79" s="130"/>
      <c r="Y79" s="106"/>
    </row>
    <row r="80">
      <c r="C80" s="79"/>
      <c r="D80" s="79"/>
      <c r="J80" s="79"/>
      <c r="O80" s="79"/>
      <c r="P80" s="79"/>
      <c r="S80" s="79"/>
      <c r="T80" s="79"/>
      <c r="W80" s="130"/>
      <c r="Y80" s="106"/>
    </row>
    <row r="81">
      <c r="C81" s="79"/>
      <c r="D81" s="79"/>
      <c r="J81" s="79"/>
      <c r="O81" s="79"/>
      <c r="P81" s="79"/>
      <c r="S81" s="79"/>
      <c r="T81" s="79"/>
      <c r="W81" s="130"/>
      <c r="Y81" s="106"/>
    </row>
    <row r="82">
      <c r="C82" s="79"/>
      <c r="D82" s="79"/>
      <c r="J82" s="79"/>
      <c r="O82" s="79"/>
      <c r="P82" s="79"/>
      <c r="S82" s="79"/>
      <c r="T82" s="79"/>
      <c r="W82" s="130"/>
      <c r="Y82" s="106"/>
    </row>
    <row r="83">
      <c r="C83" s="79"/>
      <c r="D83" s="79"/>
      <c r="J83" s="79"/>
      <c r="O83" s="79"/>
      <c r="P83" s="79"/>
      <c r="S83" s="79"/>
      <c r="T83" s="79"/>
      <c r="W83" s="130"/>
      <c r="Y83" s="106"/>
    </row>
    <row r="84">
      <c r="C84" s="79"/>
      <c r="D84" s="79"/>
      <c r="J84" s="79"/>
      <c r="O84" s="79"/>
      <c r="P84" s="79"/>
      <c r="S84" s="79"/>
      <c r="T84" s="79"/>
      <c r="W84" s="130"/>
      <c r="Y84" s="106"/>
    </row>
    <row r="85">
      <c r="C85" s="79"/>
      <c r="D85" s="79"/>
      <c r="J85" s="79"/>
      <c r="O85" s="79"/>
      <c r="P85" s="79"/>
      <c r="S85" s="79"/>
      <c r="T85" s="79"/>
      <c r="W85" s="130"/>
      <c r="Y85" s="106"/>
    </row>
    <row r="86">
      <c r="C86" s="79"/>
      <c r="D86" s="79"/>
      <c r="J86" s="79"/>
      <c r="O86" s="79"/>
      <c r="P86" s="79"/>
      <c r="S86" s="79"/>
      <c r="T86" s="79"/>
      <c r="W86" s="130"/>
      <c r="Y86" s="106"/>
    </row>
    <row r="87">
      <c r="C87" s="79"/>
      <c r="D87" s="79"/>
      <c r="J87" s="79"/>
      <c r="O87" s="79"/>
      <c r="P87" s="79"/>
      <c r="S87" s="79"/>
      <c r="T87" s="79"/>
      <c r="W87" s="130"/>
      <c r="Y87" s="106"/>
    </row>
    <row r="88">
      <c r="C88" s="79"/>
      <c r="D88" s="79"/>
      <c r="J88" s="79"/>
      <c r="O88" s="79"/>
      <c r="P88" s="79"/>
      <c r="S88" s="79"/>
      <c r="T88" s="79"/>
      <c r="W88" s="130"/>
      <c r="Y88" s="106"/>
    </row>
    <row r="89">
      <c r="C89" s="79"/>
      <c r="D89" s="79"/>
      <c r="J89" s="79"/>
      <c r="O89" s="79"/>
      <c r="P89" s="79"/>
      <c r="S89" s="79"/>
      <c r="T89" s="79"/>
      <c r="W89" s="130"/>
      <c r="Y89" s="106"/>
    </row>
    <row r="90">
      <c r="C90" s="79"/>
      <c r="D90" s="79"/>
      <c r="J90" s="79"/>
      <c r="O90" s="79"/>
      <c r="P90" s="79"/>
      <c r="S90" s="79"/>
      <c r="T90" s="79"/>
      <c r="W90" s="130"/>
      <c r="Y90" s="106"/>
    </row>
    <row r="91">
      <c r="C91" s="79"/>
      <c r="D91" s="79"/>
      <c r="J91" s="79"/>
      <c r="O91" s="79"/>
      <c r="P91" s="79"/>
      <c r="S91" s="79"/>
      <c r="T91" s="79"/>
      <c r="W91" s="130"/>
      <c r="Y91" s="106"/>
    </row>
    <row r="92">
      <c r="C92" s="79"/>
      <c r="D92" s="79"/>
      <c r="J92" s="79"/>
      <c r="O92" s="79"/>
      <c r="P92" s="79"/>
      <c r="S92" s="79"/>
      <c r="T92" s="79"/>
      <c r="W92" s="130"/>
      <c r="Y92" s="106"/>
    </row>
    <row r="93">
      <c r="C93" s="79"/>
      <c r="D93" s="79"/>
      <c r="J93" s="79"/>
      <c r="O93" s="79"/>
      <c r="P93" s="79"/>
      <c r="S93" s="79"/>
      <c r="T93" s="79"/>
      <c r="W93" s="130"/>
      <c r="Y93" s="106"/>
    </row>
    <row r="94">
      <c r="C94" s="79"/>
      <c r="D94" s="79"/>
      <c r="J94" s="79"/>
      <c r="O94" s="79"/>
      <c r="P94" s="79"/>
      <c r="S94" s="79"/>
      <c r="T94" s="79"/>
      <c r="W94" s="130"/>
      <c r="Y94" s="106"/>
    </row>
    <row r="95">
      <c r="C95" s="79"/>
      <c r="D95" s="79"/>
      <c r="J95" s="79"/>
      <c r="O95" s="79"/>
      <c r="P95" s="79"/>
      <c r="S95" s="79"/>
      <c r="T95" s="79"/>
      <c r="W95" s="130"/>
      <c r="Y95" s="106"/>
    </row>
    <row r="96">
      <c r="C96" s="79"/>
      <c r="D96" s="79"/>
      <c r="J96" s="79"/>
      <c r="O96" s="79"/>
      <c r="P96" s="79"/>
      <c r="S96" s="79"/>
      <c r="T96" s="79"/>
      <c r="W96" s="130"/>
      <c r="Y96" s="106"/>
    </row>
    <row r="97">
      <c r="C97" s="79"/>
      <c r="D97" s="79"/>
      <c r="J97" s="79"/>
      <c r="O97" s="79"/>
      <c r="P97" s="79"/>
      <c r="S97" s="79"/>
      <c r="T97" s="79"/>
      <c r="W97" s="130"/>
      <c r="Y97" s="106"/>
    </row>
    <row r="98">
      <c r="C98" s="79"/>
      <c r="D98" s="79"/>
      <c r="J98" s="79"/>
      <c r="O98" s="79"/>
      <c r="P98" s="79"/>
      <c r="S98" s="79"/>
      <c r="T98" s="79"/>
      <c r="W98" s="130"/>
      <c r="Y98" s="106"/>
    </row>
    <row r="99">
      <c r="C99" s="79"/>
      <c r="D99" s="79"/>
      <c r="J99" s="79"/>
      <c r="O99" s="79"/>
      <c r="P99" s="79"/>
      <c r="S99" s="79"/>
      <c r="T99" s="79"/>
      <c r="W99" s="130"/>
      <c r="Y99" s="106"/>
    </row>
    <row r="100">
      <c r="C100" s="79"/>
      <c r="D100" s="79"/>
      <c r="J100" s="79"/>
      <c r="O100" s="79"/>
      <c r="P100" s="79"/>
      <c r="S100" s="79"/>
      <c r="T100" s="79"/>
      <c r="W100" s="130"/>
      <c r="Y100" s="106"/>
    </row>
    <row r="101">
      <c r="C101" s="79"/>
      <c r="D101" s="79"/>
      <c r="J101" s="79"/>
      <c r="O101" s="79"/>
      <c r="P101" s="79"/>
      <c r="S101" s="79"/>
      <c r="T101" s="79"/>
      <c r="W101" s="130"/>
      <c r="Y101" s="106"/>
    </row>
    <row r="102">
      <c r="C102" s="79"/>
      <c r="D102" s="79"/>
      <c r="J102" s="79"/>
      <c r="O102" s="79"/>
      <c r="P102" s="79"/>
      <c r="S102" s="79"/>
      <c r="T102" s="79"/>
      <c r="W102" s="130"/>
      <c r="Y102" s="106"/>
    </row>
    <row r="103">
      <c r="C103" s="79"/>
      <c r="D103" s="79"/>
      <c r="J103" s="79"/>
      <c r="O103" s="79"/>
      <c r="P103" s="79"/>
      <c r="S103" s="79"/>
      <c r="T103" s="79"/>
      <c r="W103" s="130"/>
      <c r="Y103" s="106"/>
    </row>
    <row r="104">
      <c r="C104" s="79"/>
      <c r="D104" s="79"/>
      <c r="J104" s="79"/>
      <c r="O104" s="79"/>
      <c r="P104" s="79"/>
      <c r="S104" s="79"/>
      <c r="T104" s="79"/>
      <c r="W104" s="130"/>
      <c r="Y104" s="106"/>
    </row>
    <row r="105">
      <c r="C105" s="79"/>
      <c r="D105" s="79"/>
      <c r="J105" s="79"/>
      <c r="O105" s="79"/>
      <c r="P105" s="79"/>
      <c r="S105" s="79"/>
      <c r="T105" s="79"/>
      <c r="W105" s="130"/>
      <c r="Y105" s="106"/>
    </row>
    <row r="106">
      <c r="C106" s="79"/>
      <c r="D106" s="79"/>
      <c r="J106" s="79"/>
      <c r="O106" s="79"/>
      <c r="P106" s="79"/>
      <c r="S106" s="79"/>
      <c r="T106" s="79"/>
      <c r="W106" s="130"/>
      <c r="Y106" s="106"/>
    </row>
    <row r="107">
      <c r="C107" s="79"/>
      <c r="D107" s="79"/>
      <c r="J107" s="79"/>
      <c r="O107" s="79"/>
      <c r="P107" s="79"/>
      <c r="S107" s="79"/>
      <c r="T107" s="79"/>
      <c r="W107" s="130"/>
      <c r="Y107" s="106"/>
    </row>
    <row r="108">
      <c r="C108" s="79"/>
      <c r="D108" s="79"/>
      <c r="J108" s="79"/>
      <c r="O108" s="79"/>
      <c r="P108" s="79"/>
      <c r="S108" s="79"/>
      <c r="T108" s="79"/>
      <c r="W108" s="130"/>
      <c r="Y108" s="106"/>
    </row>
    <row r="109">
      <c r="C109" s="79"/>
      <c r="D109" s="79"/>
      <c r="J109" s="79"/>
      <c r="O109" s="79"/>
      <c r="P109" s="79"/>
      <c r="S109" s="79"/>
      <c r="T109" s="79"/>
      <c r="W109" s="130"/>
      <c r="Y109" s="106"/>
    </row>
    <row r="110">
      <c r="C110" s="79"/>
      <c r="D110" s="79"/>
      <c r="J110" s="79"/>
      <c r="O110" s="79"/>
      <c r="P110" s="79"/>
      <c r="S110" s="79"/>
      <c r="T110" s="79"/>
      <c r="W110" s="130"/>
      <c r="Y110" s="106"/>
    </row>
    <row r="111">
      <c r="C111" s="79"/>
      <c r="D111" s="79"/>
      <c r="J111" s="79"/>
      <c r="O111" s="79"/>
      <c r="P111" s="79"/>
      <c r="S111" s="79"/>
      <c r="T111" s="79"/>
      <c r="W111" s="130"/>
      <c r="Y111" s="106"/>
    </row>
    <row r="112">
      <c r="C112" s="79"/>
      <c r="D112" s="79"/>
      <c r="J112" s="79"/>
      <c r="O112" s="79"/>
      <c r="P112" s="79"/>
      <c r="S112" s="79"/>
      <c r="T112" s="79"/>
      <c r="W112" s="130"/>
      <c r="Y112" s="106"/>
    </row>
    <row r="113">
      <c r="C113" s="79"/>
      <c r="D113" s="79"/>
      <c r="J113" s="79"/>
      <c r="O113" s="79"/>
      <c r="P113" s="79"/>
      <c r="S113" s="79"/>
      <c r="T113" s="79"/>
      <c r="W113" s="130"/>
      <c r="Y113" s="106"/>
    </row>
    <row r="114">
      <c r="C114" s="79"/>
      <c r="D114" s="79"/>
      <c r="J114" s="79"/>
      <c r="O114" s="79"/>
      <c r="P114" s="79"/>
      <c r="S114" s="79"/>
      <c r="T114" s="79"/>
      <c r="W114" s="130"/>
      <c r="Y114" s="106"/>
    </row>
    <row r="115">
      <c r="C115" s="79"/>
      <c r="D115" s="79"/>
      <c r="J115" s="79"/>
      <c r="O115" s="79"/>
      <c r="P115" s="79"/>
      <c r="S115" s="79"/>
      <c r="T115" s="79"/>
      <c r="W115" s="130"/>
      <c r="Y115" s="106"/>
    </row>
    <row r="116">
      <c r="C116" s="79"/>
      <c r="D116" s="79"/>
      <c r="J116" s="79"/>
      <c r="O116" s="79"/>
      <c r="P116" s="79"/>
      <c r="S116" s="79"/>
      <c r="T116" s="79"/>
      <c r="W116" s="130"/>
      <c r="Y116" s="106"/>
    </row>
    <row r="117">
      <c r="C117" s="79"/>
      <c r="D117" s="79"/>
      <c r="J117" s="79"/>
      <c r="O117" s="79"/>
      <c r="P117" s="79"/>
      <c r="S117" s="79"/>
      <c r="T117" s="79"/>
      <c r="W117" s="130"/>
      <c r="Y117" s="106"/>
    </row>
    <row r="118">
      <c r="C118" s="79"/>
      <c r="D118" s="79"/>
      <c r="J118" s="79"/>
      <c r="O118" s="79"/>
      <c r="P118" s="79"/>
      <c r="S118" s="79"/>
      <c r="T118" s="79"/>
      <c r="W118" s="130"/>
      <c r="Y118" s="106"/>
    </row>
    <row r="119">
      <c r="C119" s="79"/>
      <c r="D119" s="79"/>
      <c r="J119" s="79"/>
      <c r="O119" s="79"/>
      <c r="P119" s="79"/>
      <c r="S119" s="79"/>
      <c r="T119" s="79"/>
      <c r="W119" s="130"/>
      <c r="Y119" s="106"/>
    </row>
    <row r="120">
      <c r="C120" s="79"/>
      <c r="D120" s="79"/>
      <c r="J120" s="79"/>
      <c r="O120" s="79"/>
      <c r="P120" s="79"/>
      <c r="S120" s="79"/>
      <c r="T120" s="79"/>
      <c r="W120" s="130"/>
      <c r="Y120" s="106"/>
    </row>
    <row r="121">
      <c r="C121" s="79"/>
      <c r="D121" s="79"/>
      <c r="J121" s="79"/>
      <c r="O121" s="79"/>
      <c r="P121" s="79"/>
      <c r="S121" s="79"/>
      <c r="T121" s="79"/>
      <c r="W121" s="130"/>
      <c r="Y121" s="106"/>
    </row>
    <row r="122">
      <c r="C122" s="79"/>
      <c r="D122" s="79"/>
      <c r="J122" s="79"/>
      <c r="O122" s="79"/>
      <c r="P122" s="79"/>
      <c r="S122" s="79"/>
      <c r="T122" s="79"/>
      <c r="W122" s="130"/>
      <c r="Y122" s="106"/>
    </row>
    <row r="123">
      <c r="C123" s="79"/>
      <c r="D123" s="79"/>
      <c r="J123" s="79"/>
      <c r="O123" s="79"/>
      <c r="P123" s="79"/>
      <c r="S123" s="79"/>
      <c r="T123" s="79"/>
      <c r="W123" s="130"/>
      <c r="Y123" s="106"/>
    </row>
    <row r="124">
      <c r="C124" s="79"/>
      <c r="D124" s="79"/>
      <c r="J124" s="79"/>
      <c r="O124" s="79"/>
      <c r="P124" s="79"/>
      <c r="S124" s="79"/>
      <c r="T124" s="79"/>
      <c r="W124" s="130"/>
      <c r="Y124" s="106"/>
    </row>
    <row r="125">
      <c r="C125" s="79"/>
      <c r="D125" s="79"/>
      <c r="J125" s="79"/>
      <c r="O125" s="79"/>
      <c r="P125" s="79"/>
      <c r="S125" s="79"/>
      <c r="T125" s="79"/>
      <c r="W125" s="130"/>
      <c r="Y125" s="106"/>
    </row>
    <row r="126">
      <c r="C126" s="79"/>
      <c r="D126" s="79"/>
      <c r="J126" s="79"/>
      <c r="O126" s="79"/>
      <c r="P126" s="79"/>
      <c r="S126" s="79"/>
      <c r="T126" s="79"/>
      <c r="W126" s="130"/>
      <c r="Y126" s="106"/>
    </row>
    <row r="127">
      <c r="C127" s="79"/>
      <c r="D127" s="79"/>
      <c r="J127" s="79"/>
      <c r="O127" s="79"/>
      <c r="P127" s="79"/>
      <c r="S127" s="79"/>
      <c r="T127" s="79"/>
      <c r="W127" s="130"/>
      <c r="Y127" s="106"/>
    </row>
    <row r="128">
      <c r="C128" s="79"/>
      <c r="D128" s="79"/>
      <c r="J128" s="79"/>
      <c r="O128" s="79"/>
      <c r="P128" s="79"/>
      <c r="S128" s="79"/>
      <c r="T128" s="79"/>
      <c r="W128" s="130"/>
      <c r="Y128" s="106"/>
    </row>
    <row r="129">
      <c r="C129" s="79"/>
      <c r="D129" s="79"/>
      <c r="J129" s="79"/>
      <c r="O129" s="79"/>
      <c r="P129" s="79"/>
      <c r="S129" s="79"/>
      <c r="T129" s="79"/>
      <c r="W129" s="130"/>
      <c r="Y129" s="106"/>
    </row>
    <row r="130">
      <c r="C130" s="79"/>
      <c r="D130" s="79"/>
      <c r="J130" s="79"/>
      <c r="O130" s="79"/>
      <c r="P130" s="79"/>
      <c r="S130" s="79"/>
      <c r="T130" s="79"/>
      <c r="W130" s="130"/>
      <c r="Y130" s="106"/>
    </row>
    <row r="131">
      <c r="C131" s="79"/>
      <c r="D131" s="79"/>
      <c r="J131" s="79"/>
      <c r="O131" s="79"/>
      <c r="P131" s="79"/>
      <c r="S131" s="79"/>
      <c r="T131" s="79"/>
      <c r="W131" s="130"/>
      <c r="Y131" s="106"/>
    </row>
    <row r="132">
      <c r="C132" s="79"/>
      <c r="D132" s="79"/>
      <c r="J132" s="79"/>
      <c r="O132" s="79"/>
      <c r="P132" s="79"/>
      <c r="S132" s="79"/>
      <c r="T132" s="79"/>
      <c r="W132" s="130"/>
      <c r="Y132" s="106"/>
    </row>
    <row r="133">
      <c r="C133" s="79"/>
      <c r="D133" s="79"/>
      <c r="J133" s="79"/>
      <c r="O133" s="79"/>
      <c r="P133" s="79"/>
      <c r="S133" s="79"/>
      <c r="T133" s="79"/>
      <c r="W133" s="130"/>
      <c r="Y133" s="106"/>
    </row>
    <row r="134">
      <c r="C134" s="79"/>
      <c r="D134" s="79"/>
      <c r="J134" s="79"/>
      <c r="O134" s="79"/>
      <c r="P134" s="79"/>
      <c r="S134" s="79"/>
      <c r="T134" s="79"/>
      <c r="W134" s="130"/>
      <c r="Y134" s="106"/>
    </row>
    <row r="135">
      <c r="C135" s="79"/>
      <c r="D135" s="79"/>
      <c r="J135" s="79"/>
      <c r="O135" s="79"/>
      <c r="P135" s="79"/>
      <c r="S135" s="79"/>
      <c r="T135" s="79"/>
      <c r="W135" s="130"/>
      <c r="Y135" s="106"/>
    </row>
    <row r="136">
      <c r="C136" s="79"/>
      <c r="D136" s="79"/>
      <c r="J136" s="79"/>
      <c r="O136" s="79"/>
      <c r="P136" s="79"/>
      <c r="S136" s="79"/>
      <c r="T136" s="79"/>
      <c r="W136" s="130"/>
      <c r="Y136" s="106"/>
    </row>
    <row r="137">
      <c r="C137" s="79"/>
      <c r="D137" s="79"/>
      <c r="J137" s="79"/>
      <c r="O137" s="79"/>
      <c r="P137" s="79"/>
      <c r="S137" s="79"/>
      <c r="T137" s="79"/>
      <c r="W137" s="130"/>
      <c r="Y137" s="106"/>
    </row>
    <row r="138">
      <c r="C138" s="79"/>
      <c r="D138" s="79"/>
      <c r="J138" s="79"/>
      <c r="O138" s="79"/>
      <c r="P138" s="79"/>
      <c r="S138" s="79"/>
      <c r="T138" s="79"/>
      <c r="W138" s="130"/>
      <c r="Y138" s="106"/>
    </row>
    <row r="139">
      <c r="C139" s="79"/>
      <c r="D139" s="79"/>
      <c r="J139" s="79"/>
      <c r="O139" s="79"/>
      <c r="P139" s="79"/>
      <c r="S139" s="79"/>
      <c r="T139" s="79"/>
      <c r="W139" s="130"/>
      <c r="Y139" s="106"/>
    </row>
    <row r="140">
      <c r="C140" s="79"/>
      <c r="D140" s="79"/>
      <c r="J140" s="79"/>
      <c r="O140" s="79"/>
      <c r="P140" s="79"/>
      <c r="S140" s="79"/>
      <c r="T140" s="79"/>
      <c r="W140" s="130"/>
      <c r="Y140" s="106"/>
    </row>
    <row r="141">
      <c r="C141" s="79"/>
      <c r="D141" s="79"/>
      <c r="J141" s="79"/>
      <c r="O141" s="79"/>
      <c r="P141" s="79"/>
      <c r="S141" s="79"/>
      <c r="T141" s="79"/>
      <c r="W141" s="130"/>
      <c r="Y141" s="106"/>
    </row>
    <row r="142">
      <c r="C142" s="79"/>
      <c r="D142" s="79"/>
      <c r="J142" s="79"/>
      <c r="O142" s="79"/>
      <c r="P142" s="79"/>
      <c r="S142" s="79"/>
      <c r="T142" s="79"/>
      <c r="W142" s="130"/>
      <c r="Y142" s="106"/>
    </row>
    <row r="143">
      <c r="C143" s="79"/>
      <c r="D143" s="79"/>
      <c r="J143" s="79"/>
      <c r="O143" s="79"/>
      <c r="P143" s="79"/>
      <c r="S143" s="79"/>
      <c r="T143" s="79"/>
      <c r="W143" s="130"/>
      <c r="Y143" s="106"/>
    </row>
    <row r="144">
      <c r="C144" s="79"/>
      <c r="D144" s="79"/>
      <c r="J144" s="79"/>
      <c r="O144" s="79"/>
      <c r="P144" s="79"/>
      <c r="S144" s="79"/>
      <c r="T144" s="79"/>
      <c r="W144" s="130"/>
      <c r="Y144" s="106"/>
    </row>
    <row r="145">
      <c r="C145" s="79"/>
      <c r="D145" s="79"/>
      <c r="J145" s="79"/>
      <c r="O145" s="79"/>
      <c r="P145" s="79"/>
      <c r="S145" s="79"/>
      <c r="T145" s="79"/>
      <c r="W145" s="130"/>
      <c r="Y145" s="106"/>
    </row>
    <row r="146">
      <c r="C146" s="79"/>
      <c r="D146" s="79"/>
      <c r="J146" s="79"/>
      <c r="O146" s="79"/>
      <c r="P146" s="79"/>
      <c r="S146" s="79"/>
      <c r="T146" s="79"/>
      <c r="W146" s="130"/>
      <c r="Y146" s="106"/>
    </row>
    <row r="147">
      <c r="C147" s="79"/>
      <c r="D147" s="79"/>
      <c r="J147" s="79"/>
      <c r="O147" s="79"/>
      <c r="P147" s="79"/>
      <c r="S147" s="79"/>
      <c r="T147" s="79"/>
      <c r="W147" s="130"/>
      <c r="Y147" s="106"/>
    </row>
    <row r="148">
      <c r="C148" s="79"/>
      <c r="D148" s="79"/>
      <c r="J148" s="79"/>
      <c r="O148" s="79"/>
      <c r="P148" s="79"/>
      <c r="S148" s="79"/>
      <c r="T148" s="79"/>
      <c r="W148" s="130"/>
      <c r="Y148" s="106"/>
    </row>
    <row r="149">
      <c r="C149" s="79"/>
      <c r="D149" s="79"/>
      <c r="J149" s="79"/>
      <c r="O149" s="79"/>
      <c r="P149" s="79"/>
      <c r="S149" s="79"/>
      <c r="T149" s="79"/>
      <c r="W149" s="130"/>
      <c r="Y149" s="106"/>
    </row>
    <row r="150">
      <c r="C150" s="79"/>
      <c r="D150" s="79"/>
      <c r="J150" s="79"/>
      <c r="O150" s="79"/>
      <c r="P150" s="79"/>
      <c r="S150" s="79"/>
      <c r="T150" s="79"/>
      <c r="W150" s="130"/>
      <c r="Y150" s="106"/>
    </row>
    <row r="151">
      <c r="C151" s="79"/>
      <c r="D151" s="79"/>
      <c r="J151" s="79"/>
      <c r="O151" s="79"/>
      <c r="P151" s="79"/>
      <c r="S151" s="79"/>
      <c r="T151" s="79"/>
      <c r="W151" s="130"/>
      <c r="Y151" s="106"/>
    </row>
    <row r="152">
      <c r="C152" s="79"/>
      <c r="D152" s="79"/>
      <c r="J152" s="79"/>
      <c r="O152" s="79"/>
      <c r="P152" s="79"/>
      <c r="S152" s="79"/>
      <c r="T152" s="79"/>
      <c r="W152" s="130"/>
      <c r="Y152" s="106"/>
    </row>
    <row r="153">
      <c r="C153" s="79"/>
      <c r="D153" s="79"/>
      <c r="J153" s="79"/>
      <c r="O153" s="79"/>
      <c r="P153" s="79"/>
      <c r="S153" s="79"/>
      <c r="T153" s="79"/>
      <c r="W153" s="130"/>
      <c r="Y153" s="106"/>
    </row>
    <row r="154">
      <c r="C154" s="79"/>
      <c r="D154" s="79"/>
      <c r="J154" s="79"/>
      <c r="O154" s="79"/>
      <c r="P154" s="79"/>
      <c r="S154" s="79"/>
      <c r="T154" s="79"/>
      <c r="W154" s="130"/>
      <c r="Y154" s="106"/>
    </row>
    <row r="155">
      <c r="C155" s="79"/>
      <c r="D155" s="79"/>
      <c r="J155" s="79"/>
      <c r="O155" s="79"/>
      <c r="P155" s="79"/>
      <c r="S155" s="79"/>
      <c r="T155" s="79"/>
      <c r="W155" s="130"/>
      <c r="Y155" s="106"/>
    </row>
    <row r="156">
      <c r="C156" s="79"/>
      <c r="D156" s="79"/>
      <c r="J156" s="79"/>
      <c r="O156" s="79"/>
      <c r="P156" s="79"/>
      <c r="S156" s="79"/>
      <c r="T156" s="79"/>
      <c r="W156" s="130"/>
      <c r="Y156" s="106"/>
    </row>
    <row r="157">
      <c r="C157" s="79"/>
      <c r="D157" s="79"/>
      <c r="J157" s="79"/>
      <c r="O157" s="79"/>
      <c r="P157" s="79"/>
      <c r="S157" s="79"/>
      <c r="T157" s="79"/>
      <c r="W157" s="130"/>
      <c r="Y157" s="106"/>
    </row>
    <row r="158">
      <c r="C158" s="79"/>
      <c r="D158" s="79"/>
      <c r="J158" s="79"/>
      <c r="O158" s="79"/>
      <c r="P158" s="79"/>
      <c r="S158" s="79"/>
      <c r="T158" s="79"/>
      <c r="W158" s="130"/>
      <c r="Y158" s="106"/>
    </row>
    <row r="159">
      <c r="C159" s="79"/>
      <c r="D159" s="79"/>
      <c r="J159" s="79"/>
      <c r="O159" s="79"/>
      <c r="P159" s="79"/>
      <c r="S159" s="79"/>
      <c r="T159" s="79"/>
      <c r="W159" s="130"/>
      <c r="Y159" s="106"/>
    </row>
    <row r="160">
      <c r="C160" s="79"/>
      <c r="D160" s="79"/>
      <c r="J160" s="79"/>
      <c r="O160" s="79"/>
      <c r="P160" s="79"/>
      <c r="S160" s="79"/>
      <c r="T160" s="79"/>
      <c r="W160" s="130"/>
      <c r="Y160" s="106"/>
    </row>
    <row r="161">
      <c r="C161" s="79"/>
      <c r="D161" s="79"/>
      <c r="J161" s="79"/>
      <c r="O161" s="79"/>
      <c r="P161" s="79"/>
      <c r="S161" s="79"/>
      <c r="T161" s="79"/>
      <c r="W161" s="130"/>
      <c r="Y161" s="106"/>
    </row>
    <row r="162">
      <c r="C162" s="79"/>
      <c r="D162" s="79"/>
      <c r="J162" s="79"/>
      <c r="O162" s="79"/>
      <c r="P162" s="79"/>
      <c r="S162" s="79"/>
      <c r="T162" s="79"/>
      <c r="W162" s="130"/>
      <c r="Y162" s="106"/>
    </row>
    <row r="163">
      <c r="C163" s="79"/>
      <c r="D163" s="79"/>
      <c r="J163" s="79"/>
      <c r="O163" s="79"/>
      <c r="P163" s="79"/>
      <c r="S163" s="79"/>
      <c r="T163" s="79"/>
      <c r="W163" s="130"/>
      <c r="Y163" s="106"/>
    </row>
    <row r="164">
      <c r="C164" s="79"/>
      <c r="D164" s="79"/>
      <c r="J164" s="79"/>
      <c r="O164" s="79"/>
      <c r="P164" s="79"/>
      <c r="S164" s="79"/>
      <c r="T164" s="79"/>
      <c r="W164" s="130"/>
      <c r="Y164" s="106"/>
    </row>
    <row r="165">
      <c r="C165" s="79"/>
      <c r="D165" s="79"/>
      <c r="J165" s="79"/>
      <c r="O165" s="79"/>
      <c r="P165" s="79"/>
      <c r="S165" s="79"/>
      <c r="T165" s="79"/>
      <c r="W165" s="130"/>
      <c r="Y165" s="106"/>
    </row>
    <row r="166">
      <c r="C166" s="79"/>
      <c r="D166" s="79"/>
      <c r="J166" s="79"/>
      <c r="O166" s="79"/>
      <c r="P166" s="79"/>
      <c r="S166" s="79"/>
      <c r="T166" s="79"/>
      <c r="W166" s="130"/>
      <c r="Y166" s="106"/>
    </row>
    <row r="167">
      <c r="C167" s="79"/>
      <c r="D167" s="79"/>
      <c r="J167" s="79"/>
      <c r="O167" s="79"/>
      <c r="P167" s="79"/>
      <c r="S167" s="79"/>
      <c r="T167" s="79"/>
      <c r="W167" s="130"/>
      <c r="Y167" s="106"/>
    </row>
    <row r="168">
      <c r="C168" s="79"/>
      <c r="D168" s="79"/>
      <c r="J168" s="79"/>
      <c r="O168" s="79"/>
      <c r="P168" s="79"/>
      <c r="S168" s="79"/>
      <c r="T168" s="79"/>
      <c r="W168" s="130"/>
      <c r="Y168" s="106"/>
    </row>
    <row r="169">
      <c r="C169" s="79"/>
      <c r="D169" s="79"/>
      <c r="J169" s="79"/>
      <c r="O169" s="79"/>
      <c r="P169" s="79"/>
      <c r="S169" s="79"/>
      <c r="T169" s="79"/>
      <c r="W169" s="130"/>
      <c r="Y169" s="106"/>
    </row>
    <row r="170">
      <c r="C170" s="79"/>
      <c r="D170" s="79"/>
      <c r="J170" s="79"/>
      <c r="O170" s="79"/>
      <c r="P170" s="79"/>
      <c r="S170" s="79"/>
      <c r="T170" s="79"/>
      <c r="W170" s="130"/>
      <c r="Y170" s="106"/>
    </row>
    <row r="171">
      <c r="C171" s="79"/>
      <c r="D171" s="79"/>
      <c r="J171" s="79"/>
      <c r="O171" s="79"/>
      <c r="P171" s="79"/>
      <c r="S171" s="79"/>
      <c r="T171" s="79"/>
      <c r="W171" s="130"/>
      <c r="Y171" s="106"/>
    </row>
    <row r="172">
      <c r="C172" s="79"/>
      <c r="D172" s="79"/>
      <c r="J172" s="79"/>
      <c r="O172" s="79"/>
      <c r="P172" s="79"/>
      <c r="S172" s="79"/>
      <c r="T172" s="79"/>
      <c r="W172" s="130"/>
      <c r="Y172" s="106"/>
    </row>
    <row r="173">
      <c r="C173" s="79"/>
      <c r="D173" s="79"/>
      <c r="J173" s="79"/>
      <c r="O173" s="79"/>
      <c r="P173" s="79"/>
      <c r="S173" s="79"/>
      <c r="T173" s="79"/>
      <c r="W173" s="130"/>
      <c r="Y173" s="106"/>
    </row>
    <row r="174">
      <c r="C174" s="79"/>
      <c r="D174" s="79"/>
      <c r="J174" s="79"/>
      <c r="O174" s="79"/>
      <c r="P174" s="79"/>
      <c r="S174" s="79"/>
      <c r="T174" s="79"/>
      <c r="W174" s="130"/>
      <c r="Y174" s="106"/>
    </row>
    <row r="175">
      <c r="C175" s="79"/>
      <c r="D175" s="79"/>
      <c r="J175" s="79"/>
      <c r="O175" s="79"/>
      <c r="P175" s="79"/>
      <c r="S175" s="79"/>
      <c r="T175" s="79"/>
      <c r="W175" s="130"/>
      <c r="Y175" s="106"/>
    </row>
    <row r="176">
      <c r="C176" s="79"/>
      <c r="D176" s="79"/>
      <c r="J176" s="79"/>
      <c r="O176" s="79"/>
      <c r="P176" s="79"/>
      <c r="S176" s="79"/>
      <c r="T176" s="79"/>
      <c r="W176" s="130"/>
      <c r="Y176" s="106"/>
    </row>
    <row r="177">
      <c r="C177" s="79"/>
      <c r="D177" s="79"/>
      <c r="J177" s="79"/>
      <c r="O177" s="79"/>
      <c r="P177" s="79"/>
      <c r="S177" s="79"/>
      <c r="T177" s="79"/>
      <c r="W177" s="130"/>
      <c r="Y177" s="106"/>
    </row>
    <row r="178">
      <c r="C178" s="79"/>
      <c r="D178" s="79"/>
      <c r="J178" s="79"/>
      <c r="O178" s="79"/>
      <c r="P178" s="79"/>
      <c r="S178" s="79"/>
      <c r="T178" s="79"/>
      <c r="W178" s="130"/>
      <c r="Y178" s="106"/>
    </row>
    <row r="179">
      <c r="C179" s="79"/>
      <c r="D179" s="79"/>
      <c r="J179" s="79"/>
      <c r="O179" s="79"/>
      <c r="P179" s="79"/>
      <c r="S179" s="79"/>
      <c r="T179" s="79"/>
      <c r="W179" s="130"/>
      <c r="Y179" s="106"/>
    </row>
    <row r="180">
      <c r="C180" s="79"/>
      <c r="D180" s="79"/>
      <c r="J180" s="79"/>
      <c r="O180" s="79"/>
      <c r="P180" s="79"/>
      <c r="S180" s="79"/>
      <c r="T180" s="79"/>
      <c r="W180" s="130"/>
      <c r="Y180" s="106"/>
    </row>
    <row r="181">
      <c r="C181" s="79"/>
      <c r="D181" s="79"/>
      <c r="J181" s="79"/>
      <c r="O181" s="79"/>
      <c r="P181" s="79"/>
      <c r="S181" s="79"/>
      <c r="T181" s="79"/>
      <c r="W181" s="130"/>
      <c r="Y181" s="106"/>
    </row>
    <row r="182">
      <c r="C182" s="79"/>
      <c r="D182" s="79"/>
      <c r="J182" s="79"/>
      <c r="O182" s="79"/>
      <c r="P182" s="79"/>
      <c r="S182" s="79"/>
      <c r="T182" s="79"/>
      <c r="W182" s="130"/>
      <c r="Y182" s="106"/>
    </row>
    <row r="183">
      <c r="C183" s="79"/>
      <c r="D183" s="79"/>
      <c r="J183" s="79"/>
      <c r="O183" s="79"/>
      <c r="P183" s="79"/>
      <c r="S183" s="79"/>
      <c r="T183" s="79"/>
      <c r="W183" s="130"/>
      <c r="Y183" s="106"/>
    </row>
    <row r="184">
      <c r="C184" s="79"/>
      <c r="D184" s="79"/>
      <c r="J184" s="79"/>
      <c r="O184" s="79"/>
      <c r="P184" s="79"/>
      <c r="S184" s="79"/>
      <c r="T184" s="79"/>
      <c r="W184" s="130"/>
      <c r="Y184" s="106"/>
    </row>
    <row r="185">
      <c r="C185" s="79"/>
      <c r="D185" s="79"/>
      <c r="J185" s="79"/>
      <c r="O185" s="79"/>
      <c r="P185" s="79"/>
      <c r="S185" s="79"/>
      <c r="T185" s="79"/>
      <c r="W185" s="130"/>
      <c r="Y185" s="106"/>
    </row>
    <row r="186">
      <c r="C186" s="79"/>
      <c r="D186" s="79"/>
      <c r="J186" s="79"/>
      <c r="O186" s="79"/>
      <c r="P186" s="79"/>
      <c r="S186" s="79"/>
      <c r="T186" s="79"/>
      <c r="W186" s="130"/>
      <c r="Y186" s="106"/>
    </row>
    <row r="187">
      <c r="C187" s="79"/>
      <c r="D187" s="79"/>
      <c r="J187" s="79"/>
      <c r="O187" s="79"/>
      <c r="P187" s="79"/>
      <c r="S187" s="79"/>
      <c r="T187" s="79"/>
      <c r="W187" s="130"/>
      <c r="Y187" s="106"/>
    </row>
    <row r="188">
      <c r="C188" s="79"/>
      <c r="D188" s="79"/>
      <c r="J188" s="79"/>
      <c r="O188" s="79"/>
      <c r="P188" s="79"/>
      <c r="S188" s="79"/>
      <c r="T188" s="79"/>
      <c r="W188" s="130"/>
      <c r="Y188" s="106"/>
    </row>
    <row r="189">
      <c r="C189" s="79"/>
      <c r="D189" s="79"/>
      <c r="J189" s="79"/>
      <c r="O189" s="79"/>
      <c r="P189" s="79"/>
      <c r="S189" s="79"/>
      <c r="T189" s="79"/>
      <c r="W189" s="130"/>
      <c r="Y189" s="106"/>
    </row>
    <row r="190">
      <c r="C190" s="79"/>
      <c r="D190" s="79"/>
      <c r="J190" s="79"/>
      <c r="O190" s="79"/>
      <c r="P190" s="79"/>
      <c r="S190" s="79"/>
      <c r="T190" s="79"/>
      <c r="W190" s="130"/>
      <c r="Y190" s="106"/>
    </row>
    <row r="191">
      <c r="C191" s="79"/>
      <c r="D191" s="79"/>
      <c r="J191" s="79"/>
      <c r="O191" s="79"/>
      <c r="P191" s="79"/>
      <c r="S191" s="79"/>
      <c r="T191" s="79"/>
      <c r="W191" s="130"/>
      <c r="Y191" s="106"/>
    </row>
    <row r="192">
      <c r="C192" s="79"/>
      <c r="D192" s="79"/>
      <c r="J192" s="79"/>
      <c r="O192" s="79"/>
      <c r="P192" s="79"/>
      <c r="S192" s="79"/>
      <c r="T192" s="79"/>
      <c r="W192" s="130"/>
      <c r="Y192" s="106"/>
    </row>
    <row r="193">
      <c r="C193" s="79"/>
      <c r="D193" s="79"/>
      <c r="J193" s="79"/>
      <c r="O193" s="79"/>
      <c r="P193" s="79"/>
      <c r="S193" s="79"/>
      <c r="T193" s="79"/>
      <c r="W193" s="130"/>
      <c r="Y193" s="106"/>
    </row>
    <row r="194">
      <c r="C194" s="79"/>
      <c r="D194" s="79"/>
      <c r="J194" s="79"/>
      <c r="O194" s="79"/>
      <c r="P194" s="79"/>
      <c r="S194" s="79"/>
      <c r="T194" s="79"/>
      <c r="W194" s="130"/>
      <c r="Y194" s="106"/>
    </row>
    <row r="195">
      <c r="C195" s="79"/>
      <c r="D195" s="79"/>
      <c r="J195" s="79"/>
      <c r="O195" s="79"/>
      <c r="P195" s="79"/>
      <c r="S195" s="79"/>
      <c r="T195" s="79"/>
      <c r="W195" s="130"/>
      <c r="Y195" s="106"/>
    </row>
    <row r="196">
      <c r="C196" s="79"/>
      <c r="D196" s="79"/>
      <c r="J196" s="79"/>
      <c r="O196" s="79"/>
      <c r="P196" s="79"/>
      <c r="S196" s="79"/>
      <c r="T196" s="79"/>
      <c r="W196" s="130"/>
      <c r="Y196" s="106"/>
    </row>
    <row r="197">
      <c r="C197" s="79"/>
      <c r="D197" s="79"/>
      <c r="J197" s="79"/>
      <c r="O197" s="79"/>
      <c r="P197" s="79"/>
      <c r="S197" s="79"/>
      <c r="T197" s="79"/>
      <c r="W197" s="130"/>
      <c r="Y197" s="106"/>
    </row>
    <row r="198">
      <c r="C198" s="79"/>
      <c r="D198" s="79"/>
      <c r="J198" s="79"/>
      <c r="O198" s="79"/>
      <c r="P198" s="79"/>
      <c r="S198" s="79"/>
      <c r="T198" s="79"/>
      <c r="W198" s="130"/>
      <c r="Y198" s="106"/>
    </row>
    <row r="199">
      <c r="C199" s="79"/>
      <c r="D199" s="79"/>
      <c r="J199" s="79"/>
      <c r="O199" s="79"/>
      <c r="P199" s="79"/>
      <c r="S199" s="79"/>
      <c r="T199" s="79"/>
      <c r="W199" s="130"/>
      <c r="Y199" s="106"/>
    </row>
    <row r="200">
      <c r="C200" s="79"/>
      <c r="D200" s="79"/>
      <c r="J200" s="79"/>
      <c r="O200" s="79"/>
      <c r="P200" s="79"/>
      <c r="S200" s="79"/>
      <c r="T200" s="79"/>
      <c r="W200" s="130"/>
      <c r="Y200" s="106"/>
    </row>
    <row r="201">
      <c r="C201" s="79"/>
      <c r="D201" s="79"/>
      <c r="J201" s="79"/>
      <c r="O201" s="79"/>
      <c r="P201" s="79"/>
      <c r="S201" s="79"/>
      <c r="T201" s="79"/>
      <c r="W201" s="130"/>
      <c r="Y201" s="106"/>
    </row>
    <row r="202">
      <c r="C202" s="79"/>
      <c r="D202" s="79"/>
      <c r="J202" s="79"/>
      <c r="O202" s="79"/>
      <c r="P202" s="79"/>
      <c r="S202" s="79"/>
      <c r="T202" s="79"/>
      <c r="W202" s="130"/>
      <c r="Y202" s="106"/>
    </row>
    <row r="203">
      <c r="C203" s="79"/>
      <c r="D203" s="79"/>
      <c r="J203" s="79"/>
      <c r="O203" s="79"/>
      <c r="P203" s="79"/>
      <c r="S203" s="79"/>
      <c r="T203" s="79"/>
      <c r="W203" s="130"/>
      <c r="Y203" s="106"/>
    </row>
    <row r="204">
      <c r="C204" s="79"/>
      <c r="D204" s="79"/>
      <c r="J204" s="79"/>
      <c r="O204" s="79"/>
      <c r="P204" s="79"/>
      <c r="S204" s="79"/>
      <c r="T204" s="79"/>
      <c r="W204" s="130"/>
      <c r="Y204" s="106"/>
    </row>
    <row r="205">
      <c r="C205" s="79"/>
      <c r="D205" s="79"/>
      <c r="J205" s="79"/>
      <c r="O205" s="79"/>
      <c r="P205" s="79"/>
      <c r="S205" s="79"/>
      <c r="T205" s="79"/>
      <c r="W205" s="130"/>
      <c r="Y205" s="106"/>
    </row>
    <row r="206">
      <c r="C206" s="79"/>
      <c r="D206" s="79"/>
      <c r="J206" s="79"/>
      <c r="O206" s="79"/>
      <c r="P206" s="79"/>
      <c r="S206" s="79"/>
      <c r="T206" s="79"/>
      <c r="W206" s="130"/>
      <c r="Y206" s="106"/>
    </row>
    <row r="207">
      <c r="C207" s="79"/>
      <c r="D207" s="79"/>
      <c r="J207" s="79"/>
      <c r="O207" s="79"/>
      <c r="P207" s="79"/>
      <c r="S207" s="79"/>
      <c r="T207" s="79"/>
      <c r="W207" s="130"/>
      <c r="Y207" s="106"/>
    </row>
    <row r="208">
      <c r="C208" s="79"/>
      <c r="D208" s="79"/>
      <c r="J208" s="79"/>
      <c r="O208" s="79"/>
      <c r="P208" s="79"/>
      <c r="S208" s="79"/>
      <c r="T208" s="79"/>
      <c r="W208" s="130"/>
      <c r="Y208" s="106"/>
    </row>
    <row r="209">
      <c r="C209" s="79"/>
      <c r="D209" s="79"/>
      <c r="J209" s="79"/>
      <c r="O209" s="79"/>
      <c r="P209" s="79"/>
      <c r="S209" s="79"/>
      <c r="T209" s="79"/>
      <c r="W209" s="130"/>
      <c r="Y209" s="106"/>
    </row>
    <row r="210">
      <c r="C210" s="79"/>
      <c r="D210" s="79"/>
      <c r="J210" s="79"/>
      <c r="O210" s="79"/>
      <c r="P210" s="79"/>
      <c r="S210" s="79"/>
      <c r="T210" s="79"/>
      <c r="W210" s="130"/>
      <c r="Y210" s="106"/>
    </row>
    <row r="211">
      <c r="C211" s="79"/>
      <c r="D211" s="79"/>
      <c r="J211" s="79"/>
      <c r="O211" s="79"/>
      <c r="P211" s="79"/>
      <c r="S211" s="79"/>
      <c r="T211" s="79"/>
      <c r="W211" s="130"/>
      <c r="Y211" s="106"/>
    </row>
    <row r="212">
      <c r="C212" s="79"/>
      <c r="D212" s="79"/>
      <c r="J212" s="79"/>
      <c r="O212" s="79"/>
      <c r="P212" s="79"/>
      <c r="S212" s="79"/>
      <c r="T212" s="79"/>
      <c r="W212" s="130"/>
      <c r="Y212" s="106"/>
    </row>
    <row r="213">
      <c r="C213" s="79"/>
      <c r="D213" s="79"/>
      <c r="J213" s="79"/>
      <c r="O213" s="79"/>
      <c r="P213" s="79"/>
      <c r="S213" s="79"/>
      <c r="T213" s="79"/>
      <c r="W213" s="130"/>
      <c r="Y213" s="106"/>
    </row>
    <row r="214">
      <c r="C214" s="79"/>
      <c r="D214" s="79"/>
      <c r="J214" s="79"/>
      <c r="O214" s="79"/>
      <c r="P214" s="79"/>
      <c r="S214" s="79"/>
      <c r="T214" s="79"/>
      <c r="W214" s="130"/>
      <c r="Y214" s="106"/>
    </row>
    <row r="215">
      <c r="C215" s="79"/>
      <c r="D215" s="79"/>
      <c r="J215" s="79"/>
      <c r="O215" s="79"/>
      <c r="P215" s="79"/>
      <c r="S215" s="79"/>
      <c r="T215" s="79"/>
      <c r="W215" s="130"/>
      <c r="Y215" s="106"/>
    </row>
    <row r="216">
      <c r="C216" s="79"/>
      <c r="D216" s="79"/>
      <c r="J216" s="79"/>
      <c r="O216" s="79"/>
      <c r="P216" s="79"/>
      <c r="S216" s="79"/>
      <c r="T216" s="79"/>
      <c r="W216" s="130"/>
      <c r="Y216" s="106"/>
    </row>
    <row r="217">
      <c r="C217" s="79"/>
      <c r="D217" s="79"/>
      <c r="J217" s="79"/>
      <c r="O217" s="79"/>
      <c r="P217" s="79"/>
      <c r="S217" s="79"/>
      <c r="T217" s="79"/>
      <c r="W217" s="130"/>
      <c r="Y217" s="106"/>
    </row>
    <row r="218">
      <c r="C218" s="79"/>
      <c r="D218" s="79"/>
      <c r="J218" s="79"/>
      <c r="O218" s="79"/>
      <c r="P218" s="79"/>
      <c r="S218" s="79"/>
      <c r="T218" s="79"/>
      <c r="W218" s="130"/>
      <c r="Y218" s="106"/>
    </row>
    <row r="219">
      <c r="C219" s="79"/>
      <c r="D219" s="79"/>
      <c r="J219" s="79"/>
      <c r="O219" s="79"/>
      <c r="P219" s="79"/>
      <c r="S219" s="79"/>
      <c r="T219" s="79"/>
      <c r="W219" s="130"/>
      <c r="Y219" s="106"/>
    </row>
    <row r="220">
      <c r="C220" s="79"/>
      <c r="D220" s="79"/>
      <c r="J220" s="79"/>
      <c r="O220" s="79"/>
      <c r="P220" s="79"/>
      <c r="S220" s="79"/>
      <c r="T220" s="79"/>
      <c r="W220" s="130"/>
      <c r="Y220" s="106"/>
    </row>
    <row r="221">
      <c r="C221" s="79"/>
      <c r="D221" s="79"/>
      <c r="J221" s="79"/>
      <c r="O221" s="79"/>
      <c r="P221" s="79"/>
      <c r="S221" s="79"/>
      <c r="T221" s="79"/>
      <c r="W221" s="130"/>
      <c r="Y221" s="106"/>
    </row>
    <row r="222">
      <c r="C222" s="79"/>
      <c r="D222" s="79"/>
      <c r="J222" s="79"/>
      <c r="O222" s="79"/>
      <c r="P222" s="79"/>
      <c r="S222" s="79"/>
      <c r="T222" s="79"/>
      <c r="W222" s="130"/>
      <c r="Y222" s="106"/>
    </row>
    <row r="223">
      <c r="C223" s="79"/>
      <c r="D223" s="79"/>
      <c r="J223" s="79"/>
      <c r="O223" s="79"/>
      <c r="P223" s="79"/>
      <c r="S223" s="79"/>
      <c r="T223" s="79"/>
      <c r="W223" s="130"/>
      <c r="Y223" s="106"/>
    </row>
    <row r="224">
      <c r="C224" s="79"/>
      <c r="D224" s="79"/>
      <c r="J224" s="79"/>
      <c r="O224" s="79"/>
      <c r="P224" s="79"/>
      <c r="S224" s="79"/>
      <c r="T224" s="79"/>
      <c r="W224" s="130"/>
      <c r="Y224" s="106"/>
    </row>
    <row r="225">
      <c r="C225" s="79"/>
      <c r="D225" s="79"/>
      <c r="J225" s="79"/>
      <c r="O225" s="79"/>
      <c r="P225" s="79"/>
      <c r="S225" s="79"/>
      <c r="T225" s="79"/>
      <c r="W225" s="130"/>
      <c r="Y225" s="106"/>
    </row>
    <row r="226">
      <c r="C226" s="79"/>
      <c r="D226" s="79"/>
      <c r="J226" s="79"/>
      <c r="O226" s="79"/>
      <c r="P226" s="79"/>
      <c r="S226" s="79"/>
      <c r="T226" s="79"/>
      <c r="W226" s="130"/>
      <c r="Y226" s="106"/>
    </row>
    <row r="227">
      <c r="C227" s="79"/>
      <c r="D227" s="79"/>
      <c r="J227" s="79"/>
      <c r="O227" s="79"/>
      <c r="P227" s="79"/>
      <c r="S227" s="79"/>
      <c r="T227" s="79"/>
      <c r="W227" s="130"/>
      <c r="Y227" s="106"/>
    </row>
    <row r="228">
      <c r="C228" s="79"/>
      <c r="D228" s="79"/>
      <c r="J228" s="79"/>
      <c r="O228" s="79"/>
      <c r="P228" s="79"/>
      <c r="S228" s="79"/>
      <c r="T228" s="79"/>
      <c r="W228" s="130"/>
      <c r="Y228" s="106"/>
    </row>
    <row r="229">
      <c r="C229" s="79"/>
      <c r="D229" s="79"/>
      <c r="J229" s="79"/>
      <c r="O229" s="79"/>
      <c r="P229" s="79"/>
      <c r="S229" s="79"/>
      <c r="T229" s="79"/>
      <c r="W229" s="130"/>
      <c r="Y229" s="106"/>
    </row>
    <row r="230">
      <c r="C230" s="79"/>
      <c r="D230" s="79"/>
      <c r="J230" s="79"/>
      <c r="O230" s="79"/>
      <c r="P230" s="79"/>
      <c r="S230" s="79"/>
      <c r="T230" s="79"/>
      <c r="W230" s="130"/>
      <c r="Y230" s="106"/>
    </row>
    <row r="231">
      <c r="C231" s="79"/>
      <c r="D231" s="79"/>
      <c r="J231" s="79"/>
      <c r="O231" s="79"/>
      <c r="P231" s="79"/>
      <c r="S231" s="79"/>
      <c r="T231" s="79"/>
      <c r="W231" s="130"/>
      <c r="Y231" s="106"/>
    </row>
    <row r="232">
      <c r="C232" s="79"/>
      <c r="D232" s="79"/>
      <c r="J232" s="79"/>
      <c r="O232" s="79"/>
      <c r="P232" s="79"/>
      <c r="S232" s="79"/>
      <c r="T232" s="79"/>
      <c r="W232" s="130"/>
      <c r="Y232" s="106"/>
    </row>
    <row r="233">
      <c r="C233" s="79"/>
      <c r="D233" s="79"/>
      <c r="J233" s="79"/>
      <c r="O233" s="79"/>
      <c r="P233" s="79"/>
      <c r="S233" s="79"/>
      <c r="T233" s="79"/>
      <c r="W233" s="130"/>
      <c r="Y233" s="106"/>
    </row>
    <row r="234">
      <c r="C234" s="79"/>
      <c r="D234" s="79"/>
      <c r="J234" s="79"/>
      <c r="O234" s="79"/>
      <c r="P234" s="79"/>
      <c r="S234" s="79"/>
      <c r="T234" s="79"/>
      <c r="W234" s="130"/>
      <c r="Y234" s="106"/>
    </row>
    <row r="235">
      <c r="C235" s="79"/>
      <c r="D235" s="79"/>
      <c r="J235" s="79"/>
      <c r="O235" s="79"/>
      <c r="P235" s="79"/>
      <c r="S235" s="79"/>
      <c r="T235" s="79"/>
      <c r="W235" s="130"/>
      <c r="Y235" s="106"/>
    </row>
    <row r="236">
      <c r="C236" s="79"/>
      <c r="D236" s="79"/>
      <c r="J236" s="79"/>
      <c r="O236" s="79"/>
      <c r="P236" s="79"/>
      <c r="S236" s="79"/>
      <c r="T236" s="79"/>
      <c r="W236" s="130"/>
      <c r="Y236" s="106"/>
    </row>
    <row r="237">
      <c r="C237" s="79"/>
      <c r="D237" s="79"/>
      <c r="J237" s="79"/>
      <c r="O237" s="79"/>
      <c r="P237" s="79"/>
      <c r="S237" s="79"/>
      <c r="T237" s="79"/>
      <c r="W237" s="130"/>
      <c r="Y237" s="106"/>
    </row>
    <row r="238">
      <c r="C238" s="79"/>
      <c r="D238" s="79"/>
      <c r="J238" s="79"/>
      <c r="O238" s="79"/>
      <c r="P238" s="79"/>
      <c r="S238" s="79"/>
      <c r="T238" s="79"/>
      <c r="W238" s="130"/>
      <c r="Y238" s="106"/>
    </row>
    <row r="239">
      <c r="C239" s="79"/>
      <c r="D239" s="79"/>
      <c r="J239" s="79"/>
      <c r="O239" s="79"/>
      <c r="P239" s="79"/>
      <c r="S239" s="79"/>
      <c r="T239" s="79"/>
      <c r="W239" s="130"/>
      <c r="Y239" s="106"/>
    </row>
    <row r="240">
      <c r="C240" s="79"/>
      <c r="D240" s="79"/>
      <c r="J240" s="79"/>
      <c r="O240" s="79"/>
      <c r="P240" s="79"/>
      <c r="S240" s="79"/>
      <c r="T240" s="79"/>
      <c r="W240" s="130"/>
      <c r="Y240" s="106"/>
    </row>
    <row r="241">
      <c r="C241" s="79"/>
      <c r="D241" s="79"/>
      <c r="J241" s="79"/>
      <c r="O241" s="79"/>
      <c r="P241" s="79"/>
      <c r="S241" s="79"/>
      <c r="T241" s="79"/>
      <c r="W241" s="130"/>
      <c r="Y241" s="106"/>
    </row>
    <row r="242">
      <c r="C242" s="79"/>
      <c r="D242" s="79"/>
      <c r="J242" s="79"/>
      <c r="O242" s="79"/>
      <c r="P242" s="79"/>
      <c r="S242" s="79"/>
      <c r="T242" s="79"/>
      <c r="W242" s="130"/>
      <c r="Y242" s="106"/>
    </row>
    <row r="243">
      <c r="C243" s="79"/>
      <c r="D243" s="79"/>
      <c r="J243" s="79"/>
      <c r="O243" s="79"/>
      <c r="P243" s="79"/>
      <c r="S243" s="79"/>
      <c r="T243" s="79"/>
      <c r="W243" s="130"/>
      <c r="Y243" s="106"/>
    </row>
    <row r="244">
      <c r="C244" s="79"/>
      <c r="D244" s="79"/>
      <c r="J244" s="79"/>
      <c r="O244" s="79"/>
      <c r="P244" s="79"/>
      <c r="S244" s="79"/>
      <c r="T244" s="79"/>
      <c r="W244" s="130"/>
      <c r="Y244" s="106"/>
    </row>
    <row r="245">
      <c r="C245" s="79"/>
      <c r="D245" s="79"/>
      <c r="J245" s="79"/>
      <c r="O245" s="79"/>
      <c r="P245" s="79"/>
      <c r="S245" s="79"/>
      <c r="T245" s="79"/>
      <c r="W245" s="130"/>
      <c r="Y245" s="106"/>
    </row>
    <row r="246">
      <c r="C246" s="79"/>
      <c r="D246" s="79"/>
      <c r="J246" s="79"/>
      <c r="O246" s="79"/>
      <c r="P246" s="79"/>
      <c r="S246" s="79"/>
      <c r="T246" s="79"/>
      <c r="W246" s="130"/>
      <c r="Y246" s="106"/>
    </row>
    <row r="247">
      <c r="C247" s="79"/>
      <c r="D247" s="79"/>
      <c r="J247" s="79"/>
      <c r="O247" s="79"/>
      <c r="P247" s="79"/>
      <c r="S247" s="79"/>
      <c r="T247" s="79"/>
      <c r="W247" s="130"/>
      <c r="Y247" s="106"/>
    </row>
    <row r="248">
      <c r="C248" s="79"/>
      <c r="D248" s="79"/>
      <c r="J248" s="79"/>
      <c r="O248" s="79"/>
      <c r="P248" s="79"/>
      <c r="S248" s="79"/>
      <c r="T248" s="79"/>
      <c r="W248" s="130"/>
      <c r="Y248" s="106"/>
    </row>
    <row r="249">
      <c r="C249" s="79"/>
      <c r="D249" s="79"/>
      <c r="J249" s="79"/>
      <c r="O249" s="79"/>
      <c r="P249" s="79"/>
      <c r="S249" s="79"/>
      <c r="T249" s="79"/>
      <c r="W249" s="130"/>
      <c r="Y249" s="106"/>
    </row>
    <row r="250">
      <c r="C250" s="79"/>
      <c r="D250" s="79"/>
      <c r="J250" s="79"/>
      <c r="O250" s="79"/>
      <c r="P250" s="79"/>
      <c r="S250" s="79"/>
      <c r="T250" s="79"/>
      <c r="W250" s="130"/>
      <c r="Y250" s="106"/>
    </row>
    <row r="251">
      <c r="C251" s="79"/>
      <c r="D251" s="79"/>
      <c r="J251" s="79"/>
      <c r="O251" s="79"/>
      <c r="P251" s="79"/>
      <c r="S251" s="79"/>
      <c r="T251" s="79"/>
      <c r="W251" s="130"/>
      <c r="Y251" s="106"/>
    </row>
    <row r="252">
      <c r="C252" s="79"/>
      <c r="D252" s="79"/>
      <c r="J252" s="79"/>
      <c r="O252" s="79"/>
      <c r="P252" s="79"/>
      <c r="S252" s="79"/>
      <c r="T252" s="79"/>
      <c r="W252" s="130"/>
      <c r="Y252" s="106"/>
    </row>
    <row r="253">
      <c r="C253" s="79"/>
      <c r="D253" s="79"/>
      <c r="J253" s="79"/>
      <c r="O253" s="79"/>
      <c r="P253" s="79"/>
      <c r="S253" s="79"/>
      <c r="T253" s="79"/>
      <c r="W253" s="130"/>
      <c r="Y253" s="106"/>
    </row>
    <row r="254">
      <c r="C254" s="79"/>
      <c r="D254" s="79"/>
      <c r="J254" s="79"/>
      <c r="O254" s="79"/>
      <c r="P254" s="79"/>
      <c r="S254" s="79"/>
      <c r="T254" s="79"/>
      <c r="W254" s="130"/>
      <c r="Y254" s="106"/>
    </row>
    <row r="255">
      <c r="C255" s="79"/>
      <c r="D255" s="79"/>
      <c r="J255" s="79"/>
      <c r="O255" s="79"/>
      <c r="P255" s="79"/>
      <c r="S255" s="79"/>
      <c r="T255" s="79"/>
      <c r="W255" s="130"/>
      <c r="Y255" s="106"/>
    </row>
    <row r="256">
      <c r="C256" s="79"/>
      <c r="D256" s="79"/>
      <c r="J256" s="79"/>
      <c r="O256" s="79"/>
      <c r="P256" s="79"/>
      <c r="S256" s="79"/>
      <c r="T256" s="79"/>
      <c r="W256" s="130"/>
      <c r="Y256" s="106"/>
    </row>
    <row r="257">
      <c r="C257" s="79"/>
      <c r="D257" s="79"/>
      <c r="J257" s="79"/>
      <c r="O257" s="79"/>
      <c r="P257" s="79"/>
      <c r="S257" s="79"/>
      <c r="T257" s="79"/>
      <c r="W257" s="130"/>
      <c r="Y257" s="106"/>
    </row>
    <row r="258">
      <c r="C258" s="79"/>
      <c r="D258" s="79"/>
      <c r="J258" s="79"/>
      <c r="O258" s="79"/>
      <c r="P258" s="79"/>
      <c r="S258" s="79"/>
      <c r="T258" s="79"/>
      <c r="W258" s="130"/>
      <c r="Y258" s="106"/>
    </row>
    <row r="259">
      <c r="C259" s="79"/>
      <c r="D259" s="79"/>
      <c r="J259" s="79"/>
      <c r="O259" s="79"/>
      <c r="P259" s="79"/>
      <c r="S259" s="79"/>
      <c r="T259" s="79"/>
      <c r="W259" s="130"/>
      <c r="Y259" s="106"/>
    </row>
    <row r="260">
      <c r="C260" s="79"/>
      <c r="D260" s="79"/>
      <c r="J260" s="79"/>
      <c r="O260" s="79"/>
      <c r="P260" s="79"/>
      <c r="S260" s="79"/>
      <c r="T260" s="79"/>
      <c r="W260" s="130"/>
      <c r="Y260" s="106"/>
    </row>
    <row r="261">
      <c r="C261" s="79"/>
      <c r="D261" s="79"/>
      <c r="J261" s="79"/>
      <c r="O261" s="79"/>
      <c r="P261" s="79"/>
      <c r="S261" s="79"/>
      <c r="T261" s="79"/>
      <c r="W261" s="130"/>
      <c r="Y261" s="106"/>
    </row>
    <row r="262">
      <c r="C262" s="79"/>
      <c r="D262" s="79"/>
      <c r="J262" s="79"/>
      <c r="O262" s="79"/>
      <c r="P262" s="79"/>
      <c r="S262" s="79"/>
      <c r="T262" s="79"/>
      <c r="W262" s="130"/>
      <c r="Y262" s="106"/>
    </row>
    <row r="263">
      <c r="C263" s="79"/>
      <c r="D263" s="79"/>
      <c r="J263" s="79"/>
      <c r="O263" s="79"/>
      <c r="P263" s="79"/>
      <c r="S263" s="79"/>
      <c r="T263" s="79"/>
      <c r="W263" s="130"/>
      <c r="Y263" s="106"/>
    </row>
    <row r="264">
      <c r="C264" s="79"/>
      <c r="D264" s="79"/>
      <c r="J264" s="79"/>
      <c r="O264" s="79"/>
      <c r="P264" s="79"/>
      <c r="S264" s="79"/>
      <c r="T264" s="79"/>
      <c r="W264" s="130"/>
      <c r="Y264" s="106"/>
    </row>
    <row r="265">
      <c r="C265" s="79"/>
      <c r="D265" s="79"/>
      <c r="J265" s="79"/>
      <c r="O265" s="79"/>
      <c r="P265" s="79"/>
      <c r="S265" s="79"/>
      <c r="T265" s="79"/>
      <c r="W265" s="130"/>
      <c r="Y265" s="106"/>
    </row>
    <row r="266">
      <c r="C266" s="79"/>
      <c r="D266" s="79"/>
      <c r="J266" s="79"/>
      <c r="O266" s="79"/>
      <c r="P266" s="79"/>
      <c r="S266" s="79"/>
      <c r="T266" s="79"/>
      <c r="W266" s="130"/>
      <c r="Y266" s="106"/>
    </row>
    <row r="267">
      <c r="C267" s="79"/>
      <c r="D267" s="79"/>
      <c r="J267" s="79"/>
      <c r="O267" s="79"/>
      <c r="P267" s="79"/>
      <c r="S267" s="79"/>
      <c r="T267" s="79"/>
      <c r="W267" s="130"/>
      <c r="Y267" s="106"/>
    </row>
    <row r="268">
      <c r="C268" s="79"/>
      <c r="D268" s="79"/>
      <c r="J268" s="79"/>
      <c r="O268" s="79"/>
      <c r="P268" s="79"/>
      <c r="S268" s="79"/>
      <c r="T268" s="79"/>
      <c r="W268" s="130"/>
      <c r="Y268" s="106"/>
    </row>
    <row r="269">
      <c r="C269" s="79"/>
      <c r="D269" s="79"/>
      <c r="J269" s="79"/>
      <c r="O269" s="79"/>
      <c r="P269" s="79"/>
      <c r="S269" s="79"/>
      <c r="T269" s="79"/>
      <c r="W269" s="130"/>
      <c r="Y269" s="106"/>
    </row>
    <row r="270">
      <c r="C270" s="79"/>
      <c r="D270" s="79"/>
      <c r="J270" s="79"/>
      <c r="O270" s="79"/>
      <c r="P270" s="79"/>
      <c r="S270" s="79"/>
      <c r="T270" s="79"/>
      <c r="W270" s="130"/>
      <c r="Y270" s="106"/>
    </row>
    <row r="271">
      <c r="C271" s="79"/>
      <c r="D271" s="79"/>
      <c r="J271" s="79"/>
      <c r="O271" s="79"/>
      <c r="P271" s="79"/>
      <c r="S271" s="79"/>
      <c r="T271" s="79"/>
      <c r="W271" s="130"/>
      <c r="Y271" s="106"/>
    </row>
    <row r="272">
      <c r="C272" s="79"/>
      <c r="D272" s="79"/>
      <c r="J272" s="79"/>
      <c r="O272" s="79"/>
      <c r="P272" s="79"/>
      <c r="S272" s="79"/>
      <c r="T272" s="79"/>
      <c r="W272" s="130"/>
      <c r="Y272" s="106"/>
    </row>
    <row r="273">
      <c r="C273" s="79"/>
      <c r="D273" s="79"/>
      <c r="J273" s="79"/>
      <c r="O273" s="79"/>
      <c r="P273" s="79"/>
      <c r="S273" s="79"/>
      <c r="T273" s="79"/>
      <c r="W273" s="130"/>
      <c r="Y273" s="106"/>
    </row>
    <row r="274">
      <c r="C274" s="79"/>
      <c r="D274" s="79"/>
      <c r="J274" s="79"/>
      <c r="O274" s="79"/>
      <c r="P274" s="79"/>
      <c r="S274" s="79"/>
      <c r="T274" s="79"/>
      <c r="W274" s="130"/>
      <c r="Y274" s="106"/>
    </row>
    <row r="275">
      <c r="C275" s="79"/>
      <c r="D275" s="79"/>
      <c r="J275" s="79"/>
      <c r="O275" s="79"/>
      <c r="P275" s="79"/>
      <c r="S275" s="79"/>
      <c r="T275" s="79"/>
      <c r="W275" s="130"/>
      <c r="Y275" s="106"/>
    </row>
    <row r="276">
      <c r="C276" s="79"/>
      <c r="D276" s="79"/>
      <c r="J276" s="79"/>
      <c r="O276" s="79"/>
      <c r="P276" s="79"/>
      <c r="S276" s="79"/>
      <c r="T276" s="79"/>
      <c r="W276" s="130"/>
      <c r="Y276" s="106"/>
    </row>
    <row r="277">
      <c r="C277" s="79"/>
      <c r="D277" s="79"/>
      <c r="J277" s="79"/>
      <c r="O277" s="79"/>
      <c r="P277" s="79"/>
      <c r="S277" s="79"/>
      <c r="T277" s="79"/>
      <c r="W277" s="130"/>
      <c r="Y277" s="106"/>
    </row>
    <row r="278">
      <c r="C278" s="79"/>
      <c r="D278" s="79"/>
      <c r="J278" s="79"/>
      <c r="O278" s="79"/>
      <c r="P278" s="79"/>
      <c r="S278" s="79"/>
      <c r="T278" s="79"/>
      <c r="W278" s="130"/>
      <c r="Y278" s="106"/>
    </row>
    <row r="279">
      <c r="C279" s="79"/>
      <c r="D279" s="79"/>
      <c r="J279" s="79"/>
      <c r="O279" s="79"/>
      <c r="P279" s="79"/>
      <c r="S279" s="79"/>
      <c r="T279" s="79"/>
      <c r="W279" s="130"/>
      <c r="Y279" s="106"/>
    </row>
    <row r="280">
      <c r="C280" s="79"/>
      <c r="D280" s="79"/>
      <c r="J280" s="79"/>
      <c r="O280" s="79"/>
      <c r="P280" s="79"/>
      <c r="S280" s="79"/>
      <c r="T280" s="79"/>
      <c r="W280" s="130"/>
      <c r="Y280" s="106"/>
    </row>
    <row r="281">
      <c r="C281" s="79"/>
      <c r="D281" s="79"/>
      <c r="J281" s="79"/>
      <c r="O281" s="79"/>
      <c r="P281" s="79"/>
      <c r="S281" s="79"/>
      <c r="T281" s="79"/>
      <c r="W281" s="130"/>
      <c r="Y281" s="106"/>
    </row>
    <row r="282">
      <c r="C282" s="79"/>
      <c r="D282" s="79"/>
      <c r="J282" s="79"/>
      <c r="O282" s="79"/>
      <c r="P282" s="79"/>
      <c r="S282" s="79"/>
      <c r="T282" s="79"/>
      <c r="W282" s="130"/>
      <c r="Y282" s="106"/>
    </row>
    <row r="283">
      <c r="C283" s="79"/>
      <c r="D283" s="79"/>
      <c r="J283" s="79"/>
      <c r="O283" s="79"/>
      <c r="P283" s="79"/>
      <c r="S283" s="79"/>
      <c r="T283" s="79"/>
      <c r="W283" s="130"/>
      <c r="Y283" s="106"/>
    </row>
    <row r="284">
      <c r="C284" s="79"/>
      <c r="D284" s="79"/>
      <c r="J284" s="79"/>
      <c r="O284" s="79"/>
      <c r="P284" s="79"/>
      <c r="S284" s="79"/>
      <c r="T284" s="79"/>
      <c r="W284" s="130"/>
      <c r="Y284" s="106"/>
    </row>
    <row r="285">
      <c r="C285" s="79"/>
      <c r="D285" s="79"/>
      <c r="J285" s="79"/>
      <c r="O285" s="79"/>
      <c r="P285" s="79"/>
      <c r="S285" s="79"/>
      <c r="T285" s="79"/>
      <c r="W285" s="130"/>
      <c r="Y285" s="106"/>
    </row>
    <row r="286">
      <c r="C286" s="79"/>
      <c r="D286" s="79"/>
      <c r="J286" s="79"/>
      <c r="O286" s="79"/>
      <c r="P286" s="79"/>
      <c r="S286" s="79"/>
      <c r="T286" s="79"/>
      <c r="W286" s="130"/>
      <c r="Y286" s="106"/>
    </row>
    <row r="287">
      <c r="C287" s="79"/>
      <c r="D287" s="79"/>
      <c r="J287" s="79"/>
      <c r="O287" s="79"/>
      <c r="P287" s="79"/>
      <c r="S287" s="79"/>
      <c r="T287" s="79"/>
      <c r="W287" s="130"/>
      <c r="Y287" s="106"/>
    </row>
    <row r="288">
      <c r="C288" s="79"/>
      <c r="D288" s="79"/>
      <c r="J288" s="79"/>
      <c r="O288" s="79"/>
      <c r="P288" s="79"/>
      <c r="S288" s="79"/>
      <c r="T288" s="79"/>
      <c r="W288" s="130"/>
      <c r="Y288" s="106"/>
    </row>
    <row r="289">
      <c r="C289" s="79"/>
      <c r="D289" s="79"/>
      <c r="J289" s="79"/>
      <c r="O289" s="79"/>
      <c r="P289" s="79"/>
      <c r="S289" s="79"/>
      <c r="T289" s="79"/>
      <c r="W289" s="130"/>
      <c r="Y289" s="106"/>
    </row>
    <row r="290">
      <c r="C290" s="79"/>
      <c r="D290" s="79"/>
      <c r="J290" s="79"/>
      <c r="O290" s="79"/>
      <c r="P290" s="79"/>
      <c r="S290" s="79"/>
      <c r="T290" s="79"/>
      <c r="W290" s="130"/>
      <c r="Y290" s="106"/>
    </row>
    <row r="291">
      <c r="C291" s="79"/>
      <c r="D291" s="79"/>
      <c r="J291" s="79"/>
      <c r="O291" s="79"/>
      <c r="P291" s="79"/>
      <c r="S291" s="79"/>
      <c r="T291" s="79"/>
      <c r="W291" s="130"/>
      <c r="Y291" s="106"/>
    </row>
    <row r="292">
      <c r="C292" s="79"/>
      <c r="D292" s="79"/>
      <c r="J292" s="79"/>
      <c r="O292" s="79"/>
      <c r="P292" s="79"/>
      <c r="S292" s="79"/>
      <c r="T292" s="79"/>
      <c r="W292" s="130"/>
      <c r="Y292" s="106"/>
    </row>
    <row r="293">
      <c r="C293" s="79"/>
      <c r="D293" s="79"/>
      <c r="J293" s="79"/>
      <c r="O293" s="79"/>
      <c r="P293" s="79"/>
      <c r="S293" s="79"/>
      <c r="T293" s="79"/>
      <c r="W293" s="130"/>
      <c r="Y293" s="106"/>
    </row>
    <row r="294">
      <c r="C294" s="79"/>
      <c r="D294" s="79"/>
      <c r="J294" s="79"/>
      <c r="O294" s="79"/>
      <c r="P294" s="79"/>
      <c r="S294" s="79"/>
      <c r="T294" s="79"/>
      <c r="W294" s="130"/>
      <c r="Y294" s="106"/>
    </row>
    <row r="295">
      <c r="C295" s="79"/>
      <c r="D295" s="79"/>
      <c r="J295" s="79"/>
      <c r="O295" s="79"/>
      <c r="P295" s="79"/>
      <c r="S295" s="79"/>
      <c r="T295" s="79"/>
      <c r="W295" s="130"/>
      <c r="Y295" s="106"/>
    </row>
    <row r="296">
      <c r="C296" s="79"/>
      <c r="D296" s="79"/>
      <c r="J296" s="79"/>
      <c r="O296" s="79"/>
      <c r="P296" s="79"/>
      <c r="S296" s="79"/>
      <c r="T296" s="79"/>
      <c r="W296" s="130"/>
      <c r="Y296" s="106"/>
    </row>
    <row r="297">
      <c r="C297" s="79"/>
      <c r="D297" s="79"/>
      <c r="J297" s="79"/>
      <c r="O297" s="79"/>
      <c r="P297" s="79"/>
      <c r="S297" s="79"/>
      <c r="T297" s="79"/>
      <c r="W297" s="130"/>
      <c r="Y297" s="106"/>
    </row>
    <row r="298">
      <c r="C298" s="79"/>
      <c r="D298" s="79"/>
      <c r="J298" s="79"/>
      <c r="O298" s="79"/>
      <c r="P298" s="79"/>
      <c r="S298" s="79"/>
      <c r="T298" s="79"/>
      <c r="W298" s="130"/>
      <c r="Y298" s="106"/>
    </row>
    <row r="299">
      <c r="C299" s="79"/>
      <c r="D299" s="79"/>
      <c r="J299" s="79"/>
      <c r="O299" s="79"/>
      <c r="P299" s="79"/>
      <c r="S299" s="79"/>
      <c r="T299" s="79"/>
      <c r="W299" s="130"/>
      <c r="Y299" s="106"/>
    </row>
    <row r="300">
      <c r="C300" s="79"/>
      <c r="D300" s="79"/>
      <c r="J300" s="79"/>
      <c r="O300" s="79"/>
      <c r="P300" s="79"/>
      <c r="S300" s="79"/>
      <c r="T300" s="79"/>
      <c r="W300" s="130"/>
      <c r="Y300" s="106"/>
    </row>
    <row r="301">
      <c r="C301" s="79"/>
      <c r="D301" s="79"/>
      <c r="J301" s="79"/>
      <c r="O301" s="79"/>
      <c r="P301" s="79"/>
      <c r="S301" s="79"/>
      <c r="T301" s="79"/>
      <c r="W301" s="130"/>
      <c r="Y301" s="106"/>
    </row>
    <row r="302">
      <c r="C302" s="79"/>
      <c r="D302" s="79"/>
      <c r="J302" s="79"/>
      <c r="O302" s="79"/>
      <c r="P302" s="79"/>
      <c r="S302" s="79"/>
      <c r="T302" s="79"/>
      <c r="W302" s="130"/>
      <c r="Y302" s="106"/>
    </row>
    <row r="303">
      <c r="C303" s="79"/>
      <c r="D303" s="79"/>
      <c r="J303" s="79"/>
      <c r="O303" s="79"/>
      <c r="P303" s="79"/>
      <c r="S303" s="79"/>
      <c r="T303" s="79"/>
      <c r="W303" s="130"/>
      <c r="Y303" s="106"/>
    </row>
    <row r="304">
      <c r="C304" s="79"/>
      <c r="D304" s="79"/>
      <c r="J304" s="79"/>
      <c r="O304" s="79"/>
      <c r="P304" s="79"/>
      <c r="S304" s="79"/>
      <c r="T304" s="79"/>
      <c r="W304" s="130"/>
      <c r="Y304" s="106"/>
    </row>
    <row r="305">
      <c r="C305" s="79"/>
      <c r="D305" s="79"/>
      <c r="J305" s="79"/>
      <c r="O305" s="79"/>
      <c r="P305" s="79"/>
      <c r="S305" s="79"/>
      <c r="T305" s="79"/>
      <c r="W305" s="130"/>
      <c r="Y305" s="106"/>
    </row>
    <row r="306">
      <c r="C306" s="79"/>
      <c r="D306" s="79"/>
      <c r="J306" s="79"/>
      <c r="O306" s="79"/>
      <c r="P306" s="79"/>
      <c r="S306" s="79"/>
      <c r="T306" s="79"/>
      <c r="W306" s="130"/>
      <c r="Y306" s="106"/>
    </row>
    <row r="307">
      <c r="C307" s="79"/>
      <c r="D307" s="79"/>
      <c r="J307" s="79"/>
      <c r="O307" s="79"/>
      <c r="P307" s="79"/>
      <c r="S307" s="79"/>
      <c r="T307" s="79"/>
      <c r="W307" s="130"/>
      <c r="Y307" s="106"/>
    </row>
    <row r="308">
      <c r="C308" s="79"/>
      <c r="D308" s="79"/>
      <c r="J308" s="79"/>
      <c r="O308" s="79"/>
      <c r="P308" s="79"/>
      <c r="S308" s="79"/>
      <c r="T308" s="79"/>
      <c r="W308" s="130"/>
      <c r="Y308" s="106"/>
    </row>
    <row r="309">
      <c r="C309" s="79"/>
      <c r="D309" s="79"/>
      <c r="J309" s="79"/>
      <c r="O309" s="79"/>
      <c r="P309" s="79"/>
      <c r="S309" s="79"/>
      <c r="T309" s="79"/>
      <c r="W309" s="130"/>
      <c r="Y309" s="106"/>
    </row>
    <row r="310">
      <c r="C310" s="79"/>
      <c r="D310" s="79"/>
      <c r="J310" s="79"/>
      <c r="O310" s="79"/>
      <c r="P310" s="79"/>
      <c r="S310" s="79"/>
      <c r="T310" s="79"/>
      <c r="W310" s="130"/>
      <c r="Y310" s="106"/>
    </row>
    <row r="311">
      <c r="C311" s="79"/>
      <c r="D311" s="79"/>
      <c r="J311" s="79"/>
      <c r="O311" s="79"/>
      <c r="P311" s="79"/>
      <c r="S311" s="79"/>
      <c r="T311" s="79"/>
      <c r="W311" s="130"/>
      <c r="Y311" s="106"/>
    </row>
    <row r="312">
      <c r="C312" s="79"/>
      <c r="D312" s="79"/>
      <c r="J312" s="79"/>
      <c r="O312" s="79"/>
      <c r="P312" s="79"/>
      <c r="S312" s="79"/>
      <c r="T312" s="79"/>
      <c r="W312" s="130"/>
      <c r="Y312" s="106"/>
    </row>
    <row r="313">
      <c r="C313" s="79"/>
      <c r="D313" s="79"/>
      <c r="J313" s="79"/>
      <c r="O313" s="79"/>
      <c r="P313" s="79"/>
      <c r="S313" s="79"/>
      <c r="T313" s="79"/>
      <c r="W313" s="130"/>
      <c r="Y313" s="106"/>
    </row>
    <row r="314">
      <c r="C314" s="79"/>
      <c r="D314" s="79"/>
      <c r="J314" s="79"/>
      <c r="O314" s="79"/>
      <c r="P314" s="79"/>
      <c r="S314" s="79"/>
      <c r="T314" s="79"/>
      <c r="W314" s="130"/>
      <c r="Y314" s="106"/>
    </row>
    <row r="315">
      <c r="C315" s="79"/>
      <c r="D315" s="79"/>
      <c r="J315" s="79"/>
      <c r="O315" s="79"/>
      <c r="P315" s="79"/>
      <c r="S315" s="79"/>
      <c r="T315" s="79"/>
      <c r="W315" s="130"/>
      <c r="Y315" s="106"/>
    </row>
    <row r="316">
      <c r="C316" s="79"/>
      <c r="D316" s="79"/>
      <c r="J316" s="79"/>
      <c r="O316" s="79"/>
      <c r="P316" s="79"/>
      <c r="S316" s="79"/>
      <c r="T316" s="79"/>
      <c r="W316" s="130"/>
      <c r="Y316" s="106"/>
    </row>
    <row r="317">
      <c r="C317" s="79"/>
      <c r="D317" s="79"/>
      <c r="J317" s="79"/>
      <c r="O317" s="79"/>
      <c r="P317" s="79"/>
      <c r="S317" s="79"/>
      <c r="T317" s="79"/>
      <c r="W317" s="130"/>
      <c r="Y317" s="106"/>
    </row>
    <row r="318">
      <c r="C318" s="79"/>
      <c r="D318" s="79"/>
      <c r="J318" s="79"/>
      <c r="O318" s="79"/>
      <c r="P318" s="79"/>
      <c r="S318" s="79"/>
      <c r="T318" s="79"/>
      <c r="W318" s="130"/>
      <c r="Y318" s="106"/>
    </row>
    <row r="319">
      <c r="C319" s="79"/>
      <c r="D319" s="79"/>
      <c r="J319" s="79"/>
      <c r="O319" s="79"/>
      <c r="P319" s="79"/>
      <c r="S319" s="79"/>
      <c r="T319" s="79"/>
      <c r="W319" s="130"/>
      <c r="Y319" s="106"/>
    </row>
    <row r="320">
      <c r="C320" s="79"/>
      <c r="D320" s="79"/>
      <c r="J320" s="79"/>
      <c r="O320" s="79"/>
      <c r="P320" s="79"/>
      <c r="S320" s="79"/>
      <c r="T320" s="79"/>
      <c r="W320" s="130"/>
      <c r="Y320" s="106"/>
    </row>
    <row r="321">
      <c r="C321" s="79"/>
      <c r="D321" s="79"/>
      <c r="J321" s="79"/>
      <c r="O321" s="79"/>
      <c r="P321" s="79"/>
      <c r="S321" s="79"/>
      <c r="T321" s="79"/>
      <c r="W321" s="130"/>
      <c r="Y321" s="106"/>
    </row>
    <row r="322">
      <c r="C322" s="79"/>
      <c r="D322" s="79"/>
      <c r="J322" s="79"/>
      <c r="O322" s="79"/>
      <c r="P322" s="79"/>
      <c r="S322" s="79"/>
      <c r="T322" s="79"/>
      <c r="W322" s="130"/>
      <c r="Y322" s="106"/>
    </row>
    <row r="323">
      <c r="C323" s="79"/>
      <c r="D323" s="79"/>
      <c r="J323" s="79"/>
      <c r="O323" s="79"/>
      <c r="P323" s="79"/>
      <c r="S323" s="79"/>
      <c r="T323" s="79"/>
      <c r="W323" s="130"/>
      <c r="Y323" s="106"/>
    </row>
    <row r="324">
      <c r="C324" s="79"/>
      <c r="D324" s="79"/>
      <c r="J324" s="79"/>
      <c r="O324" s="79"/>
      <c r="P324" s="79"/>
      <c r="S324" s="79"/>
      <c r="T324" s="79"/>
      <c r="W324" s="130"/>
      <c r="Y324" s="106"/>
    </row>
    <row r="325">
      <c r="C325" s="79"/>
      <c r="D325" s="79"/>
      <c r="J325" s="79"/>
      <c r="O325" s="79"/>
      <c r="P325" s="79"/>
      <c r="S325" s="79"/>
      <c r="T325" s="79"/>
      <c r="W325" s="130"/>
      <c r="Y325" s="106"/>
    </row>
    <row r="326">
      <c r="C326" s="79"/>
      <c r="D326" s="79"/>
      <c r="J326" s="79"/>
      <c r="O326" s="79"/>
      <c r="P326" s="79"/>
      <c r="S326" s="79"/>
      <c r="T326" s="79"/>
      <c r="W326" s="130"/>
      <c r="Y326" s="106"/>
    </row>
    <row r="327">
      <c r="C327" s="79"/>
      <c r="D327" s="79"/>
      <c r="J327" s="79"/>
      <c r="O327" s="79"/>
      <c r="P327" s="79"/>
      <c r="S327" s="79"/>
      <c r="T327" s="79"/>
      <c r="W327" s="130"/>
      <c r="Y327" s="106"/>
    </row>
    <row r="328">
      <c r="C328" s="79"/>
      <c r="D328" s="79"/>
      <c r="J328" s="79"/>
      <c r="O328" s="79"/>
      <c r="P328" s="79"/>
      <c r="S328" s="79"/>
      <c r="T328" s="79"/>
      <c r="W328" s="130"/>
      <c r="Y328" s="106"/>
    </row>
    <row r="329">
      <c r="C329" s="79"/>
      <c r="D329" s="79"/>
      <c r="J329" s="79"/>
      <c r="O329" s="79"/>
      <c r="P329" s="79"/>
      <c r="S329" s="79"/>
      <c r="T329" s="79"/>
      <c r="W329" s="130"/>
      <c r="Y329" s="106"/>
    </row>
    <row r="330">
      <c r="C330" s="79"/>
      <c r="D330" s="79"/>
      <c r="J330" s="79"/>
      <c r="O330" s="79"/>
      <c r="P330" s="79"/>
      <c r="S330" s="79"/>
      <c r="T330" s="79"/>
      <c r="W330" s="130"/>
      <c r="Y330" s="106"/>
    </row>
    <row r="331">
      <c r="C331" s="79"/>
      <c r="D331" s="79"/>
      <c r="J331" s="79"/>
      <c r="O331" s="79"/>
      <c r="P331" s="79"/>
      <c r="S331" s="79"/>
      <c r="T331" s="79"/>
      <c r="W331" s="130"/>
      <c r="Y331" s="106"/>
    </row>
    <row r="332">
      <c r="C332" s="79"/>
      <c r="D332" s="79"/>
      <c r="J332" s="79"/>
      <c r="O332" s="79"/>
      <c r="P332" s="79"/>
      <c r="S332" s="79"/>
      <c r="T332" s="79"/>
      <c r="W332" s="130"/>
      <c r="Y332" s="106"/>
    </row>
    <row r="333">
      <c r="C333" s="79"/>
      <c r="D333" s="79"/>
      <c r="J333" s="79"/>
      <c r="O333" s="79"/>
      <c r="P333" s="79"/>
      <c r="S333" s="79"/>
      <c r="T333" s="79"/>
      <c r="W333" s="130"/>
      <c r="Y333" s="106"/>
    </row>
    <row r="334">
      <c r="C334" s="79"/>
      <c r="D334" s="79"/>
      <c r="J334" s="79"/>
      <c r="O334" s="79"/>
      <c r="P334" s="79"/>
      <c r="S334" s="79"/>
      <c r="T334" s="79"/>
      <c r="W334" s="130"/>
      <c r="Y334" s="106"/>
    </row>
    <row r="335">
      <c r="C335" s="79"/>
      <c r="D335" s="79"/>
      <c r="J335" s="79"/>
      <c r="O335" s="79"/>
      <c r="P335" s="79"/>
      <c r="S335" s="79"/>
      <c r="T335" s="79"/>
      <c r="W335" s="130"/>
      <c r="Y335" s="106"/>
    </row>
    <row r="336">
      <c r="C336" s="79"/>
      <c r="D336" s="79"/>
      <c r="J336" s="79"/>
      <c r="O336" s="79"/>
      <c r="P336" s="79"/>
      <c r="S336" s="79"/>
      <c r="T336" s="79"/>
      <c r="W336" s="130"/>
      <c r="Y336" s="106"/>
    </row>
    <row r="337">
      <c r="C337" s="79"/>
      <c r="D337" s="79"/>
      <c r="J337" s="79"/>
      <c r="O337" s="79"/>
      <c r="P337" s="79"/>
      <c r="S337" s="79"/>
      <c r="T337" s="79"/>
      <c r="W337" s="130"/>
      <c r="Y337" s="106"/>
    </row>
    <row r="338">
      <c r="C338" s="79"/>
      <c r="D338" s="79"/>
      <c r="J338" s="79"/>
      <c r="O338" s="79"/>
      <c r="P338" s="79"/>
      <c r="S338" s="79"/>
      <c r="T338" s="79"/>
      <c r="W338" s="130"/>
      <c r="Y338" s="106"/>
    </row>
    <row r="339">
      <c r="C339" s="79"/>
      <c r="D339" s="79"/>
      <c r="J339" s="79"/>
      <c r="O339" s="79"/>
      <c r="P339" s="79"/>
      <c r="S339" s="79"/>
      <c r="T339" s="79"/>
      <c r="W339" s="130"/>
      <c r="Y339" s="106"/>
    </row>
    <row r="340">
      <c r="C340" s="79"/>
      <c r="D340" s="79"/>
      <c r="J340" s="79"/>
      <c r="O340" s="79"/>
      <c r="P340" s="79"/>
      <c r="S340" s="79"/>
      <c r="T340" s="79"/>
      <c r="W340" s="130"/>
      <c r="Y340" s="106"/>
    </row>
    <row r="341">
      <c r="C341" s="79"/>
      <c r="D341" s="79"/>
      <c r="J341" s="79"/>
      <c r="O341" s="79"/>
      <c r="P341" s="79"/>
      <c r="S341" s="79"/>
      <c r="T341" s="79"/>
      <c r="W341" s="130"/>
      <c r="Y341" s="106"/>
    </row>
    <row r="342">
      <c r="C342" s="79"/>
      <c r="D342" s="79"/>
      <c r="J342" s="79"/>
      <c r="O342" s="79"/>
      <c r="P342" s="79"/>
      <c r="S342" s="79"/>
      <c r="T342" s="79"/>
      <c r="W342" s="130"/>
      <c r="Y342" s="106"/>
    </row>
    <row r="343">
      <c r="C343" s="79"/>
      <c r="D343" s="79"/>
      <c r="J343" s="79"/>
      <c r="O343" s="79"/>
      <c r="P343" s="79"/>
      <c r="S343" s="79"/>
      <c r="T343" s="79"/>
      <c r="W343" s="130"/>
      <c r="Y343" s="106"/>
    </row>
    <row r="344">
      <c r="C344" s="79"/>
      <c r="D344" s="79"/>
      <c r="J344" s="79"/>
      <c r="O344" s="79"/>
      <c r="P344" s="79"/>
      <c r="S344" s="79"/>
      <c r="T344" s="79"/>
      <c r="W344" s="130"/>
      <c r="Y344" s="106"/>
    </row>
    <row r="345">
      <c r="C345" s="79"/>
      <c r="D345" s="79"/>
      <c r="J345" s="79"/>
      <c r="O345" s="79"/>
      <c r="P345" s="79"/>
      <c r="S345" s="79"/>
      <c r="T345" s="79"/>
      <c r="W345" s="130"/>
      <c r="Y345" s="106"/>
    </row>
    <row r="346">
      <c r="C346" s="79"/>
      <c r="D346" s="79"/>
      <c r="J346" s="79"/>
      <c r="O346" s="79"/>
      <c r="P346" s="79"/>
      <c r="S346" s="79"/>
      <c r="T346" s="79"/>
      <c r="W346" s="130"/>
      <c r="Y346" s="106"/>
    </row>
    <row r="347">
      <c r="C347" s="79"/>
      <c r="D347" s="79"/>
      <c r="J347" s="79"/>
      <c r="O347" s="79"/>
      <c r="P347" s="79"/>
      <c r="S347" s="79"/>
      <c r="T347" s="79"/>
      <c r="W347" s="130"/>
      <c r="Y347" s="106"/>
    </row>
    <row r="348">
      <c r="C348" s="79"/>
      <c r="D348" s="79"/>
      <c r="J348" s="79"/>
      <c r="O348" s="79"/>
      <c r="P348" s="79"/>
      <c r="S348" s="79"/>
      <c r="T348" s="79"/>
      <c r="W348" s="130"/>
      <c r="Y348" s="106"/>
    </row>
    <row r="349">
      <c r="C349" s="79"/>
      <c r="D349" s="79"/>
      <c r="J349" s="79"/>
      <c r="O349" s="79"/>
      <c r="P349" s="79"/>
      <c r="S349" s="79"/>
      <c r="T349" s="79"/>
      <c r="W349" s="130"/>
      <c r="Y349" s="106"/>
    </row>
    <row r="350">
      <c r="C350" s="79"/>
      <c r="D350" s="79"/>
      <c r="J350" s="79"/>
      <c r="O350" s="79"/>
      <c r="P350" s="79"/>
      <c r="S350" s="79"/>
      <c r="T350" s="79"/>
      <c r="W350" s="130"/>
      <c r="Y350" s="106"/>
    </row>
    <row r="351">
      <c r="C351" s="79"/>
      <c r="D351" s="79"/>
      <c r="J351" s="79"/>
      <c r="O351" s="79"/>
      <c r="P351" s="79"/>
      <c r="S351" s="79"/>
      <c r="T351" s="79"/>
      <c r="W351" s="130"/>
      <c r="Y351" s="106"/>
    </row>
    <row r="352">
      <c r="C352" s="79"/>
      <c r="D352" s="79"/>
      <c r="J352" s="79"/>
      <c r="O352" s="79"/>
      <c r="P352" s="79"/>
      <c r="S352" s="79"/>
      <c r="T352" s="79"/>
      <c r="W352" s="130"/>
      <c r="Y352" s="106"/>
    </row>
    <row r="353">
      <c r="C353" s="79"/>
      <c r="D353" s="79"/>
      <c r="J353" s="79"/>
      <c r="O353" s="79"/>
      <c r="P353" s="79"/>
      <c r="S353" s="79"/>
      <c r="T353" s="79"/>
      <c r="W353" s="130"/>
      <c r="Y353" s="106"/>
    </row>
    <row r="354">
      <c r="C354" s="79"/>
      <c r="D354" s="79"/>
      <c r="J354" s="79"/>
      <c r="O354" s="79"/>
      <c r="P354" s="79"/>
      <c r="S354" s="79"/>
      <c r="T354" s="79"/>
      <c r="W354" s="130"/>
      <c r="Y354" s="106"/>
    </row>
    <row r="355">
      <c r="C355" s="79"/>
      <c r="D355" s="79"/>
      <c r="J355" s="79"/>
      <c r="O355" s="79"/>
      <c r="P355" s="79"/>
      <c r="S355" s="79"/>
      <c r="T355" s="79"/>
      <c r="W355" s="130"/>
      <c r="Y355" s="106"/>
    </row>
    <row r="356">
      <c r="C356" s="79"/>
      <c r="D356" s="79"/>
      <c r="J356" s="79"/>
      <c r="O356" s="79"/>
      <c r="P356" s="79"/>
      <c r="S356" s="79"/>
      <c r="T356" s="79"/>
      <c r="W356" s="130"/>
      <c r="Y356" s="106"/>
    </row>
    <row r="357">
      <c r="C357" s="79"/>
      <c r="D357" s="79"/>
      <c r="J357" s="79"/>
      <c r="O357" s="79"/>
      <c r="P357" s="79"/>
      <c r="S357" s="79"/>
      <c r="T357" s="79"/>
      <c r="W357" s="130"/>
      <c r="Y357" s="106"/>
    </row>
    <row r="358">
      <c r="C358" s="79"/>
      <c r="D358" s="79"/>
      <c r="J358" s="79"/>
      <c r="O358" s="79"/>
      <c r="P358" s="79"/>
      <c r="S358" s="79"/>
      <c r="T358" s="79"/>
      <c r="W358" s="130"/>
      <c r="Y358" s="106"/>
    </row>
    <row r="359">
      <c r="C359" s="79"/>
      <c r="D359" s="79"/>
      <c r="J359" s="79"/>
      <c r="O359" s="79"/>
      <c r="P359" s="79"/>
      <c r="S359" s="79"/>
      <c r="T359" s="79"/>
      <c r="W359" s="130"/>
      <c r="Y359" s="106"/>
    </row>
    <row r="360">
      <c r="C360" s="79"/>
      <c r="D360" s="79"/>
      <c r="J360" s="79"/>
      <c r="O360" s="79"/>
      <c r="P360" s="79"/>
      <c r="S360" s="79"/>
      <c r="T360" s="79"/>
      <c r="W360" s="130"/>
      <c r="Y360" s="106"/>
    </row>
    <row r="361">
      <c r="C361" s="79"/>
      <c r="D361" s="79"/>
      <c r="J361" s="79"/>
      <c r="O361" s="79"/>
      <c r="P361" s="79"/>
      <c r="S361" s="79"/>
      <c r="T361" s="79"/>
      <c r="W361" s="130"/>
      <c r="Y361" s="106"/>
    </row>
    <row r="362">
      <c r="C362" s="79"/>
      <c r="D362" s="79"/>
      <c r="J362" s="79"/>
      <c r="O362" s="79"/>
      <c r="P362" s="79"/>
      <c r="S362" s="79"/>
      <c r="T362" s="79"/>
      <c r="W362" s="130"/>
      <c r="Y362" s="106"/>
    </row>
    <row r="363">
      <c r="C363" s="79"/>
      <c r="D363" s="79"/>
      <c r="J363" s="79"/>
      <c r="O363" s="79"/>
      <c r="P363" s="79"/>
      <c r="S363" s="79"/>
      <c r="T363" s="79"/>
      <c r="W363" s="130"/>
      <c r="Y363" s="106"/>
    </row>
    <row r="364">
      <c r="C364" s="79"/>
      <c r="D364" s="79"/>
      <c r="J364" s="79"/>
      <c r="O364" s="79"/>
      <c r="P364" s="79"/>
      <c r="S364" s="79"/>
      <c r="T364" s="79"/>
      <c r="W364" s="130"/>
      <c r="Y364" s="106"/>
    </row>
    <row r="365">
      <c r="C365" s="79"/>
      <c r="D365" s="79"/>
      <c r="J365" s="79"/>
      <c r="O365" s="79"/>
      <c r="P365" s="79"/>
      <c r="S365" s="79"/>
      <c r="T365" s="79"/>
      <c r="W365" s="130"/>
      <c r="Y365" s="106"/>
    </row>
    <row r="366">
      <c r="C366" s="79"/>
      <c r="D366" s="79"/>
      <c r="J366" s="79"/>
      <c r="O366" s="79"/>
      <c r="P366" s="79"/>
      <c r="S366" s="79"/>
      <c r="T366" s="79"/>
      <c r="W366" s="130"/>
      <c r="Y366" s="106"/>
    </row>
    <row r="367">
      <c r="C367" s="79"/>
      <c r="D367" s="79"/>
      <c r="J367" s="79"/>
      <c r="O367" s="79"/>
      <c r="P367" s="79"/>
      <c r="S367" s="79"/>
      <c r="T367" s="79"/>
      <c r="W367" s="130"/>
      <c r="Y367" s="106"/>
    </row>
    <row r="368">
      <c r="C368" s="79"/>
      <c r="D368" s="79"/>
      <c r="J368" s="79"/>
      <c r="O368" s="79"/>
      <c r="P368" s="79"/>
      <c r="S368" s="79"/>
      <c r="T368" s="79"/>
      <c r="W368" s="130"/>
      <c r="Y368" s="106"/>
    </row>
    <row r="369">
      <c r="C369" s="79"/>
      <c r="D369" s="79"/>
      <c r="J369" s="79"/>
      <c r="O369" s="79"/>
      <c r="P369" s="79"/>
      <c r="S369" s="79"/>
      <c r="T369" s="79"/>
      <c r="W369" s="130"/>
      <c r="Y369" s="106"/>
    </row>
    <row r="370">
      <c r="C370" s="79"/>
      <c r="D370" s="79"/>
      <c r="J370" s="79"/>
      <c r="O370" s="79"/>
      <c r="P370" s="79"/>
      <c r="S370" s="79"/>
      <c r="T370" s="79"/>
      <c r="W370" s="130"/>
      <c r="Y370" s="106"/>
    </row>
    <row r="371">
      <c r="C371" s="79"/>
      <c r="D371" s="79"/>
      <c r="J371" s="79"/>
      <c r="O371" s="79"/>
      <c r="P371" s="79"/>
      <c r="S371" s="79"/>
      <c r="T371" s="79"/>
      <c r="W371" s="130"/>
      <c r="Y371" s="106"/>
    </row>
    <row r="372">
      <c r="C372" s="79"/>
      <c r="D372" s="79"/>
      <c r="J372" s="79"/>
      <c r="O372" s="79"/>
      <c r="P372" s="79"/>
      <c r="S372" s="79"/>
      <c r="T372" s="79"/>
      <c r="W372" s="130"/>
      <c r="Y372" s="106"/>
    </row>
    <row r="373">
      <c r="C373" s="79"/>
      <c r="D373" s="79"/>
      <c r="J373" s="79"/>
      <c r="O373" s="79"/>
      <c r="P373" s="79"/>
      <c r="S373" s="79"/>
      <c r="T373" s="79"/>
      <c r="W373" s="130"/>
      <c r="Y373" s="106"/>
    </row>
    <row r="374">
      <c r="C374" s="79"/>
      <c r="D374" s="79"/>
      <c r="J374" s="79"/>
      <c r="O374" s="79"/>
      <c r="P374" s="79"/>
      <c r="S374" s="79"/>
      <c r="T374" s="79"/>
      <c r="W374" s="130"/>
      <c r="Y374" s="106"/>
    </row>
    <row r="375">
      <c r="C375" s="79"/>
      <c r="D375" s="79"/>
      <c r="J375" s="79"/>
      <c r="O375" s="79"/>
      <c r="P375" s="79"/>
      <c r="S375" s="79"/>
      <c r="T375" s="79"/>
      <c r="W375" s="130"/>
      <c r="Y375" s="106"/>
    </row>
    <row r="376">
      <c r="C376" s="79"/>
      <c r="D376" s="79"/>
      <c r="J376" s="79"/>
      <c r="O376" s="79"/>
      <c r="P376" s="79"/>
      <c r="S376" s="79"/>
      <c r="T376" s="79"/>
      <c r="W376" s="130"/>
      <c r="Y376" s="106"/>
    </row>
    <row r="377">
      <c r="C377" s="79"/>
      <c r="D377" s="79"/>
      <c r="J377" s="79"/>
      <c r="O377" s="79"/>
      <c r="P377" s="79"/>
      <c r="S377" s="79"/>
      <c r="T377" s="79"/>
      <c r="W377" s="130"/>
      <c r="Y377" s="106"/>
    </row>
    <row r="378">
      <c r="C378" s="79"/>
      <c r="D378" s="79"/>
      <c r="J378" s="79"/>
      <c r="O378" s="79"/>
      <c r="P378" s="79"/>
      <c r="S378" s="79"/>
      <c r="T378" s="79"/>
      <c r="W378" s="130"/>
      <c r="Y378" s="106"/>
    </row>
    <row r="379">
      <c r="C379" s="79"/>
      <c r="D379" s="79"/>
      <c r="J379" s="79"/>
      <c r="O379" s="79"/>
      <c r="P379" s="79"/>
      <c r="S379" s="79"/>
      <c r="T379" s="79"/>
      <c r="W379" s="130"/>
      <c r="Y379" s="106"/>
    </row>
    <row r="380">
      <c r="C380" s="79"/>
      <c r="D380" s="79"/>
      <c r="J380" s="79"/>
      <c r="O380" s="79"/>
      <c r="P380" s="79"/>
      <c r="S380" s="79"/>
      <c r="T380" s="79"/>
      <c r="W380" s="130"/>
      <c r="Y380" s="106"/>
    </row>
    <row r="381">
      <c r="C381" s="79"/>
      <c r="D381" s="79"/>
      <c r="J381" s="79"/>
      <c r="O381" s="79"/>
      <c r="P381" s="79"/>
      <c r="S381" s="79"/>
      <c r="T381" s="79"/>
      <c r="W381" s="130"/>
      <c r="Y381" s="106"/>
    </row>
    <row r="382">
      <c r="C382" s="79"/>
      <c r="D382" s="79"/>
      <c r="J382" s="79"/>
      <c r="O382" s="79"/>
      <c r="P382" s="79"/>
      <c r="S382" s="79"/>
      <c r="T382" s="79"/>
      <c r="W382" s="130"/>
      <c r="Y382" s="106"/>
    </row>
    <row r="383">
      <c r="C383" s="79"/>
      <c r="D383" s="79"/>
      <c r="J383" s="79"/>
      <c r="O383" s="79"/>
      <c r="P383" s="79"/>
      <c r="S383" s="79"/>
      <c r="T383" s="79"/>
      <c r="W383" s="130"/>
      <c r="Y383" s="106"/>
    </row>
    <row r="384">
      <c r="C384" s="79"/>
      <c r="D384" s="79"/>
      <c r="J384" s="79"/>
      <c r="O384" s="79"/>
      <c r="P384" s="79"/>
      <c r="S384" s="79"/>
      <c r="T384" s="79"/>
      <c r="W384" s="130"/>
      <c r="Y384" s="106"/>
    </row>
    <row r="385">
      <c r="C385" s="79"/>
      <c r="D385" s="79"/>
      <c r="J385" s="79"/>
      <c r="O385" s="79"/>
      <c r="P385" s="79"/>
      <c r="S385" s="79"/>
      <c r="T385" s="79"/>
      <c r="W385" s="130"/>
      <c r="Y385" s="106"/>
    </row>
    <row r="386">
      <c r="C386" s="79"/>
      <c r="D386" s="79"/>
      <c r="J386" s="79"/>
      <c r="O386" s="79"/>
      <c r="P386" s="79"/>
      <c r="S386" s="79"/>
      <c r="T386" s="79"/>
      <c r="W386" s="130"/>
      <c r="Y386" s="106"/>
    </row>
    <row r="387">
      <c r="C387" s="79"/>
      <c r="D387" s="79"/>
      <c r="J387" s="79"/>
      <c r="O387" s="79"/>
      <c r="P387" s="79"/>
      <c r="S387" s="79"/>
      <c r="T387" s="79"/>
      <c r="W387" s="130"/>
      <c r="Y387" s="106"/>
    </row>
    <row r="388">
      <c r="C388" s="79"/>
      <c r="D388" s="79"/>
      <c r="J388" s="79"/>
      <c r="O388" s="79"/>
      <c r="P388" s="79"/>
      <c r="S388" s="79"/>
      <c r="T388" s="79"/>
      <c r="W388" s="130"/>
      <c r="Y388" s="106"/>
    </row>
    <row r="389">
      <c r="C389" s="79"/>
      <c r="D389" s="79"/>
      <c r="J389" s="79"/>
      <c r="O389" s="79"/>
      <c r="P389" s="79"/>
      <c r="S389" s="79"/>
      <c r="T389" s="79"/>
      <c r="W389" s="130"/>
      <c r="Y389" s="106"/>
    </row>
    <row r="390">
      <c r="C390" s="79"/>
      <c r="D390" s="79"/>
      <c r="J390" s="79"/>
      <c r="O390" s="79"/>
      <c r="P390" s="79"/>
      <c r="S390" s="79"/>
      <c r="T390" s="79"/>
      <c r="W390" s="130"/>
      <c r="Y390" s="106"/>
    </row>
    <row r="391">
      <c r="C391" s="79"/>
      <c r="D391" s="79"/>
      <c r="J391" s="79"/>
      <c r="O391" s="79"/>
      <c r="P391" s="79"/>
      <c r="S391" s="79"/>
      <c r="T391" s="79"/>
      <c r="W391" s="130"/>
      <c r="Y391" s="106"/>
    </row>
    <row r="392">
      <c r="C392" s="79"/>
      <c r="D392" s="79"/>
      <c r="J392" s="79"/>
      <c r="O392" s="79"/>
      <c r="P392" s="79"/>
      <c r="S392" s="79"/>
      <c r="T392" s="79"/>
      <c r="W392" s="130"/>
      <c r="Y392" s="106"/>
    </row>
    <row r="393">
      <c r="C393" s="79"/>
      <c r="D393" s="79"/>
      <c r="J393" s="79"/>
      <c r="O393" s="79"/>
      <c r="P393" s="79"/>
      <c r="S393" s="79"/>
      <c r="T393" s="79"/>
      <c r="W393" s="130"/>
      <c r="Y393" s="106"/>
    </row>
    <row r="394">
      <c r="C394" s="79"/>
      <c r="D394" s="79"/>
      <c r="J394" s="79"/>
      <c r="O394" s="79"/>
      <c r="P394" s="79"/>
      <c r="S394" s="79"/>
      <c r="T394" s="79"/>
      <c r="W394" s="130"/>
      <c r="Y394" s="106"/>
    </row>
    <row r="395">
      <c r="C395" s="79"/>
      <c r="D395" s="79"/>
      <c r="J395" s="79"/>
      <c r="O395" s="79"/>
      <c r="P395" s="79"/>
      <c r="S395" s="79"/>
      <c r="T395" s="79"/>
      <c r="W395" s="130"/>
      <c r="Y395" s="106"/>
    </row>
    <row r="396">
      <c r="C396" s="79"/>
      <c r="D396" s="79"/>
      <c r="J396" s="79"/>
      <c r="O396" s="79"/>
      <c r="P396" s="79"/>
      <c r="S396" s="79"/>
      <c r="T396" s="79"/>
      <c r="W396" s="130"/>
      <c r="Y396" s="106"/>
    </row>
    <row r="397">
      <c r="C397" s="79"/>
      <c r="D397" s="79"/>
      <c r="J397" s="79"/>
      <c r="O397" s="79"/>
      <c r="P397" s="79"/>
      <c r="S397" s="79"/>
      <c r="T397" s="79"/>
      <c r="W397" s="130"/>
      <c r="Y397" s="106"/>
    </row>
    <row r="398">
      <c r="C398" s="79"/>
      <c r="D398" s="79"/>
      <c r="J398" s="79"/>
      <c r="O398" s="79"/>
      <c r="P398" s="79"/>
      <c r="S398" s="79"/>
      <c r="T398" s="79"/>
      <c r="W398" s="130"/>
      <c r="Y398" s="106"/>
    </row>
    <row r="399">
      <c r="C399" s="79"/>
      <c r="D399" s="79"/>
      <c r="J399" s="79"/>
      <c r="O399" s="79"/>
      <c r="P399" s="79"/>
      <c r="S399" s="79"/>
      <c r="T399" s="79"/>
      <c r="W399" s="130"/>
      <c r="Y399" s="106"/>
    </row>
    <row r="400">
      <c r="C400" s="79"/>
      <c r="D400" s="79"/>
      <c r="J400" s="79"/>
      <c r="O400" s="79"/>
      <c r="P400" s="79"/>
      <c r="S400" s="79"/>
      <c r="T400" s="79"/>
      <c r="W400" s="130"/>
      <c r="Y400" s="106"/>
    </row>
    <row r="401">
      <c r="C401" s="79"/>
      <c r="D401" s="79"/>
      <c r="J401" s="79"/>
      <c r="O401" s="79"/>
      <c r="P401" s="79"/>
      <c r="S401" s="79"/>
      <c r="T401" s="79"/>
      <c r="W401" s="130"/>
      <c r="Y401" s="106"/>
    </row>
    <row r="402">
      <c r="C402" s="79"/>
      <c r="D402" s="79"/>
      <c r="J402" s="79"/>
      <c r="O402" s="79"/>
      <c r="P402" s="79"/>
      <c r="S402" s="79"/>
      <c r="T402" s="79"/>
      <c r="W402" s="130"/>
      <c r="Y402" s="106"/>
    </row>
    <row r="403">
      <c r="C403" s="79"/>
      <c r="D403" s="79"/>
      <c r="J403" s="79"/>
      <c r="O403" s="79"/>
      <c r="P403" s="79"/>
      <c r="S403" s="79"/>
      <c r="T403" s="79"/>
      <c r="W403" s="130"/>
      <c r="Y403" s="106"/>
    </row>
    <row r="404">
      <c r="C404" s="79"/>
      <c r="D404" s="79"/>
      <c r="J404" s="79"/>
      <c r="O404" s="79"/>
      <c r="P404" s="79"/>
      <c r="S404" s="79"/>
      <c r="T404" s="79"/>
      <c r="W404" s="130"/>
      <c r="Y404" s="106"/>
    </row>
    <row r="405">
      <c r="C405" s="79"/>
      <c r="D405" s="79"/>
      <c r="J405" s="79"/>
      <c r="O405" s="79"/>
      <c r="P405" s="79"/>
      <c r="S405" s="79"/>
      <c r="T405" s="79"/>
      <c r="W405" s="130"/>
      <c r="Y405" s="106"/>
    </row>
    <row r="406">
      <c r="C406" s="79"/>
      <c r="D406" s="79"/>
      <c r="J406" s="79"/>
      <c r="O406" s="79"/>
      <c r="P406" s="79"/>
      <c r="S406" s="79"/>
      <c r="T406" s="79"/>
      <c r="W406" s="130"/>
      <c r="Y406" s="106"/>
    </row>
    <row r="407">
      <c r="C407" s="79"/>
      <c r="D407" s="79"/>
      <c r="J407" s="79"/>
      <c r="O407" s="79"/>
      <c r="P407" s="79"/>
      <c r="S407" s="79"/>
      <c r="T407" s="79"/>
      <c r="W407" s="130"/>
      <c r="Y407" s="106"/>
    </row>
    <row r="408">
      <c r="C408" s="79"/>
      <c r="D408" s="79"/>
      <c r="J408" s="79"/>
      <c r="O408" s="79"/>
      <c r="P408" s="79"/>
      <c r="S408" s="79"/>
      <c r="T408" s="79"/>
      <c r="W408" s="130"/>
      <c r="Y408" s="106"/>
    </row>
    <row r="409">
      <c r="C409" s="79"/>
      <c r="D409" s="79"/>
      <c r="J409" s="79"/>
      <c r="O409" s="79"/>
      <c r="P409" s="79"/>
      <c r="S409" s="79"/>
      <c r="T409" s="79"/>
      <c r="W409" s="130"/>
      <c r="Y409" s="106"/>
    </row>
    <row r="410">
      <c r="C410" s="79"/>
      <c r="D410" s="79"/>
      <c r="J410" s="79"/>
      <c r="O410" s="79"/>
      <c r="P410" s="79"/>
      <c r="S410" s="79"/>
      <c r="T410" s="79"/>
      <c r="W410" s="130"/>
      <c r="Y410" s="106"/>
    </row>
    <row r="411">
      <c r="C411" s="79"/>
      <c r="D411" s="79"/>
      <c r="J411" s="79"/>
      <c r="O411" s="79"/>
      <c r="P411" s="79"/>
      <c r="S411" s="79"/>
      <c r="T411" s="79"/>
      <c r="W411" s="130"/>
      <c r="Y411" s="106"/>
    </row>
    <row r="412">
      <c r="C412" s="79"/>
      <c r="D412" s="79"/>
      <c r="J412" s="79"/>
      <c r="O412" s="79"/>
      <c r="P412" s="79"/>
      <c r="S412" s="79"/>
      <c r="T412" s="79"/>
      <c r="W412" s="130"/>
      <c r="Y412" s="106"/>
    </row>
    <row r="413">
      <c r="C413" s="79"/>
      <c r="D413" s="79"/>
      <c r="J413" s="79"/>
      <c r="O413" s="79"/>
      <c r="P413" s="79"/>
      <c r="S413" s="79"/>
      <c r="T413" s="79"/>
      <c r="W413" s="130"/>
      <c r="Y413" s="106"/>
    </row>
    <row r="414">
      <c r="C414" s="79"/>
      <c r="D414" s="79"/>
      <c r="J414" s="79"/>
      <c r="O414" s="79"/>
      <c r="P414" s="79"/>
      <c r="S414" s="79"/>
      <c r="T414" s="79"/>
      <c r="W414" s="130"/>
      <c r="Y414" s="106"/>
    </row>
    <row r="415">
      <c r="C415" s="79"/>
      <c r="D415" s="79"/>
      <c r="J415" s="79"/>
      <c r="O415" s="79"/>
      <c r="P415" s="79"/>
      <c r="S415" s="79"/>
      <c r="T415" s="79"/>
      <c r="W415" s="130"/>
      <c r="Y415" s="106"/>
    </row>
    <row r="416">
      <c r="C416" s="79"/>
      <c r="D416" s="79"/>
      <c r="J416" s="79"/>
      <c r="O416" s="79"/>
      <c r="P416" s="79"/>
      <c r="S416" s="79"/>
      <c r="T416" s="79"/>
      <c r="W416" s="130"/>
      <c r="Y416" s="106"/>
    </row>
    <row r="417">
      <c r="C417" s="79"/>
      <c r="D417" s="79"/>
      <c r="J417" s="79"/>
      <c r="O417" s="79"/>
      <c r="P417" s="79"/>
      <c r="S417" s="79"/>
      <c r="T417" s="79"/>
      <c r="W417" s="130"/>
      <c r="Y417" s="106"/>
    </row>
    <row r="418">
      <c r="C418" s="79"/>
      <c r="D418" s="79"/>
      <c r="J418" s="79"/>
      <c r="O418" s="79"/>
      <c r="P418" s="79"/>
      <c r="S418" s="79"/>
      <c r="T418" s="79"/>
      <c r="W418" s="130"/>
      <c r="Y418" s="106"/>
    </row>
    <row r="419">
      <c r="C419" s="79"/>
      <c r="D419" s="79"/>
      <c r="J419" s="79"/>
      <c r="O419" s="79"/>
      <c r="P419" s="79"/>
      <c r="S419" s="79"/>
      <c r="T419" s="79"/>
      <c r="W419" s="130"/>
      <c r="Y419" s="106"/>
    </row>
    <row r="420">
      <c r="C420" s="79"/>
      <c r="D420" s="79"/>
      <c r="J420" s="79"/>
      <c r="O420" s="79"/>
      <c r="P420" s="79"/>
      <c r="S420" s="79"/>
      <c r="T420" s="79"/>
      <c r="W420" s="130"/>
      <c r="Y420" s="106"/>
    </row>
    <row r="421">
      <c r="C421" s="79"/>
      <c r="D421" s="79"/>
      <c r="J421" s="79"/>
      <c r="O421" s="79"/>
      <c r="P421" s="79"/>
      <c r="S421" s="79"/>
      <c r="T421" s="79"/>
      <c r="W421" s="130"/>
      <c r="Y421" s="106"/>
    </row>
    <row r="422">
      <c r="C422" s="79"/>
      <c r="D422" s="79"/>
      <c r="J422" s="79"/>
      <c r="O422" s="79"/>
      <c r="P422" s="79"/>
      <c r="S422" s="79"/>
      <c r="T422" s="79"/>
      <c r="W422" s="130"/>
      <c r="Y422" s="106"/>
    </row>
    <row r="423">
      <c r="C423" s="79"/>
      <c r="D423" s="79"/>
      <c r="J423" s="79"/>
      <c r="O423" s="79"/>
      <c r="P423" s="79"/>
      <c r="S423" s="79"/>
      <c r="T423" s="79"/>
      <c r="W423" s="130"/>
      <c r="Y423" s="106"/>
    </row>
    <row r="424">
      <c r="C424" s="79"/>
      <c r="D424" s="79"/>
      <c r="J424" s="79"/>
      <c r="O424" s="79"/>
      <c r="P424" s="79"/>
      <c r="S424" s="79"/>
      <c r="T424" s="79"/>
      <c r="W424" s="130"/>
      <c r="Y424" s="106"/>
    </row>
    <row r="425">
      <c r="C425" s="79"/>
      <c r="D425" s="79"/>
      <c r="J425" s="79"/>
      <c r="O425" s="79"/>
      <c r="P425" s="79"/>
      <c r="S425" s="79"/>
      <c r="T425" s="79"/>
      <c r="W425" s="130"/>
      <c r="Y425" s="106"/>
    </row>
    <row r="426">
      <c r="C426" s="79"/>
      <c r="D426" s="79"/>
      <c r="J426" s="79"/>
      <c r="O426" s="79"/>
      <c r="P426" s="79"/>
      <c r="S426" s="79"/>
      <c r="T426" s="79"/>
      <c r="W426" s="130"/>
      <c r="Y426" s="106"/>
    </row>
    <row r="427">
      <c r="C427" s="79"/>
      <c r="D427" s="79"/>
      <c r="J427" s="79"/>
      <c r="O427" s="79"/>
      <c r="P427" s="79"/>
      <c r="S427" s="79"/>
      <c r="T427" s="79"/>
      <c r="W427" s="130"/>
      <c r="Y427" s="106"/>
    </row>
    <row r="428">
      <c r="C428" s="79"/>
      <c r="D428" s="79"/>
      <c r="J428" s="79"/>
      <c r="O428" s="79"/>
      <c r="P428" s="79"/>
      <c r="S428" s="79"/>
      <c r="T428" s="79"/>
      <c r="W428" s="130"/>
      <c r="Y428" s="106"/>
    </row>
    <row r="429">
      <c r="C429" s="79"/>
      <c r="D429" s="79"/>
      <c r="J429" s="79"/>
      <c r="O429" s="79"/>
      <c r="P429" s="79"/>
      <c r="S429" s="79"/>
      <c r="T429" s="79"/>
      <c r="W429" s="130"/>
      <c r="Y429" s="106"/>
    </row>
    <row r="430">
      <c r="C430" s="79"/>
      <c r="D430" s="79"/>
      <c r="J430" s="79"/>
      <c r="O430" s="79"/>
      <c r="P430" s="79"/>
      <c r="S430" s="79"/>
      <c r="T430" s="79"/>
      <c r="W430" s="130"/>
      <c r="Y430" s="106"/>
    </row>
    <row r="431">
      <c r="C431" s="79"/>
      <c r="D431" s="79"/>
      <c r="J431" s="79"/>
      <c r="O431" s="79"/>
      <c r="P431" s="79"/>
      <c r="S431" s="79"/>
      <c r="T431" s="79"/>
      <c r="W431" s="130"/>
      <c r="Y431" s="106"/>
    </row>
    <row r="432">
      <c r="C432" s="79"/>
      <c r="D432" s="79"/>
      <c r="J432" s="79"/>
      <c r="O432" s="79"/>
      <c r="P432" s="79"/>
      <c r="S432" s="79"/>
      <c r="T432" s="79"/>
      <c r="W432" s="130"/>
      <c r="Y432" s="106"/>
    </row>
    <row r="433">
      <c r="C433" s="79"/>
      <c r="D433" s="79"/>
      <c r="J433" s="79"/>
      <c r="O433" s="79"/>
      <c r="P433" s="79"/>
      <c r="S433" s="79"/>
      <c r="T433" s="79"/>
      <c r="W433" s="130"/>
      <c r="Y433" s="106"/>
    </row>
    <row r="434">
      <c r="C434" s="79"/>
      <c r="D434" s="79"/>
      <c r="J434" s="79"/>
      <c r="O434" s="79"/>
      <c r="P434" s="79"/>
      <c r="S434" s="79"/>
      <c r="T434" s="79"/>
      <c r="W434" s="130"/>
      <c r="Y434" s="106"/>
    </row>
    <row r="435">
      <c r="C435" s="79"/>
      <c r="D435" s="79"/>
      <c r="J435" s="79"/>
      <c r="O435" s="79"/>
      <c r="P435" s="79"/>
      <c r="S435" s="79"/>
      <c r="T435" s="79"/>
      <c r="W435" s="130"/>
      <c r="Y435" s="106"/>
    </row>
    <row r="436">
      <c r="C436" s="79"/>
      <c r="D436" s="79"/>
      <c r="J436" s="79"/>
      <c r="O436" s="79"/>
      <c r="P436" s="79"/>
      <c r="S436" s="79"/>
      <c r="T436" s="79"/>
      <c r="W436" s="130"/>
      <c r="Y436" s="106"/>
    </row>
    <row r="437">
      <c r="C437" s="79"/>
      <c r="D437" s="79"/>
      <c r="J437" s="79"/>
      <c r="O437" s="79"/>
      <c r="P437" s="79"/>
      <c r="S437" s="79"/>
      <c r="T437" s="79"/>
      <c r="W437" s="130"/>
      <c r="Y437" s="106"/>
    </row>
    <row r="438">
      <c r="C438" s="79"/>
      <c r="D438" s="79"/>
      <c r="J438" s="79"/>
      <c r="O438" s="79"/>
      <c r="P438" s="79"/>
      <c r="S438" s="79"/>
      <c r="T438" s="79"/>
      <c r="W438" s="130"/>
      <c r="Y438" s="106"/>
    </row>
    <row r="439">
      <c r="C439" s="79"/>
      <c r="D439" s="79"/>
      <c r="J439" s="79"/>
      <c r="O439" s="79"/>
      <c r="P439" s="79"/>
      <c r="S439" s="79"/>
      <c r="T439" s="79"/>
      <c r="W439" s="130"/>
      <c r="Y439" s="106"/>
    </row>
    <row r="440">
      <c r="C440" s="79"/>
      <c r="D440" s="79"/>
      <c r="J440" s="79"/>
      <c r="O440" s="79"/>
      <c r="P440" s="79"/>
      <c r="S440" s="79"/>
      <c r="T440" s="79"/>
      <c r="W440" s="130"/>
      <c r="Y440" s="106"/>
    </row>
    <row r="441">
      <c r="C441" s="79"/>
      <c r="D441" s="79"/>
      <c r="J441" s="79"/>
      <c r="O441" s="79"/>
      <c r="P441" s="79"/>
      <c r="S441" s="79"/>
      <c r="T441" s="79"/>
      <c r="W441" s="130"/>
      <c r="Y441" s="106"/>
    </row>
    <row r="442">
      <c r="C442" s="79"/>
      <c r="D442" s="79"/>
      <c r="J442" s="79"/>
      <c r="O442" s="79"/>
      <c r="P442" s="79"/>
      <c r="S442" s="79"/>
      <c r="T442" s="79"/>
      <c r="W442" s="130"/>
      <c r="Y442" s="106"/>
    </row>
    <row r="443">
      <c r="C443" s="79"/>
      <c r="D443" s="79"/>
      <c r="J443" s="79"/>
      <c r="O443" s="79"/>
      <c r="P443" s="79"/>
      <c r="S443" s="79"/>
      <c r="T443" s="79"/>
      <c r="W443" s="130"/>
      <c r="Y443" s="106"/>
    </row>
    <row r="444">
      <c r="C444" s="79"/>
      <c r="D444" s="79"/>
      <c r="J444" s="79"/>
      <c r="O444" s="79"/>
      <c r="P444" s="79"/>
      <c r="S444" s="79"/>
      <c r="T444" s="79"/>
      <c r="W444" s="130"/>
      <c r="Y444" s="106"/>
    </row>
    <row r="445">
      <c r="C445" s="79"/>
      <c r="D445" s="79"/>
      <c r="J445" s="79"/>
      <c r="O445" s="79"/>
      <c r="P445" s="79"/>
      <c r="S445" s="79"/>
      <c r="T445" s="79"/>
      <c r="W445" s="130"/>
      <c r="Y445" s="106"/>
    </row>
    <row r="446">
      <c r="C446" s="79"/>
      <c r="D446" s="79"/>
      <c r="J446" s="79"/>
      <c r="O446" s="79"/>
      <c r="P446" s="79"/>
      <c r="S446" s="79"/>
      <c r="T446" s="79"/>
      <c r="W446" s="130"/>
      <c r="Y446" s="106"/>
    </row>
    <row r="447">
      <c r="C447" s="79"/>
      <c r="D447" s="79"/>
      <c r="J447" s="79"/>
      <c r="O447" s="79"/>
      <c r="P447" s="79"/>
      <c r="S447" s="79"/>
      <c r="T447" s="79"/>
      <c r="W447" s="130"/>
      <c r="Y447" s="106"/>
    </row>
    <row r="448">
      <c r="C448" s="79"/>
      <c r="D448" s="79"/>
      <c r="J448" s="79"/>
      <c r="O448" s="79"/>
      <c r="P448" s="79"/>
      <c r="S448" s="79"/>
      <c r="T448" s="79"/>
      <c r="W448" s="130"/>
      <c r="Y448" s="106"/>
    </row>
    <row r="449">
      <c r="C449" s="79"/>
      <c r="D449" s="79"/>
      <c r="J449" s="79"/>
      <c r="O449" s="79"/>
      <c r="P449" s="79"/>
      <c r="S449" s="79"/>
      <c r="T449" s="79"/>
      <c r="W449" s="130"/>
      <c r="Y449" s="106"/>
    </row>
    <row r="450">
      <c r="C450" s="79"/>
      <c r="D450" s="79"/>
      <c r="J450" s="79"/>
      <c r="O450" s="79"/>
      <c r="P450" s="79"/>
      <c r="S450" s="79"/>
      <c r="T450" s="79"/>
      <c r="W450" s="130"/>
      <c r="Y450" s="106"/>
    </row>
    <row r="451">
      <c r="C451" s="79"/>
      <c r="D451" s="79"/>
      <c r="J451" s="79"/>
      <c r="O451" s="79"/>
      <c r="P451" s="79"/>
      <c r="S451" s="79"/>
      <c r="T451" s="79"/>
      <c r="W451" s="130"/>
      <c r="Y451" s="106"/>
    </row>
    <row r="452">
      <c r="C452" s="79"/>
      <c r="D452" s="79"/>
      <c r="J452" s="79"/>
      <c r="O452" s="79"/>
      <c r="P452" s="79"/>
      <c r="S452" s="79"/>
      <c r="T452" s="79"/>
      <c r="W452" s="130"/>
      <c r="Y452" s="106"/>
    </row>
    <row r="453">
      <c r="C453" s="79"/>
      <c r="D453" s="79"/>
      <c r="J453" s="79"/>
      <c r="O453" s="79"/>
      <c r="P453" s="79"/>
      <c r="S453" s="79"/>
      <c r="T453" s="79"/>
      <c r="W453" s="130"/>
      <c r="Y453" s="106"/>
    </row>
    <row r="454">
      <c r="C454" s="79"/>
      <c r="D454" s="79"/>
      <c r="J454" s="79"/>
      <c r="O454" s="79"/>
      <c r="P454" s="79"/>
      <c r="S454" s="79"/>
      <c r="T454" s="79"/>
      <c r="W454" s="130"/>
      <c r="Y454" s="106"/>
    </row>
    <row r="455">
      <c r="C455" s="79"/>
      <c r="D455" s="79"/>
      <c r="J455" s="79"/>
      <c r="O455" s="79"/>
      <c r="P455" s="79"/>
      <c r="S455" s="79"/>
      <c r="T455" s="79"/>
      <c r="W455" s="130"/>
      <c r="Y455" s="106"/>
    </row>
    <row r="456">
      <c r="C456" s="79"/>
      <c r="D456" s="79"/>
      <c r="J456" s="79"/>
      <c r="O456" s="79"/>
      <c r="P456" s="79"/>
      <c r="S456" s="79"/>
      <c r="T456" s="79"/>
      <c r="W456" s="130"/>
      <c r="Y456" s="106"/>
    </row>
    <row r="457">
      <c r="C457" s="79"/>
      <c r="D457" s="79"/>
      <c r="J457" s="79"/>
      <c r="O457" s="79"/>
      <c r="P457" s="79"/>
      <c r="S457" s="79"/>
      <c r="T457" s="79"/>
      <c r="W457" s="130"/>
      <c r="Y457" s="106"/>
    </row>
    <row r="458">
      <c r="C458" s="79"/>
      <c r="D458" s="79"/>
      <c r="J458" s="79"/>
      <c r="O458" s="79"/>
      <c r="P458" s="79"/>
      <c r="S458" s="79"/>
      <c r="T458" s="79"/>
      <c r="W458" s="130"/>
      <c r="Y458" s="106"/>
    </row>
    <row r="459">
      <c r="C459" s="79"/>
      <c r="D459" s="79"/>
      <c r="J459" s="79"/>
      <c r="O459" s="79"/>
      <c r="P459" s="79"/>
      <c r="S459" s="79"/>
      <c r="T459" s="79"/>
      <c r="W459" s="130"/>
      <c r="Y459" s="106"/>
    </row>
    <row r="460">
      <c r="C460" s="79"/>
      <c r="D460" s="79"/>
      <c r="J460" s="79"/>
      <c r="O460" s="79"/>
      <c r="P460" s="79"/>
      <c r="S460" s="79"/>
      <c r="T460" s="79"/>
      <c r="W460" s="130"/>
      <c r="Y460" s="106"/>
    </row>
    <row r="461">
      <c r="C461" s="79"/>
      <c r="D461" s="79"/>
      <c r="J461" s="79"/>
      <c r="O461" s="79"/>
      <c r="P461" s="79"/>
      <c r="S461" s="79"/>
      <c r="T461" s="79"/>
      <c r="W461" s="130"/>
      <c r="Y461" s="106"/>
    </row>
    <row r="462">
      <c r="C462" s="79"/>
      <c r="D462" s="79"/>
      <c r="J462" s="79"/>
      <c r="O462" s="79"/>
      <c r="P462" s="79"/>
      <c r="S462" s="79"/>
      <c r="T462" s="79"/>
      <c r="W462" s="130"/>
      <c r="Y462" s="106"/>
    </row>
    <row r="463">
      <c r="C463" s="79"/>
      <c r="D463" s="79"/>
      <c r="J463" s="79"/>
      <c r="O463" s="79"/>
      <c r="P463" s="79"/>
      <c r="S463" s="79"/>
      <c r="T463" s="79"/>
      <c r="W463" s="130"/>
      <c r="Y463" s="106"/>
    </row>
    <row r="464">
      <c r="C464" s="79"/>
      <c r="D464" s="79"/>
      <c r="J464" s="79"/>
      <c r="O464" s="79"/>
      <c r="P464" s="79"/>
      <c r="S464" s="79"/>
      <c r="T464" s="79"/>
      <c r="W464" s="130"/>
      <c r="Y464" s="106"/>
    </row>
    <row r="465">
      <c r="C465" s="79"/>
      <c r="D465" s="79"/>
      <c r="J465" s="79"/>
      <c r="O465" s="79"/>
      <c r="P465" s="79"/>
      <c r="S465" s="79"/>
      <c r="T465" s="79"/>
      <c r="W465" s="130"/>
      <c r="Y465" s="106"/>
    </row>
    <row r="466">
      <c r="C466" s="79"/>
      <c r="D466" s="79"/>
      <c r="J466" s="79"/>
      <c r="O466" s="79"/>
      <c r="P466" s="79"/>
      <c r="S466" s="79"/>
      <c r="T466" s="79"/>
      <c r="W466" s="130"/>
      <c r="Y466" s="106"/>
    </row>
    <row r="467">
      <c r="C467" s="79"/>
      <c r="D467" s="79"/>
      <c r="J467" s="79"/>
      <c r="O467" s="79"/>
      <c r="P467" s="79"/>
      <c r="S467" s="79"/>
      <c r="T467" s="79"/>
      <c r="W467" s="130"/>
      <c r="Y467" s="106"/>
    </row>
    <row r="468">
      <c r="C468" s="79"/>
      <c r="D468" s="79"/>
      <c r="J468" s="79"/>
      <c r="O468" s="79"/>
      <c r="P468" s="79"/>
      <c r="S468" s="79"/>
      <c r="T468" s="79"/>
      <c r="W468" s="130"/>
      <c r="Y468" s="106"/>
    </row>
    <row r="469">
      <c r="C469" s="79"/>
      <c r="D469" s="79"/>
      <c r="J469" s="79"/>
      <c r="O469" s="79"/>
      <c r="P469" s="79"/>
      <c r="S469" s="79"/>
      <c r="T469" s="79"/>
      <c r="W469" s="130"/>
      <c r="Y469" s="106"/>
    </row>
    <row r="470">
      <c r="C470" s="79"/>
      <c r="D470" s="79"/>
      <c r="J470" s="79"/>
      <c r="O470" s="79"/>
      <c r="P470" s="79"/>
      <c r="S470" s="79"/>
      <c r="T470" s="79"/>
      <c r="W470" s="130"/>
      <c r="Y470" s="106"/>
    </row>
    <row r="471">
      <c r="C471" s="79"/>
      <c r="D471" s="79"/>
      <c r="J471" s="79"/>
      <c r="O471" s="79"/>
      <c r="P471" s="79"/>
      <c r="S471" s="79"/>
      <c r="T471" s="79"/>
      <c r="W471" s="130"/>
      <c r="Y471" s="106"/>
    </row>
    <row r="472">
      <c r="C472" s="79"/>
      <c r="D472" s="79"/>
      <c r="J472" s="79"/>
      <c r="O472" s="79"/>
      <c r="P472" s="79"/>
      <c r="S472" s="79"/>
      <c r="T472" s="79"/>
      <c r="W472" s="130"/>
      <c r="Y472" s="106"/>
    </row>
    <row r="473">
      <c r="C473" s="79"/>
      <c r="D473" s="79"/>
      <c r="J473" s="79"/>
      <c r="O473" s="79"/>
      <c r="P473" s="79"/>
      <c r="S473" s="79"/>
      <c r="T473" s="79"/>
      <c r="W473" s="130"/>
      <c r="Y473" s="106"/>
    </row>
    <row r="474">
      <c r="C474" s="79"/>
      <c r="D474" s="79"/>
      <c r="J474" s="79"/>
      <c r="O474" s="79"/>
      <c r="P474" s="79"/>
      <c r="S474" s="79"/>
      <c r="T474" s="79"/>
      <c r="W474" s="130"/>
      <c r="Y474" s="106"/>
    </row>
    <row r="475">
      <c r="C475" s="79"/>
      <c r="D475" s="79"/>
      <c r="J475" s="79"/>
      <c r="O475" s="79"/>
      <c r="P475" s="79"/>
      <c r="S475" s="79"/>
      <c r="T475" s="79"/>
      <c r="W475" s="130"/>
      <c r="Y475" s="106"/>
    </row>
    <row r="476">
      <c r="C476" s="79"/>
      <c r="D476" s="79"/>
      <c r="J476" s="79"/>
      <c r="O476" s="79"/>
      <c r="P476" s="79"/>
      <c r="S476" s="79"/>
      <c r="T476" s="79"/>
      <c r="W476" s="130"/>
      <c r="Y476" s="106"/>
    </row>
    <row r="477">
      <c r="C477" s="79"/>
      <c r="D477" s="79"/>
      <c r="J477" s="79"/>
      <c r="O477" s="79"/>
      <c r="P477" s="79"/>
      <c r="S477" s="79"/>
      <c r="T477" s="79"/>
      <c r="W477" s="130"/>
      <c r="Y477" s="106"/>
    </row>
    <row r="478">
      <c r="C478" s="79"/>
      <c r="D478" s="79"/>
      <c r="J478" s="79"/>
      <c r="O478" s="79"/>
      <c r="P478" s="79"/>
      <c r="S478" s="79"/>
      <c r="T478" s="79"/>
      <c r="W478" s="130"/>
      <c r="Y478" s="106"/>
    </row>
    <row r="479">
      <c r="C479" s="79"/>
      <c r="D479" s="79"/>
      <c r="J479" s="79"/>
      <c r="O479" s="79"/>
      <c r="P479" s="79"/>
      <c r="S479" s="79"/>
      <c r="T479" s="79"/>
      <c r="W479" s="130"/>
      <c r="Y479" s="106"/>
    </row>
    <row r="480">
      <c r="C480" s="79"/>
      <c r="D480" s="79"/>
      <c r="J480" s="79"/>
      <c r="O480" s="79"/>
      <c r="P480" s="79"/>
      <c r="S480" s="79"/>
      <c r="T480" s="79"/>
      <c r="W480" s="130"/>
      <c r="Y480" s="106"/>
    </row>
    <row r="481">
      <c r="C481" s="79"/>
      <c r="D481" s="79"/>
      <c r="J481" s="79"/>
      <c r="O481" s="79"/>
      <c r="P481" s="79"/>
      <c r="S481" s="79"/>
      <c r="T481" s="79"/>
      <c r="W481" s="130"/>
      <c r="Y481" s="106"/>
    </row>
    <row r="482">
      <c r="C482" s="79"/>
      <c r="D482" s="79"/>
      <c r="J482" s="79"/>
      <c r="O482" s="79"/>
      <c r="P482" s="79"/>
      <c r="S482" s="79"/>
      <c r="T482" s="79"/>
      <c r="W482" s="130"/>
      <c r="Y482" s="106"/>
    </row>
    <row r="483">
      <c r="C483" s="79"/>
      <c r="D483" s="79"/>
      <c r="J483" s="79"/>
      <c r="O483" s="79"/>
      <c r="P483" s="79"/>
      <c r="S483" s="79"/>
      <c r="T483" s="79"/>
      <c r="W483" s="130"/>
      <c r="Y483" s="106"/>
    </row>
    <row r="484">
      <c r="C484" s="79"/>
      <c r="D484" s="79"/>
      <c r="J484" s="79"/>
      <c r="O484" s="79"/>
      <c r="P484" s="79"/>
      <c r="S484" s="79"/>
      <c r="T484" s="79"/>
      <c r="W484" s="130"/>
      <c r="Y484" s="106"/>
    </row>
    <row r="485">
      <c r="C485" s="79"/>
      <c r="D485" s="79"/>
      <c r="J485" s="79"/>
      <c r="O485" s="79"/>
      <c r="P485" s="79"/>
      <c r="S485" s="79"/>
      <c r="T485" s="79"/>
      <c r="W485" s="130"/>
      <c r="Y485" s="106"/>
    </row>
    <row r="486">
      <c r="C486" s="79"/>
      <c r="D486" s="79"/>
      <c r="J486" s="79"/>
      <c r="O486" s="79"/>
      <c r="P486" s="79"/>
      <c r="S486" s="79"/>
      <c r="T486" s="79"/>
      <c r="W486" s="130"/>
      <c r="Y486" s="106"/>
    </row>
    <row r="487">
      <c r="C487" s="79"/>
      <c r="D487" s="79"/>
      <c r="J487" s="79"/>
      <c r="O487" s="79"/>
      <c r="P487" s="79"/>
      <c r="S487" s="79"/>
      <c r="T487" s="79"/>
      <c r="W487" s="130"/>
      <c r="Y487" s="106"/>
    </row>
    <row r="488">
      <c r="C488" s="79"/>
      <c r="D488" s="79"/>
      <c r="J488" s="79"/>
      <c r="O488" s="79"/>
      <c r="P488" s="79"/>
      <c r="S488" s="79"/>
      <c r="T488" s="79"/>
      <c r="W488" s="130"/>
      <c r="Y488" s="106"/>
    </row>
    <row r="489">
      <c r="C489" s="79"/>
      <c r="D489" s="79"/>
      <c r="J489" s="79"/>
      <c r="O489" s="79"/>
      <c r="P489" s="79"/>
      <c r="S489" s="79"/>
      <c r="T489" s="79"/>
      <c r="W489" s="130"/>
      <c r="Y489" s="106"/>
    </row>
    <row r="490">
      <c r="C490" s="79"/>
      <c r="D490" s="79"/>
      <c r="J490" s="79"/>
      <c r="O490" s="79"/>
      <c r="P490" s="79"/>
      <c r="S490" s="79"/>
      <c r="T490" s="79"/>
      <c r="W490" s="130"/>
      <c r="Y490" s="106"/>
    </row>
    <row r="491">
      <c r="C491" s="79"/>
      <c r="D491" s="79"/>
      <c r="J491" s="79"/>
      <c r="O491" s="79"/>
      <c r="P491" s="79"/>
      <c r="S491" s="79"/>
      <c r="T491" s="79"/>
      <c r="W491" s="130"/>
      <c r="Y491" s="106"/>
    </row>
    <row r="492">
      <c r="C492" s="79"/>
      <c r="D492" s="79"/>
      <c r="J492" s="79"/>
      <c r="O492" s="79"/>
      <c r="P492" s="79"/>
      <c r="S492" s="79"/>
      <c r="T492" s="79"/>
      <c r="W492" s="130"/>
      <c r="Y492" s="106"/>
    </row>
    <row r="493">
      <c r="C493" s="79"/>
      <c r="D493" s="79"/>
      <c r="J493" s="79"/>
      <c r="O493" s="79"/>
      <c r="P493" s="79"/>
      <c r="S493" s="79"/>
      <c r="T493" s="79"/>
      <c r="W493" s="130"/>
      <c r="Y493" s="106"/>
    </row>
    <row r="494">
      <c r="C494" s="79"/>
      <c r="D494" s="79"/>
      <c r="J494" s="79"/>
      <c r="O494" s="79"/>
      <c r="P494" s="79"/>
      <c r="S494" s="79"/>
      <c r="T494" s="79"/>
      <c r="W494" s="130"/>
      <c r="Y494" s="106"/>
    </row>
    <row r="495">
      <c r="C495" s="79"/>
      <c r="D495" s="79"/>
      <c r="J495" s="79"/>
      <c r="O495" s="79"/>
      <c r="P495" s="79"/>
      <c r="S495" s="79"/>
      <c r="T495" s="79"/>
      <c r="W495" s="130"/>
      <c r="Y495" s="106"/>
    </row>
    <row r="496">
      <c r="C496" s="79"/>
      <c r="D496" s="79"/>
      <c r="J496" s="79"/>
      <c r="O496" s="79"/>
      <c r="P496" s="79"/>
      <c r="S496" s="79"/>
      <c r="T496" s="79"/>
      <c r="W496" s="130"/>
      <c r="Y496" s="106"/>
    </row>
    <row r="497">
      <c r="C497" s="79"/>
      <c r="D497" s="79"/>
      <c r="J497" s="79"/>
      <c r="O497" s="79"/>
      <c r="P497" s="79"/>
      <c r="S497" s="79"/>
      <c r="T497" s="79"/>
      <c r="W497" s="130"/>
      <c r="Y497" s="106"/>
    </row>
    <row r="498">
      <c r="C498" s="79"/>
      <c r="D498" s="79"/>
      <c r="J498" s="79"/>
      <c r="O498" s="79"/>
      <c r="P498" s="79"/>
      <c r="S498" s="79"/>
      <c r="T498" s="79"/>
      <c r="W498" s="130"/>
      <c r="Y498" s="106"/>
    </row>
    <row r="499">
      <c r="C499" s="79"/>
      <c r="D499" s="79"/>
      <c r="J499" s="79"/>
      <c r="O499" s="79"/>
      <c r="P499" s="79"/>
      <c r="S499" s="79"/>
      <c r="T499" s="79"/>
      <c r="W499" s="130"/>
      <c r="Y499" s="106"/>
    </row>
    <row r="500">
      <c r="C500" s="79"/>
      <c r="D500" s="79"/>
      <c r="J500" s="79"/>
      <c r="O500" s="79"/>
      <c r="P500" s="79"/>
      <c r="S500" s="79"/>
      <c r="T500" s="79"/>
      <c r="W500" s="130"/>
      <c r="Y500" s="106"/>
    </row>
    <row r="501">
      <c r="C501" s="79"/>
      <c r="D501" s="79"/>
      <c r="J501" s="79"/>
      <c r="O501" s="79"/>
      <c r="P501" s="79"/>
      <c r="S501" s="79"/>
      <c r="T501" s="79"/>
      <c r="W501" s="130"/>
      <c r="Y501" s="106"/>
    </row>
    <row r="502">
      <c r="C502" s="79"/>
      <c r="D502" s="79"/>
      <c r="J502" s="79"/>
      <c r="O502" s="79"/>
      <c r="P502" s="79"/>
      <c r="S502" s="79"/>
      <c r="T502" s="79"/>
      <c r="W502" s="130"/>
      <c r="Y502" s="106"/>
    </row>
    <row r="503">
      <c r="C503" s="79"/>
      <c r="D503" s="79"/>
      <c r="J503" s="79"/>
      <c r="O503" s="79"/>
      <c r="P503" s="79"/>
      <c r="S503" s="79"/>
      <c r="T503" s="79"/>
      <c r="W503" s="130"/>
      <c r="Y503" s="106"/>
    </row>
    <row r="504">
      <c r="C504" s="79"/>
      <c r="D504" s="79"/>
      <c r="J504" s="79"/>
      <c r="O504" s="79"/>
      <c r="P504" s="79"/>
      <c r="S504" s="79"/>
      <c r="T504" s="79"/>
      <c r="W504" s="130"/>
      <c r="Y504" s="106"/>
    </row>
    <row r="505">
      <c r="C505" s="79"/>
      <c r="D505" s="79"/>
      <c r="J505" s="79"/>
      <c r="O505" s="79"/>
      <c r="P505" s="79"/>
      <c r="S505" s="79"/>
      <c r="T505" s="79"/>
      <c r="W505" s="130"/>
      <c r="Y505" s="106"/>
    </row>
    <row r="506">
      <c r="C506" s="79"/>
      <c r="D506" s="79"/>
      <c r="J506" s="79"/>
      <c r="O506" s="79"/>
      <c r="P506" s="79"/>
      <c r="S506" s="79"/>
      <c r="T506" s="79"/>
      <c r="W506" s="130"/>
      <c r="Y506" s="106"/>
    </row>
    <row r="507">
      <c r="C507" s="79"/>
      <c r="D507" s="79"/>
      <c r="J507" s="79"/>
      <c r="O507" s="79"/>
      <c r="P507" s="79"/>
      <c r="S507" s="79"/>
      <c r="T507" s="79"/>
      <c r="W507" s="130"/>
      <c r="Y507" s="106"/>
    </row>
    <row r="508">
      <c r="C508" s="79"/>
      <c r="D508" s="79"/>
      <c r="J508" s="79"/>
      <c r="O508" s="79"/>
      <c r="P508" s="79"/>
      <c r="S508" s="79"/>
      <c r="T508" s="79"/>
      <c r="W508" s="130"/>
      <c r="Y508" s="106"/>
    </row>
    <row r="509">
      <c r="C509" s="79"/>
      <c r="D509" s="79"/>
      <c r="J509" s="79"/>
      <c r="O509" s="79"/>
      <c r="P509" s="79"/>
      <c r="S509" s="79"/>
      <c r="T509" s="79"/>
      <c r="W509" s="130"/>
      <c r="Y509" s="106"/>
    </row>
    <row r="510">
      <c r="C510" s="79"/>
      <c r="D510" s="79"/>
      <c r="J510" s="79"/>
      <c r="O510" s="79"/>
      <c r="P510" s="79"/>
      <c r="S510" s="79"/>
      <c r="T510" s="79"/>
      <c r="W510" s="130"/>
      <c r="Y510" s="106"/>
    </row>
    <row r="511">
      <c r="C511" s="79"/>
      <c r="D511" s="79"/>
      <c r="J511" s="79"/>
      <c r="O511" s="79"/>
      <c r="P511" s="79"/>
      <c r="S511" s="79"/>
      <c r="T511" s="79"/>
      <c r="W511" s="130"/>
      <c r="Y511" s="106"/>
    </row>
    <row r="512">
      <c r="C512" s="79"/>
      <c r="D512" s="79"/>
      <c r="J512" s="79"/>
      <c r="O512" s="79"/>
      <c r="P512" s="79"/>
      <c r="S512" s="79"/>
      <c r="T512" s="79"/>
      <c r="W512" s="130"/>
      <c r="Y512" s="106"/>
    </row>
    <row r="513">
      <c r="C513" s="79"/>
      <c r="D513" s="79"/>
      <c r="J513" s="79"/>
      <c r="O513" s="79"/>
      <c r="P513" s="79"/>
      <c r="S513" s="79"/>
      <c r="T513" s="79"/>
      <c r="W513" s="130"/>
      <c r="Y513" s="106"/>
    </row>
    <row r="514">
      <c r="C514" s="79"/>
      <c r="D514" s="79"/>
      <c r="J514" s="79"/>
      <c r="O514" s="79"/>
      <c r="P514" s="79"/>
      <c r="S514" s="79"/>
      <c r="T514" s="79"/>
      <c r="W514" s="130"/>
      <c r="Y514" s="106"/>
    </row>
    <row r="515">
      <c r="C515" s="79"/>
      <c r="D515" s="79"/>
      <c r="J515" s="79"/>
      <c r="O515" s="79"/>
      <c r="P515" s="79"/>
      <c r="S515" s="79"/>
      <c r="T515" s="79"/>
      <c r="W515" s="130"/>
      <c r="Y515" s="106"/>
    </row>
    <row r="516">
      <c r="C516" s="79"/>
      <c r="D516" s="79"/>
      <c r="J516" s="79"/>
      <c r="O516" s="79"/>
      <c r="P516" s="79"/>
      <c r="S516" s="79"/>
      <c r="T516" s="79"/>
      <c r="W516" s="130"/>
      <c r="Y516" s="106"/>
    </row>
    <row r="517">
      <c r="C517" s="79"/>
      <c r="D517" s="79"/>
      <c r="J517" s="79"/>
      <c r="O517" s="79"/>
      <c r="P517" s="79"/>
      <c r="S517" s="79"/>
      <c r="T517" s="79"/>
      <c r="W517" s="130"/>
      <c r="Y517" s="106"/>
    </row>
    <row r="518">
      <c r="C518" s="79"/>
      <c r="D518" s="79"/>
      <c r="J518" s="79"/>
      <c r="O518" s="79"/>
      <c r="P518" s="79"/>
      <c r="S518" s="79"/>
      <c r="T518" s="79"/>
      <c r="W518" s="130"/>
      <c r="Y518" s="106"/>
    </row>
    <row r="519">
      <c r="C519" s="79"/>
      <c r="D519" s="79"/>
      <c r="J519" s="79"/>
      <c r="O519" s="79"/>
      <c r="P519" s="79"/>
      <c r="S519" s="79"/>
      <c r="T519" s="79"/>
      <c r="W519" s="130"/>
      <c r="Y519" s="106"/>
    </row>
    <row r="520">
      <c r="C520" s="79"/>
      <c r="D520" s="79"/>
      <c r="J520" s="79"/>
      <c r="O520" s="79"/>
      <c r="P520" s="79"/>
      <c r="S520" s="79"/>
      <c r="T520" s="79"/>
      <c r="W520" s="130"/>
      <c r="Y520" s="106"/>
    </row>
    <row r="521">
      <c r="C521" s="79"/>
      <c r="D521" s="79"/>
      <c r="J521" s="79"/>
      <c r="O521" s="79"/>
      <c r="P521" s="79"/>
      <c r="S521" s="79"/>
      <c r="T521" s="79"/>
      <c r="W521" s="130"/>
      <c r="Y521" s="106"/>
    </row>
    <row r="522">
      <c r="C522" s="79"/>
      <c r="D522" s="79"/>
      <c r="J522" s="79"/>
      <c r="O522" s="79"/>
      <c r="P522" s="79"/>
      <c r="S522" s="79"/>
      <c r="T522" s="79"/>
      <c r="W522" s="130"/>
      <c r="Y522" s="106"/>
    </row>
    <row r="523">
      <c r="C523" s="79"/>
      <c r="D523" s="79"/>
      <c r="J523" s="79"/>
      <c r="O523" s="79"/>
      <c r="P523" s="79"/>
      <c r="S523" s="79"/>
      <c r="T523" s="79"/>
      <c r="W523" s="130"/>
      <c r="Y523" s="106"/>
    </row>
    <row r="524">
      <c r="C524" s="79"/>
      <c r="D524" s="79"/>
      <c r="J524" s="79"/>
      <c r="O524" s="79"/>
      <c r="P524" s="79"/>
      <c r="S524" s="79"/>
      <c r="T524" s="79"/>
      <c r="W524" s="130"/>
      <c r="Y524" s="106"/>
    </row>
    <row r="525">
      <c r="C525" s="79"/>
      <c r="D525" s="79"/>
      <c r="J525" s="79"/>
      <c r="O525" s="79"/>
      <c r="P525" s="79"/>
      <c r="S525" s="79"/>
      <c r="T525" s="79"/>
      <c r="W525" s="130"/>
      <c r="Y525" s="106"/>
    </row>
    <row r="526">
      <c r="C526" s="79"/>
      <c r="D526" s="79"/>
      <c r="J526" s="79"/>
      <c r="O526" s="79"/>
      <c r="P526" s="79"/>
      <c r="S526" s="79"/>
      <c r="T526" s="79"/>
      <c r="W526" s="130"/>
      <c r="Y526" s="106"/>
    </row>
    <row r="527">
      <c r="C527" s="79"/>
      <c r="D527" s="79"/>
      <c r="J527" s="79"/>
      <c r="O527" s="79"/>
      <c r="P527" s="79"/>
      <c r="S527" s="79"/>
      <c r="T527" s="79"/>
      <c r="W527" s="130"/>
      <c r="Y527" s="106"/>
    </row>
    <row r="528">
      <c r="C528" s="79"/>
      <c r="D528" s="79"/>
      <c r="J528" s="79"/>
      <c r="O528" s="79"/>
      <c r="P528" s="79"/>
      <c r="S528" s="79"/>
      <c r="T528" s="79"/>
      <c r="W528" s="130"/>
      <c r="Y528" s="106"/>
    </row>
    <row r="529">
      <c r="C529" s="79"/>
      <c r="D529" s="79"/>
      <c r="J529" s="79"/>
      <c r="O529" s="79"/>
      <c r="P529" s="79"/>
      <c r="S529" s="79"/>
      <c r="T529" s="79"/>
      <c r="W529" s="130"/>
      <c r="Y529" s="106"/>
    </row>
    <row r="530">
      <c r="C530" s="79"/>
      <c r="D530" s="79"/>
      <c r="J530" s="79"/>
      <c r="O530" s="79"/>
      <c r="P530" s="79"/>
      <c r="S530" s="79"/>
      <c r="T530" s="79"/>
      <c r="W530" s="130"/>
      <c r="Y530" s="106"/>
    </row>
    <row r="531">
      <c r="C531" s="79"/>
      <c r="D531" s="79"/>
      <c r="J531" s="79"/>
      <c r="O531" s="79"/>
      <c r="P531" s="79"/>
      <c r="S531" s="79"/>
      <c r="T531" s="79"/>
      <c r="W531" s="130"/>
      <c r="Y531" s="106"/>
    </row>
    <row r="532">
      <c r="C532" s="79"/>
      <c r="D532" s="79"/>
      <c r="J532" s="79"/>
      <c r="O532" s="79"/>
      <c r="P532" s="79"/>
      <c r="S532" s="79"/>
      <c r="T532" s="79"/>
      <c r="W532" s="130"/>
      <c r="Y532" s="106"/>
    </row>
    <row r="533">
      <c r="C533" s="79"/>
      <c r="D533" s="79"/>
      <c r="J533" s="79"/>
      <c r="O533" s="79"/>
      <c r="P533" s="79"/>
      <c r="S533" s="79"/>
      <c r="T533" s="79"/>
      <c r="W533" s="130"/>
      <c r="Y533" s="106"/>
    </row>
    <row r="534">
      <c r="C534" s="79"/>
      <c r="D534" s="79"/>
      <c r="J534" s="79"/>
      <c r="O534" s="79"/>
      <c r="P534" s="79"/>
      <c r="S534" s="79"/>
      <c r="T534" s="79"/>
      <c r="W534" s="130"/>
      <c r="Y534" s="106"/>
    </row>
    <row r="535">
      <c r="C535" s="79"/>
      <c r="D535" s="79"/>
      <c r="J535" s="79"/>
      <c r="O535" s="79"/>
      <c r="P535" s="79"/>
      <c r="S535" s="79"/>
      <c r="T535" s="79"/>
      <c r="W535" s="130"/>
      <c r="Y535" s="106"/>
    </row>
    <row r="536">
      <c r="C536" s="79"/>
      <c r="D536" s="79"/>
      <c r="J536" s="79"/>
      <c r="O536" s="79"/>
      <c r="P536" s="79"/>
      <c r="S536" s="79"/>
      <c r="T536" s="79"/>
      <c r="W536" s="130"/>
      <c r="Y536" s="106"/>
    </row>
    <row r="537">
      <c r="C537" s="79"/>
      <c r="D537" s="79"/>
      <c r="J537" s="79"/>
      <c r="O537" s="79"/>
      <c r="P537" s="79"/>
      <c r="S537" s="79"/>
      <c r="T537" s="79"/>
      <c r="W537" s="130"/>
      <c r="Y537" s="106"/>
    </row>
    <row r="538">
      <c r="C538" s="79"/>
      <c r="D538" s="79"/>
      <c r="J538" s="79"/>
      <c r="O538" s="79"/>
      <c r="P538" s="79"/>
      <c r="S538" s="79"/>
      <c r="T538" s="79"/>
      <c r="W538" s="130"/>
      <c r="Y538" s="106"/>
    </row>
    <row r="539">
      <c r="C539" s="79"/>
      <c r="D539" s="79"/>
      <c r="J539" s="79"/>
      <c r="O539" s="79"/>
      <c r="P539" s="79"/>
      <c r="S539" s="79"/>
      <c r="T539" s="79"/>
      <c r="W539" s="130"/>
      <c r="Y539" s="106"/>
    </row>
    <row r="540">
      <c r="C540" s="79"/>
      <c r="D540" s="79"/>
      <c r="J540" s="79"/>
      <c r="O540" s="79"/>
      <c r="P540" s="79"/>
      <c r="S540" s="79"/>
      <c r="T540" s="79"/>
      <c r="W540" s="130"/>
      <c r="Y540" s="106"/>
    </row>
    <row r="541">
      <c r="C541" s="79"/>
      <c r="D541" s="79"/>
      <c r="J541" s="79"/>
      <c r="O541" s="79"/>
      <c r="P541" s="79"/>
      <c r="S541" s="79"/>
      <c r="T541" s="79"/>
      <c r="W541" s="130"/>
      <c r="Y541" s="106"/>
    </row>
    <row r="542">
      <c r="C542" s="79"/>
      <c r="D542" s="79"/>
      <c r="J542" s="79"/>
      <c r="O542" s="79"/>
      <c r="P542" s="79"/>
      <c r="S542" s="79"/>
      <c r="T542" s="79"/>
      <c r="W542" s="130"/>
      <c r="Y542" s="106"/>
    </row>
    <row r="543">
      <c r="C543" s="79"/>
      <c r="D543" s="79"/>
      <c r="J543" s="79"/>
      <c r="O543" s="79"/>
      <c r="P543" s="79"/>
      <c r="S543" s="79"/>
      <c r="T543" s="79"/>
      <c r="W543" s="130"/>
      <c r="Y543" s="106"/>
    </row>
    <row r="544">
      <c r="C544" s="79"/>
      <c r="D544" s="79"/>
      <c r="J544" s="79"/>
      <c r="O544" s="79"/>
      <c r="P544" s="79"/>
      <c r="S544" s="79"/>
      <c r="T544" s="79"/>
      <c r="W544" s="130"/>
      <c r="Y544" s="106"/>
    </row>
    <row r="545">
      <c r="C545" s="79"/>
      <c r="D545" s="79"/>
      <c r="J545" s="79"/>
      <c r="O545" s="79"/>
      <c r="P545" s="79"/>
      <c r="S545" s="79"/>
      <c r="T545" s="79"/>
      <c r="W545" s="130"/>
      <c r="Y545" s="106"/>
    </row>
    <row r="546">
      <c r="C546" s="79"/>
      <c r="D546" s="79"/>
      <c r="J546" s="79"/>
      <c r="O546" s="79"/>
      <c r="P546" s="79"/>
      <c r="S546" s="79"/>
      <c r="T546" s="79"/>
      <c r="W546" s="130"/>
      <c r="Y546" s="106"/>
    </row>
    <row r="547">
      <c r="C547" s="79"/>
      <c r="D547" s="79"/>
      <c r="J547" s="79"/>
      <c r="O547" s="79"/>
      <c r="P547" s="79"/>
      <c r="S547" s="79"/>
      <c r="T547" s="79"/>
      <c r="W547" s="130"/>
      <c r="Y547" s="106"/>
    </row>
    <row r="548">
      <c r="C548" s="79"/>
      <c r="D548" s="79"/>
      <c r="J548" s="79"/>
      <c r="O548" s="79"/>
      <c r="P548" s="79"/>
      <c r="S548" s="79"/>
      <c r="T548" s="79"/>
      <c r="W548" s="130"/>
      <c r="Y548" s="106"/>
    </row>
    <row r="549">
      <c r="C549" s="79"/>
      <c r="D549" s="79"/>
      <c r="J549" s="79"/>
      <c r="O549" s="79"/>
      <c r="P549" s="79"/>
      <c r="S549" s="79"/>
      <c r="T549" s="79"/>
      <c r="W549" s="130"/>
      <c r="Y549" s="106"/>
    </row>
    <row r="550">
      <c r="C550" s="79"/>
      <c r="D550" s="79"/>
      <c r="J550" s="79"/>
      <c r="O550" s="79"/>
      <c r="P550" s="79"/>
      <c r="S550" s="79"/>
      <c r="T550" s="79"/>
      <c r="W550" s="130"/>
      <c r="Y550" s="106"/>
    </row>
    <row r="551">
      <c r="C551" s="79"/>
      <c r="D551" s="79"/>
      <c r="J551" s="79"/>
      <c r="O551" s="79"/>
      <c r="P551" s="79"/>
      <c r="S551" s="79"/>
      <c r="T551" s="79"/>
      <c r="W551" s="130"/>
      <c r="Y551" s="106"/>
    </row>
    <row r="552">
      <c r="C552" s="79"/>
      <c r="D552" s="79"/>
      <c r="J552" s="79"/>
      <c r="O552" s="79"/>
      <c r="P552" s="79"/>
      <c r="S552" s="79"/>
      <c r="T552" s="79"/>
      <c r="W552" s="130"/>
      <c r="Y552" s="106"/>
    </row>
    <row r="553">
      <c r="C553" s="79"/>
      <c r="D553" s="79"/>
      <c r="J553" s="79"/>
      <c r="O553" s="79"/>
      <c r="P553" s="79"/>
      <c r="S553" s="79"/>
      <c r="T553" s="79"/>
      <c r="W553" s="130"/>
      <c r="Y553" s="106"/>
    </row>
    <row r="554">
      <c r="C554" s="79"/>
      <c r="D554" s="79"/>
      <c r="J554" s="79"/>
      <c r="O554" s="79"/>
      <c r="P554" s="79"/>
      <c r="S554" s="79"/>
      <c r="T554" s="79"/>
      <c r="W554" s="130"/>
      <c r="Y554" s="106"/>
    </row>
    <row r="555">
      <c r="C555" s="79"/>
      <c r="D555" s="79"/>
      <c r="J555" s="79"/>
      <c r="O555" s="79"/>
      <c r="P555" s="79"/>
      <c r="S555" s="79"/>
      <c r="T555" s="79"/>
      <c r="W555" s="130"/>
      <c r="Y555" s="106"/>
    </row>
    <row r="556">
      <c r="C556" s="79"/>
      <c r="D556" s="79"/>
      <c r="J556" s="79"/>
      <c r="O556" s="79"/>
      <c r="P556" s="79"/>
      <c r="S556" s="79"/>
      <c r="T556" s="79"/>
      <c r="W556" s="130"/>
      <c r="Y556" s="106"/>
    </row>
    <row r="557">
      <c r="C557" s="79"/>
      <c r="D557" s="79"/>
      <c r="J557" s="79"/>
      <c r="O557" s="79"/>
      <c r="P557" s="79"/>
      <c r="S557" s="79"/>
      <c r="T557" s="79"/>
      <c r="W557" s="130"/>
      <c r="Y557" s="106"/>
    </row>
    <row r="558">
      <c r="C558" s="79"/>
      <c r="D558" s="79"/>
      <c r="J558" s="79"/>
      <c r="O558" s="79"/>
      <c r="P558" s="79"/>
      <c r="S558" s="79"/>
      <c r="T558" s="79"/>
      <c r="W558" s="130"/>
      <c r="Y558" s="106"/>
    </row>
    <row r="559">
      <c r="C559" s="79"/>
      <c r="D559" s="79"/>
      <c r="J559" s="79"/>
      <c r="O559" s="79"/>
      <c r="P559" s="79"/>
      <c r="S559" s="79"/>
      <c r="T559" s="79"/>
      <c r="W559" s="130"/>
      <c r="Y559" s="106"/>
    </row>
    <row r="560">
      <c r="C560" s="79"/>
      <c r="D560" s="79"/>
      <c r="J560" s="79"/>
      <c r="O560" s="79"/>
      <c r="P560" s="79"/>
      <c r="S560" s="79"/>
      <c r="T560" s="79"/>
      <c r="W560" s="130"/>
      <c r="Y560" s="106"/>
    </row>
    <row r="561">
      <c r="C561" s="79"/>
      <c r="D561" s="79"/>
      <c r="J561" s="79"/>
      <c r="O561" s="79"/>
      <c r="P561" s="79"/>
      <c r="S561" s="79"/>
      <c r="T561" s="79"/>
      <c r="W561" s="130"/>
      <c r="Y561" s="106"/>
    </row>
    <row r="562">
      <c r="C562" s="79"/>
      <c r="D562" s="79"/>
      <c r="J562" s="79"/>
      <c r="O562" s="79"/>
      <c r="P562" s="79"/>
      <c r="S562" s="79"/>
      <c r="T562" s="79"/>
      <c r="W562" s="130"/>
      <c r="Y562" s="106"/>
    </row>
    <row r="563">
      <c r="C563" s="79"/>
      <c r="D563" s="79"/>
      <c r="J563" s="79"/>
      <c r="O563" s="79"/>
      <c r="P563" s="79"/>
      <c r="S563" s="79"/>
      <c r="T563" s="79"/>
      <c r="W563" s="130"/>
      <c r="Y563" s="106"/>
    </row>
    <row r="564">
      <c r="C564" s="79"/>
      <c r="D564" s="79"/>
      <c r="J564" s="79"/>
      <c r="O564" s="79"/>
      <c r="P564" s="79"/>
      <c r="S564" s="79"/>
      <c r="T564" s="79"/>
      <c r="W564" s="130"/>
      <c r="Y564" s="106"/>
    </row>
    <row r="565">
      <c r="C565" s="79"/>
      <c r="D565" s="79"/>
      <c r="J565" s="79"/>
      <c r="O565" s="79"/>
      <c r="P565" s="79"/>
      <c r="S565" s="79"/>
      <c r="T565" s="79"/>
      <c r="W565" s="130"/>
      <c r="Y565" s="106"/>
    </row>
    <row r="566">
      <c r="C566" s="79"/>
      <c r="D566" s="79"/>
      <c r="J566" s="79"/>
      <c r="O566" s="79"/>
      <c r="P566" s="79"/>
      <c r="S566" s="79"/>
      <c r="T566" s="79"/>
      <c r="W566" s="130"/>
      <c r="Y566" s="106"/>
    </row>
    <row r="567">
      <c r="C567" s="79"/>
      <c r="D567" s="79"/>
      <c r="J567" s="79"/>
      <c r="O567" s="79"/>
      <c r="P567" s="79"/>
      <c r="S567" s="79"/>
      <c r="T567" s="79"/>
      <c r="W567" s="130"/>
      <c r="Y567" s="106"/>
    </row>
    <row r="568">
      <c r="C568" s="79"/>
      <c r="D568" s="79"/>
      <c r="J568" s="79"/>
      <c r="O568" s="79"/>
      <c r="P568" s="79"/>
      <c r="S568" s="79"/>
      <c r="T568" s="79"/>
      <c r="W568" s="130"/>
      <c r="Y568" s="106"/>
    </row>
    <row r="569">
      <c r="C569" s="79"/>
      <c r="D569" s="79"/>
      <c r="J569" s="79"/>
      <c r="O569" s="79"/>
      <c r="P569" s="79"/>
      <c r="S569" s="79"/>
      <c r="T569" s="79"/>
      <c r="W569" s="130"/>
      <c r="Y569" s="106"/>
    </row>
    <row r="570">
      <c r="C570" s="79"/>
      <c r="D570" s="79"/>
      <c r="J570" s="79"/>
      <c r="O570" s="79"/>
      <c r="P570" s="79"/>
      <c r="S570" s="79"/>
      <c r="T570" s="79"/>
      <c r="W570" s="130"/>
      <c r="Y570" s="106"/>
    </row>
    <row r="571">
      <c r="C571" s="79"/>
      <c r="D571" s="79"/>
      <c r="J571" s="79"/>
      <c r="O571" s="79"/>
      <c r="P571" s="79"/>
      <c r="S571" s="79"/>
      <c r="T571" s="79"/>
      <c r="W571" s="130"/>
      <c r="Y571" s="106"/>
    </row>
    <row r="572">
      <c r="C572" s="79"/>
      <c r="D572" s="79"/>
      <c r="J572" s="79"/>
      <c r="O572" s="79"/>
      <c r="P572" s="79"/>
      <c r="S572" s="79"/>
      <c r="T572" s="79"/>
      <c r="W572" s="130"/>
      <c r="Y572" s="106"/>
    </row>
    <row r="573">
      <c r="C573" s="79"/>
      <c r="D573" s="79"/>
      <c r="J573" s="79"/>
      <c r="O573" s="79"/>
      <c r="P573" s="79"/>
      <c r="S573" s="79"/>
      <c r="T573" s="79"/>
      <c r="W573" s="130"/>
      <c r="Y573" s="106"/>
    </row>
    <row r="574">
      <c r="C574" s="79"/>
      <c r="D574" s="79"/>
      <c r="J574" s="79"/>
      <c r="O574" s="79"/>
      <c r="P574" s="79"/>
      <c r="S574" s="79"/>
      <c r="T574" s="79"/>
      <c r="W574" s="130"/>
      <c r="Y574" s="106"/>
    </row>
    <row r="575">
      <c r="C575" s="79"/>
      <c r="D575" s="79"/>
      <c r="J575" s="79"/>
      <c r="O575" s="79"/>
      <c r="P575" s="79"/>
      <c r="S575" s="79"/>
      <c r="T575" s="79"/>
      <c r="W575" s="130"/>
      <c r="Y575" s="106"/>
    </row>
    <row r="576">
      <c r="C576" s="79"/>
      <c r="D576" s="79"/>
      <c r="J576" s="79"/>
      <c r="O576" s="79"/>
      <c r="P576" s="79"/>
      <c r="S576" s="79"/>
      <c r="T576" s="79"/>
      <c r="W576" s="130"/>
      <c r="Y576" s="106"/>
    </row>
    <row r="577">
      <c r="C577" s="79"/>
      <c r="D577" s="79"/>
      <c r="J577" s="79"/>
      <c r="O577" s="79"/>
      <c r="P577" s="79"/>
      <c r="S577" s="79"/>
      <c r="T577" s="79"/>
      <c r="W577" s="130"/>
      <c r="Y577" s="106"/>
    </row>
    <row r="578">
      <c r="C578" s="79"/>
      <c r="D578" s="79"/>
      <c r="J578" s="79"/>
      <c r="O578" s="79"/>
      <c r="P578" s="79"/>
      <c r="S578" s="79"/>
      <c r="T578" s="79"/>
      <c r="W578" s="130"/>
      <c r="Y578" s="106"/>
    </row>
    <row r="579">
      <c r="C579" s="79"/>
      <c r="D579" s="79"/>
      <c r="J579" s="79"/>
      <c r="O579" s="79"/>
      <c r="P579" s="79"/>
      <c r="S579" s="79"/>
      <c r="T579" s="79"/>
      <c r="W579" s="130"/>
      <c r="Y579" s="106"/>
    </row>
    <row r="580">
      <c r="C580" s="79"/>
      <c r="D580" s="79"/>
      <c r="J580" s="79"/>
      <c r="O580" s="79"/>
      <c r="P580" s="79"/>
      <c r="S580" s="79"/>
      <c r="T580" s="79"/>
      <c r="W580" s="130"/>
      <c r="Y580" s="106"/>
    </row>
    <row r="581">
      <c r="C581" s="79"/>
      <c r="D581" s="79"/>
      <c r="J581" s="79"/>
      <c r="O581" s="79"/>
      <c r="P581" s="79"/>
      <c r="S581" s="79"/>
      <c r="T581" s="79"/>
      <c r="W581" s="130"/>
      <c r="Y581" s="106"/>
    </row>
    <row r="582">
      <c r="C582" s="79"/>
      <c r="D582" s="79"/>
      <c r="J582" s="79"/>
      <c r="O582" s="79"/>
      <c r="P582" s="79"/>
      <c r="S582" s="79"/>
      <c r="T582" s="79"/>
      <c r="W582" s="130"/>
      <c r="Y582" s="106"/>
    </row>
    <row r="583">
      <c r="C583" s="79"/>
      <c r="D583" s="79"/>
      <c r="J583" s="79"/>
      <c r="O583" s="79"/>
      <c r="P583" s="79"/>
      <c r="S583" s="79"/>
      <c r="T583" s="79"/>
      <c r="W583" s="130"/>
      <c r="Y583" s="106"/>
    </row>
    <row r="584">
      <c r="C584" s="79"/>
      <c r="D584" s="79"/>
      <c r="J584" s="79"/>
      <c r="O584" s="79"/>
      <c r="P584" s="79"/>
      <c r="S584" s="79"/>
      <c r="T584" s="79"/>
      <c r="W584" s="130"/>
      <c r="Y584" s="106"/>
    </row>
    <row r="585">
      <c r="C585" s="79"/>
      <c r="D585" s="79"/>
      <c r="J585" s="79"/>
      <c r="O585" s="79"/>
      <c r="P585" s="79"/>
      <c r="S585" s="79"/>
      <c r="T585" s="79"/>
      <c r="W585" s="130"/>
      <c r="Y585" s="106"/>
    </row>
    <row r="586">
      <c r="C586" s="79"/>
      <c r="D586" s="79"/>
      <c r="J586" s="79"/>
      <c r="O586" s="79"/>
      <c r="P586" s="79"/>
      <c r="S586" s="79"/>
      <c r="T586" s="79"/>
      <c r="W586" s="130"/>
      <c r="Y586" s="106"/>
    </row>
    <row r="587">
      <c r="C587" s="79"/>
      <c r="D587" s="79"/>
      <c r="J587" s="79"/>
      <c r="O587" s="79"/>
      <c r="P587" s="79"/>
      <c r="S587" s="79"/>
      <c r="T587" s="79"/>
      <c r="W587" s="130"/>
      <c r="Y587" s="106"/>
    </row>
    <row r="588">
      <c r="C588" s="79"/>
      <c r="D588" s="79"/>
      <c r="J588" s="79"/>
      <c r="O588" s="79"/>
      <c r="P588" s="79"/>
      <c r="S588" s="79"/>
      <c r="T588" s="79"/>
      <c r="W588" s="130"/>
      <c r="Y588" s="106"/>
    </row>
    <row r="589">
      <c r="C589" s="79"/>
      <c r="D589" s="79"/>
      <c r="J589" s="79"/>
      <c r="O589" s="79"/>
      <c r="P589" s="79"/>
      <c r="S589" s="79"/>
      <c r="T589" s="79"/>
      <c r="W589" s="130"/>
      <c r="Y589" s="106"/>
    </row>
    <row r="590">
      <c r="C590" s="79"/>
      <c r="D590" s="79"/>
      <c r="J590" s="79"/>
      <c r="O590" s="79"/>
      <c r="P590" s="79"/>
      <c r="S590" s="79"/>
      <c r="T590" s="79"/>
      <c r="W590" s="130"/>
      <c r="Y590" s="106"/>
    </row>
    <row r="591">
      <c r="C591" s="79"/>
      <c r="D591" s="79"/>
      <c r="J591" s="79"/>
      <c r="O591" s="79"/>
      <c r="P591" s="79"/>
      <c r="S591" s="79"/>
      <c r="T591" s="79"/>
      <c r="W591" s="130"/>
      <c r="Y591" s="106"/>
    </row>
    <row r="592">
      <c r="C592" s="79"/>
      <c r="D592" s="79"/>
      <c r="J592" s="79"/>
      <c r="O592" s="79"/>
      <c r="P592" s="79"/>
      <c r="S592" s="79"/>
      <c r="T592" s="79"/>
      <c r="W592" s="130"/>
      <c r="Y592" s="106"/>
    </row>
    <row r="593">
      <c r="C593" s="79"/>
      <c r="D593" s="79"/>
      <c r="J593" s="79"/>
      <c r="O593" s="79"/>
      <c r="P593" s="79"/>
      <c r="S593" s="79"/>
      <c r="T593" s="79"/>
      <c r="W593" s="130"/>
      <c r="Y593" s="106"/>
    </row>
    <row r="594">
      <c r="C594" s="79"/>
      <c r="D594" s="79"/>
      <c r="J594" s="79"/>
      <c r="O594" s="79"/>
      <c r="P594" s="79"/>
      <c r="S594" s="79"/>
      <c r="T594" s="79"/>
      <c r="W594" s="130"/>
      <c r="Y594" s="106"/>
    </row>
    <row r="595">
      <c r="C595" s="79"/>
      <c r="D595" s="79"/>
      <c r="J595" s="79"/>
      <c r="O595" s="79"/>
      <c r="P595" s="79"/>
      <c r="S595" s="79"/>
      <c r="T595" s="79"/>
      <c r="W595" s="130"/>
      <c r="Y595" s="106"/>
    </row>
    <row r="596">
      <c r="C596" s="79"/>
      <c r="D596" s="79"/>
      <c r="J596" s="79"/>
      <c r="O596" s="79"/>
      <c r="P596" s="79"/>
      <c r="S596" s="79"/>
      <c r="T596" s="79"/>
      <c r="W596" s="130"/>
      <c r="Y596" s="106"/>
    </row>
    <row r="597">
      <c r="C597" s="79"/>
      <c r="D597" s="79"/>
      <c r="J597" s="79"/>
      <c r="O597" s="79"/>
      <c r="P597" s="79"/>
      <c r="S597" s="79"/>
      <c r="T597" s="79"/>
      <c r="W597" s="130"/>
      <c r="Y597" s="106"/>
    </row>
    <row r="598">
      <c r="C598" s="79"/>
      <c r="D598" s="79"/>
      <c r="J598" s="79"/>
      <c r="O598" s="79"/>
      <c r="P598" s="79"/>
      <c r="S598" s="79"/>
      <c r="T598" s="79"/>
      <c r="W598" s="130"/>
      <c r="Y598" s="106"/>
    </row>
    <row r="599">
      <c r="C599" s="79"/>
      <c r="D599" s="79"/>
      <c r="J599" s="79"/>
      <c r="O599" s="79"/>
      <c r="P599" s="79"/>
      <c r="S599" s="79"/>
      <c r="T599" s="79"/>
      <c r="W599" s="130"/>
      <c r="Y599" s="106"/>
    </row>
    <row r="600">
      <c r="C600" s="79"/>
      <c r="D600" s="79"/>
      <c r="J600" s="79"/>
      <c r="O600" s="79"/>
      <c r="P600" s="79"/>
      <c r="S600" s="79"/>
      <c r="T600" s="79"/>
      <c r="W600" s="130"/>
      <c r="Y600" s="106"/>
    </row>
    <row r="601">
      <c r="C601" s="79"/>
      <c r="D601" s="79"/>
      <c r="J601" s="79"/>
      <c r="O601" s="79"/>
      <c r="P601" s="79"/>
      <c r="S601" s="79"/>
      <c r="T601" s="79"/>
      <c r="W601" s="130"/>
      <c r="Y601" s="106"/>
    </row>
    <row r="602">
      <c r="C602" s="79"/>
      <c r="D602" s="79"/>
      <c r="J602" s="79"/>
      <c r="O602" s="79"/>
      <c r="P602" s="79"/>
      <c r="S602" s="79"/>
      <c r="T602" s="79"/>
      <c r="W602" s="130"/>
      <c r="Y602" s="106"/>
    </row>
    <row r="603">
      <c r="C603" s="79"/>
      <c r="D603" s="79"/>
      <c r="J603" s="79"/>
      <c r="O603" s="79"/>
      <c r="P603" s="79"/>
      <c r="S603" s="79"/>
      <c r="T603" s="79"/>
      <c r="W603" s="130"/>
      <c r="Y603" s="106"/>
    </row>
    <row r="604">
      <c r="C604" s="79"/>
      <c r="D604" s="79"/>
      <c r="J604" s="79"/>
      <c r="O604" s="79"/>
      <c r="P604" s="79"/>
      <c r="S604" s="79"/>
      <c r="T604" s="79"/>
      <c r="W604" s="130"/>
      <c r="Y604" s="106"/>
    </row>
    <row r="605">
      <c r="C605" s="79"/>
      <c r="D605" s="79"/>
      <c r="J605" s="79"/>
      <c r="O605" s="79"/>
      <c r="P605" s="79"/>
      <c r="S605" s="79"/>
      <c r="T605" s="79"/>
      <c r="W605" s="130"/>
      <c r="Y605" s="106"/>
    </row>
    <row r="606">
      <c r="C606" s="79"/>
      <c r="D606" s="79"/>
      <c r="J606" s="79"/>
      <c r="O606" s="79"/>
      <c r="P606" s="79"/>
      <c r="S606" s="79"/>
      <c r="T606" s="79"/>
      <c r="W606" s="130"/>
      <c r="Y606" s="106"/>
    </row>
    <row r="607">
      <c r="C607" s="79"/>
      <c r="D607" s="79"/>
      <c r="J607" s="79"/>
      <c r="O607" s="79"/>
      <c r="P607" s="79"/>
      <c r="S607" s="79"/>
      <c r="T607" s="79"/>
      <c r="W607" s="130"/>
      <c r="Y607" s="106"/>
    </row>
    <row r="608">
      <c r="C608" s="79"/>
      <c r="D608" s="79"/>
      <c r="J608" s="79"/>
      <c r="O608" s="79"/>
      <c r="P608" s="79"/>
      <c r="S608" s="79"/>
      <c r="T608" s="79"/>
      <c r="W608" s="130"/>
      <c r="Y608" s="106"/>
    </row>
    <row r="609">
      <c r="C609" s="79"/>
      <c r="D609" s="79"/>
      <c r="J609" s="79"/>
      <c r="O609" s="79"/>
      <c r="P609" s="79"/>
      <c r="S609" s="79"/>
      <c r="T609" s="79"/>
      <c r="W609" s="130"/>
      <c r="Y609" s="106"/>
    </row>
    <row r="610">
      <c r="C610" s="79"/>
      <c r="D610" s="79"/>
      <c r="J610" s="79"/>
      <c r="O610" s="79"/>
      <c r="P610" s="79"/>
      <c r="S610" s="79"/>
      <c r="T610" s="79"/>
      <c r="W610" s="130"/>
      <c r="Y610" s="106"/>
    </row>
    <row r="611">
      <c r="C611" s="79"/>
      <c r="D611" s="79"/>
      <c r="J611" s="79"/>
      <c r="O611" s="79"/>
      <c r="P611" s="79"/>
      <c r="S611" s="79"/>
      <c r="T611" s="79"/>
      <c r="W611" s="130"/>
      <c r="Y611" s="106"/>
    </row>
    <row r="612">
      <c r="C612" s="79"/>
      <c r="D612" s="79"/>
      <c r="J612" s="79"/>
      <c r="O612" s="79"/>
      <c r="P612" s="79"/>
      <c r="S612" s="79"/>
      <c r="T612" s="79"/>
      <c r="W612" s="130"/>
      <c r="Y612" s="106"/>
    </row>
    <row r="613">
      <c r="C613" s="79"/>
      <c r="D613" s="79"/>
      <c r="J613" s="79"/>
      <c r="O613" s="79"/>
      <c r="P613" s="79"/>
      <c r="S613" s="79"/>
      <c r="T613" s="79"/>
      <c r="W613" s="130"/>
      <c r="Y613" s="106"/>
    </row>
    <row r="614">
      <c r="C614" s="79"/>
      <c r="D614" s="79"/>
      <c r="J614" s="79"/>
      <c r="O614" s="79"/>
      <c r="P614" s="79"/>
      <c r="S614" s="79"/>
      <c r="T614" s="79"/>
      <c r="W614" s="130"/>
      <c r="Y614" s="106"/>
    </row>
    <row r="615">
      <c r="C615" s="79"/>
      <c r="D615" s="79"/>
      <c r="J615" s="79"/>
      <c r="O615" s="79"/>
      <c r="P615" s="79"/>
      <c r="S615" s="79"/>
      <c r="T615" s="79"/>
      <c r="W615" s="130"/>
      <c r="Y615" s="106"/>
    </row>
    <row r="616">
      <c r="C616" s="79"/>
      <c r="D616" s="79"/>
      <c r="J616" s="79"/>
      <c r="O616" s="79"/>
      <c r="P616" s="79"/>
      <c r="S616" s="79"/>
      <c r="T616" s="79"/>
      <c r="W616" s="130"/>
      <c r="Y616" s="106"/>
    </row>
    <row r="617">
      <c r="C617" s="79"/>
      <c r="D617" s="79"/>
      <c r="J617" s="79"/>
      <c r="O617" s="79"/>
      <c r="P617" s="79"/>
      <c r="S617" s="79"/>
      <c r="T617" s="79"/>
      <c r="W617" s="130"/>
      <c r="Y617" s="106"/>
    </row>
    <row r="618">
      <c r="C618" s="79"/>
      <c r="D618" s="79"/>
      <c r="J618" s="79"/>
      <c r="O618" s="79"/>
      <c r="P618" s="79"/>
      <c r="S618" s="79"/>
      <c r="T618" s="79"/>
      <c r="W618" s="130"/>
      <c r="Y618" s="106"/>
    </row>
    <row r="619">
      <c r="C619" s="79"/>
      <c r="D619" s="79"/>
      <c r="J619" s="79"/>
      <c r="O619" s="79"/>
      <c r="P619" s="79"/>
      <c r="S619" s="79"/>
      <c r="T619" s="79"/>
      <c r="W619" s="130"/>
      <c r="Y619" s="106"/>
    </row>
    <row r="620">
      <c r="C620" s="79"/>
      <c r="D620" s="79"/>
      <c r="J620" s="79"/>
      <c r="O620" s="79"/>
      <c r="P620" s="79"/>
      <c r="S620" s="79"/>
      <c r="T620" s="79"/>
      <c r="W620" s="130"/>
      <c r="Y620" s="106"/>
    </row>
    <row r="621">
      <c r="C621" s="79"/>
      <c r="D621" s="79"/>
      <c r="J621" s="79"/>
      <c r="O621" s="79"/>
      <c r="P621" s="79"/>
      <c r="S621" s="79"/>
      <c r="T621" s="79"/>
      <c r="W621" s="130"/>
      <c r="Y621" s="106"/>
    </row>
    <row r="622">
      <c r="C622" s="79"/>
      <c r="D622" s="79"/>
      <c r="J622" s="79"/>
      <c r="O622" s="79"/>
      <c r="P622" s="79"/>
      <c r="S622" s="79"/>
      <c r="T622" s="79"/>
      <c r="W622" s="130"/>
      <c r="Y622" s="106"/>
    </row>
    <row r="623">
      <c r="C623" s="79"/>
      <c r="D623" s="79"/>
      <c r="J623" s="79"/>
      <c r="O623" s="79"/>
      <c r="P623" s="79"/>
      <c r="S623" s="79"/>
      <c r="T623" s="79"/>
      <c r="W623" s="130"/>
      <c r="Y623" s="106"/>
    </row>
    <row r="624">
      <c r="C624" s="79"/>
      <c r="D624" s="79"/>
      <c r="J624" s="79"/>
      <c r="O624" s="79"/>
      <c r="P624" s="79"/>
      <c r="S624" s="79"/>
      <c r="T624" s="79"/>
      <c r="W624" s="130"/>
      <c r="Y624" s="106"/>
    </row>
    <row r="625">
      <c r="C625" s="79"/>
      <c r="D625" s="79"/>
      <c r="J625" s="79"/>
      <c r="O625" s="79"/>
      <c r="P625" s="79"/>
      <c r="S625" s="79"/>
      <c r="T625" s="79"/>
      <c r="W625" s="130"/>
      <c r="Y625" s="106"/>
    </row>
    <row r="626">
      <c r="C626" s="79"/>
      <c r="D626" s="79"/>
      <c r="J626" s="79"/>
      <c r="O626" s="79"/>
      <c r="P626" s="79"/>
      <c r="S626" s="79"/>
      <c r="T626" s="79"/>
      <c r="W626" s="130"/>
      <c r="Y626" s="106"/>
    </row>
    <row r="627">
      <c r="C627" s="79"/>
      <c r="D627" s="79"/>
      <c r="J627" s="79"/>
      <c r="O627" s="79"/>
      <c r="P627" s="79"/>
      <c r="S627" s="79"/>
      <c r="T627" s="79"/>
      <c r="W627" s="130"/>
      <c r="Y627" s="106"/>
    </row>
    <row r="628">
      <c r="C628" s="79"/>
      <c r="D628" s="79"/>
      <c r="J628" s="79"/>
      <c r="O628" s="79"/>
      <c r="P628" s="79"/>
      <c r="S628" s="79"/>
      <c r="T628" s="79"/>
      <c r="W628" s="130"/>
      <c r="Y628" s="106"/>
    </row>
    <row r="629">
      <c r="C629" s="79"/>
      <c r="D629" s="79"/>
      <c r="J629" s="79"/>
      <c r="O629" s="79"/>
      <c r="P629" s="79"/>
      <c r="S629" s="79"/>
      <c r="T629" s="79"/>
      <c r="W629" s="130"/>
      <c r="Y629" s="106"/>
    </row>
    <row r="630">
      <c r="C630" s="79"/>
      <c r="D630" s="79"/>
      <c r="J630" s="79"/>
      <c r="O630" s="79"/>
      <c r="P630" s="79"/>
      <c r="S630" s="79"/>
      <c r="T630" s="79"/>
      <c r="W630" s="130"/>
      <c r="Y630" s="106"/>
    </row>
    <row r="631">
      <c r="C631" s="79"/>
      <c r="D631" s="79"/>
      <c r="J631" s="79"/>
      <c r="O631" s="79"/>
      <c r="P631" s="79"/>
      <c r="S631" s="79"/>
      <c r="T631" s="79"/>
      <c r="W631" s="130"/>
      <c r="Y631" s="106"/>
    </row>
    <row r="632">
      <c r="C632" s="79"/>
      <c r="D632" s="79"/>
      <c r="J632" s="79"/>
      <c r="O632" s="79"/>
      <c r="P632" s="79"/>
      <c r="S632" s="79"/>
      <c r="T632" s="79"/>
      <c r="W632" s="130"/>
      <c r="Y632" s="106"/>
    </row>
    <row r="633">
      <c r="C633" s="79"/>
      <c r="D633" s="79"/>
      <c r="J633" s="79"/>
      <c r="O633" s="79"/>
      <c r="P633" s="79"/>
      <c r="S633" s="79"/>
      <c r="T633" s="79"/>
      <c r="W633" s="130"/>
      <c r="Y633" s="106"/>
    </row>
    <row r="634">
      <c r="C634" s="79"/>
      <c r="D634" s="79"/>
      <c r="J634" s="79"/>
      <c r="O634" s="79"/>
      <c r="P634" s="79"/>
      <c r="S634" s="79"/>
      <c r="T634" s="79"/>
      <c r="W634" s="130"/>
      <c r="Y634" s="106"/>
    </row>
    <row r="635">
      <c r="C635" s="79"/>
      <c r="D635" s="79"/>
      <c r="J635" s="79"/>
      <c r="O635" s="79"/>
      <c r="P635" s="79"/>
      <c r="S635" s="79"/>
      <c r="T635" s="79"/>
      <c r="W635" s="130"/>
      <c r="Y635" s="106"/>
    </row>
    <row r="636">
      <c r="C636" s="79"/>
      <c r="D636" s="79"/>
      <c r="J636" s="79"/>
      <c r="O636" s="79"/>
      <c r="P636" s="79"/>
      <c r="S636" s="79"/>
      <c r="T636" s="79"/>
      <c r="W636" s="130"/>
      <c r="Y636" s="106"/>
    </row>
    <row r="637">
      <c r="C637" s="79"/>
      <c r="D637" s="79"/>
      <c r="J637" s="79"/>
      <c r="O637" s="79"/>
      <c r="P637" s="79"/>
      <c r="S637" s="79"/>
      <c r="T637" s="79"/>
      <c r="W637" s="130"/>
      <c r="Y637" s="106"/>
    </row>
    <row r="638">
      <c r="C638" s="79"/>
      <c r="D638" s="79"/>
      <c r="J638" s="79"/>
      <c r="O638" s="79"/>
      <c r="P638" s="79"/>
      <c r="S638" s="79"/>
      <c r="T638" s="79"/>
      <c r="W638" s="130"/>
      <c r="Y638" s="106"/>
    </row>
    <row r="639">
      <c r="C639" s="79"/>
      <c r="D639" s="79"/>
      <c r="J639" s="79"/>
      <c r="O639" s="79"/>
      <c r="P639" s="79"/>
      <c r="S639" s="79"/>
      <c r="T639" s="79"/>
      <c r="W639" s="130"/>
      <c r="Y639" s="106"/>
    </row>
    <row r="640">
      <c r="C640" s="79"/>
      <c r="D640" s="79"/>
      <c r="J640" s="79"/>
      <c r="O640" s="79"/>
      <c r="P640" s="79"/>
      <c r="S640" s="79"/>
      <c r="T640" s="79"/>
      <c r="W640" s="130"/>
      <c r="Y640" s="106"/>
    </row>
    <row r="641">
      <c r="C641" s="79"/>
      <c r="D641" s="79"/>
      <c r="J641" s="79"/>
      <c r="O641" s="79"/>
      <c r="P641" s="79"/>
      <c r="S641" s="79"/>
      <c r="T641" s="79"/>
      <c r="W641" s="130"/>
      <c r="Y641" s="106"/>
    </row>
    <row r="642">
      <c r="C642" s="79"/>
      <c r="D642" s="79"/>
      <c r="J642" s="79"/>
      <c r="O642" s="79"/>
      <c r="P642" s="79"/>
      <c r="S642" s="79"/>
      <c r="T642" s="79"/>
      <c r="W642" s="130"/>
      <c r="Y642" s="106"/>
    </row>
    <row r="643">
      <c r="C643" s="79"/>
      <c r="D643" s="79"/>
      <c r="J643" s="79"/>
      <c r="O643" s="79"/>
      <c r="P643" s="79"/>
      <c r="S643" s="79"/>
      <c r="T643" s="79"/>
      <c r="W643" s="130"/>
      <c r="Y643" s="106"/>
    </row>
    <row r="644">
      <c r="C644" s="79"/>
      <c r="D644" s="79"/>
      <c r="J644" s="79"/>
      <c r="O644" s="79"/>
      <c r="P644" s="79"/>
      <c r="S644" s="79"/>
      <c r="T644" s="79"/>
      <c r="W644" s="130"/>
      <c r="Y644" s="106"/>
    </row>
    <row r="645">
      <c r="C645" s="79"/>
      <c r="D645" s="79"/>
      <c r="J645" s="79"/>
      <c r="O645" s="79"/>
      <c r="P645" s="79"/>
      <c r="S645" s="79"/>
      <c r="T645" s="79"/>
      <c r="W645" s="130"/>
      <c r="Y645" s="106"/>
    </row>
    <row r="646">
      <c r="C646" s="79"/>
      <c r="D646" s="79"/>
      <c r="J646" s="79"/>
      <c r="O646" s="79"/>
      <c r="P646" s="79"/>
      <c r="S646" s="79"/>
      <c r="T646" s="79"/>
      <c r="W646" s="130"/>
      <c r="Y646" s="106"/>
    </row>
    <row r="647">
      <c r="C647" s="79"/>
      <c r="D647" s="79"/>
      <c r="J647" s="79"/>
      <c r="O647" s="79"/>
      <c r="P647" s="79"/>
      <c r="S647" s="79"/>
      <c r="T647" s="79"/>
      <c r="W647" s="130"/>
      <c r="Y647" s="106"/>
    </row>
    <row r="648">
      <c r="C648" s="79"/>
      <c r="D648" s="79"/>
      <c r="J648" s="79"/>
      <c r="O648" s="79"/>
      <c r="P648" s="79"/>
      <c r="S648" s="79"/>
      <c r="T648" s="79"/>
      <c r="W648" s="130"/>
      <c r="Y648" s="106"/>
    </row>
    <row r="649">
      <c r="C649" s="79"/>
      <c r="D649" s="79"/>
      <c r="J649" s="79"/>
      <c r="O649" s="79"/>
      <c r="P649" s="79"/>
      <c r="S649" s="79"/>
      <c r="T649" s="79"/>
      <c r="W649" s="130"/>
      <c r="Y649" s="106"/>
    </row>
    <row r="650">
      <c r="C650" s="79"/>
      <c r="D650" s="79"/>
      <c r="J650" s="79"/>
      <c r="O650" s="79"/>
      <c r="P650" s="79"/>
      <c r="S650" s="79"/>
      <c r="T650" s="79"/>
      <c r="W650" s="130"/>
      <c r="Y650" s="106"/>
    </row>
    <row r="651">
      <c r="C651" s="79"/>
      <c r="D651" s="79"/>
      <c r="J651" s="79"/>
      <c r="O651" s="79"/>
      <c r="P651" s="79"/>
      <c r="S651" s="79"/>
      <c r="T651" s="79"/>
      <c r="W651" s="130"/>
      <c r="Y651" s="106"/>
    </row>
    <row r="652">
      <c r="C652" s="79"/>
      <c r="D652" s="79"/>
      <c r="J652" s="79"/>
      <c r="O652" s="79"/>
      <c r="P652" s="79"/>
      <c r="S652" s="79"/>
      <c r="T652" s="79"/>
      <c r="W652" s="130"/>
      <c r="Y652" s="106"/>
    </row>
    <row r="653">
      <c r="C653" s="79"/>
      <c r="D653" s="79"/>
      <c r="J653" s="79"/>
      <c r="O653" s="79"/>
      <c r="P653" s="79"/>
      <c r="S653" s="79"/>
      <c r="T653" s="79"/>
      <c r="W653" s="130"/>
      <c r="Y653" s="106"/>
    </row>
    <row r="654">
      <c r="C654" s="79"/>
      <c r="D654" s="79"/>
      <c r="J654" s="79"/>
      <c r="O654" s="79"/>
      <c r="P654" s="79"/>
      <c r="S654" s="79"/>
      <c r="T654" s="79"/>
      <c r="W654" s="130"/>
      <c r="Y654" s="106"/>
    </row>
    <row r="655">
      <c r="C655" s="79"/>
      <c r="D655" s="79"/>
      <c r="J655" s="79"/>
      <c r="O655" s="79"/>
      <c r="P655" s="79"/>
      <c r="S655" s="79"/>
      <c r="T655" s="79"/>
      <c r="W655" s="130"/>
      <c r="Y655" s="106"/>
    </row>
    <row r="656">
      <c r="C656" s="79"/>
      <c r="D656" s="79"/>
      <c r="J656" s="79"/>
      <c r="O656" s="79"/>
      <c r="P656" s="79"/>
      <c r="S656" s="79"/>
      <c r="T656" s="79"/>
      <c r="W656" s="130"/>
      <c r="Y656" s="106"/>
    </row>
    <row r="657">
      <c r="C657" s="79"/>
      <c r="D657" s="79"/>
      <c r="J657" s="79"/>
      <c r="O657" s="79"/>
      <c r="P657" s="79"/>
      <c r="S657" s="79"/>
      <c r="T657" s="79"/>
      <c r="W657" s="130"/>
      <c r="Y657" s="106"/>
    </row>
    <row r="658">
      <c r="C658" s="79"/>
      <c r="D658" s="79"/>
      <c r="J658" s="79"/>
      <c r="O658" s="79"/>
      <c r="P658" s="79"/>
      <c r="S658" s="79"/>
      <c r="T658" s="79"/>
      <c r="W658" s="130"/>
      <c r="Y658" s="106"/>
    </row>
    <row r="659">
      <c r="C659" s="79"/>
      <c r="D659" s="79"/>
      <c r="J659" s="79"/>
      <c r="O659" s="79"/>
      <c r="P659" s="79"/>
      <c r="S659" s="79"/>
      <c r="T659" s="79"/>
      <c r="W659" s="130"/>
      <c r="Y659" s="106"/>
    </row>
    <row r="660">
      <c r="C660" s="79"/>
      <c r="D660" s="79"/>
      <c r="J660" s="79"/>
      <c r="O660" s="79"/>
      <c r="P660" s="79"/>
      <c r="S660" s="79"/>
      <c r="T660" s="79"/>
      <c r="W660" s="130"/>
      <c r="Y660" s="106"/>
    </row>
    <row r="661">
      <c r="C661" s="79"/>
      <c r="D661" s="79"/>
      <c r="J661" s="79"/>
      <c r="O661" s="79"/>
      <c r="P661" s="79"/>
      <c r="S661" s="79"/>
      <c r="T661" s="79"/>
      <c r="W661" s="130"/>
      <c r="Y661" s="106"/>
    </row>
    <row r="662">
      <c r="C662" s="79"/>
      <c r="D662" s="79"/>
      <c r="J662" s="79"/>
      <c r="O662" s="79"/>
      <c r="P662" s="79"/>
      <c r="S662" s="79"/>
      <c r="T662" s="79"/>
      <c r="W662" s="130"/>
      <c r="Y662" s="106"/>
    </row>
    <row r="663">
      <c r="C663" s="79"/>
      <c r="D663" s="79"/>
      <c r="J663" s="79"/>
      <c r="O663" s="79"/>
      <c r="P663" s="79"/>
      <c r="S663" s="79"/>
      <c r="T663" s="79"/>
      <c r="W663" s="130"/>
      <c r="Y663" s="106"/>
    </row>
    <row r="664">
      <c r="C664" s="79"/>
      <c r="D664" s="79"/>
      <c r="J664" s="79"/>
      <c r="O664" s="79"/>
      <c r="P664" s="79"/>
      <c r="S664" s="79"/>
      <c r="T664" s="79"/>
      <c r="W664" s="130"/>
      <c r="Y664" s="106"/>
    </row>
    <row r="665">
      <c r="C665" s="79"/>
      <c r="D665" s="79"/>
      <c r="J665" s="79"/>
      <c r="O665" s="79"/>
      <c r="P665" s="79"/>
      <c r="S665" s="79"/>
      <c r="T665" s="79"/>
      <c r="W665" s="130"/>
      <c r="Y665" s="106"/>
    </row>
    <row r="666">
      <c r="C666" s="79"/>
      <c r="D666" s="79"/>
      <c r="J666" s="79"/>
      <c r="O666" s="79"/>
      <c r="P666" s="79"/>
      <c r="S666" s="79"/>
      <c r="T666" s="79"/>
      <c r="W666" s="130"/>
      <c r="Y666" s="106"/>
    </row>
    <row r="667">
      <c r="C667" s="79"/>
      <c r="D667" s="79"/>
      <c r="J667" s="79"/>
      <c r="O667" s="79"/>
      <c r="P667" s="79"/>
      <c r="S667" s="79"/>
      <c r="T667" s="79"/>
      <c r="W667" s="130"/>
      <c r="Y667" s="106"/>
    </row>
    <row r="668">
      <c r="C668" s="79"/>
      <c r="D668" s="79"/>
      <c r="J668" s="79"/>
      <c r="O668" s="79"/>
      <c r="P668" s="79"/>
      <c r="S668" s="79"/>
      <c r="T668" s="79"/>
      <c r="W668" s="130"/>
      <c r="Y668" s="106"/>
    </row>
    <row r="669">
      <c r="C669" s="79"/>
      <c r="D669" s="79"/>
      <c r="J669" s="79"/>
      <c r="O669" s="79"/>
      <c r="P669" s="79"/>
      <c r="S669" s="79"/>
      <c r="T669" s="79"/>
      <c r="W669" s="130"/>
      <c r="Y669" s="106"/>
    </row>
    <row r="670">
      <c r="C670" s="79"/>
      <c r="D670" s="79"/>
      <c r="J670" s="79"/>
      <c r="O670" s="79"/>
      <c r="P670" s="79"/>
      <c r="S670" s="79"/>
      <c r="T670" s="79"/>
      <c r="W670" s="130"/>
      <c r="Y670" s="106"/>
    </row>
    <row r="671">
      <c r="C671" s="79"/>
      <c r="D671" s="79"/>
      <c r="J671" s="79"/>
      <c r="O671" s="79"/>
      <c r="P671" s="79"/>
      <c r="S671" s="79"/>
      <c r="T671" s="79"/>
      <c r="W671" s="130"/>
      <c r="Y671" s="106"/>
    </row>
    <row r="672">
      <c r="C672" s="79"/>
      <c r="D672" s="79"/>
      <c r="J672" s="79"/>
      <c r="O672" s="79"/>
      <c r="P672" s="79"/>
      <c r="S672" s="79"/>
      <c r="T672" s="79"/>
      <c r="W672" s="130"/>
      <c r="Y672" s="106"/>
    </row>
    <row r="673">
      <c r="C673" s="79"/>
      <c r="D673" s="79"/>
      <c r="J673" s="79"/>
      <c r="O673" s="79"/>
      <c r="P673" s="79"/>
      <c r="S673" s="79"/>
      <c r="T673" s="79"/>
      <c r="W673" s="130"/>
      <c r="Y673" s="106"/>
    </row>
    <row r="674">
      <c r="C674" s="79"/>
      <c r="D674" s="79"/>
      <c r="J674" s="79"/>
      <c r="O674" s="79"/>
      <c r="P674" s="79"/>
      <c r="S674" s="79"/>
      <c r="T674" s="79"/>
      <c r="W674" s="130"/>
      <c r="Y674" s="106"/>
    </row>
    <row r="675">
      <c r="C675" s="79"/>
      <c r="D675" s="79"/>
      <c r="J675" s="79"/>
      <c r="O675" s="79"/>
      <c r="P675" s="79"/>
      <c r="S675" s="79"/>
      <c r="T675" s="79"/>
      <c r="W675" s="130"/>
      <c r="Y675" s="106"/>
    </row>
    <row r="676">
      <c r="C676" s="79"/>
      <c r="D676" s="79"/>
      <c r="J676" s="79"/>
      <c r="O676" s="79"/>
      <c r="P676" s="79"/>
      <c r="S676" s="79"/>
      <c r="T676" s="79"/>
      <c r="W676" s="130"/>
      <c r="Y676" s="106"/>
    </row>
    <row r="677">
      <c r="C677" s="79"/>
      <c r="D677" s="79"/>
      <c r="J677" s="79"/>
      <c r="O677" s="79"/>
      <c r="P677" s="79"/>
      <c r="S677" s="79"/>
      <c r="T677" s="79"/>
      <c r="W677" s="130"/>
      <c r="Y677" s="106"/>
    </row>
    <row r="678">
      <c r="C678" s="79"/>
      <c r="D678" s="79"/>
      <c r="J678" s="79"/>
      <c r="O678" s="79"/>
      <c r="P678" s="79"/>
      <c r="S678" s="79"/>
      <c r="T678" s="79"/>
      <c r="W678" s="130"/>
      <c r="Y678" s="106"/>
    </row>
    <row r="679">
      <c r="C679" s="79"/>
      <c r="D679" s="79"/>
      <c r="J679" s="79"/>
      <c r="O679" s="79"/>
      <c r="P679" s="79"/>
      <c r="S679" s="79"/>
      <c r="T679" s="79"/>
      <c r="W679" s="130"/>
      <c r="Y679" s="106"/>
    </row>
    <row r="680">
      <c r="C680" s="79"/>
      <c r="D680" s="79"/>
      <c r="J680" s="79"/>
      <c r="O680" s="79"/>
      <c r="P680" s="79"/>
      <c r="S680" s="79"/>
      <c r="T680" s="79"/>
      <c r="W680" s="130"/>
      <c r="Y680" s="106"/>
    </row>
    <row r="681">
      <c r="C681" s="79"/>
      <c r="D681" s="79"/>
      <c r="J681" s="79"/>
      <c r="O681" s="79"/>
      <c r="P681" s="79"/>
      <c r="S681" s="79"/>
      <c r="T681" s="79"/>
      <c r="W681" s="130"/>
      <c r="Y681" s="106"/>
    </row>
    <row r="682">
      <c r="C682" s="79"/>
      <c r="D682" s="79"/>
      <c r="J682" s="79"/>
      <c r="O682" s="79"/>
      <c r="P682" s="79"/>
      <c r="S682" s="79"/>
      <c r="T682" s="79"/>
      <c r="W682" s="130"/>
      <c r="Y682" s="106"/>
    </row>
    <row r="683">
      <c r="C683" s="79"/>
      <c r="D683" s="79"/>
      <c r="J683" s="79"/>
      <c r="O683" s="79"/>
      <c r="P683" s="79"/>
      <c r="S683" s="79"/>
      <c r="T683" s="79"/>
      <c r="W683" s="130"/>
      <c r="Y683" s="106"/>
    </row>
    <row r="684">
      <c r="C684" s="79"/>
      <c r="D684" s="79"/>
      <c r="J684" s="79"/>
      <c r="O684" s="79"/>
      <c r="P684" s="79"/>
      <c r="S684" s="79"/>
      <c r="T684" s="79"/>
      <c r="W684" s="130"/>
      <c r="Y684" s="106"/>
    </row>
    <row r="685">
      <c r="C685" s="79"/>
      <c r="D685" s="79"/>
      <c r="J685" s="79"/>
      <c r="O685" s="79"/>
      <c r="P685" s="79"/>
      <c r="S685" s="79"/>
      <c r="T685" s="79"/>
      <c r="W685" s="130"/>
      <c r="Y685" s="106"/>
    </row>
    <row r="686">
      <c r="C686" s="79"/>
      <c r="D686" s="79"/>
      <c r="J686" s="79"/>
      <c r="O686" s="79"/>
      <c r="P686" s="79"/>
      <c r="S686" s="79"/>
      <c r="T686" s="79"/>
      <c r="W686" s="130"/>
      <c r="Y686" s="106"/>
    </row>
    <row r="687">
      <c r="C687" s="79"/>
      <c r="D687" s="79"/>
      <c r="J687" s="79"/>
      <c r="O687" s="79"/>
      <c r="P687" s="79"/>
      <c r="S687" s="79"/>
      <c r="T687" s="79"/>
      <c r="W687" s="130"/>
      <c r="Y687" s="106"/>
    </row>
    <row r="688">
      <c r="C688" s="79"/>
      <c r="D688" s="79"/>
      <c r="J688" s="79"/>
      <c r="O688" s="79"/>
      <c r="P688" s="79"/>
      <c r="S688" s="79"/>
      <c r="T688" s="79"/>
      <c r="W688" s="130"/>
      <c r="Y688" s="106"/>
    </row>
    <row r="689">
      <c r="C689" s="79"/>
      <c r="D689" s="79"/>
      <c r="J689" s="79"/>
      <c r="O689" s="79"/>
      <c r="P689" s="79"/>
      <c r="S689" s="79"/>
      <c r="T689" s="79"/>
      <c r="W689" s="130"/>
      <c r="Y689" s="106"/>
    </row>
    <row r="690">
      <c r="C690" s="79"/>
      <c r="D690" s="79"/>
      <c r="J690" s="79"/>
      <c r="O690" s="79"/>
      <c r="P690" s="79"/>
      <c r="S690" s="79"/>
      <c r="T690" s="79"/>
      <c r="W690" s="130"/>
      <c r="Y690" s="106"/>
    </row>
    <row r="691">
      <c r="C691" s="79"/>
      <c r="D691" s="79"/>
      <c r="J691" s="79"/>
      <c r="O691" s="79"/>
      <c r="P691" s="79"/>
      <c r="S691" s="79"/>
      <c r="T691" s="79"/>
      <c r="W691" s="130"/>
      <c r="Y691" s="106"/>
    </row>
    <row r="692">
      <c r="C692" s="79"/>
      <c r="D692" s="79"/>
      <c r="J692" s="79"/>
      <c r="O692" s="79"/>
      <c r="P692" s="79"/>
      <c r="S692" s="79"/>
      <c r="T692" s="79"/>
      <c r="W692" s="130"/>
      <c r="Y692" s="106"/>
    </row>
    <row r="693">
      <c r="C693" s="79"/>
      <c r="D693" s="79"/>
      <c r="J693" s="79"/>
      <c r="O693" s="79"/>
      <c r="P693" s="79"/>
      <c r="S693" s="79"/>
      <c r="T693" s="79"/>
      <c r="W693" s="130"/>
      <c r="Y693" s="106"/>
    </row>
    <row r="694">
      <c r="C694" s="79"/>
      <c r="D694" s="79"/>
      <c r="J694" s="79"/>
      <c r="O694" s="79"/>
      <c r="P694" s="79"/>
      <c r="S694" s="79"/>
      <c r="T694" s="79"/>
      <c r="W694" s="130"/>
      <c r="Y694" s="106"/>
    </row>
    <row r="695">
      <c r="C695" s="79"/>
      <c r="D695" s="79"/>
      <c r="J695" s="79"/>
      <c r="O695" s="79"/>
      <c r="P695" s="79"/>
      <c r="S695" s="79"/>
      <c r="T695" s="79"/>
      <c r="W695" s="130"/>
      <c r="Y695" s="106"/>
    </row>
    <row r="696">
      <c r="C696" s="79"/>
      <c r="D696" s="79"/>
      <c r="J696" s="79"/>
      <c r="O696" s="79"/>
      <c r="P696" s="79"/>
      <c r="S696" s="79"/>
      <c r="T696" s="79"/>
      <c r="W696" s="130"/>
      <c r="Y696" s="106"/>
    </row>
    <row r="697">
      <c r="C697" s="79"/>
      <c r="D697" s="79"/>
      <c r="J697" s="79"/>
      <c r="O697" s="79"/>
      <c r="P697" s="79"/>
      <c r="S697" s="79"/>
      <c r="T697" s="79"/>
      <c r="W697" s="130"/>
      <c r="Y697" s="106"/>
    </row>
    <row r="698">
      <c r="C698" s="79"/>
      <c r="D698" s="79"/>
      <c r="J698" s="79"/>
      <c r="O698" s="79"/>
      <c r="P698" s="79"/>
      <c r="S698" s="79"/>
      <c r="T698" s="79"/>
      <c r="W698" s="130"/>
      <c r="Y698" s="106"/>
    </row>
    <row r="699">
      <c r="C699" s="79"/>
      <c r="D699" s="79"/>
      <c r="J699" s="79"/>
      <c r="O699" s="79"/>
      <c r="P699" s="79"/>
      <c r="S699" s="79"/>
      <c r="T699" s="79"/>
      <c r="W699" s="130"/>
      <c r="Y699" s="106"/>
    </row>
    <row r="700">
      <c r="C700" s="79"/>
      <c r="D700" s="79"/>
      <c r="J700" s="79"/>
      <c r="O700" s="79"/>
      <c r="P700" s="79"/>
      <c r="S700" s="79"/>
      <c r="T700" s="79"/>
      <c r="W700" s="130"/>
      <c r="Y700" s="106"/>
    </row>
    <row r="701">
      <c r="C701" s="79"/>
      <c r="D701" s="79"/>
      <c r="J701" s="79"/>
      <c r="O701" s="79"/>
      <c r="P701" s="79"/>
      <c r="S701" s="79"/>
      <c r="T701" s="79"/>
      <c r="W701" s="130"/>
      <c r="Y701" s="106"/>
    </row>
    <row r="702">
      <c r="C702" s="79"/>
      <c r="D702" s="79"/>
      <c r="J702" s="79"/>
      <c r="O702" s="79"/>
      <c r="P702" s="79"/>
      <c r="S702" s="79"/>
      <c r="T702" s="79"/>
      <c r="W702" s="130"/>
      <c r="Y702" s="106"/>
    </row>
    <row r="703">
      <c r="C703" s="79"/>
      <c r="D703" s="79"/>
      <c r="J703" s="79"/>
      <c r="O703" s="79"/>
      <c r="P703" s="79"/>
      <c r="S703" s="79"/>
      <c r="T703" s="79"/>
      <c r="W703" s="130"/>
      <c r="Y703" s="106"/>
    </row>
    <row r="704">
      <c r="C704" s="79"/>
      <c r="D704" s="79"/>
      <c r="J704" s="79"/>
      <c r="O704" s="79"/>
      <c r="P704" s="79"/>
      <c r="S704" s="79"/>
      <c r="T704" s="79"/>
      <c r="W704" s="130"/>
      <c r="Y704" s="106"/>
    </row>
    <row r="705">
      <c r="C705" s="79"/>
      <c r="D705" s="79"/>
      <c r="J705" s="79"/>
      <c r="O705" s="79"/>
      <c r="P705" s="79"/>
      <c r="S705" s="79"/>
      <c r="T705" s="79"/>
      <c r="W705" s="130"/>
      <c r="Y705" s="106"/>
    </row>
    <row r="706">
      <c r="C706" s="79"/>
      <c r="D706" s="79"/>
      <c r="J706" s="79"/>
      <c r="O706" s="79"/>
      <c r="P706" s="79"/>
      <c r="S706" s="79"/>
      <c r="T706" s="79"/>
      <c r="W706" s="130"/>
      <c r="Y706" s="106"/>
    </row>
    <row r="707">
      <c r="C707" s="79"/>
      <c r="D707" s="79"/>
      <c r="J707" s="79"/>
      <c r="O707" s="79"/>
      <c r="P707" s="79"/>
      <c r="S707" s="79"/>
      <c r="T707" s="79"/>
      <c r="W707" s="130"/>
      <c r="Y707" s="106"/>
    </row>
    <row r="708">
      <c r="C708" s="79"/>
      <c r="D708" s="79"/>
      <c r="J708" s="79"/>
      <c r="O708" s="79"/>
      <c r="P708" s="79"/>
      <c r="S708" s="79"/>
      <c r="T708" s="79"/>
      <c r="W708" s="130"/>
      <c r="Y708" s="106"/>
    </row>
    <row r="709">
      <c r="C709" s="79"/>
      <c r="D709" s="79"/>
      <c r="J709" s="79"/>
      <c r="O709" s="79"/>
      <c r="P709" s="79"/>
      <c r="S709" s="79"/>
      <c r="T709" s="79"/>
      <c r="W709" s="130"/>
      <c r="Y709" s="106"/>
    </row>
    <row r="710">
      <c r="C710" s="79"/>
      <c r="D710" s="79"/>
      <c r="J710" s="79"/>
      <c r="O710" s="79"/>
      <c r="P710" s="79"/>
      <c r="S710" s="79"/>
      <c r="T710" s="79"/>
      <c r="W710" s="130"/>
      <c r="Y710" s="106"/>
    </row>
    <row r="711">
      <c r="C711" s="79"/>
      <c r="D711" s="79"/>
      <c r="J711" s="79"/>
      <c r="O711" s="79"/>
      <c r="P711" s="79"/>
      <c r="S711" s="79"/>
      <c r="T711" s="79"/>
      <c r="W711" s="130"/>
      <c r="Y711" s="106"/>
    </row>
    <row r="712">
      <c r="C712" s="79"/>
      <c r="D712" s="79"/>
      <c r="J712" s="79"/>
      <c r="O712" s="79"/>
      <c r="P712" s="79"/>
      <c r="S712" s="79"/>
      <c r="T712" s="79"/>
      <c r="W712" s="130"/>
      <c r="Y712" s="106"/>
    </row>
    <row r="713">
      <c r="C713" s="79"/>
      <c r="D713" s="79"/>
      <c r="J713" s="79"/>
      <c r="O713" s="79"/>
      <c r="P713" s="79"/>
      <c r="S713" s="79"/>
      <c r="T713" s="79"/>
      <c r="W713" s="130"/>
      <c r="Y713" s="106"/>
    </row>
    <row r="714">
      <c r="C714" s="79"/>
      <c r="D714" s="79"/>
      <c r="J714" s="79"/>
      <c r="O714" s="79"/>
      <c r="P714" s="79"/>
      <c r="S714" s="79"/>
      <c r="T714" s="79"/>
      <c r="W714" s="130"/>
      <c r="Y714" s="106"/>
    </row>
    <row r="715">
      <c r="C715" s="79"/>
      <c r="D715" s="79"/>
      <c r="J715" s="79"/>
      <c r="O715" s="79"/>
      <c r="P715" s="79"/>
      <c r="S715" s="79"/>
      <c r="T715" s="79"/>
      <c r="W715" s="130"/>
      <c r="Y715" s="106"/>
    </row>
    <row r="716">
      <c r="C716" s="79"/>
      <c r="D716" s="79"/>
      <c r="J716" s="79"/>
      <c r="O716" s="79"/>
      <c r="P716" s="79"/>
      <c r="S716" s="79"/>
      <c r="T716" s="79"/>
      <c r="W716" s="130"/>
      <c r="Y716" s="106"/>
    </row>
    <row r="717">
      <c r="C717" s="79"/>
      <c r="D717" s="79"/>
      <c r="J717" s="79"/>
      <c r="O717" s="79"/>
      <c r="P717" s="79"/>
      <c r="S717" s="79"/>
      <c r="T717" s="79"/>
      <c r="W717" s="130"/>
      <c r="Y717" s="106"/>
    </row>
    <row r="718">
      <c r="C718" s="79"/>
      <c r="D718" s="79"/>
      <c r="J718" s="79"/>
      <c r="O718" s="79"/>
      <c r="P718" s="79"/>
      <c r="S718" s="79"/>
      <c r="T718" s="79"/>
      <c r="W718" s="130"/>
      <c r="Y718" s="106"/>
    </row>
    <row r="719">
      <c r="C719" s="79"/>
      <c r="D719" s="79"/>
      <c r="J719" s="79"/>
      <c r="O719" s="79"/>
      <c r="P719" s="79"/>
      <c r="S719" s="79"/>
      <c r="T719" s="79"/>
      <c r="W719" s="130"/>
      <c r="Y719" s="106"/>
    </row>
    <row r="720">
      <c r="C720" s="79"/>
      <c r="D720" s="79"/>
      <c r="J720" s="79"/>
      <c r="O720" s="79"/>
      <c r="P720" s="79"/>
      <c r="S720" s="79"/>
      <c r="T720" s="79"/>
      <c r="W720" s="130"/>
      <c r="Y720" s="106"/>
    </row>
    <row r="721">
      <c r="C721" s="79"/>
      <c r="D721" s="79"/>
      <c r="J721" s="79"/>
      <c r="O721" s="79"/>
      <c r="P721" s="79"/>
      <c r="S721" s="79"/>
      <c r="T721" s="79"/>
      <c r="W721" s="130"/>
      <c r="Y721" s="106"/>
    </row>
    <row r="722">
      <c r="C722" s="79"/>
      <c r="D722" s="79"/>
      <c r="J722" s="79"/>
      <c r="O722" s="79"/>
      <c r="P722" s="79"/>
      <c r="S722" s="79"/>
      <c r="T722" s="79"/>
      <c r="W722" s="130"/>
      <c r="Y722" s="106"/>
    </row>
    <row r="723">
      <c r="C723" s="79"/>
      <c r="D723" s="79"/>
      <c r="J723" s="79"/>
      <c r="O723" s="79"/>
      <c r="P723" s="79"/>
      <c r="S723" s="79"/>
      <c r="T723" s="79"/>
      <c r="W723" s="130"/>
      <c r="Y723" s="106"/>
    </row>
    <row r="724">
      <c r="C724" s="79"/>
      <c r="D724" s="79"/>
      <c r="J724" s="79"/>
      <c r="O724" s="79"/>
      <c r="P724" s="79"/>
      <c r="S724" s="79"/>
      <c r="T724" s="79"/>
      <c r="W724" s="130"/>
      <c r="Y724" s="106"/>
    </row>
    <row r="725">
      <c r="C725" s="79"/>
      <c r="D725" s="79"/>
      <c r="J725" s="79"/>
      <c r="O725" s="79"/>
      <c r="P725" s="79"/>
      <c r="S725" s="79"/>
      <c r="T725" s="79"/>
      <c r="W725" s="130"/>
      <c r="Y725" s="106"/>
    </row>
    <row r="726">
      <c r="C726" s="79"/>
      <c r="D726" s="79"/>
      <c r="J726" s="79"/>
      <c r="O726" s="79"/>
      <c r="P726" s="79"/>
      <c r="S726" s="79"/>
      <c r="T726" s="79"/>
      <c r="W726" s="130"/>
      <c r="Y726" s="106"/>
    </row>
    <row r="727">
      <c r="C727" s="79"/>
      <c r="D727" s="79"/>
      <c r="J727" s="79"/>
      <c r="O727" s="79"/>
      <c r="P727" s="79"/>
      <c r="S727" s="79"/>
      <c r="T727" s="79"/>
      <c r="W727" s="130"/>
      <c r="Y727" s="106"/>
    </row>
    <row r="728">
      <c r="C728" s="79"/>
      <c r="D728" s="79"/>
      <c r="J728" s="79"/>
      <c r="O728" s="79"/>
      <c r="P728" s="79"/>
      <c r="S728" s="79"/>
      <c r="T728" s="79"/>
      <c r="W728" s="130"/>
      <c r="Y728" s="106"/>
    </row>
    <row r="729">
      <c r="C729" s="79"/>
      <c r="D729" s="79"/>
      <c r="J729" s="79"/>
      <c r="O729" s="79"/>
      <c r="P729" s="79"/>
      <c r="S729" s="79"/>
      <c r="T729" s="79"/>
      <c r="W729" s="130"/>
      <c r="Y729" s="106"/>
    </row>
    <row r="730">
      <c r="C730" s="79"/>
      <c r="D730" s="79"/>
      <c r="J730" s="79"/>
      <c r="O730" s="79"/>
      <c r="P730" s="79"/>
      <c r="S730" s="79"/>
      <c r="T730" s="79"/>
      <c r="W730" s="130"/>
      <c r="Y730" s="106"/>
    </row>
    <row r="731">
      <c r="C731" s="79"/>
      <c r="D731" s="79"/>
      <c r="J731" s="79"/>
      <c r="O731" s="79"/>
      <c r="P731" s="79"/>
      <c r="S731" s="79"/>
      <c r="T731" s="79"/>
      <c r="W731" s="130"/>
      <c r="Y731" s="106"/>
    </row>
    <row r="732">
      <c r="C732" s="79"/>
      <c r="D732" s="79"/>
      <c r="J732" s="79"/>
      <c r="O732" s="79"/>
      <c r="P732" s="79"/>
      <c r="S732" s="79"/>
      <c r="T732" s="79"/>
      <c r="W732" s="130"/>
      <c r="Y732" s="106"/>
    </row>
    <row r="733">
      <c r="C733" s="79"/>
      <c r="D733" s="79"/>
      <c r="J733" s="79"/>
      <c r="O733" s="79"/>
      <c r="P733" s="79"/>
      <c r="S733" s="79"/>
      <c r="T733" s="79"/>
      <c r="W733" s="130"/>
      <c r="Y733" s="106"/>
    </row>
    <row r="734">
      <c r="C734" s="79"/>
      <c r="D734" s="79"/>
      <c r="J734" s="79"/>
      <c r="O734" s="79"/>
      <c r="P734" s="79"/>
      <c r="S734" s="79"/>
      <c r="T734" s="79"/>
      <c r="W734" s="130"/>
      <c r="Y734" s="106"/>
    </row>
    <row r="735">
      <c r="C735" s="79"/>
      <c r="D735" s="79"/>
      <c r="J735" s="79"/>
      <c r="O735" s="79"/>
      <c r="P735" s="79"/>
      <c r="S735" s="79"/>
      <c r="T735" s="79"/>
      <c r="W735" s="130"/>
      <c r="Y735" s="106"/>
    </row>
    <row r="736">
      <c r="C736" s="79"/>
      <c r="D736" s="79"/>
      <c r="J736" s="79"/>
      <c r="O736" s="79"/>
      <c r="P736" s="79"/>
      <c r="S736" s="79"/>
      <c r="T736" s="79"/>
      <c r="W736" s="130"/>
      <c r="Y736" s="106"/>
    </row>
    <row r="737">
      <c r="C737" s="79"/>
      <c r="D737" s="79"/>
      <c r="J737" s="79"/>
      <c r="O737" s="79"/>
      <c r="P737" s="79"/>
      <c r="S737" s="79"/>
      <c r="T737" s="79"/>
      <c r="W737" s="130"/>
      <c r="Y737" s="106"/>
    </row>
    <row r="738">
      <c r="C738" s="79"/>
      <c r="D738" s="79"/>
      <c r="J738" s="79"/>
      <c r="O738" s="79"/>
      <c r="P738" s="79"/>
      <c r="S738" s="79"/>
      <c r="T738" s="79"/>
      <c r="W738" s="130"/>
      <c r="Y738" s="106"/>
    </row>
    <row r="739">
      <c r="C739" s="79"/>
      <c r="D739" s="79"/>
      <c r="J739" s="79"/>
      <c r="O739" s="79"/>
      <c r="P739" s="79"/>
      <c r="S739" s="79"/>
      <c r="T739" s="79"/>
      <c r="W739" s="130"/>
      <c r="Y739" s="106"/>
    </row>
    <row r="740">
      <c r="C740" s="79"/>
      <c r="D740" s="79"/>
      <c r="J740" s="79"/>
      <c r="O740" s="79"/>
      <c r="P740" s="79"/>
      <c r="S740" s="79"/>
      <c r="T740" s="79"/>
      <c r="W740" s="130"/>
      <c r="Y740" s="106"/>
    </row>
    <row r="741">
      <c r="C741" s="79"/>
      <c r="D741" s="79"/>
      <c r="J741" s="79"/>
      <c r="O741" s="79"/>
      <c r="P741" s="79"/>
      <c r="S741" s="79"/>
      <c r="T741" s="79"/>
      <c r="W741" s="130"/>
      <c r="Y741" s="106"/>
    </row>
    <row r="742">
      <c r="C742" s="79"/>
      <c r="D742" s="79"/>
      <c r="J742" s="79"/>
      <c r="O742" s="79"/>
      <c r="P742" s="79"/>
      <c r="S742" s="79"/>
      <c r="T742" s="79"/>
      <c r="W742" s="130"/>
      <c r="Y742" s="106"/>
    </row>
    <row r="743">
      <c r="C743" s="79"/>
      <c r="D743" s="79"/>
      <c r="J743" s="79"/>
      <c r="O743" s="79"/>
      <c r="P743" s="79"/>
      <c r="S743" s="79"/>
      <c r="T743" s="79"/>
      <c r="W743" s="130"/>
      <c r="Y743" s="106"/>
    </row>
    <row r="744">
      <c r="C744" s="79"/>
      <c r="D744" s="79"/>
      <c r="J744" s="79"/>
      <c r="O744" s="79"/>
      <c r="P744" s="79"/>
      <c r="S744" s="79"/>
      <c r="T744" s="79"/>
      <c r="W744" s="130"/>
      <c r="Y744" s="106"/>
    </row>
    <row r="745">
      <c r="C745" s="79"/>
      <c r="D745" s="79"/>
      <c r="J745" s="79"/>
      <c r="O745" s="79"/>
      <c r="P745" s="79"/>
      <c r="S745" s="79"/>
      <c r="T745" s="79"/>
      <c r="W745" s="130"/>
      <c r="Y745" s="106"/>
    </row>
    <row r="746">
      <c r="C746" s="79"/>
      <c r="D746" s="79"/>
      <c r="J746" s="79"/>
      <c r="O746" s="79"/>
      <c r="P746" s="79"/>
      <c r="S746" s="79"/>
      <c r="T746" s="79"/>
      <c r="W746" s="130"/>
      <c r="Y746" s="106"/>
    </row>
    <row r="747">
      <c r="C747" s="79"/>
      <c r="D747" s="79"/>
      <c r="J747" s="79"/>
      <c r="O747" s="79"/>
      <c r="P747" s="79"/>
      <c r="S747" s="79"/>
      <c r="T747" s="79"/>
      <c r="W747" s="130"/>
      <c r="Y747" s="106"/>
    </row>
    <row r="748">
      <c r="C748" s="79"/>
      <c r="D748" s="79"/>
      <c r="J748" s="79"/>
      <c r="O748" s="79"/>
      <c r="P748" s="79"/>
      <c r="S748" s="79"/>
      <c r="T748" s="79"/>
      <c r="W748" s="130"/>
      <c r="Y748" s="106"/>
    </row>
    <row r="749">
      <c r="C749" s="79"/>
      <c r="D749" s="79"/>
      <c r="J749" s="79"/>
      <c r="O749" s="79"/>
      <c r="P749" s="79"/>
      <c r="S749" s="79"/>
      <c r="T749" s="79"/>
      <c r="W749" s="130"/>
      <c r="Y749" s="106"/>
    </row>
    <row r="750">
      <c r="C750" s="79"/>
      <c r="D750" s="79"/>
      <c r="J750" s="79"/>
      <c r="O750" s="79"/>
      <c r="P750" s="79"/>
      <c r="S750" s="79"/>
      <c r="T750" s="79"/>
      <c r="W750" s="130"/>
      <c r="Y750" s="106"/>
    </row>
    <row r="751">
      <c r="C751" s="79"/>
      <c r="D751" s="79"/>
      <c r="J751" s="79"/>
      <c r="O751" s="79"/>
      <c r="P751" s="79"/>
      <c r="S751" s="79"/>
      <c r="T751" s="79"/>
      <c r="W751" s="130"/>
      <c r="Y751" s="106"/>
    </row>
    <row r="752">
      <c r="C752" s="79"/>
      <c r="D752" s="79"/>
      <c r="J752" s="79"/>
      <c r="O752" s="79"/>
      <c r="P752" s="79"/>
      <c r="S752" s="79"/>
      <c r="T752" s="79"/>
      <c r="W752" s="130"/>
      <c r="Y752" s="106"/>
    </row>
    <row r="753">
      <c r="C753" s="79"/>
      <c r="D753" s="79"/>
      <c r="J753" s="79"/>
      <c r="O753" s="79"/>
      <c r="P753" s="79"/>
      <c r="S753" s="79"/>
      <c r="T753" s="79"/>
      <c r="W753" s="130"/>
      <c r="Y753" s="106"/>
    </row>
    <row r="754">
      <c r="C754" s="79"/>
      <c r="D754" s="79"/>
      <c r="J754" s="79"/>
      <c r="O754" s="79"/>
      <c r="P754" s="79"/>
      <c r="S754" s="79"/>
      <c r="T754" s="79"/>
      <c r="W754" s="130"/>
      <c r="Y754" s="106"/>
    </row>
    <row r="755">
      <c r="C755" s="79"/>
      <c r="D755" s="79"/>
      <c r="J755" s="79"/>
      <c r="O755" s="79"/>
      <c r="P755" s="79"/>
      <c r="S755" s="79"/>
      <c r="T755" s="79"/>
      <c r="W755" s="130"/>
      <c r="Y755" s="106"/>
    </row>
    <row r="756">
      <c r="C756" s="79"/>
      <c r="D756" s="79"/>
      <c r="J756" s="79"/>
      <c r="O756" s="79"/>
      <c r="P756" s="79"/>
      <c r="S756" s="79"/>
      <c r="T756" s="79"/>
      <c r="W756" s="130"/>
      <c r="Y756" s="106"/>
    </row>
    <row r="757">
      <c r="C757" s="79"/>
      <c r="D757" s="79"/>
      <c r="J757" s="79"/>
      <c r="O757" s="79"/>
      <c r="P757" s="79"/>
      <c r="S757" s="79"/>
      <c r="T757" s="79"/>
      <c r="W757" s="130"/>
      <c r="Y757" s="106"/>
    </row>
    <row r="758">
      <c r="C758" s="79"/>
      <c r="D758" s="79"/>
      <c r="J758" s="79"/>
      <c r="O758" s="79"/>
      <c r="P758" s="79"/>
      <c r="S758" s="79"/>
      <c r="T758" s="79"/>
      <c r="W758" s="130"/>
      <c r="Y758" s="106"/>
    </row>
    <row r="759">
      <c r="C759" s="79"/>
      <c r="D759" s="79"/>
      <c r="J759" s="79"/>
      <c r="O759" s="79"/>
      <c r="P759" s="79"/>
      <c r="S759" s="79"/>
      <c r="T759" s="79"/>
      <c r="W759" s="130"/>
      <c r="Y759" s="106"/>
    </row>
    <row r="760">
      <c r="C760" s="79"/>
      <c r="D760" s="79"/>
      <c r="J760" s="79"/>
      <c r="O760" s="79"/>
      <c r="P760" s="79"/>
      <c r="S760" s="79"/>
      <c r="T760" s="79"/>
      <c r="W760" s="130"/>
      <c r="Y760" s="106"/>
    </row>
    <row r="761">
      <c r="C761" s="79"/>
      <c r="D761" s="79"/>
      <c r="J761" s="79"/>
      <c r="O761" s="79"/>
      <c r="P761" s="79"/>
      <c r="S761" s="79"/>
      <c r="T761" s="79"/>
      <c r="W761" s="130"/>
      <c r="Y761" s="106"/>
    </row>
    <row r="762">
      <c r="C762" s="79"/>
      <c r="D762" s="79"/>
      <c r="J762" s="79"/>
      <c r="O762" s="79"/>
      <c r="P762" s="79"/>
      <c r="S762" s="79"/>
      <c r="T762" s="79"/>
      <c r="W762" s="130"/>
      <c r="Y762" s="106"/>
    </row>
    <row r="763">
      <c r="C763" s="79"/>
      <c r="D763" s="79"/>
      <c r="J763" s="79"/>
      <c r="O763" s="79"/>
      <c r="P763" s="79"/>
      <c r="S763" s="79"/>
      <c r="T763" s="79"/>
      <c r="W763" s="130"/>
      <c r="Y763" s="106"/>
    </row>
    <row r="764">
      <c r="C764" s="79"/>
      <c r="D764" s="79"/>
      <c r="J764" s="79"/>
      <c r="O764" s="79"/>
      <c r="P764" s="79"/>
      <c r="S764" s="79"/>
      <c r="T764" s="79"/>
      <c r="W764" s="130"/>
      <c r="Y764" s="106"/>
    </row>
    <row r="765">
      <c r="C765" s="79"/>
      <c r="D765" s="79"/>
      <c r="J765" s="79"/>
      <c r="O765" s="79"/>
      <c r="P765" s="79"/>
      <c r="S765" s="79"/>
      <c r="T765" s="79"/>
      <c r="W765" s="130"/>
      <c r="Y765" s="106"/>
    </row>
    <row r="766">
      <c r="C766" s="79"/>
      <c r="D766" s="79"/>
      <c r="J766" s="79"/>
      <c r="O766" s="79"/>
      <c r="P766" s="79"/>
      <c r="S766" s="79"/>
      <c r="T766" s="79"/>
      <c r="W766" s="130"/>
      <c r="Y766" s="106"/>
    </row>
    <row r="767">
      <c r="C767" s="79"/>
      <c r="D767" s="79"/>
      <c r="J767" s="79"/>
      <c r="O767" s="79"/>
      <c r="P767" s="79"/>
      <c r="S767" s="79"/>
      <c r="T767" s="79"/>
      <c r="W767" s="130"/>
      <c r="Y767" s="106"/>
    </row>
    <row r="768">
      <c r="C768" s="79"/>
      <c r="D768" s="79"/>
      <c r="J768" s="79"/>
      <c r="O768" s="79"/>
      <c r="P768" s="79"/>
      <c r="S768" s="79"/>
      <c r="T768" s="79"/>
      <c r="W768" s="130"/>
      <c r="Y768" s="106"/>
    </row>
    <row r="769">
      <c r="C769" s="79"/>
      <c r="D769" s="79"/>
      <c r="J769" s="79"/>
      <c r="O769" s="79"/>
      <c r="P769" s="79"/>
      <c r="S769" s="79"/>
      <c r="T769" s="79"/>
      <c r="W769" s="130"/>
      <c r="Y769" s="106"/>
    </row>
    <row r="770">
      <c r="C770" s="79"/>
      <c r="D770" s="79"/>
      <c r="J770" s="79"/>
      <c r="O770" s="79"/>
      <c r="P770" s="79"/>
      <c r="S770" s="79"/>
      <c r="T770" s="79"/>
      <c r="W770" s="130"/>
      <c r="Y770" s="106"/>
    </row>
    <row r="771">
      <c r="C771" s="79"/>
      <c r="D771" s="79"/>
      <c r="J771" s="79"/>
      <c r="O771" s="79"/>
      <c r="P771" s="79"/>
      <c r="S771" s="79"/>
      <c r="T771" s="79"/>
      <c r="W771" s="130"/>
      <c r="Y771" s="106"/>
    </row>
    <row r="772">
      <c r="C772" s="79"/>
      <c r="D772" s="79"/>
      <c r="J772" s="79"/>
      <c r="O772" s="79"/>
      <c r="P772" s="79"/>
      <c r="S772" s="79"/>
      <c r="T772" s="79"/>
      <c r="W772" s="130"/>
      <c r="Y772" s="106"/>
    </row>
    <row r="773">
      <c r="C773" s="79"/>
      <c r="D773" s="79"/>
      <c r="J773" s="79"/>
      <c r="O773" s="79"/>
      <c r="P773" s="79"/>
      <c r="S773" s="79"/>
      <c r="T773" s="79"/>
      <c r="W773" s="130"/>
      <c r="Y773" s="106"/>
    </row>
    <row r="774">
      <c r="C774" s="79"/>
      <c r="D774" s="79"/>
      <c r="J774" s="79"/>
      <c r="O774" s="79"/>
      <c r="P774" s="79"/>
      <c r="S774" s="79"/>
      <c r="T774" s="79"/>
      <c r="W774" s="130"/>
      <c r="Y774" s="106"/>
    </row>
    <row r="775">
      <c r="C775" s="79"/>
      <c r="D775" s="79"/>
      <c r="J775" s="79"/>
      <c r="O775" s="79"/>
      <c r="P775" s="79"/>
      <c r="S775" s="79"/>
      <c r="T775" s="79"/>
      <c r="W775" s="130"/>
      <c r="Y775" s="106"/>
    </row>
    <row r="776">
      <c r="C776" s="79"/>
      <c r="D776" s="79"/>
      <c r="J776" s="79"/>
      <c r="O776" s="79"/>
      <c r="P776" s="79"/>
      <c r="S776" s="79"/>
      <c r="T776" s="79"/>
      <c r="W776" s="130"/>
      <c r="Y776" s="106"/>
    </row>
    <row r="777">
      <c r="C777" s="79"/>
      <c r="D777" s="79"/>
      <c r="J777" s="79"/>
      <c r="O777" s="79"/>
      <c r="P777" s="79"/>
      <c r="S777" s="79"/>
      <c r="T777" s="79"/>
      <c r="W777" s="130"/>
      <c r="Y777" s="106"/>
    </row>
    <row r="778">
      <c r="C778" s="79"/>
      <c r="D778" s="79"/>
      <c r="J778" s="79"/>
      <c r="O778" s="79"/>
      <c r="P778" s="79"/>
      <c r="S778" s="79"/>
      <c r="T778" s="79"/>
      <c r="W778" s="130"/>
      <c r="Y778" s="106"/>
    </row>
    <row r="779">
      <c r="C779" s="79"/>
      <c r="D779" s="79"/>
      <c r="J779" s="79"/>
      <c r="O779" s="79"/>
      <c r="P779" s="79"/>
      <c r="S779" s="79"/>
      <c r="T779" s="79"/>
      <c r="W779" s="130"/>
      <c r="Y779" s="106"/>
    </row>
    <row r="780">
      <c r="C780" s="79"/>
      <c r="D780" s="79"/>
      <c r="J780" s="79"/>
      <c r="O780" s="79"/>
      <c r="P780" s="79"/>
      <c r="S780" s="79"/>
      <c r="T780" s="79"/>
      <c r="W780" s="130"/>
      <c r="Y780" s="106"/>
    </row>
    <row r="781">
      <c r="C781" s="79"/>
      <c r="D781" s="79"/>
      <c r="J781" s="79"/>
      <c r="O781" s="79"/>
      <c r="P781" s="79"/>
      <c r="S781" s="79"/>
      <c r="T781" s="79"/>
      <c r="W781" s="130"/>
      <c r="Y781" s="106"/>
    </row>
    <row r="782">
      <c r="C782" s="79"/>
      <c r="D782" s="79"/>
      <c r="J782" s="79"/>
      <c r="O782" s="79"/>
      <c r="P782" s="79"/>
      <c r="S782" s="79"/>
      <c r="T782" s="79"/>
      <c r="W782" s="130"/>
      <c r="Y782" s="106"/>
    </row>
    <row r="783">
      <c r="C783" s="79"/>
      <c r="D783" s="79"/>
      <c r="J783" s="79"/>
      <c r="O783" s="79"/>
      <c r="P783" s="79"/>
      <c r="S783" s="79"/>
      <c r="T783" s="79"/>
      <c r="W783" s="130"/>
      <c r="Y783" s="106"/>
    </row>
    <row r="784">
      <c r="C784" s="79"/>
      <c r="D784" s="79"/>
      <c r="J784" s="79"/>
      <c r="O784" s="79"/>
      <c r="P784" s="79"/>
      <c r="S784" s="79"/>
      <c r="T784" s="79"/>
      <c r="W784" s="130"/>
      <c r="Y784" s="106"/>
    </row>
    <row r="785">
      <c r="C785" s="79"/>
      <c r="D785" s="79"/>
      <c r="J785" s="79"/>
      <c r="O785" s="79"/>
      <c r="P785" s="79"/>
      <c r="S785" s="79"/>
      <c r="T785" s="79"/>
      <c r="W785" s="130"/>
      <c r="Y785" s="106"/>
    </row>
    <row r="786">
      <c r="C786" s="79"/>
      <c r="D786" s="79"/>
      <c r="J786" s="79"/>
      <c r="O786" s="79"/>
      <c r="P786" s="79"/>
      <c r="S786" s="79"/>
      <c r="T786" s="79"/>
      <c r="W786" s="130"/>
      <c r="Y786" s="106"/>
    </row>
    <row r="787">
      <c r="C787" s="79"/>
      <c r="D787" s="79"/>
      <c r="J787" s="79"/>
      <c r="O787" s="79"/>
      <c r="P787" s="79"/>
      <c r="S787" s="79"/>
      <c r="T787" s="79"/>
      <c r="W787" s="130"/>
      <c r="Y787" s="106"/>
    </row>
    <row r="788">
      <c r="C788" s="79"/>
      <c r="D788" s="79"/>
      <c r="J788" s="79"/>
      <c r="O788" s="79"/>
      <c r="P788" s="79"/>
      <c r="S788" s="79"/>
      <c r="T788" s="79"/>
      <c r="W788" s="130"/>
      <c r="Y788" s="106"/>
    </row>
    <row r="789">
      <c r="C789" s="79"/>
      <c r="D789" s="79"/>
      <c r="J789" s="79"/>
      <c r="O789" s="79"/>
      <c r="P789" s="79"/>
      <c r="S789" s="79"/>
      <c r="T789" s="79"/>
      <c r="W789" s="130"/>
      <c r="Y789" s="106"/>
    </row>
    <row r="790">
      <c r="C790" s="79"/>
      <c r="D790" s="79"/>
      <c r="J790" s="79"/>
      <c r="O790" s="79"/>
      <c r="P790" s="79"/>
      <c r="S790" s="79"/>
      <c r="T790" s="79"/>
      <c r="W790" s="130"/>
      <c r="Y790" s="106"/>
    </row>
    <row r="791">
      <c r="C791" s="79"/>
      <c r="D791" s="79"/>
      <c r="J791" s="79"/>
      <c r="O791" s="79"/>
      <c r="P791" s="79"/>
      <c r="S791" s="79"/>
      <c r="T791" s="79"/>
      <c r="W791" s="130"/>
      <c r="Y791" s="106"/>
    </row>
    <row r="792">
      <c r="C792" s="79"/>
      <c r="D792" s="79"/>
      <c r="J792" s="79"/>
      <c r="O792" s="79"/>
      <c r="P792" s="79"/>
      <c r="S792" s="79"/>
      <c r="T792" s="79"/>
      <c r="W792" s="130"/>
      <c r="Y792" s="106"/>
    </row>
    <row r="793">
      <c r="C793" s="79"/>
      <c r="D793" s="79"/>
      <c r="J793" s="79"/>
      <c r="O793" s="79"/>
      <c r="P793" s="79"/>
      <c r="S793" s="79"/>
      <c r="T793" s="79"/>
      <c r="W793" s="130"/>
      <c r="Y793" s="106"/>
    </row>
    <row r="794">
      <c r="C794" s="79"/>
      <c r="D794" s="79"/>
      <c r="J794" s="79"/>
      <c r="O794" s="79"/>
      <c r="P794" s="79"/>
      <c r="S794" s="79"/>
      <c r="T794" s="79"/>
      <c r="W794" s="130"/>
      <c r="Y794" s="106"/>
    </row>
    <row r="795">
      <c r="C795" s="79"/>
      <c r="D795" s="79"/>
      <c r="J795" s="79"/>
      <c r="O795" s="79"/>
      <c r="P795" s="79"/>
      <c r="S795" s="79"/>
      <c r="T795" s="79"/>
      <c r="W795" s="130"/>
      <c r="Y795" s="106"/>
    </row>
    <row r="796">
      <c r="C796" s="79"/>
      <c r="D796" s="79"/>
      <c r="J796" s="79"/>
      <c r="O796" s="79"/>
      <c r="P796" s="79"/>
      <c r="S796" s="79"/>
      <c r="T796" s="79"/>
      <c r="W796" s="130"/>
      <c r="Y796" s="106"/>
    </row>
    <row r="797">
      <c r="C797" s="79"/>
      <c r="D797" s="79"/>
      <c r="J797" s="79"/>
      <c r="O797" s="79"/>
      <c r="P797" s="79"/>
      <c r="S797" s="79"/>
      <c r="T797" s="79"/>
      <c r="W797" s="130"/>
      <c r="Y797" s="106"/>
    </row>
    <row r="798">
      <c r="C798" s="79"/>
      <c r="D798" s="79"/>
      <c r="J798" s="79"/>
      <c r="O798" s="79"/>
      <c r="P798" s="79"/>
      <c r="S798" s="79"/>
      <c r="T798" s="79"/>
      <c r="W798" s="130"/>
      <c r="Y798" s="106"/>
    </row>
    <row r="799">
      <c r="C799" s="79"/>
      <c r="D799" s="79"/>
      <c r="J799" s="79"/>
      <c r="O799" s="79"/>
      <c r="P799" s="79"/>
      <c r="S799" s="79"/>
      <c r="T799" s="79"/>
      <c r="W799" s="130"/>
      <c r="Y799" s="106"/>
    </row>
    <row r="800">
      <c r="C800" s="79"/>
      <c r="D800" s="79"/>
      <c r="J800" s="79"/>
      <c r="O800" s="79"/>
      <c r="P800" s="79"/>
      <c r="S800" s="79"/>
      <c r="T800" s="79"/>
      <c r="W800" s="130"/>
      <c r="Y800" s="106"/>
    </row>
    <row r="801">
      <c r="C801" s="79"/>
      <c r="D801" s="79"/>
      <c r="J801" s="79"/>
      <c r="O801" s="79"/>
      <c r="P801" s="79"/>
      <c r="S801" s="79"/>
      <c r="T801" s="79"/>
      <c r="W801" s="130"/>
      <c r="Y801" s="106"/>
    </row>
    <row r="802">
      <c r="C802" s="79"/>
      <c r="D802" s="79"/>
      <c r="J802" s="79"/>
      <c r="O802" s="79"/>
      <c r="P802" s="79"/>
      <c r="S802" s="79"/>
      <c r="T802" s="79"/>
      <c r="W802" s="130"/>
      <c r="Y802" s="106"/>
    </row>
    <row r="803">
      <c r="C803" s="79"/>
      <c r="D803" s="79"/>
      <c r="J803" s="79"/>
      <c r="O803" s="79"/>
      <c r="P803" s="79"/>
      <c r="S803" s="79"/>
      <c r="T803" s="79"/>
      <c r="W803" s="130"/>
      <c r="Y803" s="106"/>
    </row>
    <row r="804">
      <c r="C804" s="79"/>
      <c r="D804" s="79"/>
      <c r="J804" s="79"/>
      <c r="O804" s="79"/>
      <c r="P804" s="79"/>
      <c r="S804" s="79"/>
      <c r="T804" s="79"/>
      <c r="W804" s="130"/>
      <c r="Y804" s="106"/>
    </row>
    <row r="805">
      <c r="C805" s="79"/>
      <c r="D805" s="79"/>
      <c r="J805" s="79"/>
      <c r="O805" s="79"/>
      <c r="P805" s="79"/>
      <c r="S805" s="79"/>
      <c r="T805" s="79"/>
      <c r="W805" s="130"/>
      <c r="Y805" s="106"/>
    </row>
    <row r="806">
      <c r="C806" s="79"/>
      <c r="D806" s="79"/>
      <c r="J806" s="79"/>
      <c r="O806" s="79"/>
      <c r="P806" s="79"/>
      <c r="S806" s="79"/>
      <c r="T806" s="79"/>
      <c r="W806" s="130"/>
      <c r="Y806" s="106"/>
    </row>
    <row r="807">
      <c r="C807" s="79"/>
      <c r="D807" s="79"/>
      <c r="J807" s="79"/>
      <c r="O807" s="79"/>
      <c r="P807" s="79"/>
      <c r="S807" s="79"/>
      <c r="T807" s="79"/>
      <c r="W807" s="130"/>
      <c r="Y807" s="106"/>
    </row>
    <row r="808">
      <c r="C808" s="79"/>
      <c r="D808" s="79"/>
      <c r="J808" s="79"/>
      <c r="O808" s="79"/>
      <c r="P808" s="79"/>
      <c r="S808" s="79"/>
      <c r="T808" s="79"/>
      <c r="W808" s="130"/>
      <c r="Y808" s="106"/>
    </row>
    <row r="809">
      <c r="C809" s="79"/>
      <c r="D809" s="79"/>
      <c r="J809" s="79"/>
      <c r="O809" s="79"/>
      <c r="P809" s="79"/>
      <c r="S809" s="79"/>
      <c r="T809" s="79"/>
      <c r="W809" s="130"/>
      <c r="Y809" s="106"/>
    </row>
    <row r="810">
      <c r="C810" s="79"/>
      <c r="D810" s="79"/>
      <c r="J810" s="79"/>
      <c r="O810" s="79"/>
      <c r="P810" s="79"/>
      <c r="S810" s="79"/>
      <c r="T810" s="79"/>
      <c r="W810" s="130"/>
      <c r="Y810" s="106"/>
    </row>
    <row r="811">
      <c r="C811" s="79"/>
      <c r="D811" s="79"/>
      <c r="J811" s="79"/>
      <c r="O811" s="79"/>
      <c r="P811" s="79"/>
      <c r="S811" s="79"/>
      <c r="T811" s="79"/>
      <c r="W811" s="130"/>
      <c r="Y811" s="106"/>
    </row>
    <row r="812">
      <c r="C812" s="79"/>
      <c r="D812" s="79"/>
      <c r="J812" s="79"/>
      <c r="O812" s="79"/>
      <c r="P812" s="79"/>
      <c r="S812" s="79"/>
      <c r="T812" s="79"/>
      <c r="W812" s="130"/>
      <c r="Y812" s="106"/>
    </row>
    <row r="813">
      <c r="C813" s="79"/>
      <c r="D813" s="79"/>
      <c r="J813" s="79"/>
      <c r="O813" s="79"/>
      <c r="P813" s="79"/>
      <c r="S813" s="79"/>
      <c r="T813" s="79"/>
      <c r="W813" s="130"/>
      <c r="Y813" s="106"/>
    </row>
    <row r="814">
      <c r="C814" s="79"/>
      <c r="D814" s="79"/>
      <c r="J814" s="79"/>
      <c r="O814" s="79"/>
      <c r="P814" s="79"/>
      <c r="S814" s="79"/>
      <c r="T814" s="79"/>
      <c r="W814" s="130"/>
      <c r="Y814" s="106"/>
    </row>
    <row r="815">
      <c r="C815" s="79"/>
      <c r="D815" s="79"/>
      <c r="J815" s="79"/>
      <c r="O815" s="79"/>
      <c r="P815" s="79"/>
      <c r="S815" s="79"/>
      <c r="T815" s="79"/>
      <c r="W815" s="130"/>
      <c r="Y815" s="106"/>
    </row>
    <row r="816">
      <c r="C816" s="79"/>
      <c r="D816" s="79"/>
      <c r="J816" s="79"/>
      <c r="O816" s="79"/>
      <c r="P816" s="79"/>
      <c r="S816" s="79"/>
      <c r="T816" s="79"/>
      <c r="W816" s="130"/>
      <c r="Y816" s="106"/>
    </row>
    <row r="817">
      <c r="C817" s="79"/>
      <c r="D817" s="79"/>
      <c r="J817" s="79"/>
      <c r="O817" s="79"/>
      <c r="P817" s="79"/>
      <c r="S817" s="79"/>
      <c r="T817" s="79"/>
      <c r="W817" s="130"/>
      <c r="Y817" s="106"/>
    </row>
    <row r="818">
      <c r="C818" s="79"/>
      <c r="D818" s="79"/>
      <c r="J818" s="79"/>
      <c r="O818" s="79"/>
      <c r="P818" s="79"/>
      <c r="S818" s="79"/>
      <c r="T818" s="79"/>
      <c r="W818" s="130"/>
      <c r="Y818" s="106"/>
    </row>
    <row r="819">
      <c r="C819" s="79"/>
      <c r="D819" s="79"/>
      <c r="J819" s="79"/>
      <c r="O819" s="79"/>
      <c r="P819" s="79"/>
      <c r="S819" s="79"/>
      <c r="T819" s="79"/>
      <c r="W819" s="130"/>
      <c r="Y819" s="106"/>
    </row>
    <row r="820">
      <c r="C820" s="79"/>
      <c r="D820" s="79"/>
      <c r="J820" s="79"/>
      <c r="O820" s="79"/>
      <c r="P820" s="79"/>
      <c r="S820" s="79"/>
      <c r="T820" s="79"/>
      <c r="W820" s="130"/>
      <c r="Y820" s="106"/>
    </row>
    <row r="821">
      <c r="C821" s="79"/>
      <c r="D821" s="79"/>
      <c r="J821" s="79"/>
      <c r="O821" s="79"/>
      <c r="P821" s="79"/>
      <c r="S821" s="79"/>
      <c r="T821" s="79"/>
      <c r="W821" s="130"/>
      <c r="Y821" s="106"/>
    </row>
    <row r="822">
      <c r="C822" s="79"/>
      <c r="D822" s="79"/>
      <c r="J822" s="79"/>
      <c r="O822" s="79"/>
      <c r="P822" s="79"/>
      <c r="S822" s="79"/>
      <c r="T822" s="79"/>
      <c r="W822" s="130"/>
      <c r="Y822" s="106"/>
    </row>
    <row r="823">
      <c r="C823" s="79"/>
      <c r="D823" s="79"/>
      <c r="J823" s="79"/>
      <c r="O823" s="79"/>
      <c r="P823" s="79"/>
      <c r="S823" s="79"/>
      <c r="T823" s="79"/>
      <c r="W823" s="130"/>
      <c r="Y823" s="106"/>
    </row>
    <row r="824">
      <c r="C824" s="79"/>
      <c r="D824" s="79"/>
      <c r="J824" s="79"/>
      <c r="O824" s="79"/>
      <c r="P824" s="79"/>
      <c r="S824" s="79"/>
      <c r="T824" s="79"/>
      <c r="W824" s="130"/>
      <c r="Y824" s="106"/>
    </row>
    <row r="825">
      <c r="C825" s="79"/>
      <c r="D825" s="79"/>
      <c r="J825" s="79"/>
      <c r="O825" s="79"/>
      <c r="P825" s="79"/>
      <c r="S825" s="79"/>
      <c r="T825" s="79"/>
      <c r="W825" s="130"/>
      <c r="Y825" s="106"/>
    </row>
    <row r="826">
      <c r="C826" s="79"/>
      <c r="D826" s="79"/>
      <c r="J826" s="79"/>
      <c r="O826" s="79"/>
      <c r="P826" s="79"/>
      <c r="S826" s="79"/>
      <c r="T826" s="79"/>
      <c r="W826" s="130"/>
      <c r="Y826" s="106"/>
    </row>
    <row r="827">
      <c r="C827" s="79"/>
      <c r="D827" s="79"/>
      <c r="J827" s="79"/>
      <c r="O827" s="79"/>
      <c r="P827" s="79"/>
      <c r="S827" s="79"/>
      <c r="T827" s="79"/>
      <c r="W827" s="130"/>
      <c r="Y827" s="106"/>
    </row>
    <row r="828">
      <c r="C828" s="79"/>
      <c r="D828" s="79"/>
      <c r="J828" s="79"/>
      <c r="O828" s="79"/>
      <c r="P828" s="79"/>
      <c r="S828" s="79"/>
      <c r="T828" s="79"/>
      <c r="W828" s="130"/>
      <c r="Y828" s="106"/>
    </row>
    <row r="829">
      <c r="C829" s="79"/>
      <c r="D829" s="79"/>
      <c r="J829" s="79"/>
      <c r="O829" s="79"/>
      <c r="P829" s="79"/>
      <c r="S829" s="79"/>
      <c r="T829" s="79"/>
      <c r="W829" s="130"/>
      <c r="Y829" s="106"/>
    </row>
    <row r="830">
      <c r="C830" s="79"/>
      <c r="D830" s="79"/>
      <c r="J830" s="79"/>
      <c r="O830" s="79"/>
      <c r="P830" s="79"/>
      <c r="S830" s="79"/>
      <c r="T830" s="79"/>
      <c r="W830" s="130"/>
      <c r="Y830" s="106"/>
    </row>
    <row r="831">
      <c r="C831" s="79"/>
      <c r="D831" s="79"/>
      <c r="J831" s="79"/>
      <c r="O831" s="79"/>
      <c r="P831" s="79"/>
      <c r="S831" s="79"/>
      <c r="T831" s="79"/>
      <c r="W831" s="130"/>
      <c r="Y831" s="106"/>
    </row>
    <row r="832">
      <c r="C832" s="79"/>
      <c r="D832" s="79"/>
      <c r="J832" s="79"/>
      <c r="O832" s="79"/>
      <c r="P832" s="79"/>
      <c r="S832" s="79"/>
      <c r="T832" s="79"/>
      <c r="W832" s="130"/>
      <c r="Y832" s="106"/>
    </row>
    <row r="833">
      <c r="C833" s="79"/>
      <c r="D833" s="79"/>
      <c r="J833" s="79"/>
      <c r="O833" s="79"/>
      <c r="P833" s="79"/>
      <c r="S833" s="79"/>
      <c r="T833" s="79"/>
      <c r="W833" s="130"/>
      <c r="Y833" s="106"/>
    </row>
    <row r="834">
      <c r="C834" s="79"/>
      <c r="D834" s="79"/>
      <c r="J834" s="79"/>
      <c r="O834" s="79"/>
      <c r="P834" s="79"/>
      <c r="S834" s="79"/>
      <c r="T834" s="79"/>
      <c r="W834" s="130"/>
      <c r="Y834" s="106"/>
    </row>
    <row r="835">
      <c r="C835" s="79"/>
      <c r="D835" s="79"/>
      <c r="J835" s="79"/>
      <c r="O835" s="79"/>
      <c r="P835" s="79"/>
      <c r="S835" s="79"/>
      <c r="T835" s="79"/>
      <c r="W835" s="130"/>
      <c r="Y835" s="106"/>
    </row>
    <row r="836">
      <c r="C836" s="79"/>
      <c r="D836" s="79"/>
      <c r="J836" s="79"/>
      <c r="O836" s="79"/>
      <c r="P836" s="79"/>
      <c r="S836" s="79"/>
      <c r="T836" s="79"/>
      <c r="W836" s="130"/>
      <c r="Y836" s="106"/>
    </row>
    <row r="837">
      <c r="C837" s="79"/>
      <c r="D837" s="79"/>
      <c r="J837" s="79"/>
      <c r="O837" s="79"/>
      <c r="P837" s="79"/>
      <c r="S837" s="79"/>
      <c r="T837" s="79"/>
      <c r="W837" s="130"/>
      <c r="Y837" s="106"/>
    </row>
    <row r="838">
      <c r="C838" s="79"/>
      <c r="D838" s="79"/>
      <c r="J838" s="79"/>
      <c r="O838" s="79"/>
      <c r="P838" s="79"/>
      <c r="S838" s="79"/>
      <c r="T838" s="79"/>
      <c r="W838" s="130"/>
      <c r="Y838" s="106"/>
    </row>
    <row r="839">
      <c r="C839" s="79"/>
      <c r="D839" s="79"/>
      <c r="J839" s="79"/>
      <c r="O839" s="79"/>
      <c r="P839" s="79"/>
      <c r="S839" s="79"/>
      <c r="T839" s="79"/>
      <c r="W839" s="130"/>
      <c r="Y839" s="106"/>
    </row>
    <row r="840">
      <c r="C840" s="79"/>
      <c r="D840" s="79"/>
      <c r="J840" s="79"/>
      <c r="O840" s="79"/>
      <c r="P840" s="79"/>
      <c r="S840" s="79"/>
      <c r="T840" s="79"/>
      <c r="W840" s="130"/>
      <c r="Y840" s="106"/>
    </row>
    <row r="841">
      <c r="C841" s="79"/>
      <c r="D841" s="79"/>
      <c r="J841" s="79"/>
      <c r="O841" s="79"/>
      <c r="P841" s="79"/>
      <c r="S841" s="79"/>
      <c r="T841" s="79"/>
      <c r="W841" s="130"/>
      <c r="Y841" s="106"/>
    </row>
    <row r="842">
      <c r="C842" s="79"/>
      <c r="D842" s="79"/>
      <c r="J842" s="79"/>
      <c r="O842" s="79"/>
      <c r="P842" s="79"/>
      <c r="S842" s="79"/>
      <c r="T842" s="79"/>
      <c r="W842" s="130"/>
      <c r="Y842" s="106"/>
    </row>
    <row r="843">
      <c r="C843" s="79"/>
      <c r="D843" s="79"/>
      <c r="J843" s="79"/>
      <c r="O843" s="79"/>
      <c r="P843" s="79"/>
      <c r="S843" s="79"/>
      <c r="T843" s="79"/>
      <c r="W843" s="130"/>
      <c r="Y843" s="106"/>
    </row>
    <row r="844">
      <c r="C844" s="79"/>
      <c r="D844" s="79"/>
      <c r="J844" s="79"/>
      <c r="O844" s="79"/>
      <c r="P844" s="79"/>
      <c r="S844" s="79"/>
      <c r="T844" s="79"/>
      <c r="W844" s="130"/>
      <c r="Y844" s="106"/>
    </row>
    <row r="845">
      <c r="C845" s="79"/>
      <c r="D845" s="79"/>
      <c r="J845" s="79"/>
      <c r="O845" s="79"/>
      <c r="P845" s="79"/>
      <c r="S845" s="79"/>
      <c r="T845" s="79"/>
      <c r="W845" s="130"/>
      <c r="Y845" s="106"/>
    </row>
    <row r="846">
      <c r="C846" s="79"/>
      <c r="D846" s="79"/>
      <c r="J846" s="79"/>
      <c r="O846" s="79"/>
      <c r="P846" s="79"/>
      <c r="S846" s="79"/>
      <c r="T846" s="79"/>
      <c r="W846" s="130"/>
      <c r="Y846" s="106"/>
    </row>
    <row r="847">
      <c r="C847" s="79"/>
      <c r="D847" s="79"/>
      <c r="J847" s="79"/>
      <c r="O847" s="79"/>
      <c r="P847" s="79"/>
      <c r="S847" s="79"/>
      <c r="T847" s="79"/>
      <c r="W847" s="130"/>
      <c r="Y847" s="106"/>
    </row>
    <row r="848">
      <c r="C848" s="79"/>
      <c r="D848" s="79"/>
      <c r="J848" s="79"/>
      <c r="O848" s="79"/>
      <c r="P848" s="79"/>
      <c r="S848" s="79"/>
      <c r="T848" s="79"/>
      <c r="W848" s="130"/>
      <c r="Y848" s="106"/>
    </row>
    <row r="849">
      <c r="C849" s="79"/>
      <c r="D849" s="79"/>
      <c r="J849" s="79"/>
      <c r="O849" s="79"/>
      <c r="P849" s="79"/>
      <c r="S849" s="79"/>
      <c r="T849" s="79"/>
      <c r="W849" s="130"/>
      <c r="Y849" s="106"/>
    </row>
    <row r="850">
      <c r="C850" s="79"/>
      <c r="D850" s="79"/>
      <c r="J850" s="79"/>
      <c r="O850" s="79"/>
      <c r="P850" s="79"/>
      <c r="S850" s="79"/>
      <c r="T850" s="79"/>
      <c r="W850" s="130"/>
      <c r="Y850" s="106"/>
    </row>
    <row r="851">
      <c r="C851" s="79"/>
      <c r="D851" s="79"/>
      <c r="J851" s="79"/>
      <c r="O851" s="79"/>
      <c r="P851" s="79"/>
      <c r="S851" s="79"/>
      <c r="T851" s="79"/>
      <c r="W851" s="130"/>
      <c r="Y851" s="106"/>
    </row>
    <row r="852">
      <c r="C852" s="79"/>
      <c r="D852" s="79"/>
      <c r="J852" s="79"/>
      <c r="O852" s="79"/>
      <c r="P852" s="79"/>
      <c r="S852" s="79"/>
      <c r="T852" s="79"/>
      <c r="W852" s="130"/>
      <c r="Y852" s="106"/>
    </row>
    <row r="853">
      <c r="C853" s="79"/>
      <c r="D853" s="79"/>
      <c r="J853" s="79"/>
      <c r="O853" s="79"/>
      <c r="P853" s="79"/>
      <c r="S853" s="79"/>
      <c r="T853" s="79"/>
      <c r="W853" s="130"/>
      <c r="Y853" s="106"/>
    </row>
    <row r="854">
      <c r="C854" s="79"/>
      <c r="D854" s="79"/>
      <c r="J854" s="79"/>
      <c r="O854" s="79"/>
      <c r="P854" s="79"/>
      <c r="S854" s="79"/>
      <c r="T854" s="79"/>
      <c r="W854" s="130"/>
      <c r="Y854" s="106"/>
    </row>
    <row r="855">
      <c r="C855" s="79"/>
      <c r="D855" s="79"/>
      <c r="J855" s="79"/>
      <c r="O855" s="79"/>
      <c r="P855" s="79"/>
      <c r="S855" s="79"/>
      <c r="T855" s="79"/>
      <c r="W855" s="130"/>
      <c r="Y855" s="106"/>
    </row>
    <row r="856">
      <c r="C856" s="79"/>
      <c r="D856" s="79"/>
      <c r="J856" s="79"/>
      <c r="O856" s="79"/>
      <c r="P856" s="79"/>
      <c r="S856" s="79"/>
      <c r="T856" s="79"/>
      <c r="W856" s="130"/>
      <c r="Y856" s="106"/>
    </row>
    <row r="857">
      <c r="C857" s="79"/>
      <c r="D857" s="79"/>
      <c r="J857" s="79"/>
      <c r="O857" s="79"/>
      <c r="P857" s="79"/>
      <c r="S857" s="79"/>
      <c r="T857" s="79"/>
      <c r="W857" s="130"/>
      <c r="Y857" s="106"/>
    </row>
    <row r="858">
      <c r="C858" s="79"/>
      <c r="D858" s="79"/>
      <c r="J858" s="79"/>
      <c r="O858" s="79"/>
      <c r="P858" s="79"/>
      <c r="S858" s="79"/>
      <c r="T858" s="79"/>
      <c r="W858" s="130"/>
      <c r="Y858" s="106"/>
    </row>
    <row r="859">
      <c r="C859" s="79"/>
      <c r="D859" s="79"/>
      <c r="J859" s="79"/>
      <c r="O859" s="79"/>
      <c r="P859" s="79"/>
      <c r="S859" s="79"/>
      <c r="T859" s="79"/>
      <c r="W859" s="130"/>
      <c r="Y859" s="106"/>
    </row>
    <row r="860">
      <c r="C860" s="79"/>
      <c r="D860" s="79"/>
      <c r="J860" s="79"/>
      <c r="O860" s="79"/>
      <c r="P860" s="79"/>
      <c r="S860" s="79"/>
      <c r="T860" s="79"/>
      <c r="W860" s="130"/>
      <c r="Y860" s="106"/>
    </row>
    <row r="861">
      <c r="C861" s="79"/>
      <c r="D861" s="79"/>
      <c r="J861" s="79"/>
      <c r="O861" s="79"/>
      <c r="P861" s="79"/>
      <c r="S861" s="79"/>
      <c r="T861" s="79"/>
      <c r="W861" s="130"/>
      <c r="Y861" s="106"/>
    </row>
    <row r="862">
      <c r="C862" s="79"/>
      <c r="D862" s="79"/>
      <c r="J862" s="79"/>
      <c r="O862" s="79"/>
      <c r="P862" s="79"/>
      <c r="S862" s="79"/>
      <c r="T862" s="79"/>
      <c r="W862" s="130"/>
      <c r="Y862" s="106"/>
    </row>
    <row r="863">
      <c r="C863" s="79"/>
      <c r="D863" s="79"/>
      <c r="J863" s="79"/>
      <c r="O863" s="79"/>
      <c r="P863" s="79"/>
      <c r="S863" s="79"/>
      <c r="T863" s="79"/>
      <c r="W863" s="130"/>
      <c r="Y863" s="106"/>
    </row>
    <row r="864">
      <c r="C864" s="79"/>
      <c r="D864" s="79"/>
      <c r="J864" s="79"/>
      <c r="O864" s="79"/>
      <c r="P864" s="79"/>
      <c r="S864" s="79"/>
      <c r="T864" s="79"/>
      <c r="W864" s="130"/>
      <c r="Y864" s="106"/>
    </row>
    <row r="865">
      <c r="C865" s="79"/>
      <c r="D865" s="79"/>
      <c r="J865" s="79"/>
      <c r="O865" s="79"/>
      <c r="P865" s="79"/>
      <c r="S865" s="79"/>
      <c r="T865" s="79"/>
      <c r="W865" s="130"/>
      <c r="Y865" s="106"/>
    </row>
    <row r="866">
      <c r="C866" s="79"/>
      <c r="D866" s="79"/>
      <c r="J866" s="79"/>
      <c r="O866" s="79"/>
      <c r="P866" s="79"/>
      <c r="S866" s="79"/>
      <c r="T866" s="79"/>
      <c r="W866" s="130"/>
      <c r="Y866" s="106"/>
    </row>
    <row r="867">
      <c r="C867" s="79"/>
      <c r="D867" s="79"/>
      <c r="J867" s="79"/>
      <c r="O867" s="79"/>
      <c r="P867" s="79"/>
      <c r="S867" s="79"/>
      <c r="T867" s="79"/>
      <c r="W867" s="130"/>
      <c r="Y867" s="106"/>
    </row>
    <row r="868">
      <c r="C868" s="79"/>
      <c r="D868" s="79"/>
      <c r="J868" s="79"/>
      <c r="O868" s="79"/>
      <c r="P868" s="79"/>
      <c r="S868" s="79"/>
      <c r="T868" s="79"/>
      <c r="W868" s="130"/>
      <c r="Y868" s="106"/>
    </row>
    <row r="869">
      <c r="C869" s="79"/>
      <c r="D869" s="79"/>
      <c r="J869" s="79"/>
      <c r="O869" s="79"/>
      <c r="P869" s="79"/>
      <c r="S869" s="79"/>
      <c r="T869" s="79"/>
      <c r="W869" s="130"/>
      <c r="Y869" s="106"/>
    </row>
    <row r="870">
      <c r="C870" s="79"/>
      <c r="D870" s="79"/>
      <c r="J870" s="79"/>
      <c r="O870" s="79"/>
      <c r="P870" s="79"/>
      <c r="S870" s="79"/>
      <c r="T870" s="79"/>
      <c r="W870" s="130"/>
      <c r="Y870" s="106"/>
    </row>
    <row r="871">
      <c r="C871" s="79"/>
      <c r="D871" s="79"/>
      <c r="J871" s="79"/>
      <c r="O871" s="79"/>
      <c r="P871" s="79"/>
      <c r="S871" s="79"/>
      <c r="T871" s="79"/>
      <c r="W871" s="130"/>
      <c r="Y871" s="106"/>
    </row>
    <row r="872">
      <c r="C872" s="79"/>
      <c r="D872" s="79"/>
      <c r="J872" s="79"/>
      <c r="O872" s="79"/>
      <c r="P872" s="79"/>
      <c r="S872" s="79"/>
      <c r="T872" s="79"/>
      <c r="W872" s="130"/>
      <c r="Y872" s="106"/>
    </row>
    <row r="873">
      <c r="C873" s="79"/>
      <c r="D873" s="79"/>
      <c r="J873" s="79"/>
      <c r="O873" s="79"/>
      <c r="P873" s="79"/>
      <c r="S873" s="79"/>
      <c r="T873" s="79"/>
      <c r="W873" s="130"/>
      <c r="Y873" s="106"/>
    </row>
    <row r="874">
      <c r="C874" s="79"/>
      <c r="D874" s="79"/>
      <c r="J874" s="79"/>
      <c r="O874" s="79"/>
      <c r="P874" s="79"/>
      <c r="S874" s="79"/>
      <c r="T874" s="79"/>
      <c r="W874" s="130"/>
      <c r="Y874" s="106"/>
    </row>
    <row r="875">
      <c r="C875" s="79"/>
      <c r="D875" s="79"/>
      <c r="J875" s="79"/>
      <c r="O875" s="79"/>
      <c r="P875" s="79"/>
      <c r="S875" s="79"/>
      <c r="T875" s="79"/>
      <c r="W875" s="130"/>
      <c r="Y875" s="106"/>
    </row>
    <row r="876">
      <c r="C876" s="79"/>
      <c r="D876" s="79"/>
      <c r="J876" s="79"/>
      <c r="O876" s="79"/>
      <c r="P876" s="79"/>
      <c r="S876" s="79"/>
      <c r="T876" s="79"/>
      <c r="W876" s="130"/>
      <c r="Y876" s="106"/>
    </row>
    <row r="877">
      <c r="C877" s="79"/>
      <c r="D877" s="79"/>
      <c r="J877" s="79"/>
      <c r="O877" s="79"/>
      <c r="P877" s="79"/>
      <c r="S877" s="79"/>
      <c r="T877" s="79"/>
      <c r="W877" s="130"/>
      <c r="Y877" s="106"/>
    </row>
    <row r="878">
      <c r="C878" s="79"/>
      <c r="D878" s="79"/>
      <c r="J878" s="79"/>
      <c r="O878" s="79"/>
      <c r="P878" s="79"/>
      <c r="S878" s="79"/>
      <c r="T878" s="79"/>
      <c r="W878" s="130"/>
      <c r="Y878" s="106"/>
    </row>
    <row r="879">
      <c r="C879" s="79"/>
      <c r="D879" s="79"/>
      <c r="J879" s="79"/>
      <c r="O879" s="79"/>
      <c r="P879" s="79"/>
      <c r="S879" s="79"/>
      <c r="T879" s="79"/>
      <c r="W879" s="130"/>
      <c r="Y879" s="106"/>
    </row>
    <row r="880">
      <c r="C880" s="79"/>
      <c r="D880" s="79"/>
      <c r="J880" s="79"/>
      <c r="O880" s="79"/>
      <c r="P880" s="79"/>
      <c r="S880" s="79"/>
      <c r="T880" s="79"/>
      <c r="W880" s="130"/>
      <c r="Y880" s="106"/>
    </row>
    <row r="881">
      <c r="C881" s="79"/>
      <c r="D881" s="79"/>
      <c r="J881" s="79"/>
      <c r="O881" s="79"/>
      <c r="P881" s="79"/>
      <c r="S881" s="79"/>
      <c r="T881" s="79"/>
      <c r="W881" s="130"/>
      <c r="Y881" s="106"/>
    </row>
    <row r="882">
      <c r="C882" s="79"/>
      <c r="D882" s="79"/>
      <c r="J882" s="79"/>
      <c r="O882" s="79"/>
      <c r="P882" s="79"/>
      <c r="S882" s="79"/>
      <c r="T882" s="79"/>
      <c r="W882" s="130"/>
      <c r="Y882" s="106"/>
    </row>
    <row r="883">
      <c r="C883" s="79"/>
      <c r="D883" s="79"/>
      <c r="J883" s="79"/>
      <c r="O883" s="79"/>
      <c r="P883" s="79"/>
      <c r="S883" s="79"/>
      <c r="T883" s="79"/>
      <c r="W883" s="130"/>
      <c r="Y883" s="106"/>
    </row>
    <row r="884">
      <c r="C884" s="79"/>
      <c r="D884" s="79"/>
      <c r="J884" s="79"/>
      <c r="O884" s="79"/>
      <c r="P884" s="79"/>
      <c r="S884" s="79"/>
      <c r="T884" s="79"/>
      <c r="W884" s="130"/>
      <c r="Y884" s="106"/>
    </row>
    <row r="885">
      <c r="C885" s="79"/>
      <c r="D885" s="79"/>
      <c r="J885" s="79"/>
      <c r="O885" s="79"/>
      <c r="P885" s="79"/>
      <c r="S885" s="79"/>
      <c r="T885" s="79"/>
      <c r="W885" s="130"/>
      <c r="Y885" s="106"/>
    </row>
    <row r="886">
      <c r="C886" s="79"/>
      <c r="D886" s="79"/>
      <c r="J886" s="79"/>
      <c r="O886" s="79"/>
      <c r="P886" s="79"/>
      <c r="S886" s="79"/>
      <c r="T886" s="79"/>
      <c r="W886" s="130"/>
      <c r="Y886" s="106"/>
    </row>
    <row r="887">
      <c r="C887" s="79"/>
      <c r="D887" s="79"/>
      <c r="J887" s="79"/>
      <c r="O887" s="79"/>
      <c r="P887" s="79"/>
      <c r="S887" s="79"/>
      <c r="T887" s="79"/>
      <c r="W887" s="130"/>
      <c r="Y887" s="106"/>
    </row>
    <row r="888">
      <c r="C888" s="79"/>
      <c r="D888" s="79"/>
      <c r="J888" s="79"/>
      <c r="O888" s="79"/>
      <c r="P888" s="79"/>
      <c r="S888" s="79"/>
      <c r="T888" s="79"/>
      <c r="W888" s="130"/>
      <c r="Y888" s="106"/>
    </row>
    <row r="889">
      <c r="C889" s="79"/>
      <c r="D889" s="79"/>
      <c r="J889" s="79"/>
      <c r="O889" s="79"/>
      <c r="P889" s="79"/>
      <c r="S889" s="79"/>
      <c r="T889" s="79"/>
      <c r="W889" s="130"/>
      <c r="Y889" s="106"/>
    </row>
    <row r="890">
      <c r="C890" s="79"/>
      <c r="D890" s="79"/>
      <c r="J890" s="79"/>
      <c r="O890" s="79"/>
      <c r="P890" s="79"/>
      <c r="S890" s="79"/>
      <c r="T890" s="79"/>
      <c r="W890" s="130"/>
      <c r="Y890" s="106"/>
    </row>
    <row r="891">
      <c r="C891" s="79"/>
      <c r="D891" s="79"/>
      <c r="J891" s="79"/>
      <c r="O891" s="79"/>
      <c r="P891" s="79"/>
      <c r="S891" s="79"/>
      <c r="T891" s="79"/>
      <c r="W891" s="130"/>
      <c r="Y891" s="106"/>
    </row>
    <row r="892">
      <c r="C892" s="79"/>
      <c r="D892" s="79"/>
      <c r="J892" s="79"/>
      <c r="O892" s="79"/>
      <c r="P892" s="79"/>
      <c r="S892" s="79"/>
      <c r="T892" s="79"/>
      <c r="W892" s="130"/>
      <c r="Y892" s="106"/>
    </row>
    <row r="893">
      <c r="C893" s="79"/>
      <c r="D893" s="79"/>
      <c r="J893" s="79"/>
      <c r="O893" s="79"/>
      <c r="P893" s="79"/>
      <c r="S893" s="79"/>
      <c r="T893" s="79"/>
      <c r="W893" s="130"/>
      <c r="Y893" s="106"/>
    </row>
    <row r="894">
      <c r="C894" s="79"/>
      <c r="D894" s="79"/>
      <c r="J894" s="79"/>
      <c r="O894" s="79"/>
      <c r="P894" s="79"/>
      <c r="S894" s="79"/>
      <c r="T894" s="79"/>
      <c r="W894" s="130"/>
      <c r="Y894" s="106"/>
    </row>
    <row r="895">
      <c r="C895" s="79"/>
      <c r="D895" s="79"/>
      <c r="J895" s="79"/>
      <c r="O895" s="79"/>
      <c r="P895" s="79"/>
      <c r="S895" s="79"/>
      <c r="T895" s="79"/>
      <c r="W895" s="130"/>
      <c r="Y895" s="106"/>
    </row>
    <row r="896">
      <c r="C896" s="79"/>
      <c r="D896" s="79"/>
      <c r="J896" s="79"/>
      <c r="O896" s="79"/>
      <c r="P896" s="79"/>
      <c r="S896" s="79"/>
      <c r="T896" s="79"/>
      <c r="W896" s="130"/>
      <c r="Y896" s="106"/>
    </row>
    <row r="897">
      <c r="C897" s="79"/>
      <c r="D897" s="79"/>
      <c r="J897" s="79"/>
      <c r="O897" s="79"/>
      <c r="P897" s="79"/>
      <c r="S897" s="79"/>
      <c r="T897" s="79"/>
      <c r="W897" s="130"/>
      <c r="Y897" s="106"/>
    </row>
    <row r="898">
      <c r="C898" s="79"/>
      <c r="D898" s="79"/>
      <c r="J898" s="79"/>
      <c r="O898" s="79"/>
      <c r="P898" s="79"/>
      <c r="S898" s="79"/>
      <c r="T898" s="79"/>
      <c r="W898" s="130"/>
      <c r="Y898" s="106"/>
    </row>
    <row r="899">
      <c r="C899" s="79"/>
      <c r="D899" s="79"/>
      <c r="J899" s="79"/>
      <c r="O899" s="79"/>
      <c r="P899" s="79"/>
      <c r="S899" s="79"/>
      <c r="T899" s="79"/>
      <c r="W899" s="130"/>
      <c r="Y899" s="106"/>
    </row>
    <row r="900">
      <c r="C900" s="79"/>
      <c r="D900" s="79"/>
      <c r="J900" s="79"/>
      <c r="O900" s="79"/>
      <c r="P900" s="79"/>
      <c r="S900" s="79"/>
      <c r="T900" s="79"/>
      <c r="W900" s="130"/>
      <c r="Y900" s="106"/>
    </row>
    <row r="901">
      <c r="C901" s="79"/>
      <c r="D901" s="79"/>
      <c r="J901" s="79"/>
      <c r="O901" s="79"/>
      <c r="P901" s="79"/>
      <c r="S901" s="79"/>
      <c r="T901" s="79"/>
      <c r="W901" s="130"/>
      <c r="Y901" s="106"/>
    </row>
    <row r="902">
      <c r="C902" s="79"/>
      <c r="D902" s="79"/>
      <c r="J902" s="79"/>
      <c r="O902" s="79"/>
      <c r="P902" s="79"/>
      <c r="S902" s="79"/>
      <c r="T902" s="79"/>
      <c r="W902" s="130"/>
      <c r="Y902" s="106"/>
    </row>
    <row r="903">
      <c r="C903" s="79"/>
      <c r="D903" s="79"/>
      <c r="J903" s="79"/>
      <c r="O903" s="79"/>
      <c r="P903" s="79"/>
      <c r="S903" s="79"/>
      <c r="T903" s="79"/>
      <c r="W903" s="130"/>
      <c r="Y903" s="106"/>
    </row>
    <row r="904">
      <c r="C904" s="79"/>
      <c r="D904" s="79"/>
      <c r="J904" s="79"/>
      <c r="O904" s="79"/>
      <c r="P904" s="79"/>
      <c r="S904" s="79"/>
      <c r="T904" s="79"/>
      <c r="W904" s="130"/>
      <c r="Y904" s="106"/>
    </row>
    <row r="905">
      <c r="C905" s="79"/>
      <c r="D905" s="79"/>
      <c r="J905" s="79"/>
      <c r="O905" s="79"/>
      <c r="P905" s="79"/>
      <c r="S905" s="79"/>
      <c r="T905" s="79"/>
      <c r="W905" s="130"/>
      <c r="Y905" s="106"/>
    </row>
    <row r="906">
      <c r="C906" s="79"/>
      <c r="D906" s="79"/>
      <c r="J906" s="79"/>
      <c r="O906" s="79"/>
      <c r="P906" s="79"/>
      <c r="S906" s="79"/>
      <c r="T906" s="79"/>
      <c r="W906" s="130"/>
      <c r="Y906" s="106"/>
    </row>
    <row r="907">
      <c r="C907" s="79"/>
      <c r="D907" s="79"/>
      <c r="J907" s="79"/>
      <c r="O907" s="79"/>
      <c r="P907" s="79"/>
      <c r="S907" s="79"/>
      <c r="T907" s="79"/>
      <c r="W907" s="130"/>
      <c r="Y907" s="106"/>
    </row>
    <row r="908">
      <c r="C908" s="79"/>
      <c r="D908" s="79"/>
      <c r="J908" s="79"/>
      <c r="O908" s="79"/>
      <c r="P908" s="79"/>
      <c r="S908" s="79"/>
      <c r="T908" s="79"/>
      <c r="W908" s="130"/>
      <c r="Y908" s="106"/>
    </row>
    <row r="909">
      <c r="C909" s="79"/>
      <c r="D909" s="79"/>
      <c r="J909" s="79"/>
      <c r="O909" s="79"/>
      <c r="P909" s="79"/>
      <c r="S909" s="79"/>
      <c r="T909" s="79"/>
      <c r="W909" s="130"/>
      <c r="Y909" s="106"/>
    </row>
    <row r="910">
      <c r="C910" s="79"/>
      <c r="D910" s="79"/>
      <c r="J910" s="79"/>
      <c r="O910" s="79"/>
      <c r="P910" s="79"/>
      <c r="S910" s="79"/>
      <c r="T910" s="79"/>
      <c r="W910" s="130"/>
      <c r="Y910" s="106"/>
    </row>
    <row r="911">
      <c r="C911" s="79"/>
      <c r="D911" s="79"/>
      <c r="J911" s="79"/>
      <c r="O911" s="79"/>
      <c r="P911" s="79"/>
      <c r="S911" s="79"/>
      <c r="T911" s="79"/>
      <c r="W911" s="130"/>
      <c r="Y911" s="106"/>
    </row>
    <row r="912">
      <c r="C912" s="79"/>
      <c r="D912" s="79"/>
      <c r="J912" s="79"/>
      <c r="O912" s="79"/>
      <c r="P912" s="79"/>
      <c r="S912" s="79"/>
      <c r="T912" s="79"/>
      <c r="W912" s="130"/>
      <c r="Y912" s="106"/>
    </row>
    <row r="913">
      <c r="C913" s="79"/>
      <c r="D913" s="79"/>
      <c r="J913" s="79"/>
      <c r="O913" s="79"/>
      <c r="P913" s="79"/>
      <c r="S913" s="79"/>
      <c r="T913" s="79"/>
      <c r="W913" s="130"/>
      <c r="Y913" s="106"/>
    </row>
    <row r="914">
      <c r="C914" s="79"/>
      <c r="D914" s="79"/>
      <c r="J914" s="79"/>
      <c r="O914" s="79"/>
      <c r="P914" s="79"/>
      <c r="S914" s="79"/>
      <c r="T914" s="79"/>
      <c r="W914" s="130"/>
      <c r="Y914" s="106"/>
    </row>
    <row r="915">
      <c r="C915" s="79"/>
      <c r="D915" s="79"/>
      <c r="J915" s="79"/>
      <c r="O915" s="79"/>
      <c r="P915" s="79"/>
      <c r="S915" s="79"/>
      <c r="T915" s="79"/>
      <c r="W915" s="130"/>
      <c r="Y915" s="106"/>
    </row>
    <row r="916">
      <c r="C916" s="79"/>
      <c r="D916" s="79"/>
      <c r="J916" s="79"/>
      <c r="O916" s="79"/>
      <c r="P916" s="79"/>
      <c r="S916" s="79"/>
      <c r="T916" s="79"/>
      <c r="W916" s="130"/>
      <c r="Y916" s="106"/>
    </row>
    <row r="917">
      <c r="C917" s="79"/>
      <c r="D917" s="79"/>
      <c r="J917" s="79"/>
      <c r="O917" s="79"/>
      <c r="P917" s="79"/>
      <c r="S917" s="79"/>
      <c r="T917" s="79"/>
      <c r="W917" s="130"/>
      <c r="Y917" s="106"/>
    </row>
    <row r="918">
      <c r="C918" s="79"/>
      <c r="D918" s="79"/>
      <c r="J918" s="79"/>
      <c r="O918" s="79"/>
      <c r="P918" s="79"/>
      <c r="S918" s="79"/>
      <c r="T918" s="79"/>
      <c r="W918" s="130"/>
      <c r="Y918" s="106"/>
    </row>
    <row r="919">
      <c r="C919" s="79"/>
      <c r="D919" s="79"/>
      <c r="J919" s="79"/>
      <c r="O919" s="79"/>
      <c r="P919" s="79"/>
      <c r="S919" s="79"/>
      <c r="T919" s="79"/>
      <c r="W919" s="130"/>
      <c r="Y919" s="106"/>
    </row>
    <row r="920">
      <c r="C920" s="79"/>
      <c r="D920" s="79"/>
      <c r="J920" s="79"/>
      <c r="O920" s="79"/>
      <c r="P920" s="79"/>
      <c r="S920" s="79"/>
      <c r="T920" s="79"/>
      <c r="W920" s="130"/>
      <c r="Y920" s="106"/>
    </row>
    <row r="921">
      <c r="C921" s="79"/>
      <c r="D921" s="79"/>
      <c r="J921" s="79"/>
      <c r="O921" s="79"/>
      <c r="P921" s="79"/>
      <c r="S921" s="79"/>
      <c r="T921" s="79"/>
      <c r="W921" s="130"/>
      <c r="Y921" s="106"/>
    </row>
    <row r="922">
      <c r="C922" s="79"/>
      <c r="D922" s="79"/>
      <c r="J922" s="79"/>
      <c r="O922" s="79"/>
      <c r="P922" s="79"/>
      <c r="S922" s="79"/>
      <c r="T922" s="79"/>
      <c r="W922" s="130"/>
      <c r="Y922" s="106"/>
    </row>
    <row r="923">
      <c r="C923" s="79"/>
      <c r="D923" s="79"/>
      <c r="J923" s="79"/>
      <c r="O923" s="79"/>
      <c r="P923" s="79"/>
      <c r="S923" s="79"/>
      <c r="T923" s="79"/>
      <c r="W923" s="130"/>
      <c r="Y923" s="106"/>
    </row>
    <row r="924">
      <c r="C924" s="79"/>
      <c r="D924" s="79"/>
      <c r="J924" s="79"/>
      <c r="O924" s="79"/>
      <c r="P924" s="79"/>
      <c r="S924" s="79"/>
      <c r="T924" s="79"/>
      <c r="W924" s="130"/>
      <c r="Y924" s="106"/>
    </row>
    <row r="925">
      <c r="C925" s="79"/>
      <c r="D925" s="79"/>
      <c r="J925" s="79"/>
      <c r="O925" s="79"/>
      <c r="P925" s="79"/>
      <c r="S925" s="79"/>
      <c r="T925" s="79"/>
      <c r="W925" s="130"/>
      <c r="Y925" s="106"/>
    </row>
    <row r="926">
      <c r="C926" s="79"/>
      <c r="D926" s="79"/>
      <c r="J926" s="79"/>
      <c r="O926" s="79"/>
      <c r="P926" s="79"/>
      <c r="S926" s="79"/>
      <c r="T926" s="79"/>
      <c r="W926" s="130"/>
      <c r="Y926" s="106"/>
    </row>
    <row r="927">
      <c r="C927" s="79"/>
      <c r="D927" s="79"/>
      <c r="J927" s="79"/>
      <c r="O927" s="79"/>
      <c r="P927" s="79"/>
      <c r="S927" s="79"/>
      <c r="T927" s="79"/>
      <c r="W927" s="130"/>
      <c r="Y927" s="106"/>
    </row>
    <row r="928">
      <c r="C928" s="79"/>
      <c r="D928" s="79"/>
      <c r="J928" s="79"/>
      <c r="O928" s="79"/>
      <c r="P928" s="79"/>
      <c r="S928" s="79"/>
      <c r="T928" s="79"/>
      <c r="W928" s="130"/>
      <c r="Y928" s="106"/>
    </row>
    <row r="929">
      <c r="C929" s="79"/>
      <c r="D929" s="79"/>
      <c r="J929" s="79"/>
      <c r="O929" s="79"/>
      <c r="P929" s="79"/>
      <c r="S929" s="79"/>
      <c r="T929" s="79"/>
      <c r="W929" s="130"/>
      <c r="Y929" s="106"/>
    </row>
    <row r="930">
      <c r="C930" s="79"/>
      <c r="D930" s="79"/>
      <c r="J930" s="79"/>
      <c r="O930" s="79"/>
      <c r="P930" s="79"/>
      <c r="S930" s="79"/>
      <c r="T930" s="79"/>
      <c r="W930" s="130"/>
      <c r="Y930" s="106"/>
    </row>
    <row r="931">
      <c r="C931" s="79"/>
      <c r="D931" s="79"/>
      <c r="J931" s="79"/>
      <c r="O931" s="79"/>
      <c r="P931" s="79"/>
      <c r="S931" s="79"/>
      <c r="T931" s="79"/>
      <c r="W931" s="130"/>
      <c r="Y931" s="106"/>
    </row>
    <row r="932">
      <c r="C932" s="79"/>
      <c r="D932" s="79"/>
      <c r="J932" s="79"/>
      <c r="O932" s="79"/>
      <c r="P932" s="79"/>
      <c r="S932" s="79"/>
      <c r="T932" s="79"/>
      <c r="W932" s="130"/>
      <c r="Y932" s="106"/>
    </row>
    <row r="933">
      <c r="C933" s="79"/>
      <c r="D933" s="79"/>
      <c r="J933" s="79"/>
      <c r="O933" s="79"/>
      <c r="P933" s="79"/>
      <c r="S933" s="79"/>
      <c r="T933" s="79"/>
      <c r="W933" s="130"/>
      <c r="Y933" s="106"/>
    </row>
    <row r="934">
      <c r="C934" s="79"/>
      <c r="D934" s="79"/>
      <c r="J934" s="79"/>
      <c r="O934" s="79"/>
      <c r="P934" s="79"/>
      <c r="S934" s="79"/>
      <c r="T934" s="79"/>
      <c r="W934" s="130"/>
      <c r="Y934" s="106"/>
    </row>
    <row r="935">
      <c r="C935" s="79"/>
      <c r="D935" s="79"/>
      <c r="J935" s="79"/>
      <c r="O935" s="79"/>
      <c r="P935" s="79"/>
      <c r="S935" s="79"/>
      <c r="T935" s="79"/>
      <c r="W935" s="130"/>
      <c r="Y935" s="106"/>
    </row>
    <row r="936">
      <c r="C936" s="79"/>
      <c r="D936" s="79"/>
      <c r="J936" s="79"/>
      <c r="O936" s="79"/>
      <c r="P936" s="79"/>
      <c r="S936" s="79"/>
      <c r="T936" s="79"/>
      <c r="W936" s="130"/>
      <c r="Y936" s="106"/>
    </row>
    <row r="937">
      <c r="C937" s="79"/>
      <c r="D937" s="79"/>
      <c r="J937" s="79"/>
      <c r="O937" s="79"/>
      <c r="P937" s="79"/>
      <c r="S937" s="79"/>
      <c r="T937" s="79"/>
      <c r="W937" s="130"/>
      <c r="Y937" s="106"/>
    </row>
    <row r="938">
      <c r="C938" s="79"/>
      <c r="D938" s="79"/>
      <c r="J938" s="79"/>
      <c r="O938" s="79"/>
      <c r="P938" s="79"/>
      <c r="S938" s="79"/>
      <c r="T938" s="79"/>
      <c r="W938" s="130"/>
      <c r="Y938" s="106"/>
    </row>
    <row r="939">
      <c r="C939" s="79"/>
      <c r="D939" s="79"/>
      <c r="J939" s="79"/>
      <c r="O939" s="79"/>
      <c r="P939" s="79"/>
      <c r="S939" s="79"/>
      <c r="T939" s="79"/>
      <c r="W939" s="130"/>
      <c r="Y939" s="106"/>
    </row>
    <row r="940">
      <c r="C940" s="79"/>
      <c r="D940" s="79"/>
      <c r="J940" s="79"/>
      <c r="O940" s="79"/>
      <c r="P940" s="79"/>
      <c r="S940" s="79"/>
      <c r="T940" s="79"/>
      <c r="W940" s="130"/>
      <c r="Y940" s="106"/>
    </row>
    <row r="941">
      <c r="C941" s="79"/>
      <c r="D941" s="79"/>
      <c r="J941" s="79"/>
      <c r="O941" s="79"/>
      <c r="P941" s="79"/>
      <c r="S941" s="79"/>
      <c r="T941" s="79"/>
      <c r="W941" s="130"/>
      <c r="Y941" s="106"/>
    </row>
    <row r="942">
      <c r="C942" s="79"/>
      <c r="D942" s="79"/>
      <c r="J942" s="79"/>
      <c r="O942" s="79"/>
      <c r="P942" s="79"/>
      <c r="S942" s="79"/>
      <c r="T942" s="79"/>
      <c r="W942" s="130"/>
      <c r="Y942" s="106"/>
    </row>
    <row r="943">
      <c r="C943" s="79"/>
      <c r="D943" s="79"/>
      <c r="J943" s="79"/>
      <c r="O943" s="79"/>
      <c r="P943" s="79"/>
      <c r="S943" s="79"/>
      <c r="T943" s="79"/>
      <c r="W943" s="130"/>
      <c r="Y943" s="106"/>
    </row>
    <row r="944">
      <c r="C944" s="79"/>
      <c r="D944" s="79"/>
      <c r="J944" s="79"/>
      <c r="O944" s="79"/>
      <c r="P944" s="79"/>
      <c r="S944" s="79"/>
      <c r="T944" s="79"/>
      <c r="W944" s="130"/>
      <c r="Y944" s="106"/>
    </row>
    <row r="945">
      <c r="C945" s="79"/>
      <c r="D945" s="79"/>
      <c r="J945" s="79"/>
      <c r="O945" s="79"/>
      <c r="P945" s="79"/>
      <c r="S945" s="79"/>
      <c r="T945" s="79"/>
      <c r="W945" s="130"/>
      <c r="Y945" s="106"/>
    </row>
    <row r="946">
      <c r="C946" s="79"/>
      <c r="D946" s="79"/>
      <c r="J946" s="79"/>
      <c r="O946" s="79"/>
      <c r="P946" s="79"/>
      <c r="S946" s="79"/>
      <c r="T946" s="79"/>
      <c r="W946" s="130"/>
      <c r="Y946" s="106"/>
    </row>
    <row r="947">
      <c r="C947" s="79"/>
      <c r="D947" s="79"/>
      <c r="J947" s="79"/>
      <c r="O947" s="79"/>
      <c r="P947" s="79"/>
      <c r="S947" s="79"/>
      <c r="T947" s="79"/>
      <c r="W947" s="130"/>
      <c r="Y947" s="106"/>
    </row>
    <row r="948">
      <c r="C948" s="79"/>
      <c r="D948" s="79"/>
      <c r="J948" s="79"/>
      <c r="O948" s="79"/>
      <c r="P948" s="79"/>
      <c r="S948" s="79"/>
      <c r="T948" s="79"/>
      <c r="W948" s="130"/>
      <c r="Y948" s="106"/>
    </row>
    <row r="949">
      <c r="C949" s="79"/>
      <c r="D949" s="79"/>
      <c r="J949" s="79"/>
      <c r="O949" s="79"/>
      <c r="P949" s="79"/>
      <c r="S949" s="79"/>
      <c r="T949" s="79"/>
      <c r="W949" s="130"/>
      <c r="Y949" s="106"/>
    </row>
    <row r="950">
      <c r="C950" s="79"/>
      <c r="D950" s="79"/>
      <c r="J950" s="79"/>
      <c r="O950" s="79"/>
      <c r="P950" s="79"/>
      <c r="S950" s="79"/>
      <c r="T950" s="79"/>
      <c r="W950" s="130"/>
      <c r="Y950" s="106"/>
    </row>
    <row r="951">
      <c r="C951" s="79"/>
      <c r="D951" s="79"/>
      <c r="J951" s="79"/>
      <c r="O951" s="79"/>
      <c r="P951" s="79"/>
      <c r="S951" s="79"/>
      <c r="T951" s="79"/>
      <c r="W951" s="130"/>
      <c r="Y951" s="106"/>
    </row>
    <row r="952">
      <c r="C952" s="79"/>
      <c r="D952" s="79"/>
      <c r="J952" s="79"/>
      <c r="O952" s="79"/>
      <c r="P952" s="79"/>
      <c r="S952" s="79"/>
      <c r="T952" s="79"/>
      <c r="W952" s="130"/>
      <c r="Y952" s="106"/>
    </row>
    <row r="953">
      <c r="C953" s="79"/>
      <c r="D953" s="79"/>
      <c r="J953" s="79"/>
      <c r="O953" s="79"/>
      <c r="P953" s="79"/>
      <c r="S953" s="79"/>
      <c r="T953" s="79"/>
      <c r="W953" s="130"/>
      <c r="Y953" s="106"/>
    </row>
    <row r="954">
      <c r="C954" s="79"/>
      <c r="D954" s="79"/>
      <c r="J954" s="79"/>
      <c r="O954" s="79"/>
      <c r="P954" s="79"/>
      <c r="S954" s="79"/>
      <c r="T954" s="79"/>
      <c r="W954" s="130"/>
      <c r="Y954" s="106"/>
    </row>
    <row r="955">
      <c r="C955" s="79"/>
      <c r="D955" s="79"/>
      <c r="J955" s="79"/>
      <c r="O955" s="79"/>
      <c r="P955" s="79"/>
      <c r="S955" s="79"/>
      <c r="T955" s="79"/>
      <c r="W955" s="130"/>
      <c r="Y955" s="106"/>
    </row>
    <row r="956">
      <c r="C956" s="79"/>
      <c r="D956" s="79"/>
      <c r="J956" s="79"/>
      <c r="O956" s="79"/>
      <c r="P956" s="79"/>
      <c r="S956" s="79"/>
      <c r="T956" s="79"/>
      <c r="W956" s="130"/>
      <c r="Y956" s="106"/>
    </row>
    <row r="957">
      <c r="C957" s="79"/>
      <c r="D957" s="79"/>
      <c r="J957" s="79"/>
      <c r="O957" s="79"/>
      <c r="P957" s="79"/>
      <c r="S957" s="79"/>
      <c r="T957" s="79"/>
      <c r="W957" s="130"/>
      <c r="Y957" s="106"/>
    </row>
    <row r="958">
      <c r="C958" s="79"/>
      <c r="D958" s="79"/>
      <c r="J958" s="79"/>
      <c r="O958" s="79"/>
      <c r="P958" s="79"/>
      <c r="S958" s="79"/>
      <c r="T958" s="79"/>
      <c r="W958" s="130"/>
      <c r="Y958" s="106"/>
    </row>
    <row r="959">
      <c r="C959" s="79"/>
      <c r="D959" s="79"/>
      <c r="J959" s="79"/>
      <c r="O959" s="79"/>
      <c r="P959" s="79"/>
      <c r="S959" s="79"/>
      <c r="T959" s="79"/>
      <c r="W959" s="130"/>
      <c r="Y959" s="106"/>
    </row>
    <row r="960">
      <c r="C960" s="79"/>
      <c r="D960" s="79"/>
      <c r="J960" s="79"/>
      <c r="O960" s="79"/>
      <c r="P960" s="79"/>
      <c r="S960" s="79"/>
      <c r="T960" s="79"/>
      <c r="W960" s="130"/>
      <c r="Y960" s="106"/>
    </row>
    <row r="961">
      <c r="C961" s="79"/>
      <c r="D961" s="79"/>
      <c r="J961" s="79"/>
      <c r="O961" s="79"/>
      <c r="P961" s="79"/>
      <c r="S961" s="79"/>
      <c r="T961" s="79"/>
      <c r="W961" s="130"/>
      <c r="Y961" s="106"/>
    </row>
    <row r="962">
      <c r="C962" s="79"/>
      <c r="D962" s="79"/>
      <c r="J962" s="79"/>
      <c r="O962" s="79"/>
      <c r="P962" s="79"/>
      <c r="S962" s="79"/>
      <c r="T962" s="79"/>
      <c r="W962" s="130"/>
      <c r="Y962" s="106"/>
    </row>
    <row r="963">
      <c r="C963" s="79"/>
      <c r="D963" s="79"/>
      <c r="J963" s="79"/>
      <c r="O963" s="79"/>
      <c r="P963" s="79"/>
      <c r="S963" s="79"/>
      <c r="T963" s="79"/>
      <c r="W963" s="130"/>
      <c r="Y963" s="106"/>
    </row>
    <row r="964">
      <c r="C964" s="79"/>
      <c r="D964" s="79"/>
      <c r="J964" s="79"/>
      <c r="O964" s="79"/>
      <c r="P964" s="79"/>
      <c r="S964" s="79"/>
      <c r="T964" s="79"/>
      <c r="W964" s="130"/>
      <c r="Y964" s="106"/>
    </row>
    <row r="965">
      <c r="C965" s="79"/>
      <c r="D965" s="79"/>
      <c r="J965" s="79"/>
      <c r="O965" s="79"/>
      <c r="P965" s="79"/>
      <c r="S965" s="79"/>
      <c r="T965" s="79"/>
      <c r="W965" s="130"/>
      <c r="Y965" s="106"/>
    </row>
    <row r="966">
      <c r="C966" s="79"/>
      <c r="D966" s="79"/>
      <c r="J966" s="79"/>
      <c r="O966" s="79"/>
      <c r="P966" s="79"/>
      <c r="S966" s="79"/>
      <c r="T966" s="79"/>
      <c r="W966" s="130"/>
      <c r="Y966" s="106"/>
    </row>
    <row r="967">
      <c r="C967" s="79"/>
      <c r="D967" s="79"/>
      <c r="J967" s="79"/>
      <c r="O967" s="79"/>
      <c r="P967" s="79"/>
      <c r="S967" s="79"/>
      <c r="T967" s="79"/>
      <c r="W967" s="130"/>
      <c r="Y967" s="106"/>
    </row>
    <row r="968">
      <c r="C968" s="79"/>
      <c r="D968" s="79"/>
      <c r="J968" s="79"/>
      <c r="O968" s="79"/>
      <c r="P968" s="79"/>
      <c r="S968" s="79"/>
      <c r="T968" s="79"/>
      <c r="W968" s="130"/>
      <c r="Y968" s="106"/>
    </row>
    <row r="969">
      <c r="C969" s="79"/>
      <c r="D969" s="79"/>
      <c r="J969" s="79"/>
      <c r="O969" s="79"/>
      <c r="P969" s="79"/>
      <c r="S969" s="79"/>
      <c r="T969" s="79"/>
      <c r="W969" s="130"/>
      <c r="Y969" s="106"/>
    </row>
    <row r="970">
      <c r="C970" s="79"/>
      <c r="D970" s="79"/>
      <c r="J970" s="79"/>
      <c r="O970" s="79"/>
      <c r="P970" s="79"/>
      <c r="S970" s="79"/>
      <c r="T970" s="79"/>
      <c r="W970" s="130"/>
      <c r="Y970" s="106"/>
    </row>
    <row r="971">
      <c r="C971" s="79"/>
      <c r="D971" s="79"/>
      <c r="J971" s="79"/>
      <c r="O971" s="79"/>
      <c r="P971" s="79"/>
      <c r="S971" s="79"/>
      <c r="T971" s="79"/>
      <c r="W971" s="130"/>
      <c r="Y971" s="106"/>
    </row>
    <row r="972">
      <c r="C972" s="79"/>
      <c r="D972" s="79"/>
      <c r="J972" s="79"/>
      <c r="O972" s="79"/>
      <c r="P972" s="79"/>
      <c r="S972" s="79"/>
      <c r="T972" s="79"/>
      <c r="W972" s="130"/>
      <c r="Y972" s="106"/>
    </row>
    <row r="973">
      <c r="C973" s="79"/>
      <c r="D973" s="79"/>
      <c r="J973" s="79"/>
      <c r="O973" s="79"/>
      <c r="P973" s="79"/>
      <c r="S973" s="79"/>
      <c r="T973" s="79"/>
      <c r="W973" s="130"/>
      <c r="Y973" s="106"/>
    </row>
    <row r="974">
      <c r="C974" s="79"/>
      <c r="D974" s="79"/>
      <c r="J974" s="79"/>
      <c r="O974" s="79"/>
      <c r="P974" s="79"/>
      <c r="S974" s="79"/>
      <c r="T974" s="79"/>
      <c r="W974" s="130"/>
      <c r="Y974" s="106"/>
    </row>
    <row r="975">
      <c r="C975" s="79"/>
      <c r="D975" s="79"/>
      <c r="J975" s="79"/>
      <c r="O975" s="79"/>
      <c r="P975" s="79"/>
      <c r="S975" s="79"/>
      <c r="T975" s="79"/>
      <c r="W975" s="130"/>
      <c r="Y975" s="106"/>
    </row>
    <row r="976">
      <c r="C976" s="79"/>
      <c r="D976" s="79"/>
      <c r="J976" s="79"/>
      <c r="O976" s="79"/>
      <c r="P976" s="79"/>
      <c r="S976" s="79"/>
      <c r="T976" s="79"/>
      <c r="W976" s="130"/>
      <c r="Y976" s="106"/>
    </row>
    <row r="977">
      <c r="C977" s="79"/>
      <c r="D977" s="79"/>
      <c r="J977" s="79"/>
      <c r="O977" s="79"/>
      <c r="P977" s="79"/>
      <c r="S977" s="79"/>
      <c r="T977" s="79"/>
      <c r="W977" s="130"/>
      <c r="Y977" s="106"/>
    </row>
    <row r="978">
      <c r="C978" s="79"/>
      <c r="D978" s="79"/>
      <c r="J978" s="79"/>
      <c r="O978" s="79"/>
      <c r="P978" s="79"/>
      <c r="S978" s="79"/>
      <c r="T978" s="79"/>
      <c r="W978" s="130"/>
      <c r="Y978" s="106"/>
    </row>
    <row r="979">
      <c r="C979" s="79"/>
      <c r="D979" s="79"/>
      <c r="J979" s="79"/>
      <c r="O979" s="79"/>
      <c r="P979" s="79"/>
      <c r="S979" s="79"/>
      <c r="T979" s="79"/>
      <c r="W979" s="130"/>
      <c r="Y979" s="106"/>
    </row>
    <row r="980">
      <c r="C980" s="79"/>
      <c r="D980" s="79"/>
      <c r="J980" s="79"/>
      <c r="O980" s="79"/>
      <c r="P980" s="79"/>
      <c r="S980" s="79"/>
      <c r="T980" s="79"/>
      <c r="W980" s="130"/>
      <c r="Y980" s="106"/>
    </row>
    <row r="981">
      <c r="C981" s="79"/>
      <c r="D981" s="79"/>
      <c r="J981" s="79"/>
      <c r="O981" s="79"/>
      <c r="P981" s="79"/>
      <c r="S981" s="79"/>
      <c r="T981" s="79"/>
      <c r="W981" s="130"/>
      <c r="Y981" s="106"/>
    </row>
    <row r="982">
      <c r="C982" s="79"/>
      <c r="D982" s="79"/>
      <c r="J982" s="79"/>
      <c r="O982" s="79"/>
      <c r="P982" s="79"/>
      <c r="S982" s="79"/>
      <c r="T982" s="79"/>
      <c r="W982" s="130"/>
      <c r="Y982" s="106"/>
    </row>
    <row r="983">
      <c r="C983" s="79"/>
      <c r="D983" s="79"/>
      <c r="J983" s="79"/>
      <c r="O983" s="79"/>
      <c r="P983" s="79"/>
      <c r="S983" s="79"/>
      <c r="T983" s="79"/>
      <c r="W983" s="130"/>
      <c r="Y983" s="106"/>
    </row>
    <row r="984">
      <c r="C984" s="79"/>
      <c r="D984" s="79"/>
      <c r="J984" s="79"/>
      <c r="O984" s="79"/>
      <c r="P984" s="79"/>
      <c r="S984" s="79"/>
      <c r="T984" s="79"/>
      <c r="W984" s="130"/>
      <c r="Y984" s="106"/>
    </row>
    <row r="985">
      <c r="C985" s="79"/>
      <c r="D985" s="79"/>
      <c r="J985" s="79"/>
      <c r="O985" s="79"/>
      <c r="P985" s="79"/>
      <c r="S985" s="79"/>
      <c r="T985" s="79"/>
      <c r="W985" s="130"/>
      <c r="Y985" s="106"/>
    </row>
    <row r="986">
      <c r="C986" s="79"/>
      <c r="D986" s="79"/>
      <c r="J986" s="79"/>
      <c r="O986" s="79"/>
      <c r="P986" s="79"/>
      <c r="S986" s="79"/>
      <c r="T986" s="79"/>
      <c r="W986" s="130"/>
      <c r="Y986" s="106"/>
    </row>
    <row r="987">
      <c r="C987" s="79"/>
      <c r="D987" s="79"/>
      <c r="J987" s="79"/>
      <c r="O987" s="79"/>
      <c r="P987" s="79"/>
      <c r="S987" s="79"/>
      <c r="T987" s="79"/>
      <c r="W987" s="130"/>
      <c r="Y987" s="106"/>
    </row>
    <row r="988">
      <c r="C988" s="79"/>
      <c r="D988" s="79"/>
      <c r="J988" s="79"/>
      <c r="O988" s="79"/>
      <c r="P988" s="79"/>
      <c r="S988" s="79"/>
      <c r="T988" s="79"/>
      <c r="W988" s="130"/>
      <c r="Y988" s="106"/>
    </row>
    <row r="989">
      <c r="C989" s="79"/>
      <c r="D989" s="79"/>
      <c r="J989" s="79"/>
      <c r="O989" s="79"/>
      <c r="P989" s="79"/>
      <c r="S989" s="79"/>
      <c r="T989" s="79"/>
      <c r="W989" s="130"/>
      <c r="Y989" s="106"/>
    </row>
    <row r="990">
      <c r="C990" s="79"/>
      <c r="D990" s="79"/>
      <c r="J990" s="79"/>
      <c r="O990" s="79"/>
      <c r="P990" s="79"/>
      <c r="S990" s="79"/>
      <c r="T990" s="79"/>
      <c r="W990" s="130"/>
      <c r="Y990" s="106"/>
    </row>
    <row r="991">
      <c r="C991" s="79"/>
      <c r="D991" s="79"/>
      <c r="J991" s="79"/>
      <c r="O991" s="79"/>
      <c r="P991" s="79"/>
      <c r="S991" s="79"/>
      <c r="T991" s="79"/>
      <c r="W991" s="130"/>
      <c r="Y991" s="106"/>
    </row>
    <row r="992">
      <c r="C992" s="79"/>
      <c r="D992" s="79"/>
      <c r="J992" s="79"/>
      <c r="O992" s="79"/>
      <c r="P992" s="79"/>
      <c r="S992" s="79"/>
      <c r="T992" s="79"/>
      <c r="W992" s="130"/>
      <c r="Y992" s="106"/>
    </row>
    <row r="993">
      <c r="C993" s="79"/>
      <c r="D993" s="79"/>
      <c r="J993" s="79"/>
      <c r="O993" s="79"/>
      <c r="P993" s="79"/>
      <c r="S993" s="79"/>
      <c r="T993" s="79"/>
      <c r="W993" s="130"/>
      <c r="Y993" s="106"/>
    </row>
    <row r="994">
      <c r="C994" s="79"/>
      <c r="D994" s="79"/>
      <c r="J994" s="79"/>
      <c r="O994" s="79"/>
      <c r="P994" s="79"/>
      <c r="S994" s="79"/>
      <c r="T994" s="79"/>
      <c r="W994" s="130"/>
      <c r="Y994" s="106"/>
    </row>
    <row r="995">
      <c r="C995" s="79"/>
      <c r="D995" s="79"/>
      <c r="J995" s="79"/>
      <c r="O995" s="79"/>
      <c r="P995" s="79"/>
      <c r="S995" s="79"/>
      <c r="T995" s="79"/>
      <c r="W995" s="130"/>
      <c r="Y995" s="106"/>
    </row>
    <row r="996">
      <c r="C996" s="79"/>
      <c r="D996" s="79"/>
      <c r="J996" s="79"/>
      <c r="O996" s="79"/>
      <c r="P996" s="79"/>
      <c r="S996" s="79"/>
      <c r="T996" s="79"/>
      <c r="W996" s="130"/>
      <c r="Y996" s="106"/>
    </row>
    <row r="997">
      <c r="C997" s="79"/>
      <c r="D997" s="79"/>
      <c r="J997" s="79"/>
      <c r="O997" s="79"/>
      <c r="P997" s="79"/>
      <c r="S997" s="79"/>
      <c r="T997" s="79"/>
      <c r="W997" s="130"/>
      <c r="Y997" s="106"/>
    </row>
    <row r="998">
      <c r="C998" s="79"/>
      <c r="D998" s="79"/>
      <c r="J998" s="79"/>
      <c r="O998" s="79"/>
      <c r="P998" s="79"/>
      <c r="S998" s="79"/>
      <c r="T998" s="79"/>
      <c r="W998" s="130"/>
      <c r="Y998" s="106"/>
    </row>
    <row r="999">
      <c r="C999" s="79"/>
      <c r="D999" s="79"/>
      <c r="J999" s="79"/>
      <c r="O999" s="79"/>
      <c r="P999" s="79"/>
      <c r="S999" s="79"/>
      <c r="T999" s="79"/>
      <c r="W999" s="130"/>
      <c r="Y999" s="106"/>
    </row>
    <row r="1000">
      <c r="C1000" s="79"/>
      <c r="D1000" s="79"/>
      <c r="J1000" s="79"/>
      <c r="O1000" s="79"/>
      <c r="P1000" s="79"/>
      <c r="S1000" s="79"/>
      <c r="T1000" s="79"/>
      <c r="W1000" s="130"/>
      <c r="Y1000" s="106"/>
    </row>
    <row r="1001">
      <c r="C1001" s="79"/>
      <c r="D1001" s="79"/>
      <c r="J1001" s="79"/>
      <c r="O1001" s="79"/>
      <c r="P1001" s="79"/>
      <c r="S1001" s="79"/>
      <c r="T1001" s="79"/>
      <c r="W1001" s="130"/>
      <c r="Y1001" s="106"/>
    </row>
    <row r="1002">
      <c r="C1002" s="79"/>
      <c r="D1002" s="79"/>
      <c r="J1002" s="79"/>
      <c r="O1002" s="79"/>
      <c r="P1002" s="79"/>
      <c r="S1002" s="79"/>
      <c r="T1002" s="79"/>
      <c r="W1002" s="130"/>
      <c r="Y1002" s="106"/>
    </row>
    <row r="1003">
      <c r="C1003" s="79"/>
      <c r="D1003" s="79"/>
      <c r="J1003" s="79"/>
      <c r="O1003" s="79"/>
      <c r="P1003" s="79"/>
      <c r="S1003" s="79"/>
      <c r="T1003" s="79"/>
      <c r="W1003" s="130"/>
      <c r="Y1003" s="106"/>
    </row>
  </sheetData>
  <mergeCells count="1">
    <mergeCell ref="H22:J22"/>
  </mergeCells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12" max="12" width="18.88"/>
    <col customWidth="1" min="25" max="25" width="17.0"/>
  </cols>
  <sheetData>
    <row r="1">
      <c r="B1" s="2" t="s">
        <v>0</v>
      </c>
      <c r="C1" s="105" t="s">
        <v>1</v>
      </c>
      <c r="D1" s="105" t="s">
        <v>7</v>
      </c>
      <c r="E1" s="2" t="s">
        <v>3</v>
      </c>
      <c r="F1" s="2" t="s">
        <v>129</v>
      </c>
      <c r="G1" s="2" t="s">
        <v>5</v>
      </c>
      <c r="H1" s="2" t="s">
        <v>6</v>
      </c>
      <c r="I1" s="2" t="s">
        <v>43</v>
      </c>
      <c r="J1" s="105" t="s">
        <v>40</v>
      </c>
      <c r="K1" s="2" t="s">
        <v>49</v>
      </c>
      <c r="L1" s="2" t="s">
        <v>42</v>
      </c>
      <c r="M1" s="2" t="s">
        <v>121</v>
      </c>
      <c r="N1" s="2" t="s">
        <v>164</v>
      </c>
      <c r="O1" s="105" t="s">
        <v>9</v>
      </c>
      <c r="P1" s="105" t="s">
        <v>165</v>
      </c>
      <c r="Q1" s="2" t="s">
        <v>37</v>
      </c>
      <c r="R1" s="2" t="s">
        <v>10</v>
      </c>
      <c r="S1" s="105" t="s">
        <v>11</v>
      </c>
      <c r="T1" s="105" t="s">
        <v>167</v>
      </c>
      <c r="U1" s="2" t="s">
        <v>12</v>
      </c>
      <c r="V1" s="3" t="s">
        <v>13</v>
      </c>
      <c r="W1" s="126" t="s">
        <v>14</v>
      </c>
      <c r="X1" s="3" t="s">
        <v>15</v>
      </c>
      <c r="Y1" s="106"/>
    </row>
    <row r="2">
      <c r="A2" s="74">
        <v>45222.0</v>
      </c>
      <c r="B2" s="5">
        <f>1174-486.56</f>
        <v>687.44</v>
      </c>
      <c r="C2" s="93">
        <v>466.0</v>
      </c>
      <c r="D2" s="93"/>
      <c r="E2" s="5">
        <v>180.0</v>
      </c>
      <c r="F2" s="5">
        <v>433.0</v>
      </c>
      <c r="G2" s="5"/>
      <c r="H2" s="5"/>
      <c r="I2" s="5"/>
      <c r="J2" s="136"/>
      <c r="K2" s="5">
        <v>168.0</v>
      </c>
      <c r="L2" s="5"/>
      <c r="M2" s="5"/>
      <c r="N2" s="5"/>
      <c r="O2" s="93"/>
      <c r="P2" s="93"/>
      <c r="Q2" s="5"/>
      <c r="R2" s="5">
        <v>215.0</v>
      </c>
      <c r="S2" s="93">
        <v>57.05</v>
      </c>
      <c r="T2" s="93"/>
      <c r="U2" s="5"/>
      <c r="V2" s="107">
        <f t="shared" ref="V2:V7" si="1">SUM(B2:U2)</f>
        <v>2206.49</v>
      </c>
      <c r="W2" s="108">
        <v>3674.0</v>
      </c>
      <c r="X2" s="59">
        <f t="shared" ref="X2:X8" si="2">V2/W2</f>
        <v>0.6005688623</v>
      </c>
      <c r="Y2" s="109">
        <f t="shared" ref="Y2:Y8" si="3">A2</f>
        <v>45222</v>
      </c>
    </row>
    <row r="3">
      <c r="A3" s="74">
        <v>45223.0</v>
      </c>
      <c r="B3" s="5">
        <f>821+71-14.04-23.34-35.96</f>
        <v>818.66</v>
      </c>
      <c r="C3" s="110">
        <v>149.0</v>
      </c>
      <c r="D3" s="93"/>
      <c r="E3" s="5"/>
      <c r="F3" s="5">
        <v>170.0</v>
      </c>
      <c r="G3" s="5"/>
      <c r="H3" s="5">
        <v>42.0</v>
      </c>
      <c r="I3" s="5"/>
      <c r="J3" s="93"/>
      <c r="K3" s="5"/>
      <c r="L3" s="5"/>
      <c r="M3" s="6"/>
      <c r="N3" s="6"/>
      <c r="O3" s="93"/>
      <c r="P3" s="93"/>
      <c r="Q3" s="93"/>
      <c r="R3" s="5"/>
      <c r="S3" s="93"/>
      <c r="T3" s="93"/>
      <c r="U3" s="93"/>
      <c r="V3" s="107">
        <f t="shared" si="1"/>
        <v>1179.66</v>
      </c>
      <c r="W3" s="97">
        <v>6732.0</v>
      </c>
      <c r="X3" s="59">
        <f t="shared" si="2"/>
        <v>0.1752317291</v>
      </c>
      <c r="Y3" s="109">
        <f t="shared" si="3"/>
        <v>45223</v>
      </c>
    </row>
    <row r="4">
      <c r="A4" s="74">
        <v>45224.0</v>
      </c>
      <c r="B4" s="5">
        <f>1368-63.44-140.04-15.36-13.14-57.3-36.61-19.61</f>
        <v>1022.5</v>
      </c>
      <c r="C4" s="93">
        <v>461.0</v>
      </c>
      <c r="D4" s="93"/>
      <c r="E4" s="5"/>
      <c r="F4" s="5">
        <v>899.0</v>
      </c>
      <c r="G4" s="5">
        <v>999.0</v>
      </c>
      <c r="H4" s="5"/>
      <c r="I4" s="5"/>
      <c r="J4" s="93"/>
      <c r="K4" s="5"/>
      <c r="L4" s="5"/>
      <c r="M4" s="5">
        <v>18.5</v>
      </c>
      <c r="N4" s="5"/>
      <c r="O4" s="93"/>
      <c r="P4" s="93"/>
      <c r="Q4" s="143">
        <v>838.86</v>
      </c>
      <c r="R4" s="83"/>
      <c r="S4" s="93">
        <v>57.05</v>
      </c>
      <c r="T4" s="93"/>
      <c r="U4" s="6"/>
      <c r="V4" s="107">
        <f t="shared" si="1"/>
        <v>4295.91</v>
      </c>
      <c r="W4" s="97">
        <f>300+6577</f>
        <v>6877</v>
      </c>
      <c r="X4" s="59">
        <f t="shared" si="2"/>
        <v>0.6246779119</v>
      </c>
      <c r="Y4" s="109">
        <f t="shared" si="3"/>
        <v>45224</v>
      </c>
    </row>
    <row r="5">
      <c r="A5" s="74">
        <v>45225.0</v>
      </c>
      <c r="B5" s="5">
        <f>1767-473.16-130-11.66+194</f>
        <v>1346.18</v>
      </c>
      <c r="C5" s="93">
        <v>225.0</v>
      </c>
      <c r="D5" s="101"/>
      <c r="E5" s="5">
        <v>180.0</v>
      </c>
      <c r="F5" s="143"/>
      <c r="G5" s="5"/>
      <c r="H5" s="5"/>
      <c r="I5" s="5"/>
      <c r="J5" s="93"/>
      <c r="K5" s="5"/>
      <c r="L5" s="5"/>
      <c r="M5" s="5">
        <v>18.5</v>
      </c>
      <c r="N5" s="5"/>
      <c r="O5" s="93"/>
      <c r="P5" s="93"/>
      <c r="Q5" s="5"/>
      <c r="R5" s="5"/>
      <c r="S5" s="101"/>
      <c r="T5" s="101"/>
      <c r="U5" s="6"/>
      <c r="V5" s="7">
        <f t="shared" si="1"/>
        <v>1769.68</v>
      </c>
      <c r="W5" s="98">
        <f>589+6601</f>
        <v>7190</v>
      </c>
      <c r="X5" s="59">
        <f t="shared" si="2"/>
        <v>0.2461307371</v>
      </c>
      <c r="Y5" s="109">
        <f t="shared" si="3"/>
        <v>45225</v>
      </c>
    </row>
    <row r="6">
      <c r="A6" s="74">
        <v>45226.0</v>
      </c>
      <c r="B6" s="5">
        <f>1135-32-8.29+54</f>
        <v>1148.71</v>
      </c>
      <c r="C6" s="93"/>
      <c r="D6" s="93"/>
      <c r="E6" s="5"/>
      <c r="F6" s="38">
        <f>614</f>
        <v>614</v>
      </c>
      <c r="G6" s="5">
        <f>487-190</f>
        <v>297</v>
      </c>
      <c r="H6" s="5">
        <v>123.0</v>
      </c>
      <c r="I6" s="5"/>
      <c r="J6" s="111"/>
      <c r="K6" s="5"/>
      <c r="L6" s="5"/>
      <c r="M6" s="5">
        <v>18.5</v>
      </c>
      <c r="N6" s="5"/>
      <c r="O6" s="93"/>
      <c r="P6" s="93"/>
      <c r="Q6" s="5"/>
      <c r="R6" s="5"/>
      <c r="S6" s="93">
        <v>57.05</v>
      </c>
      <c r="T6" s="93"/>
      <c r="U6" s="5"/>
      <c r="V6" s="7">
        <f t="shared" si="1"/>
        <v>2258.26</v>
      </c>
      <c r="W6" s="97">
        <f>1015.5+9657</f>
        <v>10672.5</v>
      </c>
      <c r="X6" s="59">
        <f t="shared" si="2"/>
        <v>0.2115961584</v>
      </c>
      <c r="Y6" s="109">
        <f t="shared" si="3"/>
        <v>45226</v>
      </c>
    </row>
    <row r="7">
      <c r="A7" s="74">
        <v>45227.0</v>
      </c>
      <c r="B7" s="5">
        <f>2590-121.64-73.22-59.96-5.55-14.84-36.28-20.02-12.14-95.97-33.42-61.37</f>
        <v>2055.59</v>
      </c>
      <c r="C7" s="93">
        <v>1332.0</v>
      </c>
      <c r="D7" s="93">
        <v>187.0</v>
      </c>
      <c r="E7" s="5"/>
      <c r="F7" s="5">
        <v>350.82</v>
      </c>
      <c r="G7" s="5"/>
      <c r="H7" s="5"/>
      <c r="I7" s="5"/>
      <c r="J7" s="101"/>
      <c r="K7" s="5">
        <v>84.0</v>
      </c>
      <c r="L7" s="5"/>
      <c r="M7" s="93"/>
      <c r="N7" s="93"/>
      <c r="O7" s="93"/>
      <c r="P7" s="93"/>
      <c r="Q7" s="6"/>
      <c r="R7" s="6"/>
      <c r="S7" s="101"/>
      <c r="T7" s="101"/>
      <c r="U7" s="5"/>
      <c r="V7" s="7">
        <f t="shared" si="1"/>
        <v>4009.41</v>
      </c>
      <c r="W7" s="97">
        <f>2564+9575</f>
        <v>12139</v>
      </c>
      <c r="X7" s="59">
        <f t="shared" si="2"/>
        <v>0.330291622</v>
      </c>
      <c r="Y7" s="109">
        <f t="shared" si="3"/>
        <v>45227</v>
      </c>
    </row>
    <row r="8">
      <c r="A8" s="74">
        <v>45228.0</v>
      </c>
      <c r="B8" s="10" t="s">
        <v>21</v>
      </c>
      <c r="C8" s="112" t="s">
        <v>21</v>
      </c>
      <c r="D8" s="112" t="s">
        <v>21</v>
      </c>
      <c r="E8" s="10" t="s">
        <v>21</v>
      </c>
      <c r="F8" s="10" t="s">
        <v>21</v>
      </c>
      <c r="G8" s="10" t="s">
        <v>21</v>
      </c>
      <c r="H8" s="10" t="s">
        <v>21</v>
      </c>
      <c r="I8" s="10" t="s">
        <v>21</v>
      </c>
      <c r="J8" s="112" t="s">
        <v>21</v>
      </c>
      <c r="K8" s="10" t="s">
        <v>21</v>
      </c>
      <c r="L8" s="10" t="s">
        <v>21</v>
      </c>
      <c r="M8" s="10"/>
      <c r="N8" s="10"/>
      <c r="O8" s="112" t="s">
        <v>21</v>
      </c>
      <c r="P8" s="112"/>
      <c r="Q8" s="10" t="s">
        <v>21</v>
      </c>
      <c r="R8" s="10" t="s">
        <v>21</v>
      </c>
      <c r="S8" s="112" t="s">
        <v>21</v>
      </c>
      <c r="T8" s="112"/>
      <c r="U8" s="10" t="s">
        <v>21</v>
      </c>
      <c r="V8" s="7">
        <v>0.0</v>
      </c>
      <c r="W8" s="97">
        <v>5476.2</v>
      </c>
      <c r="X8" s="59">
        <f t="shared" si="2"/>
        <v>0</v>
      </c>
      <c r="Y8" s="109">
        <f t="shared" si="3"/>
        <v>45228</v>
      </c>
    </row>
    <row r="9">
      <c r="C9" s="136"/>
      <c r="D9" s="138"/>
      <c r="J9" s="79"/>
      <c r="S9" s="79"/>
      <c r="T9" s="79"/>
      <c r="W9" s="129"/>
      <c r="Y9" s="106"/>
    </row>
    <row r="10">
      <c r="A10" s="10" t="s">
        <v>188</v>
      </c>
      <c r="B10" s="10">
        <v>7414.21</v>
      </c>
      <c r="C10" s="112">
        <v>2632.84</v>
      </c>
      <c r="D10" s="112">
        <v>187.0</v>
      </c>
      <c r="E10" s="10">
        <v>360.0</v>
      </c>
      <c r="F10" s="10">
        <v>2466.86</v>
      </c>
      <c r="G10" s="10">
        <v>1196.6</v>
      </c>
      <c r="H10" s="10">
        <v>165.0</v>
      </c>
      <c r="I10" s="10">
        <v>0.0</v>
      </c>
      <c r="J10" s="112">
        <v>0.0</v>
      </c>
      <c r="K10" s="10">
        <v>252.0</v>
      </c>
      <c r="L10" s="10">
        <v>0.0</v>
      </c>
      <c r="M10" s="10">
        <v>55.0</v>
      </c>
      <c r="N10" s="10">
        <v>0.0</v>
      </c>
      <c r="O10" s="112">
        <v>218.5</v>
      </c>
      <c r="P10" s="112">
        <v>0.0</v>
      </c>
      <c r="Q10" s="10">
        <v>838.86</v>
      </c>
      <c r="R10" s="10">
        <v>215.0</v>
      </c>
      <c r="S10" s="112">
        <v>114.1</v>
      </c>
      <c r="T10" s="142"/>
      <c r="U10" s="141"/>
      <c r="V10" s="141"/>
      <c r="W10" s="130"/>
      <c r="Y10" s="106"/>
    </row>
    <row r="11">
      <c r="C11" s="79"/>
      <c r="D11" s="79"/>
      <c r="J11" s="79"/>
      <c r="O11" s="78"/>
      <c r="P11" s="79"/>
      <c r="S11" s="79"/>
      <c r="T11" s="79"/>
      <c r="W11" s="130"/>
      <c r="Y11" s="106"/>
    </row>
    <row r="12">
      <c r="A12" s="10" t="s">
        <v>80</v>
      </c>
      <c r="B12" s="75">
        <f t="shared" ref="B12:U12" si="4">B10-sum(B2:B7)</f>
        <v>335.13</v>
      </c>
      <c r="C12" s="75">
        <f t="shared" si="4"/>
        <v>-0.16</v>
      </c>
      <c r="D12" s="75">
        <f t="shared" si="4"/>
        <v>0</v>
      </c>
      <c r="E12" s="10">
        <f t="shared" si="4"/>
        <v>0</v>
      </c>
      <c r="F12" s="75">
        <f t="shared" si="4"/>
        <v>0.04</v>
      </c>
      <c r="G12" s="10">
        <f t="shared" si="4"/>
        <v>-99.4</v>
      </c>
      <c r="H12" s="10">
        <f t="shared" si="4"/>
        <v>0</v>
      </c>
      <c r="I12" s="10">
        <f t="shared" si="4"/>
        <v>0</v>
      </c>
      <c r="J12" s="10">
        <f t="shared" si="4"/>
        <v>0</v>
      </c>
      <c r="K12" s="10">
        <f t="shared" si="4"/>
        <v>0</v>
      </c>
      <c r="L12" s="10">
        <f t="shared" si="4"/>
        <v>0</v>
      </c>
      <c r="M12" s="10">
        <f t="shared" si="4"/>
        <v>-0.5</v>
      </c>
      <c r="N12" s="10">
        <f t="shared" si="4"/>
        <v>0</v>
      </c>
      <c r="O12" s="10">
        <f t="shared" si="4"/>
        <v>218.5</v>
      </c>
      <c r="P12" s="10">
        <f t="shared" si="4"/>
        <v>0</v>
      </c>
      <c r="Q12" s="10">
        <f t="shared" si="4"/>
        <v>0</v>
      </c>
      <c r="R12" s="10">
        <f t="shared" si="4"/>
        <v>0</v>
      </c>
      <c r="S12" s="10">
        <f t="shared" si="4"/>
        <v>-57.05</v>
      </c>
      <c r="T12" s="10">
        <f t="shared" si="4"/>
        <v>0</v>
      </c>
      <c r="U12" s="10">
        <f t="shared" si="4"/>
        <v>0</v>
      </c>
      <c r="V12" s="10"/>
      <c r="W12" s="130"/>
      <c r="Y12" s="106"/>
    </row>
    <row r="13">
      <c r="C13" s="79"/>
      <c r="D13" s="78"/>
      <c r="J13" s="79"/>
      <c r="O13" s="79"/>
      <c r="P13" s="79"/>
      <c r="S13" s="79"/>
      <c r="T13" s="79"/>
      <c r="W13" s="130"/>
      <c r="Y13" s="106"/>
    </row>
    <row r="14">
      <c r="A14" s="4" t="s">
        <v>22</v>
      </c>
      <c r="B14" s="11">
        <v>13000.0</v>
      </c>
      <c r="C14" s="79"/>
      <c r="D14" s="79"/>
      <c r="E14" s="78"/>
      <c r="F14" s="79"/>
      <c r="J14" s="79"/>
      <c r="O14" s="79"/>
      <c r="P14" s="79"/>
      <c r="S14" s="79"/>
      <c r="T14" s="79"/>
      <c r="W14" s="131"/>
      <c r="Y14" s="106"/>
    </row>
    <row r="15">
      <c r="A15" s="4" t="s">
        <v>23</v>
      </c>
      <c r="B15" s="12">
        <f>SUM(B2:U8)+C9</f>
        <v>15719.41</v>
      </c>
      <c r="C15" s="79"/>
      <c r="D15" s="79"/>
      <c r="E15" s="144"/>
      <c r="F15" s="78"/>
      <c r="J15" s="79"/>
      <c r="O15" s="79"/>
      <c r="P15" s="79"/>
      <c r="S15" s="79"/>
      <c r="T15" s="79"/>
      <c r="W15" s="130"/>
      <c r="Y15" s="106"/>
    </row>
    <row r="16">
      <c r="A16" s="4" t="s">
        <v>24</v>
      </c>
      <c r="B16" s="12">
        <f> SUM(B14-B15)</f>
        <v>-2719.41</v>
      </c>
      <c r="C16" s="79"/>
      <c r="D16" s="79"/>
      <c r="E16" s="79"/>
      <c r="F16" s="79"/>
      <c r="J16" s="145">
        <v>45222.0</v>
      </c>
      <c r="K16" s="18"/>
      <c r="O16" s="79"/>
      <c r="P16" s="79"/>
      <c r="S16" s="79"/>
      <c r="T16" s="79"/>
      <c r="W16" s="130"/>
      <c r="Y16" s="106"/>
    </row>
    <row r="17">
      <c r="C17" s="79"/>
      <c r="D17" s="79"/>
      <c r="E17" s="79"/>
      <c r="F17" s="79"/>
      <c r="J17" s="71">
        <v>6.2511028E7</v>
      </c>
      <c r="K17" s="146">
        <v>975.98</v>
      </c>
      <c r="O17" s="79"/>
      <c r="P17" s="79"/>
      <c r="S17" s="79"/>
      <c r="T17" s="79"/>
      <c r="W17" s="130"/>
      <c r="Y17" s="106"/>
    </row>
    <row r="18">
      <c r="A18" s="13" t="s">
        <v>25</v>
      </c>
      <c r="B18" s="14">
        <f>SUM(W2:W8)</f>
        <v>52760.7</v>
      </c>
      <c r="C18" s="79"/>
      <c r="D18" s="79"/>
      <c r="E18" s="79"/>
      <c r="F18" s="79"/>
      <c r="G18" s="147">
        <v>486.56</v>
      </c>
      <c r="J18" s="71">
        <v>6.251103E7</v>
      </c>
      <c r="K18" s="146">
        <v>214.985</v>
      </c>
      <c r="O18" s="79"/>
      <c r="P18" s="79"/>
      <c r="S18" s="79"/>
      <c r="T18" s="79"/>
      <c r="W18" s="130"/>
      <c r="Y18" s="106"/>
    </row>
    <row r="19">
      <c r="A19" s="13" t="s">
        <v>26</v>
      </c>
      <c r="B19" s="15">
        <f>B15/B18</f>
        <v>0.2979378591</v>
      </c>
      <c r="C19" s="79"/>
      <c r="D19" s="79"/>
      <c r="G19" s="148">
        <f>+71-14.04-23.34-35.96</f>
        <v>-2.34</v>
      </c>
      <c r="J19" s="149"/>
      <c r="K19" s="150">
        <f>sum(K17:K18)</f>
        <v>1190.965</v>
      </c>
      <c r="O19" s="79"/>
      <c r="P19" s="79"/>
      <c r="S19" s="79"/>
      <c r="T19" s="79"/>
      <c r="W19" s="130"/>
      <c r="Y19" s="106"/>
    </row>
    <row r="20">
      <c r="C20" s="79"/>
      <c r="D20" s="79"/>
      <c r="G20" s="151">
        <f>-63.44-140.04-15.36-13.14-57.3-36.61-19.61</f>
        <v>-345.5</v>
      </c>
      <c r="J20" s="79"/>
      <c r="O20" s="79"/>
      <c r="P20" s="79"/>
      <c r="S20" s="79"/>
      <c r="T20" s="79"/>
      <c r="W20" s="130"/>
      <c r="Y20" s="106"/>
    </row>
    <row r="21">
      <c r="C21" s="79"/>
      <c r="D21" s="79"/>
      <c r="G21" s="151">
        <f t="shared" ref="G21:G22" si="5">-473.16-130-11.66+194</f>
        <v>-420.82</v>
      </c>
      <c r="J21" s="145">
        <v>45223.0</v>
      </c>
      <c r="K21" s="18"/>
      <c r="O21" s="79"/>
      <c r="P21" s="79"/>
      <c r="S21" s="79"/>
      <c r="T21" s="79"/>
      <c r="W21" s="130"/>
      <c r="Y21" s="106"/>
    </row>
    <row r="22">
      <c r="A22" s="16" t="s">
        <v>27</v>
      </c>
      <c r="B22" s="17"/>
      <c r="C22" s="114"/>
      <c r="D22" s="115"/>
      <c r="G22" s="151">
        <f t="shared" si="5"/>
        <v>-420.82</v>
      </c>
      <c r="H22" s="84"/>
      <c r="I22" s="84"/>
      <c r="J22" s="71">
        <v>6.2520327E7</v>
      </c>
      <c r="K22" s="146">
        <v>821.13</v>
      </c>
      <c r="O22" s="79"/>
      <c r="P22" s="79"/>
      <c r="S22" s="79"/>
      <c r="T22" s="79"/>
      <c r="W22" s="130"/>
      <c r="Y22" s="106"/>
    </row>
    <row r="23">
      <c r="A23" s="19" t="s">
        <v>28</v>
      </c>
      <c r="B23" s="20"/>
      <c r="C23" s="116"/>
      <c r="D23" s="117"/>
      <c r="G23" s="151">
        <f>-32-8.29+54</f>
        <v>13.71</v>
      </c>
      <c r="H23" s="85"/>
      <c r="I23" s="85"/>
      <c r="J23" s="71">
        <v>6.2520329E7</v>
      </c>
      <c r="K23" s="152">
        <v>1.61</v>
      </c>
      <c r="O23" s="79"/>
      <c r="P23" s="79"/>
      <c r="S23" s="79"/>
      <c r="T23" s="79"/>
      <c r="W23" s="130"/>
      <c r="Y23" s="106"/>
    </row>
    <row r="24">
      <c r="A24" s="22" t="s">
        <v>29</v>
      </c>
      <c r="B24" s="23" t="s">
        <v>30</v>
      </c>
      <c r="C24" s="119" t="s">
        <v>170</v>
      </c>
      <c r="D24" s="120" t="s">
        <v>171</v>
      </c>
      <c r="G24" s="151">
        <f>-121.64-73.22-59.96-5.55-14.84-36.28-20.02-12.14-95.97-33.42-61.37</f>
        <v>-534.41</v>
      </c>
      <c r="H24" s="86"/>
      <c r="I24" s="85"/>
      <c r="J24" s="153"/>
      <c r="K24" s="154">
        <f>sum(K22:K23)</f>
        <v>822.74</v>
      </c>
      <c r="O24" s="79"/>
      <c r="P24" s="79"/>
      <c r="S24" s="79"/>
      <c r="T24" s="79"/>
      <c r="W24" s="130"/>
      <c r="Y24" s="106"/>
    </row>
    <row r="25">
      <c r="A25" s="28" t="s">
        <v>149</v>
      </c>
      <c r="B25" s="72"/>
      <c r="C25" s="121"/>
      <c r="D25" s="122"/>
      <c r="H25" s="87"/>
      <c r="I25" s="85"/>
      <c r="J25" s="78"/>
      <c r="K25" s="155"/>
      <c r="O25" s="79"/>
      <c r="P25" s="79"/>
      <c r="S25" s="79"/>
      <c r="T25" s="79"/>
      <c r="W25" s="130"/>
      <c r="Y25" s="106"/>
    </row>
    <row r="26">
      <c r="A26" s="28" t="s">
        <v>150</v>
      </c>
      <c r="B26" s="72"/>
      <c r="C26" s="121"/>
      <c r="D26" s="122"/>
      <c r="H26" s="88"/>
      <c r="I26" s="88"/>
      <c r="J26" s="145">
        <v>45224.0</v>
      </c>
      <c r="K26" s="156"/>
      <c r="O26" s="79"/>
      <c r="P26" s="79"/>
      <c r="S26" s="79"/>
      <c r="T26" s="79"/>
      <c r="W26" s="130"/>
      <c r="Y26" s="106"/>
    </row>
    <row r="27">
      <c r="A27" s="71" t="s">
        <v>108</v>
      </c>
      <c r="B27" s="72">
        <v>1637.85</v>
      </c>
      <c r="C27" s="71"/>
      <c r="D27" s="124" t="s">
        <v>189</v>
      </c>
      <c r="H27" s="88"/>
      <c r="I27" s="88"/>
      <c r="J27" s="153">
        <v>6.2529112E7</v>
      </c>
      <c r="K27" s="154">
        <v>1032.18</v>
      </c>
      <c r="O27" s="79"/>
      <c r="P27" s="79"/>
      <c r="S27" s="79"/>
      <c r="T27" s="79"/>
      <c r="W27" s="130"/>
      <c r="Y27" s="106"/>
    </row>
    <row r="28">
      <c r="A28" s="28" t="s">
        <v>159</v>
      </c>
      <c r="B28" s="41"/>
      <c r="C28" s="121"/>
      <c r="D28" s="124"/>
      <c r="H28" s="88"/>
      <c r="I28" s="88"/>
      <c r="J28" s="78"/>
      <c r="K28" s="155"/>
      <c r="O28" s="79"/>
      <c r="P28" s="79"/>
      <c r="S28" s="79"/>
      <c r="T28" s="79"/>
      <c r="W28" s="130"/>
      <c r="Y28" s="106"/>
    </row>
    <row r="29">
      <c r="A29" s="28" t="s">
        <v>160</v>
      </c>
      <c r="B29" s="41"/>
      <c r="C29" s="71"/>
      <c r="D29" s="124"/>
      <c r="H29" s="88"/>
      <c r="I29" s="88"/>
      <c r="J29" s="145">
        <v>45225.0</v>
      </c>
      <c r="K29" s="156"/>
      <c r="O29" s="79"/>
      <c r="P29" s="79"/>
      <c r="S29" s="79"/>
      <c r="T29" s="79"/>
      <c r="W29" s="130"/>
      <c r="Y29" s="106"/>
    </row>
    <row r="30">
      <c r="A30" s="28" t="s">
        <v>172</v>
      </c>
      <c r="B30" s="41"/>
      <c r="C30" s="71"/>
      <c r="D30" s="122"/>
      <c r="H30" s="88"/>
      <c r="I30" s="88"/>
      <c r="J30" s="71">
        <v>6.2538505E7</v>
      </c>
      <c r="K30" s="152">
        <v>1183.01</v>
      </c>
      <c r="O30" s="79"/>
      <c r="P30" s="79"/>
      <c r="S30" s="79"/>
      <c r="T30" s="79"/>
      <c r="W30" s="130"/>
      <c r="Y30" s="106"/>
    </row>
    <row r="31">
      <c r="A31" s="28" t="s">
        <v>185</v>
      </c>
      <c r="B31" s="41"/>
      <c r="C31" s="121"/>
      <c r="D31" s="124"/>
      <c r="J31" s="71">
        <v>6.2538508E7</v>
      </c>
      <c r="K31" s="152">
        <v>193.8</v>
      </c>
      <c r="O31" s="79"/>
      <c r="P31" s="79"/>
      <c r="S31" s="79"/>
      <c r="T31" s="79"/>
      <c r="W31" s="132"/>
      <c r="Y31" s="106"/>
    </row>
    <row r="32">
      <c r="A32" s="28" t="s">
        <v>190</v>
      </c>
      <c r="B32" s="41">
        <v>486.56</v>
      </c>
      <c r="C32" s="121"/>
      <c r="D32" s="124" t="s">
        <v>191</v>
      </c>
      <c r="I32" s="89"/>
      <c r="J32" s="153"/>
      <c r="K32" s="154">
        <f>sum(K30:K31)</f>
        <v>1376.81</v>
      </c>
      <c r="O32" s="79"/>
      <c r="P32" s="79"/>
      <c r="S32" s="79"/>
      <c r="T32" s="79"/>
      <c r="W32" s="130"/>
      <c r="Y32" s="106"/>
    </row>
    <row r="33">
      <c r="C33" s="79"/>
      <c r="D33" s="79"/>
      <c r="J33" s="78"/>
      <c r="K33" s="155"/>
      <c r="O33" s="79"/>
      <c r="P33" s="79"/>
      <c r="S33" s="79"/>
      <c r="T33" s="79"/>
      <c r="W33" s="130"/>
      <c r="Y33" s="106"/>
    </row>
    <row r="34">
      <c r="C34" s="79"/>
      <c r="D34" s="79"/>
      <c r="J34" s="145">
        <v>45226.0</v>
      </c>
      <c r="K34" s="157"/>
      <c r="O34" s="79"/>
      <c r="P34" s="79"/>
      <c r="S34" s="79"/>
      <c r="T34" s="79"/>
      <c r="W34" s="130"/>
      <c r="Y34" s="106"/>
    </row>
    <row r="35">
      <c r="C35" s="79"/>
      <c r="D35" s="79"/>
      <c r="J35" s="71">
        <v>6.2549473E7</v>
      </c>
      <c r="K35" s="146">
        <v>1096.79</v>
      </c>
      <c r="L35" s="127" t="s">
        <v>192</v>
      </c>
      <c r="O35" s="79"/>
      <c r="P35" s="79"/>
      <c r="S35" s="79"/>
      <c r="T35" s="79"/>
      <c r="W35" s="130"/>
      <c r="Y35" s="106"/>
    </row>
    <row r="36">
      <c r="C36" s="79"/>
      <c r="D36" s="79"/>
      <c r="J36" s="71">
        <v>6.2549665E7</v>
      </c>
      <c r="K36" s="146">
        <v>53.15</v>
      </c>
      <c r="O36" s="79"/>
      <c r="P36" s="79"/>
      <c r="S36" s="79"/>
      <c r="T36" s="79"/>
      <c r="W36" s="130"/>
      <c r="Y36" s="106"/>
    </row>
    <row r="37">
      <c r="C37" s="79"/>
      <c r="D37" s="79"/>
      <c r="J37" s="149"/>
      <c r="K37" s="150">
        <f>sum(K35:K36)</f>
        <v>1149.94</v>
      </c>
      <c r="O37" s="79"/>
      <c r="P37" s="79"/>
      <c r="S37" s="79"/>
      <c r="T37" s="79"/>
      <c r="W37" s="130"/>
      <c r="Y37" s="106"/>
    </row>
    <row r="38">
      <c r="C38" s="79"/>
      <c r="D38" s="79"/>
      <c r="J38" s="79"/>
      <c r="O38" s="79"/>
      <c r="P38" s="79"/>
      <c r="S38" s="79"/>
      <c r="T38" s="79"/>
      <c r="W38" s="130"/>
      <c r="Y38" s="106"/>
    </row>
    <row r="39">
      <c r="C39" s="79"/>
      <c r="D39" s="79"/>
      <c r="J39" s="145">
        <v>45227.0</v>
      </c>
      <c r="K39" s="18"/>
      <c r="O39" s="79"/>
      <c r="P39" s="79"/>
      <c r="S39" s="79"/>
      <c r="T39" s="79"/>
      <c r="W39" s="130"/>
      <c r="Y39" s="106"/>
    </row>
    <row r="40">
      <c r="C40" s="79"/>
      <c r="D40" s="79"/>
      <c r="J40" s="71">
        <v>6.2555418E7</v>
      </c>
      <c r="K40" s="146">
        <v>2242.93</v>
      </c>
      <c r="O40" s="79"/>
      <c r="P40" s="79"/>
      <c r="S40" s="79"/>
      <c r="T40" s="79"/>
      <c r="W40" s="130"/>
      <c r="Y40" s="106"/>
    </row>
    <row r="41">
      <c r="C41" s="79"/>
      <c r="D41" s="79"/>
      <c r="J41" s="71">
        <v>6.2555424E7</v>
      </c>
      <c r="K41" s="146">
        <v>85.24</v>
      </c>
      <c r="O41" s="79"/>
      <c r="P41" s="79"/>
      <c r="S41" s="79"/>
      <c r="T41" s="79"/>
      <c r="W41" s="130"/>
      <c r="Y41" s="106"/>
    </row>
    <row r="42">
      <c r="C42" s="79"/>
      <c r="D42" s="79"/>
      <c r="J42" s="149"/>
      <c r="K42" s="150">
        <f>sum(K40:K41)</f>
        <v>2328.17</v>
      </c>
      <c r="O42" s="79"/>
      <c r="P42" s="79"/>
      <c r="S42" s="79"/>
      <c r="T42" s="79"/>
      <c r="W42" s="130"/>
      <c r="Y42" s="106"/>
    </row>
    <row r="43">
      <c r="C43" s="79"/>
      <c r="D43" s="79"/>
      <c r="J43" s="79"/>
      <c r="O43" s="79"/>
      <c r="P43" s="79"/>
      <c r="S43" s="79"/>
      <c r="T43" s="79"/>
      <c r="W43" s="130"/>
      <c r="Y43" s="106"/>
    </row>
    <row r="44">
      <c r="C44" s="79"/>
      <c r="D44" s="79"/>
      <c r="J44" s="79"/>
      <c r="O44" s="79"/>
      <c r="P44" s="79"/>
      <c r="S44" s="79"/>
      <c r="T44" s="79"/>
      <c r="W44" s="130"/>
      <c r="Y44" s="106"/>
    </row>
    <row r="45">
      <c r="C45" s="79"/>
      <c r="D45" s="79"/>
      <c r="J45" s="79"/>
      <c r="O45" s="79"/>
      <c r="P45" s="79"/>
      <c r="S45" s="79"/>
      <c r="T45" s="79"/>
      <c r="W45" s="130"/>
      <c r="Y45" s="106"/>
    </row>
    <row r="46">
      <c r="C46" s="79"/>
      <c r="D46" s="79"/>
      <c r="J46" s="79"/>
      <c r="O46" s="79"/>
      <c r="P46" s="79"/>
      <c r="S46" s="79"/>
      <c r="T46" s="79"/>
      <c r="W46" s="130"/>
      <c r="Y46" s="106"/>
    </row>
    <row r="47">
      <c r="C47" s="79"/>
      <c r="D47" s="79"/>
      <c r="J47" s="79"/>
      <c r="O47" s="79"/>
      <c r="P47" s="79"/>
      <c r="S47" s="79"/>
      <c r="T47" s="79"/>
      <c r="W47" s="130"/>
      <c r="Y47" s="106"/>
    </row>
    <row r="48">
      <c r="C48" s="79"/>
      <c r="D48" s="79"/>
      <c r="J48" s="79"/>
      <c r="O48" s="79"/>
      <c r="P48" s="79"/>
      <c r="S48" s="79"/>
      <c r="T48" s="79"/>
      <c r="W48" s="130"/>
      <c r="Y48" s="106"/>
    </row>
    <row r="49">
      <c r="C49" s="79"/>
      <c r="D49" s="79"/>
      <c r="J49" s="79"/>
      <c r="O49" s="79"/>
      <c r="P49" s="79"/>
      <c r="S49" s="79"/>
      <c r="T49" s="79"/>
      <c r="W49" s="130"/>
      <c r="Y49" s="106"/>
    </row>
    <row r="50">
      <c r="C50" s="79"/>
      <c r="D50" s="79"/>
      <c r="J50" s="79"/>
      <c r="O50" s="79"/>
      <c r="P50" s="79"/>
      <c r="S50" s="79"/>
      <c r="T50" s="79"/>
      <c r="W50" s="130"/>
      <c r="Y50" s="106"/>
    </row>
    <row r="51">
      <c r="C51" s="79"/>
      <c r="D51" s="79"/>
      <c r="J51" s="79"/>
      <c r="O51" s="79"/>
      <c r="P51" s="79"/>
      <c r="S51" s="79"/>
      <c r="T51" s="79"/>
      <c r="W51" s="130"/>
      <c r="Y51" s="106"/>
    </row>
    <row r="52">
      <c r="C52" s="79"/>
      <c r="D52" s="79"/>
      <c r="J52" s="79"/>
      <c r="O52" s="79"/>
      <c r="P52" s="79"/>
      <c r="S52" s="79"/>
      <c r="T52" s="79"/>
      <c r="W52" s="130"/>
      <c r="Y52" s="106"/>
    </row>
    <row r="53">
      <c r="C53" s="79"/>
      <c r="D53" s="79"/>
      <c r="J53" s="79"/>
      <c r="O53" s="79"/>
      <c r="P53" s="79"/>
      <c r="S53" s="79"/>
      <c r="T53" s="79"/>
      <c r="W53" s="130"/>
      <c r="Y53" s="106"/>
    </row>
    <row r="54">
      <c r="C54" s="79"/>
      <c r="D54" s="79"/>
      <c r="J54" s="79"/>
      <c r="O54" s="79"/>
      <c r="P54" s="79"/>
      <c r="S54" s="79"/>
      <c r="T54" s="79"/>
      <c r="W54" s="130"/>
      <c r="Y54" s="106"/>
    </row>
    <row r="55">
      <c r="C55" s="79"/>
      <c r="D55" s="79"/>
      <c r="J55" s="79"/>
      <c r="O55" s="79"/>
      <c r="P55" s="79"/>
      <c r="S55" s="79"/>
      <c r="T55" s="79"/>
      <c r="W55" s="130"/>
      <c r="Y55" s="106"/>
    </row>
    <row r="56">
      <c r="C56" s="79"/>
      <c r="D56" s="79"/>
      <c r="J56" s="79"/>
      <c r="O56" s="79"/>
      <c r="P56" s="79"/>
      <c r="S56" s="79"/>
      <c r="T56" s="79"/>
      <c r="W56" s="130"/>
      <c r="Y56" s="106"/>
    </row>
    <row r="57">
      <c r="C57" s="79"/>
      <c r="D57" s="79"/>
      <c r="J57" s="79"/>
      <c r="O57" s="79"/>
      <c r="P57" s="79"/>
      <c r="S57" s="79"/>
      <c r="T57" s="79"/>
      <c r="W57" s="130"/>
      <c r="Y57" s="106"/>
    </row>
    <row r="58">
      <c r="C58" s="79"/>
      <c r="D58" s="79"/>
      <c r="J58" s="79"/>
      <c r="O58" s="79"/>
      <c r="P58" s="79"/>
      <c r="S58" s="79"/>
      <c r="T58" s="79"/>
      <c r="W58" s="130"/>
      <c r="Y58" s="106"/>
    </row>
    <row r="59">
      <c r="C59" s="79"/>
      <c r="D59" s="79"/>
      <c r="J59" s="79"/>
      <c r="O59" s="79"/>
      <c r="P59" s="79"/>
      <c r="S59" s="79"/>
      <c r="T59" s="79"/>
      <c r="W59" s="130"/>
      <c r="Y59" s="106"/>
    </row>
    <row r="60">
      <c r="C60" s="79"/>
      <c r="D60" s="79"/>
      <c r="J60" s="79"/>
      <c r="O60" s="79"/>
      <c r="P60" s="79"/>
      <c r="S60" s="79"/>
      <c r="T60" s="79"/>
      <c r="W60" s="130"/>
      <c r="Y60" s="106"/>
    </row>
    <row r="61">
      <c r="C61" s="79"/>
      <c r="D61" s="79"/>
      <c r="J61" s="79"/>
      <c r="O61" s="79"/>
      <c r="P61" s="79"/>
      <c r="S61" s="79"/>
      <c r="T61" s="79"/>
      <c r="W61" s="130"/>
      <c r="Y61" s="106"/>
    </row>
    <row r="62">
      <c r="C62" s="79"/>
      <c r="D62" s="79"/>
      <c r="J62" s="79"/>
      <c r="O62" s="79"/>
      <c r="P62" s="79"/>
      <c r="S62" s="79"/>
      <c r="T62" s="79"/>
      <c r="W62" s="130"/>
      <c r="Y62" s="106"/>
    </row>
    <row r="63">
      <c r="C63" s="79"/>
      <c r="D63" s="79"/>
      <c r="J63" s="79"/>
      <c r="O63" s="79"/>
      <c r="P63" s="79"/>
      <c r="S63" s="79"/>
      <c r="T63" s="79"/>
      <c r="W63" s="130"/>
      <c r="Y63" s="106"/>
    </row>
    <row r="64">
      <c r="C64" s="79"/>
      <c r="D64" s="79"/>
      <c r="J64" s="79"/>
      <c r="O64" s="79"/>
      <c r="P64" s="79"/>
      <c r="S64" s="79"/>
      <c r="T64" s="79"/>
      <c r="W64" s="130"/>
      <c r="Y64" s="106"/>
    </row>
    <row r="65">
      <c r="C65" s="79"/>
      <c r="D65" s="79"/>
      <c r="J65" s="79"/>
      <c r="O65" s="79"/>
      <c r="P65" s="79"/>
      <c r="S65" s="79"/>
      <c r="T65" s="79"/>
      <c r="W65" s="130"/>
      <c r="Y65" s="106"/>
    </row>
    <row r="66">
      <c r="C66" s="79"/>
      <c r="D66" s="79"/>
      <c r="J66" s="79"/>
      <c r="O66" s="79"/>
      <c r="P66" s="79"/>
      <c r="S66" s="79"/>
      <c r="T66" s="79"/>
      <c r="W66" s="130"/>
      <c r="Y66" s="106"/>
    </row>
    <row r="67">
      <c r="C67" s="79"/>
      <c r="D67" s="79"/>
      <c r="J67" s="79"/>
      <c r="O67" s="79"/>
      <c r="P67" s="79"/>
      <c r="S67" s="79"/>
      <c r="T67" s="79"/>
      <c r="W67" s="130"/>
      <c r="Y67" s="106"/>
    </row>
    <row r="68">
      <c r="C68" s="79"/>
      <c r="D68" s="79"/>
      <c r="J68" s="79"/>
      <c r="O68" s="79"/>
      <c r="P68" s="79"/>
      <c r="S68" s="79"/>
      <c r="T68" s="79"/>
      <c r="W68" s="130"/>
      <c r="Y68" s="106"/>
    </row>
    <row r="69">
      <c r="C69" s="79"/>
      <c r="D69" s="79"/>
      <c r="J69" s="79"/>
      <c r="O69" s="79"/>
      <c r="P69" s="79"/>
      <c r="S69" s="79"/>
      <c r="T69" s="79"/>
      <c r="W69" s="130"/>
      <c r="Y69" s="106"/>
    </row>
    <row r="70">
      <c r="C70" s="79"/>
      <c r="D70" s="79"/>
      <c r="J70" s="79"/>
      <c r="O70" s="79"/>
      <c r="P70" s="79"/>
      <c r="S70" s="79"/>
      <c r="T70" s="79"/>
      <c r="W70" s="130"/>
      <c r="Y70" s="106"/>
    </row>
    <row r="71">
      <c r="C71" s="79"/>
      <c r="D71" s="79"/>
      <c r="J71" s="79"/>
      <c r="O71" s="79"/>
      <c r="P71" s="79"/>
      <c r="S71" s="79"/>
      <c r="T71" s="79"/>
      <c r="W71" s="130"/>
      <c r="Y71" s="106"/>
    </row>
    <row r="72">
      <c r="C72" s="79"/>
      <c r="D72" s="79"/>
      <c r="J72" s="79"/>
      <c r="O72" s="79"/>
      <c r="P72" s="79"/>
      <c r="S72" s="79"/>
      <c r="T72" s="79"/>
      <c r="W72" s="130"/>
      <c r="Y72" s="106"/>
    </row>
    <row r="73">
      <c r="C73" s="79"/>
      <c r="D73" s="79"/>
      <c r="J73" s="79"/>
      <c r="O73" s="79"/>
      <c r="P73" s="79"/>
      <c r="S73" s="79"/>
      <c r="T73" s="79"/>
      <c r="W73" s="130"/>
      <c r="Y73" s="106"/>
    </row>
    <row r="74">
      <c r="C74" s="79"/>
      <c r="D74" s="79"/>
      <c r="J74" s="79"/>
      <c r="O74" s="79"/>
      <c r="P74" s="79"/>
      <c r="S74" s="79"/>
      <c r="T74" s="79"/>
      <c r="W74" s="130"/>
      <c r="Y74" s="106"/>
    </row>
    <row r="75">
      <c r="C75" s="79"/>
      <c r="D75" s="79"/>
      <c r="J75" s="79"/>
      <c r="O75" s="79"/>
      <c r="P75" s="79"/>
      <c r="S75" s="79"/>
      <c r="T75" s="79"/>
      <c r="W75" s="130"/>
      <c r="Y75" s="106"/>
    </row>
    <row r="76">
      <c r="C76" s="79"/>
      <c r="D76" s="79"/>
      <c r="J76" s="79"/>
      <c r="O76" s="79"/>
      <c r="P76" s="79"/>
      <c r="S76" s="79"/>
      <c r="T76" s="79"/>
      <c r="W76" s="130"/>
      <c r="Y76" s="106"/>
    </row>
    <row r="77">
      <c r="C77" s="79"/>
      <c r="D77" s="79"/>
      <c r="J77" s="79"/>
      <c r="O77" s="79"/>
      <c r="P77" s="79"/>
      <c r="S77" s="79"/>
      <c r="T77" s="79"/>
      <c r="W77" s="130"/>
      <c r="Y77" s="106"/>
    </row>
    <row r="78">
      <c r="C78" s="79"/>
      <c r="D78" s="79"/>
      <c r="J78" s="79"/>
      <c r="O78" s="79"/>
      <c r="P78" s="79"/>
      <c r="S78" s="79"/>
      <c r="T78" s="79"/>
      <c r="W78" s="130"/>
      <c r="Y78" s="106"/>
    </row>
    <row r="79">
      <c r="C79" s="79"/>
      <c r="D79" s="79"/>
      <c r="J79" s="79"/>
      <c r="O79" s="79"/>
      <c r="P79" s="79"/>
      <c r="S79" s="79"/>
      <c r="T79" s="79"/>
      <c r="W79" s="130"/>
      <c r="Y79" s="106"/>
    </row>
    <row r="80">
      <c r="C80" s="79"/>
      <c r="D80" s="79"/>
      <c r="J80" s="79"/>
      <c r="O80" s="79"/>
      <c r="P80" s="79"/>
      <c r="S80" s="79"/>
      <c r="T80" s="79"/>
      <c r="W80" s="130"/>
      <c r="Y80" s="106"/>
    </row>
    <row r="81">
      <c r="C81" s="79"/>
      <c r="D81" s="79"/>
      <c r="J81" s="79"/>
      <c r="O81" s="79"/>
      <c r="P81" s="79"/>
      <c r="S81" s="79"/>
      <c r="T81" s="79"/>
      <c r="W81" s="130"/>
      <c r="Y81" s="106"/>
    </row>
    <row r="82">
      <c r="C82" s="79"/>
      <c r="D82" s="79"/>
      <c r="J82" s="79"/>
      <c r="O82" s="79"/>
      <c r="P82" s="79"/>
      <c r="S82" s="79"/>
      <c r="T82" s="79"/>
      <c r="W82" s="130"/>
      <c r="Y82" s="106"/>
    </row>
    <row r="83">
      <c r="C83" s="79"/>
      <c r="D83" s="79"/>
      <c r="J83" s="79"/>
      <c r="O83" s="79"/>
      <c r="P83" s="79"/>
      <c r="S83" s="79"/>
      <c r="T83" s="79"/>
      <c r="W83" s="130"/>
      <c r="Y83" s="106"/>
    </row>
    <row r="84">
      <c r="C84" s="79"/>
      <c r="D84" s="79"/>
      <c r="J84" s="79"/>
      <c r="O84" s="79"/>
      <c r="P84" s="79"/>
      <c r="S84" s="79"/>
      <c r="T84" s="79"/>
      <c r="W84" s="130"/>
      <c r="Y84" s="106"/>
    </row>
    <row r="85">
      <c r="C85" s="79"/>
      <c r="D85" s="79"/>
      <c r="J85" s="79"/>
      <c r="O85" s="79"/>
      <c r="P85" s="79"/>
      <c r="S85" s="79"/>
      <c r="T85" s="79"/>
      <c r="W85" s="130"/>
      <c r="Y85" s="106"/>
    </row>
    <row r="86">
      <c r="C86" s="79"/>
      <c r="D86" s="79"/>
      <c r="J86" s="79"/>
      <c r="O86" s="79"/>
      <c r="P86" s="79"/>
      <c r="S86" s="79"/>
      <c r="T86" s="79"/>
      <c r="W86" s="130"/>
      <c r="Y86" s="106"/>
    </row>
    <row r="87">
      <c r="C87" s="79"/>
      <c r="D87" s="79"/>
      <c r="J87" s="79"/>
      <c r="O87" s="79"/>
      <c r="P87" s="79"/>
      <c r="S87" s="79"/>
      <c r="T87" s="79"/>
      <c r="W87" s="130"/>
      <c r="Y87" s="106"/>
    </row>
    <row r="88">
      <c r="C88" s="79"/>
      <c r="D88" s="79"/>
      <c r="J88" s="79"/>
      <c r="O88" s="79"/>
      <c r="P88" s="79"/>
      <c r="S88" s="79"/>
      <c r="T88" s="79"/>
      <c r="W88" s="130"/>
      <c r="Y88" s="106"/>
    </row>
    <row r="89">
      <c r="C89" s="79"/>
      <c r="D89" s="79"/>
      <c r="J89" s="79"/>
      <c r="O89" s="79"/>
      <c r="P89" s="79"/>
      <c r="S89" s="79"/>
      <c r="T89" s="79"/>
      <c r="W89" s="130"/>
      <c r="Y89" s="106"/>
    </row>
    <row r="90">
      <c r="C90" s="79"/>
      <c r="D90" s="79"/>
      <c r="J90" s="79"/>
      <c r="O90" s="79"/>
      <c r="P90" s="79"/>
      <c r="S90" s="79"/>
      <c r="T90" s="79"/>
      <c r="W90" s="130"/>
      <c r="Y90" s="106"/>
    </row>
    <row r="91">
      <c r="C91" s="79"/>
      <c r="D91" s="79"/>
      <c r="J91" s="79"/>
      <c r="O91" s="79"/>
      <c r="P91" s="79"/>
      <c r="S91" s="79"/>
      <c r="T91" s="79"/>
      <c r="W91" s="130"/>
      <c r="Y91" s="106"/>
    </row>
    <row r="92">
      <c r="C92" s="79"/>
      <c r="D92" s="79"/>
      <c r="J92" s="79"/>
      <c r="O92" s="79"/>
      <c r="P92" s="79"/>
      <c r="S92" s="79"/>
      <c r="T92" s="79"/>
      <c r="W92" s="130"/>
      <c r="Y92" s="106"/>
    </row>
    <row r="93">
      <c r="C93" s="79"/>
      <c r="D93" s="79"/>
      <c r="J93" s="79"/>
      <c r="O93" s="79"/>
      <c r="P93" s="79"/>
      <c r="S93" s="79"/>
      <c r="T93" s="79"/>
      <c r="W93" s="130"/>
      <c r="Y93" s="106"/>
    </row>
    <row r="94">
      <c r="C94" s="79"/>
      <c r="D94" s="79"/>
      <c r="J94" s="79"/>
      <c r="O94" s="79"/>
      <c r="P94" s="79"/>
      <c r="S94" s="79"/>
      <c r="T94" s="79"/>
      <c r="W94" s="130"/>
      <c r="Y94" s="106"/>
    </row>
    <row r="95">
      <c r="C95" s="79"/>
      <c r="D95" s="79"/>
      <c r="J95" s="79"/>
      <c r="O95" s="79"/>
      <c r="P95" s="79"/>
      <c r="S95" s="79"/>
      <c r="T95" s="79"/>
      <c r="W95" s="130"/>
      <c r="Y95" s="106"/>
    </row>
    <row r="96">
      <c r="C96" s="79"/>
      <c r="D96" s="79"/>
      <c r="J96" s="79"/>
      <c r="O96" s="79"/>
      <c r="P96" s="79"/>
      <c r="S96" s="79"/>
      <c r="T96" s="79"/>
      <c r="W96" s="130"/>
      <c r="Y96" s="106"/>
    </row>
    <row r="97">
      <c r="C97" s="79"/>
      <c r="D97" s="79"/>
      <c r="J97" s="79"/>
      <c r="O97" s="79"/>
      <c r="P97" s="79"/>
      <c r="S97" s="79"/>
      <c r="T97" s="79"/>
      <c r="W97" s="130"/>
      <c r="Y97" s="106"/>
    </row>
    <row r="98">
      <c r="C98" s="79"/>
      <c r="D98" s="79"/>
      <c r="J98" s="79"/>
      <c r="O98" s="79"/>
      <c r="P98" s="79"/>
      <c r="S98" s="79"/>
      <c r="T98" s="79"/>
      <c r="W98" s="130"/>
      <c r="Y98" s="106"/>
    </row>
    <row r="99">
      <c r="C99" s="79"/>
      <c r="D99" s="79"/>
      <c r="J99" s="79"/>
      <c r="O99" s="79"/>
      <c r="P99" s="79"/>
      <c r="S99" s="79"/>
      <c r="T99" s="79"/>
      <c r="W99" s="130"/>
      <c r="Y99" s="106"/>
    </row>
    <row r="100">
      <c r="C100" s="79"/>
      <c r="D100" s="79"/>
      <c r="J100" s="79"/>
      <c r="O100" s="79"/>
      <c r="P100" s="79"/>
      <c r="S100" s="79"/>
      <c r="T100" s="79"/>
      <c r="W100" s="130"/>
      <c r="Y100" s="106"/>
    </row>
    <row r="101">
      <c r="C101" s="79"/>
      <c r="D101" s="79"/>
      <c r="J101" s="79"/>
      <c r="O101" s="79"/>
      <c r="P101" s="79"/>
      <c r="S101" s="79"/>
      <c r="T101" s="79"/>
      <c r="W101" s="130"/>
      <c r="Y101" s="106"/>
    </row>
    <row r="102">
      <c r="C102" s="79"/>
      <c r="D102" s="79"/>
      <c r="J102" s="79"/>
      <c r="O102" s="79"/>
      <c r="P102" s="79"/>
      <c r="S102" s="79"/>
      <c r="T102" s="79"/>
      <c r="W102" s="130"/>
      <c r="Y102" s="106"/>
    </row>
    <row r="103">
      <c r="C103" s="79"/>
      <c r="D103" s="79"/>
      <c r="J103" s="79"/>
      <c r="O103" s="79"/>
      <c r="P103" s="79"/>
      <c r="S103" s="79"/>
      <c r="T103" s="79"/>
      <c r="W103" s="130"/>
      <c r="Y103" s="106"/>
    </row>
    <row r="104">
      <c r="C104" s="79"/>
      <c r="D104" s="79"/>
      <c r="J104" s="79"/>
      <c r="O104" s="79"/>
      <c r="P104" s="79"/>
      <c r="S104" s="79"/>
      <c r="T104" s="79"/>
      <c r="W104" s="130"/>
      <c r="Y104" s="106"/>
    </row>
    <row r="105">
      <c r="C105" s="79"/>
      <c r="D105" s="79"/>
      <c r="J105" s="79"/>
      <c r="O105" s="79"/>
      <c r="P105" s="79"/>
      <c r="S105" s="79"/>
      <c r="T105" s="79"/>
      <c r="W105" s="130"/>
      <c r="Y105" s="106"/>
    </row>
    <row r="106">
      <c r="C106" s="79"/>
      <c r="D106" s="79"/>
      <c r="J106" s="79"/>
      <c r="O106" s="79"/>
      <c r="P106" s="79"/>
      <c r="S106" s="79"/>
      <c r="T106" s="79"/>
      <c r="W106" s="130"/>
      <c r="Y106" s="106"/>
    </row>
    <row r="107">
      <c r="C107" s="79"/>
      <c r="D107" s="79"/>
      <c r="J107" s="79"/>
      <c r="O107" s="79"/>
      <c r="P107" s="79"/>
      <c r="S107" s="79"/>
      <c r="T107" s="79"/>
      <c r="W107" s="130"/>
      <c r="Y107" s="106"/>
    </row>
    <row r="108">
      <c r="C108" s="79"/>
      <c r="D108" s="79"/>
      <c r="J108" s="79"/>
      <c r="O108" s="79"/>
      <c r="P108" s="79"/>
      <c r="S108" s="79"/>
      <c r="T108" s="79"/>
      <c r="W108" s="130"/>
      <c r="Y108" s="106"/>
    </row>
    <row r="109">
      <c r="C109" s="79"/>
      <c r="D109" s="79"/>
      <c r="J109" s="79"/>
      <c r="O109" s="79"/>
      <c r="P109" s="79"/>
      <c r="S109" s="79"/>
      <c r="T109" s="79"/>
      <c r="W109" s="130"/>
      <c r="Y109" s="106"/>
    </row>
    <row r="110">
      <c r="C110" s="79"/>
      <c r="D110" s="79"/>
      <c r="J110" s="79"/>
      <c r="O110" s="79"/>
      <c r="P110" s="79"/>
      <c r="S110" s="79"/>
      <c r="T110" s="79"/>
      <c r="W110" s="130"/>
      <c r="Y110" s="106"/>
    </row>
    <row r="111">
      <c r="C111" s="79"/>
      <c r="D111" s="79"/>
      <c r="J111" s="79"/>
      <c r="O111" s="79"/>
      <c r="P111" s="79"/>
      <c r="S111" s="79"/>
      <c r="T111" s="79"/>
      <c r="W111" s="130"/>
      <c r="Y111" s="106"/>
    </row>
    <row r="112">
      <c r="C112" s="79"/>
      <c r="D112" s="79"/>
      <c r="J112" s="79"/>
      <c r="O112" s="79"/>
      <c r="P112" s="79"/>
      <c r="S112" s="79"/>
      <c r="T112" s="79"/>
      <c r="W112" s="130"/>
      <c r="Y112" s="106"/>
    </row>
    <row r="113">
      <c r="C113" s="79"/>
      <c r="D113" s="79"/>
      <c r="J113" s="79"/>
      <c r="O113" s="79"/>
      <c r="P113" s="79"/>
      <c r="S113" s="79"/>
      <c r="T113" s="79"/>
      <c r="W113" s="130"/>
      <c r="Y113" s="106"/>
    </row>
    <row r="114">
      <c r="C114" s="79"/>
      <c r="D114" s="79"/>
      <c r="J114" s="79"/>
      <c r="O114" s="79"/>
      <c r="P114" s="79"/>
      <c r="S114" s="79"/>
      <c r="T114" s="79"/>
      <c r="W114" s="130"/>
      <c r="Y114" s="106"/>
    </row>
    <row r="115">
      <c r="C115" s="79"/>
      <c r="D115" s="79"/>
      <c r="J115" s="79"/>
      <c r="O115" s="79"/>
      <c r="P115" s="79"/>
      <c r="S115" s="79"/>
      <c r="T115" s="79"/>
      <c r="W115" s="130"/>
      <c r="Y115" s="106"/>
    </row>
    <row r="116">
      <c r="C116" s="79"/>
      <c r="D116" s="79"/>
      <c r="J116" s="79"/>
      <c r="O116" s="79"/>
      <c r="P116" s="79"/>
      <c r="S116" s="79"/>
      <c r="T116" s="79"/>
      <c r="W116" s="130"/>
      <c r="Y116" s="106"/>
    </row>
    <row r="117">
      <c r="C117" s="79"/>
      <c r="D117" s="79"/>
      <c r="J117" s="79"/>
      <c r="O117" s="79"/>
      <c r="P117" s="79"/>
      <c r="S117" s="79"/>
      <c r="T117" s="79"/>
      <c r="W117" s="130"/>
      <c r="Y117" s="106"/>
    </row>
    <row r="118">
      <c r="C118" s="79"/>
      <c r="D118" s="79"/>
      <c r="J118" s="79"/>
      <c r="O118" s="79"/>
      <c r="P118" s="79"/>
      <c r="S118" s="79"/>
      <c r="T118" s="79"/>
      <c r="W118" s="130"/>
      <c r="Y118" s="106"/>
    </row>
    <row r="119">
      <c r="C119" s="79"/>
      <c r="D119" s="79"/>
      <c r="J119" s="79"/>
      <c r="O119" s="79"/>
      <c r="P119" s="79"/>
      <c r="S119" s="79"/>
      <c r="T119" s="79"/>
      <c r="W119" s="130"/>
      <c r="Y119" s="106"/>
    </row>
    <row r="120">
      <c r="C120" s="79"/>
      <c r="D120" s="79"/>
      <c r="J120" s="79"/>
      <c r="O120" s="79"/>
      <c r="P120" s="79"/>
      <c r="S120" s="79"/>
      <c r="T120" s="79"/>
      <c r="W120" s="130"/>
      <c r="Y120" s="106"/>
    </row>
    <row r="121">
      <c r="C121" s="79"/>
      <c r="D121" s="79"/>
      <c r="J121" s="79"/>
      <c r="O121" s="79"/>
      <c r="P121" s="79"/>
      <c r="S121" s="79"/>
      <c r="T121" s="79"/>
      <c r="W121" s="130"/>
      <c r="Y121" s="106"/>
    </row>
    <row r="122">
      <c r="C122" s="79"/>
      <c r="D122" s="79"/>
      <c r="J122" s="79"/>
      <c r="O122" s="79"/>
      <c r="P122" s="79"/>
      <c r="S122" s="79"/>
      <c r="T122" s="79"/>
      <c r="W122" s="130"/>
      <c r="Y122" s="106"/>
    </row>
    <row r="123">
      <c r="C123" s="79"/>
      <c r="D123" s="79"/>
      <c r="J123" s="79"/>
      <c r="O123" s="79"/>
      <c r="P123" s="79"/>
      <c r="S123" s="79"/>
      <c r="T123" s="79"/>
      <c r="W123" s="130"/>
      <c r="Y123" s="106"/>
    </row>
    <row r="124">
      <c r="C124" s="79"/>
      <c r="D124" s="79"/>
      <c r="J124" s="79"/>
      <c r="O124" s="79"/>
      <c r="P124" s="79"/>
      <c r="S124" s="79"/>
      <c r="T124" s="79"/>
      <c r="W124" s="130"/>
      <c r="Y124" s="106"/>
    </row>
    <row r="125">
      <c r="C125" s="79"/>
      <c r="D125" s="79"/>
      <c r="J125" s="79"/>
      <c r="O125" s="79"/>
      <c r="P125" s="79"/>
      <c r="S125" s="79"/>
      <c r="T125" s="79"/>
      <c r="W125" s="130"/>
      <c r="Y125" s="106"/>
    </row>
    <row r="126">
      <c r="C126" s="79"/>
      <c r="D126" s="79"/>
      <c r="J126" s="79"/>
      <c r="O126" s="79"/>
      <c r="P126" s="79"/>
      <c r="S126" s="79"/>
      <c r="T126" s="79"/>
      <c r="W126" s="130"/>
      <c r="Y126" s="106"/>
    </row>
    <row r="127">
      <c r="C127" s="79"/>
      <c r="D127" s="79"/>
      <c r="J127" s="79"/>
      <c r="O127" s="79"/>
      <c r="P127" s="79"/>
      <c r="S127" s="79"/>
      <c r="T127" s="79"/>
      <c r="W127" s="130"/>
      <c r="Y127" s="106"/>
    </row>
    <row r="128">
      <c r="C128" s="79"/>
      <c r="D128" s="79"/>
      <c r="J128" s="79"/>
      <c r="O128" s="79"/>
      <c r="P128" s="79"/>
      <c r="S128" s="79"/>
      <c r="T128" s="79"/>
      <c r="W128" s="130"/>
      <c r="Y128" s="106"/>
    </row>
    <row r="129">
      <c r="C129" s="79"/>
      <c r="D129" s="79"/>
      <c r="J129" s="79"/>
      <c r="O129" s="79"/>
      <c r="P129" s="79"/>
      <c r="S129" s="79"/>
      <c r="T129" s="79"/>
      <c r="W129" s="130"/>
      <c r="Y129" s="106"/>
    </row>
    <row r="130">
      <c r="C130" s="79"/>
      <c r="D130" s="79"/>
      <c r="J130" s="79"/>
      <c r="O130" s="79"/>
      <c r="P130" s="79"/>
      <c r="S130" s="79"/>
      <c r="T130" s="79"/>
      <c r="W130" s="130"/>
      <c r="Y130" s="106"/>
    </row>
    <row r="131">
      <c r="C131" s="79"/>
      <c r="D131" s="79"/>
      <c r="J131" s="79"/>
      <c r="O131" s="79"/>
      <c r="P131" s="79"/>
      <c r="S131" s="79"/>
      <c r="T131" s="79"/>
      <c r="W131" s="130"/>
      <c r="Y131" s="106"/>
    </row>
    <row r="132">
      <c r="C132" s="79"/>
      <c r="D132" s="79"/>
      <c r="J132" s="79"/>
      <c r="O132" s="79"/>
      <c r="P132" s="79"/>
      <c r="S132" s="79"/>
      <c r="T132" s="79"/>
      <c r="W132" s="130"/>
      <c r="Y132" s="106"/>
    </row>
    <row r="133">
      <c r="C133" s="79"/>
      <c r="D133" s="79"/>
      <c r="J133" s="79"/>
      <c r="O133" s="79"/>
      <c r="P133" s="79"/>
      <c r="S133" s="79"/>
      <c r="T133" s="79"/>
      <c r="W133" s="130"/>
      <c r="Y133" s="106"/>
    </row>
    <row r="134">
      <c r="C134" s="79"/>
      <c r="D134" s="79"/>
      <c r="J134" s="79"/>
      <c r="O134" s="79"/>
      <c r="P134" s="79"/>
      <c r="S134" s="79"/>
      <c r="T134" s="79"/>
      <c r="W134" s="130"/>
      <c r="Y134" s="106"/>
    </row>
    <row r="135">
      <c r="C135" s="79"/>
      <c r="D135" s="79"/>
      <c r="J135" s="79"/>
      <c r="O135" s="79"/>
      <c r="P135" s="79"/>
      <c r="S135" s="79"/>
      <c r="T135" s="79"/>
      <c r="W135" s="130"/>
      <c r="Y135" s="106"/>
    </row>
    <row r="136">
      <c r="C136" s="79"/>
      <c r="D136" s="79"/>
      <c r="J136" s="79"/>
      <c r="O136" s="79"/>
      <c r="P136" s="79"/>
      <c r="S136" s="79"/>
      <c r="T136" s="79"/>
      <c r="W136" s="130"/>
      <c r="Y136" s="106"/>
    </row>
    <row r="137">
      <c r="C137" s="79"/>
      <c r="D137" s="79"/>
      <c r="J137" s="79"/>
      <c r="O137" s="79"/>
      <c r="P137" s="79"/>
      <c r="S137" s="79"/>
      <c r="T137" s="79"/>
      <c r="W137" s="130"/>
      <c r="Y137" s="106"/>
    </row>
    <row r="138">
      <c r="C138" s="79"/>
      <c r="D138" s="79"/>
      <c r="J138" s="79"/>
      <c r="O138" s="79"/>
      <c r="P138" s="79"/>
      <c r="S138" s="79"/>
      <c r="T138" s="79"/>
      <c r="W138" s="130"/>
      <c r="Y138" s="106"/>
    </row>
    <row r="139">
      <c r="C139" s="79"/>
      <c r="D139" s="79"/>
      <c r="J139" s="79"/>
      <c r="O139" s="79"/>
      <c r="P139" s="79"/>
      <c r="S139" s="79"/>
      <c r="T139" s="79"/>
      <c r="W139" s="130"/>
      <c r="Y139" s="106"/>
    </row>
    <row r="140">
      <c r="C140" s="79"/>
      <c r="D140" s="79"/>
      <c r="J140" s="79"/>
      <c r="O140" s="79"/>
      <c r="P140" s="79"/>
      <c r="S140" s="79"/>
      <c r="T140" s="79"/>
      <c r="W140" s="130"/>
      <c r="Y140" s="106"/>
    </row>
    <row r="141">
      <c r="C141" s="79"/>
      <c r="D141" s="79"/>
      <c r="J141" s="79"/>
      <c r="O141" s="79"/>
      <c r="P141" s="79"/>
      <c r="S141" s="79"/>
      <c r="T141" s="79"/>
      <c r="W141" s="130"/>
      <c r="Y141" s="106"/>
    </row>
    <row r="142">
      <c r="C142" s="79"/>
      <c r="D142" s="79"/>
      <c r="J142" s="79"/>
      <c r="O142" s="79"/>
      <c r="P142" s="79"/>
      <c r="S142" s="79"/>
      <c r="T142" s="79"/>
      <c r="W142" s="130"/>
      <c r="Y142" s="106"/>
    </row>
    <row r="143">
      <c r="C143" s="79"/>
      <c r="D143" s="79"/>
      <c r="J143" s="79"/>
      <c r="O143" s="79"/>
      <c r="P143" s="79"/>
      <c r="S143" s="79"/>
      <c r="T143" s="79"/>
      <c r="W143" s="130"/>
      <c r="Y143" s="106"/>
    </row>
    <row r="144">
      <c r="C144" s="79"/>
      <c r="D144" s="79"/>
      <c r="J144" s="79"/>
      <c r="O144" s="79"/>
      <c r="P144" s="79"/>
      <c r="S144" s="79"/>
      <c r="T144" s="79"/>
      <c r="W144" s="130"/>
      <c r="Y144" s="106"/>
    </row>
    <row r="145">
      <c r="C145" s="79"/>
      <c r="D145" s="79"/>
      <c r="J145" s="79"/>
      <c r="O145" s="79"/>
      <c r="P145" s="79"/>
      <c r="S145" s="79"/>
      <c r="T145" s="79"/>
      <c r="W145" s="130"/>
      <c r="Y145" s="106"/>
    </row>
    <row r="146">
      <c r="C146" s="79"/>
      <c r="D146" s="79"/>
      <c r="J146" s="79"/>
      <c r="O146" s="79"/>
      <c r="P146" s="79"/>
      <c r="S146" s="79"/>
      <c r="T146" s="79"/>
      <c r="W146" s="130"/>
      <c r="Y146" s="106"/>
    </row>
    <row r="147">
      <c r="C147" s="79"/>
      <c r="D147" s="79"/>
      <c r="J147" s="79"/>
      <c r="O147" s="79"/>
      <c r="P147" s="79"/>
      <c r="S147" s="79"/>
      <c r="T147" s="79"/>
      <c r="W147" s="130"/>
      <c r="Y147" s="106"/>
    </row>
    <row r="148">
      <c r="C148" s="79"/>
      <c r="D148" s="79"/>
      <c r="J148" s="79"/>
      <c r="O148" s="79"/>
      <c r="P148" s="79"/>
      <c r="S148" s="79"/>
      <c r="T148" s="79"/>
      <c r="W148" s="130"/>
      <c r="Y148" s="106"/>
    </row>
    <row r="149">
      <c r="C149" s="79"/>
      <c r="D149" s="79"/>
      <c r="J149" s="79"/>
      <c r="O149" s="79"/>
      <c r="P149" s="79"/>
      <c r="S149" s="79"/>
      <c r="T149" s="79"/>
      <c r="W149" s="130"/>
      <c r="Y149" s="106"/>
    </row>
    <row r="150">
      <c r="C150" s="79"/>
      <c r="D150" s="79"/>
      <c r="J150" s="79"/>
      <c r="O150" s="79"/>
      <c r="P150" s="79"/>
      <c r="S150" s="79"/>
      <c r="T150" s="79"/>
      <c r="W150" s="130"/>
      <c r="Y150" s="106"/>
    </row>
    <row r="151">
      <c r="C151" s="79"/>
      <c r="D151" s="79"/>
      <c r="J151" s="79"/>
      <c r="O151" s="79"/>
      <c r="P151" s="79"/>
      <c r="S151" s="79"/>
      <c r="T151" s="79"/>
      <c r="W151" s="130"/>
      <c r="Y151" s="106"/>
    </row>
    <row r="152">
      <c r="C152" s="79"/>
      <c r="D152" s="79"/>
      <c r="J152" s="79"/>
      <c r="O152" s="79"/>
      <c r="P152" s="79"/>
      <c r="S152" s="79"/>
      <c r="T152" s="79"/>
      <c r="W152" s="130"/>
      <c r="Y152" s="106"/>
    </row>
    <row r="153">
      <c r="C153" s="79"/>
      <c r="D153" s="79"/>
      <c r="J153" s="79"/>
      <c r="O153" s="79"/>
      <c r="P153" s="79"/>
      <c r="S153" s="79"/>
      <c r="T153" s="79"/>
      <c r="W153" s="130"/>
      <c r="Y153" s="106"/>
    </row>
    <row r="154">
      <c r="C154" s="79"/>
      <c r="D154" s="79"/>
      <c r="J154" s="79"/>
      <c r="O154" s="79"/>
      <c r="P154" s="79"/>
      <c r="S154" s="79"/>
      <c r="T154" s="79"/>
      <c r="W154" s="130"/>
      <c r="Y154" s="106"/>
    </row>
    <row r="155">
      <c r="C155" s="79"/>
      <c r="D155" s="79"/>
      <c r="J155" s="79"/>
      <c r="O155" s="79"/>
      <c r="P155" s="79"/>
      <c r="S155" s="79"/>
      <c r="T155" s="79"/>
      <c r="W155" s="130"/>
      <c r="Y155" s="106"/>
    </row>
    <row r="156">
      <c r="C156" s="79"/>
      <c r="D156" s="79"/>
      <c r="J156" s="79"/>
      <c r="O156" s="79"/>
      <c r="P156" s="79"/>
      <c r="S156" s="79"/>
      <c r="T156" s="79"/>
      <c r="W156" s="130"/>
      <c r="Y156" s="106"/>
    </row>
    <row r="157">
      <c r="C157" s="79"/>
      <c r="D157" s="79"/>
      <c r="J157" s="79"/>
      <c r="O157" s="79"/>
      <c r="P157" s="79"/>
      <c r="S157" s="79"/>
      <c r="T157" s="79"/>
      <c r="W157" s="130"/>
      <c r="Y157" s="106"/>
    </row>
    <row r="158">
      <c r="C158" s="79"/>
      <c r="D158" s="79"/>
      <c r="J158" s="79"/>
      <c r="O158" s="79"/>
      <c r="P158" s="79"/>
      <c r="S158" s="79"/>
      <c r="T158" s="79"/>
      <c r="W158" s="130"/>
      <c r="Y158" s="106"/>
    </row>
    <row r="159">
      <c r="C159" s="79"/>
      <c r="D159" s="79"/>
      <c r="J159" s="79"/>
      <c r="O159" s="79"/>
      <c r="P159" s="79"/>
      <c r="S159" s="79"/>
      <c r="T159" s="79"/>
      <c r="W159" s="130"/>
      <c r="Y159" s="106"/>
    </row>
    <row r="160">
      <c r="C160" s="79"/>
      <c r="D160" s="79"/>
      <c r="J160" s="79"/>
      <c r="O160" s="79"/>
      <c r="P160" s="79"/>
      <c r="S160" s="79"/>
      <c r="T160" s="79"/>
      <c r="W160" s="130"/>
      <c r="Y160" s="106"/>
    </row>
    <row r="161">
      <c r="C161" s="79"/>
      <c r="D161" s="79"/>
      <c r="J161" s="79"/>
      <c r="O161" s="79"/>
      <c r="P161" s="79"/>
      <c r="S161" s="79"/>
      <c r="T161" s="79"/>
      <c r="W161" s="130"/>
      <c r="Y161" s="106"/>
    </row>
    <row r="162">
      <c r="C162" s="79"/>
      <c r="D162" s="79"/>
      <c r="J162" s="79"/>
      <c r="O162" s="79"/>
      <c r="P162" s="79"/>
      <c r="S162" s="79"/>
      <c r="T162" s="79"/>
      <c r="W162" s="130"/>
      <c r="Y162" s="106"/>
    </row>
    <row r="163">
      <c r="C163" s="79"/>
      <c r="D163" s="79"/>
      <c r="J163" s="79"/>
      <c r="O163" s="79"/>
      <c r="P163" s="79"/>
      <c r="S163" s="79"/>
      <c r="T163" s="79"/>
      <c r="W163" s="130"/>
      <c r="Y163" s="106"/>
    </row>
    <row r="164">
      <c r="C164" s="79"/>
      <c r="D164" s="79"/>
      <c r="J164" s="79"/>
      <c r="O164" s="79"/>
      <c r="P164" s="79"/>
      <c r="S164" s="79"/>
      <c r="T164" s="79"/>
      <c r="W164" s="130"/>
      <c r="Y164" s="106"/>
    </row>
    <row r="165">
      <c r="C165" s="79"/>
      <c r="D165" s="79"/>
      <c r="J165" s="79"/>
      <c r="O165" s="79"/>
      <c r="P165" s="79"/>
      <c r="S165" s="79"/>
      <c r="T165" s="79"/>
      <c r="W165" s="130"/>
      <c r="Y165" s="106"/>
    </row>
    <row r="166">
      <c r="C166" s="79"/>
      <c r="D166" s="79"/>
      <c r="J166" s="79"/>
      <c r="O166" s="79"/>
      <c r="P166" s="79"/>
      <c r="S166" s="79"/>
      <c r="T166" s="79"/>
      <c r="W166" s="130"/>
      <c r="Y166" s="106"/>
    </row>
    <row r="167">
      <c r="C167" s="79"/>
      <c r="D167" s="79"/>
      <c r="J167" s="79"/>
      <c r="O167" s="79"/>
      <c r="P167" s="79"/>
      <c r="S167" s="79"/>
      <c r="T167" s="79"/>
      <c r="W167" s="130"/>
      <c r="Y167" s="106"/>
    </row>
    <row r="168">
      <c r="C168" s="79"/>
      <c r="D168" s="79"/>
      <c r="J168" s="79"/>
      <c r="O168" s="79"/>
      <c r="P168" s="79"/>
      <c r="S168" s="79"/>
      <c r="T168" s="79"/>
      <c r="W168" s="130"/>
      <c r="Y168" s="106"/>
    </row>
    <row r="169">
      <c r="C169" s="79"/>
      <c r="D169" s="79"/>
      <c r="J169" s="79"/>
      <c r="O169" s="79"/>
      <c r="P169" s="79"/>
      <c r="S169" s="79"/>
      <c r="T169" s="79"/>
      <c r="W169" s="130"/>
      <c r="Y169" s="106"/>
    </row>
    <row r="170">
      <c r="C170" s="79"/>
      <c r="D170" s="79"/>
      <c r="J170" s="79"/>
      <c r="O170" s="79"/>
      <c r="P170" s="79"/>
      <c r="S170" s="79"/>
      <c r="T170" s="79"/>
      <c r="W170" s="130"/>
      <c r="Y170" s="106"/>
    </row>
    <row r="171">
      <c r="C171" s="79"/>
      <c r="D171" s="79"/>
      <c r="J171" s="79"/>
      <c r="O171" s="79"/>
      <c r="P171" s="79"/>
      <c r="S171" s="79"/>
      <c r="T171" s="79"/>
      <c r="W171" s="130"/>
      <c r="Y171" s="106"/>
    </row>
    <row r="172">
      <c r="C172" s="79"/>
      <c r="D172" s="79"/>
      <c r="J172" s="79"/>
      <c r="O172" s="79"/>
      <c r="P172" s="79"/>
      <c r="S172" s="79"/>
      <c r="T172" s="79"/>
      <c r="W172" s="130"/>
      <c r="Y172" s="106"/>
    </row>
    <row r="173">
      <c r="C173" s="79"/>
      <c r="D173" s="79"/>
      <c r="J173" s="79"/>
      <c r="O173" s="79"/>
      <c r="P173" s="79"/>
      <c r="S173" s="79"/>
      <c r="T173" s="79"/>
      <c r="W173" s="130"/>
      <c r="Y173" s="106"/>
    </row>
    <row r="174">
      <c r="C174" s="79"/>
      <c r="D174" s="79"/>
      <c r="J174" s="79"/>
      <c r="O174" s="79"/>
      <c r="P174" s="79"/>
      <c r="S174" s="79"/>
      <c r="T174" s="79"/>
      <c r="W174" s="130"/>
      <c r="Y174" s="106"/>
    </row>
    <row r="175">
      <c r="C175" s="79"/>
      <c r="D175" s="79"/>
      <c r="J175" s="79"/>
      <c r="O175" s="79"/>
      <c r="P175" s="79"/>
      <c r="S175" s="79"/>
      <c r="T175" s="79"/>
      <c r="W175" s="130"/>
      <c r="Y175" s="106"/>
    </row>
    <row r="176">
      <c r="C176" s="79"/>
      <c r="D176" s="79"/>
      <c r="J176" s="79"/>
      <c r="O176" s="79"/>
      <c r="P176" s="79"/>
      <c r="S176" s="79"/>
      <c r="T176" s="79"/>
      <c r="W176" s="130"/>
      <c r="Y176" s="106"/>
    </row>
    <row r="177">
      <c r="C177" s="79"/>
      <c r="D177" s="79"/>
      <c r="J177" s="79"/>
      <c r="O177" s="79"/>
      <c r="P177" s="79"/>
      <c r="S177" s="79"/>
      <c r="T177" s="79"/>
      <c r="W177" s="130"/>
      <c r="Y177" s="106"/>
    </row>
    <row r="178">
      <c r="C178" s="79"/>
      <c r="D178" s="79"/>
      <c r="J178" s="79"/>
      <c r="O178" s="79"/>
      <c r="P178" s="79"/>
      <c r="S178" s="79"/>
      <c r="T178" s="79"/>
      <c r="W178" s="130"/>
      <c r="Y178" s="106"/>
    </row>
    <row r="179">
      <c r="C179" s="79"/>
      <c r="D179" s="79"/>
      <c r="J179" s="79"/>
      <c r="O179" s="79"/>
      <c r="P179" s="79"/>
      <c r="S179" s="79"/>
      <c r="T179" s="79"/>
      <c r="W179" s="130"/>
      <c r="Y179" s="106"/>
    </row>
    <row r="180">
      <c r="C180" s="79"/>
      <c r="D180" s="79"/>
      <c r="J180" s="79"/>
      <c r="O180" s="79"/>
      <c r="P180" s="79"/>
      <c r="S180" s="79"/>
      <c r="T180" s="79"/>
      <c r="W180" s="130"/>
      <c r="Y180" s="106"/>
    </row>
    <row r="181">
      <c r="C181" s="79"/>
      <c r="D181" s="79"/>
      <c r="J181" s="79"/>
      <c r="O181" s="79"/>
      <c r="P181" s="79"/>
      <c r="S181" s="79"/>
      <c r="T181" s="79"/>
      <c r="W181" s="130"/>
      <c r="Y181" s="106"/>
    </row>
    <row r="182">
      <c r="C182" s="79"/>
      <c r="D182" s="79"/>
      <c r="J182" s="79"/>
      <c r="O182" s="79"/>
      <c r="P182" s="79"/>
      <c r="S182" s="79"/>
      <c r="T182" s="79"/>
      <c r="W182" s="130"/>
      <c r="Y182" s="106"/>
    </row>
    <row r="183">
      <c r="C183" s="79"/>
      <c r="D183" s="79"/>
      <c r="J183" s="79"/>
      <c r="O183" s="79"/>
      <c r="P183" s="79"/>
      <c r="S183" s="79"/>
      <c r="T183" s="79"/>
      <c r="W183" s="130"/>
      <c r="Y183" s="106"/>
    </row>
    <row r="184">
      <c r="C184" s="79"/>
      <c r="D184" s="79"/>
      <c r="J184" s="79"/>
      <c r="O184" s="79"/>
      <c r="P184" s="79"/>
      <c r="S184" s="79"/>
      <c r="T184" s="79"/>
      <c r="W184" s="130"/>
      <c r="Y184" s="106"/>
    </row>
    <row r="185">
      <c r="C185" s="79"/>
      <c r="D185" s="79"/>
      <c r="J185" s="79"/>
      <c r="O185" s="79"/>
      <c r="P185" s="79"/>
      <c r="S185" s="79"/>
      <c r="T185" s="79"/>
      <c r="W185" s="130"/>
      <c r="Y185" s="106"/>
    </row>
    <row r="186">
      <c r="C186" s="79"/>
      <c r="D186" s="79"/>
      <c r="J186" s="79"/>
      <c r="O186" s="79"/>
      <c r="P186" s="79"/>
      <c r="S186" s="79"/>
      <c r="T186" s="79"/>
      <c r="W186" s="130"/>
      <c r="Y186" s="106"/>
    </row>
    <row r="187">
      <c r="C187" s="79"/>
      <c r="D187" s="79"/>
      <c r="J187" s="79"/>
      <c r="O187" s="79"/>
      <c r="P187" s="79"/>
      <c r="S187" s="79"/>
      <c r="T187" s="79"/>
      <c r="W187" s="130"/>
      <c r="Y187" s="106"/>
    </row>
    <row r="188">
      <c r="C188" s="79"/>
      <c r="D188" s="79"/>
      <c r="J188" s="79"/>
      <c r="O188" s="79"/>
      <c r="P188" s="79"/>
      <c r="S188" s="79"/>
      <c r="T188" s="79"/>
      <c r="W188" s="130"/>
      <c r="Y188" s="106"/>
    </row>
    <row r="189">
      <c r="C189" s="79"/>
      <c r="D189" s="79"/>
      <c r="J189" s="79"/>
      <c r="O189" s="79"/>
      <c r="P189" s="79"/>
      <c r="S189" s="79"/>
      <c r="T189" s="79"/>
      <c r="W189" s="130"/>
      <c r="Y189" s="106"/>
    </row>
    <row r="190">
      <c r="C190" s="79"/>
      <c r="D190" s="79"/>
      <c r="J190" s="79"/>
      <c r="O190" s="79"/>
      <c r="P190" s="79"/>
      <c r="S190" s="79"/>
      <c r="T190" s="79"/>
      <c r="W190" s="130"/>
      <c r="Y190" s="106"/>
    </row>
    <row r="191">
      <c r="C191" s="79"/>
      <c r="D191" s="79"/>
      <c r="J191" s="79"/>
      <c r="O191" s="79"/>
      <c r="P191" s="79"/>
      <c r="S191" s="79"/>
      <c r="T191" s="79"/>
      <c r="W191" s="130"/>
      <c r="Y191" s="106"/>
    </row>
    <row r="192">
      <c r="C192" s="79"/>
      <c r="D192" s="79"/>
      <c r="J192" s="79"/>
      <c r="O192" s="79"/>
      <c r="P192" s="79"/>
      <c r="S192" s="79"/>
      <c r="T192" s="79"/>
      <c r="W192" s="130"/>
      <c r="Y192" s="106"/>
    </row>
    <row r="193">
      <c r="C193" s="79"/>
      <c r="D193" s="79"/>
      <c r="J193" s="79"/>
      <c r="O193" s="79"/>
      <c r="P193" s="79"/>
      <c r="S193" s="79"/>
      <c r="T193" s="79"/>
      <c r="W193" s="130"/>
      <c r="Y193" s="106"/>
    </row>
    <row r="194">
      <c r="C194" s="79"/>
      <c r="D194" s="79"/>
      <c r="J194" s="79"/>
      <c r="O194" s="79"/>
      <c r="P194" s="79"/>
      <c r="S194" s="79"/>
      <c r="T194" s="79"/>
      <c r="W194" s="130"/>
      <c r="Y194" s="106"/>
    </row>
    <row r="195">
      <c r="C195" s="79"/>
      <c r="D195" s="79"/>
      <c r="J195" s="79"/>
      <c r="O195" s="79"/>
      <c r="P195" s="79"/>
      <c r="S195" s="79"/>
      <c r="T195" s="79"/>
      <c r="W195" s="130"/>
      <c r="Y195" s="106"/>
    </row>
    <row r="196">
      <c r="C196" s="79"/>
      <c r="D196" s="79"/>
      <c r="J196" s="79"/>
      <c r="O196" s="79"/>
      <c r="P196" s="79"/>
      <c r="S196" s="79"/>
      <c r="T196" s="79"/>
      <c r="W196" s="130"/>
      <c r="Y196" s="106"/>
    </row>
    <row r="197">
      <c r="C197" s="79"/>
      <c r="D197" s="79"/>
      <c r="J197" s="79"/>
      <c r="O197" s="79"/>
      <c r="P197" s="79"/>
      <c r="S197" s="79"/>
      <c r="T197" s="79"/>
      <c r="W197" s="130"/>
      <c r="Y197" s="106"/>
    </row>
    <row r="198">
      <c r="C198" s="79"/>
      <c r="D198" s="79"/>
      <c r="J198" s="79"/>
      <c r="O198" s="79"/>
      <c r="P198" s="79"/>
      <c r="S198" s="79"/>
      <c r="T198" s="79"/>
      <c r="W198" s="130"/>
      <c r="Y198" s="106"/>
    </row>
    <row r="199">
      <c r="C199" s="79"/>
      <c r="D199" s="79"/>
      <c r="J199" s="79"/>
      <c r="O199" s="79"/>
      <c r="P199" s="79"/>
      <c r="S199" s="79"/>
      <c r="T199" s="79"/>
      <c r="W199" s="130"/>
      <c r="Y199" s="106"/>
    </row>
    <row r="200">
      <c r="C200" s="79"/>
      <c r="D200" s="79"/>
      <c r="J200" s="79"/>
      <c r="O200" s="79"/>
      <c r="P200" s="79"/>
      <c r="S200" s="79"/>
      <c r="T200" s="79"/>
      <c r="W200" s="130"/>
      <c r="Y200" s="106"/>
    </row>
    <row r="201">
      <c r="C201" s="79"/>
      <c r="D201" s="79"/>
      <c r="J201" s="79"/>
      <c r="O201" s="79"/>
      <c r="P201" s="79"/>
      <c r="S201" s="79"/>
      <c r="T201" s="79"/>
      <c r="W201" s="130"/>
      <c r="Y201" s="106"/>
    </row>
    <row r="202">
      <c r="C202" s="79"/>
      <c r="D202" s="79"/>
      <c r="J202" s="79"/>
      <c r="O202" s="79"/>
      <c r="P202" s="79"/>
      <c r="S202" s="79"/>
      <c r="T202" s="79"/>
      <c r="W202" s="130"/>
      <c r="Y202" s="106"/>
    </row>
    <row r="203">
      <c r="C203" s="79"/>
      <c r="D203" s="79"/>
      <c r="J203" s="79"/>
      <c r="O203" s="79"/>
      <c r="P203" s="79"/>
      <c r="S203" s="79"/>
      <c r="T203" s="79"/>
      <c r="W203" s="130"/>
      <c r="Y203" s="106"/>
    </row>
    <row r="204">
      <c r="C204" s="79"/>
      <c r="D204" s="79"/>
      <c r="J204" s="79"/>
      <c r="O204" s="79"/>
      <c r="P204" s="79"/>
      <c r="S204" s="79"/>
      <c r="T204" s="79"/>
      <c r="W204" s="130"/>
      <c r="Y204" s="106"/>
    </row>
    <row r="205">
      <c r="C205" s="79"/>
      <c r="D205" s="79"/>
      <c r="J205" s="79"/>
      <c r="O205" s="79"/>
      <c r="P205" s="79"/>
      <c r="S205" s="79"/>
      <c r="T205" s="79"/>
      <c r="W205" s="130"/>
      <c r="Y205" s="106"/>
    </row>
    <row r="206">
      <c r="C206" s="79"/>
      <c r="D206" s="79"/>
      <c r="J206" s="79"/>
      <c r="O206" s="79"/>
      <c r="P206" s="79"/>
      <c r="S206" s="79"/>
      <c r="T206" s="79"/>
      <c r="W206" s="130"/>
      <c r="Y206" s="106"/>
    </row>
    <row r="207">
      <c r="C207" s="79"/>
      <c r="D207" s="79"/>
      <c r="J207" s="79"/>
      <c r="O207" s="79"/>
      <c r="P207" s="79"/>
      <c r="S207" s="79"/>
      <c r="T207" s="79"/>
      <c r="W207" s="130"/>
      <c r="Y207" s="106"/>
    </row>
    <row r="208">
      <c r="C208" s="79"/>
      <c r="D208" s="79"/>
      <c r="J208" s="79"/>
      <c r="O208" s="79"/>
      <c r="P208" s="79"/>
      <c r="S208" s="79"/>
      <c r="T208" s="79"/>
      <c r="W208" s="130"/>
      <c r="Y208" s="106"/>
    </row>
    <row r="209">
      <c r="C209" s="79"/>
      <c r="D209" s="79"/>
      <c r="J209" s="79"/>
      <c r="O209" s="79"/>
      <c r="P209" s="79"/>
      <c r="S209" s="79"/>
      <c r="T209" s="79"/>
      <c r="W209" s="130"/>
      <c r="Y209" s="106"/>
    </row>
    <row r="210">
      <c r="C210" s="79"/>
      <c r="D210" s="79"/>
      <c r="J210" s="79"/>
      <c r="O210" s="79"/>
      <c r="P210" s="79"/>
      <c r="S210" s="79"/>
      <c r="T210" s="79"/>
      <c r="W210" s="130"/>
      <c r="Y210" s="106"/>
    </row>
    <row r="211">
      <c r="C211" s="79"/>
      <c r="D211" s="79"/>
      <c r="J211" s="79"/>
      <c r="O211" s="79"/>
      <c r="P211" s="79"/>
      <c r="S211" s="79"/>
      <c r="T211" s="79"/>
      <c r="W211" s="130"/>
      <c r="Y211" s="106"/>
    </row>
    <row r="212">
      <c r="C212" s="79"/>
      <c r="D212" s="79"/>
      <c r="J212" s="79"/>
      <c r="O212" s="79"/>
      <c r="P212" s="79"/>
      <c r="S212" s="79"/>
      <c r="T212" s="79"/>
      <c r="W212" s="130"/>
      <c r="Y212" s="106"/>
    </row>
    <row r="213">
      <c r="C213" s="79"/>
      <c r="D213" s="79"/>
      <c r="J213" s="79"/>
      <c r="O213" s="79"/>
      <c r="P213" s="79"/>
      <c r="S213" s="79"/>
      <c r="T213" s="79"/>
      <c r="W213" s="130"/>
      <c r="Y213" s="106"/>
    </row>
    <row r="214">
      <c r="C214" s="79"/>
      <c r="D214" s="79"/>
      <c r="J214" s="79"/>
      <c r="O214" s="79"/>
      <c r="P214" s="79"/>
      <c r="S214" s="79"/>
      <c r="T214" s="79"/>
      <c r="W214" s="130"/>
      <c r="Y214" s="106"/>
    </row>
    <row r="215">
      <c r="C215" s="79"/>
      <c r="D215" s="79"/>
      <c r="J215" s="79"/>
      <c r="O215" s="79"/>
      <c r="P215" s="79"/>
      <c r="S215" s="79"/>
      <c r="T215" s="79"/>
      <c r="W215" s="130"/>
      <c r="Y215" s="106"/>
    </row>
    <row r="216">
      <c r="C216" s="79"/>
      <c r="D216" s="79"/>
      <c r="J216" s="79"/>
      <c r="O216" s="79"/>
      <c r="P216" s="79"/>
      <c r="S216" s="79"/>
      <c r="T216" s="79"/>
      <c r="W216" s="130"/>
      <c r="Y216" s="106"/>
    </row>
    <row r="217">
      <c r="C217" s="79"/>
      <c r="D217" s="79"/>
      <c r="J217" s="79"/>
      <c r="O217" s="79"/>
      <c r="P217" s="79"/>
      <c r="S217" s="79"/>
      <c r="T217" s="79"/>
      <c r="W217" s="130"/>
      <c r="Y217" s="106"/>
    </row>
    <row r="218">
      <c r="C218" s="79"/>
      <c r="D218" s="79"/>
      <c r="J218" s="79"/>
      <c r="O218" s="79"/>
      <c r="P218" s="79"/>
      <c r="S218" s="79"/>
      <c r="T218" s="79"/>
      <c r="W218" s="130"/>
      <c r="Y218" s="106"/>
    </row>
    <row r="219">
      <c r="C219" s="79"/>
      <c r="D219" s="79"/>
      <c r="J219" s="79"/>
      <c r="O219" s="79"/>
      <c r="P219" s="79"/>
      <c r="S219" s="79"/>
      <c r="T219" s="79"/>
      <c r="W219" s="130"/>
      <c r="Y219" s="106"/>
    </row>
    <row r="220">
      <c r="C220" s="79"/>
      <c r="D220" s="79"/>
      <c r="J220" s="79"/>
      <c r="O220" s="79"/>
      <c r="P220" s="79"/>
      <c r="S220" s="79"/>
      <c r="T220" s="79"/>
      <c r="W220" s="130"/>
      <c r="Y220" s="106"/>
    </row>
    <row r="221">
      <c r="C221" s="79"/>
      <c r="D221" s="79"/>
      <c r="J221" s="79"/>
      <c r="O221" s="79"/>
      <c r="P221" s="79"/>
      <c r="S221" s="79"/>
      <c r="T221" s="79"/>
      <c r="W221" s="130"/>
      <c r="Y221" s="106"/>
    </row>
    <row r="222">
      <c r="C222" s="79"/>
      <c r="D222" s="79"/>
      <c r="J222" s="79"/>
      <c r="O222" s="79"/>
      <c r="P222" s="79"/>
      <c r="S222" s="79"/>
      <c r="T222" s="79"/>
      <c r="W222" s="130"/>
      <c r="Y222" s="106"/>
    </row>
    <row r="223">
      <c r="C223" s="79"/>
      <c r="D223" s="79"/>
      <c r="J223" s="79"/>
      <c r="O223" s="79"/>
      <c r="P223" s="79"/>
      <c r="S223" s="79"/>
      <c r="T223" s="79"/>
      <c r="W223" s="130"/>
      <c r="Y223" s="106"/>
    </row>
    <row r="224">
      <c r="C224" s="79"/>
      <c r="D224" s="79"/>
      <c r="J224" s="79"/>
      <c r="O224" s="79"/>
      <c r="P224" s="79"/>
      <c r="S224" s="79"/>
      <c r="T224" s="79"/>
      <c r="W224" s="130"/>
      <c r="Y224" s="106"/>
    </row>
    <row r="225">
      <c r="C225" s="79"/>
      <c r="D225" s="79"/>
      <c r="J225" s="79"/>
      <c r="O225" s="79"/>
      <c r="P225" s="79"/>
      <c r="S225" s="79"/>
      <c r="T225" s="79"/>
      <c r="W225" s="130"/>
      <c r="Y225" s="106"/>
    </row>
    <row r="226">
      <c r="C226" s="79"/>
      <c r="D226" s="79"/>
      <c r="J226" s="79"/>
      <c r="O226" s="79"/>
      <c r="P226" s="79"/>
      <c r="S226" s="79"/>
      <c r="T226" s="79"/>
      <c r="W226" s="130"/>
      <c r="Y226" s="106"/>
    </row>
    <row r="227">
      <c r="C227" s="79"/>
      <c r="D227" s="79"/>
      <c r="J227" s="79"/>
      <c r="O227" s="79"/>
      <c r="P227" s="79"/>
      <c r="S227" s="79"/>
      <c r="T227" s="79"/>
      <c r="W227" s="130"/>
      <c r="Y227" s="106"/>
    </row>
    <row r="228">
      <c r="C228" s="79"/>
      <c r="D228" s="79"/>
      <c r="J228" s="79"/>
      <c r="O228" s="79"/>
      <c r="P228" s="79"/>
      <c r="S228" s="79"/>
      <c r="T228" s="79"/>
      <c r="W228" s="130"/>
      <c r="Y228" s="106"/>
    </row>
    <row r="229">
      <c r="C229" s="79"/>
      <c r="D229" s="79"/>
      <c r="J229" s="79"/>
      <c r="O229" s="79"/>
      <c r="P229" s="79"/>
      <c r="S229" s="79"/>
      <c r="T229" s="79"/>
      <c r="W229" s="130"/>
      <c r="Y229" s="106"/>
    </row>
    <row r="230">
      <c r="C230" s="79"/>
      <c r="D230" s="79"/>
      <c r="J230" s="79"/>
      <c r="O230" s="79"/>
      <c r="P230" s="79"/>
      <c r="S230" s="79"/>
      <c r="T230" s="79"/>
      <c r="W230" s="130"/>
      <c r="Y230" s="106"/>
    </row>
    <row r="231">
      <c r="C231" s="79"/>
      <c r="D231" s="79"/>
      <c r="J231" s="79"/>
      <c r="O231" s="79"/>
      <c r="P231" s="79"/>
      <c r="S231" s="79"/>
      <c r="T231" s="79"/>
      <c r="W231" s="130"/>
      <c r="Y231" s="106"/>
    </row>
    <row r="232">
      <c r="C232" s="79"/>
      <c r="D232" s="79"/>
      <c r="J232" s="79"/>
      <c r="O232" s="79"/>
      <c r="P232" s="79"/>
      <c r="S232" s="79"/>
      <c r="T232" s="79"/>
      <c r="W232" s="130"/>
      <c r="Y232" s="106"/>
    </row>
    <row r="233">
      <c r="C233" s="79"/>
      <c r="D233" s="79"/>
      <c r="J233" s="79"/>
      <c r="O233" s="79"/>
      <c r="P233" s="79"/>
      <c r="S233" s="79"/>
      <c r="T233" s="79"/>
      <c r="W233" s="130"/>
      <c r="Y233" s="106"/>
    </row>
    <row r="234">
      <c r="C234" s="79"/>
      <c r="D234" s="79"/>
      <c r="J234" s="79"/>
      <c r="O234" s="79"/>
      <c r="P234" s="79"/>
      <c r="S234" s="79"/>
      <c r="T234" s="79"/>
      <c r="W234" s="130"/>
      <c r="Y234" s="106"/>
    </row>
    <row r="235">
      <c r="C235" s="79"/>
      <c r="D235" s="79"/>
      <c r="J235" s="79"/>
      <c r="O235" s="79"/>
      <c r="P235" s="79"/>
      <c r="S235" s="79"/>
      <c r="T235" s="79"/>
      <c r="W235" s="130"/>
      <c r="Y235" s="106"/>
    </row>
    <row r="236">
      <c r="C236" s="79"/>
      <c r="D236" s="79"/>
      <c r="J236" s="79"/>
      <c r="O236" s="79"/>
      <c r="P236" s="79"/>
      <c r="S236" s="79"/>
      <c r="T236" s="79"/>
      <c r="W236" s="130"/>
      <c r="Y236" s="106"/>
    </row>
    <row r="237">
      <c r="C237" s="79"/>
      <c r="D237" s="79"/>
      <c r="J237" s="79"/>
      <c r="O237" s="79"/>
      <c r="P237" s="79"/>
      <c r="S237" s="79"/>
      <c r="T237" s="79"/>
      <c r="W237" s="130"/>
      <c r="Y237" s="106"/>
    </row>
    <row r="238">
      <c r="C238" s="79"/>
      <c r="D238" s="79"/>
      <c r="J238" s="79"/>
      <c r="O238" s="79"/>
      <c r="P238" s="79"/>
      <c r="S238" s="79"/>
      <c r="T238" s="79"/>
      <c r="W238" s="130"/>
      <c r="Y238" s="106"/>
    </row>
    <row r="239">
      <c r="C239" s="79"/>
      <c r="D239" s="79"/>
      <c r="J239" s="79"/>
      <c r="O239" s="79"/>
      <c r="P239" s="79"/>
      <c r="S239" s="79"/>
      <c r="T239" s="79"/>
      <c r="W239" s="130"/>
      <c r="Y239" s="106"/>
    </row>
    <row r="240">
      <c r="C240" s="79"/>
      <c r="D240" s="79"/>
      <c r="J240" s="79"/>
      <c r="O240" s="79"/>
      <c r="P240" s="79"/>
      <c r="S240" s="79"/>
      <c r="T240" s="79"/>
      <c r="W240" s="130"/>
      <c r="Y240" s="106"/>
    </row>
    <row r="241">
      <c r="C241" s="79"/>
      <c r="D241" s="79"/>
      <c r="J241" s="79"/>
      <c r="O241" s="79"/>
      <c r="P241" s="79"/>
      <c r="S241" s="79"/>
      <c r="T241" s="79"/>
      <c r="W241" s="130"/>
      <c r="Y241" s="106"/>
    </row>
    <row r="242">
      <c r="C242" s="79"/>
      <c r="D242" s="79"/>
      <c r="J242" s="79"/>
      <c r="O242" s="79"/>
      <c r="P242" s="79"/>
      <c r="S242" s="79"/>
      <c r="T242" s="79"/>
      <c r="W242" s="130"/>
      <c r="Y242" s="106"/>
    </row>
    <row r="243">
      <c r="C243" s="79"/>
      <c r="D243" s="79"/>
      <c r="J243" s="79"/>
      <c r="O243" s="79"/>
      <c r="P243" s="79"/>
      <c r="S243" s="79"/>
      <c r="T243" s="79"/>
      <c r="W243" s="130"/>
      <c r="Y243" s="106"/>
    </row>
    <row r="244">
      <c r="C244" s="79"/>
      <c r="D244" s="79"/>
      <c r="J244" s="79"/>
      <c r="O244" s="79"/>
      <c r="P244" s="79"/>
      <c r="S244" s="79"/>
      <c r="T244" s="79"/>
      <c r="W244" s="130"/>
      <c r="Y244" s="106"/>
    </row>
    <row r="245">
      <c r="C245" s="79"/>
      <c r="D245" s="79"/>
      <c r="J245" s="79"/>
      <c r="O245" s="79"/>
      <c r="P245" s="79"/>
      <c r="S245" s="79"/>
      <c r="T245" s="79"/>
      <c r="W245" s="130"/>
      <c r="Y245" s="106"/>
    </row>
    <row r="246">
      <c r="C246" s="79"/>
      <c r="D246" s="79"/>
      <c r="J246" s="79"/>
      <c r="O246" s="79"/>
      <c r="P246" s="79"/>
      <c r="S246" s="79"/>
      <c r="T246" s="79"/>
      <c r="W246" s="130"/>
      <c r="Y246" s="106"/>
    </row>
    <row r="247">
      <c r="C247" s="79"/>
      <c r="D247" s="79"/>
      <c r="J247" s="79"/>
      <c r="O247" s="79"/>
      <c r="P247" s="79"/>
      <c r="S247" s="79"/>
      <c r="T247" s="79"/>
      <c r="W247" s="130"/>
      <c r="Y247" s="106"/>
    </row>
    <row r="248">
      <c r="C248" s="79"/>
      <c r="D248" s="79"/>
      <c r="J248" s="79"/>
      <c r="O248" s="79"/>
      <c r="P248" s="79"/>
      <c r="S248" s="79"/>
      <c r="T248" s="79"/>
      <c r="W248" s="130"/>
      <c r="Y248" s="106"/>
    </row>
    <row r="249">
      <c r="C249" s="79"/>
      <c r="D249" s="79"/>
      <c r="J249" s="79"/>
      <c r="O249" s="79"/>
      <c r="P249" s="79"/>
      <c r="S249" s="79"/>
      <c r="T249" s="79"/>
      <c r="W249" s="130"/>
      <c r="Y249" s="106"/>
    </row>
    <row r="250">
      <c r="C250" s="79"/>
      <c r="D250" s="79"/>
      <c r="J250" s="79"/>
      <c r="O250" s="79"/>
      <c r="P250" s="79"/>
      <c r="S250" s="79"/>
      <c r="T250" s="79"/>
      <c r="W250" s="130"/>
      <c r="Y250" s="106"/>
    </row>
    <row r="251">
      <c r="C251" s="79"/>
      <c r="D251" s="79"/>
      <c r="J251" s="79"/>
      <c r="O251" s="79"/>
      <c r="P251" s="79"/>
      <c r="S251" s="79"/>
      <c r="T251" s="79"/>
      <c r="W251" s="130"/>
      <c r="Y251" s="106"/>
    </row>
    <row r="252">
      <c r="C252" s="79"/>
      <c r="D252" s="79"/>
      <c r="J252" s="79"/>
      <c r="O252" s="79"/>
      <c r="P252" s="79"/>
      <c r="S252" s="79"/>
      <c r="T252" s="79"/>
      <c r="W252" s="130"/>
      <c r="Y252" s="106"/>
    </row>
    <row r="253">
      <c r="C253" s="79"/>
      <c r="D253" s="79"/>
      <c r="J253" s="79"/>
      <c r="O253" s="79"/>
      <c r="P253" s="79"/>
      <c r="S253" s="79"/>
      <c r="T253" s="79"/>
      <c r="W253" s="130"/>
      <c r="Y253" s="106"/>
    </row>
    <row r="254">
      <c r="C254" s="79"/>
      <c r="D254" s="79"/>
      <c r="J254" s="79"/>
      <c r="O254" s="79"/>
      <c r="P254" s="79"/>
      <c r="S254" s="79"/>
      <c r="T254" s="79"/>
      <c r="W254" s="130"/>
      <c r="Y254" s="106"/>
    </row>
    <row r="255">
      <c r="C255" s="79"/>
      <c r="D255" s="79"/>
      <c r="J255" s="79"/>
      <c r="O255" s="79"/>
      <c r="P255" s="79"/>
      <c r="S255" s="79"/>
      <c r="T255" s="79"/>
      <c r="W255" s="130"/>
      <c r="Y255" s="106"/>
    </row>
    <row r="256">
      <c r="C256" s="79"/>
      <c r="D256" s="79"/>
      <c r="J256" s="79"/>
      <c r="O256" s="79"/>
      <c r="P256" s="79"/>
      <c r="S256" s="79"/>
      <c r="T256" s="79"/>
      <c r="W256" s="130"/>
      <c r="Y256" s="106"/>
    </row>
    <row r="257">
      <c r="C257" s="79"/>
      <c r="D257" s="79"/>
      <c r="J257" s="79"/>
      <c r="O257" s="79"/>
      <c r="P257" s="79"/>
      <c r="S257" s="79"/>
      <c r="T257" s="79"/>
      <c r="W257" s="130"/>
      <c r="Y257" s="106"/>
    </row>
    <row r="258">
      <c r="C258" s="79"/>
      <c r="D258" s="79"/>
      <c r="J258" s="79"/>
      <c r="O258" s="79"/>
      <c r="P258" s="79"/>
      <c r="S258" s="79"/>
      <c r="T258" s="79"/>
      <c r="W258" s="130"/>
      <c r="Y258" s="106"/>
    </row>
    <row r="259">
      <c r="C259" s="79"/>
      <c r="D259" s="79"/>
      <c r="J259" s="79"/>
      <c r="O259" s="79"/>
      <c r="P259" s="79"/>
      <c r="S259" s="79"/>
      <c r="T259" s="79"/>
      <c r="W259" s="130"/>
      <c r="Y259" s="106"/>
    </row>
    <row r="260">
      <c r="C260" s="79"/>
      <c r="D260" s="79"/>
      <c r="J260" s="79"/>
      <c r="O260" s="79"/>
      <c r="P260" s="79"/>
      <c r="S260" s="79"/>
      <c r="T260" s="79"/>
      <c r="W260" s="130"/>
      <c r="Y260" s="106"/>
    </row>
    <row r="261">
      <c r="C261" s="79"/>
      <c r="D261" s="79"/>
      <c r="J261" s="79"/>
      <c r="O261" s="79"/>
      <c r="P261" s="79"/>
      <c r="S261" s="79"/>
      <c r="T261" s="79"/>
      <c r="W261" s="130"/>
      <c r="Y261" s="106"/>
    </row>
    <row r="262">
      <c r="C262" s="79"/>
      <c r="D262" s="79"/>
      <c r="J262" s="79"/>
      <c r="O262" s="79"/>
      <c r="P262" s="79"/>
      <c r="S262" s="79"/>
      <c r="T262" s="79"/>
      <c r="W262" s="130"/>
      <c r="Y262" s="106"/>
    </row>
    <row r="263">
      <c r="C263" s="79"/>
      <c r="D263" s="79"/>
      <c r="J263" s="79"/>
      <c r="O263" s="79"/>
      <c r="P263" s="79"/>
      <c r="S263" s="79"/>
      <c r="T263" s="79"/>
      <c r="W263" s="130"/>
      <c r="Y263" s="106"/>
    </row>
    <row r="264">
      <c r="C264" s="79"/>
      <c r="D264" s="79"/>
      <c r="J264" s="79"/>
      <c r="O264" s="79"/>
      <c r="P264" s="79"/>
      <c r="S264" s="79"/>
      <c r="T264" s="79"/>
      <c r="W264" s="130"/>
      <c r="Y264" s="106"/>
    </row>
    <row r="265">
      <c r="C265" s="79"/>
      <c r="D265" s="79"/>
      <c r="J265" s="79"/>
      <c r="O265" s="79"/>
      <c r="P265" s="79"/>
      <c r="S265" s="79"/>
      <c r="T265" s="79"/>
      <c r="W265" s="130"/>
      <c r="Y265" s="106"/>
    </row>
    <row r="266">
      <c r="C266" s="79"/>
      <c r="D266" s="79"/>
      <c r="J266" s="79"/>
      <c r="O266" s="79"/>
      <c r="P266" s="79"/>
      <c r="S266" s="79"/>
      <c r="T266" s="79"/>
      <c r="W266" s="130"/>
      <c r="Y266" s="106"/>
    </row>
    <row r="267">
      <c r="C267" s="79"/>
      <c r="D267" s="79"/>
      <c r="J267" s="79"/>
      <c r="O267" s="79"/>
      <c r="P267" s="79"/>
      <c r="S267" s="79"/>
      <c r="T267" s="79"/>
      <c r="W267" s="130"/>
      <c r="Y267" s="106"/>
    </row>
    <row r="268">
      <c r="C268" s="79"/>
      <c r="D268" s="79"/>
      <c r="J268" s="79"/>
      <c r="O268" s="79"/>
      <c r="P268" s="79"/>
      <c r="S268" s="79"/>
      <c r="T268" s="79"/>
      <c r="W268" s="130"/>
      <c r="Y268" s="106"/>
    </row>
    <row r="269">
      <c r="C269" s="79"/>
      <c r="D269" s="79"/>
      <c r="J269" s="79"/>
      <c r="O269" s="79"/>
      <c r="P269" s="79"/>
      <c r="S269" s="79"/>
      <c r="T269" s="79"/>
      <c r="W269" s="130"/>
      <c r="Y269" s="106"/>
    </row>
    <row r="270">
      <c r="C270" s="79"/>
      <c r="D270" s="79"/>
      <c r="J270" s="79"/>
      <c r="O270" s="79"/>
      <c r="P270" s="79"/>
      <c r="S270" s="79"/>
      <c r="T270" s="79"/>
      <c r="W270" s="130"/>
      <c r="Y270" s="106"/>
    </row>
    <row r="271">
      <c r="C271" s="79"/>
      <c r="D271" s="79"/>
      <c r="J271" s="79"/>
      <c r="O271" s="79"/>
      <c r="P271" s="79"/>
      <c r="S271" s="79"/>
      <c r="T271" s="79"/>
      <c r="W271" s="130"/>
      <c r="Y271" s="106"/>
    </row>
    <row r="272">
      <c r="C272" s="79"/>
      <c r="D272" s="79"/>
      <c r="J272" s="79"/>
      <c r="O272" s="79"/>
      <c r="P272" s="79"/>
      <c r="S272" s="79"/>
      <c r="T272" s="79"/>
      <c r="W272" s="130"/>
      <c r="Y272" s="106"/>
    </row>
    <row r="273">
      <c r="C273" s="79"/>
      <c r="D273" s="79"/>
      <c r="J273" s="79"/>
      <c r="O273" s="79"/>
      <c r="P273" s="79"/>
      <c r="S273" s="79"/>
      <c r="T273" s="79"/>
      <c r="W273" s="130"/>
      <c r="Y273" s="106"/>
    </row>
    <row r="274">
      <c r="C274" s="79"/>
      <c r="D274" s="79"/>
      <c r="J274" s="79"/>
      <c r="O274" s="79"/>
      <c r="P274" s="79"/>
      <c r="S274" s="79"/>
      <c r="T274" s="79"/>
      <c r="W274" s="130"/>
      <c r="Y274" s="106"/>
    </row>
    <row r="275">
      <c r="C275" s="79"/>
      <c r="D275" s="79"/>
      <c r="J275" s="79"/>
      <c r="O275" s="79"/>
      <c r="P275" s="79"/>
      <c r="S275" s="79"/>
      <c r="T275" s="79"/>
      <c r="W275" s="130"/>
      <c r="Y275" s="106"/>
    </row>
    <row r="276">
      <c r="C276" s="79"/>
      <c r="D276" s="79"/>
      <c r="J276" s="79"/>
      <c r="O276" s="79"/>
      <c r="P276" s="79"/>
      <c r="S276" s="79"/>
      <c r="T276" s="79"/>
      <c r="W276" s="130"/>
      <c r="Y276" s="106"/>
    </row>
    <row r="277">
      <c r="C277" s="79"/>
      <c r="D277" s="79"/>
      <c r="J277" s="79"/>
      <c r="O277" s="79"/>
      <c r="P277" s="79"/>
      <c r="S277" s="79"/>
      <c r="T277" s="79"/>
      <c r="W277" s="130"/>
      <c r="Y277" s="106"/>
    </row>
    <row r="278">
      <c r="C278" s="79"/>
      <c r="D278" s="79"/>
      <c r="J278" s="79"/>
      <c r="O278" s="79"/>
      <c r="P278" s="79"/>
      <c r="S278" s="79"/>
      <c r="T278" s="79"/>
      <c r="W278" s="130"/>
      <c r="Y278" s="106"/>
    </row>
    <row r="279">
      <c r="C279" s="79"/>
      <c r="D279" s="79"/>
      <c r="J279" s="79"/>
      <c r="O279" s="79"/>
      <c r="P279" s="79"/>
      <c r="S279" s="79"/>
      <c r="T279" s="79"/>
      <c r="W279" s="130"/>
      <c r="Y279" s="106"/>
    </row>
    <row r="280">
      <c r="C280" s="79"/>
      <c r="D280" s="79"/>
      <c r="J280" s="79"/>
      <c r="O280" s="79"/>
      <c r="P280" s="79"/>
      <c r="S280" s="79"/>
      <c r="T280" s="79"/>
      <c r="W280" s="130"/>
      <c r="Y280" s="106"/>
    </row>
    <row r="281">
      <c r="C281" s="79"/>
      <c r="D281" s="79"/>
      <c r="J281" s="79"/>
      <c r="O281" s="79"/>
      <c r="P281" s="79"/>
      <c r="S281" s="79"/>
      <c r="T281" s="79"/>
      <c r="W281" s="130"/>
      <c r="Y281" s="106"/>
    </row>
    <row r="282">
      <c r="C282" s="79"/>
      <c r="D282" s="79"/>
      <c r="J282" s="79"/>
      <c r="O282" s="79"/>
      <c r="P282" s="79"/>
      <c r="S282" s="79"/>
      <c r="T282" s="79"/>
      <c r="W282" s="130"/>
      <c r="Y282" s="106"/>
    </row>
    <row r="283">
      <c r="C283" s="79"/>
      <c r="D283" s="79"/>
      <c r="J283" s="79"/>
      <c r="O283" s="79"/>
      <c r="P283" s="79"/>
      <c r="S283" s="79"/>
      <c r="T283" s="79"/>
      <c r="W283" s="130"/>
      <c r="Y283" s="106"/>
    </row>
    <row r="284">
      <c r="C284" s="79"/>
      <c r="D284" s="79"/>
      <c r="J284" s="79"/>
      <c r="O284" s="79"/>
      <c r="P284" s="79"/>
      <c r="S284" s="79"/>
      <c r="T284" s="79"/>
      <c r="W284" s="130"/>
      <c r="Y284" s="106"/>
    </row>
    <row r="285">
      <c r="C285" s="79"/>
      <c r="D285" s="79"/>
      <c r="J285" s="79"/>
      <c r="O285" s="79"/>
      <c r="P285" s="79"/>
      <c r="S285" s="79"/>
      <c r="T285" s="79"/>
      <c r="W285" s="130"/>
      <c r="Y285" s="106"/>
    </row>
    <row r="286">
      <c r="C286" s="79"/>
      <c r="D286" s="79"/>
      <c r="J286" s="79"/>
      <c r="O286" s="79"/>
      <c r="P286" s="79"/>
      <c r="S286" s="79"/>
      <c r="T286" s="79"/>
      <c r="W286" s="130"/>
      <c r="Y286" s="106"/>
    </row>
    <row r="287">
      <c r="C287" s="79"/>
      <c r="D287" s="79"/>
      <c r="J287" s="79"/>
      <c r="O287" s="79"/>
      <c r="P287" s="79"/>
      <c r="S287" s="79"/>
      <c r="T287" s="79"/>
      <c r="W287" s="130"/>
      <c r="Y287" s="106"/>
    </row>
    <row r="288">
      <c r="C288" s="79"/>
      <c r="D288" s="79"/>
      <c r="J288" s="79"/>
      <c r="O288" s="79"/>
      <c r="P288" s="79"/>
      <c r="S288" s="79"/>
      <c r="T288" s="79"/>
      <c r="W288" s="130"/>
      <c r="Y288" s="106"/>
    </row>
    <row r="289">
      <c r="C289" s="79"/>
      <c r="D289" s="79"/>
      <c r="J289" s="79"/>
      <c r="O289" s="79"/>
      <c r="P289" s="79"/>
      <c r="S289" s="79"/>
      <c r="T289" s="79"/>
      <c r="W289" s="130"/>
      <c r="Y289" s="106"/>
    </row>
    <row r="290">
      <c r="C290" s="79"/>
      <c r="D290" s="79"/>
      <c r="J290" s="79"/>
      <c r="O290" s="79"/>
      <c r="P290" s="79"/>
      <c r="S290" s="79"/>
      <c r="T290" s="79"/>
      <c r="W290" s="130"/>
      <c r="Y290" s="106"/>
    </row>
    <row r="291">
      <c r="C291" s="79"/>
      <c r="D291" s="79"/>
      <c r="J291" s="79"/>
      <c r="O291" s="79"/>
      <c r="P291" s="79"/>
      <c r="S291" s="79"/>
      <c r="T291" s="79"/>
      <c r="W291" s="130"/>
      <c r="Y291" s="106"/>
    </row>
    <row r="292">
      <c r="C292" s="79"/>
      <c r="D292" s="79"/>
      <c r="J292" s="79"/>
      <c r="O292" s="79"/>
      <c r="P292" s="79"/>
      <c r="S292" s="79"/>
      <c r="T292" s="79"/>
      <c r="W292" s="130"/>
      <c r="Y292" s="106"/>
    </row>
    <row r="293">
      <c r="C293" s="79"/>
      <c r="D293" s="79"/>
      <c r="J293" s="79"/>
      <c r="O293" s="79"/>
      <c r="P293" s="79"/>
      <c r="S293" s="79"/>
      <c r="T293" s="79"/>
      <c r="W293" s="130"/>
      <c r="Y293" s="106"/>
    </row>
    <row r="294">
      <c r="C294" s="79"/>
      <c r="D294" s="79"/>
      <c r="J294" s="79"/>
      <c r="O294" s="79"/>
      <c r="P294" s="79"/>
      <c r="S294" s="79"/>
      <c r="T294" s="79"/>
      <c r="W294" s="130"/>
      <c r="Y294" s="106"/>
    </row>
    <row r="295">
      <c r="C295" s="79"/>
      <c r="D295" s="79"/>
      <c r="J295" s="79"/>
      <c r="O295" s="79"/>
      <c r="P295" s="79"/>
      <c r="S295" s="79"/>
      <c r="T295" s="79"/>
      <c r="W295" s="130"/>
      <c r="Y295" s="106"/>
    </row>
    <row r="296">
      <c r="C296" s="79"/>
      <c r="D296" s="79"/>
      <c r="J296" s="79"/>
      <c r="O296" s="79"/>
      <c r="P296" s="79"/>
      <c r="S296" s="79"/>
      <c r="T296" s="79"/>
      <c r="W296" s="130"/>
      <c r="Y296" s="106"/>
    </row>
    <row r="297">
      <c r="C297" s="79"/>
      <c r="D297" s="79"/>
      <c r="J297" s="79"/>
      <c r="O297" s="79"/>
      <c r="P297" s="79"/>
      <c r="S297" s="79"/>
      <c r="T297" s="79"/>
      <c r="W297" s="130"/>
      <c r="Y297" s="106"/>
    </row>
    <row r="298">
      <c r="C298" s="79"/>
      <c r="D298" s="79"/>
      <c r="J298" s="79"/>
      <c r="O298" s="79"/>
      <c r="P298" s="79"/>
      <c r="S298" s="79"/>
      <c r="T298" s="79"/>
      <c r="W298" s="130"/>
      <c r="Y298" s="106"/>
    </row>
    <row r="299">
      <c r="C299" s="79"/>
      <c r="D299" s="79"/>
      <c r="J299" s="79"/>
      <c r="O299" s="79"/>
      <c r="P299" s="79"/>
      <c r="S299" s="79"/>
      <c r="T299" s="79"/>
      <c r="W299" s="130"/>
      <c r="Y299" s="106"/>
    </row>
    <row r="300">
      <c r="C300" s="79"/>
      <c r="D300" s="79"/>
      <c r="J300" s="79"/>
      <c r="O300" s="79"/>
      <c r="P300" s="79"/>
      <c r="S300" s="79"/>
      <c r="T300" s="79"/>
      <c r="W300" s="130"/>
      <c r="Y300" s="106"/>
    </row>
    <row r="301">
      <c r="C301" s="79"/>
      <c r="D301" s="79"/>
      <c r="J301" s="79"/>
      <c r="O301" s="79"/>
      <c r="P301" s="79"/>
      <c r="S301" s="79"/>
      <c r="T301" s="79"/>
      <c r="W301" s="130"/>
      <c r="Y301" s="106"/>
    </row>
    <row r="302">
      <c r="C302" s="79"/>
      <c r="D302" s="79"/>
      <c r="J302" s="79"/>
      <c r="O302" s="79"/>
      <c r="P302" s="79"/>
      <c r="S302" s="79"/>
      <c r="T302" s="79"/>
      <c r="W302" s="130"/>
      <c r="Y302" s="106"/>
    </row>
    <row r="303">
      <c r="C303" s="79"/>
      <c r="D303" s="79"/>
      <c r="J303" s="79"/>
      <c r="O303" s="79"/>
      <c r="P303" s="79"/>
      <c r="S303" s="79"/>
      <c r="T303" s="79"/>
      <c r="W303" s="130"/>
      <c r="Y303" s="106"/>
    </row>
    <row r="304">
      <c r="C304" s="79"/>
      <c r="D304" s="79"/>
      <c r="J304" s="79"/>
      <c r="O304" s="79"/>
      <c r="P304" s="79"/>
      <c r="S304" s="79"/>
      <c r="T304" s="79"/>
      <c r="W304" s="130"/>
      <c r="Y304" s="106"/>
    </row>
    <row r="305">
      <c r="C305" s="79"/>
      <c r="D305" s="79"/>
      <c r="J305" s="79"/>
      <c r="O305" s="79"/>
      <c r="P305" s="79"/>
      <c r="S305" s="79"/>
      <c r="T305" s="79"/>
      <c r="W305" s="130"/>
      <c r="Y305" s="106"/>
    </row>
    <row r="306">
      <c r="C306" s="79"/>
      <c r="D306" s="79"/>
      <c r="J306" s="79"/>
      <c r="O306" s="79"/>
      <c r="P306" s="79"/>
      <c r="S306" s="79"/>
      <c r="T306" s="79"/>
      <c r="W306" s="130"/>
      <c r="Y306" s="106"/>
    </row>
    <row r="307">
      <c r="C307" s="79"/>
      <c r="D307" s="79"/>
      <c r="J307" s="79"/>
      <c r="O307" s="79"/>
      <c r="P307" s="79"/>
      <c r="S307" s="79"/>
      <c r="T307" s="79"/>
      <c r="W307" s="130"/>
      <c r="Y307" s="106"/>
    </row>
    <row r="308">
      <c r="C308" s="79"/>
      <c r="D308" s="79"/>
      <c r="J308" s="79"/>
      <c r="O308" s="79"/>
      <c r="P308" s="79"/>
      <c r="S308" s="79"/>
      <c r="T308" s="79"/>
      <c r="W308" s="130"/>
      <c r="Y308" s="106"/>
    </row>
    <row r="309">
      <c r="C309" s="79"/>
      <c r="D309" s="79"/>
      <c r="J309" s="79"/>
      <c r="O309" s="79"/>
      <c r="P309" s="79"/>
      <c r="S309" s="79"/>
      <c r="T309" s="79"/>
      <c r="W309" s="130"/>
      <c r="Y309" s="106"/>
    </row>
    <row r="310">
      <c r="C310" s="79"/>
      <c r="D310" s="79"/>
      <c r="J310" s="79"/>
      <c r="O310" s="79"/>
      <c r="P310" s="79"/>
      <c r="S310" s="79"/>
      <c r="T310" s="79"/>
      <c r="W310" s="130"/>
      <c r="Y310" s="106"/>
    </row>
    <row r="311">
      <c r="C311" s="79"/>
      <c r="D311" s="79"/>
      <c r="J311" s="79"/>
      <c r="O311" s="79"/>
      <c r="P311" s="79"/>
      <c r="S311" s="79"/>
      <c r="T311" s="79"/>
      <c r="W311" s="130"/>
      <c r="Y311" s="106"/>
    </row>
    <row r="312">
      <c r="C312" s="79"/>
      <c r="D312" s="79"/>
      <c r="J312" s="79"/>
      <c r="O312" s="79"/>
      <c r="P312" s="79"/>
      <c r="S312" s="79"/>
      <c r="T312" s="79"/>
      <c r="W312" s="130"/>
      <c r="Y312" s="106"/>
    </row>
    <row r="313">
      <c r="C313" s="79"/>
      <c r="D313" s="79"/>
      <c r="J313" s="79"/>
      <c r="O313" s="79"/>
      <c r="P313" s="79"/>
      <c r="S313" s="79"/>
      <c r="T313" s="79"/>
      <c r="W313" s="130"/>
      <c r="Y313" s="106"/>
    </row>
    <row r="314">
      <c r="C314" s="79"/>
      <c r="D314" s="79"/>
      <c r="J314" s="79"/>
      <c r="O314" s="79"/>
      <c r="P314" s="79"/>
      <c r="S314" s="79"/>
      <c r="T314" s="79"/>
      <c r="W314" s="130"/>
      <c r="Y314" s="106"/>
    </row>
    <row r="315">
      <c r="C315" s="79"/>
      <c r="D315" s="79"/>
      <c r="J315" s="79"/>
      <c r="O315" s="79"/>
      <c r="P315" s="79"/>
      <c r="S315" s="79"/>
      <c r="T315" s="79"/>
      <c r="W315" s="130"/>
      <c r="Y315" s="106"/>
    </row>
    <row r="316">
      <c r="C316" s="79"/>
      <c r="D316" s="79"/>
      <c r="J316" s="79"/>
      <c r="O316" s="79"/>
      <c r="P316" s="79"/>
      <c r="S316" s="79"/>
      <c r="T316" s="79"/>
      <c r="W316" s="130"/>
      <c r="Y316" s="106"/>
    </row>
    <row r="317">
      <c r="C317" s="79"/>
      <c r="D317" s="79"/>
      <c r="J317" s="79"/>
      <c r="O317" s="79"/>
      <c r="P317" s="79"/>
      <c r="S317" s="79"/>
      <c r="T317" s="79"/>
      <c r="W317" s="130"/>
      <c r="Y317" s="106"/>
    </row>
    <row r="318">
      <c r="C318" s="79"/>
      <c r="D318" s="79"/>
      <c r="J318" s="79"/>
      <c r="O318" s="79"/>
      <c r="P318" s="79"/>
      <c r="S318" s="79"/>
      <c r="T318" s="79"/>
      <c r="W318" s="130"/>
      <c r="Y318" s="106"/>
    </row>
    <row r="319">
      <c r="C319" s="79"/>
      <c r="D319" s="79"/>
      <c r="J319" s="79"/>
      <c r="O319" s="79"/>
      <c r="P319" s="79"/>
      <c r="S319" s="79"/>
      <c r="T319" s="79"/>
      <c r="W319" s="130"/>
      <c r="Y319" s="106"/>
    </row>
    <row r="320">
      <c r="C320" s="79"/>
      <c r="D320" s="79"/>
      <c r="J320" s="79"/>
      <c r="O320" s="79"/>
      <c r="P320" s="79"/>
      <c r="S320" s="79"/>
      <c r="T320" s="79"/>
      <c r="W320" s="130"/>
      <c r="Y320" s="106"/>
    </row>
    <row r="321">
      <c r="C321" s="79"/>
      <c r="D321" s="79"/>
      <c r="J321" s="79"/>
      <c r="O321" s="79"/>
      <c r="P321" s="79"/>
      <c r="S321" s="79"/>
      <c r="T321" s="79"/>
      <c r="W321" s="130"/>
      <c r="Y321" s="106"/>
    </row>
    <row r="322">
      <c r="C322" s="79"/>
      <c r="D322" s="79"/>
      <c r="J322" s="79"/>
      <c r="O322" s="79"/>
      <c r="P322" s="79"/>
      <c r="S322" s="79"/>
      <c r="T322" s="79"/>
      <c r="W322" s="130"/>
      <c r="Y322" s="106"/>
    </row>
    <row r="323">
      <c r="C323" s="79"/>
      <c r="D323" s="79"/>
      <c r="J323" s="79"/>
      <c r="O323" s="79"/>
      <c r="P323" s="79"/>
      <c r="S323" s="79"/>
      <c r="T323" s="79"/>
      <c r="W323" s="130"/>
      <c r="Y323" s="106"/>
    </row>
    <row r="324">
      <c r="C324" s="79"/>
      <c r="D324" s="79"/>
      <c r="J324" s="79"/>
      <c r="O324" s="79"/>
      <c r="P324" s="79"/>
      <c r="S324" s="79"/>
      <c r="T324" s="79"/>
      <c r="W324" s="130"/>
      <c r="Y324" s="106"/>
    </row>
    <row r="325">
      <c r="C325" s="79"/>
      <c r="D325" s="79"/>
      <c r="J325" s="79"/>
      <c r="O325" s="79"/>
      <c r="P325" s="79"/>
      <c r="S325" s="79"/>
      <c r="T325" s="79"/>
      <c r="W325" s="130"/>
      <c r="Y325" s="106"/>
    </row>
    <row r="326">
      <c r="C326" s="79"/>
      <c r="D326" s="79"/>
      <c r="J326" s="79"/>
      <c r="O326" s="79"/>
      <c r="P326" s="79"/>
      <c r="S326" s="79"/>
      <c r="T326" s="79"/>
      <c r="W326" s="130"/>
      <c r="Y326" s="106"/>
    </row>
    <row r="327">
      <c r="C327" s="79"/>
      <c r="D327" s="79"/>
      <c r="J327" s="79"/>
      <c r="O327" s="79"/>
      <c r="P327" s="79"/>
      <c r="S327" s="79"/>
      <c r="T327" s="79"/>
      <c r="W327" s="130"/>
      <c r="Y327" s="106"/>
    </row>
    <row r="328">
      <c r="C328" s="79"/>
      <c r="D328" s="79"/>
      <c r="J328" s="79"/>
      <c r="O328" s="79"/>
      <c r="P328" s="79"/>
      <c r="S328" s="79"/>
      <c r="T328" s="79"/>
      <c r="W328" s="130"/>
      <c r="Y328" s="106"/>
    </row>
    <row r="329">
      <c r="C329" s="79"/>
      <c r="D329" s="79"/>
      <c r="J329" s="79"/>
      <c r="O329" s="79"/>
      <c r="P329" s="79"/>
      <c r="S329" s="79"/>
      <c r="T329" s="79"/>
      <c r="W329" s="130"/>
      <c r="Y329" s="106"/>
    </row>
    <row r="330">
      <c r="C330" s="79"/>
      <c r="D330" s="79"/>
      <c r="J330" s="79"/>
      <c r="O330" s="79"/>
      <c r="P330" s="79"/>
      <c r="S330" s="79"/>
      <c r="T330" s="79"/>
      <c r="W330" s="130"/>
      <c r="Y330" s="106"/>
    </row>
    <row r="331">
      <c r="C331" s="79"/>
      <c r="D331" s="79"/>
      <c r="J331" s="79"/>
      <c r="O331" s="79"/>
      <c r="P331" s="79"/>
      <c r="S331" s="79"/>
      <c r="T331" s="79"/>
      <c r="W331" s="130"/>
      <c r="Y331" s="106"/>
    </row>
    <row r="332">
      <c r="C332" s="79"/>
      <c r="D332" s="79"/>
      <c r="J332" s="79"/>
      <c r="O332" s="79"/>
      <c r="P332" s="79"/>
      <c r="S332" s="79"/>
      <c r="T332" s="79"/>
      <c r="W332" s="130"/>
      <c r="Y332" s="106"/>
    </row>
    <row r="333">
      <c r="C333" s="79"/>
      <c r="D333" s="79"/>
      <c r="J333" s="79"/>
      <c r="O333" s="79"/>
      <c r="P333" s="79"/>
      <c r="S333" s="79"/>
      <c r="T333" s="79"/>
      <c r="W333" s="130"/>
      <c r="Y333" s="106"/>
    </row>
    <row r="334">
      <c r="C334" s="79"/>
      <c r="D334" s="79"/>
      <c r="J334" s="79"/>
      <c r="O334" s="79"/>
      <c r="P334" s="79"/>
      <c r="S334" s="79"/>
      <c r="T334" s="79"/>
      <c r="W334" s="130"/>
      <c r="Y334" s="106"/>
    </row>
    <row r="335">
      <c r="C335" s="79"/>
      <c r="D335" s="79"/>
      <c r="J335" s="79"/>
      <c r="O335" s="79"/>
      <c r="P335" s="79"/>
      <c r="S335" s="79"/>
      <c r="T335" s="79"/>
      <c r="W335" s="130"/>
      <c r="Y335" s="106"/>
    </row>
    <row r="336">
      <c r="C336" s="79"/>
      <c r="D336" s="79"/>
      <c r="J336" s="79"/>
      <c r="O336" s="79"/>
      <c r="P336" s="79"/>
      <c r="S336" s="79"/>
      <c r="T336" s="79"/>
      <c r="W336" s="130"/>
      <c r="Y336" s="106"/>
    </row>
    <row r="337">
      <c r="C337" s="79"/>
      <c r="D337" s="79"/>
      <c r="J337" s="79"/>
      <c r="O337" s="79"/>
      <c r="P337" s="79"/>
      <c r="S337" s="79"/>
      <c r="T337" s="79"/>
      <c r="W337" s="130"/>
      <c r="Y337" s="106"/>
    </row>
    <row r="338">
      <c r="C338" s="79"/>
      <c r="D338" s="79"/>
      <c r="J338" s="79"/>
      <c r="O338" s="79"/>
      <c r="P338" s="79"/>
      <c r="S338" s="79"/>
      <c r="T338" s="79"/>
      <c r="W338" s="130"/>
      <c r="Y338" s="106"/>
    </row>
    <row r="339">
      <c r="C339" s="79"/>
      <c r="D339" s="79"/>
      <c r="J339" s="79"/>
      <c r="O339" s="79"/>
      <c r="P339" s="79"/>
      <c r="S339" s="79"/>
      <c r="T339" s="79"/>
      <c r="W339" s="130"/>
      <c r="Y339" s="106"/>
    </row>
    <row r="340">
      <c r="C340" s="79"/>
      <c r="D340" s="79"/>
      <c r="J340" s="79"/>
      <c r="O340" s="79"/>
      <c r="P340" s="79"/>
      <c r="S340" s="79"/>
      <c r="T340" s="79"/>
      <c r="W340" s="130"/>
      <c r="Y340" s="106"/>
    </row>
    <row r="341">
      <c r="C341" s="79"/>
      <c r="D341" s="79"/>
      <c r="J341" s="79"/>
      <c r="O341" s="79"/>
      <c r="P341" s="79"/>
      <c r="S341" s="79"/>
      <c r="T341" s="79"/>
      <c r="W341" s="130"/>
      <c r="Y341" s="106"/>
    </row>
    <row r="342">
      <c r="C342" s="79"/>
      <c r="D342" s="79"/>
      <c r="J342" s="79"/>
      <c r="O342" s="79"/>
      <c r="P342" s="79"/>
      <c r="S342" s="79"/>
      <c r="T342" s="79"/>
      <c r="W342" s="130"/>
      <c r="Y342" s="106"/>
    </row>
    <row r="343">
      <c r="C343" s="79"/>
      <c r="D343" s="79"/>
      <c r="J343" s="79"/>
      <c r="O343" s="79"/>
      <c r="P343" s="79"/>
      <c r="S343" s="79"/>
      <c r="T343" s="79"/>
      <c r="W343" s="130"/>
      <c r="Y343" s="106"/>
    </row>
    <row r="344">
      <c r="C344" s="79"/>
      <c r="D344" s="79"/>
      <c r="J344" s="79"/>
      <c r="O344" s="79"/>
      <c r="P344" s="79"/>
      <c r="S344" s="79"/>
      <c r="T344" s="79"/>
      <c r="W344" s="130"/>
      <c r="Y344" s="106"/>
    </row>
    <row r="345">
      <c r="C345" s="79"/>
      <c r="D345" s="79"/>
      <c r="J345" s="79"/>
      <c r="O345" s="79"/>
      <c r="P345" s="79"/>
      <c r="S345" s="79"/>
      <c r="T345" s="79"/>
      <c r="W345" s="130"/>
      <c r="Y345" s="106"/>
    </row>
    <row r="346">
      <c r="C346" s="79"/>
      <c r="D346" s="79"/>
      <c r="J346" s="79"/>
      <c r="O346" s="79"/>
      <c r="P346" s="79"/>
      <c r="S346" s="79"/>
      <c r="T346" s="79"/>
      <c r="W346" s="130"/>
      <c r="Y346" s="106"/>
    </row>
    <row r="347">
      <c r="C347" s="79"/>
      <c r="D347" s="79"/>
      <c r="J347" s="79"/>
      <c r="O347" s="79"/>
      <c r="P347" s="79"/>
      <c r="S347" s="79"/>
      <c r="T347" s="79"/>
      <c r="W347" s="130"/>
      <c r="Y347" s="106"/>
    </row>
    <row r="348">
      <c r="C348" s="79"/>
      <c r="D348" s="79"/>
      <c r="J348" s="79"/>
      <c r="O348" s="79"/>
      <c r="P348" s="79"/>
      <c r="S348" s="79"/>
      <c r="T348" s="79"/>
      <c r="W348" s="130"/>
      <c r="Y348" s="106"/>
    </row>
    <row r="349">
      <c r="C349" s="79"/>
      <c r="D349" s="79"/>
      <c r="J349" s="79"/>
      <c r="O349" s="79"/>
      <c r="P349" s="79"/>
      <c r="S349" s="79"/>
      <c r="T349" s="79"/>
      <c r="W349" s="130"/>
      <c r="Y349" s="106"/>
    </row>
    <row r="350">
      <c r="C350" s="79"/>
      <c r="D350" s="79"/>
      <c r="J350" s="79"/>
      <c r="O350" s="79"/>
      <c r="P350" s="79"/>
      <c r="S350" s="79"/>
      <c r="T350" s="79"/>
      <c r="W350" s="130"/>
      <c r="Y350" s="106"/>
    </row>
    <row r="351">
      <c r="C351" s="79"/>
      <c r="D351" s="79"/>
      <c r="J351" s="79"/>
      <c r="O351" s="79"/>
      <c r="P351" s="79"/>
      <c r="S351" s="79"/>
      <c r="T351" s="79"/>
      <c r="W351" s="130"/>
      <c r="Y351" s="106"/>
    </row>
    <row r="352">
      <c r="C352" s="79"/>
      <c r="D352" s="79"/>
      <c r="J352" s="79"/>
      <c r="O352" s="79"/>
      <c r="P352" s="79"/>
      <c r="S352" s="79"/>
      <c r="T352" s="79"/>
      <c r="W352" s="130"/>
      <c r="Y352" s="106"/>
    </row>
    <row r="353">
      <c r="C353" s="79"/>
      <c r="D353" s="79"/>
      <c r="J353" s="79"/>
      <c r="O353" s="79"/>
      <c r="P353" s="79"/>
      <c r="S353" s="79"/>
      <c r="T353" s="79"/>
      <c r="W353" s="130"/>
      <c r="Y353" s="106"/>
    </row>
    <row r="354">
      <c r="C354" s="79"/>
      <c r="D354" s="79"/>
      <c r="J354" s="79"/>
      <c r="O354" s="79"/>
      <c r="P354" s="79"/>
      <c r="S354" s="79"/>
      <c r="T354" s="79"/>
      <c r="W354" s="130"/>
      <c r="Y354" s="106"/>
    </row>
    <row r="355">
      <c r="C355" s="79"/>
      <c r="D355" s="79"/>
      <c r="J355" s="79"/>
      <c r="O355" s="79"/>
      <c r="P355" s="79"/>
      <c r="S355" s="79"/>
      <c r="T355" s="79"/>
      <c r="W355" s="130"/>
      <c r="Y355" s="106"/>
    </row>
    <row r="356">
      <c r="C356" s="79"/>
      <c r="D356" s="79"/>
      <c r="J356" s="79"/>
      <c r="O356" s="79"/>
      <c r="P356" s="79"/>
      <c r="S356" s="79"/>
      <c r="T356" s="79"/>
      <c r="W356" s="130"/>
      <c r="Y356" s="106"/>
    </row>
    <row r="357">
      <c r="C357" s="79"/>
      <c r="D357" s="79"/>
      <c r="J357" s="79"/>
      <c r="O357" s="79"/>
      <c r="P357" s="79"/>
      <c r="S357" s="79"/>
      <c r="T357" s="79"/>
      <c r="W357" s="130"/>
      <c r="Y357" s="106"/>
    </row>
    <row r="358">
      <c r="C358" s="79"/>
      <c r="D358" s="79"/>
      <c r="J358" s="79"/>
      <c r="O358" s="79"/>
      <c r="P358" s="79"/>
      <c r="S358" s="79"/>
      <c r="T358" s="79"/>
      <c r="W358" s="130"/>
      <c r="Y358" s="106"/>
    </row>
    <row r="359">
      <c r="C359" s="79"/>
      <c r="D359" s="79"/>
      <c r="J359" s="79"/>
      <c r="O359" s="79"/>
      <c r="P359" s="79"/>
      <c r="S359" s="79"/>
      <c r="T359" s="79"/>
      <c r="W359" s="130"/>
      <c r="Y359" s="106"/>
    </row>
    <row r="360">
      <c r="C360" s="79"/>
      <c r="D360" s="79"/>
      <c r="J360" s="79"/>
      <c r="O360" s="79"/>
      <c r="P360" s="79"/>
      <c r="S360" s="79"/>
      <c r="T360" s="79"/>
      <c r="W360" s="130"/>
      <c r="Y360" s="106"/>
    </row>
    <row r="361">
      <c r="C361" s="79"/>
      <c r="D361" s="79"/>
      <c r="J361" s="79"/>
      <c r="O361" s="79"/>
      <c r="P361" s="79"/>
      <c r="S361" s="79"/>
      <c r="T361" s="79"/>
      <c r="W361" s="130"/>
      <c r="Y361" s="106"/>
    </row>
    <row r="362">
      <c r="C362" s="79"/>
      <c r="D362" s="79"/>
      <c r="J362" s="79"/>
      <c r="O362" s="79"/>
      <c r="P362" s="79"/>
      <c r="S362" s="79"/>
      <c r="T362" s="79"/>
      <c r="W362" s="130"/>
      <c r="Y362" s="106"/>
    </row>
    <row r="363">
      <c r="C363" s="79"/>
      <c r="D363" s="79"/>
      <c r="J363" s="79"/>
      <c r="O363" s="79"/>
      <c r="P363" s="79"/>
      <c r="S363" s="79"/>
      <c r="T363" s="79"/>
      <c r="W363" s="130"/>
      <c r="Y363" s="106"/>
    </row>
    <row r="364">
      <c r="C364" s="79"/>
      <c r="D364" s="79"/>
      <c r="J364" s="79"/>
      <c r="O364" s="79"/>
      <c r="P364" s="79"/>
      <c r="S364" s="79"/>
      <c r="T364" s="79"/>
      <c r="W364" s="130"/>
      <c r="Y364" s="106"/>
    </row>
    <row r="365">
      <c r="C365" s="79"/>
      <c r="D365" s="79"/>
      <c r="J365" s="79"/>
      <c r="O365" s="79"/>
      <c r="P365" s="79"/>
      <c r="S365" s="79"/>
      <c r="T365" s="79"/>
      <c r="W365" s="130"/>
      <c r="Y365" s="106"/>
    </row>
    <row r="366">
      <c r="C366" s="79"/>
      <c r="D366" s="79"/>
      <c r="J366" s="79"/>
      <c r="O366" s="79"/>
      <c r="P366" s="79"/>
      <c r="S366" s="79"/>
      <c r="T366" s="79"/>
      <c r="W366" s="130"/>
      <c r="Y366" s="106"/>
    </row>
    <row r="367">
      <c r="C367" s="79"/>
      <c r="D367" s="79"/>
      <c r="J367" s="79"/>
      <c r="O367" s="79"/>
      <c r="P367" s="79"/>
      <c r="S367" s="79"/>
      <c r="T367" s="79"/>
      <c r="W367" s="130"/>
      <c r="Y367" s="106"/>
    </row>
    <row r="368">
      <c r="C368" s="79"/>
      <c r="D368" s="79"/>
      <c r="J368" s="79"/>
      <c r="O368" s="79"/>
      <c r="P368" s="79"/>
      <c r="S368" s="79"/>
      <c r="T368" s="79"/>
      <c r="W368" s="130"/>
      <c r="Y368" s="106"/>
    </row>
    <row r="369">
      <c r="C369" s="79"/>
      <c r="D369" s="79"/>
      <c r="J369" s="79"/>
      <c r="O369" s="79"/>
      <c r="P369" s="79"/>
      <c r="S369" s="79"/>
      <c r="T369" s="79"/>
      <c r="W369" s="130"/>
      <c r="Y369" s="106"/>
    </row>
    <row r="370">
      <c r="C370" s="79"/>
      <c r="D370" s="79"/>
      <c r="J370" s="79"/>
      <c r="O370" s="79"/>
      <c r="P370" s="79"/>
      <c r="S370" s="79"/>
      <c r="T370" s="79"/>
      <c r="W370" s="130"/>
      <c r="Y370" s="106"/>
    </row>
    <row r="371">
      <c r="C371" s="79"/>
      <c r="D371" s="79"/>
      <c r="J371" s="79"/>
      <c r="O371" s="79"/>
      <c r="P371" s="79"/>
      <c r="S371" s="79"/>
      <c r="T371" s="79"/>
      <c r="W371" s="130"/>
      <c r="Y371" s="106"/>
    </row>
    <row r="372">
      <c r="C372" s="79"/>
      <c r="D372" s="79"/>
      <c r="J372" s="79"/>
      <c r="O372" s="79"/>
      <c r="P372" s="79"/>
      <c r="S372" s="79"/>
      <c r="T372" s="79"/>
      <c r="W372" s="130"/>
      <c r="Y372" s="106"/>
    </row>
    <row r="373">
      <c r="C373" s="79"/>
      <c r="D373" s="79"/>
      <c r="J373" s="79"/>
      <c r="O373" s="79"/>
      <c r="P373" s="79"/>
      <c r="S373" s="79"/>
      <c r="T373" s="79"/>
      <c r="W373" s="130"/>
      <c r="Y373" s="106"/>
    </row>
    <row r="374">
      <c r="C374" s="79"/>
      <c r="D374" s="79"/>
      <c r="J374" s="79"/>
      <c r="O374" s="79"/>
      <c r="P374" s="79"/>
      <c r="S374" s="79"/>
      <c r="T374" s="79"/>
      <c r="W374" s="130"/>
      <c r="Y374" s="106"/>
    </row>
    <row r="375">
      <c r="C375" s="79"/>
      <c r="D375" s="79"/>
      <c r="J375" s="79"/>
      <c r="O375" s="79"/>
      <c r="P375" s="79"/>
      <c r="S375" s="79"/>
      <c r="T375" s="79"/>
      <c r="W375" s="130"/>
      <c r="Y375" s="106"/>
    </row>
    <row r="376">
      <c r="C376" s="79"/>
      <c r="D376" s="79"/>
      <c r="J376" s="79"/>
      <c r="O376" s="79"/>
      <c r="P376" s="79"/>
      <c r="S376" s="79"/>
      <c r="T376" s="79"/>
      <c r="W376" s="130"/>
      <c r="Y376" s="106"/>
    </row>
    <row r="377">
      <c r="C377" s="79"/>
      <c r="D377" s="79"/>
      <c r="J377" s="79"/>
      <c r="O377" s="79"/>
      <c r="P377" s="79"/>
      <c r="S377" s="79"/>
      <c r="T377" s="79"/>
      <c r="W377" s="130"/>
      <c r="Y377" s="106"/>
    </row>
    <row r="378">
      <c r="C378" s="79"/>
      <c r="D378" s="79"/>
      <c r="J378" s="79"/>
      <c r="O378" s="79"/>
      <c r="P378" s="79"/>
      <c r="S378" s="79"/>
      <c r="T378" s="79"/>
      <c r="W378" s="130"/>
      <c r="Y378" s="106"/>
    </row>
    <row r="379">
      <c r="C379" s="79"/>
      <c r="D379" s="79"/>
      <c r="J379" s="79"/>
      <c r="O379" s="79"/>
      <c r="P379" s="79"/>
      <c r="S379" s="79"/>
      <c r="T379" s="79"/>
      <c r="W379" s="130"/>
      <c r="Y379" s="106"/>
    </row>
    <row r="380">
      <c r="C380" s="79"/>
      <c r="D380" s="79"/>
      <c r="J380" s="79"/>
      <c r="O380" s="79"/>
      <c r="P380" s="79"/>
      <c r="S380" s="79"/>
      <c r="T380" s="79"/>
      <c r="W380" s="130"/>
      <c r="Y380" s="106"/>
    </row>
    <row r="381">
      <c r="C381" s="79"/>
      <c r="D381" s="79"/>
      <c r="J381" s="79"/>
      <c r="O381" s="79"/>
      <c r="P381" s="79"/>
      <c r="S381" s="79"/>
      <c r="T381" s="79"/>
      <c r="W381" s="130"/>
      <c r="Y381" s="106"/>
    </row>
    <row r="382">
      <c r="C382" s="79"/>
      <c r="D382" s="79"/>
      <c r="J382" s="79"/>
      <c r="O382" s="79"/>
      <c r="P382" s="79"/>
      <c r="S382" s="79"/>
      <c r="T382" s="79"/>
      <c r="W382" s="130"/>
      <c r="Y382" s="106"/>
    </row>
    <row r="383">
      <c r="C383" s="79"/>
      <c r="D383" s="79"/>
      <c r="J383" s="79"/>
      <c r="O383" s="79"/>
      <c r="P383" s="79"/>
      <c r="S383" s="79"/>
      <c r="T383" s="79"/>
      <c r="W383" s="130"/>
      <c r="Y383" s="106"/>
    </row>
    <row r="384">
      <c r="C384" s="79"/>
      <c r="D384" s="79"/>
      <c r="J384" s="79"/>
      <c r="O384" s="79"/>
      <c r="P384" s="79"/>
      <c r="S384" s="79"/>
      <c r="T384" s="79"/>
      <c r="W384" s="130"/>
      <c r="Y384" s="106"/>
    </row>
    <row r="385">
      <c r="C385" s="79"/>
      <c r="D385" s="79"/>
      <c r="J385" s="79"/>
      <c r="O385" s="79"/>
      <c r="P385" s="79"/>
      <c r="S385" s="79"/>
      <c r="T385" s="79"/>
      <c r="W385" s="130"/>
      <c r="Y385" s="106"/>
    </row>
    <row r="386">
      <c r="C386" s="79"/>
      <c r="D386" s="79"/>
      <c r="J386" s="79"/>
      <c r="O386" s="79"/>
      <c r="P386" s="79"/>
      <c r="S386" s="79"/>
      <c r="T386" s="79"/>
      <c r="W386" s="130"/>
      <c r="Y386" s="106"/>
    </row>
    <row r="387">
      <c r="C387" s="79"/>
      <c r="D387" s="79"/>
      <c r="J387" s="79"/>
      <c r="O387" s="79"/>
      <c r="P387" s="79"/>
      <c r="S387" s="79"/>
      <c r="T387" s="79"/>
      <c r="W387" s="130"/>
      <c r="Y387" s="106"/>
    </row>
    <row r="388">
      <c r="C388" s="79"/>
      <c r="D388" s="79"/>
      <c r="J388" s="79"/>
      <c r="O388" s="79"/>
      <c r="P388" s="79"/>
      <c r="S388" s="79"/>
      <c r="T388" s="79"/>
      <c r="W388" s="130"/>
      <c r="Y388" s="106"/>
    </row>
    <row r="389">
      <c r="C389" s="79"/>
      <c r="D389" s="79"/>
      <c r="J389" s="79"/>
      <c r="O389" s="79"/>
      <c r="P389" s="79"/>
      <c r="S389" s="79"/>
      <c r="T389" s="79"/>
      <c r="W389" s="130"/>
      <c r="Y389" s="106"/>
    </row>
    <row r="390">
      <c r="C390" s="79"/>
      <c r="D390" s="79"/>
      <c r="J390" s="79"/>
      <c r="O390" s="79"/>
      <c r="P390" s="79"/>
      <c r="S390" s="79"/>
      <c r="T390" s="79"/>
      <c r="W390" s="130"/>
      <c r="Y390" s="106"/>
    </row>
    <row r="391">
      <c r="C391" s="79"/>
      <c r="D391" s="79"/>
      <c r="J391" s="79"/>
      <c r="O391" s="79"/>
      <c r="P391" s="79"/>
      <c r="S391" s="79"/>
      <c r="T391" s="79"/>
      <c r="W391" s="130"/>
      <c r="Y391" s="106"/>
    </row>
    <row r="392">
      <c r="C392" s="79"/>
      <c r="D392" s="79"/>
      <c r="J392" s="79"/>
      <c r="O392" s="79"/>
      <c r="P392" s="79"/>
      <c r="S392" s="79"/>
      <c r="T392" s="79"/>
      <c r="W392" s="130"/>
      <c r="Y392" s="106"/>
    </row>
    <row r="393">
      <c r="C393" s="79"/>
      <c r="D393" s="79"/>
      <c r="J393" s="79"/>
      <c r="O393" s="79"/>
      <c r="P393" s="79"/>
      <c r="S393" s="79"/>
      <c r="T393" s="79"/>
      <c r="W393" s="130"/>
      <c r="Y393" s="106"/>
    </row>
    <row r="394">
      <c r="C394" s="79"/>
      <c r="D394" s="79"/>
      <c r="J394" s="79"/>
      <c r="O394" s="79"/>
      <c r="P394" s="79"/>
      <c r="S394" s="79"/>
      <c r="T394" s="79"/>
      <c r="W394" s="130"/>
      <c r="Y394" s="106"/>
    </row>
    <row r="395">
      <c r="C395" s="79"/>
      <c r="D395" s="79"/>
      <c r="J395" s="79"/>
      <c r="O395" s="79"/>
      <c r="P395" s="79"/>
      <c r="S395" s="79"/>
      <c r="T395" s="79"/>
      <c r="W395" s="130"/>
      <c r="Y395" s="106"/>
    </row>
    <row r="396">
      <c r="C396" s="79"/>
      <c r="D396" s="79"/>
      <c r="J396" s="79"/>
      <c r="O396" s="79"/>
      <c r="P396" s="79"/>
      <c r="S396" s="79"/>
      <c r="T396" s="79"/>
      <c r="W396" s="130"/>
      <c r="Y396" s="106"/>
    </row>
    <row r="397">
      <c r="C397" s="79"/>
      <c r="D397" s="79"/>
      <c r="J397" s="79"/>
      <c r="O397" s="79"/>
      <c r="P397" s="79"/>
      <c r="S397" s="79"/>
      <c r="T397" s="79"/>
      <c r="W397" s="130"/>
      <c r="Y397" s="106"/>
    </row>
    <row r="398">
      <c r="C398" s="79"/>
      <c r="D398" s="79"/>
      <c r="J398" s="79"/>
      <c r="O398" s="79"/>
      <c r="P398" s="79"/>
      <c r="S398" s="79"/>
      <c r="T398" s="79"/>
      <c r="W398" s="130"/>
      <c r="Y398" s="106"/>
    </row>
    <row r="399">
      <c r="C399" s="79"/>
      <c r="D399" s="79"/>
      <c r="J399" s="79"/>
      <c r="O399" s="79"/>
      <c r="P399" s="79"/>
      <c r="S399" s="79"/>
      <c r="T399" s="79"/>
      <c r="W399" s="130"/>
      <c r="Y399" s="106"/>
    </row>
    <row r="400">
      <c r="C400" s="79"/>
      <c r="D400" s="79"/>
      <c r="J400" s="79"/>
      <c r="O400" s="79"/>
      <c r="P400" s="79"/>
      <c r="S400" s="79"/>
      <c r="T400" s="79"/>
      <c r="W400" s="130"/>
      <c r="Y400" s="106"/>
    </row>
    <row r="401">
      <c r="C401" s="79"/>
      <c r="D401" s="79"/>
      <c r="J401" s="79"/>
      <c r="O401" s="79"/>
      <c r="P401" s="79"/>
      <c r="S401" s="79"/>
      <c r="T401" s="79"/>
      <c r="W401" s="130"/>
      <c r="Y401" s="106"/>
    </row>
    <row r="402">
      <c r="C402" s="79"/>
      <c r="D402" s="79"/>
      <c r="J402" s="79"/>
      <c r="O402" s="79"/>
      <c r="P402" s="79"/>
      <c r="S402" s="79"/>
      <c r="T402" s="79"/>
      <c r="W402" s="130"/>
      <c r="Y402" s="106"/>
    </row>
    <row r="403">
      <c r="C403" s="79"/>
      <c r="D403" s="79"/>
      <c r="J403" s="79"/>
      <c r="O403" s="79"/>
      <c r="P403" s="79"/>
      <c r="S403" s="79"/>
      <c r="T403" s="79"/>
      <c r="W403" s="130"/>
      <c r="Y403" s="106"/>
    </row>
    <row r="404">
      <c r="C404" s="79"/>
      <c r="D404" s="79"/>
      <c r="J404" s="79"/>
      <c r="O404" s="79"/>
      <c r="P404" s="79"/>
      <c r="S404" s="79"/>
      <c r="T404" s="79"/>
      <c r="W404" s="130"/>
      <c r="Y404" s="106"/>
    </row>
    <row r="405">
      <c r="C405" s="79"/>
      <c r="D405" s="79"/>
      <c r="J405" s="79"/>
      <c r="O405" s="79"/>
      <c r="P405" s="79"/>
      <c r="S405" s="79"/>
      <c r="T405" s="79"/>
      <c r="W405" s="130"/>
      <c r="Y405" s="106"/>
    </row>
    <row r="406">
      <c r="C406" s="79"/>
      <c r="D406" s="79"/>
      <c r="J406" s="79"/>
      <c r="O406" s="79"/>
      <c r="P406" s="79"/>
      <c r="S406" s="79"/>
      <c r="T406" s="79"/>
      <c r="W406" s="130"/>
      <c r="Y406" s="106"/>
    </row>
    <row r="407">
      <c r="C407" s="79"/>
      <c r="D407" s="79"/>
      <c r="J407" s="79"/>
      <c r="O407" s="79"/>
      <c r="P407" s="79"/>
      <c r="S407" s="79"/>
      <c r="T407" s="79"/>
      <c r="W407" s="130"/>
      <c r="Y407" s="106"/>
    </row>
    <row r="408">
      <c r="C408" s="79"/>
      <c r="D408" s="79"/>
      <c r="J408" s="79"/>
      <c r="O408" s="79"/>
      <c r="P408" s="79"/>
      <c r="S408" s="79"/>
      <c r="T408" s="79"/>
      <c r="W408" s="130"/>
      <c r="Y408" s="106"/>
    </row>
    <row r="409">
      <c r="C409" s="79"/>
      <c r="D409" s="79"/>
      <c r="J409" s="79"/>
      <c r="O409" s="79"/>
      <c r="P409" s="79"/>
      <c r="S409" s="79"/>
      <c r="T409" s="79"/>
      <c r="W409" s="130"/>
      <c r="Y409" s="106"/>
    </row>
    <row r="410">
      <c r="C410" s="79"/>
      <c r="D410" s="79"/>
      <c r="J410" s="79"/>
      <c r="O410" s="79"/>
      <c r="P410" s="79"/>
      <c r="S410" s="79"/>
      <c r="T410" s="79"/>
      <c r="W410" s="130"/>
      <c r="Y410" s="106"/>
    </row>
    <row r="411">
      <c r="C411" s="79"/>
      <c r="D411" s="79"/>
      <c r="J411" s="79"/>
      <c r="O411" s="79"/>
      <c r="P411" s="79"/>
      <c r="S411" s="79"/>
      <c r="T411" s="79"/>
      <c r="W411" s="130"/>
      <c r="Y411" s="106"/>
    </row>
    <row r="412">
      <c r="C412" s="79"/>
      <c r="D412" s="79"/>
      <c r="J412" s="79"/>
      <c r="O412" s="79"/>
      <c r="P412" s="79"/>
      <c r="S412" s="79"/>
      <c r="T412" s="79"/>
      <c r="W412" s="130"/>
      <c r="Y412" s="106"/>
    </row>
    <row r="413">
      <c r="C413" s="79"/>
      <c r="D413" s="79"/>
      <c r="J413" s="79"/>
      <c r="O413" s="79"/>
      <c r="P413" s="79"/>
      <c r="S413" s="79"/>
      <c r="T413" s="79"/>
      <c r="W413" s="130"/>
      <c r="Y413" s="106"/>
    </row>
    <row r="414">
      <c r="C414" s="79"/>
      <c r="D414" s="79"/>
      <c r="J414" s="79"/>
      <c r="O414" s="79"/>
      <c r="P414" s="79"/>
      <c r="S414" s="79"/>
      <c r="T414" s="79"/>
      <c r="W414" s="130"/>
      <c r="Y414" s="106"/>
    </row>
    <row r="415">
      <c r="C415" s="79"/>
      <c r="D415" s="79"/>
      <c r="J415" s="79"/>
      <c r="O415" s="79"/>
      <c r="P415" s="79"/>
      <c r="S415" s="79"/>
      <c r="T415" s="79"/>
      <c r="W415" s="130"/>
      <c r="Y415" s="106"/>
    </row>
    <row r="416">
      <c r="C416" s="79"/>
      <c r="D416" s="79"/>
      <c r="J416" s="79"/>
      <c r="O416" s="79"/>
      <c r="P416" s="79"/>
      <c r="S416" s="79"/>
      <c r="T416" s="79"/>
      <c r="W416" s="130"/>
      <c r="Y416" s="106"/>
    </row>
    <row r="417">
      <c r="C417" s="79"/>
      <c r="D417" s="79"/>
      <c r="J417" s="79"/>
      <c r="O417" s="79"/>
      <c r="P417" s="79"/>
      <c r="S417" s="79"/>
      <c r="T417" s="79"/>
      <c r="W417" s="130"/>
      <c r="Y417" s="106"/>
    </row>
    <row r="418">
      <c r="C418" s="79"/>
      <c r="D418" s="79"/>
      <c r="J418" s="79"/>
      <c r="O418" s="79"/>
      <c r="P418" s="79"/>
      <c r="S418" s="79"/>
      <c r="T418" s="79"/>
      <c r="W418" s="130"/>
      <c r="Y418" s="106"/>
    </row>
    <row r="419">
      <c r="C419" s="79"/>
      <c r="D419" s="79"/>
      <c r="J419" s="79"/>
      <c r="O419" s="79"/>
      <c r="P419" s="79"/>
      <c r="S419" s="79"/>
      <c r="T419" s="79"/>
      <c r="W419" s="130"/>
      <c r="Y419" s="106"/>
    </row>
    <row r="420">
      <c r="C420" s="79"/>
      <c r="D420" s="79"/>
      <c r="J420" s="79"/>
      <c r="O420" s="79"/>
      <c r="P420" s="79"/>
      <c r="S420" s="79"/>
      <c r="T420" s="79"/>
      <c r="W420" s="130"/>
      <c r="Y420" s="106"/>
    </row>
    <row r="421">
      <c r="C421" s="79"/>
      <c r="D421" s="79"/>
      <c r="J421" s="79"/>
      <c r="O421" s="79"/>
      <c r="P421" s="79"/>
      <c r="S421" s="79"/>
      <c r="T421" s="79"/>
      <c r="W421" s="130"/>
      <c r="Y421" s="106"/>
    </row>
    <row r="422">
      <c r="C422" s="79"/>
      <c r="D422" s="79"/>
      <c r="J422" s="79"/>
      <c r="O422" s="79"/>
      <c r="P422" s="79"/>
      <c r="S422" s="79"/>
      <c r="T422" s="79"/>
      <c r="W422" s="130"/>
      <c r="Y422" s="106"/>
    </row>
    <row r="423">
      <c r="C423" s="79"/>
      <c r="D423" s="79"/>
      <c r="J423" s="79"/>
      <c r="O423" s="79"/>
      <c r="P423" s="79"/>
      <c r="S423" s="79"/>
      <c r="T423" s="79"/>
      <c r="W423" s="130"/>
      <c r="Y423" s="106"/>
    </row>
    <row r="424">
      <c r="C424" s="79"/>
      <c r="D424" s="79"/>
      <c r="J424" s="79"/>
      <c r="O424" s="79"/>
      <c r="P424" s="79"/>
      <c r="S424" s="79"/>
      <c r="T424" s="79"/>
      <c r="W424" s="130"/>
      <c r="Y424" s="106"/>
    </row>
    <row r="425">
      <c r="C425" s="79"/>
      <c r="D425" s="79"/>
      <c r="J425" s="79"/>
      <c r="O425" s="79"/>
      <c r="P425" s="79"/>
      <c r="S425" s="79"/>
      <c r="T425" s="79"/>
      <c r="W425" s="130"/>
      <c r="Y425" s="106"/>
    </row>
    <row r="426">
      <c r="C426" s="79"/>
      <c r="D426" s="79"/>
      <c r="J426" s="79"/>
      <c r="O426" s="79"/>
      <c r="P426" s="79"/>
      <c r="S426" s="79"/>
      <c r="T426" s="79"/>
      <c r="W426" s="130"/>
      <c r="Y426" s="106"/>
    </row>
    <row r="427">
      <c r="C427" s="79"/>
      <c r="D427" s="79"/>
      <c r="J427" s="79"/>
      <c r="O427" s="79"/>
      <c r="P427" s="79"/>
      <c r="S427" s="79"/>
      <c r="T427" s="79"/>
      <c r="W427" s="130"/>
      <c r="Y427" s="106"/>
    </row>
    <row r="428">
      <c r="C428" s="79"/>
      <c r="D428" s="79"/>
      <c r="J428" s="79"/>
      <c r="O428" s="79"/>
      <c r="P428" s="79"/>
      <c r="S428" s="79"/>
      <c r="T428" s="79"/>
      <c r="W428" s="130"/>
      <c r="Y428" s="106"/>
    </row>
    <row r="429">
      <c r="C429" s="79"/>
      <c r="D429" s="79"/>
      <c r="J429" s="79"/>
      <c r="O429" s="79"/>
      <c r="P429" s="79"/>
      <c r="S429" s="79"/>
      <c r="T429" s="79"/>
      <c r="W429" s="130"/>
      <c r="Y429" s="106"/>
    </row>
    <row r="430">
      <c r="C430" s="79"/>
      <c r="D430" s="79"/>
      <c r="J430" s="79"/>
      <c r="O430" s="79"/>
      <c r="P430" s="79"/>
      <c r="S430" s="79"/>
      <c r="T430" s="79"/>
      <c r="W430" s="130"/>
      <c r="Y430" s="106"/>
    </row>
    <row r="431">
      <c r="C431" s="79"/>
      <c r="D431" s="79"/>
      <c r="J431" s="79"/>
      <c r="O431" s="79"/>
      <c r="P431" s="79"/>
      <c r="S431" s="79"/>
      <c r="T431" s="79"/>
      <c r="W431" s="130"/>
      <c r="Y431" s="106"/>
    </row>
    <row r="432">
      <c r="C432" s="79"/>
      <c r="D432" s="79"/>
      <c r="J432" s="79"/>
      <c r="O432" s="79"/>
      <c r="P432" s="79"/>
      <c r="S432" s="79"/>
      <c r="T432" s="79"/>
      <c r="W432" s="130"/>
      <c r="Y432" s="106"/>
    </row>
    <row r="433">
      <c r="C433" s="79"/>
      <c r="D433" s="79"/>
      <c r="J433" s="79"/>
      <c r="O433" s="79"/>
      <c r="P433" s="79"/>
      <c r="S433" s="79"/>
      <c r="T433" s="79"/>
      <c r="W433" s="130"/>
      <c r="Y433" s="106"/>
    </row>
    <row r="434">
      <c r="C434" s="79"/>
      <c r="D434" s="79"/>
      <c r="J434" s="79"/>
      <c r="O434" s="79"/>
      <c r="P434" s="79"/>
      <c r="S434" s="79"/>
      <c r="T434" s="79"/>
      <c r="W434" s="130"/>
      <c r="Y434" s="106"/>
    </row>
    <row r="435">
      <c r="C435" s="79"/>
      <c r="D435" s="79"/>
      <c r="J435" s="79"/>
      <c r="O435" s="79"/>
      <c r="P435" s="79"/>
      <c r="S435" s="79"/>
      <c r="T435" s="79"/>
      <c r="W435" s="130"/>
      <c r="Y435" s="106"/>
    </row>
    <row r="436">
      <c r="C436" s="79"/>
      <c r="D436" s="79"/>
      <c r="J436" s="79"/>
      <c r="O436" s="79"/>
      <c r="P436" s="79"/>
      <c r="S436" s="79"/>
      <c r="T436" s="79"/>
      <c r="W436" s="130"/>
      <c r="Y436" s="106"/>
    </row>
    <row r="437">
      <c r="C437" s="79"/>
      <c r="D437" s="79"/>
      <c r="J437" s="79"/>
      <c r="O437" s="79"/>
      <c r="P437" s="79"/>
      <c r="S437" s="79"/>
      <c r="T437" s="79"/>
      <c r="W437" s="130"/>
      <c r="Y437" s="106"/>
    </row>
    <row r="438">
      <c r="C438" s="79"/>
      <c r="D438" s="79"/>
      <c r="J438" s="79"/>
      <c r="O438" s="79"/>
      <c r="P438" s="79"/>
      <c r="S438" s="79"/>
      <c r="T438" s="79"/>
      <c r="W438" s="130"/>
      <c r="Y438" s="106"/>
    </row>
    <row r="439">
      <c r="C439" s="79"/>
      <c r="D439" s="79"/>
      <c r="J439" s="79"/>
      <c r="O439" s="79"/>
      <c r="P439" s="79"/>
      <c r="S439" s="79"/>
      <c r="T439" s="79"/>
      <c r="W439" s="130"/>
      <c r="Y439" s="106"/>
    </row>
    <row r="440">
      <c r="C440" s="79"/>
      <c r="D440" s="79"/>
      <c r="J440" s="79"/>
      <c r="O440" s="79"/>
      <c r="P440" s="79"/>
      <c r="S440" s="79"/>
      <c r="T440" s="79"/>
      <c r="W440" s="130"/>
      <c r="Y440" s="106"/>
    </row>
    <row r="441">
      <c r="C441" s="79"/>
      <c r="D441" s="79"/>
      <c r="J441" s="79"/>
      <c r="O441" s="79"/>
      <c r="P441" s="79"/>
      <c r="S441" s="79"/>
      <c r="T441" s="79"/>
      <c r="W441" s="130"/>
      <c r="Y441" s="106"/>
    </row>
    <row r="442">
      <c r="C442" s="79"/>
      <c r="D442" s="79"/>
      <c r="J442" s="79"/>
      <c r="O442" s="79"/>
      <c r="P442" s="79"/>
      <c r="S442" s="79"/>
      <c r="T442" s="79"/>
      <c r="W442" s="130"/>
      <c r="Y442" s="106"/>
    </row>
    <row r="443">
      <c r="C443" s="79"/>
      <c r="D443" s="79"/>
      <c r="J443" s="79"/>
      <c r="O443" s="79"/>
      <c r="P443" s="79"/>
      <c r="S443" s="79"/>
      <c r="T443" s="79"/>
      <c r="W443" s="130"/>
      <c r="Y443" s="106"/>
    </row>
    <row r="444">
      <c r="C444" s="79"/>
      <c r="D444" s="79"/>
      <c r="J444" s="79"/>
      <c r="O444" s="79"/>
      <c r="P444" s="79"/>
      <c r="S444" s="79"/>
      <c r="T444" s="79"/>
      <c r="W444" s="130"/>
      <c r="Y444" s="106"/>
    </row>
    <row r="445">
      <c r="C445" s="79"/>
      <c r="D445" s="79"/>
      <c r="J445" s="79"/>
      <c r="O445" s="79"/>
      <c r="P445" s="79"/>
      <c r="S445" s="79"/>
      <c r="T445" s="79"/>
      <c r="W445" s="130"/>
      <c r="Y445" s="106"/>
    </row>
    <row r="446">
      <c r="C446" s="79"/>
      <c r="D446" s="79"/>
      <c r="J446" s="79"/>
      <c r="O446" s="79"/>
      <c r="P446" s="79"/>
      <c r="S446" s="79"/>
      <c r="T446" s="79"/>
      <c r="W446" s="130"/>
      <c r="Y446" s="106"/>
    </row>
    <row r="447">
      <c r="C447" s="79"/>
      <c r="D447" s="79"/>
      <c r="J447" s="79"/>
      <c r="O447" s="79"/>
      <c r="P447" s="79"/>
      <c r="S447" s="79"/>
      <c r="T447" s="79"/>
      <c r="W447" s="130"/>
      <c r="Y447" s="106"/>
    </row>
    <row r="448">
      <c r="C448" s="79"/>
      <c r="D448" s="79"/>
      <c r="J448" s="79"/>
      <c r="O448" s="79"/>
      <c r="P448" s="79"/>
      <c r="S448" s="79"/>
      <c r="T448" s="79"/>
      <c r="W448" s="130"/>
      <c r="Y448" s="106"/>
    </row>
    <row r="449">
      <c r="C449" s="79"/>
      <c r="D449" s="79"/>
      <c r="J449" s="79"/>
      <c r="O449" s="79"/>
      <c r="P449" s="79"/>
      <c r="S449" s="79"/>
      <c r="T449" s="79"/>
      <c r="W449" s="130"/>
      <c r="Y449" s="106"/>
    </row>
    <row r="450">
      <c r="C450" s="79"/>
      <c r="D450" s="79"/>
      <c r="J450" s="79"/>
      <c r="O450" s="79"/>
      <c r="P450" s="79"/>
      <c r="S450" s="79"/>
      <c r="T450" s="79"/>
      <c r="W450" s="130"/>
      <c r="Y450" s="106"/>
    </row>
    <row r="451">
      <c r="C451" s="79"/>
      <c r="D451" s="79"/>
      <c r="J451" s="79"/>
      <c r="O451" s="79"/>
      <c r="P451" s="79"/>
      <c r="S451" s="79"/>
      <c r="T451" s="79"/>
      <c r="W451" s="130"/>
      <c r="Y451" s="106"/>
    </row>
    <row r="452">
      <c r="C452" s="79"/>
      <c r="D452" s="79"/>
      <c r="J452" s="79"/>
      <c r="O452" s="79"/>
      <c r="P452" s="79"/>
      <c r="S452" s="79"/>
      <c r="T452" s="79"/>
      <c r="W452" s="130"/>
      <c r="Y452" s="106"/>
    </row>
    <row r="453">
      <c r="C453" s="79"/>
      <c r="D453" s="79"/>
      <c r="J453" s="79"/>
      <c r="O453" s="79"/>
      <c r="P453" s="79"/>
      <c r="S453" s="79"/>
      <c r="T453" s="79"/>
      <c r="W453" s="130"/>
      <c r="Y453" s="106"/>
    </row>
    <row r="454">
      <c r="C454" s="79"/>
      <c r="D454" s="79"/>
      <c r="J454" s="79"/>
      <c r="O454" s="79"/>
      <c r="P454" s="79"/>
      <c r="S454" s="79"/>
      <c r="T454" s="79"/>
      <c r="W454" s="130"/>
      <c r="Y454" s="106"/>
    </row>
    <row r="455">
      <c r="C455" s="79"/>
      <c r="D455" s="79"/>
      <c r="J455" s="79"/>
      <c r="O455" s="79"/>
      <c r="P455" s="79"/>
      <c r="S455" s="79"/>
      <c r="T455" s="79"/>
      <c r="W455" s="130"/>
      <c r="Y455" s="106"/>
    </row>
    <row r="456">
      <c r="C456" s="79"/>
      <c r="D456" s="79"/>
      <c r="J456" s="79"/>
      <c r="O456" s="79"/>
      <c r="P456" s="79"/>
      <c r="S456" s="79"/>
      <c r="T456" s="79"/>
      <c r="W456" s="130"/>
      <c r="Y456" s="106"/>
    </row>
    <row r="457">
      <c r="C457" s="79"/>
      <c r="D457" s="79"/>
      <c r="J457" s="79"/>
      <c r="O457" s="79"/>
      <c r="P457" s="79"/>
      <c r="S457" s="79"/>
      <c r="T457" s="79"/>
      <c r="W457" s="130"/>
      <c r="Y457" s="106"/>
    </row>
    <row r="458">
      <c r="C458" s="79"/>
      <c r="D458" s="79"/>
      <c r="J458" s="79"/>
      <c r="O458" s="79"/>
      <c r="P458" s="79"/>
      <c r="S458" s="79"/>
      <c r="T458" s="79"/>
      <c r="W458" s="130"/>
      <c r="Y458" s="106"/>
    </row>
    <row r="459">
      <c r="C459" s="79"/>
      <c r="D459" s="79"/>
      <c r="J459" s="79"/>
      <c r="O459" s="79"/>
      <c r="P459" s="79"/>
      <c r="S459" s="79"/>
      <c r="T459" s="79"/>
      <c r="W459" s="130"/>
      <c r="Y459" s="106"/>
    </row>
    <row r="460">
      <c r="C460" s="79"/>
      <c r="D460" s="79"/>
      <c r="J460" s="79"/>
      <c r="O460" s="79"/>
      <c r="P460" s="79"/>
      <c r="S460" s="79"/>
      <c r="T460" s="79"/>
      <c r="W460" s="130"/>
      <c r="Y460" s="106"/>
    </row>
    <row r="461">
      <c r="C461" s="79"/>
      <c r="D461" s="79"/>
      <c r="J461" s="79"/>
      <c r="O461" s="79"/>
      <c r="P461" s="79"/>
      <c r="S461" s="79"/>
      <c r="T461" s="79"/>
      <c r="W461" s="130"/>
      <c r="Y461" s="106"/>
    </row>
    <row r="462">
      <c r="C462" s="79"/>
      <c r="D462" s="79"/>
      <c r="J462" s="79"/>
      <c r="O462" s="79"/>
      <c r="P462" s="79"/>
      <c r="S462" s="79"/>
      <c r="T462" s="79"/>
      <c r="W462" s="130"/>
      <c r="Y462" s="106"/>
    </row>
    <row r="463">
      <c r="C463" s="79"/>
      <c r="D463" s="79"/>
      <c r="J463" s="79"/>
      <c r="O463" s="79"/>
      <c r="P463" s="79"/>
      <c r="S463" s="79"/>
      <c r="T463" s="79"/>
      <c r="W463" s="130"/>
      <c r="Y463" s="106"/>
    </row>
    <row r="464">
      <c r="C464" s="79"/>
      <c r="D464" s="79"/>
      <c r="J464" s="79"/>
      <c r="O464" s="79"/>
      <c r="P464" s="79"/>
      <c r="S464" s="79"/>
      <c r="T464" s="79"/>
      <c r="W464" s="130"/>
      <c r="Y464" s="106"/>
    </row>
    <row r="465">
      <c r="C465" s="79"/>
      <c r="D465" s="79"/>
      <c r="J465" s="79"/>
      <c r="O465" s="79"/>
      <c r="P465" s="79"/>
      <c r="S465" s="79"/>
      <c r="T465" s="79"/>
      <c r="W465" s="130"/>
      <c r="Y465" s="106"/>
    </row>
    <row r="466">
      <c r="C466" s="79"/>
      <c r="D466" s="79"/>
      <c r="J466" s="79"/>
      <c r="O466" s="79"/>
      <c r="P466" s="79"/>
      <c r="S466" s="79"/>
      <c r="T466" s="79"/>
      <c r="W466" s="130"/>
      <c r="Y466" s="106"/>
    </row>
    <row r="467">
      <c r="C467" s="79"/>
      <c r="D467" s="79"/>
      <c r="J467" s="79"/>
      <c r="O467" s="79"/>
      <c r="P467" s="79"/>
      <c r="S467" s="79"/>
      <c r="T467" s="79"/>
      <c r="W467" s="130"/>
      <c r="Y467" s="106"/>
    </row>
    <row r="468">
      <c r="C468" s="79"/>
      <c r="D468" s="79"/>
      <c r="J468" s="79"/>
      <c r="O468" s="79"/>
      <c r="P468" s="79"/>
      <c r="S468" s="79"/>
      <c r="T468" s="79"/>
      <c r="W468" s="130"/>
      <c r="Y468" s="106"/>
    </row>
    <row r="469">
      <c r="C469" s="79"/>
      <c r="D469" s="79"/>
      <c r="J469" s="79"/>
      <c r="O469" s="79"/>
      <c r="P469" s="79"/>
      <c r="S469" s="79"/>
      <c r="T469" s="79"/>
      <c r="W469" s="130"/>
      <c r="Y469" s="106"/>
    </row>
    <row r="470">
      <c r="C470" s="79"/>
      <c r="D470" s="79"/>
      <c r="J470" s="79"/>
      <c r="O470" s="79"/>
      <c r="P470" s="79"/>
      <c r="S470" s="79"/>
      <c r="T470" s="79"/>
      <c r="W470" s="130"/>
      <c r="Y470" s="106"/>
    </row>
    <row r="471">
      <c r="C471" s="79"/>
      <c r="D471" s="79"/>
      <c r="J471" s="79"/>
      <c r="O471" s="79"/>
      <c r="P471" s="79"/>
      <c r="S471" s="79"/>
      <c r="T471" s="79"/>
      <c r="W471" s="130"/>
      <c r="Y471" s="106"/>
    </row>
    <row r="472">
      <c r="C472" s="79"/>
      <c r="D472" s="79"/>
      <c r="J472" s="79"/>
      <c r="O472" s="79"/>
      <c r="P472" s="79"/>
      <c r="S472" s="79"/>
      <c r="T472" s="79"/>
      <c r="W472" s="130"/>
      <c r="Y472" s="106"/>
    </row>
    <row r="473">
      <c r="C473" s="79"/>
      <c r="D473" s="79"/>
      <c r="J473" s="79"/>
      <c r="O473" s="79"/>
      <c r="P473" s="79"/>
      <c r="S473" s="79"/>
      <c r="T473" s="79"/>
      <c r="W473" s="130"/>
      <c r="Y473" s="106"/>
    </row>
    <row r="474">
      <c r="C474" s="79"/>
      <c r="D474" s="79"/>
      <c r="J474" s="79"/>
      <c r="O474" s="79"/>
      <c r="P474" s="79"/>
      <c r="S474" s="79"/>
      <c r="T474" s="79"/>
      <c r="W474" s="130"/>
      <c r="Y474" s="106"/>
    </row>
    <row r="475">
      <c r="C475" s="79"/>
      <c r="D475" s="79"/>
      <c r="J475" s="79"/>
      <c r="O475" s="79"/>
      <c r="P475" s="79"/>
      <c r="S475" s="79"/>
      <c r="T475" s="79"/>
      <c r="W475" s="130"/>
      <c r="Y475" s="106"/>
    </row>
    <row r="476">
      <c r="C476" s="79"/>
      <c r="D476" s="79"/>
      <c r="J476" s="79"/>
      <c r="O476" s="79"/>
      <c r="P476" s="79"/>
      <c r="S476" s="79"/>
      <c r="T476" s="79"/>
      <c r="W476" s="130"/>
      <c r="Y476" s="106"/>
    </row>
    <row r="477">
      <c r="C477" s="79"/>
      <c r="D477" s="79"/>
      <c r="J477" s="79"/>
      <c r="O477" s="79"/>
      <c r="P477" s="79"/>
      <c r="S477" s="79"/>
      <c r="T477" s="79"/>
      <c r="W477" s="130"/>
      <c r="Y477" s="106"/>
    </row>
    <row r="478">
      <c r="C478" s="79"/>
      <c r="D478" s="79"/>
      <c r="J478" s="79"/>
      <c r="O478" s="79"/>
      <c r="P478" s="79"/>
      <c r="S478" s="79"/>
      <c r="T478" s="79"/>
      <c r="W478" s="130"/>
      <c r="Y478" s="106"/>
    </row>
    <row r="479">
      <c r="C479" s="79"/>
      <c r="D479" s="79"/>
      <c r="J479" s="79"/>
      <c r="O479" s="79"/>
      <c r="P479" s="79"/>
      <c r="S479" s="79"/>
      <c r="T479" s="79"/>
      <c r="W479" s="130"/>
      <c r="Y479" s="106"/>
    </row>
    <row r="480">
      <c r="C480" s="79"/>
      <c r="D480" s="79"/>
      <c r="J480" s="79"/>
      <c r="O480" s="79"/>
      <c r="P480" s="79"/>
      <c r="S480" s="79"/>
      <c r="T480" s="79"/>
      <c r="W480" s="130"/>
      <c r="Y480" s="106"/>
    </row>
    <row r="481">
      <c r="C481" s="79"/>
      <c r="D481" s="79"/>
      <c r="J481" s="79"/>
      <c r="O481" s="79"/>
      <c r="P481" s="79"/>
      <c r="S481" s="79"/>
      <c r="T481" s="79"/>
      <c r="W481" s="130"/>
      <c r="Y481" s="106"/>
    </row>
    <row r="482">
      <c r="C482" s="79"/>
      <c r="D482" s="79"/>
      <c r="J482" s="79"/>
      <c r="O482" s="79"/>
      <c r="P482" s="79"/>
      <c r="S482" s="79"/>
      <c r="T482" s="79"/>
      <c r="W482" s="130"/>
      <c r="Y482" s="106"/>
    </row>
    <row r="483">
      <c r="C483" s="79"/>
      <c r="D483" s="79"/>
      <c r="J483" s="79"/>
      <c r="O483" s="79"/>
      <c r="P483" s="79"/>
      <c r="S483" s="79"/>
      <c r="T483" s="79"/>
      <c r="W483" s="130"/>
      <c r="Y483" s="106"/>
    </row>
    <row r="484">
      <c r="C484" s="79"/>
      <c r="D484" s="79"/>
      <c r="J484" s="79"/>
      <c r="O484" s="79"/>
      <c r="P484" s="79"/>
      <c r="S484" s="79"/>
      <c r="T484" s="79"/>
      <c r="W484" s="130"/>
      <c r="Y484" s="106"/>
    </row>
    <row r="485">
      <c r="C485" s="79"/>
      <c r="D485" s="79"/>
      <c r="J485" s="79"/>
      <c r="O485" s="79"/>
      <c r="P485" s="79"/>
      <c r="S485" s="79"/>
      <c r="T485" s="79"/>
      <c r="W485" s="130"/>
      <c r="Y485" s="106"/>
    </row>
    <row r="486">
      <c r="C486" s="79"/>
      <c r="D486" s="79"/>
      <c r="J486" s="79"/>
      <c r="O486" s="79"/>
      <c r="P486" s="79"/>
      <c r="S486" s="79"/>
      <c r="T486" s="79"/>
      <c r="W486" s="130"/>
      <c r="Y486" s="106"/>
    </row>
    <row r="487">
      <c r="C487" s="79"/>
      <c r="D487" s="79"/>
      <c r="J487" s="79"/>
      <c r="O487" s="79"/>
      <c r="P487" s="79"/>
      <c r="S487" s="79"/>
      <c r="T487" s="79"/>
      <c r="W487" s="130"/>
      <c r="Y487" s="106"/>
    </row>
    <row r="488">
      <c r="C488" s="79"/>
      <c r="D488" s="79"/>
      <c r="J488" s="79"/>
      <c r="O488" s="79"/>
      <c r="P488" s="79"/>
      <c r="S488" s="79"/>
      <c r="T488" s="79"/>
      <c r="W488" s="130"/>
      <c r="Y488" s="106"/>
    </row>
    <row r="489">
      <c r="C489" s="79"/>
      <c r="D489" s="79"/>
      <c r="J489" s="79"/>
      <c r="O489" s="79"/>
      <c r="P489" s="79"/>
      <c r="S489" s="79"/>
      <c r="T489" s="79"/>
      <c r="W489" s="130"/>
      <c r="Y489" s="106"/>
    </row>
    <row r="490">
      <c r="C490" s="79"/>
      <c r="D490" s="79"/>
      <c r="J490" s="79"/>
      <c r="O490" s="79"/>
      <c r="P490" s="79"/>
      <c r="S490" s="79"/>
      <c r="T490" s="79"/>
      <c r="W490" s="130"/>
      <c r="Y490" s="106"/>
    </row>
    <row r="491">
      <c r="C491" s="79"/>
      <c r="D491" s="79"/>
      <c r="J491" s="79"/>
      <c r="O491" s="79"/>
      <c r="P491" s="79"/>
      <c r="S491" s="79"/>
      <c r="T491" s="79"/>
      <c r="W491" s="130"/>
      <c r="Y491" s="106"/>
    </row>
    <row r="492">
      <c r="C492" s="79"/>
      <c r="D492" s="79"/>
      <c r="J492" s="79"/>
      <c r="O492" s="79"/>
      <c r="P492" s="79"/>
      <c r="S492" s="79"/>
      <c r="T492" s="79"/>
      <c r="W492" s="130"/>
      <c r="Y492" s="106"/>
    </row>
    <row r="493">
      <c r="C493" s="79"/>
      <c r="D493" s="79"/>
      <c r="J493" s="79"/>
      <c r="O493" s="79"/>
      <c r="P493" s="79"/>
      <c r="S493" s="79"/>
      <c r="T493" s="79"/>
      <c r="W493" s="130"/>
      <c r="Y493" s="106"/>
    </row>
    <row r="494">
      <c r="C494" s="79"/>
      <c r="D494" s="79"/>
      <c r="J494" s="79"/>
      <c r="O494" s="79"/>
      <c r="P494" s="79"/>
      <c r="S494" s="79"/>
      <c r="T494" s="79"/>
      <c r="W494" s="130"/>
      <c r="Y494" s="106"/>
    </row>
    <row r="495">
      <c r="C495" s="79"/>
      <c r="D495" s="79"/>
      <c r="J495" s="79"/>
      <c r="O495" s="79"/>
      <c r="P495" s="79"/>
      <c r="S495" s="79"/>
      <c r="T495" s="79"/>
      <c r="W495" s="130"/>
      <c r="Y495" s="106"/>
    </row>
    <row r="496">
      <c r="C496" s="79"/>
      <c r="D496" s="79"/>
      <c r="J496" s="79"/>
      <c r="O496" s="79"/>
      <c r="P496" s="79"/>
      <c r="S496" s="79"/>
      <c r="T496" s="79"/>
      <c r="W496" s="130"/>
      <c r="Y496" s="106"/>
    </row>
    <row r="497">
      <c r="C497" s="79"/>
      <c r="D497" s="79"/>
      <c r="J497" s="79"/>
      <c r="O497" s="79"/>
      <c r="P497" s="79"/>
      <c r="S497" s="79"/>
      <c r="T497" s="79"/>
      <c r="W497" s="130"/>
      <c r="Y497" s="106"/>
    </row>
    <row r="498">
      <c r="C498" s="79"/>
      <c r="D498" s="79"/>
      <c r="J498" s="79"/>
      <c r="O498" s="79"/>
      <c r="P498" s="79"/>
      <c r="S498" s="79"/>
      <c r="T498" s="79"/>
      <c r="W498" s="130"/>
      <c r="Y498" s="106"/>
    </row>
    <row r="499">
      <c r="C499" s="79"/>
      <c r="D499" s="79"/>
      <c r="J499" s="79"/>
      <c r="O499" s="79"/>
      <c r="P499" s="79"/>
      <c r="S499" s="79"/>
      <c r="T499" s="79"/>
      <c r="W499" s="130"/>
      <c r="Y499" s="106"/>
    </row>
    <row r="500">
      <c r="C500" s="79"/>
      <c r="D500" s="79"/>
      <c r="J500" s="79"/>
      <c r="O500" s="79"/>
      <c r="P500" s="79"/>
      <c r="S500" s="79"/>
      <c r="T500" s="79"/>
      <c r="W500" s="130"/>
      <c r="Y500" s="106"/>
    </row>
    <row r="501">
      <c r="C501" s="79"/>
      <c r="D501" s="79"/>
      <c r="J501" s="79"/>
      <c r="O501" s="79"/>
      <c r="P501" s="79"/>
      <c r="S501" s="79"/>
      <c r="T501" s="79"/>
      <c r="W501" s="130"/>
      <c r="Y501" s="106"/>
    </row>
    <row r="502">
      <c r="C502" s="79"/>
      <c r="D502" s="79"/>
      <c r="J502" s="79"/>
      <c r="O502" s="79"/>
      <c r="P502" s="79"/>
      <c r="S502" s="79"/>
      <c r="T502" s="79"/>
      <c r="W502" s="130"/>
      <c r="Y502" s="106"/>
    </row>
    <row r="503">
      <c r="C503" s="79"/>
      <c r="D503" s="79"/>
      <c r="J503" s="79"/>
      <c r="O503" s="79"/>
      <c r="P503" s="79"/>
      <c r="S503" s="79"/>
      <c r="T503" s="79"/>
      <c r="W503" s="130"/>
      <c r="Y503" s="106"/>
    </row>
    <row r="504">
      <c r="C504" s="79"/>
      <c r="D504" s="79"/>
      <c r="J504" s="79"/>
      <c r="O504" s="79"/>
      <c r="P504" s="79"/>
      <c r="S504" s="79"/>
      <c r="T504" s="79"/>
      <c r="W504" s="130"/>
      <c r="Y504" s="106"/>
    </row>
    <row r="505">
      <c r="C505" s="79"/>
      <c r="D505" s="79"/>
      <c r="J505" s="79"/>
      <c r="O505" s="79"/>
      <c r="P505" s="79"/>
      <c r="S505" s="79"/>
      <c r="T505" s="79"/>
      <c r="W505" s="130"/>
      <c r="Y505" s="106"/>
    </row>
    <row r="506">
      <c r="C506" s="79"/>
      <c r="D506" s="79"/>
      <c r="J506" s="79"/>
      <c r="O506" s="79"/>
      <c r="P506" s="79"/>
      <c r="S506" s="79"/>
      <c r="T506" s="79"/>
      <c r="W506" s="130"/>
      <c r="Y506" s="106"/>
    </row>
    <row r="507">
      <c r="C507" s="79"/>
      <c r="D507" s="79"/>
      <c r="J507" s="79"/>
      <c r="O507" s="79"/>
      <c r="P507" s="79"/>
      <c r="S507" s="79"/>
      <c r="T507" s="79"/>
      <c r="W507" s="130"/>
      <c r="Y507" s="106"/>
    </row>
    <row r="508">
      <c r="C508" s="79"/>
      <c r="D508" s="79"/>
      <c r="J508" s="79"/>
      <c r="O508" s="79"/>
      <c r="P508" s="79"/>
      <c r="S508" s="79"/>
      <c r="T508" s="79"/>
      <c r="W508" s="130"/>
      <c r="Y508" s="106"/>
    </row>
    <row r="509">
      <c r="C509" s="79"/>
      <c r="D509" s="79"/>
      <c r="J509" s="79"/>
      <c r="O509" s="79"/>
      <c r="P509" s="79"/>
      <c r="S509" s="79"/>
      <c r="T509" s="79"/>
      <c r="W509" s="130"/>
      <c r="Y509" s="106"/>
    </row>
    <row r="510">
      <c r="C510" s="79"/>
      <c r="D510" s="79"/>
      <c r="J510" s="79"/>
      <c r="O510" s="79"/>
      <c r="P510" s="79"/>
      <c r="S510" s="79"/>
      <c r="T510" s="79"/>
      <c r="W510" s="130"/>
      <c r="Y510" s="106"/>
    </row>
    <row r="511">
      <c r="C511" s="79"/>
      <c r="D511" s="79"/>
      <c r="J511" s="79"/>
      <c r="O511" s="79"/>
      <c r="P511" s="79"/>
      <c r="S511" s="79"/>
      <c r="T511" s="79"/>
      <c r="W511" s="130"/>
      <c r="Y511" s="106"/>
    </row>
    <row r="512">
      <c r="C512" s="79"/>
      <c r="D512" s="79"/>
      <c r="J512" s="79"/>
      <c r="O512" s="79"/>
      <c r="P512" s="79"/>
      <c r="S512" s="79"/>
      <c r="T512" s="79"/>
      <c r="W512" s="130"/>
      <c r="Y512" s="106"/>
    </row>
    <row r="513">
      <c r="C513" s="79"/>
      <c r="D513" s="79"/>
      <c r="J513" s="79"/>
      <c r="O513" s="79"/>
      <c r="P513" s="79"/>
      <c r="S513" s="79"/>
      <c r="T513" s="79"/>
      <c r="W513" s="130"/>
      <c r="Y513" s="106"/>
    </row>
    <row r="514">
      <c r="C514" s="79"/>
      <c r="D514" s="79"/>
      <c r="J514" s="79"/>
      <c r="O514" s="79"/>
      <c r="P514" s="79"/>
      <c r="S514" s="79"/>
      <c r="T514" s="79"/>
      <c r="W514" s="130"/>
      <c r="Y514" s="106"/>
    </row>
    <row r="515">
      <c r="C515" s="79"/>
      <c r="D515" s="79"/>
      <c r="J515" s="79"/>
      <c r="O515" s="79"/>
      <c r="P515" s="79"/>
      <c r="S515" s="79"/>
      <c r="T515" s="79"/>
      <c r="W515" s="130"/>
      <c r="Y515" s="106"/>
    </row>
    <row r="516">
      <c r="C516" s="79"/>
      <c r="D516" s="79"/>
      <c r="J516" s="79"/>
      <c r="O516" s="79"/>
      <c r="P516" s="79"/>
      <c r="S516" s="79"/>
      <c r="T516" s="79"/>
      <c r="W516" s="130"/>
      <c r="Y516" s="106"/>
    </row>
    <row r="517">
      <c r="C517" s="79"/>
      <c r="D517" s="79"/>
      <c r="J517" s="79"/>
      <c r="O517" s="79"/>
      <c r="P517" s="79"/>
      <c r="S517" s="79"/>
      <c r="T517" s="79"/>
      <c r="W517" s="130"/>
      <c r="Y517" s="106"/>
    </row>
    <row r="518">
      <c r="C518" s="79"/>
      <c r="D518" s="79"/>
      <c r="J518" s="79"/>
      <c r="O518" s="79"/>
      <c r="P518" s="79"/>
      <c r="S518" s="79"/>
      <c r="T518" s="79"/>
      <c r="W518" s="130"/>
      <c r="Y518" s="106"/>
    </row>
    <row r="519">
      <c r="C519" s="79"/>
      <c r="D519" s="79"/>
      <c r="J519" s="79"/>
      <c r="O519" s="79"/>
      <c r="P519" s="79"/>
      <c r="S519" s="79"/>
      <c r="T519" s="79"/>
      <c r="W519" s="130"/>
      <c r="Y519" s="106"/>
    </row>
    <row r="520">
      <c r="C520" s="79"/>
      <c r="D520" s="79"/>
      <c r="J520" s="79"/>
      <c r="O520" s="79"/>
      <c r="P520" s="79"/>
      <c r="S520" s="79"/>
      <c r="T520" s="79"/>
      <c r="W520" s="130"/>
      <c r="Y520" s="106"/>
    </row>
    <row r="521">
      <c r="C521" s="79"/>
      <c r="D521" s="79"/>
      <c r="J521" s="79"/>
      <c r="O521" s="79"/>
      <c r="P521" s="79"/>
      <c r="S521" s="79"/>
      <c r="T521" s="79"/>
      <c r="W521" s="130"/>
      <c r="Y521" s="106"/>
    </row>
    <row r="522">
      <c r="C522" s="79"/>
      <c r="D522" s="79"/>
      <c r="J522" s="79"/>
      <c r="O522" s="79"/>
      <c r="P522" s="79"/>
      <c r="S522" s="79"/>
      <c r="T522" s="79"/>
      <c r="W522" s="130"/>
      <c r="Y522" s="106"/>
    </row>
    <row r="523">
      <c r="C523" s="79"/>
      <c r="D523" s="79"/>
      <c r="J523" s="79"/>
      <c r="O523" s="79"/>
      <c r="P523" s="79"/>
      <c r="S523" s="79"/>
      <c r="T523" s="79"/>
      <c r="W523" s="130"/>
      <c r="Y523" s="106"/>
    </row>
    <row r="524">
      <c r="C524" s="79"/>
      <c r="D524" s="79"/>
      <c r="J524" s="79"/>
      <c r="O524" s="79"/>
      <c r="P524" s="79"/>
      <c r="S524" s="79"/>
      <c r="T524" s="79"/>
      <c r="W524" s="130"/>
      <c r="Y524" s="106"/>
    </row>
    <row r="525">
      <c r="C525" s="79"/>
      <c r="D525" s="79"/>
      <c r="J525" s="79"/>
      <c r="O525" s="79"/>
      <c r="P525" s="79"/>
      <c r="S525" s="79"/>
      <c r="T525" s="79"/>
      <c r="W525" s="130"/>
      <c r="Y525" s="106"/>
    </row>
    <row r="526">
      <c r="C526" s="79"/>
      <c r="D526" s="79"/>
      <c r="J526" s="79"/>
      <c r="O526" s="79"/>
      <c r="P526" s="79"/>
      <c r="S526" s="79"/>
      <c r="T526" s="79"/>
      <c r="W526" s="130"/>
      <c r="Y526" s="106"/>
    </row>
    <row r="527">
      <c r="C527" s="79"/>
      <c r="D527" s="79"/>
      <c r="J527" s="79"/>
      <c r="O527" s="79"/>
      <c r="P527" s="79"/>
      <c r="S527" s="79"/>
      <c r="T527" s="79"/>
      <c r="W527" s="130"/>
      <c r="Y527" s="106"/>
    </row>
    <row r="528">
      <c r="C528" s="79"/>
      <c r="D528" s="79"/>
      <c r="J528" s="79"/>
      <c r="O528" s="79"/>
      <c r="P528" s="79"/>
      <c r="S528" s="79"/>
      <c r="T528" s="79"/>
      <c r="W528" s="130"/>
      <c r="Y528" s="106"/>
    </row>
    <row r="529">
      <c r="C529" s="79"/>
      <c r="D529" s="79"/>
      <c r="J529" s="79"/>
      <c r="O529" s="79"/>
      <c r="P529" s="79"/>
      <c r="S529" s="79"/>
      <c r="T529" s="79"/>
      <c r="W529" s="130"/>
      <c r="Y529" s="106"/>
    </row>
    <row r="530">
      <c r="C530" s="79"/>
      <c r="D530" s="79"/>
      <c r="J530" s="79"/>
      <c r="O530" s="79"/>
      <c r="P530" s="79"/>
      <c r="S530" s="79"/>
      <c r="T530" s="79"/>
      <c r="W530" s="130"/>
      <c r="Y530" s="106"/>
    </row>
    <row r="531">
      <c r="C531" s="79"/>
      <c r="D531" s="79"/>
      <c r="J531" s="79"/>
      <c r="O531" s="79"/>
      <c r="P531" s="79"/>
      <c r="S531" s="79"/>
      <c r="T531" s="79"/>
      <c r="W531" s="130"/>
      <c r="Y531" s="106"/>
    </row>
    <row r="532">
      <c r="C532" s="79"/>
      <c r="D532" s="79"/>
      <c r="J532" s="79"/>
      <c r="O532" s="79"/>
      <c r="P532" s="79"/>
      <c r="S532" s="79"/>
      <c r="T532" s="79"/>
      <c r="W532" s="130"/>
      <c r="Y532" s="106"/>
    </row>
    <row r="533">
      <c r="C533" s="79"/>
      <c r="D533" s="79"/>
      <c r="J533" s="79"/>
      <c r="O533" s="79"/>
      <c r="P533" s="79"/>
      <c r="S533" s="79"/>
      <c r="T533" s="79"/>
      <c r="W533" s="130"/>
      <c r="Y533" s="106"/>
    </row>
    <row r="534">
      <c r="C534" s="79"/>
      <c r="D534" s="79"/>
      <c r="J534" s="79"/>
      <c r="O534" s="79"/>
      <c r="P534" s="79"/>
      <c r="S534" s="79"/>
      <c r="T534" s="79"/>
      <c r="W534" s="130"/>
      <c r="Y534" s="106"/>
    </row>
    <row r="535">
      <c r="C535" s="79"/>
      <c r="D535" s="79"/>
      <c r="J535" s="79"/>
      <c r="O535" s="79"/>
      <c r="P535" s="79"/>
      <c r="S535" s="79"/>
      <c r="T535" s="79"/>
      <c r="W535" s="130"/>
      <c r="Y535" s="106"/>
    </row>
    <row r="536">
      <c r="C536" s="79"/>
      <c r="D536" s="79"/>
      <c r="J536" s="79"/>
      <c r="O536" s="79"/>
      <c r="P536" s="79"/>
      <c r="S536" s="79"/>
      <c r="T536" s="79"/>
      <c r="W536" s="130"/>
      <c r="Y536" s="106"/>
    </row>
    <row r="537">
      <c r="C537" s="79"/>
      <c r="D537" s="79"/>
      <c r="J537" s="79"/>
      <c r="O537" s="79"/>
      <c r="P537" s="79"/>
      <c r="S537" s="79"/>
      <c r="T537" s="79"/>
      <c r="W537" s="130"/>
      <c r="Y537" s="106"/>
    </row>
    <row r="538">
      <c r="C538" s="79"/>
      <c r="D538" s="79"/>
      <c r="J538" s="79"/>
      <c r="O538" s="79"/>
      <c r="P538" s="79"/>
      <c r="S538" s="79"/>
      <c r="T538" s="79"/>
      <c r="W538" s="130"/>
      <c r="Y538" s="106"/>
    </row>
    <row r="539">
      <c r="C539" s="79"/>
      <c r="D539" s="79"/>
      <c r="J539" s="79"/>
      <c r="O539" s="79"/>
      <c r="P539" s="79"/>
      <c r="S539" s="79"/>
      <c r="T539" s="79"/>
      <c r="W539" s="130"/>
      <c r="Y539" s="106"/>
    </row>
    <row r="540">
      <c r="C540" s="79"/>
      <c r="D540" s="79"/>
      <c r="J540" s="79"/>
      <c r="O540" s="79"/>
      <c r="P540" s="79"/>
      <c r="S540" s="79"/>
      <c r="T540" s="79"/>
      <c r="W540" s="130"/>
      <c r="Y540" s="106"/>
    </row>
    <row r="541">
      <c r="C541" s="79"/>
      <c r="D541" s="79"/>
      <c r="J541" s="79"/>
      <c r="O541" s="79"/>
      <c r="P541" s="79"/>
      <c r="S541" s="79"/>
      <c r="T541" s="79"/>
      <c r="W541" s="130"/>
      <c r="Y541" s="106"/>
    </row>
    <row r="542">
      <c r="C542" s="79"/>
      <c r="D542" s="79"/>
      <c r="J542" s="79"/>
      <c r="O542" s="79"/>
      <c r="P542" s="79"/>
      <c r="S542" s="79"/>
      <c r="T542" s="79"/>
      <c r="W542" s="130"/>
      <c r="Y542" s="106"/>
    </row>
    <row r="543">
      <c r="C543" s="79"/>
      <c r="D543" s="79"/>
      <c r="J543" s="79"/>
      <c r="O543" s="79"/>
      <c r="P543" s="79"/>
      <c r="S543" s="79"/>
      <c r="T543" s="79"/>
      <c r="W543" s="130"/>
      <c r="Y543" s="106"/>
    </row>
    <row r="544">
      <c r="C544" s="79"/>
      <c r="D544" s="79"/>
      <c r="J544" s="79"/>
      <c r="O544" s="79"/>
      <c r="P544" s="79"/>
      <c r="S544" s="79"/>
      <c r="T544" s="79"/>
      <c r="W544" s="130"/>
      <c r="Y544" s="106"/>
    </row>
    <row r="545">
      <c r="C545" s="79"/>
      <c r="D545" s="79"/>
      <c r="J545" s="79"/>
      <c r="O545" s="79"/>
      <c r="P545" s="79"/>
      <c r="S545" s="79"/>
      <c r="T545" s="79"/>
      <c r="W545" s="130"/>
      <c r="Y545" s="106"/>
    </row>
    <row r="546">
      <c r="C546" s="79"/>
      <c r="D546" s="79"/>
      <c r="J546" s="79"/>
      <c r="O546" s="79"/>
      <c r="P546" s="79"/>
      <c r="S546" s="79"/>
      <c r="T546" s="79"/>
      <c r="W546" s="130"/>
      <c r="Y546" s="106"/>
    </row>
    <row r="547">
      <c r="C547" s="79"/>
      <c r="D547" s="79"/>
      <c r="J547" s="79"/>
      <c r="O547" s="79"/>
      <c r="P547" s="79"/>
      <c r="S547" s="79"/>
      <c r="T547" s="79"/>
      <c r="W547" s="130"/>
      <c r="Y547" s="106"/>
    </row>
    <row r="548">
      <c r="C548" s="79"/>
      <c r="D548" s="79"/>
      <c r="J548" s="79"/>
      <c r="O548" s="79"/>
      <c r="P548" s="79"/>
      <c r="S548" s="79"/>
      <c r="T548" s="79"/>
      <c r="W548" s="130"/>
      <c r="Y548" s="106"/>
    </row>
    <row r="549">
      <c r="C549" s="79"/>
      <c r="D549" s="79"/>
      <c r="J549" s="79"/>
      <c r="O549" s="79"/>
      <c r="P549" s="79"/>
      <c r="S549" s="79"/>
      <c r="T549" s="79"/>
      <c r="W549" s="130"/>
      <c r="Y549" s="106"/>
    </row>
    <row r="550">
      <c r="C550" s="79"/>
      <c r="D550" s="79"/>
      <c r="J550" s="79"/>
      <c r="O550" s="79"/>
      <c r="P550" s="79"/>
      <c r="S550" s="79"/>
      <c r="T550" s="79"/>
      <c r="W550" s="130"/>
      <c r="Y550" s="106"/>
    </row>
    <row r="551">
      <c r="C551" s="79"/>
      <c r="D551" s="79"/>
      <c r="J551" s="79"/>
      <c r="O551" s="79"/>
      <c r="P551" s="79"/>
      <c r="S551" s="79"/>
      <c r="T551" s="79"/>
      <c r="W551" s="130"/>
      <c r="Y551" s="106"/>
    </row>
    <row r="552">
      <c r="C552" s="79"/>
      <c r="D552" s="79"/>
      <c r="J552" s="79"/>
      <c r="O552" s="79"/>
      <c r="P552" s="79"/>
      <c r="S552" s="79"/>
      <c r="T552" s="79"/>
      <c r="W552" s="130"/>
      <c r="Y552" s="106"/>
    </row>
    <row r="553">
      <c r="C553" s="79"/>
      <c r="D553" s="79"/>
      <c r="J553" s="79"/>
      <c r="O553" s="79"/>
      <c r="P553" s="79"/>
      <c r="S553" s="79"/>
      <c r="T553" s="79"/>
      <c r="W553" s="130"/>
      <c r="Y553" s="106"/>
    </row>
    <row r="554">
      <c r="C554" s="79"/>
      <c r="D554" s="79"/>
      <c r="J554" s="79"/>
      <c r="O554" s="79"/>
      <c r="P554" s="79"/>
      <c r="S554" s="79"/>
      <c r="T554" s="79"/>
      <c r="W554" s="130"/>
      <c r="Y554" s="106"/>
    </row>
    <row r="555">
      <c r="C555" s="79"/>
      <c r="D555" s="79"/>
      <c r="J555" s="79"/>
      <c r="O555" s="79"/>
      <c r="P555" s="79"/>
      <c r="S555" s="79"/>
      <c r="T555" s="79"/>
      <c r="W555" s="130"/>
      <c r="Y555" s="106"/>
    </row>
    <row r="556">
      <c r="C556" s="79"/>
      <c r="D556" s="79"/>
      <c r="J556" s="79"/>
      <c r="O556" s="79"/>
      <c r="P556" s="79"/>
      <c r="S556" s="79"/>
      <c r="T556" s="79"/>
      <c r="W556" s="130"/>
      <c r="Y556" s="106"/>
    </row>
    <row r="557">
      <c r="C557" s="79"/>
      <c r="D557" s="79"/>
      <c r="J557" s="79"/>
      <c r="O557" s="79"/>
      <c r="P557" s="79"/>
      <c r="S557" s="79"/>
      <c r="T557" s="79"/>
      <c r="W557" s="130"/>
      <c r="Y557" s="106"/>
    </row>
    <row r="558">
      <c r="C558" s="79"/>
      <c r="D558" s="79"/>
      <c r="J558" s="79"/>
      <c r="O558" s="79"/>
      <c r="P558" s="79"/>
      <c r="S558" s="79"/>
      <c r="T558" s="79"/>
      <c r="W558" s="130"/>
      <c r="Y558" s="106"/>
    </row>
    <row r="559">
      <c r="C559" s="79"/>
      <c r="D559" s="79"/>
      <c r="J559" s="79"/>
      <c r="O559" s="79"/>
      <c r="P559" s="79"/>
      <c r="S559" s="79"/>
      <c r="T559" s="79"/>
      <c r="W559" s="130"/>
      <c r="Y559" s="106"/>
    </row>
    <row r="560">
      <c r="C560" s="79"/>
      <c r="D560" s="79"/>
      <c r="J560" s="79"/>
      <c r="O560" s="79"/>
      <c r="P560" s="79"/>
      <c r="S560" s="79"/>
      <c r="T560" s="79"/>
      <c r="W560" s="130"/>
      <c r="Y560" s="106"/>
    </row>
    <row r="561">
      <c r="C561" s="79"/>
      <c r="D561" s="79"/>
      <c r="J561" s="79"/>
      <c r="O561" s="79"/>
      <c r="P561" s="79"/>
      <c r="S561" s="79"/>
      <c r="T561" s="79"/>
      <c r="W561" s="130"/>
      <c r="Y561" s="106"/>
    </row>
    <row r="562">
      <c r="C562" s="79"/>
      <c r="D562" s="79"/>
      <c r="J562" s="79"/>
      <c r="O562" s="79"/>
      <c r="P562" s="79"/>
      <c r="S562" s="79"/>
      <c r="T562" s="79"/>
      <c r="W562" s="130"/>
      <c r="Y562" s="106"/>
    </row>
    <row r="563">
      <c r="C563" s="79"/>
      <c r="D563" s="79"/>
      <c r="J563" s="79"/>
      <c r="O563" s="79"/>
      <c r="P563" s="79"/>
      <c r="S563" s="79"/>
      <c r="T563" s="79"/>
      <c r="W563" s="130"/>
      <c r="Y563" s="106"/>
    </row>
    <row r="564">
      <c r="C564" s="79"/>
      <c r="D564" s="79"/>
      <c r="J564" s="79"/>
      <c r="O564" s="79"/>
      <c r="P564" s="79"/>
      <c r="S564" s="79"/>
      <c r="T564" s="79"/>
      <c r="W564" s="130"/>
      <c r="Y564" s="106"/>
    </row>
    <row r="565">
      <c r="C565" s="79"/>
      <c r="D565" s="79"/>
      <c r="J565" s="79"/>
      <c r="O565" s="79"/>
      <c r="P565" s="79"/>
      <c r="S565" s="79"/>
      <c r="T565" s="79"/>
      <c r="W565" s="130"/>
      <c r="Y565" s="106"/>
    </row>
    <row r="566">
      <c r="C566" s="79"/>
      <c r="D566" s="79"/>
      <c r="J566" s="79"/>
      <c r="O566" s="79"/>
      <c r="P566" s="79"/>
      <c r="S566" s="79"/>
      <c r="T566" s="79"/>
      <c r="W566" s="130"/>
      <c r="Y566" s="106"/>
    </row>
    <row r="567">
      <c r="C567" s="79"/>
      <c r="D567" s="79"/>
      <c r="J567" s="79"/>
      <c r="O567" s="79"/>
      <c r="P567" s="79"/>
      <c r="S567" s="79"/>
      <c r="T567" s="79"/>
      <c r="W567" s="130"/>
      <c r="Y567" s="106"/>
    </row>
    <row r="568">
      <c r="C568" s="79"/>
      <c r="D568" s="79"/>
      <c r="J568" s="79"/>
      <c r="O568" s="79"/>
      <c r="P568" s="79"/>
      <c r="S568" s="79"/>
      <c r="T568" s="79"/>
      <c r="W568" s="130"/>
      <c r="Y568" s="106"/>
    </row>
    <row r="569">
      <c r="C569" s="79"/>
      <c r="D569" s="79"/>
      <c r="J569" s="79"/>
      <c r="O569" s="79"/>
      <c r="P569" s="79"/>
      <c r="S569" s="79"/>
      <c r="T569" s="79"/>
      <c r="W569" s="130"/>
      <c r="Y569" s="106"/>
    </row>
    <row r="570">
      <c r="C570" s="79"/>
      <c r="D570" s="79"/>
      <c r="J570" s="79"/>
      <c r="O570" s="79"/>
      <c r="P570" s="79"/>
      <c r="S570" s="79"/>
      <c r="T570" s="79"/>
      <c r="W570" s="130"/>
      <c r="Y570" s="106"/>
    </row>
    <row r="571">
      <c r="C571" s="79"/>
      <c r="D571" s="79"/>
      <c r="J571" s="79"/>
      <c r="O571" s="79"/>
      <c r="P571" s="79"/>
      <c r="S571" s="79"/>
      <c r="T571" s="79"/>
      <c r="W571" s="130"/>
      <c r="Y571" s="106"/>
    </row>
    <row r="572">
      <c r="C572" s="79"/>
      <c r="D572" s="79"/>
      <c r="J572" s="79"/>
      <c r="O572" s="79"/>
      <c r="P572" s="79"/>
      <c r="S572" s="79"/>
      <c r="T572" s="79"/>
      <c r="W572" s="130"/>
      <c r="Y572" s="106"/>
    </row>
    <row r="573">
      <c r="C573" s="79"/>
      <c r="D573" s="79"/>
      <c r="J573" s="79"/>
      <c r="O573" s="79"/>
      <c r="P573" s="79"/>
      <c r="S573" s="79"/>
      <c r="T573" s="79"/>
      <c r="W573" s="130"/>
      <c r="Y573" s="106"/>
    </row>
    <row r="574">
      <c r="C574" s="79"/>
      <c r="D574" s="79"/>
      <c r="J574" s="79"/>
      <c r="O574" s="79"/>
      <c r="P574" s="79"/>
      <c r="S574" s="79"/>
      <c r="T574" s="79"/>
      <c r="W574" s="130"/>
      <c r="Y574" s="106"/>
    </row>
    <row r="575">
      <c r="C575" s="79"/>
      <c r="D575" s="79"/>
      <c r="J575" s="79"/>
      <c r="O575" s="79"/>
      <c r="P575" s="79"/>
      <c r="S575" s="79"/>
      <c r="T575" s="79"/>
      <c r="W575" s="130"/>
      <c r="Y575" s="106"/>
    </row>
    <row r="576">
      <c r="C576" s="79"/>
      <c r="D576" s="79"/>
      <c r="J576" s="79"/>
      <c r="O576" s="79"/>
      <c r="P576" s="79"/>
      <c r="S576" s="79"/>
      <c r="T576" s="79"/>
      <c r="W576" s="130"/>
      <c r="Y576" s="106"/>
    </row>
    <row r="577">
      <c r="C577" s="79"/>
      <c r="D577" s="79"/>
      <c r="J577" s="79"/>
      <c r="O577" s="79"/>
      <c r="P577" s="79"/>
      <c r="S577" s="79"/>
      <c r="T577" s="79"/>
      <c r="W577" s="130"/>
      <c r="Y577" s="106"/>
    </row>
    <row r="578">
      <c r="C578" s="79"/>
      <c r="D578" s="79"/>
      <c r="J578" s="79"/>
      <c r="O578" s="79"/>
      <c r="P578" s="79"/>
      <c r="S578" s="79"/>
      <c r="T578" s="79"/>
      <c r="W578" s="130"/>
      <c r="Y578" s="106"/>
    </row>
    <row r="579">
      <c r="C579" s="79"/>
      <c r="D579" s="79"/>
      <c r="J579" s="79"/>
      <c r="O579" s="79"/>
      <c r="P579" s="79"/>
      <c r="S579" s="79"/>
      <c r="T579" s="79"/>
      <c r="W579" s="130"/>
      <c r="Y579" s="106"/>
    </row>
    <row r="580">
      <c r="C580" s="79"/>
      <c r="D580" s="79"/>
      <c r="J580" s="79"/>
      <c r="O580" s="79"/>
      <c r="P580" s="79"/>
      <c r="S580" s="79"/>
      <c r="T580" s="79"/>
      <c r="W580" s="130"/>
      <c r="Y580" s="106"/>
    </row>
    <row r="581">
      <c r="C581" s="79"/>
      <c r="D581" s="79"/>
      <c r="J581" s="79"/>
      <c r="O581" s="79"/>
      <c r="P581" s="79"/>
      <c r="S581" s="79"/>
      <c r="T581" s="79"/>
      <c r="W581" s="130"/>
      <c r="Y581" s="106"/>
    </row>
    <row r="582">
      <c r="C582" s="79"/>
      <c r="D582" s="79"/>
      <c r="J582" s="79"/>
      <c r="O582" s="79"/>
      <c r="P582" s="79"/>
      <c r="S582" s="79"/>
      <c r="T582" s="79"/>
      <c r="W582" s="130"/>
      <c r="Y582" s="106"/>
    </row>
    <row r="583">
      <c r="C583" s="79"/>
      <c r="D583" s="79"/>
      <c r="J583" s="79"/>
      <c r="O583" s="79"/>
      <c r="P583" s="79"/>
      <c r="S583" s="79"/>
      <c r="T583" s="79"/>
      <c r="W583" s="130"/>
      <c r="Y583" s="106"/>
    </row>
    <row r="584">
      <c r="C584" s="79"/>
      <c r="D584" s="79"/>
      <c r="J584" s="79"/>
      <c r="O584" s="79"/>
      <c r="P584" s="79"/>
      <c r="S584" s="79"/>
      <c r="T584" s="79"/>
      <c r="W584" s="130"/>
      <c r="Y584" s="106"/>
    </row>
    <row r="585">
      <c r="C585" s="79"/>
      <c r="D585" s="79"/>
      <c r="J585" s="79"/>
      <c r="O585" s="79"/>
      <c r="P585" s="79"/>
      <c r="S585" s="79"/>
      <c r="T585" s="79"/>
      <c r="W585" s="130"/>
      <c r="Y585" s="106"/>
    </row>
    <row r="586">
      <c r="C586" s="79"/>
      <c r="D586" s="79"/>
      <c r="J586" s="79"/>
      <c r="O586" s="79"/>
      <c r="P586" s="79"/>
      <c r="S586" s="79"/>
      <c r="T586" s="79"/>
      <c r="W586" s="130"/>
      <c r="Y586" s="106"/>
    </row>
    <row r="587">
      <c r="C587" s="79"/>
      <c r="D587" s="79"/>
      <c r="J587" s="79"/>
      <c r="O587" s="79"/>
      <c r="P587" s="79"/>
      <c r="S587" s="79"/>
      <c r="T587" s="79"/>
      <c r="W587" s="130"/>
      <c r="Y587" s="106"/>
    </row>
    <row r="588">
      <c r="C588" s="79"/>
      <c r="D588" s="79"/>
      <c r="J588" s="79"/>
      <c r="O588" s="79"/>
      <c r="P588" s="79"/>
      <c r="S588" s="79"/>
      <c r="T588" s="79"/>
      <c r="W588" s="130"/>
      <c r="Y588" s="106"/>
    </row>
    <row r="589">
      <c r="C589" s="79"/>
      <c r="D589" s="79"/>
      <c r="J589" s="79"/>
      <c r="O589" s="79"/>
      <c r="P589" s="79"/>
      <c r="S589" s="79"/>
      <c r="T589" s="79"/>
      <c r="W589" s="130"/>
      <c r="Y589" s="106"/>
    </row>
    <row r="590">
      <c r="C590" s="79"/>
      <c r="D590" s="79"/>
      <c r="J590" s="79"/>
      <c r="O590" s="79"/>
      <c r="P590" s="79"/>
      <c r="S590" s="79"/>
      <c r="T590" s="79"/>
      <c r="W590" s="130"/>
      <c r="Y590" s="106"/>
    </row>
    <row r="591">
      <c r="C591" s="79"/>
      <c r="D591" s="79"/>
      <c r="J591" s="79"/>
      <c r="O591" s="79"/>
      <c r="P591" s="79"/>
      <c r="S591" s="79"/>
      <c r="T591" s="79"/>
      <c r="W591" s="130"/>
      <c r="Y591" s="106"/>
    </row>
    <row r="592">
      <c r="C592" s="79"/>
      <c r="D592" s="79"/>
      <c r="J592" s="79"/>
      <c r="O592" s="79"/>
      <c r="P592" s="79"/>
      <c r="S592" s="79"/>
      <c r="T592" s="79"/>
      <c r="W592" s="130"/>
      <c r="Y592" s="106"/>
    </row>
    <row r="593">
      <c r="C593" s="79"/>
      <c r="D593" s="79"/>
      <c r="J593" s="79"/>
      <c r="O593" s="79"/>
      <c r="P593" s="79"/>
      <c r="S593" s="79"/>
      <c r="T593" s="79"/>
      <c r="W593" s="130"/>
      <c r="Y593" s="106"/>
    </row>
    <row r="594">
      <c r="C594" s="79"/>
      <c r="D594" s="79"/>
      <c r="J594" s="79"/>
      <c r="O594" s="79"/>
      <c r="P594" s="79"/>
      <c r="S594" s="79"/>
      <c r="T594" s="79"/>
      <c r="W594" s="130"/>
      <c r="Y594" s="106"/>
    </row>
    <row r="595">
      <c r="C595" s="79"/>
      <c r="D595" s="79"/>
      <c r="J595" s="79"/>
      <c r="O595" s="79"/>
      <c r="P595" s="79"/>
      <c r="S595" s="79"/>
      <c r="T595" s="79"/>
      <c r="W595" s="130"/>
      <c r="Y595" s="106"/>
    </row>
    <row r="596">
      <c r="C596" s="79"/>
      <c r="D596" s="79"/>
      <c r="J596" s="79"/>
      <c r="O596" s="79"/>
      <c r="P596" s="79"/>
      <c r="S596" s="79"/>
      <c r="T596" s="79"/>
      <c r="W596" s="130"/>
      <c r="Y596" s="106"/>
    </row>
    <row r="597">
      <c r="C597" s="79"/>
      <c r="D597" s="79"/>
      <c r="J597" s="79"/>
      <c r="O597" s="79"/>
      <c r="P597" s="79"/>
      <c r="S597" s="79"/>
      <c r="T597" s="79"/>
      <c r="W597" s="130"/>
      <c r="Y597" s="106"/>
    </row>
    <row r="598">
      <c r="C598" s="79"/>
      <c r="D598" s="79"/>
      <c r="J598" s="79"/>
      <c r="O598" s="79"/>
      <c r="P598" s="79"/>
      <c r="S598" s="79"/>
      <c r="T598" s="79"/>
      <c r="W598" s="130"/>
      <c r="Y598" s="106"/>
    </row>
    <row r="599">
      <c r="C599" s="79"/>
      <c r="D599" s="79"/>
      <c r="J599" s="79"/>
      <c r="O599" s="79"/>
      <c r="P599" s="79"/>
      <c r="S599" s="79"/>
      <c r="T599" s="79"/>
      <c r="W599" s="130"/>
      <c r="Y599" s="106"/>
    </row>
    <row r="600">
      <c r="C600" s="79"/>
      <c r="D600" s="79"/>
      <c r="J600" s="79"/>
      <c r="O600" s="79"/>
      <c r="P600" s="79"/>
      <c r="S600" s="79"/>
      <c r="T600" s="79"/>
      <c r="W600" s="130"/>
      <c r="Y600" s="106"/>
    </row>
    <row r="601">
      <c r="C601" s="79"/>
      <c r="D601" s="79"/>
      <c r="J601" s="79"/>
      <c r="O601" s="79"/>
      <c r="P601" s="79"/>
      <c r="S601" s="79"/>
      <c r="T601" s="79"/>
      <c r="W601" s="130"/>
      <c r="Y601" s="106"/>
    </row>
    <row r="602">
      <c r="C602" s="79"/>
      <c r="D602" s="79"/>
      <c r="J602" s="79"/>
      <c r="O602" s="79"/>
      <c r="P602" s="79"/>
      <c r="S602" s="79"/>
      <c r="T602" s="79"/>
      <c r="W602" s="130"/>
      <c r="Y602" s="106"/>
    </row>
    <row r="603">
      <c r="C603" s="79"/>
      <c r="D603" s="79"/>
      <c r="J603" s="79"/>
      <c r="O603" s="79"/>
      <c r="P603" s="79"/>
      <c r="S603" s="79"/>
      <c r="T603" s="79"/>
      <c r="W603" s="130"/>
      <c r="Y603" s="106"/>
    </row>
    <row r="604">
      <c r="C604" s="79"/>
      <c r="D604" s="79"/>
      <c r="J604" s="79"/>
      <c r="O604" s="79"/>
      <c r="P604" s="79"/>
      <c r="S604" s="79"/>
      <c r="T604" s="79"/>
      <c r="W604" s="130"/>
      <c r="Y604" s="106"/>
    </row>
    <row r="605">
      <c r="C605" s="79"/>
      <c r="D605" s="79"/>
      <c r="J605" s="79"/>
      <c r="O605" s="79"/>
      <c r="P605" s="79"/>
      <c r="S605" s="79"/>
      <c r="T605" s="79"/>
      <c r="W605" s="130"/>
      <c r="Y605" s="106"/>
    </row>
    <row r="606">
      <c r="C606" s="79"/>
      <c r="D606" s="79"/>
      <c r="J606" s="79"/>
      <c r="O606" s="79"/>
      <c r="P606" s="79"/>
      <c r="S606" s="79"/>
      <c r="T606" s="79"/>
      <c r="W606" s="130"/>
      <c r="Y606" s="106"/>
    </row>
    <row r="607">
      <c r="C607" s="79"/>
      <c r="D607" s="79"/>
      <c r="J607" s="79"/>
      <c r="O607" s="79"/>
      <c r="P607" s="79"/>
      <c r="S607" s="79"/>
      <c r="T607" s="79"/>
      <c r="W607" s="130"/>
      <c r="Y607" s="106"/>
    </row>
    <row r="608">
      <c r="C608" s="79"/>
      <c r="D608" s="79"/>
      <c r="J608" s="79"/>
      <c r="O608" s="79"/>
      <c r="P608" s="79"/>
      <c r="S608" s="79"/>
      <c r="T608" s="79"/>
      <c r="W608" s="130"/>
      <c r="Y608" s="106"/>
    </row>
    <row r="609">
      <c r="C609" s="79"/>
      <c r="D609" s="79"/>
      <c r="J609" s="79"/>
      <c r="O609" s="79"/>
      <c r="P609" s="79"/>
      <c r="S609" s="79"/>
      <c r="T609" s="79"/>
      <c r="W609" s="130"/>
      <c r="Y609" s="106"/>
    </row>
    <row r="610">
      <c r="C610" s="79"/>
      <c r="D610" s="79"/>
      <c r="J610" s="79"/>
      <c r="O610" s="79"/>
      <c r="P610" s="79"/>
      <c r="S610" s="79"/>
      <c r="T610" s="79"/>
      <c r="W610" s="130"/>
      <c r="Y610" s="106"/>
    </row>
    <row r="611">
      <c r="C611" s="79"/>
      <c r="D611" s="79"/>
      <c r="J611" s="79"/>
      <c r="O611" s="79"/>
      <c r="P611" s="79"/>
      <c r="S611" s="79"/>
      <c r="T611" s="79"/>
      <c r="W611" s="130"/>
      <c r="Y611" s="106"/>
    </row>
    <row r="612">
      <c r="C612" s="79"/>
      <c r="D612" s="79"/>
      <c r="J612" s="79"/>
      <c r="O612" s="79"/>
      <c r="P612" s="79"/>
      <c r="S612" s="79"/>
      <c r="T612" s="79"/>
      <c r="W612" s="130"/>
      <c r="Y612" s="106"/>
    </row>
    <row r="613">
      <c r="C613" s="79"/>
      <c r="D613" s="79"/>
      <c r="J613" s="79"/>
      <c r="O613" s="79"/>
      <c r="P613" s="79"/>
      <c r="S613" s="79"/>
      <c r="T613" s="79"/>
      <c r="W613" s="130"/>
      <c r="Y613" s="106"/>
    </row>
    <row r="614">
      <c r="C614" s="79"/>
      <c r="D614" s="79"/>
      <c r="J614" s="79"/>
      <c r="O614" s="79"/>
      <c r="P614" s="79"/>
      <c r="S614" s="79"/>
      <c r="T614" s="79"/>
      <c r="W614" s="130"/>
      <c r="Y614" s="106"/>
    </row>
    <row r="615">
      <c r="C615" s="79"/>
      <c r="D615" s="79"/>
      <c r="J615" s="79"/>
      <c r="O615" s="79"/>
      <c r="P615" s="79"/>
      <c r="S615" s="79"/>
      <c r="T615" s="79"/>
      <c r="W615" s="130"/>
      <c r="Y615" s="106"/>
    </row>
    <row r="616">
      <c r="C616" s="79"/>
      <c r="D616" s="79"/>
      <c r="J616" s="79"/>
      <c r="O616" s="79"/>
      <c r="P616" s="79"/>
      <c r="S616" s="79"/>
      <c r="T616" s="79"/>
      <c r="W616" s="130"/>
      <c r="Y616" s="106"/>
    </row>
    <row r="617">
      <c r="C617" s="79"/>
      <c r="D617" s="79"/>
      <c r="J617" s="79"/>
      <c r="O617" s="79"/>
      <c r="P617" s="79"/>
      <c r="S617" s="79"/>
      <c r="T617" s="79"/>
      <c r="W617" s="130"/>
      <c r="Y617" s="106"/>
    </row>
    <row r="618">
      <c r="C618" s="79"/>
      <c r="D618" s="79"/>
      <c r="J618" s="79"/>
      <c r="O618" s="79"/>
      <c r="P618" s="79"/>
      <c r="S618" s="79"/>
      <c r="T618" s="79"/>
      <c r="W618" s="130"/>
      <c r="Y618" s="106"/>
    </row>
    <row r="619">
      <c r="C619" s="79"/>
      <c r="D619" s="79"/>
      <c r="J619" s="79"/>
      <c r="O619" s="79"/>
      <c r="P619" s="79"/>
      <c r="S619" s="79"/>
      <c r="T619" s="79"/>
      <c r="W619" s="130"/>
      <c r="Y619" s="106"/>
    </row>
    <row r="620">
      <c r="C620" s="79"/>
      <c r="D620" s="79"/>
      <c r="J620" s="79"/>
      <c r="O620" s="79"/>
      <c r="P620" s="79"/>
      <c r="S620" s="79"/>
      <c r="T620" s="79"/>
      <c r="W620" s="130"/>
      <c r="Y620" s="106"/>
    </row>
    <row r="621">
      <c r="C621" s="79"/>
      <c r="D621" s="79"/>
      <c r="J621" s="79"/>
      <c r="O621" s="79"/>
      <c r="P621" s="79"/>
      <c r="S621" s="79"/>
      <c r="T621" s="79"/>
      <c r="W621" s="130"/>
      <c r="Y621" s="106"/>
    </row>
    <row r="622">
      <c r="C622" s="79"/>
      <c r="D622" s="79"/>
      <c r="J622" s="79"/>
      <c r="O622" s="79"/>
      <c r="P622" s="79"/>
      <c r="S622" s="79"/>
      <c r="T622" s="79"/>
      <c r="W622" s="130"/>
      <c r="Y622" s="106"/>
    </row>
    <row r="623">
      <c r="C623" s="79"/>
      <c r="D623" s="79"/>
      <c r="J623" s="79"/>
      <c r="O623" s="79"/>
      <c r="P623" s="79"/>
      <c r="S623" s="79"/>
      <c r="T623" s="79"/>
      <c r="W623" s="130"/>
      <c r="Y623" s="106"/>
    </row>
    <row r="624">
      <c r="C624" s="79"/>
      <c r="D624" s="79"/>
      <c r="J624" s="79"/>
      <c r="O624" s="79"/>
      <c r="P624" s="79"/>
      <c r="S624" s="79"/>
      <c r="T624" s="79"/>
      <c r="W624" s="130"/>
      <c r="Y624" s="106"/>
    </row>
    <row r="625">
      <c r="C625" s="79"/>
      <c r="D625" s="79"/>
      <c r="J625" s="79"/>
      <c r="O625" s="79"/>
      <c r="P625" s="79"/>
      <c r="S625" s="79"/>
      <c r="T625" s="79"/>
      <c r="W625" s="130"/>
      <c r="Y625" s="106"/>
    </row>
    <row r="626">
      <c r="C626" s="79"/>
      <c r="D626" s="79"/>
      <c r="J626" s="79"/>
      <c r="O626" s="79"/>
      <c r="P626" s="79"/>
      <c r="S626" s="79"/>
      <c r="T626" s="79"/>
      <c r="W626" s="130"/>
      <c r="Y626" s="106"/>
    </row>
    <row r="627">
      <c r="C627" s="79"/>
      <c r="D627" s="79"/>
      <c r="J627" s="79"/>
      <c r="O627" s="79"/>
      <c r="P627" s="79"/>
      <c r="S627" s="79"/>
      <c r="T627" s="79"/>
      <c r="W627" s="130"/>
      <c r="Y627" s="106"/>
    </row>
    <row r="628">
      <c r="C628" s="79"/>
      <c r="D628" s="79"/>
      <c r="J628" s="79"/>
      <c r="O628" s="79"/>
      <c r="P628" s="79"/>
      <c r="S628" s="79"/>
      <c r="T628" s="79"/>
      <c r="W628" s="130"/>
      <c r="Y628" s="106"/>
    </row>
    <row r="629">
      <c r="C629" s="79"/>
      <c r="D629" s="79"/>
      <c r="J629" s="79"/>
      <c r="O629" s="79"/>
      <c r="P629" s="79"/>
      <c r="S629" s="79"/>
      <c r="T629" s="79"/>
      <c r="W629" s="130"/>
      <c r="Y629" s="106"/>
    </row>
    <row r="630">
      <c r="C630" s="79"/>
      <c r="D630" s="79"/>
      <c r="J630" s="79"/>
      <c r="O630" s="79"/>
      <c r="P630" s="79"/>
      <c r="S630" s="79"/>
      <c r="T630" s="79"/>
      <c r="W630" s="130"/>
      <c r="Y630" s="106"/>
    </row>
    <row r="631">
      <c r="C631" s="79"/>
      <c r="D631" s="79"/>
      <c r="J631" s="79"/>
      <c r="O631" s="79"/>
      <c r="P631" s="79"/>
      <c r="S631" s="79"/>
      <c r="T631" s="79"/>
      <c r="W631" s="130"/>
      <c r="Y631" s="106"/>
    </row>
    <row r="632">
      <c r="C632" s="79"/>
      <c r="D632" s="79"/>
      <c r="J632" s="79"/>
      <c r="O632" s="79"/>
      <c r="P632" s="79"/>
      <c r="S632" s="79"/>
      <c r="T632" s="79"/>
      <c r="W632" s="130"/>
      <c r="Y632" s="106"/>
    </row>
    <row r="633">
      <c r="C633" s="79"/>
      <c r="D633" s="79"/>
      <c r="J633" s="79"/>
      <c r="O633" s="79"/>
      <c r="P633" s="79"/>
      <c r="S633" s="79"/>
      <c r="T633" s="79"/>
      <c r="W633" s="130"/>
      <c r="Y633" s="106"/>
    </row>
    <row r="634">
      <c r="C634" s="79"/>
      <c r="D634" s="79"/>
      <c r="J634" s="79"/>
      <c r="O634" s="79"/>
      <c r="P634" s="79"/>
      <c r="S634" s="79"/>
      <c r="T634" s="79"/>
      <c r="W634" s="130"/>
      <c r="Y634" s="106"/>
    </row>
    <row r="635">
      <c r="C635" s="79"/>
      <c r="D635" s="79"/>
      <c r="J635" s="79"/>
      <c r="O635" s="79"/>
      <c r="P635" s="79"/>
      <c r="S635" s="79"/>
      <c r="T635" s="79"/>
      <c r="W635" s="130"/>
      <c r="Y635" s="106"/>
    </row>
    <row r="636">
      <c r="C636" s="79"/>
      <c r="D636" s="79"/>
      <c r="J636" s="79"/>
      <c r="O636" s="79"/>
      <c r="P636" s="79"/>
      <c r="S636" s="79"/>
      <c r="T636" s="79"/>
      <c r="W636" s="130"/>
      <c r="Y636" s="106"/>
    </row>
    <row r="637">
      <c r="C637" s="79"/>
      <c r="D637" s="79"/>
      <c r="J637" s="79"/>
      <c r="O637" s="79"/>
      <c r="P637" s="79"/>
      <c r="S637" s="79"/>
      <c r="T637" s="79"/>
      <c r="W637" s="130"/>
      <c r="Y637" s="106"/>
    </row>
    <row r="638">
      <c r="C638" s="79"/>
      <c r="D638" s="79"/>
      <c r="J638" s="79"/>
      <c r="O638" s="79"/>
      <c r="P638" s="79"/>
      <c r="S638" s="79"/>
      <c r="T638" s="79"/>
      <c r="W638" s="130"/>
      <c r="Y638" s="106"/>
    </row>
    <row r="639">
      <c r="C639" s="79"/>
      <c r="D639" s="79"/>
      <c r="J639" s="79"/>
      <c r="O639" s="79"/>
      <c r="P639" s="79"/>
      <c r="S639" s="79"/>
      <c r="T639" s="79"/>
      <c r="W639" s="130"/>
      <c r="Y639" s="106"/>
    </row>
    <row r="640">
      <c r="C640" s="79"/>
      <c r="D640" s="79"/>
      <c r="J640" s="79"/>
      <c r="O640" s="79"/>
      <c r="P640" s="79"/>
      <c r="S640" s="79"/>
      <c r="T640" s="79"/>
      <c r="W640" s="130"/>
      <c r="Y640" s="106"/>
    </row>
    <row r="641">
      <c r="C641" s="79"/>
      <c r="D641" s="79"/>
      <c r="J641" s="79"/>
      <c r="O641" s="79"/>
      <c r="P641" s="79"/>
      <c r="S641" s="79"/>
      <c r="T641" s="79"/>
      <c r="W641" s="130"/>
      <c r="Y641" s="106"/>
    </row>
    <row r="642">
      <c r="C642" s="79"/>
      <c r="D642" s="79"/>
      <c r="J642" s="79"/>
      <c r="O642" s="79"/>
      <c r="P642" s="79"/>
      <c r="S642" s="79"/>
      <c r="T642" s="79"/>
      <c r="W642" s="130"/>
      <c r="Y642" s="106"/>
    </row>
    <row r="643">
      <c r="C643" s="79"/>
      <c r="D643" s="79"/>
      <c r="J643" s="79"/>
      <c r="O643" s="79"/>
      <c r="P643" s="79"/>
      <c r="S643" s="79"/>
      <c r="T643" s="79"/>
      <c r="W643" s="130"/>
      <c r="Y643" s="106"/>
    </row>
    <row r="644">
      <c r="C644" s="79"/>
      <c r="D644" s="79"/>
      <c r="J644" s="79"/>
      <c r="O644" s="79"/>
      <c r="P644" s="79"/>
      <c r="S644" s="79"/>
      <c r="T644" s="79"/>
      <c r="W644" s="130"/>
      <c r="Y644" s="106"/>
    </row>
    <row r="645">
      <c r="C645" s="79"/>
      <c r="D645" s="79"/>
      <c r="J645" s="79"/>
      <c r="O645" s="79"/>
      <c r="P645" s="79"/>
      <c r="S645" s="79"/>
      <c r="T645" s="79"/>
      <c r="W645" s="130"/>
      <c r="Y645" s="106"/>
    </row>
    <row r="646">
      <c r="C646" s="79"/>
      <c r="D646" s="79"/>
      <c r="J646" s="79"/>
      <c r="O646" s="79"/>
      <c r="P646" s="79"/>
      <c r="S646" s="79"/>
      <c r="T646" s="79"/>
      <c r="W646" s="130"/>
      <c r="Y646" s="106"/>
    </row>
    <row r="647">
      <c r="C647" s="79"/>
      <c r="D647" s="79"/>
      <c r="J647" s="79"/>
      <c r="O647" s="79"/>
      <c r="P647" s="79"/>
      <c r="S647" s="79"/>
      <c r="T647" s="79"/>
      <c r="W647" s="130"/>
      <c r="Y647" s="106"/>
    </row>
    <row r="648">
      <c r="C648" s="79"/>
      <c r="D648" s="79"/>
      <c r="J648" s="79"/>
      <c r="O648" s="79"/>
      <c r="P648" s="79"/>
      <c r="S648" s="79"/>
      <c r="T648" s="79"/>
      <c r="W648" s="130"/>
      <c r="Y648" s="106"/>
    </row>
    <row r="649">
      <c r="C649" s="79"/>
      <c r="D649" s="79"/>
      <c r="J649" s="79"/>
      <c r="O649" s="79"/>
      <c r="P649" s="79"/>
      <c r="S649" s="79"/>
      <c r="T649" s="79"/>
      <c r="W649" s="130"/>
      <c r="Y649" s="106"/>
    </row>
    <row r="650">
      <c r="C650" s="79"/>
      <c r="D650" s="79"/>
      <c r="J650" s="79"/>
      <c r="O650" s="79"/>
      <c r="P650" s="79"/>
      <c r="S650" s="79"/>
      <c r="T650" s="79"/>
      <c r="W650" s="130"/>
      <c r="Y650" s="106"/>
    </row>
    <row r="651">
      <c r="C651" s="79"/>
      <c r="D651" s="79"/>
      <c r="J651" s="79"/>
      <c r="O651" s="79"/>
      <c r="P651" s="79"/>
      <c r="S651" s="79"/>
      <c r="T651" s="79"/>
      <c r="W651" s="130"/>
      <c r="Y651" s="106"/>
    </row>
    <row r="652">
      <c r="C652" s="79"/>
      <c r="D652" s="79"/>
      <c r="J652" s="79"/>
      <c r="O652" s="79"/>
      <c r="P652" s="79"/>
      <c r="S652" s="79"/>
      <c r="T652" s="79"/>
      <c r="W652" s="130"/>
      <c r="Y652" s="106"/>
    </row>
    <row r="653">
      <c r="C653" s="79"/>
      <c r="D653" s="79"/>
      <c r="J653" s="79"/>
      <c r="O653" s="79"/>
      <c r="P653" s="79"/>
      <c r="S653" s="79"/>
      <c r="T653" s="79"/>
      <c r="W653" s="130"/>
      <c r="Y653" s="106"/>
    </row>
    <row r="654">
      <c r="C654" s="79"/>
      <c r="D654" s="79"/>
      <c r="J654" s="79"/>
      <c r="O654" s="79"/>
      <c r="P654" s="79"/>
      <c r="S654" s="79"/>
      <c r="T654" s="79"/>
      <c r="W654" s="130"/>
      <c r="Y654" s="106"/>
    </row>
    <row r="655">
      <c r="C655" s="79"/>
      <c r="D655" s="79"/>
      <c r="J655" s="79"/>
      <c r="O655" s="79"/>
      <c r="P655" s="79"/>
      <c r="S655" s="79"/>
      <c r="T655" s="79"/>
      <c r="W655" s="130"/>
      <c r="Y655" s="106"/>
    </row>
    <row r="656">
      <c r="C656" s="79"/>
      <c r="D656" s="79"/>
      <c r="J656" s="79"/>
      <c r="O656" s="79"/>
      <c r="P656" s="79"/>
      <c r="S656" s="79"/>
      <c r="T656" s="79"/>
      <c r="W656" s="130"/>
      <c r="Y656" s="106"/>
    </row>
    <row r="657">
      <c r="C657" s="79"/>
      <c r="D657" s="79"/>
      <c r="J657" s="79"/>
      <c r="O657" s="79"/>
      <c r="P657" s="79"/>
      <c r="S657" s="79"/>
      <c r="T657" s="79"/>
      <c r="W657" s="130"/>
      <c r="Y657" s="106"/>
    </row>
    <row r="658">
      <c r="C658" s="79"/>
      <c r="D658" s="79"/>
      <c r="J658" s="79"/>
      <c r="O658" s="79"/>
      <c r="P658" s="79"/>
      <c r="S658" s="79"/>
      <c r="T658" s="79"/>
      <c r="W658" s="130"/>
      <c r="Y658" s="106"/>
    </row>
    <row r="659">
      <c r="C659" s="79"/>
      <c r="D659" s="79"/>
      <c r="J659" s="79"/>
      <c r="O659" s="79"/>
      <c r="P659" s="79"/>
      <c r="S659" s="79"/>
      <c r="T659" s="79"/>
      <c r="W659" s="130"/>
      <c r="Y659" s="106"/>
    </row>
    <row r="660">
      <c r="C660" s="79"/>
      <c r="D660" s="79"/>
      <c r="J660" s="79"/>
      <c r="O660" s="79"/>
      <c r="P660" s="79"/>
      <c r="S660" s="79"/>
      <c r="T660" s="79"/>
      <c r="W660" s="130"/>
      <c r="Y660" s="106"/>
    </row>
    <row r="661">
      <c r="C661" s="79"/>
      <c r="D661" s="79"/>
      <c r="J661" s="79"/>
      <c r="O661" s="79"/>
      <c r="P661" s="79"/>
      <c r="S661" s="79"/>
      <c r="T661" s="79"/>
      <c r="W661" s="130"/>
      <c r="Y661" s="106"/>
    </row>
    <row r="662">
      <c r="C662" s="79"/>
      <c r="D662" s="79"/>
      <c r="J662" s="79"/>
      <c r="O662" s="79"/>
      <c r="P662" s="79"/>
      <c r="S662" s="79"/>
      <c r="T662" s="79"/>
      <c r="W662" s="130"/>
      <c r="Y662" s="106"/>
    </row>
    <row r="663">
      <c r="C663" s="79"/>
      <c r="D663" s="79"/>
      <c r="J663" s="79"/>
      <c r="O663" s="79"/>
      <c r="P663" s="79"/>
      <c r="S663" s="79"/>
      <c r="T663" s="79"/>
      <c r="W663" s="130"/>
      <c r="Y663" s="106"/>
    </row>
    <row r="664">
      <c r="C664" s="79"/>
      <c r="D664" s="79"/>
      <c r="J664" s="79"/>
      <c r="O664" s="79"/>
      <c r="P664" s="79"/>
      <c r="S664" s="79"/>
      <c r="T664" s="79"/>
      <c r="W664" s="130"/>
      <c r="Y664" s="106"/>
    </row>
    <row r="665">
      <c r="C665" s="79"/>
      <c r="D665" s="79"/>
      <c r="J665" s="79"/>
      <c r="O665" s="79"/>
      <c r="P665" s="79"/>
      <c r="S665" s="79"/>
      <c r="T665" s="79"/>
      <c r="W665" s="130"/>
      <c r="Y665" s="106"/>
    </row>
    <row r="666">
      <c r="C666" s="79"/>
      <c r="D666" s="79"/>
      <c r="J666" s="79"/>
      <c r="O666" s="79"/>
      <c r="P666" s="79"/>
      <c r="S666" s="79"/>
      <c r="T666" s="79"/>
      <c r="W666" s="130"/>
      <c r="Y666" s="106"/>
    </row>
    <row r="667">
      <c r="C667" s="79"/>
      <c r="D667" s="79"/>
      <c r="J667" s="79"/>
      <c r="O667" s="79"/>
      <c r="P667" s="79"/>
      <c r="S667" s="79"/>
      <c r="T667" s="79"/>
      <c r="W667" s="130"/>
      <c r="Y667" s="106"/>
    </row>
    <row r="668">
      <c r="C668" s="79"/>
      <c r="D668" s="79"/>
      <c r="J668" s="79"/>
      <c r="O668" s="79"/>
      <c r="P668" s="79"/>
      <c r="S668" s="79"/>
      <c r="T668" s="79"/>
      <c r="W668" s="130"/>
      <c r="Y668" s="106"/>
    </row>
    <row r="669">
      <c r="C669" s="79"/>
      <c r="D669" s="79"/>
      <c r="J669" s="79"/>
      <c r="O669" s="79"/>
      <c r="P669" s="79"/>
      <c r="S669" s="79"/>
      <c r="T669" s="79"/>
      <c r="W669" s="130"/>
      <c r="Y669" s="106"/>
    </row>
    <row r="670">
      <c r="C670" s="79"/>
      <c r="D670" s="79"/>
      <c r="J670" s="79"/>
      <c r="O670" s="79"/>
      <c r="P670" s="79"/>
      <c r="S670" s="79"/>
      <c r="T670" s="79"/>
      <c r="W670" s="130"/>
      <c r="Y670" s="106"/>
    </row>
    <row r="671">
      <c r="C671" s="79"/>
      <c r="D671" s="79"/>
      <c r="J671" s="79"/>
      <c r="O671" s="79"/>
      <c r="P671" s="79"/>
      <c r="S671" s="79"/>
      <c r="T671" s="79"/>
      <c r="W671" s="130"/>
      <c r="Y671" s="106"/>
    </row>
    <row r="672">
      <c r="C672" s="79"/>
      <c r="D672" s="79"/>
      <c r="J672" s="79"/>
      <c r="O672" s="79"/>
      <c r="P672" s="79"/>
      <c r="S672" s="79"/>
      <c r="T672" s="79"/>
      <c r="W672" s="130"/>
      <c r="Y672" s="106"/>
    </row>
    <row r="673">
      <c r="C673" s="79"/>
      <c r="D673" s="79"/>
      <c r="J673" s="79"/>
      <c r="O673" s="79"/>
      <c r="P673" s="79"/>
      <c r="S673" s="79"/>
      <c r="T673" s="79"/>
      <c r="W673" s="130"/>
      <c r="Y673" s="106"/>
    </row>
    <row r="674">
      <c r="C674" s="79"/>
      <c r="D674" s="79"/>
      <c r="J674" s="79"/>
      <c r="O674" s="79"/>
      <c r="P674" s="79"/>
      <c r="S674" s="79"/>
      <c r="T674" s="79"/>
      <c r="W674" s="130"/>
      <c r="Y674" s="106"/>
    </row>
    <row r="675">
      <c r="C675" s="79"/>
      <c r="D675" s="79"/>
      <c r="J675" s="79"/>
      <c r="O675" s="79"/>
      <c r="P675" s="79"/>
      <c r="S675" s="79"/>
      <c r="T675" s="79"/>
      <c r="W675" s="130"/>
      <c r="Y675" s="106"/>
    </row>
    <row r="676">
      <c r="C676" s="79"/>
      <c r="D676" s="79"/>
      <c r="J676" s="79"/>
      <c r="O676" s="79"/>
      <c r="P676" s="79"/>
      <c r="S676" s="79"/>
      <c r="T676" s="79"/>
      <c r="W676" s="130"/>
      <c r="Y676" s="106"/>
    </row>
    <row r="677">
      <c r="C677" s="79"/>
      <c r="D677" s="79"/>
      <c r="J677" s="79"/>
      <c r="O677" s="79"/>
      <c r="P677" s="79"/>
      <c r="S677" s="79"/>
      <c r="T677" s="79"/>
      <c r="W677" s="130"/>
      <c r="Y677" s="106"/>
    </row>
    <row r="678">
      <c r="C678" s="79"/>
      <c r="D678" s="79"/>
      <c r="J678" s="79"/>
      <c r="O678" s="79"/>
      <c r="P678" s="79"/>
      <c r="S678" s="79"/>
      <c r="T678" s="79"/>
      <c r="W678" s="130"/>
      <c r="Y678" s="106"/>
    </row>
    <row r="679">
      <c r="C679" s="79"/>
      <c r="D679" s="79"/>
      <c r="J679" s="79"/>
      <c r="O679" s="79"/>
      <c r="P679" s="79"/>
      <c r="S679" s="79"/>
      <c r="T679" s="79"/>
      <c r="W679" s="130"/>
      <c r="Y679" s="106"/>
    </row>
    <row r="680">
      <c r="C680" s="79"/>
      <c r="D680" s="79"/>
      <c r="J680" s="79"/>
      <c r="O680" s="79"/>
      <c r="P680" s="79"/>
      <c r="S680" s="79"/>
      <c r="T680" s="79"/>
      <c r="W680" s="130"/>
      <c r="Y680" s="106"/>
    </row>
    <row r="681">
      <c r="C681" s="79"/>
      <c r="D681" s="79"/>
      <c r="J681" s="79"/>
      <c r="O681" s="79"/>
      <c r="P681" s="79"/>
      <c r="S681" s="79"/>
      <c r="T681" s="79"/>
      <c r="W681" s="130"/>
      <c r="Y681" s="106"/>
    </row>
    <row r="682">
      <c r="C682" s="79"/>
      <c r="D682" s="79"/>
      <c r="J682" s="79"/>
      <c r="O682" s="79"/>
      <c r="P682" s="79"/>
      <c r="S682" s="79"/>
      <c r="T682" s="79"/>
      <c r="W682" s="130"/>
      <c r="Y682" s="106"/>
    </row>
    <row r="683">
      <c r="C683" s="79"/>
      <c r="D683" s="79"/>
      <c r="J683" s="79"/>
      <c r="O683" s="79"/>
      <c r="P683" s="79"/>
      <c r="S683" s="79"/>
      <c r="T683" s="79"/>
      <c r="W683" s="130"/>
      <c r="Y683" s="106"/>
    </row>
    <row r="684">
      <c r="C684" s="79"/>
      <c r="D684" s="79"/>
      <c r="J684" s="79"/>
      <c r="O684" s="79"/>
      <c r="P684" s="79"/>
      <c r="S684" s="79"/>
      <c r="T684" s="79"/>
      <c r="W684" s="130"/>
      <c r="Y684" s="106"/>
    </row>
    <row r="685">
      <c r="C685" s="79"/>
      <c r="D685" s="79"/>
      <c r="J685" s="79"/>
      <c r="O685" s="79"/>
      <c r="P685" s="79"/>
      <c r="S685" s="79"/>
      <c r="T685" s="79"/>
      <c r="W685" s="130"/>
      <c r="Y685" s="106"/>
    </row>
    <row r="686">
      <c r="C686" s="79"/>
      <c r="D686" s="79"/>
      <c r="J686" s="79"/>
      <c r="O686" s="79"/>
      <c r="P686" s="79"/>
      <c r="S686" s="79"/>
      <c r="T686" s="79"/>
      <c r="W686" s="130"/>
      <c r="Y686" s="106"/>
    </row>
    <row r="687">
      <c r="C687" s="79"/>
      <c r="D687" s="79"/>
      <c r="J687" s="79"/>
      <c r="O687" s="79"/>
      <c r="P687" s="79"/>
      <c r="S687" s="79"/>
      <c r="T687" s="79"/>
      <c r="W687" s="130"/>
      <c r="Y687" s="106"/>
    </row>
    <row r="688">
      <c r="C688" s="79"/>
      <c r="D688" s="79"/>
      <c r="J688" s="79"/>
      <c r="O688" s="79"/>
      <c r="P688" s="79"/>
      <c r="S688" s="79"/>
      <c r="T688" s="79"/>
      <c r="W688" s="130"/>
      <c r="Y688" s="106"/>
    </row>
    <row r="689">
      <c r="C689" s="79"/>
      <c r="D689" s="79"/>
      <c r="J689" s="79"/>
      <c r="O689" s="79"/>
      <c r="P689" s="79"/>
      <c r="S689" s="79"/>
      <c r="T689" s="79"/>
      <c r="W689" s="130"/>
      <c r="Y689" s="106"/>
    </row>
    <row r="690">
      <c r="C690" s="79"/>
      <c r="D690" s="79"/>
      <c r="J690" s="79"/>
      <c r="O690" s="79"/>
      <c r="P690" s="79"/>
      <c r="S690" s="79"/>
      <c r="T690" s="79"/>
      <c r="W690" s="130"/>
      <c r="Y690" s="106"/>
    </row>
    <row r="691">
      <c r="C691" s="79"/>
      <c r="D691" s="79"/>
      <c r="J691" s="79"/>
      <c r="O691" s="79"/>
      <c r="P691" s="79"/>
      <c r="S691" s="79"/>
      <c r="T691" s="79"/>
      <c r="W691" s="130"/>
      <c r="Y691" s="106"/>
    </row>
    <row r="692">
      <c r="C692" s="79"/>
      <c r="D692" s="79"/>
      <c r="J692" s="79"/>
      <c r="O692" s="79"/>
      <c r="P692" s="79"/>
      <c r="S692" s="79"/>
      <c r="T692" s="79"/>
      <c r="W692" s="130"/>
      <c r="Y692" s="106"/>
    </row>
    <row r="693">
      <c r="C693" s="79"/>
      <c r="D693" s="79"/>
      <c r="J693" s="79"/>
      <c r="O693" s="79"/>
      <c r="P693" s="79"/>
      <c r="S693" s="79"/>
      <c r="T693" s="79"/>
      <c r="W693" s="130"/>
      <c r="Y693" s="106"/>
    </row>
    <row r="694">
      <c r="C694" s="79"/>
      <c r="D694" s="79"/>
      <c r="J694" s="79"/>
      <c r="O694" s="79"/>
      <c r="P694" s="79"/>
      <c r="S694" s="79"/>
      <c r="T694" s="79"/>
      <c r="W694" s="130"/>
      <c r="Y694" s="106"/>
    </row>
    <row r="695">
      <c r="C695" s="79"/>
      <c r="D695" s="79"/>
      <c r="J695" s="79"/>
      <c r="O695" s="79"/>
      <c r="P695" s="79"/>
      <c r="S695" s="79"/>
      <c r="T695" s="79"/>
      <c r="W695" s="130"/>
      <c r="Y695" s="106"/>
    </row>
    <row r="696">
      <c r="C696" s="79"/>
      <c r="D696" s="79"/>
      <c r="J696" s="79"/>
      <c r="O696" s="79"/>
      <c r="P696" s="79"/>
      <c r="S696" s="79"/>
      <c r="T696" s="79"/>
      <c r="W696" s="130"/>
      <c r="Y696" s="106"/>
    </row>
    <row r="697">
      <c r="C697" s="79"/>
      <c r="D697" s="79"/>
      <c r="J697" s="79"/>
      <c r="O697" s="79"/>
      <c r="P697" s="79"/>
      <c r="S697" s="79"/>
      <c r="T697" s="79"/>
      <c r="W697" s="130"/>
      <c r="Y697" s="106"/>
    </row>
    <row r="698">
      <c r="C698" s="79"/>
      <c r="D698" s="79"/>
      <c r="J698" s="79"/>
      <c r="O698" s="79"/>
      <c r="P698" s="79"/>
      <c r="S698" s="79"/>
      <c r="T698" s="79"/>
      <c r="W698" s="130"/>
      <c r="Y698" s="106"/>
    </row>
    <row r="699">
      <c r="C699" s="79"/>
      <c r="D699" s="79"/>
      <c r="J699" s="79"/>
      <c r="O699" s="79"/>
      <c r="P699" s="79"/>
      <c r="S699" s="79"/>
      <c r="T699" s="79"/>
      <c r="W699" s="130"/>
      <c r="Y699" s="106"/>
    </row>
    <row r="700">
      <c r="C700" s="79"/>
      <c r="D700" s="79"/>
      <c r="J700" s="79"/>
      <c r="O700" s="79"/>
      <c r="P700" s="79"/>
      <c r="S700" s="79"/>
      <c r="T700" s="79"/>
      <c r="W700" s="130"/>
      <c r="Y700" s="106"/>
    </row>
    <row r="701">
      <c r="C701" s="79"/>
      <c r="D701" s="79"/>
      <c r="J701" s="79"/>
      <c r="O701" s="79"/>
      <c r="P701" s="79"/>
      <c r="S701" s="79"/>
      <c r="T701" s="79"/>
      <c r="W701" s="130"/>
      <c r="Y701" s="106"/>
    </row>
    <row r="702">
      <c r="C702" s="79"/>
      <c r="D702" s="79"/>
      <c r="J702" s="79"/>
      <c r="O702" s="79"/>
      <c r="P702" s="79"/>
      <c r="S702" s="79"/>
      <c r="T702" s="79"/>
      <c r="W702" s="130"/>
      <c r="Y702" s="106"/>
    </row>
    <row r="703">
      <c r="C703" s="79"/>
      <c r="D703" s="79"/>
      <c r="J703" s="79"/>
      <c r="O703" s="79"/>
      <c r="P703" s="79"/>
      <c r="S703" s="79"/>
      <c r="T703" s="79"/>
      <c r="W703" s="130"/>
      <c r="Y703" s="106"/>
    </row>
    <row r="704">
      <c r="C704" s="79"/>
      <c r="D704" s="79"/>
      <c r="J704" s="79"/>
      <c r="O704" s="79"/>
      <c r="P704" s="79"/>
      <c r="S704" s="79"/>
      <c r="T704" s="79"/>
      <c r="W704" s="130"/>
      <c r="Y704" s="106"/>
    </row>
    <row r="705">
      <c r="C705" s="79"/>
      <c r="D705" s="79"/>
      <c r="J705" s="79"/>
      <c r="O705" s="79"/>
      <c r="P705" s="79"/>
      <c r="S705" s="79"/>
      <c r="T705" s="79"/>
      <c r="W705" s="130"/>
      <c r="Y705" s="106"/>
    </row>
    <row r="706">
      <c r="C706" s="79"/>
      <c r="D706" s="79"/>
      <c r="J706" s="79"/>
      <c r="O706" s="79"/>
      <c r="P706" s="79"/>
      <c r="S706" s="79"/>
      <c r="T706" s="79"/>
      <c r="W706" s="130"/>
      <c r="Y706" s="106"/>
    </row>
    <row r="707">
      <c r="C707" s="79"/>
      <c r="D707" s="79"/>
      <c r="J707" s="79"/>
      <c r="O707" s="79"/>
      <c r="P707" s="79"/>
      <c r="S707" s="79"/>
      <c r="T707" s="79"/>
      <c r="W707" s="130"/>
      <c r="Y707" s="106"/>
    </row>
    <row r="708">
      <c r="C708" s="79"/>
      <c r="D708" s="79"/>
      <c r="J708" s="79"/>
      <c r="O708" s="79"/>
      <c r="P708" s="79"/>
      <c r="S708" s="79"/>
      <c r="T708" s="79"/>
      <c r="W708" s="130"/>
      <c r="Y708" s="106"/>
    </row>
    <row r="709">
      <c r="C709" s="79"/>
      <c r="D709" s="79"/>
      <c r="J709" s="79"/>
      <c r="O709" s="79"/>
      <c r="P709" s="79"/>
      <c r="S709" s="79"/>
      <c r="T709" s="79"/>
      <c r="W709" s="130"/>
      <c r="Y709" s="106"/>
    </row>
    <row r="710">
      <c r="C710" s="79"/>
      <c r="D710" s="79"/>
      <c r="J710" s="79"/>
      <c r="O710" s="79"/>
      <c r="P710" s="79"/>
      <c r="S710" s="79"/>
      <c r="T710" s="79"/>
      <c r="W710" s="130"/>
      <c r="Y710" s="106"/>
    </row>
    <row r="711">
      <c r="C711" s="79"/>
      <c r="D711" s="79"/>
      <c r="J711" s="79"/>
      <c r="O711" s="79"/>
      <c r="P711" s="79"/>
      <c r="S711" s="79"/>
      <c r="T711" s="79"/>
      <c r="W711" s="130"/>
      <c r="Y711" s="106"/>
    </row>
    <row r="712">
      <c r="C712" s="79"/>
      <c r="D712" s="79"/>
      <c r="J712" s="79"/>
      <c r="O712" s="79"/>
      <c r="P712" s="79"/>
      <c r="S712" s="79"/>
      <c r="T712" s="79"/>
      <c r="W712" s="130"/>
      <c r="Y712" s="106"/>
    </row>
    <row r="713">
      <c r="C713" s="79"/>
      <c r="D713" s="79"/>
      <c r="J713" s="79"/>
      <c r="O713" s="79"/>
      <c r="P713" s="79"/>
      <c r="S713" s="79"/>
      <c r="T713" s="79"/>
      <c r="W713" s="130"/>
      <c r="Y713" s="106"/>
    </row>
    <row r="714">
      <c r="C714" s="79"/>
      <c r="D714" s="79"/>
      <c r="J714" s="79"/>
      <c r="O714" s="79"/>
      <c r="P714" s="79"/>
      <c r="S714" s="79"/>
      <c r="T714" s="79"/>
      <c r="W714" s="130"/>
      <c r="Y714" s="106"/>
    </row>
    <row r="715">
      <c r="C715" s="79"/>
      <c r="D715" s="79"/>
      <c r="J715" s="79"/>
      <c r="O715" s="79"/>
      <c r="P715" s="79"/>
      <c r="S715" s="79"/>
      <c r="T715" s="79"/>
      <c r="W715" s="130"/>
      <c r="Y715" s="106"/>
    </row>
    <row r="716">
      <c r="C716" s="79"/>
      <c r="D716" s="79"/>
      <c r="J716" s="79"/>
      <c r="O716" s="79"/>
      <c r="P716" s="79"/>
      <c r="S716" s="79"/>
      <c r="T716" s="79"/>
      <c r="W716" s="130"/>
      <c r="Y716" s="106"/>
    </row>
    <row r="717">
      <c r="C717" s="79"/>
      <c r="D717" s="79"/>
      <c r="J717" s="79"/>
      <c r="O717" s="79"/>
      <c r="P717" s="79"/>
      <c r="S717" s="79"/>
      <c r="T717" s="79"/>
      <c r="W717" s="130"/>
      <c r="Y717" s="106"/>
    </row>
    <row r="718">
      <c r="C718" s="79"/>
      <c r="D718" s="79"/>
      <c r="J718" s="79"/>
      <c r="O718" s="79"/>
      <c r="P718" s="79"/>
      <c r="S718" s="79"/>
      <c r="T718" s="79"/>
      <c r="W718" s="130"/>
      <c r="Y718" s="106"/>
    </row>
    <row r="719">
      <c r="C719" s="79"/>
      <c r="D719" s="79"/>
      <c r="J719" s="79"/>
      <c r="O719" s="79"/>
      <c r="P719" s="79"/>
      <c r="S719" s="79"/>
      <c r="T719" s="79"/>
      <c r="W719" s="130"/>
      <c r="Y719" s="106"/>
    </row>
    <row r="720">
      <c r="C720" s="79"/>
      <c r="D720" s="79"/>
      <c r="J720" s="79"/>
      <c r="O720" s="79"/>
      <c r="P720" s="79"/>
      <c r="S720" s="79"/>
      <c r="T720" s="79"/>
      <c r="W720" s="130"/>
      <c r="Y720" s="106"/>
    </row>
    <row r="721">
      <c r="C721" s="79"/>
      <c r="D721" s="79"/>
      <c r="J721" s="79"/>
      <c r="O721" s="79"/>
      <c r="P721" s="79"/>
      <c r="S721" s="79"/>
      <c r="T721" s="79"/>
      <c r="W721" s="130"/>
      <c r="Y721" s="106"/>
    </row>
    <row r="722">
      <c r="C722" s="79"/>
      <c r="D722" s="79"/>
      <c r="J722" s="79"/>
      <c r="O722" s="79"/>
      <c r="P722" s="79"/>
      <c r="S722" s="79"/>
      <c r="T722" s="79"/>
      <c r="W722" s="130"/>
      <c r="Y722" s="106"/>
    </row>
    <row r="723">
      <c r="C723" s="79"/>
      <c r="D723" s="79"/>
      <c r="J723" s="79"/>
      <c r="O723" s="79"/>
      <c r="P723" s="79"/>
      <c r="S723" s="79"/>
      <c r="T723" s="79"/>
      <c r="W723" s="130"/>
      <c r="Y723" s="106"/>
    </row>
    <row r="724">
      <c r="C724" s="79"/>
      <c r="D724" s="79"/>
      <c r="J724" s="79"/>
      <c r="O724" s="79"/>
      <c r="P724" s="79"/>
      <c r="S724" s="79"/>
      <c r="T724" s="79"/>
      <c r="W724" s="130"/>
      <c r="Y724" s="106"/>
    </row>
    <row r="725">
      <c r="C725" s="79"/>
      <c r="D725" s="79"/>
      <c r="J725" s="79"/>
      <c r="O725" s="79"/>
      <c r="P725" s="79"/>
      <c r="S725" s="79"/>
      <c r="T725" s="79"/>
      <c r="W725" s="130"/>
      <c r="Y725" s="106"/>
    </row>
    <row r="726">
      <c r="C726" s="79"/>
      <c r="D726" s="79"/>
      <c r="J726" s="79"/>
      <c r="O726" s="79"/>
      <c r="P726" s="79"/>
      <c r="S726" s="79"/>
      <c r="T726" s="79"/>
      <c r="W726" s="130"/>
      <c r="Y726" s="106"/>
    </row>
    <row r="727">
      <c r="C727" s="79"/>
      <c r="D727" s="79"/>
      <c r="J727" s="79"/>
      <c r="O727" s="79"/>
      <c r="P727" s="79"/>
      <c r="S727" s="79"/>
      <c r="T727" s="79"/>
      <c r="W727" s="130"/>
      <c r="Y727" s="106"/>
    </row>
    <row r="728">
      <c r="C728" s="79"/>
      <c r="D728" s="79"/>
      <c r="J728" s="79"/>
      <c r="O728" s="79"/>
      <c r="P728" s="79"/>
      <c r="S728" s="79"/>
      <c r="T728" s="79"/>
      <c r="W728" s="130"/>
      <c r="Y728" s="106"/>
    </row>
    <row r="729">
      <c r="C729" s="79"/>
      <c r="D729" s="79"/>
      <c r="J729" s="79"/>
      <c r="O729" s="79"/>
      <c r="P729" s="79"/>
      <c r="S729" s="79"/>
      <c r="T729" s="79"/>
      <c r="W729" s="130"/>
      <c r="Y729" s="106"/>
    </row>
    <row r="730">
      <c r="C730" s="79"/>
      <c r="D730" s="79"/>
      <c r="J730" s="79"/>
      <c r="O730" s="79"/>
      <c r="P730" s="79"/>
      <c r="S730" s="79"/>
      <c r="T730" s="79"/>
      <c r="W730" s="130"/>
      <c r="Y730" s="106"/>
    </row>
    <row r="731">
      <c r="C731" s="79"/>
      <c r="D731" s="79"/>
      <c r="J731" s="79"/>
      <c r="O731" s="79"/>
      <c r="P731" s="79"/>
      <c r="S731" s="79"/>
      <c r="T731" s="79"/>
      <c r="W731" s="130"/>
      <c r="Y731" s="106"/>
    </row>
    <row r="732">
      <c r="C732" s="79"/>
      <c r="D732" s="79"/>
      <c r="J732" s="79"/>
      <c r="O732" s="79"/>
      <c r="P732" s="79"/>
      <c r="S732" s="79"/>
      <c r="T732" s="79"/>
      <c r="W732" s="130"/>
      <c r="Y732" s="106"/>
    </row>
    <row r="733">
      <c r="C733" s="79"/>
      <c r="D733" s="79"/>
      <c r="J733" s="79"/>
      <c r="O733" s="79"/>
      <c r="P733" s="79"/>
      <c r="S733" s="79"/>
      <c r="T733" s="79"/>
      <c r="W733" s="130"/>
      <c r="Y733" s="106"/>
    </row>
    <row r="734">
      <c r="C734" s="79"/>
      <c r="D734" s="79"/>
      <c r="J734" s="79"/>
      <c r="O734" s="79"/>
      <c r="P734" s="79"/>
      <c r="S734" s="79"/>
      <c r="T734" s="79"/>
      <c r="W734" s="130"/>
      <c r="Y734" s="106"/>
    </row>
    <row r="735">
      <c r="C735" s="79"/>
      <c r="D735" s="79"/>
      <c r="J735" s="79"/>
      <c r="O735" s="79"/>
      <c r="P735" s="79"/>
      <c r="S735" s="79"/>
      <c r="T735" s="79"/>
      <c r="W735" s="130"/>
      <c r="Y735" s="106"/>
    </row>
    <row r="736">
      <c r="C736" s="79"/>
      <c r="D736" s="79"/>
      <c r="J736" s="79"/>
      <c r="O736" s="79"/>
      <c r="P736" s="79"/>
      <c r="S736" s="79"/>
      <c r="T736" s="79"/>
      <c r="W736" s="130"/>
      <c r="Y736" s="106"/>
    </row>
    <row r="737">
      <c r="C737" s="79"/>
      <c r="D737" s="79"/>
      <c r="J737" s="79"/>
      <c r="O737" s="79"/>
      <c r="P737" s="79"/>
      <c r="S737" s="79"/>
      <c r="T737" s="79"/>
      <c r="W737" s="130"/>
      <c r="Y737" s="106"/>
    </row>
    <row r="738">
      <c r="C738" s="79"/>
      <c r="D738" s="79"/>
      <c r="J738" s="79"/>
      <c r="O738" s="79"/>
      <c r="P738" s="79"/>
      <c r="S738" s="79"/>
      <c r="T738" s="79"/>
      <c r="W738" s="130"/>
      <c r="Y738" s="106"/>
    </row>
    <row r="739">
      <c r="C739" s="79"/>
      <c r="D739" s="79"/>
      <c r="J739" s="79"/>
      <c r="O739" s="79"/>
      <c r="P739" s="79"/>
      <c r="S739" s="79"/>
      <c r="T739" s="79"/>
      <c r="W739" s="130"/>
      <c r="Y739" s="106"/>
    </row>
    <row r="740">
      <c r="C740" s="79"/>
      <c r="D740" s="79"/>
      <c r="J740" s="79"/>
      <c r="O740" s="79"/>
      <c r="P740" s="79"/>
      <c r="S740" s="79"/>
      <c r="T740" s="79"/>
      <c r="W740" s="130"/>
      <c r="Y740" s="106"/>
    </row>
    <row r="741">
      <c r="C741" s="79"/>
      <c r="D741" s="79"/>
      <c r="J741" s="79"/>
      <c r="O741" s="79"/>
      <c r="P741" s="79"/>
      <c r="S741" s="79"/>
      <c r="T741" s="79"/>
      <c r="W741" s="130"/>
      <c r="Y741" s="106"/>
    </row>
    <row r="742">
      <c r="C742" s="79"/>
      <c r="D742" s="79"/>
      <c r="J742" s="79"/>
      <c r="O742" s="79"/>
      <c r="P742" s="79"/>
      <c r="S742" s="79"/>
      <c r="T742" s="79"/>
      <c r="W742" s="130"/>
      <c r="Y742" s="106"/>
    </row>
    <row r="743">
      <c r="C743" s="79"/>
      <c r="D743" s="79"/>
      <c r="J743" s="79"/>
      <c r="O743" s="79"/>
      <c r="P743" s="79"/>
      <c r="S743" s="79"/>
      <c r="T743" s="79"/>
      <c r="W743" s="130"/>
      <c r="Y743" s="106"/>
    </row>
    <row r="744">
      <c r="C744" s="79"/>
      <c r="D744" s="79"/>
      <c r="J744" s="79"/>
      <c r="O744" s="79"/>
      <c r="P744" s="79"/>
      <c r="S744" s="79"/>
      <c r="T744" s="79"/>
      <c r="W744" s="130"/>
      <c r="Y744" s="106"/>
    </row>
    <row r="745">
      <c r="C745" s="79"/>
      <c r="D745" s="79"/>
      <c r="J745" s="79"/>
      <c r="O745" s="79"/>
      <c r="P745" s="79"/>
      <c r="S745" s="79"/>
      <c r="T745" s="79"/>
      <c r="W745" s="130"/>
      <c r="Y745" s="106"/>
    </row>
    <row r="746">
      <c r="C746" s="79"/>
      <c r="D746" s="79"/>
      <c r="J746" s="79"/>
      <c r="O746" s="79"/>
      <c r="P746" s="79"/>
      <c r="S746" s="79"/>
      <c r="T746" s="79"/>
      <c r="W746" s="130"/>
      <c r="Y746" s="106"/>
    </row>
    <row r="747">
      <c r="C747" s="79"/>
      <c r="D747" s="79"/>
      <c r="J747" s="79"/>
      <c r="O747" s="79"/>
      <c r="P747" s="79"/>
      <c r="S747" s="79"/>
      <c r="T747" s="79"/>
      <c r="W747" s="130"/>
      <c r="Y747" s="106"/>
    </row>
    <row r="748">
      <c r="C748" s="79"/>
      <c r="D748" s="79"/>
      <c r="J748" s="79"/>
      <c r="O748" s="79"/>
      <c r="P748" s="79"/>
      <c r="S748" s="79"/>
      <c r="T748" s="79"/>
      <c r="W748" s="130"/>
      <c r="Y748" s="106"/>
    </row>
    <row r="749">
      <c r="C749" s="79"/>
      <c r="D749" s="79"/>
      <c r="J749" s="79"/>
      <c r="O749" s="79"/>
      <c r="P749" s="79"/>
      <c r="S749" s="79"/>
      <c r="T749" s="79"/>
      <c r="W749" s="130"/>
      <c r="Y749" s="106"/>
    </row>
    <row r="750">
      <c r="C750" s="79"/>
      <c r="D750" s="79"/>
      <c r="J750" s="79"/>
      <c r="O750" s="79"/>
      <c r="P750" s="79"/>
      <c r="S750" s="79"/>
      <c r="T750" s="79"/>
      <c r="W750" s="130"/>
      <c r="Y750" s="106"/>
    </row>
    <row r="751">
      <c r="C751" s="79"/>
      <c r="D751" s="79"/>
      <c r="J751" s="79"/>
      <c r="O751" s="79"/>
      <c r="P751" s="79"/>
      <c r="S751" s="79"/>
      <c r="T751" s="79"/>
      <c r="W751" s="130"/>
      <c r="Y751" s="106"/>
    </row>
    <row r="752">
      <c r="C752" s="79"/>
      <c r="D752" s="79"/>
      <c r="J752" s="79"/>
      <c r="O752" s="79"/>
      <c r="P752" s="79"/>
      <c r="S752" s="79"/>
      <c r="T752" s="79"/>
      <c r="W752" s="130"/>
      <c r="Y752" s="106"/>
    </row>
    <row r="753">
      <c r="C753" s="79"/>
      <c r="D753" s="79"/>
      <c r="J753" s="79"/>
      <c r="O753" s="79"/>
      <c r="P753" s="79"/>
      <c r="S753" s="79"/>
      <c r="T753" s="79"/>
      <c r="W753" s="130"/>
      <c r="Y753" s="106"/>
    </row>
    <row r="754">
      <c r="C754" s="79"/>
      <c r="D754" s="79"/>
      <c r="J754" s="79"/>
      <c r="O754" s="79"/>
      <c r="P754" s="79"/>
      <c r="S754" s="79"/>
      <c r="T754" s="79"/>
      <c r="W754" s="130"/>
      <c r="Y754" s="106"/>
    </row>
    <row r="755">
      <c r="C755" s="79"/>
      <c r="D755" s="79"/>
      <c r="J755" s="79"/>
      <c r="O755" s="79"/>
      <c r="P755" s="79"/>
      <c r="S755" s="79"/>
      <c r="T755" s="79"/>
      <c r="W755" s="130"/>
      <c r="Y755" s="106"/>
    </row>
    <row r="756">
      <c r="C756" s="79"/>
      <c r="D756" s="79"/>
      <c r="J756" s="79"/>
      <c r="O756" s="79"/>
      <c r="P756" s="79"/>
      <c r="S756" s="79"/>
      <c r="T756" s="79"/>
      <c r="W756" s="130"/>
      <c r="Y756" s="106"/>
    </row>
    <row r="757">
      <c r="C757" s="79"/>
      <c r="D757" s="79"/>
      <c r="J757" s="79"/>
      <c r="O757" s="79"/>
      <c r="P757" s="79"/>
      <c r="S757" s="79"/>
      <c r="T757" s="79"/>
      <c r="W757" s="130"/>
      <c r="Y757" s="106"/>
    </row>
    <row r="758">
      <c r="C758" s="79"/>
      <c r="D758" s="79"/>
      <c r="J758" s="79"/>
      <c r="O758" s="79"/>
      <c r="P758" s="79"/>
      <c r="S758" s="79"/>
      <c r="T758" s="79"/>
      <c r="W758" s="130"/>
      <c r="Y758" s="106"/>
    </row>
    <row r="759">
      <c r="C759" s="79"/>
      <c r="D759" s="79"/>
      <c r="J759" s="79"/>
      <c r="O759" s="79"/>
      <c r="P759" s="79"/>
      <c r="S759" s="79"/>
      <c r="T759" s="79"/>
      <c r="W759" s="130"/>
      <c r="Y759" s="106"/>
    </row>
    <row r="760">
      <c r="C760" s="79"/>
      <c r="D760" s="79"/>
      <c r="J760" s="79"/>
      <c r="O760" s="79"/>
      <c r="P760" s="79"/>
      <c r="S760" s="79"/>
      <c r="T760" s="79"/>
      <c r="W760" s="130"/>
      <c r="Y760" s="106"/>
    </row>
    <row r="761">
      <c r="C761" s="79"/>
      <c r="D761" s="79"/>
      <c r="J761" s="79"/>
      <c r="O761" s="79"/>
      <c r="P761" s="79"/>
      <c r="S761" s="79"/>
      <c r="T761" s="79"/>
      <c r="W761" s="130"/>
      <c r="Y761" s="106"/>
    </row>
    <row r="762">
      <c r="C762" s="79"/>
      <c r="D762" s="79"/>
      <c r="J762" s="79"/>
      <c r="O762" s="79"/>
      <c r="P762" s="79"/>
      <c r="S762" s="79"/>
      <c r="T762" s="79"/>
      <c r="W762" s="130"/>
      <c r="Y762" s="106"/>
    </row>
    <row r="763">
      <c r="C763" s="79"/>
      <c r="D763" s="79"/>
      <c r="J763" s="79"/>
      <c r="O763" s="79"/>
      <c r="P763" s="79"/>
      <c r="S763" s="79"/>
      <c r="T763" s="79"/>
      <c r="W763" s="130"/>
      <c r="Y763" s="106"/>
    </row>
    <row r="764">
      <c r="C764" s="79"/>
      <c r="D764" s="79"/>
      <c r="J764" s="79"/>
      <c r="O764" s="79"/>
      <c r="P764" s="79"/>
      <c r="S764" s="79"/>
      <c r="T764" s="79"/>
      <c r="W764" s="130"/>
      <c r="Y764" s="106"/>
    </row>
    <row r="765">
      <c r="C765" s="79"/>
      <c r="D765" s="79"/>
      <c r="J765" s="79"/>
      <c r="O765" s="79"/>
      <c r="P765" s="79"/>
      <c r="S765" s="79"/>
      <c r="T765" s="79"/>
      <c r="W765" s="130"/>
      <c r="Y765" s="106"/>
    </row>
    <row r="766">
      <c r="C766" s="79"/>
      <c r="D766" s="79"/>
      <c r="J766" s="79"/>
      <c r="O766" s="79"/>
      <c r="P766" s="79"/>
      <c r="S766" s="79"/>
      <c r="T766" s="79"/>
      <c r="W766" s="130"/>
      <c r="Y766" s="106"/>
    </row>
    <row r="767">
      <c r="C767" s="79"/>
      <c r="D767" s="79"/>
      <c r="J767" s="79"/>
      <c r="O767" s="79"/>
      <c r="P767" s="79"/>
      <c r="S767" s="79"/>
      <c r="T767" s="79"/>
      <c r="W767" s="130"/>
      <c r="Y767" s="106"/>
    </row>
    <row r="768">
      <c r="C768" s="79"/>
      <c r="D768" s="79"/>
      <c r="J768" s="79"/>
      <c r="O768" s="79"/>
      <c r="P768" s="79"/>
      <c r="S768" s="79"/>
      <c r="T768" s="79"/>
      <c r="W768" s="130"/>
      <c r="Y768" s="106"/>
    </row>
    <row r="769">
      <c r="C769" s="79"/>
      <c r="D769" s="79"/>
      <c r="J769" s="79"/>
      <c r="O769" s="79"/>
      <c r="P769" s="79"/>
      <c r="S769" s="79"/>
      <c r="T769" s="79"/>
      <c r="W769" s="130"/>
      <c r="Y769" s="106"/>
    </row>
    <row r="770">
      <c r="C770" s="79"/>
      <c r="D770" s="79"/>
      <c r="J770" s="79"/>
      <c r="O770" s="79"/>
      <c r="P770" s="79"/>
      <c r="S770" s="79"/>
      <c r="T770" s="79"/>
      <c r="W770" s="130"/>
      <c r="Y770" s="106"/>
    </row>
    <row r="771">
      <c r="C771" s="79"/>
      <c r="D771" s="79"/>
      <c r="J771" s="79"/>
      <c r="O771" s="79"/>
      <c r="P771" s="79"/>
      <c r="S771" s="79"/>
      <c r="T771" s="79"/>
      <c r="W771" s="130"/>
      <c r="Y771" s="106"/>
    </row>
    <row r="772">
      <c r="C772" s="79"/>
      <c r="D772" s="79"/>
      <c r="J772" s="79"/>
      <c r="O772" s="79"/>
      <c r="P772" s="79"/>
      <c r="S772" s="79"/>
      <c r="T772" s="79"/>
      <c r="W772" s="130"/>
      <c r="Y772" s="106"/>
    </row>
    <row r="773">
      <c r="C773" s="79"/>
      <c r="D773" s="79"/>
      <c r="J773" s="79"/>
      <c r="O773" s="79"/>
      <c r="P773" s="79"/>
      <c r="S773" s="79"/>
      <c r="T773" s="79"/>
      <c r="W773" s="130"/>
      <c r="Y773" s="106"/>
    </row>
    <row r="774">
      <c r="C774" s="79"/>
      <c r="D774" s="79"/>
      <c r="J774" s="79"/>
      <c r="O774" s="79"/>
      <c r="P774" s="79"/>
      <c r="S774" s="79"/>
      <c r="T774" s="79"/>
      <c r="W774" s="130"/>
      <c r="Y774" s="106"/>
    </row>
    <row r="775">
      <c r="C775" s="79"/>
      <c r="D775" s="79"/>
      <c r="J775" s="79"/>
      <c r="O775" s="79"/>
      <c r="P775" s="79"/>
      <c r="S775" s="79"/>
      <c r="T775" s="79"/>
      <c r="W775" s="130"/>
      <c r="Y775" s="106"/>
    </row>
    <row r="776">
      <c r="C776" s="79"/>
      <c r="D776" s="79"/>
      <c r="J776" s="79"/>
      <c r="O776" s="79"/>
      <c r="P776" s="79"/>
      <c r="S776" s="79"/>
      <c r="T776" s="79"/>
      <c r="W776" s="130"/>
      <c r="Y776" s="106"/>
    </row>
    <row r="777">
      <c r="C777" s="79"/>
      <c r="D777" s="79"/>
      <c r="J777" s="79"/>
      <c r="O777" s="79"/>
      <c r="P777" s="79"/>
      <c r="S777" s="79"/>
      <c r="T777" s="79"/>
      <c r="W777" s="130"/>
      <c r="Y777" s="106"/>
    </row>
    <row r="778">
      <c r="C778" s="79"/>
      <c r="D778" s="79"/>
      <c r="J778" s="79"/>
      <c r="O778" s="79"/>
      <c r="P778" s="79"/>
      <c r="S778" s="79"/>
      <c r="T778" s="79"/>
      <c r="W778" s="130"/>
      <c r="Y778" s="106"/>
    </row>
    <row r="779">
      <c r="C779" s="79"/>
      <c r="D779" s="79"/>
      <c r="J779" s="79"/>
      <c r="O779" s="79"/>
      <c r="P779" s="79"/>
      <c r="S779" s="79"/>
      <c r="T779" s="79"/>
      <c r="W779" s="130"/>
      <c r="Y779" s="106"/>
    </row>
    <row r="780">
      <c r="C780" s="79"/>
      <c r="D780" s="79"/>
      <c r="J780" s="79"/>
      <c r="O780" s="79"/>
      <c r="P780" s="79"/>
      <c r="S780" s="79"/>
      <c r="T780" s="79"/>
      <c r="W780" s="130"/>
      <c r="Y780" s="106"/>
    </row>
    <row r="781">
      <c r="C781" s="79"/>
      <c r="D781" s="79"/>
      <c r="J781" s="79"/>
      <c r="O781" s="79"/>
      <c r="P781" s="79"/>
      <c r="S781" s="79"/>
      <c r="T781" s="79"/>
      <c r="W781" s="130"/>
      <c r="Y781" s="106"/>
    </row>
    <row r="782">
      <c r="C782" s="79"/>
      <c r="D782" s="79"/>
      <c r="J782" s="79"/>
      <c r="O782" s="79"/>
      <c r="P782" s="79"/>
      <c r="S782" s="79"/>
      <c r="T782" s="79"/>
      <c r="W782" s="130"/>
      <c r="Y782" s="106"/>
    </row>
    <row r="783">
      <c r="C783" s="79"/>
      <c r="D783" s="79"/>
      <c r="J783" s="79"/>
      <c r="O783" s="79"/>
      <c r="P783" s="79"/>
      <c r="S783" s="79"/>
      <c r="T783" s="79"/>
      <c r="W783" s="130"/>
      <c r="Y783" s="106"/>
    </row>
    <row r="784">
      <c r="C784" s="79"/>
      <c r="D784" s="79"/>
      <c r="J784" s="79"/>
      <c r="O784" s="79"/>
      <c r="P784" s="79"/>
      <c r="S784" s="79"/>
      <c r="T784" s="79"/>
      <c r="W784" s="130"/>
      <c r="Y784" s="106"/>
    </row>
    <row r="785">
      <c r="C785" s="79"/>
      <c r="D785" s="79"/>
      <c r="J785" s="79"/>
      <c r="O785" s="79"/>
      <c r="P785" s="79"/>
      <c r="S785" s="79"/>
      <c r="T785" s="79"/>
      <c r="W785" s="130"/>
      <c r="Y785" s="106"/>
    </row>
    <row r="786">
      <c r="C786" s="79"/>
      <c r="D786" s="79"/>
      <c r="J786" s="79"/>
      <c r="O786" s="79"/>
      <c r="P786" s="79"/>
      <c r="S786" s="79"/>
      <c r="T786" s="79"/>
      <c r="W786" s="130"/>
      <c r="Y786" s="106"/>
    </row>
    <row r="787">
      <c r="C787" s="79"/>
      <c r="D787" s="79"/>
      <c r="J787" s="79"/>
      <c r="O787" s="79"/>
      <c r="P787" s="79"/>
      <c r="S787" s="79"/>
      <c r="T787" s="79"/>
      <c r="W787" s="130"/>
      <c r="Y787" s="106"/>
    </row>
    <row r="788">
      <c r="C788" s="79"/>
      <c r="D788" s="79"/>
      <c r="J788" s="79"/>
      <c r="O788" s="79"/>
      <c r="P788" s="79"/>
      <c r="S788" s="79"/>
      <c r="T788" s="79"/>
      <c r="W788" s="130"/>
      <c r="Y788" s="106"/>
    </row>
    <row r="789">
      <c r="C789" s="79"/>
      <c r="D789" s="79"/>
      <c r="J789" s="79"/>
      <c r="O789" s="79"/>
      <c r="P789" s="79"/>
      <c r="S789" s="79"/>
      <c r="T789" s="79"/>
      <c r="W789" s="130"/>
      <c r="Y789" s="106"/>
    </row>
    <row r="790">
      <c r="C790" s="79"/>
      <c r="D790" s="79"/>
      <c r="J790" s="79"/>
      <c r="O790" s="79"/>
      <c r="P790" s="79"/>
      <c r="S790" s="79"/>
      <c r="T790" s="79"/>
      <c r="W790" s="130"/>
      <c r="Y790" s="106"/>
    </row>
    <row r="791">
      <c r="C791" s="79"/>
      <c r="D791" s="79"/>
      <c r="J791" s="79"/>
      <c r="O791" s="79"/>
      <c r="P791" s="79"/>
      <c r="S791" s="79"/>
      <c r="T791" s="79"/>
      <c r="W791" s="130"/>
      <c r="Y791" s="106"/>
    </row>
    <row r="792">
      <c r="C792" s="79"/>
      <c r="D792" s="79"/>
      <c r="J792" s="79"/>
      <c r="O792" s="79"/>
      <c r="P792" s="79"/>
      <c r="S792" s="79"/>
      <c r="T792" s="79"/>
      <c r="W792" s="130"/>
      <c r="Y792" s="106"/>
    </row>
    <row r="793">
      <c r="C793" s="79"/>
      <c r="D793" s="79"/>
      <c r="J793" s="79"/>
      <c r="O793" s="79"/>
      <c r="P793" s="79"/>
      <c r="S793" s="79"/>
      <c r="T793" s="79"/>
      <c r="W793" s="130"/>
      <c r="Y793" s="106"/>
    </row>
    <row r="794">
      <c r="C794" s="79"/>
      <c r="D794" s="79"/>
      <c r="J794" s="79"/>
      <c r="O794" s="79"/>
      <c r="P794" s="79"/>
      <c r="S794" s="79"/>
      <c r="T794" s="79"/>
      <c r="W794" s="130"/>
      <c r="Y794" s="106"/>
    </row>
    <row r="795">
      <c r="C795" s="79"/>
      <c r="D795" s="79"/>
      <c r="J795" s="79"/>
      <c r="O795" s="79"/>
      <c r="P795" s="79"/>
      <c r="S795" s="79"/>
      <c r="T795" s="79"/>
      <c r="W795" s="130"/>
      <c r="Y795" s="106"/>
    </row>
    <row r="796">
      <c r="C796" s="79"/>
      <c r="D796" s="79"/>
      <c r="J796" s="79"/>
      <c r="O796" s="79"/>
      <c r="P796" s="79"/>
      <c r="S796" s="79"/>
      <c r="T796" s="79"/>
      <c r="W796" s="130"/>
      <c r="Y796" s="106"/>
    </row>
    <row r="797">
      <c r="C797" s="79"/>
      <c r="D797" s="79"/>
      <c r="J797" s="79"/>
      <c r="O797" s="79"/>
      <c r="P797" s="79"/>
      <c r="S797" s="79"/>
      <c r="T797" s="79"/>
      <c r="W797" s="130"/>
      <c r="Y797" s="106"/>
    </row>
    <row r="798">
      <c r="C798" s="79"/>
      <c r="D798" s="79"/>
      <c r="J798" s="79"/>
      <c r="O798" s="79"/>
      <c r="P798" s="79"/>
      <c r="S798" s="79"/>
      <c r="T798" s="79"/>
      <c r="W798" s="130"/>
      <c r="Y798" s="106"/>
    </row>
    <row r="799">
      <c r="C799" s="79"/>
      <c r="D799" s="79"/>
      <c r="J799" s="79"/>
      <c r="O799" s="79"/>
      <c r="P799" s="79"/>
      <c r="S799" s="79"/>
      <c r="T799" s="79"/>
      <c r="W799" s="130"/>
      <c r="Y799" s="106"/>
    </row>
    <row r="800">
      <c r="C800" s="79"/>
      <c r="D800" s="79"/>
      <c r="J800" s="79"/>
      <c r="O800" s="79"/>
      <c r="P800" s="79"/>
      <c r="S800" s="79"/>
      <c r="T800" s="79"/>
      <c r="W800" s="130"/>
      <c r="Y800" s="106"/>
    </row>
    <row r="801">
      <c r="C801" s="79"/>
      <c r="D801" s="79"/>
      <c r="J801" s="79"/>
      <c r="O801" s="79"/>
      <c r="P801" s="79"/>
      <c r="S801" s="79"/>
      <c r="T801" s="79"/>
      <c r="W801" s="130"/>
      <c r="Y801" s="106"/>
    </row>
    <row r="802">
      <c r="C802" s="79"/>
      <c r="D802" s="79"/>
      <c r="J802" s="79"/>
      <c r="O802" s="79"/>
      <c r="P802" s="79"/>
      <c r="S802" s="79"/>
      <c r="T802" s="79"/>
      <c r="W802" s="130"/>
      <c r="Y802" s="106"/>
    </row>
    <row r="803">
      <c r="C803" s="79"/>
      <c r="D803" s="79"/>
      <c r="J803" s="79"/>
      <c r="O803" s="79"/>
      <c r="P803" s="79"/>
      <c r="S803" s="79"/>
      <c r="T803" s="79"/>
      <c r="W803" s="130"/>
      <c r="Y803" s="106"/>
    </row>
    <row r="804">
      <c r="C804" s="79"/>
      <c r="D804" s="79"/>
      <c r="J804" s="79"/>
      <c r="O804" s="79"/>
      <c r="P804" s="79"/>
      <c r="S804" s="79"/>
      <c r="T804" s="79"/>
      <c r="W804" s="130"/>
      <c r="Y804" s="106"/>
    </row>
    <row r="805">
      <c r="C805" s="79"/>
      <c r="D805" s="79"/>
      <c r="J805" s="79"/>
      <c r="O805" s="79"/>
      <c r="P805" s="79"/>
      <c r="S805" s="79"/>
      <c r="T805" s="79"/>
      <c r="W805" s="130"/>
      <c r="Y805" s="106"/>
    </row>
    <row r="806">
      <c r="C806" s="79"/>
      <c r="D806" s="79"/>
      <c r="J806" s="79"/>
      <c r="O806" s="79"/>
      <c r="P806" s="79"/>
      <c r="S806" s="79"/>
      <c r="T806" s="79"/>
      <c r="W806" s="130"/>
      <c r="Y806" s="106"/>
    </row>
    <row r="807">
      <c r="C807" s="79"/>
      <c r="D807" s="79"/>
      <c r="J807" s="79"/>
      <c r="O807" s="79"/>
      <c r="P807" s="79"/>
      <c r="S807" s="79"/>
      <c r="T807" s="79"/>
      <c r="W807" s="130"/>
      <c r="Y807" s="106"/>
    </row>
    <row r="808">
      <c r="C808" s="79"/>
      <c r="D808" s="79"/>
      <c r="J808" s="79"/>
      <c r="O808" s="79"/>
      <c r="P808" s="79"/>
      <c r="S808" s="79"/>
      <c r="T808" s="79"/>
      <c r="W808" s="130"/>
      <c r="Y808" s="106"/>
    </row>
    <row r="809">
      <c r="C809" s="79"/>
      <c r="D809" s="79"/>
      <c r="J809" s="79"/>
      <c r="O809" s="79"/>
      <c r="P809" s="79"/>
      <c r="S809" s="79"/>
      <c r="T809" s="79"/>
      <c r="W809" s="130"/>
      <c r="Y809" s="106"/>
    </row>
    <row r="810">
      <c r="C810" s="79"/>
      <c r="D810" s="79"/>
      <c r="J810" s="79"/>
      <c r="O810" s="79"/>
      <c r="P810" s="79"/>
      <c r="S810" s="79"/>
      <c r="T810" s="79"/>
      <c r="W810" s="130"/>
      <c r="Y810" s="106"/>
    </row>
    <row r="811">
      <c r="C811" s="79"/>
      <c r="D811" s="79"/>
      <c r="J811" s="79"/>
      <c r="O811" s="79"/>
      <c r="P811" s="79"/>
      <c r="S811" s="79"/>
      <c r="T811" s="79"/>
      <c r="W811" s="130"/>
      <c r="Y811" s="106"/>
    </row>
    <row r="812">
      <c r="C812" s="79"/>
      <c r="D812" s="79"/>
      <c r="J812" s="79"/>
      <c r="O812" s="79"/>
      <c r="P812" s="79"/>
      <c r="S812" s="79"/>
      <c r="T812" s="79"/>
      <c r="W812" s="130"/>
      <c r="Y812" s="106"/>
    </row>
    <row r="813">
      <c r="C813" s="79"/>
      <c r="D813" s="79"/>
      <c r="J813" s="79"/>
      <c r="O813" s="79"/>
      <c r="P813" s="79"/>
      <c r="S813" s="79"/>
      <c r="T813" s="79"/>
      <c r="W813" s="130"/>
      <c r="Y813" s="106"/>
    </row>
    <row r="814">
      <c r="C814" s="79"/>
      <c r="D814" s="79"/>
      <c r="J814" s="79"/>
      <c r="O814" s="79"/>
      <c r="P814" s="79"/>
      <c r="S814" s="79"/>
      <c r="T814" s="79"/>
      <c r="W814" s="130"/>
      <c r="Y814" s="106"/>
    </row>
    <row r="815">
      <c r="C815" s="79"/>
      <c r="D815" s="79"/>
      <c r="J815" s="79"/>
      <c r="O815" s="79"/>
      <c r="P815" s="79"/>
      <c r="S815" s="79"/>
      <c r="T815" s="79"/>
      <c r="W815" s="130"/>
      <c r="Y815" s="106"/>
    </row>
    <row r="816">
      <c r="C816" s="79"/>
      <c r="D816" s="79"/>
      <c r="J816" s="79"/>
      <c r="O816" s="79"/>
      <c r="P816" s="79"/>
      <c r="S816" s="79"/>
      <c r="T816" s="79"/>
      <c r="W816" s="130"/>
      <c r="Y816" s="106"/>
    </row>
    <row r="817">
      <c r="C817" s="79"/>
      <c r="D817" s="79"/>
      <c r="J817" s="79"/>
      <c r="O817" s="79"/>
      <c r="P817" s="79"/>
      <c r="S817" s="79"/>
      <c r="T817" s="79"/>
      <c r="W817" s="130"/>
      <c r="Y817" s="106"/>
    </row>
    <row r="818">
      <c r="C818" s="79"/>
      <c r="D818" s="79"/>
      <c r="J818" s="79"/>
      <c r="O818" s="79"/>
      <c r="P818" s="79"/>
      <c r="S818" s="79"/>
      <c r="T818" s="79"/>
      <c r="W818" s="130"/>
      <c r="Y818" s="106"/>
    </row>
    <row r="819">
      <c r="C819" s="79"/>
      <c r="D819" s="79"/>
      <c r="J819" s="79"/>
      <c r="O819" s="79"/>
      <c r="P819" s="79"/>
      <c r="S819" s="79"/>
      <c r="T819" s="79"/>
      <c r="W819" s="130"/>
      <c r="Y819" s="106"/>
    </row>
    <row r="820">
      <c r="C820" s="79"/>
      <c r="D820" s="79"/>
      <c r="J820" s="79"/>
      <c r="O820" s="79"/>
      <c r="P820" s="79"/>
      <c r="S820" s="79"/>
      <c r="T820" s="79"/>
      <c r="W820" s="130"/>
      <c r="Y820" s="106"/>
    </row>
    <row r="821">
      <c r="C821" s="79"/>
      <c r="D821" s="79"/>
      <c r="J821" s="79"/>
      <c r="O821" s="79"/>
      <c r="P821" s="79"/>
      <c r="S821" s="79"/>
      <c r="T821" s="79"/>
      <c r="W821" s="130"/>
      <c r="Y821" s="106"/>
    </row>
    <row r="822">
      <c r="C822" s="79"/>
      <c r="D822" s="79"/>
      <c r="J822" s="79"/>
      <c r="O822" s="79"/>
      <c r="P822" s="79"/>
      <c r="S822" s="79"/>
      <c r="T822" s="79"/>
      <c r="W822" s="130"/>
      <c r="Y822" s="106"/>
    </row>
    <row r="823">
      <c r="C823" s="79"/>
      <c r="D823" s="79"/>
      <c r="J823" s="79"/>
      <c r="O823" s="79"/>
      <c r="P823" s="79"/>
      <c r="S823" s="79"/>
      <c r="T823" s="79"/>
      <c r="W823" s="130"/>
      <c r="Y823" s="106"/>
    </row>
    <row r="824">
      <c r="C824" s="79"/>
      <c r="D824" s="79"/>
      <c r="J824" s="79"/>
      <c r="O824" s="79"/>
      <c r="P824" s="79"/>
      <c r="S824" s="79"/>
      <c r="T824" s="79"/>
      <c r="W824" s="130"/>
      <c r="Y824" s="106"/>
    </row>
    <row r="825">
      <c r="C825" s="79"/>
      <c r="D825" s="79"/>
      <c r="J825" s="79"/>
      <c r="O825" s="79"/>
      <c r="P825" s="79"/>
      <c r="S825" s="79"/>
      <c r="T825" s="79"/>
      <c r="W825" s="130"/>
      <c r="Y825" s="106"/>
    </row>
    <row r="826">
      <c r="C826" s="79"/>
      <c r="D826" s="79"/>
      <c r="J826" s="79"/>
      <c r="O826" s="79"/>
      <c r="P826" s="79"/>
      <c r="S826" s="79"/>
      <c r="T826" s="79"/>
      <c r="W826" s="130"/>
      <c r="Y826" s="106"/>
    </row>
    <row r="827">
      <c r="C827" s="79"/>
      <c r="D827" s="79"/>
      <c r="J827" s="79"/>
      <c r="O827" s="79"/>
      <c r="P827" s="79"/>
      <c r="S827" s="79"/>
      <c r="T827" s="79"/>
      <c r="W827" s="130"/>
      <c r="Y827" s="106"/>
    </row>
    <row r="828">
      <c r="C828" s="79"/>
      <c r="D828" s="79"/>
      <c r="J828" s="79"/>
      <c r="O828" s="79"/>
      <c r="P828" s="79"/>
      <c r="S828" s="79"/>
      <c r="T828" s="79"/>
      <c r="W828" s="130"/>
      <c r="Y828" s="106"/>
    </row>
    <row r="829">
      <c r="C829" s="79"/>
      <c r="D829" s="79"/>
      <c r="J829" s="79"/>
      <c r="O829" s="79"/>
      <c r="P829" s="79"/>
      <c r="S829" s="79"/>
      <c r="T829" s="79"/>
      <c r="W829" s="130"/>
      <c r="Y829" s="106"/>
    </row>
    <row r="830">
      <c r="C830" s="79"/>
      <c r="D830" s="79"/>
      <c r="J830" s="79"/>
      <c r="O830" s="79"/>
      <c r="P830" s="79"/>
      <c r="S830" s="79"/>
      <c r="T830" s="79"/>
      <c r="W830" s="130"/>
      <c r="Y830" s="106"/>
    </row>
    <row r="831">
      <c r="C831" s="79"/>
      <c r="D831" s="79"/>
      <c r="J831" s="79"/>
      <c r="O831" s="79"/>
      <c r="P831" s="79"/>
      <c r="S831" s="79"/>
      <c r="T831" s="79"/>
      <c r="W831" s="130"/>
      <c r="Y831" s="106"/>
    </row>
    <row r="832">
      <c r="C832" s="79"/>
      <c r="D832" s="79"/>
      <c r="J832" s="79"/>
      <c r="O832" s="79"/>
      <c r="P832" s="79"/>
      <c r="S832" s="79"/>
      <c r="T832" s="79"/>
      <c r="W832" s="130"/>
      <c r="Y832" s="106"/>
    </row>
    <row r="833">
      <c r="C833" s="79"/>
      <c r="D833" s="79"/>
      <c r="J833" s="79"/>
      <c r="O833" s="79"/>
      <c r="P833" s="79"/>
      <c r="S833" s="79"/>
      <c r="T833" s="79"/>
      <c r="W833" s="130"/>
      <c r="Y833" s="106"/>
    </row>
    <row r="834">
      <c r="C834" s="79"/>
      <c r="D834" s="79"/>
      <c r="J834" s="79"/>
      <c r="O834" s="79"/>
      <c r="P834" s="79"/>
      <c r="S834" s="79"/>
      <c r="T834" s="79"/>
      <c r="W834" s="130"/>
      <c r="Y834" s="106"/>
    </row>
    <row r="835">
      <c r="C835" s="79"/>
      <c r="D835" s="79"/>
      <c r="J835" s="79"/>
      <c r="O835" s="79"/>
      <c r="P835" s="79"/>
      <c r="S835" s="79"/>
      <c r="T835" s="79"/>
      <c r="W835" s="130"/>
      <c r="Y835" s="106"/>
    </row>
    <row r="836">
      <c r="C836" s="79"/>
      <c r="D836" s="79"/>
      <c r="J836" s="79"/>
      <c r="O836" s="79"/>
      <c r="P836" s="79"/>
      <c r="S836" s="79"/>
      <c r="T836" s="79"/>
      <c r="W836" s="130"/>
      <c r="Y836" s="106"/>
    </row>
    <row r="837">
      <c r="C837" s="79"/>
      <c r="D837" s="79"/>
      <c r="J837" s="79"/>
      <c r="O837" s="79"/>
      <c r="P837" s="79"/>
      <c r="S837" s="79"/>
      <c r="T837" s="79"/>
      <c r="W837" s="130"/>
      <c r="Y837" s="106"/>
    </row>
    <row r="838">
      <c r="C838" s="79"/>
      <c r="D838" s="79"/>
      <c r="J838" s="79"/>
      <c r="O838" s="79"/>
      <c r="P838" s="79"/>
      <c r="S838" s="79"/>
      <c r="T838" s="79"/>
      <c r="W838" s="130"/>
      <c r="Y838" s="106"/>
    </row>
    <row r="839">
      <c r="C839" s="79"/>
      <c r="D839" s="79"/>
      <c r="J839" s="79"/>
      <c r="O839" s="79"/>
      <c r="P839" s="79"/>
      <c r="S839" s="79"/>
      <c r="T839" s="79"/>
      <c r="W839" s="130"/>
      <c r="Y839" s="106"/>
    </row>
    <row r="840">
      <c r="C840" s="79"/>
      <c r="D840" s="79"/>
      <c r="J840" s="79"/>
      <c r="O840" s="79"/>
      <c r="P840" s="79"/>
      <c r="S840" s="79"/>
      <c r="T840" s="79"/>
      <c r="W840" s="130"/>
      <c r="Y840" s="106"/>
    </row>
    <row r="841">
      <c r="C841" s="79"/>
      <c r="D841" s="79"/>
      <c r="J841" s="79"/>
      <c r="O841" s="79"/>
      <c r="P841" s="79"/>
      <c r="S841" s="79"/>
      <c r="T841" s="79"/>
      <c r="W841" s="130"/>
      <c r="Y841" s="106"/>
    </row>
    <row r="842">
      <c r="C842" s="79"/>
      <c r="D842" s="79"/>
      <c r="J842" s="79"/>
      <c r="O842" s="79"/>
      <c r="P842" s="79"/>
      <c r="S842" s="79"/>
      <c r="T842" s="79"/>
      <c r="W842" s="130"/>
      <c r="Y842" s="106"/>
    </row>
    <row r="843">
      <c r="C843" s="79"/>
      <c r="D843" s="79"/>
      <c r="J843" s="79"/>
      <c r="O843" s="79"/>
      <c r="P843" s="79"/>
      <c r="S843" s="79"/>
      <c r="T843" s="79"/>
      <c r="W843" s="130"/>
      <c r="Y843" s="106"/>
    </row>
    <row r="844">
      <c r="C844" s="79"/>
      <c r="D844" s="79"/>
      <c r="J844" s="79"/>
      <c r="O844" s="79"/>
      <c r="P844" s="79"/>
      <c r="S844" s="79"/>
      <c r="T844" s="79"/>
      <c r="W844" s="130"/>
      <c r="Y844" s="106"/>
    </row>
    <row r="845">
      <c r="C845" s="79"/>
      <c r="D845" s="79"/>
      <c r="J845" s="79"/>
      <c r="O845" s="79"/>
      <c r="P845" s="79"/>
      <c r="S845" s="79"/>
      <c r="T845" s="79"/>
      <c r="W845" s="130"/>
      <c r="Y845" s="106"/>
    </row>
    <row r="846">
      <c r="C846" s="79"/>
      <c r="D846" s="79"/>
      <c r="J846" s="79"/>
      <c r="O846" s="79"/>
      <c r="P846" s="79"/>
      <c r="S846" s="79"/>
      <c r="T846" s="79"/>
      <c r="W846" s="130"/>
      <c r="Y846" s="106"/>
    </row>
    <row r="847">
      <c r="C847" s="79"/>
      <c r="D847" s="79"/>
      <c r="J847" s="79"/>
      <c r="O847" s="79"/>
      <c r="P847" s="79"/>
      <c r="S847" s="79"/>
      <c r="T847" s="79"/>
      <c r="W847" s="130"/>
      <c r="Y847" s="106"/>
    </row>
    <row r="848">
      <c r="C848" s="79"/>
      <c r="D848" s="79"/>
      <c r="J848" s="79"/>
      <c r="O848" s="79"/>
      <c r="P848" s="79"/>
      <c r="S848" s="79"/>
      <c r="T848" s="79"/>
      <c r="W848" s="130"/>
      <c r="Y848" s="106"/>
    </row>
    <row r="849">
      <c r="C849" s="79"/>
      <c r="D849" s="79"/>
      <c r="J849" s="79"/>
      <c r="O849" s="79"/>
      <c r="P849" s="79"/>
      <c r="S849" s="79"/>
      <c r="T849" s="79"/>
      <c r="W849" s="130"/>
      <c r="Y849" s="106"/>
    </row>
    <row r="850">
      <c r="C850" s="79"/>
      <c r="D850" s="79"/>
      <c r="J850" s="79"/>
      <c r="O850" s="79"/>
      <c r="P850" s="79"/>
      <c r="S850" s="79"/>
      <c r="T850" s="79"/>
      <c r="W850" s="130"/>
      <c r="Y850" s="106"/>
    </row>
    <row r="851">
      <c r="C851" s="79"/>
      <c r="D851" s="79"/>
      <c r="J851" s="79"/>
      <c r="O851" s="79"/>
      <c r="P851" s="79"/>
      <c r="S851" s="79"/>
      <c r="T851" s="79"/>
      <c r="W851" s="130"/>
      <c r="Y851" s="106"/>
    </row>
    <row r="852">
      <c r="C852" s="79"/>
      <c r="D852" s="79"/>
      <c r="J852" s="79"/>
      <c r="O852" s="79"/>
      <c r="P852" s="79"/>
      <c r="S852" s="79"/>
      <c r="T852" s="79"/>
      <c r="W852" s="130"/>
      <c r="Y852" s="106"/>
    </row>
    <row r="853">
      <c r="C853" s="79"/>
      <c r="D853" s="79"/>
      <c r="J853" s="79"/>
      <c r="O853" s="79"/>
      <c r="P853" s="79"/>
      <c r="S853" s="79"/>
      <c r="T853" s="79"/>
      <c r="W853" s="130"/>
      <c r="Y853" s="106"/>
    </row>
    <row r="854">
      <c r="C854" s="79"/>
      <c r="D854" s="79"/>
      <c r="J854" s="79"/>
      <c r="O854" s="79"/>
      <c r="P854" s="79"/>
      <c r="S854" s="79"/>
      <c r="T854" s="79"/>
      <c r="W854" s="130"/>
      <c r="Y854" s="106"/>
    </row>
    <row r="855">
      <c r="C855" s="79"/>
      <c r="D855" s="79"/>
      <c r="J855" s="79"/>
      <c r="O855" s="79"/>
      <c r="P855" s="79"/>
      <c r="S855" s="79"/>
      <c r="T855" s="79"/>
      <c r="W855" s="130"/>
      <c r="Y855" s="106"/>
    </row>
    <row r="856">
      <c r="C856" s="79"/>
      <c r="D856" s="79"/>
      <c r="J856" s="79"/>
      <c r="O856" s="79"/>
      <c r="P856" s="79"/>
      <c r="S856" s="79"/>
      <c r="T856" s="79"/>
      <c r="W856" s="130"/>
      <c r="Y856" s="106"/>
    </row>
    <row r="857">
      <c r="C857" s="79"/>
      <c r="D857" s="79"/>
      <c r="J857" s="79"/>
      <c r="O857" s="79"/>
      <c r="P857" s="79"/>
      <c r="S857" s="79"/>
      <c r="T857" s="79"/>
      <c r="W857" s="130"/>
      <c r="Y857" s="106"/>
    </row>
    <row r="858">
      <c r="C858" s="79"/>
      <c r="D858" s="79"/>
      <c r="J858" s="79"/>
      <c r="O858" s="79"/>
      <c r="P858" s="79"/>
      <c r="S858" s="79"/>
      <c r="T858" s="79"/>
      <c r="W858" s="130"/>
      <c r="Y858" s="106"/>
    </row>
    <row r="859">
      <c r="C859" s="79"/>
      <c r="D859" s="79"/>
      <c r="J859" s="79"/>
      <c r="O859" s="79"/>
      <c r="P859" s="79"/>
      <c r="S859" s="79"/>
      <c r="T859" s="79"/>
      <c r="W859" s="130"/>
      <c r="Y859" s="106"/>
    </row>
    <row r="860">
      <c r="C860" s="79"/>
      <c r="D860" s="79"/>
      <c r="J860" s="79"/>
      <c r="O860" s="79"/>
      <c r="P860" s="79"/>
      <c r="S860" s="79"/>
      <c r="T860" s="79"/>
      <c r="W860" s="130"/>
      <c r="Y860" s="106"/>
    </row>
    <row r="861">
      <c r="C861" s="79"/>
      <c r="D861" s="79"/>
      <c r="J861" s="79"/>
      <c r="O861" s="79"/>
      <c r="P861" s="79"/>
      <c r="S861" s="79"/>
      <c r="T861" s="79"/>
      <c r="W861" s="130"/>
      <c r="Y861" s="106"/>
    </row>
    <row r="862">
      <c r="C862" s="79"/>
      <c r="D862" s="79"/>
      <c r="J862" s="79"/>
      <c r="O862" s="79"/>
      <c r="P862" s="79"/>
      <c r="S862" s="79"/>
      <c r="T862" s="79"/>
      <c r="W862" s="130"/>
      <c r="Y862" s="106"/>
    </row>
    <row r="863">
      <c r="C863" s="79"/>
      <c r="D863" s="79"/>
      <c r="J863" s="79"/>
      <c r="O863" s="79"/>
      <c r="P863" s="79"/>
      <c r="S863" s="79"/>
      <c r="T863" s="79"/>
      <c r="W863" s="130"/>
      <c r="Y863" s="106"/>
    </row>
    <row r="864">
      <c r="C864" s="79"/>
      <c r="D864" s="79"/>
      <c r="J864" s="79"/>
      <c r="O864" s="79"/>
      <c r="P864" s="79"/>
      <c r="S864" s="79"/>
      <c r="T864" s="79"/>
      <c r="W864" s="130"/>
      <c r="Y864" s="106"/>
    </row>
    <row r="865">
      <c r="C865" s="79"/>
      <c r="D865" s="79"/>
      <c r="J865" s="79"/>
      <c r="O865" s="79"/>
      <c r="P865" s="79"/>
      <c r="S865" s="79"/>
      <c r="T865" s="79"/>
      <c r="W865" s="130"/>
      <c r="Y865" s="106"/>
    </row>
    <row r="866">
      <c r="C866" s="79"/>
      <c r="D866" s="79"/>
      <c r="J866" s="79"/>
      <c r="O866" s="79"/>
      <c r="P866" s="79"/>
      <c r="S866" s="79"/>
      <c r="T866" s="79"/>
      <c r="W866" s="130"/>
      <c r="Y866" s="106"/>
    </row>
    <row r="867">
      <c r="C867" s="79"/>
      <c r="D867" s="79"/>
      <c r="J867" s="79"/>
      <c r="O867" s="79"/>
      <c r="P867" s="79"/>
      <c r="S867" s="79"/>
      <c r="T867" s="79"/>
      <c r="W867" s="130"/>
      <c r="Y867" s="106"/>
    </row>
    <row r="868">
      <c r="C868" s="79"/>
      <c r="D868" s="79"/>
      <c r="J868" s="79"/>
      <c r="O868" s="79"/>
      <c r="P868" s="79"/>
      <c r="S868" s="79"/>
      <c r="T868" s="79"/>
      <c r="W868" s="130"/>
      <c r="Y868" s="106"/>
    </row>
    <row r="869">
      <c r="C869" s="79"/>
      <c r="D869" s="79"/>
      <c r="J869" s="79"/>
      <c r="O869" s="79"/>
      <c r="P869" s="79"/>
      <c r="S869" s="79"/>
      <c r="T869" s="79"/>
      <c r="W869" s="130"/>
      <c r="Y869" s="106"/>
    </row>
    <row r="870">
      <c r="C870" s="79"/>
      <c r="D870" s="79"/>
      <c r="J870" s="79"/>
      <c r="O870" s="79"/>
      <c r="P870" s="79"/>
      <c r="S870" s="79"/>
      <c r="T870" s="79"/>
      <c r="W870" s="130"/>
      <c r="Y870" s="106"/>
    </row>
    <row r="871">
      <c r="C871" s="79"/>
      <c r="D871" s="79"/>
      <c r="J871" s="79"/>
      <c r="O871" s="79"/>
      <c r="P871" s="79"/>
      <c r="S871" s="79"/>
      <c r="T871" s="79"/>
      <c r="W871" s="130"/>
      <c r="Y871" s="106"/>
    </row>
    <row r="872">
      <c r="C872" s="79"/>
      <c r="D872" s="79"/>
      <c r="J872" s="79"/>
      <c r="O872" s="79"/>
      <c r="P872" s="79"/>
      <c r="S872" s="79"/>
      <c r="T872" s="79"/>
      <c r="W872" s="130"/>
      <c r="Y872" s="106"/>
    </row>
    <row r="873">
      <c r="C873" s="79"/>
      <c r="D873" s="79"/>
      <c r="J873" s="79"/>
      <c r="O873" s="79"/>
      <c r="P873" s="79"/>
      <c r="S873" s="79"/>
      <c r="T873" s="79"/>
      <c r="W873" s="130"/>
      <c r="Y873" s="106"/>
    </row>
    <row r="874">
      <c r="C874" s="79"/>
      <c r="D874" s="79"/>
      <c r="J874" s="79"/>
      <c r="O874" s="79"/>
      <c r="P874" s="79"/>
      <c r="S874" s="79"/>
      <c r="T874" s="79"/>
      <c r="W874" s="130"/>
      <c r="Y874" s="106"/>
    </row>
    <row r="875">
      <c r="C875" s="79"/>
      <c r="D875" s="79"/>
      <c r="J875" s="79"/>
      <c r="O875" s="79"/>
      <c r="P875" s="79"/>
      <c r="S875" s="79"/>
      <c r="T875" s="79"/>
      <c r="W875" s="130"/>
      <c r="Y875" s="106"/>
    </row>
    <row r="876">
      <c r="C876" s="79"/>
      <c r="D876" s="79"/>
      <c r="J876" s="79"/>
      <c r="O876" s="79"/>
      <c r="P876" s="79"/>
      <c r="S876" s="79"/>
      <c r="T876" s="79"/>
      <c r="W876" s="130"/>
      <c r="Y876" s="106"/>
    </row>
    <row r="877">
      <c r="C877" s="79"/>
      <c r="D877" s="79"/>
      <c r="J877" s="79"/>
      <c r="O877" s="79"/>
      <c r="P877" s="79"/>
      <c r="S877" s="79"/>
      <c r="T877" s="79"/>
      <c r="W877" s="130"/>
      <c r="Y877" s="106"/>
    </row>
    <row r="878">
      <c r="C878" s="79"/>
      <c r="D878" s="79"/>
      <c r="J878" s="79"/>
      <c r="O878" s="79"/>
      <c r="P878" s="79"/>
      <c r="S878" s="79"/>
      <c r="T878" s="79"/>
      <c r="W878" s="130"/>
      <c r="Y878" s="106"/>
    </row>
    <row r="879">
      <c r="C879" s="79"/>
      <c r="D879" s="79"/>
      <c r="J879" s="79"/>
      <c r="O879" s="79"/>
      <c r="P879" s="79"/>
      <c r="S879" s="79"/>
      <c r="T879" s="79"/>
      <c r="W879" s="130"/>
      <c r="Y879" s="106"/>
    </row>
    <row r="880">
      <c r="C880" s="79"/>
      <c r="D880" s="79"/>
      <c r="J880" s="79"/>
      <c r="O880" s="79"/>
      <c r="P880" s="79"/>
      <c r="S880" s="79"/>
      <c r="T880" s="79"/>
      <c r="W880" s="130"/>
      <c r="Y880" s="106"/>
    </row>
    <row r="881">
      <c r="C881" s="79"/>
      <c r="D881" s="79"/>
      <c r="J881" s="79"/>
      <c r="O881" s="79"/>
      <c r="P881" s="79"/>
      <c r="S881" s="79"/>
      <c r="T881" s="79"/>
      <c r="W881" s="130"/>
      <c r="Y881" s="106"/>
    </row>
    <row r="882">
      <c r="C882" s="79"/>
      <c r="D882" s="79"/>
      <c r="J882" s="79"/>
      <c r="O882" s="79"/>
      <c r="P882" s="79"/>
      <c r="S882" s="79"/>
      <c r="T882" s="79"/>
      <c r="W882" s="130"/>
      <c r="Y882" s="106"/>
    </row>
    <row r="883">
      <c r="C883" s="79"/>
      <c r="D883" s="79"/>
      <c r="J883" s="79"/>
      <c r="O883" s="79"/>
      <c r="P883" s="79"/>
      <c r="S883" s="79"/>
      <c r="T883" s="79"/>
      <c r="W883" s="130"/>
      <c r="Y883" s="106"/>
    </row>
    <row r="884">
      <c r="C884" s="79"/>
      <c r="D884" s="79"/>
      <c r="J884" s="79"/>
      <c r="O884" s="79"/>
      <c r="P884" s="79"/>
      <c r="S884" s="79"/>
      <c r="T884" s="79"/>
      <c r="W884" s="130"/>
      <c r="Y884" s="106"/>
    </row>
    <row r="885">
      <c r="C885" s="79"/>
      <c r="D885" s="79"/>
      <c r="J885" s="79"/>
      <c r="O885" s="79"/>
      <c r="P885" s="79"/>
      <c r="S885" s="79"/>
      <c r="T885" s="79"/>
      <c r="W885" s="130"/>
      <c r="Y885" s="106"/>
    </row>
    <row r="886">
      <c r="C886" s="79"/>
      <c r="D886" s="79"/>
      <c r="J886" s="79"/>
      <c r="O886" s="79"/>
      <c r="P886" s="79"/>
      <c r="S886" s="79"/>
      <c r="T886" s="79"/>
      <c r="W886" s="130"/>
      <c r="Y886" s="106"/>
    </row>
    <row r="887">
      <c r="C887" s="79"/>
      <c r="D887" s="79"/>
      <c r="J887" s="79"/>
      <c r="O887" s="79"/>
      <c r="P887" s="79"/>
      <c r="S887" s="79"/>
      <c r="T887" s="79"/>
      <c r="W887" s="130"/>
      <c r="Y887" s="106"/>
    </row>
    <row r="888">
      <c r="C888" s="79"/>
      <c r="D888" s="79"/>
      <c r="J888" s="79"/>
      <c r="O888" s="79"/>
      <c r="P888" s="79"/>
      <c r="S888" s="79"/>
      <c r="T888" s="79"/>
      <c r="W888" s="130"/>
      <c r="Y888" s="106"/>
    </row>
    <row r="889">
      <c r="C889" s="79"/>
      <c r="D889" s="79"/>
      <c r="J889" s="79"/>
      <c r="O889" s="79"/>
      <c r="P889" s="79"/>
      <c r="S889" s="79"/>
      <c r="T889" s="79"/>
      <c r="W889" s="130"/>
      <c r="Y889" s="106"/>
    </row>
    <row r="890">
      <c r="C890" s="79"/>
      <c r="D890" s="79"/>
      <c r="J890" s="79"/>
      <c r="O890" s="79"/>
      <c r="P890" s="79"/>
      <c r="S890" s="79"/>
      <c r="T890" s="79"/>
      <c r="W890" s="130"/>
      <c r="Y890" s="106"/>
    </row>
    <row r="891">
      <c r="C891" s="79"/>
      <c r="D891" s="79"/>
      <c r="J891" s="79"/>
      <c r="O891" s="79"/>
      <c r="P891" s="79"/>
      <c r="S891" s="79"/>
      <c r="T891" s="79"/>
      <c r="W891" s="130"/>
      <c r="Y891" s="106"/>
    </row>
    <row r="892">
      <c r="C892" s="79"/>
      <c r="D892" s="79"/>
      <c r="J892" s="79"/>
      <c r="O892" s="79"/>
      <c r="P892" s="79"/>
      <c r="S892" s="79"/>
      <c r="T892" s="79"/>
      <c r="W892" s="130"/>
      <c r="Y892" s="106"/>
    </row>
    <row r="893">
      <c r="C893" s="79"/>
      <c r="D893" s="79"/>
      <c r="J893" s="79"/>
      <c r="O893" s="79"/>
      <c r="P893" s="79"/>
      <c r="S893" s="79"/>
      <c r="T893" s="79"/>
      <c r="W893" s="130"/>
      <c r="Y893" s="106"/>
    </row>
    <row r="894">
      <c r="C894" s="79"/>
      <c r="D894" s="79"/>
      <c r="J894" s="79"/>
      <c r="O894" s="79"/>
      <c r="P894" s="79"/>
      <c r="S894" s="79"/>
      <c r="T894" s="79"/>
      <c r="W894" s="130"/>
      <c r="Y894" s="106"/>
    </row>
    <row r="895">
      <c r="C895" s="79"/>
      <c r="D895" s="79"/>
      <c r="J895" s="79"/>
      <c r="O895" s="79"/>
      <c r="P895" s="79"/>
      <c r="S895" s="79"/>
      <c r="T895" s="79"/>
      <c r="W895" s="130"/>
      <c r="Y895" s="106"/>
    </row>
    <row r="896">
      <c r="C896" s="79"/>
      <c r="D896" s="79"/>
      <c r="J896" s="79"/>
      <c r="O896" s="79"/>
      <c r="P896" s="79"/>
      <c r="S896" s="79"/>
      <c r="T896" s="79"/>
      <c r="W896" s="130"/>
      <c r="Y896" s="106"/>
    </row>
    <row r="897">
      <c r="C897" s="79"/>
      <c r="D897" s="79"/>
      <c r="J897" s="79"/>
      <c r="O897" s="79"/>
      <c r="P897" s="79"/>
      <c r="S897" s="79"/>
      <c r="T897" s="79"/>
      <c r="W897" s="130"/>
      <c r="Y897" s="106"/>
    </row>
    <row r="898">
      <c r="C898" s="79"/>
      <c r="D898" s="79"/>
      <c r="J898" s="79"/>
      <c r="O898" s="79"/>
      <c r="P898" s="79"/>
      <c r="S898" s="79"/>
      <c r="T898" s="79"/>
      <c r="W898" s="130"/>
      <c r="Y898" s="106"/>
    </row>
    <row r="899">
      <c r="C899" s="79"/>
      <c r="D899" s="79"/>
      <c r="J899" s="79"/>
      <c r="O899" s="79"/>
      <c r="P899" s="79"/>
      <c r="S899" s="79"/>
      <c r="T899" s="79"/>
      <c r="W899" s="130"/>
      <c r="Y899" s="106"/>
    </row>
    <row r="900">
      <c r="C900" s="79"/>
      <c r="D900" s="79"/>
      <c r="J900" s="79"/>
      <c r="O900" s="79"/>
      <c r="P900" s="79"/>
      <c r="S900" s="79"/>
      <c r="T900" s="79"/>
      <c r="W900" s="130"/>
      <c r="Y900" s="106"/>
    </row>
    <row r="901">
      <c r="C901" s="79"/>
      <c r="D901" s="79"/>
      <c r="J901" s="79"/>
      <c r="O901" s="79"/>
      <c r="P901" s="79"/>
      <c r="S901" s="79"/>
      <c r="T901" s="79"/>
      <c r="W901" s="130"/>
      <c r="Y901" s="106"/>
    </row>
    <row r="902">
      <c r="C902" s="79"/>
      <c r="D902" s="79"/>
      <c r="J902" s="79"/>
      <c r="O902" s="79"/>
      <c r="P902" s="79"/>
      <c r="S902" s="79"/>
      <c r="T902" s="79"/>
      <c r="W902" s="130"/>
      <c r="Y902" s="106"/>
    </row>
    <row r="903">
      <c r="C903" s="79"/>
      <c r="D903" s="79"/>
      <c r="J903" s="79"/>
      <c r="O903" s="79"/>
      <c r="P903" s="79"/>
      <c r="S903" s="79"/>
      <c r="T903" s="79"/>
      <c r="W903" s="130"/>
      <c r="Y903" s="106"/>
    </row>
    <row r="904">
      <c r="C904" s="79"/>
      <c r="D904" s="79"/>
      <c r="J904" s="79"/>
      <c r="O904" s="79"/>
      <c r="P904" s="79"/>
      <c r="S904" s="79"/>
      <c r="T904" s="79"/>
      <c r="W904" s="130"/>
      <c r="Y904" s="106"/>
    </row>
    <row r="905">
      <c r="C905" s="79"/>
      <c r="D905" s="79"/>
      <c r="J905" s="79"/>
      <c r="O905" s="79"/>
      <c r="P905" s="79"/>
      <c r="S905" s="79"/>
      <c r="T905" s="79"/>
      <c r="W905" s="130"/>
      <c r="Y905" s="106"/>
    </row>
    <row r="906">
      <c r="C906" s="79"/>
      <c r="D906" s="79"/>
      <c r="J906" s="79"/>
      <c r="O906" s="79"/>
      <c r="P906" s="79"/>
      <c r="S906" s="79"/>
      <c r="T906" s="79"/>
      <c r="W906" s="130"/>
      <c r="Y906" s="106"/>
    </row>
    <row r="907">
      <c r="C907" s="79"/>
      <c r="D907" s="79"/>
      <c r="J907" s="79"/>
      <c r="O907" s="79"/>
      <c r="P907" s="79"/>
      <c r="S907" s="79"/>
      <c r="T907" s="79"/>
      <c r="W907" s="130"/>
      <c r="Y907" s="106"/>
    </row>
    <row r="908">
      <c r="C908" s="79"/>
      <c r="D908" s="79"/>
      <c r="J908" s="79"/>
      <c r="O908" s="79"/>
      <c r="P908" s="79"/>
      <c r="S908" s="79"/>
      <c r="T908" s="79"/>
      <c r="W908" s="130"/>
      <c r="Y908" s="106"/>
    </row>
    <row r="909">
      <c r="C909" s="79"/>
      <c r="D909" s="79"/>
      <c r="J909" s="79"/>
      <c r="O909" s="79"/>
      <c r="P909" s="79"/>
      <c r="S909" s="79"/>
      <c r="T909" s="79"/>
      <c r="W909" s="130"/>
      <c r="Y909" s="106"/>
    </row>
    <row r="910">
      <c r="C910" s="79"/>
      <c r="D910" s="79"/>
      <c r="J910" s="79"/>
      <c r="O910" s="79"/>
      <c r="P910" s="79"/>
      <c r="S910" s="79"/>
      <c r="T910" s="79"/>
      <c r="W910" s="130"/>
      <c r="Y910" s="106"/>
    </row>
    <row r="911">
      <c r="C911" s="79"/>
      <c r="D911" s="79"/>
      <c r="J911" s="79"/>
      <c r="O911" s="79"/>
      <c r="P911" s="79"/>
      <c r="S911" s="79"/>
      <c r="T911" s="79"/>
      <c r="W911" s="130"/>
      <c r="Y911" s="106"/>
    </row>
    <row r="912">
      <c r="C912" s="79"/>
      <c r="D912" s="79"/>
      <c r="J912" s="79"/>
      <c r="O912" s="79"/>
      <c r="P912" s="79"/>
      <c r="S912" s="79"/>
      <c r="T912" s="79"/>
      <c r="W912" s="130"/>
      <c r="Y912" s="106"/>
    </row>
    <row r="913">
      <c r="C913" s="79"/>
      <c r="D913" s="79"/>
      <c r="J913" s="79"/>
      <c r="O913" s="79"/>
      <c r="P913" s="79"/>
      <c r="S913" s="79"/>
      <c r="T913" s="79"/>
      <c r="W913" s="130"/>
      <c r="Y913" s="106"/>
    </row>
    <row r="914">
      <c r="C914" s="79"/>
      <c r="D914" s="79"/>
      <c r="J914" s="79"/>
      <c r="O914" s="79"/>
      <c r="P914" s="79"/>
      <c r="S914" s="79"/>
      <c r="T914" s="79"/>
      <c r="W914" s="130"/>
      <c r="Y914" s="106"/>
    </row>
    <row r="915">
      <c r="C915" s="79"/>
      <c r="D915" s="79"/>
      <c r="J915" s="79"/>
      <c r="O915" s="79"/>
      <c r="P915" s="79"/>
      <c r="S915" s="79"/>
      <c r="T915" s="79"/>
      <c r="W915" s="130"/>
      <c r="Y915" s="106"/>
    </row>
    <row r="916">
      <c r="C916" s="79"/>
      <c r="D916" s="79"/>
      <c r="J916" s="79"/>
      <c r="O916" s="79"/>
      <c r="P916" s="79"/>
      <c r="S916" s="79"/>
      <c r="T916" s="79"/>
      <c r="W916" s="130"/>
      <c r="Y916" s="106"/>
    </row>
    <row r="917">
      <c r="C917" s="79"/>
      <c r="D917" s="79"/>
      <c r="J917" s="79"/>
      <c r="O917" s="79"/>
      <c r="P917" s="79"/>
      <c r="S917" s="79"/>
      <c r="T917" s="79"/>
      <c r="W917" s="130"/>
      <c r="Y917" s="106"/>
    </row>
    <row r="918">
      <c r="C918" s="79"/>
      <c r="D918" s="79"/>
      <c r="J918" s="79"/>
      <c r="O918" s="79"/>
      <c r="P918" s="79"/>
      <c r="S918" s="79"/>
      <c r="T918" s="79"/>
      <c r="W918" s="130"/>
      <c r="Y918" s="106"/>
    </row>
    <row r="919">
      <c r="C919" s="79"/>
      <c r="D919" s="79"/>
      <c r="J919" s="79"/>
      <c r="O919" s="79"/>
      <c r="P919" s="79"/>
      <c r="S919" s="79"/>
      <c r="T919" s="79"/>
      <c r="W919" s="130"/>
      <c r="Y919" s="106"/>
    </row>
    <row r="920">
      <c r="C920" s="79"/>
      <c r="D920" s="79"/>
      <c r="J920" s="79"/>
      <c r="O920" s="79"/>
      <c r="P920" s="79"/>
      <c r="S920" s="79"/>
      <c r="T920" s="79"/>
      <c r="W920" s="130"/>
      <c r="Y920" s="106"/>
    </row>
    <row r="921">
      <c r="C921" s="79"/>
      <c r="D921" s="79"/>
      <c r="J921" s="79"/>
      <c r="O921" s="79"/>
      <c r="P921" s="79"/>
      <c r="S921" s="79"/>
      <c r="T921" s="79"/>
      <c r="W921" s="130"/>
      <c r="Y921" s="106"/>
    </row>
    <row r="922">
      <c r="C922" s="79"/>
      <c r="D922" s="79"/>
      <c r="J922" s="79"/>
      <c r="O922" s="79"/>
      <c r="P922" s="79"/>
      <c r="S922" s="79"/>
      <c r="T922" s="79"/>
      <c r="W922" s="130"/>
      <c r="Y922" s="106"/>
    </row>
    <row r="923">
      <c r="C923" s="79"/>
      <c r="D923" s="79"/>
      <c r="J923" s="79"/>
      <c r="O923" s="79"/>
      <c r="P923" s="79"/>
      <c r="S923" s="79"/>
      <c r="T923" s="79"/>
      <c r="W923" s="130"/>
      <c r="Y923" s="106"/>
    </row>
    <row r="924">
      <c r="C924" s="79"/>
      <c r="D924" s="79"/>
      <c r="J924" s="79"/>
      <c r="O924" s="79"/>
      <c r="P924" s="79"/>
      <c r="S924" s="79"/>
      <c r="T924" s="79"/>
      <c r="W924" s="130"/>
      <c r="Y924" s="106"/>
    </row>
    <row r="925">
      <c r="C925" s="79"/>
      <c r="D925" s="79"/>
      <c r="J925" s="79"/>
      <c r="O925" s="79"/>
      <c r="P925" s="79"/>
      <c r="S925" s="79"/>
      <c r="T925" s="79"/>
      <c r="W925" s="130"/>
      <c r="Y925" s="106"/>
    </row>
    <row r="926">
      <c r="C926" s="79"/>
      <c r="D926" s="79"/>
      <c r="J926" s="79"/>
      <c r="O926" s="79"/>
      <c r="P926" s="79"/>
      <c r="S926" s="79"/>
      <c r="T926" s="79"/>
      <c r="W926" s="130"/>
      <c r="Y926" s="106"/>
    </row>
    <row r="927">
      <c r="C927" s="79"/>
      <c r="D927" s="79"/>
      <c r="J927" s="79"/>
      <c r="O927" s="79"/>
      <c r="P927" s="79"/>
      <c r="S927" s="79"/>
      <c r="T927" s="79"/>
      <c r="W927" s="130"/>
      <c r="Y927" s="106"/>
    </row>
    <row r="928">
      <c r="C928" s="79"/>
      <c r="D928" s="79"/>
      <c r="J928" s="79"/>
      <c r="O928" s="79"/>
      <c r="P928" s="79"/>
      <c r="S928" s="79"/>
      <c r="T928" s="79"/>
      <c r="W928" s="130"/>
      <c r="Y928" s="106"/>
    </row>
    <row r="929">
      <c r="C929" s="79"/>
      <c r="D929" s="79"/>
      <c r="J929" s="79"/>
      <c r="O929" s="79"/>
      <c r="P929" s="79"/>
      <c r="S929" s="79"/>
      <c r="T929" s="79"/>
      <c r="W929" s="130"/>
      <c r="Y929" s="106"/>
    </row>
    <row r="930">
      <c r="C930" s="79"/>
      <c r="D930" s="79"/>
      <c r="J930" s="79"/>
      <c r="O930" s="79"/>
      <c r="P930" s="79"/>
      <c r="S930" s="79"/>
      <c r="T930" s="79"/>
      <c r="W930" s="130"/>
      <c r="Y930" s="106"/>
    </row>
    <row r="931">
      <c r="C931" s="79"/>
      <c r="D931" s="79"/>
      <c r="J931" s="79"/>
      <c r="O931" s="79"/>
      <c r="P931" s="79"/>
      <c r="S931" s="79"/>
      <c r="T931" s="79"/>
      <c r="W931" s="130"/>
      <c r="Y931" s="106"/>
    </row>
    <row r="932">
      <c r="C932" s="79"/>
      <c r="D932" s="79"/>
      <c r="J932" s="79"/>
      <c r="O932" s="79"/>
      <c r="P932" s="79"/>
      <c r="S932" s="79"/>
      <c r="T932" s="79"/>
      <c r="W932" s="130"/>
      <c r="Y932" s="106"/>
    </row>
    <row r="933">
      <c r="C933" s="79"/>
      <c r="D933" s="79"/>
      <c r="J933" s="79"/>
      <c r="O933" s="79"/>
      <c r="P933" s="79"/>
      <c r="S933" s="79"/>
      <c r="T933" s="79"/>
      <c r="W933" s="130"/>
      <c r="Y933" s="106"/>
    </row>
    <row r="934">
      <c r="C934" s="79"/>
      <c r="D934" s="79"/>
      <c r="J934" s="79"/>
      <c r="O934" s="79"/>
      <c r="P934" s="79"/>
      <c r="S934" s="79"/>
      <c r="T934" s="79"/>
      <c r="W934" s="130"/>
      <c r="Y934" s="106"/>
    </row>
    <row r="935">
      <c r="C935" s="79"/>
      <c r="D935" s="79"/>
      <c r="J935" s="79"/>
      <c r="O935" s="79"/>
      <c r="P935" s="79"/>
      <c r="S935" s="79"/>
      <c r="T935" s="79"/>
      <c r="W935" s="130"/>
      <c r="Y935" s="106"/>
    </row>
    <row r="936">
      <c r="C936" s="79"/>
      <c r="D936" s="79"/>
      <c r="J936" s="79"/>
      <c r="O936" s="79"/>
      <c r="P936" s="79"/>
      <c r="S936" s="79"/>
      <c r="T936" s="79"/>
      <c r="W936" s="130"/>
      <c r="Y936" s="106"/>
    </row>
    <row r="937">
      <c r="C937" s="79"/>
      <c r="D937" s="79"/>
      <c r="J937" s="79"/>
      <c r="O937" s="79"/>
      <c r="P937" s="79"/>
      <c r="S937" s="79"/>
      <c r="T937" s="79"/>
      <c r="W937" s="130"/>
      <c r="Y937" s="106"/>
    </row>
    <row r="938">
      <c r="C938" s="79"/>
      <c r="D938" s="79"/>
      <c r="J938" s="79"/>
      <c r="O938" s="79"/>
      <c r="P938" s="79"/>
      <c r="S938" s="79"/>
      <c r="T938" s="79"/>
      <c r="W938" s="130"/>
      <c r="Y938" s="106"/>
    </row>
    <row r="939">
      <c r="C939" s="79"/>
      <c r="D939" s="79"/>
      <c r="J939" s="79"/>
      <c r="O939" s="79"/>
      <c r="P939" s="79"/>
      <c r="S939" s="79"/>
      <c r="T939" s="79"/>
      <c r="W939" s="130"/>
      <c r="Y939" s="106"/>
    </row>
    <row r="940">
      <c r="C940" s="79"/>
      <c r="D940" s="79"/>
      <c r="J940" s="79"/>
      <c r="O940" s="79"/>
      <c r="P940" s="79"/>
      <c r="S940" s="79"/>
      <c r="T940" s="79"/>
      <c r="W940" s="130"/>
      <c r="Y940" s="106"/>
    </row>
    <row r="941">
      <c r="C941" s="79"/>
      <c r="D941" s="79"/>
      <c r="J941" s="79"/>
      <c r="O941" s="79"/>
      <c r="P941" s="79"/>
      <c r="S941" s="79"/>
      <c r="T941" s="79"/>
      <c r="W941" s="130"/>
      <c r="Y941" s="106"/>
    </row>
    <row r="942">
      <c r="C942" s="79"/>
      <c r="D942" s="79"/>
      <c r="J942" s="79"/>
      <c r="O942" s="79"/>
      <c r="P942" s="79"/>
      <c r="S942" s="79"/>
      <c r="T942" s="79"/>
      <c r="W942" s="130"/>
      <c r="Y942" s="106"/>
    </row>
    <row r="943">
      <c r="C943" s="79"/>
      <c r="D943" s="79"/>
      <c r="J943" s="79"/>
      <c r="O943" s="79"/>
      <c r="P943" s="79"/>
      <c r="S943" s="79"/>
      <c r="T943" s="79"/>
      <c r="W943" s="130"/>
      <c r="Y943" s="106"/>
    </row>
    <row r="944">
      <c r="C944" s="79"/>
      <c r="D944" s="79"/>
      <c r="J944" s="79"/>
      <c r="O944" s="79"/>
      <c r="P944" s="79"/>
      <c r="S944" s="79"/>
      <c r="T944" s="79"/>
      <c r="W944" s="130"/>
      <c r="Y944" s="106"/>
    </row>
    <row r="945">
      <c r="C945" s="79"/>
      <c r="D945" s="79"/>
      <c r="J945" s="79"/>
      <c r="O945" s="79"/>
      <c r="P945" s="79"/>
      <c r="S945" s="79"/>
      <c r="T945" s="79"/>
      <c r="W945" s="130"/>
      <c r="Y945" s="106"/>
    </row>
    <row r="946">
      <c r="C946" s="79"/>
      <c r="D946" s="79"/>
      <c r="J946" s="79"/>
      <c r="O946" s="79"/>
      <c r="P946" s="79"/>
      <c r="S946" s="79"/>
      <c r="T946" s="79"/>
      <c r="W946" s="130"/>
      <c r="Y946" s="106"/>
    </row>
    <row r="947">
      <c r="C947" s="79"/>
      <c r="D947" s="79"/>
      <c r="J947" s="79"/>
      <c r="O947" s="79"/>
      <c r="P947" s="79"/>
      <c r="S947" s="79"/>
      <c r="T947" s="79"/>
      <c r="W947" s="130"/>
      <c r="Y947" s="106"/>
    </row>
    <row r="948">
      <c r="C948" s="79"/>
      <c r="D948" s="79"/>
      <c r="J948" s="79"/>
      <c r="O948" s="79"/>
      <c r="P948" s="79"/>
      <c r="S948" s="79"/>
      <c r="T948" s="79"/>
      <c r="W948" s="130"/>
      <c r="Y948" s="106"/>
    </row>
    <row r="949">
      <c r="C949" s="79"/>
      <c r="D949" s="79"/>
      <c r="J949" s="79"/>
      <c r="O949" s="79"/>
      <c r="P949" s="79"/>
      <c r="S949" s="79"/>
      <c r="T949" s="79"/>
      <c r="W949" s="130"/>
      <c r="Y949" s="106"/>
    </row>
    <row r="950">
      <c r="C950" s="79"/>
      <c r="D950" s="79"/>
      <c r="J950" s="79"/>
      <c r="O950" s="79"/>
      <c r="P950" s="79"/>
      <c r="S950" s="79"/>
      <c r="T950" s="79"/>
      <c r="W950" s="130"/>
      <c r="Y950" s="106"/>
    </row>
    <row r="951">
      <c r="C951" s="79"/>
      <c r="D951" s="79"/>
      <c r="J951" s="79"/>
      <c r="O951" s="79"/>
      <c r="P951" s="79"/>
      <c r="S951" s="79"/>
      <c r="T951" s="79"/>
      <c r="W951" s="130"/>
      <c r="Y951" s="106"/>
    </row>
    <row r="952">
      <c r="C952" s="79"/>
      <c r="D952" s="79"/>
      <c r="J952" s="79"/>
      <c r="O952" s="79"/>
      <c r="P952" s="79"/>
      <c r="S952" s="79"/>
      <c r="T952" s="79"/>
      <c r="W952" s="130"/>
      <c r="Y952" s="106"/>
    </row>
    <row r="953">
      <c r="C953" s="79"/>
      <c r="D953" s="79"/>
      <c r="J953" s="79"/>
      <c r="O953" s="79"/>
      <c r="P953" s="79"/>
      <c r="S953" s="79"/>
      <c r="T953" s="79"/>
      <c r="W953" s="130"/>
      <c r="Y953" s="106"/>
    </row>
    <row r="954">
      <c r="C954" s="79"/>
      <c r="D954" s="79"/>
      <c r="J954" s="79"/>
      <c r="O954" s="79"/>
      <c r="P954" s="79"/>
      <c r="S954" s="79"/>
      <c r="T954" s="79"/>
      <c r="W954" s="130"/>
      <c r="Y954" s="106"/>
    </row>
    <row r="955">
      <c r="C955" s="79"/>
      <c r="D955" s="79"/>
      <c r="J955" s="79"/>
      <c r="O955" s="79"/>
      <c r="P955" s="79"/>
      <c r="S955" s="79"/>
      <c r="T955" s="79"/>
      <c r="W955" s="130"/>
      <c r="Y955" s="106"/>
    </row>
    <row r="956">
      <c r="C956" s="79"/>
      <c r="D956" s="79"/>
      <c r="J956" s="79"/>
      <c r="O956" s="79"/>
      <c r="P956" s="79"/>
      <c r="S956" s="79"/>
      <c r="T956" s="79"/>
      <c r="W956" s="130"/>
      <c r="Y956" s="106"/>
    </row>
    <row r="957">
      <c r="C957" s="79"/>
      <c r="D957" s="79"/>
      <c r="J957" s="79"/>
      <c r="O957" s="79"/>
      <c r="P957" s="79"/>
      <c r="S957" s="79"/>
      <c r="T957" s="79"/>
      <c r="W957" s="130"/>
      <c r="Y957" s="106"/>
    </row>
    <row r="958">
      <c r="C958" s="79"/>
      <c r="D958" s="79"/>
      <c r="J958" s="79"/>
      <c r="O958" s="79"/>
      <c r="P958" s="79"/>
      <c r="S958" s="79"/>
      <c r="T958" s="79"/>
      <c r="W958" s="130"/>
      <c r="Y958" s="106"/>
    </row>
    <row r="959">
      <c r="C959" s="79"/>
      <c r="D959" s="79"/>
      <c r="J959" s="79"/>
      <c r="O959" s="79"/>
      <c r="P959" s="79"/>
      <c r="S959" s="79"/>
      <c r="T959" s="79"/>
      <c r="W959" s="130"/>
      <c r="Y959" s="106"/>
    </row>
    <row r="960">
      <c r="C960" s="79"/>
      <c r="D960" s="79"/>
      <c r="J960" s="79"/>
      <c r="O960" s="79"/>
      <c r="P960" s="79"/>
      <c r="S960" s="79"/>
      <c r="T960" s="79"/>
      <c r="W960" s="130"/>
      <c r="Y960" s="106"/>
    </row>
    <row r="961">
      <c r="C961" s="79"/>
      <c r="D961" s="79"/>
      <c r="J961" s="79"/>
      <c r="O961" s="79"/>
      <c r="P961" s="79"/>
      <c r="S961" s="79"/>
      <c r="T961" s="79"/>
      <c r="W961" s="130"/>
      <c r="Y961" s="106"/>
    </row>
    <row r="962">
      <c r="C962" s="79"/>
      <c r="D962" s="79"/>
      <c r="J962" s="79"/>
      <c r="O962" s="79"/>
      <c r="P962" s="79"/>
      <c r="S962" s="79"/>
      <c r="T962" s="79"/>
      <c r="W962" s="130"/>
      <c r="Y962" s="106"/>
    </row>
    <row r="963">
      <c r="C963" s="79"/>
      <c r="D963" s="79"/>
      <c r="J963" s="79"/>
      <c r="O963" s="79"/>
      <c r="P963" s="79"/>
      <c r="S963" s="79"/>
      <c r="T963" s="79"/>
      <c r="W963" s="130"/>
      <c r="Y963" s="106"/>
    </row>
    <row r="964">
      <c r="C964" s="79"/>
      <c r="D964" s="79"/>
      <c r="J964" s="79"/>
      <c r="O964" s="79"/>
      <c r="P964" s="79"/>
      <c r="S964" s="79"/>
      <c r="T964" s="79"/>
      <c r="W964" s="130"/>
      <c r="Y964" s="106"/>
    </row>
    <row r="965">
      <c r="C965" s="79"/>
      <c r="D965" s="79"/>
      <c r="J965" s="79"/>
      <c r="O965" s="79"/>
      <c r="P965" s="79"/>
      <c r="S965" s="79"/>
      <c r="T965" s="79"/>
      <c r="W965" s="130"/>
      <c r="Y965" s="106"/>
    </row>
    <row r="966">
      <c r="C966" s="79"/>
      <c r="D966" s="79"/>
      <c r="J966" s="79"/>
      <c r="O966" s="79"/>
      <c r="P966" s="79"/>
      <c r="S966" s="79"/>
      <c r="T966" s="79"/>
      <c r="W966" s="130"/>
      <c r="Y966" s="106"/>
    </row>
    <row r="967">
      <c r="C967" s="79"/>
      <c r="D967" s="79"/>
      <c r="J967" s="79"/>
      <c r="O967" s="79"/>
      <c r="P967" s="79"/>
      <c r="S967" s="79"/>
      <c r="T967" s="79"/>
      <c r="W967" s="130"/>
      <c r="Y967" s="106"/>
    </row>
    <row r="968">
      <c r="C968" s="79"/>
      <c r="D968" s="79"/>
      <c r="J968" s="79"/>
      <c r="O968" s="79"/>
      <c r="P968" s="79"/>
      <c r="S968" s="79"/>
      <c r="T968" s="79"/>
      <c r="W968" s="130"/>
      <c r="Y968" s="106"/>
    </row>
    <row r="969">
      <c r="C969" s="79"/>
      <c r="D969" s="79"/>
      <c r="J969" s="79"/>
      <c r="O969" s="79"/>
      <c r="P969" s="79"/>
      <c r="S969" s="79"/>
      <c r="T969" s="79"/>
      <c r="W969" s="130"/>
      <c r="Y969" s="106"/>
    </row>
    <row r="970">
      <c r="C970" s="79"/>
      <c r="D970" s="79"/>
      <c r="J970" s="79"/>
      <c r="O970" s="79"/>
      <c r="P970" s="79"/>
      <c r="S970" s="79"/>
      <c r="T970" s="79"/>
      <c r="W970" s="130"/>
      <c r="Y970" s="106"/>
    </row>
    <row r="971">
      <c r="C971" s="79"/>
      <c r="D971" s="79"/>
      <c r="J971" s="79"/>
      <c r="O971" s="79"/>
      <c r="P971" s="79"/>
      <c r="S971" s="79"/>
      <c r="T971" s="79"/>
      <c r="W971" s="130"/>
      <c r="Y971" s="106"/>
    </row>
    <row r="972">
      <c r="C972" s="79"/>
      <c r="D972" s="79"/>
      <c r="J972" s="79"/>
      <c r="O972" s="79"/>
      <c r="P972" s="79"/>
      <c r="S972" s="79"/>
      <c r="T972" s="79"/>
      <c r="W972" s="130"/>
      <c r="Y972" s="106"/>
    </row>
    <row r="973">
      <c r="C973" s="79"/>
      <c r="D973" s="79"/>
      <c r="J973" s="79"/>
      <c r="O973" s="79"/>
      <c r="P973" s="79"/>
      <c r="S973" s="79"/>
      <c r="T973" s="79"/>
      <c r="W973" s="130"/>
      <c r="Y973" s="106"/>
    </row>
    <row r="974">
      <c r="C974" s="79"/>
      <c r="D974" s="79"/>
      <c r="J974" s="79"/>
      <c r="O974" s="79"/>
      <c r="P974" s="79"/>
      <c r="S974" s="79"/>
      <c r="T974" s="79"/>
      <c r="W974" s="130"/>
      <c r="Y974" s="106"/>
    </row>
    <row r="975">
      <c r="C975" s="79"/>
      <c r="D975" s="79"/>
      <c r="J975" s="79"/>
      <c r="O975" s="79"/>
      <c r="P975" s="79"/>
      <c r="S975" s="79"/>
      <c r="T975" s="79"/>
      <c r="W975" s="130"/>
      <c r="Y975" s="106"/>
    </row>
    <row r="976">
      <c r="C976" s="79"/>
      <c r="D976" s="79"/>
      <c r="J976" s="79"/>
      <c r="O976" s="79"/>
      <c r="P976" s="79"/>
      <c r="S976" s="79"/>
      <c r="T976" s="79"/>
      <c r="W976" s="130"/>
      <c r="Y976" s="106"/>
    </row>
    <row r="977">
      <c r="C977" s="79"/>
      <c r="D977" s="79"/>
      <c r="J977" s="79"/>
      <c r="O977" s="79"/>
      <c r="P977" s="79"/>
      <c r="S977" s="79"/>
      <c r="T977" s="79"/>
      <c r="W977" s="130"/>
      <c r="Y977" s="106"/>
    </row>
    <row r="978">
      <c r="C978" s="79"/>
      <c r="D978" s="79"/>
      <c r="J978" s="79"/>
      <c r="O978" s="79"/>
      <c r="P978" s="79"/>
      <c r="S978" s="79"/>
      <c r="T978" s="79"/>
      <c r="W978" s="130"/>
      <c r="Y978" s="106"/>
    </row>
    <row r="979">
      <c r="C979" s="79"/>
      <c r="D979" s="79"/>
      <c r="J979" s="79"/>
      <c r="O979" s="79"/>
      <c r="P979" s="79"/>
      <c r="S979" s="79"/>
      <c r="T979" s="79"/>
      <c r="W979" s="130"/>
      <c r="Y979" s="106"/>
    </row>
    <row r="980">
      <c r="C980" s="79"/>
      <c r="D980" s="79"/>
      <c r="J980" s="79"/>
      <c r="O980" s="79"/>
      <c r="P980" s="79"/>
      <c r="S980" s="79"/>
      <c r="T980" s="79"/>
      <c r="W980" s="130"/>
      <c r="Y980" s="106"/>
    </row>
    <row r="981">
      <c r="C981" s="79"/>
      <c r="D981" s="79"/>
      <c r="J981" s="79"/>
      <c r="O981" s="79"/>
      <c r="P981" s="79"/>
      <c r="S981" s="79"/>
      <c r="T981" s="79"/>
      <c r="W981" s="130"/>
      <c r="Y981" s="106"/>
    </row>
    <row r="982">
      <c r="C982" s="79"/>
      <c r="D982" s="79"/>
      <c r="J982" s="79"/>
      <c r="O982" s="79"/>
      <c r="P982" s="79"/>
      <c r="S982" s="79"/>
      <c r="T982" s="79"/>
      <c r="W982" s="130"/>
      <c r="Y982" s="106"/>
    </row>
    <row r="983">
      <c r="C983" s="79"/>
      <c r="D983" s="79"/>
      <c r="J983" s="79"/>
      <c r="O983" s="79"/>
      <c r="P983" s="79"/>
      <c r="S983" s="79"/>
      <c r="T983" s="79"/>
      <c r="W983" s="130"/>
      <c r="Y983" s="106"/>
    </row>
    <row r="984">
      <c r="C984" s="79"/>
      <c r="D984" s="79"/>
      <c r="J984" s="79"/>
      <c r="O984" s="79"/>
      <c r="P984" s="79"/>
      <c r="S984" s="79"/>
      <c r="T984" s="79"/>
      <c r="W984" s="130"/>
      <c r="Y984" s="106"/>
    </row>
    <row r="985">
      <c r="C985" s="79"/>
      <c r="D985" s="79"/>
      <c r="J985" s="79"/>
      <c r="O985" s="79"/>
      <c r="P985" s="79"/>
      <c r="S985" s="79"/>
      <c r="T985" s="79"/>
      <c r="W985" s="130"/>
      <c r="Y985" s="106"/>
    </row>
    <row r="986">
      <c r="C986" s="79"/>
      <c r="D986" s="79"/>
      <c r="J986" s="79"/>
      <c r="O986" s="79"/>
      <c r="P986" s="79"/>
      <c r="S986" s="79"/>
      <c r="T986" s="79"/>
      <c r="W986" s="130"/>
      <c r="Y986" s="106"/>
    </row>
    <row r="987">
      <c r="C987" s="79"/>
      <c r="D987" s="79"/>
      <c r="J987" s="79"/>
      <c r="O987" s="79"/>
      <c r="P987" s="79"/>
      <c r="S987" s="79"/>
      <c r="T987" s="79"/>
      <c r="W987" s="130"/>
      <c r="Y987" s="106"/>
    </row>
    <row r="988">
      <c r="C988" s="79"/>
      <c r="D988" s="79"/>
      <c r="J988" s="79"/>
      <c r="O988" s="79"/>
      <c r="P988" s="79"/>
      <c r="S988" s="79"/>
      <c r="T988" s="79"/>
      <c r="W988" s="130"/>
      <c r="Y988" s="106"/>
    </row>
    <row r="989">
      <c r="C989" s="79"/>
      <c r="D989" s="79"/>
      <c r="J989" s="79"/>
      <c r="O989" s="79"/>
      <c r="P989" s="79"/>
      <c r="S989" s="79"/>
      <c r="T989" s="79"/>
      <c r="W989" s="130"/>
      <c r="Y989" s="106"/>
    </row>
    <row r="990">
      <c r="C990" s="79"/>
      <c r="D990" s="79"/>
      <c r="J990" s="79"/>
      <c r="O990" s="79"/>
      <c r="P990" s="79"/>
      <c r="S990" s="79"/>
      <c r="T990" s="79"/>
      <c r="W990" s="130"/>
      <c r="Y990" s="106"/>
    </row>
    <row r="991">
      <c r="C991" s="79"/>
      <c r="D991" s="79"/>
      <c r="J991" s="79"/>
      <c r="O991" s="79"/>
      <c r="P991" s="79"/>
      <c r="S991" s="79"/>
      <c r="T991" s="79"/>
      <c r="W991" s="130"/>
      <c r="Y991" s="106"/>
    </row>
    <row r="992">
      <c r="C992" s="79"/>
      <c r="D992" s="79"/>
      <c r="J992" s="79"/>
      <c r="O992" s="79"/>
      <c r="P992" s="79"/>
      <c r="S992" s="79"/>
      <c r="T992" s="79"/>
      <c r="W992" s="130"/>
      <c r="Y992" s="106"/>
    </row>
    <row r="993">
      <c r="C993" s="79"/>
      <c r="D993" s="79"/>
      <c r="J993" s="79"/>
      <c r="O993" s="79"/>
      <c r="P993" s="79"/>
      <c r="S993" s="79"/>
      <c r="T993" s="79"/>
      <c r="W993" s="130"/>
      <c r="Y993" s="106"/>
    </row>
    <row r="994">
      <c r="C994" s="79"/>
      <c r="D994" s="79"/>
      <c r="J994" s="79"/>
      <c r="O994" s="79"/>
      <c r="P994" s="79"/>
      <c r="S994" s="79"/>
      <c r="T994" s="79"/>
      <c r="W994" s="130"/>
      <c r="Y994" s="106"/>
    </row>
    <row r="995">
      <c r="C995" s="79"/>
      <c r="D995" s="79"/>
      <c r="J995" s="79"/>
      <c r="O995" s="79"/>
      <c r="P995" s="79"/>
      <c r="S995" s="79"/>
      <c r="T995" s="79"/>
      <c r="W995" s="130"/>
      <c r="Y995" s="106"/>
    </row>
    <row r="996">
      <c r="C996" s="79"/>
      <c r="D996" s="79"/>
      <c r="J996" s="79"/>
      <c r="O996" s="79"/>
      <c r="P996" s="79"/>
      <c r="S996" s="79"/>
      <c r="T996" s="79"/>
      <c r="W996" s="130"/>
      <c r="Y996" s="106"/>
    </row>
    <row r="997">
      <c r="C997" s="79"/>
      <c r="D997" s="79"/>
      <c r="J997" s="79"/>
      <c r="O997" s="79"/>
      <c r="P997" s="79"/>
      <c r="S997" s="79"/>
      <c r="T997" s="79"/>
      <c r="W997" s="130"/>
      <c r="Y997" s="106"/>
    </row>
    <row r="998">
      <c r="C998" s="79"/>
      <c r="D998" s="79"/>
      <c r="J998" s="79"/>
      <c r="O998" s="79"/>
      <c r="P998" s="79"/>
      <c r="S998" s="79"/>
      <c r="T998" s="79"/>
      <c r="W998" s="130"/>
      <c r="Y998" s="106"/>
    </row>
    <row r="999">
      <c r="C999" s="79"/>
      <c r="D999" s="79"/>
      <c r="J999" s="79"/>
      <c r="O999" s="79"/>
      <c r="P999" s="79"/>
      <c r="S999" s="79"/>
      <c r="T999" s="79"/>
      <c r="W999" s="130"/>
      <c r="Y999" s="106"/>
    </row>
    <row r="1000">
      <c r="C1000" s="79"/>
      <c r="D1000" s="79"/>
      <c r="J1000" s="79"/>
      <c r="O1000" s="79"/>
      <c r="P1000" s="79"/>
      <c r="S1000" s="79"/>
      <c r="T1000" s="79"/>
      <c r="W1000" s="130"/>
      <c r="Y1000" s="106"/>
    </row>
    <row r="1001">
      <c r="C1001" s="79"/>
      <c r="D1001" s="79"/>
      <c r="J1001" s="79"/>
      <c r="O1001" s="79"/>
      <c r="P1001" s="79"/>
      <c r="S1001" s="79"/>
      <c r="T1001" s="79"/>
      <c r="W1001" s="130"/>
      <c r="Y1001" s="106"/>
    </row>
    <row r="1002">
      <c r="C1002" s="79"/>
      <c r="D1002" s="79"/>
      <c r="J1002" s="79"/>
      <c r="O1002" s="79"/>
      <c r="P1002" s="79"/>
      <c r="S1002" s="79"/>
      <c r="T1002" s="79"/>
      <c r="W1002" s="130"/>
      <c r="Y1002" s="106"/>
    </row>
    <row r="1003">
      <c r="C1003" s="79"/>
      <c r="D1003" s="79"/>
      <c r="J1003" s="79"/>
      <c r="O1003" s="79"/>
      <c r="P1003" s="79"/>
      <c r="S1003" s="79"/>
      <c r="T1003" s="79"/>
      <c r="W1003" s="130"/>
      <c r="Y1003" s="106"/>
    </row>
  </sheetData>
  <drawing r:id="rId2"/>
  <legacyDrawing r:id="rId3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5" max="25" width="17.0"/>
  </cols>
  <sheetData>
    <row r="1">
      <c r="B1" s="2" t="s">
        <v>0</v>
      </c>
      <c r="C1" s="105" t="s">
        <v>1</v>
      </c>
      <c r="D1" s="105" t="s">
        <v>7</v>
      </c>
      <c r="E1" s="2" t="s">
        <v>3</v>
      </c>
      <c r="F1" s="2" t="s">
        <v>129</v>
      </c>
      <c r="G1" s="2" t="s">
        <v>5</v>
      </c>
      <c r="H1" s="2" t="s">
        <v>6</v>
      </c>
      <c r="I1" s="2" t="s">
        <v>43</v>
      </c>
      <c r="J1" s="105" t="s">
        <v>40</v>
      </c>
      <c r="K1" s="2" t="s">
        <v>49</v>
      </c>
      <c r="L1" s="2" t="s">
        <v>42</v>
      </c>
      <c r="M1" s="2" t="s">
        <v>121</v>
      </c>
      <c r="N1" s="2" t="s">
        <v>164</v>
      </c>
      <c r="O1" s="105" t="s">
        <v>9</v>
      </c>
      <c r="P1" s="105" t="s">
        <v>165</v>
      </c>
      <c r="Q1" s="2" t="s">
        <v>37</v>
      </c>
      <c r="R1" s="2" t="s">
        <v>10</v>
      </c>
      <c r="S1" s="105" t="s">
        <v>11</v>
      </c>
      <c r="T1" s="105" t="s">
        <v>167</v>
      </c>
      <c r="U1" s="2" t="s">
        <v>12</v>
      </c>
      <c r="V1" s="3" t="s">
        <v>13</v>
      </c>
      <c r="W1" s="126" t="s">
        <v>14</v>
      </c>
      <c r="X1" s="3" t="s">
        <v>15</v>
      </c>
      <c r="Y1" s="106"/>
    </row>
    <row r="2">
      <c r="A2" s="74">
        <v>45229.0</v>
      </c>
      <c r="B2" s="5">
        <f>(1080.8-63.44-32-29.42)+(471.79-68.14-111.54-26.43-24.08-17.43-49.29-36.33-75.72)</f>
        <v>1018.77</v>
      </c>
      <c r="C2" s="93">
        <f>460.8+417.52+22.5-119.6</f>
        <v>781.22</v>
      </c>
      <c r="D2" s="93"/>
      <c r="E2" s="5">
        <v>180.0</v>
      </c>
      <c r="F2" s="5"/>
      <c r="G2" s="5"/>
      <c r="H2" s="5"/>
      <c r="I2" s="5"/>
      <c r="J2" s="5">
        <v>1637.0</v>
      </c>
      <c r="K2" s="5">
        <f>468-300</f>
        <v>168</v>
      </c>
      <c r="L2" s="5"/>
      <c r="M2" s="5"/>
      <c r="N2" s="5"/>
      <c r="O2" s="93"/>
      <c r="P2" s="93"/>
      <c r="Q2" s="5"/>
      <c r="R2" s="5"/>
      <c r="S2" s="93">
        <v>57.05</v>
      </c>
      <c r="T2" s="93"/>
      <c r="U2" s="5"/>
      <c r="V2" s="107">
        <f t="shared" ref="V2:V7" si="1">SUM(B2:U2)</f>
        <v>3842.04</v>
      </c>
      <c r="W2" s="158">
        <v>2728.1</v>
      </c>
      <c r="X2" s="59">
        <f t="shared" ref="X2:X8" si="2">V2/W2</f>
        <v>1.408320809</v>
      </c>
      <c r="Y2" s="109">
        <f t="shared" ref="Y2:Y8" si="3">A2</f>
        <v>45229</v>
      </c>
    </row>
    <row r="3">
      <c r="A3" s="74">
        <v>45230.0</v>
      </c>
      <c r="B3" s="5">
        <f>630.15-1.76-16.61+64.95</f>
        <v>676.73</v>
      </c>
      <c r="C3" s="159">
        <v>270.47</v>
      </c>
      <c r="D3" s="93"/>
      <c r="E3" s="5"/>
      <c r="F3" s="5"/>
      <c r="G3" s="5"/>
      <c r="H3" s="93"/>
      <c r="I3" s="5"/>
      <c r="J3" s="93"/>
      <c r="K3" s="5"/>
      <c r="L3" s="5">
        <f>690-15</f>
        <v>675</v>
      </c>
      <c r="M3" s="6"/>
      <c r="N3" s="6"/>
      <c r="O3" s="93"/>
      <c r="P3" s="93"/>
      <c r="Q3" s="93"/>
      <c r="R3" s="5"/>
      <c r="S3" s="93"/>
      <c r="T3" s="93"/>
      <c r="U3" s="93"/>
      <c r="V3" s="107">
        <f t="shared" si="1"/>
        <v>1622.2</v>
      </c>
      <c r="W3" s="97">
        <v>2871.0</v>
      </c>
      <c r="X3" s="59">
        <f t="shared" si="2"/>
        <v>0.5650296064</v>
      </c>
      <c r="Y3" s="109">
        <f t="shared" si="3"/>
        <v>45230</v>
      </c>
    </row>
    <row r="4">
      <c r="A4" s="74">
        <v>45231.0</v>
      </c>
      <c r="B4" s="5">
        <f>1466.67-364.92-89.16-63.44</f>
        <v>949.15</v>
      </c>
      <c r="C4" s="93">
        <f>404.51-139.05+460.8-119.6</f>
        <v>606.66</v>
      </c>
      <c r="D4" s="93"/>
      <c r="E4" s="5"/>
      <c r="F4" s="5">
        <v>254.27</v>
      </c>
      <c r="G4" s="5">
        <f>998.6-567.6</f>
        <v>431</v>
      </c>
      <c r="H4" s="5">
        <v>42.0</v>
      </c>
      <c r="I4" s="5"/>
      <c r="J4" s="93"/>
      <c r="K4" s="5"/>
      <c r="L4" s="5"/>
      <c r="M4" s="93">
        <v>18.5</v>
      </c>
      <c r="N4" s="5"/>
      <c r="O4" s="93"/>
      <c r="P4" s="93"/>
      <c r="Q4" s="160"/>
      <c r="R4" s="83"/>
      <c r="S4" s="93">
        <v>57.05</v>
      </c>
      <c r="T4" s="93"/>
      <c r="U4" s="6"/>
      <c r="V4" s="107">
        <f t="shared" si="1"/>
        <v>2358.63</v>
      </c>
      <c r="W4" s="97">
        <f>997+8685</f>
        <v>9682</v>
      </c>
      <c r="X4" s="59">
        <f t="shared" si="2"/>
        <v>0.2436097914</v>
      </c>
      <c r="Y4" s="109">
        <f t="shared" si="3"/>
        <v>45231</v>
      </c>
    </row>
    <row r="5">
      <c r="A5" s="74">
        <v>45232.0</v>
      </c>
      <c r="B5" s="5">
        <v>486.56</v>
      </c>
      <c r="C5" s="93"/>
      <c r="D5" s="101"/>
      <c r="E5" s="5">
        <v>180.0</v>
      </c>
      <c r="F5" s="160"/>
      <c r="G5" s="5"/>
      <c r="H5" s="5"/>
      <c r="I5" s="5"/>
      <c r="J5" s="93"/>
      <c r="K5" s="5"/>
      <c r="L5" s="5"/>
      <c r="M5" s="93">
        <v>18.5</v>
      </c>
      <c r="N5" s="5"/>
      <c r="O5" s="93"/>
      <c r="P5" s="93"/>
      <c r="Q5" s="5"/>
      <c r="R5" s="5"/>
      <c r="S5" s="101"/>
      <c r="T5" s="101"/>
      <c r="U5" s="6"/>
      <c r="V5" s="7">
        <f t="shared" si="1"/>
        <v>685.06</v>
      </c>
      <c r="W5" s="161">
        <f>832+8364</f>
        <v>9196</v>
      </c>
      <c r="X5" s="59">
        <f t="shared" si="2"/>
        <v>0.0744954328</v>
      </c>
      <c r="Y5" s="109">
        <f t="shared" si="3"/>
        <v>45232</v>
      </c>
    </row>
    <row r="6">
      <c r="A6" s="74">
        <v>45233.0</v>
      </c>
      <c r="B6" s="5">
        <f>1840.68-188-12.91-11.37-58.45-39.8-40.16-39.36-46.24-24.35-23.36-25.47-18.87-33.79-28-41.49-25.98-31.3</f>
        <v>1151.78</v>
      </c>
      <c r="C6" s="93">
        <v>25.0</v>
      </c>
      <c r="D6" s="93"/>
      <c r="E6" s="5"/>
      <c r="F6" s="5"/>
      <c r="G6" s="5"/>
      <c r="H6" s="93">
        <v>123.0</v>
      </c>
      <c r="I6" s="5"/>
      <c r="J6" s="162"/>
      <c r="K6" s="5"/>
      <c r="L6" s="5"/>
      <c r="M6" s="93">
        <v>18.5</v>
      </c>
      <c r="N6" s="5"/>
      <c r="O6" s="93">
        <v>530.0</v>
      </c>
      <c r="P6" s="93"/>
      <c r="Q6" s="5"/>
      <c r="R6" s="5"/>
      <c r="S6" s="93">
        <v>57.05</v>
      </c>
      <c r="T6" s="93"/>
      <c r="U6" s="5"/>
      <c r="V6" s="7">
        <f t="shared" si="1"/>
        <v>1905.33</v>
      </c>
      <c r="W6" s="97">
        <v>11957.5</v>
      </c>
      <c r="X6" s="59">
        <f t="shared" si="2"/>
        <v>0.1593418357</v>
      </c>
      <c r="Y6" s="109">
        <f t="shared" si="3"/>
        <v>45233</v>
      </c>
    </row>
    <row r="7">
      <c r="A7" s="74">
        <v>45234.0</v>
      </c>
      <c r="B7" s="5">
        <f>1032.65-115.22</f>
        <v>917.43</v>
      </c>
      <c r="C7" s="93">
        <v>1332.0</v>
      </c>
      <c r="D7" s="93"/>
      <c r="E7" s="5"/>
      <c r="F7" s="5">
        <f>350.23-128.37</f>
        <v>221.86</v>
      </c>
      <c r="G7" s="5"/>
      <c r="H7" s="5"/>
      <c r="I7" s="5"/>
      <c r="J7" s="101"/>
      <c r="K7" s="5"/>
      <c r="L7" s="5"/>
      <c r="M7" s="93"/>
      <c r="N7" s="93"/>
      <c r="O7" s="93"/>
      <c r="P7" s="93"/>
      <c r="Q7" s="6"/>
      <c r="R7" s="6"/>
      <c r="S7" s="101"/>
      <c r="T7" s="101"/>
      <c r="U7" s="5"/>
      <c r="V7" s="7">
        <f t="shared" si="1"/>
        <v>2471.29</v>
      </c>
      <c r="W7" s="97">
        <v>14058.6</v>
      </c>
      <c r="X7" s="59">
        <f t="shared" si="2"/>
        <v>0.1757849288</v>
      </c>
      <c r="Y7" s="109">
        <f t="shared" si="3"/>
        <v>45234</v>
      </c>
    </row>
    <row r="8">
      <c r="A8" s="74">
        <v>45235.0</v>
      </c>
      <c r="B8" s="10" t="s">
        <v>21</v>
      </c>
      <c r="C8" s="112" t="s">
        <v>21</v>
      </c>
      <c r="D8" s="112" t="s">
        <v>21</v>
      </c>
      <c r="E8" s="10" t="s">
        <v>21</v>
      </c>
      <c r="F8" s="10" t="s">
        <v>21</v>
      </c>
      <c r="G8" s="10" t="s">
        <v>21</v>
      </c>
      <c r="H8" s="10" t="s">
        <v>21</v>
      </c>
      <c r="I8" s="10" t="s">
        <v>21</v>
      </c>
      <c r="J8" s="112" t="s">
        <v>21</v>
      </c>
      <c r="K8" s="10" t="s">
        <v>21</v>
      </c>
      <c r="L8" s="10" t="s">
        <v>21</v>
      </c>
      <c r="M8" s="10"/>
      <c r="N8" s="10"/>
      <c r="O8" s="112" t="s">
        <v>21</v>
      </c>
      <c r="P8" s="112"/>
      <c r="Q8" s="10" t="s">
        <v>21</v>
      </c>
      <c r="R8" s="10" t="s">
        <v>21</v>
      </c>
      <c r="S8" s="112" t="s">
        <v>21</v>
      </c>
      <c r="T8" s="112"/>
      <c r="U8" s="10" t="s">
        <v>21</v>
      </c>
      <c r="V8" s="7">
        <v>0.0</v>
      </c>
      <c r="W8" s="97">
        <v>9263</v>
      </c>
      <c r="X8" s="59">
        <f t="shared" si="2"/>
        <v>0</v>
      </c>
      <c r="Y8" s="109">
        <f t="shared" si="3"/>
        <v>45235</v>
      </c>
    </row>
    <row r="9">
      <c r="A9" s="163"/>
      <c r="B9" s="32"/>
      <c r="C9" s="32"/>
      <c r="D9" s="138"/>
      <c r="J9" s="79"/>
      <c r="S9" s="79"/>
      <c r="T9" s="79"/>
      <c r="W9" s="129"/>
      <c r="Y9" s="106"/>
    </row>
    <row r="10">
      <c r="A10" s="164" t="s">
        <v>193</v>
      </c>
      <c r="B10" s="32"/>
      <c r="C10" s="32"/>
      <c r="D10" s="138"/>
      <c r="J10" s="79"/>
      <c r="S10" s="79"/>
      <c r="T10" s="79"/>
      <c r="W10" s="129"/>
      <c r="Y10" s="106"/>
    </row>
    <row r="11">
      <c r="A11" s="165" t="s">
        <v>194</v>
      </c>
      <c r="B11" s="166">
        <f>36.3+63.44+29.42+28+16.61+1.76+33.79</f>
        <v>209.32</v>
      </c>
      <c r="C11" s="166">
        <f>119.6+119.6</f>
        <v>239.2</v>
      </c>
      <c r="D11" s="167"/>
      <c r="E11" s="168"/>
      <c r="F11" s="166"/>
      <c r="G11" s="168"/>
      <c r="H11" s="168"/>
      <c r="I11" s="168"/>
      <c r="J11" s="168"/>
      <c r="K11" s="168"/>
      <c r="L11" s="168"/>
      <c r="M11" s="1"/>
      <c r="N11" s="1"/>
      <c r="O11" s="1"/>
      <c r="P11" s="1"/>
      <c r="Q11" s="1"/>
      <c r="R11" s="1"/>
      <c r="S11" s="168"/>
      <c r="T11" s="168"/>
      <c r="U11" s="1"/>
      <c r="V11" s="1"/>
      <c r="W11" s="169"/>
      <c r="X11" s="1"/>
      <c r="Y11" s="170"/>
    </row>
    <row r="12">
      <c r="A12" s="165" t="s">
        <v>195</v>
      </c>
      <c r="B12" s="93">
        <f>75.72+95+364.92+12.91+115.22</f>
        <v>663.77</v>
      </c>
      <c r="C12" s="166">
        <f>139.05+11.37+58.45+39.8+40.16+39.36+46.24+24.35+25.47+18.87+41.49</f>
        <v>484.61</v>
      </c>
      <c r="D12" s="166"/>
      <c r="E12" s="168"/>
      <c r="F12" s="166">
        <v>128.37</v>
      </c>
      <c r="G12" s="168"/>
      <c r="H12" s="168"/>
      <c r="I12" s="168"/>
      <c r="J12" s="168"/>
      <c r="K12" s="166">
        <v>300.0</v>
      </c>
      <c r="L12" s="166">
        <v>15.0</v>
      </c>
      <c r="M12" s="1"/>
      <c r="N12" s="1"/>
      <c r="O12" s="168"/>
      <c r="P12" s="168"/>
      <c r="Q12" s="1"/>
      <c r="R12" s="96"/>
      <c r="S12" s="168"/>
      <c r="T12" s="168"/>
      <c r="U12" s="1"/>
      <c r="V12" s="1"/>
      <c r="W12" s="171"/>
      <c r="X12" s="1"/>
      <c r="Y12" s="170"/>
    </row>
    <row r="13" hidden="1">
      <c r="A13" s="172" t="s">
        <v>196</v>
      </c>
      <c r="B13" s="93">
        <f>29.42+23.03+60+39.86+71.11+35.15+122.74+67.6+37.28+31.25+36.37+243.28</f>
        <v>797.09</v>
      </c>
      <c r="C13" s="173">
        <v>309.6</v>
      </c>
      <c r="D13" s="168"/>
      <c r="E13" s="166"/>
      <c r="F13" s="168"/>
      <c r="G13" s="168"/>
      <c r="H13" s="168"/>
      <c r="I13" s="168"/>
      <c r="J13" s="168"/>
      <c r="K13" s="168"/>
      <c r="L13" s="168"/>
      <c r="M13" s="1"/>
      <c r="N13" s="1"/>
      <c r="O13" s="168"/>
      <c r="P13" s="168"/>
      <c r="Q13" s="1"/>
      <c r="R13" s="1"/>
      <c r="S13" s="168"/>
      <c r="T13" s="168"/>
      <c r="U13" s="1"/>
      <c r="V13" s="1"/>
      <c r="W13" s="174"/>
      <c r="X13" s="1"/>
      <c r="Y13" s="170"/>
    </row>
    <row r="14">
      <c r="A14" s="165" t="s">
        <v>197</v>
      </c>
      <c r="B14" s="93">
        <v>296.91</v>
      </c>
      <c r="C14" s="168"/>
      <c r="D14" s="168"/>
      <c r="E14" s="166"/>
      <c r="F14" s="168"/>
      <c r="G14" s="168"/>
      <c r="H14" s="168"/>
      <c r="I14" s="168"/>
      <c r="J14" s="168"/>
      <c r="K14" s="168"/>
      <c r="L14" s="168"/>
      <c r="M14" s="1"/>
      <c r="N14" s="1"/>
      <c r="O14" s="168"/>
      <c r="P14" s="168"/>
      <c r="Q14" s="1"/>
      <c r="R14" s="1"/>
      <c r="S14" s="168"/>
      <c r="T14" s="168"/>
      <c r="U14" s="1"/>
      <c r="V14" s="1"/>
      <c r="W14" s="174"/>
      <c r="X14" s="1"/>
      <c r="Y14" s="170"/>
    </row>
    <row r="15">
      <c r="A15" s="165" t="s">
        <v>198</v>
      </c>
      <c r="B15" s="93">
        <v>89.16</v>
      </c>
      <c r="C15" s="168">
        <f>23.36+188+31.3+25.98</f>
        <v>268.64</v>
      </c>
      <c r="D15" s="168"/>
      <c r="E15" s="166"/>
      <c r="F15" s="168"/>
      <c r="G15" s="168"/>
      <c r="H15" s="168"/>
      <c r="I15" s="168"/>
      <c r="J15" s="168"/>
      <c r="K15" s="168"/>
      <c r="L15" s="168"/>
      <c r="M15" s="1"/>
      <c r="N15" s="1"/>
      <c r="O15" s="168"/>
      <c r="P15" s="168"/>
      <c r="Q15" s="1"/>
      <c r="R15" s="1"/>
      <c r="S15" s="168"/>
      <c r="T15" s="168"/>
      <c r="U15" s="1"/>
      <c r="V15" s="1"/>
      <c r="W15" s="174"/>
      <c r="X15" s="1"/>
      <c r="Y15" s="170"/>
    </row>
    <row r="16">
      <c r="A16" s="91"/>
      <c r="B16" s="92"/>
      <c r="C16" s="79"/>
      <c r="D16" s="79"/>
      <c r="E16" s="78"/>
      <c r="F16" s="79"/>
      <c r="J16" s="79"/>
      <c r="O16" s="79"/>
      <c r="P16" s="79"/>
      <c r="S16" s="79"/>
      <c r="T16" s="79"/>
      <c r="W16" s="131"/>
      <c r="Y16" s="106"/>
    </row>
    <row r="17">
      <c r="A17" s="91"/>
      <c r="B17" s="92"/>
      <c r="C17" s="79"/>
      <c r="D17" s="79"/>
      <c r="E17" s="78"/>
      <c r="F17" s="78"/>
      <c r="H17" s="175"/>
      <c r="I17" s="151"/>
      <c r="J17" s="79"/>
      <c r="O17" s="79"/>
      <c r="P17" s="79"/>
      <c r="S17" s="79"/>
      <c r="T17" s="79"/>
      <c r="W17" s="131"/>
      <c r="Y17" s="106"/>
    </row>
    <row r="18">
      <c r="A18" s="4" t="s">
        <v>22</v>
      </c>
      <c r="B18" s="11">
        <v>13000.0</v>
      </c>
      <c r="C18" s="79"/>
      <c r="D18" s="79"/>
      <c r="E18" s="78"/>
      <c r="F18" s="78"/>
      <c r="H18" s="38"/>
      <c r="J18" s="79"/>
      <c r="O18" s="79"/>
      <c r="P18" s="79"/>
      <c r="S18" s="79"/>
      <c r="T18" s="79"/>
      <c r="W18" s="131"/>
      <c r="Y18" s="106"/>
    </row>
    <row r="19">
      <c r="A19" s="4" t="s">
        <v>23</v>
      </c>
      <c r="B19" s="12">
        <f>SUM(B2:U8)</f>
        <v>12884.55</v>
      </c>
      <c r="C19" s="79"/>
      <c r="D19" s="79"/>
      <c r="E19" s="144"/>
      <c r="F19" s="176"/>
      <c r="H19" s="175"/>
      <c r="J19" s="151"/>
      <c r="O19" s="79"/>
      <c r="P19" s="79"/>
      <c r="S19" s="79"/>
      <c r="T19" s="79"/>
      <c r="W19" s="130"/>
      <c r="Y19" s="106"/>
    </row>
    <row r="20">
      <c r="A20" s="4" t="s">
        <v>24</v>
      </c>
      <c r="B20" s="12">
        <f> SUM(B18-B19)</f>
        <v>115.45</v>
      </c>
      <c r="C20" s="79"/>
      <c r="D20" s="79"/>
      <c r="E20" s="78"/>
      <c r="F20" s="78"/>
      <c r="H20" s="38"/>
      <c r="J20" s="79"/>
      <c r="O20" s="79"/>
      <c r="P20" s="79"/>
      <c r="S20" s="79"/>
      <c r="T20" s="79"/>
      <c r="W20" s="130"/>
      <c r="Y20" s="106"/>
    </row>
    <row r="21">
      <c r="C21" s="79"/>
      <c r="D21" s="79"/>
      <c r="F21" s="79"/>
      <c r="H21" s="38"/>
      <c r="J21" s="79"/>
      <c r="O21" s="79"/>
      <c r="P21" s="79"/>
      <c r="S21" s="79"/>
      <c r="T21" s="79"/>
      <c r="W21" s="130"/>
      <c r="Y21" s="106"/>
    </row>
    <row r="22">
      <c r="A22" s="13" t="s">
        <v>25</v>
      </c>
      <c r="B22" s="14">
        <f>SUM(W2:W8)</f>
        <v>59756.2</v>
      </c>
      <c r="C22" s="79"/>
      <c r="D22" s="79"/>
      <c r="E22" s="79"/>
      <c r="F22" s="79"/>
      <c r="J22" s="79"/>
      <c r="O22" s="79"/>
      <c r="P22" s="79"/>
      <c r="S22" s="79"/>
      <c r="T22" s="79"/>
      <c r="W22" s="130"/>
      <c r="Y22" s="106"/>
    </row>
    <row r="23">
      <c r="A23" s="13" t="s">
        <v>26</v>
      </c>
      <c r="B23" s="15">
        <f>B19/B22</f>
        <v>0.2156186304</v>
      </c>
      <c r="C23" s="79"/>
      <c r="D23" s="79"/>
      <c r="J23" s="151"/>
      <c r="O23" s="79"/>
      <c r="P23" s="79"/>
      <c r="S23" s="79"/>
      <c r="T23" s="79"/>
      <c r="W23" s="130"/>
      <c r="Y23" s="106"/>
    </row>
    <row r="24">
      <c r="C24" s="79"/>
      <c r="D24" s="79"/>
      <c r="J24" s="151"/>
      <c r="O24" s="79"/>
      <c r="P24" s="79"/>
      <c r="S24" s="79"/>
      <c r="T24" s="79"/>
      <c r="W24" s="130"/>
      <c r="Y24" s="106"/>
    </row>
    <row r="25">
      <c r="C25" s="79"/>
      <c r="D25" s="79"/>
      <c r="J25" s="79"/>
      <c r="O25" s="79"/>
      <c r="P25" s="79"/>
      <c r="S25" s="79"/>
      <c r="T25" s="79"/>
      <c r="W25" s="130"/>
      <c r="Y25" s="106"/>
    </row>
    <row r="26">
      <c r="A26" s="16" t="s">
        <v>27</v>
      </c>
      <c r="B26" s="17"/>
      <c r="C26" s="114"/>
      <c r="D26" s="115"/>
      <c r="H26" s="84"/>
      <c r="I26" s="84"/>
      <c r="J26" s="84"/>
      <c r="O26" s="79"/>
      <c r="P26" s="79"/>
      <c r="S26" s="79"/>
      <c r="T26" s="79"/>
      <c r="W26" s="130"/>
      <c r="Y26" s="106"/>
    </row>
    <row r="27">
      <c r="A27" s="19" t="s">
        <v>28</v>
      </c>
      <c r="B27" s="20"/>
      <c r="C27" s="116"/>
      <c r="D27" s="117"/>
      <c r="H27" s="85"/>
      <c r="I27" s="85"/>
      <c r="J27" s="118"/>
      <c r="O27" s="79"/>
      <c r="P27" s="79"/>
      <c r="S27" s="79"/>
      <c r="T27" s="79"/>
      <c r="W27" s="130"/>
      <c r="Y27" s="106"/>
    </row>
    <row r="28">
      <c r="A28" s="22" t="s">
        <v>29</v>
      </c>
      <c r="B28" s="23" t="s">
        <v>30</v>
      </c>
      <c r="C28" s="119" t="s">
        <v>170</v>
      </c>
      <c r="D28" s="120" t="s">
        <v>171</v>
      </c>
      <c r="H28" s="86"/>
      <c r="I28" s="85"/>
      <c r="J28" s="118"/>
      <c r="O28" s="79"/>
      <c r="P28" s="79"/>
      <c r="S28" s="79"/>
      <c r="T28" s="79"/>
      <c r="W28" s="130"/>
      <c r="Y28" s="106"/>
    </row>
    <row r="29">
      <c r="A29" s="28" t="s">
        <v>149</v>
      </c>
      <c r="B29" s="72">
        <v>567.6</v>
      </c>
      <c r="C29" s="121"/>
      <c r="D29" s="124" t="s">
        <v>199</v>
      </c>
      <c r="H29" s="87"/>
      <c r="I29" s="85"/>
      <c r="J29" s="118"/>
      <c r="O29" s="79"/>
      <c r="P29" s="79"/>
      <c r="S29" s="79"/>
      <c r="T29" s="79"/>
      <c r="W29" s="130"/>
      <c r="Y29" s="106"/>
    </row>
    <row r="30">
      <c r="A30" s="28" t="s">
        <v>150</v>
      </c>
      <c r="B30" s="72"/>
      <c r="C30" s="121"/>
      <c r="D30" s="122"/>
      <c r="H30" s="88"/>
      <c r="I30" s="88"/>
      <c r="J30" s="123"/>
      <c r="O30" s="79"/>
      <c r="P30" s="79"/>
      <c r="S30" s="79"/>
      <c r="T30" s="79"/>
      <c r="W30" s="130"/>
      <c r="Y30" s="106"/>
    </row>
    <row r="31">
      <c r="A31" s="71" t="s">
        <v>108</v>
      </c>
      <c r="B31" s="72"/>
      <c r="C31" s="71"/>
      <c r="D31" s="124"/>
      <c r="H31" s="88"/>
      <c r="I31" s="88"/>
      <c r="J31" s="123"/>
      <c r="O31" s="79"/>
      <c r="P31" s="79"/>
      <c r="S31" s="79"/>
      <c r="T31" s="79"/>
      <c r="W31" s="130"/>
      <c r="Y31" s="106"/>
    </row>
    <row r="32">
      <c r="A32" s="28" t="s">
        <v>84</v>
      </c>
      <c r="B32" s="41"/>
      <c r="C32" s="121"/>
      <c r="D32" s="124"/>
      <c r="H32" s="88"/>
      <c r="I32" s="88"/>
      <c r="J32" s="123"/>
      <c r="O32" s="79"/>
      <c r="P32" s="79"/>
      <c r="S32" s="79"/>
      <c r="T32" s="79"/>
      <c r="W32" s="130"/>
      <c r="Y32" s="106"/>
    </row>
    <row r="33">
      <c r="A33" s="28" t="s">
        <v>160</v>
      </c>
      <c r="B33" s="41"/>
      <c r="C33" s="71"/>
      <c r="D33" s="124"/>
      <c r="H33" s="88"/>
      <c r="I33" s="88"/>
      <c r="J33" s="123"/>
      <c r="O33" s="79"/>
      <c r="P33" s="79"/>
      <c r="S33" s="79"/>
      <c r="T33" s="79"/>
      <c r="W33" s="130"/>
      <c r="Y33" s="106"/>
    </row>
    <row r="34">
      <c r="A34" s="28" t="s">
        <v>172</v>
      </c>
      <c r="B34" s="41"/>
      <c r="C34" s="71"/>
      <c r="D34" s="122"/>
      <c r="H34" s="88"/>
      <c r="I34" s="88"/>
      <c r="J34" s="123"/>
      <c r="O34" s="79"/>
      <c r="P34" s="79"/>
      <c r="S34" s="79"/>
      <c r="T34" s="79"/>
      <c r="W34" s="130"/>
      <c r="Y34" s="106"/>
    </row>
    <row r="35">
      <c r="A35" s="28" t="s">
        <v>185</v>
      </c>
      <c r="B35" s="41">
        <v>834.23</v>
      </c>
      <c r="C35" s="121"/>
      <c r="D35" s="124" t="s">
        <v>200</v>
      </c>
      <c r="J35" s="79"/>
      <c r="O35" s="79"/>
      <c r="P35" s="79"/>
      <c r="S35" s="79"/>
      <c r="T35" s="79"/>
      <c r="W35" s="132"/>
      <c r="Y35" s="106"/>
    </row>
    <row r="36">
      <c r="A36" s="28" t="s">
        <v>111</v>
      </c>
      <c r="B36" s="41"/>
      <c r="C36" s="121"/>
      <c r="D36" s="124"/>
      <c r="I36" s="89"/>
      <c r="J36" s="125"/>
      <c r="O36" s="79"/>
      <c r="P36" s="79"/>
      <c r="S36" s="79"/>
      <c r="T36" s="79"/>
      <c r="W36" s="130"/>
      <c r="Y36" s="106"/>
    </row>
    <row r="37">
      <c r="C37" s="79"/>
      <c r="D37" s="79"/>
      <c r="J37" s="79"/>
      <c r="O37" s="79"/>
      <c r="P37" s="79"/>
      <c r="S37" s="79"/>
      <c r="T37" s="79"/>
      <c r="W37" s="130"/>
      <c r="Y37" s="106"/>
    </row>
    <row r="38">
      <c r="C38" s="79"/>
      <c r="D38" s="79"/>
      <c r="J38" s="79"/>
      <c r="O38" s="79"/>
      <c r="P38" s="79"/>
      <c r="S38" s="79"/>
      <c r="T38" s="79"/>
      <c r="W38" s="130"/>
      <c r="Y38" s="106"/>
    </row>
    <row r="39">
      <c r="C39" s="79"/>
      <c r="D39" s="79"/>
      <c r="J39" s="79"/>
      <c r="O39" s="79"/>
      <c r="P39" s="79"/>
      <c r="S39" s="79"/>
      <c r="T39" s="79"/>
      <c r="W39" s="130"/>
      <c r="Y39" s="106"/>
    </row>
    <row r="40">
      <c r="C40" s="79"/>
      <c r="D40" s="79"/>
      <c r="J40" s="79"/>
      <c r="O40" s="79"/>
      <c r="P40" s="79"/>
      <c r="S40" s="79"/>
      <c r="T40" s="79"/>
      <c r="W40" s="130"/>
      <c r="Y40" s="106"/>
    </row>
    <row r="41">
      <c r="C41" s="79"/>
      <c r="D41" s="79"/>
      <c r="J41" s="79"/>
      <c r="O41" s="79"/>
      <c r="P41" s="79"/>
      <c r="S41" s="79"/>
      <c r="T41" s="79"/>
      <c r="W41" s="130"/>
      <c r="Y41" s="106"/>
    </row>
    <row r="42">
      <c r="C42" s="79"/>
      <c r="D42" s="79"/>
      <c r="J42" s="79"/>
      <c r="O42" s="79"/>
      <c r="P42" s="79"/>
      <c r="S42" s="79"/>
      <c r="T42" s="79"/>
      <c r="W42" s="130"/>
      <c r="Y42" s="106"/>
    </row>
    <row r="43">
      <c r="C43" s="79"/>
      <c r="D43" s="79"/>
      <c r="J43" s="79"/>
      <c r="O43" s="79"/>
      <c r="P43" s="79"/>
      <c r="S43" s="79"/>
      <c r="T43" s="79"/>
      <c r="W43" s="130"/>
      <c r="Y43" s="106"/>
    </row>
    <row r="44">
      <c r="C44" s="79"/>
      <c r="D44" s="79"/>
      <c r="J44" s="79"/>
      <c r="O44" s="79"/>
      <c r="P44" s="79"/>
      <c r="S44" s="79"/>
      <c r="T44" s="79"/>
      <c r="W44" s="130"/>
      <c r="Y44" s="106"/>
    </row>
    <row r="45">
      <c r="C45" s="79"/>
      <c r="D45" s="79"/>
      <c r="J45" s="79"/>
      <c r="O45" s="79"/>
      <c r="P45" s="79"/>
      <c r="S45" s="79"/>
      <c r="T45" s="79"/>
      <c r="W45" s="130"/>
      <c r="Y45" s="106"/>
    </row>
    <row r="46">
      <c r="C46" s="79"/>
      <c r="D46" s="79"/>
      <c r="J46" s="79"/>
      <c r="O46" s="79"/>
      <c r="P46" s="79"/>
      <c r="S46" s="79"/>
      <c r="T46" s="79"/>
      <c r="W46" s="130"/>
      <c r="Y46" s="106"/>
    </row>
    <row r="47">
      <c r="C47" s="79"/>
      <c r="D47" s="79"/>
      <c r="J47" s="79"/>
      <c r="O47" s="79"/>
      <c r="P47" s="79"/>
      <c r="S47" s="79"/>
      <c r="T47" s="79"/>
      <c r="W47" s="130"/>
      <c r="Y47" s="106"/>
    </row>
    <row r="48">
      <c r="C48" s="79"/>
      <c r="D48" s="79"/>
      <c r="J48" s="79"/>
      <c r="O48" s="79"/>
      <c r="P48" s="79"/>
      <c r="S48" s="79"/>
      <c r="T48" s="79"/>
      <c r="W48" s="130"/>
      <c r="Y48" s="106"/>
    </row>
    <row r="49">
      <c r="C49" s="79"/>
      <c r="D49" s="79"/>
      <c r="J49" s="79"/>
      <c r="O49" s="79"/>
      <c r="P49" s="79"/>
      <c r="S49" s="79"/>
      <c r="T49" s="79"/>
      <c r="W49" s="130"/>
      <c r="Y49" s="106"/>
    </row>
    <row r="50">
      <c r="C50" s="79"/>
      <c r="D50" s="79"/>
      <c r="J50" s="79"/>
      <c r="O50" s="79"/>
      <c r="P50" s="79"/>
      <c r="S50" s="79"/>
      <c r="T50" s="79"/>
      <c r="W50" s="130"/>
      <c r="Y50" s="106"/>
    </row>
    <row r="51">
      <c r="C51" s="79"/>
      <c r="D51" s="79"/>
      <c r="J51" s="79"/>
      <c r="O51" s="79"/>
      <c r="P51" s="79"/>
      <c r="S51" s="79"/>
      <c r="T51" s="79"/>
      <c r="W51" s="130"/>
      <c r="Y51" s="106"/>
    </row>
    <row r="52">
      <c r="C52" s="79"/>
      <c r="D52" s="79"/>
      <c r="J52" s="79"/>
      <c r="O52" s="79"/>
      <c r="P52" s="79"/>
      <c r="S52" s="79"/>
      <c r="T52" s="79"/>
      <c r="W52" s="130"/>
      <c r="Y52" s="106"/>
    </row>
    <row r="53">
      <c r="C53" s="79"/>
      <c r="D53" s="79"/>
      <c r="J53" s="79"/>
      <c r="O53" s="79"/>
      <c r="P53" s="79"/>
      <c r="S53" s="79"/>
      <c r="T53" s="79"/>
      <c r="W53" s="130"/>
      <c r="Y53" s="106"/>
    </row>
    <row r="54">
      <c r="C54" s="79"/>
      <c r="D54" s="79"/>
      <c r="J54" s="79"/>
      <c r="O54" s="79"/>
      <c r="P54" s="79"/>
      <c r="S54" s="79"/>
      <c r="T54" s="79"/>
      <c r="W54" s="130"/>
      <c r="Y54" s="106"/>
    </row>
    <row r="55">
      <c r="C55" s="79"/>
      <c r="D55" s="79"/>
      <c r="J55" s="79"/>
      <c r="O55" s="79"/>
      <c r="P55" s="79"/>
      <c r="S55" s="79"/>
      <c r="T55" s="79"/>
      <c r="W55" s="130"/>
      <c r="Y55" s="106"/>
    </row>
    <row r="56">
      <c r="C56" s="79"/>
      <c r="D56" s="79"/>
      <c r="J56" s="79"/>
      <c r="O56" s="79"/>
      <c r="P56" s="79"/>
      <c r="S56" s="79"/>
      <c r="T56" s="79"/>
      <c r="W56" s="130"/>
      <c r="Y56" s="106"/>
    </row>
    <row r="57">
      <c r="C57" s="79"/>
      <c r="D57" s="79"/>
      <c r="J57" s="79"/>
      <c r="O57" s="79"/>
      <c r="P57" s="79"/>
      <c r="S57" s="79"/>
      <c r="T57" s="79"/>
      <c r="W57" s="130"/>
      <c r="Y57" s="106"/>
    </row>
    <row r="58">
      <c r="C58" s="79"/>
      <c r="D58" s="79"/>
      <c r="J58" s="79"/>
      <c r="O58" s="79"/>
      <c r="P58" s="79"/>
      <c r="S58" s="79"/>
      <c r="T58" s="79"/>
      <c r="W58" s="130"/>
      <c r="Y58" s="106"/>
    </row>
    <row r="59">
      <c r="C59" s="79"/>
      <c r="D59" s="79"/>
      <c r="J59" s="79"/>
      <c r="O59" s="79"/>
      <c r="P59" s="79"/>
      <c r="S59" s="79"/>
      <c r="T59" s="79"/>
      <c r="W59" s="130"/>
      <c r="Y59" s="106"/>
    </row>
    <row r="60">
      <c r="C60" s="79"/>
      <c r="D60" s="79"/>
      <c r="J60" s="79"/>
      <c r="O60" s="79"/>
      <c r="P60" s="79"/>
      <c r="S60" s="79"/>
      <c r="T60" s="79"/>
      <c r="W60" s="130"/>
      <c r="Y60" s="106"/>
    </row>
    <row r="61">
      <c r="C61" s="79"/>
      <c r="D61" s="79"/>
      <c r="J61" s="79"/>
      <c r="O61" s="79"/>
      <c r="P61" s="79"/>
      <c r="S61" s="79"/>
      <c r="T61" s="79"/>
      <c r="W61" s="130"/>
      <c r="Y61" s="106"/>
    </row>
    <row r="62">
      <c r="C62" s="79"/>
      <c r="D62" s="79"/>
      <c r="J62" s="79"/>
      <c r="O62" s="79"/>
      <c r="P62" s="79"/>
      <c r="S62" s="79"/>
      <c r="T62" s="79"/>
      <c r="W62" s="130"/>
      <c r="Y62" s="106"/>
    </row>
    <row r="63">
      <c r="C63" s="79"/>
      <c r="D63" s="79"/>
      <c r="J63" s="79"/>
      <c r="O63" s="79"/>
      <c r="P63" s="79"/>
      <c r="S63" s="79"/>
      <c r="T63" s="79"/>
      <c r="W63" s="130"/>
      <c r="Y63" s="106"/>
    </row>
    <row r="64">
      <c r="C64" s="79"/>
      <c r="D64" s="79"/>
      <c r="J64" s="79"/>
      <c r="O64" s="79"/>
      <c r="P64" s="79"/>
      <c r="S64" s="79"/>
      <c r="T64" s="79"/>
      <c r="W64" s="130"/>
      <c r="Y64" s="106"/>
    </row>
    <row r="65">
      <c r="C65" s="79"/>
      <c r="D65" s="79"/>
      <c r="J65" s="79"/>
      <c r="O65" s="79"/>
      <c r="P65" s="79"/>
      <c r="S65" s="79"/>
      <c r="T65" s="79"/>
      <c r="W65" s="130"/>
      <c r="Y65" s="106"/>
    </row>
    <row r="66">
      <c r="C66" s="79"/>
      <c r="D66" s="79"/>
      <c r="J66" s="79"/>
      <c r="O66" s="79"/>
      <c r="P66" s="79"/>
      <c r="S66" s="79"/>
      <c r="T66" s="79"/>
      <c r="W66" s="130"/>
      <c r="Y66" s="106"/>
    </row>
    <row r="67">
      <c r="C67" s="79"/>
      <c r="D67" s="79"/>
      <c r="J67" s="79"/>
      <c r="O67" s="79"/>
      <c r="P67" s="79"/>
      <c r="S67" s="79"/>
      <c r="T67" s="79"/>
      <c r="W67" s="130"/>
      <c r="Y67" s="106"/>
    </row>
    <row r="68">
      <c r="C68" s="79"/>
      <c r="D68" s="79"/>
      <c r="J68" s="79"/>
      <c r="O68" s="79"/>
      <c r="P68" s="79"/>
      <c r="S68" s="79"/>
      <c r="T68" s="79"/>
      <c r="W68" s="130"/>
      <c r="Y68" s="106"/>
    </row>
    <row r="69">
      <c r="C69" s="79"/>
      <c r="D69" s="79"/>
      <c r="J69" s="79"/>
      <c r="O69" s="79"/>
      <c r="P69" s="79"/>
      <c r="S69" s="79"/>
      <c r="T69" s="79"/>
      <c r="W69" s="130"/>
      <c r="Y69" s="106"/>
    </row>
    <row r="70">
      <c r="C70" s="79"/>
      <c r="D70" s="79"/>
      <c r="J70" s="79"/>
      <c r="O70" s="79"/>
      <c r="P70" s="79"/>
      <c r="S70" s="79"/>
      <c r="T70" s="79"/>
      <c r="W70" s="130"/>
      <c r="Y70" s="106"/>
    </row>
    <row r="71">
      <c r="C71" s="79"/>
      <c r="D71" s="79"/>
      <c r="J71" s="79"/>
      <c r="O71" s="79"/>
      <c r="P71" s="79"/>
      <c r="S71" s="79"/>
      <c r="T71" s="79"/>
      <c r="W71" s="130"/>
      <c r="Y71" s="106"/>
    </row>
    <row r="72">
      <c r="C72" s="79"/>
      <c r="D72" s="79"/>
      <c r="J72" s="79"/>
      <c r="O72" s="79"/>
      <c r="P72" s="79"/>
      <c r="S72" s="79"/>
      <c r="T72" s="79"/>
      <c r="W72" s="130"/>
      <c r="Y72" s="106"/>
    </row>
    <row r="73">
      <c r="C73" s="79"/>
      <c r="D73" s="79"/>
      <c r="J73" s="79"/>
      <c r="O73" s="79"/>
      <c r="P73" s="79"/>
      <c r="S73" s="79"/>
      <c r="T73" s="79"/>
      <c r="W73" s="130"/>
      <c r="Y73" s="106"/>
    </row>
    <row r="74">
      <c r="C74" s="79"/>
      <c r="D74" s="79"/>
      <c r="J74" s="79"/>
      <c r="O74" s="79"/>
      <c r="P74" s="79"/>
      <c r="S74" s="79"/>
      <c r="T74" s="79"/>
      <c r="W74" s="130"/>
      <c r="Y74" s="106"/>
    </row>
    <row r="75">
      <c r="C75" s="79"/>
      <c r="D75" s="79"/>
      <c r="J75" s="79"/>
      <c r="O75" s="79"/>
      <c r="P75" s="79"/>
      <c r="S75" s="79"/>
      <c r="T75" s="79"/>
      <c r="W75" s="130"/>
      <c r="Y75" s="106"/>
    </row>
    <row r="76">
      <c r="C76" s="79"/>
      <c r="D76" s="79"/>
      <c r="J76" s="79"/>
      <c r="O76" s="79"/>
      <c r="P76" s="79"/>
      <c r="S76" s="79"/>
      <c r="T76" s="79"/>
      <c r="W76" s="130"/>
      <c r="Y76" s="106"/>
    </row>
    <row r="77">
      <c r="C77" s="79"/>
      <c r="D77" s="79"/>
      <c r="J77" s="79"/>
      <c r="O77" s="79"/>
      <c r="P77" s="79"/>
      <c r="S77" s="79"/>
      <c r="T77" s="79"/>
      <c r="W77" s="130"/>
      <c r="Y77" s="106"/>
    </row>
    <row r="78">
      <c r="C78" s="79"/>
      <c r="D78" s="79"/>
      <c r="J78" s="79"/>
      <c r="O78" s="79"/>
      <c r="P78" s="79"/>
      <c r="S78" s="79"/>
      <c r="T78" s="79"/>
      <c r="W78" s="130"/>
      <c r="Y78" s="106"/>
    </row>
    <row r="79">
      <c r="C79" s="79"/>
      <c r="D79" s="79"/>
      <c r="J79" s="79"/>
      <c r="O79" s="79"/>
      <c r="P79" s="79"/>
      <c r="S79" s="79"/>
      <c r="T79" s="79"/>
      <c r="W79" s="130"/>
      <c r="Y79" s="106"/>
    </row>
    <row r="80">
      <c r="C80" s="79"/>
      <c r="D80" s="79"/>
      <c r="J80" s="79"/>
      <c r="O80" s="79"/>
      <c r="P80" s="79"/>
      <c r="S80" s="79"/>
      <c r="T80" s="79"/>
      <c r="W80" s="130"/>
      <c r="Y80" s="106"/>
    </row>
    <row r="81">
      <c r="C81" s="79"/>
      <c r="D81" s="79"/>
      <c r="J81" s="79"/>
      <c r="O81" s="79"/>
      <c r="P81" s="79"/>
      <c r="S81" s="79"/>
      <c r="T81" s="79"/>
      <c r="W81" s="130"/>
      <c r="Y81" s="106"/>
    </row>
    <row r="82">
      <c r="C82" s="79"/>
      <c r="D82" s="79"/>
      <c r="J82" s="79"/>
      <c r="O82" s="79"/>
      <c r="P82" s="79"/>
      <c r="S82" s="79"/>
      <c r="T82" s="79"/>
      <c r="W82" s="130"/>
      <c r="Y82" s="106"/>
    </row>
    <row r="83">
      <c r="C83" s="79"/>
      <c r="D83" s="79"/>
      <c r="J83" s="79"/>
      <c r="O83" s="79"/>
      <c r="P83" s="79"/>
      <c r="S83" s="79"/>
      <c r="T83" s="79"/>
      <c r="W83" s="130"/>
      <c r="Y83" s="106"/>
    </row>
    <row r="84">
      <c r="C84" s="79"/>
      <c r="D84" s="79"/>
      <c r="J84" s="79"/>
      <c r="O84" s="79"/>
      <c r="P84" s="79"/>
      <c r="S84" s="79"/>
      <c r="T84" s="79"/>
      <c r="W84" s="130"/>
      <c r="Y84" s="106"/>
    </row>
    <row r="85">
      <c r="C85" s="79"/>
      <c r="D85" s="79"/>
      <c r="J85" s="79"/>
      <c r="O85" s="79"/>
      <c r="P85" s="79"/>
      <c r="S85" s="79"/>
      <c r="T85" s="79"/>
      <c r="W85" s="130"/>
      <c r="Y85" s="106"/>
    </row>
    <row r="86">
      <c r="C86" s="79"/>
      <c r="D86" s="79"/>
      <c r="J86" s="79"/>
      <c r="O86" s="79"/>
      <c r="P86" s="79"/>
      <c r="S86" s="79"/>
      <c r="T86" s="79"/>
      <c r="W86" s="130"/>
      <c r="Y86" s="106"/>
    </row>
    <row r="87">
      <c r="C87" s="79"/>
      <c r="D87" s="79"/>
      <c r="J87" s="79"/>
      <c r="O87" s="79"/>
      <c r="P87" s="79"/>
      <c r="S87" s="79"/>
      <c r="T87" s="79"/>
      <c r="W87" s="130"/>
      <c r="Y87" s="106"/>
    </row>
    <row r="88">
      <c r="C88" s="79"/>
      <c r="D88" s="79"/>
      <c r="J88" s="79"/>
      <c r="O88" s="79"/>
      <c r="P88" s="79"/>
      <c r="S88" s="79"/>
      <c r="T88" s="79"/>
      <c r="W88" s="130"/>
      <c r="Y88" s="106"/>
    </row>
    <row r="89">
      <c r="C89" s="79"/>
      <c r="D89" s="79"/>
      <c r="J89" s="79"/>
      <c r="O89" s="79"/>
      <c r="P89" s="79"/>
      <c r="S89" s="79"/>
      <c r="T89" s="79"/>
      <c r="W89" s="130"/>
      <c r="Y89" s="106"/>
    </row>
    <row r="90">
      <c r="C90" s="79"/>
      <c r="D90" s="79"/>
      <c r="J90" s="79"/>
      <c r="O90" s="79"/>
      <c r="P90" s="79"/>
      <c r="S90" s="79"/>
      <c r="T90" s="79"/>
      <c r="W90" s="130"/>
      <c r="Y90" s="106"/>
    </row>
    <row r="91">
      <c r="C91" s="79"/>
      <c r="D91" s="79"/>
      <c r="J91" s="79"/>
      <c r="O91" s="79"/>
      <c r="P91" s="79"/>
      <c r="S91" s="79"/>
      <c r="T91" s="79"/>
      <c r="W91" s="130"/>
      <c r="Y91" s="106"/>
    </row>
    <row r="92">
      <c r="C92" s="79"/>
      <c r="D92" s="79"/>
      <c r="J92" s="79"/>
      <c r="O92" s="79"/>
      <c r="P92" s="79"/>
      <c r="S92" s="79"/>
      <c r="T92" s="79"/>
      <c r="W92" s="130"/>
      <c r="Y92" s="106"/>
    </row>
    <row r="93">
      <c r="C93" s="79"/>
      <c r="D93" s="79"/>
      <c r="J93" s="79"/>
      <c r="O93" s="79"/>
      <c r="P93" s="79"/>
      <c r="S93" s="79"/>
      <c r="T93" s="79"/>
      <c r="W93" s="130"/>
      <c r="Y93" s="106"/>
    </row>
    <row r="94">
      <c r="C94" s="79"/>
      <c r="D94" s="79"/>
      <c r="J94" s="79"/>
      <c r="O94" s="79"/>
      <c r="P94" s="79"/>
      <c r="S94" s="79"/>
      <c r="T94" s="79"/>
      <c r="W94" s="130"/>
      <c r="Y94" s="106"/>
    </row>
    <row r="95">
      <c r="C95" s="79"/>
      <c r="D95" s="79"/>
      <c r="J95" s="79"/>
      <c r="O95" s="79"/>
      <c r="P95" s="79"/>
      <c r="S95" s="79"/>
      <c r="T95" s="79"/>
      <c r="W95" s="130"/>
      <c r="Y95" s="106"/>
    </row>
    <row r="96">
      <c r="C96" s="79"/>
      <c r="D96" s="79"/>
      <c r="J96" s="79"/>
      <c r="O96" s="79"/>
      <c r="P96" s="79"/>
      <c r="S96" s="79"/>
      <c r="T96" s="79"/>
      <c r="W96" s="130"/>
      <c r="Y96" s="106"/>
    </row>
    <row r="97">
      <c r="C97" s="79"/>
      <c r="D97" s="79"/>
      <c r="J97" s="79"/>
      <c r="O97" s="79"/>
      <c r="P97" s="79"/>
      <c r="S97" s="79"/>
      <c r="T97" s="79"/>
      <c r="W97" s="130"/>
      <c r="Y97" s="106"/>
    </row>
    <row r="98">
      <c r="C98" s="79"/>
      <c r="D98" s="79"/>
      <c r="J98" s="79"/>
      <c r="O98" s="79"/>
      <c r="P98" s="79"/>
      <c r="S98" s="79"/>
      <c r="T98" s="79"/>
      <c r="W98" s="130"/>
      <c r="Y98" s="106"/>
    </row>
    <row r="99">
      <c r="C99" s="79"/>
      <c r="D99" s="79"/>
      <c r="J99" s="79"/>
      <c r="O99" s="79"/>
      <c r="P99" s="79"/>
      <c r="S99" s="79"/>
      <c r="T99" s="79"/>
      <c r="W99" s="130"/>
      <c r="Y99" s="106"/>
    </row>
    <row r="100">
      <c r="C100" s="79"/>
      <c r="D100" s="79"/>
      <c r="J100" s="79"/>
      <c r="O100" s="79"/>
      <c r="P100" s="79"/>
      <c r="S100" s="79"/>
      <c r="T100" s="79"/>
      <c r="W100" s="130"/>
      <c r="Y100" s="106"/>
    </row>
    <row r="101">
      <c r="C101" s="79"/>
      <c r="D101" s="79"/>
      <c r="J101" s="79"/>
      <c r="O101" s="79"/>
      <c r="P101" s="79"/>
      <c r="S101" s="79"/>
      <c r="T101" s="79"/>
      <c r="W101" s="130"/>
      <c r="Y101" s="106"/>
    </row>
    <row r="102">
      <c r="C102" s="79"/>
      <c r="D102" s="79"/>
      <c r="J102" s="79"/>
      <c r="O102" s="79"/>
      <c r="P102" s="79"/>
      <c r="S102" s="79"/>
      <c r="T102" s="79"/>
      <c r="W102" s="130"/>
      <c r="Y102" s="106"/>
    </row>
    <row r="103">
      <c r="C103" s="79"/>
      <c r="D103" s="79"/>
      <c r="J103" s="79"/>
      <c r="O103" s="79"/>
      <c r="P103" s="79"/>
      <c r="S103" s="79"/>
      <c r="T103" s="79"/>
      <c r="W103" s="130"/>
      <c r="Y103" s="106"/>
    </row>
    <row r="104">
      <c r="C104" s="79"/>
      <c r="D104" s="79"/>
      <c r="J104" s="79"/>
      <c r="O104" s="79"/>
      <c r="P104" s="79"/>
      <c r="S104" s="79"/>
      <c r="T104" s="79"/>
      <c r="W104" s="130"/>
      <c r="Y104" s="106"/>
    </row>
    <row r="105">
      <c r="C105" s="79"/>
      <c r="D105" s="79"/>
      <c r="J105" s="79"/>
      <c r="O105" s="79"/>
      <c r="P105" s="79"/>
      <c r="S105" s="79"/>
      <c r="T105" s="79"/>
      <c r="W105" s="130"/>
      <c r="Y105" s="106"/>
    </row>
    <row r="106">
      <c r="C106" s="79"/>
      <c r="D106" s="79"/>
      <c r="J106" s="79"/>
      <c r="O106" s="79"/>
      <c r="P106" s="79"/>
      <c r="S106" s="79"/>
      <c r="T106" s="79"/>
      <c r="W106" s="130"/>
      <c r="Y106" s="106"/>
    </row>
    <row r="107">
      <c r="C107" s="79"/>
      <c r="D107" s="79"/>
      <c r="J107" s="79"/>
      <c r="O107" s="79"/>
      <c r="P107" s="79"/>
      <c r="S107" s="79"/>
      <c r="T107" s="79"/>
      <c r="W107" s="130"/>
      <c r="Y107" s="106"/>
    </row>
    <row r="108">
      <c r="C108" s="79"/>
      <c r="D108" s="79"/>
      <c r="J108" s="79"/>
      <c r="O108" s="79"/>
      <c r="P108" s="79"/>
      <c r="S108" s="79"/>
      <c r="T108" s="79"/>
      <c r="W108" s="130"/>
      <c r="Y108" s="106"/>
    </row>
    <row r="109">
      <c r="C109" s="79"/>
      <c r="D109" s="79"/>
      <c r="J109" s="79"/>
      <c r="O109" s="79"/>
      <c r="P109" s="79"/>
      <c r="S109" s="79"/>
      <c r="T109" s="79"/>
      <c r="W109" s="130"/>
      <c r="Y109" s="106"/>
    </row>
    <row r="110">
      <c r="C110" s="79"/>
      <c r="D110" s="79"/>
      <c r="J110" s="79"/>
      <c r="O110" s="79"/>
      <c r="P110" s="79"/>
      <c r="S110" s="79"/>
      <c r="T110" s="79"/>
      <c r="W110" s="130"/>
      <c r="Y110" s="106"/>
    </row>
    <row r="111">
      <c r="C111" s="79"/>
      <c r="D111" s="79"/>
      <c r="J111" s="79"/>
      <c r="O111" s="79"/>
      <c r="P111" s="79"/>
      <c r="S111" s="79"/>
      <c r="T111" s="79"/>
      <c r="W111" s="130"/>
      <c r="Y111" s="106"/>
    </row>
    <row r="112">
      <c r="C112" s="79"/>
      <c r="D112" s="79"/>
      <c r="J112" s="79"/>
      <c r="O112" s="79"/>
      <c r="P112" s="79"/>
      <c r="S112" s="79"/>
      <c r="T112" s="79"/>
      <c r="W112" s="130"/>
      <c r="Y112" s="106"/>
    </row>
    <row r="113">
      <c r="C113" s="79"/>
      <c r="D113" s="79"/>
      <c r="J113" s="79"/>
      <c r="O113" s="79"/>
      <c r="P113" s="79"/>
      <c r="S113" s="79"/>
      <c r="T113" s="79"/>
      <c r="W113" s="130"/>
      <c r="Y113" s="106"/>
    </row>
    <row r="114">
      <c r="C114" s="79"/>
      <c r="D114" s="79"/>
      <c r="J114" s="79"/>
      <c r="O114" s="79"/>
      <c r="P114" s="79"/>
      <c r="S114" s="79"/>
      <c r="T114" s="79"/>
      <c r="W114" s="130"/>
      <c r="Y114" s="106"/>
    </row>
    <row r="115">
      <c r="C115" s="79"/>
      <c r="D115" s="79"/>
      <c r="J115" s="79"/>
      <c r="O115" s="79"/>
      <c r="P115" s="79"/>
      <c r="S115" s="79"/>
      <c r="T115" s="79"/>
      <c r="W115" s="130"/>
      <c r="Y115" s="106"/>
    </row>
    <row r="116">
      <c r="C116" s="79"/>
      <c r="D116" s="79"/>
      <c r="J116" s="79"/>
      <c r="O116" s="79"/>
      <c r="P116" s="79"/>
      <c r="S116" s="79"/>
      <c r="T116" s="79"/>
      <c r="W116" s="130"/>
      <c r="Y116" s="106"/>
    </row>
    <row r="117">
      <c r="C117" s="79"/>
      <c r="D117" s="79"/>
      <c r="J117" s="79"/>
      <c r="O117" s="79"/>
      <c r="P117" s="79"/>
      <c r="S117" s="79"/>
      <c r="T117" s="79"/>
      <c r="W117" s="130"/>
      <c r="Y117" s="106"/>
    </row>
    <row r="118">
      <c r="C118" s="79"/>
      <c r="D118" s="79"/>
      <c r="J118" s="79"/>
      <c r="O118" s="79"/>
      <c r="P118" s="79"/>
      <c r="S118" s="79"/>
      <c r="T118" s="79"/>
      <c r="W118" s="130"/>
      <c r="Y118" s="106"/>
    </row>
    <row r="119">
      <c r="C119" s="79"/>
      <c r="D119" s="79"/>
      <c r="J119" s="79"/>
      <c r="O119" s="79"/>
      <c r="P119" s="79"/>
      <c r="S119" s="79"/>
      <c r="T119" s="79"/>
      <c r="W119" s="130"/>
      <c r="Y119" s="106"/>
    </row>
    <row r="120">
      <c r="C120" s="79"/>
      <c r="D120" s="79"/>
      <c r="J120" s="79"/>
      <c r="O120" s="79"/>
      <c r="P120" s="79"/>
      <c r="S120" s="79"/>
      <c r="T120" s="79"/>
      <c r="W120" s="130"/>
      <c r="Y120" s="106"/>
    </row>
    <row r="121">
      <c r="C121" s="79"/>
      <c r="D121" s="79"/>
      <c r="J121" s="79"/>
      <c r="O121" s="79"/>
      <c r="P121" s="79"/>
      <c r="S121" s="79"/>
      <c r="T121" s="79"/>
      <c r="W121" s="130"/>
      <c r="Y121" s="106"/>
    </row>
    <row r="122">
      <c r="C122" s="79"/>
      <c r="D122" s="79"/>
      <c r="J122" s="79"/>
      <c r="O122" s="79"/>
      <c r="P122" s="79"/>
      <c r="S122" s="79"/>
      <c r="T122" s="79"/>
      <c r="W122" s="130"/>
      <c r="Y122" s="106"/>
    </row>
    <row r="123">
      <c r="C123" s="79"/>
      <c r="D123" s="79"/>
      <c r="J123" s="79"/>
      <c r="O123" s="79"/>
      <c r="P123" s="79"/>
      <c r="S123" s="79"/>
      <c r="T123" s="79"/>
      <c r="W123" s="130"/>
      <c r="Y123" s="106"/>
    </row>
    <row r="124">
      <c r="C124" s="79"/>
      <c r="D124" s="79"/>
      <c r="J124" s="79"/>
      <c r="O124" s="79"/>
      <c r="P124" s="79"/>
      <c r="S124" s="79"/>
      <c r="T124" s="79"/>
      <c r="W124" s="130"/>
      <c r="Y124" s="106"/>
    </row>
    <row r="125">
      <c r="C125" s="79"/>
      <c r="D125" s="79"/>
      <c r="J125" s="79"/>
      <c r="O125" s="79"/>
      <c r="P125" s="79"/>
      <c r="S125" s="79"/>
      <c r="T125" s="79"/>
      <c r="W125" s="130"/>
      <c r="Y125" s="106"/>
    </row>
    <row r="126">
      <c r="C126" s="79"/>
      <c r="D126" s="79"/>
      <c r="J126" s="79"/>
      <c r="O126" s="79"/>
      <c r="P126" s="79"/>
      <c r="S126" s="79"/>
      <c r="T126" s="79"/>
      <c r="W126" s="130"/>
      <c r="Y126" s="106"/>
    </row>
    <row r="127">
      <c r="C127" s="79"/>
      <c r="D127" s="79"/>
      <c r="J127" s="79"/>
      <c r="O127" s="79"/>
      <c r="P127" s="79"/>
      <c r="S127" s="79"/>
      <c r="T127" s="79"/>
      <c r="W127" s="130"/>
      <c r="Y127" s="106"/>
    </row>
    <row r="128">
      <c r="C128" s="79"/>
      <c r="D128" s="79"/>
      <c r="J128" s="79"/>
      <c r="O128" s="79"/>
      <c r="P128" s="79"/>
      <c r="S128" s="79"/>
      <c r="T128" s="79"/>
      <c r="W128" s="130"/>
      <c r="Y128" s="106"/>
    </row>
    <row r="129">
      <c r="C129" s="79"/>
      <c r="D129" s="79"/>
      <c r="J129" s="79"/>
      <c r="O129" s="79"/>
      <c r="P129" s="79"/>
      <c r="S129" s="79"/>
      <c r="T129" s="79"/>
      <c r="W129" s="130"/>
      <c r="Y129" s="106"/>
    </row>
    <row r="130">
      <c r="C130" s="79"/>
      <c r="D130" s="79"/>
      <c r="J130" s="79"/>
      <c r="O130" s="79"/>
      <c r="P130" s="79"/>
      <c r="S130" s="79"/>
      <c r="T130" s="79"/>
      <c r="W130" s="130"/>
      <c r="Y130" s="106"/>
    </row>
    <row r="131">
      <c r="C131" s="79"/>
      <c r="D131" s="79"/>
      <c r="J131" s="79"/>
      <c r="O131" s="79"/>
      <c r="P131" s="79"/>
      <c r="S131" s="79"/>
      <c r="T131" s="79"/>
      <c r="W131" s="130"/>
      <c r="Y131" s="106"/>
    </row>
    <row r="132">
      <c r="C132" s="79"/>
      <c r="D132" s="79"/>
      <c r="J132" s="79"/>
      <c r="O132" s="79"/>
      <c r="P132" s="79"/>
      <c r="S132" s="79"/>
      <c r="T132" s="79"/>
      <c r="W132" s="130"/>
      <c r="Y132" s="106"/>
    </row>
    <row r="133">
      <c r="C133" s="79"/>
      <c r="D133" s="79"/>
      <c r="J133" s="79"/>
      <c r="O133" s="79"/>
      <c r="P133" s="79"/>
      <c r="S133" s="79"/>
      <c r="T133" s="79"/>
      <c r="W133" s="130"/>
      <c r="Y133" s="106"/>
    </row>
    <row r="134">
      <c r="C134" s="79"/>
      <c r="D134" s="79"/>
      <c r="J134" s="79"/>
      <c r="O134" s="79"/>
      <c r="P134" s="79"/>
      <c r="S134" s="79"/>
      <c r="T134" s="79"/>
      <c r="W134" s="130"/>
      <c r="Y134" s="106"/>
    </row>
    <row r="135">
      <c r="C135" s="79"/>
      <c r="D135" s="79"/>
      <c r="J135" s="79"/>
      <c r="O135" s="79"/>
      <c r="P135" s="79"/>
      <c r="S135" s="79"/>
      <c r="T135" s="79"/>
      <c r="W135" s="130"/>
      <c r="Y135" s="106"/>
    </row>
    <row r="136">
      <c r="C136" s="79"/>
      <c r="D136" s="79"/>
      <c r="J136" s="79"/>
      <c r="O136" s="79"/>
      <c r="P136" s="79"/>
      <c r="S136" s="79"/>
      <c r="T136" s="79"/>
      <c r="W136" s="130"/>
      <c r="Y136" s="106"/>
    </row>
    <row r="137">
      <c r="C137" s="79"/>
      <c r="D137" s="79"/>
      <c r="J137" s="79"/>
      <c r="O137" s="79"/>
      <c r="P137" s="79"/>
      <c r="S137" s="79"/>
      <c r="T137" s="79"/>
      <c r="W137" s="130"/>
      <c r="Y137" s="106"/>
    </row>
    <row r="138">
      <c r="C138" s="79"/>
      <c r="D138" s="79"/>
      <c r="J138" s="79"/>
      <c r="O138" s="79"/>
      <c r="P138" s="79"/>
      <c r="S138" s="79"/>
      <c r="T138" s="79"/>
      <c r="W138" s="130"/>
      <c r="Y138" s="106"/>
    </row>
    <row r="139">
      <c r="C139" s="79"/>
      <c r="D139" s="79"/>
      <c r="J139" s="79"/>
      <c r="O139" s="79"/>
      <c r="P139" s="79"/>
      <c r="S139" s="79"/>
      <c r="T139" s="79"/>
      <c r="W139" s="130"/>
      <c r="Y139" s="106"/>
    </row>
    <row r="140">
      <c r="C140" s="79"/>
      <c r="D140" s="79"/>
      <c r="J140" s="79"/>
      <c r="O140" s="79"/>
      <c r="P140" s="79"/>
      <c r="S140" s="79"/>
      <c r="T140" s="79"/>
      <c r="W140" s="130"/>
      <c r="Y140" s="106"/>
    </row>
    <row r="141">
      <c r="C141" s="79"/>
      <c r="D141" s="79"/>
      <c r="J141" s="79"/>
      <c r="O141" s="79"/>
      <c r="P141" s="79"/>
      <c r="S141" s="79"/>
      <c r="T141" s="79"/>
      <c r="W141" s="130"/>
      <c r="Y141" s="106"/>
    </row>
    <row r="142">
      <c r="C142" s="79"/>
      <c r="D142" s="79"/>
      <c r="J142" s="79"/>
      <c r="O142" s="79"/>
      <c r="P142" s="79"/>
      <c r="S142" s="79"/>
      <c r="T142" s="79"/>
      <c r="W142" s="130"/>
      <c r="Y142" s="106"/>
    </row>
    <row r="143">
      <c r="C143" s="79"/>
      <c r="D143" s="79"/>
      <c r="J143" s="79"/>
      <c r="O143" s="79"/>
      <c r="P143" s="79"/>
      <c r="S143" s="79"/>
      <c r="T143" s="79"/>
      <c r="W143" s="130"/>
      <c r="Y143" s="106"/>
    </row>
    <row r="144">
      <c r="C144" s="79"/>
      <c r="D144" s="79"/>
      <c r="J144" s="79"/>
      <c r="O144" s="79"/>
      <c r="P144" s="79"/>
      <c r="S144" s="79"/>
      <c r="T144" s="79"/>
      <c r="W144" s="130"/>
      <c r="Y144" s="106"/>
    </row>
    <row r="145">
      <c r="C145" s="79"/>
      <c r="D145" s="79"/>
      <c r="J145" s="79"/>
      <c r="O145" s="79"/>
      <c r="P145" s="79"/>
      <c r="S145" s="79"/>
      <c r="T145" s="79"/>
      <c r="W145" s="130"/>
      <c r="Y145" s="106"/>
    </row>
    <row r="146">
      <c r="C146" s="79"/>
      <c r="D146" s="79"/>
      <c r="J146" s="79"/>
      <c r="O146" s="79"/>
      <c r="P146" s="79"/>
      <c r="S146" s="79"/>
      <c r="T146" s="79"/>
      <c r="W146" s="130"/>
      <c r="Y146" s="106"/>
    </row>
    <row r="147">
      <c r="C147" s="79"/>
      <c r="D147" s="79"/>
      <c r="J147" s="79"/>
      <c r="O147" s="79"/>
      <c r="P147" s="79"/>
      <c r="S147" s="79"/>
      <c r="T147" s="79"/>
      <c r="W147" s="130"/>
      <c r="Y147" s="106"/>
    </row>
    <row r="148">
      <c r="C148" s="79"/>
      <c r="D148" s="79"/>
      <c r="J148" s="79"/>
      <c r="O148" s="79"/>
      <c r="P148" s="79"/>
      <c r="S148" s="79"/>
      <c r="T148" s="79"/>
      <c r="W148" s="130"/>
      <c r="Y148" s="106"/>
    </row>
    <row r="149">
      <c r="C149" s="79"/>
      <c r="D149" s="79"/>
      <c r="J149" s="79"/>
      <c r="O149" s="79"/>
      <c r="P149" s="79"/>
      <c r="S149" s="79"/>
      <c r="T149" s="79"/>
      <c r="W149" s="130"/>
      <c r="Y149" s="106"/>
    </row>
    <row r="150">
      <c r="C150" s="79"/>
      <c r="D150" s="79"/>
      <c r="J150" s="79"/>
      <c r="O150" s="79"/>
      <c r="P150" s="79"/>
      <c r="S150" s="79"/>
      <c r="T150" s="79"/>
      <c r="W150" s="130"/>
      <c r="Y150" s="106"/>
    </row>
    <row r="151">
      <c r="C151" s="79"/>
      <c r="D151" s="79"/>
      <c r="J151" s="79"/>
      <c r="O151" s="79"/>
      <c r="P151" s="79"/>
      <c r="S151" s="79"/>
      <c r="T151" s="79"/>
      <c r="W151" s="130"/>
      <c r="Y151" s="106"/>
    </row>
    <row r="152">
      <c r="C152" s="79"/>
      <c r="D152" s="79"/>
      <c r="J152" s="79"/>
      <c r="O152" s="79"/>
      <c r="P152" s="79"/>
      <c r="S152" s="79"/>
      <c r="T152" s="79"/>
      <c r="W152" s="130"/>
      <c r="Y152" s="106"/>
    </row>
    <row r="153">
      <c r="C153" s="79"/>
      <c r="D153" s="79"/>
      <c r="J153" s="79"/>
      <c r="O153" s="79"/>
      <c r="P153" s="79"/>
      <c r="S153" s="79"/>
      <c r="T153" s="79"/>
      <c r="W153" s="130"/>
      <c r="Y153" s="106"/>
    </row>
    <row r="154">
      <c r="C154" s="79"/>
      <c r="D154" s="79"/>
      <c r="J154" s="79"/>
      <c r="O154" s="79"/>
      <c r="P154" s="79"/>
      <c r="S154" s="79"/>
      <c r="T154" s="79"/>
      <c r="W154" s="130"/>
      <c r="Y154" s="106"/>
    </row>
    <row r="155">
      <c r="C155" s="79"/>
      <c r="D155" s="79"/>
      <c r="J155" s="79"/>
      <c r="O155" s="79"/>
      <c r="P155" s="79"/>
      <c r="S155" s="79"/>
      <c r="T155" s="79"/>
      <c r="W155" s="130"/>
      <c r="Y155" s="106"/>
    </row>
    <row r="156">
      <c r="C156" s="79"/>
      <c r="D156" s="79"/>
      <c r="J156" s="79"/>
      <c r="O156" s="79"/>
      <c r="P156" s="79"/>
      <c r="S156" s="79"/>
      <c r="T156" s="79"/>
      <c r="W156" s="130"/>
      <c r="Y156" s="106"/>
    </row>
    <row r="157">
      <c r="C157" s="79"/>
      <c r="D157" s="79"/>
      <c r="J157" s="79"/>
      <c r="O157" s="79"/>
      <c r="P157" s="79"/>
      <c r="S157" s="79"/>
      <c r="T157" s="79"/>
      <c r="W157" s="130"/>
      <c r="Y157" s="106"/>
    </row>
    <row r="158">
      <c r="C158" s="79"/>
      <c r="D158" s="79"/>
      <c r="J158" s="79"/>
      <c r="O158" s="79"/>
      <c r="P158" s="79"/>
      <c r="S158" s="79"/>
      <c r="T158" s="79"/>
      <c r="W158" s="130"/>
      <c r="Y158" s="106"/>
    </row>
    <row r="159">
      <c r="C159" s="79"/>
      <c r="D159" s="79"/>
      <c r="J159" s="79"/>
      <c r="O159" s="79"/>
      <c r="P159" s="79"/>
      <c r="S159" s="79"/>
      <c r="T159" s="79"/>
      <c r="W159" s="130"/>
      <c r="Y159" s="106"/>
    </row>
    <row r="160">
      <c r="C160" s="79"/>
      <c r="D160" s="79"/>
      <c r="J160" s="79"/>
      <c r="O160" s="79"/>
      <c r="P160" s="79"/>
      <c r="S160" s="79"/>
      <c r="T160" s="79"/>
      <c r="W160" s="130"/>
      <c r="Y160" s="106"/>
    </row>
    <row r="161">
      <c r="C161" s="79"/>
      <c r="D161" s="79"/>
      <c r="J161" s="79"/>
      <c r="O161" s="79"/>
      <c r="P161" s="79"/>
      <c r="S161" s="79"/>
      <c r="T161" s="79"/>
      <c r="W161" s="130"/>
      <c r="Y161" s="106"/>
    </row>
    <row r="162">
      <c r="C162" s="79"/>
      <c r="D162" s="79"/>
      <c r="J162" s="79"/>
      <c r="O162" s="79"/>
      <c r="P162" s="79"/>
      <c r="S162" s="79"/>
      <c r="T162" s="79"/>
      <c r="W162" s="130"/>
      <c r="Y162" s="106"/>
    </row>
    <row r="163">
      <c r="C163" s="79"/>
      <c r="D163" s="79"/>
      <c r="J163" s="79"/>
      <c r="O163" s="79"/>
      <c r="P163" s="79"/>
      <c r="S163" s="79"/>
      <c r="T163" s="79"/>
      <c r="W163" s="130"/>
      <c r="Y163" s="106"/>
    </row>
    <row r="164">
      <c r="C164" s="79"/>
      <c r="D164" s="79"/>
      <c r="J164" s="79"/>
      <c r="O164" s="79"/>
      <c r="P164" s="79"/>
      <c r="S164" s="79"/>
      <c r="T164" s="79"/>
      <c r="W164" s="130"/>
      <c r="Y164" s="106"/>
    </row>
    <row r="165">
      <c r="C165" s="79"/>
      <c r="D165" s="79"/>
      <c r="J165" s="79"/>
      <c r="O165" s="79"/>
      <c r="P165" s="79"/>
      <c r="S165" s="79"/>
      <c r="T165" s="79"/>
      <c r="W165" s="130"/>
      <c r="Y165" s="106"/>
    </row>
    <row r="166">
      <c r="C166" s="79"/>
      <c r="D166" s="79"/>
      <c r="J166" s="79"/>
      <c r="O166" s="79"/>
      <c r="P166" s="79"/>
      <c r="S166" s="79"/>
      <c r="T166" s="79"/>
      <c r="W166" s="130"/>
      <c r="Y166" s="106"/>
    </row>
    <row r="167">
      <c r="C167" s="79"/>
      <c r="D167" s="79"/>
      <c r="J167" s="79"/>
      <c r="O167" s="79"/>
      <c r="P167" s="79"/>
      <c r="S167" s="79"/>
      <c r="T167" s="79"/>
      <c r="W167" s="130"/>
      <c r="Y167" s="106"/>
    </row>
    <row r="168">
      <c r="C168" s="79"/>
      <c r="D168" s="79"/>
      <c r="J168" s="79"/>
      <c r="O168" s="79"/>
      <c r="P168" s="79"/>
      <c r="S168" s="79"/>
      <c r="T168" s="79"/>
      <c r="W168" s="130"/>
      <c r="Y168" s="106"/>
    </row>
    <row r="169">
      <c r="C169" s="79"/>
      <c r="D169" s="79"/>
      <c r="J169" s="79"/>
      <c r="O169" s="79"/>
      <c r="P169" s="79"/>
      <c r="S169" s="79"/>
      <c r="T169" s="79"/>
      <c r="W169" s="130"/>
      <c r="Y169" s="106"/>
    </row>
    <row r="170">
      <c r="C170" s="79"/>
      <c r="D170" s="79"/>
      <c r="J170" s="79"/>
      <c r="O170" s="79"/>
      <c r="P170" s="79"/>
      <c r="S170" s="79"/>
      <c r="T170" s="79"/>
      <c r="W170" s="130"/>
      <c r="Y170" s="106"/>
    </row>
    <row r="171">
      <c r="C171" s="79"/>
      <c r="D171" s="79"/>
      <c r="J171" s="79"/>
      <c r="O171" s="79"/>
      <c r="P171" s="79"/>
      <c r="S171" s="79"/>
      <c r="T171" s="79"/>
      <c r="W171" s="130"/>
      <c r="Y171" s="106"/>
    </row>
    <row r="172">
      <c r="C172" s="79"/>
      <c r="D172" s="79"/>
      <c r="J172" s="79"/>
      <c r="O172" s="79"/>
      <c r="P172" s="79"/>
      <c r="S172" s="79"/>
      <c r="T172" s="79"/>
      <c r="W172" s="130"/>
      <c r="Y172" s="106"/>
    </row>
    <row r="173">
      <c r="C173" s="79"/>
      <c r="D173" s="79"/>
      <c r="J173" s="79"/>
      <c r="O173" s="79"/>
      <c r="P173" s="79"/>
      <c r="S173" s="79"/>
      <c r="T173" s="79"/>
      <c r="W173" s="130"/>
      <c r="Y173" s="106"/>
    </row>
    <row r="174">
      <c r="C174" s="79"/>
      <c r="D174" s="79"/>
      <c r="J174" s="79"/>
      <c r="O174" s="79"/>
      <c r="P174" s="79"/>
      <c r="S174" s="79"/>
      <c r="T174" s="79"/>
      <c r="W174" s="130"/>
      <c r="Y174" s="106"/>
    </row>
    <row r="175">
      <c r="C175" s="79"/>
      <c r="D175" s="79"/>
      <c r="J175" s="79"/>
      <c r="O175" s="79"/>
      <c r="P175" s="79"/>
      <c r="S175" s="79"/>
      <c r="T175" s="79"/>
      <c r="W175" s="130"/>
      <c r="Y175" s="106"/>
    </row>
    <row r="176">
      <c r="C176" s="79"/>
      <c r="D176" s="79"/>
      <c r="J176" s="79"/>
      <c r="O176" s="79"/>
      <c r="P176" s="79"/>
      <c r="S176" s="79"/>
      <c r="T176" s="79"/>
      <c r="W176" s="130"/>
      <c r="Y176" s="106"/>
    </row>
    <row r="177">
      <c r="C177" s="79"/>
      <c r="D177" s="79"/>
      <c r="J177" s="79"/>
      <c r="O177" s="79"/>
      <c r="P177" s="79"/>
      <c r="S177" s="79"/>
      <c r="T177" s="79"/>
      <c r="W177" s="130"/>
      <c r="Y177" s="106"/>
    </row>
    <row r="178">
      <c r="C178" s="79"/>
      <c r="D178" s="79"/>
      <c r="J178" s="79"/>
      <c r="O178" s="79"/>
      <c r="P178" s="79"/>
      <c r="S178" s="79"/>
      <c r="T178" s="79"/>
      <c r="W178" s="130"/>
      <c r="Y178" s="106"/>
    </row>
    <row r="179">
      <c r="C179" s="79"/>
      <c r="D179" s="79"/>
      <c r="J179" s="79"/>
      <c r="O179" s="79"/>
      <c r="P179" s="79"/>
      <c r="S179" s="79"/>
      <c r="T179" s="79"/>
      <c r="W179" s="130"/>
      <c r="Y179" s="106"/>
    </row>
    <row r="180">
      <c r="C180" s="79"/>
      <c r="D180" s="79"/>
      <c r="J180" s="79"/>
      <c r="O180" s="79"/>
      <c r="P180" s="79"/>
      <c r="S180" s="79"/>
      <c r="T180" s="79"/>
      <c r="W180" s="130"/>
      <c r="Y180" s="106"/>
    </row>
    <row r="181">
      <c r="C181" s="79"/>
      <c r="D181" s="79"/>
      <c r="J181" s="79"/>
      <c r="O181" s="79"/>
      <c r="P181" s="79"/>
      <c r="S181" s="79"/>
      <c r="T181" s="79"/>
      <c r="W181" s="130"/>
      <c r="Y181" s="106"/>
    </row>
    <row r="182">
      <c r="C182" s="79"/>
      <c r="D182" s="79"/>
      <c r="J182" s="79"/>
      <c r="O182" s="79"/>
      <c r="P182" s="79"/>
      <c r="S182" s="79"/>
      <c r="T182" s="79"/>
      <c r="W182" s="130"/>
      <c r="Y182" s="106"/>
    </row>
    <row r="183">
      <c r="C183" s="79"/>
      <c r="D183" s="79"/>
      <c r="J183" s="79"/>
      <c r="O183" s="79"/>
      <c r="P183" s="79"/>
      <c r="S183" s="79"/>
      <c r="T183" s="79"/>
      <c r="W183" s="130"/>
      <c r="Y183" s="106"/>
    </row>
    <row r="184">
      <c r="C184" s="79"/>
      <c r="D184" s="79"/>
      <c r="J184" s="79"/>
      <c r="O184" s="79"/>
      <c r="P184" s="79"/>
      <c r="S184" s="79"/>
      <c r="T184" s="79"/>
      <c r="W184" s="130"/>
      <c r="Y184" s="106"/>
    </row>
    <row r="185">
      <c r="C185" s="79"/>
      <c r="D185" s="79"/>
      <c r="J185" s="79"/>
      <c r="O185" s="79"/>
      <c r="P185" s="79"/>
      <c r="S185" s="79"/>
      <c r="T185" s="79"/>
      <c r="W185" s="130"/>
      <c r="Y185" s="106"/>
    </row>
    <row r="186">
      <c r="C186" s="79"/>
      <c r="D186" s="79"/>
      <c r="J186" s="79"/>
      <c r="O186" s="79"/>
      <c r="P186" s="79"/>
      <c r="S186" s="79"/>
      <c r="T186" s="79"/>
      <c r="W186" s="130"/>
      <c r="Y186" s="106"/>
    </row>
    <row r="187">
      <c r="C187" s="79"/>
      <c r="D187" s="79"/>
      <c r="J187" s="79"/>
      <c r="O187" s="79"/>
      <c r="P187" s="79"/>
      <c r="S187" s="79"/>
      <c r="T187" s="79"/>
      <c r="W187" s="130"/>
      <c r="Y187" s="106"/>
    </row>
    <row r="188">
      <c r="C188" s="79"/>
      <c r="D188" s="79"/>
      <c r="J188" s="79"/>
      <c r="O188" s="79"/>
      <c r="P188" s="79"/>
      <c r="S188" s="79"/>
      <c r="T188" s="79"/>
      <c r="W188" s="130"/>
      <c r="Y188" s="106"/>
    </row>
    <row r="189">
      <c r="C189" s="79"/>
      <c r="D189" s="79"/>
      <c r="J189" s="79"/>
      <c r="O189" s="79"/>
      <c r="P189" s="79"/>
      <c r="S189" s="79"/>
      <c r="T189" s="79"/>
      <c r="W189" s="130"/>
      <c r="Y189" s="106"/>
    </row>
    <row r="190">
      <c r="C190" s="79"/>
      <c r="D190" s="79"/>
      <c r="J190" s="79"/>
      <c r="O190" s="79"/>
      <c r="P190" s="79"/>
      <c r="S190" s="79"/>
      <c r="T190" s="79"/>
      <c r="W190" s="130"/>
      <c r="Y190" s="106"/>
    </row>
    <row r="191">
      <c r="C191" s="79"/>
      <c r="D191" s="79"/>
      <c r="J191" s="79"/>
      <c r="O191" s="79"/>
      <c r="P191" s="79"/>
      <c r="S191" s="79"/>
      <c r="T191" s="79"/>
      <c r="W191" s="130"/>
      <c r="Y191" s="106"/>
    </row>
    <row r="192">
      <c r="C192" s="79"/>
      <c r="D192" s="79"/>
      <c r="J192" s="79"/>
      <c r="O192" s="79"/>
      <c r="P192" s="79"/>
      <c r="S192" s="79"/>
      <c r="T192" s="79"/>
      <c r="W192" s="130"/>
      <c r="Y192" s="106"/>
    </row>
    <row r="193">
      <c r="C193" s="79"/>
      <c r="D193" s="79"/>
      <c r="J193" s="79"/>
      <c r="O193" s="79"/>
      <c r="P193" s="79"/>
      <c r="S193" s="79"/>
      <c r="T193" s="79"/>
      <c r="W193" s="130"/>
      <c r="Y193" s="106"/>
    </row>
    <row r="194">
      <c r="C194" s="79"/>
      <c r="D194" s="79"/>
      <c r="J194" s="79"/>
      <c r="O194" s="79"/>
      <c r="P194" s="79"/>
      <c r="S194" s="79"/>
      <c r="T194" s="79"/>
      <c r="W194" s="130"/>
      <c r="Y194" s="106"/>
    </row>
    <row r="195">
      <c r="C195" s="79"/>
      <c r="D195" s="79"/>
      <c r="J195" s="79"/>
      <c r="O195" s="79"/>
      <c r="P195" s="79"/>
      <c r="S195" s="79"/>
      <c r="T195" s="79"/>
      <c r="W195" s="130"/>
      <c r="Y195" s="106"/>
    </row>
    <row r="196">
      <c r="C196" s="79"/>
      <c r="D196" s="79"/>
      <c r="J196" s="79"/>
      <c r="O196" s="79"/>
      <c r="P196" s="79"/>
      <c r="S196" s="79"/>
      <c r="T196" s="79"/>
      <c r="W196" s="130"/>
      <c r="Y196" s="106"/>
    </row>
    <row r="197">
      <c r="C197" s="79"/>
      <c r="D197" s="79"/>
      <c r="J197" s="79"/>
      <c r="O197" s="79"/>
      <c r="P197" s="79"/>
      <c r="S197" s="79"/>
      <c r="T197" s="79"/>
      <c r="W197" s="130"/>
      <c r="Y197" s="106"/>
    </row>
    <row r="198">
      <c r="C198" s="79"/>
      <c r="D198" s="79"/>
      <c r="J198" s="79"/>
      <c r="O198" s="79"/>
      <c r="P198" s="79"/>
      <c r="S198" s="79"/>
      <c r="T198" s="79"/>
      <c r="W198" s="130"/>
      <c r="Y198" s="106"/>
    </row>
    <row r="199">
      <c r="C199" s="79"/>
      <c r="D199" s="79"/>
      <c r="J199" s="79"/>
      <c r="O199" s="79"/>
      <c r="P199" s="79"/>
      <c r="S199" s="79"/>
      <c r="T199" s="79"/>
      <c r="W199" s="130"/>
      <c r="Y199" s="106"/>
    </row>
    <row r="200">
      <c r="C200" s="79"/>
      <c r="D200" s="79"/>
      <c r="J200" s="79"/>
      <c r="O200" s="79"/>
      <c r="P200" s="79"/>
      <c r="S200" s="79"/>
      <c r="T200" s="79"/>
      <c r="W200" s="130"/>
      <c r="Y200" s="106"/>
    </row>
    <row r="201">
      <c r="C201" s="79"/>
      <c r="D201" s="79"/>
      <c r="J201" s="79"/>
      <c r="O201" s="79"/>
      <c r="P201" s="79"/>
      <c r="S201" s="79"/>
      <c r="T201" s="79"/>
      <c r="W201" s="130"/>
      <c r="Y201" s="106"/>
    </row>
    <row r="202">
      <c r="C202" s="79"/>
      <c r="D202" s="79"/>
      <c r="J202" s="79"/>
      <c r="O202" s="79"/>
      <c r="P202" s="79"/>
      <c r="S202" s="79"/>
      <c r="T202" s="79"/>
      <c r="W202" s="130"/>
      <c r="Y202" s="106"/>
    </row>
    <row r="203">
      <c r="C203" s="79"/>
      <c r="D203" s="79"/>
      <c r="J203" s="79"/>
      <c r="O203" s="79"/>
      <c r="P203" s="79"/>
      <c r="S203" s="79"/>
      <c r="T203" s="79"/>
      <c r="W203" s="130"/>
      <c r="Y203" s="106"/>
    </row>
    <row r="204">
      <c r="C204" s="79"/>
      <c r="D204" s="79"/>
      <c r="J204" s="79"/>
      <c r="O204" s="79"/>
      <c r="P204" s="79"/>
      <c r="S204" s="79"/>
      <c r="T204" s="79"/>
      <c r="W204" s="130"/>
      <c r="Y204" s="106"/>
    </row>
    <row r="205">
      <c r="C205" s="79"/>
      <c r="D205" s="79"/>
      <c r="J205" s="79"/>
      <c r="O205" s="79"/>
      <c r="P205" s="79"/>
      <c r="S205" s="79"/>
      <c r="T205" s="79"/>
      <c r="W205" s="130"/>
      <c r="Y205" s="106"/>
    </row>
    <row r="206">
      <c r="C206" s="79"/>
      <c r="D206" s="79"/>
      <c r="J206" s="79"/>
      <c r="O206" s="79"/>
      <c r="P206" s="79"/>
      <c r="S206" s="79"/>
      <c r="T206" s="79"/>
      <c r="W206" s="130"/>
      <c r="Y206" s="106"/>
    </row>
    <row r="207">
      <c r="C207" s="79"/>
      <c r="D207" s="79"/>
      <c r="J207" s="79"/>
      <c r="O207" s="79"/>
      <c r="P207" s="79"/>
      <c r="S207" s="79"/>
      <c r="T207" s="79"/>
      <c r="W207" s="130"/>
      <c r="Y207" s="106"/>
    </row>
    <row r="208">
      <c r="C208" s="79"/>
      <c r="D208" s="79"/>
      <c r="J208" s="79"/>
      <c r="O208" s="79"/>
      <c r="P208" s="79"/>
      <c r="S208" s="79"/>
      <c r="T208" s="79"/>
      <c r="W208" s="130"/>
      <c r="Y208" s="106"/>
    </row>
    <row r="209">
      <c r="C209" s="79"/>
      <c r="D209" s="79"/>
      <c r="J209" s="79"/>
      <c r="O209" s="79"/>
      <c r="P209" s="79"/>
      <c r="S209" s="79"/>
      <c r="T209" s="79"/>
      <c r="W209" s="130"/>
      <c r="Y209" s="106"/>
    </row>
    <row r="210">
      <c r="C210" s="79"/>
      <c r="D210" s="79"/>
      <c r="J210" s="79"/>
      <c r="O210" s="79"/>
      <c r="P210" s="79"/>
      <c r="S210" s="79"/>
      <c r="T210" s="79"/>
      <c r="W210" s="130"/>
      <c r="Y210" s="106"/>
    </row>
    <row r="211">
      <c r="C211" s="79"/>
      <c r="D211" s="79"/>
      <c r="J211" s="79"/>
      <c r="O211" s="79"/>
      <c r="P211" s="79"/>
      <c r="S211" s="79"/>
      <c r="T211" s="79"/>
      <c r="W211" s="130"/>
      <c r="Y211" s="106"/>
    </row>
    <row r="212">
      <c r="C212" s="79"/>
      <c r="D212" s="79"/>
      <c r="J212" s="79"/>
      <c r="O212" s="79"/>
      <c r="P212" s="79"/>
      <c r="S212" s="79"/>
      <c r="T212" s="79"/>
      <c r="W212" s="130"/>
      <c r="Y212" s="106"/>
    </row>
    <row r="213">
      <c r="C213" s="79"/>
      <c r="D213" s="79"/>
      <c r="J213" s="79"/>
      <c r="O213" s="79"/>
      <c r="P213" s="79"/>
      <c r="S213" s="79"/>
      <c r="T213" s="79"/>
      <c r="W213" s="130"/>
      <c r="Y213" s="106"/>
    </row>
    <row r="214">
      <c r="C214" s="79"/>
      <c r="D214" s="79"/>
      <c r="J214" s="79"/>
      <c r="O214" s="79"/>
      <c r="P214" s="79"/>
      <c r="S214" s="79"/>
      <c r="T214" s="79"/>
      <c r="W214" s="130"/>
      <c r="Y214" s="106"/>
    </row>
    <row r="215">
      <c r="C215" s="79"/>
      <c r="D215" s="79"/>
      <c r="J215" s="79"/>
      <c r="O215" s="79"/>
      <c r="P215" s="79"/>
      <c r="S215" s="79"/>
      <c r="T215" s="79"/>
      <c r="W215" s="130"/>
      <c r="Y215" s="106"/>
    </row>
    <row r="216">
      <c r="C216" s="79"/>
      <c r="D216" s="79"/>
      <c r="J216" s="79"/>
      <c r="O216" s="79"/>
      <c r="P216" s="79"/>
      <c r="S216" s="79"/>
      <c r="T216" s="79"/>
      <c r="W216" s="130"/>
      <c r="Y216" s="106"/>
    </row>
    <row r="217">
      <c r="C217" s="79"/>
      <c r="D217" s="79"/>
      <c r="J217" s="79"/>
      <c r="O217" s="79"/>
      <c r="P217" s="79"/>
      <c r="S217" s="79"/>
      <c r="T217" s="79"/>
      <c r="W217" s="130"/>
      <c r="Y217" s="106"/>
    </row>
    <row r="218">
      <c r="C218" s="79"/>
      <c r="D218" s="79"/>
      <c r="J218" s="79"/>
      <c r="O218" s="79"/>
      <c r="P218" s="79"/>
      <c r="S218" s="79"/>
      <c r="T218" s="79"/>
      <c r="W218" s="130"/>
      <c r="Y218" s="106"/>
    </row>
    <row r="219">
      <c r="C219" s="79"/>
      <c r="D219" s="79"/>
      <c r="J219" s="79"/>
      <c r="O219" s="79"/>
      <c r="P219" s="79"/>
      <c r="S219" s="79"/>
      <c r="T219" s="79"/>
      <c r="W219" s="130"/>
      <c r="Y219" s="106"/>
    </row>
    <row r="220">
      <c r="C220" s="79"/>
      <c r="D220" s="79"/>
      <c r="J220" s="79"/>
      <c r="O220" s="79"/>
      <c r="P220" s="79"/>
      <c r="S220" s="79"/>
      <c r="T220" s="79"/>
      <c r="W220" s="130"/>
      <c r="Y220" s="106"/>
    </row>
    <row r="221">
      <c r="C221" s="79"/>
      <c r="D221" s="79"/>
      <c r="J221" s="79"/>
      <c r="O221" s="79"/>
      <c r="P221" s="79"/>
      <c r="S221" s="79"/>
      <c r="T221" s="79"/>
      <c r="W221" s="130"/>
      <c r="Y221" s="106"/>
    </row>
    <row r="222">
      <c r="C222" s="79"/>
      <c r="D222" s="79"/>
      <c r="J222" s="79"/>
      <c r="O222" s="79"/>
      <c r="P222" s="79"/>
      <c r="S222" s="79"/>
      <c r="T222" s="79"/>
      <c r="W222" s="130"/>
      <c r="Y222" s="106"/>
    </row>
    <row r="223">
      <c r="C223" s="79"/>
      <c r="D223" s="79"/>
      <c r="J223" s="79"/>
      <c r="O223" s="79"/>
      <c r="P223" s="79"/>
      <c r="S223" s="79"/>
      <c r="T223" s="79"/>
      <c r="W223" s="130"/>
      <c r="Y223" s="106"/>
    </row>
    <row r="224">
      <c r="C224" s="79"/>
      <c r="D224" s="79"/>
      <c r="J224" s="79"/>
      <c r="O224" s="79"/>
      <c r="P224" s="79"/>
      <c r="S224" s="79"/>
      <c r="T224" s="79"/>
      <c r="W224" s="130"/>
      <c r="Y224" s="106"/>
    </row>
    <row r="225">
      <c r="C225" s="79"/>
      <c r="D225" s="79"/>
      <c r="J225" s="79"/>
      <c r="O225" s="79"/>
      <c r="P225" s="79"/>
      <c r="S225" s="79"/>
      <c r="T225" s="79"/>
      <c r="W225" s="130"/>
      <c r="Y225" s="106"/>
    </row>
    <row r="226">
      <c r="C226" s="79"/>
      <c r="D226" s="79"/>
      <c r="J226" s="79"/>
      <c r="O226" s="79"/>
      <c r="P226" s="79"/>
      <c r="S226" s="79"/>
      <c r="T226" s="79"/>
      <c r="W226" s="130"/>
      <c r="Y226" s="106"/>
    </row>
    <row r="227">
      <c r="C227" s="79"/>
      <c r="D227" s="79"/>
      <c r="J227" s="79"/>
      <c r="O227" s="79"/>
      <c r="P227" s="79"/>
      <c r="S227" s="79"/>
      <c r="T227" s="79"/>
      <c r="W227" s="130"/>
      <c r="Y227" s="106"/>
    </row>
    <row r="228">
      <c r="C228" s="79"/>
      <c r="D228" s="79"/>
      <c r="J228" s="79"/>
      <c r="O228" s="79"/>
      <c r="P228" s="79"/>
      <c r="S228" s="79"/>
      <c r="T228" s="79"/>
      <c r="W228" s="130"/>
      <c r="Y228" s="106"/>
    </row>
    <row r="229">
      <c r="C229" s="79"/>
      <c r="D229" s="79"/>
      <c r="J229" s="79"/>
      <c r="O229" s="79"/>
      <c r="P229" s="79"/>
      <c r="S229" s="79"/>
      <c r="T229" s="79"/>
      <c r="W229" s="130"/>
      <c r="Y229" s="106"/>
    </row>
    <row r="230">
      <c r="C230" s="79"/>
      <c r="D230" s="79"/>
      <c r="J230" s="79"/>
      <c r="O230" s="79"/>
      <c r="P230" s="79"/>
      <c r="S230" s="79"/>
      <c r="T230" s="79"/>
      <c r="W230" s="130"/>
      <c r="Y230" s="106"/>
    </row>
    <row r="231">
      <c r="C231" s="79"/>
      <c r="D231" s="79"/>
      <c r="J231" s="79"/>
      <c r="O231" s="79"/>
      <c r="P231" s="79"/>
      <c r="S231" s="79"/>
      <c r="T231" s="79"/>
      <c r="W231" s="130"/>
      <c r="Y231" s="106"/>
    </row>
    <row r="232">
      <c r="C232" s="79"/>
      <c r="D232" s="79"/>
      <c r="J232" s="79"/>
      <c r="O232" s="79"/>
      <c r="P232" s="79"/>
      <c r="S232" s="79"/>
      <c r="T232" s="79"/>
      <c r="W232" s="130"/>
      <c r="Y232" s="106"/>
    </row>
    <row r="233">
      <c r="C233" s="79"/>
      <c r="D233" s="79"/>
      <c r="J233" s="79"/>
      <c r="O233" s="79"/>
      <c r="P233" s="79"/>
      <c r="S233" s="79"/>
      <c r="T233" s="79"/>
      <c r="W233" s="130"/>
      <c r="Y233" s="106"/>
    </row>
    <row r="234">
      <c r="C234" s="79"/>
      <c r="D234" s="79"/>
      <c r="J234" s="79"/>
      <c r="O234" s="79"/>
      <c r="P234" s="79"/>
      <c r="S234" s="79"/>
      <c r="T234" s="79"/>
      <c r="W234" s="130"/>
      <c r="Y234" s="106"/>
    </row>
    <row r="235">
      <c r="C235" s="79"/>
      <c r="D235" s="79"/>
      <c r="J235" s="79"/>
      <c r="O235" s="79"/>
      <c r="P235" s="79"/>
      <c r="S235" s="79"/>
      <c r="T235" s="79"/>
      <c r="W235" s="130"/>
      <c r="Y235" s="106"/>
    </row>
    <row r="236">
      <c r="C236" s="79"/>
      <c r="D236" s="79"/>
      <c r="J236" s="79"/>
      <c r="O236" s="79"/>
      <c r="P236" s="79"/>
      <c r="S236" s="79"/>
      <c r="T236" s="79"/>
      <c r="W236" s="130"/>
      <c r="Y236" s="106"/>
    </row>
    <row r="237">
      <c r="C237" s="79"/>
      <c r="D237" s="79"/>
      <c r="J237" s="79"/>
      <c r="O237" s="79"/>
      <c r="P237" s="79"/>
      <c r="S237" s="79"/>
      <c r="T237" s="79"/>
      <c r="W237" s="130"/>
      <c r="Y237" s="106"/>
    </row>
    <row r="238">
      <c r="C238" s="79"/>
      <c r="D238" s="79"/>
      <c r="J238" s="79"/>
      <c r="O238" s="79"/>
      <c r="P238" s="79"/>
      <c r="S238" s="79"/>
      <c r="T238" s="79"/>
      <c r="W238" s="130"/>
      <c r="Y238" s="106"/>
    </row>
    <row r="239">
      <c r="C239" s="79"/>
      <c r="D239" s="79"/>
      <c r="J239" s="79"/>
      <c r="O239" s="79"/>
      <c r="P239" s="79"/>
      <c r="S239" s="79"/>
      <c r="T239" s="79"/>
      <c r="W239" s="130"/>
      <c r="Y239" s="106"/>
    </row>
    <row r="240">
      <c r="C240" s="79"/>
      <c r="D240" s="79"/>
      <c r="J240" s="79"/>
      <c r="O240" s="79"/>
      <c r="P240" s="79"/>
      <c r="S240" s="79"/>
      <c r="T240" s="79"/>
      <c r="W240" s="130"/>
      <c r="Y240" s="106"/>
    </row>
    <row r="241">
      <c r="C241" s="79"/>
      <c r="D241" s="79"/>
      <c r="J241" s="79"/>
      <c r="O241" s="79"/>
      <c r="P241" s="79"/>
      <c r="S241" s="79"/>
      <c r="T241" s="79"/>
      <c r="W241" s="130"/>
      <c r="Y241" s="106"/>
    </row>
    <row r="242">
      <c r="C242" s="79"/>
      <c r="D242" s="79"/>
      <c r="J242" s="79"/>
      <c r="O242" s="79"/>
      <c r="P242" s="79"/>
      <c r="S242" s="79"/>
      <c r="T242" s="79"/>
      <c r="W242" s="130"/>
      <c r="Y242" s="106"/>
    </row>
    <row r="243">
      <c r="C243" s="79"/>
      <c r="D243" s="79"/>
      <c r="J243" s="79"/>
      <c r="O243" s="79"/>
      <c r="P243" s="79"/>
      <c r="S243" s="79"/>
      <c r="T243" s="79"/>
      <c r="W243" s="130"/>
      <c r="Y243" s="106"/>
    </row>
    <row r="244">
      <c r="C244" s="79"/>
      <c r="D244" s="79"/>
      <c r="J244" s="79"/>
      <c r="O244" s="79"/>
      <c r="P244" s="79"/>
      <c r="S244" s="79"/>
      <c r="T244" s="79"/>
      <c r="W244" s="130"/>
      <c r="Y244" s="106"/>
    </row>
    <row r="245">
      <c r="C245" s="79"/>
      <c r="D245" s="79"/>
      <c r="J245" s="79"/>
      <c r="O245" s="79"/>
      <c r="P245" s="79"/>
      <c r="S245" s="79"/>
      <c r="T245" s="79"/>
      <c r="W245" s="130"/>
      <c r="Y245" s="106"/>
    </row>
    <row r="246">
      <c r="C246" s="79"/>
      <c r="D246" s="79"/>
      <c r="J246" s="79"/>
      <c r="O246" s="79"/>
      <c r="P246" s="79"/>
      <c r="S246" s="79"/>
      <c r="T246" s="79"/>
      <c r="W246" s="130"/>
      <c r="Y246" s="106"/>
    </row>
    <row r="247">
      <c r="C247" s="79"/>
      <c r="D247" s="79"/>
      <c r="J247" s="79"/>
      <c r="O247" s="79"/>
      <c r="P247" s="79"/>
      <c r="S247" s="79"/>
      <c r="T247" s="79"/>
      <c r="W247" s="130"/>
      <c r="Y247" s="106"/>
    </row>
    <row r="248">
      <c r="C248" s="79"/>
      <c r="D248" s="79"/>
      <c r="J248" s="79"/>
      <c r="O248" s="79"/>
      <c r="P248" s="79"/>
      <c r="S248" s="79"/>
      <c r="T248" s="79"/>
      <c r="W248" s="130"/>
      <c r="Y248" s="106"/>
    </row>
    <row r="249">
      <c r="C249" s="79"/>
      <c r="D249" s="79"/>
      <c r="J249" s="79"/>
      <c r="O249" s="79"/>
      <c r="P249" s="79"/>
      <c r="S249" s="79"/>
      <c r="T249" s="79"/>
      <c r="W249" s="130"/>
      <c r="Y249" s="106"/>
    </row>
    <row r="250">
      <c r="C250" s="79"/>
      <c r="D250" s="79"/>
      <c r="J250" s="79"/>
      <c r="O250" s="79"/>
      <c r="P250" s="79"/>
      <c r="S250" s="79"/>
      <c r="T250" s="79"/>
      <c r="W250" s="130"/>
      <c r="Y250" s="106"/>
    </row>
    <row r="251">
      <c r="C251" s="79"/>
      <c r="D251" s="79"/>
      <c r="J251" s="79"/>
      <c r="O251" s="79"/>
      <c r="P251" s="79"/>
      <c r="S251" s="79"/>
      <c r="T251" s="79"/>
      <c r="W251" s="130"/>
      <c r="Y251" s="106"/>
    </row>
    <row r="252">
      <c r="C252" s="79"/>
      <c r="D252" s="79"/>
      <c r="J252" s="79"/>
      <c r="O252" s="79"/>
      <c r="P252" s="79"/>
      <c r="S252" s="79"/>
      <c r="T252" s="79"/>
      <c r="W252" s="130"/>
      <c r="Y252" s="106"/>
    </row>
    <row r="253">
      <c r="C253" s="79"/>
      <c r="D253" s="79"/>
      <c r="J253" s="79"/>
      <c r="O253" s="79"/>
      <c r="P253" s="79"/>
      <c r="S253" s="79"/>
      <c r="T253" s="79"/>
      <c r="W253" s="130"/>
      <c r="Y253" s="106"/>
    </row>
    <row r="254">
      <c r="C254" s="79"/>
      <c r="D254" s="79"/>
      <c r="J254" s="79"/>
      <c r="O254" s="79"/>
      <c r="P254" s="79"/>
      <c r="S254" s="79"/>
      <c r="T254" s="79"/>
      <c r="W254" s="130"/>
      <c r="Y254" s="106"/>
    </row>
    <row r="255">
      <c r="C255" s="79"/>
      <c r="D255" s="79"/>
      <c r="J255" s="79"/>
      <c r="O255" s="79"/>
      <c r="P255" s="79"/>
      <c r="S255" s="79"/>
      <c r="T255" s="79"/>
      <c r="W255" s="130"/>
      <c r="Y255" s="106"/>
    </row>
    <row r="256">
      <c r="C256" s="79"/>
      <c r="D256" s="79"/>
      <c r="J256" s="79"/>
      <c r="O256" s="79"/>
      <c r="P256" s="79"/>
      <c r="S256" s="79"/>
      <c r="T256" s="79"/>
      <c r="W256" s="130"/>
      <c r="Y256" s="106"/>
    </row>
    <row r="257">
      <c r="C257" s="79"/>
      <c r="D257" s="79"/>
      <c r="J257" s="79"/>
      <c r="O257" s="79"/>
      <c r="P257" s="79"/>
      <c r="S257" s="79"/>
      <c r="T257" s="79"/>
      <c r="W257" s="130"/>
      <c r="Y257" s="106"/>
    </row>
    <row r="258">
      <c r="C258" s="79"/>
      <c r="D258" s="79"/>
      <c r="J258" s="79"/>
      <c r="O258" s="79"/>
      <c r="P258" s="79"/>
      <c r="S258" s="79"/>
      <c r="T258" s="79"/>
      <c r="W258" s="130"/>
      <c r="Y258" s="106"/>
    </row>
    <row r="259">
      <c r="C259" s="79"/>
      <c r="D259" s="79"/>
      <c r="J259" s="79"/>
      <c r="O259" s="79"/>
      <c r="P259" s="79"/>
      <c r="S259" s="79"/>
      <c r="T259" s="79"/>
      <c r="W259" s="130"/>
      <c r="Y259" s="106"/>
    </row>
    <row r="260">
      <c r="C260" s="79"/>
      <c r="D260" s="79"/>
      <c r="J260" s="79"/>
      <c r="O260" s="79"/>
      <c r="P260" s="79"/>
      <c r="S260" s="79"/>
      <c r="T260" s="79"/>
      <c r="W260" s="130"/>
      <c r="Y260" s="106"/>
    </row>
    <row r="261">
      <c r="C261" s="79"/>
      <c r="D261" s="79"/>
      <c r="J261" s="79"/>
      <c r="O261" s="79"/>
      <c r="P261" s="79"/>
      <c r="S261" s="79"/>
      <c r="T261" s="79"/>
      <c r="W261" s="130"/>
      <c r="Y261" s="106"/>
    </row>
    <row r="262">
      <c r="C262" s="79"/>
      <c r="D262" s="79"/>
      <c r="J262" s="79"/>
      <c r="O262" s="79"/>
      <c r="P262" s="79"/>
      <c r="S262" s="79"/>
      <c r="T262" s="79"/>
      <c r="W262" s="130"/>
      <c r="Y262" s="106"/>
    </row>
    <row r="263">
      <c r="C263" s="79"/>
      <c r="D263" s="79"/>
      <c r="J263" s="79"/>
      <c r="O263" s="79"/>
      <c r="P263" s="79"/>
      <c r="S263" s="79"/>
      <c r="T263" s="79"/>
      <c r="W263" s="130"/>
      <c r="Y263" s="106"/>
    </row>
    <row r="264">
      <c r="C264" s="79"/>
      <c r="D264" s="79"/>
      <c r="J264" s="79"/>
      <c r="O264" s="79"/>
      <c r="P264" s="79"/>
      <c r="S264" s="79"/>
      <c r="T264" s="79"/>
      <c r="W264" s="130"/>
      <c r="Y264" s="106"/>
    </row>
    <row r="265">
      <c r="C265" s="79"/>
      <c r="D265" s="79"/>
      <c r="J265" s="79"/>
      <c r="O265" s="79"/>
      <c r="P265" s="79"/>
      <c r="S265" s="79"/>
      <c r="T265" s="79"/>
      <c r="W265" s="130"/>
      <c r="Y265" s="106"/>
    </row>
    <row r="266">
      <c r="C266" s="79"/>
      <c r="D266" s="79"/>
      <c r="J266" s="79"/>
      <c r="O266" s="79"/>
      <c r="P266" s="79"/>
      <c r="S266" s="79"/>
      <c r="T266" s="79"/>
      <c r="W266" s="130"/>
      <c r="Y266" s="106"/>
    </row>
    <row r="267">
      <c r="C267" s="79"/>
      <c r="D267" s="79"/>
      <c r="J267" s="79"/>
      <c r="O267" s="79"/>
      <c r="P267" s="79"/>
      <c r="S267" s="79"/>
      <c r="T267" s="79"/>
      <c r="W267" s="130"/>
      <c r="Y267" s="106"/>
    </row>
    <row r="268">
      <c r="C268" s="79"/>
      <c r="D268" s="79"/>
      <c r="J268" s="79"/>
      <c r="O268" s="79"/>
      <c r="P268" s="79"/>
      <c r="S268" s="79"/>
      <c r="T268" s="79"/>
      <c r="W268" s="130"/>
      <c r="Y268" s="106"/>
    </row>
    <row r="269">
      <c r="C269" s="79"/>
      <c r="D269" s="79"/>
      <c r="J269" s="79"/>
      <c r="O269" s="79"/>
      <c r="P269" s="79"/>
      <c r="S269" s="79"/>
      <c r="T269" s="79"/>
      <c r="W269" s="130"/>
      <c r="Y269" s="106"/>
    </row>
    <row r="270">
      <c r="C270" s="79"/>
      <c r="D270" s="79"/>
      <c r="J270" s="79"/>
      <c r="O270" s="79"/>
      <c r="P270" s="79"/>
      <c r="S270" s="79"/>
      <c r="T270" s="79"/>
      <c r="W270" s="130"/>
      <c r="Y270" s="106"/>
    </row>
    <row r="271">
      <c r="C271" s="79"/>
      <c r="D271" s="79"/>
      <c r="J271" s="79"/>
      <c r="O271" s="79"/>
      <c r="P271" s="79"/>
      <c r="S271" s="79"/>
      <c r="T271" s="79"/>
      <c r="W271" s="130"/>
      <c r="Y271" s="106"/>
    </row>
    <row r="272">
      <c r="C272" s="79"/>
      <c r="D272" s="79"/>
      <c r="J272" s="79"/>
      <c r="O272" s="79"/>
      <c r="P272" s="79"/>
      <c r="S272" s="79"/>
      <c r="T272" s="79"/>
      <c r="W272" s="130"/>
      <c r="Y272" s="106"/>
    </row>
    <row r="273">
      <c r="C273" s="79"/>
      <c r="D273" s="79"/>
      <c r="J273" s="79"/>
      <c r="O273" s="79"/>
      <c r="P273" s="79"/>
      <c r="S273" s="79"/>
      <c r="T273" s="79"/>
      <c r="W273" s="130"/>
      <c r="Y273" s="106"/>
    </row>
    <row r="274">
      <c r="C274" s="79"/>
      <c r="D274" s="79"/>
      <c r="J274" s="79"/>
      <c r="O274" s="79"/>
      <c r="P274" s="79"/>
      <c r="S274" s="79"/>
      <c r="T274" s="79"/>
      <c r="W274" s="130"/>
      <c r="Y274" s="106"/>
    </row>
    <row r="275">
      <c r="C275" s="79"/>
      <c r="D275" s="79"/>
      <c r="J275" s="79"/>
      <c r="O275" s="79"/>
      <c r="P275" s="79"/>
      <c r="S275" s="79"/>
      <c r="T275" s="79"/>
      <c r="W275" s="130"/>
      <c r="Y275" s="106"/>
    </row>
    <row r="276">
      <c r="C276" s="79"/>
      <c r="D276" s="79"/>
      <c r="J276" s="79"/>
      <c r="O276" s="79"/>
      <c r="P276" s="79"/>
      <c r="S276" s="79"/>
      <c r="T276" s="79"/>
      <c r="W276" s="130"/>
      <c r="Y276" s="106"/>
    </row>
    <row r="277">
      <c r="C277" s="79"/>
      <c r="D277" s="79"/>
      <c r="J277" s="79"/>
      <c r="O277" s="79"/>
      <c r="P277" s="79"/>
      <c r="S277" s="79"/>
      <c r="T277" s="79"/>
      <c r="W277" s="130"/>
      <c r="Y277" s="106"/>
    </row>
    <row r="278">
      <c r="C278" s="79"/>
      <c r="D278" s="79"/>
      <c r="J278" s="79"/>
      <c r="O278" s="79"/>
      <c r="P278" s="79"/>
      <c r="S278" s="79"/>
      <c r="T278" s="79"/>
      <c r="W278" s="130"/>
      <c r="Y278" s="106"/>
    </row>
    <row r="279">
      <c r="C279" s="79"/>
      <c r="D279" s="79"/>
      <c r="J279" s="79"/>
      <c r="O279" s="79"/>
      <c r="P279" s="79"/>
      <c r="S279" s="79"/>
      <c r="T279" s="79"/>
      <c r="W279" s="130"/>
      <c r="Y279" s="106"/>
    </row>
    <row r="280">
      <c r="C280" s="79"/>
      <c r="D280" s="79"/>
      <c r="J280" s="79"/>
      <c r="O280" s="79"/>
      <c r="P280" s="79"/>
      <c r="S280" s="79"/>
      <c r="T280" s="79"/>
      <c r="W280" s="130"/>
      <c r="Y280" s="106"/>
    </row>
    <row r="281">
      <c r="C281" s="79"/>
      <c r="D281" s="79"/>
      <c r="J281" s="79"/>
      <c r="O281" s="79"/>
      <c r="P281" s="79"/>
      <c r="S281" s="79"/>
      <c r="T281" s="79"/>
      <c r="W281" s="130"/>
      <c r="Y281" s="106"/>
    </row>
    <row r="282">
      <c r="C282" s="79"/>
      <c r="D282" s="79"/>
      <c r="J282" s="79"/>
      <c r="O282" s="79"/>
      <c r="P282" s="79"/>
      <c r="S282" s="79"/>
      <c r="T282" s="79"/>
      <c r="W282" s="130"/>
      <c r="Y282" s="106"/>
    </row>
    <row r="283">
      <c r="C283" s="79"/>
      <c r="D283" s="79"/>
      <c r="J283" s="79"/>
      <c r="O283" s="79"/>
      <c r="P283" s="79"/>
      <c r="S283" s="79"/>
      <c r="T283" s="79"/>
      <c r="W283" s="130"/>
      <c r="Y283" s="106"/>
    </row>
    <row r="284">
      <c r="C284" s="79"/>
      <c r="D284" s="79"/>
      <c r="J284" s="79"/>
      <c r="O284" s="79"/>
      <c r="P284" s="79"/>
      <c r="S284" s="79"/>
      <c r="T284" s="79"/>
      <c r="W284" s="130"/>
      <c r="Y284" s="106"/>
    </row>
    <row r="285">
      <c r="C285" s="79"/>
      <c r="D285" s="79"/>
      <c r="J285" s="79"/>
      <c r="O285" s="79"/>
      <c r="P285" s="79"/>
      <c r="S285" s="79"/>
      <c r="T285" s="79"/>
      <c r="W285" s="130"/>
      <c r="Y285" s="106"/>
    </row>
    <row r="286">
      <c r="C286" s="79"/>
      <c r="D286" s="79"/>
      <c r="J286" s="79"/>
      <c r="O286" s="79"/>
      <c r="P286" s="79"/>
      <c r="S286" s="79"/>
      <c r="T286" s="79"/>
      <c r="W286" s="130"/>
      <c r="Y286" s="106"/>
    </row>
    <row r="287">
      <c r="C287" s="79"/>
      <c r="D287" s="79"/>
      <c r="J287" s="79"/>
      <c r="O287" s="79"/>
      <c r="P287" s="79"/>
      <c r="S287" s="79"/>
      <c r="T287" s="79"/>
      <c r="W287" s="130"/>
      <c r="Y287" s="106"/>
    </row>
    <row r="288">
      <c r="C288" s="79"/>
      <c r="D288" s="79"/>
      <c r="J288" s="79"/>
      <c r="O288" s="79"/>
      <c r="P288" s="79"/>
      <c r="S288" s="79"/>
      <c r="T288" s="79"/>
      <c r="W288" s="130"/>
      <c r="Y288" s="106"/>
    </row>
    <row r="289">
      <c r="C289" s="79"/>
      <c r="D289" s="79"/>
      <c r="J289" s="79"/>
      <c r="O289" s="79"/>
      <c r="P289" s="79"/>
      <c r="S289" s="79"/>
      <c r="T289" s="79"/>
      <c r="W289" s="130"/>
      <c r="Y289" s="106"/>
    </row>
    <row r="290">
      <c r="C290" s="79"/>
      <c r="D290" s="79"/>
      <c r="J290" s="79"/>
      <c r="O290" s="79"/>
      <c r="P290" s="79"/>
      <c r="S290" s="79"/>
      <c r="T290" s="79"/>
      <c r="W290" s="130"/>
      <c r="Y290" s="106"/>
    </row>
    <row r="291">
      <c r="C291" s="79"/>
      <c r="D291" s="79"/>
      <c r="J291" s="79"/>
      <c r="O291" s="79"/>
      <c r="P291" s="79"/>
      <c r="S291" s="79"/>
      <c r="T291" s="79"/>
      <c r="W291" s="130"/>
      <c r="Y291" s="106"/>
    </row>
    <row r="292">
      <c r="C292" s="79"/>
      <c r="D292" s="79"/>
      <c r="J292" s="79"/>
      <c r="O292" s="79"/>
      <c r="P292" s="79"/>
      <c r="S292" s="79"/>
      <c r="T292" s="79"/>
      <c r="W292" s="130"/>
      <c r="Y292" s="106"/>
    </row>
    <row r="293">
      <c r="C293" s="79"/>
      <c r="D293" s="79"/>
      <c r="J293" s="79"/>
      <c r="O293" s="79"/>
      <c r="P293" s="79"/>
      <c r="S293" s="79"/>
      <c r="T293" s="79"/>
      <c r="W293" s="130"/>
      <c r="Y293" s="106"/>
    </row>
    <row r="294">
      <c r="C294" s="79"/>
      <c r="D294" s="79"/>
      <c r="J294" s="79"/>
      <c r="O294" s="79"/>
      <c r="P294" s="79"/>
      <c r="S294" s="79"/>
      <c r="T294" s="79"/>
      <c r="W294" s="130"/>
      <c r="Y294" s="106"/>
    </row>
    <row r="295">
      <c r="C295" s="79"/>
      <c r="D295" s="79"/>
      <c r="J295" s="79"/>
      <c r="O295" s="79"/>
      <c r="P295" s="79"/>
      <c r="S295" s="79"/>
      <c r="T295" s="79"/>
      <c r="W295" s="130"/>
      <c r="Y295" s="106"/>
    </row>
    <row r="296">
      <c r="C296" s="79"/>
      <c r="D296" s="79"/>
      <c r="J296" s="79"/>
      <c r="O296" s="79"/>
      <c r="P296" s="79"/>
      <c r="S296" s="79"/>
      <c r="T296" s="79"/>
      <c r="W296" s="130"/>
      <c r="Y296" s="106"/>
    </row>
    <row r="297">
      <c r="C297" s="79"/>
      <c r="D297" s="79"/>
      <c r="J297" s="79"/>
      <c r="O297" s="79"/>
      <c r="P297" s="79"/>
      <c r="S297" s="79"/>
      <c r="T297" s="79"/>
      <c r="W297" s="130"/>
      <c r="Y297" s="106"/>
    </row>
    <row r="298">
      <c r="C298" s="79"/>
      <c r="D298" s="79"/>
      <c r="J298" s="79"/>
      <c r="O298" s="79"/>
      <c r="P298" s="79"/>
      <c r="S298" s="79"/>
      <c r="T298" s="79"/>
      <c r="W298" s="130"/>
      <c r="Y298" s="106"/>
    </row>
    <row r="299">
      <c r="C299" s="79"/>
      <c r="D299" s="79"/>
      <c r="J299" s="79"/>
      <c r="O299" s="79"/>
      <c r="P299" s="79"/>
      <c r="S299" s="79"/>
      <c r="T299" s="79"/>
      <c r="W299" s="130"/>
      <c r="Y299" s="106"/>
    </row>
    <row r="300">
      <c r="C300" s="79"/>
      <c r="D300" s="79"/>
      <c r="J300" s="79"/>
      <c r="O300" s="79"/>
      <c r="P300" s="79"/>
      <c r="S300" s="79"/>
      <c r="T300" s="79"/>
      <c r="W300" s="130"/>
      <c r="Y300" s="106"/>
    </row>
    <row r="301">
      <c r="C301" s="79"/>
      <c r="D301" s="79"/>
      <c r="J301" s="79"/>
      <c r="O301" s="79"/>
      <c r="P301" s="79"/>
      <c r="S301" s="79"/>
      <c r="T301" s="79"/>
      <c r="W301" s="130"/>
      <c r="Y301" s="106"/>
    </row>
    <row r="302">
      <c r="C302" s="79"/>
      <c r="D302" s="79"/>
      <c r="J302" s="79"/>
      <c r="O302" s="79"/>
      <c r="P302" s="79"/>
      <c r="S302" s="79"/>
      <c r="T302" s="79"/>
      <c r="W302" s="130"/>
      <c r="Y302" s="106"/>
    </row>
    <row r="303">
      <c r="C303" s="79"/>
      <c r="D303" s="79"/>
      <c r="J303" s="79"/>
      <c r="O303" s="79"/>
      <c r="P303" s="79"/>
      <c r="S303" s="79"/>
      <c r="T303" s="79"/>
      <c r="W303" s="130"/>
      <c r="Y303" s="106"/>
    </row>
    <row r="304">
      <c r="C304" s="79"/>
      <c r="D304" s="79"/>
      <c r="J304" s="79"/>
      <c r="O304" s="79"/>
      <c r="P304" s="79"/>
      <c r="S304" s="79"/>
      <c r="T304" s="79"/>
      <c r="W304" s="130"/>
      <c r="Y304" s="106"/>
    </row>
    <row r="305">
      <c r="C305" s="79"/>
      <c r="D305" s="79"/>
      <c r="J305" s="79"/>
      <c r="O305" s="79"/>
      <c r="P305" s="79"/>
      <c r="S305" s="79"/>
      <c r="T305" s="79"/>
      <c r="W305" s="130"/>
      <c r="Y305" s="106"/>
    </row>
    <row r="306">
      <c r="C306" s="79"/>
      <c r="D306" s="79"/>
      <c r="J306" s="79"/>
      <c r="O306" s="79"/>
      <c r="P306" s="79"/>
      <c r="S306" s="79"/>
      <c r="T306" s="79"/>
      <c r="W306" s="130"/>
      <c r="Y306" s="106"/>
    </row>
    <row r="307">
      <c r="C307" s="79"/>
      <c r="D307" s="79"/>
      <c r="J307" s="79"/>
      <c r="O307" s="79"/>
      <c r="P307" s="79"/>
      <c r="S307" s="79"/>
      <c r="T307" s="79"/>
      <c r="W307" s="130"/>
      <c r="Y307" s="106"/>
    </row>
    <row r="308">
      <c r="C308" s="79"/>
      <c r="D308" s="79"/>
      <c r="J308" s="79"/>
      <c r="O308" s="79"/>
      <c r="P308" s="79"/>
      <c r="S308" s="79"/>
      <c r="T308" s="79"/>
      <c r="W308" s="130"/>
      <c r="Y308" s="106"/>
    </row>
    <row r="309">
      <c r="C309" s="79"/>
      <c r="D309" s="79"/>
      <c r="J309" s="79"/>
      <c r="O309" s="79"/>
      <c r="P309" s="79"/>
      <c r="S309" s="79"/>
      <c r="T309" s="79"/>
      <c r="W309" s="130"/>
      <c r="Y309" s="106"/>
    </row>
    <row r="310">
      <c r="C310" s="79"/>
      <c r="D310" s="79"/>
      <c r="J310" s="79"/>
      <c r="O310" s="79"/>
      <c r="P310" s="79"/>
      <c r="S310" s="79"/>
      <c r="T310" s="79"/>
      <c r="W310" s="130"/>
      <c r="Y310" s="106"/>
    </row>
    <row r="311">
      <c r="C311" s="79"/>
      <c r="D311" s="79"/>
      <c r="J311" s="79"/>
      <c r="O311" s="79"/>
      <c r="P311" s="79"/>
      <c r="S311" s="79"/>
      <c r="T311" s="79"/>
      <c r="W311" s="130"/>
      <c r="Y311" s="106"/>
    </row>
    <row r="312">
      <c r="C312" s="79"/>
      <c r="D312" s="79"/>
      <c r="J312" s="79"/>
      <c r="O312" s="79"/>
      <c r="P312" s="79"/>
      <c r="S312" s="79"/>
      <c r="T312" s="79"/>
      <c r="W312" s="130"/>
      <c r="Y312" s="106"/>
    </row>
    <row r="313">
      <c r="C313" s="79"/>
      <c r="D313" s="79"/>
      <c r="J313" s="79"/>
      <c r="O313" s="79"/>
      <c r="P313" s="79"/>
      <c r="S313" s="79"/>
      <c r="T313" s="79"/>
      <c r="W313" s="130"/>
      <c r="Y313" s="106"/>
    </row>
    <row r="314">
      <c r="C314" s="79"/>
      <c r="D314" s="79"/>
      <c r="J314" s="79"/>
      <c r="O314" s="79"/>
      <c r="P314" s="79"/>
      <c r="S314" s="79"/>
      <c r="T314" s="79"/>
      <c r="W314" s="130"/>
      <c r="Y314" s="106"/>
    </row>
    <row r="315">
      <c r="C315" s="79"/>
      <c r="D315" s="79"/>
      <c r="J315" s="79"/>
      <c r="O315" s="79"/>
      <c r="P315" s="79"/>
      <c r="S315" s="79"/>
      <c r="T315" s="79"/>
      <c r="W315" s="130"/>
      <c r="Y315" s="106"/>
    </row>
    <row r="316">
      <c r="C316" s="79"/>
      <c r="D316" s="79"/>
      <c r="J316" s="79"/>
      <c r="O316" s="79"/>
      <c r="P316" s="79"/>
      <c r="S316" s="79"/>
      <c r="T316" s="79"/>
      <c r="W316" s="130"/>
      <c r="Y316" s="106"/>
    </row>
    <row r="317">
      <c r="C317" s="79"/>
      <c r="D317" s="79"/>
      <c r="J317" s="79"/>
      <c r="O317" s="79"/>
      <c r="P317" s="79"/>
      <c r="S317" s="79"/>
      <c r="T317" s="79"/>
      <c r="W317" s="130"/>
      <c r="Y317" s="106"/>
    </row>
    <row r="318">
      <c r="C318" s="79"/>
      <c r="D318" s="79"/>
      <c r="J318" s="79"/>
      <c r="O318" s="79"/>
      <c r="P318" s="79"/>
      <c r="S318" s="79"/>
      <c r="T318" s="79"/>
      <c r="W318" s="130"/>
      <c r="Y318" s="106"/>
    </row>
    <row r="319">
      <c r="C319" s="79"/>
      <c r="D319" s="79"/>
      <c r="J319" s="79"/>
      <c r="O319" s="79"/>
      <c r="P319" s="79"/>
      <c r="S319" s="79"/>
      <c r="T319" s="79"/>
      <c r="W319" s="130"/>
      <c r="Y319" s="106"/>
    </row>
    <row r="320">
      <c r="C320" s="79"/>
      <c r="D320" s="79"/>
      <c r="J320" s="79"/>
      <c r="O320" s="79"/>
      <c r="P320" s="79"/>
      <c r="S320" s="79"/>
      <c r="T320" s="79"/>
      <c r="W320" s="130"/>
      <c r="Y320" s="106"/>
    </row>
    <row r="321">
      <c r="C321" s="79"/>
      <c r="D321" s="79"/>
      <c r="J321" s="79"/>
      <c r="O321" s="79"/>
      <c r="P321" s="79"/>
      <c r="S321" s="79"/>
      <c r="T321" s="79"/>
      <c r="W321" s="130"/>
      <c r="Y321" s="106"/>
    </row>
    <row r="322">
      <c r="C322" s="79"/>
      <c r="D322" s="79"/>
      <c r="J322" s="79"/>
      <c r="O322" s="79"/>
      <c r="P322" s="79"/>
      <c r="S322" s="79"/>
      <c r="T322" s="79"/>
      <c r="W322" s="130"/>
      <c r="Y322" s="106"/>
    </row>
    <row r="323">
      <c r="C323" s="79"/>
      <c r="D323" s="79"/>
      <c r="J323" s="79"/>
      <c r="O323" s="79"/>
      <c r="P323" s="79"/>
      <c r="S323" s="79"/>
      <c r="T323" s="79"/>
      <c r="W323" s="130"/>
      <c r="Y323" s="106"/>
    </row>
    <row r="324">
      <c r="C324" s="79"/>
      <c r="D324" s="79"/>
      <c r="J324" s="79"/>
      <c r="O324" s="79"/>
      <c r="P324" s="79"/>
      <c r="S324" s="79"/>
      <c r="T324" s="79"/>
      <c r="W324" s="130"/>
      <c r="Y324" s="106"/>
    </row>
    <row r="325">
      <c r="C325" s="79"/>
      <c r="D325" s="79"/>
      <c r="J325" s="79"/>
      <c r="O325" s="79"/>
      <c r="P325" s="79"/>
      <c r="S325" s="79"/>
      <c r="T325" s="79"/>
      <c r="W325" s="130"/>
      <c r="Y325" s="106"/>
    </row>
    <row r="326">
      <c r="C326" s="79"/>
      <c r="D326" s="79"/>
      <c r="J326" s="79"/>
      <c r="O326" s="79"/>
      <c r="P326" s="79"/>
      <c r="S326" s="79"/>
      <c r="T326" s="79"/>
      <c r="W326" s="130"/>
      <c r="Y326" s="106"/>
    </row>
    <row r="327">
      <c r="C327" s="79"/>
      <c r="D327" s="79"/>
      <c r="J327" s="79"/>
      <c r="O327" s="79"/>
      <c r="P327" s="79"/>
      <c r="S327" s="79"/>
      <c r="T327" s="79"/>
      <c r="W327" s="130"/>
      <c r="Y327" s="106"/>
    </row>
    <row r="328">
      <c r="C328" s="79"/>
      <c r="D328" s="79"/>
      <c r="J328" s="79"/>
      <c r="O328" s="79"/>
      <c r="P328" s="79"/>
      <c r="S328" s="79"/>
      <c r="T328" s="79"/>
      <c r="W328" s="130"/>
      <c r="Y328" s="106"/>
    </row>
    <row r="329">
      <c r="C329" s="79"/>
      <c r="D329" s="79"/>
      <c r="J329" s="79"/>
      <c r="O329" s="79"/>
      <c r="P329" s="79"/>
      <c r="S329" s="79"/>
      <c r="T329" s="79"/>
      <c r="W329" s="130"/>
      <c r="Y329" s="106"/>
    </row>
    <row r="330">
      <c r="C330" s="79"/>
      <c r="D330" s="79"/>
      <c r="J330" s="79"/>
      <c r="O330" s="79"/>
      <c r="P330" s="79"/>
      <c r="S330" s="79"/>
      <c r="T330" s="79"/>
      <c r="W330" s="130"/>
      <c r="Y330" s="106"/>
    </row>
    <row r="331">
      <c r="C331" s="79"/>
      <c r="D331" s="79"/>
      <c r="J331" s="79"/>
      <c r="O331" s="79"/>
      <c r="P331" s="79"/>
      <c r="S331" s="79"/>
      <c r="T331" s="79"/>
      <c r="W331" s="130"/>
      <c r="Y331" s="106"/>
    </row>
    <row r="332">
      <c r="C332" s="79"/>
      <c r="D332" s="79"/>
      <c r="J332" s="79"/>
      <c r="O332" s="79"/>
      <c r="P332" s="79"/>
      <c r="S332" s="79"/>
      <c r="T332" s="79"/>
      <c r="W332" s="130"/>
      <c r="Y332" s="106"/>
    </row>
    <row r="333">
      <c r="C333" s="79"/>
      <c r="D333" s="79"/>
      <c r="J333" s="79"/>
      <c r="O333" s="79"/>
      <c r="P333" s="79"/>
      <c r="S333" s="79"/>
      <c r="T333" s="79"/>
      <c r="W333" s="130"/>
      <c r="Y333" s="106"/>
    </row>
    <row r="334">
      <c r="C334" s="79"/>
      <c r="D334" s="79"/>
      <c r="J334" s="79"/>
      <c r="O334" s="79"/>
      <c r="P334" s="79"/>
      <c r="S334" s="79"/>
      <c r="T334" s="79"/>
      <c r="W334" s="130"/>
      <c r="Y334" s="106"/>
    </row>
    <row r="335">
      <c r="C335" s="79"/>
      <c r="D335" s="79"/>
      <c r="J335" s="79"/>
      <c r="O335" s="79"/>
      <c r="P335" s="79"/>
      <c r="S335" s="79"/>
      <c r="T335" s="79"/>
      <c r="W335" s="130"/>
      <c r="Y335" s="106"/>
    </row>
    <row r="336">
      <c r="C336" s="79"/>
      <c r="D336" s="79"/>
      <c r="J336" s="79"/>
      <c r="O336" s="79"/>
      <c r="P336" s="79"/>
      <c r="S336" s="79"/>
      <c r="T336" s="79"/>
      <c r="W336" s="130"/>
      <c r="Y336" s="106"/>
    </row>
    <row r="337">
      <c r="C337" s="79"/>
      <c r="D337" s="79"/>
      <c r="J337" s="79"/>
      <c r="O337" s="79"/>
      <c r="P337" s="79"/>
      <c r="S337" s="79"/>
      <c r="T337" s="79"/>
      <c r="W337" s="130"/>
      <c r="Y337" s="106"/>
    </row>
    <row r="338">
      <c r="C338" s="79"/>
      <c r="D338" s="79"/>
      <c r="J338" s="79"/>
      <c r="O338" s="79"/>
      <c r="P338" s="79"/>
      <c r="S338" s="79"/>
      <c r="T338" s="79"/>
      <c r="W338" s="130"/>
      <c r="Y338" s="106"/>
    </row>
    <row r="339">
      <c r="C339" s="79"/>
      <c r="D339" s="79"/>
      <c r="J339" s="79"/>
      <c r="O339" s="79"/>
      <c r="P339" s="79"/>
      <c r="S339" s="79"/>
      <c r="T339" s="79"/>
      <c r="W339" s="130"/>
      <c r="Y339" s="106"/>
    </row>
    <row r="340">
      <c r="C340" s="79"/>
      <c r="D340" s="79"/>
      <c r="J340" s="79"/>
      <c r="O340" s="79"/>
      <c r="P340" s="79"/>
      <c r="S340" s="79"/>
      <c r="T340" s="79"/>
      <c r="W340" s="130"/>
      <c r="Y340" s="106"/>
    </row>
    <row r="341">
      <c r="C341" s="79"/>
      <c r="D341" s="79"/>
      <c r="J341" s="79"/>
      <c r="O341" s="79"/>
      <c r="P341" s="79"/>
      <c r="S341" s="79"/>
      <c r="T341" s="79"/>
      <c r="W341" s="130"/>
      <c r="Y341" s="106"/>
    </row>
    <row r="342">
      <c r="C342" s="79"/>
      <c r="D342" s="79"/>
      <c r="J342" s="79"/>
      <c r="O342" s="79"/>
      <c r="P342" s="79"/>
      <c r="S342" s="79"/>
      <c r="T342" s="79"/>
      <c r="W342" s="130"/>
      <c r="Y342" s="106"/>
    </row>
    <row r="343">
      <c r="C343" s="79"/>
      <c r="D343" s="79"/>
      <c r="J343" s="79"/>
      <c r="O343" s="79"/>
      <c r="P343" s="79"/>
      <c r="S343" s="79"/>
      <c r="T343" s="79"/>
      <c r="W343" s="130"/>
      <c r="Y343" s="106"/>
    </row>
    <row r="344">
      <c r="C344" s="79"/>
      <c r="D344" s="79"/>
      <c r="J344" s="79"/>
      <c r="O344" s="79"/>
      <c r="P344" s="79"/>
      <c r="S344" s="79"/>
      <c r="T344" s="79"/>
      <c r="W344" s="130"/>
      <c r="Y344" s="106"/>
    </row>
    <row r="345">
      <c r="C345" s="79"/>
      <c r="D345" s="79"/>
      <c r="J345" s="79"/>
      <c r="O345" s="79"/>
      <c r="P345" s="79"/>
      <c r="S345" s="79"/>
      <c r="T345" s="79"/>
      <c r="W345" s="130"/>
      <c r="Y345" s="106"/>
    </row>
    <row r="346">
      <c r="C346" s="79"/>
      <c r="D346" s="79"/>
      <c r="J346" s="79"/>
      <c r="O346" s="79"/>
      <c r="P346" s="79"/>
      <c r="S346" s="79"/>
      <c r="T346" s="79"/>
      <c r="W346" s="130"/>
      <c r="Y346" s="106"/>
    </row>
    <row r="347">
      <c r="C347" s="79"/>
      <c r="D347" s="79"/>
      <c r="J347" s="79"/>
      <c r="O347" s="79"/>
      <c r="P347" s="79"/>
      <c r="S347" s="79"/>
      <c r="T347" s="79"/>
      <c r="W347" s="130"/>
      <c r="Y347" s="106"/>
    </row>
    <row r="348">
      <c r="C348" s="79"/>
      <c r="D348" s="79"/>
      <c r="J348" s="79"/>
      <c r="O348" s="79"/>
      <c r="P348" s="79"/>
      <c r="S348" s="79"/>
      <c r="T348" s="79"/>
      <c r="W348" s="130"/>
      <c r="Y348" s="106"/>
    </row>
    <row r="349">
      <c r="C349" s="79"/>
      <c r="D349" s="79"/>
      <c r="J349" s="79"/>
      <c r="O349" s="79"/>
      <c r="P349" s="79"/>
      <c r="S349" s="79"/>
      <c r="T349" s="79"/>
      <c r="W349" s="130"/>
      <c r="Y349" s="106"/>
    </row>
    <row r="350">
      <c r="C350" s="79"/>
      <c r="D350" s="79"/>
      <c r="J350" s="79"/>
      <c r="O350" s="79"/>
      <c r="P350" s="79"/>
      <c r="S350" s="79"/>
      <c r="T350" s="79"/>
      <c r="W350" s="130"/>
      <c r="Y350" s="106"/>
    </row>
    <row r="351">
      <c r="C351" s="79"/>
      <c r="D351" s="79"/>
      <c r="J351" s="79"/>
      <c r="O351" s="79"/>
      <c r="P351" s="79"/>
      <c r="S351" s="79"/>
      <c r="T351" s="79"/>
      <c r="W351" s="130"/>
      <c r="Y351" s="106"/>
    </row>
    <row r="352">
      <c r="C352" s="79"/>
      <c r="D352" s="79"/>
      <c r="J352" s="79"/>
      <c r="O352" s="79"/>
      <c r="P352" s="79"/>
      <c r="S352" s="79"/>
      <c r="T352" s="79"/>
      <c r="W352" s="130"/>
      <c r="Y352" s="106"/>
    </row>
    <row r="353">
      <c r="C353" s="79"/>
      <c r="D353" s="79"/>
      <c r="J353" s="79"/>
      <c r="O353" s="79"/>
      <c r="P353" s="79"/>
      <c r="S353" s="79"/>
      <c r="T353" s="79"/>
      <c r="W353" s="130"/>
      <c r="Y353" s="106"/>
    </row>
    <row r="354">
      <c r="C354" s="79"/>
      <c r="D354" s="79"/>
      <c r="J354" s="79"/>
      <c r="O354" s="79"/>
      <c r="P354" s="79"/>
      <c r="S354" s="79"/>
      <c r="T354" s="79"/>
      <c r="W354" s="130"/>
      <c r="Y354" s="106"/>
    </row>
    <row r="355">
      <c r="C355" s="79"/>
      <c r="D355" s="79"/>
      <c r="J355" s="79"/>
      <c r="O355" s="79"/>
      <c r="P355" s="79"/>
      <c r="S355" s="79"/>
      <c r="T355" s="79"/>
      <c r="W355" s="130"/>
      <c r="Y355" s="106"/>
    </row>
    <row r="356">
      <c r="C356" s="79"/>
      <c r="D356" s="79"/>
      <c r="J356" s="79"/>
      <c r="O356" s="79"/>
      <c r="P356" s="79"/>
      <c r="S356" s="79"/>
      <c r="T356" s="79"/>
      <c r="W356" s="130"/>
      <c r="Y356" s="106"/>
    </row>
    <row r="357">
      <c r="C357" s="79"/>
      <c r="D357" s="79"/>
      <c r="J357" s="79"/>
      <c r="O357" s="79"/>
      <c r="P357" s="79"/>
      <c r="S357" s="79"/>
      <c r="T357" s="79"/>
      <c r="W357" s="130"/>
      <c r="Y357" s="106"/>
    </row>
    <row r="358">
      <c r="C358" s="79"/>
      <c r="D358" s="79"/>
      <c r="J358" s="79"/>
      <c r="O358" s="79"/>
      <c r="P358" s="79"/>
      <c r="S358" s="79"/>
      <c r="T358" s="79"/>
      <c r="W358" s="130"/>
      <c r="Y358" s="106"/>
    </row>
    <row r="359">
      <c r="C359" s="79"/>
      <c r="D359" s="79"/>
      <c r="J359" s="79"/>
      <c r="O359" s="79"/>
      <c r="P359" s="79"/>
      <c r="S359" s="79"/>
      <c r="T359" s="79"/>
      <c r="W359" s="130"/>
      <c r="Y359" s="106"/>
    </row>
    <row r="360">
      <c r="C360" s="79"/>
      <c r="D360" s="79"/>
      <c r="J360" s="79"/>
      <c r="O360" s="79"/>
      <c r="P360" s="79"/>
      <c r="S360" s="79"/>
      <c r="T360" s="79"/>
      <c r="W360" s="130"/>
      <c r="Y360" s="106"/>
    </row>
    <row r="361">
      <c r="C361" s="79"/>
      <c r="D361" s="79"/>
      <c r="J361" s="79"/>
      <c r="O361" s="79"/>
      <c r="P361" s="79"/>
      <c r="S361" s="79"/>
      <c r="T361" s="79"/>
      <c r="W361" s="130"/>
      <c r="Y361" s="106"/>
    </row>
    <row r="362">
      <c r="C362" s="79"/>
      <c r="D362" s="79"/>
      <c r="J362" s="79"/>
      <c r="O362" s="79"/>
      <c r="P362" s="79"/>
      <c r="S362" s="79"/>
      <c r="T362" s="79"/>
      <c r="W362" s="130"/>
      <c r="Y362" s="106"/>
    </row>
    <row r="363">
      <c r="C363" s="79"/>
      <c r="D363" s="79"/>
      <c r="J363" s="79"/>
      <c r="O363" s="79"/>
      <c r="P363" s="79"/>
      <c r="S363" s="79"/>
      <c r="T363" s="79"/>
      <c r="W363" s="130"/>
      <c r="Y363" s="106"/>
    </row>
    <row r="364">
      <c r="C364" s="79"/>
      <c r="D364" s="79"/>
      <c r="J364" s="79"/>
      <c r="O364" s="79"/>
      <c r="P364" s="79"/>
      <c r="S364" s="79"/>
      <c r="T364" s="79"/>
      <c r="W364" s="130"/>
      <c r="Y364" s="106"/>
    </row>
    <row r="365">
      <c r="C365" s="79"/>
      <c r="D365" s="79"/>
      <c r="J365" s="79"/>
      <c r="O365" s="79"/>
      <c r="P365" s="79"/>
      <c r="S365" s="79"/>
      <c r="T365" s="79"/>
      <c r="W365" s="130"/>
      <c r="Y365" s="106"/>
    </row>
    <row r="366">
      <c r="C366" s="79"/>
      <c r="D366" s="79"/>
      <c r="J366" s="79"/>
      <c r="O366" s="79"/>
      <c r="P366" s="79"/>
      <c r="S366" s="79"/>
      <c r="T366" s="79"/>
      <c r="W366" s="130"/>
      <c r="Y366" s="106"/>
    </row>
    <row r="367">
      <c r="C367" s="79"/>
      <c r="D367" s="79"/>
      <c r="J367" s="79"/>
      <c r="O367" s="79"/>
      <c r="P367" s="79"/>
      <c r="S367" s="79"/>
      <c r="T367" s="79"/>
      <c r="W367" s="130"/>
      <c r="Y367" s="106"/>
    </row>
    <row r="368">
      <c r="C368" s="79"/>
      <c r="D368" s="79"/>
      <c r="J368" s="79"/>
      <c r="O368" s="79"/>
      <c r="P368" s="79"/>
      <c r="S368" s="79"/>
      <c r="T368" s="79"/>
      <c r="W368" s="130"/>
      <c r="Y368" s="106"/>
    </row>
    <row r="369">
      <c r="C369" s="79"/>
      <c r="D369" s="79"/>
      <c r="J369" s="79"/>
      <c r="O369" s="79"/>
      <c r="P369" s="79"/>
      <c r="S369" s="79"/>
      <c r="T369" s="79"/>
      <c r="W369" s="130"/>
      <c r="Y369" s="106"/>
    </row>
    <row r="370">
      <c r="C370" s="79"/>
      <c r="D370" s="79"/>
      <c r="J370" s="79"/>
      <c r="O370" s="79"/>
      <c r="P370" s="79"/>
      <c r="S370" s="79"/>
      <c r="T370" s="79"/>
      <c r="W370" s="130"/>
      <c r="Y370" s="106"/>
    </row>
    <row r="371">
      <c r="C371" s="79"/>
      <c r="D371" s="79"/>
      <c r="J371" s="79"/>
      <c r="O371" s="79"/>
      <c r="P371" s="79"/>
      <c r="S371" s="79"/>
      <c r="T371" s="79"/>
      <c r="W371" s="130"/>
      <c r="Y371" s="106"/>
    </row>
    <row r="372">
      <c r="C372" s="79"/>
      <c r="D372" s="79"/>
      <c r="J372" s="79"/>
      <c r="O372" s="79"/>
      <c r="P372" s="79"/>
      <c r="S372" s="79"/>
      <c r="T372" s="79"/>
      <c r="W372" s="130"/>
      <c r="Y372" s="106"/>
    </row>
    <row r="373">
      <c r="C373" s="79"/>
      <c r="D373" s="79"/>
      <c r="J373" s="79"/>
      <c r="O373" s="79"/>
      <c r="P373" s="79"/>
      <c r="S373" s="79"/>
      <c r="T373" s="79"/>
      <c r="W373" s="130"/>
      <c r="Y373" s="106"/>
    </row>
    <row r="374">
      <c r="C374" s="79"/>
      <c r="D374" s="79"/>
      <c r="J374" s="79"/>
      <c r="O374" s="79"/>
      <c r="P374" s="79"/>
      <c r="S374" s="79"/>
      <c r="T374" s="79"/>
      <c r="W374" s="130"/>
      <c r="Y374" s="106"/>
    </row>
    <row r="375">
      <c r="C375" s="79"/>
      <c r="D375" s="79"/>
      <c r="J375" s="79"/>
      <c r="O375" s="79"/>
      <c r="P375" s="79"/>
      <c r="S375" s="79"/>
      <c r="T375" s="79"/>
      <c r="W375" s="130"/>
      <c r="Y375" s="106"/>
    </row>
    <row r="376">
      <c r="C376" s="79"/>
      <c r="D376" s="79"/>
      <c r="J376" s="79"/>
      <c r="O376" s="79"/>
      <c r="P376" s="79"/>
      <c r="S376" s="79"/>
      <c r="T376" s="79"/>
      <c r="W376" s="130"/>
      <c r="Y376" s="106"/>
    </row>
    <row r="377">
      <c r="C377" s="79"/>
      <c r="D377" s="79"/>
      <c r="J377" s="79"/>
      <c r="O377" s="79"/>
      <c r="P377" s="79"/>
      <c r="S377" s="79"/>
      <c r="T377" s="79"/>
      <c r="W377" s="130"/>
      <c r="Y377" s="106"/>
    </row>
    <row r="378">
      <c r="C378" s="79"/>
      <c r="D378" s="79"/>
      <c r="J378" s="79"/>
      <c r="O378" s="79"/>
      <c r="P378" s="79"/>
      <c r="S378" s="79"/>
      <c r="T378" s="79"/>
      <c r="W378" s="130"/>
      <c r="Y378" s="106"/>
    </row>
    <row r="379">
      <c r="C379" s="79"/>
      <c r="D379" s="79"/>
      <c r="J379" s="79"/>
      <c r="O379" s="79"/>
      <c r="P379" s="79"/>
      <c r="S379" s="79"/>
      <c r="T379" s="79"/>
      <c r="W379" s="130"/>
      <c r="Y379" s="106"/>
    </row>
    <row r="380">
      <c r="C380" s="79"/>
      <c r="D380" s="79"/>
      <c r="J380" s="79"/>
      <c r="O380" s="79"/>
      <c r="P380" s="79"/>
      <c r="S380" s="79"/>
      <c r="T380" s="79"/>
      <c r="W380" s="130"/>
      <c r="Y380" s="106"/>
    </row>
    <row r="381">
      <c r="C381" s="79"/>
      <c r="D381" s="79"/>
      <c r="J381" s="79"/>
      <c r="O381" s="79"/>
      <c r="P381" s="79"/>
      <c r="S381" s="79"/>
      <c r="T381" s="79"/>
      <c r="W381" s="130"/>
      <c r="Y381" s="106"/>
    </row>
    <row r="382">
      <c r="C382" s="79"/>
      <c r="D382" s="79"/>
      <c r="J382" s="79"/>
      <c r="O382" s="79"/>
      <c r="P382" s="79"/>
      <c r="S382" s="79"/>
      <c r="T382" s="79"/>
      <c r="W382" s="130"/>
      <c r="Y382" s="106"/>
    </row>
    <row r="383">
      <c r="C383" s="79"/>
      <c r="D383" s="79"/>
      <c r="J383" s="79"/>
      <c r="O383" s="79"/>
      <c r="P383" s="79"/>
      <c r="S383" s="79"/>
      <c r="T383" s="79"/>
      <c r="W383" s="130"/>
      <c r="Y383" s="106"/>
    </row>
    <row r="384">
      <c r="C384" s="79"/>
      <c r="D384" s="79"/>
      <c r="J384" s="79"/>
      <c r="O384" s="79"/>
      <c r="P384" s="79"/>
      <c r="S384" s="79"/>
      <c r="T384" s="79"/>
      <c r="W384" s="130"/>
      <c r="Y384" s="106"/>
    </row>
    <row r="385">
      <c r="C385" s="79"/>
      <c r="D385" s="79"/>
      <c r="J385" s="79"/>
      <c r="O385" s="79"/>
      <c r="P385" s="79"/>
      <c r="S385" s="79"/>
      <c r="T385" s="79"/>
      <c r="W385" s="130"/>
      <c r="Y385" s="106"/>
    </row>
    <row r="386">
      <c r="C386" s="79"/>
      <c r="D386" s="79"/>
      <c r="J386" s="79"/>
      <c r="O386" s="79"/>
      <c r="P386" s="79"/>
      <c r="S386" s="79"/>
      <c r="T386" s="79"/>
      <c r="W386" s="130"/>
      <c r="Y386" s="106"/>
    </row>
    <row r="387">
      <c r="C387" s="79"/>
      <c r="D387" s="79"/>
      <c r="J387" s="79"/>
      <c r="O387" s="79"/>
      <c r="P387" s="79"/>
      <c r="S387" s="79"/>
      <c r="T387" s="79"/>
      <c r="W387" s="130"/>
      <c r="Y387" s="106"/>
    </row>
    <row r="388">
      <c r="C388" s="79"/>
      <c r="D388" s="79"/>
      <c r="J388" s="79"/>
      <c r="O388" s="79"/>
      <c r="P388" s="79"/>
      <c r="S388" s="79"/>
      <c r="T388" s="79"/>
      <c r="W388" s="130"/>
      <c r="Y388" s="106"/>
    </row>
    <row r="389">
      <c r="C389" s="79"/>
      <c r="D389" s="79"/>
      <c r="J389" s="79"/>
      <c r="O389" s="79"/>
      <c r="P389" s="79"/>
      <c r="S389" s="79"/>
      <c r="T389" s="79"/>
      <c r="W389" s="130"/>
      <c r="Y389" s="106"/>
    </row>
    <row r="390">
      <c r="C390" s="79"/>
      <c r="D390" s="79"/>
      <c r="J390" s="79"/>
      <c r="O390" s="79"/>
      <c r="P390" s="79"/>
      <c r="S390" s="79"/>
      <c r="T390" s="79"/>
      <c r="W390" s="130"/>
      <c r="Y390" s="106"/>
    </row>
    <row r="391">
      <c r="C391" s="79"/>
      <c r="D391" s="79"/>
      <c r="J391" s="79"/>
      <c r="O391" s="79"/>
      <c r="P391" s="79"/>
      <c r="S391" s="79"/>
      <c r="T391" s="79"/>
      <c r="W391" s="130"/>
      <c r="Y391" s="106"/>
    </row>
    <row r="392">
      <c r="C392" s="79"/>
      <c r="D392" s="79"/>
      <c r="J392" s="79"/>
      <c r="O392" s="79"/>
      <c r="P392" s="79"/>
      <c r="S392" s="79"/>
      <c r="T392" s="79"/>
      <c r="W392" s="130"/>
      <c r="Y392" s="106"/>
    </row>
    <row r="393">
      <c r="C393" s="79"/>
      <c r="D393" s="79"/>
      <c r="J393" s="79"/>
      <c r="O393" s="79"/>
      <c r="P393" s="79"/>
      <c r="S393" s="79"/>
      <c r="T393" s="79"/>
      <c r="W393" s="130"/>
      <c r="Y393" s="106"/>
    </row>
    <row r="394">
      <c r="C394" s="79"/>
      <c r="D394" s="79"/>
      <c r="J394" s="79"/>
      <c r="O394" s="79"/>
      <c r="P394" s="79"/>
      <c r="S394" s="79"/>
      <c r="T394" s="79"/>
      <c r="W394" s="130"/>
      <c r="Y394" s="106"/>
    </row>
    <row r="395">
      <c r="C395" s="79"/>
      <c r="D395" s="79"/>
      <c r="J395" s="79"/>
      <c r="O395" s="79"/>
      <c r="P395" s="79"/>
      <c r="S395" s="79"/>
      <c r="T395" s="79"/>
      <c r="W395" s="130"/>
      <c r="Y395" s="106"/>
    </row>
    <row r="396">
      <c r="C396" s="79"/>
      <c r="D396" s="79"/>
      <c r="J396" s="79"/>
      <c r="O396" s="79"/>
      <c r="P396" s="79"/>
      <c r="S396" s="79"/>
      <c r="T396" s="79"/>
      <c r="W396" s="130"/>
      <c r="Y396" s="106"/>
    </row>
    <row r="397">
      <c r="C397" s="79"/>
      <c r="D397" s="79"/>
      <c r="J397" s="79"/>
      <c r="O397" s="79"/>
      <c r="P397" s="79"/>
      <c r="S397" s="79"/>
      <c r="T397" s="79"/>
      <c r="W397" s="130"/>
      <c r="Y397" s="106"/>
    </row>
    <row r="398">
      <c r="C398" s="79"/>
      <c r="D398" s="79"/>
      <c r="J398" s="79"/>
      <c r="O398" s="79"/>
      <c r="P398" s="79"/>
      <c r="S398" s="79"/>
      <c r="T398" s="79"/>
      <c r="W398" s="130"/>
      <c r="Y398" s="106"/>
    </row>
    <row r="399">
      <c r="C399" s="79"/>
      <c r="D399" s="79"/>
      <c r="J399" s="79"/>
      <c r="O399" s="79"/>
      <c r="P399" s="79"/>
      <c r="S399" s="79"/>
      <c r="T399" s="79"/>
      <c r="W399" s="130"/>
      <c r="Y399" s="106"/>
    </row>
    <row r="400">
      <c r="C400" s="79"/>
      <c r="D400" s="79"/>
      <c r="J400" s="79"/>
      <c r="O400" s="79"/>
      <c r="P400" s="79"/>
      <c r="S400" s="79"/>
      <c r="T400" s="79"/>
      <c r="W400" s="130"/>
      <c r="Y400" s="106"/>
    </row>
    <row r="401">
      <c r="C401" s="79"/>
      <c r="D401" s="79"/>
      <c r="J401" s="79"/>
      <c r="O401" s="79"/>
      <c r="P401" s="79"/>
      <c r="S401" s="79"/>
      <c r="T401" s="79"/>
      <c r="W401" s="130"/>
      <c r="Y401" s="106"/>
    </row>
    <row r="402">
      <c r="C402" s="79"/>
      <c r="D402" s="79"/>
      <c r="J402" s="79"/>
      <c r="O402" s="79"/>
      <c r="P402" s="79"/>
      <c r="S402" s="79"/>
      <c r="T402" s="79"/>
      <c r="W402" s="130"/>
      <c r="Y402" s="106"/>
    </row>
    <row r="403">
      <c r="C403" s="79"/>
      <c r="D403" s="79"/>
      <c r="J403" s="79"/>
      <c r="O403" s="79"/>
      <c r="P403" s="79"/>
      <c r="S403" s="79"/>
      <c r="T403" s="79"/>
      <c r="W403" s="130"/>
      <c r="Y403" s="106"/>
    </row>
    <row r="404">
      <c r="C404" s="79"/>
      <c r="D404" s="79"/>
      <c r="J404" s="79"/>
      <c r="O404" s="79"/>
      <c r="P404" s="79"/>
      <c r="S404" s="79"/>
      <c r="T404" s="79"/>
      <c r="W404" s="130"/>
      <c r="Y404" s="106"/>
    </row>
    <row r="405">
      <c r="C405" s="79"/>
      <c r="D405" s="79"/>
      <c r="J405" s="79"/>
      <c r="O405" s="79"/>
      <c r="P405" s="79"/>
      <c r="S405" s="79"/>
      <c r="T405" s="79"/>
      <c r="W405" s="130"/>
      <c r="Y405" s="106"/>
    </row>
    <row r="406">
      <c r="C406" s="79"/>
      <c r="D406" s="79"/>
      <c r="J406" s="79"/>
      <c r="O406" s="79"/>
      <c r="P406" s="79"/>
      <c r="S406" s="79"/>
      <c r="T406" s="79"/>
      <c r="W406" s="130"/>
      <c r="Y406" s="106"/>
    </row>
    <row r="407">
      <c r="C407" s="79"/>
      <c r="D407" s="79"/>
      <c r="J407" s="79"/>
      <c r="O407" s="79"/>
      <c r="P407" s="79"/>
      <c r="S407" s="79"/>
      <c r="T407" s="79"/>
      <c r="W407" s="130"/>
      <c r="Y407" s="106"/>
    </row>
    <row r="408">
      <c r="C408" s="79"/>
      <c r="D408" s="79"/>
      <c r="J408" s="79"/>
      <c r="O408" s="79"/>
      <c r="P408" s="79"/>
      <c r="S408" s="79"/>
      <c r="T408" s="79"/>
      <c r="W408" s="130"/>
      <c r="Y408" s="106"/>
    </row>
    <row r="409">
      <c r="C409" s="79"/>
      <c r="D409" s="79"/>
      <c r="J409" s="79"/>
      <c r="O409" s="79"/>
      <c r="P409" s="79"/>
      <c r="S409" s="79"/>
      <c r="T409" s="79"/>
      <c r="W409" s="130"/>
      <c r="Y409" s="106"/>
    </row>
    <row r="410">
      <c r="C410" s="79"/>
      <c r="D410" s="79"/>
      <c r="J410" s="79"/>
      <c r="O410" s="79"/>
      <c r="P410" s="79"/>
      <c r="S410" s="79"/>
      <c r="T410" s="79"/>
      <c r="W410" s="130"/>
      <c r="Y410" s="106"/>
    </row>
    <row r="411">
      <c r="C411" s="79"/>
      <c r="D411" s="79"/>
      <c r="J411" s="79"/>
      <c r="O411" s="79"/>
      <c r="P411" s="79"/>
      <c r="S411" s="79"/>
      <c r="T411" s="79"/>
      <c r="W411" s="130"/>
      <c r="Y411" s="106"/>
    </row>
    <row r="412">
      <c r="C412" s="79"/>
      <c r="D412" s="79"/>
      <c r="J412" s="79"/>
      <c r="O412" s="79"/>
      <c r="P412" s="79"/>
      <c r="S412" s="79"/>
      <c r="T412" s="79"/>
      <c r="W412" s="130"/>
      <c r="Y412" s="106"/>
    </row>
    <row r="413">
      <c r="C413" s="79"/>
      <c r="D413" s="79"/>
      <c r="J413" s="79"/>
      <c r="O413" s="79"/>
      <c r="P413" s="79"/>
      <c r="S413" s="79"/>
      <c r="T413" s="79"/>
      <c r="W413" s="130"/>
      <c r="Y413" s="106"/>
    </row>
    <row r="414">
      <c r="C414" s="79"/>
      <c r="D414" s="79"/>
      <c r="J414" s="79"/>
      <c r="O414" s="79"/>
      <c r="P414" s="79"/>
      <c r="S414" s="79"/>
      <c r="T414" s="79"/>
      <c r="W414" s="130"/>
      <c r="Y414" s="106"/>
    </row>
    <row r="415">
      <c r="C415" s="79"/>
      <c r="D415" s="79"/>
      <c r="J415" s="79"/>
      <c r="O415" s="79"/>
      <c r="P415" s="79"/>
      <c r="S415" s="79"/>
      <c r="T415" s="79"/>
      <c r="W415" s="130"/>
      <c r="Y415" s="106"/>
    </row>
    <row r="416">
      <c r="C416" s="79"/>
      <c r="D416" s="79"/>
      <c r="J416" s="79"/>
      <c r="O416" s="79"/>
      <c r="P416" s="79"/>
      <c r="S416" s="79"/>
      <c r="T416" s="79"/>
      <c r="W416" s="130"/>
      <c r="Y416" s="106"/>
    </row>
    <row r="417">
      <c r="C417" s="79"/>
      <c r="D417" s="79"/>
      <c r="J417" s="79"/>
      <c r="O417" s="79"/>
      <c r="P417" s="79"/>
      <c r="S417" s="79"/>
      <c r="T417" s="79"/>
      <c r="W417" s="130"/>
      <c r="Y417" s="106"/>
    </row>
    <row r="418">
      <c r="C418" s="79"/>
      <c r="D418" s="79"/>
      <c r="J418" s="79"/>
      <c r="O418" s="79"/>
      <c r="P418" s="79"/>
      <c r="S418" s="79"/>
      <c r="T418" s="79"/>
      <c r="W418" s="130"/>
      <c r="Y418" s="106"/>
    </row>
    <row r="419">
      <c r="C419" s="79"/>
      <c r="D419" s="79"/>
      <c r="J419" s="79"/>
      <c r="O419" s="79"/>
      <c r="P419" s="79"/>
      <c r="S419" s="79"/>
      <c r="T419" s="79"/>
      <c r="W419" s="130"/>
      <c r="Y419" s="106"/>
    </row>
    <row r="420">
      <c r="C420" s="79"/>
      <c r="D420" s="79"/>
      <c r="J420" s="79"/>
      <c r="O420" s="79"/>
      <c r="P420" s="79"/>
      <c r="S420" s="79"/>
      <c r="T420" s="79"/>
      <c r="W420" s="130"/>
      <c r="Y420" s="106"/>
    </row>
    <row r="421">
      <c r="C421" s="79"/>
      <c r="D421" s="79"/>
      <c r="J421" s="79"/>
      <c r="O421" s="79"/>
      <c r="P421" s="79"/>
      <c r="S421" s="79"/>
      <c r="T421" s="79"/>
      <c r="W421" s="130"/>
      <c r="Y421" s="106"/>
    </row>
    <row r="422">
      <c r="C422" s="79"/>
      <c r="D422" s="79"/>
      <c r="J422" s="79"/>
      <c r="O422" s="79"/>
      <c r="P422" s="79"/>
      <c r="S422" s="79"/>
      <c r="T422" s="79"/>
      <c r="W422" s="130"/>
      <c r="Y422" s="106"/>
    </row>
    <row r="423">
      <c r="C423" s="79"/>
      <c r="D423" s="79"/>
      <c r="J423" s="79"/>
      <c r="O423" s="79"/>
      <c r="P423" s="79"/>
      <c r="S423" s="79"/>
      <c r="T423" s="79"/>
      <c r="W423" s="130"/>
      <c r="Y423" s="106"/>
    </row>
    <row r="424">
      <c r="C424" s="79"/>
      <c r="D424" s="79"/>
      <c r="J424" s="79"/>
      <c r="O424" s="79"/>
      <c r="P424" s="79"/>
      <c r="S424" s="79"/>
      <c r="T424" s="79"/>
      <c r="W424" s="130"/>
      <c r="Y424" s="106"/>
    </row>
    <row r="425">
      <c r="C425" s="79"/>
      <c r="D425" s="79"/>
      <c r="J425" s="79"/>
      <c r="O425" s="79"/>
      <c r="P425" s="79"/>
      <c r="S425" s="79"/>
      <c r="T425" s="79"/>
      <c r="W425" s="130"/>
      <c r="Y425" s="106"/>
    </row>
    <row r="426">
      <c r="C426" s="79"/>
      <c r="D426" s="79"/>
      <c r="J426" s="79"/>
      <c r="O426" s="79"/>
      <c r="P426" s="79"/>
      <c r="S426" s="79"/>
      <c r="T426" s="79"/>
      <c r="W426" s="130"/>
      <c r="Y426" s="106"/>
    </row>
    <row r="427">
      <c r="C427" s="79"/>
      <c r="D427" s="79"/>
      <c r="J427" s="79"/>
      <c r="O427" s="79"/>
      <c r="P427" s="79"/>
      <c r="S427" s="79"/>
      <c r="T427" s="79"/>
      <c r="W427" s="130"/>
      <c r="Y427" s="106"/>
    </row>
    <row r="428">
      <c r="C428" s="79"/>
      <c r="D428" s="79"/>
      <c r="J428" s="79"/>
      <c r="O428" s="79"/>
      <c r="P428" s="79"/>
      <c r="S428" s="79"/>
      <c r="T428" s="79"/>
      <c r="W428" s="130"/>
      <c r="Y428" s="106"/>
    </row>
    <row r="429">
      <c r="C429" s="79"/>
      <c r="D429" s="79"/>
      <c r="J429" s="79"/>
      <c r="O429" s="79"/>
      <c r="P429" s="79"/>
      <c r="S429" s="79"/>
      <c r="T429" s="79"/>
      <c r="W429" s="130"/>
      <c r="Y429" s="106"/>
    </row>
    <row r="430">
      <c r="C430" s="79"/>
      <c r="D430" s="79"/>
      <c r="J430" s="79"/>
      <c r="O430" s="79"/>
      <c r="P430" s="79"/>
      <c r="S430" s="79"/>
      <c r="T430" s="79"/>
      <c r="W430" s="130"/>
      <c r="Y430" s="106"/>
    </row>
    <row r="431">
      <c r="C431" s="79"/>
      <c r="D431" s="79"/>
      <c r="J431" s="79"/>
      <c r="O431" s="79"/>
      <c r="P431" s="79"/>
      <c r="S431" s="79"/>
      <c r="T431" s="79"/>
      <c r="W431" s="130"/>
      <c r="Y431" s="106"/>
    </row>
    <row r="432">
      <c r="C432" s="79"/>
      <c r="D432" s="79"/>
      <c r="J432" s="79"/>
      <c r="O432" s="79"/>
      <c r="P432" s="79"/>
      <c r="S432" s="79"/>
      <c r="T432" s="79"/>
      <c r="W432" s="130"/>
      <c r="Y432" s="106"/>
    </row>
    <row r="433">
      <c r="C433" s="79"/>
      <c r="D433" s="79"/>
      <c r="J433" s="79"/>
      <c r="O433" s="79"/>
      <c r="P433" s="79"/>
      <c r="S433" s="79"/>
      <c r="T433" s="79"/>
      <c r="W433" s="130"/>
      <c r="Y433" s="106"/>
    </row>
    <row r="434">
      <c r="C434" s="79"/>
      <c r="D434" s="79"/>
      <c r="J434" s="79"/>
      <c r="O434" s="79"/>
      <c r="P434" s="79"/>
      <c r="S434" s="79"/>
      <c r="T434" s="79"/>
      <c r="W434" s="130"/>
      <c r="Y434" s="106"/>
    </row>
    <row r="435">
      <c r="C435" s="79"/>
      <c r="D435" s="79"/>
      <c r="J435" s="79"/>
      <c r="O435" s="79"/>
      <c r="P435" s="79"/>
      <c r="S435" s="79"/>
      <c r="T435" s="79"/>
      <c r="W435" s="130"/>
      <c r="Y435" s="106"/>
    </row>
    <row r="436">
      <c r="C436" s="79"/>
      <c r="D436" s="79"/>
      <c r="J436" s="79"/>
      <c r="O436" s="79"/>
      <c r="P436" s="79"/>
      <c r="S436" s="79"/>
      <c r="T436" s="79"/>
      <c r="W436" s="130"/>
      <c r="Y436" s="106"/>
    </row>
    <row r="437">
      <c r="C437" s="79"/>
      <c r="D437" s="79"/>
      <c r="J437" s="79"/>
      <c r="O437" s="79"/>
      <c r="P437" s="79"/>
      <c r="S437" s="79"/>
      <c r="T437" s="79"/>
      <c r="W437" s="130"/>
      <c r="Y437" s="106"/>
    </row>
    <row r="438">
      <c r="C438" s="79"/>
      <c r="D438" s="79"/>
      <c r="J438" s="79"/>
      <c r="O438" s="79"/>
      <c r="P438" s="79"/>
      <c r="S438" s="79"/>
      <c r="T438" s="79"/>
      <c r="W438" s="130"/>
      <c r="Y438" s="106"/>
    </row>
    <row r="439">
      <c r="C439" s="79"/>
      <c r="D439" s="79"/>
      <c r="J439" s="79"/>
      <c r="O439" s="79"/>
      <c r="P439" s="79"/>
      <c r="S439" s="79"/>
      <c r="T439" s="79"/>
      <c r="W439" s="130"/>
      <c r="Y439" s="106"/>
    </row>
    <row r="440">
      <c r="C440" s="79"/>
      <c r="D440" s="79"/>
      <c r="J440" s="79"/>
      <c r="O440" s="79"/>
      <c r="P440" s="79"/>
      <c r="S440" s="79"/>
      <c r="T440" s="79"/>
      <c r="W440" s="130"/>
      <c r="Y440" s="106"/>
    </row>
    <row r="441">
      <c r="C441" s="79"/>
      <c r="D441" s="79"/>
      <c r="J441" s="79"/>
      <c r="O441" s="79"/>
      <c r="P441" s="79"/>
      <c r="S441" s="79"/>
      <c r="T441" s="79"/>
      <c r="W441" s="130"/>
      <c r="Y441" s="106"/>
    </row>
    <row r="442">
      <c r="C442" s="79"/>
      <c r="D442" s="79"/>
      <c r="J442" s="79"/>
      <c r="O442" s="79"/>
      <c r="P442" s="79"/>
      <c r="S442" s="79"/>
      <c r="T442" s="79"/>
      <c r="W442" s="130"/>
      <c r="Y442" s="106"/>
    </row>
    <row r="443">
      <c r="C443" s="79"/>
      <c r="D443" s="79"/>
      <c r="J443" s="79"/>
      <c r="O443" s="79"/>
      <c r="P443" s="79"/>
      <c r="S443" s="79"/>
      <c r="T443" s="79"/>
      <c r="W443" s="130"/>
      <c r="Y443" s="106"/>
    </row>
    <row r="444">
      <c r="C444" s="79"/>
      <c r="D444" s="79"/>
      <c r="J444" s="79"/>
      <c r="O444" s="79"/>
      <c r="P444" s="79"/>
      <c r="S444" s="79"/>
      <c r="T444" s="79"/>
      <c r="W444" s="130"/>
      <c r="Y444" s="106"/>
    </row>
    <row r="445">
      <c r="C445" s="79"/>
      <c r="D445" s="79"/>
      <c r="J445" s="79"/>
      <c r="O445" s="79"/>
      <c r="P445" s="79"/>
      <c r="S445" s="79"/>
      <c r="T445" s="79"/>
      <c r="W445" s="130"/>
      <c r="Y445" s="106"/>
    </row>
    <row r="446">
      <c r="C446" s="79"/>
      <c r="D446" s="79"/>
      <c r="J446" s="79"/>
      <c r="O446" s="79"/>
      <c r="P446" s="79"/>
      <c r="S446" s="79"/>
      <c r="T446" s="79"/>
      <c r="W446" s="130"/>
      <c r="Y446" s="106"/>
    </row>
    <row r="447">
      <c r="C447" s="79"/>
      <c r="D447" s="79"/>
      <c r="J447" s="79"/>
      <c r="O447" s="79"/>
      <c r="P447" s="79"/>
      <c r="S447" s="79"/>
      <c r="T447" s="79"/>
      <c r="W447" s="130"/>
      <c r="Y447" s="106"/>
    </row>
    <row r="448">
      <c r="C448" s="79"/>
      <c r="D448" s="79"/>
      <c r="J448" s="79"/>
      <c r="O448" s="79"/>
      <c r="P448" s="79"/>
      <c r="S448" s="79"/>
      <c r="T448" s="79"/>
      <c r="W448" s="130"/>
      <c r="Y448" s="106"/>
    </row>
    <row r="449">
      <c r="C449" s="79"/>
      <c r="D449" s="79"/>
      <c r="J449" s="79"/>
      <c r="O449" s="79"/>
      <c r="P449" s="79"/>
      <c r="S449" s="79"/>
      <c r="T449" s="79"/>
      <c r="W449" s="130"/>
      <c r="Y449" s="106"/>
    </row>
    <row r="450">
      <c r="C450" s="79"/>
      <c r="D450" s="79"/>
      <c r="J450" s="79"/>
      <c r="O450" s="79"/>
      <c r="P450" s="79"/>
      <c r="S450" s="79"/>
      <c r="T450" s="79"/>
      <c r="W450" s="130"/>
      <c r="Y450" s="106"/>
    </row>
    <row r="451">
      <c r="C451" s="79"/>
      <c r="D451" s="79"/>
      <c r="J451" s="79"/>
      <c r="O451" s="79"/>
      <c r="P451" s="79"/>
      <c r="S451" s="79"/>
      <c r="T451" s="79"/>
      <c r="W451" s="130"/>
      <c r="Y451" s="106"/>
    </row>
    <row r="452">
      <c r="C452" s="79"/>
      <c r="D452" s="79"/>
      <c r="J452" s="79"/>
      <c r="O452" s="79"/>
      <c r="P452" s="79"/>
      <c r="S452" s="79"/>
      <c r="T452" s="79"/>
      <c r="W452" s="130"/>
      <c r="Y452" s="106"/>
    </row>
    <row r="453">
      <c r="C453" s="79"/>
      <c r="D453" s="79"/>
      <c r="J453" s="79"/>
      <c r="O453" s="79"/>
      <c r="P453" s="79"/>
      <c r="S453" s="79"/>
      <c r="T453" s="79"/>
      <c r="W453" s="130"/>
      <c r="Y453" s="106"/>
    </row>
    <row r="454">
      <c r="C454" s="79"/>
      <c r="D454" s="79"/>
      <c r="J454" s="79"/>
      <c r="O454" s="79"/>
      <c r="P454" s="79"/>
      <c r="S454" s="79"/>
      <c r="T454" s="79"/>
      <c r="W454" s="130"/>
      <c r="Y454" s="106"/>
    </row>
    <row r="455">
      <c r="C455" s="79"/>
      <c r="D455" s="79"/>
      <c r="J455" s="79"/>
      <c r="O455" s="79"/>
      <c r="P455" s="79"/>
      <c r="S455" s="79"/>
      <c r="T455" s="79"/>
      <c r="W455" s="130"/>
      <c r="Y455" s="106"/>
    </row>
    <row r="456">
      <c r="C456" s="79"/>
      <c r="D456" s="79"/>
      <c r="J456" s="79"/>
      <c r="O456" s="79"/>
      <c r="P456" s="79"/>
      <c r="S456" s="79"/>
      <c r="T456" s="79"/>
      <c r="W456" s="130"/>
      <c r="Y456" s="106"/>
    </row>
    <row r="457">
      <c r="C457" s="79"/>
      <c r="D457" s="79"/>
      <c r="J457" s="79"/>
      <c r="O457" s="79"/>
      <c r="P457" s="79"/>
      <c r="S457" s="79"/>
      <c r="T457" s="79"/>
      <c r="W457" s="130"/>
      <c r="Y457" s="106"/>
    </row>
    <row r="458">
      <c r="C458" s="79"/>
      <c r="D458" s="79"/>
      <c r="J458" s="79"/>
      <c r="O458" s="79"/>
      <c r="P458" s="79"/>
      <c r="S458" s="79"/>
      <c r="T458" s="79"/>
      <c r="W458" s="130"/>
      <c r="Y458" s="106"/>
    </row>
    <row r="459">
      <c r="C459" s="79"/>
      <c r="D459" s="79"/>
      <c r="J459" s="79"/>
      <c r="O459" s="79"/>
      <c r="P459" s="79"/>
      <c r="S459" s="79"/>
      <c r="T459" s="79"/>
      <c r="W459" s="130"/>
      <c r="Y459" s="106"/>
    </row>
    <row r="460">
      <c r="C460" s="79"/>
      <c r="D460" s="79"/>
      <c r="J460" s="79"/>
      <c r="O460" s="79"/>
      <c r="P460" s="79"/>
      <c r="S460" s="79"/>
      <c r="T460" s="79"/>
      <c r="W460" s="130"/>
      <c r="Y460" s="106"/>
    </row>
    <row r="461">
      <c r="C461" s="79"/>
      <c r="D461" s="79"/>
      <c r="J461" s="79"/>
      <c r="O461" s="79"/>
      <c r="P461" s="79"/>
      <c r="S461" s="79"/>
      <c r="T461" s="79"/>
      <c r="W461" s="130"/>
      <c r="Y461" s="106"/>
    </row>
    <row r="462">
      <c r="C462" s="79"/>
      <c r="D462" s="79"/>
      <c r="J462" s="79"/>
      <c r="O462" s="79"/>
      <c r="P462" s="79"/>
      <c r="S462" s="79"/>
      <c r="T462" s="79"/>
      <c r="W462" s="130"/>
      <c r="Y462" s="106"/>
    </row>
    <row r="463">
      <c r="C463" s="79"/>
      <c r="D463" s="79"/>
      <c r="J463" s="79"/>
      <c r="O463" s="79"/>
      <c r="P463" s="79"/>
      <c r="S463" s="79"/>
      <c r="T463" s="79"/>
      <c r="W463" s="130"/>
      <c r="Y463" s="106"/>
    </row>
    <row r="464">
      <c r="C464" s="79"/>
      <c r="D464" s="79"/>
      <c r="J464" s="79"/>
      <c r="O464" s="79"/>
      <c r="P464" s="79"/>
      <c r="S464" s="79"/>
      <c r="T464" s="79"/>
      <c r="W464" s="130"/>
      <c r="Y464" s="106"/>
    </row>
    <row r="465">
      <c r="C465" s="79"/>
      <c r="D465" s="79"/>
      <c r="J465" s="79"/>
      <c r="O465" s="79"/>
      <c r="P465" s="79"/>
      <c r="S465" s="79"/>
      <c r="T465" s="79"/>
      <c r="W465" s="130"/>
      <c r="Y465" s="106"/>
    </row>
    <row r="466">
      <c r="C466" s="79"/>
      <c r="D466" s="79"/>
      <c r="J466" s="79"/>
      <c r="O466" s="79"/>
      <c r="P466" s="79"/>
      <c r="S466" s="79"/>
      <c r="T466" s="79"/>
      <c r="W466" s="130"/>
      <c r="Y466" s="106"/>
    </row>
    <row r="467">
      <c r="C467" s="79"/>
      <c r="D467" s="79"/>
      <c r="J467" s="79"/>
      <c r="O467" s="79"/>
      <c r="P467" s="79"/>
      <c r="S467" s="79"/>
      <c r="T467" s="79"/>
      <c r="W467" s="130"/>
      <c r="Y467" s="106"/>
    </row>
    <row r="468">
      <c r="C468" s="79"/>
      <c r="D468" s="79"/>
      <c r="J468" s="79"/>
      <c r="O468" s="79"/>
      <c r="P468" s="79"/>
      <c r="S468" s="79"/>
      <c r="T468" s="79"/>
      <c r="W468" s="130"/>
      <c r="Y468" s="106"/>
    </row>
    <row r="469">
      <c r="C469" s="79"/>
      <c r="D469" s="79"/>
      <c r="J469" s="79"/>
      <c r="O469" s="79"/>
      <c r="P469" s="79"/>
      <c r="S469" s="79"/>
      <c r="T469" s="79"/>
      <c r="W469" s="130"/>
      <c r="Y469" s="106"/>
    </row>
    <row r="470">
      <c r="C470" s="79"/>
      <c r="D470" s="79"/>
      <c r="J470" s="79"/>
      <c r="O470" s="79"/>
      <c r="P470" s="79"/>
      <c r="S470" s="79"/>
      <c r="T470" s="79"/>
      <c r="W470" s="130"/>
      <c r="Y470" s="106"/>
    </row>
    <row r="471">
      <c r="C471" s="79"/>
      <c r="D471" s="79"/>
      <c r="J471" s="79"/>
      <c r="O471" s="79"/>
      <c r="P471" s="79"/>
      <c r="S471" s="79"/>
      <c r="T471" s="79"/>
      <c r="W471" s="130"/>
      <c r="Y471" s="106"/>
    </row>
    <row r="472">
      <c r="C472" s="79"/>
      <c r="D472" s="79"/>
      <c r="J472" s="79"/>
      <c r="O472" s="79"/>
      <c r="P472" s="79"/>
      <c r="S472" s="79"/>
      <c r="T472" s="79"/>
      <c r="W472" s="130"/>
      <c r="Y472" s="106"/>
    </row>
    <row r="473">
      <c r="C473" s="79"/>
      <c r="D473" s="79"/>
      <c r="J473" s="79"/>
      <c r="O473" s="79"/>
      <c r="P473" s="79"/>
      <c r="S473" s="79"/>
      <c r="T473" s="79"/>
      <c r="W473" s="130"/>
      <c r="Y473" s="106"/>
    </row>
    <row r="474">
      <c r="C474" s="79"/>
      <c r="D474" s="79"/>
      <c r="J474" s="79"/>
      <c r="O474" s="79"/>
      <c r="P474" s="79"/>
      <c r="S474" s="79"/>
      <c r="T474" s="79"/>
      <c r="W474" s="130"/>
      <c r="Y474" s="106"/>
    </row>
    <row r="475">
      <c r="C475" s="79"/>
      <c r="D475" s="79"/>
      <c r="J475" s="79"/>
      <c r="O475" s="79"/>
      <c r="P475" s="79"/>
      <c r="S475" s="79"/>
      <c r="T475" s="79"/>
      <c r="W475" s="130"/>
      <c r="Y475" s="106"/>
    </row>
    <row r="476">
      <c r="C476" s="79"/>
      <c r="D476" s="79"/>
      <c r="J476" s="79"/>
      <c r="O476" s="79"/>
      <c r="P476" s="79"/>
      <c r="S476" s="79"/>
      <c r="T476" s="79"/>
      <c r="W476" s="130"/>
      <c r="Y476" s="106"/>
    </row>
    <row r="477">
      <c r="C477" s="79"/>
      <c r="D477" s="79"/>
      <c r="J477" s="79"/>
      <c r="O477" s="79"/>
      <c r="P477" s="79"/>
      <c r="S477" s="79"/>
      <c r="T477" s="79"/>
      <c r="W477" s="130"/>
      <c r="Y477" s="106"/>
    </row>
    <row r="478">
      <c r="C478" s="79"/>
      <c r="D478" s="79"/>
      <c r="J478" s="79"/>
      <c r="O478" s="79"/>
      <c r="P478" s="79"/>
      <c r="S478" s="79"/>
      <c r="T478" s="79"/>
      <c r="W478" s="130"/>
      <c r="Y478" s="106"/>
    </row>
    <row r="479">
      <c r="C479" s="79"/>
      <c r="D479" s="79"/>
      <c r="J479" s="79"/>
      <c r="O479" s="79"/>
      <c r="P479" s="79"/>
      <c r="S479" s="79"/>
      <c r="T479" s="79"/>
      <c r="W479" s="130"/>
      <c r="Y479" s="106"/>
    </row>
    <row r="480">
      <c r="C480" s="79"/>
      <c r="D480" s="79"/>
      <c r="J480" s="79"/>
      <c r="O480" s="79"/>
      <c r="P480" s="79"/>
      <c r="S480" s="79"/>
      <c r="T480" s="79"/>
      <c r="W480" s="130"/>
      <c r="Y480" s="106"/>
    </row>
    <row r="481">
      <c r="C481" s="79"/>
      <c r="D481" s="79"/>
      <c r="J481" s="79"/>
      <c r="O481" s="79"/>
      <c r="P481" s="79"/>
      <c r="S481" s="79"/>
      <c r="T481" s="79"/>
      <c r="W481" s="130"/>
      <c r="Y481" s="106"/>
    </row>
    <row r="482">
      <c r="C482" s="79"/>
      <c r="D482" s="79"/>
      <c r="J482" s="79"/>
      <c r="O482" s="79"/>
      <c r="P482" s="79"/>
      <c r="S482" s="79"/>
      <c r="T482" s="79"/>
      <c r="W482" s="130"/>
      <c r="Y482" s="106"/>
    </row>
    <row r="483">
      <c r="C483" s="79"/>
      <c r="D483" s="79"/>
      <c r="J483" s="79"/>
      <c r="O483" s="79"/>
      <c r="P483" s="79"/>
      <c r="S483" s="79"/>
      <c r="T483" s="79"/>
      <c r="W483" s="130"/>
      <c r="Y483" s="106"/>
    </row>
    <row r="484">
      <c r="C484" s="79"/>
      <c r="D484" s="79"/>
      <c r="J484" s="79"/>
      <c r="O484" s="79"/>
      <c r="P484" s="79"/>
      <c r="S484" s="79"/>
      <c r="T484" s="79"/>
      <c r="W484" s="130"/>
      <c r="Y484" s="106"/>
    </row>
    <row r="485">
      <c r="C485" s="79"/>
      <c r="D485" s="79"/>
      <c r="J485" s="79"/>
      <c r="O485" s="79"/>
      <c r="P485" s="79"/>
      <c r="S485" s="79"/>
      <c r="T485" s="79"/>
      <c r="W485" s="130"/>
      <c r="Y485" s="106"/>
    </row>
    <row r="486">
      <c r="C486" s="79"/>
      <c r="D486" s="79"/>
      <c r="J486" s="79"/>
      <c r="O486" s="79"/>
      <c r="P486" s="79"/>
      <c r="S486" s="79"/>
      <c r="T486" s="79"/>
      <c r="W486" s="130"/>
      <c r="Y486" s="106"/>
    </row>
    <row r="487">
      <c r="C487" s="79"/>
      <c r="D487" s="79"/>
      <c r="J487" s="79"/>
      <c r="O487" s="79"/>
      <c r="P487" s="79"/>
      <c r="S487" s="79"/>
      <c r="T487" s="79"/>
      <c r="W487" s="130"/>
      <c r="Y487" s="106"/>
    </row>
    <row r="488">
      <c r="C488" s="79"/>
      <c r="D488" s="79"/>
      <c r="J488" s="79"/>
      <c r="O488" s="79"/>
      <c r="P488" s="79"/>
      <c r="S488" s="79"/>
      <c r="T488" s="79"/>
      <c r="W488" s="130"/>
      <c r="Y488" s="106"/>
    </row>
    <row r="489">
      <c r="C489" s="79"/>
      <c r="D489" s="79"/>
      <c r="J489" s="79"/>
      <c r="O489" s="79"/>
      <c r="P489" s="79"/>
      <c r="S489" s="79"/>
      <c r="T489" s="79"/>
      <c r="W489" s="130"/>
      <c r="Y489" s="106"/>
    </row>
    <row r="490">
      <c r="C490" s="79"/>
      <c r="D490" s="79"/>
      <c r="J490" s="79"/>
      <c r="O490" s="79"/>
      <c r="P490" s="79"/>
      <c r="S490" s="79"/>
      <c r="T490" s="79"/>
      <c r="W490" s="130"/>
      <c r="Y490" s="106"/>
    </row>
    <row r="491">
      <c r="C491" s="79"/>
      <c r="D491" s="79"/>
      <c r="J491" s="79"/>
      <c r="O491" s="79"/>
      <c r="P491" s="79"/>
      <c r="S491" s="79"/>
      <c r="T491" s="79"/>
      <c r="W491" s="130"/>
      <c r="Y491" s="106"/>
    </row>
    <row r="492">
      <c r="C492" s="79"/>
      <c r="D492" s="79"/>
      <c r="J492" s="79"/>
      <c r="O492" s="79"/>
      <c r="P492" s="79"/>
      <c r="S492" s="79"/>
      <c r="T492" s="79"/>
      <c r="W492" s="130"/>
      <c r="Y492" s="106"/>
    </row>
    <row r="493">
      <c r="C493" s="79"/>
      <c r="D493" s="79"/>
      <c r="J493" s="79"/>
      <c r="O493" s="79"/>
      <c r="P493" s="79"/>
      <c r="S493" s="79"/>
      <c r="T493" s="79"/>
      <c r="W493" s="130"/>
      <c r="Y493" s="106"/>
    </row>
    <row r="494">
      <c r="C494" s="79"/>
      <c r="D494" s="79"/>
      <c r="J494" s="79"/>
      <c r="O494" s="79"/>
      <c r="P494" s="79"/>
      <c r="S494" s="79"/>
      <c r="T494" s="79"/>
      <c r="W494" s="130"/>
      <c r="Y494" s="106"/>
    </row>
    <row r="495">
      <c r="C495" s="79"/>
      <c r="D495" s="79"/>
      <c r="J495" s="79"/>
      <c r="O495" s="79"/>
      <c r="P495" s="79"/>
      <c r="S495" s="79"/>
      <c r="T495" s="79"/>
      <c r="W495" s="130"/>
      <c r="Y495" s="106"/>
    </row>
    <row r="496">
      <c r="C496" s="79"/>
      <c r="D496" s="79"/>
      <c r="J496" s="79"/>
      <c r="O496" s="79"/>
      <c r="P496" s="79"/>
      <c r="S496" s="79"/>
      <c r="T496" s="79"/>
      <c r="W496" s="130"/>
      <c r="Y496" s="106"/>
    </row>
    <row r="497">
      <c r="C497" s="79"/>
      <c r="D497" s="79"/>
      <c r="J497" s="79"/>
      <c r="O497" s="79"/>
      <c r="P497" s="79"/>
      <c r="S497" s="79"/>
      <c r="T497" s="79"/>
      <c r="W497" s="130"/>
      <c r="Y497" s="106"/>
    </row>
    <row r="498">
      <c r="C498" s="79"/>
      <c r="D498" s="79"/>
      <c r="J498" s="79"/>
      <c r="O498" s="79"/>
      <c r="P498" s="79"/>
      <c r="S498" s="79"/>
      <c r="T498" s="79"/>
      <c r="W498" s="130"/>
      <c r="Y498" s="106"/>
    </row>
    <row r="499">
      <c r="C499" s="79"/>
      <c r="D499" s="79"/>
      <c r="J499" s="79"/>
      <c r="O499" s="79"/>
      <c r="P499" s="79"/>
      <c r="S499" s="79"/>
      <c r="T499" s="79"/>
      <c r="W499" s="130"/>
      <c r="Y499" s="106"/>
    </row>
    <row r="500">
      <c r="C500" s="79"/>
      <c r="D500" s="79"/>
      <c r="J500" s="79"/>
      <c r="O500" s="79"/>
      <c r="P500" s="79"/>
      <c r="S500" s="79"/>
      <c r="T500" s="79"/>
      <c r="W500" s="130"/>
      <c r="Y500" s="106"/>
    </row>
    <row r="501">
      <c r="C501" s="79"/>
      <c r="D501" s="79"/>
      <c r="J501" s="79"/>
      <c r="O501" s="79"/>
      <c r="P501" s="79"/>
      <c r="S501" s="79"/>
      <c r="T501" s="79"/>
      <c r="W501" s="130"/>
      <c r="Y501" s="106"/>
    </row>
    <row r="502">
      <c r="C502" s="79"/>
      <c r="D502" s="79"/>
      <c r="J502" s="79"/>
      <c r="O502" s="79"/>
      <c r="P502" s="79"/>
      <c r="S502" s="79"/>
      <c r="T502" s="79"/>
      <c r="W502" s="130"/>
      <c r="Y502" s="106"/>
    </row>
    <row r="503">
      <c r="C503" s="79"/>
      <c r="D503" s="79"/>
      <c r="J503" s="79"/>
      <c r="O503" s="79"/>
      <c r="P503" s="79"/>
      <c r="S503" s="79"/>
      <c r="T503" s="79"/>
      <c r="W503" s="130"/>
      <c r="Y503" s="106"/>
    </row>
    <row r="504">
      <c r="C504" s="79"/>
      <c r="D504" s="79"/>
      <c r="J504" s="79"/>
      <c r="O504" s="79"/>
      <c r="P504" s="79"/>
      <c r="S504" s="79"/>
      <c r="T504" s="79"/>
      <c r="W504" s="130"/>
      <c r="Y504" s="106"/>
    </row>
    <row r="505">
      <c r="C505" s="79"/>
      <c r="D505" s="79"/>
      <c r="J505" s="79"/>
      <c r="O505" s="79"/>
      <c r="P505" s="79"/>
      <c r="S505" s="79"/>
      <c r="T505" s="79"/>
      <c r="W505" s="130"/>
      <c r="Y505" s="106"/>
    </row>
    <row r="506">
      <c r="C506" s="79"/>
      <c r="D506" s="79"/>
      <c r="J506" s="79"/>
      <c r="O506" s="79"/>
      <c r="P506" s="79"/>
      <c r="S506" s="79"/>
      <c r="T506" s="79"/>
      <c r="W506" s="130"/>
      <c r="Y506" s="106"/>
    </row>
    <row r="507">
      <c r="C507" s="79"/>
      <c r="D507" s="79"/>
      <c r="J507" s="79"/>
      <c r="O507" s="79"/>
      <c r="P507" s="79"/>
      <c r="S507" s="79"/>
      <c r="T507" s="79"/>
      <c r="W507" s="130"/>
      <c r="Y507" s="106"/>
    </row>
    <row r="508">
      <c r="C508" s="79"/>
      <c r="D508" s="79"/>
      <c r="J508" s="79"/>
      <c r="O508" s="79"/>
      <c r="P508" s="79"/>
      <c r="S508" s="79"/>
      <c r="T508" s="79"/>
      <c r="W508" s="130"/>
      <c r="Y508" s="106"/>
    </row>
    <row r="509">
      <c r="C509" s="79"/>
      <c r="D509" s="79"/>
      <c r="J509" s="79"/>
      <c r="O509" s="79"/>
      <c r="P509" s="79"/>
      <c r="S509" s="79"/>
      <c r="T509" s="79"/>
      <c r="W509" s="130"/>
      <c r="Y509" s="106"/>
    </row>
    <row r="510">
      <c r="C510" s="79"/>
      <c r="D510" s="79"/>
      <c r="J510" s="79"/>
      <c r="O510" s="79"/>
      <c r="P510" s="79"/>
      <c r="S510" s="79"/>
      <c r="T510" s="79"/>
      <c r="W510" s="130"/>
      <c r="Y510" s="106"/>
    </row>
    <row r="511">
      <c r="C511" s="79"/>
      <c r="D511" s="79"/>
      <c r="J511" s="79"/>
      <c r="O511" s="79"/>
      <c r="P511" s="79"/>
      <c r="S511" s="79"/>
      <c r="T511" s="79"/>
      <c r="W511" s="130"/>
      <c r="Y511" s="106"/>
    </row>
    <row r="512">
      <c r="C512" s="79"/>
      <c r="D512" s="79"/>
      <c r="J512" s="79"/>
      <c r="O512" s="79"/>
      <c r="P512" s="79"/>
      <c r="S512" s="79"/>
      <c r="T512" s="79"/>
      <c r="W512" s="130"/>
      <c r="Y512" s="106"/>
    </row>
    <row r="513">
      <c r="C513" s="79"/>
      <c r="D513" s="79"/>
      <c r="J513" s="79"/>
      <c r="O513" s="79"/>
      <c r="P513" s="79"/>
      <c r="S513" s="79"/>
      <c r="T513" s="79"/>
      <c r="W513" s="130"/>
      <c r="Y513" s="106"/>
    </row>
    <row r="514">
      <c r="C514" s="79"/>
      <c r="D514" s="79"/>
      <c r="J514" s="79"/>
      <c r="O514" s="79"/>
      <c r="P514" s="79"/>
      <c r="S514" s="79"/>
      <c r="T514" s="79"/>
      <c r="W514" s="130"/>
      <c r="Y514" s="106"/>
    </row>
    <row r="515">
      <c r="C515" s="79"/>
      <c r="D515" s="79"/>
      <c r="J515" s="79"/>
      <c r="O515" s="79"/>
      <c r="P515" s="79"/>
      <c r="S515" s="79"/>
      <c r="T515" s="79"/>
      <c r="W515" s="130"/>
      <c r="Y515" s="106"/>
    </row>
    <row r="516">
      <c r="C516" s="79"/>
      <c r="D516" s="79"/>
      <c r="J516" s="79"/>
      <c r="O516" s="79"/>
      <c r="P516" s="79"/>
      <c r="S516" s="79"/>
      <c r="T516" s="79"/>
      <c r="W516" s="130"/>
      <c r="Y516" s="106"/>
    </row>
    <row r="517">
      <c r="C517" s="79"/>
      <c r="D517" s="79"/>
      <c r="J517" s="79"/>
      <c r="O517" s="79"/>
      <c r="P517" s="79"/>
      <c r="S517" s="79"/>
      <c r="T517" s="79"/>
      <c r="W517" s="130"/>
      <c r="Y517" s="106"/>
    </row>
    <row r="518">
      <c r="C518" s="79"/>
      <c r="D518" s="79"/>
      <c r="J518" s="79"/>
      <c r="O518" s="79"/>
      <c r="P518" s="79"/>
      <c r="S518" s="79"/>
      <c r="T518" s="79"/>
      <c r="W518" s="130"/>
      <c r="Y518" s="106"/>
    </row>
    <row r="519">
      <c r="C519" s="79"/>
      <c r="D519" s="79"/>
      <c r="J519" s="79"/>
      <c r="O519" s="79"/>
      <c r="P519" s="79"/>
      <c r="S519" s="79"/>
      <c r="T519" s="79"/>
      <c r="W519" s="130"/>
      <c r="Y519" s="106"/>
    </row>
    <row r="520">
      <c r="C520" s="79"/>
      <c r="D520" s="79"/>
      <c r="J520" s="79"/>
      <c r="O520" s="79"/>
      <c r="P520" s="79"/>
      <c r="S520" s="79"/>
      <c r="T520" s="79"/>
      <c r="W520" s="130"/>
      <c r="Y520" s="106"/>
    </row>
    <row r="521">
      <c r="C521" s="79"/>
      <c r="D521" s="79"/>
      <c r="J521" s="79"/>
      <c r="O521" s="79"/>
      <c r="P521" s="79"/>
      <c r="S521" s="79"/>
      <c r="T521" s="79"/>
      <c r="W521" s="130"/>
      <c r="Y521" s="106"/>
    </row>
    <row r="522">
      <c r="C522" s="79"/>
      <c r="D522" s="79"/>
      <c r="J522" s="79"/>
      <c r="O522" s="79"/>
      <c r="P522" s="79"/>
      <c r="S522" s="79"/>
      <c r="T522" s="79"/>
      <c r="W522" s="130"/>
      <c r="Y522" s="106"/>
    </row>
    <row r="523">
      <c r="C523" s="79"/>
      <c r="D523" s="79"/>
      <c r="J523" s="79"/>
      <c r="O523" s="79"/>
      <c r="P523" s="79"/>
      <c r="S523" s="79"/>
      <c r="T523" s="79"/>
      <c r="W523" s="130"/>
      <c r="Y523" s="106"/>
    </row>
    <row r="524">
      <c r="C524" s="79"/>
      <c r="D524" s="79"/>
      <c r="J524" s="79"/>
      <c r="O524" s="79"/>
      <c r="P524" s="79"/>
      <c r="S524" s="79"/>
      <c r="T524" s="79"/>
      <c r="W524" s="130"/>
      <c r="Y524" s="106"/>
    </row>
    <row r="525">
      <c r="C525" s="79"/>
      <c r="D525" s="79"/>
      <c r="J525" s="79"/>
      <c r="O525" s="79"/>
      <c r="P525" s="79"/>
      <c r="S525" s="79"/>
      <c r="T525" s="79"/>
      <c r="W525" s="130"/>
      <c r="Y525" s="106"/>
    </row>
    <row r="526">
      <c r="C526" s="79"/>
      <c r="D526" s="79"/>
      <c r="J526" s="79"/>
      <c r="O526" s="79"/>
      <c r="P526" s="79"/>
      <c r="S526" s="79"/>
      <c r="T526" s="79"/>
      <c r="W526" s="130"/>
      <c r="Y526" s="106"/>
    </row>
    <row r="527">
      <c r="C527" s="79"/>
      <c r="D527" s="79"/>
      <c r="J527" s="79"/>
      <c r="O527" s="79"/>
      <c r="P527" s="79"/>
      <c r="S527" s="79"/>
      <c r="T527" s="79"/>
      <c r="W527" s="130"/>
      <c r="Y527" s="106"/>
    </row>
    <row r="528">
      <c r="C528" s="79"/>
      <c r="D528" s="79"/>
      <c r="J528" s="79"/>
      <c r="O528" s="79"/>
      <c r="P528" s="79"/>
      <c r="S528" s="79"/>
      <c r="T528" s="79"/>
      <c r="W528" s="130"/>
      <c r="Y528" s="106"/>
    </row>
    <row r="529">
      <c r="C529" s="79"/>
      <c r="D529" s="79"/>
      <c r="J529" s="79"/>
      <c r="O529" s="79"/>
      <c r="P529" s="79"/>
      <c r="S529" s="79"/>
      <c r="T529" s="79"/>
      <c r="W529" s="130"/>
      <c r="Y529" s="106"/>
    </row>
    <row r="530">
      <c r="C530" s="79"/>
      <c r="D530" s="79"/>
      <c r="J530" s="79"/>
      <c r="O530" s="79"/>
      <c r="P530" s="79"/>
      <c r="S530" s="79"/>
      <c r="T530" s="79"/>
      <c r="W530" s="130"/>
      <c r="Y530" s="106"/>
    </row>
    <row r="531">
      <c r="C531" s="79"/>
      <c r="D531" s="79"/>
      <c r="J531" s="79"/>
      <c r="O531" s="79"/>
      <c r="P531" s="79"/>
      <c r="S531" s="79"/>
      <c r="T531" s="79"/>
      <c r="W531" s="130"/>
      <c r="Y531" s="106"/>
    </row>
    <row r="532">
      <c r="C532" s="79"/>
      <c r="D532" s="79"/>
      <c r="J532" s="79"/>
      <c r="O532" s="79"/>
      <c r="P532" s="79"/>
      <c r="S532" s="79"/>
      <c r="T532" s="79"/>
      <c r="W532" s="130"/>
      <c r="Y532" s="106"/>
    </row>
    <row r="533">
      <c r="C533" s="79"/>
      <c r="D533" s="79"/>
      <c r="J533" s="79"/>
      <c r="O533" s="79"/>
      <c r="P533" s="79"/>
      <c r="S533" s="79"/>
      <c r="T533" s="79"/>
      <c r="W533" s="130"/>
      <c r="Y533" s="106"/>
    </row>
    <row r="534">
      <c r="C534" s="79"/>
      <c r="D534" s="79"/>
      <c r="J534" s="79"/>
      <c r="O534" s="79"/>
      <c r="P534" s="79"/>
      <c r="S534" s="79"/>
      <c r="T534" s="79"/>
      <c r="W534" s="130"/>
      <c r="Y534" s="106"/>
    </row>
    <row r="535">
      <c r="C535" s="79"/>
      <c r="D535" s="79"/>
      <c r="J535" s="79"/>
      <c r="O535" s="79"/>
      <c r="P535" s="79"/>
      <c r="S535" s="79"/>
      <c r="T535" s="79"/>
      <c r="W535" s="130"/>
      <c r="Y535" s="106"/>
    </row>
    <row r="536">
      <c r="C536" s="79"/>
      <c r="D536" s="79"/>
      <c r="J536" s="79"/>
      <c r="O536" s="79"/>
      <c r="P536" s="79"/>
      <c r="S536" s="79"/>
      <c r="T536" s="79"/>
      <c r="W536" s="130"/>
      <c r="Y536" s="106"/>
    </row>
    <row r="537">
      <c r="C537" s="79"/>
      <c r="D537" s="79"/>
      <c r="J537" s="79"/>
      <c r="O537" s="79"/>
      <c r="P537" s="79"/>
      <c r="S537" s="79"/>
      <c r="T537" s="79"/>
      <c r="W537" s="130"/>
      <c r="Y537" s="106"/>
    </row>
    <row r="538">
      <c r="C538" s="79"/>
      <c r="D538" s="79"/>
      <c r="J538" s="79"/>
      <c r="O538" s="79"/>
      <c r="P538" s="79"/>
      <c r="S538" s="79"/>
      <c r="T538" s="79"/>
      <c r="W538" s="130"/>
      <c r="Y538" s="106"/>
    </row>
    <row r="539">
      <c r="C539" s="79"/>
      <c r="D539" s="79"/>
      <c r="J539" s="79"/>
      <c r="O539" s="79"/>
      <c r="P539" s="79"/>
      <c r="S539" s="79"/>
      <c r="T539" s="79"/>
      <c r="W539" s="130"/>
      <c r="Y539" s="106"/>
    </row>
    <row r="540">
      <c r="C540" s="79"/>
      <c r="D540" s="79"/>
      <c r="J540" s="79"/>
      <c r="O540" s="79"/>
      <c r="P540" s="79"/>
      <c r="S540" s="79"/>
      <c r="T540" s="79"/>
      <c r="W540" s="130"/>
      <c r="Y540" s="106"/>
    </row>
    <row r="541">
      <c r="C541" s="79"/>
      <c r="D541" s="79"/>
      <c r="J541" s="79"/>
      <c r="O541" s="79"/>
      <c r="P541" s="79"/>
      <c r="S541" s="79"/>
      <c r="T541" s="79"/>
      <c r="W541" s="130"/>
      <c r="Y541" s="106"/>
    </row>
    <row r="542">
      <c r="C542" s="79"/>
      <c r="D542" s="79"/>
      <c r="J542" s="79"/>
      <c r="O542" s="79"/>
      <c r="P542" s="79"/>
      <c r="S542" s="79"/>
      <c r="T542" s="79"/>
      <c r="W542" s="130"/>
      <c r="Y542" s="106"/>
    </row>
    <row r="543">
      <c r="C543" s="79"/>
      <c r="D543" s="79"/>
      <c r="J543" s="79"/>
      <c r="O543" s="79"/>
      <c r="P543" s="79"/>
      <c r="S543" s="79"/>
      <c r="T543" s="79"/>
      <c r="W543" s="130"/>
      <c r="Y543" s="106"/>
    </row>
    <row r="544">
      <c r="C544" s="79"/>
      <c r="D544" s="79"/>
      <c r="J544" s="79"/>
      <c r="O544" s="79"/>
      <c r="P544" s="79"/>
      <c r="S544" s="79"/>
      <c r="T544" s="79"/>
      <c r="W544" s="130"/>
      <c r="Y544" s="106"/>
    </row>
    <row r="545">
      <c r="C545" s="79"/>
      <c r="D545" s="79"/>
      <c r="J545" s="79"/>
      <c r="O545" s="79"/>
      <c r="P545" s="79"/>
      <c r="S545" s="79"/>
      <c r="T545" s="79"/>
      <c r="W545" s="130"/>
      <c r="Y545" s="106"/>
    </row>
    <row r="546">
      <c r="C546" s="79"/>
      <c r="D546" s="79"/>
      <c r="J546" s="79"/>
      <c r="O546" s="79"/>
      <c r="P546" s="79"/>
      <c r="S546" s="79"/>
      <c r="T546" s="79"/>
      <c r="W546" s="130"/>
      <c r="Y546" s="106"/>
    </row>
    <row r="547">
      <c r="C547" s="79"/>
      <c r="D547" s="79"/>
      <c r="J547" s="79"/>
      <c r="O547" s="79"/>
      <c r="P547" s="79"/>
      <c r="S547" s="79"/>
      <c r="T547" s="79"/>
      <c r="W547" s="130"/>
      <c r="Y547" s="106"/>
    </row>
    <row r="548">
      <c r="C548" s="79"/>
      <c r="D548" s="79"/>
      <c r="J548" s="79"/>
      <c r="O548" s="79"/>
      <c r="P548" s="79"/>
      <c r="S548" s="79"/>
      <c r="T548" s="79"/>
      <c r="W548" s="130"/>
      <c r="Y548" s="106"/>
    </row>
    <row r="549">
      <c r="C549" s="79"/>
      <c r="D549" s="79"/>
      <c r="J549" s="79"/>
      <c r="O549" s="79"/>
      <c r="P549" s="79"/>
      <c r="S549" s="79"/>
      <c r="T549" s="79"/>
      <c r="W549" s="130"/>
      <c r="Y549" s="106"/>
    </row>
    <row r="550">
      <c r="C550" s="79"/>
      <c r="D550" s="79"/>
      <c r="J550" s="79"/>
      <c r="O550" s="79"/>
      <c r="P550" s="79"/>
      <c r="S550" s="79"/>
      <c r="T550" s="79"/>
      <c r="W550" s="130"/>
      <c r="Y550" s="106"/>
    </row>
    <row r="551">
      <c r="C551" s="79"/>
      <c r="D551" s="79"/>
      <c r="J551" s="79"/>
      <c r="O551" s="79"/>
      <c r="P551" s="79"/>
      <c r="S551" s="79"/>
      <c r="T551" s="79"/>
      <c r="W551" s="130"/>
      <c r="Y551" s="106"/>
    </row>
    <row r="552">
      <c r="C552" s="79"/>
      <c r="D552" s="79"/>
      <c r="J552" s="79"/>
      <c r="O552" s="79"/>
      <c r="P552" s="79"/>
      <c r="S552" s="79"/>
      <c r="T552" s="79"/>
      <c r="W552" s="130"/>
      <c r="Y552" s="106"/>
    </row>
    <row r="553">
      <c r="C553" s="79"/>
      <c r="D553" s="79"/>
      <c r="J553" s="79"/>
      <c r="O553" s="79"/>
      <c r="P553" s="79"/>
      <c r="S553" s="79"/>
      <c r="T553" s="79"/>
      <c r="W553" s="130"/>
      <c r="Y553" s="106"/>
    </row>
    <row r="554">
      <c r="C554" s="79"/>
      <c r="D554" s="79"/>
      <c r="J554" s="79"/>
      <c r="O554" s="79"/>
      <c r="P554" s="79"/>
      <c r="S554" s="79"/>
      <c r="T554" s="79"/>
      <c r="W554" s="130"/>
      <c r="Y554" s="106"/>
    </row>
    <row r="555">
      <c r="C555" s="79"/>
      <c r="D555" s="79"/>
      <c r="J555" s="79"/>
      <c r="O555" s="79"/>
      <c r="P555" s="79"/>
      <c r="S555" s="79"/>
      <c r="T555" s="79"/>
      <c r="W555" s="130"/>
      <c r="Y555" s="106"/>
    </row>
    <row r="556">
      <c r="C556" s="79"/>
      <c r="D556" s="79"/>
      <c r="J556" s="79"/>
      <c r="O556" s="79"/>
      <c r="P556" s="79"/>
      <c r="S556" s="79"/>
      <c r="T556" s="79"/>
      <c r="W556" s="130"/>
      <c r="Y556" s="106"/>
    </row>
    <row r="557">
      <c r="C557" s="79"/>
      <c r="D557" s="79"/>
      <c r="J557" s="79"/>
      <c r="O557" s="79"/>
      <c r="P557" s="79"/>
      <c r="S557" s="79"/>
      <c r="T557" s="79"/>
      <c r="W557" s="130"/>
      <c r="Y557" s="106"/>
    </row>
    <row r="558">
      <c r="C558" s="79"/>
      <c r="D558" s="79"/>
      <c r="J558" s="79"/>
      <c r="O558" s="79"/>
      <c r="P558" s="79"/>
      <c r="S558" s="79"/>
      <c r="T558" s="79"/>
      <c r="W558" s="130"/>
      <c r="Y558" s="106"/>
    </row>
    <row r="559">
      <c r="C559" s="79"/>
      <c r="D559" s="79"/>
      <c r="J559" s="79"/>
      <c r="O559" s="79"/>
      <c r="P559" s="79"/>
      <c r="S559" s="79"/>
      <c r="T559" s="79"/>
      <c r="W559" s="130"/>
      <c r="Y559" s="106"/>
    </row>
    <row r="560">
      <c r="C560" s="79"/>
      <c r="D560" s="79"/>
      <c r="J560" s="79"/>
      <c r="O560" s="79"/>
      <c r="P560" s="79"/>
      <c r="S560" s="79"/>
      <c r="T560" s="79"/>
      <c r="W560" s="130"/>
      <c r="Y560" s="106"/>
    </row>
    <row r="561">
      <c r="C561" s="79"/>
      <c r="D561" s="79"/>
      <c r="J561" s="79"/>
      <c r="O561" s="79"/>
      <c r="P561" s="79"/>
      <c r="S561" s="79"/>
      <c r="T561" s="79"/>
      <c r="W561" s="130"/>
      <c r="Y561" s="106"/>
    </row>
    <row r="562">
      <c r="C562" s="79"/>
      <c r="D562" s="79"/>
      <c r="J562" s="79"/>
      <c r="O562" s="79"/>
      <c r="P562" s="79"/>
      <c r="S562" s="79"/>
      <c r="T562" s="79"/>
      <c r="W562" s="130"/>
      <c r="Y562" s="106"/>
    </row>
    <row r="563">
      <c r="C563" s="79"/>
      <c r="D563" s="79"/>
      <c r="J563" s="79"/>
      <c r="O563" s="79"/>
      <c r="P563" s="79"/>
      <c r="S563" s="79"/>
      <c r="T563" s="79"/>
      <c r="W563" s="130"/>
      <c r="Y563" s="106"/>
    </row>
    <row r="564">
      <c r="C564" s="79"/>
      <c r="D564" s="79"/>
      <c r="J564" s="79"/>
      <c r="O564" s="79"/>
      <c r="P564" s="79"/>
      <c r="S564" s="79"/>
      <c r="T564" s="79"/>
      <c r="W564" s="130"/>
      <c r="Y564" s="106"/>
    </row>
    <row r="565">
      <c r="C565" s="79"/>
      <c r="D565" s="79"/>
      <c r="J565" s="79"/>
      <c r="O565" s="79"/>
      <c r="P565" s="79"/>
      <c r="S565" s="79"/>
      <c r="T565" s="79"/>
      <c r="W565" s="130"/>
      <c r="Y565" s="106"/>
    </row>
    <row r="566">
      <c r="C566" s="79"/>
      <c r="D566" s="79"/>
      <c r="J566" s="79"/>
      <c r="O566" s="79"/>
      <c r="P566" s="79"/>
      <c r="S566" s="79"/>
      <c r="T566" s="79"/>
      <c r="W566" s="130"/>
      <c r="Y566" s="106"/>
    </row>
    <row r="567">
      <c r="C567" s="79"/>
      <c r="D567" s="79"/>
      <c r="J567" s="79"/>
      <c r="O567" s="79"/>
      <c r="P567" s="79"/>
      <c r="S567" s="79"/>
      <c r="T567" s="79"/>
      <c r="W567" s="130"/>
      <c r="Y567" s="106"/>
    </row>
    <row r="568">
      <c r="C568" s="79"/>
      <c r="D568" s="79"/>
      <c r="J568" s="79"/>
      <c r="O568" s="79"/>
      <c r="P568" s="79"/>
      <c r="S568" s="79"/>
      <c r="T568" s="79"/>
      <c r="W568" s="130"/>
      <c r="Y568" s="106"/>
    </row>
    <row r="569">
      <c r="C569" s="79"/>
      <c r="D569" s="79"/>
      <c r="J569" s="79"/>
      <c r="O569" s="79"/>
      <c r="P569" s="79"/>
      <c r="S569" s="79"/>
      <c r="T569" s="79"/>
      <c r="W569" s="130"/>
      <c r="Y569" s="106"/>
    </row>
    <row r="570">
      <c r="C570" s="79"/>
      <c r="D570" s="79"/>
      <c r="J570" s="79"/>
      <c r="O570" s="79"/>
      <c r="P570" s="79"/>
      <c r="S570" s="79"/>
      <c r="T570" s="79"/>
      <c r="W570" s="130"/>
      <c r="Y570" s="106"/>
    </row>
    <row r="571">
      <c r="C571" s="79"/>
      <c r="D571" s="79"/>
      <c r="J571" s="79"/>
      <c r="O571" s="79"/>
      <c r="P571" s="79"/>
      <c r="S571" s="79"/>
      <c r="T571" s="79"/>
      <c r="W571" s="130"/>
      <c r="Y571" s="106"/>
    </row>
    <row r="572">
      <c r="C572" s="79"/>
      <c r="D572" s="79"/>
      <c r="J572" s="79"/>
      <c r="O572" s="79"/>
      <c r="P572" s="79"/>
      <c r="S572" s="79"/>
      <c r="T572" s="79"/>
      <c r="W572" s="130"/>
      <c r="Y572" s="106"/>
    </row>
    <row r="573">
      <c r="C573" s="79"/>
      <c r="D573" s="79"/>
      <c r="J573" s="79"/>
      <c r="O573" s="79"/>
      <c r="P573" s="79"/>
      <c r="S573" s="79"/>
      <c r="T573" s="79"/>
      <c r="W573" s="130"/>
      <c r="Y573" s="106"/>
    </row>
    <row r="574">
      <c r="C574" s="79"/>
      <c r="D574" s="79"/>
      <c r="J574" s="79"/>
      <c r="O574" s="79"/>
      <c r="P574" s="79"/>
      <c r="S574" s="79"/>
      <c r="T574" s="79"/>
      <c r="W574" s="130"/>
      <c r="Y574" s="106"/>
    </row>
    <row r="575">
      <c r="C575" s="79"/>
      <c r="D575" s="79"/>
      <c r="J575" s="79"/>
      <c r="O575" s="79"/>
      <c r="P575" s="79"/>
      <c r="S575" s="79"/>
      <c r="T575" s="79"/>
      <c r="W575" s="130"/>
      <c r="Y575" s="106"/>
    </row>
    <row r="576">
      <c r="C576" s="79"/>
      <c r="D576" s="79"/>
      <c r="J576" s="79"/>
      <c r="O576" s="79"/>
      <c r="P576" s="79"/>
      <c r="S576" s="79"/>
      <c r="T576" s="79"/>
      <c r="W576" s="130"/>
      <c r="Y576" s="106"/>
    </row>
    <row r="577">
      <c r="C577" s="79"/>
      <c r="D577" s="79"/>
      <c r="J577" s="79"/>
      <c r="O577" s="79"/>
      <c r="P577" s="79"/>
      <c r="S577" s="79"/>
      <c r="T577" s="79"/>
      <c r="W577" s="130"/>
      <c r="Y577" s="106"/>
    </row>
    <row r="578">
      <c r="C578" s="79"/>
      <c r="D578" s="79"/>
      <c r="J578" s="79"/>
      <c r="O578" s="79"/>
      <c r="P578" s="79"/>
      <c r="S578" s="79"/>
      <c r="T578" s="79"/>
      <c r="W578" s="130"/>
      <c r="Y578" s="106"/>
    </row>
    <row r="579">
      <c r="C579" s="79"/>
      <c r="D579" s="79"/>
      <c r="J579" s="79"/>
      <c r="O579" s="79"/>
      <c r="P579" s="79"/>
      <c r="S579" s="79"/>
      <c r="T579" s="79"/>
      <c r="W579" s="130"/>
      <c r="Y579" s="106"/>
    </row>
    <row r="580">
      <c r="C580" s="79"/>
      <c r="D580" s="79"/>
      <c r="J580" s="79"/>
      <c r="O580" s="79"/>
      <c r="P580" s="79"/>
      <c r="S580" s="79"/>
      <c r="T580" s="79"/>
      <c r="W580" s="130"/>
      <c r="Y580" s="106"/>
    </row>
    <row r="581">
      <c r="C581" s="79"/>
      <c r="D581" s="79"/>
      <c r="J581" s="79"/>
      <c r="O581" s="79"/>
      <c r="P581" s="79"/>
      <c r="S581" s="79"/>
      <c r="T581" s="79"/>
      <c r="W581" s="130"/>
      <c r="Y581" s="106"/>
    </row>
    <row r="582">
      <c r="C582" s="79"/>
      <c r="D582" s="79"/>
      <c r="J582" s="79"/>
      <c r="O582" s="79"/>
      <c r="P582" s="79"/>
      <c r="S582" s="79"/>
      <c r="T582" s="79"/>
      <c r="W582" s="130"/>
      <c r="Y582" s="106"/>
    </row>
    <row r="583">
      <c r="C583" s="79"/>
      <c r="D583" s="79"/>
      <c r="J583" s="79"/>
      <c r="O583" s="79"/>
      <c r="P583" s="79"/>
      <c r="S583" s="79"/>
      <c r="T583" s="79"/>
      <c r="W583" s="130"/>
      <c r="Y583" s="106"/>
    </row>
    <row r="584">
      <c r="C584" s="79"/>
      <c r="D584" s="79"/>
      <c r="J584" s="79"/>
      <c r="O584" s="79"/>
      <c r="P584" s="79"/>
      <c r="S584" s="79"/>
      <c r="T584" s="79"/>
      <c r="W584" s="130"/>
      <c r="Y584" s="106"/>
    </row>
    <row r="585">
      <c r="C585" s="79"/>
      <c r="D585" s="79"/>
      <c r="J585" s="79"/>
      <c r="O585" s="79"/>
      <c r="P585" s="79"/>
      <c r="S585" s="79"/>
      <c r="T585" s="79"/>
      <c r="W585" s="130"/>
      <c r="Y585" s="106"/>
    </row>
    <row r="586">
      <c r="C586" s="79"/>
      <c r="D586" s="79"/>
      <c r="J586" s="79"/>
      <c r="O586" s="79"/>
      <c r="P586" s="79"/>
      <c r="S586" s="79"/>
      <c r="T586" s="79"/>
      <c r="W586" s="130"/>
      <c r="Y586" s="106"/>
    </row>
    <row r="587">
      <c r="C587" s="79"/>
      <c r="D587" s="79"/>
      <c r="J587" s="79"/>
      <c r="O587" s="79"/>
      <c r="P587" s="79"/>
      <c r="S587" s="79"/>
      <c r="T587" s="79"/>
      <c r="W587" s="130"/>
      <c r="Y587" s="106"/>
    </row>
    <row r="588">
      <c r="C588" s="79"/>
      <c r="D588" s="79"/>
      <c r="J588" s="79"/>
      <c r="O588" s="79"/>
      <c r="P588" s="79"/>
      <c r="S588" s="79"/>
      <c r="T588" s="79"/>
      <c r="W588" s="130"/>
      <c r="Y588" s="106"/>
    </row>
    <row r="589">
      <c r="C589" s="79"/>
      <c r="D589" s="79"/>
      <c r="J589" s="79"/>
      <c r="O589" s="79"/>
      <c r="P589" s="79"/>
      <c r="S589" s="79"/>
      <c r="T589" s="79"/>
      <c r="W589" s="130"/>
      <c r="Y589" s="106"/>
    </row>
    <row r="590">
      <c r="C590" s="79"/>
      <c r="D590" s="79"/>
      <c r="J590" s="79"/>
      <c r="O590" s="79"/>
      <c r="P590" s="79"/>
      <c r="S590" s="79"/>
      <c r="T590" s="79"/>
      <c r="W590" s="130"/>
      <c r="Y590" s="106"/>
    </row>
    <row r="591">
      <c r="C591" s="79"/>
      <c r="D591" s="79"/>
      <c r="J591" s="79"/>
      <c r="O591" s="79"/>
      <c r="P591" s="79"/>
      <c r="S591" s="79"/>
      <c r="T591" s="79"/>
      <c r="W591" s="130"/>
      <c r="Y591" s="106"/>
    </row>
    <row r="592">
      <c r="C592" s="79"/>
      <c r="D592" s="79"/>
      <c r="J592" s="79"/>
      <c r="O592" s="79"/>
      <c r="P592" s="79"/>
      <c r="S592" s="79"/>
      <c r="T592" s="79"/>
      <c r="W592" s="130"/>
      <c r="Y592" s="106"/>
    </row>
    <row r="593">
      <c r="C593" s="79"/>
      <c r="D593" s="79"/>
      <c r="J593" s="79"/>
      <c r="O593" s="79"/>
      <c r="P593" s="79"/>
      <c r="S593" s="79"/>
      <c r="T593" s="79"/>
      <c r="W593" s="130"/>
      <c r="Y593" s="106"/>
    </row>
    <row r="594">
      <c r="C594" s="79"/>
      <c r="D594" s="79"/>
      <c r="J594" s="79"/>
      <c r="O594" s="79"/>
      <c r="P594" s="79"/>
      <c r="S594" s="79"/>
      <c r="T594" s="79"/>
      <c r="W594" s="130"/>
      <c r="Y594" s="106"/>
    </row>
    <row r="595">
      <c r="C595" s="79"/>
      <c r="D595" s="79"/>
      <c r="J595" s="79"/>
      <c r="O595" s="79"/>
      <c r="P595" s="79"/>
      <c r="S595" s="79"/>
      <c r="T595" s="79"/>
      <c r="W595" s="130"/>
      <c r="Y595" s="106"/>
    </row>
    <row r="596">
      <c r="C596" s="79"/>
      <c r="D596" s="79"/>
      <c r="J596" s="79"/>
      <c r="O596" s="79"/>
      <c r="P596" s="79"/>
      <c r="S596" s="79"/>
      <c r="T596" s="79"/>
      <c r="W596" s="130"/>
      <c r="Y596" s="106"/>
    </row>
    <row r="597">
      <c r="C597" s="79"/>
      <c r="D597" s="79"/>
      <c r="J597" s="79"/>
      <c r="O597" s="79"/>
      <c r="P597" s="79"/>
      <c r="S597" s="79"/>
      <c r="T597" s="79"/>
      <c r="W597" s="130"/>
      <c r="Y597" s="106"/>
    </row>
    <row r="598">
      <c r="C598" s="79"/>
      <c r="D598" s="79"/>
      <c r="J598" s="79"/>
      <c r="O598" s="79"/>
      <c r="P598" s="79"/>
      <c r="S598" s="79"/>
      <c r="T598" s="79"/>
      <c r="W598" s="130"/>
      <c r="Y598" s="106"/>
    </row>
    <row r="599">
      <c r="C599" s="79"/>
      <c r="D599" s="79"/>
      <c r="J599" s="79"/>
      <c r="O599" s="79"/>
      <c r="P599" s="79"/>
      <c r="S599" s="79"/>
      <c r="T599" s="79"/>
      <c r="W599" s="130"/>
      <c r="Y599" s="106"/>
    </row>
    <row r="600">
      <c r="C600" s="79"/>
      <c r="D600" s="79"/>
      <c r="J600" s="79"/>
      <c r="O600" s="79"/>
      <c r="P600" s="79"/>
      <c r="S600" s="79"/>
      <c r="T600" s="79"/>
      <c r="W600" s="130"/>
      <c r="Y600" s="106"/>
    </row>
    <row r="601">
      <c r="C601" s="79"/>
      <c r="D601" s="79"/>
      <c r="J601" s="79"/>
      <c r="O601" s="79"/>
      <c r="P601" s="79"/>
      <c r="S601" s="79"/>
      <c r="T601" s="79"/>
      <c r="W601" s="130"/>
      <c r="Y601" s="106"/>
    </row>
    <row r="602">
      <c r="C602" s="79"/>
      <c r="D602" s="79"/>
      <c r="J602" s="79"/>
      <c r="O602" s="79"/>
      <c r="P602" s="79"/>
      <c r="S602" s="79"/>
      <c r="T602" s="79"/>
      <c r="W602" s="130"/>
      <c r="Y602" s="106"/>
    </row>
    <row r="603">
      <c r="C603" s="79"/>
      <c r="D603" s="79"/>
      <c r="J603" s="79"/>
      <c r="O603" s="79"/>
      <c r="P603" s="79"/>
      <c r="S603" s="79"/>
      <c r="T603" s="79"/>
      <c r="W603" s="130"/>
      <c r="Y603" s="106"/>
    </row>
    <row r="604">
      <c r="C604" s="79"/>
      <c r="D604" s="79"/>
      <c r="J604" s="79"/>
      <c r="O604" s="79"/>
      <c r="P604" s="79"/>
      <c r="S604" s="79"/>
      <c r="T604" s="79"/>
      <c r="W604" s="130"/>
      <c r="Y604" s="106"/>
    </row>
    <row r="605">
      <c r="C605" s="79"/>
      <c r="D605" s="79"/>
      <c r="J605" s="79"/>
      <c r="O605" s="79"/>
      <c r="P605" s="79"/>
      <c r="S605" s="79"/>
      <c r="T605" s="79"/>
      <c r="W605" s="130"/>
      <c r="Y605" s="106"/>
    </row>
    <row r="606">
      <c r="C606" s="79"/>
      <c r="D606" s="79"/>
      <c r="J606" s="79"/>
      <c r="O606" s="79"/>
      <c r="P606" s="79"/>
      <c r="S606" s="79"/>
      <c r="T606" s="79"/>
      <c r="W606" s="130"/>
      <c r="Y606" s="106"/>
    </row>
    <row r="607">
      <c r="C607" s="79"/>
      <c r="D607" s="79"/>
      <c r="J607" s="79"/>
      <c r="O607" s="79"/>
      <c r="P607" s="79"/>
      <c r="S607" s="79"/>
      <c r="T607" s="79"/>
      <c r="W607" s="130"/>
      <c r="Y607" s="106"/>
    </row>
    <row r="608">
      <c r="C608" s="79"/>
      <c r="D608" s="79"/>
      <c r="J608" s="79"/>
      <c r="O608" s="79"/>
      <c r="P608" s="79"/>
      <c r="S608" s="79"/>
      <c r="T608" s="79"/>
      <c r="W608" s="130"/>
      <c r="Y608" s="106"/>
    </row>
    <row r="609">
      <c r="C609" s="79"/>
      <c r="D609" s="79"/>
      <c r="J609" s="79"/>
      <c r="O609" s="79"/>
      <c r="P609" s="79"/>
      <c r="S609" s="79"/>
      <c r="T609" s="79"/>
      <c r="W609" s="130"/>
      <c r="Y609" s="106"/>
    </row>
    <row r="610">
      <c r="C610" s="79"/>
      <c r="D610" s="79"/>
      <c r="J610" s="79"/>
      <c r="O610" s="79"/>
      <c r="P610" s="79"/>
      <c r="S610" s="79"/>
      <c r="T610" s="79"/>
      <c r="W610" s="130"/>
      <c r="Y610" s="106"/>
    </row>
    <row r="611">
      <c r="C611" s="79"/>
      <c r="D611" s="79"/>
      <c r="J611" s="79"/>
      <c r="O611" s="79"/>
      <c r="P611" s="79"/>
      <c r="S611" s="79"/>
      <c r="T611" s="79"/>
      <c r="W611" s="130"/>
      <c r="Y611" s="106"/>
    </row>
    <row r="612">
      <c r="C612" s="79"/>
      <c r="D612" s="79"/>
      <c r="J612" s="79"/>
      <c r="O612" s="79"/>
      <c r="P612" s="79"/>
      <c r="S612" s="79"/>
      <c r="T612" s="79"/>
      <c r="W612" s="130"/>
      <c r="Y612" s="106"/>
    </row>
    <row r="613">
      <c r="C613" s="79"/>
      <c r="D613" s="79"/>
      <c r="J613" s="79"/>
      <c r="O613" s="79"/>
      <c r="P613" s="79"/>
      <c r="S613" s="79"/>
      <c r="T613" s="79"/>
      <c r="W613" s="130"/>
      <c r="Y613" s="106"/>
    </row>
    <row r="614">
      <c r="C614" s="79"/>
      <c r="D614" s="79"/>
      <c r="J614" s="79"/>
      <c r="O614" s="79"/>
      <c r="P614" s="79"/>
      <c r="S614" s="79"/>
      <c r="T614" s="79"/>
      <c r="W614" s="130"/>
      <c r="Y614" s="106"/>
    </row>
    <row r="615">
      <c r="C615" s="79"/>
      <c r="D615" s="79"/>
      <c r="J615" s="79"/>
      <c r="O615" s="79"/>
      <c r="P615" s="79"/>
      <c r="S615" s="79"/>
      <c r="T615" s="79"/>
      <c r="W615" s="130"/>
      <c r="Y615" s="106"/>
    </row>
    <row r="616">
      <c r="C616" s="79"/>
      <c r="D616" s="79"/>
      <c r="J616" s="79"/>
      <c r="O616" s="79"/>
      <c r="P616" s="79"/>
      <c r="S616" s="79"/>
      <c r="T616" s="79"/>
      <c r="W616" s="130"/>
      <c r="Y616" s="106"/>
    </row>
    <row r="617">
      <c r="C617" s="79"/>
      <c r="D617" s="79"/>
      <c r="J617" s="79"/>
      <c r="O617" s="79"/>
      <c r="P617" s="79"/>
      <c r="S617" s="79"/>
      <c r="T617" s="79"/>
      <c r="W617" s="130"/>
      <c r="Y617" s="106"/>
    </row>
    <row r="618">
      <c r="C618" s="79"/>
      <c r="D618" s="79"/>
      <c r="J618" s="79"/>
      <c r="O618" s="79"/>
      <c r="P618" s="79"/>
      <c r="S618" s="79"/>
      <c r="T618" s="79"/>
      <c r="W618" s="130"/>
      <c r="Y618" s="106"/>
    </row>
    <row r="619">
      <c r="C619" s="79"/>
      <c r="D619" s="79"/>
      <c r="J619" s="79"/>
      <c r="O619" s="79"/>
      <c r="P619" s="79"/>
      <c r="S619" s="79"/>
      <c r="T619" s="79"/>
      <c r="W619" s="130"/>
      <c r="Y619" s="106"/>
    </row>
    <row r="620">
      <c r="C620" s="79"/>
      <c r="D620" s="79"/>
      <c r="J620" s="79"/>
      <c r="O620" s="79"/>
      <c r="P620" s="79"/>
      <c r="S620" s="79"/>
      <c r="T620" s="79"/>
      <c r="W620" s="130"/>
      <c r="Y620" s="106"/>
    </row>
    <row r="621">
      <c r="C621" s="79"/>
      <c r="D621" s="79"/>
      <c r="J621" s="79"/>
      <c r="O621" s="79"/>
      <c r="P621" s="79"/>
      <c r="S621" s="79"/>
      <c r="T621" s="79"/>
      <c r="W621" s="130"/>
      <c r="Y621" s="106"/>
    </row>
    <row r="622">
      <c r="C622" s="79"/>
      <c r="D622" s="79"/>
      <c r="J622" s="79"/>
      <c r="O622" s="79"/>
      <c r="P622" s="79"/>
      <c r="S622" s="79"/>
      <c r="T622" s="79"/>
      <c r="W622" s="130"/>
      <c r="Y622" s="106"/>
    </row>
    <row r="623">
      <c r="C623" s="79"/>
      <c r="D623" s="79"/>
      <c r="J623" s="79"/>
      <c r="O623" s="79"/>
      <c r="P623" s="79"/>
      <c r="S623" s="79"/>
      <c r="T623" s="79"/>
      <c r="W623" s="130"/>
      <c r="Y623" s="106"/>
    </row>
    <row r="624">
      <c r="C624" s="79"/>
      <c r="D624" s="79"/>
      <c r="J624" s="79"/>
      <c r="O624" s="79"/>
      <c r="P624" s="79"/>
      <c r="S624" s="79"/>
      <c r="T624" s="79"/>
      <c r="W624" s="130"/>
      <c r="Y624" s="106"/>
    </row>
    <row r="625">
      <c r="C625" s="79"/>
      <c r="D625" s="79"/>
      <c r="J625" s="79"/>
      <c r="O625" s="79"/>
      <c r="P625" s="79"/>
      <c r="S625" s="79"/>
      <c r="T625" s="79"/>
      <c r="W625" s="130"/>
      <c r="Y625" s="106"/>
    </row>
    <row r="626">
      <c r="C626" s="79"/>
      <c r="D626" s="79"/>
      <c r="J626" s="79"/>
      <c r="O626" s="79"/>
      <c r="P626" s="79"/>
      <c r="S626" s="79"/>
      <c r="T626" s="79"/>
      <c r="W626" s="130"/>
      <c r="Y626" s="106"/>
    </row>
    <row r="627">
      <c r="C627" s="79"/>
      <c r="D627" s="79"/>
      <c r="J627" s="79"/>
      <c r="O627" s="79"/>
      <c r="P627" s="79"/>
      <c r="S627" s="79"/>
      <c r="T627" s="79"/>
      <c r="W627" s="130"/>
      <c r="Y627" s="106"/>
    </row>
    <row r="628">
      <c r="C628" s="79"/>
      <c r="D628" s="79"/>
      <c r="J628" s="79"/>
      <c r="O628" s="79"/>
      <c r="P628" s="79"/>
      <c r="S628" s="79"/>
      <c r="T628" s="79"/>
      <c r="W628" s="130"/>
      <c r="Y628" s="106"/>
    </row>
    <row r="629">
      <c r="C629" s="79"/>
      <c r="D629" s="79"/>
      <c r="J629" s="79"/>
      <c r="O629" s="79"/>
      <c r="P629" s="79"/>
      <c r="S629" s="79"/>
      <c r="T629" s="79"/>
      <c r="W629" s="130"/>
      <c r="Y629" s="106"/>
    </row>
    <row r="630">
      <c r="C630" s="79"/>
      <c r="D630" s="79"/>
      <c r="J630" s="79"/>
      <c r="O630" s="79"/>
      <c r="P630" s="79"/>
      <c r="S630" s="79"/>
      <c r="T630" s="79"/>
      <c r="W630" s="130"/>
      <c r="Y630" s="106"/>
    </row>
    <row r="631">
      <c r="C631" s="79"/>
      <c r="D631" s="79"/>
      <c r="J631" s="79"/>
      <c r="O631" s="79"/>
      <c r="P631" s="79"/>
      <c r="S631" s="79"/>
      <c r="T631" s="79"/>
      <c r="W631" s="130"/>
      <c r="Y631" s="106"/>
    </row>
    <row r="632">
      <c r="C632" s="79"/>
      <c r="D632" s="79"/>
      <c r="J632" s="79"/>
      <c r="O632" s="79"/>
      <c r="P632" s="79"/>
      <c r="S632" s="79"/>
      <c r="T632" s="79"/>
      <c r="W632" s="130"/>
      <c r="Y632" s="106"/>
    </row>
    <row r="633">
      <c r="C633" s="79"/>
      <c r="D633" s="79"/>
      <c r="J633" s="79"/>
      <c r="O633" s="79"/>
      <c r="P633" s="79"/>
      <c r="S633" s="79"/>
      <c r="T633" s="79"/>
      <c r="W633" s="130"/>
      <c r="Y633" s="106"/>
    </row>
    <row r="634">
      <c r="C634" s="79"/>
      <c r="D634" s="79"/>
      <c r="J634" s="79"/>
      <c r="O634" s="79"/>
      <c r="P634" s="79"/>
      <c r="S634" s="79"/>
      <c r="T634" s="79"/>
      <c r="W634" s="130"/>
      <c r="Y634" s="106"/>
    </row>
    <row r="635">
      <c r="C635" s="79"/>
      <c r="D635" s="79"/>
      <c r="J635" s="79"/>
      <c r="O635" s="79"/>
      <c r="P635" s="79"/>
      <c r="S635" s="79"/>
      <c r="T635" s="79"/>
      <c r="W635" s="130"/>
      <c r="Y635" s="106"/>
    </row>
    <row r="636">
      <c r="C636" s="79"/>
      <c r="D636" s="79"/>
      <c r="J636" s="79"/>
      <c r="O636" s="79"/>
      <c r="P636" s="79"/>
      <c r="S636" s="79"/>
      <c r="T636" s="79"/>
      <c r="W636" s="130"/>
      <c r="Y636" s="106"/>
    </row>
    <row r="637">
      <c r="C637" s="79"/>
      <c r="D637" s="79"/>
      <c r="J637" s="79"/>
      <c r="O637" s="79"/>
      <c r="P637" s="79"/>
      <c r="S637" s="79"/>
      <c r="T637" s="79"/>
      <c r="W637" s="130"/>
      <c r="Y637" s="106"/>
    </row>
    <row r="638">
      <c r="C638" s="79"/>
      <c r="D638" s="79"/>
      <c r="J638" s="79"/>
      <c r="O638" s="79"/>
      <c r="P638" s="79"/>
      <c r="S638" s="79"/>
      <c r="T638" s="79"/>
      <c r="W638" s="130"/>
      <c r="Y638" s="106"/>
    </row>
    <row r="639">
      <c r="C639" s="79"/>
      <c r="D639" s="79"/>
      <c r="J639" s="79"/>
      <c r="O639" s="79"/>
      <c r="P639" s="79"/>
      <c r="S639" s="79"/>
      <c r="T639" s="79"/>
      <c r="W639" s="130"/>
      <c r="Y639" s="106"/>
    </row>
    <row r="640">
      <c r="C640" s="79"/>
      <c r="D640" s="79"/>
      <c r="J640" s="79"/>
      <c r="O640" s="79"/>
      <c r="P640" s="79"/>
      <c r="S640" s="79"/>
      <c r="T640" s="79"/>
      <c r="W640" s="130"/>
      <c r="Y640" s="106"/>
    </row>
    <row r="641">
      <c r="C641" s="79"/>
      <c r="D641" s="79"/>
      <c r="J641" s="79"/>
      <c r="O641" s="79"/>
      <c r="P641" s="79"/>
      <c r="S641" s="79"/>
      <c r="T641" s="79"/>
      <c r="W641" s="130"/>
      <c r="Y641" s="106"/>
    </row>
    <row r="642">
      <c r="C642" s="79"/>
      <c r="D642" s="79"/>
      <c r="J642" s="79"/>
      <c r="O642" s="79"/>
      <c r="P642" s="79"/>
      <c r="S642" s="79"/>
      <c r="T642" s="79"/>
      <c r="W642" s="130"/>
      <c r="Y642" s="106"/>
    </row>
    <row r="643">
      <c r="C643" s="79"/>
      <c r="D643" s="79"/>
      <c r="J643" s="79"/>
      <c r="O643" s="79"/>
      <c r="P643" s="79"/>
      <c r="S643" s="79"/>
      <c r="T643" s="79"/>
      <c r="W643" s="130"/>
      <c r="Y643" s="106"/>
    </row>
    <row r="644">
      <c r="C644" s="79"/>
      <c r="D644" s="79"/>
      <c r="J644" s="79"/>
      <c r="O644" s="79"/>
      <c r="P644" s="79"/>
      <c r="S644" s="79"/>
      <c r="T644" s="79"/>
      <c r="W644" s="130"/>
      <c r="Y644" s="106"/>
    </row>
    <row r="645">
      <c r="C645" s="79"/>
      <c r="D645" s="79"/>
      <c r="J645" s="79"/>
      <c r="O645" s="79"/>
      <c r="P645" s="79"/>
      <c r="S645" s="79"/>
      <c r="T645" s="79"/>
      <c r="W645" s="130"/>
      <c r="Y645" s="106"/>
    </row>
    <row r="646">
      <c r="C646" s="79"/>
      <c r="D646" s="79"/>
      <c r="J646" s="79"/>
      <c r="O646" s="79"/>
      <c r="P646" s="79"/>
      <c r="S646" s="79"/>
      <c r="T646" s="79"/>
      <c r="W646" s="130"/>
      <c r="Y646" s="106"/>
    </row>
    <row r="647">
      <c r="C647" s="79"/>
      <c r="D647" s="79"/>
      <c r="J647" s="79"/>
      <c r="O647" s="79"/>
      <c r="P647" s="79"/>
      <c r="S647" s="79"/>
      <c r="T647" s="79"/>
      <c r="W647" s="130"/>
      <c r="Y647" s="106"/>
    </row>
    <row r="648">
      <c r="C648" s="79"/>
      <c r="D648" s="79"/>
      <c r="J648" s="79"/>
      <c r="O648" s="79"/>
      <c r="P648" s="79"/>
      <c r="S648" s="79"/>
      <c r="T648" s="79"/>
      <c r="W648" s="130"/>
      <c r="Y648" s="106"/>
    </row>
    <row r="649">
      <c r="C649" s="79"/>
      <c r="D649" s="79"/>
      <c r="J649" s="79"/>
      <c r="O649" s="79"/>
      <c r="P649" s="79"/>
      <c r="S649" s="79"/>
      <c r="T649" s="79"/>
      <c r="W649" s="130"/>
      <c r="Y649" s="106"/>
    </row>
    <row r="650">
      <c r="C650" s="79"/>
      <c r="D650" s="79"/>
      <c r="J650" s="79"/>
      <c r="O650" s="79"/>
      <c r="P650" s="79"/>
      <c r="S650" s="79"/>
      <c r="T650" s="79"/>
      <c r="W650" s="130"/>
      <c r="Y650" s="106"/>
    </row>
    <row r="651">
      <c r="C651" s="79"/>
      <c r="D651" s="79"/>
      <c r="J651" s="79"/>
      <c r="O651" s="79"/>
      <c r="P651" s="79"/>
      <c r="S651" s="79"/>
      <c r="T651" s="79"/>
      <c r="W651" s="130"/>
      <c r="Y651" s="106"/>
    </row>
    <row r="652">
      <c r="C652" s="79"/>
      <c r="D652" s="79"/>
      <c r="J652" s="79"/>
      <c r="O652" s="79"/>
      <c r="P652" s="79"/>
      <c r="S652" s="79"/>
      <c r="T652" s="79"/>
      <c r="W652" s="130"/>
      <c r="Y652" s="106"/>
    </row>
    <row r="653">
      <c r="C653" s="79"/>
      <c r="D653" s="79"/>
      <c r="J653" s="79"/>
      <c r="O653" s="79"/>
      <c r="P653" s="79"/>
      <c r="S653" s="79"/>
      <c r="T653" s="79"/>
      <c r="W653" s="130"/>
      <c r="Y653" s="106"/>
    </row>
    <row r="654">
      <c r="C654" s="79"/>
      <c r="D654" s="79"/>
      <c r="J654" s="79"/>
      <c r="O654" s="79"/>
      <c r="P654" s="79"/>
      <c r="S654" s="79"/>
      <c r="T654" s="79"/>
      <c r="W654" s="130"/>
      <c r="Y654" s="106"/>
    </row>
    <row r="655">
      <c r="C655" s="79"/>
      <c r="D655" s="79"/>
      <c r="J655" s="79"/>
      <c r="O655" s="79"/>
      <c r="P655" s="79"/>
      <c r="S655" s="79"/>
      <c r="T655" s="79"/>
      <c r="W655" s="130"/>
      <c r="Y655" s="106"/>
    </row>
    <row r="656">
      <c r="C656" s="79"/>
      <c r="D656" s="79"/>
      <c r="J656" s="79"/>
      <c r="O656" s="79"/>
      <c r="P656" s="79"/>
      <c r="S656" s="79"/>
      <c r="T656" s="79"/>
      <c r="W656" s="130"/>
      <c r="Y656" s="106"/>
    </row>
    <row r="657">
      <c r="C657" s="79"/>
      <c r="D657" s="79"/>
      <c r="J657" s="79"/>
      <c r="O657" s="79"/>
      <c r="P657" s="79"/>
      <c r="S657" s="79"/>
      <c r="T657" s="79"/>
      <c r="W657" s="130"/>
      <c r="Y657" s="106"/>
    </row>
    <row r="658">
      <c r="C658" s="79"/>
      <c r="D658" s="79"/>
      <c r="J658" s="79"/>
      <c r="O658" s="79"/>
      <c r="P658" s="79"/>
      <c r="S658" s="79"/>
      <c r="T658" s="79"/>
      <c r="W658" s="130"/>
      <c r="Y658" s="106"/>
    </row>
    <row r="659">
      <c r="C659" s="79"/>
      <c r="D659" s="79"/>
      <c r="J659" s="79"/>
      <c r="O659" s="79"/>
      <c r="P659" s="79"/>
      <c r="S659" s="79"/>
      <c r="T659" s="79"/>
      <c r="W659" s="130"/>
      <c r="Y659" s="106"/>
    </row>
    <row r="660">
      <c r="C660" s="79"/>
      <c r="D660" s="79"/>
      <c r="J660" s="79"/>
      <c r="O660" s="79"/>
      <c r="P660" s="79"/>
      <c r="S660" s="79"/>
      <c r="T660" s="79"/>
      <c r="W660" s="130"/>
      <c r="Y660" s="106"/>
    </row>
    <row r="661">
      <c r="C661" s="79"/>
      <c r="D661" s="79"/>
      <c r="J661" s="79"/>
      <c r="O661" s="79"/>
      <c r="P661" s="79"/>
      <c r="S661" s="79"/>
      <c r="T661" s="79"/>
      <c r="W661" s="130"/>
      <c r="Y661" s="106"/>
    </row>
    <row r="662">
      <c r="C662" s="79"/>
      <c r="D662" s="79"/>
      <c r="J662" s="79"/>
      <c r="O662" s="79"/>
      <c r="P662" s="79"/>
      <c r="S662" s="79"/>
      <c r="T662" s="79"/>
      <c r="W662" s="130"/>
      <c r="Y662" s="106"/>
    </row>
    <row r="663">
      <c r="C663" s="79"/>
      <c r="D663" s="79"/>
      <c r="J663" s="79"/>
      <c r="O663" s="79"/>
      <c r="P663" s="79"/>
      <c r="S663" s="79"/>
      <c r="T663" s="79"/>
      <c r="W663" s="130"/>
      <c r="Y663" s="106"/>
    </row>
    <row r="664">
      <c r="C664" s="79"/>
      <c r="D664" s="79"/>
      <c r="J664" s="79"/>
      <c r="O664" s="79"/>
      <c r="P664" s="79"/>
      <c r="S664" s="79"/>
      <c r="T664" s="79"/>
      <c r="W664" s="130"/>
      <c r="Y664" s="106"/>
    </row>
    <row r="665">
      <c r="C665" s="79"/>
      <c r="D665" s="79"/>
      <c r="J665" s="79"/>
      <c r="O665" s="79"/>
      <c r="P665" s="79"/>
      <c r="S665" s="79"/>
      <c r="T665" s="79"/>
      <c r="W665" s="130"/>
      <c r="Y665" s="106"/>
    </row>
    <row r="666">
      <c r="C666" s="79"/>
      <c r="D666" s="79"/>
      <c r="J666" s="79"/>
      <c r="O666" s="79"/>
      <c r="P666" s="79"/>
      <c r="S666" s="79"/>
      <c r="T666" s="79"/>
      <c r="W666" s="130"/>
      <c r="Y666" s="106"/>
    </row>
    <row r="667">
      <c r="C667" s="79"/>
      <c r="D667" s="79"/>
      <c r="J667" s="79"/>
      <c r="O667" s="79"/>
      <c r="P667" s="79"/>
      <c r="S667" s="79"/>
      <c r="T667" s="79"/>
      <c r="W667" s="130"/>
      <c r="Y667" s="106"/>
    </row>
    <row r="668">
      <c r="C668" s="79"/>
      <c r="D668" s="79"/>
      <c r="J668" s="79"/>
      <c r="O668" s="79"/>
      <c r="P668" s="79"/>
      <c r="S668" s="79"/>
      <c r="T668" s="79"/>
      <c r="W668" s="130"/>
      <c r="Y668" s="106"/>
    </row>
    <row r="669">
      <c r="C669" s="79"/>
      <c r="D669" s="79"/>
      <c r="J669" s="79"/>
      <c r="O669" s="79"/>
      <c r="P669" s="79"/>
      <c r="S669" s="79"/>
      <c r="T669" s="79"/>
      <c r="W669" s="130"/>
      <c r="Y669" s="106"/>
    </row>
    <row r="670">
      <c r="C670" s="79"/>
      <c r="D670" s="79"/>
      <c r="J670" s="79"/>
      <c r="O670" s="79"/>
      <c r="P670" s="79"/>
      <c r="S670" s="79"/>
      <c r="T670" s="79"/>
      <c r="W670" s="130"/>
      <c r="Y670" s="106"/>
    </row>
    <row r="671">
      <c r="C671" s="79"/>
      <c r="D671" s="79"/>
      <c r="J671" s="79"/>
      <c r="O671" s="79"/>
      <c r="P671" s="79"/>
      <c r="S671" s="79"/>
      <c r="T671" s="79"/>
      <c r="W671" s="130"/>
      <c r="Y671" s="106"/>
    </row>
    <row r="672">
      <c r="C672" s="79"/>
      <c r="D672" s="79"/>
      <c r="J672" s="79"/>
      <c r="O672" s="79"/>
      <c r="P672" s="79"/>
      <c r="S672" s="79"/>
      <c r="T672" s="79"/>
      <c r="W672" s="130"/>
      <c r="Y672" s="106"/>
    </row>
    <row r="673">
      <c r="C673" s="79"/>
      <c r="D673" s="79"/>
      <c r="J673" s="79"/>
      <c r="O673" s="79"/>
      <c r="P673" s="79"/>
      <c r="S673" s="79"/>
      <c r="T673" s="79"/>
      <c r="W673" s="130"/>
      <c r="Y673" s="106"/>
    </row>
    <row r="674">
      <c r="C674" s="79"/>
      <c r="D674" s="79"/>
      <c r="J674" s="79"/>
      <c r="O674" s="79"/>
      <c r="P674" s="79"/>
      <c r="S674" s="79"/>
      <c r="T674" s="79"/>
      <c r="W674" s="130"/>
      <c r="Y674" s="106"/>
    </row>
    <row r="675">
      <c r="C675" s="79"/>
      <c r="D675" s="79"/>
      <c r="J675" s="79"/>
      <c r="O675" s="79"/>
      <c r="P675" s="79"/>
      <c r="S675" s="79"/>
      <c r="T675" s="79"/>
      <c r="W675" s="130"/>
      <c r="Y675" s="106"/>
    </row>
    <row r="676">
      <c r="C676" s="79"/>
      <c r="D676" s="79"/>
      <c r="J676" s="79"/>
      <c r="O676" s="79"/>
      <c r="P676" s="79"/>
      <c r="S676" s="79"/>
      <c r="T676" s="79"/>
      <c r="W676" s="130"/>
      <c r="Y676" s="106"/>
    </row>
    <row r="677">
      <c r="C677" s="79"/>
      <c r="D677" s="79"/>
      <c r="J677" s="79"/>
      <c r="O677" s="79"/>
      <c r="P677" s="79"/>
      <c r="S677" s="79"/>
      <c r="T677" s="79"/>
      <c r="W677" s="130"/>
      <c r="Y677" s="106"/>
    </row>
    <row r="678">
      <c r="C678" s="79"/>
      <c r="D678" s="79"/>
      <c r="J678" s="79"/>
      <c r="O678" s="79"/>
      <c r="P678" s="79"/>
      <c r="S678" s="79"/>
      <c r="T678" s="79"/>
      <c r="W678" s="130"/>
      <c r="Y678" s="106"/>
    </row>
    <row r="679">
      <c r="C679" s="79"/>
      <c r="D679" s="79"/>
      <c r="J679" s="79"/>
      <c r="O679" s="79"/>
      <c r="P679" s="79"/>
      <c r="S679" s="79"/>
      <c r="T679" s="79"/>
      <c r="W679" s="130"/>
      <c r="Y679" s="106"/>
    </row>
    <row r="680">
      <c r="C680" s="79"/>
      <c r="D680" s="79"/>
      <c r="J680" s="79"/>
      <c r="O680" s="79"/>
      <c r="P680" s="79"/>
      <c r="S680" s="79"/>
      <c r="T680" s="79"/>
      <c r="W680" s="130"/>
      <c r="Y680" s="106"/>
    </row>
    <row r="681">
      <c r="C681" s="79"/>
      <c r="D681" s="79"/>
      <c r="J681" s="79"/>
      <c r="O681" s="79"/>
      <c r="P681" s="79"/>
      <c r="S681" s="79"/>
      <c r="T681" s="79"/>
      <c r="W681" s="130"/>
      <c r="Y681" s="106"/>
    </row>
    <row r="682">
      <c r="C682" s="79"/>
      <c r="D682" s="79"/>
      <c r="J682" s="79"/>
      <c r="O682" s="79"/>
      <c r="P682" s="79"/>
      <c r="S682" s="79"/>
      <c r="T682" s="79"/>
      <c r="W682" s="130"/>
      <c r="Y682" s="106"/>
    </row>
    <row r="683">
      <c r="C683" s="79"/>
      <c r="D683" s="79"/>
      <c r="J683" s="79"/>
      <c r="O683" s="79"/>
      <c r="P683" s="79"/>
      <c r="S683" s="79"/>
      <c r="T683" s="79"/>
      <c r="W683" s="130"/>
      <c r="Y683" s="106"/>
    </row>
    <row r="684">
      <c r="C684" s="79"/>
      <c r="D684" s="79"/>
      <c r="J684" s="79"/>
      <c r="O684" s="79"/>
      <c r="P684" s="79"/>
      <c r="S684" s="79"/>
      <c r="T684" s="79"/>
      <c r="W684" s="130"/>
      <c r="Y684" s="106"/>
    </row>
    <row r="685">
      <c r="C685" s="79"/>
      <c r="D685" s="79"/>
      <c r="J685" s="79"/>
      <c r="O685" s="79"/>
      <c r="P685" s="79"/>
      <c r="S685" s="79"/>
      <c r="T685" s="79"/>
      <c r="W685" s="130"/>
      <c r="Y685" s="106"/>
    </row>
    <row r="686">
      <c r="C686" s="79"/>
      <c r="D686" s="79"/>
      <c r="J686" s="79"/>
      <c r="O686" s="79"/>
      <c r="P686" s="79"/>
      <c r="S686" s="79"/>
      <c r="T686" s="79"/>
      <c r="W686" s="130"/>
      <c r="Y686" s="106"/>
    </row>
    <row r="687">
      <c r="C687" s="79"/>
      <c r="D687" s="79"/>
      <c r="J687" s="79"/>
      <c r="O687" s="79"/>
      <c r="P687" s="79"/>
      <c r="S687" s="79"/>
      <c r="T687" s="79"/>
      <c r="W687" s="130"/>
      <c r="Y687" s="106"/>
    </row>
    <row r="688">
      <c r="C688" s="79"/>
      <c r="D688" s="79"/>
      <c r="J688" s="79"/>
      <c r="O688" s="79"/>
      <c r="P688" s="79"/>
      <c r="S688" s="79"/>
      <c r="T688" s="79"/>
      <c r="W688" s="130"/>
      <c r="Y688" s="106"/>
    </row>
    <row r="689">
      <c r="C689" s="79"/>
      <c r="D689" s="79"/>
      <c r="J689" s="79"/>
      <c r="O689" s="79"/>
      <c r="P689" s="79"/>
      <c r="S689" s="79"/>
      <c r="T689" s="79"/>
      <c r="W689" s="130"/>
      <c r="Y689" s="106"/>
    </row>
    <row r="690">
      <c r="C690" s="79"/>
      <c r="D690" s="79"/>
      <c r="J690" s="79"/>
      <c r="O690" s="79"/>
      <c r="P690" s="79"/>
      <c r="S690" s="79"/>
      <c r="T690" s="79"/>
      <c r="W690" s="130"/>
      <c r="Y690" s="106"/>
    </row>
    <row r="691">
      <c r="C691" s="79"/>
      <c r="D691" s="79"/>
      <c r="J691" s="79"/>
      <c r="O691" s="79"/>
      <c r="P691" s="79"/>
      <c r="S691" s="79"/>
      <c r="T691" s="79"/>
      <c r="W691" s="130"/>
      <c r="Y691" s="106"/>
    </row>
    <row r="692">
      <c r="C692" s="79"/>
      <c r="D692" s="79"/>
      <c r="J692" s="79"/>
      <c r="O692" s="79"/>
      <c r="P692" s="79"/>
      <c r="S692" s="79"/>
      <c r="T692" s="79"/>
      <c r="W692" s="130"/>
      <c r="Y692" s="106"/>
    </row>
    <row r="693">
      <c r="C693" s="79"/>
      <c r="D693" s="79"/>
      <c r="J693" s="79"/>
      <c r="O693" s="79"/>
      <c r="P693" s="79"/>
      <c r="S693" s="79"/>
      <c r="T693" s="79"/>
      <c r="W693" s="130"/>
      <c r="Y693" s="106"/>
    </row>
    <row r="694">
      <c r="C694" s="79"/>
      <c r="D694" s="79"/>
      <c r="J694" s="79"/>
      <c r="O694" s="79"/>
      <c r="P694" s="79"/>
      <c r="S694" s="79"/>
      <c r="T694" s="79"/>
      <c r="W694" s="130"/>
      <c r="Y694" s="106"/>
    </row>
    <row r="695">
      <c r="C695" s="79"/>
      <c r="D695" s="79"/>
      <c r="J695" s="79"/>
      <c r="O695" s="79"/>
      <c r="P695" s="79"/>
      <c r="S695" s="79"/>
      <c r="T695" s="79"/>
      <c r="W695" s="130"/>
      <c r="Y695" s="106"/>
    </row>
    <row r="696">
      <c r="C696" s="79"/>
      <c r="D696" s="79"/>
      <c r="J696" s="79"/>
      <c r="O696" s="79"/>
      <c r="P696" s="79"/>
      <c r="S696" s="79"/>
      <c r="T696" s="79"/>
      <c r="W696" s="130"/>
      <c r="Y696" s="106"/>
    </row>
    <row r="697">
      <c r="C697" s="79"/>
      <c r="D697" s="79"/>
      <c r="J697" s="79"/>
      <c r="O697" s="79"/>
      <c r="P697" s="79"/>
      <c r="S697" s="79"/>
      <c r="T697" s="79"/>
      <c r="W697" s="130"/>
      <c r="Y697" s="106"/>
    </row>
    <row r="698">
      <c r="C698" s="79"/>
      <c r="D698" s="79"/>
      <c r="J698" s="79"/>
      <c r="O698" s="79"/>
      <c r="P698" s="79"/>
      <c r="S698" s="79"/>
      <c r="T698" s="79"/>
      <c r="W698" s="130"/>
      <c r="Y698" s="106"/>
    </row>
    <row r="699">
      <c r="C699" s="79"/>
      <c r="D699" s="79"/>
      <c r="J699" s="79"/>
      <c r="O699" s="79"/>
      <c r="P699" s="79"/>
      <c r="S699" s="79"/>
      <c r="T699" s="79"/>
      <c r="W699" s="130"/>
      <c r="Y699" s="106"/>
    </row>
    <row r="700">
      <c r="C700" s="79"/>
      <c r="D700" s="79"/>
      <c r="J700" s="79"/>
      <c r="O700" s="79"/>
      <c r="P700" s="79"/>
      <c r="S700" s="79"/>
      <c r="T700" s="79"/>
      <c r="W700" s="130"/>
      <c r="Y700" s="106"/>
    </row>
    <row r="701">
      <c r="C701" s="79"/>
      <c r="D701" s="79"/>
      <c r="J701" s="79"/>
      <c r="O701" s="79"/>
      <c r="P701" s="79"/>
      <c r="S701" s="79"/>
      <c r="T701" s="79"/>
      <c r="W701" s="130"/>
      <c r="Y701" s="106"/>
    </row>
    <row r="702">
      <c r="C702" s="79"/>
      <c r="D702" s="79"/>
      <c r="J702" s="79"/>
      <c r="O702" s="79"/>
      <c r="P702" s="79"/>
      <c r="S702" s="79"/>
      <c r="T702" s="79"/>
      <c r="W702" s="130"/>
      <c r="Y702" s="106"/>
    </row>
    <row r="703">
      <c r="C703" s="79"/>
      <c r="D703" s="79"/>
      <c r="J703" s="79"/>
      <c r="O703" s="79"/>
      <c r="P703" s="79"/>
      <c r="S703" s="79"/>
      <c r="T703" s="79"/>
      <c r="W703" s="130"/>
      <c r="Y703" s="106"/>
    </row>
    <row r="704">
      <c r="C704" s="79"/>
      <c r="D704" s="79"/>
      <c r="J704" s="79"/>
      <c r="O704" s="79"/>
      <c r="P704" s="79"/>
      <c r="S704" s="79"/>
      <c r="T704" s="79"/>
      <c r="W704" s="130"/>
      <c r="Y704" s="106"/>
    </row>
    <row r="705">
      <c r="C705" s="79"/>
      <c r="D705" s="79"/>
      <c r="J705" s="79"/>
      <c r="O705" s="79"/>
      <c r="P705" s="79"/>
      <c r="S705" s="79"/>
      <c r="T705" s="79"/>
      <c r="W705" s="130"/>
      <c r="Y705" s="106"/>
    </row>
    <row r="706">
      <c r="C706" s="79"/>
      <c r="D706" s="79"/>
      <c r="J706" s="79"/>
      <c r="O706" s="79"/>
      <c r="P706" s="79"/>
      <c r="S706" s="79"/>
      <c r="T706" s="79"/>
      <c r="W706" s="130"/>
      <c r="Y706" s="106"/>
    </row>
    <row r="707">
      <c r="C707" s="79"/>
      <c r="D707" s="79"/>
      <c r="J707" s="79"/>
      <c r="O707" s="79"/>
      <c r="P707" s="79"/>
      <c r="S707" s="79"/>
      <c r="T707" s="79"/>
      <c r="W707" s="130"/>
      <c r="Y707" s="106"/>
    </row>
    <row r="708">
      <c r="C708" s="79"/>
      <c r="D708" s="79"/>
      <c r="J708" s="79"/>
      <c r="O708" s="79"/>
      <c r="P708" s="79"/>
      <c r="S708" s="79"/>
      <c r="T708" s="79"/>
      <c r="W708" s="130"/>
      <c r="Y708" s="106"/>
    </row>
    <row r="709">
      <c r="C709" s="79"/>
      <c r="D709" s="79"/>
      <c r="J709" s="79"/>
      <c r="O709" s="79"/>
      <c r="P709" s="79"/>
      <c r="S709" s="79"/>
      <c r="T709" s="79"/>
      <c r="W709" s="130"/>
      <c r="Y709" s="106"/>
    </row>
    <row r="710">
      <c r="C710" s="79"/>
      <c r="D710" s="79"/>
      <c r="J710" s="79"/>
      <c r="O710" s="79"/>
      <c r="P710" s="79"/>
      <c r="S710" s="79"/>
      <c r="T710" s="79"/>
      <c r="W710" s="130"/>
      <c r="Y710" s="106"/>
    </row>
    <row r="711">
      <c r="C711" s="79"/>
      <c r="D711" s="79"/>
      <c r="J711" s="79"/>
      <c r="O711" s="79"/>
      <c r="P711" s="79"/>
      <c r="S711" s="79"/>
      <c r="T711" s="79"/>
      <c r="W711" s="130"/>
      <c r="Y711" s="106"/>
    </row>
    <row r="712">
      <c r="C712" s="79"/>
      <c r="D712" s="79"/>
      <c r="J712" s="79"/>
      <c r="O712" s="79"/>
      <c r="P712" s="79"/>
      <c r="S712" s="79"/>
      <c r="T712" s="79"/>
      <c r="W712" s="130"/>
      <c r="Y712" s="106"/>
    </row>
    <row r="713">
      <c r="C713" s="79"/>
      <c r="D713" s="79"/>
      <c r="J713" s="79"/>
      <c r="O713" s="79"/>
      <c r="P713" s="79"/>
      <c r="S713" s="79"/>
      <c r="T713" s="79"/>
      <c r="W713" s="130"/>
      <c r="Y713" s="106"/>
    </row>
    <row r="714">
      <c r="C714" s="79"/>
      <c r="D714" s="79"/>
      <c r="J714" s="79"/>
      <c r="O714" s="79"/>
      <c r="P714" s="79"/>
      <c r="S714" s="79"/>
      <c r="T714" s="79"/>
      <c r="W714" s="130"/>
      <c r="Y714" s="106"/>
    </row>
    <row r="715">
      <c r="C715" s="79"/>
      <c r="D715" s="79"/>
      <c r="J715" s="79"/>
      <c r="O715" s="79"/>
      <c r="P715" s="79"/>
      <c r="S715" s="79"/>
      <c r="T715" s="79"/>
      <c r="W715" s="130"/>
      <c r="Y715" s="106"/>
    </row>
    <row r="716">
      <c r="C716" s="79"/>
      <c r="D716" s="79"/>
      <c r="J716" s="79"/>
      <c r="O716" s="79"/>
      <c r="P716" s="79"/>
      <c r="S716" s="79"/>
      <c r="T716" s="79"/>
      <c r="W716" s="130"/>
      <c r="Y716" s="106"/>
    </row>
    <row r="717">
      <c r="C717" s="79"/>
      <c r="D717" s="79"/>
      <c r="J717" s="79"/>
      <c r="O717" s="79"/>
      <c r="P717" s="79"/>
      <c r="S717" s="79"/>
      <c r="T717" s="79"/>
      <c r="W717" s="130"/>
      <c r="Y717" s="106"/>
    </row>
    <row r="718">
      <c r="C718" s="79"/>
      <c r="D718" s="79"/>
      <c r="J718" s="79"/>
      <c r="O718" s="79"/>
      <c r="P718" s="79"/>
      <c r="S718" s="79"/>
      <c r="T718" s="79"/>
      <c r="W718" s="130"/>
      <c r="Y718" s="106"/>
    </row>
    <row r="719">
      <c r="C719" s="79"/>
      <c r="D719" s="79"/>
      <c r="J719" s="79"/>
      <c r="O719" s="79"/>
      <c r="P719" s="79"/>
      <c r="S719" s="79"/>
      <c r="T719" s="79"/>
      <c r="W719" s="130"/>
      <c r="Y719" s="106"/>
    </row>
    <row r="720">
      <c r="C720" s="79"/>
      <c r="D720" s="79"/>
      <c r="J720" s="79"/>
      <c r="O720" s="79"/>
      <c r="P720" s="79"/>
      <c r="S720" s="79"/>
      <c r="T720" s="79"/>
      <c r="W720" s="130"/>
      <c r="Y720" s="106"/>
    </row>
    <row r="721">
      <c r="C721" s="79"/>
      <c r="D721" s="79"/>
      <c r="J721" s="79"/>
      <c r="O721" s="79"/>
      <c r="P721" s="79"/>
      <c r="S721" s="79"/>
      <c r="T721" s="79"/>
      <c r="W721" s="130"/>
      <c r="Y721" s="106"/>
    </row>
    <row r="722">
      <c r="C722" s="79"/>
      <c r="D722" s="79"/>
      <c r="J722" s="79"/>
      <c r="O722" s="79"/>
      <c r="P722" s="79"/>
      <c r="S722" s="79"/>
      <c r="T722" s="79"/>
      <c r="W722" s="130"/>
      <c r="Y722" s="106"/>
    </row>
    <row r="723">
      <c r="C723" s="79"/>
      <c r="D723" s="79"/>
      <c r="J723" s="79"/>
      <c r="O723" s="79"/>
      <c r="P723" s="79"/>
      <c r="S723" s="79"/>
      <c r="T723" s="79"/>
      <c r="W723" s="130"/>
      <c r="Y723" s="106"/>
    </row>
    <row r="724">
      <c r="C724" s="79"/>
      <c r="D724" s="79"/>
      <c r="J724" s="79"/>
      <c r="O724" s="79"/>
      <c r="P724" s="79"/>
      <c r="S724" s="79"/>
      <c r="T724" s="79"/>
      <c r="W724" s="130"/>
      <c r="Y724" s="106"/>
    </row>
    <row r="725">
      <c r="C725" s="79"/>
      <c r="D725" s="79"/>
      <c r="J725" s="79"/>
      <c r="O725" s="79"/>
      <c r="P725" s="79"/>
      <c r="S725" s="79"/>
      <c r="T725" s="79"/>
      <c r="W725" s="130"/>
      <c r="Y725" s="106"/>
    </row>
    <row r="726">
      <c r="C726" s="79"/>
      <c r="D726" s="79"/>
      <c r="J726" s="79"/>
      <c r="O726" s="79"/>
      <c r="P726" s="79"/>
      <c r="S726" s="79"/>
      <c r="T726" s="79"/>
      <c r="W726" s="130"/>
      <c r="Y726" s="106"/>
    </row>
    <row r="727">
      <c r="C727" s="79"/>
      <c r="D727" s="79"/>
      <c r="J727" s="79"/>
      <c r="O727" s="79"/>
      <c r="P727" s="79"/>
      <c r="S727" s="79"/>
      <c r="T727" s="79"/>
      <c r="W727" s="130"/>
      <c r="Y727" s="106"/>
    </row>
    <row r="728">
      <c r="C728" s="79"/>
      <c r="D728" s="79"/>
      <c r="J728" s="79"/>
      <c r="O728" s="79"/>
      <c r="P728" s="79"/>
      <c r="S728" s="79"/>
      <c r="T728" s="79"/>
      <c r="W728" s="130"/>
      <c r="Y728" s="106"/>
    </row>
    <row r="729">
      <c r="C729" s="79"/>
      <c r="D729" s="79"/>
      <c r="J729" s="79"/>
      <c r="O729" s="79"/>
      <c r="P729" s="79"/>
      <c r="S729" s="79"/>
      <c r="T729" s="79"/>
      <c r="W729" s="130"/>
      <c r="Y729" s="106"/>
    </row>
    <row r="730">
      <c r="C730" s="79"/>
      <c r="D730" s="79"/>
      <c r="J730" s="79"/>
      <c r="O730" s="79"/>
      <c r="P730" s="79"/>
      <c r="S730" s="79"/>
      <c r="T730" s="79"/>
      <c r="W730" s="130"/>
      <c r="Y730" s="106"/>
    </row>
    <row r="731">
      <c r="C731" s="79"/>
      <c r="D731" s="79"/>
      <c r="J731" s="79"/>
      <c r="O731" s="79"/>
      <c r="P731" s="79"/>
      <c r="S731" s="79"/>
      <c r="T731" s="79"/>
      <c r="W731" s="130"/>
      <c r="Y731" s="106"/>
    </row>
    <row r="732">
      <c r="C732" s="79"/>
      <c r="D732" s="79"/>
      <c r="J732" s="79"/>
      <c r="O732" s="79"/>
      <c r="P732" s="79"/>
      <c r="S732" s="79"/>
      <c r="T732" s="79"/>
      <c r="W732" s="130"/>
      <c r="Y732" s="106"/>
    </row>
    <row r="733">
      <c r="C733" s="79"/>
      <c r="D733" s="79"/>
      <c r="J733" s="79"/>
      <c r="O733" s="79"/>
      <c r="P733" s="79"/>
      <c r="S733" s="79"/>
      <c r="T733" s="79"/>
      <c r="W733" s="130"/>
      <c r="Y733" s="106"/>
    </row>
    <row r="734">
      <c r="C734" s="79"/>
      <c r="D734" s="79"/>
      <c r="J734" s="79"/>
      <c r="O734" s="79"/>
      <c r="P734" s="79"/>
      <c r="S734" s="79"/>
      <c r="T734" s="79"/>
      <c r="W734" s="130"/>
      <c r="Y734" s="106"/>
    </row>
    <row r="735">
      <c r="C735" s="79"/>
      <c r="D735" s="79"/>
      <c r="J735" s="79"/>
      <c r="O735" s="79"/>
      <c r="P735" s="79"/>
      <c r="S735" s="79"/>
      <c r="T735" s="79"/>
      <c r="W735" s="130"/>
      <c r="Y735" s="106"/>
    </row>
    <row r="736">
      <c r="C736" s="79"/>
      <c r="D736" s="79"/>
      <c r="J736" s="79"/>
      <c r="O736" s="79"/>
      <c r="P736" s="79"/>
      <c r="S736" s="79"/>
      <c r="T736" s="79"/>
      <c r="W736" s="130"/>
      <c r="Y736" s="106"/>
    </row>
    <row r="737">
      <c r="C737" s="79"/>
      <c r="D737" s="79"/>
      <c r="J737" s="79"/>
      <c r="O737" s="79"/>
      <c r="P737" s="79"/>
      <c r="S737" s="79"/>
      <c r="T737" s="79"/>
      <c r="W737" s="130"/>
      <c r="Y737" s="106"/>
    </row>
    <row r="738">
      <c r="C738" s="79"/>
      <c r="D738" s="79"/>
      <c r="J738" s="79"/>
      <c r="O738" s="79"/>
      <c r="P738" s="79"/>
      <c r="S738" s="79"/>
      <c r="T738" s="79"/>
      <c r="W738" s="130"/>
      <c r="Y738" s="106"/>
    </row>
    <row r="739">
      <c r="C739" s="79"/>
      <c r="D739" s="79"/>
      <c r="J739" s="79"/>
      <c r="O739" s="79"/>
      <c r="P739" s="79"/>
      <c r="S739" s="79"/>
      <c r="T739" s="79"/>
      <c r="W739" s="130"/>
      <c r="Y739" s="106"/>
    </row>
    <row r="740">
      <c r="C740" s="79"/>
      <c r="D740" s="79"/>
      <c r="J740" s="79"/>
      <c r="O740" s="79"/>
      <c r="P740" s="79"/>
      <c r="S740" s="79"/>
      <c r="T740" s="79"/>
      <c r="W740" s="130"/>
      <c r="Y740" s="106"/>
    </row>
    <row r="741">
      <c r="C741" s="79"/>
      <c r="D741" s="79"/>
      <c r="J741" s="79"/>
      <c r="O741" s="79"/>
      <c r="P741" s="79"/>
      <c r="S741" s="79"/>
      <c r="T741" s="79"/>
      <c r="W741" s="130"/>
      <c r="Y741" s="106"/>
    </row>
    <row r="742">
      <c r="C742" s="79"/>
      <c r="D742" s="79"/>
      <c r="J742" s="79"/>
      <c r="O742" s="79"/>
      <c r="P742" s="79"/>
      <c r="S742" s="79"/>
      <c r="T742" s="79"/>
      <c r="W742" s="130"/>
      <c r="Y742" s="106"/>
    </row>
    <row r="743">
      <c r="C743" s="79"/>
      <c r="D743" s="79"/>
      <c r="J743" s="79"/>
      <c r="O743" s="79"/>
      <c r="P743" s="79"/>
      <c r="S743" s="79"/>
      <c r="T743" s="79"/>
      <c r="W743" s="130"/>
      <c r="Y743" s="106"/>
    </row>
    <row r="744">
      <c r="C744" s="79"/>
      <c r="D744" s="79"/>
      <c r="J744" s="79"/>
      <c r="O744" s="79"/>
      <c r="P744" s="79"/>
      <c r="S744" s="79"/>
      <c r="T744" s="79"/>
      <c r="W744" s="130"/>
      <c r="Y744" s="106"/>
    </row>
    <row r="745">
      <c r="C745" s="79"/>
      <c r="D745" s="79"/>
      <c r="J745" s="79"/>
      <c r="O745" s="79"/>
      <c r="P745" s="79"/>
      <c r="S745" s="79"/>
      <c r="T745" s="79"/>
      <c r="W745" s="130"/>
      <c r="Y745" s="106"/>
    </row>
    <row r="746">
      <c r="C746" s="79"/>
      <c r="D746" s="79"/>
      <c r="J746" s="79"/>
      <c r="O746" s="79"/>
      <c r="P746" s="79"/>
      <c r="S746" s="79"/>
      <c r="T746" s="79"/>
      <c r="W746" s="130"/>
      <c r="Y746" s="106"/>
    </row>
    <row r="747">
      <c r="C747" s="79"/>
      <c r="D747" s="79"/>
      <c r="J747" s="79"/>
      <c r="O747" s="79"/>
      <c r="P747" s="79"/>
      <c r="S747" s="79"/>
      <c r="T747" s="79"/>
      <c r="W747" s="130"/>
      <c r="Y747" s="106"/>
    </row>
    <row r="748">
      <c r="C748" s="79"/>
      <c r="D748" s="79"/>
      <c r="J748" s="79"/>
      <c r="O748" s="79"/>
      <c r="P748" s="79"/>
      <c r="S748" s="79"/>
      <c r="T748" s="79"/>
      <c r="W748" s="130"/>
      <c r="Y748" s="106"/>
    </row>
    <row r="749">
      <c r="C749" s="79"/>
      <c r="D749" s="79"/>
      <c r="J749" s="79"/>
      <c r="O749" s="79"/>
      <c r="P749" s="79"/>
      <c r="S749" s="79"/>
      <c r="T749" s="79"/>
      <c r="W749" s="130"/>
      <c r="Y749" s="106"/>
    </row>
    <row r="750">
      <c r="C750" s="79"/>
      <c r="D750" s="79"/>
      <c r="J750" s="79"/>
      <c r="O750" s="79"/>
      <c r="P750" s="79"/>
      <c r="S750" s="79"/>
      <c r="T750" s="79"/>
      <c r="W750" s="130"/>
      <c r="Y750" s="106"/>
    </row>
    <row r="751">
      <c r="C751" s="79"/>
      <c r="D751" s="79"/>
      <c r="J751" s="79"/>
      <c r="O751" s="79"/>
      <c r="P751" s="79"/>
      <c r="S751" s="79"/>
      <c r="T751" s="79"/>
      <c r="W751" s="130"/>
      <c r="Y751" s="106"/>
    </row>
    <row r="752">
      <c r="C752" s="79"/>
      <c r="D752" s="79"/>
      <c r="J752" s="79"/>
      <c r="O752" s="79"/>
      <c r="P752" s="79"/>
      <c r="S752" s="79"/>
      <c r="T752" s="79"/>
      <c r="W752" s="130"/>
      <c r="Y752" s="106"/>
    </row>
    <row r="753">
      <c r="C753" s="79"/>
      <c r="D753" s="79"/>
      <c r="J753" s="79"/>
      <c r="O753" s="79"/>
      <c r="P753" s="79"/>
      <c r="S753" s="79"/>
      <c r="T753" s="79"/>
      <c r="W753" s="130"/>
      <c r="Y753" s="106"/>
    </row>
    <row r="754">
      <c r="C754" s="79"/>
      <c r="D754" s="79"/>
      <c r="J754" s="79"/>
      <c r="O754" s="79"/>
      <c r="P754" s="79"/>
      <c r="S754" s="79"/>
      <c r="T754" s="79"/>
      <c r="W754" s="130"/>
      <c r="Y754" s="106"/>
    </row>
    <row r="755">
      <c r="C755" s="79"/>
      <c r="D755" s="79"/>
      <c r="J755" s="79"/>
      <c r="O755" s="79"/>
      <c r="P755" s="79"/>
      <c r="S755" s="79"/>
      <c r="T755" s="79"/>
      <c r="W755" s="130"/>
      <c r="Y755" s="106"/>
    </row>
    <row r="756">
      <c r="C756" s="79"/>
      <c r="D756" s="79"/>
      <c r="J756" s="79"/>
      <c r="O756" s="79"/>
      <c r="P756" s="79"/>
      <c r="S756" s="79"/>
      <c r="T756" s="79"/>
      <c r="W756" s="130"/>
      <c r="Y756" s="106"/>
    </row>
    <row r="757">
      <c r="C757" s="79"/>
      <c r="D757" s="79"/>
      <c r="J757" s="79"/>
      <c r="O757" s="79"/>
      <c r="P757" s="79"/>
      <c r="S757" s="79"/>
      <c r="T757" s="79"/>
      <c r="W757" s="130"/>
      <c r="Y757" s="106"/>
    </row>
    <row r="758">
      <c r="C758" s="79"/>
      <c r="D758" s="79"/>
      <c r="J758" s="79"/>
      <c r="O758" s="79"/>
      <c r="P758" s="79"/>
      <c r="S758" s="79"/>
      <c r="T758" s="79"/>
      <c r="W758" s="130"/>
      <c r="Y758" s="106"/>
    </row>
    <row r="759">
      <c r="C759" s="79"/>
      <c r="D759" s="79"/>
      <c r="J759" s="79"/>
      <c r="O759" s="79"/>
      <c r="P759" s="79"/>
      <c r="S759" s="79"/>
      <c r="T759" s="79"/>
      <c r="W759" s="130"/>
      <c r="Y759" s="106"/>
    </row>
    <row r="760">
      <c r="C760" s="79"/>
      <c r="D760" s="79"/>
      <c r="J760" s="79"/>
      <c r="O760" s="79"/>
      <c r="P760" s="79"/>
      <c r="S760" s="79"/>
      <c r="T760" s="79"/>
      <c r="W760" s="130"/>
      <c r="Y760" s="106"/>
    </row>
    <row r="761">
      <c r="C761" s="79"/>
      <c r="D761" s="79"/>
      <c r="J761" s="79"/>
      <c r="O761" s="79"/>
      <c r="P761" s="79"/>
      <c r="S761" s="79"/>
      <c r="T761" s="79"/>
      <c r="W761" s="130"/>
      <c r="Y761" s="106"/>
    </row>
    <row r="762">
      <c r="C762" s="79"/>
      <c r="D762" s="79"/>
      <c r="J762" s="79"/>
      <c r="O762" s="79"/>
      <c r="P762" s="79"/>
      <c r="S762" s="79"/>
      <c r="T762" s="79"/>
      <c r="W762" s="130"/>
      <c r="Y762" s="106"/>
    </row>
    <row r="763">
      <c r="C763" s="79"/>
      <c r="D763" s="79"/>
      <c r="J763" s="79"/>
      <c r="O763" s="79"/>
      <c r="P763" s="79"/>
      <c r="S763" s="79"/>
      <c r="T763" s="79"/>
      <c r="W763" s="130"/>
      <c r="Y763" s="106"/>
    </row>
    <row r="764">
      <c r="C764" s="79"/>
      <c r="D764" s="79"/>
      <c r="J764" s="79"/>
      <c r="O764" s="79"/>
      <c r="P764" s="79"/>
      <c r="S764" s="79"/>
      <c r="T764" s="79"/>
      <c r="W764" s="130"/>
      <c r="Y764" s="106"/>
    </row>
    <row r="765">
      <c r="C765" s="79"/>
      <c r="D765" s="79"/>
      <c r="J765" s="79"/>
      <c r="O765" s="79"/>
      <c r="P765" s="79"/>
      <c r="S765" s="79"/>
      <c r="T765" s="79"/>
      <c r="W765" s="130"/>
      <c r="Y765" s="106"/>
    </row>
    <row r="766">
      <c r="C766" s="79"/>
      <c r="D766" s="79"/>
      <c r="J766" s="79"/>
      <c r="O766" s="79"/>
      <c r="P766" s="79"/>
      <c r="S766" s="79"/>
      <c r="T766" s="79"/>
      <c r="W766" s="130"/>
      <c r="Y766" s="106"/>
    </row>
    <row r="767">
      <c r="C767" s="79"/>
      <c r="D767" s="79"/>
      <c r="J767" s="79"/>
      <c r="O767" s="79"/>
      <c r="P767" s="79"/>
      <c r="S767" s="79"/>
      <c r="T767" s="79"/>
      <c r="W767" s="130"/>
      <c r="Y767" s="106"/>
    </row>
    <row r="768">
      <c r="C768" s="79"/>
      <c r="D768" s="79"/>
      <c r="J768" s="79"/>
      <c r="O768" s="79"/>
      <c r="P768" s="79"/>
      <c r="S768" s="79"/>
      <c r="T768" s="79"/>
      <c r="W768" s="130"/>
      <c r="Y768" s="106"/>
    </row>
    <row r="769">
      <c r="C769" s="79"/>
      <c r="D769" s="79"/>
      <c r="J769" s="79"/>
      <c r="O769" s="79"/>
      <c r="P769" s="79"/>
      <c r="S769" s="79"/>
      <c r="T769" s="79"/>
      <c r="W769" s="130"/>
      <c r="Y769" s="106"/>
    </row>
    <row r="770">
      <c r="C770" s="79"/>
      <c r="D770" s="79"/>
      <c r="J770" s="79"/>
      <c r="O770" s="79"/>
      <c r="P770" s="79"/>
      <c r="S770" s="79"/>
      <c r="T770" s="79"/>
      <c r="W770" s="130"/>
      <c r="Y770" s="106"/>
    </row>
    <row r="771">
      <c r="C771" s="79"/>
      <c r="D771" s="79"/>
      <c r="J771" s="79"/>
      <c r="O771" s="79"/>
      <c r="P771" s="79"/>
      <c r="S771" s="79"/>
      <c r="T771" s="79"/>
      <c r="W771" s="130"/>
      <c r="Y771" s="106"/>
    </row>
    <row r="772">
      <c r="C772" s="79"/>
      <c r="D772" s="79"/>
      <c r="J772" s="79"/>
      <c r="O772" s="79"/>
      <c r="P772" s="79"/>
      <c r="S772" s="79"/>
      <c r="T772" s="79"/>
      <c r="W772" s="130"/>
      <c r="Y772" s="106"/>
    </row>
    <row r="773">
      <c r="C773" s="79"/>
      <c r="D773" s="79"/>
      <c r="J773" s="79"/>
      <c r="O773" s="79"/>
      <c r="P773" s="79"/>
      <c r="S773" s="79"/>
      <c r="T773" s="79"/>
      <c r="W773" s="130"/>
      <c r="Y773" s="106"/>
    </row>
    <row r="774">
      <c r="C774" s="79"/>
      <c r="D774" s="79"/>
      <c r="J774" s="79"/>
      <c r="O774" s="79"/>
      <c r="P774" s="79"/>
      <c r="S774" s="79"/>
      <c r="T774" s="79"/>
      <c r="W774" s="130"/>
      <c r="Y774" s="106"/>
    </row>
    <row r="775">
      <c r="C775" s="79"/>
      <c r="D775" s="79"/>
      <c r="J775" s="79"/>
      <c r="O775" s="79"/>
      <c r="P775" s="79"/>
      <c r="S775" s="79"/>
      <c r="T775" s="79"/>
      <c r="W775" s="130"/>
      <c r="Y775" s="106"/>
    </row>
    <row r="776">
      <c r="C776" s="79"/>
      <c r="D776" s="79"/>
      <c r="J776" s="79"/>
      <c r="O776" s="79"/>
      <c r="P776" s="79"/>
      <c r="S776" s="79"/>
      <c r="T776" s="79"/>
      <c r="W776" s="130"/>
      <c r="Y776" s="106"/>
    </row>
    <row r="777">
      <c r="C777" s="79"/>
      <c r="D777" s="79"/>
      <c r="J777" s="79"/>
      <c r="O777" s="79"/>
      <c r="P777" s="79"/>
      <c r="S777" s="79"/>
      <c r="T777" s="79"/>
      <c r="W777" s="130"/>
      <c r="Y777" s="106"/>
    </row>
    <row r="778">
      <c r="C778" s="79"/>
      <c r="D778" s="79"/>
      <c r="J778" s="79"/>
      <c r="O778" s="79"/>
      <c r="P778" s="79"/>
      <c r="S778" s="79"/>
      <c r="T778" s="79"/>
      <c r="W778" s="130"/>
      <c r="Y778" s="106"/>
    </row>
    <row r="779">
      <c r="C779" s="79"/>
      <c r="D779" s="79"/>
      <c r="J779" s="79"/>
      <c r="O779" s="79"/>
      <c r="P779" s="79"/>
      <c r="S779" s="79"/>
      <c r="T779" s="79"/>
      <c r="W779" s="130"/>
      <c r="Y779" s="106"/>
    </row>
    <row r="780">
      <c r="C780" s="79"/>
      <c r="D780" s="79"/>
      <c r="J780" s="79"/>
      <c r="O780" s="79"/>
      <c r="P780" s="79"/>
      <c r="S780" s="79"/>
      <c r="T780" s="79"/>
      <c r="W780" s="130"/>
      <c r="Y780" s="106"/>
    </row>
    <row r="781">
      <c r="C781" s="79"/>
      <c r="D781" s="79"/>
      <c r="J781" s="79"/>
      <c r="O781" s="79"/>
      <c r="P781" s="79"/>
      <c r="S781" s="79"/>
      <c r="T781" s="79"/>
      <c r="W781" s="130"/>
      <c r="Y781" s="106"/>
    </row>
    <row r="782">
      <c r="C782" s="79"/>
      <c r="D782" s="79"/>
      <c r="J782" s="79"/>
      <c r="O782" s="79"/>
      <c r="P782" s="79"/>
      <c r="S782" s="79"/>
      <c r="T782" s="79"/>
      <c r="W782" s="130"/>
      <c r="Y782" s="106"/>
    </row>
    <row r="783">
      <c r="C783" s="79"/>
      <c r="D783" s="79"/>
      <c r="J783" s="79"/>
      <c r="O783" s="79"/>
      <c r="P783" s="79"/>
      <c r="S783" s="79"/>
      <c r="T783" s="79"/>
      <c r="W783" s="130"/>
      <c r="Y783" s="106"/>
    </row>
    <row r="784">
      <c r="C784" s="79"/>
      <c r="D784" s="79"/>
      <c r="J784" s="79"/>
      <c r="O784" s="79"/>
      <c r="P784" s="79"/>
      <c r="S784" s="79"/>
      <c r="T784" s="79"/>
      <c r="W784" s="130"/>
      <c r="Y784" s="106"/>
    </row>
    <row r="785">
      <c r="C785" s="79"/>
      <c r="D785" s="79"/>
      <c r="J785" s="79"/>
      <c r="O785" s="79"/>
      <c r="P785" s="79"/>
      <c r="S785" s="79"/>
      <c r="T785" s="79"/>
      <c r="W785" s="130"/>
      <c r="Y785" s="106"/>
    </row>
    <row r="786">
      <c r="C786" s="79"/>
      <c r="D786" s="79"/>
      <c r="J786" s="79"/>
      <c r="O786" s="79"/>
      <c r="P786" s="79"/>
      <c r="S786" s="79"/>
      <c r="T786" s="79"/>
      <c r="W786" s="130"/>
      <c r="Y786" s="106"/>
    </row>
    <row r="787">
      <c r="C787" s="79"/>
      <c r="D787" s="79"/>
      <c r="J787" s="79"/>
      <c r="O787" s="79"/>
      <c r="P787" s="79"/>
      <c r="S787" s="79"/>
      <c r="T787" s="79"/>
      <c r="W787" s="130"/>
      <c r="Y787" s="106"/>
    </row>
    <row r="788">
      <c r="C788" s="79"/>
      <c r="D788" s="79"/>
      <c r="J788" s="79"/>
      <c r="O788" s="79"/>
      <c r="P788" s="79"/>
      <c r="S788" s="79"/>
      <c r="T788" s="79"/>
      <c r="W788" s="130"/>
      <c r="Y788" s="106"/>
    </row>
    <row r="789">
      <c r="C789" s="79"/>
      <c r="D789" s="79"/>
      <c r="J789" s="79"/>
      <c r="O789" s="79"/>
      <c r="P789" s="79"/>
      <c r="S789" s="79"/>
      <c r="T789" s="79"/>
      <c r="W789" s="130"/>
      <c r="Y789" s="106"/>
    </row>
    <row r="790">
      <c r="C790" s="79"/>
      <c r="D790" s="79"/>
      <c r="J790" s="79"/>
      <c r="O790" s="79"/>
      <c r="P790" s="79"/>
      <c r="S790" s="79"/>
      <c r="T790" s="79"/>
      <c r="W790" s="130"/>
      <c r="Y790" s="106"/>
    </row>
    <row r="791">
      <c r="C791" s="79"/>
      <c r="D791" s="79"/>
      <c r="J791" s="79"/>
      <c r="O791" s="79"/>
      <c r="P791" s="79"/>
      <c r="S791" s="79"/>
      <c r="T791" s="79"/>
      <c r="W791" s="130"/>
      <c r="Y791" s="106"/>
    </row>
    <row r="792">
      <c r="C792" s="79"/>
      <c r="D792" s="79"/>
      <c r="J792" s="79"/>
      <c r="O792" s="79"/>
      <c r="P792" s="79"/>
      <c r="S792" s="79"/>
      <c r="T792" s="79"/>
      <c r="W792" s="130"/>
      <c r="Y792" s="106"/>
    </row>
    <row r="793">
      <c r="C793" s="79"/>
      <c r="D793" s="79"/>
      <c r="J793" s="79"/>
      <c r="O793" s="79"/>
      <c r="P793" s="79"/>
      <c r="S793" s="79"/>
      <c r="T793" s="79"/>
      <c r="W793" s="130"/>
      <c r="Y793" s="106"/>
    </row>
    <row r="794">
      <c r="C794" s="79"/>
      <c r="D794" s="79"/>
      <c r="J794" s="79"/>
      <c r="O794" s="79"/>
      <c r="P794" s="79"/>
      <c r="S794" s="79"/>
      <c r="T794" s="79"/>
      <c r="W794" s="130"/>
      <c r="Y794" s="106"/>
    </row>
    <row r="795">
      <c r="C795" s="79"/>
      <c r="D795" s="79"/>
      <c r="J795" s="79"/>
      <c r="O795" s="79"/>
      <c r="P795" s="79"/>
      <c r="S795" s="79"/>
      <c r="T795" s="79"/>
      <c r="W795" s="130"/>
      <c r="Y795" s="106"/>
    </row>
    <row r="796">
      <c r="C796" s="79"/>
      <c r="D796" s="79"/>
      <c r="J796" s="79"/>
      <c r="O796" s="79"/>
      <c r="P796" s="79"/>
      <c r="S796" s="79"/>
      <c r="T796" s="79"/>
      <c r="W796" s="130"/>
      <c r="Y796" s="106"/>
    </row>
    <row r="797">
      <c r="C797" s="79"/>
      <c r="D797" s="79"/>
      <c r="J797" s="79"/>
      <c r="O797" s="79"/>
      <c r="P797" s="79"/>
      <c r="S797" s="79"/>
      <c r="T797" s="79"/>
      <c r="W797" s="130"/>
      <c r="Y797" s="106"/>
    </row>
    <row r="798">
      <c r="C798" s="79"/>
      <c r="D798" s="79"/>
      <c r="J798" s="79"/>
      <c r="O798" s="79"/>
      <c r="P798" s="79"/>
      <c r="S798" s="79"/>
      <c r="T798" s="79"/>
      <c r="W798" s="130"/>
      <c r="Y798" s="106"/>
    </row>
    <row r="799">
      <c r="C799" s="79"/>
      <c r="D799" s="79"/>
      <c r="J799" s="79"/>
      <c r="O799" s="79"/>
      <c r="P799" s="79"/>
      <c r="S799" s="79"/>
      <c r="T799" s="79"/>
      <c r="W799" s="130"/>
      <c r="Y799" s="106"/>
    </row>
    <row r="800">
      <c r="C800" s="79"/>
      <c r="D800" s="79"/>
      <c r="J800" s="79"/>
      <c r="O800" s="79"/>
      <c r="P800" s="79"/>
      <c r="S800" s="79"/>
      <c r="T800" s="79"/>
      <c r="W800" s="130"/>
      <c r="Y800" s="106"/>
    </row>
    <row r="801">
      <c r="C801" s="79"/>
      <c r="D801" s="79"/>
      <c r="J801" s="79"/>
      <c r="O801" s="79"/>
      <c r="P801" s="79"/>
      <c r="S801" s="79"/>
      <c r="T801" s="79"/>
      <c r="W801" s="130"/>
      <c r="Y801" s="106"/>
    </row>
    <row r="802">
      <c r="C802" s="79"/>
      <c r="D802" s="79"/>
      <c r="J802" s="79"/>
      <c r="O802" s="79"/>
      <c r="P802" s="79"/>
      <c r="S802" s="79"/>
      <c r="T802" s="79"/>
      <c r="W802" s="130"/>
      <c r="Y802" s="106"/>
    </row>
    <row r="803">
      <c r="C803" s="79"/>
      <c r="D803" s="79"/>
      <c r="J803" s="79"/>
      <c r="O803" s="79"/>
      <c r="P803" s="79"/>
      <c r="S803" s="79"/>
      <c r="T803" s="79"/>
      <c r="W803" s="130"/>
      <c r="Y803" s="106"/>
    </row>
    <row r="804">
      <c r="C804" s="79"/>
      <c r="D804" s="79"/>
      <c r="J804" s="79"/>
      <c r="O804" s="79"/>
      <c r="P804" s="79"/>
      <c r="S804" s="79"/>
      <c r="T804" s="79"/>
      <c r="W804" s="130"/>
      <c r="Y804" s="106"/>
    </row>
    <row r="805">
      <c r="C805" s="79"/>
      <c r="D805" s="79"/>
      <c r="J805" s="79"/>
      <c r="O805" s="79"/>
      <c r="P805" s="79"/>
      <c r="S805" s="79"/>
      <c r="T805" s="79"/>
      <c r="W805" s="130"/>
      <c r="Y805" s="106"/>
    </row>
    <row r="806">
      <c r="C806" s="79"/>
      <c r="D806" s="79"/>
      <c r="J806" s="79"/>
      <c r="O806" s="79"/>
      <c r="P806" s="79"/>
      <c r="S806" s="79"/>
      <c r="T806" s="79"/>
      <c r="W806" s="130"/>
      <c r="Y806" s="106"/>
    </row>
    <row r="807">
      <c r="C807" s="79"/>
      <c r="D807" s="79"/>
      <c r="J807" s="79"/>
      <c r="O807" s="79"/>
      <c r="P807" s="79"/>
      <c r="S807" s="79"/>
      <c r="T807" s="79"/>
      <c r="W807" s="130"/>
      <c r="Y807" s="106"/>
    </row>
    <row r="808">
      <c r="C808" s="79"/>
      <c r="D808" s="79"/>
      <c r="J808" s="79"/>
      <c r="O808" s="79"/>
      <c r="P808" s="79"/>
      <c r="S808" s="79"/>
      <c r="T808" s="79"/>
      <c r="W808" s="130"/>
      <c r="Y808" s="106"/>
    </row>
    <row r="809">
      <c r="C809" s="79"/>
      <c r="D809" s="79"/>
      <c r="J809" s="79"/>
      <c r="O809" s="79"/>
      <c r="P809" s="79"/>
      <c r="S809" s="79"/>
      <c r="T809" s="79"/>
      <c r="W809" s="130"/>
      <c r="Y809" s="106"/>
    </row>
    <row r="810">
      <c r="C810" s="79"/>
      <c r="D810" s="79"/>
      <c r="J810" s="79"/>
      <c r="O810" s="79"/>
      <c r="P810" s="79"/>
      <c r="S810" s="79"/>
      <c r="T810" s="79"/>
      <c r="W810" s="130"/>
      <c r="Y810" s="106"/>
    </row>
    <row r="811">
      <c r="C811" s="79"/>
      <c r="D811" s="79"/>
      <c r="J811" s="79"/>
      <c r="O811" s="79"/>
      <c r="P811" s="79"/>
      <c r="S811" s="79"/>
      <c r="T811" s="79"/>
      <c r="W811" s="130"/>
      <c r="Y811" s="106"/>
    </row>
    <row r="812">
      <c r="C812" s="79"/>
      <c r="D812" s="79"/>
      <c r="J812" s="79"/>
      <c r="O812" s="79"/>
      <c r="P812" s="79"/>
      <c r="S812" s="79"/>
      <c r="T812" s="79"/>
      <c r="W812" s="130"/>
      <c r="Y812" s="106"/>
    </row>
    <row r="813">
      <c r="C813" s="79"/>
      <c r="D813" s="79"/>
      <c r="J813" s="79"/>
      <c r="O813" s="79"/>
      <c r="P813" s="79"/>
      <c r="S813" s="79"/>
      <c r="T813" s="79"/>
      <c r="W813" s="130"/>
      <c r="Y813" s="106"/>
    </row>
    <row r="814">
      <c r="C814" s="79"/>
      <c r="D814" s="79"/>
      <c r="J814" s="79"/>
      <c r="O814" s="79"/>
      <c r="P814" s="79"/>
      <c r="S814" s="79"/>
      <c r="T814" s="79"/>
      <c r="W814" s="130"/>
      <c r="Y814" s="106"/>
    </row>
    <row r="815">
      <c r="C815" s="79"/>
      <c r="D815" s="79"/>
      <c r="J815" s="79"/>
      <c r="O815" s="79"/>
      <c r="P815" s="79"/>
      <c r="S815" s="79"/>
      <c r="T815" s="79"/>
      <c r="W815" s="130"/>
      <c r="Y815" s="106"/>
    </row>
    <row r="816">
      <c r="C816" s="79"/>
      <c r="D816" s="79"/>
      <c r="J816" s="79"/>
      <c r="O816" s="79"/>
      <c r="P816" s="79"/>
      <c r="S816" s="79"/>
      <c r="T816" s="79"/>
      <c r="W816" s="130"/>
      <c r="Y816" s="106"/>
    </row>
    <row r="817">
      <c r="C817" s="79"/>
      <c r="D817" s="79"/>
      <c r="J817" s="79"/>
      <c r="O817" s="79"/>
      <c r="P817" s="79"/>
      <c r="S817" s="79"/>
      <c r="T817" s="79"/>
      <c r="W817" s="130"/>
      <c r="Y817" s="106"/>
    </row>
    <row r="818">
      <c r="C818" s="79"/>
      <c r="D818" s="79"/>
      <c r="J818" s="79"/>
      <c r="O818" s="79"/>
      <c r="P818" s="79"/>
      <c r="S818" s="79"/>
      <c r="T818" s="79"/>
      <c r="W818" s="130"/>
      <c r="Y818" s="106"/>
    </row>
    <row r="819">
      <c r="C819" s="79"/>
      <c r="D819" s="79"/>
      <c r="J819" s="79"/>
      <c r="O819" s="79"/>
      <c r="P819" s="79"/>
      <c r="S819" s="79"/>
      <c r="T819" s="79"/>
      <c r="W819" s="130"/>
      <c r="Y819" s="106"/>
    </row>
    <row r="820">
      <c r="C820" s="79"/>
      <c r="D820" s="79"/>
      <c r="J820" s="79"/>
      <c r="O820" s="79"/>
      <c r="P820" s="79"/>
      <c r="S820" s="79"/>
      <c r="T820" s="79"/>
      <c r="W820" s="130"/>
      <c r="Y820" s="106"/>
    </row>
    <row r="821">
      <c r="C821" s="79"/>
      <c r="D821" s="79"/>
      <c r="J821" s="79"/>
      <c r="O821" s="79"/>
      <c r="P821" s="79"/>
      <c r="S821" s="79"/>
      <c r="T821" s="79"/>
      <c r="W821" s="130"/>
      <c r="Y821" s="106"/>
    </row>
    <row r="822">
      <c r="C822" s="79"/>
      <c r="D822" s="79"/>
      <c r="J822" s="79"/>
      <c r="O822" s="79"/>
      <c r="P822" s="79"/>
      <c r="S822" s="79"/>
      <c r="T822" s="79"/>
      <c r="W822" s="130"/>
      <c r="Y822" s="106"/>
    </row>
    <row r="823">
      <c r="C823" s="79"/>
      <c r="D823" s="79"/>
      <c r="J823" s="79"/>
      <c r="O823" s="79"/>
      <c r="P823" s="79"/>
      <c r="S823" s="79"/>
      <c r="T823" s="79"/>
      <c r="W823" s="130"/>
      <c r="Y823" s="106"/>
    </row>
    <row r="824">
      <c r="C824" s="79"/>
      <c r="D824" s="79"/>
      <c r="J824" s="79"/>
      <c r="O824" s="79"/>
      <c r="P824" s="79"/>
      <c r="S824" s="79"/>
      <c r="T824" s="79"/>
      <c r="W824" s="130"/>
      <c r="Y824" s="106"/>
    </row>
    <row r="825">
      <c r="C825" s="79"/>
      <c r="D825" s="79"/>
      <c r="J825" s="79"/>
      <c r="O825" s="79"/>
      <c r="P825" s="79"/>
      <c r="S825" s="79"/>
      <c r="T825" s="79"/>
      <c r="W825" s="130"/>
      <c r="Y825" s="106"/>
    </row>
    <row r="826">
      <c r="C826" s="79"/>
      <c r="D826" s="79"/>
      <c r="J826" s="79"/>
      <c r="O826" s="79"/>
      <c r="P826" s="79"/>
      <c r="S826" s="79"/>
      <c r="T826" s="79"/>
      <c r="W826" s="130"/>
      <c r="Y826" s="106"/>
    </row>
    <row r="827">
      <c r="C827" s="79"/>
      <c r="D827" s="79"/>
      <c r="J827" s="79"/>
      <c r="O827" s="79"/>
      <c r="P827" s="79"/>
      <c r="S827" s="79"/>
      <c r="T827" s="79"/>
      <c r="W827" s="130"/>
      <c r="Y827" s="106"/>
    </row>
    <row r="828">
      <c r="C828" s="79"/>
      <c r="D828" s="79"/>
      <c r="J828" s="79"/>
      <c r="O828" s="79"/>
      <c r="P828" s="79"/>
      <c r="S828" s="79"/>
      <c r="T828" s="79"/>
      <c r="W828" s="130"/>
      <c r="Y828" s="106"/>
    </row>
    <row r="829">
      <c r="C829" s="79"/>
      <c r="D829" s="79"/>
      <c r="J829" s="79"/>
      <c r="O829" s="79"/>
      <c r="P829" s="79"/>
      <c r="S829" s="79"/>
      <c r="T829" s="79"/>
      <c r="W829" s="130"/>
      <c r="Y829" s="106"/>
    </row>
    <row r="830">
      <c r="C830" s="79"/>
      <c r="D830" s="79"/>
      <c r="J830" s="79"/>
      <c r="O830" s="79"/>
      <c r="P830" s="79"/>
      <c r="S830" s="79"/>
      <c r="T830" s="79"/>
      <c r="W830" s="130"/>
      <c r="Y830" s="106"/>
    </row>
    <row r="831">
      <c r="C831" s="79"/>
      <c r="D831" s="79"/>
      <c r="J831" s="79"/>
      <c r="O831" s="79"/>
      <c r="P831" s="79"/>
      <c r="S831" s="79"/>
      <c r="T831" s="79"/>
      <c r="W831" s="130"/>
      <c r="Y831" s="106"/>
    </row>
    <row r="832">
      <c r="C832" s="79"/>
      <c r="D832" s="79"/>
      <c r="J832" s="79"/>
      <c r="O832" s="79"/>
      <c r="P832" s="79"/>
      <c r="S832" s="79"/>
      <c r="T832" s="79"/>
      <c r="W832" s="130"/>
      <c r="Y832" s="106"/>
    </row>
    <row r="833">
      <c r="C833" s="79"/>
      <c r="D833" s="79"/>
      <c r="J833" s="79"/>
      <c r="O833" s="79"/>
      <c r="P833" s="79"/>
      <c r="S833" s="79"/>
      <c r="T833" s="79"/>
      <c r="W833" s="130"/>
      <c r="Y833" s="106"/>
    </row>
    <row r="834">
      <c r="C834" s="79"/>
      <c r="D834" s="79"/>
      <c r="J834" s="79"/>
      <c r="O834" s="79"/>
      <c r="P834" s="79"/>
      <c r="S834" s="79"/>
      <c r="T834" s="79"/>
      <c r="W834" s="130"/>
      <c r="Y834" s="106"/>
    </row>
    <row r="835">
      <c r="C835" s="79"/>
      <c r="D835" s="79"/>
      <c r="J835" s="79"/>
      <c r="O835" s="79"/>
      <c r="P835" s="79"/>
      <c r="S835" s="79"/>
      <c r="T835" s="79"/>
      <c r="W835" s="130"/>
      <c r="Y835" s="106"/>
    </row>
    <row r="836">
      <c r="C836" s="79"/>
      <c r="D836" s="79"/>
      <c r="J836" s="79"/>
      <c r="O836" s="79"/>
      <c r="P836" s="79"/>
      <c r="S836" s="79"/>
      <c r="T836" s="79"/>
      <c r="W836" s="130"/>
      <c r="Y836" s="106"/>
    </row>
    <row r="837">
      <c r="C837" s="79"/>
      <c r="D837" s="79"/>
      <c r="J837" s="79"/>
      <c r="O837" s="79"/>
      <c r="P837" s="79"/>
      <c r="S837" s="79"/>
      <c r="T837" s="79"/>
      <c r="W837" s="130"/>
      <c r="Y837" s="106"/>
    </row>
    <row r="838">
      <c r="C838" s="79"/>
      <c r="D838" s="79"/>
      <c r="J838" s="79"/>
      <c r="O838" s="79"/>
      <c r="P838" s="79"/>
      <c r="S838" s="79"/>
      <c r="T838" s="79"/>
      <c r="W838" s="130"/>
      <c r="Y838" s="106"/>
    </row>
    <row r="839">
      <c r="C839" s="79"/>
      <c r="D839" s="79"/>
      <c r="J839" s="79"/>
      <c r="O839" s="79"/>
      <c r="P839" s="79"/>
      <c r="S839" s="79"/>
      <c r="T839" s="79"/>
      <c r="W839" s="130"/>
      <c r="Y839" s="106"/>
    </row>
    <row r="840">
      <c r="C840" s="79"/>
      <c r="D840" s="79"/>
      <c r="J840" s="79"/>
      <c r="O840" s="79"/>
      <c r="P840" s="79"/>
      <c r="S840" s="79"/>
      <c r="T840" s="79"/>
      <c r="W840" s="130"/>
      <c r="Y840" s="106"/>
    </row>
    <row r="841">
      <c r="C841" s="79"/>
      <c r="D841" s="79"/>
      <c r="J841" s="79"/>
      <c r="O841" s="79"/>
      <c r="P841" s="79"/>
      <c r="S841" s="79"/>
      <c r="T841" s="79"/>
      <c r="W841" s="130"/>
      <c r="Y841" s="106"/>
    </row>
    <row r="842">
      <c r="C842" s="79"/>
      <c r="D842" s="79"/>
      <c r="J842" s="79"/>
      <c r="O842" s="79"/>
      <c r="P842" s="79"/>
      <c r="S842" s="79"/>
      <c r="T842" s="79"/>
      <c r="W842" s="130"/>
      <c r="Y842" s="106"/>
    </row>
    <row r="843">
      <c r="C843" s="79"/>
      <c r="D843" s="79"/>
      <c r="J843" s="79"/>
      <c r="O843" s="79"/>
      <c r="P843" s="79"/>
      <c r="S843" s="79"/>
      <c r="T843" s="79"/>
      <c r="W843" s="130"/>
      <c r="Y843" s="106"/>
    </row>
    <row r="844">
      <c r="C844" s="79"/>
      <c r="D844" s="79"/>
      <c r="J844" s="79"/>
      <c r="O844" s="79"/>
      <c r="P844" s="79"/>
      <c r="S844" s="79"/>
      <c r="T844" s="79"/>
      <c r="W844" s="130"/>
      <c r="Y844" s="106"/>
    </row>
    <row r="845">
      <c r="C845" s="79"/>
      <c r="D845" s="79"/>
      <c r="J845" s="79"/>
      <c r="O845" s="79"/>
      <c r="P845" s="79"/>
      <c r="S845" s="79"/>
      <c r="T845" s="79"/>
      <c r="W845" s="130"/>
      <c r="Y845" s="106"/>
    </row>
    <row r="846">
      <c r="C846" s="79"/>
      <c r="D846" s="79"/>
      <c r="J846" s="79"/>
      <c r="O846" s="79"/>
      <c r="P846" s="79"/>
      <c r="S846" s="79"/>
      <c r="T846" s="79"/>
      <c r="W846" s="130"/>
      <c r="Y846" s="106"/>
    </row>
    <row r="847">
      <c r="C847" s="79"/>
      <c r="D847" s="79"/>
      <c r="J847" s="79"/>
      <c r="O847" s="79"/>
      <c r="P847" s="79"/>
      <c r="S847" s="79"/>
      <c r="T847" s="79"/>
      <c r="W847" s="130"/>
      <c r="Y847" s="106"/>
    </row>
    <row r="848">
      <c r="C848" s="79"/>
      <c r="D848" s="79"/>
      <c r="J848" s="79"/>
      <c r="O848" s="79"/>
      <c r="P848" s="79"/>
      <c r="S848" s="79"/>
      <c r="T848" s="79"/>
      <c r="W848" s="130"/>
      <c r="Y848" s="106"/>
    </row>
    <row r="849">
      <c r="C849" s="79"/>
      <c r="D849" s="79"/>
      <c r="J849" s="79"/>
      <c r="O849" s="79"/>
      <c r="P849" s="79"/>
      <c r="S849" s="79"/>
      <c r="T849" s="79"/>
      <c r="W849" s="130"/>
      <c r="Y849" s="106"/>
    </row>
    <row r="850">
      <c r="C850" s="79"/>
      <c r="D850" s="79"/>
      <c r="J850" s="79"/>
      <c r="O850" s="79"/>
      <c r="P850" s="79"/>
      <c r="S850" s="79"/>
      <c r="T850" s="79"/>
      <c r="W850" s="130"/>
      <c r="Y850" s="106"/>
    </row>
    <row r="851">
      <c r="C851" s="79"/>
      <c r="D851" s="79"/>
      <c r="J851" s="79"/>
      <c r="O851" s="79"/>
      <c r="P851" s="79"/>
      <c r="S851" s="79"/>
      <c r="T851" s="79"/>
      <c r="W851" s="130"/>
      <c r="Y851" s="106"/>
    </row>
    <row r="852">
      <c r="C852" s="79"/>
      <c r="D852" s="79"/>
      <c r="J852" s="79"/>
      <c r="O852" s="79"/>
      <c r="P852" s="79"/>
      <c r="S852" s="79"/>
      <c r="T852" s="79"/>
      <c r="W852" s="130"/>
      <c r="Y852" s="106"/>
    </row>
    <row r="853">
      <c r="C853" s="79"/>
      <c r="D853" s="79"/>
      <c r="J853" s="79"/>
      <c r="O853" s="79"/>
      <c r="P853" s="79"/>
      <c r="S853" s="79"/>
      <c r="T853" s="79"/>
      <c r="W853" s="130"/>
      <c r="Y853" s="106"/>
    </row>
    <row r="854">
      <c r="C854" s="79"/>
      <c r="D854" s="79"/>
      <c r="J854" s="79"/>
      <c r="O854" s="79"/>
      <c r="P854" s="79"/>
      <c r="S854" s="79"/>
      <c r="T854" s="79"/>
      <c r="W854" s="130"/>
      <c r="Y854" s="106"/>
    </row>
    <row r="855">
      <c r="C855" s="79"/>
      <c r="D855" s="79"/>
      <c r="J855" s="79"/>
      <c r="O855" s="79"/>
      <c r="P855" s="79"/>
      <c r="S855" s="79"/>
      <c r="T855" s="79"/>
      <c r="W855" s="130"/>
      <c r="Y855" s="106"/>
    </row>
    <row r="856">
      <c r="C856" s="79"/>
      <c r="D856" s="79"/>
      <c r="J856" s="79"/>
      <c r="O856" s="79"/>
      <c r="P856" s="79"/>
      <c r="S856" s="79"/>
      <c r="T856" s="79"/>
      <c r="W856" s="130"/>
      <c r="Y856" s="106"/>
    </row>
    <row r="857">
      <c r="C857" s="79"/>
      <c r="D857" s="79"/>
      <c r="J857" s="79"/>
      <c r="O857" s="79"/>
      <c r="P857" s="79"/>
      <c r="S857" s="79"/>
      <c r="T857" s="79"/>
      <c r="W857" s="130"/>
      <c r="Y857" s="106"/>
    </row>
    <row r="858">
      <c r="C858" s="79"/>
      <c r="D858" s="79"/>
      <c r="J858" s="79"/>
      <c r="O858" s="79"/>
      <c r="P858" s="79"/>
      <c r="S858" s="79"/>
      <c r="T858" s="79"/>
      <c r="W858" s="130"/>
      <c r="Y858" s="106"/>
    </row>
    <row r="859">
      <c r="C859" s="79"/>
      <c r="D859" s="79"/>
      <c r="J859" s="79"/>
      <c r="O859" s="79"/>
      <c r="P859" s="79"/>
      <c r="S859" s="79"/>
      <c r="T859" s="79"/>
      <c r="W859" s="130"/>
      <c r="Y859" s="106"/>
    </row>
    <row r="860">
      <c r="C860" s="79"/>
      <c r="D860" s="79"/>
      <c r="J860" s="79"/>
      <c r="O860" s="79"/>
      <c r="P860" s="79"/>
      <c r="S860" s="79"/>
      <c r="T860" s="79"/>
      <c r="W860" s="130"/>
      <c r="Y860" s="106"/>
    </row>
    <row r="861">
      <c r="C861" s="79"/>
      <c r="D861" s="79"/>
      <c r="J861" s="79"/>
      <c r="O861" s="79"/>
      <c r="P861" s="79"/>
      <c r="S861" s="79"/>
      <c r="T861" s="79"/>
      <c r="W861" s="130"/>
      <c r="Y861" s="106"/>
    </row>
    <row r="862">
      <c r="C862" s="79"/>
      <c r="D862" s="79"/>
      <c r="J862" s="79"/>
      <c r="O862" s="79"/>
      <c r="P862" s="79"/>
      <c r="S862" s="79"/>
      <c r="T862" s="79"/>
      <c r="W862" s="130"/>
      <c r="Y862" s="106"/>
    </row>
    <row r="863">
      <c r="C863" s="79"/>
      <c r="D863" s="79"/>
      <c r="J863" s="79"/>
      <c r="O863" s="79"/>
      <c r="P863" s="79"/>
      <c r="S863" s="79"/>
      <c r="T863" s="79"/>
      <c r="W863" s="130"/>
      <c r="Y863" s="106"/>
    </row>
    <row r="864">
      <c r="C864" s="79"/>
      <c r="D864" s="79"/>
      <c r="J864" s="79"/>
      <c r="O864" s="79"/>
      <c r="P864" s="79"/>
      <c r="S864" s="79"/>
      <c r="T864" s="79"/>
      <c r="W864" s="130"/>
      <c r="Y864" s="106"/>
    </row>
    <row r="865">
      <c r="C865" s="79"/>
      <c r="D865" s="79"/>
      <c r="J865" s="79"/>
      <c r="O865" s="79"/>
      <c r="P865" s="79"/>
      <c r="S865" s="79"/>
      <c r="T865" s="79"/>
      <c r="W865" s="130"/>
      <c r="Y865" s="106"/>
    </row>
    <row r="866">
      <c r="C866" s="79"/>
      <c r="D866" s="79"/>
      <c r="J866" s="79"/>
      <c r="O866" s="79"/>
      <c r="P866" s="79"/>
      <c r="S866" s="79"/>
      <c r="T866" s="79"/>
      <c r="W866" s="130"/>
      <c r="Y866" s="106"/>
    </row>
    <row r="867">
      <c r="C867" s="79"/>
      <c r="D867" s="79"/>
      <c r="J867" s="79"/>
      <c r="O867" s="79"/>
      <c r="P867" s="79"/>
      <c r="S867" s="79"/>
      <c r="T867" s="79"/>
      <c r="W867" s="130"/>
      <c r="Y867" s="106"/>
    </row>
    <row r="868">
      <c r="C868" s="79"/>
      <c r="D868" s="79"/>
      <c r="J868" s="79"/>
      <c r="O868" s="79"/>
      <c r="P868" s="79"/>
      <c r="S868" s="79"/>
      <c r="T868" s="79"/>
      <c r="W868" s="130"/>
      <c r="Y868" s="106"/>
    </row>
    <row r="869">
      <c r="C869" s="79"/>
      <c r="D869" s="79"/>
      <c r="J869" s="79"/>
      <c r="O869" s="79"/>
      <c r="P869" s="79"/>
      <c r="S869" s="79"/>
      <c r="T869" s="79"/>
      <c r="W869" s="130"/>
      <c r="Y869" s="106"/>
    </row>
    <row r="870">
      <c r="C870" s="79"/>
      <c r="D870" s="79"/>
      <c r="J870" s="79"/>
      <c r="O870" s="79"/>
      <c r="P870" s="79"/>
      <c r="S870" s="79"/>
      <c r="T870" s="79"/>
      <c r="W870" s="130"/>
      <c r="Y870" s="106"/>
    </row>
    <row r="871">
      <c r="C871" s="79"/>
      <c r="D871" s="79"/>
      <c r="J871" s="79"/>
      <c r="O871" s="79"/>
      <c r="P871" s="79"/>
      <c r="S871" s="79"/>
      <c r="T871" s="79"/>
      <c r="W871" s="130"/>
      <c r="Y871" s="106"/>
    </row>
    <row r="872">
      <c r="C872" s="79"/>
      <c r="D872" s="79"/>
      <c r="J872" s="79"/>
      <c r="O872" s="79"/>
      <c r="P872" s="79"/>
      <c r="S872" s="79"/>
      <c r="T872" s="79"/>
      <c r="W872" s="130"/>
      <c r="Y872" s="106"/>
    </row>
    <row r="873">
      <c r="C873" s="79"/>
      <c r="D873" s="79"/>
      <c r="J873" s="79"/>
      <c r="O873" s="79"/>
      <c r="P873" s="79"/>
      <c r="S873" s="79"/>
      <c r="T873" s="79"/>
      <c r="W873" s="130"/>
      <c r="Y873" s="106"/>
    </row>
    <row r="874">
      <c r="C874" s="79"/>
      <c r="D874" s="79"/>
      <c r="J874" s="79"/>
      <c r="O874" s="79"/>
      <c r="P874" s="79"/>
      <c r="S874" s="79"/>
      <c r="T874" s="79"/>
      <c r="W874" s="130"/>
      <c r="Y874" s="106"/>
    </row>
    <row r="875">
      <c r="C875" s="79"/>
      <c r="D875" s="79"/>
      <c r="J875" s="79"/>
      <c r="O875" s="79"/>
      <c r="P875" s="79"/>
      <c r="S875" s="79"/>
      <c r="T875" s="79"/>
      <c r="W875" s="130"/>
      <c r="Y875" s="106"/>
    </row>
    <row r="876">
      <c r="C876" s="79"/>
      <c r="D876" s="79"/>
      <c r="J876" s="79"/>
      <c r="O876" s="79"/>
      <c r="P876" s="79"/>
      <c r="S876" s="79"/>
      <c r="T876" s="79"/>
      <c r="W876" s="130"/>
      <c r="Y876" s="106"/>
    </row>
    <row r="877">
      <c r="C877" s="79"/>
      <c r="D877" s="79"/>
      <c r="J877" s="79"/>
      <c r="O877" s="79"/>
      <c r="P877" s="79"/>
      <c r="S877" s="79"/>
      <c r="T877" s="79"/>
      <c r="W877" s="130"/>
      <c r="Y877" s="106"/>
    </row>
    <row r="878">
      <c r="C878" s="79"/>
      <c r="D878" s="79"/>
      <c r="J878" s="79"/>
      <c r="O878" s="79"/>
      <c r="P878" s="79"/>
      <c r="S878" s="79"/>
      <c r="T878" s="79"/>
      <c r="W878" s="130"/>
      <c r="Y878" s="106"/>
    </row>
    <row r="879">
      <c r="C879" s="79"/>
      <c r="D879" s="79"/>
      <c r="J879" s="79"/>
      <c r="O879" s="79"/>
      <c r="P879" s="79"/>
      <c r="S879" s="79"/>
      <c r="T879" s="79"/>
      <c r="W879" s="130"/>
      <c r="Y879" s="106"/>
    </row>
    <row r="880">
      <c r="C880" s="79"/>
      <c r="D880" s="79"/>
      <c r="J880" s="79"/>
      <c r="O880" s="79"/>
      <c r="P880" s="79"/>
      <c r="S880" s="79"/>
      <c r="T880" s="79"/>
      <c r="W880" s="130"/>
      <c r="Y880" s="106"/>
    </row>
    <row r="881">
      <c r="C881" s="79"/>
      <c r="D881" s="79"/>
      <c r="J881" s="79"/>
      <c r="O881" s="79"/>
      <c r="P881" s="79"/>
      <c r="S881" s="79"/>
      <c r="T881" s="79"/>
      <c r="W881" s="130"/>
      <c r="Y881" s="106"/>
    </row>
    <row r="882">
      <c r="C882" s="79"/>
      <c r="D882" s="79"/>
      <c r="J882" s="79"/>
      <c r="O882" s="79"/>
      <c r="P882" s="79"/>
      <c r="S882" s="79"/>
      <c r="T882" s="79"/>
      <c r="W882" s="130"/>
      <c r="Y882" s="106"/>
    </row>
    <row r="883">
      <c r="C883" s="79"/>
      <c r="D883" s="79"/>
      <c r="J883" s="79"/>
      <c r="O883" s="79"/>
      <c r="P883" s="79"/>
      <c r="S883" s="79"/>
      <c r="T883" s="79"/>
      <c r="W883" s="130"/>
      <c r="Y883" s="106"/>
    </row>
    <row r="884">
      <c r="C884" s="79"/>
      <c r="D884" s="79"/>
      <c r="J884" s="79"/>
      <c r="O884" s="79"/>
      <c r="P884" s="79"/>
      <c r="S884" s="79"/>
      <c r="T884" s="79"/>
      <c r="W884" s="130"/>
      <c r="Y884" s="106"/>
    </row>
    <row r="885">
      <c r="C885" s="79"/>
      <c r="D885" s="79"/>
      <c r="J885" s="79"/>
      <c r="O885" s="79"/>
      <c r="P885" s="79"/>
      <c r="S885" s="79"/>
      <c r="T885" s="79"/>
      <c r="W885" s="130"/>
      <c r="Y885" s="106"/>
    </row>
    <row r="886">
      <c r="C886" s="79"/>
      <c r="D886" s="79"/>
      <c r="J886" s="79"/>
      <c r="O886" s="79"/>
      <c r="P886" s="79"/>
      <c r="S886" s="79"/>
      <c r="T886" s="79"/>
      <c r="W886" s="130"/>
      <c r="Y886" s="106"/>
    </row>
    <row r="887">
      <c r="C887" s="79"/>
      <c r="D887" s="79"/>
      <c r="J887" s="79"/>
      <c r="O887" s="79"/>
      <c r="P887" s="79"/>
      <c r="S887" s="79"/>
      <c r="T887" s="79"/>
      <c r="W887" s="130"/>
      <c r="Y887" s="106"/>
    </row>
    <row r="888">
      <c r="C888" s="79"/>
      <c r="D888" s="79"/>
      <c r="J888" s="79"/>
      <c r="O888" s="79"/>
      <c r="P888" s="79"/>
      <c r="S888" s="79"/>
      <c r="T888" s="79"/>
      <c r="W888" s="130"/>
      <c r="Y888" s="106"/>
    </row>
    <row r="889">
      <c r="C889" s="79"/>
      <c r="D889" s="79"/>
      <c r="J889" s="79"/>
      <c r="O889" s="79"/>
      <c r="P889" s="79"/>
      <c r="S889" s="79"/>
      <c r="T889" s="79"/>
      <c r="W889" s="130"/>
      <c r="Y889" s="106"/>
    </row>
    <row r="890">
      <c r="C890" s="79"/>
      <c r="D890" s="79"/>
      <c r="J890" s="79"/>
      <c r="O890" s="79"/>
      <c r="P890" s="79"/>
      <c r="S890" s="79"/>
      <c r="T890" s="79"/>
      <c r="W890" s="130"/>
      <c r="Y890" s="106"/>
    </row>
    <row r="891">
      <c r="C891" s="79"/>
      <c r="D891" s="79"/>
      <c r="J891" s="79"/>
      <c r="O891" s="79"/>
      <c r="P891" s="79"/>
      <c r="S891" s="79"/>
      <c r="T891" s="79"/>
      <c r="W891" s="130"/>
      <c r="Y891" s="106"/>
    </row>
    <row r="892">
      <c r="C892" s="79"/>
      <c r="D892" s="79"/>
      <c r="J892" s="79"/>
      <c r="O892" s="79"/>
      <c r="P892" s="79"/>
      <c r="S892" s="79"/>
      <c r="T892" s="79"/>
      <c r="W892" s="130"/>
      <c r="Y892" s="106"/>
    </row>
    <row r="893">
      <c r="C893" s="79"/>
      <c r="D893" s="79"/>
      <c r="J893" s="79"/>
      <c r="O893" s="79"/>
      <c r="P893" s="79"/>
      <c r="S893" s="79"/>
      <c r="T893" s="79"/>
      <c r="W893" s="130"/>
      <c r="Y893" s="106"/>
    </row>
    <row r="894">
      <c r="C894" s="79"/>
      <c r="D894" s="79"/>
      <c r="J894" s="79"/>
      <c r="O894" s="79"/>
      <c r="P894" s="79"/>
      <c r="S894" s="79"/>
      <c r="T894" s="79"/>
      <c r="W894" s="130"/>
      <c r="Y894" s="106"/>
    </row>
    <row r="895">
      <c r="C895" s="79"/>
      <c r="D895" s="79"/>
      <c r="J895" s="79"/>
      <c r="O895" s="79"/>
      <c r="P895" s="79"/>
      <c r="S895" s="79"/>
      <c r="T895" s="79"/>
      <c r="W895" s="130"/>
      <c r="Y895" s="106"/>
    </row>
    <row r="896">
      <c r="C896" s="79"/>
      <c r="D896" s="79"/>
      <c r="J896" s="79"/>
      <c r="O896" s="79"/>
      <c r="P896" s="79"/>
      <c r="S896" s="79"/>
      <c r="T896" s="79"/>
      <c r="W896" s="130"/>
      <c r="Y896" s="106"/>
    </row>
    <row r="897">
      <c r="C897" s="79"/>
      <c r="D897" s="79"/>
      <c r="J897" s="79"/>
      <c r="O897" s="79"/>
      <c r="P897" s="79"/>
      <c r="S897" s="79"/>
      <c r="T897" s="79"/>
      <c r="W897" s="130"/>
      <c r="Y897" s="106"/>
    </row>
    <row r="898">
      <c r="C898" s="79"/>
      <c r="D898" s="79"/>
      <c r="J898" s="79"/>
      <c r="O898" s="79"/>
      <c r="P898" s="79"/>
      <c r="S898" s="79"/>
      <c r="T898" s="79"/>
      <c r="W898" s="130"/>
      <c r="Y898" s="106"/>
    </row>
    <row r="899">
      <c r="C899" s="79"/>
      <c r="D899" s="79"/>
      <c r="J899" s="79"/>
      <c r="O899" s="79"/>
      <c r="P899" s="79"/>
      <c r="S899" s="79"/>
      <c r="T899" s="79"/>
      <c r="W899" s="130"/>
      <c r="Y899" s="106"/>
    </row>
    <row r="900">
      <c r="C900" s="79"/>
      <c r="D900" s="79"/>
      <c r="J900" s="79"/>
      <c r="O900" s="79"/>
      <c r="P900" s="79"/>
      <c r="S900" s="79"/>
      <c r="T900" s="79"/>
      <c r="W900" s="130"/>
      <c r="Y900" s="106"/>
    </row>
    <row r="901">
      <c r="C901" s="79"/>
      <c r="D901" s="79"/>
      <c r="J901" s="79"/>
      <c r="O901" s="79"/>
      <c r="P901" s="79"/>
      <c r="S901" s="79"/>
      <c r="T901" s="79"/>
      <c r="W901" s="130"/>
      <c r="Y901" s="106"/>
    </row>
    <row r="902">
      <c r="C902" s="79"/>
      <c r="D902" s="79"/>
      <c r="J902" s="79"/>
      <c r="O902" s="79"/>
      <c r="P902" s="79"/>
      <c r="S902" s="79"/>
      <c r="T902" s="79"/>
      <c r="W902" s="130"/>
      <c r="Y902" s="106"/>
    </row>
    <row r="903">
      <c r="C903" s="79"/>
      <c r="D903" s="79"/>
      <c r="J903" s="79"/>
      <c r="O903" s="79"/>
      <c r="P903" s="79"/>
      <c r="S903" s="79"/>
      <c r="T903" s="79"/>
      <c r="W903" s="130"/>
      <c r="Y903" s="106"/>
    </row>
    <row r="904">
      <c r="C904" s="79"/>
      <c r="D904" s="79"/>
      <c r="J904" s="79"/>
      <c r="O904" s="79"/>
      <c r="P904" s="79"/>
      <c r="S904" s="79"/>
      <c r="T904" s="79"/>
      <c r="W904" s="130"/>
      <c r="Y904" s="106"/>
    </row>
    <row r="905">
      <c r="C905" s="79"/>
      <c r="D905" s="79"/>
      <c r="J905" s="79"/>
      <c r="O905" s="79"/>
      <c r="P905" s="79"/>
      <c r="S905" s="79"/>
      <c r="T905" s="79"/>
      <c r="W905" s="130"/>
      <c r="Y905" s="106"/>
    </row>
    <row r="906">
      <c r="C906" s="79"/>
      <c r="D906" s="79"/>
      <c r="J906" s="79"/>
      <c r="O906" s="79"/>
      <c r="P906" s="79"/>
      <c r="S906" s="79"/>
      <c r="T906" s="79"/>
      <c r="W906" s="130"/>
      <c r="Y906" s="106"/>
    </row>
    <row r="907">
      <c r="C907" s="79"/>
      <c r="D907" s="79"/>
      <c r="J907" s="79"/>
      <c r="O907" s="79"/>
      <c r="P907" s="79"/>
      <c r="S907" s="79"/>
      <c r="T907" s="79"/>
      <c r="W907" s="130"/>
      <c r="Y907" s="106"/>
    </row>
    <row r="908">
      <c r="C908" s="79"/>
      <c r="D908" s="79"/>
      <c r="J908" s="79"/>
      <c r="O908" s="79"/>
      <c r="P908" s="79"/>
      <c r="S908" s="79"/>
      <c r="T908" s="79"/>
      <c r="W908" s="130"/>
      <c r="Y908" s="106"/>
    </row>
    <row r="909">
      <c r="C909" s="79"/>
      <c r="D909" s="79"/>
      <c r="J909" s="79"/>
      <c r="O909" s="79"/>
      <c r="P909" s="79"/>
      <c r="S909" s="79"/>
      <c r="T909" s="79"/>
      <c r="W909" s="130"/>
      <c r="Y909" s="106"/>
    </row>
    <row r="910">
      <c r="C910" s="79"/>
      <c r="D910" s="79"/>
      <c r="J910" s="79"/>
      <c r="O910" s="79"/>
      <c r="P910" s="79"/>
      <c r="S910" s="79"/>
      <c r="T910" s="79"/>
      <c r="W910" s="130"/>
      <c r="Y910" s="106"/>
    </row>
    <row r="911">
      <c r="C911" s="79"/>
      <c r="D911" s="79"/>
      <c r="J911" s="79"/>
      <c r="O911" s="79"/>
      <c r="P911" s="79"/>
      <c r="S911" s="79"/>
      <c r="T911" s="79"/>
      <c r="W911" s="130"/>
      <c r="Y911" s="106"/>
    </row>
    <row r="912">
      <c r="C912" s="79"/>
      <c r="D912" s="79"/>
      <c r="J912" s="79"/>
      <c r="O912" s="79"/>
      <c r="P912" s="79"/>
      <c r="S912" s="79"/>
      <c r="T912" s="79"/>
      <c r="W912" s="130"/>
      <c r="Y912" s="106"/>
    </row>
    <row r="913">
      <c r="C913" s="79"/>
      <c r="D913" s="79"/>
      <c r="J913" s="79"/>
      <c r="O913" s="79"/>
      <c r="P913" s="79"/>
      <c r="S913" s="79"/>
      <c r="T913" s="79"/>
      <c r="W913" s="130"/>
      <c r="Y913" s="106"/>
    </row>
    <row r="914">
      <c r="C914" s="79"/>
      <c r="D914" s="79"/>
      <c r="J914" s="79"/>
      <c r="O914" s="79"/>
      <c r="P914" s="79"/>
      <c r="S914" s="79"/>
      <c r="T914" s="79"/>
      <c r="W914" s="130"/>
      <c r="Y914" s="106"/>
    </row>
    <row r="915">
      <c r="C915" s="79"/>
      <c r="D915" s="79"/>
      <c r="J915" s="79"/>
      <c r="O915" s="79"/>
      <c r="P915" s="79"/>
      <c r="S915" s="79"/>
      <c r="T915" s="79"/>
      <c r="W915" s="130"/>
      <c r="Y915" s="106"/>
    </row>
    <row r="916">
      <c r="C916" s="79"/>
      <c r="D916" s="79"/>
      <c r="J916" s="79"/>
      <c r="O916" s="79"/>
      <c r="P916" s="79"/>
      <c r="S916" s="79"/>
      <c r="T916" s="79"/>
      <c r="W916" s="130"/>
      <c r="Y916" s="106"/>
    </row>
    <row r="917">
      <c r="C917" s="79"/>
      <c r="D917" s="79"/>
      <c r="J917" s="79"/>
      <c r="O917" s="79"/>
      <c r="P917" s="79"/>
      <c r="S917" s="79"/>
      <c r="T917" s="79"/>
      <c r="W917" s="130"/>
      <c r="Y917" s="106"/>
    </row>
    <row r="918">
      <c r="C918" s="79"/>
      <c r="D918" s="79"/>
      <c r="J918" s="79"/>
      <c r="O918" s="79"/>
      <c r="P918" s="79"/>
      <c r="S918" s="79"/>
      <c r="T918" s="79"/>
      <c r="W918" s="130"/>
      <c r="Y918" s="106"/>
    </row>
    <row r="919">
      <c r="C919" s="79"/>
      <c r="D919" s="79"/>
      <c r="J919" s="79"/>
      <c r="O919" s="79"/>
      <c r="P919" s="79"/>
      <c r="S919" s="79"/>
      <c r="T919" s="79"/>
      <c r="W919" s="130"/>
      <c r="Y919" s="106"/>
    </row>
    <row r="920">
      <c r="C920" s="79"/>
      <c r="D920" s="79"/>
      <c r="J920" s="79"/>
      <c r="O920" s="79"/>
      <c r="P920" s="79"/>
      <c r="S920" s="79"/>
      <c r="T920" s="79"/>
      <c r="W920" s="130"/>
      <c r="Y920" s="106"/>
    </row>
    <row r="921">
      <c r="C921" s="79"/>
      <c r="D921" s="79"/>
      <c r="J921" s="79"/>
      <c r="O921" s="79"/>
      <c r="P921" s="79"/>
      <c r="S921" s="79"/>
      <c r="T921" s="79"/>
      <c r="W921" s="130"/>
      <c r="Y921" s="106"/>
    </row>
    <row r="922">
      <c r="C922" s="79"/>
      <c r="D922" s="79"/>
      <c r="J922" s="79"/>
      <c r="O922" s="79"/>
      <c r="P922" s="79"/>
      <c r="S922" s="79"/>
      <c r="T922" s="79"/>
      <c r="W922" s="130"/>
      <c r="Y922" s="106"/>
    </row>
    <row r="923">
      <c r="C923" s="79"/>
      <c r="D923" s="79"/>
      <c r="J923" s="79"/>
      <c r="O923" s="79"/>
      <c r="P923" s="79"/>
      <c r="S923" s="79"/>
      <c r="T923" s="79"/>
      <c r="W923" s="130"/>
      <c r="Y923" s="106"/>
    </row>
    <row r="924">
      <c r="C924" s="79"/>
      <c r="D924" s="79"/>
      <c r="J924" s="79"/>
      <c r="O924" s="79"/>
      <c r="P924" s="79"/>
      <c r="S924" s="79"/>
      <c r="T924" s="79"/>
      <c r="W924" s="130"/>
      <c r="Y924" s="106"/>
    </row>
    <row r="925">
      <c r="C925" s="79"/>
      <c r="D925" s="79"/>
      <c r="J925" s="79"/>
      <c r="O925" s="79"/>
      <c r="P925" s="79"/>
      <c r="S925" s="79"/>
      <c r="T925" s="79"/>
      <c r="W925" s="130"/>
      <c r="Y925" s="106"/>
    </row>
    <row r="926">
      <c r="C926" s="79"/>
      <c r="D926" s="79"/>
      <c r="J926" s="79"/>
      <c r="O926" s="79"/>
      <c r="P926" s="79"/>
      <c r="S926" s="79"/>
      <c r="T926" s="79"/>
      <c r="W926" s="130"/>
      <c r="Y926" s="106"/>
    </row>
    <row r="927">
      <c r="C927" s="79"/>
      <c r="D927" s="79"/>
      <c r="J927" s="79"/>
      <c r="O927" s="79"/>
      <c r="P927" s="79"/>
      <c r="S927" s="79"/>
      <c r="T927" s="79"/>
      <c r="W927" s="130"/>
      <c r="Y927" s="106"/>
    </row>
    <row r="928">
      <c r="C928" s="79"/>
      <c r="D928" s="79"/>
      <c r="J928" s="79"/>
      <c r="O928" s="79"/>
      <c r="P928" s="79"/>
      <c r="S928" s="79"/>
      <c r="T928" s="79"/>
      <c r="W928" s="130"/>
      <c r="Y928" s="106"/>
    </row>
    <row r="929">
      <c r="C929" s="79"/>
      <c r="D929" s="79"/>
      <c r="J929" s="79"/>
      <c r="O929" s="79"/>
      <c r="P929" s="79"/>
      <c r="S929" s="79"/>
      <c r="T929" s="79"/>
      <c r="W929" s="130"/>
      <c r="Y929" s="106"/>
    </row>
    <row r="930">
      <c r="C930" s="79"/>
      <c r="D930" s="79"/>
      <c r="J930" s="79"/>
      <c r="O930" s="79"/>
      <c r="P930" s="79"/>
      <c r="S930" s="79"/>
      <c r="T930" s="79"/>
      <c r="W930" s="130"/>
      <c r="Y930" s="106"/>
    </row>
    <row r="931">
      <c r="C931" s="79"/>
      <c r="D931" s="79"/>
      <c r="J931" s="79"/>
      <c r="O931" s="79"/>
      <c r="P931" s="79"/>
      <c r="S931" s="79"/>
      <c r="T931" s="79"/>
      <c r="W931" s="130"/>
      <c r="Y931" s="106"/>
    </row>
    <row r="932">
      <c r="C932" s="79"/>
      <c r="D932" s="79"/>
      <c r="J932" s="79"/>
      <c r="O932" s="79"/>
      <c r="P932" s="79"/>
      <c r="S932" s="79"/>
      <c r="T932" s="79"/>
      <c r="W932" s="130"/>
      <c r="Y932" s="106"/>
    </row>
    <row r="933">
      <c r="C933" s="79"/>
      <c r="D933" s="79"/>
      <c r="J933" s="79"/>
      <c r="O933" s="79"/>
      <c r="P933" s="79"/>
      <c r="S933" s="79"/>
      <c r="T933" s="79"/>
      <c r="W933" s="130"/>
      <c r="Y933" s="106"/>
    </row>
    <row r="934">
      <c r="C934" s="79"/>
      <c r="D934" s="79"/>
      <c r="J934" s="79"/>
      <c r="O934" s="79"/>
      <c r="P934" s="79"/>
      <c r="S934" s="79"/>
      <c r="T934" s="79"/>
      <c r="W934" s="130"/>
      <c r="Y934" s="106"/>
    </row>
    <row r="935">
      <c r="C935" s="79"/>
      <c r="D935" s="79"/>
      <c r="J935" s="79"/>
      <c r="O935" s="79"/>
      <c r="P935" s="79"/>
      <c r="S935" s="79"/>
      <c r="T935" s="79"/>
      <c r="W935" s="130"/>
      <c r="Y935" s="106"/>
    </row>
    <row r="936">
      <c r="C936" s="79"/>
      <c r="D936" s="79"/>
      <c r="J936" s="79"/>
      <c r="O936" s="79"/>
      <c r="P936" s="79"/>
      <c r="S936" s="79"/>
      <c r="T936" s="79"/>
      <c r="W936" s="130"/>
      <c r="Y936" s="106"/>
    </row>
    <row r="937">
      <c r="C937" s="79"/>
      <c r="D937" s="79"/>
      <c r="J937" s="79"/>
      <c r="O937" s="79"/>
      <c r="P937" s="79"/>
      <c r="S937" s="79"/>
      <c r="T937" s="79"/>
      <c r="W937" s="130"/>
      <c r="Y937" s="106"/>
    </row>
    <row r="938">
      <c r="C938" s="79"/>
      <c r="D938" s="79"/>
      <c r="J938" s="79"/>
      <c r="O938" s="79"/>
      <c r="P938" s="79"/>
      <c r="S938" s="79"/>
      <c r="T938" s="79"/>
      <c r="W938" s="130"/>
      <c r="Y938" s="106"/>
    </row>
    <row r="939">
      <c r="C939" s="79"/>
      <c r="D939" s="79"/>
      <c r="J939" s="79"/>
      <c r="O939" s="79"/>
      <c r="P939" s="79"/>
      <c r="S939" s="79"/>
      <c r="T939" s="79"/>
      <c r="W939" s="130"/>
      <c r="Y939" s="106"/>
    </row>
    <row r="940">
      <c r="C940" s="79"/>
      <c r="D940" s="79"/>
      <c r="J940" s="79"/>
      <c r="O940" s="79"/>
      <c r="P940" s="79"/>
      <c r="S940" s="79"/>
      <c r="T940" s="79"/>
      <c r="W940" s="130"/>
      <c r="Y940" s="106"/>
    </row>
    <row r="941">
      <c r="C941" s="79"/>
      <c r="D941" s="79"/>
      <c r="J941" s="79"/>
      <c r="O941" s="79"/>
      <c r="P941" s="79"/>
      <c r="S941" s="79"/>
      <c r="T941" s="79"/>
      <c r="W941" s="130"/>
      <c r="Y941" s="106"/>
    </row>
    <row r="942">
      <c r="C942" s="79"/>
      <c r="D942" s="79"/>
      <c r="J942" s="79"/>
      <c r="O942" s="79"/>
      <c r="P942" s="79"/>
      <c r="S942" s="79"/>
      <c r="T942" s="79"/>
      <c r="W942" s="130"/>
      <c r="Y942" s="106"/>
    </row>
    <row r="943">
      <c r="C943" s="79"/>
      <c r="D943" s="79"/>
      <c r="J943" s="79"/>
      <c r="O943" s="79"/>
      <c r="P943" s="79"/>
      <c r="S943" s="79"/>
      <c r="T943" s="79"/>
      <c r="W943" s="130"/>
      <c r="Y943" s="106"/>
    </row>
    <row r="944">
      <c r="C944" s="79"/>
      <c r="D944" s="79"/>
      <c r="J944" s="79"/>
      <c r="O944" s="79"/>
      <c r="P944" s="79"/>
      <c r="S944" s="79"/>
      <c r="T944" s="79"/>
      <c r="W944" s="130"/>
      <c r="Y944" s="106"/>
    </row>
    <row r="945">
      <c r="C945" s="79"/>
      <c r="D945" s="79"/>
      <c r="J945" s="79"/>
      <c r="O945" s="79"/>
      <c r="P945" s="79"/>
      <c r="S945" s="79"/>
      <c r="T945" s="79"/>
      <c r="W945" s="130"/>
      <c r="Y945" s="106"/>
    </row>
    <row r="946">
      <c r="C946" s="79"/>
      <c r="D946" s="79"/>
      <c r="J946" s="79"/>
      <c r="O946" s="79"/>
      <c r="P946" s="79"/>
      <c r="S946" s="79"/>
      <c r="T946" s="79"/>
      <c r="W946" s="130"/>
      <c r="Y946" s="106"/>
    </row>
    <row r="947">
      <c r="C947" s="79"/>
      <c r="D947" s="79"/>
      <c r="J947" s="79"/>
      <c r="O947" s="79"/>
      <c r="P947" s="79"/>
      <c r="S947" s="79"/>
      <c r="T947" s="79"/>
      <c r="W947" s="130"/>
      <c r="Y947" s="106"/>
    </row>
    <row r="948">
      <c r="C948" s="79"/>
      <c r="D948" s="79"/>
      <c r="J948" s="79"/>
      <c r="O948" s="79"/>
      <c r="P948" s="79"/>
      <c r="S948" s="79"/>
      <c r="T948" s="79"/>
      <c r="W948" s="130"/>
      <c r="Y948" s="106"/>
    </row>
    <row r="949">
      <c r="C949" s="79"/>
      <c r="D949" s="79"/>
      <c r="J949" s="79"/>
      <c r="O949" s="79"/>
      <c r="P949" s="79"/>
      <c r="S949" s="79"/>
      <c r="T949" s="79"/>
      <c r="W949" s="130"/>
      <c r="Y949" s="106"/>
    </row>
    <row r="950">
      <c r="C950" s="79"/>
      <c r="D950" s="79"/>
      <c r="J950" s="79"/>
      <c r="O950" s="79"/>
      <c r="P950" s="79"/>
      <c r="S950" s="79"/>
      <c r="T950" s="79"/>
      <c r="W950" s="130"/>
      <c r="Y950" s="106"/>
    </row>
    <row r="951">
      <c r="C951" s="79"/>
      <c r="D951" s="79"/>
      <c r="J951" s="79"/>
      <c r="O951" s="79"/>
      <c r="P951" s="79"/>
      <c r="S951" s="79"/>
      <c r="T951" s="79"/>
      <c r="W951" s="130"/>
      <c r="Y951" s="106"/>
    </row>
    <row r="952">
      <c r="C952" s="79"/>
      <c r="D952" s="79"/>
      <c r="J952" s="79"/>
      <c r="O952" s="79"/>
      <c r="P952" s="79"/>
      <c r="S952" s="79"/>
      <c r="T952" s="79"/>
      <c r="W952" s="130"/>
      <c r="Y952" s="106"/>
    </row>
    <row r="953">
      <c r="C953" s="79"/>
      <c r="D953" s="79"/>
      <c r="J953" s="79"/>
      <c r="O953" s="79"/>
      <c r="P953" s="79"/>
      <c r="S953" s="79"/>
      <c r="T953" s="79"/>
      <c r="W953" s="130"/>
      <c r="Y953" s="106"/>
    </row>
    <row r="954">
      <c r="C954" s="79"/>
      <c r="D954" s="79"/>
      <c r="J954" s="79"/>
      <c r="O954" s="79"/>
      <c r="P954" s="79"/>
      <c r="S954" s="79"/>
      <c r="T954" s="79"/>
      <c r="W954" s="130"/>
      <c r="Y954" s="106"/>
    </row>
    <row r="955">
      <c r="C955" s="79"/>
      <c r="D955" s="79"/>
      <c r="J955" s="79"/>
      <c r="O955" s="79"/>
      <c r="P955" s="79"/>
      <c r="S955" s="79"/>
      <c r="T955" s="79"/>
      <c r="W955" s="130"/>
      <c r="Y955" s="106"/>
    </row>
    <row r="956">
      <c r="C956" s="79"/>
      <c r="D956" s="79"/>
      <c r="J956" s="79"/>
      <c r="O956" s="79"/>
      <c r="P956" s="79"/>
      <c r="S956" s="79"/>
      <c r="T956" s="79"/>
      <c r="W956" s="130"/>
      <c r="Y956" s="106"/>
    </row>
    <row r="957">
      <c r="C957" s="79"/>
      <c r="D957" s="79"/>
      <c r="J957" s="79"/>
      <c r="O957" s="79"/>
      <c r="P957" s="79"/>
      <c r="S957" s="79"/>
      <c r="T957" s="79"/>
      <c r="W957" s="130"/>
      <c r="Y957" s="106"/>
    </row>
    <row r="958">
      <c r="C958" s="79"/>
      <c r="D958" s="79"/>
      <c r="J958" s="79"/>
      <c r="O958" s="79"/>
      <c r="P958" s="79"/>
      <c r="S958" s="79"/>
      <c r="T958" s="79"/>
      <c r="W958" s="130"/>
      <c r="Y958" s="106"/>
    </row>
    <row r="959">
      <c r="C959" s="79"/>
      <c r="D959" s="79"/>
      <c r="J959" s="79"/>
      <c r="O959" s="79"/>
      <c r="P959" s="79"/>
      <c r="S959" s="79"/>
      <c r="T959" s="79"/>
      <c r="W959" s="130"/>
      <c r="Y959" s="106"/>
    </row>
    <row r="960">
      <c r="C960" s="79"/>
      <c r="D960" s="79"/>
      <c r="J960" s="79"/>
      <c r="O960" s="79"/>
      <c r="P960" s="79"/>
      <c r="S960" s="79"/>
      <c r="T960" s="79"/>
      <c r="W960" s="130"/>
      <c r="Y960" s="106"/>
    </row>
    <row r="961">
      <c r="C961" s="79"/>
      <c r="D961" s="79"/>
      <c r="J961" s="79"/>
      <c r="O961" s="79"/>
      <c r="P961" s="79"/>
      <c r="S961" s="79"/>
      <c r="T961" s="79"/>
      <c r="W961" s="130"/>
      <c r="Y961" s="106"/>
    </row>
    <row r="962">
      <c r="C962" s="79"/>
      <c r="D962" s="79"/>
      <c r="J962" s="79"/>
      <c r="O962" s="79"/>
      <c r="P962" s="79"/>
      <c r="S962" s="79"/>
      <c r="T962" s="79"/>
      <c r="W962" s="130"/>
      <c r="Y962" s="106"/>
    </row>
    <row r="963">
      <c r="C963" s="79"/>
      <c r="D963" s="79"/>
      <c r="J963" s="79"/>
      <c r="O963" s="79"/>
      <c r="P963" s="79"/>
      <c r="S963" s="79"/>
      <c r="T963" s="79"/>
      <c r="W963" s="130"/>
      <c r="Y963" s="106"/>
    </row>
    <row r="964">
      <c r="C964" s="79"/>
      <c r="D964" s="79"/>
      <c r="J964" s="79"/>
      <c r="O964" s="79"/>
      <c r="P964" s="79"/>
      <c r="S964" s="79"/>
      <c r="T964" s="79"/>
      <c r="W964" s="130"/>
      <c r="Y964" s="106"/>
    </row>
    <row r="965">
      <c r="C965" s="79"/>
      <c r="D965" s="79"/>
      <c r="J965" s="79"/>
      <c r="O965" s="79"/>
      <c r="P965" s="79"/>
      <c r="S965" s="79"/>
      <c r="T965" s="79"/>
      <c r="W965" s="130"/>
      <c r="Y965" s="106"/>
    </row>
    <row r="966">
      <c r="C966" s="79"/>
      <c r="D966" s="79"/>
      <c r="J966" s="79"/>
      <c r="O966" s="79"/>
      <c r="P966" s="79"/>
      <c r="S966" s="79"/>
      <c r="T966" s="79"/>
      <c r="W966" s="130"/>
      <c r="Y966" s="106"/>
    </row>
    <row r="967">
      <c r="C967" s="79"/>
      <c r="D967" s="79"/>
      <c r="J967" s="79"/>
      <c r="O967" s="79"/>
      <c r="P967" s="79"/>
      <c r="S967" s="79"/>
      <c r="T967" s="79"/>
      <c r="W967" s="130"/>
      <c r="Y967" s="106"/>
    </row>
    <row r="968">
      <c r="C968" s="79"/>
      <c r="D968" s="79"/>
      <c r="J968" s="79"/>
      <c r="O968" s="79"/>
      <c r="P968" s="79"/>
      <c r="S968" s="79"/>
      <c r="T968" s="79"/>
      <c r="W968" s="130"/>
      <c r="Y968" s="106"/>
    </row>
    <row r="969">
      <c r="C969" s="79"/>
      <c r="D969" s="79"/>
      <c r="J969" s="79"/>
      <c r="O969" s="79"/>
      <c r="P969" s="79"/>
      <c r="S969" s="79"/>
      <c r="T969" s="79"/>
      <c r="W969" s="130"/>
      <c r="Y969" s="106"/>
    </row>
    <row r="970">
      <c r="C970" s="79"/>
      <c r="D970" s="79"/>
      <c r="J970" s="79"/>
      <c r="O970" s="79"/>
      <c r="P970" s="79"/>
      <c r="S970" s="79"/>
      <c r="T970" s="79"/>
      <c r="W970" s="130"/>
      <c r="Y970" s="106"/>
    </row>
    <row r="971">
      <c r="C971" s="79"/>
      <c r="D971" s="79"/>
      <c r="J971" s="79"/>
      <c r="O971" s="79"/>
      <c r="P971" s="79"/>
      <c r="S971" s="79"/>
      <c r="T971" s="79"/>
      <c r="W971" s="130"/>
      <c r="Y971" s="106"/>
    </row>
    <row r="972">
      <c r="C972" s="79"/>
      <c r="D972" s="79"/>
      <c r="J972" s="79"/>
      <c r="O972" s="79"/>
      <c r="P972" s="79"/>
      <c r="S972" s="79"/>
      <c r="T972" s="79"/>
      <c r="W972" s="130"/>
      <c r="Y972" s="106"/>
    </row>
    <row r="973">
      <c r="C973" s="79"/>
      <c r="D973" s="79"/>
      <c r="J973" s="79"/>
      <c r="O973" s="79"/>
      <c r="P973" s="79"/>
      <c r="S973" s="79"/>
      <c r="T973" s="79"/>
      <c r="W973" s="130"/>
      <c r="Y973" s="106"/>
    </row>
    <row r="974">
      <c r="C974" s="79"/>
      <c r="D974" s="79"/>
      <c r="J974" s="79"/>
      <c r="O974" s="79"/>
      <c r="P974" s="79"/>
      <c r="S974" s="79"/>
      <c r="T974" s="79"/>
      <c r="W974" s="130"/>
      <c r="Y974" s="106"/>
    </row>
    <row r="975">
      <c r="C975" s="79"/>
      <c r="D975" s="79"/>
      <c r="J975" s="79"/>
      <c r="O975" s="79"/>
      <c r="P975" s="79"/>
      <c r="S975" s="79"/>
      <c r="T975" s="79"/>
      <c r="W975" s="130"/>
      <c r="Y975" s="106"/>
    </row>
    <row r="976">
      <c r="C976" s="79"/>
      <c r="D976" s="79"/>
      <c r="J976" s="79"/>
      <c r="O976" s="79"/>
      <c r="P976" s="79"/>
      <c r="S976" s="79"/>
      <c r="T976" s="79"/>
      <c r="W976" s="130"/>
      <c r="Y976" s="106"/>
    </row>
    <row r="977">
      <c r="C977" s="79"/>
      <c r="D977" s="79"/>
      <c r="J977" s="79"/>
      <c r="O977" s="79"/>
      <c r="P977" s="79"/>
      <c r="S977" s="79"/>
      <c r="T977" s="79"/>
      <c r="W977" s="130"/>
      <c r="Y977" s="106"/>
    </row>
    <row r="978">
      <c r="C978" s="79"/>
      <c r="D978" s="79"/>
      <c r="J978" s="79"/>
      <c r="O978" s="79"/>
      <c r="P978" s="79"/>
      <c r="S978" s="79"/>
      <c r="T978" s="79"/>
      <c r="W978" s="130"/>
      <c r="Y978" s="106"/>
    </row>
    <row r="979">
      <c r="C979" s="79"/>
      <c r="D979" s="79"/>
      <c r="J979" s="79"/>
      <c r="O979" s="79"/>
      <c r="P979" s="79"/>
      <c r="S979" s="79"/>
      <c r="T979" s="79"/>
      <c r="W979" s="130"/>
      <c r="Y979" s="106"/>
    </row>
    <row r="980">
      <c r="C980" s="79"/>
      <c r="D980" s="79"/>
      <c r="J980" s="79"/>
      <c r="O980" s="79"/>
      <c r="P980" s="79"/>
      <c r="S980" s="79"/>
      <c r="T980" s="79"/>
      <c r="W980" s="130"/>
      <c r="Y980" s="106"/>
    </row>
    <row r="981">
      <c r="C981" s="79"/>
      <c r="D981" s="79"/>
      <c r="J981" s="79"/>
      <c r="O981" s="79"/>
      <c r="P981" s="79"/>
      <c r="S981" s="79"/>
      <c r="T981" s="79"/>
      <c r="W981" s="130"/>
      <c r="Y981" s="106"/>
    </row>
    <row r="982">
      <c r="C982" s="79"/>
      <c r="D982" s="79"/>
      <c r="J982" s="79"/>
      <c r="O982" s="79"/>
      <c r="P982" s="79"/>
      <c r="S982" s="79"/>
      <c r="T982" s="79"/>
      <c r="W982" s="130"/>
      <c r="Y982" s="106"/>
    </row>
    <row r="983">
      <c r="C983" s="79"/>
      <c r="D983" s="79"/>
      <c r="J983" s="79"/>
      <c r="O983" s="79"/>
      <c r="P983" s="79"/>
      <c r="S983" s="79"/>
      <c r="T983" s="79"/>
      <c r="W983" s="130"/>
      <c r="Y983" s="106"/>
    </row>
    <row r="984">
      <c r="C984" s="79"/>
      <c r="D984" s="79"/>
      <c r="J984" s="79"/>
      <c r="O984" s="79"/>
      <c r="P984" s="79"/>
      <c r="S984" s="79"/>
      <c r="T984" s="79"/>
      <c r="W984" s="130"/>
      <c r="Y984" s="106"/>
    </row>
    <row r="985">
      <c r="C985" s="79"/>
      <c r="D985" s="79"/>
      <c r="J985" s="79"/>
      <c r="O985" s="79"/>
      <c r="P985" s="79"/>
      <c r="S985" s="79"/>
      <c r="T985" s="79"/>
      <c r="W985" s="130"/>
      <c r="Y985" s="106"/>
    </row>
    <row r="986">
      <c r="C986" s="79"/>
      <c r="D986" s="79"/>
      <c r="J986" s="79"/>
      <c r="O986" s="79"/>
      <c r="P986" s="79"/>
      <c r="S986" s="79"/>
      <c r="T986" s="79"/>
      <c r="W986" s="130"/>
      <c r="Y986" s="106"/>
    </row>
    <row r="987">
      <c r="C987" s="79"/>
      <c r="D987" s="79"/>
      <c r="J987" s="79"/>
      <c r="O987" s="79"/>
      <c r="P987" s="79"/>
      <c r="S987" s="79"/>
      <c r="T987" s="79"/>
      <c r="W987" s="130"/>
      <c r="Y987" s="106"/>
    </row>
    <row r="988">
      <c r="C988" s="79"/>
      <c r="D988" s="79"/>
      <c r="J988" s="79"/>
      <c r="O988" s="79"/>
      <c r="P988" s="79"/>
      <c r="S988" s="79"/>
      <c r="T988" s="79"/>
      <c r="W988" s="130"/>
      <c r="Y988" s="106"/>
    </row>
    <row r="989">
      <c r="C989" s="79"/>
      <c r="D989" s="79"/>
      <c r="J989" s="79"/>
      <c r="O989" s="79"/>
      <c r="P989" s="79"/>
      <c r="S989" s="79"/>
      <c r="T989" s="79"/>
      <c r="W989" s="130"/>
      <c r="Y989" s="106"/>
    </row>
    <row r="990">
      <c r="C990" s="79"/>
      <c r="D990" s="79"/>
      <c r="J990" s="79"/>
      <c r="O990" s="79"/>
      <c r="P990" s="79"/>
      <c r="S990" s="79"/>
      <c r="T990" s="79"/>
      <c r="W990" s="130"/>
      <c r="Y990" s="106"/>
    </row>
    <row r="991">
      <c r="C991" s="79"/>
      <c r="D991" s="79"/>
      <c r="J991" s="79"/>
      <c r="O991" s="79"/>
      <c r="P991" s="79"/>
      <c r="S991" s="79"/>
      <c r="T991" s="79"/>
      <c r="W991" s="130"/>
      <c r="Y991" s="106"/>
    </row>
    <row r="992">
      <c r="C992" s="79"/>
      <c r="D992" s="79"/>
      <c r="J992" s="79"/>
      <c r="O992" s="79"/>
      <c r="P992" s="79"/>
      <c r="S992" s="79"/>
      <c r="T992" s="79"/>
      <c r="W992" s="130"/>
      <c r="Y992" s="106"/>
    </row>
    <row r="993">
      <c r="C993" s="79"/>
      <c r="D993" s="79"/>
      <c r="J993" s="79"/>
      <c r="O993" s="79"/>
      <c r="P993" s="79"/>
      <c r="S993" s="79"/>
      <c r="T993" s="79"/>
      <c r="W993" s="130"/>
      <c r="Y993" s="106"/>
    </row>
    <row r="994">
      <c r="C994" s="79"/>
      <c r="D994" s="79"/>
      <c r="J994" s="79"/>
      <c r="O994" s="79"/>
      <c r="P994" s="79"/>
      <c r="S994" s="79"/>
      <c r="T994" s="79"/>
      <c r="W994" s="130"/>
      <c r="Y994" s="106"/>
    </row>
    <row r="995">
      <c r="C995" s="79"/>
      <c r="D995" s="79"/>
      <c r="J995" s="79"/>
      <c r="O995" s="79"/>
      <c r="P995" s="79"/>
      <c r="S995" s="79"/>
      <c r="T995" s="79"/>
      <c r="W995" s="130"/>
      <c r="Y995" s="106"/>
    </row>
    <row r="996">
      <c r="C996" s="79"/>
      <c r="D996" s="79"/>
      <c r="J996" s="79"/>
      <c r="O996" s="79"/>
      <c r="P996" s="79"/>
      <c r="S996" s="79"/>
      <c r="T996" s="79"/>
      <c r="W996" s="130"/>
      <c r="Y996" s="106"/>
    </row>
    <row r="997">
      <c r="C997" s="79"/>
      <c r="D997" s="79"/>
      <c r="J997" s="79"/>
      <c r="O997" s="79"/>
      <c r="P997" s="79"/>
      <c r="S997" s="79"/>
      <c r="T997" s="79"/>
      <c r="W997" s="130"/>
      <c r="Y997" s="106"/>
    </row>
    <row r="998">
      <c r="C998" s="79"/>
      <c r="D998" s="79"/>
      <c r="J998" s="79"/>
      <c r="O998" s="79"/>
      <c r="P998" s="79"/>
      <c r="S998" s="79"/>
      <c r="T998" s="79"/>
      <c r="W998" s="130"/>
      <c r="Y998" s="106"/>
    </row>
    <row r="999">
      <c r="C999" s="79"/>
      <c r="D999" s="79"/>
      <c r="J999" s="79"/>
      <c r="O999" s="79"/>
      <c r="P999" s="79"/>
      <c r="S999" s="79"/>
      <c r="T999" s="79"/>
      <c r="W999" s="130"/>
      <c r="Y999" s="106"/>
    </row>
    <row r="1000">
      <c r="C1000" s="79"/>
      <c r="D1000" s="79"/>
      <c r="J1000" s="79"/>
      <c r="O1000" s="79"/>
      <c r="P1000" s="79"/>
      <c r="S1000" s="79"/>
      <c r="T1000" s="79"/>
      <c r="W1000" s="130"/>
      <c r="Y1000" s="106"/>
    </row>
    <row r="1001">
      <c r="C1001" s="79"/>
      <c r="D1001" s="79"/>
      <c r="J1001" s="79"/>
      <c r="O1001" s="79"/>
      <c r="P1001" s="79"/>
      <c r="S1001" s="79"/>
      <c r="T1001" s="79"/>
      <c r="W1001" s="130"/>
      <c r="Y1001" s="106"/>
    </row>
    <row r="1002">
      <c r="C1002" s="79"/>
      <c r="D1002" s="79"/>
      <c r="J1002" s="79"/>
      <c r="O1002" s="79"/>
      <c r="P1002" s="79"/>
      <c r="S1002" s="79"/>
      <c r="T1002" s="79"/>
      <c r="W1002" s="130"/>
      <c r="Y1002" s="106"/>
    </row>
    <row r="1003">
      <c r="C1003" s="79"/>
      <c r="D1003" s="79"/>
      <c r="J1003" s="79"/>
      <c r="O1003" s="79"/>
      <c r="P1003" s="79"/>
      <c r="S1003" s="79"/>
      <c r="T1003" s="79"/>
      <c r="W1003" s="130"/>
      <c r="Y1003" s="106"/>
    </row>
    <row r="1004">
      <c r="C1004" s="79"/>
      <c r="D1004" s="79"/>
      <c r="J1004" s="79"/>
      <c r="O1004" s="79"/>
      <c r="P1004" s="79"/>
      <c r="S1004" s="79"/>
      <c r="T1004" s="79"/>
      <c r="W1004" s="130"/>
      <c r="Y1004" s="106"/>
    </row>
    <row r="1005">
      <c r="C1005" s="79"/>
      <c r="D1005" s="79"/>
      <c r="J1005" s="79"/>
      <c r="O1005" s="79"/>
      <c r="P1005" s="79"/>
      <c r="S1005" s="79"/>
      <c r="T1005" s="79"/>
      <c r="W1005" s="130"/>
      <c r="Y1005" s="106"/>
    </row>
    <row r="1006">
      <c r="C1006" s="79"/>
      <c r="D1006" s="79"/>
      <c r="J1006" s="79"/>
      <c r="O1006" s="79"/>
      <c r="P1006" s="79"/>
      <c r="S1006" s="79"/>
      <c r="T1006" s="79"/>
      <c r="W1006" s="130"/>
      <c r="Y1006" s="106"/>
    </row>
    <row r="1007">
      <c r="C1007" s="79"/>
      <c r="D1007" s="79"/>
      <c r="J1007" s="79"/>
      <c r="O1007" s="79"/>
      <c r="P1007" s="79"/>
      <c r="S1007" s="79"/>
      <c r="T1007" s="79"/>
      <c r="W1007" s="130"/>
      <c r="Y1007" s="106"/>
    </row>
  </sheetData>
  <drawing r:id="rId2"/>
  <legacyDrawing r:id="rId3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5" max="25" width="17.0"/>
  </cols>
  <sheetData>
    <row r="1">
      <c r="B1" s="2" t="s">
        <v>0</v>
      </c>
      <c r="C1" s="105" t="s">
        <v>1</v>
      </c>
      <c r="D1" s="105" t="s">
        <v>7</v>
      </c>
      <c r="E1" s="2" t="s">
        <v>3</v>
      </c>
      <c r="F1" s="2" t="s">
        <v>129</v>
      </c>
      <c r="G1" s="2" t="s">
        <v>5</v>
      </c>
      <c r="H1" s="2" t="s">
        <v>6</v>
      </c>
      <c r="I1" s="2" t="s">
        <v>43</v>
      </c>
      <c r="J1" s="105" t="s">
        <v>40</v>
      </c>
      <c r="K1" s="2" t="s">
        <v>49</v>
      </c>
      <c r="L1" s="2" t="s">
        <v>42</v>
      </c>
      <c r="M1" s="2" t="s">
        <v>121</v>
      </c>
      <c r="N1" s="2" t="s">
        <v>164</v>
      </c>
      <c r="O1" s="105" t="s">
        <v>9</v>
      </c>
      <c r="P1" s="105" t="s">
        <v>165</v>
      </c>
      <c r="Q1" s="2" t="s">
        <v>37</v>
      </c>
      <c r="R1" s="2" t="s">
        <v>10</v>
      </c>
      <c r="S1" s="105" t="s">
        <v>11</v>
      </c>
      <c r="T1" s="105" t="s">
        <v>167</v>
      </c>
      <c r="U1" s="2" t="s">
        <v>12</v>
      </c>
      <c r="V1" s="3" t="s">
        <v>13</v>
      </c>
      <c r="W1" s="126" t="s">
        <v>14</v>
      </c>
      <c r="X1" s="3" t="s">
        <v>15</v>
      </c>
      <c r="Y1" s="106"/>
    </row>
    <row r="2">
      <c r="A2" s="74">
        <v>45236.0</v>
      </c>
      <c r="B2" s="5">
        <f>1473.84-11.24-33.83-29.29</f>
        <v>1399.48</v>
      </c>
      <c r="C2" s="93">
        <f>52.89+239.2+221.6+408.7-119.6</f>
        <v>802.79</v>
      </c>
      <c r="D2" s="93"/>
      <c r="E2" s="5">
        <v>180.0</v>
      </c>
      <c r="F2" s="5">
        <f>315.84</f>
        <v>315.84</v>
      </c>
      <c r="G2" s="5">
        <v>567.6</v>
      </c>
      <c r="H2" s="5"/>
      <c r="I2" s="5"/>
      <c r="J2" s="5"/>
      <c r="K2" s="5">
        <v>168.0</v>
      </c>
      <c r="L2" s="5"/>
      <c r="M2" s="5"/>
      <c r="N2" s="5"/>
      <c r="O2" s="93"/>
      <c r="P2" s="93"/>
      <c r="Q2" s="41">
        <v>417.12</v>
      </c>
      <c r="R2" s="5"/>
      <c r="S2" s="93">
        <v>57.05</v>
      </c>
      <c r="T2" s="93"/>
      <c r="U2" s="5"/>
      <c r="V2" s="107">
        <f t="shared" ref="V2:V7" si="1">SUM(B2:U2)</f>
        <v>3907.88</v>
      </c>
      <c r="W2" s="158">
        <v>4466.0</v>
      </c>
      <c r="X2" s="59">
        <f t="shared" ref="X2:X8" si="2">V2/W2</f>
        <v>0.8750291088</v>
      </c>
      <c r="Y2" s="109">
        <f t="shared" ref="Y2:Y8" si="3">A2</f>
        <v>45236</v>
      </c>
    </row>
    <row r="3">
      <c r="A3" s="74">
        <v>45237.0</v>
      </c>
      <c r="B3" s="5">
        <f>2151.82-105.88-35.68-18.54-122.74-15.68-22.26-24.1-85.91-31.46-78.43-46.32-11.73-20.15-66.44-35.98-78.48-16.34-12.07</f>
        <v>1323.63</v>
      </c>
      <c r="C3" s="159">
        <f>777.35-150.72</f>
        <v>626.63</v>
      </c>
      <c r="D3" s="93"/>
      <c r="E3" s="5"/>
      <c r="F3" s="5">
        <v>181.31</v>
      </c>
      <c r="G3" s="5"/>
      <c r="H3" s="93"/>
      <c r="I3" s="5"/>
      <c r="J3" s="93"/>
      <c r="K3" s="5"/>
      <c r="L3" s="5">
        <f>690-345</f>
        <v>345</v>
      </c>
      <c r="M3" s="6"/>
      <c r="N3" s="6"/>
      <c r="O3" s="93"/>
      <c r="P3" s="93"/>
      <c r="Q3" s="93"/>
      <c r="R3" s="5"/>
      <c r="S3" s="93"/>
      <c r="T3" s="93"/>
      <c r="U3" s="93"/>
      <c r="V3" s="107">
        <f t="shared" si="1"/>
        <v>2476.57</v>
      </c>
      <c r="W3" s="97">
        <v>6468.0</v>
      </c>
      <c r="X3" s="59">
        <f t="shared" si="2"/>
        <v>0.3828957947</v>
      </c>
      <c r="Y3" s="109">
        <f t="shared" si="3"/>
        <v>45237</v>
      </c>
    </row>
    <row r="4">
      <c r="A4" s="74">
        <v>45238.0</v>
      </c>
      <c r="B4" s="5">
        <f>1423-34-44-31.75-63</f>
        <v>1250.25</v>
      </c>
      <c r="C4" s="93">
        <f>465.8-119.6</f>
        <v>346.2</v>
      </c>
      <c r="D4" s="93"/>
      <c r="E4" s="5"/>
      <c r="F4" s="5"/>
      <c r="G4" s="5">
        <v>297.0</v>
      </c>
      <c r="H4" s="5">
        <v>42.0</v>
      </c>
      <c r="I4" s="5"/>
      <c r="J4" s="93"/>
      <c r="K4" s="5"/>
      <c r="L4" s="5"/>
      <c r="M4" s="93">
        <v>18.5</v>
      </c>
      <c r="N4" s="5"/>
      <c r="O4" s="93"/>
      <c r="P4" s="93"/>
      <c r="Q4" s="160"/>
      <c r="R4" s="83"/>
      <c r="S4" s="93">
        <v>57.05</v>
      </c>
      <c r="T4" s="93"/>
      <c r="U4" s="6"/>
      <c r="V4" s="107">
        <f t="shared" si="1"/>
        <v>2011</v>
      </c>
      <c r="W4" s="97">
        <v>6210</v>
      </c>
      <c r="X4" s="59">
        <f t="shared" si="2"/>
        <v>0.3238325282</v>
      </c>
      <c r="Y4" s="109">
        <f t="shared" si="3"/>
        <v>45238</v>
      </c>
    </row>
    <row r="5">
      <c r="A5" s="74">
        <v>45239.0</v>
      </c>
      <c r="B5" s="5">
        <f>1816.31-364.92-70.28-60.24-67.66-42.11-11.24-11.68-22.55-42.48-46.24-58.51-39.8</f>
        <v>978.6</v>
      </c>
      <c r="C5" s="93">
        <v>336.52</v>
      </c>
      <c r="D5" s="101"/>
      <c r="E5" s="5"/>
      <c r="F5" s="160">
        <v>180.0</v>
      </c>
      <c r="G5" s="5"/>
      <c r="H5" s="5"/>
      <c r="I5" s="5"/>
      <c r="J5" s="93"/>
      <c r="K5" s="5"/>
      <c r="L5" s="5"/>
      <c r="M5" s="93">
        <v>18.5</v>
      </c>
      <c r="N5" s="5"/>
      <c r="O5" s="93"/>
      <c r="P5" s="93"/>
      <c r="Q5" s="5"/>
      <c r="R5" s="5">
        <f>280.5-58</f>
        <v>222.5</v>
      </c>
      <c r="S5" s="101"/>
      <c r="T5" s="101"/>
      <c r="U5" s="6"/>
      <c r="V5" s="7">
        <f t="shared" si="1"/>
        <v>1736.12</v>
      </c>
      <c r="W5" s="97">
        <v>8089.1</v>
      </c>
      <c r="X5" s="59">
        <f t="shared" si="2"/>
        <v>0.2146246183</v>
      </c>
      <c r="Y5" s="109">
        <f t="shared" si="3"/>
        <v>45239</v>
      </c>
    </row>
    <row r="6">
      <c r="A6" s="74">
        <v>45240.0</v>
      </c>
      <c r="B6" s="5">
        <f>1082.13-29.29-17.2-33.71-14.02-36.28-22.4-31.44</f>
        <v>897.79</v>
      </c>
      <c r="C6" s="93">
        <f>328.11-62.01</f>
        <v>266.1</v>
      </c>
      <c r="D6" s="93"/>
      <c r="E6" s="5"/>
      <c r="F6" s="5">
        <f>460.67-92.59</f>
        <v>368.08</v>
      </c>
      <c r="G6" s="5"/>
      <c r="H6" s="93">
        <v>123.0</v>
      </c>
      <c r="I6" s="5"/>
      <c r="J6" s="162"/>
      <c r="K6" s="5"/>
      <c r="L6" s="5"/>
      <c r="M6" s="93">
        <v>18.5</v>
      </c>
      <c r="N6" s="5"/>
      <c r="O6" s="93"/>
      <c r="P6" s="93"/>
      <c r="Q6" s="5"/>
      <c r="R6" s="5"/>
      <c r="S6" s="93">
        <v>57.05</v>
      </c>
      <c r="T6" s="93"/>
      <c r="U6" s="5"/>
      <c r="V6" s="7">
        <f t="shared" si="1"/>
        <v>1730.52</v>
      </c>
      <c r="W6" s="97">
        <v>13111.5</v>
      </c>
      <c r="X6" s="59">
        <f t="shared" si="2"/>
        <v>0.1319848988</v>
      </c>
      <c r="Y6" s="109">
        <f t="shared" si="3"/>
        <v>45240</v>
      </c>
    </row>
    <row r="7">
      <c r="A7" s="74">
        <v>45241.0</v>
      </c>
      <c r="B7" s="5">
        <f>1252-50</f>
        <v>1202</v>
      </c>
      <c r="C7" s="93">
        <f>1014-360+1332</f>
        <v>1986</v>
      </c>
      <c r="D7" s="93"/>
      <c r="E7" s="5"/>
      <c r="F7" s="5">
        <v>173.0</v>
      </c>
      <c r="G7" s="5"/>
      <c r="H7" s="5"/>
      <c r="I7" s="5"/>
      <c r="J7" s="93"/>
      <c r="K7" s="5"/>
      <c r="L7" s="5"/>
      <c r="M7" s="93"/>
      <c r="N7" s="93"/>
      <c r="O7" s="93"/>
      <c r="P7" s="93"/>
      <c r="Q7" s="6"/>
      <c r="R7" s="6"/>
      <c r="S7" s="101"/>
      <c r="T7" s="101"/>
      <c r="U7" s="5"/>
      <c r="V7" s="7">
        <f t="shared" si="1"/>
        <v>3361</v>
      </c>
      <c r="W7" s="97">
        <v>15436.5</v>
      </c>
      <c r="X7" s="59">
        <f t="shared" si="2"/>
        <v>0.2177307032</v>
      </c>
      <c r="Y7" s="109">
        <f t="shared" si="3"/>
        <v>45241</v>
      </c>
    </row>
    <row r="8">
      <c r="A8" s="74">
        <v>45242.0</v>
      </c>
      <c r="B8" s="10" t="s">
        <v>21</v>
      </c>
      <c r="C8" s="112" t="s">
        <v>21</v>
      </c>
      <c r="D8" s="112" t="s">
        <v>21</v>
      </c>
      <c r="E8" s="10" t="s">
        <v>21</v>
      </c>
      <c r="F8" s="10" t="s">
        <v>21</v>
      </c>
      <c r="G8" s="10" t="s">
        <v>21</v>
      </c>
      <c r="H8" s="10" t="s">
        <v>21</v>
      </c>
      <c r="I8" s="10" t="s">
        <v>21</v>
      </c>
      <c r="J8" s="112" t="s">
        <v>21</v>
      </c>
      <c r="K8" s="10" t="s">
        <v>21</v>
      </c>
      <c r="L8" s="10" t="s">
        <v>21</v>
      </c>
      <c r="M8" s="10"/>
      <c r="N8" s="10"/>
      <c r="O8" s="112" t="s">
        <v>21</v>
      </c>
      <c r="P8" s="112"/>
      <c r="Q8" s="10" t="s">
        <v>21</v>
      </c>
      <c r="R8" s="10" t="s">
        <v>21</v>
      </c>
      <c r="S8" s="112" t="s">
        <v>21</v>
      </c>
      <c r="T8" s="112"/>
      <c r="U8" s="10" t="s">
        <v>21</v>
      </c>
      <c r="V8" s="7">
        <v>0.0</v>
      </c>
      <c r="W8" s="97">
        <v>7130</v>
      </c>
      <c r="X8" s="59">
        <f t="shared" si="2"/>
        <v>0</v>
      </c>
      <c r="Y8" s="109">
        <f t="shared" si="3"/>
        <v>45242</v>
      </c>
    </row>
    <row r="9">
      <c r="A9" s="163"/>
      <c r="B9" s="32"/>
      <c r="C9" s="32"/>
      <c r="D9" s="138"/>
      <c r="J9" s="79"/>
      <c r="S9" s="79"/>
      <c r="T9" s="79"/>
      <c r="W9" s="129"/>
      <c r="Y9" s="106"/>
    </row>
    <row r="10">
      <c r="A10" s="10" t="s">
        <v>188</v>
      </c>
      <c r="B10" s="10">
        <v>7226.51</v>
      </c>
      <c r="C10" s="112">
        <v>4924.26</v>
      </c>
      <c r="D10" s="112"/>
      <c r="E10" s="10">
        <v>360.0</v>
      </c>
      <c r="F10" s="10">
        <v>800.89</v>
      </c>
      <c r="G10" s="10">
        <v>864.6</v>
      </c>
      <c r="H10" s="10">
        <v>165.0</v>
      </c>
      <c r="I10" s="141"/>
      <c r="J10" s="142"/>
      <c r="K10" s="10">
        <v>168.0</v>
      </c>
      <c r="L10" s="10">
        <v>345.0</v>
      </c>
      <c r="M10" s="141"/>
      <c r="N10" s="141"/>
      <c r="O10" s="112">
        <v>191.0</v>
      </c>
      <c r="P10" s="142"/>
      <c r="Q10" s="10">
        <v>417.12</v>
      </c>
      <c r="R10" s="10">
        <v>222.5</v>
      </c>
      <c r="S10" s="112">
        <v>114.1</v>
      </c>
      <c r="T10" s="142"/>
      <c r="U10" s="141"/>
      <c r="V10" s="141"/>
      <c r="W10" s="129"/>
      <c r="Y10" s="106"/>
    </row>
    <row r="11">
      <c r="C11" s="79"/>
      <c r="D11" s="79"/>
      <c r="J11" s="79"/>
      <c r="O11" s="78"/>
      <c r="P11" s="79"/>
      <c r="S11" s="79"/>
      <c r="T11" s="79"/>
      <c r="W11" s="129"/>
      <c r="Y11" s="106"/>
    </row>
    <row r="12">
      <c r="A12" s="10" t="s">
        <v>80</v>
      </c>
      <c r="B12" s="10">
        <f t="shared" ref="B12:U12" si="4">B10-sum(B2:B7)</f>
        <v>174.76</v>
      </c>
      <c r="C12" s="10">
        <f t="shared" si="4"/>
        <v>560.02</v>
      </c>
      <c r="D12" s="10">
        <f t="shared" si="4"/>
        <v>0</v>
      </c>
      <c r="E12" s="10">
        <f t="shared" si="4"/>
        <v>180</v>
      </c>
      <c r="F12" s="10">
        <f t="shared" si="4"/>
        <v>-417.34</v>
      </c>
      <c r="G12" s="10">
        <f t="shared" si="4"/>
        <v>0</v>
      </c>
      <c r="H12" s="10">
        <f t="shared" si="4"/>
        <v>0</v>
      </c>
      <c r="I12" s="10">
        <f t="shared" si="4"/>
        <v>0</v>
      </c>
      <c r="J12" s="10">
        <f t="shared" si="4"/>
        <v>0</v>
      </c>
      <c r="K12" s="10">
        <f t="shared" si="4"/>
        <v>0</v>
      </c>
      <c r="L12" s="10">
        <f t="shared" si="4"/>
        <v>0</v>
      </c>
      <c r="M12" s="10">
        <f t="shared" si="4"/>
        <v>-55.5</v>
      </c>
      <c r="N12" s="10">
        <f t="shared" si="4"/>
        <v>0</v>
      </c>
      <c r="O12" s="10">
        <f t="shared" si="4"/>
        <v>191</v>
      </c>
      <c r="P12" s="10">
        <f t="shared" si="4"/>
        <v>0</v>
      </c>
      <c r="Q12" s="10">
        <f t="shared" si="4"/>
        <v>0</v>
      </c>
      <c r="R12" s="10">
        <f t="shared" si="4"/>
        <v>0</v>
      </c>
      <c r="S12" s="10">
        <f t="shared" si="4"/>
        <v>-57.05</v>
      </c>
      <c r="T12" s="10">
        <f t="shared" si="4"/>
        <v>0</v>
      </c>
      <c r="U12" s="10">
        <f t="shared" si="4"/>
        <v>0</v>
      </c>
      <c r="V12" s="10"/>
      <c r="W12" s="129"/>
      <c r="Y12" s="106"/>
    </row>
    <row r="13">
      <c r="A13" s="164" t="s">
        <v>193</v>
      </c>
      <c r="B13" s="32"/>
      <c r="C13" s="32"/>
      <c r="D13" s="138"/>
      <c r="J13" s="79"/>
      <c r="S13" s="79"/>
      <c r="T13" s="79"/>
      <c r="W13" s="129"/>
      <c r="Y13" s="106"/>
    </row>
    <row r="14">
      <c r="A14" s="165" t="s">
        <v>194</v>
      </c>
      <c r="B14" s="166">
        <f>11.24+33.83+78.43+46.32+11.73+20.15+66.44+35.98+34+44+33.83+42.11+11.24+17.2+14.02+36.28+22.4+50</f>
        <v>609.2</v>
      </c>
      <c r="C14" s="166">
        <f>119.6+119.6</f>
        <v>239.2</v>
      </c>
      <c r="D14" s="167"/>
      <c r="E14" s="168"/>
      <c r="F14" s="166"/>
      <c r="G14" s="168"/>
      <c r="H14" s="168"/>
      <c r="I14" s="168"/>
      <c r="J14" s="168"/>
      <c r="K14" s="168"/>
      <c r="L14" s="168"/>
      <c r="M14" s="1"/>
      <c r="N14" s="1"/>
      <c r="O14" s="1"/>
      <c r="P14" s="1"/>
      <c r="Q14" s="1"/>
      <c r="R14" s="1"/>
      <c r="S14" s="168"/>
      <c r="T14" s="168"/>
      <c r="U14" s="1"/>
      <c r="V14" s="1"/>
      <c r="W14" s="169"/>
      <c r="X14" s="1"/>
      <c r="Y14" s="170"/>
    </row>
    <row r="15">
      <c r="A15" s="165" t="s">
        <v>195</v>
      </c>
      <c r="B15" s="93">
        <f>18.54+122.74+15.68+22.26+24.1+85.91+31.46+364.91+70.28+60.24+33.83+11.68+22.55+42.48+46.24+58.51+39.8+29.29+78.48+16.34+12.07+31.75+63+29.29+33.71+31.45</f>
        <v>1396.59</v>
      </c>
      <c r="C15" s="166">
        <f>150.72+62.01+68.53+71.21+139.4+80.6</f>
        <v>572.47</v>
      </c>
      <c r="D15" s="166"/>
      <c r="E15" s="168"/>
      <c r="F15" s="166">
        <v>92.59</v>
      </c>
      <c r="G15" s="168"/>
      <c r="H15" s="168"/>
      <c r="I15" s="168"/>
      <c r="J15" s="168"/>
      <c r="K15" s="166">
        <f>144+156</f>
        <v>300</v>
      </c>
      <c r="L15" s="166"/>
      <c r="M15" s="1"/>
      <c r="N15" s="1"/>
      <c r="O15" s="168"/>
      <c r="P15" s="168"/>
      <c r="Q15" s="1"/>
      <c r="R15" s="96"/>
      <c r="S15" s="168"/>
      <c r="T15" s="168"/>
      <c r="U15" s="1"/>
      <c r="V15" s="1"/>
      <c r="W15" s="171"/>
      <c r="X15" s="1"/>
      <c r="Y15" s="170"/>
    </row>
    <row r="16" hidden="1">
      <c r="A16" s="172" t="s">
        <v>196</v>
      </c>
      <c r="B16" s="93"/>
      <c r="C16" s="173"/>
      <c r="D16" s="168"/>
      <c r="E16" s="166"/>
      <c r="F16" s="168"/>
      <c r="G16" s="168"/>
      <c r="H16" s="168"/>
      <c r="I16" s="168"/>
      <c r="J16" s="168"/>
      <c r="K16" s="168"/>
      <c r="L16" s="168"/>
      <c r="M16" s="1"/>
      <c r="N16" s="1"/>
      <c r="O16" s="168"/>
      <c r="P16" s="168"/>
      <c r="Q16" s="1"/>
      <c r="R16" s="1"/>
      <c r="S16" s="168"/>
      <c r="T16" s="168"/>
      <c r="U16" s="1"/>
      <c r="V16" s="1"/>
      <c r="W16" s="174"/>
      <c r="X16" s="1"/>
      <c r="Y16" s="170"/>
    </row>
    <row r="17">
      <c r="A17" s="165" t="s">
        <v>197</v>
      </c>
      <c r="B17" s="93"/>
      <c r="C17" s="168"/>
      <c r="D17" s="168"/>
      <c r="E17" s="166"/>
      <c r="F17" s="168"/>
      <c r="G17" s="168"/>
      <c r="H17" s="168"/>
      <c r="I17" s="168"/>
      <c r="J17" s="168"/>
      <c r="K17" s="168"/>
      <c r="L17" s="168"/>
      <c r="M17" s="1"/>
      <c r="N17" s="1"/>
      <c r="O17" s="168"/>
      <c r="P17" s="168"/>
      <c r="Q17" s="1"/>
      <c r="R17" s="1"/>
      <c r="S17" s="168"/>
      <c r="T17" s="168"/>
      <c r="U17" s="1"/>
      <c r="V17" s="1"/>
      <c r="W17" s="174"/>
      <c r="X17" s="1"/>
      <c r="Y17" s="170"/>
    </row>
    <row r="18">
      <c r="A18" s="165" t="s">
        <v>198</v>
      </c>
      <c r="B18" s="93">
        <f>105.88+35.68</f>
        <v>141.56</v>
      </c>
      <c r="C18" s="168"/>
      <c r="D18" s="168"/>
      <c r="E18" s="166"/>
      <c r="F18" s="168"/>
      <c r="G18" s="168"/>
      <c r="H18" s="168"/>
      <c r="I18" s="168"/>
      <c r="J18" s="168"/>
      <c r="K18" s="168"/>
      <c r="L18" s="168"/>
      <c r="M18" s="1"/>
      <c r="N18" s="1"/>
      <c r="O18" s="168"/>
      <c r="P18" s="168"/>
      <c r="Q18" s="1"/>
      <c r="R18" s="96">
        <v>58.0</v>
      </c>
      <c r="S18" s="168"/>
      <c r="T18" s="168"/>
      <c r="U18" s="1"/>
      <c r="V18" s="1"/>
      <c r="W18" s="174"/>
      <c r="X18" s="1"/>
      <c r="Y18" s="170"/>
    </row>
    <row r="19">
      <c r="A19" s="91"/>
      <c r="B19" s="92"/>
      <c r="C19" s="79"/>
      <c r="D19" s="79"/>
      <c r="E19" s="78"/>
      <c r="F19" s="79"/>
      <c r="J19" s="79"/>
      <c r="O19" s="79"/>
      <c r="P19" s="79"/>
      <c r="S19" s="79"/>
      <c r="T19" s="79"/>
      <c r="W19" s="131"/>
      <c r="Y19" s="106"/>
    </row>
    <row r="20">
      <c r="A20" s="91"/>
      <c r="B20" s="92"/>
      <c r="C20" s="78"/>
      <c r="D20" s="79"/>
      <c r="E20" s="78"/>
      <c r="F20" s="78"/>
      <c r="H20" s="175"/>
      <c r="I20" s="151"/>
      <c r="J20" s="79"/>
      <c r="O20" s="79"/>
      <c r="P20" s="79"/>
      <c r="S20" s="79"/>
      <c r="T20" s="79"/>
      <c r="W20" s="131"/>
      <c r="Y20" s="106"/>
    </row>
    <row r="21">
      <c r="A21" s="4" t="s">
        <v>22</v>
      </c>
      <c r="B21" s="11">
        <v>13000.0</v>
      </c>
      <c r="C21" s="79"/>
      <c r="D21" s="79"/>
      <c r="E21" s="78"/>
      <c r="F21" s="151"/>
      <c r="J21" s="79"/>
      <c r="O21" s="79"/>
      <c r="P21" s="79"/>
      <c r="S21" s="79"/>
      <c r="T21" s="79"/>
      <c r="W21" s="131"/>
      <c r="Y21" s="106"/>
    </row>
    <row r="22">
      <c r="A22" s="4" t="s">
        <v>23</v>
      </c>
      <c r="B22" s="12">
        <f>SUM(B2:U8)</f>
        <v>15223.09</v>
      </c>
      <c r="C22" s="79"/>
      <c r="D22" s="79"/>
      <c r="E22" s="144"/>
      <c r="F22" s="177"/>
      <c r="H22" s="38"/>
      <c r="J22" s="151"/>
      <c r="O22" s="79"/>
      <c r="P22" s="79"/>
      <c r="S22" s="79"/>
      <c r="T22" s="79"/>
      <c r="W22" s="130"/>
      <c r="Y22" s="106"/>
    </row>
    <row r="23">
      <c r="A23" s="4" t="s">
        <v>24</v>
      </c>
      <c r="B23" s="12">
        <f> SUM(B21-B22)</f>
        <v>-2223.09</v>
      </c>
      <c r="C23" s="79"/>
      <c r="D23" s="79"/>
      <c r="E23" s="78"/>
      <c r="F23" s="78"/>
      <c r="G23" s="38"/>
      <c r="H23" s="175"/>
      <c r="J23" s="79"/>
      <c r="O23" s="79"/>
      <c r="P23" s="79"/>
      <c r="S23" s="79"/>
      <c r="T23" s="79"/>
      <c r="W23" s="130"/>
      <c r="Y23" s="106"/>
    </row>
    <row r="24">
      <c r="C24" s="79"/>
      <c r="D24" s="79"/>
      <c r="F24" s="78"/>
      <c r="H24" s="38"/>
      <c r="J24" s="79"/>
      <c r="O24" s="79"/>
      <c r="P24" s="79"/>
      <c r="S24" s="79"/>
      <c r="T24" s="79"/>
      <c r="W24" s="130"/>
      <c r="Y24" s="106"/>
    </row>
    <row r="25">
      <c r="A25" s="13" t="s">
        <v>25</v>
      </c>
      <c r="B25" s="14">
        <f>SUM(W2:W8)</f>
        <v>60911.1</v>
      </c>
      <c r="C25" s="79"/>
      <c r="D25" s="79"/>
      <c r="E25" s="79"/>
      <c r="F25" s="78"/>
      <c r="J25" s="79"/>
      <c r="O25" s="79"/>
      <c r="P25" s="79"/>
      <c r="S25" s="79"/>
      <c r="T25" s="79"/>
      <c r="W25" s="130"/>
      <c r="Y25" s="106"/>
    </row>
    <row r="26">
      <c r="A26" s="13" t="s">
        <v>26</v>
      </c>
      <c r="B26" s="15">
        <f>B22/B25</f>
        <v>0.2499230846</v>
      </c>
      <c r="C26" s="79"/>
      <c r="D26" s="79"/>
      <c r="J26" s="151"/>
      <c r="O26" s="79"/>
      <c r="P26" s="79"/>
      <c r="S26" s="79"/>
      <c r="T26" s="79"/>
      <c r="W26" s="130"/>
      <c r="Y26" s="106"/>
    </row>
    <row r="27">
      <c r="C27" s="79"/>
      <c r="D27" s="79"/>
      <c r="J27" s="151"/>
      <c r="O27" s="79"/>
      <c r="P27" s="79"/>
      <c r="S27" s="79"/>
      <c r="T27" s="79"/>
      <c r="W27" s="130"/>
      <c r="Y27" s="106"/>
    </row>
    <row r="28">
      <c r="C28" s="79"/>
      <c r="D28" s="79"/>
      <c r="J28" s="79"/>
      <c r="O28" s="79"/>
      <c r="P28" s="79"/>
      <c r="S28" s="79"/>
      <c r="T28" s="79"/>
      <c r="W28" s="130"/>
      <c r="Y28" s="106"/>
    </row>
    <row r="29">
      <c r="A29" s="16" t="s">
        <v>27</v>
      </c>
      <c r="B29" s="17"/>
      <c r="C29" s="114"/>
      <c r="D29" s="115"/>
      <c r="H29" s="84"/>
      <c r="I29" s="84"/>
      <c r="J29" s="84"/>
      <c r="O29" s="79"/>
      <c r="P29" s="79"/>
      <c r="S29" s="79"/>
      <c r="T29" s="79"/>
      <c r="W29" s="130"/>
      <c r="Y29" s="106"/>
    </row>
    <row r="30">
      <c r="A30" s="19" t="s">
        <v>28</v>
      </c>
      <c r="B30" s="20"/>
      <c r="C30" s="116"/>
      <c r="D30" s="117"/>
      <c r="H30" s="85"/>
      <c r="I30" s="85"/>
      <c r="J30" s="118"/>
      <c r="O30" s="79"/>
      <c r="P30" s="79"/>
      <c r="S30" s="79"/>
      <c r="T30" s="79"/>
      <c r="W30" s="130"/>
      <c r="Y30" s="106"/>
    </row>
    <row r="31">
      <c r="A31" s="22" t="s">
        <v>29</v>
      </c>
      <c r="B31" s="23" t="s">
        <v>30</v>
      </c>
      <c r="C31" s="119" t="s">
        <v>170</v>
      </c>
      <c r="D31" s="120" t="s">
        <v>171</v>
      </c>
      <c r="H31" s="86"/>
      <c r="I31" s="85"/>
      <c r="J31" s="118"/>
      <c r="O31" s="79"/>
      <c r="P31" s="79"/>
      <c r="S31" s="79"/>
      <c r="T31" s="79"/>
      <c r="W31" s="130"/>
      <c r="Y31" s="106"/>
    </row>
    <row r="32">
      <c r="A32" s="71" t="s">
        <v>108</v>
      </c>
      <c r="B32" s="72">
        <v>1204.53</v>
      </c>
      <c r="C32" s="71"/>
      <c r="D32" s="124" t="s">
        <v>201</v>
      </c>
      <c r="H32" s="88"/>
      <c r="I32" s="85"/>
      <c r="J32" s="123"/>
      <c r="O32" s="79"/>
      <c r="P32" s="79"/>
      <c r="S32" s="79"/>
      <c r="T32" s="79"/>
      <c r="W32" s="130"/>
      <c r="Y32" s="106"/>
    </row>
    <row r="33">
      <c r="A33" s="28" t="s">
        <v>185</v>
      </c>
      <c r="B33" s="41">
        <v>417.12</v>
      </c>
      <c r="C33" s="121"/>
      <c r="D33" s="124" t="s">
        <v>201</v>
      </c>
      <c r="J33" s="79"/>
      <c r="O33" s="79"/>
      <c r="P33" s="79"/>
      <c r="S33" s="79"/>
      <c r="T33" s="79"/>
      <c r="W33" s="132"/>
      <c r="Y33" s="106"/>
    </row>
    <row r="34">
      <c r="A34" s="32" t="s">
        <v>111</v>
      </c>
      <c r="B34" s="38">
        <v>345.0</v>
      </c>
      <c r="C34" s="121"/>
      <c r="D34" s="124" t="s">
        <v>201</v>
      </c>
      <c r="I34" s="89"/>
      <c r="J34" s="125"/>
      <c r="O34" s="79"/>
      <c r="P34" s="79"/>
      <c r="S34" s="79"/>
      <c r="T34" s="79"/>
      <c r="W34" s="130"/>
      <c r="Y34" s="106"/>
    </row>
    <row r="35">
      <c r="C35" s="79"/>
      <c r="D35" s="79"/>
      <c r="J35" s="79"/>
      <c r="O35" s="79"/>
      <c r="P35" s="79"/>
      <c r="S35" s="79"/>
      <c r="T35" s="79"/>
      <c r="W35" s="130"/>
      <c r="Y35" s="106"/>
    </row>
    <row r="36">
      <c r="C36" s="79"/>
      <c r="D36" s="79"/>
      <c r="J36" s="79"/>
      <c r="O36" s="79"/>
      <c r="P36" s="79"/>
      <c r="S36" s="79"/>
      <c r="T36" s="79"/>
      <c r="W36" s="130"/>
      <c r="Y36" s="106"/>
    </row>
    <row r="37">
      <c r="C37" s="79"/>
      <c r="D37" s="79"/>
      <c r="J37" s="79"/>
      <c r="O37" s="79"/>
      <c r="P37" s="79"/>
      <c r="S37" s="79"/>
      <c r="T37" s="79"/>
      <c r="W37" s="130"/>
      <c r="Y37" s="106"/>
    </row>
    <row r="38">
      <c r="C38" s="79"/>
      <c r="D38" s="79"/>
      <c r="J38" s="79"/>
      <c r="O38" s="79"/>
      <c r="P38" s="79"/>
      <c r="S38" s="79"/>
      <c r="T38" s="79"/>
      <c r="W38" s="130"/>
      <c r="Y38" s="106"/>
    </row>
    <row r="39">
      <c r="C39" s="79"/>
      <c r="D39" s="79"/>
      <c r="J39" s="79"/>
      <c r="O39" s="79"/>
      <c r="P39" s="79"/>
      <c r="S39" s="79"/>
      <c r="T39" s="79"/>
      <c r="W39" s="130"/>
      <c r="Y39" s="106"/>
    </row>
    <row r="40">
      <c r="C40" s="79"/>
      <c r="D40" s="79"/>
      <c r="J40" s="79"/>
      <c r="O40" s="79"/>
      <c r="P40" s="79"/>
      <c r="S40" s="79"/>
      <c r="T40" s="79"/>
      <c r="W40" s="130"/>
      <c r="Y40" s="106"/>
    </row>
    <row r="41">
      <c r="C41" s="79"/>
      <c r="D41" s="79"/>
      <c r="J41" s="79"/>
      <c r="O41" s="79"/>
      <c r="P41" s="79"/>
      <c r="S41" s="79"/>
      <c r="T41" s="79"/>
      <c r="W41" s="130"/>
      <c r="Y41" s="106"/>
    </row>
    <row r="42">
      <c r="C42" s="79"/>
      <c r="D42" s="79"/>
      <c r="J42" s="79"/>
      <c r="O42" s="79"/>
      <c r="P42" s="79"/>
      <c r="S42" s="79"/>
      <c r="T42" s="79"/>
      <c r="W42" s="130"/>
      <c r="Y42" s="106"/>
    </row>
    <row r="43">
      <c r="C43" s="79"/>
      <c r="D43" s="79"/>
      <c r="J43" s="79"/>
      <c r="O43" s="79"/>
      <c r="P43" s="79"/>
      <c r="S43" s="79"/>
      <c r="T43" s="79"/>
      <c r="W43" s="130"/>
      <c r="Y43" s="106"/>
    </row>
    <row r="44">
      <c r="C44" s="79"/>
      <c r="D44" s="79"/>
      <c r="J44" s="79"/>
      <c r="O44" s="79"/>
      <c r="P44" s="79"/>
      <c r="S44" s="79"/>
      <c r="T44" s="79"/>
      <c r="W44" s="130"/>
      <c r="Y44" s="106"/>
    </row>
    <row r="45">
      <c r="C45" s="79"/>
      <c r="D45" s="79"/>
      <c r="J45" s="79"/>
      <c r="O45" s="79"/>
      <c r="P45" s="79"/>
      <c r="S45" s="79"/>
      <c r="T45" s="79"/>
      <c r="W45" s="130"/>
      <c r="Y45" s="106"/>
    </row>
    <row r="46">
      <c r="C46" s="79"/>
      <c r="D46" s="79"/>
      <c r="J46" s="79"/>
      <c r="O46" s="79"/>
      <c r="P46" s="79"/>
      <c r="S46" s="79"/>
      <c r="T46" s="79"/>
      <c r="W46" s="130"/>
      <c r="Y46" s="106"/>
    </row>
    <row r="47">
      <c r="C47" s="79"/>
      <c r="D47" s="79"/>
      <c r="J47" s="79"/>
      <c r="O47" s="79"/>
      <c r="P47" s="79"/>
      <c r="S47" s="79"/>
      <c r="T47" s="79"/>
      <c r="W47" s="130"/>
      <c r="Y47" s="106"/>
    </row>
    <row r="48">
      <c r="C48" s="79"/>
      <c r="D48" s="79"/>
      <c r="J48" s="79"/>
      <c r="O48" s="79"/>
      <c r="P48" s="79"/>
      <c r="S48" s="79"/>
      <c r="T48" s="79"/>
      <c r="W48" s="130"/>
      <c r="Y48" s="106"/>
    </row>
    <row r="49">
      <c r="C49" s="79"/>
      <c r="D49" s="79"/>
      <c r="J49" s="79"/>
      <c r="O49" s="79"/>
      <c r="P49" s="79"/>
      <c r="S49" s="79"/>
      <c r="T49" s="79"/>
      <c r="W49" s="130"/>
      <c r="Y49" s="106"/>
    </row>
    <row r="50">
      <c r="C50" s="79"/>
      <c r="D50" s="79"/>
      <c r="J50" s="79"/>
      <c r="O50" s="79"/>
      <c r="P50" s="79"/>
      <c r="S50" s="79"/>
      <c r="T50" s="79"/>
      <c r="W50" s="130"/>
      <c r="Y50" s="106"/>
    </row>
    <row r="51">
      <c r="C51" s="79"/>
      <c r="D51" s="79"/>
      <c r="J51" s="79"/>
      <c r="O51" s="79"/>
      <c r="P51" s="79"/>
      <c r="S51" s="79"/>
      <c r="T51" s="79"/>
      <c r="W51" s="130"/>
      <c r="Y51" s="106"/>
    </row>
    <row r="52">
      <c r="C52" s="79"/>
      <c r="D52" s="79"/>
      <c r="J52" s="79"/>
      <c r="O52" s="79"/>
      <c r="P52" s="79"/>
      <c r="S52" s="79"/>
      <c r="T52" s="79"/>
      <c r="W52" s="130"/>
      <c r="Y52" s="106"/>
    </row>
    <row r="53">
      <c r="C53" s="79"/>
      <c r="D53" s="79"/>
      <c r="J53" s="79"/>
      <c r="O53" s="79"/>
      <c r="P53" s="79"/>
      <c r="S53" s="79"/>
      <c r="T53" s="79"/>
      <c r="W53" s="130"/>
      <c r="Y53" s="106"/>
    </row>
    <row r="54">
      <c r="C54" s="79"/>
      <c r="D54" s="79"/>
      <c r="J54" s="79"/>
      <c r="O54" s="79"/>
      <c r="P54" s="79"/>
      <c r="S54" s="79"/>
      <c r="T54" s="79"/>
      <c r="W54" s="130"/>
      <c r="Y54" s="106"/>
    </row>
    <row r="55">
      <c r="C55" s="79"/>
      <c r="D55" s="79"/>
      <c r="J55" s="79"/>
      <c r="O55" s="79"/>
      <c r="P55" s="79"/>
      <c r="S55" s="79"/>
      <c r="T55" s="79"/>
      <c r="W55" s="130"/>
      <c r="Y55" s="106"/>
    </row>
    <row r="56">
      <c r="C56" s="79"/>
      <c r="D56" s="79"/>
      <c r="J56" s="79"/>
      <c r="O56" s="79"/>
      <c r="P56" s="79"/>
      <c r="S56" s="79"/>
      <c r="T56" s="79"/>
      <c r="W56" s="130"/>
      <c r="Y56" s="106"/>
    </row>
    <row r="57">
      <c r="C57" s="79"/>
      <c r="D57" s="79"/>
      <c r="J57" s="79"/>
      <c r="O57" s="79"/>
      <c r="P57" s="79"/>
      <c r="S57" s="79"/>
      <c r="T57" s="79"/>
      <c r="W57" s="130"/>
      <c r="Y57" s="106"/>
    </row>
    <row r="58">
      <c r="C58" s="79"/>
      <c r="D58" s="79"/>
      <c r="J58" s="79"/>
      <c r="O58" s="79"/>
      <c r="P58" s="79"/>
      <c r="S58" s="79"/>
      <c r="T58" s="79"/>
      <c r="W58" s="130"/>
      <c r="Y58" s="106"/>
    </row>
    <row r="59">
      <c r="C59" s="79"/>
      <c r="D59" s="79"/>
      <c r="J59" s="79"/>
      <c r="O59" s="79"/>
      <c r="P59" s="79"/>
      <c r="S59" s="79"/>
      <c r="T59" s="79"/>
      <c r="W59" s="130"/>
      <c r="Y59" s="106"/>
    </row>
    <row r="60">
      <c r="C60" s="79"/>
      <c r="D60" s="79"/>
      <c r="J60" s="79"/>
      <c r="O60" s="79"/>
      <c r="P60" s="79"/>
      <c r="S60" s="79"/>
      <c r="T60" s="79"/>
      <c r="W60" s="130"/>
      <c r="Y60" s="106"/>
    </row>
    <row r="61">
      <c r="C61" s="79"/>
      <c r="D61" s="79"/>
      <c r="J61" s="79"/>
      <c r="O61" s="79"/>
      <c r="P61" s="79"/>
      <c r="S61" s="79"/>
      <c r="T61" s="79"/>
      <c r="W61" s="130"/>
      <c r="Y61" s="106"/>
    </row>
    <row r="62">
      <c r="C62" s="79"/>
      <c r="D62" s="79"/>
      <c r="J62" s="79"/>
      <c r="O62" s="79"/>
      <c r="P62" s="79"/>
      <c r="S62" s="79"/>
      <c r="T62" s="79"/>
      <c r="W62" s="130"/>
      <c r="Y62" s="106"/>
    </row>
    <row r="63">
      <c r="C63" s="79"/>
      <c r="D63" s="79"/>
      <c r="J63" s="79"/>
      <c r="O63" s="79"/>
      <c r="P63" s="79"/>
      <c r="S63" s="79"/>
      <c r="T63" s="79"/>
      <c r="W63" s="130"/>
      <c r="Y63" s="106"/>
    </row>
    <row r="64">
      <c r="C64" s="79"/>
      <c r="D64" s="79"/>
      <c r="J64" s="79"/>
      <c r="O64" s="79"/>
      <c r="P64" s="79"/>
      <c r="S64" s="79"/>
      <c r="T64" s="79"/>
      <c r="W64" s="130"/>
      <c r="Y64" s="106"/>
    </row>
    <row r="65">
      <c r="C65" s="79"/>
      <c r="D65" s="79"/>
      <c r="J65" s="79"/>
      <c r="O65" s="79"/>
      <c r="P65" s="79"/>
      <c r="S65" s="79"/>
      <c r="T65" s="79"/>
      <c r="W65" s="130"/>
      <c r="Y65" s="106"/>
    </row>
    <row r="66">
      <c r="C66" s="79"/>
      <c r="D66" s="79"/>
      <c r="J66" s="79"/>
      <c r="O66" s="79"/>
      <c r="P66" s="79"/>
      <c r="S66" s="79"/>
      <c r="T66" s="79"/>
      <c r="W66" s="130"/>
      <c r="Y66" s="106"/>
    </row>
    <row r="67">
      <c r="C67" s="79"/>
      <c r="D67" s="79"/>
      <c r="J67" s="79"/>
      <c r="O67" s="79"/>
      <c r="P67" s="79"/>
      <c r="S67" s="79"/>
      <c r="T67" s="79"/>
      <c r="W67" s="130"/>
      <c r="Y67" s="106"/>
    </row>
    <row r="68">
      <c r="C68" s="79"/>
      <c r="D68" s="79"/>
      <c r="J68" s="79"/>
      <c r="O68" s="79"/>
      <c r="P68" s="79"/>
      <c r="S68" s="79"/>
      <c r="T68" s="79"/>
      <c r="W68" s="130"/>
      <c r="Y68" s="106"/>
    </row>
    <row r="69">
      <c r="C69" s="79"/>
      <c r="D69" s="79"/>
      <c r="J69" s="79"/>
      <c r="O69" s="79"/>
      <c r="P69" s="79"/>
      <c r="S69" s="79"/>
      <c r="T69" s="79"/>
      <c r="W69" s="130"/>
      <c r="Y69" s="106"/>
    </row>
    <row r="70">
      <c r="C70" s="79"/>
      <c r="D70" s="79"/>
      <c r="J70" s="79"/>
      <c r="O70" s="79"/>
      <c r="P70" s="79"/>
      <c r="S70" s="79"/>
      <c r="T70" s="79"/>
      <c r="W70" s="130"/>
      <c r="Y70" s="106"/>
    </row>
    <row r="71">
      <c r="C71" s="79"/>
      <c r="D71" s="79"/>
      <c r="J71" s="79"/>
      <c r="O71" s="79"/>
      <c r="P71" s="79"/>
      <c r="S71" s="79"/>
      <c r="T71" s="79"/>
      <c r="W71" s="130"/>
      <c r="Y71" s="106"/>
    </row>
    <row r="72">
      <c r="C72" s="79"/>
      <c r="D72" s="79"/>
      <c r="J72" s="79"/>
      <c r="O72" s="79"/>
      <c r="P72" s="79"/>
      <c r="S72" s="79"/>
      <c r="T72" s="79"/>
      <c r="W72" s="130"/>
      <c r="Y72" s="106"/>
    </row>
    <row r="73">
      <c r="C73" s="79"/>
      <c r="D73" s="79"/>
      <c r="J73" s="79"/>
      <c r="O73" s="79"/>
      <c r="P73" s="79"/>
      <c r="S73" s="79"/>
      <c r="T73" s="79"/>
      <c r="W73" s="130"/>
      <c r="Y73" s="106"/>
    </row>
    <row r="74">
      <c r="C74" s="79"/>
      <c r="D74" s="79"/>
      <c r="J74" s="79"/>
      <c r="O74" s="79"/>
      <c r="P74" s="79"/>
      <c r="S74" s="79"/>
      <c r="T74" s="79"/>
      <c r="W74" s="130"/>
      <c r="Y74" s="106"/>
    </row>
    <row r="75">
      <c r="C75" s="79"/>
      <c r="D75" s="79"/>
      <c r="J75" s="79"/>
      <c r="O75" s="79"/>
      <c r="P75" s="79"/>
      <c r="S75" s="79"/>
      <c r="T75" s="79"/>
      <c r="W75" s="130"/>
      <c r="Y75" s="106"/>
    </row>
    <row r="76">
      <c r="C76" s="79"/>
      <c r="D76" s="79"/>
      <c r="J76" s="79"/>
      <c r="O76" s="79"/>
      <c r="P76" s="79"/>
      <c r="S76" s="79"/>
      <c r="T76" s="79"/>
      <c r="W76" s="130"/>
      <c r="Y76" s="106"/>
    </row>
    <row r="77">
      <c r="C77" s="79"/>
      <c r="D77" s="79"/>
      <c r="J77" s="79"/>
      <c r="O77" s="79"/>
      <c r="P77" s="79"/>
      <c r="S77" s="79"/>
      <c r="T77" s="79"/>
      <c r="W77" s="130"/>
      <c r="Y77" s="106"/>
    </row>
    <row r="78">
      <c r="C78" s="79"/>
      <c r="D78" s="79"/>
      <c r="J78" s="79"/>
      <c r="O78" s="79"/>
      <c r="P78" s="79"/>
      <c r="S78" s="79"/>
      <c r="T78" s="79"/>
      <c r="W78" s="130"/>
      <c r="Y78" s="106"/>
    </row>
    <row r="79">
      <c r="C79" s="79"/>
      <c r="D79" s="79"/>
      <c r="J79" s="79"/>
      <c r="O79" s="79"/>
      <c r="P79" s="79"/>
      <c r="S79" s="79"/>
      <c r="T79" s="79"/>
      <c r="W79" s="130"/>
      <c r="Y79" s="106"/>
    </row>
    <row r="80">
      <c r="C80" s="79"/>
      <c r="D80" s="79"/>
      <c r="J80" s="79"/>
      <c r="O80" s="79"/>
      <c r="P80" s="79"/>
      <c r="S80" s="79"/>
      <c r="T80" s="79"/>
      <c r="W80" s="130"/>
      <c r="Y80" s="106"/>
    </row>
    <row r="81">
      <c r="C81" s="79"/>
      <c r="D81" s="79"/>
      <c r="J81" s="79"/>
      <c r="O81" s="79"/>
      <c r="P81" s="79"/>
      <c r="S81" s="79"/>
      <c r="T81" s="79"/>
      <c r="W81" s="130"/>
      <c r="Y81" s="106"/>
    </row>
    <row r="82">
      <c r="C82" s="79"/>
      <c r="D82" s="79"/>
      <c r="J82" s="79"/>
      <c r="O82" s="79"/>
      <c r="P82" s="79"/>
      <c r="S82" s="79"/>
      <c r="T82" s="79"/>
      <c r="W82" s="130"/>
      <c r="Y82" s="106"/>
    </row>
    <row r="83">
      <c r="C83" s="79"/>
      <c r="D83" s="79"/>
      <c r="J83" s="79"/>
      <c r="O83" s="79"/>
      <c r="P83" s="79"/>
      <c r="S83" s="79"/>
      <c r="T83" s="79"/>
      <c r="W83" s="130"/>
      <c r="Y83" s="106"/>
    </row>
    <row r="84">
      <c r="C84" s="79"/>
      <c r="D84" s="79"/>
      <c r="J84" s="79"/>
      <c r="O84" s="79"/>
      <c r="P84" s="79"/>
      <c r="S84" s="79"/>
      <c r="T84" s="79"/>
      <c r="W84" s="130"/>
      <c r="Y84" s="106"/>
    </row>
    <row r="85">
      <c r="C85" s="79"/>
      <c r="D85" s="79"/>
      <c r="J85" s="79"/>
      <c r="O85" s="79"/>
      <c r="P85" s="79"/>
      <c r="S85" s="79"/>
      <c r="T85" s="79"/>
      <c r="W85" s="130"/>
      <c r="Y85" s="106"/>
    </row>
    <row r="86">
      <c r="C86" s="79"/>
      <c r="D86" s="79"/>
      <c r="J86" s="79"/>
      <c r="O86" s="79"/>
      <c r="P86" s="79"/>
      <c r="S86" s="79"/>
      <c r="T86" s="79"/>
      <c r="W86" s="130"/>
      <c r="Y86" s="106"/>
    </row>
    <row r="87">
      <c r="C87" s="79"/>
      <c r="D87" s="79"/>
      <c r="J87" s="79"/>
      <c r="O87" s="79"/>
      <c r="P87" s="79"/>
      <c r="S87" s="79"/>
      <c r="T87" s="79"/>
      <c r="W87" s="130"/>
      <c r="Y87" s="106"/>
    </row>
    <row r="88">
      <c r="C88" s="79"/>
      <c r="D88" s="79"/>
      <c r="J88" s="79"/>
      <c r="O88" s="79"/>
      <c r="P88" s="79"/>
      <c r="S88" s="79"/>
      <c r="T88" s="79"/>
      <c r="W88" s="130"/>
      <c r="Y88" s="106"/>
    </row>
    <row r="89">
      <c r="C89" s="79"/>
      <c r="D89" s="79"/>
      <c r="J89" s="79"/>
      <c r="O89" s="79"/>
      <c r="P89" s="79"/>
      <c r="S89" s="79"/>
      <c r="T89" s="79"/>
      <c r="W89" s="130"/>
      <c r="Y89" s="106"/>
    </row>
    <row r="90">
      <c r="C90" s="79"/>
      <c r="D90" s="79"/>
      <c r="J90" s="79"/>
      <c r="O90" s="79"/>
      <c r="P90" s="79"/>
      <c r="S90" s="79"/>
      <c r="T90" s="79"/>
      <c r="W90" s="130"/>
      <c r="Y90" s="106"/>
    </row>
    <row r="91">
      <c r="C91" s="79"/>
      <c r="D91" s="79"/>
      <c r="J91" s="79"/>
      <c r="O91" s="79"/>
      <c r="P91" s="79"/>
      <c r="S91" s="79"/>
      <c r="T91" s="79"/>
      <c r="W91" s="130"/>
      <c r="Y91" s="106"/>
    </row>
    <row r="92">
      <c r="C92" s="79"/>
      <c r="D92" s="79"/>
      <c r="J92" s="79"/>
      <c r="O92" s="79"/>
      <c r="P92" s="79"/>
      <c r="S92" s="79"/>
      <c r="T92" s="79"/>
      <c r="W92" s="130"/>
      <c r="Y92" s="106"/>
    </row>
    <row r="93">
      <c r="C93" s="79"/>
      <c r="D93" s="79"/>
      <c r="J93" s="79"/>
      <c r="O93" s="79"/>
      <c r="P93" s="79"/>
      <c r="S93" s="79"/>
      <c r="T93" s="79"/>
      <c r="W93" s="130"/>
      <c r="Y93" s="106"/>
    </row>
    <row r="94">
      <c r="C94" s="79"/>
      <c r="D94" s="79"/>
      <c r="J94" s="79"/>
      <c r="O94" s="79"/>
      <c r="P94" s="79"/>
      <c r="S94" s="79"/>
      <c r="T94" s="79"/>
      <c r="W94" s="130"/>
      <c r="Y94" s="106"/>
    </row>
    <row r="95">
      <c r="C95" s="79"/>
      <c r="D95" s="79"/>
      <c r="J95" s="79"/>
      <c r="O95" s="79"/>
      <c r="P95" s="79"/>
      <c r="S95" s="79"/>
      <c r="T95" s="79"/>
      <c r="W95" s="130"/>
      <c r="Y95" s="106"/>
    </row>
    <row r="96">
      <c r="C96" s="79"/>
      <c r="D96" s="79"/>
      <c r="J96" s="79"/>
      <c r="O96" s="79"/>
      <c r="P96" s="79"/>
      <c r="S96" s="79"/>
      <c r="T96" s="79"/>
      <c r="W96" s="130"/>
      <c r="Y96" s="106"/>
    </row>
    <row r="97">
      <c r="C97" s="79"/>
      <c r="D97" s="79"/>
      <c r="J97" s="79"/>
      <c r="O97" s="79"/>
      <c r="P97" s="79"/>
      <c r="S97" s="79"/>
      <c r="T97" s="79"/>
      <c r="W97" s="130"/>
      <c r="Y97" s="106"/>
    </row>
    <row r="98">
      <c r="C98" s="79"/>
      <c r="D98" s="79"/>
      <c r="J98" s="79"/>
      <c r="O98" s="79"/>
      <c r="P98" s="79"/>
      <c r="S98" s="79"/>
      <c r="T98" s="79"/>
      <c r="W98" s="130"/>
      <c r="Y98" s="106"/>
    </row>
    <row r="99">
      <c r="C99" s="79"/>
      <c r="D99" s="79"/>
      <c r="J99" s="79"/>
      <c r="O99" s="79"/>
      <c r="P99" s="79"/>
      <c r="S99" s="79"/>
      <c r="T99" s="79"/>
      <c r="W99" s="130"/>
      <c r="Y99" s="106"/>
    </row>
    <row r="100">
      <c r="C100" s="79"/>
      <c r="D100" s="79"/>
      <c r="J100" s="79"/>
      <c r="O100" s="79"/>
      <c r="P100" s="79"/>
      <c r="S100" s="79"/>
      <c r="T100" s="79"/>
      <c r="W100" s="130"/>
      <c r="Y100" s="106"/>
    </row>
    <row r="101">
      <c r="C101" s="79"/>
      <c r="D101" s="79"/>
      <c r="J101" s="79"/>
      <c r="O101" s="79"/>
      <c r="P101" s="79"/>
      <c r="S101" s="79"/>
      <c r="T101" s="79"/>
      <c r="W101" s="130"/>
      <c r="Y101" s="106"/>
    </row>
    <row r="102">
      <c r="C102" s="79"/>
      <c r="D102" s="79"/>
      <c r="J102" s="79"/>
      <c r="O102" s="79"/>
      <c r="P102" s="79"/>
      <c r="S102" s="79"/>
      <c r="T102" s="79"/>
      <c r="W102" s="130"/>
      <c r="Y102" s="106"/>
    </row>
    <row r="103">
      <c r="C103" s="79"/>
      <c r="D103" s="79"/>
      <c r="J103" s="79"/>
      <c r="O103" s="79"/>
      <c r="P103" s="79"/>
      <c r="S103" s="79"/>
      <c r="T103" s="79"/>
      <c r="W103" s="130"/>
      <c r="Y103" s="106"/>
    </row>
    <row r="104">
      <c r="C104" s="79"/>
      <c r="D104" s="79"/>
      <c r="J104" s="79"/>
      <c r="O104" s="79"/>
      <c r="P104" s="79"/>
      <c r="S104" s="79"/>
      <c r="T104" s="79"/>
      <c r="W104" s="130"/>
      <c r="Y104" s="106"/>
    </row>
    <row r="105">
      <c r="C105" s="79"/>
      <c r="D105" s="79"/>
      <c r="J105" s="79"/>
      <c r="O105" s="79"/>
      <c r="P105" s="79"/>
      <c r="S105" s="79"/>
      <c r="T105" s="79"/>
      <c r="W105" s="130"/>
      <c r="Y105" s="106"/>
    </row>
    <row r="106">
      <c r="C106" s="79"/>
      <c r="D106" s="79"/>
      <c r="J106" s="79"/>
      <c r="O106" s="79"/>
      <c r="P106" s="79"/>
      <c r="S106" s="79"/>
      <c r="T106" s="79"/>
      <c r="W106" s="130"/>
      <c r="Y106" s="106"/>
    </row>
    <row r="107">
      <c r="C107" s="79"/>
      <c r="D107" s="79"/>
      <c r="J107" s="79"/>
      <c r="O107" s="79"/>
      <c r="P107" s="79"/>
      <c r="S107" s="79"/>
      <c r="T107" s="79"/>
      <c r="W107" s="130"/>
      <c r="Y107" s="106"/>
    </row>
    <row r="108">
      <c r="C108" s="79"/>
      <c r="D108" s="79"/>
      <c r="J108" s="79"/>
      <c r="O108" s="79"/>
      <c r="P108" s="79"/>
      <c r="S108" s="79"/>
      <c r="T108" s="79"/>
      <c r="W108" s="130"/>
      <c r="Y108" s="106"/>
    </row>
    <row r="109">
      <c r="C109" s="79"/>
      <c r="D109" s="79"/>
      <c r="J109" s="79"/>
      <c r="O109" s="79"/>
      <c r="P109" s="79"/>
      <c r="S109" s="79"/>
      <c r="T109" s="79"/>
      <c r="W109" s="130"/>
      <c r="Y109" s="106"/>
    </row>
    <row r="110">
      <c r="C110" s="79"/>
      <c r="D110" s="79"/>
      <c r="J110" s="79"/>
      <c r="O110" s="79"/>
      <c r="P110" s="79"/>
      <c r="S110" s="79"/>
      <c r="T110" s="79"/>
      <c r="W110" s="130"/>
      <c r="Y110" s="106"/>
    </row>
    <row r="111">
      <c r="C111" s="79"/>
      <c r="D111" s="79"/>
      <c r="J111" s="79"/>
      <c r="O111" s="79"/>
      <c r="P111" s="79"/>
      <c r="S111" s="79"/>
      <c r="T111" s="79"/>
      <c r="W111" s="130"/>
      <c r="Y111" s="106"/>
    </row>
    <row r="112">
      <c r="C112" s="79"/>
      <c r="D112" s="79"/>
      <c r="J112" s="79"/>
      <c r="O112" s="79"/>
      <c r="P112" s="79"/>
      <c r="S112" s="79"/>
      <c r="T112" s="79"/>
      <c r="W112" s="130"/>
      <c r="Y112" s="106"/>
    </row>
    <row r="113">
      <c r="C113" s="79"/>
      <c r="D113" s="79"/>
      <c r="J113" s="79"/>
      <c r="O113" s="79"/>
      <c r="P113" s="79"/>
      <c r="S113" s="79"/>
      <c r="T113" s="79"/>
      <c r="W113" s="130"/>
      <c r="Y113" s="106"/>
    </row>
    <row r="114">
      <c r="C114" s="79"/>
      <c r="D114" s="79"/>
      <c r="J114" s="79"/>
      <c r="O114" s="79"/>
      <c r="P114" s="79"/>
      <c r="S114" s="79"/>
      <c r="T114" s="79"/>
      <c r="W114" s="130"/>
      <c r="Y114" s="106"/>
    </row>
    <row r="115">
      <c r="C115" s="79"/>
      <c r="D115" s="79"/>
      <c r="J115" s="79"/>
      <c r="O115" s="79"/>
      <c r="P115" s="79"/>
      <c r="S115" s="79"/>
      <c r="T115" s="79"/>
      <c r="W115" s="130"/>
      <c r="Y115" s="106"/>
    </row>
    <row r="116">
      <c r="C116" s="79"/>
      <c r="D116" s="79"/>
      <c r="J116" s="79"/>
      <c r="O116" s="79"/>
      <c r="P116" s="79"/>
      <c r="S116" s="79"/>
      <c r="T116" s="79"/>
      <c r="W116" s="130"/>
      <c r="Y116" s="106"/>
    </row>
    <row r="117">
      <c r="C117" s="79"/>
      <c r="D117" s="79"/>
      <c r="J117" s="79"/>
      <c r="O117" s="79"/>
      <c r="P117" s="79"/>
      <c r="S117" s="79"/>
      <c r="T117" s="79"/>
      <c r="W117" s="130"/>
      <c r="Y117" s="106"/>
    </row>
    <row r="118">
      <c r="C118" s="79"/>
      <c r="D118" s="79"/>
      <c r="J118" s="79"/>
      <c r="O118" s="79"/>
      <c r="P118" s="79"/>
      <c r="S118" s="79"/>
      <c r="T118" s="79"/>
      <c r="W118" s="130"/>
      <c r="Y118" s="106"/>
    </row>
    <row r="119">
      <c r="C119" s="79"/>
      <c r="D119" s="79"/>
      <c r="J119" s="79"/>
      <c r="O119" s="79"/>
      <c r="P119" s="79"/>
      <c r="S119" s="79"/>
      <c r="T119" s="79"/>
      <c r="W119" s="130"/>
      <c r="Y119" s="106"/>
    </row>
    <row r="120">
      <c r="C120" s="79"/>
      <c r="D120" s="79"/>
      <c r="J120" s="79"/>
      <c r="O120" s="79"/>
      <c r="P120" s="79"/>
      <c r="S120" s="79"/>
      <c r="T120" s="79"/>
      <c r="W120" s="130"/>
      <c r="Y120" s="106"/>
    </row>
    <row r="121">
      <c r="C121" s="79"/>
      <c r="D121" s="79"/>
      <c r="J121" s="79"/>
      <c r="O121" s="79"/>
      <c r="P121" s="79"/>
      <c r="S121" s="79"/>
      <c r="T121" s="79"/>
      <c r="W121" s="130"/>
      <c r="Y121" s="106"/>
    </row>
    <row r="122">
      <c r="C122" s="79"/>
      <c r="D122" s="79"/>
      <c r="J122" s="79"/>
      <c r="O122" s="79"/>
      <c r="P122" s="79"/>
      <c r="S122" s="79"/>
      <c r="T122" s="79"/>
      <c r="W122" s="130"/>
      <c r="Y122" s="106"/>
    </row>
    <row r="123">
      <c r="C123" s="79"/>
      <c r="D123" s="79"/>
      <c r="J123" s="79"/>
      <c r="O123" s="79"/>
      <c r="P123" s="79"/>
      <c r="S123" s="79"/>
      <c r="T123" s="79"/>
      <c r="W123" s="130"/>
      <c r="Y123" s="106"/>
    </row>
    <row r="124">
      <c r="C124" s="79"/>
      <c r="D124" s="79"/>
      <c r="J124" s="79"/>
      <c r="O124" s="79"/>
      <c r="P124" s="79"/>
      <c r="S124" s="79"/>
      <c r="T124" s="79"/>
      <c r="W124" s="130"/>
      <c r="Y124" s="106"/>
    </row>
    <row r="125">
      <c r="C125" s="79"/>
      <c r="D125" s="79"/>
      <c r="J125" s="79"/>
      <c r="O125" s="79"/>
      <c r="P125" s="79"/>
      <c r="S125" s="79"/>
      <c r="T125" s="79"/>
      <c r="W125" s="130"/>
      <c r="Y125" s="106"/>
    </row>
    <row r="126">
      <c r="C126" s="79"/>
      <c r="D126" s="79"/>
      <c r="J126" s="79"/>
      <c r="O126" s="79"/>
      <c r="P126" s="79"/>
      <c r="S126" s="79"/>
      <c r="T126" s="79"/>
      <c r="W126" s="130"/>
      <c r="Y126" s="106"/>
    </row>
    <row r="127">
      <c r="C127" s="79"/>
      <c r="D127" s="79"/>
      <c r="J127" s="79"/>
      <c r="O127" s="79"/>
      <c r="P127" s="79"/>
      <c r="S127" s="79"/>
      <c r="T127" s="79"/>
      <c r="W127" s="130"/>
      <c r="Y127" s="106"/>
    </row>
    <row r="128">
      <c r="C128" s="79"/>
      <c r="D128" s="79"/>
      <c r="J128" s="79"/>
      <c r="O128" s="79"/>
      <c r="P128" s="79"/>
      <c r="S128" s="79"/>
      <c r="T128" s="79"/>
      <c r="W128" s="130"/>
      <c r="Y128" s="106"/>
    </row>
    <row r="129">
      <c r="C129" s="79"/>
      <c r="D129" s="79"/>
      <c r="J129" s="79"/>
      <c r="O129" s="79"/>
      <c r="P129" s="79"/>
      <c r="S129" s="79"/>
      <c r="T129" s="79"/>
      <c r="W129" s="130"/>
      <c r="Y129" s="106"/>
    </row>
    <row r="130">
      <c r="C130" s="79"/>
      <c r="D130" s="79"/>
      <c r="J130" s="79"/>
      <c r="O130" s="79"/>
      <c r="P130" s="79"/>
      <c r="S130" s="79"/>
      <c r="T130" s="79"/>
      <c r="W130" s="130"/>
      <c r="Y130" s="106"/>
    </row>
    <row r="131">
      <c r="C131" s="79"/>
      <c r="D131" s="79"/>
      <c r="J131" s="79"/>
      <c r="O131" s="79"/>
      <c r="P131" s="79"/>
      <c r="S131" s="79"/>
      <c r="T131" s="79"/>
      <c r="W131" s="130"/>
      <c r="Y131" s="106"/>
    </row>
    <row r="132">
      <c r="C132" s="79"/>
      <c r="D132" s="79"/>
      <c r="J132" s="79"/>
      <c r="O132" s="79"/>
      <c r="P132" s="79"/>
      <c r="S132" s="79"/>
      <c r="T132" s="79"/>
      <c r="W132" s="130"/>
      <c r="Y132" s="106"/>
    </row>
    <row r="133">
      <c r="C133" s="79"/>
      <c r="D133" s="79"/>
      <c r="J133" s="79"/>
      <c r="O133" s="79"/>
      <c r="P133" s="79"/>
      <c r="S133" s="79"/>
      <c r="T133" s="79"/>
      <c r="W133" s="130"/>
      <c r="Y133" s="106"/>
    </row>
    <row r="134">
      <c r="C134" s="79"/>
      <c r="D134" s="79"/>
      <c r="J134" s="79"/>
      <c r="O134" s="79"/>
      <c r="P134" s="79"/>
      <c r="S134" s="79"/>
      <c r="T134" s="79"/>
      <c r="W134" s="130"/>
      <c r="Y134" s="106"/>
    </row>
    <row r="135">
      <c r="C135" s="79"/>
      <c r="D135" s="79"/>
      <c r="J135" s="79"/>
      <c r="O135" s="79"/>
      <c r="P135" s="79"/>
      <c r="S135" s="79"/>
      <c r="T135" s="79"/>
      <c r="W135" s="130"/>
      <c r="Y135" s="106"/>
    </row>
    <row r="136">
      <c r="C136" s="79"/>
      <c r="D136" s="79"/>
      <c r="J136" s="79"/>
      <c r="O136" s="79"/>
      <c r="P136" s="79"/>
      <c r="S136" s="79"/>
      <c r="T136" s="79"/>
      <c r="W136" s="130"/>
      <c r="Y136" s="106"/>
    </row>
    <row r="137">
      <c r="C137" s="79"/>
      <c r="D137" s="79"/>
      <c r="J137" s="79"/>
      <c r="O137" s="79"/>
      <c r="P137" s="79"/>
      <c r="S137" s="79"/>
      <c r="T137" s="79"/>
      <c r="W137" s="130"/>
      <c r="Y137" s="106"/>
    </row>
    <row r="138">
      <c r="C138" s="79"/>
      <c r="D138" s="79"/>
      <c r="J138" s="79"/>
      <c r="O138" s="79"/>
      <c r="P138" s="79"/>
      <c r="S138" s="79"/>
      <c r="T138" s="79"/>
      <c r="W138" s="130"/>
      <c r="Y138" s="106"/>
    </row>
    <row r="139">
      <c r="C139" s="79"/>
      <c r="D139" s="79"/>
      <c r="J139" s="79"/>
      <c r="O139" s="79"/>
      <c r="P139" s="79"/>
      <c r="S139" s="79"/>
      <c r="T139" s="79"/>
      <c r="W139" s="130"/>
      <c r="Y139" s="106"/>
    </row>
    <row r="140">
      <c r="C140" s="79"/>
      <c r="D140" s="79"/>
      <c r="J140" s="79"/>
      <c r="O140" s="79"/>
      <c r="P140" s="79"/>
      <c r="S140" s="79"/>
      <c r="T140" s="79"/>
      <c r="W140" s="130"/>
      <c r="Y140" s="106"/>
    </row>
    <row r="141">
      <c r="C141" s="79"/>
      <c r="D141" s="79"/>
      <c r="J141" s="79"/>
      <c r="O141" s="79"/>
      <c r="P141" s="79"/>
      <c r="S141" s="79"/>
      <c r="T141" s="79"/>
      <c r="W141" s="130"/>
      <c r="Y141" s="106"/>
    </row>
    <row r="142">
      <c r="C142" s="79"/>
      <c r="D142" s="79"/>
      <c r="J142" s="79"/>
      <c r="O142" s="79"/>
      <c r="P142" s="79"/>
      <c r="S142" s="79"/>
      <c r="T142" s="79"/>
      <c r="W142" s="130"/>
      <c r="Y142" s="106"/>
    </row>
    <row r="143">
      <c r="C143" s="79"/>
      <c r="D143" s="79"/>
      <c r="J143" s="79"/>
      <c r="O143" s="79"/>
      <c r="P143" s="79"/>
      <c r="S143" s="79"/>
      <c r="T143" s="79"/>
      <c r="W143" s="130"/>
      <c r="Y143" s="106"/>
    </row>
    <row r="144">
      <c r="C144" s="79"/>
      <c r="D144" s="79"/>
      <c r="J144" s="79"/>
      <c r="O144" s="79"/>
      <c r="P144" s="79"/>
      <c r="S144" s="79"/>
      <c r="T144" s="79"/>
      <c r="W144" s="130"/>
      <c r="Y144" s="106"/>
    </row>
    <row r="145">
      <c r="C145" s="79"/>
      <c r="D145" s="79"/>
      <c r="J145" s="79"/>
      <c r="O145" s="79"/>
      <c r="P145" s="79"/>
      <c r="S145" s="79"/>
      <c r="T145" s="79"/>
      <c r="W145" s="130"/>
      <c r="Y145" s="106"/>
    </row>
    <row r="146">
      <c r="C146" s="79"/>
      <c r="D146" s="79"/>
      <c r="J146" s="79"/>
      <c r="O146" s="79"/>
      <c r="P146" s="79"/>
      <c r="S146" s="79"/>
      <c r="T146" s="79"/>
      <c r="W146" s="130"/>
      <c r="Y146" s="106"/>
    </row>
    <row r="147">
      <c r="C147" s="79"/>
      <c r="D147" s="79"/>
      <c r="J147" s="79"/>
      <c r="O147" s="79"/>
      <c r="P147" s="79"/>
      <c r="S147" s="79"/>
      <c r="T147" s="79"/>
      <c r="W147" s="130"/>
      <c r="Y147" s="106"/>
    </row>
    <row r="148">
      <c r="C148" s="79"/>
      <c r="D148" s="79"/>
      <c r="J148" s="79"/>
      <c r="O148" s="79"/>
      <c r="P148" s="79"/>
      <c r="S148" s="79"/>
      <c r="T148" s="79"/>
      <c r="W148" s="130"/>
      <c r="Y148" s="106"/>
    </row>
    <row r="149">
      <c r="C149" s="79"/>
      <c r="D149" s="79"/>
      <c r="J149" s="79"/>
      <c r="O149" s="79"/>
      <c r="P149" s="79"/>
      <c r="S149" s="79"/>
      <c r="T149" s="79"/>
      <c r="W149" s="130"/>
      <c r="Y149" s="106"/>
    </row>
    <row r="150">
      <c r="C150" s="79"/>
      <c r="D150" s="79"/>
      <c r="J150" s="79"/>
      <c r="O150" s="79"/>
      <c r="P150" s="79"/>
      <c r="S150" s="79"/>
      <c r="T150" s="79"/>
      <c r="W150" s="130"/>
      <c r="Y150" s="106"/>
    </row>
    <row r="151">
      <c r="C151" s="79"/>
      <c r="D151" s="79"/>
      <c r="J151" s="79"/>
      <c r="O151" s="79"/>
      <c r="P151" s="79"/>
      <c r="S151" s="79"/>
      <c r="T151" s="79"/>
      <c r="W151" s="130"/>
      <c r="Y151" s="106"/>
    </row>
    <row r="152">
      <c r="C152" s="79"/>
      <c r="D152" s="79"/>
      <c r="J152" s="79"/>
      <c r="O152" s="79"/>
      <c r="P152" s="79"/>
      <c r="S152" s="79"/>
      <c r="T152" s="79"/>
      <c r="W152" s="130"/>
      <c r="Y152" s="106"/>
    </row>
    <row r="153">
      <c r="C153" s="79"/>
      <c r="D153" s="79"/>
      <c r="J153" s="79"/>
      <c r="O153" s="79"/>
      <c r="P153" s="79"/>
      <c r="S153" s="79"/>
      <c r="T153" s="79"/>
      <c r="W153" s="130"/>
      <c r="Y153" s="106"/>
    </row>
    <row r="154">
      <c r="C154" s="79"/>
      <c r="D154" s="79"/>
      <c r="J154" s="79"/>
      <c r="O154" s="79"/>
      <c r="P154" s="79"/>
      <c r="S154" s="79"/>
      <c r="T154" s="79"/>
      <c r="W154" s="130"/>
      <c r="Y154" s="106"/>
    </row>
    <row r="155">
      <c r="C155" s="79"/>
      <c r="D155" s="79"/>
      <c r="J155" s="79"/>
      <c r="O155" s="79"/>
      <c r="P155" s="79"/>
      <c r="S155" s="79"/>
      <c r="T155" s="79"/>
      <c r="W155" s="130"/>
      <c r="Y155" s="106"/>
    </row>
    <row r="156">
      <c r="C156" s="79"/>
      <c r="D156" s="79"/>
      <c r="J156" s="79"/>
      <c r="O156" s="79"/>
      <c r="P156" s="79"/>
      <c r="S156" s="79"/>
      <c r="T156" s="79"/>
      <c r="W156" s="130"/>
      <c r="Y156" s="106"/>
    </row>
    <row r="157">
      <c r="C157" s="79"/>
      <c r="D157" s="79"/>
      <c r="J157" s="79"/>
      <c r="O157" s="79"/>
      <c r="P157" s="79"/>
      <c r="S157" s="79"/>
      <c r="T157" s="79"/>
      <c r="W157" s="130"/>
      <c r="Y157" s="106"/>
    </row>
    <row r="158">
      <c r="C158" s="79"/>
      <c r="D158" s="79"/>
      <c r="J158" s="79"/>
      <c r="O158" s="79"/>
      <c r="P158" s="79"/>
      <c r="S158" s="79"/>
      <c r="T158" s="79"/>
      <c r="W158" s="130"/>
      <c r="Y158" s="106"/>
    </row>
    <row r="159">
      <c r="C159" s="79"/>
      <c r="D159" s="79"/>
      <c r="J159" s="79"/>
      <c r="O159" s="79"/>
      <c r="P159" s="79"/>
      <c r="S159" s="79"/>
      <c r="T159" s="79"/>
      <c r="W159" s="130"/>
      <c r="Y159" s="106"/>
    </row>
    <row r="160">
      <c r="C160" s="79"/>
      <c r="D160" s="79"/>
      <c r="J160" s="79"/>
      <c r="O160" s="79"/>
      <c r="P160" s="79"/>
      <c r="S160" s="79"/>
      <c r="T160" s="79"/>
      <c r="W160" s="130"/>
      <c r="Y160" s="106"/>
    </row>
    <row r="161">
      <c r="C161" s="79"/>
      <c r="D161" s="79"/>
      <c r="J161" s="79"/>
      <c r="O161" s="79"/>
      <c r="P161" s="79"/>
      <c r="S161" s="79"/>
      <c r="T161" s="79"/>
      <c r="W161" s="130"/>
      <c r="Y161" s="106"/>
    </row>
    <row r="162">
      <c r="C162" s="79"/>
      <c r="D162" s="79"/>
      <c r="J162" s="79"/>
      <c r="O162" s="79"/>
      <c r="P162" s="79"/>
      <c r="S162" s="79"/>
      <c r="T162" s="79"/>
      <c r="W162" s="130"/>
      <c r="Y162" s="106"/>
    </row>
    <row r="163">
      <c r="C163" s="79"/>
      <c r="D163" s="79"/>
      <c r="J163" s="79"/>
      <c r="O163" s="79"/>
      <c r="P163" s="79"/>
      <c r="S163" s="79"/>
      <c r="T163" s="79"/>
      <c r="W163" s="130"/>
      <c r="Y163" s="106"/>
    </row>
    <row r="164">
      <c r="C164" s="79"/>
      <c r="D164" s="79"/>
      <c r="J164" s="79"/>
      <c r="O164" s="79"/>
      <c r="P164" s="79"/>
      <c r="S164" s="79"/>
      <c r="T164" s="79"/>
      <c r="W164" s="130"/>
      <c r="Y164" s="106"/>
    </row>
    <row r="165">
      <c r="C165" s="79"/>
      <c r="D165" s="79"/>
      <c r="J165" s="79"/>
      <c r="O165" s="79"/>
      <c r="P165" s="79"/>
      <c r="S165" s="79"/>
      <c r="T165" s="79"/>
      <c r="W165" s="130"/>
      <c r="Y165" s="106"/>
    </row>
    <row r="166">
      <c r="C166" s="79"/>
      <c r="D166" s="79"/>
      <c r="J166" s="79"/>
      <c r="O166" s="79"/>
      <c r="P166" s="79"/>
      <c r="S166" s="79"/>
      <c r="T166" s="79"/>
      <c r="W166" s="130"/>
      <c r="Y166" s="106"/>
    </row>
    <row r="167">
      <c r="C167" s="79"/>
      <c r="D167" s="79"/>
      <c r="J167" s="79"/>
      <c r="O167" s="79"/>
      <c r="P167" s="79"/>
      <c r="S167" s="79"/>
      <c r="T167" s="79"/>
      <c r="W167" s="130"/>
      <c r="Y167" s="106"/>
    </row>
    <row r="168">
      <c r="C168" s="79"/>
      <c r="D168" s="79"/>
      <c r="J168" s="79"/>
      <c r="O168" s="79"/>
      <c r="P168" s="79"/>
      <c r="S168" s="79"/>
      <c r="T168" s="79"/>
      <c r="W168" s="130"/>
      <c r="Y168" s="106"/>
    </row>
    <row r="169">
      <c r="C169" s="79"/>
      <c r="D169" s="79"/>
      <c r="J169" s="79"/>
      <c r="O169" s="79"/>
      <c r="P169" s="79"/>
      <c r="S169" s="79"/>
      <c r="T169" s="79"/>
      <c r="W169" s="130"/>
      <c r="Y169" s="106"/>
    </row>
    <row r="170">
      <c r="C170" s="79"/>
      <c r="D170" s="79"/>
      <c r="J170" s="79"/>
      <c r="O170" s="79"/>
      <c r="P170" s="79"/>
      <c r="S170" s="79"/>
      <c r="T170" s="79"/>
      <c r="W170" s="130"/>
      <c r="Y170" s="106"/>
    </row>
    <row r="171">
      <c r="C171" s="79"/>
      <c r="D171" s="79"/>
      <c r="J171" s="79"/>
      <c r="O171" s="79"/>
      <c r="P171" s="79"/>
      <c r="S171" s="79"/>
      <c r="T171" s="79"/>
      <c r="W171" s="130"/>
      <c r="Y171" s="106"/>
    </row>
    <row r="172">
      <c r="C172" s="79"/>
      <c r="D172" s="79"/>
      <c r="J172" s="79"/>
      <c r="O172" s="79"/>
      <c r="P172" s="79"/>
      <c r="S172" s="79"/>
      <c r="T172" s="79"/>
      <c r="W172" s="130"/>
      <c r="Y172" s="106"/>
    </row>
    <row r="173">
      <c r="C173" s="79"/>
      <c r="D173" s="79"/>
      <c r="J173" s="79"/>
      <c r="O173" s="79"/>
      <c r="P173" s="79"/>
      <c r="S173" s="79"/>
      <c r="T173" s="79"/>
      <c r="W173" s="130"/>
      <c r="Y173" s="106"/>
    </row>
    <row r="174">
      <c r="C174" s="79"/>
      <c r="D174" s="79"/>
      <c r="J174" s="79"/>
      <c r="O174" s="79"/>
      <c r="P174" s="79"/>
      <c r="S174" s="79"/>
      <c r="T174" s="79"/>
      <c r="W174" s="130"/>
      <c r="Y174" s="106"/>
    </row>
    <row r="175">
      <c r="C175" s="79"/>
      <c r="D175" s="79"/>
      <c r="J175" s="79"/>
      <c r="O175" s="79"/>
      <c r="P175" s="79"/>
      <c r="S175" s="79"/>
      <c r="T175" s="79"/>
      <c r="W175" s="130"/>
      <c r="Y175" s="106"/>
    </row>
    <row r="176">
      <c r="C176" s="79"/>
      <c r="D176" s="79"/>
      <c r="J176" s="79"/>
      <c r="O176" s="79"/>
      <c r="P176" s="79"/>
      <c r="S176" s="79"/>
      <c r="T176" s="79"/>
      <c r="W176" s="130"/>
      <c r="Y176" s="106"/>
    </row>
    <row r="177">
      <c r="C177" s="79"/>
      <c r="D177" s="79"/>
      <c r="J177" s="79"/>
      <c r="O177" s="79"/>
      <c r="P177" s="79"/>
      <c r="S177" s="79"/>
      <c r="T177" s="79"/>
      <c r="W177" s="130"/>
      <c r="Y177" s="106"/>
    </row>
    <row r="178">
      <c r="C178" s="79"/>
      <c r="D178" s="79"/>
      <c r="J178" s="79"/>
      <c r="O178" s="79"/>
      <c r="P178" s="79"/>
      <c r="S178" s="79"/>
      <c r="T178" s="79"/>
      <c r="W178" s="130"/>
      <c r="Y178" s="106"/>
    </row>
    <row r="179">
      <c r="C179" s="79"/>
      <c r="D179" s="79"/>
      <c r="J179" s="79"/>
      <c r="O179" s="79"/>
      <c r="P179" s="79"/>
      <c r="S179" s="79"/>
      <c r="T179" s="79"/>
      <c r="W179" s="130"/>
      <c r="Y179" s="106"/>
    </row>
    <row r="180">
      <c r="C180" s="79"/>
      <c r="D180" s="79"/>
      <c r="J180" s="79"/>
      <c r="O180" s="79"/>
      <c r="P180" s="79"/>
      <c r="S180" s="79"/>
      <c r="T180" s="79"/>
      <c r="W180" s="130"/>
      <c r="Y180" s="106"/>
    </row>
    <row r="181">
      <c r="C181" s="79"/>
      <c r="D181" s="79"/>
      <c r="J181" s="79"/>
      <c r="O181" s="79"/>
      <c r="P181" s="79"/>
      <c r="S181" s="79"/>
      <c r="T181" s="79"/>
      <c r="W181" s="130"/>
      <c r="Y181" s="106"/>
    </row>
    <row r="182">
      <c r="C182" s="79"/>
      <c r="D182" s="79"/>
      <c r="J182" s="79"/>
      <c r="O182" s="79"/>
      <c r="P182" s="79"/>
      <c r="S182" s="79"/>
      <c r="T182" s="79"/>
      <c r="W182" s="130"/>
      <c r="Y182" s="106"/>
    </row>
    <row r="183">
      <c r="C183" s="79"/>
      <c r="D183" s="79"/>
      <c r="J183" s="79"/>
      <c r="O183" s="79"/>
      <c r="P183" s="79"/>
      <c r="S183" s="79"/>
      <c r="T183" s="79"/>
      <c r="W183" s="130"/>
      <c r="Y183" s="106"/>
    </row>
    <row r="184">
      <c r="C184" s="79"/>
      <c r="D184" s="79"/>
      <c r="J184" s="79"/>
      <c r="O184" s="79"/>
      <c r="P184" s="79"/>
      <c r="S184" s="79"/>
      <c r="T184" s="79"/>
      <c r="W184" s="130"/>
      <c r="Y184" s="106"/>
    </row>
    <row r="185">
      <c r="C185" s="79"/>
      <c r="D185" s="79"/>
      <c r="J185" s="79"/>
      <c r="O185" s="79"/>
      <c r="P185" s="79"/>
      <c r="S185" s="79"/>
      <c r="T185" s="79"/>
      <c r="W185" s="130"/>
      <c r="Y185" s="106"/>
    </row>
    <row r="186">
      <c r="C186" s="79"/>
      <c r="D186" s="79"/>
      <c r="J186" s="79"/>
      <c r="O186" s="79"/>
      <c r="P186" s="79"/>
      <c r="S186" s="79"/>
      <c r="T186" s="79"/>
      <c r="W186" s="130"/>
      <c r="Y186" s="106"/>
    </row>
    <row r="187">
      <c r="C187" s="79"/>
      <c r="D187" s="79"/>
      <c r="J187" s="79"/>
      <c r="O187" s="79"/>
      <c r="P187" s="79"/>
      <c r="S187" s="79"/>
      <c r="T187" s="79"/>
      <c r="W187" s="130"/>
      <c r="Y187" s="106"/>
    </row>
    <row r="188">
      <c r="C188" s="79"/>
      <c r="D188" s="79"/>
      <c r="J188" s="79"/>
      <c r="O188" s="79"/>
      <c r="P188" s="79"/>
      <c r="S188" s="79"/>
      <c r="T188" s="79"/>
      <c r="W188" s="130"/>
      <c r="Y188" s="106"/>
    </row>
    <row r="189">
      <c r="C189" s="79"/>
      <c r="D189" s="79"/>
      <c r="J189" s="79"/>
      <c r="O189" s="79"/>
      <c r="P189" s="79"/>
      <c r="S189" s="79"/>
      <c r="T189" s="79"/>
      <c r="W189" s="130"/>
      <c r="Y189" s="106"/>
    </row>
    <row r="190">
      <c r="C190" s="79"/>
      <c r="D190" s="79"/>
      <c r="J190" s="79"/>
      <c r="O190" s="79"/>
      <c r="P190" s="79"/>
      <c r="S190" s="79"/>
      <c r="T190" s="79"/>
      <c r="W190" s="130"/>
      <c r="Y190" s="106"/>
    </row>
    <row r="191">
      <c r="C191" s="79"/>
      <c r="D191" s="79"/>
      <c r="J191" s="79"/>
      <c r="O191" s="79"/>
      <c r="P191" s="79"/>
      <c r="S191" s="79"/>
      <c r="T191" s="79"/>
      <c r="W191" s="130"/>
      <c r="Y191" s="106"/>
    </row>
    <row r="192">
      <c r="C192" s="79"/>
      <c r="D192" s="79"/>
      <c r="J192" s="79"/>
      <c r="O192" s="79"/>
      <c r="P192" s="79"/>
      <c r="S192" s="79"/>
      <c r="T192" s="79"/>
      <c r="W192" s="130"/>
      <c r="Y192" s="106"/>
    </row>
    <row r="193">
      <c r="C193" s="79"/>
      <c r="D193" s="79"/>
      <c r="J193" s="79"/>
      <c r="O193" s="79"/>
      <c r="P193" s="79"/>
      <c r="S193" s="79"/>
      <c r="T193" s="79"/>
      <c r="W193" s="130"/>
      <c r="Y193" s="106"/>
    </row>
    <row r="194">
      <c r="C194" s="79"/>
      <c r="D194" s="79"/>
      <c r="J194" s="79"/>
      <c r="O194" s="79"/>
      <c r="P194" s="79"/>
      <c r="S194" s="79"/>
      <c r="T194" s="79"/>
      <c r="W194" s="130"/>
      <c r="Y194" s="106"/>
    </row>
    <row r="195">
      <c r="C195" s="79"/>
      <c r="D195" s="79"/>
      <c r="J195" s="79"/>
      <c r="O195" s="79"/>
      <c r="P195" s="79"/>
      <c r="S195" s="79"/>
      <c r="T195" s="79"/>
      <c r="W195" s="130"/>
      <c r="Y195" s="106"/>
    </row>
    <row r="196">
      <c r="C196" s="79"/>
      <c r="D196" s="79"/>
      <c r="J196" s="79"/>
      <c r="O196" s="79"/>
      <c r="P196" s="79"/>
      <c r="S196" s="79"/>
      <c r="T196" s="79"/>
      <c r="W196" s="130"/>
      <c r="Y196" s="106"/>
    </row>
    <row r="197">
      <c r="C197" s="79"/>
      <c r="D197" s="79"/>
      <c r="J197" s="79"/>
      <c r="O197" s="79"/>
      <c r="P197" s="79"/>
      <c r="S197" s="79"/>
      <c r="T197" s="79"/>
      <c r="W197" s="130"/>
      <c r="Y197" s="106"/>
    </row>
    <row r="198">
      <c r="C198" s="79"/>
      <c r="D198" s="79"/>
      <c r="J198" s="79"/>
      <c r="O198" s="79"/>
      <c r="P198" s="79"/>
      <c r="S198" s="79"/>
      <c r="T198" s="79"/>
      <c r="W198" s="130"/>
      <c r="Y198" s="106"/>
    </row>
    <row r="199">
      <c r="C199" s="79"/>
      <c r="D199" s="79"/>
      <c r="J199" s="79"/>
      <c r="O199" s="79"/>
      <c r="P199" s="79"/>
      <c r="S199" s="79"/>
      <c r="T199" s="79"/>
      <c r="W199" s="130"/>
      <c r="Y199" s="106"/>
    </row>
    <row r="200">
      <c r="C200" s="79"/>
      <c r="D200" s="79"/>
      <c r="J200" s="79"/>
      <c r="O200" s="79"/>
      <c r="P200" s="79"/>
      <c r="S200" s="79"/>
      <c r="T200" s="79"/>
      <c r="W200" s="130"/>
      <c r="Y200" s="106"/>
    </row>
    <row r="201">
      <c r="C201" s="79"/>
      <c r="D201" s="79"/>
      <c r="J201" s="79"/>
      <c r="O201" s="79"/>
      <c r="P201" s="79"/>
      <c r="S201" s="79"/>
      <c r="T201" s="79"/>
      <c r="W201" s="130"/>
      <c r="Y201" s="106"/>
    </row>
    <row r="202">
      <c r="C202" s="79"/>
      <c r="D202" s="79"/>
      <c r="J202" s="79"/>
      <c r="O202" s="79"/>
      <c r="P202" s="79"/>
      <c r="S202" s="79"/>
      <c r="T202" s="79"/>
      <c r="W202" s="130"/>
      <c r="Y202" s="106"/>
    </row>
    <row r="203">
      <c r="C203" s="79"/>
      <c r="D203" s="79"/>
      <c r="J203" s="79"/>
      <c r="O203" s="79"/>
      <c r="P203" s="79"/>
      <c r="S203" s="79"/>
      <c r="T203" s="79"/>
      <c r="W203" s="130"/>
      <c r="Y203" s="106"/>
    </row>
    <row r="204">
      <c r="C204" s="79"/>
      <c r="D204" s="79"/>
      <c r="J204" s="79"/>
      <c r="O204" s="79"/>
      <c r="P204" s="79"/>
      <c r="S204" s="79"/>
      <c r="T204" s="79"/>
      <c r="W204" s="130"/>
      <c r="Y204" s="106"/>
    </row>
    <row r="205">
      <c r="C205" s="79"/>
      <c r="D205" s="79"/>
      <c r="J205" s="79"/>
      <c r="O205" s="79"/>
      <c r="P205" s="79"/>
      <c r="S205" s="79"/>
      <c r="T205" s="79"/>
      <c r="W205" s="130"/>
      <c r="Y205" s="106"/>
    </row>
    <row r="206">
      <c r="C206" s="79"/>
      <c r="D206" s="79"/>
      <c r="J206" s="79"/>
      <c r="O206" s="79"/>
      <c r="P206" s="79"/>
      <c r="S206" s="79"/>
      <c r="T206" s="79"/>
      <c r="W206" s="130"/>
      <c r="Y206" s="106"/>
    </row>
    <row r="207">
      <c r="C207" s="79"/>
      <c r="D207" s="79"/>
      <c r="J207" s="79"/>
      <c r="O207" s="79"/>
      <c r="P207" s="79"/>
      <c r="S207" s="79"/>
      <c r="T207" s="79"/>
      <c r="W207" s="130"/>
      <c r="Y207" s="106"/>
    </row>
    <row r="208">
      <c r="C208" s="79"/>
      <c r="D208" s="79"/>
      <c r="J208" s="79"/>
      <c r="O208" s="79"/>
      <c r="P208" s="79"/>
      <c r="S208" s="79"/>
      <c r="T208" s="79"/>
      <c r="W208" s="130"/>
      <c r="Y208" s="106"/>
    </row>
    <row r="209">
      <c r="C209" s="79"/>
      <c r="D209" s="79"/>
      <c r="J209" s="79"/>
      <c r="O209" s="79"/>
      <c r="P209" s="79"/>
      <c r="S209" s="79"/>
      <c r="T209" s="79"/>
      <c r="W209" s="130"/>
      <c r="Y209" s="106"/>
    </row>
    <row r="210">
      <c r="C210" s="79"/>
      <c r="D210" s="79"/>
      <c r="J210" s="79"/>
      <c r="O210" s="79"/>
      <c r="P210" s="79"/>
      <c r="S210" s="79"/>
      <c r="T210" s="79"/>
      <c r="W210" s="130"/>
      <c r="Y210" s="106"/>
    </row>
    <row r="211">
      <c r="C211" s="79"/>
      <c r="D211" s="79"/>
      <c r="J211" s="79"/>
      <c r="O211" s="79"/>
      <c r="P211" s="79"/>
      <c r="S211" s="79"/>
      <c r="T211" s="79"/>
      <c r="W211" s="130"/>
      <c r="Y211" s="106"/>
    </row>
    <row r="212">
      <c r="C212" s="79"/>
      <c r="D212" s="79"/>
      <c r="J212" s="79"/>
      <c r="O212" s="79"/>
      <c r="P212" s="79"/>
      <c r="S212" s="79"/>
      <c r="T212" s="79"/>
      <c r="W212" s="130"/>
      <c r="Y212" s="106"/>
    </row>
    <row r="213">
      <c r="C213" s="79"/>
      <c r="D213" s="79"/>
      <c r="J213" s="79"/>
      <c r="O213" s="79"/>
      <c r="P213" s="79"/>
      <c r="S213" s="79"/>
      <c r="T213" s="79"/>
      <c r="W213" s="130"/>
      <c r="Y213" s="106"/>
    </row>
    <row r="214">
      <c r="C214" s="79"/>
      <c r="D214" s="79"/>
      <c r="J214" s="79"/>
      <c r="O214" s="79"/>
      <c r="P214" s="79"/>
      <c r="S214" s="79"/>
      <c r="T214" s="79"/>
      <c r="W214" s="130"/>
      <c r="Y214" s="106"/>
    </row>
    <row r="215">
      <c r="C215" s="79"/>
      <c r="D215" s="79"/>
      <c r="J215" s="79"/>
      <c r="O215" s="79"/>
      <c r="P215" s="79"/>
      <c r="S215" s="79"/>
      <c r="T215" s="79"/>
      <c r="W215" s="130"/>
      <c r="Y215" s="106"/>
    </row>
    <row r="216">
      <c r="C216" s="79"/>
      <c r="D216" s="79"/>
      <c r="J216" s="79"/>
      <c r="O216" s="79"/>
      <c r="P216" s="79"/>
      <c r="S216" s="79"/>
      <c r="T216" s="79"/>
      <c r="W216" s="130"/>
      <c r="Y216" s="106"/>
    </row>
    <row r="217">
      <c r="C217" s="79"/>
      <c r="D217" s="79"/>
      <c r="J217" s="79"/>
      <c r="O217" s="79"/>
      <c r="P217" s="79"/>
      <c r="S217" s="79"/>
      <c r="T217" s="79"/>
      <c r="W217" s="130"/>
      <c r="Y217" s="106"/>
    </row>
    <row r="218">
      <c r="C218" s="79"/>
      <c r="D218" s="79"/>
      <c r="J218" s="79"/>
      <c r="O218" s="79"/>
      <c r="P218" s="79"/>
      <c r="S218" s="79"/>
      <c r="T218" s="79"/>
      <c r="W218" s="130"/>
      <c r="Y218" s="106"/>
    </row>
    <row r="219">
      <c r="C219" s="79"/>
      <c r="D219" s="79"/>
      <c r="J219" s="79"/>
      <c r="O219" s="79"/>
      <c r="P219" s="79"/>
      <c r="S219" s="79"/>
      <c r="T219" s="79"/>
      <c r="W219" s="130"/>
      <c r="Y219" s="106"/>
    </row>
    <row r="220">
      <c r="C220" s="79"/>
      <c r="D220" s="79"/>
      <c r="J220" s="79"/>
      <c r="O220" s="79"/>
      <c r="P220" s="79"/>
      <c r="S220" s="79"/>
      <c r="T220" s="79"/>
      <c r="W220" s="130"/>
      <c r="Y220" s="106"/>
    </row>
    <row r="221">
      <c r="C221" s="79"/>
      <c r="D221" s="79"/>
      <c r="J221" s="79"/>
      <c r="O221" s="79"/>
      <c r="P221" s="79"/>
      <c r="S221" s="79"/>
      <c r="T221" s="79"/>
      <c r="W221" s="130"/>
      <c r="Y221" s="106"/>
    </row>
    <row r="222">
      <c r="C222" s="79"/>
      <c r="D222" s="79"/>
      <c r="J222" s="79"/>
      <c r="O222" s="79"/>
      <c r="P222" s="79"/>
      <c r="S222" s="79"/>
      <c r="T222" s="79"/>
      <c r="W222" s="130"/>
      <c r="Y222" s="106"/>
    </row>
    <row r="223">
      <c r="C223" s="79"/>
      <c r="D223" s="79"/>
      <c r="J223" s="79"/>
      <c r="O223" s="79"/>
      <c r="P223" s="79"/>
      <c r="S223" s="79"/>
      <c r="T223" s="79"/>
      <c r="W223" s="130"/>
      <c r="Y223" s="106"/>
    </row>
    <row r="224">
      <c r="C224" s="79"/>
      <c r="D224" s="79"/>
      <c r="J224" s="79"/>
      <c r="O224" s="79"/>
      <c r="P224" s="79"/>
      <c r="S224" s="79"/>
      <c r="T224" s="79"/>
      <c r="W224" s="130"/>
      <c r="Y224" s="106"/>
    </row>
    <row r="225">
      <c r="C225" s="79"/>
      <c r="D225" s="79"/>
      <c r="J225" s="79"/>
      <c r="O225" s="79"/>
      <c r="P225" s="79"/>
      <c r="S225" s="79"/>
      <c r="T225" s="79"/>
      <c r="W225" s="130"/>
      <c r="Y225" s="106"/>
    </row>
    <row r="226">
      <c r="C226" s="79"/>
      <c r="D226" s="79"/>
      <c r="J226" s="79"/>
      <c r="O226" s="79"/>
      <c r="P226" s="79"/>
      <c r="S226" s="79"/>
      <c r="T226" s="79"/>
      <c r="W226" s="130"/>
      <c r="Y226" s="106"/>
    </row>
    <row r="227">
      <c r="C227" s="79"/>
      <c r="D227" s="79"/>
      <c r="J227" s="79"/>
      <c r="O227" s="79"/>
      <c r="P227" s="79"/>
      <c r="S227" s="79"/>
      <c r="T227" s="79"/>
      <c r="W227" s="130"/>
      <c r="Y227" s="106"/>
    </row>
    <row r="228">
      <c r="C228" s="79"/>
      <c r="D228" s="79"/>
      <c r="J228" s="79"/>
      <c r="O228" s="79"/>
      <c r="P228" s="79"/>
      <c r="S228" s="79"/>
      <c r="T228" s="79"/>
      <c r="W228" s="130"/>
      <c r="Y228" s="106"/>
    </row>
    <row r="229">
      <c r="C229" s="79"/>
      <c r="D229" s="79"/>
      <c r="J229" s="79"/>
      <c r="O229" s="79"/>
      <c r="P229" s="79"/>
      <c r="S229" s="79"/>
      <c r="T229" s="79"/>
      <c r="W229" s="130"/>
      <c r="Y229" s="106"/>
    </row>
    <row r="230">
      <c r="C230" s="79"/>
      <c r="D230" s="79"/>
      <c r="J230" s="79"/>
      <c r="O230" s="79"/>
      <c r="P230" s="79"/>
      <c r="S230" s="79"/>
      <c r="T230" s="79"/>
      <c r="W230" s="130"/>
      <c r="Y230" s="106"/>
    </row>
    <row r="231">
      <c r="C231" s="79"/>
      <c r="D231" s="79"/>
      <c r="J231" s="79"/>
      <c r="O231" s="79"/>
      <c r="P231" s="79"/>
      <c r="S231" s="79"/>
      <c r="T231" s="79"/>
      <c r="W231" s="130"/>
      <c r="Y231" s="106"/>
    </row>
    <row r="232">
      <c r="C232" s="79"/>
      <c r="D232" s="79"/>
      <c r="J232" s="79"/>
      <c r="O232" s="79"/>
      <c r="P232" s="79"/>
      <c r="S232" s="79"/>
      <c r="T232" s="79"/>
      <c r="W232" s="130"/>
      <c r="Y232" s="106"/>
    </row>
    <row r="233">
      <c r="C233" s="79"/>
      <c r="D233" s="79"/>
      <c r="J233" s="79"/>
      <c r="O233" s="79"/>
      <c r="P233" s="79"/>
      <c r="S233" s="79"/>
      <c r="T233" s="79"/>
      <c r="W233" s="130"/>
      <c r="Y233" s="106"/>
    </row>
    <row r="234">
      <c r="C234" s="79"/>
      <c r="D234" s="79"/>
      <c r="J234" s="79"/>
      <c r="O234" s="79"/>
      <c r="P234" s="79"/>
      <c r="S234" s="79"/>
      <c r="T234" s="79"/>
      <c r="W234" s="130"/>
      <c r="Y234" s="106"/>
    </row>
    <row r="235">
      <c r="C235" s="79"/>
      <c r="D235" s="79"/>
      <c r="J235" s="79"/>
      <c r="O235" s="79"/>
      <c r="P235" s="79"/>
      <c r="S235" s="79"/>
      <c r="T235" s="79"/>
      <c r="W235" s="130"/>
      <c r="Y235" s="106"/>
    </row>
    <row r="236">
      <c r="C236" s="79"/>
      <c r="D236" s="79"/>
      <c r="J236" s="79"/>
      <c r="O236" s="79"/>
      <c r="P236" s="79"/>
      <c r="S236" s="79"/>
      <c r="T236" s="79"/>
      <c r="W236" s="130"/>
      <c r="Y236" s="106"/>
    </row>
    <row r="237">
      <c r="C237" s="79"/>
      <c r="D237" s="79"/>
      <c r="J237" s="79"/>
      <c r="O237" s="79"/>
      <c r="P237" s="79"/>
      <c r="S237" s="79"/>
      <c r="T237" s="79"/>
      <c r="W237" s="130"/>
      <c r="Y237" s="106"/>
    </row>
    <row r="238">
      <c r="C238" s="79"/>
      <c r="D238" s="79"/>
      <c r="J238" s="79"/>
      <c r="O238" s="79"/>
      <c r="P238" s="79"/>
      <c r="S238" s="79"/>
      <c r="T238" s="79"/>
      <c r="W238" s="130"/>
      <c r="Y238" s="106"/>
    </row>
    <row r="239">
      <c r="C239" s="79"/>
      <c r="D239" s="79"/>
      <c r="J239" s="79"/>
      <c r="O239" s="79"/>
      <c r="P239" s="79"/>
      <c r="S239" s="79"/>
      <c r="T239" s="79"/>
      <c r="W239" s="130"/>
      <c r="Y239" s="106"/>
    </row>
    <row r="240">
      <c r="C240" s="79"/>
      <c r="D240" s="79"/>
      <c r="J240" s="79"/>
      <c r="O240" s="79"/>
      <c r="P240" s="79"/>
      <c r="S240" s="79"/>
      <c r="T240" s="79"/>
      <c r="W240" s="130"/>
      <c r="Y240" s="106"/>
    </row>
    <row r="241">
      <c r="C241" s="79"/>
      <c r="D241" s="79"/>
      <c r="J241" s="79"/>
      <c r="O241" s="79"/>
      <c r="P241" s="79"/>
      <c r="S241" s="79"/>
      <c r="T241" s="79"/>
      <c r="W241" s="130"/>
      <c r="Y241" s="106"/>
    </row>
    <row r="242">
      <c r="C242" s="79"/>
      <c r="D242" s="79"/>
      <c r="J242" s="79"/>
      <c r="O242" s="79"/>
      <c r="P242" s="79"/>
      <c r="S242" s="79"/>
      <c r="T242" s="79"/>
      <c r="W242" s="130"/>
      <c r="Y242" s="106"/>
    </row>
    <row r="243">
      <c r="C243" s="79"/>
      <c r="D243" s="79"/>
      <c r="J243" s="79"/>
      <c r="O243" s="79"/>
      <c r="P243" s="79"/>
      <c r="S243" s="79"/>
      <c r="T243" s="79"/>
      <c r="W243" s="130"/>
      <c r="Y243" s="106"/>
    </row>
    <row r="244">
      <c r="C244" s="79"/>
      <c r="D244" s="79"/>
      <c r="J244" s="79"/>
      <c r="O244" s="79"/>
      <c r="P244" s="79"/>
      <c r="S244" s="79"/>
      <c r="T244" s="79"/>
      <c r="W244" s="130"/>
      <c r="Y244" s="106"/>
    </row>
    <row r="245">
      <c r="C245" s="79"/>
      <c r="D245" s="79"/>
      <c r="J245" s="79"/>
      <c r="O245" s="79"/>
      <c r="P245" s="79"/>
      <c r="S245" s="79"/>
      <c r="T245" s="79"/>
      <c r="W245" s="130"/>
      <c r="Y245" s="106"/>
    </row>
    <row r="246">
      <c r="C246" s="79"/>
      <c r="D246" s="79"/>
      <c r="J246" s="79"/>
      <c r="O246" s="79"/>
      <c r="P246" s="79"/>
      <c r="S246" s="79"/>
      <c r="T246" s="79"/>
      <c r="W246" s="130"/>
      <c r="Y246" s="106"/>
    </row>
    <row r="247">
      <c r="C247" s="79"/>
      <c r="D247" s="79"/>
      <c r="J247" s="79"/>
      <c r="O247" s="79"/>
      <c r="P247" s="79"/>
      <c r="S247" s="79"/>
      <c r="T247" s="79"/>
      <c r="W247" s="130"/>
      <c r="Y247" s="106"/>
    </row>
    <row r="248">
      <c r="C248" s="79"/>
      <c r="D248" s="79"/>
      <c r="J248" s="79"/>
      <c r="O248" s="79"/>
      <c r="P248" s="79"/>
      <c r="S248" s="79"/>
      <c r="T248" s="79"/>
      <c r="W248" s="130"/>
      <c r="Y248" s="106"/>
    </row>
    <row r="249">
      <c r="C249" s="79"/>
      <c r="D249" s="79"/>
      <c r="J249" s="79"/>
      <c r="O249" s="79"/>
      <c r="P249" s="79"/>
      <c r="S249" s="79"/>
      <c r="T249" s="79"/>
      <c r="W249" s="130"/>
      <c r="Y249" s="106"/>
    </row>
    <row r="250">
      <c r="C250" s="79"/>
      <c r="D250" s="79"/>
      <c r="J250" s="79"/>
      <c r="O250" s="79"/>
      <c r="P250" s="79"/>
      <c r="S250" s="79"/>
      <c r="T250" s="79"/>
      <c r="W250" s="130"/>
      <c r="Y250" s="106"/>
    </row>
    <row r="251">
      <c r="C251" s="79"/>
      <c r="D251" s="79"/>
      <c r="J251" s="79"/>
      <c r="O251" s="79"/>
      <c r="P251" s="79"/>
      <c r="S251" s="79"/>
      <c r="T251" s="79"/>
      <c r="W251" s="130"/>
      <c r="Y251" s="106"/>
    </row>
    <row r="252">
      <c r="C252" s="79"/>
      <c r="D252" s="79"/>
      <c r="J252" s="79"/>
      <c r="O252" s="79"/>
      <c r="P252" s="79"/>
      <c r="S252" s="79"/>
      <c r="T252" s="79"/>
      <c r="W252" s="130"/>
      <c r="Y252" s="106"/>
    </row>
    <row r="253">
      <c r="C253" s="79"/>
      <c r="D253" s="79"/>
      <c r="J253" s="79"/>
      <c r="O253" s="79"/>
      <c r="P253" s="79"/>
      <c r="S253" s="79"/>
      <c r="T253" s="79"/>
      <c r="W253" s="130"/>
      <c r="Y253" s="106"/>
    </row>
    <row r="254">
      <c r="C254" s="79"/>
      <c r="D254" s="79"/>
      <c r="J254" s="79"/>
      <c r="O254" s="79"/>
      <c r="P254" s="79"/>
      <c r="S254" s="79"/>
      <c r="T254" s="79"/>
      <c r="W254" s="130"/>
      <c r="Y254" s="106"/>
    </row>
    <row r="255">
      <c r="C255" s="79"/>
      <c r="D255" s="79"/>
      <c r="J255" s="79"/>
      <c r="O255" s="79"/>
      <c r="P255" s="79"/>
      <c r="S255" s="79"/>
      <c r="T255" s="79"/>
      <c r="W255" s="130"/>
      <c r="Y255" s="106"/>
    </row>
    <row r="256">
      <c r="C256" s="79"/>
      <c r="D256" s="79"/>
      <c r="J256" s="79"/>
      <c r="O256" s="79"/>
      <c r="P256" s="79"/>
      <c r="S256" s="79"/>
      <c r="T256" s="79"/>
      <c r="W256" s="130"/>
      <c r="Y256" s="106"/>
    </row>
    <row r="257">
      <c r="C257" s="79"/>
      <c r="D257" s="79"/>
      <c r="J257" s="79"/>
      <c r="O257" s="79"/>
      <c r="P257" s="79"/>
      <c r="S257" s="79"/>
      <c r="T257" s="79"/>
      <c r="W257" s="130"/>
      <c r="Y257" s="106"/>
    </row>
    <row r="258">
      <c r="C258" s="79"/>
      <c r="D258" s="79"/>
      <c r="J258" s="79"/>
      <c r="O258" s="79"/>
      <c r="P258" s="79"/>
      <c r="S258" s="79"/>
      <c r="T258" s="79"/>
      <c r="W258" s="130"/>
      <c r="Y258" s="106"/>
    </row>
    <row r="259">
      <c r="C259" s="79"/>
      <c r="D259" s="79"/>
      <c r="J259" s="79"/>
      <c r="O259" s="79"/>
      <c r="P259" s="79"/>
      <c r="S259" s="79"/>
      <c r="T259" s="79"/>
      <c r="W259" s="130"/>
      <c r="Y259" s="106"/>
    </row>
    <row r="260">
      <c r="C260" s="79"/>
      <c r="D260" s="79"/>
      <c r="J260" s="79"/>
      <c r="O260" s="79"/>
      <c r="P260" s="79"/>
      <c r="S260" s="79"/>
      <c r="T260" s="79"/>
      <c r="W260" s="130"/>
      <c r="Y260" s="106"/>
    </row>
    <row r="261">
      <c r="C261" s="79"/>
      <c r="D261" s="79"/>
      <c r="J261" s="79"/>
      <c r="O261" s="79"/>
      <c r="P261" s="79"/>
      <c r="S261" s="79"/>
      <c r="T261" s="79"/>
      <c r="W261" s="130"/>
      <c r="Y261" s="106"/>
    </row>
    <row r="262">
      <c r="C262" s="79"/>
      <c r="D262" s="79"/>
      <c r="J262" s="79"/>
      <c r="O262" s="79"/>
      <c r="P262" s="79"/>
      <c r="S262" s="79"/>
      <c r="T262" s="79"/>
      <c r="W262" s="130"/>
      <c r="Y262" s="106"/>
    </row>
    <row r="263">
      <c r="C263" s="79"/>
      <c r="D263" s="79"/>
      <c r="J263" s="79"/>
      <c r="O263" s="79"/>
      <c r="P263" s="79"/>
      <c r="S263" s="79"/>
      <c r="T263" s="79"/>
      <c r="W263" s="130"/>
      <c r="Y263" s="106"/>
    </row>
    <row r="264">
      <c r="C264" s="79"/>
      <c r="D264" s="79"/>
      <c r="J264" s="79"/>
      <c r="O264" s="79"/>
      <c r="P264" s="79"/>
      <c r="S264" s="79"/>
      <c r="T264" s="79"/>
      <c r="W264" s="130"/>
      <c r="Y264" s="106"/>
    </row>
    <row r="265">
      <c r="C265" s="79"/>
      <c r="D265" s="79"/>
      <c r="J265" s="79"/>
      <c r="O265" s="79"/>
      <c r="P265" s="79"/>
      <c r="S265" s="79"/>
      <c r="T265" s="79"/>
      <c r="W265" s="130"/>
      <c r="Y265" s="106"/>
    </row>
    <row r="266">
      <c r="C266" s="79"/>
      <c r="D266" s="79"/>
      <c r="J266" s="79"/>
      <c r="O266" s="79"/>
      <c r="P266" s="79"/>
      <c r="S266" s="79"/>
      <c r="T266" s="79"/>
      <c r="W266" s="130"/>
      <c r="Y266" s="106"/>
    </row>
    <row r="267">
      <c r="C267" s="79"/>
      <c r="D267" s="79"/>
      <c r="J267" s="79"/>
      <c r="O267" s="79"/>
      <c r="P267" s="79"/>
      <c r="S267" s="79"/>
      <c r="T267" s="79"/>
      <c r="W267" s="130"/>
      <c r="Y267" s="106"/>
    </row>
    <row r="268">
      <c r="C268" s="79"/>
      <c r="D268" s="79"/>
      <c r="J268" s="79"/>
      <c r="O268" s="79"/>
      <c r="P268" s="79"/>
      <c r="S268" s="79"/>
      <c r="T268" s="79"/>
      <c r="W268" s="130"/>
      <c r="Y268" s="106"/>
    </row>
    <row r="269">
      <c r="C269" s="79"/>
      <c r="D269" s="79"/>
      <c r="J269" s="79"/>
      <c r="O269" s="79"/>
      <c r="P269" s="79"/>
      <c r="S269" s="79"/>
      <c r="T269" s="79"/>
      <c r="W269" s="130"/>
      <c r="Y269" s="106"/>
    </row>
    <row r="270">
      <c r="C270" s="79"/>
      <c r="D270" s="79"/>
      <c r="J270" s="79"/>
      <c r="O270" s="79"/>
      <c r="P270" s="79"/>
      <c r="S270" s="79"/>
      <c r="T270" s="79"/>
      <c r="W270" s="130"/>
      <c r="Y270" s="106"/>
    </row>
    <row r="271">
      <c r="C271" s="79"/>
      <c r="D271" s="79"/>
      <c r="J271" s="79"/>
      <c r="O271" s="79"/>
      <c r="P271" s="79"/>
      <c r="S271" s="79"/>
      <c r="T271" s="79"/>
      <c r="W271" s="130"/>
      <c r="Y271" s="106"/>
    </row>
    <row r="272">
      <c r="C272" s="79"/>
      <c r="D272" s="79"/>
      <c r="J272" s="79"/>
      <c r="O272" s="79"/>
      <c r="P272" s="79"/>
      <c r="S272" s="79"/>
      <c r="T272" s="79"/>
      <c r="W272" s="130"/>
      <c r="Y272" s="106"/>
    </row>
    <row r="273">
      <c r="C273" s="79"/>
      <c r="D273" s="79"/>
      <c r="J273" s="79"/>
      <c r="O273" s="79"/>
      <c r="P273" s="79"/>
      <c r="S273" s="79"/>
      <c r="T273" s="79"/>
      <c r="W273" s="130"/>
      <c r="Y273" s="106"/>
    </row>
    <row r="274">
      <c r="C274" s="79"/>
      <c r="D274" s="79"/>
      <c r="J274" s="79"/>
      <c r="O274" s="79"/>
      <c r="P274" s="79"/>
      <c r="S274" s="79"/>
      <c r="T274" s="79"/>
      <c r="W274" s="130"/>
      <c r="Y274" s="106"/>
    </row>
    <row r="275">
      <c r="C275" s="79"/>
      <c r="D275" s="79"/>
      <c r="J275" s="79"/>
      <c r="O275" s="79"/>
      <c r="P275" s="79"/>
      <c r="S275" s="79"/>
      <c r="T275" s="79"/>
      <c r="W275" s="130"/>
      <c r="Y275" s="106"/>
    </row>
    <row r="276">
      <c r="C276" s="79"/>
      <c r="D276" s="79"/>
      <c r="J276" s="79"/>
      <c r="O276" s="79"/>
      <c r="P276" s="79"/>
      <c r="S276" s="79"/>
      <c r="T276" s="79"/>
      <c r="W276" s="130"/>
      <c r="Y276" s="106"/>
    </row>
    <row r="277">
      <c r="C277" s="79"/>
      <c r="D277" s="79"/>
      <c r="J277" s="79"/>
      <c r="O277" s="79"/>
      <c r="P277" s="79"/>
      <c r="S277" s="79"/>
      <c r="T277" s="79"/>
      <c r="W277" s="130"/>
      <c r="Y277" s="106"/>
    </row>
    <row r="278">
      <c r="C278" s="79"/>
      <c r="D278" s="79"/>
      <c r="J278" s="79"/>
      <c r="O278" s="79"/>
      <c r="P278" s="79"/>
      <c r="S278" s="79"/>
      <c r="T278" s="79"/>
      <c r="W278" s="130"/>
      <c r="Y278" s="106"/>
    </row>
    <row r="279">
      <c r="C279" s="79"/>
      <c r="D279" s="79"/>
      <c r="J279" s="79"/>
      <c r="O279" s="79"/>
      <c r="P279" s="79"/>
      <c r="S279" s="79"/>
      <c r="T279" s="79"/>
      <c r="W279" s="130"/>
      <c r="Y279" s="106"/>
    </row>
    <row r="280">
      <c r="C280" s="79"/>
      <c r="D280" s="79"/>
      <c r="J280" s="79"/>
      <c r="O280" s="79"/>
      <c r="P280" s="79"/>
      <c r="S280" s="79"/>
      <c r="T280" s="79"/>
      <c r="W280" s="130"/>
      <c r="Y280" s="106"/>
    </row>
    <row r="281">
      <c r="C281" s="79"/>
      <c r="D281" s="79"/>
      <c r="J281" s="79"/>
      <c r="O281" s="79"/>
      <c r="P281" s="79"/>
      <c r="S281" s="79"/>
      <c r="T281" s="79"/>
      <c r="W281" s="130"/>
      <c r="Y281" s="106"/>
    </row>
    <row r="282">
      <c r="C282" s="79"/>
      <c r="D282" s="79"/>
      <c r="J282" s="79"/>
      <c r="O282" s="79"/>
      <c r="P282" s="79"/>
      <c r="S282" s="79"/>
      <c r="T282" s="79"/>
      <c r="W282" s="130"/>
      <c r="Y282" s="106"/>
    </row>
    <row r="283">
      <c r="C283" s="79"/>
      <c r="D283" s="79"/>
      <c r="J283" s="79"/>
      <c r="O283" s="79"/>
      <c r="P283" s="79"/>
      <c r="S283" s="79"/>
      <c r="T283" s="79"/>
      <c r="W283" s="130"/>
      <c r="Y283" s="106"/>
    </row>
    <row r="284">
      <c r="C284" s="79"/>
      <c r="D284" s="79"/>
      <c r="J284" s="79"/>
      <c r="O284" s="79"/>
      <c r="P284" s="79"/>
      <c r="S284" s="79"/>
      <c r="T284" s="79"/>
      <c r="W284" s="130"/>
      <c r="Y284" s="106"/>
    </row>
    <row r="285">
      <c r="C285" s="79"/>
      <c r="D285" s="79"/>
      <c r="J285" s="79"/>
      <c r="O285" s="79"/>
      <c r="P285" s="79"/>
      <c r="S285" s="79"/>
      <c r="T285" s="79"/>
      <c r="W285" s="130"/>
      <c r="Y285" s="106"/>
    </row>
    <row r="286">
      <c r="C286" s="79"/>
      <c r="D286" s="79"/>
      <c r="J286" s="79"/>
      <c r="O286" s="79"/>
      <c r="P286" s="79"/>
      <c r="S286" s="79"/>
      <c r="T286" s="79"/>
      <c r="W286" s="130"/>
      <c r="Y286" s="106"/>
    </row>
    <row r="287">
      <c r="C287" s="79"/>
      <c r="D287" s="79"/>
      <c r="J287" s="79"/>
      <c r="O287" s="79"/>
      <c r="P287" s="79"/>
      <c r="S287" s="79"/>
      <c r="T287" s="79"/>
      <c r="W287" s="130"/>
      <c r="Y287" s="106"/>
    </row>
    <row r="288">
      <c r="C288" s="79"/>
      <c r="D288" s="79"/>
      <c r="J288" s="79"/>
      <c r="O288" s="79"/>
      <c r="P288" s="79"/>
      <c r="S288" s="79"/>
      <c r="T288" s="79"/>
      <c r="W288" s="130"/>
      <c r="Y288" s="106"/>
    </row>
    <row r="289">
      <c r="C289" s="79"/>
      <c r="D289" s="79"/>
      <c r="J289" s="79"/>
      <c r="O289" s="79"/>
      <c r="P289" s="79"/>
      <c r="S289" s="79"/>
      <c r="T289" s="79"/>
      <c r="W289" s="130"/>
      <c r="Y289" s="106"/>
    </row>
    <row r="290">
      <c r="C290" s="79"/>
      <c r="D290" s="79"/>
      <c r="J290" s="79"/>
      <c r="O290" s="79"/>
      <c r="P290" s="79"/>
      <c r="S290" s="79"/>
      <c r="T290" s="79"/>
      <c r="W290" s="130"/>
      <c r="Y290" s="106"/>
    </row>
    <row r="291">
      <c r="C291" s="79"/>
      <c r="D291" s="79"/>
      <c r="J291" s="79"/>
      <c r="O291" s="79"/>
      <c r="P291" s="79"/>
      <c r="S291" s="79"/>
      <c r="T291" s="79"/>
      <c r="W291" s="130"/>
      <c r="Y291" s="106"/>
    </row>
    <row r="292">
      <c r="C292" s="79"/>
      <c r="D292" s="79"/>
      <c r="J292" s="79"/>
      <c r="O292" s="79"/>
      <c r="P292" s="79"/>
      <c r="S292" s="79"/>
      <c r="T292" s="79"/>
      <c r="W292" s="130"/>
      <c r="Y292" s="106"/>
    </row>
    <row r="293">
      <c r="C293" s="79"/>
      <c r="D293" s="79"/>
      <c r="J293" s="79"/>
      <c r="O293" s="79"/>
      <c r="P293" s="79"/>
      <c r="S293" s="79"/>
      <c r="T293" s="79"/>
      <c r="W293" s="130"/>
      <c r="Y293" s="106"/>
    </row>
    <row r="294">
      <c r="C294" s="79"/>
      <c r="D294" s="79"/>
      <c r="J294" s="79"/>
      <c r="O294" s="79"/>
      <c r="P294" s="79"/>
      <c r="S294" s="79"/>
      <c r="T294" s="79"/>
      <c r="W294" s="130"/>
      <c r="Y294" s="106"/>
    </row>
    <row r="295">
      <c r="C295" s="79"/>
      <c r="D295" s="79"/>
      <c r="J295" s="79"/>
      <c r="O295" s="79"/>
      <c r="P295" s="79"/>
      <c r="S295" s="79"/>
      <c r="T295" s="79"/>
      <c r="W295" s="130"/>
      <c r="Y295" s="106"/>
    </row>
    <row r="296">
      <c r="C296" s="79"/>
      <c r="D296" s="79"/>
      <c r="J296" s="79"/>
      <c r="O296" s="79"/>
      <c r="P296" s="79"/>
      <c r="S296" s="79"/>
      <c r="T296" s="79"/>
      <c r="W296" s="130"/>
      <c r="Y296" s="106"/>
    </row>
    <row r="297">
      <c r="C297" s="79"/>
      <c r="D297" s="79"/>
      <c r="J297" s="79"/>
      <c r="O297" s="79"/>
      <c r="P297" s="79"/>
      <c r="S297" s="79"/>
      <c r="T297" s="79"/>
      <c r="W297" s="130"/>
      <c r="Y297" s="106"/>
    </row>
    <row r="298">
      <c r="C298" s="79"/>
      <c r="D298" s="79"/>
      <c r="J298" s="79"/>
      <c r="O298" s="79"/>
      <c r="P298" s="79"/>
      <c r="S298" s="79"/>
      <c r="T298" s="79"/>
      <c r="W298" s="130"/>
      <c r="Y298" s="106"/>
    </row>
    <row r="299">
      <c r="C299" s="79"/>
      <c r="D299" s="79"/>
      <c r="J299" s="79"/>
      <c r="O299" s="79"/>
      <c r="P299" s="79"/>
      <c r="S299" s="79"/>
      <c r="T299" s="79"/>
      <c r="W299" s="130"/>
      <c r="Y299" s="106"/>
    </row>
    <row r="300">
      <c r="C300" s="79"/>
      <c r="D300" s="79"/>
      <c r="J300" s="79"/>
      <c r="O300" s="79"/>
      <c r="P300" s="79"/>
      <c r="S300" s="79"/>
      <c r="T300" s="79"/>
      <c r="W300" s="130"/>
      <c r="Y300" s="106"/>
    </row>
    <row r="301">
      <c r="C301" s="79"/>
      <c r="D301" s="79"/>
      <c r="J301" s="79"/>
      <c r="O301" s="79"/>
      <c r="P301" s="79"/>
      <c r="S301" s="79"/>
      <c r="T301" s="79"/>
      <c r="W301" s="130"/>
      <c r="Y301" s="106"/>
    </row>
    <row r="302">
      <c r="C302" s="79"/>
      <c r="D302" s="79"/>
      <c r="J302" s="79"/>
      <c r="O302" s="79"/>
      <c r="P302" s="79"/>
      <c r="S302" s="79"/>
      <c r="T302" s="79"/>
      <c r="W302" s="130"/>
      <c r="Y302" s="106"/>
    </row>
    <row r="303">
      <c r="C303" s="79"/>
      <c r="D303" s="79"/>
      <c r="J303" s="79"/>
      <c r="O303" s="79"/>
      <c r="P303" s="79"/>
      <c r="S303" s="79"/>
      <c r="T303" s="79"/>
      <c r="W303" s="130"/>
      <c r="Y303" s="106"/>
    </row>
    <row r="304">
      <c r="C304" s="79"/>
      <c r="D304" s="79"/>
      <c r="J304" s="79"/>
      <c r="O304" s="79"/>
      <c r="P304" s="79"/>
      <c r="S304" s="79"/>
      <c r="T304" s="79"/>
      <c r="W304" s="130"/>
      <c r="Y304" s="106"/>
    </row>
    <row r="305">
      <c r="C305" s="79"/>
      <c r="D305" s="79"/>
      <c r="J305" s="79"/>
      <c r="O305" s="79"/>
      <c r="P305" s="79"/>
      <c r="S305" s="79"/>
      <c r="T305" s="79"/>
      <c r="W305" s="130"/>
      <c r="Y305" s="106"/>
    </row>
    <row r="306">
      <c r="C306" s="79"/>
      <c r="D306" s="79"/>
      <c r="J306" s="79"/>
      <c r="O306" s="79"/>
      <c r="P306" s="79"/>
      <c r="S306" s="79"/>
      <c r="T306" s="79"/>
      <c r="W306" s="130"/>
      <c r="Y306" s="106"/>
    </row>
    <row r="307">
      <c r="C307" s="79"/>
      <c r="D307" s="79"/>
      <c r="J307" s="79"/>
      <c r="O307" s="79"/>
      <c r="P307" s="79"/>
      <c r="S307" s="79"/>
      <c r="T307" s="79"/>
      <c r="W307" s="130"/>
      <c r="Y307" s="106"/>
    </row>
    <row r="308">
      <c r="C308" s="79"/>
      <c r="D308" s="79"/>
      <c r="J308" s="79"/>
      <c r="O308" s="79"/>
      <c r="P308" s="79"/>
      <c r="S308" s="79"/>
      <c r="T308" s="79"/>
      <c r="W308" s="130"/>
      <c r="Y308" s="106"/>
    </row>
    <row r="309">
      <c r="C309" s="79"/>
      <c r="D309" s="79"/>
      <c r="J309" s="79"/>
      <c r="O309" s="79"/>
      <c r="P309" s="79"/>
      <c r="S309" s="79"/>
      <c r="T309" s="79"/>
      <c r="W309" s="130"/>
      <c r="Y309" s="106"/>
    </row>
    <row r="310">
      <c r="C310" s="79"/>
      <c r="D310" s="79"/>
      <c r="J310" s="79"/>
      <c r="O310" s="79"/>
      <c r="P310" s="79"/>
      <c r="S310" s="79"/>
      <c r="T310" s="79"/>
      <c r="W310" s="130"/>
      <c r="Y310" s="106"/>
    </row>
    <row r="311">
      <c r="C311" s="79"/>
      <c r="D311" s="79"/>
      <c r="J311" s="79"/>
      <c r="O311" s="79"/>
      <c r="P311" s="79"/>
      <c r="S311" s="79"/>
      <c r="T311" s="79"/>
      <c r="W311" s="130"/>
      <c r="Y311" s="106"/>
    </row>
    <row r="312">
      <c r="C312" s="79"/>
      <c r="D312" s="79"/>
      <c r="J312" s="79"/>
      <c r="O312" s="79"/>
      <c r="P312" s="79"/>
      <c r="S312" s="79"/>
      <c r="T312" s="79"/>
      <c r="W312" s="130"/>
      <c r="Y312" s="106"/>
    </row>
    <row r="313">
      <c r="C313" s="79"/>
      <c r="D313" s="79"/>
      <c r="J313" s="79"/>
      <c r="O313" s="79"/>
      <c r="P313" s="79"/>
      <c r="S313" s="79"/>
      <c r="T313" s="79"/>
      <c r="W313" s="130"/>
      <c r="Y313" s="106"/>
    </row>
    <row r="314">
      <c r="C314" s="79"/>
      <c r="D314" s="79"/>
      <c r="J314" s="79"/>
      <c r="O314" s="79"/>
      <c r="P314" s="79"/>
      <c r="S314" s="79"/>
      <c r="T314" s="79"/>
      <c r="W314" s="130"/>
      <c r="Y314" s="106"/>
    </row>
    <row r="315">
      <c r="C315" s="79"/>
      <c r="D315" s="79"/>
      <c r="J315" s="79"/>
      <c r="O315" s="79"/>
      <c r="P315" s="79"/>
      <c r="S315" s="79"/>
      <c r="T315" s="79"/>
      <c r="W315" s="130"/>
      <c r="Y315" s="106"/>
    </row>
    <row r="316">
      <c r="C316" s="79"/>
      <c r="D316" s="79"/>
      <c r="J316" s="79"/>
      <c r="O316" s="79"/>
      <c r="P316" s="79"/>
      <c r="S316" s="79"/>
      <c r="T316" s="79"/>
      <c r="W316" s="130"/>
      <c r="Y316" s="106"/>
    </row>
    <row r="317">
      <c r="C317" s="79"/>
      <c r="D317" s="79"/>
      <c r="J317" s="79"/>
      <c r="O317" s="79"/>
      <c r="P317" s="79"/>
      <c r="S317" s="79"/>
      <c r="T317" s="79"/>
      <c r="W317" s="130"/>
      <c r="Y317" s="106"/>
    </row>
    <row r="318">
      <c r="C318" s="79"/>
      <c r="D318" s="79"/>
      <c r="J318" s="79"/>
      <c r="O318" s="79"/>
      <c r="P318" s="79"/>
      <c r="S318" s="79"/>
      <c r="T318" s="79"/>
      <c r="W318" s="130"/>
      <c r="Y318" s="106"/>
    </row>
    <row r="319">
      <c r="C319" s="79"/>
      <c r="D319" s="79"/>
      <c r="J319" s="79"/>
      <c r="O319" s="79"/>
      <c r="P319" s="79"/>
      <c r="S319" s="79"/>
      <c r="T319" s="79"/>
      <c r="W319" s="130"/>
      <c r="Y319" s="106"/>
    </row>
    <row r="320">
      <c r="C320" s="79"/>
      <c r="D320" s="79"/>
      <c r="J320" s="79"/>
      <c r="O320" s="79"/>
      <c r="P320" s="79"/>
      <c r="S320" s="79"/>
      <c r="T320" s="79"/>
      <c r="W320" s="130"/>
      <c r="Y320" s="106"/>
    </row>
    <row r="321">
      <c r="C321" s="79"/>
      <c r="D321" s="79"/>
      <c r="J321" s="79"/>
      <c r="O321" s="79"/>
      <c r="P321" s="79"/>
      <c r="S321" s="79"/>
      <c r="T321" s="79"/>
      <c r="W321" s="130"/>
      <c r="Y321" s="106"/>
    </row>
    <row r="322">
      <c r="C322" s="79"/>
      <c r="D322" s="79"/>
      <c r="J322" s="79"/>
      <c r="O322" s="79"/>
      <c r="P322" s="79"/>
      <c r="S322" s="79"/>
      <c r="T322" s="79"/>
      <c r="W322" s="130"/>
      <c r="Y322" s="106"/>
    </row>
    <row r="323">
      <c r="C323" s="79"/>
      <c r="D323" s="79"/>
      <c r="J323" s="79"/>
      <c r="O323" s="79"/>
      <c r="P323" s="79"/>
      <c r="S323" s="79"/>
      <c r="T323" s="79"/>
      <c r="W323" s="130"/>
      <c r="Y323" s="106"/>
    </row>
    <row r="324">
      <c r="C324" s="79"/>
      <c r="D324" s="79"/>
      <c r="J324" s="79"/>
      <c r="O324" s="79"/>
      <c r="P324" s="79"/>
      <c r="S324" s="79"/>
      <c r="T324" s="79"/>
      <c r="W324" s="130"/>
      <c r="Y324" s="106"/>
    </row>
    <row r="325">
      <c r="C325" s="79"/>
      <c r="D325" s="79"/>
      <c r="J325" s="79"/>
      <c r="O325" s="79"/>
      <c r="P325" s="79"/>
      <c r="S325" s="79"/>
      <c r="T325" s="79"/>
      <c r="W325" s="130"/>
      <c r="Y325" s="106"/>
    </row>
    <row r="326">
      <c r="C326" s="79"/>
      <c r="D326" s="79"/>
      <c r="J326" s="79"/>
      <c r="O326" s="79"/>
      <c r="P326" s="79"/>
      <c r="S326" s="79"/>
      <c r="T326" s="79"/>
      <c r="W326" s="130"/>
      <c r="Y326" s="106"/>
    </row>
    <row r="327">
      <c r="C327" s="79"/>
      <c r="D327" s="79"/>
      <c r="J327" s="79"/>
      <c r="O327" s="79"/>
      <c r="P327" s="79"/>
      <c r="S327" s="79"/>
      <c r="T327" s="79"/>
      <c r="W327" s="130"/>
      <c r="Y327" s="106"/>
    </row>
    <row r="328">
      <c r="C328" s="79"/>
      <c r="D328" s="79"/>
      <c r="J328" s="79"/>
      <c r="O328" s="79"/>
      <c r="P328" s="79"/>
      <c r="S328" s="79"/>
      <c r="T328" s="79"/>
      <c r="W328" s="130"/>
      <c r="Y328" s="106"/>
    </row>
    <row r="329">
      <c r="C329" s="79"/>
      <c r="D329" s="79"/>
      <c r="J329" s="79"/>
      <c r="O329" s="79"/>
      <c r="P329" s="79"/>
      <c r="S329" s="79"/>
      <c r="T329" s="79"/>
      <c r="W329" s="130"/>
      <c r="Y329" s="106"/>
    </row>
    <row r="330">
      <c r="C330" s="79"/>
      <c r="D330" s="79"/>
      <c r="J330" s="79"/>
      <c r="O330" s="79"/>
      <c r="P330" s="79"/>
      <c r="S330" s="79"/>
      <c r="T330" s="79"/>
      <c r="W330" s="130"/>
      <c r="Y330" s="106"/>
    </row>
    <row r="331">
      <c r="C331" s="79"/>
      <c r="D331" s="79"/>
      <c r="J331" s="79"/>
      <c r="O331" s="79"/>
      <c r="P331" s="79"/>
      <c r="S331" s="79"/>
      <c r="T331" s="79"/>
      <c r="W331" s="130"/>
      <c r="Y331" s="106"/>
    </row>
    <row r="332">
      <c r="C332" s="79"/>
      <c r="D332" s="79"/>
      <c r="J332" s="79"/>
      <c r="O332" s="79"/>
      <c r="P332" s="79"/>
      <c r="S332" s="79"/>
      <c r="T332" s="79"/>
      <c r="W332" s="130"/>
      <c r="Y332" s="106"/>
    </row>
    <row r="333">
      <c r="C333" s="79"/>
      <c r="D333" s="79"/>
      <c r="J333" s="79"/>
      <c r="O333" s="79"/>
      <c r="P333" s="79"/>
      <c r="S333" s="79"/>
      <c r="T333" s="79"/>
      <c r="W333" s="130"/>
      <c r="Y333" s="106"/>
    </row>
    <row r="334">
      <c r="C334" s="79"/>
      <c r="D334" s="79"/>
      <c r="J334" s="79"/>
      <c r="O334" s="79"/>
      <c r="P334" s="79"/>
      <c r="S334" s="79"/>
      <c r="T334" s="79"/>
      <c r="W334" s="130"/>
      <c r="Y334" s="106"/>
    </row>
    <row r="335">
      <c r="C335" s="79"/>
      <c r="D335" s="79"/>
      <c r="J335" s="79"/>
      <c r="O335" s="79"/>
      <c r="P335" s="79"/>
      <c r="S335" s="79"/>
      <c r="T335" s="79"/>
      <c r="W335" s="130"/>
      <c r="Y335" s="106"/>
    </row>
    <row r="336">
      <c r="C336" s="79"/>
      <c r="D336" s="79"/>
      <c r="J336" s="79"/>
      <c r="O336" s="79"/>
      <c r="P336" s="79"/>
      <c r="S336" s="79"/>
      <c r="T336" s="79"/>
      <c r="W336" s="130"/>
      <c r="Y336" s="106"/>
    </row>
    <row r="337">
      <c r="C337" s="79"/>
      <c r="D337" s="79"/>
      <c r="J337" s="79"/>
      <c r="O337" s="79"/>
      <c r="P337" s="79"/>
      <c r="S337" s="79"/>
      <c r="T337" s="79"/>
      <c r="W337" s="130"/>
      <c r="Y337" s="106"/>
    </row>
    <row r="338">
      <c r="C338" s="79"/>
      <c r="D338" s="79"/>
      <c r="J338" s="79"/>
      <c r="O338" s="79"/>
      <c r="P338" s="79"/>
      <c r="S338" s="79"/>
      <c r="T338" s="79"/>
      <c r="W338" s="130"/>
      <c r="Y338" s="106"/>
    </row>
    <row r="339">
      <c r="C339" s="79"/>
      <c r="D339" s="79"/>
      <c r="J339" s="79"/>
      <c r="O339" s="79"/>
      <c r="P339" s="79"/>
      <c r="S339" s="79"/>
      <c r="T339" s="79"/>
      <c r="W339" s="130"/>
      <c r="Y339" s="106"/>
    </row>
    <row r="340">
      <c r="C340" s="79"/>
      <c r="D340" s="79"/>
      <c r="J340" s="79"/>
      <c r="O340" s="79"/>
      <c r="P340" s="79"/>
      <c r="S340" s="79"/>
      <c r="T340" s="79"/>
      <c r="W340" s="130"/>
      <c r="Y340" s="106"/>
    </row>
    <row r="341">
      <c r="C341" s="79"/>
      <c r="D341" s="79"/>
      <c r="J341" s="79"/>
      <c r="O341" s="79"/>
      <c r="P341" s="79"/>
      <c r="S341" s="79"/>
      <c r="T341" s="79"/>
      <c r="W341" s="130"/>
      <c r="Y341" s="106"/>
    </row>
    <row r="342">
      <c r="C342" s="79"/>
      <c r="D342" s="79"/>
      <c r="J342" s="79"/>
      <c r="O342" s="79"/>
      <c r="P342" s="79"/>
      <c r="S342" s="79"/>
      <c r="T342" s="79"/>
      <c r="W342" s="130"/>
      <c r="Y342" s="106"/>
    </row>
    <row r="343">
      <c r="C343" s="79"/>
      <c r="D343" s="79"/>
      <c r="J343" s="79"/>
      <c r="O343" s="79"/>
      <c r="P343" s="79"/>
      <c r="S343" s="79"/>
      <c r="T343" s="79"/>
      <c r="W343" s="130"/>
      <c r="Y343" s="106"/>
    </row>
    <row r="344">
      <c r="C344" s="79"/>
      <c r="D344" s="79"/>
      <c r="J344" s="79"/>
      <c r="O344" s="79"/>
      <c r="P344" s="79"/>
      <c r="S344" s="79"/>
      <c r="T344" s="79"/>
      <c r="W344" s="130"/>
      <c r="Y344" s="106"/>
    </row>
    <row r="345">
      <c r="C345" s="79"/>
      <c r="D345" s="79"/>
      <c r="J345" s="79"/>
      <c r="O345" s="79"/>
      <c r="P345" s="79"/>
      <c r="S345" s="79"/>
      <c r="T345" s="79"/>
      <c r="W345" s="130"/>
      <c r="Y345" s="106"/>
    </row>
    <row r="346">
      <c r="C346" s="79"/>
      <c r="D346" s="79"/>
      <c r="J346" s="79"/>
      <c r="O346" s="79"/>
      <c r="P346" s="79"/>
      <c r="S346" s="79"/>
      <c r="T346" s="79"/>
      <c r="W346" s="130"/>
      <c r="Y346" s="106"/>
    </row>
    <row r="347">
      <c r="C347" s="79"/>
      <c r="D347" s="79"/>
      <c r="J347" s="79"/>
      <c r="O347" s="79"/>
      <c r="P347" s="79"/>
      <c r="S347" s="79"/>
      <c r="T347" s="79"/>
      <c r="W347" s="130"/>
      <c r="Y347" s="106"/>
    </row>
    <row r="348">
      <c r="C348" s="79"/>
      <c r="D348" s="79"/>
      <c r="J348" s="79"/>
      <c r="O348" s="79"/>
      <c r="P348" s="79"/>
      <c r="S348" s="79"/>
      <c r="T348" s="79"/>
      <c r="W348" s="130"/>
      <c r="Y348" s="106"/>
    </row>
    <row r="349">
      <c r="C349" s="79"/>
      <c r="D349" s="79"/>
      <c r="J349" s="79"/>
      <c r="O349" s="79"/>
      <c r="P349" s="79"/>
      <c r="S349" s="79"/>
      <c r="T349" s="79"/>
      <c r="W349" s="130"/>
      <c r="Y349" s="106"/>
    </row>
    <row r="350">
      <c r="C350" s="79"/>
      <c r="D350" s="79"/>
      <c r="J350" s="79"/>
      <c r="O350" s="79"/>
      <c r="P350" s="79"/>
      <c r="S350" s="79"/>
      <c r="T350" s="79"/>
      <c r="W350" s="130"/>
      <c r="Y350" s="106"/>
    </row>
    <row r="351">
      <c r="C351" s="79"/>
      <c r="D351" s="79"/>
      <c r="J351" s="79"/>
      <c r="O351" s="79"/>
      <c r="P351" s="79"/>
      <c r="S351" s="79"/>
      <c r="T351" s="79"/>
      <c r="W351" s="130"/>
      <c r="Y351" s="106"/>
    </row>
    <row r="352">
      <c r="C352" s="79"/>
      <c r="D352" s="79"/>
      <c r="J352" s="79"/>
      <c r="O352" s="79"/>
      <c r="P352" s="79"/>
      <c r="S352" s="79"/>
      <c r="T352" s="79"/>
      <c r="W352" s="130"/>
      <c r="Y352" s="106"/>
    </row>
    <row r="353">
      <c r="C353" s="79"/>
      <c r="D353" s="79"/>
      <c r="J353" s="79"/>
      <c r="O353" s="79"/>
      <c r="P353" s="79"/>
      <c r="S353" s="79"/>
      <c r="T353" s="79"/>
      <c r="W353" s="130"/>
      <c r="Y353" s="106"/>
    </row>
    <row r="354">
      <c r="C354" s="79"/>
      <c r="D354" s="79"/>
      <c r="J354" s="79"/>
      <c r="O354" s="79"/>
      <c r="P354" s="79"/>
      <c r="S354" s="79"/>
      <c r="T354" s="79"/>
      <c r="W354" s="130"/>
      <c r="Y354" s="106"/>
    </row>
    <row r="355">
      <c r="C355" s="79"/>
      <c r="D355" s="79"/>
      <c r="J355" s="79"/>
      <c r="O355" s="79"/>
      <c r="P355" s="79"/>
      <c r="S355" s="79"/>
      <c r="T355" s="79"/>
      <c r="W355" s="130"/>
      <c r="Y355" s="106"/>
    </row>
    <row r="356">
      <c r="C356" s="79"/>
      <c r="D356" s="79"/>
      <c r="J356" s="79"/>
      <c r="O356" s="79"/>
      <c r="P356" s="79"/>
      <c r="S356" s="79"/>
      <c r="T356" s="79"/>
      <c r="W356" s="130"/>
      <c r="Y356" s="106"/>
    </row>
    <row r="357">
      <c r="C357" s="79"/>
      <c r="D357" s="79"/>
      <c r="J357" s="79"/>
      <c r="O357" s="79"/>
      <c r="P357" s="79"/>
      <c r="S357" s="79"/>
      <c r="T357" s="79"/>
      <c r="W357" s="130"/>
      <c r="Y357" s="106"/>
    </row>
    <row r="358">
      <c r="C358" s="79"/>
      <c r="D358" s="79"/>
      <c r="J358" s="79"/>
      <c r="O358" s="79"/>
      <c r="P358" s="79"/>
      <c r="S358" s="79"/>
      <c r="T358" s="79"/>
      <c r="W358" s="130"/>
      <c r="Y358" s="106"/>
    </row>
    <row r="359">
      <c r="C359" s="79"/>
      <c r="D359" s="79"/>
      <c r="J359" s="79"/>
      <c r="O359" s="79"/>
      <c r="P359" s="79"/>
      <c r="S359" s="79"/>
      <c r="T359" s="79"/>
      <c r="W359" s="130"/>
      <c r="Y359" s="106"/>
    </row>
    <row r="360">
      <c r="C360" s="79"/>
      <c r="D360" s="79"/>
      <c r="J360" s="79"/>
      <c r="O360" s="79"/>
      <c r="P360" s="79"/>
      <c r="S360" s="79"/>
      <c r="T360" s="79"/>
      <c r="W360" s="130"/>
      <c r="Y360" s="106"/>
    </row>
    <row r="361">
      <c r="C361" s="79"/>
      <c r="D361" s="79"/>
      <c r="J361" s="79"/>
      <c r="O361" s="79"/>
      <c r="P361" s="79"/>
      <c r="S361" s="79"/>
      <c r="T361" s="79"/>
      <c r="W361" s="130"/>
      <c r="Y361" s="106"/>
    </row>
    <row r="362">
      <c r="C362" s="79"/>
      <c r="D362" s="79"/>
      <c r="J362" s="79"/>
      <c r="O362" s="79"/>
      <c r="P362" s="79"/>
      <c r="S362" s="79"/>
      <c r="T362" s="79"/>
      <c r="W362" s="130"/>
      <c r="Y362" s="106"/>
    </row>
    <row r="363">
      <c r="C363" s="79"/>
      <c r="D363" s="79"/>
      <c r="J363" s="79"/>
      <c r="O363" s="79"/>
      <c r="P363" s="79"/>
      <c r="S363" s="79"/>
      <c r="T363" s="79"/>
      <c r="W363" s="130"/>
      <c r="Y363" s="106"/>
    </row>
    <row r="364">
      <c r="C364" s="79"/>
      <c r="D364" s="79"/>
      <c r="J364" s="79"/>
      <c r="O364" s="79"/>
      <c r="P364" s="79"/>
      <c r="S364" s="79"/>
      <c r="T364" s="79"/>
      <c r="W364" s="130"/>
      <c r="Y364" s="106"/>
    </row>
    <row r="365">
      <c r="C365" s="79"/>
      <c r="D365" s="79"/>
      <c r="J365" s="79"/>
      <c r="O365" s="79"/>
      <c r="P365" s="79"/>
      <c r="S365" s="79"/>
      <c r="T365" s="79"/>
      <c r="W365" s="130"/>
      <c r="Y365" s="106"/>
    </row>
    <row r="366">
      <c r="C366" s="79"/>
      <c r="D366" s="79"/>
      <c r="J366" s="79"/>
      <c r="O366" s="79"/>
      <c r="P366" s="79"/>
      <c r="S366" s="79"/>
      <c r="T366" s="79"/>
      <c r="W366" s="130"/>
      <c r="Y366" s="106"/>
    </row>
    <row r="367">
      <c r="C367" s="79"/>
      <c r="D367" s="79"/>
      <c r="J367" s="79"/>
      <c r="O367" s="79"/>
      <c r="P367" s="79"/>
      <c r="S367" s="79"/>
      <c r="T367" s="79"/>
      <c r="W367" s="130"/>
      <c r="Y367" s="106"/>
    </row>
    <row r="368">
      <c r="C368" s="79"/>
      <c r="D368" s="79"/>
      <c r="J368" s="79"/>
      <c r="O368" s="79"/>
      <c r="P368" s="79"/>
      <c r="S368" s="79"/>
      <c r="T368" s="79"/>
      <c r="W368" s="130"/>
      <c r="Y368" s="106"/>
    </row>
    <row r="369">
      <c r="C369" s="79"/>
      <c r="D369" s="79"/>
      <c r="J369" s="79"/>
      <c r="O369" s="79"/>
      <c r="P369" s="79"/>
      <c r="S369" s="79"/>
      <c r="T369" s="79"/>
      <c r="W369" s="130"/>
      <c r="Y369" s="106"/>
    </row>
    <row r="370">
      <c r="C370" s="79"/>
      <c r="D370" s="79"/>
      <c r="J370" s="79"/>
      <c r="O370" s="79"/>
      <c r="P370" s="79"/>
      <c r="S370" s="79"/>
      <c r="T370" s="79"/>
      <c r="W370" s="130"/>
      <c r="Y370" s="106"/>
    </row>
    <row r="371">
      <c r="C371" s="79"/>
      <c r="D371" s="79"/>
      <c r="J371" s="79"/>
      <c r="O371" s="79"/>
      <c r="P371" s="79"/>
      <c r="S371" s="79"/>
      <c r="T371" s="79"/>
      <c r="W371" s="130"/>
      <c r="Y371" s="106"/>
    </row>
    <row r="372">
      <c r="C372" s="79"/>
      <c r="D372" s="79"/>
      <c r="J372" s="79"/>
      <c r="O372" s="79"/>
      <c r="P372" s="79"/>
      <c r="S372" s="79"/>
      <c r="T372" s="79"/>
      <c r="W372" s="130"/>
      <c r="Y372" s="106"/>
    </row>
    <row r="373">
      <c r="C373" s="79"/>
      <c r="D373" s="79"/>
      <c r="J373" s="79"/>
      <c r="O373" s="79"/>
      <c r="P373" s="79"/>
      <c r="S373" s="79"/>
      <c r="T373" s="79"/>
      <c r="W373" s="130"/>
      <c r="Y373" s="106"/>
    </row>
    <row r="374">
      <c r="C374" s="79"/>
      <c r="D374" s="79"/>
      <c r="J374" s="79"/>
      <c r="O374" s="79"/>
      <c r="P374" s="79"/>
      <c r="S374" s="79"/>
      <c r="T374" s="79"/>
      <c r="W374" s="130"/>
      <c r="Y374" s="106"/>
    </row>
    <row r="375">
      <c r="C375" s="79"/>
      <c r="D375" s="79"/>
      <c r="J375" s="79"/>
      <c r="O375" s="79"/>
      <c r="P375" s="79"/>
      <c r="S375" s="79"/>
      <c r="T375" s="79"/>
      <c r="W375" s="130"/>
      <c r="Y375" s="106"/>
    </row>
    <row r="376">
      <c r="C376" s="79"/>
      <c r="D376" s="79"/>
      <c r="J376" s="79"/>
      <c r="O376" s="79"/>
      <c r="P376" s="79"/>
      <c r="S376" s="79"/>
      <c r="T376" s="79"/>
      <c r="W376" s="130"/>
      <c r="Y376" s="106"/>
    </row>
    <row r="377">
      <c r="C377" s="79"/>
      <c r="D377" s="79"/>
      <c r="J377" s="79"/>
      <c r="O377" s="79"/>
      <c r="P377" s="79"/>
      <c r="S377" s="79"/>
      <c r="T377" s="79"/>
      <c r="W377" s="130"/>
      <c r="Y377" s="106"/>
    </row>
    <row r="378">
      <c r="C378" s="79"/>
      <c r="D378" s="79"/>
      <c r="J378" s="79"/>
      <c r="O378" s="79"/>
      <c r="P378" s="79"/>
      <c r="S378" s="79"/>
      <c r="T378" s="79"/>
      <c r="W378" s="130"/>
      <c r="Y378" s="106"/>
    </row>
    <row r="379">
      <c r="C379" s="79"/>
      <c r="D379" s="79"/>
      <c r="J379" s="79"/>
      <c r="O379" s="79"/>
      <c r="P379" s="79"/>
      <c r="S379" s="79"/>
      <c r="T379" s="79"/>
      <c r="W379" s="130"/>
      <c r="Y379" s="106"/>
    </row>
    <row r="380">
      <c r="C380" s="79"/>
      <c r="D380" s="79"/>
      <c r="J380" s="79"/>
      <c r="O380" s="79"/>
      <c r="P380" s="79"/>
      <c r="S380" s="79"/>
      <c r="T380" s="79"/>
      <c r="W380" s="130"/>
      <c r="Y380" s="106"/>
    </row>
    <row r="381">
      <c r="C381" s="79"/>
      <c r="D381" s="79"/>
      <c r="J381" s="79"/>
      <c r="O381" s="79"/>
      <c r="P381" s="79"/>
      <c r="S381" s="79"/>
      <c r="T381" s="79"/>
      <c r="W381" s="130"/>
      <c r="Y381" s="106"/>
    </row>
    <row r="382">
      <c r="C382" s="79"/>
      <c r="D382" s="79"/>
      <c r="J382" s="79"/>
      <c r="O382" s="79"/>
      <c r="P382" s="79"/>
      <c r="S382" s="79"/>
      <c r="T382" s="79"/>
      <c r="W382" s="130"/>
      <c r="Y382" s="106"/>
    </row>
    <row r="383">
      <c r="C383" s="79"/>
      <c r="D383" s="79"/>
      <c r="J383" s="79"/>
      <c r="O383" s="79"/>
      <c r="P383" s="79"/>
      <c r="S383" s="79"/>
      <c r="T383" s="79"/>
      <c r="W383" s="130"/>
      <c r="Y383" s="106"/>
    </row>
    <row r="384">
      <c r="C384" s="79"/>
      <c r="D384" s="79"/>
      <c r="J384" s="79"/>
      <c r="O384" s="79"/>
      <c r="P384" s="79"/>
      <c r="S384" s="79"/>
      <c r="T384" s="79"/>
      <c r="W384" s="130"/>
      <c r="Y384" s="106"/>
    </row>
    <row r="385">
      <c r="C385" s="79"/>
      <c r="D385" s="79"/>
      <c r="J385" s="79"/>
      <c r="O385" s="79"/>
      <c r="P385" s="79"/>
      <c r="S385" s="79"/>
      <c r="T385" s="79"/>
      <c r="W385" s="130"/>
      <c r="Y385" s="106"/>
    </row>
    <row r="386">
      <c r="C386" s="79"/>
      <c r="D386" s="79"/>
      <c r="J386" s="79"/>
      <c r="O386" s="79"/>
      <c r="P386" s="79"/>
      <c r="S386" s="79"/>
      <c r="T386" s="79"/>
      <c r="W386" s="130"/>
      <c r="Y386" s="106"/>
    </row>
    <row r="387">
      <c r="C387" s="79"/>
      <c r="D387" s="79"/>
      <c r="J387" s="79"/>
      <c r="O387" s="79"/>
      <c r="P387" s="79"/>
      <c r="S387" s="79"/>
      <c r="T387" s="79"/>
      <c r="W387" s="130"/>
      <c r="Y387" s="106"/>
    </row>
    <row r="388">
      <c r="C388" s="79"/>
      <c r="D388" s="79"/>
      <c r="J388" s="79"/>
      <c r="O388" s="79"/>
      <c r="P388" s="79"/>
      <c r="S388" s="79"/>
      <c r="T388" s="79"/>
      <c r="W388" s="130"/>
      <c r="Y388" s="106"/>
    </row>
    <row r="389">
      <c r="C389" s="79"/>
      <c r="D389" s="79"/>
      <c r="J389" s="79"/>
      <c r="O389" s="79"/>
      <c r="P389" s="79"/>
      <c r="S389" s="79"/>
      <c r="T389" s="79"/>
      <c r="W389" s="130"/>
      <c r="Y389" s="106"/>
    </row>
    <row r="390">
      <c r="C390" s="79"/>
      <c r="D390" s="79"/>
      <c r="J390" s="79"/>
      <c r="O390" s="79"/>
      <c r="P390" s="79"/>
      <c r="S390" s="79"/>
      <c r="T390" s="79"/>
      <c r="W390" s="130"/>
      <c r="Y390" s="106"/>
    </row>
    <row r="391">
      <c r="C391" s="79"/>
      <c r="D391" s="79"/>
      <c r="J391" s="79"/>
      <c r="O391" s="79"/>
      <c r="P391" s="79"/>
      <c r="S391" s="79"/>
      <c r="T391" s="79"/>
      <c r="W391" s="130"/>
      <c r="Y391" s="106"/>
    </row>
    <row r="392">
      <c r="C392" s="79"/>
      <c r="D392" s="79"/>
      <c r="J392" s="79"/>
      <c r="O392" s="79"/>
      <c r="P392" s="79"/>
      <c r="S392" s="79"/>
      <c r="T392" s="79"/>
      <c r="W392" s="130"/>
      <c r="Y392" s="106"/>
    </row>
    <row r="393">
      <c r="C393" s="79"/>
      <c r="D393" s="79"/>
      <c r="J393" s="79"/>
      <c r="O393" s="79"/>
      <c r="P393" s="79"/>
      <c r="S393" s="79"/>
      <c r="T393" s="79"/>
      <c r="W393" s="130"/>
      <c r="Y393" s="106"/>
    </row>
    <row r="394">
      <c r="C394" s="79"/>
      <c r="D394" s="79"/>
      <c r="J394" s="79"/>
      <c r="O394" s="79"/>
      <c r="P394" s="79"/>
      <c r="S394" s="79"/>
      <c r="T394" s="79"/>
      <c r="W394" s="130"/>
      <c r="Y394" s="106"/>
    </row>
    <row r="395">
      <c r="C395" s="79"/>
      <c r="D395" s="79"/>
      <c r="J395" s="79"/>
      <c r="O395" s="79"/>
      <c r="P395" s="79"/>
      <c r="S395" s="79"/>
      <c r="T395" s="79"/>
      <c r="W395" s="130"/>
      <c r="Y395" s="106"/>
    </row>
    <row r="396">
      <c r="C396" s="79"/>
      <c r="D396" s="79"/>
      <c r="J396" s="79"/>
      <c r="O396" s="79"/>
      <c r="P396" s="79"/>
      <c r="S396" s="79"/>
      <c r="T396" s="79"/>
      <c r="W396" s="130"/>
      <c r="Y396" s="106"/>
    </row>
    <row r="397">
      <c r="C397" s="79"/>
      <c r="D397" s="79"/>
      <c r="J397" s="79"/>
      <c r="O397" s="79"/>
      <c r="P397" s="79"/>
      <c r="S397" s="79"/>
      <c r="T397" s="79"/>
      <c r="W397" s="130"/>
      <c r="Y397" s="106"/>
    </row>
    <row r="398">
      <c r="C398" s="79"/>
      <c r="D398" s="79"/>
      <c r="J398" s="79"/>
      <c r="O398" s="79"/>
      <c r="P398" s="79"/>
      <c r="S398" s="79"/>
      <c r="T398" s="79"/>
      <c r="W398" s="130"/>
      <c r="Y398" s="106"/>
    </row>
    <row r="399">
      <c r="C399" s="79"/>
      <c r="D399" s="79"/>
      <c r="J399" s="79"/>
      <c r="O399" s="79"/>
      <c r="P399" s="79"/>
      <c r="S399" s="79"/>
      <c r="T399" s="79"/>
      <c r="W399" s="130"/>
      <c r="Y399" s="106"/>
    </row>
    <row r="400">
      <c r="C400" s="79"/>
      <c r="D400" s="79"/>
      <c r="J400" s="79"/>
      <c r="O400" s="79"/>
      <c r="P400" s="79"/>
      <c r="S400" s="79"/>
      <c r="T400" s="79"/>
      <c r="W400" s="130"/>
      <c r="Y400" s="106"/>
    </row>
    <row r="401">
      <c r="C401" s="79"/>
      <c r="D401" s="79"/>
      <c r="J401" s="79"/>
      <c r="O401" s="79"/>
      <c r="P401" s="79"/>
      <c r="S401" s="79"/>
      <c r="T401" s="79"/>
      <c r="W401" s="130"/>
      <c r="Y401" s="106"/>
    </row>
    <row r="402">
      <c r="C402" s="79"/>
      <c r="D402" s="79"/>
      <c r="J402" s="79"/>
      <c r="O402" s="79"/>
      <c r="P402" s="79"/>
      <c r="S402" s="79"/>
      <c r="T402" s="79"/>
      <c r="W402" s="130"/>
      <c r="Y402" s="106"/>
    </row>
    <row r="403">
      <c r="C403" s="79"/>
      <c r="D403" s="79"/>
      <c r="J403" s="79"/>
      <c r="O403" s="79"/>
      <c r="P403" s="79"/>
      <c r="S403" s="79"/>
      <c r="T403" s="79"/>
      <c r="W403" s="130"/>
      <c r="Y403" s="106"/>
    </row>
    <row r="404">
      <c r="C404" s="79"/>
      <c r="D404" s="79"/>
      <c r="J404" s="79"/>
      <c r="O404" s="79"/>
      <c r="P404" s="79"/>
      <c r="S404" s="79"/>
      <c r="T404" s="79"/>
      <c r="W404" s="130"/>
      <c r="Y404" s="106"/>
    </row>
    <row r="405">
      <c r="C405" s="79"/>
      <c r="D405" s="79"/>
      <c r="J405" s="79"/>
      <c r="O405" s="79"/>
      <c r="P405" s="79"/>
      <c r="S405" s="79"/>
      <c r="T405" s="79"/>
      <c r="W405" s="130"/>
      <c r="Y405" s="106"/>
    </row>
    <row r="406">
      <c r="C406" s="79"/>
      <c r="D406" s="79"/>
      <c r="J406" s="79"/>
      <c r="O406" s="79"/>
      <c r="P406" s="79"/>
      <c r="S406" s="79"/>
      <c r="T406" s="79"/>
      <c r="W406" s="130"/>
      <c r="Y406" s="106"/>
    </row>
    <row r="407">
      <c r="C407" s="79"/>
      <c r="D407" s="79"/>
      <c r="J407" s="79"/>
      <c r="O407" s="79"/>
      <c r="P407" s="79"/>
      <c r="S407" s="79"/>
      <c r="T407" s="79"/>
      <c r="W407" s="130"/>
      <c r="Y407" s="106"/>
    </row>
    <row r="408">
      <c r="C408" s="79"/>
      <c r="D408" s="79"/>
      <c r="J408" s="79"/>
      <c r="O408" s="79"/>
      <c r="P408" s="79"/>
      <c r="S408" s="79"/>
      <c r="T408" s="79"/>
      <c r="W408" s="130"/>
      <c r="Y408" s="106"/>
    </row>
    <row r="409">
      <c r="C409" s="79"/>
      <c r="D409" s="79"/>
      <c r="J409" s="79"/>
      <c r="O409" s="79"/>
      <c r="P409" s="79"/>
      <c r="S409" s="79"/>
      <c r="T409" s="79"/>
      <c r="W409" s="130"/>
      <c r="Y409" s="106"/>
    </row>
    <row r="410">
      <c r="C410" s="79"/>
      <c r="D410" s="79"/>
      <c r="J410" s="79"/>
      <c r="O410" s="79"/>
      <c r="P410" s="79"/>
      <c r="S410" s="79"/>
      <c r="T410" s="79"/>
      <c r="W410" s="130"/>
      <c r="Y410" s="106"/>
    </row>
    <row r="411">
      <c r="C411" s="79"/>
      <c r="D411" s="79"/>
      <c r="J411" s="79"/>
      <c r="O411" s="79"/>
      <c r="P411" s="79"/>
      <c r="S411" s="79"/>
      <c r="T411" s="79"/>
      <c r="W411" s="130"/>
      <c r="Y411" s="106"/>
    </row>
    <row r="412">
      <c r="C412" s="79"/>
      <c r="D412" s="79"/>
      <c r="J412" s="79"/>
      <c r="O412" s="79"/>
      <c r="P412" s="79"/>
      <c r="S412" s="79"/>
      <c r="T412" s="79"/>
      <c r="W412" s="130"/>
      <c r="Y412" s="106"/>
    </row>
    <row r="413">
      <c r="C413" s="79"/>
      <c r="D413" s="79"/>
      <c r="J413" s="79"/>
      <c r="O413" s="79"/>
      <c r="P413" s="79"/>
      <c r="S413" s="79"/>
      <c r="T413" s="79"/>
      <c r="W413" s="130"/>
      <c r="Y413" s="106"/>
    </row>
    <row r="414">
      <c r="C414" s="79"/>
      <c r="D414" s="79"/>
      <c r="J414" s="79"/>
      <c r="O414" s="79"/>
      <c r="P414" s="79"/>
      <c r="S414" s="79"/>
      <c r="T414" s="79"/>
      <c r="W414" s="130"/>
      <c r="Y414" s="106"/>
    </row>
    <row r="415">
      <c r="C415" s="79"/>
      <c r="D415" s="79"/>
      <c r="J415" s="79"/>
      <c r="O415" s="79"/>
      <c r="P415" s="79"/>
      <c r="S415" s="79"/>
      <c r="T415" s="79"/>
      <c r="W415" s="130"/>
      <c r="Y415" s="106"/>
    </row>
    <row r="416">
      <c r="C416" s="79"/>
      <c r="D416" s="79"/>
      <c r="J416" s="79"/>
      <c r="O416" s="79"/>
      <c r="P416" s="79"/>
      <c r="S416" s="79"/>
      <c r="T416" s="79"/>
      <c r="W416" s="130"/>
      <c r="Y416" s="106"/>
    </row>
    <row r="417">
      <c r="C417" s="79"/>
      <c r="D417" s="79"/>
      <c r="J417" s="79"/>
      <c r="O417" s="79"/>
      <c r="P417" s="79"/>
      <c r="S417" s="79"/>
      <c r="T417" s="79"/>
      <c r="W417" s="130"/>
      <c r="Y417" s="106"/>
    </row>
    <row r="418">
      <c r="C418" s="79"/>
      <c r="D418" s="79"/>
      <c r="J418" s="79"/>
      <c r="O418" s="79"/>
      <c r="P418" s="79"/>
      <c r="S418" s="79"/>
      <c r="T418" s="79"/>
      <c r="W418" s="130"/>
      <c r="Y418" s="106"/>
    </row>
    <row r="419">
      <c r="C419" s="79"/>
      <c r="D419" s="79"/>
      <c r="J419" s="79"/>
      <c r="O419" s="79"/>
      <c r="P419" s="79"/>
      <c r="S419" s="79"/>
      <c r="T419" s="79"/>
      <c r="W419" s="130"/>
      <c r="Y419" s="106"/>
    </row>
    <row r="420">
      <c r="C420" s="79"/>
      <c r="D420" s="79"/>
      <c r="J420" s="79"/>
      <c r="O420" s="79"/>
      <c r="P420" s="79"/>
      <c r="S420" s="79"/>
      <c r="T420" s="79"/>
      <c r="W420" s="130"/>
      <c r="Y420" s="106"/>
    </row>
    <row r="421">
      <c r="C421" s="79"/>
      <c r="D421" s="79"/>
      <c r="J421" s="79"/>
      <c r="O421" s="79"/>
      <c r="P421" s="79"/>
      <c r="S421" s="79"/>
      <c r="T421" s="79"/>
      <c r="W421" s="130"/>
      <c r="Y421" s="106"/>
    </row>
    <row r="422">
      <c r="C422" s="79"/>
      <c r="D422" s="79"/>
      <c r="J422" s="79"/>
      <c r="O422" s="79"/>
      <c r="P422" s="79"/>
      <c r="S422" s="79"/>
      <c r="T422" s="79"/>
      <c r="W422" s="130"/>
      <c r="Y422" s="106"/>
    </row>
    <row r="423">
      <c r="C423" s="79"/>
      <c r="D423" s="79"/>
      <c r="J423" s="79"/>
      <c r="O423" s="79"/>
      <c r="P423" s="79"/>
      <c r="S423" s="79"/>
      <c r="T423" s="79"/>
      <c r="W423" s="130"/>
      <c r="Y423" s="106"/>
    </row>
    <row r="424">
      <c r="C424" s="79"/>
      <c r="D424" s="79"/>
      <c r="J424" s="79"/>
      <c r="O424" s="79"/>
      <c r="P424" s="79"/>
      <c r="S424" s="79"/>
      <c r="T424" s="79"/>
      <c r="W424" s="130"/>
      <c r="Y424" s="106"/>
    </row>
    <row r="425">
      <c r="C425" s="79"/>
      <c r="D425" s="79"/>
      <c r="J425" s="79"/>
      <c r="O425" s="79"/>
      <c r="P425" s="79"/>
      <c r="S425" s="79"/>
      <c r="T425" s="79"/>
      <c r="W425" s="130"/>
      <c r="Y425" s="106"/>
    </row>
    <row r="426">
      <c r="C426" s="79"/>
      <c r="D426" s="79"/>
      <c r="J426" s="79"/>
      <c r="O426" s="79"/>
      <c r="P426" s="79"/>
      <c r="S426" s="79"/>
      <c r="T426" s="79"/>
      <c r="W426" s="130"/>
      <c r="Y426" s="106"/>
    </row>
    <row r="427">
      <c r="C427" s="79"/>
      <c r="D427" s="79"/>
      <c r="J427" s="79"/>
      <c r="O427" s="79"/>
      <c r="P427" s="79"/>
      <c r="S427" s="79"/>
      <c r="T427" s="79"/>
      <c r="W427" s="130"/>
      <c r="Y427" s="106"/>
    </row>
    <row r="428">
      <c r="C428" s="79"/>
      <c r="D428" s="79"/>
      <c r="J428" s="79"/>
      <c r="O428" s="79"/>
      <c r="P428" s="79"/>
      <c r="S428" s="79"/>
      <c r="T428" s="79"/>
      <c r="W428" s="130"/>
      <c r="Y428" s="106"/>
    </row>
    <row r="429">
      <c r="C429" s="79"/>
      <c r="D429" s="79"/>
      <c r="J429" s="79"/>
      <c r="O429" s="79"/>
      <c r="P429" s="79"/>
      <c r="S429" s="79"/>
      <c r="T429" s="79"/>
      <c r="W429" s="130"/>
      <c r="Y429" s="106"/>
    </row>
    <row r="430">
      <c r="C430" s="79"/>
      <c r="D430" s="79"/>
      <c r="J430" s="79"/>
      <c r="O430" s="79"/>
      <c r="P430" s="79"/>
      <c r="S430" s="79"/>
      <c r="T430" s="79"/>
      <c r="W430" s="130"/>
      <c r="Y430" s="106"/>
    </row>
    <row r="431">
      <c r="C431" s="79"/>
      <c r="D431" s="79"/>
      <c r="J431" s="79"/>
      <c r="O431" s="79"/>
      <c r="P431" s="79"/>
      <c r="S431" s="79"/>
      <c r="T431" s="79"/>
      <c r="W431" s="130"/>
      <c r="Y431" s="106"/>
    </row>
    <row r="432">
      <c r="C432" s="79"/>
      <c r="D432" s="79"/>
      <c r="J432" s="79"/>
      <c r="O432" s="79"/>
      <c r="P432" s="79"/>
      <c r="S432" s="79"/>
      <c r="T432" s="79"/>
      <c r="W432" s="130"/>
      <c r="Y432" s="106"/>
    </row>
    <row r="433">
      <c r="C433" s="79"/>
      <c r="D433" s="79"/>
      <c r="J433" s="79"/>
      <c r="O433" s="79"/>
      <c r="P433" s="79"/>
      <c r="S433" s="79"/>
      <c r="T433" s="79"/>
      <c r="W433" s="130"/>
      <c r="Y433" s="106"/>
    </row>
    <row r="434">
      <c r="C434" s="79"/>
      <c r="D434" s="79"/>
      <c r="J434" s="79"/>
      <c r="O434" s="79"/>
      <c r="P434" s="79"/>
      <c r="S434" s="79"/>
      <c r="T434" s="79"/>
      <c r="W434" s="130"/>
      <c r="Y434" s="106"/>
    </row>
    <row r="435">
      <c r="C435" s="79"/>
      <c r="D435" s="79"/>
      <c r="J435" s="79"/>
      <c r="O435" s="79"/>
      <c r="P435" s="79"/>
      <c r="S435" s="79"/>
      <c r="T435" s="79"/>
      <c r="W435" s="130"/>
      <c r="Y435" s="106"/>
    </row>
    <row r="436">
      <c r="C436" s="79"/>
      <c r="D436" s="79"/>
      <c r="J436" s="79"/>
      <c r="O436" s="79"/>
      <c r="P436" s="79"/>
      <c r="S436" s="79"/>
      <c r="T436" s="79"/>
      <c r="W436" s="130"/>
      <c r="Y436" s="106"/>
    </row>
    <row r="437">
      <c r="C437" s="79"/>
      <c r="D437" s="79"/>
      <c r="J437" s="79"/>
      <c r="O437" s="79"/>
      <c r="P437" s="79"/>
      <c r="S437" s="79"/>
      <c r="T437" s="79"/>
      <c r="W437" s="130"/>
      <c r="Y437" s="106"/>
    </row>
    <row r="438">
      <c r="C438" s="79"/>
      <c r="D438" s="79"/>
      <c r="J438" s="79"/>
      <c r="O438" s="79"/>
      <c r="P438" s="79"/>
      <c r="S438" s="79"/>
      <c r="T438" s="79"/>
      <c r="W438" s="130"/>
      <c r="Y438" s="106"/>
    </row>
    <row r="439">
      <c r="C439" s="79"/>
      <c r="D439" s="79"/>
      <c r="J439" s="79"/>
      <c r="O439" s="79"/>
      <c r="P439" s="79"/>
      <c r="S439" s="79"/>
      <c r="T439" s="79"/>
      <c r="W439" s="130"/>
      <c r="Y439" s="106"/>
    </row>
    <row r="440">
      <c r="C440" s="79"/>
      <c r="D440" s="79"/>
      <c r="J440" s="79"/>
      <c r="O440" s="79"/>
      <c r="P440" s="79"/>
      <c r="S440" s="79"/>
      <c r="T440" s="79"/>
      <c r="W440" s="130"/>
      <c r="Y440" s="106"/>
    </row>
    <row r="441">
      <c r="C441" s="79"/>
      <c r="D441" s="79"/>
      <c r="J441" s="79"/>
      <c r="O441" s="79"/>
      <c r="P441" s="79"/>
      <c r="S441" s="79"/>
      <c r="T441" s="79"/>
      <c r="W441" s="130"/>
      <c r="Y441" s="106"/>
    </row>
    <row r="442">
      <c r="C442" s="79"/>
      <c r="D442" s="79"/>
      <c r="J442" s="79"/>
      <c r="O442" s="79"/>
      <c r="P442" s="79"/>
      <c r="S442" s="79"/>
      <c r="T442" s="79"/>
      <c r="W442" s="130"/>
      <c r="Y442" s="106"/>
    </row>
    <row r="443">
      <c r="C443" s="79"/>
      <c r="D443" s="79"/>
      <c r="J443" s="79"/>
      <c r="O443" s="79"/>
      <c r="P443" s="79"/>
      <c r="S443" s="79"/>
      <c r="T443" s="79"/>
      <c r="W443" s="130"/>
      <c r="Y443" s="106"/>
    </row>
    <row r="444">
      <c r="C444" s="79"/>
      <c r="D444" s="79"/>
      <c r="J444" s="79"/>
      <c r="O444" s="79"/>
      <c r="P444" s="79"/>
      <c r="S444" s="79"/>
      <c r="T444" s="79"/>
      <c r="W444" s="130"/>
      <c r="Y444" s="106"/>
    </row>
    <row r="445">
      <c r="C445" s="79"/>
      <c r="D445" s="79"/>
      <c r="J445" s="79"/>
      <c r="O445" s="79"/>
      <c r="P445" s="79"/>
      <c r="S445" s="79"/>
      <c r="T445" s="79"/>
      <c r="W445" s="130"/>
      <c r="Y445" s="106"/>
    </row>
    <row r="446">
      <c r="C446" s="79"/>
      <c r="D446" s="79"/>
      <c r="J446" s="79"/>
      <c r="O446" s="79"/>
      <c r="P446" s="79"/>
      <c r="S446" s="79"/>
      <c r="T446" s="79"/>
      <c r="W446" s="130"/>
      <c r="Y446" s="106"/>
    </row>
    <row r="447">
      <c r="C447" s="79"/>
      <c r="D447" s="79"/>
      <c r="J447" s="79"/>
      <c r="O447" s="79"/>
      <c r="P447" s="79"/>
      <c r="S447" s="79"/>
      <c r="T447" s="79"/>
      <c r="W447" s="130"/>
      <c r="Y447" s="106"/>
    </row>
    <row r="448">
      <c r="C448" s="79"/>
      <c r="D448" s="79"/>
      <c r="J448" s="79"/>
      <c r="O448" s="79"/>
      <c r="P448" s="79"/>
      <c r="S448" s="79"/>
      <c r="T448" s="79"/>
      <c r="W448" s="130"/>
      <c r="Y448" s="106"/>
    </row>
    <row r="449">
      <c r="C449" s="79"/>
      <c r="D449" s="79"/>
      <c r="J449" s="79"/>
      <c r="O449" s="79"/>
      <c r="P449" s="79"/>
      <c r="S449" s="79"/>
      <c r="T449" s="79"/>
      <c r="W449" s="130"/>
      <c r="Y449" s="106"/>
    </row>
    <row r="450">
      <c r="C450" s="79"/>
      <c r="D450" s="79"/>
      <c r="J450" s="79"/>
      <c r="O450" s="79"/>
      <c r="P450" s="79"/>
      <c r="S450" s="79"/>
      <c r="T450" s="79"/>
      <c r="W450" s="130"/>
      <c r="Y450" s="106"/>
    </row>
    <row r="451">
      <c r="C451" s="79"/>
      <c r="D451" s="79"/>
      <c r="J451" s="79"/>
      <c r="O451" s="79"/>
      <c r="P451" s="79"/>
      <c r="S451" s="79"/>
      <c r="T451" s="79"/>
      <c r="W451" s="130"/>
      <c r="Y451" s="106"/>
    </row>
    <row r="452">
      <c r="C452" s="79"/>
      <c r="D452" s="79"/>
      <c r="J452" s="79"/>
      <c r="O452" s="79"/>
      <c r="P452" s="79"/>
      <c r="S452" s="79"/>
      <c r="T452" s="79"/>
      <c r="W452" s="130"/>
      <c r="Y452" s="106"/>
    </row>
    <row r="453">
      <c r="C453" s="79"/>
      <c r="D453" s="79"/>
      <c r="J453" s="79"/>
      <c r="O453" s="79"/>
      <c r="P453" s="79"/>
      <c r="S453" s="79"/>
      <c r="T453" s="79"/>
      <c r="W453" s="130"/>
      <c r="Y453" s="106"/>
    </row>
    <row r="454">
      <c r="C454" s="79"/>
      <c r="D454" s="79"/>
      <c r="J454" s="79"/>
      <c r="O454" s="79"/>
      <c r="P454" s="79"/>
      <c r="S454" s="79"/>
      <c r="T454" s="79"/>
      <c r="W454" s="130"/>
      <c r="Y454" s="106"/>
    </row>
    <row r="455">
      <c r="C455" s="79"/>
      <c r="D455" s="79"/>
      <c r="J455" s="79"/>
      <c r="O455" s="79"/>
      <c r="P455" s="79"/>
      <c r="S455" s="79"/>
      <c r="T455" s="79"/>
      <c r="W455" s="130"/>
      <c r="Y455" s="106"/>
    </row>
    <row r="456">
      <c r="C456" s="79"/>
      <c r="D456" s="79"/>
      <c r="J456" s="79"/>
      <c r="O456" s="79"/>
      <c r="P456" s="79"/>
      <c r="S456" s="79"/>
      <c r="T456" s="79"/>
      <c r="W456" s="130"/>
      <c r="Y456" s="106"/>
    </row>
    <row r="457">
      <c r="C457" s="79"/>
      <c r="D457" s="79"/>
      <c r="J457" s="79"/>
      <c r="O457" s="79"/>
      <c r="P457" s="79"/>
      <c r="S457" s="79"/>
      <c r="T457" s="79"/>
      <c r="W457" s="130"/>
      <c r="Y457" s="106"/>
    </row>
    <row r="458">
      <c r="C458" s="79"/>
      <c r="D458" s="79"/>
      <c r="J458" s="79"/>
      <c r="O458" s="79"/>
      <c r="P458" s="79"/>
      <c r="S458" s="79"/>
      <c r="T458" s="79"/>
      <c r="W458" s="130"/>
      <c r="Y458" s="106"/>
    </row>
    <row r="459">
      <c r="C459" s="79"/>
      <c r="D459" s="79"/>
      <c r="J459" s="79"/>
      <c r="O459" s="79"/>
      <c r="P459" s="79"/>
      <c r="S459" s="79"/>
      <c r="T459" s="79"/>
      <c r="W459" s="130"/>
      <c r="Y459" s="106"/>
    </row>
    <row r="460">
      <c r="C460" s="79"/>
      <c r="D460" s="79"/>
      <c r="J460" s="79"/>
      <c r="O460" s="79"/>
      <c r="P460" s="79"/>
      <c r="S460" s="79"/>
      <c r="T460" s="79"/>
      <c r="W460" s="130"/>
      <c r="Y460" s="106"/>
    </row>
    <row r="461">
      <c r="C461" s="79"/>
      <c r="D461" s="79"/>
      <c r="J461" s="79"/>
      <c r="O461" s="79"/>
      <c r="P461" s="79"/>
      <c r="S461" s="79"/>
      <c r="T461" s="79"/>
      <c r="W461" s="130"/>
      <c r="Y461" s="106"/>
    </row>
    <row r="462">
      <c r="C462" s="79"/>
      <c r="D462" s="79"/>
      <c r="J462" s="79"/>
      <c r="O462" s="79"/>
      <c r="P462" s="79"/>
      <c r="S462" s="79"/>
      <c r="T462" s="79"/>
      <c r="W462" s="130"/>
      <c r="Y462" s="106"/>
    </row>
    <row r="463">
      <c r="C463" s="79"/>
      <c r="D463" s="79"/>
      <c r="J463" s="79"/>
      <c r="O463" s="79"/>
      <c r="P463" s="79"/>
      <c r="S463" s="79"/>
      <c r="T463" s="79"/>
      <c r="W463" s="130"/>
      <c r="Y463" s="106"/>
    </row>
    <row r="464">
      <c r="C464" s="79"/>
      <c r="D464" s="79"/>
      <c r="J464" s="79"/>
      <c r="O464" s="79"/>
      <c r="P464" s="79"/>
      <c r="S464" s="79"/>
      <c r="T464" s="79"/>
      <c r="W464" s="130"/>
      <c r="Y464" s="106"/>
    </row>
    <row r="465">
      <c r="C465" s="79"/>
      <c r="D465" s="79"/>
      <c r="J465" s="79"/>
      <c r="O465" s="79"/>
      <c r="P465" s="79"/>
      <c r="S465" s="79"/>
      <c r="T465" s="79"/>
      <c r="W465" s="130"/>
      <c r="Y465" s="106"/>
    </row>
    <row r="466">
      <c r="C466" s="79"/>
      <c r="D466" s="79"/>
      <c r="J466" s="79"/>
      <c r="O466" s="79"/>
      <c r="P466" s="79"/>
      <c r="S466" s="79"/>
      <c r="T466" s="79"/>
      <c r="W466" s="130"/>
      <c r="Y466" s="106"/>
    </row>
    <row r="467">
      <c r="C467" s="79"/>
      <c r="D467" s="79"/>
      <c r="J467" s="79"/>
      <c r="O467" s="79"/>
      <c r="P467" s="79"/>
      <c r="S467" s="79"/>
      <c r="T467" s="79"/>
      <c r="W467" s="130"/>
      <c r="Y467" s="106"/>
    </row>
    <row r="468">
      <c r="C468" s="79"/>
      <c r="D468" s="79"/>
      <c r="J468" s="79"/>
      <c r="O468" s="79"/>
      <c r="P468" s="79"/>
      <c r="S468" s="79"/>
      <c r="T468" s="79"/>
      <c r="W468" s="130"/>
      <c r="Y468" s="106"/>
    </row>
    <row r="469">
      <c r="C469" s="79"/>
      <c r="D469" s="79"/>
      <c r="J469" s="79"/>
      <c r="O469" s="79"/>
      <c r="P469" s="79"/>
      <c r="S469" s="79"/>
      <c r="T469" s="79"/>
      <c r="W469" s="130"/>
      <c r="Y469" s="106"/>
    </row>
    <row r="470">
      <c r="C470" s="79"/>
      <c r="D470" s="79"/>
      <c r="J470" s="79"/>
      <c r="O470" s="79"/>
      <c r="P470" s="79"/>
      <c r="S470" s="79"/>
      <c r="T470" s="79"/>
      <c r="W470" s="130"/>
      <c r="Y470" s="106"/>
    </row>
    <row r="471">
      <c r="C471" s="79"/>
      <c r="D471" s="79"/>
      <c r="J471" s="79"/>
      <c r="O471" s="79"/>
      <c r="P471" s="79"/>
      <c r="S471" s="79"/>
      <c r="T471" s="79"/>
      <c r="W471" s="130"/>
      <c r="Y471" s="106"/>
    </row>
    <row r="472">
      <c r="C472" s="79"/>
      <c r="D472" s="79"/>
      <c r="J472" s="79"/>
      <c r="O472" s="79"/>
      <c r="P472" s="79"/>
      <c r="S472" s="79"/>
      <c r="T472" s="79"/>
      <c r="W472" s="130"/>
      <c r="Y472" s="106"/>
    </row>
    <row r="473">
      <c r="C473" s="79"/>
      <c r="D473" s="79"/>
      <c r="J473" s="79"/>
      <c r="O473" s="79"/>
      <c r="P473" s="79"/>
      <c r="S473" s="79"/>
      <c r="T473" s="79"/>
      <c r="W473" s="130"/>
      <c r="Y473" s="106"/>
    </row>
    <row r="474">
      <c r="C474" s="79"/>
      <c r="D474" s="79"/>
      <c r="J474" s="79"/>
      <c r="O474" s="79"/>
      <c r="P474" s="79"/>
      <c r="S474" s="79"/>
      <c r="T474" s="79"/>
      <c r="W474" s="130"/>
      <c r="Y474" s="106"/>
    </row>
    <row r="475">
      <c r="C475" s="79"/>
      <c r="D475" s="79"/>
      <c r="J475" s="79"/>
      <c r="O475" s="79"/>
      <c r="P475" s="79"/>
      <c r="S475" s="79"/>
      <c r="T475" s="79"/>
      <c r="W475" s="130"/>
      <c r="Y475" s="106"/>
    </row>
    <row r="476">
      <c r="C476" s="79"/>
      <c r="D476" s="79"/>
      <c r="J476" s="79"/>
      <c r="O476" s="79"/>
      <c r="P476" s="79"/>
      <c r="S476" s="79"/>
      <c r="T476" s="79"/>
      <c r="W476" s="130"/>
      <c r="Y476" s="106"/>
    </row>
    <row r="477">
      <c r="C477" s="79"/>
      <c r="D477" s="79"/>
      <c r="J477" s="79"/>
      <c r="O477" s="79"/>
      <c r="P477" s="79"/>
      <c r="S477" s="79"/>
      <c r="T477" s="79"/>
      <c r="W477" s="130"/>
      <c r="Y477" s="106"/>
    </row>
    <row r="478">
      <c r="C478" s="79"/>
      <c r="D478" s="79"/>
      <c r="J478" s="79"/>
      <c r="O478" s="79"/>
      <c r="P478" s="79"/>
      <c r="S478" s="79"/>
      <c r="T478" s="79"/>
      <c r="W478" s="130"/>
      <c r="Y478" s="106"/>
    </row>
    <row r="479">
      <c r="C479" s="79"/>
      <c r="D479" s="79"/>
      <c r="J479" s="79"/>
      <c r="O479" s="79"/>
      <c r="P479" s="79"/>
      <c r="S479" s="79"/>
      <c r="T479" s="79"/>
      <c r="W479" s="130"/>
      <c r="Y479" s="106"/>
    </row>
    <row r="480">
      <c r="C480" s="79"/>
      <c r="D480" s="79"/>
      <c r="J480" s="79"/>
      <c r="O480" s="79"/>
      <c r="P480" s="79"/>
      <c r="S480" s="79"/>
      <c r="T480" s="79"/>
      <c r="W480" s="130"/>
      <c r="Y480" s="106"/>
    </row>
    <row r="481">
      <c r="C481" s="79"/>
      <c r="D481" s="79"/>
      <c r="J481" s="79"/>
      <c r="O481" s="79"/>
      <c r="P481" s="79"/>
      <c r="S481" s="79"/>
      <c r="T481" s="79"/>
      <c r="W481" s="130"/>
      <c r="Y481" s="106"/>
    </row>
    <row r="482">
      <c r="C482" s="79"/>
      <c r="D482" s="79"/>
      <c r="J482" s="79"/>
      <c r="O482" s="79"/>
      <c r="P482" s="79"/>
      <c r="S482" s="79"/>
      <c r="T482" s="79"/>
      <c r="W482" s="130"/>
      <c r="Y482" s="106"/>
    </row>
    <row r="483">
      <c r="C483" s="79"/>
      <c r="D483" s="79"/>
      <c r="J483" s="79"/>
      <c r="O483" s="79"/>
      <c r="P483" s="79"/>
      <c r="S483" s="79"/>
      <c r="T483" s="79"/>
      <c r="W483" s="130"/>
      <c r="Y483" s="106"/>
    </row>
    <row r="484">
      <c r="C484" s="79"/>
      <c r="D484" s="79"/>
      <c r="J484" s="79"/>
      <c r="O484" s="79"/>
      <c r="P484" s="79"/>
      <c r="S484" s="79"/>
      <c r="T484" s="79"/>
      <c r="W484" s="130"/>
      <c r="Y484" s="106"/>
    </row>
    <row r="485">
      <c r="C485" s="79"/>
      <c r="D485" s="79"/>
      <c r="J485" s="79"/>
      <c r="O485" s="79"/>
      <c r="P485" s="79"/>
      <c r="S485" s="79"/>
      <c r="T485" s="79"/>
      <c r="W485" s="130"/>
      <c r="Y485" s="106"/>
    </row>
    <row r="486">
      <c r="C486" s="79"/>
      <c r="D486" s="79"/>
      <c r="J486" s="79"/>
      <c r="O486" s="79"/>
      <c r="P486" s="79"/>
      <c r="S486" s="79"/>
      <c r="T486" s="79"/>
      <c r="W486" s="130"/>
      <c r="Y486" s="106"/>
    </row>
    <row r="487">
      <c r="C487" s="79"/>
      <c r="D487" s="79"/>
      <c r="J487" s="79"/>
      <c r="O487" s="79"/>
      <c r="P487" s="79"/>
      <c r="S487" s="79"/>
      <c r="T487" s="79"/>
      <c r="W487" s="130"/>
      <c r="Y487" s="106"/>
    </row>
    <row r="488">
      <c r="C488" s="79"/>
      <c r="D488" s="79"/>
      <c r="J488" s="79"/>
      <c r="O488" s="79"/>
      <c r="P488" s="79"/>
      <c r="S488" s="79"/>
      <c r="T488" s="79"/>
      <c r="W488" s="130"/>
      <c r="Y488" s="106"/>
    </row>
    <row r="489">
      <c r="C489" s="79"/>
      <c r="D489" s="79"/>
      <c r="J489" s="79"/>
      <c r="O489" s="79"/>
      <c r="P489" s="79"/>
      <c r="S489" s="79"/>
      <c r="T489" s="79"/>
      <c r="W489" s="130"/>
      <c r="Y489" s="106"/>
    </row>
    <row r="490">
      <c r="C490" s="79"/>
      <c r="D490" s="79"/>
      <c r="J490" s="79"/>
      <c r="O490" s="79"/>
      <c r="P490" s="79"/>
      <c r="S490" s="79"/>
      <c r="T490" s="79"/>
      <c r="W490" s="130"/>
      <c r="Y490" s="106"/>
    </row>
    <row r="491">
      <c r="C491" s="79"/>
      <c r="D491" s="79"/>
      <c r="J491" s="79"/>
      <c r="O491" s="79"/>
      <c r="P491" s="79"/>
      <c r="S491" s="79"/>
      <c r="T491" s="79"/>
      <c r="W491" s="130"/>
      <c r="Y491" s="106"/>
    </row>
    <row r="492">
      <c r="C492" s="79"/>
      <c r="D492" s="79"/>
      <c r="J492" s="79"/>
      <c r="O492" s="79"/>
      <c r="P492" s="79"/>
      <c r="S492" s="79"/>
      <c r="T492" s="79"/>
      <c r="W492" s="130"/>
      <c r="Y492" s="106"/>
    </row>
    <row r="493">
      <c r="C493" s="79"/>
      <c r="D493" s="79"/>
      <c r="J493" s="79"/>
      <c r="O493" s="79"/>
      <c r="P493" s="79"/>
      <c r="S493" s="79"/>
      <c r="T493" s="79"/>
      <c r="W493" s="130"/>
      <c r="Y493" s="106"/>
    </row>
    <row r="494">
      <c r="C494" s="79"/>
      <c r="D494" s="79"/>
      <c r="J494" s="79"/>
      <c r="O494" s="79"/>
      <c r="P494" s="79"/>
      <c r="S494" s="79"/>
      <c r="T494" s="79"/>
      <c r="W494" s="130"/>
      <c r="Y494" s="106"/>
    </row>
    <row r="495">
      <c r="C495" s="79"/>
      <c r="D495" s="79"/>
      <c r="J495" s="79"/>
      <c r="O495" s="79"/>
      <c r="P495" s="79"/>
      <c r="S495" s="79"/>
      <c r="T495" s="79"/>
      <c r="W495" s="130"/>
      <c r="Y495" s="106"/>
    </row>
    <row r="496">
      <c r="C496" s="79"/>
      <c r="D496" s="79"/>
      <c r="J496" s="79"/>
      <c r="O496" s="79"/>
      <c r="P496" s="79"/>
      <c r="S496" s="79"/>
      <c r="T496" s="79"/>
      <c r="W496" s="130"/>
      <c r="Y496" s="106"/>
    </row>
    <row r="497">
      <c r="C497" s="79"/>
      <c r="D497" s="79"/>
      <c r="J497" s="79"/>
      <c r="O497" s="79"/>
      <c r="P497" s="79"/>
      <c r="S497" s="79"/>
      <c r="T497" s="79"/>
      <c r="W497" s="130"/>
      <c r="Y497" s="106"/>
    </row>
    <row r="498">
      <c r="C498" s="79"/>
      <c r="D498" s="79"/>
      <c r="J498" s="79"/>
      <c r="O498" s="79"/>
      <c r="P498" s="79"/>
      <c r="S498" s="79"/>
      <c r="T498" s="79"/>
      <c r="W498" s="130"/>
      <c r="Y498" s="106"/>
    </row>
    <row r="499">
      <c r="C499" s="79"/>
      <c r="D499" s="79"/>
      <c r="J499" s="79"/>
      <c r="O499" s="79"/>
      <c r="P499" s="79"/>
      <c r="S499" s="79"/>
      <c r="T499" s="79"/>
      <c r="W499" s="130"/>
      <c r="Y499" s="106"/>
    </row>
    <row r="500">
      <c r="C500" s="79"/>
      <c r="D500" s="79"/>
      <c r="J500" s="79"/>
      <c r="O500" s="79"/>
      <c r="P500" s="79"/>
      <c r="S500" s="79"/>
      <c r="T500" s="79"/>
      <c r="W500" s="130"/>
      <c r="Y500" s="106"/>
    </row>
    <row r="501">
      <c r="C501" s="79"/>
      <c r="D501" s="79"/>
      <c r="J501" s="79"/>
      <c r="O501" s="79"/>
      <c r="P501" s="79"/>
      <c r="S501" s="79"/>
      <c r="T501" s="79"/>
      <c r="W501" s="130"/>
      <c r="Y501" s="106"/>
    </row>
    <row r="502">
      <c r="C502" s="79"/>
      <c r="D502" s="79"/>
      <c r="J502" s="79"/>
      <c r="O502" s="79"/>
      <c r="P502" s="79"/>
      <c r="S502" s="79"/>
      <c r="T502" s="79"/>
      <c r="W502" s="130"/>
      <c r="Y502" s="106"/>
    </row>
    <row r="503">
      <c r="C503" s="79"/>
      <c r="D503" s="79"/>
      <c r="J503" s="79"/>
      <c r="O503" s="79"/>
      <c r="P503" s="79"/>
      <c r="S503" s="79"/>
      <c r="T503" s="79"/>
      <c r="W503" s="130"/>
      <c r="Y503" s="106"/>
    </row>
    <row r="504">
      <c r="C504" s="79"/>
      <c r="D504" s="79"/>
      <c r="J504" s="79"/>
      <c r="O504" s="79"/>
      <c r="P504" s="79"/>
      <c r="S504" s="79"/>
      <c r="T504" s="79"/>
      <c r="W504" s="130"/>
      <c r="Y504" s="106"/>
    </row>
    <row r="505">
      <c r="C505" s="79"/>
      <c r="D505" s="79"/>
      <c r="J505" s="79"/>
      <c r="O505" s="79"/>
      <c r="P505" s="79"/>
      <c r="S505" s="79"/>
      <c r="T505" s="79"/>
      <c r="W505" s="130"/>
      <c r="Y505" s="106"/>
    </row>
    <row r="506">
      <c r="C506" s="79"/>
      <c r="D506" s="79"/>
      <c r="J506" s="79"/>
      <c r="O506" s="79"/>
      <c r="P506" s="79"/>
      <c r="S506" s="79"/>
      <c r="T506" s="79"/>
      <c r="W506" s="130"/>
      <c r="Y506" s="106"/>
    </row>
    <row r="507">
      <c r="C507" s="79"/>
      <c r="D507" s="79"/>
      <c r="J507" s="79"/>
      <c r="O507" s="79"/>
      <c r="P507" s="79"/>
      <c r="S507" s="79"/>
      <c r="T507" s="79"/>
      <c r="W507" s="130"/>
      <c r="Y507" s="106"/>
    </row>
    <row r="508">
      <c r="C508" s="79"/>
      <c r="D508" s="79"/>
      <c r="J508" s="79"/>
      <c r="O508" s="79"/>
      <c r="P508" s="79"/>
      <c r="S508" s="79"/>
      <c r="T508" s="79"/>
      <c r="W508" s="130"/>
      <c r="Y508" s="106"/>
    </row>
    <row r="509">
      <c r="C509" s="79"/>
      <c r="D509" s="79"/>
      <c r="J509" s="79"/>
      <c r="O509" s="79"/>
      <c r="P509" s="79"/>
      <c r="S509" s="79"/>
      <c r="T509" s="79"/>
      <c r="W509" s="130"/>
      <c r="Y509" s="106"/>
    </row>
    <row r="510">
      <c r="C510" s="79"/>
      <c r="D510" s="79"/>
      <c r="J510" s="79"/>
      <c r="O510" s="79"/>
      <c r="P510" s="79"/>
      <c r="S510" s="79"/>
      <c r="T510" s="79"/>
      <c r="W510" s="130"/>
      <c r="Y510" s="106"/>
    </row>
    <row r="511">
      <c r="C511" s="79"/>
      <c r="D511" s="79"/>
      <c r="J511" s="79"/>
      <c r="O511" s="79"/>
      <c r="P511" s="79"/>
      <c r="S511" s="79"/>
      <c r="T511" s="79"/>
      <c r="W511" s="130"/>
      <c r="Y511" s="106"/>
    </row>
    <row r="512">
      <c r="C512" s="79"/>
      <c r="D512" s="79"/>
      <c r="J512" s="79"/>
      <c r="O512" s="79"/>
      <c r="P512" s="79"/>
      <c r="S512" s="79"/>
      <c r="T512" s="79"/>
      <c r="W512" s="130"/>
      <c r="Y512" s="106"/>
    </row>
    <row r="513">
      <c r="C513" s="79"/>
      <c r="D513" s="79"/>
      <c r="J513" s="79"/>
      <c r="O513" s="79"/>
      <c r="P513" s="79"/>
      <c r="S513" s="79"/>
      <c r="T513" s="79"/>
      <c r="W513" s="130"/>
      <c r="Y513" s="106"/>
    </row>
    <row r="514">
      <c r="C514" s="79"/>
      <c r="D514" s="79"/>
      <c r="J514" s="79"/>
      <c r="O514" s="79"/>
      <c r="P514" s="79"/>
      <c r="S514" s="79"/>
      <c r="T514" s="79"/>
      <c r="W514" s="130"/>
      <c r="Y514" s="106"/>
    </row>
    <row r="515">
      <c r="C515" s="79"/>
      <c r="D515" s="79"/>
      <c r="J515" s="79"/>
      <c r="O515" s="79"/>
      <c r="P515" s="79"/>
      <c r="S515" s="79"/>
      <c r="T515" s="79"/>
      <c r="W515" s="130"/>
      <c r="Y515" s="106"/>
    </row>
    <row r="516">
      <c r="C516" s="79"/>
      <c r="D516" s="79"/>
      <c r="J516" s="79"/>
      <c r="O516" s="79"/>
      <c r="P516" s="79"/>
      <c r="S516" s="79"/>
      <c r="T516" s="79"/>
      <c r="W516" s="130"/>
      <c r="Y516" s="106"/>
    </row>
    <row r="517">
      <c r="C517" s="79"/>
      <c r="D517" s="79"/>
      <c r="J517" s="79"/>
      <c r="O517" s="79"/>
      <c r="P517" s="79"/>
      <c r="S517" s="79"/>
      <c r="T517" s="79"/>
      <c r="W517" s="130"/>
      <c r="Y517" s="106"/>
    </row>
    <row r="518">
      <c r="C518" s="79"/>
      <c r="D518" s="79"/>
      <c r="J518" s="79"/>
      <c r="O518" s="79"/>
      <c r="P518" s="79"/>
      <c r="S518" s="79"/>
      <c r="T518" s="79"/>
      <c r="W518" s="130"/>
      <c r="Y518" s="106"/>
    </row>
    <row r="519">
      <c r="C519" s="79"/>
      <c r="D519" s="79"/>
      <c r="J519" s="79"/>
      <c r="O519" s="79"/>
      <c r="P519" s="79"/>
      <c r="S519" s="79"/>
      <c r="T519" s="79"/>
      <c r="W519" s="130"/>
      <c r="Y519" s="106"/>
    </row>
    <row r="520">
      <c r="C520" s="79"/>
      <c r="D520" s="79"/>
      <c r="J520" s="79"/>
      <c r="O520" s="79"/>
      <c r="P520" s="79"/>
      <c r="S520" s="79"/>
      <c r="T520" s="79"/>
      <c r="W520" s="130"/>
      <c r="Y520" s="106"/>
    </row>
    <row r="521">
      <c r="C521" s="79"/>
      <c r="D521" s="79"/>
      <c r="J521" s="79"/>
      <c r="O521" s="79"/>
      <c r="P521" s="79"/>
      <c r="S521" s="79"/>
      <c r="T521" s="79"/>
      <c r="W521" s="130"/>
      <c r="Y521" s="106"/>
    </row>
    <row r="522">
      <c r="C522" s="79"/>
      <c r="D522" s="79"/>
      <c r="J522" s="79"/>
      <c r="O522" s="79"/>
      <c r="P522" s="79"/>
      <c r="S522" s="79"/>
      <c r="T522" s="79"/>
      <c r="W522" s="130"/>
      <c r="Y522" s="106"/>
    </row>
    <row r="523">
      <c r="C523" s="79"/>
      <c r="D523" s="79"/>
      <c r="J523" s="79"/>
      <c r="O523" s="79"/>
      <c r="P523" s="79"/>
      <c r="S523" s="79"/>
      <c r="T523" s="79"/>
      <c r="W523" s="130"/>
      <c r="Y523" s="106"/>
    </row>
    <row r="524">
      <c r="C524" s="79"/>
      <c r="D524" s="79"/>
      <c r="J524" s="79"/>
      <c r="O524" s="79"/>
      <c r="P524" s="79"/>
      <c r="S524" s="79"/>
      <c r="T524" s="79"/>
      <c r="W524" s="130"/>
      <c r="Y524" s="106"/>
    </row>
    <row r="525">
      <c r="C525" s="79"/>
      <c r="D525" s="79"/>
      <c r="J525" s="79"/>
      <c r="O525" s="79"/>
      <c r="P525" s="79"/>
      <c r="S525" s="79"/>
      <c r="T525" s="79"/>
      <c r="W525" s="130"/>
      <c r="Y525" s="106"/>
    </row>
    <row r="526">
      <c r="C526" s="79"/>
      <c r="D526" s="79"/>
      <c r="J526" s="79"/>
      <c r="O526" s="79"/>
      <c r="P526" s="79"/>
      <c r="S526" s="79"/>
      <c r="T526" s="79"/>
      <c r="W526" s="130"/>
      <c r="Y526" s="106"/>
    </row>
    <row r="527">
      <c r="C527" s="79"/>
      <c r="D527" s="79"/>
      <c r="J527" s="79"/>
      <c r="O527" s="79"/>
      <c r="P527" s="79"/>
      <c r="S527" s="79"/>
      <c r="T527" s="79"/>
      <c r="W527" s="130"/>
      <c r="Y527" s="106"/>
    </row>
    <row r="528">
      <c r="C528" s="79"/>
      <c r="D528" s="79"/>
      <c r="J528" s="79"/>
      <c r="O528" s="79"/>
      <c r="P528" s="79"/>
      <c r="S528" s="79"/>
      <c r="T528" s="79"/>
      <c r="W528" s="130"/>
      <c r="Y528" s="106"/>
    </row>
    <row r="529">
      <c r="C529" s="79"/>
      <c r="D529" s="79"/>
      <c r="J529" s="79"/>
      <c r="O529" s="79"/>
      <c r="P529" s="79"/>
      <c r="S529" s="79"/>
      <c r="T529" s="79"/>
      <c r="W529" s="130"/>
      <c r="Y529" s="106"/>
    </row>
    <row r="530">
      <c r="C530" s="79"/>
      <c r="D530" s="79"/>
      <c r="J530" s="79"/>
      <c r="O530" s="79"/>
      <c r="P530" s="79"/>
      <c r="S530" s="79"/>
      <c r="T530" s="79"/>
      <c r="W530" s="130"/>
      <c r="Y530" s="106"/>
    </row>
    <row r="531">
      <c r="C531" s="79"/>
      <c r="D531" s="79"/>
      <c r="J531" s="79"/>
      <c r="O531" s="79"/>
      <c r="P531" s="79"/>
      <c r="S531" s="79"/>
      <c r="T531" s="79"/>
      <c r="W531" s="130"/>
      <c r="Y531" s="106"/>
    </row>
    <row r="532">
      <c r="C532" s="79"/>
      <c r="D532" s="79"/>
      <c r="J532" s="79"/>
      <c r="O532" s="79"/>
      <c r="P532" s="79"/>
      <c r="S532" s="79"/>
      <c r="T532" s="79"/>
      <c r="W532" s="130"/>
      <c r="Y532" s="106"/>
    </row>
    <row r="533">
      <c r="C533" s="79"/>
      <c r="D533" s="79"/>
      <c r="J533" s="79"/>
      <c r="O533" s="79"/>
      <c r="P533" s="79"/>
      <c r="S533" s="79"/>
      <c r="T533" s="79"/>
      <c r="W533" s="130"/>
      <c r="Y533" s="106"/>
    </row>
    <row r="534">
      <c r="C534" s="79"/>
      <c r="D534" s="79"/>
      <c r="J534" s="79"/>
      <c r="O534" s="79"/>
      <c r="P534" s="79"/>
      <c r="S534" s="79"/>
      <c r="T534" s="79"/>
      <c r="W534" s="130"/>
      <c r="Y534" s="106"/>
    </row>
    <row r="535">
      <c r="C535" s="79"/>
      <c r="D535" s="79"/>
      <c r="J535" s="79"/>
      <c r="O535" s="79"/>
      <c r="P535" s="79"/>
      <c r="S535" s="79"/>
      <c r="T535" s="79"/>
      <c r="W535" s="130"/>
      <c r="Y535" s="106"/>
    </row>
    <row r="536">
      <c r="C536" s="79"/>
      <c r="D536" s="79"/>
      <c r="J536" s="79"/>
      <c r="O536" s="79"/>
      <c r="P536" s="79"/>
      <c r="S536" s="79"/>
      <c r="T536" s="79"/>
      <c r="W536" s="130"/>
      <c r="Y536" s="106"/>
    </row>
    <row r="537">
      <c r="C537" s="79"/>
      <c r="D537" s="79"/>
      <c r="J537" s="79"/>
      <c r="O537" s="79"/>
      <c r="P537" s="79"/>
      <c r="S537" s="79"/>
      <c r="T537" s="79"/>
      <c r="W537" s="130"/>
      <c r="Y537" s="106"/>
    </row>
    <row r="538">
      <c r="C538" s="79"/>
      <c r="D538" s="79"/>
      <c r="J538" s="79"/>
      <c r="O538" s="79"/>
      <c r="P538" s="79"/>
      <c r="S538" s="79"/>
      <c r="T538" s="79"/>
      <c r="W538" s="130"/>
      <c r="Y538" s="106"/>
    </row>
    <row r="539">
      <c r="C539" s="79"/>
      <c r="D539" s="79"/>
      <c r="J539" s="79"/>
      <c r="O539" s="79"/>
      <c r="P539" s="79"/>
      <c r="S539" s="79"/>
      <c r="T539" s="79"/>
      <c r="W539" s="130"/>
      <c r="Y539" s="106"/>
    </row>
    <row r="540">
      <c r="C540" s="79"/>
      <c r="D540" s="79"/>
      <c r="J540" s="79"/>
      <c r="O540" s="79"/>
      <c r="P540" s="79"/>
      <c r="S540" s="79"/>
      <c r="T540" s="79"/>
      <c r="W540" s="130"/>
      <c r="Y540" s="106"/>
    </row>
    <row r="541">
      <c r="C541" s="79"/>
      <c r="D541" s="79"/>
      <c r="J541" s="79"/>
      <c r="O541" s="79"/>
      <c r="P541" s="79"/>
      <c r="S541" s="79"/>
      <c r="T541" s="79"/>
      <c r="W541" s="130"/>
      <c r="Y541" s="106"/>
    </row>
    <row r="542">
      <c r="C542" s="79"/>
      <c r="D542" s="79"/>
      <c r="J542" s="79"/>
      <c r="O542" s="79"/>
      <c r="P542" s="79"/>
      <c r="S542" s="79"/>
      <c r="T542" s="79"/>
      <c r="W542" s="130"/>
      <c r="Y542" s="106"/>
    </row>
    <row r="543">
      <c r="C543" s="79"/>
      <c r="D543" s="79"/>
      <c r="J543" s="79"/>
      <c r="O543" s="79"/>
      <c r="P543" s="79"/>
      <c r="S543" s="79"/>
      <c r="T543" s="79"/>
      <c r="W543" s="130"/>
      <c r="Y543" s="106"/>
    </row>
    <row r="544">
      <c r="C544" s="79"/>
      <c r="D544" s="79"/>
      <c r="J544" s="79"/>
      <c r="O544" s="79"/>
      <c r="P544" s="79"/>
      <c r="S544" s="79"/>
      <c r="T544" s="79"/>
      <c r="W544" s="130"/>
      <c r="Y544" s="106"/>
    </row>
    <row r="545">
      <c r="C545" s="79"/>
      <c r="D545" s="79"/>
      <c r="J545" s="79"/>
      <c r="O545" s="79"/>
      <c r="P545" s="79"/>
      <c r="S545" s="79"/>
      <c r="T545" s="79"/>
      <c r="W545" s="130"/>
      <c r="Y545" s="106"/>
    </row>
    <row r="546">
      <c r="C546" s="79"/>
      <c r="D546" s="79"/>
      <c r="J546" s="79"/>
      <c r="O546" s="79"/>
      <c r="P546" s="79"/>
      <c r="S546" s="79"/>
      <c r="T546" s="79"/>
      <c r="W546" s="130"/>
      <c r="Y546" s="106"/>
    </row>
    <row r="547">
      <c r="C547" s="79"/>
      <c r="D547" s="79"/>
      <c r="J547" s="79"/>
      <c r="O547" s="79"/>
      <c r="P547" s="79"/>
      <c r="S547" s="79"/>
      <c r="T547" s="79"/>
      <c r="W547" s="130"/>
      <c r="Y547" s="106"/>
    </row>
    <row r="548">
      <c r="C548" s="79"/>
      <c r="D548" s="79"/>
      <c r="J548" s="79"/>
      <c r="O548" s="79"/>
      <c r="P548" s="79"/>
      <c r="S548" s="79"/>
      <c r="T548" s="79"/>
      <c r="W548" s="130"/>
      <c r="Y548" s="106"/>
    </row>
    <row r="549">
      <c r="C549" s="79"/>
      <c r="D549" s="79"/>
      <c r="J549" s="79"/>
      <c r="O549" s="79"/>
      <c r="P549" s="79"/>
      <c r="S549" s="79"/>
      <c r="T549" s="79"/>
      <c r="W549" s="130"/>
      <c r="Y549" s="106"/>
    </row>
    <row r="550">
      <c r="C550" s="79"/>
      <c r="D550" s="79"/>
      <c r="J550" s="79"/>
      <c r="O550" s="79"/>
      <c r="P550" s="79"/>
      <c r="S550" s="79"/>
      <c r="T550" s="79"/>
      <c r="W550" s="130"/>
      <c r="Y550" s="106"/>
    </row>
    <row r="551">
      <c r="C551" s="79"/>
      <c r="D551" s="79"/>
      <c r="J551" s="79"/>
      <c r="O551" s="79"/>
      <c r="P551" s="79"/>
      <c r="S551" s="79"/>
      <c r="T551" s="79"/>
      <c r="W551" s="130"/>
      <c r="Y551" s="106"/>
    </row>
    <row r="552">
      <c r="C552" s="79"/>
      <c r="D552" s="79"/>
      <c r="J552" s="79"/>
      <c r="O552" s="79"/>
      <c r="P552" s="79"/>
      <c r="S552" s="79"/>
      <c r="T552" s="79"/>
      <c r="W552" s="130"/>
      <c r="Y552" s="106"/>
    </row>
    <row r="553">
      <c r="C553" s="79"/>
      <c r="D553" s="79"/>
      <c r="J553" s="79"/>
      <c r="O553" s="79"/>
      <c r="P553" s="79"/>
      <c r="S553" s="79"/>
      <c r="T553" s="79"/>
      <c r="W553" s="130"/>
      <c r="Y553" s="106"/>
    </row>
    <row r="554">
      <c r="C554" s="79"/>
      <c r="D554" s="79"/>
      <c r="J554" s="79"/>
      <c r="O554" s="79"/>
      <c r="P554" s="79"/>
      <c r="S554" s="79"/>
      <c r="T554" s="79"/>
      <c r="W554" s="130"/>
      <c r="Y554" s="106"/>
    </row>
    <row r="555">
      <c r="C555" s="79"/>
      <c r="D555" s="79"/>
      <c r="J555" s="79"/>
      <c r="O555" s="79"/>
      <c r="P555" s="79"/>
      <c r="S555" s="79"/>
      <c r="T555" s="79"/>
      <c r="W555" s="130"/>
      <c r="Y555" s="106"/>
    </row>
    <row r="556">
      <c r="C556" s="79"/>
      <c r="D556" s="79"/>
      <c r="J556" s="79"/>
      <c r="O556" s="79"/>
      <c r="P556" s="79"/>
      <c r="S556" s="79"/>
      <c r="T556" s="79"/>
      <c r="W556" s="130"/>
      <c r="Y556" s="106"/>
    </row>
    <row r="557">
      <c r="C557" s="79"/>
      <c r="D557" s="79"/>
      <c r="J557" s="79"/>
      <c r="O557" s="79"/>
      <c r="P557" s="79"/>
      <c r="S557" s="79"/>
      <c r="T557" s="79"/>
      <c r="W557" s="130"/>
      <c r="Y557" s="106"/>
    </row>
    <row r="558">
      <c r="C558" s="79"/>
      <c r="D558" s="79"/>
      <c r="J558" s="79"/>
      <c r="O558" s="79"/>
      <c r="P558" s="79"/>
      <c r="S558" s="79"/>
      <c r="T558" s="79"/>
      <c r="W558" s="130"/>
      <c r="Y558" s="106"/>
    </row>
    <row r="559">
      <c r="C559" s="79"/>
      <c r="D559" s="79"/>
      <c r="J559" s="79"/>
      <c r="O559" s="79"/>
      <c r="P559" s="79"/>
      <c r="S559" s="79"/>
      <c r="T559" s="79"/>
      <c r="W559" s="130"/>
      <c r="Y559" s="106"/>
    </row>
    <row r="560">
      <c r="C560" s="79"/>
      <c r="D560" s="79"/>
      <c r="J560" s="79"/>
      <c r="O560" s="79"/>
      <c r="P560" s="79"/>
      <c r="S560" s="79"/>
      <c r="T560" s="79"/>
      <c r="W560" s="130"/>
      <c r="Y560" s="106"/>
    </row>
    <row r="561">
      <c r="C561" s="79"/>
      <c r="D561" s="79"/>
      <c r="J561" s="79"/>
      <c r="O561" s="79"/>
      <c r="P561" s="79"/>
      <c r="S561" s="79"/>
      <c r="T561" s="79"/>
      <c r="W561" s="130"/>
      <c r="Y561" s="106"/>
    </row>
    <row r="562">
      <c r="C562" s="79"/>
      <c r="D562" s="79"/>
      <c r="J562" s="79"/>
      <c r="O562" s="79"/>
      <c r="P562" s="79"/>
      <c r="S562" s="79"/>
      <c r="T562" s="79"/>
      <c r="W562" s="130"/>
      <c r="Y562" s="106"/>
    </row>
    <row r="563">
      <c r="C563" s="79"/>
      <c r="D563" s="79"/>
      <c r="J563" s="79"/>
      <c r="O563" s="79"/>
      <c r="P563" s="79"/>
      <c r="S563" s="79"/>
      <c r="T563" s="79"/>
      <c r="W563" s="130"/>
      <c r="Y563" s="106"/>
    </row>
    <row r="564">
      <c r="C564" s="79"/>
      <c r="D564" s="79"/>
      <c r="J564" s="79"/>
      <c r="O564" s="79"/>
      <c r="P564" s="79"/>
      <c r="S564" s="79"/>
      <c r="T564" s="79"/>
      <c r="W564" s="130"/>
      <c r="Y564" s="106"/>
    </row>
    <row r="565">
      <c r="C565" s="79"/>
      <c r="D565" s="79"/>
      <c r="J565" s="79"/>
      <c r="O565" s="79"/>
      <c r="P565" s="79"/>
      <c r="S565" s="79"/>
      <c r="T565" s="79"/>
      <c r="W565" s="130"/>
      <c r="Y565" s="106"/>
    </row>
    <row r="566">
      <c r="C566" s="79"/>
      <c r="D566" s="79"/>
      <c r="J566" s="79"/>
      <c r="O566" s="79"/>
      <c r="P566" s="79"/>
      <c r="S566" s="79"/>
      <c r="T566" s="79"/>
      <c r="W566" s="130"/>
      <c r="Y566" s="106"/>
    </row>
    <row r="567">
      <c r="C567" s="79"/>
      <c r="D567" s="79"/>
      <c r="J567" s="79"/>
      <c r="O567" s="79"/>
      <c r="P567" s="79"/>
      <c r="S567" s="79"/>
      <c r="T567" s="79"/>
      <c r="W567" s="130"/>
      <c r="Y567" s="106"/>
    </row>
    <row r="568">
      <c r="C568" s="79"/>
      <c r="D568" s="79"/>
      <c r="J568" s="79"/>
      <c r="O568" s="79"/>
      <c r="P568" s="79"/>
      <c r="S568" s="79"/>
      <c r="T568" s="79"/>
      <c r="W568" s="130"/>
      <c r="Y568" s="106"/>
    </row>
    <row r="569">
      <c r="C569" s="79"/>
      <c r="D569" s="79"/>
      <c r="J569" s="79"/>
      <c r="O569" s="79"/>
      <c r="P569" s="79"/>
      <c r="S569" s="79"/>
      <c r="T569" s="79"/>
      <c r="W569" s="130"/>
      <c r="Y569" s="106"/>
    </row>
    <row r="570">
      <c r="C570" s="79"/>
      <c r="D570" s="79"/>
      <c r="J570" s="79"/>
      <c r="O570" s="79"/>
      <c r="P570" s="79"/>
      <c r="S570" s="79"/>
      <c r="T570" s="79"/>
      <c r="W570" s="130"/>
      <c r="Y570" s="106"/>
    </row>
    <row r="571">
      <c r="C571" s="79"/>
      <c r="D571" s="79"/>
      <c r="J571" s="79"/>
      <c r="O571" s="79"/>
      <c r="P571" s="79"/>
      <c r="S571" s="79"/>
      <c r="T571" s="79"/>
      <c r="W571" s="130"/>
      <c r="Y571" s="106"/>
    </row>
    <row r="572">
      <c r="C572" s="79"/>
      <c r="D572" s="79"/>
      <c r="J572" s="79"/>
      <c r="O572" s="79"/>
      <c r="P572" s="79"/>
      <c r="S572" s="79"/>
      <c r="T572" s="79"/>
      <c r="W572" s="130"/>
      <c r="Y572" s="106"/>
    </row>
    <row r="573">
      <c r="C573" s="79"/>
      <c r="D573" s="79"/>
      <c r="J573" s="79"/>
      <c r="O573" s="79"/>
      <c r="P573" s="79"/>
      <c r="S573" s="79"/>
      <c r="T573" s="79"/>
      <c r="W573" s="130"/>
      <c r="Y573" s="106"/>
    </row>
    <row r="574">
      <c r="C574" s="79"/>
      <c r="D574" s="79"/>
      <c r="J574" s="79"/>
      <c r="O574" s="79"/>
      <c r="P574" s="79"/>
      <c r="S574" s="79"/>
      <c r="T574" s="79"/>
      <c r="W574" s="130"/>
      <c r="Y574" s="106"/>
    </row>
    <row r="575">
      <c r="C575" s="79"/>
      <c r="D575" s="79"/>
      <c r="J575" s="79"/>
      <c r="O575" s="79"/>
      <c r="P575" s="79"/>
      <c r="S575" s="79"/>
      <c r="T575" s="79"/>
      <c r="W575" s="130"/>
      <c r="Y575" s="106"/>
    </row>
    <row r="576">
      <c r="C576" s="79"/>
      <c r="D576" s="79"/>
      <c r="J576" s="79"/>
      <c r="O576" s="79"/>
      <c r="P576" s="79"/>
      <c r="S576" s="79"/>
      <c r="T576" s="79"/>
      <c r="W576" s="130"/>
      <c r="Y576" s="106"/>
    </row>
    <row r="577">
      <c r="C577" s="79"/>
      <c r="D577" s="79"/>
      <c r="J577" s="79"/>
      <c r="O577" s="79"/>
      <c r="P577" s="79"/>
      <c r="S577" s="79"/>
      <c r="T577" s="79"/>
      <c r="W577" s="130"/>
      <c r="Y577" s="106"/>
    </row>
    <row r="578">
      <c r="C578" s="79"/>
      <c r="D578" s="79"/>
      <c r="J578" s="79"/>
      <c r="O578" s="79"/>
      <c r="P578" s="79"/>
      <c r="S578" s="79"/>
      <c r="T578" s="79"/>
      <c r="W578" s="130"/>
      <c r="Y578" s="106"/>
    </row>
    <row r="579">
      <c r="C579" s="79"/>
      <c r="D579" s="79"/>
      <c r="J579" s="79"/>
      <c r="O579" s="79"/>
      <c r="P579" s="79"/>
      <c r="S579" s="79"/>
      <c r="T579" s="79"/>
      <c r="W579" s="130"/>
      <c r="Y579" s="106"/>
    </row>
    <row r="580">
      <c r="C580" s="79"/>
      <c r="D580" s="79"/>
      <c r="J580" s="79"/>
      <c r="O580" s="79"/>
      <c r="P580" s="79"/>
      <c r="S580" s="79"/>
      <c r="T580" s="79"/>
      <c r="W580" s="130"/>
      <c r="Y580" s="106"/>
    </row>
    <row r="581">
      <c r="C581" s="79"/>
      <c r="D581" s="79"/>
      <c r="J581" s="79"/>
      <c r="O581" s="79"/>
      <c r="P581" s="79"/>
      <c r="S581" s="79"/>
      <c r="T581" s="79"/>
      <c r="W581" s="130"/>
      <c r="Y581" s="106"/>
    </row>
    <row r="582">
      <c r="C582" s="79"/>
      <c r="D582" s="79"/>
      <c r="J582" s="79"/>
      <c r="O582" s="79"/>
      <c r="P582" s="79"/>
      <c r="S582" s="79"/>
      <c r="T582" s="79"/>
      <c r="W582" s="130"/>
      <c r="Y582" s="106"/>
    </row>
    <row r="583">
      <c r="C583" s="79"/>
      <c r="D583" s="79"/>
      <c r="J583" s="79"/>
      <c r="O583" s="79"/>
      <c r="P583" s="79"/>
      <c r="S583" s="79"/>
      <c r="T583" s="79"/>
      <c r="W583" s="130"/>
      <c r="Y583" s="106"/>
    </row>
    <row r="584">
      <c r="C584" s="79"/>
      <c r="D584" s="79"/>
      <c r="J584" s="79"/>
      <c r="O584" s="79"/>
      <c r="P584" s="79"/>
      <c r="S584" s="79"/>
      <c r="T584" s="79"/>
      <c r="W584" s="130"/>
      <c r="Y584" s="106"/>
    </row>
    <row r="585">
      <c r="C585" s="79"/>
      <c r="D585" s="79"/>
      <c r="J585" s="79"/>
      <c r="O585" s="79"/>
      <c r="P585" s="79"/>
      <c r="S585" s="79"/>
      <c r="T585" s="79"/>
      <c r="W585" s="130"/>
      <c r="Y585" s="106"/>
    </row>
    <row r="586">
      <c r="C586" s="79"/>
      <c r="D586" s="79"/>
      <c r="J586" s="79"/>
      <c r="O586" s="79"/>
      <c r="P586" s="79"/>
      <c r="S586" s="79"/>
      <c r="T586" s="79"/>
      <c r="W586" s="130"/>
      <c r="Y586" s="106"/>
    </row>
    <row r="587">
      <c r="C587" s="79"/>
      <c r="D587" s="79"/>
      <c r="J587" s="79"/>
      <c r="O587" s="79"/>
      <c r="P587" s="79"/>
      <c r="S587" s="79"/>
      <c r="T587" s="79"/>
      <c r="W587" s="130"/>
      <c r="Y587" s="106"/>
    </row>
    <row r="588">
      <c r="C588" s="79"/>
      <c r="D588" s="79"/>
      <c r="J588" s="79"/>
      <c r="O588" s="79"/>
      <c r="P588" s="79"/>
      <c r="S588" s="79"/>
      <c r="T588" s="79"/>
      <c r="W588" s="130"/>
      <c r="Y588" s="106"/>
    </row>
    <row r="589">
      <c r="C589" s="79"/>
      <c r="D589" s="79"/>
      <c r="J589" s="79"/>
      <c r="O589" s="79"/>
      <c r="P589" s="79"/>
      <c r="S589" s="79"/>
      <c r="T589" s="79"/>
      <c r="W589" s="130"/>
      <c r="Y589" s="106"/>
    </row>
    <row r="590">
      <c r="C590" s="79"/>
      <c r="D590" s="79"/>
      <c r="J590" s="79"/>
      <c r="O590" s="79"/>
      <c r="P590" s="79"/>
      <c r="S590" s="79"/>
      <c r="T590" s="79"/>
      <c r="W590" s="130"/>
      <c r="Y590" s="106"/>
    </row>
    <row r="591">
      <c r="C591" s="79"/>
      <c r="D591" s="79"/>
      <c r="J591" s="79"/>
      <c r="O591" s="79"/>
      <c r="P591" s="79"/>
      <c r="S591" s="79"/>
      <c r="T591" s="79"/>
      <c r="W591" s="130"/>
      <c r="Y591" s="106"/>
    </row>
    <row r="592">
      <c r="C592" s="79"/>
      <c r="D592" s="79"/>
      <c r="J592" s="79"/>
      <c r="O592" s="79"/>
      <c r="P592" s="79"/>
      <c r="S592" s="79"/>
      <c r="T592" s="79"/>
      <c r="W592" s="130"/>
      <c r="Y592" s="106"/>
    </row>
    <row r="593">
      <c r="C593" s="79"/>
      <c r="D593" s="79"/>
      <c r="J593" s="79"/>
      <c r="O593" s="79"/>
      <c r="P593" s="79"/>
      <c r="S593" s="79"/>
      <c r="T593" s="79"/>
      <c r="W593" s="130"/>
      <c r="Y593" s="106"/>
    </row>
    <row r="594">
      <c r="C594" s="79"/>
      <c r="D594" s="79"/>
      <c r="J594" s="79"/>
      <c r="O594" s="79"/>
      <c r="P594" s="79"/>
      <c r="S594" s="79"/>
      <c r="T594" s="79"/>
      <c r="W594" s="130"/>
      <c r="Y594" s="106"/>
    </row>
    <row r="595">
      <c r="C595" s="79"/>
      <c r="D595" s="79"/>
      <c r="J595" s="79"/>
      <c r="O595" s="79"/>
      <c r="P595" s="79"/>
      <c r="S595" s="79"/>
      <c r="T595" s="79"/>
      <c r="W595" s="130"/>
      <c r="Y595" s="106"/>
    </row>
    <row r="596">
      <c r="C596" s="79"/>
      <c r="D596" s="79"/>
      <c r="J596" s="79"/>
      <c r="O596" s="79"/>
      <c r="P596" s="79"/>
      <c r="S596" s="79"/>
      <c r="T596" s="79"/>
      <c r="W596" s="130"/>
      <c r="Y596" s="106"/>
    </row>
    <row r="597">
      <c r="C597" s="79"/>
      <c r="D597" s="79"/>
      <c r="J597" s="79"/>
      <c r="O597" s="79"/>
      <c r="P597" s="79"/>
      <c r="S597" s="79"/>
      <c r="T597" s="79"/>
      <c r="W597" s="130"/>
      <c r="Y597" s="106"/>
    </row>
    <row r="598">
      <c r="C598" s="79"/>
      <c r="D598" s="79"/>
      <c r="J598" s="79"/>
      <c r="O598" s="79"/>
      <c r="P598" s="79"/>
      <c r="S598" s="79"/>
      <c r="T598" s="79"/>
      <c r="W598" s="130"/>
      <c r="Y598" s="106"/>
    </row>
    <row r="599">
      <c r="C599" s="79"/>
      <c r="D599" s="79"/>
      <c r="J599" s="79"/>
      <c r="O599" s="79"/>
      <c r="P599" s="79"/>
      <c r="S599" s="79"/>
      <c r="T599" s="79"/>
      <c r="W599" s="130"/>
      <c r="Y599" s="106"/>
    </row>
    <row r="600">
      <c r="C600" s="79"/>
      <c r="D600" s="79"/>
      <c r="J600" s="79"/>
      <c r="O600" s="79"/>
      <c r="P600" s="79"/>
      <c r="S600" s="79"/>
      <c r="T600" s="79"/>
      <c r="W600" s="130"/>
      <c r="Y600" s="106"/>
    </row>
    <row r="601">
      <c r="C601" s="79"/>
      <c r="D601" s="79"/>
      <c r="J601" s="79"/>
      <c r="O601" s="79"/>
      <c r="P601" s="79"/>
      <c r="S601" s="79"/>
      <c r="T601" s="79"/>
      <c r="W601" s="130"/>
      <c r="Y601" s="106"/>
    </row>
    <row r="602">
      <c r="C602" s="79"/>
      <c r="D602" s="79"/>
      <c r="J602" s="79"/>
      <c r="O602" s="79"/>
      <c r="P602" s="79"/>
      <c r="S602" s="79"/>
      <c r="T602" s="79"/>
      <c r="W602" s="130"/>
      <c r="Y602" s="106"/>
    </row>
    <row r="603">
      <c r="C603" s="79"/>
      <c r="D603" s="79"/>
      <c r="J603" s="79"/>
      <c r="O603" s="79"/>
      <c r="P603" s="79"/>
      <c r="S603" s="79"/>
      <c r="T603" s="79"/>
      <c r="W603" s="130"/>
      <c r="Y603" s="106"/>
    </row>
    <row r="604">
      <c r="C604" s="79"/>
      <c r="D604" s="79"/>
      <c r="J604" s="79"/>
      <c r="O604" s="79"/>
      <c r="P604" s="79"/>
      <c r="S604" s="79"/>
      <c r="T604" s="79"/>
      <c r="W604" s="130"/>
      <c r="Y604" s="106"/>
    </row>
    <row r="605">
      <c r="C605" s="79"/>
      <c r="D605" s="79"/>
      <c r="J605" s="79"/>
      <c r="O605" s="79"/>
      <c r="P605" s="79"/>
      <c r="S605" s="79"/>
      <c r="T605" s="79"/>
      <c r="W605" s="130"/>
      <c r="Y605" s="106"/>
    </row>
    <row r="606">
      <c r="C606" s="79"/>
      <c r="D606" s="79"/>
      <c r="J606" s="79"/>
      <c r="O606" s="79"/>
      <c r="P606" s="79"/>
      <c r="S606" s="79"/>
      <c r="T606" s="79"/>
      <c r="W606" s="130"/>
      <c r="Y606" s="106"/>
    </row>
    <row r="607">
      <c r="C607" s="79"/>
      <c r="D607" s="79"/>
      <c r="J607" s="79"/>
      <c r="O607" s="79"/>
      <c r="P607" s="79"/>
      <c r="S607" s="79"/>
      <c r="T607" s="79"/>
      <c r="W607" s="130"/>
      <c r="Y607" s="106"/>
    </row>
    <row r="608">
      <c r="C608" s="79"/>
      <c r="D608" s="79"/>
      <c r="J608" s="79"/>
      <c r="O608" s="79"/>
      <c r="P608" s="79"/>
      <c r="S608" s="79"/>
      <c r="T608" s="79"/>
      <c r="W608" s="130"/>
      <c r="Y608" s="106"/>
    </row>
    <row r="609">
      <c r="C609" s="79"/>
      <c r="D609" s="79"/>
      <c r="J609" s="79"/>
      <c r="O609" s="79"/>
      <c r="P609" s="79"/>
      <c r="S609" s="79"/>
      <c r="T609" s="79"/>
      <c r="W609" s="130"/>
      <c r="Y609" s="106"/>
    </row>
    <row r="610">
      <c r="C610" s="79"/>
      <c r="D610" s="79"/>
      <c r="J610" s="79"/>
      <c r="O610" s="79"/>
      <c r="P610" s="79"/>
      <c r="S610" s="79"/>
      <c r="T610" s="79"/>
      <c r="W610" s="130"/>
      <c r="Y610" s="106"/>
    </row>
    <row r="611">
      <c r="C611" s="79"/>
      <c r="D611" s="79"/>
      <c r="J611" s="79"/>
      <c r="O611" s="79"/>
      <c r="P611" s="79"/>
      <c r="S611" s="79"/>
      <c r="T611" s="79"/>
      <c r="W611" s="130"/>
      <c r="Y611" s="106"/>
    </row>
    <row r="612">
      <c r="C612" s="79"/>
      <c r="D612" s="79"/>
      <c r="J612" s="79"/>
      <c r="O612" s="79"/>
      <c r="P612" s="79"/>
      <c r="S612" s="79"/>
      <c r="T612" s="79"/>
      <c r="W612" s="130"/>
      <c r="Y612" s="106"/>
    </row>
    <row r="613">
      <c r="C613" s="79"/>
      <c r="D613" s="79"/>
      <c r="J613" s="79"/>
      <c r="O613" s="79"/>
      <c r="P613" s="79"/>
      <c r="S613" s="79"/>
      <c r="T613" s="79"/>
      <c r="W613" s="130"/>
      <c r="Y613" s="106"/>
    </row>
    <row r="614">
      <c r="C614" s="79"/>
      <c r="D614" s="79"/>
      <c r="J614" s="79"/>
      <c r="O614" s="79"/>
      <c r="P614" s="79"/>
      <c r="S614" s="79"/>
      <c r="T614" s="79"/>
      <c r="W614" s="130"/>
      <c r="Y614" s="106"/>
    </row>
    <row r="615">
      <c r="C615" s="79"/>
      <c r="D615" s="79"/>
      <c r="J615" s="79"/>
      <c r="O615" s="79"/>
      <c r="P615" s="79"/>
      <c r="S615" s="79"/>
      <c r="T615" s="79"/>
      <c r="W615" s="130"/>
      <c r="Y615" s="106"/>
    </row>
    <row r="616">
      <c r="C616" s="79"/>
      <c r="D616" s="79"/>
      <c r="J616" s="79"/>
      <c r="O616" s="79"/>
      <c r="P616" s="79"/>
      <c r="S616" s="79"/>
      <c r="T616" s="79"/>
      <c r="W616" s="130"/>
      <c r="Y616" s="106"/>
    </row>
    <row r="617">
      <c r="C617" s="79"/>
      <c r="D617" s="79"/>
      <c r="J617" s="79"/>
      <c r="O617" s="79"/>
      <c r="P617" s="79"/>
      <c r="S617" s="79"/>
      <c r="T617" s="79"/>
      <c r="W617" s="130"/>
      <c r="Y617" s="106"/>
    </row>
    <row r="618">
      <c r="C618" s="79"/>
      <c r="D618" s="79"/>
      <c r="J618" s="79"/>
      <c r="O618" s="79"/>
      <c r="P618" s="79"/>
      <c r="S618" s="79"/>
      <c r="T618" s="79"/>
      <c r="W618" s="130"/>
      <c r="Y618" s="106"/>
    </row>
    <row r="619">
      <c r="C619" s="79"/>
      <c r="D619" s="79"/>
      <c r="J619" s="79"/>
      <c r="O619" s="79"/>
      <c r="P619" s="79"/>
      <c r="S619" s="79"/>
      <c r="T619" s="79"/>
      <c r="W619" s="130"/>
      <c r="Y619" s="106"/>
    </row>
    <row r="620">
      <c r="C620" s="79"/>
      <c r="D620" s="79"/>
      <c r="J620" s="79"/>
      <c r="O620" s="79"/>
      <c r="P620" s="79"/>
      <c r="S620" s="79"/>
      <c r="T620" s="79"/>
      <c r="W620" s="130"/>
      <c r="Y620" s="106"/>
    </row>
    <row r="621">
      <c r="C621" s="79"/>
      <c r="D621" s="79"/>
      <c r="J621" s="79"/>
      <c r="O621" s="79"/>
      <c r="P621" s="79"/>
      <c r="S621" s="79"/>
      <c r="T621" s="79"/>
      <c r="W621" s="130"/>
      <c r="Y621" s="106"/>
    </row>
    <row r="622">
      <c r="C622" s="79"/>
      <c r="D622" s="79"/>
      <c r="J622" s="79"/>
      <c r="O622" s="79"/>
      <c r="P622" s="79"/>
      <c r="S622" s="79"/>
      <c r="T622" s="79"/>
      <c r="W622" s="130"/>
      <c r="Y622" s="106"/>
    </row>
    <row r="623">
      <c r="C623" s="79"/>
      <c r="D623" s="79"/>
      <c r="J623" s="79"/>
      <c r="O623" s="79"/>
      <c r="P623" s="79"/>
      <c r="S623" s="79"/>
      <c r="T623" s="79"/>
      <c r="W623" s="130"/>
      <c r="Y623" s="106"/>
    </row>
    <row r="624">
      <c r="C624" s="79"/>
      <c r="D624" s="79"/>
      <c r="J624" s="79"/>
      <c r="O624" s="79"/>
      <c r="P624" s="79"/>
      <c r="S624" s="79"/>
      <c r="T624" s="79"/>
      <c r="W624" s="130"/>
      <c r="Y624" s="106"/>
    </row>
    <row r="625">
      <c r="C625" s="79"/>
      <c r="D625" s="79"/>
      <c r="J625" s="79"/>
      <c r="O625" s="79"/>
      <c r="P625" s="79"/>
      <c r="S625" s="79"/>
      <c r="T625" s="79"/>
      <c r="W625" s="130"/>
      <c r="Y625" s="106"/>
    </row>
    <row r="626">
      <c r="C626" s="79"/>
      <c r="D626" s="79"/>
      <c r="J626" s="79"/>
      <c r="O626" s="79"/>
      <c r="P626" s="79"/>
      <c r="S626" s="79"/>
      <c r="T626" s="79"/>
      <c r="W626" s="130"/>
      <c r="Y626" s="106"/>
    </row>
    <row r="627">
      <c r="C627" s="79"/>
      <c r="D627" s="79"/>
      <c r="J627" s="79"/>
      <c r="O627" s="79"/>
      <c r="P627" s="79"/>
      <c r="S627" s="79"/>
      <c r="T627" s="79"/>
      <c r="W627" s="130"/>
      <c r="Y627" s="106"/>
    </row>
    <row r="628">
      <c r="C628" s="79"/>
      <c r="D628" s="79"/>
      <c r="J628" s="79"/>
      <c r="O628" s="79"/>
      <c r="P628" s="79"/>
      <c r="S628" s="79"/>
      <c r="T628" s="79"/>
      <c r="W628" s="130"/>
      <c r="Y628" s="106"/>
    </row>
    <row r="629">
      <c r="C629" s="79"/>
      <c r="D629" s="79"/>
      <c r="J629" s="79"/>
      <c r="O629" s="79"/>
      <c r="P629" s="79"/>
      <c r="S629" s="79"/>
      <c r="T629" s="79"/>
      <c r="W629" s="130"/>
      <c r="Y629" s="106"/>
    </row>
    <row r="630">
      <c r="C630" s="79"/>
      <c r="D630" s="79"/>
      <c r="J630" s="79"/>
      <c r="O630" s="79"/>
      <c r="P630" s="79"/>
      <c r="S630" s="79"/>
      <c r="T630" s="79"/>
      <c r="W630" s="130"/>
      <c r="Y630" s="106"/>
    </row>
    <row r="631">
      <c r="C631" s="79"/>
      <c r="D631" s="79"/>
      <c r="J631" s="79"/>
      <c r="O631" s="79"/>
      <c r="P631" s="79"/>
      <c r="S631" s="79"/>
      <c r="T631" s="79"/>
      <c r="W631" s="130"/>
      <c r="Y631" s="106"/>
    </row>
    <row r="632">
      <c r="C632" s="79"/>
      <c r="D632" s="79"/>
      <c r="J632" s="79"/>
      <c r="O632" s="79"/>
      <c r="P632" s="79"/>
      <c r="S632" s="79"/>
      <c r="T632" s="79"/>
      <c r="W632" s="130"/>
      <c r="Y632" s="106"/>
    </row>
    <row r="633">
      <c r="C633" s="79"/>
      <c r="D633" s="79"/>
      <c r="J633" s="79"/>
      <c r="O633" s="79"/>
      <c r="P633" s="79"/>
      <c r="S633" s="79"/>
      <c r="T633" s="79"/>
      <c r="W633" s="130"/>
      <c r="Y633" s="106"/>
    </row>
    <row r="634">
      <c r="C634" s="79"/>
      <c r="D634" s="79"/>
      <c r="J634" s="79"/>
      <c r="O634" s="79"/>
      <c r="P634" s="79"/>
      <c r="S634" s="79"/>
      <c r="T634" s="79"/>
      <c r="W634" s="130"/>
      <c r="Y634" s="106"/>
    </row>
    <row r="635">
      <c r="C635" s="79"/>
      <c r="D635" s="79"/>
      <c r="J635" s="79"/>
      <c r="O635" s="79"/>
      <c r="P635" s="79"/>
      <c r="S635" s="79"/>
      <c r="T635" s="79"/>
      <c r="W635" s="130"/>
      <c r="Y635" s="106"/>
    </row>
    <row r="636">
      <c r="C636" s="79"/>
      <c r="D636" s="79"/>
      <c r="J636" s="79"/>
      <c r="O636" s="79"/>
      <c r="P636" s="79"/>
      <c r="S636" s="79"/>
      <c r="T636" s="79"/>
      <c r="W636" s="130"/>
      <c r="Y636" s="106"/>
    </row>
    <row r="637">
      <c r="C637" s="79"/>
      <c r="D637" s="79"/>
      <c r="J637" s="79"/>
      <c r="O637" s="79"/>
      <c r="P637" s="79"/>
      <c r="S637" s="79"/>
      <c r="T637" s="79"/>
      <c r="W637" s="130"/>
      <c r="Y637" s="106"/>
    </row>
    <row r="638">
      <c r="C638" s="79"/>
      <c r="D638" s="79"/>
      <c r="J638" s="79"/>
      <c r="O638" s="79"/>
      <c r="P638" s="79"/>
      <c r="S638" s="79"/>
      <c r="T638" s="79"/>
      <c r="W638" s="130"/>
      <c r="Y638" s="106"/>
    </row>
    <row r="639">
      <c r="C639" s="79"/>
      <c r="D639" s="79"/>
      <c r="J639" s="79"/>
      <c r="O639" s="79"/>
      <c r="P639" s="79"/>
      <c r="S639" s="79"/>
      <c r="T639" s="79"/>
      <c r="W639" s="130"/>
      <c r="Y639" s="106"/>
    </row>
    <row r="640">
      <c r="C640" s="79"/>
      <c r="D640" s="79"/>
      <c r="J640" s="79"/>
      <c r="O640" s="79"/>
      <c r="P640" s="79"/>
      <c r="S640" s="79"/>
      <c r="T640" s="79"/>
      <c r="W640" s="130"/>
      <c r="Y640" s="106"/>
    </row>
    <row r="641">
      <c r="C641" s="79"/>
      <c r="D641" s="79"/>
      <c r="J641" s="79"/>
      <c r="O641" s="79"/>
      <c r="P641" s="79"/>
      <c r="S641" s="79"/>
      <c r="T641" s="79"/>
      <c r="W641" s="130"/>
      <c r="Y641" s="106"/>
    </row>
    <row r="642">
      <c r="C642" s="79"/>
      <c r="D642" s="79"/>
      <c r="J642" s="79"/>
      <c r="O642" s="79"/>
      <c r="P642" s="79"/>
      <c r="S642" s="79"/>
      <c r="T642" s="79"/>
      <c r="W642" s="130"/>
      <c r="Y642" s="106"/>
    </row>
    <row r="643">
      <c r="C643" s="79"/>
      <c r="D643" s="79"/>
      <c r="J643" s="79"/>
      <c r="O643" s="79"/>
      <c r="P643" s="79"/>
      <c r="S643" s="79"/>
      <c r="T643" s="79"/>
      <c r="W643" s="130"/>
      <c r="Y643" s="106"/>
    </row>
    <row r="644">
      <c r="C644" s="79"/>
      <c r="D644" s="79"/>
      <c r="J644" s="79"/>
      <c r="O644" s="79"/>
      <c r="P644" s="79"/>
      <c r="S644" s="79"/>
      <c r="T644" s="79"/>
      <c r="W644" s="130"/>
      <c r="Y644" s="106"/>
    </row>
    <row r="645">
      <c r="C645" s="79"/>
      <c r="D645" s="79"/>
      <c r="J645" s="79"/>
      <c r="O645" s="79"/>
      <c r="P645" s="79"/>
      <c r="S645" s="79"/>
      <c r="T645" s="79"/>
      <c r="W645" s="130"/>
      <c r="Y645" s="106"/>
    </row>
    <row r="646">
      <c r="C646" s="79"/>
      <c r="D646" s="79"/>
      <c r="J646" s="79"/>
      <c r="O646" s="79"/>
      <c r="P646" s="79"/>
      <c r="S646" s="79"/>
      <c r="T646" s="79"/>
      <c r="W646" s="130"/>
      <c r="Y646" s="106"/>
    </row>
    <row r="647">
      <c r="C647" s="79"/>
      <c r="D647" s="79"/>
      <c r="J647" s="79"/>
      <c r="O647" s="79"/>
      <c r="P647" s="79"/>
      <c r="S647" s="79"/>
      <c r="T647" s="79"/>
      <c r="W647" s="130"/>
      <c r="Y647" s="106"/>
    </row>
    <row r="648">
      <c r="C648" s="79"/>
      <c r="D648" s="79"/>
      <c r="J648" s="79"/>
      <c r="O648" s="79"/>
      <c r="P648" s="79"/>
      <c r="S648" s="79"/>
      <c r="T648" s="79"/>
      <c r="W648" s="130"/>
      <c r="Y648" s="106"/>
    </row>
    <row r="649">
      <c r="C649" s="79"/>
      <c r="D649" s="79"/>
      <c r="J649" s="79"/>
      <c r="O649" s="79"/>
      <c r="P649" s="79"/>
      <c r="S649" s="79"/>
      <c r="T649" s="79"/>
      <c r="W649" s="130"/>
      <c r="Y649" s="106"/>
    </row>
    <row r="650">
      <c r="C650" s="79"/>
      <c r="D650" s="79"/>
      <c r="J650" s="79"/>
      <c r="O650" s="79"/>
      <c r="P650" s="79"/>
      <c r="S650" s="79"/>
      <c r="T650" s="79"/>
      <c r="W650" s="130"/>
      <c r="Y650" s="106"/>
    </row>
    <row r="651">
      <c r="C651" s="79"/>
      <c r="D651" s="79"/>
      <c r="J651" s="79"/>
      <c r="O651" s="79"/>
      <c r="P651" s="79"/>
      <c r="S651" s="79"/>
      <c r="T651" s="79"/>
      <c r="W651" s="130"/>
      <c r="Y651" s="106"/>
    </row>
    <row r="652">
      <c r="C652" s="79"/>
      <c r="D652" s="79"/>
      <c r="J652" s="79"/>
      <c r="O652" s="79"/>
      <c r="P652" s="79"/>
      <c r="S652" s="79"/>
      <c r="T652" s="79"/>
      <c r="W652" s="130"/>
      <c r="Y652" s="106"/>
    </row>
    <row r="653">
      <c r="C653" s="79"/>
      <c r="D653" s="79"/>
      <c r="J653" s="79"/>
      <c r="O653" s="79"/>
      <c r="P653" s="79"/>
      <c r="S653" s="79"/>
      <c r="T653" s="79"/>
      <c r="W653" s="130"/>
      <c r="Y653" s="106"/>
    </row>
    <row r="654">
      <c r="C654" s="79"/>
      <c r="D654" s="79"/>
      <c r="J654" s="79"/>
      <c r="O654" s="79"/>
      <c r="P654" s="79"/>
      <c r="S654" s="79"/>
      <c r="T654" s="79"/>
      <c r="W654" s="130"/>
      <c r="Y654" s="106"/>
    </row>
    <row r="655">
      <c r="C655" s="79"/>
      <c r="D655" s="79"/>
      <c r="J655" s="79"/>
      <c r="O655" s="79"/>
      <c r="P655" s="79"/>
      <c r="S655" s="79"/>
      <c r="T655" s="79"/>
      <c r="W655" s="130"/>
      <c r="Y655" s="106"/>
    </row>
    <row r="656">
      <c r="C656" s="79"/>
      <c r="D656" s="79"/>
      <c r="J656" s="79"/>
      <c r="O656" s="79"/>
      <c r="P656" s="79"/>
      <c r="S656" s="79"/>
      <c r="T656" s="79"/>
      <c r="W656" s="130"/>
      <c r="Y656" s="106"/>
    </row>
    <row r="657">
      <c r="C657" s="79"/>
      <c r="D657" s="79"/>
      <c r="J657" s="79"/>
      <c r="O657" s="79"/>
      <c r="P657" s="79"/>
      <c r="S657" s="79"/>
      <c r="T657" s="79"/>
      <c r="W657" s="130"/>
      <c r="Y657" s="106"/>
    </row>
    <row r="658">
      <c r="C658" s="79"/>
      <c r="D658" s="79"/>
      <c r="J658" s="79"/>
      <c r="O658" s="79"/>
      <c r="P658" s="79"/>
      <c r="S658" s="79"/>
      <c r="T658" s="79"/>
      <c r="W658" s="130"/>
      <c r="Y658" s="106"/>
    </row>
    <row r="659">
      <c r="C659" s="79"/>
      <c r="D659" s="79"/>
      <c r="J659" s="79"/>
      <c r="O659" s="79"/>
      <c r="P659" s="79"/>
      <c r="S659" s="79"/>
      <c r="T659" s="79"/>
      <c r="W659" s="130"/>
      <c r="Y659" s="106"/>
    </row>
    <row r="660">
      <c r="C660" s="79"/>
      <c r="D660" s="79"/>
      <c r="J660" s="79"/>
      <c r="O660" s="79"/>
      <c r="P660" s="79"/>
      <c r="S660" s="79"/>
      <c r="T660" s="79"/>
      <c r="W660" s="130"/>
      <c r="Y660" s="106"/>
    </row>
    <row r="661">
      <c r="C661" s="79"/>
      <c r="D661" s="79"/>
      <c r="J661" s="79"/>
      <c r="O661" s="79"/>
      <c r="P661" s="79"/>
      <c r="S661" s="79"/>
      <c r="T661" s="79"/>
      <c r="W661" s="130"/>
      <c r="Y661" s="106"/>
    </row>
    <row r="662">
      <c r="C662" s="79"/>
      <c r="D662" s="79"/>
      <c r="J662" s="79"/>
      <c r="O662" s="79"/>
      <c r="P662" s="79"/>
      <c r="S662" s="79"/>
      <c r="T662" s="79"/>
      <c r="W662" s="130"/>
      <c r="Y662" s="106"/>
    </row>
    <row r="663">
      <c r="C663" s="79"/>
      <c r="D663" s="79"/>
      <c r="J663" s="79"/>
      <c r="O663" s="79"/>
      <c r="P663" s="79"/>
      <c r="S663" s="79"/>
      <c r="T663" s="79"/>
      <c r="W663" s="130"/>
      <c r="Y663" s="106"/>
    </row>
    <row r="664">
      <c r="C664" s="79"/>
      <c r="D664" s="79"/>
      <c r="J664" s="79"/>
      <c r="O664" s="79"/>
      <c r="P664" s="79"/>
      <c r="S664" s="79"/>
      <c r="T664" s="79"/>
      <c r="W664" s="130"/>
      <c r="Y664" s="106"/>
    </row>
    <row r="665">
      <c r="C665" s="79"/>
      <c r="D665" s="79"/>
      <c r="J665" s="79"/>
      <c r="O665" s="79"/>
      <c r="P665" s="79"/>
      <c r="S665" s="79"/>
      <c r="T665" s="79"/>
      <c r="W665" s="130"/>
      <c r="Y665" s="106"/>
    </row>
    <row r="666">
      <c r="C666" s="79"/>
      <c r="D666" s="79"/>
      <c r="J666" s="79"/>
      <c r="O666" s="79"/>
      <c r="P666" s="79"/>
      <c r="S666" s="79"/>
      <c r="T666" s="79"/>
      <c r="W666" s="130"/>
      <c r="Y666" s="106"/>
    </row>
    <row r="667">
      <c r="C667" s="79"/>
      <c r="D667" s="79"/>
      <c r="J667" s="79"/>
      <c r="O667" s="79"/>
      <c r="P667" s="79"/>
      <c r="S667" s="79"/>
      <c r="T667" s="79"/>
      <c r="W667" s="130"/>
      <c r="Y667" s="106"/>
    </row>
    <row r="668">
      <c r="C668" s="79"/>
      <c r="D668" s="79"/>
      <c r="J668" s="79"/>
      <c r="O668" s="79"/>
      <c r="P668" s="79"/>
      <c r="S668" s="79"/>
      <c r="T668" s="79"/>
      <c r="W668" s="130"/>
      <c r="Y668" s="106"/>
    </row>
    <row r="669">
      <c r="C669" s="79"/>
      <c r="D669" s="79"/>
      <c r="J669" s="79"/>
      <c r="O669" s="79"/>
      <c r="P669" s="79"/>
      <c r="S669" s="79"/>
      <c r="T669" s="79"/>
      <c r="W669" s="130"/>
      <c r="Y669" s="106"/>
    </row>
    <row r="670">
      <c r="C670" s="79"/>
      <c r="D670" s="79"/>
      <c r="J670" s="79"/>
      <c r="O670" s="79"/>
      <c r="P670" s="79"/>
      <c r="S670" s="79"/>
      <c r="T670" s="79"/>
      <c r="W670" s="130"/>
      <c r="Y670" s="106"/>
    </row>
    <row r="671">
      <c r="C671" s="79"/>
      <c r="D671" s="79"/>
      <c r="J671" s="79"/>
      <c r="O671" s="79"/>
      <c r="P671" s="79"/>
      <c r="S671" s="79"/>
      <c r="T671" s="79"/>
      <c r="W671" s="130"/>
      <c r="Y671" s="106"/>
    </row>
    <row r="672">
      <c r="C672" s="79"/>
      <c r="D672" s="79"/>
      <c r="J672" s="79"/>
      <c r="O672" s="79"/>
      <c r="P672" s="79"/>
      <c r="S672" s="79"/>
      <c r="T672" s="79"/>
      <c r="W672" s="130"/>
      <c r="Y672" s="106"/>
    </row>
    <row r="673">
      <c r="C673" s="79"/>
      <c r="D673" s="79"/>
      <c r="J673" s="79"/>
      <c r="O673" s="79"/>
      <c r="P673" s="79"/>
      <c r="S673" s="79"/>
      <c r="T673" s="79"/>
      <c r="W673" s="130"/>
      <c r="Y673" s="106"/>
    </row>
    <row r="674">
      <c r="C674" s="79"/>
      <c r="D674" s="79"/>
      <c r="J674" s="79"/>
      <c r="O674" s="79"/>
      <c r="P674" s="79"/>
      <c r="S674" s="79"/>
      <c r="T674" s="79"/>
      <c r="W674" s="130"/>
      <c r="Y674" s="106"/>
    </row>
    <row r="675">
      <c r="C675" s="79"/>
      <c r="D675" s="79"/>
      <c r="J675" s="79"/>
      <c r="O675" s="79"/>
      <c r="P675" s="79"/>
      <c r="S675" s="79"/>
      <c r="T675" s="79"/>
      <c r="W675" s="130"/>
      <c r="Y675" s="106"/>
    </row>
    <row r="676">
      <c r="C676" s="79"/>
      <c r="D676" s="79"/>
      <c r="J676" s="79"/>
      <c r="O676" s="79"/>
      <c r="P676" s="79"/>
      <c r="S676" s="79"/>
      <c r="T676" s="79"/>
      <c r="W676" s="130"/>
      <c r="Y676" s="106"/>
    </row>
    <row r="677">
      <c r="C677" s="79"/>
      <c r="D677" s="79"/>
      <c r="J677" s="79"/>
      <c r="O677" s="79"/>
      <c r="P677" s="79"/>
      <c r="S677" s="79"/>
      <c r="T677" s="79"/>
      <c r="W677" s="130"/>
      <c r="Y677" s="106"/>
    </row>
    <row r="678">
      <c r="C678" s="79"/>
      <c r="D678" s="79"/>
      <c r="J678" s="79"/>
      <c r="O678" s="79"/>
      <c r="P678" s="79"/>
      <c r="S678" s="79"/>
      <c r="T678" s="79"/>
      <c r="W678" s="130"/>
      <c r="Y678" s="106"/>
    </row>
    <row r="679">
      <c r="C679" s="79"/>
      <c r="D679" s="79"/>
      <c r="J679" s="79"/>
      <c r="O679" s="79"/>
      <c r="P679" s="79"/>
      <c r="S679" s="79"/>
      <c r="T679" s="79"/>
      <c r="W679" s="130"/>
      <c r="Y679" s="106"/>
    </row>
    <row r="680">
      <c r="C680" s="79"/>
      <c r="D680" s="79"/>
      <c r="J680" s="79"/>
      <c r="O680" s="79"/>
      <c r="P680" s="79"/>
      <c r="S680" s="79"/>
      <c r="T680" s="79"/>
      <c r="W680" s="130"/>
      <c r="Y680" s="106"/>
    </row>
    <row r="681">
      <c r="C681" s="79"/>
      <c r="D681" s="79"/>
      <c r="J681" s="79"/>
      <c r="O681" s="79"/>
      <c r="P681" s="79"/>
      <c r="S681" s="79"/>
      <c r="T681" s="79"/>
      <c r="W681" s="130"/>
      <c r="Y681" s="106"/>
    </row>
    <row r="682">
      <c r="C682" s="79"/>
      <c r="D682" s="79"/>
      <c r="J682" s="79"/>
      <c r="O682" s="79"/>
      <c r="P682" s="79"/>
      <c r="S682" s="79"/>
      <c r="T682" s="79"/>
      <c r="W682" s="130"/>
      <c r="Y682" s="106"/>
    </row>
    <row r="683">
      <c r="C683" s="79"/>
      <c r="D683" s="79"/>
      <c r="J683" s="79"/>
      <c r="O683" s="79"/>
      <c r="P683" s="79"/>
      <c r="S683" s="79"/>
      <c r="T683" s="79"/>
      <c r="W683" s="130"/>
      <c r="Y683" s="106"/>
    </row>
    <row r="684">
      <c r="C684" s="79"/>
      <c r="D684" s="79"/>
      <c r="J684" s="79"/>
      <c r="O684" s="79"/>
      <c r="P684" s="79"/>
      <c r="S684" s="79"/>
      <c r="T684" s="79"/>
      <c r="W684" s="130"/>
      <c r="Y684" s="106"/>
    </row>
    <row r="685">
      <c r="C685" s="79"/>
      <c r="D685" s="79"/>
      <c r="J685" s="79"/>
      <c r="O685" s="79"/>
      <c r="P685" s="79"/>
      <c r="S685" s="79"/>
      <c r="T685" s="79"/>
      <c r="W685" s="130"/>
      <c r="Y685" s="106"/>
    </row>
    <row r="686">
      <c r="C686" s="79"/>
      <c r="D686" s="79"/>
      <c r="J686" s="79"/>
      <c r="O686" s="79"/>
      <c r="P686" s="79"/>
      <c r="S686" s="79"/>
      <c r="T686" s="79"/>
      <c r="W686" s="130"/>
      <c r="Y686" s="106"/>
    </row>
    <row r="687">
      <c r="C687" s="79"/>
      <c r="D687" s="79"/>
      <c r="J687" s="79"/>
      <c r="O687" s="79"/>
      <c r="P687" s="79"/>
      <c r="S687" s="79"/>
      <c r="T687" s="79"/>
      <c r="W687" s="130"/>
      <c r="Y687" s="106"/>
    </row>
    <row r="688">
      <c r="C688" s="79"/>
      <c r="D688" s="79"/>
      <c r="J688" s="79"/>
      <c r="O688" s="79"/>
      <c r="P688" s="79"/>
      <c r="S688" s="79"/>
      <c r="T688" s="79"/>
      <c r="W688" s="130"/>
      <c r="Y688" s="106"/>
    </row>
    <row r="689">
      <c r="C689" s="79"/>
      <c r="D689" s="79"/>
      <c r="J689" s="79"/>
      <c r="O689" s="79"/>
      <c r="P689" s="79"/>
      <c r="S689" s="79"/>
      <c r="T689" s="79"/>
      <c r="W689" s="130"/>
      <c r="Y689" s="106"/>
    </row>
    <row r="690">
      <c r="C690" s="79"/>
      <c r="D690" s="79"/>
      <c r="J690" s="79"/>
      <c r="O690" s="79"/>
      <c r="P690" s="79"/>
      <c r="S690" s="79"/>
      <c r="T690" s="79"/>
      <c r="W690" s="130"/>
      <c r="Y690" s="106"/>
    </row>
    <row r="691">
      <c r="C691" s="79"/>
      <c r="D691" s="79"/>
      <c r="J691" s="79"/>
      <c r="O691" s="79"/>
      <c r="P691" s="79"/>
      <c r="S691" s="79"/>
      <c r="T691" s="79"/>
      <c r="W691" s="130"/>
      <c r="Y691" s="106"/>
    </row>
    <row r="692">
      <c r="C692" s="79"/>
      <c r="D692" s="79"/>
      <c r="J692" s="79"/>
      <c r="O692" s="79"/>
      <c r="P692" s="79"/>
      <c r="S692" s="79"/>
      <c r="T692" s="79"/>
      <c r="W692" s="130"/>
      <c r="Y692" s="106"/>
    </row>
    <row r="693">
      <c r="C693" s="79"/>
      <c r="D693" s="79"/>
      <c r="J693" s="79"/>
      <c r="O693" s="79"/>
      <c r="P693" s="79"/>
      <c r="S693" s="79"/>
      <c r="T693" s="79"/>
      <c r="W693" s="130"/>
      <c r="Y693" s="106"/>
    </row>
    <row r="694">
      <c r="C694" s="79"/>
      <c r="D694" s="79"/>
      <c r="J694" s="79"/>
      <c r="O694" s="79"/>
      <c r="P694" s="79"/>
      <c r="S694" s="79"/>
      <c r="T694" s="79"/>
      <c r="W694" s="130"/>
      <c r="Y694" s="106"/>
    </row>
    <row r="695">
      <c r="C695" s="79"/>
      <c r="D695" s="79"/>
      <c r="J695" s="79"/>
      <c r="O695" s="79"/>
      <c r="P695" s="79"/>
      <c r="S695" s="79"/>
      <c r="T695" s="79"/>
      <c r="W695" s="130"/>
      <c r="Y695" s="106"/>
    </row>
    <row r="696">
      <c r="C696" s="79"/>
      <c r="D696" s="79"/>
      <c r="J696" s="79"/>
      <c r="O696" s="79"/>
      <c r="P696" s="79"/>
      <c r="S696" s="79"/>
      <c r="T696" s="79"/>
      <c r="W696" s="130"/>
      <c r="Y696" s="106"/>
    </row>
    <row r="697">
      <c r="C697" s="79"/>
      <c r="D697" s="79"/>
      <c r="J697" s="79"/>
      <c r="O697" s="79"/>
      <c r="P697" s="79"/>
      <c r="S697" s="79"/>
      <c r="T697" s="79"/>
      <c r="W697" s="130"/>
      <c r="Y697" s="106"/>
    </row>
    <row r="698">
      <c r="C698" s="79"/>
      <c r="D698" s="79"/>
      <c r="J698" s="79"/>
      <c r="O698" s="79"/>
      <c r="P698" s="79"/>
      <c r="S698" s="79"/>
      <c r="T698" s="79"/>
      <c r="W698" s="130"/>
      <c r="Y698" s="106"/>
    </row>
    <row r="699">
      <c r="C699" s="79"/>
      <c r="D699" s="79"/>
      <c r="J699" s="79"/>
      <c r="O699" s="79"/>
      <c r="P699" s="79"/>
      <c r="S699" s="79"/>
      <c r="T699" s="79"/>
      <c r="W699" s="130"/>
      <c r="Y699" s="106"/>
    </row>
    <row r="700">
      <c r="C700" s="79"/>
      <c r="D700" s="79"/>
      <c r="J700" s="79"/>
      <c r="O700" s="79"/>
      <c r="P700" s="79"/>
      <c r="S700" s="79"/>
      <c r="T700" s="79"/>
      <c r="W700" s="130"/>
      <c r="Y700" s="106"/>
    </row>
    <row r="701">
      <c r="C701" s="79"/>
      <c r="D701" s="79"/>
      <c r="J701" s="79"/>
      <c r="O701" s="79"/>
      <c r="P701" s="79"/>
      <c r="S701" s="79"/>
      <c r="T701" s="79"/>
      <c r="W701" s="130"/>
      <c r="Y701" s="106"/>
    </row>
    <row r="702">
      <c r="C702" s="79"/>
      <c r="D702" s="79"/>
      <c r="J702" s="79"/>
      <c r="O702" s="79"/>
      <c r="P702" s="79"/>
      <c r="S702" s="79"/>
      <c r="T702" s="79"/>
      <c r="W702" s="130"/>
      <c r="Y702" s="106"/>
    </row>
    <row r="703">
      <c r="C703" s="79"/>
      <c r="D703" s="79"/>
      <c r="J703" s="79"/>
      <c r="O703" s="79"/>
      <c r="P703" s="79"/>
      <c r="S703" s="79"/>
      <c r="T703" s="79"/>
      <c r="W703" s="130"/>
      <c r="Y703" s="106"/>
    </row>
    <row r="704">
      <c r="C704" s="79"/>
      <c r="D704" s="79"/>
      <c r="J704" s="79"/>
      <c r="O704" s="79"/>
      <c r="P704" s="79"/>
      <c r="S704" s="79"/>
      <c r="T704" s="79"/>
      <c r="W704" s="130"/>
      <c r="Y704" s="106"/>
    </row>
    <row r="705">
      <c r="C705" s="79"/>
      <c r="D705" s="79"/>
      <c r="J705" s="79"/>
      <c r="O705" s="79"/>
      <c r="P705" s="79"/>
      <c r="S705" s="79"/>
      <c r="T705" s="79"/>
      <c r="W705" s="130"/>
      <c r="Y705" s="106"/>
    </row>
    <row r="706">
      <c r="C706" s="79"/>
      <c r="D706" s="79"/>
      <c r="J706" s="79"/>
      <c r="O706" s="79"/>
      <c r="P706" s="79"/>
      <c r="S706" s="79"/>
      <c r="T706" s="79"/>
      <c r="W706" s="130"/>
      <c r="Y706" s="106"/>
    </row>
    <row r="707">
      <c r="C707" s="79"/>
      <c r="D707" s="79"/>
      <c r="J707" s="79"/>
      <c r="O707" s="79"/>
      <c r="P707" s="79"/>
      <c r="S707" s="79"/>
      <c r="T707" s="79"/>
      <c r="W707" s="130"/>
      <c r="Y707" s="106"/>
    </row>
    <row r="708">
      <c r="C708" s="79"/>
      <c r="D708" s="79"/>
      <c r="J708" s="79"/>
      <c r="O708" s="79"/>
      <c r="P708" s="79"/>
      <c r="S708" s="79"/>
      <c r="T708" s="79"/>
      <c r="W708" s="130"/>
      <c r="Y708" s="106"/>
    </row>
    <row r="709">
      <c r="C709" s="79"/>
      <c r="D709" s="79"/>
      <c r="J709" s="79"/>
      <c r="O709" s="79"/>
      <c r="P709" s="79"/>
      <c r="S709" s="79"/>
      <c r="T709" s="79"/>
      <c r="W709" s="130"/>
      <c r="Y709" s="106"/>
    </row>
    <row r="710">
      <c r="C710" s="79"/>
      <c r="D710" s="79"/>
      <c r="J710" s="79"/>
      <c r="O710" s="79"/>
      <c r="P710" s="79"/>
      <c r="S710" s="79"/>
      <c r="T710" s="79"/>
      <c r="W710" s="130"/>
      <c r="Y710" s="106"/>
    </row>
    <row r="711">
      <c r="C711" s="79"/>
      <c r="D711" s="79"/>
      <c r="J711" s="79"/>
      <c r="O711" s="79"/>
      <c r="P711" s="79"/>
      <c r="S711" s="79"/>
      <c r="T711" s="79"/>
      <c r="W711" s="130"/>
      <c r="Y711" s="106"/>
    </row>
    <row r="712">
      <c r="C712" s="79"/>
      <c r="D712" s="79"/>
      <c r="J712" s="79"/>
      <c r="O712" s="79"/>
      <c r="P712" s="79"/>
      <c r="S712" s="79"/>
      <c r="T712" s="79"/>
      <c r="W712" s="130"/>
      <c r="Y712" s="106"/>
    </row>
    <row r="713">
      <c r="C713" s="79"/>
      <c r="D713" s="79"/>
      <c r="J713" s="79"/>
      <c r="O713" s="79"/>
      <c r="P713" s="79"/>
      <c r="S713" s="79"/>
      <c r="T713" s="79"/>
      <c r="W713" s="130"/>
      <c r="Y713" s="106"/>
    </row>
    <row r="714">
      <c r="C714" s="79"/>
      <c r="D714" s="79"/>
      <c r="J714" s="79"/>
      <c r="O714" s="79"/>
      <c r="P714" s="79"/>
      <c r="S714" s="79"/>
      <c r="T714" s="79"/>
      <c r="W714" s="130"/>
      <c r="Y714" s="106"/>
    </row>
    <row r="715">
      <c r="C715" s="79"/>
      <c r="D715" s="79"/>
      <c r="J715" s="79"/>
      <c r="O715" s="79"/>
      <c r="P715" s="79"/>
      <c r="S715" s="79"/>
      <c r="T715" s="79"/>
      <c r="W715" s="130"/>
      <c r="Y715" s="106"/>
    </row>
    <row r="716">
      <c r="C716" s="79"/>
      <c r="D716" s="79"/>
      <c r="J716" s="79"/>
      <c r="O716" s="79"/>
      <c r="P716" s="79"/>
      <c r="S716" s="79"/>
      <c r="T716" s="79"/>
      <c r="W716" s="130"/>
      <c r="Y716" s="106"/>
    </row>
    <row r="717">
      <c r="C717" s="79"/>
      <c r="D717" s="79"/>
      <c r="J717" s="79"/>
      <c r="O717" s="79"/>
      <c r="P717" s="79"/>
      <c r="S717" s="79"/>
      <c r="T717" s="79"/>
      <c r="W717" s="130"/>
      <c r="Y717" s="106"/>
    </row>
    <row r="718">
      <c r="C718" s="79"/>
      <c r="D718" s="79"/>
      <c r="J718" s="79"/>
      <c r="O718" s="79"/>
      <c r="P718" s="79"/>
      <c r="S718" s="79"/>
      <c r="T718" s="79"/>
      <c r="W718" s="130"/>
      <c r="Y718" s="106"/>
    </row>
    <row r="719">
      <c r="C719" s="79"/>
      <c r="D719" s="79"/>
      <c r="J719" s="79"/>
      <c r="O719" s="79"/>
      <c r="P719" s="79"/>
      <c r="S719" s="79"/>
      <c r="T719" s="79"/>
      <c r="W719" s="130"/>
      <c r="Y719" s="106"/>
    </row>
    <row r="720">
      <c r="C720" s="79"/>
      <c r="D720" s="79"/>
      <c r="J720" s="79"/>
      <c r="O720" s="79"/>
      <c r="P720" s="79"/>
      <c r="S720" s="79"/>
      <c r="T720" s="79"/>
      <c r="W720" s="130"/>
      <c r="Y720" s="106"/>
    </row>
    <row r="721">
      <c r="C721" s="79"/>
      <c r="D721" s="79"/>
      <c r="J721" s="79"/>
      <c r="O721" s="79"/>
      <c r="P721" s="79"/>
      <c r="S721" s="79"/>
      <c r="T721" s="79"/>
      <c r="W721" s="130"/>
      <c r="Y721" s="106"/>
    </row>
    <row r="722">
      <c r="C722" s="79"/>
      <c r="D722" s="79"/>
      <c r="J722" s="79"/>
      <c r="O722" s="79"/>
      <c r="P722" s="79"/>
      <c r="S722" s="79"/>
      <c r="T722" s="79"/>
      <c r="W722" s="130"/>
      <c r="Y722" s="106"/>
    </row>
    <row r="723">
      <c r="C723" s="79"/>
      <c r="D723" s="79"/>
      <c r="J723" s="79"/>
      <c r="O723" s="79"/>
      <c r="P723" s="79"/>
      <c r="S723" s="79"/>
      <c r="T723" s="79"/>
      <c r="W723" s="130"/>
      <c r="Y723" s="106"/>
    </row>
    <row r="724">
      <c r="C724" s="79"/>
      <c r="D724" s="79"/>
      <c r="J724" s="79"/>
      <c r="O724" s="79"/>
      <c r="P724" s="79"/>
      <c r="S724" s="79"/>
      <c r="T724" s="79"/>
      <c r="W724" s="130"/>
      <c r="Y724" s="106"/>
    </row>
    <row r="725">
      <c r="C725" s="79"/>
      <c r="D725" s="79"/>
      <c r="J725" s="79"/>
      <c r="O725" s="79"/>
      <c r="P725" s="79"/>
      <c r="S725" s="79"/>
      <c r="T725" s="79"/>
      <c r="W725" s="130"/>
      <c r="Y725" s="106"/>
    </row>
    <row r="726">
      <c r="C726" s="79"/>
      <c r="D726" s="79"/>
      <c r="J726" s="79"/>
      <c r="O726" s="79"/>
      <c r="P726" s="79"/>
      <c r="S726" s="79"/>
      <c r="T726" s="79"/>
      <c r="W726" s="130"/>
      <c r="Y726" s="106"/>
    </row>
    <row r="727">
      <c r="C727" s="79"/>
      <c r="D727" s="79"/>
      <c r="J727" s="79"/>
      <c r="O727" s="79"/>
      <c r="P727" s="79"/>
      <c r="S727" s="79"/>
      <c r="T727" s="79"/>
      <c r="W727" s="130"/>
      <c r="Y727" s="106"/>
    </row>
    <row r="728">
      <c r="C728" s="79"/>
      <c r="D728" s="79"/>
      <c r="J728" s="79"/>
      <c r="O728" s="79"/>
      <c r="P728" s="79"/>
      <c r="S728" s="79"/>
      <c r="T728" s="79"/>
      <c r="W728" s="130"/>
      <c r="Y728" s="106"/>
    </row>
    <row r="729">
      <c r="C729" s="79"/>
      <c r="D729" s="79"/>
      <c r="J729" s="79"/>
      <c r="O729" s="79"/>
      <c r="P729" s="79"/>
      <c r="S729" s="79"/>
      <c r="T729" s="79"/>
      <c r="W729" s="130"/>
      <c r="Y729" s="106"/>
    </row>
    <row r="730">
      <c r="C730" s="79"/>
      <c r="D730" s="79"/>
      <c r="J730" s="79"/>
      <c r="O730" s="79"/>
      <c r="P730" s="79"/>
      <c r="S730" s="79"/>
      <c r="T730" s="79"/>
      <c r="W730" s="130"/>
      <c r="Y730" s="106"/>
    </row>
    <row r="731">
      <c r="C731" s="79"/>
      <c r="D731" s="79"/>
      <c r="J731" s="79"/>
      <c r="O731" s="79"/>
      <c r="P731" s="79"/>
      <c r="S731" s="79"/>
      <c r="T731" s="79"/>
      <c r="W731" s="130"/>
      <c r="Y731" s="106"/>
    </row>
    <row r="732">
      <c r="C732" s="79"/>
      <c r="D732" s="79"/>
      <c r="J732" s="79"/>
      <c r="O732" s="79"/>
      <c r="P732" s="79"/>
      <c r="S732" s="79"/>
      <c r="T732" s="79"/>
      <c r="W732" s="130"/>
      <c r="Y732" s="106"/>
    </row>
    <row r="733">
      <c r="C733" s="79"/>
      <c r="D733" s="79"/>
      <c r="J733" s="79"/>
      <c r="O733" s="79"/>
      <c r="P733" s="79"/>
      <c r="S733" s="79"/>
      <c r="T733" s="79"/>
      <c r="W733" s="130"/>
      <c r="Y733" s="106"/>
    </row>
    <row r="734">
      <c r="C734" s="79"/>
      <c r="D734" s="79"/>
      <c r="J734" s="79"/>
      <c r="O734" s="79"/>
      <c r="P734" s="79"/>
      <c r="S734" s="79"/>
      <c r="T734" s="79"/>
      <c r="W734" s="130"/>
      <c r="Y734" s="106"/>
    </row>
    <row r="735">
      <c r="C735" s="79"/>
      <c r="D735" s="79"/>
      <c r="J735" s="79"/>
      <c r="O735" s="79"/>
      <c r="P735" s="79"/>
      <c r="S735" s="79"/>
      <c r="T735" s="79"/>
      <c r="W735" s="130"/>
      <c r="Y735" s="106"/>
    </row>
    <row r="736">
      <c r="C736" s="79"/>
      <c r="D736" s="79"/>
      <c r="J736" s="79"/>
      <c r="O736" s="79"/>
      <c r="P736" s="79"/>
      <c r="S736" s="79"/>
      <c r="T736" s="79"/>
      <c r="W736" s="130"/>
      <c r="Y736" s="106"/>
    </row>
    <row r="737">
      <c r="C737" s="79"/>
      <c r="D737" s="79"/>
      <c r="J737" s="79"/>
      <c r="O737" s="79"/>
      <c r="P737" s="79"/>
      <c r="S737" s="79"/>
      <c r="T737" s="79"/>
      <c r="W737" s="130"/>
      <c r="Y737" s="106"/>
    </row>
    <row r="738">
      <c r="C738" s="79"/>
      <c r="D738" s="79"/>
      <c r="J738" s="79"/>
      <c r="O738" s="79"/>
      <c r="P738" s="79"/>
      <c r="S738" s="79"/>
      <c r="T738" s="79"/>
      <c r="W738" s="130"/>
      <c r="Y738" s="106"/>
    </row>
    <row r="739">
      <c r="C739" s="79"/>
      <c r="D739" s="79"/>
      <c r="J739" s="79"/>
      <c r="O739" s="79"/>
      <c r="P739" s="79"/>
      <c r="S739" s="79"/>
      <c r="T739" s="79"/>
      <c r="W739" s="130"/>
      <c r="Y739" s="106"/>
    </row>
    <row r="740">
      <c r="C740" s="79"/>
      <c r="D740" s="79"/>
      <c r="J740" s="79"/>
      <c r="O740" s="79"/>
      <c r="P740" s="79"/>
      <c r="S740" s="79"/>
      <c r="T740" s="79"/>
      <c r="W740" s="130"/>
      <c r="Y740" s="106"/>
    </row>
    <row r="741">
      <c r="C741" s="79"/>
      <c r="D741" s="79"/>
      <c r="J741" s="79"/>
      <c r="O741" s="79"/>
      <c r="P741" s="79"/>
      <c r="S741" s="79"/>
      <c r="T741" s="79"/>
      <c r="W741" s="130"/>
      <c r="Y741" s="106"/>
    </row>
    <row r="742">
      <c r="C742" s="79"/>
      <c r="D742" s="79"/>
      <c r="J742" s="79"/>
      <c r="O742" s="79"/>
      <c r="P742" s="79"/>
      <c r="S742" s="79"/>
      <c r="T742" s="79"/>
      <c r="W742" s="130"/>
      <c r="Y742" s="106"/>
    </row>
    <row r="743">
      <c r="C743" s="79"/>
      <c r="D743" s="79"/>
      <c r="J743" s="79"/>
      <c r="O743" s="79"/>
      <c r="P743" s="79"/>
      <c r="S743" s="79"/>
      <c r="T743" s="79"/>
      <c r="W743" s="130"/>
      <c r="Y743" s="106"/>
    </row>
    <row r="744">
      <c r="C744" s="79"/>
      <c r="D744" s="79"/>
      <c r="J744" s="79"/>
      <c r="O744" s="79"/>
      <c r="P744" s="79"/>
      <c r="S744" s="79"/>
      <c r="T744" s="79"/>
      <c r="W744" s="130"/>
      <c r="Y744" s="106"/>
    </row>
    <row r="745">
      <c r="C745" s="79"/>
      <c r="D745" s="79"/>
      <c r="J745" s="79"/>
      <c r="O745" s="79"/>
      <c r="P745" s="79"/>
      <c r="S745" s="79"/>
      <c r="T745" s="79"/>
      <c r="W745" s="130"/>
      <c r="Y745" s="106"/>
    </row>
    <row r="746">
      <c r="C746" s="79"/>
      <c r="D746" s="79"/>
      <c r="J746" s="79"/>
      <c r="O746" s="79"/>
      <c r="P746" s="79"/>
      <c r="S746" s="79"/>
      <c r="T746" s="79"/>
      <c r="W746" s="130"/>
      <c r="Y746" s="106"/>
    </row>
    <row r="747">
      <c r="C747" s="79"/>
      <c r="D747" s="79"/>
      <c r="J747" s="79"/>
      <c r="O747" s="79"/>
      <c r="P747" s="79"/>
      <c r="S747" s="79"/>
      <c r="T747" s="79"/>
      <c r="W747" s="130"/>
      <c r="Y747" s="106"/>
    </row>
    <row r="748">
      <c r="C748" s="79"/>
      <c r="D748" s="79"/>
      <c r="J748" s="79"/>
      <c r="O748" s="79"/>
      <c r="P748" s="79"/>
      <c r="S748" s="79"/>
      <c r="T748" s="79"/>
      <c r="W748" s="130"/>
      <c r="Y748" s="106"/>
    </row>
    <row r="749">
      <c r="C749" s="79"/>
      <c r="D749" s="79"/>
      <c r="J749" s="79"/>
      <c r="O749" s="79"/>
      <c r="P749" s="79"/>
      <c r="S749" s="79"/>
      <c r="T749" s="79"/>
      <c r="W749" s="130"/>
      <c r="Y749" s="106"/>
    </row>
    <row r="750">
      <c r="C750" s="79"/>
      <c r="D750" s="79"/>
      <c r="J750" s="79"/>
      <c r="O750" s="79"/>
      <c r="P750" s="79"/>
      <c r="S750" s="79"/>
      <c r="T750" s="79"/>
      <c r="W750" s="130"/>
      <c r="Y750" s="106"/>
    </row>
    <row r="751">
      <c r="C751" s="79"/>
      <c r="D751" s="79"/>
      <c r="J751" s="79"/>
      <c r="O751" s="79"/>
      <c r="P751" s="79"/>
      <c r="S751" s="79"/>
      <c r="T751" s="79"/>
      <c r="W751" s="130"/>
      <c r="Y751" s="106"/>
    </row>
    <row r="752">
      <c r="C752" s="79"/>
      <c r="D752" s="79"/>
      <c r="J752" s="79"/>
      <c r="O752" s="79"/>
      <c r="P752" s="79"/>
      <c r="S752" s="79"/>
      <c r="T752" s="79"/>
      <c r="W752" s="130"/>
      <c r="Y752" s="106"/>
    </row>
    <row r="753">
      <c r="C753" s="79"/>
      <c r="D753" s="79"/>
      <c r="J753" s="79"/>
      <c r="O753" s="79"/>
      <c r="P753" s="79"/>
      <c r="S753" s="79"/>
      <c r="T753" s="79"/>
      <c r="W753" s="130"/>
      <c r="Y753" s="106"/>
    </row>
    <row r="754">
      <c r="C754" s="79"/>
      <c r="D754" s="79"/>
      <c r="J754" s="79"/>
      <c r="O754" s="79"/>
      <c r="P754" s="79"/>
      <c r="S754" s="79"/>
      <c r="T754" s="79"/>
      <c r="W754" s="130"/>
      <c r="Y754" s="106"/>
    </row>
    <row r="755">
      <c r="C755" s="79"/>
      <c r="D755" s="79"/>
      <c r="J755" s="79"/>
      <c r="O755" s="79"/>
      <c r="P755" s="79"/>
      <c r="S755" s="79"/>
      <c r="T755" s="79"/>
      <c r="W755" s="130"/>
      <c r="Y755" s="106"/>
    </row>
    <row r="756">
      <c r="C756" s="79"/>
      <c r="D756" s="79"/>
      <c r="J756" s="79"/>
      <c r="O756" s="79"/>
      <c r="P756" s="79"/>
      <c r="S756" s="79"/>
      <c r="T756" s="79"/>
      <c r="W756" s="130"/>
      <c r="Y756" s="106"/>
    </row>
    <row r="757">
      <c r="C757" s="79"/>
      <c r="D757" s="79"/>
      <c r="J757" s="79"/>
      <c r="O757" s="79"/>
      <c r="P757" s="79"/>
      <c r="S757" s="79"/>
      <c r="T757" s="79"/>
      <c r="W757" s="130"/>
      <c r="Y757" s="106"/>
    </row>
    <row r="758">
      <c r="C758" s="79"/>
      <c r="D758" s="79"/>
      <c r="J758" s="79"/>
      <c r="O758" s="79"/>
      <c r="P758" s="79"/>
      <c r="S758" s="79"/>
      <c r="T758" s="79"/>
      <c r="W758" s="130"/>
      <c r="Y758" s="106"/>
    </row>
    <row r="759">
      <c r="C759" s="79"/>
      <c r="D759" s="79"/>
      <c r="J759" s="79"/>
      <c r="O759" s="79"/>
      <c r="P759" s="79"/>
      <c r="S759" s="79"/>
      <c r="T759" s="79"/>
      <c r="W759" s="130"/>
      <c r="Y759" s="106"/>
    </row>
    <row r="760">
      <c r="C760" s="79"/>
      <c r="D760" s="79"/>
      <c r="J760" s="79"/>
      <c r="O760" s="79"/>
      <c r="P760" s="79"/>
      <c r="S760" s="79"/>
      <c r="T760" s="79"/>
      <c r="W760" s="130"/>
      <c r="Y760" s="106"/>
    </row>
    <row r="761">
      <c r="C761" s="79"/>
      <c r="D761" s="79"/>
      <c r="J761" s="79"/>
      <c r="O761" s="79"/>
      <c r="P761" s="79"/>
      <c r="S761" s="79"/>
      <c r="T761" s="79"/>
      <c r="W761" s="130"/>
      <c r="Y761" s="106"/>
    </row>
    <row r="762">
      <c r="C762" s="79"/>
      <c r="D762" s="79"/>
      <c r="J762" s="79"/>
      <c r="O762" s="79"/>
      <c r="P762" s="79"/>
      <c r="S762" s="79"/>
      <c r="T762" s="79"/>
      <c r="W762" s="130"/>
      <c r="Y762" s="106"/>
    </row>
    <row r="763">
      <c r="C763" s="79"/>
      <c r="D763" s="79"/>
      <c r="J763" s="79"/>
      <c r="O763" s="79"/>
      <c r="P763" s="79"/>
      <c r="S763" s="79"/>
      <c r="T763" s="79"/>
      <c r="W763" s="130"/>
      <c r="Y763" s="106"/>
    </row>
    <row r="764">
      <c r="C764" s="79"/>
      <c r="D764" s="79"/>
      <c r="J764" s="79"/>
      <c r="O764" s="79"/>
      <c r="P764" s="79"/>
      <c r="S764" s="79"/>
      <c r="T764" s="79"/>
      <c r="W764" s="130"/>
      <c r="Y764" s="106"/>
    </row>
    <row r="765">
      <c r="C765" s="79"/>
      <c r="D765" s="79"/>
      <c r="J765" s="79"/>
      <c r="O765" s="79"/>
      <c r="P765" s="79"/>
      <c r="S765" s="79"/>
      <c r="T765" s="79"/>
      <c r="W765" s="130"/>
      <c r="Y765" s="106"/>
    </row>
    <row r="766">
      <c r="C766" s="79"/>
      <c r="D766" s="79"/>
      <c r="J766" s="79"/>
      <c r="O766" s="79"/>
      <c r="P766" s="79"/>
      <c r="S766" s="79"/>
      <c r="T766" s="79"/>
      <c r="W766" s="130"/>
      <c r="Y766" s="106"/>
    </row>
    <row r="767">
      <c r="C767" s="79"/>
      <c r="D767" s="79"/>
      <c r="J767" s="79"/>
      <c r="O767" s="79"/>
      <c r="P767" s="79"/>
      <c r="S767" s="79"/>
      <c r="T767" s="79"/>
      <c r="W767" s="130"/>
      <c r="Y767" s="106"/>
    </row>
    <row r="768">
      <c r="C768" s="79"/>
      <c r="D768" s="79"/>
      <c r="J768" s="79"/>
      <c r="O768" s="79"/>
      <c r="P768" s="79"/>
      <c r="S768" s="79"/>
      <c r="T768" s="79"/>
      <c r="W768" s="130"/>
      <c r="Y768" s="106"/>
    </row>
    <row r="769">
      <c r="C769" s="79"/>
      <c r="D769" s="79"/>
      <c r="J769" s="79"/>
      <c r="O769" s="79"/>
      <c r="P769" s="79"/>
      <c r="S769" s="79"/>
      <c r="T769" s="79"/>
      <c r="W769" s="130"/>
      <c r="Y769" s="106"/>
    </row>
    <row r="770">
      <c r="C770" s="79"/>
      <c r="D770" s="79"/>
      <c r="J770" s="79"/>
      <c r="O770" s="79"/>
      <c r="P770" s="79"/>
      <c r="S770" s="79"/>
      <c r="T770" s="79"/>
      <c r="W770" s="130"/>
      <c r="Y770" s="106"/>
    </row>
    <row r="771">
      <c r="C771" s="79"/>
      <c r="D771" s="79"/>
      <c r="J771" s="79"/>
      <c r="O771" s="79"/>
      <c r="P771" s="79"/>
      <c r="S771" s="79"/>
      <c r="T771" s="79"/>
      <c r="W771" s="130"/>
      <c r="Y771" s="106"/>
    </row>
    <row r="772">
      <c r="C772" s="79"/>
      <c r="D772" s="79"/>
      <c r="J772" s="79"/>
      <c r="O772" s="79"/>
      <c r="P772" s="79"/>
      <c r="S772" s="79"/>
      <c r="T772" s="79"/>
      <c r="W772" s="130"/>
      <c r="Y772" s="106"/>
    </row>
    <row r="773">
      <c r="C773" s="79"/>
      <c r="D773" s="79"/>
      <c r="J773" s="79"/>
      <c r="O773" s="79"/>
      <c r="P773" s="79"/>
      <c r="S773" s="79"/>
      <c r="T773" s="79"/>
      <c r="W773" s="130"/>
      <c r="Y773" s="106"/>
    </row>
    <row r="774">
      <c r="C774" s="79"/>
      <c r="D774" s="79"/>
      <c r="J774" s="79"/>
      <c r="O774" s="79"/>
      <c r="P774" s="79"/>
      <c r="S774" s="79"/>
      <c r="T774" s="79"/>
      <c r="W774" s="130"/>
      <c r="Y774" s="106"/>
    </row>
    <row r="775">
      <c r="C775" s="79"/>
      <c r="D775" s="79"/>
      <c r="J775" s="79"/>
      <c r="O775" s="79"/>
      <c r="P775" s="79"/>
      <c r="S775" s="79"/>
      <c r="T775" s="79"/>
      <c r="W775" s="130"/>
      <c r="Y775" s="106"/>
    </row>
    <row r="776">
      <c r="C776" s="79"/>
      <c r="D776" s="79"/>
      <c r="J776" s="79"/>
      <c r="O776" s="79"/>
      <c r="P776" s="79"/>
      <c r="S776" s="79"/>
      <c r="T776" s="79"/>
      <c r="W776" s="130"/>
      <c r="Y776" s="106"/>
    </row>
    <row r="777">
      <c r="C777" s="79"/>
      <c r="D777" s="79"/>
      <c r="J777" s="79"/>
      <c r="O777" s="79"/>
      <c r="P777" s="79"/>
      <c r="S777" s="79"/>
      <c r="T777" s="79"/>
      <c r="W777" s="130"/>
      <c r="Y777" s="106"/>
    </row>
    <row r="778">
      <c r="C778" s="79"/>
      <c r="D778" s="79"/>
      <c r="J778" s="79"/>
      <c r="O778" s="79"/>
      <c r="P778" s="79"/>
      <c r="S778" s="79"/>
      <c r="T778" s="79"/>
      <c r="W778" s="130"/>
      <c r="Y778" s="106"/>
    </row>
    <row r="779">
      <c r="C779" s="79"/>
      <c r="D779" s="79"/>
      <c r="J779" s="79"/>
      <c r="O779" s="79"/>
      <c r="P779" s="79"/>
      <c r="S779" s="79"/>
      <c r="T779" s="79"/>
      <c r="W779" s="130"/>
      <c r="Y779" s="106"/>
    </row>
    <row r="780">
      <c r="C780" s="79"/>
      <c r="D780" s="79"/>
      <c r="J780" s="79"/>
      <c r="O780" s="79"/>
      <c r="P780" s="79"/>
      <c r="S780" s="79"/>
      <c r="T780" s="79"/>
      <c r="W780" s="130"/>
      <c r="Y780" s="106"/>
    </row>
    <row r="781">
      <c r="C781" s="79"/>
      <c r="D781" s="79"/>
      <c r="J781" s="79"/>
      <c r="O781" s="79"/>
      <c r="P781" s="79"/>
      <c r="S781" s="79"/>
      <c r="T781" s="79"/>
      <c r="W781" s="130"/>
      <c r="Y781" s="106"/>
    </row>
    <row r="782">
      <c r="C782" s="79"/>
      <c r="D782" s="79"/>
      <c r="J782" s="79"/>
      <c r="O782" s="79"/>
      <c r="P782" s="79"/>
      <c r="S782" s="79"/>
      <c r="T782" s="79"/>
      <c r="W782" s="130"/>
      <c r="Y782" s="106"/>
    </row>
    <row r="783">
      <c r="C783" s="79"/>
      <c r="D783" s="79"/>
      <c r="J783" s="79"/>
      <c r="O783" s="79"/>
      <c r="P783" s="79"/>
      <c r="S783" s="79"/>
      <c r="T783" s="79"/>
      <c r="W783" s="130"/>
      <c r="Y783" s="106"/>
    </row>
    <row r="784">
      <c r="C784" s="79"/>
      <c r="D784" s="79"/>
      <c r="J784" s="79"/>
      <c r="O784" s="79"/>
      <c r="P784" s="79"/>
      <c r="S784" s="79"/>
      <c r="T784" s="79"/>
      <c r="W784" s="130"/>
      <c r="Y784" s="106"/>
    </row>
    <row r="785">
      <c r="C785" s="79"/>
      <c r="D785" s="79"/>
      <c r="J785" s="79"/>
      <c r="O785" s="79"/>
      <c r="P785" s="79"/>
      <c r="S785" s="79"/>
      <c r="T785" s="79"/>
      <c r="W785" s="130"/>
      <c r="Y785" s="106"/>
    </row>
    <row r="786">
      <c r="C786" s="79"/>
      <c r="D786" s="79"/>
      <c r="J786" s="79"/>
      <c r="O786" s="79"/>
      <c r="P786" s="79"/>
      <c r="S786" s="79"/>
      <c r="T786" s="79"/>
      <c r="W786" s="130"/>
      <c r="Y786" s="106"/>
    </row>
    <row r="787">
      <c r="C787" s="79"/>
      <c r="D787" s="79"/>
      <c r="J787" s="79"/>
      <c r="O787" s="79"/>
      <c r="P787" s="79"/>
      <c r="S787" s="79"/>
      <c r="T787" s="79"/>
      <c r="W787" s="130"/>
      <c r="Y787" s="106"/>
    </row>
    <row r="788">
      <c r="C788" s="79"/>
      <c r="D788" s="79"/>
      <c r="J788" s="79"/>
      <c r="O788" s="79"/>
      <c r="P788" s="79"/>
      <c r="S788" s="79"/>
      <c r="T788" s="79"/>
      <c r="W788" s="130"/>
      <c r="Y788" s="106"/>
    </row>
    <row r="789">
      <c r="C789" s="79"/>
      <c r="D789" s="79"/>
      <c r="J789" s="79"/>
      <c r="O789" s="79"/>
      <c r="P789" s="79"/>
      <c r="S789" s="79"/>
      <c r="T789" s="79"/>
      <c r="W789" s="130"/>
      <c r="Y789" s="106"/>
    </row>
    <row r="790">
      <c r="C790" s="79"/>
      <c r="D790" s="79"/>
      <c r="J790" s="79"/>
      <c r="O790" s="79"/>
      <c r="P790" s="79"/>
      <c r="S790" s="79"/>
      <c r="T790" s="79"/>
      <c r="W790" s="130"/>
      <c r="Y790" s="106"/>
    </row>
    <row r="791">
      <c r="C791" s="79"/>
      <c r="D791" s="79"/>
      <c r="J791" s="79"/>
      <c r="O791" s="79"/>
      <c r="P791" s="79"/>
      <c r="S791" s="79"/>
      <c r="T791" s="79"/>
      <c r="W791" s="130"/>
      <c r="Y791" s="106"/>
    </row>
    <row r="792">
      <c r="C792" s="79"/>
      <c r="D792" s="79"/>
      <c r="J792" s="79"/>
      <c r="O792" s="79"/>
      <c r="P792" s="79"/>
      <c r="S792" s="79"/>
      <c r="T792" s="79"/>
      <c r="W792" s="130"/>
      <c r="Y792" s="106"/>
    </row>
    <row r="793">
      <c r="C793" s="79"/>
      <c r="D793" s="79"/>
      <c r="J793" s="79"/>
      <c r="O793" s="79"/>
      <c r="P793" s="79"/>
      <c r="S793" s="79"/>
      <c r="T793" s="79"/>
      <c r="W793" s="130"/>
      <c r="Y793" s="106"/>
    </row>
    <row r="794">
      <c r="C794" s="79"/>
      <c r="D794" s="79"/>
      <c r="J794" s="79"/>
      <c r="O794" s="79"/>
      <c r="P794" s="79"/>
      <c r="S794" s="79"/>
      <c r="T794" s="79"/>
      <c r="W794" s="130"/>
      <c r="Y794" s="106"/>
    </row>
    <row r="795">
      <c r="C795" s="79"/>
      <c r="D795" s="79"/>
      <c r="J795" s="79"/>
      <c r="O795" s="79"/>
      <c r="P795" s="79"/>
      <c r="S795" s="79"/>
      <c r="T795" s="79"/>
      <c r="W795" s="130"/>
      <c r="Y795" s="106"/>
    </row>
    <row r="796">
      <c r="C796" s="79"/>
      <c r="D796" s="79"/>
      <c r="J796" s="79"/>
      <c r="O796" s="79"/>
      <c r="P796" s="79"/>
      <c r="S796" s="79"/>
      <c r="T796" s="79"/>
      <c r="W796" s="130"/>
      <c r="Y796" s="106"/>
    </row>
    <row r="797">
      <c r="C797" s="79"/>
      <c r="D797" s="79"/>
      <c r="J797" s="79"/>
      <c r="O797" s="79"/>
      <c r="P797" s="79"/>
      <c r="S797" s="79"/>
      <c r="T797" s="79"/>
      <c r="W797" s="130"/>
      <c r="Y797" s="106"/>
    </row>
    <row r="798">
      <c r="C798" s="79"/>
      <c r="D798" s="79"/>
      <c r="J798" s="79"/>
      <c r="O798" s="79"/>
      <c r="P798" s="79"/>
      <c r="S798" s="79"/>
      <c r="T798" s="79"/>
      <c r="W798" s="130"/>
      <c r="Y798" s="106"/>
    </row>
    <row r="799">
      <c r="C799" s="79"/>
      <c r="D799" s="79"/>
      <c r="J799" s="79"/>
      <c r="O799" s="79"/>
      <c r="P799" s="79"/>
      <c r="S799" s="79"/>
      <c r="T799" s="79"/>
      <c r="W799" s="130"/>
      <c r="Y799" s="106"/>
    </row>
    <row r="800">
      <c r="C800" s="79"/>
      <c r="D800" s="79"/>
      <c r="J800" s="79"/>
      <c r="O800" s="79"/>
      <c r="P800" s="79"/>
      <c r="S800" s="79"/>
      <c r="T800" s="79"/>
      <c r="W800" s="130"/>
      <c r="Y800" s="106"/>
    </row>
    <row r="801">
      <c r="C801" s="79"/>
      <c r="D801" s="79"/>
      <c r="J801" s="79"/>
      <c r="O801" s="79"/>
      <c r="P801" s="79"/>
      <c r="S801" s="79"/>
      <c r="T801" s="79"/>
      <c r="W801" s="130"/>
      <c r="Y801" s="106"/>
    </row>
    <row r="802">
      <c r="C802" s="79"/>
      <c r="D802" s="79"/>
      <c r="J802" s="79"/>
      <c r="O802" s="79"/>
      <c r="P802" s="79"/>
      <c r="S802" s="79"/>
      <c r="T802" s="79"/>
      <c r="W802" s="130"/>
      <c r="Y802" s="106"/>
    </row>
    <row r="803">
      <c r="C803" s="79"/>
      <c r="D803" s="79"/>
      <c r="J803" s="79"/>
      <c r="O803" s="79"/>
      <c r="P803" s="79"/>
      <c r="S803" s="79"/>
      <c r="T803" s="79"/>
      <c r="W803" s="130"/>
      <c r="Y803" s="106"/>
    </row>
    <row r="804">
      <c r="C804" s="79"/>
      <c r="D804" s="79"/>
      <c r="J804" s="79"/>
      <c r="O804" s="79"/>
      <c r="P804" s="79"/>
      <c r="S804" s="79"/>
      <c r="T804" s="79"/>
      <c r="W804" s="130"/>
      <c r="Y804" s="106"/>
    </row>
    <row r="805">
      <c r="C805" s="79"/>
      <c r="D805" s="79"/>
      <c r="J805" s="79"/>
      <c r="O805" s="79"/>
      <c r="P805" s="79"/>
      <c r="S805" s="79"/>
      <c r="T805" s="79"/>
      <c r="W805" s="130"/>
      <c r="Y805" s="106"/>
    </row>
    <row r="806">
      <c r="C806" s="79"/>
      <c r="D806" s="79"/>
      <c r="J806" s="79"/>
      <c r="O806" s="79"/>
      <c r="P806" s="79"/>
      <c r="S806" s="79"/>
      <c r="T806" s="79"/>
      <c r="W806" s="130"/>
      <c r="Y806" s="106"/>
    </row>
    <row r="807">
      <c r="C807" s="79"/>
      <c r="D807" s="79"/>
      <c r="J807" s="79"/>
      <c r="O807" s="79"/>
      <c r="P807" s="79"/>
      <c r="S807" s="79"/>
      <c r="T807" s="79"/>
      <c r="W807" s="130"/>
      <c r="Y807" s="106"/>
    </row>
    <row r="808">
      <c r="C808" s="79"/>
      <c r="D808" s="79"/>
      <c r="J808" s="79"/>
      <c r="O808" s="79"/>
      <c r="P808" s="79"/>
      <c r="S808" s="79"/>
      <c r="T808" s="79"/>
      <c r="W808" s="130"/>
      <c r="Y808" s="106"/>
    </row>
    <row r="809">
      <c r="C809" s="79"/>
      <c r="D809" s="79"/>
      <c r="J809" s="79"/>
      <c r="O809" s="79"/>
      <c r="P809" s="79"/>
      <c r="S809" s="79"/>
      <c r="T809" s="79"/>
      <c r="W809" s="130"/>
      <c r="Y809" s="106"/>
    </row>
    <row r="810">
      <c r="C810" s="79"/>
      <c r="D810" s="79"/>
      <c r="J810" s="79"/>
      <c r="O810" s="79"/>
      <c r="P810" s="79"/>
      <c r="S810" s="79"/>
      <c r="T810" s="79"/>
      <c r="W810" s="130"/>
      <c r="Y810" s="106"/>
    </row>
    <row r="811">
      <c r="C811" s="79"/>
      <c r="D811" s="79"/>
      <c r="J811" s="79"/>
      <c r="O811" s="79"/>
      <c r="P811" s="79"/>
      <c r="S811" s="79"/>
      <c r="T811" s="79"/>
      <c r="W811" s="130"/>
      <c r="Y811" s="106"/>
    </row>
    <row r="812">
      <c r="C812" s="79"/>
      <c r="D812" s="79"/>
      <c r="J812" s="79"/>
      <c r="O812" s="79"/>
      <c r="P812" s="79"/>
      <c r="S812" s="79"/>
      <c r="T812" s="79"/>
      <c r="W812" s="130"/>
      <c r="Y812" s="106"/>
    </row>
    <row r="813">
      <c r="C813" s="79"/>
      <c r="D813" s="79"/>
      <c r="J813" s="79"/>
      <c r="O813" s="79"/>
      <c r="P813" s="79"/>
      <c r="S813" s="79"/>
      <c r="T813" s="79"/>
      <c r="W813" s="130"/>
      <c r="Y813" s="106"/>
    </row>
    <row r="814">
      <c r="C814" s="79"/>
      <c r="D814" s="79"/>
      <c r="J814" s="79"/>
      <c r="O814" s="79"/>
      <c r="P814" s="79"/>
      <c r="S814" s="79"/>
      <c r="T814" s="79"/>
      <c r="W814" s="130"/>
      <c r="Y814" s="106"/>
    </row>
    <row r="815">
      <c r="C815" s="79"/>
      <c r="D815" s="79"/>
      <c r="J815" s="79"/>
      <c r="O815" s="79"/>
      <c r="P815" s="79"/>
      <c r="S815" s="79"/>
      <c r="T815" s="79"/>
      <c r="W815" s="130"/>
      <c r="Y815" s="106"/>
    </row>
    <row r="816">
      <c r="C816" s="79"/>
      <c r="D816" s="79"/>
      <c r="J816" s="79"/>
      <c r="O816" s="79"/>
      <c r="P816" s="79"/>
      <c r="S816" s="79"/>
      <c r="T816" s="79"/>
      <c r="W816" s="130"/>
      <c r="Y816" s="106"/>
    </row>
    <row r="817">
      <c r="C817" s="79"/>
      <c r="D817" s="79"/>
      <c r="J817" s="79"/>
      <c r="O817" s="79"/>
      <c r="P817" s="79"/>
      <c r="S817" s="79"/>
      <c r="T817" s="79"/>
      <c r="W817" s="130"/>
      <c r="Y817" s="106"/>
    </row>
    <row r="818">
      <c r="C818" s="79"/>
      <c r="D818" s="79"/>
      <c r="J818" s="79"/>
      <c r="O818" s="79"/>
      <c r="P818" s="79"/>
      <c r="S818" s="79"/>
      <c r="T818" s="79"/>
      <c r="W818" s="130"/>
      <c r="Y818" s="106"/>
    </row>
    <row r="819">
      <c r="C819" s="79"/>
      <c r="D819" s="79"/>
      <c r="J819" s="79"/>
      <c r="O819" s="79"/>
      <c r="P819" s="79"/>
      <c r="S819" s="79"/>
      <c r="T819" s="79"/>
      <c r="W819" s="130"/>
      <c r="Y819" s="106"/>
    </row>
    <row r="820">
      <c r="C820" s="79"/>
      <c r="D820" s="79"/>
      <c r="J820" s="79"/>
      <c r="O820" s="79"/>
      <c r="P820" s="79"/>
      <c r="S820" s="79"/>
      <c r="T820" s="79"/>
      <c r="W820" s="130"/>
      <c r="Y820" s="106"/>
    </row>
    <row r="821">
      <c r="C821" s="79"/>
      <c r="D821" s="79"/>
      <c r="J821" s="79"/>
      <c r="O821" s="79"/>
      <c r="P821" s="79"/>
      <c r="S821" s="79"/>
      <c r="T821" s="79"/>
      <c r="W821" s="130"/>
      <c r="Y821" s="106"/>
    </row>
    <row r="822">
      <c r="C822" s="79"/>
      <c r="D822" s="79"/>
      <c r="J822" s="79"/>
      <c r="O822" s="79"/>
      <c r="P822" s="79"/>
      <c r="S822" s="79"/>
      <c r="T822" s="79"/>
      <c r="W822" s="130"/>
      <c r="Y822" s="106"/>
    </row>
    <row r="823">
      <c r="C823" s="79"/>
      <c r="D823" s="79"/>
      <c r="J823" s="79"/>
      <c r="O823" s="79"/>
      <c r="P823" s="79"/>
      <c r="S823" s="79"/>
      <c r="T823" s="79"/>
      <c r="W823" s="130"/>
      <c r="Y823" s="106"/>
    </row>
    <row r="824">
      <c r="C824" s="79"/>
      <c r="D824" s="79"/>
      <c r="J824" s="79"/>
      <c r="O824" s="79"/>
      <c r="P824" s="79"/>
      <c r="S824" s="79"/>
      <c r="T824" s="79"/>
      <c r="W824" s="130"/>
      <c r="Y824" s="106"/>
    </row>
    <row r="825">
      <c r="C825" s="79"/>
      <c r="D825" s="79"/>
      <c r="J825" s="79"/>
      <c r="O825" s="79"/>
      <c r="P825" s="79"/>
      <c r="S825" s="79"/>
      <c r="T825" s="79"/>
      <c r="W825" s="130"/>
      <c r="Y825" s="106"/>
    </row>
    <row r="826">
      <c r="C826" s="79"/>
      <c r="D826" s="79"/>
      <c r="J826" s="79"/>
      <c r="O826" s="79"/>
      <c r="P826" s="79"/>
      <c r="S826" s="79"/>
      <c r="T826" s="79"/>
      <c r="W826" s="130"/>
      <c r="Y826" s="106"/>
    </row>
    <row r="827">
      <c r="C827" s="79"/>
      <c r="D827" s="79"/>
      <c r="J827" s="79"/>
      <c r="O827" s="79"/>
      <c r="P827" s="79"/>
      <c r="S827" s="79"/>
      <c r="T827" s="79"/>
      <c r="W827" s="130"/>
      <c r="Y827" s="106"/>
    </row>
    <row r="828">
      <c r="C828" s="79"/>
      <c r="D828" s="79"/>
      <c r="J828" s="79"/>
      <c r="O828" s="79"/>
      <c r="P828" s="79"/>
      <c r="S828" s="79"/>
      <c r="T828" s="79"/>
      <c r="W828" s="130"/>
      <c r="Y828" s="106"/>
    </row>
    <row r="829">
      <c r="C829" s="79"/>
      <c r="D829" s="79"/>
      <c r="J829" s="79"/>
      <c r="O829" s="79"/>
      <c r="P829" s="79"/>
      <c r="S829" s="79"/>
      <c r="T829" s="79"/>
      <c r="W829" s="130"/>
      <c r="Y829" s="106"/>
    </row>
    <row r="830">
      <c r="C830" s="79"/>
      <c r="D830" s="79"/>
      <c r="J830" s="79"/>
      <c r="O830" s="79"/>
      <c r="P830" s="79"/>
      <c r="S830" s="79"/>
      <c r="T830" s="79"/>
      <c r="W830" s="130"/>
      <c r="Y830" s="106"/>
    </row>
    <row r="831">
      <c r="C831" s="79"/>
      <c r="D831" s="79"/>
      <c r="J831" s="79"/>
      <c r="O831" s="79"/>
      <c r="P831" s="79"/>
      <c r="S831" s="79"/>
      <c r="T831" s="79"/>
      <c r="W831" s="130"/>
      <c r="Y831" s="106"/>
    </row>
    <row r="832">
      <c r="C832" s="79"/>
      <c r="D832" s="79"/>
      <c r="J832" s="79"/>
      <c r="O832" s="79"/>
      <c r="P832" s="79"/>
      <c r="S832" s="79"/>
      <c r="T832" s="79"/>
      <c r="W832" s="130"/>
      <c r="Y832" s="106"/>
    </row>
    <row r="833">
      <c r="C833" s="79"/>
      <c r="D833" s="79"/>
      <c r="J833" s="79"/>
      <c r="O833" s="79"/>
      <c r="P833" s="79"/>
      <c r="S833" s="79"/>
      <c r="T833" s="79"/>
      <c r="W833" s="130"/>
      <c r="Y833" s="106"/>
    </row>
    <row r="834">
      <c r="C834" s="79"/>
      <c r="D834" s="79"/>
      <c r="J834" s="79"/>
      <c r="O834" s="79"/>
      <c r="P834" s="79"/>
      <c r="S834" s="79"/>
      <c r="T834" s="79"/>
      <c r="W834" s="130"/>
      <c r="Y834" s="106"/>
    </row>
    <row r="835">
      <c r="C835" s="79"/>
      <c r="D835" s="79"/>
      <c r="J835" s="79"/>
      <c r="O835" s="79"/>
      <c r="P835" s="79"/>
      <c r="S835" s="79"/>
      <c r="T835" s="79"/>
      <c r="W835" s="130"/>
      <c r="Y835" s="106"/>
    </row>
    <row r="836">
      <c r="C836" s="79"/>
      <c r="D836" s="79"/>
      <c r="J836" s="79"/>
      <c r="O836" s="79"/>
      <c r="P836" s="79"/>
      <c r="S836" s="79"/>
      <c r="T836" s="79"/>
      <c r="W836" s="130"/>
      <c r="Y836" s="106"/>
    </row>
    <row r="837">
      <c r="C837" s="79"/>
      <c r="D837" s="79"/>
      <c r="J837" s="79"/>
      <c r="O837" s="79"/>
      <c r="P837" s="79"/>
      <c r="S837" s="79"/>
      <c r="T837" s="79"/>
      <c r="W837" s="130"/>
      <c r="Y837" s="106"/>
    </row>
    <row r="838">
      <c r="C838" s="79"/>
      <c r="D838" s="79"/>
      <c r="J838" s="79"/>
      <c r="O838" s="79"/>
      <c r="P838" s="79"/>
      <c r="S838" s="79"/>
      <c r="T838" s="79"/>
      <c r="W838" s="130"/>
      <c r="Y838" s="106"/>
    </row>
    <row r="839">
      <c r="C839" s="79"/>
      <c r="D839" s="79"/>
      <c r="J839" s="79"/>
      <c r="O839" s="79"/>
      <c r="P839" s="79"/>
      <c r="S839" s="79"/>
      <c r="T839" s="79"/>
      <c r="W839" s="130"/>
      <c r="Y839" s="106"/>
    </row>
    <row r="840">
      <c r="C840" s="79"/>
      <c r="D840" s="79"/>
      <c r="J840" s="79"/>
      <c r="O840" s="79"/>
      <c r="P840" s="79"/>
      <c r="S840" s="79"/>
      <c r="T840" s="79"/>
      <c r="W840" s="130"/>
      <c r="Y840" s="106"/>
    </row>
    <row r="841">
      <c r="C841" s="79"/>
      <c r="D841" s="79"/>
      <c r="J841" s="79"/>
      <c r="O841" s="79"/>
      <c r="P841" s="79"/>
      <c r="S841" s="79"/>
      <c r="T841" s="79"/>
      <c r="W841" s="130"/>
      <c r="Y841" s="106"/>
    </row>
    <row r="842">
      <c r="C842" s="79"/>
      <c r="D842" s="79"/>
      <c r="J842" s="79"/>
      <c r="O842" s="79"/>
      <c r="P842" s="79"/>
      <c r="S842" s="79"/>
      <c r="T842" s="79"/>
      <c r="W842" s="130"/>
      <c r="Y842" s="106"/>
    </row>
    <row r="843">
      <c r="C843" s="79"/>
      <c r="D843" s="79"/>
      <c r="J843" s="79"/>
      <c r="O843" s="79"/>
      <c r="P843" s="79"/>
      <c r="S843" s="79"/>
      <c r="T843" s="79"/>
      <c r="W843" s="130"/>
      <c r="Y843" s="106"/>
    </row>
    <row r="844">
      <c r="C844" s="79"/>
      <c r="D844" s="79"/>
      <c r="J844" s="79"/>
      <c r="O844" s="79"/>
      <c r="P844" s="79"/>
      <c r="S844" s="79"/>
      <c r="T844" s="79"/>
      <c r="W844" s="130"/>
      <c r="Y844" s="106"/>
    </row>
    <row r="845">
      <c r="C845" s="79"/>
      <c r="D845" s="79"/>
      <c r="J845" s="79"/>
      <c r="O845" s="79"/>
      <c r="P845" s="79"/>
      <c r="S845" s="79"/>
      <c r="T845" s="79"/>
      <c r="W845" s="130"/>
      <c r="Y845" s="106"/>
    </row>
    <row r="846">
      <c r="C846" s="79"/>
      <c r="D846" s="79"/>
      <c r="J846" s="79"/>
      <c r="O846" s="79"/>
      <c r="P846" s="79"/>
      <c r="S846" s="79"/>
      <c r="T846" s="79"/>
      <c r="W846" s="130"/>
      <c r="Y846" s="106"/>
    </row>
    <row r="847">
      <c r="C847" s="79"/>
      <c r="D847" s="79"/>
      <c r="J847" s="79"/>
      <c r="O847" s="79"/>
      <c r="P847" s="79"/>
      <c r="S847" s="79"/>
      <c r="T847" s="79"/>
      <c r="W847" s="130"/>
      <c r="Y847" s="106"/>
    </row>
    <row r="848">
      <c r="C848" s="79"/>
      <c r="D848" s="79"/>
      <c r="J848" s="79"/>
      <c r="O848" s="79"/>
      <c r="P848" s="79"/>
      <c r="S848" s="79"/>
      <c r="T848" s="79"/>
      <c r="W848" s="130"/>
      <c r="Y848" s="106"/>
    </row>
    <row r="849">
      <c r="C849" s="79"/>
      <c r="D849" s="79"/>
      <c r="J849" s="79"/>
      <c r="O849" s="79"/>
      <c r="P849" s="79"/>
      <c r="S849" s="79"/>
      <c r="T849" s="79"/>
      <c r="W849" s="130"/>
      <c r="Y849" s="106"/>
    </row>
    <row r="850">
      <c r="C850" s="79"/>
      <c r="D850" s="79"/>
      <c r="J850" s="79"/>
      <c r="O850" s="79"/>
      <c r="P850" s="79"/>
      <c r="S850" s="79"/>
      <c r="T850" s="79"/>
      <c r="W850" s="130"/>
      <c r="Y850" s="106"/>
    </row>
    <row r="851">
      <c r="C851" s="79"/>
      <c r="D851" s="79"/>
      <c r="J851" s="79"/>
      <c r="O851" s="79"/>
      <c r="P851" s="79"/>
      <c r="S851" s="79"/>
      <c r="T851" s="79"/>
      <c r="W851" s="130"/>
      <c r="Y851" s="106"/>
    </row>
    <row r="852">
      <c r="C852" s="79"/>
      <c r="D852" s="79"/>
      <c r="J852" s="79"/>
      <c r="O852" s="79"/>
      <c r="P852" s="79"/>
      <c r="S852" s="79"/>
      <c r="T852" s="79"/>
      <c r="W852" s="130"/>
      <c r="Y852" s="106"/>
    </row>
    <row r="853">
      <c r="C853" s="79"/>
      <c r="D853" s="79"/>
      <c r="J853" s="79"/>
      <c r="O853" s="79"/>
      <c r="P853" s="79"/>
      <c r="S853" s="79"/>
      <c r="T853" s="79"/>
      <c r="W853" s="130"/>
      <c r="Y853" s="106"/>
    </row>
    <row r="854">
      <c r="C854" s="79"/>
      <c r="D854" s="79"/>
      <c r="J854" s="79"/>
      <c r="O854" s="79"/>
      <c r="P854" s="79"/>
      <c r="S854" s="79"/>
      <c r="T854" s="79"/>
      <c r="W854" s="130"/>
      <c r="Y854" s="106"/>
    </row>
    <row r="855">
      <c r="C855" s="79"/>
      <c r="D855" s="79"/>
      <c r="J855" s="79"/>
      <c r="O855" s="79"/>
      <c r="P855" s="79"/>
      <c r="S855" s="79"/>
      <c r="T855" s="79"/>
      <c r="W855" s="130"/>
      <c r="Y855" s="106"/>
    </row>
    <row r="856">
      <c r="C856" s="79"/>
      <c r="D856" s="79"/>
      <c r="J856" s="79"/>
      <c r="O856" s="79"/>
      <c r="P856" s="79"/>
      <c r="S856" s="79"/>
      <c r="T856" s="79"/>
      <c r="W856" s="130"/>
      <c r="Y856" s="106"/>
    </row>
    <row r="857">
      <c r="C857" s="79"/>
      <c r="D857" s="79"/>
      <c r="J857" s="79"/>
      <c r="O857" s="79"/>
      <c r="P857" s="79"/>
      <c r="S857" s="79"/>
      <c r="T857" s="79"/>
      <c r="W857" s="130"/>
      <c r="Y857" s="106"/>
    </row>
    <row r="858">
      <c r="C858" s="79"/>
      <c r="D858" s="79"/>
      <c r="J858" s="79"/>
      <c r="O858" s="79"/>
      <c r="P858" s="79"/>
      <c r="S858" s="79"/>
      <c r="T858" s="79"/>
      <c r="W858" s="130"/>
      <c r="Y858" s="106"/>
    </row>
    <row r="859">
      <c r="C859" s="79"/>
      <c r="D859" s="79"/>
      <c r="J859" s="79"/>
      <c r="O859" s="79"/>
      <c r="P859" s="79"/>
      <c r="S859" s="79"/>
      <c r="T859" s="79"/>
      <c r="W859" s="130"/>
      <c r="Y859" s="106"/>
    </row>
    <row r="860">
      <c r="C860" s="79"/>
      <c r="D860" s="79"/>
      <c r="J860" s="79"/>
      <c r="O860" s="79"/>
      <c r="P860" s="79"/>
      <c r="S860" s="79"/>
      <c r="T860" s="79"/>
      <c r="W860" s="130"/>
      <c r="Y860" s="106"/>
    </row>
    <row r="861">
      <c r="C861" s="79"/>
      <c r="D861" s="79"/>
      <c r="J861" s="79"/>
      <c r="O861" s="79"/>
      <c r="P861" s="79"/>
      <c r="S861" s="79"/>
      <c r="T861" s="79"/>
      <c r="W861" s="130"/>
      <c r="Y861" s="106"/>
    </row>
    <row r="862">
      <c r="C862" s="79"/>
      <c r="D862" s="79"/>
      <c r="J862" s="79"/>
      <c r="O862" s="79"/>
      <c r="P862" s="79"/>
      <c r="S862" s="79"/>
      <c r="T862" s="79"/>
      <c r="W862" s="130"/>
      <c r="Y862" s="106"/>
    </row>
    <row r="863">
      <c r="C863" s="79"/>
      <c r="D863" s="79"/>
      <c r="J863" s="79"/>
      <c r="O863" s="79"/>
      <c r="P863" s="79"/>
      <c r="S863" s="79"/>
      <c r="T863" s="79"/>
      <c r="W863" s="130"/>
      <c r="Y863" s="106"/>
    </row>
    <row r="864">
      <c r="C864" s="79"/>
      <c r="D864" s="79"/>
      <c r="J864" s="79"/>
      <c r="O864" s="79"/>
      <c r="P864" s="79"/>
      <c r="S864" s="79"/>
      <c r="T864" s="79"/>
      <c r="W864" s="130"/>
      <c r="Y864" s="106"/>
    </row>
    <row r="865">
      <c r="C865" s="79"/>
      <c r="D865" s="79"/>
      <c r="J865" s="79"/>
      <c r="O865" s="79"/>
      <c r="P865" s="79"/>
      <c r="S865" s="79"/>
      <c r="T865" s="79"/>
      <c r="W865" s="130"/>
      <c r="Y865" s="106"/>
    </row>
    <row r="866">
      <c r="C866" s="79"/>
      <c r="D866" s="79"/>
      <c r="J866" s="79"/>
      <c r="O866" s="79"/>
      <c r="P866" s="79"/>
      <c r="S866" s="79"/>
      <c r="T866" s="79"/>
      <c r="W866" s="130"/>
      <c r="Y866" s="106"/>
    </row>
    <row r="867">
      <c r="C867" s="79"/>
      <c r="D867" s="79"/>
      <c r="J867" s="79"/>
      <c r="O867" s="79"/>
      <c r="P867" s="79"/>
      <c r="S867" s="79"/>
      <c r="T867" s="79"/>
      <c r="W867" s="130"/>
      <c r="Y867" s="106"/>
    </row>
    <row r="868">
      <c r="C868" s="79"/>
      <c r="D868" s="79"/>
      <c r="J868" s="79"/>
      <c r="O868" s="79"/>
      <c r="P868" s="79"/>
      <c r="S868" s="79"/>
      <c r="T868" s="79"/>
      <c r="W868" s="130"/>
      <c r="Y868" s="106"/>
    </row>
    <row r="869">
      <c r="C869" s="79"/>
      <c r="D869" s="79"/>
      <c r="J869" s="79"/>
      <c r="O869" s="79"/>
      <c r="P869" s="79"/>
      <c r="S869" s="79"/>
      <c r="T869" s="79"/>
      <c r="W869" s="130"/>
      <c r="Y869" s="106"/>
    </row>
    <row r="870">
      <c r="C870" s="79"/>
      <c r="D870" s="79"/>
      <c r="J870" s="79"/>
      <c r="O870" s="79"/>
      <c r="P870" s="79"/>
      <c r="S870" s="79"/>
      <c r="T870" s="79"/>
      <c r="W870" s="130"/>
      <c r="Y870" s="106"/>
    </row>
    <row r="871">
      <c r="C871" s="79"/>
      <c r="D871" s="79"/>
      <c r="J871" s="79"/>
      <c r="O871" s="79"/>
      <c r="P871" s="79"/>
      <c r="S871" s="79"/>
      <c r="T871" s="79"/>
      <c r="W871" s="130"/>
      <c r="Y871" s="106"/>
    </row>
    <row r="872">
      <c r="C872" s="79"/>
      <c r="D872" s="79"/>
      <c r="J872" s="79"/>
      <c r="O872" s="79"/>
      <c r="P872" s="79"/>
      <c r="S872" s="79"/>
      <c r="T872" s="79"/>
      <c r="W872" s="130"/>
      <c r="Y872" s="106"/>
    </row>
    <row r="873">
      <c r="C873" s="79"/>
      <c r="D873" s="79"/>
      <c r="J873" s="79"/>
      <c r="O873" s="79"/>
      <c r="P873" s="79"/>
      <c r="S873" s="79"/>
      <c r="T873" s="79"/>
      <c r="W873" s="130"/>
      <c r="Y873" s="106"/>
    </row>
    <row r="874">
      <c r="C874" s="79"/>
      <c r="D874" s="79"/>
      <c r="J874" s="79"/>
      <c r="O874" s="79"/>
      <c r="P874" s="79"/>
      <c r="S874" s="79"/>
      <c r="T874" s="79"/>
      <c r="W874" s="130"/>
      <c r="Y874" s="106"/>
    </row>
    <row r="875">
      <c r="C875" s="79"/>
      <c r="D875" s="79"/>
      <c r="J875" s="79"/>
      <c r="O875" s="79"/>
      <c r="P875" s="79"/>
      <c r="S875" s="79"/>
      <c r="T875" s="79"/>
      <c r="W875" s="130"/>
      <c r="Y875" s="106"/>
    </row>
    <row r="876">
      <c r="C876" s="79"/>
      <c r="D876" s="79"/>
      <c r="J876" s="79"/>
      <c r="O876" s="79"/>
      <c r="P876" s="79"/>
      <c r="S876" s="79"/>
      <c r="T876" s="79"/>
      <c r="W876" s="130"/>
      <c r="Y876" s="106"/>
    </row>
    <row r="877">
      <c r="C877" s="79"/>
      <c r="D877" s="79"/>
      <c r="J877" s="79"/>
      <c r="O877" s="79"/>
      <c r="P877" s="79"/>
      <c r="S877" s="79"/>
      <c r="T877" s="79"/>
      <c r="W877" s="130"/>
      <c r="Y877" s="106"/>
    </row>
    <row r="878">
      <c r="C878" s="79"/>
      <c r="D878" s="79"/>
      <c r="J878" s="79"/>
      <c r="O878" s="79"/>
      <c r="P878" s="79"/>
      <c r="S878" s="79"/>
      <c r="T878" s="79"/>
      <c r="W878" s="130"/>
      <c r="Y878" s="106"/>
    </row>
    <row r="879">
      <c r="C879" s="79"/>
      <c r="D879" s="79"/>
      <c r="J879" s="79"/>
      <c r="O879" s="79"/>
      <c r="P879" s="79"/>
      <c r="S879" s="79"/>
      <c r="T879" s="79"/>
      <c r="W879" s="130"/>
      <c r="Y879" s="106"/>
    </row>
    <row r="880">
      <c r="C880" s="79"/>
      <c r="D880" s="79"/>
      <c r="J880" s="79"/>
      <c r="O880" s="79"/>
      <c r="P880" s="79"/>
      <c r="S880" s="79"/>
      <c r="T880" s="79"/>
      <c r="W880" s="130"/>
      <c r="Y880" s="106"/>
    </row>
    <row r="881">
      <c r="C881" s="79"/>
      <c r="D881" s="79"/>
      <c r="J881" s="79"/>
      <c r="O881" s="79"/>
      <c r="P881" s="79"/>
      <c r="S881" s="79"/>
      <c r="T881" s="79"/>
      <c r="W881" s="130"/>
      <c r="Y881" s="106"/>
    </row>
    <row r="882">
      <c r="C882" s="79"/>
      <c r="D882" s="79"/>
      <c r="J882" s="79"/>
      <c r="O882" s="79"/>
      <c r="P882" s="79"/>
      <c r="S882" s="79"/>
      <c r="T882" s="79"/>
      <c r="W882" s="130"/>
      <c r="Y882" s="106"/>
    </row>
    <row r="883">
      <c r="C883" s="79"/>
      <c r="D883" s="79"/>
      <c r="J883" s="79"/>
      <c r="O883" s="79"/>
      <c r="P883" s="79"/>
      <c r="S883" s="79"/>
      <c r="T883" s="79"/>
      <c r="W883" s="130"/>
      <c r="Y883" s="106"/>
    </row>
    <row r="884">
      <c r="C884" s="79"/>
      <c r="D884" s="79"/>
      <c r="J884" s="79"/>
      <c r="O884" s="79"/>
      <c r="P884" s="79"/>
      <c r="S884" s="79"/>
      <c r="T884" s="79"/>
      <c r="W884" s="130"/>
      <c r="Y884" s="106"/>
    </row>
    <row r="885">
      <c r="C885" s="79"/>
      <c r="D885" s="79"/>
      <c r="J885" s="79"/>
      <c r="O885" s="79"/>
      <c r="P885" s="79"/>
      <c r="S885" s="79"/>
      <c r="T885" s="79"/>
      <c r="W885" s="130"/>
      <c r="Y885" s="106"/>
    </row>
    <row r="886">
      <c r="C886" s="79"/>
      <c r="D886" s="79"/>
      <c r="J886" s="79"/>
      <c r="O886" s="79"/>
      <c r="P886" s="79"/>
      <c r="S886" s="79"/>
      <c r="T886" s="79"/>
      <c r="W886" s="130"/>
      <c r="Y886" s="106"/>
    </row>
    <row r="887">
      <c r="C887" s="79"/>
      <c r="D887" s="79"/>
      <c r="J887" s="79"/>
      <c r="O887" s="79"/>
      <c r="P887" s="79"/>
      <c r="S887" s="79"/>
      <c r="T887" s="79"/>
      <c r="W887" s="130"/>
      <c r="Y887" s="106"/>
    </row>
    <row r="888">
      <c r="C888" s="79"/>
      <c r="D888" s="79"/>
      <c r="J888" s="79"/>
      <c r="O888" s="79"/>
      <c r="P888" s="79"/>
      <c r="S888" s="79"/>
      <c r="T888" s="79"/>
      <c r="W888" s="130"/>
      <c r="Y888" s="106"/>
    </row>
    <row r="889">
      <c r="C889" s="79"/>
      <c r="D889" s="79"/>
      <c r="J889" s="79"/>
      <c r="O889" s="79"/>
      <c r="P889" s="79"/>
      <c r="S889" s="79"/>
      <c r="T889" s="79"/>
      <c r="W889" s="130"/>
      <c r="Y889" s="106"/>
    </row>
    <row r="890">
      <c r="C890" s="79"/>
      <c r="D890" s="79"/>
      <c r="J890" s="79"/>
      <c r="O890" s="79"/>
      <c r="P890" s="79"/>
      <c r="S890" s="79"/>
      <c r="T890" s="79"/>
      <c r="W890" s="130"/>
      <c r="Y890" s="106"/>
    </row>
    <row r="891">
      <c r="C891" s="79"/>
      <c r="D891" s="79"/>
      <c r="J891" s="79"/>
      <c r="O891" s="79"/>
      <c r="P891" s="79"/>
      <c r="S891" s="79"/>
      <c r="T891" s="79"/>
      <c r="W891" s="130"/>
      <c r="Y891" s="106"/>
    </row>
    <row r="892">
      <c r="C892" s="79"/>
      <c r="D892" s="79"/>
      <c r="J892" s="79"/>
      <c r="O892" s="79"/>
      <c r="P892" s="79"/>
      <c r="S892" s="79"/>
      <c r="T892" s="79"/>
      <c r="W892" s="130"/>
      <c r="Y892" s="106"/>
    </row>
    <row r="893">
      <c r="C893" s="79"/>
      <c r="D893" s="79"/>
      <c r="J893" s="79"/>
      <c r="O893" s="79"/>
      <c r="P893" s="79"/>
      <c r="S893" s="79"/>
      <c r="T893" s="79"/>
      <c r="W893" s="130"/>
      <c r="Y893" s="106"/>
    </row>
    <row r="894">
      <c r="C894" s="79"/>
      <c r="D894" s="79"/>
      <c r="J894" s="79"/>
      <c r="O894" s="79"/>
      <c r="P894" s="79"/>
      <c r="S894" s="79"/>
      <c r="T894" s="79"/>
      <c r="W894" s="130"/>
      <c r="Y894" s="106"/>
    </row>
    <row r="895">
      <c r="C895" s="79"/>
      <c r="D895" s="79"/>
      <c r="J895" s="79"/>
      <c r="O895" s="79"/>
      <c r="P895" s="79"/>
      <c r="S895" s="79"/>
      <c r="T895" s="79"/>
      <c r="W895" s="130"/>
      <c r="Y895" s="106"/>
    </row>
    <row r="896">
      <c r="C896" s="79"/>
      <c r="D896" s="79"/>
      <c r="J896" s="79"/>
      <c r="O896" s="79"/>
      <c r="P896" s="79"/>
      <c r="S896" s="79"/>
      <c r="T896" s="79"/>
      <c r="W896" s="130"/>
      <c r="Y896" s="106"/>
    </row>
    <row r="897">
      <c r="C897" s="79"/>
      <c r="D897" s="79"/>
      <c r="J897" s="79"/>
      <c r="O897" s="79"/>
      <c r="P897" s="79"/>
      <c r="S897" s="79"/>
      <c r="T897" s="79"/>
      <c r="W897" s="130"/>
      <c r="Y897" s="106"/>
    </row>
    <row r="898">
      <c r="C898" s="79"/>
      <c r="D898" s="79"/>
      <c r="J898" s="79"/>
      <c r="O898" s="79"/>
      <c r="P898" s="79"/>
      <c r="S898" s="79"/>
      <c r="T898" s="79"/>
      <c r="W898" s="130"/>
      <c r="Y898" s="106"/>
    </row>
    <row r="899">
      <c r="C899" s="79"/>
      <c r="D899" s="79"/>
      <c r="J899" s="79"/>
      <c r="O899" s="79"/>
      <c r="P899" s="79"/>
      <c r="S899" s="79"/>
      <c r="T899" s="79"/>
      <c r="W899" s="130"/>
      <c r="Y899" s="106"/>
    </row>
    <row r="900">
      <c r="C900" s="79"/>
      <c r="D900" s="79"/>
      <c r="J900" s="79"/>
      <c r="O900" s="79"/>
      <c r="P900" s="79"/>
      <c r="S900" s="79"/>
      <c r="T900" s="79"/>
      <c r="W900" s="130"/>
      <c r="Y900" s="106"/>
    </row>
    <row r="901">
      <c r="C901" s="79"/>
      <c r="D901" s="79"/>
      <c r="J901" s="79"/>
      <c r="O901" s="79"/>
      <c r="P901" s="79"/>
      <c r="S901" s="79"/>
      <c r="T901" s="79"/>
      <c r="W901" s="130"/>
      <c r="Y901" s="106"/>
    </row>
    <row r="902">
      <c r="C902" s="79"/>
      <c r="D902" s="79"/>
      <c r="J902" s="79"/>
      <c r="O902" s="79"/>
      <c r="P902" s="79"/>
      <c r="S902" s="79"/>
      <c r="T902" s="79"/>
      <c r="W902" s="130"/>
      <c r="Y902" s="106"/>
    </row>
    <row r="903">
      <c r="C903" s="79"/>
      <c r="D903" s="79"/>
      <c r="J903" s="79"/>
      <c r="O903" s="79"/>
      <c r="P903" s="79"/>
      <c r="S903" s="79"/>
      <c r="T903" s="79"/>
      <c r="W903" s="130"/>
      <c r="Y903" s="106"/>
    </row>
    <row r="904">
      <c r="C904" s="79"/>
      <c r="D904" s="79"/>
      <c r="J904" s="79"/>
      <c r="O904" s="79"/>
      <c r="P904" s="79"/>
      <c r="S904" s="79"/>
      <c r="T904" s="79"/>
      <c r="W904" s="130"/>
      <c r="Y904" s="106"/>
    </row>
    <row r="905">
      <c r="C905" s="79"/>
      <c r="D905" s="79"/>
      <c r="J905" s="79"/>
      <c r="O905" s="79"/>
      <c r="P905" s="79"/>
      <c r="S905" s="79"/>
      <c r="T905" s="79"/>
      <c r="W905" s="130"/>
      <c r="Y905" s="106"/>
    </row>
    <row r="906">
      <c r="C906" s="79"/>
      <c r="D906" s="79"/>
      <c r="J906" s="79"/>
      <c r="O906" s="79"/>
      <c r="P906" s="79"/>
      <c r="S906" s="79"/>
      <c r="T906" s="79"/>
      <c r="W906" s="130"/>
      <c r="Y906" s="106"/>
    </row>
    <row r="907">
      <c r="C907" s="79"/>
      <c r="D907" s="79"/>
      <c r="J907" s="79"/>
      <c r="O907" s="79"/>
      <c r="P907" s="79"/>
      <c r="S907" s="79"/>
      <c r="T907" s="79"/>
      <c r="W907" s="130"/>
      <c r="Y907" s="106"/>
    </row>
    <row r="908">
      <c r="C908" s="79"/>
      <c r="D908" s="79"/>
      <c r="J908" s="79"/>
      <c r="O908" s="79"/>
      <c r="P908" s="79"/>
      <c r="S908" s="79"/>
      <c r="T908" s="79"/>
      <c r="W908" s="130"/>
      <c r="Y908" s="106"/>
    </row>
    <row r="909">
      <c r="C909" s="79"/>
      <c r="D909" s="79"/>
      <c r="J909" s="79"/>
      <c r="O909" s="79"/>
      <c r="P909" s="79"/>
      <c r="S909" s="79"/>
      <c r="T909" s="79"/>
      <c r="W909" s="130"/>
      <c r="Y909" s="106"/>
    </row>
    <row r="910">
      <c r="C910" s="79"/>
      <c r="D910" s="79"/>
      <c r="J910" s="79"/>
      <c r="O910" s="79"/>
      <c r="P910" s="79"/>
      <c r="S910" s="79"/>
      <c r="T910" s="79"/>
      <c r="W910" s="130"/>
      <c r="Y910" s="106"/>
    </row>
    <row r="911">
      <c r="C911" s="79"/>
      <c r="D911" s="79"/>
      <c r="J911" s="79"/>
      <c r="O911" s="79"/>
      <c r="P911" s="79"/>
      <c r="S911" s="79"/>
      <c r="T911" s="79"/>
      <c r="W911" s="130"/>
      <c r="Y911" s="106"/>
    </row>
    <row r="912">
      <c r="C912" s="79"/>
      <c r="D912" s="79"/>
      <c r="J912" s="79"/>
      <c r="O912" s="79"/>
      <c r="P912" s="79"/>
      <c r="S912" s="79"/>
      <c r="T912" s="79"/>
      <c r="W912" s="130"/>
      <c r="Y912" s="106"/>
    </row>
    <row r="913">
      <c r="C913" s="79"/>
      <c r="D913" s="79"/>
      <c r="J913" s="79"/>
      <c r="O913" s="79"/>
      <c r="P913" s="79"/>
      <c r="S913" s="79"/>
      <c r="T913" s="79"/>
      <c r="W913" s="130"/>
      <c r="Y913" s="106"/>
    </row>
    <row r="914">
      <c r="C914" s="79"/>
      <c r="D914" s="79"/>
      <c r="J914" s="79"/>
      <c r="O914" s="79"/>
      <c r="P914" s="79"/>
      <c r="S914" s="79"/>
      <c r="T914" s="79"/>
      <c r="W914" s="130"/>
      <c r="Y914" s="106"/>
    </row>
    <row r="915">
      <c r="C915" s="79"/>
      <c r="D915" s="79"/>
      <c r="J915" s="79"/>
      <c r="O915" s="79"/>
      <c r="P915" s="79"/>
      <c r="S915" s="79"/>
      <c r="T915" s="79"/>
      <c r="W915" s="130"/>
      <c r="Y915" s="106"/>
    </row>
    <row r="916">
      <c r="C916" s="79"/>
      <c r="D916" s="79"/>
      <c r="J916" s="79"/>
      <c r="O916" s="79"/>
      <c r="P916" s="79"/>
      <c r="S916" s="79"/>
      <c r="T916" s="79"/>
      <c r="W916" s="130"/>
      <c r="Y916" s="106"/>
    </row>
    <row r="917">
      <c r="C917" s="79"/>
      <c r="D917" s="79"/>
      <c r="J917" s="79"/>
      <c r="O917" s="79"/>
      <c r="P917" s="79"/>
      <c r="S917" s="79"/>
      <c r="T917" s="79"/>
      <c r="W917" s="130"/>
      <c r="Y917" s="106"/>
    </row>
    <row r="918">
      <c r="C918" s="79"/>
      <c r="D918" s="79"/>
      <c r="J918" s="79"/>
      <c r="O918" s="79"/>
      <c r="P918" s="79"/>
      <c r="S918" s="79"/>
      <c r="T918" s="79"/>
      <c r="W918" s="130"/>
      <c r="Y918" s="106"/>
    </row>
    <row r="919">
      <c r="C919" s="79"/>
      <c r="D919" s="79"/>
      <c r="J919" s="79"/>
      <c r="O919" s="79"/>
      <c r="P919" s="79"/>
      <c r="S919" s="79"/>
      <c r="T919" s="79"/>
      <c r="W919" s="130"/>
      <c r="Y919" s="106"/>
    </row>
    <row r="920">
      <c r="C920" s="79"/>
      <c r="D920" s="79"/>
      <c r="J920" s="79"/>
      <c r="O920" s="79"/>
      <c r="P920" s="79"/>
      <c r="S920" s="79"/>
      <c r="T920" s="79"/>
      <c r="W920" s="130"/>
      <c r="Y920" s="106"/>
    </row>
    <row r="921">
      <c r="C921" s="79"/>
      <c r="D921" s="79"/>
      <c r="J921" s="79"/>
      <c r="O921" s="79"/>
      <c r="P921" s="79"/>
      <c r="S921" s="79"/>
      <c r="T921" s="79"/>
      <c r="W921" s="130"/>
      <c r="Y921" s="106"/>
    </row>
    <row r="922">
      <c r="C922" s="79"/>
      <c r="D922" s="79"/>
      <c r="J922" s="79"/>
      <c r="O922" s="79"/>
      <c r="P922" s="79"/>
      <c r="S922" s="79"/>
      <c r="T922" s="79"/>
      <c r="W922" s="130"/>
      <c r="Y922" s="106"/>
    </row>
    <row r="923">
      <c r="C923" s="79"/>
      <c r="D923" s="79"/>
      <c r="J923" s="79"/>
      <c r="O923" s="79"/>
      <c r="P923" s="79"/>
      <c r="S923" s="79"/>
      <c r="T923" s="79"/>
      <c r="W923" s="130"/>
      <c r="Y923" s="106"/>
    </row>
    <row r="924">
      <c r="C924" s="79"/>
      <c r="D924" s="79"/>
      <c r="J924" s="79"/>
      <c r="O924" s="79"/>
      <c r="P924" s="79"/>
      <c r="S924" s="79"/>
      <c r="T924" s="79"/>
      <c r="W924" s="130"/>
      <c r="Y924" s="106"/>
    </row>
    <row r="925">
      <c r="C925" s="79"/>
      <c r="D925" s="79"/>
      <c r="J925" s="79"/>
      <c r="O925" s="79"/>
      <c r="P925" s="79"/>
      <c r="S925" s="79"/>
      <c r="T925" s="79"/>
      <c r="W925" s="130"/>
      <c r="Y925" s="106"/>
    </row>
    <row r="926">
      <c r="C926" s="79"/>
      <c r="D926" s="79"/>
      <c r="J926" s="79"/>
      <c r="O926" s="79"/>
      <c r="P926" s="79"/>
      <c r="S926" s="79"/>
      <c r="T926" s="79"/>
      <c r="W926" s="130"/>
      <c r="Y926" s="106"/>
    </row>
    <row r="927">
      <c r="C927" s="79"/>
      <c r="D927" s="79"/>
      <c r="J927" s="79"/>
      <c r="O927" s="79"/>
      <c r="P927" s="79"/>
      <c r="S927" s="79"/>
      <c r="T927" s="79"/>
      <c r="W927" s="130"/>
      <c r="Y927" s="106"/>
    </row>
    <row r="928">
      <c r="C928" s="79"/>
      <c r="D928" s="79"/>
      <c r="J928" s="79"/>
      <c r="O928" s="79"/>
      <c r="P928" s="79"/>
      <c r="S928" s="79"/>
      <c r="T928" s="79"/>
      <c r="W928" s="130"/>
      <c r="Y928" s="106"/>
    </row>
    <row r="929">
      <c r="C929" s="79"/>
      <c r="D929" s="79"/>
      <c r="J929" s="79"/>
      <c r="O929" s="79"/>
      <c r="P929" s="79"/>
      <c r="S929" s="79"/>
      <c r="T929" s="79"/>
      <c r="W929" s="130"/>
      <c r="Y929" s="106"/>
    </row>
    <row r="930">
      <c r="C930" s="79"/>
      <c r="D930" s="79"/>
      <c r="J930" s="79"/>
      <c r="O930" s="79"/>
      <c r="P930" s="79"/>
      <c r="S930" s="79"/>
      <c r="T930" s="79"/>
      <c r="W930" s="130"/>
      <c r="Y930" s="106"/>
    </row>
    <row r="931">
      <c r="C931" s="79"/>
      <c r="D931" s="79"/>
      <c r="J931" s="79"/>
      <c r="O931" s="79"/>
      <c r="P931" s="79"/>
      <c r="S931" s="79"/>
      <c r="T931" s="79"/>
      <c r="W931" s="130"/>
      <c r="Y931" s="106"/>
    </row>
    <row r="932">
      <c r="C932" s="79"/>
      <c r="D932" s="79"/>
      <c r="J932" s="79"/>
      <c r="O932" s="79"/>
      <c r="P932" s="79"/>
      <c r="S932" s="79"/>
      <c r="T932" s="79"/>
      <c r="W932" s="130"/>
      <c r="Y932" s="106"/>
    </row>
    <row r="933">
      <c r="C933" s="79"/>
      <c r="D933" s="79"/>
      <c r="J933" s="79"/>
      <c r="O933" s="79"/>
      <c r="P933" s="79"/>
      <c r="S933" s="79"/>
      <c r="T933" s="79"/>
      <c r="W933" s="130"/>
      <c r="Y933" s="106"/>
    </row>
    <row r="934">
      <c r="C934" s="79"/>
      <c r="D934" s="79"/>
      <c r="J934" s="79"/>
      <c r="O934" s="79"/>
      <c r="P934" s="79"/>
      <c r="S934" s="79"/>
      <c r="T934" s="79"/>
      <c r="W934" s="130"/>
      <c r="Y934" s="106"/>
    </row>
    <row r="935">
      <c r="C935" s="79"/>
      <c r="D935" s="79"/>
      <c r="J935" s="79"/>
      <c r="O935" s="79"/>
      <c r="P935" s="79"/>
      <c r="S935" s="79"/>
      <c r="T935" s="79"/>
      <c r="W935" s="130"/>
      <c r="Y935" s="106"/>
    </row>
    <row r="936">
      <c r="C936" s="79"/>
      <c r="D936" s="79"/>
      <c r="J936" s="79"/>
      <c r="O936" s="79"/>
      <c r="P936" s="79"/>
      <c r="S936" s="79"/>
      <c r="T936" s="79"/>
      <c r="W936" s="130"/>
      <c r="Y936" s="106"/>
    </row>
    <row r="937">
      <c r="C937" s="79"/>
      <c r="D937" s="79"/>
      <c r="J937" s="79"/>
      <c r="O937" s="79"/>
      <c r="P937" s="79"/>
      <c r="S937" s="79"/>
      <c r="T937" s="79"/>
      <c r="W937" s="130"/>
      <c r="Y937" s="106"/>
    </row>
    <row r="938">
      <c r="C938" s="79"/>
      <c r="D938" s="79"/>
      <c r="J938" s="79"/>
      <c r="O938" s="79"/>
      <c r="P938" s="79"/>
      <c r="S938" s="79"/>
      <c r="T938" s="79"/>
      <c r="W938" s="130"/>
      <c r="Y938" s="106"/>
    </row>
    <row r="939">
      <c r="C939" s="79"/>
      <c r="D939" s="79"/>
      <c r="J939" s="79"/>
      <c r="O939" s="79"/>
      <c r="P939" s="79"/>
      <c r="S939" s="79"/>
      <c r="T939" s="79"/>
      <c r="W939" s="130"/>
      <c r="Y939" s="106"/>
    </row>
    <row r="940">
      <c r="C940" s="79"/>
      <c r="D940" s="79"/>
      <c r="J940" s="79"/>
      <c r="O940" s="79"/>
      <c r="P940" s="79"/>
      <c r="S940" s="79"/>
      <c r="T940" s="79"/>
      <c r="W940" s="130"/>
      <c r="Y940" s="106"/>
    </row>
    <row r="941">
      <c r="C941" s="79"/>
      <c r="D941" s="79"/>
      <c r="J941" s="79"/>
      <c r="O941" s="79"/>
      <c r="P941" s="79"/>
      <c r="S941" s="79"/>
      <c r="T941" s="79"/>
      <c r="W941" s="130"/>
      <c r="Y941" s="106"/>
    </row>
    <row r="942">
      <c r="C942" s="79"/>
      <c r="D942" s="79"/>
      <c r="J942" s="79"/>
      <c r="O942" s="79"/>
      <c r="P942" s="79"/>
      <c r="S942" s="79"/>
      <c r="T942" s="79"/>
      <c r="W942" s="130"/>
      <c r="Y942" s="106"/>
    </row>
    <row r="943">
      <c r="C943" s="79"/>
      <c r="D943" s="79"/>
      <c r="J943" s="79"/>
      <c r="O943" s="79"/>
      <c r="P943" s="79"/>
      <c r="S943" s="79"/>
      <c r="T943" s="79"/>
      <c r="W943" s="130"/>
      <c r="Y943" s="106"/>
    </row>
    <row r="944">
      <c r="C944" s="79"/>
      <c r="D944" s="79"/>
      <c r="J944" s="79"/>
      <c r="O944" s="79"/>
      <c r="P944" s="79"/>
      <c r="S944" s="79"/>
      <c r="T944" s="79"/>
      <c r="W944" s="130"/>
      <c r="Y944" s="106"/>
    </row>
    <row r="945">
      <c r="C945" s="79"/>
      <c r="D945" s="79"/>
      <c r="J945" s="79"/>
      <c r="O945" s="79"/>
      <c r="P945" s="79"/>
      <c r="S945" s="79"/>
      <c r="T945" s="79"/>
      <c r="W945" s="130"/>
      <c r="Y945" s="106"/>
    </row>
    <row r="946">
      <c r="C946" s="79"/>
      <c r="D946" s="79"/>
      <c r="J946" s="79"/>
      <c r="O946" s="79"/>
      <c r="P946" s="79"/>
      <c r="S946" s="79"/>
      <c r="T946" s="79"/>
      <c r="W946" s="130"/>
      <c r="Y946" s="106"/>
    </row>
    <row r="947">
      <c r="C947" s="79"/>
      <c r="D947" s="79"/>
      <c r="J947" s="79"/>
      <c r="O947" s="79"/>
      <c r="P947" s="79"/>
      <c r="S947" s="79"/>
      <c r="T947" s="79"/>
      <c r="W947" s="130"/>
      <c r="Y947" s="106"/>
    </row>
    <row r="948">
      <c r="C948" s="79"/>
      <c r="D948" s="79"/>
      <c r="J948" s="79"/>
      <c r="O948" s="79"/>
      <c r="P948" s="79"/>
      <c r="S948" s="79"/>
      <c r="T948" s="79"/>
      <c r="W948" s="130"/>
      <c r="Y948" s="106"/>
    </row>
    <row r="949">
      <c r="C949" s="79"/>
      <c r="D949" s="79"/>
      <c r="J949" s="79"/>
      <c r="O949" s="79"/>
      <c r="P949" s="79"/>
      <c r="S949" s="79"/>
      <c r="T949" s="79"/>
      <c r="W949" s="130"/>
      <c r="Y949" s="106"/>
    </row>
    <row r="950">
      <c r="C950" s="79"/>
      <c r="D950" s="79"/>
      <c r="J950" s="79"/>
      <c r="O950" s="79"/>
      <c r="P950" s="79"/>
      <c r="S950" s="79"/>
      <c r="T950" s="79"/>
      <c r="W950" s="130"/>
      <c r="Y950" s="106"/>
    </row>
    <row r="951">
      <c r="C951" s="79"/>
      <c r="D951" s="79"/>
      <c r="J951" s="79"/>
      <c r="O951" s="79"/>
      <c r="P951" s="79"/>
      <c r="S951" s="79"/>
      <c r="T951" s="79"/>
      <c r="W951" s="130"/>
      <c r="Y951" s="106"/>
    </row>
    <row r="952">
      <c r="C952" s="79"/>
      <c r="D952" s="79"/>
      <c r="J952" s="79"/>
      <c r="O952" s="79"/>
      <c r="P952" s="79"/>
      <c r="S952" s="79"/>
      <c r="T952" s="79"/>
      <c r="W952" s="130"/>
      <c r="Y952" s="106"/>
    </row>
    <row r="953">
      <c r="C953" s="79"/>
      <c r="D953" s="79"/>
      <c r="J953" s="79"/>
      <c r="O953" s="79"/>
      <c r="P953" s="79"/>
      <c r="S953" s="79"/>
      <c r="T953" s="79"/>
      <c r="W953" s="130"/>
      <c r="Y953" s="106"/>
    </row>
    <row r="954">
      <c r="C954" s="79"/>
      <c r="D954" s="79"/>
      <c r="J954" s="79"/>
      <c r="O954" s="79"/>
      <c r="P954" s="79"/>
      <c r="S954" s="79"/>
      <c r="T954" s="79"/>
      <c r="W954" s="130"/>
      <c r="Y954" s="106"/>
    </row>
    <row r="955">
      <c r="C955" s="79"/>
      <c r="D955" s="79"/>
      <c r="J955" s="79"/>
      <c r="O955" s="79"/>
      <c r="P955" s="79"/>
      <c r="S955" s="79"/>
      <c r="T955" s="79"/>
      <c r="W955" s="130"/>
      <c r="Y955" s="106"/>
    </row>
    <row r="956">
      <c r="C956" s="79"/>
      <c r="D956" s="79"/>
      <c r="J956" s="79"/>
      <c r="O956" s="79"/>
      <c r="P956" s="79"/>
      <c r="S956" s="79"/>
      <c r="T956" s="79"/>
      <c r="W956" s="130"/>
      <c r="Y956" s="106"/>
    </row>
    <row r="957">
      <c r="C957" s="79"/>
      <c r="D957" s="79"/>
      <c r="J957" s="79"/>
      <c r="O957" s="79"/>
      <c r="P957" s="79"/>
      <c r="S957" s="79"/>
      <c r="T957" s="79"/>
      <c r="W957" s="130"/>
      <c r="Y957" s="106"/>
    </row>
    <row r="958">
      <c r="C958" s="79"/>
      <c r="D958" s="79"/>
      <c r="J958" s="79"/>
      <c r="O958" s="79"/>
      <c r="P958" s="79"/>
      <c r="S958" s="79"/>
      <c r="T958" s="79"/>
      <c r="W958" s="130"/>
      <c r="Y958" s="106"/>
    </row>
    <row r="959">
      <c r="C959" s="79"/>
      <c r="D959" s="79"/>
      <c r="J959" s="79"/>
      <c r="O959" s="79"/>
      <c r="P959" s="79"/>
      <c r="S959" s="79"/>
      <c r="T959" s="79"/>
      <c r="W959" s="130"/>
      <c r="Y959" s="106"/>
    </row>
    <row r="960">
      <c r="C960" s="79"/>
      <c r="D960" s="79"/>
      <c r="J960" s="79"/>
      <c r="O960" s="79"/>
      <c r="P960" s="79"/>
      <c r="S960" s="79"/>
      <c r="T960" s="79"/>
      <c r="W960" s="130"/>
      <c r="Y960" s="106"/>
    </row>
    <row r="961">
      <c r="C961" s="79"/>
      <c r="D961" s="79"/>
      <c r="J961" s="79"/>
      <c r="O961" s="79"/>
      <c r="P961" s="79"/>
      <c r="S961" s="79"/>
      <c r="T961" s="79"/>
      <c r="W961" s="130"/>
      <c r="Y961" s="106"/>
    </row>
    <row r="962">
      <c r="C962" s="79"/>
      <c r="D962" s="79"/>
      <c r="J962" s="79"/>
      <c r="O962" s="79"/>
      <c r="P962" s="79"/>
      <c r="S962" s="79"/>
      <c r="T962" s="79"/>
      <c r="W962" s="130"/>
      <c r="Y962" s="106"/>
    </row>
    <row r="963">
      <c r="C963" s="79"/>
      <c r="D963" s="79"/>
      <c r="J963" s="79"/>
      <c r="O963" s="79"/>
      <c r="P963" s="79"/>
      <c r="S963" s="79"/>
      <c r="T963" s="79"/>
      <c r="W963" s="130"/>
      <c r="Y963" s="106"/>
    </row>
    <row r="964">
      <c r="C964" s="79"/>
      <c r="D964" s="79"/>
      <c r="J964" s="79"/>
      <c r="O964" s="79"/>
      <c r="P964" s="79"/>
      <c r="S964" s="79"/>
      <c r="T964" s="79"/>
      <c r="W964" s="130"/>
      <c r="Y964" s="106"/>
    </row>
    <row r="965">
      <c r="C965" s="79"/>
      <c r="D965" s="79"/>
      <c r="J965" s="79"/>
      <c r="O965" s="79"/>
      <c r="P965" s="79"/>
      <c r="S965" s="79"/>
      <c r="T965" s="79"/>
      <c r="W965" s="130"/>
      <c r="Y965" s="106"/>
    </row>
    <row r="966">
      <c r="C966" s="79"/>
      <c r="D966" s="79"/>
      <c r="J966" s="79"/>
      <c r="O966" s="79"/>
      <c r="P966" s="79"/>
      <c r="S966" s="79"/>
      <c r="T966" s="79"/>
      <c r="W966" s="130"/>
      <c r="Y966" s="106"/>
    </row>
    <row r="967">
      <c r="C967" s="79"/>
      <c r="D967" s="79"/>
      <c r="J967" s="79"/>
      <c r="O967" s="79"/>
      <c r="P967" s="79"/>
      <c r="S967" s="79"/>
      <c r="T967" s="79"/>
      <c r="W967" s="130"/>
      <c r="Y967" s="106"/>
    </row>
    <row r="968">
      <c r="C968" s="79"/>
      <c r="D968" s="79"/>
      <c r="J968" s="79"/>
      <c r="O968" s="79"/>
      <c r="P968" s="79"/>
      <c r="S968" s="79"/>
      <c r="T968" s="79"/>
      <c r="W968" s="130"/>
      <c r="Y968" s="106"/>
    </row>
    <row r="969">
      <c r="C969" s="79"/>
      <c r="D969" s="79"/>
      <c r="J969" s="79"/>
      <c r="O969" s="79"/>
      <c r="P969" s="79"/>
      <c r="S969" s="79"/>
      <c r="T969" s="79"/>
      <c r="W969" s="130"/>
      <c r="Y969" s="106"/>
    </row>
    <row r="970">
      <c r="C970" s="79"/>
      <c r="D970" s="79"/>
      <c r="J970" s="79"/>
      <c r="O970" s="79"/>
      <c r="P970" s="79"/>
      <c r="S970" s="79"/>
      <c r="T970" s="79"/>
      <c r="W970" s="130"/>
      <c r="Y970" s="106"/>
    </row>
    <row r="971">
      <c r="C971" s="79"/>
      <c r="D971" s="79"/>
      <c r="J971" s="79"/>
      <c r="O971" s="79"/>
      <c r="P971" s="79"/>
      <c r="S971" s="79"/>
      <c r="T971" s="79"/>
      <c r="W971" s="130"/>
      <c r="Y971" s="106"/>
    </row>
    <row r="972">
      <c r="C972" s="79"/>
      <c r="D972" s="79"/>
      <c r="J972" s="79"/>
      <c r="O972" s="79"/>
      <c r="P972" s="79"/>
      <c r="S972" s="79"/>
      <c r="T972" s="79"/>
      <c r="W972" s="130"/>
      <c r="Y972" s="106"/>
    </row>
    <row r="973">
      <c r="C973" s="79"/>
      <c r="D973" s="79"/>
      <c r="J973" s="79"/>
      <c r="O973" s="79"/>
      <c r="P973" s="79"/>
      <c r="S973" s="79"/>
      <c r="T973" s="79"/>
      <c r="W973" s="130"/>
      <c r="Y973" s="106"/>
    </row>
    <row r="974">
      <c r="C974" s="79"/>
      <c r="D974" s="79"/>
      <c r="J974" s="79"/>
      <c r="O974" s="79"/>
      <c r="P974" s="79"/>
      <c r="S974" s="79"/>
      <c r="T974" s="79"/>
      <c r="W974" s="130"/>
      <c r="Y974" s="106"/>
    </row>
    <row r="975">
      <c r="C975" s="79"/>
      <c r="D975" s="79"/>
      <c r="J975" s="79"/>
      <c r="O975" s="79"/>
      <c r="P975" s="79"/>
      <c r="S975" s="79"/>
      <c r="T975" s="79"/>
      <c r="W975" s="130"/>
      <c r="Y975" s="106"/>
    </row>
    <row r="976">
      <c r="C976" s="79"/>
      <c r="D976" s="79"/>
      <c r="J976" s="79"/>
      <c r="O976" s="79"/>
      <c r="P976" s="79"/>
      <c r="S976" s="79"/>
      <c r="T976" s="79"/>
      <c r="W976" s="130"/>
      <c r="Y976" s="106"/>
    </row>
    <row r="977">
      <c r="C977" s="79"/>
      <c r="D977" s="79"/>
      <c r="J977" s="79"/>
      <c r="O977" s="79"/>
      <c r="P977" s="79"/>
      <c r="S977" s="79"/>
      <c r="T977" s="79"/>
      <c r="W977" s="130"/>
      <c r="Y977" s="106"/>
    </row>
    <row r="978">
      <c r="C978" s="79"/>
      <c r="D978" s="79"/>
      <c r="J978" s="79"/>
      <c r="O978" s="79"/>
      <c r="P978" s="79"/>
      <c r="S978" s="79"/>
      <c r="T978" s="79"/>
      <c r="W978" s="130"/>
      <c r="Y978" s="106"/>
    </row>
    <row r="979">
      <c r="C979" s="79"/>
      <c r="D979" s="79"/>
      <c r="J979" s="79"/>
      <c r="O979" s="79"/>
      <c r="P979" s="79"/>
      <c r="S979" s="79"/>
      <c r="T979" s="79"/>
      <c r="W979" s="130"/>
      <c r="Y979" s="106"/>
    </row>
    <row r="980">
      <c r="C980" s="79"/>
      <c r="D980" s="79"/>
      <c r="J980" s="79"/>
      <c r="O980" s="79"/>
      <c r="P980" s="79"/>
      <c r="S980" s="79"/>
      <c r="T980" s="79"/>
      <c r="W980" s="130"/>
      <c r="Y980" s="106"/>
    </row>
    <row r="981">
      <c r="C981" s="79"/>
      <c r="D981" s="79"/>
      <c r="J981" s="79"/>
      <c r="O981" s="79"/>
      <c r="P981" s="79"/>
      <c r="S981" s="79"/>
      <c r="T981" s="79"/>
      <c r="W981" s="130"/>
      <c r="Y981" s="106"/>
    </row>
    <row r="982">
      <c r="C982" s="79"/>
      <c r="D982" s="79"/>
      <c r="J982" s="79"/>
      <c r="O982" s="79"/>
      <c r="P982" s="79"/>
      <c r="S982" s="79"/>
      <c r="T982" s="79"/>
      <c r="W982" s="130"/>
      <c r="Y982" s="106"/>
    </row>
    <row r="983">
      <c r="C983" s="79"/>
      <c r="D983" s="79"/>
      <c r="J983" s="79"/>
      <c r="O983" s="79"/>
      <c r="P983" s="79"/>
      <c r="S983" s="79"/>
      <c r="T983" s="79"/>
      <c r="W983" s="130"/>
      <c r="Y983" s="106"/>
    </row>
    <row r="984">
      <c r="C984" s="79"/>
      <c r="D984" s="79"/>
      <c r="J984" s="79"/>
      <c r="O984" s="79"/>
      <c r="P984" s="79"/>
      <c r="S984" s="79"/>
      <c r="T984" s="79"/>
      <c r="W984" s="130"/>
      <c r="Y984" s="106"/>
    </row>
    <row r="985">
      <c r="C985" s="79"/>
      <c r="D985" s="79"/>
      <c r="J985" s="79"/>
      <c r="O985" s="79"/>
      <c r="P985" s="79"/>
      <c r="S985" s="79"/>
      <c r="T985" s="79"/>
      <c r="W985" s="130"/>
      <c r="Y985" s="106"/>
    </row>
    <row r="986">
      <c r="C986" s="79"/>
      <c r="D986" s="79"/>
      <c r="J986" s="79"/>
      <c r="O986" s="79"/>
      <c r="P986" s="79"/>
      <c r="S986" s="79"/>
      <c r="T986" s="79"/>
      <c r="W986" s="130"/>
      <c r="Y986" s="106"/>
    </row>
    <row r="987">
      <c r="C987" s="79"/>
      <c r="D987" s="79"/>
      <c r="J987" s="79"/>
      <c r="O987" s="79"/>
      <c r="P987" s="79"/>
      <c r="S987" s="79"/>
      <c r="T987" s="79"/>
      <c r="W987" s="130"/>
      <c r="Y987" s="106"/>
    </row>
    <row r="988">
      <c r="C988" s="79"/>
      <c r="D988" s="79"/>
      <c r="J988" s="79"/>
      <c r="O988" s="79"/>
      <c r="P988" s="79"/>
      <c r="S988" s="79"/>
      <c r="T988" s="79"/>
      <c r="W988" s="130"/>
      <c r="Y988" s="106"/>
    </row>
    <row r="989">
      <c r="C989" s="79"/>
      <c r="D989" s="79"/>
      <c r="J989" s="79"/>
      <c r="O989" s="79"/>
      <c r="P989" s="79"/>
      <c r="S989" s="79"/>
      <c r="T989" s="79"/>
      <c r="W989" s="130"/>
      <c r="Y989" s="106"/>
    </row>
    <row r="990">
      <c r="C990" s="79"/>
      <c r="D990" s="79"/>
      <c r="J990" s="79"/>
      <c r="O990" s="79"/>
      <c r="P990" s="79"/>
      <c r="S990" s="79"/>
      <c r="T990" s="79"/>
      <c r="W990" s="130"/>
      <c r="Y990" s="106"/>
    </row>
    <row r="991">
      <c r="C991" s="79"/>
      <c r="D991" s="79"/>
      <c r="J991" s="79"/>
      <c r="O991" s="79"/>
      <c r="P991" s="79"/>
      <c r="S991" s="79"/>
      <c r="T991" s="79"/>
      <c r="W991" s="130"/>
      <c r="Y991" s="106"/>
    </row>
    <row r="992">
      <c r="C992" s="79"/>
      <c r="D992" s="79"/>
      <c r="J992" s="79"/>
      <c r="O992" s="79"/>
      <c r="P992" s="79"/>
      <c r="S992" s="79"/>
      <c r="T992" s="79"/>
      <c r="W992" s="130"/>
      <c r="Y992" s="106"/>
    </row>
    <row r="993">
      <c r="C993" s="79"/>
      <c r="D993" s="79"/>
      <c r="J993" s="79"/>
      <c r="O993" s="79"/>
      <c r="P993" s="79"/>
      <c r="S993" s="79"/>
      <c r="T993" s="79"/>
      <c r="W993" s="130"/>
      <c r="Y993" s="106"/>
    </row>
    <row r="994">
      <c r="C994" s="79"/>
      <c r="D994" s="79"/>
      <c r="J994" s="79"/>
      <c r="O994" s="79"/>
      <c r="P994" s="79"/>
      <c r="S994" s="79"/>
      <c r="T994" s="79"/>
      <c r="W994" s="130"/>
      <c r="Y994" s="106"/>
    </row>
    <row r="995">
      <c r="C995" s="79"/>
      <c r="D995" s="79"/>
      <c r="J995" s="79"/>
      <c r="O995" s="79"/>
      <c r="P995" s="79"/>
      <c r="S995" s="79"/>
      <c r="T995" s="79"/>
      <c r="W995" s="130"/>
      <c r="Y995" s="106"/>
    </row>
    <row r="996">
      <c r="C996" s="79"/>
      <c r="D996" s="79"/>
      <c r="J996" s="79"/>
      <c r="O996" s="79"/>
      <c r="P996" s="79"/>
      <c r="S996" s="79"/>
      <c r="T996" s="79"/>
      <c r="W996" s="130"/>
      <c r="Y996" s="106"/>
    </row>
    <row r="997">
      <c r="C997" s="79"/>
      <c r="D997" s="79"/>
      <c r="J997" s="79"/>
      <c r="O997" s="79"/>
      <c r="P997" s="79"/>
      <c r="S997" s="79"/>
      <c r="T997" s="79"/>
      <c r="W997" s="130"/>
      <c r="Y997" s="106"/>
    </row>
    <row r="998">
      <c r="C998" s="79"/>
      <c r="D998" s="79"/>
      <c r="J998" s="79"/>
      <c r="O998" s="79"/>
      <c r="P998" s="79"/>
      <c r="S998" s="79"/>
      <c r="T998" s="79"/>
      <c r="W998" s="130"/>
      <c r="Y998" s="106"/>
    </row>
    <row r="999">
      <c r="C999" s="79"/>
      <c r="D999" s="79"/>
      <c r="J999" s="79"/>
      <c r="O999" s="79"/>
      <c r="P999" s="79"/>
      <c r="S999" s="79"/>
      <c r="T999" s="79"/>
      <c r="W999" s="130"/>
      <c r="Y999" s="106"/>
    </row>
    <row r="1000">
      <c r="C1000" s="79"/>
      <c r="D1000" s="79"/>
      <c r="J1000" s="79"/>
      <c r="O1000" s="79"/>
      <c r="P1000" s="79"/>
      <c r="S1000" s="79"/>
      <c r="T1000" s="79"/>
      <c r="W1000" s="130"/>
      <c r="Y1000" s="106"/>
    </row>
    <row r="1001">
      <c r="C1001" s="79"/>
      <c r="D1001" s="79"/>
      <c r="J1001" s="79"/>
      <c r="O1001" s="79"/>
      <c r="P1001" s="79"/>
      <c r="S1001" s="79"/>
      <c r="T1001" s="79"/>
      <c r="W1001" s="130"/>
      <c r="Y1001" s="106"/>
    </row>
    <row r="1002">
      <c r="C1002" s="79"/>
      <c r="D1002" s="79"/>
      <c r="J1002" s="79"/>
      <c r="O1002" s="79"/>
      <c r="P1002" s="79"/>
      <c r="S1002" s="79"/>
      <c r="T1002" s="79"/>
      <c r="W1002" s="130"/>
      <c r="Y1002" s="106"/>
    </row>
    <row r="1003">
      <c r="C1003" s="79"/>
      <c r="D1003" s="79"/>
      <c r="J1003" s="79"/>
      <c r="O1003" s="79"/>
      <c r="P1003" s="79"/>
      <c r="S1003" s="79"/>
      <c r="T1003" s="79"/>
      <c r="W1003" s="130"/>
      <c r="Y1003" s="106"/>
    </row>
    <row r="1004">
      <c r="C1004" s="79"/>
      <c r="D1004" s="79"/>
      <c r="J1004" s="79"/>
      <c r="O1004" s="79"/>
      <c r="P1004" s="79"/>
      <c r="S1004" s="79"/>
      <c r="T1004" s="79"/>
      <c r="W1004" s="130"/>
      <c r="Y1004" s="106"/>
    </row>
  </sheetData>
  <drawing r:id="rId2"/>
  <legacyDrawing r:id="rId3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5" max="5" width="13.5"/>
    <col customWidth="1" min="7" max="7" width="13.25"/>
    <col hidden="1" min="12" max="13" width="12.63"/>
    <col hidden="1" min="19" max="19" width="12.63"/>
    <col customWidth="1" min="24" max="24" width="14.63"/>
    <col customWidth="1" min="28" max="28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3</v>
      </c>
      <c r="G1" s="2" t="s">
        <v>203</v>
      </c>
      <c r="H1" s="2" t="s">
        <v>129</v>
      </c>
      <c r="I1" s="2" t="s">
        <v>5</v>
      </c>
      <c r="J1" s="2" t="s">
        <v>204</v>
      </c>
      <c r="K1" s="2" t="s">
        <v>6</v>
      </c>
      <c r="L1" s="2" t="s">
        <v>43</v>
      </c>
      <c r="M1" s="105" t="s">
        <v>40</v>
      </c>
      <c r="N1" s="2" t="s">
        <v>49</v>
      </c>
      <c r="O1" s="2" t="s">
        <v>42</v>
      </c>
      <c r="P1" s="2" t="s">
        <v>121</v>
      </c>
      <c r="Q1" s="2" t="s">
        <v>164</v>
      </c>
      <c r="R1" s="105" t="s">
        <v>9</v>
      </c>
      <c r="S1" s="105" t="s">
        <v>165</v>
      </c>
      <c r="T1" s="2" t="s">
        <v>37</v>
      </c>
      <c r="U1" s="2" t="s">
        <v>10</v>
      </c>
      <c r="V1" s="105" t="s">
        <v>11</v>
      </c>
      <c r="W1" s="105" t="s">
        <v>205</v>
      </c>
      <c r="X1" s="2" t="s">
        <v>206</v>
      </c>
      <c r="Y1" s="3" t="s">
        <v>13</v>
      </c>
      <c r="Z1" s="126" t="s">
        <v>14</v>
      </c>
      <c r="AA1" s="3" t="s">
        <v>15</v>
      </c>
      <c r="AB1" s="106"/>
    </row>
    <row r="2">
      <c r="A2" s="74">
        <v>45243.0</v>
      </c>
      <c r="B2" s="93">
        <f>1926.55-14.18-29.8-8.55-13.06-33.12</f>
        <v>1827.84</v>
      </c>
      <c r="C2" s="93"/>
      <c r="D2" s="93">
        <f>448.63-80.6+460.8-119.6</f>
        <v>709.23</v>
      </c>
      <c r="E2" s="93"/>
      <c r="F2" s="93">
        <v>180.0</v>
      </c>
      <c r="G2" s="178">
        <f>602.27*2</f>
        <v>1204.54</v>
      </c>
      <c r="H2" s="93">
        <v>487.73</v>
      </c>
      <c r="I2" s="93"/>
      <c r="J2" s="93"/>
      <c r="K2" s="93"/>
      <c r="L2" s="5"/>
      <c r="M2" s="5"/>
      <c r="N2" s="93">
        <v>168.0</v>
      </c>
      <c r="O2" s="93"/>
      <c r="P2" s="93"/>
      <c r="Q2" s="5"/>
      <c r="R2" s="93"/>
      <c r="S2" s="93"/>
      <c r="T2" s="179">
        <v>417.12</v>
      </c>
      <c r="U2" s="5"/>
      <c r="V2" s="93">
        <v>57.05</v>
      </c>
      <c r="W2" s="93"/>
      <c r="X2" s="5"/>
      <c r="Y2" s="107">
        <f t="shared" ref="Y2:Y7" si="1">SUM(B2:X2)</f>
        <v>5051.51</v>
      </c>
      <c r="Z2" s="158">
        <v>4923.62</v>
      </c>
      <c r="AA2" s="59">
        <f t="shared" ref="AA2:AA8" si="2">Y2/Z2</f>
        <v>1.025974791</v>
      </c>
      <c r="AB2" s="109">
        <f t="shared" ref="AB2:AB8" si="3">A2</f>
        <v>45243</v>
      </c>
    </row>
    <row r="3">
      <c r="A3" s="74">
        <v>45244.0</v>
      </c>
      <c r="B3" s="93">
        <f>1229.8-312.48-40.99</f>
        <v>876.33</v>
      </c>
      <c r="C3" s="159"/>
      <c r="D3" s="159">
        <f>809.17-590.97-161.2</f>
        <v>57</v>
      </c>
      <c r="E3" s="93"/>
      <c r="F3" s="93"/>
      <c r="G3" s="93"/>
      <c r="H3" s="93"/>
      <c r="I3" s="93"/>
      <c r="J3" s="93">
        <v>185.24</v>
      </c>
      <c r="K3" s="93"/>
      <c r="L3" s="5"/>
      <c r="M3" s="93"/>
      <c r="N3" s="93"/>
      <c r="O3" s="178">
        <f>345+387</f>
        <v>732</v>
      </c>
      <c r="P3" s="101"/>
      <c r="Q3" s="6"/>
      <c r="R3" s="93"/>
      <c r="S3" s="93"/>
      <c r="T3" s="93"/>
      <c r="U3" s="5"/>
      <c r="V3" s="93"/>
      <c r="W3" s="93"/>
      <c r="X3" s="93"/>
      <c r="Y3" s="107">
        <f t="shared" si="1"/>
        <v>1850.57</v>
      </c>
      <c r="Z3" s="97">
        <v>11971.0</v>
      </c>
      <c r="AA3" s="59">
        <f t="shared" si="2"/>
        <v>0.1545877537</v>
      </c>
      <c r="AB3" s="109">
        <f t="shared" si="3"/>
        <v>45244</v>
      </c>
    </row>
    <row r="4">
      <c r="A4" s="74">
        <v>45245.0</v>
      </c>
      <c r="B4" s="93">
        <f>1381.62-31.75-75.3-110-8.23-36.25-60.6-92.64-81.83-53.15-228-83.15</f>
        <v>520.72</v>
      </c>
      <c r="C4" s="93"/>
      <c r="D4" s="93">
        <f>226.6+213.6-110.8+33.6</f>
        <v>363</v>
      </c>
      <c r="E4" s="93"/>
      <c r="F4" s="93"/>
      <c r="G4" s="93"/>
      <c r="H4" s="93"/>
      <c r="I4" s="93">
        <f>1220.6-190-567.6</f>
        <v>463</v>
      </c>
      <c r="J4" s="93"/>
      <c r="K4" s="93">
        <v>42.0</v>
      </c>
      <c r="L4" s="5"/>
      <c r="M4" s="93"/>
      <c r="N4" s="93"/>
      <c r="O4" s="93"/>
      <c r="P4" s="93">
        <v>18.5</v>
      </c>
      <c r="Q4" s="5"/>
      <c r="R4" s="93"/>
      <c r="S4" s="93"/>
      <c r="T4" s="160"/>
      <c r="U4" s="83"/>
      <c r="V4" s="93">
        <v>57.05</v>
      </c>
      <c r="W4" s="93"/>
      <c r="X4" s="6"/>
      <c r="Y4" s="107">
        <f t="shared" si="1"/>
        <v>1464.27</v>
      </c>
      <c r="Z4" s="97">
        <f>1041.01+7233</f>
        <v>8274.01</v>
      </c>
      <c r="AA4" s="59">
        <f t="shared" si="2"/>
        <v>0.1769722299</v>
      </c>
      <c r="AB4" s="109">
        <f t="shared" si="3"/>
        <v>45245</v>
      </c>
    </row>
    <row r="5">
      <c r="A5" s="74">
        <v>45246.0</v>
      </c>
      <c r="B5" s="93">
        <f>2023.66-58.57-39.8-67.76-8.6-31.75-33.54-16.89-245.6-14.91-46.18-40.73-38.34-7.23-51.25-30.1-24.7</f>
        <v>1267.71</v>
      </c>
      <c r="C5" s="93"/>
      <c r="D5" s="93">
        <v>284.1</v>
      </c>
      <c r="E5" s="93"/>
      <c r="F5" s="93">
        <v>180.0</v>
      </c>
      <c r="G5" s="160"/>
      <c r="H5" s="160"/>
      <c r="I5" s="93"/>
      <c r="J5" s="93"/>
      <c r="K5" s="93"/>
      <c r="L5" s="5"/>
      <c r="M5" s="93"/>
      <c r="N5" s="93"/>
      <c r="O5" s="93"/>
      <c r="P5" s="93">
        <v>18.5</v>
      </c>
      <c r="Q5" s="5"/>
      <c r="R5" s="93"/>
      <c r="S5" s="93"/>
      <c r="T5" s="5"/>
      <c r="U5" s="5"/>
      <c r="V5" s="101"/>
      <c r="W5" s="101"/>
      <c r="X5" s="6"/>
      <c r="Y5" s="7">
        <f t="shared" si="1"/>
        <v>1750.31</v>
      </c>
      <c r="Z5" s="97">
        <v>7877</v>
      </c>
      <c r="AA5" s="59">
        <f t="shared" si="2"/>
        <v>0.2222051542</v>
      </c>
      <c r="AB5" s="109">
        <f t="shared" si="3"/>
        <v>45246</v>
      </c>
    </row>
    <row r="6">
      <c r="A6" s="74">
        <v>45247.0</v>
      </c>
      <c r="B6" s="93">
        <f>1421.86-14.09-35.79-12.91-15.98-44.67-59.96-33.76-33.88-121.64</f>
        <v>1049.18</v>
      </c>
      <c r="C6" s="93">
        <v>98.2</v>
      </c>
      <c r="D6" s="93">
        <f>283.8-139.4</f>
        <v>144.4</v>
      </c>
      <c r="E6" s="93"/>
      <c r="F6" s="93"/>
      <c r="G6" s="93"/>
      <c r="H6" s="93">
        <f>379.76-119.68-133.04</f>
        <v>127.04</v>
      </c>
      <c r="I6" s="93"/>
      <c r="J6" s="93"/>
      <c r="K6" s="93">
        <v>123.0</v>
      </c>
      <c r="L6" s="5"/>
      <c r="M6" s="162"/>
      <c r="N6" s="93"/>
      <c r="O6" s="93"/>
      <c r="P6" s="93">
        <v>18.5</v>
      </c>
      <c r="Q6" s="5"/>
      <c r="R6" s="93"/>
      <c r="S6" s="93"/>
      <c r="T6" s="5"/>
      <c r="U6" s="5"/>
      <c r="V6" s="93">
        <v>57.05</v>
      </c>
      <c r="W6" s="93"/>
      <c r="X6" s="5"/>
      <c r="Y6" s="7">
        <f t="shared" si="1"/>
        <v>1617.37</v>
      </c>
      <c r="Z6" s="97">
        <f>641+8276</f>
        <v>8917</v>
      </c>
      <c r="AA6" s="59">
        <f t="shared" si="2"/>
        <v>0.1813805091</v>
      </c>
      <c r="AB6" s="109">
        <f t="shared" si="3"/>
        <v>45247</v>
      </c>
    </row>
    <row r="7">
      <c r="A7" s="74">
        <v>45248.0</v>
      </c>
      <c r="B7" s="93">
        <f>918.88-102.37-55.75-38.95-70.39-82.53</f>
        <v>568.89</v>
      </c>
      <c r="C7" s="93">
        <f>293.55-133.8</f>
        <v>159.75</v>
      </c>
      <c r="D7" s="180">
        <f>213.9-80.6+1207.4</f>
        <v>1340.7</v>
      </c>
      <c r="E7" s="93"/>
      <c r="F7" s="93"/>
      <c r="G7" s="93"/>
      <c r="H7" s="93">
        <v>311.58</v>
      </c>
      <c r="I7" s="93"/>
      <c r="J7" s="93"/>
      <c r="K7" s="93"/>
      <c r="L7" s="5"/>
      <c r="M7" s="93"/>
      <c r="N7" s="93"/>
      <c r="O7" s="93"/>
      <c r="P7" s="93"/>
      <c r="Q7" s="93">
        <v>252.0</v>
      </c>
      <c r="R7" s="93"/>
      <c r="S7" s="93"/>
      <c r="T7" s="6"/>
      <c r="U7" s="6"/>
      <c r="V7" s="101"/>
      <c r="W7" s="101"/>
      <c r="X7" s="5"/>
      <c r="Y7" s="7">
        <f t="shared" si="1"/>
        <v>2632.92</v>
      </c>
      <c r="Z7" s="97">
        <v>14091</v>
      </c>
      <c r="AA7" s="59">
        <f t="shared" si="2"/>
        <v>0.1868511816</v>
      </c>
      <c r="AB7" s="109">
        <f t="shared" si="3"/>
        <v>45248</v>
      </c>
    </row>
    <row r="8">
      <c r="A8" s="74">
        <v>45249.0</v>
      </c>
      <c r="B8" s="10" t="s">
        <v>21</v>
      </c>
      <c r="C8" s="112" t="s">
        <v>21</v>
      </c>
      <c r="D8" s="112" t="s">
        <v>21</v>
      </c>
      <c r="E8" s="112" t="s">
        <v>21</v>
      </c>
      <c r="F8" s="10" t="s">
        <v>21</v>
      </c>
      <c r="G8" s="10"/>
      <c r="H8" s="10" t="s">
        <v>21</v>
      </c>
      <c r="I8" s="10" t="s">
        <v>21</v>
      </c>
      <c r="J8" s="10"/>
      <c r="K8" s="10" t="s">
        <v>21</v>
      </c>
      <c r="L8" s="10" t="s">
        <v>21</v>
      </c>
      <c r="M8" s="112" t="s">
        <v>21</v>
      </c>
      <c r="N8" s="10" t="s">
        <v>21</v>
      </c>
      <c r="O8" s="10" t="s">
        <v>21</v>
      </c>
      <c r="P8" s="10"/>
      <c r="Q8" s="10"/>
      <c r="R8" s="112" t="s">
        <v>21</v>
      </c>
      <c r="S8" s="112"/>
      <c r="T8" s="10" t="s">
        <v>21</v>
      </c>
      <c r="U8" s="10" t="s">
        <v>21</v>
      </c>
      <c r="V8" s="112" t="s">
        <v>21</v>
      </c>
      <c r="W8" s="112"/>
      <c r="X8" s="10" t="s">
        <v>21</v>
      </c>
      <c r="Y8" s="7">
        <v>0.0</v>
      </c>
      <c r="Z8" s="97">
        <v>6357.81</v>
      </c>
      <c r="AA8" s="59">
        <f t="shared" si="2"/>
        <v>0</v>
      </c>
      <c r="AB8" s="109">
        <f t="shared" si="3"/>
        <v>45249</v>
      </c>
    </row>
    <row r="9">
      <c r="A9" s="163"/>
      <c r="B9" s="32"/>
      <c r="C9" s="32"/>
      <c r="D9" s="32"/>
      <c r="E9" s="138"/>
      <c r="M9" s="79"/>
      <c r="V9" s="79"/>
      <c r="W9" s="79"/>
      <c r="Z9" s="129"/>
      <c r="AB9" s="106"/>
    </row>
    <row r="10">
      <c r="A10" s="10" t="s">
        <v>188</v>
      </c>
      <c r="B10" s="10">
        <v>6695.51</v>
      </c>
      <c r="C10" s="112">
        <v>257.95</v>
      </c>
      <c r="D10" s="112">
        <v>2893.43</v>
      </c>
      <c r="E10" s="10"/>
      <c r="F10" s="10">
        <v>360.0</v>
      </c>
      <c r="G10" s="10">
        <v>1204.53</v>
      </c>
      <c r="H10" s="10">
        <v>931.04</v>
      </c>
      <c r="I10" s="10">
        <v>463.0</v>
      </c>
      <c r="J10" s="112">
        <v>438.33</v>
      </c>
      <c r="K10" s="10">
        <v>165.0</v>
      </c>
      <c r="L10" s="10">
        <v>345.0</v>
      </c>
      <c r="M10" s="141"/>
      <c r="N10" s="10">
        <v>168.0</v>
      </c>
      <c r="O10" s="112">
        <v>732.0</v>
      </c>
      <c r="P10" s="112">
        <v>55.5</v>
      </c>
      <c r="Q10" s="10"/>
      <c r="R10" s="10">
        <v>490.0</v>
      </c>
      <c r="S10" s="112">
        <v>114.1</v>
      </c>
      <c r="T10" s="112">
        <v>417.12</v>
      </c>
      <c r="U10" s="141"/>
      <c r="V10" s="10">
        <v>171.15</v>
      </c>
      <c r="W10" s="10">
        <v>171.03</v>
      </c>
      <c r="X10" s="10">
        <v>131.74</v>
      </c>
      <c r="Z10" s="129"/>
      <c r="AB10" s="106"/>
    </row>
    <row r="11">
      <c r="C11" s="79"/>
      <c r="D11" s="79"/>
      <c r="J11" s="79"/>
      <c r="O11" s="78"/>
      <c r="P11" s="79"/>
      <c r="S11" s="79"/>
      <c r="T11" s="79"/>
      <c r="Z11" s="129"/>
      <c r="AB11" s="106"/>
    </row>
    <row r="12">
      <c r="A12" s="10" t="s">
        <v>80</v>
      </c>
      <c r="B12" s="10">
        <f t="shared" ref="B12:X12" si="4">B10-sum(B2:B7)</f>
        <v>584.84</v>
      </c>
      <c r="C12" s="10">
        <f t="shared" si="4"/>
        <v>0</v>
      </c>
      <c r="D12" s="10">
        <f t="shared" si="4"/>
        <v>-5</v>
      </c>
      <c r="E12" s="10">
        <f t="shared" si="4"/>
        <v>0</v>
      </c>
      <c r="F12" s="10">
        <f t="shared" si="4"/>
        <v>0</v>
      </c>
      <c r="G12" s="10">
        <f t="shared" si="4"/>
        <v>-0.01</v>
      </c>
      <c r="H12" s="10">
        <f t="shared" si="4"/>
        <v>4.69</v>
      </c>
      <c r="I12" s="10">
        <f t="shared" si="4"/>
        <v>0</v>
      </c>
      <c r="J12" s="10">
        <f t="shared" si="4"/>
        <v>253.09</v>
      </c>
      <c r="K12" s="10">
        <f t="shared" si="4"/>
        <v>0</v>
      </c>
      <c r="L12" s="10">
        <f t="shared" si="4"/>
        <v>345</v>
      </c>
      <c r="M12" s="10">
        <f t="shared" si="4"/>
        <v>0</v>
      </c>
      <c r="N12" s="10">
        <f t="shared" si="4"/>
        <v>0</v>
      </c>
      <c r="O12" s="10">
        <f t="shared" si="4"/>
        <v>0</v>
      </c>
      <c r="P12" s="10">
        <f t="shared" si="4"/>
        <v>0</v>
      </c>
      <c r="Q12" s="10">
        <f t="shared" si="4"/>
        <v>-252</v>
      </c>
      <c r="R12" s="10">
        <f t="shared" si="4"/>
        <v>490</v>
      </c>
      <c r="S12" s="10">
        <f t="shared" si="4"/>
        <v>114.1</v>
      </c>
      <c r="T12" s="10">
        <f t="shared" si="4"/>
        <v>0</v>
      </c>
      <c r="U12" s="10">
        <f t="shared" si="4"/>
        <v>0</v>
      </c>
      <c r="V12" s="10">
        <f t="shared" si="4"/>
        <v>0</v>
      </c>
      <c r="W12" s="10">
        <f t="shared" si="4"/>
        <v>171.03</v>
      </c>
      <c r="X12" s="10">
        <f t="shared" si="4"/>
        <v>131.74</v>
      </c>
      <c r="Z12" s="129"/>
      <c r="AB12" s="106"/>
    </row>
    <row r="13">
      <c r="A13" s="164" t="s">
        <v>193</v>
      </c>
      <c r="B13" s="32"/>
      <c r="C13" s="32"/>
      <c r="D13" s="32"/>
      <c r="E13" s="138"/>
      <c r="M13" s="79"/>
      <c r="V13" s="79"/>
      <c r="W13" s="79"/>
      <c r="Z13" s="129"/>
      <c r="AB13" s="106"/>
    </row>
    <row r="14">
      <c r="A14" s="165" t="s">
        <v>194</v>
      </c>
      <c r="B14" s="166">
        <f>14.18+29.8+8.55+13.06+60.6+92.64+33.88+14.91+46.18+40.73+38.34+7.23+14.09+33.12+40.99+51.25+30.1+24.7+197.07+42.37</f>
        <v>833.79</v>
      </c>
      <c r="C14" s="166"/>
      <c r="D14" s="166">
        <f>119.6+110.8</f>
        <v>230.4</v>
      </c>
      <c r="E14" s="167"/>
      <c r="F14" s="168"/>
      <c r="G14" s="166"/>
      <c r="H14" s="166"/>
      <c r="I14" s="168"/>
      <c r="J14" s="168"/>
      <c r="K14" s="168"/>
      <c r="L14" s="168"/>
      <c r="M14" s="168"/>
      <c r="N14" s="168"/>
      <c r="O14" s="168"/>
      <c r="P14" s="1"/>
      <c r="Q14" s="1"/>
      <c r="R14" s="1"/>
      <c r="S14" s="1"/>
      <c r="T14" s="1"/>
      <c r="U14" s="1"/>
      <c r="V14" s="168"/>
      <c r="W14" s="168"/>
      <c r="X14" s="1"/>
      <c r="Y14" s="1"/>
      <c r="Z14" s="169"/>
      <c r="AA14" s="1"/>
      <c r="AB14" s="170"/>
    </row>
    <row r="15">
      <c r="A15" s="165" t="s">
        <v>195</v>
      </c>
      <c r="B15" s="93">
        <f>31.75+75.3+110+8.23+36.25+228+39.8+33.88+8.6+31.75+58.57+33.54+16.89+35.79+12.91+15.98+44.67+59.96+33.76+33.88+83.15+121.64+40.6</f>
        <v>1194.9</v>
      </c>
      <c r="C15" s="166">
        <v>133.8</v>
      </c>
      <c r="D15" s="166">
        <f>80.6+161.2+139.04+80.6</f>
        <v>461.44</v>
      </c>
      <c r="E15" s="166"/>
      <c r="F15" s="168"/>
      <c r="G15" s="166"/>
      <c r="H15" s="166">
        <f>119.68+133.04</f>
        <v>252.72</v>
      </c>
      <c r="I15" s="166">
        <v>190.0</v>
      </c>
      <c r="J15" s="168"/>
      <c r="K15" s="168"/>
      <c r="L15" s="168"/>
      <c r="M15" s="168"/>
      <c r="N15" s="166">
        <v>156.0</v>
      </c>
      <c r="O15" s="166"/>
      <c r="P15" s="1"/>
      <c r="Q15" s="1"/>
      <c r="R15" s="168"/>
      <c r="S15" s="168"/>
      <c r="T15" s="1"/>
      <c r="U15" s="96"/>
      <c r="V15" s="168"/>
      <c r="W15" s="168"/>
      <c r="X15" s="1"/>
      <c r="Y15" s="1"/>
      <c r="Z15" s="171"/>
      <c r="AA15" s="1"/>
      <c r="AB15" s="170"/>
    </row>
    <row r="16" hidden="1">
      <c r="A16" s="172" t="s">
        <v>196</v>
      </c>
      <c r="B16" s="93"/>
      <c r="C16" s="173"/>
      <c r="D16" s="173"/>
      <c r="E16" s="168"/>
      <c r="F16" s="166"/>
      <c r="G16" s="168"/>
      <c r="H16" s="168"/>
      <c r="I16" s="168"/>
      <c r="J16" s="168"/>
      <c r="K16" s="168"/>
      <c r="L16" s="168"/>
      <c r="M16" s="168"/>
      <c r="N16" s="168"/>
      <c r="O16" s="168"/>
      <c r="P16" s="1"/>
      <c r="Q16" s="1"/>
      <c r="R16" s="168"/>
      <c r="S16" s="168"/>
      <c r="T16" s="1"/>
      <c r="U16" s="1"/>
      <c r="V16" s="168"/>
      <c r="W16" s="168"/>
      <c r="X16" s="1"/>
      <c r="Y16" s="1"/>
      <c r="Z16" s="174"/>
      <c r="AA16" s="1"/>
      <c r="AB16" s="170"/>
    </row>
    <row r="17">
      <c r="A17" s="172" t="s">
        <v>207</v>
      </c>
      <c r="B17" s="93">
        <f>81.83+53.15+70.39</f>
        <v>205.37</v>
      </c>
      <c r="C17" s="168"/>
      <c r="D17" s="168"/>
      <c r="E17" s="168"/>
      <c r="F17" s="166"/>
      <c r="G17" s="168"/>
      <c r="H17" s="168"/>
      <c r="I17" s="168"/>
      <c r="J17" s="168"/>
      <c r="K17" s="168"/>
      <c r="L17" s="168"/>
      <c r="M17" s="168"/>
      <c r="N17" s="168"/>
      <c r="O17" s="168"/>
      <c r="P17" s="1"/>
      <c r="Q17" s="1"/>
      <c r="R17" s="168"/>
      <c r="S17" s="168"/>
      <c r="T17" s="1"/>
      <c r="U17" s="1"/>
      <c r="V17" s="168"/>
      <c r="W17" s="168"/>
      <c r="X17" s="1"/>
      <c r="Y17" s="1"/>
      <c r="Z17" s="174"/>
      <c r="AA17" s="1"/>
      <c r="AB17" s="170"/>
    </row>
    <row r="18">
      <c r="A18" s="165" t="s">
        <v>198</v>
      </c>
      <c r="B18" s="93">
        <f>312.48+245.6</f>
        <v>558.08</v>
      </c>
      <c r="C18" s="168"/>
      <c r="D18" s="168"/>
      <c r="E18" s="168"/>
      <c r="F18" s="166"/>
      <c r="G18" s="168"/>
      <c r="H18" s="168"/>
      <c r="I18" s="168"/>
      <c r="J18" s="168"/>
      <c r="K18" s="168"/>
      <c r="L18" s="168"/>
      <c r="M18" s="168"/>
      <c r="N18" s="166">
        <v>144.0</v>
      </c>
      <c r="O18" s="168"/>
      <c r="P18" s="1"/>
      <c r="Q18" s="1"/>
      <c r="R18" s="168"/>
      <c r="S18" s="168"/>
      <c r="T18" s="1"/>
      <c r="U18" s="96"/>
      <c r="V18" s="168"/>
      <c r="W18" s="168"/>
      <c r="X18" s="1"/>
      <c r="Y18" s="1"/>
      <c r="Z18" s="174"/>
      <c r="AA18" s="1"/>
      <c r="AB18" s="170"/>
    </row>
    <row r="19">
      <c r="A19" s="91"/>
      <c r="B19" s="92"/>
      <c r="C19" s="79"/>
      <c r="D19" s="79"/>
      <c r="E19" s="79"/>
      <c r="F19" s="78"/>
      <c r="G19" s="78"/>
      <c r="H19" s="78"/>
      <c r="M19" s="78"/>
      <c r="R19" s="79"/>
      <c r="S19" s="79"/>
      <c r="V19" s="79"/>
      <c r="W19" s="79"/>
      <c r="Z19" s="131"/>
      <c r="AB19" s="106"/>
    </row>
    <row r="20">
      <c r="A20" s="91"/>
      <c r="B20" s="92"/>
      <c r="C20" s="78"/>
      <c r="D20" s="78"/>
      <c r="E20" s="78"/>
      <c r="F20" s="78"/>
      <c r="J20" s="175"/>
      <c r="K20" s="175"/>
      <c r="L20" s="151"/>
      <c r="M20" s="78"/>
      <c r="R20" s="79"/>
      <c r="S20" s="79"/>
      <c r="V20" s="79"/>
      <c r="W20" s="79"/>
      <c r="Z20" s="131"/>
      <c r="AB20" s="106"/>
    </row>
    <row r="21">
      <c r="A21" s="4" t="s">
        <v>22</v>
      </c>
      <c r="B21" s="11">
        <v>13000.0</v>
      </c>
      <c r="C21" s="79"/>
      <c r="D21" s="79"/>
      <c r="E21" s="79"/>
      <c r="F21" s="78"/>
      <c r="G21" s="78"/>
      <c r="H21" s="78"/>
      <c r="M21" s="78"/>
      <c r="R21" s="79"/>
      <c r="S21" s="79"/>
      <c r="V21" s="79"/>
      <c r="W21" s="79"/>
      <c r="Z21" s="131"/>
      <c r="AB21" s="106"/>
    </row>
    <row r="22">
      <c r="A22" s="4" t="s">
        <v>23</v>
      </c>
      <c r="B22" s="12">
        <f>SUM(B2:X8)</f>
        <v>14366.95</v>
      </c>
      <c r="C22" s="79"/>
      <c r="D22" s="177"/>
      <c r="E22" s="79"/>
      <c r="G22" s="78"/>
      <c r="H22" s="78"/>
      <c r="J22" s="38"/>
      <c r="K22" s="38"/>
      <c r="M22" s="151"/>
      <c r="R22" s="79"/>
      <c r="S22" s="79"/>
      <c r="V22" s="79"/>
      <c r="W22" s="79"/>
      <c r="Z22" s="131"/>
      <c r="AB22" s="106"/>
    </row>
    <row r="23">
      <c r="A23" s="4" t="s">
        <v>24</v>
      </c>
      <c r="B23" s="12">
        <f> SUM(B21-B22)</f>
        <v>-1366.95</v>
      </c>
      <c r="C23" s="79"/>
      <c r="D23" s="79"/>
      <c r="E23" s="79"/>
      <c r="F23" s="78"/>
      <c r="G23" s="144"/>
      <c r="H23" s="144"/>
      <c r="I23" s="38"/>
      <c r="J23" s="175"/>
      <c r="K23" s="175"/>
      <c r="M23" s="78"/>
      <c r="R23" s="79"/>
      <c r="S23" s="79"/>
      <c r="V23" s="79"/>
      <c r="W23" s="79"/>
      <c r="Z23" s="131"/>
      <c r="AB23" s="106"/>
    </row>
    <row r="24">
      <c r="C24" s="79"/>
      <c r="D24" s="79"/>
      <c r="E24" s="79"/>
      <c r="G24" s="78"/>
      <c r="H24" s="78"/>
      <c r="J24" s="38"/>
      <c r="K24" s="38"/>
      <c r="M24" s="78"/>
      <c r="R24" s="79"/>
      <c r="S24" s="79"/>
      <c r="V24" s="79"/>
      <c r="W24" s="79"/>
      <c r="Z24" s="131"/>
      <c r="AB24" s="106"/>
    </row>
    <row r="25">
      <c r="A25" s="13" t="s">
        <v>25</v>
      </c>
      <c r="B25" s="14">
        <f>SUM(Z2:Z8)</f>
        <v>62411.44</v>
      </c>
      <c r="C25" s="79"/>
      <c r="D25" s="79"/>
      <c r="E25" s="79"/>
      <c r="F25" s="78"/>
      <c r="G25" s="78"/>
      <c r="H25" s="78"/>
      <c r="M25" s="78"/>
      <c r="R25" s="79"/>
      <c r="S25" s="79"/>
      <c r="V25" s="79"/>
      <c r="W25" s="79"/>
      <c r="Z25" s="181"/>
      <c r="AB25" s="106"/>
    </row>
    <row r="26">
      <c r="A26" s="13" t="s">
        <v>26</v>
      </c>
      <c r="B26" s="15">
        <f>B22/B25</f>
        <v>0.2301973805</v>
      </c>
      <c r="C26" s="79"/>
      <c r="D26" s="79"/>
      <c r="E26" s="79"/>
      <c r="M26" s="151"/>
      <c r="R26" s="79"/>
      <c r="S26" s="79"/>
      <c r="V26" s="79"/>
      <c r="W26" s="79"/>
      <c r="Z26" s="130"/>
      <c r="AB26" s="106"/>
    </row>
    <row r="27">
      <c r="C27" s="79"/>
      <c r="D27" s="79"/>
      <c r="E27" s="79"/>
      <c r="M27" s="151"/>
      <c r="R27" s="79"/>
      <c r="S27" s="79"/>
      <c r="V27" s="79"/>
      <c r="W27" s="79"/>
      <c r="Z27" s="182"/>
      <c r="AB27" s="106"/>
    </row>
    <row r="28">
      <c r="C28" s="79"/>
      <c r="D28" s="79"/>
      <c r="E28" s="79"/>
      <c r="M28" s="78"/>
      <c r="R28" s="79"/>
      <c r="S28" s="79"/>
      <c r="V28" s="79"/>
      <c r="W28" s="79"/>
      <c r="Z28" s="130"/>
      <c r="AB28" s="106"/>
    </row>
    <row r="29">
      <c r="A29" s="16" t="s">
        <v>27</v>
      </c>
      <c r="B29" s="17"/>
      <c r="C29" s="114"/>
      <c r="D29" s="114"/>
      <c r="E29" s="115"/>
      <c r="J29" s="84"/>
      <c r="K29" s="84"/>
      <c r="L29" s="84"/>
      <c r="M29" s="84"/>
      <c r="R29" s="79"/>
      <c r="S29" s="79"/>
      <c r="V29" s="79"/>
      <c r="W29" s="79"/>
      <c r="Z29" s="130"/>
      <c r="AB29" s="106"/>
    </row>
    <row r="30">
      <c r="A30" s="19" t="s">
        <v>28</v>
      </c>
      <c r="B30" s="20"/>
      <c r="C30" s="116"/>
      <c r="D30" s="116"/>
      <c r="E30" s="117"/>
      <c r="J30" s="85"/>
      <c r="K30" s="85"/>
      <c r="L30" s="85"/>
      <c r="M30" s="118"/>
      <c r="R30" s="79"/>
      <c r="S30" s="79"/>
      <c r="V30" s="79"/>
      <c r="W30" s="79"/>
      <c r="Z30" s="130"/>
      <c r="AB30" s="106"/>
    </row>
    <row r="31">
      <c r="A31" s="183" t="s">
        <v>29</v>
      </c>
      <c r="B31" s="184" t="s">
        <v>30</v>
      </c>
      <c r="C31" s="185"/>
      <c r="D31" s="185" t="s">
        <v>170</v>
      </c>
      <c r="E31" s="186" t="s">
        <v>171</v>
      </c>
      <c r="J31" s="86"/>
      <c r="K31" s="86"/>
      <c r="L31" s="85"/>
      <c r="M31" s="118"/>
      <c r="R31" s="79"/>
      <c r="S31" s="79"/>
      <c r="V31" s="79"/>
      <c r="W31" s="79"/>
      <c r="Z31" s="130"/>
      <c r="AB31" s="106"/>
    </row>
    <row r="32">
      <c r="A32" s="96" t="s">
        <v>111</v>
      </c>
      <c r="B32" s="93">
        <v>387.0</v>
      </c>
      <c r="C32" s="168"/>
      <c r="D32" s="168"/>
      <c r="E32" s="166" t="s">
        <v>208</v>
      </c>
      <c r="L32" s="89"/>
      <c r="M32" s="125"/>
      <c r="R32" s="79"/>
      <c r="S32" s="79"/>
      <c r="V32" s="79"/>
      <c r="W32" s="79"/>
      <c r="Z32" s="130"/>
      <c r="AB32" s="106"/>
    </row>
    <row r="33">
      <c r="A33" s="96" t="s">
        <v>209</v>
      </c>
      <c r="B33" s="5">
        <v>590.17</v>
      </c>
      <c r="C33" s="168"/>
      <c r="D33" s="168"/>
      <c r="E33" s="166" t="s">
        <v>210</v>
      </c>
      <c r="M33" s="79"/>
      <c r="R33" s="79"/>
      <c r="S33" s="79"/>
      <c r="V33" s="79"/>
      <c r="W33" s="79"/>
      <c r="Z33" s="130"/>
      <c r="AB33" s="106"/>
    </row>
    <row r="34">
      <c r="A34" s="96" t="s">
        <v>211</v>
      </c>
      <c r="B34" s="5">
        <v>567.6</v>
      </c>
      <c r="C34" s="168"/>
      <c r="D34" s="168"/>
      <c r="E34" s="166" t="s">
        <v>210</v>
      </c>
      <c r="M34" s="79"/>
      <c r="R34" s="79"/>
      <c r="S34" s="79"/>
      <c r="V34" s="79"/>
      <c r="W34" s="79"/>
      <c r="Z34" s="130"/>
      <c r="AB34" s="106"/>
    </row>
    <row r="35">
      <c r="C35" s="79"/>
      <c r="D35" s="79"/>
      <c r="E35" s="79"/>
      <c r="M35" s="79"/>
      <c r="R35" s="79"/>
      <c r="S35" s="79"/>
      <c r="V35" s="79"/>
      <c r="W35" s="79"/>
      <c r="Z35" s="130"/>
      <c r="AB35" s="106"/>
    </row>
    <row r="36">
      <c r="C36" s="79"/>
      <c r="D36" s="79"/>
      <c r="E36" s="79"/>
      <c r="M36" s="79"/>
      <c r="R36" s="79"/>
      <c r="S36" s="79"/>
      <c r="V36" s="79"/>
      <c r="W36" s="79"/>
      <c r="Z36" s="130"/>
      <c r="AB36" s="106"/>
    </row>
    <row r="37">
      <c r="C37" s="79"/>
      <c r="D37" s="79"/>
      <c r="E37" s="79"/>
      <c r="M37" s="79"/>
      <c r="R37" s="79"/>
      <c r="S37" s="79"/>
      <c r="V37" s="79"/>
      <c r="W37" s="79"/>
      <c r="Z37" s="130"/>
      <c r="AB37" s="106"/>
    </row>
    <row r="38">
      <c r="C38" s="79"/>
      <c r="D38" s="79"/>
      <c r="E38" s="79"/>
      <c r="M38" s="79"/>
      <c r="R38" s="79"/>
      <c r="S38" s="79"/>
      <c r="V38" s="79"/>
      <c r="W38" s="79"/>
      <c r="Z38" s="130"/>
      <c r="AB38" s="106"/>
    </row>
    <row r="39">
      <c r="C39" s="79"/>
      <c r="D39" s="79"/>
      <c r="E39" s="79"/>
      <c r="M39" s="79"/>
      <c r="R39" s="79"/>
      <c r="S39" s="79"/>
      <c r="V39" s="79"/>
      <c r="W39" s="79"/>
      <c r="Z39" s="130"/>
      <c r="AB39" s="106"/>
    </row>
    <row r="40">
      <c r="C40" s="79"/>
      <c r="D40" s="79"/>
      <c r="E40" s="79"/>
      <c r="M40" s="79"/>
      <c r="R40" s="79"/>
      <c r="S40" s="79"/>
      <c r="V40" s="79"/>
      <c r="W40" s="79"/>
      <c r="Z40" s="130"/>
      <c r="AB40" s="106"/>
    </row>
    <row r="41">
      <c r="C41" s="79"/>
      <c r="D41" s="79"/>
      <c r="E41" s="79"/>
      <c r="M41" s="79"/>
      <c r="R41" s="79"/>
      <c r="S41" s="79"/>
      <c r="V41" s="79"/>
      <c r="W41" s="79"/>
      <c r="Z41" s="130"/>
      <c r="AB41" s="106"/>
    </row>
    <row r="42">
      <c r="C42" s="79"/>
      <c r="D42" s="79"/>
      <c r="E42" s="79"/>
      <c r="M42" s="79"/>
      <c r="R42" s="79"/>
      <c r="S42" s="79"/>
      <c r="V42" s="79"/>
      <c r="W42" s="79"/>
      <c r="Z42" s="130"/>
      <c r="AB42" s="106"/>
    </row>
    <row r="43">
      <c r="C43" s="79"/>
      <c r="D43" s="79"/>
      <c r="E43" s="79"/>
      <c r="M43" s="79"/>
      <c r="R43" s="79"/>
      <c r="S43" s="79"/>
      <c r="V43" s="79"/>
      <c r="W43" s="79"/>
      <c r="Z43" s="130"/>
      <c r="AB43" s="106"/>
    </row>
    <row r="44">
      <c r="C44" s="79"/>
      <c r="D44" s="79"/>
      <c r="E44" s="79"/>
      <c r="M44" s="79"/>
      <c r="R44" s="79"/>
      <c r="S44" s="79"/>
      <c r="V44" s="79"/>
      <c r="W44" s="79"/>
      <c r="Z44" s="130"/>
      <c r="AB44" s="106"/>
    </row>
    <row r="45">
      <c r="C45" s="79"/>
      <c r="D45" s="79"/>
      <c r="E45" s="79"/>
      <c r="M45" s="79"/>
      <c r="R45" s="79"/>
      <c r="S45" s="79"/>
      <c r="V45" s="79"/>
      <c r="W45" s="79"/>
      <c r="Z45" s="130"/>
      <c r="AB45" s="106"/>
    </row>
    <row r="46">
      <c r="C46" s="79"/>
      <c r="D46" s="79"/>
      <c r="E46" s="79"/>
      <c r="M46" s="79"/>
      <c r="R46" s="79"/>
      <c r="S46" s="79"/>
      <c r="V46" s="79"/>
      <c r="W46" s="79"/>
      <c r="Z46" s="130"/>
      <c r="AB46" s="106"/>
    </row>
    <row r="47">
      <c r="C47" s="79"/>
      <c r="D47" s="79"/>
      <c r="E47" s="79"/>
      <c r="M47" s="79"/>
      <c r="R47" s="79"/>
      <c r="S47" s="79"/>
      <c r="V47" s="79"/>
      <c r="W47" s="79"/>
      <c r="Z47" s="130"/>
      <c r="AB47" s="106"/>
    </row>
    <row r="48">
      <c r="C48" s="79"/>
      <c r="D48" s="79"/>
      <c r="E48" s="79"/>
      <c r="M48" s="79"/>
      <c r="R48" s="79"/>
      <c r="S48" s="79"/>
      <c r="V48" s="79"/>
      <c r="W48" s="79"/>
      <c r="Z48" s="130"/>
      <c r="AB48" s="106"/>
    </row>
    <row r="49">
      <c r="C49" s="79"/>
      <c r="D49" s="79"/>
      <c r="E49" s="79"/>
      <c r="M49" s="79"/>
      <c r="R49" s="79"/>
      <c r="S49" s="79"/>
      <c r="V49" s="79"/>
      <c r="W49" s="79"/>
      <c r="Z49" s="130"/>
      <c r="AB49" s="106"/>
    </row>
    <row r="50">
      <c r="C50" s="79"/>
      <c r="D50" s="79"/>
      <c r="E50" s="79"/>
      <c r="M50" s="79"/>
      <c r="R50" s="79"/>
      <c r="S50" s="79"/>
      <c r="V50" s="79"/>
      <c r="W50" s="79"/>
      <c r="Z50" s="130"/>
      <c r="AB50" s="106"/>
    </row>
    <row r="51">
      <c r="C51" s="79"/>
      <c r="D51" s="79"/>
      <c r="E51" s="79"/>
      <c r="M51" s="79"/>
      <c r="R51" s="79"/>
      <c r="S51" s="79"/>
      <c r="V51" s="79"/>
      <c r="W51" s="79"/>
      <c r="Z51" s="130"/>
      <c r="AB51" s="106"/>
    </row>
    <row r="52">
      <c r="C52" s="79"/>
      <c r="D52" s="79"/>
      <c r="E52" s="79"/>
      <c r="M52" s="79"/>
      <c r="R52" s="79"/>
      <c r="S52" s="79"/>
      <c r="V52" s="79"/>
      <c r="W52" s="79"/>
      <c r="Z52" s="130"/>
      <c r="AB52" s="106"/>
    </row>
    <row r="53">
      <c r="C53" s="79"/>
      <c r="D53" s="79"/>
      <c r="E53" s="79"/>
      <c r="M53" s="79"/>
      <c r="R53" s="79"/>
      <c r="S53" s="79"/>
      <c r="V53" s="79"/>
      <c r="W53" s="79"/>
      <c r="Z53" s="130"/>
      <c r="AB53" s="106"/>
    </row>
    <row r="54">
      <c r="C54" s="79"/>
      <c r="D54" s="79"/>
      <c r="E54" s="79"/>
      <c r="M54" s="79"/>
      <c r="R54" s="79"/>
      <c r="S54" s="79"/>
      <c r="V54" s="79"/>
      <c r="W54" s="79"/>
      <c r="Z54" s="130"/>
      <c r="AB54" s="106"/>
    </row>
    <row r="55">
      <c r="C55" s="79"/>
      <c r="D55" s="79"/>
      <c r="E55" s="79"/>
      <c r="M55" s="79"/>
      <c r="R55" s="79"/>
      <c r="S55" s="79"/>
      <c r="V55" s="79"/>
      <c r="W55" s="79"/>
      <c r="Z55" s="130"/>
      <c r="AB55" s="106"/>
    </row>
    <row r="56">
      <c r="C56" s="79"/>
      <c r="D56" s="79"/>
      <c r="E56" s="79"/>
      <c r="M56" s="79"/>
      <c r="R56" s="79"/>
      <c r="S56" s="79"/>
      <c r="V56" s="79"/>
      <c r="W56" s="79"/>
      <c r="Z56" s="130"/>
      <c r="AB56" s="106"/>
    </row>
    <row r="57">
      <c r="C57" s="79"/>
      <c r="D57" s="79"/>
      <c r="E57" s="79"/>
      <c r="M57" s="79"/>
      <c r="R57" s="79"/>
      <c r="S57" s="79"/>
      <c r="V57" s="79"/>
      <c r="W57" s="79"/>
      <c r="Z57" s="130"/>
      <c r="AB57" s="106"/>
    </row>
    <row r="58">
      <c r="C58" s="79"/>
      <c r="D58" s="79"/>
      <c r="E58" s="79"/>
      <c r="M58" s="79"/>
      <c r="R58" s="79"/>
      <c r="S58" s="79"/>
      <c r="V58" s="79"/>
      <c r="W58" s="79"/>
      <c r="Z58" s="130"/>
      <c r="AB58" s="106"/>
    </row>
    <row r="59">
      <c r="C59" s="79"/>
      <c r="D59" s="79"/>
      <c r="E59" s="79"/>
      <c r="M59" s="79"/>
      <c r="R59" s="79"/>
      <c r="S59" s="79"/>
      <c r="V59" s="79"/>
      <c r="W59" s="79"/>
      <c r="Z59" s="130"/>
      <c r="AB59" s="106"/>
    </row>
    <row r="60">
      <c r="C60" s="79"/>
      <c r="D60" s="79"/>
      <c r="E60" s="79"/>
      <c r="M60" s="79"/>
      <c r="R60" s="79"/>
      <c r="S60" s="79"/>
      <c r="V60" s="79"/>
      <c r="W60" s="79"/>
      <c r="Z60" s="130"/>
      <c r="AB60" s="106"/>
    </row>
    <row r="61">
      <c r="C61" s="79"/>
      <c r="D61" s="79"/>
      <c r="E61" s="79"/>
      <c r="M61" s="79"/>
      <c r="R61" s="79"/>
      <c r="S61" s="79"/>
      <c r="V61" s="79"/>
      <c r="W61" s="79"/>
      <c r="Z61" s="130"/>
      <c r="AB61" s="106"/>
    </row>
    <row r="62">
      <c r="C62" s="79"/>
      <c r="D62" s="79"/>
      <c r="E62" s="79"/>
      <c r="M62" s="79"/>
      <c r="R62" s="79"/>
      <c r="S62" s="79"/>
      <c r="V62" s="79"/>
      <c r="W62" s="79"/>
      <c r="Z62" s="130"/>
      <c r="AB62" s="106"/>
    </row>
    <row r="63">
      <c r="C63" s="79"/>
      <c r="D63" s="79"/>
      <c r="E63" s="79"/>
      <c r="M63" s="79"/>
      <c r="R63" s="79"/>
      <c r="S63" s="79"/>
      <c r="V63" s="79"/>
      <c r="W63" s="79"/>
      <c r="Z63" s="130"/>
      <c r="AB63" s="106"/>
    </row>
    <row r="64">
      <c r="C64" s="79"/>
      <c r="D64" s="79"/>
      <c r="E64" s="79"/>
      <c r="M64" s="79"/>
      <c r="R64" s="79"/>
      <c r="S64" s="79"/>
      <c r="V64" s="79"/>
      <c r="W64" s="79"/>
      <c r="Z64" s="130"/>
      <c r="AB64" s="106"/>
    </row>
    <row r="65">
      <c r="C65" s="79"/>
      <c r="D65" s="79"/>
      <c r="E65" s="79"/>
      <c r="M65" s="79"/>
      <c r="R65" s="79"/>
      <c r="S65" s="79"/>
      <c r="V65" s="79"/>
      <c r="W65" s="79"/>
      <c r="Z65" s="130"/>
      <c r="AB65" s="106"/>
    </row>
    <row r="66">
      <c r="C66" s="79"/>
      <c r="D66" s="79"/>
      <c r="E66" s="79"/>
      <c r="M66" s="79"/>
      <c r="R66" s="79"/>
      <c r="S66" s="79"/>
      <c r="V66" s="79"/>
      <c r="W66" s="79"/>
      <c r="Z66" s="130"/>
      <c r="AB66" s="106"/>
    </row>
    <row r="67">
      <c r="C67" s="79"/>
      <c r="D67" s="79"/>
      <c r="E67" s="79"/>
      <c r="M67" s="79"/>
      <c r="R67" s="79"/>
      <c r="S67" s="79"/>
      <c r="V67" s="79"/>
      <c r="W67" s="79"/>
      <c r="Z67" s="130"/>
      <c r="AB67" s="106"/>
    </row>
    <row r="68">
      <c r="C68" s="79"/>
      <c r="D68" s="79"/>
      <c r="E68" s="79"/>
      <c r="M68" s="79"/>
      <c r="R68" s="79"/>
      <c r="S68" s="79"/>
      <c r="V68" s="79"/>
      <c r="W68" s="79"/>
      <c r="Z68" s="130"/>
      <c r="AB68" s="106"/>
    </row>
    <row r="69">
      <c r="C69" s="79"/>
      <c r="D69" s="79"/>
      <c r="E69" s="79"/>
      <c r="M69" s="79"/>
      <c r="R69" s="79"/>
      <c r="S69" s="79"/>
      <c r="V69" s="79"/>
      <c r="W69" s="79"/>
      <c r="Z69" s="130"/>
      <c r="AB69" s="106"/>
    </row>
    <row r="70">
      <c r="C70" s="79"/>
      <c r="D70" s="79"/>
      <c r="E70" s="79"/>
      <c r="M70" s="79"/>
      <c r="R70" s="79"/>
      <c r="S70" s="79"/>
      <c r="V70" s="79"/>
      <c r="W70" s="79"/>
      <c r="Z70" s="130"/>
      <c r="AB70" s="106"/>
    </row>
    <row r="71">
      <c r="C71" s="79"/>
      <c r="D71" s="79"/>
      <c r="E71" s="79"/>
      <c r="M71" s="79"/>
      <c r="R71" s="79"/>
      <c r="S71" s="79"/>
      <c r="V71" s="79"/>
      <c r="W71" s="79"/>
      <c r="Z71" s="130"/>
      <c r="AB71" s="106"/>
    </row>
    <row r="72">
      <c r="C72" s="79"/>
      <c r="D72" s="79"/>
      <c r="E72" s="79"/>
      <c r="M72" s="79"/>
      <c r="R72" s="79"/>
      <c r="S72" s="79"/>
      <c r="V72" s="79"/>
      <c r="W72" s="79"/>
      <c r="Z72" s="130"/>
      <c r="AB72" s="106"/>
    </row>
    <row r="73">
      <c r="C73" s="79"/>
      <c r="D73" s="79"/>
      <c r="E73" s="79"/>
      <c r="M73" s="79"/>
      <c r="R73" s="79"/>
      <c r="S73" s="79"/>
      <c r="V73" s="79"/>
      <c r="W73" s="79"/>
      <c r="Z73" s="130"/>
      <c r="AB73" s="106"/>
    </row>
    <row r="74">
      <c r="C74" s="79"/>
      <c r="D74" s="79"/>
      <c r="E74" s="79"/>
      <c r="M74" s="79"/>
      <c r="R74" s="79"/>
      <c r="S74" s="79"/>
      <c r="V74" s="79"/>
      <c r="W74" s="79"/>
      <c r="Z74" s="130"/>
      <c r="AB74" s="106"/>
    </row>
    <row r="75">
      <c r="C75" s="79"/>
      <c r="D75" s="79"/>
      <c r="E75" s="79"/>
      <c r="M75" s="79"/>
      <c r="R75" s="79"/>
      <c r="S75" s="79"/>
      <c r="V75" s="79"/>
      <c r="W75" s="79"/>
      <c r="Z75" s="130"/>
      <c r="AB75" s="106"/>
    </row>
    <row r="76">
      <c r="C76" s="79"/>
      <c r="D76" s="79"/>
      <c r="E76" s="79"/>
      <c r="M76" s="79"/>
      <c r="R76" s="79"/>
      <c r="S76" s="79"/>
      <c r="V76" s="79"/>
      <c r="W76" s="79"/>
      <c r="Z76" s="130"/>
      <c r="AB76" s="106"/>
    </row>
    <row r="77">
      <c r="C77" s="79"/>
      <c r="D77" s="79"/>
      <c r="E77" s="79"/>
      <c r="M77" s="79"/>
      <c r="R77" s="79"/>
      <c r="S77" s="79"/>
      <c r="V77" s="79"/>
      <c r="W77" s="79"/>
      <c r="Z77" s="130"/>
      <c r="AB77" s="106"/>
    </row>
    <row r="78">
      <c r="C78" s="79"/>
      <c r="D78" s="79"/>
      <c r="E78" s="79"/>
      <c r="M78" s="79"/>
      <c r="R78" s="79"/>
      <c r="S78" s="79"/>
      <c r="V78" s="79"/>
      <c r="W78" s="79"/>
      <c r="Z78" s="130"/>
      <c r="AB78" s="106"/>
    </row>
    <row r="79">
      <c r="C79" s="79"/>
      <c r="D79" s="79"/>
      <c r="E79" s="79"/>
      <c r="M79" s="79"/>
      <c r="R79" s="79"/>
      <c r="S79" s="79"/>
      <c r="V79" s="79"/>
      <c r="W79" s="79"/>
      <c r="Z79" s="130"/>
      <c r="AB79" s="106"/>
    </row>
    <row r="80">
      <c r="C80" s="79"/>
      <c r="D80" s="79"/>
      <c r="E80" s="79"/>
      <c r="M80" s="79"/>
      <c r="R80" s="79"/>
      <c r="S80" s="79"/>
      <c r="V80" s="79"/>
      <c r="W80" s="79"/>
      <c r="Z80" s="130"/>
      <c r="AB80" s="106"/>
    </row>
    <row r="81">
      <c r="C81" s="79"/>
      <c r="D81" s="79"/>
      <c r="E81" s="79"/>
      <c r="M81" s="79"/>
      <c r="R81" s="79"/>
      <c r="S81" s="79"/>
      <c r="V81" s="79"/>
      <c r="W81" s="79"/>
      <c r="Z81" s="130"/>
      <c r="AB81" s="106"/>
    </row>
    <row r="82">
      <c r="C82" s="79"/>
      <c r="D82" s="79"/>
      <c r="E82" s="79"/>
      <c r="M82" s="79"/>
      <c r="R82" s="79"/>
      <c r="S82" s="79"/>
      <c r="V82" s="79"/>
      <c r="W82" s="79"/>
      <c r="Z82" s="130"/>
      <c r="AB82" s="106"/>
    </row>
    <row r="83">
      <c r="C83" s="79"/>
      <c r="D83" s="79"/>
      <c r="E83" s="79"/>
      <c r="M83" s="79"/>
      <c r="R83" s="79"/>
      <c r="S83" s="79"/>
      <c r="V83" s="79"/>
      <c r="W83" s="79"/>
      <c r="Z83" s="130"/>
      <c r="AB83" s="106"/>
    </row>
    <row r="84">
      <c r="C84" s="79"/>
      <c r="D84" s="79"/>
      <c r="E84" s="79"/>
      <c r="M84" s="79"/>
      <c r="R84" s="79"/>
      <c r="S84" s="79"/>
      <c r="V84" s="79"/>
      <c r="W84" s="79"/>
      <c r="Z84" s="130"/>
      <c r="AB84" s="106"/>
    </row>
    <row r="85">
      <c r="C85" s="79"/>
      <c r="D85" s="79"/>
      <c r="E85" s="79"/>
      <c r="M85" s="79"/>
      <c r="R85" s="79"/>
      <c r="S85" s="79"/>
      <c r="V85" s="79"/>
      <c r="W85" s="79"/>
      <c r="Z85" s="130"/>
      <c r="AB85" s="106"/>
    </row>
    <row r="86">
      <c r="C86" s="79"/>
      <c r="D86" s="79"/>
      <c r="E86" s="79"/>
      <c r="M86" s="79"/>
      <c r="R86" s="79"/>
      <c r="S86" s="79"/>
      <c r="V86" s="79"/>
      <c r="W86" s="79"/>
      <c r="Z86" s="130"/>
      <c r="AB86" s="106"/>
    </row>
    <row r="87">
      <c r="C87" s="79"/>
      <c r="D87" s="79"/>
      <c r="E87" s="79"/>
      <c r="M87" s="79"/>
      <c r="R87" s="79"/>
      <c r="S87" s="79"/>
      <c r="V87" s="79"/>
      <c r="W87" s="79"/>
      <c r="Z87" s="130"/>
      <c r="AB87" s="106"/>
    </row>
    <row r="88">
      <c r="C88" s="79"/>
      <c r="D88" s="79"/>
      <c r="E88" s="79"/>
      <c r="M88" s="79"/>
      <c r="R88" s="79"/>
      <c r="S88" s="79"/>
      <c r="V88" s="79"/>
      <c r="W88" s="79"/>
      <c r="Z88" s="130"/>
      <c r="AB88" s="106"/>
    </row>
    <row r="89">
      <c r="C89" s="79"/>
      <c r="D89" s="79"/>
      <c r="E89" s="79"/>
      <c r="M89" s="79"/>
      <c r="R89" s="79"/>
      <c r="S89" s="79"/>
      <c r="V89" s="79"/>
      <c r="W89" s="79"/>
      <c r="Z89" s="130"/>
      <c r="AB89" s="106"/>
    </row>
    <row r="90">
      <c r="C90" s="79"/>
      <c r="D90" s="79"/>
      <c r="E90" s="79"/>
      <c r="M90" s="79"/>
      <c r="R90" s="79"/>
      <c r="S90" s="79"/>
      <c r="V90" s="79"/>
      <c r="W90" s="79"/>
      <c r="Z90" s="130"/>
      <c r="AB90" s="106"/>
    </row>
    <row r="91">
      <c r="C91" s="79"/>
      <c r="D91" s="79"/>
      <c r="E91" s="79"/>
      <c r="M91" s="79"/>
      <c r="R91" s="79"/>
      <c r="S91" s="79"/>
      <c r="V91" s="79"/>
      <c r="W91" s="79"/>
      <c r="Z91" s="130"/>
      <c r="AB91" s="106"/>
    </row>
    <row r="92">
      <c r="C92" s="79"/>
      <c r="D92" s="79"/>
      <c r="E92" s="79"/>
      <c r="M92" s="79"/>
      <c r="R92" s="79"/>
      <c r="S92" s="79"/>
      <c r="V92" s="79"/>
      <c r="W92" s="79"/>
      <c r="Z92" s="130"/>
      <c r="AB92" s="106"/>
    </row>
    <row r="93">
      <c r="C93" s="79"/>
      <c r="D93" s="79"/>
      <c r="E93" s="79"/>
      <c r="M93" s="79"/>
      <c r="R93" s="79"/>
      <c r="S93" s="79"/>
      <c r="V93" s="79"/>
      <c r="W93" s="79"/>
      <c r="Z93" s="130"/>
      <c r="AB93" s="106"/>
    </row>
    <row r="94">
      <c r="C94" s="79"/>
      <c r="D94" s="79"/>
      <c r="E94" s="79"/>
      <c r="M94" s="79"/>
      <c r="R94" s="79"/>
      <c r="S94" s="79"/>
      <c r="V94" s="79"/>
      <c r="W94" s="79"/>
      <c r="Z94" s="130"/>
      <c r="AB94" s="106"/>
    </row>
    <row r="95">
      <c r="C95" s="79"/>
      <c r="D95" s="79"/>
      <c r="E95" s="79"/>
      <c r="M95" s="79"/>
      <c r="R95" s="79"/>
      <c r="S95" s="79"/>
      <c r="V95" s="79"/>
      <c r="W95" s="79"/>
      <c r="Z95" s="130"/>
      <c r="AB95" s="106"/>
    </row>
    <row r="96">
      <c r="C96" s="79"/>
      <c r="D96" s="79"/>
      <c r="E96" s="79"/>
      <c r="M96" s="79"/>
      <c r="R96" s="79"/>
      <c r="S96" s="79"/>
      <c r="V96" s="79"/>
      <c r="W96" s="79"/>
      <c r="Z96" s="130"/>
      <c r="AB96" s="106"/>
    </row>
    <row r="97">
      <c r="C97" s="79"/>
      <c r="D97" s="79"/>
      <c r="E97" s="79"/>
      <c r="M97" s="79"/>
      <c r="R97" s="79"/>
      <c r="S97" s="79"/>
      <c r="V97" s="79"/>
      <c r="W97" s="79"/>
      <c r="Z97" s="130"/>
      <c r="AB97" s="106"/>
    </row>
    <row r="98">
      <c r="C98" s="79"/>
      <c r="D98" s="79"/>
      <c r="E98" s="79"/>
      <c r="M98" s="79"/>
      <c r="R98" s="79"/>
      <c r="S98" s="79"/>
      <c r="V98" s="79"/>
      <c r="W98" s="79"/>
      <c r="Z98" s="130"/>
      <c r="AB98" s="106"/>
    </row>
    <row r="99">
      <c r="C99" s="79"/>
      <c r="D99" s="79"/>
      <c r="E99" s="79"/>
      <c r="M99" s="79"/>
      <c r="R99" s="79"/>
      <c r="S99" s="79"/>
      <c r="V99" s="79"/>
      <c r="W99" s="79"/>
      <c r="Z99" s="130"/>
      <c r="AB99" s="106"/>
    </row>
    <row r="100">
      <c r="C100" s="79"/>
      <c r="D100" s="79"/>
      <c r="E100" s="79"/>
      <c r="M100" s="79"/>
      <c r="R100" s="79"/>
      <c r="S100" s="79"/>
      <c r="V100" s="79"/>
      <c r="W100" s="79"/>
      <c r="Z100" s="130"/>
      <c r="AB100" s="106"/>
    </row>
    <row r="101">
      <c r="C101" s="79"/>
      <c r="D101" s="79"/>
      <c r="E101" s="79"/>
      <c r="M101" s="79"/>
      <c r="R101" s="79"/>
      <c r="S101" s="79"/>
      <c r="V101" s="79"/>
      <c r="W101" s="79"/>
      <c r="Z101" s="130"/>
      <c r="AB101" s="106"/>
    </row>
    <row r="102">
      <c r="C102" s="79"/>
      <c r="D102" s="79"/>
      <c r="E102" s="79"/>
      <c r="M102" s="79"/>
      <c r="R102" s="79"/>
      <c r="S102" s="79"/>
      <c r="V102" s="79"/>
      <c r="W102" s="79"/>
      <c r="Z102" s="130"/>
      <c r="AB102" s="106"/>
    </row>
    <row r="103">
      <c r="C103" s="79"/>
      <c r="D103" s="79"/>
      <c r="E103" s="79"/>
      <c r="M103" s="79"/>
      <c r="R103" s="79"/>
      <c r="S103" s="79"/>
      <c r="V103" s="79"/>
      <c r="W103" s="79"/>
      <c r="Z103" s="130"/>
      <c r="AB103" s="106"/>
    </row>
    <row r="104">
      <c r="C104" s="79"/>
      <c r="D104" s="79"/>
      <c r="E104" s="79"/>
      <c r="M104" s="79"/>
      <c r="R104" s="79"/>
      <c r="S104" s="79"/>
      <c r="V104" s="79"/>
      <c r="W104" s="79"/>
      <c r="Z104" s="130"/>
      <c r="AB104" s="106"/>
    </row>
    <row r="105">
      <c r="C105" s="79"/>
      <c r="D105" s="79"/>
      <c r="E105" s="79"/>
      <c r="M105" s="79"/>
      <c r="R105" s="79"/>
      <c r="S105" s="79"/>
      <c r="V105" s="79"/>
      <c r="W105" s="79"/>
      <c r="Z105" s="130"/>
      <c r="AB105" s="106"/>
    </row>
    <row r="106">
      <c r="C106" s="79"/>
      <c r="D106" s="79"/>
      <c r="E106" s="79"/>
      <c r="M106" s="79"/>
      <c r="R106" s="79"/>
      <c r="S106" s="79"/>
      <c r="V106" s="79"/>
      <c r="W106" s="79"/>
      <c r="Z106" s="130"/>
      <c r="AB106" s="106"/>
    </row>
    <row r="107">
      <c r="C107" s="79"/>
      <c r="D107" s="79"/>
      <c r="E107" s="79"/>
      <c r="M107" s="79"/>
      <c r="R107" s="79"/>
      <c r="S107" s="79"/>
      <c r="V107" s="79"/>
      <c r="W107" s="79"/>
      <c r="Z107" s="130"/>
      <c r="AB107" s="106"/>
    </row>
    <row r="108">
      <c r="C108" s="79"/>
      <c r="D108" s="79"/>
      <c r="E108" s="79"/>
      <c r="M108" s="79"/>
      <c r="R108" s="79"/>
      <c r="S108" s="79"/>
      <c r="V108" s="79"/>
      <c r="W108" s="79"/>
      <c r="Z108" s="130"/>
      <c r="AB108" s="106"/>
    </row>
    <row r="109">
      <c r="C109" s="79"/>
      <c r="D109" s="79"/>
      <c r="E109" s="79"/>
      <c r="M109" s="79"/>
      <c r="R109" s="79"/>
      <c r="S109" s="79"/>
      <c r="V109" s="79"/>
      <c r="W109" s="79"/>
      <c r="Z109" s="130"/>
      <c r="AB109" s="106"/>
    </row>
    <row r="110">
      <c r="C110" s="79"/>
      <c r="D110" s="79"/>
      <c r="E110" s="79"/>
      <c r="M110" s="79"/>
      <c r="R110" s="79"/>
      <c r="S110" s="79"/>
      <c r="V110" s="79"/>
      <c r="W110" s="79"/>
      <c r="Z110" s="130"/>
      <c r="AB110" s="106"/>
    </row>
    <row r="111">
      <c r="C111" s="79"/>
      <c r="D111" s="79"/>
      <c r="E111" s="79"/>
      <c r="M111" s="79"/>
      <c r="R111" s="79"/>
      <c r="S111" s="79"/>
      <c r="V111" s="79"/>
      <c r="W111" s="79"/>
      <c r="Z111" s="130"/>
      <c r="AB111" s="106"/>
    </row>
    <row r="112">
      <c r="C112" s="79"/>
      <c r="D112" s="79"/>
      <c r="E112" s="79"/>
      <c r="M112" s="79"/>
      <c r="R112" s="79"/>
      <c r="S112" s="79"/>
      <c r="V112" s="79"/>
      <c r="W112" s="79"/>
      <c r="Z112" s="130"/>
      <c r="AB112" s="106"/>
    </row>
    <row r="113">
      <c r="C113" s="79"/>
      <c r="D113" s="79"/>
      <c r="E113" s="79"/>
      <c r="M113" s="79"/>
      <c r="R113" s="79"/>
      <c r="S113" s="79"/>
      <c r="V113" s="79"/>
      <c r="W113" s="79"/>
      <c r="Z113" s="130"/>
      <c r="AB113" s="106"/>
    </row>
    <row r="114">
      <c r="C114" s="79"/>
      <c r="D114" s="79"/>
      <c r="E114" s="79"/>
      <c r="M114" s="79"/>
      <c r="R114" s="79"/>
      <c r="S114" s="79"/>
      <c r="V114" s="79"/>
      <c r="W114" s="79"/>
      <c r="Z114" s="130"/>
      <c r="AB114" s="106"/>
    </row>
    <row r="115">
      <c r="C115" s="79"/>
      <c r="D115" s="79"/>
      <c r="E115" s="79"/>
      <c r="M115" s="79"/>
      <c r="R115" s="79"/>
      <c r="S115" s="79"/>
      <c r="V115" s="79"/>
      <c r="W115" s="79"/>
      <c r="Z115" s="130"/>
      <c r="AB115" s="106"/>
    </row>
    <row r="116">
      <c r="C116" s="79"/>
      <c r="D116" s="79"/>
      <c r="E116" s="79"/>
      <c r="M116" s="79"/>
      <c r="R116" s="79"/>
      <c r="S116" s="79"/>
      <c r="V116" s="79"/>
      <c r="W116" s="79"/>
      <c r="Z116" s="130"/>
      <c r="AB116" s="106"/>
    </row>
    <row r="117">
      <c r="C117" s="79"/>
      <c r="D117" s="79"/>
      <c r="E117" s="79"/>
      <c r="M117" s="79"/>
      <c r="R117" s="79"/>
      <c r="S117" s="79"/>
      <c r="V117" s="79"/>
      <c r="W117" s="79"/>
      <c r="Z117" s="130"/>
      <c r="AB117" s="106"/>
    </row>
    <row r="118">
      <c r="C118" s="79"/>
      <c r="D118" s="79"/>
      <c r="E118" s="79"/>
      <c r="M118" s="79"/>
      <c r="R118" s="79"/>
      <c r="S118" s="79"/>
      <c r="V118" s="79"/>
      <c r="W118" s="79"/>
      <c r="Z118" s="130"/>
      <c r="AB118" s="106"/>
    </row>
    <row r="119">
      <c r="C119" s="79"/>
      <c r="D119" s="79"/>
      <c r="E119" s="79"/>
      <c r="M119" s="79"/>
      <c r="R119" s="79"/>
      <c r="S119" s="79"/>
      <c r="V119" s="79"/>
      <c r="W119" s="79"/>
      <c r="Z119" s="130"/>
      <c r="AB119" s="106"/>
    </row>
    <row r="120">
      <c r="C120" s="79"/>
      <c r="D120" s="79"/>
      <c r="E120" s="79"/>
      <c r="M120" s="79"/>
      <c r="R120" s="79"/>
      <c r="S120" s="79"/>
      <c r="V120" s="79"/>
      <c r="W120" s="79"/>
      <c r="Z120" s="130"/>
      <c r="AB120" s="106"/>
    </row>
    <row r="121">
      <c r="C121" s="79"/>
      <c r="D121" s="79"/>
      <c r="E121" s="79"/>
      <c r="M121" s="79"/>
      <c r="R121" s="79"/>
      <c r="S121" s="79"/>
      <c r="V121" s="79"/>
      <c r="W121" s="79"/>
      <c r="Z121" s="130"/>
      <c r="AB121" s="106"/>
    </row>
    <row r="122">
      <c r="C122" s="79"/>
      <c r="D122" s="79"/>
      <c r="E122" s="79"/>
      <c r="M122" s="79"/>
      <c r="R122" s="79"/>
      <c r="S122" s="79"/>
      <c r="V122" s="79"/>
      <c r="W122" s="79"/>
      <c r="Z122" s="130"/>
      <c r="AB122" s="106"/>
    </row>
    <row r="123">
      <c r="C123" s="79"/>
      <c r="D123" s="79"/>
      <c r="E123" s="79"/>
      <c r="M123" s="79"/>
      <c r="R123" s="79"/>
      <c r="S123" s="79"/>
      <c r="V123" s="79"/>
      <c r="W123" s="79"/>
      <c r="Z123" s="130"/>
      <c r="AB123" s="106"/>
    </row>
    <row r="124">
      <c r="C124" s="79"/>
      <c r="D124" s="79"/>
      <c r="E124" s="79"/>
      <c r="M124" s="79"/>
      <c r="R124" s="79"/>
      <c r="S124" s="79"/>
      <c r="V124" s="79"/>
      <c r="W124" s="79"/>
      <c r="Z124" s="130"/>
      <c r="AB124" s="106"/>
    </row>
    <row r="125">
      <c r="C125" s="79"/>
      <c r="D125" s="79"/>
      <c r="E125" s="79"/>
      <c r="M125" s="79"/>
      <c r="R125" s="79"/>
      <c r="S125" s="79"/>
      <c r="V125" s="79"/>
      <c r="W125" s="79"/>
      <c r="Z125" s="130"/>
      <c r="AB125" s="106"/>
    </row>
    <row r="126">
      <c r="C126" s="79"/>
      <c r="D126" s="79"/>
      <c r="E126" s="79"/>
      <c r="M126" s="79"/>
      <c r="R126" s="79"/>
      <c r="S126" s="79"/>
      <c r="V126" s="79"/>
      <c r="W126" s="79"/>
      <c r="Z126" s="130"/>
      <c r="AB126" s="106"/>
    </row>
    <row r="127">
      <c r="C127" s="79"/>
      <c r="D127" s="79"/>
      <c r="E127" s="79"/>
      <c r="M127" s="79"/>
      <c r="R127" s="79"/>
      <c r="S127" s="79"/>
      <c r="V127" s="79"/>
      <c r="W127" s="79"/>
      <c r="Z127" s="130"/>
      <c r="AB127" s="106"/>
    </row>
    <row r="128">
      <c r="C128" s="79"/>
      <c r="D128" s="79"/>
      <c r="E128" s="79"/>
      <c r="M128" s="79"/>
      <c r="R128" s="79"/>
      <c r="S128" s="79"/>
      <c r="V128" s="79"/>
      <c r="W128" s="79"/>
      <c r="Z128" s="130"/>
      <c r="AB128" s="106"/>
    </row>
    <row r="129">
      <c r="C129" s="79"/>
      <c r="D129" s="79"/>
      <c r="E129" s="79"/>
      <c r="M129" s="79"/>
      <c r="R129" s="79"/>
      <c r="S129" s="79"/>
      <c r="V129" s="79"/>
      <c r="W129" s="79"/>
      <c r="Z129" s="130"/>
      <c r="AB129" s="106"/>
    </row>
    <row r="130">
      <c r="C130" s="79"/>
      <c r="D130" s="79"/>
      <c r="E130" s="79"/>
      <c r="M130" s="79"/>
      <c r="R130" s="79"/>
      <c r="S130" s="79"/>
      <c r="V130" s="79"/>
      <c r="W130" s="79"/>
      <c r="Z130" s="130"/>
      <c r="AB130" s="106"/>
    </row>
    <row r="131">
      <c r="C131" s="79"/>
      <c r="D131" s="79"/>
      <c r="E131" s="79"/>
      <c r="M131" s="79"/>
      <c r="R131" s="79"/>
      <c r="S131" s="79"/>
      <c r="V131" s="79"/>
      <c r="W131" s="79"/>
      <c r="Z131" s="130"/>
      <c r="AB131" s="106"/>
    </row>
    <row r="132">
      <c r="C132" s="79"/>
      <c r="D132" s="79"/>
      <c r="E132" s="79"/>
      <c r="M132" s="79"/>
      <c r="R132" s="79"/>
      <c r="S132" s="79"/>
      <c r="V132" s="79"/>
      <c r="W132" s="79"/>
      <c r="Z132" s="130"/>
      <c r="AB132" s="106"/>
    </row>
    <row r="133">
      <c r="C133" s="79"/>
      <c r="D133" s="79"/>
      <c r="E133" s="79"/>
      <c r="M133" s="79"/>
      <c r="R133" s="79"/>
      <c r="S133" s="79"/>
      <c r="V133" s="79"/>
      <c r="W133" s="79"/>
      <c r="Z133" s="130"/>
      <c r="AB133" s="106"/>
    </row>
    <row r="134">
      <c r="C134" s="79"/>
      <c r="D134" s="79"/>
      <c r="E134" s="79"/>
      <c r="M134" s="79"/>
      <c r="R134" s="79"/>
      <c r="S134" s="79"/>
      <c r="V134" s="79"/>
      <c r="W134" s="79"/>
      <c r="Z134" s="130"/>
      <c r="AB134" s="106"/>
    </row>
    <row r="135">
      <c r="C135" s="79"/>
      <c r="D135" s="79"/>
      <c r="E135" s="79"/>
      <c r="M135" s="79"/>
      <c r="R135" s="79"/>
      <c r="S135" s="79"/>
      <c r="V135" s="79"/>
      <c r="W135" s="79"/>
      <c r="Z135" s="130"/>
      <c r="AB135" s="106"/>
    </row>
    <row r="136">
      <c r="C136" s="79"/>
      <c r="D136" s="79"/>
      <c r="E136" s="79"/>
      <c r="M136" s="79"/>
      <c r="R136" s="79"/>
      <c r="S136" s="79"/>
      <c r="V136" s="79"/>
      <c r="W136" s="79"/>
      <c r="Z136" s="130"/>
      <c r="AB136" s="106"/>
    </row>
    <row r="137">
      <c r="C137" s="79"/>
      <c r="D137" s="79"/>
      <c r="E137" s="79"/>
      <c r="M137" s="79"/>
      <c r="R137" s="79"/>
      <c r="S137" s="79"/>
      <c r="V137" s="79"/>
      <c r="W137" s="79"/>
      <c r="Z137" s="130"/>
      <c r="AB137" s="106"/>
    </row>
    <row r="138">
      <c r="C138" s="79"/>
      <c r="D138" s="79"/>
      <c r="E138" s="79"/>
      <c r="M138" s="79"/>
      <c r="R138" s="79"/>
      <c r="S138" s="79"/>
      <c r="V138" s="79"/>
      <c r="W138" s="79"/>
      <c r="Z138" s="130"/>
      <c r="AB138" s="106"/>
    </row>
    <row r="139">
      <c r="C139" s="79"/>
      <c r="D139" s="79"/>
      <c r="E139" s="79"/>
      <c r="M139" s="79"/>
      <c r="R139" s="79"/>
      <c r="S139" s="79"/>
      <c r="V139" s="79"/>
      <c r="W139" s="79"/>
      <c r="Z139" s="130"/>
      <c r="AB139" s="106"/>
    </row>
    <row r="140">
      <c r="C140" s="79"/>
      <c r="D140" s="79"/>
      <c r="E140" s="79"/>
      <c r="M140" s="79"/>
      <c r="R140" s="79"/>
      <c r="S140" s="79"/>
      <c r="V140" s="79"/>
      <c r="W140" s="79"/>
      <c r="Z140" s="130"/>
      <c r="AB140" s="106"/>
    </row>
    <row r="141">
      <c r="C141" s="79"/>
      <c r="D141" s="79"/>
      <c r="E141" s="79"/>
      <c r="M141" s="79"/>
      <c r="R141" s="79"/>
      <c r="S141" s="79"/>
      <c r="V141" s="79"/>
      <c r="W141" s="79"/>
      <c r="Z141" s="130"/>
      <c r="AB141" s="106"/>
    </row>
    <row r="142">
      <c r="C142" s="79"/>
      <c r="D142" s="79"/>
      <c r="E142" s="79"/>
      <c r="M142" s="79"/>
      <c r="R142" s="79"/>
      <c r="S142" s="79"/>
      <c r="V142" s="79"/>
      <c r="W142" s="79"/>
      <c r="Z142" s="130"/>
      <c r="AB142" s="106"/>
    </row>
    <row r="143">
      <c r="C143" s="79"/>
      <c r="D143" s="79"/>
      <c r="E143" s="79"/>
      <c r="M143" s="79"/>
      <c r="R143" s="79"/>
      <c r="S143" s="79"/>
      <c r="V143" s="79"/>
      <c r="W143" s="79"/>
      <c r="Z143" s="130"/>
      <c r="AB143" s="106"/>
    </row>
    <row r="144">
      <c r="C144" s="79"/>
      <c r="D144" s="79"/>
      <c r="E144" s="79"/>
      <c r="M144" s="79"/>
      <c r="R144" s="79"/>
      <c r="S144" s="79"/>
      <c r="V144" s="79"/>
      <c r="W144" s="79"/>
      <c r="Z144" s="130"/>
      <c r="AB144" s="106"/>
    </row>
    <row r="145">
      <c r="C145" s="79"/>
      <c r="D145" s="79"/>
      <c r="E145" s="79"/>
      <c r="M145" s="79"/>
      <c r="R145" s="79"/>
      <c r="S145" s="79"/>
      <c r="V145" s="79"/>
      <c r="W145" s="79"/>
      <c r="Z145" s="130"/>
      <c r="AB145" s="106"/>
    </row>
    <row r="146">
      <c r="C146" s="79"/>
      <c r="D146" s="79"/>
      <c r="E146" s="79"/>
      <c r="M146" s="79"/>
      <c r="R146" s="79"/>
      <c r="S146" s="79"/>
      <c r="V146" s="79"/>
      <c r="W146" s="79"/>
      <c r="Z146" s="130"/>
      <c r="AB146" s="106"/>
    </row>
    <row r="147">
      <c r="C147" s="79"/>
      <c r="D147" s="79"/>
      <c r="E147" s="79"/>
      <c r="M147" s="79"/>
      <c r="R147" s="79"/>
      <c r="S147" s="79"/>
      <c r="V147" s="79"/>
      <c r="W147" s="79"/>
      <c r="Z147" s="130"/>
      <c r="AB147" s="106"/>
    </row>
    <row r="148">
      <c r="C148" s="79"/>
      <c r="D148" s="79"/>
      <c r="E148" s="79"/>
      <c r="M148" s="79"/>
      <c r="R148" s="79"/>
      <c r="S148" s="79"/>
      <c r="V148" s="79"/>
      <c r="W148" s="79"/>
      <c r="Z148" s="130"/>
      <c r="AB148" s="106"/>
    </row>
    <row r="149">
      <c r="C149" s="79"/>
      <c r="D149" s="79"/>
      <c r="E149" s="79"/>
      <c r="M149" s="79"/>
      <c r="R149" s="79"/>
      <c r="S149" s="79"/>
      <c r="V149" s="79"/>
      <c r="W149" s="79"/>
      <c r="Z149" s="130"/>
      <c r="AB149" s="106"/>
    </row>
    <row r="150">
      <c r="C150" s="79"/>
      <c r="D150" s="79"/>
      <c r="E150" s="79"/>
      <c r="M150" s="79"/>
      <c r="R150" s="79"/>
      <c r="S150" s="79"/>
      <c r="V150" s="79"/>
      <c r="W150" s="79"/>
      <c r="Z150" s="130"/>
      <c r="AB150" s="106"/>
    </row>
    <row r="151">
      <c r="C151" s="79"/>
      <c r="D151" s="79"/>
      <c r="E151" s="79"/>
      <c r="M151" s="79"/>
      <c r="R151" s="79"/>
      <c r="S151" s="79"/>
      <c r="V151" s="79"/>
      <c r="W151" s="79"/>
      <c r="Z151" s="130"/>
      <c r="AB151" s="106"/>
    </row>
    <row r="152">
      <c r="C152" s="79"/>
      <c r="D152" s="79"/>
      <c r="E152" s="79"/>
      <c r="M152" s="79"/>
      <c r="R152" s="79"/>
      <c r="S152" s="79"/>
      <c r="V152" s="79"/>
      <c r="W152" s="79"/>
      <c r="Z152" s="130"/>
      <c r="AB152" s="106"/>
    </row>
    <row r="153">
      <c r="C153" s="79"/>
      <c r="D153" s="79"/>
      <c r="E153" s="79"/>
      <c r="M153" s="79"/>
      <c r="R153" s="79"/>
      <c r="S153" s="79"/>
      <c r="V153" s="79"/>
      <c r="W153" s="79"/>
      <c r="Z153" s="130"/>
      <c r="AB153" s="106"/>
    </row>
    <row r="154">
      <c r="C154" s="79"/>
      <c r="D154" s="79"/>
      <c r="E154" s="79"/>
      <c r="M154" s="79"/>
      <c r="R154" s="79"/>
      <c r="S154" s="79"/>
      <c r="V154" s="79"/>
      <c r="W154" s="79"/>
      <c r="Z154" s="130"/>
      <c r="AB154" s="106"/>
    </row>
    <row r="155">
      <c r="C155" s="79"/>
      <c r="D155" s="79"/>
      <c r="E155" s="79"/>
      <c r="M155" s="79"/>
      <c r="R155" s="79"/>
      <c r="S155" s="79"/>
      <c r="V155" s="79"/>
      <c r="W155" s="79"/>
      <c r="Z155" s="130"/>
      <c r="AB155" s="106"/>
    </row>
    <row r="156">
      <c r="C156" s="79"/>
      <c r="D156" s="79"/>
      <c r="E156" s="79"/>
      <c r="M156" s="79"/>
      <c r="R156" s="79"/>
      <c r="S156" s="79"/>
      <c r="V156" s="79"/>
      <c r="W156" s="79"/>
      <c r="Z156" s="130"/>
      <c r="AB156" s="106"/>
    </row>
    <row r="157">
      <c r="C157" s="79"/>
      <c r="D157" s="79"/>
      <c r="E157" s="79"/>
      <c r="M157" s="79"/>
      <c r="R157" s="79"/>
      <c r="S157" s="79"/>
      <c r="V157" s="79"/>
      <c r="W157" s="79"/>
      <c r="Z157" s="130"/>
      <c r="AB157" s="106"/>
    </row>
    <row r="158">
      <c r="C158" s="79"/>
      <c r="D158" s="79"/>
      <c r="E158" s="79"/>
      <c r="M158" s="79"/>
      <c r="R158" s="79"/>
      <c r="S158" s="79"/>
      <c r="V158" s="79"/>
      <c r="W158" s="79"/>
      <c r="Z158" s="130"/>
      <c r="AB158" s="106"/>
    </row>
    <row r="159">
      <c r="C159" s="79"/>
      <c r="D159" s="79"/>
      <c r="E159" s="79"/>
      <c r="M159" s="79"/>
      <c r="R159" s="79"/>
      <c r="S159" s="79"/>
      <c r="V159" s="79"/>
      <c r="W159" s="79"/>
      <c r="Z159" s="130"/>
      <c r="AB159" s="106"/>
    </row>
    <row r="160">
      <c r="C160" s="79"/>
      <c r="D160" s="79"/>
      <c r="E160" s="79"/>
      <c r="M160" s="79"/>
      <c r="R160" s="79"/>
      <c r="S160" s="79"/>
      <c r="V160" s="79"/>
      <c r="W160" s="79"/>
      <c r="Z160" s="130"/>
      <c r="AB160" s="106"/>
    </row>
    <row r="161">
      <c r="C161" s="79"/>
      <c r="D161" s="79"/>
      <c r="E161" s="79"/>
      <c r="M161" s="79"/>
      <c r="R161" s="79"/>
      <c r="S161" s="79"/>
      <c r="V161" s="79"/>
      <c r="W161" s="79"/>
      <c r="Z161" s="130"/>
      <c r="AB161" s="106"/>
    </row>
    <row r="162">
      <c r="C162" s="79"/>
      <c r="D162" s="79"/>
      <c r="E162" s="79"/>
      <c r="M162" s="79"/>
      <c r="R162" s="79"/>
      <c r="S162" s="79"/>
      <c r="V162" s="79"/>
      <c r="W162" s="79"/>
      <c r="Z162" s="130"/>
      <c r="AB162" s="106"/>
    </row>
    <row r="163">
      <c r="C163" s="79"/>
      <c r="D163" s="79"/>
      <c r="E163" s="79"/>
      <c r="M163" s="79"/>
      <c r="R163" s="79"/>
      <c r="S163" s="79"/>
      <c r="V163" s="79"/>
      <c r="W163" s="79"/>
      <c r="Z163" s="130"/>
      <c r="AB163" s="106"/>
    </row>
    <row r="164">
      <c r="C164" s="79"/>
      <c r="D164" s="79"/>
      <c r="E164" s="79"/>
      <c r="M164" s="79"/>
      <c r="R164" s="79"/>
      <c r="S164" s="79"/>
      <c r="V164" s="79"/>
      <c r="W164" s="79"/>
      <c r="Z164" s="130"/>
      <c r="AB164" s="106"/>
    </row>
    <row r="165">
      <c r="C165" s="79"/>
      <c r="D165" s="79"/>
      <c r="E165" s="79"/>
      <c r="M165" s="79"/>
      <c r="R165" s="79"/>
      <c r="S165" s="79"/>
      <c r="V165" s="79"/>
      <c r="W165" s="79"/>
      <c r="Z165" s="130"/>
      <c r="AB165" s="106"/>
    </row>
    <row r="166">
      <c r="C166" s="79"/>
      <c r="D166" s="79"/>
      <c r="E166" s="79"/>
      <c r="M166" s="79"/>
      <c r="R166" s="79"/>
      <c r="S166" s="79"/>
      <c r="V166" s="79"/>
      <c r="W166" s="79"/>
      <c r="Z166" s="130"/>
      <c r="AB166" s="106"/>
    </row>
    <row r="167">
      <c r="C167" s="79"/>
      <c r="D167" s="79"/>
      <c r="E167" s="79"/>
      <c r="M167" s="79"/>
      <c r="R167" s="79"/>
      <c r="S167" s="79"/>
      <c r="V167" s="79"/>
      <c r="W167" s="79"/>
      <c r="Z167" s="130"/>
      <c r="AB167" s="106"/>
    </row>
    <row r="168">
      <c r="C168" s="79"/>
      <c r="D168" s="79"/>
      <c r="E168" s="79"/>
      <c r="M168" s="79"/>
      <c r="R168" s="79"/>
      <c r="S168" s="79"/>
      <c r="V168" s="79"/>
      <c r="W168" s="79"/>
      <c r="Z168" s="130"/>
      <c r="AB168" s="106"/>
    </row>
    <row r="169">
      <c r="C169" s="79"/>
      <c r="D169" s="79"/>
      <c r="E169" s="79"/>
      <c r="M169" s="79"/>
      <c r="R169" s="79"/>
      <c r="S169" s="79"/>
      <c r="V169" s="79"/>
      <c r="W169" s="79"/>
      <c r="Z169" s="130"/>
      <c r="AB169" s="106"/>
    </row>
    <row r="170">
      <c r="C170" s="79"/>
      <c r="D170" s="79"/>
      <c r="E170" s="79"/>
      <c r="M170" s="79"/>
      <c r="R170" s="79"/>
      <c r="S170" s="79"/>
      <c r="V170" s="79"/>
      <c r="W170" s="79"/>
      <c r="Z170" s="130"/>
      <c r="AB170" s="106"/>
    </row>
    <row r="171">
      <c r="C171" s="79"/>
      <c r="D171" s="79"/>
      <c r="E171" s="79"/>
      <c r="M171" s="79"/>
      <c r="R171" s="79"/>
      <c r="S171" s="79"/>
      <c r="V171" s="79"/>
      <c r="W171" s="79"/>
      <c r="Z171" s="130"/>
      <c r="AB171" s="106"/>
    </row>
    <row r="172">
      <c r="C172" s="79"/>
      <c r="D172" s="79"/>
      <c r="E172" s="79"/>
      <c r="M172" s="79"/>
      <c r="R172" s="79"/>
      <c r="S172" s="79"/>
      <c r="V172" s="79"/>
      <c r="W172" s="79"/>
      <c r="Z172" s="130"/>
      <c r="AB172" s="106"/>
    </row>
    <row r="173">
      <c r="C173" s="79"/>
      <c r="D173" s="79"/>
      <c r="E173" s="79"/>
      <c r="M173" s="79"/>
      <c r="R173" s="79"/>
      <c r="S173" s="79"/>
      <c r="V173" s="79"/>
      <c r="W173" s="79"/>
      <c r="Z173" s="130"/>
      <c r="AB173" s="106"/>
    </row>
    <row r="174">
      <c r="C174" s="79"/>
      <c r="D174" s="79"/>
      <c r="E174" s="79"/>
      <c r="M174" s="79"/>
      <c r="R174" s="79"/>
      <c r="S174" s="79"/>
      <c r="V174" s="79"/>
      <c r="W174" s="79"/>
      <c r="Z174" s="130"/>
      <c r="AB174" s="106"/>
    </row>
    <row r="175">
      <c r="C175" s="79"/>
      <c r="D175" s="79"/>
      <c r="E175" s="79"/>
      <c r="M175" s="79"/>
      <c r="R175" s="79"/>
      <c r="S175" s="79"/>
      <c r="V175" s="79"/>
      <c r="W175" s="79"/>
      <c r="Z175" s="130"/>
      <c r="AB175" s="106"/>
    </row>
    <row r="176">
      <c r="C176" s="79"/>
      <c r="D176" s="79"/>
      <c r="E176" s="79"/>
      <c r="M176" s="79"/>
      <c r="R176" s="79"/>
      <c r="S176" s="79"/>
      <c r="V176" s="79"/>
      <c r="W176" s="79"/>
      <c r="Z176" s="130"/>
      <c r="AB176" s="106"/>
    </row>
    <row r="177">
      <c r="C177" s="79"/>
      <c r="D177" s="79"/>
      <c r="E177" s="79"/>
      <c r="M177" s="79"/>
      <c r="R177" s="79"/>
      <c r="S177" s="79"/>
      <c r="V177" s="79"/>
      <c r="W177" s="79"/>
      <c r="Z177" s="130"/>
      <c r="AB177" s="106"/>
    </row>
    <row r="178">
      <c r="C178" s="79"/>
      <c r="D178" s="79"/>
      <c r="E178" s="79"/>
      <c r="M178" s="79"/>
      <c r="R178" s="79"/>
      <c r="S178" s="79"/>
      <c r="V178" s="79"/>
      <c r="W178" s="79"/>
      <c r="Z178" s="130"/>
      <c r="AB178" s="106"/>
    </row>
    <row r="179">
      <c r="C179" s="79"/>
      <c r="D179" s="79"/>
      <c r="E179" s="79"/>
      <c r="M179" s="79"/>
      <c r="R179" s="79"/>
      <c r="S179" s="79"/>
      <c r="V179" s="79"/>
      <c r="W179" s="79"/>
      <c r="Z179" s="130"/>
      <c r="AB179" s="106"/>
    </row>
    <row r="180">
      <c r="C180" s="79"/>
      <c r="D180" s="79"/>
      <c r="E180" s="79"/>
      <c r="M180" s="79"/>
      <c r="R180" s="79"/>
      <c r="S180" s="79"/>
      <c r="V180" s="79"/>
      <c r="W180" s="79"/>
      <c r="Z180" s="130"/>
      <c r="AB180" s="106"/>
    </row>
    <row r="181">
      <c r="C181" s="79"/>
      <c r="D181" s="79"/>
      <c r="E181" s="79"/>
      <c r="M181" s="79"/>
      <c r="R181" s="79"/>
      <c r="S181" s="79"/>
      <c r="V181" s="79"/>
      <c r="W181" s="79"/>
      <c r="Z181" s="130"/>
      <c r="AB181" s="106"/>
    </row>
    <row r="182">
      <c r="C182" s="79"/>
      <c r="D182" s="79"/>
      <c r="E182" s="79"/>
      <c r="M182" s="79"/>
      <c r="R182" s="79"/>
      <c r="S182" s="79"/>
      <c r="V182" s="79"/>
      <c r="W182" s="79"/>
      <c r="Z182" s="130"/>
      <c r="AB182" s="106"/>
    </row>
    <row r="183">
      <c r="C183" s="79"/>
      <c r="D183" s="79"/>
      <c r="E183" s="79"/>
      <c r="M183" s="79"/>
      <c r="R183" s="79"/>
      <c r="S183" s="79"/>
      <c r="V183" s="79"/>
      <c r="W183" s="79"/>
      <c r="Z183" s="130"/>
      <c r="AB183" s="106"/>
    </row>
    <row r="184">
      <c r="C184" s="79"/>
      <c r="D184" s="79"/>
      <c r="E184" s="79"/>
      <c r="M184" s="79"/>
      <c r="R184" s="79"/>
      <c r="S184" s="79"/>
      <c r="V184" s="79"/>
      <c r="W184" s="79"/>
      <c r="Z184" s="130"/>
      <c r="AB184" s="106"/>
    </row>
    <row r="185">
      <c r="C185" s="79"/>
      <c r="D185" s="79"/>
      <c r="E185" s="79"/>
      <c r="M185" s="79"/>
      <c r="R185" s="79"/>
      <c r="S185" s="79"/>
      <c r="V185" s="79"/>
      <c r="W185" s="79"/>
      <c r="Z185" s="130"/>
      <c r="AB185" s="106"/>
    </row>
    <row r="186">
      <c r="C186" s="79"/>
      <c r="D186" s="79"/>
      <c r="E186" s="79"/>
      <c r="M186" s="79"/>
      <c r="R186" s="79"/>
      <c r="S186" s="79"/>
      <c r="V186" s="79"/>
      <c r="W186" s="79"/>
      <c r="Z186" s="130"/>
      <c r="AB186" s="106"/>
    </row>
    <row r="187">
      <c r="C187" s="79"/>
      <c r="D187" s="79"/>
      <c r="E187" s="79"/>
      <c r="M187" s="79"/>
      <c r="R187" s="79"/>
      <c r="S187" s="79"/>
      <c r="V187" s="79"/>
      <c r="W187" s="79"/>
      <c r="Z187" s="130"/>
      <c r="AB187" s="106"/>
    </row>
    <row r="188">
      <c r="C188" s="79"/>
      <c r="D188" s="79"/>
      <c r="E188" s="79"/>
      <c r="M188" s="79"/>
      <c r="R188" s="79"/>
      <c r="S188" s="79"/>
      <c r="V188" s="79"/>
      <c r="W188" s="79"/>
      <c r="Z188" s="130"/>
      <c r="AB188" s="106"/>
    </row>
    <row r="189">
      <c r="C189" s="79"/>
      <c r="D189" s="79"/>
      <c r="E189" s="79"/>
      <c r="M189" s="79"/>
      <c r="R189" s="79"/>
      <c r="S189" s="79"/>
      <c r="V189" s="79"/>
      <c r="W189" s="79"/>
      <c r="Z189" s="130"/>
      <c r="AB189" s="106"/>
    </row>
    <row r="190">
      <c r="C190" s="79"/>
      <c r="D190" s="79"/>
      <c r="E190" s="79"/>
      <c r="M190" s="79"/>
      <c r="R190" s="79"/>
      <c r="S190" s="79"/>
      <c r="V190" s="79"/>
      <c r="W190" s="79"/>
      <c r="Z190" s="130"/>
      <c r="AB190" s="106"/>
    </row>
    <row r="191">
      <c r="C191" s="79"/>
      <c r="D191" s="79"/>
      <c r="E191" s="79"/>
      <c r="M191" s="79"/>
      <c r="R191" s="79"/>
      <c r="S191" s="79"/>
      <c r="V191" s="79"/>
      <c r="W191" s="79"/>
      <c r="Z191" s="130"/>
      <c r="AB191" s="106"/>
    </row>
    <row r="192">
      <c r="C192" s="79"/>
      <c r="D192" s="79"/>
      <c r="E192" s="79"/>
      <c r="M192" s="79"/>
      <c r="R192" s="79"/>
      <c r="S192" s="79"/>
      <c r="V192" s="79"/>
      <c r="W192" s="79"/>
      <c r="Z192" s="130"/>
      <c r="AB192" s="106"/>
    </row>
    <row r="193">
      <c r="C193" s="79"/>
      <c r="D193" s="79"/>
      <c r="E193" s="79"/>
      <c r="M193" s="79"/>
      <c r="R193" s="79"/>
      <c r="S193" s="79"/>
      <c r="V193" s="79"/>
      <c r="W193" s="79"/>
      <c r="Z193" s="130"/>
      <c r="AB193" s="106"/>
    </row>
    <row r="194">
      <c r="C194" s="79"/>
      <c r="D194" s="79"/>
      <c r="E194" s="79"/>
      <c r="M194" s="79"/>
      <c r="R194" s="79"/>
      <c r="S194" s="79"/>
      <c r="V194" s="79"/>
      <c r="W194" s="79"/>
      <c r="Z194" s="130"/>
      <c r="AB194" s="106"/>
    </row>
    <row r="195">
      <c r="C195" s="79"/>
      <c r="D195" s="79"/>
      <c r="E195" s="79"/>
      <c r="M195" s="79"/>
      <c r="R195" s="79"/>
      <c r="S195" s="79"/>
      <c r="V195" s="79"/>
      <c r="W195" s="79"/>
      <c r="Z195" s="130"/>
      <c r="AB195" s="106"/>
    </row>
    <row r="196">
      <c r="C196" s="79"/>
      <c r="D196" s="79"/>
      <c r="E196" s="79"/>
      <c r="M196" s="79"/>
      <c r="R196" s="79"/>
      <c r="S196" s="79"/>
      <c r="V196" s="79"/>
      <c r="W196" s="79"/>
      <c r="Z196" s="130"/>
      <c r="AB196" s="106"/>
    </row>
    <row r="197">
      <c r="C197" s="79"/>
      <c r="D197" s="79"/>
      <c r="E197" s="79"/>
      <c r="M197" s="79"/>
      <c r="R197" s="79"/>
      <c r="S197" s="79"/>
      <c r="V197" s="79"/>
      <c r="W197" s="79"/>
      <c r="Z197" s="130"/>
      <c r="AB197" s="106"/>
    </row>
    <row r="198">
      <c r="C198" s="79"/>
      <c r="D198" s="79"/>
      <c r="E198" s="79"/>
      <c r="M198" s="79"/>
      <c r="R198" s="79"/>
      <c r="S198" s="79"/>
      <c r="V198" s="79"/>
      <c r="W198" s="79"/>
      <c r="Z198" s="130"/>
      <c r="AB198" s="106"/>
    </row>
    <row r="199">
      <c r="C199" s="79"/>
      <c r="D199" s="79"/>
      <c r="E199" s="79"/>
      <c r="M199" s="79"/>
      <c r="R199" s="79"/>
      <c r="S199" s="79"/>
      <c r="V199" s="79"/>
      <c r="W199" s="79"/>
      <c r="Z199" s="130"/>
      <c r="AB199" s="106"/>
    </row>
    <row r="200">
      <c r="C200" s="79"/>
      <c r="D200" s="79"/>
      <c r="E200" s="79"/>
      <c r="M200" s="79"/>
      <c r="R200" s="79"/>
      <c r="S200" s="79"/>
      <c r="V200" s="79"/>
      <c r="W200" s="79"/>
      <c r="Z200" s="130"/>
      <c r="AB200" s="106"/>
    </row>
    <row r="201">
      <c r="C201" s="79"/>
      <c r="D201" s="79"/>
      <c r="E201" s="79"/>
      <c r="M201" s="79"/>
      <c r="R201" s="79"/>
      <c r="S201" s="79"/>
      <c r="V201" s="79"/>
      <c r="W201" s="79"/>
      <c r="Z201" s="130"/>
      <c r="AB201" s="106"/>
    </row>
    <row r="202">
      <c r="C202" s="79"/>
      <c r="D202" s="79"/>
      <c r="E202" s="79"/>
      <c r="M202" s="79"/>
      <c r="R202" s="79"/>
      <c r="S202" s="79"/>
      <c r="V202" s="79"/>
      <c r="W202" s="79"/>
      <c r="Z202" s="130"/>
      <c r="AB202" s="106"/>
    </row>
    <row r="203">
      <c r="C203" s="79"/>
      <c r="D203" s="79"/>
      <c r="E203" s="79"/>
      <c r="M203" s="79"/>
      <c r="R203" s="79"/>
      <c r="S203" s="79"/>
      <c r="V203" s="79"/>
      <c r="W203" s="79"/>
      <c r="Z203" s="130"/>
      <c r="AB203" s="106"/>
    </row>
    <row r="204">
      <c r="C204" s="79"/>
      <c r="D204" s="79"/>
      <c r="E204" s="79"/>
      <c r="M204" s="79"/>
      <c r="R204" s="79"/>
      <c r="S204" s="79"/>
      <c r="V204" s="79"/>
      <c r="W204" s="79"/>
      <c r="Z204" s="130"/>
      <c r="AB204" s="106"/>
    </row>
    <row r="205">
      <c r="C205" s="79"/>
      <c r="D205" s="79"/>
      <c r="E205" s="79"/>
      <c r="M205" s="79"/>
      <c r="R205" s="79"/>
      <c r="S205" s="79"/>
      <c r="V205" s="79"/>
      <c r="W205" s="79"/>
      <c r="Z205" s="130"/>
      <c r="AB205" s="106"/>
    </row>
    <row r="206">
      <c r="C206" s="79"/>
      <c r="D206" s="79"/>
      <c r="E206" s="79"/>
      <c r="M206" s="79"/>
      <c r="R206" s="79"/>
      <c r="S206" s="79"/>
      <c r="V206" s="79"/>
      <c r="W206" s="79"/>
      <c r="Z206" s="130"/>
      <c r="AB206" s="106"/>
    </row>
    <row r="207">
      <c r="C207" s="79"/>
      <c r="D207" s="79"/>
      <c r="E207" s="79"/>
      <c r="M207" s="79"/>
      <c r="R207" s="79"/>
      <c r="S207" s="79"/>
      <c r="V207" s="79"/>
      <c r="W207" s="79"/>
      <c r="Z207" s="130"/>
      <c r="AB207" s="106"/>
    </row>
    <row r="208">
      <c r="C208" s="79"/>
      <c r="D208" s="79"/>
      <c r="E208" s="79"/>
      <c r="M208" s="79"/>
      <c r="R208" s="79"/>
      <c r="S208" s="79"/>
      <c r="V208" s="79"/>
      <c r="W208" s="79"/>
      <c r="Z208" s="130"/>
      <c r="AB208" s="106"/>
    </row>
    <row r="209">
      <c r="C209" s="79"/>
      <c r="D209" s="79"/>
      <c r="E209" s="79"/>
      <c r="M209" s="79"/>
      <c r="R209" s="79"/>
      <c r="S209" s="79"/>
      <c r="V209" s="79"/>
      <c r="W209" s="79"/>
      <c r="Z209" s="130"/>
      <c r="AB209" s="106"/>
    </row>
    <row r="210">
      <c r="C210" s="79"/>
      <c r="D210" s="79"/>
      <c r="E210" s="79"/>
      <c r="M210" s="79"/>
      <c r="R210" s="79"/>
      <c r="S210" s="79"/>
      <c r="V210" s="79"/>
      <c r="W210" s="79"/>
      <c r="Z210" s="130"/>
      <c r="AB210" s="106"/>
    </row>
    <row r="211">
      <c r="C211" s="79"/>
      <c r="D211" s="79"/>
      <c r="E211" s="79"/>
      <c r="M211" s="79"/>
      <c r="R211" s="79"/>
      <c r="S211" s="79"/>
      <c r="V211" s="79"/>
      <c r="W211" s="79"/>
      <c r="Z211" s="130"/>
      <c r="AB211" s="106"/>
    </row>
    <row r="212">
      <c r="C212" s="79"/>
      <c r="D212" s="79"/>
      <c r="E212" s="79"/>
      <c r="M212" s="79"/>
      <c r="R212" s="79"/>
      <c r="S212" s="79"/>
      <c r="V212" s="79"/>
      <c r="W212" s="79"/>
      <c r="Z212" s="130"/>
      <c r="AB212" s="106"/>
    </row>
    <row r="213">
      <c r="C213" s="79"/>
      <c r="D213" s="79"/>
      <c r="E213" s="79"/>
      <c r="M213" s="79"/>
      <c r="R213" s="79"/>
      <c r="S213" s="79"/>
      <c r="V213" s="79"/>
      <c r="W213" s="79"/>
      <c r="Z213" s="130"/>
      <c r="AB213" s="106"/>
    </row>
    <row r="214">
      <c r="C214" s="79"/>
      <c r="D214" s="79"/>
      <c r="E214" s="79"/>
      <c r="M214" s="79"/>
      <c r="R214" s="79"/>
      <c r="S214" s="79"/>
      <c r="V214" s="79"/>
      <c r="W214" s="79"/>
      <c r="Z214" s="130"/>
      <c r="AB214" s="106"/>
    </row>
    <row r="215">
      <c r="C215" s="79"/>
      <c r="D215" s="79"/>
      <c r="E215" s="79"/>
      <c r="M215" s="79"/>
      <c r="R215" s="79"/>
      <c r="S215" s="79"/>
      <c r="V215" s="79"/>
      <c r="W215" s="79"/>
      <c r="Z215" s="130"/>
      <c r="AB215" s="106"/>
    </row>
    <row r="216">
      <c r="C216" s="79"/>
      <c r="D216" s="79"/>
      <c r="E216" s="79"/>
      <c r="M216" s="79"/>
      <c r="R216" s="79"/>
      <c r="S216" s="79"/>
      <c r="V216" s="79"/>
      <c r="W216" s="79"/>
      <c r="Z216" s="130"/>
      <c r="AB216" s="106"/>
    </row>
    <row r="217">
      <c r="C217" s="79"/>
      <c r="D217" s="79"/>
      <c r="E217" s="79"/>
      <c r="M217" s="79"/>
      <c r="R217" s="79"/>
      <c r="S217" s="79"/>
      <c r="V217" s="79"/>
      <c r="W217" s="79"/>
      <c r="Z217" s="130"/>
      <c r="AB217" s="106"/>
    </row>
    <row r="218">
      <c r="C218" s="79"/>
      <c r="D218" s="79"/>
      <c r="E218" s="79"/>
      <c r="M218" s="79"/>
      <c r="R218" s="79"/>
      <c r="S218" s="79"/>
      <c r="V218" s="79"/>
      <c r="W218" s="79"/>
      <c r="Z218" s="130"/>
      <c r="AB218" s="106"/>
    </row>
    <row r="219">
      <c r="C219" s="79"/>
      <c r="D219" s="79"/>
      <c r="E219" s="79"/>
      <c r="M219" s="79"/>
      <c r="R219" s="79"/>
      <c r="S219" s="79"/>
      <c r="V219" s="79"/>
      <c r="W219" s="79"/>
      <c r="Z219" s="130"/>
      <c r="AB219" s="106"/>
    </row>
    <row r="220">
      <c r="C220" s="79"/>
      <c r="D220" s="79"/>
      <c r="E220" s="79"/>
      <c r="M220" s="79"/>
      <c r="R220" s="79"/>
      <c r="S220" s="79"/>
      <c r="V220" s="79"/>
      <c r="W220" s="79"/>
      <c r="Z220" s="130"/>
      <c r="AB220" s="106"/>
    </row>
    <row r="221">
      <c r="C221" s="79"/>
      <c r="D221" s="79"/>
      <c r="E221" s="79"/>
      <c r="M221" s="79"/>
      <c r="R221" s="79"/>
      <c r="S221" s="79"/>
      <c r="V221" s="79"/>
      <c r="W221" s="79"/>
      <c r="Z221" s="130"/>
      <c r="AB221" s="106"/>
    </row>
    <row r="222">
      <c r="C222" s="79"/>
      <c r="D222" s="79"/>
      <c r="E222" s="79"/>
      <c r="M222" s="79"/>
      <c r="R222" s="79"/>
      <c r="S222" s="79"/>
      <c r="V222" s="79"/>
      <c r="W222" s="79"/>
      <c r="Z222" s="130"/>
      <c r="AB222" s="106"/>
    </row>
    <row r="223">
      <c r="C223" s="79"/>
      <c r="D223" s="79"/>
      <c r="E223" s="79"/>
      <c r="M223" s="79"/>
      <c r="R223" s="79"/>
      <c r="S223" s="79"/>
      <c r="V223" s="79"/>
      <c r="W223" s="79"/>
      <c r="Z223" s="130"/>
      <c r="AB223" s="106"/>
    </row>
    <row r="224">
      <c r="C224" s="79"/>
      <c r="D224" s="79"/>
      <c r="E224" s="79"/>
      <c r="M224" s="79"/>
      <c r="R224" s="79"/>
      <c r="S224" s="79"/>
      <c r="V224" s="79"/>
      <c r="W224" s="79"/>
      <c r="Z224" s="130"/>
      <c r="AB224" s="106"/>
    </row>
    <row r="225">
      <c r="C225" s="79"/>
      <c r="D225" s="79"/>
      <c r="E225" s="79"/>
      <c r="M225" s="79"/>
      <c r="R225" s="79"/>
      <c r="S225" s="79"/>
      <c r="V225" s="79"/>
      <c r="W225" s="79"/>
      <c r="Z225" s="130"/>
      <c r="AB225" s="106"/>
    </row>
    <row r="226">
      <c r="C226" s="79"/>
      <c r="D226" s="79"/>
      <c r="E226" s="79"/>
      <c r="M226" s="79"/>
      <c r="R226" s="79"/>
      <c r="S226" s="79"/>
      <c r="V226" s="79"/>
      <c r="W226" s="79"/>
      <c r="Z226" s="130"/>
      <c r="AB226" s="106"/>
    </row>
    <row r="227">
      <c r="C227" s="79"/>
      <c r="D227" s="79"/>
      <c r="E227" s="79"/>
      <c r="M227" s="79"/>
      <c r="R227" s="79"/>
      <c r="S227" s="79"/>
      <c r="V227" s="79"/>
      <c r="W227" s="79"/>
      <c r="Z227" s="130"/>
      <c r="AB227" s="106"/>
    </row>
    <row r="228">
      <c r="C228" s="79"/>
      <c r="D228" s="79"/>
      <c r="E228" s="79"/>
      <c r="M228" s="79"/>
      <c r="R228" s="79"/>
      <c r="S228" s="79"/>
      <c r="V228" s="79"/>
      <c r="W228" s="79"/>
      <c r="Z228" s="130"/>
      <c r="AB228" s="106"/>
    </row>
    <row r="229">
      <c r="C229" s="79"/>
      <c r="D229" s="79"/>
      <c r="E229" s="79"/>
      <c r="M229" s="79"/>
      <c r="R229" s="79"/>
      <c r="S229" s="79"/>
      <c r="V229" s="79"/>
      <c r="W229" s="79"/>
      <c r="Z229" s="130"/>
      <c r="AB229" s="106"/>
    </row>
    <row r="230">
      <c r="C230" s="79"/>
      <c r="D230" s="79"/>
      <c r="E230" s="79"/>
      <c r="M230" s="79"/>
      <c r="R230" s="79"/>
      <c r="S230" s="79"/>
      <c r="V230" s="79"/>
      <c r="W230" s="79"/>
      <c r="Z230" s="130"/>
      <c r="AB230" s="106"/>
    </row>
    <row r="231">
      <c r="C231" s="79"/>
      <c r="D231" s="79"/>
      <c r="E231" s="79"/>
      <c r="M231" s="79"/>
      <c r="R231" s="79"/>
      <c r="S231" s="79"/>
      <c r="V231" s="79"/>
      <c r="W231" s="79"/>
      <c r="Z231" s="130"/>
      <c r="AB231" s="106"/>
    </row>
    <row r="232">
      <c r="C232" s="79"/>
      <c r="D232" s="79"/>
      <c r="E232" s="79"/>
      <c r="M232" s="79"/>
      <c r="R232" s="79"/>
      <c r="S232" s="79"/>
      <c r="V232" s="79"/>
      <c r="W232" s="79"/>
      <c r="Z232" s="130"/>
      <c r="AB232" s="106"/>
    </row>
    <row r="233">
      <c r="C233" s="79"/>
      <c r="D233" s="79"/>
      <c r="E233" s="79"/>
      <c r="M233" s="79"/>
      <c r="R233" s="79"/>
      <c r="S233" s="79"/>
      <c r="V233" s="79"/>
      <c r="W233" s="79"/>
      <c r="Z233" s="130"/>
      <c r="AB233" s="106"/>
    </row>
    <row r="234">
      <c r="C234" s="79"/>
      <c r="D234" s="79"/>
      <c r="E234" s="79"/>
      <c r="M234" s="79"/>
      <c r="R234" s="79"/>
      <c r="S234" s="79"/>
      <c r="V234" s="79"/>
      <c r="W234" s="79"/>
      <c r="Z234" s="130"/>
      <c r="AB234" s="106"/>
    </row>
    <row r="235">
      <c r="C235" s="79"/>
      <c r="D235" s="79"/>
      <c r="E235" s="79"/>
      <c r="M235" s="79"/>
      <c r="R235" s="79"/>
      <c r="S235" s="79"/>
      <c r="V235" s="79"/>
      <c r="W235" s="79"/>
      <c r="Z235" s="130"/>
      <c r="AB235" s="106"/>
    </row>
    <row r="236">
      <c r="C236" s="79"/>
      <c r="D236" s="79"/>
      <c r="E236" s="79"/>
      <c r="M236" s="79"/>
      <c r="R236" s="79"/>
      <c r="S236" s="79"/>
      <c r="V236" s="79"/>
      <c r="W236" s="79"/>
      <c r="Z236" s="130"/>
      <c r="AB236" s="106"/>
    </row>
    <row r="237">
      <c r="C237" s="79"/>
      <c r="D237" s="79"/>
      <c r="E237" s="79"/>
      <c r="M237" s="79"/>
      <c r="R237" s="79"/>
      <c r="S237" s="79"/>
      <c r="V237" s="79"/>
      <c r="W237" s="79"/>
      <c r="Z237" s="130"/>
      <c r="AB237" s="106"/>
    </row>
    <row r="238">
      <c r="C238" s="79"/>
      <c r="D238" s="79"/>
      <c r="E238" s="79"/>
      <c r="M238" s="79"/>
      <c r="R238" s="79"/>
      <c r="S238" s="79"/>
      <c r="V238" s="79"/>
      <c r="W238" s="79"/>
      <c r="Z238" s="130"/>
      <c r="AB238" s="106"/>
    </row>
    <row r="239">
      <c r="C239" s="79"/>
      <c r="D239" s="79"/>
      <c r="E239" s="79"/>
      <c r="M239" s="79"/>
      <c r="R239" s="79"/>
      <c r="S239" s="79"/>
      <c r="V239" s="79"/>
      <c r="W239" s="79"/>
      <c r="Z239" s="130"/>
      <c r="AB239" s="106"/>
    </row>
    <row r="240">
      <c r="C240" s="79"/>
      <c r="D240" s="79"/>
      <c r="E240" s="79"/>
      <c r="M240" s="79"/>
      <c r="R240" s="79"/>
      <c r="S240" s="79"/>
      <c r="V240" s="79"/>
      <c r="W240" s="79"/>
      <c r="Z240" s="130"/>
      <c r="AB240" s="106"/>
    </row>
    <row r="241">
      <c r="C241" s="79"/>
      <c r="D241" s="79"/>
      <c r="E241" s="79"/>
      <c r="M241" s="79"/>
      <c r="R241" s="79"/>
      <c r="S241" s="79"/>
      <c r="V241" s="79"/>
      <c r="W241" s="79"/>
      <c r="Z241" s="130"/>
      <c r="AB241" s="106"/>
    </row>
    <row r="242">
      <c r="C242" s="79"/>
      <c r="D242" s="79"/>
      <c r="E242" s="79"/>
      <c r="M242" s="79"/>
      <c r="R242" s="79"/>
      <c r="S242" s="79"/>
      <c r="V242" s="79"/>
      <c r="W242" s="79"/>
      <c r="Z242" s="130"/>
      <c r="AB242" s="106"/>
    </row>
    <row r="243">
      <c r="C243" s="79"/>
      <c r="D243" s="79"/>
      <c r="E243" s="79"/>
      <c r="M243" s="79"/>
      <c r="R243" s="79"/>
      <c r="S243" s="79"/>
      <c r="V243" s="79"/>
      <c r="W243" s="79"/>
      <c r="Z243" s="130"/>
      <c r="AB243" s="106"/>
    </row>
    <row r="244">
      <c r="C244" s="79"/>
      <c r="D244" s="79"/>
      <c r="E244" s="79"/>
      <c r="M244" s="79"/>
      <c r="R244" s="79"/>
      <c r="S244" s="79"/>
      <c r="V244" s="79"/>
      <c r="W244" s="79"/>
      <c r="Z244" s="130"/>
      <c r="AB244" s="106"/>
    </row>
    <row r="245">
      <c r="C245" s="79"/>
      <c r="D245" s="79"/>
      <c r="E245" s="79"/>
      <c r="M245" s="79"/>
      <c r="R245" s="79"/>
      <c r="S245" s="79"/>
      <c r="V245" s="79"/>
      <c r="W245" s="79"/>
      <c r="Z245" s="130"/>
      <c r="AB245" s="106"/>
    </row>
    <row r="246">
      <c r="C246" s="79"/>
      <c r="D246" s="79"/>
      <c r="E246" s="79"/>
      <c r="M246" s="79"/>
      <c r="R246" s="79"/>
      <c r="S246" s="79"/>
      <c r="V246" s="79"/>
      <c r="W246" s="79"/>
      <c r="Z246" s="130"/>
      <c r="AB246" s="106"/>
    </row>
    <row r="247">
      <c r="C247" s="79"/>
      <c r="D247" s="79"/>
      <c r="E247" s="79"/>
      <c r="M247" s="79"/>
      <c r="R247" s="79"/>
      <c r="S247" s="79"/>
      <c r="V247" s="79"/>
      <c r="W247" s="79"/>
      <c r="Z247" s="130"/>
      <c r="AB247" s="106"/>
    </row>
    <row r="248">
      <c r="C248" s="79"/>
      <c r="D248" s="79"/>
      <c r="E248" s="79"/>
      <c r="M248" s="79"/>
      <c r="R248" s="79"/>
      <c r="S248" s="79"/>
      <c r="V248" s="79"/>
      <c r="W248" s="79"/>
      <c r="Z248" s="130"/>
      <c r="AB248" s="106"/>
    </row>
    <row r="249">
      <c r="C249" s="79"/>
      <c r="D249" s="79"/>
      <c r="E249" s="79"/>
      <c r="M249" s="79"/>
      <c r="R249" s="79"/>
      <c r="S249" s="79"/>
      <c r="V249" s="79"/>
      <c r="W249" s="79"/>
      <c r="Z249" s="130"/>
      <c r="AB249" s="106"/>
    </row>
    <row r="250">
      <c r="C250" s="79"/>
      <c r="D250" s="79"/>
      <c r="E250" s="79"/>
      <c r="M250" s="79"/>
      <c r="R250" s="79"/>
      <c r="S250" s="79"/>
      <c r="V250" s="79"/>
      <c r="W250" s="79"/>
      <c r="Z250" s="130"/>
      <c r="AB250" s="106"/>
    </row>
    <row r="251">
      <c r="C251" s="79"/>
      <c r="D251" s="79"/>
      <c r="E251" s="79"/>
      <c r="M251" s="79"/>
      <c r="R251" s="79"/>
      <c r="S251" s="79"/>
      <c r="V251" s="79"/>
      <c r="W251" s="79"/>
      <c r="Z251" s="130"/>
      <c r="AB251" s="106"/>
    </row>
    <row r="252">
      <c r="C252" s="79"/>
      <c r="D252" s="79"/>
      <c r="E252" s="79"/>
      <c r="M252" s="79"/>
      <c r="R252" s="79"/>
      <c r="S252" s="79"/>
      <c r="V252" s="79"/>
      <c r="W252" s="79"/>
      <c r="Z252" s="130"/>
      <c r="AB252" s="106"/>
    </row>
    <row r="253">
      <c r="C253" s="79"/>
      <c r="D253" s="79"/>
      <c r="E253" s="79"/>
      <c r="M253" s="79"/>
      <c r="R253" s="79"/>
      <c r="S253" s="79"/>
      <c r="V253" s="79"/>
      <c r="W253" s="79"/>
      <c r="Z253" s="130"/>
      <c r="AB253" s="106"/>
    </row>
    <row r="254">
      <c r="C254" s="79"/>
      <c r="D254" s="79"/>
      <c r="E254" s="79"/>
      <c r="M254" s="79"/>
      <c r="R254" s="79"/>
      <c r="S254" s="79"/>
      <c r="V254" s="79"/>
      <c r="W254" s="79"/>
      <c r="Z254" s="130"/>
      <c r="AB254" s="106"/>
    </row>
    <row r="255">
      <c r="C255" s="79"/>
      <c r="D255" s="79"/>
      <c r="E255" s="79"/>
      <c r="M255" s="79"/>
      <c r="R255" s="79"/>
      <c r="S255" s="79"/>
      <c r="V255" s="79"/>
      <c r="W255" s="79"/>
      <c r="Z255" s="130"/>
      <c r="AB255" s="106"/>
    </row>
    <row r="256">
      <c r="C256" s="79"/>
      <c r="D256" s="79"/>
      <c r="E256" s="79"/>
      <c r="M256" s="79"/>
      <c r="R256" s="79"/>
      <c r="S256" s="79"/>
      <c r="V256" s="79"/>
      <c r="W256" s="79"/>
      <c r="Z256" s="130"/>
      <c r="AB256" s="106"/>
    </row>
    <row r="257">
      <c r="C257" s="79"/>
      <c r="D257" s="79"/>
      <c r="E257" s="79"/>
      <c r="M257" s="79"/>
      <c r="R257" s="79"/>
      <c r="S257" s="79"/>
      <c r="V257" s="79"/>
      <c r="W257" s="79"/>
      <c r="Z257" s="130"/>
      <c r="AB257" s="106"/>
    </row>
    <row r="258">
      <c r="C258" s="79"/>
      <c r="D258" s="79"/>
      <c r="E258" s="79"/>
      <c r="M258" s="79"/>
      <c r="R258" s="79"/>
      <c r="S258" s="79"/>
      <c r="V258" s="79"/>
      <c r="W258" s="79"/>
      <c r="Z258" s="130"/>
      <c r="AB258" s="106"/>
    </row>
    <row r="259">
      <c r="C259" s="79"/>
      <c r="D259" s="79"/>
      <c r="E259" s="79"/>
      <c r="M259" s="79"/>
      <c r="R259" s="79"/>
      <c r="S259" s="79"/>
      <c r="V259" s="79"/>
      <c r="W259" s="79"/>
      <c r="Z259" s="130"/>
      <c r="AB259" s="106"/>
    </row>
    <row r="260">
      <c r="C260" s="79"/>
      <c r="D260" s="79"/>
      <c r="E260" s="79"/>
      <c r="M260" s="79"/>
      <c r="R260" s="79"/>
      <c r="S260" s="79"/>
      <c r="V260" s="79"/>
      <c r="W260" s="79"/>
      <c r="Z260" s="130"/>
      <c r="AB260" s="106"/>
    </row>
    <row r="261">
      <c r="C261" s="79"/>
      <c r="D261" s="79"/>
      <c r="E261" s="79"/>
      <c r="M261" s="79"/>
      <c r="R261" s="79"/>
      <c r="S261" s="79"/>
      <c r="V261" s="79"/>
      <c r="W261" s="79"/>
      <c r="Z261" s="130"/>
      <c r="AB261" s="106"/>
    </row>
    <row r="262">
      <c r="C262" s="79"/>
      <c r="D262" s="79"/>
      <c r="E262" s="79"/>
      <c r="M262" s="79"/>
      <c r="R262" s="79"/>
      <c r="S262" s="79"/>
      <c r="V262" s="79"/>
      <c r="W262" s="79"/>
      <c r="Z262" s="130"/>
      <c r="AB262" s="106"/>
    </row>
    <row r="263">
      <c r="C263" s="79"/>
      <c r="D263" s="79"/>
      <c r="E263" s="79"/>
      <c r="M263" s="79"/>
      <c r="R263" s="79"/>
      <c r="S263" s="79"/>
      <c r="V263" s="79"/>
      <c r="W263" s="79"/>
      <c r="Z263" s="130"/>
      <c r="AB263" s="106"/>
    </row>
    <row r="264">
      <c r="C264" s="79"/>
      <c r="D264" s="79"/>
      <c r="E264" s="79"/>
      <c r="M264" s="79"/>
      <c r="R264" s="79"/>
      <c r="S264" s="79"/>
      <c r="V264" s="79"/>
      <c r="W264" s="79"/>
      <c r="Z264" s="130"/>
      <c r="AB264" s="106"/>
    </row>
    <row r="265">
      <c r="C265" s="79"/>
      <c r="D265" s="79"/>
      <c r="E265" s="79"/>
      <c r="M265" s="79"/>
      <c r="R265" s="79"/>
      <c r="S265" s="79"/>
      <c r="V265" s="79"/>
      <c r="W265" s="79"/>
      <c r="Z265" s="130"/>
      <c r="AB265" s="106"/>
    </row>
    <row r="266">
      <c r="C266" s="79"/>
      <c r="D266" s="79"/>
      <c r="E266" s="79"/>
      <c r="M266" s="79"/>
      <c r="R266" s="79"/>
      <c r="S266" s="79"/>
      <c r="V266" s="79"/>
      <c r="W266" s="79"/>
      <c r="Z266" s="130"/>
      <c r="AB266" s="106"/>
    </row>
    <row r="267">
      <c r="C267" s="79"/>
      <c r="D267" s="79"/>
      <c r="E267" s="79"/>
      <c r="M267" s="79"/>
      <c r="R267" s="79"/>
      <c r="S267" s="79"/>
      <c r="V267" s="79"/>
      <c r="W267" s="79"/>
      <c r="Z267" s="130"/>
      <c r="AB267" s="106"/>
    </row>
    <row r="268">
      <c r="C268" s="79"/>
      <c r="D268" s="79"/>
      <c r="E268" s="79"/>
      <c r="M268" s="79"/>
      <c r="R268" s="79"/>
      <c r="S268" s="79"/>
      <c r="V268" s="79"/>
      <c r="W268" s="79"/>
      <c r="Z268" s="130"/>
      <c r="AB268" s="106"/>
    </row>
    <row r="269">
      <c r="C269" s="79"/>
      <c r="D269" s="79"/>
      <c r="E269" s="79"/>
      <c r="M269" s="79"/>
      <c r="R269" s="79"/>
      <c r="S269" s="79"/>
      <c r="V269" s="79"/>
      <c r="W269" s="79"/>
      <c r="Z269" s="130"/>
      <c r="AB269" s="106"/>
    </row>
    <row r="270">
      <c r="C270" s="79"/>
      <c r="D270" s="79"/>
      <c r="E270" s="79"/>
      <c r="M270" s="79"/>
      <c r="R270" s="79"/>
      <c r="S270" s="79"/>
      <c r="V270" s="79"/>
      <c r="W270" s="79"/>
      <c r="Z270" s="130"/>
      <c r="AB270" s="106"/>
    </row>
    <row r="271">
      <c r="C271" s="79"/>
      <c r="D271" s="79"/>
      <c r="E271" s="79"/>
      <c r="M271" s="79"/>
      <c r="R271" s="79"/>
      <c r="S271" s="79"/>
      <c r="V271" s="79"/>
      <c r="W271" s="79"/>
      <c r="Z271" s="130"/>
      <c r="AB271" s="106"/>
    </row>
    <row r="272">
      <c r="C272" s="79"/>
      <c r="D272" s="79"/>
      <c r="E272" s="79"/>
      <c r="M272" s="79"/>
      <c r="R272" s="79"/>
      <c r="S272" s="79"/>
      <c r="V272" s="79"/>
      <c r="W272" s="79"/>
      <c r="Z272" s="130"/>
      <c r="AB272" s="106"/>
    </row>
    <row r="273">
      <c r="C273" s="79"/>
      <c r="D273" s="79"/>
      <c r="E273" s="79"/>
      <c r="M273" s="79"/>
      <c r="R273" s="79"/>
      <c r="S273" s="79"/>
      <c r="V273" s="79"/>
      <c r="W273" s="79"/>
      <c r="Z273" s="130"/>
      <c r="AB273" s="106"/>
    </row>
    <row r="274">
      <c r="C274" s="79"/>
      <c r="D274" s="79"/>
      <c r="E274" s="79"/>
      <c r="M274" s="79"/>
      <c r="R274" s="79"/>
      <c r="S274" s="79"/>
      <c r="V274" s="79"/>
      <c r="W274" s="79"/>
      <c r="Z274" s="130"/>
      <c r="AB274" s="106"/>
    </row>
    <row r="275">
      <c r="C275" s="79"/>
      <c r="D275" s="79"/>
      <c r="E275" s="79"/>
      <c r="M275" s="79"/>
      <c r="R275" s="79"/>
      <c r="S275" s="79"/>
      <c r="V275" s="79"/>
      <c r="W275" s="79"/>
      <c r="Z275" s="130"/>
      <c r="AB275" s="106"/>
    </row>
    <row r="276">
      <c r="C276" s="79"/>
      <c r="D276" s="79"/>
      <c r="E276" s="79"/>
      <c r="M276" s="79"/>
      <c r="R276" s="79"/>
      <c r="S276" s="79"/>
      <c r="V276" s="79"/>
      <c r="W276" s="79"/>
      <c r="Z276" s="130"/>
      <c r="AB276" s="106"/>
    </row>
    <row r="277">
      <c r="C277" s="79"/>
      <c r="D277" s="79"/>
      <c r="E277" s="79"/>
      <c r="M277" s="79"/>
      <c r="R277" s="79"/>
      <c r="S277" s="79"/>
      <c r="V277" s="79"/>
      <c r="W277" s="79"/>
      <c r="Z277" s="130"/>
      <c r="AB277" s="106"/>
    </row>
    <row r="278">
      <c r="C278" s="79"/>
      <c r="D278" s="79"/>
      <c r="E278" s="79"/>
      <c r="M278" s="79"/>
      <c r="R278" s="79"/>
      <c r="S278" s="79"/>
      <c r="V278" s="79"/>
      <c r="W278" s="79"/>
      <c r="Z278" s="130"/>
      <c r="AB278" s="106"/>
    </row>
    <row r="279">
      <c r="C279" s="79"/>
      <c r="D279" s="79"/>
      <c r="E279" s="79"/>
      <c r="M279" s="79"/>
      <c r="R279" s="79"/>
      <c r="S279" s="79"/>
      <c r="V279" s="79"/>
      <c r="W279" s="79"/>
      <c r="Z279" s="130"/>
      <c r="AB279" s="106"/>
    </row>
    <row r="280">
      <c r="C280" s="79"/>
      <c r="D280" s="79"/>
      <c r="E280" s="79"/>
      <c r="M280" s="79"/>
      <c r="R280" s="79"/>
      <c r="S280" s="79"/>
      <c r="V280" s="79"/>
      <c r="W280" s="79"/>
      <c r="Z280" s="130"/>
      <c r="AB280" s="106"/>
    </row>
    <row r="281">
      <c r="C281" s="79"/>
      <c r="D281" s="79"/>
      <c r="E281" s="79"/>
      <c r="M281" s="79"/>
      <c r="R281" s="79"/>
      <c r="S281" s="79"/>
      <c r="V281" s="79"/>
      <c r="W281" s="79"/>
      <c r="Z281" s="130"/>
      <c r="AB281" s="106"/>
    </row>
    <row r="282">
      <c r="C282" s="79"/>
      <c r="D282" s="79"/>
      <c r="E282" s="79"/>
      <c r="M282" s="79"/>
      <c r="R282" s="79"/>
      <c r="S282" s="79"/>
      <c r="V282" s="79"/>
      <c r="W282" s="79"/>
      <c r="Z282" s="130"/>
      <c r="AB282" s="106"/>
    </row>
    <row r="283">
      <c r="C283" s="79"/>
      <c r="D283" s="79"/>
      <c r="E283" s="79"/>
      <c r="M283" s="79"/>
      <c r="R283" s="79"/>
      <c r="S283" s="79"/>
      <c r="V283" s="79"/>
      <c r="W283" s="79"/>
      <c r="Z283" s="130"/>
      <c r="AB283" s="106"/>
    </row>
    <row r="284">
      <c r="C284" s="79"/>
      <c r="D284" s="79"/>
      <c r="E284" s="79"/>
      <c r="M284" s="79"/>
      <c r="R284" s="79"/>
      <c r="S284" s="79"/>
      <c r="V284" s="79"/>
      <c r="W284" s="79"/>
      <c r="Z284" s="130"/>
      <c r="AB284" s="106"/>
    </row>
    <row r="285">
      <c r="C285" s="79"/>
      <c r="D285" s="79"/>
      <c r="E285" s="79"/>
      <c r="M285" s="79"/>
      <c r="R285" s="79"/>
      <c r="S285" s="79"/>
      <c r="V285" s="79"/>
      <c r="W285" s="79"/>
      <c r="Z285" s="130"/>
      <c r="AB285" s="106"/>
    </row>
    <row r="286">
      <c r="C286" s="79"/>
      <c r="D286" s="79"/>
      <c r="E286" s="79"/>
      <c r="M286" s="79"/>
      <c r="R286" s="79"/>
      <c r="S286" s="79"/>
      <c r="V286" s="79"/>
      <c r="W286" s="79"/>
      <c r="Z286" s="130"/>
      <c r="AB286" s="106"/>
    </row>
    <row r="287">
      <c r="C287" s="79"/>
      <c r="D287" s="79"/>
      <c r="E287" s="79"/>
      <c r="M287" s="79"/>
      <c r="R287" s="79"/>
      <c r="S287" s="79"/>
      <c r="V287" s="79"/>
      <c r="W287" s="79"/>
      <c r="Z287" s="130"/>
      <c r="AB287" s="106"/>
    </row>
    <row r="288">
      <c r="C288" s="79"/>
      <c r="D288" s="79"/>
      <c r="E288" s="79"/>
      <c r="M288" s="79"/>
      <c r="R288" s="79"/>
      <c r="S288" s="79"/>
      <c r="V288" s="79"/>
      <c r="W288" s="79"/>
      <c r="Z288" s="130"/>
      <c r="AB288" s="106"/>
    </row>
    <row r="289">
      <c r="C289" s="79"/>
      <c r="D289" s="79"/>
      <c r="E289" s="79"/>
      <c r="M289" s="79"/>
      <c r="R289" s="79"/>
      <c r="S289" s="79"/>
      <c r="V289" s="79"/>
      <c r="W289" s="79"/>
      <c r="Z289" s="130"/>
      <c r="AB289" s="106"/>
    </row>
    <row r="290">
      <c r="C290" s="79"/>
      <c r="D290" s="79"/>
      <c r="E290" s="79"/>
      <c r="M290" s="79"/>
      <c r="R290" s="79"/>
      <c r="S290" s="79"/>
      <c r="V290" s="79"/>
      <c r="W290" s="79"/>
      <c r="Z290" s="130"/>
      <c r="AB290" s="106"/>
    </row>
    <row r="291">
      <c r="C291" s="79"/>
      <c r="D291" s="79"/>
      <c r="E291" s="79"/>
      <c r="M291" s="79"/>
      <c r="R291" s="79"/>
      <c r="S291" s="79"/>
      <c r="V291" s="79"/>
      <c r="W291" s="79"/>
      <c r="Z291" s="130"/>
      <c r="AB291" s="106"/>
    </row>
    <row r="292">
      <c r="C292" s="79"/>
      <c r="D292" s="79"/>
      <c r="E292" s="79"/>
      <c r="M292" s="79"/>
      <c r="R292" s="79"/>
      <c r="S292" s="79"/>
      <c r="V292" s="79"/>
      <c r="W292" s="79"/>
      <c r="Z292" s="130"/>
      <c r="AB292" s="106"/>
    </row>
    <row r="293">
      <c r="C293" s="79"/>
      <c r="D293" s="79"/>
      <c r="E293" s="79"/>
      <c r="M293" s="79"/>
      <c r="R293" s="79"/>
      <c r="S293" s="79"/>
      <c r="V293" s="79"/>
      <c r="W293" s="79"/>
      <c r="Z293" s="130"/>
      <c r="AB293" s="106"/>
    </row>
    <row r="294">
      <c r="C294" s="79"/>
      <c r="D294" s="79"/>
      <c r="E294" s="79"/>
      <c r="M294" s="79"/>
      <c r="R294" s="79"/>
      <c r="S294" s="79"/>
      <c r="V294" s="79"/>
      <c r="W294" s="79"/>
      <c r="Z294" s="130"/>
      <c r="AB294" s="106"/>
    </row>
    <row r="295">
      <c r="C295" s="79"/>
      <c r="D295" s="79"/>
      <c r="E295" s="79"/>
      <c r="M295" s="79"/>
      <c r="R295" s="79"/>
      <c r="S295" s="79"/>
      <c r="V295" s="79"/>
      <c r="W295" s="79"/>
      <c r="Z295" s="130"/>
      <c r="AB295" s="106"/>
    </row>
    <row r="296">
      <c r="C296" s="79"/>
      <c r="D296" s="79"/>
      <c r="E296" s="79"/>
      <c r="M296" s="79"/>
      <c r="R296" s="79"/>
      <c r="S296" s="79"/>
      <c r="V296" s="79"/>
      <c r="W296" s="79"/>
      <c r="Z296" s="130"/>
      <c r="AB296" s="106"/>
    </row>
    <row r="297">
      <c r="C297" s="79"/>
      <c r="D297" s="79"/>
      <c r="E297" s="79"/>
      <c r="M297" s="79"/>
      <c r="R297" s="79"/>
      <c r="S297" s="79"/>
      <c r="V297" s="79"/>
      <c r="W297" s="79"/>
      <c r="Z297" s="130"/>
      <c r="AB297" s="106"/>
    </row>
    <row r="298">
      <c r="C298" s="79"/>
      <c r="D298" s="79"/>
      <c r="E298" s="79"/>
      <c r="M298" s="79"/>
      <c r="R298" s="79"/>
      <c r="S298" s="79"/>
      <c r="V298" s="79"/>
      <c r="W298" s="79"/>
      <c r="Z298" s="130"/>
      <c r="AB298" s="106"/>
    </row>
    <row r="299">
      <c r="C299" s="79"/>
      <c r="D299" s="79"/>
      <c r="E299" s="79"/>
      <c r="M299" s="79"/>
      <c r="R299" s="79"/>
      <c r="S299" s="79"/>
      <c r="V299" s="79"/>
      <c r="W299" s="79"/>
      <c r="Z299" s="130"/>
      <c r="AB299" s="106"/>
    </row>
    <row r="300">
      <c r="C300" s="79"/>
      <c r="D300" s="79"/>
      <c r="E300" s="79"/>
      <c r="M300" s="79"/>
      <c r="R300" s="79"/>
      <c r="S300" s="79"/>
      <c r="V300" s="79"/>
      <c r="W300" s="79"/>
      <c r="Z300" s="130"/>
      <c r="AB300" s="106"/>
    </row>
    <row r="301">
      <c r="C301" s="79"/>
      <c r="D301" s="79"/>
      <c r="E301" s="79"/>
      <c r="M301" s="79"/>
      <c r="R301" s="79"/>
      <c r="S301" s="79"/>
      <c r="V301" s="79"/>
      <c r="W301" s="79"/>
      <c r="Z301" s="130"/>
      <c r="AB301" s="106"/>
    </row>
    <row r="302">
      <c r="C302" s="79"/>
      <c r="D302" s="79"/>
      <c r="E302" s="79"/>
      <c r="M302" s="79"/>
      <c r="R302" s="79"/>
      <c r="S302" s="79"/>
      <c r="V302" s="79"/>
      <c r="W302" s="79"/>
      <c r="Z302" s="130"/>
      <c r="AB302" s="106"/>
    </row>
    <row r="303">
      <c r="C303" s="79"/>
      <c r="D303" s="79"/>
      <c r="E303" s="79"/>
      <c r="M303" s="79"/>
      <c r="R303" s="79"/>
      <c r="S303" s="79"/>
      <c r="V303" s="79"/>
      <c r="W303" s="79"/>
      <c r="Z303" s="130"/>
      <c r="AB303" s="106"/>
    </row>
    <row r="304">
      <c r="C304" s="79"/>
      <c r="D304" s="79"/>
      <c r="E304" s="79"/>
      <c r="M304" s="79"/>
      <c r="R304" s="79"/>
      <c r="S304" s="79"/>
      <c r="V304" s="79"/>
      <c r="W304" s="79"/>
      <c r="Z304" s="130"/>
      <c r="AB304" s="106"/>
    </row>
    <row r="305">
      <c r="C305" s="79"/>
      <c r="D305" s="79"/>
      <c r="E305" s="79"/>
      <c r="M305" s="79"/>
      <c r="R305" s="79"/>
      <c r="S305" s="79"/>
      <c r="V305" s="79"/>
      <c r="W305" s="79"/>
      <c r="Z305" s="130"/>
      <c r="AB305" s="106"/>
    </row>
    <row r="306">
      <c r="C306" s="79"/>
      <c r="D306" s="79"/>
      <c r="E306" s="79"/>
      <c r="M306" s="79"/>
      <c r="R306" s="79"/>
      <c r="S306" s="79"/>
      <c r="V306" s="79"/>
      <c r="W306" s="79"/>
      <c r="Z306" s="130"/>
      <c r="AB306" s="106"/>
    </row>
    <row r="307">
      <c r="C307" s="79"/>
      <c r="D307" s="79"/>
      <c r="E307" s="79"/>
      <c r="M307" s="79"/>
      <c r="R307" s="79"/>
      <c r="S307" s="79"/>
      <c r="V307" s="79"/>
      <c r="W307" s="79"/>
      <c r="Z307" s="130"/>
      <c r="AB307" s="106"/>
    </row>
    <row r="308">
      <c r="C308" s="79"/>
      <c r="D308" s="79"/>
      <c r="E308" s="79"/>
      <c r="M308" s="79"/>
      <c r="R308" s="79"/>
      <c r="S308" s="79"/>
      <c r="V308" s="79"/>
      <c r="W308" s="79"/>
      <c r="Z308" s="130"/>
      <c r="AB308" s="106"/>
    </row>
    <row r="309">
      <c r="C309" s="79"/>
      <c r="D309" s="79"/>
      <c r="E309" s="79"/>
      <c r="M309" s="79"/>
      <c r="R309" s="79"/>
      <c r="S309" s="79"/>
      <c r="V309" s="79"/>
      <c r="W309" s="79"/>
      <c r="Z309" s="130"/>
      <c r="AB309" s="106"/>
    </row>
    <row r="310">
      <c r="C310" s="79"/>
      <c r="D310" s="79"/>
      <c r="E310" s="79"/>
      <c r="M310" s="79"/>
      <c r="R310" s="79"/>
      <c r="S310" s="79"/>
      <c r="V310" s="79"/>
      <c r="W310" s="79"/>
      <c r="Z310" s="130"/>
      <c r="AB310" s="106"/>
    </row>
    <row r="311">
      <c r="C311" s="79"/>
      <c r="D311" s="79"/>
      <c r="E311" s="79"/>
      <c r="M311" s="79"/>
      <c r="R311" s="79"/>
      <c r="S311" s="79"/>
      <c r="V311" s="79"/>
      <c r="W311" s="79"/>
      <c r="Z311" s="130"/>
      <c r="AB311" s="106"/>
    </row>
    <row r="312">
      <c r="C312" s="79"/>
      <c r="D312" s="79"/>
      <c r="E312" s="79"/>
      <c r="M312" s="79"/>
      <c r="R312" s="79"/>
      <c r="S312" s="79"/>
      <c r="V312" s="79"/>
      <c r="W312" s="79"/>
      <c r="Z312" s="130"/>
      <c r="AB312" s="106"/>
    </row>
    <row r="313">
      <c r="C313" s="79"/>
      <c r="D313" s="79"/>
      <c r="E313" s="79"/>
      <c r="M313" s="79"/>
      <c r="R313" s="79"/>
      <c r="S313" s="79"/>
      <c r="V313" s="79"/>
      <c r="W313" s="79"/>
      <c r="Z313" s="130"/>
      <c r="AB313" s="106"/>
    </row>
    <row r="314">
      <c r="C314" s="79"/>
      <c r="D314" s="79"/>
      <c r="E314" s="79"/>
      <c r="M314" s="79"/>
      <c r="R314" s="79"/>
      <c r="S314" s="79"/>
      <c r="V314" s="79"/>
      <c r="W314" s="79"/>
      <c r="Z314" s="130"/>
      <c r="AB314" s="106"/>
    </row>
    <row r="315">
      <c r="C315" s="79"/>
      <c r="D315" s="79"/>
      <c r="E315" s="79"/>
      <c r="M315" s="79"/>
      <c r="R315" s="79"/>
      <c r="S315" s="79"/>
      <c r="V315" s="79"/>
      <c r="W315" s="79"/>
      <c r="Z315" s="130"/>
      <c r="AB315" s="106"/>
    </row>
    <row r="316">
      <c r="C316" s="79"/>
      <c r="D316" s="79"/>
      <c r="E316" s="79"/>
      <c r="M316" s="79"/>
      <c r="R316" s="79"/>
      <c r="S316" s="79"/>
      <c r="V316" s="79"/>
      <c r="W316" s="79"/>
      <c r="Z316" s="130"/>
      <c r="AB316" s="106"/>
    </row>
    <row r="317">
      <c r="C317" s="79"/>
      <c r="D317" s="79"/>
      <c r="E317" s="79"/>
      <c r="M317" s="79"/>
      <c r="R317" s="79"/>
      <c r="S317" s="79"/>
      <c r="V317" s="79"/>
      <c r="W317" s="79"/>
      <c r="Z317" s="130"/>
      <c r="AB317" s="106"/>
    </row>
    <row r="318">
      <c r="C318" s="79"/>
      <c r="D318" s="79"/>
      <c r="E318" s="79"/>
      <c r="M318" s="79"/>
      <c r="R318" s="79"/>
      <c r="S318" s="79"/>
      <c r="V318" s="79"/>
      <c r="W318" s="79"/>
      <c r="Z318" s="130"/>
      <c r="AB318" s="106"/>
    </row>
    <row r="319">
      <c r="C319" s="79"/>
      <c r="D319" s="79"/>
      <c r="E319" s="79"/>
      <c r="M319" s="79"/>
      <c r="R319" s="79"/>
      <c r="S319" s="79"/>
      <c r="V319" s="79"/>
      <c r="W319" s="79"/>
      <c r="Z319" s="130"/>
      <c r="AB319" s="106"/>
    </row>
    <row r="320">
      <c r="C320" s="79"/>
      <c r="D320" s="79"/>
      <c r="E320" s="79"/>
      <c r="M320" s="79"/>
      <c r="R320" s="79"/>
      <c r="S320" s="79"/>
      <c r="V320" s="79"/>
      <c r="W320" s="79"/>
      <c r="Z320" s="130"/>
      <c r="AB320" s="106"/>
    </row>
    <row r="321">
      <c r="C321" s="79"/>
      <c r="D321" s="79"/>
      <c r="E321" s="79"/>
      <c r="M321" s="79"/>
      <c r="R321" s="79"/>
      <c r="S321" s="79"/>
      <c r="V321" s="79"/>
      <c r="W321" s="79"/>
      <c r="Z321" s="130"/>
      <c r="AB321" s="106"/>
    </row>
    <row r="322">
      <c r="C322" s="79"/>
      <c r="D322" s="79"/>
      <c r="E322" s="79"/>
      <c r="M322" s="79"/>
      <c r="R322" s="79"/>
      <c r="S322" s="79"/>
      <c r="V322" s="79"/>
      <c r="W322" s="79"/>
      <c r="Z322" s="130"/>
      <c r="AB322" s="106"/>
    </row>
    <row r="323">
      <c r="C323" s="79"/>
      <c r="D323" s="79"/>
      <c r="E323" s="79"/>
      <c r="M323" s="79"/>
      <c r="R323" s="79"/>
      <c r="S323" s="79"/>
      <c r="V323" s="79"/>
      <c r="W323" s="79"/>
      <c r="Z323" s="130"/>
      <c r="AB323" s="106"/>
    </row>
    <row r="324">
      <c r="C324" s="79"/>
      <c r="D324" s="79"/>
      <c r="E324" s="79"/>
      <c r="M324" s="79"/>
      <c r="R324" s="79"/>
      <c r="S324" s="79"/>
      <c r="V324" s="79"/>
      <c r="W324" s="79"/>
      <c r="Z324" s="130"/>
      <c r="AB324" s="106"/>
    </row>
    <row r="325">
      <c r="C325" s="79"/>
      <c r="D325" s="79"/>
      <c r="E325" s="79"/>
      <c r="M325" s="79"/>
      <c r="R325" s="79"/>
      <c r="S325" s="79"/>
      <c r="V325" s="79"/>
      <c r="W325" s="79"/>
      <c r="Z325" s="130"/>
      <c r="AB325" s="106"/>
    </row>
    <row r="326">
      <c r="C326" s="79"/>
      <c r="D326" s="79"/>
      <c r="E326" s="79"/>
      <c r="M326" s="79"/>
      <c r="R326" s="79"/>
      <c r="S326" s="79"/>
      <c r="V326" s="79"/>
      <c r="W326" s="79"/>
      <c r="Z326" s="130"/>
      <c r="AB326" s="106"/>
    </row>
    <row r="327">
      <c r="C327" s="79"/>
      <c r="D327" s="79"/>
      <c r="E327" s="79"/>
      <c r="M327" s="79"/>
      <c r="R327" s="79"/>
      <c r="S327" s="79"/>
      <c r="V327" s="79"/>
      <c r="W327" s="79"/>
      <c r="Z327" s="130"/>
      <c r="AB327" s="106"/>
    </row>
    <row r="328">
      <c r="C328" s="79"/>
      <c r="D328" s="79"/>
      <c r="E328" s="79"/>
      <c r="M328" s="79"/>
      <c r="R328" s="79"/>
      <c r="S328" s="79"/>
      <c r="V328" s="79"/>
      <c r="W328" s="79"/>
      <c r="Z328" s="130"/>
      <c r="AB328" s="106"/>
    </row>
    <row r="329">
      <c r="C329" s="79"/>
      <c r="D329" s="79"/>
      <c r="E329" s="79"/>
      <c r="M329" s="79"/>
      <c r="R329" s="79"/>
      <c r="S329" s="79"/>
      <c r="V329" s="79"/>
      <c r="W329" s="79"/>
      <c r="Z329" s="130"/>
      <c r="AB329" s="106"/>
    </row>
    <row r="330">
      <c r="C330" s="79"/>
      <c r="D330" s="79"/>
      <c r="E330" s="79"/>
      <c r="M330" s="79"/>
      <c r="R330" s="79"/>
      <c r="S330" s="79"/>
      <c r="V330" s="79"/>
      <c r="W330" s="79"/>
      <c r="Z330" s="130"/>
      <c r="AB330" s="106"/>
    </row>
    <row r="331">
      <c r="C331" s="79"/>
      <c r="D331" s="79"/>
      <c r="E331" s="79"/>
      <c r="M331" s="79"/>
      <c r="R331" s="79"/>
      <c r="S331" s="79"/>
      <c r="V331" s="79"/>
      <c r="W331" s="79"/>
      <c r="Z331" s="130"/>
      <c r="AB331" s="106"/>
    </row>
    <row r="332">
      <c r="C332" s="79"/>
      <c r="D332" s="79"/>
      <c r="E332" s="79"/>
      <c r="M332" s="79"/>
      <c r="R332" s="79"/>
      <c r="S332" s="79"/>
      <c r="V332" s="79"/>
      <c r="W332" s="79"/>
      <c r="Z332" s="130"/>
      <c r="AB332" s="106"/>
    </row>
    <row r="333">
      <c r="C333" s="79"/>
      <c r="D333" s="79"/>
      <c r="E333" s="79"/>
      <c r="M333" s="79"/>
      <c r="R333" s="79"/>
      <c r="S333" s="79"/>
      <c r="V333" s="79"/>
      <c r="W333" s="79"/>
      <c r="Z333" s="130"/>
      <c r="AB333" s="106"/>
    </row>
    <row r="334">
      <c r="C334" s="79"/>
      <c r="D334" s="79"/>
      <c r="E334" s="79"/>
      <c r="M334" s="79"/>
      <c r="R334" s="79"/>
      <c r="S334" s="79"/>
      <c r="V334" s="79"/>
      <c r="W334" s="79"/>
      <c r="Z334" s="130"/>
      <c r="AB334" s="106"/>
    </row>
    <row r="335">
      <c r="C335" s="79"/>
      <c r="D335" s="79"/>
      <c r="E335" s="79"/>
      <c r="M335" s="79"/>
      <c r="R335" s="79"/>
      <c r="S335" s="79"/>
      <c r="V335" s="79"/>
      <c r="W335" s="79"/>
      <c r="Z335" s="130"/>
      <c r="AB335" s="106"/>
    </row>
    <row r="336">
      <c r="C336" s="79"/>
      <c r="D336" s="79"/>
      <c r="E336" s="79"/>
      <c r="M336" s="79"/>
      <c r="R336" s="79"/>
      <c r="S336" s="79"/>
      <c r="V336" s="79"/>
      <c r="W336" s="79"/>
      <c r="Z336" s="130"/>
      <c r="AB336" s="106"/>
    </row>
    <row r="337">
      <c r="C337" s="79"/>
      <c r="D337" s="79"/>
      <c r="E337" s="79"/>
      <c r="M337" s="79"/>
      <c r="R337" s="79"/>
      <c r="S337" s="79"/>
      <c r="V337" s="79"/>
      <c r="W337" s="79"/>
      <c r="Z337" s="130"/>
      <c r="AB337" s="106"/>
    </row>
    <row r="338">
      <c r="C338" s="79"/>
      <c r="D338" s="79"/>
      <c r="E338" s="79"/>
      <c r="M338" s="79"/>
      <c r="R338" s="79"/>
      <c r="S338" s="79"/>
      <c r="V338" s="79"/>
      <c r="W338" s="79"/>
      <c r="Z338" s="130"/>
      <c r="AB338" s="106"/>
    </row>
    <row r="339">
      <c r="C339" s="79"/>
      <c r="D339" s="79"/>
      <c r="E339" s="79"/>
      <c r="M339" s="79"/>
      <c r="R339" s="79"/>
      <c r="S339" s="79"/>
      <c r="V339" s="79"/>
      <c r="W339" s="79"/>
      <c r="Z339" s="130"/>
      <c r="AB339" s="106"/>
    </row>
    <row r="340">
      <c r="C340" s="79"/>
      <c r="D340" s="79"/>
      <c r="E340" s="79"/>
      <c r="M340" s="79"/>
      <c r="R340" s="79"/>
      <c r="S340" s="79"/>
      <c r="V340" s="79"/>
      <c r="W340" s="79"/>
      <c r="Z340" s="130"/>
      <c r="AB340" s="106"/>
    </row>
    <row r="341">
      <c r="C341" s="79"/>
      <c r="D341" s="79"/>
      <c r="E341" s="79"/>
      <c r="M341" s="79"/>
      <c r="R341" s="79"/>
      <c r="S341" s="79"/>
      <c r="V341" s="79"/>
      <c r="W341" s="79"/>
      <c r="Z341" s="130"/>
      <c r="AB341" s="106"/>
    </row>
    <row r="342">
      <c r="C342" s="79"/>
      <c r="D342" s="79"/>
      <c r="E342" s="79"/>
      <c r="M342" s="79"/>
      <c r="R342" s="79"/>
      <c r="S342" s="79"/>
      <c r="V342" s="79"/>
      <c r="W342" s="79"/>
      <c r="Z342" s="130"/>
      <c r="AB342" s="106"/>
    </row>
    <row r="343">
      <c r="C343" s="79"/>
      <c r="D343" s="79"/>
      <c r="E343" s="79"/>
      <c r="M343" s="79"/>
      <c r="R343" s="79"/>
      <c r="S343" s="79"/>
      <c r="V343" s="79"/>
      <c r="W343" s="79"/>
      <c r="Z343" s="130"/>
      <c r="AB343" s="106"/>
    </row>
    <row r="344">
      <c r="C344" s="79"/>
      <c r="D344" s="79"/>
      <c r="E344" s="79"/>
      <c r="M344" s="79"/>
      <c r="R344" s="79"/>
      <c r="S344" s="79"/>
      <c r="V344" s="79"/>
      <c r="W344" s="79"/>
      <c r="Z344" s="130"/>
      <c r="AB344" s="106"/>
    </row>
    <row r="345">
      <c r="C345" s="79"/>
      <c r="D345" s="79"/>
      <c r="E345" s="79"/>
      <c r="M345" s="79"/>
      <c r="R345" s="79"/>
      <c r="S345" s="79"/>
      <c r="V345" s="79"/>
      <c r="W345" s="79"/>
      <c r="Z345" s="130"/>
      <c r="AB345" s="106"/>
    </row>
    <row r="346">
      <c r="C346" s="79"/>
      <c r="D346" s="79"/>
      <c r="E346" s="79"/>
      <c r="M346" s="79"/>
      <c r="R346" s="79"/>
      <c r="S346" s="79"/>
      <c r="V346" s="79"/>
      <c r="W346" s="79"/>
      <c r="Z346" s="130"/>
      <c r="AB346" s="106"/>
    </row>
    <row r="347">
      <c r="C347" s="79"/>
      <c r="D347" s="79"/>
      <c r="E347" s="79"/>
      <c r="M347" s="79"/>
      <c r="R347" s="79"/>
      <c r="S347" s="79"/>
      <c r="V347" s="79"/>
      <c r="W347" s="79"/>
      <c r="Z347" s="130"/>
      <c r="AB347" s="106"/>
    </row>
    <row r="348">
      <c r="C348" s="79"/>
      <c r="D348" s="79"/>
      <c r="E348" s="79"/>
      <c r="M348" s="79"/>
      <c r="R348" s="79"/>
      <c r="S348" s="79"/>
      <c r="V348" s="79"/>
      <c r="W348" s="79"/>
      <c r="Z348" s="130"/>
      <c r="AB348" s="106"/>
    </row>
    <row r="349">
      <c r="C349" s="79"/>
      <c r="D349" s="79"/>
      <c r="E349" s="79"/>
      <c r="M349" s="79"/>
      <c r="R349" s="79"/>
      <c r="S349" s="79"/>
      <c r="V349" s="79"/>
      <c r="W349" s="79"/>
      <c r="Z349" s="130"/>
      <c r="AB349" s="106"/>
    </row>
    <row r="350">
      <c r="C350" s="79"/>
      <c r="D350" s="79"/>
      <c r="E350" s="79"/>
      <c r="M350" s="79"/>
      <c r="R350" s="79"/>
      <c r="S350" s="79"/>
      <c r="V350" s="79"/>
      <c r="W350" s="79"/>
      <c r="Z350" s="130"/>
      <c r="AB350" s="106"/>
    </row>
    <row r="351">
      <c r="C351" s="79"/>
      <c r="D351" s="79"/>
      <c r="E351" s="79"/>
      <c r="M351" s="79"/>
      <c r="R351" s="79"/>
      <c r="S351" s="79"/>
      <c r="V351" s="79"/>
      <c r="W351" s="79"/>
      <c r="Z351" s="130"/>
      <c r="AB351" s="106"/>
    </row>
    <row r="352">
      <c r="C352" s="79"/>
      <c r="D352" s="79"/>
      <c r="E352" s="79"/>
      <c r="M352" s="79"/>
      <c r="R352" s="79"/>
      <c r="S352" s="79"/>
      <c r="V352" s="79"/>
      <c r="W352" s="79"/>
      <c r="Z352" s="130"/>
      <c r="AB352" s="106"/>
    </row>
    <row r="353">
      <c r="C353" s="79"/>
      <c r="D353" s="79"/>
      <c r="E353" s="79"/>
      <c r="M353" s="79"/>
      <c r="R353" s="79"/>
      <c r="S353" s="79"/>
      <c r="V353" s="79"/>
      <c r="W353" s="79"/>
      <c r="Z353" s="130"/>
      <c r="AB353" s="106"/>
    </row>
    <row r="354">
      <c r="C354" s="79"/>
      <c r="D354" s="79"/>
      <c r="E354" s="79"/>
      <c r="M354" s="79"/>
      <c r="R354" s="79"/>
      <c r="S354" s="79"/>
      <c r="V354" s="79"/>
      <c r="W354" s="79"/>
      <c r="Z354" s="130"/>
      <c r="AB354" s="106"/>
    </row>
    <row r="355">
      <c r="C355" s="79"/>
      <c r="D355" s="79"/>
      <c r="E355" s="79"/>
      <c r="M355" s="79"/>
      <c r="R355" s="79"/>
      <c r="S355" s="79"/>
      <c r="V355" s="79"/>
      <c r="W355" s="79"/>
      <c r="Z355" s="130"/>
      <c r="AB355" s="106"/>
    </row>
    <row r="356">
      <c r="C356" s="79"/>
      <c r="D356" s="79"/>
      <c r="E356" s="79"/>
      <c r="M356" s="79"/>
      <c r="R356" s="79"/>
      <c r="S356" s="79"/>
      <c r="V356" s="79"/>
      <c r="W356" s="79"/>
      <c r="Z356" s="130"/>
      <c r="AB356" s="106"/>
    </row>
    <row r="357">
      <c r="C357" s="79"/>
      <c r="D357" s="79"/>
      <c r="E357" s="79"/>
      <c r="M357" s="79"/>
      <c r="R357" s="79"/>
      <c r="S357" s="79"/>
      <c r="V357" s="79"/>
      <c r="W357" s="79"/>
      <c r="Z357" s="130"/>
      <c r="AB357" s="106"/>
    </row>
    <row r="358">
      <c r="C358" s="79"/>
      <c r="D358" s="79"/>
      <c r="E358" s="79"/>
      <c r="M358" s="79"/>
      <c r="R358" s="79"/>
      <c r="S358" s="79"/>
      <c r="V358" s="79"/>
      <c r="W358" s="79"/>
      <c r="Z358" s="130"/>
      <c r="AB358" s="106"/>
    </row>
    <row r="359">
      <c r="C359" s="79"/>
      <c r="D359" s="79"/>
      <c r="E359" s="79"/>
      <c r="M359" s="79"/>
      <c r="R359" s="79"/>
      <c r="S359" s="79"/>
      <c r="V359" s="79"/>
      <c r="W359" s="79"/>
      <c r="Z359" s="130"/>
      <c r="AB359" s="106"/>
    </row>
    <row r="360">
      <c r="C360" s="79"/>
      <c r="D360" s="79"/>
      <c r="E360" s="79"/>
      <c r="M360" s="79"/>
      <c r="R360" s="79"/>
      <c r="S360" s="79"/>
      <c r="V360" s="79"/>
      <c r="W360" s="79"/>
      <c r="Z360" s="130"/>
      <c r="AB360" s="106"/>
    </row>
    <row r="361">
      <c r="C361" s="79"/>
      <c r="D361" s="79"/>
      <c r="E361" s="79"/>
      <c r="M361" s="79"/>
      <c r="R361" s="79"/>
      <c r="S361" s="79"/>
      <c r="V361" s="79"/>
      <c r="W361" s="79"/>
      <c r="Z361" s="130"/>
      <c r="AB361" s="106"/>
    </row>
    <row r="362">
      <c r="C362" s="79"/>
      <c r="D362" s="79"/>
      <c r="E362" s="79"/>
      <c r="M362" s="79"/>
      <c r="R362" s="79"/>
      <c r="S362" s="79"/>
      <c r="V362" s="79"/>
      <c r="W362" s="79"/>
      <c r="Z362" s="130"/>
      <c r="AB362" s="106"/>
    </row>
    <row r="363">
      <c r="C363" s="79"/>
      <c r="D363" s="79"/>
      <c r="E363" s="79"/>
      <c r="M363" s="79"/>
      <c r="R363" s="79"/>
      <c r="S363" s="79"/>
      <c r="V363" s="79"/>
      <c r="W363" s="79"/>
      <c r="Z363" s="130"/>
      <c r="AB363" s="106"/>
    </row>
    <row r="364">
      <c r="C364" s="79"/>
      <c r="D364" s="79"/>
      <c r="E364" s="79"/>
      <c r="M364" s="79"/>
      <c r="R364" s="79"/>
      <c r="S364" s="79"/>
      <c r="V364" s="79"/>
      <c r="W364" s="79"/>
      <c r="Z364" s="130"/>
      <c r="AB364" s="106"/>
    </row>
    <row r="365">
      <c r="C365" s="79"/>
      <c r="D365" s="79"/>
      <c r="E365" s="79"/>
      <c r="M365" s="79"/>
      <c r="R365" s="79"/>
      <c r="S365" s="79"/>
      <c r="V365" s="79"/>
      <c r="W365" s="79"/>
      <c r="Z365" s="130"/>
      <c r="AB365" s="106"/>
    </row>
    <row r="366">
      <c r="C366" s="79"/>
      <c r="D366" s="79"/>
      <c r="E366" s="79"/>
      <c r="M366" s="79"/>
      <c r="R366" s="79"/>
      <c r="S366" s="79"/>
      <c r="V366" s="79"/>
      <c r="W366" s="79"/>
      <c r="Z366" s="130"/>
      <c r="AB366" s="106"/>
    </row>
    <row r="367">
      <c r="C367" s="79"/>
      <c r="D367" s="79"/>
      <c r="E367" s="79"/>
      <c r="M367" s="79"/>
      <c r="R367" s="79"/>
      <c r="S367" s="79"/>
      <c r="V367" s="79"/>
      <c r="W367" s="79"/>
      <c r="Z367" s="130"/>
      <c r="AB367" s="106"/>
    </row>
    <row r="368">
      <c r="C368" s="79"/>
      <c r="D368" s="79"/>
      <c r="E368" s="79"/>
      <c r="M368" s="79"/>
      <c r="R368" s="79"/>
      <c r="S368" s="79"/>
      <c r="V368" s="79"/>
      <c r="W368" s="79"/>
      <c r="Z368" s="130"/>
      <c r="AB368" s="106"/>
    </row>
    <row r="369">
      <c r="C369" s="79"/>
      <c r="D369" s="79"/>
      <c r="E369" s="79"/>
      <c r="M369" s="79"/>
      <c r="R369" s="79"/>
      <c r="S369" s="79"/>
      <c r="V369" s="79"/>
      <c r="W369" s="79"/>
      <c r="Z369" s="130"/>
      <c r="AB369" s="106"/>
    </row>
    <row r="370">
      <c r="C370" s="79"/>
      <c r="D370" s="79"/>
      <c r="E370" s="79"/>
      <c r="M370" s="79"/>
      <c r="R370" s="79"/>
      <c r="S370" s="79"/>
      <c r="V370" s="79"/>
      <c r="W370" s="79"/>
      <c r="Z370" s="130"/>
      <c r="AB370" s="106"/>
    </row>
    <row r="371">
      <c r="C371" s="79"/>
      <c r="D371" s="79"/>
      <c r="E371" s="79"/>
      <c r="M371" s="79"/>
      <c r="R371" s="79"/>
      <c r="S371" s="79"/>
      <c r="V371" s="79"/>
      <c r="W371" s="79"/>
      <c r="Z371" s="130"/>
      <c r="AB371" s="106"/>
    </row>
    <row r="372">
      <c r="C372" s="79"/>
      <c r="D372" s="79"/>
      <c r="E372" s="79"/>
      <c r="M372" s="79"/>
      <c r="R372" s="79"/>
      <c r="S372" s="79"/>
      <c r="V372" s="79"/>
      <c r="W372" s="79"/>
      <c r="Z372" s="130"/>
      <c r="AB372" s="106"/>
    </row>
    <row r="373">
      <c r="C373" s="79"/>
      <c r="D373" s="79"/>
      <c r="E373" s="79"/>
      <c r="M373" s="79"/>
      <c r="R373" s="79"/>
      <c r="S373" s="79"/>
      <c r="V373" s="79"/>
      <c r="W373" s="79"/>
      <c r="Z373" s="130"/>
      <c r="AB373" s="106"/>
    </row>
    <row r="374">
      <c r="C374" s="79"/>
      <c r="D374" s="79"/>
      <c r="E374" s="79"/>
      <c r="M374" s="79"/>
      <c r="R374" s="79"/>
      <c r="S374" s="79"/>
      <c r="V374" s="79"/>
      <c r="W374" s="79"/>
      <c r="Z374" s="130"/>
      <c r="AB374" s="106"/>
    </row>
    <row r="375">
      <c r="C375" s="79"/>
      <c r="D375" s="79"/>
      <c r="E375" s="79"/>
      <c r="M375" s="79"/>
      <c r="R375" s="79"/>
      <c r="S375" s="79"/>
      <c r="V375" s="79"/>
      <c r="W375" s="79"/>
      <c r="Z375" s="130"/>
      <c r="AB375" s="106"/>
    </row>
    <row r="376">
      <c r="C376" s="79"/>
      <c r="D376" s="79"/>
      <c r="E376" s="79"/>
      <c r="M376" s="79"/>
      <c r="R376" s="79"/>
      <c r="S376" s="79"/>
      <c r="V376" s="79"/>
      <c r="W376" s="79"/>
      <c r="Z376" s="130"/>
      <c r="AB376" s="106"/>
    </row>
    <row r="377">
      <c r="C377" s="79"/>
      <c r="D377" s="79"/>
      <c r="E377" s="79"/>
      <c r="M377" s="79"/>
      <c r="R377" s="79"/>
      <c r="S377" s="79"/>
      <c r="V377" s="79"/>
      <c r="W377" s="79"/>
      <c r="Z377" s="130"/>
      <c r="AB377" s="106"/>
    </row>
    <row r="378">
      <c r="C378" s="79"/>
      <c r="D378" s="79"/>
      <c r="E378" s="79"/>
      <c r="M378" s="79"/>
      <c r="R378" s="79"/>
      <c r="S378" s="79"/>
      <c r="V378" s="79"/>
      <c r="W378" s="79"/>
      <c r="Z378" s="130"/>
      <c r="AB378" s="106"/>
    </row>
    <row r="379">
      <c r="C379" s="79"/>
      <c r="D379" s="79"/>
      <c r="E379" s="79"/>
      <c r="M379" s="79"/>
      <c r="R379" s="79"/>
      <c r="S379" s="79"/>
      <c r="V379" s="79"/>
      <c r="W379" s="79"/>
      <c r="Z379" s="130"/>
      <c r="AB379" s="106"/>
    </row>
    <row r="380">
      <c r="C380" s="79"/>
      <c r="D380" s="79"/>
      <c r="E380" s="79"/>
      <c r="M380" s="79"/>
      <c r="R380" s="79"/>
      <c r="S380" s="79"/>
      <c r="V380" s="79"/>
      <c r="W380" s="79"/>
      <c r="Z380" s="130"/>
      <c r="AB380" s="106"/>
    </row>
    <row r="381">
      <c r="C381" s="79"/>
      <c r="D381" s="79"/>
      <c r="E381" s="79"/>
      <c r="M381" s="79"/>
      <c r="R381" s="79"/>
      <c r="S381" s="79"/>
      <c r="V381" s="79"/>
      <c r="W381" s="79"/>
      <c r="Z381" s="130"/>
      <c r="AB381" s="106"/>
    </row>
    <row r="382">
      <c r="C382" s="79"/>
      <c r="D382" s="79"/>
      <c r="E382" s="79"/>
      <c r="M382" s="79"/>
      <c r="R382" s="79"/>
      <c r="S382" s="79"/>
      <c r="V382" s="79"/>
      <c r="W382" s="79"/>
      <c r="Z382" s="130"/>
      <c r="AB382" s="106"/>
    </row>
    <row r="383">
      <c r="C383" s="79"/>
      <c r="D383" s="79"/>
      <c r="E383" s="79"/>
      <c r="M383" s="79"/>
      <c r="R383" s="79"/>
      <c r="S383" s="79"/>
      <c r="V383" s="79"/>
      <c r="W383" s="79"/>
      <c r="Z383" s="130"/>
      <c r="AB383" s="106"/>
    </row>
    <row r="384">
      <c r="C384" s="79"/>
      <c r="D384" s="79"/>
      <c r="E384" s="79"/>
      <c r="M384" s="79"/>
      <c r="R384" s="79"/>
      <c r="S384" s="79"/>
      <c r="V384" s="79"/>
      <c r="W384" s="79"/>
      <c r="Z384" s="130"/>
      <c r="AB384" s="106"/>
    </row>
    <row r="385">
      <c r="C385" s="79"/>
      <c r="D385" s="79"/>
      <c r="E385" s="79"/>
      <c r="M385" s="79"/>
      <c r="R385" s="79"/>
      <c r="S385" s="79"/>
      <c r="V385" s="79"/>
      <c r="W385" s="79"/>
      <c r="Z385" s="130"/>
      <c r="AB385" s="106"/>
    </row>
    <row r="386">
      <c r="C386" s="79"/>
      <c r="D386" s="79"/>
      <c r="E386" s="79"/>
      <c r="M386" s="79"/>
      <c r="R386" s="79"/>
      <c r="S386" s="79"/>
      <c r="V386" s="79"/>
      <c r="W386" s="79"/>
      <c r="Z386" s="130"/>
      <c r="AB386" s="106"/>
    </row>
    <row r="387">
      <c r="C387" s="79"/>
      <c r="D387" s="79"/>
      <c r="E387" s="79"/>
      <c r="M387" s="79"/>
      <c r="R387" s="79"/>
      <c r="S387" s="79"/>
      <c r="V387" s="79"/>
      <c r="W387" s="79"/>
      <c r="Z387" s="130"/>
      <c r="AB387" s="106"/>
    </row>
    <row r="388">
      <c r="C388" s="79"/>
      <c r="D388" s="79"/>
      <c r="E388" s="79"/>
      <c r="M388" s="79"/>
      <c r="R388" s="79"/>
      <c r="S388" s="79"/>
      <c r="V388" s="79"/>
      <c r="W388" s="79"/>
      <c r="Z388" s="130"/>
      <c r="AB388" s="106"/>
    </row>
    <row r="389">
      <c r="C389" s="79"/>
      <c r="D389" s="79"/>
      <c r="E389" s="79"/>
      <c r="M389" s="79"/>
      <c r="R389" s="79"/>
      <c r="S389" s="79"/>
      <c r="V389" s="79"/>
      <c r="W389" s="79"/>
      <c r="Z389" s="130"/>
      <c r="AB389" s="106"/>
    </row>
    <row r="390">
      <c r="C390" s="79"/>
      <c r="D390" s="79"/>
      <c r="E390" s="79"/>
      <c r="M390" s="79"/>
      <c r="R390" s="79"/>
      <c r="S390" s="79"/>
      <c r="V390" s="79"/>
      <c r="W390" s="79"/>
      <c r="Z390" s="130"/>
      <c r="AB390" s="106"/>
    </row>
    <row r="391">
      <c r="C391" s="79"/>
      <c r="D391" s="79"/>
      <c r="E391" s="79"/>
      <c r="M391" s="79"/>
      <c r="R391" s="79"/>
      <c r="S391" s="79"/>
      <c r="V391" s="79"/>
      <c r="W391" s="79"/>
      <c r="Z391" s="130"/>
      <c r="AB391" s="106"/>
    </row>
    <row r="392">
      <c r="C392" s="79"/>
      <c r="D392" s="79"/>
      <c r="E392" s="79"/>
      <c r="M392" s="79"/>
      <c r="R392" s="79"/>
      <c r="S392" s="79"/>
      <c r="V392" s="79"/>
      <c r="W392" s="79"/>
      <c r="Z392" s="130"/>
      <c r="AB392" s="106"/>
    </row>
    <row r="393">
      <c r="C393" s="79"/>
      <c r="D393" s="79"/>
      <c r="E393" s="79"/>
      <c r="M393" s="79"/>
      <c r="R393" s="79"/>
      <c r="S393" s="79"/>
      <c r="V393" s="79"/>
      <c r="W393" s="79"/>
      <c r="Z393" s="130"/>
      <c r="AB393" s="106"/>
    </row>
    <row r="394">
      <c r="C394" s="79"/>
      <c r="D394" s="79"/>
      <c r="E394" s="79"/>
      <c r="M394" s="79"/>
      <c r="R394" s="79"/>
      <c r="S394" s="79"/>
      <c r="V394" s="79"/>
      <c r="W394" s="79"/>
      <c r="Z394" s="130"/>
      <c r="AB394" s="106"/>
    </row>
    <row r="395">
      <c r="C395" s="79"/>
      <c r="D395" s="79"/>
      <c r="E395" s="79"/>
      <c r="M395" s="79"/>
      <c r="R395" s="79"/>
      <c r="S395" s="79"/>
      <c r="V395" s="79"/>
      <c r="W395" s="79"/>
      <c r="Z395" s="130"/>
      <c r="AB395" s="106"/>
    </row>
    <row r="396">
      <c r="C396" s="79"/>
      <c r="D396" s="79"/>
      <c r="E396" s="79"/>
      <c r="M396" s="79"/>
      <c r="R396" s="79"/>
      <c r="S396" s="79"/>
      <c r="V396" s="79"/>
      <c r="W396" s="79"/>
      <c r="Z396" s="130"/>
      <c r="AB396" s="106"/>
    </row>
    <row r="397">
      <c r="C397" s="79"/>
      <c r="D397" s="79"/>
      <c r="E397" s="79"/>
      <c r="M397" s="79"/>
      <c r="R397" s="79"/>
      <c r="S397" s="79"/>
      <c r="V397" s="79"/>
      <c r="W397" s="79"/>
      <c r="Z397" s="130"/>
      <c r="AB397" s="106"/>
    </row>
    <row r="398">
      <c r="C398" s="79"/>
      <c r="D398" s="79"/>
      <c r="E398" s="79"/>
      <c r="M398" s="79"/>
      <c r="R398" s="79"/>
      <c r="S398" s="79"/>
      <c r="V398" s="79"/>
      <c r="W398" s="79"/>
      <c r="Z398" s="130"/>
      <c r="AB398" s="106"/>
    </row>
    <row r="399">
      <c r="C399" s="79"/>
      <c r="D399" s="79"/>
      <c r="E399" s="79"/>
      <c r="M399" s="79"/>
      <c r="R399" s="79"/>
      <c r="S399" s="79"/>
      <c r="V399" s="79"/>
      <c r="W399" s="79"/>
      <c r="Z399" s="130"/>
      <c r="AB399" s="106"/>
    </row>
    <row r="400">
      <c r="C400" s="79"/>
      <c r="D400" s="79"/>
      <c r="E400" s="79"/>
      <c r="M400" s="79"/>
      <c r="R400" s="79"/>
      <c r="S400" s="79"/>
      <c r="V400" s="79"/>
      <c r="W400" s="79"/>
      <c r="Z400" s="130"/>
      <c r="AB400" s="106"/>
    </row>
    <row r="401">
      <c r="C401" s="79"/>
      <c r="D401" s="79"/>
      <c r="E401" s="79"/>
      <c r="M401" s="79"/>
      <c r="R401" s="79"/>
      <c r="S401" s="79"/>
      <c r="V401" s="79"/>
      <c r="W401" s="79"/>
      <c r="Z401" s="130"/>
      <c r="AB401" s="106"/>
    </row>
    <row r="402">
      <c r="C402" s="79"/>
      <c r="D402" s="79"/>
      <c r="E402" s="79"/>
      <c r="M402" s="79"/>
      <c r="R402" s="79"/>
      <c r="S402" s="79"/>
      <c r="V402" s="79"/>
      <c r="W402" s="79"/>
      <c r="Z402" s="130"/>
      <c r="AB402" s="106"/>
    </row>
    <row r="403">
      <c r="C403" s="79"/>
      <c r="D403" s="79"/>
      <c r="E403" s="79"/>
      <c r="M403" s="79"/>
      <c r="R403" s="79"/>
      <c r="S403" s="79"/>
      <c r="V403" s="79"/>
      <c r="W403" s="79"/>
      <c r="Z403" s="130"/>
      <c r="AB403" s="106"/>
    </row>
    <row r="404">
      <c r="C404" s="79"/>
      <c r="D404" s="79"/>
      <c r="E404" s="79"/>
      <c r="M404" s="79"/>
      <c r="R404" s="79"/>
      <c r="S404" s="79"/>
      <c r="V404" s="79"/>
      <c r="W404" s="79"/>
      <c r="Z404" s="130"/>
      <c r="AB404" s="106"/>
    </row>
    <row r="405">
      <c r="C405" s="79"/>
      <c r="D405" s="79"/>
      <c r="E405" s="79"/>
      <c r="M405" s="79"/>
      <c r="R405" s="79"/>
      <c r="S405" s="79"/>
      <c r="V405" s="79"/>
      <c r="W405" s="79"/>
      <c r="Z405" s="130"/>
      <c r="AB405" s="106"/>
    </row>
    <row r="406">
      <c r="C406" s="79"/>
      <c r="D406" s="79"/>
      <c r="E406" s="79"/>
      <c r="M406" s="79"/>
      <c r="R406" s="79"/>
      <c r="S406" s="79"/>
      <c r="V406" s="79"/>
      <c r="W406" s="79"/>
      <c r="Z406" s="130"/>
      <c r="AB406" s="106"/>
    </row>
    <row r="407">
      <c r="C407" s="79"/>
      <c r="D407" s="79"/>
      <c r="E407" s="79"/>
      <c r="M407" s="79"/>
      <c r="R407" s="79"/>
      <c r="S407" s="79"/>
      <c r="V407" s="79"/>
      <c r="W407" s="79"/>
      <c r="Z407" s="130"/>
      <c r="AB407" s="106"/>
    </row>
    <row r="408">
      <c r="C408" s="79"/>
      <c r="D408" s="79"/>
      <c r="E408" s="79"/>
      <c r="M408" s="79"/>
      <c r="R408" s="79"/>
      <c r="S408" s="79"/>
      <c r="V408" s="79"/>
      <c r="W408" s="79"/>
      <c r="Z408" s="130"/>
      <c r="AB408" s="106"/>
    </row>
    <row r="409">
      <c r="C409" s="79"/>
      <c r="D409" s="79"/>
      <c r="E409" s="79"/>
      <c r="M409" s="79"/>
      <c r="R409" s="79"/>
      <c r="S409" s="79"/>
      <c r="V409" s="79"/>
      <c r="W409" s="79"/>
      <c r="Z409" s="130"/>
      <c r="AB409" s="106"/>
    </row>
    <row r="410">
      <c r="C410" s="79"/>
      <c r="D410" s="79"/>
      <c r="E410" s="79"/>
      <c r="M410" s="79"/>
      <c r="R410" s="79"/>
      <c r="S410" s="79"/>
      <c r="V410" s="79"/>
      <c r="W410" s="79"/>
      <c r="Z410" s="130"/>
      <c r="AB410" s="106"/>
    </row>
    <row r="411">
      <c r="C411" s="79"/>
      <c r="D411" s="79"/>
      <c r="E411" s="79"/>
      <c r="M411" s="79"/>
      <c r="R411" s="79"/>
      <c r="S411" s="79"/>
      <c r="V411" s="79"/>
      <c r="W411" s="79"/>
      <c r="Z411" s="130"/>
      <c r="AB411" s="106"/>
    </row>
    <row r="412">
      <c r="C412" s="79"/>
      <c r="D412" s="79"/>
      <c r="E412" s="79"/>
      <c r="M412" s="79"/>
      <c r="R412" s="79"/>
      <c r="S412" s="79"/>
      <c r="V412" s="79"/>
      <c r="W412" s="79"/>
      <c r="Z412" s="130"/>
      <c r="AB412" s="106"/>
    </row>
    <row r="413">
      <c r="C413" s="79"/>
      <c r="D413" s="79"/>
      <c r="E413" s="79"/>
      <c r="M413" s="79"/>
      <c r="R413" s="79"/>
      <c r="S413" s="79"/>
      <c r="V413" s="79"/>
      <c r="W413" s="79"/>
      <c r="Z413" s="130"/>
      <c r="AB413" s="106"/>
    </row>
    <row r="414">
      <c r="C414" s="79"/>
      <c r="D414" s="79"/>
      <c r="E414" s="79"/>
      <c r="M414" s="79"/>
      <c r="R414" s="79"/>
      <c r="S414" s="79"/>
      <c r="V414" s="79"/>
      <c r="W414" s="79"/>
      <c r="Z414" s="130"/>
      <c r="AB414" s="106"/>
    </row>
    <row r="415">
      <c r="C415" s="79"/>
      <c r="D415" s="79"/>
      <c r="E415" s="79"/>
      <c r="M415" s="79"/>
      <c r="R415" s="79"/>
      <c r="S415" s="79"/>
      <c r="V415" s="79"/>
      <c r="W415" s="79"/>
      <c r="Z415" s="130"/>
      <c r="AB415" s="106"/>
    </row>
    <row r="416">
      <c r="C416" s="79"/>
      <c r="D416" s="79"/>
      <c r="E416" s="79"/>
      <c r="M416" s="79"/>
      <c r="R416" s="79"/>
      <c r="S416" s="79"/>
      <c r="V416" s="79"/>
      <c r="W416" s="79"/>
      <c r="Z416" s="130"/>
      <c r="AB416" s="106"/>
    </row>
    <row r="417">
      <c r="C417" s="79"/>
      <c r="D417" s="79"/>
      <c r="E417" s="79"/>
      <c r="M417" s="79"/>
      <c r="R417" s="79"/>
      <c r="S417" s="79"/>
      <c r="V417" s="79"/>
      <c r="W417" s="79"/>
      <c r="Z417" s="130"/>
      <c r="AB417" s="106"/>
    </row>
    <row r="418">
      <c r="C418" s="79"/>
      <c r="D418" s="79"/>
      <c r="E418" s="79"/>
      <c r="M418" s="79"/>
      <c r="R418" s="79"/>
      <c r="S418" s="79"/>
      <c r="V418" s="79"/>
      <c r="W418" s="79"/>
      <c r="Z418" s="130"/>
      <c r="AB418" s="106"/>
    </row>
    <row r="419">
      <c r="C419" s="79"/>
      <c r="D419" s="79"/>
      <c r="E419" s="79"/>
      <c r="M419" s="79"/>
      <c r="R419" s="79"/>
      <c r="S419" s="79"/>
      <c r="V419" s="79"/>
      <c r="W419" s="79"/>
      <c r="Z419" s="130"/>
      <c r="AB419" s="106"/>
    </row>
    <row r="420">
      <c r="C420" s="79"/>
      <c r="D420" s="79"/>
      <c r="E420" s="79"/>
      <c r="M420" s="79"/>
      <c r="R420" s="79"/>
      <c r="S420" s="79"/>
      <c r="V420" s="79"/>
      <c r="W420" s="79"/>
      <c r="Z420" s="130"/>
      <c r="AB420" s="106"/>
    </row>
    <row r="421">
      <c r="C421" s="79"/>
      <c r="D421" s="79"/>
      <c r="E421" s="79"/>
      <c r="M421" s="79"/>
      <c r="R421" s="79"/>
      <c r="S421" s="79"/>
      <c r="V421" s="79"/>
      <c r="W421" s="79"/>
      <c r="Z421" s="130"/>
      <c r="AB421" s="106"/>
    </row>
    <row r="422">
      <c r="C422" s="79"/>
      <c r="D422" s="79"/>
      <c r="E422" s="79"/>
      <c r="M422" s="79"/>
      <c r="R422" s="79"/>
      <c r="S422" s="79"/>
      <c r="V422" s="79"/>
      <c r="W422" s="79"/>
      <c r="Z422" s="130"/>
      <c r="AB422" s="106"/>
    </row>
    <row r="423">
      <c r="C423" s="79"/>
      <c r="D423" s="79"/>
      <c r="E423" s="79"/>
      <c r="M423" s="79"/>
      <c r="R423" s="79"/>
      <c r="S423" s="79"/>
      <c r="V423" s="79"/>
      <c r="W423" s="79"/>
      <c r="Z423" s="130"/>
      <c r="AB423" s="106"/>
    </row>
    <row r="424">
      <c r="C424" s="79"/>
      <c r="D424" s="79"/>
      <c r="E424" s="79"/>
      <c r="M424" s="79"/>
      <c r="R424" s="79"/>
      <c r="S424" s="79"/>
      <c r="V424" s="79"/>
      <c r="W424" s="79"/>
      <c r="Z424" s="130"/>
      <c r="AB424" s="106"/>
    </row>
    <row r="425">
      <c r="C425" s="79"/>
      <c r="D425" s="79"/>
      <c r="E425" s="79"/>
      <c r="M425" s="79"/>
      <c r="R425" s="79"/>
      <c r="S425" s="79"/>
      <c r="V425" s="79"/>
      <c r="W425" s="79"/>
      <c r="Z425" s="130"/>
      <c r="AB425" s="106"/>
    </row>
    <row r="426">
      <c r="C426" s="79"/>
      <c r="D426" s="79"/>
      <c r="E426" s="79"/>
      <c r="M426" s="79"/>
      <c r="R426" s="79"/>
      <c r="S426" s="79"/>
      <c r="V426" s="79"/>
      <c r="W426" s="79"/>
      <c r="Z426" s="130"/>
      <c r="AB426" s="106"/>
    </row>
    <row r="427">
      <c r="C427" s="79"/>
      <c r="D427" s="79"/>
      <c r="E427" s="79"/>
      <c r="M427" s="79"/>
      <c r="R427" s="79"/>
      <c r="S427" s="79"/>
      <c r="V427" s="79"/>
      <c r="W427" s="79"/>
      <c r="Z427" s="130"/>
      <c r="AB427" s="106"/>
    </row>
    <row r="428">
      <c r="C428" s="79"/>
      <c r="D428" s="79"/>
      <c r="E428" s="79"/>
      <c r="M428" s="79"/>
      <c r="R428" s="79"/>
      <c r="S428" s="79"/>
      <c r="V428" s="79"/>
      <c r="W428" s="79"/>
      <c r="Z428" s="130"/>
      <c r="AB428" s="106"/>
    </row>
    <row r="429">
      <c r="C429" s="79"/>
      <c r="D429" s="79"/>
      <c r="E429" s="79"/>
      <c r="M429" s="79"/>
      <c r="R429" s="79"/>
      <c r="S429" s="79"/>
      <c r="V429" s="79"/>
      <c r="W429" s="79"/>
      <c r="Z429" s="130"/>
      <c r="AB429" s="106"/>
    </row>
    <row r="430">
      <c r="C430" s="79"/>
      <c r="D430" s="79"/>
      <c r="E430" s="79"/>
      <c r="M430" s="79"/>
      <c r="R430" s="79"/>
      <c r="S430" s="79"/>
      <c r="V430" s="79"/>
      <c r="W430" s="79"/>
      <c r="Z430" s="130"/>
      <c r="AB430" s="106"/>
    </row>
    <row r="431">
      <c r="C431" s="79"/>
      <c r="D431" s="79"/>
      <c r="E431" s="79"/>
      <c r="M431" s="79"/>
      <c r="R431" s="79"/>
      <c r="S431" s="79"/>
      <c r="V431" s="79"/>
      <c r="W431" s="79"/>
      <c r="Z431" s="130"/>
      <c r="AB431" s="106"/>
    </row>
    <row r="432">
      <c r="C432" s="79"/>
      <c r="D432" s="79"/>
      <c r="E432" s="79"/>
      <c r="M432" s="79"/>
      <c r="R432" s="79"/>
      <c r="S432" s="79"/>
      <c r="V432" s="79"/>
      <c r="W432" s="79"/>
      <c r="Z432" s="130"/>
      <c r="AB432" s="106"/>
    </row>
    <row r="433">
      <c r="C433" s="79"/>
      <c r="D433" s="79"/>
      <c r="E433" s="79"/>
      <c r="M433" s="79"/>
      <c r="R433" s="79"/>
      <c r="S433" s="79"/>
      <c r="V433" s="79"/>
      <c r="W433" s="79"/>
      <c r="Z433" s="130"/>
      <c r="AB433" s="106"/>
    </row>
    <row r="434">
      <c r="C434" s="79"/>
      <c r="D434" s="79"/>
      <c r="E434" s="79"/>
      <c r="M434" s="79"/>
      <c r="R434" s="79"/>
      <c r="S434" s="79"/>
      <c r="V434" s="79"/>
      <c r="W434" s="79"/>
      <c r="Z434" s="130"/>
      <c r="AB434" s="106"/>
    </row>
    <row r="435">
      <c r="C435" s="79"/>
      <c r="D435" s="79"/>
      <c r="E435" s="79"/>
      <c r="M435" s="79"/>
      <c r="R435" s="79"/>
      <c r="S435" s="79"/>
      <c r="V435" s="79"/>
      <c r="W435" s="79"/>
      <c r="Z435" s="130"/>
      <c r="AB435" s="106"/>
    </row>
    <row r="436">
      <c r="C436" s="79"/>
      <c r="D436" s="79"/>
      <c r="E436" s="79"/>
      <c r="M436" s="79"/>
      <c r="R436" s="79"/>
      <c r="S436" s="79"/>
      <c r="V436" s="79"/>
      <c r="W436" s="79"/>
      <c r="Z436" s="130"/>
      <c r="AB436" s="106"/>
    </row>
    <row r="437">
      <c r="C437" s="79"/>
      <c r="D437" s="79"/>
      <c r="E437" s="79"/>
      <c r="M437" s="79"/>
      <c r="R437" s="79"/>
      <c r="S437" s="79"/>
      <c r="V437" s="79"/>
      <c r="W437" s="79"/>
      <c r="Z437" s="130"/>
      <c r="AB437" s="106"/>
    </row>
    <row r="438">
      <c r="C438" s="79"/>
      <c r="D438" s="79"/>
      <c r="E438" s="79"/>
      <c r="M438" s="79"/>
      <c r="R438" s="79"/>
      <c r="S438" s="79"/>
      <c r="V438" s="79"/>
      <c r="W438" s="79"/>
      <c r="Z438" s="130"/>
      <c r="AB438" s="106"/>
    </row>
    <row r="439">
      <c r="C439" s="79"/>
      <c r="D439" s="79"/>
      <c r="E439" s="79"/>
      <c r="M439" s="79"/>
      <c r="R439" s="79"/>
      <c r="S439" s="79"/>
      <c r="V439" s="79"/>
      <c r="W439" s="79"/>
      <c r="Z439" s="130"/>
      <c r="AB439" s="106"/>
    </row>
    <row r="440">
      <c r="C440" s="79"/>
      <c r="D440" s="79"/>
      <c r="E440" s="79"/>
      <c r="M440" s="79"/>
      <c r="R440" s="79"/>
      <c r="S440" s="79"/>
      <c r="V440" s="79"/>
      <c r="W440" s="79"/>
      <c r="Z440" s="130"/>
      <c r="AB440" s="106"/>
    </row>
    <row r="441">
      <c r="C441" s="79"/>
      <c r="D441" s="79"/>
      <c r="E441" s="79"/>
      <c r="M441" s="79"/>
      <c r="R441" s="79"/>
      <c r="S441" s="79"/>
      <c r="V441" s="79"/>
      <c r="W441" s="79"/>
      <c r="Z441" s="130"/>
      <c r="AB441" s="106"/>
    </row>
    <row r="442">
      <c r="C442" s="79"/>
      <c r="D442" s="79"/>
      <c r="E442" s="79"/>
      <c r="M442" s="79"/>
      <c r="R442" s="79"/>
      <c r="S442" s="79"/>
      <c r="V442" s="79"/>
      <c r="W442" s="79"/>
      <c r="Z442" s="130"/>
      <c r="AB442" s="106"/>
    </row>
    <row r="443">
      <c r="C443" s="79"/>
      <c r="D443" s="79"/>
      <c r="E443" s="79"/>
      <c r="M443" s="79"/>
      <c r="R443" s="79"/>
      <c r="S443" s="79"/>
      <c r="V443" s="79"/>
      <c r="W443" s="79"/>
      <c r="Z443" s="130"/>
      <c r="AB443" s="106"/>
    </row>
    <row r="444">
      <c r="C444" s="79"/>
      <c r="D444" s="79"/>
      <c r="E444" s="79"/>
      <c r="M444" s="79"/>
      <c r="R444" s="79"/>
      <c r="S444" s="79"/>
      <c r="V444" s="79"/>
      <c r="W444" s="79"/>
      <c r="Z444" s="130"/>
      <c r="AB444" s="106"/>
    </row>
    <row r="445">
      <c r="C445" s="79"/>
      <c r="D445" s="79"/>
      <c r="E445" s="79"/>
      <c r="M445" s="79"/>
      <c r="R445" s="79"/>
      <c r="S445" s="79"/>
      <c r="V445" s="79"/>
      <c r="W445" s="79"/>
      <c r="Z445" s="130"/>
      <c r="AB445" s="106"/>
    </row>
    <row r="446">
      <c r="C446" s="79"/>
      <c r="D446" s="79"/>
      <c r="E446" s="79"/>
      <c r="M446" s="79"/>
      <c r="R446" s="79"/>
      <c r="S446" s="79"/>
      <c r="V446" s="79"/>
      <c r="W446" s="79"/>
      <c r="Z446" s="130"/>
      <c r="AB446" s="106"/>
    </row>
    <row r="447">
      <c r="C447" s="79"/>
      <c r="D447" s="79"/>
      <c r="E447" s="79"/>
      <c r="M447" s="79"/>
      <c r="R447" s="79"/>
      <c r="S447" s="79"/>
      <c r="V447" s="79"/>
      <c r="W447" s="79"/>
      <c r="Z447" s="130"/>
      <c r="AB447" s="106"/>
    </row>
    <row r="448">
      <c r="C448" s="79"/>
      <c r="D448" s="79"/>
      <c r="E448" s="79"/>
      <c r="M448" s="79"/>
      <c r="R448" s="79"/>
      <c r="S448" s="79"/>
      <c r="V448" s="79"/>
      <c r="W448" s="79"/>
      <c r="Z448" s="130"/>
      <c r="AB448" s="106"/>
    </row>
    <row r="449">
      <c r="C449" s="79"/>
      <c r="D449" s="79"/>
      <c r="E449" s="79"/>
      <c r="M449" s="79"/>
      <c r="R449" s="79"/>
      <c r="S449" s="79"/>
      <c r="V449" s="79"/>
      <c r="W449" s="79"/>
      <c r="Z449" s="130"/>
      <c r="AB449" s="106"/>
    </row>
    <row r="450">
      <c r="C450" s="79"/>
      <c r="D450" s="79"/>
      <c r="E450" s="79"/>
      <c r="M450" s="79"/>
      <c r="R450" s="79"/>
      <c r="S450" s="79"/>
      <c r="V450" s="79"/>
      <c r="W450" s="79"/>
      <c r="Z450" s="130"/>
      <c r="AB450" s="106"/>
    </row>
    <row r="451">
      <c r="C451" s="79"/>
      <c r="D451" s="79"/>
      <c r="E451" s="79"/>
      <c r="M451" s="79"/>
      <c r="R451" s="79"/>
      <c r="S451" s="79"/>
      <c r="V451" s="79"/>
      <c r="W451" s="79"/>
      <c r="Z451" s="130"/>
      <c r="AB451" s="106"/>
    </row>
    <row r="452">
      <c r="C452" s="79"/>
      <c r="D452" s="79"/>
      <c r="E452" s="79"/>
      <c r="M452" s="79"/>
      <c r="R452" s="79"/>
      <c r="S452" s="79"/>
      <c r="V452" s="79"/>
      <c r="W452" s="79"/>
      <c r="Z452" s="130"/>
      <c r="AB452" s="106"/>
    </row>
    <row r="453">
      <c r="C453" s="79"/>
      <c r="D453" s="79"/>
      <c r="E453" s="79"/>
      <c r="M453" s="79"/>
      <c r="R453" s="79"/>
      <c r="S453" s="79"/>
      <c r="V453" s="79"/>
      <c r="W453" s="79"/>
      <c r="Z453" s="130"/>
      <c r="AB453" s="106"/>
    </row>
    <row r="454">
      <c r="C454" s="79"/>
      <c r="D454" s="79"/>
      <c r="E454" s="79"/>
      <c r="M454" s="79"/>
      <c r="R454" s="79"/>
      <c r="S454" s="79"/>
      <c r="V454" s="79"/>
      <c r="W454" s="79"/>
      <c r="Z454" s="130"/>
      <c r="AB454" s="106"/>
    </row>
    <row r="455">
      <c r="C455" s="79"/>
      <c r="D455" s="79"/>
      <c r="E455" s="79"/>
      <c r="M455" s="79"/>
      <c r="R455" s="79"/>
      <c r="S455" s="79"/>
      <c r="V455" s="79"/>
      <c r="W455" s="79"/>
      <c r="Z455" s="130"/>
      <c r="AB455" s="106"/>
    </row>
    <row r="456">
      <c r="C456" s="79"/>
      <c r="D456" s="79"/>
      <c r="E456" s="79"/>
      <c r="M456" s="79"/>
      <c r="R456" s="79"/>
      <c r="S456" s="79"/>
      <c r="V456" s="79"/>
      <c r="W456" s="79"/>
      <c r="Z456" s="130"/>
      <c r="AB456" s="106"/>
    </row>
    <row r="457">
      <c r="C457" s="79"/>
      <c r="D457" s="79"/>
      <c r="E457" s="79"/>
      <c r="M457" s="79"/>
      <c r="R457" s="79"/>
      <c r="S457" s="79"/>
      <c r="V457" s="79"/>
      <c r="W457" s="79"/>
      <c r="Z457" s="130"/>
      <c r="AB457" s="106"/>
    </row>
    <row r="458">
      <c r="C458" s="79"/>
      <c r="D458" s="79"/>
      <c r="E458" s="79"/>
      <c r="M458" s="79"/>
      <c r="R458" s="79"/>
      <c r="S458" s="79"/>
      <c r="V458" s="79"/>
      <c r="W458" s="79"/>
      <c r="Z458" s="130"/>
      <c r="AB458" s="106"/>
    </row>
    <row r="459">
      <c r="C459" s="79"/>
      <c r="D459" s="79"/>
      <c r="E459" s="79"/>
      <c r="M459" s="79"/>
      <c r="R459" s="79"/>
      <c r="S459" s="79"/>
      <c r="V459" s="79"/>
      <c r="W459" s="79"/>
      <c r="Z459" s="130"/>
      <c r="AB459" s="106"/>
    </row>
    <row r="460">
      <c r="C460" s="79"/>
      <c r="D460" s="79"/>
      <c r="E460" s="79"/>
      <c r="M460" s="79"/>
      <c r="R460" s="79"/>
      <c r="S460" s="79"/>
      <c r="V460" s="79"/>
      <c r="W460" s="79"/>
      <c r="Z460" s="130"/>
      <c r="AB460" s="106"/>
    </row>
    <row r="461">
      <c r="C461" s="79"/>
      <c r="D461" s="79"/>
      <c r="E461" s="79"/>
      <c r="M461" s="79"/>
      <c r="R461" s="79"/>
      <c r="S461" s="79"/>
      <c r="V461" s="79"/>
      <c r="W461" s="79"/>
      <c r="Z461" s="130"/>
      <c r="AB461" s="106"/>
    </row>
    <row r="462">
      <c r="C462" s="79"/>
      <c r="D462" s="79"/>
      <c r="E462" s="79"/>
      <c r="M462" s="79"/>
      <c r="R462" s="79"/>
      <c r="S462" s="79"/>
      <c r="V462" s="79"/>
      <c r="W462" s="79"/>
      <c r="Z462" s="130"/>
      <c r="AB462" s="106"/>
    </row>
    <row r="463">
      <c r="C463" s="79"/>
      <c r="D463" s="79"/>
      <c r="E463" s="79"/>
      <c r="M463" s="79"/>
      <c r="R463" s="79"/>
      <c r="S463" s="79"/>
      <c r="V463" s="79"/>
      <c r="W463" s="79"/>
      <c r="Z463" s="130"/>
      <c r="AB463" s="106"/>
    </row>
    <row r="464">
      <c r="C464" s="79"/>
      <c r="D464" s="79"/>
      <c r="E464" s="79"/>
      <c r="M464" s="79"/>
      <c r="R464" s="79"/>
      <c r="S464" s="79"/>
      <c r="V464" s="79"/>
      <c r="W464" s="79"/>
      <c r="Z464" s="130"/>
      <c r="AB464" s="106"/>
    </row>
    <row r="465">
      <c r="C465" s="79"/>
      <c r="D465" s="79"/>
      <c r="E465" s="79"/>
      <c r="M465" s="79"/>
      <c r="R465" s="79"/>
      <c r="S465" s="79"/>
      <c r="V465" s="79"/>
      <c r="W465" s="79"/>
      <c r="Z465" s="130"/>
      <c r="AB465" s="106"/>
    </row>
    <row r="466">
      <c r="C466" s="79"/>
      <c r="D466" s="79"/>
      <c r="E466" s="79"/>
      <c r="M466" s="79"/>
      <c r="R466" s="79"/>
      <c r="S466" s="79"/>
      <c r="V466" s="79"/>
      <c r="W466" s="79"/>
      <c r="Z466" s="130"/>
      <c r="AB466" s="106"/>
    </row>
    <row r="467">
      <c r="C467" s="79"/>
      <c r="D467" s="79"/>
      <c r="E467" s="79"/>
      <c r="M467" s="79"/>
      <c r="R467" s="79"/>
      <c r="S467" s="79"/>
      <c r="V467" s="79"/>
      <c r="W467" s="79"/>
      <c r="Z467" s="130"/>
      <c r="AB467" s="106"/>
    </row>
    <row r="468">
      <c r="C468" s="79"/>
      <c r="D468" s="79"/>
      <c r="E468" s="79"/>
      <c r="M468" s="79"/>
      <c r="R468" s="79"/>
      <c r="S468" s="79"/>
      <c r="V468" s="79"/>
      <c r="W468" s="79"/>
      <c r="Z468" s="130"/>
      <c r="AB468" s="106"/>
    </row>
    <row r="469">
      <c r="C469" s="79"/>
      <c r="D469" s="79"/>
      <c r="E469" s="79"/>
      <c r="M469" s="79"/>
      <c r="R469" s="79"/>
      <c r="S469" s="79"/>
      <c r="V469" s="79"/>
      <c r="W469" s="79"/>
      <c r="Z469" s="130"/>
      <c r="AB469" s="106"/>
    </row>
    <row r="470">
      <c r="C470" s="79"/>
      <c r="D470" s="79"/>
      <c r="E470" s="79"/>
      <c r="M470" s="79"/>
      <c r="R470" s="79"/>
      <c r="S470" s="79"/>
      <c r="V470" s="79"/>
      <c r="W470" s="79"/>
      <c r="Z470" s="130"/>
      <c r="AB470" s="106"/>
    </row>
    <row r="471">
      <c r="C471" s="79"/>
      <c r="D471" s="79"/>
      <c r="E471" s="79"/>
      <c r="M471" s="79"/>
      <c r="R471" s="79"/>
      <c r="S471" s="79"/>
      <c r="V471" s="79"/>
      <c r="W471" s="79"/>
      <c r="Z471" s="130"/>
      <c r="AB471" s="106"/>
    </row>
    <row r="472">
      <c r="C472" s="79"/>
      <c r="D472" s="79"/>
      <c r="E472" s="79"/>
      <c r="M472" s="79"/>
      <c r="R472" s="79"/>
      <c r="S472" s="79"/>
      <c r="V472" s="79"/>
      <c r="W472" s="79"/>
      <c r="Z472" s="130"/>
      <c r="AB472" s="106"/>
    </row>
    <row r="473">
      <c r="C473" s="79"/>
      <c r="D473" s="79"/>
      <c r="E473" s="79"/>
      <c r="M473" s="79"/>
      <c r="R473" s="79"/>
      <c r="S473" s="79"/>
      <c r="V473" s="79"/>
      <c r="W473" s="79"/>
      <c r="Z473" s="130"/>
      <c r="AB473" s="106"/>
    </row>
    <row r="474">
      <c r="C474" s="79"/>
      <c r="D474" s="79"/>
      <c r="E474" s="79"/>
      <c r="M474" s="79"/>
      <c r="R474" s="79"/>
      <c r="S474" s="79"/>
      <c r="V474" s="79"/>
      <c r="W474" s="79"/>
      <c r="Z474" s="130"/>
      <c r="AB474" s="106"/>
    </row>
    <row r="475">
      <c r="C475" s="79"/>
      <c r="D475" s="79"/>
      <c r="E475" s="79"/>
      <c r="M475" s="79"/>
      <c r="R475" s="79"/>
      <c r="S475" s="79"/>
      <c r="V475" s="79"/>
      <c r="W475" s="79"/>
      <c r="Z475" s="130"/>
      <c r="AB475" s="106"/>
    </row>
    <row r="476">
      <c r="C476" s="79"/>
      <c r="D476" s="79"/>
      <c r="E476" s="79"/>
      <c r="M476" s="79"/>
      <c r="R476" s="79"/>
      <c r="S476" s="79"/>
      <c r="V476" s="79"/>
      <c r="W476" s="79"/>
      <c r="Z476" s="130"/>
      <c r="AB476" s="106"/>
    </row>
    <row r="477">
      <c r="C477" s="79"/>
      <c r="D477" s="79"/>
      <c r="E477" s="79"/>
      <c r="M477" s="79"/>
      <c r="R477" s="79"/>
      <c r="S477" s="79"/>
      <c r="V477" s="79"/>
      <c r="W477" s="79"/>
      <c r="Z477" s="130"/>
      <c r="AB477" s="106"/>
    </row>
    <row r="478">
      <c r="C478" s="79"/>
      <c r="D478" s="79"/>
      <c r="E478" s="79"/>
      <c r="M478" s="79"/>
      <c r="R478" s="79"/>
      <c r="S478" s="79"/>
      <c r="V478" s="79"/>
      <c r="W478" s="79"/>
      <c r="Z478" s="130"/>
      <c r="AB478" s="106"/>
    </row>
    <row r="479">
      <c r="C479" s="79"/>
      <c r="D479" s="79"/>
      <c r="E479" s="79"/>
      <c r="M479" s="79"/>
      <c r="R479" s="79"/>
      <c r="S479" s="79"/>
      <c r="V479" s="79"/>
      <c r="W479" s="79"/>
      <c r="Z479" s="130"/>
      <c r="AB479" s="106"/>
    </row>
    <row r="480">
      <c r="C480" s="79"/>
      <c r="D480" s="79"/>
      <c r="E480" s="79"/>
      <c r="M480" s="79"/>
      <c r="R480" s="79"/>
      <c r="S480" s="79"/>
      <c r="V480" s="79"/>
      <c r="W480" s="79"/>
      <c r="Z480" s="130"/>
      <c r="AB480" s="106"/>
    </row>
    <row r="481">
      <c r="C481" s="79"/>
      <c r="D481" s="79"/>
      <c r="E481" s="79"/>
      <c r="M481" s="79"/>
      <c r="R481" s="79"/>
      <c r="S481" s="79"/>
      <c r="V481" s="79"/>
      <c r="W481" s="79"/>
      <c r="Z481" s="130"/>
      <c r="AB481" s="106"/>
    </row>
    <row r="482">
      <c r="C482" s="79"/>
      <c r="D482" s="79"/>
      <c r="E482" s="79"/>
      <c r="M482" s="79"/>
      <c r="R482" s="79"/>
      <c r="S482" s="79"/>
      <c r="V482" s="79"/>
      <c r="W482" s="79"/>
      <c r="Z482" s="130"/>
      <c r="AB482" s="106"/>
    </row>
    <row r="483">
      <c r="C483" s="79"/>
      <c r="D483" s="79"/>
      <c r="E483" s="79"/>
      <c r="M483" s="79"/>
      <c r="R483" s="79"/>
      <c r="S483" s="79"/>
      <c r="V483" s="79"/>
      <c r="W483" s="79"/>
      <c r="Z483" s="130"/>
      <c r="AB483" s="106"/>
    </row>
    <row r="484">
      <c r="C484" s="79"/>
      <c r="D484" s="79"/>
      <c r="E484" s="79"/>
      <c r="M484" s="79"/>
      <c r="R484" s="79"/>
      <c r="S484" s="79"/>
      <c r="V484" s="79"/>
      <c r="W484" s="79"/>
      <c r="Z484" s="130"/>
      <c r="AB484" s="106"/>
    </row>
    <row r="485">
      <c r="C485" s="79"/>
      <c r="D485" s="79"/>
      <c r="E485" s="79"/>
      <c r="M485" s="79"/>
      <c r="R485" s="79"/>
      <c r="S485" s="79"/>
      <c r="V485" s="79"/>
      <c r="W485" s="79"/>
      <c r="Z485" s="130"/>
      <c r="AB485" s="106"/>
    </row>
    <row r="486">
      <c r="C486" s="79"/>
      <c r="D486" s="79"/>
      <c r="E486" s="79"/>
      <c r="M486" s="79"/>
      <c r="R486" s="79"/>
      <c r="S486" s="79"/>
      <c r="V486" s="79"/>
      <c r="W486" s="79"/>
      <c r="Z486" s="130"/>
      <c r="AB486" s="106"/>
    </row>
    <row r="487">
      <c r="C487" s="79"/>
      <c r="D487" s="79"/>
      <c r="E487" s="79"/>
      <c r="M487" s="79"/>
      <c r="R487" s="79"/>
      <c r="S487" s="79"/>
      <c r="V487" s="79"/>
      <c r="W487" s="79"/>
      <c r="Z487" s="130"/>
      <c r="AB487" s="106"/>
    </row>
    <row r="488">
      <c r="C488" s="79"/>
      <c r="D488" s="79"/>
      <c r="E488" s="79"/>
      <c r="M488" s="79"/>
      <c r="R488" s="79"/>
      <c r="S488" s="79"/>
      <c r="V488" s="79"/>
      <c r="W488" s="79"/>
      <c r="Z488" s="130"/>
      <c r="AB488" s="106"/>
    </row>
    <row r="489">
      <c r="C489" s="79"/>
      <c r="D489" s="79"/>
      <c r="E489" s="79"/>
      <c r="M489" s="79"/>
      <c r="R489" s="79"/>
      <c r="S489" s="79"/>
      <c r="V489" s="79"/>
      <c r="W489" s="79"/>
      <c r="Z489" s="130"/>
      <c r="AB489" s="106"/>
    </row>
    <row r="490">
      <c r="C490" s="79"/>
      <c r="D490" s="79"/>
      <c r="E490" s="79"/>
      <c r="M490" s="79"/>
      <c r="R490" s="79"/>
      <c r="S490" s="79"/>
      <c r="V490" s="79"/>
      <c r="W490" s="79"/>
      <c r="Z490" s="130"/>
      <c r="AB490" s="106"/>
    </row>
    <row r="491">
      <c r="C491" s="79"/>
      <c r="D491" s="79"/>
      <c r="E491" s="79"/>
      <c r="M491" s="79"/>
      <c r="R491" s="79"/>
      <c r="S491" s="79"/>
      <c r="V491" s="79"/>
      <c r="W491" s="79"/>
      <c r="Z491" s="130"/>
      <c r="AB491" s="106"/>
    </row>
    <row r="492">
      <c r="C492" s="79"/>
      <c r="D492" s="79"/>
      <c r="E492" s="79"/>
      <c r="M492" s="79"/>
      <c r="R492" s="79"/>
      <c r="S492" s="79"/>
      <c r="V492" s="79"/>
      <c r="W492" s="79"/>
      <c r="Z492" s="130"/>
      <c r="AB492" s="106"/>
    </row>
    <row r="493">
      <c r="C493" s="79"/>
      <c r="D493" s="79"/>
      <c r="E493" s="79"/>
      <c r="M493" s="79"/>
      <c r="R493" s="79"/>
      <c r="S493" s="79"/>
      <c r="V493" s="79"/>
      <c r="W493" s="79"/>
      <c r="Z493" s="130"/>
      <c r="AB493" s="106"/>
    </row>
    <row r="494">
      <c r="C494" s="79"/>
      <c r="D494" s="79"/>
      <c r="E494" s="79"/>
      <c r="M494" s="79"/>
      <c r="R494" s="79"/>
      <c r="S494" s="79"/>
      <c r="V494" s="79"/>
      <c r="W494" s="79"/>
      <c r="Z494" s="130"/>
      <c r="AB494" s="106"/>
    </row>
    <row r="495">
      <c r="C495" s="79"/>
      <c r="D495" s="79"/>
      <c r="E495" s="79"/>
      <c r="M495" s="79"/>
      <c r="R495" s="79"/>
      <c r="S495" s="79"/>
      <c r="V495" s="79"/>
      <c r="W495" s="79"/>
      <c r="Z495" s="130"/>
      <c r="AB495" s="106"/>
    </row>
    <row r="496">
      <c r="C496" s="79"/>
      <c r="D496" s="79"/>
      <c r="E496" s="79"/>
      <c r="M496" s="79"/>
      <c r="R496" s="79"/>
      <c r="S496" s="79"/>
      <c r="V496" s="79"/>
      <c r="W496" s="79"/>
      <c r="Z496" s="130"/>
      <c r="AB496" s="106"/>
    </row>
    <row r="497">
      <c r="C497" s="79"/>
      <c r="D497" s="79"/>
      <c r="E497" s="79"/>
      <c r="M497" s="79"/>
      <c r="R497" s="79"/>
      <c r="S497" s="79"/>
      <c r="V497" s="79"/>
      <c r="W497" s="79"/>
      <c r="Z497" s="130"/>
      <c r="AB497" s="106"/>
    </row>
    <row r="498">
      <c r="C498" s="79"/>
      <c r="D498" s="79"/>
      <c r="E498" s="79"/>
      <c r="M498" s="79"/>
      <c r="R498" s="79"/>
      <c r="S498" s="79"/>
      <c r="V498" s="79"/>
      <c r="W498" s="79"/>
      <c r="Z498" s="130"/>
      <c r="AB498" s="106"/>
    </row>
    <row r="499">
      <c r="C499" s="79"/>
      <c r="D499" s="79"/>
      <c r="E499" s="79"/>
      <c r="M499" s="79"/>
      <c r="R499" s="79"/>
      <c r="S499" s="79"/>
      <c r="V499" s="79"/>
      <c r="W499" s="79"/>
      <c r="Z499" s="130"/>
      <c r="AB499" s="106"/>
    </row>
    <row r="500">
      <c r="C500" s="79"/>
      <c r="D500" s="79"/>
      <c r="E500" s="79"/>
      <c r="M500" s="79"/>
      <c r="R500" s="79"/>
      <c r="S500" s="79"/>
      <c r="V500" s="79"/>
      <c r="W500" s="79"/>
      <c r="Z500" s="130"/>
      <c r="AB500" s="106"/>
    </row>
    <row r="501">
      <c r="C501" s="79"/>
      <c r="D501" s="79"/>
      <c r="E501" s="79"/>
      <c r="M501" s="79"/>
      <c r="R501" s="79"/>
      <c r="S501" s="79"/>
      <c r="V501" s="79"/>
      <c r="W501" s="79"/>
      <c r="Z501" s="130"/>
      <c r="AB501" s="106"/>
    </row>
    <row r="502">
      <c r="C502" s="79"/>
      <c r="D502" s="79"/>
      <c r="E502" s="79"/>
      <c r="M502" s="79"/>
      <c r="R502" s="79"/>
      <c r="S502" s="79"/>
      <c r="V502" s="79"/>
      <c r="W502" s="79"/>
      <c r="Z502" s="130"/>
      <c r="AB502" s="106"/>
    </row>
    <row r="503">
      <c r="C503" s="79"/>
      <c r="D503" s="79"/>
      <c r="E503" s="79"/>
      <c r="M503" s="79"/>
      <c r="R503" s="79"/>
      <c r="S503" s="79"/>
      <c r="V503" s="79"/>
      <c r="W503" s="79"/>
      <c r="Z503" s="130"/>
      <c r="AB503" s="106"/>
    </row>
    <row r="504">
      <c r="C504" s="79"/>
      <c r="D504" s="79"/>
      <c r="E504" s="79"/>
      <c r="M504" s="79"/>
      <c r="R504" s="79"/>
      <c r="S504" s="79"/>
      <c r="V504" s="79"/>
      <c r="W504" s="79"/>
      <c r="Z504" s="130"/>
      <c r="AB504" s="106"/>
    </row>
    <row r="505">
      <c r="C505" s="79"/>
      <c r="D505" s="79"/>
      <c r="E505" s="79"/>
      <c r="M505" s="79"/>
      <c r="R505" s="79"/>
      <c r="S505" s="79"/>
      <c r="V505" s="79"/>
      <c r="W505" s="79"/>
      <c r="Z505" s="130"/>
      <c r="AB505" s="106"/>
    </row>
    <row r="506">
      <c r="C506" s="79"/>
      <c r="D506" s="79"/>
      <c r="E506" s="79"/>
      <c r="M506" s="79"/>
      <c r="R506" s="79"/>
      <c r="S506" s="79"/>
      <c r="V506" s="79"/>
      <c r="W506" s="79"/>
      <c r="Z506" s="130"/>
      <c r="AB506" s="106"/>
    </row>
    <row r="507">
      <c r="C507" s="79"/>
      <c r="D507" s="79"/>
      <c r="E507" s="79"/>
      <c r="M507" s="79"/>
      <c r="R507" s="79"/>
      <c r="S507" s="79"/>
      <c r="V507" s="79"/>
      <c r="W507" s="79"/>
      <c r="Z507" s="130"/>
      <c r="AB507" s="106"/>
    </row>
    <row r="508">
      <c r="C508" s="79"/>
      <c r="D508" s="79"/>
      <c r="E508" s="79"/>
      <c r="M508" s="79"/>
      <c r="R508" s="79"/>
      <c r="S508" s="79"/>
      <c r="V508" s="79"/>
      <c r="W508" s="79"/>
      <c r="Z508" s="130"/>
      <c r="AB508" s="106"/>
    </row>
    <row r="509">
      <c r="C509" s="79"/>
      <c r="D509" s="79"/>
      <c r="E509" s="79"/>
      <c r="M509" s="79"/>
      <c r="R509" s="79"/>
      <c r="S509" s="79"/>
      <c r="V509" s="79"/>
      <c r="W509" s="79"/>
      <c r="Z509" s="130"/>
      <c r="AB509" s="106"/>
    </row>
    <row r="510">
      <c r="C510" s="79"/>
      <c r="D510" s="79"/>
      <c r="E510" s="79"/>
      <c r="M510" s="79"/>
      <c r="R510" s="79"/>
      <c r="S510" s="79"/>
      <c r="V510" s="79"/>
      <c r="W510" s="79"/>
      <c r="Z510" s="130"/>
      <c r="AB510" s="106"/>
    </row>
    <row r="511">
      <c r="C511" s="79"/>
      <c r="D511" s="79"/>
      <c r="E511" s="79"/>
      <c r="M511" s="79"/>
      <c r="R511" s="79"/>
      <c r="S511" s="79"/>
      <c r="V511" s="79"/>
      <c r="W511" s="79"/>
      <c r="Z511" s="130"/>
      <c r="AB511" s="106"/>
    </row>
    <row r="512">
      <c r="C512" s="79"/>
      <c r="D512" s="79"/>
      <c r="E512" s="79"/>
      <c r="M512" s="79"/>
      <c r="R512" s="79"/>
      <c r="S512" s="79"/>
      <c r="V512" s="79"/>
      <c r="W512" s="79"/>
      <c r="Z512" s="130"/>
      <c r="AB512" s="106"/>
    </row>
    <row r="513">
      <c r="C513" s="79"/>
      <c r="D513" s="79"/>
      <c r="E513" s="79"/>
      <c r="M513" s="79"/>
      <c r="R513" s="79"/>
      <c r="S513" s="79"/>
      <c r="V513" s="79"/>
      <c r="W513" s="79"/>
      <c r="Z513" s="130"/>
      <c r="AB513" s="106"/>
    </row>
    <row r="514">
      <c r="C514" s="79"/>
      <c r="D514" s="79"/>
      <c r="E514" s="79"/>
      <c r="M514" s="79"/>
      <c r="R514" s="79"/>
      <c r="S514" s="79"/>
      <c r="V514" s="79"/>
      <c r="W514" s="79"/>
      <c r="Z514" s="130"/>
      <c r="AB514" s="106"/>
    </row>
    <row r="515">
      <c r="C515" s="79"/>
      <c r="D515" s="79"/>
      <c r="E515" s="79"/>
      <c r="M515" s="79"/>
      <c r="R515" s="79"/>
      <c r="S515" s="79"/>
      <c r="V515" s="79"/>
      <c r="W515" s="79"/>
      <c r="Z515" s="130"/>
      <c r="AB515" s="106"/>
    </row>
    <row r="516">
      <c r="C516" s="79"/>
      <c r="D516" s="79"/>
      <c r="E516" s="79"/>
      <c r="M516" s="79"/>
      <c r="R516" s="79"/>
      <c r="S516" s="79"/>
      <c r="V516" s="79"/>
      <c r="W516" s="79"/>
      <c r="Z516" s="130"/>
      <c r="AB516" s="106"/>
    </row>
    <row r="517">
      <c r="C517" s="79"/>
      <c r="D517" s="79"/>
      <c r="E517" s="79"/>
      <c r="M517" s="79"/>
      <c r="R517" s="79"/>
      <c r="S517" s="79"/>
      <c r="V517" s="79"/>
      <c r="W517" s="79"/>
      <c r="Z517" s="130"/>
      <c r="AB517" s="106"/>
    </row>
    <row r="518">
      <c r="C518" s="79"/>
      <c r="D518" s="79"/>
      <c r="E518" s="79"/>
      <c r="M518" s="79"/>
      <c r="R518" s="79"/>
      <c r="S518" s="79"/>
      <c r="V518" s="79"/>
      <c r="W518" s="79"/>
      <c r="Z518" s="130"/>
      <c r="AB518" s="106"/>
    </row>
    <row r="519">
      <c r="C519" s="79"/>
      <c r="D519" s="79"/>
      <c r="E519" s="79"/>
      <c r="M519" s="79"/>
      <c r="R519" s="79"/>
      <c r="S519" s="79"/>
      <c r="V519" s="79"/>
      <c r="W519" s="79"/>
      <c r="Z519" s="130"/>
      <c r="AB519" s="106"/>
    </row>
    <row r="520">
      <c r="C520" s="79"/>
      <c r="D520" s="79"/>
      <c r="E520" s="79"/>
      <c r="M520" s="79"/>
      <c r="R520" s="79"/>
      <c r="S520" s="79"/>
      <c r="V520" s="79"/>
      <c r="W520" s="79"/>
      <c r="Z520" s="130"/>
      <c r="AB520" s="106"/>
    </row>
    <row r="521">
      <c r="C521" s="79"/>
      <c r="D521" s="79"/>
      <c r="E521" s="79"/>
      <c r="M521" s="79"/>
      <c r="R521" s="79"/>
      <c r="S521" s="79"/>
      <c r="V521" s="79"/>
      <c r="W521" s="79"/>
      <c r="Z521" s="130"/>
      <c r="AB521" s="106"/>
    </row>
    <row r="522">
      <c r="C522" s="79"/>
      <c r="D522" s="79"/>
      <c r="E522" s="79"/>
      <c r="M522" s="79"/>
      <c r="R522" s="79"/>
      <c r="S522" s="79"/>
      <c r="V522" s="79"/>
      <c r="W522" s="79"/>
      <c r="Z522" s="130"/>
      <c r="AB522" s="106"/>
    </row>
    <row r="523">
      <c r="C523" s="79"/>
      <c r="D523" s="79"/>
      <c r="E523" s="79"/>
      <c r="M523" s="79"/>
      <c r="R523" s="79"/>
      <c r="S523" s="79"/>
      <c r="V523" s="79"/>
      <c r="W523" s="79"/>
      <c r="Z523" s="130"/>
      <c r="AB523" s="106"/>
    </row>
    <row r="524">
      <c r="C524" s="79"/>
      <c r="D524" s="79"/>
      <c r="E524" s="79"/>
      <c r="M524" s="79"/>
      <c r="R524" s="79"/>
      <c r="S524" s="79"/>
      <c r="V524" s="79"/>
      <c r="W524" s="79"/>
      <c r="Z524" s="130"/>
      <c r="AB524" s="106"/>
    </row>
    <row r="525">
      <c r="C525" s="79"/>
      <c r="D525" s="79"/>
      <c r="E525" s="79"/>
      <c r="M525" s="79"/>
      <c r="R525" s="79"/>
      <c r="S525" s="79"/>
      <c r="V525" s="79"/>
      <c r="W525" s="79"/>
      <c r="Z525" s="130"/>
      <c r="AB525" s="106"/>
    </row>
    <row r="526">
      <c r="C526" s="79"/>
      <c r="D526" s="79"/>
      <c r="E526" s="79"/>
      <c r="M526" s="79"/>
      <c r="R526" s="79"/>
      <c r="S526" s="79"/>
      <c r="V526" s="79"/>
      <c r="W526" s="79"/>
      <c r="Z526" s="130"/>
      <c r="AB526" s="106"/>
    </row>
    <row r="527">
      <c r="C527" s="79"/>
      <c r="D527" s="79"/>
      <c r="E527" s="79"/>
      <c r="M527" s="79"/>
      <c r="R527" s="79"/>
      <c r="S527" s="79"/>
      <c r="V527" s="79"/>
      <c r="W527" s="79"/>
      <c r="Z527" s="130"/>
      <c r="AB527" s="106"/>
    </row>
    <row r="528">
      <c r="C528" s="79"/>
      <c r="D528" s="79"/>
      <c r="E528" s="79"/>
      <c r="M528" s="79"/>
      <c r="R528" s="79"/>
      <c r="S528" s="79"/>
      <c r="V528" s="79"/>
      <c r="W528" s="79"/>
      <c r="Z528" s="130"/>
      <c r="AB528" s="106"/>
    </row>
    <row r="529">
      <c r="C529" s="79"/>
      <c r="D529" s="79"/>
      <c r="E529" s="79"/>
      <c r="M529" s="79"/>
      <c r="R529" s="79"/>
      <c r="S529" s="79"/>
      <c r="V529" s="79"/>
      <c r="W529" s="79"/>
      <c r="Z529" s="130"/>
      <c r="AB529" s="106"/>
    </row>
    <row r="530">
      <c r="C530" s="79"/>
      <c r="D530" s="79"/>
      <c r="E530" s="79"/>
      <c r="M530" s="79"/>
      <c r="R530" s="79"/>
      <c r="S530" s="79"/>
      <c r="V530" s="79"/>
      <c r="W530" s="79"/>
      <c r="Z530" s="130"/>
      <c r="AB530" s="106"/>
    </row>
    <row r="531">
      <c r="C531" s="79"/>
      <c r="D531" s="79"/>
      <c r="E531" s="79"/>
      <c r="M531" s="79"/>
      <c r="R531" s="79"/>
      <c r="S531" s="79"/>
      <c r="V531" s="79"/>
      <c r="W531" s="79"/>
      <c r="Z531" s="130"/>
      <c r="AB531" s="106"/>
    </row>
    <row r="532">
      <c r="C532" s="79"/>
      <c r="D532" s="79"/>
      <c r="E532" s="79"/>
      <c r="M532" s="79"/>
      <c r="R532" s="79"/>
      <c r="S532" s="79"/>
      <c r="V532" s="79"/>
      <c r="W532" s="79"/>
      <c r="Z532" s="130"/>
      <c r="AB532" s="106"/>
    </row>
    <row r="533">
      <c r="C533" s="79"/>
      <c r="D533" s="79"/>
      <c r="E533" s="79"/>
      <c r="M533" s="79"/>
      <c r="R533" s="79"/>
      <c r="S533" s="79"/>
      <c r="V533" s="79"/>
      <c r="W533" s="79"/>
      <c r="Z533" s="130"/>
      <c r="AB533" s="106"/>
    </row>
    <row r="534">
      <c r="C534" s="79"/>
      <c r="D534" s="79"/>
      <c r="E534" s="79"/>
      <c r="M534" s="79"/>
      <c r="R534" s="79"/>
      <c r="S534" s="79"/>
      <c r="V534" s="79"/>
      <c r="W534" s="79"/>
      <c r="Z534" s="130"/>
      <c r="AB534" s="106"/>
    </row>
    <row r="535">
      <c r="C535" s="79"/>
      <c r="D535" s="79"/>
      <c r="E535" s="79"/>
      <c r="M535" s="79"/>
      <c r="R535" s="79"/>
      <c r="S535" s="79"/>
      <c r="V535" s="79"/>
      <c r="W535" s="79"/>
      <c r="Z535" s="130"/>
      <c r="AB535" s="106"/>
    </row>
    <row r="536">
      <c r="C536" s="79"/>
      <c r="D536" s="79"/>
      <c r="E536" s="79"/>
      <c r="M536" s="79"/>
      <c r="R536" s="79"/>
      <c r="S536" s="79"/>
      <c r="V536" s="79"/>
      <c r="W536" s="79"/>
      <c r="Z536" s="130"/>
      <c r="AB536" s="106"/>
    </row>
    <row r="537">
      <c r="C537" s="79"/>
      <c r="D537" s="79"/>
      <c r="E537" s="79"/>
      <c r="M537" s="79"/>
      <c r="R537" s="79"/>
      <c r="S537" s="79"/>
      <c r="V537" s="79"/>
      <c r="W537" s="79"/>
      <c r="Z537" s="130"/>
      <c r="AB537" s="106"/>
    </row>
    <row r="538">
      <c r="C538" s="79"/>
      <c r="D538" s="79"/>
      <c r="E538" s="79"/>
      <c r="M538" s="79"/>
      <c r="R538" s="79"/>
      <c r="S538" s="79"/>
      <c r="V538" s="79"/>
      <c r="W538" s="79"/>
      <c r="Z538" s="130"/>
      <c r="AB538" s="106"/>
    </row>
    <row r="539">
      <c r="C539" s="79"/>
      <c r="D539" s="79"/>
      <c r="E539" s="79"/>
      <c r="M539" s="79"/>
      <c r="R539" s="79"/>
      <c r="S539" s="79"/>
      <c r="V539" s="79"/>
      <c r="W539" s="79"/>
      <c r="Z539" s="130"/>
      <c r="AB539" s="106"/>
    </row>
    <row r="540">
      <c r="C540" s="79"/>
      <c r="D540" s="79"/>
      <c r="E540" s="79"/>
      <c r="M540" s="79"/>
      <c r="R540" s="79"/>
      <c r="S540" s="79"/>
      <c r="V540" s="79"/>
      <c r="W540" s="79"/>
      <c r="Z540" s="130"/>
      <c r="AB540" s="106"/>
    </row>
    <row r="541">
      <c r="C541" s="79"/>
      <c r="D541" s="79"/>
      <c r="E541" s="79"/>
      <c r="M541" s="79"/>
      <c r="R541" s="79"/>
      <c r="S541" s="79"/>
      <c r="V541" s="79"/>
      <c r="W541" s="79"/>
      <c r="Z541" s="130"/>
      <c r="AB541" s="106"/>
    </row>
    <row r="542">
      <c r="C542" s="79"/>
      <c r="D542" s="79"/>
      <c r="E542" s="79"/>
      <c r="M542" s="79"/>
      <c r="R542" s="79"/>
      <c r="S542" s="79"/>
      <c r="V542" s="79"/>
      <c r="W542" s="79"/>
      <c r="Z542" s="130"/>
      <c r="AB542" s="106"/>
    </row>
    <row r="543">
      <c r="C543" s="79"/>
      <c r="D543" s="79"/>
      <c r="E543" s="79"/>
      <c r="M543" s="79"/>
      <c r="R543" s="79"/>
      <c r="S543" s="79"/>
      <c r="V543" s="79"/>
      <c r="W543" s="79"/>
      <c r="Z543" s="130"/>
      <c r="AB543" s="106"/>
    </row>
    <row r="544">
      <c r="C544" s="79"/>
      <c r="D544" s="79"/>
      <c r="E544" s="79"/>
      <c r="M544" s="79"/>
      <c r="R544" s="79"/>
      <c r="S544" s="79"/>
      <c r="V544" s="79"/>
      <c r="W544" s="79"/>
      <c r="Z544" s="130"/>
      <c r="AB544" s="106"/>
    </row>
    <row r="545">
      <c r="C545" s="79"/>
      <c r="D545" s="79"/>
      <c r="E545" s="79"/>
      <c r="M545" s="79"/>
      <c r="R545" s="79"/>
      <c r="S545" s="79"/>
      <c r="V545" s="79"/>
      <c r="W545" s="79"/>
      <c r="Z545" s="130"/>
      <c r="AB545" s="106"/>
    </row>
    <row r="546">
      <c r="C546" s="79"/>
      <c r="D546" s="79"/>
      <c r="E546" s="79"/>
      <c r="M546" s="79"/>
      <c r="R546" s="79"/>
      <c r="S546" s="79"/>
      <c r="V546" s="79"/>
      <c r="W546" s="79"/>
      <c r="Z546" s="130"/>
      <c r="AB546" s="106"/>
    </row>
    <row r="547">
      <c r="C547" s="79"/>
      <c r="D547" s="79"/>
      <c r="E547" s="79"/>
      <c r="M547" s="79"/>
      <c r="R547" s="79"/>
      <c r="S547" s="79"/>
      <c r="V547" s="79"/>
      <c r="W547" s="79"/>
      <c r="Z547" s="130"/>
      <c r="AB547" s="106"/>
    </row>
    <row r="548">
      <c r="C548" s="79"/>
      <c r="D548" s="79"/>
      <c r="E548" s="79"/>
      <c r="M548" s="79"/>
      <c r="R548" s="79"/>
      <c r="S548" s="79"/>
      <c r="V548" s="79"/>
      <c r="W548" s="79"/>
      <c r="Z548" s="130"/>
      <c r="AB548" s="106"/>
    </row>
    <row r="549">
      <c r="C549" s="79"/>
      <c r="D549" s="79"/>
      <c r="E549" s="79"/>
      <c r="M549" s="79"/>
      <c r="R549" s="79"/>
      <c r="S549" s="79"/>
      <c r="V549" s="79"/>
      <c r="W549" s="79"/>
      <c r="Z549" s="130"/>
      <c r="AB549" s="106"/>
    </row>
    <row r="550">
      <c r="C550" s="79"/>
      <c r="D550" s="79"/>
      <c r="E550" s="79"/>
      <c r="M550" s="79"/>
      <c r="R550" s="79"/>
      <c r="S550" s="79"/>
      <c r="V550" s="79"/>
      <c r="W550" s="79"/>
      <c r="Z550" s="130"/>
      <c r="AB550" s="106"/>
    </row>
    <row r="551">
      <c r="C551" s="79"/>
      <c r="D551" s="79"/>
      <c r="E551" s="79"/>
      <c r="M551" s="79"/>
      <c r="R551" s="79"/>
      <c r="S551" s="79"/>
      <c r="V551" s="79"/>
      <c r="W551" s="79"/>
      <c r="Z551" s="130"/>
      <c r="AB551" s="106"/>
    </row>
    <row r="552">
      <c r="C552" s="79"/>
      <c r="D552" s="79"/>
      <c r="E552" s="79"/>
      <c r="M552" s="79"/>
      <c r="R552" s="79"/>
      <c r="S552" s="79"/>
      <c r="V552" s="79"/>
      <c r="W552" s="79"/>
      <c r="Z552" s="130"/>
      <c r="AB552" s="106"/>
    </row>
    <row r="553">
      <c r="C553" s="79"/>
      <c r="D553" s="79"/>
      <c r="E553" s="79"/>
      <c r="M553" s="79"/>
      <c r="R553" s="79"/>
      <c r="S553" s="79"/>
      <c r="V553" s="79"/>
      <c r="W553" s="79"/>
      <c r="Z553" s="130"/>
      <c r="AB553" s="106"/>
    </row>
    <row r="554">
      <c r="C554" s="79"/>
      <c r="D554" s="79"/>
      <c r="E554" s="79"/>
      <c r="M554" s="79"/>
      <c r="R554" s="79"/>
      <c r="S554" s="79"/>
      <c r="V554" s="79"/>
      <c r="W554" s="79"/>
      <c r="Z554" s="130"/>
      <c r="AB554" s="106"/>
    </row>
    <row r="555">
      <c r="C555" s="79"/>
      <c r="D555" s="79"/>
      <c r="E555" s="79"/>
      <c r="M555" s="79"/>
      <c r="R555" s="79"/>
      <c r="S555" s="79"/>
      <c r="V555" s="79"/>
      <c r="W555" s="79"/>
      <c r="Z555" s="130"/>
      <c r="AB555" s="106"/>
    </row>
    <row r="556">
      <c r="C556" s="79"/>
      <c r="D556" s="79"/>
      <c r="E556" s="79"/>
      <c r="M556" s="79"/>
      <c r="R556" s="79"/>
      <c r="S556" s="79"/>
      <c r="V556" s="79"/>
      <c r="W556" s="79"/>
      <c r="Z556" s="130"/>
      <c r="AB556" s="106"/>
    </row>
    <row r="557">
      <c r="C557" s="79"/>
      <c r="D557" s="79"/>
      <c r="E557" s="79"/>
      <c r="M557" s="79"/>
      <c r="R557" s="79"/>
      <c r="S557" s="79"/>
      <c r="V557" s="79"/>
      <c r="W557" s="79"/>
      <c r="Z557" s="130"/>
      <c r="AB557" s="106"/>
    </row>
    <row r="558">
      <c r="C558" s="79"/>
      <c r="D558" s="79"/>
      <c r="E558" s="79"/>
      <c r="M558" s="79"/>
      <c r="R558" s="79"/>
      <c r="S558" s="79"/>
      <c r="V558" s="79"/>
      <c r="W558" s="79"/>
      <c r="Z558" s="130"/>
      <c r="AB558" s="106"/>
    </row>
    <row r="559">
      <c r="C559" s="79"/>
      <c r="D559" s="79"/>
      <c r="E559" s="79"/>
      <c r="M559" s="79"/>
      <c r="R559" s="79"/>
      <c r="S559" s="79"/>
      <c r="V559" s="79"/>
      <c r="W559" s="79"/>
      <c r="Z559" s="130"/>
      <c r="AB559" s="106"/>
    </row>
    <row r="560">
      <c r="C560" s="79"/>
      <c r="D560" s="79"/>
      <c r="E560" s="79"/>
      <c r="M560" s="79"/>
      <c r="R560" s="79"/>
      <c r="S560" s="79"/>
      <c r="V560" s="79"/>
      <c r="W560" s="79"/>
      <c r="Z560" s="130"/>
      <c r="AB560" s="106"/>
    </row>
    <row r="561">
      <c r="C561" s="79"/>
      <c r="D561" s="79"/>
      <c r="E561" s="79"/>
      <c r="M561" s="79"/>
      <c r="R561" s="79"/>
      <c r="S561" s="79"/>
      <c r="V561" s="79"/>
      <c r="W561" s="79"/>
      <c r="Z561" s="130"/>
      <c r="AB561" s="106"/>
    </row>
    <row r="562">
      <c r="C562" s="79"/>
      <c r="D562" s="79"/>
      <c r="E562" s="79"/>
      <c r="M562" s="79"/>
      <c r="R562" s="79"/>
      <c r="S562" s="79"/>
      <c r="V562" s="79"/>
      <c r="W562" s="79"/>
      <c r="Z562" s="130"/>
      <c r="AB562" s="106"/>
    </row>
    <row r="563">
      <c r="C563" s="79"/>
      <c r="D563" s="79"/>
      <c r="E563" s="79"/>
      <c r="M563" s="79"/>
      <c r="R563" s="79"/>
      <c r="S563" s="79"/>
      <c r="V563" s="79"/>
      <c r="W563" s="79"/>
      <c r="Z563" s="130"/>
      <c r="AB563" s="106"/>
    </row>
    <row r="564">
      <c r="C564" s="79"/>
      <c r="D564" s="79"/>
      <c r="E564" s="79"/>
      <c r="M564" s="79"/>
      <c r="R564" s="79"/>
      <c r="S564" s="79"/>
      <c r="V564" s="79"/>
      <c r="W564" s="79"/>
      <c r="Z564" s="130"/>
      <c r="AB564" s="106"/>
    </row>
    <row r="565">
      <c r="C565" s="79"/>
      <c r="D565" s="79"/>
      <c r="E565" s="79"/>
      <c r="M565" s="79"/>
      <c r="R565" s="79"/>
      <c r="S565" s="79"/>
      <c r="V565" s="79"/>
      <c r="W565" s="79"/>
      <c r="Z565" s="130"/>
      <c r="AB565" s="106"/>
    </row>
    <row r="566">
      <c r="C566" s="79"/>
      <c r="D566" s="79"/>
      <c r="E566" s="79"/>
      <c r="M566" s="79"/>
      <c r="R566" s="79"/>
      <c r="S566" s="79"/>
      <c r="V566" s="79"/>
      <c r="W566" s="79"/>
      <c r="Z566" s="130"/>
      <c r="AB566" s="106"/>
    </row>
    <row r="567">
      <c r="C567" s="79"/>
      <c r="D567" s="79"/>
      <c r="E567" s="79"/>
      <c r="M567" s="79"/>
      <c r="R567" s="79"/>
      <c r="S567" s="79"/>
      <c r="V567" s="79"/>
      <c r="W567" s="79"/>
      <c r="Z567" s="130"/>
      <c r="AB567" s="106"/>
    </row>
    <row r="568">
      <c r="C568" s="79"/>
      <c r="D568" s="79"/>
      <c r="E568" s="79"/>
      <c r="M568" s="79"/>
      <c r="R568" s="79"/>
      <c r="S568" s="79"/>
      <c r="V568" s="79"/>
      <c r="W568" s="79"/>
      <c r="Z568" s="130"/>
      <c r="AB568" s="106"/>
    </row>
    <row r="569">
      <c r="C569" s="79"/>
      <c r="D569" s="79"/>
      <c r="E569" s="79"/>
      <c r="M569" s="79"/>
      <c r="R569" s="79"/>
      <c r="S569" s="79"/>
      <c r="V569" s="79"/>
      <c r="W569" s="79"/>
      <c r="Z569" s="130"/>
      <c r="AB569" s="106"/>
    </row>
    <row r="570">
      <c r="C570" s="79"/>
      <c r="D570" s="79"/>
      <c r="E570" s="79"/>
      <c r="M570" s="79"/>
      <c r="R570" s="79"/>
      <c r="S570" s="79"/>
      <c r="V570" s="79"/>
      <c r="W570" s="79"/>
      <c r="Z570" s="130"/>
      <c r="AB570" s="106"/>
    </row>
    <row r="571">
      <c r="C571" s="79"/>
      <c r="D571" s="79"/>
      <c r="E571" s="79"/>
      <c r="M571" s="79"/>
      <c r="R571" s="79"/>
      <c r="S571" s="79"/>
      <c r="V571" s="79"/>
      <c r="W571" s="79"/>
      <c r="Z571" s="130"/>
      <c r="AB571" s="106"/>
    </row>
    <row r="572">
      <c r="C572" s="79"/>
      <c r="D572" s="79"/>
      <c r="E572" s="79"/>
      <c r="M572" s="79"/>
      <c r="R572" s="79"/>
      <c r="S572" s="79"/>
      <c r="V572" s="79"/>
      <c r="W572" s="79"/>
      <c r="Z572" s="130"/>
      <c r="AB572" s="106"/>
    </row>
    <row r="573">
      <c r="C573" s="79"/>
      <c r="D573" s="79"/>
      <c r="E573" s="79"/>
      <c r="M573" s="79"/>
      <c r="R573" s="79"/>
      <c r="S573" s="79"/>
      <c r="V573" s="79"/>
      <c r="W573" s="79"/>
      <c r="Z573" s="130"/>
      <c r="AB573" s="106"/>
    </row>
    <row r="574">
      <c r="C574" s="79"/>
      <c r="D574" s="79"/>
      <c r="E574" s="79"/>
      <c r="M574" s="79"/>
      <c r="R574" s="79"/>
      <c r="S574" s="79"/>
      <c r="V574" s="79"/>
      <c r="W574" s="79"/>
      <c r="Z574" s="130"/>
      <c r="AB574" s="106"/>
    </row>
    <row r="575">
      <c r="C575" s="79"/>
      <c r="D575" s="79"/>
      <c r="E575" s="79"/>
      <c r="M575" s="79"/>
      <c r="R575" s="79"/>
      <c r="S575" s="79"/>
      <c r="V575" s="79"/>
      <c r="W575" s="79"/>
      <c r="Z575" s="130"/>
      <c r="AB575" s="106"/>
    </row>
    <row r="576">
      <c r="C576" s="79"/>
      <c r="D576" s="79"/>
      <c r="E576" s="79"/>
      <c r="M576" s="79"/>
      <c r="R576" s="79"/>
      <c r="S576" s="79"/>
      <c r="V576" s="79"/>
      <c r="W576" s="79"/>
      <c r="Z576" s="130"/>
      <c r="AB576" s="106"/>
    </row>
    <row r="577">
      <c r="C577" s="79"/>
      <c r="D577" s="79"/>
      <c r="E577" s="79"/>
      <c r="M577" s="79"/>
      <c r="R577" s="79"/>
      <c r="S577" s="79"/>
      <c r="V577" s="79"/>
      <c r="W577" s="79"/>
      <c r="Z577" s="130"/>
      <c r="AB577" s="106"/>
    </row>
    <row r="578">
      <c r="C578" s="79"/>
      <c r="D578" s="79"/>
      <c r="E578" s="79"/>
      <c r="M578" s="79"/>
      <c r="R578" s="79"/>
      <c r="S578" s="79"/>
      <c r="V578" s="79"/>
      <c r="W578" s="79"/>
      <c r="Z578" s="130"/>
      <c r="AB578" s="106"/>
    </row>
    <row r="579">
      <c r="C579" s="79"/>
      <c r="D579" s="79"/>
      <c r="E579" s="79"/>
      <c r="M579" s="79"/>
      <c r="R579" s="79"/>
      <c r="S579" s="79"/>
      <c r="V579" s="79"/>
      <c r="W579" s="79"/>
      <c r="Z579" s="130"/>
      <c r="AB579" s="106"/>
    </row>
    <row r="580">
      <c r="C580" s="79"/>
      <c r="D580" s="79"/>
      <c r="E580" s="79"/>
      <c r="M580" s="79"/>
      <c r="R580" s="79"/>
      <c r="S580" s="79"/>
      <c r="V580" s="79"/>
      <c r="W580" s="79"/>
      <c r="Z580" s="130"/>
      <c r="AB580" s="106"/>
    </row>
    <row r="581">
      <c r="C581" s="79"/>
      <c r="D581" s="79"/>
      <c r="E581" s="79"/>
      <c r="M581" s="79"/>
      <c r="R581" s="79"/>
      <c r="S581" s="79"/>
      <c r="V581" s="79"/>
      <c r="W581" s="79"/>
      <c r="Z581" s="130"/>
      <c r="AB581" s="106"/>
    </row>
    <row r="582">
      <c r="C582" s="79"/>
      <c r="D582" s="79"/>
      <c r="E582" s="79"/>
      <c r="M582" s="79"/>
      <c r="R582" s="79"/>
      <c r="S582" s="79"/>
      <c r="V582" s="79"/>
      <c r="W582" s="79"/>
      <c r="Z582" s="130"/>
      <c r="AB582" s="106"/>
    </row>
    <row r="583">
      <c r="C583" s="79"/>
      <c r="D583" s="79"/>
      <c r="E583" s="79"/>
      <c r="M583" s="79"/>
      <c r="R583" s="79"/>
      <c r="S583" s="79"/>
      <c r="V583" s="79"/>
      <c r="W583" s="79"/>
      <c r="Z583" s="130"/>
      <c r="AB583" s="106"/>
    </row>
    <row r="584">
      <c r="C584" s="79"/>
      <c r="D584" s="79"/>
      <c r="E584" s="79"/>
      <c r="M584" s="79"/>
      <c r="R584" s="79"/>
      <c r="S584" s="79"/>
      <c r="V584" s="79"/>
      <c r="W584" s="79"/>
      <c r="Z584" s="130"/>
      <c r="AB584" s="106"/>
    </row>
    <row r="585">
      <c r="C585" s="79"/>
      <c r="D585" s="79"/>
      <c r="E585" s="79"/>
      <c r="M585" s="79"/>
      <c r="R585" s="79"/>
      <c r="S585" s="79"/>
      <c r="V585" s="79"/>
      <c r="W585" s="79"/>
      <c r="Z585" s="130"/>
      <c r="AB585" s="106"/>
    </row>
    <row r="586">
      <c r="C586" s="79"/>
      <c r="D586" s="79"/>
      <c r="E586" s="79"/>
      <c r="M586" s="79"/>
      <c r="R586" s="79"/>
      <c r="S586" s="79"/>
      <c r="V586" s="79"/>
      <c r="W586" s="79"/>
      <c r="Z586" s="130"/>
      <c r="AB586" s="106"/>
    </row>
    <row r="587">
      <c r="C587" s="79"/>
      <c r="D587" s="79"/>
      <c r="E587" s="79"/>
      <c r="M587" s="79"/>
      <c r="R587" s="79"/>
      <c r="S587" s="79"/>
      <c r="V587" s="79"/>
      <c r="W587" s="79"/>
      <c r="Z587" s="130"/>
      <c r="AB587" s="106"/>
    </row>
    <row r="588">
      <c r="C588" s="79"/>
      <c r="D588" s="79"/>
      <c r="E588" s="79"/>
      <c r="M588" s="79"/>
      <c r="R588" s="79"/>
      <c r="S588" s="79"/>
      <c r="V588" s="79"/>
      <c r="W588" s="79"/>
      <c r="Z588" s="130"/>
      <c r="AB588" s="106"/>
    </row>
    <row r="589">
      <c r="C589" s="79"/>
      <c r="D589" s="79"/>
      <c r="E589" s="79"/>
      <c r="M589" s="79"/>
      <c r="R589" s="79"/>
      <c r="S589" s="79"/>
      <c r="V589" s="79"/>
      <c r="W589" s="79"/>
      <c r="Z589" s="130"/>
      <c r="AB589" s="106"/>
    </row>
    <row r="590">
      <c r="C590" s="79"/>
      <c r="D590" s="79"/>
      <c r="E590" s="79"/>
      <c r="M590" s="79"/>
      <c r="R590" s="79"/>
      <c r="S590" s="79"/>
      <c r="V590" s="79"/>
      <c r="W590" s="79"/>
      <c r="Z590" s="130"/>
      <c r="AB590" s="106"/>
    </row>
    <row r="591">
      <c r="C591" s="79"/>
      <c r="D591" s="79"/>
      <c r="E591" s="79"/>
      <c r="M591" s="79"/>
      <c r="R591" s="79"/>
      <c r="S591" s="79"/>
      <c r="V591" s="79"/>
      <c r="W591" s="79"/>
      <c r="Z591" s="130"/>
      <c r="AB591" s="106"/>
    </row>
    <row r="592">
      <c r="C592" s="79"/>
      <c r="D592" s="79"/>
      <c r="E592" s="79"/>
      <c r="M592" s="79"/>
      <c r="R592" s="79"/>
      <c r="S592" s="79"/>
      <c r="V592" s="79"/>
      <c r="W592" s="79"/>
      <c r="Z592" s="130"/>
      <c r="AB592" s="106"/>
    </row>
    <row r="593">
      <c r="C593" s="79"/>
      <c r="D593" s="79"/>
      <c r="E593" s="79"/>
      <c r="M593" s="79"/>
      <c r="R593" s="79"/>
      <c r="S593" s="79"/>
      <c r="V593" s="79"/>
      <c r="W593" s="79"/>
      <c r="Z593" s="130"/>
      <c r="AB593" s="106"/>
    </row>
    <row r="594">
      <c r="C594" s="79"/>
      <c r="D594" s="79"/>
      <c r="E594" s="79"/>
      <c r="M594" s="79"/>
      <c r="R594" s="79"/>
      <c r="S594" s="79"/>
      <c r="V594" s="79"/>
      <c r="W594" s="79"/>
      <c r="Z594" s="130"/>
      <c r="AB594" s="106"/>
    </row>
    <row r="595">
      <c r="C595" s="79"/>
      <c r="D595" s="79"/>
      <c r="E595" s="79"/>
      <c r="M595" s="79"/>
      <c r="R595" s="79"/>
      <c r="S595" s="79"/>
      <c r="V595" s="79"/>
      <c r="W595" s="79"/>
      <c r="Z595" s="130"/>
      <c r="AB595" s="106"/>
    </row>
    <row r="596">
      <c r="C596" s="79"/>
      <c r="D596" s="79"/>
      <c r="E596" s="79"/>
      <c r="M596" s="79"/>
      <c r="R596" s="79"/>
      <c r="S596" s="79"/>
      <c r="V596" s="79"/>
      <c r="W596" s="79"/>
      <c r="Z596" s="130"/>
      <c r="AB596" s="106"/>
    </row>
    <row r="597">
      <c r="C597" s="79"/>
      <c r="D597" s="79"/>
      <c r="E597" s="79"/>
      <c r="M597" s="79"/>
      <c r="R597" s="79"/>
      <c r="S597" s="79"/>
      <c r="V597" s="79"/>
      <c r="W597" s="79"/>
      <c r="Z597" s="130"/>
      <c r="AB597" s="106"/>
    </row>
    <row r="598">
      <c r="C598" s="79"/>
      <c r="D598" s="79"/>
      <c r="E598" s="79"/>
      <c r="M598" s="79"/>
      <c r="R598" s="79"/>
      <c r="S598" s="79"/>
      <c r="V598" s="79"/>
      <c r="W598" s="79"/>
      <c r="Z598" s="130"/>
      <c r="AB598" s="106"/>
    </row>
    <row r="599">
      <c r="C599" s="79"/>
      <c r="D599" s="79"/>
      <c r="E599" s="79"/>
      <c r="M599" s="79"/>
      <c r="R599" s="79"/>
      <c r="S599" s="79"/>
      <c r="V599" s="79"/>
      <c r="W599" s="79"/>
      <c r="Z599" s="130"/>
      <c r="AB599" s="106"/>
    </row>
    <row r="600">
      <c r="C600" s="79"/>
      <c r="D600" s="79"/>
      <c r="E600" s="79"/>
      <c r="M600" s="79"/>
      <c r="R600" s="79"/>
      <c r="S600" s="79"/>
      <c r="V600" s="79"/>
      <c r="W600" s="79"/>
      <c r="Z600" s="130"/>
      <c r="AB600" s="106"/>
    </row>
    <row r="601">
      <c r="C601" s="79"/>
      <c r="D601" s="79"/>
      <c r="E601" s="79"/>
      <c r="M601" s="79"/>
      <c r="R601" s="79"/>
      <c r="S601" s="79"/>
      <c r="V601" s="79"/>
      <c r="W601" s="79"/>
      <c r="Z601" s="130"/>
      <c r="AB601" s="106"/>
    </row>
    <row r="602">
      <c r="C602" s="79"/>
      <c r="D602" s="79"/>
      <c r="E602" s="79"/>
      <c r="M602" s="79"/>
      <c r="R602" s="79"/>
      <c r="S602" s="79"/>
      <c r="V602" s="79"/>
      <c r="W602" s="79"/>
      <c r="Z602" s="130"/>
      <c r="AB602" s="106"/>
    </row>
    <row r="603">
      <c r="C603" s="79"/>
      <c r="D603" s="79"/>
      <c r="E603" s="79"/>
      <c r="M603" s="79"/>
      <c r="R603" s="79"/>
      <c r="S603" s="79"/>
      <c r="V603" s="79"/>
      <c r="W603" s="79"/>
      <c r="Z603" s="130"/>
      <c r="AB603" s="106"/>
    </row>
    <row r="604">
      <c r="C604" s="79"/>
      <c r="D604" s="79"/>
      <c r="E604" s="79"/>
      <c r="M604" s="79"/>
      <c r="R604" s="79"/>
      <c r="S604" s="79"/>
      <c r="V604" s="79"/>
      <c r="W604" s="79"/>
      <c r="Z604" s="130"/>
      <c r="AB604" s="106"/>
    </row>
    <row r="605">
      <c r="C605" s="79"/>
      <c r="D605" s="79"/>
      <c r="E605" s="79"/>
      <c r="M605" s="79"/>
      <c r="R605" s="79"/>
      <c r="S605" s="79"/>
      <c r="V605" s="79"/>
      <c r="W605" s="79"/>
      <c r="Z605" s="130"/>
      <c r="AB605" s="106"/>
    </row>
    <row r="606">
      <c r="C606" s="79"/>
      <c r="D606" s="79"/>
      <c r="E606" s="79"/>
      <c r="M606" s="79"/>
      <c r="R606" s="79"/>
      <c r="S606" s="79"/>
      <c r="V606" s="79"/>
      <c r="W606" s="79"/>
      <c r="Z606" s="130"/>
      <c r="AB606" s="106"/>
    </row>
    <row r="607">
      <c r="C607" s="79"/>
      <c r="D607" s="79"/>
      <c r="E607" s="79"/>
      <c r="M607" s="79"/>
      <c r="R607" s="79"/>
      <c r="S607" s="79"/>
      <c r="V607" s="79"/>
      <c r="W607" s="79"/>
      <c r="Z607" s="130"/>
      <c r="AB607" s="106"/>
    </row>
    <row r="608">
      <c r="C608" s="79"/>
      <c r="D608" s="79"/>
      <c r="E608" s="79"/>
      <c r="M608" s="79"/>
      <c r="R608" s="79"/>
      <c r="S608" s="79"/>
      <c r="V608" s="79"/>
      <c r="W608" s="79"/>
      <c r="Z608" s="130"/>
      <c r="AB608" s="106"/>
    </row>
    <row r="609">
      <c r="C609" s="79"/>
      <c r="D609" s="79"/>
      <c r="E609" s="79"/>
      <c r="M609" s="79"/>
      <c r="R609" s="79"/>
      <c r="S609" s="79"/>
      <c r="V609" s="79"/>
      <c r="W609" s="79"/>
      <c r="Z609" s="130"/>
      <c r="AB609" s="106"/>
    </row>
    <row r="610">
      <c r="C610" s="79"/>
      <c r="D610" s="79"/>
      <c r="E610" s="79"/>
      <c r="M610" s="79"/>
      <c r="R610" s="79"/>
      <c r="S610" s="79"/>
      <c r="V610" s="79"/>
      <c r="W610" s="79"/>
      <c r="Z610" s="130"/>
      <c r="AB610" s="106"/>
    </row>
    <row r="611">
      <c r="C611" s="79"/>
      <c r="D611" s="79"/>
      <c r="E611" s="79"/>
      <c r="M611" s="79"/>
      <c r="R611" s="79"/>
      <c r="S611" s="79"/>
      <c r="V611" s="79"/>
      <c r="W611" s="79"/>
      <c r="Z611" s="130"/>
      <c r="AB611" s="106"/>
    </row>
    <row r="612">
      <c r="C612" s="79"/>
      <c r="D612" s="79"/>
      <c r="E612" s="79"/>
      <c r="M612" s="79"/>
      <c r="R612" s="79"/>
      <c r="S612" s="79"/>
      <c r="V612" s="79"/>
      <c r="W612" s="79"/>
      <c r="Z612" s="130"/>
      <c r="AB612" s="106"/>
    </row>
    <row r="613">
      <c r="C613" s="79"/>
      <c r="D613" s="79"/>
      <c r="E613" s="79"/>
      <c r="M613" s="79"/>
      <c r="R613" s="79"/>
      <c r="S613" s="79"/>
      <c r="V613" s="79"/>
      <c r="W613" s="79"/>
      <c r="Z613" s="130"/>
      <c r="AB613" s="106"/>
    </row>
    <row r="614">
      <c r="C614" s="79"/>
      <c r="D614" s="79"/>
      <c r="E614" s="79"/>
      <c r="M614" s="79"/>
      <c r="R614" s="79"/>
      <c r="S614" s="79"/>
      <c r="V614" s="79"/>
      <c r="W614" s="79"/>
      <c r="Z614" s="130"/>
      <c r="AB614" s="106"/>
    </row>
    <row r="615">
      <c r="C615" s="79"/>
      <c r="D615" s="79"/>
      <c r="E615" s="79"/>
      <c r="M615" s="79"/>
      <c r="R615" s="79"/>
      <c r="S615" s="79"/>
      <c r="V615" s="79"/>
      <c r="W615" s="79"/>
      <c r="Z615" s="130"/>
      <c r="AB615" s="106"/>
    </row>
    <row r="616">
      <c r="C616" s="79"/>
      <c r="D616" s="79"/>
      <c r="E616" s="79"/>
      <c r="M616" s="79"/>
      <c r="R616" s="79"/>
      <c r="S616" s="79"/>
      <c r="V616" s="79"/>
      <c r="W616" s="79"/>
      <c r="Z616" s="130"/>
      <c r="AB616" s="106"/>
    </row>
    <row r="617">
      <c r="C617" s="79"/>
      <c r="D617" s="79"/>
      <c r="E617" s="79"/>
      <c r="M617" s="79"/>
      <c r="R617" s="79"/>
      <c r="S617" s="79"/>
      <c r="V617" s="79"/>
      <c r="W617" s="79"/>
      <c r="Z617" s="130"/>
      <c r="AB617" s="106"/>
    </row>
    <row r="618">
      <c r="C618" s="79"/>
      <c r="D618" s="79"/>
      <c r="E618" s="79"/>
      <c r="M618" s="79"/>
      <c r="R618" s="79"/>
      <c r="S618" s="79"/>
      <c r="V618" s="79"/>
      <c r="W618" s="79"/>
      <c r="Z618" s="130"/>
      <c r="AB618" s="106"/>
    </row>
    <row r="619">
      <c r="C619" s="79"/>
      <c r="D619" s="79"/>
      <c r="E619" s="79"/>
      <c r="M619" s="79"/>
      <c r="R619" s="79"/>
      <c r="S619" s="79"/>
      <c r="V619" s="79"/>
      <c r="W619" s="79"/>
      <c r="Z619" s="130"/>
      <c r="AB619" s="106"/>
    </row>
    <row r="620">
      <c r="C620" s="79"/>
      <c r="D620" s="79"/>
      <c r="E620" s="79"/>
      <c r="M620" s="79"/>
      <c r="R620" s="79"/>
      <c r="S620" s="79"/>
      <c r="V620" s="79"/>
      <c r="W620" s="79"/>
      <c r="Z620" s="130"/>
      <c r="AB620" s="106"/>
    </row>
    <row r="621">
      <c r="C621" s="79"/>
      <c r="D621" s="79"/>
      <c r="E621" s="79"/>
      <c r="M621" s="79"/>
      <c r="R621" s="79"/>
      <c r="S621" s="79"/>
      <c r="V621" s="79"/>
      <c r="W621" s="79"/>
      <c r="Z621" s="130"/>
      <c r="AB621" s="106"/>
    </row>
    <row r="622">
      <c r="C622" s="79"/>
      <c r="D622" s="79"/>
      <c r="E622" s="79"/>
      <c r="M622" s="79"/>
      <c r="R622" s="79"/>
      <c r="S622" s="79"/>
      <c r="V622" s="79"/>
      <c r="W622" s="79"/>
      <c r="Z622" s="130"/>
      <c r="AB622" s="106"/>
    </row>
    <row r="623">
      <c r="C623" s="79"/>
      <c r="D623" s="79"/>
      <c r="E623" s="79"/>
      <c r="M623" s="79"/>
      <c r="R623" s="79"/>
      <c r="S623" s="79"/>
      <c r="V623" s="79"/>
      <c r="W623" s="79"/>
      <c r="Z623" s="130"/>
      <c r="AB623" s="106"/>
    </row>
    <row r="624">
      <c r="C624" s="79"/>
      <c r="D624" s="79"/>
      <c r="E624" s="79"/>
      <c r="M624" s="79"/>
      <c r="R624" s="79"/>
      <c r="S624" s="79"/>
      <c r="V624" s="79"/>
      <c r="W624" s="79"/>
      <c r="Z624" s="130"/>
      <c r="AB624" s="106"/>
    </row>
    <row r="625">
      <c r="C625" s="79"/>
      <c r="D625" s="79"/>
      <c r="E625" s="79"/>
      <c r="M625" s="79"/>
      <c r="R625" s="79"/>
      <c r="S625" s="79"/>
      <c r="V625" s="79"/>
      <c r="W625" s="79"/>
      <c r="Z625" s="130"/>
      <c r="AB625" s="106"/>
    </row>
    <row r="626">
      <c r="C626" s="79"/>
      <c r="D626" s="79"/>
      <c r="E626" s="79"/>
      <c r="M626" s="79"/>
      <c r="R626" s="79"/>
      <c r="S626" s="79"/>
      <c r="V626" s="79"/>
      <c r="W626" s="79"/>
      <c r="Z626" s="130"/>
      <c r="AB626" s="106"/>
    </row>
    <row r="627">
      <c r="C627" s="79"/>
      <c r="D627" s="79"/>
      <c r="E627" s="79"/>
      <c r="M627" s="79"/>
      <c r="R627" s="79"/>
      <c r="S627" s="79"/>
      <c r="V627" s="79"/>
      <c r="W627" s="79"/>
      <c r="Z627" s="130"/>
      <c r="AB627" s="106"/>
    </row>
    <row r="628">
      <c r="C628" s="79"/>
      <c r="D628" s="79"/>
      <c r="E628" s="79"/>
      <c r="M628" s="79"/>
      <c r="R628" s="79"/>
      <c r="S628" s="79"/>
      <c r="V628" s="79"/>
      <c r="W628" s="79"/>
      <c r="Z628" s="130"/>
      <c r="AB628" s="106"/>
    </row>
    <row r="629">
      <c r="C629" s="79"/>
      <c r="D629" s="79"/>
      <c r="E629" s="79"/>
      <c r="M629" s="79"/>
      <c r="R629" s="79"/>
      <c r="S629" s="79"/>
      <c r="V629" s="79"/>
      <c r="W629" s="79"/>
      <c r="Z629" s="130"/>
      <c r="AB629" s="106"/>
    </row>
    <row r="630">
      <c r="C630" s="79"/>
      <c r="D630" s="79"/>
      <c r="E630" s="79"/>
      <c r="M630" s="79"/>
      <c r="R630" s="79"/>
      <c r="S630" s="79"/>
      <c r="V630" s="79"/>
      <c r="W630" s="79"/>
      <c r="Z630" s="130"/>
      <c r="AB630" s="106"/>
    </row>
    <row r="631">
      <c r="C631" s="79"/>
      <c r="D631" s="79"/>
      <c r="E631" s="79"/>
      <c r="M631" s="79"/>
      <c r="R631" s="79"/>
      <c r="S631" s="79"/>
      <c r="V631" s="79"/>
      <c r="W631" s="79"/>
      <c r="Z631" s="130"/>
      <c r="AB631" s="106"/>
    </row>
    <row r="632">
      <c r="C632" s="79"/>
      <c r="D632" s="79"/>
      <c r="E632" s="79"/>
      <c r="M632" s="79"/>
      <c r="R632" s="79"/>
      <c r="S632" s="79"/>
      <c r="V632" s="79"/>
      <c r="W632" s="79"/>
      <c r="Z632" s="130"/>
      <c r="AB632" s="106"/>
    </row>
    <row r="633">
      <c r="C633" s="79"/>
      <c r="D633" s="79"/>
      <c r="E633" s="79"/>
      <c r="M633" s="79"/>
      <c r="R633" s="79"/>
      <c r="S633" s="79"/>
      <c r="V633" s="79"/>
      <c r="W633" s="79"/>
      <c r="Z633" s="130"/>
      <c r="AB633" s="106"/>
    </row>
    <row r="634">
      <c r="C634" s="79"/>
      <c r="D634" s="79"/>
      <c r="E634" s="79"/>
      <c r="M634" s="79"/>
      <c r="R634" s="79"/>
      <c r="S634" s="79"/>
      <c r="V634" s="79"/>
      <c r="W634" s="79"/>
      <c r="Z634" s="130"/>
      <c r="AB634" s="106"/>
    </row>
    <row r="635">
      <c r="C635" s="79"/>
      <c r="D635" s="79"/>
      <c r="E635" s="79"/>
      <c r="M635" s="79"/>
      <c r="R635" s="79"/>
      <c r="S635" s="79"/>
      <c r="V635" s="79"/>
      <c r="W635" s="79"/>
      <c r="Z635" s="130"/>
      <c r="AB635" s="106"/>
    </row>
    <row r="636">
      <c r="C636" s="79"/>
      <c r="D636" s="79"/>
      <c r="E636" s="79"/>
      <c r="M636" s="79"/>
      <c r="R636" s="79"/>
      <c r="S636" s="79"/>
      <c r="V636" s="79"/>
      <c r="W636" s="79"/>
      <c r="Z636" s="130"/>
      <c r="AB636" s="106"/>
    </row>
    <row r="637">
      <c r="C637" s="79"/>
      <c r="D637" s="79"/>
      <c r="E637" s="79"/>
      <c r="M637" s="79"/>
      <c r="R637" s="79"/>
      <c r="S637" s="79"/>
      <c r="V637" s="79"/>
      <c r="W637" s="79"/>
      <c r="Z637" s="130"/>
      <c r="AB637" s="106"/>
    </row>
    <row r="638">
      <c r="C638" s="79"/>
      <c r="D638" s="79"/>
      <c r="E638" s="79"/>
      <c r="M638" s="79"/>
      <c r="R638" s="79"/>
      <c r="S638" s="79"/>
      <c r="V638" s="79"/>
      <c r="W638" s="79"/>
      <c r="Z638" s="130"/>
      <c r="AB638" s="106"/>
    </row>
    <row r="639">
      <c r="C639" s="79"/>
      <c r="D639" s="79"/>
      <c r="E639" s="79"/>
      <c r="M639" s="79"/>
      <c r="R639" s="79"/>
      <c r="S639" s="79"/>
      <c r="V639" s="79"/>
      <c r="W639" s="79"/>
      <c r="Z639" s="130"/>
      <c r="AB639" s="106"/>
    </row>
    <row r="640">
      <c r="C640" s="79"/>
      <c r="D640" s="79"/>
      <c r="E640" s="79"/>
      <c r="M640" s="79"/>
      <c r="R640" s="79"/>
      <c r="S640" s="79"/>
      <c r="V640" s="79"/>
      <c r="W640" s="79"/>
      <c r="Z640" s="130"/>
      <c r="AB640" s="106"/>
    </row>
    <row r="641">
      <c r="C641" s="79"/>
      <c r="D641" s="79"/>
      <c r="E641" s="79"/>
      <c r="M641" s="79"/>
      <c r="R641" s="79"/>
      <c r="S641" s="79"/>
      <c r="V641" s="79"/>
      <c r="W641" s="79"/>
      <c r="Z641" s="130"/>
      <c r="AB641" s="106"/>
    </row>
    <row r="642">
      <c r="C642" s="79"/>
      <c r="D642" s="79"/>
      <c r="E642" s="79"/>
      <c r="M642" s="79"/>
      <c r="R642" s="79"/>
      <c r="S642" s="79"/>
      <c r="V642" s="79"/>
      <c r="W642" s="79"/>
      <c r="Z642" s="130"/>
      <c r="AB642" s="106"/>
    </row>
    <row r="643">
      <c r="C643" s="79"/>
      <c r="D643" s="79"/>
      <c r="E643" s="79"/>
      <c r="M643" s="79"/>
      <c r="R643" s="79"/>
      <c r="S643" s="79"/>
      <c r="V643" s="79"/>
      <c r="W643" s="79"/>
      <c r="Z643" s="130"/>
      <c r="AB643" s="106"/>
    </row>
    <row r="644">
      <c r="C644" s="79"/>
      <c r="D644" s="79"/>
      <c r="E644" s="79"/>
      <c r="M644" s="79"/>
      <c r="R644" s="79"/>
      <c r="S644" s="79"/>
      <c r="V644" s="79"/>
      <c r="W644" s="79"/>
      <c r="Z644" s="130"/>
      <c r="AB644" s="106"/>
    </row>
    <row r="645">
      <c r="C645" s="79"/>
      <c r="D645" s="79"/>
      <c r="E645" s="79"/>
      <c r="M645" s="79"/>
      <c r="R645" s="79"/>
      <c r="S645" s="79"/>
      <c r="V645" s="79"/>
      <c r="W645" s="79"/>
      <c r="Z645" s="130"/>
      <c r="AB645" s="106"/>
    </row>
    <row r="646">
      <c r="C646" s="79"/>
      <c r="D646" s="79"/>
      <c r="E646" s="79"/>
      <c r="M646" s="79"/>
      <c r="R646" s="79"/>
      <c r="S646" s="79"/>
      <c r="V646" s="79"/>
      <c r="W646" s="79"/>
      <c r="Z646" s="130"/>
      <c r="AB646" s="106"/>
    </row>
    <row r="647">
      <c r="C647" s="79"/>
      <c r="D647" s="79"/>
      <c r="E647" s="79"/>
      <c r="M647" s="79"/>
      <c r="R647" s="79"/>
      <c r="S647" s="79"/>
      <c r="V647" s="79"/>
      <c r="W647" s="79"/>
      <c r="Z647" s="130"/>
      <c r="AB647" s="106"/>
    </row>
    <row r="648">
      <c r="C648" s="79"/>
      <c r="D648" s="79"/>
      <c r="E648" s="79"/>
      <c r="M648" s="79"/>
      <c r="R648" s="79"/>
      <c r="S648" s="79"/>
      <c r="V648" s="79"/>
      <c r="W648" s="79"/>
      <c r="Z648" s="130"/>
      <c r="AB648" s="106"/>
    </row>
    <row r="649">
      <c r="C649" s="79"/>
      <c r="D649" s="79"/>
      <c r="E649" s="79"/>
      <c r="M649" s="79"/>
      <c r="R649" s="79"/>
      <c r="S649" s="79"/>
      <c r="V649" s="79"/>
      <c r="W649" s="79"/>
      <c r="Z649" s="130"/>
      <c r="AB649" s="106"/>
    </row>
    <row r="650">
      <c r="C650" s="79"/>
      <c r="D650" s="79"/>
      <c r="E650" s="79"/>
      <c r="M650" s="79"/>
      <c r="R650" s="79"/>
      <c r="S650" s="79"/>
      <c r="V650" s="79"/>
      <c r="W650" s="79"/>
      <c r="Z650" s="130"/>
      <c r="AB650" s="106"/>
    </row>
    <row r="651">
      <c r="C651" s="79"/>
      <c r="D651" s="79"/>
      <c r="E651" s="79"/>
      <c r="M651" s="79"/>
      <c r="R651" s="79"/>
      <c r="S651" s="79"/>
      <c r="V651" s="79"/>
      <c r="W651" s="79"/>
      <c r="Z651" s="130"/>
      <c r="AB651" s="106"/>
    </row>
    <row r="652">
      <c r="C652" s="79"/>
      <c r="D652" s="79"/>
      <c r="E652" s="79"/>
      <c r="M652" s="79"/>
      <c r="R652" s="79"/>
      <c r="S652" s="79"/>
      <c r="V652" s="79"/>
      <c r="W652" s="79"/>
      <c r="Z652" s="130"/>
      <c r="AB652" s="106"/>
    </row>
    <row r="653">
      <c r="C653" s="79"/>
      <c r="D653" s="79"/>
      <c r="E653" s="79"/>
      <c r="M653" s="79"/>
      <c r="R653" s="79"/>
      <c r="S653" s="79"/>
      <c r="V653" s="79"/>
      <c r="W653" s="79"/>
      <c r="Z653" s="130"/>
      <c r="AB653" s="106"/>
    </row>
    <row r="654">
      <c r="C654" s="79"/>
      <c r="D654" s="79"/>
      <c r="E654" s="79"/>
      <c r="M654" s="79"/>
      <c r="R654" s="79"/>
      <c r="S654" s="79"/>
      <c r="V654" s="79"/>
      <c r="W654" s="79"/>
      <c r="Z654" s="130"/>
      <c r="AB654" s="106"/>
    </row>
    <row r="655">
      <c r="C655" s="79"/>
      <c r="D655" s="79"/>
      <c r="E655" s="79"/>
      <c r="M655" s="79"/>
      <c r="R655" s="79"/>
      <c r="S655" s="79"/>
      <c r="V655" s="79"/>
      <c r="W655" s="79"/>
      <c r="Z655" s="130"/>
      <c r="AB655" s="106"/>
    </row>
    <row r="656">
      <c r="C656" s="79"/>
      <c r="D656" s="79"/>
      <c r="E656" s="79"/>
      <c r="M656" s="79"/>
      <c r="R656" s="79"/>
      <c r="S656" s="79"/>
      <c r="V656" s="79"/>
      <c r="W656" s="79"/>
      <c r="Z656" s="130"/>
      <c r="AB656" s="106"/>
    </row>
    <row r="657">
      <c r="C657" s="79"/>
      <c r="D657" s="79"/>
      <c r="E657" s="79"/>
      <c r="M657" s="79"/>
      <c r="R657" s="79"/>
      <c r="S657" s="79"/>
      <c r="V657" s="79"/>
      <c r="W657" s="79"/>
      <c r="Z657" s="130"/>
      <c r="AB657" s="106"/>
    </row>
    <row r="658">
      <c r="C658" s="79"/>
      <c r="D658" s="79"/>
      <c r="E658" s="79"/>
      <c r="M658" s="79"/>
      <c r="R658" s="79"/>
      <c r="S658" s="79"/>
      <c r="V658" s="79"/>
      <c r="W658" s="79"/>
      <c r="Z658" s="130"/>
      <c r="AB658" s="106"/>
    </row>
    <row r="659">
      <c r="C659" s="79"/>
      <c r="D659" s="79"/>
      <c r="E659" s="79"/>
      <c r="M659" s="79"/>
      <c r="R659" s="79"/>
      <c r="S659" s="79"/>
      <c r="V659" s="79"/>
      <c r="W659" s="79"/>
      <c r="Z659" s="130"/>
      <c r="AB659" s="106"/>
    </row>
    <row r="660">
      <c r="C660" s="79"/>
      <c r="D660" s="79"/>
      <c r="E660" s="79"/>
      <c r="M660" s="79"/>
      <c r="R660" s="79"/>
      <c r="S660" s="79"/>
      <c r="V660" s="79"/>
      <c r="W660" s="79"/>
      <c r="Z660" s="130"/>
      <c r="AB660" s="106"/>
    </row>
    <row r="661">
      <c r="C661" s="79"/>
      <c r="D661" s="79"/>
      <c r="E661" s="79"/>
      <c r="M661" s="79"/>
      <c r="R661" s="79"/>
      <c r="S661" s="79"/>
      <c r="V661" s="79"/>
      <c r="W661" s="79"/>
      <c r="Z661" s="130"/>
      <c r="AB661" s="106"/>
    </row>
    <row r="662">
      <c r="C662" s="79"/>
      <c r="D662" s="79"/>
      <c r="E662" s="79"/>
      <c r="M662" s="79"/>
      <c r="R662" s="79"/>
      <c r="S662" s="79"/>
      <c r="V662" s="79"/>
      <c r="W662" s="79"/>
      <c r="Z662" s="130"/>
      <c r="AB662" s="106"/>
    </row>
    <row r="663">
      <c r="C663" s="79"/>
      <c r="D663" s="79"/>
      <c r="E663" s="79"/>
      <c r="M663" s="79"/>
      <c r="R663" s="79"/>
      <c r="S663" s="79"/>
      <c r="V663" s="79"/>
      <c r="W663" s="79"/>
      <c r="Z663" s="130"/>
      <c r="AB663" s="106"/>
    </row>
    <row r="664">
      <c r="C664" s="79"/>
      <c r="D664" s="79"/>
      <c r="E664" s="79"/>
      <c r="M664" s="79"/>
      <c r="R664" s="79"/>
      <c r="S664" s="79"/>
      <c r="V664" s="79"/>
      <c r="W664" s="79"/>
      <c r="Z664" s="130"/>
      <c r="AB664" s="106"/>
    </row>
    <row r="665">
      <c r="C665" s="79"/>
      <c r="D665" s="79"/>
      <c r="E665" s="79"/>
      <c r="M665" s="79"/>
      <c r="R665" s="79"/>
      <c r="S665" s="79"/>
      <c r="V665" s="79"/>
      <c r="W665" s="79"/>
      <c r="Z665" s="130"/>
      <c r="AB665" s="106"/>
    </row>
    <row r="666">
      <c r="C666" s="79"/>
      <c r="D666" s="79"/>
      <c r="E666" s="79"/>
      <c r="M666" s="79"/>
      <c r="R666" s="79"/>
      <c r="S666" s="79"/>
      <c r="V666" s="79"/>
      <c r="W666" s="79"/>
      <c r="Z666" s="130"/>
      <c r="AB666" s="106"/>
    </row>
    <row r="667">
      <c r="C667" s="79"/>
      <c r="D667" s="79"/>
      <c r="E667" s="79"/>
      <c r="M667" s="79"/>
      <c r="R667" s="79"/>
      <c r="S667" s="79"/>
      <c r="V667" s="79"/>
      <c r="W667" s="79"/>
      <c r="Z667" s="130"/>
      <c r="AB667" s="106"/>
    </row>
    <row r="668">
      <c r="C668" s="79"/>
      <c r="D668" s="79"/>
      <c r="E668" s="79"/>
      <c r="M668" s="79"/>
      <c r="R668" s="79"/>
      <c r="S668" s="79"/>
      <c r="V668" s="79"/>
      <c r="W668" s="79"/>
      <c r="Z668" s="130"/>
      <c r="AB668" s="106"/>
    </row>
    <row r="669">
      <c r="C669" s="79"/>
      <c r="D669" s="79"/>
      <c r="E669" s="79"/>
      <c r="M669" s="79"/>
      <c r="R669" s="79"/>
      <c r="S669" s="79"/>
      <c r="V669" s="79"/>
      <c r="W669" s="79"/>
      <c r="Z669" s="130"/>
      <c r="AB669" s="106"/>
    </row>
    <row r="670">
      <c r="C670" s="79"/>
      <c r="D670" s="79"/>
      <c r="E670" s="79"/>
      <c r="M670" s="79"/>
      <c r="R670" s="79"/>
      <c r="S670" s="79"/>
      <c r="V670" s="79"/>
      <c r="W670" s="79"/>
      <c r="Z670" s="130"/>
      <c r="AB670" s="106"/>
    </row>
    <row r="671">
      <c r="C671" s="79"/>
      <c r="D671" s="79"/>
      <c r="E671" s="79"/>
      <c r="M671" s="79"/>
      <c r="R671" s="79"/>
      <c r="S671" s="79"/>
      <c r="V671" s="79"/>
      <c r="W671" s="79"/>
      <c r="Z671" s="130"/>
      <c r="AB671" s="106"/>
    </row>
    <row r="672">
      <c r="C672" s="79"/>
      <c r="D672" s="79"/>
      <c r="E672" s="79"/>
      <c r="M672" s="79"/>
      <c r="R672" s="79"/>
      <c r="S672" s="79"/>
      <c r="V672" s="79"/>
      <c r="W672" s="79"/>
      <c r="Z672" s="130"/>
      <c r="AB672" s="106"/>
    </row>
    <row r="673">
      <c r="C673" s="79"/>
      <c r="D673" s="79"/>
      <c r="E673" s="79"/>
      <c r="M673" s="79"/>
      <c r="R673" s="79"/>
      <c r="S673" s="79"/>
      <c r="V673" s="79"/>
      <c r="W673" s="79"/>
      <c r="Z673" s="130"/>
      <c r="AB673" s="106"/>
    </row>
    <row r="674">
      <c r="C674" s="79"/>
      <c r="D674" s="79"/>
      <c r="E674" s="79"/>
      <c r="M674" s="79"/>
      <c r="R674" s="79"/>
      <c r="S674" s="79"/>
      <c r="V674" s="79"/>
      <c r="W674" s="79"/>
      <c r="Z674" s="130"/>
      <c r="AB674" s="106"/>
    </row>
    <row r="675">
      <c r="C675" s="79"/>
      <c r="D675" s="79"/>
      <c r="E675" s="79"/>
      <c r="M675" s="79"/>
      <c r="R675" s="79"/>
      <c r="S675" s="79"/>
      <c r="V675" s="79"/>
      <c r="W675" s="79"/>
      <c r="Z675" s="130"/>
      <c r="AB675" s="106"/>
    </row>
    <row r="676">
      <c r="C676" s="79"/>
      <c r="D676" s="79"/>
      <c r="E676" s="79"/>
      <c r="M676" s="79"/>
      <c r="R676" s="79"/>
      <c r="S676" s="79"/>
      <c r="V676" s="79"/>
      <c r="W676" s="79"/>
      <c r="Z676" s="130"/>
      <c r="AB676" s="106"/>
    </row>
    <row r="677">
      <c r="C677" s="79"/>
      <c r="D677" s="79"/>
      <c r="E677" s="79"/>
      <c r="M677" s="79"/>
      <c r="R677" s="79"/>
      <c r="S677" s="79"/>
      <c r="V677" s="79"/>
      <c r="W677" s="79"/>
      <c r="Z677" s="130"/>
      <c r="AB677" s="106"/>
    </row>
    <row r="678">
      <c r="C678" s="79"/>
      <c r="D678" s="79"/>
      <c r="E678" s="79"/>
      <c r="M678" s="79"/>
      <c r="R678" s="79"/>
      <c r="S678" s="79"/>
      <c r="V678" s="79"/>
      <c r="W678" s="79"/>
      <c r="Z678" s="130"/>
      <c r="AB678" s="106"/>
    </row>
    <row r="679">
      <c r="C679" s="79"/>
      <c r="D679" s="79"/>
      <c r="E679" s="79"/>
      <c r="M679" s="79"/>
      <c r="R679" s="79"/>
      <c r="S679" s="79"/>
      <c r="V679" s="79"/>
      <c r="W679" s="79"/>
      <c r="Z679" s="130"/>
      <c r="AB679" s="106"/>
    </row>
    <row r="680">
      <c r="C680" s="79"/>
      <c r="D680" s="79"/>
      <c r="E680" s="79"/>
      <c r="M680" s="79"/>
      <c r="R680" s="79"/>
      <c r="S680" s="79"/>
      <c r="V680" s="79"/>
      <c r="W680" s="79"/>
      <c r="Z680" s="130"/>
      <c r="AB680" s="106"/>
    </row>
    <row r="681">
      <c r="C681" s="79"/>
      <c r="D681" s="79"/>
      <c r="E681" s="79"/>
      <c r="M681" s="79"/>
      <c r="R681" s="79"/>
      <c r="S681" s="79"/>
      <c r="V681" s="79"/>
      <c r="W681" s="79"/>
      <c r="Z681" s="130"/>
      <c r="AB681" s="106"/>
    </row>
    <row r="682">
      <c r="C682" s="79"/>
      <c r="D682" s="79"/>
      <c r="E682" s="79"/>
      <c r="M682" s="79"/>
      <c r="R682" s="79"/>
      <c r="S682" s="79"/>
      <c r="V682" s="79"/>
      <c r="W682" s="79"/>
      <c r="Z682" s="130"/>
      <c r="AB682" s="106"/>
    </row>
    <row r="683">
      <c r="C683" s="79"/>
      <c r="D683" s="79"/>
      <c r="E683" s="79"/>
      <c r="M683" s="79"/>
      <c r="R683" s="79"/>
      <c r="S683" s="79"/>
      <c r="V683" s="79"/>
      <c r="W683" s="79"/>
      <c r="Z683" s="130"/>
      <c r="AB683" s="106"/>
    </row>
    <row r="684">
      <c r="C684" s="79"/>
      <c r="D684" s="79"/>
      <c r="E684" s="79"/>
      <c r="M684" s="79"/>
      <c r="R684" s="79"/>
      <c r="S684" s="79"/>
      <c r="V684" s="79"/>
      <c r="W684" s="79"/>
      <c r="Z684" s="130"/>
      <c r="AB684" s="106"/>
    </row>
    <row r="685">
      <c r="C685" s="79"/>
      <c r="D685" s="79"/>
      <c r="E685" s="79"/>
      <c r="M685" s="79"/>
      <c r="R685" s="79"/>
      <c r="S685" s="79"/>
      <c r="V685" s="79"/>
      <c r="W685" s="79"/>
      <c r="Z685" s="130"/>
      <c r="AB685" s="106"/>
    </row>
    <row r="686">
      <c r="C686" s="79"/>
      <c r="D686" s="79"/>
      <c r="E686" s="79"/>
      <c r="M686" s="79"/>
      <c r="R686" s="79"/>
      <c r="S686" s="79"/>
      <c r="V686" s="79"/>
      <c r="W686" s="79"/>
      <c r="Z686" s="130"/>
      <c r="AB686" s="106"/>
    </row>
    <row r="687">
      <c r="C687" s="79"/>
      <c r="D687" s="79"/>
      <c r="E687" s="79"/>
      <c r="M687" s="79"/>
      <c r="R687" s="79"/>
      <c r="S687" s="79"/>
      <c r="V687" s="79"/>
      <c r="W687" s="79"/>
      <c r="Z687" s="130"/>
      <c r="AB687" s="106"/>
    </row>
    <row r="688">
      <c r="C688" s="79"/>
      <c r="D688" s="79"/>
      <c r="E688" s="79"/>
      <c r="M688" s="79"/>
      <c r="R688" s="79"/>
      <c r="S688" s="79"/>
      <c r="V688" s="79"/>
      <c r="W688" s="79"/>
      <c r="Z688" s="130"/>
      <c r="AB688" s="106"/>
    </row>
    <row r="689">
      <c r="C689" s="79"/>
      <c r="D689" s="79"/>
      <c r="E689" s="79"/>
      <c r="M689" s="79"/>
      <c r="R689" s="79"/>
      <c r="S689" s="79"/>
      <c r="V689" s="79"/>
      <c r="W689" s="79"/>
      <c r="Z689" s="130"/>
      <c r="AB689" s="106"/>
    </row>
    <row r="690">
      <c r="C690" s="79"/>
      <c r="D690" s="79"/>
      <c r="E690" s="79"/>
      <c r="M690" s="79"/>
      <c r="R690" s="79"/>
      <c r="S690" s="79"/>
      <c r="V690" s="79"/>
      <c r="W690" s="79"/>
      <c r="Z690" s="130"/>
      <c r="AB690" s="106"/>
    </row>
    <row r="691">
      <c r="C691" s="79"/>
      <c r="D691" s="79"/>
      <c r="E691" s="79"/>
      <c r="M691" s="79"/>
      <c r="R691" s="79"/>
      <c r="S691" s="79"/>
      <c r="V691" s="79"/>
      <c r="W691" s="79"/>
      <c r="Z691" s="130"/>
      <c r="AB691" s="106"/>
    </row>
    <row r="692">
      <c r="C692" s="79"/>
      <c r="D692" s="79"/>
      <c r="E692" s="79"/>
      <c r="M692" s="79"/>
      <c r="R692" s="79"/>
      <c r="S692" s="79"/>
      <c r="V692" s="79"/>
      <c r="W692" s="79"/>
      <c r="Z692" s="130"/>
      <c r="AB692" s="106"/>
    </row>
    <row r="693">
      <c r="C693" s="79"/>
      <c r="D693" s="79"/>
      <c r="E693" s="79"/>
      <c r="M693" s="79"/>
      <c r="R693" s="79"/>
      <c r="S693" s="79"/>
      <c r="V693" s="79"/>
      <c r="W693" s="79"/>
      <c r="Z693" s="130"/>
      <c r="AB693" s="106"/>
    </row>
    <row r="694">
      <c r="C694" s="79"/>
      <c r="D694" s="79"/>
      <c r="E694" s="79"/>
      <c r="M694" s="79"/>
      <c r="R694" s="79"/>
      <c r="S694" s="79"/>
      <c r="V694" s="79"/>
      <c r="W694" s="79"/>
      <c r="Z694" s="130"/>
      <c r="AB694" s="106"/>
    </row>
    <row r="695">
      <c r="C695" s="79"/>
      <c r="D695" s="79"/>
      <c r="E695" s="79"/>
      <c r="M695" s="79"/>
      <c r="R695" s="79"/>
      <c r="S695" s="79"/>
      <c r="V695" s="79"/>
      <c r="W695" s="79"/>
      <c r="Z695" s="130"/>
      <c r="AB695" s="106"/>
    </row>
    <row r="696">
      <c r="C696" s="79"/>
      <c r="D696" s="79"/>
      <c r="E696" s="79"/>
      <c r="M696" s="79"/>
      <c r="R696" s="79"/>
      <c r="S696" s="79"/>
      <c r="V696" s="79"/>
      <c r="W696" s="79"/>
      <c r="Z696" s="130"/>
      <c r="AB696" s="106"/>
    </row>
    <row r="697">
      <c r="C697" s="79"/>
      <c r="D697" s="79"/>
      <c r="E697" s="79"/>
      <c r="M697" s="79"/>
      <c r="R697" s="79"/>
      <c r="S697" s="79"/>
      <c r="V697" s="79"/>
      <c r="W697" s="79"/>
      <c r="Z697" s="130"/>
      <c r="AB697" s="106"/>
    </row>
    <row r="698">
      <c r="C698" s="79"/>
      <c r="D698" s="79"/>
      <c r="E698" s="79"/>
      <c r="M698" s="79"/>
      <c r="R698" s="79"/>
      <c r="S698" s="79"/>
      <c r="V698" s="79"/>
      <c r="W698" s="79"/>
      <c r="Z698" s="130"/>
      <c r="AB698" s="106"/>
    </row>
    <row r="699">
      <c r="C699" s="79"/>
      <c r="D699" s="79"/>
      <c r="E699" s="79"/>
      <c r="M699" s="79"/>
      <c r="R699" s="79"/>
      <c r="S699" s="79"/>
      <c r="V699" s="79"/>
      <c r="W699" s="79"/>
      <c r="Z699" s="130"/>
      <c r="AB699" s="106"/>
    </row>
    <row r="700">
      <c r="C700" s="79"/>
      <c r="D700" s="79"/>
      <c r="E700" s="79"/>
      <c r="M700" s="79"/>
      <c r="R700" s="79"/>
      <c r="S700" s="79"/>
      <c r="V700" s="79"/>
      <c r="W700" s="79"/>
      <c r="Z700" s="130"/>
      <c r="AB700" s="106"/>
    </row>
    <row r="701">
      <c r="C701" s="79"/>
      <c r="D701" s="79"/>
      <c r="E701" s="79"/>
      <c r="M701" s="79"/>
      <c r="R701" s="79"/>
      <c r="S701" s="79"/>
      <c r="V701" s="79"/>
      <c r="W701" s="79"/>
      <c r="Z701" s="130"/>
      <c r="AB701" s="106"/>
    </row>
    <row r="702">
      <c r="C702" s="79"/>
      <c r="D702" s="79"/>
      <c r="E702" s="79"/>
      <c r="M702" s="79"/>
      <c r="R702" s="79"/>
      <c r="S702" s="79"/>
      <c r="V702" s="79"/>
      <c r="W702" s="79"/>
      <c r="Z702" s="130"/>
      <c r="AB702" s="106"/>
    </row>
    <row r="703">
      <c r="C703" s="79"/>
      <c r="D703" s="79"/>
      <c r="E703" s="79"/>
      <c r="M703" s="79"/>
      <c r="R703" s="79"/>
      <c r="S703" s="79"/>
      <c r="V703" s="79"/>
      <c r="W703" s="79"/>
      <c r="Z703" s="130"/>
      <c r="AB703" s="106"/>
    </row>
    <row r="704">
      <c r="C704" s="79"/>
      <c r="D704" s="79"/>
      <c r="E704" s="79"/>
      <c r="M704" s="79"/>
      <c r="R704" s="79"/>
      <c r="S704" s="79"/>
      <c r="V704" s="79"/>
      <c r="W704" s="79"/>
      <c r="Z704" s="130"/>
      <c r="AB704" s="106"/>
    </row>
    <row r="705">
      <c r="C705" s="79"/>
      <c r="D705" s="79"/>
      <c r="E705" s="79"/>
      <c r="M705" s="79"/>
      <c r="R705" s="79"/>
      <c r="S705" s="79"/>
      <c r="V705" s="79"/>
      <c r="W705" s="79"/>
      <c r="Z705" s="130"/>
      <c r="AB705" s="106"/>
    </row>
    <row r="706">
      <c r="C706" s="79"/>
      <c r="D706" s="79"/>
      <c r="E706" s="79"/>
      <c r="M706" s="79"/>
      <c r="R706" s="79"/>
      <c r="S706" s="79"/>
      <c r="V706" s="79"/>
      <c r="W706" s="79"/>
      <c r="Z706" s="130"/>
      <c r="AB706" s="106"/>
    </row>
    <row r="707">
      <c r="C707" s="79"/>
      <c r="D707" s="79"/>
      <c r="E707" s="79"/>
      <c r="M707" s="79"/>
      <c r="R707" s="79"/>
      <c r="S707" s="79"/>
      <c r="V707" s="79"/>
      <c r="W707" s="79"/>
      <c r="Z707" s="130"/>
      <c r="AB707" s="106"/>
    </row>
    <row r="708">
      <c r="C708" s="79"/>
      <c r="D708" s="79"/>
      <c r="E708" s="79"/>
      <c r="M708" s="79"/>
      <c r="R708" s="79"/>
      <c r="S708" s="79"/>
      <c r="V708" s="79"/>
      <c r="W708" s="79"/>
      <c r="Z708" s="130"/>
      <c r="AB708" s="106"/>
    </row>
    <row r="709">
      <c r="C709" s="79"/>
      <c r="D709" s="79"/>
      <c r="E709" s="79"/>
      <c r="M709" s="79"/>
      <c r="R709" s="79"/>
      <c r="S709" s="79"/>
      <c r="V709" s="79"/>
      <c r="W709" s="79"/>
      <c r="Z709" s="130"/>
      <c r="AB709" s="106"/>
    </row>
    <row r="710">
      <c r="C710" s="79"/>
      <c r="D710" s="79"/>
      <c r="E710" s="79"/>
      <c r="M710" s="79"/>
      <c r="R710" s="79"/>
      <c r="S710" s="79"/>
      <c r="V710" s="79"/>
      <c r="W710" s="79"/>
      <c r="Z710" s="130"/>
      <c r="AB710" s="106"/>
    </row>
    <row r="711">
      <c r="C711" s="79"/>
      <c r="D711" s="79"/>
      <c r="E711" s="79"/>
      <c r="M711" s="79"/>
      <c r="R711" s="79"/>
      <c r="S711" s="79"/>
      <c r="V711" s="79"/>
      <c r="W711" s="79"/>
      <c r="Z711" s="130"/>
      <c r="AB711" s="106"/>
    </row>
    <row r="712">
      <c r="C712" s="79"/>
      <c r="D712" s="79"/>
      <c r="E712" s="79"/>
      <c r="M712" s="79"/>
      <c r="R712" s="79"/>
      <c r="S712" s="79"/>
      <c r="V712" s="79"/>
      <c r="W712" s="79"/>
      <c r="Z712" s="130"/>
      <c r="AB712" s="106"/>
    </row>
    <row r="713">
      <c r="C713" s="79"/>
      <c r="D713" s="79"/>
      <c r="E713" s="79"/>
      <c r="M713" s="79"/>
      <c r="R713" s="79"/>
      <c r="S713" s="79"/>
      <c r="V713" s="79"/>
      <c r="W713" s="79"/>
      <c r="Z713" s="130"/>
      <c r="AB713" s="106"/>
    </row>
    <row r="714">
      <c r="C714" s="79"/>
      <c r="D714" s="79"/>
      <c r="E714" s="79"/>
      <c r="M714" s="79"/>
      <c r="R714" s="79"/>
      <c r="S714" s="79"/>
      <c r="V714" s="79"/>
      <c r="W714" s="79"/>
      <c r="Z714" s="130"/>
      <c r="AB714" s="106"/>
    </row>
    <row r="715">
      <c r="C715" s="79"/>
      <c r="D715" s="79"/>
      <c r="E715" s="79"/>
      <c r="M715" s="79"/>
      <c r="R715" s="79"/>
      <c r="S715" s="79"/>
      <c r="V715" s="79"/>
      <c r="W715" s="79"/>
      <c r="Z715" s="130"/>
      <c r="AB715" s="106"/>
    </row>
    <row r="716">
      <c r="C716" s="79"/>
      <c r="D716" s="79"/>
      <c r="E716" s="79"/>
      <c r="M716" s="79"/>
      <c r="R716" s="79"/>
      <c r="S716" s="79"/>
      <c r="V716" s="79"/>
      <c r="W716" s="79"/>
      <c r="Z716" s="130"/>
      <c r="AB716" s="106"/>
    </row>
    <row r="717">
      <c r="C717" s="79"/>
      <c r="D717" s="79"/>
      <c r="E717" s="79"/>
      <c r="M717" s="79"/>
      <c r="R717" s="79"/>
      <c r="S717" s="79"/>
      <c r="V717" s="79"/>
      <c r="W717" s="79"/>
      <c r="Z717" s="130"/>
      <c r="AB717" s="106"/>
    </row>
    <row r="718">
      <c r="C718" s="79"/>
      <c r="D718" s="79"/>
      <c r="E718" s="79"/>
      <c r="M718" s="79"/>
      <c r="R718" s="79"/>
      <c r="S718" s="79"/>
      <c r="V718" s="79"/>
      <c r="W718" s="79"/>
      <c r="Z718" s="130"/>
      <c r="AB718" s="106"/>
    </row>
    <row r="719">
      <c r="C719" s="79"/>
      <c r="D719" s="79"/>
      <c r="E719" s="79"/>
      <c r="M719" s="79"/>
      <c r="R719" s="79"/>
      <c r="S719" s="79"/>
      <c r="V719" s="79"/>
      <c r="W719" s="79"/>
      <c r="Z719" s="130"/>
      <c r="AB719" s="106"/>
    </row>
    <row r="720">
      <c r="C720" s="79"/>
      <c r="D720" s="79"/>
      <c r="E720" s="79"/>
      <c r="M720" s="79"/>
      <c r="R720" s="79"/>
      <c r="S720" s="79"/>
      <c r="V720" s="79"/>
      <c r="W720" s="79"/>
      <c r="Z720" s="130"/>
      <c r="AB720" s="106"/>
    </row>
    <row r="721">
      <c r="C721" s="79"/>
      <c r="D721" s="79"/>
      <c r="E721" s="79"/>
      <c r="M721" s="79"/>
      <c r="R721" s="79"/>
      <c r="S721" s="79"/>
      <c r="V721" s="79"/>
      <c r="W721" s="79"/>
      <c r="Z721" s="130"/>
      <c r="AB721" s="106"/>
    </row>
    <row r="722">
      <c r="C722" s="79"/>
      <c r="D722" s="79"/>
      <c r="E722" s="79"/>
      <c r="M722" s="79"/>
      <c r="R722" s="79"/>
      <c r="S722" s="79"/>
      <c r="V722" s="79"/>
      <c r="W722" s="79"/>
      <c r="Z722" s="130"/>
      <c r="AB722" s="106"/>
    </row>
    <row r="723">
      <c r="C723" s="79"/>
      <c r="D723" s="79"/>
      <c r="E723" s="79"/>
      <c r="M723" s="79"/>
      <c r="R723" s="79"/>
      <c r="S723" s="79"/>
      <c r="V723" s="79"/>
      <c r="W723" s="79"/>
      <c r="Z723" s="130"/>
      <c r="AB723" s="106"/>
    </row>
    <row r="724">
      <c r="C724" s="79"/>
      <c r="D724" s="79"/>
      <c r="E724" s="79"/>
      <c r="M724" s="79"/>
      <c r="R724" s="79"/>
      <c r="S724" s="79"/>
      <c r="V724" s="79"/>
      <c r="W724" s="79"/>
      <c r="Z724" s="130"/>
      <c r="AB724" s="106"/>
    </row>
    <row r="725">
      <c r="C725" s="79"/>
      <c r="D725" s="79"/>
      <c r="E725" s="79"/>
      <c r="M725" s="79"/>
      <c r="R725" s="79"/>
      <c r="S725" s="79"/>
      <c r="V725" s="79"/>
      <c r="W725" s="79"/>
      <c r="Z725" s="130"/>
      <c r="AB725" s="106"/>
    </row>
    <row r="726">
      <c r="C726" s="79"/>
      <c r="D726" s="79"/>
      <c r="E726" s="79"/>
      <c r="M726" s="79"/>
      <c r="R726" s="79"/>
      <c r="S726" s="79"/>
      <c r="V726" s="79"/>
      <c r="W726" s="79"/>
      <c r="Z726" s="130"/>
      <c r="AB726" s="106"/>
    </row>
    <row r="727">
      <c r="C727" s="79"/>
      <c r="D727" s="79"/>
      <c r="E727" s="79"/>
      <c r="M727" s="79"/>
      <c r="R727" s="79"/>
      <c r="S727" s="79"/>
      <c r="V727" s="79"/>
      <c r="W727" s="79"/>
      <c r="Z727" s="130"/>
      <c r="AB727" s="106"/>
    </row>
    <row r="728">
      <c r="C728" s="79"/>
      <c r="D728" s="79"/>
      <c r="E728" s="79"/>
      <c r="M728" s="79"/>
      <c r="R728" s="79"/>
      <c r="S728" s="79"/>
      <c r="V728" s="79"/>
      <c r="W728" s="79"/>
      <c r="Z728" s="130"/>
      <c r="AB728" s="106"/>
    </row>
    <row r="729">
      <c r="C729" s="79"/>
      <c r="D729" s="79"/>
      <c r="E729" s="79"/>
      <c r="M729" s="79"/>
      <c r="R729" s="79"/>
      <c r="S729" s="79"/>
      <c r="V729" s="79"/>
      <c r="W729" s="79"/>
      <c r="Z729" s="130"/>
      <c r="AB729" s="106"/>
    </row>
    <row r="730">
      <c r="C730" s="79"/>
      <c r="D730" s="79"/>
      <c r="E730" s="79"/>
      <c r="M730" s="79"/>
      <c r="R730" s="79"/>
      <c r="S730" s="79"/>
      <c r="V730" s="79"/>
      <c r="W730" s="79"/>
      <c r="Z730" s="130"/>
      <c r="AB730" s="106"/>
    </row>
    <row r="731">
      <c r="C731" s="79"/>
      <c r="D731" s="79"/>
      <c r="E731" s="79"/>
      <c r="M731" s="79"/>
      <c r="R731" s="79"/>
      <c r="S731" s="79"/>
      <c r="V731" s="79"/>
      <c r="W731" s="79"/>
      <c r="Z731" s="130"/>
      <c r="AB731" s="106"/>
    </row>
    <row r="732">
      <c r="C732" s="79"/>
      <c r="D732" s="79"/>
      <c r="E732" s="79"/>
      <c r="M732" s="79"/>
      <c r="R732" s="79"/>
      <c r="S732" s="79"/>
      <c r="V732" s="79"/>
      <c r="W732" s="79"/>
      <c r="Z732" s="130"/>
      <c r="AB732" s="106"/>
    </row>
    <row r="733">
      <c r="C733" s="79"/>
      <c r="D733" s="79"/>
      <c r="E733" s="79"/>
      <c r="M733" s="79"/>
      <c r="R733" s="79"/>
      <c r="S733" s="79"/>
      <c r="V733" s="79"/>
      <c r="W733" s="79"/>
      <c r="Z733" s="130"/>
      <c r="AB733" s="106"/>
    </row>
    <row r="734">
      <c r="C734" s="79"/>
      <c r="D734" s="79"/>
      <c r="E734" s="79"/>
      <c r="M734" s="79"/>
      <c r="R734" s="79"/>
      <c r="S734" s="79"/>
      <c r="V734" s="79"/>
      <c r="W734" s="79"/>
      <c r="Z734" s="130"/>
      <c r="AB734" s="106"/>
    </row>
    <row r="735">
      <c r="C735" s="79"/>
      <c r="D735" s="79"/>
      <c r="E735" s="79"/>
      <c r="M735" s="79"/>
      <c r="R735" s="79"/>
      <c r="S735" s="79"/>
      <c r="V735" s="79"/>
      <c r="W735" s="79"/>
      <c r="Z735" s="130"/>
      <c r="AB735" s="106"/>
    </row>
    <row r="736">
      <c r="C736" s="79"/>
      <c r="D736" s="79"/>
      <c r="E736" s="79"/>
      <c r="M736" s="79"/>
      <c r="R736" s="79"/>
      <c r="S736" s="79"/>
      <c r="V736" s="79"/>
      <c r="W736" s="79"/>
      <c r="Z736" s="130"/>
      <c r="AB736" s="106"/>
    </row>
    <row r="737">
      <c r="C737" s="79"/>
      <c r="D737" s="79"/>
      <c r="E737" s="79"/>
      <c r="M737" s="79"/>
      <c r="R737" s="79"/>
      <c r="S737" s="79"/>
      <c r="V737" s="79"/>
      <c r="W737" s="79"/>
      <c r="Z737" s="130"/>
      <c r="AB737" s="106"/>
    </row>
    <row r="738">
      <c r="C738" s="79"/>
      <c r="D738" s="79"/>
      <c r="E738" s="79"/>
      <c r="M738" s="79"/>
      <c r="R738" s="79"/>
      <c r="S738" s="79"/>
      <c r="V738" s="79"/>
      <c r="W738" s="79"/>
      <c r="Z738" s="130"/>
      <c r="AB738" s="106"/>
    </row>
    <row r="739">
      <c r="C739" s="79"/>
      <c r="D739" s="79"/>
      <c r="E739" s="79"/>
      <c r="M739" s="79"/>
      <c r="R739" s="79"/>
      <c r="S739" s="79"/>
      <c r="V739" s="79"/>
      <c r="W739" s="79"/>
      <c r="Z739" s="130"/>
      <c r="AB739" s="106"/>
    </row>
    <row r="740">
      <c r="C740" s="79"/>
      <c r="D740" s="79"/>
      <c r="E740" s="79"/>
      <c r="M740" s="79"/>
      <c r="R740" s="79"/>
      <c r="S740" s="79"/>
      <c r="V740" s="79"/>
      <c r="W740" s="79"/>
      <c r="Z740" s="130"/>
      <c r="AB740" s="106"/>
    </row>
    <row r="741">
      <c r="C741" s="79"/>
      <c r="D741" s="79"/>
      <c r="E741" s="79"/>
      <c r="M741" s="79"/>
      <c r="R741" s="79"/>
      <c r="S741" s="79"/>
      <c r="V741" s="79"/>
      <c r="W741" s="79"/>
      <c r="Z741" s="130"/>
      <c r="AB741" s="106"/>
    </row>
    <row r="742">
      <c r="C742" s="79"/>
      <c r="D742" s="79"/>
      <c r="E742" s="79"/>
      <c r="M742" s="79"/>
      <c r="R742" s="79"/>
      <c r="S742" s="79"/>
      <c r="V742" s="79"/>
      <c r="W742" s="79"/>
      <c r="Z742" s="130"/>
      <c r="AB742" s="106"/>
    </row>
    <row r="743">
      <c r="C743" s="79"/>
      <c r="D743" s="79"/>
      <c r="E743" s="79"/>
      <c r="M743" s="79"/>
      <c r="R743" s="79"/>
      <c r="S743" s="79"/>
      <c r="V743" s="79"/>
      <c r="W743" s="79"/>
      <c r="Z743" s="130"/>
      <c r="AB743" s="106"/>
    </row>
    <row r="744">
      <c r="C744" s="79"/>
      <c r="D744" s="79"/>
      <c r="E744" s="79"/>
      <c r="M744" s="79"/>
      <c r="R744" s="79"/>
      <c r="S744" s="79"/>
      <c r="V744" s="79"/>
      <c r="W744" s="79"/>
      <c r="Z744" s="130"/>
      <c r="AB744" s="106"/>
    </row>
    <row r="745">
      <c r="C745" s="79"/>
      <c r="D745" s="79"/>
      <c r="E745" s="79"/>
      <c r="M745" s="79"/>
      <c r="R745" s="79"/>
      <c r="S745" s="79"/>
      <c r="V745" s="79"/>
      <c r="W745" s="79"/>
      <c r="Z745" s="130"/>
      <c r="AB745" s="106"/>
    </row>
    <row r="746">
      <c r="C746" s="79"/>
      <c r="D746" s="79"/>
      <c r="E746" s="79"/>
      <c r="M746" s="79"/>
      <c r="R746" s="79"/>
      <c r="S746" s="79"/>
      <c r="V746" s="79"/>
      <c r="W746" s="79"/>
      <c r="Z746" s="130"/>
      <c r="AB746" s="106"/>
    </row>
    <row r="747">
      <c r="C747" s="79"/>
      <c r="D747" s="79"/>
      <c r="E747" s="79"/>
      <c r="M747" s="79"/>
      <c r="R747" s="79"/>
      <c r="S747" s="79"/>
      <c r="V747" s="79"/>
      <c r="W747" s="79"/>
      <c r="Z747" s="130"/>
      <c r="AB747" s="106"/>
    </row>
    <row r="748">
      <c r="C748" s="79"/>
      <c r="D748" s="79"/>
      <c r="E748" s="79"/>
      <c r="M748" s="79"/>
      <c r="R748" s="79"/>
      <c r="S748" s="79"/>
      <c r="V748" s="79"/>
      <c r="W748" s="79"/>
      <c r="Z748" s="130"/>
      <c r="AB748" s="106"/>
    </row>
    <row r="749">
      <c r="C749" s="79"/>
      <c r="D749" s="79"/>
      <c r="E749" s="79"/>
      <c r="M749" s="79"/>
      <c r="R749" s="79"/>
      <c r="S749" s="79"/>
      <c r="V749" s="79"/>
      <c r="W749" s="79"/>
      <c r="Z749" s="130"/>
      <c r="AB749" s="106"/>
    </row>
    <row r="750">
      <c r="C750" s="79"/>
      <c r="D750" s="79"/>
      <c r="E750" s="79"/>
      <c r="M750" s="79"/>
      <c r="R750" s="79"/>
      <c r="S750" s="79"/>
      <c r="V750" s="79"/>
      <c r="W750" s="79"/>
      <c r="Z750" s="130"/>
      <c r="AB750" s="106"/>
    </row>
    <row r="751">
      <c r="C751" s="79"/>
      <c r="D751" s="79"/>
      <c r="E751" s="79"/>
      <c r="M751" s="79"/>
      <c r="R751" s="79"/>
      <c r="S751" s="79"/>
      <c r="V751" s="79"/>
      <c r="W751" s="79"/>
      <c r="Z751" s="130"/>
      <c r="AB751" s="106"/>
    </row>
    <row r="752">
      <c r="C752" s="79"/>
      <c r="D752" s="79"/>
      <c r="E752" s="79"/>
      <c r="M752" s="79"/>
      <c r="R752" s="79"/>
      <c r="S752" s="79"/>
      <c r="V752" s="79"/>
      <c r="W752" s="79"/>
      <c r="Z752" s="130"/>
      <c r="AB752" s="106"/>
    </row>
    <row r="753">
      <c r="C753" s="79"/>
      <c r="D753" s="79"/>
      <c r="E753" s="79"/>
      <c r="M753" s="79"/>
      <c r="R753" s="79"/>
      <c r="S753" s="79"/>
      <c r="V753" s="79"/>
      <c r="W753" s="79"/>
      <c r="Z753" s="130"/>
      <c r="AB753" s="106"/>
    </row>
    <row r="754">
      <c r="C754" s="79"/>
      <c r="D754" s="79"/>
      <c r="E754" s="79"/>
      <c r="M754" s="79"/>
      <c r="R754" s="79"/>
      <c r="S754" s="79"/>
      <c r="V754" s="79"/>
      <c r="W754" s="79"/>
      <c r="Z754" s="130"/>
      <c r="AB754" s="106"/>
    </row>
    <row r="755">
      <c r="C755" s="79"/>
      <c r="D755" s="79"/>
      <c r="E755" s="79"/>
      <c r="M755" s="79"/>
      <c r="R755" s="79"/>
      <c r="S755" s="79"/>
      <c r="V755" s="79"/>
      <c r="W755" s="79"/>
      <c r="Z755" s="130"/>
      <c r="AB755" s="106"/>
    </row>
    <row r="756">
      <c r="C756" s="79"/>
      <c r="D756" s="79"/>
      <c r="E756" s="79"/>
      <c r="M756" s="79"/>
      <c r="R756" s="79"/>
      <c r="S756" s="79"/>
      <c r="V756" s="79"/>
      <c r="W756" s="79"/>
      <c r="Z756" s="130"/>
      <c r="AB756" s="106"/>
    </row>
    <row r="757">
      <c r="C757" s="79"/>
      <c r="D757" s="79"/>
      <c r="E757" s="79"/>
      <c r="M757" s="79"/>
      <c r="R757" s="79"/>
      <c r="S757" s="79"/>
      <c r="V757" s="79"/>
      <c r="W757" s="79"/>
      <c r="Z757" s="130"/>
      <c r="AB757" s="106"/>
    </row>
    <row r="758">
      <c r="C758" s="79"/>
      <c r="D758" s="79"/>
      <c r="E758" s="79"/>
      <c r="M758" s="79"/>
      <c r="R758" s="79"/>
      <c r="S758" s="79"/>
      <c r="V758" s="79"/>
      <c r="W758" s="79"/>
      <c r="Z758" s="130"/>
      <c r="AB758" s="106"/>
    </row>
    <row r="759">
      <c r="C759" s="79"/>
      <c r="D759" s="79"/>
      <c r="E759" s="79"/>
      <c r="M759" s="79"/>
      <c r="R759" s="79"/>
      <c r="S759" s="79"/>
      <c r="V759" s="79"/>
      <c r="W759" s="79"/>
      <c r="Z759" s="130"/>
      <c r="AB759" s="106"/>
    </row>
    <row r="760">
      <c r="C760" s="79"/>
      <c r="D760" s="79"/>
      <c r="E760" s="79"/>
      <c r="M760" s="79"/>
      <c r="R760" s="79"/>
      <c r="S760" s="79"/>
      <c r="V760" s="79"/>
      <c r="W760" s="79"/>
      <c r="Z760" s="130"/>
      <c r="AB760" s="106"/>
    </row>
    <row r="761">
      <c r="C761" s="79"/>
      <c r="D761" s="79"/>
      <c r="E761" s="79"/>
      <c r="M761" s="79"/>
      <c r="R761" s="79"/>
      <c r="S761" s="79"/>
      <c r="V761" s="79"/>
      <c r="W761" s="79"/>
      <c r="Z761" s="130"/>
      <c r="AB761" s="106"/>
    </row>
    <row r="762">
      <c r="C762" s="79"/>
      <c r="D762" s="79"/>
      <c r="E762" s="79"/>
      <c r="M762" s="79"/>
      <c r="R762" s="79"/>
      <c r="S762" s="79"/>
      <c r="V762" s="79"/>
      <c r="W762" s="79"/>
      <c r="Z762" s="130"/>
      <c r="AB762" s="106"/>
    </row>
    <row r="763">
      <c r="C763" s="79"/>
      <c r="D763" s="79"/>
      <c r="E763" s="79"/>
      <c r="M763" s="79"/>
      <c r="R763" s="79"/>
      <c r="S763" s="79"/>
      <c r="V763" s="79"/>
      <c r="W763" s="79"/>
      <c r="Z763" s="130"/>
      <c r="AB763" s="106"/>
    </row>
    <row r="764">
      <c r="C764" s="79"/>
      <c r="D764" s="79"/>
      <c r="E764" s="79"/>
      <c r="M764" s="79"/>
      <c r="R764" s="79"/>
      <c r="S764" s="79"/>
      <c r="V764" s="79"/>
      <c r="W764" s="79"/>
      <c r="Z764" s="130"/>
      <c r="AB764" s="106"/>
    </row>
    <row r="765">
      <c r="C765" s="79"/>
      <c r="D765" s="79"/>
      <c r="E765" s="79"/>
      <c r="M765" s="79"/>
      <c r="R765" s="79"/>
      <c r="S765" s="79"/>
      <c r="V765" s="79"/>
      <c r="W765" s="79"/>
      <c r="Z765" s="130"/>
      <c r="AB765" s="106"/>
    </row>
    <row r="766">
      <c r="C766" s="79"/>
      <c r="D766" s="79"/>
      <c r="E766" s="79"/>
      <c r="M766" s="79"/>
      <c r="R766" s="79"/>
      <c r="S766" s="79"/>
      <c r="V766" s="79"/>
      <c r="W766" s="79"/>
      <c r="Z766" s="130"/>
      <c r="AB766" s="106"/>
    </row>
    <row r="767">
      <c r="C767" s="79"/>
      <c r="D767" s="79"/>
      <c r="E767" s="79"/>
      <c r="M767" s="79"/>
      <c r="R767" s="79"/>
      <c r="S767" s="79"/>
      <c r="V767" s="79"/>
      <c r="W767" s="79"/>
      <c r="Z767" s="130"/>
      <c r="AB767" s="106"/>
    </row>
    <row r="768">
      <c r="C768" s="79"/>
      <c r="D768" s="79"/>
      <c r="E768" s="79"/>
      <c r="M768" s="79"/>
      <c r="R768" s="79"/>
      <c r="S768" s="79"/>
      <c r="V768" s="79"/>
      <c r="W768" s="79"/>
      <c r="Z768" s="130"/>
      <c r="AB768" s="106"/>
    </row>
    <row r="769">
      <c r="C769" s="79"/>
      <c r="D769" s="79"/>
      <c r="E769" s="79"/>
      <c r="M769" s="79"/>
      <c r="R769" s="79"/>
      <c r="S769" s="79"/>
      <c r="V769" s="79"/>
      <c r="W769" s="79"/>
      <c r="Z769" s="130"/>
      <c r="AB769" s="106"/>
    </row>
    <row r="770">
      <c r="C770" s="79"/>
      <c r="D770" s="79"/>
      <c r="E770" s="79"/>
      <c r="M770" s="79"/>
      <c r="R770" s="79"/>
      <c r="S770" s="79"/>
      <c r="V770" s="79"/>
      <c r="W770" s="79"/>
      <c r="Z770" s="130"/>
      <c r="AB770" s="106"/>
    </row>
    <row r="771">
      <c r="C771" s="79"/>
      <c r="D771" s="79"/>
      <c r="E771" s="79"/>
      <c r="M771" s="79"/>
      <c r="R771" s="79"/>
      <c r="S771" s="79"/>
      <c r="V771" s="79"/>
      <c r="W771" s="79"/>
      <c r="Z771" s="130"/>
      <c r="AB771" s="106"/>
    </row>
    <row r="772">
      <c r="C772" s="79"/>
      <c r="D772" s="79"/>
      <c r="E772" s="79"/>
      <c r="M772" s="79"/>
      <c r="R772" s="79"/>
      <c r="S772" s="79"/>
      <c r="V772" s="79"/>
      <c r="W772" s="79"/>
      <c r="Z772" s="130"/>
      <c r="AB772" s="106"/>
    </row>
    <row r="773">
      <c r="C773" s="79"/>
      <c r="D773" s="79"/>
      <c r="E773" s="79"/>
      <c r="M773" s="79"/>
      <c r="R773" s="79"/>
      <c r="S773" s="79"/>
      <c r="V773" s="79"/>
      <c r="W773" s="79"/>
      <c r="Z773" s="130"/>
      <c r="AB773" s="106"/>
    </row>
    <row r="774">
      <c r="C774" s="79"/>
      <c r="D774" s="79"/>
      <c r="E774" s="79"/>
      <c r="M774" s="79"/>
      <c r="R774" s="79"/>
      <c r="S774" s="79"/>
      <c r="V774" s="79"/>
      <c r="W774" s="79"/>
      <c r="Z774" s="130"/>
      <c r="AB774" s="106"/>
    </row>
    <row r="775">
      <c r="C775" s="79"/>
      <c r="D775" s="79"/>
      <c r="E775" s="79"/>
      <c r="M775" s="79"/>
      <c r="R775" s="79"/>
      <c r="S775" s="79"/>
      <c r="V775" s="79"/>
      <c r="W775" s="79"/>
      <c r="Z775" s="130"/>
      <c r="AB775" s="106"/>
    </row>
    <row r="776">
      <c r="C776" s="79"/>
      <c r="D776" s="79"/>
      <c r="E776" s="79"/>
      <c r="M776" s="79"/>
      <c r="R776" s="79"/>
      <c r="S776" s="79"/>
      <c r="V776" s="79"/>
      <c r="W776" s="79"/>
      <c r="Z776" s="130"/>
      <c r="AB776" s="106"/>
    </row>
    <row r="777">
      <c r="C777" s="79"/>
      <c r="D777" s="79"/>
      <c r="E777" s="79"/>
      <c r="M777" s="79"/>
      <c r="R777" s="79"/>
      <c r="S777" s="79"/>
      <c r="V777" s="79"/>
      <c r="W777" s="79"/>
      <c r="Z777" s="130"/>
      <c r="AB777" s="106"/>
    </row>
    <row r="778">
      <c r="C778" s="79"/>
      <c r="D778" s="79"/>
      <c r="E778" s="79"/>
      <c r="M778" s="79"/>
      <c r="R778" s="79"/>
      <c r="S778" s="79"/>
      <c r="V778" s="79"/>
      <c r="W778" s="79"/>
      <c r="Z778" s="130"/>
      <c r="AB778" s="106"/>
    </row>
    <row r="779">
      <c r="C779" s="79"/>
      <c r="D779" s="79"/>
      <c r="E779" s="79"/>
      <c r="M779" s="79"/>
      <c r="R779" s="79"/>
      <c r="S779" s="79"/>
      <c r="V779" s="79"/>
      <c r="W779" s="79"/>
      <c r="Z779" s="130"/>
      <c r="AB779" s="106"/>
    </row>
    <row r="780">
      <c r="C780" s="79"/>
      <c r="D780" s="79"/>
      <c r="E780" s="79"/>
      <c r="M780" s="79"/>
      <c r="R780" s="79"/>
      <c r="S780" s="79"/>
      <c r="V780" s="79"/>
      <c r="W780" s="79"/>
      <c r="Z780" s="130"/>
      <c r="AB780" s="106"/>
    </row>
    <row r="781">
      <c r="C781" s="79"/>
      <c r="D781" s="79"/>
      <c r="E781" s="79"/>
      <c r="M781" s="79"/>
      <c r="R781" s="79"/>
      <c r="S781" s="79"/>
      <c r="V781" s="79"/>
      <c r="W781" s="79"/>
      <c r="Z781" s="130"/>
      <c r="AB781" s="106"/>
    </row>
    <row r="782">
      <c r="C782" s="79"/>
      <c r="D782" s="79"/>
      <c r="E782" s="79"/>
      <c r="M782" s="79"/>
      <c r="R782" s="79"/>
      <c r="S782" s="79"/>
      <c r="V782" s="79"/>
      <c r="W782" s="79"/>
      <c r="Z782" s="130"/>
      <c r="AB782" s="106"/>
    </row>
    <row r="783">
      <c r="C783" s="79"/>
      <c r="D783" s="79"/>
      <c r="E783" s="79"/>
      <c r="M783" s="79"/>
      <c r="R783" s="79"/>
      <c r="S783" s="79"/>
      <c r="V783" s="79"/>
      <c r="W783" s="79"/>
      <c r="Z783" s="130"/>
      <c r="AB783" s="106"/>
    </row>
    <row r="784">
      <c r="C784" s="79"/>
      <c r="D784" s="79"/>
      <c r="E784" s="79"/>
      <c r="M784" s="79"/>
      <c r="R784" s="79"/>
      <c r="S784" s="79"/>
      <c r="V784" s="79"/>
      <c r="W784" s="79"/>
      <c r="Z784" s="130"/>
      <c r="AB784" s="106"/>
    </row>
    <row r="785">
      <c r="C785" s="79"/>
      <c r="D785" s="79"/>
      <c r="E785" s="79"/>
      <c r="M785" s="79"/>
      <c r="R785" s="79"/>
      <c r="S785" s="79"/>
      <c r="V785" s="79"/>
      <c r="W785" s="79"/>
      <c r="Z785" s="130"/>
      <c r="AB785" s="106"/>
    </row>
    <row r="786">
      <c r="C786" s="79"/>
      <c r="D786" s="79"/>
      <c r="E786" s="79"/>
      <c r="M786" s="79"/>
      <c r="R786" s="79"/>
      <c r="S786" s="79"/>
      <c r="V786" s="79"/>
      <c r="W786" s="79"/>
      <c r="Z786" s="130"/>
      <c r="AB786" s="106"/>
    </row>
    <row r="787">
      <c r="C787" s="79"/>
      <c r="D787" s="79"/>
      <c r="E787" s="79"/>
      <c r="M787" s="79"/>
      <c r="R787" s="79"/>
      <c r="S787" s="79"/>
      <c r="V787" s="79"/>
      <c r="W787" s="79"/>
      <c r="Z787" s="130"/>
      <c r="AB787" s="106"/>
    </row>
    <row r="788">
      <c r="C788" s="79"/>
      <c r="D788" s="79"/>
      <c r="E788" s="79"/>
      <c r="M788" s="79"/>
      <c r="R788" s="79"/>
      <c r="S788" s="79"/>
      <c r="V788" s="79"/>
      <c r="W788" s="79"/>
      <c r="Z788" s="130"/>
      <c r="AB788" s="106"/>
    </row>
    <row r="789">
      <c r="C789" s="79"/>
      <c r="D789" s="79"/>
      <c r="E789" s="79"/>
      <c r="M789" s="79"/>
      <c r="R789" s="79"/>
      <c r="S789" s="79"/>
      <c r="V789" s="79"/>
      <c r="W789" s="79"/>
      <c r="Z789" s="130"/>
      <c r="AB789" s="106"/>
    </row>
    <row r="790">
      <c r="C790" s="79"/>
      <c r="D790" s="79"/>
      <c r="E790" s="79"/>
      <c r="M790" s="79"/>
      <c r="R790" s="79"/>
      <c r="S790" s="79"/>
      <c r="V790" s="79"/>
      <c r="W790" s="79"/>
      <c r="Z790" s="130"/>
      <c r="AB790" s="106"/>
    </row>
    <row r="791">
      <c r="C791" s="79"/>
      <c r="D791" s="79"/>
      <c r="E791" s="79"/>
      <c r="M791" s="79"/>
      <c r="R791" s="79"/>
      <c r="S791" s="79"/>
      <c r="V791" s="79"/>
      <c r="W791" s="79"/>
      <c r="Z791" s="130"/>
      <c r="AB791" s="106"/>
    </row>
    <row r="792">
      <c r="C792" s="79"/>
      <c r="D792" s="79"/>
      <c r="E792" s="79"/>
      <c r="M792" s="79"/>
      <c r="R792" s="79"/>
      <c r="S792" s="79"/>
      <c r="V792" s="79"/>
      <c r="W792" s="79"/>
      <c r="Z792" s="130"/>
      <c r="AB792" s="106"/>
    </row>
    <row r="793">
      <c r="C793" s="79"/>
      <c r="D793" s="79"/>
      <c r="E793" s="79"/>
      <c r="M793" s="79"/>
      <c r="R793" s="79"/>
      <c r="S793" s="79"/>
      <c r="V793" s="79"/>
      <c r="W793" s="79"/>
      <c r="Z793" s="130"/>
      <c r="AB793" s="106"/>
    </row>
    <row r="794">
      <c r="C794" s="79"/>
      <c r="D794" s="79"/>
      <c r="E794" s="79"/>
      <c r="M794" s="79"/>
      <c r="R794" s="79"/>
      <c r="S794" s="79"/>
      <c r="V794" s="79"/>
      <c r="W794" s="79"/>
      <c r="Z794" s="130"/>
      <c r="AB794" s="106"/>
    </row>
    <row r="795">
      <c r="C795" s="79"/>
      <c r="D795" s="79"/>
      <c r="E795" s="79"/>
      <c r="M795" s="79"/>
      <c r="R795" s="79"/>
      <c r="S795" s="79"/>
      <c r="V795" s="79"/>
      <c r="W795" s="79"/>
      <c r="Z795" s="130"/>
      <c r="AB795" s="106"/>
    </row>
    <row r="796">
      <c r="C796" s="79"/>
      <c r="D796" s="79"/>
      <c r="E796" s="79"/>
      <c r="M796" s="79"/>
      <c r="R796" s="79"/>
      <c r="S796" s="79"/>
      <c r="V796" s="79"/>
      <c r="W796" s="79"/>
      <c r="Z796" s="130"/>
      <c r="AB796" s="106"/>
    </row>
    <row r="797">
      <c r="C797" s="79"/>
      <c r="D797" s="79"/>
      <c r="E797" s="79"/>
      <c r="M797" s="79"/>
      <c r="R797" s="79"/>
      <c r="S797" s="79"/>
      <c r="V797" s="79"/>
      <c r="W797" s="79"/>
      <c r="Z797" s="130"/>
      <c r="AB797" s="106"/>
    </row>
    <row r="798">
      <c r="C798" s="79"/>
      <c r="D798" s="79"/>
      <c r="E798" s="79"/>
      <c r="M798" s="79"/>
      <c r="R798" s="79"/>
      <c r="S798" s="79"/>
      <c r="V798" s="79"/>
      <c r="W798" s="79"/>
      <c r="Z798" s="130"/>
      <c r="AB798" s="106"/>
    </row>
    <row r="799">
      <c r="C799" s="79"/>
      <c r="D799" s="79"/>
      <c r="E799" s="79"/>
      <c r="M799" s="79"/>
      <c r="R799" s="79"/>
      <c r="S799" s="79"/>
      <c r="V799" s="79"/>
      <c r="W799" s="79"/>
      <c r="Z799" s="130"/>
      <c r="AB799" s="106"/>
    </row>
    <row r="800">
      <c r="C800" s="79"/>
      <c r="D800" s="79"/>
      <c r="E800" s="79"/>
      <c r="M800" s="79"/>
      <c r="R800" s="79"/>
      <c r="S800" s="79"/>
      <c r="V800" s="79"/>
      <c r="W800" s="79"/>
      <c r="Z800" s="130"/>
      <c r="AB800" s="106"/>
    </row>
    <row r="801">
      <c r="C801" s="79"/>
      <c r="D801" s="79"/>
      <c r="E801" s="79"/>
      <c r="M801" s="79"/>
      <c r="R801" s="79"/>
      <c r="S801" s="79"/>
      <c r="V801" s="79"/>
      <c r="W801" s="79"/>
      <c r="Z801" s="130"/>
      <c r="AB801" s="106"/>
    </row>
    <row r="802">
      <c r="C802" s="79"/>
      <c r="D802" s="79"/>
      <c r="E802" s="79"/>
      <c r="M802" s="79"/>
      <c r="R802" s="79"/>
      <c r="S802" s="79"/>
      <c r="V802" s="79"/>
      <c r="W802" s="79"/>
      <c r="Z802" s="130"/>
      <c r="AB802" s="106"/>
    </row>
    <row r="803">
      <c r="C803" s="79"/>
      <c r="D803" s="79"/>
      <c r="E803" s="79"/>
      <c r="M803" s="79"/>
      <c r="R803" s="79"/>
      <c r="S803" s="79"/>
      <c r="V803" s="79"/>
      <c r="W803" s="79"/>
      <c r="Z803" s="130"/>
      <c r="AB803" s="106"/>
    </row>
    <row r="804">
      <c r="C804" s="79"/>
      <c r="D804" s="79"/>
      <c r="E804" s="79"/>
      <c r="M804" s="79"/>
      <c r="R804" s="79"/>
      <c r="S804" s="79"/>
      <c r="V804" s="79"/>
      <c r="W804" s="79"/>
      <c r="Z804" s="130"/>
      <c r="AB804" s="106"/>
    </row>
    <row r="805">
      <c r="C805" s="79"/>
      <c r="D805" s="79"/>
      <c r="E805" s="79"/>
      <c r="M805" s="79"/>
      <c r="R805" s="79"/>
      <c r="S805" s="79"/>
      <c r="V805" s="79"/>
      <c r="W805" s="79"/>
      <c r="Z805" s="130"/>
      <c r="AB805" s="106"/>
    </row>
    <row r="806">
      <c r="C806" s="79"/>
      <c r="D806" s="79"/>
      <c r="E806" s="79"/>
      <c r="M806" s="79"/>
      <c r="R806" s="79"/>
      <c r="S806" s="79"/>
      <c r="V806" s="79"/>
      <c r="W806" s="79"/>
      <c r="Z806" s="130"/>
      <c r="AB806" s="106"/>
    </row>
    <row r="807">
      <c r="C807" s="79"/>
      <c r="D807" s="79"/>
      <c r="E807" s="79"/>
      <c r="M807" s="79"/>
      <c r="R807" s="79"/>
      <c r="S807" s="79"/>
      <c r="V807" s="79"/>
      <c r="W807" s="79"/>
      <c r="Z807" s="130"/>
      <c r="AB807" s="106"/>
    </row>
    <row r="808">
      <c r="C808" s="79"/>
      <c r="D808" s="79"/>
      <c r="E808" s="79"/>
      <c r="M808" s="79"/>
      <c r="R808" s="79"/>
      <c r="S808" s="79"/>
      <c r="V808" s="79"/>
      <c r="W808" s="79"/>
      <c r="Z808" s="130"/>
      <c r="AB808" s="106"/>
    </row>
    <row r="809">
      <c r="C809" s="79"/>
      <c r="D809" s="79"/>
      <c r="E809" s="79"/>
      <c r="M809" s="79"/>
      <c r="R809" s="79"/>
      <c r="S809" s="79"/>
      <c r="V809" s="79"/>
      <c r="W809" s="79"/>
      <c r="Z809" s="130"/>
      <c r="AB809" s="106"/>
    </row>
    <row r="810">
      <c r="C810" s="79"/>
      <c r="D810" s="79"/>
      <c r="E810" s="79"/>
      <c r="M810" s="79"/>
      <c r="R810" s="79"/>
      <c r="S810" s="79"/>
      <c r="V810" s="79"/>
      <c r="W810" s="79"/>
      <c r="Z810" s="130"/>
      <c r="AB810" s="106"/>
    </row>
    <row r="811">
      <c r="C811" s="79"/>
      <c r="D811" s="79"/>
      <c r="E811" s="79"/>
      <c r="M811" s="79"/>
      <c r="R811" s="79"/>
      <c r="S811" s="79"/>
      <c r="V811" s="79"/>
      <c r="W811" s="79"/>
      <c r="Z811" s="130"/>
      <c r="AB811" s="106"/>
    </row>
    <row r="812">
      <c r="C812" s="79"/>
      <c r="D812" s="79"/>
      <c r="E812" s="79"/>
      <c r="M812" s="79"/>
      <c r="R812" s="79"/>
      <c r="S812" s="79"/>
      <c r="V812" s="79"/>
      <c r="W812" s="79"/>
      <c r="Z812" s="130"/>
      <c r="AB812" s="106"/>
    </row>
    <row r="813">
      <c r="C813" s="79"/>
      <c r="D813" s="79"/>
      <c r="E813" s="79"/>
      <c r="M813" s="79"/>
      <c r="R813" s="79"/>
      <c r="S813" s="79"/>
      <c r="V813" s="79"/>
      <c r="W813" s="79"/>
      <c r="Z813" s="130"/>
      <c r="AB813" s="106"/>
    </row>
    <row r="814">
      <c r="C814" s="79"/>
      <c r="D814" s="79"/>
      <c r="E814" s="79"/>
      <c r="M814" s="79"/>
      <c r="R814" s="79"/>
      <c r="S814" s="79"/>
      <c r="V814" s="79"/>
      <c r="W814" s="79"/>
      <c r="Z814" s="130"/>
      <c r="AB814" s="106"/>
    </row>
    <row r="815">
      <c r="C815" s="79"/>
      <c r="D815" s="79"/>
      <c r="E815" s="79"/>
      <c r="M815" s="79"/>
      <c r="R815" s="79"/>
      <c r="S815" s="79"/>
      <c r="V815" s="79"/>
      <c r="W815" s="79"/>
      <c r="Z815" s="130"/>
      <c r="AB815" s="106"/>
    </row>
    <row r="816">
      <c r="C816" s="79"/>
      <c r="D816" s="79"/>
      <c r="E816" s="79"/>
      <c r="M816" s="79"/>
      <c r="R816" s="79"/>
      <c r="S816" s="79"/>
      <c r="V816" s="79"/>
      <c r="W816" s="79"/>
      <c r="Z816" s="130"/>
      <c r="AB816" s="106"/>
    </row>
    <row r="817">
      <c r="C817" s="79"/>
      <c r="D817" s="79"/>
      <c r="E817" s="79"/>
      <c r="M817" s="79"/>
      <c r="R817" s="79"/>
      <c r="S817" s="79"/>
      <c r="V817" s="79"/>
      <c r="W817" s="79"/>
      <c r="Z817" s="130"/>
      <c r="AB817" s="106"/>
    </row>
    <row r="818">
      <c r="C818" s="79"/>
      <c r="D818" s="79"/>
      <c r="E818" s="79"/>
      <c r="M818" s="79"/>
      <c r="R818" s="79"/>
      <c r="S818" s="79"/>
      <c r="V818" s="79"/>
      <c r="W818" s="79"/>
      <c r="Z818" s="130"/>
      <c r="AB818" s="106"/>
    </row>
    <row r="819">
      <c r="C819" s="79"/>
      <c r="D819" s="79"/>
      <c r="E819" s="79"/>
      <c r="M819" s="79"/>
      <c r="R819" s="79"/>
      <c r="S819" s="79"/>
      <c r="V819" s="79"/>
      <c r="W819" s="79"/>
      <c r="Z819" s="130"/>
      <c r="AB819" s="106"/>
    </row>
    <row r="820">
      <c r="C820" s="79"/>
      <c r="D820" s="79"/>
      <c r="E820" s="79"/>
      <c r="M820" s="79"/>
      <c r="R820" s="79"/>
      <c r="S820" s="79"/>
      <c r="V820" s="79"/>
      <c r="W820" s="79"/>
      <c r="Z820" s="130"/>
      <c r="AB820" s="106"/>
    </row>
    <row r="821">
      <c r="C821" s="79"/>
      <c r="D821" s="79"/>
      <c r="E821" s="79"/>
      <c r="M821" s="79"/>
      <c r="R821" s="79"/>
      <c r="S821" s="79"/>
      <c r="V821" s="79"/>
      <c r="W821" s="79"/>
      <c r="Z821" s="130"/>
      <c r="AB821" s="106"/>
    </row>
    <row r="822">
      <c r="C822" s="79"/>
      <c r="D822" s="79"/>
      <c r="E822" s="79"/>
      <c r="M822" s="79"/>
      <c r="R822" s="79"/>
      <c r="S822" s="79"/>
      <c r="V822" s="79"/>
      <c r="W822" s="79"/>
      <c r="Z822" s="130"/>
      <c r="AB822" s="106"/>
    </row>
    <row r="823">
      <c r="C823" s="79"/>
      <c r="D823" s="79"/>
      <c r="E823" s="79"/>
      <c r="M823" s="79"/>
      <c r="R823" s="79"/>
      <c r="S823" s="79"/>
      <c r="V823" s="79"/>
      <c r="W823" s="79"/>
      <c r="Z823" s="130"/>
      <c r="AB823" s="106"/>
    </row>
    <row r="824">
      <c r="C824" s="79"/>
      <c r="D824" s="79"/>
      <c r="E824" s="79"/>
      <c r="M824" s="79"/>
      <c r="R824" s="79"/>
      <c r="S824" s="79"/>
      <c r="V824" s="79"/>
      <c r="W824" s="79"/>
      <c r="Z824" s="130"/>
      <c r="AB824" s="106"/>
    </row>
    <row r="825">
      <c r="C825" s="79"/>
      <c r="D825" s="79"/>
      <c r="E825" s="79"/>
      <c r="M825" s="79"/>
      <c r="R825" s="79"/>
      <c r="S825" s="79"/>
      <c r="V825" s="79"/>
      <c r="W825" s="79"/>
      <c r="Z825" s="130"/>
      <c r="AB825" s="106"/>
    </row>
    <row r="826">
      <c r="C826" s="79"/>
      <c r="D826" s="79"/>
      <c r="E826" s="79"/>
      <c r="M826" s="79"/>
      <c r="R826" s="79"/>
      <c r="S826" s="79"/>
      <c r="V826" s="79"/>
      <c r="W826" s="79"/>
      <c r="Z826" s="130"/>
      <c r="AB826" s="106"/>
    </row>
    <row r="827">
      <c r="C827" s="79"/>
      <c r="D827" s="79"/>
      <c r="E827" s="79"/>
      <c r="M827" s="79"/>
      <c r="R827" s="79"/>
      <c r="S827" s="79"/>
      <c r="V827" s="79"/>
      <c r="W827" s="79"/>
      <c r="Z827" s="130"/>
      <c r="AB827" s="106"/>
    </row>
    <row r="828">
      <c r="C828" s="79"/>
      <c r="D828" s="79"/>
      <c r="E828" s="79"/>
      <c r="M828" s="79"/>
      <c r="R828" s="79"/>
      <c r="S828" s="79"/>
      <c r="V828" s="79"/>
      <c r="W828" s="79"/>
      <c r="Z828" s="130"/>
      <c r="AB828" s="106"/>
    </row>
    <row r="829">
      <c r="C829" s="79"/>
      <c r="D829" s="79"/>
      <c r="E829" s="79"/>
      <c r="M829" s="79"/>
      <c r="R829" s="79"/>
      <c r="S829" s="79"/>
      <c r="V829" s="79"/>
      <c r="W829" s="79"/>
      <c r="Z829" s="130"/>
      <c r="AB829" s="106"/>
    </row>
    <row r="830">
      <c r="C830" s="79"/>
      <c r="D830" s="79"/>
      <c r="E830" s="79"/>
      <c r="M830" s="79"/>
      <c r="R830" s="79"/>
      <c r="S830" s="79"/>
      <c r="V830" s="79"/>
      <c r="W830" s="79"/>
      <c r="Z830" s="130"/>
      <c r="AB830" s="106"/>
    </row>
    <row r="831">
      <c r="C831" s="79"/>
      <c r="D831" s="79"/>
      <c r="E831" s="79"/>
      <c r="M831" s="79"/>
      <c r="R831" s="79"/>
      <c r="S831" s="79"/>
      <c r="V831" s="79"/>
      <c r="W831" s="79"/>
      <c r="Z831" s="130"/>
      <c r="AB831" s="106"/>
    </row>
    <row r="832">
      <c r="C832" s="79"/>
      <c r="D832" s="79"/>
      <c r="E832" s="79"/>
      <c r="M832" s="79"/>
      <c r="R832" s="79"/>
      <c r="S832" s="79"/>
      <c r="V832" s="79"/>
      <c r="W832" s="79"/>
      <c r="Z832" s="130"/>
      <c r="AB832" s="106"/>
    </row>
    <row r="833">
      <c r="C833" s="79"/>
      <c r="D833" s="79"/>
      <c r="E833" s="79"/>
      <c r="M833" s="79"/>
      <c r="R833" s="79"/>
      <c r="S833" s="79"/>
      <c r="V833" s="79"/>
      <c r="W833" s="79"/>
      <c r="Z833" s="130"/>
      <c r="AB833" s="106"/>
    </row>
    <row r="834">
      <c r="C834" s="79"/>
      <c r="D834" s="79"/>
      <c r="E834" s="79"/>
      <c r="M834" s="79"/>
      <c r="R834" s="79"/>
      <c r="S834" s="79"/>
      <c r="V834" s="79"/>
      <c r="W834" s="79"/>
      <c r="Z834" s="130"/>
      <c r="AB834" s="106"/>
    </row>
    <row r="835">
      <c r="C835" s="79"/>
      <c r="D835" s="79"/>
      <c r="E835" s="79"/>
      <c r="M835" s="79"/>
      <c r="R835" s="79"/>
      <c r="S835" s="79"/>
      <c r="V835" s="79"/>
      <c r="W835" s="79"/>
      <c r="Z835" s="130"/>
      <c r="AB835" s="106"/>
    </row>
    <row r="836">
      <c r="C836" s="79"/>
      <c r="D836" s="79"/>
      <c r="E836" s="79"/>
      <c r="M836" s="79"/>
      <c r="R836" s="79"/>
      <c r="S836" s="79"/>
      <c r="V836" s="79"/>
      <c r="W836" s="79"/>
      <c r="Z836" s="130"/>
      <c r="AB836" s="106"/>
    </row>
    <row r="837">
      <c r="C837" s="79"/>
      <c r="D837" s="79"/>
      <c r="E837" s="79"/>
      <c r="M837" s="79"/>
      <c r="R837" s="79"/>
      <c r="S837" s="79"/>
      <c r="V837" s="79"/>
      <c r="W837" s="79"/>
      <c r="Z837" s="130"/>
      <c r="AB837" s="106"/>
    </row>
    <row r="838">
      <c r="C838" s="79"/>
      <c r="D838" s="79"/>
      <c r="E838" s="79"/>
      <c r="M838" s="79"/>
      <c r="R838" s="79"/>
      <c r="S838" s="79"/>
      <c r="V838" s="79"/>
      <c r="W838" s="79"/>
      <c r="Z838" s="130"/>
      <c r="AB838" s="106"/>
    </row>
    <row r="839">
      <c r="C839" s="79"/>
      <c r="D839" s="79"/>
      <c r="E839" s="79"/>
      <c r="M839" s="79"/>
      <c r="R839" s="79"/>
      <c r="S839" s="79"/>
      <c r="V839" s="79"/>
      <c r="W839" s="79"/>
      <c r="Z839" s="130"/>
      <c r="AB839" s="106"/>
    </row>
    <row r="840">
      <c r="C840" s="79"/>
      <c r="D840" s="79"/>
      <c r="E840" s="79"/>
      <c r="M840" s="79"/>
      <c r="R840" s="79"/>
      <c r="S840" s="79"/>
      <c r="V840" s="79"/>
      <c r="W840" s="79"/>
      <c r="Z840" s="130"/>
      <c r="AB840" s="106"/>
    </row>
    <row r="841">
      <c r="C841" s="79"/>
      <c r="D841" s="79"/>
      <c r="E841" s="79"/>
      <c r="M841" s="79"/>
      <c r="R841" s="79"/>
      <c r="S841" s="79"/>
      <c r="V841" s="79"/>
      <c r="W841" s="79"/>
      <c r="Z841" s="130"/>
      <c r="AB841" s="106"/>
    </row>
    <row r="842">
      <c r="C842" s="79"/>
      <c r="D842" s="79"/>
      <c r="E842" s="79"/>
      <c r="M842" s="79"/>
      <c r="R842" s="79"/>
      <c r="S842" s="79"/>
      <c r="V842" s="79"/>
      <c r="W842" s="79"/>
      <c r="Z842" s="130"/>
      <c r="AB842" s="106"/>
    </row>
    <row r="843">
      <c r="C843" s="79"/>
      <c r="D843" s="79"/>
      <c r="E843" s="79"/>
      <c r="M843" s="79"/>
      <c r="R843" s="79"/>
      <c r="S843" s="79"/>
      <c r="V843" s="79"/>
      <c r="W843" s="79"/>
      <c r="Z843" s="130"/>
      <c r="AB843" s="106"/>
    </row>
    <row r="844">
      <c r="C844" s="79"/>
      <c r="D844" s="79"/>
      <c r="E844" s="79"/>
      <c r="M844" s="79"/>
      <c r="R844" s="79"/>
      <c r="S844" s="79"/>
      <c r="V844" s="79"/>
      <c r="W844" s="79"/>
      <c r="Z844" s="130"/>
      <c r="AB844" s="106"/>
    </row>
    <row r="845">
      <c r="C845" s="79"/>
      <c r="D845" s="79"/>
      <c r="E845" s="79"/>
      <c r="M845" s="79"/>
      <c r="R845" s="79"/>
      <c r="S845" s="79"/>
      <c r="V845" s="79"/>
      <c r="W845" s="79"/>
      <c r="Z845" s="130"/>
      <c r="AB845" s="106"/>
    </row>
    <row r="846">
      <c r="C846" s="79"/>
      <c r="D846" s="79"/>
      <c r="E846" s="79"/>
      <c r="M846" s="79"/>
      <c r="R846" s="79"/>
      <c r="S846" s="79"/>
      <c r="V846" s="79"/>
      <c r="W846" s="79"/>
      <c r="Z846" s="130"/>
      <c r="AB846" s="106"/>
    </row>
    <row r="847">
      <c r="C847" s="79"/>
      <c r="D847" s="79"/>
      <c r="E847" s="79"/>
      <c r="M847" s="79"/>
      <c r="R847" s="79"/>
      <c r="S847" s="79"/>
      <c r="V847" s="79"/>
      <c r="W847" s="79"/>
      <c r="Z847" s="130"/>
      <c r="AB847" s="106"/>
    </row>
    <row r="848">
      <c r="C848" s="79"/>
      <c r="D848" s="79"/>
      <c r="E848" s="79"/>
      <c r="M848" s="79"/>
      <c r="R848" s="79"/>
      <c r="S848" s="79"/>
      <c r="V848" s="79"/>
      <c r="W848" s="79"/>
      <c r="Z848" s="130"/>
      <c r="AB848" s="106"/>
    </row>
    <row r="849">
      <c r="C849" s="79"/>
      <c r="D849" s="79"/>
      <c r="E849" s="79"/>
      <c r="M849" s="79"/>
      <c r="R849" s="79"/>
      <c r="S849" s="79"/>
      <c r="V849" s="79"/>
      <c r="W849" s="79"/>
      <c r="Z849" s="130"/>
      <c r="AB849" s="106"/>
    </row>
    <row r="850">
      <c r="C850" s="79"/>
      <c r="D850" s="79"/>
      <c r="E850" s="79"/>
      <c r="M850" s="79"/>
      <c r="R850" s="79"/>
      <c r="S850" s="79"/>
      <c r="V850" s="79"/>
      <c r="W850" s="79"/>
      <c r="Z850" s="130"/>
      <c r="AB850" s="106"/>
    </row>
    <row r="851">
      <c r="C851" s="79"/>
      <c r="D851" s="79"/>
      <c r="E851" s="79"/>
      <c r="M851" s="79"/>
      <c r="R851" s="79"/>
      <c r="S851" s="79"/>
      <c r="V851" s="79"/>
      <c r="W851" s="79"/>
      <c r="Z851" s="130"/>
      <c r="AB851" s="106"/>
    </row>
    <row r="852">
      <c r="C852" s="79"/>
      <c r="D852" s="79"/>
      <c r="E852" s="79"/>
      <c r="M852" s="79"/>
      <c r="R852" s="79"/>
      <c r="S852" s="79"/>
      <c r="V852" s="79"/>
      <c r="W852" s="79"/>
      <c r="Z852" s="130"/>
      <c r="AB852" s="106"/>
    </row>
    <row r="853">
      <c r="C853" s="79"/>
      <c r="D853" s="79"/>
      <c r="E853" s="79"/>
      <c r="M853" s="79"/>
      <c r="R853" s="79"/>
      <c r="S853" s="79"/>
      <c r="V853" s="79"/>
      <c r="W853" s="79"/>
      <c r="Z853" s="130"/>
      <c r="AB853" s="106"/>
    </row>
    <row r="854">
      <c r="C854" s="79"/>
      <c r="D854" s="79"/>
      <c r="E854" s="79"/>
      <c r="M854" s="79"/>
      <c r="R854" s="79"/>
      <c r="S854" s="79"/>
      <c r="V854" s="79"/>
      <c r="W854" s="79"/>
      <c r="Z854" s="130"/>
      <c r="AB854" s="106"/>
    </row>
    <row r="855">
      <c r="C855" s="79"/>
      <c r="D855" s="79"/>
      <c r="E855" s="79"/>
      <c r="M855" s="79"/>
      <c r="R855" s="79"/>
      <c r="S855" s="79"/>
      <c r="V855" s="79"/>
      <c r="W855" s="79"/>
      <c r="Z855" s="130"/>
      <c r="AB855" s="106"/>
    </row>
    <row r="856">
      <c r="C856" s="79"/>
      <c r="D856" s="79"/>
      <c r="E856" s="79"/>
      <c r="M856" s="79"/>
      <c r="R856" s="79"/>
      <c r="S856" s="79"/>
      <c r="V856" s="79"/>
      <c r="W856" s="79"/>
      <c r="Z856" s="130"/>
      <c r="AB856" s="106"/>
    </row>
    <row r="857">
      <c r="C857" s="79"/>
      <c r="D857" s="79"/>
      <c r="E857" s="79"/>
      <c r="M857" s="79"/>
      <c r="R857" s="79"/>
      <c r="S857" s="79"/>
      <c r="V857" s="79"/>
      <c r="W857" s="79"/>
      <c r="Z857" s="130"/>
      <c r="AB857" s="106"/>
    </row>
    <row r="858">
      <c r="C858" s="79"/>
      <c r="D858" s="79"/>
      <c r="E858" s="79"/>
      <c r="M858" s="79"/>
      <c r="R858" s="79"/>
      <c r="S858" s="79"/>
      <c r="V858" s="79"/>
      <c r="W858" s="79"/>
      <c r="Z858" s="130"/>
      <c r="AB858" s="106"/>
    </row>
    <row r="859">
      <c r="C859" s="79"/>
      <c r="D859" s="79"/>
      <c r="E859" s="79"/>
      <c r="M859" s="79"/>
      <c r="R859" s="79"/>
      <c r="S859" s="79"/>
      <c r="V859" s="79"/>
      <c r="W859" s="79"/>
      <c r="Z859" s="130"/>
      <c r="AB859" s="106"/>
    </row>
    <row r="860">
      <c r="C860" s="79"/>
      <c r="D860" s="79"/>
      <c r="E860" s="79"/>
      <c r="M860" s="79"/>
      <c r="R860" s="79"/>
      <c r="S860" s="79"/>
      <c r="V860" s="79"/>
      <c r="W860" s="79"/>
      <c r="Z860" s="130"/>
      <c r="AB860" s="106"/>
    </row>
    <row r="861">
      <c r="C861" s="79"/>
      <c r="D861" s="79"/>
      <c r="E861" s="79"/>
      <c r="M861" s="79"/>
      <c r="R861" s="79"/>
      <c r="S861" s="79"/>
      <c r="V861" s="79"/>
      <c r="W861" s="79"/>
      <c r="Z861" s="130"/>
      <c r="AB861" s="106"/>
    </row>
    <row r="862">
      <c r="C862" s="79"/>
      <c r="D862" s="79"/>
      <c r="E862" s="79"/>
      <c r="M862" s="79"/>
      <c r="R862" s="79"/>
      <c r="S862" s="79"/>
      <c r="V862" s="79"/>
      <c r="W862" s="79"/>
      <c r="Z862" s="130"/>
      <c r="AB862" s="106"/>
    </row>
    <row r="863">
      <c r="C863" s="79"/>
      <c r="D863" s="79"/>
      <c r="E863" s="79"/>
      <c r="M863" s="79"/>
      <c r="R863" s="79"/>
      <c r="S863" s="79"/>
      <c r="V863" s="79"/>
      <c r="W863" s="79"/>
      <c r="Z863" s="130"/>
      <c r="AB863" s="106"/>
    </row>
    <row r="864">
      <c r="C864" s="79"/>
      <c r="D864" s="79"/>
      <c r="E864" s="79"/>
      <c r="M864" s="79"/>
      <c r="R864" s="79"/>
      <c r="S864" s="79"/>
      <c r="V864" s="79"/>
      <c r="W864" s="79"/>
      <c r="Z864" s="130"/>
      <c r="AB864" s="106"/>
    </row>
    <row r="865">
      <c r="C865" s="79"/>
      <c r="D865" s="79"/>
      <c r="E865" s="79"/>
      <c r="M865" s="79"/>
      <c r="R865" s="79"/>
      <c r="S865" s="79"/>
      <c r="V865" s="79"/>
      <c r="W865" s="79"/>
      <c r="Z865" s="130"/>
      <c r="AB865" s="106"/>
    </row>
    <row r="866">
      <c r="C866" s="79"/>
      <c r="D866" s="79"/>
      <c r="E866" s="79"/>
      <c r="M866" s="79"/>
      <c r="R866" s="79"/>
      <c r="S866" s="79"/>
      <c r="V866" s="79"/>
      <c r="W866" s="79"/>
      <c r="Z866" s="130"/>
      <c r="AB866" s="106"/>
    </row>
    <row r="867">
      <c r="C867" s="79"/>
      <c r="D867" s="79"/>
      <c r="E867" s="79"/>
      <c r="M867" s="79"/>
      <c r="R867" s="79"/>
      <c r="S867" s="79"/>
      <c r="V867" s="79"/>
      <c r="W867" s="79"/>
      <c r="Z867" s="130"/>
      <c r="AB867" s="106"/>
    </row>
    <row r="868">
      <c r="C868" s="79"/>
      <c r="D868" s="79"/>
      <c r="E868" s="79"/>
      <c r="M868" s="79"/>
      <c r="R868" s="79"/>
      <c r="S868" s="79"/>
      <c r="V868" s="79"/>
      <c r="W868" s="79"/>
      <c r="Z868" s="130"/>
      <c r="AB868" s="106"/>
    </row>
    <row r="869">
      <c r="C869" s="79"/>
      <c r="D869" s="79"/>
      <c r="E869" s="79"/>
      <c r="M869" s="79"/>
      <c r="R869" s="79"/>
      <c r="S869" s="79"/>
      <c r="V869" s="79"/>
      <c r="W869" s="79"/>
      <c r="Z869" s="130"/>
      <c r="AB869" s="106"/>
    </row>
    <row r="870">
      <c r="C870" s="79"/>
      <c r="D870" s="79"/>
      <c r="E870" s="79"/>
      <c r="M870" s="79"/>
      <c r="R870" s="79"/>
      <c r="S870" s="79"/>
      <c r="V870" s="79"/>
      <c r="W870" s="79"/>
      <c r="Z870" s="130"/>
      <c r="AB870" s="106"/>
    </row>
    <row r="871">
      <c r="C871" s="79"/>
      <c r="D871" s="79"/>
      <c r="E871" s="79"/>
      <c r="M871" s="79"/>
      <c r="R871" s="79"/>
      <c r="S871" s="79"/>
      <c r="V871" s="79"/>
      <c r="W871" s="79"/>
      <c r="Z871" s="130"/>
      <c r="AB871" s="106"/>
    </row>
    <row r="872">
      <c r="C872" s="79"/>
      <c r="D872" s="79"/>
      <c r="E872" s="79"/>
      <c r="M872" s="79"/>
      <c r="R872" s="79"/>
      <c r="S872" s="79"/>
      <c r="V872" s="79"/>
      <c r="W872" s="79"/>
      <c r="Z872" s="130"/>
      <c r="AB872" s="106"/>
    </row>
    <row r="873">
      <c r="C873" s="79"/>
      <c r="D873" s="79"/>
      <c r="E873" s="79"/>
      <c r="M873" s="79"/>
      <c r="R873" s="79"/>
      <c r="S873" s="79"/>
      <c r="V873" s="79"/>
      <c r="W873" s="79"/>
      <c r="Z873" s="130"/>
      <c r="AB873" s="106"/>
    </row>
    <row r="874">
      <c r="C874" s="79"/>
      <c r="D874" s="79"/>
      <c r="E874" s="79"/>
      <c r="M874" s="79"/>
      <c r="R874" s="79"/>
      <c r="S874" s="79"/>
      <c r="V874" s="79"/>
      <c r="W874" s="79"/>
      <c r="Z874" s="130"/>
      <c r="AB874" s="106"/>
    </row>
    <row r="875">
      <c r="C875" s="79"/>
      <c r="D875" s="79"/>
      <c r="E875" s="79"/>
      <c r="M875" s="79"/>
      <c r="R875" s="79"/>
      <c r="S875" s="79"/>
      <c r="V875" s="79"/>
      <c r="W875" s="79"/>
      <c r="Z875" s="130"/>
      <c r="AB875" s="106"/>
    </row>
    <row r="876">
      <c r="C876" s="79"/>
      <c r="D876" s="79"/>
      <c r="E876" s="79"/>
      <c r="M876" s="79"/>
      <c r="R876" s="79"/>
      <c r="S876" s="79"/>
      <c r="V876" s="79"/>
      <c r="W876" s="79"/>
      <c r="Z876" s="130"/>
      <c r="AB876" s="106"/>
    </row>
    <row r="877">
      <c r="C877" s="79"/>
      <c r="D877" s="79"/>
      <c r="E877" s="79"/>
      <c r="M877" s="79"/>
      <c r="R877" s="79"/>
      <c r="S877" s="79"/>
      <c r="V877" s="79"/>
      <c r="W877" s="79"/>
      <c r="Z877" s="130"/>
      <c r="AB877" s="106"/>
    </row>
    <row r="878">
      <c r="C878" s="79"/>
      <c r="D878" s="79"/>
      <c r="E878" s="79"/>
      <c r="M878" s="79"/>
      <c r="R878" s="79"/>
      <c r="S878" s="79"/>
      <c r="V878" s="79"/>
      <c r="W878" s="79"/>
      <c r="Z878" s="130"/>
      <c r="AB878" s="106"/>
    </row>
    <row r="879">
      <c r="C879" s="79"/>
      <c r="D879" s="79"/>
      <c r="E879" s="79"/>
      <c r="M879" s="79"/>
      <c r="R879" s="79"/>
      <c r="S879" s="79"/>
      <c r="V879" s="79"/>
      <c r="W879" s="79"/>
      <c r="Z879" s="130"/>
      <c r="AB879" s="106"/>
    </row>
    <row r="880">
      <c r="C880" s="79"/>
      <c r="D880" s="79"/>
      <c r="E880" s="79"/>
      <c r="M880" s="79"/>
      <c r="R880" s="79"/>
      <c r="S880" s="79"/>
      <c r="V880" s="79"/>
      <c r="W880" s="79"/>
      <c r="Z880" s="130"/>
      <c r="AB880" s="106"/>
    </row>
    <row r="881">
      <c r="C881" s="79"/>
      <c r="D881" s="79"/>
      <c r="E881" s="79"/>
      <c r="M881" s="79"/>
      <c r="R881" s="79"/>
      <c r="S881" s="79"/>
      <c r="V881" s="79"/>
      <c r="W881" s="79"/>
      <c r="Z881" s="130"/>
      <c r="AB881" s="106"/>
    </row>
    <row r="882">
      <c r="C882" s="79"/>
      <c r="D882" s="79"/>
      <c r="E882" s="79"/>
      <c r="M882" s="79"/>
      <c r="R882" s="79"/>
      <c r="S882" s="79"/>
      <c r="V882" s="79"/>
      <c r="W882" s="79"/>
      <c r="Z882" s="130"/>
      <c r="AB882" s="106"/>
    </row>
    <row r="883">
      <c r="C883" s="79"/>
      <c r="D883" s="79"/>
      <c r="E883" s="79"/>
      <c r="M883" s="79"/>
      <c r="R883" s="79"/>
      <c r="S883" s="79"/>
      <c r="V883" s="79"/>
      <c r="W883" s="79"/>
      <c r="Z883" s="130"/>
      <c r="AB883" s="106"/>
    </row>
    <row r="884">
      <c r="C884" s="79"/>
      <c r="D884" s="79"/>
      <c r="E884" s="79"/>
      <c r="M884" s="79"/>
      <c r="R884" s="79"/>
      <c r="S884" s="79"/>
      <c r="V884" s="79"/>
      <c r="W884" s="79"/>
      <c r="Z884" s="130"/>
      <c r="AB884" s="106"/>
    </row>
    <row r="885">
      <c r="C885" s="79"/>
      <c r="D885" s="79"/>
      <c r="E885" s="79"/>
      <c r="M885" s="79"/>
      <c r="R885" s="79"/>
      <c r="S885" s="79"/>
      <c r="V885" s="79"/>
      <c r="W885" s="79"/>
      <c r="Z885" s="130"/>
      <c r="AB885" s="106"/>
    </row>
    <row r="886">
      <c r="C886" s="79"/>
      <c r="D886" s="79"/>
      <c r="E886" s="79"/>
      <c r="M886" s="79"/>
      <c r="R886" s="79"/>
      <c r="S886" s="79"/>
      <c r="V886" s="79"/>
      <c r="W886" s="79"/>
      <c r="Z886" s="130"/>
      <c r="AB886" s="106"/>
    </row>
    <row r="887">
      <c r="C887" s="79"/>
      <c r="D887" s="79"/>
      <c r="E887" s="79"/>
      <c r="M887" s="79"/>
      <c r="R887" s="79"/>
      <c r="S887" s="79"/>
      <c r="V887" s="79"/>
      <c r="W887" s="79"/>
      <c r="Z887" s="130"/>
      <c r="AB887" s="106"/>
    </row>
    <row r="888">
      <c r="C888" s="79"/>
      <c r="D888" s="79"/>
      <c r="E888" s="79"/>
      <c r="M888" s="79"/>
      <c r="R888" s="79"/>
      <c r="S888" s="79"/>
      <c r="V888" s="79"/>
      <c r="W888" s="79"/>
      <c r="Z888" s="130"/>
      <c r="AB888" s="106"/>
    </row>
    <row r="889">
      <c r="C889" s="79"/>
      <c r="D889" s="79"/>
      <c r="E889" s="79"/>
      <c r="M889" s="79"/>
      <c r="R889" s="79"/>
      <c r="S889" s="79"/>
      <c r="V889" s="79"/>
      <c r="W889" s="79"/>
      <c r="Z889" s="130"/>
      <c r="AB889" s="106"/>
    </row>
    <row r="890">
      <c r="C890" s="79"/>
      <c r="D890" s="79"/>
      <c r="E890" s="79"/>
      <c r="M890" s="79"/>
      <c r="R890" s="79"/>
      <c r="S890" s="79"/>
      <c r="V890" s="79"/>
      <c r="W890" s="79"/>
      <c r="Z890" s="130"/>
      <c r="AB890" s="106"/>
    </row>
    <row r="891">
      <c r="C891" s="79"/>
      <c r="D891" s="79"/>
      <c r="E891" s="79"/>
      <c r="M891" s="79"/>
      <c r="R891" s="79"/>
      <c r="S891" s="79"/>
      <c r="V891" s="79"/>
      <c r="W891" s="79"/>
      <c r="Z891" s="130"/>
      <c r="AB891" s="106"/>
    </row>
    <row r="892">
      <c r="C892" s="79"/>
      <c r="D892" s="79"/>
      <c r="E892" s="79"/>
      <c r="M892" s="79"/>
      <c r="R892" s="79"/>
      <c r="S892" s="79"/>
      <c r="V892" s="79"/>
      <c r="W892" s="79"/>
      <c r="Z892" s="130"/>
      <c r="AB892" s="106"/>
    </row>
    <row r="893">
      <c r="C893" s="79"/>
      <c r="D893" s="79"/>
      <c r="E893" s="79"/>
      <c r="M893" s="79"/>
      <c r="R893" s="79"/>
      <c r="S893" s="79"/>
      <c r="V893" s="79"/>
      <c r="W893" s="79"/>
      <c r="Z893" s="130"/>
      <c r="AB893" s="106"/>
    </row>
    <row r="894">
      <c r="C894" s="79"/>
      <c r="D894" s="79"/>
      <c r="E894" s="79"/>
      <c r="M894" s="79"/>
      <c r="R894" s="79"/>
      <c r="S894" s="79"/>
      <c r="V894" s="79"/>
      <c r="W894" s="79"/>
      <c r="Z894" s="130"/>
      <c r="AB894" s="106"/>
    </row>
    <row r="895">
      <c r="C895" s="79"/>
      <c r="D895" s="79"/>
      <c r="E895" s="79"/>
      <c r="M895" s="79"/>
      <c r="R895" s="79"/>
      <c r="S895" s="79"/>
      <c r="V895" s="79"/>
      <c r="W895" s="79"/>
      <c r="Z895" s="130"/>
      <c r="AB895" s="106"/>
    </row>
    <row r="896">
      <c r="C896" s="79"/>
      <c r="D896" s="79"/>
      <c r="E896" s="79"/>
      <c r="M896" s="79"/>
      <c r="R896" s="79"/>
      <c r="S896" s="79"/>
      <c r="V896" s="79"/>
      <c r="W896" s="79"/>
      <c r="Z896" s="130"/>
      <c r="AB896" s="106"/>
    </row>
    <row r="897">
      <c r="C897" s="79"/>
      <c r="D897" s="79"/>
      <c r="E897" s="79"/>
      <c r="M897" s="79"/>
      <c r="R897" s="79"/>
      <c r="S897" s="79"/>
      <c r="V897" s="79"/>
      <c r="W897" s="79"/>
      <c r="Z897" s="130"/>
      <c r="AB897" s="106"/>
    </row>
    <row r="898">
      <c r="C898" s="79"/>
      <c r="D898" s="79"/>
      <c r="E898" s="79"/>
      <c r="M898" s="79"/>
      <c r="R898" s="79"/>
      <c r="S898" s="79"/>
      <c r="V898" s="79"/>
      <c r="W898" s="79"/>
      <c r="Z898" s="130"/>
      <c r="AB898" s="106"/>
    </row>
    <row r="899">
      <c r="C899" s="79"/>
      <c r="D899" s="79"/>
      <c r="E899" s="79"/>
      <c r="M899" s="79"/>
      <c r="R899" s="79"/>
      <c r="S899" s="79"/>
      <c r="V899" s="79"/>
      <c r="W899" s="79"/>
      <c r="Z899" s="130"/>
      <c r="AB899" s="106"/>
    </row>
    <row r="900">
      <c r="C900" s="79"/>
      <c r="D900" s="79"/>
      <c r="E900" s="79"/>
      <c r="M900" s="79"/>
      <c r="R900" s="79"/>
      <c r="S900" s="79"/>
      <c r="V900" s="79"/>
      <c r="W900" s="79"/>
      <c r="Z900" s="130"/>
      <c r="AB900" s="106"/>
    </row>
    <row r="901">
      <c r="C901" s="79"/>
      <c r="D901" s="79"/>
      <c r="E901" s="79"/>
      <c r="M901" s="79"/>
      <c r="R901" s="79"/>
      <c r="S901" s="79"/>
      <c r="V901" s="79"/>
      <c r="W901" s="79"/>
      <c r="Z901" s="130"/>
      <c r="AB901" s="106"/>
    </row>
    <row r="902">
      <c r="C902" s="79"/>
      <c r="D902" s="79"/>
      <c r="E902" s="79"/>
      <c r="M902" s="79"/>
      <c r="R902" s="79"/>
      <c r="S902" s="79"/>
      <c r="V902" s="79"/>
      <c r="W902" s="79"/>
      <c r="Z902" s="130"/>
      <c r="AB902" s="106"/>
    </row>
    <row r="903">
      <c r="C903" s="79"/>
      <c r="D903" s="79"/>
      <c r="E903" s="79"/>
      <c r="M903" s="79"/>
      <c r="R903" s="79"/>
      <c r="S903" s="79"/>
      <c r="V903" s="79"/>
      <c r="W903" s="79"/>
      <c r="Z903" s="130"/>
      <c r="AB903" s="106"/>
    </row>
    <row r="904">
      <c r="C904" s="79"/>
      <c r="D904" s="79"/>
      <c r="E904" s="79"/>
      <c r="M904" s="79"/>
      <c r="R904" s="79"/>
      <c r="S904" s="79"/>
      <c r="V904" s="79"/>
      <c r="W904" s="79"/>
      <c r="Z904" s="130"/>
      <c r="AB904" s="106"/>
    </row>
    <row r="905">
      <c r="C905" s="79"/>
      <c r="D905" s="79"/>
      <c r="E905" s="79"/>
      <c r="M905" s="79"/>
      <c r="R905" s="79"/>
      <c r="S905" s="79"/>
      <c r="V905" s="79"/>
      <c r="W905" s="79"/>
      <c r="Z905" s="130"/>
      <c r="AB905" s="106"/>
    </row>
    <row r="906">
      <c r="C906" s="79"/>
      <c r="D906" s="79"/>
      <c r="E906" s="79"/>
      <c r="M906" s="79"/>
      <c r="R906" s="79"/>
      <c r="S906" s="79"/>
      <c r="V906" s="79"/>
      <c r="W906" s="79"/>
      <c r="Z906" s="130"/>
      <c r="AB906" s="106"/>
    </row>
    <row r="907">
      <c r="C907" s="79"/>
      <c r="D907" s="79"/>
      <c r="E907" s="79"/>
      <c r="M907" s="79"/>
      <c r="R907" s="79"/>
      <c r="S907" s="79"/>
      <c r="V907" s="79"/>
      <c r="W907" s="79"/>
      <c r="Z907" s="130"/>
      <c r="AB907" s="106"/>
    </row>
    <row r="908">
      <c r="C908" s="79"/>
      <c r="D908" s="79"/>
      <c r="E908" s="79"/>
      <c r="M908" s="79"/>
      <c r="R908" s="79"/>
      <c r="S908" s="79"/>
      <c r="V908" s="79"/>
      <c r="W908" s="79"/>
      <c r="Z908" s="130"/>
      <c r="AB908" s="106"/>
    </row>
    <row r="909">
      <c r="C909" s="79"/>
      <c r="D909" s="79"/>
      <c r="E909" s="79"/>
      <c r="M909" s="79"/>
      <c r="R909" s="79"/>
      <c r="S909" s="79"/>
      <c r="V909" s="79"/>
      <c r="W909" s="79"/>
      <c r="Z909" s="130"/>
      <c r="AB909" s="106"/>
    </row>
    <row r="910">
      <c r="C910" s="79"/>
      <c r="D910" s="79"/>
      <c r="E910" s="79"/>
      <c r="M910" s="79"/>
      <c r="R910" s="79"/>
      <c r="S910" s="79"/>
      <c r="V910" s="79"/>
      <c r="W910" s="79"/>
      <c r="Z910" s="130"/>
      <c r="AB910" s="106"/>
    </row>
    <row r="911">
      <c r="C911" s="79"/>
      <c r="D911" s="79"/>
      <c r="E911" s="79"/>
      <c r="M911" s="79"/>
      <c r="R911" s="79"/>
      <c r="S911" s="79"/>
      <c r="V911" s="79"/>
      <c r="W911" s="79"/>
      <c r="Z911" s="130"/>
      <c r="AB911" s="106"/>
    </row>
    <row r="912">
      <c r="C912" s="79"/>
      <c r="D912" s="79"/>
      <c r="E912" s="79"/>
      <c r="M912" s="79"/>
      <c r="R912" s="79"/>
      <c r="S912" s="79"/>
      <c r="V912" s="79"/>
      <c r="W912" s="79"/>
      <c r="Z912" s="130"/>
      <c r="AB912" s="106"/>
    </row>
    <row r="913">
      <c r="C913" s="79"/>
      <c r="D913" s="79"/>
      <c r="E913" s="79"/>
      <c r="M913" s="79"/>
      <c r="R913" s="79"/>
      <c r="S913" s="79"/>
      <c r="V913" s="79"/>
      <c r="W913" s="79"/>
      <c r="Z913" s="130"/>
      <c r="AB913" s="106"/>
    </row>
    <row r="914">
      <c r="C914" s="79"/>
      <c r="D914" s="79"/>
      <c r="E914" s="79"/>
      <c r="M914" s="79"/>
      <c r="R914" s="79"/>
      <c r="S914" s="79"/>
      <c r="V914" s="79"/>
      <c r="W914" s="79"/>
      <c r="Z914" s="130"/>
      <c r="AB914" s="106"/>
    </row>
    <row r="915">
      <c r="C915" s="79"/>
      <c r="D915" s="79"/>
      <c r="E915" s="79"/>
      <c r="M915" s="79"/>
      <c r="R915" s="79"/>
      <c r="S915" s="79"/>
      <c r="V915" s="79"/>
      <c r="W915" s="79"/>
      <c r="Z915" s="130"/>
      <c r="AB915" s="106"/>
    </row>
    <row r="916">
      <c r="C916" s="79"/>
      <c r="D916" s="79"/>
      <c r="E916" s="79"/>
      <c r="M916" s="79"/>
      <c r="R916" s="79"/>
      <c r="S916" s="79"/>
      <c r="V916" s="79"/>
      <c r="W916" s="79"/>
      <c r="Z916" s="130"/>
      <c r="AB916" s="106"/>
    </row>
    <row r="917">
      <c r="C917" s="79"/>
      <c r="D917" s="79"/>
      <c r="E917" s="79"/>
      <c r="M917" s="79"/>
      <c r="R917" s="79"/>
      <c r="S917" s="79"/>
      <c r="V917" s="79"/>
      <c r="W917" s="79"/>
      <c r="Z917" s="130"/>
      <c r="AB917" s="106"/>
    </row>
    <row r="918">
      <c r="C918" s="79"/>
      <c r="D918" s="79"/>
      <c r="E918" s="79"/>
      <c r="M918" s="79"/>
      <c r="R918" s="79"/>
      <c r="S918" s="79"/>
      <c r="V918" s="79"/>
      <c r="W918" s="79"/>
      <c r="Z918" s="130"/>
      <c r="AB918" s="106"/>
    </row>
    <row r="919">
      <c r="C919" s="79"/>
      <c r="D919" s="79"/>
      <c r="E919" s="79"/>
      <c r="M919" s="79"/>
      <c r="R919" s="79"/>
      <c r="S919" s="79"/>
      <c r="V919" s="79"/>
      <c r="W919" s="79"/>
      <c r="Z919" s="130"/>
      <c r="AB919" s="106"/>
    </row>
    <row r="920">
      <c r="C920" s="79"/>
      <c r="D920" s="79"/>
      <c r="E920" s="79"/>
      <c r="M920" s="79"/>
      <c r="R920" s="79"/>
      <c r="S920" s="79"/>
      <c r="V920" s="79"/>
      <c r="W920" s="79"/>
      <c r="Z920" s="130"/>
      <c r="AB920" s="106"/>
    </row>
    <row r="921">
      <c r="C921" s="79"/>
      <c r="D921" s="79"/>
      <c r="E921" s="79"/>
      <c r="M921" s="79"/>
      <c r="R921" s="79"/>
      <c r="S921" s="79"/>
      <c r="V921" s="79"/>
      <c r="W921" s="79"/>
      <c r="Z921" s="130"/>
      <c r="AB921" s="106"/>
    </row>
    <row r="922">
      <c r="C922" s="79"/>
      <c r="D922" s="79"/>
      <c r="E922" s="79"/>
      <c r="M922" s="79"/>
      <c r="R922" s="79"/>
      <c r="S922" s="79"/>
      <c r="V922" s="79"/>
      <c r="W922" s="79"/>
      <c r="Z922" s="130"/>
      <c r="AB922" s="106"/>
    </row>
    <row r="923">
      <c r="C923" s="79"/>
      <c r="D923" s="79"/>
      <c r="E923" s="79"/>
      <c r="M923" s="79"/>
      <c r="R923" s="79"/>
      <c r="S923" s="79"/>
      <c r="V923" s="79"/>
      <c r="W923" s="79"/>
      <c r="Z923" s="130"/>
      <c r="AB923" s="106"/>
    </row>
    <row r="924">
      <c r="C924" s="79"/>
      <c r="D924" s="79"/>
      <c r="E924" s="79"/>
      <c r="M924" s="79"/>
      <c r="R924" s="79"/>
      <c r="S924" s="79"/>
      <c r="V924" s="79"/>
      <c r="W924" s="79"/>
      <c r="Z924" s="130"/>
      <c r="AB924" s="106"/>
    </row>
    <row r="925">
      <c r="C925" s="79"/>
      <c r="D925" s="79"/>
      <c r="E925" s="79"/>
      <c r="M925" s="79"/>
      <c r="R925" s="79"/>
      <c r="S925" s="79"/>
      <c r="V925" s="79"/>
      <c r="W925" s="79"/>
      <c r="Z925" s="130"/>
      <c r="AB925" s="106"/>
    </row>
    <row r="926">
      <c r="C926" s="79"/>
      <c r="D926" s="79"/>
      <c r="E926" s="79"/>
      <c r="M926" s="79"/>
      <c r="R926" s="79"/>
      <c r="S926" s="79"/>
      <c r="V926" s="79"/>
      <c r="W926" s="79"/>
      <c r="Z926" s="130"/>
      <c r="AB926" s="106"/>
    </row>
    <row r="927">
      <c r="C927" s="79"/>
      <c r="D927" s="79"/>
      <c r="E927" s="79"/>
      <c r="M927" s="79"/>
      <c r="R927" s="79"/>
      <c r="S927" s="79"/>
      <c r="V927" s="79"/>
      <c r="W927" s="79"/>
      <c r="Z927" s="130"/>
      <c r="AB927" s="106"/>
    </row>
    <row r="928">
      <c r="C928" s="79"/>
      <c r="D928" s="79"/>
      <c r="E928" s="79"/>
      <c r="M928" s="79"/>
      <c r="R928" s="79"/>
      <c r="S928" s="79"/>
      <c r="V928" s="79"/>
      <c r="W928" s="79"/>
      <c r="Z928" s="130"/>
      <c r="AB928" s="106"/>
    </row>
    <row r="929">
      <c r="C929" s="79"/>
      <c r="D929" s="79"/>
      <c r="E929" s="79"/>
      <c r="M929" s="79"/>
      <c r="R929" s="79"/>
      <c r="S929" s="79"/>
      <c r="V929" s="79"/>
      <c r="W929" s="79"/>
      <c r="Z929" s="130"/>
      <c r="AB929" s="106"/>
    </row>
    <row r="930">
      <c r="C930" s="79"/>
      <c r="D930" s="79"/>
      <c r="E930" s="79"/>
      <c r="M930" s="79"/>
      <c r="R930" s="79"/>
      <c r="S930" s="79"/>
      <c r="V930" s="79"/>
      <c r="W930" s="79"/>
      <c r="Z930" s="130"/>
      <c r="AB930" s="106"/>
    </row>
    <row r="931">
      <c r="C931" s="79"/>
      <c r="D931" s="79"/>
      <c r="E931" s="79"/>
      <c r="M931" s="79"/>
      <c r="R931" s="79"/>
      <c r="S931" s="79"/>
      <c r="V931" s="79"/>
      <c r="W931" s="79"/>
      <c r="Z931" s="130"/>
      <c r="AB931" s="106"/>
    </row>
    <row r="932">
      <c r="C932" s="79"/>
      <c r="D932" s="79"/>
      <c r="E932" s="79"/>
      <c r="M932" s="79"/>
      <c r="R932" s="79"/>
      <c r="S932" s="79"/>
      <c r="V932" s="79"/>
      <c r="W932" s="79"/>
      <c r="Z932" s="130"/>
      <c r="AB932" s="106"/>
    </row>
    <row r="933">
      <c r="C933" s="79"/>
      <c r="D933" s="79"/>
      <c r="E933" s="79"/>
      <c r="M933" s="79"/>
      <c r="R933" s="79"/>
      <c r="S933" s="79"/>
      <c r="V933" s="79"/>
      <c r="W933" s="79"/>
      <c r="Z933" s="130"/>
      <c r="AB933" s="106"/>
    </row>
    <row r="934">
      <c r="C934" s="79"/>
      <c r="D934" s="79"/>
      <c r="E934" s="79"/>
      <c r="M934" s="79"/>
      <c r="R934" s="79"/>
      <c r="S934" s="79"/>
      <c r="V934" s="79"/>
      <c r="W934" s="79"/>
      <c r="Z934" s="130"/>
      <c r="AB934" s="106"/>
    </row>
    <row r="935">
      <c r="C935" s="79"/>
      <c r="D935" s="79"/>
      <c r="E935" s="79"/>
      <c r="M935" s="79"/>
      <c r="R935" s="79"/>
      <c r="S935" s="79"/>
      <c r="V935" s="79"/>
      <c r="W935" s="79"/>
      <c r="Z935" s="130"/>
      <c r="AB935" s="106"/>
    </row>
    <row r="936">
      <c r="C936" s="79"/>
      <c r="D936" s="79"/>
      <c r="E936" s="79"/>
      <c r="M936" s="79"/>
      <c r="R936" s="79"/>
      <c r="S936" s="79"/>
      <c r="V936" s="79"/>
      <c r="W936" s="79"/>
      <c r="Z936" s="130"/>
      <c r="AB936" s="106"/>
    </row>
    <row r="937">
      <c r="C937" s="79"/>
      <c r="D937" s="79"/>
      <c r="E937" s="79"/>
      <c r="M937" s="79"/>
      <c r="R937" s="79"/>
      <c r="S937" s="79"/>
      <c r="V937" s="79"/>
      <c r="W937" s="79"/>
      <c r="Z937" s="130"/>
      <c r="AB937" s="106"/>
    </row>
    <row r="938">
      <c r="C938" s="79"/>
      <c r="D938" s="79"/>
      <c r="E938" s="79"/>
      <c r="M938" s="79"/>
      <c r="R938" s="79"/>
      <c r="S938" s="79"/>
      <c r="V938" s="79"/>
      <c r="W938" s="79"/>
      <c r="Z938" s="130"/>
      <c r="AB938" s="106"/>
    </row>
    <row r="939">
      <c r="C939" s="79"/>
      <c r="D939" s="79"/>
      <c r="E939" s="79"/>
      <c r="M939" s="79"/>
      <c r="R939" s="79"/>
      <c r="S939" s="79"/>
      <c r="V939" s="79"/>
      <c r="W939" s="79"/>
      <c r="Z939" s="130"/>
      <c r="AB939" s="106"/>
    </row>
    <row r="940">
      <c r="C940" s="79"/>
      <c r="D940" s="79"/>
      <c r="E940" s="79"/>
      <c r="M940" s="79"/>
      <c r="R940" s="79"/>
      <c r="S940" s="79"/>
      <c r="V940" s="79"/>
      <c r="W940" s="79"/>
      <c r="Z940" s="130"/>
      <c r="AB940" s="106"/>
    </row>
    <row r="941">
      <c r="C941" s="79"/>
      <c r="D941" s="79"/>
      <c r="E941" s="79"/>
      <c r="M941" s="79"/>
      <c r="R941" s="79"/>
      <c r="S941" s="79"/>
      <c r="V941" s="79"/>
      <c r="W941" s="79"/>
      <c r="Z941" s="130"/>
      <c r="AB941" s="106"/>
    </row>
    <row r="942">
      <c r="C942" s="79"/>
      <c r="D942" s="79"/>
      <c r="E942" s="79"/>
      <c r="M942" s="79"/>
      <c r="R942" s="79"/>
      <c r="S942" s="79"/>
      <c r="V942" s="79"/>
      <c r="W942" s="79"/>
      <c r="Z942" s="130"/>
      <c r="AB942" s="106"/>
    </row>
    <row r="943">
      <c r="C943" s="79"/>
      <c r="D943" s="79"/>
      <c r="E943" s="79"/>
      <c r="M943" s="79"/>
      <c r="R943" s="79"/>
      <c r="S943" s="79"/>
      <c r="V943" s="79"/>
      <c r="W943" s="79"/>
      <c r="Z943" s="130"/>
      <c r="AB943" s="106"/>
    </row>
    <row r="944">
      <c r="C944" s="79"/>
      <c r="D944" s="79"/>
      <c r="E944" s="79"/>
      <c r="M944" s="79"/>
      <c r="R944" s="79"/>
      <c r="S944" s="79"/>
      <c r="V944" s="79"/>
      <c r="W944" s="79"/>
      <c r="Z944" s="130"/>
      <c r="AB944" s="106"/>
    </row>
    <row r="945">
      <c r="C945" s="79"/>
      <c r="D945" s="79"/>
      <c r="E945" s="79"/>
      <c r="M945" s="79"/>
      <c r="R945" s="79"/>
      <c r="S945" s="79"/>
      <c r="V945" s="79"/>
      <c r="W945" s="79"/>
      <c r="Z945" s="130"/>
      <c r="AB945" s="106"/>
    </row>
    <row r="946">
      <c r="C946" s="79"/>
      <c r="D946" s="79"/>
      <c r="E946" s="79"/>
      <c r="M946" s="79"/>
      <c r="R946" s="79"/>
      <c r="S946" s="79"/>
      <c r="V946" s="79"/>
      <c r="W946" s="79"/>
      <c r="Z946" s="130"/>
      <c r="AB946" s="106"/>
    </row>
    <row r="947">
      <c r="C947" s="79"/>
      <c r="D947" s="79"/>
      <c r="E947" s="79"/>
      <c r="M947" s="79"/>
      <c r="R947" s="79"/>
      <c r="S947" s="79"/>
      <c r="V947" s="79"/>
      <c r="W947" s="79"/>
      <c r="Z947" s="130"/>
      <c r="AB947" s="106"/>
    </row>
    <row r="948">
      <c r="C948" s="79"/>
      <c r="D948" s="79"/>
      <c r="E948" s="79"/>
      <c r="M948" s="79"/>
      <c r="R948" s="79"/>
      <c r="S948" s="79"/>
      <c r="V948" s="79"/>
      <c r="W948" s="79"/>
      <c r="Z948" s="130"/>
      <c r="AB948" s="106"/>
    </row>
    <row r="949">
      <c r="C949" s="79"/>
      <c r="D949" s="79"/>
      <c r="E949" s="79"/>
      <c r="M949" s="79"/>
      <c r="R949" s="79"/>
      <c r="S949" s="79"/>
      <c r="V949" s="79"/>
      <c r="W949" s="79"/>
      <c r="Z949" s="130"/>
      <c r="AB949" s="106"/>
    </row>
    <row r="950">
      <c r="C950" s="79"/>
      <c r="D950" s="79"/>
      <c r="E950" s="79"/>
      <c r="M950" s="79"/>
      <c r="R950" s="79"/>
      <c r="S950" s="79"/>
      <c r="V950" s="79"/>
      <c r="W950" s="79"/>
      <c r="Z950" s="130"/>
      <c r="AB950" s="106"/>
    </row>
    <row r="951">
      <c r="C951" s="79"/>
      <c r="D951" s="79"/>
      <c r="E951" s="79"/>
      <c r="M951" s="79"/>
      <c r="R951" s="79"/>
      <c r="S951" s="79"/>
      <c r="V951" s="79"/>
      <c r="W951" s="79"/>
      <c r="Z951" s="130"/>
      <c r="AB951" s="106"/>
    </row>
    <row r="952">
      <c r="C952" s="79"/>
      <c r="D952" s="79"/>
      <c r="E952" s="79"/>
      <c r="M952" s="79"/>
      <c r="R952" s="79"/>
      <c r="S952" s="79"/>
      <c r="V952" s="79"/>
      <c r="W952" s="79"/>
      <c r="Z952" s="130"/>
      <c r="AB952" s="106"/>
    </row>
    <row r="953">
      <c r="C953" s="79"/>
      <c r="D953" s="79"/>
      <c r="E953" s="79"/>
      <c r="M953" s="79"/>
      <c r="R953" s="79"/>
      <c r="S953" s="79"/>
      <c r="V953" s="79"/>
      <c r="W953" s="79"/>
      <c r="Z953" s="130"/>
      <c r="AB953" s="106"/>
    </row>
    <row r="954">
      <c r="C954" s="79"/>
      <c r="D954" s="79"/>
      <c r="E954" s="79"/>
      <c r="M954" s="79"/>
      <c r="R954" s="79"/>
      <c r="S954" s="79"/>
      <c r="V954" s="79"/>
      <c r="W954" s="79"/>
      <c r="Z954" s="130"/>
      <c r="AB954" s="106"/>
    </row>
    <row r="955">
      <c r="C955" s="79"/>
      <c r="D955" s="79"/>
      <c r="E955" s="79"/>
      <c r="M955" s="79"/>
      <c r="R955" s="79"/>
      <c r="S955" s="79"/>
      <c r="V955" s="79"/>
      <c r="W955" s="79"/>
      <c r="Z955" s="130"/>
      <c r="AB955" s="106"/>
    </row>
    <row r="956">
      <c r="C956" s="79"/>
      <c r="D956" s="79"/>
      <c r="E956" s="79"/>
      <c r="M956" s="79"/>
      <c r="R956" s="79"/>
      <c r="S956" s="79"/>
      <c r="V956" s="79"/>
      <c r="W956" s="79"/>
      <c r="Z956" s="130"/>
      <c r="AB956" s="106"/>
    </row>
    <row r="957">
      <c r="C957" s="79"/>
      <c r="D957" s="79"/>
      <c r="E957" s="79"/>
      <c r="M957" s="79"/>
      <c r="R957" s="79"/>
      <c r="S957" s="79"/>
      <c r="V957" s="79"/>
      <c r="W957" s="79"/>
      <c r="Z957" s="130"/>
      <c r="AB957" s="106"/>
    </row>
    <row r="958">
      <c r="C958" s="79"/>
      <c r="D958" s="79"/>
      <c r="E958" s="79"/>
      <c r="M958" s="79"/>
      <c r="R958" s="79"/>
      <c r="S958" s="79"/>
      <c r="V958" s="79"/>
      <c r="W958" s="79"/>
      <c r="Z958" s="130"/>
      <c r="AB958" s="106"/>
    </row>
    <row r="959">
      <c r="C959" s="79"/>
      <c r="D959" s="79"/>
      <c r="E959" s="79"/>
      <c r="M959" s="79"/>
      <c r="R959" s="79"/>
      <c r="S959" s="79"/>
      <c r="V959" s="79"/>
      <c r="W959" s="79"/>
      <c r="Z959" s="130"/>
      <c r="AB959" s="106"/>
    </row>
    <row r="960">
      <c r="C960" s="79"/>
      <c r="D960" s="79"/>
      <c r="E960" s="79"/>
      <c r="M960" s="79"/>
      <c r="R960" s="79"/>
      <c r="S960" s="79"/>
      <c r="V960" s="79"/>
      <c r="W960" s="79"/>
      <c r="Z960" s="130"/>
      <c r="AB960" s="106"/>
    </row>
    <row r="961">
      <c r="C961" s="79"/>
      <c r="D961" s="79"/>
      <c r="E961" s="79"/>
      <c r="M961" s="79"/>
      <c r="R961" s="79"/>
      <c r="S961" s="79"/>
      <c r="V961" s="79"/>
      <c r="W961" s="79"/>
      <c r="Z961" s="130"/>
      <c r="AB961" s="106"/>
    </row>
    <row r="962">
      <c r="C962" s="79"/>
      <c r="D962" s="79"/>
      <c r="E962" s="79"/>
      <c r="M962" s="79"/>
      <c r="R962" s="79"/>
      <c r="S962" s="79"/>
      <c r="V962" s="79"/>
      <c r="W962" s="79"/>
      <c r="Z962" s="130"/>
      <c r="AB962" s="106"/>
    </row>
    <row r="963">
      <c r="C963" s="79"/>
      <c r="D963" s="79"/>
      <c r="E963" s="79"/>
      <c r="M963" s="79"/>
      <c r="R963" s="79"/>
      <c r="S963" s="79"/>
      <c r="V963" s="79"/>
      <c r="W963" s="79"/>
      <c r="Z963" s="130"/>
      <c r="AB963" s="106"/>
    </row>
    <row r="964">
      <c r="C964" s="79"/>
      <c r="D964" s="79"/>
      <c r="E964" s="79"/>
      <c r="M964" s="79"/>
      <c r="R964" s="79"/>
      <c r="S964" s="79"/>
      <c r="V964" s="79"/>
      <c r="W964" s="79"/>
      <c r="Z964" s="130"/>
      <c r="AB964" s="106"/>
    </row>
    <row r="965">
      <c r="C965" s="79"/>
      <c r="D965" s="79"/>
      <c r="E965" s="79"/>
      <c r="M965" s="79"/>
      <c r="R965" s="79"/>
      <c r="S965" s="79"/>
      <c r="V965" s="79"/>
      <c r="W965" s="79"/>
      <c r="Z965" s="130"/>
      <c r="AB965" s="106"/>
    </row>
    <row r="966">
      <c r="C966" s="79"/>
      <c r="D966" s="79"/>
      <c r="E966" s="79"/>
      <c r="M966" s="79"/>
      <c r="R966" s="79"/>
      <c r="S966" s="79"/>
      <c r="V966" s="79"/>
      <c r="W966" s="79"/>
      <c r="Z966" s="130"/>
      <c r="AB966" s="106"/>
    </row>
    <row r="967">
      <c r="C967" s="79"/>
      <c r="D967" s="79"/>
      <c r="E967" s="79"/>
      <c r="M967" s="79"/>
      <c r="R967" s="79"/>
      <c r="S967" s="79"/>
      <c r="V967" s="79"/>
      <c r="W967" s="79"/>
      <c r="Z967" s="130"/>
      <c r="AB967" s="106"/>
    </row>
    <row r="968">
      <c r="C968" s="79"/>
      <c r="D968" s="79"/>
      <c r="E968" s="79"/>
      <c r="M968" s="79"/>
      <c r="R968" s="79"/>
      <c r="S968" s="79"/>
      <c r="V968" s="79"/>
      <c r="W968" s="79"/>
      <c r="Z968" s="130"/>
      <c r="AB968" s="106"/>
    </row>
    <row r="969">
      <c r="C969" s="79"/>
      <c r="D969" s="79"/>
      <c r="E969" s="79"/>
      <c r="M969" s="79"/>
      <c r="R969" s="79"/>
      <c r="S969" s="79"/>
      <c r="V969" s="79"/>
      <c r="W969" s="79"/>
      <c r="Z969" s="130"/>
      <c r="AB969" s="106"/>
    </row>
    <row r="970">
      <c r="C970" s="79"/>
      <c r="D970" s="79"/>
      <c r="E970" s="79"/>
      <c r="M970" s="79"/>
      <c r="R970" s="79"/>
      <c r="S970" s="79"/>
      <c r="V970" s="79"/>
      <c r="W970" s="79"/>
      <c r="Z970" s="130"/>
      <c r="AB970" s="106"/>
    </row>
    <row r="971">
      <c r="C971" s="79"/>
      <c r="D971" s="79"/>
      <c r="E971" s="79"/>
      <c r="M971" s="79"/>
      <c r="R971" s="79"/>
      <c r="S971" s="79"/>
      <c r="V971" s="79"/>
      <c r="W971" s="79"/>
      <c r="Z971" s="130"/>
      <c r="AB971" s="106"/>
    </row>
    <row r="972">
      <c r="C972" s="79"/>
      <c r="D972" s="79"/>
      <c r="E972" s="79"/>
      <c r="M972" s="79"/>
      <c r="R972" s="79"/>
      <c r="S972" s="79"/>
      <c r="V972" s="79"/>
      <c r="W972" s="79"/>
      <c r="Z972" s="130"/>
      <c r="AB972" s="106"/>
    </row>
    <row r="973">
      <c r="C973" s="79"/>
      <c r="D973" s="79"/>
      <c r="E973" s="79"/>
      <c r="M973" s="79"/>
      <c r="R973" s="79"/>
      <c r="S973" s="79"/>
      <c r="V973" s="79"/>
      <c r="W973" s="79"/>
      <c r="Z973" s="130"/>
      <c r="AB973" s="106"/>
    </row>
    <row r="974">
      <c r="C974" s="79"/>
      <c r="D974" s="79"/>
      <c r="E974" s="79"/>
      <c r="M974" s="79"/>
      <c r="R974" s="79"/>
      <c r="S974" s="79"/>
      <c r="V974" s="79"/>
      <c r="W974" s="79"/>
      <c r="Z974" s="130"/>
      <c r="AB974" s="106"/>
    </row>
    <row r="975">
      <c r="C975" s="79"/>
      <c r="D975" s="79"/>
      <c r="E975" s="79"/>
      <c r="M975" s="79"/>
      <c r="R975" s="79"/>
      <c r="S975" s="79"/>
      <c r="V975" s="79"/>
      <c r="W975" s="79"/>
      <c r="Z975" s="130"/>
      <c r="AB975" s="106"/>
    </row>
    <row r="976">
      <c r="C976" s="79"/>
      <c r="D976" s="79"/>
      <c r="E976" s="79"/>
      <c r="M976" s="79"/>
      <c r="R976" s="79"/>
      <c r="S976" s="79"/>
      <c r="V976" s="79"/>
      <c r="W976" s="79"/>
      <c r="Z976" s="130"/>
      <c r="AB976" s="106"/>
    </row>
    <row r="977">
      <c r="C977" s="79"/>
      <c r="D977" s="79"/>
      <c r="E977" s="79"/>
      <c r="M977" s="79"/>
      <c r="R977" s="79"/>
      <c r="S977" s="79"/>
      <c r="V977" s="79"/>
      <c r="W977" s="79"/>
      <c r="Z977" s="130"/>
      <c r="AB977" s="106"/>
    </row>
    <row r="978">
      <c r="C978" s="79"/>
      <c r="D978" s="79"/>
      <c r="E978" s="79"/>
      <c r="M978" s="79"/>
      <c r="R978" s="79"/>
      <c r="S978" s="79"/>
      <c r="V978" s="79"/>
      <c r="W978" s="79"/>
      <c r="Z978" s="130"/>
      <c r="AB978" s="106"/>
    </row>
    <row r="979">
      <c r="C979" s="79"/>
      <c r="D979" s="79"/>
      <c r="E979" s="79"/>
      <c r="M979" s="79"/>
      <c r="R979" s="79"/>
      <c r="S979" s="79"/>
      <c r="V979" s="79"/>
      <c r="W979" s="79"/>
      <c r="Z979" s="130"/>
      <c r="AB979" s="106"/>
    </row>
    <row r="980">
      <c r="C980" s="79"/>
      <c r="D980" s="79"/>
      <c r="E980" s="79"/>
      <c r="M980" s="79"/>
      <c r="R980" s="79"/>
      <c r="S980" s="79"/>
      <c r="V980" s="79"/>
      <c r="W980" s="79"/>
      <c r="Z980" s="130"/>
      <c r="AB980" s="106"/>
    </row>
    <row r="981">
      <c r="C981" s="79"/>
      <c r="D981" s="79"/>
      <c r="E981" s="79"/>
      <c r="M981" s="79"/>
      <c r="R981" s="79"/>
      <c r="S981" s="79"/>
      <c r="V981" s="79"/>
      <c r="W981" s="79"/>
      <c r="Z981" s="130"/>
      <c r="AB981" s="106"/>
    </row>
    <row r="982">
      <c r="C982" s="79"/>
      <c r="D982" s="79"/>
      <c r="E982" s="79"/>
      <c r="M982" s="79"/>
      <c r="R982" s="79"/>
      <c r="S982" s="79"/>
      <c r="V982" s="79"/>
      <c r="W982" s="79"/>
      <c r="Z982" s="130"/>
      <c r="AB982" s="106"/>
    </row>
    <row r="983">
      <c r="C983" s="79"/>
      <c r="D983" s="79"/>
      <c r="E983" s="79"/>
      <c r="M983" s="79"/>
      <c r="R983" s="79"/>
      <c r="S983" s="79"/>
      <c r="V983" s="79"/>
      <c r="W983" s="79"/>
      <c r="Z983" s="130"/>
      <c r="AB983" s="106"/>
    </row>
    <row r="984">
      <c r="C984" s="79"/>
      <c r="D984" s="79"/>
      <c r="E984" s="79"/>
      <c r="M984" s="79"/>
      <c r="R984" s="79"/>
      <c r="S984" s="79"/>
      <c r="V984" s="79"/>
      <c r="W984" s="79"/>
      <c r="Z984" s="130"/>
      <c r="AB984" s="106"/>
    </row>
    <row r="985">
      <c r="C985" s="79"/>
      <c r="D985" s="79"/>
      <c r="E985" s="79"/>
      <c r="M985" s="79"/>
      <c r="R985" s="79"/>
      <c r="S985" s="79"/>
      <c r="V985" s="79"/>
      <c r="W985" s="79"/>
      <c r="Z985" s="130"/>
      <c r="AB985" s="106"/>
    </row>
    <row r="986">
      <c r="C986" s="79"/>
      <c r="D986" s="79"/>
      <c r="E986" s="79"/>
      <c r="M986" s="79"/>
      <c r="R986" s="79"/>
      <c r="S986" s="79"/>
      <c r="V986" s="79"/>
      <c r="W986" s="79"/>
      <c r="Z986" s="130"/>
      <c r="AB986" s="106"/>
    </row>
    <row r="987">
      <c r="C987" s="79"/>
      <c r="D987" s="79"/>
      <c r="E987" s="79"/>
      <c r="M987" s="79"/>
      <c r="R987" s="79"/>
      <c r="S987" s="79"/>
      <c r="V987" s="79"/>
      <c r="W987" s="79"/>
      <c r="Z987" s="130"/>
      <c r="AB987" s="106"/>
    </row>
    <row r="988">
      <c r="C988" s="79"/>
      <c r="D988" s="79"/>
      <c r="E988" s="79"/>
      <c r="M988" s="79"/>
      <c r="R988" s="79"/>
      <c r="S988" s="79"/>
      <c r="V988" s="79"/>
      <c r="W988" s="79"/>
      <c r="Z988" s="130"/>
      <c r="AB988" s="106"/>
    </row>
    <row r="989">
      <c r="C989" s="79"/>
      <c r="D989" s="79"/>
      <c r="E989" s="79"/>
      <c r="M989" s="79"/>
      <c r="R989" s="79"/>
      <c r="S989" s="79"/>
      <c r="V989" s="79"/>
      <c r="W989" s="79"/>
      <c r="Z989" s="130"/>
      <c r="AB989" s="106"/>
    </row>
    <row r="990">
      <c r="C990" s="79"/>
      <c r="D990" s="79"/>
      <c r="E990" s="79"/>
      <c r="M990" s="79"/>
      <c r="R990" s="79"/>
      <c r="S990" s="79"/>
      <c r="V990" s="79"/>
      <c r="W990" s="79"/>
      <c r="Z990" s="130"/>
      <c r="AB990" s="106"/>
    </row>
    <row r="991">
      <c r="C991" s="79"/>
      <c r="D991" s="79"/>
      <c r="E991" s="79"/>
      <c r="M991" s="79"/>
      <c r="R991" s="79"/>
      <c r="S991" s="79"/>
      <c r="V991" s="79"/>
      <c r="W991" s="79"/>
      <c r="Z991" s="130"/>
      <c r="AB991" s="106"/>
    </row>
    <row r="992">
      <c r="C992" s="79"/>
      <c r="D992" s="79"/>
      <c r="E992" s="79"/>
      <c r="M992" s="79"/>
      <c r="R992" s="79"/>
      <c r="S992" s="79"/>
      <c r="V992" s="79"/>
      <c r="W992" s="79"/>
      <c r="Z992" s="130"/>
      <c r="AB992" s="106"/>
    </row>
    <row r="993">
      <c r="C993" s="79"/>
      <c r="D993" s="79"/>
      <c r="E993" s="79"/>
      <c r="M993" s="79"/>
      <c r="R993" s="79"/>
      <c r="S993" s="79"/>
      <c r="V993" s="79"/>
      <c r="W993" s="79"/>
      <c r="Z993" s="130"/>
      <c r="AB993" s="106"/>
    </row>
    <row r="994">
      <c r="C994" s="79"/>
      <c r="D994" s="79"/>
      <c r="E994" s="79"/>
      <c r="M994" s="79"/>
      <c r="R994" s="79"/>
      <c r="S994" s="79"/>
      <c r="V994" s="79"/>
      <c r="W994" s="79"/>
      <c r="Z994" s="130"/>
      <c r="AB994" s="106"/>
    </row>
    <row r="995">
      <c r="C995" s="79"/>
      <c r="D995" s="79"/>
      <c r="E995" s="79"/>
      <c r="M995" s="79"/>
      <c r="R995" s="79"/>
      <c r="S995" s="79"/>
      <c r="V995" s="79"/>
      <c r="W995" s="79"/>
      <c r="Z995" s="130"/>
      <c r="AB995" s="106"/>
    </row>
    <row r="996">
      <c r="C996" s="79"/>
      <c r="D996" s="79"/>
      <c r="E996" s="79"/>
      <c r="M996" s="79"/>
      <c r="R996" s="79"/>
      <c r="S996" s="79"/>
      <c r="V996" s="79"/>
      <c r="W996" s="79"/>
      <c r="Z996" s="130"/>
      <c r="AB996" s="106"/>
    </row>
    <row r="997">
      <c r="C997" s="79"/>
      <c r="D997" s="79"/>
      <c r="E997" s="79"/>
      <c r="M997" s="79"/>
      <c r="R997" s="79"/>
      <c r="S997" s="79"/>
      <c r="V997" s="79"/>
      <c r="W997" s="79"/>
      <c r="Z997" s="130"/>
      <c r="AB997" s="106"/>
    </row>
    <row r="998">
      <c r="C998" s="79"/>
      <c r="D998" s="79"/>
      <c r="E998" s="79"/>
      <c r="M998" s="79"/>
      <c r="R998" s="79"/>
      <c r="S998" s="79"/>
      <c r="V998" s="79"/>
      <c r="W998" s="79"/>
      <c r="Z998" s="130"/>
      <c r="AB998" s="106"/>
    </row>
    <row r="999">
      <c r="C999" s="79"/>
      <c r="D999" s="79"/>
      <c r="E999" s="79"/>
      <c r="M999" s="79"/>
      <c r="R999" s="79"/>
      <c r="S999" s="79"/>
      <c r="V999" s="79"/>
      <c r="W999" s="79"/>
      <c r="Z999" s="130"/>
      <c r="AB999" s="106"/>
    </row>
    <row r="1000">
      <c r="C1000" s="79"/>
      <c r="D1000" s="79"/>
      <c r="E1000" s="79"/>
      <c r="M1000" s="79"/>
      <c r="R1000" s="79"/>
      <c r="S1000" s="79"/>
      <c r="V1000" s="79"/>
      <c r="W1000" s="79"/>
      <c r="Z1000" s="130"/>
      <c r="AB1000" s="106"/>
    </row>
    <row r="1001">
      <c r="C1001" s="79"/>
      <c r="D1001" s="79"/>
      <c r="E1001" s="79"/>
      <c r="M1001" s="79"/>
      <c r="R1001" s="79"/>
      <c r="S1001" s="79"/>
      <c r="V1001" s="79"/>
      <c r="W1001" s="79"/>
      <c r="Z1001" s="130"/>
      <c r="AB1001" s="106"/>
    </row>
    <row r="1002">
      <c r="C1002" s="79"/>
      <c r="D1002" s="79"/>
      <c r="E1002" s="79"/>
      <c r="M1002" s="79"/>
      <c r="R1002" s="79"/>
      <c r="S1002" s="79"/>
      <c r="V1002" s="79"/>
      <c r="W1002" s="79"/>
      <c r="Z1002" s="130"/>
      <c r="AB1002" s="106"/>
    </row>
  </sheetData>
  <drawing r:id="rId2"/>
  <legacyDrawing r:id="rId3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5" max="5" width="13.5"/>
    <col customWidth="1" min="7" max="7" width="13.25"/>
    <col hidden="1" min="12" max="13" width="12.63"/>
    <col hidden="1" min="19" max="19" width="12.63"/>
    <col customWidth="1" min="24" max="24" width="14.63"/>
    <col customWidth="1" min="28" max="28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3</v>
      </c>
      <c r="G1" s="2" t="s">
        <v>203</v>
      </c>
      <c r="H1" s="2" t="s">
        <v>129</v>
      </c>
      <c r="I1" s="2" t="s">
        <v>5</v>
      </c>
      <c r="J1" s="2" t="s">
        <v>204</v>
      </c>
      <c r="K1" s="2" t="s">
        <v>6</v>
      </c>
      <c r="L1" s="2" t="s">
        <v>43</v>
      </c>
      <c r="M1" s="105" t="s">
        <v>40</v>
      </c>
      <c r="N1" s="2" t="s">
        <v>49</v>
      </c>
      <c r="O1" s="2" t="s">
        <v>42</v>
      </c>
      <c r="P1" s="2" t="s">
        <v>121</v>
      </c>
      <c r="Q1" s="2" t="s">
        <v>164</v>
      </c>
      <c r="R1" s="105" t="s">
        <v>9</v>
      </c>
      <c r="S1" s="105" t="s">
        <v>165</v>
      </c>
      <c r="T1" s="2" t="s">
        <v>37</v>
      </c>
      <c r="U1" s="2" t="s">
        <v>10</v>
      </c>
      <c r="V1" s="105" t="s">
        <v>11</v>
      </c>
      <c r="W1" s="105" t="s">
        <v>205</v>
      </c>
      <c r="X1" s="2" t="s">
        <v>206</v>
      </c>
      <c r="Y1" s="3" t="s">
        <v>13</v>
      </c>
      <c r="Z1" s="126" t="s">
        <v>14</v>
      </c>
      <c r="AA1" s="3" t="s">
        <v>15</v>
      </c>
      <c r="AB1" s="106"/>
    </row>
    <row r="2">
      <c r="A2" s="74">
        <v>45250.0</v>
      </c>
      <c r="B2" s="93">
        <f>1007.19-31.75</f>
        <v>975.44</v>
      </c>
      <c r="C2" s="93"/>
      <c r="D2" s="93">
        <f>465.8-119.6</f>
        <v>346.2</v>
      </c>
      <c r="E2" s="93"/>
      <c r="F2" s="93">
        <v>180.0</v>
      </c>
      <c r="G2" s="93"/>
      <c r="H2" s="93"/>
      <c r="I2" s="93"/>
      <c r="J2" s="93"/>
      <c r="K2" s="93"/>
      <c r="L2" s="5"/>
      <c r="M2" s="5"/>
      <c r="N2" s="93">
        <v>168.0</v>
      </c>
      <c r="O2" s="93"/>
      <c r="P2" s="93"/>
      <c r="Q2" s="5"/>
      <c r="R2" s="93"/>
      <c r="S2" s="93"/>
      <c r="T2" s="72"/>
      <c r="U2" s="5"/>
      <c r="V2" s="93">
        <v>57.05</v>
      </c>
      <c r="W2" s="93"/>
      <c r="X2" s="5"/>
      <c r="Y2" s="107">
        <f t="shared" ref="Y2:Y7" si="1">SUM(B2:X2)</f>
        <v>1726.69</v>
      </c>
      <c r="Z2" s="158">
        <v>4189.4</v>
      </c>
      <c r="AA2" s="59">
        <f t="shared" ref="AA2:AA8" si="2">Y2/Z2</f>
        <v>0.4121568721</v>
      </c>
      <c r="AB2" s="109">
        <f t="shared" ref="AB2:AB8" si="3">A2</f>
        <v>45250</v>
      </c>
    </row>
    <row r="3">
      <c r="A3" s="74">
        <v>45251.0</v>
      </c>
      <c r="B3" s="93"/>
      <c r="C3" s="159"/>
      <c r="D3" s="159"/>
      <c r="E3" s="93"/>
      <c r="F3" s="93"/>
      <c r="G3" s="93"/>
      <c r="H3" s="93"/>
      <c r="I3" s="93"/>
      <c r="J3" s="93"/>
      <c r="K3" s="93">
        <v>42.0</v>
      </c>
      <c r="L3" s="5"/>
      <c r="M3" s="93"/>
      <c r="N3" s="93"/>
      <c r="O3" s="93"/>
      <c r="P3" s="101"/>
      <c r="Q3" s="6"/>
      <c r="R3" s="93"/>
      <c r="S3" s="93"/>
      <c r="T3" s="93"/>
      <c r="U3" s="5"/>
      <c r="V3" s="93"/>
      <c r="W3" s="93"/>
      <c r="X3" s="93"/>
      <c r="Y3" s="107">
        <f t="shared" si="1"/>
        <v>42</v>
      </c>
      <c r="Z3" s="97"/>
      <c r="AA3" s="59" t="str">
        <f t="shared" si="2"/>
        <v>#DIV/0!</v>
      </c>
      <c r="AB3" s="109">
        <f t="shared" si="3"/>
        <v>45251</v>
      </c>
    </row>
    <row r="4">
      <c r="A4" s="74">
        <v>45252.0</v>
      </c>
      <c r="B4" s="93"/>
      <c r="C4" s="93"/>
      <c r="D4" s="93">
        <v>465.8</v>
      </c>
      <c r="E4" s="93"/>
      <c r="F4" s="93"/>
      <c r="G4" s="93"/>
      <c r="H4" s="93"/>
      <c r="I4" s="93"/>
      <c r="J4" s="93"/>
      <c r="K4" s="93"/>
      <c r="L4" s="5"/>
      <c r="M4" s="93"/>
      <c r="N4" s="93"/>
      <c r="O4" s="93"/>
      <c r="P4" s="93"/>
      <c r="Q4" s="5"/>
      <c r="R4" s="93"/>
      <c r="S4" s="93"/>
      <c r="T4" s="160"/>
      <c r="U4" s="83"/>
      <c r="V4" s="93">
        <v>57.05</v>
      </c>
      <c r="W4" s="93"/>
      <c r="X4" s="6"/>
      <c r="Y4" s="107">
        <f t="shared" si="1"/>
        <v>522.85</v>
      </c>
      <c r="Z4" s="97"/>
      <c r="AA4" s="59" t="str">
        <f t="shared" si="2"/>
        <v>#DIV/0!</v>
      </c>
      <c r="AB4" s="109">
        <f t="shared" si="3"/>
        <v>45252</v>
      </c>
    </row>
    <row r="5">
      <c r="A5" s="74">
        <v>45253.0</v>
      </c>
      <c r="B5" s="93"/>
      <c r="C5" s="93"/>
      <c r="D5" s="93"/>
      <c r="E5" s="93"/>
      <c r="F5" s="93"/>
      <c r="G5" s="160"/>
      <c r="H5" s="160"/>
      <c r="I5" s="93"/>
      <c r="J5" s="93"/>
      <c r="K5" s="93"/>
      <c r="L5" s="5"/>
      <c r="M5" s="93"/>
      <c r="N5" s="93"/>
      <c r="O5" s="93"/>
      <c r="P5" s="93">
        <v>18.5</v>
      </c>
      <c r="Q5" s="5"/>
      <c r="R5" s="93"/>
      <c r="S5" s="93"/>
      <c r="T5" s="5"/>
      <c r="U5" s="5"/>
      <c r="V5" s="101"/>
      <c r="W5" s="101"/>
      <c r="X5" s="6"/>
      <c r="Y5" s="7">
        <f t="shared" si="1"/>
        <v>18.5</v>
      </c>
      <c r="Z5" s="97"/>
      <c r="AA5" s="59" t="str">
        <f t="shared" si="2"/>
        <v>#DIV/0!</v>
      </c>
      <c r="AB5" s="109">
        <f t="shared" si="3"/>
        <v>45253</v>
      </c>
    </row>
    <row r="6">
      <c r="A6" s="74">
        <v>45254.0</v>
      </c>
      <c r="B6" s="93"/>
      <c r="C6" s="93"/>
      <c r="D6" s="93"/>
      <c r="E6" s="93"/>
      <c r="F6" s="93">
        <v>180.0</v>
      </c>
      <c r="G6" s="93"/>
      <c r="H6" s="93"/>
      <c r="I6" s="93"/>
      <c r="J6" s="93"/>
      <c r="K6" s="93">
        <v>61.5</v>
      </c>
      <c r="L6" s="5"/>
      <c r="M6" s="162"/>
      <c r="N6" s="93"/>
      <c r="O6" s="93"/>
      <c r="P6" s="93"/>
      <c r="Q6" s="5"/>
      <c r="R6" s="93"/>
      <c r="S6" s="93"/>
      <c r="T6" s="5"/>
      <c r="U6" s="5"/>
      <c r="V6" s="93">
        <v>57.05</v>
      </c>
      <c r="W6" s="93"/>
      <c r="X6" s="5"/>
      <c r="Y6" s="7">
        <f t="shared" si="1"/>
        <v>298.55</v>
      </c>
      <c r="Z6" s="97"/>
      <c r="AA6" s="59" t="str">
        <f t="shared" si="2"/>
        <v>#DIV/0!</v>
      </c>
      <c r="AB6" s="109">
        <f t="shared" si="3"/>
        <v>45254</v>
      </c>
    </row>
    <row r="7">
      <c r="A7" s="74">
        <v>45255.0</v>
      </c>
      <c r="B7" s="93">
        <f>2228.43-16.81-27.65-32.92-39.58-8.51-152-46.24</f>
        <v>1904.72</v>
      </c>
      <c r="C7" s="93"/>
      <c r="D7" s="93">
        <v>817.92</v>
      </c>
      <c r="E7" s="93"/>
      <c r="F7" s="93"/>
      <c r="G7" s="93"/>
      <c r="H7" s="93">
        <v>283.26</v>
      </c>
      <c r="I7" s="93"/>
      <c r="J7" s="93"/>
      <c r="K7" s="93"/>
      <c r="L7" s="5"/>
      <c r="M7" s="93"/>
      <c r="N7" s="93"/>
      <c r="O7" s="93"/>
      <c r="P7" s="93"/>
      <c r="Q7" s="93"/>
      <c r="R7" s="93"/>
      <c r="S7" s="93"/>
      <c r="T7" s="6"/>
      <c r="U7" s="6"/>
      <c r="V7" s="101"/>
      <c r="W7" s="101"/>
      <c r="X7" s="5"/>
      <c r="Y7" s="7">
        <f t="shared" si="1"/>
        <v>3005.9</v>
      </c>
      <c r="Z7" s="97">
        <v>8311.5</v>
      </c>
      <c r="AA7" s="59">
        <f t="shared" si="2"/>
        <v>0.3616555375</v>
      </c>
      <c r="AB7" s="109">
        <f t="shared" si="3"/>
        <v>45255</v>
      </c>
    </row>
    <row r="8">
      <c r="A8" s="74">
        <v>45256.0</v>
      </c>
      <c r="B8" s="10" t="s">
        <v>21</v>
      </c>
      <c r="C8" s="112" t="s">
        <v>21</v>
      </c>
      <c r="D8" s="112" t="s">
        <v>21</v>
      </c>
      <c r="E8" s="112" t="s">
        <v>21</v>
      </c>
      <c r="F8" s="10" t="s">
        <v>21</v>
      </c>
      <c r="G8" s="10" t="s">
        <v>21</v>
      </c>
      <c r="H8" s="10" t="s">
        <v>21</v>
      </c>
      <c r="I8" s="10" t="s">
        <v>21</v>
      </c>
      <c r="J8" s="10"/>
      <c r="K8" s="10" t="s">
        <v>21</v>
      </c>
      <c r="L8" s="10" t="s">
        <v>21</v>
      </c>
      <c r="M8" s="112" t="s">
        <v>21</v>
      </c>
      <c r="N8" s="10" t="s">
        <v>21</v>
      </c>
      <c r="O8" s="10" t="s">
        <v>21</v>
      </c>
      <c r="P8" s="10"/>
      <c r="Q8" s="10"/>
      <c r="R8" s="112" t="s">
        <v>21</v>
      </c>
      <c r="S8" s="112"/>
      <c r="T8" s="10" t="s">
        <v>21</v>
      </c>
      <c r="U8" s="10" t="s">
        <v>21</v>
      </c>
      <c r="V8" s="112" t="s">
        <v>21</v>
      </c>
      <c r="W8" s="112"/>
      <c r="X8" s="10" t="s">
        <v>21</v>
      </c>
      <c r="Y8" s="7">
        <v>0.0</v>
      </c>
      <c r="Z8" s="97">
        <f>1896+4473.81</f>
        <v>6369.81</v>
      </c>
      <c r="AA8" s="59">
        <f t="shared" si="2"/>
        <v>0</v>
      </c>
      <c r="AB8" s="109">
        <f t="shared" si="3"/>
        <v>45256</v>
      </c>
    </row>
    <row r="9">
      <c r="A9" s="163"/>
      <c r="B9" s="32"/>
      <c r="C9" s="32"/>
      <c r="D9" s="32"/>
      <c r="E9" s="138"/>
      <c r="M9" s="79"/>
      <c r="V9" s="79"/>
      <c r="W9" s="79"/>
      <c r="Z9" s="129"/>
      <c r="AB9" s="106"/>
    </row>
    <row r="10">
      <c r="A10" s="164" t="s">
        <v>193</v>
      </c>
      <c r="B10" s="32"/>
      <c r="C10" s="32"/>
      <c r="D10" s="32"/>
      <c r="E10" s="138"/>
      <c r="M10" s="79"/>
      <c r="V10" s="79"/>
      <c r="W10" s="79"/>
      <c r="Z10" s="129"/>
      <c r="AB10" s="106"/>
    </row>
    <row r="11">
      <c r="A11" s="165" t="s">
        <v>194</v>
      </c>
      <c r="B11" s="166"/>
      <c r="C11" s="166"/>
      <c r="D11" s="166">
        <v>119.6</v>
      </c>
      <c r="E11" s="167"/>
      <c r="F11" s="168"/>
      <c r="G11" s="166"/>
      <c r="H11" s="166"/>
      <c r="I11" s="168"/>
      <c r="J11" s="168"/>
      <c r="K11" s="168"/>
      <c r="L11" s="168"/>
      <c r="M11" s="168"/>
      <c r="N11" s="168"/>
      <c r="O11" s="168"/>
      <c r="P11" s="1"/>
      <c r="Q11" s="1"/>
      <c r="R11" s="1"/>
      <c r="S11" s="1"/>
      <c r="T11" s="1"/>
      <c r="U11" s="1"/>
      <c r="V11" s="168"/>
      <c r="W11" s="168"/>
      <c r="X11" s="1"/>
      <c r="Y11" s="1"/>
      <c r="Z11" s="169"/>
      <c r="AA11" s="1"/>
      <c r="AB11" s="170"/>
    </row>
    <row r="12">
      <c r="A12" s="165" t="s">
        <v>195</v>
      </c>
      <c r="B12" s="93">
        <f>16.81+27.65+32.92+39.58+152+31.75</f>
        <v>300.71</v>
      </c>
      <c r="C12" s="166"/>
      <c r="D12" s="166"/>
      <c r="E12" s="166"/>
      <c r="F12" s="168"/>
      <c r="G12" s="166"/>
      <c r="H12" s="166"/>
      <c r="I12" s="166"/>
      <c r="J12" s="168"/>
      <c r="K12" s="168"/>
      <c r="L12" s="168"/>
      <c r="M12" s="168"/>
      <c r="N12" s="166">
        <f>156</f>
        <v>156</v>
      </c>
      <c r="O12" s="166"/>
      <c r="P12" s="1"/>
      <c r="Q12" s="1"/>
      <c r="R12" s="168"/>
      <c r="S12" s="168"/>
      <c r="T12" s="1"/>
      <c r="U12" s="96"/>
      <c r="V12" s="168"/>
      <c r="W12" s="168"/>
      <c r="X12" s="1"/>
      <c r="Y12" s="1"/>
      <c r="Z12" s="171"/>
      <c r="AA12" s="1"/>
      <c r="AB12" s="170"/>
    </row>
    <row r="13" hidden="1">
      <c r="A13" s="172" t="s">
        <v>196</v>
      </c>
      <c r="B13" s="93"/>
      <c r="C13" s="173"/>
      <c r="D13" s="173"/>
      <c r="E13" s="168"/>
      <c r="F13" s="166"/>
      <c r="G13" s="168"/>
      <c r="H13" s="168"/>
      <c r="I13" s="168"/>
      <c r="J13" s="168"/>
      <c r="K13" s="168"/>
      <c r="L13" s="168"/>
      <c r="M13" s="168"/>
      <c r="N13" s="168"/>
      <c r="O13" s="168"/>
      <c r="P13" s="1"/>
      <c r="Q13" s="1"/>
      <c r="R13" s="168"/>
      <c r="S13" s="168"/>
      <c r="T13" s="1"/>
      <c r="U13" s="1"/>
      <c r="V13" s="168"/>
      <c r="W13" s="168"/>
      <c r="X13" s="1"/>
      <c r="Y13" s="1"/>
      <c r="Z13" s="174"/>
      <c r="AA13" s="1"/>
      <c r="AB13" s="170"/>
    </row>
    <row r="14">
      <c r="A14" s="172" t="s">
        <v>207</v>
      </c>
      <c r="B14" s="93"/>
      <c r="C14" s="168"/>
      <c r="D14" s="168"/>
      <c r="E14" s="168"/>
      <c r="F14" s="166"/>
      <c r="G14" s="168"/>
      <c r="H14" s="168"/>
      <c r="I14" s="168"/>
      <c r="J14" s="168"/>
      <c r="K14" s="168"/>
      <c r="L14" s="168"/>
      <c r="M14" s="168"/>
      <c r="N14" s="168"/>
      <c r="O14" s="168"/>
      <c r="P14" s="1"/>
      <c r="Q14" s="1"/>
      <c r="R14" s="168"/>
      <c r="S14" s="168"/>
      <c r="T14" s="1"/>
      <c r="U14" s="1"/>
      <c r="V14" s="168"/>
      <c r="W14" s="168"/>
      <c r="X14" s="1"/>
      <c r="Y14" s="1"/>
      <c r="Z14" s="174"/>
      <c r="AA14" s="1"/>
      <c r="AB14" s="170"/>
    </row>
    <row r="15">
      <c r="A15" s="165" t="s">
        <v>198</v>
      </c>
      <c r="B15" s="93"/>
      <c r="C15" s="168"/>
      <c r="D15" s="168"/>
      <c r="E15" s="168"/>
      <c r="F15" s="166"/>
      <c r="G15" s="168"/>
      <c r="H15" s="168"/>
      <c r="I15" s="168"/>
      <c r="J15" s="168"/>
      <c r="K15" s="168"/>
      <c r="L15" s="168"/>
      <c r="M15" s="168"/>
      <c r="N15" s="166"/>
      <c r="O15" s="168"/>
      <c r="P15" s="1"/>
      <c r="Q15" s="1"/>
      <c r="R15" s="168"/>
      <c r="S15" s="168"/>
      <c r="T15" s="1"/>
      <c r="U15" s="96"/>
      <c r="V15" s="168"/>
      <c r="W15" s="168"/>
      <c r="X15" s="1"/>
      <c r="Y15" s="1"/>
      <c r="Z15" s="174"/>
      <c r="AA15" s="1"/>
      <c r="AB15" s="170"/>
    </row>
    <row r="16">
      <c r="A16" s="91"/>
      <c r="B16" s="92"/>
      <c r="C16" s="79"/>
      <c r="D16" s="79"/>
      <c r="E16" s="79"/>
      <c r="F16" s="78"/>
      <c r="G16" s="78"/>
      <c r="H16" s="78"/>
      <c r="M16" s="78"/>
      <c r="R16" s="79"/>
      <c r="S16" s="79"/>
      <c r="V16" s="79"/>
      <c r="W16" s="79"/>
      <c r="Z16" s="131"/>
      <c r="AB16" s="106"/>
    </row>
    <row r="17">
      <c r="A17" s="91"/>
      <c r="B17" s="92"/>
      <c r="C17" s="78"/>
      <c r="D17" s="78"/>
      <c r="E17" s="78"/>
      <c r="F17" s="78"/>
      <c r="J17" s="175"/>
      <c r="K17" s="175"/>
      <c r="L17" s="151"/>
      <c r="M17" s="78"/>
      <c r="R17" s="79"/>
      <c r="S17" s="79"/>
      <c r="V17" s="79"/>
      <c r="W17" s="79"/>
      <c r="Z17" s="131"/>
      <c r="AB17" s="106"/>
    </row>
    <row r="18">
      <c r="A18" s="4" t="s">
        <v>22</v>
      </c>
      <c r="B18" s="11">
        <v>13000.0</v>
      </c>
      <c r="C18" s="79"/>
      <c r="D18" s="79"/>
      <c r="E18" s="79"/>
      <c r="F18" s="78"/>
      <c r="G18" s="78"/>
      <c r="H18" s="78"/>
      <c r="M18" s="78"/>
      <c r="R18" s="79"/>
      <c r="S18" s="79"/>
      <c r="V18" s="79"/>
      <c r="W18" s="79"/>
      <c r="Z18" s="131"/>
      <c r="AB18" s="106"/>
    </row>
    <row r="19">
      <c r="A19" s="4" t="s">
        <v>23</v>
      </c>
      <c r="B19" s="12">
        <f>SUM(B2:X8)</f>
        <v>5614.49</v>
      </c>
      <c r="C19" s="79"/>
      <c r="D19" s="177"/>
      <c r="E19" s="79"/>
      <c r="G19" s="78"/>
      <c r="H19" s="78"/>
      <c r="J19" s="38"/>
      <c r="K19" s="38"/>
      <c r="M19" s="151"/>
      <c r="R19" s="79"/>
      <c r="S19" s="79"/>
      <c r="V19" s="79"/>
      <c r="W19" s="79"/>
      <c r="Z19" s="131"/>
      <c r="AB19" s="106"/>
    </row>
    <row r="20">
      <c r="A20" s="4" t="s">
        <v>24</v>
      </c>
      <c r="B20" s="12">
        <f> SUM(B18-B19)</f>
        <v>7385.51</v>
      </c>
      <c r="C20" s="79"/>
      <c r="D20" s="79"/>
      <c r="E20" s="79"/>
      <c r="F20" s="78"/>
      <c r="G20" s="144"/>
      <c r="H20" s="144"/>
      <c r="I20" s="38"/>
      <c r="J20" s="175"/>
      <c r="K20" s="175"/>
      <c r="M20" s="78"/>
      <c r="R20" s="79"/>
      <c r="S20" s="79"/>
      <c r="V20" s="79"/>
      <c r="W20" s="79"/>
      <c r="Z20" s="131"/>
      <c r="AB20" s="106"/>
    </row>
    <row r="21">
      <c r="C21" s="79"/>
      <c r="D21" s="79"/>
      <c r="E21" s="79"/>
      <c r="G21" s="78"/>
      <c r="H21" s="78"/>
      <c r="J21" s="38"/>
      <c r="K21" s="38"/>
      <c r="M21" s="78"/>
      <c r="R21" s="79"/>
      <c r="S21" s="79"/>
      <c r="V21" s="79"/>
      <c r="W21" s="79"/>
      <c r="Z21" s="131"/>
      <c r="AB21" s="106"/>
    </row>
    <row r="22">
      <c r="A22" s="13" t="s">
        <v>25</v>
      </c>
      <c r="B22" s="14">
        <f>SUM(Z2:Z8)</f>
        <v>18870.71</v>
      </c>
      <c r="C22" s="79"/>
      <c r="D22" s="79"/>
      <c r="E22" s="79"/>
      <c r="F22" s="78"/>
      <c r="G22" s="78"/>
      <c r="H22" s="78"/>
      <c r="M22" s="78"/>
      <c r="R22" s="79"/>
      <c r="S22" s="79"/>
      <c r="V22" s="79"/>
      <c r="W22" s="79"/>
      <c r="Z22" s="181"/>
      <c r="AB22" s="106"/>
    </row>
    <row r="23">
      <c r="A23" s="13" t="s">
        <v>26</v>
      </c>
      <c r="B23" s="15">
        <f>B19/B22</f>
        <v>0.2975240465</v>
      </c>
      <c r="C23" s="79"/>
      <c r="D23" s="79"/>
      <c r="E23" s="79"/>
      <c r="M23" s="151"/>
      <c r="R23" s="79"/>
      <c r="S23" s="79"/>
      <c r="V23" s="79"/>
      <c r="W23" s="79"/>
      <c r="Z23" s="130"/>
      <c r="AB23" s="106"/>
    </row>
    <row r="24">
      <c r="C24" s="79"/>
      <c r="D24" s="79"/>
      <c r="E24" s="79"/>
      <c r="M24" s="151"/>
      <c r="R24" s="79"/>
      <c r="S24" s="79"/>
      <c r="V24" s="79"/>
      <c r="W24" s="79"/>
      <c r="Z24" s="182"/>
      <c r="AB24" s="106"/>
    </row>
    <row r="25">
      <c r="C25" s="79"/>
      <c r="D25" s="79"/>
      <c r="E25" s="79"/>
      <c r="M25" s="78"/>
      <c r="R25" s="79"/>
      <c r="S25" s="79"/>
      <c r="V25" s="79"/>
      <c r="W25" s="79"/>
      <c r="Z25" s="130"/>
      <c r="AB25" s="106"/>
    </row>
    <row r="26">
      <c r="A26" s="16" t="s">
        <v>27</v>
      </c>
      <c r="B26" s="17"/>
      <c r="C26" s="114"/>
      <c r="D26" s="114"/>
      <c r="E26" s="115"/>
      <c r="J26" s="84"/>
      <c r="K26" s="84"/>
      <c r="L26" s="84"/>
      <c r="M26" s="84"/>
      <c r="R26" s="79"/>
      <c r="S26" s="79"/>
      <c r="V26" s="79"/>
      <c r="W26" s="79"/>
      <c r="Z26" s="130"/>
      <c r="AB26" s="106"/>
    </row>
    <row r="27">
      <c r="A27" s="19" t="s">
        <v>28</v>
      </c>
      <c r="B27" s="20"/>
      <c r="C27" s="116"/>
      <c r="D27" s="116"/>
      <c r="E27" s="117"/>
      <c r="J27" s="85"/>
      <c r="K27" s="85"/>
      <c r="L27" s="85"/>
      <c r="M27" s="118"/>
      <c r="R27" s="79"/>
      <c r="S27" s="79"/>
      <c r="V27" s="79"/>
      <c r="W27" s="79"/>
      <c r="Z27" s="130"/>
      <c r="AB27" s="106"/>
    </row>
    <row r="28">
      <c r="A28" s="183" t="s">
        <v>29</v>
      </c>
      <c r="B28" s="184" t="s">
        <v>30</v>
      </c>
      <c r="C28" s="185"/>
      <c r="D28" s="185" t="s">
        <v>170</v>
      </c>
      <c r="E28" s="186" t="s">
        <v>171</v>
      </c>
      <c r="J28" s="86"/>
      <c r="K28" s="86"/>
      <c r="L28" s="85"/>
      <c r="M28" s="118"/>
      <c r="R28" s="79"/>
      <c r="S28" s="79"/>
      <c r="V28" s="79"/>
      <c r="W28" s="79"/>
      <c r="Z28" s="130"/>
      <c r="AB28" s="106"/>
    </row>
    <row r="29">
      <c r="A29" s="96" t="s">
        <v>111</v>
      </c>
      <c r="B29" s="93">
        <v>387.0</v>
      </c>
      <c r="C29" s="168"/>
      <c r="D29" s="168"/>
      <c r="E29" s="166" t="s">
        <v>208</v>
      </c>
      <c r="L29" s="89"/>
      <c r="M29" s="125"/>
      <c r="R29" s="79"/>
      <c r="S29" s="79"/>
      <c r="V29" s="79"/>
      <c r="W29" s="79"/>
      <c r="Z29" s="130"/>
      <c r="AB29" s="106"/>
    </row>
    <row r="30">
      <c r="A30" s="96" t="s">
        <v>209</v>
      </c>
      <c r="B30" s="5">
        <v>590.17</v>
      </c>
      <c r="C30" s="168"/>
      <c r="D30" s="168"/>
      <c r="E30" s="166" t="s">
        <v>210</v>
      </c>
      <c r="M30" s="79"/>
      <c r="R30" s="79"/>
      <c r="S30" s="79"/>
      <c r="V30" s="79"/>
      <c r="W30" s="79"/>
      <c r="Z30" s="130"/>
      <c r="AB30" s="106"/>
    </row>
    <row r="31">
      <c r="A31" s="96" t="s">
        <v>211</v>
      </c>
      <c r="B31" s="5">
        <v>567.6</v>
      </c>
      <c r="C31" s="168"/>
      <c r="D31" s="168"/>
      <c r="E31" s="166" t="s">
        <v>210</v>
      </c>
      <c r="M31" s="79"/>
      <c r="R31" s="79"/>
      <c r="S31" s="79"/>
      <c r="V31" s="79"/>
      <c r="W31" s="79"/>
      <c r="Z31" s="130"/>
      <c r="AB31" s="106"/>
    </row>
    <row r="32">
      <c r="A32" s="96" t="s">
        <v>41</v>
      </c>
      <c r="B32" s="5">
        <v>1341.83</v>
      </c>
      <c r="C32" s="168"/>
      <c r="D32" s="168"/>
      <c r="E32" s="166" t="s">
        <v>212</v>
      </c>
      <c r="M32" s="79"/>
      <c r="R32" s="79"/>
      <c r="S32" s="79"/>
      <c r="V32" s="79"/>
      <c r="W32" s="79"/>
      <c r="Z32" s="130"/>
      <c r="AB32" s="106"/>
    </row>
    <row r="33">
      <c r="C33" s="79"/>
      <c r="D33" s="79"/>
      <c r="E33" s="79"/>
      <c r="M33" s="79"/>
      <c r="R33" s="79"/>
      <c r="S33" s="79"/>
      <c r="V33" s="79"/>
      <c r="W33" s="79"/>
      <c r="Z33" s="130"/>
      <c r="AB33" s="106"/>
    </row>
    <row r="34">
      <c r="B34" s="45">
        <f>B31/2</f>
        <v>283.8</v>
      </c>
      <c r="C34" s="79"/>
      <c r="D34" s="79"/>
      <c r="E34" s="79"/>
      <c r="M34" s="79"/>
      <c r="R34" s="79"/>
      <c r="S34" s="79"/>
      <c r="V34" s="79"/>
      <c r="W34" s="79"/>
      <c r="Z34" s="130"/>
      <c r="AB34" s="106"/>
    </row>
    <row r="35">
      <c r="C35" s="79"/>
      <c r="D35" s="79"/>
      <c r="E35" s="79"/>
      <c r="M35" s="79"/>
      <c r="R35" s="79"/>
      <c r="S35" s="79"/>
      <c r="V35" s="79"/>
      <c r="W35" s="79"/>
      <c r="Z35" s="130"/>
      <c r="AB35" s="106"/>
    </row>
    <row r="36">
      <c r="C36" s="79"/>
      <c r="D36" s="79"/>
      <c r="E36" s="79"/>
      <c r="M36" s="79"/>
      <c r="R36" s="79"/>
      <c r="S36" s="79"/>
      <c r="V36" s="79"/>
      <c r="W36" s="79"/>
      <c r="Z36" s="130"/>
      <c r="AB36" s="106"/>
    </row>
    <row r="37">
      <c r="C37" s="79"/>
      <c r="D37" s="79"/>
      <c r="E37" s="79"/>
      <c r="M37" s="79"/>
      <c r="R37" s="79"/>
      <c r="S37" s="79"/>
      <c r="V37" s="79"/>
      <c r="W37" s="79"/>
      <c r="Z37" s="130"/>
      <c r="AB37" s="106"/>
    </row>
    <row r="38">
      <c r="C38" s="79"/>
      <c r="D38" s="79"/>
      <c r="E38" s="79"/>
      <c r="M38" s="79"/>
      <c r="R38" s="79"/>
      <c r="S38" s="79"/>
      <c r="V38" s="79"/>
      <c r="W38" s="79"/>
      <c r="Z38" s="130"/>
      <c r="AB38" s="106"/>
    </row>
    <row r="39">
      <c r="C39" s="79"/>
      <c r="D39" s="79"/>
      <c r="E39" s="79"/>
      <c r="M39" s="79"/>
      <c r="R39" s="79"/>
      <c r="S39" s="79"/>
      <c r="V39" s="79"/>
      <c r="W39" s="79"/>
      <c r="Z39" s="130"/>
      <c r="AB39" s="106"/>
    </row>
    <row r="40">
      <c r="C40" s="79"/>
      <c r="D40" s="79"/>
      <c r="E40" s="79"/>
      <c r="M40" s="79"/>
      <c r="R40" s="79"/>
      <c r="S40" s="79"/>
      <c r="V40" s="79"/>
      <c r="W40" s="79"/>
      <c r="Z40" s="130"/>
      <c r="AB40" s="106"/>
    </row>
    <row r="41">
      <c r="C41" s="79"/>
      <c r="D41" s="79"/>
      <c r="E41" s="79"/>
      <c r="M41" s="79"/>
      <c r="R41" s="79"/>
      <c r="S41" s="79"/>
      <c r="V41" s="79"/>
      <c r="W41" s="79"/>
      <c r="Z41" s="130"/>
      <c r="AB41" s="106"/>
    </row>
    <row r="42">
      <c r="C42" s="79"/>
      <c r="D42" s="79"/>
      <c r="E42" s="79"/>
      <c r="M42" s="79"/>
      <c r="R42" s="79"/>
      <c r="S42" s="79"/>
      <c r="V42" s="79"/>
      <c r="W42" s="79"/>
      <c r="Z42" s="130"/>
      <c r="AB42" s="106"/>
    </row>
    <row r="43">
      <c r="C43" s="79"/>
      <c r="D43" s="79"/>
      <c r="E43" s="79"/>
      <c r="M43" s="79"/>
      <c r="R43" s="79"/>
      <c r="S43" s="79"/>
      <c r="V43" s="79"/>
      <c r="W43" s="79"/>
      <c r="Z43" s="130"/>
      <c r="AB43" s="106"/>
    </row>
    <row r="44">
      <c r="C44" s="79"/>
      <c r="D44" s="79"/>
      <c r="E44" s="79"/>
      <c r="M44" s="79"/>
      <c r="R44" s="79"/>
      <c r="S44" s="79"/>
      <c r="V44" s="79"/>
      <c r="W44" s="79"/>
      <c r="Z44" s="130"/>
      <c r="AB44" s="106"/>
    </row>
    <row r="45">
      <c r="C45" s="79"/>
      <c r="D45" s="79"/>
      <c r="E45" s="79"/>
      <c r="M45" s="79"/>
      <c r="R45" s="79"/>
      <c r="S45" s="79"/>
      <c r="V45" s="79"/>
      <c r="W45" s="79"/>
      <c r="Z45" s="130"/>
      <c r="AB45" s="106"/>
    </row>
    <row r="46">
      <c r="C46" s="79"/>
      <c r="D46" s="79"/>
      <c r="E46" s="79"/>
      <c r="M46" s="79"/>
      <c r="R46" s="79"/>
      <c r="S46" s="79"/>
      <c r="V46" s="79"/>
      <c r="W46" s="79"/>
      <c r="Z46" s="130"/>
      <c r="AB46" s="106"/>
    </row>
    <row r="47">
      <c r="C47" s="79"/>
      <c r="D47" s="79"/>
      <c r="E47" s="79"/>
      <c r="M47" s="79"/>
      <c r="R47" s="79"/>
      <c r="S47" s="79"/>
      <c r="V47" s="79"/>
      <c r="W47" s="79"/>
      <c r="Z47" s="130"/>
      <c r="AB47" s="106"/>
    </row>
    <row r="48">
      <c r="C48" s="79"/>
      <c r="D48" s="79"/>
      <c r="E48" s="79"/>
      <c r="M48" s="79"/>
      <c r="R48" s="79"/>
      <c r="S48" s="79"/>
      <c r="V48" s="79"/>
      <c r="W48" s="79"/>
      <c r="Z48" s="130"/>
      <c r="AB48" s="106"/>
    </row>
    <row r="49">
      <c r="C49" s="79"/>
      <c r="D49" s="79"/>
      <c r="E49" s="79"/>
      <c r="M49" s="79"/>
      <c r="R49" s="79"/>
      <c r="S49" s="79"/>
      <c r="V49" s="79"/>
      <c r="W49" s="79"/>
      <c r="Z49" s="130"/>
      <c r="AB49" s="106"/>
    </row>
    <row r="50">
      <c r="C50" s="79"/>
      <c r="D50" s="79"/>
      <c r="E50" s="79"/>
      <c r="M50" s="79"/>
      <c r="R50" s="79"/>
      <c r="S50" s="79"/>
      <c r="V50" s="79"/>
      <c r="W50" s="79"/>
      <c r="Z50" s="130"/>
      <c r="AB50" s="106"/>
    </row>
    <row r="51">
      <c r="C51" s="79"/>
      <c r="D51" s="79"/>
      <c r="E51" s="79"/>
      <c r="M51" s="79"/>
      <c r="R51" s="79"/>
      <c r="S51" s="79"/>
      <c r="V51" s="79"/>
      <c r="W51" s="79"/>
      <c r="Z51" s="130"/>
      <c r="AB51" s="106"/>
    </row>
    <row r="52">
      <c r="C52" s="79"/>
      <c r="D52" s="79"/>
      <c r="E52" s="79"/>
      <c r="M52" s="79"/>
      <c r="R52" s="79"/>
      <c r="S52" s="79"/>
      <c r="V52" s="79"/>
      <c r="W52" s="79"/>
      <c r="Z52" s="130"/>
      <c r="AB52" s="106"/>
    </row>
    <row r="53">
      <c r="C53" s="79"/>
      <c r="D53" s="79"/>
      <c r="E53" s="79"/>
      <c r="M53" s="79"/>
      <c r="R53" s="79"/>
      <c r="S53" s="79"/>
      <c r="V53" s="79"/>
      <c r="W53" s="79"/>
      <c r="Z53" s="130"/>
      <c r="AB53" s="106"/>
    </row>
    <row r="54">
      <c r="C54" s="79"/>
      <c r="D54" s="79"/>
      <c r="E54" s="79"/>
      <c r="M54" s="79"/>
      <c r="R54" s="79"/>
      <c r="S54" s="79"/>
      <c r="V54" s="79"/>
      <c r="W54" s="79"/>
      <c r="Z54" s="130"/>
      <c r="AB54" s="106"/>
    </row>
    <row r="55">
      <c r="C55" s="79"/>
      <c r="D55" s="79"/>
      <c r="E55" s="79"/>
      <c r="M55" s="79"/>
      <c r="R55" s="79"/>
      <c r="S55" s="79"/>
      <c r="V55" s="79"/>
      <c r="W55" s="79"/>
      <c r="Z55" s="130"/>
      <c r="AB55" s="106"/>
    </row>
    <row r="56">
      <c r="C56" s="79"/>
      <c r="D56" s="79"/>
      <c r="E56" s="79"/>
      <c r="M56" s="79"/>
      <c r="R56" s="79"/>
      <c r="S56" s="79"/>
      <c r="V56" s="79"/>
      <c r="W56" s="79"/>
      <c r="Z56" s="130"/>
      <c r="AB56" s="106"/>
    </row>
    <row r="57">
      <c r="C57" s="79"/>
      <c r="D57" s="79"/>
      <c r="E57" s="79"/>
      <c r="M57" s="79"/>
      <c r="R57" s="79"/>
      <c r="S57" s="79"/>
      <c r="V57" s="79"/>
      <c r="W57" s="79"/>
      <c r="Z57" s="130"/>
      <c r="AB57" s="106"/>
    </row>
    <row r="58">
      <c r="C58" s="79"/>
      <c r="D58" s="79"/>
      <c r="E58" s="79"/>
      <c r="M58" s="79"/>
      <c r="R58" s="79"/>
      <c r="S58" s="79"/>
      <c r="V58" s="79"/>
      <c r="W58" s="79"/>
      <c r="Z58" s="130"/>
      <c r="AB58" s="106"/>
    </row>
    <row r="59">
      <c r="C59" s="79"/>
      <c r="D59" s="79"/>
      <c r="E59" s="79"/>
      <c r="M59" s="79"/>
      <c r="R59" s="79"/>
      <c r="S59" s="79"/>
      <c r="V59" s="79"/>
      <c r="W59" s="79"/>
      <c r="Z59" s="130"/>
      <c r="AB59" s="106"/>
    </row>
    <row r="60">
      <c r="C60" s="79"/>
      <c r="D60" s="79"/>
      <c r="E60" s="79"/>
      <c r="M60" s="79"/>
      <c r="R60" s="79"/>
      <c r="S60" s="79"/>
      <c r="V60" s="79"/>
      <c r="W60" s="79"/>
      <c r="Z60" s="130"/>
      <c r="AB60" s="106"/>
    </row>
    <row r="61">
      <c r="C61" s="79"/>
      <c r="D61" s="79"/>
      <c r="E61" s="79"/>
      <c r="M61" s="79"/>
      <c r="R61" s="79"/>
      <c r="S61" s="79"/>
      <c r="V61" s="79"/>
      <c r="W61" s="79"/>
      <c r="Z61" s="130"/>
      <c r="AB61" s="106"/>
    </row>
    <row r="62">
      <c r="C62" s="79"/>
      <c r="D62" s="79"/>
      <c r="E62" s="79"/>
      <c r="M62" s="79"/>
      <c r="R62" s="79"/>
      <c r="S62" s="79"/>
      <c r="V62" s="79"/>
      <c r="W62" s="79"/>
      <c r="Z62" s="130"/>
      <c r="AB62" s="106"/>
    </row>
    <row r="63">
      <c r="C63" s="79"/>
      <c r="D63" s="79"/>
      <c r="E63" s="79"/>
      <c r="M63" s="79"/>
      <c r="R63" s="79"/>
      <c r="S63" s="79"/>
      <c r="V63" s="79"/>
      <c r="W63" s="79"/>
      <c r="Z63" s="130"/>
      <c r="AB63" s="106"/>
    </row>
    <row r="64">
      <c r="C64" s="79"/>
      <c r="D64" s="79"/>
      <c r="E64" s="79"/>
      <c r="M64" s="79"/>
      <c r="R64" s="79"/>
      <c r="S64" s="79"/>
      <c r="V64" s="79"/>
      <c r="W64" s="79"/>
      <c r="Z64" s="130"/>
      <c r="AB64" s="106"/>
    </row>
    <row r="65">
      <c r="C65" s="79"/>
      <c r="D65" s="79"/>
      <c r="E65" s="79"/>
      <c r="M65" s="79"/>
      <c r="R65" s="79"/>
      <c r="S65" s="79"/>
      <c r="V65" s="79"/>
      <c r="W65" s="79"/>
      <c r="Z65" s="130"/>
      <c r="AB65" s="106"/>
    </row>
    <row r="66">
      <c r="C66" s="79"/>
      <c r="D66" s="79"/>
      <c r="E66" s="79"/>
      <c r="M66" s="79"/>
      <c r="R66" s="79"/>
      <c r="S66" s="79"/>
      <c r="V66" s="79"/>
      <c r="W66" s="79"/>
      <c r="Z66" s="130"/>
      <c r="AB66" s="106"/>
    </row>
    <row r="67">
      <c r="C67" s="79"/>
      <c r="D67" s="79"/>
      <c r="E67" s="79"/>
      <c r="M67" s="79"/>
      <c r="R67" s="79"/>
      <c r="S67" s="79"/>
      <c r="V67" s="79"/>
      <c r="W67" s="79"/>
      <c r="Z67" s="130"/>
      <c r="AB67" s="106"/>
    </row>
    <row r="68">
      <c r="C68" s="79"/>
      <c r="D68" s="79"/>
      <c r="E68" s="79"/>
      <c r="M68" s="79"/>
      <c r="R68" s="79"/>
      <c r="S68" s="79"/>
      <c r="V68" s="79"/>
      <c r="W68" s="79"/>
      <c r="Z68" s="130"/>
      <c r="AB68" s="106"/>
    </row>
    <row r="69">
      <c r="C69" s="79"/>
      <c r="D69" s="79"/>
      <c r="E69" s="79"/>
      <c r="M69" s="79"/>
      <c r="R69" s="79"/>
      <c r="S69" s="79"/>
      <c r="V69" s="79"/>
      <c r="W69" s="79"/>
      <c r="Z69" s="130"/>
      <c r="AB69" s="106"/>
    </row>
    <row r="70">
      <c r="C70" s="79"/>
      <c r="D70" s="79"/>
      <c r="E70" s="79"/>
      <c r="M70" s="79"/>
      <c r="R70" s="79"/>
      <c r="S70" s="79"/>
      <c r="V70" s="79"/>
      <c r="W70" s="79"/>
      <c r="Z70" s="130"/>
      <c r="AB70" s="106"/>
    </row>
    <row r="71">
      <c r="C71" s="79"/>
      <c r="D71" s="79"/>
      <c r="E71" s="79"/>
      <c r="M71" s="79"/>
      <c r="R71" s="79"/>
      <c r="S71" s="79"/>
      <c r="V71" s="79"/>
      <c r="W71" s="79"/>
      <c r="Z71" s="130"/>
      <c r="AB71" s="106"/>
    </row>
    <row r="72">
      <c r="C72" s="79"/>
      <c r="D72" s="79"/>
      <c r="E72" s="79"/>
      <c r="M72" s="79"/>
      <c r="R72" s="79"/>
      <c r="S72" s="79"/>
      <c r="V72" s="79"/>
      <c r="W72" s="79"/>
      <c r="Z72" s="130"/>
      <c r="AB72" s="106"/>
    </row>
    <row r="73">
      <c r="C73" s="79"/>
      <c r="D73" s="79"/>
      <c r="E73" s="79"/>
      <c r="M73" s="79"/>
      <c r="R73" s="79"/>
      <c r="S73" s="79"/>
      <c r="V73" s="79"/>
      <c r="W73" s="79"/>
      <c r="Z73" s="130"/>
      <c r="AB73" s="106"/>
    </row>
    <row r="74">
      <c r="C74" s="79"/>
      <c r="D74" s="79"/>
      <c r="E74" s="79"/>
      <c r="M74" s="79"/>
      <c r="R74" s="79"/>
      <c r="S74" s="79"/>
      <c r="V74" s="79"/>
      <c r="W74" s="79"/>
      <c r="Z74" s="130"/>
      <c r="AB74" s="106"/>
    </row>
    <row r="75">
      <c r="C75" s="79"/>
      <c r="D75" s="79"/>
      <c r="E75" s="79"/>
      <c r="M75" s="79"/>
      <c r="R75" s="79"/>
      <c r="S75" s="79"/>
      <c r="V75" s="79"/>
      <c r="W75" s="79"/>
      <c r="Z75" s="130"/>
      <c r="AB75" s="106"/>
    </row>
    <row r="76">
      <c r="C76" s="79"/>
      <c r="D76" s="79"/>
      <c r="E76" s="79"/>
      <c r="M76" s="79"/>
      <c r="R76" s="79"/>
      <c r="S76" s="79"/>
      <c r="V76" s="79"/>
      <c r="W76" s="79"/>
      <c r="Z76" s="130"/>
      <c r="AB76" s="106"/>
    </row>
    <row r="77">
      <c r="C77" s="79"/>
      <c r="D77" s="79"/>
      <c r="E77" s="79"/>
      <c r="M77" s="79"/>
      <c r="R77" s="79"/>
      <c r="S77" s="79"/>
      <c r="V77" s="79"/>
      <c r="W77" s="79"/>
      <c r="Z77" s="130"/>
      <c r="AB77" s="106"/>
    </row>
    <row r="78">
      <c r="C78" s="79"/>
      <c r="D78" s="79"/>
      <c r="E78" s="79"/>
      <c r="M78" s="79"/>
      <c r="R78" s="79"/>
      <c r="S78" s="79"/>
      <c r="V78" s="79"/>
      <c r="W78" s="79"/>
      <c r="Z78" s="130"/>
      <c r="AB78" s="106"/>
    </row>
    <row r="79">
      <c r="C79" s="79"/>
      <c r="D79" s="79"/>
      <c r="E79" s="79"/>
      <c r="M79" s="79"/>
      <c r="R79" s="79"/>
      <c r="S79" s="79"/>
      <c r="V79" s="79"/>
      <c r="W79" s="79"/>
      <c r="Z79" s="130"/>
      <c r="AB79" s="106"/>
    </row>
    <row r="80">
      <c r="C80" s="79"/>
      <c r="D80" s="79"/>
      <c r="E80" s="79"/>
      <c r="M80" s="79"/>
      <c r="R80" s="79"/>
      <c r="S80" s="79"/>
      <c r="V80" s="79"/>
      <c r="W80" s="79"/>
      <c r="Z80" s="130"/>
      <c r="AB80" s="106"/>
    </row>
    <row r="81">
      <c r="C81" s="79"/>
      <c r="D81" s="79"/>
      <c r="E81" s="79"/>
      <c r="M81" s="79"/>
      <c r="R81" s="79"/>
      <c r="S81" s="79"/>
      <c r="V81" s="79"/>
      <c r="W81" s="79"/>
      <c r="Z81" s="130"/>
      <c r="AB81" s="106"/>
    </row>
    <row r="82">
      <c r="C82" s="79"/>
      <c r="D82" s="79"/>
      <c r="E82" s="79"/>
      <c r="M82" s="79"/>
      <c r="R82" s="79"/>
      <c r="S82" s="79"/>
      <c r="V82" s="79"/>
      <c r="W82" s="79"/>
      <c r="Z82" s="130"/>
      <c r="AB82" s="106"/>
    </row>
    <row r="83">
      <c r="C83" s="79"/>
      <c r="D83" s="79"/>
      <c r="E83" s="79"/>
      <c r="M83" s="79"/>
      <c r="R83" s="79"/>
      <c r="S83" s="79"/>
      <c r="V83" s="79"/>
      <c r="W83" s="79"/>
      <c r="Z83" s="130"/>
      <c r="AB83" s="106"/>
    </row>
    <row r="84">
      <c r="C84" s="79"/>
      <c r="D84" s="79"/>
      <c r="E84" s="79"/>
      <c r="M84" s="79"/>
      <c r="R84" s="79"/>
      <c r="S84" s="79"/>
      <c r="V84" s="79"/>
      <c r="W84" s="79"/>
      <c r="Z84" s="130"/>
      <c r="AB84" s="106"/>
    </row>
    <row r="85">
      <c r="C85" s="79"/>
      <c r="D85" s="79"/>
      <c r="E85" s="79"/>
      <c r="M85" s="79"/>
      <c r="R85" s="79"/>
      <c r="S85" s="79"/>
      <c r="V85" s="79"/>
      <c r="W85" s="79"/>
      <c r="Z85" s="130"/>
      <c r="AB85" s="106"/>
    </row>
    <row r="86">
      <c r="C86" s="79"/>
      <c r="D86" s="79"/>
      <c r="E86" s="79"/>
      <c r="M86" s="79"/>
      <c r="R86" s="79"/>
      <c r="S86" s="79"/>
      <c r="V86" s="79"/>
      <c r="W86" s="79"/>
      <c r="Z86" s="130"/>
      <c r="AB86" s="106"/>
    </row>
    <row r="87">
      <c r="C87" s="79"/>
      <c r="D87" s="79"/>
      <c r="E87" s="79"/>
      <c r="M87" s="79"/>
      <c r="R87" s="79"/>
      <c r="S87" s="79"/>
      <c r="V87" s="79"/>
      <c r="W87" s="79"/>
      <c r="Z87" s="130"/>
      <c r="AB87" s="106"/>
    </row>
    <row r="88">
      <c r="C88" s="79"/>
      <c r="D88" s="79"/>
      <c r="E88" s="79"/>
      <c r="M88" s="79"/>
      <c r="R88" s="79"/>
      <c r="S88" s="79"/>
      <c r="V88" s="79"/>
      <c r="W88" s="79"/>
      <c r="Z88" s="130"/>
      <c r="AB88" s="106"/>
    </row>
    <row r="89">
      <c r="C89" s="79"/>
      <c r="D89" s="79"/>
      <c r="E89" s="79"/>
      <c r="M89" s="79"/>
      <c r="R89" s="79"/>
      <c r="S89" s="79"/>
      <c r="V89" s="79"/>
      <c r="W89" s="79"/>
      <c r="Z89" s="130"/>
      <c r="AB89" s="106"/>
    </row>
    <row r="90">
      <c r="C90" s="79"/>
      <c r="D90" s="79"/>
      <c r="E90" s="79"/>
      <c r="M90" s="79"/>
      <c r="R90" s="79"/>
      <c r="S90" s="79"/>
      <c r="V90" s="79"/>
      <c r="W90" s="79"/>
      <c r="Z90" s="130"/>
      <c r="AB90" s="106"/>
    </row>
    <row r="91">
      <c r="C91" s="79"/>
      <c r="D91" s="79"/>
      <c r="E91" s="79"/>
      <c r="M91" s="79"/>
      <c r="R91" s="79"/>
      <c r="S91" s="79"/>
      <c r="V91" s="79"/>
      <c r="W91" s="79"/>
      <c r="Z91" s="130"/>
      <c r="AB91" s="106"/>
    </row>
    <row r="92">
      <c r="C92" s="79"/>
      <c r="D92" s="79"/>
      <c r="E92" s="79"/>
      <c r="M92" s="79"/>
      <c r="R92" s="79"/>
      <c r="S92" s="79"/>
      <c r="V92" s="79"/>
      <c r="W92" s="79"/>
      <c r="Z92" s="130"/>
      <c r="AB92" s="106"/>
    </row>
    <row r="93">
      <c r="C93" s="79"/>
      <c r="D93" s="79"/>
      <c r="E93" s="79"/>
      <c r="M93" s="79"/>
      <c r="R93" s="79"/>
      <c r="S93" s="79"/>
      <c r="V93" s="79"/>
      <c r="W93" s="79"/>
      <c r="Z93" s="130"/>
      <c r="AB93" s="106"/>
    </row>
    <row r="94">
      <c r="C94" s="79"/>
      <c r="D94" s="79"/>
      <c r="E94" s="79"/>
      <c r="M94" s="79"/>
      <c r="R94" s="79"/>
      <c r="S94" s="79"/>
      <c r="V94" s="79"/>
      <c r="W94" s="79"/>
      <c r="Z94" s="130"/>
      <c r="AB94" s="106"/>
    </row>
    <row r="95">
      <c r="C95" s="79"/>
      <c r="D95" s="79"/>
      <c r="E95" s="79"/>
      <c r="M95" s="79"/>
      <c r="R95" s="79"/>
      <c r="S95" s="79"/>
      <c r="V95" s="79"/>
      <c r="W95" s="79"/>
      <c r="Z95" s="130"/>
      <c r="AB95" s="106"/>
    </row>
    <row r="96">
      <c r="C96" s="79"/>
      <c r="D96" s="79"/>
      <c r="E96" s="79"/>
      <c r="M96" s="79"/>
      <c r="R96" s="79"/>
      <c r="S96" s="79"/>
      <c r="V96" s="79"/>
      <c r="W96" s="79"/>
      <c r="Z96" s="130"/>
      <c r="AB96" s="106"/>
    </row>
    <row r="97">
      <c r="C97" s="79"/>
      <c r="D97" s="79"/>
      <c r="E97" s="79"/>
      <c r="M97" s="79"/>
      <c r="R97" s="79"/>
      <c r="S97" s="79"/>
      <c r="V97" s="79"/>
      <c r="W97" s="79"/>
      <c r="Z97" s="130"/>
      <c r="AB97" s="106"/>
    </row>
    <row r="98">
      <c r="C98" s="79"/>
      <c r="D98" s="79"/>
      <c r="E98" s="79"/>
      <c r="M98" s="79"/>
      <c r="R98" s="79"/>
      <c r="S98" s="79"/>
      <c r="V98" s="79"/>
      <c r="W98" s="79"/>
      <c r="Z98" s="130"/>
      <c r="AB98" s="106"/>
    </row>
    <row r="99">
      <c r="C99" s="79"/>
      <c r="D99" s="79"/>
      <c r="E99" s="79"/>
      <c r="M99" s="79"/>
      <c r="R99" s="79"/>
      <c r="S99" s="79"/>
      <c r="V99" s="79"/>
      <c r="W99" s="79"/>
      <c r="Z99" s="130"/>
      <c r="AB99" s="106"/>
    </row>
    <row r="100">
      <c r="C100" s="79"/>
      <c r="D100" s="79"/>
      <c r="E100" s="79"/>
      <c r="M100" s="79"/>
      <c r="R100" s="79"/>
      <c r="S100" s="79"/>
      <c r="V100" s="79"/>
      <c r="W100" s="79"/>
      <c r="Z100" s="130"/>
      <c r="AB100" s="106"/>
    </row>
    <row r="101">
      <c r="C101" s="79"/>
      <c r="D101" s="79"/>
      <c r="E101" s="79"/>
      <c r="M101" s="79"/>
      <c r="R101" s="79"/>
      <c r="S101" s="79"/>
      <c r="V101" s="79"/>
      <c r="W101" s="79"/>
      <c r="Z101" s="130"/>
      <c r="AB101" s="106"/>
    </row>
    <row r="102">
      <c r="C102" s="79"/>
      <c r="D102" s="79"/>
      <c r="E102" s="79"/>
      <c r="M102" s="79"/>
      <c r="R102" s="79"/>
      <c r="S102" s="79"/>
      <c r="V102" s="79"/>
      <c r="W102" s="79"/>
      <c r="Z102" s="130"/>
      <c r="AB102" s="106"/>
    </row>
    <row r="103">
      <c r="C103" s="79"/>
      <c r="D103" s="79"/>
      <c r="E103" s="79"/>
      <c r="M103" s="79"/>
      <c r="R103" s="79"/>
      <c r="S103" s="79"/>
      <c r="V103" s="79"/>
      <c r="W103" s="79"/>
      <c r="Z103" s="130"/>
      <c r="AB103" s="106"/>
    </row>
    <row r="104">
      <c r="C104" s="79"/>
      <c r="D104" s="79"/>
      <c r="E104" s="79"/>
      <c r="M104" s="79"/>
      <c r="R104" s="79"/>
      <c r="S104" s="79"/>
      <c r="V104" s="79"/>
      <c r="W104" s="79"/>
      <c r="Z104" s="130"/>
      <c r="AB104" s="106"/>
    </row>
    <row r="105">
      <c r="C105" s="79"/>
      <c r="D105" s="79"/>
      <c r="E105" s="79"/>
      <c r="M105" s="79"/>
      <c r="R105" s="79"/>
      <c r="S105" s="79"/>
      <c r="V105" s="79"/>
      <c r="W105" s="79"/>
      <c r="Z105" s="130"/>
      <c r="AB105" s="106"/>
    </row>
    <row r="106">
      <c r="C106" s="79"/>
      <c r="D106" s="79"/>
      <c r="E106" s="79"/>
      <c r="M106" s="79"/>
      <c r="R106" s="79"/>
      <c r="S106" s="79"/>
      <c r="V106" s="79"/>
      <c r="W106" s="79"/>
      <c r="Z106" s="130"/>
      <c r="AB106" s="106"/>
    </row>
    <row r="107">
      <c r="C107" s="79"/>
      <c r="D107" s="79"/>
      <c r="E107" s="79"/>
      <c r="M107" s="79"/>
      <c r="R107" s="79"/>
      <c r="S107" s="79"/>
      <c r="V107" s="79"/>
      <c r="W107" s="79"/>
      <c r="Z107" s="130"/>
      <c r="AB107" s="106"/>
    </row>
    <row r="108">
      <c r="C108" s="79"/>
      <c r="D108" s="79"/>
      <c r="E108" s="79"/>
      <c r="M108" s="79"/>
      <c r="R108" s="79"/>
      <c r="S108" s="79"/>
      <c r="V108" s="79"/>
      <c r="W108" s="79"/>
      <c r="Z108" s="130"/>
      <c r="AB108" s="106"/>
    </row>
    <row r="109">
      <c r="C109" s="79"/>
      <c r="D109" s="79"/>
      <c r="E109" s="79"/>
      <c r="M109" s="79"/>
      <c r="R109" s="79"/>
      <c r="S109" s="79"/>
      <c r="V109" s="79"/>
      <c r="W109" s="79"/>
      <c r="Z109" s="130"/>
      <c r="AB109" s="106"/>
    </row>
    <row r="110">
      <c r="C110" s="79"/>
      <c r="D110" s="79"/>
      <c r="E110" s="79"/>
      <c r="M110" s="79"/>
      <c r="R110" s="79"/>
      <c r="S110" s="79"/>
      <c r="V110" s="79"/>
      <c r="W110" s="79"/>
      <c r="Z110" s="130"/>
      <c r="AB110" s="106"/>
    </row>
    <row r="111">
      <c r="C111" s="79"/>
      <c r="D111" s="79"/>
      <c r="E111" s="79"/>
      <c r="M111" s="79"/>
      <c r="R111" s="79"/>
      <c r="S111" s="79"/>
      <c r="V111" s="79"/>
      <c r="W111" s="79"/>
      <c r="Z111" s="130"/>
      <c r="AB111" s="106"/>
    </row>
    <row r="112">
      <c r="C112" s="79"/>
      <c r="D112" s="79"/>
      <c r="E112" s="79"/>
      <c r="M112" s="79"/>
      <c r="R112" s="79"/>
      <c r="S112" s="79"/>
      <c r="V112" s="79"/>
      <c r="W112" s="79"/>
      <c r="Z112" s="130"/>
      <c r="AB112" s="106"/>
    </row>
    <row r="113">
      <c r="C113" s="79"/>
      <c r="D113" s="79"/>
      <c r="E113" s="79"/>
      <c r="M113" s="79"/>
      <c r="R113" s="79"/>
      <c r="S113" s="79"/>
      <c r="V113" s="79"/>
      <c r="W113" s="79"/>
      <c r="Z113" s="130"/>
      <c r="AB113" s="106"/>
    </row>
    <row r="114">
      <c r="C114" s="79"/>
      <c r="D114" s="79"/>
      <c r="E114" s="79"/>
      <c r="M114" s="79"/>
      <c r="R114" s="79"/>
      <c r="S114" s="79"/>
      <c r="V114" s="79"/>
      <c r="W114" s="79"/>
      <c r="Z114" s="130"/>
      <c r="AB114" s="106"/>
    </row>
    <row r="115">
      <c r="C115" s="79"/>
      <c r="D115" s="79"/>
      <c r="E115" s="79"/>
      <c r="M115" s="79"/>
      <c r="R115" s="79"/>
      <c r="S115" s="79"/>
      <c r="V115" s="79"/>
      <c r="W115" s="79"/>
      <c r="Z115" s="130"/>
      <c r="AB115" s="106"/>
    </row>
    <row r="116">
      <c r="C116" s="79"/>
      <c r="D116" s="79"/>
      <c r="E116" s="79"/>
      <c r="M116" s="79"/>
      <c r="R116" s="79"/>
      <c r="S116" s="79"/>
      <c r="V116" s="79"/>
      <c r="W116" s="79"/>
      <c r="Z116" s="130"/>
      <c r="AB116" s="106"/>
    </row>
    <row r="117">
      <c r="C117" s="79"/>
      <c r="D117" s="79"/>
      <c r="E117" s="79"/>
      <c r="M117" s="79"/>
      <c r="R117" s="79"/>
      <c r="S117" s="79"/>
      <c r="V117" s="79"/>
      <c r="W117" s="79"/>
      <c r="Z117" s="130"/>
      <c r="AB117" s="106"/>
    </row>
    <row r="118">
      <c r="C118" s="79"/>
      <c r="D118" s="79"/>
      <c r="E118" s="79"/>
      <c r="M118" s="79"/>
      <c r="R118" s="79"/>
      <c r="S118" s="79"/>
      <c r="V118" s="79"/>
      <c r="W118" s="79"/>
      <c r="Z118" s="130"/>
      <c r="AB118" s="106"/>
    </row>
    <row r="119">
      <c r="C119" s="79"/>
      <c r="D119" s="79"/>
      <c r="E119" s="79"/>
      <c r="M119" s="79"/>
      <c r="R119" s="79"/>
      <c r="S119" s="79"/>
      <c r="V119" s="79"/>
      <c r="W119" s="79"/>
      <c r="Z119" s="130"/>
      <c r="AB119" s="106"/>
    </row>
    <row r="120">
      <c r="C120" s="79"/>
      <c r="D120" s="79"/>
      <c r="E120" s="79"/>
      <c r="M120" s="79"/>
      <c r="R120" s="79"/>
      <c r="S120" s="79"/>
      <c r="V120" s="79"/>
      <c r="W120" s="79"/>
      <c r="Z120" s="130"/>
      <c r="AB120" s="106"/>
    </row>
    <row r="121">
      <c r="C121" s="79"/>
      <c r="D121" s="79"/>
      <c r="E121" s="79"/>
      <c r="M121" s="79"/>
      <c r="R121" s="79"/>
      <c r="S121" s="79"/>
      <c r="V121" s="79"/>
      <c r="W121" s="79"/>
      <c r="Z121" s="130"/>
      <c r="AB121" s="106"/>
    </row>
    <row r="122">
      <c r="C122" s="79"/>
      <c r="D122" s="79"/>
      <c r="E122" s="79"/>
      <c r="M122" s="79"/>
      <c r="R122" s="79"/>
      <c r="S122" s="79"/>
      <c r="V122" s="79"/>
      <c r="W122" s="79"/>
      <c r="Z122" s="130"/>
      <c r="AB122" s="106"/>
    </row>
    <row r="123">
      <c r="C123" s="79"/>
      <c r="D123" s="79"/>
      <c r="E123" s="79"/>
      <c r="M123" s="79"/>
      <c r="R123" s="79"/>
      <c r="S123" s="79"/>
      <c r="V123" s="79"/>
      <c r="W123" s="79"/>
      <c r="Z123" s="130"/>
      <c r="AB123" s="106"/>
    </row>
    <row r="124">
      <c r="C124" s="79"/>
      <c r="D124" s="79"/>
      <c r="E124" s="79"/>
      <c r="M124" s="79"/>
      <c r="R124" s="79"/>
      <c r="S124" s="79"/>
      <c r="V124" s="79"/>
      <c r="W124" s="79"/>
      <c r="Z124" s="130"/>
      <c r="AB124" s="106"/>
    </row>
    <row r="125">
      <c r="C125" s="79"/>
      <c r="D125" s="79"/>
      <c r="E125" s="79"/>
      <c r="M125" s="79"/>
      <c r="R125" s="79"/>
      <c r="S125" s="79"/>
      <c r="V125" s="79"/>
      <c r="W125" s="79"/>
      <c r="Z125" s="130"/>
      <c r="AB125" s="106"/>
    </row>
    <row r="126">
      <c r="C126" s="79"/>
      <c r="D126" s="79"/>
      <c r="E126" s="79"/>
      <c r="M126" s="79"/>
      <c r="R126" s="79"/>
      <c r="S126" s="79"/>
      <c r="V126" s="79"/>
      <c r="W126" s="79"/>
      <c r="Z126" s="130"/>
      <c r="AB126" s="106"/>
    </row>
    <row r="127">
      <c r="C127" s="79"/>
      <c r="D127" s="79"/>
      <c r="E127" s="79"/>
      <c r="M127" s="79"/>
      <c r="R127" s="79"/>
      <c r="S127" s="79"/>
      <c r="V127" s="79"/>
      <c r="W127" s="79"/>
      <c r="Z127" s="130"/>
      <c r="AB127" s="106"/>
    </row>
    <row r="128">
      <c r="C128" s="79"/>
      <c r="D128" s="79"/>
      <c r="E128" s="79"/>
      <c r="M128" s="79"/>
      <c r="R128" s="79"/>
      <c r="S128" s="79"/>
      <c r="V128" s="79"/>
      <c r="W128" s="79"/>
      <c r="Z128" s="130"/>
      <c r="AB128" s="106"/>
    </row>
    <row r="129">
      <c r="C129" s="79"/>
      <c r="D129" s="79"/>
      <c r="E129" s="79"/>
      <c r="M129" s="79"/>
      <c r="R129" s="79"/>
      <c r="S129" s="79"/>
      <c r="V129" s="79"/>
      <c r="W129" s="79"/>
      <c r="Z129" s="130"/>
      <c r="AB129" s="106"/>
    </row>
    <row r="130">
      <c r="C130" s="79"/>
      <c r="D130" s="79"/>
      <c r="E130" s="79"/>
      <c r="M130" s="79"/>
      <c r="R130" s="79"/>
      <c r="S130" s="79"/>
      <c r="V130" s="79"/>
      <c r="W130" s="79"/>
      <c r="Z130" s="130"/>
      <c r="AB130" s="106"/>
    </row>
    <row r="131">
      <c r="C131" s="79"/>
      <c r="D131" s="79"/>
      <c r="E131" s="79"/>
      <c r="M131" s="79"/>
      <c r="R131" s="79"/>
      <c r="S131" s="79"/>
      <c r="V131" s="79"/>
      <c r="W131" s="79"/>
      <c r="Z131" s="130"/>
      <c r="AB131" s="106"/>
    </row>
    <row r="132">
      <c r="C132" s="79"/>
      <c r="D132" s="79"/>
      <c r="E132" s="79"/>
      <c r="M132" s="79"/>
      <c r="R132" s="79"/>
      <c r="S132" s="79"/>
      <c r="V132" s="79"/>
      <c r="W132" s="79"/>
      <c r="Z132" s="130"/>
      <c r="AB132" s="106"/>
    </row>
    <row r="133">
      <c r="C133" s="79"/>
      <c r="D133" s="79"/>
      <c r="E133" s="79"/>
      <c r="M133" s="79"/>
      <c r="R133" s="79"/>
      <c r="S133" s="79"/>
      <c r="V133" s="79"/>
      <c r="W133" s="79"/>
      <c r="Z133" s="130"/>
      <c r="AB133" s="106"/>
    </row>
    <row r="134">
      <c r="C134" s="79"/>
      <c r="D134" s="79"/>
      <c r="E134" s="79"/>
      <c r="M134" s="79"/>
      <c r="R134" s="79"/>
      <c r="S134" s="79"/>
      <c r="V134" s="79"/>
      <c r="W134" s="79"/>
      <c r="Z134" s="130"/>
      <c r="AB134" s="106"/>
    </row>
    <row r="135">
      <c r="C135" s="79"/>
      <c r="D135" s="79"/>
      <c r="E135" s="79"/>
      <c r="M135" s="79"/>
      <c r="R135" s="79"/>
      <c r="S135" s="79"/>
      <c r="V135" s="79"/>
      <c r="W135" s="79"/>
      <c r="Z135" s="130"/>
      <c r="AB135" s="106"/>
    </row>
    <row r="136">
      <c r="C136" s="79"/>
      <c r="D136" s="79"/>
      <c r="E136" s="79"/>
      <c r="M136" s="79"/>
      <c r="R136" s="79"/>
      <c r="S136" s="79"/>
      <c r="V136" s="79"/>
      <c r="W136" s="79"/>
      <c r="Z136" s="130"/>
      <c r="AB136" s="106"/>
    </row>
    <row r="137">
      <c r="C137" s="79"/>
      <c r="D137" s="79"/>
      <c r="E137" s="79"/>
      <c r="M137" s="79"/>
      <c r="R137" s="79"/>
      <c r="S137" s="79"/>
      <c r="V137" s="79"/>
      <c r="W137" s="79"/>
      <c r="Z137" s="130"/>
      <c r="AB137" s="106"/>
    </row>
    <row r="138">
      <c r="C138" s="79"/>
      <c r="D138" s="79"/>
      <c r="E138" s="79"/>
      <c r="M138" s="79"/>
      <c r="R138" s="79"/>
      <c r="S138" s="79"/>
      <c r="V138" s="79"/>
      <c r="W138" s="79"/>
      <c r="Z138" s="130"/>
      <c r="AB138" s="106"/>
    </row>
    <row r="139">
      <c r="C139" s="79"/>
      <c r="D139" s="79"/>
      <c r="E139" s="79"/>
      <c r="M139" s="79"/>
      <c r="R139" s="79"/>
      <c r="S139" s="79"/>
      <c r="V139" s="79"/>
      <c r="W139" s="79"/>
      <c r="Z139" s="130"/>
      <c r="AB139" s="106"/>
    </row>
    <row r="140">
      <c r="C140" s="79"/>
      <c r="D140" s="79"/>
      <c r="E140" s="79"/>
      <c r="M140" s="79"/>
      <c r="R140" s="79"/>
      <c r="S140" s="79"/>
      <c r="V140" s="79"/>
      <c r="W140" s="79"/>
      <c r="Z140" s="130"/>
      <c r="AB140" s="106"/>
    </row>
    <row r="141">
      <c r="C141" s="79"/>
      <c r="D141" s="79"/>
      <c r="E141" s="79"/>
      <c r="M141" s="79"/>
      <c r="R141" s="79"/>
      <c r="S141" s="79"/>
      <c r="V141" s="79"/>
      <c r="W141" s="79"/>
      <c r="Z141" s="130"/>
      <c r="AB141" s="106"/>
    </row>
    <row r="142">
      <c r="C142" s="79"/>
      <c r="D142" s="79"/>
      <c r="E142" s="79"/>
      <c r="M142" s="79"/>
      <c r="R142" s="79"/>
      <c r="S142" s="79"/>
      <c r="V142" s="79"/>
      <c r="W142" s="79"/>
      <c r="Z142" s="130"/>
      <c r="AB142" s="106"/>
    </row>
    <row r="143">
      <c r="C143" s="79"/>
      <c r="D143" s="79"/>
      <c r="E143" s="79"/>
      <c r="M143" s="79"/>
      <c r="R143" s="79"/>
      <c r="S143" s="79"/>
      <c r="V143" s="79"/>
      <c r="W143" s="79"/>
      <c r="Z143" s="130"/>
      <c r="AB143" s="106"/>
    </row>
    <row r="144">
      <c r="C144" s="79"/>
      <c r="D144" s="79"/>
      <c r="E144" s="79"/>
      <c r="M144" s="79"/>
      <c r="R144" s="79"/>
      <c r="S144" s="79"/>
      <c r="V144" s="79"/>
      <c r="W144" s="79"/>
      <c r="Z144" s="130"/>
      <c r="AB144" s="106"/>
    </row>
    <row r="145">
      <c r="C145" s="79"/>
      <c r="D145" s="79"/>
      <c r="E145" s="79"/>
      <c r="M145" s="79"/>
      <c r="R145" s="79"/>
      <c r="S145" s="79"/>
      <c r="V145" s="79"/>
      <c r="W145" s="79"/>
      <c r="Z145" s="130"/>
      <c r="AB145" s="106"/>
    </row>
    <row r="146">
      <c r="C146" s="79"/>
      <c r="D146" s="79"/>
      <c r="E146" s="79"/>
      <c r="M146" s="79"/>
      <c r="R146" s="79"/>
      <c r="S146" s="79"/>
      <c r="V146" s="79"/>
      <c r="W146" s="79"/>
      <c r="Z146" s="130"/>
      <c r="AB146" s="106"/>
    </row>
    <row r="147">
      <c r="C147" s="79"/>
      <c r="D147" s="79"/>
      <c r="E147" s="79"/>
      <c r="M147" s="79"/>
      <c r="R147" s="79"/>
      <c r="S147" s="79"/>
      <c r="V147" s="79"/>
      <c r="W147" s="79"/>
      <c r="Z147" s="130"/>
      <c r="AB147" s="106"/>
    </row>
    <row r="148">
      <c r="C148" s="79"/>
      <c r="D148" s="79"/>
      <c r="E148" s="79"/>
      <c r="M148" s="79"/>
      <c r="R148" s="79"/>
      <c r="S148" s="79"/>
      <c r="V148" s="79"/>
      <c r="W148" s="79"/>
      <c r="Z148" s="130"/>
      <c r="AB148" s="106"/>
    </row>
    <row r="149">
      <c r="C149" s="79"/>
      <c r="D149" s="79"/>
      <c r="E149" s="79"/>
      <c r="M149" s="79"/>
      <c r="R149" s="79"/>
      <c r="S149" s="79"/>
      <c r="V149" s="79"/>
      <c r="W149" s="79"/>
      <c r="Z149" s="130"/>
      <c r="AB149" s="106"/>
    </row>
    <row r="150">
      <c r="C150" s="79"/>
      <c r="D150" s="79"/>
      <c r="E150" s="79"/>
      <c r="M150" s="79"/>
      <c r="R150" s="79"/>
      <c r="S150" s="79"/>
      <c r="V150" s="79"/>
      <c r="W150" s="79"/>
      <c r="Z150" s="130"/>
      <c r="AB150" s="106"/>
    </row>
    <row r="151">
      <c r="C151" s="79"/>
      <c r="D151" s="79"/>
      <c r="E151" s="79"/>
      <c r="M151" s="79"/>
      <c r="R151" s="79"/>
      <c r="S151" s="79"/>
      <c r="V151" s="79"/>
      <c r="W151" s="79"/>
      <c r="Z151" s="130"/>
      <c r="AB151" s="106"/>
    </row>
    <row r="152">
      <c r="C152" s="79"/>
      <c r="D152" s="79"/>
      <c r="E152" s="79"/>
      <c r="M152" s="79"/>
      <c r="R152" s="79"/>
      <c r="S152" s="79"/>
      <c r="V152" s="79"/>
      <c r="W152" s="79"/>
      <c r="Z152" s="130"/>
      <c r="AB152" s="106"/>
    </row>
    <row r="153">
      <c r="C153" s="79"/>
      <c r="D153" s="79"/>
      <c r="E153" s="79"/>
      <c r="M153" s="79"/>
      <c r="R153" s="79"/>
      <c r="S153" s="79"/>
      <c r="V153" s="79"/>
      <c r="W153" s="79"/>
      <c r="Z153" s="130"/>
      <c r="AB153" s="106"/>
    </row>
    <row r="154">
      <c r="C154" s="79"/>
      <c r="D154" s="79"/>
      <c r="E154" s="79"/>
      <c r="M154" s="79"/>
      <c r="R154" s="79"/>
      <c r="S154" s="79"/>
      <c r="V154" s="79"/>
      <c r="W154" s="79"/>
      <c r="Z154" s="130"/>
      <c r="AB154" s="106"/>
    </row>
    <row r="155">
      <c r="C155" s="79"/>
      <c r="D155" s="79"/>
      <c r="E155" s="79"/>
      <c r="M155" s="79"/>
      <c r="R155" s="79"/>
      <c r="S155" s="79"/>
      <c r="V155" s="79"/>
      <c r="W155" s="79"/>
      <c r="Z155" s="130"/>
      <c r="AB155" s="106"/>
    </row>
    <row r="156">
      <c r="C156" s="79"/>
      <c r="D156" s="79"/>
      <c r="E156" s="79"/>
      <c r="M156" s="79"/>
      <c r="R156" s="79"/>
      <c r="S156" s="79"/>
      <c r="V156" s="79"/>
      <c r="W156" s="79"/>
      <c r="Z156" s="130"/>
      <c r="AB156" s="106"/>
    </row>
    <row r="157">
      <c r="C157" s="79"/>
      <c r="D157" s="79"/>
      <c r="E157" s="79"/>
      <c r="M157" s="79"/>
      <c r="R157" s="79"/>
      <c r="S157" s="79"/>
      <c r="V157" s="79"/>
      <c r="W157" s="79"/>
      <c r="Z157" s="130"/>
      <c r="AB157" s="106"/>
    </row>
    <row r="158">
      <c r="C158" s="79"/>
      <c r="D158" s="79"/>
      <c r="E158" s="79"/>
      <c r="M158" s="79"/>
      <c r="R158" s="79"/>
      <c r="S158" s="79"/>
      <c r="V158" s="79"/>
      <c r="W158" s="79"/>
      <c r="Z158" s="130"/>
      <c r="AB158" s="106"/>
    </row>
    <row r="159">
      <c r="C159" s="79"/>
      <c r="D159" s="79"/>
      <c r="E159" s="79"/>
      <c r="M159" s="79"/>
      <c r="R159" s="79"/>
      <c r="S159" s="79"/>
      <c r="V159" s="79"/>
      <c r="W159" s="79"/>
      <c r="Z159" s="130"/>
      <c r="AB159" s="106"/>
    </row>
    <row r="160">
      <c r="C160" s="79"/>
      <c r="D160" s="79"/>
      <c r="E160" s="79"/>
      <c r="M160" s="79"/>
      <c r="R160" s="79"/>
      <c r="S160" s="79"/>
      <c r="V160" s="79"/>
      <c r="W160" s="79"/>
      <c r="Z160" s="130"/>
      <c r="AB160" s="106"/>
    </row>
    <row r="161">
      <c r="C161" s="79"/>
      <c r="D161" s="79"/>
      <c r="E161" s="79"/>
      <c r="M161" s="79"/>
      <c r="R161" s="79"/>
      <c r="S161" s="79"/>
      <c r="V161" s="79"/>
      <c r="W161" s="79"/>
      <c r="Z161" s="130"/>
      <c r="AB161" s="106"/>
    </row>
    <row r="162">
      <c r="C162" s="79"/>
      <c r="D162" s="79"/>
      <c r="E162" s="79"/>
      <c r="M162" s="79"/>
      <c r="R162" s="79"/>
      <c r="S162" s="79"/>
      <c r="V162" s="79"/>
      <c r="W162" s="79"/>
      <c r="Z162" s="130"/>
      <c r="AB162" s="106"/>
    </row>
    <row r="163">
      <c r="C163" s="79"/>
      <c r="D163" s="79"/>
      <c r="E163" s="79"/>
      <c r="M163" s="79"/>
      <c r="R163" s="79"/>
      <c r="S163" s="79"/>
      <c r="V163" s="79"/>
      <c r="W163" s="79"/>
      <c r="Z163" s="130"/>
      <c r="AB163" s="106"/>
    </row>
    <row r="164">
      <c r="C164" s="79"/>
      <c r="D164" s="79"/>
      <c r="E164" s="79"/>
      <c r="M164" s="79"/>
      <c r="R164" s="79"/>
      <c r="S164" s="79"/>
      <c r="V164" s="79"/>
      <c r="W164" s="79"/>
      <c r="Z164" s="130"/>
      <c r="AB164" s="106"/>
    </row>
    <row r="165">
      <c r="C165" s="79"/>
      <c r="D165" s="79"/>
      <c r="E165" s="79"/>
      <c r="M165" s="79"/>
      <c r="R165" s="79"/>
      <c r="S165" s="79"/>
      <c r="V165" s="79"/>
      <c r="W165" s="79"/>
      <c r="Z165" s="130"/>
      <c r="AB165" s="106"/>
    </row>
    <row r="166">
      <c r="C166" s="79"/>
      <c r="D166" s="79"/>
      <c r="E166" s="79"/>
      <c r="M166" s="79"/>
      <c r="R166" s="79"/>
      <c r="S166" s="79"/>
      <c r="V166" s="79"/>
      <c r="W166" s="79"/>
      <c r="Z166" s="130"/>
      <c r="AB166" s="106"/>
    </row>
    <row r="167">
      <c r="C167" s="79"/>
      <c r="D167" s="79"/>
      <c r="E167" s="79"/>
      <c r="M167" s="79"/>
      <c r="R167" s="79"/>
      <c r="S167" s="79"/>
      <c r="V167" s="79"/>
      <c r="W167" s="79"/>
      <c r="Z167" s="130"/>
      <c r="AB167" s="106"/>
    </row>
    <row r="168">
      <c r="C168" s="79"/>
      <c r="D168" s="79"/>
      <c r="E168" s="79"/>
      <c r="M168" s="79"/>
      <c r="R168" s="79"/>
      <c r="S168" s="79"/>
      <c r="V168" s="79"/>
      <c r="W168" s="79"/>
      <c r="Z168" s="130"/>
      <c r="AB168" s="106"/>
    </row>
    <row r="169">
      <c r="C169" s="79"/>
      <c r="D169" s="79"/>
      <c r="E169" s="79"/>
      <c r="M169" s="79"/>
      <c r="R169" s="79"/>
      <c r="S169" s="79"/>
      <c r="V169" s="79"/>
      <c r="W169" s="79"/>
      <c r="Z169" s="130"/>
      <c r="AB169" s="106"/>
    </row>
    <row r="170">
      <c r="C170" s="79"/>
      <c r="D170" s="79"/>
      <c r="E170" s="79"/>
      <c r="M170" s="79"/>
      <c r="R170" s="79"/>
      <c r="S170" s="79"/>
      <c r="V170" s="79"/>
      <c r="W170" s="79"/>
      <c r="Z170" s="130"/>
      <c r="AB170" s="106"/>
    </row>
    <row r="171">
      <c r="C171" s="79"/>
      <c r="D171" s="79"/>
      <c r="E171" s="79"/>
      <c r="M171" s="79"/>
      <c r="R171" s="79"/>
      <c r="S171" s="79"/>
      <c r="V171" s="79"/>
      <c r="W171" s="79"/>
      <c r="Z171" s="130"/>
      <c r="AB171" s="106"/>
    </row>
    <row r="172">
      <c r="C172" s="79"/>
      <c r="D172" s="79"/>
      <c r="E172" s="79"/>
      <c r="M172" s="79"/>
      <c r="R172" s="79"/>
      <c r="S172" s="79"/>
      <c r="V172" s="79"/>
      <c r="W172" s="79"/>
      <c r="Z172" s="130"/>
      <c r="AB172" s="106"/>
    </row>
    <row r="173">
      <c r="C173" s="79"/>
      <c r="D173" s="79"/>
      <c r="E173" s="79"/>
      <c r="M173" s="79"/>
      <c r="R173" s="79"/>
      <c r="S173" s="79"/>
      <c r="V173" s="79"/>
      <c r="W173" s="79"/>
      <c r="Z173" s="130"/>
      <c r="AB173" s="106"/>
    </row>
    <row r="174">
      <c r="C174" s="79"/>
      <c r="D174" s="79"/>
      <c r="E174" s="79"/>
      <c r="M174" s="79"/>
      <c r="R174" s="79"/>
      <c r="S174" s="79"/>
      <c r="V174" s="79"/>
      <c r="W174" s="79"/>
      <c r="Z174" s="130"/>
      <c r="AB174" s="106"/>
    </row>
    <row r="175">
      <c r="C175" s="79"/>
      <c r="D175" s="79"/>
      <c r="E175" s="79"/>
      <c r="M175" s="79"/>
      <c r="R175" s="79"/>
      <c r="S175" s="79"/>
      <c r="V175" s="79"/>
      <c r="W175" s="79"/>
      <c r="Z175" s="130"/>
      <c r="AB175" s="106"/>
    </row>
    <row r="176">
      <c r="C176" s="79"/>
      <c r="D176" s="79"/>
      <c r="E176" s="79"/>
      <c r="M176" s="79"/>
      <c r="R176" s="79"/>
      <c r="S176" s="79"/>
      <c r="V176" s="79"/>
      <c r="W176" s="79"/>
      <c r="Z176" s="130"/>
      <c r="AB176" s="106"/>
    </row>
    <row r="177">
      <c r="C177" s="79"/>
      <c r="D177" s="79"/>
      <c r="E177" s="79"/>
      <c r="M177" s="79"/>
      <c r="R177" s="79"/>
      <c r="S177" s="79"/>
      <c r="V177" s="79"/>
      <c r="W177" s="79"/>
      <c r="Z177" s="130"/>
      <c r="AB177" s="106"/>
    </row>
    <row r="178">
      <c r="C178" s="79"/>
      <c r="D178" s="79"/>
      <c r="E178" s="79"/>
      <c r="M178" s="79"/>
      <c r="R178" s="79"/>
      <c r="S178" s="79"/>
      <c r="V178" s="79"/>
      <c r="W178" s="79"/>
      <c r="Z178" s="130"/>
      <c r="AB178" s="106"/>
    </row>
    <row r="179">
      <c r="C179" s="79"/>
      <c r="D179" s="79"/>
      <c r="E179" s="79"/>
      <c r="M179" s="79"/>
      <c r="R179" s="79"/>
      <c r="S179" s="79"/>
      <c r="V179" s="79"/>
      <c r="W179" s="79"/>
      <c r="Z179" s="130"/>
      <c r="AB179" s="106"/>
    </row>
    <row r="180">
      <c r="C180" s="79"/>
      <c r="D180" s="79"/>
      <c r="E180" s="79"/>
      <c r="M180" s="79"/>
      <c r="R180" s="79"/>
      <c r="S180" s="79"/>
      <c r="V180" s="79"/>
      <c r="W180" s="79"/>
      <c r="Z180" s="130"/>
      <c r="AB180" s="106"/>
    </row>
    <row r="181">
      <c r="C181" s="79"/>
      <c r="D181" s="79"/>
      <c r="E181" s="79"/>
      <c r="M181" s="79"/>
      <c r="R181" s="79"/>
      <c r="S181" s="79"/>
      <c r="V181" s="79"/>
      <c r="W181" s="79"/>
      <c r="Z181" s="130"/>
      <c r="AB181" s="106"/>
    </row>
    <row r="182">
      <c r="C182" s="79"/>
      <c r="D182" s="79"/>
      <c r="E182" s="79"/>
      <c r="M182" s="79"/>
      <c r="R182" s="79"/>
      <c r="S182" s="79"/>
      <c r="V182" s="79"/>
      <c r="W182" s="79"/>
      <c r="Z182" s="130"/>
      <c r="AB182" s="106"/>
    </row>
    <row r="183">
      <c r="C183" s="79"/>
      <c r="D183" s="79"/>
      <c r="E183" s="79"/>
      <c r="M183" s="79"/>
      <c r="R183" s="79"/>
      <c r="S183" s="79"/>
      <c r="V183" s="79"/>
      <c r="W183" s="79"/>
      <c r="Z183" s="130"/>
      <c r="AB183" s="106"/>
    </row>
    <row r="184">
      <c r="C184" s="79"/>
      <c r="D184" s="79"/>
      <c r="E184" s="79"/>
      <c r="M184" s="79"/>
      <c r="R184" s="79"/>
      <c r="S184" s="79"/>
      <c r="V184" s="79"/>
      <c r="W184" s="79"/>
      <c r="Z184" s="130"/>
      <c r="AB184" s="106"/>
    </row>
    <row r="185">
      <c r="C185" s="79"/>
      <c r="D185" s="79"/>
      <c r="E185" s="79"/>
      <c r="M185" s="79"/>
      <c r="R185" s="79"/>
      <c r="S185" s="79"/>
      <c r="V185" s="79"/>
      <c r="W185" s="79"/>
      <c r="Z185" s="130"/>
      <c r="AB185" s="106"/>
    </row>
    <row r="186">
      <c r="C186" s="79"/>
      <c r="D186" s="79"/>
      <c r="E186" s="79"/>
      <c r="M186" s="79"/>
      <c r="R186" s="79"/>
      <c r="S186" s="79"/>
      <c r="V186" s="79"/>
      <c r="W186" s="79"/>
      <c r="Z186" s="130"/>
      <c r="AB186" s="106"/>
    </row>
    <row r="187">
      <c r="C187" s="79"/>
      <c r="D187" s="79"/>
      <c r="E187" s="79"/>
      <c r="M187" s="79"/>
      <c r="R187" s="79"/>
      <c r="S187" s="79"/>
      <c r="V187" s="79"/>
      <c r="W187" s="79"/>
      <c r="Z187" s="130"/>
      <c r="AB187" s="106"/>
    </row>
    <row r="188">
      <c r="C188" s="79"/>
      <c r="D188" s="79"/>
      <c r="E188" s="79"/>
      <c r="M188" s="79"/>
      <c r="R188" s="79"/>
      <c r="S188" s="79"/>
      <c r="V188" s="79"/>
      <c r="W188" s="79"/>
      <c r="Z188" s="130"/>
      <c r="AB188" s="106"/>
    </row>
    <row r="189">
      <c r="C189" s="79"/>
      <c r="D189" s="79"/>
      <c r="E189" s="79"/>
      <c r="M189" s="79"/>
      <c r="R189" s="79"/>
      <c r="S189" s="79"/>
      <c r="V189" s="79"/>
      <c r="W189" s="79"/>
      <c r="Z189" s="130"/>
      <c r="AB189" s="106"/>
    </row>
    <row r="190">
      <c r="C190" s="79"/>
      <c r="D190" s="79"/>
      <c r="E190" s="79"/>
      <c r="M190" s="79"/>
      <c r="R190" s="79"/>
      <c r="S190" s="79"/>
      <c r="V190" s="79"/>
      <c r="W190" s="79"/>
      <c r="Z190" s="130"/>
      <c r="AB190" s="106"/>
    </row>
    <row r="191">
      <c r="C191" s="79"/>
      <c r="D191" s="79"/>
      <c r="E191" s="79"/>
      <c r="M191" s="79"/>
      <c r="R191" s="79"/>
      <c r="S191" s="79"/>
      <c r="V191" s="79"/>
      <c r="W191" s="79"/>
      <c r="Z191" s="130"/>
      <c r="AB191" s="106"/>
    </row>
    <row r="192">
      <c r="C192" s="79"/>
      <c r="D192" s="79"/>
      <c r="E192" s="79"/>
      <c r="M192" s="79"/>
      <c r="R192" s="79"/>
      <c r="S192" s="79"/>
      <c r="V192" s="79"/>
      <c r="W192" s="79"/>
      <c r="Z192" s="130"/>
      <c r="AB192" s="106"/>
    </row>
    <row r="193">
      <c r="C193" s="79"/>
      <c r="D193" s="79"/>
      <c r="E193" s="79"/>
      <c r="M193" s="79"/>
      <c r="R193" s="79"/>
      <c r="S193" s="79"/>
      <c r="V193" s="79"/>
      <c r="W193" s="79"/>
      <c r="Z193" s="130"/>
      <c r="AB193" s="106"/>
    </row>
    <row r="194">
      <c r="C194" s="79"/>
      <c r="D194" s="79"/>
      <c r="E194" s="79"/>
      <c r="M194" s="79"/>
      <c r="R194" s="79"/>
      <c r="S194" s="79"/>
      <c r="V194" s="79"/>
      <c r="W194" s="79"/>
      <c r="Z194" s="130"/>
      <c r="AB194" s="106"/>
    </row>
    <row r="195">
      <c r="C195" s="79"/>
      <c r="D195" s="79"/>
      <c r="E195" s="79"/>
      <c r="M195" s="79"/>
      <c r="R195" s="79"/>
      <c r="S195" s="79"/>
      <c r="V195" s="79"/>
      <c r="W195" s="79"/>
      <c r="Z195" s="130"/>
      <c r="AB195" s="106"/>
    </row>
    <row r="196">
      <c r="C196" s="79"/>
      <c r="D196" s="79"/>
      <c r="E196" s="79"/>
      <c r="M196" s="79"/>
      <c r="R196" s="79"/>
      <c r="S196" s="79"/>
      <c r="V196" s="79"/>
      <c r="W196" s="79"/>
      <c r="Z196" s="130"/>
      <c r="AB196" s="106"/>
    </row>
    <row r="197">
      <c r="C197" s="79"/>
      <c r="D197" s="79"/>
      <c r="E197" s="79"/>
      <c r="M197" s="79"/>
      <c r="R197" s="79"/>
      <c r="S197" s="79"/>
      <c r="V197" s="79"/>
      <c r="W197" s="79"/>
      <c r="Z197" s="130"/>
      <c r="AB197" s="106"/>
    </row>
    <row r="198">
      <c r="C198" s="79"/>
      <c r="D198" s="79"/>
      <c r="E198" s="79"/>
      <c r="M198" s="79"/>
      <c r="R198" s="79"/>
      <c r="S198" s="79"/>
      <c r="V198" s="79"/>
      <c r="W198" s="79"/>
      <c r="Z198" s="130"/>
      <c r="AB198" s="106"/>
    </row>
    <row r="199">
      <c r="C199" s="79"/>
      <c r="D199" s="79"/>
      <c r="E199" s="79"/>
      <c r="M199" s="79"/>
      <c r="R199" s="79"/>
      <c r="S199" s="79"/>
      <c r="V199" s="79"/>
      <c r="W199" s="79"/>
      <c r="Z199" s="130"/>
      <c r="AB199" s="106"/>
    </row>
    <row r="200">
      <c r="C200" s="79"/>
      <c r="D200" s="79"/>
      <c r="E200" s="79"/>
      <c r="M200" s="79"/>
      <c r="R200" s="79"/>
      <c r="S200" s="79"/>
      <c r="V200" s="79"/>
      <c r="W200" s="79"/>
      <c r="Z200" s="130"/>
      <c r="AB200" s="106"/>
    </row>
    <row r="201">
      <c r="C201" s="79"/>
      <c r="D201" s="79"/>
      <c r="E201" s="79"/>
      <c r="M201" s="79"/>
      <c r="R201" s="79"/>
      <c r="S201" s="79"/>
      <c r="V201" s="79"/>
      <c r="W201" s="79"/>
      <c r="Z201" s="130"/>
      <c r="AB201" s="106"/>
    </row>
    <row r="202">
      <c r="C202" s="79"/>
      <c r="D202" s="79"/>
      <c r="E202" s="79"/>
      <c r="M202" s="79"/>
      <c r="R202" s="79"/>
      <c r="S202" s="79"/>
      <c r="V202" s="79"/>
      <c r="W202" s="79"/>
      <c r="Z202" s="130"/>
      <c r="AB202" s="106"/>
    </row>
    <row r="203">
      <c r="C203" s="79"/>
      <c r="D203" s="79"/>
      <c r="E203" s="79"/>
      <c r="M203" s="79"/>
      <c r="R203" s="79"/>
      <c r="S203" s="79"/>
      <c r="V203" s="79"/>
      <c r="W203" s="79"/>
      <c r="Z203" s="130"/>
      <c r="AB203" s="106"/>
    </row>
    <row r="204">
      <c r="C204" s="79"/>
      <c r="D204" s="79"/>
      <c r="E204" s="79"/>
      <c r="M204" s="79"/>
      <c r="R204" s="79"/>
      <c r="S204" s="79"/>
      <c r="V204" s="79"/>
      <c r="W204" s="79"/>
      <c r="Z204" s="130"/>
      <c r="AB204" s="106"/>
    </row>
    <row r="205">
      <c r="C205" s="79"/>
      <c r="D205" s="79"/>
      <c r="E205" s="79"/>
      <c r="M205" s="79"/>
      <c r="R205" s="79"/>
      <c r="S205" s="79"/>
      <c r="V205" s="79"/>
      <c r="W205" s="79"/>
      <c r="Z205" s="130"/>
      <c r="AB205" s="106"/>
    </row>
    <row r="206">
      <c r="C206" s="79"/>
      <c r="D206" s="79"/>
      <c r="E206" s="79"/>
      <c r="M206" s="79"/>
      <c r="R206" s="79"/>
      <c r="S206" s="79"/>
      <c r="V206" s="79"/>
      <c r="W206" s="79"/>
      <c r="Z206" s="130"/>
      <c r="AB206" s="106"/>
    </row>
    <row r="207">
      <c r="C207" s="79"/>
      <c r="D207" s="79"/>
      <c r="E207" s="79"/>
      <c r="M207" s="79"/>
      <c r="R207" s="79"/>
      <c r="S207" s="79"/>
      <c r="V207" s="79"/>
      <c r="W207" s="79"/>
      <c r="Z207" s="130"/>
      <c r="AB207" s="106"/>
    </row>
    <row r="208">
      <c r="C208" s="79"/>
      <c r="D208" s="79"/>
      <c r="E208" s="79"/>
      <c r="M208" s="79"/>
      <c r="R208" s="79"/>
      <c r="S208" s="79"/>
      <c r="V208" s="79"/>
      <c r="W208" s="79"/>
      <c r="Z208" s="130"/>
      <c r="AB208" s="106"/>
    </row>
    <row r="209">
      <c r="C209" s="79"/>
      <c r="D209" s="79"/>
      <c r="E209" s="79"/>
      <c r="M209" s="79"/>
      <c r="R209" s="79"/>
      <c r="S209" s="79"/>
      <c r="V209" s="79"/>
      <c r="W209" s="79"/>
      <c r="Z209" s="130"/>
      <c r="AB209" s="106"/>
    </row>
    <row r="210">
      <c r="C210" s="79"/>
      <c r="D210" s="79"/>
      <c r="E210" s="79"/>
      <c r="M210" s="79"/>
      <c r="R210" s="79"/>
      <c r="S210" s="79"/>
      <c r="V210" s="79"/>
      <c r="W210" s="79"/>
      <c r="Z210" s="130"/>
      <c r="AB210" s="106"/>
    </row>
    <row r="211">
      <c r="C211" s="79"/>
      <c r="D211" s="79"/>
      <c r="E211" s="79"/>
      <c r="M211" s="79"/>
      <c r="R211" s="79"/>
      <c r="S211" s="79"/>
      <c r="V211" s="79"/>
      <c r="W211" s="79"/>
      <c r="Z211" s="130"/>
      <c r="AB211" s="106"/>
    </row>
    <row r="212">
      <c r="C212" s="79"/>
      <c r="D212" s="79"/>
      <c r="E212" s="79"/>
      <c r="M212" s="79"/>
      <c r="R212" s="79"/>
      <c r="S212" s="79"/>
      <c r="V212" s="79"/>
      <c r="W212" s="79"/>
      <c r="Z212" s="130"/>
      <c r="AB212" s="106"/>
    </row>
    <row r="213">
      <c r="C213" s="79"/>
      <c r="D213" s="79"/>
      <c r="E213" s="79"/>
      <c r="M213" s="79"/>
      <c r="R213" s="79"/>
      <c r="S213" s="79"/>
      <c r="V213" s="79"/>
      <c r="W213" s="79"/>
      <c r="Z213" s="130"/>
      <c r="AB213" s="106"/>
    </row>
    <row r="214">
      <c r="C214" s="79"/>
      <c r="D214" s="79"/>
      <c r="E214" s="79"/>
      <c r="M214" s="79"/>
      <c r="R214" s="79"/>
      <c r="S214" s="79"/>
      <c r="V214" s="79"/>
      <c r="W214" s="79"/>
      <c r="Z214" s="130"/>
      <c r="AB214" s="106"/>
    </row>
    <row r="215">
      <c r="C215" s="79"/>
      <c r="D215" s="79"/>
      <c r="E215" s="79"/>
      <c r="M215" s="79"/>
      <c r="R215" s="79"/>
      <c r="S215" s="79"/>
      <c r="V215" s="79"/>
      <c r="W215" s="79"/>
      <c r="Z215" s="130"/>
      <c r="AB215" s="106"/>
    </row>
    <row r="216">
      <c r="C216" s="79"/>
      <c r="D216" s="79"/>
      <c r="E216" s="79"/>
      <c r="M216" s="79"/>
      <c r="R216" s="79"/>
      <c r="S216" s="79"/>
      <c r="V216" s="79"/>
      <c r="W216" s="79"/>
      <c r="Z216" s="130"/>
      <c r="AB216" s="106"/>
    </row>
    <row r="217">
      <c r="C217" s="79"/>
      <c r="D217" s="79"/>
      <c r="E217" s="79"/>
      <c r="M217" s="79"/>
      <c r="R217" s="79"/>
      <c r="S217" s="79"/>
      <c r="V217" s="79"/>
      <c r="W217" s="79"/>
      <c r="Z217" s="130"/>
      <c r="AB217" s="106"/>
    </row>
    <row r="218">
      <c r="C218" s="79"/>
      <c r="D218" s="79"/>
      <c r="E218" s="79"/>
      <c r="M218" s="79"/>
      <c r="R218" s="79"/>
      <c r="S218" s="79"/>
      <c r="V218" s="79"/>
      <c r="W218" s="79"/>
      <c r="Z218" s="130"/>
      <c r="AB218" s="106"/>
    </row>
    <row r="219">
      <c r="C219" s="79"/>
      <c r="D219" s="79"/>
      <c r="E219" s="79"/>
      <c r="M219" s="79"/>
      <c r="R219" s="79"/>
      <c r="S219" s="79"/>
      <c r="V219" s="79"/>
      <c r="W219" s="79"/>
      <c r="Z219" s="130"/>
      <c r="AB219" s="106"/>
    </row>
    <row r="220">
      <c r="C220" s="79"/>
      <c r="D220" s="79"/>
      <c r="E220" s="79"/>
      <c r="M220" s="79"/>
      <c r="R220" s="79"/>
      <c r="S220" s="79"/>
      <c r="V220" s="79"/>
      <c r="W220" s="79"/>
      <c r="Z220" s="130"/>
      <c r="AB220" s="106"/>
    </row>
    <row r="221">
      <c r="C221" s="79"/>
      <c r="D221" s="79"/>
      <c r="E221" s="79"/>
      <c r="M221" s="79"/>
      <c r="R221" s="79"/>
      <c r="S221" s="79"/>
      <c r="V221" s="79"/>
      <c r="W221" s="79"/>
      <c r="Z221" s="130"/>
      <c r="AB221" s="106"/>
    </row>
    <row r="222">
      <c r="C222" s="79"/>
      <c r="D222" s="79"/>
      <c r="E222" s="79"/>
      <c r="M222" s="79"/>
      <c r="R222" s="79"/>
      <c r="S222" s="79"/>
      <c r="V222" s="79"/>
      <c r="W222" s="79"/>
      <c r="Z222" s="130"/>
      <c r="AB222" s="106"/>
    </row>
    <row r="223">
      <c r="C223" s="79"/>
      <c r="D223" s="79"/>
      <c r="E223" s="79"/>
      <c r="M223" s="79"/>
      <c r="R223" s="79"/>
      <c r="S223" s="79"/>
      <c r="V223" s="79"/>
      <c r="W223" s="79"/>
      <c r="Z223" s="130"/>
      <c r="AB223" s="106"/>
    </row>
    <row r="224">
      <c r="C224" s="79"/>
      <c r="D224" s="79"/>
      <c r="E224" s="79"/>
      <c r="M224" s="79"/>
      <c r="R224" s="79"/>
      <c r="S224" s="79"/>
      <c r="V224" s="79"/>
      <c r="W224" s="79"/>
      <c r="Z224" s="130"/>
      <c r="AB224" s="106"/>
    </row>
    <row r="225">
      <c r="C225" s="79"/>
      <c r="D225" s="79"/>
      <c r="E225" s="79"/>
      <c r="M225" s="79"/>
      <c r="R225" s="79"/>
      <c r="S225" s="79"/>
      <c r="V225" s="79"/>
      <c r="W225" s="79"/>
      <c r="Z225" s="130"/>
      <c r="AB225" s="106"/>
    </row>
    <row r="226">
      <c r="C226" s="79"/>
      <c r="D226" s="79"/>
      <c r="E226" s="79"/>
      <c r="M226" s="79"/>
      <c r="R226" s="79"/>
      <c r="S226" s="79"/>
      <c r="V226" s="79"/>
      <c r="W226" s="79"/>
      <c r="Z226" s="130"/>
      <c r="AB226" s="106"/>
    </row>
    <row r="227">
      <c r="C227" s="79"/>
      <c r="D227" s="79"/>
      <c r="E227" s="79"/>
      <c r="M227" s="79"/>
      <c r="R227" s="79"/>
      <c r="S227" s="79"/>
      <c r="V227" s="79"/>
      <c r="W227" s="79"/>
      <c r="Z227" s="130"/>
      <c r="AB227" s="106"/>
    </row>
    <row r="228">
      <c r="C228" s="79"/>
      <c r="D228" s="79"/>
      <c r="E228" s="79"/>
      <c r="M228" s="79"/>
      <c r="R228" s="79"/>
      <c r="S228" s="79"/>
      <c r="V228" s="79"/>
      <c r="W228" s="79"/>
      <c r="Z228" s="130"/>
      <c r="AB228" s="106"/>
    </row>
    <row r="229">
      <c r="C229" s="79"/>
      <c r="D229" s="79"/>
      <c r="E229" s="79"/>
      <c r="M229" s="79"/>
      <c r="R229" s="79"/>
      <c r="S229" s="79"/>
      <c r="V229" s="79"/>
      <c r="W229" s="79"/>
      <c r="Z229" s="130"/>
      <c r="AB229" s="106"/>
    </row>
    <row r="230">
      <c r="C230" s="79"/>
      <c r="D230" s="79"/>
      <c r="E230" s="79"/>
      <c r="M230" s="79"/>
      <c r="R230" s="79"/>
      <c r="S230" s="79"/>
      <c r="V230" s="79"/>
      <c r="W230" s="79"/>
      <c r="Z230" s="130"/>
      <c r="AB230" s="106"/>
    </row>
    <row r="231">
      <c r="C231" s="79"/>
      <c r="D231" s="79"/>
      <c r="E231" s="79"/>
      <c r="M231" s="79"/>
      <c r="R231" s="79"/>
      <c r="S231" s="79"/>
      <c r="V231" s="79"/>
      <c r="W231" s="79"/>
      <c r="Z231" s="130"/>
      <c r="AB231" s="106"/>
    </row>
    <row r="232">
      <c r="C232" s="79"/>
      <c r="D232" s="79"/>
      <c r="E232" s="79"/>
      <c r="M232" s="79"/>
      <c r="R232" s="79"/>
      <c r="S232" s="79"/>
      <c r="V232" s="79"/>
      <c r="W232" s="79"/>
      <c r="Z232" s="130"/>
      <c r="AB232" s="106"/>
    </row>
    <row r="233">
      <c r="C233" s="79"/>
      <c r="D233" s="79"/>
      <c r="E233" s="79"/>
      <c r="M233" s="79"/>
      <c r="R233" s="79"/>
      <c r="S233" s="79"/>
      <c r="V233" s="79"/>
      <c r="W233" s="79"/>
      <c r="Z233" s="130"/>
      <c r="AB233" s="106"/>
    </row>
    <row r="234">
      <c r="C234" s="79"/>
      <c r="D234" s="79"/>
      <c r="E234" s="79"/>
      <c r="M234" s="79"/>
      <c r="R234" s="79"/>
      <c r="S234" s="79"/>
      <c r="V234" s="79"/>
      <c r="W234" s="79"/>
      <c r="Z234" s="130"/>
      <c r="AB234" s="106"/>
    </row>
    <row r="235">
      <c r="C235" s="79"/>
      <c r="D235" s="79"/>
      <c r="E235" s="79"/>
      <c r="M235" s="79"/>
      <c r="R235" s="79"/>
      <c r="S235" s="79"/>
      <c r="V235" s="79"/>
      <c r="W235" s="79"/>
      <c r="Z235" s="130"/>
      <c r="AB235" s="106"/>
    </row>
    <row r="236">
      <c r="C236" s="79"/>
      <c r="D236" s="79"/>
      <c r="E236" s="79"/>
      <c r="M236" s="79"/>
      <c r="R236" s="79"/>
      <c r="S236" s="79"/>
      <c r="V236" s="79"/>
      <c r="W236" s="79"/>
      <c r="Z236" s="130"/>
      <c r="AB236" s="106"/>
    </row>
    <row r="237">
      <c r="C237" s="79"/>
      <c r="D237" s="79"/>
      <c r="E237" s="79"/>
      <c r="M237" s="79"/>
      <c r="R237" s="79"/>
      <c r="S237" s="79"/>
      <c r="V237" s="79"/>
      <c r="W237" s="79"/>
      <c r="Z237" s="130"/>
      <c r="AB237" s="106"/>
    </row>
    <row r="238">
      <c r="C238" s="79"/>
      <c r="D238" s="79"/>
      <c r="E238" s="79"/>
      <c r="M238" s="79"/>
      <c r="R238" s="79"/>
      <c r="S238" s="79"/>
      <c r="V238" s="79"/>
      <c r="W238" s="79"/>
      <c r="Z238" s="130"/>
      <c r="AB238" s="106"/>
    </row>
    <row r="239">
      <c r="C239" s="79"/>
      <c r="D239" s="79"/>
      <c r="E239" s="79"/>
      <c r="M239" s="79"/>
      <c r="R239" s="79"/>
      <c r="S239" s="79"/>
      <c r="V239" s="79"/>
      <c r="W239" s="79"/>
      <c r="Z239" s="130"/>
      <c r="AB239" s="106"/>
    </row>
    <row r="240">
      <c r="C240" s="79"/>
      <c r="D240" s="79"/>
      <c r="E240" s="79"/>
      <c r="M240" s="79"/>
      <c r="R240" s="79"/>
      <c r="S240" s="79"/>
      <c r="V240" s="79"/>
      <c r="W240" s="79"/>
      <c r="Z240" s="130"/>
      <c r="AB240" s="106"/>
    </row>
    <row r="241">
      <c r="C241" s="79"/>
      <c r="D241" s="79"/>
      <c r="E241" s="79"/>
      <c r="M241" s="79"/>
      <c r="R241" s="79"/>
      <c r="S241" s="79"/>
      <c r="V241" s="79"/>
      <c r="W241" s="79"/>
      <c r="Z241" s="130"/>
      <c r="AB241" s="106"/>
    </row>
    <row r="242">
      <c r="C242" s="79"/>
      <c r="D242" s="79"/>
      <c r="E242" s="79"/>
      <c r="M242" s="79"/>
      <c r="R242" s="79"/>
      <c r="S242" s="79"/>
      <c r="V242" s="79"/>
      <c r="W242" s="79"/>
      <c r="Z242" s="130"/>
      <c r="AB242" s="106"/>
    </row>
    <row r="243">
      <c r="C243" s="79"/>
      <c r="D243" s="79"/>
      <c r="E243" s="79"/>
      <c r="M243" s="79"/>
      <c r="R243" s="79"/>
      <c r="S243" s="79"/>
      <c r="V243" s="79"/>
      <c r="W243" s="79"/>
      <c r="Z243" s="130"/>
      <c r="AB243" s="106"/>
    </row>
    <row r="244">
      <c r="C244" s="79"/>
      <c r="D244" s="79"/>
      <c r="E244" s="79"/>
      <c r="M244" s="79"/>
      <c r="R244" s="79"/>
      <c r="S244" s="79"/>
      <c r="V244" s="79"/>
      <c r="W244" s="79"/>
      <c r="Z244" s="130"/>
      <c r="AB244" s="106"/>
    </row>
    <row r="245">
      <c r="C245" s="79"/>
      <c r="D245" s="79"/>
      <c r="E245" s="79"/>
      <c r="M245" s="79"/>
      <c r="R245" s="79"/>
      <c r="S245" s="79"/>
      <c r="V245" s="79"/>
      <c r="W245" s="79"/>
      <c r="Z245" s="130"/>
      <c r="AB245" s="106"/>
    </row>
    <row r="246">
      <c r="C246" s="79"/>
      <c r="D246" s="79"/>
      <c r="E246" s="79"/>
      <c r="M246" s="79"/>
      <c r="R246" s="79"/>
      <c r="S246" s="79"/>
      <c r="V246" s="79"/>
      <c r="W246" s="79"/>
      <c r="Z246" s="130"/>
      <c r="AB246" s="106"/>
    </row>
    <row r="247">
      <c r="C247" s="79"/>
      <c r="D247" s="79"/>
      <c r="E247" s="79"/>
      <c r="M247" s="79"/>
      <c r="R247" s="79"/>
      <c r="S247" s="79"/>
      <c r="V247" s="79"/>
      <c r="W247" s="79"/>
      <c r="Z247" s="130"/>
      <c r="AB247" s="106"/>
    </row>
    <row r="248">
      <c r="C248" s="79"/>
      <c r="D248" s="79"/>
      <c r="E248" s="79"/>
      <c r="M248" s="79"/>
      <c r="R248" s="79"/>
      <c r="S248" s="79"/>
      <c r="V248" s="79"/>
      <c r="W248" s="79"/>
      <c r="Z248" s="130"/>
      <c r="AB248" s="106"/>
    </row>
    <row r="249">
      <c r="C249" s="79"/>
      <c r="D249" s="79"/>
      <c r="E249" s="79"/>
      <c r="M249" s="79"/>
      <c r="R249" s="79"/>
      <c r="S249" s="79"/>
      <c r="V249" s="79"/>
      <c r="W249" s="79"/>
      <c r="Z249" s="130"/>
      <c r="AB249" s="106"/>
    </row>
    <row r="250">
      <c r="C250" s="79"/>
      <c r="D250" s="79"/>
      <c r="E250" s="79"/>
      <c r="M250" s="79"/>
      <c r="R250" s="79"/>
      <c r="S250" s="79"/>
      <c r="V250" s="79"/>
      <c r="W250" s="79"/>
      <c r="Z250" s="130"/>
      <c r="AB250" s="106"/>
    </row>
    <row r="251">
      <c r="C251" s="79"/>
      <c r="D251" s="79"/>
      <c r="E251" s="79"/>
      <c r="M251" s="79"/>
      <c r="R251" s="79"/>
      <c r="S251" s="79"/>
      <c r="V251" s="79"/>
      <c r="W251" s="79"/>
      <c r="Z251" s="130"/>
      <c r="AB251" s="106"/>
    </row>
    <row r="252">
      <c r="C252" s="79"/>
      <c r="D252" s="79"/>
      <c r="E252" s="79"/>
      <c r="M252" s="79"/>
      <c r="R252" s="79"/>
      <c r="S252" s="79"/>
      <c r="V252" s="79"/>
      <c r="W252" s="79"/>
      <c r="Z252" s="130"/>
      <c r="AB252" s="106"/>
    </row>
    <row r="253">
      <c r="C253" s="79"/>
      <c r="D253" s="79"/>
      <c r="E253" s="79"/>
      <c r="M253" s="79"/>
      <c r="R253" s="79"/>
      <c r="S253" s="79"/>
      <c r="V253" s="79"/>
      <c r="W253" s="79"/>
      <c r="Z253" s="130"/>
      <c r="AB253" s="106"/>
    </row>
    <row r="254">
      <c r="C254" s="79"/>
      <c r="D254" s="79"/>
      <c r="E254" s="79"/>
      <c r="M254" s="79"/>
      <c r="R254" s="79"/>
      <c r="S254" s="79"/>
      <c r="V254" s="79"/>
      <c r="W254" s="79"/>
      <c r="Z254" s="130"/>
      <c r="AB254" s="106"/>
    </row>
    <row r="255">
      <c r="C255" s="79"/>
      <c r="D255" s="79"/>
      <c r="E255" s="79"/>
      <c r="M255" s="79"/>
      <c r="R255" s="79"/>
      <c r="S255" s="79"/>
      <c r="V255" s="79"/>
      <c r="W255" s="79"/>
      <c r="Z255" s="130"/>
      <c r="AB255" s="106"/>
    </row>
    <row r="256">
      <c r="C256" s="79"/>
      <c r="D256" s="79"/>
      <c r="E256" s="79"/>
      <c r="M256" s="79"/>
      <c r="R256" s="79"/>
      <c r="S256" s="79"/>
      <c r="V256" s="79"/>
      <c r="W256" s="79"/>
      <c r="Z256" s="130"/>
      <c r="AB256" s="106"/>
    </row>
    <row r="257">
      <c r="C257" s="79"/>
      <c r="D257" s="79"/>
      <c r="E257" s="79"/>
      <c r="M257" s="79"/>
      <c r="R257" s="79"/>
      <c r="S257" s="79"/>
      <c r="V257" s="79"/>
      <c r="W257" s="79"/>
      <c r="Z257" s="130"/>
      <c r="AB257" s="106"/>
    </row>
    <row r="258">
      <c r="C258" s="79"/>
      <c r="D258" s="79"/>
      <c r="E258" s="79"/>
      <c r="M258" s="79"/>
      <c r="R258" s="79"/>
      <c r="S258" s="79"/>
      <c r="V258" s="79"/>
      <c r="W258" s="79"/>
      <c r="Z258" s="130"/>
      <c r="AB258" s="106"/>
    </row>
    <row r="259">
      <c r="C259" s="79"/>
      <c r="D259" s="79"/>
      <c r="E259" s="79"/>
      <c r="M259" s="79"/>
      <c r="R259" s="79"/>
      <c r="S259" s="79"/>
      <c r="V259" s="79"/>
      <c r="W259" s="79"/>
      <c r="Z259" s="130"/>
      <c r="AB259" s="106"/>
    </row>
    <row r="260">
      <c r="C260" s="79"/>
      <c r="D260" s="79"/>
      <c r="E260" s="79"/>
      <c r="M260" s="79"/>
      <c r="R260" s="79"/>
      <c r="S260" s="79"/>
      <c r="V260" s="79"/>
      <c r="W260" s="79"/>
      <c r="Z260" s="130"/>
      <c r="AB260" s="106"/>
    </row>
    <row r="261">
      <c r="C261" s="79"/>
      <c r="D261" s="79"/>
      <c r="E261" s="79"/>
      <c r="M261" s="79"/>
      <c r="R261" s="79"/>
      <c r="S261" s="79"/>
      <c r="V261" s="79"/>
      <c r="W261" s="79"/>
      <c r="Z261" s="130"/>
      <c r="AB261" s="106"/>
    </row>
    <row r="262">
      <c r="C262" s="79"/>
      <c r="D262" s="79"/>
      <c r="E262" s="79"/>
      <c r="M262" s="79"/>
      <c r="R262" s="79"/>
      <c r="S262" s="79"/>
      <c r="V262" s="79"/>
      <c r="W262" s="79"/>
      <c r="Z262" s="130"/>
      <c r="AB262" s="106"/>
    </row>
    <row r="263">
      <c r="C263" s="79"/>
      <c r="D263" s="79"/>
      <c r="E263" s="79"/>
      <c r="M263" s="79"/>
      <c r="R263" s="79"/>
      <c r="S263" s="79"/>
      <c r="V263" s="79"/>
      <c r="W263" s="79"/>
      <c r="Z263" s="130"/>
      <c r="AB263" s="106"/>
    </row>
    <row r="264">
      <c r="C264" s="79"/>
      <c r="D264" s="79"/>
      <c r="E264" s="79"/>
      <c r="M264" s="79"/>
      <c r="R264" s="79"/>
      <c r="S264" s="79"/>
      <c r="V264" s="79"/>
      <c r="W264" s="79"/>
      <c r="Z264" s="130"/>
      <c r="AB264" s="106"/>
    </row>
    <row r="265">
      <c r="C265" s="79"/>
      <c r="D265" s="79"/>
      <c r="E265" s="79"/>
      <c r="M265" s="79"/>
      <c r="R265" s="79"/>
      <c r="S265" s="79"/>
      <c r="V265" s="79"/>
      <c r="W265" s="79"/>
      <c r="Z265" s="130"/>
      <c r="AB265" s="106"/>
    </row>
    <row r="266">
      <c r="C266" s="79"/>
      <c r="D266" s="79"/>
      <c r="E266" s="79"/>
      <c r="M266" s="79"/>
      <c r="R266" s="79"/>
      <c r="S266" s="79"/>
      <c r="V266" s="79"/>
      <c r="W266" s="79"/>
      <c r="Z266" s="130"/>
      <c r="AB266" s="106"/>
    </row>
    <row r="267">
      <c r="C267" s="79"/>
      <c r="D267" s="79"/>
      <c r="E267" s="79"/>
      <c r="M267" s="79"/>
      <c r="R267" s="79"/>
      <c r="S267" s="79"/>
      <c r="V267" s="79"/>
      <c r="W267" s="79"/>
      <c r="Z267" s="130"/>
      <c r="AB267" s="106"/>
    </row>
    <row r="268">
      <c r="C268" s="79"/>
      <c r="D268" s="79"/>
      <c r="E268" s="79"/>
      <c r="M268" s="79"/>
      <c r="R268" s="79"/>
      <c r="S268" s="79"/>
      <c r="V268" s="79"/>
      <c r="W268" s="79"/>
      <c r="Z268" s="130"/>
      <c r="AB268" s="106"/>
    </row>
    <row r="269">
      <c r="C269" s="79"/>
      <c r="D269" s="79"/>
      <c r="E269" s="79"/>
      <c r="M269" s="79"/>
      <c r="R269" s="79"/>
      <c r="S269" s="79"/>
      <c r="V269" s="79"/>
      <c r="W269" s="79"/>
      <c r="Z269" s="130"/>
      <c r="AB269" s="106"/>
    </row>
    <row r="270">
      <c r="C270" s="79"/>
      <c r="D270" s="79"/>
      <c r="E270" s="79"/>
      <c r="M270" s="79"/>
      <c r="R270" s="79"/>
      <c r="S270" s="79"/>
      <c r="V270" s="79"/>
      <c r="W270" s="79"/>
      <c r="Z270" s="130"/>
      <c r="AB270" s="106"/>
    </row>
    <row r="271">
      <c r="C271" s="79"/>
      <c r="D271" s="79"/>
      <c r="E271" s="79"/>
      <c r="M271" s="79"/>
      <c r="R271" s="79"/>
      <c r="S271" s="79"/>
      <c r="V271" s="79"/>
      <c r="W271" s="79"/>
      <c r="Z271" s="130"/>
      <c r="AB271" s="106"/>
    </row>
    <row r="272">
      <c r="C272" s="79"/>
      <c r="D272" s="79"/>
      <c r="E272" s="79"/>
      <c r="M272" s="79"/>
      <c r="R272" s="79"/>
      <c r="S272" s="79"/>
      <c r="V272" s="79"/>
      <c r="W272" s="79"/>
      <c r="Z272" s="130"/>
      <c r="AB272" s="106"/>
    </row>
    <row r="273">
      <c r="C273" s="79"/>
      <c r="D273" s="79"/>
      <c r="E273" s="79"/>
      <c r="M273" s="79"/>
      <c r="R273" s="79"/>
      <c r="S273" s="79"/>
      <c r="V273" s="79"/>
      <c r="W273" s="79"/>
      <c r="Z273" s="130"/>
      <c r="AB273" s="106"/>
    </row>
    <row r="274">
      <c r="C274" s="79"/>
      <c r="D274" s="79"/>
      <c r="E274" s="79"/>
      <c r="M274" s="79"/>
      <c r="R274" s="79"/>
      <c r="S274" s="79"/>
      <c r="V274" s="79"/>
      <c r="W274" s="79"/>
      <c r="Z274" s="130"/>
      <c r="AB274" s="106"/>
    </row>
    <row r="275">
      <c r="C275" s="79"/>
      <c r="D275" s="79"/>
      <c r="E275" s="79"/>
      <c r="M275" s="79"/>
      <c r="R275" s="79"/>
      <c r="S275" s="79"/>
      <c r="V275" s="79"/>
      <c r="W275" s="79"/>
      <c r="Z275" s="130"/>
      <c r="AB275" s="106"/>
    </row>
    <row r="276">
      <c r="C276" s="79"/>
      <c r="D276" s="79"/>
      <c r="E276" s="79"/>
      <c r="M276" s="79"/>
      <c r="R276" s="79"/>
      <c r="S276" s="79"/>
      <c r="V276" s="79"/>
      <c r="W276" s="79"/>
      <c r="Z276" s="130"/>
      <c r="AB276" s="106"/>
    </row>
    <row r="277">
      <c r="C277" s="79"/>
      <c r="D277" s="79"/>
      <c r="E277" s="79"/>
      <c r="M277" s="79"/>
      <c r="R277" s="79"/>
      <c r="S277" s="79"/>
      <c r="V277" s="79"/>
      <c r="W277" s="79"/>
      <c r="Z277" s="130"/>
      <c r="AB277" s="106"/>
    </row>
    <row r="278">
      <c r="C278" s="79"/>
      <c r="D278" s="79"/>
      <c r="E278" s="79"/>
      <c r="M278" s="79"/>
      <c r="R278" s="79"/>
      <c r="S278" s="79"/>
      <c r="V278" s="79"/>
      <c r="W278" s="79"/>
      <c r="Z278" s="130"/>
      <c r="AB278" s="106"/>
    </row>
    <row r="279">
      <c r="C279" s="79"/>
      <c r="D279" s="79"/>
      <c r="E279" s="79"/>
      <c r="M279" s="79"/>
      <c r="R279" s="79"/>
      <c r="S279" s="79"/>
      <c r="V279" s="79"/>
      <c r="W279" s="79"/>
      <c r="Z279" s="130"/>
      <c r="AB279" s="106"/>
    </row>
    <row r="280">
      <c r="C280" s="79"/>
      <c r="D280" s="79"/>
      <c r="E280" s="79"/>
      <c r="M280" s="79"/>
      <c r="R280" s="79"/>
      <c r="S280" s="79"/>
      <c r="V280" s="79"/>
      <c r="W280" s="79"/>
      <c r="Z280" s="130"/>
      <c r="AB280" s="106"/>
    </row>
    <row r="281">
      <c r="C281" s="79"/>
      <c r="D281" s="79"/>
      <c r="E281" s="79"/>
      <c r="M281" s="79"/>
      <c r="R281" s="79"/>
      <c r="S281" s="79"/>
      <c r="V281" s="79"/>
      <c r="W281" s="79"/>
      <c r="Z281" s="130"/>
      <c r="AB281" s="106"/>
    </row>
    <row r="282">
      <c r="C282" s="79"/>
      <c r="D282" s="79"/>
      <c r="E282" s="79"/>
      <c r="M282" s="79"/>
      <c r="R282" s="79"/>
      <c r="S282" s="79"/>
      <c r="V282" s="79"/>
      <c r="W282" s="79"/>
      <c r="Z282" s="130"/>
      <c r="AB282" s="106"/>
    </row>
    <row r="283">
      <c r="C283" s="79"/>
      <c r="D283" s="79"/>
      <c r="E283" s="79"/>
      <c r="M283" s="79"/>
      <c r="R283" s="79"/>
      <c r="S283" s="79"/>
      <c r="V283" s="79"/>
      <c r="W283" s="79"/>
      <c r="Z283" s="130"/>
      <c r="AB283" s="106"/>
    </row>
    <row r="284">
      <c r="C284" s="79"/>
      <c r="D284" s="79"/>
      <c r="E284" s="79"/>
      <c r="M284" s="79"/>
      <c r="R284" s="79"/>
      <c r="S284" s="79"/>
      <c r="V284" s="79"/>
      <c r="W284" s="79"/>
      <c r="Z284" s="130"/>
      <c r="AB284" s="106"/>
    </row>
    <row r="285">
      <c r="C285" s="79"/>
      <c r="D285" s="79"/>
      <c r="E285" s="79"/>
      <c r="M285" s="79"/>
      <c r="R285" s="79"/>
      <c r="S285" s="79"/>
      <c r="V285" s="79"/>
      <c r="W285" s="79"/>
      <c r="Z285" s="130"/>
      <c r="AB285" s="106"/>
    </row>
    <row r="286">
      <c r="C286" s="79"/>
      <c r="D286" s="79"/>
      <c r="E286" s="79"/>
      <c r="M286" s="79"/>
      <c r="R286" s="79"/>
      <c r="S286" s="79"/>
      <c r="V286" s="79"/>
      <c r="W286" s="79"/>
      <c r="Z286" s="130"/>
      <c r="AB286" s="106"/>
    </row>
    <row r="287">
      <c r="C287" s="79"/>
      <c r="D287" s="79"/>
      <c r="E287" s="79"/>
      <c r="M287" s="79"/>
      <c r="R287" s="79"/>
      <c r="S287" s="79"/>
      <c r="V287" s="79"/>
      <c r="W287" s="79"/>
      <c r="Z287" s="130"/>
      <c r="AB287" s="106"/>
    </row>
    <row r="288">
      <c r="C288" s="79"/>
      <c r="D288" s="79"/>
      <c r="E288" s="79"/>
      <c r="M288" s="79"/>
      <c r="R288" s="79"/>
      <c r="S288" s="79"/>
      <c r="V288" s="79"/>
      <c r="W288" s="79"/>
      <c r="Z288" s="130"/>
      <c r="AB288" s="106"/>
    </row>
    <row r="289">
      <c r="C289" s="79"/>
      <c r="D289" s="79"/>
      <c r="E289" s="79"/>
      <c r="M289" s="79"/>
      <c r="R289" s="79"/>
      <c r="S289" s="79"/>
      <c r="V289" s="79"/>
      <c r="W289" s="79"/>
      <c r="Z289" s="130"/>
      <c r="AB289" s="106"/>
    </row>
    <row r="290">
      <c r="C290" s="79"/>
      <c r="D290" s="79"/>
      <c r="E290" s="79"/>
      <c r="M290" s="79"/>
      <c r="R290" s="79"/>
      <c r="S290" s="79"/>
      <c r="V290" s="79"/>
      <c r="W290" s="79"/>
      <c r="Z290" s="130"/>
      <c r="AB290" s="106"/>
    </row>
    <row r="291">
      <c r="C291" s="79"/>
      <c r="D291" s="79"/>
      <c r="E291" s="79"/>
      <c r="M291" s="79"/>
      <c r="R291" s="79"/>
      <c r="S291" s="79"/>
      <c r="V291" s="79"/>
      <c r="W291" s="79"/>
      <c r="Z291" s="130"/>
      <c r="AB291" s="106"/>
    </row>
    <row r="292">
      <c r="C292" s="79"/>
      <c r="D292" s="79"/>
      <c r="E292" s="79"/>
      <c r="M292" s="79"/>
      <c r="R292" s="79"/>
      <c r="S292" s="79"/>
      <c r="V292" s="79"/>
      <c r="W292" s="79"/>
      <c r="Z292" s="130"/>
      <c r="AB292" s="106"/>
    </row>
    <row r="293">
      <c r="C293" s="79"/>
      <c r="D293" s="79"/>
      <c r="E293" s="79"/>
      <c r="M293" s="79"/>
      <c r="R293" s="79"/>
      <c r="S293" s="79"/>
      <c r="V293" s="79"/>
      <c r="W293" s="79"/>
      <c r="Z293" s="130"/>
      <c r="AB293" s="106"/>
    </row>
    <row r="294">
      <c r="C294" s="79"/>
      <c r="D294" s="79"/>
      <c r="E294" s="79"/>
      <c r="M294" s="79"/>
      <c r="R294" s="79"/>
      <c r="S294" s="79"/>
      <c r="V294" s="79"/>
      <c r="W294" s="79"/>
      <c r="Z294" s="130"/>
      <c r="AB294" s="106"/>
    </row>
    <row r="295">
      <c r="C295" s="79"/>
      <c r="D295" s="79"/>
      <c r="E295" s="79"/>
      <c r="M295" s="79"/>
      <c r="R295" s="79"/>
      <c r="S295" s="79"/>
      <c r="V295" s="79"/>
      <c r="W295" s="79"/>
      <c r="Z295" s="130"/>
      <c r="AB295" s="106"/>
    </row>
    <row r="296">
      <c r="C296" s="79"/>
      <c r="D296" s="79"/>
      <c r="E296" s="79"/>
      <c r="M296" s="79"/>
      <c r="R296" s="79"/>
      <c r="S296" s="79"/>
      <c r="V296" s="79"/>
      <c r="W296" s="79"/>
      <c r="Z296" s="130"/>
      <c r="AB296" s="106"/>
    </row>
    <row r="297">
      <c r="C297" s="79"/>
      <c r="D297" s="79"/>
      <c r="E297" s="79"/>
      <c r="M297" s="79"/>
      <c r="R297" s="79"/>
      <c r="S297" s="79"/>
      <c r="V297" s="79"/>
      <c r="W297" s="79"/>
      <c r="Z297" s="130"/>
      <c r="AB297" s="106"/>
    </row>
    <row r="298">
      <c r="C298" s="79"/>
      <c r="D298" s="79"/>
      <c r="E298" s="79"/>
      <c r="M298" s="79"/>
      <c r="R298" s="79"/>
      <c r="S298" s="79"/>
      <c r="V298" s="79"/>
      <c r="W298" s="79"/>
      <c r="Z298" s="130"/>
      <c r="AB298" s="106"/>
    </row>
    <row r="299">
      <c r="C299" s="79"/>
      <c r="D299" s="79"/>
      <c r="E299" s="79"/>
      <c r="M299" s="79"/>
      <c r="R299" s="79"/>
      <c r="S299" s="79"/>
      <c r="V299" s="79"/>
      <c r="W299" s="79"/>
      <c r="Z299" s="130"/>
      <c r="AB299" s="106"/>
    </row>
    <row r="300">
      <c r="C300" s="79"/>
      <c r="D300" s="79"/>
      <c r="E300" s="79"/>
      <c r="M300" s="79"/>
      <c r="R300" s="79"/>
      <c r="S300" s="79"/>
      <c r="V300" s="79"/>
      <c r="W300" s="79"/>
      <c r="Z300" s="130"/>
      <c r="AB300" s="106"/>
    </row>
    <row r="301">
      <c r="C301" s="79"/>
      <c r="D301" s="79"/>
      <c r="E301" s="79"/>
      <c r="M301" s="79"/>
      <c r="R301" s="79"/>
      <c r="S301" s="79"/>
      <c r="V301" s="79"/>
      <c r="W301" s="79"/>
      <c r="Z301" s="130"/>
      <c r="AB301" s="106"/>
    </row>
    <row r="302">
      <c r="C302" s="79"/>
      <c r="D302" s="79"/>
      <c r="E302" s="79"/>
      <c r="M302" s="79"/>
      <c r="R302" s="79"/>
      <c r="S302" s="79"/>
      <c r="V302" s="79"/>
      <c r="W302" s="79"/>
      <c r="Z302" s="130"/>
      <c r="AB302" s="106"/>
    </row>
    <row r="303">
      <c r="C303" s="79"/>
      <c r="D303" s="79"/>
      <c r="E303" s="79"/>
      <c r="M303" s="79"/>
      <c r="R303" s="79"/>
      <c r="S303" s="79"/>
      <c r="V303" s="79"/>
      <c r="W303" s="79"/>
      <c r="Z303" s="130"/>
      <c r="AB303" s="106"/>
    </row>
    <row r="304">
      <c r="C304" s="79"/>
      <c r="D304" s="79"/>
      <c r="E304" s="79"/>
      <c r="M304" s="79"/>
      <c r="R304" s="79"/>
      <c r="S304" s="79"/>
      <c r="V304" s="79"/>
      <c r="W304" s="79"/>
      <c r="Z304" s="130"/>
      <c r="AB304" s="106"/>
    </row>
    <row r="305">
      <c r="C305" s="79"/>
      <c r="D305" s="79"/>
      <c r="E305" s="79"/>
      <c r="M305" s="79"/>
      <c r="R305" s="79"/>
      <c r="S305" s="79"/>
      <c r="V305" s="79"/>
      <c r="W305" s="79"/>
      <c r="Z305" s="130"/>
      <c r="AB305" s="106"/>
    </row>
    <row r="306">
      <c r="C306" s="79"/>
      <c r="D306" s="79"/>
      <c r="E306" s="79"/>
      <c r="M306" s="79"/>
      <c r="R306" s="79"/>
      <c r="S306" s="79"/>
      <c r="V306" s="79"/>
      <c r="W306" s="79"/>
      <c r="Z306" s="130"/>
      <c r="AB306" s="106"/>
    </row>
    <row r="307">
      <c r="C307" s="79"/>
      <c r="D307" s="79"/>
      <c r="E307" s="79"/>
      <c r="M307" s="79"/>
      <c r="R307" s="79"/>
      <c r="S307" s="79"/>
      <c r="V307" s="79"/>
      <c r="W307" s="79"/>
      <c r="Z307" s="130"/>
      <c r="AB307" s="106"/>
    </row>
    <row r="308">
      <c r="C308" s="79"/>
      <c r="D308" s="79"/>
      <c r="E308" s="79"/>
      <c r="M308" s="79"/>
      <c r="R308" s="79"/>
      <c r="S308" s="79"/>
      <c r="V308" s="79"/>
      <c r="W308" s="79"/>
      <c r="Z308" s="130"/>
      <c r="AB308" s="106"/>
    </row>
    <row r="309">
      <c r="C309" s="79"/>
      <c r="D309" s="79"/>
      <c r="E309" s="79"/>
      <c r="M309" s="79"/>
      <c r="R309" s="79"/>
      <c r="S309" s="79"/>
      <c r="V309" s="79"/>
      <c r="W309" s="79"/>
      <c r="Z309" s="130"/>
      <c r="AB309" s="106"/>
    </row>
    <row r="310">
      <c r="C310" s="79"/>
      <c r="D310" s="79"/>
      <c r="E310" s="79"/>
      <c r="M310" s="79"/>
      <c r="R310" s="79"/>
      <c r="S310" s="79"/>
      <c r="V310" s="79"/>
      <c r="W310" s="79"/>
      <c r="Z310" s="130"/>
      <c r="AB310" s="106"/>
    </row>
    <row r="311">
      <c r="C311" s="79"/>
      <c r="D311" s="79"/>
      <c r="E311" s="79"/>
      <c r="M311" s="79"/>
      <c r="R311" s="79"/>
      <c r="S311" s="79"/>
      <c r="V311" s="79"/>
      <c r="W311" s="79"/>
      <c r="Z311" s="130"/>
      <c r="AB311" s="106"/>
    </row>
    <row r="312">
      <c r="C312" s="79"/>
      <c r="D312" s="79"/>
      <c r="E312" s="79"/>
      <c r="M312" s="79"/>
      <c r="R312" s="79"/>
      <c r="S312" s="79"/>
      <c r="V312" s="79"/>
      <c r="W312" s="79"/>
      <c r="Z312" s="130"/>
      <c r="AB312" s="106"/>
    </row>
    <row r="313">
      <c r="C313" s="79"/>
      <c r="D313" s="79"/>
      <c r="E313" s="79"/>
      <c r="M313" s="79"/>
      <c r="R313" s="79"/>
      <c r="S313" s="79"/>
      <c r="V313" s="79"/>
      <c r="W313" s="79"/>
      <c r="Z313" s="130"/>
      <c r="AB313" s="106"/>
    </row>
    <row r="314">
      <c r="C314" s="79"/>
      <c r="D314" s="79"/>
      <c r="E314" s="79"/>
      <c r="M314" s="79"/>
      <c r="R314" s="79"/>
      <c r="S314" s="79"/>
      <c r="V314" s="79"/>
      <c r="W314" s="79"/>
      <c r="Z314" s="130"/>
      <c r="AB314" s="106"/>
    </row>
    <row r="315">
      <c r="C315" s="79"/>
      <c r="D315" s="79"/>
      <c r="E315" s="79"/>
      <c r="M315" s="79"/>
      <c r="R315" s="79"/>
      <c r="S315" s="79"/>
      <c r="V315" s="79"/>
      <c r="W315" s="79"/>
      <c r="Z315" s="130"/>
      <c r="AB315" s="106"/>
    </row>
    <row r="316">
      <c r="C316" s="79"/>
      <c r="D316" s="79"/>
      <c r="E316" s="79"/>
      <c r="M316" s="79"/>
      <c r="R316" s="79"/>
      <c r="S316" s="79"/>
      <c r="V316" s="79"/>
      <c r="W316" s="79"/>
      <c r="Z316" s="130"/>
      <c r="AB316" s="106"/>
    </row>
    <row r="317">
      <c r="C317" s="79"/>
      <c r="D317" s="79"/>
      <c r="E317" s="79"/>
      <c r="M317" s="79"/>
      <c r="R317" s="79"/>
      <c r="S317" s="79"/>
      <c r="V317" s="79"/>
      <c r="W317" s="79"/>
      <c r="Z317" s="130"/>
      <c r="AB317" s="106"/>
    </row>
    <row r="318">
      <c r="C318" s="79"/>
      <c r="D318" s="79"/>
      <c r="E318" s="79"/>
      <c r="M318" s="79"/>
      <c r="R318" s="79"/>
      <c r="S318" s="79"/>
      <c r="V318" s="79"/>
      <c r="W318" s="79"/>
      <c r="Z318" s="130"/>
      <c r="AB318" s="106"/>
    </row>
    <row r="319">
      <c r="C319" s="79"/>
      <c r="D319" s="79"/>
      <c r="E319" s="79"/>
      <c r="M319" s="79"/>
      <c r="R319" s="79"/>
      <c r="S319" s="79"/>
      <c r="V319" s="79"/>
      <c r="W319" s="79"/>
      <c r="Z319" s="130"/>
      <c r="AB319" s="106"/>
    </row>
    <row r="320">
      <c r="C320" s="79"/>
      <c r="D320" s="79"/>
      <c r="E320" s="79"/>
      <c r="M320" s="79"/>
      <c r="R320" s="79"/>
      <c r="S320" s="79"/>
      <c r="V320" s="79"/>
      <c r="W320" s="79"/>
      <c r="Z320" s="130"/>
      <c r="AB320" s="106"/>
    </row>
    <row r="321">
      <c r="C321" s="79"/>
      <c r="D321" s="79"/>
      <c r="E321" s="79"/>
      <c r="M321" s="79"/>
      <c r="R321" s="79"/>
      <c r="S321" s="79"/>
      <c r="V321" s="79"/>
      <c r="W321" s="79"/>
      <c r="Z321" s="130"/>
      <c r="AB321" s="106"/>
    </row>
    <row r="322">
      <c r="C322" s="79"/>
      <c r="D322" s="79"/>
      <c r="E322" s="79"/>
      <c r="M322" s="79"/>
      <c r="R322" s="79"/>
      <c r="S322" s="79"/>
      <c r="V322" s="79"/>
      <c r="W322" s="79"/>
      <c r="Z322" s="130"/>
      <c r="AB322" s="106"/>
    </row>
    <row r="323">
      <c r="C323" s="79"/>
      <c r="D323" s="79"/>
      <c r="E323" s="79"/>
      <c r="M323" s="79"/>
      <c r="R323" s="79"/>
      <c r="S323" s="79"/>
      <c r="V323" s="79"/>
      <c r="W323" s="79"/>
      <c r="Z323" s="130"/>
      <c r="AB323" s="106"/>
    </row>
    <row r="324">
      <c r="C324" s="79"/>
      <c r="D324" s="79"/>
      <c r="E324" s="79"/>
      <c r="M324" s="79"/>
      <c r="R324" s="79"/>
      <c r="S324" s="79"/>
      <c r="V324" s="79"/>
      <c r="W324" s="79"/>
      <c r="Z324" s="130"/>
      <c r="AB324" s="106"/>
    </row>
    <row r="325">
      <c r="C325" s="79"/>
      <c r="D325" s="79"/>
      <c r="E325" s="79"/>
      <c r="M325" s="79"/>
      <c r="R325" s="79"/>
      <c r="S325" s="79"/>
      <c r="V325" s="79"/>
      <c r="W325" s="79"/>
      <c r="Z325" s="130"/>
      <c r="AB325" s="106"/>
    </row>
    <row r="326">
      <c r="C326" s="79"/>
      <c r="D326" s="79"/>
      <c r="E326" s="79"/>
      <c r="M326" s="79"/>
      <c r="R326" s="79"/>
      <c r="S326" s="79"/>
      <c r="V326" s="79"/>
      <c r="W326" s="79"/>
      <c r="Z326" s="130"/>
      <c r="AB326" s="106"/>
    </row>
    <row r="327">
      <c r="C327" s="79"/>
      <c r="D327" s="79"/>
      <c r="E327" s="79"/>
      <c r="M327" s="79"/>
      <c r="R327" s="79"/>
      <c r="S327" s="79"/>
      <c r="V327" s="79"/>
      <c r="W327" s="79"/>
      <c r="Z327" s="130"/>
      <c r="AB327" s="106"/>
    </row>
    <row r="328">
      <c r="C328" s="79"/>
      <c r="D328" s="79"/>
      <c r="E328" s="79"/>
      <c r="M328" s="79"/>
      <c r="R328" s="79"/>
      <c r="S328" s="79"/>
      <c r="V328" s="79"/>
      <c r="W328" s="79"/>
      <c r="Z328" s="130"/>
      <c r="AB328" s="106"/>
    </row>
    <row r="329">
      <c r="C329" s="79"/>
      <c r="D329" s="79"/>
      <c r="E329" s="79"/>
      <c r="M329" s="79"/>
      <c r="R329" s="79"/>
      <c r="S329" s="79"/>
      <c r="V329" s="79"/>
      <c r="W329" s="79"/>
      <c r="Z329" s="130"/>
      <c r="AB329" s="106"/>
    </row>
    <row r="330">
      <c r="C330" s="79"/>
      <c r="D330" s="79"/>
      <c r="E330" s="79"/>
      <c r="M330" s="79"/>
      <c r="R330" s="79"/>
      <c r="S330" s="79"/>
      <c r="V330" s="79"/>
      <c r="W330" s="79"/>
      <c r="Z330" s="130"/>
      <c r="AB330" s="106"/>
    </row>
    <row r="331">
      <c r="C331" s="79"/>
      <c r="D331" s="79"/>
      <c r="E331" s="79"/>
      <c r="M331" s="79"/>
      <c r="R331" s="79"/>
      <c r="S331" s="79"/>
      <c r="V331" s="79"/>
      <c r="W331" s="79"/>
      <c r="Z331" s="130"/>
      <c r="AB331" s="106"/>
    </row>
    <row r="332">
      <c r="C332" s="79"/>
      <c r="D332" s="79"/>
      <c r="E332" s="79"/>
      <c r="M332" s="79"/>
      <c r="R332" s="79"/>
      <c r="S332" s="79"/>
      <c r="V332" s="79"/>
      <c r="W332" s="79"/>
      <c r="Z332" s="130"/>
      <c r="AB332" s="106"/>
    </row>
    <row r="333">
      <c r="C333" s="79"/>
      <c r="D333" s="79"/>
      <c r="E333" s="79"/>
      <c r="M333" s="79"/>
      <c r="R333" s="79"/>
      <c r="S333" s="79"/>
      <c r="V333" s="79"/>
      <c r="W333" s="79"/>
      <c r="Z333" s="130"/>
      <c r="AB333" s="106"/>
    </row>
    <row r="334">
      <c r="C334" s="79"/>
      <c r="D334" s="79"/>
      <c r="E334" s="79"/>
      <c r="M334" s="79"/>
      <c r="R334" s="79"/>
      <c r="S334" s="79"/>
      <c r="V334" s="79"/>
      <c r="W334" s="79"/>
      <c r="Z334" s="130"/>
      <c r="AB334" s="106"/>
    </row>
    <row r="335">
      <c r="C335" s="79"/>
      <c r="D335" s="79"/>
      <c r="E335" s="79"/>
      <c r="M335" s="79"/>
      <c r="R335" s="79"/>
      <c r="S335" s="79"/>
      <c r="V335" s="79"/>
      <c r="W335" s="79"/>
      <c r="Z335" s="130"/>
      <c r="AB335" s="106"/>
    </row>
    <row r="336">
      <c r="C336" s="79"/>
      <c r="D336" s="79"/>
      <c r="E336" s="79"/>
      <c r="M336" s="79"/>
      <c r="R336" s="79"/>
      <c r="S336" s="79"/>
      <c r="V336" s="79"/>
      <c r="W336" s="79"/>
      <c r="Z336" s="130"/>
      <c r="AB336" s="106"/>
    </row>
    <row r="337">
      <c r="C337" s="79"/>
      <c r="D337" s="79"/>
      <c r="E337" s="79"/>
      <c r="M337" s="79"/>
      <c r="R337" s="79"/>
      <c r="S337" s="79"/>
      <c r="V337" s="79"/>
      <c r="W337" s="79"/>
      <c r="Z337" s="130"/>
      <c r="AB337" s="106"/>
    </row>
    <row r="338">
      <c r="C338" s="79"/>
      <c r="D338" s="79"/>
      <c r="E338" s="79"/>
      <c r="M338" s="79"/>
      <c r="R338" s="79"/>
      <c r="S338" s="79"/>
      <c r="V338" s="79"/>
      <c r="W338" s="79"/>
      <c r="Z338" s="130"/>
      <c r="AB338" s="106"/>
    </row>
    <row r="339">
      <c r="C339" s="79"/>
      <c r="D339" s="79"/>
      <c r="E339" s="79"/>
      <c r="M339" s="79"/>
      <c r="R339" s="79"/>
      <c r="S339" s="79"/>
      <c r="V339" s="79"/>
      <c r="W339" s="79"/>
      <c r="Z339" s="130"/>
      <c r="AB339" s="106"/>
    </row>
    <row r="340">
      <c r="C340" s="79"/>
      <c r="D340" s="79"/>
      <c r="E340" s="79"/>
      <c r="M340" s="79"/>
      <c r="R340" s="79"/>
      <c r="S340" s="79"/>
      <c r="V340" s="79"/>
      <c r="W340" s="79"/>
      <c r="Z340" s="130"/>
      <c r="AB340" s="106"/>
    </row>
    <row r="341">
      <c r="C341" s="79"/>
      <c r="D341" s="79"/>
      <c r="E341" s="79"/>
      <c r="M341" s="79"/>
      <c r="R341" s="79"/>
      <c r="S341" s="79"/>
      <c r="V341" s="79"/>
      <c r="W341" s="79"/>
      <c r="Z341" s="130"/>
      <c r="AB341" s="106"/>
    </row>
    <row r="342">
      <c r="C342" s="79"/>
      <c r="D342" s="79"/>
      <c r="E342" s="79"/>
      <c r="M342" s="79"/>
      <c r="R342" s="79"/>
      <c r="S342" s="79"/>
      <c r="V342" s="79"/>
      <c r="W342" s="79"/>
      <c r="Z342" s="130"/>
      <c r="AB342" s="106"/>
    </row>
    <row r="343">
      <c r="C343" s="79"/>
      <c r="D343" s="79"/>
      <c r="E343" s="79"/>
      <c r="M343" s="79"/>
      <c r="R343" s="79"/>
      <c r="S343" s="79"/>
      <c r="V343" s="79"/>
      <c r="W343" s="79"/>
      <c r="Z343" s="130"/>
      <c r="AB343" s="106"/>
    </row>
    <row r="344">
      <c r="C344" s="79"/>
      <c r="D344" s="79"/>
      <c r="E344" s="79"/>
      <c r="M344" s="79"/>
      <c r="R344" s="79"/>
      <c r="S344" s="79"/>
      <c r="V344" s="79"/>
      <c r="W344" s="79"/>
      <c r="Z344" s="130"/>
      <c r="AB344" s="106"/>
    </row>
    <row r="345">
      <c r="C345" s="79"/>
      <c r="D345" s="79"/>
      <c r="E345" s="79"/>
      <c r="M345" s="79"/>
      <c r="R345" s="79"/>
      <c r="S345" s="79"/>
      <c r="V345" s="79"/>
      <c r="W345" s="79"/>
      <c r="Z345" s="130"/>
      <c r="AB345" s="106"/>
    </row>
    <row r="346">
      <c r="C346" s="79"/>
      <c r="D346" s="79"/>
      <c r="E346" s="79"/>
      <c r="M346" s="79"/>
      <c r="R346" s="79"/>
      <c r="S346" s="79"/>
      <c r="V346" s="79"/>
      <c r="W346" s="79"/>
      <c r="Z346" s="130"/>
      <c r="AB346" s="106"/>
    </row>
    <row r="347">
      <c r="C347" s="79"/>
      <c r="D347" s="79"/>
      <c r="E347" s="79"/>
      <c r="M347" s="79"/>
      <c r="R347" s="79"/>
      <c r="S347" s="79"/>
      <c r="V347" s="79"/>
      <c r="W347" s="79"/>
      <c r="Z347" s="130"/>
      <c r="AB347" s="106"/>
    </row>
    <row r="348">
      <c r="C348" s="79"/>
      <c r="D348" s="79"/>
      <c r="E348" s="79"/>
      <c r="M348" s="79"/>
      <c r="R348" s="79"/>
      <c r="S348" s="79"/>
      <c r="V348" s="79"/>
      <c r="W348" s="79"/>
      <c r="Z348" s="130"/>
      <c r="AB348" s="106"/>
    </row>
    <row r="349">
      <c r="C349" s="79"/>
      <c r="D349" s="79"/>
      <c r="E349" s="79"/>
      <c r="M349" s="79"/>
      <c r="R349" s="79"/>
      <c r="S349" s="79"/>
      <c r="V349" s="79"/>
      <c r="W349" s="79"/>
      <c r="Z349" s="130"/>
      <c r="AB349" s="106"/>
    </row>
    <row r="350">
      <c r="C350" s="79"/>
      <c r="D350" s="79"/>
      <c r="E350" s="79"/>
      <c r="M350" s="79"/>
      <c r="R350" s="79"/>
      <c r="S350" s="79"/>
      <c r="V350" s="79"/>
      <c r="W350" s="79"/>
      <c r="Z350" s="130"/>
      <c r="AB350" s="106"/>
    </row>
    <row r="351">
      <c r="C351" s="79"/>
      <c r="D351" s="79"/>
      <c r="E351" s="79"/>
      <c r="M351" s="79"/>
      <c r="R351" s="79"/>
      <c r="S351" s="79"/>
      <c r="V351" s="79"/>
      <c r="W351" s="79"/>
      <c r="Z351" s="130"/>
      <c r="AB351" s="106"/>
    </row>
    <row r="352">
      <c r="C352" s="79"/>
      <c r="D352" s="79"/>
      <c r="E352" s="79"/>
      <c r="M352" s="79"/>
      <c r="R352" s="79"/>
      <c r="S352" s="79"/>
      <c r="V352" s="79"/>
      <c r="W352" s="79"/>
      <c r="Z352" s="130"/>
      <c r="AB352" s="106"/>
    </row>
    <row r="353">
      <c r="C353" s="79"/>
      <c r="D353" s="79"/>
      <c r="E353" s="79"/>
      <c r="M353" s="79"/>
      <c r="R353" s="79"/>
      <c r="S353" s="79"/>
      <c r="V353" s="79"/>
      <c r="W353" s="79"/>
      <c r="Z353" s="130"/>
      <c r="AB353" s="106"/>
    </row>
    <row r="354">
      <c r="C354" s="79"/>
      <c r="D354" s="79"/>
      <c r="E354" s="79"/>
      <c r="M354" s="79"/>
      <c r="R354" s="79"/>
      <c r="S354" s="79"/>
      <c r="V354" s="79"/>
      <c r="W354" s="79"/>
      <c r="Z354" s="130"/>
      <c r="AB354" s="106"/>
    </row>
    <row r="355">
      <c r="C355" s="79"/>
      <c r="D355" s="79"/>
      <c r="E355" s="79"/>
      <c r="M355" s="79"/>
      <c r="R355" s="79"/>
      <c r="S355" s="79"/>
      <c r="V355" s="79"/>
      <c r="W355" s="79"/>
      <c r="Z355" s="130"/>
      <c r="AB355" s="106"/>
    </row>
    <row r="356">
      <c r="C356" s="79"/>
      <c r="D356" s="79"/>
      <c r="E356" s="79"/>
      <c r="M356" s="79"/>
      <c r="R356" s="79"/>
      <c r="S356" s="79"/>
      <c r="V356" s="79"/>
      <c r="W356" s="79"/>
      <c r="Z356" s="130"/>
      <c r="AB356" s="106"/>
    </row>
    <row r="357">
      <c r="C357" s="79"/>
      <c r="D357" s="79"/>
      <c r="E357" s="79"/>
      <c r="M357" s="79"/>
      <c r="R357" s="79"/>
      <c r="S357" s="79"/>
      <c r="V357" s="79"/>
      <c r="W357" s="79"/>
      <c r="Z357" s="130"/>
      <c r="AB357" s="106"/>
    </row>
    <row r="358">
      <c r="C358" s="79"/>
      <c r="D358" s="79"/>
      <c r="E358" s="79"/>
      <c r="M358" s="79"/>
      <c r="R358" s="79"/>
      <c r="S358" s="79"/>
      <c r="V358" s="79"/>
      <c r="W358" s="79"/>
      <c r="Z358" s="130"/>
      <c r="AB358" s="106"/>
    </row>
    <row r="359">
      <c r="C359" s="79"/>
      <c r="D359" s="79"/>
      <c r="E359" s="79"/>
      <c r="M359" s="79"/>
      <c r="R359" s="79"/>
      <c r="S359" s="79"/>
      <c r="V359" s="79"/>
      <c r="W359" s="79"/>
      <c r="Z359" s="130"/>
      <c r="AB359" s="106"/>
    </row>
    <row r="360">
      <c r="C360" s="79"/>
      <c r="D360" s="79"/>
      <c r="E360" s="79"/>
      <c r="M360" s="79"/>
      <c r="R360" s="79"/>
      <c r="S360" s="79"/>
      <c r="V360" s="79"/>
      <c r="W360" s="79"/>
      <c r="Z360" s="130"/>
      <c r="AB360" s="106"/>
    </row>
    <row r="361">
      <c r="C361" s="79"/>
      <c r="D361" s="79"/>
      <c r="E361" s="79"/>
      <c r="M361" s="79"/>
      <c r="R361" s="79"/>
      <c r="S361" s="79"/>
      <c r="V361" s="79"/>
      <c r="W361" s="79"/>
      <c r="Z361" s="130"/>
      <c r="AB361" s="106"/>
    </row>
    <row r="362">
      <c r="C362" s="79"/>
      <c r="D362" s="79"/>
      <c r="E362" s="79"/>
      <c r="M362" s="79"/>
      <c r="R362" s="79"/>
      <c r="S362" s="79"/>
      <c r="V362" s="79"/>
      <c r="W362" s="79"/>
      <c r="Z362" s="130"/>
      <c r="AB362" s="106"/>
    </row>
    <row r="363">
      <c r="C363" s="79"/>
      <c r="D363" s="79"/>
      <c r="E363" s="79"/>
      <c r="M363" s="79"/>
      <c r="R363" s="79"/>
      <c r="S363" s="79"/>
      <c r="V363" s="79"/>
      <c r="W363" s="79"/>
      <c r="Z363" s="130"/>
      <c r="AB363" s="106"/>
    </row>
    <row r="364">
      <c r="C364" s="79"/>
      <c r="D364" s="79"/>
      <c r="E364" s="79"/>
      <c r="M364" s="79"/>
      <c r="R364" s="79"/>
      <c r="S364" s="79"/>
      <c r="V364" s="79"/>
      <c r="W364" s="79"/>
      <c r="Z364" s="130"/>
      <c r="AB364" s="106"/>
    </row>
    <row r="365">
      <c r="C365" s="79"/>
      <c r="D365" s="79"/>
      <c r="E365" s="79"/>
      <c r="M365" s="79"/>
      <c r="R365" s="79"/>
      <c r="S365" s="79"/>
      <c r="V365" s="79"/>
      <c r="W365" s="79"/>
      <c r="Z365" s="130"/>
      <c r="AB365" s="106"/>
    </row>
    <row r="366">
      <c r="C366" s="79"/>
      <c r="D366" s="79"/>
      <c r="E366" s="79"/>
      <c r="M366" s="79"/>
      <c r="R366" s="79"/>
      <c r="S366" s="79"/>
      <c r="V366" s="79"/>
      <c r="W366" s="79"/>
      <c r="Z366" s="130"/>
      <c r="AB366" s="106"/>
    </row>
    <row r="367">
      <c r="C367" s="79"/>
      <c r="D367" s="79"/>
      <c r="E367" s="79"/>
      <c r="M367" s="79"/>
      <c r="R367" s="79"/>
      <c r="S367" s="79"/>
      <c r="V367" s="79"/>
      <c r="W367" s="79"/>
      <c r="Z367" s="130"/>
      <c r="AB367" s="106"/>
    </row>
    <row r="368">
      <c r="C368" s="79"/>
      <c r="D368" s="79"/>
      <c r="E368" s="79"/>
      <c r="M368" s="79"/>
      <c r="R368" s="79"/>
      <c r="S368" s="79"/>
      <c r="V368" s="79"/>
      <c r="W368" s="79"/>
      <c r="Z368" s="130"/>
      <c r="AB368" s="106"/>
    </row>
    <row r="369">
      <c r="C369" s="79"/>
      <c r="D369" s="79"/>
      <c r="E369" s="79"/>
      <c r="M369" s="79"/>
      <c r="R369" s="79"/>
      <c r="S369" s="79"/>
      <c r="V369" s="79"/>
      <c r="W369" s="79"/>
      <c r="Z369" s="130"/>
      <c r="AB369" s="106"/>
    </row>
    <row r="370">
      <c r="C370" s="79"/>
      <c r="D370" s="79"/>
      <c r="E370" s="79"/>
      <c r="M370" s="79"/>
      <c r="R370" s="79"/>
      <c r="S370" s="79"/>
      <c r="V370" s="79"/>
      <c r="W370" s="79"/>
      <c r="Z370" s="130"/>
      <c r="AB370" s="106"/>
    </row>
    <row r="371">
      <c r="C371" s="79"/>
      <c r="D371" s="79"/>
      <c r="E371" s="79"/>
      <c r="M371" s="79"/>
      <c r="R371" s="79"/>
      <c r="S371" s="79"/>
      <c r="V371" s="79"/>
      <c r="W371" s="79"/>
      <c r="Z371" s="130"/>
      <c r="AB371" s="106"/>
    </row>
    <row r="372">
      <c r="C372" s="79"/>
      <c r="D372" s="79"/>
      <c r="E372" s="79"/>
      <c r="M372" s="79"/>
      <c r="R372" s="79"/>
      <c r="S372" s="79"/>
      <c r="V372" s="79"/>
      <c r="W372" s="79"/>
      <c r="Z372" s="130"/>
      <c r="AB372" s="106"/>
    </row>
    <row r="373">
      <c r="C373" s="79"/>
      <c r="D373" s="79"/>
      <c r="E373" s="79"/>
      <c r="M373" s="79"/>
      <c r="R373" s="79"/>
      <c r="S373" s="79"/>
      <c r="V373" s="79"/>
      <c r="W373" s="79"/>
      <c r="Z373" s="130"/>
      <c r="AB373" s="106"/>
    </row>
    <row r="374">
      <c r="C374" s="79"/>
      <c r="D374" s="79"/>
      <c r="E374" s="79"/>
      <c r="M374" s="79"/>
      <c r="R374" s="79"/>
      <c r="S374" s="79"/>
      <c r="V374" s="79"/>
      <c r="W374" s="79"/>
      <c r="Z374" s="130"/>
      <c r="AB374" s="106"/>
    </row>
    <row r="375">
      <c r="C375" s="79"/>
      <c r="D375" s="79"/>
      <c r="E375" s="79"/>
      <c r="M375" s="79"/>
      <c r="R375" s="79"/>
      <c r="S375" s="79"/>
      <c r="V375" s="79"/>
      <c r="W375" s="79"/>
      <c r="Z375" s="130"/>
      <c r="AB375" s="106"/>
    </row>
    <row r="376">
      <c r="C376" s="79"/>
      <c r="D376" s="79"/>
      <c r="E376" s="79"/>
      <c r="M376" s="79"/>
      <c r="R376" s="79"/>
      <c r="S376" s="79"/>
      <c r="V376" s="79"/>
      <c r="W376" s="79"/>
      <c r="Z376" s="130"/>
      <c r="AB376" s="106"/>
    </row>
    <row r="377">
      <c r="C377" s="79"/>
      <c r="D377" s="79"/>
      <c r="E377" s="79"/>
      <c r="M377" s="79"/>
      <c r="R377" s="79"/>
      <c r="S377" s="79"/>
      <c r="V377" s="79"/>
      <c r="W377" s="79"/>
      <c r="Z377" s="130"/>
      <c r="AB377" s="106"/>
    </row>
    <row r="378">
      <c r="C378" s="79"/>
      <c r="D378" s="79"/>
      <c r="E378" s="79"/>
      <c r="M378" s="79"/>
      <c r="R378" s="79"/>
      <c r="S378" s="79"/>
      <c r="V378" s="79"/>
      <c r="W378" s="79"/>
      <c r="Z378" s="130"/>
      <c r="AB378" s="106"/>
    </row>
    <row r="379">
      <c r="C379" s="79"/>
      <c r="D379" s="79"/>
      <c r="E379" s="79"/>
      <c r="M379" s="79"/>
      <c r="R379" s="79"/>
      <c r="S379" s="79"/>
      <c r="V379" s="79"/>
      <c r="W379" s="79"/>
      <c r="Z379" s="130"/>
      <c r="AB379" s="106"/>
    </row>
    <row r="380">
      <c r="C380" s="79"/>
      <c r="D380" s="79"/>
      <c r="E380" s="79"/>
      <c r="M380" s="79"/>
      <c r="R380" s="79"/>
      <c r="S380" s="79"/>
      <c r="V380" s="79"/>
      <c r="W380" s="79"/>
      <c r="Z380" s="130"/>
      <c r="AB380" s="106"/>
    </row>
    <row r="381">
      <c r="C381" s="79"/>
      <c r="D381" s="79"/>
      <c r="E381" s="79"/>
      <c r="M381" s="79"/>
      <c r="R381" s="79"/>
      <c r="S381" s="79"/>
      <c r="V381" s="79"/>
      <c r="W381" s="79"/>
      <c r="Z381" s="130"/>
      <c r="AB381" s="106"/>
    </row>
    <row r="382">
      <c r="C382" s="79"/>
      <c r="D382" s="79"/>
      <c r="E382" s="79"/>
      <c r="M382" s="79"/>
      <c r="R382" s="79"/>
      <c r="S382" s="79"/>
      <c r="V382" s="79"/>
      <c r="W382" s="79"/>
      <c r="Z382" s="130"/>
      <c r="AB382" s="106"/>
    </row>
    <row r="383">
      <c r="C383" s="79"/>
      <c r="D383" s="79"/>
      <c r="E383" s="79"/>
      <c r="M383" s="79"/>
      <c r="R383" s="79"/>
      <c r="S383" s="79"/>
      <c r="V383" s="79"/>
      <c r="W383" s="79"/>
      <c r="Z383" s="130"/>
      <c r="AB383" s="106"/>
    </row>
    <row r="384">
      <c r="C384" s="79"/>
      <c r="D384" s="79"/>
      <c r="E384" s="79"/>
      <c r="M384" s="79"/>
      <c r="R384" s="79"/>
      <c r="S384" s="79"/>
      <c r="V384" s="79"/>
      <c r="W384" s="79"/>
      <c r="Z384" s="130"/>
      <c r="AB384" s="106"/>
    </row>
    <row r="385">
      <c r="C385" s="79"/>
      <c r="D385" s="79"/>
      <c r="E385" s="79"/>
      <c r="M385" s="79"/>
      <c r="R385" s="79"/>
      <c r="S385" s="79"/>
      <c r="V385" s="79"/>
      <c r="W385" s="79"/>
      <c r="Z385" s="130"/>
      <c r="AB385" s="106"/>
    </row>
    <row r="386">
      <c r="C386" s="79"/>
      <c r="D386" s="79"/>
      <c r="E386" s="79"/>
      <c r="M386" s="79"/>
      <c r="R386" s="79"/>
      <c r="S386" s="79"/>
      <c r="V386" s="79"/>
      <c r="W386" s="79"/>
      <c r="Z386" s="130"/>
      <c r="AB386" s="106"/>
    </row>
    <row r="387">
      <c r="C387" s="79"/>
      <c r="D387" s="79"/>
      <c r="E387" s="79"/>
      <c r="M387" s="79"/>
      <c r="R387" s="79"/>
      <c r="S387" s="79"/>
      <c r="V387" s="79"/>
      <c r="W387" s="79"/>
      <c r="Z387" s="130"/>
      <c r="AB387" s="106"/>
    </row>
    <row r="388">
      <c r="C388" s="79"/>
      <c r="D388" s="79"/>
      <c r="E388" s="79"/>
      <c r="M388" s="79"/>
      <c r="R388" s="79"/>
      <c r="S388" s="79"/>
      <c r="V388" s="79"/>
      <c r="W388" s="79"/>
      <c r="Z388" s="130"/>
      <c r="AB388" s="106"/>
    </row>
    <row r="389">
      <c r="C389" s="79"/>
      <c r="D389" s="79"/>
      <c r="E389" s="79"/>
      <c r="M389" s="79"/>
      <c r="R389" s="79"/>
      <c r="S389" s="79"/>
      <c r="V389" s="79"/>
      <c r="W389" s="79"/>
      <c r="Z389" s="130"/>
      <c r="AB389" s="106"/>
    </row>
    <row r="390">
      <c r="C390" s="79"/>
      <c r="D390" s="79"/>
      <c r="E390" s="79"/>
      <c r="M390" s="79"/>
      <c r="R390" s="79"/>
      <c r="S390" s="79"/>
      <c r="V390" s="79"/>
      <c r="W390" s="79"/>
      <c r="Z390" s="130"/>
      <c r="AB390" s="106"/>
    </row>
    <row r="391">
      <c r="C391" s="79"/>
      <c r="D391" s="79"/>
      <c r="E391" s="79"/>
      <c r="M391" s="79"/>
      <c r="R391" s="79"/>
      <c r="S391" s="79"/>
      <c r="V391" s="79"/>
      <c r="W391" s="79"/>
      <c r="Z391" s="130"/>
      <c r="AB391" s="106"/>
    </row>
    <row r="392">
      <c r="C392" s="79"/>
      <c r="D392" s="79"/>
      <c r="E392" s="79"/>
      <c r="M392" s="79"/>
      <c r="R392" s="79"/>
      <c r="S392" s="79"/>
      <c r="V392" s="79"/>
      <c r="W392" s="79"/>
      <c r="Z392" s="130"/>
      <c r="AB392" s="106"/>
    </row>
    <row r="393">
      <c r="C393" s="79"/>
      <c r="D393" s="79"/>
      <c r="E393" s="79"/>
      <c r="M393" s="79"/>
      <c r="R393" s="79"/>
      <c r="S393" s="79"/>
      <c r="V393" s="79"/>
      <c r="W393" s="79"/>
      <c r="Z393" s="130"/>
      <c r="AB393" s="106"/>
    </row>
    <row r="394">
      <c r="C394" s="79"/>
      <c r="D394" s="79"/>
      <c r="E394" s="79"/>
      <c r="M394" s="79"/>
      <c r="R394" s="79"/>
      <c r="S394" s="79"/>
      <c r="V394" s="79"/>
      <c r="W394" s="79"/>
      <c r="Z394" s="130"/>
      <c r="AB394" s="106"/>
    </row>
    <row r="395">
      <c r="C395" s="79"/>
      <c r="D395" s="79"/>
      <c r="E395" s="79"/>
      <c r="M395" s="79"/>
      <c r="R395" s="79"/>
      <c r="S395" s="79"/>
      <c r="V395" s="79"/>
      <c r="W395" s="79"/>
      <c r="Z395" s="130"/>
      <c r="AB395" s="106"/>
    </row>
    <row r="396">
      <c r="C396" s="79"/>
      <c r="D396" s="79"/>
      <c r="E396" s="79"/>
      <c r="M396" s="79"/>
      <c r="R396" s="79"/>
      <c r="S396" s="79"/>
      <c r="V396" s="79"/>
      <c r="W396" s="79"/>
      <c r="Z396" s="130"/>
      <c r="AB396" s="106"/>
    </row>
    <row r="397">
      <c r="C397" s="79"/>
      <c r="D397" s="79"/>
      <c r="E397" s="79"/>
      <c r="M397" s="79"/>
      <c r="R397" s="79"/>
      <c r="S397" s="79"/>
      <c r="V397" s="79"/>
      <c r="W397" s="79"/>
      <c r="Z397" s="130"/>
      <c r="AB397" s="106"/>
    </row>
    <row r="398">
      <c r="C398" s="79"/>
      <c r="D398" s="79"/>
      <c r="E398" s="79"/>
      <c r="M398" s="79"/>
      <c r="R398" s="79"/>
      <c r="S398" s="79"/>
      <c r="V398" s="79"/>
      <c r="W398" s="79"/>
      <c r="Z398" s="130"/>
      <c r="AB398" s="106"/>
    </row>
    <row r="399">
      <c r="C399" s="79"/>
      <c r="D399" s="79"/>
      <c r="E399" s="79"/>
      <c r="M399" s="79"/>
      <c r="R399" s="79"/>
      <c r="S399" s="79"/>
      <c r="V399" s="79"/>
      <c r="W399" s="79"/>
      <c r="Z399" s="130"/>
      <c r="AB399" s="106"/>
    </row>
    <row r="400">
      <c r="C400" s="79"/>
      <c r="D400" s="79"/>
      <c r="E400" s="79"/>
      <c r="M400" s="79"/>
      <c r="R400" s="79"/>
      <c r="S400" s="79"/>
      <c r="V400" s="79"/>
      <c r="W400" s="79"/>
      <c r="Z400" s="130"/>
      <c r="AB400" s="106"/>
    </row>
    <row r="401">
      <c r="C401" s="79"/>
      <c r="D401" s="79"/>
      <c r="E401" s="79"/>
      <c r="M401" s="79"/>
      <c r="R401" s="79"/>
      <c r="S401" s="79"/>
      <c r="V401" s="79"/>
      <c r="W401" s="79"/>
      <c r="Z401" s="130"/>
      <c r="AB401" s="106"/>
    </row>
    <row r="402">
      <c r="C402" s="79"/>
      <c r="D402" s="79"/>
      <c r="E402" s="79"/>
      <c r="M402" s="79"/>
      <c r="R402" s="79"/>
      <c r="S402" s="79"/>
      <c r="V402" s="79"/>
      <c r="W402" s="79"/>
      <c r="Z402" s="130"/>
      <c r="AB402" s="106"/>
    </row>
    <row r="403">
      <c r="C403" s="79"/>
      <c r="D403" s="79"/>
      <c r="E403" s="79"/>
      <c r="M403" s="79"/>
      <c r="R403" s="79"/>
      <c r="S403" s="79"/>
      <c r="V403" s="79"/>
      <c r="W403" s="79"/>
      <c r="Z403" s="130"/>
      <c r="AB403" s="106"/>
    </row>
    <row r="404">
      <c r="C404" s="79"/>
      <c r="D404" s="79"/>
      <c r="E404" s="79"/>
      <c r="M404" s="79"/>
      <c r="R404" s="79"/>
      <c r="S404" s="79"/>
      <c r="V404" s="79"/>
      <c r="W404" s="79"/>
      <c r="Z404" s="130"/>
      <c r="AB404" s="106"/>
    </row>
    <row r="405">
      <c r="C405" s="79"/>
      <c r="D405" s="79"/>
      <c r="E405" s="79"/>
      <c r="M405" s="79"/>
      <c r="R405" s="79"/>
      <c r="S405" s="79"/>
      <c r="V405" s="79"/>
      <c r="W405" s="79"/>
      <c r="Z405" s="130"/>
      <c r="AB405" s="106"/>
    </row>
    <row r="406">
      <c r="C406" s="79"/>
      <c r="D406" s="79"/>
      <c r="E406" s="79"/>
      <c r="M406" s="79"/>
      <c r="R406" s="79"/>
      <c r="S406" s="79"/>
      <c r="V406" s="79"/>
      <c r="W406" s="79"/>
      <c r="Z406" s="130"/>
      <c r="AB406" s="106"/>
    </row>
    <row r="407">
      <c r="C407" s="79"/>
      <c r="D407" s="79"/>
      <c r="E407" s="79"/>
      <c r="M407" s="79"/>
      <c r="R407" s="79"/>
      <c r="S407" s="79"/>
      <c r="V407" s="79"/>
      <c r="W407" s="79"/>
      <c r="Z407" s="130"/>
      <c r="AB407" s="106"/>
    </row>
    <row r="408">
      <c r="C408" s="79"/>
      <c r="D408" s="79"/>
      <c r="E408" s="79"/>
      <c r="M408" s="79"/>
      <c r="R408" s="79"/>
      <c r="S408" s="79"/>
      <c r="V408" s="79"/>
      <c r="W408" s="79"/>
      <c r="Z408" s="130"/>
      <c r="AB408" s="106"/>
    </row>
    <row r="409">
      <c r="C409" s="79"/>
      <c r="D409" s="79"/>
      <c r="E409" s="79"/>
      <c r="M409" s="79"/>
      <c r="R409" s="79"/>
      <c r="S409" s="79"/>
      <c r="V409" s="79"/>
      <c r="W409" s="79"/>
      <c r="Z409" s="130"/>
      <c r="AB409" s="106"/>
    </row>
    <row r="410">
      <c r="C410" s="79"/>
      <c r="D410" s="79"/>
      <c r="E410" s="79"/>
      <c r="M410" s="79"/>
      <c r="R410" s="79"/>
      <c r="S410" s="79"/>
      <c r="V410" s="79"/>
      <c r="W410" s="79"/>
      <c r="Z410" s="130"/>
      <c r="AB410" s="106"/>
    </row>
    <row r="411">
      <c r="C411" s="79"/>
      <c r="D411" s="79"/>
      <c r="E411" s="79"/>
      <c r="M411" s="79"/>
      <c r="R411" s="79"/>
      <c r="S411" s="79"/>
      <c r="V411" s="79"/>
      <c r="W411" s="79"/>
      <c r="Z411" s="130"/>
      <c r="AB411" s="106"/>
    </row>
    <row r="412">
      <c r="C412" s="79"/>
      <c r="D412" s="79"/>
      <c r="E412" s="79"/>
      <c r="M412" s="79"/>
      <c r="R412" s="79"/>
      <c r="S412" s="79"/>
      <c r="V412" s="79"/>
      <c r="W412" s="79"/>
      <c r="Z412" s="130"/>
      <c r="AB412" s="106"/>
    </row>
    <row r="413">
      <c r="C413" s="79"/>
      <c r="D413" s="79"/>
      <c r="E413" s="79"/>
      <c r="M413" s="79"/>
      <c r="R413" s="79"/>
      <c r="S413" s="79"/>
      <c r="V413" s="79"/>
      <c r="W413" s="79"/>
      <c r="Z413" s="130"/>
      <c r="AB413" s="106"/>
    </row>
    <row r="414">
      <c r="C414" s="79"/>
      <c r="D414" s="79"/>
      <c r="E414" s="79"/>
      <c r="M414" s="79"/>
      <c r="R414" s="79"/>
      <c r="S414" s="79"/>
      <c r="V414" s="79"/>
      <c r="W414" s="79"/>
      <c r="Z414" s="130"/>
      <c r="AB414" s="106"/>
    </row>
    <row r="415">
      <c r="C415" s="79"/>
      <c r="D415" s="79"/>
      <c r="E415" s="79"/>
      <c r="M415" s="79"/>
      <c r="R415" s="79"/>
      <c r="S415" s="79"/>
      <c r="V415" s="79"/>
      <c r="W415" s="79"/>
      <c r="Z415" s="130"/>
      <c r="AB415" s="106"/>
    </row>
    <row r="416">
      <c r="C416" s="79"/>
      <c r="D416" s="79"/>
      <c r="E416" s="79"/>
      <c r="M416" s="79"/>
      <c r="R416" s="79"/>
      <c r="S416" s="79"/>
      <c r="V416" s="79"/>
      <c r="W416" s="79"/>
      <c r="Z416" s="130"/>
      <c r="AB416" s="106"/>
    </row>
    <row r="417">
      <c r="C417" s="79"/>
      <c r="D417" s="79"/>
      <c r="E417" s="79"/>
      <c r="M417" s="79"/>
      <c r="R417" s="79"/>
      <c r="S417" s="79"/>
      <c r="V417" s="79"/>
      <c r="W417" s="79"/>
      <c r="Z417" s="130"/>
      <c r="AB417" s="106"/>
    </row>
    <row r="418">
      <c r="C418" s="79"/>
      <c r="D418" s="79"/>
      <c r="E418" s="79"/>
      <c r="M418" s="79"/>
      <c r="R418" s="79"/>
      <c r="S418" s="79"/>
      <c r="V418" s="79"/>
      <c r="W418" s="79"/>
      <c r="Z418" s="130"/>
      <c r="AB418" s="106"/>
    </row>
    <row r="419">
      <c r="C419" s="79"/>
      <c r="D419" s="79"/>
      <c r="E419" s="79"/>
      <c r="M419" s="79"/>
      <c r="R419" s="79"/>
      <c r="S419" s="79"/>
      <c r="V419" s="79"/>
      <c r="W419" s="79"/>
      <c r="Z419" s="130"/>
      <c r="AB419" s="106"/>
    </row>
    <row r="420">
      <c r="C420" s="79"/>
      <c r="D420" s="79"/>
      <c r="E420" s="79"/>
      <c r="M420" s="79"/>
      <c r="R420" s="79"/>
      <c r="S420" s="79"/>
      <c r="V420" s="79"/>
      <c r="W420" s="79"/>
      <c r="Z420" s="130"/>
      <c r="AB420" s="106"/>
    </row>
    <row r="421">
      <c r="C421" s="79"/>
      <c r="D421" s="79"/>
      <c r="E421" s="79"/>
      <c r="M421" s="79"/>
      <c r="R421" s="79"/>
      <c r="S421" s="79"/>
      <c r="V421" s="79"/>
      <c r="W421" s="79"/>
      <c r="Z421" s="130"/>
      <c r="AB421" s="106"/>
    </row>
    <row r="422">
      <c r="C422" s="79"/>
      <c r="D422" s="79"/>
      <c r="E422" s="79"/>
      <c r="M422" s="79"/>
      <c r="R422" s="79"/>
      <c r="S422" s="79"/>
      <c r="V422" s="79"/>
      <c r="W422" s="79"/>
      <c r="Z422" s="130"/>
      <c r="AB422" s="106"/>
    </row>
    <row r="423">
      <c r="C423" s="79"/>
      <c r="D423" s="79"/>
      <c r="E423" s="79"/>
      <c r="M423" s="79"/>
      <c r="R423" s="79"/>
      <c r="S423" s="79"/>
      <c r="V423" s="79"/>
      <c r="W423" s="79"/>
      <c r="Z423" s="130"/>
      <c r="AB423" s="106"/>
    </row>
    <row r="424">
      <c r="C424" s="79"/>
      <c r="D424" s="79"/>
      <c r="E424" s="79"/>
      <c r="M424" s="79"/>
      <c r="R424" s="79"/>
      <c r="S424" s="79"/>
      <c r="V424" s="79"/>
      <c r="W424" s="79"/>
      <c r="Z424" s="130"/>
      <c r="AB424" s="106"/>
    </row>
    <row r="425">
      <c r="C425" s="79"/>
      <c r="D425" s="79"/>
      <c r="E425" s="79"/>
      <c r="M425" s="79"/>
      <c r="R425" s="79"/>
      <c r="S425" s="79"/>
      <c r="V425" s="79"/>
      <c r="W425" s="79"/>
      <c r="Z425" s="130"/>
      <c r="AB425" s="106"/>
    </row>
    <row r="426">
      <c r="C426" s="79"/>
      <c r="D426" s="79"/>
      <c r="E426" s="79"/>
      <c r="M426" s="79"/>
      <c r="R426" s="79"/>
      <c r="S426" s="79"/>
      <c r="V426" s="79"/>
      <c r="W426" s="79"/>
      <c r="Z426" s="130"/>
      <c r="AB426" s="106"/>
    </row>
    <row r="427">
      <c r="C427" s="79"/>
      <c r="D427" s="79"/>
      <c r="E427" s="79"/>
      <c r="M427" s="79"/>
      <c r="R427" s="79"/>
      <c r="S427" s="79"/>
      <c r="V427" s="79"/>
      <c r="W427" s="79"/>
      <c r="Z427" s="130"/>
      <c r="AB427" s="106"/>
    </row>
    <row r="428">
      <c r="C428" s="79"/>
      <c r="D428" s="79"/>
      <c r="E428" s="79"/>
      <c r="M428" s="79"/>
      <c r="R428" s="79"/>
      <c r="S428" s="79"/>
      <c r="V428" s="79"/>
      <c r="W428" s="79"/>
      <c r="Z428" s="130"/>
      <c r="AB428" s="106"/>
    </row>
    <row r="429">
      <c r="C429" s="79"/>
      <c r="D429" s="79"/>
      <c r="E429" s="79"/>
      <c r="M429" s="79"/>
      <c r="R429" s="79"/>
      <c r="S429" s="79"/>
      <c r="V429" s="79"/>
      <c r="W429" s="79"/>
      <c r="Z429" s="130"/>
      <c r="AB429" s="106"/>
    </row>
    <row r="430">
      <c r="C430" s="79"/>
      <c r="D430" s="79"/>
      <c r="E430" s="79"/>
      <c r="M430" s="79"/>
      <c r="R430" s="79"/>
      <c r="S430" s="79"/>
      <c r="V430" s="79"/>
      <c r="W430" s="79"/>
      <c r="Z430" s="130"/>
      <c r="AB430" s="106"/>
    </row>
    <row r="431">
      <c r="C431" s="79"/>
      <c r="D431" s="79"/>
      <c r="E431" s="79"/>
      <c r="M431" s="79"/>
      <c r="R431" s="79"/>
      <c r="S431" s="79"/>
      <c r="V431" s="79"/>
      <c r="W431" s="79"/>
      <c r="Z431" s="130"/>
      <c r="AB431" s="106"/>
    </row>
    <row r="432">
      <c r="C432" s="79"/>
      <c r="D432" s="79"/>
      <c r="E432" s="79"/>
      <c r="M432" s="79"/>
      <c r="R432" s="79"/>
      <c r="S432" s="79"/>
      <c r="V432" s="79"/>
      <c r="W432" s="79"/>
      <c r="Z432" s="130"/>
      <c r="AB432" s="106"/>
    </row>
    <row r="433">
      <c r="C433" s="79"/>
      <c r="D433" s="79"/>
      <c r="E433" s="79"/>
      <c r="M433" s="79"/>
      <c r="R433" s="79"/>
      <c r="S433" s="79"/>
      <c r="V433" s="79"/>
      <c r="W433" s="79"/>
      <c r="Z433" s="130"/>
      <c r="AB433" s="106"/>
    </row>
    <row r="434">
      <c r="C434" s="79"/>
      <c r="D434" s="79"/>
      <c r="E434" s="79"/>
      <c r="M434" s="79"/>
      <c r="R434" s="79"/>
      <c r="S434" s="79"/>
      <c r="V434" s="79"/>
      <c r="W434" s="79"/>
      <c r="Z434" s="130"/>
      <c r="AB434" s="106"/>
    </row>
    <row r="435">
      <c r="C435" s="79"/>
      <c r="D435" s="79"/>
      <c r="E435" s="79"/>
      <c r="M435" s="79"/>
      <c r="R435" s="79"/>
      <c r="S435" s="79"/>
      <c r="V435" s="79"/>
      <c r="W435" s="79"/>
      <c r="Z435" s="130"/>
      <c r="AB435" s="106"/>
    </row>
    <row r="436">
      <c r="C436" s="79"/>
      <c r="D436" s="79"/>
      <c r="E436" s="79"/>
      <c r="M436" s="79"/>
      <c r="R436" s="79"/>
      <c r="S436" s="79"/>
      <c r="V436" s="79"/>
      <c r="W436" s="79"/>
      <c r="Z436" s="130"/>
      <c r="AB436" s="106"/>
    </row>
    <row r="437">
      <c r="C437" s="79"/>
      <c r="D437" s="79"/>
      <c r="E437" s="79"/>
      <c r="M437" s="79"/>
      <c r="R437" s="79"/>
      <c r="S437" s="79"/>
      <c r="V437" s="79"/>
      <c r="W437" s="79"/>
      <c r="Z437" s="130"/>
      <c r="AB437" s="106"/>
    </row>
    <row r="438">
      <c r="C438" s="79"/>
      <c r="D438" s="79"/>
      <c r="E438" s="79"/>
      <c r="M438" s="79"/>
      <c r="R438" s="79"/>
      <c r="S438" s="79"/>
      <c r="V438" s="79"/>
      <c r="W438" s="79"/>
      <c r="Z438" s="130"/>
      <c r="AB438" s="106"/>
    </row>
    <row r="439">
      <c r="C439" s="79"/>
      <c r="D439" s="79"/>
      <c r="E439" s="79"/>
      <c r="M439" s="79"/>
      <c r="R439" s="79"/>
      <c r="S439" s="79"/>
      <c r="V439" s="79"/>
      <c r="W439" s="79"/>
      <c r="Z439" s="130"/>
      <c r="AB439" s="106"/>
    </row>
    <row r="440">
      <c r="C440" s="79"/>
      <c r="D440" s="79"/>
      <c r="E440" s="79"/>
      <c r="M440" s="79"/>
      <c r="R440" s="79"/>
      <c r="S440" s="79"/>
      <c r="V440" s="79"/>
      <c r="W440" s="79"/>
      <c r="Z440" s="130"/>
      <c r="AB440" s="106"/>
    </row>
    <row r="441">
      <c r="C441" s="79"/>
      <c r="D441" s="79"/>
      <c r="E441" s="79"/>
      <c r="M441" s="79"/>
      <c r="R441" s="79"/>
      <c r="S441" s="79"/>
      <c r="V441" s="79"/>
      <c r="W441" s="79"/>
      <c r="Z441" s="130"/>
      <c r="AB441" s="106"/>
    </row>
    <row r="442">
      <c r="C442" s="79"/>
      <c r="D442" s="79"/>
      <c r="E442" s="79"/>
      <c r="M442" s="79"/>
      <c r="R442" s="79"/>
      <c r="S442" s="79"/>
      <c r="V442" s="79"/>
      <c r="W442" s="79"/>
      <c r="Z442" s="130"/>
      <c r="AB442" s="106"/>
    </row>
    <row r="443">
      <c r="C443" s="79"/>
      <c r="D443" s="79"/>
      <c r="E443" s="79"/>
      <c r="M443" s="79"/>
      <c r="R443" s="79"/>
      <c r="S443" s="79"/>
      <c r="V443" s="79"/>
      <c r="W443" s="79"/>
      <c r="Z443" s="130"/>
      <c r="AB443" s="106"/>
    </row>
    <row r="444">
      <c r="C444" s="79"/>
      <c r="D444" s="79"/>
      <c r="E444" s="79"/>
      <c r="M444" s="79"/>
      <c r="R444" s="79"/>
      <c r="S444" s="79"/>
      <c r="V444" s="79"/>
      <c r="W444" s="79"/>
      <c r="Z444" s="130"/>
      <c r="AB444" s="106"/>
    </row>
    <row r="445">
      <c r="C445" s="79"/>
      <c r="D445" s="79"/>
      <c r="E445" s="79"/>
      <c r="M445" s="79"/>
      <c r="R445" s="79"/>
      <c r="S445" s="79"/>
      <c r="V445" s="79"/>
      <c r="W445" s="79"/>
      <c r="Z445" s="130"/>
      <c r="AB445" s="106"/>
    </row>
    <row r="446">
      <c r="C446" s="79"/>
      <c r="D446" s="79"/>
      <c r="E446" s="79"/>
      <c r="M446" s="79"/>
      <c r="R446" s="79"/>
      <c r="S446" s="79"/>
      <c r="V446" s="79"/>
      <c r="W446" s="79"/>
      <c r="Z446" s="130"/>
      <c r="AB446" s="106"/>
    </row>
    <row r="447">
      <c r="C447" s="79"/>
      <c r="D447" s="79"/>
      <c r="E447" s="79"/>
      <c r="M447" s="79"/>
      <c r="R447" s="79"/>
      <c r="S447" s="79"/>
      <c r="V447" s="79"/>
      <c r="W447" s="79"/>
      <c r="Z447" s="130"/>
      <c r="AB447" s="106"/>
    </row>
    <row r="448">
      <c r="C448" s="79"/>
      <c r="D448" s="79"/>
      <c r="E448" s="79"/>
      <c r="M448" s="79"/>
      <c r="R448" s="79"/>
      <c r="S448" s="79"/>
      <c r="V448" s="79"/>
      <c r="W448" s="79"/>
      <c r="Z448" s="130"/>
      <c r="AB448" s="106"/>
    </row>
    <row r="449">
      <c r="C449" s="79"/>
      <c r="D449" s="79"/>
      <c r="E449" s="79"/>
      <c r="M449" s="79"/>
      <c r="R449" s="79"/>
      <c r="S449" s="79"/>
      <c r="V449" s="79"/>
      <c r="W449" s="79"/>
      <c r="Z449" s="130"/>
      <c r="AB449" s="106"/>
    </row>
    <row r="450">
      <c r="C450" s="79"/>
      <c r="D450" s="79"/>
      <c r="E450" s="79"/>
      <c r="M450" s="79"/>
      <c r="R450" s="79"/>
      <c r="S450" s="79"/>
      <c r="V450" s="79"/>
      <c r="W450" s="79"/>
      <c r="Z450" s="130"/>
      <c r="AB450" s="106"/>
    </row>
    <row r="451">
      <c r="C451" s="79"/>
      <c r="D451" s="79"/>
      <c r="E451" s="79"/>
      <c r="M451" s="79"/>
      <c r="R451" s="79"/>
      <c r="S451" s="79"/>
      <c r="V451" s="79"/>
      <c r="W451" s="79"/>
      <c r="Z451" s="130"/>
      <c r="AB451" s="106"/>
    </row>
    <row r="452">
      <c r="C452" s="79"/>
      <c r="D452" s="79"/>
      <c r="E452" s="79"/>
      <c r="M452" s="79"/>
      <c r="R452" s="79"/>
      <c r="S452" s="79"/>
      <c r="V452" s="79"/>
      <c r="W452" s="79"/>
      <c r="Z452" s="130"/>
      <c r="AB452" s="106"/>
    </row>
    <row r="453">
      <c r="C453" s="79"/>
      <c r="D453" s="79"/>
      <c r="E453" s="79"/>
      <c r="M453" s="79"/>
      <c r="R453" s="79"/>
      <c r="S453" s="79"/>
      <c r="V453" s="79"/>
      <c r="W453" s="79"/>
      <c r="Z453" s="130"/>
      <c r="AB453" s="106"/>
    </row>
    <row r="454">
      <c r="C454" s="79"/>
      <c r="D454" s="79"/>
      <c r="E454" s="79"/>
      <c r="M454" s="79"/>
      <c r="R454" s="79"/>
      <c r="S454" s="79"/>
      <c r="V454" s="79"/>
      <c r="W454" s="79"/>
      <c r="Z454" s="130"/>
      <c r="AB454" s="106"/>
    </row>
    <row r="455">
      <c r="C455" s="79"/>
      <c r="D455" s="79"/>
      <c r="E455" s="79"/>
      <c r="M455" s="79"/>
      <c r="R455" s="79"/>
      <c r="S455" s="79"/>
      <c r="V455" s="79"/>
      <c r="W455" s="79"/>
      <c r="Z455" s="130"/>
      <c r="AB455" s="106"/>
    </row>
    <row r="456">
      <c r="C456" s="79"/>
      <c r="D456" s="79"/>
      <c r="E456" s="79"/>
      <c r="M456" s="79"/>
      <c r="R456" s="79"/>
      <c r="S456" s="79"/>
      <c r="V456" s="79"/>
      <c r="W456" s="79"/>
      <c r="Z456" s="130"/>
      <c r="AB456" s="106"/>
    </row>
    <row r="457">
      <c r="C457" s="79"/>
      <c r="D457" s="79"/>
      <c r="E457" s="79"/>
      <c r="M457" s="79"/>
      <c r="R457" s="79"/>
      <c r="S457" s="79"/>
      <c r="V457" s="79"/>
      <c r="W457" s="79"/>
      <c r="Z457" s="130"/>
      <c r="AB457" s="106"/>
    </row>
    <row r="458">
      <c r="C458" s="79"/>
      <c r="D458" s="79"/>
      <c r="E458" s="79"/>
      <c r="M458" s="79"/>
      <c r="R458" s="79"/>
      <c r="S458" s="79"/>
      <c r="V458" s="79"/>
      <c r="W458" s="79"/>
      <c r="Z458" s="130"/>
      <c r="AB458" s="106"/>
    </row>
    <row r="459">
      <c r="C459" s="79"/>
      <c r="D459" s="79"/>
      <c r="E459" s="79"/>
      <c r="M459" s="79"/>
      <c r="R459" s="79"/>
      <c r="S459" s="79"/>
      <c r="V459" s="79"/>
      <c r="W459" s="79"/>
      <c r="Z459" s="130"/>
      <c r="AB459" s="106"/>
    </row>
    <row r="460">
      <c r="C460" s="79"/>
      <c r="D460" s="79"/>
      <c r="E460" s="79"/>
      <c r="M460" s="79"/>
      <c r="R460" s="79"/>
      <c r="S460" s="79"/>
      <c r="V460" s="79"/>
      <c r="W460" s="79"/>
      <c r="Z460" s="130"/>
      <c r="AB460" s="106"/>
    </row>
    <row r="461">
      <c r="C461" s="79"/>
      <c r="D461" s="79"/>
      <c r="E461" s="79"/>
      <c r="M461" s="79"/>
      <c r="R461" s="79"/>
      <c r="S461" s="79"/>
      <c r="V461" s="79"/>
      <c r="W461" s="79"/>
      <c r="Z461" s="130"/>
      <c r="AB461" s="106"/>
    </row>
    <row r="462">
      <c r="C462" s="79"/>
      <c r="D462" s="79"/>
      <c r="E462" s="79"/>
      <c r="M462" s="79"/>
      <c r="R462" s="79"/>
      <c r="S462" s="79"/>
      <c r="V462" s="79"/>
      <c r="W462" s="79"/>
      <c r="Z462" s="130"/>
      <c r="AB462" s="106"/>
    </row>
    <row r="463">
      <c r="C463" s="79"/>
      <c r="D463" s="79"/>
      <c r="E463" s="79"/>
      <c r="M463" s="79"/>
      <c r="R463" s="79"/>
      <c r="S463" s="79"/>
      <c r="V463" s="79"/>
      <c r="W463" s="79"/>
      <c r="Z463" s="130"/>
      <c r="AB463" s="106"/>
    </row>
    <row r="464">
      <c r="C464" s="79"/>
      <c r="D464" s="79"/>
      <c r="E464" s="79"/>
      <c r="M464" s="79"/>
      <c r="R464" s="79"/>
      <c r="S464" s="79"/>
      <c r="V464" s="79"/>
      <c r="W464" s="79"/>
      <c r="Z464" s="130"/>
      <c r="AB464" s="106"/>
    </row>
    <row r="465">
      <c r="C465" s="79"/>
      <c r="D465" s="79"/>
      <c r="E465" s="79"/>
      <c r="M465" s="79"/>
      <c r="R465" s="79"/>
      <c r="S465" s="79"/>
      <c r="V465" s="79"/>
      <c r="W465" s="79"/>
      <c r="Z465" s="130"/>
      <c r="AB465" s="106"/>
    </row>
    <row r="466">
      <c r="C466" s="79"/>
      <c r="D466" s="79"/>
      <c r="E466" s="79"/>
      <c r="M466" s="79"/>
      <c r="R466" s="79"/>
      <c r="S466" s="79"/>
      <c r="V466" s="79"/>
      <c r="W466" s="79"/>
      <c r="Z466" s="130"/>
      <c r="AB466" s="106"/>
    </row>
    <row r="467">
      <c r="C467" s="79"/>
      <c r="D467" s="79"/>
      <c r="E467" s="79"/>
      <c r="M467" s="79"/>
      <c r="R467" s="79"/>
      <c r="S467" s="79"/>
      <c r="V467" s="79"/>
      <c r="W467" s="79"/>
      <c r="Z467" s="130"/>
      <c r="AB467" s="106"/>
    </row>
    <row r="468">
      <c r="C468" s="79"/>
      <c r="D468" s="79"/>
      <c r="E468" s="79"/>
      <c r="M468" s="79"/>
      <c r="R468" s="79"/>
      <c r="S468" s="79"/>
      <c r="V468" s="79"/>
      <c r="W468" s="79"/>
      <c r="Z468" s="130"/>
      <c r="AB468" s="106"/>
    </row>
    <row r="469">
      <c r="C469" s="79"/>
      <c r="D469" s="79"/>
      <c r="E469" s="79"/>
      <c r="M469" s="79"/>
      <c r="R469" s="79"/>
      <c r="S469" s="79"/>
      <c r="V469" s="79"/>
      <c r="W469" s="79"/>
      <c r="Z469" s="130"/>
      <c r="AB469" s="106"/>
    </row>
    <row r="470">
      <c r="C470" s="79"/>
      <c r="D470" s="79"/>
      <c r="E470" s="79"/>
      <c r="M470" s="79"/>
      <c r="R470" s="79"/>
      <c r="S470" s="79"/>
      <c r="V470" s="79"/>
      <c r="W470" s="79"/>
      <c r="Z470" s="130"/>
      <c r="AB470" s="106"/>
    </row>
    <row r="471">
      <c r="C471" s="79"/>
      <c r="D471" s="79"/>
      <c r="E471" s="79"/>
      <c r="M471" s="79"/>
      <c r="R471" s="79"/>
      <c r="S471" s="79"/>
      <c r="V471" s="79"/>
      <c r="W471" s="79"/>
      <c r="Z471" s="130"/>
      <c r="AB471" s="106"/>
    </row>
    <row r="472">
      <c r="C472" s="79"/>
      <c r="D472" s="79"/>
      <c r="E472" s="79"/>
      <c r="M472" s="79"/>
      <c r="R472" s="79"/>
      <c r="S472" s="79"/>
      <c r="V472" s="79"/>
      <c r="W472" s="79"/>
      <c r="Z472" s="130"/>
      <c r="AB472" s="106"/>
    </row>
    <row r="473">
      <c r="C473" s="79"/>
      <c r="D473" s="79"/>
      <c r="E473" s="79"/>
      <c r="M473" s="79"/>
      <c r="R473" s="79"/>
      <c r="S473" s="79"/>
      <c r="V473" s="79"/>
      <c r="W473" s="79"/>
      <c r="Z473" s="130"/>
      <c r="AB473" s="106"/>
    </row>
    <row r="474">
      <c r="C474" s="79"/>
      <c r="D474" s="79"/>
      <c r="E474" s="79"/>
      <c r="M474" s="79"/>
      <c r="R474" s="79"/>
      <c r="S474" s="79"/>
      <c r="V474" s="79"/>
      <c r="W474" s="79"/>
      <c r="Z474" s="130"/>
      <c r="AB474" s="106"/>
    </row>
    <row r="475">
      <c r="C475" s="79"/>
      <c r="D475" s="79"/>
      <c r="E475" s="79"/>
      <c r="M475" s="79"/>
      <c r="R475" s="79"/>
      <c r="S475" s="79"/>
      <c r="V475" s="79"/>
      <c r="W475" s="79"/>
      <c r="Z475" s="130"/>
      <c r="AB475" s="106"/>
    </row>
    <row r="476">
      <c r="C476" s="79"/>
      <c r="D476" s="79"/>
      <c r="E476" s="79"/>
      <c r="M476" s="79"/>
      <c r="R476" s="79"/>
      <c r="S476" s="79"/>
      <c r="V476" s="79"/>
      <c r="W476" s="79"/>
      <c r="Z476" s="130"/>
      <c r="AB476" s="106"/>
    </row>
    <row r="477">
      <c r="C477" s="79"/>
      <c r="D477" s="79"/>
      <c r="E477" s="79"/>
      <c r="M477" s="79"/>
      <c r="R477" s="79"/>
      <c r="S477" s="79"/>
      <c r="V477" s="79"/>
      <c r="W477" s="79"/>
      <c r="Z477" s="130"/>
      <c r="AB477" s="106"/>
    </row>
    <row r="478">
      <c r="C478" s="79"/>
      <c r="D478" s="79"/>
      <c r="E478" s="79"/>
      <c r="M478" s="79"/>
      <c r="R478" s="79"/>
      <c r="S478" s="79"/>
      <c r="V478" s="79"/>
      <c r="W478" s="79"/>
      <c r="Z478" s="130"/>
      <c r="AB478" s="106"/>
    </row>
    <row r="479">
      <c r="C479" s="79"/>
      <c r="D479" s="79"/>
      <c r="E479" s="79"/>
      <c r="M479" s="79"/>
      <c r="R479" s="79"/>
      <c r="S479" s="79"/>
      <c r="V479" s="79"/>
      <c r="W479" s="79"/>
      <c r="Z479" s="130"/>
      <c r="AB479" s="106"/>
    </row>
    <row r="480">
      <c r="C480" s="79"/>
      <c r="D480" s="79"/>
      <c r="E480" s="79"/>
      <c r="M480" s="79"/>
      <c r="R480" s="79"/>
      <c r="S480" s="79"/>
      <c r="V480" s="79"/>
      <c r="W480" s="79"/>
      <c r="Z480" s="130"/>
      <c r="AB480" s="106"/>
    </row>
    <row r="481">
      <c r="C481" s="79"/>
      <c r="D481" s="79"/>
      <c r="E481" s="79"/>
      <c r="M481" s="79"/>
      <c r="R481" s="79"/>
      <c r="S481" s="79"/>
      <c r="V481" s="79"/>
      <c r="W481" s="79"/>
      <c r="Z481" s="130"/>
      <c r="AB481" s="106"/>
    </row>
    <row r="482">
      <c r="C482" s="79"/>
      <c r="D482" s="79"/>
      <c r="E482" s="79"/>
      <c r="M482" s="79"/>
      <c r="R482" s="79"/>
      <c r="S482" s="79"/>
      <c r="V482" s="79"/>
      <c r="W482" s="79"/>
      <c r="Z482" s="130"/>
      <c r="AB482" s="106"/>
    </row>
    <row r="483">
      <c r="C483" s="79"/>
      <c r="D483" s="79"/>
      <c r="E483" s="79"/>
      <c r="M483" s="79"/>
      <c r="R483" s="79"/>
      <c r="S483" s="79"/>
      <c r="V483" s="79"/>
      <c r="W483" s="79"/>
      <c r="Z483" s="130"/>
      <c r="AB483" s="106"/>
    </row>
    <row r="484">
      <c r="C484" s="79"/>
      <c r="D484" s="79"/>
      <c r="E484" s="79"/>
      <c r="M484" s="79"/>
      <c r="R484" s="79"/>
      <c r="S484" s="79"/>
      <c r="V484" s="79"/>
      <c r="W484" s="79"/>
      <c r="Z484" s="130"/>
      <c r="AB484" s="106"/>
    </row>
    <row r="485">
      <c r="C485" s="79"/>
      <c r="D485" s="79"/>
      <c r="E485" s="79"/>
      <c r="M485" s="79"/>
      <c r="R485" s="79"/>
      <c r="S485" s="79"/>
      <c r="V485" s="79"/>
      <c r="W485" s="79"/>
      <c r="Z485" s="130"/>
      <c r="AB485" s="106"/>
    </row>
    <row r="486">
      <c r="C486" s="79"/>
      <c r="D486" s="79"/>
      <c r="E486" s="79"/>
      <c r="M486" s="79"/>
      <c r="R486" s="79"/>
      <c r="S486" s="79"/>
      <c r="V486" s="79"/>
      <c r="W486" s="79"/>
      <c r="Z486" s="130"/>
      <c r="AB486" s="106"/>
    </row>
    <row r="487">
      <c r="C487" s="79"/>
      <c r="D487" s="79"/>
      <c r="E487" s="79"/>
      <c r="M487" s="79"/>
      <c r="R487" s="79"/>
      <c r="S487" s="79"/>
      <c r="V487" s="79"/>
      <c r="W487" s="79"/>
      <c r="Z487" s="130"/>
      <c r="AB487" s="106"/>
    </row>
    <row r="488">
      <c r="C488" s="79"/>
      <c r="D488" s="79"/>
      <c r="E488" s="79"/>
      <c r="M488" s="79"/>
      <c r="R488" s="79"/>
      <c r="S488" s="79"/>
      <c r="V488" s="79"/>
      <c r="W488" s="79"/>
      <c r="Z488" s="130"/>
      <c r="AB488" s="106"/>
    </row>
    <row r="489">
      <c r="C489" s="79"/>
      <c r="D489" s="79"/>
      <c r="E489" s="79"/>
      <c r="M489" s="79"/>
      <c r="R489" s="79"/>
      <c r="S489" s="79"/>
      <c r="V489" s="79"/>
      <c r="W489" s="79"/>
      <c r="Z489" s="130"/>
      <c r="AB489" s="106"/>
    </row>
    <row r="490">
      <c r="C490" s="79"/>
      <c r="D490" s="79"/>
      <c r="E490" s="79"/>
      <c r="M490" s="79"/>
      <c r="R490" s="79"/>
      <c r="S490" s="79"/>
      <c r="V490" s="79"/>
      <c r="W490" s="79"/>
      <c r="Z490" s="130"/>
      <c r="AB490" s="106"/>
    </row>
    <row r="491">
      <c r="C491" s="79"/>
      <c r="D491" s="79"/>
      <c r="E491" s="79"/>
      <c r="M491" s="79"/>
      <c r="R491" s="79"/>
      <c r="S491" s="79"/>
      <c r="V491" s="79"/>
      <c r="W491" s="79"/>
      <c r="Z491" s="130"/>
      <c r="AB491" s="106"/>
    </row>
    <row r="492">
      <c r="C492" s="79"/>
      <c r="D492" s="79"/>
      <c r="E492" s="79"/>
      <c r="M492" s="79"/>
      <c r="R492" s="79"/>
      <c r="S492" s="79"/>
      <c r="V492" s="79"/>
      <c r="W492" s="79"/>
      <c r="Z492" s="130"/>
      <c r="AB492" s="106"/>
    </row>
    <row r="493">
      <c r="C493" s="79"/>
      <c r="D493" s="79"/>
      <c r="E493" s="79"/>
      <c r="M493" s="79"/>
      <c r="R493" s="79"/>
      <c r="S493" s="79"/>
      <c r="V493" s="79"/>
      <c r="W493" s="79"/>
      <c r="Z493" s="130"/>
      <c r="AB493" s="106"/>
    </row>
    <row r="494">
      <c r="C494" s="79"/>
      <c r="D494" s="79"/>
      <c r="E494" s="79"/>
      <c r="M494" s="79"/>
      <c r="R494" s="79"/>
      <c r="S494" s="79"/>
      <c r="V494" s="79"/>
      <c r="W494" s="79"/>
      <c r="Z494" s="130"/>
      <c r="AB494" s="106"/>
    </row>
    <row r="495">
      <c r="C495" s="79"/>
      <c r="D495" s="79"/>
      <c r="E495" s="79"/>
      <c r="M495" s="79"/>
      <c r="R495" s="79"/>
      <c r="S495" s="79"/>
      <c r="V495" s="79"/>
      <c r="W495" s="79"/>
      <c r="Z495" s="130"/>
      <c r="AB495" s="106"/>
    </row>
    <row r="496">
      <c r="C496" s="79"/>
      <c r="D496" s="79"/>
      <c r="E496" s="79"/>
      <c r="M496" s="79"/>
      <c r="R496" s="79"/>
      <c r="S496" s="79"/>
      <c r="V496" s="79"/>
      <c r="W496" s="79"/>
      <c r="Z496" s="130"/>
      <c r="AB496" s="106"/>
    </row>
    <row r="497">
      <c r="C497" s="79"/>
      <c r="D497" s="79"/>
      <c r="E497" s="79"/>
      <c r="M497" s="79"/>
      <c r="R497" s="79"/>
      <c r="S497" s="79"/>
      <c r="V497" s="79"/>
      <c r="W497" s="79"/>
      <c r="Z497" s="130"/>
      <c r="AB497" s="106"/>
    </row>
    <row r="498">
      <c r="C498" s="79"/>
      <c r="D498" s="79"/>
      <c r="E498" s="79"/>
      <c r="M498" s="79"/>
      <c r="R498" s="79"/>
      <c r="S498" s="79"/>
      <c r="V498" s="79"/>
      <c r="W498" s="79"/>
      <c r="Z498" s="130"/>
      <c r="AB498" s="106"/>
    </row>
    <row r="499">
      <c r="C499" s="79"/>
      <c r="D499" s="79"/>
      <c r="E499" s="79"/>
      <c r="M499" s="79"/>
      <c r="R499" s="79"/>
      <c r="S499" s="79"/>
      <c r="V499" s="79"/>
      <c r="W499" s="79"/>
      <c r="Z499" s="130"/>
      <c r="AB499" s="106"/>
    </row>
    <row r="500">
      <c r="C500" s="79"/>
      <c r="D500" s="79"/>
      <c r="E500" s="79"/>
      <c r="M500" s="79"/>
      <c r="R500" s="79"/>
      <c r="S500" s="79"/>
      <c r="V500" s="79"/>
      <c r="W500" s="79"/>
      <c r="Z500" s="130"/>
      <c r="AB500" s="106"/>
    </row>
    <row r="501">
      <c r="C501" s="79"/>
      <c r="D501" s="79"/>
      <c r="E501" s="79"/>
      <c r="M501" s="79"/>
      <c r="R501" s="79"/>
      <c r="S501" s="79"/>
      <c r="V501" s="79"/>
      <c r="W501" s="79"/>
      <c r="Z501" s="130"/>
      <c r="AB501" s="106"/>
    </row>
    <row r="502">
      <c r="C502" s="79"/>
      <c r="D502" s="79"/>
      <c r="E502" s="79"/>
      <c r="M502" s="79"/>
      <c r="R502" s="79"/>
      <c r="S502" s="79"/>
      <c r="V502" s="79"/>
      <c r="W502" s="79"/>
      <c r="Z502" s="130"/>
      <c r="AB502" s="106"/>
    </row>
    <row r="503">
      <c r="C503" s="79"/>
      <c r="D503" s="79"/>
      <c r="E503" s="79"/>
      <c r="M503" s="79"/>
      <c r="R503" s="79"/>
      <c r="S503" s="79"/>
      <c r="V503" s="79"/>
      <c r="W503" s="79"/>
      <c r="Z503" s="130"/>
      <c r="AB503" s="106"/>
    </row>
    <row r="504">
      <c r="C504" s="79"/>
      <c r="D504" s="79"/>
      <c r="E504" s="79"/>
      <c r="M504" s="79"/>
      <c r="R504" s="79"/>
      <c r="S504" s="79"/>
      <c r="V504" s="79"/>
      <c r="W504" s="79"/>
      <c r="Z504" s="130"/>
      <c r="AB504" s="106"/>
    </row>
    <row r="505">
      <c r="C505" s="79"/>
      <c r="D505" s="79"/>
      <c r="E505" s="79"/>
      <c r="M505" s="79"/>
      <c r="R505" s="79"/>
      <c r="S505" s="79"/>
      <c r="V505" s="79"/>
      <c r="W505" s="79"/>
      <c r="Z505" s="130"/>
      <c r="AB505" s="106"/>
    </row>
    <row r="506">
      <c r="C506" s="79"/>
      <c r="D506" s="79"/>
      <c r="E506" s="79"/>
      <c r="M506" s="79"/>
      <c r="R506" s="79"/>
      <c r="S506" s="79"/>
      <c r="V506" s="79"/>
      <c r="W506" s="79"/>
      <c r="Z506" s="130"/>
      <c r="AB506" s="106"/>
    </row>
    <row r="507">
      <c r="C507" s="79"/>
      <c r="D507" s="79"/>
      <c r="E507" s="79"/>
      <c r="M507" s="79"/>
      <c r="R507" s="79"/>
      <c r="S507" s="79"/>
      <c r="V507" s="79"/>
      <c r="W507" s="79"/>
      <c r="Z507" s="130"/>
      <c r="AB507" s="106"/>
    </row>
    <row r="508">
      <c r="C508" s="79"/>
      <c r="D508" s="79"/>
      <c r="E508" s="79"/>
      <c r="M508" s="79"/>
      <c r="R508" s="79"/>
      <c r="S508" s="79"/>
      <c r="V508" s="79"/>
      <c r="W508" s="79"/>
      <c r="Z508" s="130"/>
      <c r="AB508" s="106"/>
    </row>
    <row r="509">
      <c r="C509" s="79"/>
      <c r="D509" s="79"/>
      <c r="E509" s="79"/>
      <c r="M509" s="79"/>
      <c r="R509" s="79"/>
      <c r="S509" s="79"/>
      <c r="V509" s="79"/>
      <c r="W509" s="79"/>
      <c r="Z509" s="130"/>
      <c r="AB509" s="106"/>
    </row>
    <row r="510">
      <c r="C510" s="79"/>
      <c r="D510" s="79"/>
      <c r="E510" s="79"/>
      <c r="M510" s="79"/>
      <c r="R510" s="79"/>
      <c r="S510" s="79"/>
      <c r="V510" s="79"/>
      <c r="W510" s="79"/>
      <c r="Z510" s="130"/>
      <c r="AB510" s="106"/>
    </row>
    <row r="511">
      <c r="C511" s="79"/>
      <c r="D511" s="79"/>
      <c r="E511" s="79"/>
      <c r="M511" s="79"/>
      <c r="R511" s="79"/>
      <c r="S511" s="79"/>
      <c r="V511" s="79"/>
      <c r="W511" s="79"/>
      <c r="Z511" s="130"/>
      <c r="AB511" s="106"/>
    </row>
    <row r="512">
      <c r="C512" s="79"/>
      <c r="D512" s="79"/>
      <c r="E512" s="79"/>
      <c r="M512" s="79"/>
      <c r="R512" s="79"/>
      <c r="S512" s="79"/>
      <c r="V512" s="79"/>
      <c r="W512" s="79"/>
      <c r="Z512" s="130"/>
      <c r="AB512" s="106"/>
    </row>
    <row r="513">
      <c r="C513" s="79"/>
      <c r="D513" s="79"/>
      <c r="E513" s="79"/>
      <c r="M513" s="79"/>
      <c r="R513" s="79"/>
      <c r="S513" s="79"/>
      <c r="V513" s="79"/>
      <c r="W513" s="79"/>
      <c r="Z513" s="130"/>
      <c r="AB513" s="106"/>
    </row>
    <row r="514">
      <c r="C514" s="79"/>
      <c r="D514" s="79"/>
      <c r="E514" s="79"/>
      <c r="M514" s="79"/>
      <c r="R514" s="79"/>
      <c r="S514" s="79"/>
      <c r="V514" s="79"/>
      <c r="W514" s="79"/>
      <c r="Z514" s="130"/>
      <c r="AB514" s="106"/>
    </row>
    <row r="515">
      <c r="C515" s="79"/>
      <c r="D515" s="79"/>
      <c r="E515" s="79"/>
      <c r="M515" s="79"/>
      <c r="R515" s="79"/>
      <c r="S515" s="79"/>
      <c r="V515" s="79"/>
      <c r="W515" s="79"/>
      <c r="Z515" s="130"/>
      <c r="AB515" s="106"/>
    </row>
    <row r="516">
      <c r="C516" s="79"/>
      <c r="D516" s="79"/>
      <c r="E516" s="79"/>
      <c r="M516" s="79"/>
      <c r="R516" s="79"/>
      <c r="S516" s="79"/>
      <c r="V516" s="79"/>
      <c r="W516" s="79"/>
      <c r="Z516" s="130"/>
      <c r="AB516" s="106"/>
    </row>
    <row r="517">
      <c r="C517" s="79"/>
      <c r="D517" s="79"/>
      <c r="E517" s="79"/>
      <c r="M517" s="79"/>
      <c r="R517" s="79"/>
      <c r="S517" s="79"/>
      <c r="V517" s="79"/>
      <c r="W517" s="79"/>
      <c r="Z517" s="130"/>
      <c r="AB517" s="106"/>
    </row>
    <row r="518">
      <c r="C518" s="79"/>
      <c r="D518" s="79"/>
      <c r="E518" s="79"/>
      <c r="M518" s="79"/>
      <c r="R518" s="79"/>
      <c r="S518" s="79"/>
      <c r="V518" s="79"/>
      <c r="W518" s="79"/>
      <c r="Z518" s="130"/>
      <c r="AB518" s="106"/>
    </row>
    <row r="519">
      <c r="C519" s="79"/>
      <c r="D519" s="79"/>
      <c r="E519" s="79"/>
      <c r="M519" s="79"/>
      <c r="R519" s="79"/>
      <c r="S519" s="79"/>
      <c r="V519" s="79"/>
      <c r="W519" s="79"/>
      <c r="Z519" s="130"/>
      <c r="AB519" s="106"/>
    </row>
    <row r="520">
      <c r="C520" s="79"/>
      <c r="D520" s="79"/>
      <c r="E520" s="79"/>
      <c r="M520" s="79"/>
      <c r="R520" s="79"/>
      <c r="S520" s="79"/>
      <c r="V520" s="79"/>
      <c r="W520" s="79"/>
      <c r="Z520" s="130"/>
      <c r="AB520" s="106"/>
    </row>
    <row r="521">
      <c r="C521" s="79"/>
      <c r="D521" s="79"/>
      <c r="E521" s="79"/>
      <c r="M521" s="79"/>
      <c r="R521" s="79"/>
      <c r="S521" s="79"/>
      <c r="V521" s="79"/>
      <c r="W521" s="79"/>
      <c r="Z521" s="130"/>
      <c r="AB521" s="106"/>
    </row>
    <row r="522">
      <c r="C522" s="79"/>
      <c r="D522" s="79"/>
      <c r="E522" s="79"/>
      <c r="M522" s="79"/>
      <c r="R522" s="79"/>
      <c r="S522" s="79"/>
      <c r="V522" s="79"/>
      <c r="W522" s="79"/>
      <c r="Z522" s="130"/>
      <c r="AB522" s="106"/>
    </row>
    <row r="523">
      <c r="C523" s="79"/>
      <c r="D523" s="79"/>
      <c r="E523" s="79"/>
      <c r="M523" s="79"/>
      <c r="R523" s="79"/>
      <c r="S523" s="79"/>
      <c r="V523" s="79"/>
      <c r="W523" s="79"/>
      <c r="Z523" s="130"/>
      <c r="AB523" s="106"/>
    </row>
    <row r="524">
      <c r="C524" s="79"/>
      <c r="D524" s="79"/>
      <c r="E524" s="79"/>
      <c r="M524" s="79"/>
      <c r="R524" s="79"/>
      <c r="S524" s="79"/>
      <c r="V524" s="79"/>
      <c r="W524" s="79"/>
      <c r="Z524" s="130"/>
      <c r="AB524" s="106"/>
    </row>
    <row r="525">
      <c r="C525" s="79"/>
      <c r="D525" s="79"/>
      <c r="E525" s="79"/>
      <c r="M525" s="79"/>
      <c r="R525" s="79"/>
      <c r="S525" s="79"/>
      <c r="V525" s="79"/>
      <c r="W525" s="79"/>
      <c r="Z525" s="130"/>
      <c r="AB525" s="106"/>
    </row>
    <row r="526">
      <c r="C526" s="79"/>
      <c r="D526" s="79"/>
      <c r="E526" s="79"/>
      <c r="M526" s="79"/>
      <c r="R526" s="79"/>
      <c r="S526" s="79"/>
      <c r="V526" s="79"/>
      <c r="W526" s="79"/>
      <c r="Z526" s="130"/>
      <c r="AB526" s="106"/>
    </row>
    <row r="527">
      <c r="C527" s="79"/>
      <c r="D527" s="79"/>
      <c r="E527" s="79"/>
      <c r="M527" s="79"/>
      <c r="R527" s="79"/>
      <c r="S527" s="79"/>
      <c r="V527" s="79"/>
      <c r="W527" s="79"/>
      <c r="Z527" s="130"/>
      <c r="AB527" s="106"/>
    </row>
    <row r="528">
      <c r="C528" s="79"/>
      <c r="D528" s="79"/>
      <c r="E528" s="79"/>
      <c r="M528" s="79"/>
      <c r="R528" s="79"/>
      <c r="S528" s="79"/>
      <c r="V528" s="79"/>
      <c r="W528" s="79"/>
      <c r="Z528" s="130"/>
      <c r="AB528" s="106"/>
    </row>
    <row r="529">
      <c r="C529" s="79"/>
      <c r="D529" s="79"/>
      <c r="E529" s="79"/>
      <c r="M529" s="79"/>
      <c r="R529" s="79"/>
      <c r="S529" s="79"/>
      <c r="V529" s="79"/>
      <c r="W529" s="79"/>
      <c r="Z529" s="130"/>
      <c r="AB529" s="106"/>
    </row>
    <row r="530">
      <c r="C530" s="79"/>
      <c r="D530" s="79"/>
      <c r="E530" s="79"/>
      <c r="M530" s="79"/>
      <c r="R530" s="79"/>
      <c r="S530" s="79"/>
      <c r="V530" s="79"/>
      <c r="W530" s="79"/>
      <c r="Z530" s="130"/>
      <c r="AB530" s="106"/>
    </row>
    <row r="531">
      <c r="C531" s="79"/>
      <c r="D531" s="79"/>
      <c r="E531" s="79"/>
      <c r="M531" s="79"/>
      <c r="R531" s="79"/>
      <c r="S531" s="79"/>
      <c r="V531" s="79"/>
      <c r="W531" s="79"/>
      <c r="Z531" s="130"/>
      <c r="AB531" s="106"/>
    </row>
    <row r="532">
      <c r="C532" s="79"/>
      <c r="D532" s="79"/>
      <c r="E532" s="79"/>
      <c r="M532" s="79"/>
      <c r="R532" s="79"/>
      <c r="S532" s="79"/>
      <c r="V532" s="79"/>
      <c r="W532" s="79"/>
      <c r="Z532" s="130"/>
      <c r="AB532" s="106"/>
    </row>
    <row r="533">
      <c r="C533" s="79"/>
      <c r="D533" s="79"/>
      <c r="E533" s="79"/>
      <c r="M533" s="79"/>
      <c r="R533" s="79"/>
      <c r="S533" s="79"/>
      <c r="V533" s="79"/>
      <c r="W533" s="79"/>
      <c r="Z533" s="130"/>
      <c r="AB533" s="106"/>
    </row>
    <row r="534">
      <c r="C534" s="79"/>
      <c r="D534" s="79"/>
      <c r="E534" s="79"/>
      <c r="M534" s="79"/>
      <c r="R534" s="79"/>
      <c r="S534" s="79"/>
      <c r="V534" s="79"/>
      <c r="W534" s="79"/>
      <c r="Z534" s="130"/>
      <c r="AB534" s="106"/>
    </row>
    <row r="535">
      <c r="C535" s="79"/>
      <c r="D535" s="79"/>
      <c r="E535" s="79"/>
      <c r="M535" s="79"/>
      <c r="R535" s="79"/>
      <c r="S535" s="79"/>
      <c r="V535" s="79"/>
      <c r="W535" s="79"/>
      <c r="Z535" s="130"/>
      <c r="AB535" s="106"/>
    </row>
    <row r="536">
      <c r="C536" s="79"/>
      <c r="D536" s="79"/>
      <c r="E536" s="79"/>
      <c r="M536" s="79"/>
      <c r="R536" s="79"/>
      <c r="S536" s="79"/>
      <c r="V536" s="79"/>
      <c r="W536" s="79"/>
      <c r="Z536" s="130"/>
      <c r="AB536" s="106"/>
    </row>
    <row r="537">
      <c r="C537" s="79"/>
      <c r="D537" s="79"/>
      <c r="E537" s="79"/>
      <c r="M537" s="79"/>
      <c r="R537" s="79"/>
      <c r="S537" s="79"/>
      <c r="V537" s="79"/>
      <c r="W537" s="79"/>
      <c r="Z537" s="130"/>
      <c r="AB537" s="106"/>
    </row>
    <row r="538">
      <c r="C538" s="79"/>
      <c r="D538" s="79"/>
      <c r="E538" s="79"/>
      <c r="M538" s="79"/>
      <c r="R538" s="79"/>
      <c r="S538" s="79"/>
      <c r="V538" s="79"/>
      <c r="W538" s="79"/>
      <c r="Z538" s="130"/>
      <c r="AB538" s="106"/>
    </row>
    <row r="539">
      <c r="C539" s="79"/>
      <c r="D539" s="79"/>
      <c r="E539" s="79"/>
      <c r="M539" s="79"/>
      <c r="R539" s="79"/>
      <c r="S539" s="79"/>
      <c r="V539" s="79"/>
      <c r="W539" s="79"/>
      <c r="Z539" s="130"/>
      <c r="AB539" s="106"/>
    </row>
    <row r="540">
      <c r="C540" s="79"/>
      <c r="D540" s="79"/>
      <c r="E540" s="79"/>
      <c r="M540" s="79"/>
      <c r="R540" s="79"/>
      <c r="S540" s="79"/>
      <c r="V540" s="79"/>
      <c r="W540" s="79"/>
      <c r="Z540" s="130"/>
      <c r="AB540" s="106"/>
    </row>
    <row r="541">
      <c r="C541" s="79"/>
      <c r="D541" s="79"/>
      <c r="E541" s="79"/>
      <c r="M541" s="79"/>
      <c r="R541" s="79"/>
      <c r="S541" s="79"/>
      <c r="V541" s="79"/>
      <c r="W541" s="79"/>
      <c r="Z541" s="130"/>
      <c r="AB541" s="106"/>
    </row>
    <row r="542">
      <c r="C542" s="79"/>
      <c r="D542" s="79"/>
      <c r="E542" s="79"/>
      <c r="M542" s="79"/>
      <c r="R542" s="79"/>
      <c r="S542" s="79"/>
      <c r="V542" s="79"/>
      <c r="W542" s="79"/>
      <c r="Z542" s="130"/>
      <c r="AB542" s="106"/>
    </row>
    <row r="543">
      <c r="C543" s="79"/>
      <c r="D543" s="79"/>
      <c r="E543" s="79"/>
      <c r="M543" s="79"/>
      <c r="R543" s="79"/>
      <c r="S543" s="79"/>
      <c r="V543" s="79"/>
      <c r="W543" s="79"/>
      <c r="Z543" s="130"/>
      <c r="AB543" s="106"/>
    </row>
    <row r="544">
      <c r="C544" s="79"/>
      <c r="D544" s="79"/>
      <c r="E544" s="79"/>
      <c r="M544" s="79"/>
      <c r="R544" s="79"/>
      <c r="S544" s="79"/>
      <c r="V544" s="79"/>
      <c r="W544" s="79"/>
      <c r="Z544" s="130"/>
      <c r="AB544" s="106"/>
    </row>
    <row r="545">
      <c r="C545" s="79"/>
      <c r="D545" s="79"/>
      <c r="E545" s="79"/>
      <c r="M545" s="79"/>
      <c r="R545" s="79"/>
      <c r="S545" s="79"/>
      <c r="V545" s="79"/>
      <c r="W545" s="79"/>
      <c r="Z545" s="130"/>
      <c r="AB545" s="106"/>
    </row>
    <row r="546">
      <c r="C546" s="79"/>
      <c r="D546" s="79"/>
      <c r="E546" s="79"/>
      <c r="M546" s="79"/>
      <c r="R546" s="79"/>
      <c r="S546" s="79"/>
      <c r="V546" s="79"/>
      <c r="W546" s="79"/>
      <c r="Z546" s="130"/>
      <c r="AB546" s="106"/>
    </row>
    <row r="547">
      <c r="C547" s="79"/>
      <c r="D547" s="79"/>
      <c r="E547" s="79"/>
      <c r="M547" s="79"/>
      <c r="R547" s="79"/>
      <c r="S547" s="79"/>
      <c r="V547" s="79"/>
      <c r="W547" s="79"/>
      <c r="Z547" s="130"/>
      <c r="AB547" s="106"/>
    </row>
    <row r="548">
      <c r="C548" s="79"/>
      <c r="D548" s="79"/>
      <c r="E548" s="79"/>
      <c r="M548" s="79"/>
      <c r="R548" s="79"/>
      <c r="S548" s="79"/>
      <c r="V548" s="79"/>
      <c r="W548" s="79"/>
      <c r="Z548" s="130"/>
      <c r="AB548" s="106"/>
    </row>
    <row r="549">
      <c r="C549" s="79"/>
      <c r="D549" s="79"/>
      <c r="E549" s="79"/>
      <c r="M549" s="79"/>
      <c r="R549" s="79"/>
      <c r="S549" s="79"/>
      <c r="V549" s="79"/>
      <c r="W549" s="79"/>
      <c r="Z549" s="130"/>
      <c r="AB549" s="106"/>
    </row>
    <row r="550">
      <c r="C550" s="79"/>
      <c r="D550" s="79"/>
      <c r="E550" s="79"/>
      <c r="M550" s="79"/>
      <c r="R550" s="79"/>
      <c r="S550" s="79"/>
      <c r="V550" s="79"/>
      <c r="W550" s="79"/>
      <c r="Z550" s="130"/>
      <c r="AB550" s="106"/>
    </row>
    <row r="551">
      <c r="C551" s="79"/>
      <c r="D551" s="79"/>
      <c r="E551" s="79"/>
      <c r="M551" s="79"/>
      <c r="R551" s="79"/>
      <c r="S551" s="79"/>
      <c r="V551" s="79"/>
      <c r="W551" s="79"/>
      <c r="Z551" s="130"/>
      <c r="AB551" s="106"/>
    </row>
    <row r="552">
      <c r="C552" s="79"/>
      <c r="D552" s="79"/>
      <c r="E552" s="79"/>
      <c r="M552" s="79"/>
      <c r="R552" s="79"/>
      <c r="S552" s="79"/>
      <c r="V552" s="79"/>
      <c r="W552" s="79"/>
      <c r="Z552" s="130"/>
      <c r="AB552" s="106"/>
    </row>
    <row r="553">
      <c r="C553" s="79"/>
      <c r="D553" s="79"/>
      <c r="E553" s="79"/>
      <c r="M553" s="79"/>
      <c r="R553" s="79"/>
      <c r="S553" s="79"/>
      <c r="V553" s="79"/>
      <c r="W553" s="79"/>
      <c r="Z553" s="130"/>
      <c r="AB553" s="106"/>
    </row>
    <row r="554">
      <c r="C554" s="79"/>
      <c r="D554" s="79"/>
      <c r="E554" s="79"/>
      <c r="M554" s="79"/>
      <c r="R554" s="79"/>
      <c r="S554" s="79"/>
      <c r="V554" s="79"/>
      <c r="W554" s="79"/>
      <c r="Z554" s="130"/>
      <c r="AB554" s="106"/>
    </row>
    <row r="555">
      <c r="C555" s="79"/>
      <c r="D555" s="79"/>
      <c r="E555" s="79"/>
      <c r="M555" s="79"/>
      <c r="R555" s="79"/>
      <c r="S555" s="79"/>
      <c r="V555" s="79"/>
      <c r="W555" s="79"/>
      <c r="Z555" s="130"/>
      <c r="AB555" s="106"/>
    </row>
    <row r="556">
      <c r="C556" s="79"/>
      <c r="D556" s="79"/>
      <c r="E556" s="79"/>
      <c r="M556" s="79"/>
      <c r="R556" s="79"/>
      <c r="S556" s="79"/>
      <c r="V556" s="79"/>
      <c r="W556" s="79"/>
      <c r="Z556" s="130"/>
      <c r="AB556" s="106"/>
    </row>
    <row r="557">
      <c r="C557" s="79"/>
      <c r="D557" s="79"/>
      <c r="E557" s="79"/>
      <c r="M557" s="79"/>
      <c r="R557" s="79"/>
      <c r="S557" s="79"/>
      <c r="V557" s="79"/>
      <c r="W557" s="79"/>
      <c r="Z557" s="130"/>
      <c r="AB557" s="106"/>
    </row>
    <row r="558">
      <c r="C558" s="79"/>
      <c r="D558" s="79"/>
      <c r="E558" s="79"/>
      <c r="M558" s="79"/>
      <c r="R558" s="79"/>
      <c r="S558" s="79"/>
      <c r="V558" s="79"/>
      <c r="W558" s="79"/>
      <c r="Z558" s="130"/>
      <c r="AB558" s="106"/>
    </row>
    <row r="559">
      <c r="C559" s="79"/>
      <c r="D559" s="79"/>
      <c r="E559" s="79"/>
      <c r="M559" s="79"/>
      <c r="R559" s="79"/>
      <c r="S559" s="79"/>
      <c r="V559" s="79"/>
      <c r="W559" s="79"/>
      <c r="Z559" s="130"/>
      <c r="AB559" s="106"/>
    </row>
    <row r="560">
      <c r="C560" s="79"/>
      <c r="D560" s="79"/>
      <c r="E560" s="79"/>
      <c r="M560" s="79"/>
      <c r="R560" s="79"/>
      <c r="S560" s="79"/>
      <c r="V560" s="79"/>
      <c r="W560" s="79"/>
      <c r="Z560" s="130"/>
      <c r="AB560" s="106"/>
    </row>
    <row r="561">
      <c r="C561" s="79"/>
      <c r="D561" s="79"/>
      <c r="E561" s="79"/>
      <c r="M561" s="79"/>
      <c r="R561" s="79"/>
      <c r="S561" s="79"/>
      <c r="V561" s="79"/>
      <c r="W561" s="79"/>
      <c r="Z561" s="130"/>
      <c r="AB561" s="106"/>
    </row>
    <row r="562">
      <c r="C562" s="79"/>
      <c r="D562" s="79"/>
      <c r="E562" s="79"/>
      <c r="M562" s="79"/>
      <c r="R562" s="79"/>
      <c r="S562" s="79"/>
      <c r="V562" s="79"/>
      <c r="W562" s="79"/>
      <c r="Z562" s="130"/>
      <c r="AB562" s="106"/>
    </row>
    <row r="563">
      <c r="C563" s="79"/>
      <c r="D563" s="79"/>
      <c r="E563" s="79"/>
      <c r="M563" s="79"/>
      <c r="R563" s="79"/>
      <c r="S563" s="79"/>
      <c r="V563" s="79"/>
      <c r="W563" s="79"/>
      <c r="Z563" s="130"/>
      <c r="AB563" s="106"/>
    </row>
    <row r="564">
      <c r="C564" s="79"/>
      <c r="D564" s="79"/>
      <c r="E564" s="79"/>
      <c r="M564" s="79"/>
      <c r="R564" s="79"/>
      <c r="S564" s="79"/>
      <c r="V564" s="79"/>
      <c r="W564" s="79"/>
      <c r="Z564" s="130"/>
      <c r="AB564" s="106"/>
    </row>
    <row r="565">
      <c r="C565" s="79"/>
      <c r="D565" s="79"/>
      <c r="E565" s="79"/>
      <c r="M565" s="79"/>
      <c r="R565" s="79"/>
      <c r="S565" s="79"/>
      <c r="V565" s="79"/>
      <c r="W565" s="79"/>
      <c r="Z565" s="130"/>
      <c r="AB565" s="106"/>
    </row>
    <row r="566">
      <c r="C566" s="79"/>
      <c r="D566" s="79"/>
      <c r="E566" s="79"/>
      <c r="M566" s="79"/>
      <c r="R566" s="79"/>
      <c r="S566" s="79"/>
      <c r="V566" s="79"/>
      <c r="W566" s="79"/>
      <c r="Z566" s="130"/>
      <c r="AB566" s="106"/>
    </row>
    <row r="567">
      <c r="C567" s="79"/>
      <c r="D567" s="79"/>
      <c r="E567" s="79"/>
      <c r="M567" s="79"/>
      <c r="R567" s="79"/>
      <c r="S567" s="79"/>
      <c r="V567" s="79"/>
      <c r="W567" s="79"/>
      <c r="Z567" s="130"/>
      <c r="AB567" s="106"/>
    </row>
    <row r="568">
      <c r="C568" s="79"/>
      <c r="D568" s="79"/>
      <c r="E568" s="79"/>
      <c r="M568" s="79"/>
      <c r="R568" s="79"/>
      <c r="S568" s="79"/>
      <c r="V568" s="79"/>
      <c r="W568" s="79"/>
      <c r="Z568" s="130"/>
      <c r="AB568" s="106"/>
    </row>
    <row r="569">
      <c r="C569" s="79"/>
      <c r="D569" s="79"/>
      <c r="E569" s="79"/>
      <c r="M569" s="79"/>
      <c r="R569" s="79"/>
      <c r="S569" s="79"/>
      <c r="V569" s="79"/>
      <c r="W569" s="79"/>
      <c r="Z569" s="130"/>
      <c r="AB569" s="106"/>
    </row>
    <row r="570">
      <c r="C570" s="79"/>
      <c r="D570" s="79"/>
      <c r="E570" s="79"/>
      <c r="M570" s="79"/>
      <c r="R570" s="79"/>
      <c r="S570" s="79"/>
      <c r="V570" s="79"/>
      <c r="W570" s="79"/>
      <c r="Z570" s="130"/>
      <c r="AB570" s="106"/>
    </row>
    <row r="571">
      <c r="C571" s="79"/>
      <c r="D571" s="79"/>
      <c r="E571" s="79"/>
      <c r="M571" s="79"/>
      <c r="R571" s="79"/>
      <c r="S571" s="79"/>
      <c r="V571" s="79"/>
      <c r="W571" s="79"/>
      <c r="Z571" s="130"/>
      <c r="AB571" s="106"/>
    </row>
    <row r="572">
      <c r="C572" s="79"/>
      <c r="D572" s="79"/>
      <c r="E572" s="79"/>
      <c r="M572" s="79"/>
      <c r="R572" s="79"/>
      <c r="S572" s="79"/>
      <c r="V572" s="79"/>
      <c r="W572" s="79"/>
      <c r="Z572" s="130"/>
      <c r="AB572" s="106"/>
    </row>
    <row r="573">
      <c r="C573" s="79"/>
      <c r="D573" s="79"/>
      <c r="E573" s="79"/>
      <c r="M573" s="79"/>
      <c r="R573" s="79"/>
      <c r="S573" s="79"/>
      <c r="V573" s="79"/>
      <c r="W573" s="79"/>
      <c r="Z573" s="130"/>
      <c r="AB573" s="106"/>
    </row>
    <row r="574">
      <c r="C574" s="79"/>
      <c r="D574" s="79"/>
      <c r="E574" s="79"/>
      <c r="M574" s="79"/>
      <c r="R574" s="79"/>
      <c r="S574" s="79"/>
      <c r="V574" s="79"/>
      <c r="W574" s="79"/>
      <c r="Z574" s="130"/>
      <c r="AB574" s="106"/>
    </row>
    <row r="575">
      <c r="C575" s="79"/>
      <c r="D575" s="79"/>
      <c r="E575" s="79"/>
      <c r="M575" s="79"/>
      <c r="R575" s="79"/>
      <c r="S575" s="79"/>
      <c r="V575" s="79"/>
      <c r="W575" s="79"/>
      <c r="Z575" s="130"/>
      <c r="AB575" s="106"/>
    </row>
    <row r="576">
      <c r="C576" s="79"/>
      <c r="D576" s="79"/>
      <c r="E576" s="79"/>
      <c r="M576" s="79"/>
      <c r="R576" s="79"/>
      <c r="S576" s="79"/>
      <c r="V576" s="79"/>
      <c r="W576" s="79"/>
      <c r="Z576" s="130"/>
      <c r="AB576" s="106"/>
    </row>
    <row r="577">
      <c r="C577" s="79"/>
      <c r="D577" s="79"/>
      <c r="E577" s="79"/>
      <c r="M577" s="79"/>
      <c r="R577" s="79"/>
      <c r="S577" s="79"/>
      <c r="V577" s="79"/>
      <c r="W577" s="79"/>
      <c r="Z577" s="130"/>
      <c r="AB577" s="106"/>
    </row>
    <row r="578">
      <c r="C578" s="79"/>
      <c r="D578" s="79"/>
      <c r="E578" s="79"/>
      <c r="M578" s="79"/>
      <c r="R578" s="79"/>
      <c r="S578" s="79"/>
      <c r="V578" s="79"/>
      <c r="W578" s="79"/>
      <c r="Z578" s="130"/>
      <c r="AB578" s="106"/>
    </row>
    <row r="579">
      <c r="C579" s="79"/>
      <c r="D579" s="79"/>
      <c r="E579" s="79"/>
      <c r="M579" s="79"/>
      <c r="R579" s="79"/>
      <c r="S579" s="79"/>
      <c r="V579" s="79"/>
      <c r="W579" s="79"/>
      <c r="Z579" s="130"/>
      <c r="AB579" s="106"/>
    </row>
    <row r="580">
      <c r="C580" s="79"/>
      <c r="D580" s="79"/>
      <c r="E580" s="79"/>
      <c r="M580" s="79"/>
      <c r="R580" s="79"/>
      <c r="S580" s="79"/>
      <c r="V580" s="79"/>
      <c r="W580" s="79"/>
      <c r="Z580" s="130"/>
      <c r="AB580" s="106"/>
    </row>
    <row r="581">
      <c r="C581" s="79"/>
      <c r="D581" s="79"/>
      <c r="E581" s="79"/>
      <c r="M581" s="79"/>
      <c r="R581" s="79"/>
      <c r="S581" s="79"/>
      <c r="V581" s="79"/>
      <c r="W581" s="79"/>
      <c r="Z581" s="130"/>
      <c r="AB581" s="106"/>
    </row>
    <row r="582">
      <c r="C582" s="79"/>
      <c r="D582" s="79"/>
      <c r="E582" s="79"/>
      <c r="M582" s="79"/>
      <c r="R582" s="79"/>
      <c r="S582" s="79"/>
      <c r="V582" s="79"/>
      <c r="W582" s="79"/>
      <c r="Z582" s="130"/>
      <c r="AB582" s="106"/>
    </row>
    <row r="583">
      <c r="C583" s="79"/>
      <c r="D583" s="79"/>
      <c r="E583" s="79"/>
      <c r="M583" s="79"/>
      <c r="R583" s="79"/>
      <c r="S583" s="79"/>
      <c r="V583" s="79"/>
      <c r="W583" s="79"/>
      <c r="Z583" s="130"/>
      <c r="AB583" s="106"/>
    </row>
    <row r="584">
      <c r="C584" s="79"/>
      <c r="D584" s="79"/>
      <c r="E584" s="79"/>
      <c r="M584" s="79"/>
      <c r="R584" s="79"/>
      <c r="S584" s="79"/>
      <c r="V584" s="79"/>
      <c r="W584" s="79"/>
      <c r="Z584" s="130"/>
      <c r="AB584" s="106"/>
    </row>
    <row r="585">
      <c r="C585" s="79"/>
      <c r="D585" s="79"/>
      <c r="E585" s="79"/>
      <c r="M585" s="79"/>
      <c r="R585" s="79"/>
      <c r="S585" s="79"/>
      <c r="V585" s="79"/>
      <c r="W585" s="79"/>
      <c r="Z585" s="130"/>
      <c r="AB585" s="106"/>
    </row>
    <row r="586">
      <c r="C586" s="79"/>
      <c r="D586" s="79"/>
      <c r="E586" s="79"/>
      <c r="M586" s="79"/>
      <c r="R586" s="79"/>
      <c r="S586" s="79"/>
      <c r="V586" s="79"/>
      <c r="W586" s="79"/>
      <c r="Z586" s="130"/>
      <c r="AB586" s="106"/>
    </row>
    <row r="587">
      <c r="C587" s="79"/>
      <c r="D587" s="79"/>
      <c r="E587" s="79"/>
      <c r="M587" s="79"/>
      <c r="R587" s="79"/>
      <c r="S587" s="79"/>
      <c r="V587" s="79"/>
      <c r="W587" s="79"/>
      <c r="Z587" s="130"/>
      <c r="AB587" s="106"/>
    </row>
    <row r="588">
      <c r="C588" s="79"/>
      <c r="D588" s="79"/>
      <c r="E588" s="79"/>
      <c r="M588" s="79"/>
      <c r="R588" s="79"/>
      <c r="S588" s="79"/>
      <c r="V588" s="79"/>
      <c r="W588" s="79"/>
      <c r="Z588" s="130"/>
      <c r="AB588" s="106"/>
    </row>
    <row r="589">
      <c r="C589" s="79"/>
      <c r="D589" s="79"/>
      <c r="E589" s="79"/>
      <c r="M589" s="79"/>
      <c r="R589" s="79"/>
      <c r="S589" s="79"/>
      <c r="V589" s="79"/>
      <c r="W589" s="79"/>
      <c r="Z589" s="130"/>
      <c r="AB589" s="106"/>
    </row>
    <row r="590">
      <c r="C590" s="79"/>
      <c r="D590" s="79"/>
      <c r="E590" s="79"/>
      <c r="M590" s="79"/>
      <c r="R590" s="79"/>
      <c r="S590" s="79"/>
      <c r="V590" s="79"/>
      <c r="W590" s="79"/>
      <c r="Z590" s="130"/>
      <c r="AB590" s="106"/>
    </row>
    <row r="591">
      <c r="C591" s="79"/>
      <c r="D591" s="79"/>
      <c r="E591" s="79"/>
      <c r="M591" s="79"/>
      <c r="R591" s="79"/>
      <c r="S591" s="79"/>
      <c r="V591" s="79"/>
      <c r="W591" s="79"/>
      <c r="Z591" s="130"/>
      <c r="AB591" s="106"/>
    </row>
    <row r="592">
      <c r="C592" s="79"/>
      <c r="D592" s="79"/>
      <c r="E592" s="79"/>
      <c r="M592" s="79"/>
      <c r="R592" s="79"/>
      <c r="S592" s="79"/>
      <c r="V592" s="79"/>
      <c r="W592" s="79"/>
      <c r="Z592" s="130"/>
      <c r="AB592" s="106"/>
    </row>
    <row r="593">
      <c r="C593" s="79"/>
      <c r="D593" s="79"/>
      <c r="E593" s="79"/>
      <c r="M593" s="79"/>
      <c r="R593" s="79"/>
      <c r="S593" s="79"/>
      <c r="V593" s="79"/>
      <c r="W593" s="79"/>
      <c r="Z593" s="130"/>
      <c r="AB593" s="106"/>
    </row>
    <row r="594">
      <c r="C594" s="79"/>
      <c r="D594" s="79"/>
      <c r="E594" s="79"/>
      <c r="M594" s="79"/>
      <c r="R594" s="79"/>
      <c r="S594" s="79"/>
      <c r="V594" s="79"/>
      <c r="W594" s="79"/>
      <c r="Z594" s="130"/>
      <c r="AB594" s="106"/>
    </row>
    <row r="595">
      <c r="C595" s="79"/>
      <c r="D595" s="79"/>
      <c r="E595" s="79"/>
      <c r="M595" s="79"/>
      <c r="R595" s="79"/>
      <c r="S595" s="79"/>
      <c r="V595" s="79"/>
      <c r="W595" s="79"/>
      <c r="Z595" s="130"/>
      <c r="AB595" s="106"/>
    </row>
    <row r="596">
      <c r="C596" s="79"/>
      <c r="D596" s="79"/>
      <c r="E596" s="79"/>
      <c r="M596" s="79"/>
      <c r="R596" s="79"/>
      <c r="S596" s="79"/>
      <c r="V596" s="79"/>
      <c r="W596" s="79"/>
      <c r="Z596" s="130"/>
      <c r="AB596" s="106"/>
    </row>
    <row r="597">
      <c r="C597" s="79"/>
      <c r="D597" s="79"/>
      <c r="E597" s="79"/>
      <c r="M597" s="79"/>
      <c r="R597" s="79"/>
      <c r="S597" s="79"/>
      <c r="V597" s="79"/>
      <c r="W597" s="79"/>
      <c r="Z597" s="130"/>
      <c r="AB597" s="106"/>
    </row>
    <row r="598">
      <c r="C598" s="79"/>
      <c r="D598" s="79"/>
      <c r="E598" s="79"/>
      <c r="M598" s="79"/>
      <c r="R598" s="79"/>
      <c r="S598" s="79"/>
      <c r="V598" s="79"/>
      <c r="W598" s="79"/>
      <c r="Z598" s="130"/>
      <c r="AB598" s="106"/>
    </row>
    <row r="599">
      <c r="C599" s="79"/>
      <c r="D599" s="79"/>
      <c r="E599" s="79"/>
      <c r="M599" s="79"/>
      <c r="R599" s="79"/>
      <c r="S599" s="79"/>
      <c r="V599" s="79"/>
      <c r="W599" s="79"/>
      <c r="Z599" s="130"/>
      <c r="AB599" s="106"/>
    </row>
    <row r="600">
      <c r="C600" s="79"/>
      <c r="D600" s="79"/>
      <c r="E600" s="79"/>
      <c r="M600" s="79"/>
      <c r="R600" s="79"/>
      <c r="S600" s="79"/>
      <c r="V600" s="79"/>
      <c r="W600" s="79"/>
      <c r="Z600" s="130"/>
      <c r="AB600" s="106"/>
    </row>
    <row r="601">
      <c r="C601" s="79"/>
      <c r="D601" s="79"/>
      <c r="E601" s="79"/>
      <c r="M601" s="79"/>
      <c r="R601" s="79"/>
      <c r="S601" s="79"/>
      <c r="V601" s="79"/>
      <c r="W601" s="79"/>
      <c r="Z601" s="130"/>
      <c r="AB601" s="106"/>
    </row>
    <row r="602">
      <c r="C602" s="79"/>
      <c r="D602" s="79"/>
      <c r="E602" s="79"/>
      <c r="M602" s="79"/>
      <c r="R602" s="79"/>
      <c r="S602" s="79"/>
      <c r="V602" s="79"/>
      <c r="W602" s="79"/>
      <c r="Z602" s="130"/>
      <c r="AB602" s="106"/>
    </row>
    <row r="603">
      <c r="C603" s="79"/>
      <c r="D603" s="79"/>
      <c r="E603" s="79"/>
      <c r="M603" s="79"/>
      <c r="R603" s="79"/>
      <c r="S603" s="79"/>
      <c r="V603" s="79"/>
      <c r="W603" s="79"/>
      <c r="Z603" s="130"/>
      <c r="AB603" s="106"/>
    </row>
    <row r="604">
      <c r="C604" s="79"/>
      <c r="D604" s="79"/>
      <c r="E604" s="79"/>
      <c r="M604" s="79"/>
      <c r="R604" s="79"/>
      <c r="S604" s="79"/>
      <c r="V604" s="79"/>
      <c r="W604" s="79"/>
      <c r="Z604" s="130"/>
      <c r="AB604" s="106"/>
    </row>
    <row r="605">
      <c r="C605" s="79"/>
      <c r="D605" s="79"/>
      <c r="E605" s="79"/>
      <c r="M605" s="79"/>
      <c r="R605" s="79"/>
      <c r="S605" s="79"/>
      <c r="V605" s="79"/>
      <c r="W605" s="79"/>
      <c r="Z605" s="130"/>
      <c r="AB605" s="106"/>
    </row>
    <row r="606">
      <c r="C606" s="79"/>
      <c r="D606" s="79"/>
      <c r="E606" s="79"/>
      <c r="M606" s="79"/>
      <c r="R606" s="79"/>
      <c r="S606" s="79"/>
      <c r="V606" s="79"/>
      <c r="W606" s="79"/>
      <c r="Z606" s="130"/>
      <c r="AB606" s="106"/>
    </row>
    <row r="607">
      <c r="C607" s="79"/>
      <c r="D607" s="79"/>
      <c r="E607" s="79"/>
      <c r="M607" s="79"/>
      <c r="R607" s="79"/>
      <c r="S607" s="79"/>
      <c r="V607" s="79"/>
      <c r="W607" s="79"/>
      <c r="Z607" s="130"/>
      <c r="AB607" s="106"/>
    </row>
    <row r="608">
      <c r="C608" s="79"/>
      <c r="D608" s="79"/>
      <c r="E608" s="79"/>
      <c r="M608" s="79"/>
      <c r="R608" s="79"/>
      <c r="S608" s="79"/>
      <c r="V608" s="79"/>
      <c r="W608" s="79"/>
      <c r="Z608" s="130"/>
      <c r="AB608" s="106"/>
    </row>
    <row r="609">
      <c r="C609" s="79"/>
      <c r="D609" s="79"/>
      <c r="E609" s="79"/>
      <c r="M609" s="79"/>
      <c r="R609" s="79"/>
      <c r="S609" s="79"/>
      <c r="V609" s="79"/>
      <c r="W609" s="79"/>
      <c r="Z609" s="130"/>
      <c r="AB609" s="106"/>
    </row>
    <row r="610">
      <c r="C610" s="79"/>
      <c r="D610" s="79"/>
      <c r="E610" s="79"/>
      <c r="M610" s="79"/>
      <c r="R610" s="79"/>
      <c r="S610" s="79"/>
      <c r="V610" s="79"/>
      <c r="W610" s="79"/>
      <c r="Z610" s="130"/>
      <c r="AB610" s="106"/>
    </row>
    <row r="611">
      <c r="C611" s="79"/>
      <c r="D611" s="79"/>
      <c r="E611" s="79"/>
      <c r="M611" s="79"/>
      <c r="R611" s="79"/>
      <c r="S611" s="79"/>
      <c r="V611" s="79"/>
      <c r="W611" s="79"/>
      <c r="Z611" s="130"/>
      <c r="AB611" s="106"/>
    </row>
    <row r="612">
      <c r="C612" s="79"/>
      <c r="D612" s="79"/>
      <c r="E612" s="79"/>
      <c r="M612" s="79"/>
      <c r="R612" s="79"/>
      <c r="S612" s="79"/>
      <c r="V612" s="79"/>
      <c r="W612" s="79"/>
      <c r="Z612" s="130"/>
      <c r="AB612" s="106"/>
    </row>
    <row r="613">
      <c r="C613" s="79"/>
      <c r="D613" s="79"/>
      <c r="E613" s="79"/>
      <c r="M613" s="79"/>
      <c r="R613" s="79"/>
      <c r="S613" s="79"/>
      <c r="V613" s="79"/>
      <c r="W613" s="79"/>
      <c r="Z613" s="130"/>
      <c r="AB613" s="106"/>
    </row>
    <row r="614">
      <c r="C614" s="79"/>
      <c r="D614" s="79"/>
      <c r="E614" s="79"/>
      <c r="M614" s="79"/>
      <c r="R614" s="79"/>
      <c r="S614" s="79"/>
      <c r="V614" s="79"/>
      <c r="W614" s="79"/>
      <c r="Z614" s="130"/>
      <c r="AB614" s="106"/>
    </row>
    <row r="615">
      <c r="C615" s="79"/>
      <c r="D615" s="79"/>
      <c r="E615" s="79"/>
      <c r="M615" s="79"/>
      <c r="R615" s="79"/>
      <c r="S615" s="79"/>
      <c r="V615" s="79"/>
      <c r="W615" s="79"/>
      <c r="Z615" s="130"/>
      <c r="AB615" s="106"/>
    </row>
    <row r="616">
      <c r="C616" s="79"/>
      <c r="D616" s="79"/>
      <c r="E616" s="79"/>
      <c r="M616" s="79"/>
      <c r="R616" s="79"/>
      <c r="S616" s="79"/>
      <c r="V616" s="79"/>
      <c r="W616" s="79"/>
      <c r="Z616" s="130"/>
      <c r="AB616" s="106"/>
    </row>
    <row r="617">
      <c r="C617" s="79"/>
      <c r="D617" s="79"/>
      <c r="E617" s="79"/>
      <c r="M617" s="79"/>
      <c r="R617" s="79"/>
      <c r="S617" s="79"/>
      <c r="V617" s="79"/>
      <c r="W617" s="79"/>
      <c r="Z617" s="130"/>
      <c r="AB617" s="106"/>
    </row>
    <row r="618">
      <c r="C618" s="79"/>
      <c r="D618" s="79"/>
      <c r="E618" s="79"/>
      <c r="M618" s="79"/>
      <c r="R618" s="79"/>
      <c r="S618" s="79"/>
      <c r="V618" s="79"/>
      <c r="W618" s="79"/>
      <c r="Z618" s="130"/>
      <c r="AB618" s="106"/>
    </row>
    <row r="619">
      <c r="C619" s="79"/>
      <c r="D619" s="79"/>
      <c r="E619" s="79"/>
      <c r="M619" s="79"/>
      <c r="R619" s="79"/>
      <c r="S619" s="79"/>
      <c r="V619" s="79"/>
      <c r="W619" s="79"/>
      <c r="Z619" s="130"/>
      <c r="AB619" s="106"/>
    </row>
    <row r="620">
      <c r="C620" s="79"/>
      <c r="D620" s="79"/>
      <c r="E620" s="79"/>
      <c r="M620" s="79"/>
      <c r="R620" s="79"/>
      <c r="S620" s="79"/>
      <c r="V620" s="79"/>
      <c r="W620" s="79"/>
      <c r="Z620" s="130"/>
      <c r="AB620" s="106"/>
    </row>
    <row r="621">
      <c r="C621" s="79"/>
      <c r="D621" s="79"/>
      <c r="E621" s="79"/>
      <c r="M621" s="79"/>
      <c r="R621" s="79"/>
      <c r="S621" s="79"/>
      <c r="V621" s="79"/>
      <c r="W621" s="79"/>
      <c r="Z621" s="130"/>
      <c r="AB621" s="106"/>
    </row>
    <row r="622">
      <c r="C622" s="79"/>
      <c r="D622" s="79"/>
      <c r="E622" s="79"/>
      <c r="M622" s="79"/>
      <c r="R622" s="79"/>
      <c r="S622" s="79"/>
      <c r="V622" s="79"/>
      <c r="W622" s="79"/>
      <c r="Z622" s="130"/>
      <c r="AB622" s="106"/>
    </row>
    <row r="623">
      <c r="C623" s="79"/>
      <c r="D623" s="79"/>
      <c r="E623" s="79"/>
      <c r="M623" s="79"/>
      <c r="R623" s="79"/>
      <c r="S623" s="79"/>
      <c r="V623" s="79"/>
      <c r="W623" s="79"/>
      <c r="Z623" s="130"/>
      <c r="AB623" s="106"/>
    </row>
    <row r="624">
      <c r="C624" s="79"/>
      <c r="D624" s="79"/>
      <c r="E624" s="79"/>
      <c r="M624" s="79"/>
      <c r="R624" s="79"/>
      <c r="S624" s="79"/>
      <c r="V624" s="79"/>
      <c r="W624" s="79"/>
      <c r="Z624" s="130"/>
      <c r="AB624" s="106"/>
    </row>
    <row r="625">
      <c r="C625" s="79"/>
      <c r="D625" s="79"/>
      <c r="E625" s="79"/>
      <c r="M625" s="79"/>
      <c r="R625" s="79"/>
      <c r="S625" s="79"/>
      <c r="V625" s="79"/>
      <c r="W625" s="79"/>
      <c r="Z625" s="130"/>
      <c r="AB625" s="106"/>
    </row>
    <row r="626">
      <c r="C626" s="79"/>
      <c r="D626" s="79"/>
      <c r="E626" s="79"/>
      <c r="M626" s="79"/>
      <c r="R626" s="79"/>
      <c r="S626" s="79"/>
      <c r="V626" s="79"/>
      <c r="W626" s="79"/>
      <c r="Z626" s="130"/>
      <c r="AB626" s="106"/>
    </row>
    <row r="627">
      <c r="C627" s="79"/>
      <c r="D627" s="79"/>
      <c r="E627" s="79"/>
      <c r="M627" s="79"/>
      <c r="R627" s="79"/>
      <c r="S627" s="79"/>
      <c r="V627" s="79"/>
      <c r="W627" s="79"/>
      <c r="Z627" s="130"/>
      <c r="AB627" s="106"/>
    </row>
    <row r="628">
      <c r="C628" s="79"/>
      <c r="D628" s="79"/>
      <c r="E628" s="79"/>
      <c r="M628" s="79"/>
      <c r="R628" s="79"/>
      <c r="S628" s="79"/>
      <c r="V628" s="79"/>
      <c r="W628" s="79"/>
      <c r="Z628" s="130"/>
      <c r="AB628" s="106"/>
    </row>
    <row r="629">
      <c r="C629" s="79"/>
      <c r="D629" s="79"/>
      <c r="E629" s="79"/>
      <c r="M629" s="79"/>
      <c r="R629" s="79"/>
      <c r="S629" s="79"/>
      <c r="V629" s="79"/>
      <c r="W629" s="79"/>
      <c r="Z629" s="130"/>
      <c r="AB629" s="106"/>
    </row>
    <row r="630">
      <c r="C630" s="79"/>
      <c r="D630" s="79"/>
      <c r="E630" s="79"/>
      <c r="M630" s="79"/>
      <c r="R630" s="79"/>
      <c r="S630" s="79"/>
      <c r="V630" s="79"/>
      <c r="W630" s="79"/>
      <c r="Z630" s="130"/>
      <c r="AB630" s="106"/>
    </row>
    <row r="631">
      <c r="C631" s="79"/>
      <c r="D631" s="79"/>
      <c r="E631" s="79"/>
      <c r="M631" s="79"/>
      <c r="R631" s="79"/>
      <c r="S631" s="79"/>
      <c r="V631" s="79"/>
      <c r="W631" s="79"/>
      <c r="Z631" s="130"/>
      <c r="AB631" s="106"/>
    </row>
    <row r="632">
      <c r="C632" s="79"/>
      <c r="D632" s="79"/>
      <c r="E632" s="79"/>
      <c r="M632" s="79"/>
      <c r="R632" s="79"/>
      <c r="S632" s="79"/>
      <c r="V632" s="79"/>
      <c r="W632" s="79"/>
      <c r="Z632" s="130"/>
      <c r="AB632" s="106"/>
    </row>
    <row r="633">
      <c r="C633" s="79"/>
      <c r="D633" s="79"/>
      <c r="E633" s="79"/>
      <c r="M633" s="79"/>
      <c r="R633" s="79"/>
      <c r="S633" s="79"/>
      <c r="V633" s="79"/>
      <c r="W633" s="79"/>
      <c r="Z633" s="130"/>
      <c r="AB633" s="106"/>
    </row>
    <row r="634">
      <c r="C634" s="79"/>
      <c r="D634" s="79"/>
      <c r="E634" s="79"/>
      <c r="M634" s="79"/>
      <c r="R634" s="79"/>
      <c r="S634" s="79"/>
      <c r="V634" s="79"/>
      <c r="W634" s="79"/>
      <c r="Z634" s="130"/>
      <c r="AB634" s="106"/>
    </row>
    <row r="635">
      <c r="C635" s="79"/>
      <c r="D635" s="79"/>
      <c r="E635" s="79"/>
      <c r="M635" s="79"/>
      <c r="R635" s="79"/>
      <c r="S635" s="79"/>
      <c r="V635" s="79"/>
      <c r="W635" s="79"/>
      <c r="Z635" s="130"/>
      <c r="AB635" s="106"/>
    </row>
    <row r="636">
      <c r="C636" s="79"/>
      <c r="D636" s="79"/>
      <c r="E636" s="79"/>
      <c r="M636" s="79"/>
      <c r="R636" s="79"/>
      <c r="S636" s="79"/>
      <c r="V636" s="79"/>
      <c r="W636" s="79"/>
      <c r="Z636" s="130"/>
      <c r="AB636" s="106"/>
    </row>
    <row r="637">
      <c r="C637" s="79"/>
      <c r="D637" s="79"/>
      <c r="E637" s="79"/>
      <c r="M637" s="79"/>
      <c r="R637" s="79"/>
      <c r="S637" s="79"/>
      <c r="V637" s="79"/>
      <c r="W637" s="79"/>
      <c r="Z637" s="130"/>
      <c r="AB637" s="106"/>
    </row>
    <row r="638">
      <c r="C638" s="79"/>
      <c r="D638" s="79"/>
      <c r="E638" s="79"/>
      <c r="M638" s="79"/>
      <c r="R638" s="79"/>
      <c r="S638" s="79"/>
      <c r="V638" s="79"/>
      <c r="W638" s="79"/>
      <c r="Z638" s="130"/>
      <c r="AB638" s="106"/>
    </row>
    <row r="639">
      <c r="C639" s="79"/>
      <c r="D639" s="79"/>
      <c r="E639" s="79"/>
      <c r="M639" s="79"/>
      <c r="R639" s="79"/>
      <c r="S639" s="79"/>
      <c r="V639" s="79"/>
      <c r="W639" s="79"/>
      <c r="Z639" s="130"/>
      <c r="AB639" s="106"/>
    </row>
    <row r="640">
      <c r="C640" s="79"/>
      <c r="D640" s="79"/>
      <c r="E640" s="79"/>
      <c r="M640" s="79"/>
      <c r="R640" s="79"/>
      <c r="S640" s="79"/>
      <c r="V640" s="79"/>
      <c r="W640" s="79"/>
      <c r="Z640" s="130"/>
      <c r="AB640" s="106"/>
    </row>
    <row r="641">
      <c r="C641" s="79"/>
      <c r="D641" s="79"/>
      <c r="E641" s="79"/>
      <c r="M641" s="79"/>
      <c r="R641" s="79"/>
      <c r="S641" s="79"/>
      <c r="V641" s="79"/>
      <c r="W641" s="79"/>
      <c r="Z641" s="130"/>
      <c r="AB641" s="106"/>
    </row>
    <row r="642">
      <c r="C642" s="79"/>
      <c r="D642" s="79"/>
      <c r="E642" s="79"/>
      <c r="M642" s="79"/>
      <c r="R642" s="79"/>
      <c r="S642" s="79"/>
      <c r="V642" s="79"/>
      <c r="W642" s="79"/>
      <c r="Z642" s="130"/>
      <c r="AB642" s="106"/>
    </row>
    <row r="643">
      <c r="C643" s="79"/>
      <c r="D643" s="79"/>
      <c r="E643" s="79"/>
      <c r="M643" s="79"/>
      <c r="R643" s="79"/>
      <c r="S643" s="79"/>
      <c r="V643" s="79"/>
      <c r="W643" s="79"/>
      <c r="Z643" s="130"/>
      <c r="AB643" s="106"/>
    </row>
    <row r="644">
      <c r="C644" s="79"/>
      <c r="D644" s="79"/>
      <c r="E644" s="79"/>
      <c r="M644" s="79"/>
      <c r="R644" s="79"/>
      <c r="S644" s="79"/>
      <c r="V644" s="79"/>
      <c r="W644" s="79"/>
      <c r="Z644" s="130"/>
      <c r="AB644" s="106"/>
    </row>
    <row r="645">
      <c r="C645" s="79"/>
      <c r="D645" s="79"/>
      <c r="E645" s="79"/>
      <c r="M645" s="79"/>
      <c r="R645" s="79"/>
      <c r="S645" s="79"/>
      <c r="V645" s="79"/>
      <c r="W645" s="79"/>
      <c r="Z645" s="130"/>
      <c r="AB645" s="106"/>
    </row>
    <row r="646">
      <c r="C646" s="79"/>
      <c r="D646" s="79"/>
      <c r="E646" s="79"/>
      <c r="M646" s="79"/>
      <c r="R646" s="79"/>
      <c r="S646" s="79"/>
      <c r="V646" s="79"/>
      <c r="W646" s="79"/>
      <c r="Z646" s="130"/>
      <c r="AB646" s="106"/>
    </row>
    <row r="647">
      <c r="C647" s="79"/>
      <c r="D647" s="79"/>
      <c r="E647" s="79"/>
      <c r="M647" s="79"/>
      <c r="R647" s="79"/>
      <c r="S647" s="79"/>
      <c r="V647" s="79"/>
      <c r="W647" s="79"/>
      <c r="Z647" s="130"/>
      <c r="AB647" s="106"/>
    </row>
    <row r="648">
      <c r="C648" s="79"/>
      <c r="D648" s="79"/>
      <c r="E648" s="79"/>
      <c r="M648" s="79"/>
      <c r="R648" s="79"/>
      <c r="S648" s="79"/>
      <c r="V648" s="79"/>
      <c r="W648" s="79"/>
      <c r="Z648" s="130"/>
      <c r="AB648" s="106"/>
    </row>
    <row r="649">
      <c r="C649" s="79"/>
      <c r="D649" s="79"/>
      <c r="E649" s="79"/>
      <c r="M649" s="79"/>
      <c r="R649" s="79"/>
      <c r="S649" s="79"/>
      <c r="V649" s="79"/>
      <c r="W649" s="79"/>
      <c r="Z649" s="130"/>
      <c r="AB649" s="106"/>
    </row>
    <row r="650">
      <c r="C650" s="79"/>
      <c r="D650" s="79"/>
      <c r="E650" s="79"/>
      <c r="M650" s="79"/>
      <c r="R650" s="79"/>
      <c r="S650" s="79"/>
      <c r="V650" s="79"/>
      <c r="W650" s="79"/>
      <c r="Z650" s="130"/>
      <c r="AB650" s="106"/>
    </row>
    <row r="651">
      <c r="C651" s="79"/>
      <c r="D651" s="79"/>
      <c r="E651" s="79"/>
      <c r="M651" s="79"/>
      <c r="R651" s="79"/>
      <c r="S651" s="79"/>
      <c r="V651" s="79"/>
      <c r="W651" s="79"/>
      <c r="Z651" s="130"/>
      <c r="AB651" s="106"/>
    </row>
    <row r="652">
      <c r="C652" s="79"/>
      <c r="D652" s="79"/>
      <c r="E652" s="79"/>
      <c r="M652" s="79"/>
      <c r="R652" s="79"/>
      <c r="S652" s="79"/>
      <c r="V652" s="79"/>
      <c r="W652" s="79"/>
      <c r="Z652" s="130"/>
      <c r="AB652" s="106"/>
    </row>
    <row r="653">
      <c r="C653" s="79"/>
      <c r="D653" s="79"/>
      <c r="E653" s="79"/>
      <c r="M653" s="79"/>
      <c r="R653" s="79"/>
      <c r="S653" s="79"/>
      <c r="V653" s="79"/>
      <c r="W653" s="79"/>
      <c r="Z653" s="130"/>
      <c r="AB653" s="106"/>
    </row>
    <row r="654">
      <c r="C654" s="79"/>
      <c r="D654" s="79"/>
      <c r="E654" s="79"/>
      <c r="M654" s="79"/>
      <c r="R654" s="79"/>
      <c r="S654" s="79"/>
      <c r="V654" s="79"/>
      <c r="W654" s="79"/>
      <c r="Z654" s="130"/>
      <c r="AB654" s="106"/>
    </row>
    <row r="655">
      <c r="C655" s="79"/>
      <c r="D655" s="79"/>
      <c r="E655" s="79"/>
      <c r="M655" s="79"/>
      <c r="R655" s="79"/>
      <c r="S655" s="79"/>
      <c r="V655" s="79"/>
      <c r="W655" s="79"/>
      <c r="Z655" s="130"/>
      <c r="AB655" s="106"/>
    </row>
    <row r="656">
      <c r="C656" s="79"/>
      <c r="D656" s="79"/>
      <c r="E656" s="79"/>
      <c r="M656" s="79"/>
      <c r="R656" s="79"/>
      <c r="S656" s="79"/>
      <c r="V656" s="79"/>
      <c r="W656" s="79"/>
      <c r="Z656" s="130"/>
      <c r="AB656" s="106"/>
    </row>
    <row r="657">
      <c r="C657" s="79"/>
      <c r="D657" s="79"/>
      <c r="E657" s="79"/>
      <c r="M657" s="79"/>
      <c r="R657" s="79"/>
      <c r="S657" s="79"/>
      <c r="V657" s="79"/>
      <c r="W657" s="79"/>
      <c r="Z657" s="130"/>
      <c r="AB657" s="106"/>
    </row>
    <row r="658">
      <c r="C658" s="79"/>
      <c r="D658" s="79"/>
      <c r="E658" s="79"/>
      <c r="M658" s="79"/>
      <c r="R658" s="79"/>
      <c r="S658" s="79"/>
      <c r="V658" s="79"/>
      <c r="W658" s="79"/>
      <c r="Z658" s="130"/>
      <c r="AB658" s="106"/>
    </row>
    <row r="659">
      <c r="C659" s="79"/>
      <c r="D659" s="79"/>
      <c r="E659" s="79"/>
      <c r="M659" s="79"/>
      <c r="R659" s="79"/>
      <c r="S659" s="79"/>
      <c r="V659" s="79"/>
      <c r="W659" s="79"/>
      <c r="Z659" s="130"/>
      <c r="AB659" s="106"/>
    </row>
    <row r="660">
      <c r="C660" s="79"/>
      <c r="D660" s="79"/>
      <c r="E660" s="79"/>
      <c r="M660" s="79"/>
      <c r="R660" s="79"/>
      <c r="S660" s="79"/>
      <c r="V660" s="79"/>
      <c r="W660" s="79"/>
      <c r="Z660" s="130"/>
      <c r="AB660" s="106"/>
    </row>
    <row r="661">
      <c r="C661" s="79"/>
      <c r="D661" s="79"/>
      <c r="E661" s="79"/>
      <c r="M661" s="79"/>
      <c r="R661" s="79"/>
      <c r="S661" s="79"/>
      <c r="V661" s="79"/>
      <c r="W661" s="79"/>
      <c r="Z661" s="130"/>
      <c r="AB661" s="106"/>
    </row>
    <row r="662">
      <c r="C662" s="79"/>
      <c r="D662" s="79"/>
      <c r="E662" s="79"/>
      <c r="M662" s="79"/>
      <c r="R662" s="79"/>
      <c r="S662" s="79"/>
      <c r="V662" s="79"/>
      <c r="W662" s="79"/>
      <c r="Z662" s="130"/>
      <c r="AB662" s="106"/>
    </row>
    <row r="663">
      <c r="C663" s="79"/>
      <c r="D663" s="79"/>
      <c r="E663" s="79"/>
      <c r="M663" s="79"/>
      <c r="R663" s="79"/>
      <c r="S663" s="79"/>
      <c r="V663" s="79"/>
      <c r="W663" s="79"/>
      <c r="Z663" s="130"/>
      <c r="AB663" s="106"/>
    </row>
    <row r="664">
      <c r="C664" s="79"/>
      <c r="D664" s="79"/>
      <c r="E664" s="79"/>
      <c r="M664" s="79"/>
      <c r="R664" s="79"/>
      <c r="S664" s="79"/>
      <c r="V664" s="79"/>
      <c r="W664" s="79"/>
      <c r="Z664" s="130"/>
      <c r="AB664" s="106"/>
    </row>
    <row r="665">
      <c r="C665" s="79"/>
      <c r="D665" s="79"/>
      <c r="E665" s="79"/>
      <c r="M665" s="79"/>
      <c r="R665" s="79"/>
      <c r="S665" s="79"/>
      <c r="V665" s="79"/>
      <c r="W665" s="79"/>
      <c r="Z665" s="130"/>
      <c r="AB665" s="106"/>
    </row>
    <row r="666">
      <c r="C666" s="79"/>
      <c r="D666" s="79"/>
      <c r="E666" s="79"/>
      <c r="M666" s="79"/>
      <c r="R666" s="79"/>
      <c r="S666" s="79"/>
      <c r="V666" s="79"/>
      <c r="W666" s="79"/>
      <c r="Z666" s="130"/>
      <c r="AB666" s="106"/>
    </row>
    <row r="667">
      <c r="C667" s="79"/>
      <c r="D667" s="79"/>
      <c r="E667" s="79"/>
      <c r="M667" s="79"/>
      <c r="R667" s="79"/>
      <c r="S667" s="79"/>
      <c r="V667" s="79"/>
      <c r="W667" s="79"/>
      <c r="Z667" s="130"/>
      <c r="AB667" s="106"/>
    </row>
    <row r="668">
      <c r="C668" s="79"/>
      <c r="D668" s="79"/>
      <c r="E668" s="79"/>
      <c r="M668" s="79"/>
      <c r="R668" s="79"/>
      <c r="S668" s="79"/>
      <c r="V668" s="79"/>
      <c r="W668" s="79"/>
      <c r="Z668" s="130"/>
      <c r="AB668" s="106"/>
    </row>
    <row r="669">
      <c r="C669" s="79"/>
      <c r="D669" s="79"/>
      <c r="E669" s="79"/>
      <c r="M669" s="79"/>
      <c r="R669" s="79"/>
      <c r="S669" s="79"/>
      <c r="V669" s="79"/>
      <c r="W669" s="79"/>
      <c r="Z669" s="130"/>
      <c r="AB669" s="106"/>
    </row>
    <row r="670">
      <c r="C670" s="79"/>
      <c r="D670" s="79"/>
      <c r="E670" s="79"/>
      <c r="M670" s="79"/>
      <c r="R670" s="79"/>
      <c r="S670" s="79"/>
      <c r="V670" s="79"/>
      <c r="W670" s="79"/>
      <c r="Z670" s="130"/>
      <c r="AB670" s="106"/>
    </row>
    <row r="671">
      <c r="C671" s="79"/>
      <c r="D671" s="79"/>
      <c r="E671" s="79"/>
      <c r="M671" s="79"/>
      <c r="R671" s="79"/>
      <c r="S671" s="79"/>
      <c r="V671" s="79"/>
      <c r="W671" s="79"/>
      <c r="Z671" s="130"/>
      <c r="AB671" s="106"/>
    </row>
    <row r="672">
      <c r="C672" s="79"/>
      <c r="D672" s="79"/>
      <c r="E672" s="79"/>
      <c r="M672" s="79"/>
      <c r="R672" s="79"/>
      <c r="S672" s="79"/>
      <c r="V672" s="79"/>
      <c r="W672" s="79"/>
      <c r="Z672" s="130"/>
      <c r="AB672" s="106"/>
    </row>
    <row r="673">
      <c r="C673" s="79"/>
      <c r="D673" s="79"/>
      <c r="E673" s="79"/>
      <c r="M673" s="79"/>
      <c r="R673" s="79"/>
      <c r="S673" s="79"/>
      <c r="V673" s="79"/>
      <c r="W673" s="79"/>
      <c r="Z673" s="130"/>
      <c r="AB673" s="106"/>
    </row>
    <row r="674">
      <c r="C674" s="79"/>
      <c r="D674" s="79"/>
      <c r="E674" s="79"/>
      <c r="M674" s="79"/>
      <c r="R674" s="79"/>
      <c r="S674" s="79"/>
      <c r="V674" s="79"/>
      <c r="W674" s="79"/>
      <c r="Z674" s="130"/>
      <c r="AB674" s="106"/>
    </row>
    <row r="675">
      <c r="C675" s="79"/>
      <c r="D675" s="79"/>
      <c r="E675" s="79"/>
      <c r="M675" s="79"/>
      <c r="R675" s="79"/>
      <c r="S675" s="79"/>
      <c r="V675" s="79"/>
      <c r="W675" s="79"/>
      <c r="Z675" s="130"/>
      <c r="AB675" s="106"/>
    </row>
    <row r="676">
      <c r="C676" s="79"/>
      <c r="D676" s="79"/>
      <c r="E676" s="79"/>
      <c r="M676" s="79"/>
      <c r="R676" s="79"/>
      <c r="S676" s="79"/>
      <c r="V676" s="79"/>
      <c r="W676" s="79"/>
      <c r="Z676" s="130"/>
      <c r="AB676" s="106"/>
    </row>
    <row r="677">
      <c r="C677" s="79"/>
      <c r="D677" s="79"/>
      <c r="E677" s="79"/>
      <c r="M677" s="79"/>
      <c r="R677" s="79"/>
      <c r="S677" s="79"/>
      <c r="V677" s="79"/>
      <c r="W677" s="79"/>
      <c r="Z677" s="130"/>
      <c r="AB677" s="106"/>
    </row>
    <row r="678">
      <c r="C678" s="79"/>
      <c r="D678" s="79"/>
      <c r="E678" s="79"/>
      <c r="M678" s="79"/>
      <c r="R678" s="79"/>
      <c r="S678" s="79"/>
      <c r="V678" s="79"/>
      <c r="W678" s="79"/>
      <c r="Z678" s="130"/>
      <c r="AB678" s="106"/>
    </row>
    <row r="679">
      <c r="C679" s="79"/>
      <c r="D679" s="79"/>
      <c r="E679" s="79"/>
      <c r="M679" s="79"/>
      <c r="R679" s="79"/>
      <c r="S679" s="79"/>
      <c r="V679" s="79"/>
      <c r="W679" s="79"/>
      <c r="Z679" s="130"/>
      <c r="AB679" s="106"/>
    </row>
    <row r="680">
      <c r="C680" s="79"/>
      <c r="D680" s="79"/>
      <c r="E680" s="79"/>
      <c r="M680" s="79"/>
      <c r="R680" s="79"/>
      <c r="S680" s="79"/>
      <c r="V680" s="79"/>
      <c r="W680" s="79"/>
      <c r="Z680" s="130"/>
      <c r="AB680" s="106"/>
    </row>
    <row r="681">
      <c r="C681" s="79"/>
      <c r="D681" s="79"/>
      <c r="E681" s="79"/>
      <c r="M681" s="79"/>
      <c r="R681" s="79"/>
      <c r="S681" s="79"/>
      <c r="V681" s="79"/>
      <c r="W681" s="79"/>
      <c r="Z681" s="130"/>
      <c r="AB681" s="106"/>
    </row>
    <row r="682">
      <c r="C682" s="79"/>
      <c r="D682" s="79"/>
      <c r="E682" s="79"/>
      <c r="M682" s="79"/>
      <c r="R682" s="79"/>
      <c r="S682" s="79"/>
      <c r="V682" s="79"/>
      <c r="W682" s="79"/>
      <c r="Z682" s="130"/>
      <c r="AB682" s="106"/>
    </row>
    <row r="683">
      <c r="C683" s="79"/>
      <c r="D683" s="79"/>
      <c r="E683" s="79"/>
      <c r="M683" s="79"/>
      <c r="R683" s="79"/>
      <c r="S683" s="79"/>
      <c r="V683" s="79"/>
      <c r="W683" s="79"/>
      <c r="Z683" s="130"/>
      <c r="AB683" s="106"/>
    </row>
    <row r="684">
      <c r="C684" s="79"/>
      <c r="D684" s="79"/>
      <c r="E684" s="79"/>
      <c r="M684" s="79"/>
      <c r="R684" s="79"/>
      <c r="S684" s="79"/>
      <c r="V684" s="79"/>
      <c r="W684" s="79"/>
      <c r="Z684" s="130"/>
      <c r="AB684" s="106"/>
    </row>
    <row r="685">
      <c r="C685" s="79"/>
      <c r="D685" s="79"/>
      <c r="E685" s="79"/>
      <c r="M685" s="79"/>
      <c r="R685" s="79"/>
      <c r="S685" s="79"/>
      <c r="V685" s="79"/>
      <c r="W685" s="79"/>
      <c r="Z685" s="130"/>
      <c r="AB685" s="106"/>
    </row>
    <row r="686">
      <c r="C686" s="79"/>
      <c r="D686" s="79"/>
      <c r="E686" s="79"/>
      <c r="M686" s="79"/>
      <c r="R686" s="79"/>
      <c r="S686" s="79"/>
      <c r="V686" s="79"/>
      <c r="W686" s="79"/>
      <c r="Z686" s="130"/>
      <c r="AB686" s="106"/>
    </row>
    <row r="687">
      <c r="C687" s="79"/>
      <c r="D687" s="79"/>
      <c r="E687" s="79"/>
      <c r="M687" s="79"/>
      <c r="R687" s="79"/>
      <c r="S687" s="79"/>
      <c r="V687" s="79"/>
      <c r="W687" s="79"/>
      <c r="Z687" s="130"/>
      <c r="AB687" s="106"/>
    </row>
    <row r="688">
      <c r="C688" s="79"/>
      <c r="D688" s="79"/>
      <c r="E688" s="79"/>
      <c r="M688" s="79"/>
      <c r="R688" s="79"/>
      <c r="S688" s="79"/>
      <c r="V688" s="79"/>
      <c r="W688" s="79"/>
      <c r="Z688" s="130"/>
      <c r="AB688" s="106"/>
    </row>
    <row r="689">
      <c r="C689" s="79"/>
      <c r="D689" s="79"/>
      <c r="E689" s="79"/>
      <c r="M689" s="79"/>
      <c r="R689" s="79"/>
      <c r="S689" s="79"/>
      <c r="V689" s="79"/>
      <c r="W689" s="79"/>
      <c r="Z689" s="130"/>
      <c r="AB689" s="106"/>
    </row>
    <row r="690">
      <c r="C690" s="79"/>
      <c r="D690" s="79"/>
      <c r="E690" s="79"/>
      <c r="M690" s="79"/>
      <c r="R690" s="79"/>
      <c r="S690" s="79"/>
      <c r="V690" s="79"/>
      <c r="W690" s="79"/>
      <c r="Z690" s="130"/>
      <c r="AB690" s="106"/>
    </row>
    <row r="691">
      <c r="C691" s="79"/>
      <c r="D691" s="79"/>
      <c r="E691" s="79"/>
      <c r="M691" s="79"/>
      <c r="R691" s="79"/>
      <c r="S691" s="79"/>
      <c r="V691" s="79"/>
      <c r="W691" s="79"/>
      <c r="Z691" s="130"/>
      <c r="AB691" s="106"/>
    </row>
    <row r="692">
      <c r="C692" s="79"/>
      <c r="D692" s="79"/>
      <c r="E692" s="79"/>
      <c r="M692" s="79"/>
      <c r="R692" s="79"/>
      <c r="S692" s="79"/>
      <c r="V692" s="79"/>
      <c r="W692" s="79"/>
      <c r="Z692" s="130"/>
      <c r="AB692" s="106"/>
    </row>
    <row r="693">
      <c r="C693" s="79"/>
      <c r="D693" s="79"/>
      <c r="E693" s="79"/>
      <c r="M693" s="79"/>
      <c r="R693" s="79"/>
      <c r="S693" s="79"/>
      <c r="V693" s="79"/>
      <c r="W693" s="79"/>
      <c r="Z693" s="130"/>
      <c r="AB693" s="106"/>
    </row>
    <row r="694">
      <c r="C694" s="79"/>
      <c r="D694" s="79"/>
      <c r="E694" s="79"/>
      <c r="M694" s="79"/>
      <c r="R694" s="79"/>
      <c r="S694" s="79"/>
      <c r="V694" s="79"/>
      <c r="W694" s="79"/>
      <c r="Z694" s="130"/>
      <c r="AB694" s="106"/>
    </row>
    <row r="695">
      <c r="C695" s="79"/>
      <c r="D695" s="79"/>
      <c r="E695" s="79"/>
      <c r="M695" s="79"/>
      <c r="R695" s="79"/>
      <c r="S695" s="79"/>
      <c r="V695" s="79"/>
      <c r="W695" s="79"/>
      <c r="Z695" s="130"/>
      <c r="AB695" s="106"/>
    </row>
    <row r="696">
      <c r="C696" s="79"/>
      <c r="D696" s="79"/>
      <c r="E696" s="79"/>
      <c r="M696" s="79"/>
      <c r="R696" s="79"/>
      <c r="S696" s="79"/>
      <c r="V696" s="79"/>
      <c r="W696" s="79"/>
      <c r="Z696" s="130"/>
      <c r="AB696" s="106"/>
    </row>
    <row r="697">
      <c r="C697" s="79"/>
      <c r="D697" s="79"/>
      <c r="E697" s="79"/>
      <c r="M697" s="79"/>
      <c r="R697" s="79"/>
      <c r="S697" s="79"/>
      <c r="V697" s="79"/>
      <c r="W697" s="79"/>
      <c r="Z697" s="130"/>
      <c r="AB697" s="106"/>
    </row>
    <row r="698">
      <c r="C698" s="79"/>
      <c r="D698" s="79"/>
      <c r="E698" s="79"/>
      <c r="M698" s="79"/>
      <c r="R698" s="79"/>
      <c r="S698" s="79"/>
      <c r="V698" s="79"/>
      <c r="W698" s="79"/>
      <c r="Z698" s="130"/>
      <c r="AB698" s="106"/>
    </row>
    <row r="699">
      <c r="C699" s="79"/>
      <c r="D699" s="79"/>
      <c r="E699" s="79"/>
      <c r="M699" s="79"/>
      <c r="R699" s="79"/>
      <c r="S699" s="79"/>
      <c r="V699" s="79"/>
      <c r="W699" s="79"/>
      <c r="Z699" s="130"/>
      <c r="AB699" s="106"/>
    </row>
    <row r="700">
      <c r="C700" s="79"/>
      <c r="D700" s="79"/>
      <c r="E700" s="79"/>
      <c r="M700" s="79"/>
      <c r="R700" s="79"/>
      <c r="S700" s="79"/>
      <c r="V700" s="79"/>
      <c r="W700" s="79"/>
      <c r="Z700" s="130"/>
      <c r="AB700" s="106"/>
    </row>
    <row r="701">
      <c r="C701" s="79"/>
      <c r="D701" s="79"/>
      <c r="E701" s="79"/>
      <c r="M701" s="79"/>
      <c r="R701" s="79"/>
      <c r="S701" s="79"/>
      <c r="V701" s="79"/>
      <c r="W701" s="79"/>
      <c r="Z701" s="130"/>
      <c r="AB701" s="106"/>
    </row>
    <row r="702">
      <c r="C702" s="79"/>
      <c r="D702" s="79"/>
      <c r="E702" s="79"/>
      <c r="M702" s="79"/>
      <c r="R702" s="79"/>
      <c r="S702" s="79"/>
      <c r="V702" s="79"/>
      <c r="W702" s="79"/>
      <c r="Z702" s="130"/>
      <c r="AB702" s="106"/>
    </row>
    <row r="703">
      <c r="C703" s="79"/>
      <c r="D703" s="79"/>
      <c r="E703" s="79"/>
      <c r="M703" s="79"/>
      <c r="R703" s="79"/>
      <c r="S703" s="79"/>
      <c r="V703" s="79"/>
      <c r="W703" s="79"/>
      <c r="Z703" s="130"/>
      <c r="AB703" s="106"/>
    </row>
    <row r="704">
      <c r="C704" s="79"/>
      <c r="D704" s="79"/>
      <c r="E704" s="79"/>
      <c r="M704" s="79"/>
      <c r="R704" s="79"/>
      <c r="S704" s="79"/>
      <c r="V704" s="79"/>
      <c r="W704" s="79"/>
      <c r="Z704" s="130"/>
      <c r="AB704" s="106"/>
    </row>
    <row r="705">
      <c r="C705" s="79"/>
      <c r="D705" s="79"/>
      <c r="E705" s="79"/>
      <c r="M705" s="79"/>
      <c r="R705" s="79"/>
      <c r="S705" s="79"/>
      <c r="V705" s="79"/>
      <c r="W705" s="79"/>
      <c r="Z705" s="130"/>
      <c r="AB705" s="106"/>
    </row>
    <row r="706">
      <c r="C706" s="79"/>
      <c r="D706" s="79"/>
      <c r="E706" s="79"/>
      <c r="M706" s="79"/>
      <c r="R706" s="79"/>
      <c r="S706" s="79"/>
      <c r="V706" s="79"/>
      <c r="W706" s="79"/>
      <c r="Z706" s="130"/>
      <c r="AB706" s="106"/>
    </row>
    <row r="707">
      <c r="C707" s="79"/>
      <c r="D707" s="79"/>
      <c r="E707" s="79"/>
      <c r="M707" s="79"/>
      <c r="R707" s="79"/>
      <c r="S707" s="79"/>
      <c r="V707" s="79"/>
      <c r="W707" s="79"/>
      <c r="Z707" s="130"/>
      <c r="AB707" s="106"/>
    </row>
    <row r="708">
      <c r="C708" s="79"/>
      <c r="D708" s="79"/>
      <c r="E708" s="79"/>
      <c r="M708" s="79"/>
      <c r="R708" s="79"/>
      <c r="S708" s="79"/>
      <c r="V708" s="79"/>
      <c r="W708" s="79"/>
      <c r="Z708" s="130"/>
      <c r="AB708" s="106"/>
    </row>
    <row r="709">
      <c r="C709" s="79"/>
      <c r="D709" s="79"/>
      <c r="E709" s="79"/>
      <c r="M709" s="79"/>
      <c r="R709" s="79"/>
      <c r="S709" s="79"/>
      <c r="V709" s="79"/>
      <c r="W709" s="79"/>
      <c r="Z709" s="130"/>
      <c r="AB709" s="106"/>
    </row>
    <row r="710">
      <c r="C710" s="79"/>
      <c r="D710" s="79"/>
      <c r="E710" s="79"/>
      <c r="M710" s="79"/>
      <c r="R710" s="79"/>
      <c r="S710" s="79"/>
      <c r="V710" s="79"/>
      <c r="W710" s="79"/>
      <c r="Z710" s="130"/>
      <c r="AB710" s="106"/>
    </row>
    <row r="711">
      <c r="C711" s="79"/>
      <c r="D711" s="79"/>
      <c r="E711" s="79"/>
      <c r="M711" s="79"/>
      <c r="R711" s="79"/>
      <c r="S711" s="79"/>
      <c r="V711" s="79"/>
      <c r="W711" s="79"/>
      <c r="Z711" s="130"/>
      <c r="AB711" s="106"/>
    </row>
    <row r="712">
      <c r="C712" s="79"/>
      <c r="D712" s="79"/>
      <c r="E712" s="79"/>
      <c r="M712" s="79"/>
      <c r="R712" s="79"/>
      <c r="S712" s="79"/>
      <c r="V712" s="79"/>
      <c r="W712" s="79"/>
      <c r="Z712" s="130"/>
      <c r="AB712" s="106"/>
    </row>
    <row r="713">
      <c r="C713" s="79"/>
      <c r="D713" s="79"/>
      <c r="E713" s="79"/>
      <c r="M713" s="79"/>
      <c r="R713" s="79"/>
      <c r="S713" s="79"/>
      <c r="V713" s="79"/>
      <c r="W713" s="79"/>
      <c r="Z713" s="130"/>
      <c r="AB713" s="106"/>
    </row>
    <row r="714">
      <c r="C714" s="79"/>
      <c r="D714" s="79"/>
      <c r="E714" s="79"/>
      <c r="M714" s="79"/>
      <c r="R714" s="79"/>
      <c r="S714" s="79"/>
      <c r="V714" s="79"/>
      <c r="W714" s="79"/>
      <c r="Z714" s="130"/>
      <c r="AB714" s="106"/>
    </row>
    <row r="715">
      <c r="C715" s="79"/>
      <c r="D715" s="79"/>
      <c r="E715" s="79"/>
      <c r="M715" s="79"/>
      <c r="R715" s="79"/>
      <c r="S715" s="79"/>
      <c r="V715" s="79"/>
      <c r="W715" s="79"/>
      <c r="Z715" s="130"/>
      <c r="AB715" s="106"/>
    </row>
    <row r="716">
      <c r="C716" s="79"/>
      <c r="D716" s="79"/>
      <c r="E716" s="79"/>
      <c r="M716" s="79"/>
      <c r="R716" s="79"/>
      <c r="S716" s="79"/>
      <c r="V716" s="79"/>
      <c r="W716" s="79"/>
      <c r="Z716" s="130"/>
      <c r="AB716" s="106"/>
    </row>
    <row r="717">
      <c r="C717" s="79"/>
      <c r="D717" s="79"/>
      <c r="E717" s="79"/>
      <c r="M717" s="79"/>
      <c r="R717" s="79"/>
      <c r="S717" s="79"/>
      <c r="V717" s="79"/>
      <c r="W717" s="79"/>
      <c r="Z717" s="130"/>
      <c r="AB717" s="106"/>
    </row>
    <row r="718">
      <c r="C718" s="79"/>
      <c r="D718" s="79"/>
      <c r="E718" s="79"/>
      <c r="M718" s="79"/>
      <c r="R718" s="79"/>
      <c r="S718" s="79"/>
      <c r="V718" s="79"/>
      <c r="W718" s="79"/>
      <c r="Z718" s="130"/>
      <c r="AB718" s="106"/>
    </row>
    <row r="719">
      <c r="C719" s="79"/>
      <c r="D719" s="79"/>
      <c r="E719" s="79"/>
      <c r="M719" s="79"/>
      <c r="R719" s="79"/>
      <c r="S719" s="79"/>
      <c r="V719" s="79"/>
      <c r="W719" s="79"/>
      <c r="Z719" s="130"/>
      <c r="AB719" s="106"/>
    </row>
    <row r="720">
      <c r="C720" s="79"/>
      <c r="D720" s="79"/>
      <c r="E720" s="79"/>
      <c r="M720" s="79"/>
      <c r="R720" s="79"/>
      <c r="S720" s="79"/>
      <c r="V720" s="79"/>
      <c r="W720" s="79"/>
      <c r="Z720" s="130"/>
      <c r="AB720" s="106"/>
    </row>
    <row r="721">
      <c r="C721" s="79"/>
      <c r="D721" s="79"/>
      <c r="E721" s="79"/>
      <c r="M721" s="79"/>
      <c r="R721" s="79"/>
      <c r="S721" s="79"/>
      <c r="V721" s="79"/>
      <c r="W721" s="79"/>
      <c r="Z721" s="130"/>
      <c r="AB721" s="106"/>
    </row>
    <row r="722">
      <c r="C722" s="79"/>
      <c r="D722" s="79"/>
      <c r="E722" s="79"/>
      <c r="M722" s="79"/>
      <c r="R722" s="79"/>
      <c r="S722" s="79"/>
      <c r="V722" s="79"/>
      <c r="W722" s="79"/>
      <c r="Z722" s="130"/>
      <c r="AB722" s="106"/>
    </row>
    <row r="723">
      <c r="C723" s="79"/>
      <c r="D723" s="79"/>
      <c r="E723" s="79"/>
      <c r="M723" s="79"/>
      <c r="R723" s="79"/>
      <c r="S723" s="79"/>
      <c r="V723" s="79"/>
      <c r="W723" s="79"/>
      <c r="Z723" s="130"/>
      <c r="AB723" s="106"/>
    </row>
    <row r="724">
      <c r="C724" s="79"/>
      <c r="D724" s="79"/>
      <c r="E724" s="79"/>
      <c r="M724" s="79"/>
      <c r="R724" s="79"/>
      <c r="S724" s="79"/>
      <c r="V724" s="79"/>
      <c r="W724" s="79"/>
      <c r="Z724" s="130"/>
      <c r="AB724" s="106"/>
    </row>
    <row r="725">
      <c r="C725" s="79"/>
      <c r="D725" s="79"/>
      <c r="E725" s="79"/>
      <c r="M725" s="79"/>
      <c r="R725" s="79"/>
      <c r="S725" s="79"/>
      <c r="V725" s="79"/>
      <c r="W725" s="79"/>
      <c r="Z725" s="130"/>
      <c r="AB725" s="106"/>
    </row>
    <row r="726">
      <c r="C726" s="79"/>
      <c r="D726" s="79"/>
      <c r="E726" s="79"/>
      <c r="M726" s="79"/>
      <c r="R726" s="79"/>
      <c r="S726" s="79"/>
      <c r="V726" s="79"/>
      <c r="W726" s="79"/>
      <c r="Z726" s="130"/>
      <c r="AB726" s="106"/>
    </row>
    <row r="727">
      <c r="C727" s="79"/>
      <c r="D727" s="79"/>
      <c r="E727" s="79"/>
      <c r="M727" s="79"/>
      <c r="R727" s="79"/>
      <c r="S727" s="79"/>
      <c r="V727" s="79"/>
      <c r="W727" s="79"/>
      <c r="Z727" s="130"/>
      <c r="AB727" s="106"/>
    </row>
    <row r="728">
      <c r="C728" s="79"/>
      <c r="D728" s="79"/>
      <c r="E728" s="79"/>
      <c r="M728" s="79"/>
      <c r="R728" s="79"/>
      <c r="S728" s="79"/>
      <c r="V728" s="79"/>
      <c r="W728" s="79"/>
      <c r="Z728" s="130"/>
      <c r="AB728" s="106"/>
    </row>
    <row r="729">
      <c r="C729" s="79"/>
      <c r="D729" s="79"/>
      <c r="E729" s="79"/>
      <c r="M729" s="79"/>
      <c r="R729" s="79"/>
      <c r="S729" s="79"/>
      <c r="V729" s="79"/>
      <c r="W729" s="79"/>
      <c r="Z729" s="130"/>
      <c r="AB729" s="106"/>
    </row>
    <row r="730">
      <c r="C730" s="79"/>
      <c r="D730" s="79"/>
      <c r="E730" s="79"/>
      <c r="M730" s="79"/>
      <c r="R730" s="79"/>
      <c r="S730" s="79"/>
      <c r="V730" s="79"/>
      <c r="W730" s="79"/>
      <c r="Z730" s="130"/>
      <c r="AB730" s="106"/>
    </row>
    <row r="731">
      <c r="C731" s="79"/>
      <c r="D731" s="79"/>
      <c r="E731" s="79"/>
      <c r="M731" s="79"/>
      <c r="R731" s="79"/>
      <c r="S731" s="79"/>
      <c r="V731" s="79"/>
      <c r="W731" s="79"/>
      <c r="Z731" s="130"/>
      <c r="AB731" s="106"/>
    </row>
    <row r="732">
      <c r="C732" s="79"/>
      <c r="D732" s="79"/>
      <c r="E732" s="79"/>
      <c r="M732" s="79"/>
      <c r="R732" s="79"/>
      <c r="S732" s="79"/>
      <c r="V732" s="79"/>
      <c r="W732" s="79"/>
      <c r="Z732" s="130"/>
      <c r="AB732" s="106"/>
    </row>
    <row r="733">
      <c r="C733" s="79"/>
      <c r="D733" s="79"/>
      <c r="E733" s="79"/>
      <c r="M733" s="79"/>
      <c r="R733" s="79"/>
      <c r="S733" s="79"/>
      <c r="V733" s="79"/>
      <c r="W733" s="79"/>
      <c r="Z733" s="130"/>
      <c r="AB733" s="106"/>
    </row>
    <row r="734">
      <c r="C734" s="79"/>
      <c r="D734" s="79"/>
      <c r="E734" s="79"/>
      <c r="M734" s="79"/>
      <c r="R734" s="79"/>
      <c r="S734" s="79"/>
      <c r="V734" s="79"/>
      <c r="W734" s="79"/>
      <c r="Z734" s="130"/>
      <c r="AB734" s="106"/>
    </row>
    <row r="735">
      <c r="C735" s="79"/>
      <c r="D735" s="79"/>
      <c r="E735" s="79"/>
      <c r="M735" s="79"/>
      <c r="R735" s="79"/>
      <c r="S735" s="79"/>
      <c r="V735" s="79"/>
      <c r="W735" s="79"/>
      <c r="Z735" s="130"/>
      <c r="AB735" s="106"/>
    </row>
    <row r="736">
      <c r="C736" s="79"/>
      <c r="D736" s="79"/>
      <c r="E736" s="79"/>
      <c r="M736" s="79"/>
      <c r="R736" s="79"/>
      <c r="S736" s="79"/>
      <c r="V736" s="79"/>
      <c r="W736" s="79"/>
      <c r="Z736" s="130"/>
      <c r="AB736" s="106"/>
    </row>
    <row r="737">
      <c r="C737" s="79"/>
      <c r="D737" s="79"/>
      <c r="E737" s="79"/>
      <c r="M737" s="79"/>
      <c r="R737" s="79"/>
      <c r="S737" s="79"/>
      <c r="V737" s="79"/>
      <c r="W737" s="79"/>
      <c r="Z737" s="130"/>
      <c r="AB737" s="106"/>
    </row>
    <row r="738">
      <c r="C738" s="79"/>
      <c r="D738" s="79"/>
      <c r="E738" s="79"/>
      <c r="M738" s="79"/>
      <c r="R738" s="79"/>
      <c r="S738" s="79"/>
      <c r="V738" s="79"/>
      <c r="W738" s="79"/>
      <c r="Z738" s="130"/>
      <c r="AB738" s="106"/>
    </row>
    <row r="739">
      <c r="C739" s="79"/>
      <c r="D739" s="79"/>
      <c r="E739" s="79"/>
      <c r="M739" s="79"/>
      <c r="R739" s="79"/>
      <c r="S739" s="79"/>
      <c r="V739" s="79"/>
      <c r="W739" s="79"/>
      <c r="Z739" s="130"/>
      <c r="AB739" s="106"/>
    </row>
    <row r="740">
      <c r="C740" s="79"/>
      <c r="D740" s="79"/>
      <c r="E740" s="79"/>
      <c r="M740" s="79"/>
      <c r="R740" s="79"/>
      <c r="S740" s="79"/>
      <c r="V740" s="79"/>
      <c r="W740" s="79"/>
      <c r="Z740" s="130"/>
      <c r="AB740" s="106"/>
    </row>
    <row r="741">
      <c r="C741" s="79"/>
      <c r="D741" s="79"/>
      <c r="E741" s="79"/>
      <c r="M741" s="79"/>
      <c r="R741" s="79"/>
      <c r="S741" s="79"/>
      <c r="V741" s="79"/>
      <c r="W741" s="79"/>
      <c r="Z741" s="130"/>
      <c r="AB741" s="106"/>
    </row>
    <row r="742">
      <c r="C742" s="79"/>
      <c r="D742" s="79"/>
      <c r="E742" s="79"/>
      <c r="M742" s="79"/>
      <c r="R742" s="79"/>
      <c r="S742" s="79"/>
      <c r="V742" s="79"/>
      <c r="W742" s="79"/>
      <c r="Z742" s="130"/>
      <c r="AB742" s="106"/>
    </row>
    <row r="743">
      <c r="C743" s="79"/>
      <c r="D743" s="79"/>
      <c r="E743" s="79"/>
      <c r="M743" s="79"/>
      <c r="R743" s="79"/>
      <c r="S743" s="79"/>
      <c r="V743" s="79"/>
      <c r="W743" s="79"/>
      <c r="Z743" s="130"/>
      <c r="AB743" s="106"/>
    </row>
    <row r="744">
      <c r="C744" s="79"/>
      <c r="D744" s="79"/>
      <c r="E744" s="79"/>
      <c r="M744" s="79"/>
      <c r="R744" s="79"/>
      <c r="S744" s="79"/>
      <c r="V744" s="79"/>
      <c r="W744" s="79"/>
      <c r="Z744" s="130"/>
      <c r="AB744" s="106"/>
    </row>
    <row r="745">
      <c r="C745" s="79"/>
      <c r="D745" s="79"/>
      <c r="E745" s="79"/>
      <c r="M745" s="79"/>
      <c r="R745" s="79"/>
      <c r="S745" s="79"/>
      <c r="V745" s="79"/>
      <c r="W745" s="79"/>
      <c r="Z745" s="130"/>
      <c r="AB745" s="106"/>
    </row>
    <row r="746">
      <c r="C746" s="79"/>
      <c r="D746" s="79"/>
      <c r="E746" s="79"/>
      <c r="M746" s="79"/>
      <c r="R746" s="79"/>
      <c r="S746" s="79"/>
      <c r="V746" s="79"/>
      <c r="W746" s="79"/>
      <c r="Z746" s="130"/>
      <c r="AB746" s="106"/>
    </row>
    <row r="747">
      <c r="C747" s="79"/>
      <c r="D747" s="79"/>
      <c r="E747" s="79"/>
      <c r="M747" s="79"/>
      <c r="R747" s="79"/>
      <c r="S747" s="79"/>
      <c r="V747" s="79"/>
      <c r="W747" s="79"/>
      <c r="Z747" s="130"/>
      <c r="AB747" s="106"/>
    </row>
    <row r="748">
      <c r="C748" s="79"/>
      <c r="D748" s="79"/>
      <c r="E748" s="79"/>
      <c r="M748" s="79"/>
      <c r="R748" s="79"/>
      <c r="S748" s="79"/>
      <c r="V748" s="79"/>
      <c r="W748" s="79"/>
      <c r="Z748" s="130"/>
      <c r="AB748" s="106"/>
    </row>
    <row r="749">
      <c r="C749" s="79"/>
      <c r="D749" s="79"/>
      <c r="E749" s="79"/>
      <c r="M749" s="79"/>
      <c r="R749" s="79"/>
      <c r="S749" s="79"/>
      <c r="V749" s="79"/>
      <c r="W749" s="79"/>
      <c r="Z749" s="130"/>
      <c r="AB749" s="106"/>
    </row>
    <row r="750">
      <c r="C750" s="79"/>
      <c r="D750" s="79"/>
      <c r="E750" s="79"/>
      <c r="M750" s="79"/>
      <c r="R750" s="79"/>
      <c r="S750" s="79"/>
      <c r="V750" s="79"/>
      <c r="W750" s="79"/>
      <c r="Z750" s="130"/>
      <c r="AB750" s="106"/>
    </row>
    <row r="751">
      <c r="C751" s="79"/>
      <c r="D751" s="79"/>
      <c r="E751" s="79"/>
      <c r="M751" s="79"/>
      <c r="R751" s="79"/>
      <c r="S751" s="79"/>
      <c r="V751" s="79"/>
      <c r="W751" s="79"/>
      <c r="Z751" s="130"/>
      <c r="AB751" s="106"/>
    </row>
    <row r="752">
      <c r="C752" s="79"/>
      <c r="D752" s="79"/>
      <c r="E752" s="79"/>
      <c r="M752" s="79"/>
      <c r="R752" s="79"/>
      <c r="S752" s="79"/>
      <c r="V752" s="79"/>
      <c r="W752" s="79"/>
      <c r="Z752" s="130"/>
      <c r="AB752" s="106"/>
    </row>
    <row r="753">
      <c r="C753" s="79"/>
      <c r="D753" s="79"/>
      <c r="E753" s="79"/>
      <c r="M753" s="79"/>
      <c r="R753" s="79"/>
      <c r="S753" s="79"/>
      <c r="V753" s="79"/>
      <c r="W753" s="79"/>
      <c r="Z753" s="130"/>
      <c r="AB753" s="106"/>
    </row>
    <row r="754">
      <c r="C754" s="79"/>
      <c r="D754" s="79"/>
      <c r="E754" s="79"/>
      <c r="M754" s="79"/>
      <c r="R754" s="79"/>
      <c r="S754" s="79"/>
      <c r="V754" s="79"/>
      <c r="W754" s="79"/>
      <c r="Z754" s="130"/>
      <c r="AB754" s="106"/>
    </row>
    <row r="755">
      <c r="C755" s="79"/>
      <c r="D755" s="79"/>
      <c r="E755" s="79"/>
      <c r="M755" s="79"/>
      <c r="R755" s="79"/>
      <c r="S755" s="79"/>
      <c r="V755" s="79"/>
      <c r="W755" s="79"/>
      <c r="Z755" s="130"/>
      <c r="AB755" s="106"/>
    </row>
    <row r="756">
      <c r="C756" s="79"/>
      <c r="D756" s="79"/>
      <c r="E756" s="79"/>
      <c r="M756" s="79"/>
      <c r="R756" s="79"/>
      <c r="S756" s="79"/>
      <c r="V756" s="79"/>
      <c r="W756" s="79"/>
      <c r="Z756" s="130"/>
      <c r="AB756" s="106"/>
    </row>
    <row r="757">
      <c r="C757" s="79"/>
      <c r="D757" s="79"/>
      <c r="E757" s="79"/>
      <c r="M757" s="79"/>
      <c r="R757" s="79"/>
      <c r="S757" s="79"/>
      <c r="V757" s="79"/>
      <c r="W757" s="79"/>
      <c r="Z757" s="130"/>
      <c r="AB757" s="106"/>
    </row>
    <row r="758">
      <c r="C758" s="79"/>
      <c r="D758" s="79"/>
      <c r="E758" s="79"/>
      <c r="M758" s="79"/>
      <c r="R758" s="79"/>
      <c r="S758" s="79"/>
      <c r="V758" s="79"/>
      <c r="W758" s="79"/>
      <c r="Z758" s="130"/>
      <c r="AB758" s="106"/>
    </row>
    <row r="759">
      <c r="C759" s="79"/>
      <c r="D759" s="79"/>
      <c r="E759" s="79"/>
      <c r="M759" s="79"/>
      <c r="R759" s="79"/>
      <c r="S759" s="79"/>
      <c r="V759" s="79"/>
      <c r="W759" s="79"/>
      <c r="Z759" s="130"/>
      <c r="AB759" s="106"/>
    </row>
    <row r="760">
      <c r="C760" s="79"/>
      <c r="D760" s="79"/>
      <c r="E760" s="79"/>
      <c r="M760" s="79"/>
      <c r="R760" s="79"/>
      <c r="S760" s="79"/>
      <c r="V760" s="79"/>
      <c r="W760" s="79"/>
      <c r="Z760" s="130"/>
      <c r="AB760" s="106"/>
    </row>
    <row r="761">
      <c r="C761" s="79"/>
      <c r="D761" s="79"/>
      <c r="E761" s="79"/>
      <c r="M761" s="79"/>
      <c r="R761" s="79"/>
      <c r="S761" s="79"/>
      <c r="V761" s="79"/>
      <c r="W761" s="79"/>
      <c r="Z761" s="130"/>
      <c r="AB761" s="106"/>
    </row>
    <row r="762">
      <c r="C762" s="79"/>
      <c r="D762" s="79"/>
      <c r="E762" s="79"/>
      <c r="M762" s="79"/>
      <c r="R762" s="79"/>
      <c r="S762" s="79"/>
      <c r="V762" s="79"/>
      <c r="W762" s="79"/>
      <c r="Z762" s="130"/>
      <c r="AB762" s="106"/>
    </row>
    <row r="763">
      <c r="C763" s="79"/>
      <c r="D763" s="79"/>
      <c r="E763" s="79"/>
      <c r="M763" s="79"/>
      <c r="R763" s="79"/>
      <c r="S763" s="79"/>
      <c r="V763" s="79"/>
      <c r="W763" s="79"/>
      <c r="Z763" s="130"/>
      <c r="AB763" s="106"/>
    </row>
    <row r="764">
      <c r="C764" s="79"/>
      <c r="D764" s="79"/>
      <c r="E764" s="79"/>
      <c r="M764" s="79"/>
      <c r="R764" s="79"/>
      <c r="S764" s="79"/>
      <c r="V764" s="79"/>
      <c r="W764" s="79"/>
      <c r="Z764" s="130"/>
      <c r="AB764" s="106"/>
    </row>
    <row r="765">
      <c r="C765" s="79"/>
      <c r="D765" s="79"/>
      <c r="E765" s="79"/>
      <c r="M765" s="79"/>
      <c r="R765" s="79"/>
      <c r="S765" s="79"/>
      <c r="V765" s="79"/>
      <c r="W765" s="79"/>
      <c r="Z765" s="130"/>
      <c r="AB765" s="106"/>
    </row>
    <row r="766">
      <c r="C766" s="79"/>
      <c r="D766" s="79"/>
      <c r="E766" s="79"/>
      <c r="M766" s="79"/>
      <c r="R766" s="79"/>
      <c r="S766" s="79"/>
      <c r="V766" s="79"/>
      <c r="W766" s="79"/>
      <c r="Z766" s="130"/>
      <c r="AB766" s="106"/>
    </row>
    <row r="767">
      <c r="C767" s="79"/>
      <c r="D767" s="79"/>
      <c r="E767" s="79"/>
      <c r="M767" s="79"/>
      <c r="R767" s="79"/>
      <c r="S767" s="79"/>
      <c r="V767" s="79"/>
      <c r="W767" s="79"/>
      <c r="Z767" s="130"/>
      <c r="AB767" s="106"/>
    </row>
    <row r="768">
      <c r="C768" s="79"/>
      <c r="D768" s="79"/>
      <c r="E768" s="79"/>
      <c r="M768" s="79"/>
      <c r="R768" s="79"/>
      <c r="S768" s="79"/>
      <c r="V768" s="79"/>
      <c r="W768" s="79"/>
      <c r="Z768" s="130"/>
      <c r="AB768" s="106"/>
    </row>
    <row r="769">
      <c r="C769" s="79"/>
      <c r="D769" s="79"/>
      <c r="E769" s="79"/>
      <c r="M769" s="79"/>
      <c r="R769" s="79"/>
      <c r="S769" s="79"/>
      <c r="V769" s="79"/>
      <c r="W769" s="79"/>
      <c r="Z769" s="130"/>
      <c r="AB769" s="106"/>
    </row>
    <row r="770">
      <c r="C770" s="79"/>
      <c r="D770" s="79"/>
      <c r="E770" s="79"/>
      <c r="M770" s="79"/>
      <c r="R770" s="79"/>
      <c r="S770" s="79"/>
      <c r="V770" s="79"/>
      <c r="W770" s="79"/>
      <c r="Z770" s="130"/>
      <c r="AB770" s="106"/>
    </row>
    <row r="771">
      <c r="C771" s="79"/>
      <c r="D771" s="79"/>
      <c r="E771" s="79"/>
      <c r="M771" s="79"/>
      <c r="R771" s="79"/>
      <c r="S771" s="79"/>
      <c r="V771" s="79"/>
      <c r="W771" s="79"/>
      <c r="Z771" s="130"/>
      <c r="AB771" s="106"/>
    </row>
    <row r="772">
      <c r="C772" s="79"/>
      <c r="D772" s="79"/>
      <c r="E772" s="79"/>
      <c r="M772" s="79"/>
      <c r="R772" s="79"/>
      <c r="S772" s="79"/>
      <c r="V772" s="79"/>
      <c r="W772" s="79"/>
      <c r="Z772" s="130"/>
      <c r="AB772" s="106"/>
    </row>
    <row r="773">
      <c r="C773" s="79"/>
      <c r="D773" s="79"/>
      <c r="E773" s="79"/>
      <c r="M773" s="79"/>
      <c r="R773" s="79"/>
      <c r="S773" s="79"/>
      <c r="V773" s="79"/>
      <c r="W773" s="79"/>
      <c r="Z773" s="130"/>
      <c r="AB773" s="106"/>
    </row>
    <row r="774">
      <c r="C774" s="79"/>
      <c r="D774" s="79"/>
      <c r="E774" s="79"/>
      <c r="M774" s="79"/>
      <c r="R774" s="79"/>
      <c r="S774" s="79"/>
      <c r="V774" s="79"/>
      <c r="W774" s="79"/>
      <c r="Z774" s="130"/>
      <c r="AB774" s="106"/>
    </row>
    <row r="775">
      <c r="C775" s="79"/>
      <c r="D775" s="79"/>
      <c r="E775" s="79"/>
      <c r="M775" s="79"/>
      <c r="R775" s="79"/>
      <c r="S775" s="79"/>
      <c r="V775" s="79"/>
      <c r="W775" s="79"/>
      <c r="Z775" s="130"/>
      <c r="AB775" s="106"/>
    </row>
    <row r="776">
      <c r="C776" s="79"/>
      <c r="D776" s="79"/>
      <c r="E776" s="79"/>
      <c r="M776" s="79"/>
      <c r="R776" s="79"/>
      <c r="S776" s="79"/>
      <c r="V776" s="79"/>
      <c r="W776" s="79"/>
      <c r="Z776" s="130"/>
      <c r="AB776" s="106"/>
    </row>
    <row r="777">
      <c r="C777" s="79"/>
      <c r="D777" s="79"/>
      <c r="E777" s="79"/>
      <c r="M777" s="79"/>
      <c r="R777" s="79"/>
      <c r="S777" s="79"/>
      <c r="V777" s="79"/>
      <c r="W777" s="79"/>
      <c r="Z777" s="130"/>
      <c r="AB777" s="106"/>
    </row>
    <row r="778">
      <c r="C778" s="79"/>
      <c r="D778" s="79"/>
      <c r="E778" s="79"/>
      <c r="M778" s="79"/>
      <c r="R778" s="79"/>
      <c r="S778" s="79"/>
      <c r="V778" s="79"/>
      <c r="W778" s="79"/>
      <c r="Z778" s="130"/>
      <c r="AB778" s="106"/>
    </row>
    <row r="779">
      <c r="C779" s="79"/>
      <c r="D779" s="79"/>
      <c r="E779" s="79"/>
      <c r="M779" s="79"/>
      <c r="R779" s="79"/>
      <c r="S779" s="79"/>
      <c r="V779" s="79"/>
      <c r="W779" s="79"/>
      <c r="Z779" s="130"/>
      <c r="AB779" s="106"/>
    </row>
    <row r="780">
      <c r="C780" s="79"/>
      <c r="D780" s="79"/>
      <c r="E780" s="79"/>
      <c r="M780" s="79"/>
      <c r="R780" s="79"/>
      <c r="S780" s="79"/>
      <c r="V780" s="79"/>
      <c r="W780" s="79"/>
      <c r="Z780" s="130"/>
      <c r="AB780" s="106"/>
    </row>
    <row r="781">
      <c r="C781" s="79"/>
      <c r="D781" s="79"/>
      <c r="E781" s="79"/>
      <c r="M781" s="79"/>
      <c r="R781" s="79"/>
      <c r="S781" s="79"/>
      <c r="V781" s="79"/>
      <c r="W781" s="79"/>
      <c r="Z781" s="130"/>
      <c r="AB781" s="106"/>
    </row>
    <row r="782">
      <c r="C782" s="79"/>
      <c r="D782" s="79"/>
      <c r="E782" s="79"/>
      <c r="M782" s="79"/>
      <c r="R782" s="79"/>
      <c r="S782" s="79"/>
      <c r="V782" s="79"/>
      <c r="W782" s="79"/>
      <c r="Z782" s="130"/>
      <c r="AB782" s="106"/>
    </row>
    <row r="783">
      <c r="C783" s="79"/>
      <c r="D783" s="79"/>
      <c r="E783" s="79"/>
      <c r="M783" s="79"/>
      <c r="R783" s="79"/>
      <c r="S783" s="79"/>
      <c r="V783" s="79"/>
      <c r="W783" s="79"/>
      <c r="Z783" s="130"/>
      <c r="AB783" s="106"/>
    </row>
    <row r="784">
      <c r="C784" s="79"/>
      <c r="D784" s="79"/>
      <c r="E784" s="79"/>
      <c r="M784" s="79"/>
      <c r="R784" s="79"/>
      <c r="S784" s="79"/>
      <c r="V784" s="79"/>
      <c r="W784" s="79"/>
      <c r="Z784" s="130"/>
      <c r="AB784" s="106"/>
    </row>
    <row r="785">
      <c r="C785" s="79"/>
      <c r="D785" s="79"/>
      <c r="E785" s="79"/>
      <c r="M785" s="79"/>
      <c r="R785" s="79"/>
      <c r="S785" s="79"/>
      <c r="V785" s="79"/>
      <c r="W785" s="79"/>
      <c r="Z785" s="130"/>
      <c r="AB785" s="106"/>
    </row>
    <row r="786">
      <c r="C786" s="79"/>
      <c r="D786" s="79"/>
      <c r="E786" s="79"/>
      <c r="M786" s="79"/>
      <c r="R786" s="79"/>
      <c r="S786" s="79"/>
      <c r="V786" s="79"/>
      <c r="W786" s="79"/>
      <c r="Z786" s="130"/>
      <c r="AB786" s="106"/>
    </row>
    <row r="787">
      <c r="C787" s="79"/>
      <c r="D787" s="79"/>
      <c r="E787" s="79"/>
      <c r="M787" s="79"/>
      <c r="R787" s="79"/>
      <c r="S787" s="79"/>
      <c r="V787" s="79"/>
      <c r="W787" s="79"/>
      <c r="Z787" s="130"/>
      <c r="AB787" s="106"/>
    </row>
    <row r="788">
      <c r="C788" s="79"/>
      <c r="D788" s="79"/>
      <c r="E788" s="79"/>
      <c r="M788" s="79"/>
      <c r="R788" s="79"/>
      <c r="S788" s="79"/>
      <c r="V788" s="79"/>
      <c r="W788" s="79"/>
      <c r="Z788" s="130"/>
      <c r="AB788" s="106"/>
    </row>
    <row r="789">
      <c r="C789" s="79"/>
      <c r="D789" s="79"/>
      <c r="E789" s="79"/>
      <c r="M789" s="79"/>
      <c r="R789" s="79"/>
      <c r="S789" s="79"/>
      <c r="V789" s="79"/>
      <c r="W789" s="79"/>
      <c r="Z789" s="130"/>
      <c r="AB789" s="106"/>
    </row>
    <row r="790">
      <c r="C790" s="79"/>
      <c r="D790" s="79"/>
      <c r="E790" s="79"/>
      <c r="M790" s="79"/>
      <c r="R790" s="79"/>
      <c r="S790" s="79"/>
      <c r="V790" s="79"/>
      <c r="W790" s="79"/>
      <c r="Z790" s="130"/>
      <c r="AB790" s="106"/>
    </row>
    <row r="791">
      <c r="C791" s="79"/>
      <c r="D791" s="79"/>
      <c r="E791" s="79"/>
      <c r="M791" s="79"/>
      <c r="R791" s="79"/>
      <c r="S791" s="79"/>
      <c r="V791" s="79"/>
      <c r="W791" s="79"/>
      <c r="Z791" s="130"/>
      <c r="AB791" s="106"/>
    </row>
    <row r="792">
      <c r="C792" s="79"/>
      <c r="D792" s="79"/>
      <c r="E792" s="79"/>
      <c r="M792" s="79"/>
      <c r="R792" s="79"/>
      <c r="S792" s="79"/>
      <c r="V792" s="79"/>
      <c r="W792" s="79"/>
      <c r="Z792" s="130"/>
      <c r="AB792" s="106"/>
    </row>
    <row r="793">
      <c r="C793" s="79"/>
      <c r="D793" s="79"/>
      <c r="E793" s="79"/>
      <c r="M793" s="79"/>
      <c r="R793" s="79"/>
      <c r="S793" s="79"/>
      <c r="V793" s="79"/>
      <c r="W793" s="79"/>
      <c r="Z793" s="130"/>
      <c r="AB793" s="106"/>
    </row>
    <row r="794">
      <c r="C794" s="79"/>
      <c r="D794" s="79"/>
      <c r="E794" s="79"/>
      <c r="M794" s="79"/>
      <c r="R794" s="79"/>
      <c r="S794" s="79"/>
      <c r="V794" s="79"/>
      <c r="W794" s="79"/>
      <c r="Z794" s="130"/>
      <c r="AB794" s="106"/>
    </row>
    <row r="795">
      <c r="C795" s="79"/>
      <c r="D795" s="79"/>
      <c r="E795" s="79"/>
      <c r="M795" s="79"/>
      <c r="R795" s="79"/>
      <c r="S795" s="79"/>
      <c r="V795" s="79"/>
      <c r="W795" s="79"/>
      <c r="Z795" s="130"/>
      <c r="AB795" s="106"/>
    </row>
    <row r="796">
      <c r="C796" s="79"/>
      <c r="D796" s="79"/>
      <c r="E796" s="79"/>
      <c r="M796" s="79"/>
      <c r="R796" s="79"/>
      <c r="S796" s="79"/>
      <c r="V796" s="79"/>
      <c r="W796" s="79"/>
      <c r="Z796" s="130"/>
      <c r="AB796" s="106"/>
    </row>
    <row r="797">
      <c r="C797" s="79"/>
      <c r="D797" s="79"/>
      <c r="E797" s="79"/>
      <c r="M797" s="79"/>
      <c r="R797" s="79"/>
      <c r="S797" s="79"/>
      <c r="V797" s="79"/>
      <c r="W797" s="79"/>
      <c r="Z797" s="130"/>
      <c r="AB797" s="106"/>
    </row>
    <row r="798">
      <c r="C798" s="79"/>
      <c r="D798" s="79"/>
      <c r="E798" s="79"/>
      <c r="M798" s="79"/>
      <c r="R798" s="79"/>
      <c r="S798" s="79"/>
      <c r="V798" s="79"/>
      <c r="W798" s="79"/>
      <c r="Z798" s="130"/>
      <c r="AB798" s="106"/>
    </row>
    <row r="799">
      <c r="C799" s="79"/>
      <c r="D799" s="79"/>
      <c r="E799" s="79"/>
      <c r="M799" s="79"/>
      <c r="R799" s="79"/>
      <c r="S799" s="79"/>
      <c r="V799" s="79"/>
      <c r="W799" s="79"/>
      <c r="Z799" s="130"/>
      <c r="AB799" s="106"/>
    </row>
    <row r="800">
      <c r="C800" s="79"/>
      <c r="D800" s="79"/>
      <c r="E800" s="79"/>
      <c r="M800" s="79"/>
      <c r="R800" s="79"/>
      <c r="S800" s="79"/>
      <c r="V800" s="79"/>
      <c r="W800" s="79"/>
      <c r="Z800" s="130"/>
      <c r="AB800" s="106"/>
    </row>
    <row r="801">
      <c r="C801" s="79"/>
      <c r="D801" s="79"/>
      <c r="E801" s="79"/>
      <c r="M801" s="79"/>
      <c r="R801" s="79"/>
      <c r="S801" s="79"/>
      <c r="V801" s="79"/>
      <c r="W801" s="79"/>
      <c r="Z801" s="130"/>
      <c r="AB801" s="106"/>
    </row>
    <row r="802">
      <c r="C802" s="79"/>
      <c r="D802" s="79"/>
      <c r="E802" s="79"/>
      <c r="M802" s="79"/>
      <c r="R802" s="79"/>
      <c r="S802" s="79"/>
      <c r="V802" s="79"/>
      <c r="W802" s="79"/>
      <c r="Z802" s="130"/>
      <c r="AB802" s="106"/>
    </row>
    <row r="803">
      <c r="C803" s="79"/>
      <c r="D803" s="79"/>
      <c r="E803" s="79"/>
      <c r="M803" s="79"/>
      <c r="R803" s="79"/>
      <c r="S803" s="79"/>
      <c r="V803" s="79"/>
      <c r="W803" s="79"/>
      <c r="Z803" s="130"/>
      <c r="AB803" s="106"/>
    </row>
    <row r="804">
      <c r="C804" s="79"/>
      <c r="D804" s="79"/>
      <c r="E804" s="79"/>
      <c r="M804" s="79"/>
      <c r="R804" s="79"/>
      <c r="S804" s="79"/>
      <c r="V804" s="79"/>
      <c r="W804" s="79"/>
      <c r="Z804" s="130"/>
      <c r="AB804" s="106"/>
    </row>
    <row r="805">
      <c r="C805" s="79"/>
      <c r="D805" s="79"/>
      <c r="E805" s="79"/>
      <c r="M805" s="79"/>
      <c r="R805" s="79"/>
      <c r="S805" s="79"/>
      <c r="V805" s="79"/>
      <c r="W805" s="79"/>
      <c r="Z805" s="130"/>
      <c r="AB805" s="106"/>
    </row>
    <row r="806">
      <c r="C806" s="79"/>
      <c r="D806" s="79"/>
      <c r="E806" s="79"/>
      <c r="M806" s="79"/>
      <c r="R806" s="79"/>
      <c r="S806" s="79"/>
      <c r="V806" s="79"/>
      <c r="W806" s="79"/>
      <c r="Z806" s="130"/>
      <c r="AB806" s="106"/>
    </row>
    <row r="807">
      <c r="C807" s="79"/>
      <c r="D807" s="79"/>
      <c r="E807" s="79"/>
      <c r="M807" s="79"/>
      <c r="R807" s="79"/>
      <c r="S807" s="79"/>
      <c r="V807" s="79"/>
      <c r="W807" s="79"/>
      <c r="Z807" s="130"/>
      <c r="AB807" s="106"/>
    </row>
    <row r="808">
      <c r="C808" s="79"/>
      <c r="D808" s="79"/>
      <c r="E808" s="79"/>
      <c r="M808" s="79"/>
      <c r="R808" s="79"/>
      <c r="S808" s="79"/>
      <c r="V808" s="79"/>
      <c r="W808" s="79"/>
      <c r="Z808" s="130"/>
      <c r="AB808" s="106"/>
    </row>
    <row r="809">
      <c r="C809" s="79"/>
      <c r="D809" s="79"/>
      <c r="E809" s="79"/>
      <c r="M809" s="79"/>
      <c r="R809" s="79"/>
      <c r="S809" s="79"/>
      <c r="V809" s="79"/>
      <c r="W809" s="79"/>
      <c r="Z809" s="130"/>
      <c r="AB809" s="106"/>
    </row>
    <row r="810">
      <c r="C810" s="79"/>
      <c r="D810" s="79"/>
      <c r="E810" s="79"/>
      <c r="M810" s="79"/>
      <c r="R810" s="79"/>
      <c r="S810" s="79"/>
      <c r="V810" s="79"/>
      <c r="W810" s="79"/>
      <c r="Z810" s="130"/>
      <c r="AB810" s="106"/>
    </row>
    <row r="811">
      <c r="C811" s="79"/>
      <c r="D811" s="79"/>
      <c r="E811" s="79"/>
      <c r="M811" s="79"/>
      <c r="R811" s="79"/>
      <c r="S811" s="79"/>
      <c r="V811" s="79"/>
      <c r="W811" s="79"/>
      <c r="Z811" s="130"/>
      <c r="AB811" s="106"/>
    </row>
    <row r="812">
      <c r="C812" s="79"/>
      <c r="D812" s="79"/>
      <c r="E812" s="79"/>
      <c r="M812" s="79"/>
      <c r="R812" s="79"/>
      <c r="S812" s="79"/>
      <c r="V812" s="79"/>
      <c r="W812" s="79"/>
      <c r="Z812" s="130"/>
      <c r="AB812" s="106"/>
    </row>
    <row r="813">
      <c r="C813" s="79"/>
      <c r="D813" s="79"/>
      <c r="E813" s="79"/>
      <c r="M813" s="79"/>
      <c r="R813" s="79"/>
      <c r="S813" s="79"/>
      <c r="V813" s="79"/>
      <c r="W813" s="79"/>
      <c r="Z813" s="130"/>
      <c r="AB813" s="106"/>
    </row>
    <row r="814">
      <c r="C814" s="79"/>
      <c r="D814" s="79"/>
      <c r="E814" s="79"/>
      <c r="M814" s="79"/>
      <c r="R814" s="79"/>
      <c r="S814" s="79"/>
      <c r="V814" s="79"/>
      <c r="W814" s="79"/>
      <c r="Z814" s="130"/>
      <c r="AB814" s="106"/>
    </row>
    <row r="815">
      <c r="C815" s="79"/>
      <c r="D815" s="79"/>
      <c r="E815" s="79"/>
      <c r="M815" s="79"/>
      <c r="R815" s="79"/>
      <c r="S815" s="79"/>
      <c r="V815" s="79"/>
      <c r="W815" s="79"/>
      <c r="Z815" s="130"/>
      <c r="AB815" s="106"/>
    </row>
    <row r="816">
      <c r="C816" s="79"/>
      <c r="D816" s="79"/>
      <c r="E816" s="79"/>
      <c r="M816" s="79"/>
      <c r="R816" s="79"/>
      <c r="S816" s="79"/>
      <c r="V816" s="79"/>
      <c r="W816" s="79"/>
      <c r="Z816" s="130"/>
      <c r="AB816" s="106"/>
    </row>
    <row r="817">
      <c r="C817" s="79"/>
      <c r="D817" s="79"/>
      <c r="E817" s="79"/>
      <c r="M817" s="79"/>
      <c r="R817" s="79"/>
      <c r="S817" s="79"/>
      <c r="V817" s="79"/>
      <c r="W817" s="79"/>
      <c r="Z817" s="130"/>
      <c r="AB817" s="106"/>
    </row>
    <row r="818">
      <c r="C818" s="79"/>
      <c r="D818" s="79"/>
      <c r="E818" s="79"/>
      <c r="M818" s="79"/>
      <c r="R818" s="79"/>
      <c r="S818" s="79"/>
      <c r="V818" s="79"/>
      <c r="W818" s="79"/>
      <c r="Z818" s="130"/>
      <c r="AB818" s="106"/>
    </row>
    <row r="819">
      <c r="C819" s="79"/>
      <c r="D819" s="79"/>
      <c r="E819" s="79"/>
      <c r="M819" s="79"/>
      <c r="R819" s="79"/>
      <c r="S819" s="79"/>
      <c r="V819" s="79"/>
      <c r="W819" s="79"/>
      <c r="Z819" s="130"/>
      <c r="AB819" s="106"/>
    </row>
    <row r="820">
      <c r="C820" s="79"/>
      <c r="D820" s="79"/>
      <c r="E820" s="79"/>
      <c r="M820" s="79"/>
      <c r="R820" s="79"/>
      <c r="S820" s="79"/>
      <c r="V820" s="79"/>
      <c r="W820" s="79"/>
      <c r="Z820" s="130"/>
      <c r="AB820" s="106"/>
    </row>
    <row r="821">
      <c r="C821" s="79"/>
      <c r="D821" s="79"/>
      <c r="E821" s="79"/>
      <c r="M821" s="79"/>
      <c r="R821" s="79"/>
      <c r="S821" s="79"/>
      <c r="V821" s="79"/>
      <c r="W821" s="79"/>
      <c r="Z821" s="130"/>
      <c r="AB821" s="106"/>
    </row>
    <row r="822">
      <c r="C822" s="79"/>
      <c r="D822" s="79"/>
      <c r="E822" s="79"/>
      <c r="M822" s="79"/>
      <c r="R822" s="79"/>
      <c r="S822" s="79"/>
      <c r="V822" s="79"/>
      <c r="W822" s="79"/>
      <c r="Z822" s="130"/>
      <c r="AB822" s="106"/>
    </row>
    <row r="823">
      <c r="C823" s="79"/>
      <c r="D823" s="79"/>
      <c r="E823" s="79"/>
      <c r="M823" s="79"/>
      <c r="R823" s="79"/>
      <c r="S823" s="79"/>
      <c r="V823" s="79"/>
      <c r="W823" s="79"/>
      <c r="Z823" s="130"/>
      <c r="AB823" s="106"/>
    </row>
    <row r="824">
      <c r="C824" s="79"/>
      <c r="D824" s="79"/>
      <c r="E824" s="79"/>
      <c r="M824" s="79"/>
      <c r="R824" s="79"/>
      <c r="S824" s="79"/>
      <c r="V824" s="79"/>
      <c r="W824" s="79"/>
      <c r="Z824" s="130"/>
      <c r="AB824" s="106"/>
    </row>
    <row r="825">
      <c r="C825" s="79"/>
      <c r="D825" s="79"/>
      <c r="E825" s="79"/>
      <c r="M825" s="79"/>
      <c r="R825" s="79"/>
      <c r="S825" s="79"/>
      <c r="V825" s="79"/>
      <c r="W825" s="79"/>
      <c r="Z825" s="130"/>
      <c r="AB825" s="106"/>
    </row>
    <row r="826">
      <c r="C826" s="79"/>
      <c r="D826" s="79"/>
      <c r="E826" s="79"/>
      <c r="M826" s="79"/>
      <c r="R826" s="79"/>
      <c r="S826" s="79"/>
      <c r="V826" s="79"/>
      <c r="W826" s="79"/>
      <c r="Z826" s="130"/>
      <c r="AB826" s="106"/>
    </row>
    <row r="827">
      <c r="C827" s="79"/>
      <c r="D827" s="79"/>
      <c r="E827" s="79"/>
      <c r="M827" s="79"/>
      <c r="R827" s="79"/>
      <c r="S827" s="79"/>
      <c r="V827" s="79"/>
      <c r="W827" s="79"/>
      <c r="Z827" s="130"/>
      <c r="AB827" s="106"/>
    </row>
    <row r="828">
      <c r="C828" s="79"/>
      <c r="D828" s="79"/>
      <c r="E828" s="79"/>
      <c r="M828" s="79"/>
      <c r="R828" s="79"/>
      <c r="S828" s="79"/>
      <c r="V828" s="79"/>
      <c r="W828" s="79"/>
      <c r="Z828" s="130"/>
      <c r="AB828" s="106"/>
    </row>
    <row r="829">
      <c r="C829" s="79"/>
      <c r="D829" s="79"/>
      <c r="E829" s="79"/>
      <c r="M829" s="79"/>
      <c r="R829" s="79"/>
      <c r="S829" s="79"/>
      <c r="V829" s="79"/>
      <c r="W829" s="79"/>
      <c r="Z829" s="130"/>
      <c r="AB829" s="106"/>
    </row>
    <row r="830">
      <c r="C830" s="79"/>
      <c r="D830" s="79"/>
      <c r="E830" s="79"/>
      <c r="M830" s="79"/>
      <c r="R830" s="79"/>
      <c r="S830" s="79"/>
      <c r="V830" s="79"/>
      <c r="W830" s="79"/>
      <c r="Z830" s="130"/>
      <c r="AB830" s="106"/>
    </row>
    <row r="831">
      <c r="C831" s="79"/>
      <c r="D831" s="79"/>
      <c r="E831" s="79"/>
      <c r="M831" s="79"/>
      <c r="R831" s="79"/>
      <c r="S831" s="79"/>
      <c r="V831" s="79"/>
      <c r="W831" s="79"/>
      <c r="Z831" s="130"/>
      <c r="AB831" s="106"/>
    </row>
    <row r="832">
      <c r="C832" s="79"/>
      <c r="D832" s="79"/>
      <c r="E832" s="79"/>
      <c r="M832" s="79"/>
      <c r="R832" s="79"/>
      <c r="S832" s="79"/>
      <c r="V832" s="79"/>
      <c r="W832" s="79"/>
      <c r="Z832" s="130"/>
      <c r="AB832" s="106"/>
    </row>
    <row r="833">
      <c r="C833" s="79"/>
      <c r="D833" s="79"/>
      <c r="E833" s="79"/>
      <c r="M833" s="79"/>
      <c r="R833" s="79"/>
      <c r="S833" s="79"/>
      <c r="V833" s="79"/>
      <c r="W833" s="79"/>
      <c r="Z833" s="130"/>
      <c r="AB833" s="106"/>
    </row>
    <row r="834">
      <c r="C834" s="79"/>
      <c r="D834" s="79"/>
      <c r="E834" s="79"/>
      <c r="M834" s="79"/>
      <c r="R834" s="79"/>
      <c r="S834" s="79"/>
      <c r="V834" s="79"/>
      <c r="W834" s="79"/>
      <c r="Z834" s="130"/>
      <c r="AB834" s="106"/>
    </row>
    <row r="835">
      <c r="C835" s="79"/>
      <c r="D835" s="79"/>
      <c r="E835" s="79"/>
      <c r="M835" s="79"/>
      <c r="R835" s="79"/>
      <c r="S835" s="79"/>
      <c r="V835" s="79"/>
      <c r="W835" s="79"/>
      <c r="Z835" s="130"/>
      <c r="AB835" s="106"/>
    </row>
    <row r="836">
      <c r="C836" s="79"/>
      <c r="D836" s="79"/>
      <c r="E836" s="79"/>
      <c r="M836" s="79"/>
      <c r="R836" s="79"/>
      <c r="S836" s="79"/>
      <c r="V836" s="79"/>
      <c r="W836" s="79"/>
      <c r="Z836" s="130"/>
      <c r="AB836" s="106"/>
    </row>
    <row r="837">
      <c r="C837" s="79"/>
      <c r="D837" s="79"/>
      <c r="E837" s="79"/>
      <c r="M837" s="79"/>
      <c r="R837" s="79"/>
      <c r="S837" s="79"/>
      <c r="V837" s="79"/>
      <c r="W837" s="79"/>
      <c r="Z837" s="130"/>
      <c r="AB837" s="106"/>
    </row>
    <row r="838">
      <c r="C838" s="79"/>
      <c r="D838" s="79"/>
      <c r="E838" s="79"/>
      <c r="M838" s="79"/>
      <c r="R838" s="79"/>
      <c r="S838" s="79"/>
      <c r="V838" s="79"/>
      <c r="W838" s="79"/>
      <c r="Z838" s="130"/>
      <c r="AB838" s="106"/>
    </row>
    <row r="839">
      <c r="C839" s="79"/>
      <c r="D839" s="79"/>
      <c r="E839" s="79"/>
      <c r="M839" s="79"/>
      <c r="R839" s="79"/>
      <c r="S839" s="79"/>
      <c r="V839" s="79"/>
      <c r="W839" s="79"/>
      <c r="Z839" s="130"/>
      <c r="AB839" s="106"/>
    </row>
    <row r="840">
      <c r="C840" s="79"/>
      <c r="D840" s="79"/>
      <c r="E840" s="79"/>
      <c r="M840" s="79"/>
      <c r="R840" s="79"/>
      <c r="S840" s="79"/>
      <c r="V840" s="79"/>
      <c r="W840" s="79"/>
      <c r="Z840" s="130"/>
      <c r="AB840" s="106"/>
    </row>
    <row r="841">
      <c r="C841" s="79"/>
      <c r="D841" s="79"/>
      <c r="E841" s="79"/>
      <c r="M841" s="79"/>
      <c r="R841" s="79"/>
      <c r="S841" s="79"/>
      <c r="V841" s="79"/>
      <c r="W841" s="79"/>
      <c r="Z841" s="130"/>
      <c r="AB841" s="106"/>
    </row>
    <row r="842">
      <c r="C842" s="79"/>
      <c r="D842" s="79"/>
      <c r="E842" s="79"/>
      <c r="M842" s="79"/>
      <c r="R842" s="79"/>
      <c r="S842" s="79"/>
      <c r="V842" s="79"/>
      <c r="W842" s="79"/>
      <c r="Z842" s="130"/>
      <c r="AB842" s="106"/>
    </row>
    <row r="843">
      <c r="C843" s="79"/>
      <c r="D843" s="79"/>
      <c r="E843" s="79"/>
      <c r="M843" s="79"/>
      <c r="R843" s="79"/>
      <c r="S843" s="79"/>
      <c r="V843" s="79"/>
      <c r="W843" s="79"/>
      <c r="Z843" s="130"/>
      <c r="AB843" s="106"/>
    </row>
    <row r="844">
      <c r="C844" s="79"/>
      <c r="D844" s="79"/>
      <c r="E844" s="79"/>
      <c r="M844" s="79"/>
      <c r="R844" s="79"/>
      <c r="S844" s="79"/>
      <c r="V844" s="79"/>
      <c r="W844" s="79"/>
      <c r="Z844" s="130"/>
      <c r="AB844" s="106"/>
    </row>
    <row r="845">
      <c r="C845" s="79"/>
      <c r="D845" s="79"/>
      <c r="E845" s="79"/>
      <c r="M845" s="79"/>
      <c r="R845" s="79"/>
      <c r="S845" s="79"/>
      <c r="V845" s="79"/>
      <c r="W845" s="79"/>
      <c r="Z845" s="130"/>
      <c r="AB845" s="106"/>
    </row>
    <row r="846">
      <c r="C846" s="79"/>
      <c r="D846" s="79"/>
      <c r="E846" s="79"/>
      <c r="M846" s="79"/>
      <c r="R846" s="79"/>
      <c r="S846" s="79"/>
      <c r="V846" s="79"/>
      <c r="W846" s="79"/>
      <c r="Z846" s="130"/>
      <c r="AB846" s="106"/>
    </row>
    <row r="847">
      <c r="C847" s="79"/>
      <c r="D847" s="79"/>
      <c r="E847" s="79"/>
      <c r="M847" s="79"/>
      <c r="R847" s="79"/>
      <c r="S847" s="79"/>
      <c r="V847" s="79"/>
      <c r="W847" s="79"/>
      <c r="Z847" s="130"/>
      <c r="AB847" s="106"/>
    </row>
    <row r="848">
      <c r="C848" s="79"/>
      <c r="D848" s="79"/>
      <c r="E848" s="79"/>
      <c r="M848" s="79"/>
      <c r="R848" s="79"/>
      <c r="S848" s="79"/>
      <c r="V848" s="79"/>
      <c r="W848" s="79"/>
      <c r="Z848" s="130"/>
      <c r="AB848" s="106"/>
    </row>
    <row r="849">
      <c r="C849" s="79"/>
      <c r="D849" s="79"/>
      <c r="E849" s="79"/>
      <c r="M849" s="79"/>
      <c r="R849" s="79"/>
      <c r="S849" s="79"/>
      <c r="V849" s="79"/>
      <c r="W849" s="79"/>
      <c r="Z849" s="130"/>
      <c r="AB849" s="106"/>
    </row>
    <row r="850">
      <c r="C850" s="79"/>
      <c r="D850" s="79"/>
      <c r="E850" s="79"/>
      <c r="M850" s="79"/>
      <c r="R850" s="79"/>
      <c r="S850" s="79"/>
      <c r="V850" s="79"/>
      <c r="W850" s="79"/>
      <c r="Z850" s="130"/>
      <c r="AB850" s="106"/>
    </row>
    <row r="851">
      <c r="C851" s="79"/>
      <c r="D851" s="79"/>
      <c r="E851" s="79"/>
      <c r="M851" s="79"/>
      <c r="R851" s="79"/>
      <c r="S851" s="79"/>
      <c r="V851" s="79"/>
      <c r="W851" s="79"/>
      <c r="Z851" s="130"/>
      <c r="AB851" s="106"/>
    </row>
    <row r="852">
      <c r="C852" s="79"/>
      <c r="D852" s="79"/>
      <c r="E852" s="79"/>
      <c r="M852" s="79"/>
      <c r="R852" s="79"/>
      <c r="S852" s="79"/>
      <c r="V852" s="79"/>
      <c r="W852" s="79"/>
      <c r="Z852" s="130"/>
      <c r="AB852" s="106"/>
    </row>
    <row r="853">
      <c r="C853" s="79"/>
      <c r="D853" s="79"/>
      <c r="E853" s="79"/>
      <c r="M853" s="79"/>
      <c r="R853" s="79"/>
      <c r="S853" s="79"/>
      <c r="V853" s="79"/>
      <c r="W853" s="79"/>
      <c r="Z853" s="130"/>
      <c r="AB853" s="106"/>
    </row>
    <row r="854">
      <c r="C854" s="79"/>
      <c r="D854" s="79"/>
      <c r="E854" s="79"/>
      <c r="M854" s="79"/>
      <c r="R854" s="79"/>
      <c r="S854" s="79"/>
      <c r="V854" s="79"/>
      <c r="W854" s="79"/>
      <c r="Z854" s="130"/>
      <c r="AB854" s="106"/>
    </row>
    <row r="855">
      <c r="C855" s="79"/>
      <c r="D855" s="79"/>
      <c r="E855" s="79"/>
      <c r="M855" s="79"/>
      <c r="R855" s="79"/>
      <c r="S855" s="79"/>
      <c r="V855" s="79"/>
      <c r="W855" s="79"/>
      <c r="Z855" s="130"/>
      <c r="AB855" s="106"/>
    </row>
    <row r="856">
      <c r="C856" s="79"/>
      <c r="D856" s="79"/>
      <c r="E856" s="79"/>
      <c r="M856" s="79"/>
      <c r="R856" s="79"/>
      <c r="S856" s="79"/>
      <c r="V856" s="79"/>
      <c r="W856" s="79"/>
      <c r="Z856" s="130"/>
      <c r="AB856" s="106"/>
    </row>
    <row r="857">
      <c r="C857" s="79"/>
      <c r="D857" s="79"/>
      <c r="E857" s="79"/>
      <c r="M857" s="79"/>
      <c r="R857" s="79"/>
      <c r="S857" s="79"/>
      <c r="V857" s="79"/>
      <c r="W857" s="79"/>
      <c r="Z857" s="130"/>
      <c r="AB857" s="106"/>
    </row>
    <row r="858">
      <c r="C858" s="79"/>
      <c r="D858" s="79"/>
      <c r="E858" s="79"/>
      <c r="M858" s="79"/>
      <c r="R858" s="79"/>
      <c r="S858" s="79"/>
      <c r="V858" s="79"/>
      <c r="W858" s="79"/>
      <c r="Z858" s="130"/>
      <c r="AB858" s="106"/>
    </row>
    <row r="859">
      <c r="C859" s="79"/>
      <c r="D859" s="79"/>
      <c r="E859" s="79"/>
      <c r="M859" s="79"/>
      <c r="R859" s="79"/>
      <c r="S859" s="79"/>
      <c r="V859" s="79"/>
      <c r="W859" s="79"/>
      <c r="Z859" s="130"/>
      <c r="AB859" s="106"/>
    </row>
    <row r="860">
      <c r="C860" s="79"/>
      <c r="D860" s="79"/>
      <c r="E860" s="79"/>
      <c r="M860" s="79"/>
      <c r="R860" s="79"/>
      <c r="S860" s="79"/>
      <c r="V860" s="79"/>
      <c r="W860" s="79"/>
      <c r="Z860" s="130"/>
      <c r="AB860" s="106"/>
    </row>
    <row r="861">
      <c r="C861" s="79"/>
      <c r="D861" s="79"/>
      <c r="E861" s="79"/>
      <c r="M861" s="79"/>
      <c r="R861" s="79"/>
      <c r="S861" s="79"/>
      <c r="V861" s="79"/>
      <c r="W861" s="79"/>
      <c r="Z861" s="130"/>
      <c r="AB861" s="106"/>
    </row>
    <row r="862">
      <c r="C862" s="79"/>
      <c r="D862" s="79"/>
      <c r="E862" s="79"/>
      <c r="M862" s="79"/>
      <c r="R862" s="79"/>
      <c r="S862" s="79"/>
      <c r="V862" s="79"/>
      <c r="W862" s="79"/>
      <c r="Z862" s="130"/>
      <c r="AB862" s="106"/>
    </row>
    <row r="863">
      <c r="C863" s="79"/>
      <c r="D863" s="79"/>
      <c r="E863" s="79"/>
      <c r="M863" s="79"/>
      <c r="R863" s="79"/>
      <c r="S863" s="79"/>
      <c r="V863" s="79"/>
      <c r="W863" s="79"/>
      <c r="Z863" s="130"/>
      <c r="AB863" s="106"/>
    </row>
    <row r="864">
      <c r="C864" s="79"/>
      <c r="D864" s="79"/>
      <c r="E864" s="79"/>
      <c r="M864" s="79"/>
      <c r="R864" s="79"/>
      <c r="S864" s="79"/>
      <c r="V864" s="79"/>
      <c r="W864" s="79"/>
      <c r="Z864" s="130"/>
      <c r="AB864" s="106"/>
    </row>
    <row r="865">
      <c r="C865" s="79"/>
      <c r="D865" s="79"/>
      <c r="E865" s="79"/>
      <c r="M865" s="79"/>
      <c r="R865" s="79"/>
      <c r="S865" s="79"/>
      <c r="V865" s="79"/>
      <c r="W865" s="79"/>
      <c r="Z865" s="130"/>
      <c r="AB865" s="106"/>
    </row>
    <row r="866">
      <c r="C866" s="79"/>
      <c r="D866" s="79"/>
      <c r="E866" s="79"/>
      <c r="M866" s="79"/>
      <c r="R866" s="79"/>
      <c r="S866" s="79"/>
      <c r="V866" s="79"/>
      <c r="W866" s="79"/>
      <c r="Z866" s="130"/>
      <c r="AB866" s="106"/>
    </row>
    <row r="867">
      <c r="C867" s="79"/>
      <c r="D867" s="79"/>
      <c r="E867" s="79"/>
      <c r="M867" s="79"/>
      <c r="R867" s="79"/>
      <c r="S867" s="79"/>
      <c r="V867" s="79"/>
      <c r="W867" s="79"/>
      <c r="Z867" s="130"/>
      <c r="AB867" s="106"/>
    </row>
    <row r="868">
      <c r="C868" s="79"/>
      <c r="D868" s="79"/>
      <c r="E868" s="79"/>
      <c r="M868" s="79"/>
      <c r="R868" s="79"/>
      <c r="S868" s="79"/>
      <c r="V868" s="79"/>
      <c r="W868" s="79"/>
      <c r="Z868" s="130"/>
      <c r="AB868" s="106"/>
    </row>
    <row r="869">
      <c r="C869" s="79"/>
      <c r="D869" s="79"/>
      <c r="E869" s="79"/>
      <c r="M869" s="79"/>
      <c r="R869" s="79"/>
      <c r="S869" s="79"/>
      <c r="V869" s="79"/>
      <c r="W869" s="79"/>
      <c r="Z869" s="130"/>
      <c r="AB869" s="106"/>
    </row>
    <row r="870">
      <c r="C870" s="79"/>
      <c r="D870" s="79"/>
      <c r="E870" s="79"/>
      <c r="M870" s="79"/>
      <c r="R870" s="79"/>
      <c r="S870" s="79"/>
      <c r="V870" s="79"/>
      <c r="W870" s="79"/>
      <c r="Z870" s="130"/>
      <c r="AB870" s="106"/>
    </row>
    <row r="871">
      <c r="C871" s="79"/>
      <c r="D871" s="79"/>
      <c r="E871" s="79"/>
      <c r="M871" s="79"/>
      <c r="R871" s="79"/>
      <c r="S871" s="79"/>
      <c r="V871" s="79"/>
      <c r="W871" s="79"/>
      <c r="Z871" s="130"/>
      <c r="AB871" s="106"/>
    </row>
    <row r="872">
      <c r="C872" s="79"/>
      <c r="D872" s="79"/>
      <c r="E872" s="79"/>
      <c r="M872" s="79"/>
      <c r="R872" s="79"/>
      <c r="S872" s="79"/>
      <c r="V872" s="79"/>
      <c r="W872" s="79"/>
      <c r="Z872" s="130"/>
      <c r="AB872" s="106"/>
    </row>
    <row r="873">
      <c r="C873" s="79"/>
      <c r="D873" s="79"/>
      <c r="E873" s="79"/>
      <c r="M873" s="79"/>
      <c r="R873" s="79"/>
      <c r="S873" s="79"/>
      <c r="V873" s="79"/>
      <c r="W873" s="79"/>
      <c r="Z873" s="130"/>
      <c r="AB873" s="106"/>
    </row>
    <row r="874">
      <c r="C874" s="79"/>
      <c r="D874" s="79"/>
      <c r="E874" s="79"/>
      <c r="M874" s="79"/>
      <c r="R874" s="79"/>
      <c r="S874" s="79"/>
      <c r="V874" s="79"/>
      <c r="W874" s="79"/>
      <c r="Z874" s="130"/>
      <c r="AB874" s="106"/>
    </row>
    <row r="875">
      <c r="C875" s="79"/>
      <c r="D875" s="79"/>
      <c r="E875" s="79"/>
      <c r="M875" s="79"/>
      <c r="R875" s="79"/>
      <c r="S875" s="79"/>
      <c r="V875" s="79"/>
      <c r="W875" s="79"/>
      <c r="Z875" s="130"/>
      <c r="AB875" s="106"/>
    </row>
    <row r="876">
      <c r="C876" s="79"/>
      <c r="D876" s="79"/>
      <c r="E876" s="79"/>
      <c r="M876" s="79"/>
      <c r="R876" s="79"/>
      <c r="S876" s="79"/>
      <c r="V876" s="79"/>
      <c r="W876" s="79"/>
      <c r="Z876" s="130"/>
      <c r="AB876" s="106"/>
    </row>
    <row r="877">
      <c r="C877" s="79"/>
      <c r="D877" s="79"/>
      <c r="E877" s="79"/>
      <c r="M877" s="79"/>
      <c r="R877" s="79"/>
      <c r="S877" s="79"/>
      <c r="V877" s="79"/>
      <c r="W877" s="79"/>
      <c r="Z877" s="130"/>
      <c r="AB877" s="106"/>
    </row>
    <row r="878">
      <c r="C878" s="79"/>
      <c r="D878" s="79"/>
      <c r="E878" s="79"/>
      <c r="M878" s="79"/>
      <c r="R878" s="79"/>
      <c r="S878" s="79"/>
      <c r="V878" s="79"/>
      <c r="W878" s="79"/>
      <c r="Z878" s="130"/>
      <c r="AB878" s="106"/>
    </row>
    <row r="879">
      <c r="C879" s="79"/>
      <c r="D879" s="79"/>
      <c r="E879" s="79"/>
      <c r="M879" s="79"/>
      <c r="R879" s="79"/>
      <c r="S879" s="79"/>
      <c r="V879" s="79"/>
      <c r="W879" s="79"/>
      <c r="Z879" s="130"/>
      <c r="AB879" s="106"/>
    </row>
    <row r="880">
      <c r="C880" s="79"/>
      <c r="D880" s="79"/>
      <c r="E880" s="79"/>
      <c r="M880" s="79"/>
      <c r="R880" s="79"/>
      <c r="S880" s="79"/>
      <c r="V880" s="79"/>
      <c r="W880" s="79"/>
      <c r="Z880" s="130"/>
      <c r="AB880" s="106"/>
    </row>
    <row r="881">
      <c r="C881" s="79"/>
      <c r="D881" s="79"/>
      <c r="E881" s="79"/>
      <c r="M881" s="79"/>
      <c r="R881" s="79"/>
      <c r="S881" s="79"/>
      <c r="V881" s="79"/>
      <c r="W881" s="79"/>
      <c r="Z881" s="130"/>
      <c r="AB881" s="106"/>
    </row>
    <row r="882">
      <c r="C882" s="79"/>
      <c r="D882" s="79"/>
      <c r="E882" s="79"/>
      <c r="M882" s="79"/>
      <c r="R882" s="79"/>
      <c r="S882" s="79"/>
      <c r="V882" s="79"/>
      <c r="W882" s="79"/>
      <c r="Z882" s="130"/>
      <c r="AB882" s="106"/>
    </row>
    <row r="883">
      <c r="C883" s="79"/>
      <c r="D883" s="79"/>
      <c r="E883" s="79"/>
      <c r="M883" s="79"/>
      <c r="R883" s="79"/>
      <c r="S883" s="79"/>
      <c r="V883" s="79"/>
      <c r="W883" s="79"/>
      <c r="Z883" s="130"/>
      <c r="AB883" s="106"/>
    </row>
    <row r="884">
      <c r="C884" s="79"/>
      <c r="D884" s="79"/>
      <c r="E884" s="79"/>
      <c r="M884" s="79"/>
      <c r="R884" s="79"/>
      <c r="S884" s="79"/>
      <c r="V884" s="79"/>
      <c r="W884" s="79"/>
      <c r="Z884" s="130"/>
      <c r="AB884" s="106"/>
    </row>
    <row r="885">
      <c r="C885" s="79"/>
      <c r="D885" s="79"/>
      <c r="E885" s="79"/>
      <c r="M885" s="79"/>
      <c r="R885" s="79"/>
      <c r="S885" s="79"/>
      <c r="V885" s="79"/>
      <c r="W885" s="79"/>
      <c r="Z885" s="130"/>
      <c r="AB885" s="106"/>
    </row>
    <row r="886">
      <c r="C886" s="79"/>
      <c r="D886" s="79"/>
      <c r="E886" s="79"/>
      <c r="M886" s="79"/>
      <c r="R886" s="79"/>
      <c r="S886" s="79"/>
      <c r="V886" s="79"/>
      <c r="W886" s="79"/>
      <c r="Z886" s="130"/>
      <c r="AB886" s="106"/>
    </row>
    <row r="887">
      <c r="C887" s="79"/>
      <c r="D887" s="79"/>
      <c r="E887" s="79"/>
      <c r="M887" s="79"/>
      <c r="R887" s="79"/>
      <c r="S887" s="79"/>
      <c r="V887" s="79"/>
      <c r="W887" s="79"/>
      <c r="Z887" s="130"/>
      <c r="AB887" s="106"/>
    </row>
    <row r="888">
      <c r="C888" s="79"/>
      <c r="D888" s="79"/>
      <c r="E888" s="79"/>
      <c r="M888" s="79"/>
      <c r="R888" s="79"/>
      <c r="S888" s="79"/>
      <c r="V888" s="79"/>
      <c r="W888" s="79"/>
      <c r="Z888" s="130"/>
      <c r="AB888" s="106"/>
    </row>
    <row r="889">
      <c r="C889" s="79"/>
      <c r="D889" s="79"/>
      <c r="E889" s="79"/>
      <c r="M889" s="79"/>
      <c r="R889" s="79"/>
      <c r="S889" s="79"/>
      <c r="V889" s="79"/>
      <c r="W889" s="79"/>
      <c r="Z889" s="130"/>
      <c r="AB889" s="106"/>
    </row>
    <row r="890">
      <c r="C890" s="79"/>
      <c r="D890" s="79"/>
      <c r="E890" s="79"/>
      <c r="M890" s="79"/>
      <c r="R890" s="79"/>
      <c r="S890" s="79"/>
      <c r="V890" s="79"/>
      <c r="W890" s="79"/>
      <c r="Z890" s="130"/>
      <c r="AB890" s="106"/>
    </row>
    <row r="891">
      <c r="C891" s="79"/>
      <c r="D891" s="79"/>
      <c r="E891" s="79"/>
      <c r="M891" s="79"/>
      <c r="R891" s="79"/>
      <c r="S891" s="79"/>
      <c r="V891" s="79"/>
      <c r="W891" s="79"/>
      <c r="Z891" s="130"/>
      <c r="AB891" s="106"/>
    </row>
    <row r="892">
      <c r="C892" s="79"/>
      <c r="D892" s="79"/>
      <c r="E892" s="79"/>
      <c r="M892" s="79"/>
      <c r="R892" s="79"/>
      <c r="S892" s="79"/>
      <c r="V892" s="79"/>
      <c r="W892" s="79"/>
      <c r="Z892" s="130"/>
      <c r="AB892" s="106"/>
    </row>
    <row r="893">
      <c r="C893" s="79"/>
      <c r="D893" s="79"/>
      <c r="E893" s="79"/>
      <c r="M893" s="79"/>
      <c r="R893" s="79"/>
      <c r="S893" s="79"/>
      <c r="V893" s="79"/>
      <c r="W893" s="79"/>
      <c r="Z893" s="130"/>
      <c r="AB893" s="106"/>
    </row>
    <row r="894">
      <c r="C894" s="79"/>
      <c r="D894" s="79"/>
      <c r="E894" s="79"/>
      <c r="M894" s="79"/>
      <c r="R894" s="79"/>
      <c r="S894" s="79"/>
      <c r="V894" s="79"/>
      <c r="W894" s="79"/>
      <c r="Z894" s="130"/>
      <c r="AB894" s="106"/>
    </row>
    <row r="895">
      <c r="C895" s="79"/>
      <c r="D895" s="79"/>
      <c r="E895" s="79"/>
      <c r="M895" s="79"/>
      <c r="R895" s="79"/>
      <c r="S895" s="79"/>
      <c r="V895" s="79"/>
      <c r="W895" s="79"/>
      <c r="Z895" s="130"/>
      <c r="AB895" s="106"/>
    </row>
    <row r="896">
      <c r="C896" s="79"/>
      <c r="D896" s="79"/>
      <c r="E896" s="79"/>
      <c r="M896" s="79"/>
      <c r="R896" s="79"/>
      <c r="S896" s="79"/>
      <c r="V896" s="79"/>
      <c r="W896" s="79"/>
      <c r="Z896" s="130"/>
      <c r="AB896" s="106"/>
    </row>
    <row r="897">
      <c r="C897" s="79"/>
      <c r="D897" s="79"/>
      <c r="E897" s="79"/>
      <c r="M897" s="79"/>
      <c r="R897" s="79"/>
      <c r="S897" s="79"/>
      <c r="V897" s="79"/>
      <c r="W897" s="79"/>
      <c r="Z897" s="130"/>
      <c r="AB897" s="106"/>
    </row>
    <row r="898">
      <c r="C898" s="79"/>
      <c r="D898" s="79"/>
      <c r="E898" s="79"/>
      <c r="M898" s="79"/>
      <c r="R898" s="79"/>
      <c r="S898" s="79"/>
      <c r="V898" s="79"/>
      <c r="W898" s="79"/>
      <c r="Z898" s="130"/>
      <c r="AB898" s="106"/>
    </row>
    <row r="899">
      <c r="C899" s="79"/>
      <c r="D899" s="79"/>
      <c r="E899" s="79"/>
      <c r="M899" s="79"/>
      <c r="R899" s="79"/>
      <c r="S899" s="79"/>
      <c r="V899" s="79"/>
      <c r="W899" s="79"/>
      <c r="Z899" s="130"/>
      <c r="AB899" s="106"/>
    </row>
    <row r="900">
      <c r="C900" s="79"/>
      <c r="D900" s="79"/>
      <c r="E900" s="79"/>
      <c r="M900" s="79"/>
      <c r="R900" s="79"/>
      <c r="S900" s="79"/>
      <c r="V900" s="79"/>
      <c r="W900" s="79"/>
      <c r="Z900" s="130"/>
      <c r="AB900" s="106"/>
    </row>
    <row r="901">
      <c r="C901" s="79"/>
      <c r="D901" s="79"/>
      <c r="E901" s="79"/>
      <c r="M901" s="79"/>
      <c r="R901" s="79"/>
      <c r="S901" s="79"/>
      <c r="V901" s="79"/>
      <c r="W901" s="79"/>
      <c r="Z901" s="130"/>
      <c r="AB901" s="106"/>
    </row>
    <row r="902">
      <c r="C902" s="79"/>
      <c r="D902" s="79"/>
      <c r="E902" s="79"/>
      <c r="M902" s="79"/>
      <c r="R902" s="79"/>
      <c r="S902" s="79"/>
      <c r="V902" s="79"/>
      <c r="W902" s="79"/>
      <c r="Z902" s="130"/>
      <c r="AB902" s="106"/>
    </row>
    <row r="903">
      <c r="C903" s="79"/>
      <c r="D903" s="79"/>
      <c r="E903" s="79"/>
      <c r="M903" s="79"/>
      <c r="R903" s="79"/>
      <c r="S903" s="79"/>
      <c r="V903" s="79"/>
      <c r="W903" s="79"/>
      <c r="Z903" s="130"/>
      <c r="AB903" s="106"/>
    </row>
    <row r="904">
      <c r="C904" s="79"/>
      <c r="D904" s="79"/>
      <c r="E904" s="79"/>
      <c r="M904" s="79"/>
      <c r="R904" s="79"/>
      <c r="S904" s="79"/>
      <c r="V904" s="79"/>
      <c r="W904" s="79"/>
      <c r="Z904" s="130"/>
      <c r="AB904" s="106"/>
    </row>
    <row r="905">
      <c r="C905" s="79"/>
      <c r="D905" s="79"/>
      <c r="E905" s="79"/>
      <c r="M905" s="79"/>
      <c r="R905" s="79"/>
      <c r="S905" s="79"/>
      <c r="V905" s="79"/>
      <c r="W905" s="79"/>
      <c r="Z905" s="130"/>
      <c r="AB905" s="106"/>
    </row>
    <row r="906">
      <c r="C906" s="79"/>
      <c r="D906" s="79"/>
      <c r="E906" s="79"/>
      <c r="M906" s="79"/>
      <c r="R906" s="79"/>
      <c r="S906" s="79"/>
      <c r="V906" s="79"/>
      <c r="W906" s="79"/>
      <c r="Z906" s="130"/>
      <c r="AB906" s="106"/>
    </row>
    <row r="907">
      <c r="C907" s="79"/>
      <c r="D907" s="79"/>
      <c r="E907" s="79"/>
      <c r="M907" s="79"/>
      <c r="R907" s="79"/>
      <c r="S907" s="79"/>
      <c r="V907" s="79"/>
      <c r="W907" s="79"/>
      <c r="Z907" s="130"/>
      <c r="AB907" s="106"/>
    </row>
    <row r="908">
      <c r="C908" s="79"/>
      <c r="D908" s="79"/>
      <c r="E908" s="79"/>
      <c r="M908" s="79"/>
      <c r="R908" s="79"/>
      <c r="S908" s="79"/>
      <c r="V908" s="79"/>
      <c r="W908" s="79"/>
      <c r="Z908" s="130"/>
      <c r="AB908" s="106"/>
    </row>
    <row r="909">
      <c r="C909" s="79"/>
      <c r="D909" s="79"/>
      <c r="E909" s="79"/>
      <c r="M909" s="79"/>
      <c r="R909" s="79"/>
      <c r="S909" s="79"/>
      <c r="V909" s="79"/>
      <c r="W909" s="79"/>
      <c r="Z909" s="130"/>
      <c r="AB909" s="106"/>
    </row>
    <row r="910">
      <c r="C910" s="79"/>
      <c r="D910" s="79"/>
      <c r="E910" s="79"/>
      <c r="M910" s="79"/>
      <c r="R910" s="79"/>
      <c r="S910" s="79"/>
      <c r="V910" s="79"/>
      <c r="W910" s="79"/>
      <c r="Z910" s="130"/>
      <c r="AB910" s="106"/>
    </row>
    <row r="911">
      <c r="C911" s="79"/>
      <c r="D911" s="79"/>
      <c r="E911" s="79"/>
      <c r="M911" s="79"/>
      <c r="R911" s="79"/>
      <c r="S911" s="79"/>
      <c r="V911" s="79"/>
      <c r="W911" s="79"/>
      <c r="Z911" s="130"/>
      <c r="AB911" s="106"/>
    </row>
    <row r="912">
      <c r="C912" s="79"/>
      <c r="D912" s="79"/>
      <c r="E912" s="79"/>
      <c r="M912" s="79"/>
      <c r="R912" s="79"/>
      <c r="S912" s="79"/>
      <c r="V912" s="79"/>
      <c r="W912" s="79"/>
      <c r="Z912" s="130"/>
      <c r="AB912" s="106"/>
    </row>
    <row r="913">
      <c r="C913" s="79"/>
      <c r="D913" s="79"/>
      <c r="E913" s="79"/>
      <c r="M913" s="79"/>
      <c r="R913" s="79"/>
      <c r="S913" s="79"/>
      <c r="V913" s="79"/>
      <c r="W913" s="79"/>
      <c r="Z913" s="130"/>
      <c r="AB913" s="106"/>
    </row>
    <row r="914">
      <c r="C914" s="79"/>
      <c r="D914" s="79"/>
      <c r="E914" s="79"/>
      <c r="M914" s="79"/>
      <c r="R914" s="79"/>
      <c r="S914" s="79"/>
      <c r="V914" s="79"/>
      <c r="W914" s="79"/>
      <c r="Z914" s="130"/>
      <c r="AB914" s="106"/>
    </row>
    <row r="915">
      <c r="C915" s="79"/>
      <c r="D915" s="79"/>
      <c r="E915" s="79"/>
      <c r="M915" s="79"/>
      <c r="R915" s="79"/>
      <c r="S915" s="79"/>
      <c r="V915" s="79"/>
      <c r="W915" s="79"/>
      <c r="Z915" s="130"/>
      <c r="AB915" s="106"/>
    </row>
    <row r="916">
      <c r="C916" s="79"/>
      <c r="D916" s="79"/>
      <c r="E916" s="79"/>
      <c r="M916" s="79"/>
      <c r="R916" s="79"/>
      <c r="S916" s="79"/>
      <c r="V916" s="79"/>
      <c r="W916" s="79"/>
      <c r="Z916" s="130"/>
      <c r="AB916" s="106"/>
    </row>
    <row r="917">
      <c r="C917" s="79"/>
      <c r="D917" s="79"/>
      <c r="E917" s="79"/>
      <c r="M917" s="79"/>
      <c r="R917" s="79"/>
      <c r="S917" s="79"/>
      <c r="V917" s="79"/>
      <c r="W917" s="79"/>
      <c r="Z917" s="130"/>
      <c r="AB917" s="106"/>
    </row>
    <row r="918">
      <c r="C918" s="79"/>
      <c r="D918" s="79"/>
      <c r="E918" s="79"/>
      <c r="M918" s="79"/>
      <c r="R918" s="79"/>
      <c r="S918" s="79"/>
      <c r="V918" s="79"/>
      <c r="W918" s="79"/>
      <c r="Z918" s="130"/>
      <c r="AB918" s="106"/>
    </row>
    <row r="919">
      <c r="C919" s="79"/>
      <c r="D919" s="79"/>
      <c r="E919" s="79"/>
      <c r="M919" s="79"/>
      <c r="R919" s="79"/>
      <c r="S919" s="79"/>
      <c r="V919" s="79"/>
      <c r="W919" s="79"/>
      <c r="Z919" s="130"/>
      <c r="AB919" s="106"/>
    </row>
    <row r="920">
      <c r="C920" s="79"/>
      <c r="D920" s="79"/>
      <c r="E920" s="79"/>
      <c r="M920" s="79"/>
      <c r="R920" s="79"/>
      <c r="S920" s="79"/>
      <c r="V920" s="79"/>
      <c r="W920" s="79"/>
      <c r="Z920" s="130"/>
      <c r="AB920" s="106"/>
    </row>
    <row r="921">
      <c r="C921" s="79"/>
      <c r="D921" s="79"/>
      <c r="E921" s="79"/>
      <c r="M921" s="79"/>
      <c r="R921" s="79"/>
      <c r="S921" s="79"/>
      <c r="V921" s="79"/>
      <c r="W921" s="79"/>
      <c r="Z921" s="130"/>
      <c r="AB921" s="106"/>
    </row>
    <row r="922">
      <c r="C922" s="79"/>
      <c r="D922" s="79"/>
      <c r="E922" s="79"/>
      <c r="M922" s="79"/>
      <c r="R922" s="79"/>
      <c r="S922" s="79"/>
      <c r="V922" s="79"/>
      <c r="W922" s="79"/>
      <c r="Z922" s="130"/>
      <c r="AB922" s="106"/>
    </row>
    <row r="923">
      <c r="C923" s="79"/>
      <c r="D923" s="79"/>
      <c r="E923" s="79"/>
      <c r="M923" s="79"/>
      <c r="R923" s="79"/>
      <c r="S923" s="79"/>
      <c r="V923" s="79"/>
      <c r="W923" s="79"/>
      <c r="Z923" s="130"/>
      <c r="AB923" s="106"/>
    </row>
    <row r="924">
      <c r="C924" s="79"/>
      <c r="D924" s="79"/>
      <c r="E924" s="79"/>
      <c r="M924" s="79"/>
      <c r="R924" s="79"/>
      <c r="S924" s="79"/>
      <c r="V924" s="79"/>
      <c r="W924" s="79"/>
      <c r="Z924" s="130"/>
      <c r="AB924" s="106"/>
    </row>
    <row r="925">
      <c r="C925" s="79"/>
      <c r="D925" s="79"/>
      <c r="E925" s="79"/>
      <c r="M925" s="79"/>
      <c r="R925" s="79"/>
      <c r="S925" s="79"/>
      <c r="V925" s="79"/>
      <c r="W925" s="79"/>
      <c r="Z925" s="130"/>
      <c r="AB925" s="106"/>
    </row>
    <row r="926">
      <c r="C926" s="79"/>
      <c r="D926" s="79"/>
      <c r="E926" s="79"/>
      <c r="M926" s="79"/>
      <c r="R926" s="79"/>
      <c r="S926" s="79"/>
      <c r="V926" s="79"/>
      <c r="W926" s="79"/>
      <c r="Z926" s="130"/>
      <c r="AB926" s="106"/>
    </row>
    <row r="927">
      <c r="C927" s="79"/>
      <c r="D927" s="79"/>
      <c r="E927" s="79"/>
      <c r="M927" s="79"/>
      <c r="R927" s="79"/>
      <c r="S927" s="79"/>
      <c r="V927" s="79"/>
      <c r="W927" s="79"/>
      <c r="Z927" s="130"/>
      <c r="AB927" s="106"/>
    </row>
    <row r="928">
      <c r="C928" s="79"/>
      <c r="D928" s="79"/>
      <c r="E928" s="79"/>
      <c r="M928" s="79"/>
      <c r="R928" s="79"/>
      <c r="S928" s="79"/>
      <c r="V928" s="79"/>
      <c r="W928" s="79"/>
      <c r="Z928" s="130"/>
      <c r="AB928" s="106"/>
    </row>
    <row r="929">
      <c r="C929" s="79"/>
      <c r="D929" s="79"/>
      <c r="E929" s="79"/>
      <c r="M929" s="79"/>
      <c r="R929" s="79"/>
      <c r="S929" s="79"/>
      <c r="V929" s="79"/>
      <c r="W929" s="79"/>
      <c r="Z929" s="130"/>
      <c r="AB929" s="106"/>
    </row>
    <row r="930">
      <c r="C930" s="79"/>
      <c r="D930" s="79"/>
      <c r="E930" s="79"/>
      <c r="M930" s="79"/>
      <c r="R930" s="79"/>
      <c r="S930" s="79"/>
      <c r="V930" s="79"/>
      <c r="W930" s="79"/>
      <c r="Z930" s="130"/>
      <c r="AB930" s="106"/>
    </row>
    <row r="931">
      <c r="C931" s="79"/>
      <c r="D931" s="79"/>
      <c r="E931" s="79"/>
      <c r="M931" s="79"/>
      <c r="R931" s="79"/>
      <c r="S931" s="79"/>
      <c r="V931" s="79"/>
      <c r="W931" s="79"/>
      <c r="Z931" s="130"/>
      <c r="AB931" s="106"/>
    </row>
    <row r="932">
      <c r="C932" s="79"/>
      <c r="D932" s="79"/>
      <c r="E932" s="79"/>
      <c r="M932" s="79"/>
      <c r="R932" s="79"/>
      <c r="S932" s="79"/>
      <c r="V932" s="79"/>
      <c r="W932" s="79"/>
      <c r="Z932" s="130"/>
      <c r="AB932" s="106"/>
    </row>
    <row r="933">
      <c r="C933" s="79"/>
      <c r="D933" s="79"/>
      <c r="E933" s="79"/>
      <c r="M933" s="79"/>
      <c r="R933" s="79"/>
      <c r="S933" s="79"/>
      <c r="V933" s="79"/>
      <c r="W933" s="79"/>
      <c r="Z933" s="130"/>
      <c r="AB933" s="106"/>
    </row>
    <row r="934">
      <c r="C934" s="79"/>
      <c r="D934" s="79"/>
      <c r="E934" s="79"/>
      <c r="M934" s="79"/>
      <c r="R934" s="79"/>
      <c r="S934" s="79"/>
      <c r="V934" s="79"/>
      <c r="W934" s="79"/>
      <c r="Z934" s="130"/>
      <c r="AB934" s="106"/>
    </row>
    <row r="935">
      <c r="C935" s="79"/>
      <c r="D935" s="79"/>
      <c r="E935" s="79"/>
      <c r="M935" s="79"/>
      <c r="R935" s="79"/>
      <c r="S935" s="79"/>
      <c r="V935" s="79"/>
      <c r="W935" s="79"/>
      <c r="Z935" s="130"/>
      <c r="AB935" s="106"/>
    </row>
    <row r="936">
      <c r="C936" s="79"/>
      <c r="D936" s="79"/>
      <c r="E936" s="79"/>
      <c r="M936" s="79"/>
      <c r="R936" s="79"/>
      <c r="S936" s="79"/>
      <c r="V936" s="79"/>
      <c r="W936" s="79"/>
      <c r="Z936" s="130"/>
      <c r="AB936" s="106"/>
    </row>
    <row r="937">
      <c r="C937" s="79"/>
      <c r="D937" s="79"/>
      <c r="E937" s="79"/>
      <c r="M937" s="79"/>
      <c r="R937" s="79"/>
      <c r="S937" s="79"/>
      <c r="V937" s="79"/>
      <c r="W937" s="79"/>
      <c r="Z937" s="130"/>
      <c r="AB937" s="106"/>
    </row>
    <row r="938">
      <c r="C938" s="79"/>
      <c r="D938" s="79"/>
      <c r="E938" s="79"/>
      <c r="M938" s="79"/>
      <c r="R938" s="79"/>
      <c r="S938" s="79"/>
      <c r="V938" s="79"/>
      <c r="W938" s="79"/>
      <c r="Z938" s="130"/>
      <c r="AB938" s="106"/>
    </row>
    <row r="939">
      <c r="C939" s="79"/>
      <c r="D939" s="79"/>
      <c r="E939" s="79"/>
      <c r="M939" s="79"/>
      <c r="R939" s="79"/>
      <c r="S939" s="79"/>
      <c r="V939" s="79"/>
      <c r="W939" s="79"/>
      <c r="Z939" s="130"/>
      <c r="AB939" s="106"/>
    </row>
    <row r="940">
      <c r="C940" s="79"/>
      <c r="D940" s="79"/>
      <c r="E940" s="79"/>
      <c r="M940" s="79"/>
      <c r="R940" s="79"/>
      <c r="S940" s="79"/>
      <c r="V940" s="79"/>
      <c r="W940" s="79"/>
      <c r="Z940" s="130"/>
      <c r="AB940" s="106"/>
    </row>
    <row r="941">
      <c r="C941" s="79"/>
      <c r="D941" s="79"/>
      <c r="E941" s="79"/>
      <c r="M941" s="79"/>
      <c r="R941" s="79"/>
      <c r="S941" s="79"/>
      <c r="V941" s="79"/>
      <c r="W941" s="79"/>
      <c r="Z941" s="130"/>
      <c r="AB941" s="106"/>
    </row>
    <row r="942">
      <c r="C942" s="79"/>
      <c r="D942" s="79"/>
      <c r="E942" s="79"/>
      <c r="M942" s="79"/>
      <c r="R942" s="79"/>
      <c r="S942" s="79"/>
      <c r="V942" s="79"/>
      <c r="W942" s="79"/>
      <c r="Z942" s="130"/>
      <c r="AB942" s="106"/>
    </row>
    <row r="943">
      <c r="C943" s="79"/>
      <c r="D943" s="79"/>
      <c r="E943" s="79"/>
      <c r="M943" s="79"/>
      <c r="R943" s="79"/>
      <c r="S943" s="79"/>
      <c r="V943" s="79"/>
      <c r="W943" s="79"/>
      <c r="Z943" s="130"/>
      <c r="AB943" s="106"/>
    </row>
    <row r="944">
      <c r="C944" s="79"/>
      <c r="D944" s="79"/>
      <c r="E944" s="79"/>
      <c r="M944" s="79"/>
      <c r="R944" s="79"/>
      <c r="S944" s="79"/>
      <c r="V944" s="79"/>
      <c r="W944" s="79"/>
      <c r="Z944" s="130"/>
      <c r="AB944" s="106"/>
    </row>
    <row r="945">
      <c r="C945" s="79"/>
      <c r="D945" s="79"/>
      <c r="E945" s="79"/>
      <c r="M945" s="79"/>
      <c r="R945" s="79"/>
      <c r="S945" s="79"/>
      <c r="V945" s="79"/>
      <c r="W945" s="79"/>
      <c r="Z945" s="130"/>
      <c r="AB945" s="106"/>
    </row>
    <row r="946">
      <c r="C946" s="79"/>
      <c r="D946" s="79"/>
      <c r="E946" s="79"/>
      <c r="M946" s="79"/>
      <c r="R946" s="79"/>
      <c r="S946" s="79"/>
      <c r="V946" s="79"/>
      <c r="W946" s="79"/>
      <c r="Z946" s="130"/>
      <c r="AB946" s="106"/>
    </row>
    <row r="947">
      <c r="C947" s="79"/>
      <c r="D947" s="79"/>
      <c r="E947" s="79"/>
      <c r="M947" s="79"/>
      <c r="R947" s="79"/>
      <c r="S947" s="79"/>
      <c r="V947" s="79"/>
      <c r="W947" s="79"/>
      <c r="Z947" s="130"/>
      <c r="AB947" s="106"/>
    </row>
    <row r="948">
      <c r="C948" s="79"/>
      <c r="D948" s="79"/>
      <c r="E948" s="79"/>
      <c r="M948" s="79"/>
      <c r="R948" s="79"/>
      <c r="S948" s="79"/>
      <c r="V948" s="79"/>
      <c r="W948" s="79"/>
      <c r="Z948" s="130"/>
      <c r="AB948" s="106"/>
    </row>
    <row r="949">
      <c r="C949" s="79"/>
      <c r="D949" s="79"/>
      <c r="E949" s="79"/>
      <c r="M949" s="79"/>
      <c r="R949" s="79"/>
      <c r="S949" s="79"/>
      <c r="V949" s="79"/>
      <c r="W949" s="79"/>
      <c r="Z949" s="130"/>
      <c r="AB949" s="106"/>
    </row>
    <row r="950">
      <c r="C950" s="79"/>
      <c r="D950" s="79"/>
      <c r="E950" s="79"/>
      <c r="M950" s="79"/>
      <c r="R950" s="79"/>
      <c r="S950" s="79"/>
      <c r="V950" s="79"/>
      <c r="W950" s="79"/>
      <c r="Z950" s="130"/>
      <c r="AB950" s="106"/>
    </row>
    <row r="951">
      <c r="C951" s="79"/>
      <c r="D951" s="79"/>
      <c r="E951" s="79"/>
      <c r="M951" s="79"/>
      <c r="R951" s="79"/>
      <c r="S951" s="79"/>
      <c r="V951" s="79"/>
      <c r="W951" s="79"/>
      <c r="Z951" s="130"/>
      <c r="AB951" s="106"/>
    </row>
    <row r="952">
      <c r="C952" s="79"/>
      <c r="D952" s="79"/>
      <c r="E952" s="79"/>
      <c r="M952" s="79"/>
      <c r="R952" s="79"/>
      <c r="S952" s="79"/>
      <c r="V952" s="79"/>
      <c r="W952" s="79"/>
      <c r="Z952" s="130"/>
      <c r="AB952" s="106"/>
    </row>
    <row r="953">
      <c r="C953" s="79"/>
      <c r="D953" s="79"/>
      <c r="E953" s="79"/>
      <c r="M953" s="79"/>
      <c r="R953" s="79"/>
      <c r="S953" s="79"/>
      <c r="V953" s="79"/>
      <c r="W953" s="79"/>
      <c r="Z953" s="130"/>
      <c r="AB953" s="106"/>
    </row>
    <row r="954">
      <c r="C954" s="79"/>
      <c r="D954" s="79"/>
      <c r="E954" s="79"/>
      <c r="M954" s="79"/>
      <c r="R954" s="79"/>
      <c r="S954" s="79"/>
      <c r="V954" s="79"/>
      <c r="W954" s="79"/>
      <c r="Z954" s="130"/>
      <c r="AB954" s="106"/>
    </row>
    <row r="955">
      <c r="C955" s="79"/>
      <c r="D955" s="79"/>
      <c r="E955" s="79"/>
      <c r="M955" s="79"/>
      <c r="R955" s="79"/>
      <c r="S955" s="79"/>
      <c r="V955" s="79"/>
      <c r="W955" s="79"/>
      <c r="Z955" s="130"/>
      <c r="AB955" s="106"/>
    </row>
    <row r="956">
      <c r="C956" s="79"/>
      <c r="D956" s="79"/>
      <c r="E956" s="79"/>
      <c r="M956" s="79"/>
      <c r="R956" s="79"/>
      <c r="S956" s="79"/>
      <c r="V956" s="79"/>
      <c r="W956" s="79"/>
      <c r="Z956" s="130"/>
      <c r="AB956" s="106"/>
    </row>
    <row r="957">
      <c r="C957" s="79"/>
      <c r="D957" s="79"/>
      <c r="E957" s="79"/>
      <c r="M957" s="79"/>
      <c r="R957" s="79"/>
      <c r="S957" s="79"/>
      <c r="V957" s="79"/>
      <c r="W957" s="79"/>
      <c r="Z957" s="130"/>
      <c r="AB957" s="106"/>
    </row>
    <row r="958">
      <c r="C958" s="79"/>
      <c r="D958" s="79"/>
      <c r="E958" s="79"/>
      <c r="M958" s="79"/>
      <c r="R958" s="79"/>
      <c r="S958" s="79"/>
      <c r="V958" s="79"/>
      <c r="W958" s="79"/>
      <c r="Z958" s="130"/>
      <c r="AB958" s="106"/>
    </row>
    <row r="959">
      <c r="C959" s="79"/>
      <c r="D959" s="79"/>
      <c r="E959" s="79"/>
      <c r="M959" s="79"/>
      <c r="R959" s="79"/>
      <c r="S959" s="79"/>
      <c r="V959" s="79"/>
      <c r="W959" s="79"/>
      <c r="Z959" s="130"/>
      <c r="AB959" s="106"/>
    </row>
    <row r="960">
      <c r="C960" s="79"/>
      <c r="D960" s="79"/>
      <c r="E960" s="79"/>
      <c r="M960" s="79"/>
      <c r="R960" s="79"/>
      <c r="S960" s="79"/>
      <c r="V960" s="79"/>
      <c r="W960" s="79"/>
      <c r="Z960" s="130"/>
      <c r="AB960" s="106"/>
    </row>
    <row r="961">
      <c r="C961" s="79"/>
      <c r="D961" s="79"/>
      <c r="E961" s="79"/>
      <c r="M961" s="79"/>
      <c r="R961" s="79"/>
      <c r="S961" s="79"/>
      <c r="V961" s="79"/>
      <c r="W961" s="79"/>
      <c r="Z961" s="130"/>
      <c r="AB961" s="106"/>
    </row>
    <row r="962">
      <c r="C962" s="79"/>
      <c r="D962" s="79"/>
      <c r="E962" s="79"/>
      <c r="M962" s="79"/>
      <c r="R962" s="79"/>
      <c r="S962" s="79"/>
      <c r="V962" s="79"/>
      <c r="W962" s="79"/>
      <c r="Z962" s="130"/>
      <c r="AB962" s="106"/>
    </row>
    <row r="963">
      <c r="C963" s="79"/>
      <c r="D963" s="79"/>
      <c r="E963" s="79"/>
      <c r="M963" s="79"/>
      <c r="R963" s="79"/>
      <c r="S963" s="79"/>
      <c r="V963" s="79"/>
      <c r="W963" s="79"/>
      <c r="Z963" s="130"/>
      <c r="AB963" s="106"/>
    </row>
    <row r="964">
      <c r="C964" s="79"/>
      <c r="D964" s="79"/>
      <c r="E964" s="79"/>
      <c r="M964" s="79"/>
      <c r="R964" s="79"/>
      <c r="S964" s="79"/>
      <c r="V964" s="79"/>
      <c r="W964" s="79"/>
      <c r="Z964" s="130"/>
      <c r="AB964" s="106"/>
    </row>
    <row r="965">
      <c r="C965" s="79"/>
      <c r="D965" s="79"/>
      <c r="E965" s="79"/>
      <c r="M965" s="79"/>
      <c r="R965" s="79"/>
      <c r="S965" s="79"/>
      <c r="V965" s="79"/>
      <c r="W965" s="79"/>
      <c r="Z965" s="130"/>
      <c r="AB965" s="106"/>
    </row>
    <row r="966">
      <c r="C966" s="79"/>
      <c r="D966" s="79"/>
      <c r="E966" s="79"/>
      <c r="M966" s="79"/>
      <c r="R966" s="79"/>
      <c r="S966" s="79"/>
      <c r="V966" s="79"/>
      <c r="W966" s="79"/>
      <c r="Z966" s="130"/>
      <c r="AB966" s="106"/>
    </row>
    <row r="967">
      <c r="C967" s="79"/>
      <c r="D967" s="79"/>
      <c r="E967" s="79"/>
      <c r="M967" s="79"/>
      <c r="R967" s="79"/>
      <c r="S967" s="79"/>
      <c r="V967" s="79"/>
      <c r="W967" s="79"/>
      <c r="Z967" s="130"/>
      <c r="AB967" s="106"/>
    </row>
    <row r="968">
      <c r="C968" s="79"/>
      <c r="D968" s="79"/>
      <c r="E968" s="79"/>
      <c r="M968" s="79"/>
      <c r="R968" s="79"/>
      <c r="S968" s="79"/>
      <c r="V968" s="79"/>
      <c r="W968" s="79"/>
      <c r="Z968" s="130"/>
      <c r="AB968" s="106"/>
    </row>
    <row r="969">
      <c r="C969" s="79"/>
      <c r="D969" s="79"/>
      <c r="E969" s="79"/>
      <c r="M969" s="79"/>
      <c r="R969" s="79"/>
      <c r="S969" s="79"/>
      <c r="V969" s="79"/>
      <c r="W969" s="79"/>
      <c r="Z969" s="130"/>
      <c r="AB969" s="106"/>
    </row>
    <row r="970">
      <c r="C970" s="79"/>
      <c r="D970" s="79"/>
      <c r="E970" s="79"/>
      <c r="M970" s="79"/>
      <c r="R970" s="79"/>
      <c r="S970" s="79"/>
      <c r="V970" s="79"/>
      <c r="W970" s="79"/>
      <c r="Z970" s="130"/>
      <c r="AB970" s="106"/>
    </row>
    <row r="971">
      <c r="C971" s="79"/>
      <c r="D971" s="79"/>
      <c r="E971" s="79"/>
      <c r="M971" s="79"/>
      <c r="R971" s="79"/>
      <c r="S971" s="79"/>
      <c r="V971" s="79"/>
      <c r="W971" s="79"/>
      <c r="Z971" s="130"/>
      <c r="AB971" s="106"/>
    </row>
    <row r="972">
      <c r="C972" s="79"/>
      <c r="D972" s="79"/>
      <c r="E972" s="79"/>
      <c r="M972" s="79"/>
      <c r="R972" s="79"/>
      <c r="S972" s="79"/>
      <c r="V972" s="79"/>
      <c r="W972" s="79"/>
      <c r="Z972" s="130"/>
      <c r="AB972" s="106"/>
    </row>
    <row r="973">
      <c r="C973" s="79"/>
      <c r="D973" s="79"/>
      <c r="E973" s="79"/>
      <c r="M973" s="79"/>
      <c r="R973" s="79"/>
      <c r="S973" s="79"/>
      <c r="V973" s="79"/>
      <c r="W973" s="79"/>
      <c r="Z973" s="130"/>
      <c r="AB973" s="106"/>
    </row>
    <row r="974">
      <c r="C974" s="79"/>
      <c r="D974" s="79"/>
      <c r="E974" s="79"/>
      <c r="M974" s="79"/>
      <c r="R974" s="79"/>
      <c r="S974" s="79"/>
      <c r="V974" s="79"/>
      <c r="W974" s="79"/>
      <c r="Z974" s="130"/>
      <c r="AB974" s="106"/>
    </row>
    <row r="975">
      <c r="C975" s="79"/>
      <c r="D975" s="79"/>
      <c r="E975" s="79"/>
      <c r="M975" s="79"/>
      <c r="R975" s="79"/>
      <c r="S975" s="79"/>
      <c r="V975" s="79"/>
      <c r="W975" s="79"/>
      <c r="Z975" s="130"/>
      <c r="AB975" s="106"/>
    </row>
    <row r="976">
      <c r="C976" s="79"/>
      <c r="D976" s="79"/>
      <c r="E976" s="79"/>
      <c r="M976" s="79"/>
      <c r="R976" s="79"/>
      <c r="S976" s="79"/>
      <c r="V976" s="79"/>
      <c r="W976" s="79"/>
      <c r="Z976" s="130"/>
      <c r="AB976" s="106"/>
    </row>
    <row r="977">
      <c r="C977" s="79"/>
      <c r="D977" s="79"/>
      <c r="E977" s="79"/>
      <c r="M977" s="79"/>
      <c r="R977" s="79"/>
      <c r="S977" s="79"/>
      <c r="V977" s="79"/>
      <c r="W977" s="79"/>
      <c r="Z977" s="130"/>
      <c r="AB977" s="106"/>
    </row>
    <row r="978">
      <c r="C978" s="79"/>
      <c r="D978" s="79"/>
      <c r="E978" s="79"/>
      <c r="M978" s="79"/>
      <c r="R978" s="79"/>
      <c r="S978" s="79"/>
      <c r="V978" s="79"/>
      <c r="W978" s="79"/>
      <c r="Z978" s="130"/>
      <c r="AB978" s="106"/>
    </row>
    <row r="979">
      <c r="C979" s="79"/>
      <c r="D979" s="79"/>
      <c r="E979" s="79"/>
      <c r="M979" s="79"/>
      <c r="R979" s="79"/>
      <c r="S979" s="79"/>
      <c r="V979" s="79"/>
      <c r="W979" s="79"/>
      <c r="Z979" s="130"/>
      <c r="AB979" s="106"/>
    </row>
    <row r="980">
      <c r="C980" s="79"/>
      <c r="D980" s="79"/>
      <c r="E980" s="79"/>
      <c r="M980" s="79"/>
      <c r="R980" s="79"/>
      <c r="S980" s="79"/>
      <c r="V980" s="79"/>
      <c r="W980" s="79"/>
      <c r="Z980" s="130"/>
      <c r="AB980" s="106"/>
    </row>
    <row r="981">
      <c r="C981" s="79"/>
      <c r="D981" s="79"/>
      <c r="E981" s="79"/>
      <c r="M981" s="79"/>
      <c r="R981" s="79"/>
      <c r="S981" s="79"/>
      <c r="V981" s="79"/>
      <c r="W981" s="79"/>
      <c r="Z981" s="130"/>
      <c r="AB981" s="106"/>
    </row>
    <row r="982">
      <c r="C982" s="79"/>
      <c r="D982" s="79"/>
      <c r="E982" s="79"/>
      <c r="M982" s="79"/>
      <c r="R982" s="79"/>
      <c r="S982" s="79"/>
      <c r="V982" s="79"/>
      <c r="W982" s="79"/>
      <c r="Z982" s="130"/>
      <c r="AB982" s="106"/>
    </row>
    <row r="983">
      <c r="C983" s="79"/>
      <c r="D983" s="79"/>
      <c r="E983" s="79"/>
      <c r="M983" s="79"/>
      <c r="R983" s="79"/>
      <c r="S983" s="79"/>
      <c r="V983" s="79"/>
      <c r="W983" s="79"/>
      <c r="Z983" s="130"/>
      <c r="AB983" s="106"/>
    </row>
    <row r="984">
      <c r="C984" s="79"/>
      <c r="D984" s="79"/>
      <c r="E984" s="79"/>
      <c r="M984" s="79"/>
      <c r="R984" s="79"/>
      <c r="S984" s="79"/>
      <c r="V984" s="79"/>
      <c r="W984" s="79"/>
      <c r="Z984" s="130"/>
      <c r="AB984" s="106"/>
    </row>
    <row r="985">
      <c r="C985" s="79"/>
      <c r="D985" s="79"/>
      <c r="E985" s="79"/>
      <c r="M985" s="79"/>
      <c r="R985" s="79"/>
      <c r="S985" s="79"/>
      <c r="V985" s="79"/>
      <c r="W985" s="79"/>
      <c r="Z985" s="130"/>
      <c r="AB985" s="106"/>
    </row>
    <row r="986">
      <c r="C986" s="79"/>
      <c r="D986" s="79"/>
      <c r="E986" s="79"/>
      <c r="M986" s="79"/>
      <c r="R986" s="79"/>
      <c r="S986" s="79"/>
      <c r="V986" s="79"/>
      <c r="W986" s="79"/>
      <c r="Z986" s="130"/>
      <c r="AB986" s="106"/>
    </row>
    <row r="987">
      <c r="C987" s="79"/>
      <c r="D987" s="79"/>
      <c r="E987" s="79"/>
      <c r="M987" s="79"/>
      <c r="R987" s="79"/>
      <c r="S987" s="79"/>
      <c r="V987" s="79"/>
      <c r="W987" s="79"/>
      <c r="Z987" s="130"/>
      <c r="AB987" s="106"/>
    </row>
    <row r="988">
      <c r="C988" s="79"/>
      <c r="D988" s="79"/>
      <c r="E988" s="79"/>
      <c r="M988" s="79"/>
      <c r="R988" s="79"/>
      <c r="S988" s="79"/>
      <c r="V988" s="79"/>
      <c r="W988" s="79"/>
      <c r="Z988" s="130"/>
      <c r="AB988" s="106"/>
    </row>
    <row r="989">
      <c r="C989" s="79"/>
      <c r="D989" s="79"/>
      <c r="E989" s="79"/>
      <c r="M989" s="79"/>
      <c r="R989" s="79"/>
      <c r="S989" s="79"/>
      <c r="V989" s="79"/>
      <c r="W989" s="79"/>
      <c r="Z989" s="130"/>
      <c r="AB989" s="106"/>
    </row>
    <row r="990">
      <c r="C990" s="79"/>
      <c r="D990" s="79"/>
      <c r="E990" s="79"/>
      <c r="M990" s="79"/>
      <c r="R990" s="79"/>
      <c r="S990" s="79"/>
      <c r="V990" s="79"/>
      <c r="W990" s="79"/>
      <c r="Z990" s="130"/>
      <c r="AB990" s="106"/>
    </row>
    <row r="991">
      <c r="C991" s="79"/>
      <c r="D991" s="79"/>
      <c r="E991" s="79"/>
      <c r="M991" s="79"/>
      <c r="R991" s="79"/>
      <c r="S991" s="79"/>
      <c r="V991" s="79"/>
      <c r="W991" s="79"/>
      <c r="Z991" s="130"/>
      <c r="AB991" s="106"/>
    </row>
    <row r="992">
      <c r="C992" s="79"/>
      <c r="D992" s="79"/>
      <c r="E992" s="79"/>
      <c r="M992" s="79"/>
      <c r="R992" s="79"/>
      <c r="S992" s="79"/>
      <c r="V992" s="79"/>
      <c r="W992" s="79"/>
      <c r="Z992" s="130"/>
      <c r="AB992" s="106"/>
    </row>
    <row r="993">
      <c r="C993" s="79"/>
      <c r="D993" s="79"/>
      <c r="E993" s="79"/>
      <c r="M993" s="79"/>
      <c r="R993" s="79"/>
      <c r="S993" s="79"/>
      <c r="V993" s="79"/>
      <c r="W993" s="79"/>
      <c r="Z993" s="130"/>
      <c r="AB993" s="106"/>
    </row>
    <row r="994">
      <c r="C994" s="79"/>
      <c r="D994" s="79"/>
      <c r="E994" s="79"/>
      <c r="M994" s="79"/>
      <c r="R994" s="79"/>
      <c r="S994" s="79"/>
      <c r="V994" s="79"/>
      <c r="W994" s="79"/>
      <c r="Z994" s="130"/>
      <c r="AB994" s="106"/>
    </row>
    <row r="995">
      <c r="C995" s="79"/>
      <c r="D995" s="79"/>
      <c r="E995" s="79"/>
      <c r="M995" s="79"/>
      <c r="R995" s="79"/>
      <c r="S995" s="79"/>
      <c r="V995" s="79"/>
      <c r="W995" s="79"/>
      <c r="Z995" s="130"/>
      <c r="AB995" s="106"/>
    </row>
    <row r="996">
      <c r="C996" s="79"/>
      <c r="D996" s="79"/>
      <c r="E996" s="79"/>
      <c r="M996" s="79"/>
      <c r="R996" s="79"/>
      <c r="S996" s="79"/>
      <c r="V996" s="79"/>
      <c r="W996" s="79"/>
      <c r="Z996" s="130"/>
      <c r="AB996" s="106"/>
    </row>
    <row r="997">
      <c r="C997" s="79"/>
      <c r="D997" s="79"/>
      <c r="E997" s="79"/>
      <c r="M997" s="79"/>
      <c r="R997" s="79"/>
      <c r="S997" s="79"/>
      <c r="V997" s="79"/>
      <c r="W997" s="79"/>
      <c r="Z997" s="130"/>
      <c r="AB997" s="106"/>
    </row>
    <row r="998">
      <c r="C998" s="79"/>
      <c r="D998" s="79"/>
      <c r="E998" s="79"/>
      <c r="M998" s="79"/>
      <c r="R998" s="79"/>
      <c r="S998" s="79"/>
      <c r="V998" s="79"/>
      <c r="W998" s="79"/>
      <c r="Z998" s="130"/>
      <c r="AB998" s="106"/>
    </row>
    <row r="999">
      <c r="C999" s="79"/>
      <c r="D999" s="79"/>
      <c r="E999" s="79"/>
      <c r="M999" s="79"/>
      <c r="R999" s="79"/>
      <c r="S999" s="79"/>
      <c r="V999" s="79"/>
      <c r="W999" s="79"/>
      <c r="Z999" s="130"/>
      <c r="AB999" s="106"/>
    </row>
  </sheetData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5" max="5" width="13.5"/>
    <col customWidth="1" min="7" max="7" width="13.25"/>
    <col hidden="1" min="12" max="13" width="12.63"/>
    <col customWidth="1" min="24" max="24" width="14.63"/>
    <col customWidth="1" min="28" max="28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3</v>
      </c>
      <c r="G1" s="2" t="s">
        <v>203</v>
      </c>
      <c r="H1" s="2" t="s">
        <v>129</v>
      </c>
      <c r="I1" s="2" t="s">
        <v>5</v>
      </c>
      <c r="J1" s="2" t="s">
        <v>204</v>
      </c>
      <c r="K1" s="2" t="s">
        <v>6</v>
      </c>
      <c r="L1" s="2" t="s">
        <v>43</v>
      </c>
      <c r="M1" s="105" t="s">
        <v>40</v>
      </c>
      <c r="N1" s="2" t="s">
        <v>49</v>
      </c>
      <c r="O1" s="2" t="s">
        <v>42</v>
      </c>
      <c r="P1" s="2" t="s">
        <v>121</v>
      </c>
      <c r="Q1" s="2" t="s">
        <v>164</v>
      </c>
      <c r="R1" s="105" t="s">
        <v>9</v>
      </c>
      <c r="S1" s="105" t="s">
        <v>165</v>
      </c>
      <c r="T1" s="2" t="s">
        <v>37</v>
      </c>
      <c r="U1" s="2" t="s">
        <v>10</v>
      </c>
      <c r="V1" s="105" t="s">
        <v>11</v>
      </c>
      <c r="W1" s="105" t="s">
        <v>205</v>
      </c>
      <c r="X1" s="2" t="s">
        <v>206</v>
      </c>
      <c r="Y1" s="3" t="s">
        <v>13</v>
      </c>
      <c r="Z1" s="126" t="s">
        <v>14</v>
      </c>
      <c r="AA1" s="3" t="s">
        <v>15</v>
      </c>
      <c r="AB1" s="106"/>
    </row>
    <row r="2">
      <c r="A2" s="74">
        <v>45257.0</v>
      </c>
      <c r="B2" s="93">
        <f>2305.31-151.46-24.79-47.03-486.56-26.31-26.61-111.63-19.65-37.28-67.1-28.96-25-45.75</f>
        <v>1207.18</v>
      </c>
      <c r="C2" s="93"/>
      <c r="D2" s="93">
        <f>239.2+521.28-100.1</f>
        <v>660.38</v>
      </c>
      <c r="E2" s="93"/>
      <c r="F2" s="93">
        <v>180.0</v>
      </c>
      <c r="G2" s="93"/>
      <c r="H2" s="93">
        <v>459.43</v>
      </c>
      <c r="I2" s="93"/>
      <c r="J2" s="93"/>
      <c r="K2" s="93"/>
      <c r="L2" s="93"/>
      <c r="M2" s="93"/>
      <c r="N2" s="93">
        <v>168.0</v>
      </c>
      <c r="O2" s="93"/>
      <c r="P2" s="93"/>
      <c r="Q2" s="93"/>
      <c r="R2" s="93"/>
      <c r="S2" s="93"/>
      <c r="T2" s="72"/>
      <c r="U2" s="93">
        <v>208.5</v>
      </c>
      <c r="V2" s="93">
        <v>57.05</v>
      </c>
      <c r="W2" s="93"/>
      <c r="X2" s="5"/>
      <c r="Y2" s="107">
        <f t="shared" ref="Y2:Y7" si="1">SUM(B2:X2)</f>
        <v>2940.54</v>
      </c>
      <c r="Z2" s="158">
        <v>3255.0</v>
      </c>
      <c r="AA2" s="59">
        <f t="shared" ref="AA2:AA8" si="2">Y2/Z2</f>
        <v>0.9033917051</v>
      </c>
      <c r="AB2" s="109">
        <f t="shared" ref="AB2:AB8" si="3">A2</f>
        <v>45257</v>
      </c>
    </row>
    <row r="3">
      <c r="A3" s="74">
        <v>45258.0</v>
      </c>
      <c r="B3" s="93">
        <f>471.96-29.29-55.75-28.18</f>
        <v>358.74</v>
      </c>
      <c r="C3" s="93">
        <f>394.35-29</f>
        <v>365.35</v>
      </c>
      <c r="D3" s="93">
        <v>191.95</v>
      </c>
      <c r="E3" s="93"/>
      <c r="F3" s="93"/>
      <c r="G3" s="93"/>
      <c r="H3" s="93"/>
      <c r="I3" s="93"/>
      <c r="J3" s="93"/>
      <c r="K3" s="93"/>
      <c r="L3" s="93"/>
      <c r="M3" s="93"/>
      <c r="N3" s="93"/>
      <c r="O3" s="93">
        <v>60.0</v>
      </c>
      <c r="P3" s="101"/>
      <c r="Q3" s="101"/>
      <c r="R3" s="93"/>
      <c r="S3" s="93"/>
      <c r="T3" s="93"/>
      <c r="U3" s="93"/>
      <c r="V3" s="93"/>
      <c r="W3" s="93"/>
      <c r="X3" s="93"/>
      <c r="Y3" s="107">
        <f t="shared" si="1"/>
        <v>976.04</v>
      </c>
      <c r="Z3" s="97">
        <v>7093.0</v>
      </c>
      <c r="AA3" s="59">
        <f t="shared" si="2"/>
        <v>0.1376060905</v>
      </c>
      <c r="AB3" s="109">
        <f t="shared" si="3"/>
        <v>45258</v>
      </c>
    </row>
    <row r="4">
      <c r="A4" s="74">
        <v>45259.0</v>
      </c>
      <c r="B4" s="93">
        <f>1229.86-29.42-52.44-19.18-34.2-27.19-39.24-39.24-48.02-37.66</f>
        <v>903.27</v>
      </c>
      <c r="C4" s="93"/>
      <c r="D4" s="93">
        <f>424.6-82.2</f>
        <v>342.4</v>
      </c>
      <c r="E4" s="93"/>
      <c r="F4" s="93"/>
      <c r="G4" s="93"/>
      <c r="H4" s="93"/>
      <c r="I4" s="93">
        <f>364-99</f>
        <v>265</v>
      </c>
      <c r="J4" s="93"/>
      <c r="K4" s="93">
        <v>42.0</v>
      </c>
      <c r="L4" s="93"/>
      <c r="M4" s="93"/>
      <c r="N4" s="93"/>
      <c r="O4" s="93"/>
      <c r="P4" s="93"/>
      <c r="Q4" s="93"/>
      <c r="R4" s="93"/>
      <c r="S4" s="93"/>
      <c r="T4" s="160"/>
      <c r="U4" s="187"/>
      <c r="V4" s="93">
        <v>57.05</v>
      </c>
      <c r="W4" s="93"/>
      <c r="X4" s="6"/>
      <c r="Y4" s="107">
        <f t="shared" si="1"/>
        <v>1609.72</v>
      </c>
      <c r="Z4" s="97">
        <f>506+4345.8</f>
        <v>4851.8</v>
      </c>
      <c r="AA4" s="59">
        <f t="shared" si="2"/>
        <v>0.3317778969</v>
      </c>
      <c r="AB4" s="109">
        <f t="shared" si="3"/>
        <v>45259</v>
      </c>
    </row>
    <row r="5">
      <c r="A5" s="74">
        <v>45260.0</v>
      </c>
      <c r="B5" s="93">
        <f>2199.51-20.7-12.91-10.84-79.48-49.95-50.18-83.16-33.55-38-38-41.43-46.32-26.61</f>
        <v>1668.38</v>
      </c>
      <c r="C5" s="93"/>
      <c r="D5" s="93">
        <v>238.79</v>
      </c>
      <c r="E5" s="93"/>
      <c r="F5" s="93"/>
      <c r="G5" s="160"/>
      <c r="H5" s="93">
        <v>126.86</v>
      </c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101"/>
      <c r="W5" s="101"/>
      <c r="X5" s="6"/>
      <c r="Y5" s="7">
        <f t="shared" si="1"/>
        <v>2034.03</v>
      </c>
      <c r="Z5" s="97">
        <v>4829</v>
      </c>
      <c r="AA5" s="59">
        <f t="shared" si="2"/>
        <v>0.4212114309</v>
      </c>
      <c r="AB5" s="109">
        <f t="shared" si="3"/>
        <v>45260</v>
      </c>
    </row>
    <row r="6">
      <c r="A6" s="74">
        <v>45261.0</v>
      </c>
      <c r="B6" s="93">
        <f>998.13-45-58.57-29-2.99-7.01-35.05-33.55-47.03</f>
        <v>739.93</v>
      </c>
      <c r="C6" s="93"/>
      <c r="D6" s="93">
        <f>227.46-105.2</f>
        <v>122.26</v>
      </c>
      <c r="E6" s="93"/>
      <c r="F6" s="93">
        <v>180.0</v>
      </c>
      <c r="G6" s="93"/>
      <c r="H6" s="93"/>
      <c r="I6" s="93">
        <f>770.8-190-283.8</f>
        <v>297</v>
      </c>
      <c r="J6" s="93"/>
      <c r="K6" s="93">
        <v>123.0</v>
      </c>
      <c r="L6" s="93"/>
      <c r="M6" s="162"/>
      <c r="N6" s="93"/>
      <c r="O6" s="93"/>
      <c r="P6" s="93">
        <v>18.5</v>
      </c>
      <c r="Q6" s="93"/>
      <c r="R6" s="93"/>
      <c r="S6" s="93"/>
      <c r="T6" s="93"/>
      <c r="U6" s="93"/>
      <c r="V6" s="93">
        <v>57.05</v>
      </c>
      <c r="W6" s="93"/>
      <c r="X6" s="5"/>
      <c r="Y6" s="7">
        <f t="shared" si="1"/>
        <v>1537.74</v>
      </c>
      <c r="Z6" s="97">
        <f>1175.2+9535</f>
        <v>10710.2</v>
      </c>
      <c r="AA6" s="59">
        <f t="shared" si="2"/>
        <v>0.1435771508</v>
      </c>
      <c r="AB6" s="109">
        <f t="shared" si="3"/>
        <v>45261</v>
      </c>
    </row>
    <row r="7">
      <c r="A7" s="74">
        <v>45262.0</v>
      </c>
      <c r="B7" s="93">
        <f>1001.3-47.12-32.68-121.64-13.06</f>
        <v>786.8</v>
      </c>
      <c r="C7" s="93">
        <f>625.8-39.45-20.1-29-12.2-15.9-133.8-28.5-43</f>
        <v>303.85</v>
      </c>
      <c r="D7" s="180">
        <f>409.5+1256.58</f>
        <v>1666.08</v>
      </c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101"/>
      <c r="U7" s="101"/>
      <c r="V7" s="101"/>
      <c r="W7" s="101"/>
      <c r="X7" s="5"/>
      <c r="Y7" s="7">
        <f t="shared" si="1"/>
        <v>2756.73</v>
      </c>
      <c r="Z7" s="97">
        <f>2152.5+8481.5</f>
        <v>10634</v>
      </c>
      <c r="AA7" s="59">
        <f t="shared" si="2"/>
        <v>0.2592373519</v>
      </c>
      <c r="AB7" s="109">
        <f t="shared" si="3"/>
        <v>45262</v>
      </c>
    </row>
    <row r="8">
      <c r="A8" s="74">
        <v>45263.0</v>
      </c>
      <c r="B8" s="93"/>
      <c r="C8" s="112" t="s">
        <v>21</v>
      </c>
      <c r="D8" s="112" t="s">
        <v>21</v>
      </c>
      <c r="E8" s="112" t="s">
        <v>21</v>
      </c>
      <c r="F8" s="112" t="s">
        <v>21</v>
      </c>
      <c r="G8" s="112" t="s">
        <v>21</v>
      </c>
      <c r="H8" s="112" t="s">
        <v>21</v>
      </c>
      <c r="I8" s="112" t="s">
        <v>21</v>
      </c>
      <c r="J8" s="112" t="s">
        <v>21</v>
      </c>
      <c r="K8" s="112" t="s">
        <v>21</v>
      </c>
      <c r="L8" s="112" t="s">
        <v>21</v>
      </c>
      <c r="M8" s="112" t="s">
        <v>21</v>
      </c>
      <c r="N8" s="112" t="s">
        <v>21</v>
      </c>
      <c r="O8" s="112" t="s">
        <v>21</v>
      </c>
      <c r="P8" s="112" t="s">
        <v>21</v>
      </c>
      <c r="Q8" s="112" t="s">
        <v>21</v>
      </c>
      <c r="R8" s="112" t="s">
        <v>21</v>
      </c>
      <c r="S8" s="112" t="s">
        <v>21</v>
      </c>
      <c r="T8" s="112" t="s">
        <v>21</v>
      </c>
      <c r="U8" s="112" t="s">
        <v>21</v>
      </c>
      <c r="V8" s="10" t="s">
        <v>21</v>
      </c>
      <c r="W8" s="10" t="s">
        <v>21</v>
      </c>
      <c r="X8" s="10" t="s">
        <v>21</v>
      </c>
      <c r="Y8" s="7">
        <v>0.0</v>
      </c>
      <c r="Z8" s="97">
        <f>2551.2+2747.5</f>
        <v>5298.7</v>
      </c>
      <c r="AA8" s="59">
        <f t="shared" si="2"/>
        <v>0</v>
      </c>
      <c r="AB8" s="109">
        <f t="shared" si="3"/>
        <v>45263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Z9" s="129"/>
      <c r="AB9" s="106"/>
    </row>
    <row r="10">
      <c r="A10" s="172" t="s">
        <v>213</v>
      </c>
      <c r="B10" s="166">
        <v>6475.51</v>
      </c>
      <c r="C10" s="166">
        <v>669.2</v>
      </c>
      <c r="D10" s="166">
        <v>3408.85</v>
      </c>
      <c r="E10" s="167"/>
      <c r="F10" s="168"/>
      <c r="G10" s="166">
        <v>670.92</v>
      </c>
      <c r="H10" s="166">
        <v>616.31</v>
      </c>
      <c r="I10" s="166">
        <v>562.0</v>
      </c>
      <c r="J10" s="168"/>
      <c r="K10" s="166">
        <v>165.0</v>
      </c>
      <c r="L10" s="168"/>
      <c r="M10" s="168"/>
      <c r="N10" s="166">
        <v>168.0</v>
      </c>
      <c r="O10" s="166">
        <v>60.0</v>
      </c>
      <c r="P10" s="168"/>
      <c r="Q10" s="168"/>
      <c r="R10" s="166">
        <v>280.0</v>
      </c>
      <c r="S10" s="168"/>
      <c r="T10" s="168"/>
      <c r="U10" s="166">
        <v>208.5</v>
      </c>
      <c r="V10" s="166">
        <v>171.15</v>
      </c>
      <c r="W10" s="168"/>
      <c r="X10" s="1"/>
      <c r="Y10" s="1"/>
      <c r="Z10" s="169"/>
      <c r="AA10" s="1"/>
      <c r="AB10" s="170"/>
    </row>
    <row r="11">
      <c r="A11" s="172" t="s">
        <v>80</v>
      </c>
      <c r="B11" s="44">
        <f t="shared" ref="B11:D11" si="4">sum(B2:B8)-B10</f>
        <v>-811.21</v>
      </c>
      <c r="C11" s="44">
        <f t="shared" si="4"/>
        <v>0</v>
      </c>
      <c r="D11" s="44">
        <f t="shared" si="4"/>
        <v>-186.99</v>
      </c>
      <c r="E11" s="167"/>
      <c r="F11" s="168"/>
      <c r="G11" s="44">
        <f t="shared" ref="G11:I11" si="5">sum(G2:G8)-G10</f>
        <v>-670.92</v>
      </c>
      <c r="H11" s="44">
        <f t="shared" si="5"/>
        <v>-30.02</v>
      </c>
      <c r="I11" s="44">
        <f t="shared" si="5"/>
        <v>0</v>
      </c>
      <c r="J11" s="168"/>
      <c r="K11" s="93">
        <f>sum(K2:K8)-K10</f>
        <v>0</v>
      </c>
      <c r="L11" s="168"/>
      <c r="M11" s="168"/>
      <c r="N11" s="93">
        <f t="shared" ref="N11:O11" si="6">sum(N2:N8)-N10</f>
        <v>0</v>
      </c>
      <c r="O11" s="93">
        <f t="shared" si="6"/>
        <v>0</v>
      </c>
      <c r="P11" s="168"/>
      <c r="Q11" s="168"/>
      <c r="R11" s="93">
        <f>sum(R2:R8)-R10</f>
        <v>-280</v>
      </c>
      <c r="S11" s="168"/>
      <c r="T11" s="168"/>
      <c r="U11" s="93">
        <f t="shared" ref="U11:V11" si="7">sum(U2:U8)-U10</f>
        <v>0</v>
      </c>
      <c r="V11" s="93">
        <f t="shared" si="7"/>
        <v>0</v>
      </c>
      <c r="W11" s="168"/>
      <c r="X11" s="1"/>
      <c r="Y11" s="1"/>
      <c r="Z11" s="169"/>
      <c r="AA11" s="1"/>
      <c r="AB11" s="170"/>
    </row>
    <row r="12">
      <c r="A12" s="164" t="s">
        <v>193</v>
      </c>
      <c r="B12" s="78"/>
      <c r="C12" s="78"/>
      <c r="D12" s="78"/>
      <c r="E12" s="188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Z12" s="129"/>
      <c r="AB12" s="106"/>
    </row>
    <row r="13">
      <c r="A13" s="165" t="s">
        <v>194</v>
      </c>
      <c r="B13" s="93">
        <f>111.63+37.66+39.74+7.01+35.05+24.79+28.18+29.42+27.19+48.02+46.32+47.03+47.12+32.68+121.64+13.06</f>
        <v>696.54</v>
      </c>
      <c r="C13" s="166">
        <f>29+39.45+20.1+29+28.5+43</f>
        <v>189.05</v>
      </c>
      <c r="D13" s="166">
        <f>82.2+105.2</f>
        <v>187.4</v>
      </c>
      <c r="E13" s="167"/>
      <c r="F13" s="168"/>
      <c r="G13" s="166"/>
      <c r="H13" s="166"/>
      <c r="I13" s="168"/>
      <c r="J13" s="168"/>
      <c r="K13" s="168"/>
      <c r="L13" s="168"/>
      <c r="M13" s="168"/>
      <c r="N13" s="168"/>
      <c r="O13" s="168"/>
      <c r="P13" s="1"/>
      <c r="Q13" s="1"/>
      <c r="R13" s="1"/>
      <c r="S13" s="1"/>
      <c r="T13" s="1"/>
      <c r="U13" s="1"/>
      <c r="V13" s="168"/>
      <c r="W13" s="168"/>
      <c r="X13" s="1"/>
      <c r="Y13" s="1"/>
      <c r="Z13" s="169"/>
      <c r="AA13" s="1"/>
      <c r="AB13" s="170"/>
    </row>
    <row r="14">
      <c r="A14" s="165" t="s">
        <v>195</v>
      </c>
      <c r="B14" s="93">
        <f>+486.56+52.44+19.18+34.2+39.24+12.91+10.84+39.74+49.95+58.57+29.29+29+33.55</f>
        <v>895.47</v>
      </c>
      <c r="C14" s="166">
        <f>12.2+15.9+133.8</f>
        <v>161.9</v>
      </c>
      <c r="D14" s="93">
        <f>+100.1+191.95</f>
        <v>292.05</v>
      </c>
      <c r="E14" s="93"/>
      <c r="F14" s="93"/>
      <c r="G14" s="93"/>
      <c r="H14" s="93"/>
      <c r="I14" s="93">
        <f>99+190</f>
        <v>289</v>
      </c>
      <c r="J14" s="93"/>
      <c r="K14" s="93"/>
      <c r="L14" s="93"/>
      <c r="M14" s="93"/>
      <c r="N14" s="93">
        <v>156.0</v>
      </c>
      <c r="O14" s="166"/>
      <c r="P14" s="1"/>
      <c r="Q14" s="1"/>
      <c r="R14" s="168"/>
      <c r="S14" s="168"/>
      <c r="T14" s="1"/>
      <c r="U14" s="96"/>
      <c r="V14" s="168"/>
      <c r="W14" s="168"/>
      <c r="X14" s="1"/>
      <c r="Y14" s="1"/>
      <c r="Z14" s="171"/>
      <c r="AA14" s="1"/>
      <c r="AB14" s="170"/>
    </row>
    <row r="15" hidden="1">
      <c r="A15" s="172" t="s">
        <v>196</v>
      </c>
      <c r="B15" s="93"/>
      <c r="C15" s="173"/>
      <c r="D15" s="173"/>
      <c r="E15" s="168"/>
      <c r="F15" s="166"/>
      <c r="G15" s="168"/>
      <c r="H15" s="168"/>
      <c r="I15" s="168"/>
      <c r="J15" s="168"/>
      <c r="K15" s="168"/>
      <c r="L15" s="168"/>
      <c r="M15" s="168"/>
      <c r="N15" s="168"/>
      <c r="O15" s="168"/>
      <c r="P15" s="1"/>
      <c r="Q15" s="1"/>
      <c r="R15" s="168"/>
      <c r="S15" s="168"/>
      <c r="T15" s="1"/>
      <c r="U15" s="1"/>
      <c r="V15" s="168"/>
      <c r="W15" s="168"/>
      <c r="X15" s="1"/>
      <c r="Y15" s="1"/>
      <c r="Z15" s="174"/>
      <c r="AA15" s="1"/>
      <c r="AB15" s="170"/>
    </row>
    <row r="16">
      <c r="A16" s="172" t="s">
        <v>214</v>
      </c>
      <c r="B16" s="93">
        <f>26.31+26.61+19.65+37.28+55.75+39.24+50.18+83.16+33.55+38+38+47.03+67.1+67.1+28.96+25+45.75+41.43+26.61</f>
        <v>796.71</v>
      </c>
      <c r="C16" s="168"/>
      <c r="D16" s="168"/>
      <c r="E16" s="168"/>
      <c r="F16" s="166"/>
      <c r="G16" s="168"/>
      <c r="H16" s="168"/>
      <c r="I16" s="168"/>
      <c r="J16" s="168"/>
      <c r="K16" s="168"/>
      <c r="L16" s="168"/>
      <c r="M16" s="168"/>
      <c r="N16" s="168"/>
      <c r="O16" s="168"/>
      <c r="P16" s="1"/>
      <c r="Q16" s="1"/>
      <c r="R16" s="168"/>
      <c r="S16" s="168"/>
      <c r="T16" s="1"/>
      <c r="U16" s="1"/>
      <c r="V16" s="168"/>
      <c r="W16" s="168"/>
      <c r="X16" s="1"/>
      <c r="Y16" s="1"/>
      <c r="Z16" s="174"/>
      <c r="AA16" s="1"/>
      <c r="AB16" s="170"/>
    </row>
    <row r="17">
      <c r="A17" s="165" t="s">
        <v>198</v>
      </c>
      <c r="B17" s="93">
        <f>151.46+20.7+45+2.99</f>
        <v>220.15</v>
      </c>
      <c r="C17" s="168"/>
      <c r="D17" s="168"/>
      <c r="E17" s="168"/>
      <c r="F17" s="166"/>
      <c r="G17" s="168"/>
      <c r="H17" s="168"/>
      <c r="I17" s="168"/>
      <c r="J17" s="168"/>
      <c r="K17" s="168"/>
      <c r="L17" s="168"/>
      <c r="M17" s="168"/>
      <c r="N17" s="166"/>
      <c r="O17" s="168"/>
      <c r="P17" s="1"/>
      <c r="Q17" s="1"/>
      <c r="R17" s="168"/>
      <c r="S17" s="168"/>
      <c r="T17" s="1"/>
      <c r="U17" s="96"/>
      <c r="V17" s="168"/>
      <c r="W17" s="168"/>
      <c r="X17" s="1"/>
      <c r="Y17" s="1"/>
      <c r="Z17" s="174"/>
      <c r="AA17" s="1"/>
      <c r="AB17" s="170"/>
    </row>
    <row r="18">
      <c r="A18" s="91"/>
      <c r="B18" s="92"/>
      <c r="C18" s="79"/>
      <c r="D18" s="79"/>
      <c r="E18" s="79"/>
      <c r="F18" s="78"/>
      <c r="G18" s="78"/>
      <c r="H18" s="78"/>
      <c r="K18" s="79"/>
      <c r="L18" s="79"/>
      <c r="M18" s="78"/>
      <c r="N18" s="79"/>
      <c r="O18" s="79"/>
      <c r="R18" s="79"/>
      <c r="S18" s="79"/>
      <c r="V18" s="79"/>
      <c r="W18" s="79"/>
      <c r="Z18" s="131"/>
      <c r="AB18" s="106"/>
    </row>
    <row r="19">
      <c r="A19" s="91"/>
      <c r="B19" s="92"/>
      <c r="C19" s="78"/>
      <c r="D19" s="78"/>
      <c r="E19" s="78"/>
      <c r="F19" s="78"/>
      <c r="J19" s="175"/>
      <c r="K19" s="189"/>
      <c r="L19" s="147"/>
      <c r="M19" s="78"/>
      <c r="N19" s="190"/>
      <c r="O19" s="79"/>
      <c r="R19" s="79"/>
      <c r="S19" s="79"/>
      <c r="V19" s="79"/>
      <c r="W19" s="79"/>
      <c r="Z19" s="131"/>
      <c r="AB19" s="106"/>
    </row>
    <row r="20">
      <c r="A20" s="4" t="s">
        <v>22</v>
      </c>
      <c r="B20" s="11">
        <v>13000.0</v>
      </c>
      <c r="C20" s="79"/>
      <c r="D20" s="79"/>
      <c r="E20" s="78"/>
      <c r="F20" s="78"/>
      <c r="G20" s="78"/>
      <c r="H20" s="78"/>
      <c r="K20" s="79"/>
      <c r="L20" s="79"/>
      <c r="M20" s="78"/>
      <c r="N20" s="147"/>
      <c r="O20" s="79"/>
      <c r="R20" s="79"/>
      <c r="S20" s="79"/>
      <c r="V20" s="79"/>
      <c r="W20" s="79"/>
      <c r="Z20" s="131"/>
      <c r="AB20" s="106"/>
    </row>
    <row r="21">
      <c r="A21" s="4" t="s">
        <v>23</v>
      </c>
      <c r="B21" s="12">
        <f>SUM(B2:X8)</f>
        <v>11854.8</v>
      </c>
      <c r="C21" s="79"/>
      <c r="D21" s="177"/>
      <c r="E21" s="78"/>
      <c r="G21" s="78"/>
      <c r="H21" s="78"/>
      <c r="J21" s="191"/>
      <c r="K21" s="79"/>
      <c r="L21" s="79"/>
      <c r="M21" s="147"/>
      <c r="N21" s="79"/>
      <c r="O21" s="79"/>
      <c r="R21" s="79"/>
      <c r="S21" s="79"/>
      <c r="V21" s="79"/>
      <c r="W21" s="79"/>
      <c r="Z21" s="131"/>
      <c r="AB21" s="106"/>
    </row>
    <row r="22">
      <c r="A22" s="4" t="s">
        <v>24</v>
      </c>
      <c r="B22" s="12">
        <f> SUM(B20-B21)</f>
        <v>1145.2</v>
      </c>
      <c r="C22" s="79"/>
      <c r="D22" s="79"/>
      <c r="E22" s="78"/>
      <c r="F22" s="78"/>
      <c r="G22" s="144"/>
      <c r="H22" s="144"/>
      <c r="I22" s="38"/>
      <c r="J22" s="38"/>
      <c r="K22" s="189"/>
      <c r="L22" s="79"/>
      <c r="M22" s="78"/>
      <c r="N22" s="147"/>
      <c r="O22" s="79"/>
      <c r="R22" s="79"/>
      <c r="S22" s="79"/>
      <c r="V22" s="79"/>
      <c r="W22" s="79"/>
      <c r="Z22" s="131"/>
      <c r="AB22" s="106"/>
    </row>
    <row r="23">
      <c r="C23" s="79"/>
      <c r="D23" s="79"/>
      <c r="E23" s="78"/>
      <c r="G23" s="144"/>
      <c r="H23" s="78"/>
      <c r="I23" s="33"/>
      <c r="J23" s="38"/>
      <c r="K23" s="192"/>
      <c r="L23" s="79"/>
      <c r="M23" s="78"/>
      <c r="N23" s="79"/>
      <c r="O23" s="79"/>
      <c r="R23" s="79"/>
      <c r="S23" s="79"/>
      <c r="V23" s="79"/>
      <c r="W23" s="79"/>
      <c r="Z23" s="131"/>
      <c r="AB23" s="106"/>
    </row>
    <row r="24">
      <c r="A24" s="13" t="s">
        <v>25</v>
      </c>
      <c r="B24" s="14">
        <f>SUM(Z2:Z8)</f>
        <v>46671.7</v>
      </c>
      <c r="C24" s="79"/>
      <c r="D24" s="79"/>
      <c r="E24" s="78"/>
      <c r="F24" s="78"/>
      <c r="G24" s="78"/>
      <c r="H24" s="78"/>
      <c r="K24" s="79"/>
      <c r="L24" s="79"/>
      <c r="M24" s="78"/>
      <c r="N24" s="79"/>
      <c r="O24" s="79"/>
      <c r="R24" s="79"/>
      <c r="S24" s="79"/>
      <c r="V24" s="79"/>
      <c r="W24" s="79"/>
      <c r="Z24" s="181"/>
      <c r="AB24" s="106"/>
    </row>
    <row r="25">
      <c r="A25" s="13" t="s">
        <v>26</v>
      </c>
      <c r="B25" s="15">
        <f>B21/B24</f>
        <v>0.2540040324</v>
      </c>
      <c r="C25" s="79"/>
      <c r="D25" s="79"/>
      <c r="E25" s="78"/>
      <c r="K25" s="79"/>
      <c r="L25" s="79"/>
      <c r="M25" s="147"/>
      <c r="N25" s="79"/>
      <c r="O25" s="79"/>
      <c r="R25" s="79"/>
      <c r="S25" s="79"/>
      <c r="V25" s="79"/>
      <c r="W25" s="79"/>
      <c r="Z25" s="130"/>
      <c r="AB25" s="106"/>
    </row>
    <row r="26">
      <c r="C26" s="79"/>
      <c r="D26" s="79"/>
      <c r="E26" s="78"/>
      <c r="R26" s="79"/>
      <c r="S26" s="79"/>
      <c r="V26" s="79"/>
      <c r="W26" s="79"/>
      <c r="Z26" s="182"/>
      <c r="AB26" s="106"/>
    </row>
    <row r="27">
      <c r="C27" s="79"/>
      <c r="D27" s="79"/>
      <c r="E27" s="79"/>
      <c r="M27" s="78"/>
      <c r="R27" s="79"/>
      <c r="S27" s="79"/>
      <c r="V27" s="79"/>
      <c r="W27" s="79"/>
      <c r="Z27" s="130"/>
      <c r="AB27" s="106"/>
    </row>
    <row r="28">
      <c r="A28" s="16" t="s">
        <v>27</v>
      </c>
      <c r="B28" s="17"/>
      <c r="C28" s="114"/>
      <c r="D28" s="114"/>
      <c r="E28" s="115"/>
      <c r="J28" s="84"/>
      <c r="K28" s="84"/>
      <c r="L28" s="84"/>
      <c r="M28" s="84"/>
      <c r="O28" s="151"/>
      <c r="R28" s="79"/>
      <c r="S28" s="79"/>
      <c r="V28" s="79"/>
      <c r="W28" s="79"/>
      <c r="Z28" s="130"/>
      <c r="AB28" s="106"/>
    </row>
    <row r="29">
      <c r="A29" s="19" t="s">
        <v>28</v>
      </c>
      <c r="B29" s="20"/>
      <c r="C29" s="116"/>
      <c r="D29" s="116"/>
      <c r="E29" s="117"/>
      <c r="J29" s="85"/>
      <c r="K29" s="85"/>
      <c r="L29" s="85"/>
      <c r="M29" s="118"/>
      <c r="R29" s="79"/>
      <c r="S29" s="79"/>
      <c r="V29" s="79"/>
      <c r="W29" s="79"/>
      <c r="Z29" s="130"/>
      <c r="AB29" s="106"/>
    </row>
    <row r="30">
      <c r="A30" s="183" t="s">
        <v>29</v>
      </c>
      <c r="B30" s="184" t="s">
        <v>30</v>
      </c>
      <c r="C30" s="185"/>
      <c r="D30" s="185" t="s">
        <v>170</v>
      </c>
      <c r="E30" s="186" t="s">
        <v>171</v>
      </c>
      <c r="J30" s="86"/>
      <c r="K30" s="86"/>
      <c r="L30" s="85"/>
      <c r="M30" s="118"/>
      <c r="R30" s="79"/>
      <c r="S30" s="79"/>
      <c r="V30" s="79"/>
      <c r="W30" s="79"/>
      <c r="Z30" s="130"/>
      <c r="AB30" s="106"/>
    </row>
    <row r="31">
      <c r="A31" s="96" t="s">
        <v>209</v>
      </c>
      <c r="B31" s="5">
        <v>590.17</v>
      </c>
      <c r="C31" s="168"/>
      <c r="D31" s="168"/>
      <c r="E31" s="166" t="s">
        <v>215</v>
      </c>
      <c r="M31" s="79"/>
      <c r="R31" s="79"/>
      <c r="S31" s="79"/>
      <c r="V31" s="79"/>
      <c r="W31" s="79"/>
      <c r="Z31" s="130"/>
      <c r="AB31" s="106"/>
    </row>
    <row r="32">
      <c r="A32" s="96" t="s">
        <v>211</v>
      </c>
      <c r="B32" s="5">
        <v>851.4</v>
      </c>
      <c r="C32" s="168"/>
      <c r="D32" s="168"/>
      <c r="E32" s="166" t="s">
        <v>215</v>
      </c>
      <c r="M32" s="79"/>
      <c r="R32" s="79"/>
      <c r="S32" s="79"/>
      <c r="V32" s="79"/>
      <c r="W32" s="79"/>
      <c r="Z32" s="130"/>
      <c r="AB32" s="106"/>
    </row>
    <row r="33">
      <c r="A33" s="96" t="s">
        <v>41</v>
      </c>
      <c r="B33" s="5">
        <v>1341.83</v>
      </c>
      <c r="C33" s="168"/>
      <c r="D33" s="168"/>
      <c r="E33" s="166" t="s">
        <v>212</v>
      </c>
      <c r="M33" s="79"/>
      <c r="R33" s="79"/>
      <c r="S33" s="79"/>
      <c r="V33" s="79"/>
      <c r="W33" s="79"/>
      <c r="Z33" s="130"/>
      <c r="AB33" s="106"/>
    </row>
    <row r="34">
      <c r="A34" s="96" t="s">
        <v>111</v>
      </c>
      <c r="B34" s="5">
        <v>387.0</v>
      </c>
      <c r="C34" s="168"/>
      <c r="D34" s="168"/>
      <c r="E34" s="166" t="s">
        <v>212</v>
      </c>
      <c r="M34" s="79"/>
      <c r="R34" s="79"/>
      <c r="S34" s="79"/>
      <c r="V34" s="79"/>
      <c r="W34" s="79"/>
      <c r="Z34" s="130"/>
      <c r="AB34" s="106"/>
    </row>
    <row r="35">
      <c r="C35" s="79"/>
      <c r="D35" s="79"/>
      <c r="E35" s="79"/>
      <c r="M35" s="79"/>
      <c r="R35" s="79"/>
      <c r="S35" s="79"/>
      <c r="V35" s="79"/>
      <c r="W35" s="79"/>
      <c r="Z35" s="130"/>
      <c r="AB35" s="106"/>
    </row>
    <row r="36">
      <c r="C36" s="79"/>
      <c r="D36" s="79"/>
      <c r="E36" s="79"/>
      <c r="M36" s="79"/>
      <c r="R36" s="79"/>
      <c r="S36" s="79"/>
      <c r="V36" s="79"/>
      <c r="W36" s="79"/>
      <c r="Z36" s="130"/>
      <c r="AB36" s="106"/>
    </row>
    <row r="37">
      <c r="C37" s="79"/>
      <c r="D37" s="79"/>
      <c r="E37" s="79"/>
      <c r="M37" s="79"/>
      <c r="R37" s="79"/>
      <c r="S37" s="79"/>
      <c r="V37" s="79"/>
      <c r="W37" s="79"/>
      <c r="Z37" s="130"/>
      <c r="AB37" s="106"/>
    </row>
    <row r="38">
      <c r="C38" s="79"/>
      <c r="D38" s="79"/>
      <c r="E38" s="79"/>
      <c r="M38" s="79"/>
      <c r="R38" s="79"/>
      <c r="S38" s="79"/>
      <c r="V38" s="79"/>
      <c r="W38" s="79"/>
      <c r="Z38" s="130"/>
      <c r="AB38" s="106"/>
    </row>
    <row r="39">
      <c r="C39" s="79"/>
      <c r="D39" s="79"/>
      <c r="E39" s="79"/>
      <c r="M39" s="79"/>
      <c r="R39" s="79"/>
      <c r="S39" s="79"/>
      <c r="V39" s="79"/>
      <c r="W39" s="79"/>
      <c r="Z39" s="130"/>
      <c r="AB39" s="106"/>
    </row>
    <row r="40">
      <c r="C40" s="79"/>
      <c r="D40" s="79"/>
      <c r="E40" s="79"/>
      <c r="M40" s="79"/>
      <c r="R40" s="79"/>
      <c r="S40" s="79"/>
      <c r="V40" s="79"/>
      <c r="W40" s="79"/>
      <c r="Z40" s="130"/>
      <c r="AB40" s="106"/>
    </row>
    <row r="41">
      <c r="C41" s="79"/>
      <c r="D41" s="79"/>
      <c r="E41" s="79"/>
      <c r="M41" s="79"/>
      <c r="R41" s="79"/>
      <c r="S41" s="79"/>
      <c r="V41" s="79"/>
      <c r="W41" s="79"/>
      <c r="Z41" s="130"/>
      <c r="AB41" s="106"/>
    </row>
    <row r="42">
      <c r="C42" s="79"/>
      <c r="D42" s="79"/>
      <c r="E42" s="79"/>
      <c r="M42" s="79"/>
      <c r="R42" s="79"/>
      <c r="S42" s="79"/>
      <c r="V42" s="79"/>
      <c r="W42" s="79"/>
      <c r="Z42" s="130"/>
      <c r="AB42" s="106"/>
    </row>
    <row r="43">
      <c r="C43" s="79"/>
      <c r="D43" s="79"/>
      <c r="E43" s="79"/>
      <c r="M43" s="79"/>
      <c r="R43" s="79"/>
      <c r="S43" s="79"/>
      <c r="V43" s="79"/>
      <c r="W43" s="79"/>
      <c r="Z43" s="130"/>
      <c r="AB43" s="106"/>
    </row>
    <row r="44">
      <c r="C44" s="79"/>
      <c r="D44" s="79"/>
      <c r="E44" s="79"/>
      <c r="M44" s="79"/>
      <c r="R44" s="79"/>
      <c r="S44" s="79"/>
      <c r="V44" s="79"/>
      <c r="W44" s="79"/>
      <c r="Z44" s="130"/>
      <c r="AB44" s="106"/>
    </row>
    <row r="45">
      <c r="C45" s="79"/>
      <c r="D45" s="79"/>
      <c r="E45" s="79"/>
      <c r="M45" s="79"/>
      <c r="R45" s="79"/>
      <c r="S45" s="79"/>
      <c r="V45" s="79"/>
      <c r="W45" s="79"/>
      <c r="Z45" s="130"/>
      <c r="AB45" s="106"/>
    </row>
    <row r="46">
      <c r="C46" s="79"/>
      <c r="D46" s="79"/>
      <c r="E46" s="79"/>
      <c r="M46" s="79"/>
      <c r="R46" s="79"/>
      <c r="S46" s="79"/>
      <c r="V46" s="79"/>
      <c r="W46" s="79"/>
      <c r="Z46" s="130"/>
      <c r="AB46" s="106"/>
    </row>
    <row r="47">
      <c r="C47" s="79"/>
      <c r="D47" s="79"/>
      <c r="E47" s="79"/>
      <c r="M47" s="79"/>
      <c r="R47" s="79"/>
      <c r="S47" s="79"/>
      <c r="V47" s="79"/>
      <c r="W47" s="79"/>
      <c r="Z47" s="130"/>
      <c r="AB47" s="106"/>
    </row>
    <row r="48">
      <c r="C48" s="79"/>
      <c r="D48" s="79"/>
      <c r="E48" s="79"/>
      <c r="M48" s="79"/>
      <c r="R48" s="79"/>
      <c r="S48" s="79"/>
      <c r="V48" s="79"/>
      <c r="W48" s="79"/>
      <c r="Z48" s="130"/>
      <c r="AB48" s="106"/>
    </row>
    <row r="49">
      <c r="C49" s="79"/>
      <c r="D49" s="79"/>
      <c r="E49" s="79"/>
      <c r="M49" s="79"/>
      <c r="R49" s="79"/>
      <c r="S49" s="79"/>
      <c r="V49" s="79"/>
      <c r="W49" s="79"/>
      <c r="Z49" s="130"/>
      <c r="AB49" s="106"/>
    </row>
    <row r="50">
      <c r="C50" s="79"/>
      <c r="D50" s="79"/>
      <c r="E50" s="79"/>
      <c r="M50" s="79"/>
      <c r="R50" s="79"/>
      <c r="S50" s="79"/>
      <c r="V50" s="79"/>
      <c r="W50" s="79"/>
      <c r="Z50" s="130"/>
      <c r="AB50" s="106"/>
    </row>
    <row r="51">
      <c r="C51" s="79"/>
      <c r="D51" s="79"/>
      <c r="E51" s="79"/>
      <c r="M51" s="79"/>
      <c r="R51" s="79"/>
      <c r="S51" s="79"/>
      <c r="V51" s="79"/>
      <c r="W51" s="79"/>
      <c r="Z51" s="130"/>
      <c r="AB51" s="106"/>
    </row>
    <row r="52">
      <c r="C52" s="79"/>
      <c r="D52" s="79"/>
      <c r="E52" s="79"/>
      <c r="M52" s="79"/>
      <c r="R52" s="79"/>
      <c r="S52" s="79"/>
      <c r="V52" s="79"/>
      <c r="W52" s="79"/>
      <c r="Z52" s="130"/>
      <c r="AB52" s="106"/>
    </row>
    <row r="53">
      <c r="C53" s="79"/>
      <c r="D53" s="79"/>
      <c r="E53" s="79"/>
      <c r="M53" s="79"/>
      <c r="R53" s="79"/>
      <c r="S53" s="79"/>
      <c r="V53" s="79"/>
      <c r="W53" s="79"/>
      <c r="Z53" s="130"/>
      <c r="AB53" s="106"/>
    </row>
    <row r="54">
      <c r="C54" s="79"/>
      <c r="D54" s="79"/>
      <c r="E54" s="79"/>
      <c r="M54" s="79"/>
      <c r="R54" s="79"/>
      <c r="S54" s="79"/>
      <c r="V54" s="79"/>
      <c r="W54" s="79"/>
      <c r="Z54" s="130"/>
      <c r="AB54" s="106"/>
    </row>
    <row r="55">
      <c r="C55" s="79"/>
      <c r="D55" s="79"/>
      <c r="E55" s="79"/>
      <c r="M55" s="79"/>
      <c r="R55" s="79"/>
      <c r="S55" s="79"/>
      <c r="V55" s="79"/>
      <c r="W55" s="79"/>
      <c r="Z55" s="130"/>
      <c r="AB55" s="106"/>
    </row>
    <row r="56">
      <c r="C56" s="79"/>
      <c r="D56" s="79"/>
      <c r="E56" s="79"/>
      <c r="M56" s="79"/>
      <c r="R56" s="79"/>
      <c r="S56" s="79"/>
      <c r="V56" s="79"/>
      <c r="W56" s="79"/>
      <c r="Z56" s="130"/>
      <c r="AB56" s="106"/>
    </row>
    <row r="57">
      <c r="C57" s="79"/>
      <c r="D57" s="79"/>
      <c r="E57" s="79"/>
      <c r="M57" s="79"/>
      <c r="R57" s="79"/>
      <c r="S57" s="79"/>
      <c r="V57" s="79"/>
      <c r="W57" s="79"/>
      <c r="Z57" s="130"/>
      <c r="AB57" s="106"/>
    </row>
    <row r="58">
      <c r="C58" s="79"/>
      <c r="D58" s="79"/>
      <c r="E58" s="79"/>
      <c r="M58" s="79"/>
      <c r="R58" s="79"/>
      <c r="S58" s="79"/>
      <c r="V58" s="79"/>
      <c r="W58" s="79"/>
      <c r="Z58" s="130"/>
      <c r="AB58" s="106"/>
    </row>
    <row r="59">
      <c r="C59" s="79"/>
      <c r="D59" s="79"/>
      <c r="E59" s="79"/>
      <c r="M59" s="79"/>
      <c r="R59" s="79"/>
      <c r="S59" s="79"/>
      <c r="V59" s="79"/>
      <c r="W59" s="79"/>
      <c r="Z59" s="130"/>
      <c r="AB59" s="106"/>
    </row>
    <row r="60">
      <c r="C60" s="79"/>
      <c r="D60" s="79"/>
      <c r="E60" s="79"/>
      <c r="M60" s="79"/>
      <c r="R60" s="79"/>
      <c r="S60" s="79"/>
      <c r="V60" s="79"/>
      <c r="W60" s="79"/>
      <c r="Z60" s="130"/>
      <c r="AB60" s="106"/>
    </row>
    <row r="61">
      <c r="C61" s="79"/>
      <c r="D61" s="79"/>
      <c r="E61" s="79"/>
      <c r="M61" s="79"/>
      <c r="R61" s="79"/>
      <c r="S61" s="79"/>
      <c r="V61" s="79"/>
      <c r="W61" s="79"/>
      <c r="Z61" s="130"/>
      <c r="AB61" s="106"/>
    </row>
    <row r="62">
      <c r="C62" s="79"/>
      <c r="D62" s="79"/>
      <c r="E62" s="79"/>
      <c r="M62" s="79"/>
      <c r="R62" s="79"/>
      <c r="S62" s="79"/>
      <c r="V62" s="79"/>
      <c r="W62" s="79"/>
      <c r="Z62" s="130"/>
      <c r="AB62" s="106"/>
    </row>
    <row r="63">
      <c r="C63" s="79"/>
      <c r="D63" s="79"/>
      <c r="E63" s="79"/>
      <c r="M63" s="79"/>
      <c r="R63" s="79"/>
      <c r="S63" s="79"/>
      <c r="V63" s="79"/>
      <c r="W63" s="79"/>
      <c r="Z63" s="130"/>
      <c r="AB63" s="106"/>
    </row>
    <row r="64">
      <c r="C64" s="79"/>
      <c r="D64" s="79"/>
      <c r="E64" s="79"/>
      <c r="M64" s="79"/>
      <c r="R64" s="79"/>
      <c r="S64" s="79"/>
      <c r="V64" s="79"/>
      <c r="W64" s="79"/>
      <c r="Z64" s="130"/>
      <c r="AB64" s="106"/>
    </row>
    <row r="65">
      <c r="C65" s="79"/>
      <c r="D65" s="79"/>
      <c r="E65" s="79"/>
      <c r="M65" s="79"/>
      <c r="R65" s="79"/>
      <c r="S65" s="79"/>
      <c r="V65" s="79"/>
      <c r="W65" s="79"/>
      <c r="Z65" s="130"/>
      <c r="AB65" s="106"/>
    </row>
    <row r="66">
      <c r="C66" s="79"/>
      <c r="D66" s="79"/>
      <c r="E66" s="79"/>
      <c r="M66" s="79"/>
      <c r="R66" s="79"/>
      <c r="S66" s="79"/>
      <c r="V66" s="79"/>
      <c r="W66" s="79"/>
      <c r="Z66" s="130"/>
      <c r="AB66" s="106"/>
    </row>
    <row r="67">
      <c r="C67" s="79"/>
      <c r="D67" s="79"/>
      <c r="E67" s="79"/>
      <c r="M67" s="79"/>
      <c r="R67" s="79"/>
      <c r="S67" s="79"/>
      <c r="V67" s="79"/>
      <c r="W67" s="79"/>
      <c r="Z67" s="130"/>
      <c r="AB67" s="106"/>
    </row>
    <row r="68">
      <c r="C68" s="79"/>
      <c r="D68" s="79"/>
      <c r="E68" s="79"/>
      <c r="M68" s="79"/>
      <c r="R68" s="79"/>
      <c r="S68" s="79"/>
      <c r="V68" s="79"/>
      <c r="W68" s="79"/>
      <c r="Z68" s="130"/>
      <c r="AB68" s="106"/>
    </row>
    <row r="69">
      <c r="C69" s="79"/>
      <c r="D69" s="79"/>
      <c r="E69" s="79"/>
      <c r="M69" s="79"/>
      <c r="R69" s="79"/>
      <c r="S69" s="79"/>
      <c r="V69" s="79"/>
      <c r="W69" s="79"/>
      <c r="Z69" s="130"/>
      <c r="AB69" s="106"/>
    </row>
    <row r="70">
      <c r="C70" s="79"/>
      <c r="D70" s="79"/>
      <c r="E70" s="79"/>
      <c r="M70" s="79"/>
      <c r="R70" s="79"/>
      <c r="S70" s="79"/>
      <c r="V70" s="79"/>
      <c r="W70" s="79"/>
      <c r="Z70" s="130"/>
      <c r="AB70" s="106"/>
    </row>
    <row r="71">
      <c r="C71" s="79"/>
      <c r="D71" s="79"/>
      <c r="E71" s="79"/>
      <c r="M71" s="79"/>
      <c r="R71" s="79"/>
      <c r="S71" s="79"/>
      <c r="V71" s="79"/>
      <c r="W71" s="79"/>
      <c r="Z71" s="130"/>
      <c r="AB71" s="106"/>
    </row>
    <row r="72">
      <c r="C72" s="79"/>
      <c r="D72" s="79"/>
      <c r="E72" s="79"/>
      <c r="M72" s="79"/>
      <c r="R72" s="79"/>
      <c r="S72" s="79"/>
      <c r="V72" s="79"/>
      <c r="W72" s="79"/>
      <c r="Z72" s="130"/>
      <c r="AB72" s="106"/>
    </row>
    <row r="73">
      <c r="C73" s="79"/>
      <c r="D73" s="79"/>
      <c r="E73" s="79"/>
      <c r="M73" s="79"/>
      <c r="R73" s="79"/>
      <c r="S73" s="79"/>
      <c r="V73" s="79"/>
      <c r="W73" s="79"/>
      <c r="Z73" s="130"/>
      <c r="AB73" s="106"/>
    </row>
    <row r="74">
      <c r="C74" s="79"/>
      <c r="D74" s="79"/>
      <c r="E74" s="79"/>
      <c r="M74" s="79"/>
      <c r="R74" s="79"/>
      <c r="S74" s="79"/>
      <c r="V74" s="79"/>
      <c r="W74" s="79"/>
      <c r="Z74" s="130"/>
      <c r="AB74" s="106"/>
    </row>
    <row r="75">
      <c r="C75" s="79"/>
      <c r="D75" s="79"/>
      <c r="E75" s="79"/>
      <c r="M75" s="79"/>
      <c r="R75" s="79"/>
      <c r="S75" s="79"/>
      <c r="V75" s="79"/>
      <c r="W75" s="79"/>
      <c r="Z75" s="130"/>
      <c r="AB75" s="106"/>
    </row>
    <row r="76">
      <c r="C76" s="79"/>
      <c r="D76" s="79"/>
      <c r="E76" s="79"/>
      <c r="M76" s="79"/>
      <c r="R76" s="79"/>
      <c r="S76" s="79"/>
      <c r="V76" s="79"/>
      <c r="W76" s="79"/>
      <c r="Z76" s="130"/>
      <c r="AB76" s="106"/>
    </row>
    <row r="77">
      <c r="C77" s="79"/>
      <c r="D77" s="79"/>
      <c r="E77" s="79"/>
      <c r="M77" s="79"/>
      <c r="R77" s="79"/>
      <c r="S77" s="79"/>
      <c r="V77" s="79"/>
      <c r="W77" s="79"/>
      <c r="Z77" s="130"/>
      <c r="AB77" s="106"/>
    </row>
    <row r="78">
      <c r="C78" s="79"/>
      <c r="D78" s="79"/>
      <c r="E78" s="79"/>
      <c r="M78" s="79"/>
      <c r="R78" s="79"/>
      <c r="S78" s="79"/>
      <c r="V78" s="79"/>
      <c r="W78" s="79"/>
      <c r="Z78" s="130"/>
      <c r="AB78" s="106"/>
    </row>
    <row r="79">
      <c r="C79" s="79"/>
      <c r="D79" s="79"/>
      <c r="E79" s="79"/>
      <c r="M79" s="79"/>
      <c r="R79" s="79"/>
      <c r="S79" s="79"/>
      <c r="V79" s="79"/>
      <c r="W79" s="79"/>
      <c r="Z79" s="130"/>
      <c r="AB79" s="106"/>
    </row>
    <row r="80">
      <c r="C80" s="79"/>
      <c r="D80" s="79"/>
      <c r="E80" s="79"/>
      <c r="M80" s="79"/>
      <c r="R80" s="79"/>
      <c r="S80" s="79"/>
      <c r="V80" s="79"/>
      <c r="W80" s="79"/>
      <c r="Z80" s="130"/>
      <c r="AB80" s="106"/>
    </row>
    <row r="81">
      <c r="C81" s="79"/>
      <c r="D81" s="79"/>
      <c r="E81" s="79"/>
      <c r="M81" s="79"/>
      <c r="R81" s="79"/>
      <c r="S81" s="79"/>
      <c r="V81" s="79"/>
      <c r="W81" s="79"/>
      <c r="Z81" s="130"/>
      <c r="AB81" s="106"/>
    </row>
    <row r="82">
      <c r="C82" s="79"/>
      <c r="D82" s="79"/>
      <c r="E82" s="79"/>
      <c r="M82" s="79"/>
      <c r="R82" s="79"/>
      <c r="S82" s="79"/>
      <c r="V82" s="79"/>
      <c r="W82" s="79"/>
      <c r="Z82" s="130"/>
      <c r="AB82" s="106"/>
    </row>
    <row r="83">
      <c r="C83" s="79"/>
      <c r="D83" s="79"/>
      <c r="E83" s="79"/>
      <c r="M83" s="79"/>
      <c r="R83" s="79"/>
      <c r="S83" s="79"/>
      <c r="V83" s="79"/>
      <c r="W83" s="79"/>
      <c r="Z83" s="130"/>
      <c r="AB83" s="106"/>
    </row>
    <row r="84">
      <c r="C84" s="79"/>
      <c r="D84" s="79"/>
      <c r="E84" s="79"/>
      <c r="M84" s="79"/>
      <c r="R84" s="79"/>
      <c r="S84" s="79"/>
      <c r="V84" s="79"/>
      <c r="W84" s="79"/>
      <c r="Z84" s="130"/>
      <c r="AB84" s="106"/>
    </row>
    <row r="85">
      <c r="C85" s="79"/>
      <c r="D85" s="79"/>
      <c r="E85" s="79"/>
      <c r="M85" s="79"/>
      <c r="R85" s="79"/>
      <c r="S85" s="79"/>
      <c r="V85" s="79"/>
      <c r="W85" s="79"/>
      <c r="Z85" s="130"/>
      <c r="AB85" s="106"/>
    </row>
    <row r="86">
      <c r="C86" s="79"/>
      <c r="D86" s="79"/>
      <c r="E86" s="79"/>
      <c r="M86" s="79"/>
      <c r="R86" s="79"/>
      <c r="S86" s="79"/>
      <c r="V86" s="79"/>
      <c r="W86" s="79"/>
      <c r="Z86" s="130"/>
      <c r="AB86" s="106"/>
    </row>
    <row r="87">
      <c r="C87" s="79"/>
      <c r="D87" s="79"/>
      <c r="E87" s="79"/>
      <c r="M87" s="79"/>
      <c r="R87" s="79"/>
      <c r="S87" s="79"/>
      <c r="V87" s="79"/>
      <c r="W87" s="79"/>
      <c r="Z87" s="130"/>
      <c r="AB87" s="106"/>
    </row>
    <row r="88">
      <c r="C88" s="79"/>
      <c r="D88" s="79"/>
      <c r="E88" s="79"/>
      <c r="M88" s="79"/>
      <c r="R88" s="79"/>
      <c r="S88" s="79"/>
      <c r="V88" s="79"/>
      <c r="W88" s="79"/>
      <c r="Z88" s="130"/>
      <c r="AB88" s="106"/>
    </row>
    <row r="89">
      <c r="C89" s="79"/>
      <c r="D89" s="79"/>
      <c r="E89" s="79"/>
      <c r="M89" s="79"/>
      <c r="R89" s="79"/>
      <c r="S89" s="79"/>
      <c r="V89" s="79"/>
      <c r="W89" s="79"/>
      <c r="Z89" s="130"/>
      <c r="AB89" s="106"/>
    </row>
    <row r="90">
      <c r="C90" s="79"/>
      <c r="D90" s="79"/>
      <c r="E90" s="79"/>
      <c r="M90" s="79"/>
      <c r="R90" s="79"/>
      <c r="S90" s="79"/>
      <c r="V90" s="79"/>
      <c r="W90" s="79"/>
      <c r="Z90" s="130"/>
      <c r="AB90" s="106"/>
    </row>
    <row r="91">
      <c r="C91" s="79"/>
      <c r="D91" s="79"/>
      <c r="E91" s="79"/>
      <c r="M91" s="79"/>
      <c r="R91" s="79"/>
      <c r="S91" s="79"/>
      <c r="V91" s="79"/>
      <c r="W91" s="79"/>
      <c r="Z91" s="130"/>
      <c r="AB91" s="106"/>
    </row>
    <row r="92">
      <c r="C92" s="79"/>
      <c r="D92" s="79"/>
      <c r="E92" s="79"/>
      <c r="M92" s="79"/>
      <c r="R92" s="79"/>
      <c r="S92" s="79"/>
      <c r="V92" s="79"/>
      <c r="W92" s="79"/>
      <c r="Z92" s="130"/>
      <c r="AB92" s="106"/>
    </row>
    <row r="93">
      <c r="C93" s="79"/>
      <c r="D93" s="79"/>
      <c r="E93" s="79"/>
      <c r="M93" s="79"/>
      <c r="R93" s="79"/>
      <c r="S93" s="79"/>
      <c r="V93" s="79"/>
      <c r="W93" s="79"/>
      <c r="Z93" s="130"/>
      <c r="AB93" s="106"/>
    </row>
    <row r="94">
      <c r="C94" s="79"/>
      <c r="D94" s="79"/>
      <c r="E94" s="79"/>
      <c r="M94" s="79"/>
      <c r="R94" s="79"/>
      <c r="S94" s="79"/>
      <c r="V94" s="79"/>
      <c r="W94" s="79"/>
      <c r="Z94" s="130"/>
      <c r="AB94" s="106"/>
    </row>
    <row r="95">
      <c r="C95" s="79"/>
      <c r="D95" s="79"/>
      <c r="E95" s="79"/>
      <c r="M95" s="79"/>
      <c r="R95" s="79"/>
      <c r="S95" s="79"/>
      <c r="V95" s="79"/>
      <c r="W95" s="79"/>
      <c r="Z95" s="130"/>
      <c r="AB95" s="106"/>
    </row>
    <row r="96">
      <c r="C96" s="79"/>
      <c r="D96" s="79"/>
      <c r="E96" s="79"/>
      <c r="M96" s="79"/>
      <c r="R96" s="79"/>
      <c r="S96" s="79"/>
      <c r="V96" s="79"/>
      <c r="W96" s="79"/>
      <c r="Z96" s="130"/>
      <c r="AB96" s="106"/>
    </row>
    <row r="97">
      <c r="C97" s="79"/>
      <c r="D97" s="79"/>
      <c r="E97" s="79"/>
      <c r="M97" s="79"/>
      <c r="R97" s="79"/>
      <c r="S97" s="79"/>
      <c r="V97" s="79"/>
      <c r="W97" s="79"/>
      <c r="Z97" s="130"/>
      <c r="AB97" s="106"/>
    </row>
    <row r="98">
      <c r="C98" s="79"/>
      <c r="D98" s="79"/>
      <c r="E98" s="79"/>
      <c r="M98" s="79"/>
      <c r="R98" s="79"/>
      <c r="S98" s="79"/>
      <c r="V98" s="79"/>
      <c r="W98" s="79"/>
      <c r="Z98" s="130"/>
      <c r="AB98" s="106"/>
    </row>
    <row r="99">
      <c r="C99" s="79"/>
      <c r="D99" s="79"/>
      <c r="E99" s="79"/>
      <c r="M99" s="79"/>
      <c r="R99" s="79"/>
      <c r="S99" s="79"/>
      <c r="V99" s="79"/>
      <c r="W99" s="79"/>
      <c r="Z99" s="130"/>
      <c r="AB99" s="106"/>
    </row>
    <row r="100">
      <c r="C100" s="79"/>
      <c r="D100" s="79"/>
      <c r="E100" s="79"/>
      <c r="M100" s="79"/>
      <c r="R100" s="79"/>
      <c r="S100" s="79"/>
      <c r="V100" s="79"/>
      <c r="W100" s="79"/>
      <c r="Z100" s="130"/>
      <c r="AB100" s="106"/>
    </row>
    <row r="101">
      <c r="C101" s="79"/>
      <c r="D101" s="79"/>
      <c r="E101" s="79"/>
      <c r="M101" s="79"/>
      <c r="R101" s="79"/>
      <c r="S101" s="79"/>
      <c r="V101" s="79"/>
      <c r="W101" s="79"/>
      <c r="Z101" s="130"/>
      <c r="AB101" s="106"/>
    </row>
    <row r="102">
      <c r="C102" s="79"/>
      <c r="D102" s="79"/>
      <c r="E102" s="79"/>
      <c r="M102" s="79"/>
      <c r="R102" s="79"/>
      <c r="S102" s="79"/>
      <c r="V102" s="79"/>
      <c r="W102" s="79"/>
      <c r="Z102" s="130"/>
      <c r="AB102" s="106"/>
    </row>
    <row r="103">
      <c r="C103" s="79"/>
      <c r="D103" s="79"/>
      <c r="E103" s="79"/>
      <c r="M103" s="79"/>
      <c r="R103" s="79"/>
      <c r="S103" s="79"/>
      <c r="V103" s="79"/>
      <c r="W103" s="79"/>
      <c r="Z103" s="130"/>
      <c r="AB103" s="106"/>
    </row>
    <row r="104">
      <c r="C104" s="79"/>
      <c r="D104" s="79"/>
      <c r="E104" s="79"/>
      <c r="M104" s="79"/>
      <c r="R104" s="79"/>
      <c r="S104" s="79"/>
      <c r="V104" s="79"/>
      <c r="W104" s="79"/>
      <c r="Z104" s="130"/>
      <c r="AB104" s="106"/>
    </row>
    <row r="105">
      <c r="C105" s="79"/>
      <c r="D105" s="79"/>
      <c r="E105" s="79"/>
      <c r="M105" s="79"/>
      <c r="R105" s="79"/>
      <c r="S105" s="79"/>
      <c r="V105" s="79"/>
      <c r="W105" s="79"/>
      <c r="Z105" s="130"/>
      <c r="AB105" s="106"/>
    </row>
    <row r="106">
      <c r="C106" s="79"/>
      <c r="D106" s="79"/>
      <c r="E106" s="79"/>
      <c r="M106" s="79"/>
      <c r="R106" s="79"/>
      <c r="S106" s="79"/>
      <c r="V106" s="79"/>
      <c r="W106" s="79"/>
      <c r="Z106" s="130"/>
      <c r="AB106" s="106"/>
    </row>
    <row r="107">
      <c r="C107" s="79"/>
      <c r="D107" s="79"/>
      <c r="E107" s="79"/>
      <c r="M107" s="79"/>
      <c r="R107" s="79"/>
      <c r="S107" s="79"/>
      <c r="V107" s="79"/>
      <c r="W107" s="79"/>
      <c r="Z107" s="130"/>
      <c r="AB107" s="106"/>
    </row>
    <row r="108">
      <c r="C108" s="79"/>
      <c r="D108" s="79"/>
      <c r="E108" s="79"/>
      <c r="M108" s="79"/>
      <c r="R108" s="79"/>
      <c r="S108" s="79"/>
      <c r="V108" s="79"/>
      <c r="W108" s="79"/>
      <c r="Z108" s="130"/>
      <c r="AB108" s="106"/>
    </row>
    <row r="109">
      <c r="C109" s="79"/>
      <c r="D109" s="79"/>
      <c r="E109" s="79"/>
      <c r="M109" s="79"/>
      <c r="R109" s="79"/>
      <c r="S109" s="79"/>
      <c r="V109" s="79"/>
      <c r="W109" s="79"/>
      <c r="Z109" s="130"/>
      <c r="AB109" s="106"/>
    </row>
    <row r="110">
      <c r="C110" s="79"/>
      <c r="D110" s="79"/>
      <c r="E110" s="79"/>
      <c r="M110" s="79"/>
      <c r="R110" s="79"/>
      <c r="S110" s="79"/>
      <c r="V110" s="79"/>
      <c r="W110" s="79"/>
      <c r="Z110" s="130"/>
      <c r="AB110" s="106"/>
    </row>
    <row r="111">
      <c r="C111" s="79"/>
      <c r="D111" s="79"/>
      <c r="E111" s="79"/>
      <c r="M111" s="79"/>
      <c r="R111" s="79"/>
      <c r="S111" s="79"/>
      <c r="V111" s="79"/>
      <c r="W111" s="79"/>
      <c r="Z111" s="130"/>
      <c r="AB111" s="106"/>
    </row>
    <row r="112">
      <c r="C112" s="79"/>
      <c r="D112" s="79"/>
      <c r="E112" s="79"/>
      <c r="M112" s="79"/>
      <c r="R112" s="79"/>
      <c r="S112" s="79"/>
      <c r="V112" s="79"/>
      <c r="W112" s="79"/>
      <c r="Z112" s="130"/>
      <c r="AB112" s="106"/>
    </row>
    <row r="113">
      <c r="C113" s="79"/>
      <c r="D113" s="79"/>
      <c r="E113" s="79"/>
      <c r="M113" s="79"/>
      <c r="R113" s="79"/>
      <c r="S113" s="79"/>
      <c r="V113" s="79"/>
      <c r="W113" s="79"/>
      <c r="Z113" s="130"/>
      <c r="AB113" s="106"/>
    </row>
    <row r="114">
      <c r="C114" s="79"/>
      <c r="D114" s="79"/>
      <c r="E114" s="79"/>
      <c r="M114" s="79"/>
      <c r="R114" s="79"/>
      <c r="S114" s="79"/>
      <c r="V114" s="79"/>
      <c r="W114" s="79"/>
      <c r="Z114" s="130"/>
      <c r="AB114" s="106"/>
    </row>
    <row r="115">
      <c r="C115" s="79"/>
      <c r="D115" s="79"/>
      <c r="E115" s="79"/>
      <c r="M115" s="79"/>
      <c r="R115" s="79"/>
      <c r="S115" s="79"/>
      <c r="V115" s="79"/>
      <c r="W115" s="79"/>
      <c r="Z115" s="130"/>
      <c r="AB115" s="106"/>
    </row>
    <row r="116">
      <c r="C116" s="79"/>
      <c r="D116" s="79"/>
      <c r="E116" s="79"/>
      <c r="M116" s="79"/>
      <c r="R116" s="79"/>
      <c r="S116" s="79"/>
      <c r="V116" s="79"/>
      <c r="W116" s="79"/>
      <c r="Z116" s="130"/>
      <c r="AB116" s="106"/>
    </row>
    <row r="117">
      <c r="C117" s="79"/>
      <c r="D117" s="79"/>
      <c r="E117" s="79"/>
      <c r="M117" s="79"/>
      <c r="R117" s="79"/>
      <c r="S117" s="79"/>
      <c r="V117" s="79"/>
      <c r="W117" s="79"/>
      <c r="Z117" s="130"/>
      <c r="AB117" s="106"/>
    </row>
    <row r="118">
      <c r="C118" s="79"/>
      <c r="D118" s="79"/>
      <c r="E118" s="79"/>
      <c r="M118" s="79"/>
      <c r="R118" s="79"/>
      <c r="S118" s="79"/>
      <c r="V118" s="79"/>
      <c r="W118" s="79"/>
      <c r="Z118" s="130"/>
      <c r="AB118" s="106"/>
    </row>
    <row r="119">
      <c r="C119" s="79"/>
      <c r="D119" s="79"/>
      <c r="E119" s="79"/>
      <c r="M119" s="79"/>
      <c r="R119" s="79"/>
      <c r="S119" s="79"/>
      <c r="V119" s="79"/>
      <c r="W119" s="79"/>
      <c r="Z119" s="130"/>
      <c r="AB119" s="106"/>
    </row>
    <row r="120">
      <c r="C120" s="79"/>
      <c r="D120" s="79"/>
      <c r="E120" s="79"/>
      <c r="M120" s="79"/>
      <c r="R120" s="79"/>
      <c r="S120" s="79"/>
      <c r="V120" s="79"/>
      <c r="W120" s="79"/>
      <c r="Z120" s="130"/>
      <c r="AB120" s="106"/>
    </row>
    <row r="121">
      <c r="C121" s="79"/>
      <c r="D121" s="79"/>
      <c r="E121" s="79"/>
      <c r="M121" s="79"/>
      <c r="R121" s="79"/>
      <c r="S121" s="79"/>
      <c r="V121" s="79"/>
      <c r="W121" s="79"/>
      <c r="Z121" s="130"/>
      <c r="AB121" s="106"/>
    </row>
    <row r="122">
      <c r="C122" s="79"/>
      <c r="D122" s="79"/>
      <c r="E122" s="79"/>
      <c r="M122" s="79"/>
      <c r="R122" s="79"/>
      <c r="S122" s="79"/>
      <c r="V122" s="79"/>
      <c r="W122" s="79"/>
      <c r="Z122" s="130"/>
      <c r="AB122" s="106"/>
    </row>
    <row r="123">
      <c r="C123" s="79"/>
      <c r="D123" s="79"/>
      <c r="E123" s="79"/>
      <c r="M123" s="79"/>
      <c r="R123" s="79"/>
      <c r="S123" s="79"/>
      <c r="V123" s="79"/>
      <c r="W123" s="79"/>
      <c r="Z123" s="130"/>
      <c r="AB123" s="106"/>
    </row>
    <row r="124">
      <c r="C124" s="79"/>
      <c r="D124" s="79"/>
      <c r="E124" s="79"/>
      <c r="M124" s="79"/>
      <c r="R124" s="79"/>
      <c r="S124" s="79"/>
      <c r="V124" s="79"/>
      <c r="W124" s="79"/>
      <c r="Z124" s="130"/>
      <c r="AB124" s="106"/>
    </row>
    <row r="125">
      <c r="C125" s="79"/>
      <c r="D125" s="79"/>
      <c r="E125" s="79"/>
      <c r="M125" s="79"/>
      <c r="R125" s="79"/>
      <c r="S125" s="79"/>
      <c r="V125" s="79"/>
      <c r="W125" s="79"/>
      <c r="Z125" s="130"/>
      <c r="AB125" s="106"/>
    </row>
    <row r="126">
      <c r="C126" s="79"/>
      <c r="D126" s="79"/>
      <c r="E126" s="79"/>
      <c r="M126" s="79"/>
      <c r="R126" s="79"/>
      <c r="S126" s="79"/>
      <c r="V126" s="79"/>
      <c r="W126" s="79"/>
      <c r="Z126" s="130"/>
      <c r="AB126" s="106"/>
    </row>
    <row r="127">
      <c r="C127" s="79"/>
      <c r="D127" s="79"/>
      <c r="E127" s="79"/>
      <c r="M127" s="79"/>
      <c r="R127" s="79"/>
      <c r="S127" s="79"/>
      <c r="V127" s="79"/>
      <c r="W127" s="79"/>
      <c r="Z127" s="130"/>
      <c r="AB127" s="106"/>
    </row>
    <row r="128">
      <c r="C128" s="79"/>
      <c r="D128" s="79"/>
      <c r="E128" s="79"/>
      <c r="M128" s="79"/>
      <c r="R128" s="79"/>
      <c r="S128" s="79"/>
      <c r="V128" s="79"/>
      <c r="W128" s="79"/>
      <c r="Z128" s="130"/>
      <c r="AB128" s="106"/>
    </row>
    <row r="129">
      <c r="C129" s="79"/>
      <c r="D129" s="79"/>
      <c r="E129" s="79"/>
      <c r="M129" s="79"/>
      <c r="R129" s="79"/>
      <c r="S129" s="79"/>
      <c r="V129" s="79"/>
      <c r="W129" s="79"/>
      <c r="Z129" s="130"/>
      <c r="AB129" s="106"/>
    </row>
    <row r="130">
      <c r="C130" s="79"/>
      <c r="D130" s="79"/>
      <c r="E130" s="79"/>
      <c r="M130" s="79"/>
      <c r="R130" s="79"/>
      <c r="S130" s="79"/>
      <c r="V130" s="79"/>
      <c r="W130" s="79"/>
      <c r="Z130" s="130"/>
      <c r="AB130" s="106"/>
    </row>
    <row r="131">
      <c r="C131" s="79"/>
      <c r="D131" s="79"/>
      <c r="E131" s="79"/>
      <c r="M131" s="79"/>
      <c r="R131" s="79"/>
      <c r="S131" s="79"/>
      <c r="V131" s="79"/>
      <c r="W131" s="79"/>
      <c r="Z131" s="130"/>
      <c r="AB131" s="106"/>
    </row>
    <row r="132">
      <c r="C132" s="79"/>
      <c r="D132" s="79"/>
      <c r="E132" s="79"/>
      <c r="M132" s="79"/>
      <c r="R132" s="79"/>
      <c r="S132" s="79"/>
      <c r="V132" s="79"/>
      <c r="W132" s="79"/>
      <c r="Z132" s="130"/>
      <c r="AB132" s="106"/>
    </row>
    <row r="133">
      <c r="C133" s="79"/>
      <c r="D133" s="79"/>
      <c r="E133" s="79"/>
      <c r="M133" s="79"/>
      <c r="R133" s="79"/>
      <c r="S133" s="79"/>
      <c r="V133" s="79"/>
      <c r="W133" s="79"/>
      <c r="Z133" s="130"/>
      <c r="AB133" s="106"/>
    </row>
    <row r="134">
      <c r="C134" s="79"/>
      <c r="D134" s="79"/>
      <c r="E134" s="79"/>
      <c r="M134" s="79"/>
      <c r="R134" s="79"/>
      <c r="S134" s="79"/>
      <c r="V134" s="79"/>
      <c r="W134" s="79"/>
      <c r="Z134" s="130"/>
      <c r="AB134" s="106"/>
    </row>
    <row r="135">
      <c r="C135" s="79"/>
      <c r="D135" s="79"/>
      <c r="E135" s="79"/>
      <c r="M135" s="79"/>
      <c r="R135" s="79"/>
      <c r="S135" s="79"/>
      <c r="V135" s="79"/>
      <c r="W135" s="79"/>
      <c r="Z135" s="130"/>
      <c r="AB135" s="106"/>
    </row>
    <row r="136">
      <c r="C136" s="79"/>
      <c r="D136" s="79"/>
      <c r="E136" s="79"/>
      <c r="M136" s="79"/>
      <c r="R136" s="79"/>
      <c r="S136" s="79"/>
      <c r="V136" s="79"/>
      <c r="W136" s="79"/>
      <c r="Z136" s="130"/>
      <c r="AB136" s="106"/>
    </row>
    <row r="137">
      <c r="C137" s="79"/>
      <c r="D137" s="79"/>
      <c r="E137" s="79"/>
      <c r="M137" s="79"/>
      <c r="R137" s="79"/>
      <c r="S137" s="79"/>
      <c r="V137" s="79"/>
      <c r="W137" s="79"/>
      <c r="Z137" s="130"/>
      <c r="AB137" s="106"/>
    </row>
    <row r="138">
      <c r="C138" s="79"/>
      <c r="D138" s="79"/>
      <c r="E138" s="79"/>
      <c r="M138" s="79"/>
      <c r="R138" s="79"/>
      <c r="S138" s="79"/>
      <c r="V138" s="79"/>
      <c r="W138" s="79"/>
      <c r="Z138" s="130"/>
      <c r="AB138" s="106"/>
    </row>
    <row r="139">
      <c r="C139" s="79"/>
      <c r="D139" s="79"/>
      <c r="E139" s="79"/>
      <c r="M139" s="79"/>
      <c r="R139" s="79"/>
      <c r="S139" s="79"/>
      <c r="V139" s="79"/>
      <c r="W139" s="79"/>
      <c r="Z139" s="130"/>
      <c r="AB139" s="106"/>
    </row>
    <row r="140">
      <c r="C140" s="79"/>
      <c r="D140" s="79"/>
      <c r="E140" s="79"/>
      <c r="M140" s="79"/>
      <c r="R140" s="79"/>
      <c r="S140" s="79"/>
      <c r="V140" s="79"/>
      <c r="W140" s="79"/>
      <c r="Z140" s="130"/>
      <c r="AB140" s="106"/>
    </row>
    <row r="141">
      <c r="C141" s="79"/>
      <c r="D141" s="79"/>
      <c r="E141" s="79"/>
      <c r="M141" s="79"/>
      <c r="R141" s="79"/>
      <c r="S141" s="79"/>
      <c r="V141" s="79"/>
      <c r="W141" s="79"/>
      <c r="Z141" s="130"/>
      <c r="AB141" s="106"/>
    </row>
    <row r="142">
      <c r="C142" s="79"/>
      <c r="D142" s="79"/>
      <c r="E142" s="79"/>
      <c r="M142" s="79"/>
      <c r="R142" s="79"/>
      <c r="S142" s="79"/>
      <c r="V142" s="79"/>
      <c r="W142" s="79"/>
      <c r="Z142" s="130"/>
      <c r="AB142" s="106"/>
    </row>
    <row r="143">
      <c r="C143" s="79"/>
      <c r="D143" s="79"/>
      <c r="E143" s="79"/>
      <c r="M143" s="79"/>
      <c r="R143" s="79"/>
      <c r="S143" s="79"/>
      <c r="V143" s="79"/>
      <c r="W143" s="79"/>
      <c r="Z143" s="130"/>
      <c r="AB143" s="106"/>
    </row>
    <row r="144">
      <c r="C144" s="79"/>
      <c r="D144" s="79"/>
      <c r="E144" s="79"/>
      <c r="M144" s="79"/>
      <c r="R144" s="79"/>
      <c r="S144" s="79"/>
      <c r="V144" s="79"/>
      <c r="W144" s="79"/>
      <c r="Z144" s="130"/>
      <c r="AB144" s="106"/>
    </row>
    <row r="145">
      <c r="C145" s="79"/>
      <c r="D145" s="79"/>
      <c r="E145" s="79"/>
      <c r="M145" s="79"/>
      <c r="R145" s="79"/>
      <c r="S145" s="79"/>
      <c r="V145" s="79"/>
      <c r="W145" s="79"/>
      <c r="Z145" s="130"/>
      <c r="AB145" s="106"/>
    </row>
    <row r="146">
      <c r="C146" s="79"/>
      <c r="D146" s="79"/>
      <c r="E146" s="79"/>
      <c r="M146" s="79"/>
      <c r="R146" s="79"/>
      <c r="S146" s="79"/>
      <c r="V146" s="79"/>
      <c r="W146" s="79"/>
      <c r="Z146" s="130"/>
      <c r="AB146" s="106"/>
    </row>
    <row r="147">
      <c r="C147" s="79"/>
      <c r="D147" s="79"/>
      <c r="E147" s="79"/>
      <c r="M147" s="79"/>
      <c r="R147" s="79"/>
      <c r="S147" s="79"/>
      <c r="V147" s="79"/>
      <c r="W147" s="79"/>
      <c r="Z147" s="130"/>
      <c r="AB147" s="106"/>
    </row>
    <row r="148">
      <c r="C148" s="79"/>
      <c r="D148" s="79"/>
      <c r="E148" s="79"/>
      <c r="M148" s="79"/>
      <c r="R148" s="79"/>
      <c r="S148" s="79"/>
      <c r="V148" s="79"/>
      <c r="W148" s="79"/>
      <c r="Z148" s="130"/>
      <c r="AB148" s="106"/>
    </row>
    <row r="149">
      <c r="C149" s="79"/>
      <c r="D149" s="79"/>
      <c r="E149" s="79"/>
      <c r="M149" s="79"/>
      <c r="R149" s="79"/>
      <c r="S149" s="79"/>
      <c r="V149" s="79"/>
      <c r="W149" s="79"/>
      <c r="Z149" s="130"/>
      <c r="AB149" s="106"/>
    </row>
    <row r="150">
      <c r="C150" s="79"/>
      <c r="D150" s="79"/>
      <c r="E150" s="79"/>
      <c r="M150" s="79"/>
      <c r="R150" s="79"/>
      <c r="S150" s="79"/>
      <c r="V150" s="79"/>
      <c r="W150" s="79"/>
      <c r="Z150" s="130"/>
      <c r="AB150" s="106"/>
    </row>
    <row r="151">
      <c r="C151" s="79"/>
      <c r="D151" s="79"/>
      <c r="E151" s="79"/>
      <c r="M151" s="79"/>
      <c r="R151" s="79"/>
      <c r="S151" s="79"/>
      <c r="V151" s="79"/>
      <c r="W151" s="79"/>
      <c r="Z151" s="130"/>
      <c r="AB151" s="106"/>
    </row>
    <row r="152">
      <c r="C152" s="79"/>
      <c r="D152" s="79"/>
      <c r="E152" s="79"/>
      <c r="M152" s="79"/>
      <c r="R152" s="79"/>
      <c r="S152" s="79"/>
      <c r="V152" s="79"/>
      <c r="W152" s="79"/>
      <c r="Z152" s="130"/>
      <c r="AB152" s="106"/>
    </row>
    <row r="153">
      <c r="C153" s="79"/>
      <c r="D153" s="79"/>
      <c r="E153" s="79"/>
      <c r="M153" s="79"/>
      <c r="R153" s="79"/>
      <c r="S153" s="79"/>
      <c r="V153" s="79"/>
      <c r="W153" s="79"/>
      <c r="Z153" s="130"/>
      <c r="AB153" s="106"/>
    </row>
    <row r="154">
      <c r="C154" s="79"/>
      <c r="D154" s="79"/>
      <c r="E154" s="79"/>
      <c r="M154" s="79"/>
      <c r="R154" s="79"/>
      <c r="S154" s="79"/>
      <c r="V154" s="79"/>
      <c r="W154" s="79"/>
      <c r="Z154" s="130"/>
      <c r="AB154" s="106"/>
    </row>
    <row r="155">
      <c r="C155" s="79"/>
      <c r="D155" s="79"/>
      <c r="E155" s="79"/>
      <c r="M155" s="79"/>
      <c r="R155" s="79"/>
      <c r="S155" s="79"/>
      <c r="V155" s="79"/>
      <c r="W155" s="79"/>
      <c r="Z155" s="130"/>
      <c r="AB155" s="106"/>
    </row>
    <row r="156">
      <c r="C156" s="79"/>
      <c r="D156" s="79"/>
      <c r="E156" s="79"/>
      <c r="M156" s="79"/>
      <c r="R156" s="79"/>
      <c r="S156" s="79"/>
      <c r="V156" s="79"/>
      <c r="W156" s="79"/>
      <c r="Z156" s="130"/>
      <c r="AB156" s="106"/>
    </row>
    <row r="157">
      <c r="C157" s="79"/>
      <c r="D157" s="79"/>
      <c r="E157" s="79"/>
      <c r="M157" s="79"/>
      <c r="R157" s="79"/>
      <c r="S157" s="79"/>
      <c r="V157" s="79"/>
      <c r="W157" s="79"/>
      <c r="Z157" s="130"/>
      <c r="AB157" s="106"/>
    </row>
    <row r="158">
      <c r="C158" s="79"/>
      <c r="D158" s="79"/>
      <c r="E158" s="79"/>
      <c r="M158" s="79"/>
      <c r="R158" s="79"/>
      <c r="S158" s="79"/>
      <c r="V158" s="79"/>
      <c r="W158" s="79"/>
      <c r="Z158" s="130"/>
      <c r="AB158" s="106"/>
    </row>
    <row r="159">
      <c r="C159" s="79"/>
      <c r="D159" s="79"/>
      <c r="E159" s="79"/>
      <c r="M159" s="79"/>
      <c r="R159" s="79"/>
      <c r="S159" s="79"/>
      <c r="V159" s="79"/>
      <c r="W159" s="79"/>
      <c r="Z159" s="130"/>
      <c r="AB159" s="106"/>
    </row>
    <row r="160">
      <c r="C160" s="79"/>
      <c r="D160" s="79"/>
      <c r="E160" s="79"/>
      <c r="M160" s="79"/>
      <c r="R160" s="79"/>
      <c r="S160" s="79"/>
      <c r="V160" s="79"/>
      <c r="W160" s="79"/>
      <c r="Z160" s="130"/>
      <c r="AB160" s="106"/>
    </row>
    <row r="161">
      <c r="C161" s="79"/>
      <c r="D161" s="79"/>
      <c r="E161" s="79"/>
      <c r="M161" s="79"/>
      <c r="R161" s="79"/>
      <c r="S161" s="79"/>
      <c r="V161" s="79"/>
      <c r="W161" s="79"/>
      <c r="Z161" s="130"/>
      <c r="AB161" s="106"/>
    </row>
    <row r="162">
      <c r="C162" s="79"/>
      <c r="D162" s="79"/>
      <c r="E162" s="79"/>
      <c r="M162" s="79"/>
      <c r="R162" s="79"/>
      <c r="S162" s="79"/>
      <c r="V162" s="79"/>
      <c r="W162" s="79"/>
      <c r="Z162" s="130"/>
      <c r="AB162" s="106"/>
    </row>
    <row r="163">
      <c r="C163" s="79"/>
      <c r="D163" s="79"/>
      <c r="E163" s="79"/>
      <c r="M163" s="79"/>
      <c r="R163" s="79"/>
      <c r="S163" s="79"/>
      <c r="V163" s="79"/>
      <c r="W163" s="79"/>
      <c r="Z163" s="130"/>
      <c r="AB163" s="106"/>
    </row>
    <row r="164">
      <c r="C164" s="79"/>
      <c r="D164" s="79"/>
      <c r="E164" s="79"/>
      <c r="M164" s="79"/>
      <c r="R164" s="79"/>
      <c r="S164" s="79"/>
      <c r="V164" s="79"/>
      <c r="W164" s="79"/>
      <c r="Z164" s="130"/>
      <c r="AB164" s="106"/>
    </row>
    <row r="165">
      <c r="C165" s="79"/>
      <c r="D165" s="79"/>
      <c r="E165" s="79"/>
      <c r="M165" s="79"/>
      <c r="R165" s="79"/>
      <c r="S165" s="79"/>
      <c r="V165" s="79"/>
      <c r="W165" s="79"/>
      <c r="Z165" s="130"/>
      <c r="AB165" s="106"/>
    </row>
    <row r="166">
      <c r="C166" s="79"/>
      <c r="D166" s="79"/>
      <c r="E166" s="79"/>
      <c r="M166" s="79"/>
      <c r="R166" s="79"/>
      <c r="S166" s="79"/>
      <c r="V166" s="79"/>
      <c r="W166" s="79"/>
      <c r="Z166" s="130"/>
      <c r="AB166" s="106"/>
    </row>
    <row r="167">
      <c r="C167" s="79"/>
      <c r="D167" s="79"/>
      <c r="E167" s="79"/>
      <c r="M167" s="79"/>
      <c r="R167" s="79"/>
      <c r="S167" s="79"/>
      <c r="V167" s="79"/>
      <c r="W167" s="79"/>
      <c r="Z167" s="130"/>
      <c r="AB167" s="106"/>
    </row>
    <row r="168">
      <c r="C168" s="79"/>
      <c r="D168" s="79"/>
      <c r="E168" s="79"/>
      <c r="M168" s="79"/>
      <c r="R168" s="79"/>
      <c r="S168" s="79"/>
      <c r="V168" s="79"/>
      <c r="W168" s="79"/>
      <c r="Z168" s="130"/>
      <c r="AB168" s="106"/>
    </row>
    <row r="169">
      <c r="C169" s="79"/>
      <c r="D169" s="79"/>
      <c r="E169" s="79"/>
      <c r="M169" s="79"/>
      <c r="R169" s="79"/>
      <c r="S169" s="79"/>
      <c r="V169" s="79"/>
      <c r="W169" s="79"/>
      <c r="Z169" s="130"/>
      <c r="AB169" s="106"/>
    </row>
    <row r="170">
      <c r="C170" s="79"/>
      <c r="D170" s="79"/>
      <c r="E170" s="79"/>
      <c r="M170" s="79"/>
      <c r="R170" s="79"/>
      <c r="S170" s="79"/>
      <c r="V170" s="79"/>
      <c r="W170" s="79"/>
      <c r="Z170" s="130"/>
      <c r="AB170" s="106"/>
    </row>
    <row r="171">
      <c r="C171" s="79"/>
      <c r="D171" s="79"/>
      <c r="E171" s="79"/>
      <c r="M171" s="79"/>
      <c r="R171" s="79"/>
      <c r="S171" s="79"/>
      <c r="V171" s="79"/>
      <c r="W171" s="79"/>
      <c r="Z171" s="130"/>
      <c r="AB171" s="106"/>
    </row>
    <row r="172">
      <c r="C172" s="79"/>
      <c r="D172" s="79"/>
      <c r="E172" s="79"/>
      <c r="M172" s="79"/>
      <c r="R172" s="79"/>
      <c r="S172" s="79"/>
      <c r="V172" s="79"/>
      <c r="W172" s="79"/>
      <c r="Z172" s="130"/>
      <c r="AB172" s="106"/>
    </row>
    <row r="173">
      <c r="C173" s="79"/>
      <c r="D173" s="79"/>
      <c r="E173" s="79"/>
      <c r="M173" s="79"/>
      <c r="R173" s="79"/>
      <c r="S173" s="79"/>
      <c r="V173" s="79"/>
      <c r="W173" s="79"/>
      <c r="Z173" s="130"/>
      <c r="AB173" s="106"/>
    </row>
    <row r="174">
      <c r="C174" s="79"/>
      <c r="D174" s="79"/>
      <c r="E174" s="79"/>
      <c r="M174" s="79"/>
      <c r="R174" s="79"/>
      <c r="S174" s="79"/>
      <c r="V174" s="79"/>
      <c r="W174" s="79"/>
      <c r="Z174" s="130"/>
      <c r="AB174" s="106"/>
    </row>
    <row r="175">
      <c r="C175" s="79"/>
      <c r="D175" s="79"/>
      <c r="E175" s="79"/>
      <c r="M175" s="79"/>
      <c r="R175" s="79"/>
      <c r="S175" s="79"/>
      <c r="V175" s="79"/>
      <c r="W175" s="79"/>
      <c r="Z175" s="130"/>
      <c r="AB175" s="106"/>
    </row>
    <row r="176">
      <c r="C176" s="79"/>
      <c r="D176" s="79"/>
      <c r="E176" s="79"/>
      <c r="M176" s="79"/>
      <c r="R176" s="79"/>
      <c r="S176" s="79"/>
      <c r="V176" s="79"/>
      <c r="W176" s="79"/>
      <c r="Z176" s="130"/>
      <c r="AB176" s="106"/>
    </row>
    <row r="177">
      <c r="C177" s="79"/>
      <c r="D177" s="79"/>
      <c r="E177" s="79"/>
      <c r="M177" s="79"/>
      <c r="R177" s="79"/>
      <c r="S177" s="79"/>
      <c r="V177" s="79"/>
      <c r="W177" s="79"/>
      <c r="Z177" s="130"/>
      <c r="AB177" s="106"/>
    </row>
    <row r="178">
      <c r="C178" s="79"/>
      <c r="D178" s="79"/>
      <c r="E178" s="79"/>
      <c r="M178" s="79"/>
      <c r="R178" s="79"/>
      <c r="S178" s="79"/>
      <c r="V178" s="79"/>
      <c r="W178" s="79"/>
      <c r="Z178" s="130"/>
      <c r="AB178" s="106"/>
    </row>
    <row r="179">
      <c r="C179" s="79"/>
      <c r="D179" s="79"/>
      <c r="E179" s="79"/>
      <c r="M179" s="79"/>
      <c r="R179" s="79"/>
      <c r="S179" s="79"/>
      <c r="V179" s="79"/>
      <c r="W179" s="79"/>
      <c r="Z179" s="130"/>
      <c r="AB179" s="106"/>
    </row>
    <row r="180">
      <c r="C180" s="79"/>
      <c r="D180" s="79"/>
      <c r="E180" s="79"/>
      <c r="M180" s="79"/>
      <c r="R180" s="79"/>
      <c r="S180" s="79"/>
      <c r="V180" s="79"/>
      <c r="W180" s="79"/>
      <c r="Z180" s="130"/>
      <c r="AB180" s="106"/>
    </row>
    <row r="181">
      <c r="C181" s="79"/>
      <c r="D181" s="79"/>
      <c r="E181" s="79"/>
      <c r="M181" s="79"/>
      <c r="R181" s="79"/>
      <c r="S181" s="79"/>
      <c r="V181" s="79"/>
      <c r="W181" s="79"/>
      <c r="Z181" s="130"/>
      <c r="AB181" s="106"/>
    </row>
    <row r="182">
      <c r="C182" s="79"/>
      <c r="D182" s="79"/>
      <c r="E182" s="79"/>
      <c r="M182" s="79"/>
      <c r="R182" s="79"/>
      <c r="S182" s="79"/>
      <c r="V182" s="79"/>
      <c r="W182" s="79"/>
      <c r="Z182" s="130"/>
      <c r="AB182" s="106"/>
    </row>
    <row r="183">
      <c r="C183" s="79"/>
      <c r="D183" s="79"/>
      <c r="E183" s="79"/>
      <c r="M183" s="79"/>
      <c r="R183" s="79"/>
      <c r="S183" s="79"/>
      <c r="V183" s="79"/>
      <c r="W183" s="79"/>
      <c r="Z183" s="130"/>
      <c r="AB183" s="106"/>
    </row>
    <row r="184">
      <c r="C184" s="79"/>
      <c r="D184" s="79"/>
      <c r="E184" s="79"/>
      <c r="M184" s="79"/>
      <c r="R184" s="79"/>
      <c r="S184" s="79"/>
      <c r="V184" s="79"/>
      <c r="W184" s="79"/>
      <c r="Z184" s="130"/>
      <c r="AB184" s="106"/>
    </row>
    <row r="185">
      <c r="C185" s="79"/>
      <c r="D185" s="79"/>
      <c r="E185" s="79"/>
      <c r="M185" s="79"/>
      <c r="R185" s="79"/>
      <c r="S185" s="79"/>
      <c r="V185" s="79"/>
      <c r="W185" s="79"/>
      <c r="Z185" s="130"/>
      <c r="AB185" s="106"/>
    </row>
    <row r="186">
      <c r="C186" s="79"/>
      <c r="D186" s="79"/>
      <c r="E186" s="79"/>
      <c r="M186" s="79"/>
      <c r="R186" s="79"/>
      <c r="S186" s="79"/>
      <c r="V186" s="79"/>
      <c r="W186" s="79"/>
      <c r="Z186" s="130"/>
      <c r="AB186" s="106"/>
    </row>
    <row r="187">
      <c r="C187" s="79"/>
      <c r="D187" s="79"/>
      <c r="E187" s="79"/>
      <c r="M187" s="79"/>
      <c r="R187" s="79"/>
      <c r="S187" s="79"/>
      <c r="V187" s="79"/>
      <c r="W187" s="79"/>
      <c r="Z187" s="130"/>
      <c r="AB187" s="106"/>
    </row>
    <row r="188">
      <c r="C188" s="79"/>
      <c r="D188" s="79"/>
      <c r="E188" s="79"/>
      <c r="M188" s="79"/>
      <c r="R188" s="79"/>
      <c r="S188" s="79"/>
      <c r="V188" s="79"/>
      <c r="W188" s="79"/>
      <c r="Z188" s="130"/>
      <c r="AB188" s="106"/>
    </row>
    <row r="189">
      <c r="C189" s="79"/>
      <c r="D189" s="79"/>
      <c r="E189" s="79"/>
      <c r="M189" s="79"/>
      <c r="R189" s="79"/>
      <c r="S189" s="79"/>
      <c r="V189" s="79"/>
      <c r="W189" s="79"/>
      <c r="Z189" s="130"/>
      <c r="AB189" s="106"/>
    </row>
    <row r="190">
      <c r="C190" s="79"/>
      <c r="D190" s="79"/>
      <c r="E190" s="79"/>
      <c r="M190" s="79"/>
      <c r="R190" s="79"/>
      <c r="S190" s="79"/>
      <c r="V190" s="79"/>
      <c r="W190" s="79"/>
      <c r="Z190" s="130"/>
      <c r="AB190" s="106"/>
    </row>
    <row r="191">
      <c r="C191" s="79"/>
      <c r="D191" s="79"/>
      <c r="E191" s="79"/>
      <c r="M191" s="79"/>
      <c r="R191" s="79"/>
      <c r="S191" s="79"/>
      <c r="V191" s="79"/>
      <c r="W191" s="79"/>
      <c r="Z191" s="130"/>
      <c r="AB191" s="106"/>
    </row>
    <row r="192">
      <c r="C192" s="79"/>
      <c r="D192" s="79"/>
      <c r="E192" s="79"/>
      <c r="M192" s="79"/>
      <c r="R192" s="79"/>
      <c r="S192" s="79"/>
      <c r="V192" s="79"/>
      <c r="W192" s="79"/>
      <c r="Z192" s="130"/>
      <c r="AB192" s="106"/>
    </row>
    <row r="193">
      <c r="C193" s="79"/>
      <c r="D193" s="79"/>
      <c r="E193" s="79"/>
      <c r="M193" s="79"/>
      <c r="R193" s="79"/>
      <c r="S193" s="79"/>
      <c r="V193" s="79"/>
      <c r="W193" s="79"/>
      <c r="Z193" s="130"/>
      <c r="AB193" s="106"/>
    </row>
    <row r="194">
      <c r="C194" s="79"/>
      <c r="D194" s="79"/>
      <c r="E194" s="79"/>
      <c r="M194" s="79"/>
      <c r="R194" s="79"/>
      <c r="S194" s="79"/>
      <c r="V194" s="79"/>
      <c r="W194" s="79"/>
      <c r="Z194" s="130"/>
      <c r="AB194" s="106"/>
    </row>
    <row r="195">
      <c r="C195" s="79"/>
      <c r="D195" s="79"/>
      <c r="E195" s="79"/>
      <c r="M195" s="79"/>
      <c r="R195" s="79"/>
      <c r="S195" s="79"/>
      <c r="V195" s="79"/>
      <c r="W195" s="79"/>
      <c r="Z195" s="130"/>
      <c r="AB195" s="106"/>
    </row>
    <row r="196">
      <c r="C196" s="79"/>
      <c r="D196" s="79"/>
      <c r="E196" s="79"/>
      <c r="M196" s="79"/>
      <c r="R196" s="79"/>
      <c r="S196" s="79"/>
      <c r="V196" s="79"/>
      <c r="W196" s="79"/>
      <c r="Z196" s="130"/>
      <c r="AB196" s="106"/>
    </row>
    <row r="197">
      <c r="C197" s="79"/>
      <c r="D197" s="79"/>
      <c r="E197" s="79"/>
      <c r="M197" s="79"/>
      <c r="R197" s="79"/>
      <c r="S197" s="79"/>
      <c r="V197" s="79"/>
      <c r="W197" s="79"/>
      <c r="Z197" s="130"/>
      <c r="AB197" s="106"/>
    </row>
    <row r="198">
      <c r="C198" s="79"/>
      <c r="D198" s="79"/>
      <c r="E198" s="79"/>
      <c r="M198" s="79"/>
      <c r="R198" s="79"/>
      <c r="S198" s="79"/>
      <c r="V198" s="79"/>
      <c r="W198" s="79"/>
      <c r="Z198" s="130"/>
      <c r="AB198" s="106"/>
    </row>
    <row r="199">
      <c r="C199" s="79"/>
      <c r="D199" s="79"/>
      <c r="E199" s="79"/>
      <c r="M199" s="79"/>
      <c r="R199" s="79"/>
      <c r="S199" s="79"/>
      <c r="V199" s="79"/>
      <c r="W199" s="79"/>
      <c r="Z199" s="130"/>
      <c r="AB199" s="106"/>
    </row>
    <row r="200">
      <c r="C200" s="79"/>
      <c r="D200" s="79"/>
      <c r="E200" s="79"/>
      <c r="M200" s="79"/>
      <c r="R200" s="79"/>
      <c r="S200" s="79"/>
      <c r="V200" s="79"/>
      <c r="W200" s="79"/>
      <c r="Z200" s="130"/>
      <c r="AB200" s="106"/>
    </row>
    <row r="201">
      <c r="C201" s="79"/>
      <c r="D201" s="79"/>
      <c r="E201" s="79"/>
      <c r="M201" s="79"/>
      <c r="R201" s="79"/>
      <c r="S201" s="79"/>
      <c r="V201" s="79"/>
      <c r="W201" s="79"/>
      <c r="Z201" s="130"/>
      <c r="AB201" s="106"/>
    </row>
    <row r="202">
      <c r="C202" s="79"/>
      <c r="D202" s="79"/>
      <c r="E202" s="79"/>
      <c r="M202" s="79"/>
      <c r="R202" s="79"/>
      <c r="S202" s="79"/>
      <c r="V202" s="79"/>
      <c r="W202" s="79"/>
      <c r="Z202" s="130"/>
      <c r="AB202" s="106"/>
    </row>
    <row r="203">
      <c r="C203" s="79"/>
      <c r="D203" s="79"/>
      <c r="E203" s="79"/>
      <c r="M203" s="79"/>
      <c r="R203" s="79"/>
      <c r="S203" s="79"/>
      <c r="V203" s="79"/>
      <c r="W203" s="79"/>
      <c r="Z203" s="130"/>
      <c r="AB203" s="106"/>
    </row>
    <row r="204">
      <c r="C204" s="79"/>
      <c r="D204" s="79"/>
      <c r="E204" s="79"/>
      <c r="M204" s="79"/>
      <c r="R204" s="79"/>
      <c r="S204" s="79"/>
      <c r="V204" s="79"/>
      <c r="W204" s="79"/>
      <c r="Z204" s="130"/>
      <c r="AB204" s="106"/>
    </row>
    <row r="205">
      <c r="C205" s="79"/>
      <c r="D205" s="79"/>
      <c r="E205" s="79"/>
      <c r="M205" s="79"/>
      <c r="R205" s="79"/>
      <c r="S205" s="79"/>
      <c r="V205" s="79"/>
      <c r="W205" s="79"/>
      <c r="Z205" s="130"/>
      <c r="AB205" s="106"/>
    </row>
    <row r="206">
      <c r="C206" s="79"/>
      <c r="D206" s="79"/>
      <c r="E206" s="79"/>
      <c r="M206" s="79"/>
      <c r="R206" s="79"/>
      <c r="S206" s="79"/>
      <c r="V206" s="79"/>
      <c r="W206" s="79"/>
      <c r="Z206" s="130"/>
      <c r="AB206" s="106"/>
    </row>
    <row r="207">
      <c r="C207" s="79"/>
      <c r="D207" s="79"/>
      <c r="E207" s="79"/>
      <c r="M207" s="79"/>
      <c r="R207" s="79"/>
      <c r="S207" s="79"/>
      <c r="V207" s="79"/>
      <c r="W207" s="79"/>
      <c r="Z207" s="130"/>
      <c r="AB207" s="106"/>
    </row>
    <row r="208">
      <c r="C208" s="79"/>
      <c r="D208" s="79"/>
      <c r="E208" s="79"/>
      <c r="M208" s="79"/>
      <c r="R208" s="79"/>
      <c r="S208" s="79"/>
      <c r="V208" s="79"/>
      <c r="W208" s="79"/>
      <c r="Z208" s="130"/>
      <c r="AB208" s="106"/>
    </row>
    <row r="209">
      <c r="C209" s="79"/>
      <c r="D209" s="79"/>
      <c r="E209" s="79"/>
      <c r="M209" s="79"/>
      <c r="R209" s="79"/>
      <c r="S209" s="79"/>
      <c r="V209" s="79"/>
      <c r="W209" s="79"/>
      <c r="Z209" s="130"/>
      <c r="AB209" s="106"/>
    </row>
    <row r="210">
      <c r="C210" s="79"/>
      <c r="D210" s="79"/>
      <c r="E210" s="79"/>
      <c r="M210" s="79"/>
      <c r="R210" s="79"/>
      <c r="S210" s="79"/>
      <c r="V210" s="79"/>
      <c r="W210" s="79"/>
      <c r="Z210" s="130"/>
      <c r="AB210" s="106"/>
    </row>
    <row r="211">
      <c r="C211" s="79"/>
      <c r="D211" s="79"/>
      <c r="E211" s="79"/>
      <c r="M211" s="79"/>
      <c r="R211" s="79"/>
      <c r="S211" s="79"/>
      <c r="V211" s="79"/>
      <c r="W211" s="79"/>
      <c r="Z211" s="130"/>
      <c r="AB211" s="106"/>
    </row>
    <row r="212">
      <c r="C212" s="79"/>
      <c r="D212" s="79"/>
      <c r="E212" s="79"/>
      <c r="M212" s="79"/>
      <c r="R212" s="79"/>
      <c r="S212" s="79"/>
      <c r="V212" s="79"/>
      <c r="W212" s="79"/>
      <c r="Z212" s="130"/>
      <c r="AB212" s="106"/>
    </row>
    <row r="213">
      <c r="C213" s="79"/>
      <c r="D213" s="79"/>
      <c r="E213" s="79"/>
      <c r="M213" s="79"/>
      <c r="R213" s="79"/>
      <c r="S213" s="79"/>
      <c r="V213" s="79"/>
      <c r="W213" s="79"/>
      <c r="Z213" s="130"/>
      <c r="AB213" s="106"/>
    </row>
    <row r="214">
      <c r="C214" s="79"/>
      <c r="D214" s="79"/>
      <c r="E214" s="79"/>
      <c r="M214" s="79"/>
      <c r="R214" s="79"/>
      <c r="S214" s="79"/>
      <c r="V214" s="79"/>
      <c r="W214" s="79"/>
      <c r="Z214" s="130"/>
      <c r="AB214" s="106"/>
    </row>
    <row r="215">
      <c r="C215" s="79"/>
      <c r="D215" s="79"/>
      <c r="E215" s="79"/>
      <c r="M215" s="79"/>
      <c r="R215" s="79"/>
      <c r="S215" s="79"/>
      <c r="V215" s="79"/>
      <c r="W215" s="79"/>
      <c r="Z215" s="130"/>
      <c r="AB215" s="106"/>
    </row>
    <row r="216">
      <c r="C216" s="79"/>
      <c r="D216" s="79"/>
      <c r="E216" s="79"/>
      <c r="M216" s="79"/>
      <c r="R216" s="79"/>
      <c r="S216" s="79"/>
      <c r="V216" s="79"/>
      <c r="W216" s="79"/>
      <c r="Z216" s="130"/>
      <c r="AB216" s="106"/>
    </row>
    <row r="217">
      <c r="C217" s="79"/>
      <c r="D217" s="79"/>
      <c r="E217" s="79"/>
      <c r="M217" s="79"/>
      <c r="R217" s="79"/>
      <c r="S217" s="79"/>
      <c r="V217" s="79"/>
      <c r="W217" s="79"/>
      <c r="Z217" s="130"/>
      <c r="AB217" s="106"/>
    </row>
    <row r="218">
      <c r="C218" s="79"/>
      <c r="D218" s="79"/>
      <c r="E218" s="79"/>
      <c r="M218" s="79"/>
      <c r="R218" s="79"/>
      <c r="S218" s="79"/>
      <c r="V218" s="79"/>
      <c r="W218" s="79"/>
      <c r="Z218" s="130"/>
      <c r="AB218" s="106"/>
    </row>
    <row r="219">
      <c r="C219" s="79"/>
      <c r="D219" s="79"/>
      <c r="E219" s="79"/>
      <c r="M219" s="79"/>
      <c r="R219" s="79"/>
      <c r="S219" s="79"/>
      <c r="V219" s="79"/>
      <c r="W219" s="79"/>
      <c r="Z219" s="130"/>
      <c r="AB219" s="106"/>
    </row>
    <row r="220">
      <c r="C220" s="79"/>
      <c r="D220" s="79"/>
      <c r="E220" s="79"/>
      <c r="M220" s="79"/>
      <c r="R220" s="79"/>
      <c r="S220" s="79"/>
      <c r="V220" s="79"/>
      <c r="W220" s="79"/>
      <c r="Z220" s="130"/>
      <c r="AB220" s="106"/>
    </row>
    <row r="221">
      <c r="C221" s="79"/>
      <c r="D221" s="79"/>
      <c r="E221" s="79"/>
      <c r="M221" s="79"/>
      <c r="R221" s="79"/>
      <c r="S221" s="79"/>
      <c r="V221" s="79"/>
      <c r="W221" s="79"/>
      <c r="Z221" s="130"/>
      <c r="AB221" s="106"/>
    </row>
    <row r="222">
      <c r="C222" s="79"/>
      <c r="D222" s="79"/>
      <c r="E222" s="79"/>
      <c r="M222" s="79"/>
      <c r="R222" s="79"/>
      <c r="S222" s="79"/>
      <c r="V222" s="79"/>
      <c r="W222" s="79"/>
      <c r="Z222" s="130"/>
      <c r="AB222" s="106"/>
    </row>
    <row r="223">
      <c r="C223" s="79"/>
      <c r="D223" s="79"/>
      <c r="E223" s="79"/>
      <c r="M223" s="79"/>
      <c r="R223" s="79"/>
      <c r="S223" s="79"/>
      <c r="V223" s="79"/>
      <c r="W223" s="79"/>
      <c r="Z223" s="130"/>
      <c r="AB223" s="106"/>
    </row>
    <row r="224">
      <c r="C224" s="79"/>
      <c r="D224" s="79"/>
      <c r="E224" s="79"/>
      <c r="M224" s="79"/>
      <c r="R224" s="79"/>
      <c r="S224" s="79"/>
      <c r="V224" s="79"/>
      <c r="W224" s="79"/>
      <c r="Z224" s="130"/>
      <c r="AB224" s="106"/>
    </row>
    <row r="225">
      <c r="C225" s="79"/>
      <c r="D225" s="79"/>
      <c r="E225" s="79"/>
      <c r="M225" s="79"/>
      <c r="R225" s="79"/>
      <c r="S225" s="79"/>
      <c r="V225" s="79"/>
      <c r="W225" s="79"/>
      <c r="Z225" s="130"/>
      <c r="AB225" s="106"/>
    </row>
    <row r="226">
      <c r="C226" s="79"/>
      <c r="D226" s="79"/>
      <c r="E226" s="79"/>
      <c r="M226" s="79"/>
      <c r="R226" s="79"/>
      <c r="S226" s="79"/>
      <c r="V226" s="79"/>
      <c r="W226" s="79"/>
      <c r="Z226" s="130"/>
      <c r="AB226" s="106"/>
    </row>
    <row r="227">
      <c r="C227" s="79"/>
      <c r="D227" s="79"/>
      <c r="E227" s="79"/>
      <c r="M227" s="79"/>
      <c r="R227" s="79"/>
      <c r="S227" s="79"/>
      <c r="V227" s="79"/>
      <c r="W227" s="79"/>
      <c r="Z227" s="130"/>
      <c r="AB227" s="106"/>
    </row>
    <row r="228">
      <c r="C228" s="79"/>
      <c r="D228" s="79"/>
      <c r="E228" s="79"/>
      <c r="M228" s="79"/>
      <c r="R228" s="79"/>
      <c r="S228" s="79"/>
      <c r="V228" s="79"/>
      <c r="W228" s="79"/>
      <c r="Z228" s="130"/>
      <c r="AB228" s="106"/>
    </row>
    <row r="229">
      <c r="C229" s="79"/>
      <c r="D229" s="79"/>
      <c r="E229" s="79"/>
      <c r="M229" s="79"/>
      <c r="R229" s="79"/>
      <c r="S229" s="79"/>
      <c r="V229" s="79"/>
      <c r="W229" s="79"/>
      <c r="Z229" s="130"/>
      <c r="AB229" s="106"/>
    </row>
    <row r="230">
      <c r="C230" s="79"/>
      <c r="D230" s="79"/>
      <c r="E230" s="79"/>
      <c r="M230" s="79"/>
      <c r="R230" s="79"/>
      <c r="S230" s="79"/>
      <c r="V230" s="79"/>
      <c r="W230" s="79"/>
      <c r="Z230" s="130"/>
      <c r="AB230" s="106"/>
    </row>
    <row r="231">
      <c r="C231" s="79"/>
      <c r="D231" s="79"/>
      <c r="E231" s="79"/>
      <c r="M231" s="79"/>
      <c r="R231" s="79"/>
      <c r="S231" s="79"/>
      <c r="V231" s="79"/>
      <c r="W231" s="79"/>
      <c r="Z231" s="130"/>
      <c r="AB231" s="106"/>
    </row>
    <row r="232">
      <c r="C232" s="79"/>
      <c r="D232" s="79"/>
      <c r="E232" s="79"/>
      <c r="M232" s="79"/>
      <c r="R232" s="79"/>
      <c r="S232" s="79"/>
      <c r="V232" s="79"/>
      <c r="W232" s="79"/>
      <c r="Z232" s="130"/>
      <c r="AB232" s="106"/>
    </row>
    <row r="233">
      <c r="C233" s="79"/>
      <c r="D233" s="79"/>
      <c r="E233" s="79"/>
      <c r="M233" s="79"/>
      <c r="R233" s="79"/>
      <c r="S233" s="79"/>
      <c r="V233" s="79"/>
      <c r="W233" s="79"/>
      <c r="Z233" s="130"/>
      <c r="AB233" s="106"/>
    </row>
    <row r="234">
      <c r="C234" s="79"/>
      <c r="D234" s="79"/>
      <c r="E234" s="79"/>
      <c r="M234" s="79"/>
      <c r="R234" s="79"/>
      <c r="S234" s="79"/>
      <c r="V234" s="79"/>
      <c r="W234" s="79"/>
      <c r="Z234" s="130"/>
      <c r="AB234" s="106"/>
    </row>
    <row r="235">
      <c r="C235" s="79"/>
      <c r="D235" s="79"/>
      <c r="E235" s="79"/>
      <c r="M235" s="79"/>
      <c r="R235" s="79"/>
      <c r="S235" s="79"/>
      <c r="V235" s="79"/>
      <c r="W235" s="79"/>
      <c r="Z235" s="130"/>
      <c r="AB235" s="106"/>
    </row>
    <row r="236">
      <c r="C236" s="79"/>
      <c r="D236" s="79"/>
      <c r="E236" s="79"/>
      <c r="M236" s="79"/>
      <c r="R236" s="79"/>
      <c r="S236" s="79"/>
      <c r="V236" s="79"/>
      <c r="W236" s="79"/>
      <c r="Z236" s="130"/>
      <c r="AB236" s="106"/>
    </row>
    <row r="237">
      <c r="C237" s="79"/>
      <c r="D237" s="79"/>
      <c r="E237" s="79"/>
      <c r="M237" s="79"/>
      <c r="R237" s="79"/>
      <c r="S237" s="79"/>
      <c r="V237" s="79"/>
      <c r="W237" s="79"/>
      <c r="Z237" s="130"/>
      <c r="AB237" s="106"/>
    </row>
    <row r="238">
      <c r="C238" s="79"/>
      <c r="D238" s="79"/>
      <c r="E238" s="79"/>
      <c r="M238" s="79"/>
      <c r="R238" s="79"/>
      <c r="S238" s="79"/>
      <c r="V238" s="79"/>
      <c r="W238" s="79"/>
      <c r="Z238" s="130"/>
      <c r="AB238" s="106"/>
    </row>
    <row r="239">
      <c r="C239" s="79"/>
      <c r="D239" s="79"/>
      <c r="E239" s="79"/>
      <c r="M239" s="79"/>
      <c r="R239" s="79"/>
      <c r="S239" s="79"/>
      <c r="V239" s="79"/>
      <c r="W239" s="79"/>
      <c r="Z239" s="130"/>
      <c r="AB239" s="106"/>
    </row>
    <row r="240">
      <c r="C240" s="79"/>
      <c r="D240" s="79"/>
      <c r="E240" s="79"/>
      <c r="M240" s="79"/>
      <c r="R240" s="79"/>
      <c r="S240" s="79"/>
      <c r="V240" s="79"/>
      <c r="W240" s="79"/>
      <c r="Z240" s="130"/>
      <c r="AB240" s="106"/>
    </row>
    <row r="241">
      <c r="C241" s="79"/>
      <c r="D241" s="79"/>
      <c r="E241" s="79"/>
      <c r="M241" s="79"/>
      <c r="R241" s="79"/>
      <c r="S241" s="79"/>
      <c r="V241" s="79"/>
      <c r="W241" s="79"/>
      <c r="Z241" s="130"/>
      <c r="AB241" s="106"/>
    </row>
    <row r="242">
      <c r="C242" s="79"/>
      <c r="D242" s="79"/>
      <c r="E242" s="79"/>
      <c r="M242" s="79"/>
      <c r="R242" s="79"/>
      <c r="S242" s="79"/>
      <c r="V242" s="79"/>
      <c r="W242" s="79"/>
      <c r="Z242" s="130"/>
      <c r="AB242" s="106"/>
    </row>
    <row r="243">
      <c r="C243" s="79"/>
      <c r="D243" s="79"/>
      <c r="E243" s="79"/>
      <c r="M243" s="79"/>
      <c r="R243" s="79"/>
      <c r="S243" s="79"/>
      <c r="V243" s="79"/>
      <c r="W243" s="79"/>
      <c r="Z243" s="130"/>
      <c r="AB243" s="106"/>
    </row>
    <row r="244">
      <c r="C244" s="79"/>
      <c r="D244" s="79"/>
      <c r="E244" s="79"/>
      <c r="M244" s="79"/>
      <c r="R244" s="79"/>
      <c r="S244" s="79"/>
      <c r="V244" s="79"/>
      <c r="W244" s="79"/>
      <c r="Z244" s="130"/>
      <c r="AB244" s="106"/>
    </row>
    <row r="245">
      <c r="C245" s="79"/>
      <c r="D245" s="79"/>
      <c r="E245" s="79"/>
      <c r="M245" s="79"/>
      <c r="R245" s="79"/>
      <c r="S245" s="79"/>
      <c r="V245" s="79"/>
      <c r="W245" s="79"/>
      <c r="Z245" s="130"/>
      <c r="AB245" s="106"/>
    </row>
    <row r="246">
      <c r="C246" s="79"/>
      <c r="D246" s="79"/>
      <c r="E246" s="79"/>
      <c r="M246" s="79"/>
      <c r="R246" s="79"/>
      <c r="S246" s="79"/>
      <c r="V246" s="79"/>
      <c r="W246" s="79"/>
      <c r="Z246" s="130"/>
      <c r="AB246" s="106"/>
    </row>
    <row r="247">
      <c r="C247" s="79"/>
      <c r="D247" s="79"/>
      <c r="E247" s="79"/>
      <c r="M247" s="79"/>
      <c r="R247" s="79"/>
      <c r="S247" s="79"/>
      <c r="V247" s="79"/>
      <c r="W247" s="79"/>
      <c r="Z247" s="130"/>
      <c r="AB247" s="106"/>
    </row>
    <row r="248">
      <c r="C248" s="79"/>
      <c r="D248" s="79"/>
      <c r="E248" s="79"/>
      <c r="M248" s="79"/>
      <c r="R248" s="79"/>
      <c r="S248" s="79"/>
      <c r="V248" s="79"/>
      <c r="W248" s="79"/>
      <c r="Z248" s="130"/>
      <c r="AB248" s="106"/>
    </row>
    <row r="249">
      <c r="C249" s="79"/>
      <c r="D249" s="79"/>
      <c r="E249" s="79"/>
      <c r="M249" s="79"/>
      <c r="R249" s="79"/>
      <c r="S249" s="79"/>
      <c r="V249" s="79"/>
      <c r="W249" s="79"/>
      <c r="Z249" s="130"/>
      <c r="AB249" s="106"/>
    </row>
    <row r="250">
      <c r="C250" s="79"/>
      <c r="D250" s="79"/>
      <c r="E250" s="79"/>
      <c r="M250" s="79"/>
      <c r="R250" s="79"/>
      <c r="S250" s="79"/>
      <c r="V250" s="79"/>
      <c r="W250" s="79"/>
      <c r="Z250" s="130"/>
      <c r="AB250" s="106"/>
    </row>
    <row r="251">
      <c r="C251" s="79"/>
      <c r="D251" s="79"/>
      <c r="E251" s="79"/>
      <c r="M251" s="79"/>
      <c r="R251" s="79"/>
      <c r="S251" s="79"/>
      <c r="V251" s="79"/>
      <c r="W251" s="79"/>
      <c r="Z251" s="130"/>
      <c r="AB251" s="106"/>
    </row>
    <row r="252">
      <c r="C252" s="79"/>
      <c r="D252" s="79"/>
      <c r="E252" s="79"/>
      <c r="M252" s="79"/>
      <c r="R252" s="79"/>
      <c r="S252" s="79"/>
      <c r="V252" s="79"/>
      <c r="W252" s="79"/>
      <c r="Z252" s="130"/>
      <c r="AB252" s="106"/>
    </row>
    <row r="253">
      <c r="C253" s="79"/>
      <c r="D253" s="79"/>
      <c r="E253" s="79"/>
      <c r="M253" s="79"/>
      <c r="R253" s="79"/>
      <c r="S253" s="79"/>
      <c r="V253" s="79"/>
      <c r="W253" s="79"/>
      <c r="Z253" s="130"/>
      <c r="AB253" s="106"/>
    </row>
    <row r="254">
      <c r="C254" s="79"/>
      <c r="D254" s="79"/>
      <c r="E254" s="79"/>
      <c r="M254" s="79"/>
      <c r="R254" s="79"/>
      <c r="S254" s="79"/>
      <c r="V254" s="79"/>
      <c r="W254" s="79"/>
      <c r="Z254" s="130"/>
      <c r="AB254" s="106"/>
    </row>
    <row r="255">
      <c r="C255" s="79"/>
      <c r="D255" s="79"/>
      <c r="E255" s="79"/>
      <c r="M255" s="79"/>
      <c r="R255" s="79"/>
      <c r="S255" s="79"/>
      <c r="V255" s="79"/>
      <c r="W255" s="79"/>
      <c r="Z255" s="130"/>
      <c r="AB255" s="106"/>
    </row>
    <row r="256">
      <c r="C256" s="79"/>
      <c r="D256" s="79"/>
      <c r="E256" s="79"/>
      <c r="M256" s="79"/>
      <c r="R256" s="79"/>
      <c r="S256" s="79"/>
      <c r="V256" s="79"/>
      <c r="W256" s="79"/>
      <c r="Z256" s="130"/>
      <c r="AB256" s="106"/>
    </row>
    <row r="257">
      <c r="C257" s="79"/>
      <c r="D257" s="79"/>
      <c r="E257" s="79"/>
      <c r="M257" s="79"/>
      <c r="R257" s="79"/>
      <c r="S257" s="79"/>
      <c r="V257" s="79"/>
      <c r="W257" s="79"/>
      <c r="Z257" s="130"/>
      <c r="AB257" s="106"/>
    </row>
    <row r="258">
      <c r="C258" s="79"/>
      <c r="D258" s="79"/>
      <c r="E258" s="79"/>
      <c r="M258" s="79"/>
      <c r="R258" s="79"/>
      <c r="S258" s="79"/>
      <c r="V258" s="79"/>
      <c r="W258" s="79"/>
      <c r="Z258" s="130"/>
      <c r="AB258" s="106"/>
    </row>
    <row r="259">
      <c r="C259" s="79"/>
      <c r="D259" s="79"/>
      <c r="E259" s="79"/>
      <c r="M259" s="79"/>
      <c r="R259" s="79"/>
      <c r="S259" s="79"/>
      <c r="V259" s="79"/>
      <c r="W259" s="79"/>
      <c r="Z259" s="130"/>
      <c r="AB259" s="106"/>
    </row>
    <row r="260">
      <c r="C260" s="79"/>
      <c r="D260" s="79"/>
      <c r="E260" s="79"/>
      <c r="M260" s="79"/>
      <c r="R260" s="79"/>
      <c r="S260" s="79"/>
      <c r="V260" s="79"/>
      <c r="W260" s="79"/>
      <c r="Z260" s="130"/>
      <c r="AB260" s="106"/>
    </row>
    <row r="261">
      <c r="C261" s="79"/>
      <c r="D261" s="79"/>
      <c r="E261" s="79"/>
      <c r="M261" s="79"/>
      <c r="R261" s="79"/>
      <c r="S261" s="79"/>
      <c r="V261" s="79"/>
      <c r="W261" s="79"/>
      <c r="Z261" s="130"/>
      <c r="AB261" s="106"/>
    </row>
    <row r="262">
      <c r="C262" s="79"/>
      <c r="D262" s="79"/>
      <c r="E262" s="79"/>
      <c r="M262" s="79"/>
      <c r="R262" s="79"/>
      <c r="S262" s="79"/>
      <c r="V262" s="79"/>
      <c r="W262" s="79"/>
      <c r="Z262" s="130"/>
      <c r="AB262" s="106"/>
    </row>
    <row r="263">
      <c r="C263" s="79"/>
      <c r="D263" s="79"/>
      <c r="E263" s="79"/>
      <c r="M263" s="79"/>
      <c r="R263" s="79"/>
      <c r="S263" s="79"/>
      <c r="V263" s="79"/>
      <c r="W263" s="79"/>
      <c r="Z263" s="130"/>
      <c r="AB263" s="106"/>
    </row>
    <row r="264">
      <c r="C264" s="79"/>
      <c r="D264" s="79"/>
      <c r="E264" s="79"/>
      <c r="M264" s="79"/>
      <c r="R264" s="79"/>
      <c r="S264" s="79"/>
      <c r="V264" s="79"/>
      <c r="W264" s="79"/>
      <c r="Z264" s="130"/>
      <c r="AB264" s="106"/>
    </row>
    <row r="265">
      <c r="C265" s="79"/>
      <c r="D265" s="79"/>
      <c r="E265" s="79"/>
      <c r="M265" s="79"/>
      <c r="R265" s="79"/>
      <c r="S265" s="79"/>
      <c r="V265" s="79"/>
      <c r="W265" s="79"/>
      <c r="Z265" s="130"/>
      <c r="AB265" s="106"/>
    </row>
    <row r="266">
      <c r="C266" s="79"/>
      <c r="D266" s="79"/>
      <c r="E266" s="79"/>
      <c r="M266" s="79"/>
      <c r="R266" s="79"/>
      <c r="S266" s="79"/>
      <c r="V266" s="79"/>
      <c r="W266" s="79"/>
      <c r="Z266" s="130"/>
      <c r="AB266" s="106"/>
    </row>
    <row r="267">
      <c r="C267" s="79"/>
      <c r="D267" s="79"/>
      <c r="E267" s="79"/>
      <c r="M267" s="79"/>
      <c r="R267" s="79"/>
      <c r="S267" s="79"/>
      <c r="V267" s="79"/>
      <c r="W267" s="79"/>
      <c r="Z267" s="130"/>
      <c r="AB267" s="106"/>
    </row>
    <row r="268">
      <c r="C268" s="79"/>
      <c r="D268" s="79"/>
      <c r="E268" s="79"/>
      <c r="M268" s="79"/>
      <c r="R268" s="79"/>
      <c r="S268" s="79"/>
      <c r="V268" s="79"/>
      <c r="W268" s="79"/>
      <c r="Z268" s="130"/>
      <c r="AB268" s="106"/>
    </row>
    <row r="269">
      <c r="C269" s="79"/>
      <c r="D269" s="79"/>
      <c r="E269" s="79"/>
      <c r="M269" s="79"/>
      <c r="R269" s="79"/>
      <c r="S269" s="79"/>
      <c r="V269" s="79"/>
      <c r="W269" s="79"/>
      <c r="Z269" s="130"/>
      <c r="AB269" s="106"/>
    </row>
    <row r="270">
      <c r="C270" s="79"/>
      <c r="D270" s="79"/>
      <c r="E270" s="79"/>
      <c r="M270" s="79"/>
      <c r="R270" s="79"/>
      <c r="S270" s="79"/>
      <c r="V270" s="79"/>
      <c r="W270" s="79"/>
      <c r="Z270" s="130"/>
      <c r="AB270" s="106"/>
    </row>
    <row r="271">
      <c r="C271" s="79"/>
      <c r="D271" s="79"/>
      <c r="E271" s="79"/>
      <c r="M271" s="79"/>
      <c r="R271" s="79"/>
      <c r="S271" s="79"/>
      <c r="V271" s="79"/>
      <c r="W271" s="79"/>
      <c r="Z271" s="130"/>
      <c r="AB271" s="106"/>
    </row>
    <row r="272">
      <c r="C272" s="79"/>
      <c r="D272" s="79"/>
      <c r="E272" s="79"/>
      <c r="M272" s="79"/>
      <c r="R272" s="79"/>
      <c r="S272" s="79"/>
      <c r="V272" s="79"/>
      <c r="W272" s="79"/>
      <c r="Z272" s="130"/>
      <c r="AB272" s="106"/>
    </row>
    <row r="273">
      <c r="C273" s="79"/>
      <c r="D273" s="79"/>
      <c r="E273" s="79"/>
      <c r="M273" s="79"/>
      <c r="R273" s="79"/>
      <c r="S273" s="79"/>
      <c r="V273" s="79"/>
      <c r="W273" s="79"/>
      <c r="Z273" s="130"/>
      <c r="AB273" s="106"/>
    </row>
    <row r="274">
      <c r="C274" s="79"/>
      <c r="D274" s="79"/>
      <c r="E274" s="79"/>
      <c r="M274" s="79"/>
      <c r="R274" s="79"/>
      <c r="S274" s="79"/>
      <c r="V274" s="79"/>
      <c r="W274" s="79"/>
      <c r="Z274" s="130"/>
      <c r="AB274" s="106"/>
    </row>
    <row r="275">
      <c r="C275" s="79"/>
      <c r="D275" s="79"/>
      <c r="E275" s="79"/>
      <c r="M275" s="79"/>
      <c r="R275" s="79"/>
      <c r="S275" s="79"/>
      <c r="V275" s="79"/>
      <c r="W275" s="79"/>
      <c r="Z275" s="130"/>
      <c r="AB275" s="106"/>
    </row>
    <row r="276">
      <c r="C276" s="79"/>
      <c r="D276" s="79"/>
      <c r="E276" s="79"/>
      <c r="M276" s="79"/>
      <c r="R276" s="79"/>
      <c r="S276" s="79"/>
      <c r="V276" s="79"/>
      <c r="W276" s="79"/>
      <c r="Z276" s="130"/>
      <c r="AB276" s="106"/>
    </row>
    <row r="277">
      <c r="C277" s="79"/>
      <c r="D277" s="79"/>
      <c r="E277" s="79"/>
      <c r="M277" s="79"/>
      <c r="R277" s="79"/>
      <c r="S277" s="79"/>
      <c r="V277" s="79"/>
      <c r="W277" s="79"/>
      <c r="Z277" s="130"/>
      <c r="AB277" s="106"/>
    </row>
    <row r="278">
      <c r="C278" s="79"/>
      <c r="D278" s="79"/>
      <c r="E278" s="79"/>
      <c r="M278" s="79"/>
      <c r="R278" s="79"/>
      <c r="S278" s="79"/>
      <c r="V278" s="79"/>
      <c r="W278" s="79"/>
      <c r="Z278" s="130"/>
      <c r="AB278" s="106"/>
    </row>
    <row r="279">
      <c r="C279" s="79"/>
      <c r="D279" s="79"/>
      <c r="E279" s="79"/>
      <c r="M279" s="79"/>
      <c r="R279" s="79"/>
      <c r="S279" s="79"/>
      <c r="V279" s="79"/>
      <c r="W279" s="79"/>
      <c r="Z279" s="130"/>
      <c r="AB279" s="106"/>
    </row>
    <row r="280">
      <c r="C280" s="79"/>
      <c r="D280" s="79"/>
      <c r="E280" s="79"/>
      <c r="M280" s="79"/>
      <c r="R280" s="79"/>
      <c r="S280" s="79"/>
      <c r="V280" s="79"/>
      <c r="W280" s="79"/>
      <c r="Z280" s="130"/>
      <c r="AB280" s="106"/>
    </row>
    <row r="281">
      <c r="C281" s="79"/>
      <c r="D281" s="79"/>
      <c r="E281" s="79"/>
      <c r="M281" s="79"/>
      <c r="R281" s="79"/>
      <c r="S281" s="79"/>
      <c r="V281" s="79"/>
      <c r="W281" s="79"/>
      <c r="Z281" s="130"/>
      <c r="AB281" s="106"/>
    </row>
    <row r="282">
      <c r="C282" s="79"/>
      <c r="D282" s="79"/>
      <c r="E282" s="79"/>
      <c r="M282" s="79"/>
      <c r="R282" s="79"/>
      <c r="S282" s="79"/>
      <c r="V282" s="79"/>
      <c r="W282" s="79"/>
      <c r="Z282" s="130"/>
      <c r="AB282" s="106"/>
    </row>
    <row r="283">
      <c r="C283" s="79"/>
      <c r="D283" s="79"/>
      <c r="E283" s="79"/>
      <c r="M283" s="79"/>
      <c r="R283" s="79"/>
      <c r="S283" s="79"/>
      <c r="V283" s="79"/>
      <c r="W283" s="79"/>
      <c r="Z283" s="130"/>
      <c r="AB283" s="106"/>
    </row>
    <row r="284">
      <c r="C284" s="79"/>
      <c r="D284" s="79"/>
      <c r="E284" s="79"/>
      <c r="M284" s="79"/>
      <c r="R284" s="79"/>
      <c r="S284" s="79"/>
      <c r="V284" s="79"/>
      <c r="W284" s="79"/>
      <c r="Z284" s="130"/>
      <c r="AB284" s="106"/>
    </row>
    <row r="285">
      <c r="C285" s="79"/>
      <c r="D285" s="79"/>
      <c r="E285" s="79"/>
      <c r="M285" s="79"/>
      <c r="R285" s="79"/>
      <c r="S285" s="79"/>
      <c r="V285" s="79"/>
      <c r="W285" s="79"/>
      <c r="Z285" s="130"/>
      <c r="AB285" s="106"/>
    </row>
    <row r="286">
      <c r="C286" s="79"/>
      <c r="D286" s="79"/>
      <c r="E286" s="79"/>
      <c r="M286" s="79"/>
      <c r="R286" s="79"/>
      <c r="S286" s="79"/>
      <c r="V286" s="79"/>
      <c r="W286" s="79"/>
      <c r="Z286" s="130"/>
      <c r="AB286" s="106"/>
    </row>
    <row r="287">
      <c r="C287" s="79"/>
      <c r="D287" s="79"/>
      <c r="E287" s="79"/>
      <c r="M287" s="79"/>
      <c r="R287" s="79"/>
      <c r="S287" s="79"/>
      <c r="V287" s="79"/>
      <c r="W287" s="79"/>
      <c r="Z287" s="130"/>
      <c r="AB287" s="106"/>
    </row>
    <row r="288">
      <c r="C288" s="79"/>
      <c r="D288" s="79"/>
      <c r="E288" s="79"/>
      <c r="M288" s="79"/>
      <c r="R288" s="79"/>
      <c r="S288" s="79"/>
      <c r="V288" s="79"/>
      <c r="W288" s="79"/>
      <c r="Z288" s="130"/>
      <c r="AB288" s="106"/>
    </row>
    <row r="289">
      <c r="C289" s="79"/>
      <c r="D289" s="79"/>
      <c r="E289" s="79"/>
      <c r="M289" s="79"/>
      <c r="R289" s="79"/>
      <c r="S289" s="79"/>
      <c r="V289" s="79"/>
      <c r="W289" s="79"/>
      <c r="Z289" s="130"/>
      <c r="AB289" s="106"/>
    </row>
    <row r="290">
      <c r="C290" s="79"/>
      <c r="D290" s="79"/>
      <c r="E290" s="79"/>
      <c r="M290" s="79"/>
      <c r="R290" s="79"/>
      <c r="S290" s="79"/>
      <c r="V290" s="79"/>
      <c r="W290" s="79"/>
      <c r="Z290" s="130"/>
      <c r="AB290" s="106"/>
    </row>
    <row r="291">
      <c r="C291" s="79"/>
      <c r="D291" s="79"/>
      <c r="E291" s="79"/>
      <c r="M291" s="79"/>
      <c r="R291" s="79"/>
      <c r="S291" s="79"/>
      <c r="V291" s="79"/>
      <c r="W291" s="79"/>
      <c r="Z291" s="130"/>
      <c r="AB291" s="106"/>
    </row>
    <row r="292">
      <c r="C292" s="79"/>
      <c r="D292" s="79"/>
      <c r="E292" s="79"/>
      <c r="M292" s="79"/>
      <c r="R292" s="79"/>
      <c r="S292" s="79"/>
      <c r="V292" s="79"/>
      <c r="W292" s="79"/>
      <c r="Z292" s="130"/>
      <c r="AB292" s="106"/>
    </row>
    <row r="293">
      <c r="C293" s="79"/>
      <c r="D293" s="79"/>
      <c r="E293" s="79"/>
      <c r="M293" s="79"/>
      <c r="R293" s="79"/>
      <c r="S293" s="79"/>
      <c r="V293" s="79"/>
      <c r="W293" s="79"/>
      <c r="Z293" s="130"/>
      <c r="AB293" s="106"/>
    </row>
    <row r="294">
      <c r="C294" s="79"/>
      <c r="D294" s="79"/>
      <c r="E294" s="79"/>
      <c r="M294" s="79"/>
      <c r="R294" s="79"/>
      <c r="S294" s="79"/>
      <c r="V294" s="79"/>
      <c r="W294" s="79"/>
      <c r="Z294" s="130"/>
      <c r="AB294" s="106"/>
    </row>
    <row r="295">
      <c r="C295" s="79"/>
      <c r="D295" s="79"/>
      <c r="E295" s="79"/>
      <c r="M295" s="79"/>
      <c r="R295" s="79"/>
      <c r="S295" s="79"/>
      <c r="V295" s="79"/>
      <c r="W295" s="79"/>
      <c r="Z295" s="130"/>
      <c r="AB295" s="106"/>
    </row>
    <row r="296">
      <c r="C296" s="79"/>
      <c r="D296" s="79"/>
      <c r="E296" s="79"/>
      <c r="M296" s="79"/>
      <c r="R296" s="79"/>
      <c r="S296" s="79"/>
      <c r="V296" s="79"/>
      <c r="W296" s="79"/>
      <c r="Z296" s="130"/>
      <c r="AB296" s="106"/>
    </row>
    <row r="297">
      <c r="C297" s="79"/>
      <c r="D297" s="79"/>
      <c r="E297" s="79"/>
      <c r="M297" s="79"/>
      <c r="R297" s="79"/>
      <c r="S297" s="79"/>
      <c r="V297" s="79"/>
      <c r="W297" s="79"/>
      <c r="Z297" s="130"/>
      <c r="AB297" s="106"/>
    </row>
    <row r="298">
      <c r="C298" s="79"/>
      <c r="D298" s="79"/>
      <c r="E298" s="79"/>
      <c r="M298" s="79"/>
      <c r="R298" s="79"/>
      <c r="S298" s="79"/>
      <c r="V298" s="79"/>
      <c r="W298" s="79"/>
      <c r="Z298" s="130"/>
      <c r="AB298" s="106"/>
    </row>
    <row r="299">
      <c r="C299" s="79"/>
      <c r="D299" s="79"/>
      <c r="E299" s="79"/>
      <c r="M299" s="79"/>
      <c r="R299" s="79"/>
      <c r="S299" s="79"/>
      <c r="V299" s="79"/>
      <c r="W299" s="79"/>
      <c r="Z299" s="130"/>
      <c r="AB299" s="106"/>
    </row>
    <row r="300">
      <c r="C300" s="79"/>
      <c r="D300" s="79"/>
      <c r="E300" s="79"/>
      <c r="M300" s="79"/>
      <c r="R300" s="79"/>
      <c r="S300" s="79"/>
      <c r="V300" s="79"/>
      <c r="W300" s="79"/>
      <c r="Z300" s="130"/>
      <c r="AB300" s="106"/>
    </row>
    <row r="301">
      <c r="C301" s="79"/>
      <c r="D301" s="79"/>
      <c r="E301" s="79"/>
      <c r="M301" s="79"/>
      <c r="R301" s="79"/>
      <c r="S301" s="79"/>
      <c r="V301" s="79"/>
      <c r="W301" s="79"/>
      <c r="Z301" s="130"/>
      <c r="AB301" s="106"/>
    </row>
    <row r="302">
      <c r="C302" s="79"/>
      <c r="D302" s="79"/>
      <c r="E302" s="79"/>
      <c r="M302" s="79"/>
      <c r="R302" s="79"/>
      <c r="S302" s="79"/>
      <c r="V302" s="79"/>
      <c r="W302" s="79"/>
      <c r="Z302" s="130"/>
      <c r="AB302" s="106"/>
    </row>
    <row r="303">
      <c r="C303" s="79"/>
      <c r="D303" s="79"/>
      <c r="E303" s="79"/>
      <c r="M303" s="79"/>
      <c r="R303" s="79"/>
      <c r="S303" s="79"/>
      <c r="V303" s="79"/>
      <c r="W303" s="79"/>
      <c r="Z303" s="130"/>
      <c r="AB303" s="106"/>
    </row>
    <row r="304">
      <c r="C304" s="79"/>
      <c r="D304" s="79"/>
      <c r="E304" s="79"/>
      <c r="M304" s="79"/>
      <c r="R304" s="79"/>
      <c r="S304" s="79"/>
      <c r="V304" s="79"/>
      <c r="W304" s="79"/>
      <c r="Z304" s="130"/>
      <c r="AB304" s="106"/>
    </row>
    <row r="305">
      <c r="C305" s="79"/>
      <c r="D305" s="79"/>
      <c r="E305" s="79"/>
      <c r="M305" s="79"/>
      <c r="R305" s="79"/>
      <c r="S305" s="79"/>
      <c r="V305" s="79"/>
      <c r="W305" s="79"/>
      <c r="Z305" s="130"/>
      <c r="AB305" s="106"/>
    </row>
    <row r="306">
      <c r="C306" s="79"/>
      <c r="D306" s="79"/>
      <c r="E306" s="79"/>
      <c r="M306" s="79"/>
      <c r="R306" s="79"/>
      <c r="S306" s="79"/>
      <c r="V306" s="79"/>
      <c r="W306" s="79"/>
      <c r="Z306" s="130"/>
      <c r="AB306" s="106"/>
    </row>
    <row r="307">
      <c r="C307" s="79"/>
      <c r="D307" s="79"/>
      <c r="E307" s="79"/>
      <c r="M307" s="79"/>
      <c r="R307" s="79"/>
      <c r="S307" s="79"/>
      <c r="V307" s="79"/>
      <c r="W307" s="79"/>
      <c r="Z307" s="130"/>
      <c r="AB307" s="106"/>
    </row>
    <row r="308">
      <c r="C308" s="79"/>
      <c r="D308" s="79"/>
      <c r="E308" s="79"/>
      <c r="M308" s="79"/>
      <c r="R308" s="79"/>
      <c r="S308" s="79"/>
      <c r="V308" s="79"/>
      <c r="W308" s="79"/>
      <c r="Z308" s="130"/>
      <c r="AB308" s="106"/>
    </row>
    <row r="309">
      <c r="C309" s="79"/>
      <c r="D309" s="79"/>
      <c r="E309" s="79"/>
      <c r="M309" s="79"/>
      <c r="R309" s="79"/>
      <c r="S309" s="79"/>
      <c r="V309" s="79"/>
      <c r="W309" s="79"/>
      <c r="Z309" s="130"/>
      <c r="AB309" s="106"/>
    </row>
    <row r="310">
      <c r="C310" s="79"/>
      <c r="D310" s="79"/>
      <c r="E310" s="79"/>
      <c r="M310" s="79"/>
      <c r="R310" s="79"/>
      <c r="S310" s="79"/>
      <c r="V310" s="79"/>
      <c r="W310" s="79"/>
      <c r="Z310" s="130"/>
      <c r="AB310" s="106"/>
    </row>
    <row r="311">
      <c r="C311" s="79"/>
      <c r="D311" s="79"/>
      <c r="E311" s="79"/>
      <c r="M311" s="79"/>
      <c r="R311" s="79"/>
      <c r="S311" s="79"/>
      <c r="V311" s="79"/>
      <c r="W311" s="79"/>
      <c r="Z311" s="130"/>
      <c r="AB311" s="106"/>
    </row>
    <row r="312">
      <c r="C312" s="79"/>
      <c r="D312" s="79"/>
      <c r="E312" s="79"/>
      <c r="M312" s="79"/>
      <c r="R312" s="79"/>
      <c r="S312" s="79"/>
      <c r="V312" s="79"/>
      <c r="W312" s="79"/>
      <c r="Z312" s="130"/>
      <c r="AB312" s="106"/>
    </row>
    <row r="313">
      <c r="C313" s="79"/>
      <c r="D313" s="79"/>
      <c r="E313" s="79"/>
      <c r="M313" s="79"/>
      <c r="R313" s="79"/>
      <c r="S313" s="79"/>
      <c r="V313" s="79"/>
      <c r="W313" s="79"/>
      <c r="Z313" s="130"/>
      <c r="AB313" s="106"/>
    </row>
    <row r="314">
      <c r="C314" s="79"/>
      <c r="D314" s="79"/>
      <c r="E314" s="79"/>
      <c r="M314" s="79"/>
      <c r="R314" s="79"/>
      <c r="S314" s="79"/>
      <c r="V314" s="79"/>
      <c r="W314" s="79"/>
      <c r="Z314" s="130"/>
      <c r="AB314" s="106"/>
    </row>
    <row r="315">
      <c r="C315" s="79"/>
      <c r="D315" s="79"/>
      <c r="E315" s="79"/>
      <c r="M315" s="79"/>
      <c r="R315" s="79"/>
      <c r="S315" s="79"/>
      <c r="V315" s="79"/>
      <c r="W315" s="79"/>
      <c r="Z315" s="130"/>
      <c r="AB315" s="106"/>
    </row>
    <row r="316">
      <c r="C316" s="79"/>
      <c r="D316" s="79"/>
      <c r="E316" s="79"/>
      <c r="M316" s="79"/>
      <c r="R316" s="79"/>
      <c r="S316" s="79"/>
      <c r="V316" s="79"/>
      <c r="W316" s="79"/>
      <c r="Z316" s="130"/>
      <c r="AB316" s="106"/>
    </row>
    <row r="317">
      <c r="C317" s="79"/>
      <c r="D317" s="79"/>
      <c r="E317" s="79"/>
      <c r="M317" s="79"/>
      <c r="R317" s="79"/>
      <c r="S317" s="79"/>
      <c r="V317" s="79"/>
      <c r="W317" s="79"/>
      <c r="Z317" s="130"/>
      <c r="AB317" s="106"/>
    </row>
    <row r="318">
      <c r="C318" s="79"/>
      <c r="D318" s="79"/>
      <c r="E318" s="79"/>
      <c r="M318" s="79"/>
      <c r="R318" s="79"/>
      <c r="S318" s="79"/>
      <c r="V318" s="79"/>
      <c r="W318" s="79"/>
      <c r="Z318" s="130"/>
      <c r="AB318" s="106"/>
    </row>
    <row r="319">
      <c r="C319" s="79"/>
      <c r="D319" s="79"/>
      <c r="E319" s="79"/>
      <c r="M319" s="79"/>
      <c r="R319" s="79"/>
      <c r="S319" s="79"/>
      <c r="V319" s="79"/>
      <c r="W319" s="79"/>
      <c r="Z319" s="130"/>
      <c r="AB319" s="106"/>
    </row>
    <row r="320">
      <c r="C320" s="79"/>
      <c r="D320" s="79"/>
      <c r="E320" s="79"/>
      <c r="M320" s="79"/>
      <c r="R320" s="79"/>
      <c r="S320" s="79"/>
      <c r="V320" s="79"/>
      <c r="W320" s="79"/>
      <c r="Z320" s="130"/>
      <c r="AB320" s="106"/>
    </row>
    <row r="321">
      <c r="C321" s="79"/>
      <c r="D321" s="79"/>
      <c r="E321" s="79"/>
      <c r="M321" s="79"/>
      <c r="R321" s="79"/>
      <c r="S321" s="79"/>
      <c r="V321" s="79"/>
      <c r="W321" s="79"/>
      <c r="Z321" s="130"/>
      <c r="AB321" s="106"/>
    </row>
    <row r="322">
      <c r="C322" s="79"/>
      <c r="D322" s="79"/>
      <c r="E322" s="79"/>
      <c r="M322" s="79"/>
      <c r="R322" s="79"/>
      <c r="S322" s="79"/>
      <c r="V322" s="79"/>
      <c r="W322" s="79"/>
      <c r="Z322" s="130"/>
      <c r="AB322" s="106"/>
    </row>
    <row r="323">
      <c r="C323" s="79"/>
      <c r="D323" s="79"/>
      <c r="E323" s="79"/>
      <c r="M323" s="79"/>
      <c r="R323" s="79"/>
      <c r="S323" s="79"/>
      <c r="V323" s="79"/>
      <c r="W323" s="79"/>
      <c r="Z323" s="130"/>
      <c r="AB323" s="106"/>
    </row>
    <row r="324">
      <c r="C324" s="79"/>
      <c r="D324" s="79"/>
      <c r="E324" s="79"/>
      <c r="M324" s="79"/>
      <c r="R324" s="79"/>
      <c r="S324" s="79"/>
      <c r="V324" s="79"/>
      <c r="W324" s="79"/>
      <c r="Z324" s="130"/>
      <c r="AB324" s="106"/>
    </row>
    <row r="325">
      <c r="C325" s="79"/>
      <c r="D325" s="79"/>
      <c r="E325" s="79"/>
      <c r="M325" s="79"/>
      <c r="R325" s="79"/>
      <c r="S325" s="79"/>
      <c r="V325" s="79"/>
      <c r="W325" s="79"/>
      <c r="Z325" s="130"/>
      <c r="AB325" s="106"/>
    </row>
    <row r="326">
      <c r="C326" s="79"/>
      <c r="D326" s="79"/>
      <c r="E326" s="79"/>
      <c r="M326" s="79"/>
      <c r="R326" s="79"/>
      <c r="S326" s="79"/>
      <c r="V326" s="79"/>
      <c r="W326" s="79"/>
      <c r="Z326" s="130"/>
      <c r="AB326" s="106"/>
    </row>
    <row r="327">
      <c r="C327" s="79"/>
      <c r="D327" s="79"/>
      <c r="E327" s="79"/>
      <c r="M327" s="79"/>
      <c r="R327" s="79"/>
      <c r="S327" s="79"/>
      <c r="V327" s="79"/>
      <c r="W327" s="79"/>
      <c r="Z327" s="130"/>
      <c r="AB327" s="106"/>
    </row>
    <row r="328">
      <c r="C328" s="79"/>
      <c r="D328" s="79"/>
      <c r="E328" s="79"/>
      <c r="M328" s="79"/>
      <c r="R328" s="79"/>
      <c r="S328" s="79"/>
      <c r="V328" s="79"/>
      <c r="W328" s="79"/>
      <c r="Z328" s="130"/>
      <c r="AB328" s="106"/>
    </row>
    <row r="329">
      <c r="C329" s="79"/>
      <c r="D329" s="79"/>
      <c r="E329" s="79"/>
      <c r="M329" s="79"/>
      <c r="R329" s="79"/>
      <c r="S329" s="79"/>
      <c r="V329" s="79"/>
      <c r="W329" s="79"/>
      <c r="Z329" s="130"/>
      <c r="AB329" s="106"/>
    </row>
    <row r="330">
      <c r="C330" s="79"/>
      <c r="D330" s="79"/>
      <c r="E330" s="79"/>
      <c r="M330" s="79"/>
      <c r="R330" s="79"/>
      <c r="S330" s="79"/>
      <c r="V330" s="79"/>
      <c r="W330" s="79"/>
      <c r="Z330" s="130"/>
      <c r="AB330" s="106"/>
    </row>
    <row r="331">
      <c r="C331" s="79"/>
      <c r="D331" s="79"/>
      <c r="E331" s="79"/>
      <c r="M331" s="79"/>
      <c r="R331" s="79"/>
      <c r="S331" s="79"/>
      <c r="V331" s="79"/>
      <c r="W331" s="79"/>
      <c r="Z331" s="130"/>
      <c r="AB331" s="106"/>
    </row>
    <row r="332">
      <c r="C332" s="79"/>
      <c r="D332" s="79"/>
      <c r="E332" s="79"/>
      <c r="M332" s="79"/>
      <c r="R332" s="79"/>
      <c r="S332" s="79"/>
      <c r="V332" s="79"/>
      <c r="W332" s="79"/>
      <c r="Z332" s="130"/>
      <c r="AB332" s="106"/>
    </row>
    <row r="333">
      <c r="C333" s="79"/>
      <c r="D333" s="79"/>
      <c r="E333" s="79"/>
      <c r="M333" s="79"/>
      <c r="R333" s="79"/>
      <c r="S333" s="79"/>
      <c r="V333" s="79"/>
      <c r="W333" s="79"/>
      <c r="Z333" s="130"/>
      <c r="AB333" s="106"/>
    </row>
    <row r="334">
      <c r="C334" s="79"/>
      <c r="D334" s="79"/>
      <c r="E334" s="79"/>
      <c r="M334" s="79"/>
      <c r="R334" s="79"/>
      <c r="S334" s="79"/>
      <c r="V334" s="79"/>
      <c r="W334" s="79"/>
      <c r="Z334" s="130"/>
      <c r="AB334" s="106"/>
    </row>
    <row r="335">
      <c r="C335" s="79"/>
      <c r="D335" s="79"/>
      <c r="E335" s="79"/>
      <c r="M335" s="79"/>
      <c r="R335" s="79"/>
      <c r="S335" s="79"/>
      <c r="V335" s="79"/>
      <c r="W335" s="79"/>
      <c r="Z335" s="130"/>
      <c r="AB335" s="106"/>
    </row>
    <row r="336">
      <c r="C336" s="79"/>
      <c r="D336" s="79"/>
      <c r="E336" s="79"/>
      <c r="M336" s="79"/>
      <c r="R336" s="79"/>
      <c r="S336" s="79"/>
      <c r="V336" s="79"/>
      <c r="W336" s="79"/>
      <c r="Z336" s="130"/>
      <c r="AB336" s="106"/>
    </row>
    <row r="337">
      <c r="C337" s="79"/>
      <c r="D337" s="79"/>
      <c r="E337" s="79"/>
      <c r="M337" s="79"/>
      <c r="R337" s="79"/>
      <c r="S337" s="79"/>
      <c r="V337" s="79"/>
      <c r="W337" s="79"/>
      <c r="Z337" s="130"/>
      <c r="AB337" s="106"/>
    </row>
    <row r="338">
      <c r="C338" s="79"/>
      <c r="D338" s="79"/>
      <c r="E338" s="79"/>
      <c r="M338" s="79"/>
      <c r="R338" s="79"/>
      <c r="S338" s="79"/>
      <c r="V338" s="79"/>
      <c r="W338" s="79"/>
      <c r="Z338" s="130"/>
      <c r="AB338" s="106"/>
    </row>
    <row r="339">
      <c r="C339" s="79"/>
      <c r="D339" s="79"/>
      <c r="E339" s="79"/>
      <c r="M339" s="79"/>
      <c r="R339" s="79"/>
      <c r="S339" s="79"/>
      <c r="V339" s="79"/>
      <c r="W339" s="79"/>
      <c r="Z339" s="130"/>
      <c r="AB339" s="106"/>
    </row>
    <row r="340">
      <c r="C340" s="79"/>
      <c r="D340" s="79"/>
      <c r="E340" s="79"/>
      <c r="M340" s="79"/>
      <c r="R340" s="79"/>
      <c r="S340" s="79"/>
      <c r="V340" s="79"/>
      <c r="W340" s="79"/>
      <c r="Z340" s="130"/>
      <c r="AB340" s="106"/>
    </row>
    <row r="341">
      <c r="C341" s="79"/>
      <c r="D341" s="79"/>
      <c r="E341" s="79"/>
      <c r="M341" s="79"/>
      <c r="R341" s="79"/>
      <c r="S341" s="79"/>
      <c r="V341" s="79"/>
      <c r="W341" s="79"/>
      <c r="Z341" s="130"/>
      <c r="AB341" s="106"/>
    </row>
    <row r="342">
      <c r="C342" s="79"/>
      <c r="D342" s="79"/>
      <c r="E342" s="79"/>
      <c r="M342" s="79"/>
      <c r="R342" s="79"/>
      <c r="S342" s="79"/>
      <c r="V342" s="79"/>
      <c r="W342" s="79"/>
      <c r="Z342" s="130"/>
      <c r="AB342" s="106"/>
    </row>
    <row r="343">
      <c r="C343" s="79"/>
      <c r="D343" s="79"/>
      <c r="E343" s="79"/>
      <c r="M343" s="79"/>
      <c r="R343" s="79"/>
      <c r="S343" s="79"/>
      <c r="V343" s="79"/>
      <c r="W343" s="79"/>
      <c r="Z343" s="130"/>
      <c r="AB343" s="106"/>
    </row>
    <row r="344">
      <c r="C344" s="79"/>
      <c r="D344" s="79"/>
      <c r="E344" s="79"/>
      <c r="M344" s="79"/>
      <c r="R344" s="79"/>
      <c r="S344" s="79"/>
      <c r="V344" s="79"/>
      <c r="W344" s="79"/>
      <c r="Z344" s="130"/>
      <c r="AB344" s="106"/>
    </row>
    <row r="345">
      <c r="C345" s="79"/>
      <c r="D345" s="79"/>
      <c r="E345" s="79"/>
      <c r="M345" s="79"/>
      <c r="R345" s="79"/>
      <c r="S345" s="79"/>
      <c r="V345" s="79"/>
      <c r="W345" s="79"/>
      <c r="Z345" s="130"/>
      <c r="AB345" s="106"/>
    </row>
    <row r="346">
      <c r="C346" s="79"/>
      <c r="D346" s="79"/>
      <c r="E346" s="79"/>
      <c r="M346" s="79"/>
      <c r="R346" s="79"/>
      <c r="S346" s="79"/>
      <c r="V346" s="79"/>
      <c r="W346" s="79"/>
      <c r="Z346" s="130"/>
      <c r="AB346" s="106"/>
    </row>
    <row r="347">
      <c r="C347" s="79"/>
      <c r="D347" s="79"/>
      <c r="E347" s="79"/>
      <c r="M347" s="79"/>
      <c r="R347" s="79"/>
      <c r="S347" s="79"/>
      <c r="V347" s="79"/>
      <c r="W347" s="79"/>
      <c r="Z347" s="130"/>
      <c r="AB347" s="106"/>
    </row>
    <row r="348">
      <c r="C348" s="79"/>
      <c r="D348" s="79"/>
      <c r="E348" s="79"/>
      <c r="M348" s="79"/>
      <c r="R348" s="79"/>
      <c r="S348" s="79"/>
      <c r="V348" s="79"/>
      <c r="W348" s="79"/>
      <c r="Z348" s="130"/>
      <c r="AB348" s="106"/>
    </row>
    <row r="349">
      <c r="C349" s="79"/>
      <c r="D349" s="79"/>
      <c r="E349" s="79"/>
      <c r="M349" s="79"/>
      <c r="R349" s="79"/>
      <c r="S349" s="79"/>
      <c r="V349" s="79"/>
      <c r="W349" s="79"/>
      <c r="Z349" s="130"/>
      <c r="AB349" s="106"/>
    </row>
    <row r="350">
      <c r="C350" s="79"/>
      <c r="D350" s="79"/>
      <c r="E350" s="79"/>
      <c r="M350" s="79"/>
      <c r="R350" s="79"/>
      <c r="S350" s="79"/>
      <c r="V350" s="79"/>
      <c r="W350" s="79"/>
      <c r="Z350" s="130"/>
      <c r="AB350" s="106"/>
    </row>
    <row r="351">
      <c r="C351" s="79"/>
      <c r="D351" s="79"/>
      <c r="E351" s="79"/>
      <c r="M351" s="79"/>
      <c r="R351" s="79"/>
      <c r="S351" s="79"/>
      <c r="V351" s="79"/>
      <c r="W351" s="79"/>
      <c r="Z351" s="130"/>
      <c r="AB351" s="106"/>
    </row>
    <row r="352">
      <c r="C352" s="79"/>
      <c r="D352" s="79"/>
      <c r="E352" s="79"/>
      <c r="M352" s="79"/>
      <c r="R352" s="79"/>
      <c r="S352" s="79"/>
      <c r="V352" s="79"/>
      <c r="W352" s="79"/>
      <c r="Z352" s="130"/>
      <c r="AB352" s="106"/>
    </row>
    <row r="353">
      <c r="C353" s="79"/>
      <c r="D353" s="79"/>
      <c r="E353" s="79"/>
      <c r="M353" s="79"/>
      <c r="R353" s="79"/>
      <c r="S353" s="79"/>
      <c r="V353" s="79"/>
      <c r="W353" s="79"/>
      <c r="Z353" s="130"/>
      <c r="AB353" s="106"/>
    </row>
    <row r="354">
      <c r="C354" s="79"/>
      <c r="D354" s="79"/>
      <c r="E354" s="79"/>
      <c r="M354" s="79"/>
      <c r="R354" s="79"/>
      <c r="S354" s="79"/>
      <c r="V354" s="79"/>
      <c r="W354" s="79"/>
      <c r="Z354" s="130"/>
      <c r="AB354" s="106"/>
    </row>
    <row r="355">
      <c r="C355" s="79"/>
      <c r="D355" s="79"/>
      <c r="E355" s="79"/>
      <c r="M355" s="79"/>
      <c r="R355" s="79"/>
      <c r="S355" s="79"/>
      <c r="V355" s="79"/>
      <c r="W355" s="79"/>
      <c r="Z355" s="130"/>
      <c r="AB355" s="106"/>
    </row>
    <row r="356">
      <c r="C356" s="79"/>
      <c r="D356" s="79"/>
      <c r="E356" s="79"/>
      <c r="M356" s="79"/>
      <c r="R356" s="79"/>
      <c r="S356" s="79"/>
      <c r="V356" s="79"/>
      <c r="W356" s="79"/>
      <c r="Z356" s="130"/>
      <c r="AB356" s="106"/>
    </row>
    <row r="357">
      <c r="C357" s="79"/>
      <c r="D357" s="79"/>
      <c r="E357" s="79"/>
      <c r="M357" s="79"/>
      <c r="R357" s="79"/>
      <c r="S357" s="79"/>
      <c r="V357" s="79"/>
      <c r="W357" s="79"/>
      <c r="Z357" s="130"/>
      <c r="AB357" s="106"/>
    </row>
    <row r="358">
      <c r="C358" s="79"/>
      <c r="D358" s="79"/>
      <c r="E358" s="79"/>
      <c r="M358" s="79"/>
      <c r="R358" s="79"/>
      <c r="S358" s="79"/>
      <c r="V358" s="79"/>
      <c r="W358" s="79"/>
      <c r="Z358" s="130"/>
      <c r="AB358" s="106"/>
    </row>
    <row r="359">
      <c r="C359" s="79"/>
      <c r="D359" s="79"/>
      <c r="E359" s="79"/>
      <c r="M359" s="79"/>
      <c r="R359" s="79"/>
      <c r="S359" s="79"/>
      <c r="V359" s="79"/>
      <c r="W359" s="79"/>
      <c r="Z359" s="130"/>
      <c r="AB359" s="106"/>
    </row>
    <row r="360">
      <c r="C360" s="79"/>
      <c r="D360" s="79"/>
      <c r="E360" s="79"/>
      <c r="M360" s="79"/>
      <c r="R360" s="79"/>
      <c r="S360" s="79"/>
      <c r="V360" s="79"/>
      <c r="W360" s="79"/>
      <c r="Z360" s="130"/>
      <c r="AB360" s="106"/>
    </row>
    <row r="361">
      <c r="C361" s="79"/>
      <c r="D361" s="79"/>
      <c r="E361" s="79"/>
      <c r="M361" s="79"/>
      <c r="R361" s="79"/>
      <c r="S361" s="79"/>
      <c r="V361" s="79"/>
      <c r="W361" s="79"/>
      <c r="Z361" s="130"/>
      <c r="AB361" s="106"/>
    </row>
    <row r="362">
      <c r="C362" s="79"/>
      <c r="D362" s="79"/>
      <c r="E362" s="79"/>
      <c r="M362" s="79"/>
      <c r="R362" s="79"/>
      <c r="S362" s="79"/>
      <c r="V362" s="79"/>
      <c r="W362" s="79"/>
      <c r="Z362" s="130"/>
      <c r="AB362" s="106"/>
    </row>
    <row r="363">
      <c r="C363" s="79"/>
      <c r="D363" s="79"/>
      <c r="E363" s="79"/>
      <c r="M363" s="79"/>
      <c r="R363" s="79"/>
      <c r="S363" s="79"/>
      <c r="V363" s="79"/>
      <c r="W363" s="79"/>
      <c r="Z363" s="130"/>
      <c r="AB363" s="106"/>
    </row>
    <row r="364">
      <c r="C364" s="79"/>
      <c r="D364" s="79"/>
      <c r="E364" s="79"/>
      <c r="M364" s="79"/>
      <c r="R364" s="79"/>
      <c r="S364" s="79"/>
      <c r="V364" s="79"/>
      <c r="W364" s="79"/>
      <c r="Z364" s="130"/>
      <c r="AB364" s="106"/>
    </row>
    <row r="365">
      <c r="C365" s="79"/>
      <c r="D365" s="79"/>
      <c r="E365" s="79"/>
      <c r="M365" s="79"/>
      <c r="R365" s="79"/>
      <c r="S365" s="79"/>
      <c r="V365" s="79"/>
      <c r="W365" s="79"/>
      <c r="Z365" s="130"/>
      <c r="AB365" s="106"/>
    </row>
    <row r="366">
      <c r="C366" s="79"/>
      <c r="D366" s="79"/>
      <c r="E366" s="79"/>
      <c r="M366" s="79"/>
      <c r="R366" s="79"/>
      <c r="S366" s="79"/>
      <c r="V366" s="79"/>
      <c r="W366" s="79"/>
      <c r="Z366" s="130"/>
      <c r="AB366" s="106"/>
    </row>
    <row r="367">
      <c r="C367" s="79"/>
      <c r="D367" s="79"/>
      <c r="E367" s="79"/>
      <c r="M367" s="79"/>
      <c r="R367" s="79"/>
      <c r="S367" s="79"/>
      <c r="V367" s="79"/>
      <c r="W367" s="79"/>
      <c r="Z367" s="130"/>
      <c r="AB367" s="106"/>
    </row>
    <row r="368">
      <c r="C368" s="79"/>
      <c r="D368" s="79"/>
      <c r="E368" s="79"/>
      <c r="M368" s="79"/>
      <c r="R368" s="79"/>
      <c r="S368" s="79"/>
      <c r="V368" s="79"/>
      <c r="W368" s="79"/>
      <c r="Z368" s="130"/>
      <c r="AB368" s="106"/>
    </row>
    <row r="369">
      <c r="C369" s="79"/>
      <c r="D369" s="79"/>
      <c r="E369" s="79"/>
      <c r="M369" s="79"/>
      <c r="R369" s="79"/>
      <c r="S369" s="79"/>
      <c r="V369" s="79"/>
      <c r="W369" s="79"/>
      <c r="Z369" s="130"/>
      <c r="AB369" s="106"/>
    </row>
    <row r="370">
      <c r="C370" s="79"/>
      <c r="D370" s="79"/>
      <c r="E370" s="79"/>
      <c r="M370" s="79"/>
      <c r="R370" s="79"/>
      <c r="S370" s="79"/>
      <c r="V370" s="79"/>
      <c r="W370" s="79"/>
      <c r="Z370" s="130"/>
      <c r="AB370" s="106"/>
    </row>
    <row r="371">
      <c r="C371" s="79"/>
      <c r="D371" s="79"/>
      <c r="E371" s="79"/>
      <c r="M371" s="79"/>
      <c r="R371" s="79"/>
      <c r="S371" s="79"/>
      <c r="V371" s="79"/>
      <c r="W371" s="79"/>
      <c r="Z371" s="130"/>
      <c r="AB371" s="106"/>
    </row>
    <row r="372">
      <c r="C372" s="79"/>
      <c r="D372" s="79"/>
      <c r="E372" s="79"/>
      <c r="M372" s="79"/>
      <c r="R372" s="79"/>
      <c r="S372" s="79"/>
      <c r="V372" s="79"/>
      <c r="W372" s="79"/>
      <c r="Z372" s="130"/>
      <c r="AB372" s="106"/>
    </row>
    <row r="373">
      <c r="C373" s="79"/>
      <c r="D373" s="79"/>
      <c r="E373" s="79"/>
      <c r="M373" s="79"/>
      <c r="R373" s="79"/>
      <c r="S373" s="79"/>
      <c r="V373" s="79"/>
      <c r="W373" s="79"/>
      <c r="Z373" s="130"/>
      <c r="AB373" s="106"/>
    </row>
    <row r="374">
      <c r="C374" s="79"/>
      <c r="D374" s="79"/>
      <c r="E374" s="79"/>
      <c r="M374" s="79"/>
      <c r="R374" s="79"/>
      <c r="S374" s="79"/>
      <c r="V374" s="79"/>
      <c r="W374" s="79"/>
      <c r="Z374" s="130"/>
      <c r="AB374" s="106"/>
    </row>
    <row r="375">
      <c r="C375" s="79"/>
      <c r="D375" s="79"/>
      <c r="E375" s="79"/>
      <c r="M375" s="79"/>
      <c r="R375" s="79"/>
      <c r="S375" s="79"/>
      <c r="V375" s="79"/>
      <c r="W375" s="79"/>
      <c r="Z375" s="130"/>
      <c r="AB375" s="106"/>
    </row>
    <row r="376">
      <c r="C376" s="79"/>
      <c r="D376" s="79"/>
      <c r="E376" s="79"/>
      <c r="M376" s="79"/>
      <c r="R376" s="79"/>
      <c r="S376" s="79"/>
      <c r="V376" s="79"/>
      <c r="W376" s="79"/>
      <c r="Z376" s="130"/>
      <c r="AB376" s="106"/>
    </row>
    <row r="377">
      <c r="C377" s="79"/>
      <c r="D377" s="79"/>
      <c r="E377" s="79"/>
      <c r="M377" s="79"/>
      <c r="R377" s="79"/>
      <c r="S377" s="79"/>
      <c r="V377" s="79"/>
      <c r="W377" s="79"/>
      <c r="Z377" s="130"/>
      <c r="AB377" s="106"/>
    </row>
    <row r="378">
      <c r="C378" s="79"/>
      <c r="D378" s="79"/>
      <c r="E378" s="79"/>
      <c r="M378" s="79"/>
      <c r="R378" s="79"/>
      <c r="S378" s="79"/>
      <c r="V378" s="79"/>
      <c r="W378" s="79"/>
      <c r="Z378" s="130"/>
      <c r="AB378" s="106"/>
    </row>
    <row r="379">
      <c r="C379" s="79"/>
      <c r="D379" s="79"/>
      <c r="E379" s="79"/>
      <c r="M379" s="79"/>
      <c r="R379" s="79"/>
      <c r="S379" s="79"/>
      <c r="V379" s="79"/>
      <c r="W379" s="79"/>
      <c r="Z379" s="130"/>
      <c r="AB379" s="106"/>
    </row>
    <row r="380">
      <c r="C380" s="79"/>
      <c r="D380" s="79"/>
      <c r="E380" s="79"/>
      <c r="M380" s="79"/>
      <c r="R380" s="79"/>
      <c r="S380" s="79"/>
      <c r="V380" s="79"/>
      <c r="W380" s="79"/>
      <c r="Z380" s="130"/>
      <c r="AB380" s="106"/>
    </row>
    <row r="381">
      <c r="C381" s="79"/>
      <c r="D381" s="79"/>
      <c r="E381" s="79"/>
      <c r="M381" s="79"/>
      <c r="R381" s="79"/>
      <c r="S381" s="79"/>
      <c r="V381" s="79"/>
      <c r="W381" s="79"/>
      <c r="Z381" s="130"/>
      <c r="AB381" s="106"/>
    </row>
    <row r="382">
      <c r="C382" s="79"/>
      <c r="D382" s="79"/>
      <c r="E382" s="79"/>
      <c r="M382" s="79"/>
      <c r="R382" s="79"/>
      <c r="S382" s="79"/>
      <c r="V382" s="79"/>
      <c r="W382" s="79"/>
      <c r="Z382" s="130"/>
      <c r="AB382" s="106"/>
    </row>
    <row r="383">
      <c r="C383" s="79"/>
      <c r="D383" s="79"/>
      <c r="E383" s="79"/>
      <c r="M383" s="79"/>
      <c r="R383" s="79"/>
      <c r="S383" s="79"/>
      <c r="V383" s="79"/>
      <c r="W383" s="79"/>
      <c r="Z383" s="130"/>
      <c r="AB383" s="106"/>
    </row>
    <row r="384">
      <c r="C384" s="79"/>
      <c r="D384" s="79"/>
      <c r="E384" s="79"/>
      <c r="M384" s="79"/>
      <c r="R384" s="79"/>
      <c r="S384" s="79"/>
      <c r="V384" s="79"/>
      <c r="W384" s="79"/>
      <c r="Z384" s="130"/>
      <c r="AB384" s="106"/>
    </row>
    <row r="385">
      <c r="C385" s="79"/>
      <c r="D385" s="79"/>
      <c r="E385" s="79"/>
      <c r="M385" s="79"/>
      <c r="R385" s="79"/>
      <c r="S385" s="79"/>
      <c r="V385" s="79"/>
      <c r="W385" s="79"/>
      <c r="Z385" s="130"/>
      <c r="AB385" s="106"/>
    </row>
    <row r="386">
      <c r="C386" s="79"/>
      <c r="D386" s="79"/>
      <c r="E386" s="79"/>
      <c r="M386" s="79"/>
      <c r="R386" s="79"/>
      <c r="S386" s="79"/>
      <c r="V386" s="79"/>
      <c r="W386" s="79"/>
      <c r="Z386" s="130"/>
      <c r="AB386" s="106"/>
    </row>
    <row r="387">
      <c r="C387" s="79"/>
      <c r="D387" s="79"/>
      <c r="E387" s="79"/>
      <c r="M387" s="79"/>
      <c r="R387" s="79"/>
      <c r="S387" s="79"/>
      <c r="V387" s="79"/>
      <c r="W387" s="79"/>
      <c r="Z387" s="130"/>
      <c r="AB387" s="106"/>
    </row>
    <row r="388">
      <c r="C388" s="79"/>
      <c r="D388" s="79"/>
      <c r="E388" s="79"/>
      <c r="M388" s="79"/>
      <c r="R388" s="79"/>
      <c r="S388" s="79"/>
      <c r="V388" s="79"/>
      <c r="W388" s="79"/>
      <c r="Z388" s="130"/>
      <c r="AB388" s="106"/>
    </row>
    <row r="389">
      <c r="C389" s="79"/>
      <c r="D389" s="79"/>
      <c r="E389" s="79"/>
      <c r="M389" s="79"/>
      <c r="R389" s="79"/>
      <c r="S389" s="79"/>
      <c r="V389" s="79"/>
      <c r="W389" s="79"/>
      <c r="Z389" s="130"/>
      <c r="AB389" s="106"/>
    </row>
    <row r="390">
      <c r="C390" s="79"/>
      <c r="D390" s="79"/>
      <c r="E390" s="79"/>
      <c r="M390" s="79"/>
      <c r="R390" s="79"/>
      <c r="S390" s="79"/>
      <c r="V390" s="79"/>
      <c r="W390" s="79"/>
      <c r="Z390" s="130"/>
      <c r="AB390" s="106"/>
    </row>
    <row r="391">
      <c r="C391" s="79"/>
      <c r="D391" s="79"/>
      <c r="E391" s="79"/>
      <c r="M391" s="79"/>
      <c r="R391" s="79"/>
      <c r="S391" s="79"/>
      <c r="V391" s="79"/>
      <c r="W391" s="79"/>
      <c r="Z391" s="130"/>
      <c r="AB391" s="106"/>
    </row>
    <row r="392">
      <c r="C392" s="79"/>
      <c r="D392" s="79"/>
      <c r="E392" s="79"/>
      <c r="M392" s="79"/>
      <c r="R392" s="79"/>
      <c r="S392" s="79"/>
      <c r="V392" s="79"/>
      <c r="W392" s="79"/>
      <c r="Z392" s="130"/>
      <c r="AB392" s="106"/>
    </row>
    <row r="393">
      <c r="C393" s="79"/>
      <c r="D393" s="79"/>
      <c r="E393" s="79"/>
      <c r="M393" s="79"/>
      <c r="R393" s="79"/>
      <c r="S393" s="79"/>
      <c r="V393" s="79"/>
      <c r="W393" s="79"/>
      <c r="Z393" s="130"/>
      <c r="AB393" s="106"/>
    </row>
    <row r="394">
      <c r="C394" s="79"/>
      <c r="D394" s="79"/>
      <c r="E394" s="79"/>
      <c r="M394" s="79"/>
      <c r="R394" s="79"/>
      <c r="S394" s="79"/>
      <c r="V394" s="79"/>
      <c r="W394" s="79"/>
      <c r="Z394" s="130"/>
      <c r="AB394" s="106"/>
    </row>
    <row r="395">
      <c r="C395" s="79"/>
      <c r="D395" s="79"/>
      <c r="E395" s="79"/>
      <c r="M395" s="79"/>
      <c r="R395" s="79"/>
      <c r="S395" s="79"/>
      <c r="V395" s="79"/>
      <c r="W395" s="79"/>
      <c r="Z395" s="130"/>
      <c r="AB395" s="106"/>
    </row>
    <row r="396">
      <c r="C396" s="79"/>
      <c r="D396" s="79"/>
      <c r="E396" s="79"/>
      <c r="M396" s="79"/>
      <c r="R396" s="79"/>
      <c r="S396" s="79"/>
      <c r="V396" s="79"/>
      <c r="W396" s="79"/>
      <c r="Z396" s="130"/>
      <c r="AB396" s="106"/>
    </row>
    <row r="397">
      <c r="C397" s="79"/>
      <c r="D397" s="79"/>
      <c r="E397" s="79"/>
      <c r="M397" s="79"/>
      <c r="R397" s="79"/>
      <c r="S397" s="79"/>
      <c r="V397" s="79"/>
      <c r="W397" s="79"/>
      <c r="Z397" s="130"/>
      <c r="AB397" s="106"/>
    </row>
    <row r="398">
      <c r="C398" s="79"/>
      <c r="D398" s="79"/>
      <c r="E398" s="79"/>
      <c r="M398" s="79"/>
      <c r="R398" s="79"/>
      <c r="S398" s="79"/>
      <c r="V398" s="79"/>
      <c r="W398" s="79"/>
      <c r="Z398" s="130"/>
      <c r="AB398" s="106"/>
    </row>
    <row r="399">
      <c r="C399" s="79"/>
      <c r="D399" s="79"/>
      <c r="E399" s="79"/>
      <c r="M399" s="79"/>
      <c r="R399" s="79"/>
      <c r="S399" s="79"/>
      <c r="V399" s="79"/>
      <c r="W399" s="79"/>
      <c r="Z399" s="130"/>
      <c r="AB399" s="106"/>
    </row>
    <row r="400">
      <c r="C400" s="79"/>
      <c r="D400" s="79"/>
      <c r="E400" s="79"/>
      <c r="M400" s="79"/>
      <c r="R400" s="79"/>
      <c r="S400" s="79"/>
      <c r="V400" s="79"/>
      <c r="W400" s="79"/>
      <c r="Z400" s="130"/>
      <c r="AB400" s="106"/>
    </row>
    <row r="401">
      <c r="C401" s="79"/>
      <c r="D401" s="79"/>
      <c r="E401" s="79"/>
      <c r="M401" s="79"/>
      <c r="R401" s="79"/>
      <c r="S401" s="79"/>
      <c r="V401" s="79"/>
      <c r="W401" s="79"/>
      <c r="Z401" s="130"/>
      <c r="AB401" s="106"/>
    </row>
    <row r="402">
      <c r="C402" s="79"/>
      <c r="D402" s="79"/>
      <c r="E402" s="79"/>
      <c r="M402" s="79"/>
      <c r="R402" s="79"/>
      <c r="S402" s="79"/>
      <c r="V402" s="79"/>
      <c r="W402" s="79"/>
      <c r="Z402" s="130"/>
      <c r="AB402" s="106"/>
    </row>
    <row r="403">
      <c r="C403" s="79"/>
      <c r="D403" s="79"/>
      <c r="E403" s="79"/>
      <c r="M403" s="79"/>
      <c r="R403" s="79"/>
      <c r="S403" s="79"/>
      <c r="V403" s="79"/>
      <c r="W403" s="79"/>
      <c r="Z403" s="130"/>
      <c r="AB403" s="106"/>
    </row>
    <row r="404">
      <c r="C404" s="79"/>
      <c r="D404" s="79"/>
      <c r="E404" s="79"/>
      <c r="M404" s="79"/>
      <c r="R404" s="79"/>
      <c r="S404" s="79"/>
      <c r="V404" s="79"/>
      <c r="W404" s="79"/>
      <c r="Z404" s="130"/>
      <c r="AB404" s="106"/>
    </row>
    <row r="405">
      <c r="C405" s="79"/>
      <c r="D405" s="79"/>
      <c r="E405" s="79"/>
      <c r="M405" s="79"/>
      <c r="R405" s="79"/>
      <c r="S405" s="79"/>
      <c r="V405" s="79"/>
      <c r="W405" s="79"/>
      <c r="Z405" s="130"/>
      <c r="AB405" s="106"/>
    </row>
    <row r="406">
      <c r="C406" s="79"/>
      <c r="D406" s="79"/>
      <c r="E406" s="79"/>
      <c r="M406" s="79"/>
      <c r="R406" s="79"/>
      <c r="S406" s="79"/>
      <c r="V406" s="79"/>
      <c r="W406" s="79"/>
      <c r="Z406" s="130"/>
      <c r="AB406" s="106"/>
    </row>
    <row r="407">
      <c r="C407" s="79"/>
      <c r="D407" s="79"/>
      <c r="E407" s="79"/>
      <c r="M407" s="79"/>
      <c r="R407" s="79"/>
      <c r="S407" s="79"/>
      <c r="V407" s="79"/>
      <c r="W407" s="79"/>
      <c r="Z407" s="130"/>
      <c r="AB407" s="106"/>
    </row>
    <row r="408">
      <c r="C408" s="79"/>
      <c r="D408" s="79"/>
      <c r="E408" s="79"/>
      <c r="M408" s="79"/>
      <c r="R408" s="79"/>
      <c r="S408" s="79"/>
      <c r="V408" s="79"/>
      <c r="W408" s="79"/>
      <c r="Z408" s="130"/>
      <c r="AB408" s="106"/>
    </row>
    <row r="409">
      <c r="C409" s="79"/>
      <c r="D409" s="79"/>
      <c r="E409" s="79"/>
      <c r="M409" s="79"/>
      <c r="R409" s="79"/>
      <c r="S409" s="79"/>
      <c r="V409" s="79"/>
      <c r="W409" s="79"/>
      <c r="Z409" s="130"/>
      <c r="AB409" s="106"/>
    </row>
    <row r="410">
      <c r="C410" s="79"/>
      <c r="D410" s="79"/>
      <c r="E410" s="79"/>
      <c r="M410" s="79"/>
      <c r="R410" s="79"/>
      <c r="S410" s="79"/>
      <c r="V410" s="79"/>
      <c r="W410" s="79"/>
      <c r="Z410" s="130"/>
      <c r="AB410" s="106"/>
    </row>
    <row r="411">
      <c r="C411" s="79"/>
      <c r="D411" s="79"/>
      <c r="E411" s="79"/>
      <c r="M411" s="79"/>
      <c r="R411" s="79"/>
      <c r="S411" s="79"/>
      <c r="V411" s="79"/>
      <c r="W411" s="79"/>
      <c r="Z411" s="130"/>
      <c r="AB411" s="106"/>
    </row>
    <row r="412">
      <c r="C412" s="79"/>
      <c r="D412" s="79"/>
      <c r="E412" s="79"/>
      <c r="M412" s="79"/>
      <c r="R412" s="79"/>
      <c r="S412" s="79"/>
      <c r="V412" s="79"/>
      <c r="W412" s="79"/>
      <c r="Z412" s="130"/>
      <c r="AB412" s="106"/>
    </row>
    <row r="413">
      <c r="C413" s="79"/>
      <c r="D413" s="79"/>
      <c r="E413" s="79"/>
      <c r="M413" s="79"/>
      <c r="R413" s="79"/>
      <c r="S413" s="79"/>
      <c r="V413" s="79"/>
      <c r="W413" s="79"/>
      <c r="Z413" s="130"/>
      <c r="AB413" s="106"/>
    </row>
    <row r="414">
      <c r="C414" s="79"/>
      <c r="D414" s="79"/>
      <c r="E414" s="79"/>
      <c r="M414" s="79"/>
      <c r="R414" s="79"/>
      <c r="S414" s="79"/>
      <c r="V414" s="79"/>
      <c r="W414" s="79"/>
      <c r="Z414" s="130"/>
      <c r="AB414" s="106"/>
    </row>
    <row r="415">
      <c r="C415" s="79"/>
      <c r="D415" s="79"/>
      <c r="E415" s="79"/>
      <c r="M415" s="79"/>
      <c r="R415" s="79"/>
      <c r="S415" s="79"/>
      <c r="V415" s="79"/>
      <c r="W415" s="79"/>
      <c r="Z415" s="130"/>
      <c r="AB415" s="106"/>
    </row>
    <row r="416">
      <c r="C416" s="79"/>
      <c r="D416" s="79"/>
      <c r="E416" s="79"/>
      <c r="M416" s="79"/>
      <c r="R416" s="79"/>
      <c r="S416" s="79"/>
      <c r="V416" s="79"/>
      <c r="W416" s="79"/>
      <c r="Z416" s="130"/>
      <c r="AB416" s="106"/>
    </row>
    <row r="417">
      <c r="C417" s="79"/>
      <c r="D417" s="79"/>
      <c r="E417" s="79"/>
      <c r="M417" s="79"/>
      <c r="R417" s="79"/>
      <c r="S417" s="79"/>
      <c r="V417" s="79"/>
      <c r="W417" s="79"/>
      <c r="Z417" s="130"/>
      <c r="AB417" s="106"/>
    </row>
    <row r="418">
      <c r="C418" s="79"/>
      <c r="D418" s="79"/>
      <c r="E418" s="79"/>
      <c r="M418" s="79"/>
      <c r="R418" s="79"/>
      <c r="S418" s="79"/>
      <c r="V418" s="79"/>
      <c r="W418" s="79"/>
      <c r="Z418" s="130"/>
      <c r="AB418" s="106"/>
    </row>
    <row r="419">
      <c r="C419" s="79"/>
      <c r="D419" s="79"/>
      <c r="E419" s="79"/>
      <c r="M419" s="79"/>
      <c r="R419" s="79"/>
      <c r="S419" s="79"/>
      <c r="V419" s="79"/>
      <c r="W419" s="79"/>
      <c r="Z419" s="130"/>
      <c r="AB419" s="106"/>
    </row>
    <row r="420">
      <c r="C420" s="79"/>
      <c r="D420" s="79"/>
      <c r="E420" s="79"/>
      <c r="M420" s="79"/>
      <c r="R420" s="79"/>
      <c r="S420" s="79"/>
      <c r="V420" s="79"/>
      <c r="W420" s="79"/>
      <c r="Z420" s="130"/>
      <c r="AB420" s="106"/>
    </row>
    <row r="421">
      <c r="C421" s="79"/>
      <c r="D421" s="79"/>
      <c r="E421" s="79"/>
      <c r="M421" s="79"/>
      <c r="R421" s="79"/>
      <c r="S421" s="79"/>
      <c r="V421" s="79"/>
      <c r="W421" s="79"/>
      <c r="Z421" s="130"/>
      <c r="AB421" s="106"/>
    </row>
    <row r="422">
      <c r="C422" s="79"/>
      <c r="D422" s="79"/>
      <c r="E422" s="79"/>
      <c r="M422" s="79"/>
      <c r="R422" s="79"/>
      <c r="S422" s="79"/>
      <c r="V422" s="79"/>
      <c r="W422" s="79"/>
      <c r="Z422" s="130"/>
      <c r="AB422" s="106"/>
    </row>
    <row r="423">
      <c r="C423" s="79"/>
      <c r="D423" s="79"/>
      <c r="E423" s="79"/>
      <c r="M423" s="79"/>
      <c r="R423" s="79"/>
      <c r="S423" s="79"/>
      <c r="V423" s="79"/>
      <c r="W423" s="79"/>
      <c r="Z423" s="130"/>
      <c r="AB423" s="106"/>
    </row>
    <row r="424">
      <c r="C424" s="79"/>
      <c r="D424" s="79"/>
      <c r="E424" s="79"/>
      <c r="M424" s="79"/>
      <c r="R424" s="79"/>
      <c r="S424" s="79"/>
      <c r="V424" s="79"/>
      <c r="W424" s="79"/>
      <c r="Z424" s="130"/>
      <c r="AB424" s="106"/>
    </row>
    <row r="425">
      <c r="C425" s="79"/>
      <c r="D425" s="79"/>
      <c r="E425" s="79"/>
      <c r="M425" s="79"/>
      <c r="R425" s="79"/>
      <c r="S425" s="79"/>
      <c r="V425" s="79"/>
      <c r="W425" s="79"/>
      <c r="Z425" s="130"/>
      <c r="AB425" s="106"/>
    </row>
    <row r="426">
      <c r="C426" s="79"/>
      <c r="D426" s="79"/>
      <c r="E426" s="79"/>
      <c r="M426" s="79"/>
      <c r="R426" s="79"/>
      <c r="S426" s="79"/>
      <c r="V426" s="79"/>
      <c r="W426" s="79"/>
      <c r="Z426" s="130"/>
      <c r="AB426" s="106"/>
    </row>
    <row r="427">
      <c r="C427" s="79"/>
      <c r="D427" s="79"/>
      <c r="E427" s="79"/>
      <c r="M427" s="79"/>
      <c r="R427" s="79"/>
      <c r="S427" s="79"/>
      <c r="V427" s="79"/>
      <c r="W427" s="79"/>
      <c r="Z427" s="130"/>
      <c r="AB427" s="106"/>
    </row>
    <row r="428">
      <c r="C428" s="79"/>
      <c r="D428" s="79"/>
      <c r="E428" s="79"/>
      <c r="M428" s="79"/>
      <c r="R428" s="79"/>
      <c r="S428" s="79"/>
      <c r="V428" s="79"/>
      <c r="W428" s="79"/>
      <c r="Z428" s="130"/>
      <c r="AB428" s="106"/>
    </row>
    <row r="429">
      <c r="C429" s="79"/>
      <c r="D429" s="79"/>
      <c r="E429" s="79"/>
      <c r="M429" s="79"/>
      <c r="R429" s="79"/>
      <c r="S429" s="79"/>
      <c r="V429" s="79"/>
      <c r="W429" s="79"/>
      <c r="Z429" s="130"/>
      <c r="AB429" s="106"/>
    </row>
    <row r="430">
      <c r="C430" s="79"/>
      <c r="D430" s="79"/>
      <c r="E430" s="79"/>
      <c r="M430" s="79"/>
      <c r="R430" s="79"/>
      <c r="S430" s="79"/>
      <c r="V430" s="79"/>
      <c r="W430" s="79"/>
      <c r="Z430" s="130"/>
      <c r="AB430" s="106"/>
    </row>
    <row r="431">
      <c r="C431" s="79"/>
      <c r="D431" s="79"/>
      <c r="E431" s="79"/>
      <c r="M431" s="79"/>
      <c r="R431" s="79"/>
      <c r="S431" s="79"/>
      <c r="V431" s="79"/>
      <c r="W431" s="79"/>
      <c r="Z431" s="130"/>
      <c r="AB431" s="106"/>
    </row>
    <row r="432">
      <c r="C432" s="79"/>
      <c r="D432" s="79"/>
      <c r="E432" s="79"/>
      <c r="M432" s="79"/>
      <c r="R432" s="79"/>
      <c r="S432" s="79"/>
      <c r="V432" s="79"/>
      <c r="W432" s="79"/>
      <c r="Z432" s="130"/>
      <c r="AB432" s="106"/>
    </row>
    <row r="433">
      <c r="C433" s="79"/>
      <c r="D433" s="79"/>
      <c r="E433" s="79"/>
      <c r="M433" s="79"/>
      <c r="R433" s="79"/>
      <c r="S433" s="79"/>
      <c r="V433" s="79"/>
      <c r="W433" s="79"/>
      <c r="Z433" s="130"/>
      <c r="AB433" s="106"/>
    </row>
    <row r="434">
      <c r="C434" s="79"/>
      <c r="D434" s="79"/>
      <c r="E434" s="79"/>
      <c r="M434" s="79"/>
      <c r="R434" s="79"/>
      <c r="S434" s="79"/>
      <c r="V434" s="79"/>
      <c r="W434" s="79"/>
      <c r="Z434" s="130"/>
      <c r="AB434" s="106"/>
    </row>
    <row r="435">
      <c r="C435" s="79"/>
      <c r="D435" s="79"/>
      <c r="E435" s="79"/>
      <c r="M435" s="79"/>
      <c r="R435" s="79"/>
      <c r="S435" s="79"/>
      <c r="V435" s="79"/>
      <c r="W435" s="79"/>
      <c r="Z435" s="130"/>
      <c r="AB435" s="106"/>
    </row>
    <row r="436">
      <c r="C436" s="79"/>
      <c r="D436" s="79"/>
      <c r="E436" s="79"/>
      <c r="M436" s="79"/>
      <c r="R436" s="79"/>
      <c r="S436" s="79"/>
      <c r="V436" s="79"/>
      <c r="W436" s="79"/>
      <c r="Z436" s="130"/>
      <c r="AB436" s="106"/>
    </row>
    <row r="437">
      <c r="C437" s="79"/>
      <c r="D437" s="79"/>
      <c r="E437" s="79"/>
      <c r="M437" s="79"/>
      <c r="R437" s="79"/>
      <c r="S437" s="79"/>
      <c r="V437" s="79"/>
      <c r="W437" s="79"/>
      <c r="Z437" s="130"/>
      <c r="AB437" s="106"/>
    </row>
    <row r="438">
      <c r="C438" s="79"/>
      <c r="D438" s="79"/>
      <c r="E438" s="79"/>
      <c r="M438" s="79"/>
      <c r="R438" s="79"/>
      <c r="S438" s="79"/>
      <c r="V438" s="79"/>
      <c r="W438" s="79"/>
      <c r="Z438" s="130"/>
      <c r="AB438" s="106"/>
    </row>
    <row r="439">
      <c r="C439" s="79"/>
      <c r="D439" s="79"/>
      <c r="E439" s="79"/>
      <c r="M439" s="79"/>
      <c r="R439" s="79"/>
      <c r="S439" s="79"/>
      <c r="V439" s="79"/>
      <c r="W439" s="79"/>
      <c r="Z439" s="130"/>
      <c r="AB439" s="106"/>
    </row>
    <row r="440">
      <c r="C440" s="79"/>
      <c r="D440" s="79"/>
      <c r="E440" s="79"/>
      <c r="M440" s="79"/>
      <c r="R440" s="79"/>
      <c r="S440" s="79"/>
      <c r="V440" s="79"/>
      <c r="W440" s="79"/>
      <c r="Z440" s="130"/>
      <c r="AB440" s="106"/>
    </row>
    <row r="441">
      <c r="C441" s="79"/>
      <c r="D441" s="79"/>
      <c r="E441" s="79"/>
      <c r="M441" s="79"/>
      <c r="R441" s="79"/>
      <c r="S441" s="79"/>
      <c r="V441" s="79"/>
      <c r="W441" s="79"/>
      <c r="Z441" s="130"/>
      <c r="AB441" s="106"/>
    </row>
    <row r="442">
      <c r="C442" s="79"/>
      <c r="D442" s="79"/>
      <c r="E442" s="79"/>
      <c r="M442" s="79"/>
      <c r="R442" s="79"/>
      <c r="S442" s="79"/>
      <c r="V442" s="79"/>
      <c r="W442" s="79"/>
      <c r="Z442" s="130"/>
      <c r="AB442" s="106"/>
    </row>
    <row r="443">
      <c r="C443" s="79"/>
      <c r="D443" s="79"/>
      <c r="E443" s="79"/>
      <c r="M443" s="79"/>
      <c r="R443" s="79"/>
      <c r="S443" s="79"/>
      <c r="V443" s="79"/>
      <c r="W443" s="79"/>
      <c r="Z443" s="130"/>
      <c r="AB443" s="106"/>
    </row>
    <row r="444">
      <c r="C444" s="79"/>
      <c r="D444" s="79"/>
      <c r="E444" s="79"/>
      <c r="M444" s="79"/>
      <c r="R444" s="79"/>
      <c r="S444" s="79"/>
      <c r="V444" s="79"/>
      <c r="W444" s="79"/>
      <c r="Z444" s="130"/>
      <c r="AB444" s="106"/>
    </row>
    <row r="445">
      <c r="C445" s="79"/>
      <c r="D445" s="79"/>
      <c r="E445" s="79"/>
      <c r="M445" s="79"/>
      <c r="R445" s="79"/>
      <c r="S445" s="79"/>
      <c r="V445" s="79"/>
      <c r="W445" s="79"/>
      <c r="Z445" s="130"/>
      <c r="AB445" s="106"/>
    </row>
    <row r="446">
      <c r="C446" s="79"/>
      <c r="D446" s="79"/>
      <c r="E446" s="79"/>
      <c r="M446" s="79"/>
      <c r="R446" s="79"/>
      <c r="S446" s="79"/>
      <c r="V446" s="79"/>
      <c r="W446" s="79"/>
      <c r="Z446" s="130"/>
      <c r="AB446" s="106"/>
    </row>
    <row r="447">
      <c r="C447" s="79"/>
      <c r="D447" s="79"/>
      <c r="E447" s="79"/>
      <c r="M447" s="79"/>
      <c r="R447" s="79"/>
      <c r="S447" s="79"/>
      <c r="V447" s="79"/>
      <c r="W447" s="79"/>
      <c r="Z447" s="130"/>
      <c r="AB447" s="106"/>
    </row>
    <row r="448">
      <c r="C448" s="79"/>
      <c r="D448" s="79"/>
      <c r="E448" s="79"/>
      <c r="M448" s="79"/>
      <c r="R448" s="79"/>
      <c r="S448" s="79"/>
      <c r="V448" s="79"/>
      <c r="W448" s="79"/>
      <c r="Z448" s="130"/>
      <c r="AB448" s="106"/>
    </row>
    <row r="449">
      <c r="C449" s="79"/>
      <c r="D449" s="79"/>
      <c r="E449" s="79"/>
      <c r="M449" s="79"/>
      <c r="R449" s="79"/>
      <c r="S449" s="79"/>
      <c r="V449" s="79"/>
      <c r="W449" s="79"/>
      <c r="Z449" s="130"/>
      <c r="AB449" s="106"/>
    </row>
    <row r="450">
      <c r="C450" s="79"/>
      <c r="D450" s="79"/>
      <c r="E450" s="79"/>
      <c r="M450" s="79"/>
      <c r="R450" s="79"/>
      <c r="S450" s="79"/>
      <c r="V450" s="79"/>
      <c r="W450" s="79"/>
      <c r="Z450" s="130"/>
      <c r="AB450" s="106"/>
    </row>
    <row r="451">
      <c r="C451" s="79"/>
      <c r="D451" s="79"/>
      <c r="E451" s="79"/>
      <c r="M451" s="79"/>
      <c r="R451" s="79"/>
      <c r="S451" s="79"/>
      <c r="V451" s="79"/>
      <c r="W451" s="79"/>
      <c r="Z451" s="130"/>
      <c r="AB451" s="106"/>
    </row>
    <row r="452">
      <c r="C452" s="79"/>
      <c r="D452" s="79"/>
      <c r="E452" s="79"/>
      <c r="M452" s="79"/>
      <c r="R452" s="79"/>
      <c r="S452" s="79"/>
      <c r="V452" s="79"/>
      <c r="W452" s="79"/>
      <c r="Z452" s="130"/>
      <c r="AB452" s="106"/>
    </row>
    <row r="453">
      <c r="C453" s="79"/>
      <c r="D453" s="79"/>
      <c r="E453" s="79"/>
      <c r="M453" s="79"/>
      <c r="R453" s="79"/>
      <c r="S453" s="79"/>
      <c r="V453" s="79"/>
      <c r="W453" s="79"/>
      <c r="Z453" s="130"/>
      <c r="AB453" s="106"/>
    </row>
    <row r="454">
      <c r="C454" s="79"/>
      <c r="D454" s="79"/>
      <c r="E454" s="79"/>
      <c r="M454" s="79"/>
      <c r="R454" s="79"/>
      <c r="S454" s="79"/>
      <c r="V454" s="79"/>
      <c r="W454" s="79"/>
      <c r="Z454" s="130"/>
      <c r="AB454" s="106"/>
    </row>
    <row r="455">
      <c r="C455" s="79"/>
      <c r="D455" s="79"/>
      <c r="E455" s="79"/>
      <c r="M455" s="79"/>
      <c r="R455" s="79"/>
      <c r="S455" s="79"/>
      <c r="V455" s="79"/>
      <c r="W455" s="79"/>
      <c r="Z455" s="130"/>
      <c r="AB455" s="106"/>
    </row>
    <row r="456">
      <c r="C456" s="79"/>
      <c r="D456" s="79"/>
      <c r="E456" s="79"/>
      <c r="M456" s="79"/>
      <c r="R456" s="79"/>
      <c r="S456" s="79"/>
      <c r="V456" s="79"/>
      <c r="W456" s="79"/>
      <c r="Z456" s="130"/>
      <c r="AB456" s="106"/>
    </row>
    <row r="457">
      <c r="C457" s="79"/>
      <c r="D457" s="79"/>
      <c r="E457" s="79"/>
      <c r="M457" s="79"/>
      <c r="R457" s="79"/>
      <c r="S457" s="79"/>
      <c r="V457" s="79"/>
      <c r="W457" s="79"/>
      <c r="Z457" s="130"/>
      <c r="AB457" s="106"/>
    </row>
    <row r="458">
      <c r="C458" s="79"/>
      <c r="D458" s="79"/>
      <c r="E458" s="79"/>
      <c r="M458" s="79"/>
      <c r="R458" s="79"/>
      <c r="S458" s="79"/>
      <c r="V458" s="79"/>
      <c r="W458" s="79"/>
      <c r="Z458" s="130"/>
      <c r="AB458" s="106"/>
    </row>
    <row r="459">
      <c r="C459" s="79"/>
      <c r="D459" s="79"/>
      <c r="E459" s="79"/>
      <c r="M459" s="79"/>
      <c r="R459" s="79"/>
      <c r="S459" s="79"/>
      <c r="V459" s="79"/>
      <c r="W459" s="79"/>
      <c r="Z459" s="130"/>
      <c r="AB459" s="106"/>
    </row>
    <row r="460">
      <c r="C460" s="79"/>
      <c r="D460" s="79"/>
      <c r="E460" s="79"/>
      <c r="M460" s="79"/>
      <c r="R460" s="79"/>
      <c r="S460" s="79"/>
      <c r="V460" s="79"/>
      <c r="W460" s="79"/>
      <c r="Z460" s="130"/>
      <c r="AB460" s="106"/>
    </row>
    <row r="461">
      <c r="C461" s="79"/>
      <c r="D461" s="79"/>
      <c r="E461" s="79"/>
      <c r="M461" s="79"/>
      <c r="R461" s="79"/>
      <c r="S461" s="79"/>
      <c r="V461" s="79"/>
      <c r="W461" s="79"/>
      <c r="Z461" s="130"/>
      <c r="AB461" s="106"/>
    </row>
    <row r="462">
      <c r="C462" s="79"/>
      <c r="D462" s="79"/>
      <c r="E462" s="79"/>
      <c r="M462" s="79"/>
      <c r="R462" s="79"/>
      <c r="S462" s="79"/>
      <c r="V462" s="79"/>
      <c r="W462" s="79"/>
      <c r="Z462" s="130"/>
      <c r="AB462" s="106"/>
    </row>
    <row r="463">
      <c r="C463" s="79"/>
      <c r="D463" s="79"/>
      <c r="E463" s="79"/>
      <c r="M463" s="79"/>
      <c r="R463" s="79"/>
      <c r="S463" s="79"/>
      <c r="V463" s="79"/>
      <c r="W463" s="79"/>
      <c r="Z463" s="130"/>
      <c r="AB463" s="106"/>
    </row>
    <row r="464">
      <c r="C464" s="79"/>
      <c r="D464" s="79"/>
      <c r="E464" s="79"/>
      <c r="M464" s="79"/>
      <c r="R464" s="79"/>
      <c r="S464" s="79"/>
      <c r="V464" s="79"/>
      <c r="W464" s="79"/>
      <c r="Z464" s="130"/>
      <c r="AB464" s="106"/>
    </row>
    <row r="465">
      <c r="C465" s="79"/>
      <c r="D465" s="79"/>
      <c r="E465" s="79"/>
      <c r="M465" s="79"/>
      <c r="R465" s="79"/>
      <c r="S465" s="79"/>
      <c r="V465" s="79"/>
      <c r="W465" s="79"/>
      <c r="Z465" s="130"/>
      <c r="AB465" s="106"/>
    </row>
    <row r="466">
      <c r="C466" s="79"/>
      <c r="D466" s="79"/>
      <c r="E466" s="79"/>
      <c r="M466" s="79"/>
      <c r="R466" s="79"/>
      <c r="S466" s="79"/>
      <c r="V466" s="79"/>
      <c r="W466" s="79"/>
      <c r="Z466" s="130"/>
      <c r="AB466" s="106"/>
    </row>
    <row r="467">
      <c r="C467" s="79"/>
      <c r="D467" s="79"/>
      <c r="E467" s="79"/>
      <c r="M467" s="79"/>
      <c r="R467" s="79"/>
      <c r="S467" s="79"/>
      <c r="V467" s="79"/>
      <c r="W467" s="79"/>
      <c r="Z467" s="130"/>
      <c r="AB467" s="106"/>
    </row>
    <row r="468">
      <c r="C468" s="79"/>
      <c r="D468" s="79"/>
      <c r="E468" s="79"/>
      <c r="M468" s="79"/>
      <c r="R468" s="79"/>
      <c r="S468" s="79"/>
      <c r="V468" s="79"/>
      <c r="W468" s="79"/>
      <c r="Z468" s="130"/>
      <c r="AB468" s="106"/>
    </row>
    <row r="469">
      <c r="C469" s="79"/>
      <c r="D469" s="79"/>
      <c r="E469" s="79"/>
      <c r="M469" s="79"/>
      <c r="R469" s="79"/>
      <c r="S469" s="79"/>
      <c r="V469" s="79"/>
      <c r="W469" s="79"/>
      <c r="Z469" s="130"/>
      <c r="AB469" s="106"/>
    </row>
    <row r="470">
      <c r="C470" s="79"/>
      <c r="D470" s="79"/>
      <c r="E470" s="79"/>
      <c r="M470" s="79"/>
      <c r="R470" s="79"/>
      <c r="S470" s="79"/>
      <c r="V470" s="79"/>
      <c r="W470" s="79"/>
      <c r="Z470" s="130"/>
      <c r="AB470" s="106"/>
    </row>
    <row r="471">
      <c r="C471" s="79"/>
      <c r="D471" s="79"/>
      <c r="E471" s="79"/>
      <c r="M471" s="79"/>
      <c r="R471" s="79"/>
      <c r="S471" s="79"/>
      <c r="V471" s="79"/>
      <c r="W471" s="79"/>
      <c r="Z471" s="130"/>
      <c r="AB471" s="106"/>
    </row>
    <row r="472">
      <c r="C472" s="79"/>
      <c r="D472" s="79"/>
      <c r="E472" s="79"/>
      <c r="M472" s="79"/>
      <c r="R472" s="79"/>
      <c r="S472" s="79"/>
      <c r="V472" s="79"/>
      <c r="W472" s="79"/>
      <c r="Z472" s="130"/>
      <c r="AB472" s="106"/>
    </row>
    <row r="473">
      <c r="C473" s="79"/>
      <c r="D473" s="79"/>
      <c r="E473" s="79"/>
      <c r="M473" s="79"/>
      <c r="R473" s="79"/>
      <c r="S473" s="79"/>
      <c r="V473" s="79"/>
      <c r="W473" s="79"/>
      <c r="Z473" s="130"/>
      <c r="AB473" s="106"/>
    </row>
    <row r="474">
      <c r="C474" s="79"/>
      <c r="D474" s="79"/>
      <c r="E474" s="79"/>
      <c r="M474" s="79"/>
      <c r="R474" s="79"/>
      <c r="S474" s="79"/>
      <c r="V474" s="79"/>
      <c r="W474" s="79"/>
      <c r="Z474" s="130"/>
      <c r="AB474" s="106"/>
    </row>
    <row r="475">
      <c r="C475" s="79"/>
      <c r="D475" s="79"/>
      <c r="E475" s="79"/>
      <c r="M475" s="79"/>
      <c r="R475" s="79"/>
      <c r="S475" s="79"/>
      <c r="V475" s="79"/>
      <c r="W475" s="79"/>
      <c r="Z475" s="130"/>
      <c r="AB475" s="106"/>
    </row>
    <row r="476">
      <c r="C476" s="79"/>
      <c r="D476" s="79"/>
      <c r="E476" s="79"/>
      <c r="M476" s="79"/>
      <c r="R476" s="79"/>
      <c r="S476" s="79"/>
      <c r="V476" s="79"/>
      <c r="W476" s="79"/>
      <c r="Z476" s="130"/>
      <c r="AB476" s="106"/>
    </row>
    <row r="477">
      <c r="C477" s="79"/>
      <c r="D477" s="79"/>
      <c r="E477" s="79"/>
      <c r="M477" s="79"/>
      <c r="R477" s="79"/>
      <c r="S477" s="79"/>
      <c r="V477" s="79"/>
      <c r="W477" s="79"/>
      <c r="Z477" s="130"/>
      <c r="AB477" s="106"/>
    </row>
    <row r="478">
      <c r="C478" s="79"/>
      <c r="D478" s="79"/>
      <c r="E478" s="79"/>
      <c r="M478" s="79"/>
      <c r="R478" s="79"/>
      <c r="S478" s="79"/>
      <c r="V478" s="79"/>
      <c r="W478" s="79"/>
      <c r="Z478" s="130"/>
      <c r="AB478" s="106"/>
    </row>
    <row r="479">
      <c r="C479" s="79"/>
      <c r="D479" s="79"/>
      <c r="E479" s="79"/>
      <c r="M479" s="79"/>
      <c r="R479" s="79"/>
      <c r="S479" s="79"/>
      <c r="V479" s="79"/>
      <c r="W479" s="79"/>
      <c r="Z479" s="130"/>
      <c r="AB479" s="106"/>
    </row>
    <row r="480">
      <c r="C480" s="79"/>
      <c r="D480" s="79"/>
      <c r="E480" s="79"/>
      <c r="M480" s="79"/>
      <c r="R480" s="79"/>
      <c r="S480" s="79"/>
      <c r="V480" s="79"/>
      <c r="W480" s="79"/>
      <c r="Z480" s="130"/>
      <c r="AB480" s="106"/>
    </row>
    <row r="481">
      <c r="C481" s="79"/>
      <c r="D481" s="79"/>
      <c r="E481" s="79"/>
      <c r="M481" s="79"/>
      <c r="R481" s="79"/>
      <c r="S481" s="79"/>
      <c r="V481" s="79"/>
      <c r="W481" s="79"/>
      <c r="Z481" s="130"/>
      <c r="AB481" s="106"/>
    </row>
    <row r="482">
      <c r="C482" s="79"/>
      <c r="D482" s="79"/>
      <c r="E482" s="79"/>
      <c r="M482" s="79"/>
      <c r="R482" s="79"/>
      <c r="S482" s="79"/>
      <c r="V482" s="79"/>
      <c r="W482" s="79"/>
      <c r="Z482" s="130"/>
      <c r="AB482" s="106"/>
    </row>
    <row r="483">
      <c r="C483" s="79"/>
      <c r="D483" s="79"/>
      <c r="E483" s="79"/>
      <c r="M483" s="79"/>
      <c r="R483" s="79"/>
      <c r="S483" s="79"/>
      <c r="V483" s="79"/>
      <c r="W483" s="79"/>
      <c r="Z483" s="130"/>
      <c r="AB483" s="106"/>
    </row>
    <row r="484">
      <c r="C484" s="79"/>
      <c r="D484" s="79"/>
      <c r="E484" s="79"/>
      <c r="M484" s="79"/>
      <c r="R484" s="79"/>
      <c r="S484" s="79"/>
      <c r="V484" s="79"/>
      <c r="W484" s="79"/>
      <c r="Z484" s="130"/>
      <c r="AB484" s="106"/>
    </row>
    <row r="485">
      <c r="C485" s="79"/>
      <c r="D485" s="79"/>
      <c r="E485" s="79"/>
      <c r="M485" s="79"/>
      <c r="R485" s="79"/>
      <c r="S485" s="79"/>
      <c r="V485" s="79"/>
      <c r="W485" s="79"/>
      <c r="Z485" s="130"/>
      <c r="AB485" s="106"/>
    </row>
    <row r="486">
      <c r="C486" s="79"/>
      <c r="D486" s="79"/>
      <c r="E486" s="79"/>
      <c r="M486" s="79"/>
      <c r="R486" s="79"/>
      <c r="S486" s="79"/>
      <c r="V486" s="79"/>
      <c r="W486" s="79"/>
      <c r="Z486" s="130"/>
      <c r="AB486" s="106"/>
    </row>
    <row r="487">
      <c r="C487" s="79"/>
      <c r="D487" s="79"/>
      <c r="E487" s="79"/>
      <c r="M487" s="79"/>
      <c r="R487" s="79"/>
      <c r="S487" s="79"/>
      <c r="V487" s="79"/>
      <c r="W487" s="79"/>
      <c r="Z487" s="130"/>
      <c r="AB487" s="106"/>
    </row>
    <row r="488">
      <c r="C488" s="79"/>
      <c r="D488" s="79"/>
      <c r="E488" s="79"/>
      <c r="M488" s="79"/>
      <c r="R488" s="79"/>
      <c r="S488" s="79"/>
      <c r="V488" s="79"/>
      <c r="W488" s="79"/>
      <c r="Z488" s="130"/>
      <c r="AB488" s="106"/>
    </row>
    <row r="489">
      <c r="C489" s="79"/>
      <c r="D489" s="79"/>
      <c r="E489" s="79"/>
      <c r="M489" s="79"/>
      <c r="R489" s="79"/>
      <c r="S489" s="79"/>
      <c r="V489" s="79"/>
      <c r="W489" s="79"/>
      <c r="Z489" s="130"/>
      <c r="AB489" s="106"/>
    </row>
    <row r="490">
      <c r="C490" s="79"/>
      <c r="D490" s="79"/>
      <c r="E490" s="79"/>
      <c r="M490" s="79"/>
      <c r="R490" s="79"/>
      <c r="S490" s="79"/>
      <c r="V490" s="79"/>
      <c r="W490" s="79"/>
      <c r="Z490" s="130"/>
      <c r="AB490" s="106"/>
    </row>
    <row r="491">
      <c r="C491" s="79"/>
      <c r="D491" s="79"/>
      <c r="E491" s="79"/>
      <c r="M491" s="79"/>
      <c r="R491" s="79"/>
      <c r="S491" s="79"/>
      <c r="V491" s="79"/>
      <c r="W491" s="79"/>
      <c r="Z491" s="130"/>
      <c r="AB491" s="106"/>
    </row>
    <row r="492">
      <c r="C492" s="79"/>
      <c r="D492" s="79"/>
      <c r="E492" s="79"/>
      <c r="M492" s="79"/>
      <c r="R492" s="79"/>
      <c r="S492" s="79"/>
      <c r="V492" s="79"/>
      <c r="W492" s="79"/>
      <c r="Z492" s="130"/>
      <c r="AB492" s="106"/>
    </row>
    <row r="493">
      <c r="C493" s="79"/>
      <c r="D493" s="79"/>
      <c r="E493" s="79"/>
      <c r="M493" s="79"/>
      <c r="R493" s="79"/>
      <c r="S493" s="79"/>
      <c r="V493" s="79"/>
      <c r="W493" s="79"/>
      <c r="Z493" s="130"/>
      <c r="AB493" s="106"/>
    </row>
    <row r="494">
      <c r="C494" s="79"/>
      <c r="D494" s="79"/>
      <c r="E494" s="79"/>
      <c r="M494" s="79"/>
      <c r="R494" s="79"/>
      <c r="S494" s="79"/>
      <c r="V494" s="79"/>
      <c r="W494" s="79"/>
      <c r="Z494" s="130"/>
      <c r="AB494" s="106"/>
    </row>
    <row r="495">
      <c r="C495" s="79"/>
      <c r="D495" s="79"/>
      <c r="E495" s="79"/>
      <c r="M495" s="79"/>
      <c r="R495" s="79"/>
      <c r="S495" s="79"/>
      <c r="V495" s="79"/>
      <c r="W495" s="79"/>
      <c r="Z495" s="130"/>
      <c r="AB495" s="106"/>
    </row>
    <row r="496">
      <c r="C496" s="79"/>
      <c r="D496" s="79"/>
      <c r="E496" s="79"/>
      <c r="M496" s="79"/>
      <c r="R496" s="79"/>
      <c r="S496" s="79"/>
      <c r="V496" s="79"/>
      <c r="W496" s="79"/>
      <c r="Z496" s="130"/>
      <c r="AB496" s="106"/>
    </row>
    <row r="497">
      <c r="C497" s="79"/>
      <c r="D497" s="79"/>
      <c r="E497" s="79"/>
      <c r="M497" s="79"/>
      <c r="R497" s="79"/>
      <c r="S497" s="79"/>
      <c r="V497" s="79"/>
      <c r="W497" s="79"/>
      <c r="Z497" s="130"/>
      <c r="AB497" s="106"/>
    </row>
    <row r="498">
      <c r="C498" s="79"/>
      <c r="D498" s="79"/>
      <c r="E498" s="79"/>
      <c r="M498" s="79"/>
      <c r="R498" s="79"/>
      <c r="S498" s="79"/>
      <c r="V498" s="79"/>
      <c r="W498" s="79"/>
      <c r="Z498" s="130"/>
      <c r="AB498" s="106"/>
    </row>
    <row r="499">
      <c r="C499" s="79"/>
      <c r="D499" s="79"/>
      <c r="E499" s="79"/>
      <c r="M499" s="79"/>
      <c r="R499" s="79"/>
      <c r="S499" s="79"/>
      <c r="V499" s="79"/>
      <c r="W499" s="79"/>
      <c r="Z499" s="130"/>
      <c r="AB499" s="106"/>
    </row>
    <row r="500">
      <c r="C500" s="79"/>
      <c r="D500" s="79"/>
      <c r="E500" s="79"/>
      <c r="M500" s="79"/>
      <c r="R500" s="79"/>
      <c r="S500" s="79"/>
      <c r="V500" s="79"/>
      <c r="W500" s="79"/>
      <c r="Z500" s="130"/>
      <c r="AB500" s="106"/>
    </row>
    <row r="501">
      <c r="C501" s="79"/>
      <c r="D501" s="79"/>
      <c r="E501" s="79"/>
      <c r="M501" s="79"/>
      <c r="R501" s="79"/>
      <c r="S501" s="79"/>
      <c r="V501" s="79"/>
      <c r="W501" s="79"/>
      <c r="Z501" s="130"/>
      <c r="AB501" s="106"/>
    </row>
    <row r="502">
      <c r="C502" s="79"/>
      <c r="D502" s="79"/>
      <c r="E502" s="79"/>
      <c r="M502" s="79"/>
      <c r="R502" s="79"/>
      <c r="S502" s="79"/>
      <c r="V502" s="79"/>
      <c r="W502" s="79"/>
      <c r="Z502" s="130"/>
      <c r="AB502" s="106"/>
    </row>
    <row r="503">
      <c r="C503" s="79"/>
      <c r="D503" s="79"/>
      <c r="E503" s="79"/>
      <c r="M503" s="79"/>
      <c r="R503" s="79"/>
      <c r="S503" s="79"/>
      <c r="V503" s="79"/>
      <c r="W503" s="79"/>
      <c r="Z503" s="130"/>
      <c r="AB503" s="106"/>
    </row>
    <row r="504">
      <c r="C504" s="79"/>
      <c r="D504" s="79"/>
      <c r="E504" s="79"/>
      <c r="M504" s="79"/>
      <c r="R504" s="79"/>
      <c r="S504" s="79"/>
      <c r="V504" s="79"/>
      <c r="W504" s="79"/>
      <c r="Z504" s="130"/>
      <c r="AB504" s="106"/>
    </row>
    <row r="505">
      <c r="C505" s="79"/>
      <c r="D505" s="79"/>
      <c r="E505" s="79"/>
      <c r="M505" s="79"/>
      <c r="R505" s="79"/>
      <c r="S505" s="79"/>
      <c r="V505" s="79"/>
      <c r="W505" s="79"/>
      <c r="Z505" s="130"/>
      <c r="AB505" s="106"/>
    </row>
    <row r="506">
      <c r="C506" s="79"/>
      <c r="D506" s="79"/>
      <c r="E506" s="79"/>
      <c r="M506" s="79"/>
      <c r="R506" s="79"/>
      <c r="S506" s="79"/>
      <c r="V506" s="79"/>
      <c r="W506" s="79"/>
      <c r="Z506" s="130"/>
      <c r="AB506" s="106"/>
    </row>
    <row r="507">
      <c r="C507" s="79"/>
      <c r="D507" s="79"/>
      <c r="E507" s="79"/>
      <c r="M507" s="79"/>
      <c r="R507" s="79"/>
      <c r="S507" s="79"/>
      <c r="V507" s="79"/>
      <c r="W507" s="79"/>
      <c r="Z507" s="130"/>
      <c r="AB507" s="106"/>
    </row>
    <row r="508">
      <c r="C508" s="79"/>
      <c r="D508" s="79"/>
      <c r="E508" s="79"/>
      <c r="M508" s="79"/>
      <c r="R508" s="79"/>
      <c r="S508" s="79"/>
      <c r="V508" s="79"/>
      <c r="W508" s="79"/>
      <c r="Z508" s="130"/>
      <c r="AB508" s="106"/>
    </row>
    <row r="509">
      <c r="C509" s="79"/>
      <c r="D509" s="79"/>
      <c r="E509" s="79"/>
      <c r="M509" s="79"/>
      <c r="R509" s="79"/>
      <c r="S509" s="79"/>
      <c r="V509" s="79"/>
      <c r="W509" s="79"/>
      <c r="Z509" s="130"/>
      <c r="AB509" s="106"/>
    </row>
    <row r="510">
      <c r="C510" s="79"/>
      <c r="D510" s="79"/>
      <c r="E510" s="79"/>
      <c r="M510" s="79"/>
      <c r="R510" s="79"/>
      <c r="S510" s="79"/>
      <c r="V510" s="79"/>
      <c r="W510" s="79"/>
      <c r="Z510" s="130"/>
      <c r="AB510" s="106"/>
    </row>
    <row r="511">
      <c r="C511" s="79"/>
      <c r="D511" s="79"/>
      <c r="E511" s="79"/>
      <c r="M511" s="79"/>
      <c r="R511" s="79"/>
      <c r="S511" s="79"/>
      <c r="V511" s="79"/>
      <c r="W511" s="79"/>
      <c r="Z511" s="130"/>
      <c r="AB511" s="106"/>
    </row>
    <row r="512">
      <c r="C512" s="79"/>
      <c r="D512" s="79"/>
      <c r="E512" s="79"/>
      <c r="M512" s="79"/>
      <c r="R512" s="79"/>
      <c r="S512" s="79"/>
      <c r="V512" s="79"/>
      <c r="W512" s="79"/>
      <c r="Z512" s="130"/>
      <c r="AB512" s="106"/>
    </row>
    <row r="513">
      <c r="C513" s="79"/>
      <c r="D513" s="79"/>
      <c r="E513" s="79"/>
      <c r="M513" s="79"/>
      <c r="R513" s="79"/>
      <c r="S513" s="79"/>
      <c r="V513" s="79"/>
      <c r="W513" s="79"/>
      <c r="Z513" s="130"/>
      <c r="AB513" s="106"/>
    </row>
    <row r="514">
      <c r="C514" s="79"/>
      <c r="D514" s="79"/>
      <c r="E514" s="79"/>
      <c r="M514" s="79"/>
      <c r="R514" s="79"/>
      <c r="S514" s="79"/>
      <c r="V514" s="79"/>
      <c r="W514" s="79"/>
      <c r="Z514" s="130"/>
      <c r="AB514" s="106"/>
    </row>
    <row r="515">
      <c r="C515" s="79"/>
      <c r="D515" s="79"/>
      <c r="E515" s="79"/>
      <c r="M515" s="79"/>
      <c r="R515" s="79"/>
      <c r="S515" s="79"/>
      <c r="V515" s="79"/>
      <c r="W515" s="79"/>
      <c r="Z515" s="130"/>
      <c r="AB515" s="106"/>
    </row>
    <row r="516">
      <c r="C516" s="79"/>
      <c r="D516" s="79"/>
      <c r="E516" s="79"/>
      <c r="M516" s="79"/>
      <c r="R516" s="79"/>
      <c r="S516" s="79"/>
      <c r="V516" s="79"/>
      <c r="W516" s="79"/>
      <c r="Z516" s="130"/>
      <c r="AB516" s="106"/>
    </row>
    <row r="517">
      <c r="C517" s="79"/>
      <c r="D517" s="79"/>
      <c r="E517" s="79"/>
      <c r="M517" s="79"/>
      <c r="R517" s="79"/>
      <c r="S517" s="79"/>
      <c r="V517" s="79"/>
      <c r="W517" s="79"/>
      <c r="Z517" s="130"/>
      <c r="AB517" s="106"/>
    </row>
    <row r="518">
      <c r="C518" s="79"/>
      <c r="D518" s="79"/>
      <c r="E518" s="79"/>
      <c r="M518" s="79"/>
      <c r="R518" s="79"/>
      <c r="S518" s="79"/>
      <c r="V518" s="79"/>
      <c r="W518" s="79"/>
      <c r="Z518" s="130"/>
      <c r="AB518" s="106"/>
    </row>
    <row r="519">
      <c r="C519" s="79"/>
      <c r="D519" s="79"/>
      <c r="E519" s="79"/>
      <c r="M519" s="79"/>
      <c r="R519" s="79"/>
      <c r="S519" s="79"/>
      <c r="V519" s="79"/>
      <c r="W519" s="79"/>
      <c r="Z519" s="130"/>
      <c r="AB519" s="106"/>
    </row>
    <row r="520">
      <c r="C520" s="79"/>
      <c r="D520" s="79"/>
      <c r="E520" s="79"/>
      <c r="M520" s="79"/>
      <c r="R520" s="79"/>
      <c r="S520" s="79"/>
      <c r="V520" s="79"/>
      <c r="W520" s="79"/>
      <c r="Z520" s="130"/>
      <c r="AB520" s="106"/>
    </row>
    <row r="521">
      <c r="C521" s="79"/>
      <c r="D521" s="79"/>
      <c r="E521" s="79"/>
      <c r="M521" s="79"/>
      <c r="R521" s="79"/>
      <c r="S521" s="79"/>
      <c r="V521" s="79"/>
      <c r="W521" s="79"/>
      <c r="Z521" s="130"/>
      <c r="AB521" s="106"/>
    </row>
    <row r="522">
      <c r="C522" s="79"/>
      <c r="D522" s="79"/>
      <c r="E522" s="79"/>
      <c r="M522" s="79"/>
      <c r="R522" s="79"/>
      <c r="S522" s="79"/>
      <c r="V522" s="79"/>
      <c r="W522" s="79"/>
      <c r="Z522" s="130"/>
      <c r="AB522" s="106"/>
    </row>
    <row r="523">
      <c r="C523" s="79"/>
      <c r="D523" s="79"/>
      <c r="E523" s="79"/>
      <c r="M523" s="79"/>
      <c r="R523" s="79"/>
      <c r="S523" s="79"/>
      <c r="V523" s="79"/>
      <c r="W523" s="79"/>
      <c r="Z523" s="130"/>
      <c r="AB523" s="106"/>
    </row>
    <row r="524">
      <c r="C524" s="79"/>
      <c r="D524" s="79"/>
      <c r="E524" s="79"/>
      <c r="M524" s="79"/>
      <c r="R524" s="79"/>
      <c r="S524" s="79"/>
      <c r="V524" s="79"/>
      <c r="W524" s="79"/>
      <c r="Z524" s="130"/>
      <c r="AB524" s="106"/>
    </row>
    <row r="525">
      <c r="C525" s="79"/>
      <c r="D525" s="79"/>
      <c r="E525" s="79"/>
      <c r="M525" s="79"/>
      <c r="R525" s="79"/>
      <c r="S525" s="79"/>
      <c r="V525" s="79"/>
      <c r="W525" s="79"/>
      <c r="Z525" s="130"/>
      <c r="AB525" s="106"/>
    </row>
    <row r="526">
      <c r="C526" s="79"/>
      <c r="D526" s="79"/>
      <c r="E526" s="79"/>
      <c r="M526" s="79"/>
      <c r="R526" s="79"/>
      <c r="S526" s="79"/>
      <c r="V526" s="79"/>
      <c r="W526" s="79"/>
      <c r="Z526" s="130"/>
      <c r="AB526" s="106"/>
    </row>
    <row r="527">
      <c r="C527" s="79"/>
      <c r="D527" s="79"/>
      <c r="E527" s="79"/>
      <c r="M527" s="79"/>
      <c r="R527" s="79"/>
      <c r="S527" s="79"/>
      <c r="V527" s="79"/>
      <c r="W527" s="79"/>
      <c r="Z527" s="130"/>
      <c r="AB527" s="106"/>
    </row>
    <row r="528">
      <c r="C528" s="79"/>
      <c r="D528" s="79"/>
      <c r="E528" s="79"/>
      <c r="M528" s="79"/>
      <c r="R528" s="79"/>
      <c r="S528" s="79"/>
      <c r="V528" s="79"/>
      <c r="W528" s="79"/>
      <c r="Z528" s="130"/>
      <c r="AB528" s="106"/>
    </row>
    <row r="529">
      <c r="C529" s="79"/>
      <c r="D529" s="79"/>
      <c r="E529" s="79"/>
      <c r="M529" s="79"/>
      <c r="R529" s="79"/>
      <c r="S529" s="79"/>
      <c r="V529" s="79"/>
      <c r="W529" s="79"/>
      <c r="Z529" s="130"/>
      <c r="AB529" s="106"/>
    </row>
    <row r="530">
      <c r="C530" s="79"/>
      <c r="D530" s="79"/>
      <c r="E530" s="79"/>
      <c r="M530" s="79"/>
      <c r="R530" s="79"/>
      <c r="S530" s="79"/>
      <c r="V530" s="79"/>
      <c r="W530" s="79"/>
      <c r="Z530" s="130"/>
      <c r="AB530" s="106"/>
    </row>
    <row r="531">
      <c r="C531" s="79"/>
      <c r="D531" s="79"/>
      <c r="E531" s="79"/>
      <c r="M531" s="79"/>
      <c r="R531" s="79"/>
      <c r="S531" s="79"/>
      <c r="V531" s="79"/>
      <c r="W531" s="79"/>
      <c r="Z531" s="130"/>
      <c r="AB531" s="106"/>
    </row>
    <row r="532">
      <c r="C532" s="79"/>
      <c r="D532" s="79"/>
      <c r="E532" s="79"/>
      <c r="M532" s="79"/>
      <c r="R532" s="79"/>
      <c r="S532" s="79"/>
      <c r="V532" s="79"/>
      <c r="W532" s="79"/>
      <c r="Z532" s="130"/>
      <c r="AB532" s="106"/>
    </row>
    <row r="533">
      <c r="C533" s="79"/>
      <c r="D533" s="79"/>
      <c r="E533" s="79"/>
      <c r="M533" s="79"/>
      <c r="R533" s="79"/>
      <c r="S533" s="79"/>
      <c r="V533" s="79"/>
      <c r="W533" s="79"/>
      <c r="Z533" s="130"/>
      <c r="AB533" s="106"/>
    </row>
    <row r="534">
      <c r="C534" s="79"/>
      <c r="D534" s="79"/>
      <c r="E534" s="79"/>
      <c r="M534" s="79"/>
      <c r="R534" s="79"/>
      <c r="S534" s="79"/>
      <c r="V534" s="79"/>
      <c r="W534" s="79"/>
      <c r="Z534" s="130"/>
      <c r="AB534" s="106"/>
    </row>
    <row r="535">
      <c r="C535" s="79"/>
      <c r="D535" s="79"/>
      <c r="E535" s="79"/>
      <c r="M535" s="79"/>
      <c r="R535" s="79"/>
      <c r="S535" s="79"/>
      <c r="V535" s="79"/>
      <c r="W535" s="79"/>
      <c r="Z535" s="130"/>
      <c r="AB535" s="106"/>
    </row>
    <row r="536">
      <c r="C536" s="79"/>
      <c r="D536" s="79"/>
      <c r="E536" s="79"/>
      <c r="M536" s="79"/>
      <c r="R536" s="79"/>
      <c r="S536" s="79"/>
      <c r="V536" s="79"/>
      <c r="W536" s="79"/>
      <c r="Z536" s="130"/>
      <c r="AB536" s="106"/>
    </row>
    <row r="537">
      <c r="C537" s="79"/>
      <c r="D537" s="79"/>
      <c r="E537" s="79"/>
      <c r="M537" s="79"/>
      <c r="R537" s="79"/>
      <c r="S537" s="79"/>
      <c r="V537" s="79"/>
      <c r="W537" s="79"/>
      <c r="Z537" s="130"/>
      <c r="AB537" s="106"/>
    </row>
    <row r="538">
      <c r="C538" s="79"/>
      <c r="D538" s="79"/>
      <c r="E538" s="79"/>
      <c r="M538" s="79"/>
      <c r="R538" s="79"/>
      <c r="S538" s="79"/>
      <c r="V538" s="79"/>
      <c r="W538" s="79"/>
      <c r="Z538" s="130"/>
      <c r="AB538" s="106"/>
    </row>
    <row r="539">
      <c r="C539" s="79"/>
      <c r="D539" s="79"/>
      <c r="E539" s="79"/>
      <c r="M539" s="79"/>
      <c r="R539" s="79"/>
      <c r="S539" s="79"/>
      <c r="V539" s="79"/>
      <c r="W539" s="79"/>
      <c r="Z539" s="130"/>
      <c r="AB539" s="106"/>
    </row>
    <row r="540">
      <c r="C540" s="79"/>
      <c r="D540" s="79"/>
      <c r="E540" s="79"/>
      <c r="M540" s="79"/>
      <c r="R540" s="79"/>
      <c r="S540" s="79"/>
      <c r="V540" s="79"/>
      <c r="W540" s="79"/>
      <c r="Z540" s="130"/>
      <c r="AB540" s="106"/>
    </row>
    <row r="541">
      <c r="C541" s="79"/>
      <c r="D541" s="79"/>
      <c r="E541" s="79"/>
      <c r="M541" s="79"/>
      <c r="R541" s="79"/>
      <c r="S541" s="79"/>
      <c r="V541" s="79"/>
      <c r="W541" s="79"/>
      <c r="Z541" s="130"/>
      <c r="AB541" s="106"/>
    </row>
    <row r="542">
      <c r="C542" s="79"/>
      <c r="D542" s="79"/>
      <c r="E542" s="79"/>
      <c r="M542" s="79"/>
      <c r="R542" s="79"/>
      <c r="S542" s="79"/>
      <c r="V542" s="79"/>
      <c r="W542" s="79"/>
      <c r="Z542" s="130"/>
      <c r="AB542" s="106"/>
    </row>
    <row r="543">
      <c r="C543" s="79"/>
      <c r="D543" s="79"/>
      <c r="E543" s="79"/>
      <c r="M543" s="79"/>
      <c r="R543" s="79"/>
      <c r="S543" s="79"/>
      <c r="V543" s="79"/>
      <c r="W543" s="79"/>
      <c r="Z543" s="130"/>
      <c r="AB543" s="106"/>
    </row>
    <row r="544">
      <c r="C544" s="79"/>
      <c r="D544" s="79"/>
      <c r="E544" s="79"/>
      <c r="M544" s="79"/>
      <c r="R544" s="79"/>
      <c r="S544" s="79"/>
      <c r="V544" s="79"/>
      <c r="W544" s="79"/>
      <c r="Z544" s="130"/>
      <c r="AB544" s="106"/>
    </row>
    <row r="545">
      <c r="C545" s="79"/>
      <c r="D545" s="79"/>
      <c r="E545" s="79"/>
      <c r="M545" s="79"/>
      <c r="R545" s="79"/>
      <c r="S545" s="79"/>
      <c r="V545" s="79"/>
      <c r="W545" s="79"/>
      <c r="Z545" s="130"/>
      <c r="AB545" s="106"/>
    </row>
    <row r="546">
      <c r="C546" s="79"/>
      <c r="D546" s="79"/>
      <c r="E546" s="79"/>
      <c r="M546" s="79"/>
      <c r="R546" s="79"/>
      <c r="S546" s="79"/>
      <c r="V546" s="79"/>
      <c r="W546" s="79"/>
      <c r="Z546" s="130"/>
      <c r="AB546" s="106"/>
    </row>
    <row r="547">
      <c r="C547" s="79"/>
      <c r="D547" s="79"/>
      <c r="E547" s="79"/>
      <c r="M547" s="79"/>
      <c r="R547" s="79"/>
      <c r="S547" s="79"/>
      <c r="V547" s="79"/>
      <c r="W547" s="79"/>
      <c r="Z547" s="130"/>
      <c r="AB547" s="106"/>
    </row>
    <row r="548">
      <c r="C548" s="79"/>
      <c r="D548" s="79"/>
      <c r="E548" s="79"/>
      <c r="M548" s="79"/>
      <c r="R548" s="79"/>
      <c r="S548" s="79"/>
      <c r="V548" s="79"/>
      <c r="W548" s="79"/>
      <c r="Z548" s="130"/>
      <c r="AB548" s="106"/>
    </row>
    <row r="549">
      <c r="C549" s="79"/>
      <c r="D549" s="79"/>
      <c r="E549" s="79"/>
      <c r="M549" s="79"/>
      <c r="R549" s="79"/>
      <c r="S549" s="79"/>
      <c r="V549" s="79"/>
      <c r="W549" s="79"/>
      <c r="Z549" s="130"/>
      <c r="AB549" s="106"/>
    </row>
    <row r="550">
      <c r="C550" s="79"/>
      <c r="D550" s="79"/>
      <c r="E550" s="79"/>
      <c r="M550" s="79"/>
      <c r="R550" s="79"/>
      <c r="S550" s="79"/>
      <c r="V550" s="79"/>
      <c r="W550" s="79"/>
      <c r="Z550" s="130"/>
      <c r="AB550" s="106"/>
    </row>
    <row r="551">
      <c r="C551" s="79"/>
      <c r="D551" s="79"/>
      <c r="E551" s="79"/>
      <c r="M551" s="79"/>
      <c r="R551" s="79"/>
      <c r="S551" s="79"/>
      <c r="V551" s="79"/>
      <c r="W551" s="79"/>
      <c r="Z551" s="130"/>
      <c r="AB551" s="106"/>
    </row>
    <row r="552">
      <c r="C552" s="79"/>
      <c r="D552" s="79"/>
      <c r="E552" s="79"/>
      <c r="M552" s="79"/>
      <c r="R552" s="79"/>
      <c r="S552" s="79"/>
      <c r="V552" s="79"/>
      <c r="W552" s="79"/>
      <c r="Z552" s="130"/>
      <c r="AB552" s="106"/>
    </row>
    <row r="553">
      <c r="C553" s="79"/>
      <c r="D553" s="79"/>
      <c r="E553" s="79"/>
      <c r="M553" s="79"/>
      <c r="R553" s="79"/>
      <c r="S553" s="79"/>
      <c r="V553" s="79"/>
      <c r="W553" s="79"/>
      <c r="Z553" s="130"/>
      <c r="AB553" s="106"/>
    </row>
    <row r="554">
      <c r="C554" s="79"/>
      <c r="D554" s="79"/>
      <c r="E554" s="79"/>
      <c r="M554" s="79"/>
      <c r="R554" s="79"/>
      <c r="S554" s="79"/>
      <c r="V554" s="79"/>
      <c r="W554" s="79"/>
      <c r="Z554" s="130"/>
      <c r="AB554" s="106"/>
    </row>
    <row r="555">
      <c r="C555" s="79"/>
      <c r="D555" s="79"/>
      <c r="E555" s="79"/>
      <c r="M555" s="79"/>
      <c r="R555" s="79"/>
      <c r="S555" s="79"/>
      <c r="V555" s="79"/>
      <c r="W555" s="79"/>
      <c r="Z555" s="130"/>
      <c r="AB555" s="106"/>
    </row>
    <row r="556">
      <c r="C556" s="79"/>
      <c r="D556" s="79"/>
      <c r="E556" s="79"/>
      <c r="M556" s="79"/>
      <c r="R556" s="79"/>
      <c r="S556" s="79"/>
      <c r="V556" s="79"/>
      <c r="W556" s="79"/>
      <c r="Z556" s="130"/>
      <c r="AB556" s="106"/>
    </row>
    <row r="557">
      <c r="C557" s="79"/>
      <c r="D557" s="79"/>
      <c r="E557" s="79"/>
      <c r="M557" s="79"/>
      <c r="R557" s="79"/>
      <c r="S557" s="79"/>
      <c r="V557" s="79"/>
      <c r="W557" s="79"/>
      <c r="Z557" s="130"/>
      <c r="AB557" s="106"/>
    </row>
    <row r="558">
      <c r="C558" s="79"/>
      <c r="D558" s="79"/>
      <c r="E558" s="79"/>
      <c r="M558" s="79"/>
      <c r="R558" s="79"/>
      <c r="S558" s="79"/>
      <c r="V558" s="79"/>
      <c r="W558" s="79"/>
      <c r="Z558" s="130"/>
      <c r="AB558" s="106"/>
    </row>
    <row r="559">
      <c r="C559" s="79"/>
      <c r="D559" s="79"/>
      <c r="E559" s="79"/>
      <c r="M559" s="79"/>
      <c r="R559" s="79"/>
      <c r="S559" s="79"/>
      <c r="V559" s="79"/>
      <c r="W559" s="79"/>
      <c r="Z559" s="130"/>
      <c r="AB559" s="106"/>
    </row>
    <row r="560">
      <c r="C560" s="79"/>
      <c r="D560" s="79"/>
      <c r="E560" s="79"/>
      <c r="M560" s="79"/>
      <c r="R560" s="79"/>
      <c r="S560" s="79"/>
      <c r="V560" s="79"/>
      <c r="W560" s="79"/>
      <c r="Z560" s="130"/>
      <c r="AB560" s="106"/>
    </row>
    <row r="561">
      <c r="C561" s="79"/>
      <c r="D561" s="79"/>
      <c r="E561" s="79"/>
      <c r="M561" s="79"/>
      <c r="R561" s="79"/>
      <c r="S561" s="79"/>
      <c r="V561" s="79"/>
      <c r="W561" s="79"/>
      <c r="Z561" s="130"/>
      <c r="AB561" s="106"/>
    </row>
    <row r="562">
      <c r="C562" s="79"/>
      <c r="D562" s="79"/>
      <c r="E562" s="79"/>
      <c r="M562" s="79"/>
      <c r="R562" s="79"/>
      <c r="S562" s="79"/>
      <c r="V562" s="79"/>
      <c r="W562" s="79"/>
      <c r="Z562" s="130"/>
      <c r="AB562" s="106"/>
    </row>
    <row r="563">
      <c r="C563" s="79"/>
      <c r="D563" s="79"/>
      <c r="E563" s="79"/>
      <c r="M563" s="79"/>
      <c r="R563" s="79"/>
      <c r="S563" s="79"/>
      <c r="V563" s="79"/>
      <c r="W563" s="79"/>
      <c r="Z563" s="130"/>
      <c r="AB563" s="106"/>
    </row>
    <row r="564">
      <c r="C564" s="79"/>
      <c r="D564" s="79"/>
      <c r="E564" s="79"/>
      <c r="M564" s="79"/>
      <c r="R564" s="79"/>
      <c r="S564" s="79"/>
      <c r="V564" s="79"/>
      <c r="W564" s="79"/>
      <c r="Z564" s="130"/>
      <c r="AB564" s="106"/>
    </row>
    <row r="565">
      <c r="C565" s="79"/>
      <c r="D565" s="79"/>
      <c r="E565" s="79"/>
      <c r="M565" s="79"/>
      <c r="R565" s="79"/>
      <c r="S565" s="79"/>
      <c r="V565" s="79"/>
      <c r="W565" s="79"/>
      <c r="Z565" s="130"/>
      <c r="AB565" s="106"/>
    </row>
    <row r="566">
      <c r="C566" s="79"/>
      <c r="D566" s="79"/>
      <c r="E566" s="79"/>
      <c r="M566" s="79"/>
      <c r="R566" s="79"/>
      <c r="S566" s="79"/>
      <c r="V566" s="79"/>
      <c r="W566" s="79"/>
      <c r="Z566" s="130"/>
      <c r="AB566" s="106"/>
    </row>
    <row r="567">
      <c r="C567" s="79"/>
      <c r="D567" s="79"/>
      <c r="E567" s="79"/>
      <c r="M567" s="79"/>
      <c r="R567" s="79"/>
      <c r="S567" s="79"/>
      <c r="V567" s="79"/>
      <c r="W567" s="79"/>
      <c r="Z567" s="130"/>
      <c r="AB567" s="106"/>
    </row>
    <row r="568">
      <c r="C568" s="79"/>
      <c r="D568" s="79"/>
      <c r="E568" s="79"/>
      <c r="M568" s="79"/>
      <c r="R568" s="79"/>
      <c r="S568" s="79"/>
      <c r="V568" s="79"/>
      <c r="W568" s="79"/>
      <c r="Z568" s="130"/>
      <c r="AB568" s="106"/>
    </row>
    <row r="569">
      <c r="C569" s="79"/>
      <c r="D569" s="79"/>
      <c r="E569" s="79"/>
      <c r="M569" s="79"/>
      <c r="R569" s="79"/>
      <c r="S569" s="79"/>
      <c r="V569" s="79"/>
      <c r="W569" s="79"/>
      <c r="Z569" s="130"/>
      <c r="AB569" s="106"/>
    </row>
    <row r="570">
      <c r="C570" s="79"/>
      <c r="D570" s="79"/>
      <c r="E570" s="79"/>
      <c r="M570" s="79"/>
      <c r="R570" s="79"/>
      <c r="S570" s="79"/>
      <c r="V570" s="79"/>
      <c r="W570" s="79"/>
      <c r="Z570" s="130"/>
      <c r="AB570" s="106"/>
    </row>
    <row r="571">
      <c r="C571" s="79"/>
      <c r="D571" s="79"/>
      <c r="E571" s="79"/>
      <c r="M571" s="79"/>
      <c r="R571" s="79"/>
      <c r="S571" s="79"/>
      <c r="V571" s="79"/>
      <c r="W571" s="79"/>
      <c r="Z571" s="130"/>
      <c r="AB571" s="106"/>
    </row>
    <row r="572">
      <c r="C572" s="79"/>
      <c r="D572" s="79"/>
      <c r="E572" s="79"/>
      <c r="M572" s="79"/>
      <c r="R572" s="79"/>
      <c r="S572" s="79"/>
      <c r="V572" s="79"/>
      <c r="W572" s="79"/>
      <c r="Z572" s="130"/>
      <c r="AB572" s="106"/>
    </row>
    <row r="573">
      <c r="C573" s="79"/>
      <c r="D573" s="79"/>
      <c r="E573" s="79"/>
      <c r="M573" s="79"/>
      <c r="R573" s="79"/>
      <c r="S573" s="79"/>
      <c r="V573" s="79"/>
      <c r="W573" s="79"/>
      <c r="Z573" s="130"/>
      <c r="AB573" s="106"/>
    </row>
    <row r="574">
      <c r="C574" s="79"/>
      <c r="D574" s="79"/>
      <c r="E574" s="79"/>
      <c r="M574" s="79"/>
      <c r="R574" s="79"/>
      <c r="S574" s="79"/>
      <c r="V574" s="79"/>
      <c r="W574" s="79"/>
      <c r="Z574" s="130"/>
      <c r="AB574" s="106"/>
    </row>
    <row r="575">
      <c r="C575" s="79"/>
      <c r="D575" s="79"/>
      <c r="E575" s="79"/>
      <c r="M575" s="79"/>
      <c r="R575" s="79"/>
      <c r="S575" s="79"/>
      <c r="V575" s="79"/>
      <c r="W575" s="79"/>
      <c r="Z575" s="130"/>
      <c r="AB575" s="106"/>
    </row>
    <row r="576">
      <c r="C576" s="79"/>
      <c r="D576" s="79"/>
      <c r="E576" s="79"/>
      <c r="M576" s="79"/>
      <c r="R576" s="79"/>
      <c r="S576" s="79"/>
      <c r="V576" s="79"/>
      <c r="W576" s="79"/>
      <c r="Z576" s="130"/>
      <c r="AB576" s="106"/>
    </row>
    <row r="577">
      <c r="C577" s="79"/>
      <c r="D577" s="79"/>
      <c r="E577" s="79"/>
      <c r="M577" s="79"/>
      <c r="R577" s="79"/>
      <c r="S577" s="79"/>
      <c r="V577" s="79"/>
      <c r="W577" s="79"/>
      <c r="Z577" s="130"/>
      <c r="AB577" s="106"/>
    </row>
    <row r="578">
      <c r="C578" s="79"/>
      <c r="D578" s="79"/>
      <c r="E578" s="79"/>
      <c r="M578" s="79"/>
      <c r="R578" s="79"/>
      <c r="S578" s="79"/>
      <c r="V578" s="79"/>
      <c r="W578" s="79"/>
      <c r="Z578" s="130"/>
      <c r="AB578" s="106"/>
    </row>
    <row r="579">
      <c r="C579" s="79"/>
      <c r="D579" s="79"/>
      <c r="E579" s="79"/>
      <c r="M579" s="79"/>
      <c r="R579" s="79"/>
      <c r="S579" s="79"/>
      <c r="V579" s="79"/>
      <c r="W579" s="79"/>
      <c r="Z579" s="130"/>
      <c r="AB579" s="106"/>
    </row>
    <row r="580">
      <c r="C580" s="79"/>
      <c r="D580" s="79"/>
      <c r="E580" s="79"/>
      <c r="M580" s="79"/>
      <c r="R580" s="79"/>
      <c r="S580" s="79"/>
      <c r="V580" s="79"/>
      <c r="W580" s="79"/>
      <c r="Z580" s="130"/>
      <c r="AB580" s="106"/>
    </row>
    <row r="581">
      <c r="C581" s="79"/>
      <c r="D581" s="79"/>
      <c r="E581" s="79"/>
      <c r="M581" s="79"/>
      <c r="R581" s="79"/>
      <c r="S581" s="79"/>
      <c r="V581" s="79"/>
      <c r="W581" s="79"/>
      <c r="Z581" s="130"/>
      <c r="AB581" s="106"/>
    </row>
    <row r="582">
      <c r="C582" s="79"/>
      <c r="D582" s="79"/>
      <c r="E582" s="79"/>
      <c r="M582" s="79"/>
      <c r="R582" s="79"/>
      <c r="S582" s="79"/>
      <c r="V582" s="79"/>
      <c r="W582" s="79"/>
      <c r="Z582" s="130"/>
      <c r="AB582" s="106"/>
    </row>
    <row r="583">
      <c r="C583" s="79"/>
      <c r="D583" s="79"/>
      <c r="E583" s="79"/>
      <c r="M583" s="79"/>
      <c r="R583" s="79"/>
      <c r="S583" s="79"/>
      <c r="V583" s="79"/>
      <c r="W583" s="79"/>
      <c r="Z583" s="130"/>
      <c r="AB583" s="106"/>
    </row>
    <row r="584">
      <c r="C584" s="79"/>
      <c r="D584" s="79"/>
      <c r="E584" s="79"/>
      <c r="M584" s="79"/>
      <c r="R584" s="79"/>
      <c r="S584" s="79"/>
      <c r="V584" s="79"/>
      <c r="W584" s="79"/>
      <c r="Z584" s="130"/>
      <c r="AB584" s="106"/>
    </row>
    <row r="585">
      <c r="C585" s="79"/>
      <c r="D585" s="79"/>
      <c r="E585" s="79"/>
      <c r="M585" s="79"/>
      <c r="R585" s="79"/>
      <c r="S585" s="79"/>
      <c r="V585" s="79"/>
      <c r="W585" s="79"/>
      <c r="Z585" s="130"/>
      <c r="AB585" s="106"/>
    </row>
    <row r="586">
      <c r="C586" s="79"/>
      <c r="D586" s="79"/>
      <c r="E586" s="79"/>
      <c r="M586" s="79"/>
      <c r="R586" s="79"/>
      <c r="S586" s="79"/>
      <c r="V586" s="79"/>
      <c r="W586" s="79"/>
      <c r="Z586" s="130"/>
      <c r="AB586" s="106"/>
    </row>
    <row r="587">
      <c r="C587" s="79"/>
      <c r="D587" s="79"/>
      <c r="E587" s="79"/>
      <c r="M587" s="79"/>
      <c r="R587" s="79"/>
      <c r="S587" s="79"/>
      <c r="V587" s="79"/>
      <c r="W587" s="79"/>
      <c r="Z587" s="130"/>
      <c r="AB587" s="106"/>
    </row>
    <row r="588">
      <c r="C588" s="79"/>
      <c r="D588" s="79"/>
      <c r="E588" s="79"/>
      <c r="M588" s="79"/>
      <c r="R588" s="79"/>
      <c r="S588" s="79"/>
      <c r="V588" s="79"/>
      <c r="W588" s="79"/>
      <c r="Z588" s="130"/>
      <c r="AB588" s="106"/>
    </row>
    <row r="589">
      <c r="C589" s="79"/>
      <c r="D589" s="79"/>
      <c r="E589" s="79"/>
      <c r="M589" s="79"/>
      <c r="R589" s="79"/>
      <c r="S589" s="79"/>
      <c r="V589" s="79"/>
      <c r="W589" s="79"/>
      <c r="Z589" s="130"/>
      <c r="AB589" s="106"/>
    </row>
    <row r="590">
      <c r="C590" s="79"/>
      <c r="D590" s="79"/>
      <c r="E590" s="79"/>
      <c r="M590" s="79"/>
      <c r="R590" s="79"/>
      <c r="S590" s="79"/>
      <c r="V590" s="79"/>
      <c r="W590" s="79"/>
      <c r="Z590" s="130"/>
      <c r="AB590" s="106"/>
    </row>
    <row r="591">
      <c r="C591" s="79"/>
      <c r="D591" s="79"/>
      <c r="E591" s="79"/>
      <c r="M591" s="79"/>
      <c r="R591" s="79"/>
      <c r="S591" s="79"/>
      <c r="V591" s="79"/>
      <c r="W591" s="79"/>
      <c r="Z591" s="130"/>
      <c r="AB591" s="106"/>
    </row>
    <row r="592">
      <c r="C592" s="79"/>
      <c r="D592" s="79"/>
      <c r="E592" s="79"/>
      <c r="M592" s="79"/>
      <c r="R592" s="79"/>
      <c r="S592" s="79"/>
      <c r="V592" s="79"/>
      <c r="W592" s="79"/>
      <c r="Z592" s="130"/>
      <c r="AB592" s="106"/>
    </row>
    <row r="593">
      <c r="C593" s="79"/>
      <c r="D593" s="79"/>
      <c r="E593" s="79"/>
      <c r="M593" s="79"/>
      <c r="R593" s="79"/>
      <c r="S593" s="79"/>
      <c r="V593" s="79"/>
      <c r="W593" s="79"/>
      <c r="Z593" s="130"/>
      <c r="AB593" s="106"/>
    </row>
    <row r="594">
      <c r="C594" s="79"/>
      <c r="D594" s="79"/>
      <c r="E594" s="79"/>
      <c r="M594" s="79"/>
      <c r="R594" s="79"/>
      <c r="S594" s="79"/>
      <c r="V594" s="79"/>
      <c r="W594" s="79"/>
      <c r="Z594" s="130"/>
      <c r="AB594" s="106"/>
    </row>
    <row r="595">
      <c r="C595" s="79"/>
      <c r="D595" s="79"/>
      <c r="E595" s="79"/>
      <c r="M595" s="79"/>
      <c r="R595" s="79"/>
      <c r="S595" s="79"/>
      <c r="V595" s="79"/>
      <c r="W595" s="79"/>
      <c r="Z595" s="130"/>
      <c r="AB595" s="106"/>
    </row>
    <row r="596">
      <c r="C596" s="79"/>
      <c r="D596" s="79"/>
      <c r="E596" s="79"/>
      <c r="M596" s="79"/>
      <c r="R596" s="79"/>
      <c r="S596" s="79"/>
      <c r="V596" s="79"/>
      <c r="W596" s="79"/>
      <c r="Z596" s="130"/>
      <c r="AB596" s="106"/>
    </row>
    <row r="597">
      <c r="C597" s="79"/>
      <c r="D597" s="79"/>
      <c r="E597" s="79"/>
      <c r="M597" s="79"/>
      <c r="R597" s="79"/>
      <c r="S597" s="79"/>
      <c r="V597" s="79"/>
      <c r="W597" s="79"/>
      <c r="Z597" s="130"/>
      <c r="AB597" s="106"/>
    </row>
    <row r="598">
      <c r="C598" s="79"/>
      <c r="D598" s="79"/>
      <c r="E598" s="79"/>
      <c r="M598" s="79"/>
      <c r="R598" s="79"/>
      <c r="S598" s="79"/>
      <c r="V598" s="79"/>
      <c r="W598" s="79"/>
      <c r="Z598" s="130"/>
      <c r="AB598" s="106"/>
    </row>
    <row r="599">
      <c r="C599" s="79"/>
      <c r="D599" s="79"/>
      <c r="E599" s="79"/>
      <c r="M599" s="79"/>
      <c r="R599" s="79"/>
      <c r="S599" s="79"/>
      <c r="V599" s="79"/>
      <c r="W599" s="79"/>
      <c r="Z599" s="130"/>
      <c r="AB599" s="106"/>
    </row>
    <row r="600">
      <c r="C600" s="79"/>
      <c r="D600" s="79"/>
      <c r="E600" s="79"/>
      <c r="M600" s="79"/>
      <c r="R600" s="79"/>
      <c r="S600" s="79"/>
      <c r="V600" s="79"/>
      <c r="W600" s="79"/>
      <c r="Z600" s="130"/>
      <c r="AB600" s="106"/>
    </row>
    <row r="601">
      <c r="C601" s="79"/>
      <c r="D601" s="79"/>
      <c r="E601" s="79"/>
      <c r="M601" s="79"/>
      <c r="R601" s="79"/>
      <c r="S601" s="79"/>
      <c r="V601" s="79"/>
      <c r="W601" s="79"/>
      <c r="Z601" s="130"/>
      <c r="AB601" s="106"/>
    </row>
    <row r="602">
      <c r="C602" s="79"/>
      <c r="D602" s="79"/>
      <c r="E602" s="79"/>
      <c r="M602" s="79"/>
      <c r="R602" s="79"/>
      <c r="S602" s="79"/>
      <c r="V602" s="79"/>
      <c r="W602" s="79"/>
      <c r="Z602" s="130"/>
      <c r="AB602" s="106"/>
    </row>
    <row r="603">
      <c r="C603" s="79"/>
      <c r="D603" s="79"/>
      <c r="E603" s="79"/>
      <c r="M603" s="79"/>
      <c r="R603" s="79"/>
      <c r="S603" s="79"/>
      <c r="V603" s="79"/>
      <c r="W603" s="79"/>
      <c r="Z603" s="130"/>
      <c r="AB603" s="106"/>
    </row>
    <row r="604">
      <c r="C604" s="79"/>
      <c r="D604" s="79"/>
      <c r="E604" s="79"/>
      <c r="M604" s="79"/>
      <c r="R604" s="79"/>
      <c r="S604" s="79"/>
      <c r="V604" s="79"/>
      <c r="W604" s="79"/>
      <c r="Z604" s="130"/>
      <c r="AB604" s="106"/>
    </row>
    <row r="605">
      <c r="C605" s="79"/>
      <c r="D605" s="79"/>
      <c r="E605" s="79"/>
      <c r="M605" s="79"/>
      <c r="R605" s="79"/>
      <c r="S605" s="79"/>
      <c r="V605" s="79"/>
      <c r="W605" s="79"/>
      <c r="Z605" s="130"/>
      <c r="AB605" s="106"/>
    </row>
    <row r="606">
      <c r="C606" s="79"/>
      <c r="D606" s="79"/>
      <c r="E606" s="79"/>
      <c r="M606" s="79"/>
      <c r="R606" s="79"/>
      <c r="S606" s="79"/>
      <c r="V606" s="79"/>
      <c r="W606" s="79"/>
      <c r="Z606" s="130"/>
      <c r="AB606" s="106"/>
    </row>
    <row r="607">
      <c r="C607" s="79"/>
      <c r="D607" s="79"/>
      <c r="E607" s="79"/>
      <c r="M607" s="79"/>
      <c r="R607" s="79"/>
      <c r="S607" s="79"/>
      <c r="V607" s="79"/>
      <c r="W607" s="79"/>
      <c r="Z607" s="130"/>
      <c r="AB607" s="106"/>
    </row>
    <row r="608">
      <c r="C608" s="79"/>
      <c r="D608" s="79"/>
      <c r="E608" s="79"/>
      <c r="M608" s="79"/>
      <c r="R608" s="79"/>
      <c r="S608" s="79"/>
      <c r="V608" s="79"/>
      <c r="W608" s="79"/>
      <c r="Z608" s="130"/>
      <c r="AB608" s="106"/>
    </row>
    <row r="609">
      <c r="C609" s="79"/>
      <c r="D609" s="79"/>
      <c r="E609" s="79"/>
      <c r="M609" s="79"/>
      <c r="R609" s="79"/>
      <c r="S609" s="79"/>
      <c r="V609" s="79"/>
      <c r="W609" s="79"/>
      <c r="Z609" s="130"/>
      <c r="AB609" s="106"/>
    </row>
    <row r="610">
      <c r="C610" s="79"/>
      <c r="D610" s="79"/>
      <c r="E610" s="79"/>
      <c r="M610" s="79"/>
      <c r="R610" s="79"/>
      <c r="S610" s="79"/>
      <c r="V610" s="79"/>
      <c r="W610" s="79"/>
      <c r="Z610" s="130"/>
      <c r="AB610" s="106"/>
    </row>
    <row r="611">
      <c r="C611" s="79"/>
      <c r="D611" s="79"/>
      <c r="E611" s="79"/>
      <c r="M611" s="79"/>
      <c r="R611" s="79"/>
      <c r="S611" s="79"/>
      <c r="V611" s="79"/>
      <c r="W611" s="79"/>
      <c r="Z611" s="130"/>
      <c r="AB611" s="106"/>
    </row>
    <row r="612">
      <c r="C612" s="79"/>
      <c r="D612" s="79"/>
      <c r="E612" s="79"/>
      <c r="M612" s="79"/>
      <c r="R612" s="79"/>
      <c r="S612" s="79"/>
      <c r="V612" s="79"/>
      <c r="W612" s="79"/>
      <c r="Z612" s="130"/>
      <c r="AB612" s="106"/>
    </row>
    <row r="613">
      <c r="C613" s="79"/>
      <c r="D613" s="79"/>
      <c r="E613" s="79"/>
      <c r="M613" s="79"/>
      <c r="R613" s="79"/>
      <c r="S613" s="79"/>
      <c r="V613" s="79"/>
      <c r="W613" s="79"/>
      <c r="Z613" s="130"/>
      <c r="AB613" s="106"/>
    </row>
    <row r="614">
      <c r="C614" s="79"/>
      <c r="D614" s="79"/>
      <c r="E614" s="79"/>
      <c r="M614" s="79"/>
      <c r="R614" s="79"/>
      <c r="S614" s="79"/>
      <c r="V614" s="79"/>
      <c r="W614" s="79"/>
      <c r="Z614" s="130"/>
      <c r="AB614" s="106"/>
    </row>
    <row r="615">
      <c r="C615" s="79"/>
      <c r="D615" s="79"/>
      <c r="E615" s="79"/>
      <c r="M615" s="79"/>
      <c r="R615" s="79"/>
      <c r="S615" s="79"/>
      <c r="V615" s="79"/>
      <c r="W615" s="79"/>
      <c r="Z615" s="130"/>
      <c r="AB615" s="106"/>
    </row>
    <row r="616">
      <c r="C616" s="79"/>
      <c r="D616" s="79"/>
      <c r="E616" s="79"/>
      <c r="M616" s="79"/>
      <c r="R616" s="79"/>
      <c r="S616" s="79"/>
      <c r="V616" s="79"/>
      <c r="W616" s="79"/>
      <c r="Z616" s="130"/>
      <c r="AB616" s="106"/>
    </row>
    <row r="617">
      <c r="C617" s="79"/>
      <c r="D617" s="79"/>
      <c r="E617" s="79"/>
      <c r="M617" s="79"/>
      <c r="R617" s="79"/>
      <c r="S617" s="79"/>
      <c r="V617" s="79"/>
      <c r="W617" s="79"/>
      <c r="Z617" s="130"/>
      <c r="AB617" s="106"/>
    </row>
    <row r="618">
      <c r="C618" s="79"/>
      <c r="D618" s="79"/>
      <c r="E618" s="79"/>
      <c r="M618" s="79"/>
      <c r="R618" s="79"/>
      <c r="S618" s="79"/>
      <c r="V618" s="79"/>
      <c r="W618" s="79"/>
      <c r="Z618" s="130"/>
      <c r="AB618" s="106"/>
    </row>
    <row r="619">
      <c r="C619" s="79"/>
      <c r="D619" s="79"/>
      <c r="E619" s="79"/>
      <c r="M619" s="79"/>
      <c r="R619" s="79"/>
      <c r="S619" s="79"/>
      <c r="V619" s="79"/>
      <c r="W619" s="79"/>
      <c r="Z619" s="130"/>
      <c r="AB619" s="106"/>
    </row>
    <row r="620">
      <c r="C620" s="79"/>
      <c r="D620" s="79"/>
      <c r="E620" s="79"/>
      <c r="M620" s="79"/>
      <c r="R620" s="79"/>
      <c r="S620" s="79"/>
      <c r="V620" s="79"/>
      <c r="W620" s="79"/>
      <c r="Z620" s="130"/>
      <c r="AB620" s="106"/>
    </row>
    <row r="621">
      <c r="C621" s="79"/>
      <c r="D621" s="79"/>
      <c r="E621" s="79"/>
      <c r="M621" s="79"/>
      <c r="R621" s="79"/>
      <c r="S621" s="79"/>
      <c r="V621" s="79"/>
      <c r="W621" s="79"/>
      <c r="Z621" s="130"/>
      <c r="AB621" s="106"/>
    </row>
    <row r="622">
      <c r="C622" s="79"/>
      <c r="D622" s="79"/>
      <c r="E622" s="79"/>
      <c r="M622" s="79"/>
      <c r="R622" s="79"/>
      <c r="S622" s="79"/>
      <c r="V622" s="79"/>
      <c r="W622" s="79"/>
      <c r="Z622" s="130"/>
      <c r="AB622" s="106"/>
    </row>
    <row r="623">
      <c r="C623" s="79"/>
      <c r="D623" s="79"/>
      <c r="E623" s="79"/>
      <c r="M623" s="79"/>
      <c r="R623" s="79"/>
      <c r="S623" s="79"/>
      <c r="V623" s="79"/>
      <c r="W623" s="79"/>
      <c r="Z623" s="130"/>
      <c r="AB623" s="106"/>
    </row>
    <row r="624">
      <c r="C624" s="79"/>
      <c r="D624" s="79"/>
      <c r="E624" s="79"/>
      <c r="M624" s="79"/>
      <c r="R624" s="79"/>
      <c r="S624" s="79"/>
      <c r="V624" s="79"/>
      <c r="W624" s="79"/>
      <c r="Z624" s="130"/>
      <c r="AB624" s="106"/>
    </row>
    <row r="625">
      <c r="C625" s="79"/>
      <c r="D625" s="79"/>
      <c r="E625" s="79"/>
      <c r="M625" s="79"/>
      <c r="R625" s="79"/>
      <c r="S625" s="79"/>
      <c r="V625" s="79"/>
      <c r="W625" s="79"/>
      <c r="Z625" s="130"/>
      <c r="AB625" s="106"/>
    </row>
    <row r="626">
      <c r="C626" s="79"/>
      <c r="D626" s="79"/>
      <c r="E626" s="79"/>
      <c r="M626" s="79"/>
      <c r="R626" s="79"/>
      <c r="S626" s="79"/>
      <c r="V626" s="79"/>
      <c r="W626" s="79"/>
      <c r="Z626" s="130"/>
      <c r="AB626" s="106"/>
    </row>
    <row r="627">
      <c r="C627" s="79"/>
      <c r="D627" s="79"/>
      <c r="E627" s="79"/>
      <c r="M627" s="79"/>
      <c r="R627" s="79"/>
      <c r="S627" s="79"/>
      <c r="V627" s="79"/>
      <c r="W627" s="79"/>
      <c r="Z627" s="130"/>
      <c r="AB627" s="106"/>
    </row>
    <row r="628">
      <c r="C628" s="79"/>
      <c r="D628" s="79"/>
      <c r="E628" s="79"/>
      <c r="M628" s="79"/>
      <c r="R628" s="79"/>
      <c r="S628" s="79"/>
      <c r="V628" s="79"/>
      <c r="W628" s="79"/>
      <c r="Z628" s="130"/>
      <c r="AB628" s="106"/>
    </row>
    <row r="629">
      <c r="C629" s="79"/>
      <c r="D629" s="79"/>
      <c r="E629" s="79"/>
      <c r="M629" s="79"/>
      <c r="R629" s="79"/>
      <c r="S629" s="79"/>
      <c r="V629" s="79"/>
      <c r="W629" s="79"/>
      <c r="Z629" s="130"/>
      <c r="AB629" s="106"/>
    </row>
    <row r="630">
      <c r="C630" s="79"/>
      <c r="D630" s="79"/>
      <c r="E630" s="79"/>
      <c r="M630" s="79"/>
      <c r="R630" s="79"/>
      <c r="S630" s="79"/>
      <c r="V630" s="79"/>
      <c r="W630" s="79"/>
      <c r="Z630" s="130"/>
      <c r="AB630" s="106"/>
    </row>
    <row r="631">
      <c r="C631" s="79"/>
      <c r="D631" s="79"/>
      <c r="E631" s="79"/>
      <c r="M631" s="79"/>
      <c r="R631" s="79"/>
      <c r="S631" s="79"/>
      <c r="V631" s="79"/>
      <c r="W631" s="79"/>
      <c r="Z631" s="130"/>
      <c r="AB631" s="106"/>
    </row>
    <row r="632">
      <c r="C632" s="79"/>
      <c r="D632" s="79"/>
      <c r="E632" s="79"/>
      <c r="M632" s="79"/>
      <c r="R632" s="79"/>
      <c r="S632" s="79"/>
      <c r="V632" s="79"/>
      <c r="W632" s="79"/>
      <c r="Z632" s="130"/>
      <c r="AB632" s="106"/>
    </row>
    <row r="633">
      <c r="C633" s="79"/>
      <c r="D633" s="79"/>
      <c r="E633" s="79"/>
      <c r="M633" s="79"/>
      <c r="R633" s="79"/>
      <c r="S633" s="79"/>
      <c r="V633" s="79"/>
      <c r="W633" s="79"/>
      <c r="Z633" s="130"/>
      <c r="AB633" s="106"/>
    </row>
    <row r="634">
      <c r="C634" s="79"/>
      <c r="D634" s="79"/>
      <c r="E634" s="79"/>
      <c r="M634" s="79"/>
      <c r="R634" s="79"/>
      <c r="S634" s="79"/>
      <c r="V634" s="79"/>
      <c r="W634" s="79"/>
      <c r="Z634" s="130"/>
      <c r="AB634" s="106"/>
    </row>
    <row r="635">
      <c r="C635" s="79"/>
      <c r="D635" s="79"/>
      <c r="E635" s="79"/>
      <c r="M635" s="79"/>
      <c r="R635" s="79"/>
      <c r="S635" s="79"/>
      <c r="V635" s="79"/>
      <c r="W635" s="79"/>
      <c r="Z635" s="130"/>
      <c r="AB635" s="106"/>
    </row>
    <row r="636">
      <c r="C636" s="79"/>
      <c r="D636" s="79"/>
      <c r="E636" s="79"/>
      <c r="M636" s="79"/>
      <c r="R636" s="79"/>
      <c r="S636" s="79"/>
      <c r="V636" s="79"/>
      <c r="W636" s="79"/>
      <c r="Z636" s="130"/>
      <c r="AB636" s="106"/>
    </row>
    <row r="637">
      <c r="C637" s="79"/>
      <c r="D637" s="79"/>
      <c r="E637" s="79"/>
      <c r="M637" s="79"/>
      <c r="R637" s="79"/>
      <c r="S637" s="79"/>
      <c r="V637" s="79"/>
      <c r="W637" s="79"/>
      <c r="Z637" s="130"/>
      <c r="AB637" s="106"/>
    </row>
    <row r="638">
      <c r="C638" s="79"/>
      <c r="D638" s="79"/>
      <c r="E638" s="79"/>
      <c r="M638" s="79"/>
      <c r="R638" s="79"/>
      <c r="S638" s="79"/>
      <c r="V638" s="79"/>
      <c r="W638" s="79"/>
      <c r="Z638" s="130"/>
      <c r="AB638" s="106"/>
    </row>
    <row r="639">
      <c r="C639" s="79"/>
      <c r="D639" s="79"/>
      <c r="E639" s="79"/>
      <c r="M639" s="79"/>
      <c r="R639" s="79"/>
      <c r="S639" s="79"/>
      <c r="V639" s="79"/>
      <c r="W639" s="79"/>
      <c r="Z639" s="130"/>
      <c r="AB639" s="106"/>
    </row>
    <row r="640">
      <c r="C640" s="79"/>
      <c r="D640" s="79"/>
      <c r="E640" s="79"/>
      <c r="M640" s="79"/>
      <c r="R640" s="79"/>
      <c r="S640" s="79"/>
      <c r="V640" s="79"/>
      <c r="W640" s="79"/>
      <c r="Z640" s="130"/>
      <c r="AB640" s="106"/>
    </row>
    <row r="641">
      <c r="C641" s="79"/>
      <c r="D641" s="79"/>
      <c r="E641" s="79"/>
      <c r="M641" s="79"/>
      <c r="R641" s="79"/>
      <c r="S641" s="79"/>
      <c r="V641" s="79"/>
      <c r="W641" s="79"/>
      <c r="Z641" s="130"/>
      <c r="AB641" s="106"/>
    </row>
    <row r="642">
      <c r="C642" s="79"/>
      <c r="D642" s="79"/>
      <c r="E642" s="79"/>
      <c r="M642" s="79"/>
      <c r="R642" s="79"/>
      <c r="S642" s="79"/>
      <c r="V642" s="79"/>
      <c r="W642" s="79"/>
      <c r="Z642" s="130"/>
      <c r="AB642" s="106"/>
    </row>
    <row r="643">
      <c r="C643" s="79"/>
      <c r="D643" s="79"/>
      <c r="E643" s="79"/>
      <c r="M643" s="79"/>
      <c r="R643" s="79"/>
      <c r="S643" s="79"/>
      <c r="V643" s="79"/>
      <c r="W643" s="79"/>
      <c r="Z643" s="130"/>
      <c r="AB643" s="106"/>
    </row>
    <row r="644">
      <c r="C644" s="79"/>
      <c r="D644" s="79"/>
      <c r="E644" s="79"/>
      <c r="M644" s="79"/>
      <c r="R644" s="79"/>
      <c r="S644" s="79"/>
      <c r="V644" s="79"/>
      <c r="W644" s="79"/>
      <c r="Z644" s="130"/>
      <c r="AB644" s="106"/>
    </row>
    <row r="645">
      <c r="C645" s="79"/>
      <c r="D645" s="79"/>
      <c r="E645" s="79"/>
      <c r="M645" s="79"/>
      <c r="R645" s="79"/>
      <c r="S645" s="79"/>
      <c r="V645" s="79"/>
      <c r="W645" s="79"/>
      <c r="Z645" s="130"/>
      <c r="AB645" s="106"/>
    </row>
    <row r="646">
      <c r="C646" s="79"/>
      <c r="D646" s="79"/>
      <c r="E646" s="79"/>
      <c r="M646" s="79"/>
      <c r="R646" s="79"/>
      <c r="S646" s="79"/>
      <c r="V646" s="79"/>
      <c r="W646" s="79"/>
      <c r="Z646" s="130"/>
      <c r="AB646" s="106"/>
    </row>
    <row r="647">
      <c r="C647" s="79"/>
      <c r="D647" s="79"/>
      <c r="E647" s="79"/>
      <c r="M647" s="79"/>
      <c r="R647" s="79"/>
      <c r="S647" s="79"/>
      <c r="V647" s="79"/>
      <c r="W647" s="79"/>
      <c r="Z647" s="130"/>
      <c r="AB647" s="106"/>
    </row>
    <row r="648">
      <c r="C648" s="79"/>
      <c r="D648" s="79"/>
      <c r="E648" s="79"/>
      <c r="M648" s="79"/>
      <c r="R648" s="79"/>
      <c r="S648" s="79"/>
      <c r="V648" s="79"/>
      <c r="W648" s="79"/>
      <c r="Z648" s="130"/>
      <c r="AB648" s="106"/>
    </row>
    <row r="649">
      <c r="C649" s="79"/>
      <c r="D649" s="79"/>
      <c r="E649" s="79"/>
      <c r="M649" s="79"/>
      <c r="R649" s="79"/>
      <c r="S649" s="79"/>
      <c r="V649" s="79"/>
      <c r="W649" s="79"/>
      <c r="Z649" s="130"/>
      <c r="AB649" s="106"/>
    </row>
    <row r="650">
      <c r="C650" s="79"/>
      <c r="D650" s="79"/>
      <c r="E650" s="79"/>
      <c r="M650" s="79"/>
      <c r="R650" s="79"/>
      <c r="S650" s="79"/>
      <c r="V650" s="79"/>
      <c r="W650" s="79"/>
      <c r="Z650" s="130"/>
      <c r="AB650" s="106"/>
    </row>
    <row r="651">
      <c r="C651" s="79"/>
      <c r="D651" s="79"/>
      <c r="E651" s="79"/>
      <c r="M651" s="79"/>
      <c r="R651" s="79"/>
      <c r="S651" s="79"/>
      <c r="V651" s="79"/>
      <c r="W651" s="79"/>
      <c r="Z651" s="130"/>
      <c r="AB651" s="106"/>
    </row>
    <row r="652">
      <c r="C652" s="79"/>
      <c r="D652" s="79"/>
      <c r="E652" s="79"/>
      <c r="M652" s="79"/>
      <c r="R652" s="79"/>
      <c r="S652" s="79"/>
      <c r="V652" s="79"/>
      <c r="W652" s="79"/>
      <c r="Z652" s="130"/>
      <c r="AB652" s="106"/>
    </row>
    <row r="653">
      <c r="C653" s="79"/>
      <c r="D653" s="79"/>
      <c r="E653" s="79"/>
      <c r="M653" s="79"/>
      <c r="R653" s="79"/>
      <c r="S653" s="79"/>
      <c r="V653" s="79"/>
      <c r="W653" s="79"/>
      <c r="Z653" s="130"/>
      <c r="AB653" s="106"/>
    </row>
    <row r="654">
      <c r="C654" s="79"/>
      <c r="D654" s="79"/>
      <c r="E654" s="79"/>
      <c r="M654" s="79"/>
      <c r="R654" s="79"/>
      <c r="S654" s="79"/>
      <c r="V654" s="79"/>
      <c r="W654" s="79"/>
      <c r="Z654" s="130"/>
      <c r="AB654" s="106"/>
    </row>
    <row r="655">
      <c r="C655" s="79"/>
      <c r="D655" s="79"/>
      <c r="E655" s="79"/>
      <c r="M655" s="79"/>
      <c r="R655" s="79"/>
      <c r="S655" s="79"/>
      <c r="V655" s="79"/>
      <c r="W655" s="79"/>
      <c r="Z655" s="130"/>
      <c r="AB655" s="106"/>
    </row>
    <row r="656">
      <c r="C656" s="79"/>
      <c r="D656" s="79"/>
      <c r="E656" s="79"/>
      <c r="M656" s="79"/>
      <c r="R656" s="79"/>
      <c r="S656" s="79"/>
      <c r="V656" s="79"/>
      <c r="W656" s="79"/>
      <c r="Z656" s="130"/>
      <c r="AB656" s="106"/>
    </row>
    <row r="657">
      <c r="C657" s="79"/>
      <c r="D657" s="79"/>
      <c r="E657" s="79"/>
      <c r="M657" s="79"/>
      <c r="R657" s="79"/>
      <c r="S657" s="79"/>
      <c r="V657" s="79"/>
      <c r="W657" s="79"/>
      <c r="Z657" s="130"/>
      <c r="AB657" s="106"/>
    </row>
    <row r="658">
      <c r="C658" s="79"/>
      <c r="D658" s="79"/>
      <c r="E658" s="79"/>
      <c r="M658" s="79"/>
      <c r="R658" s="79"/>
      <c r="S658" s="79"/>
      <c r="V658" s="79"/>
      <c r="W658" s="79"/>
      <c r="Z658" s="130"/>
      <c r="AB658" s="106"/>
    </row>
    <row r="659">
      <c r="C659" s="79"/>
      <c r="D659" s="79"/>
      <c r="E659" s="79"/>
      <c r="M659" s="79"/>
      <c r="R659" s="79"/>
      <c r="S659" s="79"/>
      <c r="V659" s="79"/>
      <c r="W659" s="79"/>
      <c r="Z659" s="130"/>
      <c r="AB659" s="106"/>
    </row>
    <row r="660">
      <c r="C660" s="79"/>
      <c r="D660" s="79"/>
      <c r="E660" s="79"/>
      <c r="M660" s="79"/>
      <c r="R660" s="79"/>
      <c r="S660" s="79"/>
      <c r="V660" s="79"/>
      <c r="W660" s="79"/>
      <c r="Z660" s="130"/>
      <c r="AB660" s="106"/>
    </row>
    <row r="661">
      <c r="C661" s="79"/>
      <c r="D661" s="79"/>
      <c r="E661" s="79"/>
      <c r="M661" s="79"/>
      <c r="R661" s="79"/>
      <c r="S661" s="79"/>
      <c r="V661" s="79"/>
      <c r="W661" s="79"/>
      <c r="Z661" s="130"/>
      <c r="AB661" s="106"/>
    </row>
    <row r="662">
      <c r="C662" s="79"/>
      <c r="D662" s="79"/>
      <c r="E662" s="79"/>
      <c r="M662" s="79"/>
      <c r="R662" s="79"/>
      <c r="S662" s="79"/>
      <c r="V662" s="79"/>
      <c r="W662" s="79"/>
      <c r="Z662" s="130"/>
      <c r="AB662" s="106"/>
    </row>
    <row r="663">
      <c r="C663" s="79"/>
      <c r="D663" s="79"/>
      <c r="E663" s="79"/>
      <c r="M663" s="79"/>
      <c r="R663" s="79"/>
      <c r="S663" s="79"/>
      <c r="V663" s="79"/>
      <c r="W663" s="79"/>
      <c r="Z663" s="130"/>
      <c r="AB663" s="106"/>
    </row>
    <row r="664">
      <c r="C664" s="79"/>
      <c r="D664" s="79"/>
      <c r="E664" s="79"/>
      <c r="M664" s="79"/>
      <c r="R664" s="79"/>
      <c r="S664" s="79"/>
      <c r="V664" s="79"/>
      <c r="W664" s="79"/>
      <c r="Z664" s="130"/>
      <c r="AB664" s="106"/>
    </row>
    <row r="665">
      <c r="C665" s="79"/>
      <c r="D665" s="79"/>
      <c r="E665" s="79"/>
      <c r="M665" s="79"/>
      <c r="R665" s="79"/>
      <c r="S665" s="79"/>
      <c r="V665" s="79"/>
      <c r="W665" s="79"/>
      <c r="Z665" s="130"/>
      <c r="AB665" s="106"/>
    </row>
    <row r="666">
      <c r="C666" s="79"/>
      <c r="D666" s="79"/>
      <c r="E666" s="79"/>
      <c r="M666" s="79"/>
      <c r="R666" s="79"/>
      <c r="S666" s="79"/>
      <c r="V666" s="79"/>
      <c r="W666" s="79"/>
      <c r="Z666" s="130"/>
      <c r="AB666" s="106"/>
    </row>
    <row r="667">
      <c r="C667" s="79"/>
      <c r="D667" s="79"/>
      <c r="E667" s="79"/>
      <c r="M667" s="79"/>
      <c r="R667" s="79"/>
      <c r="S667" s="79"/>
      <c r="V667" s="79"/>
      <c r="W667" s="79"/>
      <c r="Z667" s="130"/>
      <c r="AB667" s="106"/>
    </row>
    <row r="668">
      <c r="C668" s="79"/>
      <c r="D668" s="79"/>
      <c r="E668" s="79"/>
      <c r="M668" s="79"/>
      <c r="R668" s="79"/>
      <c r="S668" s="79"/>
      <c r="V668" s="79"/>
      <c r="W668" s="79"/>
      <c r="Z668" s="130"/>
      <c r="AB668" s="106"/>
    </row>
    <row r="669">
      <c r="C669" s="79"/>
      <c r="D669" s="79"/>
      <c r="E669" s="79"/>
      <c r="M669" s="79"/>
      <c r="R669" s="79"/>
      <c r="S669" s="79"/>
      <c r="V669" s="79"/>
      <c r="W669" s="79"/>
      <c r="Z669" s="130"/>
      <c r="AB669" s="106"/>
    </row>
    <row r="670">
      <c r="C670" s="79"/>
      <c r="D670" s="79"/>
      <c r="E670" s="79"/>
      <c r="M670" s="79"/>
      <c r="R670" s="79"/>
      <c r="S670" s="79"/>
      <c r="V670" s="79"/>
      <c r="W670" s="79"/>
      <c r="Z670" s="130"/>
      <c r="AB670" s="106"/>
    </row>
    <row r="671">
      <c r="C671" s="79"/>
      <c r="D671" s="79"/>
      <c r="E671" s="79"/>
      <c r="M671" s="79"/>
      <c r="R671" s="79"/>
      <c r="S671" s="79"/>
      <c r="V671" s="79"/>
      <c r="W671" s="79"/>
      <c r="Z671" s="130"/>
      <c r="AB671" s="106"/>
    </row>
    <row r="672">
      <c r="C672" s="79"/>
      <c r="D672" s="79"/>
      <c r="E672" s="79"/>
      <c r="M672" s="79"/>
      <c r="R672" s="79"/>
      <c r="S672" s="79"/>
      <c r="V672" s="79"/>
      <c r="W672" s="79"/>
      <c r="Z672" s="130"/>
      <c r="AB672" s="106"/>
    </row>
    <row r="673">
      <c r="C673" s="79"/>
      <c r="D673" s="79"/>
      <c r="E673" s="79"/>
      <c r="M673" s="79"/>
      <c r="R673" s="79"/>
      <c r="S673" s="79"/>
      <c r="V673" s="79"/>
      <c r="W673" s="79"/>
      <c r="Z673" s="130"/>
      <c r="AB673" s="106"/>
    </row>
    <row r="674">
      <c r="C674" s="79"/>
      <c r="D674" s="79"/>
      <c r="E674" s="79"/>
      <c r="M674" s="79"/>
      <c r="R674" s="79"/>
      <c r="S674" s="79"/>
      <c r="V674" s="79"/>
      <c r="W674" s="79"/>
      <c r="Z674" s="130"/>
      <c r="AB674" s="106"/>
    </row>
    <row r="675">
      <c r="C675" s="79"/>
      <c r="D675" s="79"/>
      <c r="E675" s="79"/>
      <c r="M675" s="79"/>
      <c r="R675" s="79"/>
      <c r="S675" s="79"/>
      <c r="V675" s="79"/>
      <c r="W675" s="79"/>
      <c r="Z675" s="130"/>
      <c r="AB675" s="106"/>
    </row>
    <row r="676">
      <c r="C676" s="79"/>
      <c r="D676" s="79"/>
      <c r="E676" s="79"/>
      <c r="M676" s="79"/>
      <c r="R676" s="79"/>
      <c r="S676" s="79"/>
      <c r="V676" s="79"/>
      <c r="W676" s="79"/>
      <c r="Z676" s="130"/>
      <c r="AB676" s="106"/>
    </row>
    <row r="677">
      <c r="C677" s="79"/>
      <c r="D677" s="79"/>
      <c r="E677" s="79"/>
      <c r="M677" s="79"/>
      <c r="R677" s="79"/>
      <c r="S677" s="79"/>
      <c r="V677" s="79"/>
      <c r="W677" s="79"/>
      <c r="Z677" s="130"/>
      <c r="AB677" s="106"/>
    </row>
    <row r="678">
      <c r="C678" s="79"/>
      <c r="D678" s="79"/>
      <c r="E678" s="79"/>
      <c r="M678" s="79"/>
      <c r="R678" s="79"/>
      <c r="S678" s="79"/>
      <c r="V678" s="79"/>
      <c r="W678" s="79"/>
      <c r="Z678" s="130"/>
      <c r="AB678" s="106"/>
    </row>
    <row r="679">
      <c r="C679" s="79"/>
      <c r="D679" s="79"/>
      <c r="E679" s="79"/>
      <c r="M679" s="79"/>
      <c r="R679" s="79"/>
      <c r="S679" s="79"/>
      <c r="V679" s="79"/>
      <c r="W679" s="79"/>
      <c r="Z679" s="130"/>
      <c r="AB679" s="106"/>
    </row>
    <row r="680">
      <c r="C680" s="79"/>
      <c r="D680" s="79"/>
      <c r="E680" s="79"/>
      <c r="M680" s="79"/>
      <c r="R680" s="79"/>
      <c r="S680" s="79"/>
      <c r="V680" s="79"/>
      <c r="W680" s="79"/>
      <c r="Z680" s="130"/>
      <c r="AB680" s="106"/>
    </row>
    <row r="681">
      <c r="C681" s="79"/>
      <c r="D681" s="79"/>
      <c r="E681" s="79"/>
      <c r="M681" s="79"/>
      <c r="R681" s="79"/>
      <c r="S681" s="79"/>
      <c r="V681" s="79"/>
      <c r="W681" s="79"/>
      <c r="Z681" s="130"/>
      <c r="AB681" s="106"/>
    </row>
    <row r="682">
      <c r="C682" s="79"/>
      <c r="D682" s="79"/>
      <c r="E682" s="79"/>
      <c r="M682" s="79"/>
      <c r="R682" s="79"/>
      <c r="S682" s="79"/>
      <c r="V682" s="79"/>
      <c r="W682" s="79"/>
      <c r="Z682" s="130"/>
      <c r="AB682" s="106"/>
    </row>
    <row r="683">
      <c r="C683" s="79"/>
      <c r="D683" s="79"/>
      <c r="E683" s="79"/>
      <c r="M683" s="79"/>
      <c r="R683" s="79"/>
      <c r="S683" s="79"/>
      <c r="V683" s="79"/>
      <c r="W683" s="79"/>
      <c r="Z683" s="130"/>
      <c r="AB683" s="106"/>
    </row>
    <row r="684">
      <c r="C684" s="79"/>
      <c r="D684" s="79"/>
      <c r="E684" s="79"/>
      <c r="M684" s="79"/>
      <c r="R684" s="79"/>
      <c r="S684" s="79"/>
      <c r="V684" s="79"/>
      <c r="W684" s="79"/>
      <c r="Z684" s="130"/>
      <c r="AB684" s="106"/>
    </row>
    <row r="685">
      <c r="C685" s="79"/>
      <c r="D685" s="79"/>
      <c r="E685" s="79"/>
      <c r="M685" s="79"/>
      <c r="R685" s="79"/>
      <c r="S685" s="79"/>
      <c r="V685" s="79"/>
      <c r="W685" s="79"/>
      <c r="Z685" s="130"/>
      <c r="AB685" s="106"/>
    </row>
    <row r="686">
      <c r="C686" s="79"/>
      <c r="D686" s="79"/>
      <c r="E686" s="79"/>
      <c r="M686" s="79"/>
      <c r="R686" s="79"/>
      <c r="S686" s="79"/>
      <c r="V686" s="79"/>
      <c r="W686" s="79"/>
      <c r="Z686" s="130"/>
      <c r="AB686" s="106"/>
    </row>
    <row r="687">
      <c r="C687" s="79"/>
      <c r="D687" s="79"/>
      <c r="E687" s="79"/>
      <c r="M687" s="79"/>
      <c r="R687" s="79"/>
      <c r="S687" s="79"/>
      <c r="V687" s="79"/>
      <c r="W687" s="79"/>
      <c r="Z687" s="130"/>
      <c r="AB687" s="106"/>
    </row>
    <row r="688">
      <c r="C688" s="79"/>
      <c r="D688" s="79"/>
      <c r="E688" s="79"/>
      <c r="M688" s="79"/>
      <c r="R688" s="79"/>
      <c r="S688" s="79"/>
      <c r="V688" s="79"/>
      <c r="W688" s="79"/>
      <c r="Z688" s="130"/>
      <c r="AB688" s="106"/>
    </row>
    <row r="689">
      <c r="C689" s="79"/>
      <c r="D689" s="79"/>
      <c r="E689" s="79"/>
      <c r="M689" s="79"/>
      <c r="R689" s="79"/>
      <c r="S689" s="79"/>
      <c r="V689" s="79"/>
      <c r="W689" s="79"/>
      <c r="Z689" s="130"/>
      <c r="AB689" s="106"/>
    </row>
    <row r="690">
      <c r="C690" s="79"/>
      <c r="D690" s="79"/>
      <c r="E690" s="79"/>
      <c r="M690" s="79"/>
      <c r="R690" s="79"/>
      <c r="S690" s="79"/>
      <c r="V690" s="79"/>
      <c r="W690" s="79"/>
      <c r="Z690" s="130"/>
      <c r="AB690" s="106"/>
    </row>
    <row r="691">
      <c r="C691" s="79"/>
      <c r="D691" s="79"/>
      <c r="E691" s="79"/>
      <c r="M691" s="79"/>
      <c r="R691" s="79"/>
      <c r="S691" s="79"/>
      <c r="V691" s="79"/>
      <c r="W691" s="79"/>
      <c r="Z691" s="130"/>
      <c r="AB691" s="106"/>
    </row>
    <row r="692">
      <c r="C692" s="79"/>
      <c r="D692" s="79"/>
      <c r="E692" s="79"/>
      <c r="M692" s="79"/>
      <c r="R692" s="79"/>
      <c r="S692" s="79"/>
      <c r="V692" s="79"/>
      <c r="W692" s="79"/>
      <c r="Z692" s="130"/>
      <c r="AB692" s="106"/>
    </row>
    <row r="693">
      <c r="C693" s="79"/>
      <c r="D693" s="79"/>
      <c r="E693" s="79"/>
      <c r="M693" s="79"/>
      <c r="R693" s="79"/>
      <c r="S693" s="79"/>
      <c r="V693" s="79"/>
      <c r="W693" s="79"/>
      <c r="Z693" s="130"/>
      <c r="AB693" s="106"/>
    </row>
    <row r="694">
      <c r="C694" s="79"/>
      <c r="D694" s="79"/>
      <c r="E694" s="79"/>
      <c r="M694" s="79"/>
      <c r="R694" s="79"/>
      <c r="S694" s="79"/>
      <c r="V694" s="79"/>
      <c r="W694" s="79"/>
      <c r="Z694" s="130"/>
      <c r="AB694" s="106"/>
    </row>
    <row r="695">
      <c r="C695" s="79"/>
      <c r="D695" s="79"/>
      <c r="E695" s="79"/>
      <c r="M695" s="79"/>
      <c r="R695" s="79"/>
      <c r="S695" s="79"/>
      <c r="V695" s="79"/>
      <c r="W695" s="79"/>
      <c r="Z695" s="130"/>
      <c r="AB695" s="106"/>
    </row>
    <row r="696">
      <c r="C696" s="79"/>
      <c r="D696" s="79"/>
      <c r="E696" s="79"/>
      <c r="M696" s="79"/>
      <c r="R696" s="79"/>
      <c r="S696" s="79"/>
      <c r="V696" s="79"/>
      <c r="W696" s="79"/>
      <c r="Z696" s="130"/>
      <c r="AB696" s="106"/>
    </row>
    <row r="697">
      <c r="C697" s="79"/>
      <c r="D697" s="79"/>
      <c r="E697" s="79"/>
      <c r="M697" s="79"/>
      <c r="R697" s="79"/>
      <c r="S697" s="79"/>
      <c r="V697" s="79"/>
      <c r="W697" s="79"/>
      <c r="Z697" s="130"/>
      <c r="AB697" s="106"/>
    </row>
    <row r="698">
      <c r="C698" s="79"/>
      <c r="D698" s="79"/>
      <c r="E698" s="79"/>
      <c r="M698" s="79"/>
      <c r="R698" s="79"/>
      <c r="S698" s="79"/>
      <c r="V698" s="79"/>
      <c r="W698" s="79"/>
      <c r="Z698" s="130"/>
      <c r="AB698" s="106"/>
    </row>
    <row r="699">
      <c r="C699" s="79"/>
      <c r="D699" s="79"/>
      <c r="E699" s="79"/>
      <c r="M699" s="79"/>
      <c r="R699" s="79"/>
      <c r="S699" s="79"/>
      <c r="V699" s="79"/>
      <c r="W699" s="79"/>
      <c r="Z699" s="130"/>
      <c r="AB699" s="106"/>
    </row>
    <row r="700">
      <c r="C700" s="79"/>
      <c r="D700" s="79"/>
      <c r="E700" s="79"/>
      <c r="M700" s="79"/>
      <c r="R700" s="79"/>
      <c r="S700" s="79"/>
      <c r="V700" s="79"/>
      <c r="W700" s="79"/>
      <c r="Z700" s="130"/>
      <c r="AB700" s="106"/>
    </row>
    <row r="701">
      <c r="C701" s="79"/>
      <c r="D701" s="79"/>
      <c r="E701" s="79"/>
      <c r="M701" s="79"/>
      <c r="R701" s="79"/>
      <c r="S701" s="79"/>
      <c r="V701" s="79"/>
      <c r="W701" s="79"/>
      <c r="Z701" s="130"/>
      <c r="AB701" s="106"/>
    </row>
    <row r="702">
      <c r="C702" s="79"/>
      <c r="D702" s="79"/>
      <c r="E702" s="79"/>
      <c r="M702" s="79"/>
      <c r="R702" s="79"/>
      <c r="S702" s="79"/>
      <c r="V702" s="79"/>
      <c r="W702" s="79"/>
      <c r="Z702" s="130"/>
      <c r="AB702" s="106"/>
    </row>
    <row r="703">
      <c r="C703" s="79"/>
      <c r="D703" s="79"/>
      <c r="E703" s="79"/>
      <c r="M703" s="79"/>
      <c r="R703" s="79"/>
      <c r="S703" s="79"/>
      <c r="V703" s="79"/>
      <c r="W703" s="79"/>
      <c r="Z703" s="130"/>
      <c r="AB703" s="106"/>
    </row>
    <row r="704">
      <c r="C704" s="79"/>
      <c r="D704" s="79"/>
      <c r="E704" s="79"/>
      <c r="M704" s="79"/>
      <c r="R704" s="79"/>
      <c r="S704" s="79"/>
      <c r="V704" s="79"/>
      <c r="W704" s="79"/>
      <c r="Z704" s="130"/>
      <c r="AB704" s="106"/>
    </row>
    <row r="705">
      <c r="C705" s="79"/>
      <c r="D705" s="79"/>
      <c r="E705" s="79"/>
      <c r="M705" s="79"/>
      <c r="R705" s="79"/>
      <c r="S705" s="79"/>
      <c r="V705" s="79"/>
      <c r="W705" s="79"/>
      <c r="Z705" s="130"/>
      <c r="AB705" s="106"/>
    </row>
    <row r="706">
      <c r="C706" s="79"/>
      <c r="D706" s="79"/>
      <c r="E706" s="79"/>
      <c r="M706" s="79"/>
      <c r="R706" s="79"/>
      <c r="S706" s="79"/>
      <c r="V706" s="79"/>
      <c r="W706" s="79"/>
      <c r="Z706" s="130"/>
      <c r="AB706" s="106"/>
    </row>
    <row r="707">
      <c r="C707" s="79"/>
      <c r="D707" s="79"/>
      <c r="E707" s="79"/>
      <c r="M707" s="79"/>
      <c r="R707" s="79"/>
      <c r="S707" s="79"/>
      <c r="V707" s="79"/>
      <c r="W707" s="79"/>
      <c r="Z707" s="130"/>
      <c r="AB707" s="106"/>
    </row>
    <row r="708">
      <c r="C708" s="79"/>
      <c r="D708" s="79"/>
      <c r="E708" s="79"/>
      <c r="M708" s="79"/>
      <c r="R708" s="79"/>
      <c r="S708" s="79"/>
      <c r="V708" s="79"/>
      <c r="W708" s="79"/>
      <c r="Z708" s="130"/>
      <c r="AB708" s="106"/>
    </row>
    <row r="709">
      <c r="C709" s="79"/>
      <c r="D709" s="79"/>
      <c r="E709" s="79"/>
      <c r="M709" s="79"/>
      <c r="R709" s="79"/>
      <c r="S709" s="79"/>
      <c r="V709" s="79"/>
      <c r="W709" s="79"/>
      <c r="Z709" s="130"/>
      <c r="AB709" s="106"/>
    </row>
    <row r="710">
      <c r="C710" s="79"/>
      <c r="D710" s="79"/>
      <c r="E710" s="79"/>
      <c r="M710" s="79"/>
      <c r="R710" s="79"/>
      <c r="S710" s="79"/>
      <c r="V710" s="79"/>
      <c r="W710" s="79"/>
      <c r="Z710" s="130"/>
      <c r="AB710" s="106"/>
    </row>
    <row r="711">
      <c r="C711" s="79"/>
      <c r="D711" s="79"/>
      <c r="E711" s="79"/>
      <c r="M711" s="79"/>
      <c r="R711" s="79"/>
      <c r="S711" s="79"/>
      <c r="V711" s="79"/>
      <c r="W711" s="79"/>
      <c r="Z711" s="130"/>
      <c r="AB711" s="106"/>
    </row>
    <row r="712">
      <c r="C712" s="79"/>
      <c r="D712" s="79"/>
      <c r="E712" s="79"/>
      <c r="M712" s="79"/>
      <c r="R712" s="79"/>
      <c r="S712" s="79"/>
      <c r="V712" s="79"/>
      <c r="W712" s="79"/>
      <c r="Z712" s="130"/>
      <c r="AB712" s="106"/>
    </row>
    <row r="713">
      <c r="C713" s="79"/>
      <c r="D713" s="79"/>
      <c r="E713" s="79"/>
      <c r="M713" s="79"/>
      <c r="R713" s="79"/>
      <c r="S713" s="79"/>
      <c r="V713" s="79"/>
      <c r="W713" s="79"/>
      <c r="Z713" s="130"/>
      <c r="AB713" s="106"/>
    </row>
    <row r="714">
      <c r="C714" s="79"/>
      <c r="D714" s="79"/>
      <c r="E714" s="79"/>
      <c r="M714" s="79"/>
      <c r="R714" s="79"/>
      <c r="S714" s="79"/>
      <c r="V714" s="79"/>
      <c r="W714" s="79"/>
      <c r="Z714" s="130"/>
      <c r="AB714" s="106"/>
    </row>
    <row r="715">
      <c r="C715" s="79"/>
      <c r="D715" s="79"/>
      <c r="E715" s="79"/>
      <c r="M715" s="79"/>
      <c r="R715" s="79"/>
      <c r="S715" s="79"/>
      <c r="V715" s="79"/>
      <c r="W715" s="79"/>
      <c r="Z715" s="130"/>
      <c r="AB715" s="106"/>
    </row>
    <row r="716">
      <c r="C716" s="79"/>
      <c r="D716" s="79"/>
      <c r="E716" s="79"/>
      <c r="M716" s="79"/>
      <c r="R716" s="79"/>
      <c r="S716" s="79"/>
      <c r="V716" s="79"/>
      <c r="W716" s="79"/>
      <c r="Z716" s="130"/>
      <c r="AB716" s="106"/>
    </row>
    <row r="717">
      <c r="C717" s="79"/>
      <c r="D717" s="79"/>
      <c r="E717" s="79"/>
      <c r="M717" s="79"/>
      <c r="R717" s="79"/>
      <c r="S717" s="79"/>
      <c r="V717" s="79"/>
      <c r="W717" s="79"/>
      <c r="Z717" s="130"/>
      <c r="AB717" s="106"/>
    </row>
    <row r="718">
      <c r="C718" s="79"/>
      <c r="D718" s="79"/>
      <c r="E718" s="79"/>
      <c r="M718" s="79"/>
      <c r="R718" s="79"/>
      <c r="S718" s="79"/>
      <c r="V718" s="79"/>
      <c r="W718" s="79"/>
      <c r="Z718" s="130"/>
      <c r="AB718" s="106"/>
    </row>
    <row r="719">
      <c r="C719" s="79"/>
      <c r="D719" s="79"/>
      <c r="E719" s="79"/>
      <c r="M719" s="79"/>
      <c r="R719" s="79"/>
      <c r="S719" s="79"/>
      <c r="V719" s="79"/>
      <c r="W719" s="79"/>
      <c r="Z719" s="130"/>
      <c r="AB719" s="106"/>
    </row>
    <row r="720">
      <c r="C720" s="79"/>
      <c r="D720" s="79"/>
      <c r="E720" s="79"/>
      <c r="M720" s="79"/>
      <c r="R720" s="79"/>
      <c r="S720" s="79"/>
      <c r="V720" s="79"/>
      <c r="W720" s="79"/>
      <c r="Z720" s="130"/>
      <c r="AB720" s="106"/>
    </row>
    <row r="721">
      <c r="C721" s="79"/>
      <c r="D721" s="79"/>
      <c r="E721" s="79"/>
      <c r="M721" s="79"/>
      <c r="R721" s="79"/>
      <c r="S721" s="79"/>
      <c r="V721" s="79"/>
      <c r="W721" s="79"/>
      <c r="Z721" s="130"/>
      <c r="AB721" s="106"/>
    </row>
    <row r="722">
      <c r="C722" s="79"/>
      <c r="D722" s="79"/>
      <c r="E722" s="79"/>
      <c r="M722" s="79"/>
      <c r="R722" s="79"/>
      <c r="S722" s="79"/>
      <c r="V722" s="79"/>
      <c r="W722" s="79"/>
      <c r="Z722" s="130"/>
      <c r="AB722" s="106"/>
    </row>
    <row r="723">
      <c r="C723" s="79"/>
      <c r="D723" s="79"/>
      <c r="E723" s="79"/>
      <c r="M723" s="79"/>
      <c r="R723" s="79"/>
      <c r="S723" s="79"/>
      <c r="V723" s="79"/>
      <c r="W723" s="79"/>
      <c r="Z723" s="130"/>
      <c r="AB723" s="106"/>
    </row>
    <row r="724">
      <c r="C724" s="79"/>
      <c r="D724" s="79"/>
      <c r="E724" s="79"/>
      <c r="M724" s="79"/>
      <c r="R724" s="79"/>
      <c r="S724" s="79"/>
      <c r="V724" s="79"/>
      <c r="W724" s="79"/>
      <c r="Z724" s="130"/>
      <c r="AB724" s="106"/>
    </row>
    <row r="725">
      <c r="C725" s="79"/>
      <c r="D725" s="79"/>
      <c r="E725" s="79"/>
      <c r="M725" s="79"/>
      <c r="R725" s="79"/>
      <c r="S725" s="79"/>
      <c r="V725" s="79"/>
      <c r="W725" s="79"/>
      <c r="Z725" s="130"/>
      <c r="AB725" s="106"/>
    </row>
    <row r="726">
      <c r="C726" s="79"/>
      <c r="D726" s="79"/>
      <c r="E726" s="79"/>
      <c r="M726" s="79"/>
      <c r="R726" s="79"/>
      <c r="S726" s="79"/>
      <c r="V726" s="79"/>
      <c r="W726" s="79"/>
      <c r="Z726" s="130"/>
      <c r="AB726" s="106"/>
    </row>
    <row r="727">
      <c r="C727" s="79"/>
      <c r="D727" s="79"/>
      <c r="E727" s="79"/>
      <c r="M727" s="79"/>
      <c r="R727" s="79"/>
      <c r="S727" s="79"/>
      <c r="V727" s="79"/>
      <c r="W727" s="79"/>
      <c r="Z727" s="130"/>
      <c r="AB727" s="106"/>
    </row>
    <row r="728">
      <c r="C728" s="79"/>
      <c r="D728" s="79"/>
      <c r="E728" s="79"/>
      <c r="M728" s="79"/>
      <c r="R728" s="79"/>
      <c r="S728" s="79"/>
      <c r="V728" s="79"/>
      <c r="W728" s="79"/>
      <c r="Z728" s="130"/>
      <c r="AB728" s="106"/>
    </row>
    <row r="729">
      <c r="C729" s="79"/>
      <c r="D729" s="79"/>
      <c r="E729" s="79"/>
      <c r="M729" s="79"/>
      <c r="R729" s="79"/>
      <c r="S729" s="79"/>
      <c r="V729" s="79"/>
      <c r="W729" s="79"/>
      <c r="Z729" s="130"/>
      <c r="AB729" s="106"/>
    </row>
    <row r="730">
      <c r="C730" s="79"/>
      <c r="D730" s="79"/>
      <c r="E730" s="79"/>
      <c r="M730" s="79"/>
      <c r="R730" s="79"/>
      <c r="S730" s="79"/>
      <c r="V730" s="79"/>
      <c r="W730" s="79"/>
      <c r="Z730" s="130"/>
      <c r="AB730" s="106"/>
    </row>
    <row r="731">
      <c r="C731" s="79"/>
      <c r="D731" s="79"/>
      <c r="E731" s="79"/>
      <c r="M731" s="79"/>
      <c r="R731" s="79"/>
      <c r="S731" s="79"/>
      <c r="V731" s="79"/>
      <c r="W731" s="79"/>
      <c r="Z731" s="130"/>
      <c r="AB731" s="106"/>
    </row>
    <row r="732">
      <c r="C732" s="79"/>
      <c r="D732" s="79"/>
      <c r="E732" s="79"/>
      <c r="M732" s="79"/>
      <c r="R732" s="79"/>
      <c r="S732" s="79"/>
      <c r="V732" s="79"/>
      <c r="W732" s="79"/>
      <c r="Z732" s="130"/>
      <c r="AB732" s="106"/>
    </row>
    <row r="733">
      <c r="C733" s="79"/>
      <c r="D733" s="79"/>
      <c r="E733" s="79"/>
      <c r="M733" s="79"/>
      <c r="R733" s="79"/>
      <c r="S733" s="79"/>
      <c r="V733" s="79"/>
      <c r="W733" s="79"/>
      <c r="Z733" s="130"/>
      <c r="AB733" s="106"/>
    </row>
    <row r="734">
      <c r="C734" s="79"/>
      <c r="D734" s="79"/>
      <c r="E734" s="79"/>
      <c r="M734" s="79"/>
      <c r="R734" s="79"/>
      <c r="S734" s="79"/>
      <c r="V734" s="79"/>
      <c r="W734" s="79"/>
      <c r="Z734" s="130"/>
      <c r="AB734" s="106"/>
    </row>
    <row r="735">
      <c r="C735" s="79"/>
      <c r="D735" s="79"/>
      <c r="E735" s="79"/>
      <c r="M735" s="79"/>
      <c r="R735" s="79"/>
      <c r="S735" s="79"/>
      <c r="V735" s="79"/>
      <c r="W735" s="79"/>
      <c r="Z735" s="130"/>
      <c r="AB735" s="106"/>
    </row>
    <row r="736">
      <c r="C736" s="79"/>
      <c r="D736" s="79"/>
      <c r="E736" s="79"/>
      <c r="M736" s="79"/>
      <c r="R736" s="79"/>
      <c r="S736" s="79"/>
      <c r="V736" s="79"/>
      <c r="W736" s="79"/>
      <c r="Z736" s="130"/>
      <c r="AB736" s="106"/>
    </row>
    <row r="737">
      <c r="C737" s="79"/>
      <c r="D737" s="79"/>
      <c r="E737" s="79"/>
      <c r="M737" s="79"/>
      <c r="R737" s="79"/>
      <c r="S737" s="79"/>
      <c r="V737" s="79"/>
      <c r="W737" s="79"/>
      <c r="Z737" s="130"/>
      <c r="AB737" s="106"/>
    </row>
    <row r="738">
      <c r="C738" s="79"/>
      <c r="D738" s="79"/>
      <c r="E738" s="79"/>
      <c r="M738" s="79"/>
      <c r="R738" s="79"/>
      <c r="S738" s="79"/>
      <c r="V738" s="79"/>
      <c r="W738" s="79"/>
      <c r="Z738" s="130"/>
      <c r="AB738" s="106"/>
    </row>
    <row r="739">
      <c r="C739" s="79"/>
      <c r="D739" s="79"/>
      <c r="E739" s="79"/>
      <c r="M739" s="79"/>
      <c r="R739" s="79"/>
      <c r="S739" s="79"/>
      <c r="V739" s="79"/>
      <c r="W739" s="79"/>
      <c r="Z739" s="130"/>
      <c r="AB739" s="106"/>
    </row>
    <row r="740">
      <c r="C740" s="79"/>
      <c r="D740" s="79"/>
      <c r="E740" s="79"/>
      <c r="M740" s="79"/>
      <c r="R740" s="79"/>
      <c r="S740" s="79"/>
      <c r="V740" s="79"/>
      <c r="W740" s="79"/>
      <c r="Z740" s="130"/>
      <c r="AB740" s="106"/>
    </row>
    <row r="741">
      <c r="C741" s="79"/>
      <c r="D741" s="79"/>
      <c r="E741" s="79"/>
      <c r="M741" s="79"/>
      <c r="R741" s="79"/>
      <c r="S741" s="79"/>
      <c r="V741" s="79"/>
      <c r="W741" s="79"/>
      <c r="Z741" s="130"/>
      <c r="AB741" s="106"/>
    </row>
    <row r="742">
      <c r="C742" s="79"/>
      <c r="D742" s="79"/>
      <c r="E742" s="79"/>
      <c r="M742" s="79"/>
      <c r="R742" s="79"/>
      <c r="S742" s="79"/>
      <c r="V742" s="79"/>
      <c r="W742" s="79"/>
      <c r="Z742" s="130"/>
      <c r="AB742" s="106"/>
    </row>
    <row r="743">
      <c r="C743" s="79"/>
      <c r="D743" s="79"/>
      <c r="E743" s="79"/>
      <c r="M743" s="79"/>
      <c r="R743" s="79"/>
      <c r="S743" s="79"/>
      <c r="V743" s="79"/>
      <c r="W743" s="79"/>
      <c r="Z743" s="130"/>
      <c r="AB743" s="106"/>
    </row>
    <row r="744">
      <c r="C744" s="79"/>
      <c r="D744" s="79"/>
      <c r="E744" s="79"/>
      <c r="M744" s="79"/>
      <c r="R744" s="79"/>
      <c r="S744" s="79"/>
      <c r="V744" s="79"/>
      <c r="W744" s="79"/>
      <c r="Z744" s="130"/>
      <c r="AB744" s="106"/>
    </row>
    <row r="745">
      <c r="C745" s="79"/>
      <c r="D745" s="79"/>
      <c r="E745" s="79"/>
      <c r="M745" s="79"/>
      <c r="R745" s="79"/>
      <c r="S745" s="79"/>
      <c r="V745" s="79"/>
      <c r="W745" s="79"/>
      <c r="Z745" s="130"/>
      <c r="AB745" s="106"/>
    </row>
    <row r="746">
      <c r="C746" s="79"/>
      <c r="D746" s="79"/>
      <c r="E746" s="79"/>
      <c r="M746" s="79"/>
      <c r="R746" s="79"/>
      <c r="S746" s="79"/>
      <c r="V746" s="79"/>
      <c r="W746" s="79"/>
      <c r="Z746" s="130"/>
      <c r="AB746" s="106"/>
    </row>
    <row r="747">
      <c r="C747" s="79"/>
      <c r="D747" s="79"/>
      <c r="E747" s="79"/>
      <c r="M747" s="79"/>
      <c r="R747" s="79"/>
      <c r="S747" s="79"/>
      <c r="V747" s="79"/>
      <c r="W747" s="79"/>
      <c r="Z747" s="130"/>
      <c r="AB747" s="106"/>
    </row>
    <row r="748">
      <c r="C748" s="79"/>
      <c r="D748" s="79"/>
      <c r="E748" s="79"/>
      <c r="M748" s="79"/>
      <c r="R748" s="79"/>
      <c r="S748" s="79"/>
      <c r="V748" s="79"/>
      <c r="W748" s="79"/>
      <c r="Z748" s="130"/>
      <c r="AB748" s="106"/>
    </row>
    <row r="749">
      <c r="C749" s="79"/>
      <c r="D749" s="79"/>
      <c r="E749" s="79"/>
      <c r="M749" s="79"/>
      <c r="R749" s="79"/>
      <c r="S749" s="79"/>
      <c r="V749" s="79"/>
      <c r="W749" s="79"/>
      <c r="Z749" s="130"/>
      <c r="AB749" s="106"/>
    </row>
    <row r="750">
      <c r="C750" s="79"/>
      <c r="D750" s="79"/>
      <c r="E750" s="79"/>
      <c r="M750" s="79"/>
      <c r="R750" s="79"/>
      <c r="S750" s="79"/>
      <c r="V750" s="79"/>
      <c r="W750" s="79"/>
      <c r="Z750" s="130"/>
      <c r="AB750" s="106"/>
    </row>
    <row r="751">
      <c r="C751" s="79"/>
      <c r="D751" s="79"/>
      <c r="E751" s="79"/>
      <c r="M751" s="79"/>
      <c r="R751" s="79"/>
      <c r="S751" s="79"/>
      <c r="V751" s="79"/>
      <c r="W751" s="79"/>
      <c r="Z751" s="130"/>
      <c r="AB751" s="106"/>
    </row>
    <row r="752">
      <c r="C752" s="79"/>
      <c r="D752" s="79"/>
      <c r="E752" s="79"/>
      <c r="M752" s="79"/>
      <c r="R752" s="79"/>
      <c r="S752" s="79"/>
      <c r="V752" s="79"/>
      <c r="W752" s="79"/>
      <c r="Z752" s="130"/>
      <c r="AB752" s="106"/>
    </row>
    <row r="753">
      <c r="C753" s="79"/>
      <c r="D753" s="79"/>
      <c r="E753" s="79"/>
      <c r="M753" s="79"/>
      <c r="R753" s="79"/>
      <c r="S753" s="79"/>
      <c r="V753" s="79"/>
      <c r="W753" s="79"/>
      <c r="Z753" s="130"/>
      <c r="AB753" s="106"/>
    </row>
    <row r="754">
      <c r="C754" s="79"/>
      <c r="D754" s="79"/>
      <c r="E754" s="79"/>
      <c r="M754" s="79"/>
      <c r="R754" s="79"/>
      <c r="S754" s="79"/>
      <c r="V754" s="79"/>
      <c r="W754" s="79"/>
      <c r="Z754" s="130"/>
      <c r="AB754" s="106"/>
    </row>
    <row r="755">
      <c r="C755" s="79"/>
      <c r="D755" s="79"/>
      <c r="E755" s="79"/>
      <c r="M755" s="79"/>
      <c r="R755" s="79"/>
      <c r="S755" s="79"/>
      <c r="V755" s="79"/>
      <c r="W755" s="79"/>
      <c r="Z755" s="130"/>
      <c r="AB755" s="106"/>
    </row>
    <row r="756">
      <c r="C756" s="79"/>
      <c r="D756" s="79"/>
      <c r="E756" s="79"/>
      <c r="M756" s="79"/>
      <c r="R756" s="79"/>
      <c r="S756" s="79"/>
      <c r="V756" s="79"/>
      <c r="W756" s="79"/>
      <c r="Z756" s="130"/>
      <c r="AB756" s="106"/>
    </row>
    <row r="757">
      <c r="C757" s="79"/>
      <c r="D757" s="79"/>
      <c r="E757" s="79"/>
      <c r="M757" s="79"/>
      <c r="R757" s="79"/>
      <c r="S757" s="79"/>
      <c r="V757" s="79"/>
      <c r="W757" s="79"/>
      <c r="Z757" s="130"/>
      <c r="AB757" s="106"/>
    </row>
    <row r="758">
      <c r="C758" s="79"/>
      <c r="D758" s="79"/>
      <c r="E758" s="79"/>
      <c r="M758" s="79"/>
      <c r="R758" s="79"/>
      <c r="S758" s="79"/>
      <c r="V758" s="79"/>
      <c r="W758" s="79"/>
      <c r="Z758" s="130"/>
      <c r="AB758" s="106"/>
    </row>
    <row r="759">
      <c r="C759" s="79"/>
      <c r="D759" s="79"/>
      <c r="E759" s="79"/>
      <c r="M759" s="79"/>
      <c r="R759" s="79"/>
      <c r="S759" s="79"/>
      <c r="V759" s="79"/>
      <c r="W759" s="79"/>
      <c r="Z759" s="130"/>
      <c r="AB759" s="106"/>
    </row>
    <row r="760">
      <c r="C760" s="79"/>
      <c r="D760" s="79"/>
      <c r="E760" s="79"/>
      <c r="M760" s="79"/>
      <c r="R760" s="79"/>
      <c r="S760" s="79"/>
      <c r="V760" s="79"/>
      <c r="W760" s="79"/>
      <c r="Z760" s="130"/>
      <c r="AB760" s="106"/>
    </row>
    <row r="761">
      <c r="C761" s="79"/>
      <c r="D761" s="79"/>
      <c r="E761" s="79"/>
      <c r="M761" s="79"/>
      <c r="R761" s="79"/>
      <c r="S761" s="79"/>
      <c r="V761" s="79"/>
      <c r="W761" s="79"/>
      <c r="Z761" s="130"/>
      <c r="AB761" s="106"/>
    </row>
    <row r="762">
      <c r="C762" s="79"/>
      <c r="D762" s="79"/>
      <c r="E762" s="79"/>
      <c r="M762" s="79"/>
      <c r="R762" s="79"/>
      <c r="S762" s="79"/>
      <c r="V762" s="79"/>
      <c r="W762" s="79"/>
      <c r="Z762" s="130"/>
      <c r="AB762" s="106"/>
    </row>
    <row r="763">
      <c r="C763" s="79"/>
      <c r="D763" s="79"/>
      <c r="E763" s="79"/>
      <c r="M763" s="79"/>
      <c r="R763" s="79"/>
      <c r="S763" s="79"/>
      <c r="V763" s="79"/>
      <c r="W763" s="79"/>
      <c r="Z763" s="130"/>
      <c r="AB763" s="106"/>
    </row>
    <row r="764">
      <c r="C764" s="79"/>
      <c r="D764" s="79"/>
      <c r="E764" s="79"/>
      <c r="M764" s="79"/>
      <c r="R764" s="79"/>
      <c r="S764" s="79"/>
      <c r="V764" s="79"/>
      <c r="W764" s="79"/>
      <c r="Z764" s="130"/>
      <c r="AB764" s="106"/>
    </row>
    <row r="765">
      <c r="C765" s="79"/>
      <c r="D765" s="79"/>
      <c r="E765" s="79"/>
      <c r="M765" s="79"/>
      <c r="R765" s="79"/>
      <c r="S765" s="79"/>
      <c r="V765" s="79"/>
      <c r="W765" s="79"/>
      <c r="Z765" s="130"/>
      <c r="AB765" s="106"/>
    </row>
    <row r="766">
      <c r="C766" s="79"/>
      <c r="D766" s="79"/>
      <c r="E766" s="79"/>
      <c r="M766" s="79"/>
      <c r="R766" s="79"/>
      <c r="S766" s="79"/>
      <c r="V766" s="79"/>
      <c r="W766" s="79"/>
      <c r="Z766" s="130"/>
      <c r="AB766" s="106"/>
    </row>
    <row r="767">
      <c r="C767" s="79"/>
      <c r="D767" s="79"/>
      <c r="E767" s="79"/>
      <c r="M767" s="79"/>
      <c r="R767" s="79"/>
      <c r="S767" s="79"/>
      <c r="V767" s="79"/>
      <c r="W767" s="79"/>
      <c r="Z767" s="130"/>
      <c r="AB767" s="106"/>
    </row>
    <row r="768">
      <c r="C768" s="79"/>
      <c r="D768" s="79"/>
      <c r="E768" s="79"/>
      <c r="M768" s="79"/>
      <c r="R768" s="79"/>
      <c r="S768" s="79"/>
      <c r="V768" s="79"/>
      <c r="W768" s="79"/>
      <c r="Z768" s="130"/>
      <c r="AB768" s="106"/>
    </row>
    <row r="769">
      <c r="C769" s="79"/>
      <c r="D769" s="79"/>
      <c r="E769" s="79"/>
      <c r="M769" s="79"/>
      <c r="R769" s="79"/>
      <c r="S769" s="79"/>
      <c r="V769" s="79"/>
      <c r="W769" s="79"/>
      <c r="Z769" s="130"/>
      <c r="AB769" s="106"/>
    </row>
    <row r="770">
      <c r="C770" s="79"/>
      <c r="D770" s="79"/>
      <c r="E770" s="79"/>
      <c r="M770" s="79"/>
      <c r="R770" s="79"/>
      <c r="S770" s="79"/>
      <c r="V770" s="79"/>
      <c r="W770" s="79"/>
      <c r="Z770" s="130"/>
      <c r="AB770" s="106"/>
    </row>
    <row r="771">
      <c r="C771" s="79"/>
      <c r="D771" s="79"/>
      <c r="E771" s="79"/>
      <c r="M771" s="79"/>
      <c r="R771" s="79"/>
      <c r="S771" s="79"/>
      <c r="V771" s="79"/>
      <c r="W771" s="79"/>
      <c r="Z771" s="130"/>
      <c r="AB771" s="106"/>
    </row>
    <row r="772">
      <c r="C772" s="79"/>
      <c r="D772" s="79"/>
      <c r="E772" s="79"/>
      <c r="M772" s="79"/>
      <c r="R772" s="79"/>
      <c r="S772" s="79"/>
      <c r="V772" s="79"/>
      <c r="W772" s="79"/>
      <c r="Z772" s="130"/>
      <c r="AB772" s="106"/>
    </row>
    <row r="773">
      <c r="C773" s="79"/>
      <c r="D773" s="79"/>
      <c r="E773" s="79"/>
      <c r="M773" s="79"/>
      <c r="R773" s="79"/>
      <c r="S773" s="79"/>
      <c r="V773" s="79"/>
      <c r="W773" s="79"/>
      <c r="Z773" s="130"/>
      <c r="AB773" s="106"/>
    </row>
    <row r="774">
      <c r="C774" s="79"/>
      <c r="D774" s="79"/>
      <c r="E774" s="79"/>
      <c r="M774" s="79"/>
      <c r="R774" s="79"/>
      <c r="S774" s="79"/>
      <c r="V774" s="79"/>
      <c r="W774" s="79"/>
      <c r="Z774" s="130"/>
      <c r="AB774" s="106"/>
    </row>
    <row r="775">
      <c r="C775" s="79"/>
      <c r="D775" s="79"/>
      <c r="E775" s="79"/>
      <c r="M775" s="79"/>
      <c r="R775" s="79"/>
      <c r="S775" s="79"/>
      <c r="V775" s="79"/>
      <c r="W775" s="79"/>
      <c r="Z775" s="130"/>
      <c r="AB775" s="106"/>
    </row>
    <row r="776">
      <c r="C776" s="79"/>
      <c r="D776" s="79"/>
      <c r="E776" s="79"/>
      <c r="M776" s="79"/>
      <c r="R776" s="79"/>
      <c r="S776" s="79"/>
      <c r="V776" s="79"/>
      <c r="W776" s="79"/>
      <c r="Z776" s="130"/>
      <c r="AB776" s="106"/>
    </row>
    <row r="777">
      <c r="C777" s="79"/>
      <c r="D777" s="79"/>
      <c r="E777" s="79"/>
      <c r="M777" s="79"/>
      <c r="R777" s="79"/>
      <c r="S777" s="79"/>
      <c r="V777" s="79"/>
      <c r="W777" s="79"/>
      <c r="Z777" s="130"/>
      <c r="AB777" s="106"/>
    </row>
    <row r="778">
      <c r="C778" s="79"/>
      <c r="D778" s="79"/>
      <c r="E778" s="79"/>
      <c r="M778" s="79"/>
      <c r="R778" s="79"/>
      <c r="S778" s="79"/>
      <c r="V778" s="79"/>
      <c r="W778" s="79"/>
      <c r="Z778" s="130"/>
      <c r="AB778" s="106"/>
    </row>
    <row r="779">
      <c r="C779" s="79"/>
      <c r="D779" s="79"/>
      <c r="E779" s="79"/>
      <c r="M779" s="79"/>
      <c r="R779" s="79"/>
      <c r="S779" s="79"/>
      <c r="V779" s="79"/>
      <c r="W779" s="79"/>
      <c r="Z779" s="130"/>
      <c r="AB779" s="106"/>
    </row>
    <row r="780">
      <c r="C780" s="79"/>
      <c r="D780" s="79"/>
      <c r="E780" s="79"/>
      <c r="M780" s="79"/>
      <c r="R780" s="79"/>
      <c r="S780" s="79"/>
      <c r="V780" s="79"/>
      <c r="W780" s="79"/>
      <c r="Z780" s="130"/>
      <c r="AB780" s="106"/>
    </row>
    <row r="781">
      <c r="C781" s="79"/>
      <c r="D781" s="79"/>
      <c r="E781" s="79"/>
      <c r="M781" s="79"/>
      <c r="R781" s="79"/>
      <c r="S781" s="79"/>
      <c r="V781" s="79"/>
      <c r="W781" s="79"/>
      <c r="Z781" s="130"/>
      <c r="AB781" s="106"/>
    </row>
    <row r="782">
      <c r="C782" s="79"/>
      <c r="D782" s="79"/>
      <c r="E782" s="79"/>
      <c r="M782" s="79"/>
      <c r="R782" s="79"/>
      <c r="S782" s="79"/>
      <c r="V782" s="79"/>
      <c r="W782" s="79"/>
      <c r="Z782" s="130"/>
      <c r="AB782" s="106"/>
    </row>
    <row r="783">
      <c r="C783" s="79"/>
      <c r="D783" s="79"/>
      <c r="E783" s="79"/>
      <c r="M783" s="79"/>
      <c r="R783" s="79"/>
      <c r="S783" s="79"/>
      <c r="V783" s="79"/>
      <c r="W783" s="79"/>
      <c r="Z783" s="130"/>
      <c r="AB783" s="106"/>
    </row>
    <row r="784">
      <c r="C784" s="79"/>
      <c r="D784" s="79"/>
      <c r="E784" s="79"/>
      <c r="M784" s="79"/>
      <c r="R784" s="79"/>
      <c r="S784" s="79"/>
      <c r="V784" s="79"/>
      <c r="W784" s="79"/>
      <c r="Z784" s="130"/>
      <c r="AB784" s="106"/>
    </row>
    <row r="785">
      <c r="C785" s="79"/>
      <c r="D785" s="79"/>
      <c r="E785" s="79"/>
      <c r="M785" s="79"/>
      <c r="R785" s="79"/>
      <c r="S785" s="79"/>
      <c r="V785" s="79"/>
      <c r="W785" s="79"/>
      <c r="Z785" s="130"/>
      <c r="AB785" s="106"/>
    </row>
    <row r="786">
      <c r="C786" s="79"/>
      <c r="D786" s="79"/>
      <c r="E786" s="79"/>
      <c r="M786" s="79"/>
      <c r="R786" s="79"/>
      <c r="S786" s="79"/>
      <c r="V786" s="79"/>
      <c r="W786" s="79"/>
      <c r="Z786" s="130"/>
      <c r="AB786" s="106"/>
    </row>
    <row r="787">
      <c r="C787" s="79"/>
      <c r="D787" s="79"/>
      <c r="E787" s="79"/>
      <c r="M787" s="79"/>
      <c r="R787" s="79"/>
      <c r="S787" s="79"/>
      <c r="V787" s="79"/>
      <c r="W787" s="79"/>
      <c r="Z787" s="130"/>
      <c r="AB787" s="106"/>
    </row>
    <row r="788">
      <c r="C788" s="79"/>
      <c r="D788" s="79"/>
      <c r="E788" s="79"/>
      <c r="M788" s="79"/>
      <c r="R788" s="79"/>
      <c r="S788" s="79"/>
      <c r="V788" s="79"/>
      <c r="W788" s="79"/>
      <c r="Z788" s="130"/>
      <c r="AB788" s="106"/>
    </row>
    <row r="789">
      <c r="C789" s="79"/>
      <c r="D789" s="79"/>
      <c r="E789" s="79"/>
      <c r="M789" s="79"/>
      <c r="R789" s="79"/>
      <c r="S789" s="79"/>
      <c r="V789" s="79"/>
      <c r="W789" s="79"/>
      <c r="Z789" s="130"/>
      <c r="AB789" s="106"/>
    </row>
    <row r="790">
      <c r="C790" s="79"/>
      <c r="D790" s="79"/>
      <c r="E790" s="79"/>
      <c r="M790" s="79"/>
      <c r="R790" s="79"/>
      <c r="S790" s="79"/>
      <c r="V790" s="79"/>
      <c r="W790" s="79"/>
      <c r="Z790" s="130"/>
      <c r="AB790" s="106"/>
    </row>
    <row r="791">
      <c r="C791" s="79"/>
      <c r="D791" s="79"/>
      <c r="E791" s="79"/>
      <c r="M791" s="79"/>
      <c r="R791" s="79"/>
      <c r="S791" s="79"/>
      <c r="V791" s="79"/>
      <c r="W791" s="79"/>
      <c r="Z791" s="130"/>
      <c r="AB791" s="106"/>
    </row>
    <row r="792">
      <c r="C792" s="79"/>
      <c r="D792" s="79"/>
      <c r="E792" s="79"/>
      <c r="M792" s="79"/>
      <c r="R792" s="79"/>
      <c r="S792" s="79"/>
      <c r="V792" s="79"/>
      <c r="W792" s="79"/>
      <c r="Z792" s="130"/>
      <c r="AB792" s="106"/>
    </row>
    <row r="793">
      <c r="C793" s="79"/>
      <c r="D793" s="79"/>
      <c r="E793" s="79"/>
      <c r="M793" s="79"/>
      <c r="R793" s="79"/>
      <c r="S793" s="79"/>
      <c r="V793" s="79"/>
      <c r="W793" s="79"/>
      <c r="Z793" s="130"/>
      <c r="AB793" s="106"/>
    </row>
    <row r="794">
      <c r="C794" s="79"/>
      <c r="D794" s="79"/>
      <c r="E794" s="79"/>
      <c r="M794" s="79"/>
      <c r="R794" s="79"/>
      <c r="S794" s="79"/>
      <c r="V794" s="79"/>
      <c r="W794" s="79"/>
      <c r="Z794" s="130"/>
      <c r="AB794" s="106"/>
    </row>
    <row r="795">
      <c r="C795" s="79"/>
      <c r="D795" s="79"/>
      <c r="E795" s="79"/>
      <c r="M795" s="79"/>
      <c r="R795" s="79"/>
      <c r="S795" s="79"/>
      <c r="V795" s="79"/>
      <c r="W795" s="79"/>
      <c r="Z795" s="130"/>
      <c r="AB795" s="106"/>
    </row>
    <row r="796">
      <c r="C796" s="79"/>
      <c r="D796" s="79"/>
      <c r="E796" s="79"/>
      <c r="M796" s="79"/>
      <c r="R796" s="79"/>
      <c r="S796" s="79"/>
      <c r="V796" s="79"/>
      <c r="W796" s="79"/>
      <c r="Z796" s="130"/>
      <c r="AB796" s="106"/>
    </row>
    <row r="797">
      <c r="C797" s="79"/>
      <c r="D797" s="79"/>
      <c r="E797" s="79"/>
      <c r="M797" s="79"/>
      <c r="R797" s="79"/>
      <c r="S797" s="79"/>
      <c r="V797" s="79"/>
      <c r="W797" s="79"/>
      <c r="Z797" s="130"/>
      <c r="AB797" s="106"/>
    </row>
    <row r="798">
      <c r="C798" s="79"/>
      <c r="D798" s="79"/>
      <c r="E798" s="79"/>
      <c r="M798" s="79"/>
      <c r="R798" s="79"/>
      <c r="S798" s="79"/>
      <c r="V798" s="79"/>
      <c r="W798" s="79"/>
      <c r="Z798" s="130"/>
      <c r="AB798" s="106"/>
    </row>
    <row r="799">
      <c r="C799" s="79"/>
      <c r="D799" s="79"/>
      <c r="E799" s="79"/>
      <c r="M799" s="79"/>
      <c r="R799" s="79"/>
      <c r="S799" s="79"/>
      <c r="V799" s="79"/>
      <c r="W799" s="79"/>
      <c r="Z799" s="130"/>
      <c r="AB799" s="106"/>
    </row>
    <row r="800">
      <c r="C800" s="79"/>
      <c r="D800" s="79"/>
      <c r="E800" s="79"/>
      <c r="M800" s="79"/>
      <c r="R800" s="79"/>
      <c r="S800" s="79"/>
      <c r="V800" s="79"/>
      <c r="W800" s="79"/>
      <c r="Z800" s="130"/>
      <c r="AB800" s="106"/>
    </row>
    <row r="801">
      <c r="C801" s="79"/>
      <c r="D801" s="79"/>
      <c r="E801" s="79"/>
      <c r="M801" s="79"/>
      <c r="R801" s="79"/>
      <c r="S801" s="79"/>
      <c r="V801" s="79"/>
      <c r="W801" s="79"/>
      <c r="Z801" s="130"/>
      <c r="AB801" s="106"/>
    </row>
    <row r="802">
      <c r="C802" s="79"/>
      <c r="D802" s="79"/>
      <c r="E802" s="79"/>
      <c r="M802" s="79"/>
      <c r="R802" s="79"/>
      <c r="S802" s="79"/>
      <c r="V802" s="79"/>
      <c r="W802" s="79"/>
      <c r="Z802" s="130"/>
      <c r="AB802" s="106"/>
    </row>
    <row r="803">
      <c r="C803" s="79"/>
      <c r="D803" s="79"/>
      <c r="E803" s="79"/>
      <c r="M803" s="79"/>
      <c r="R803" s="79"/>
      <c r="S803" s="79"/>
      <c r="V803" s="79"/>
      <c r="W803" s="79"/>
      <c r="Z803" s="130"/>
      <c r="AB803" s="106"/>
    </row>
    <row r="804">
      <c r="C804" s="79"/>
      <c r="D804" s="79"/>
      <c r="E804" s="79"/>
      <c r="M804" s="79"/>
      <c r="R804" s="79"/>
      <c r="S804" s="79"/>
      <c r="V804" s="79"/>
      <c r="W804" s="79"/>
      <c r="Z804" s="130"/>
      <c r="AB804" s="106"/>
    </row>
    <row r="805">
      <c r="C805" s="79"/>
      <c r="D805" s="79"/>
      <c r="E805" s="79"/>
      <c r="M805" s="79"/>
      <c r="R805" s="79"/>
      <c r="S805" s="79"/>
      <c r="V805" s="79"/>
      <c r="W805" s="79"/>
      <c r="Z805" s="130"/>
      <c r="AB805" s="106"/>
    </row>
    <row r="806">
      <c r="C806" s="79"/>
      <c r="D806" s="79"/>
      <c r="E806" s="79"/>
      <c r="M806" s="79"/>
      <c r="R806" s="79"/>
      <c r="S806" s="79"/>
      <c r="V806" s="79"/>
      <c r="W806" s="79"/>
      <c r="Z806" s="130"/>
      <c r="AB806" s="106"/>
    </row>
    <row r="807">
      <c r="C807" s="79"/>
      <c r="D807" s="79"/>
      <c r="E807" s="79"/>
      <c r="M807" s="79"/>
      <c r="R807" s="79"/>
      <c r="S807" s="79"/>
      <c r="V807" s="79"/>
      <c r="W807" s="79"/>
      <c r="Z807" s="130"/>
      <c r="AB807" s="106"/>
    </row>
    <row r="808">
      <c r="C808" s="79"/>
      <c r="D808" s="79"/>
      <c r="E808" s="79"/>
      <c r="M808" s="79"/>
      <c r="R808" s="79"/>
      <c r="S808" s="79"/>
      <c r="V808" s="79"/>
      <c r="W808" s="79"/>
      <c r="Z808" s="130"/>
      <c r="AB808" s="106"/>
    </row>
    <row r="809">
      <c r="C809" s="79"/>
      <c r="D809" s="79"/>
      <c r="E809" s="79"/>
      <c r="M809" s="79"/>
      <c r="R809" s="79"/>
      <c r="S809" s="79"/>
      <c r="V809" s="79"/>
      <c r="W809" s="79"/>
      <c r="Z809" s="130"/>
      <c r="AB809" s="106"/>
    </row>
    <row r="810">
      <c r="C810" s="79"/>
      <c r="D810" s="79"/>
      <c r="E810" s="79"/>
      <c r="M810" s="79"/>
      <c r="R810" s="79"/>
      <c r="S810" s="79"/>
      <c r="V810" s="79"/>
      <c r="W810" s="79"/>
      <c r="Z810" s="130"/>
      <c r="AB810" s="106"/>
    </row>
    <row r="811">
      <c r="C811" s="79"/>
      <c r="D811" s="79"/>
      <c r="E811" s="79"/>
      <c r="M811" s="79"/>
      <c r="R811" s="79"/>
      <c r="S811" s="79"/>
      <c r="V811" s="79"/>
      <c r="W811" s="79"/>
      <c r="Z811" s="130"/>
      <c r="AB811" s="106"/>
    </row>
    <row r="812">
      <c r="C812" s="79"/>
      <c r="D812" s="79"/>
      <c r="E812" s="79"/>
      <c r="M812" s="79"/>
      <c r="R812" s="79"/>
      <c r="S812" s="79"/>
      <c r="V812" s="79"/>
      <c r="W812" s="79"/>
      <c r="Z812" s="130"/>
      <c r="AB812" s="106"/>
    </row>
    <row r="813">
      <c r="C813" s="79"/>
      <c r="D813" s="79"/>
      <c r="E813" s="79"/>
      <c r="M813" s="79"/>
      <c r="R813" s="79"/>
      <c r="S813" s="79"/>
      <c r="V813" s="79"/>
      <c r="W813" s="79"/>
      <c r="Z813" s="130"/>
      <c r="AB813" s="106"/>
    </row>
    <row r="814">
      <c r="C814" s="79"/>
      <c r="D814" s="79"/>
      <c r="E814" s="79"/>
      <c r="M814" s="79"/>
      <c r="R814" s="79"/>
      <c r="S814" s="79"/>
      <c r="V814" s="79"/>
      <c r="W814" s="79"/>
      <c r="Z814" s="130"/>
      <c r="AB814" s="106"/>
    </row>
    <row r="815">
      <c r="C815" s="79"/>
      <c r="D815" s="79"/>
      <c r="E815" s="79"/>
      <c r="M815" s="79"/>
      <c r="R815" s="79"/>
      <c r="S815" s="79"/>
      <c r="V815" s="79"/>
      <c r="W815" s="79"/>
      <c r="Z815" s="130"/>
      <c r="AB815" s="106"/>
    </row>
    <row r="816">
      <c r="C816" s="79"/>
      <c r="D816" s="79"/>
      <c r="E816" s="79"/>
      <c r="M816" s="79"/>
      <c r="R816" s="79"/>
      <c r="S816" s="79"/>
      <c r="V816" s="79"/>
      <c r="W816" s="79"/>
      <c r="Z816" s="130"/>
      <c r="AB816" s="106"/>
    </row>
    <row r="817">
      <c r="C817" s="79"/>
      <c r="D817" s="79"/>
      <c r="E817" s="79"/>
      <c r="M817" s="79"/>
      <c r="R817" s="79"/>
      <c r="S817" s="79"/>
      <c r="V817" s="79"/>
      <c r="W817" s="79"/>
      <c r="Z817" s="130"/>
      <c r="AB817" s="106"/>
    </row>
    <row r="818">
      <c r="C818" s="79"/>
      <c r="D818" s="79"/>
      <c r="E818" s="79"/>
      <c r="M818" s="79"/>
      <c r="R818" s="79"/>
      <c r="S818" s="79"/>
      <c r="V818" s="79"/>
      <c r="W818" s="79"/>
      <c r="Z818" s="130"/>
      <c r="AB818" s="106"/>
    </row>
    <row r="819">
      <c r="C819" s="79"/>
      <c r="D819" s="79"/>
      <c r="E819" s="79"/>
      <c r="M819" s="79"/>
      <c r="R819" s="79"/>
      <c r="S819" s="79"/>
      <c r="V819" s="79"/>
      <c r="W819" s="79"/>
      <c r="Z819" s="130"/>
      <c r="AB819" s="106"/>
    </row>
    <row r="820">
      <c r="C820" s="79"/>
      <c r="D820" s="79"/>
      <c r="E820" s="79"/>
      <c r="M820" s="79"/>
      <c r="R820" s="79"/>
      <c r="S820" s="79"/>
      <c r="V820" s="79"/>
      <c r="W820" s="79"/>
      <c r="Z820" s="130"/>
      <c r="AB820" s="106"/>
    </row>
    <row r="821">
      <c r="C821" s="79"/>
      <c r="D821" s="79"/>
      <c r="E821" s="79"/>
      <c r="M821" s="79"/>
      <c r="R821" s="79"/>
      <c r="S821" s="79"/>
      <c r="V821" s="79"/>
      <c r="W821" s="79"/>
      <c r="Z821" s="130"/>
      <c r="AB821" s="106"/>
    </row>
    <row r="822">
      <c r="C822" s="79"/>
      <c r="D822" s="79"/>
      <c r="E822" s="79"/>
      <c r="M822" s="79"/>
      <c r="R822" s="79"/>
      <c r="S822" s="79"/>
      <c r="V822" s="79"/>
      <c r="W822" s="79"/>
      <c r="Z822" s="130"/>
      <c r="AB822" s="106"/>
    </row>
    <row r="823">
      <c r="C823" s="79"/>
      <c r="D823" s="79"/>
      <c r="E823" s="79"/>
      <c r="M823" s="79"/>
      <c r="R823" s="79"/>
      <c r="S823" s="79"/>
      <c r="V823" s="79"/>
      <c r="W823" s="79"/>
      <c r="Z823" s="130"/>
      <c r="AB823" s="106"/>
    </row>
    <row r="824">
      <c r="C824" s="79"/>
      <c r="D824" s="79"/>
      <c r="E824" s="79"/>
      <c r="M824" s="79"/>
      <c r="R824" s="79"/>
      <c r="S824" s="79"/>
      <c r="V824" s="79"/>
      <c r="W824" s="79"/>
      <c r="Z824" s="130"/>
      <c r="AB824" s="106"/>
    </row>
    <row r="825">
      <c r="C825" s="79"/>
      <c r="D825" s="79"/>
      <c r="E825" s="79"/>
      <c r="M825" s="79"/>
      <c r="R825" s="79"/>
      <c r="S825" s="79"/>
      <c r="V825" s="79"/>
      <c r="W825" s="79"/>
      <c r="Z825" s="130"/>
      <c r="AB825" s="106"/>
    </row>
    <row r="826">
      <c r="C826" s="79"/>
      <c r="D826" s="79"/>
      <c r="E826" s="79"/>
      <c r="M826" s="79"/>
      <c r="R826" s="79"/>
      <c r="S826" s="79"/>
      <c r="V826" s="79"/>
      <c r="W826" s="79"/>
      <c r="Z826" s="130"/>
      <c r="AB826" s="106"/>
    </row>
    <row r="827">
      <c r="C827" s="79"/>
      <c r="D827" s="79"/>
      <c r="E827" s="79"/>
      <c r="M827" s="79"/>
      <c r="R827" s="79"/>
      <c r="S827" s="79"/>
      <c r="V827" s="79"/>
      <c r="W827" s="79"/>
      <c r="Z827" s="130"/>
      <c r="AB827" s="106"/>
    </row>
    <row r="828">
      <c r="C828" s="79"/>
      <c r="D828" s="79"/>
      <c r="E828" s="79"/>
      <c r="M828" s="79"/>
      <c r="R828" s="79"/>
      <c r="S828" s="79"/>
      <c r="V828" s="79"/>
      <c r="W828" s="79"/>
      <c r="Z828" s="130"/>
      <c r="AB828" s="106"/>
    </row>
    <row r="829">
      <c r="C829" s="79"/>
      <c r="D829" s="79"/>
      <c r="E829" s="79"/>
      <c r="M829" s="79"/>
      <c r="R829" s="79"/>
      <c r="S829" s="79"/>
      <c r="V829" s="79"/>
      <c r="W829" s="79"/>
      <c r="Z829" s="130"/>
      <c r="AB829" s="106"/>
    </row>
    <row r="830">
      <c r="C830" s="79"/>
      <c r="D830" s="79"/>
      <c r="E830" s="79"/>
      <c r="M830" s="79"/>
      <c r="R830" s="79"/>
      <c r="S830" s="79"/>
      <c r="V830" s="79"/>
      <c r="W830" s="79"/>
      <c r="Z830" s="130"/>
      <c r="AB830" s="106"/>
    </row>
    <row r="831">
      <c r="C831" s="79"/>
      <c r="D831" s="79"/>
      <c r="E831" s="79"/>
      <c r="M831" s="79"/>
      <c r="R831" s="79"/>
      <c r="S831" s="79"/>
      <c r="V831" s="79"/>
      <c r="W831" s="79"/>
      <c r="Z831" s="130"/>
      <c r="AB831" s="106"/>
    </row>
    <row r="832">
      <c r="C832" s="79"/>
      <c r="D832" s="79"/>
      <c r="E832" s="79"/>
      <c r="M832" s="79"/>
      <c r="R832" s="79"/>
      <c r="S832" s="79"/>
      <c r="V832" s="79"/>
      <c r="W832" s="79"/>
      <c r="Z832" s="130"/>
      <c r="AB832" s="106"/>
    </row>
    <row r="833">
      <c r="C833" s="79"/>
      <c r="D833" s="79"/>
      <c r="E833" s="79"/>
      <c r="M833" s="79"/>
      <c r="R833" s="79"/>
      <c r="S833" s="79"/>
      <c r="V833" s="79"/>
      <c r="W833" s="79"/>
      <c r="Z833" s="130"/>
      <c r="AB833" s="106"/>
    </row>
    <row r="834">
      <c r="C834" s="79"/>
      <c r="D834" s="79"/>
      <c r="E834" s="79"/>
      <c r="M834" s="79"/>
      <c r="R834" s="79"/>
      <c r="S834" s="79"/>
      <c r="V834" s="79"/>
      <c r="W834" s="79"/>
      <c r="Z834" s="130"/>
      <c r="AB834" s="106"/>
    </row>
    <row r="835">
      <c r="C835" s="79"/>
      <c r="D835" s="79"/>
      <c r="E835" s="79"/>
      <c r="M835" s="79"/>
      <c r="R835" s="79"/>
      <c r="S835" s="79"/>
      <c r="V835" s="79"/>
      <c r="W835" s="79"/>
      <c r="Z835" s="130"/>
      <c r="AB835" s="106"/>
    </row>
    <row r="836">
      <c r="C836" s="79"/>
      <c r="D836" s="79"/>
      <c r="E836" s="79"/>
      <c r="M836" s="79"/>
      <c r="R836" s="79"/>
      <c r="S836" s="79"/>
      <c r="V836" s="79"/>
      <c r="W836" s="79"/>
      <c r="Z836" s="130"/>
      <c r="AB836" s="106"/>
    </row>
    <row r="837">
      <c r="C837" s="79"/>
      <c r="D837" s="79"/>
      <c r="E837" s="79"/>
      <c r="M837" s="79"/>
      <c r="R837" s="79"/>
      <c r="S837" s="79"/>
      <c r="V837" s="79"/>
      <c r="W837" s="79"/>
      <c r="Z837" s="130"/>
      <c r="AB837" s="106"/>
    </row>
    <row r="838">
      <c r="C838" s="79"/>
      <c r="D838" s="79"/>
      <c r="E838" s="79"/>
      <c r="M838" s="79"/>
      <c r="R838" s="79"/>
      <c r="S838" s="79"/>
      <c r="V838" s="79"/>
      <c r="W838" s="79"/>
      <c r="Z838" s="130"/>
      <c r="AB838" s="106"/>
    </row>
    <row r="839">
      <c r="C839" s="79"/>
      <c r="D839" s="79"/>
      <c r="E839" s="79"/>
      <c r="M839" s="79"/>
      <c r="R839" s="79"/>
      <c r="S839" s="79"/>
      <c r="V839" s="79"/>
      <c r="W839" s="79"/>
      <c r="Z839" s="130"/>
      <c r="AB839" s="106"/>
    </row>
    <row r="840">
      <c r="C840" s="79"/>
      <c r="D840" s="79"/>
      <c r="E840" s="79"/>
      <c r="M840" s="79"/>
      <c r="R840" s="79"/>
      <c r="S840" s="79"/>
      <c r="V840" s="79"/>
      <c r="W840" s="79"/>
      <c r="Z840" s="130"/>
      <c r="AB840" s="106"/>
    </row>
    <row r="841">
      <c r="C841" s="79"/>
      <c r="D841" s="79"/>
      <c r="E841" s="79"/>
      <c r="M841" s="79"/>
      <c r="R841" s="79"/>
      <c r="S841" s="79"/>
      <c r="V841" s="79"/>
      <c r="W841" s="79"/>
      <c r="Z841" s="130"/>
      <c r="AB841" s="106"/>
    </row>
    <row r="842">
      <c r="C842" s="79"/>
      <c r="D842" s="79"/>
      <c r="E842" s="79"/>
      <c r="M842" s="79"/>
      <c r="R842" s="79"/>
      <c r="S842" s="79"/>
      <c r="V842" s="79"/>
      <c r="W842" s="79"/>
      <c r="Z842" s="130"/>
      <c r="AB842" s="106"/>
    </row>
    <row r="843">
      <c r="C843" s="79"/>
      <c r="D843" s="79"/>
      <c r="E843" s="79"/>
      <c r="M843" s="79"/>
      <c r="R843" s="79"/>
      <c r="S843" s="79"/>
      <c r="V843" s="79"/>
      <c r="W843" s="79"/>
      <c r="Z843" s="130"/>
      <c r="AB843" s="106"/>
    </row>
    <row r="844">
      <c r="C844" s="79"/>
      <c r="D844" s="79"/>
      <c r="E844" s="79"/>
      <c r="M844" s="79"/>
      <c r="R844" s="79"/>
      <c r="S844" s="79"/>
      <c r="V844" s="79"/>
      <c r="W844" s="79"/>
      <c r="Z844" s="130"/>
      <c r="AB844" s="106"/>
    </row>
    <row r="845">
      <c r="C845" s="79"/>
      <c r="D845" s="79"/>
      <c r="E845" s="79"/>
      <c r="M845" s="79"/>
      <c r="R845" s="79"/>
      <c r="S845" s="79"/>
      <c r="V845" s="79"/>
      <c r="W845" s="79"/>
      <c r="Z845" s="130"/>
      <c r="AB845" s="106"/>
    </row>
    <row r="846">
      <c r="C846" s="79"/>
      <c r="D846" s="79"/>
      <c r="E846" s="79"/>
      <c r="M846" s="79"/>
      <c r="R846" s="79"/>
      <c r="S846" s="79"/>
      <c r="V846" s="79"/>
      <c r="W846" s="79"/>
      <c r="Z846" s="130"/>
      <c r="AB846" s="106"/>
    </row>
    <row r="847">
      <c r="C847" s="79"/>
      <c r="D847" s="79"/>
      <c r="E847" s="79"/>
      <c r="M847" s="79"/>
      <c r="R847" s="79"/>
      <c r="S847" s="79"/>
      <c r="V847" s="79"/>
      <c r="W847" s="79"/>
      <c r="Z847" s="130"/>
      <c r="AB847" s="106"/>
    </row>
    <row r="848">
      <c r="C848" s="79"/>
      <c r="D848" s="79"/>
      <c r="E848" s="79"/>
      <c r="M848" s="79"/>
      <c r="R848" s="79"/>
      <c r="S848" s="79"/>
      <c r="V848" s="79"/>
      <c r="W848" s="79"/>
      <c r="Z848" s="130"/>
      <c r="AB848" s="106"/>
    </row>
    <row r="849">
      <c r="C849" s="79"/>
      <c r="D849" s="79"/>
      <c r="E849" s="79"/>
      <c r="M849" s="79"/>
      <c r="R849" s="79"/>
      <c r="S849" s="79"/>
      <c r="V849" s="79"/>
      <c r="W849" s="79"/>
      <c r="Z849" s="130"/>
      <c r="AB849" s="106"/>
    </row>
    <row r="850">
      <c r="C850" s="79"/>
      <c r="D850" s="79"/>
      <c r="E850" s="79"/>
      <c r="M850" s="79"/>
      <c r="R850" s="79"/>
      <c r="S850" s="79"/>
      <c r="V850" s="79"/>
      <c r="W850" s="79"/>
      <c r="Z850" s="130"/>
      <c r="AB850" s="106"/>
    </row>
    <row r="851">
      <c r="C851" s="79"/>
      <c r="D851" s="79"/>
      <c r="E851" s="79"/>
      <c r="M851" s="79"/>
      <c r="R851" s="79"/>
      <c r="S851" s="79"/>
      <c r="V851" s="79"/>
      <c r="W851" s="79"/>
      <c r="Z851" s="130"/>
      <c r="AB851" s="106"/>
    </row>
    <row r="852">
      <c r="C852" s="79"/>
      <c r="D852" s="79"/>
      <c r="E852" s="79"/>
      <c r="M852" s="79"/>
      <c r="R852" s="79"/>
      <c r="S852" s="79"/>
      <c r="V852" s="79"/>
      <c r="W852" s="79"/>
      <c r="Z852" s="130"/>
      <c r="AB852" s="106"/>
    </row>
    <row r="853">
      <c r="C853" s="79"/>
      <c r="D853" s="79"/>
      <c r="E853" s="79"/>
      <c r="M853" s="79"/>
      <c r="R853" s="79"/>
      <c r="S853" s="79"/>
      <c r="V853" s="79"/>
      <c r="W853" s="79"/>
      <c r="Z853" s="130"/>
      <c r="AB853" s="106"/>
    </row>
    <row r="854">
      <c r="C854" s="79"/>
      <c r="D854" s="79"/>
      <c r="E854" s="79"/>
      <c r="M854" s="79"/>
      <c r="R854" s="79"/>
      <c r="S854" s="79"/>
      <c r="V854" s="79"/>
      <c r="W854" s="79"/>
      <c r="Z854" s="130"/>
      <c r="AB854" s="106"/>
    </row>
    <row r="855">
      <c r="C855" s="79"/>
      <c r="D855" s="79"/>
      <c r="E855" s="79"/>
      <c r="M855" s="79"/>
      <c r="R855" s="79"/>
      <c r="S855" s="79"/>
      <c r="V855" s="79"/>
      <c r="W855" s="79"/>
      <c r="Z855" s="130"/>
      <c r="AB855" s="106"/>
    </row>
    <row r="856">
      <c r="C856" s="79"/>
      <c r="D856" s="79"/>
      <c r="E856" s="79"/>
      <c r="M856" s="79"/>
      <c r="R856" s="79"/>
      <c r="S856" s="79"/>
      <c r="V856" s="79"/>
      <c r="W856" s="79"/>
      <c r="Z856" s="130"/>
      <c r="AB856" s="106"/>
    </row>
    <row r="857">
      <c r="C857" s="79"/>
      <c r="D857" s="79"/>
      <c r="E857" s="79"/>
      <c r="M857" s="79"/>
      <c r="R857" s="79"/>
      <c r="S857" s="79"/>
      <c r="V857" s="79"/>
      <c r="W857" s="79"/>
      <c r="Z857" s="130"/>
      <c r="AB857" s="106"/>
    </row>
    <row r="858">
      <c r="C858" s="79"/>
      <c r="D858" s="79"/>
      <c r="E858" s="79"/>
      <c r="M858" s="79"/>
      <c r="R858" s="79"/>
      <c r="S858" s="79"/>
      <c r="V858" s="79"/>
      <c r="W858" s="79"/>
      <c r="Z858" s="130"/>
      <c r="AB858" s="106"/>
    </row>
    <row r="859">
      <c r="C859" s="79"/>
      <c r="D859" s="79"/>
      <c r="E859" s="79"/>
      <c r="M859" s="79"/>
      <c r="R859" s="79"/>
      <c r="S859" s="79"/>
      <c r="V859" s="79"/>
      <c r="W859" s="79"/>
      <c r="Z859" s="130"/>
      <c r="AB859" s="106"/>
    </row>
    <row r="860">
      <c r="C860" s="79"/>
      <c r="D860" s="79"/>
      <c r="E860" s="79"/>
      <c r="M860" s="79"/>
      <c r="R860" s="79"/>
      <c r="S860" s="79"/>
      <c r="V860" s="79"/>
      <c r="W860" s="79"/>
      <c r="Z860" s="130"/>
      <c r="AB860" s="106"/>
    </row>
    <row r="861">
      <c r="C861" s="79"/>
      <c r="D861" s="79"/>
      <c r="E861" s="79"/>
      <c r="M861" s="79"/>
      <c r="R861" s="79"/>
      <c r="S861" s="79"/>
      <c r="V861" s="79"/>
      <c r="W861" s="79"/>
      <c r="Z861" s="130"/>
      <c r="AB861" s="106"/>
    </row>
    <row r="862">
      <c r="C862" s="79"/>
      <c r="D862" s="79"/>
      <c r="E862" s="79"/>
      <c r="M862" s="79"/>
      <c r="R862" s="79"/>
      <c r="S862" s="79"/>
      <c r="V862" s="79"/>
      <c r="W862" s="79"/>
      <c r="Z862" s="130"/>
      <c r="AB862" s="106"/>
    </row>
    <row r="863">
      <c r="C863" s="79"/>
      <c r="D863" s="79"/>
      <c r="E863" s="79"/>
      <c r="M863" s="79"/>
      <c r="R863" s="79"/>
      <c r="S863" s="79"/>
      <c r="V863" s="79"/>
      <c r="W863" s="79"/>
      <c r="Z863" s="130"/>
      <c r="AB863" s="106"/>
    </row>
    <row r="864">
      <c r="C864" s="79"/>
      <c r="D864" s="79"/>
      <c r="E864" s="79"/>
      <c r="M864" s="79"/>
      <c r="R864" s="79"/>
      <c r="S864" s="79"/>
      <c r="V864" s="79"/>
      <c r="W864" s="79"/>
      <c r="Z864" s="130"/>
      <c r="AB864" s="106"/>
    </row>
    <row r="865">
      <c r="C865" s="79"/>
      <c r="D865" s="79"/>
      <c r="E865" s="79"/>
      <c r="M865" s="79"/>
      <c r="R865" s="79"/>
      <c r="S865" s="79"/>
      <c r="V865" s="79"/>
      <c r="W865" s="79"/>
      <c r="Z865" s="130"/>
      <c r="AB865" s="106"/>
    </row>
    <row r="866">
      <c r="C866" s="79"/>
      <c r="D866" s="79"/>
      <c r="E866" s="79"/>
      <c r="M866" s="79"/>
      <c r="R866" s="79"/>
      <c r="S866" s="79"/>
      <c r="V866" s="79"/>
      <c r="W866" s="79"/>
      <c r="Z866" s="130"/>
      <c r="AB866" s="106"/>
    </row>
    <row r="867">
      <c r="C867" s="79"/>
      <c r="D867" s="79"/>
      <c r="E867" s="79"/>
      <c r="M867" s="79"/>
      <c r="R867" s="79"/>
      <c r="S867" s="79"/>
      <c r="V867" s="79"/>
      <c r="W867" s="79"/>
      <c r="Z867" s="130"/>
      <c r="AB867" s="106"/>
    </row>
    <row r="868">
      <c r="C868" s="79"/>
      <c r="D868" s="79"/>
      <c r="E868" s="79"/>
      <c r="M868" s="79"/>
      <c r="R868" s="79"/>
      <c r="S868" s="79"/>
      <c r="V868" s="79"/>
      <c r="W868" s="79"/>
      <c r="Z868" s="130"/>
      <c r="AB868" s="106"/>
    </row>
    <row r="869">
      <c r="C869" s="79"/>
      <c r="D869" s="79"/>
      <c r="E869" s="79"/>
      <c r="M869" s="79"/>
      <c r="R869" s="79"/>
      <c r="S869" s="79"/>
      <c r="V869" s="79"/>
      <c r="W869" s="79"/>
      <c r="Z869" s="130"/>
      <c r="AB869" s="106"/>
    </row>
    <row r="870">
      <c r="C870" s="79"/>
      <c r="D870" s="79"/>
      <c r="E870" s="79"/>
      <c r="M870" s="79"/>
      <c r="R870" s="79"/>
      <c r="S870" s="79"/>
      <c r="V870" s="79"/>
      <c r="W870" s="79"/>
      <c r="Z870" s="130"/>
      <c r="AB870" s="106"/>
    </row>
    <row r="871">
      <c r="C871" s="79"/>
      <c r="D871" s="79"/>
      <c r="E871" s="79"/>
      <c r="M871" s="79"/>
      <c r="R871" s="79"/>
      <c r="S871" s="79"/>
      <c r="V871" s="79"/>
      <c r="W871" s="79"/>
      <c r="Z871" s="130"/>
      <c r="AB871" s="106"/>
    </row>
    <row r="872">
      <c r="C872" s="79"/>
      <c r="D872" s="79"/>
      <c r="E872" s="79"/>
      <c r="M872" s="79"/>
      <c r="R872" s="79"/>
      <c r="S872" s="79"/>
      <c r="V872" s="79"/>
      <c r="W872" s="79"/>
      <c r="Z872" s="130"/>
      <c r="AB872" s="106"/>
    </row>
    <row r="873">
      <c r="C873" s="79"/>
      <c r="D873" s="79"/>
      <c r="E873" s="79"/>
      <c r="M873" s="79"/>
      <c r="R873" s="79"/>
      <c r="S873" s="79"/>
      <c r="V873" s="79"/>
      <c r="W873" s="79"/>
      <c r="Z873" s="130"/>
      <c r="AB873" s="106"/>
    </row>
    <row r="874">
      <c r="C874" s="79"/>
      <c r="D874" s="79"/>
      <c r="E874" s="79"/>
      <c r="M874" s="79"/>
      <c r="R874" s="79"/>
      <c r="S874" s="79"/>
      <c r="V874" s="79"/>
      <c r="W874" s="79"/>
      <c r="Z874" s="130"/>
      <c r="AB874" s="106"/>
    </row>
    <row r="875">
      <c r="C875" s="79"/>
      <c r="D875" s="79"/>
      <c r="E875" s="79"/>
      <c r="M875" s="79"/>
      <c r="R875" s="79"/>
      <c r="S875" s="79"/>
      <c r="V875" s="79"/>
      <c r="W875" s="79"/>
      <c r="Z875" s="130"/>
      <c r="AB875" s="106"/>
    </row>
    <row r="876">
      <c r="C876" s="79"/>
      <c r="D876" s="79"/>
      <c r="E876" s="79"/>
      <c r="M876" s="79"/>
      <c r="R876" s="79"/>
      <c r="S876" s="79"/>
      <c r="V876" s="79"/>
      <c r="W876" s="79"/>
      <c r="Z876" s="130"/>
      <c r="AB876" s="106"/>
    </row>
    <row r="877">
      <c r="C877" s="79"/>
      <c r="D877" s="79"/>
      <c r="E877" s="79"/>
      <c r="M877" s="79"/>
      <c r="R877" s="79"/>
      <c r="S877" s="79"/>
      <c r="V877" s="79"/>
      <c r="W877" s="79"/>
      <c r="Z877" s="130"/>
      <c r="AB877" s="106"/>
    </row>
    <row r="878">
      <c r="C878" s="79"/>
      <c r="D878" s="79"/>
      <c r="E878" s="79"/>
      <c r="M878" s="79"/>
      <c r="R878" s="79"/>
      <c r="S878" s="79"/>
      <c r="V878" s="79"/>
      <c r="W878" s="79"/>
      <c r="Z878" s="130"/>
      <c r="AB878" s="106"/>
    </row>
    <row r="879">
      <c r="C879" s="79"/>
      <c r="D879" s="79"/>
      <c r="E879" s="79"/>
      <c r="M879" s="79"/>
      <c r="R879" s="79"/>
      <c r="S879" s="79"/>
      <c r="V879" s="79"/>
      <c r="W879" s="79"/>
      <c r="Z879" s="130"/>
      <c r="AB879" s="106"/>
    </row>
    <row r="880">
      <c r="C880" s="79"/>
      <c r="D880" s="79"/>
      <c r="E880" s="79"/>
      <c r="M880" s="79"/>
      <c r="R880" s="79"/>
      <c r="S880" s="79"/>
      <c r="V880" s="79"/>
      <c r="W880" s="79"/>
      <c r="Z880" s="130"/>
      <c r="AB880" s="106"/>
    </row>
    <row r="881">
      <c r="C881" s="79"/>
      <c r="D881" s="79"/>
      <c r="E881" s="79"/>
      <c r="M881" s="79"/>
      <c r="R881" s="79"/>
      <c r="S881" s="79"/>
      <c r="V881" s="79"/>
      <c r="W881" s="79"/>
      <c r="Z881" s="130"/>
      <c r="AB881" s="106"/>
    </row>
    <row r="882">
      <c r="C882" s="79"/>
      <c r="D882" s="79"/>
      <c r="E882" s="79"/>
      <c r="M882" s="79"/>
      <c r="R882" s="79"/>
      <c r="S882" s="79"/>
      <c r="V882" s="79"/>
      <c r="W882" s="79"/>
      <c r="Z882" s="130"/>
      <c r="AB882" s="106"/>
    </row>
    <row r="883">
      <c r="C883" s="79"/>
      <c r="D883" s="79"/>
      <c r="E883" s="79"/>
      <c r="M883" s="79"/>
      <c r="R883" s="79"/>
      <c r="S883" s="79"/>
      <c r="V883" s="79"/>
      <c r="W883" s="79"/>
      <c r="Z883" s="130"/>
      <c r="AB883" s="106"/>
    </row>
    <row r="884">
      <c r="C884" s="79"/>
      <c r="D884" s="79"/>
      <c r="E884" s="79"/>
      <c r="M884" s="79"/>
      <c r="R884" s="79"/>
      <c r="S884" s="79"/>
      <c r="V884" s="79"/>
      <c r="W884" s="79"/>
      <c r="Z884" s="130"/>
      <c r="AB884" s="106"/>
    </row>
    <row r="885">
      <c r="C885" s="79"/>
      <c r="D885" s="79"/>
      <c r="E885" s="79"/>
      <c r="M885" s="79"/>
      <c r="R885" s="79"/>
      <c r="S885" s="79"/>
      <c r="V885" s="79"/>
      <c r="W885" s="79"/>
      <c r="Z885" s="130"/>
      <c r="AB885" s="106"/>
    </row>
    <row r="886">
      <c r="C886" s="79"/>
      <c r="D886" s="79"/>
      <c r="E886" s="79"/>
      <c r="M886" s="79"/>
      <c r="R886" s="79"/>
      <c r="S886" s="79"/>
      <c r="V886" s="79"/>
      <c r="W886" s="79"/>
      <c r="Z886" s="130"/>
      <c r="AB886" s="106"/>
    </row>
    <row r="887">
      <c r="C887" s="79"/>
      <c r="D887" s="79"/>
      <c r="E887" s="79"/>
      <c r="M887" s="79"/>
      <c r="R887" s="79"/>
      <c r="S887" s="79"/>
      <c r="V887" s="79"/>
      <c r="W887" s="79"/>
      <c r="Z887" s="130"/>
      <c r="AB887" s="106"/>
    </row>
    <row r="888">
      <c r="C888" s="79"/>
      <c r="D888" s="79"/>
      <c r="E888" s="79"/>
      <c r="M888" s="79"/>
      <c r="R888" s="79"/>
      <c r="S888" s="79"/>
      <c r="V888" s="79"/>
      <c r="W888" s="79"/>
      <c r="Z888" s="130"/>
      <c r="AB888" s="106"/>
    </row>
    <row r="889">
      <c r="C889" s="79"/>
      <c r="D889" s="79"/>
      <c r="E889" s="79"/>
      <c r="M889" s="79"/>
      <c r="R889" s="79"/>
      <c r="S889" s="79"/>
      <c r="V889" s="79"/>
      <c r="W889" s="79"/>
      <c r="Z889" s="130"/>
      <c r="AB889" s="106"/>
    </row>
    <row r="890">
      <c r="C890" s="79"/>
      <c r="D890" s="79"/>
      <c r="E890" s="79"/>
      <c r="M890" s="79"/>
      <c r="R890" s="79"/>
      <c r="S890" s="79"/>
      <c r="V890" s="79"/>
      <c r="W890" s="79"/>
      <c r="Z890" s="130"/>
      <c r="AB890" s="106"/>
    </row>
    <row r="891">
      <c r="C891" s="79"/>
      <c r="D891" s="79"/>
      <c r="E891" s="79"/>
      <c r="M891" s="79"/>
      <c r="R891" s="79"/>
      <c r="S891" s="79"/>
      <c r="V891" s="79"/>
      <c r="W891" s="79"/>
      <c r="Z891" s="130"/>
      <c r="AB891" s="106"/>
    </row>
    <row r="892">
      <c r="C892" s="79"/>
      <c r="D892" s="79"/>
      <c r="E892" s="79"/>
      <c r="M892" s="79"/>
      <c r="R892" s="79"/>
      <c r="S892" s="79"/>
      <c r="V892" s="79"/>
      <c r="W892" s="79"/>
      <c r="Z892" s="130"/>
      <c r="AB892" s="106"/>
    </row>
    <row r="893">
      <c r="C893" s="79"/>
      <c r="D893" s="79"/>
      <c r="E893" s="79"/>
      <c r="M893" s="79"/>
      <c r="R893" s="79"/>
      <c r="S893" s="79"/>
      <c r="V893" s="79"/>
      <c r="W893" s="79"/>
      <c r="Z893" s="130"/>
      <c r="AB893" s="106"/>
    </row>
    <row r="894">
      <c r="C894" s="79"/>
      <c r="D894" s="79"/>
      <c r="E894" s="79"/>
      <c r="M894" s="79"/>
      <c r="R894" s="79"/>
      <c r="S894" s="79"/>
      <c r="V894" s="79"/>
      <c r="W894" s="79"/>
      <c r="Z894" s="130"/>
      <c r="AB894" s="106"/>
    </row>
    <row r="895">
      <c r="C895" s="79"/>
      <c r="D895" s="79"/>
      <c r="E895" s="79"/>
      <c r="M895" s="79"/>
      <c r="R895" s="79"/>
      <c r="S895" s="79"/>
      <c r="V895" s="79"/>
      <c r="W895" s="79"/>
      <c r="Z895" s="130"/>
      <c r="AB895" s="106"/>
    </row>
    <row r="896">
      <c r="C896" s="79"/>
      <c r="D896" s="79"/>
      <c r="E896" s="79"/>
      <c r="M896" s="79"/>
      <c r="R896" s="79"/>
      <c r="S896" s="79"/>
      <c r="V896" s="79"/>
      <c r="W896" s="79"/>
      <c r="Z896" s="130"/>
      <c r="AB896" s="106"/>
    </row>
    <row r="897">
      <c r="C897" s="79"/>
      <c r="D897" s="79"/>
      <c r="E897" s="79"/>
      <c r="M897" s="79"/>
      <c r="R897" s="79"/>
      <c r="S897" s="79"/>
      <c r="V897" s="79"/>
      <c r="W897" s="79"/>
      <c r="Z897" s="130"/>
      <c r="AB897" s="106"/>
    </row>
    <row r="898">
      <c r="C898" s="79"/>
      <c r="D898" s="79"/>
      <c r="E898" s="79"/>
      <c r="M898" s="79"/>
      <c r="R898" s="79"/>
      <c r="S898" s="79"/>
      <c r="V898" s="79"/>
      <c r="W898" s="79"/>
      <c r="Z898" s="130"/>
      <c r="AB898" s="106"/>
    </row>
    <row r="899">
      <c r="C899" s="79"/>
      <c r="D899" s="79"/>
      <c r="E899" s="79"/>
      <c r="M899" s="79"/>
      <c r="R899" s="79"/>
      <c r="S899" s="79"/>
      <c r="V899" s="79"/>
      <c r="W899" s="79"/>
      <c r="Z899" s="130"/>
      <c r="AB899" s="106"/>
    </row>
    <row r="900">
      <c r="C900" s="79"/>
      <c r="D900" s="79"/>
      <c r="E900" s="79"/>
      <c r="M900" s="79"/>
      <c r="R900" s="79"/>
      <c r="S900" s="79"/>
      <c r="V900" s="79"/>
      <c r="W900" s="79"/>
      <c r="Z900" s="130"/>
      <c r="AB900" s="106"/>
    </row>
    <row r="901">
      <c r="C901" s="79"/>
      <c r="D901" s="79"/>
      <c r="E901" s="79"/>
      <c r="M901" s="79"/>
      <c r="R901" s="79"/>
      <c r="S901" s="79"/>
      <c r="V901" s="79"/>
      <c r="W901" s="79"/>
      <c r="Z901" s="130"/>
      <c r="AB901" s="106"/>
    </row>
    <row r="902">
      <c r="C902" s="79"/>
      <c r="D902" s="79"/>
      <c r="E902" s="79"/>
      <c r="M902" s="79"/>
      <c r="R902" s="79"/>
      <c r="S902" s="79"/>
      <c r="V902" s="79"/>
      <c r="W902" s="79"/>
      <c r="Z902" s="130"/>
      <c r="AB902" s="106"/>
    </row>
    <row r="903">
      <c r="C903" s="79"/>
      <c r="D903" s="79"/>
      <c r="E903" s="79"/>
      <c r="M903" s="79"/>
      <c r="R903" s="79"/>
      <c r="S903" s="79"/>
      <c r="V903" s="79"/>
      <c r="W903" s="79"/>
      <c r="Z903" s="130"/>
      <c r="AB903" s="106"/>
    </row>
    <row r="904">
      <c r="C904" s="79"/>
      <c r="D904" s="79"/>
      <c r="E904" s="79"/>
      <c r="M904" s="79"/>
      <c r="R904" s="79"/>
      <c r="S904" s="79"/>
      <c r="V904" s="79"/>
      <c r="W904" s="79"/>
      <c r="Z904" s="130"/>
      <c r="AB904" s="106"/>
    </row>
    <row r="905">
      <c r="C905" s="79"/>
      <c r="D905" s="79"/>
      <c r="E905" s="79"/>
      <c r="M905" s="79"/>
      <c r="R905" s="79"/>
      <c r="S905" s="79"/>
      <c r="V905" s="79"/>
      <c r="W905" s="79"/>
      <c r="Z905" s="130"/>
      <c r="AB905" s="106"/>
    </row>
    <row r="906">
      <c r="C906" s="79"/>
      <c r="D906" s="79"/>
      <c r="E906" s="79"/>
      <c r="M906" s="79"/>
      <c r="R906" s="79"/>
      <c r="S906" s="79"/>
      <c r="V906" s="79"/>
      <c r="W906" s="79"/>
      <c r="Z906" s="130"/>
      <c r="AB906" s="106"/>
    </row>
    <row r="907">
      <c r="C907" s="79"/>
      <c r="D907" s="79"/>
      <c r="E907" s="79"/>
      <c r="M907" s="79"/>
      <c r="R907" s="79"/>
      <c r="S907" s="79"/>
      <c r="V907" s="79"/>
      <c r="W907" s="79"/>
      <c r="Z907" s="130"/>
      <c r="AB907" s="106"/>
    </row>
    <row r="908">
      <c r="C908" s="79"/>
      <c r="D908" s="79"/>
      <c r="E908" s="79"/>
      <c r="M908" s="79"/>
      <c r="R908" s="79"/>
      <c r="S908" s="79"/>
      <c r="V908" s="79"/>
      <c r="W908" s="79"/>
      <c r="Z908" s="130"/>
      <c r="AB908" s="106"/>
    </row>
    <row r="909">
      <c r="C909" s="79"/>
      <c r="D909" s="79"/>
      <c r="E909" s="79"/>
      <c r="M909" s="79"/>
      <c r="R909" s="79"/>
      <c r="S909" s="79"/>
      <c r="V909" s="79"/>
      <c r="W909" s="79"/>
      <c r="Z909" s="130"/>
      <c r="AB909" s="106"/>
    </row>
    <row r="910">
      <c r="C910" s="79"/>
      <c r="D910" s="79"/>
      <c r="E910" s="79"/>
      <c r="M910" s="79"/>
      <c r="R910" s="79"/>
      <c r="S910" s="79"/>
      <c r="V910" s="79"/>
      <c r="W910" s="79"/>
      <c r="Z910" s="130"/>
      <c r="AB910" s="106"/>
    </row>
    <row r="911">
      <c r="C911" s="79"/>
      <c r="D911" s="79"/>
      <c r="E911" s="79"/>
      <c r="M911" s="79"/>
      <c r="R911" s="79"/>
      <c r="S911" s="79"/>
      <c r="V911" s="79"/>
      <c r="W911" s="79"/>
      <c r="Z911" s="130"/>
      <c r="AB911" s="106"/>
    </row>
    <row r="912">
      <c r="C912" s="79"/>
      <c r="D912" s="79"/>
      <c r="E912" s="79"/>
      <c r="M912" s="79"/>
      <c r="R912" s="79"/>
      <c r="S912" s="79"/>
      <c r="V912" s="79"/>
      <c r="W912" s="79"/>
      <c r="Z912" s="130"/>
      <c r="AB912" s="106"/>
    </row>
    <row r="913">
      <c r="C913" s="79"/>
      <c r="D913" s="79"/>
      <c r="E913" s="79"/>
      <c r="M913" s="79"/>
      <c r="R913" s="79"/>
      <c r="S913" s="79"/>
      <c r="V913" s="79"/>
      <c r="W913" s="79"/>
      <c r="Z913" s="130"/>
      <c r="AB913" s="106"/>
    </row>
    <row r="914">
      <c r="C914" s="79"/>
      <c r="D914" s="79"/>
      <c r="E914" s="79"/>
      <c r="M914" s="79"/>
      <c r="R914" s="79"/>
      <c r="S914" s="79"/>
      <c r="V914" s="79"/>
      <c r="W914" s="79"/>
      <c r="Z914" s="130"/>
      <c r="AB914" s="106"/>
    </row>
    <row r="915">
      <c r="C915" s="79"/>
      <c r="D915" s="79"/>
      <c r="E915" s="79"/>
      <c r="M915" s="79"/>
      <c r="R915" s="79"/>
      <c r="S915" s="79"/>
      <c r="V915" s="79"/>
      <c r="W915" s="79"/>
      <c r="Z915" s="130"/>
      <c r="AB915" s="106"/>
    </row>
    <row r="916">
      <c r="C916" s="79"/>
      <c r="D916" s="79"/>
      <c r="E916" s="79"/>
      <c r="M916" s="79"/>
      <c r="R916" s="79"/>
      <c r="S916" s="79"/>
      <c r="V916" s="79"/>
      <c r="W916" s="79"/>
      <c r="Z916" s="130"/>
      <c r="AB916" s="106"/>
    </row>
    <row r="917">
      <c r="C917" s="79"/>
      <c r="D917" s="79"/>
      <c r="E917" s="79"/>
      <c r="M917" s="79"/>
      <c r="R917" s="79"/>
      <c r="S917" s="79"/>
      <c r="V917" s="79"/>
      <c r="W917" s="79"/>
      <c r="Z917" s="130"/>
      <c r="AB917" s="106"/>
    </row>
    <row r="918">
      <c r="C918" s="79"/>
      <c r="D918" s="79"/>
      <c r="E918" s="79"/>
      <c r="M918" s="79"/>
      <c r="R918" s="79"/>
      <c r="S918" s="79"/>
      <c r="V918" s="79"/>
      <c r="W918" s="79"/>
      <c r="Z918" s="130"/>
      <c r="AB918" s="106"/>
    </row>
    <row r="919">
      <c r="C919" s="79"/>
      <c r="D919" s="79"/>
      <c r="E919" s="79"/>
      <c r="M919" s="79"/>
      <c r="R919" s="79"/>
      <c r="S919" s="79"/>
      <c r="V919" s="79"/>
      <c r="W919" s="79"/>
      <c r="Z919" s="130"/>
      <c r="AB919" s="106"/>
    </row>
    <row r="920">
      <c r="C920" s="79"/>
      <c r="D920" s="79"/>
      <c r="E920" s="79"/>
      <c r="M920" s="79"/>
      <c r="R920" s="79"/>
      <c r="S920" s="79"/>
      <c r="V920" s="79"/>
      <c r="W920" s="79"/>
      <c r="Z920" s="130"/>
      <c r="AB920" s="106"/>
    </row>
    <row r="921">
      <c r="C921" s="79"/>
      <c r="D921" s="79"/>
      <c r="E921" s="79"/>
      <c r="M921" s="79"/>
      <c r="R921" s="79"/>
      <c r="S921" s="79"/>
      <c r="V921" s="79"/>
      <c r="W921" s="79"/>
      <c r="Z921" s="130"/>
      <c r="AB921" s="106"/>
    </row>
    <row r="922">
      <c r="C922" s="79"/>
      <c r="D922" s="79"/>
      <c r="E922" s="79"/>
      <c r="M922" s="79"/>
      <c r="R922" s="79"/>
      <c r="S922" s="79"/>
      <c r="V922" s="79"/>
      <c r="W922" s="79"/>
      <c r="Z922" s="130"/>
      <c r="AB922" s="106"/>
    </row>
    <row r="923">
      <c r="C923" s="79"/>
      <c r="D923" s="79"/>
      <c r="E923" s="79"/>
      <c r="M923" s="79"/>
      <c r="R923" s="79"/>
      <c r="S923" s="79"/>
      <c r="V923" s="79"/>
      <c r="W923" s="79"/>
      <c r="Z923" s="130"/>
      <c r="AB923" s="106"/>
    </row>
    <row r="924">
      <c r="C924" s="79"/>
      <c r="D924" s="79"/>
      <c r="E924" s="79"/>
      <c r="M924" s="79"/>
      <c r="R924" s="79"/>
      <c r="S924" s="79"/>
      <c r="V924" s="79"/>
      <c r="W924" s="79"/>
      <c r="Z924" s="130"/>
      <c r="AB924" s="106"/>
    </row>
    <row r="925">
      <c r="C925" s="79"/>
      <c r="D925" s="79"/>
      <c r="E925" s="79"/>
      <c r="M925" s="79"/>
      <c r="R925" s="79"/>
      <c r="S925" s="79"/>
      <c r="V925" s="79"/>
      <c r="W925" s="79"/>
      <c r="Z925" s="130"/>
      <c r="AB925" s="106"/>
    </row>
    <row r="926">
      <c r="C926" s="79"/>
      <c r="D926" s="79"/>
      <c r="E926" s="79"/>
      <c r="M926" s="79"/>
      <c r="R926" s="79"/>
      <c r="S926" s="79"/>
      <c r="V926" s="79"/>
      <c r="W926" s="79"/>
      <c r="Z926" s="130"/>
      <c r="AB926" s="106"/>
    </row>
    <row r="927">
      <c r="C927" s="79"/>
      <c r="D927" s="79"/>
      <c r="E927" s="79"/>
      <c r="M927" s="79"/>
      <c r="R927" s="79"/>
      <c r="S927" s="79"/>
      <c r="V927" s="79"/>
      <c r="W927" s="79"/>
      <c r="Z927" s="130"/>
      <c r="AB927" s="106"/>
    </row>
    <row r="928">
      <c r="C928" s="79"/>
      <c r="D928" s="79"/>
      <c r="E928" s="79"/>
      <c r="M928" s="79"/>
      <c r="R928" s="79"/>
      <c r="S928" s="79"/>
      <c r="V928" s="79"/>
      <c r="W928" s="79"/>
      <c r="Z928" s="130"/>
      <c r="AB928" s="106"/>
    </row>
    <row r="929">
      <c r="C929" s="79"/>
      <c r="D929" s="79"/>
      <c r="E929" s="79"/>
      <c r="M929" s="79"/>
      <c r="R929" s="79"/>
      <c r="S929" s="79"/>
      <c r="V929" s="79"/>
      <c r="W929" s="79"/>
      <c r="Z929" s="130"/>
      <c r="AB929" s="106"/>
    </row>
    <row r="930">
      <c r="C930" s="79"/>
      <c r="D930" s="79"/>
      <c r="E930" s="79"/>
      <c r="M930" s="79"/>
      <c r="R930" s="79"/>
      <c r="S930" s="79"/>
      <c r="V930" s="79"/>
      <c r="W930" s="79"/>
      <c r="Z930" s="130"/>
      <c r="AB930" s="106"/>
    </row>
    <row r="931">
      <c r="C931" s="79"/>
      <c r="D931" s="79"/>
      <c r="E931" s="79"/>
      <c r="M931" s="79"/>
      <c r="R931" s="79"/>
      <c r="S931" s="79"/>
      <c r="V931" s="79"/>
      <c r="W931" s="79"/>
      <c r="Z931" s="130"/>
      <c r="AB931" s="106"/>
    </row>
    <row r="932">
      <c r="C932" s="79"/>
      <c r="D932" s="79"/>
      <c r="E932" s="79"/>
      <c r="M932" s="79"/>
      <c r="R932" s="79"/>
      <c r="S932" s="79"/>
      <c r="V932" s="79"/>
      <c r="W932" s="79"/>
      <c r="Z932" s="130"/>
      <c r="AB932" s="106"/>
    </row>
    <row r="933">
      <c r="C933" s="79"/>
      <c r="D933" s="79"/>
      <c r="E933" s="79"/>
      <c r="M933" s="79"/>
      <c r="R933" s="79"/>
      <c r="S933" s="79"/>
      <c r="V933" s="79"/>
      <c r="W933" s="79"/>
      <c r="Z933" s="130"/>
      <c r="AB933" s="106"/>
    </row>
    <row r="934">
      <c r="C934" s="79"/>
      <c r="D934" s="79"/>
      <c r="E934" s="79"/>
      <c r="M934" s="79"/>
      <c r="R934" s="79"/>
      <c r="S934" s="79"/>
      <c r="V934" s="79"/>
      <c r="W934" s="79"/>
      <c r="Z934" s="130"/>
      <c r="AB934" s="106"/>
    </row>
    <row r="935">
      <c r="C935" s="79"/>
      <c r="D935" s="79"/>
      <c r="E935" s="79"/>
      <c r="M935" s="79"/>
      <c r="R935" s="79"/>
      <c r="S935" s="79"/>
      <c r="V935" s="79"/>
      <c r="W935" s="79"/>
      <c r="Z935" s="130"/>
      <c r="AB935" s="106"/>
    </row>
    <row r="936">
      <c r="C936" s="79"/>
      <c r="D936" s="79"/>
      <c r="E936" s="79"/>
      <c r="M936" s="79"/>
      <c r="R936" s="79"/>
      <c r="S936" s="79"/>
      <c r="V936" s="79"/>
      <c r="W936" s="79"/>
      <c r="Z936" s="130"/>
      <c r="AB936" s="106"/>
    </row>
    <row r="937">
      <c r="C937" s="79"/>
      <c r="D937" s="79"/>
      <c r="E937" s="79"/>
      <c r="M937" s="79"/>
      <c r="R937" s="79"/>
      <c r="S937" s="79"/>
      <c r="V937" s="79"/>
      <c r="W937" s="79"/>
      <c r="Z937" s="130"/>
      <c r="AB937" s="106"/>
    </row>
    <row r="938">
      <c r="C938" s="79"/>
      <c r="D938" s="79"/>
      <c r="E938" s="79"/>
      <c r="M938" s="79"/>
      <c r="R938" s="79"/>
      <c r="S938" s="79"/>
      <c r="V938" s="79"/>
      <c r="W938" s="79"/>
      <c r="Z938" s="130"/>
      <c r="AB938" s="106"/>
    </row>
    <row r="939">
      <c r="C939" s="79"/>
      <c r="D939" s="79"/>
      <c r="E939" s="79"/>
      <c r="M939" s="79"/>
      <c r="R939" s="79"/>
      <c r="S939" s="79"/>
      <c r="V939" s="79"/>
      <c r="W939" s="79"/>
      <c r="Z939" s="130"/>
      <c r="AB939" s="106"/>
    </row>
    <row r="940">
      <c r="C940" s="79"/>
      <c r="D940" s="79"/>
      <c r="E940" s="79"/>
      <c r="M940" s="79"/>
      <c r="R940" s="79"/>
      <c r="S940" s="79"/>
      <c r="V940" s="79"/>
      <c r="W940" s="79"/>
      <c r="Z940" s="130"/>
      <c r="AB940" s="106"/>
    </row>
    <row r="941">
      <c r="C941" s="79"/>
      <c r="D941" s="79"/>
      <c r="E941" s="79"/>
      <c r="M941" s="79"/>
      <c r="R941" s="79"/>
      <c r="S941" s="79"/>
      <c r="V941" s="79"/>
      <c r="W941" s="79"/>
      <c r="Z941" s="130"/>
      <c r="AB941" s="106"/>
    </row>
    <row r="942">
      <c r="C942" s="79"/>
      <c r="D942" s="79"/>
      <c r="E942" s="79"/>
      <c r="M942" s="79"/>
      <c r="R942" s="79"/>
      <c r="S942" s="79"/>
      <c r="V942" s="79"/>
      <c r="W942" s="79"/>
      <c r="Z942" s="130"/>
      <c r="AB942" s="106"/>
    </row>
    <row r="943">
      <c r="C943" s="79"/>
      <c r="D943" s="79"/>
      <c r="E943" s="79"/>
      <c r="M943" s="79"/>
      <c r="R943" s="79"/>
      <c r="S943" s="79"/>
      <c r="V943" s="79"/>
      <c r="W943" s="79"/>
      <c r="Z943" s="130"/>
      <c r="AB943" s="106"/>
    </row>
    <row r="944">
      <c r="C944" s="79"/>
      <c r="D944" s="79"/>
      <c r="E944" s="79"/>
      <c r="M944" s="79"/>
      <c r="R944" s="79"/>
      <c r="S944" s="79"/>
      <c r="V944" s="79"/>
      <c r="W944" s="79"/>
      <c r="Z944" s="130"/>
      <c r="AB944" s="106"/>
    </row>
    <row r="945">
      <c r="C945" s="79"/>
      <c r="D945" s="79"/>
      <c r="E945" s="79"/>
      <c r="M945" s="79"/>
      <c r="R945" s="79"/>
      <c r="S945" s="79"/>
      <c r="V945" s="79"/>
      <c r="W945" s="79"/>
      <c r="Z945" s="130"/>
      <c r="AB945" s="106"/>
    </row>
    <row r="946">
      <c r="C946" s="79"/>
      <c r="D946" s="79"/>
      <c r="E946" s="79"/>
      <c r="M946" s="79"/>
      <c r="R946" s="79"/>
      <c r="S946" s="79"/>
      <c r="V946" s="79"/>
      <c r="W946" s="79"/>
      <c r="Z946" s="130"/>
      <c r="AB946" s="106"/>
    </row>
    <row r="947">
      <c r="C947" s="79"/>
      <c r="D947" s="79"/>
      <c r="E947" s="79"/>
      <c r="M947" s="79"/>
      <c r="R947" s="79"/>
      <c r="S947" s="79"/>
      <c r="V947" s="79"/>
      <c r="W947" s="79"/>
      <c r="Z947" s="130"/>
      <c r="AB947" s="106"/>
    </row>
    <row r="948">
      <c r="C948" s="79"/>
      <c r="D948" s="79"/>
      <c r="E948" s="79"/>
      <c r="M948" s="79"/>
      <c r="R948" s="79"/>
      <c r="S948" s="79"/>
      <c r="V948" s="79"/>
      <c r="W948" s="79"/>
      <c r="Z948" s="130"/>
      <c r="AB948" s="106"/>
    </row>
    <row r="949">
      <c r="C949" s="79"/>
      <c r="D949" s="79"/>
      <c r="E949" s="79"/>
      <c r="M949" s="79"/>
      <c r="R949" s="79"/>
      <c r="S949" s="79"/>
      <c r="V949" s="79"/>
      <c r="W949" s="79"/>
      <c r="Z949" s="130"/>
      <c r="AB949" s="106"/>
    </row>
    <row r="950">
      <c r="C950" s="79"/>
      <c r="D950" s="79"/>
      <c r="E950" s="79"/>
      <c r="M950" s="79"/>
      <c r="R950" s="79"/>
      <c r="S950" s="79"/>
      <c r="V950" s="79"/>
      <c r="W950" s="79"/>
      <c r="Z950" s="130"/>
      <c r="AB950" s="106"/>
    </row>
    <row r="951">
      <c r="C951" s="79"/>
      <c r="D951" s="79"/>
      <c r="E951" s="79"/>
      <c r="M951" s="79"/>
      <c r="R951" s="79"/>
      <c r="S951" s="79"/>
      <c r="V951" s="79"/>
      <c r="W951" s="79"/>
      <c r="Z951" s="130"/>
      <c r="AB951" s="106"/>
    </row>
    <row r="952">
      <c r="C952" s="79"/>
      <c r="D952" s="79"/>
      <c r="E952" s="79"/>
      <c r="M952" s="79"/>
      <c r="R952" s="79"/>
      <c r="S952" s="79"/>
      <c r="V952" s="79"/>
      <c r="W952" s="79"/>
      <c r="Z952" s="130"/>
      <c r="AB952" s="106"/>
    </row>
    <row r="953">
      <c r="C953" s="79"/>
      <c r="D953" s="79"/>
      <c r="E953" s="79"/>
      <c r="M953" s="79"/>
      <c r="R953" s="79"/>
      <c r="S953" s="79"/>
      <c r="V953" s="79"/>
      <c r="W953" s="79"/>
      <c r="Z953" s="130"/>
      <c r="AB953" s="106"/>
    </row>
    <row r="954">
      <c r="C954" s="79"/>
      <c r="D954" s="79"/>
      <c r="E954" s="79"/>
      <c r="M954" s="79"/>
      <c r="R954" s="79"/>
      <c r="S954" s="79"/>
      <c r="V954" s="79"/>
      <c r="W954" s="79"/>
      <c r="Z954" s="130"/>
      <c r="AB954" s="106"/>
    </row>
    <row r="955">
      <c r="C955" s="79"/>
      <c r="D955" s="79"/>
      <c r="E955" s="79"/>
      <c r="M955" s="79"/>
      <c r="R955" s="79"/>
      <c r="S955" s="79"/>
      <c r="V955" s="79"/>
      <c r="W955" s="79"/>
      <c r="Z955" s="130"/>
      <c r="AB955" s="106"/>
    </row>
    <row r="956">
      <c r="C956" s="79"/>
      <c r="D956" s="79"/>
      <c r="E956" s="79"/>
      <c r="M956" s="79"/>
      <c r="R956" s="79"/>
      <c r="S956" s="79"/>
      <c r="V956" s="79"/>
      <c r="W956" s="79"/>
      <c r="Z956" s="130"/>
      <c r="AB956" s="106"/>
    </row>
    <row r="957">
      <c r="C957" s="79"/>
      <c r="D957" s="79"/>
      <c r="E957" s="79"/>
      <c r="M957" s="79"/>
      <c r="R957" s="79"/>
      <c r="S957" s="79"/>
      <c r="V957" s="79"/>
      <c r="W957" s="79"/>
      <c r="Z957" s="130"/>
      <c r="AB957" s="106"/>
    </row>
    <row r="958">
      <c r="C958" s="79"/>
      <c r="D958" s="79"/>
      <c r="E958" s="79"/>
      <c r="M958" s="79"/>
      <c r="R958" s="79"/>
      <c r="S958" s="79"/>
      <c r="V958" s="79"/>
      <c r="W958" s="79"/>
      <c r="Z958" s="130"/>
      <c r="AB958" s="106"/>
    </row>
    <row r="959">
      <c r="C959" s="79"/>
      <c r="D959" s="79"/>
      <c r="E959" s="79"/>
      <c r="M959" s="79"/>
      <c r="R959" s="79"/>
      <c r="S959" s="79"/>
      <c r="V959" s="79"/>
      <c r="W959" s="79"/>
      <c r="Z959" s="130"/>
      <c r="AB959" s="106"/>
    </row>
    <row r="960">
      <c r="C960" s="79"/>
      <c r="D960" s="79"/>
      <c r="E960" s="79"/>
      <c r="M960" s="79"/>
      <c r="R960" s="79"/>
      <c r="S960" s="79"/>
      <c r="V960" s="79"/>
      <c r="W960" s="79"/>
      <c r="Z960" s="130"/>
      <c r="AB960" s="106"/>
    </row>
    <row r="961">
      <c r="C961" s="79"/>
      <c r="D961" s="79"/>
      <c r="E961" s="79"/>
      <c r="M961" s="79"/>
      <c r="R961" s="79"/>
      <c r="S961" s="79"/>
      <c r="V961" s="79"/>
      <c r="W961" s="79"/>
      <c r="Z961" s="130"/>
      <c r="AB961" s="106"/>
    </row>
    <row r="962">
      <c r="C962" s="79"/>
      <c r="D962" s="79"/>
      <c r="E962" s="79"/>
      <c r="M962" s="79"/>
      <c r="R962" s="79"/>
      <c r="S962" s="79"/>
      <c r="V962" s="79"/>
      <c r="W962" s="79"/>
      <c r="Z962" s="130"/>
      <c r="AB962" s="106"/>
    </row>
    <row r="963">
      <c r="C963" s="79"/>
      <c r="D963" s="79"/>
      <c r="E963" s="79"/>
      <c r="M963" s="79"/>
      <c r="R963" s="79"/>
      <c r="S963" s="79"/>
      <c r="V963" s="79"/>
      <c r="W963" s="79"/>
      <c r="Z963" s="130"/>
      <c r="AB963" s="106"/>
    </row>
    <row r="964">
      <c r="C964" s="79"/>
      <c r="D964" s="79"/>
      <c r="E964" s="79"/>
      <c r="M964" s="79"/>
      <c r="R964" s="79"/>
      <c r="S964" s="79"/>
      <c r="V964" s="79"/>
      <c r="W964" s="79"/>
      <c r="Z964" s="130"/>
      <c r="AB964" s="106"/>
    </row>
    <row r="965">
      <c r="C965" s="79"/>
      <c r="D965" s="79"/>
      <c r="E965" s="79"/>
      <c r="M965" s="79"/>
      <c r="R965" s="79"/>
      <c r="S965" s="79"/>
      <c r="V965" s="79"/>
      <c r="W965" s="79"/>
      <c r="Z965" s="130"/>
      <c r="AB965" s="106"/>
    </row>
    <row r="966">
      <c r="C966" s="79"/>
      <c r="D966" s="79"/>
      <c r="E966" s="79"/>
      <c r="M966" s="79"/>
      <c r="R966" s="79"/>
      <c r="S966" s="79"/>
      <c r="V966" s="79"/>
      <c r="W966" s="79"/>
      <c r="Z966" s="130"/>
      <c r="AB966" s="106"/>
    </row>
    <row r="967">
      <c r="C967" s="79"/>
      <c r="D967" s="79"/>
      <c r="E967" s="79"/>
      <c r="M967" s="79"/>
      <c r="R967" s="79"/>
      <c r="S967" s="79"/>
      <c r="V967" s="79"/>
      <c r="W967" s="79"/>
      <c r="Z967" s="130"/>
      <c r="AB967" s="106"/>
    </row>
    <row r="968">
      <c r="C968" s="79"/>
      <c r="D968" s="79"/>
      <c r="E968" s="79"/>
      <c r="M968" s="79"/>
      <c r="R968" s="79"/>
      <c r="S968" s="79"/>
      <c r="V968" s="79"/>
      <c r="W968" s="79"/>
      <c r="Z968" s="130"/>
      <c r="AB968" s="106"/>
    </row>
    <row r="969">
      <c r="C969" s="79"/>
      <c r="D969" s="79"/>
      <c r="E969" s="79"/>
      <c r="M969" s="79"/>
      <c r="R969" s="79"/>
      <c r="S969" s="79"/>
      <c r="V969" s="79"/>
      <c r="W969" s="79"/>
      <c r="Z969" s="130"/>
      <c r="AB969" s="106"/>
    </row>
    <row r="970">
      <c r="C970" s="79"/>
      <c r="D970" s="79"/>
      <c r="E970" s="79"/>
      <c r="M970" s="79"/>
      <c r="R970" s="79"/>
      <c r="S970" s="79"/>
      <c r="V970" s="79"/>
      <c r="W970" s="79"/>
      <c r="Z970" s="130"/>
      <c r="AB970" s="106"/>
    </row>
    <row r="971">
      <c r="C971" s="79"/>
      <c r="D971" s="79"/>
      <c r="E971" s="79"/>
      <c r="M971" s="79"/>
      <c r="R971" s="79"/>
      <c r="S971" s="79"/>
      <c r="V971" s="79"/>
      <c r="W971" s="79"/>
      <c r="Z971" s="130"/>
      <c r="AB971" s="106"/>
    </row>
    <row r="972">
      <c r="C972" s="79"/>
      <c r="D972" s="79"/>
      <c r="E972" s="79"/>
      <c r="M972" s="79"/>
      <c r="R972" s="79"/>
      <c r="S972" s="79"/>
      <c r="V972" s="79"/>
      <c r="W972" s="79"/>
      <c r="Z972" s="130"/>
      <c r="AB972" s="106"/>
    </row>
    <row r="973">
      <c r="C973" s="79"/>
      <c r="D973" s="79"/>
      <c r="E973" s="79"/>
      <c r="M973" s="79"/>
      <c r="R973" s="79"/>
      <c r="S973" s="79"/>
      <c r="V973" s="79"/>
      <c r="W973" s="79"/>
      <c r="Z973" s="130"/>
      <c r="AB973" s="106"/>
    </row>
    <row r="974">
      <c r="C974" s="79"/>
      <c r="D974" s="79"/>
      <c r="E974" s="79"/>
      <c r="M974" s="79"/>
      <c r="R974" s="79"/>
      <c r="S974" s="79"/>
      <c r="V974" s="79"/>
      <c r="W974" s="79"/>
      <c r="Z974" s="130"/>
      <c r="AB974" s="106"/>
    </row>
    <row r="975">
      <c r="C975" s="79"/>
      <c r="D975" s="79"/>
      <c r="E975" s="79"/>
      <c r="M975" s="79"/>
      <c r="R975" s="79"/>
      <c r="S975" s="79"/>
      <c r="V975" s="79"/>
      <c r="W975" s="79"/>
      <c r="Z975" s="130"/>
      <c r="AB975" s="106"/>
    </row>
    <row r="976">
      <c r="C976" s="79"/>
      <c r="D976" s="79"/>
      <c r="E976" s="79"/>
      <c r="M976" s="79"/>
      <c r="R976" s="79"/>
      <c r="S976" s="79"/>
      <c r="V976" s="79"/>
      <c r="W976" s="79"/>
      <c r="Z976" s="130"/>
      <c r="AB976" s="106"/>
    </row>
    <row r="977">
      <c r="C977" s="79"/>
      <c r="D977" s="79"/>
      <c r="E977" s="79"/>
      <c r="M977" s="79"/>
      <c r="R977" s="79"/>
      <c r="S977" s="79"/>
      <c r="V977" s="79"/>
      <c r="W977" s="79"/>
      <c r="Z977" s="130"/>
      <c r="AB977" s="106"/>
    </row>
    <row r="978">
      <c r="C978" s="79"/>
      <c r="D978" s="79"/>
      <c r="E978" s="79"/>
      <c r="M978" s="79"/>
      <c r="R978" s="79"/>
      <c r="S978" s="79"/>
      <c r="V978" s="79"/>
      <c r="W978" s="79"/>
      <c r="Z978" s="130"/>
      <c r="AB978" s="106"/>
    </row>
    <row r="979">
      <c r="C979" s="79"/>
      <c r="D979" s="79"/>
      <c r="E979" s="79"/>
      <c r="M979" s="79"/>
      <c r="R979" s="79"/>
      <c r="S979" s="79"/>
      <c r="V979" s="79"/>
      <c r="W979" s="79"/>
      <c r="Z979" s="130"/>
      <c r="AB979" s="106"/>
    </row>
    <row r="980">
      <c r="C980" s="79"/>
      <c r="D980" s="79"/>
      <c r="E980" s="79"/>
      <c r="M980" s="79"/>
      <c r="R980" s="79"/>
      <c r="S980" s="79"/>
      <c r="V980" s="79"/>
      <c r="W980" s="79"/>
      <c r="Z980" s="130"/>
      <c r="AB980" s="106"/>
    </row>
    <row r="981">
      <c r="C981" s="79"/>
      <c r="D981" s="79"/>
      <c r="E981" s="79"/>
      <c r="M981" s="79"/>
      <c r="R981" s="79"/>
      <c r="S981" s="79"/>
      <c r="V981" s="79"/>
      <c r="W981" s="79"/>
      <c r="Z981" s="130"/>
      <c r="AB981" s="106"/>
    </row>
    <row r="982">
      <c r="C982" s="79"/>
      <c r="D982" s="79"/>
      <c r="E982" s="79"/>
      <c r="M982" s="79"/>
      <c r="R982" s="79"/>
      <c r="S982" s="79"/>
      <c r="V982" s="79"/>
      <c r="W982" s="79"/>
      <c r="Z982" s="130"/>
      <c r="AB982" s="106"/>
    </row>
    <row r="983">
      <c r="C983" s="79"/>
      <c r="D983" s="79"/>
      <c r="E983" s="79"/>
      <c r="M983" s="79"/>
      <c r="R983" s="79"/>
      <c r="S983" s="79"/>
      <c r="V983" s="79"/>
      <c r="W983" s="79"/>
      <c r="Z983" s="130"/>
      <c r="AB983" s="106"/>
    </row>
    <row r="984">
      <c r="C984" s="79"/>
      <c r="D984" s="79"/>
      <c r="E984" s="79"/>
      <c r="M984" s="79"/>
      <c r="R984" s="79"/>
      <c r="S984" s="79"/>
      <c r="V984" s="79"/>
      <c r="W984" s="79"/>
      <c r="Z984" s="130"/>
      <c r="AB984" s="106"/>
    </row>
    <row r="985">
      <c r="C985" s="79"/>
      <c r="D985" s="79"/>
      <c r="E985" s="79"/>
      <c r="M985" s="79"/>
      <c r="R985" s="79"/>
      <c r="S985" s="79"/>
      <c r="V985" s="79"/>
      <c r="W985" s="79"/>
      <c r="Z985" s="130"/>
      <c r="AB985" s="106"/>
    </row>
    <row r="986">
      <c r="C986" s="79"/>
      <c r="D986" s="79"/>
      <c r="E986" s="79"/>
      <c r="M986" s="79"/>
      <c r="R986" s="79"/>
      <c r="S986" s="79"/>
      <c r="V986" s="79"/>
      <c r="W986" s="79"/>
      <c r="Z986" s="130"/>
      <c r="AB986" s="106"/>
    </row>
    <row r="987">
      <c r="C987" s="79"/>
      <c r="D987" s="79"/>
      <c r="E987" s="79"/>
      <c r="M987" s="79"/>
      <c r="R987" s="79"/>
      <c r="S987" s="79"/>
      <c r="V987" s="79"/>
      <c r="W987" s="79"/>
      <c r="Z987" s="130"/>
      <c r="AB987" s="106"/>
    </row>
    <row r="988">
      <c r="C988" s="79"/>
      <c r="D988" s="79"/>
      <c r="E988" s="79"/>
      <c r="M988" s="79"/>
      <c r="R988" s="79"/>
      <c r="S988" s="79"/>
      <c r="V988" s="79"/>
      <c r="W988" s="79"/>
      <c r="Z988" s="130"/>
      <c r="AB988" s="106"/>
    </row>
    <row r="989">
      <c r="C989" s="79"/>
      <c r="D989" s="79"/>
      <c r="E989" s="79"/>
      <c r="M989" s="79"/>
      <c r="R989" s="79"/>
      <c r="S989" s="79"/>
      <c r="V989" s="79"/>
      <c r="W989" s="79"/>
      <c r="Z989" s="130"/>
      <c r="AB989" s="106"/>
    </row>
    <row r="990">
      <c r="C990" s="79"/>
      <c r="D990" s="79"/>
      <c r="E990" s="79"/>
      <c r="M990" s="79"/>
      <c r="R990" s="79"/>
      <c r="S990" s="79"/>
      <c r="V990" s="79"/>
      <c r="W990" s="79"/>
      <c r="Z990" s="130"/>
      <c r="AB990" s="106"/>
    </row>
    <row r="991">
      <c r="C991" s="79"/>
      <c r="D991" s="79"/>
      <c r="E991" s="79"/>
      <c r="M991" s="79"/>
      <c r="R991" s="79"/>
      <c r="S991" s="79"/>
      <c r="V991" s="79"/>
      <c r="W991" s="79"/>
      <c r="Z991" s="130"/>
      <c r="AB991" s="106"/>
    </row>
    <row r="992">
      <c r="C992" s="79"/>
      <c r="D992" s="79"/>
      <c r="E992" s="79"/>
      <c r="M992" s="79"/>
      <c r="R992" s="79"/>
      <c r="S992" s="79"/>
      <c r="V992" s="79"/>
      <c r="W992" s="79"/>
      <c r="Z992" s="130"/>
      <c r="AB992" s="106"/>
    </row>
    <row r="993">
      <c r="C993" s="79"/>
      <c r="D993" s="79"/>
      <c r="E993" s="79"/>
      <c r="M993" s="79"/>
      <c r="R993" s="79"/>
      <c r="S993" s="79"/>
      <c r="V993" s="79"/>
      <c r="W993" s="79"/>
      <c r="Z993" s="130"/>
      <c r="AB993" s="106"/>
    </row>
    <row r="994">
      <c r="C994" s="79"/>
      <c r="D994" s="79"/>
      <c r="E994" s="79"/>
      <c r="M994" s="79"/>
      <c r="R994" s="79"/>
      <c r="S994" s="79"/>
      <c r="V994" s="79"/>
      <c r="W994" s="79"/>
      <c r="Z994" s="130"/>
      <c r="AB994" s="106"/>
    </row>
    <row r="995">
      <c r="C995" s="79"/>
      <c r="D995" s="79"/>
      <c r="E995" s="79"/>
      <c r="M995" s="79"/>
      <c r="R995" s="79"/>
      <c r="S995" s="79"/>
      <c r="V995" s="79"/>
      <c r="W995" s="79"/>
      <c r="Z995" s="130"/>
      <c r="AB995" s="106"/>
    </row>
    <row r="996">
      <c r="C996" s="79"/>
      <c r="D996" s="79"/>
      <c r="E996" s="79"/>
      <c r="M996" s="79"/>
      <c r="R996" s="79"/>
      <c r="S996" s="79"/>
      <c r="V996" s="79"/>
      <c r="W996" s="79"/>
      <c r="Z996" s="130"/>
      <c r="AB996" s="106"/>
    </row>
    <row r="997">
      <c r="C997" s="79"/>
      <c r="D997" s="79"/>
      <c r="E997" s="79"/>
      <c r="M997" s="79"/>
      <c r="R997" s="79"/>
      <c r="S997" s="79"/>
      <c r="V997" s="79"/>
      <c r="W997" s="79"/>
      <c r="Z997" s="130"/>
      <c r="AB997" s="106"/>
    </row>
    <row r="998">
      <c r="C998" s="79"/>
      <c r="D998" s="79"/>
      <c r="E998" s="79"/>
      <c r="M998" s="79"/>
      <c r="R998" s="79"/>
      <c r="S998" s="79"/>
      <c r="V998" s="79"/>
      <c r="W998" s="79"/>
      <c r="Z998" s="130"/>
      <c r="AB998" s="106"/>
    </row>
    <row r="999">
      <c r="C999" s="79"/>
      <c r="D999" s="79"/>
      <c r="E999" s="79"/>
      <c r="M999" s="79"/>
      <c r="R999" s="79"/>
      <c r="S999" s="79"/>
      <c r="V999" s="79"/>
      <c r="W999" s="79"/>
      <c r="Z999" s="130"/>
      <c r="AB999" s="106"/>
    </row>
    <row r="1000">
      <c r="C1000" s="79"/>
      <c r="D1000" s="79"/>
      <c r="E1000" s="79"/>
      <c r="M1000" s="79"/>
      <c r="R1000" s="79"/>
      <c r="S1000" s="79"/>
      <c r="V1000" s="79"/>
      <c r="W1000" s="79"/>
      <c r="Z1000" s="130"/>
      <c r="AB1000" s="106"/>
    </row>
  </sheetData>
  <drawing r:id="rId2"/>
  <legacyDrawing r:id="rId3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5" max="5" width="13.5"/>
    <col customWidth="1" min="7" max="7" width="13.25"/>
    <col hidden="1" min="12" max="13" width="12.63"/>
    <col customWidth="1" min="24" max="24" width="14.63"/>
    <col customWidth="1" min="28" max="28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3</v>
      </c>
      <c r="G1" s="2" t="s">
        <v>203</v>
      </c>
      <c r="H1" s="2" t="s">
        <v>129</v>
      </c>
      <c r="I1" s="2" t="s">
        <v>5</v>
      </c>
      <c r="J1" s="2" t="s">
        <v>204</v>
      </c>
      <c r="K1" s="2" t="s">
        <v>6</v>
      </c>
      <c r="L1" s="2" t="s">
        <v>43</v>
      </c>
      <c r="M1" s="105" t="s">
        <v>40</v>
      </c>
      <c r="N1" s="2" t="s">
        <v>49</v>
      </c>
      <c r="O1" s="2" t="s">
        <v>42</v>
      </c>
      <c r="P1" s="2" t="s">
        <v>121</v>
      </c>
      <c r="Q1" s="2" t="s">
        <v>164</v>
      </c>
      <c r="R1" s="105" t="s">
        <v>9</v>
      </c>
      <c r="S1" s="105" t="s">
        <v>165</v>
      </c>
      <c r="T1" s="2" t="s">
        <v>37</v>
      </c>
      <c r="U1" s="2" t="s">
        <v>10</v>
      </c>
      <c r="V1" s="105" t="s">
        <v>11</v>
      </c>
      <c r="W1" s="105" t="s">
        <v>205</v>
      </c>
      <c r="X1" s="2" t="s">
        <v>206</v>
      </c>
      <c r="Y1" s="3" t="s">
        <v>13</v>
      </c>
      <c r="Z1" s="126" t="s">
        <v>14</v>
      </c>
      <c r="AA1" s="3" t="s">
        <v>15</v>
      </c>
      <c r="AB1" s="106"/>
    </row>
    <row r="2">
      <c r="A2" s="74">
        <v>45264.0</v>
      </c>
      <c r="B2" s="93">
        <f>1116.8-6.95-55.36-59.96-20.44-42.96-40.3-241.43-50.18</f>
        <v>599.22</v>
      </c>
      <c r="C2" s="93">
        <f>432.3-23.5-21.25</f>
        <v>387.55</v>
      </c>
      <c r="D2" s="193">
        <f>52.99+460.8-239.2+244.52-62.5</f>
        <v>456.61</v>
      </c>
      <c r="E2" s="93"/>
      <c r="F2" s="93">
        <v>180.0</v>
      </c>
      <c r="G2" s="93"/>
      <c r="H2" s="93">
        <v>247.91</v>
      </c>
      <c r="I2" s="180">
        <v>851.4</v>
      </c>
      <c r="J2" s="93"/>
      <c r="K2" s="93"/>
      <c r="L2" s="93"/>
      <c r="M2" s="93"/>
      <c r="N2" s="93">
        <v>168.0</v>
      </c>
      <c r="O2" s="180">
        <v>387.0</v>
      </c>
      <c r="P2" s="93"/>
      <c r="Q2" s="93"/>
      <c r="R2" s="93"/>
      <c r="S2" s="93"/>
      <c r="T2" s="72"/>
      <c r="U2" s="93"/>
      <c r="V2" s="93">
        <v>57.05</v>
      </c>
      <c r="W2" s="93"/>
      <c r="X2" s="5"/>
      <c r="Y2" s="107">
        <f t="shared" ref="Y2:Y8" si="1">SUM(B2:X2)</f>
        <v>3334.74</v>
      </c>
      <c r="Z2" s="158">
        <v>3223.0</v>
      </c>
      <c r="AA2" s="59">
        <f t="shared" ref="AA2:AA8" si="2">Y2/Z2</f>
        <v>1.034669563</v>
      </c>
      <c r="AB2" s="109">
        <f t="shared" ref="AB2:AB8" si="3">A2</f>
        <v>45264</v>
      </c>
    </row>
    <row r="3">
      <c r="A3" s="74">
        <v>45265.0</v>
      </c>
      <c r="B3" s="93"/>
      <c r="C3" s="93">
        <f>354-25.5-10.25--23.5-25.5-37.5-42.55</f>
        <v>236.2</v>
      </c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101"/>
      <c r="Q3" s="101"/>
      <c r="R3" s="93"/>
      <c r="S3" s="93"/>
      <c r="T3" s="93"/>
      <c r="U3" s="93"/>
      <c r="V3" s="93"/>
      <c r="W3" s="93"/>
      <c r="X3" s="93"/>
      <c r="Y3" s="107">
        <f t="shared" si="1"/>
        <v>236.2</v>
      </c>
      <c r="Z3" s="97">
        <v>6412.0</v>
      </c>
      <c r="AA3" s="59">
        <f t="shared" si="2"/>
        <v>0.03683718029</v>
      </c>
      <c r="AB3" s="109">
        <f t="shared" si="3"/>
        <v>45265</v>
      </c>
    </row>
    <row r="4">
      <c r="A4" s="74">
        <v>45266.0</v>
      </c>
      <c r="B4" s="93">
        <f>992.6-8.15-49.42-33.04-46.24-33.55-12.17-33.62-32.44-117.48-140.52-55.75-62.89</f>
        <v>367.33</v>
      </c>
      <c r="C4" s="93">
        <f>659.98-24-27-82.98-254.1</f>
        <v>271.9</v>
      </c>
      <c r="D4" s="93">
        <f>370.9-123.3+215.4-138+332.4-166.2</f>
        <v>491.2</v>
      </c>
      <c r="E4" s="93"/>
      <c r="F4" s="93">
        <v>360.0</v>
      </c>
      <c r="G4" s="93"/>
      <c r="H4" s="93">
        <v>169.8</v>
      </c>
      <c r="I4" s="93">
        <f>503.5-99</f>
        <v>404.5</v>
      </c>
      <c r="J4" s="93"/>
      <c r="K4" s="93">
        <v>42.0</v>
      </c>
      <c r="L4" s="93"/>
      <c r="M4" s="93"/>
      <c r="N4" s="93"/>
      <c r="O4" s="93"/>
      <c r="P4" s="93">
        <v>18.5</v>
      </c>
      <c r="Q4" s="93"/>
      <c r="R4" s="93"/>
      <c r="S4" s="93"/>
      <c r="T4" s="160"/>
      <c r="U4" s="187"/>
      <c r="V4" s="93">
        <v>57.05</v>
      </c>
      <c r="W4" s="93"/>
      <c r="X4" s="6"/>
      <c r="Y4" s="107">
        <f t="shared" si="1"/>
        <v>2182.28</v>
      </c>
      <c r="Z4" s="97">
        <f>302.5+4658.4</f>
        <v>4960.9</v>
      </c>
      <c r="AA4" s="59">
        <f t="shared" si="2"/>
        <v>0.4398959866</v>
      </c>
      <c r="AB4" s="109">
        <f t="shared" si="3"/>
        <v>45266</v>
      </c>
    </row>
    <row r="5">
      <c r="A5" s="74">
        <v>45267.0</v>
      </c>
      <c r="B5" s="93">
        <f>729.15-25.58-55-33.94-27.41-45.92-10.8-6.23-87.85</f>
        <v>436.42</v>
      </c>
      <c r="C5" s="93"/>
      <c r="D5" s="93"/>
      <c r="E5" s="93"/>
      <c r="F5" s="93"/>
      <c r="G5" s="160"/>
      <c r="H5" s="93"/>
      <c r="I5" s="93"/>
      <c r="J5" s="93"/>
      <c r="K5" s="93"/>
      <c r="L5" s="93"/>
      <c r="M5" s="93"/>
      <c r="N5" s="93"/>
      <c r="O5" s="93"/>
      <c r="P5" s="93">
        <v>18.5</v>
      </c>
      <c r="Q5" s="93"/>
      <c r="R5" s="93"/>
      <c r="S5" s="93"/>
      <c r="T5" s="93"/>
      <c r="U5" s="93"/>
      <c r="V5" s="101"/>
      <c r="W5" s="101"/>
      <c r="X5" s="6"/>
      <c r="Y5" s="7">
        <f t="shared" si="1"/>
        <v>454.92</v>
      </c>
      <c r="Z5" s="97">
        <v>6162.2</v>
      </c>
      <c r="AA5" s="59">
        <f t="shared" si="2"/>
        <v>0.07382428354</v>
      </c>
      <c r="AB5" s="109">
        <f t="shared" si="3"/>
        <v>45267</v>
      </c>
    </row>
    <row r="6">
      <c r="A6" s="74">
        <v>45268.0</v>
      </c>
      <c r="B6" s="93">
        <f>896.76-14.2-8.15-11-33.62-15.14-61.92-33.71-33.79-50.18-14.44-6.8</f>
        <v>613.81</v>
      </c>
      <c r="C6" s="93">
        <f>788.37-23.88-27-84.7</f>
        <v>652.79</v>
      </c>
      <c r="D6" s="93">
        <v>249.49</v>
      </c>
      <c r="E6" s="93"/>
      <c r="F6" s="93">
        <v>180.0</v>
      </c>
      <c r="G6" s="93"/>
      <c r="H6" s="93"/>
      <c r="I6" s="93">
        <f>720.3-283.8</f>
        <v>436.5</v>
      </c>
      <c r="J6" s="93"/>
      <c r="K6" s="93">
        <v>123.0</v>
      </c>
      <c r="L6" s="93"/>
      <c r="M6" s="162"/>
      <c r="N6" s="93"/>
      <c r="O6" s="93"/>
      <c r="P6" s="93">
        <v>18.5</v>
      </c>
      <c r="Q6" s="93"/>
      <c r="R6" s="93"/>
      <c r="S6" s="93"/>
      <c r="T6" s="93"/>
      <c r="U6" s="93"/>
      <c r="V6" s="93">
        <v>57.05</v>
      </c>
      <c r="W6" s="93"/>
      <c r="X6" s="5"/>
      <c r="Y6" s="7">
        <f t="shared" si="1"/>
        <v>2331.14</v>
      </c>
      <c r="Z6" s="97">
        <f>962+9137</f>
        <v>10099</v>
      </c>
      <c r="AA6" s="59">
        <f t="shared" si="2"/>
        <v>0.2308287949</v>
      </c>
      <c r="AB6" s="109">
        <f t="shared" si="3"/>
        <v>45268</v>
      </c>
    </row>
    <row r="7">
      <c r="A7" s="74">
        <v>45269.0</v>
      </c>
      <c r="B7" s="93">
        <f>230.33-23.09-36.28-14.13-96.6-17.16-27.65-12.17+892.38-40.16-100.76-6.72-40.91-17.22-47.03</f>
        <v>642.83</v>
      </c>
      <c r="C7" s="93">
        <v>234.0</v>
      </c>
      <c r="D7" s="93">
        <f>128.3+29.6+94.8</f>
        <v>252.7</v>
      </c>
      <c r="E7" s="93"/>
      <c r="F7" s="93"/>
      <c r="G7" s="93"/>
      <c r="H7" s="93">
        <v>186.61</v>
      </c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101"/>
      <c r="U7" s="101"/>
      <c r="V7" s="101"/>
      <c r="W7" s="101"/>
      <c r="X7" s="5"/>
      <c r="Y7" s="7">
        <f t="shared" si="1"/>
        <v>1316.14</v>
      </c>
      <c r="Z7" s="97">
        <v>13791</v>
      </c>
      <c r="AA7" s="59">
        <f t="shared" si="2"/>
        <v>0.09543470379</v>
      </c>
      <c r="AB7" s="109">
        <f t="shared" si="3"/>
        <v>45269</v>
      </c>
    </row>
    <row r="8">
      <c r="A8" s="74">
        <v>45270.0</v>
      </c>
      <c r="B8" s="180">
        <v>590.0</v>
      </c>
      <c r="C8" s="112" t="s">
        <v>21</v>
      </c>
      <c r="D8" s="180">
        <v>1310.49</v>
      </c>
      <c r="E8" s="112" t="s">
        <v>21</v>
      </c>
      <c r="F8" s="112" t="s">
        <v>21</v>
      </c>
      <c r="G8" s="180">
        <v>670.92</v>
      </c>
      <c r="H8" s="112" t="s">
        <v>21</v>
      </c>
      <c r="I8" s="112" t="s">
        <v>21</v>
      </c>
      <c r="J8" s="112" t="s">
        <v>21</v>
      </c>
      <c r="K8" s="112" t="s">
        <v>21</v>
      </c>
      <c r="L8" s="112" t="s">
        <v>21</v>
      </c>
      <c r="M8" s="112" t="s">
        <v>21</v>
      </c>
      <c r="N8" s="112" t="s">
        <v>21</v>
      </c>
      <c r="O8" s="112" t="s">
        <v>21</v>
      </c>
      <c r="P8" s="112" t="s">
        <v>21</v>
      </c>
      <c r="Q8" s="112" t="s">
        <v>21</v>
      </c>
      <c r="R8" s="112" t="s">
        <v>21</v>
      </c>
      <c r="S8" s="112" t="s">
        <v>21</v>
      </c>
      <c r="T8" s="112" t="s">
        <v>21</v>
      </c>
      <c r="U8" s="112" t="s">
        <v>21</v>
      </c>
      <c r="V8" s="10" t="s">
        <v>21</v>
      </c>
      <c r="W8" s="10" t="s">
        <v>21</v>
      </c>
      <c r="X8" s="10" t="s">
        <v>21</v>
      </c>
      <c r="Y8" s="7">
        <f t="shared" si="1"/>
        <v>2571.41</v>
      </c>
      <c r="Z8" s="97">
        <f>2787.1+2684</f>
        <v>5471.1</v>
      </c>
      <c r="AA8" s="59">
        <f t="shared" si="2"/>
        <v>0.4699987205</v>
      </c>
      <c r="AB8" s="109">
        <f t="shared" si="3"/>
        <v>45270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Z9" s="129"/>
      <c r="AB9" s="106"/>
    </row>
    <row r="10">
      <c r="A10" s="164" t="s">
        <v>193</v>
      </c>
      <c r="B10" s="78"/>
      <c r="C10" s="78"/>
      <c r="D10" s="78"/>
      <c r="E10" s="188"/>
      <c r="F10" s="188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Z10" s="129"/>
      <c r="AB10" s="106"/>
    </row>
    <row r="11">
      <c r="A11" s="165" t="s">
        <v>194</v>
      </c>
      <c r="B11" s="93">
        <f>6.95+42.96+40.3+27.41+45.92+10.8+6.23+32.44+14.2+61.92+50.18+6.8+23.09+36.28+14.13+96.6+17.16+27.65+12.17+100.76+40.91</f>
        <v>714.86</v>
      </c>
      <c r="C11" s="93">
        <f>25.5+10.25+25.5+37.5+42.55+24+27+23.5+27</f>
        <v>242.8</v>
      </c>
      <c r="D11" s="93">
        <f>239.2+166.2</f>
        <v>405.4</v>
      </c>
      <c r="E11" s="167"/>
      <c r="F11" s="168"/>
      <c r="G11" s="166"/>
      <c r="H11" s="166"/>
      <c r="I11" s="168"/>
      <c r="J11" s="168"/>
      <c r="K11" s="168"/>
      <c r="L11" s="168"/>
      <c r="M11" s="168"/>
      <c r="N11" s="168"/>
      <c r="O11" s="168"/>
      <c r="P11" s="1"/>
      <c r="Q11" s="1"/>
      <c r="R11" s="1"/>
      <c r="S11" s="1"/>
      <c r="T11" s="1"/>
      <c r="U11" s="1"/>
      <c r="V11" s="168"/>
      <c r="W11" s="168"/>
      <c r="X11" s="1"/>
      <c r="Y11" s="1"/>
      <c r="Z11" s="169"/>
      <c r="AA11" s="1"/>
      <c r="AB11" s="170"/>
    </row>
    <row r="12">
      <c r="A12" s="165" t="s">
        <v>195</v>
      </c>
      <c r="B12" s="93">
        <f>8.15+49.42+33.04+46.24+33.55+12.17+33.62+25.58+55+33.94+8.15+11+33.62+15.14+33.71+55.75+62.89+87.85+33.79+50.18+14.44+40.16+6.72+17.22+47.03</f>
        <v>848.36</v>
      </c>
      <c r="C12" s="93">
        <f>82.98+254.1+23.88+84.7</f>
        <v>445.66</v>
      </c>
      <c r="D12" s="93">
        <f>62.5+123.3</f>
        <v>185.8</v>
      </c>
      <c r="E12" s="93"/>
      <c r="F12" s="93"/>
      <c r="G12" s="93"/>
      <c r="H12" s="93"/>
      <c r="I12" s="93">
        <v>99.0</v>
      </c>
      <c r="J12" s="93"/>
      <c r="K12" s="93"/>
      <c r="L12" s="93"/>
      <c r="M12" s="93"/>
      <c r="N12" s="93">
        <f>156+144</f>
        <v>300</v>
      </c>
      <c r="O12" s="166"/>
      <c r="P12" s="1"/>
      <c r="Q12" s="1"/>
      <c r="R12" s="168"/>
      <c r="S12" s="168"/>
      <c r="T12" s="1"/>
      <c r="U12" s="96"/>
      <c r="V12" s="168"/>
      <c r="W12" s="168"/>
      <c r="X12" s="1"/>
      <c r="Y12" s="1"/>
      <c r="Z12" s="171"/>
      <c r="AA12" s="1"/>
      <c r="AB12" s="170"/>
    </row>
    <row r="13" hidden="1">
      <c r="A13" s="172" t="s">
        <v>196</v>
      </c>
      <c r="B13" s="93"/>
      <c r="C13" s="93"/>
      <c r="D13" s="93"/>
      <c r="E13" s="168"/>
      <c r="F13" s="166"/>
      <c r="G13" s="168"/>
      <c r="H13" s="168"/>
      <c r="I13" s="168"/>
      <c r="J13" s="168"/>
      <c r="K13" s="168"/>
      <c r="L13" s="168"/>
      <c r="M13" s="168"/>
      <c r="N13" s="168"/>
      <c r="O13" s="168"/>
      <c r="P13" s="1"/>
      <c r="Q13" s="1"/>
      <c r="R13" s="168"/>
      <c r="S13" s="168"/>
      <c r="T13" s="1"/>
      <c r="U13" s="1"/>
      <c r="V13" s="168"/>
      <c r="W13" s="168"/>
      <c r="X13" s="1"/>
      <c r="Y13" s="1"/>
      <c r="Z13" s="174"/>
      <c r="AA13" s="1"/>
      <c r="AB13" s="170"/>
    </row>
    <row r="14">
      <c r="A14" s="172" t="s">
        <v>216</v>
      </c>
      <c r="B14" s="93">
        <f>59.96</f>
        <v>59.96</v>
      </c>
      <c r="C14" s="93">
        <f>23.5+21.25</f>
        <v>44.75</v>
      </c>
      <c r="D14" s="93"/>
      <c r="E14" s="168"/>
      <c r="F14" s="166"/>
      <c r="G14" s="168"/>
      <c r="H14" s="168"/>
      <c r="I14" s="168"/>
      <c r="J14" s="168"/>
      <c r="K14" s="168"/>
      <c r="L14" s="168"/>
      <c r="M14" s="168"/>
      <c r="N14" s="168"/>
      <c r="O14" s="168"/>
      <c r="P14" s="1"/>
      <c r="Q14" s="1"/>
      <c r="R14" s="168"/>
      <c r="S14" s="168"/>
      <c r="T14" s="1"/>
      <c r="U14" s="1"/>
      <c r="V14" s="168"/>
      <c r="W14" s="168"/>
      <c r="X14" s="1"/>
      <c r="Y14" s="1"/>
      <c r="Z14" s="174"/>
      <c r="AA14" s="1"/>
      <c r="AB14" s="170"/>
    </row>
    <row r="15">
      <c r="A15" s="165" t="s">
        <v>198</v>
      </c>
      <c r="B15" s="93">
        <f>55.36+20.44</f>
        <v>75.8</v>
      </c>
      <c r="C15" s="93"/>
      <c r="D15" s="93">
        <v>138.0</v>
      </c>
      <c r="E15" s="168"/>
      <c r="F15" s="166"/>
      <c r="G15" s="168"/>
      <c r="H15" s="168"/>
      <c r="I15" s="168"/>
      <c r="J15" s="168"/>
      <c r="K15" s="168"/>
      <c r="L15" s="168"/>
      <c r="M15" s="168"/>
      <c r="N15" s="166"/>
      <c r="O15" s="168"/>
      <c r="P15" s="1"/>
      <c r="Q15" s="1"/>
      <c r="R15" s="168"/>
      <c r="S15" s="168"/>
      <c r="T15" s="1"/>
      <c r="U15" s="96"/>
      <c r="V15" s="168"/>
      <c r="W15" s="168"/>
      <c r="X15" s="1"/>
      <c r="Y15" s="1"/>
      <c r="Z15" s="174"/>
      <c r="AA15" s="1"/>
      <c r="AB15" s="170"/>
    </row>
    <row r="16">
      <c r="A16" s="91"/>
      <c r="B16" s="92"/>
      <c r="C16" s="79"/>
      <c r="D16" s="79"/>
      <c r="E16" s="79"/>
      <c r="F16" s="78"/>
      <c r="G16" s="78"/>
      <c r="H16" s="78"/>
      <c r="K16" s="79"/>
      <c r="L16" s="79"/>
      <c r="M16" s="78"/>
      <c r="N16" s="79"/>
      <c r="O16" s="79"/>
      <c r="R16" s="79"/>
      <c r="S16" s="79"/>
      <c r="V16" s="79"/>
      <c r="W16" s="79"/>
      <c r="Z16" s="131"/>
      <c r="AB16" s="106"/>
    </row>
    <row r="17">
      <c r="A17" s="91"/>
      <c r="B17" s="92"/>
      <c r="C17" s="78"/>
      <c r="D17" s="78"/>
      <c r="E17" s="78"/>
      <c r="F17" s="78"/>
      <c r="J17" s="175"/>
      <c r="K17" s="189"/>
      <c r="L17" s="147"/>
      <c r="M17" s="78"/>
      <c r="N17" s="190"/>
      <c r="O17" s="79"/>
      <c r="R17" s="79"/>
      <c r="S17" s="79"/>
      <c r="V17" s="79"/>
      <c r="W17" s="79"/>
      <c r="Z17" s="131"/>
      <c r="AB17" s="106"/>
    </row>
    <row r="18">
      <c r="A18" s="4" t="s">
        <v>22</v>
      </c>
      <c r="B18" s="11">
        <v>13000.0</v>
      </c>
      <c r="C18" s="79"/>
      <c r="D18" s="79"/>
      <c r="E18" s="78"/>
      <c r="F18" s="78"/>
      <c r="G18" s="78"/>
      <c r="H18" s="78"/>
      <c r="K18" s="79"/>
      <c r="L18" s="79"/>
      <c r="M18" s="78"/>
      <c r="N18" s="147"/>
      <c r="O18" s="79"/>
      <c r="R18" s="79"/>
      <c r="S18" s="79"/>
      <c r="V18" s="79"/>
      <c r="W18" s="79"/>
      <c r="Z18" s="131"/>
      <c r="AB18" s="106"/>
    </row>
    <row r="19">
      <c r="A19" s="4" t="s">
        <v>23</v>
      </c>
      <c r="B19" s="12">
        <f>SUM(B2:X8)</f>
        <v>12426.83</v>
      </c>
      <c r="C19" s="79"/>
      <c r="D19" s="177"/>
      <c r="E19" s="78"/>
      <c r="G19" s="78"/>
      <c r="H19" s="78"/>
      <c r="J19" s="191"/>
      <c r="K19" s="79"/>
      <c r="L19" s="79"/>
      <c r="M19" s="147"/>
      <c r="N19" s="79"/>
      <c r="O19" s="79"/>
      <c r="R19" s="79"/>
      <c r="S19" s="79"/>
      <c r="V19" s="79"/>
      <c r="W19" s="79"/>
      <c r="Z19" s="131"/>
      <c r="AB19" s="106"/>
    </row>
    <row r="20">
      <c r="A20" s="4" t="s">
        <v>24</v>
      </c>
      <c r="B20" s="12">
        <f> SUM(B18-B19)</f>
        <v>573.17</v>
      </c>
      <c r="C20" s="79"/>
      <c r="D20" s="79"/>
      <c r="E20" s="78"/>
      <c r="F20" s="78"/>
      <c r="G20" s="144"/>
      <c r="H20" s="144"/>
      <c r="I20" s="38"/>
      <c r="J20" s="38"/>
      <c r="K20" s="189"/>
      <c r="L20" s="79"/>
      <c r="M20" s="78"/>
      <c r="N20" s="147"/>
      <c r="O20" s="79"/>
      <c r="R20" s="79"/>
      <c r="S20" s="79"/>
      <c r="V20" s="79"/>
      <c r="W20" s="79"/>
      <c r="Z20" s="131"/>
      <c r="AB20" s="106"/>
    </row>
    <row r="21">
      <c r="C21" s="79"/>
      <c r="D21" s="79"/>
      <c r="E21" s="78"/>
      <c r="G21" s="144"/>
      <c r="H21" s="78"/>
      <c r="I21" s="33"/>
      <c r="J21" s="38"/>
      <c r="K21" s="192"/>
      <c r="L21" s="79"/>
      <c r="M21" s="78"/>
      <c r="N21" s="79"/>
      <c r="O21" s="79"/>
      <c r="R21" s="79"/>
      <c r="S21" s="79"/>
      <c r="V21" s="79"/>
      <c r="W21" s="79"/>
      <c r="Z21" s="131"/>
      <c r="AB21" s="106"/>
    </row>
    <row r="22">
      <c r="A22" s="13" t="s">
        <v>25</v>
      </c>
      <c r="B22" s="14">
        <f>SUM(Z2:Z8)</f>
        <v>50119.2</v>
      </c>
      <c r="C22" s="79"/>
      <c r="D22" s="79"/>
      <c r="E22" s="78"/>
      <c r="F22" s="78"/>
      <c r="G22" s="78"/>
      <c r="H22" s="78"/>
      <c r="K22" s="79"/>
      <c r="L22" s="79"/>
      <c r="M22" s="78"/>
      <c r="N22" s="79"/>
      <c r="O22" s="79"/>
      <c r="R22" s="79"/>
      <c r="S22" s="79"/>
      <c r="V22" s="79"/>
      <c r="W22" s="79"/>
      <c r="Z22" s="181"/>
      <c r="AB22" s="106"/>
    </row>
    <row r="23">
      <c r="A23" s="13" t="s">
        <v>26</v>
      </c>
      <c r="B23" s="15">
        <f>B19/B22</f>
        <v>0.2479454979</v>
      </c>
      <c r="C23" s="79"/>
      <c r="D23" s="79"/>
      <c r="E23" s="78"/>
      <c r="K23" s="79"/>
      <c r="L23" s="79"/>
      <c r="M23" s="147"/>
      <c r="N23" s="79"/>
      <c r="O23" s="79"/>
      <c r="R23" s="79"/>
      <c r="S23" s="79"/>
      <c r="V23" s="79"/>
      <c r="W23" s="79"/>
      <c r="Z23" s="130"/>
      <c r="AB23" s="106"/>
    </row>
    <row r="24">
      <c r="C24" s="79"/>
      <c r="D24" s="79"/>
      <c r="E24" s="78"/>
      <c r="R24" s="79"/>
      <c r="S24" s="79"/>
      <c r="V24" s="79"/>
      <c r="W24" s="79"/>
      <c r="Z24" s="182"/>
      <c r="AB24" s="106"/>
    </row>
    <row r="25">
      <c r="C25" s="79"/>
      <c r="D25" s="79"/>
      <c r="E25" s="79"/>
      <c r="M25" s="78"/>
      <c r="R25" s="79"/>
      <c r="S25" s="79"/>
      <c r="V25" s="79"/>
      <c r="W25" s="79"/>
      <c r="Z25" s="130"/>
      <c r="AB25" s="106"/>
    </row>
    <row r="26">
      <c r="A26" s="16" t="s">
        <v>27</v>
      </c>
      <c r="B26" s="17"/>
      <c r="C26" s="114"/>
      <c r="D26" s="114"/>
      <c r="E26" s="115"/>
      <c r="J26" s="84"/>
      <c r="K26" s="84"/>
      <c r="L26" s="84"/>
      <c r="M26" s="84"/>
      <c r="O26" s="151"/>
      <c r="R26" s="79"/>
      <c r="S26" s="79"/>
      <c r="V26" s="79"/>
      <c r="W26" s="79"/>
      <c r="Z26" s="130"/>
      <c r="AB26" s="106"/>
    </row>
    <row r="27">
      <c r="A27" s="19" t="s">
        <v>28</v>
      </c>
      <c r="B27" s="20"/>
      <c r="C27" s="116"/>
      <c r="D27" s="116"/>
      <c r="E27" s="117"/>
      <c r="J27" s="85"/>
      <c r="K27" s="85"/>
      <c r="L27" s="85"/>
      <c r="M27" s="118"/>
      <c r="R27" s="79"/>
      <c r="S27" s="79"/>
      <c r="V27" s="79"/>
      <c r="W27" s="79"/>
      <c r="Z27" s="130"/>
      <c r="AB27" s="106"/>
    </row>
    <row r="28">
      <c r="A28" s="183" t="s">
        <v>29</v>
      </c>
      <c r="B28" s="184" t="s">
        <v>30</v>
      </c>
      <c r="C28" s="185"/>
      <c r="D28" s="185" t="s">
        <v>170</v>
      </c>
      <c r="E28" s="186" t="s">
        <v>171</v>
      </c>
      <c r="J28" s="86"/>
      <c r="K28" s="86"/>
      <c r="L28" s="85"/>
      <c r="M28" s="118"/>
      <c r="R28" s="79"/>
      <c r="S28" s="79"/>
      <c r="V28" s="79"/>
      <c r="W28" s="79"/>
      <c r="Z28" s="130"/>
      <c r="AB28" s="106"/>
    </row>
    <row r="29">
      <c r="A29" s="96" t="s">
        <v>41</v>
      </c>
      <c r="B29" s="5">
        <v>670.92</v>
      </c>
      <c r="C29" s="168"/>
      <c r="D29" s="168"/>
      <c r="E29" s="166" t="s">
        <v>212</v>
      </c>
      <c r="M29" s="79"/>
      <c r="R29" s="79"/>
      <c r="S29" s="79"/>
      <c r="V29" s="79"/>
      <c r="W29" s="79"/>
      <c r="Z29" s="130"/>
      <c r="AB29" s="106"/>
    </row>
    <row r="30">
      <c r="A30" s="96" t="s">
        <v>217</v>
      </c>
      <c r="B30" s="5">
        <f>117.48+140.52</f>
        <v>258</v>
      </c>
      <c r="C30" s="168"/>
      <c r="D30" s="168"/>
      <c r="E30" s="166" t="s">
        <v>218</v>
      </c>
      <c r="M30" s="79"/>
      <c r="R30" s="79"/>
      <c r="S30" s="79"/>
      <c r="V30" s="79"/>
      <c r="W30" s="79"/>
      <c r="Z30" s="130"/>
      <c r="AB30" s="106"/>
    </row>
    <row r="31">
      <c r="A31" s="96" t="s">
        <v>219</v>
      </c>
      <c r="B31" s="5">
        <v>241.43</v>
      </c>
      <c r="C31" s="168"/>
      <c r="D31" s="168"/>
      <c r="E31" s="166" t="s">
        <v>218</v>
      </c>
      <c r="M31" s="79"/>
      <c r="R31" s="79"/>
      <c r="S31" s="79"/>
      <c r="V31" s="79"/>
      <c r="W31" s="79"/>
      <c r="Z31" s="130"/>
      <c r="AB31" s="106"/>
    </row>
    <row r="32">
      <c r="A32" s="96" t="s">
        <v>41</v>
      </c>
      <c r="B32" s="5">
        <v>1402.33</v>
      </c>
      <c r="C32" s="168"/>
      <c r="D32" s="168"/>
      <c r="E32" s="166" t="s">
        <v>218</v>
      </c>
      <c r="M32" s="79"/>
      <c r="R32" s="79"/>
      <c r="S32" s="79"/>
      <c r="V32" s="79"/>
      <c r="W32" s="79"/>
      <c r="Z32" s="130"/>
      <c r="AB32" s="106"/>
    </row>
    <row r="33">
      <c r="A33" s="96" t="s">
        <v>211</v>
      </c>
      <c r="B33" s="5">
        <v>283.8</v>
      </c>
      <c r="C33" s="168"/>
      <c r="D33" s="168"/>
      <c r="E33" s="166" t="s">
        <v>218</v>
      </c>
      <c r="M33" s="79"/>
      <c r="R33" s="79"/>
      <c r="S33" s="79"/>
      <c r="V33" s="79"/>
      <c r="W33" s="79"/>
      <c r="Z33" s="130"/>
      <c r="AB33" s="106"/>
    </row>
    <row r="34">
      <c r="A34" s="96" t="s">
        <v>111</v>
      </c>
      <c r="B34" s="5">
        <f>185+285</f>
        <v>470</v>
      </c>
      <c r="C34" s="168"/>
      <c r="D34" s="168"/>
      <c r="E34" s="166" t="s">
        <v>218</v>
      </c>
      <c r="M34" s="79"/>
      <c r="R34" s="79"/>
      <c r="S34" s="79"/>
      <c r="V34" s="79"/>
      <c r="W34" s="79"/>
      <c r="Z34" s="130"/>
      <c r="AB34" s="106"/>
    </row>
    <row r="35">
      <c r="C35" s="79"/>
      <c r="D35" s="79"/>
      <c r="E35" s="79"/>
      <c r="M35" s="79"/>
      <c r="R35" s="79"/>
      <c r="S35" s="79"/>
      <c r="V35" s="79"/>
      <c r="W35" s="79"/>
      <c r="Z35" s="130"/>
      <c r="AB35" s="106"/>
    </row>
    <row r="36">
      <c r="C36" s="79"/>
      <c r="D36" s="79"/>
      <c r="E36" s="79"/>
      <c r="M36" s="79"/>
      <c r="R36" s="79"/>
      <c r="S36" s="79"/>
      <c r="V36" s="79"/>
      <c r="W36" s="79"/>
      <c r="Z36" s="130"/>
      <c r="AB36" s="106"/>
    </row>
    <row r="37">
      <c r="C37" s="79"/>
      <c r="D37" s="79"/>
      <c r="E37" s="79"/>
      <c r="M37" s="79"/>
      <c r="R37" s="79"/>
      <c r="S37" s="79"/>
      <c r="V37" s="79"/>
      <c r="W37" s="79"/>
      <c r="Z37" s="130"/>
      <c r="AB37" s="106"/>
    </row>
    <row r="38">
      <c r="C38" s="79"/>
      <c r="D38" s="79"/>
      <c r="E38" s="79"/>
      <c r="M38" s="79"/>
      <c r="R38" s="79"/>
      <c r="S38" s="79"/>
      <c r="V38" s="79"/>
      <c r="W38" s="79"/>
      <c r="Z38" s="130"/>
      <c r="AB38" s="106"/>
    </row>
    <row r="39">
      <c r="C39" s="79"/>
      <c r="D39" s="79"/>
      <c r="E39" s="79"/>
      <c r="M39" s="79"/>
      <c r="R39" s="79"/>
      <c r="S39" s="79"/>
      <c r="V39" s="79"/>
      <c r="W39" s="79"/>
      <c r="Z39" s="130"/>
      <c r="AB39" s="106"/>
    </row>
    <row r="40">
      <c r="C40" s="79"/>
      <c r="D40" s="79"/>
      <c r="E40" s="79"/>
      <c r="M40" s="79"/>
      <c r="R40" s="79"/>
      <c r="S40" s="79"/>
      <c r="V40" s="79"/>
      <c r="W40" s="79"/>
      <c r="Z40" s="130"/>
      <c r="AB40" s="106"/>
    </row>
    <row r="41">
      <c r="C41" s="79"/>
      <c r="D41" s="79"/>
      <c r="E41" s="79"/>
      <c r="M41" s="79"/>
      <c r="R41" s="79"/>
      <c r="S41" s="79"/>
      <c r="V41" s="79"/>
      <c r="W41" s="79"/>
      <c r="Z41" s="130"/>
      <c r="AB41" s="106"/>
    </row>
    <row r="42">
      <c r="C42" s="79"/>
      <c r="D42" s="79"/>
      <c r="E42" s="79"/>
      <c r="M42" s="79"/>
      <c r="R42" s="79"/>
      <c r="S42" s="79"/>
      <c r="V42" s="79"/>
      <c r="W42" s="79"/>
      <c r="Z42" s="130"/>
      <c r="AB42" s="106"/>
    </row>
    <row r="43">
      <c r="C43" s="79"/>
      <c r="D43" s="79"/>
      <c r="E43" s="79"/>
      <c r="M43" s="79"/>
      <c r="R43" s="79"/>
      <c r="S43" s="79"/>
      <c r="V43" s="79"/>
      <c r="W43" s="79"/>
      <c r="Z43" s="130"/>
      <c r="AB43" s="106"/>
    </row>
    <row r="44">
      <c r="C44" s="79"/>
      <c r="D44" s="79"/>
      <c r="E44" s="79"/>
      <c r="M44" s="79"/>
      <c r="R44" s="79"/>
      <c r="S44" s="79"/>
      <c r="V44" s="79"/>
      <c r="W44" s="79"/>
      <c r="Z44" s="130"/>
      <c r="AB44" s="106"/>
    </row>
    <row r="45">
      <c r="C45" s="79"/>
      <c r="D45" s="79"/>
      <c r="E45" s="79"/>
      <c r="M45" s="79"/>
      <c r="R45" s="79"/>
      <c r="S45" s="79"/>
      <c r="V45" s="79"/>
      <c r="W45" s="79"/>
      <c r="Z45" s="130"/>
      <c r="AB45" s="106"/>
    </row>
    <row r="46">
      <c r="C46" s="79"/>
      <c r="D46" s="79"/>
      <c r="E46" s="79"/>
      <c r="M46" s="79"/>
      <c r="R46" s="79"/>
      <c r="S46" s="79"/>
      <c r="V46" s="79"/>
      <c r="W46" s="79"/>
      <c r="Z46" s="130"/>
      <c r="AB46" s="106"/>
    </row>
    <row r="47">
      <c r="C47" s="79"/>
      <c r="D47" s="79"/>
      <c r="E47" s="79"/>
      <c r="M47" s="79"/>
      <c r="R47" s="79"/>
      <c r="S47" s="79"/>
      <c r="V47" s="79"/>
      <c r="W47" s="79"/>
      <c r="Z47" s="130"/>
      <c r="AB47" s="106"/>
    </row>
    <row r="48">
      <c r="C48" s="79"/>
      <c r="D48" s="79"/>
      <c r="E48" s="79"/>
      <c r="M48" s="79"/>
      <c r="R48" s="79"/>
      <c r="S48" s="79"/>
      <c r="V48" s="79"/>
      <c r="W48" s="79"/>
      <c r="Z48" s="130"/>
      <c r="AB48" s="106"/>
    </row>
    <row r="49">
      <c r="C49" s="79"/>
      <c r="D49" s="79"/>
      <c r="E49" s="79"/>
      <c r="M49" s="79"/>
      <c r="R49" s="79"/>
      <c r="S49" s="79"/>
      <c r="V49" s="79"/>
      <c r="W49" s="79"/>
      <c r="Z49" s="130"/>
      <c r="AB49" s="106"/>
    </row>
    <row r="50">
      <c r="C50" s="79"/>
      <c r="D50" s="79"/>
      <c r="E50" s="79"/>
      <c r="M50" s="79"/>
      <c r="R50" s="79"/>
      <c r="S50" s="79"/>
      <c r="V50" s="79"/>
      <c r="W50" s="79"/>
      <c r="Z50" s="130"/>
      <c r="AB50" s="106"/>
    </row>
    <row r="51">
      <c r="C51" s="79"/>
      <c r="D51" s="79"/>
      <c r="E51" s="79"/>
      <c r="M51" s="79"/>
      <c r="R51" s="79"/>
      <c r="S51" s="79"/>
      <c r="V51" s="79"/>
      <c r="W51" s="79"/>
      <c r="Z51" s="130"/>
      <c r="AB51" s="106"/>
    </row>
    <row r="52">
      <c r="C52" s="79"/>
      <c r="D52" s="79"/>
      <c r="E52" s="79"/>
      <c r="M52" s="79"/>
      <c r="R52" s="79"/>
      <c r="S52" s="79"/>
      <c r="V52" s="79"/>
      <c r="W52" s="79"/>
      <c r="Z52" s="130"/>
      <c r="AB52" s="106"/>
    </row>
    <row r="53">
      <c r="C53" s="79"/>
      <c r="D53" s="79"/>
      <c r="E53" s="79"/>
      <c r="M53" s="79"/>
      <c r="R53" s="79"/>
      <c r="S53" s="79"/>
      <c r="V53" s="79"/>
      <c r="W53" s="79"/>
      <c r="Z53" s="130"/>
      <c r="AB53" s="106"/>
    </row>
    <row r="54">
      <c r="C54" s="79"/>
      <c r="D54" s="79"/>
      <c r="E54" s="79"/>
      <c r="M54" s="79"/>
      <c r="R54" s="79"/>
      <c r="S54" s="79"/>
      <c r="V54" s="79"/>
      <c r="W54" s="79"/>
      <c r="Z54" s="130"/>
      <c r="AB54" s="106"/>
    </row>
    <row r="55">
      <c r="C55" s="79"/>
      <c r="D55" s="79"/>
      <c r="E55" s="79"/>
      <c r="M55" s="79"/>
      <c r="R55" s="79"/>
      <c r="S55" s="79"/>
      <c r="V55" s="79"/>
      <c r="W55" s="79"/>
      <c r="Z55" s="130"/>
      <c r="AB55" s="106"/>
    </row>
    <row r="56">
      <c r="C56" s="79"/>
      <c r="D56" s="79"/>
      <c r="E56" s="79"/>
      <c r="M56" s="79"/>
      <c r="R56" s="79"/>
      <c r="S56" s="79"/>
      <c r="V56" s="79"/>
      <c r="W56" s="79"/>
      <c r="Z56" s="130"/>
      <c r="AB56" s="106"/>
    </row>
    <row r="57">
      <c r="C57" s="79"/>
      <c r="D57" s="79"/>
      <c r="E57" s="79"/>
      <c r="M57" s="79"/>
      <c r="R57" s="79"/>
      <c r="S57" s="79"/>
      <c r="V57" s="79"/>
      <c r="W57" s="79"/>
      <c r="Z57" s="130"/>
      <c r="AB57" s="106"/>
    </row>
    <row r="58">
      <c r="C58" s="79"/>
      <c r="D58" s="79"/>
      <c r="E58" s="79"/>
      <c r="M58" s="79"/>
      <c r="R58" s="79"/>
      <c r="S58" s="79"/>
      <c r="V58" s="79"/>
      <c r="W58" s="79"/>
      <c r="Z58" s="130"/>
      <c r="AB58" s="106"/>
    </row>
    <row r="59">
      <c r="C59" s="79"/>
      <c r="D59" s="79"/>
      <c r="E59" s="79"/>
      <c r="M59" s="79"/>
      <c r="R59" s="79"/>
      <c r="S59" s="79"/>
      <c r="V59" s="79"/>
      <c r="W59" s="79"/>
      <c r="Z59" s="130"/>
      <c r="AB59" s="106"/>
    </row>
    <row r="60">
      <c r="C60" s="79"/>
      <c r="D60" s="79"/>
      <c r="E60" s="79"/>
      <c r="M60" s="79"/>
      <c r="R60" s="79"/>
      <c r="S60" s="79"/>
      <c r="V60" s="79"/>
      <c r="W60" s="79"/>
      <c r="Z60" s="130"/>
      <c r="AB60" s="106"/>
    </row>
    <row r="61">
      <c r="C61" s="79"/>
      <c r="D61" s="79"/>
      <c r="E61" s="79"/>
      <c r="M61" s="79"/>
      <c r="R61" s="79"/>
      <c r="S61" s="79"/>
      <c r="V61" s="79"/>
      <c r="W61" s="79"/>
      <c r="Z61" s="130"/>
      <c r="AB61" s="106"/>
    </row>
    <row r="62">
      <c r="C62" s="79"/>
      <c r="D62" s="79"/>
      <c r="E62" s="79"/>
      <c r="M62" s="79"/>
      <c r="R62" s="79"/>
      <c r="S62" s="79"/>
      <c r="V62" s="79"/>
      <c r="W62" s="79"/>
      <c r="Z62" s="130"/>
      <c r="AB62" s="106"/>
    </row>
    <row r="63">
      <c r="C63" s="79"/>
      <c r="D63" s="79"/>
      <c r="E63" s="79"/>
      <c r="M63" s="79"/>
      <c r="R63" s="79"/>
      <c r="S63" s="79"/>
      <c r="V63" s="79"/>
      <c r="W63" s="79"/>
      <c r="Z63" s="130"/>
      <c r="AB63" s="106"/>
    </row>
    <row r="64">
      <c r="C64" s="79"/>
      <c r="D64" s="79"/>
      <c r="E64" s="79"/>
      <c r="M64" s="79"/>
      <c r="R64" s="79"/>
      <c r="S64" s="79"/>
      <c r="V64" s="79"/>
      <c r="W64" s="79"/>
      <c r="Z64" s="130"/>
      <c r="AB64" s="106"/>
    </row>
    <row r="65">
      <c r="C65" s="79"/>
      <c r="D65" s="79"/>
      <c r="E65" s="79"/>
      <c r="M65" s="79"/>
      <c r="R65" s="79"/>
      <c r="S65" s="79"/>
      <c r="V65" s="79"/>
      <c r="W65" s="79"/>
      <c r="Z65" s="130"/>
      <c r="AB65" s="106"/>
    </row>
    <row r="66">
      <c r="C66" s="79"/>
      <c r="D66" s="79"/>
      <c r="E66" s="79"/>
      <c r="M66" s="79"/>
      <c r="R66" s="79"/>
      <c r="S66" s="79"/>
      <c r="V66" s="79"/>
      <c r="W66" s="79"/>
      <c r="Z66" s="130"/>
      <c r="AB66" s="106"/>
    </row>
    <row r="67">
      <c r="C67" s="79"/>
      <c r="D67" s="79"/>
      <c r="E67" s="79"/>
      <c r="M67" s="79"/>
      <c r="R67" s="79"/>
      <c r="S67" s="79"/>
      <c r="V67" s="79"/>
      <c r="W67" s="79"/>
      <c r="Z67" s="130"/>
      <c r="AB67" s="106"/>
    </row>
    <row r="68">
      <c r="C68" s="79"/>
      <c r="D68" s="79"/>
      <c r="E68" s="79"/>
      <c r="M68" s="79"/>
      <c r="R68" s="79"/>
      <c r="S68" s="79"/>
      <c r="V68" s="79"/>
      <c r="W68" s="79"/>
      <c r="Z68" s="130"/>
      <c r="AB68" s="106"/>
    </row>
    <row r="69">
      <c r="C69" s="79"/>
      <c r="D69" s="79"/>
      <c r="E69" s="79"/>
      <c r="M69" s="79"/>
      <c r="R69" s="79"/>
      <c r="S69" s="79"/>
      <c r="V69" s="79"/>
      <c r="W69" s="79"/>
      <c r="Z69" s="130"/>
      <c r="AB69" s="106"/>
    </row>
    <row r="70">
      <c r="C70" s="79"/>
      <c r="D70" s="79"/>
      <c r="E70" s="79"/>
      <c r="M70" s="79"/>
      <c r="R70" s="79"/>
      <c r="S70" s="79"/>
      <c r="V70" s="79"/>
      <c r="W70" s="79"/>
      <c r="Z70" s="130"/>
      <c r="AB70" s="106"/>
    </row>
    <row r="71">
      <c r="C71" s="79"/>
      <c r="D71" s="79"/>
      <c r="E71" s="79"/>
      <c r="M71" s="79"/>
      <c r="R71" s="79"/>
      <c r="S71" s="79"/>
      <c r="V71" s="79"/>
      <c r="W71" s="79"/>
      <c r="Z71" s="130"/>
      <c r="AB71" s="106"/>
    </row>
    <row r="72">
      <c r="C72" s="79"/>
      <c r="D72" s="79"/>
      <c r="E72" s="79"/>
      <c r="M72" s="79"/>
      <c r="R72" s="79"/>
      <c r="S72" s="79"/>
      <c r="V72" s="79"/>
      <c r="W72" s="79"/>
      <c r="Z72" s="130"/>
      <c r="AB72" s="106"/>
    </row>
    <row r="73">
      <c r="C73" s="79"/>
      <c r="D73" s="79"/>
      <c r="E73" s="79"/>
      <c r="M73" s="79"/>
      <c r="R73" s="79"/>
      <c r="S73" s="79"/>
      <c r="V73" s="79"/>
      <c r="W73" s="79"/>
      <c r="Z73" s="130"/>
      <c r="AB73" s="106"/>
    </row>
    <row r="74">
      <c r="C74" s="79"/>
      <c r="D74" s="79"/>
      <c r="E74" s="79"/>
      <c r="M74" s="79"/>
      <c r="R74" s="79"/>
      <c r="S74" s="79"/>
      <c r="V74" s="79"/>
      <c r="W74" s="79"/>
      <c r="Z74" s="130"/>
      <c r="AB74" s="106"/>
    </row>
    <row r="75">
      <c r="C75" s="79"/>
      <c r="D75" s="79"/>
      <c r="E75" s="79"/>
      <c r="M75" s="79"/>
      <c r="R75" s="79"/>
      <c r="S75" s="79"/>
      <c r="V75" s="79"/>
      <c r="W75" s="79"/>
      <c r="Z75" s="130"/>
      <c r="AB75" s="106"/>
    </row>
    <row r="76">
      <c r="C76" s="79"/>
      <c r="D76" s="79"/>
      <c r="E76" s="79"/>
      <c r="M76" s="79"/>
      <c r="R76" s="79"/>
      <c r="S76" s="79"/>
      <c r="V76" s="79"/>
      <c r="W76" s="79"/>
      <c r="Z76" s="130"/>
      <c r="AB76" s="106"/>
    </row>
    <row r="77">
      <c r="C77" s="79"/>
      <c r="D77" s="79"/>
      <c r="E77" s="79"/>
      <c r="M77" s="79"/>
      <c r="R77" s="79"/>
      <c r="S77" s="79"/>
      <c r="V77" s="79"/>
      <c r="W77" s="79"/>
      <c r="Z77" s="130"/>
      <c r="AB77" s="106"/>
    </row>
    <row r="78">
      <c r="C78" s="79"/>
      <c r="D78" s="79"/>
      <c r="E78" s="79"/>
      <c r="M78" s="79"/>
      <c r="R78" s="79"/>
      <c r="S78" s="79"/>
      <c r="V78" s="79"/>
      <c r="W78" s="79"/>
      <c r="Z78" s="130"/>
      <c r="AB78" s="106"/>
    </row>
    <row r="79">
      <c r="C79" s="79"/>
      <c r="D79" s="79"/>
      <c r="E79" s="79"/>
      <c r="M79" s="79"/>
      <c r="R79" s="79"/>
      <c r="S79" s="79"/>
      <c r="V79" s="79"/>
      <c r="W79" s="79"/>
      <c r="Z79" s="130"/>
      <c r="AB79" s="106"/>
    </row>
    <row r="80">
      <c r="C80" s="79"/>
      <c r="D80" s="79"/>
      <c r="E80" s="79"/>
      <c r="M80" s="79"/>
      <c r="R80" s="79"/>
      <c r="S80" s="79"/>
      <c r="V80" s="79"/>
      <c r="W80" s="79"/>
      <c r="Z80" s="130"/>
      <c r="AB80" s="106"/>
    </row>
    <row r="81">
      <c r="C81" s="79"/>
      <c r="D81" s="79"/>
      <c r="E81" s="79"/>
      <c r="M81" s="79"/>
      <c r="R81" s="79"/>
      <c r="S81" s="79"/>
      <c r="V81" s="79"/>
      <c r="W81" s="79"/>
      <c r="Z81" s="130"/>
      <c r="AB81" s="106"/>
    </row>
    <row r="82">
      <c r="C82" s="79"/>
      <c r="D82" s="79"/>
      <c r="E82" s="79"/>
      <c r="M82" s="79"/>
      <c r="R82" s="79"/>
      <c r="S82" s="79"/>
      <c r="V82" s="79"/>
      <c r="W82" s="79"/>
      <c r="Z82" s="130"/>
      <c r="AB82" s="106"/>
    </row>
    <row r="83">
      <c r="C83" s="79"/>
      <c r="D83" s="79"/>
      <c r="E83" s="79"/>
      <c r="M83" s="79"/>
      <c r="R83" s="79"/>
      <c r="S83" s="79"/>
      <c r="V83" s="79"/>
      <c r="W83" s="79"/>
      <c r="Z83" s="130"/>
      <c r="AB83" s="106"/>
    </row>
    <row r="84">
      <c r="C84" s="79"/>
      <c r="D84" s="79"/>
      <c r="E84" s="79"/>
      <c r="M84" s="79"/>
      <c r="R84" s="79"/>
      <c r="S84" s="79"/>
      <c r="V84" s="79"/>
      <c r="W84" s="79"/>
      <c r="Z84" s="130"/>
      <c r="AB84" s="106"/>
    </row>
    <row r="85">
      <c r="C85" s="79"/>
      <c r="D85" s="79"/>
      <c r="E85" s="79"/>
      <c r="M85" s="79"/>
      <c r="R85" s="79"/>
      <c r="S85" s="79"/>
      <c r="V85" s="79"/>
      <c r="W85" s="79"/>
      <c r="Z85" s="130"/>
      <c r="AB85" s="106"/>
    </row>
    <row r="86">
      <c r="C86" s="79"/>
      <c r="D86" s="79"/>
      <c r="E86" s="79"/>
      <c r="M86" s="79"/>
      <c r="R86" s="79"/>
      <c r="S86" s="79"/>
      <c r="V86" s="79"/>
      <c r="W86" s="79"/>
      <c r="Z86" s="130"/>
      <c r="AB86" s="106"/>
    </row>
    <row r="87">
      <c r="C87" s="79"/>
      <c r="D87" s="79"/>
      <c r="E87" s="79"/>
      <c r="M87" s="79"/>
      <c r="R87" s="79"/>
      <c r="S87" s="79"/>
      <c r="V87" s="79"/>
      <c r="W87" s="79"/>
      <c r="Z87" s="130"/>
      <c r="AB87" s="106"/>
    </row>
    <row r="88">
      <c r="C88" s="79"/>
      <c r="D88" s="79"/>
      <c r="E88" s="79"/>
      <c r="M88" s="79"/>
      <c r="R88" s="79"/>
      <c r="S88" s="79"/>
      <c r="V88" s="79"/>
      <c r="W88" s="79"/>
      <c r="Z88" s="130"/>
      <c r="AB88" s="106"/>
    </row>
    <row r="89">
      <c r="C89" s="79"/>
      <c r="D89" s="79"/>
      <c r="E89" s="79"/>
      <c r="M89" s="79"/>
      <c r="R89" s="79"/>
      <c r="S89" s="79"/>
      <c r="V89" s="79"/>
      <c r="W89" s="79"/>
      <c r="Z89" s="130"/>
      <c r="AB89" s="106"/>
    </row>
    <row r="90">
      <c r="C90" s="79"/>
      <c r="D90" s="79"/>
      <c r="E90" s="79"/>
      <c r="M90" s="79"/>
      <c r="R90" s="79"/>
      <c r="S90" s="79"/>
      <c r="V90" s="79"/>
      <c r="W90" s="79"/>
      <c r="Z90" s="130"/>
      <c r="AB90" s="106"/>
    </row>
    <row r="91">
      <c r="C91" s="79"/>
      <c r="D91" s="79"/>
      <c r="E91" s="79"/>
      <c r="M91" s="79"/>
      <c r="R91" s="79"/>
      <c r="S91" s="79"/>
      <c r="V91" s="79"/>
      <c r="W91" s="79"/>
      <c r="Z91" s="130"/>
      <c r="AB91" s="106"/>
    </row>
    <row r="92">
      <c r="C92" s="79"/>
      <c r="D92" s="79"/>
      <c r="E92" s="79"/>
      <c r="M92" s="79"/>
      <c r="R92" s="79"/>
      <c r="S92" s="79"/>
      <c r="V92" s="79"/>
      <c r="W92" s="79"/>
      <c r="Z92" s="130"/>
      <c r="AB92" s="106"/>
    </row>
    <row r="93">
      <c r="C93" s="79"/>
      <c r="D93" s="79"/>
      <c r="E93" s="79"/>
      <c r="M93" s="79"/>
      <c r="R93" s="79"/>
      <c r="S93" s="79"/>
      <c r="V93" s="79"/>
      <c r="W93" s="79"/>
      <c r="Z93" s="130"/>
      <c r="AB93" s="106"/>
    </row>
    <row r="94">
      <c r="C94" s="79"/>
      <c r="D94" s="79"/>
      <c r="E94" s="79"/>
      <c r="M94" s="79"/>
      <c r="R94" s="79"/>
      <c r="S94" s="79"/>
      <c r="V94" s="79"/>
      <c r="W94" s="79"/>
      <c r="Z94" s="130"/>
      <c r="AB94" s="106"/>
    </row>
    <row r="95">
      <c r="C95" s="79"/>
      <c r="D95" s="79"/>
      <c r="E95" s="79"/>
      <c r="M95" s="79"/>
      <c r="R95" s="79"/>
      <c r="S95" s="79"/>
      <c r="V95" s="79"/>
      <c r="W95" s="79"/>
      <c r="Z95" s="130"/>
      <c r="AB95" s="106"/>
    </row>
    <row r="96">
      <c r="C96" s="79"/>
      <c r="D96" s="79"/>
      <c r="E96" s="79"/>
      <c r="M96" s="79"/>
      <c r="R96" s="79"/>
      <c r="S96" s="79"/>
      <c r="V96" s="79"/>
      <c r="W96" s="79"/>
      <c r="Z96" s="130"/>
      <c r="AB96" s="106"/>
    </row>
    <row r="97">
      <c r="C97" s="79"/>
      <c r="D97" s="79"/>
      <c r="E97" s="79"/>
      <c r="M97" s="79"/>
      <c r="R97" s="79"/>
      <c r="S97" s="79"/>
      <c r="V97" s="79"/>
      <c r="W97" s="79"/>
      <c r="Z97" s="130"/>
      <c r="AB97" s="106"/>
    </row>
    <row r="98">
      <c r="C98" s="79"/>
      <c r="D98" s="79"/>
      <c r="E98" s="79"/>
      <c r="M98" s="79"/>
      <c r="R98" s="79"/>
      <c r="S98" s="79"/>
      <c r="V98" s="79"/>
      <c r="W98" s="79"/>
      <c r="Z98" s="130"/>
      <c r="AB98" s="106"/>
    </row>
    <row r="99">
      <c r="C99" s="79"/>
      <c r="D99" s="79"/>
      <c r="E99" s="79"/>
      <c r="M99" s="79"/>
      <c r="R99" s="79"/>
      <c r="S99" s="79"/>
      <c r="V99" s="79"/>
      <c r="W99" s="79"/>
      <c r="Z99" s="130"/>
      <c r="AB99" s="106"/>
    </row>
    <row r="100">
      <c r="C100" s="79"/>
      <c r="D100" s="79"/>
      <c r="E100" s="79"/>
      <c r="M100" s="79"/>
      <c r="R100" s="79"/>
      <c r="S100" s="79"/>
      <c r="V100" s="79"/>
      <c r="W100" s="79"/>
      <c r="Z100" s="130"/>
      <c r="AB100" s="106"/>
    </row>
    <row r="101">
      <c r="C101" s="79"/>
      <c r="D101" s="79"/>
      <c r="E101" s="79"/>
      <c r="M101" s="79"/>
      <c r="R101" s="79"/>
      <c r="S101" s="79"/>
      <c r="V101" s="79"/>
      <c r="W101" s="79"/>
      <c r="Z101" s="130"/>
      <c r="AB101" s="106"/>
    </row>
    <row r="102">
      <c r="C102" s="79"/>
      <c r="D102" s="79"/>
      <c r="E102" s="79"/>
      <c r="M102" s="79"/>
      <c r="R102" s="79"/>
      <c r="S102" s="79"/>
      <c r="V102" s="79"/>
      <c r="W102" s="79"/>
      <c r="Z102" s="130"/>
      <c r="AB102" s="106"/>
    </row>
    <row r="103">
      <c r="C103" s="79"/>
      <c r="D103" s="79"/>
      <c r="E103" s="79"/>
      <c r="M103" s="79"/>
      <c r="R103" s="79"/>
      <c r="S103" s="79"/>
      <c r="V103" s="79"/>
      <c r="W103" s="79"/>
      <c r="Z103" s="130"/>
      <c r="AB103" s="106"/>
    </row>
    <row r="104">
      <c r="C104" s="79"/>
      <c r="D104" s="79"/>
      <c r="E104" s="79"/>
      <c r="M104" s="79"/>
      <c r="R104" s="79"/>
      <c r="S104" s="79"/>
      <c r="V104" s="79"/>
      <c r="W104" s="79"/>
      <c r="Z104" s="130"/>
      <c r="AB104" s="106"/>
    </row>
    <row r="105">
      <c r="C105" s="79"/>
      <c r="D105" s="79"/>
      <c r="E105" s="79"/>
      <c r="M105" s="79"/>
      <c r="R105" s="79"/>
      <c r="S105" s="79"/>
      <c r="V105" s="79"/>
      <c r="W105" s="79"/>
      <c r="Z105" s="130"/>
      <c r="AB105" s="106"/>
    </row>
    <row r="106">
      <c r="C106" s="79"/>
      <c r="D106" s="79"/>
      <c r="E106" s="79"/>
      <c r="M106" s="79"/>
      <c r="R106" s="79"/>
      <c r="S106" s="79"/>
      <c r="V106" s="79"/>
      <c r="W106" s="79"/>
      <c r="Z106" s="130"/>
      <c r="AB106" s="106"/>
    </row>
    <row r="107">
      <c r="C107" s="79"/>
      <c r="D107" s="79"/>
      <c r="E107" s="79"/>
      <c r="M107" s="79"/>
      <c r="R107" s="79"/>
      <c r="S107" s="79"/>
      <c r="V107" s="79"/>
      <c r="W107" s="79"/>
      <c r="Z107" s="130"/>
      <c r="AB107" s="106"/>
    </row>
    <row r="108">
      <c r="C108" s="79"/>
      <c r="D108" s="79"/>
      <c r="E108" s="79"/>
      <c r="M108" s="79"/>
      <c r="R108" s="79"/>
      <c r="S108" s="79"/>
      <c r="V108" s="79"/>
      <c r="W108" s="79"/>
      <c r="Z108" s="130"/>
      <c r="AB108" s="106"/>
    </row>
    <row r="109">
      <c r="C109" s="79"/>
      <c r="D109" s="79"/>
      <c r="E109" s="79"/>
      <c r="M109" s="79"/>
      <c r="R109" s="79"/>
      <c r="S109" s="79"/>
      <c r="V109" s="79"/>
      <c r="W109" s="79"/>
      <c r="Z109" s="130"/>
      <c r="AB109" s="106"/>
    </row>
    <row r="110">
      <c r="C110" s="79"/>
      <c r="D110" s="79"/>
      <c r="E110" s="79"/>
      <c r="M110" s="79"/>
      <c r="R110" s="79"/>
      <c r="S110" s="79"/>
      <c r="V110" s="79"/>
      <c r="W110" s="79"/>
      <c r="Z110" s="130"/>
      <c r="AB110" s="106"/>
    </row>
    <row r="111">
      <c r="C111" s="79"/>
      <c r="D111" s="79"/>
      <c r="E111" s="79"/>
      <c r="M111" s="79"/>
      <c r="R111" s="79"/>
      <c r="S111" s="79"/>
      <c r="V111" s="79"/>
      <c r="W111" s="79"/>
      <c r="Z111" s="130"/>
      <c r="AB111" s="106"/>
    </row>
    <row r="112">
      <c r="C112" s="79"/>
      <c r="D112" s="79"/>
      <c r="E112" s="79"/>
      <c r="M112" s="79"/>
      <c r="R112" s="79"/>
      <c r="S112" s="79"/>
      <c r="V112" s="79"/>
      <c r="W112" s="79"/>
      <c r="Z112" s="130"/>
      <c r="AB112" s="106"/>
    </row>
    <row r="113">
      <c r="C113" s="79"/>
      <c r="D113" s="79"/>
      <c r="E113" s="79"/>
      <c r="M113" s="79"/>
      <c r="R113" s="79"/>
      <c r="S113" s="79"/>
      <c r="V113" s="79"/>
      <c r="W113" s="79"/>
      <c r="Z113" s="130"/>
      <c r="AB113" s="106"/>
    </row>
    <row r="114">
      <c r="C114" s="79"/>
      <c r="D114" s="79"/>
      <c r="E114" s="79"/>
      <c r="M114" s="79"/>
      <c r="R114" s="79"/>
      <c r="S114" s="79"/>
      <c r="V114" s="79"/>
      <c r="W114" s="79"/>
      <c r="Z114" s="130"/>
      <c r="AB114" s="106"/>
    </row>
    <row r="115">
      <c r="C115" s="79"/>
      <c r="D115" s="79"/>
      <c r="E115" s="79"/>
      <c r="M115" s="79"/>
      <c r="R115" s="79"/>
      <c r="S115" s="79"/>
      <c r="V115" s="79"/>
      <c r="W115" s="79"/>
      <c r="Z115" s="130"/>
      <c r="AB115" s="106"/>
    </row>
    <row r="116">
      <c r="C116" s="79"/>
      <c r="D116" s="79"/>
      <c r="E116" s="79"/>
      <c r="M116" s="79"/>
      <c r="R116" s="79"/>
      <c r="S116" s="79"/>
      <c r="V116" s="79"/>
      <c r="W116" s="79"/>
      <c r="Z116" s="130"/>
      <c r="AB116" s="106"/>
    </row>
    <row r="117">
      <c r="C117" s="79"/>
      <c r="D117" s="79"/>
      <c r="E117" s="79"/>
      <c r="M117" s="79"/>
      <c r="R117" s="79"/>
      <c r="S117" s="79"/>
      <c r="V117" s="79"/>
      <c r="W117" s="79"/>
      <c r="Z117" s="130"/>
      <c r="AB117" s="106"/>
    </row>
    <row r="118">
      <c r="C118" s="79"/>
      <c r="D118" s="79"/>
      <c r="E118" s="79"/>
      <c r="M118" s="79"/>
      <c r="R118" s="79"/>
      <c r="S118" s="79"/>
      <c r="V118" s="79"/>
      <c r="W118" s="79"/>
      <c r="Z118" s="130"/>
      <c r="AB118" s="106"/>
    </row>
    <row r="119">
      <c r="C119" s="79"/>
      <c r="D119" s="79"/>
      <c r="E119" s="79"/>
      <c r="M119" s="79"/>
      <c r="R119" s="79"/>
      <c r="S119" s="79"/>
      <c r="V119" s="79"/>
      <c r="W119" s="79"/>
      <c r="Z119" s="130"/>
      <c r="AB119" s="106"/>
    </row>
    <row r="120">
      <c r="C120" s="79"/>
      <c r="D120" s="79"/>
      <c r="E120" s="79"/>
      <c r="M120" s="79"/>
      <c r="R120" s="79"/>
      <c r="S120" s="79"/>
      <c r="V120" s="79"/>
      <c r="W120" s="79"/>
      <c r="Z120" s="130"/>
      <c r="AB120" s="106"/>
    </row>
    <row r="121">
      <c r="C121" s="79"/>
      <c r="D121" s="79"/>
      <c r="E121" s="79"/>
      <c r="M121" s="79"/>
      <c r="R121" s="79"/>
      <c r="S121" s="79"/>
      <c r="V121" s="79"/>
      <c r="W121" s="79"/>
      <c r="Z121" s="130"/>
      <c r="AB121" s="106"/>
    </row>
    <row r="122">
      <c r="C122" s="79"/>
      <c r="D122" s="79"/>
      <c r="E122" s="79"/>
      <c r="M122" s="79"/>
      <c r="R122" s="79"/>
      <c r="S122" s="79"/>
      <c r="V122" s="79"/>
      <c r="W122" s="79"/>
      <c r="Z122" s="130"/>
      <c r="AB122" s="106"/>
    </row>
    <row r="123">
      <c r="C123" s="79"/>
      <c r="D123" s="79"/>
      <c r="E123" s="79"/>
      <c r="M123" s="79"/>
      <c r="R123" s="79"/>
      <c r="S123" s="79"/>
      <c r="V123" s="79"/>
      <c r="W123" s="79"/>
      <c r="Z123" s="130"/>
      <c r="AB123" s="106"/>
    </row>
    <row r="124">
      <c r="C124" s="79"/>
      <c r="D124" s="79"/>
      <c r="E124" s="79"/>
      <c r="M124" s="79"/>
      <c r="R124" s="79"/>
      <c r="S124" s="79"/>
      <c r="V124" s="79"/>
      <c r="W124" s="79"/>
      <c r="Z124" s="130"/>
      <c r="AB124" s="106"/>
    </row>
    <row r="125">
      <c r="C125" s="79"/>
      <c r="D125" s="79"/>
      <c r="E125" s="79"/>
      <c r="M125" s="79"/>
      <c r="R125" s="79"/>
      <c r="S125" s="79"/>
      <c r="V125" s="79"/>
      <c r="W125" s="79"/>
      <c r="Z125" s="130"/>
      <c r="AB125" s="106"/>
    </row>
    <row r="126">
      <c r="C126" s="79"/>
      <c r="D126" s="79"/>
      <c r="E126" s="79"/>
      <c r="M126" s="79"/>
      <c r="R126" s="79"/>
      <c r="S126" s="79"/>
      <c r="V126" s="79"/>
      <c r="W126" s="79"/>
      <c r="Z126" s="130"/>
      <c r="AB126" s="106"/>
    </row>
    <row r="127">
      <c r="C127" s="79"/>
      <c r="D127" s="79"/>
      <c r="E127" s="79"/>
      <c r="M127" s="79"/>
      <c r="R127" s="79"/>
      <c r="S127" s="79"/>
      <c r="V127" s="79"/>
      <c r="W127" s="79"/>
      <c r="Z127" s="130"/>
      <c r="AB127" s="106"/>
    </row>
    <row r="128">
      <c r="C128" s="79"/>
      <c r="D128" s="79"/>
      <c r="E128" s="79"/>
      <c r="M128" s="79"/>
      <c r="R128" s="79"/>
      <c r="S128" s="79"/>
      <c r="V128" s="79"/>
      <c r="W128" s="79"/>
      <c r="Z128" s="130"/>
      <c r="AB128" s="106"/>
    </row>
    <row r="129">
      <c r="C129" s="79"/>
      <c r="D129" s="79"/>
      <c r="E129" s="79"/>
      <c r="M129" s="79"/>
      <c r="R129" s="79"/>
      <c r="S129" s="79"/>
      <c r="V129" s="79"/>
      <c r="W129" s="79"/>
      <c r="Z129" s="130"/>
      <c r="AB129" s="106"/>
    </row>
    <row r="130">
      <c r="C130" s="79"/>
      <c r="D130" s="79"/>
      <c r="E130" s="79"/>
      <c r="M130" s="79"/>
      <c r="R130" s="79"/>
      <c r="S130" s="79"/>
      <c r="V130" s="79"/>
      <c r="W130" s="79"/>
      <c r="Z130" s="130"/>
      <c r="AB130" s="106"/>
    </row>
    <row r="131">
      <c r="C131" s="79"/>
      <c r="D131" s="79"/>
      <c r="E131" s="79"/>
      <c r="M131" s="79"/>
      <c r="R131" s="79"/>
      <c r="S131" s="79"/>
      <c r="V131" s="79"/>
      <c r="W131" s="79"/>
      <c r="Z131" s="130"/>
      <c r="AB131" s="106"/>
    </row>
    <row r="132">
      <c r="C132" s="79"/>
      <c r="D132" s="79"/>
      <c r="E132" s="79"/>
      <c r="M132" s="79"/>
      <c r="R132" s="79"/>
      <c r="S132" s="79"/>
      <c r="V132" s="79"/>
      <c r="W132" s="79"/>
      <c r="Z132" s="130"/>
      <c r="AB132" s="106"/>
    </row>
    <row r="133">
      <c r="C133" s="79"/>
      <c r="D133" s="79"/>
      <c r="E133" s="79"/>
      <c r="M133" s="79"/>
      <c r="R133" s="79"/>
      <c r="S133" s="79"/>
      <c r="V133" s="79"/>
      <c r="W133" s="79"/>
      <c r="Z133" s="130"/>
      <c r="AB133" s="106"/>
    </row>
    <row r="134">
      <c r="C134" s="79"/>
      <c r="D134" s="79"/>
      <c r="E134" s="79"/>
      <c r="M134" s="79"/>
      <c r="R134" s="79"/>
      <c r="S134" s="79"/>
      <c r="V134" s="79"/>
      <c r="W134" s="79"/>
      <c r="Z134" s="130"/>
      <c r="AB134" s="106"/>
    </row>
    <row r="135">
      <c r="C135" s="79"/>
      <c r="D135" s="79"/>
      <c r="E135" s="79"/>
      <c r="M135" s="79"/>
      <c r="R135" s="79"/>
      <c r="S135" s="79"/>
      <c r="V135" s="79"/>
      <c r="W135" s="79"/>
      <c r="Z135" s="130"/>
      <c r="AB135" s="106"/>
    </row>
    <row r="136">
      <c r="C136" s="79"/>
      <c r="D136" s="79"/>
      <c r="E136" s="79"/>
      <c r="M136" s="79"/>
      <c r="R136" s="79"/>
      <c r="S136" s="79"/>
      <c r="V136" s="79"/>
      <c r="W136" s="79"/>
      <c r="Z136" s="130"/>
      <c r="AB136" s="106"/>
    </row>
    <row r="137">
      <c r="C137" s="79"/>
      <c r="D137" s="79"/>
      <c r="E137" s="79"/>
      <c r="M137" s="79"/>
      <c r="R137" s="79"/>
      <c r="S137" s="79"/>
      <c r="V137" s="79"/>
      <c r="W137" s="79"/>
      <c r="Z137" s="130"/>
      <c r="AB137" s="106"/>
    </row>
    <row r="138">
      <c r="C138" s="79"/>
      <c r="D138" s="79"/>
      <c r="E138" s="79"/>
      <c r="M138" s="79"/>
      <c r="R138" s="79"/>
      <c r="S138" s="79"/>
      <c r="V138" s="79"/>
      <c r="W138" s="79"/>
      <c r="Z138" s="130"/>
      <c r="AB138" s="106"/>
    </row>
    <row r="139">
      <c r="C139" s="79"/>
      <c r="D139" s="79"/>
      <c r="E139" s="79"/>
      <c r="M139" s="79"/>
      <c r="R139" s="79"/>
      <c r="S139" s="79"/>
      <c r="V139" s="79"/>
      <c r="W139" s="79"/>
      <c r="Z139" s="130"/>
      <c r="AB139" s="106"/>
    </row>
    <row r="140">
      <c r="C140" s="79"/>
      <c r="D140" s="79"/>
      <c r="E140" s="79"/>
      <c r="M140" s="79"/>
      <c r="R140" s="79"/>
      <c r="S140" s="79"/>
      <c r="V140" s="79"/>
      <c r="W140" s="79"/>
      <c r="Z140" s="130"/>
      <c r="AB140" s="106"/>
    </row>
    <row r="141">
      <c r="C141" s="79"/>
      <c r="D141" s="79"/>
      <c r="E141" s="79"/>
      <c r="M141" s="79"/>
      <c r="R141" s="79"/>
      <c r="S141" s="79"/>
      <c r="V141" s="79"/>
      <c r="W141" s="79"/>
      <c r="Z141" s="130"/>
      <c r="AB141" s="106"/>
    </row>
    <row r="142">
      <c r="C142" s="79"/>
      <c r="D142" s="79"/>
      <c r="E142" s="79"/>
      <c r="M142" s="79"/>
      <c r="R142" s="79"/>
      <c r="S142" s="79"/>
      <c r="V142" s="79"/>
      <c r="W142" s="79"/>
      <c r="Z142" s="130"/>
      <c r="AB142" s="106"/>
    </row>
    <row r="143">
      <c r="C143" s="79"/>
      <c r="D143" s="79"/>
      <c r="E143" s="79"/>
      <c r="M143" s="79"/>
      <c r="R143" s="79"/>
      <c r="S143" s="79"/>
      <c r="V143" s="79"/>
      <c r="W143" s="79"/>
      <c r="Z143" s="130"/>
      <c r="AB143" s="106"/>
    </row>
    <row r="144">
      <c r="C144" s="79"/>
      <c r="D144" s="79"/>
      <c r="E144" s="79"/>
      <c r="M144" s="79"/>
      <c r="R144" s="79"/>
      <c r="S144" s="79"/>
      <c r="V144" s="79"/>
      <c r="W144" s="79"/>
      <c r="Z144" s="130"/>
      <c r="AB144" s="106"/>
    </row>
    <row r="145">
      <c r="C145" s="79"/>
      <c r="D145" s="79"/>
      <c r="E145" s="79"/>
      <c r="M145" s="79"/>
      <c r="R145" s="79"/>
      <c r="S145" s="79"/>
      <c r="V145" s="79"/>
      <c r="W145" s="79"/>
      <c r="Z145" s="130"/>
      <c r="AB145" s="106"/>
    </row>
    <row r="146">
      <c r="C146" s="79"/>
      <c r="D146" s="79"/>
      <c r="E146" s="79"/>
      <c r="M146" s="79"/>
      <c r="R146" s="79"/>
      <c r="S146" s="79"/>
      <c r="V146" s="79"/>
      <c r="W146" s="79"/>
      <c r="Z146" s="130"/>
      <c r="AB146" s="106"/>
    </row>
    <row r="147">
      <c r="C147" s="79"/>
      <c r="D147" s="79"/>
      <c r="E147" s="79"/>
      <c r="M147" s="79"/>
      <c r="R147" s="79"/>
      <c r="S147" s="79"/>
      <c r="V147" s="79"/>
      <c r="W147" s="79"/>
      <c r="Z147" s="130"/>
      <c r="AB147" s="106"/>
    </row>
    <row r="148">
      <c r="C148" s="79"/>
      <c r="D148" s="79"/>
      <c r="E148" s="79"/>
      <c r="M148" s="79"/>
      <c r="R148" s="79"/>
      <c r="S148" s="79"/>
      <c r="V148" s="79"/>
      <c r="W148" s="79"/>
      <c r="Z148" s="130"/>
      <c r="AB148" s="106"/>
    </row>
    <row r="149">
      <c r="C149" s="79"/>
      <c r="D149" s="79"/>
      <c r="E149" s="79"/>
      <c r="M149" s="79"/>
      <c r="R149" s="79"/>
      <c r="S149" s="79"/>
      <c r="V149" s="79"/>
      <c r="W149" s="79"/>
      <c r="Z149" s="130"/>
      <c r="AB149" s="106"/>
    </row>
    <row r="150">
      <c r="C150" s="79"/>
      <c r="D150" s="79"/>
      <c r="E150" s="79"/>
      <c r="M150" s="79"/>
      <c r="R150" s="79"/>
      <c r="S150" s="79"/>
      <c r="V150" s="79"/>
      <c r="W150" s="79"/>
      <c r="Z150" s="130"/>
      <c r="AB150" s="106"/>
    </row>
    <row r="151">
      <c r="C151" s="79"/>
      <c r="D151" s="79"/>
      <c r="E151" s="79"/>
      <c r="M151" s="79"/>
      <c r="R151" s="79"/>
      <c r="S151" s="79"/>
      <c r="V151" s="79"/>
      <c r="W151" s="79"/>
      <c r="Z151" s="130"/>
      <c r="AB151" s="106"/>
    </row>
    <row r="152">
      <c r="C152" s="79"/>
      <c r="D152" s="79"/>
      <c r="E152" s="79"/>
      <c r="M152" s="79"/>
      <c r="R152" s="79"/>
      <c r="S152" s="79"/>
      <c r="V152" s="79"/>
      <c r="W152" s="79"/>
      <c r="Z152" s="130"/>
      <c r="AB152" s="106"/>
    </row>
    <row r="153">
      <c r="C153" s="79"/>
      <c r="D153" s="79"/>
      <c r="E153" s="79"/>
      <c r="M153" s="79"/>
      <c r="R153" s="79"/>
      <c r="S153" s="79"/>
      <c r="V153" s="79"/>
      <c r="W153" s="79"/>
      <c r="Z153" s="130"/>
      <c r="AB153" s="106"/>
    </row>
    <row r="154">
      <c r="C154" s="79"/>
      <c r="D154" s="79"/>
      <c r="E154" s="79"/>
      <c r="M154" s="79"/>
      <c r="R154" s="79"/>
      <c r="S154" s="79"/>
      <c r="V154" s="79"/>
      <c r="W154" s="79"/>
      <c r="Z154" s="130"/>
      <c r="AB154" s="106"/>
    </row>
    <row r="155">
      <c r="C155" s="79"/>
      <c r="D155" s="79"/>
      <c r="E155" s="79"/>
      <c r="M155" s="79"/>
      <c r="R155" s="79"/>
      <c r="S155" s="79"/>
      <c r="V155" s="79"/>
      <c r="W155" s="79"/>
      <c r="Z155" s="130"/>
      <c r="AB155" s="106"/>
    </row>
    <row r="156">
      <c r="C156" s="79"/>
      <c r="D156" s="79"/>
      <c r="E156" s="79"/>
      <c r="M156" s="79"/>
      <c r="R156" s="79"/>
      <c r="S156" s="79"/>
      <c r="V156" s="79"/>
      <c r="W156" s="79"/>
      <c r="Z156" s="130"/>
      <c r="AB156" s="106"/>
    </row>
    <row r="157">
      <c r="C157" s="79"/>
      <c r="D157" s="79"/>
      <c r="E157" s="79"/>
      <c r="M157" s="79"/>
      <c r="R157" s="79"/>
      <c r="S157" s="79"/>
      <c r="V157" s="79"/>
      <c r="W157" s="79"/>
      <c r="Z157" s="130"/>
      <c r="AB157" s="106"/>
    </row>
    <row r="158">
      <c r="C158" s="79"/>
      <c r="D158" s="79"/>
      <c r="E158" s="79"/>
      <c r="M158" s="79"/>
      <c r="R158" s="79"/>
      <c r="S158" s="79"/>
      <c r="V158" s="79"/>
      <c r="W158" s="79"/>
      <c r="Z158" s="130"/>
      <c r="AB158" s="106"/>
    </row>
    <row r="159">
      <c r="C159" s="79"/>
      <c r="D159" s="79"/>
      <c r="E159" s="79"/>
      <c r="M159" s="79"/>
      <c r="R159" s="79"/>
      <c r="S159" s="79"/>
      <c r="V159" s="79"/>
      <c r="W159" s="79"/>
      <c r="Z159" s="130"/>
      <c r="AB159" s="106"/>
    </row>
    <row r="160">
      <c r="C160" s="79"/>
      <c r="D160" s="79"/>
      <c r="E160" s="79"/>
      <c r="M160" s="79"/>
      <c r="R160" s="79"/>
      <c r="S160" s="79"/>
      <c r="V160" s="79"/>
      <c r="W160" s="79"/>
      <c r="Z160" s="130"/>
      <c r="AB160" s="106"/>
    </row>
    <row r="161">
      <c r="C161" s="79"/>
      <c r="D161" s="79"/>
      <c r="E161" s="79"/>
      <c r="M161" s="79"/>
      <c r="R161" s="79"/>
      <c r="S161" s="79"/>
      <c r="V161" s="79"/>
      <c r="W161" s="79"/>
      <c r="Z161" s="130"/>
      <c r="AB161" s="106"/>
    </row>
    <row r="162">
      <c r="C162" s="79"/>
      <c r="D162" s="79"/>
      <c r="E162" s="79"/>
      <c r="M162" s="79"/>
      <c r="R162" s="79"/>
      <c r="S162" s="79"/>
      <c r="V162" s="79"/>
      <c r="W162" s="79"/>
      <c r="Z162" s="130"/>
      <c r="AB162" s="106"/>
    </row>
    <row r="163">
      <c r="C163" s="79"/>
      <c r="D163" s="79"/>
      <c r="E163" s="79"/>
      <c r="M163" s="79"/>
      <c r="R163" s="79"/>
      <c r="S163" s="79"/>
      <c r="V163" s="79"/>
      <c r="W163" s="79"/>
      <c r="Z163" s="130"/>
      <c r="AB163" s="106"/>
    </row>
    <row r="164">
      <c r="C164" s="79"/>
      <c r="D164" s="79"/>
      <c r="E164" s="79"/>
      <c r="M164" s="79"/>
      <c r="R164" s="79"/>
      <c r="S164" s="79"/>
      <c r="V164" s="79"/>
      <c r="W164" s="79"/>
      <c r="Z164" s="130"/>
      <c r="AB164" s="106"/>
    </row>
    <row r="165">
      <c r="C165" s="79"/>
      <c r="D165" s="79"/>
      <c r="E165" s="79"/>
      <c r="M165" s="79"/>
      <c r="R165" s="79"/>
      <c r="S165" s="79"/>
      <c r="V165" s="79"/>
      <c r="W165" s="79"/>
      <c r="Z165" s="130"/>
      <c r="AB165" s="106"/>
    </row>
    <row r="166">
      <c r="C166" s="79"/>
      <c r="D166" s="79"/>
      <c r="E166" s="79"/>
      <c r="M166" s="79"/>
      <c r="R166" s="79"/>
      <c r="S166" s="79"/>
      <c r="V166" s="79"/>
      <c r="W166" s="79"/>
      <c r="Z166" s="130"/>
      <c r="AB166" s="106"/>
    </row>
    <row r="167">
      <c r="C167" s="79"/>
      <c r="D167" s="79"/>
      <c r="E167" s="79"/>
      <c r="M167" s="79"/>
      <c r="R167" s="79"/>
      <c r="S167" s="79"/>
      <c r="V167" s="79"/>
      <c r="W167" s="79"/>
      <c r="Z167" s="130"/>
      <c r="AB167" s="106"/>
    </row>
    <row r="168">
      <c r="C168" s="79"/>
      <c r="D168" s="79"/>
      <c r="E168" s="79"/>
      <c r="M168" s="79"/>
      <c r="R168" s="79"/>
      <c r="S168" s="79"/>
      <c r="V168" s="79"/>
      <c r="W168" s="79"/>
      <c r="Z168" s="130"/>
      <c r="AB168" s="106"/>
    </row>
    <row r="169">
      <c r="C169" s="79"/>
      <c r="D169" s="79"/>
      <c r="E169" s="79"/>
      <c r="M169" s="79"/>
      <c r="R169" s="79"/>
      <c r="S169" s="79"/>
      <c r="V169" s="79"/>
      <c r="W169" s="79"/>
      <c r="Z169" s="130"/>
      <c r="AB169" s="106"/>
    </row>
    <row r="170">
      <c r="C170" s="79"/>
      <c r="D170" s="79"/>
      <c r="E170" s="79"/>
      <c r="M170" s="79"/>
      <c r="R170" s="79"/>
      <c r="S170" s="79"/>
      <c r="V170" s="79"/>
      <c r="W170" s="79"/>
      <c r="Z170" s="130"/>
      <c r="AB170" s="106"/>
    </row>
    <row r="171">
      <c r="C171" s="79"/>
      <c r="D171" s="79"/>
      <c r="E171" s="79"/>
      <c r="M171" s="79"/>
      <c r="R171" s="79"/>
      <c r="S171" s="79"/>
      <c r="V171" s="79"/>
      <c r="W171" s="79"/>
      <c r="Z171" s="130"/>
      <c r="AB171" s="106"/>
    </row>
    <row r="172">
      <c r="C172" s="79"/>
      <c r="D172" s="79"/>
      <c r="E172" s="79"/>
      <c r="M172" s="79"/>
      <c r="R172" s="79"/>
      <c r="S172" s="79"/>
      <c r="V172" s="79"/>
      <c r="W172" s="79"/>
      <c r="Z172" s="130"/>
      <c r="AB172" s="106"/>
    </row>
    <row r="173">
      <c r="C173" s="79"/>
      <c r="D173" s="79"/>
      <c r="E173" s="79"/>
      <c r="M173" s="79"/>
      <c r="R173" s="79"/>
      <c r="S173" s="79"/>
      <c r="V173" s="79"/>
      <c r="W173" s="79"/>
      <c r="Z173" s="130"/>
      <c r="AB173" s="106"/>
    </row>
    <row r="174">
      <c r="C174" s="79"/>
      <c r="D174" s="79"/>
      <c r="E174" s="79"/>
      <c r="M174" s="79"/>
      <c r="R174" s="79"/>
      <c r="S174" s="79"/>
      <c r="V174" s="79"/>
      <c r="W174" s="79"/>
      <c r="Z174" s="130"/>
      <c r="AB174" s="106"/>
    </row>
    <row r="175">
      <c r="C175" s="79"/>
      <c r="D175" s="79"/>
      <c r="E175" s="79"/>
      <c r="M175" s="79"/>
      <c r="R175" s="79"/>
      <c r="S175" s="79"/>
      <c r="V175" s="79"/>
      <c r="W175" s="79"/>
      <c r="Z175" s="130"/>
      <c r="AB175" s="106"/>
    </row>
    <row r="176">
      <c r="C176" s="79"/>
      <c r="D176" s="79"/>
      <c r="E176" s="79"/>
      <c r="M176" s="79"/>
      <c r="R176" s="79"/>
      <c r="S176" s="79"/>
      <c r="V176" s="79"/>
      <c r="W176" s="79"/>
      <c r="Z176" s="130"/>
      <c r="AB176" s="106"/>
    </row>
    <row r="177">
      <c r="C177" s="79"/>
      <c r="D177" s="79"/>
      <c r="E177" s="79"/>
      <c r="M177" s="79"/>
      <c r="R177" s="79"/>
      <c r="S177" s="79"/>
      <c r="V177" s="79"/>
      <c r="W177" s="79"/>
      <c r="Z177" s="130"/>
      <c r="AB177" s="106"/>
    </row>
    <row r="178">
      <c r="C178" s="79"/>
      <c r="D178" s="79"/>
      <c r="E178" s="79"/>
      <c r="M178" s="79"/>
      <c r="R178" s="79"/>
      <c r="S178" s="79"/>
      <c r="V178" s="79"/>
      <c r="W178" s="79"/>
      <c r="Z178" s="130"/>
      <c r="AB178" s="106"/>
    </row>
    <row r="179">
      <c r="C179" s="79"/>
      <c r="D179" s="79"/>
      <c r="E179" s="79"/>
      <c r="M179" s="79"/>
      <c r="R179" s="79"/>
      <c r="S179" s="79"/>
      <c r="V179" s="79"/>
      <c r="W179" s="79"/>
      <c r="Z179" s="130"/>
      <c r="AB179" s="106"/>
    </row>
    <row r="180">
      <c r="C180" s="79"/>
      <c r="D180" s="79"/>
      <c r="E180" s="79"/>
      <c r="M180" s="79"/>
      <c r="R180" s="79"/>
      <c r="S180" s="79"/>
      <c r="V180" s="79"/>
      <c r="W180" s="79"/>
      <c r="Z180" s="130"/>
      <c r="AB180" s="106"/>
    </row>
    <row r="181">
      <c r="C181" s="79"/>
      <c r="D181" s="79"/>
      <c r="E181" s="79"/>
      <c r="M181" s="79"/>
      <c r="R181" s="79"/>
      <c r="S181" s="79"/>
      <c r="V181" s="79"/>
      <c r="W181" s="79"/>
      <c r="Z181" s="130"/>
      <c r="AB181" s="106"/>
    </row>
    <row r="182">
      <c r="C182" s="79"/>
      <c r="D182" s="79"/>
      <c r="E182" s="79"/>
      <c r="M182" s="79"/>
      <c r="R182" s="79"/>
      <c r="S182" s="79"/>
      <c r="V182" s="79"/>
      <c r="W182" s="79"/>
      <c r="Z182" s="130"/>
      <c r="AB182" s="106"/>
    </row>
    <row r="183">
      <c r="C183" s="79"/>
      <c r="D183" s="79"/>
      <c r="E183" s="79"/>
      <c r="M183" s="79"/>
      <c r="R183" s="79"/>
      <c r="S183" s="79"/>
      <c r="V183" s="79"/>
      <c r="W183" s="79"/>
      <c r="Z183" s="130"/>
      <c r="AB183" s="106"/>
    </row>
    <row r="184">
      <c r="C184" s="79"/>
      <c r="D184" s="79"/>
      <c r="E184" s="79"/>
      <c r="M184" s="79"/>
      <c r="R184" s="79"/>
      <c r="S184" s="79"/>
      <c r="V184" s="79"/>
      <c r="W184" s="79"/>
      <c r="Z184" s="130"/>
      <c r="AB184" s="106"/>
    </row>
    <row r="185">
      <c r="C185" s="79"/>
      <c r="D185" s="79"/>
      <c r="E185" s="79"/>
      <c r="M185" s="79"/>
      <c r="R185" s="79"/>
      <c r="S185" s="79"/>
      <c r="V185" s="79"/>
      <c r="W185" s="79"/>
      <c r="Z185" s="130"/>
      <c r="AB185" s="106"/>
    </row>
    <row r="186">
      <c r="C186" s="79"/>
      <c r="D186" s="79"/>
      <c r="E186" s="79"/>
      <c r="M186" s="79"/>
      <c r="R186" s="79"/>
      <c r="S186" s="79"/>
      <c r="V186" s="79"/>
      <c r="W186" s="79"/>
      <c r="Z186" s="130"/>
      <c r="AB186" s="106"/>
    </row>
    <row r="187">
      <c r="C187" s="79"/>
      <c r="D187" s="79"/>
      <c r="E187" s="79"/>
      <c r="M187" s="79"/>
      <c r="R187" s="79"/>
      <c r="S187" s="79"/>
      <c r="V187" s="79"/>
      <c r="W187" s="79"/>
      <c r="Z187" s="130"/>
      <c r="AB187" s="106"/>
    </row>
    <row r="188">
      <c r="C188" s="79"/>
      <c r="D188" s="79"/>
      <c r="E188" s="79"/>
      <c r="M188" s="79"/>
      <c r="R188" s="79"/>
      <c r="S188" s="79"/>
      <c r="V188" s="79"/>
      <c r="W188" s="79"/>
      <c r="Z188" s="130"/>
      <c r="AB188" s="106"/>
    </row>
    <row r="189">
      <c r="C189" s="79"/>
      <c r="D189" s="79"/>
      <c r="E189" s="79"/>
      <c r="M189" s="79"/>
      <c r="R189" s="79"/>
      <c r="S189" s="79"/>
      <c r="V189" s="79"/>
      <c r="W189" s="79"/>
      <c r="Z189" s="130"/>
      <c r="AB189" s="106"/>
    </row>
    <row r="190">
      <c r="C190" s="79"/>
      <c r="D190" s="79"/>
      <c r="E190" s="79"/>
      <c r="M190" s="79"/>
      <c r="R190" s="79"/>
      <c r="S190" s="79"/>
      <c r="V190" s="79"/>
      <c r="W190" s="79"/>
      <c r="Z190" s="130"/>
      <c r="AB190" s="106"/>
    </row>
    <row r="191">
      <c r="C191" s="79"/>
      <c r="D191" s="79"/>
      <c r="E191" s="79"/>
      <c r="M191" s="79"/>
      <c r="R191" s="79"/>
      <c r="S191" s="79"/>
      <c r="V191" s="79"/>
      <c r="W191" s="79"/>
      <c r="Z191" s="130"/>
      <c r="AB191" s="106"/>
    </row>
    <row r="192">
      <c r="C192" s="79"/>
      <c r="D192" s="79"/>
      <c r="E192" s="79"/>
      <c r="M192" s="79"/>
      <c r="R192" s="79"/>
      <c r="S192" s="79"/>
      <c r="V192" s="79"/>
      <c r="W192" s="79"/>
      <c r="Z192" s="130"/>
      <c r="AB192" s="106"/>
    </row>
    <row r="193">
      <c r="C193" s="79"/>
      <c r="D193" s="79"/>
      <c r="E193" s="79"/>
      <c r="M193" s="79"/>
      <c r="R193" s="79"/>
      <c r="S193" s="79"/>
      <c r="V193" s="79"/>
      <c r="W193" s="79"/>
      <c r="Z193" s="130"/>
      <c r="AB193" s="106"/>
    </row>
    <row r="194">
      <c r="C194" s="79"/>
      <c r="D194" s="79"/>
      <c r="E194" s="79"/>
      <c r="M194" s="79"/>
      <c r="R194" s="79"/>
      <c r="S194" s="79"/>
      <c r="V194" s="79"/>
      <c r="W194" s="79"/>
      <c r="Z194" s="130"/>
      <c r="AB194" s="106"/>
    </row>
    <row r="195">
      <c r="C195" s="79"/>
      <c r="D195" s="79"/>
      <c r="E195" s="79"/>
      <c r="M195" s="79"/>
      <c r="R195" s="79"/>
      <c r="S195" s="79"/>
      <c r="V195" s="79"/>
      <c r="W195" s="79"/>
      <c r="Z195" s="130"/>
      <c r="AB195" s="106"/>
    </row>
    <row r="196">
      <c r="C196" s="79"/>
      <c r="D196" s="79"/>
      <c r="E196" s="79"/>
      <c r="M196" s="79"/>
      <c r="R196" s="79"/>
      <c r="S196" s="79"/>
      <c r="V196" s="79"/>
      <c r="W196" s="79"/>
      <c r="Z196" s="130"/>
      <c r="AB196" s="106"/>
    </row>
    <row r="197">
      <c r="C197" s="79"/>
      <c r="D197" s="79"/>
      <c r="E197" s="79"/>
      <c r="M197" s="79"/>
      <c r="R197" s="79"/>
      <c r="S197" s="79"/>
      <c r="V197" s="79"/>
      <c r="W197" s="79"/>
      <c r="Z197" s="130"/>
      <c r="AB197" s="106"/>
    </row>
    <row r="198">
      <c r="C198" s="79"/>
      <c r="D198" s="79"/>
      <c r="E198" s="79"/>
      <c r="M198" s="79"/>
      <c r="R198" s="79"/>
      <c r="S198" s="79"/>
      <c r="V198" s="79"/>
      <c r="W198" s="79"/>
      <c r="Z198" s="130"/>
      <c r="AB198" s="106"/>
    </row>
    <row r="199">
      <c r="C199" s="79"/>
      <c r="D199" s="79"/>
      <c r="E199" s="79"/>
      <c r="M199" s="79"/>
      <c r="R199" s="79"/>
      <c r="S199" s="79"/>
      <c r="V199" s="79"/>
      <c r="W199" s="79"/>
      <c r="Z199" s="130"/>
      <c r="AB199" s="106"/>
    </row>
    <row r="200">
      <c r="C200" s="79"/>
      <c r="D200" s="79"/>
      <c r="E200" s="79"/>
      <c r="M200" s="79"/>
      <c r="R200" s="79"/>
      <c r="S200" s="79"/>
      <c r="V200" s="79"/>
      <c r="W200" s="79"/>
      <c r="Z200" s="130"/>
      <c r="AB200" s="106"/>
    </row>
    <row r="201">
      <c r="C201" s="79"/>
      <c r="D201" s="79"/>
      <c r="E201" s="79"/>
      <c r="M201" s="79"/>
      <c r="R201" s="79"/>
      <c r="S201" s="79"/>
      <c r="V201" s="79"/>
      <c r="W201" s="79"/>
      <c r="Z201" s="130"/>
      <c r="AB201" s="106"/>
    </row>
    <row r="202">
      <c r="C202" s="79"/>
      <c r="D202" s="79"/>
      <c r="E202" s="79"/>
      <c r="M202" s="79"/>
      <c r="R202" s="79"/>
      <c r="S202" s="79"/>
      <c r="V202" s="79"/>
      <c r="W202" s="79"/>
      <c r="Z202" s="130"/>
      <c r="AB202" s="106"/>
    </row>
    <row r="203">
      <c r="C203" s="79"/>
      <c r="D203" s="79"/>
      <c r="E203" s="79"/>
      <c r="M203" s="79"/>
      <c r="R203" s="79"/>
      <c r="S203" s="79"/>
      <c r="V203" s="79"/>
      <c r="W203" s="79"/>
      <c r="Z203" s="130"/>
      <c r="AB203" s="106"/>
    </row>
    <row r="204">
      <c r="C204" s="79"/>
      <c r="D204" s="79"/>
      <c r="E204" s="79"/>
      <c r="M204" s="79"/>
      <c r="R204" s="79"/>
      <c r="S204" s="79"/>
      <c r="V204" s="79"/>
      <c r="W204" s="79"/>
      <c r="Z204" s="130"/>
      <c r="AB204" s="106"/>
    </row>
    <row r="205">
      <c r="C205" s="79"/>
      <c r="D205" s="79"/>
      <c r="E205" s="79"/>
      <c r="M205" s="79"/>
      <c r="R205" s="79"/>
      <c r="S205" s="79"/>
      <c r="V205" s="79"/>
      <c r="W205" s="79"/>
      <c r="Z205" s="130"/>
      <c r="AB205" s="106"/>
    </row>
    <row r="206">
      <c r="C206" s="79"/>
      <c r="D206" s="79"/>
      <c r="E206" s="79"/>
      <c r="M206" s="79"/>
      <c r="R206" s="79"/>
      <c r="S206" s="79"/>
      <c r="V206" s="79"/>
      <c r="W206" s="79"/>
      <c r="Z206" s="130"/>
      <c r="AB206" s="106"/>
    </row>
    <row r="207">
      <c r="C207" s="79"/>
      <c r="D207" s="79"/>
      <c r="E207" s="79"/>
      <c r="M207" s="79"/>
      <c r="R207" s="79"/>
      <c r="S207" s="79"/>
      <c r="V207" s="79"/>
      <c r="W207" s="79"/>
      <c r="Z207" s="130"/>
      <c r="AB207" s="106"/>
    </row>
    <row r="208">
      <c r="C208" s="79"/>
      <c r="D208" s="79"/>
      <c r="E208" s="79"/>
      <c r="M208" s="79"/>
      <c r="R208" s="79"/>
      <c r="S208" s="79"/>
      <c r="V208" s="79"/>
      <c r="W208" s="79"/>
      <c r="Z208" s="130"/>
      <c r="AB208" s="106"/>
    </row>
    <row r="209">
      <c r="C209" s="79"/>
      <c r="D209" s="79"/>
      <c r="E209" s="79"/>
      <c r="M209" s="79"/>
      <c r="R209" s="79"/>
      <c r="S209" s="79"/>
      <c r="V209" s="79"/>
      <c r="W209" s="79"/>
      <c r="Z209" s="130"/>
      <c r="AB209" s="106"/>
    </row>
    <row r="210">
      <c r="C210" s="79"/>
      <c r="D210" s="79"/>
      <c r="E210" s="79"/>
      <c r="M210" s="79"/>
      <c r="R210" s="79"/>
      <c r="S210" s="79"/>
      <c r="V210" s="79"/>
      <c r="W210" s="79"/>
      <c r="Z210" s="130"/>
      <c r="AB210" s="106"/>
    </row>
    <row r="211">
      <c r="C211" s="79"/>
      <c r="D211" s="79"/>
      <c r="E211" s="79"/>
      <c r="M211" s="79"/>
      <c r="R211" s="79"/>
      <c r="S211" s="79"/>
      <c r="V211" s="79"/>
      <c r="W211" s="79"/>
      <c r="Z211" s="130"/>
      <c r="AB211" s="106"/>
    </row>
    <row r="212">
      <c r="C212" s="79"/>
      <c r="D212" s="79"/>
      <c r="E212" s="79"/>
      <c r="M212" s="79"/>
      <c r="R212" s="79"/>
      <c r="S212" s="79"/>
      <c r="V212" s="79"/>
      <c r="W212" s="79"/>
      <c r="Z212" s="130"/>
      <c r="AB212" s="106"/>
    </row>
    <row r="213">
      <c r="C213" s="79"/>
      <c r="D213" s="79"/>
      <c r="E213" s="79"/>
      <c r="M213" s="79"/>
      <c r="R213" s="79"/>
      <c r="S213" s="79"/>
      <c r="V213" s="79"/>
      <c r="W213" s="79"/>
      <c r="Z213" s="130"/>
      <c r="AB213" s="106"/>
    </row>
    <row r="214">
      <c r="C214" s="79"/>
      <c r="D214" s="79"/>
      <c r="E214" s="79"/>
      <c r="M214" s="79"/>
      <c r="R214" s="79"/>
      <c r="S214" s="79"/>
      <c r="V214" s="79"/>
      <c r="W214" s="79"/>
      <c r="Z214" s="130"/>
      <c r="AB214" s="106"/>
    </row>
    <row r="215">
      <c r="C215" s="79"/>
      <c r="D215" s="79"/>
      <c r="E215" s="79"/>
      <c r="M215" s="79"/>
      <c r="R215" s="79"/>
      <c r="S215" s="79"/>
      <c r="V215" s="79"/>
      <c r="W215" s="79"/>
      <c r="Z215" s="130"/>
      <c r="AB215" s="106"/>
    </row>
    <row r="216">
      <c r="C216" s="79"/>
      <c r="D216" s="79"/>
      <c r="E216" s="79"/>
      <c r="M216" s="79"/>
      <c r="R216" s="79"/>
      <c r="S216" s="79"/>
      <c r="V216" s="79"/>
      <c r="W216" s="79"/>
      <c r="Z216" s="130"/>
      <c r="AB216" s="106"/>
    </row>
    <row r="217">
      <c r="C217" s="79"/>
      <c r="D217" s="79"/>
      <c r="E217" s="79"/>
      <c r="M217" s="79"/>
      <c r="R217" s="79"/>
      <c r="S217" s="79"/>
      <c r="V217" s="79"/>
      <c r="W217" s="79"/>
      <c r="Z217" s="130"/>
      <c r="AB217" s="106"/>
    </row>
    <row r="218">
      <c r="C218" s="79"/>
      <c r="D218" s="79"/>
      <c r="E218" s="79"/>
      <c r="M218" s="79"/>
      <c r="R218" s="79"/>
      <c r="S218" s="79"/>
      <c r="V218" s="79"/>
      <c r="W218" s="79"/>
      <c r="Z218" s="130"/>
      <c r="AB218" s="106"/>
    </row>
    <row r="219">
      <c r="C219" s="79"/>
      <c r="D219" s="79"/>
      <c r="E219" s="79"/>
      <c r="M219" s="79"/>
      <c r="R219" s="79"/>
      <c r="S219" s="79"/>
      <c r="V219" s="79"/>
      <c r="W219" s="79"/>
      <c r="Z219" s="130"/>
      <c r="AB219" s="106"/>
    </row>
    <row r="220">
      <c r="C220" s="79"/>
      <c r="D220" s="79"/>
      <c r="E220" s="79"/>
      <c r="M220" s="79"/>
      <c r="R220" s="79"/>
      <c r="S220" s="79"/>
      <c r="V220" s="79"/>
      <c r="W220" s="79"/>
      <c r="Z220" s="130"/>
      <c r="AB220" s="106"/>
    </row>
    <row r="221">
      <c r="C221" s="79"/>
      <c r="D221" s="79"/>
      <c r="E221" s="79"/>
      <c r="M221" s="79"/>
      <c r="R221" s="79"/>
      <c r="S221" s="79"/>
      <c r="V221" s="79"/>
      <c r="W221" s="79"/>
      <c r="Z221" s="130"/>
      <c r="AB221" s="106"/>
    </row>
    <row r="222">
      <c r="C222" s="79"/>
      <c r="D222" s="79"/>
      <c r="E222" s="79"/>
      <c r="M222" s="79"/>
      <c r="R222" s="79"/>
      <c r="S222" s="79"/>
      <c r="V222" s="79"/>
      <c r="W222" s="79"/>
      <c r="Z222" s="130"/>
      <c r="AB222" s="106"/>
    </row>
    <row r="223">
      <c r="C223" s="79"/>
      <c r="D223" s="79"/>
      <c r="E223" s="79"/>
      <c r="M223" s="79"/>
      <c r="R223" s="79"/>
      <c r="S223" s="79"/>
      <c r="V223" s="79"/>
      <c r="W223" s="79"/>
      <c r="Z223" s="130"/>
      <c r="AB223" s="106"/>
    </row>
    <row r="224">
      <c r="C224" s="79"/>
      <c r="D224" s="79"/>
      <c r="E224" s="79"/>
      <c r="M224" s="79"/>
      <c r="R224" s="79"/>
      <c r="S224" s="79"/>
      <c r="V224" s="79"/>
      <c r="W224" s="79"/>
      <c r="Z224" s="130"/>
      <c r="AB224" s="106"/>
    </row>
    <row r="225">
      <c r="C225" s="79"/>
      <c r="D225" s="79"/>
      <c r="E225" s="79"/>
      <c r="M225" s="79"/>
      <c r="R225" s="79"/>
      <c r="S225" s="79"/>
      <c r="V225" s="79"/>
      <c r="W225" s="79"/>
      <c r="Z225" s="130"/>
      <c r="AB225" s="106"/>
    </row>
    <row r="226">
      <c r="C226" s="79"/>
      <c r="D226" s="79"/>
      <c r="E226" s="79"/>
      <c r="M226" s="79"/>
      <c r="R226" s="79"/>
      <c r="S226" s="79"/>
      <c r="V226" s="79"/>
      <c r="W226" s="79"/>
      <c r="Z226" s="130"/>
      <c r="AB226" s="106"/>
    </row>
    <row r="227">
      <c r="C227" s="79"/>
      <c r="D227" s="79"/>
      <c r="E227" s="79"/>
      <c r="M227" s="79"/>
      <c r="R227" s="79"/>
      <c r="S227" s="79"/>
      <c r="V227" s="79"/>
      <c r="W227" s="79"/>
      <c r="Z227" s="130"/>
      <c r="AB227" s="106"/>
    </row>
    <row r="228">
      <c r="C228" s="79"/>
      <c r="D228" s="79"/>
      <c r="E228" s="79"/>
      <c r="M228" s="79"/>
      <c r="R228" s="79"/>
      <c r="S228" s="79"/>
      <c r="V228" s="79"/>
      <c r="W228" s="79"/>
      <c r="Z228" s="130"/>
      <c r="AB228" s="106"/>
    </row>
    <row r="229">
      <c r="C229" s="79"/>
      <c r="D229" s="79"/>
      <c r="E229" s="79"/>
      <c r="M229" s="79"/>
      <c r="R229" s="79"/>
      <c r="S229" s="79"/>
      <c r="V229" s="79"/>
      <c r="W229" s="79"/>
      <c r="Z229" s="130"/>
      <c r="AB229" s="106"/>
    </row>
    <row r="230">
      <c r="C230" s="79"/>
      <c r="D230" s="79"/>
      <c r="E230" s="79"/>
      <c r="M230" s="79"/>
      <c r="R230" s="79"/>
      <c r="S230" s="79"/>
      <c r="V230" s="79"/>
      <c r="W230" s="79"/>
      <c r="Z230" s="130"/>
      <c r="AB230" s="106"/>
    </row>
    <row r="231">
      <c r="C231" s="79"/>
      <c r="D231" s="79"/>
      <c r="E231" s="79"/>
      <c r="M231" s="79"/>
      <c r="R231" s="79"/>
      <c r="S231" s="79"/>
      <c r="V231" s="79"/>
      <c r="W231" s="79"/>
      <c r="Z231" s="130"/>
      <c r="AB231" s="106"/>
    </row>
    <row r="232">
      <c r="C232" s="79"/>
      <c r="D232" s="79"/>
      <c r="E232" s="79"/>
      <c r="M232" s="79"/>
      <c r="R232" s="79"/>
      <c r="S232" s="79"/>
      <c r="V232" s="79"/>
      <c r="W232" s="79"/>
      <c r="Z232" s="130"/>
      <c r="AB232" s="106"/>
    </row>
    <row r="233">
      <c r="C233" s="79"/>
      <c r="D233" s="79"/>
      <c r="E233" s="79"/>
      <c r="M233" s="79"/>
      <c r="R233" s="79"/>
      <c r="S233" s="79"/>
      <c r="V233" s="79"/>
      <c r="W233" s="79"/>
      <c r="Z233" s="130"/>
      <c r="AB233" s="106"/>
    </row>
    <row r="234">
      <c r="C234" s="79"/>
      <c r="D234" s="79"/>
      <c r="E234" s="79"/>
      <c r="M234" s="79"/>
      <c r="R234" s="79"/>
      <c r="S234" s="79"/>
      <c r="V234" s="79"/>
      <c r="W234" s="79"/>
      <c r="Z234" s="130"/>
      <c r="AB234" s="106"/>
    </row>
    <row r="235">
      <c r="C235" s="79"/>
      <c r="D235" s="79"/>
      <c r="E235" s="79"/>
      <c r="M235" s="79"/>
      <c r="R235" s="79"/>
      <c r="S235" s="79"/>
      <c r="V235" s="79"/>
      <c r="W235" s="79"/>
      <c r="Z235" s="130"/>
      <c r="AB235" s="106"/>
    </row>
    <row r="236">
      <c r="C236" s="79"/>
      <c r="D236" s="79"/>
      <c r="E236" s="79"/>
      <c r="M236" s="79"/>
      <c r="R236" s="79"/>
      <c r="S236" s="79"/>
      <c r="V236" s="79"/>
      <c r="W236" s="79"/>
      <c r="Z236" s="130"/>
      <c r="AB236" s="106"/>
    </row>
    <row r="237">
      <c r="C237" s="79"/>
      <c r="D237" s="79"/>
      <c r="E237" s="79"/>
      <c r="M237" s="79"/>
      <c r="R237" s="79"/>
      <c r="S237" s="79"/>
      <c r="V237" s="79"/>
      <c r="W237" s="79"/>
      <c r="Z237" s="130"/>
      <c r="AB237" s="106"/>
    </row>
    <row r="238">
      <c r="C238" s="79"/>
      <c r="D238" s="79"/>
      <c r="E238" s="79"/>
      <c r="M238" s="79"/>
      <c r="R238" s="79"/>
      <c r="S238" s="79"/>
      <c r="V238" s="79"/>
      <c r="W238" s="79"/>
      <c r="Z238" s="130"/>
      <c r="AB238" s="106"/>
    </row>
    <row r="239">
      <c r="C239" s="79"/>
      <c r="D239" s="79"/>
      <c r="E239" s="79"/>
      <c r="M239" s="79"/>
      <c r="R239" s="79"/>
      <c r="S239" s="79"/>
      <c r="V239" s="79"/>
      <c r="W239" s="79"/>
      <c r="Z239" s="130"/>
      <c r="AB239" s="106"/>
    </row>
    <row r="240">
      <c r="C240" s="79"/>
      <c r="D240" s="79"/>
      <c r="E240" s="79"/>
      <c r="M240" s="79"/>
      <c r="R240" s="79"/>
      <c r="S240" s="79"/>
      <c r="V240" s="79"/>
      <c r="W240" s="79"/>
      <c r="Z240" s="130"/>
      <c r="AB240" s="106"/>
    </row>
    <row r="241">
      <c r="C241" s="79"/>
      <c r="D241" s="79"/>
      <c r="E241" s="79"/>
      <c r="M241" s="79"/>
      <c r="R241" s="79"/>
      <c r="S241" s="79"/>
      <c r="V241" s="79"/>
      <c r="W241" s="79"/>
      <c r="Z241" s="130"/>
      <c r="AB241" s="106"/>
    </row>
    <row r="242">
      <c r="C242" s="79"/>
      <c r="D242" s="79"/>
      <c r="E242" s="79"/>
      <c r="M242" s="79"/>
      <c r="R242" s="79"/>
      <c r="S242" s="79"/>
      <c r="V242" s="79"/>
      <c r="W242" s="79"/>
      <c r="Z242" s="130"/>
      <c r="AB242" s="106"/>
    </row>
    <row r="243">
      <c r="C243" s="79"/>
      <c r="D243" s="79"/>
      <c r="E243" s="79"/>
      <c r="M243" s="79"/>
      <c r="R243" s="79"/>
      <c r="S243" s="79"/>
      <c r="V243" s="79"/>
      <c r="W243" s="79"/>
      <c r="Z243" s="130"/>
      <c r="AB243" s="106"/>
    </row>
    <row r="244">
      <c r="C244" s="79"/>
      <c r="D244" s="79"/>
      <c r="E244" s="79"/>
      <c r="M244" s="79"/>
      <c r="R244" s="79"/>
      <c r="S244" s="79"/>
      <c r="V244" s="79"/>
      <c r="W244" s="79"/>
      <c r="Z244" s="130"/>
      <c r="AB244" s="106"/>
    </row>
    <row r="245">
      <c r="C245" s="79"/>
      <c r="D245" s="79"/>
      <c r="E245" s="79"/>
      <c r="M245" s="79"/>
      <c r="R245" s="79"/>
      <c r="S245" s="79"/>
      <c r="V245" s="79"/>
      <c r="W245" s="79"/>
      <c r="Z245" s="130"/>
      <c r="AB245" s="106"/>
    </row>
    <row r="246">
      <c r="C246" s="79"/>
      <c r="D246" s="79"/>
      <c r="E246" s="79"/>
      <c r="M246" s="79"/>
      <c r="R246" s="79"/>
      <c r="S246" s="79"/>
      <c r="V246" s="79"/>
      <c r="W246" s="79"/>
      <c r="Z246" s="130"/>
      <c r="AB246" s="106"/>
    </row>
    <row r="247">
      <c r="C247" s="79"/>
      <c r="D247" s="79"/>
      <c r="E247" s="79"/>
      <c r="M247" s="79"/>
      <c r="R247" s="79"/>
      <c r="S247" s="79"/>
      <c r="V247" s="79"/>
      <c r="W247" s="79"/>
      <c r="Z247" s="130"/>
      <c r="AB247" s="106"/>
    </row>
    <row r="248">
      <c r="C248" s="79"/>
      <c r="D248" s="79"/>
      <c r="E248" s="79"/>
      <c r="M248" s="79"/>
      <c r="R248" s="79"/>
      <c r="S248" s="79"/>
      <c r="V248" s="79"/>
      <c r="W248" s="79"/>
      <c r="Z248" s="130"/>
      <c r="AB248" s="106"/>
    </row>
    <row r="249">
      <c r="C249" s="79"/>
      <c r="D249" s="79"/>
      <c r="E249" s="79"/>
      <c r="M249" s="79"/>
      <c r="R249" s="79"/>
      <c r="S249" s="79"/>
      <c r="V249" s="79"/>
      <c r="W249" s="79"/>
      <c r="Z249" s="130"/>
      <c r="AB249" s="106"/>
    </row>
    <row r="250">
      <c r="C250" s="79"/>
      <c r="D250" s="79"/>
      <c r="E250" s="79"/>
      <c r="M250" s="79"/>
      <c r="R250" s="79"/>
      <c r="S250" s="79"/>
      <c r="V250" s="79"/>
      <c r="W250" s="79"/>
      <c r="Z250" s="130"/>
      <c r="AB250" s="106"/>
    </row>
    <row r="251">
      <c r="C251" s="79"/>
      <c r="D251" s="79"/>
      <c r="E251" s="79"/>
      <c r="M251" s="79"/>
      <c r="R251" s="79"/>
      <c r="S251" s="79"/>
      <c r="V251" s="79"/>
      <c r="W251" s="79"/>
      <c r="Z251" s="130"/>
      <c r="AB251" s="106"/>
    </row>
    <row r="252">
      <c r="C252" s="79"/>
      <c r="D252" s="79"/>
      <c r="E252" s="79"/>
      <c r="M252" s="79"/>
      <c r="R252" s="79"/>
      <c r="S252" s="79"/>
      <c r="V252" s="79"/>
      <c r="W252" s="79"/>
      <c r="Z252" s="130"/>
      <c r="AB252" s="106"/>
    </row>
    <row r="253">
      <c r="C253" s="79"/>
      <c r="D253" s="79"/>
      <c r="E253" s="79"/>
      <c r="M253" s="79"/>
      <c r="R253" s="79"/>
      <c r="S253" s="79"/>
      <c r="V253" s="79"/>
      <c r="W253" s="79"/>
      <c r="Z253" s="130"/>
      <c r="AB253" s="106"/>
    </row>
    <row r="254">
      <c r="C254" s="79"/>
      <c r="D254" s="79"/>
      <c r="E254" s="79"/>
      <c r="M254" s="79"/>
      <c r="R254" s="79"/>
      <c r="S254" s="79"/>
      <c r="V254" s="79"/>
      <c r="W254" s="79"/>
      <c r="Z254" s="130"/>
      <c r="AB254" s="106"/>
    </row>
    <row r="255">
      <c r="C255" s="79"/>
      <c r="D255" s="79"/>
      <c r="E255" s="79"/>
      <c r="M255" s="79"/>
      <c r="R255" s="79"/>
      <c r="S255" s="79"/>
      <c r="V255" s="79"/>
      <c r="W255" s="79"/>
      <c r="Z255" s="130"/>
      <c r="AB255" s="106"/>
    </row>
    <row r="256">
      <c r="C256" s="79"/>
      <c r="D256" s="79"/>
      <c r="E256" s="79"/>
      <c r="M256" s="79"/>
      <c r="R256" s="79"/>
      <c r="S256" s="79"/>
      <c r="V256" s="79"/>
      <c r="W256" s="79"/>
      <c r="Z256" s="130"/>
      <c r="AB256" s="106"/>
    </row>
    <row r="257">
      <c r="C257" s="79"/>
      <c r="D257" s="79"/>
      <c r="E257" s="79"/>
      <c r="M257" s="79"/>
      <c r="R257" s="79"/>
      <c r="S257" s="79"/>
      <c r="V257" s="79"/>
      <c r="W257" s="79"/>
      <c r="Z257" s="130"/>
      <c r="AB257" s="106"/>
    </row>
    <row r="258">
      <c r="C258" s="79"/>
      <c r="D258" s="79"/>
      <c r="E258" s="79"/>
      <c r="M258" s="79"/>
      <c r="R258" s="79"/>
      <c r="S258" s="79"/>
      <c r="V258" s="79"/>
      <c r="W258" s="79"/>
      <c r="Z258" s="130"/>
      <c r="AB258" s="106"/>
    </row>
    <row r="259">
      <c r="C259" s="79"/>
      <c r="D259" s="79"/>
      <c r="E259" s="79"/>
      <c r="M259" s="79"/>
      <c r="R259" s="79"/>
      <c r="S259" s="79"/>
      <c r="V259" s="79"/>
      <c r="W259" s="79"/>
      <c r="Z259" s="130"/>
      <c r="AB259" s="106"/>
    </row>
    <row r="260">
      <c r="C260" s="79"/>
      <c r="D260" s="79"/>
      <c r="E260" s="79"/>
      <c r="M260" s="79"/>
      <c r="R260" s="79"/>
      <c r="S260" s="79"/>
      <c r="V260" s="79"/>
      <c r="W260" s="79"/>
      <c r="Z260" s="130"/>
      <c r="AB260" s="106"/>
    </row>
    <row r="261">
      <c r="C261" s="79"/>
      <c r="D261" s="79"/>
      <c r="E261" s="79"/>
      <c r="M261" s="79"/>
      <c r="R261" s="79"/>
      <c r="S261" s="79"/>
      <c r="V261" s="79"/>
      <c r="W261" s="79"/>
      <c r="Z261" s="130"/>
      <c r="AB261" s="106"/>
    </row>
    <row r="262">
      <c r="C262" s="79"/>
      <c r="D262" s="79"/>
      <c r="E262" s="79"/>
      <c r="M262" s="79"/>
      <c r="R262" s="79"/>
      <c r="S262" s="79"/>
      <c r="V262" s="79"/>
      <c r="W262" s="79"/>
      <c r="Z262" s="130"/>
      <c r="AB262" s="106"/>
    </row>
    <row r="263">
      <c r="C263" s="79"/>
      <c r="D263" s="79"/>
      <c r="E263" s="79"/>
      <c r="M263" s="79"/>
      <c r="R263" s="79"/>
      <c r="S263" s="79"/>
      <c r="V263" s="79"/>
      <c r="W263" s="79"/>
      <c r="Z263" s="130"/>
      <c r="AB263" s="106"/>
    </row>
    <row r="264">
      <c r="C264" s="79"/>
      <c r="D264" s="79"/>
      <c r="E264" s="79"/>
      <c r="M264" s="79"/>
      <c r="R264" s="79"/>
      <c r="S264" s="79"/>
      <c r="V264" s="79"/>
      <c r="W264" s="79"/>
      <c r="Z264" s="130"/>
      <c r="AB264" s="106"/>
    </row>
    <row r="265">
      <c r="C265" s="79"/>
      <c r="D265" s="79"/>
      <c r="E265" s="79"/>
      <c r="M265" s="79"/>
      <c r="R265" s="79"/>
      <c r="S265" s="79"/>
      <c r="V265" s="79"/>
      <c r="W265" s="79"/>
      <c r="Z265" s="130"/>
      <c r="AB265" s="106"/>
    </row>
    <row r="266">
      <c r="C266" s="79"/>
      <c r="D266" s="79"/>
      <c r="E266" s="79"/>
      <c r="M266" s="79"/>
      <c r="R266" s="79"/>
      <c r="S266" s="79"/>
      <c r="V266" s="79"/>
      <c r="W266" s="79"/>
      <c r="Z266" s="130"/>
      <c r="AB266" s="106"/>
    </row>
    <row r="267">
      <c r="C267" s="79"/>
      <c r="D267" s="79"/>
      <c r="E267" s="79"/>
      <c r="M267" s="79"/>
      <c r="R267" s="79"/>
      <c r="S267" s="79"/>
      <c r="V267" s="79"/>
      <c r="W267" s="79"/>
      <c r="Z267" s="130"/>
      <c r="AB267" s="106"/>
    </row>
    <row r="268">
      <c r="C268" s="79"/>
      <c r="D268" s="79"/>
      <c r="E268" s="79"/>
      <c r="M268" s="79"/>
      <c r="R268" s="79"/>
      <c r="S268" s="79"/>
      <c r="V268" s="79"/>
      <c r="W268" s="79"/>
      <c r="Z268" s="130"/>
      <c r="AB268" s="106"/>
    </row>
    <row r="269">
      <c r="C269" s="79"/>
      <c r="D269" s="79"/>
      <c r="E269" s="79"/>
      <c r="M269" s="79"/>
      <c r="R269" s="79"/>
      <c r="S269" s="79"/>
      <c r="V269" s="79"/>
      <c r="W269" s="79"/>
      <c r="Z269" s="130"/>
      <c r="AB269" s="106"/>
    </row>
    <row r="270">
      <c r="C270" s="79"/>
      <c r="D270" s="79"/>
      <c r="E270" s="79"/>
      <c r="M270" s="79"/>
      <c r="R270" s="79"/>
      <c r="S270" s="79"/>
      <c r="V270" s="79"/>
      <c r="W270" s="79"/>
      <c r="Z270" s="130"/>
      <c r="AB270" s="106"/>
    </row>
    <row r="271">
      <c r="C271" s="79"/>
      <c r="D271" s="79"/>
      <c r="E271" s="79"/>
      <c r="M271" s="79"/>
      <c r="R271" s="79"/>
      <c r="S271" s="79"/>
      <c r="V271" s="79"/>
      <c r="W271" s="79"/>
      <c r="Z271" s="130"/>
      <c r="AB271" s="106"/>
    </row>
    <row r="272">
      <c r="C272" s="79"/>
      <c r="D272" s="79"/>
      <c r="E272" s="79"/>
      <c r="M272" s="79"/>
      <c r="R272" s="79"/>
      <c r="S272" s="79"/>
      <c r="V272" s="79"/>
      <c r="W272" s="79"/>
      <c r="Z272" s="130"/>
      <c r="AB272" s="106"/>
    </row>
    <row r="273">
      <c r="C273" s="79"/>
      <c r="D273" s="79"/>
      <c r="E273" s="79"/>
      <c r="M273" s="79"/>
      <c r="R273" s="79"/>
      <c r="S273" s="79"/>
      <c r="V273" s="79"/>
      <c r="W273" s="79"/>
      <c r="Z273" s="130"/>
      <c r="AB273" s="106"/>
    </row>
    <row r="274">
      <c r="C274" s="79"/>
      <c r="D274" s="79"/>
      <c r="E274" s="79"/>
      <c r="M274" s="79"/>
      <c r="R274" s="79"/>
      <c r="S274" s="79"/>
      <c r="V274" s="79"/>
      <c r="W274" s="79"/>
      <c r="Z274" s="130"/>
      <c r="AB274" s="106"/>
    </row>
    <row r="275">
      <c r="C275" s="79"/>
      <c r="D275" s="79"/>
      <c r="E275" s="79"/>
      <c r="M275" s="79"/>
      <c r="R275" s="79"/>
      <c r="S275" s="79"/>
      <c r="V275" s="79"/>
      <c r="W275" s="79"/>
      <c r="Z275" s="130"/>
      <c r="AB275" s="106"/>
    </row>
    <row r="276">
      <c r="C276" s="79"/>
      <c r="D276" s="79"/>
      <c r="E276" s="79"/>
      <c r="M276" s="79"/>
      <c r="R276" s="79"/>
      <c r="S276" s="79"/>
      <c r="V276" s="79"/>
      <c r="W276" s="79"/>
      <c r="Z276" s="130"/>
      <c r="AB276" s="106"/>
    </row>
    <row r="277">
      <c r="C277" s="79"/>
      <c r="D277" s="79"/>
      <c r="E277" s="79"/>
      <c r="M277" s="79"/>
      <c r="R277" s="79"/>
      <c r="S277" s="79"/>
      <c r="V277" s="79"/>
      <c r="W277" s="79"/>
      <c r="Z277" s="130"/>
      <c r="AB277" s="106"/>
    </row>
    <row r="278">
      <c r="C278" s="79"/>
      <c r="D278" s="79"/>
      <c r="E278" s="79"/>
      <c r="M278" s="79"/>
      <c r="R278" s="79"/>
      <c r="S278" s="79"/>
      <c r="V278" s="79"/>
      <c r="W278" s="79"/>
      <c r="Z278" s="130"/>
      <c r="AB278" s="106"/>
    </row>
    <row r="279">
      <c r="C279" s="79"/>
      <c r="D279" s="79"/>
      <c r="E279" s="79"/>
      <c r="M279" s="79"/>
      <c r="R279" s="79"/>
      <c r="S279" s="79"/>
      <c r="V279" s="79"/>
      <c r="W279" s="79"/>
      <c r="Z279" s="130"/>
      <c r="AB279" s="106"/>
    </row>
    <row r="280">
      <c r="C280" s="79"/>
      <c r="D280" s="79"/>
      <c r="E280" s="79"/>
      <c r="M280" s="79"/>
      <c r="R280" s="79"/>
      <c r="S280" s="79"/>
      <c r="V280" s="79"/>
      <c r="W280" s="79"/>
      <c r="Z280" s="130"/>
      <c r="AB280" s="106"/>
    </row>
    <row r="281">
      <c r="C281" s="79"/>
      <c r="D281" s="79"/>
      <c r="E281" s="79"/>
      <c r="M281" s="79"/>
      <c r="R281" s="79"/>
      <c r="S281" s="79"/>
      <c r="V281" s="79"/>
      <c r="W281" s="79"/>
      <c r="Z281" s="130"/>
      <c r="AB281" s="106"/>
    </row>
    <row r="282">
      <c r="C282" s="79"/>
      <c r="D282" s="79"/>
      <c r="E282" s="79"/>
      <c r="M282" s="79"/>
      <c r="R282" s="79"/>
      <c r="S282" s="79"/>
      <c r="V282" s="79"/>
      <c r="W282" s="79"/>
      <c r="Z282" s="130"/>
      <c r="AB282" s="106"/>
    </row>
    <row r="283">
      <c r="C283" s="79"/>
      <c r="D283" s="79"/>
      <c r="E283" s="79"/>
      <c r="M283" s="79"/>
      <c r="R283" s="79"/>
      <c r="S283" s="79"/>
      <c r="V283" s="79"/>
      <c r="W283" s="79"/>
      <c r="Z283" s="130"/>
      <c r="AB283" s="106"/>
    </row>
    <row r="284">
      <c r="C284" s="79"/>
      <c r="D284" s="79"/>
      <c r="E284" s="79"/>
      <c r="M284" s="79"/>
      <c r="R284" s="79"/>
      <c r="S284" s="79"/>
      <c r="V284" s="79"/>
      <c r="W284" s="79"/>
      <c r="Z284" s="130"/>
      <c r="AB284" s="106"/>
    </row>
    <row r="285">
      <c r="C285" s="79"/>
      <c r="D285" s="79"/>
      <c r="E285" s="79"/>
      <c r="M285" s="79"/>
      <c r="R285" s="79"/>
      <c r="S285" s="79"/>
      <c r="V285" s="79"/>
      <c r="W285" s="79"/>
      <c r="Z285" s="130"/>
      <c r="AB285" s="106"/>
    </row>
    <row r="286">
      <c r="C286" s="79"/>
      <c r="D286" s="79"/>
      <c r="E286" s="79"/>
      <c r="M286" s="79"/>
      <c r="R286" s="79"/>
      <c r="S286" s="79"/>
      <c r="V286" s="79"/>
      <c r="W286" s="79"/>
      <c r="Z286" s="130"/>
      <c r="AB286" s="106"/>
    </row>
    <row r="287">
      <c r="C287" s="79"/>
      <c r="D287" s="79"/>
      <c r="E287" s="79"/>
      <c r="M287" s="79"/>
      <c r="R287" s="79"/>
      <c r="S287" s="79"/>
      <c r="V287" s="79"/>
      <c r="W287" s="79"/>
      <c r="Z287" s="130"/>
      <c r="AB287" s="106"/>
    </row>
    <row r="288">
      <c r="C288" s="79"/>
      <c r="D288" s="79"/>
      <c r="E288" s="79"/>
      <c r="M288" s="79"/>
      <c r="R288" s="79"/>
      <c r="S288" s="79"/>
      <c r="V288" s="79"/>
      <c r="W288" s="79"/>
      <c r="Z288" s="130"/>
      <c r="AB288" s="106"/>
    </row>
    <row r="289">
      <c r="C289" s="79"/>
      <c r="D289" s="79"/>
      <c r="E289" s="79"/>
      <c r="M289" s="79"/>
      <c r="R289" s="79"/>
      <c r="S289" s="79"/>
      <c r="V289" s="79"/>
      <c r="W289" s="79"/>
      <c r="Z289" s="130"/>
      <c r="AB289" s="106"/>
    </row>
    <row r="290">
      <c r="C290" s="79"/>
      <c r="D290" s="79"/>
      <c r="E290" s="79"/>
      <c r="M290" s="79"/>
      <c r="R290" s="79"/>
      <c r="S290" s="79"/>
      <c r="V290" s="79"/>
      <c r="W290" s="79"/>
      <c r="Z290" s="130"/>
      <c r="AB290" s="106"/>
    </row>
    <row r="291">
      <c r="C291" s="79"/>
      <c r="D291" s="79"/>
      <c r="E291" s="79"/>
      <c r="M291" s="79"/>
      <c r="R291" s="79"/>
      <c r="S291" s="79"/>
      <c r="V291" s="79"/>
      <c r="W291" s="79"/>
      <c r="Z291" s="130"/>
      <c r="AB291" s="106"/>
    </row>
    <row r="292">
      <c r="C292" s="79"/>
      <c r="D292" s="79"/>
      <c r="E292" s="79"/>
      <c r="M292" s="79"/>
      <c r="R292" s="79"/>
      <c r="S292" s="79"/>
      <c r="V292" s="79"/>
      <c r="W292" s="79"/>
      <c r="Z292" s="130"/>
      <c r="AB292" s="106"/>
    </row>
    <row r="293">
      <c r="C293" s="79"/>
      <c r="D293" s="79"/>
      <c r="E293" s="79"/>
      <c r="M293" s="79"/>
      <c r="R293" s="79"/>
      <c r="S293" s="79"/>
      <c r="V293" s="79"/>
      <c r="W293" s="79"/>
      <c r="Z293" s="130"/>
      <c r="AB293" s="106"/>
    </row>
    <row r="294">
      <c r="C294" s="79"/>
      <c r="D294" s="79"/>
      <c r="E294" s="79"/>
      <c r="M294" s="79"/>
      <c r="R294" s="79"/>
      <c r="S294" s="79"/>
      <c r="V294" s="79"/>
      <c r="W294" s="79"/>
      <c r="Z294" s="130"/>
      <c r="AB294" s="106"/>
    </row>
    <row r="295">
      <c r="C295" s="79"/>
      <c r="D295" s="79"/>
      <c r="E295" s="79"/>
      <c r="M295" s="79"/>
      <c r="R295" s="79"/>
      <c r="S295" s="79"/>
      <c r="V295" s="79"/>
      <c r="W295" s="79"/>
      <c r="Z295" s="130"/>
      <c r="AB295" s="106"/>
    </row>
    <row r="296">
      <c r="C296" s="79"/>
      <c r="D296" s="79"/>
      <c r="E296" s="79"/>
      <c r="M296" s="79"/>
      <c r="R296" s="79"/>
      <c r="S296" s="79"/>
      <c r="V296" s="79"/>
      <c r="W296" s="79"/>
      <c r="Z296" s="130"/>
      <c r="AB296" s="106"/>
    </row>
    <row r="297">
      <c r="C297" s="79"/>
      <c r="D297" s="79"/>
      <c r="E297" s="79"/>
      <c r="M297" s="79"/>
      <c r="R297" s="79"/>
      <c r="S297" s="79"/>
      <c r="V297" s="79"/>
      <c r="W297" s="79"/>
      <c r="Z297" s="130"/>
      <c r="AB297" s="106"/>
    </row>
    <row r="298">
      <c r="C298" s="79"/>
      <c r="D298" s="79"/>
      <c r="E298" s="79"/>
      <c r="M298" s="79"/>
      <c r="R298" s="79"/>
      <c r="S298" s="79"/>
      <c r="V298" s="79"/>
      <c r="W298" s="79"/>
      <c r="Z298" s="130"/>
      <c r="AB298" s="106"/>
    </row>
    <row r="299">
      <c r="C299" s="79"/>
      <c r="D299" s="79"/>
      <c r="E299" s="79"/>
      <c r="M299" s="79"/>
      <c r="R299" s="79"/>
      <c r="S299" s="79"/>
      <c r="V299" s="79"/>
      <c r="W299" s="79"/>
      <c r="Z299" s="130"/>
      <c r="AB299" s="106"/>
    </row>
    <row r="300">
      <c r="C300" s="79"/>
      <c r="D300" s="79"/>
      <c r="E300" s="79"/>
      <c r="M300" s="79"/>
      <c r="R300" s="79"/>
      <c r="S300" s="79"/>
      <c r="V300" s="79"/>
      <c r="W300" s="79"/>
      <c r="Z300" s="130"/>
      <c r="AB300" s="106"/>
    </row>
    <row r="301">
      <c r="C301" s="79"/>
      <c r="D301" s="79"/>
      <c r="E301" s="79"/>
      <c r="M301" s="79"/>
      <c r="R301" s="79"/>
      <c r="S301" s="79"/>
      <c r="V301" s="79"/>
      <c r="W301" s="79"/>
      <c r="Z301" s="130"/>
      <c r="AB301" s="106"/>
    </row>
    <row r="302">
      <c r="C302" s="79"/>
      <c r="D302" s="79"/>
      <c r="E302" s="79"/>
      <c r="M302" s="79"/>
      <c r="R302" s="79"/>
      <c r="S302" s="79"/>
      <c r="V302" s="79"/>
      <c r="W302" s="79"/>
      <c r="Z302" s="130"/>
      <c r="AB302" s="106"/>
    </row>
    <row r="303">
      <c r="C303" s="79"/>
      <c r="D303" s="79"/>
      <c r="E303" s="79"/>
      <c r="M303" s="79"/>
      <c r="R303" s="79"/>
      <c r="S303" s="79"/>
      <c r="V303" s="79"/>
      <c r="W303" s="79"/>
      <c r="Z303" s="130"/>
      <c r="AB303" s="106"/>
    </row>
    <row r="304">
      <c r="C304" s="79"/>
      <c r="D304" s="79"/>
      <c r="E304" s="79"/>
      <c r="M304" s="79"/>
      <c r="R304" s="79"/>
      <c r="S304" s="79"/>
      <c r="V304" s="79"/>
      <c r="W304" s="79"/>
      <c r="Z304" s="130"/>
      <c r="AB304" s="106"/>
    </row>
    <row r="305">
      <c r="C305" s="79"/>
      <c r="D305" s="79"/>
      <c r="E305" s="79"/>
      <c r="M305" s="79"/>
      <c r="R305" s="79"/>
      <c r="S305" s="79"/>
      <c r="V305" s="79"/>
      <c r="W305" s="79"/>
      <c r="Z305" s="130"/>
      <c r="AB305" s="106"/>
    </row>
    <row r="306">
      <c r="C306" s="79"/>
      <c r="D306" s="79"/>
      <c r="E306" s="79"/>
      <c r="M306" s="79"/>
      <c r="R306" s="79"/>
      <c r="S306" s="79"/>
      <c r="V306" s="79"/>
      <c r="W306" s="79"/>
      <c r="Z306" s="130"/>
      <c r="AB306" s="106"/>
    </row>
    <row r="307">
      <c r="C307" s="79"/>
      <c r="D307" s="79"/>
      <c r="E307" s="79"/>
      <c r="M307" s="79"/>
      <c r="R307" s="79"/>
      <c r="S307" s="79"/>
      <c r="V307" s="79"/>
      <c r="W307" s="79"/>
      <c r="Z307" s="130"/>
      <c r="AB307" s="106"/>
    </row>
    <row r="308">
      <c r="C308" s="79"/>
      <c r="D308" s="79"/>
      <c r="E308" s="79"/>
      <c r="M308" s="79"/>
      <c r="R308" s="79"/>
      <c r="S308" s="79"/>
      <c r="V308" s="79"/>
      <c r="W308" s="79"/>
      <c r="Z308" s="130"/>
      <c r="AB308" s="106"/>
    </row>
    <row r="309">
      <c r="C309" s="79"/>
      <c r="D309" s="79"/>
      <c r="E309" s="79"/>
      <c r="M309" s="79"/>
      <c r="R309" s="79"/>
      <c r="S309" s="79"/>
      <c r="V309" s="79"/>
      <c r="W309" s="79"/>
      <c r="Z309" s="130"/>
      <c r="AB309" s="106"/>
    </row>
    <row r="310">
      <c r="C310" s="79"/>
      <c r="D310" s="79"/>
      <c r="E310" s="79"/>
      <c r="M310" s="79"/>
      <c r="R310" s="79"/>
      <c r="S310" s="79"/>
      <c r="V310" s="79"/>
      <c r="W310" s="79"/>
      <c r="Z310" s="130"/>
      <c r="AB310" s="106"/>
    </row>
    <row r="311">
      <c r="C311" s="79"/>
      <c r="D311" s="79"/>
      <c r="E311" s="79"/>
      <c r="M311" s="79"/>
      <c r="R311" s="79"/>
      <c r="S311" s="79"/>
      <c r="V311" s="79"/>
      <c r="W311" s="79"/>
      <c r="Z311" s="130"/>
      <c r="AB311" s="106"/>
    </row>
    <row r="312">
      <c r="C312" s="79"/>
      <c r="D312" s="79"/>
      <c r="E312" s="79"/>
      <c r="M312" s="79"/>
      <c r="R312" s="79"/>
      <c r="S312" s="79"/>
      <c r="V312" s="79"/>
      <c r="W312" s="79"/>
      <c r="Z312" s="130"/>
      <c r="AB312" s="106"/>
    </row>
    <row r="313">
      <c r="C313" s="79"/>
      <c r="D313" s="79"/>
      <c r="E313" s="79"/>
      <c r="M313" s="79"/>
      <c r="R313" s="79"/>
      <c r="S313" s="79"/>
      <c r="V313" s="79"/>
      <c r="W313" s="79"/>
      <c r="Z313" s="130"/>
      <c r="AB313" s="106"/>
    </row>
    <row r="314">
      <c r="C314" s="79"/>
      <c r="D314" s="79"/>
      <c r="E314" s="79"/>
      <c r="M314" s="79"/>
      <c r="R314" s="79"/>
      <c r="S314" s="79"/>
      <c r="V314" s="79"/>
      <c r="W314" s="79"/>
      <c r="Z314" s="130"/>
      <c r="AB314" s="106"/>
    </row>
    <row r="315">
      <c r="C315" s="79"/>
      <c r="D315" s="79"/>
      <c r="E315" s="79"/>
      <c r="M315" s="79"/>
      <c r="R315" s="79"/>
      <c r="S315" s="79"/>
      <c r="V315" s="79"/>
      <c r="W315" s="79"/>
      <c r="Z315" s="130"/>
      <c r="AB315" s="106"/>
    </row>
    <row r="316">
      <c r="C316" s="79"/>
      <c r="D316" s="79"/>
      <c r="E316" s="79"/>
      <c r="M316" s="79"/>
      <c r="R316" s="79"/>
      <c r="S316" s="79"/>
      <c r="V316" s="79"/>
      <c r="W316" s="79"/>
      <c r="Z316" s="130"/>
      <c r="AB316" s="106"/>
    </row>
    <row r="317">
      <c r="C317" s="79"/>
      <c r="D317" s="79"/>
      <c r="E317" s="79"/>
      <c r="M317" s="79"/>
      <c r="R317" s="79"/>
      <c r="S317" s="79"/>
      <c r="V317" s="79"/>
      <c r="W317" s="79"/>
      <c r="Z317" s="130"/>
      <c r="AB317" s="106"/>
    </row>
    <row r="318">
      <c r="C318" s="79"/>
      <c r="D318" s="79"/>
      <c r="E318" s="79"/>
      <c r="M318" s="79"/>
      <c r="R318" s="79"/>
      <c r="S318" s="79"/>
      <c r="V318" s="79"/>
      <c r="W318" s="79"/>
      <c r="Z318" s="130"/>
      <c r="AB318" s="106"/>
    </row>
    <row r="319">
      <c r="C319" s="79"/>
      <c r="D319" s="79"/>
      <c r="E319" s="79"/>
      <c r="M319" s="79"/>
      <c r="R319" s="79"/>
      <c r="S319" s="79"/>
      <c r="V319" s="79"/>
      <c r="W319" s="79"/>
      <c r="Z319" s="130"/>
      <c r="AB319" s="106"/>
    </row>
    <row r="320">
      <c r="C320" s="79"/>
      <c r="D320" s="79"/>
      <c r="E320" s="79"/>
      <c r="M320" s="79"/>
      <c r="R320" s="79"/>
      <c r="S320" s="79"/>
      <c r="V320" s="79"/>
      <c r="W320" s="79"/>
      <c r="Z320" s="130"/>
      <c r="AB320" s="106"/>
    </row>
    <row r="321">
      <c r="C321" s="79"/>
      <c r="D321" s="79"/>
      <c r="E321" s="79"/>
      <c r="M321" s="79"/>
      <c r="R321" s="79"/>
      <c r="S321" s="79"/>
      <c r="V321" s="79"/>
      <c r="W321" s="79"/>
      <c r="Z321" s="130"/>
      <c r="AB321" s="106"/>
    </row>
    <row r="322">
      <c r="C322" s="79"/>
      <c r="D322" s="79"/>
      <c r="E322" s="79"/>
      <c r="M322" s="79"/>
      <c r="R322" s="79"/>
      <c r="S322" s="79"/>
      <c r="V322" s="79"/>
      <c r="W322" s="79"/>
      <c r="Z322" s="130"/>
      <c r="AB322" s="106"/>
    </row>
    <row r="323">
      <c r="C323" s="79"/>
      <c r="D323" s="79"/>
      <c r="E323" s="79"/>
      <c r="M323" s="79"/>
      <c r="R323" s="79"/>
      <c r="S323" s="79"/>
      <c r="V323" s="79"/>
      <c r="W323" s="79"/>
      <c r="Z323" s="130"/>
      <c r="AB323" s="106"/>
    </row>
    <row r="324">
      <c r="C324" s="79"/>
      <c r="D324" s="79"/>
      <c r="E324" s="79"/>
      <c r="M324" s="79"/>
      <c r="R324" s="79"/>
      <c r="S324" s="79"/>
      <c r="V324" s="79"/>
      <c r="W324" s="79"/>
      <c r="Z324" s="130"/>
      <c r="AB324" s="106"/>
    </row>
    <row r="325">
      <c r="C325" s="79"/>
      <c r="D325" s="79"/>
      <c r="E325" s="79"/>
      <c r="M325" s="79"/>
      <c r="R325" s="79"/>
      <c r="S325" s="79"/>
      <c r="V325" s="79"/>
      <c r="W325" s="79"/>
      <c r="Z325" s="130"/>
      <c r="AB325" s="106"/>
    </row>
    <row r="326">
      <c r="C326" s="79"/>
      <c r="D326" s="79"/>
      <c r="E326" s="79"/>
      <c r="M326" s="79"/>
      <c r="R326" s="79"/>
      <c r="S326" s="79"/>
      <c r="V326" s="79"/>
      <c r="W326" s="79"/>
      <c r="Z326" s="130"/>
      <c r="AB326" s="106"/>
    </row>
    <row r="327">
      <c r="C327" s="79"/>
      <c r="D327" s="79"/>
      <c r="E327" s="79"/>
      <c r="M327" s="79"/>
      <c r="R327" s="79"/>
      <c r="S327" s="79"/>
      <c r="V327" s="79"/>
      <c r="W327" s="79"/>
      <c r="Z327" s="130"/>
      <c r="AB327" s="106"/>
    </row>
    <row r="328">
      <c r="C328" s="79"/>
      <c r="D328" s="79"/>
      <c r="E328" s="79"/>
      <c r="M328" s="79"/>
      <c r="R328" s="79"/>
      <c r="S328" s="79"/>
      <c r="V328" s="79"/>
      <c r="W328" s="79"/>
      <c r="Z328" s="130"/>
      <c r="AB328" s="106"/>
    </row>
    <row r="329">
      <c r="C329" s="79"/>
      <c r="D329" s="79"/>
      <c r="E329" s="79"/>
      <c r="M329" s="79"/>
      <c r="R329" s="79"/>
      <c r="S329" s="79"/>
      <c r="V329" s="79"/>
      <c r="W329" s="79"/>
      <c r="Z329" s="130"/>
      <c r="AB329" s="106"/>
    </row>
    <row r="330">
      <c r="C330" s="79"/>
      <c r="D330" s="79"/>
      <c r="E330" s="79"/>
      <c r="M330" s="79"/>
      <c r="R330" s="79"/>
      <c r="S330" s="79"/>
      <c r="V330" s="79"/>
      <c r="W330" s="79"/>
      <c r="Z330" s="130"/>
      <c r="AB330" s="106"/>
    </row>
    <row r="331">
      <c r="C331" s="79"/>
      <c r="D331" s="79"/>
      <c r="E331" s="79"/>
      <c r="M331" s="79"/>
      <c r="R331" s="79"/>
      <c r="S331" s="79"/>
      <c r="V331" s="79"/>
      <c r="W331" s="79"/>
      <c r="Z331" s="130"/>
      <c r="AB331" s="106"/>
    </row>
    <row r="332">
      <c r="C332" s="79"/>
      <c r="D332" s="79"/>
      <c r="E332" s="79"/>
      <c r="M332" s="79"/>
      <c r="R332" s="79"/>
      <c r="S332" s="79"/>
      <c r="V332" s="79"/>
      <c r="W332" s="79"/>
      <c r="Z332" s="130"/>
      <c r="AB332" s="106"/>
    </row>
    <row r="333">
      <c r="C333" s="79"/>
      <c r="D333" s="79"/>
      <c r="E333" s="79"/>
      <c r="M333" s="79"/>
      <c r="R333" s="79"/>
      <c r="S333" s="79"/>
      <c r="V333" s="79"/>
      <c r="W333" s="79"/>
      <c r="Z333" s="130"/>
      <c r="AB333" s="106"/>
    </row>
    <row r="334">
      <c r="C334" s="79"/>
      <c r="D334" s="79"/>
      <c r="E334" s="79"/>
      <c r="M334" s="79"/>
      <c r="R334" s="79"/>
      <c r="S334" s="79"/>
      <c r="V334" s="79"/>
      <c r="W334" s="79"/>
      <c r="Z334" s="130"/>
      <c r="AB334" s="106"/>
    </row>
    <row r="335">
      <c r="C335" s="79"/>
      <c r="D335" s="79"/>
      <c r="E335" s="79"/>
      <c r="M335" s="79"/>
      <c r="R335" s="79"/>
      <c r="S335" s="79"/>
      <c r="V335" s="79"/>
      <c r="W335" s="79"/>
      <c r="Z335" s="130"/>
      <c r="AB335" s="106"/>
    </row>
    <row r="336">
      <c r="C336" s="79"/>
      <c r="D336" s="79"/>
      <c r="E336" s="79"/>
      <c r="M336" s="79"/>
      <c r="R336" s="79"/>
      <c r="S336" s="79"/>
      <c r="V336" s="79"/>
      <c r="W336" s="79"/>
      <c r="Z336" s="130"/>
      <c r="AB336" s="106"/>
    </row>
    <row r="337">
      <c r="C337" s="79"/>
      <c r="D337" s="79"/>
      <c r="E337" s="79"/>
      <c r="M337" s="79"/>
      <c r="R337" s="79"/>
      <c r="S337" s="79"/>
      <c r="V337" s="79"/>
      <c r="W337" s="79"/>
      <c r="Z337" s="130"/>
      <c r="AB337" s="106"/>
    </row>
    <row r="338">
      <c r="C338" s="79"/>
      <c r="D338" s="79"/>
      <c r="E338" s="79"/>
      <c r="M338" s="79"/>
      <c r="R338" s="79"/>
      <c r="S338" s="79"/>
      <c r="V338" s="79"/>
      <c r="W338" s="79"/>
      <c r="Z338" s="130"/>
      <c r="AB338" s="106"/>
    </row>
    <row r="339">
      <c r="C339" s="79"/>
      <c r="D339" s="79"/>
      <c r="E339" s="79"/>
      <c r="M339" s="79"/>
      <c r="R339" s="79"/>
      <c r="S339" s="79"/>
      <c r="V339" s="79"/>
      <c r="W339" s="79"/>
      <c r="Z339" s="130"/>
      <c r="AB339" s="106"/>
    </row>
    <row r="340">
      <c r="C340" s="79"/>
      <c r="D340" s="79"/>
      <c r="E340" s="79"/>
      <c r="M340" s="79"/>
      <c r="R340" s="79"/>
      <c r="S340" s="79"/>
      <c r="V340" s="79"/>
      <c r="W340" s="79"/>
      <c r="Z340" s="130"/>
      <c r="AB340" s="106"/>
    </row>
    <row r="341">
      <c r="C341" s="79"/>
      <c r="D341" s="79"/>
      <c r="E341" s="79"/>
      <c r="M341" s="79"/>
      <c r="R341" s="79"/>
      <c r="S341" s="79"/>
      <c r="V341" s="79"/>
      <c r="W341" s="79"/>
      <c r="Z341" s="130"/>
      <c r="AB341" s="106"/>
    </row>
    <row r="342">
      <c r="C342" s="79"/>
      <c r="D342" s="79"/>
      <c r="E342" s="79"/>
      <c r="M342" s="79"/>
      <c r="R342" s="79"/>
      <c r="S342" s="79"/>
      <c r="V342" s="79"/>
      <c r="W342" s="79"/>
      <c r="Z342" s="130"/>
      <c r="AB342" s="106"/>
    </row>
    <row r="343">
      <c r="C343" s="79"/>
      <c r="D343" s="79"/>
      <c r="E343" s="79"/>
      <c r="M343" s="79"/>
      <c r="R343" s="79"/>
      <c r="S343" s="79"/>
      <c r="V343" s="79"/>
      <c r="W343" s="79"/>
      <c r="Z343" s="130"/>
      <c r="AB343" s="106"/>
    </row>
    <row r="344">
      <c r="C344" s="79"/>
      <c r="D344" s="79"/>
      <c r="E344" s="79"/>
      <c r="M344" s="79"/>
      <c r="R344" s="79"/>
      <c r="S344" s="79"/>
      <c r="V344" s="79"/>
      <c r="W344" s="79"/>
      <c r="Z344" s="130"/>
      <c r="AB344" s="106"/>
    </row>
    <row r="345">
      <c r="C345" s="79"/>
      <c r="D345" s="79"/>
      <c r="E345" s="79"/>
      <c r="M345" s="79"/>
      <c r="R345" s="79"/>
      <c r="S345" s="79"/>
      <c r="V345" s="79"/>
      <c r="W345" s="79"/>
      <c r="Z345" s="130"/>
      <c r="AB345" s="106"/>
    </row>
    <row r="346">
      <c r="C346" s="79"/>
      <c r="D346" s="79"/>
      <c r="E346" s="79"/>
      <c r="M346" s="79"/>
      <c r="R346" s="79"/>
      <c r="S346" s="79"/>
      <c r="V346" s="79"/>
      <c r="W346" s="79"/>
      <c r="Z346" s="130"/>
      <c r="AB346" s="106"/>
    </row>
    <row r="347">
      <c r="C347" s="79"/>
      <c r="D347" s="79"/>
      <c r="E347" s="79"/>
      <c r="M347" s="79"/>
      <c r="R347" s="79"/>
      <c r="S347" s="79"/>
      <c r="V347" s="79"/>
      <c r="W347" s="79"/>
      <c r="Z347" s="130"/>
      <c r="AB347" s="106"/>
    </row>
    <row r="348">
      <c r="C348" s="79"/>
      <c r="D348" s="79"/>
      <c r="E348" s="79"/>
      <c r="M348" s="79"/>
      <c r="R348" s="79"/>
      <c r="S348" s="79"/>
      <c r="V348" s="79"/>
      <c r="W348" s="79"/>
      <c r="Z348" s="130"/>
      <c r="AB348" s="106"/>
    </row>
    <row r="349">
      <c r="C349" s="79"/>
      <c r="D349" s="79"/>
      <c r="E349" s="79"/>
      <c r="M349" s="79"/>
      <c r="R349" s="79"/>
      <c r="S349" s="79"/>
      <c r="V349" s="79"/>
      <c r="W349" s="79"/>
      <c r="Z349" s="130"/>
      <c r="AB349" s="106"/>
    </row>
    <row r="350">
      <c r="C350" s="79"/>
      <c r="D350" s="79"/>
      <c r="E350" s="79"/>
      <c r="M350" s="79"/>
      <c r="R350" s="79"/>
      <c r="S350" s="79"/>
      <c r="V350" s="79"/>
      <c r="W350" s="79"/>
      <c r="Z350" s="130"/>
      <c r="AB350" s="106"/>
    </row>
    <row r="351">
      <c r="C351" s="79"/>
      <c r="D351" s="79"/>
      <c r="E351" s="79"/>
      <c r="M351" s="79"/>
      <c r="R351" s="79"/>
      <c r="S351" s="79"/>
      <c r="V351" s="79"/>
      <c r="W351" s="79"/>
      <c r="Z351" s="130"/>
      <c r="AB351" s="106"/>
    </row>
    <row r="352">
      <c r="C352" s="79"/>
      <c r="D352" s="79"/>
      <c r="E352" s="79"/>
      <c r="M352" s="79"/>
      <c r="R352" s="79"/>
      <c r="S352" s="79"/>
      <c r="V352" s="79"/>
      <c r="W352" s="79"/>
      <c r="Z352" s="130"/>
      <c r="AB352" s="106"/>
    </row>
    <row r="353">
      <c r="C353" s="79"/>
      <c r="D353" s="79"/>
      <c r="E353" s="79"/>
      <c r="M353" s="79"/>
      <c r="R353" s="79"/>
      <c r="S353" s="79"/>
      <c r="V353" s="79"/>
      <c r="W353" s="79"/>
      <c r="Z353" s="130"/>
      <c r="AB353" s="106"/>
    </row>
    <row r="354">
      <c r="C354" s="79"/>
      <c r="D354" s="79"/>
      <c r="E354" s="79"/>
      <c r="M354" s="79"/>
      <c r="R354" s="79"/>
      <c r="S354" s="79"/>
      <c r="V354" s="79"/>
      <c r="W354" s="79"/>
      <c r="Z354" s="130"/>
      <c r="AB354" s="106"/>
    </row>
    <row r="355">
      <c r="C355" s="79"/>
      <c r="D355" s="79"/>
      <c r="E355" s="79"/>
      <c r="M355" s="79"/>
      <c r="R355" s="79"/>
      <c r="S355" s="79"/>
      <c r="V355" s="79"/>
      <c r="W355" s="79"/>
      <c r="Z355" s="130"/>
      <c r="AB355" s="106"/>
    </row>
    <row r="356">
      <c r="C356" s="79"/>
      <c r="D356" s="79"/>
      <c r="E356" s="79"/>
      <c r="M356" s="79"/>
      <c r="R356" s="79"/>
      <c r="S356" s="79"/>
      <c r="V356" s="79"/>
      <c r="W356" s="79"/>
      <c r="Z356" s="130"/>
      <c r="AB356" s="106"/>
    </row>
    <row r="357">
      <c r="C357" s="79"/>
      <c r="D357" s="79"/>
      <c r="E357" s="79"/>
      <c r="M357" s="79"/>
      <c r="R357" s="79"/>
      <c r="S357" s="79"/>
      <c r="V357" s="79"/>
      <c r="W357" s="79"/>
      <c r="Z357" s="130"/>
      <c r="AB357" s="106"/>
    </row>
    <row r="358">
      <c r="C358" s="79"/>
      <c r="D358" s="79"/>
      <c r="E358" s="79"/>
      <c r="M358" s="79"/>
      <c r="R358" s="79"/>
      <c r="S358" s="79"/>
      <c r="V358" s="79"/>
      <c r="W358" s="79"/>
      <c r="Z358" s="130"/>
      <c r="AB358" s="106"/>
    </row>
    <row r="359">
      <c r="C359" s="79"/>
      <c r="D359" s="79"/>
      <c r="E359" s="79"/>
      <c r="M359" s="79"/>
      <c r="R359" s="79"/>
      <c r="S359" s="79"/>
      <c r="V359" s="79"/>
      <c r="W359" s="79"/>
      <c r="Z359" s="130"/>
      <c r="AB359" s="106"/>
    </row>
    <row r="360">
      <c r="C360" s="79"/>
      <c r="D360" s="79"/>
      <c r="E360" s="79"/>
      <c r="M360" s="79"/>
      <c r="R360" s="79"/>
      <c r="S360" s="79"/>
      <c r="V360" s="79"/>
      <c r="W360" s="79"/>
      <c r="Z360" s="130"/>
      <c r="AB360" s="106"/>
    </row>
    <row r="361">
      <c r="C361" s="79"/>
      <c r="D361" s="79"/>
      <c r="E361" s="79"/>
      <c r="M361" s="79"/>
      <c r="R361" s="79"/>
      <c r="S361" s="79"/>
      <c r="V361" s="79"/>
      <c r="W361" s="79"/>
      <c r="Z361" s="130"/>
      <c r="AB361" s="106"/>
    </row>
    <row r="362">
      <c r="C362" s="79"/>
      <c r="D362" s="79"/>
      <c r="E362" s="79"/>
      <c r="M362" s="79"/>
      <c r="R362" s="79"/>
      <c r="S362" s="79"/>
      <c r="V362" s="79"/>
      <c r="W362" s="79"/>
      <c r="Z362" s="130"/>
      <c r="AB362" s="106"/>
    </row>
    <row r="363">
      <c r="C363" s="79"/>
      <c r="D363" s="79"/>
      <c r="E363" s="79"/>
      <c r="M363" s="79"/>
      <c r="R363" s="79"/>
      <c r="S363" s="79"/>
      <c r="V363" s="79"/>
      <c r="W363" s="79"/>
      <c r="Z363" s="130"/>
      <c r="AB363" s="106"/>
    </row>
    <row r="364">
      <c r="C364" s="79"/>
      <c r="D364" s="79"/>
      <c r="E364" s="79"/>
      <c r="M364" s="79"/>
      <c r="R364" s="79"/>
      <c r="S364" s="79"/>
      <c r="V364" s="79"/>
      <c r="W364" s="79"/>
      <c r="Z364" s="130"/>
      <c r="AB364" s="106"/>
    </row>
    <row r="365">
      <c r="C365" s="79"/>
      <c r="D365" s="79"/>
      <c r="E365" s="79"/>
      <c r="M365" s="79"/>
      <c r="R365" s="79"/>
      <c r="S365" s="79"/>
      <c r="V365" s="79"/>
      <c r="W365" s="79"/>
      <c r="Z365" s="130"/>
      <c r="AB365" s="106"/>
    </row>
    <row r="366">
      <c r="C366" s="79"/>
      <c r="D366" s="79"/>
      <c r="E366" s="79"/>
      <c r="M366" s="79"/>
      <c r="R366" s="79"/>
      <c r="S366" s="79"/>
      <c r="V366" s="79"/>
      <c r="W366" s="79"/>
      <c r="Z366" s="130"/>
      <c r="AB366" s="106"/>
    </row>
    <row r="367">
      <c r="C367" s="79"/>
      <c r="D367" s="79"/>
      <c r="E367" s="79"/>
      <c r="M367" s="79"/>
      <c r="R367" s="79"/>
      <c r="S367" s="79"/>
      <c r="V367" s="79"/>
      <c r="W367" s="79"/>
      <c r="Z367" s="130"/>
      <c r="AB367" s="106"/>
    </row>
    <row r="368">
      <c r="C368" s="79"/>
      <c r="D368" s="79"/>
      <c r="E368" s="79"/>
      <c r="M368" s="79"/>
      <c r="R368" s="79"/>
      <c r="S368" s="79"/>
      <c r="V368" s="79"/>
      <c r="W368" s="79"/>
      <c r="Z368" s="130"/>
      <c r="AB368" s="106"/>
    </row>
    <row r="369">
      <c r="C369" s="79"/>
      <c r="D369" s="79"/>
      <c r="E369" s="79"/>
      <c r="M369" s="79"/>
      <c r="R369" s="79"/>
      <c r="S369" s="79"/>
      <c r="V369" s="79"/>
      <c r="W369" s="79"/>
      <c r="Z369" s="130"/>
      <c r="AB369" s="106"/>
    </row>
    <row r="370">
      <c r="C370" s="79"/>
      <c r="D370" s="79"/>
      <c r="E370" s="79"/>
      <c r="M370" s="79"/>
      <c r="R370" s="79"/>
      <c r="S370" s="79"/>
      <c r="V370" s="79"/>
      <c r="W370" s="79"/>
      <c r="Z370" s="130"/>
      <c r="AB370" s="106"/>
    </row>
    <row r="371">
      <c r="C371" s="79"/>
      <c r="D371" s="79"/>
      <c r="E371" s="79"/>
      <c r="M371" s="79"/>
      <c r="R371" s="79"/>
      <c r="S371" s="79"/>
      <c r="V371" s="79"/>
      <c r="W371" s="79"/>
      <c r="Z371" s="130"/>
      <c r="AB371" s="106"/>
    </row>
    <row r="372">
      <c r="C372" s="79"/>
      <c r="D372" s="79"/>
      <c r="E372" s="79"/>
      <c r="M372" s="79"/>
      <c r="R372" s="79"/>
      <c r="S372" s="79"/>
      <c r="V372" s="79"/>
      <c r="W372" s="79"/>
      <c r="Z372" s="130"/>
      <c r="AB372" s="106"/>
    </row>
    <row r="373">
      <c r="C373" s="79"/>
      <c r="D373" s="79"/>
      <c r="E373" s="79"/>
      <c r="M373" s="79"/>
      <c r="R373" s="79"/>
      <c r="S373" s="79"/>
      <c r="V373" s="79"/>
      <c r="W373" s="79"/>
      <c r="Z373" s="130"/>
      <c r="AB373" s="106"/>
    </row>
    <row r="374">
      <c r="C374" s="79"/>
      <c r="D374" s="79"/>
      <c r="E374" s="79"/>
      <c r="M374" s="79"/>
      <c r="R374" s="79"/>
      <c r="S374" s="79"/>
      <c r="V374" s="79"/>
      <c r="W374" s="79"/>
      <c r="Z374" s="130"/>
      <c r="AB374" s="106"/>
    </row>
    <row r="375">
      <c r="C375" s="79"/>
      <c r="D375" s="79"/>
      <c r="E375" s="79"/>
      <c r="M375" s="79"/>
      <c r="R375" s="79"/>
      <c r="S375" s="79"/>
      <c r="V375" s="79"/>
      <c r="W375" s="79"/>
      <c r="Z375" s="130"/>
      <c r="AB375" s="106"/>
    </row>
    <row r="376">
      <c r="C376" s="79"/>
      <c r="D376" s="79"/>
      <c r="E376" s="79"/>
      <c r="M376" s="79"/>
      <c r="R376" s="79"/>
      <c r="S376" s="79"/>
      <c r="V376" s="79"/>
      <c r="W376" s="79"/>
      <c r="Z376" s="130"/>
      <c r="AB376" s="106"/>
    </row>
    <row r="377">
      <c r="C377" s="79"/>
      <c r="D377" s="79"/>
      <c r="E377" s="79"/>
      <c r="M377" s="79"/>
      <c r="R377" s="79"/>
      <c r="S377" s="79"/>
      <c r="V377" s="79"/>
      <c r="W377" s="79"/>
      <c r="Z377" s="130"/>
      <c r="AB377" s="106"/>
    </row>
    <row r="378">
      <c r="C378" s="79"/>
      <c r="D378" s="79"/>
      <c r="E378" s="79"/>
      <c r="M378" s="79"/>
      <c r="R378" s="79"/>
      <c r="S378" s="79"/>
      <c r="V378" s="79"/>
      <c r="W378" s="79"/>
      <c r="Z378" s="130"/>
      <c r="AB378" s="106"/>
    </row>
    <row r="379">
      <c r="C379" s="79"/>
      <c r="D379" s="79"/>
      <c r="E379" s="79"/>
      <c r="M379" s="79"/>
      <c r="R379" s="79"/>
      <c r="S379" s="79"/>
      <c r="V379" s="79"/>
      <c r="W379" s="79"/>
      <c r="Z379" s="130"/>
      <c r="AB379" s="106"/>
    </row>
    <row r="380">
      <c r="C380" s="79"/>
      <c r="D380" s="79"/>
      <c r="E380" s="79"/>
      <c r="M380" s="79"/>
      <c r="R380" s="79"/>
      <c r="S380" s="79"/>
      <c r="V380" s="79"/>
      <c r="W380" s="79"/>
      <c r="Z380" s="130"/>
      <c r="AB380" s="106"/>
    </row>
    <row r="381">
      <c r="C381" s="79"/>
      <c r="D381" s="79"/>
      <c r="E381" s="79"/>
      <c r="M381" s="79"/>
      <c r="R381" s="79"/>
      <c r="S381" s="79"/>
      <c r="V381" s="79"/>
      <c r="W381" s="79"/>
      <c r="Z381" s="130"/>
      <c r="AB381" s="106"/>
    </row>
    <row r="382">
      <c r="C382" s="79"/>
      <c r="D382" s="79"/>
      <c r="E382" s="79"/>
      <c r="M382" s="79"/>
      <c r="R382" s="79"/>
      <c r="S382" s="79"/>
      <c r="V382" s="79"/>
      <c r="W382" s="79"/>
      <c r="Z382" s="130"/>
      <c r="AB382" s="106"/>
    </row>
    <row r="383">
      <c r="C383" s="79"/>
      <c r="D383" s="79"/>
      <c r="E383" s="79"/>
      <c r="M383" s="79"/>
      <c r="R383" s="79"/>
      <c r="S383" s="79"/>
      <c r="V383" s="79"/>
      <c r="W383" s="79"/>
      <c r="Z383" s="130"/>
      <c r="AB383" s="106"/>
    </row>
    <row r="384">
      <c r="C384" s="79"/>
      <c r="D384" s="79"/>
      <c r="E384" s="79"/>
      <c r="M384" s="79"/>
      <c r="R384" s="79"/>
      <c r="S384" s="79"/>
      <c r="V384" s="79"/>
      <c r="W384" s="79"/>
      <c r="Z384" s="130"/>
      <c r="AB384" s="106"/>
    </row>
    <row r="385">
      <c r="C385" s="79"/>
      <c r="D385" s="79"/>
      <c r="E385" s="79"/>
      <c r="M385" s="79"/>
      <c r="R385" s="79"/>
      <c r="S385" s="79"/>
      <c r="V385" s="79"/>
      <c r="W385" s="79"/>
      <c r="Z385" s="130"/>
      <c r="AB385" s="106"/>
    </row>
    <row r="386">
      <c r="C386" s="79"/>
      <c r="D386" s="79"/>
      <c r="E386" s="79"/>
      <c r="M386" s="79"/>
      <c r="R386" s="79"/>
      <c r="S386" s="79"/>
      <c r="V386" s="79"/>
      <c r="W386" s="79"/>
      <c r="Z386" s="130"/>
      <c r="AB386" s="106"/>
    </row>
    <row r="387">
      <c r="C387" s="79"/>
      <c r="D387" s="79"/>
      <c r="E387" s="79"/>
      <c r="M387" s="79"/>
      <c r="R387" s="79"/>
      <c r="S387" s="79"/>
      <c r="V387" s="79"/>
      <c r="W387" s="79"/>
      <c r="Z387" s="130"/>
      <c r="AB387" s="106"/>
    </row>
    <row r="388">
      <c r="C388" s="79"/>
      <c r="D388" s="79"/>
      <c r="E388" s="79"/>
      <c r="M388" s="79"/>
      <c r="R388" s="79"/>
      <c r="S388" s="79"/>
      <c r="V388" s="79"/>
      <c r="W388" s="79"/>
      <c r="Z388" s="130"/>
      <c r="AB388" s="106"/>
    </row>
    <row r="389">
      <c r="C389" s="79"/>
      <c r="D389" s="79"/>
      <c r="E389" s="79"/>
      <c r="M389" s="79"/>
      <c r="R389" s="79"/>
      <c r="S389" s="79"/>
      <c r="V389" s="79"/>
      <c r="W389" s="79"/>
      <c r="Z389" s="130"/>
      <c r="AB389" s="106"/>
    </row>
    <row r="390">
      <c r="C390" s="79"/>
      <c r="D390" s="79"/>
      <c r="E390" s="79"/>
      <c r="M390" s="79"/>
      <c r="R390" s="79"/>
      <c r="S390" s="79"/>
      <c r="V390" s="79"/>
      <c r="W390" s="79"/>
      <c r="Z390" s="130"/>
      <c r="AB390" s="106"/>
    </row>
    <row r="391">
      <c r="C391" s="79"/>
      <c r="D391" s="79"/>
      <c r="E391" s="79"/>
      <c r="M391" s="79"/>
      <c r="R391" s="79"/>
      <c r="S391" s="79"/>
      <c r="V391" s="79"/>
      <c r="W391" s="79"/>
      <c r="Z391" s="130"/>
      <c r="AB391" s="106"/>
    </row>
    <row r="392">
      <c r="C392" s="79"/>
      <c r="D392" s="79"/>
      <c r="E392" s="79"/>
      <c r="M392" s="79"/>
      <c r="R392" s="79"/>
      <c r="S392" s="79"/>
      <c r="V392" s="79"/>
      <c r="W392" s="79"/>
      <c r="Z392" s="130"/>
      <c r="AB392" s="106"/>
    </row>
    <row r="393">
      <c r="C393" s="79"/>
      <c r="D393" s="79"/>
      <c r="E393" s="79"/>
      <c r="M393" s="79"/>
      <c r="R393" s="79"/>
      <c r="S393" s="79"/>
      <c r="V393" s="79"/>
      <c r="W393" s="79"/>
      <c r="Z393" s="130"/>
      <c r="AB393" s="106"/>
    </row>
    <row r="394">
      <c r="C394" s="79"/>
      <c r="D394" s="79"/>
      <c r="E394" s="79"/>
      <c r="M394" s="79"/>
      <c r="R394" s="79"/>
      <c r="S394" s="79"/>
      <c r="V394" s="79"/>
      <c r="W394" s="79"/>
      <c r="Z394" s="130"/>
      <c r="AB394" s="106"/>
    </row>
    <row r="395">
      <c r="C395" s="79"/>
      <c r="D395" s="79"/>
      <c r="E395" s="79"/>
      <c r="M395" s="79"/>
      <c r="R395" s="79"/>
      <c r="S395" s="79"/>
      <c r="V395" s="79"/>
      <c r="W395" s="79"/>
      <c r="Z395" s="130"/>
      <c r="AB395" s="106"/>
    </row>
    <row r="396">
      <c r="C396" s="79"/>
      <c r="D396" s="79"/>
      <c r="E396" s="79"/>
      <c r="M396" s="79"/>
      <c r="R396" s="79"/>
      <c r="S396" s="79"/>
      <c r="V396" s="79"/>
      <c r="W396" s="79"/>
      <c r="Z396" s="130"/>
      <c r="AB396" s="106"/>
    </row>
    <row r="397">
      <c r="C397" s="79"/>
      <c r="D397" s="79"/>
      <c r="E397" s="79"/>
      <c r="M397" s="79"/>
      <c r="R397" s="79"/>
      <c r="S397" s="79"/>
      <c r="V397" s="79"/>
      <c r="W397" s="79"/>
      <c r="Z397" s="130"/>
      <c r="AB397" s="106"/>
    </row>
    <row r="398">
      <c r="C398" s="79"/>
      <c r="D398" s="79"/>
      <c r="E398" s="79"/>
      <c r="M398" s="79"/>
      <c r="R398" s="79"/>
      <c r="S398" s="79"/>
      <c r="V398" s="79"/>
      <c r="W398" s="79"/>
      <c r="Z398" s="130"/>
      <c r="AB398" s="106"/>
    </row>
    <row r="399">
      <c r="C399" s="79"/>
      <c r="D399" s="79"/>
      <c r="E399" s="79"/>
      <c r="M399" s="79"/>
      <c r="R399" s="79"/>
      <c r="S399" s="79"/>
      <c r="V399" s="79"/>
      <c r="W399" s="79"/>
      <c r="Z399" s="130"/>
      <c r="AB399" s="106"/>
    </row>
    <row r="400">
      <c r="C400" s="79"/>
      <c r="D400" s="79"/>
      <c r="E400" s="79"/>
      <c r="M400" s="79"/>
      <c r="R400" s="79"/>
      <c r="S400" s="79"/>
      <c r="V400" s="79"/>
      <c r="W400" s="79"/>
      <c r="Z400" s="130"/>
      <c r="AB400" s="106"/>
    </row>
    <row r="401">
      <c r="C401" s="79"/>
      <c r="D401" s="79"/>
      <c r="E401" s="79"/>
      <c r="M401" s="79"/>
      <c r="R401" s="79"/>
      <c r="S401" s="79"/>
      <c r="V401" s="79"/>
      <c r="W401" s="79"/>
      <c r="Z401" s="130"/>
      <c r="AB401" s="106"/>
    </row>
    <row r="402">
      <c r="C402" s="79"/>
      <c r="D402" s="79"/>
      <c r="E402" s="79"/>
      <c r="M402" s="79"/>
      <c r="R402" s="79"/>
      <c r="S402" s="79"/>
      <c r="V402" s="79"/>
      <c r="W402" s="79"/>
      <c r="Z402" s="130"/>
      <c r="AB402" s="106"/>
    </row>
    <row r="403">
      <c r="C403" s="79"/>
      <c r="D403" s="79"/>
      <c r="E403" s="79"/>
      <c r="M403" s="79"/>
      <c r="R403" s="79"/>
      <c r="S403" s="79"/>
      <c r="V403" s="79"/>
      <c r="W403" s="79"/>
      <c r="Z403" s="130"/>
      <c r="AB403" s="106"/>
    </row>
    <row r="404">
      <c r="C404" s="79"/>
      <c r="D404" s="79"/>
      <c r="E404" s="79"/>
      <c r="M404" s="79"/>
      <c r="R404" s="79"/>
      <c r="S404" s="79"/>
      <c r="V404" s="79"/>
      <c r="W404" s="79"/>
      <c r="Z404" s="130"/>
      <c r="AB404" s="106"/>
    </row>
    <row r="405">
      <c r="C405" s="79"/>
      <c r="D405" s="79"/>
      <c r="E405" s="79"/>
      <c r="M405" s="79"/>
      <c r="R405" s="79"/>
      <c r="S405" s="79"/>
      <c r="V405" s="79"/>
      <c r="W405" s="79"/>
      <c r="Z405" s="130"/>
      <c r="AB405" s="106"/>
    </row>
    <row r="406">
      <c r="C406" s="79"/>
      <c r="D406" s="79"/>
      <c r="E406" s="79"/>
      <c r="M406" s="79"/>
      <c r="R406" s="79"/>
      <c r="S406" s="79"/>
      <c r="V406" s="79"/>
      <c r="W406" s="79"/>
      <c r="Z406" s="130"/>
      <c r="AB406" s="106"/>
    </row>
    <row r="407">
      <c r="C407" s="79"/>
      <c r="D407" s="79"/>
      <c r="E407" s="79"/>
      <c r="M407" s="79"/>
      <c r="R407" s="79"/>
      <c r="S407" s="79"/>
      <c r="V407" s="79"/>
      <c r="W407" s="79"/>
      <c r="Z407" s="130"/>
      <c r="AB407" s="106"/>
    </row>
    <row r="408">
      <c r="C408" s="79"/>
      <c r="D408" s="79"/>
      <c r="E408" s="79"/>
      <c r="M408" s="79"/>
      <c r="R408" s="79"/>
      <c r="S408" s="79"/>
      <c r="V408" s="79"/>
      <c r="W408" s="79"/>
      <c r="Z408" s="130"/>
      <c r="AB408" s="106"/>
    </row>
    <row r="409">
      <c r="C409" s="79"/>
      <c r="D409" s="79"/>
      <c r="E409" s="79"/>
      <c r="M409" s="79"/>
      <c r="R409" s="79"/>
      <c r="S409" s="79"/>
      <c r="V409" s="79"/>
      <c r="W409" s="79"/>
      <c r="Z409" s="130"/>
      <c r="AB409" s="106"/>
    </row>
    <row r="410">
      <c r="C410" s="79"/>
      <c r="D410" s="79"/>
      <c r="E410" s="79"/>
      <c r="M410" s="79"/>
      <c r="R410" s="79"/>
      <c r="S410" s="79"/>
      <c r="V410" s="79"/>
      <c r="W410" s="79"/>
      <c r="Z410" s="130"/>
      <c r="AB410" s="106"/>
    </row>
    <row r="411">
      <c r="C411" s="79"/>
      <c r="D411" s="79"/>
      <c r="E411" s="79"/>
      <c r="M411" s="79"/>
      <c r="R411" s="79"/>
      <c r="S411" s="79"/>
      <c r="V411" s="79"/>
      <c r="W411" s="79"/>
      <c r="Z411" s="130"/>
      <c r="AB411" s="106"/>
    </row>
    <row r="412">
      <c r="C412" s="79"/>
      <c r="D412" s="79"/>
      <c r="E412" s="79"/>
      <c r="M412" s="79"/>
      <c r="R412" s="79"/>
      <c r="S412" s="79"/>
      <c r="V412" s="79"/>
      <c r="W412" s="79"/>
      <c r="Z412" s="130"/>
      <c r="AB412" s="106"/>
    </row>
    <row r="413">
      <c r="C413" s="79"/>
      <c r="D413" s="79"/>
      <c r="E413" s="79"/>
      <c r="M413" s="79"/>
      <c r="R413" s="79"/>
      <c r="S413" s="79"/>
      <c r="V413" s="79"/>
      <c r="W413" s="79"/>
      <c r="Z413" s="130"/>
      <c r="AB413" s="106"/>
    </row>
    <row r="414">
      <c r="C414" s="79"/>
      <c r="D414" s="79"/>
      <c r="E414" s="79"/>
      <c r="M414" s="79"/>
      <c r="R414" s="79"/>
      <c r="S414" s="79"/>
      <c r="V414" s="79"/>
      <c r="W414" s="79"/>
      <c r="Z414" s="130"/>
      <c r="AB414" s="106"/>
    </row>
    <row r="415">
      <c r="C415" s="79"/>
      <c r="D415" s="79"/>
      <c r="E415" s="79"/>
      <c r="M415" s="79"/>
      <c r="R415" s="79"/>
      <c r="S415" s="79"/>
      <c r="V415" s="79"/>
      <c r="W415" s="79"/>
      <c r="Z415" s="130"/>
      <c r="AB415" s="106"/>
    </row>
    <row r="416">
      <c r="C416" s="79"/>
      <c r="D416" s="79"/>
      <c r="E416" s="79"/>
      <c r="M416" s="79"/>
      <c r="R416" s="79"/>
      <c r="S416" s="79"/>
      <c r="V416" s="79"/>
      <c r="W416" s="79"/>
      <c r="Z416" s="130"/>
      <c r="AB416" s="106"/>
    </row>
    <row r="417">
      <c r="C417" s="79"/>
      <c r="D417" s="79"/>
      <c r="E417" s="79"/>
      <c r="M417" s="79"/>
      <c r="R417" s="79"/>
      <c r="S417" s="79"/>
      <c r="V417" s="79"/>
      <c r="W417" s="79"/>
      <c r="Z417" s="130"/>
      <c r="AB417" s="106"/>
    </row>
    <row r="418">
      <c r="C418" s="79"/>
      <c r="D418" s="79"/>
      <c r="E418" s="79"/>
      <c r="M418" s="79"/>
      <c r="R418" s="79"/>
      <c r="S418" s="79"/>
      <c r="V418" s="79"/>
      <c r="W418" s="79"/>
      <c r="Z418" s="130"/>
      <c r="AB418" s="106"/>
    </row>
    <row r="419">
      <c r="C419" s="79"/>
      <c r="D419" s="79"/>
      <c r="E419" s="79"/>
      <c r="M419" s="79"/>
      <c r="R419" s="79"/>
      <c r="S419" s="79"/>
      <c r="V419" s="79"/>
      <c r="W419" s="79"/>
      <c r="Z419" s="130"/>
      <c r="AB419" s="106"/>
    </row>
    <row r="420">
      <c r="C420" s="79"/>
      <c r="D420" s="79"/>
      <c r="E420" s="79"/>
      <c r="M420" s="79"/>
      <c r="R420" s="79"/>
      <c r="S420" s="79"/>
      <c r="V420" s="79"/>
      <c r="W420" s="79"/>
      <c r="Z420" s="130"/>
      <c r="AB420" s="106"/>
    </row>
    <row r="421">
      <c r="C421" s="79"/>
      <c r="D421" s="79"/>
      <c r="E421" s="79"/>
      <c r="M421" s="79"/>
      <c r="R421" s="79"/>
      <c r="S421" s="79"/>
      <c r="V421" s="79"/>
      <c r="W421" s="79"/>
      <c r="Z421" s="130"/>
      <c r="AB421" s="106"/>
    </row>
    <row r="422">
      <c r="C422" s="79"/>
      <c r="D422" s="79"/>
      <c r="E422" s="79"/>
      <c r="M422" s="79"/>
      <c r="R422" s="79"/>
      <c r="S422" s="79"/>
      <c r="V422" s="79"/>
      <c r="W422" s="79"/>
      <c r="Z422" s="130"/>
      <c r="AB422" s="106"/>
    </row>
    <row r="423">
      <c r="C423" s="79"/>
      <c r="D423" s="79"/>
      <c r="E423" s="79"/>
      <c r="M423" s="79"/>
      <c r="R423" s="79"/>
      <c r="S423" s="79"/>
      <c r="V423" s="79"/>
      <c r="W423" s="79"/>
      <c r="Z423" s="130"/>
      <c r="AB423" s="106"/>
    </row>
    <row r="424">
      <c r="C424" s="79"/>
      <c r="D424" s="79"/>
      <c r="E424" s="79"/>
      <c r="M424" s="79"/>
      <c r="R424" s="79"/>
      <c r="S424" s="79"/>
      <c r="V424" s="79"/>
      <c r="W424" s="79"/>
      <c r="Z424" s="130"/>
      <c r="AB424" s="106"/>
    </row>
    <row r="425">
      <c r="C425" s="79"/>
      <c r="D425" s="79"/>
      <c r="E425" s="79"/>
      <c r="M425" s="79"/>
      <c r="R425" s="79"/>
      <c r="S425" s="79"/>
      <c r="V425" s="79"/>
      <c r="W425" s="79"/>
      <c r="Z425" s="130"/>
      <c r="AB425" s="106"/>
    </row>
    <row r="426">
      <c r="C426" s="79"/>
      <c r="D426" s="79"/>
      <c r="E426" s="79"/>
      <c r="M426" s="79"/>
      <c r="R426" s="79"/>
      <c r="S426" s="79"/>
      <c r="V426" s="79"/>
      <c r="W426" s="79"/>
      <c r="Z426" s="130"/>
      <c r="AB426" s="106"/>
    </row>
    <row r="427">
      <c r="C427" s="79"/>
      <c r="D427" s="79"/>
      <c r="E427" s="79"/>
      <c r="M427" s="79"/>
      <c r="R427" s="79"/>
      <c r="S427" s="79"/>
      <c r="V427" s="79"/>
      <c r="W427" s="79"/>
      <c r="Z427" s="130"/>
      <c r="AB427" s="106"/>
    </row>
    <row r="428">
      <c r="C428" s="79"/>
      <c r="D428" s="79"/>
      <c r="E428" s="79"/>
      <c r="M428" s="79"/>
      <c r="R428" s="79"/>
      <c r="S428" s="79"/>
      <c r="V428" s="79"/>
      <c r="W428" s="79"/>
      <c r="Z428" s="130"/>
      <c r="AB428" s="106"/>
    </row>
    <row r="429">
      <c r="C429" s="79"/>
      <c r="D429" s="79"/>
      <c r="E429" s="79"/>
      <c r="M429" s="79"/>
      <c r="R429" s="79"/>
      <c r="S429" s="79"/>
      <c r="V429" s="79"/>
      <c r="W429" s="79"/>
      <c r="Z429" s="130"/>
      <c r="AB429" s="106"/>
    </row>
    <row r="430">
      <c r="C430" s="79"/>
      <c r="D430" s="79"/>
      <c r="E430" s="79"/>
      <c r="M430" s="79"/>
      <c r="R430" s="79"/>
      <c r="S430" s="79"/>
      <c r="V430" s="79"/>
      <c r="W430" s="79"/>
      <c r="Z430" s="130"/>
      <c r="AB430" s="106"/>
    </row>
    <row r="431">
      <c r="C431" s="79"/>
      <c r="D431" s="79"/>
      <c r="E431" s="79"/>
      <c r="M431" s="79"/>
      <c r="R431" s="79"/>
      <c r="S431" s="79"/>
      <c r="V431" s="79"/>
      <c r="W431" s="79"/>
      <c r="Z431" s="130"/>
      <c r="AB431" s="106"/>
    </row>
    <row r="432">
      <c r="C432" s="79"/>
      <c r="D432" s="79"/>
      <c r="E432" s="79"/>
      <c r="M432" s="79"/>
      <c r="R432" s="79"/>
      <c r="S432" s="79"/>
      <c r="V432" s="79"/>
      <c r="W432" s="79"/>
      <c r="Z432" s="130"/>
      <c r="AB432" s="106"/>
    </row>
    <row r="433">
      <c r="C433" s="79"/>
      <c r="D433" s="79"/>
      <c r="E433" s="79"/>
      <c r="M433" s="79"/>
      <c r="R433" s="79"/>
      <c r="S433" s="79"/>
      <c r="V433" s="79"/>
      <c r="W433" s="79"/>
      <c r="Z433" s="130"/>
      <c r="AB433" s="106"/>
    </row>
    <row r="434">
      <c r="C434" s="79"/>
      <c r="D434" s="79"/>
      <c r="E434" s="79"/>
      <c r="M434" s="79"/>
      <c r="R434" s="79"/>
      <c r="S434" s="79"/>
      <c r="V434" s="79"/>
      <c r="W434" s="79"/>
      <c r="Z434" s="130"/>
      <c r="AB434" s="106"/>
    </row>
    <row r="435">
      <c r="C435" s="79"/>
      <c r="D435" s="79"/>
      <c r="E435" s="79"/>
      <c r="M435" s="79"/>
      <c r="R435" s="79"/>
      <c r="S435" s="79"/>
      <c r="V435" s="79"/>
      <c r="W435" s="79"/>
      <c r="Z435" s="130"/>
      <c r="AB435" s="106"/>
    </row>
    <row r="436">
      <c r="C436" s="79"/>
      <c r="D436" s="79"/>
      <c r="E436" s="79"/>
      <c r="M436" s="79"/>
      <c r="R436" s="79"/>
      <c r="S436" s="79"/>
      <c r="V436" s="79"/>
      <c r="W436" s="79"/>
      <c r="Z436" s="130"/>
      <c r="AB436" s="106"/>
    </row>
    <row r="437">
      <c r="C437" s="79"/>
      <c r="D437" s="79"/>
      <c r="E437" s="79"/>
      <c r="M437" s="79"/>
      <c r="R437" s="79"/>
      <c r="S437" s="79"/>
      <c r="V437" s="79"/>
      <c r="W437" s="79"/>
      <c r="Z437" s="130"/>
      <c r="AB437" s="106"/>
    </row>
    <row r="438">
      <c r="C438" s="79"/>
      <c r="D438" s="79"/>
      <c r="E438" s="79"/>
      <c r="M438" s="79"/>
      <c r="R438" s="79"/>
      <c r="S438" s="79"/>
      <c r="V438" s="79"/>
      <c r="W438" s="79"/>
      <c r="Z438" s="130"/>
      <c r="AB438" s="106"/>
    </row>
    <row r="439">
      <c r="C439" s="79"/>
      <c r="D439" s="79"/>
      <c r="E439" s="79"/>
      <c r="M439" s="79"/>
      <c r="R439" s="79"/>
      <c r="S439" s="79"/>
      <c r="V439" s="79"/>
      <c r="W439" s="79"/>
      <c r="Z439" s="130"/>
      <c r="AB439" s="106"/>
    </row>
    <row r="440">
      <c r="C440" s="79"/>
      <c r="D440" s="79"/>
      <c r="E440" s="79"/>
      <c r="M440" s="79"/>
      <c r="R440" s="79"/>
      <c r="S440" s="79"/>
      <c r="V440" s="79"/>
      <c r="W440" s="79"/>
      <c r="Z440" s="130"/>
      <c r="AB440" s="106"/>
    </row>
    <row r="441">
      <c r="C441" s="79"/>
      <c r="D441" s="79"/>
      <c r="E441" s="79"/>
      <c r="M441" s="79"/>
      <c r="R441" s="79"/>
      <c r="S441" s="79"/>
      <c r="V441" s="79"/>
      <c r="W441" s="79"/>
      <c r="Z441" s="130"/>
      <c r="AB441" s="106"/>
    </row>
    <row r="442">
      <c r="C442" s="79"/>
      <c r="D442" s="79"/>
      <c r="E442" s="79"/>
      <c r="M442" s="79"/>
      <c r="R442" s="79"/>
      <c r="S442" s="79"/>
      <c r="V442" s="79"/>
      <c r="W442" s="79"/>
      <c r="Z442" s="130"/>
      <c r="AB442" s="106"/>
    </row>
    <row r="443">
      <c r="C443" s="79"/>
      <c r="D443" s="79"/>
      <c r="E443" s="79"/>
      <c r="M443" s="79"/>
      <c r="R443" s="79"/>
      <c r="S443" s="79"/>
      <c r="V443" s="79"/>
      <c r="W443" s="79"/>
      <c r="Z443" s="130"/>
      <c r="AB443" s="106"/>
    </row>
    <row r="444">
      <c r="C444" s="79"/>
      <c r="D444" s="79"/>
      <c r="E444" s="79"/>
      <c r="M444" s="79"/>
      <c r="R444" s="79"/>
      <c r="S444" s="79"/>
      <c r="V444" s="79"/>
      <c r="W444" s="79"/>
      <c r="Z444" s="130"/>
      <c r="AB444" s="106"/>
    </row>
    <row r="445">
      <c r="C445" s="79"/>
      <c r="D445" s="79"/>
      <c r="E445" s="79"/>
      <c r="M445" s="79"/>
      <c r="R445" s="79"/>
      <c r="S445" s="79"/>
      <c r="V445" s="79"/>
      <c r="W445" s="79"/>
      <c r="Z445" s="130"/>
      <c r="AB445" s="106"/>
    </row>
    <row r="446">
      <c r="C446" s="79"/>
      <c r="D446" s="79"/>
      <c r="E446" s="79"/>
      <c r="M446" s="79"/>
      <c r="R446" s="79"/>
      <c r="S446" s="79"/>
      <c r="V446" s="79"/>
      <c r="W446" s="79"/>
      <c r="Z446" s="130"/>
      <c r="AB446" s="106"/>
    </row>
    <row r="447">
      <c r="C447" s="79"/>
      <c r="D447" s="79"/>
      <c r="E447" s="79"/>
      <c r="M447" s="79"/>
      <c r="R447" s="79"/>
      <c r="S447" s="79"/>
      <c r="V447" s="79"/>
      <c r="W447" s="79"/>
      <c r="Z447" s="130"/>
      <c r="AB447" s="106"/>
    </row>
    <row r="448">
      <c r="C448" s="79"/>
      <c r="D448" s="79"/>
      <c r="E448" s="79"/>
      <c r="M448" s="79"/>
      <c r="R448" s="79"/>
      <c r="S448" s="79"/>
      <c r="V448" s="79"/>
      <c r="W448" s="79"/>
      <c r="Z448" s="130"/>
      <c r="AB448" s="106"/>
    </row>
    <row r="449">
      <c r="C449" s="79"/>
      <c r="D449" s="79"/>
      <c r="E449" s="79"/>
      <c r="M449" s="79"/>
      <c r="R449" s="79"/>
      <c r="S449" s="79"/>
      <c r="V449" s="79"/>
      <c r="W449" s="79"/>
      <c r="Z449" s="130"/>
      <c r="AB449" s="106"/>
    </row>
    <row r="450">
      <c r="C450" s="79"/>
      <c r="D450" s="79"/>
      <c r="E450" s="79"/>
      <c r="M450" s="79"/>
      <c r="R450" s="79"/>
      <c r="S450" s="79"/>
      <c r="V450" s="79"/>
      <c r="W450" s="79"/>
      <c r="Z450" s="130"/>
      <c r="AB450" s="106"/>
    </row>
    <row r="451">
      <c r="C451" s="79"/>
      <c r="D451" s="79"/>
      <c r="E451" s="79"/>
      <c r="M451" s="79"/>
      <c r="R451" s="79"/>
      <c r="S451" s="79"/>
      <c r="V451" s="79"/>
      <c r="W451" s="79"/>
      <c r="Z451" s="130"/>
      <c r="AB451" s="106"/>
    </row>
    <row r="452">
      <c r="C452" s="79"/>
      <c r="D452" s="79"/>
      <c r="E452" s="79"/>
      <c r="M452" s="79"/>
      <c r="R452" s="79"/>
      <c r="S452" s="79"/>
      <c r="V452" s="79"/>
      <c r="W452" s="79"/>
      <c r="Z452" s="130"/>
      <c r="AB452" s="106"/>
    </row>
    <row r="453">
      <c r="C453" s="79"/>
      <c r="D453" s="79"/>
      <c r="E453" s="79"/>
      <c r="M453" s="79"/>
      <c r="R453" s="79"/>
      <c r="S453" s="79"/>
      <c r="V453" s="79"/>
      <c r="W453" s="79"/>
      <c r="Z453" s="130"/>
      <c r="AB453" s="106"/>
    </row>
    <row r="454">
      <c r="C454" s="79"/>
      <c r="D454" s="79"/>
      <c r="E454" s="79"/>
      <c r="M454" s="79"/>
      <c r="R454" s="79"/>
      <c r="S454" s="79"/>
      <c r="V454" s="79"/>
      <c r="W454" s="79"/>
      <c r="Z454" s="130"/>
      <c r="AB454" s="106"/>
    </row>
    <row r="455">
      <c r="C455" s="79"/>
      <c r="D455" s="79"/>
      <c r="E455" s="79"/>
      <c r="M455" s="79"/>
      <c r="R455" s="79"/>
      <c r="S455" s="79"/>
      <c r="V455" s="79"/>
      <c r="W455" s="79"/>
      <c r="Z455" s="130"/>
      <c r="AB455" s="106"/>
    </row>
    <row r="456">
      <c r="C456" s="79"/>
      <c r="D456" s="79"/>
      <c r="E456" s="79"/>
      <c r="M456" s="79"/>
      <c r="R456" s="79"/>
      <c r="S456" s="79"/>
      <c r="V456" s="79"/>
      <c r="W456" s="79"/>
      <c r="Z456" s="130"/>
      <c r="AB456" s="106"/>
    </row>
    <row r="457">
      <c r="C457" s="79"/>
      <c r="D457" s="79"/>
      <c r="E457" s="79"/>
      <c r="M457" s="79"/>
      <c r="R457" s="79"/>
      <c r="S457" s="79"/>
      <c r="V457" s="79"/>
      <c r="W457" s="79"/>
      <c r="Z457" s="130"/>
      <c r="AB457" s="106"/>
    </row>
    <row r="458">
      <c r="C458" s="79"/>
      <c r="D458" s="79"/>
      <c r="E458" s="79"/>
      <c r="M458" s="79"/>
      <c r="R458" s="79"/>
      <c r="S458" s="79"/>
      <c r="V458" s="79"/>
      <c r="W458" s="79"/>
      <c r="Z458" s="130"/>
      <c r="AB458" s="106"/>
    </row>
    <row r="459">
      <c r="C459" s="79"/>
      <c r="D459" s="79"/>
      <c r="E459" s="79"/>
      <c r="M459" s="79"/>
      <c r="R459" s="79"/>
      <c r="S459" s="79"/>
      <c r="V459" s="79"/>
      <c r="W459" s="79"/>
      <c r="Z459" s="130"/>
      <c r="AB459" s="106"/>
    </row>
    <row r="460">
      <c r="C460" s="79"/>
      <c r="D460" s="79"/>
      <c r="E460" s="79"/>
      <c r="M460" s="79"/>
      <c r="R460" s="79"/>
      <c r="S460" s="79"/>
      <c r="V460" s="79"/>
      <c r="W460" s="79"/>
      <c r="Z460" s="130"/>
      <c r="AB460" s="106"/>
    </row>
    <row r="461">
      <c r="C461" s="79"/>
      <c r="D461" s="79"/>
      <c r="E461" s="79"/>
      <c r="M461" s="79"/>
      <c r="R461" s="79"/>
      <c r="S461" s="79"/>
      <c r="V461" s="79"/>
      <c r="W461" s="79"/>
      <c r="Z461" s="130"/>
      <c r="AB461" s="106"/>
    </row>
    <row r="462">
      <c r="C462" s="79"/>
      <c r="D462" s="79"/>
      <c r="E462" s="79"/>
      <c r="M462" s="79"/>
      <c r="R462" s="79"/>
      <c r="S462" s="79"/>
      <c r="V462" s="79"/>
      <c r="W462" s="79"/>
      <c r="Z462" s="130"/>
      <c r="AB462" s="106"/>
    </row>
    <row r="463">
      <c r="C463" s="79"/>
      <c r="D463" s="79"/>
      <c r="E463" s="79"/>
      <c r="M463" s="79"/>
      <c r="R463" s="79"/>
      <c r="S463" s="79"/>
      <c r="V463" s="79"/>
      <c r="W463" s="79"/>
      <c r="Z463" s="130"/>
      <c r="AB463" s="106"/>
    </row>
    <row r="464">
      <c r="C464" s="79"/>
      <c r="D464" s="79"/>
      <c r="E464" s="79"/>
      <c r="M464" s="79"/>
      <c r="R464" s="79"/>
      <c r="S464" s="79"/>
      <c r="V464" s="79"/>
      <c r="W464" s="79"/>
      <c r="Z464" s="130"/>
      <c r="AB464" s="106"/>
    </row>
    <row r="465">
      <c r="C465" s="79"/>
      <c r="D465" s="79"/>
      <c r="E465" s="79"/>
      <c r="M465" s="79"/>
      <c r="R465" s="79"/>
      <c r="S465" s="79"/>
      <c r="V465" s="79"/>
      <c r="W465" s="79"/>
      <c r="Z465" s="130"/>
      <c r="AB465" s="106"/>
    </row>
    <row r="466">
      <c r="C466" s="79"/>
      <c r="D466" s="79"/>
      <c r="E466" s="79"/>
      <c r="M466" s="79"/>
      <c r="R466" s="79"/>
      <c r="S466" s="79"/>
      <c r="V466" s="79"/>
      <c r="W466" s="79"/>
      <c r="Z466" s="130"/>
      <c r="AB466" s="106"/>
    </row>
    <row r="467">
      <c r="C467" s="79"/>
      <c r="D467" s="79"/>
      <c r="E467" s="79"/>
      <c r="M467" s="79"/>
      <c r="R467" s="79"/>
      <c r="S467" s="79"/>
      <c r="V467" s="79"/>
      <c r="W467" s="79"/>
      <c r="Z467" s="130"/>
      <c r="AB467" s="106"/>
    </row>
    <row r="468">
      <c r="C468" s="79"/>
      <c r="D468" s="79"/>
      <c r="E468" s="79"/>
      <c r="M468" s="79"/>
      <c r="R468" s="79"/>
      <c r="S468" s="79"/>
      <c r="V468" s="79"/>
      <c r="W468" s="79"/>
      <c r="Z468" s="130"/>
      <c r="AB468" s="106"/>
    </row>
    <row r="469">
      <c r="C469" s="79"/>
      <c r="D469" s="79"/>
      <c r="E469" s="79"/>
      <c r="M469" s="79"/>
      <c r="R469" s="79"/>
      <c r="S469" s="79"/>
      <c r="V469" s="79"/>
      <c r="W469" s="79"/>
      <c r="Z469" s="130"/>
      <c r="AB469" s="106"/>
    </row>
    <row r="470">
      <c r="C470" s="79"/>
      <c r="D470" s="79"/>
      <c r="E470" s="79"/>
      <c r="M470" s="79"/>
      <c r="R470" s="79"/>
      <c r="S470" s="79"/>
      <c r="V470" s="79"/>
      <c r="W470" s="79"/>
      <c r="Z470" s="130"/>
      <c r="AB470" s="106"/>
    </row>
    <row r="471">
      <c r="C471" s="79"/>
      <c r="D471" s="79"/>
      <c r="E471" s="79"/>
      <c r="M471" s="79"/>
      <c r="R471" s="79"/>
      <c r="S471" s="79"/>
      <c r="V471" s="79"/>
      <c r="W471" s="79"/>
      <c r="Z471" s="130"/>
      <c r="AB471" s="106"/>
    </row>
    <row r="472">
      <c r="C472" s="79"/>
      <c r="D472" s="79"/>
      <c r="E472" s="79"/>
      <c r="M472" s="79"/>
      <c r="R472" s="79"/>
      <c r="S472" s="79"/>
      <c r="V472" s="79"/>
      <c r="W472" s="79"/>
      <c r="Z472" s="130"/>
      <c r="AB472" s="106"/>
    </row>
    <row r="473">
      <c r="C473" s="79"/>
      <c r="D473" s="79"/>
      <c r="E473" s="79"/>
      <c r="M473" s="79"/>
      <c r="R473" s="79"/>
      <c r="S473" s="79"/>
      <c r="V473" s="79"/>
      <c r="W473" s="79"/>
      <c r="Z473" s="130"/>
      <c r="AB473" s="106"/>
    </row>
    <row r="474">
      <c r="C474" s="79"/>
      <c r="D474" s="79"/>
      <c r="E474" s="79"/>
      <c r="M474" s="79"/>
      <c r="R474" s="79"/>
      <c r="S474" s="79"/>
      <c r="V474" s="79"/>
      <c r="W474" s="79"/>
      <c r="Z474" s="130"/>
      <c r="AB474" s="106"/>
    </row>
    <row r="475">
      <c r="C475" s="79"/>
      <c r="D475" s="79"/>
      <c r="E475" s="79"/>
      <c r="M475" s="79"/>
      <c r="R475" s="79"/>
      <c r="S475" s="79"/>
      <c r="V475" s="79"/>
      <c r="W475" s="79"/>
      <c r="Z475" s="130"/>
      <c r="AB475" s="106"/>
    </row>
    <row r="476">
      <c r="C476" s="79"/>
      <c r="D476" s="79"/>
      <c r="E476" s="79"/>
      <c r="M476" s="79"/>
      <c r="R476" s="79"/>
      <c r="S476" s="79"/>
      <c r="V476" s="79"/>
      <c r="W476" s="79"/>
      <c r="Z476" s="130"/>
      <c r="AB476" s="106"/>
    </row>
    <row r="477">
      <c r="C477" s="79"/>
      <c r="D477" s="79"/>
      <c r="E477" s="79"/>
      <c r="M477" s="79"/>
      <c r="R477" s="79"/>
      <c r="S477" s="79"/>
      <c r="V477" s="79"/>
      <c r="W477" s="79"/>
      <c r="Z477" s="130"/>
      <c r="AB477" s="106"/>
    </row>
    <row r="478">
      <c r="C478" s="79"/>
      <c r="D478" s="79"/>
      <c r="E478" s="79"/>
      <c r="M478" s="79"/>
      <c r="R478" s="79"/>
      <c r="S478" s="79"/>
      <c r="V478" s="79"/>
      <c r="W478" s="79"/>
      <c r="Z478" s="130"/>
      <c r="AB478" s="106"/>
    </row>
    <row r="479">
      <c r="C479" s="79"/>
      <c r="D479" s="79"/>
      <c r="E479" s="79"/>
      <c r="M479" s="79"/>
      <c r="R479" s="79"/>
      <c r="S479" s="79"/>
      <c r="V479" s="79"/>
      <c r="W479" s="79"/>
      <c r="Z479" s="130"/>
      <c r="AB479" s="106"/>
    </row>
    <row r="480">
      <c r="C480" s="79"/>
      <c r="D480" s="79"/>
      <c r="E480" s="79"/>
      <c r="M480" s="79"/>
      <c r="R480" s="79"/>
      <c r="S480" s="79"/>
      <c r="V480" s="79"/>
      <c r="W480" s="79"/>
      <c r="Z480" s="130"/>
      <c r="AB480" s="106"/>
    </row>
    <row r="481">
      <c r="C481" s="79"/>
      <c r="D481" s="79"/>
      <c r="E481" s="79"/>
      <c r="M481" s="79"/>
      <c r="R481" s="79"/>
      <c r="S481" s="79"/>
      <c r="V481" s="79"/>
      <c r="W481" s="79"/>
      <c r="Z481" s="130"/>
      <c r="AB481" s="106"/>
    </row>
    <row r="482">
      <c r="C482" s="79"/>
      <c r="D482" s="79"/>
      <c r="E482" s="79"/>
      <c r="M482" s="79"/>
      <c r="R482" s="79"/>
      <c r="S482" s="79"/>
      <c r="V482" s="79"/>
      <c r="W482" s="79"/>
      <c r="Z482" s="130"/>
      <c r="AB482" s="106"/>
    </row>
    <row r="483">
      <c r="C483" s="79"/>
      <c r="D483" s="79"/>
      <c r="E483" s="79"/>
      <c r="M483" s="79"/>
      <c r="R483" s="79"/>
      <c r="S483" s="79"/>
      <c r="V483" s="79"/>
      <c r="W483" s="79"/>
      <c r="Z483" s="130"/>
      <c r="AB483" s="106"/>
    </row>
    <row r="484">
      <c r="C484" s="79"/>
      <c r="D484" s="79"/>
      <c r="E484" s="79"/>
      <c r="M484" s="79"/>
      <c r="R484" s="79"/>
      <c r="S484" s="79"/>
      <c r="V484" s="79"/>
      <c r="W484" s="79"/>
      <c r="Z484" s="130"/>
      <c r="AB484" s="106"/>
    </row>
    <row r="485">
      <c r="C485" s="79"/>
      <c r="D485" s="79"/>
      <c r="E485" s="79"/>
      <c r="M485" s="79"/>
      <c r="R485" s="79"/>
      <c r="S485" s="79"/>
      <c r="V485" s="79"/>
      <c r="W485" s="79"/>
      <c r="Z485" s="130"/>
      <c r="AB485" s="106"/>
    </row>
    <row r="486">
      <c r="C486" s="79"/>
      <c r="D486" s="79"/>
      <c r="E486" s="79"/>
      <c r="M486" s="79"/>
      <c r="R486" s="79"/>
      <c r="S486" s="79"/>
      <c r="V486" s="79"/>
      <c r="W486" s="79"/>
      <c r="Z486" s="130"/>
      <c r="AB486" s="106"/>
    </row>
    <row r="487">
      <c r="C487" s="79"/>
      <c r="D487" s="79"/>
      <c r="E487" s="79"/>
      <c r="M487" s="79"/>
      <c r="R487" s="79"/>
      <c r="S487" s="79"/>
      <c r="V487" s="79"/>
      <c r="W487" s="79"/>
      <c r="Z487" s="130"/>
      <c r="AB487" s="106"/>
    </row>
    <row r="488">
      <c r="C488" s="79"/>
      <c r="D488" s="79"/>
      <c r="E488" s="79"/>
      <c r="M488" s="79"/>
      <c r="R488" s="79"/>
      <c r="S488" s="79"/>
      <c r="V488" s="79"/>
      <c r="W488" s="79"/>
      <c r="Z488" s="130"/>
      <c r="AB488" s="106"/>
    </row>
    <row r="489">
      <c r="C489" s="79"/>
      <c r="D489" s="79"/>
      <c r="E489" s="79"/>
      <c r="M489" s="79"/>
      <c r="R489" s="79"/>
      <c r="S489" s="79"/>
      <c r="V489" s="79"/>
      <c r="W489" s="79"/>
      <c r="Z489" s="130"/>
      <c r="AB489" s="106"/>
    </row>
    <row r="490">
      <c r="C490" s="79"/>
      <c r="D490" s="79"/>
      <c r="E490" s="79"/>
      <c r="M490" s="79"/>
      <c r="R490" s="79"/>
      <c r="S490" s="79"/>
      <c r="V490" s="79"/>
      <c r="W490" s="79"/>
      <c r="Z490" s="130"/>
      <c r="AB490" s="106"/>
    </row>
    <row r="491">
      <c r="C491" s="79"/>
      <c r="D491" s="79"/>
      <c r="E491" s="79"/>
      <c r="M491" s="79"/>
      <c r="R491" s="79"/>
      <c r="S491" s="79"/>
      <c r="V491" s="79"/>
      <c r="W491" s="79"/>
      <c r="Z491" s="130"/>
      <c r="AB491" s="106"/>
    </row>
    <row r="492">
      <c r="C492" s="79"/>
      <c r="D492" s="79"/>
      <c r="E492" s="79"/>
      <c r="M492" s="79"/>
      <c r="R492" s="79"/>
      <c r="S492" s="79"/>
      <c r="V492" s="79"/>
      <c r="W492" s="79"/>
      <c r="Z492" s="130"/>
      <c r="AB492" s="106"/>
    </row>
    <row r="493">
      <c r="C493" s="79"/>
      <c r="D493" s="79"/>
      <c r="E493" s="79"/>
      <c r="M493" s="79"/>
      <c r="R493" s="79"/>
      <c r="S493" s="79"/>
      <c r="V493" s="79"/>
      <c r="W493" s="79"/>
      <c r="Z493" s="130"/>
      <c r="AB493" s="106"/>
    </row>
    <row r="494">
      <c r="C494" s="79"/>
      <c r="D494" s="79"/>
      <c r="E494" s="79"/>
      <c r="M494" s="79"/>
      <c r="R494" s="79"/>
      <c r="S494" s="79"/>
      <c r="V494" s="79"/>
      <c r="W494" s="79"/>
      <c r="Z494" s="130"/>
      <c r="AB494" s="106"/>
    </row>
    <row r="495">
      <c r="C495" s="79"/>
      <c r="D495" s="79"/>
      <c r="E495" s="79"/>
      <c r="M495" s="79"/>
      <c r="R495" s="79"/>
      <c r="S495" s="79"/>
      <c r="V495" s="79"/>
      <c r="W495" s="79"/>
      <c r="Z495" s="130"/>
      <c r="AB495" s="106"/>
    </row>
    <row r="496">
      <c r="C496" s="79"/>
      <c r="D496" s="79"/>
      <c r="E496" s="79"/>
      <c r="M496" s="79"/>
      <c r="R496" s="79"/>
      <c r="S496" s="79"/>
      <c r="V496" s="79"/>
      <c r="W496" s="79"/>
      <c r="Z496" s="130"/>
      <c r="AB496" s="106"/>
    </row>
    <row r="497">
      <c r="C497" s="79"/>
      <c r="D497" s="79"/>
      <c r="E497" s="79"/>
      <c r="M497" s="79"/>
      <c r="R497" s="79"/>
      <c r="S497" s="79"/>
      <c r="V497" s="79"/>
      <c r="W497" s="79"/>
      <c r="Z497" s="130"/>
      <c r="AB497" s="106"/>
    </row>
    <row r="498">
      <c r="C498" s="79"/>
      <c r="D498" s="79"/>
      <c r="E498" s="79"/>
      <c r="M498" s="79"/>
      <c r="R498" s="79"/>
      <c r="S498" s="79"/>
      <c r="V498" s="79"/>
      <c r="W498" s="79"/>
      <c r="Z498" s="130"/>
      <c r="AB498" s="106"/>
    </row>
    <row r="499">
      <c r="C499" s="79"/>
      <c r="D499" s="79"/>
      <c r="E499" s="79"/>
      <c r="M499" s="79"/>
      <c r="R499" s="79"/>
      <c r="S499" s="79"/>
      <c r="V499" s="79"/>
      <c r="W499" s="79"/>
      <c r="Z499" s="130"/>
      <c r="AB499" s="106"/>
    </row>
    <row r="500">
      <c r="C500" s="79"/>
      <c r="D500" s="79"/>
      <c r="E500" s="79"/>
      <c r="M500" s="79"/>
      <c r="R500" s="79"/>
      <c r="S500" s="79"/>
      <c r="V500" s="79"/>
      <c r="W500" s="79"/>
      <c r="Z500" s="130"/>
      <c r="AB500" s="106"/>
    </row>
    <row r="501">
      <c r="C501" s="79"/>
      <c r="D501" s="79"/>
      <c r="E501" s="79"/>
      <c r="M501" s="79"/>
      <c r="R501" s="79"/>
      <c r="S501" s="79"/>
      <c r="V501" s="79"/>
      <c r="W501" s="79"/>
      <c r="Z501" s="130"/>
      <c r="AB501" s="106"/>
    </row>
    <row r="502">
      <c r="C502" s="79"/>
      <c r="D502" s="79"/>
      <c r="E502" s="79"/>
      <c r="M502" s="79"/>
      <c r="R502" s="79"/>
      <c r="S502" s="79"/>
      <c r="V502" s="79"/>
      <c r="W502" s="79"/>
      <c r="Z502" s="130"/>
      <c r="AB502" s="106"/>
    </row>
    <row r="503">
      <c r="C503" s="79"/>
      <c r="D503" s="79"/>
      <c r="E503" s="79"/>
      <c r="M503" s="79"/>
      <c r="R503" s="79"/>
      <c r="S503" s="79"/>
      <c r="V503" s="79"/>
      <c r="W503" s="79"/>
      <c r="Z503" s="130"/>
      <c r="AB503" s="106"/>
    </row>
    <row r="504">
      <c r="C504" s="79"/>
      <c r="D504" s="79"/>
      <c r="E504" s="79"/>
      <c r="M504" s="79"/>
      <c r="R504" s="79"/>
      <c r="S504" s="79"/>
      <c r="V504" s="79"/>
      <c r="W504" s="79"/>
      <c r="Z504" s="130"/>
      <c r="AB504" s="106"/>
    </row>
    <row r="505">
      <c r="C505" s="79"/>
      <c r="D505" s="79"/>
      <c r="E505" s="79"/>
      <c r="M505" s="79"/>
      <c r="R505" s="79"/>
      <c r="S505" s="79"/>
      <c r="V505" s="79"/>
      <c r="W505" s="79"/>
      <c r="Z505" s="130"/>
      <c r="AB505" s="106"/>
    </row>
    <row r="506">
      <c r="C506" s="79"/>
      <c r="D506" s="79"/>
      <c r="E506" s="79"/>
      <c r="M506" s="79"/>
      <c r="R506" s="79"/>
      <c r="S506" s="79"/>
      <c r="V506" s="79"/>
      <c r="W506" s="79"/>
      <c r="Z506" s="130"/>
      <c r="AB506" s="106"/>
    </row>
    <row r="507">
      <c r="C507" s="79"/>
      <c r="D507" s="79"/>
      <c r="E507" s="79"/>
      <c r="M507" s="79"/>
      <c r="R507" s="79"/>
      <c r="S507" s="79"/>
      <c r="V507" s="79"/>
      <c r="W507" s="79"/>
      <c r="Z507" s="130"/>
      <c r="AB507" s="106"/>
    </row>
    <row r="508">
      <c r="C508" s="79"/>
      <c r="D508" s="79"/>
      <c r="E508" s="79"/>
      <c r="M508" s="79"/>
      <c r="R508" s="79"/>
      <c r="S508" s="79"/>
      <c r="V508" s="79"/>
      <c r="W508" s="79"/>
      <c r="Z508" s="130"/>
      <c r="AB508" s="106"/>
    </row>
    <row r="509">
      <c r="C509" s="79"/>
      <c r="D509" s="79"/>
      <c r="E509" s="79"/>
      <c r="M509" s="79"/>
      <c r="R509" s="79"/>
      <c r="S509" s="79"/>
      <c r="V509" s="79"/>
      <c r="W509" s="79"/>
      <c r="Z509" s="130"/>
      <c r="AB509" s="106"/>
    </row>
    <row r="510">
      <c r="C510" s="79"/>
      <c r="D510" s="79"/>
      <c r="E510" s="79"/>
      <c r="M510" s="79"/>
      <c r="R510" s="79"/>
      <c r="S510" s="79"/>
      <c r="V510" s="79"/>
      <c r="W510" s="79"/>
      <c r="Z510" s="130"/>
      <c r="AB510" s="106"/>
    </row>
    <row r="511">
      <c r="C511" s="79"/>
      <c r="D511" s="79"/>
      <c r="E511" s="79"/>
      <c r="M511" s="79"/>
      <c r="R511" s="79"/>
      <c r="S511" s="79"/>
      <c r="V511" s="79"/>
      <c r="W511" s="79"/>
      <c r="Z511" s="130"/>
      <c r="AB511" s="106"/>
    </row>
    <row r="512">
      <c r="C512" s="79"/>
      <c r="D512" s="79"/>
      <c r="E512" s="79"/>
      <c r="M512" s="79"/>
      <c r="R512" s="79"/>
      <c r="S512" s="79"/>
      <c r="V512" s="79"/>
      <c r="W512" s="79"/>
      <c r="Z512" s="130"/>
      <c r="AB512" s="106"/>
    </row>
    <row r="513">
      <c r="C513" s="79"/>
      <c r="D513" s="79"/>
      <c r="E513" s="79"/>
      <c r="M513" s="79"/>
      <c r="R513" s="79"/>
      <c r="S513" s="79"/>
      <c r="V513" s="79"/>
      <c r="W513" s="79"/>
      <c r="Z513" s="130"/>
      <c r="AB513" s="106"/>
    </row>
    <row r="514">
      <c r="C514" s="79"/>
      <c r="D514" s="79"/>
      <c r="E514" s="79"/>
      <c r="M514" s="79"/>
      <c r="R514" s="79"/>
      <c r="S514" s="79"/>
      <c r="V514" s="79"/>
      <c r="W514" s="79"/>
      <c r="Z514" s="130"/>
      <c r="AB514" s="106"/>
    </row>
    <row r="515">
      <c r="C515" s="79"/>
      <c r="D515" s="79"/>
      <c r="E515" s="79"/>
      <c r="M515" s="79"/>
      <c r="R515" s="79"/>
      <c r="S515" s="79"/>
      <c r="V515" s="79"/>
      <c r="W515" s="79"/>
      <c r="Z515" s="130"/>
      <c r="AB515" s="106"/>
    </row>
    <row r="516">
      <c r="C516" s="79"/>
      <c r="D516" s="79"/>
      <c r="E516" s="79"/>
      <c r="M516" s="79"/>
      <c r="R516" s="79"/>
      <c r="S516" s="79"/>
      <c r="V516" s="79"/>
      <c r="W516" s="79"/>
      <c r="Z516" s="130"/>
      <c r="AB516" s="106"/>
    </row>
    <row r="517">
      <c r="C517" s="79"/>
      <c r="D517" s="79"/>
      <c r="E517" s="79"/>
      <c r="M517" s="79"/>
      <c r="R517" s="79"/>
      <c r="S517" s="79"/>
      <c r="V517" s="79"/>
      <c r="W517" s="79"/>
      <c r="Z517" s="130"/>
      <c r="AB517" s="106"/>
    </row>
    <row r="518">
      <c r="C518" s="79"/>
      <c r="D518" s="79"/>
      <c r="E518" s="79"/>
      <c r="M518" s="79"/>
      <c r="R518" s="79"/>
      <c r="S518" s="79"/>
      <c r="V518" s="79"/>
      <c r="W518" s="79"/>
      <c r="Z518" s="130"/>
      <c r="AB518" s="106"/>
    </row>
    <row r="519">
      <c r="C519" s="79"/>
      <c r="D519" s="79"/>
      <c r="E519" s="79"/>
      <c r="M519" s="79"/>
      <c r="R519" s="79"/>
      <c r="S519" s="79"/>
      <c r="V519" s="79"/>
      <c r="W519" s="79"/>
      <c r="Z519" s="130"/>
      <c r="AB519" s="106"/>
    </row>
    <row r="520">
      <c r="C520" s="79"/>
      <c r="D520" s="79"/>
      <c r="E520" s="79"/>
      <c r="M520" s="79"/>
      <c r="R520" s="79"/>
      <c r="S520" s="79"/>
      <c r="V520" s="79"/>
      <c r="W520" s="79"/>
      <c r="Z520" s="130"/>
      <c r="AB520" s="106"/>
    </row>
    <row r="521">
      <c r="C521" s="79"/>
      <c r="D521" s="79"/>
      <c r="E521" s="79"/>
      <c r="M521" s="79"/>
      <c r="R521" s="79"/>
      <c r="S521" s="79"/>
      <c r="V521" s="79"/>
      <c r="W521" s="79"/>
      <c r="Z521" s="130"/>
      <c r="AB521" s="106"/>
    </row>
    <row r="522">
      <c r="C522" s="79"/>
      <c r="D522" s="79"/>
      <c r="E522" s="79"/>
      <c r="M522" s="79"/>
      <c r="R522" s="79"/>
      <c r="S522" s="79"/>
      <c r="V522" s="79"/>
      <c r="W522" s="79"/>
      <c r="Z522" s="130"/>
      <c r="AB522" s="106"/>
    </row>
    <row r="523">
      <c r="C523" s="79"/>
      <c r="D523" s="79"/>
      <c r="E523" s="79"/>
      <c r="M523" s="79"/>
      <c r="R523" s="79"/>
      <c r="S523" s="79"/>
      <c r="V523" s="79"/>
      <c r="W523" s="79"/>
      <c r="Z523" s="130"/>
      <c r="AB523" s="106"/>
    </row>
    <row r="524">
      <c r="C524" s="79"/>
      <c r="D524" s="79"/>
      <c r="E524" s="79"/>
      <c r="M524" s="79"/>
      <c r="R524" s="79"/>
      <c r="S524" s="79"/>
      <c r="V524" s="79"/>
      <c r="W524" s="79"/>
      <c r="Z524" s="130"/>
      <c r="AB524" s="106"/>
    </row>
    <row r="525">
      <c r="C525" s="79"/>
      <c r="D525" s="79"/>
      <c r="E525" s="79"/>
      <c r="M525" s="79"/>
      <c r="R525" s="79"/>
      <c r="S525" s="79"/>
      <c r="V525" s="79"/>
      <c r="W525" s="79"/>
      <c r="Z525" s="130"/>
      <c r="AB525" s="106"/>
    </row>
    <row r="526">
      <c r="C526" s="79"/>
      <c r="D526" s="79"/>
      <c r="E526" s="79"/>
      <c r="M526" s="79"/>
      <c r="R526" s="79"/>
      <c r="S526" s="79"/>
      <c r="V526" s="79"/>
      <c r="W526" s="79"/>
      <c r="Z526" s="130"/>
      <c r="AB526" s="106"/>
    </row>
    <row r="527">
      <c r="C527" s="79"/>
      <c r="D527" s="79"/>
      <c r="E527" s="79"/>
      <c r="M527" s="79"/>
      <c r="R527" s="79"/>
      <c r="S527" s="79"/>
      <c r="V527" s="79"/>
      <c r="W527" s="79"/>
      <c r="Z527" s="130"/>
      <c r="AB527" s="106"/>
    </row>
    <row r="528">
      <c r="C528" s="79"/>
      <c r="D528" s="79"/>
      <c r="E528" s="79"/>
      <c r="M528" s="79"/>
      <c r="R528" s="79"/>
      <c r="S528" s="79"/>
      <c r="V528" s="79"/>
      <c r="W528" s="79"/>
      <c r="Z528" s="130"/>
      <c r="AB528" s="106"/>
    </row>
    <row r="529">
      <c r="C529" s="79"/>
      <c r="D529" s="79"/>
      <c r="E529" s="79"/>
      <c r="M529" s="79"/>
      <c r="R529" s="79"/>
      <c r="S529" s="79"/>
      <c r="V529" s="79"/>
      <c r="W529" s="79"/>
      <c r="Z529" s="130"/>
      <c r="AB529" s="106"/>
    </row>
    <row r="530">
      <c r="C530" s="79"/>
      <c r="D530" s="79"/>
      <c r="E530" s="79"/>
      <c r="M530" s="79"/>
      <c r="R530" s="79"/>
      <c r="S530" s="79"/>
      <c r="V530" s="79"/>
      <c r="W530" s="79"/>
      <c r="Z530" s="130"/>
      <c r="AB530" s="106"/>
    </row>
    <row r="531">
      <c r="C531" s="79"/>
      <c r="D531" s="79"/>
      <c r="E531" s="79"/>
      <c r="M531" s="79"/>
      <c r="R531" s="79"/>
      <c r="S531" s="79"/>
      <c r="V531" s="79"/>
      <c r="W531" s="79"/>
      <c r="Z531" s="130"/>
      <c r="AB531" s="106"/>
    </row>
    <row r="532">
      <c r="C532" s="79"/>
      <c r="D532" s="79"/>
      <c r="E532" s="79"/>
      <c r="M532" s="79"/>
      <c r="R532" s="79"/>
      <c r="S532" s="79"/>
      <c r="V532" s="79"/>
      <c r="W532" s="79"/>
      <c r="Z532" s="130"/>
      <c r="AB532" s="106"/>
    </row>
    <row r="533">
      <c r="C533" s="79"/>
      <c r="D533" s="79"/>
      <c r="E533" s="79"/>
      <c r="M533" s="79"/>
      <c r="R533" s="79"/>
      <c r="S533" s="79"/>
      <c r="V533" s="79"/>
      <c r="W533" s="79"/>
      <c r="Z533" s="130"/>
      <c r="AB533" s="106"/>
    </row>
    <row r="534">
      <c r="C534" s="79"/>
      <c r="D534" s="79"/>
      <c r="E534" s="79"/>
      <c r="M534" s="79"/>
      <c r="R534" s="79"/>
      <c r="S534" s="79"/>
      <c r="V534" s="79"/>
      <c r="W534" s="79"/>
      <c r="Z534" s="130"/>
      <c r="AB534" s="106"/>
    </row>
    <row r="535">
      <c r="C535" s="79"/>
      <c r="D535" s="79"/>
      <c r="E535" s="79"/>
      <c r="M535" s="79"/>
      <c r="R535" s="79"/>
      <c r="S535" s="79"/>
      <c r="V535" s="79"/>
      <c r="W535" s="79"/>
      <c r="Z535" s="130"/>
      <c r="AB535" s="106"/>
    </row>
    <row r="536">
      <c r="C536" s="79"/>
      <c r="D536" s="79"/>
      <c r="E536" s="79"/>
      <c r="M536" s="79"/>
      <c r="R536" s="79"/>
      <c r="S536" s="79"/>
      <c r="V536" s="79"/>
      <c r="W536" s="79"/>
      <c r="Z536" s="130"/>
      <c r="AB536" s="106"/>
    </row>
    <row r="537">
      <c r="C537" s="79"/>
      <c r="D537" s="79"/>
      <c r="E537" s="79"/>
      <c r="M537" s="79"/>
      <c r="R537" s="79"/>
      <c r="S537" s="79"/>
      <c r="V537" s="79"/>
      <c r="W537" s="79"/>
      <c r="Z537" s="130"/>
      <c r="AB537" s="106"/>
    </row>
    <row r="538">
      <c r="C538" s="79"/>
      <c r="D538" s="79"/>
      <c r="E538" s="79"/>
      <c r="M538" s="79"/>
      <c r="R538" s="79"/>
      <c r="S538" s="79"/>
      <c r="V538" s="79"/>
      <c r="W538" s="79"/>
      <c r="Z538" s="130"/>
      <c r="AB538" s="106"/>
    </row>
    <row r="539">
      <c r="C539" s="79"/>
      <c r="D539" s="79"/>
      <c r="E539" s="79"/>
      <c r="M539" s="79"/>
      <c r="R539" s="79"/>
      <c r="S539" s="79"/>
      <c r="V539" s="79"/>
      <c r="W539" s="79"/>
      <c r="Z539" s="130"/>
      <c r="AB539" s="106"/>
    </row>
    <row r="540">
      <c r="C540" s="79"/>
      <c r="D540" s="79"/>
      <c r="E540" s="79"/>
      <c r="M540" s="79"/>
      <c r="R540" s="79"/>
      <c r="S540" s="79"/>
      <c r="V540" s="79"/>
      <c r="W540" s="79"/>
      <c r="Z540" s="130"/>
      <c r="AB540" s="106"/>
    </row>
    <row r="541">
      <c r="C541" s="79"/>
      <c r="D541" s="79"/>
      <c r="E541" s="79"/>
      <c r="M541" s="79"/>
      <c r="R541" s="79"/>
      <c r="S541" s="79"/>
      <c r="V541" s="79"/>
      <c r="W541" s="79"/>
      <c r="Z541" s="130"/>
      <c r="AB541" s="106"/>
    </row>
    <row r="542">
      <c r="C542" s="79"/>
      <c r="D542" s="79"/>
      <c r="E542" s="79"/>
      <c r="M542" s="79"/>
      <c r="R542" s="79"/>
      <c r="S542" s="79"/>
      <c r="V542" s="79"/>
      <c r="W542" s="79"/>
      <c r="Z542" s="130"/>
      <c r="AB542" s="106"/>
    </row>
    <row r="543">
      <c r="C543" s="79"/>
      <c r="D543" s="79"/>
      <c r="E543" s="79"/>
      <c r="M543" s="79"/>
      <c r="R543" s="79"/>
      <c r="S543" s="79"/>
      <c r="V543" s="79"/>
      <c r="W543" s="79"/>
      <c r="Z543" s="130"/>
      <c r="AB543" s="106"/>
    </row>
    <row r="544">
      <c r="C544" s="79"/>
      <c r="D544" s="79"/>
      <c r="E544" s="79"/>
      <c r="M544" s="79"/>
      <c r="R544" s="79"/>
      <c r="S544" s="79"/>
      <c r="V544" s="79"/>
      <c r="W544" s="79"/>
      <c r="Z544" s="130"/>
      <c r="AB544" s="106"/>
    </row>
    <row r="545">
      <c r="C545" s="79"/>
      <c r="D545" s="79"/>
      <c r="E545" s="79"/>
      <c r="M545" s="79"/>
      <c r="R545" s="79"/>
      <c r="S545" s="79"/>
      <c r="V545" s="79"/>
      <c r="W545" s="79"/>
      <c r="Z545" s="130"/>
      <c r="AB545" s="106"/>
    </row>
    <row r="546">
      <c r="C546" s="79"/>
      <c r="D546" s="79"/>
      <c r="E546" s="79"/>
      <c r="M546" s="79"/>
      <c r="R546" s="79"/>
      <c r="S546" s="79"/>
      <c r="V546" s="79"/>
      <c r="W546" s="79"/>
      <c r="Z546" s="130"/>
      <c r="AB546" s="106"/>
    </row>
    <row r="547">
      <c r="C547" s="79"/>
      <c r="D547" s="79"/>
      <c r="E547" s="79"/>
      <c r="M547" s="79"/>
      <c r="R547" s="79"/>
      <c r="S547" s="79"/>
      <c r="V547" s="79"/>
      <c r="W547" s="79"/>
      <c r="Z547" s="130"/>
      <c r="AB547" s="106"/>
    </row>
    <row r="548">
      <c r="C548" s="79"/>
      <c r="D548" s="79"/>
      <c r="E548" s="79"/>
      <c r="M548" s="79"/>
      <c r="R548" s="79"/>
      <c r="S548" s="79"/>
      <c r="V548" s="79"/>
      <c r="W548" s="79"/>
      <c r="Z548" s="130"/>
      <c r="AB548" s="106"/>
    </row>
    <row r="549">
      <c r="C549" s="79"/>
      <c r="D549" s="79"/>
      <c r="E549" s="79"/>
      <c r="M549" s="79"/>
      <c r="R549" s="79"/>
      <c r="S549" s="79"/>
      <c r="V549" s="79"/>
      <c r="W549" s="79"/>
      <c r="Z549" s="130"/>
      <c r="AB549" s="106"/>
    </row>
    <row r="550">
      <c r="C550" s="79"/>
      <c r="D550" s="79"/>
      <c r="E550" s="79"/>
      <c r="M550" s="79"/>
      <c r="R550" s="79"/>
      <c r="S550" s="79"/>
      <c r="V550" s="79"/>
      <c r="W550" s="79"/>
      <c r="Z550" s="130"/>
      <c r="AB550" s="106"/>
    </row>
    <row r="551">
      <c r="C551" s="79"/>
      <c r="D551" s="79"/>
      <c r="E551" s="79"/>
      <c r="M551" s="79"/>
      <c r="R551" s="79"/>
      <c r="S551" s="79"/>
      <c r="V551" s="79"/>
      <c r="W551" s="79"/>
      <c r="Z551" s="130"/>
      <c r="AB551" s="106"/>
    </row>
    <row r="552">
      <c r="C552" s="79"/>
      <c r="D552" s="79"/>
      <c r="E552" s="79"/>
      <c r="M552" s="79"/>
      <c r="R552" s="79"/>
      <c r="S552" s="79"/>
      <c r="V552" s="79"/>
      <c r="W552" s="79"/>
      <c r="Z552" s="130"/>
      <c r="AB552" s="106"/>
    </row>
    <row r="553">
      <c r="C553" s="79"/>
      <c r="D553" s="79"/>
      <c r="E553" s="79"/>
      <c r="M553" s="79"/>
      <c r="R553" s="79"/>
      <c r="S553" s="79"/>
      <c r="V553" s="79"/>
      <c r="W553" s="79"/>
      <c r="Z553" s="130"/>
      <c r="AB553" s="106"/>
    </row>
    <row r="554">
      <c r="C554" s="79"/>
      <c r="D554" s="79"/>
      <c r="E554" s="79"/>
      <c r="M554" s="79"/>
      <c r="R554" s="79"/>
      <c r="S554" s="79"/>
      <c r="V554" s="79"/>
      <c r="W554" s="79"/>
      <c r="Z554" s="130"/>
      <c r="AB554" s="106"/>
    </row>
    <row r="555">
      <c r="C555" s="79"/>
      <c r="D555" s="79"/>
      <c r="E555" s="79"/>
      <c r="M555" s="79"/>
      <c r="R555" s="79"/>
      <c r="S555" s="79"/>
      <c r="V555" s="79"/>
      <c r="W555" s="79"/>
      <c r="Z555" s="130"/>
      <c r="AB555" s="106"/>
    </row>
    <row r="556">
      <c r="C556" s="79"/>
      <c r="D556" s="79"/>
      <c r="E556" s="79"/>
      <c r="M556" s="79"/>
      <c r="R556" s="79"/>
      <c r="S556" s="79"/>
      <c r="V556" s="79"/>
      <c r="W556" s="79"/>
      <c r="Z556" s="130"/>
      <c r="AB556" s="106"/>
    </row>
    <row r="557">
      <c r="C557" s="79"/>
      <c r="D557" s="79"/>
      <c r="E557" s="79"/>
      <c r="M557" s="79"/>
      <c r="R557" s="79"/>
      <c r="S557" s="79"/>
      <c r="V557" s="79"/>
      <c r="W557" s="79"/>
      <c r="Z557" s="130"/>
      <c r="AB557" s="106"/>
    </row>
    <row r="558">
      <c r="C558" s="79"/>
      <c r="D558" s="79"/>
      <c r="E558" s="79"/>
      <c r="M558" s="79"/>
      <c r="R558" s="79"/>
      <c r="S558" s="79"/>
      <c r="V558" s="79"/>
      <c r="W558" s="79"/>
      <c r="Z558" s="130"/>
      <c r="AB558" s="106"/>
    </row>
    <row r="559">
      <c r="C559" s="79"/>
      <c r="D559" s="79"/>
      <c r="E559" s="79"/>
      <c r="M559" s="79"/>
      <c r="R559" s="79"/>
      <c r="S559" s="79"/>
      <c r="V559" s="79"/>
      <c r="W559" s="79"/>
      <c r="Z559" s="130"/>
      <c r="AB559" s="106"/>
    </row>
    <row r="560">
      <c r="C560" s="79"/>
      <c r="D560" s="79"/>
      <c r="E560" s="79"/>
      <c r="M560" s="79"/>
      <c r="R560" s="79"/>
      <c r="S560" s="79"/>
      <c r="V560" s="79"/>
      <c r="W560" s="79"/>
      <c r="Z560" s="130"/>
      <c r="AB560" s="106"/>
    </row>
    <row r="561">
      <c r="C561" s="79"/>
      <c r="D561" s="79"/>
      <c r="E561" s="79"/>
      <c r="M561" s="79"/>
      <c r="R561" s="79"/>
      <c r="S561" s="79"/>
      <c r="V561" s="79"/>
      <c r="W561" s="79"/>
      <c r="Z561" s="130"/>
      <c r="AB561" s="106"/>
    </row>
    <row r="562">
      <c r="C562" s="79"/>
      <c r="D562" s="79"/>
      <c r="E562" s="79"/>
      <c r="M562" s="79"/>
      <c r="R562" s="79"/>
      <c r="S562" s="79"/>
      <c r="V562" s="79"/>
      <c r="W562" s="79"/>
      <c r="Z562" s="130"/>
      <c r="AB562" s="106"/>
    </row>
    <row r="563">
      <c r="C563" s="79"/>
      <c r="D563" s="79"/>
      <c r="E563" s="79"/>
      <c r="M563" s="79"/>
      <c r="R563" s="79"/>
      <c r="S563" s="79"/>
      <c r="V563" s="79"/>
      <c r="W563" s="79"/>
      <c r="Z563" s="130"/>
      <c r="AB563" s="106"/>
    </row>
    <row r="564">
      <c r="C564" s="79"/>
      <c r="D564" s="79"/>
      <c r="E564" s="79"/>
      <c r="M564" s="79"/>
      <c r="R564" s="79"/>
      <c r="S564" s="79"/>
      <c r="V564" s="79"/>
      <c r="W564" s="79"/>
      <c r="Z564" s="130"/>
      <c r="AB564" s="106"/>
    </row>
    <row r="565">
      <c r="C565" s="79"/>
      <c r="D565" s="79"/>
      <c r="E565" s="79"/>
      <c r="M565" s="79"/>
      <c r="R565" s="79"/>
      <c r="S565" s="79"/>
      <c r="V565" s="79"/>
      <c r="W565" s="79"/>
      <c r="Z565" s="130"/>
      <c r="AB565" s="106"/>
    </row>
    <row r="566">
      <c r="C566" s="79"/>
      <c r="D566" s="79"/>
      <c r="E566" s="79"/>
      <c r="M566" s="79"/>
      <c r="R566" s="79"/>
      <c r="S566" s="79"/>
      <c r="V566" s="79"/>
      <c r="W566" s="79"/>
      <c r="Z566" s="130"/>
      <c r="AB566" s="106"/>
    </row>
    <row r="567">
      <c r="C567" s="79"/>
      <c r="D567" s="79"/>
      <c r="E567" s="79"/>
      <c r="M567" s="79"/>
      <c r="R567" s="79"/>
      <c r="S567" s="79"/>
      <c r="V567" s="79"/>
      <c r="W567" s="79"/>
      <c r="Z567" s="130"/>
      <c r="AB567" s="106"/>
    </row>
    <row r="568">
      <c r="C568" s="79"/>
      <c r="D568" s="79"/>
      <c r="E568" s="79"/>
      <c r="M568" s="79"/>
      <c r="R568" s="79"/>
      <c r="S568" s="79"/>
      <c r="V568" s="79"/>
      <c r="W568" s="79"/>
      <c r="Z568" s="130"/>
      <c r="AB568" s="106"/>
    </row>
    <row r="569">
      <c r="C569" s="79"/>
      <c r="D569" s="79"/>
      <c r="E569" s="79"/>
      <c r="M569" s="79"/>
      <c r="R569" s="79"/>
      <c r="S569" s="79"/>
      <c r="V569" s="79"/>
      <c r="W569" s="79"/>
      <c r="Z569" s="130"/>
      <c r="AB569" s="106"/>
    </row>
    <row r="570">
      <c r="C570" s="79"/>
      <c r="D570" s="79"/>
      <c r="E570" s="79"/>
      <c r="M570" s="79"/>
      <c r="R570" s="79"/>
      <c r="S570" s="79"/>
      <c r="V570" s="79"/>
      <c r="W570" s="79"/>
      <c r="Z570" s="130"/>
      <c r="AB570" s="106"/>
    </row>
    <row r="571">
      <c r="C571" s="79"/>
      <c r="D571" s="79"/>
      <c r="E571" s="79"/>
      <c r="M571" s="79"/>
      <c r="R571" s="79"/>
      <c r="S571" s="79"/>
      <c r="V571" s="79"/>
      <c r="W571" s="79"/>
      <c r="Z571" s="130"/>
      <c r="AB571" s="106"/>
    </row>
    <row r="572">
      <c r="C572" s="79"/>
      <c r="D572" s="79"/>
      <c r="E572" s="79"/>
      <c r="M572" s="79"/>
      <c r="R572" s="79"/>
      <c r="S572" s="79"/>
      <c r="V572" s="79"/>
      <c r="W572" s="79"/>
      <c r="Z572" s="130"/>
      <c r="AB572" s="106"/>
    </row>
    <row r="573">
      <c r="C573" s="79"/>
      <c r="D573" s="79"/>
      <c r="E573" s="79"/>
      <c r="M573" s="79"/>
      <c r="R573" s="79"/>
      <c r="S573" s="79"/>
      <c r="V573" s="79"/>
      <c r="W573" s="79"/>
      <c r="Z573" s="130"/>
      <c r="AB573" s="106"/>
    </row>
    <row r="574">
      <c r="C574" s="79"/>
      <c r="D574" s="79"/>
      <c r="E574" s="79"/>
      <c r="M574" s="79"/>
      <c r="R574" s="79"/>
      <c r="S574" s="79"/>
      <c r="V574" s="79"/>
      <c r="W574" s="79"/>
      <c r="Z574" s="130"/>
      <c r="AB574" s="106"/>
    </row>
    <row r="575">
      <c r="C575" s="79"/>
      <c r="D575" s="79"/>
      <c r="E575" s="79"/>
      <c r="M575" s="79"/>
      <c r="R575" s="79"/>
      <c r="S575" s="79"/>
      <c r="V575" s="79"/>
      <c r="W575" s="79"/>
      <c r="Z575" s="130"/>
      <c r="AB575" s="106"/>
    </row>
    <row r="576">
      <c r="C576" s="79"/>
      <c r="D576" s="79"/>
      <c r="E576" s="79"/>
      <c r="M576" s="79"/>
      <c r="R576" s="79"/>
      <c r="S576" s="79"/>
      <c r="V576" s="79"/>
      <c r="W576" s="79"/>
      <c r="Z576" s="130"/>
      <c r="AB576" s="106"/>
    </row>
    <row r="577">
      <c r="C577" s="79"/>
      <c r="D577" s="79"/>
      <c r="E577" s="79"/>
      <c r="M577" s="79"/>
      <c r="R577" s="79"/>
      <c r="S577" s="79"/>
      <c r="V577" s="79"/>
      <c r="W577" s="79"/>
      <c r="Z577" s="130"/>
      <c r="AB577" s="106"/>
    </row>
    <row r="578">
      <c r="C578" s="79"/>
      <c r="D578" s="79"/>
      <c r="E578" s="79"/>
      <c r="M578" s="79"/>
      <c r="R578" s="79"/>
      <c r="S578" s="79"/>
      <c r="V578" s="79"/>
      <c r="W578" s="79"/>
      <c r="Z578" s="130"/>
      <c r="AB578" s="106"/>
    </row>
    <row r="579">
      <c r="C579" s="79"/>
      <c r="D579" s="79"/>
      <c r="E579" s="79"/>
      <c r="M579" s="79"/>
      <c r="R579" s="79"/>
      <c r="S579" s="79"/>
      <c r="V579" s="79"/>
      <c r="W579" s="79"/>
      <c r="Z579" s="130"/>
      <c r="AB579" s="106"/>
    </row>
    <row r="580">
      <c r="C580" s="79"/>
      <c r="D580" s="79"/>
      <c r="E580" s="79"/>
      <c r="M580" s="79"/>
      <c r="R580" s="79"/>
      <c r="S580" s="79"/>
      <c r="V580" s="79"/>
      <c r="W580" s="79"/>
      <c r="Z580" s="130"/>
      <c r="AB580" s="106"/>
    </row>
    <row r="581">
      <c r="C581" s="79"/>
      <c r="D581" s="79"/>
      <c r="E581" s="79"/>
      <c r="M581" s="79"/>
      <c r="R581" s="79"/>
      <c r="S581" s="79"/>
      <c r="V581" s="79"/>
      <c r="W581" s="79"/>
      <c r="Z581" s="130"/>
      <c r="AB581" s="106"/>
    </row>
    <row r="582">
      <c r="C582" s="79"/>
      <c r="D582" s="79"/>
      <c r="E582" s="79"/>
      <c r="M582" s="79"/>
      <c r="R582" s="79"/>
      <c r="S582" s="79"/>
      <c r="V582" s="79"/>
      <c r="W582" s="79"/>
      <c r="Z582" s="130"/>
      <c r="AB582" s="106"/>
    </row>
    <row r="583">
      <c r="C583" s="79"/>
      <c r="D583" s="79"/>
      <c r="E583" s="79"/>
      <c r="M583" s="79"/>
      <c r="R583" s="79"/>
      <c r="S583" s="79"/>
      <c r="V583" s="79"/>
      <c r="W583" s="79"/>
      <c r="Z583" s="130"/>
      <c r="AB583" s="106"/>
    </row>
    <row r="584">
      <c r="C584" s="79"/>
      <c r="D584" s="79"/>
      <c r="E584" s="79"/>
      <c r="M584" s="79"/>
      <c r="R584" s="79"/>
      <c r="S584" s="79"/>
      <c r="V584" s="79"/>
      <c r="W584" s="79"/>
      <c r="Z584" s="130"/>
      <c r="AB584" s="106"/>
    </row>
    <row r="585">
      <c r="C585" s="79"/>
      <c r="D585" s="79"/>
      <c r="E585" s="79"/>
      <c r="M585" s="79"/>
      <c r="R585" s="79"/>
      <c r="S585" s="79"/>
      <c r="V585" s="79"/>
      <c r="W585" s="79"/>
      <c r="Z585" s="130"/>
      <c r="AB585" s="106"/>
    </row>
    <row r="586">
      <c r="C586" s="79"/>
      <c r="D586" s="79"/>
      <c r="E586" s="79"/>
      <c r="M586" s="79"/>
      <c r="R586" s="79"/>
      <c r="S586" s="79"/>
      <c r="V586" s="79"/>
      <c r="W586" s="79"/>
      <c r="Z586" s="130"/>
      <c r="AB586" s="106"/>
    </row>
    <row r="587">
      <c r="C587" s="79"/>
      <c r="D587" s="79"/>
      <c r="E587" s="79"/>
      <c r="M587" s="79"/>
      <c r="R587" s="79"/>
      <c r="S587" s="79"/>
      <c r="V587" s="79"/>
      <c r="W587" s="79"/>
      <c r="Z587" s="130"/>
      <c r="AB587" s="106"/>
    </row>
    <row r="588">
      <c r="C588" s="79"/>
      <c r="D588" s="79"/>
      <c r="E588" s="79"/>
      <c r="M588" s="79"/>
      <c r="R588" s="79"/>
      <c r="S588" s="79"/>
      <c r="V588" s="79"/>
      <c r="W588" s="79"/>
      <c r="Z588" s="130"/>
      <c r="AB588" s="106"/>
    </row>
    <row r="589">
      <c r="C589" s="79"/>
      <c r="D589" s="79"/>
      <c r="E589" s="79"/>
      <c r="M589" s="79"/>
      <c r="R589" s="79"/>
      <c r="S589" s="79"/>
      <c r="V589" s="79"/>
      <c r="W589" s="79"/>
      <c r="Z589" s="130"/>
      <c r="AB589" s="106"/>
    </row>
    <row r="590">
      <c r="C590" s="79"/>
      <c r="D590" s="79"/>
      <c r="E590" s="79"/>
      <c r="M590" s="79"/>
      <c r="R590" s="79"/>
      <c r="S590" s="79"/>
      <c r="V590" s="79"/>
      <c r="W590" s="79"/>
      <c r="Z590" s="130"/>
      <c r="AB590" s="106"/>
    </row>
    <row r="591">
      <c r="C591" s="79"/>
      <c r="D591" s="79"/>
      <c r="E591" s="79"/>
      <c r="M591" s="79"/>
      <c r="R591" s="79"/>
      <c r="S591" s="79"/>
      <c r="V591" s="79"/>
      <c r="W591" s="79"/>
      <c r="Z591" s="130"/>
      <c r="AB591" s="106"/>
    </row>
    <row r="592">
      <c r="C592" s="79"/>
      <c r="D592" s="79"/>
      <c r="E592" s="79"/>
      <c r="M592" s="79"/>
      <c r="R592" s="79"/>
      <c r="S592" s="79"/>
      <c r="V592" s="79"/>
      <c r="W592" s="79"/>
      <c r="Z592" s="130"/>
      <c r="AB592" s="106"/>
    </row>
    <row r="593">
      <c r="C593" s="79"/>
      <c r="D593" s="79"/>
      <c r="E593" s="79"/>
      <c r="M593" s="79"/>
      <c r="R593" s="79"/>
      <c r="S593" s="79"/>
      <c r="V593" s="79"/>
      <c r="W593" s="79"/>
      <c r="Z593" s="130"/>
      <c r="AB593" s="106"/>
    </row>
    <row r="594">
      <c r="C594" s="79"/>
      <c r="D594" s="79"/>
      <c r="E594" s="79"/>
      <c r="M594" s="79"/>
      <c r="R594" s="79"/>
      <c r="S594" s="79"/>
      <c r="V594" s="79"/>
      <c r="W594" s="79"/>
      <c r="Z594" s="130"/>
      <c r="AB594" s="106"/>
    </row>
    <row r="595">
      <c r="C595" s="79"/>
      <c r="D595" s="79"/>
      <c r="E595" s="79"/>
      <c r="M595" s="79"/>
      <c r="R595" s="79"/>
      <c r="S595" s="79"/>
      <c r="V595" s="79"/>
      <c r="W595" s="79"/>
      <c r="Z595" s="130"/>
      <c r="AB595" s="106"/>
    </row>
    <row r="596">
      <c r="C596" s="79"/>
      <c r="D596" s="79"/>
      <c r="E596" s="79"/>
      <c r="M596" s="79"/>
      <c r="R596" s="79"/>
      <c r="S596" s="79"/>
      <c r="V596" s="79"/>
      <c r="W596" s="79"/>
      <c r="Z596" s="130"/>
      <c r="AB596" s="106"/>
    </row>
    <row r="597">
      <c r="C597" s="79"/>
      <c r="D597" s="79"/>
      <c r="E597" s="79"/>
      <c r="M597" s="79"/>
      <c r="R597" s="79"/>
      <c r="S597" s="79"/>
      <c r="V597" s="79"/>
      <c r="W597" s="79"/>
      <c r="Z597" s="130"/>
      <c r="AB597" s="106"/>
    </row>
    <row r="598">
      <c r="C598" s="79"/>
      <c r="D598" s="79"/>
      <c r="E598" s="79"/>
      <c r="M598" s="79"/>
      <c r="R598" s="79"/>
      <c r="S598" s="79"/>
      <c r="V598" s="79"/>
      <c r="W598" s="79"/>
      <c r="Z598" s="130"/>
      <c r="AB598" s="106"/>
    </row>
    <row r="599">
      <c r="C599" s="79"/>
      <c r="D599" s="79"/>
      <c r="E599" s="79"/>
      <c r="M599" s="79"/>
      <c r="R599" s="79"/>
      <c r="S599" s="79"/>
      <c r="V599" s="79"/>
      <c r="W599" s="79"/>
      <c r="Z599" s="130"/>
      <c r="AB599" s="106"/>
    </row>
    <row r="600">
      <c r="C600" s="79"/>
      <c r="D600" s="79"/>
      <c r="E600" s="79"/>
      <c r="M600" s="79"/>
      <c r="R600" s="79"/>
      <c r="S600" s="79"/>
      <c r="V600" s="79"/>
      <c r="W600" s="79"/>
      <c r="Z600" s="130"/>
      <c r="AB600" s="106"/>
    </row>
    <row r="601">
      <c r="C601" s="79"/>
      <c r="D601" s="79"/>
      <c r="E601" s="79"/>
      <c r="M601" s="79"/>
      <c r="R601" s="79"/>
      <c r="S601" s="79"/>
      <c r="V601" s="79"/>
      <c r="W601" s="79"/>
      <c r="Z601" s="130"/>
      <c r="AB601" s="106"/>
    </row>
    <row r="602">
      <c r="C602" s="79"/>
      <c r="D602" s="79"/>
      <c r="E602" s="79"/>
      <c r="M602" s="79"/>
      <c r="R602" s="79"/>
      <c r="S602" s="79"/>
      <c r="V602" s="79"/>
      <c r="W602" s="79"/>
      <c r="Z602" s="130"/>
      <c r="AB602" s="106"/>
    </row>
    <row r="603">
      <c r="C603" s="79"/>
      <c r="D603" s="79"/>
      <c r="E603" s="79"/>
      <c r="M603" s="79"/>
      <c r="R603" s="79"/>
      <c r="S603" s="79"/>
      <c r="V603" s="79"/>
      <c r="W603" s="79"/>
      <c r="Z603" s="130"/>
      <c r="AB603" s="106"/>
    </row>
    <row r="604">
      <c r="C604" s="79"/>
      <c r="D604" s="79"/>
      <c r="E604" s="79"/>
      <c r="M604" s="79"/>
      <c r="R604" s="79"/>
      <c r="S604" s="79"/>
      <c r="V604" s="79"/>
      <c r="W604" s="79"/>
      <c r="Z604" s="130"/>
      <c r="AB604" s="106"/>
    </row>
    <row r="605">
      <c r="C605" s="79"/>
      <c r="D605" s="79"/>
      <c r="E605" s="79"/>
      <c r="M605" s="79"/>
      <c r="R605" s="79"/>
      <c r="S605" s="79"/>
      <c r="V605" s="79"/>
      <c r="W605" s="79"/>
      <c r="Z605" s="130"/>
      <c r="AB605" s="106"/>
    </row>
    <row r="606">
      <c r="C606" s="79"/>
      <c r="D606" s="79"/>
      <c r="E606" s="79"/>
      <c r="M606" s="79"/>
      <c r="R606" s="79"/>
      <c r="S606" s="79"/>
      <c r="V606" s="79"/>
      <c r="W606" s="79"/>
      <c r="Z606" s="130"/>
      <c r="AB606" s="106"/>
    </row>
    <row r="607">
      <c r="C607" s="79"/>
      <c r="D607" s="79"/>
      <c r="E607" s="79"/>
      <c r="M607" s="79"/>
      <c r="R607" s="79"/>
      <c r="S607" s="79"/>
      <c r="V607" s="79"/>
      <c r="W607" s="79"/>
      <c r="Z607" s="130"/>
      <c r="AB607" s="106"/>
    </row>
    <row r="608">
      <c r="C608" s="79"/>
      <c r="D608" s="79"/>
      <c r="E608" s="79"/>
      <c r="M608" s="79"/>
      <c r="R608" s="79"/>
      <c r="S608" s="79"/>
      <c r="V608" s="79"/>
      <c r="W608" s="79"/>
      <c r="Z608" s="130"/>
      <c r="AB608" s="106"/>
    </row>
    <row r="609">
      <c r="C609" s="79"/>
      <c r="D609" s="79"/>
      <c r="E609" s="79"/>
      <c r="M609" s="79"/>
      <c r="R609" s="79"/>
      <c r="S609" s="79"/>
      <c r="V609" s="79"/>
      <c r="W609" s="79"/>
      <c r="Z609" s="130"/>
      <c r="AB609" s="106"/>
    </row>
    <row r="610">
      <c r="C610" s="79"/>
      <c r="D610" s="79"/>
      <c r="E610" s="79"/>
      <c r="M610" s="79"/>
      <c r="R610" s="79"/>
      <c r="S610" s="79"/>
      <c r="V610" s="79"/>
      <c r="W610" s="79"/>
      <c r="Z610" s="130"/>
      <c r="AB610" s="106"/>
    </row>
    <row r="611">
      <c r="C611" s="79"/>
      <c r="D611" s="79"/>
      <c r="E611" s="79"/>
      <c r="M611" s="79"/>
      <c r="R611" s="79"/>
      <c r="S611" s="79"/>
      <c r="V611" s="79"/>
      <c r="W611" s="79"/>
      <c r="Z611" s="130"/>
      <c r="AB611" s="106"/>
    </row>
    <row r="612">
      <c r="C612" s="79"/>
      <c r="D612" s="79"/>
      <c r="E612" s="79"/>
      <c r="M612" s="79"/>
      <c r="R612" s="79"/>
      <c r="S612" s="79"/>
      <c r="V612" s="79"/>
      <c r="W612" s="79"/>
      <c r="Z612" s="130"/>
      <c r="AB612" s="106"/>
    </row>
    <row r="613">
      <c r="C613" s="79"/>
      <c r="D613" s="79"/>
      <c r="E613" s="79"/>
      <c r="M613" s="79"/>
      <c r="R613" s="79"/>
      <c r="S613" s="79"/>
      <c r="V613" s="79"/>
      <c r="W613" s="79"/>
      <c r="Z613" s="130"/>
      <c r="AB613" s="106"/>
    </row>
    <row r="614">
      <c r="C614" s="79"/>
      <c r="D614" s="79"/>
      <c r="E614" s="79"/>
      <c r="M614" s="79"/>
      <c r="R614" s="79"/>
      <c r="S614" s="79"/>
      <c r="V614" s="79"/>
      <c r="W614" s="79"/>
      <c r="Z614" s="130"/>
      <c r="AB614" s="106"/>
    </row>
    <row r="615">
      <c r="C615" s="79"/>
      <c r="D615" s="79"/>
      <c r="E615" s="79"/>
      <c r="M615" s="79"/>
      <c r="R615" s="79"/>
      <c r="S615" s="79"/>
      <c r="V615" s="79"/>
      <c r="W615" s="79"/>
      <c r="Z615" s="130"/>
      <c r="AB615" s="106"/>
    </row>
    <row r="616">
      <c r="C616" s="79"/>
      <c r="D616" s="79"/>
      <c r="E616" s="79"/>
      <c r="M616" s="79"/>
      <c r="R616" s="79"/>
      <c r="S616" s="79"/>
      <c r="V616" s="79"/>
      <c r="W616" s="79"/>
      <c r="Z616" s="130"/>
      <c r="AB616" s="106"/>
    </row>
    <row r="617">
      <c r="C617" s="79"/>
      <c r="D617" s="79"/>
      <c r="E617" s="79"/>
      <c r="M617" s="79"/>
      <c r="R617" s="79"/>
      <c r="S617" s="79"/>
      <c r="V617" s="79"/>
      <c r="W617" s="79"/>
      <c r="Z617" s="130"/>
      <c r="AB617" s="106"/>
    </row>
    <row r="618">
      <c r="C618" s="79"/>
      <c r="D618" s="79"/>
      <c r="E618" s="79"/>
      <c r="M618" s="79"/>
      <c r="R618" s="79"/>
      <c r="S618" s="79"/>
      <c r="V618" s="79"/>
      <c r="W618" s="79"/>
      <c r="Z618" s="130"/>
      <c r="AB618" s="106"/>
    </row>
    <row r="619">
      <c r="C619" s="79"/>
      <c r="D619" s="79"/>
      <c r="E619" s="79"/>
      <c r="M619" s="79"/>
      <c r="R619" s="79"/>
      <c r="S619" s="79"/>
      <c r="V619" s="79"/>
      <c r="W619" s="79"/>
      <c r="Z619" s="130"/>
      <c r="AB619" s="106"/>
    </row>
    <row r="620">
      <c r="C620" s="79"/>
      <c r="D620" s="79"/>
      <c r="E620" s="79"/>
      <c r="M620" s="79"/>
      <c r="R620" s="79"/>
      <c r="S620" s="79"/>
      <c r="V620" s="79"/>
      <c r="W620" s="79"/>
      <c r="Z620" s="130"/>
      <c r="AB620" s="106"/>
    </row>
    <row r="621">
      <c r="C621" s="79"/>
      <c r="D621" s="79"/>
      <c r="E621" s="79"/>
      <c r="M621" s="79"/>
      <c r="R621" s="79"/>
      <c r="S621" s="79"/>
      <c r="V621" s="79"/>
      <c r="W621" s="79"/>
      <c r="Z621" s="130"/>
      <c r="AB621" s="106"/>
    </row>
    <row r="622">
      <c r="C622" s="79"/>
      <c r="D622" s="79"/>
      <c r="E622" s="79"/>
      <c r="M622" s="79"/>
      <c r="R622" s="79"/>
      <c r="S622" s="79"/>
      <c r="V622" s="79"/>
      <c r="W622" s="79"/>
      <c r="Z622" s="130"/>
      <c r="AB622" s="106"/>
    </row>
    <row r="623">
      <c r="C623" s="79"/>
      <c r="D623" s="79"/>
      <c r="E623" s="79"/>
      <c r="M623" s="79"/>
      <c r="R623" s="79"/>
      <c r="S623" s="79"/>
      <c r="V623" s="79"/>
      <c r="W623" s="79"/>
      <c r="Z623" s="130"/>
      <c r="AB623" s="106"/>
    </row>
    <row r="624">
      <c r="C624" s="79"/>
      <c r="D624" s="79"/>
      <c r="E624" s="79"/>
      <c r="M624" s="79"/>
      <c r="R624" s="79"/>
      <c r="S624" s="79"/>
      <c r="V624" s="79"/>
      <c r="W624" s="79"/>
      <c r="Z624" s="130"/>
      <c r="AB624" s="106"/>
    </row>
    <row r="625">
      <c r="C625" s="79"/>
      <c r="D625" s="79"/>
      <c r="E625" s="79"/>
      <c r="M625" s="79"/>
      <c r="R625" s="79"/>
      <c r="S625" s="79"/>
      <c r="V625" s="79"/>
      <c r="W625" s="79"/>
      <c r="Z625" s="130"/>
      <c r="AB625" s="106"/>
    </row>
    <row r="626">
      <c r="C626" s="79"/>
      <c r="D626" s="79"/>
      <c r="E626" s="79"/>
      <c r="M626" s="79"/>
      <c r="R626" s="79"/>
      <c r="S626" s="79"/>
      <c r="V626" s="79"/>
      <c r="W626" s="79"/>
      <c r="Z626" s="130"/>
      <c r="AB626" s="106"/>
    </row>
    <row r="627">
      <c r="C627" s="79"/>
      <c r="D627" s="79"/>
      <c r="E627" s="79"/>
      <c r="M627" s="79"/>
      <c r="R627" s="79"/>
      <c r="S627" s="79"/>
      <c r="V627" s="79"/>
      <c r="W627" s="79"/>
      <c r="Z627" s="130"/>
      <c r="AB627" s="106"/>
    </row>
    <row r="628">
      <c r="C628" s="79"/>
      <c r="D628" s="79"/>
      <c r="E628" s="79"/>
      <c r="M628" s="79"/>
      <c r="R628" s="79"/>
      <c r="S628" s="79"/>
      <c r="V628" s="79"/>
      <c r="W628" s="79"/>
      <c r="Z628" s="130"/>
      <c r="AB628" s="106"/>
    </row>
    <row r="629">
      <c r="C629" s="79"/>
      <c r="D629" s="79"/>
      <c r="E629" s="79"/>
      <c r="M629" s="79"/>
      <c r="R629" s="79"/>
      <c r="S629" s="79"/>
      <c r="V629" s="79"/>
      <c r="W629" s="79"/>
      <c r="Z629" s="130"/>
      <c r="AB629" s="106"/>
    </row>
    <row r="630">
      <c r="C630" s="79"/>
      <c r="D630" s="79"/>
      <c r="E630" s="79"/>
      <c r="M630" s="79"/>
      <c r="R630" s="79"/>
      <c r="S630" s="79"/>
      <c r="V630" s="79"/>
      <c r="W630" s="79"/>
      <c r="Z630" s="130"/>
      <c r="AB630" s="106"/>
    </row>
    <row r="631">
      <c r="C631" s="79"/>
      <c r="D631" s="79"/>
      <c r="E631" s="79"/>
      <c r="M631" s="79"/>
      <c r="R631" s="79"/>
      <c r="S631" s="79"/>
      <c r="V631" s="79"/>
      <c r="W631" s="79"/>
      <c r="Z631" s="130"/>
      <c r="AB631" s="106"/>
    </row>
    <row r="632">
      <c r="C632" s="79"/>
      <c r="D632" s="79"/>
      <c r="E632" s="79"/>
      <c r="M632" s="79"/>
      <c r="R632" s="79"/>
      <c r="S632" s="79"/>
      <c r="V632" s="79"/>
      <c r="W632" s="79"/>
      <c r="Z632" s="130"/>
      <c r="AB632" s="106"/>
    </row>
    <row r="633">
      <c r="C633" s="79"/>
      <c r="D633" s="79"/>
      <c r="E633" s="79"/>
      <c r="M633" s="79"/>
      <c r="R633" s="79"/>
      <c r="S633" s="79"/>
      <c r="V633" s="79"/>
      <c r="W633" s="79"/>
      <c r="Z633" s="130"/>
      <c r="AB633" s="106"/>
    </row>
    <row r="634">
      <c r="C634" s="79"/>
      <c r="D634" s="79"/>
      <c r="E634" s="79"/>
      <c r="M634" s="79"/>
      <c r="R634" s="79"/>
      <c r="S634" s="79"/>
      <c r="V634" s="79"/>
      <c r="W634" s="79"/>
      <c r="Z634" s="130"/>
      <c r="AB634" s="106"/>
    </row>
    <row r="635">
      <c r="C635" s="79"/>
      <c r="D635" s="79"/>
      <c r="E635" s="79"/>
      <c r="M635" s="79"/>
      <c r="R635" s="79"/>
      <c r="S635" s="79"/>
      <c r="V635" s="79"/>
      <c r="W635" s="79"/>
      <c r="Z635" s="130"/>
      <c r="AB635" s="106"/>
    </row>
    <row r="636">
      <c r="C636" s="79"/>
      <c r="D636" s="79"/>
      <c r="E636" s="79"/>
      <c r="M636" s="79"/>
      <c r="R636" s="79"/>
      <c r="S636" s="79"/>
      <c r="V636" s="79"/>
      <c r="W636" s="79"/>
      <c r="Z636" s="130"/>
      <c r="AB636" s="106"/>
    </row>
    <row r="637">
      <c r="C637" s="79"/>
      <c r="D637" s="79"/>
      <c r="E637" s="79"/>
      <c r="M637" s="79"/>
      <c r="R637" s="79"/>
      <c r="S637" s="79"/>
      <c r="V637" s="79"/>
      <c r="W637" s="79"/>
      <c r="Z637" s="130"/>
      <c r="AB637" s="106"/>
    </row>
    <row r="638">
      <c r="C638" s="79"/>
      <c r="D638" s="79"/>
      <c r="E638" s="79"/>
      <c r="M638" s="79"/>
      <c r="R638" s="79"/>
      <c r="S638" s="79"/>
      <c r="V638" s="79"/>
      <c r="W638" s="79"/>
      <c r="Z638" s="130"/>
      <c r="AB638" s="106"/>
    </row>
    <row r="639">
      <c r="C639" s="79"/>
      <c r="D639" s="79"/>
      <c r="E639" s="79"/>
      <c r="M639" s="79"/>
      <c r="R639" s="79"/>
      <c r="S639" s="79"/>
      <c r="V639" s="79"/>
      <c r="W639" s="79"/>
      <c r="Z639" s="130"/>
      <c r="AB639" s="106"/>
    </row>
    <row r="640">
      <c r="C640" s="79"/>
      <c r="D640" s="79"/>
      <c r="E640" s="79"/>
      <c r="M640" s="79"/>
      <c r="R640" s="79"/>
      <c r="S640" s="79"/>
      <c r="V640" s="79"/>
      <c r="W640" s="79"/>
      <c r="Z640" s="130"/>
      <c r="AB640" s="106"/>
    </row>
    <row r="641">
      <c r="C641" s="79"/>
      <c r="D641" s="79"/>
      <c r="E641" s="79"/>
      <c r="M641" s="79"/>
      <c r="R641" s="79"/>
      <c r="S641" s="79"/>
      <c r="V641" s="79"/>
      <c r="W641" s="79"/>
      <c r="Z641" s="130"/>
      <c r="AB641" s="106"/>
    </row>
    <row r="642">
      <c r="C642" s="79"/>
      <c r="D642" s="79"/>
      <c r="E642" s="79"/>
      <c r="M642" s="79"/>
      <c r="R642" s="79"/>
      <c r="S642" s="79"/>
      <c r="V642" s="79"/>
      <c r="W642" s="79"/>
      <c r="Z642" s="130"/>
      <c r="AB642" s="106"/>
    </row>
    <row r="643">
      <c r="C643" s="79"/>
      <c r="D643" s="79"/>
      <c r="E643" s="79"/>
      <c r="M643" s="79"/>
      <c r="R643" s="79"/>
      <c r="S643" s="79"/>
      <c r="V643" s="79"/>
      <c r="W643" s="79"/>
      <c r="Z643" s="130"/>
      <c r="AB643" s="106"/>
    </row>
    <row r="644">
      <c r="C644" s="79"/>
      <c r="D644" s="79"/>
      <c r="E644" s="79"/>
      <c r="M644" s="79"/>
      <c r="R644" s="79"/>
      <c r="S644" s="79"/>
      <c r="V644" s="79"/>
      <c r="W644" s="79"/>
      <c r="Z644" s="130"/>
      <c r="AB644" s="106"/>
    </row>
    <row r="645">
      <c r="C645" s="79"/>
      <c r="D645" s="79"/>
      <c r="E645" s="79"/>
      <c r="M645" s="79"/>
      <c r="R645" s="79"/>
      <c r="S645" s="79"/>
      <c r="V645" s="79"/>
      <c r="W645" s="79"/>
      <c r="Z645" s="130"/>
      <c r="AB645" s="106"/>
    </row>
    <row r="646">
      <c r="C646" s="79"/>
      <c r="D646" s="79"/>
      <c r="E646" s="79"/>
      <c r="M646" s="79"/>
      <c r="R646" s="79"/>
      <c r="S646" s="79"/>
      <c r="V646" s="79"/>
      <c r="W646" s="79"/>
      <c r="Z646" s="130"/>
      <c r="AB646" s="106"/>
    </row>
    <row r="647">
      <c r="C647" s="79"/>
      <c r="D647" s="79"/>
      <c r="E647" s="79"/>
      <c r="M647" s="79"/>
      <c r="R647" s="79"/>
      <c r="S647" s="79"/>
      <c r="V647" s="79"/>
      <c r="W647" s="79"/>
      <c r="Z647" s="130"/>
      <c r="AB647" s="106"/>
    </row>
    <row r="648">
      <c r="C648" s="79"/>
      <c r="D648" s="79"/>
      <c r="E648" s="79"/>
      <c r="M648" s="79"/>
      <c r="R648" s="79"/>
      <c r="S648" s="79"/>
      <c r="V648" s="79"/>
      <c r="W648" s="79"/>
      <c r="Z648" s="130"/>
      <c r="AB648" s="106"/>
    </row>
    <row r="649">
      <c r="C649" s="79"/>
      <c r="D649" s="79"/>
      <c r="E649" s="79"/>
      <c r="M649" s="79"/>
      <c r="R649" s="79"/>
      <c r="S649" s="79"/>
      <c r="V649" s="79"/>
      <c r="W649" s="79"/>
      <c r="Z649" s="130"/>
      <c r="AB649" s="106"/>
    </row>
    <row r="650">
      <c r="C650" s="79"/>
      <c r="D650" s="79"/>
      <c r="E650" s="79"/>
      <c r="M650" s="79"/>
      <c r="R650" s="79"/>
      <c r="S650" s="79"/>
      <c r="V650" s="79"/>
      <c r="W650" s="79"/>
      <c r="Z650" s="130"/>
      <c r="AB650" s="106"/>
    </row>
    <row r="651">
      <c r="C651" s="79"/>
      <c r="D651" s="79"/>
      <c r="E651" s="79"/>
      <c r="M651" s="79"/>
      <c r="R651" s="79"/>
      <c r="S651" s="79"/>
      <c r="V651" s="79"/>
      <c r="W651" s="79"/>
      <c r="Z651" s="130"/>
      <c r="AB651" s="106"/>
    </row>
    <row r="652">
      <c r="C652" s="79"/>
      <c r="D652" s="79"/>
      <c r="E652" s="79"/>
      <c r="M652" s="79"/>
      <c r="R652" s="79"/>
      <c r="S652" s="79"/>
      <c r="V652" s="79"/>
      <c r="W652" s="79"/>
      <c r="Z652" s="130"/>
      <c r="AB652" s="106"/>
    </row>
    <row r="653">
      <c r="C653" s="79"/>
      <c r="D653" s="79"/>
      <c r="E653" s="79"/>
      <c r="M653" s="79"/>
      <c r="R653" s="79"/>
      <c r="S653" s="79"/>
      <c r="V653" s="79"/>
      <c r="W653" s="79"/>
      <c r="Z653" s="130"/>
      <c r="AB653" s="106"/>
    </row>
    <row r="654">
      <c r="C654" s="79"/>
      <c r="D654" s="79"/>
      <c r="E654" s="79"/>
      <c r="M654" s="79"/>
      <c r="R654" s="79"/>
      <c r="S654" s="79"/>
      <c r="V654" s="79"/>
      <c r="W654" s="79"/>
      <c r="Z654" s="130"/>
      <c r="AB654" s="106"/>
    </row>
    <row r="655">
      <c r="C655" s="79"/>
      <c r="D655" s="79"/>
      <c r="E655" s="79"/>
      <c r="M655" s="79"/>
      <c r="R655" s="79"/>
      <c r="S655" s="79"/>
      <c r="V655" s="79"/>
      <c r="W655" s="79"/>
      <c r="Z655" s="130"/>
      <c r="AB655" s="106"/>
    </row>
    <row r="656">
      <c r="C656" s="79"/>
      <c r="D656" s="79"/>
      <c r="E656" s="79"/>
      <c r="M656" s="79"/>
      <c r="R656" s="79"/>
      <c r="S656" s="79"/>
      <c r="V656" s="79"/>
      <c r="W656" s="79"/>
      <c r="Z656" s="130"/>
      <c r="AB656" s="106"/>
    </row>
    <row r="657">
      <c r="C657" s="79"/>
      <c r="D657" s="79"/>
      <c r="E657" s="79"/>
      <c r="M657" s="79"/>
      <c r="R657" s="79"/>
      <c r="S657" s="79"/>
      <c r="V657" s="79"/>
      <c r="W657" s="79"/>
      <c r="Z657" s="130"/>
      <c r="AB657" s="106"/>
    </row>
    <row r="658">
      <c r="C658" s="79"/>
      <c r="D658" s="79"/>
      <c r="E658" s="79"/>
      <c r="M658" s="79"/>
      <c r="R658" s="79"/>
      <c r="S658" s="79"/>
      <c r="V658" s="79"/>
      <c r="W658" s="79"/>
      <c r="Z658" s="130"/>
      <c r="AB658" s="106"/>
    </row>
    <row r="659">
      <c r="C659" s="79"/>
      <c r="D659" s="79"/>
      <c r="E659" s="79"/>
      <c r="M659" s="79"/>
      <c r="R659" s="79"/>
      <c r="S659" s="79"/>
      <c r="V659" s="79"/>
      <c r="W659" s="79"/>
      <c r="Z659" s="130"/>
      <c r="AB659" s="106"/>
    </row>
    <row r="660">
      <c r="C660" s="79"/>
      <c r="D660" s="79"/>
      <c r="E660" s="79"/>
      <c r="M660" s="79"/>
      <c r="R660" s="79"/>
      <c r="S660" s="79"/>
      <c r="V660" s="79"/>
      <c r="W660" s="79"/>
      <c r="Z660" s="130"/>
      <c r="AB660" s="106"/>
    </row>
    <row r="661">
      <c r="C661" s="79"/>
      <c r="D661" s="79"/>
      <c r="E661" s="79"/>
      <c r="M661" s="79"/>
      <c r="R661" s="79"/>
      <c r="S661" s="79"/>
      <c r="V661" s="79"/>
      <c r="W661" s="79"/>
      <c r="Z661" s="130"/>
      <c r="AB661" s="106"/>
    </row>
    <row r="662">
      <c r="C662" s="79"/>
      <c r="D662" s="79"/>
      <c r="E662" s="79"/>
      <c r="M662" s="79"/>
      <c r="R662" s="79"/>
      <c r="S662" s="79"/>
      <c r="V662" s="79"/>
      <c r="W662" s="79"/>
      <c r="Z662" s="130"/>
      <c r="AB662" s="106"/>
    </row>
    <row r="663">
      <c r="C663" s="79"/>
      <c r="D663" s="79"/>
      <c r="E663" s="79"/>
      <c r="M663" s="79"/>
      <c r="R663" s="79"/>
      <c r="S663" s="79"/>
      <c r="V663" s="79"/>
      <c r="W663" s="79"/>
      <c r="Z663" s="130"/>
      <c r="AB663" s="106"/>
    </row>
    <row r="664">
      <c r="C664" s="79"/>
      <c r="D664" s="79"/>
      <c r="E664" s="79"/>
      <c r="M664" s="79"/>
      <c r="R664" s="79"/>
      <c r="S664" s="79"/>
      <c r="V664" s="79"/>
      <c r="W664" s="79"/>
      <c r="Z664" s="130"/>
      <c r="AB664" s="106"/>
    </row>
    <row r="665">
      <c r="C665" s="79"/>
      <c r="D665" s="79"/>
      <c r="E665" s="79"/>
      <c r="M665" s="79"/>
      <c r="R665" s="79"/>
      <c r="S665" s="79"/>
      <c r="V665" s="79"/>
      <c r="W665" s="79"/>
      <c r="Z665" s="130"/>
      <c r="AB665" s="106"/>
    </row>
    <row r="666">
      <c r="C666" s="79"/>
      <c r="D666" s="79"/>
      <c r="E666" s="79"/>
      <c r="M666" s="79"/>
      <c r="R666" s="79"/>
      <c r="S666" s="79"/>
      <c r="V666" s="79"/>
      <c r="W666" s="79"/>
      <c r="Z666" s="130"/>
      <c r="AB666" s="106"/>
    </row>
    <row r="667">
      <c r="C667" s="79"/>
      <c r="D667" s="79"/>
      <c r="E667" s="79"/>
      <c r="M667" s="79"/>
      <c r="R667" s="79"/>
      <c r="S667" s="79"/>
      <c r="V667" s="79"/>
      <c r="W667" s="79"/>
      <c r="Z667" s="130"/>
      <c r="AB667" s="106"/>
    </row>
    <row r="668">
      <c r="C668" s="79"/>
      <c r="D668" s="79"/>
      <c r="E668" s="79"/>
      <c r="M668" s="79"/>
      <c r="R668" s="79"/>
      <c r="S668" s="79"/>
      <c r="V668" s="79"/>
      <c r="W668" s="79"/>
      <c r="Z668" s="130"/>
      <c r="AB668" s="106"/>
    </row>
    <row r="669">
      <c r="C669" s="79"/>
      <c r="D669" s="79"/>
      <c r="E669" s="79"/>
      <c r="M669" s="79"/>
      <c r="R669" s="79"/>
      <c r="S669" s="79"/>
      <c r="V669" s="79"/>
      <c r="W669" s="79"/>
      <c r="Z669" s="130"/>
      <c r="AB669" s="106"/>
    </row>
    <row r="670">
      <c r="C670" s="79"/>
      <c r="D670" s="79"/>
      <c r="E670" s="79"/>
      <c r="M670" s="79"/>
      <c r="R670" s="79"/>
      <c r="S670" s="79"/>
      <c r="V670" s="79"/>
      <c r="W670" s="79"/>
      <c r="Z670" s="130"/>
      <c r="AB670" s="106"/>
    </row>
    <row r="671">
      <c r="C671" s="79"/>
      <c r="D671" s="79"/>
      <c r="E671" s="79"/>
      <c r="M671" s="79"/>
      <c r="R671" s="79"/>
      <c r="S671" s="79"/>
      <c r="V671" s="79"/>
      <c r="W671" s="79"/>
      <c r="Z671" s="130"/>
      <c r="AB671" s="106"/>
    </row>
    <row r="672">
      <c r="C672" s="79"/>
      <c r="D672" s="79"/>
      <c r="E672" s="79"/>
      <c r="M672" s="79"/>
      <c r="R672" s="79"/>
      <c r="S672" s="79"/>
      <c r="V672" s="79"/>
      <c r="W672" s="79"/>
      <c r="Z672" s="130"/>
      <c r="AB672" s="106"/>
    </row>
    <row r="673">
      <c r="C673" s="79"/>
      <c r="D673" s="79"/>
      <c r="E673" s="79"/>
      <c r="M673" s="79"/>
      <c r="R673" s="79"/>
      <c r="S673" s="79"/>
      <c r="V673" s="79"/>
      <c r="W673" s="79"/>
      <c r="Z673" s="130"/>
      <c r="AB673" s="106"/>
    </row>
    <row r="674">
      <c r="C674" s="79"/>
      <c r="D674" s="79"/>
      <c r="E674" s="79"/>
      <c r="M674" s="79"/>
      <c r="R674" s="79"/>
      <c r="S674" s="79"/>
      <c r="V674" s="79"/>
      <c r="W674" s="79"/>
      <c r="Z674" s="130"/>
      <c r="AB674" s="106"/>
    </row>
    <row r="675">
      <c r="C675" s="79"/>
      <c r="D675" s="79"/>
      <c r="E675" s="79"/>
      <c r="M675" s="79"/>
      <c r="R675" s="79"/>
      <c r="S675" s="79"/>
      <c r="V675" s="79"/>
      <c r="W675" s="79"/>
      <c r="Z675" s="130"/>
      <c r="AB675" s="106"/>
    </row>
    <row r="676">
      <c r="C676" s="79"/>
      <c r="D676" s="79"/>
      <c r="E676" s="79"/>
      <c r="M676" s="79"/>
      <c r="R676" s="79"/>
      <c r="S676" s="79"/>
      <c r="V676" s="79"/>
      <c r="W676" s="79"/>
      <c r="Z676" s="130"/>
      <c r="AB676" s="106"/>
    </row>
    <row r="677">
      <c r="C677" s="79"/>
      <c r="D677" s="79"/>
      <c r="E677" s="79"/>
      <c r="M677" s="79"/>
      <c r="R677" s="79"/>
      <c r="S677" s="79"/>
      <c r="V677" s="79"/>
      <c r="W677" s="79"/>
      <c r="Z677" s="130"/>
      <c r="AB677" s="106"/>
    </row>
    <row r="678">
      <c r="C678" s="79"/>
      <c r="D678" s="79"/>
      <c r="E678" s="79"/>
      <c r="M678" s="79"/>
      <c r="R678" s="79"/>
      <c r="S678" s="79"/>
      <c r="V678" s="79"/>
      <c r="W678" s="79"/>
      <c r="Z678" s="130"/>
      <c r="AB678" s="106"/>
    </row>
    <row r="679">
      <c r="C679" s="79"/>
      <c r="D679" s="79"/>
      <c r="E679" s="79"/>
      <c r="M679" s="79"/>
      <c r="R679" s="79"/>
      <c r="S679" s="79"/>
      <c r="V679" s="79"/>
      <c r="W679" s="79"/>
      <c r="Z679" s="130"/>
      <c r="AB679" s="106"/>
    </row>
    <row r="680">
      <c r="C680" s="79"/>
      <c r="D680" s="79"/>
      <c r="E680" s="79"/>
      <c r="M680" s="79"/>
      <c r="R680" s="79"/>
      <c r="S680" s="79"/>
      <c r="V680" s="79"/>
      <c r="W680" s="79"/>
      <c r="Z680" s="130"/>
      <c r="AB680" s="106"/>
    </row>
    <row r="681">
      <c r="C681" s="79"/>
      <c r="D681" s="79"/>
      <c r="E681" s="79"/>
      <c r="M681" s="79"/>
      <c r="R681" s="79"/>
      <c r="S681" s="79"/>
      <c r="V681" s="79"/>
      <c r="W681" s="79"/>
      <c r="Z681" s="130"/>
      <c r="AB681" s="106"/>
    </row>
    <row r="682">
      <c r="C682" s="79"/>
      <c r="D682" s="79"/>
      <c r="E682" s="79"/>
      <c r="M682" s="79"/>
      <c r="R682" s="79"/>
      <c r="S682" s="79"/>
      <c r="V682" s="79"/>
      <c r="W682" s="79"/>
      <c r="Z682" s="130"/>
      <c r="AB682" s="106"/>
    </row>
    <row r="683">
      <c r="C683" s="79"/>
      <c r="D683" s="79"/>
      <c r="E683" s="79"/>
      <c r="M683" s="79"/>
      <c r="R683" s="79"/>
      <c r="S683" s="79"/>
      <c r="V683" s="79"/>
      <c r="W683" s="79"/>
      <c r="Z683" s="130"/>
      <c r="AB683" s="106"/>
    </row>
    <row r="684">
      <c r="C684" s="79"/>
      <c r="D684" s="79"/>
      <c r="E684" s="79"/>
      <c r="M684" s="79"/>
      <c r="R684" s="79"/>
      <c r="S684" s="79"/>
      <c r="V684" s="79"/>
      <c r="W684" s="79"/>
      <c r="Z684" s="130"/>
      <c r="AB684" s="106"/>
    </row>
    <row r="685">
      <c r="C685" s="79"/>
      <c r="D685" s="79"/>
      <c r="E685" s="79"/>
      <c r="M685" s="79"/>
      <c r="R685" s="79"/>
      <c r="S685" s="79"/>
      <c r="V685" s="79"/>
      <c r="W685" s="79"/>
      <c r="Z685" s="130"/>
      <c r="AB685" s="106"/>
    </row>
    <row r="686">
      <c r="C686" s="79"/>
      <c r="D686" s="79"/>
      <c r="E686" s="79"/>
      <c r="M686" s="79"/>
      <c r="R686" s="79"/>
      <c r="S686" s="79"/>
      <c r="V686" s="79"/>
      <c r="W686" s="79"/>
      <c r="Z686" s="130"/>
      <c r="AB686" s="106"/>
    </row>
    <row r="687">
      <c r="C687" s="79"/>
      <c r="D687" s="79"/>
      <c r="E687" s="79"/>
      <c r="M687" s="79"/>
      <c r="R687" s="79"/>
      <c r="S687" s="79"/>
      <c r="V687" s="79"/>
      <c r="W687" s="79"/>
      <c r="Z687" s="130"/>
      <c r="AB687" s="106"/>
    </row>
    <row r="688">
      <c r="C688" s="79"/>
      <c r="D688" s="79"/>
      <c r="E688" s="79"/>
      <c r="M688" s="79"/>
      <c r="R688" s="79"/>
      <c r="S688" s="79"/>
      <c r="V688" s="79"/>
      <c r="W688" s="79"/>
      <c r="Z688" s="130"/>
      <c r="AB688" s="106"/>
    </row>
    <row r="689">
      <c r="C689" s="79"/>
      <c r="D689" s="79"/>
      <c r="E689" s="79"/>
      <c r="M689" s="79"/>
      <c r="R689" s="79"/>
      <c r="S689" s="79"/>
      <c r="V689" s="79"/>
      <c r="W689" s="79"/>
      <c r="Z689" s="130"/>
      <c r="AB689" s="106"/>
    </row>
    <row r="690">
      <c r="C690" s="79"/>
      <c r="D690" s="79"/>
      <c r="E690" s="79"/>
      <c r="M690" s="79"/>
      <c r="R690" s="79"/>
      <c r="S690" s="79"/>
      <c r="V690" s="79"/>
      <c r="W690" s="79"/>
      <c r="Z690" s="130"/>
      <c r="AB690" s="106"/>
    </row>
    <row r="691">
      <c r="C691" s="79"/>
      <c r="D691" s="79"/>
      <c r="E691" s="79"/>
      <c r="M691" s="79"/>
      <c r="R691" s="79"/>
      <c r="S691" s="79"/>
      <c r="V691" s="79"/>
      <c r="W691" s="79"/>
      <c r="Z691" s="130"/>
      <c r="AB691" s="106"/>
    </row>
    <row r="692">
      <c r="C692" s="79"/>
      <c r="D692" s="79"/>
      <c r="E692" s="79"/>
      <c r="M692" s="79"/>
      <c r="R692" s="79"/>
      <c r="S692" s="79"/>
      <c r="V692" s="79"/>
      <c r="W692" s="79"/>
      <c r="Z692" s="130"/>
      <c r="AB692" s="106"/>
    </row>
    <row r="693">
      <c r="C693" s="79"/>
      <c r="D693" s="79"/>
      <c r="E693" s="79"/>
      <c r="M693" s="79"/>
      <c r="R693" s="79"/>
      <c r="S693" s="79"/>
      <c r="V693" s="79"/>
      <c r="W693" s="79"/>
      <c r="Z693" s="130"/>
      <c r="AB693" s="106"/>
    </row>
    <row r="694">
      <c r="C694" s="79"/>
      <c r="D694" s="79"/>
      <c r="E694" s="79"/>
      <c r="M694" s="79"/>
      <c r="R694" s="79"/>
      <c r="S694" s="79"/>
      <c r="V694" s="79"/>
      <c r="W694" s="79"/>
      <c r="Z694" s="130"/>
      <c r="AB694" s="106"/>
    </row>
    <row r="695">
      <c r="C695" s="79"/>
      <c r="D695" s="79"/>
      <c r="E695" s="79"/>
      <c r="M695" s="79"/>
      <c r="R695" s="79"/>
      <c r="S695" s="79"/>
      <c r="V695" s="79"/>
      <c r="W695" s="79"/>
      <c r="Z695" s="130"/>
      <c r="AB695" s="106"/>
    </row>
    <row r="696">
      <c r="C696" s="79"/>
      <c r="D696" s="79"/>
      <c r="E696" s="79"/>
      <c r="M696" s="79"/>
      <c r="R696" s="79"/>
      <c r="S696" s="79"/>
      <c r="V696" s="79"/>
      <c r="W696" s="79"/>
      <c r="Z696" s="130"/>
      <c r="AB696" s="106"/>
    </row>
    <row r="697">
      <c r="C697" s="79"/>
      <c r="D697" s="79"/>
      <c r="E697" s="79"/>
      <c r="M697" s="79"/>
      <c r="R697" s="79"/>
      <c r="S697" s="79"/>
      <c r="V697" s="79"/>
      <c r="W697" s="79"/>
      <c r="Z697" s="130"/>
      <c r="AB697" s="106"/>
    </row>
    <row r="698">
      <c r="C698" s="79"/>
      <c r="D698" s="79"/>
      <c r="E698" s="79"/>
      <c r="M698" s="79"/>
      <c r="R698" s="79"/>
      <c r="S698" s="79"/>
      <c r="V698" s="79"/>
      <c r="W698" s="79"/>
      <c r="Z698" s="130"/>
      <c r="AB698" s="106"/>
    </row>
    <row r="699">
      <c r="C699" s="79"/>
      <c r="D699" s="79"/>
      <c r="E699" s="79"/>
      <c r="M699" s="79"/>
      <c r="R699" s="79"/>
      <c r="S699" s="79"/>
      <c r="V699" s="79"/>
      <c r="W699" s="79"/>
      <c r="Z699" s="130"/>
      <c r="AB699" s="106"/>
    </row>
    <row r="700">
      <c r="C700" s="79"/>
      <c r="D700" s="79"/>
      <c r="E700" s="79"/>
      <c r="M700" s="79"/>
      <c r="R700" s="79"/>
      <c r="S700" s="79"/>
      <c r="V700" s="79"/>
      <c r="W700" s="79"/>
      <c r="Z700" s="130"/>
      <c r="AB700" s="106"/>
    </row>
    <row r="701">
      <c r="C701" s="79"/>
      <c r="D701" s="79"/>
      <c r="E701" s="79"/>
      <c r="M701" s="79"/>
      <c r="R701" s="79"/>
      <c r="S701" s="79"/>
      <c r="V701" s="79"/>
      <c r="W701" s="79"/>
      <c r="Z701" s="130"/>
      <c r="AB701" s="106"/>
    </row>
    <row r="702">
      <c r="C702" s="79"/>
      <c r="D702" s="79"/>
      <c r="E702" s="79"/>
      <c r="M702" s="79"/>
      <c r="R702" s="79"/>
      <c r="S702" s="79"/>
      <c r="V702" s="79"/>
      <c r="W702" s="79"/>
      <c r="Z702" s="130"/>
      <c r="AB702" s="106"/>
    </row>
    <row r="703">
      <c r="C703" s="79"/>
      <c r="D703" s="79"/>
      <c r="E703" s="79"/>
      <c r="M703" s="79"/>
      <c r="R703" s="79"/>
      <c r="S703" s="79"/>
      <c r="V703" s="79"/>
      <c r="W703" s="79"/>
      <c r="Z703" s="130"/>
      <c r="AB703" s="106"/>
    </row>
    <row r="704">
      <c r="C704" s="79"/>
      <c r="D704" s="79"/>
      <c r="E704" s="79"/>
      <c r="M704" s="79"/>
      <c r="R704" s="79"/>
      <c r="S704" s="79"/>
      <c r="V704" s="79"/>
      <c r="W704" s="79"/>
      <c r="Z704" s="130"/>
      <c r="AB704" s="106"/>
    </row>
    <row r="705">
      <c r="C705" s="79"/>
      <c r="D705" s="79"/>
      <c r="E705" s="79"/>
      <c r="M705" s="79"/>
      <c r="R705" s="79"/>
      <c r="S705" s="79"/>
      <c r="V705" s="79"/>
      <c r="W705" s="79"/>
      <c r="Z705" s="130"/>
      <c r="AB705" s="106"/>
    </row>
    <row r="706">
      <c r="C706" s="79"/>
      <c r="D706" s="79"/>
      <c r="E706" s="79"/>
      <c r="M706" s="79"/>
      <c r="R706" s="79"/>
      <c r="S706" s="79"/>
      <c r="V706" s="79"/>
      <c r="W706" s="79"/>
      <c r="Z706" s="130"/>
      <c r="AB706" s="106"/>
    </row>
    <row r="707">
      <c r="C707" s="79"/>
      <c r="D707" s="79"/>
      <c r="E707" s="79"/>
      <c r="M707" s="79"/>
      <c r="R707" s="79"/>
      <c r="S707" s="79"/>
      <c r="V707" s="79"/>
      <c r="W707" s="79"/>
      <c r="Z707" s="130"/>
      <c r="AB707" s="106"/>
    </row>
    <row r="708">
      <c r="C708" s="79"/>
      <c r="D708" s="79"/>
      <c r="E708" s="79"/>
      <c r="M708" s="79"/>
      <c r="R708" s="79"/>
      <c r="S708" s="79"/>
      <c r="V708" s="79"/>
      <c r="W708" s="79"/>
      <c r="Z708" s="130"/>
      <c r="AB708" s="106"/>
    </row>
    <row r="709">
      <c r="C709" s="79"/>
      <c r="D709" s="79"/>
      <c r="E709" s="79"/>
      <c r="M709" s="79"/>
      <c r="R709" s="79"/>
      <c r="S709" s="79"/>
      <c r="V709" s="79"/>
      <c r="W709" s="79"/>
      <c r="Z709" s="130"/>
      <c r="AB709" s="106"/>
    </row>
    <row r="710">
      <c r="C710" s="79"/>
      <c r="D710" s="79"/>
      <c r="E710" s="79"/>
      <c r="M710" s="79"/>
      <c r="R710" s="79"/>
      <c r="S710" s="79"/>
      <c r="V710" s="79"/>
      <c r="W710" s="79"/>
      <c r="Z710" s="130"/>
      <c r="AB710" s="106"/>
    </row>
    <row r="711">
      <c r="C711" s="79"/>
      <c r="D711" s="79"/>
      <c r="E711" s="79"/>
      <c r="M711" s="79"/>
      <c r="R711" s="79"/>
      <c r="S711" s="79"/>
      <c r="V711" s="79"/>
      <c r="W711" s="79"/>
      <c r="Z711" s="130"/>
      <c r="AB711" s="106"/>
    </row>
    <row r="712">
      <c r="C712" s="79"/>
      <c r="D712" s="79"/>
      <c r="E712" s="79"/>
      <c r="M712" s="79"/>
      <c r="R712" s="79"/>
      <c r="S712" s="79"/>
      <c r="V712" s="79"/>
      <c r="W712" s="79"/>
      <c r="Z712" s="130"/>
      <c r="AB712" s="106"/>
    </row>
    <row r="713">
      <c r="C713" s="79"/>
      <c r="D713" s="79"/>
      <c r="E713" s="79"/>
      <c r="M713" s="79"/>
      <c r="R713" s="79"/>
      <c r="S713" s="79"/>
      <c r="V713" s="79"/>
      <c r="W713" s="79"/>
      <c r="Z713" s="130"/>
      <c r="AB713" s="106"/>
    </row>
    <row r="714">
      <c r="C714" s="79"/>
      <c r="D714" s="79"/>
      <c r="E714" s="79"/>
      <c r="M714" s="79"/>
      <c r="R714" s="79"/>
      <c r="S714" s="79"/>
      <c r="V714" s="79"/>
      <c r="W714" s="79"/>
      <c r="Z714" s="130"/>
      <c r="AB714" s="106"/>
    </row>
    <row r="715">
      <c r="C715" s="79"/>
      <c r="D715" s="79"/>
      <c r="E715" s="79"/>
      <c r="M715" s="79"/>
      <c r="R715" s="79"/>
      <c r="S715" s="79"/>
      <c r="V715" s="79"/>
      <c r="W715" s="79"/>
      <c r="Z715" s="130"/>
      <c r="AB715" s="106"/>
    </row>
    <row r="716">
      <c r="C716" s="79"/>
      <c r="D716" s="79"/>
      <c r="E716" s="79"/>
      <c r="M716" s="79"/>
      <c r="R716" s="79"/>
      <c r="S716" s="79"/>
      <c r="V716" s="79"/>
      <c r="W716" s="79"/>
      <c r="Z716" s="130"/>
      <c r="AB716" s="106"/>
    </row>
    <row r="717">
      <c r="C717" s="79"/>
      <c r="D717" s="79"/>
      <c r="E717" s="79"/>
      <c r="M717" s="79"/>
      <c r="R717" s="79"/>
      <c r="S717" s="79"/>
      <c r="V717" s="79"/>
      <c r="W717" s="79"/>
      <c r="Z717" s="130"/>
      <c r="AB717" s="106"/>
    </row>
    <row r="718">
      <c r="C718" s="79"/>
      <c r="D718" s="79"/>
      <c r="E718" s="79"/>
      <c r="M718" s="79"/>
      <c r="R718" s="79"/>
      <c r="S718" s="79"/>
      <c r="V718" s="79"/>
      <c r="W718" s="79"/>
      <c r="Z718" s="130"/>
      <c r="AB718" s="106"/>
    </row>
    <row r="719">
      <c r="C719" s="79"/>
      <c r="D719" s="79"/>
      <c r="E719" s="79"/>
      <c r="M719" s="79"/>
      <c r="R719" s="79"/>
      <c r="S719" s="79"/>
      <c r="V719" s="79"/>
      <c r="W719" s="79"/>
      <c r="Z719" s="130"/>
      <c r="AB719" s="106"/>
    </row>
    <row r="720">
      <c r="C720" s="79"/>
      <c r="D720" s="79"/>
      <c r="E720" s="79"/>
      <c r="M720" s="79"/>
      <c r="R720" s="79"/>
      <c r="S720" s="79"/>
      <c r="V720" s="79"/>
      <c r="W720" s="79"/>
      <c r="Z720" s="130"/>
      <c r="AB720" s="106"/>
    </row>
    <row r="721">
      <c r="C721" s="79"/>
      <c r="D721" s="79"/>
      <c r="E721" s="79"/>
      <c r="M721" s="79"/>
      <c r="R721" s="79"/>
      <c r="S721" s="79"/>
      <c r="V721" s="79"/>
      <c r="W721" s="79"/>
      <c r="Z721" s="130"/>
      <c r="AB721" s="106"/>
    </row>
    <row r="722">
      <c r="C722" s="79"/>
      <c r="D722" s="79"/>
      <c r="E722" s="79"/>
      <c r="M722" s="79"/>
      <c r="R722" s="79"/>
      <c r="S722" s="79"/>
      <c r="V722" s="79"/>
      <c r="W722" s="79"/>
      <c r="Z722" s="130"/>
      <c r="AB722" s="106"/>
    </row>
    <row r="723">
      <c r="C723" s="79"/>
      <c r="D723" s="79"/>
      <c r="E723" s="79"/>
      <c r="M723" s="79"/>
      <c r="R723" s="79"/>
      <c r="S723" s="79"/>
      <c r="V723" s="79"/>
      <c r="W723" s="79"/>
      <c r="Z723" s="130"/>
      <c r="AB723" s="106"/>
    </row>
    <row r="724">
      <c r="C724" s="79"/>
      <c r="D724" s="79"/>
      <c r="E724" s="79"/>
      <c r="M724" s="79"/>
      <c r="R724" s="79"/>
      <c r="S724" s="79"/>
      <c r="V724" s="79"/>
      <c r="W724" s="79"/>
      <c r="Z724" s="130"/>
      <c r="AB724" s="106"/>
    </row>
    <row r="725">
      <c r="C725" s="79"/>
      <c r="D725" s="79"/>
      <c r="E725" s="79"/>
      <c r="M725" s="79"/>
      <c r="R725" s="79"/>
      <c r="S725" s="79"/>
      <c r="V725" s="79"/>
      <c r="W725" s="79"/>
      <c r="Z725" s="130"/>
      <c r="AB725" s="106"/>
    </row>
    <row r="726">
      <c r="C726" s="79"/>
      <c r="D726" s="79"/>
      <c r="E726" s="79"/>
      <c r="M726" s="79"/>
      <c r="R726" s="79"/>
      <c r="S726" s="79"/>
      <c r="V726" s="79"/>
      <c r="W726" s="79"/>
      <c r="Z726" s="130"/>
      <c r="AB726" s="106"/>
    </row>
    <row r="727">
      <c r="C727" s="79"/>
      <c r="D727" s="79"/>
      <c r="E727" s="79"/>
      <c r="M727" s="79"/>
      <c r="R727" s="79"/>
      <c r="S727" s="79"/>
      <c r="V727" s="79"/>
      <c r="W727" s="79"/>
      <c r="Z727" s="130"/>
      <c r="AB727" s="106"/>
    </row>
    <row r="728">
      <c r="C728" s="79"/>
      <c r="D728" s="79"/>
      <c r="E728" s="79"/>
      <c r="M728" s="79"/>
      <c r="R728" s="79"/>
      <c r="S728" s="79"/>
      <c r="V728" s="79"/>
      <c r="W728" s="79"/>
      <c r="Z728" s="130"/>
      <c r="AB728" s="106"/>
    </row>
    <row r="729">
      <c r="C729" s="79"/>
      <c r="D729" s="79"/>
      <c r="E729" s="79"/>
      <c r="M729" s="79"/>
      <c r="R729" s="79"/>
      <c r="S729" s="79"/>
      <c r="V729" s="79"/>
      <c r="W729" s="79"/>
      <c r="Z729" s="130"/>
      <c r="AB729" s="106"/>
    </row>
    <row r="730">
      <c r="C730" s="79"/>
      <c r="D730" s="79"/>
      <c r="E730" s="79"/>
      <c r="M730" s="79"/>
      <c r="R730" s="79"/>
      <c r="S730" s="79"/>
      <c r="V730" s="79"/>
      <c r="W730" s="79"/>
      <c r="Z730" s="130"/>
      <c r="AB730" s="106"/>
    </row>
    <row r="731">
      <c r="C731" s="79"/>
      <c r="D731" s="79"/>
      <c r="E731" s="79"/>
      <c r="M731" s="79"/>
      <c r="R731" s="79"/>
      <c r="S731" s="79"/>
      <c r="V731" s="79"/>
      <c r="W731" s="79"/>
      <c r="Z731" s="130"/>
      <c r="AB731" s="106"/>
    </row>
    <row r="732">
      <c r="C732" s="79"/>
      <c r="D732" s="79"/>
      <c r="E732" s="79"/>
      <c r="M732" s="79"/>
      <c r="R732" s="79"/>
      <c r="S732" s="79"/>
      <c r="V732" s="79"/>
      <c r="W732" s="79"/>
      <c r="Z732" s="130"/>
      <c r="AB732" s="106"/>
    </row>
    <row r="733">
      <c r="C733" s="79"/>
      <c r="D733" s="79"/>
      <c r="E733" s="79"/>
      <c r="M733" s="79"/>
      <c r="R733" s="79"/>
      <c r="S733" s="79"/>
      <c r="V733" s="79"/>
      <c r="W733" s="79"/>
      <c r="Z733" s="130"/>
      <c r="AB733" s="106"/>
    </row>
    <row r="734">
      <c r="C734" s="79"/>
      <c r="D734" s="79"/>
      <c r="E734" s="79"/>
      <c r="M734" s="79"/>
      <c r="R734" s="79"/>
      <c r="S734" s="79"/>
      <c r="V734" s="79"/>
      <c r="W734" s="79"/>
      <c r="Z734" s="130"/>
      <c r="AB734" s="106"/>
    </row>
    <row r="735">
      <c r="C735" s="79"/>
      <c r="D735" s="79"/>
      <c r="E735" s="79"/>
      <c r="M735" s="79"/>
      <c r="R735" s="79"/>
      <c r="S735" s="79"/>
      <c r="V735" s="79"/>
      <c r="W735" s="79"/>
      <c r="Z735" s="130"/>
      <c r="AB735" s="106"/>
    </row>
    <row r="736">
      <c r="C736" s="79"/>
      <c r="D736" s="79"/>
      <c r="E736" s="79"/>
      <c r="M736" s="79"/>
      <c r="R736" s="79"/>
      <c r="S736" s="79"/>
      <c r="V736" s="79"/>
      <c r="W736" s="79"/>
      <c r="Z736" s="130"/>
      <c r="AB736" s="106"/>
    </row>
    <row r="737">
      <c r="C737" s="79"/>
      <c r="D737" s="79"/>
      <c r="E737" s="79"/>
      <c r="M737" s="79"/>
      <c r="R737" s="79"/>
      <c r="S737" s="79"/>
      <c r="V737" s="79"/>
      <c r="W737" s="79"/>
      <c r="Z737" s="130"/>
      <c r="AB737" s="106"/>
    </row>
    <row r="738">
      <c r="C738" s="79"/>
      <c r="D738" s="79"/>
      <c r="E738" s="79"/>
      <c r="M738" s="79"/>
      <c r="R738" s="79"/>
      <c r="S738" s="79"/>
      <c r="V738" s="79"/>
      <c r="W738" s="79"/>
      <c r="Z738" s="130"/>
      <c r="AB738" s="106"/>
    </row>
    <row r="739">
      <c r="C739" s="79"/>
      <c r="D739" s="79"/>
      <c r="E739" s="79"/>
      <c r="M739" s="79"/>
      <c r="R739" s="79"/>
      <c r="S739" s="79"/>
      <c r="V739" s="79"/>
      <c r="W739" s="79"/>
      <c r="Z739" s="130"/>
      <c r="AB739" s="106"/>
    </row>
    <row r="740">
      <c r="C740" s="79"/>
      <c r="D740" s="79"/>
      <c r="E740" s="79"/>
      <c r="M740" s="79"/>
      <c r="R740" s="79"/>
      <c r="S740" s="79"/>
      <c r="V740" s="79"/>
      <c r="W740" s="79"/>
      <c r="Z740" s="130"/>
      <c r="AB740" s="106"/>
    </row>
    <row r="741">
      <c r="C741" s="79"/>
      <c r="D741" s="79"/>
      <c r="E741" s="79"/>
      <c r="M741" s="79"/>
      <c r="R741" s="79"/>
      <c r="S741" s="79"/>
      <c r="V741" s="79"/>
      <c r="W741" s="79"/>
      <c r="Z741" s="130"/>
      <c r="AB741" s="106"/>
    </row>
    <row r="742">
      <c r="C742" s="79"/>
      <c r="D742" s="79"/>
      <c r="E742" s="79"/>
      <c r="M742" s="79"/>
      <c r="R742" s="79"/>
      <c r="S742" s="79"/>
      <c r="V742" s="79"/>
      <c r="W742" s="79"/>
      <c r="Z742" s="130"/>
      <c r="AB742" s="106"/>
    </row>
    <row r="743">
      <c r="C743" s="79"/>
      <c r="D743" s="79"/>
      <c r="E743" s="79"/>
      <c r="M743" s="79"/>
      <c r="R743" s="79"/>
      <c r="S743" s="79"/>
      <c r="V743" s="79"/>
      <c r="W743" s="79"/>
      <c r="Z743" s="130"/>
      <c r="AB743" s="106"/>
    </row>
    <row r="744">
      <c r="C744" s="79"/>
      <c r="D744" s="79"/>
      <c r="E744" s="79"/>
      <c r="M744" s="79"/>
      <c r="R744" s="79"/>
      <c r="S744" s="79"/>
      <c r="V744" s="79"/>
      <c r="W744" s="79"/>
      <c r="Z744" s="130"/>
      <c r="AB744" s="106"/>
    </row>
    <row r="745">
      <c r="C745" s="79"/>
      <c r="D745" s="79"/>
      <c r="E745" s="79"/>
      <c r="M745" s="79"/>
      <c r="R745" s="79"/>
      <c r="S745" s="79"/>
      <c r="V745" s="79"/>
      <c r="W745" s="79"/>
      <c r="Z745" s="130"/>
      <c r="AB745" s="106"/>
    </row>
    <row r="746">
      <c r="C746" s="79"/>
      <c r="D746" s="79"/>
      <c r="E746" s="79"/>
      <c r="M746" s="79"/>
      <c r="R746" s="79"/>
      <c r="S746" s="79"/>
      <c r="V746" s="79"/>
      <c r="W746" s="79"/>
      <c r="Z746" s="130"/>
      <c r="AB746" s="106"/>
    </row>
    <row r="747">
      <c r="C747" s="79"/>
      <c r="D747" s="79"/>
      <c r="E747" s="79"/>
      <c r="M747" s="79"/>
      <c r="R747" s="79"/>
      <c r="S747" s="79"/>
      <c r="V747" s="79"/>
      <c r="W747" s="79"/>
      <c r="Z747" s="130"/>
      <c r="AB747" s="106"/>
    </row>
    <row r="748">
      <c r="C748" s="79"/>
      <c r="D748" s="79"/>
      <c r="E748" s="79"/>
      <c r="M748" s="79"/>
      <c r="R748" s="79"/>
      <c r="S748" s="79"/>
      <c r="V748" s="79"/>
      <c r="W748" s="79"/>
      <c r="Z748" s="130"/>
      <c r="AB748" s="106"/>
    </row>
    <row r="749">
      <c r="C749" s="79"/>
      <c r="D749" s="79"/>
      <c r="E749" s="79"/>
      <c r="M749" s="79"/>
      <c r="R749" s="79"/>
      <c r="S749" s="79"/>
      <c r="V749" s="79"/>
      <c r="W749" s="79"/>
      <c r="Z749" s="130"/>
      <c r="AB749" s="106"/>
    </row>
    <row r="750">
      <c r="C750" s="79"/>
      <c r="D750" s="79"/>
      <c r="E750" s="79"/>
      <c r="M750" s="79"/>
      <c r="R750" s="79"/>
      <c r="S750" s="79"/>
      <c r="V750" s="79"/>
      <c r="W750" s="79"/>
      <c r="Z750" s="130"/>
      <c r="AB750" s="106"/>
    </row>
    <row r="751">
      <c r="C751" s="79"/>
      <c r="D751" s="79"/>
      <c r="E751" s="79"/>
      <c r="M751" s="79"/>
      <c r="R751" s="79"/>
      <c r="S751" s="79"/>
      <c r="V751" s="79"/>
      <c r="W751" s="79"/>
      <c r="Z751" s="130"/>
      <c r="AB751" s="106"/>
    </row>
    <row r="752">
      <c r="C752" s="79"/>
      <c r="D752" s="79"/>
      <c r="E752" s="79"/>
      <c r="M752" s="79"/>
      <c r="R752" s="79"/>
      <c r="S752" s="79"/>
      <c r="V752" s="79"/>
      <c r="W752" s="79"/>
      <c r="Z752" s="130"/>
      <c r="AB752" s="106"/>
    </row>
    <row r="753">
      <c r="C753" s="79"/>
      <c r="D753" s="79"/>
      <c r="E753" s="79"/>
      <c r="M753" s="79"/>
      <c r="R753" s="79"/>
      <c r="S753" s="79"/>
      <c r="V753" s="79"/>
      <c r="W753" s="79"/>
      <c r="Z753" s="130"/>
      <c r="AB753" s="106"/>
    </row>
    <row r="754">
      <c r="C754" s="79"/>
      <c r="D754" s="79"/>
      <c r="E754" s="79"/>
      <c r="M754" s="79"/>
      <c r="R754" s="79"/>
      <c r="S754" s="79"/>
      <c r="V754" s="79"/>
      <c r="W754" s="79"/>
      <c r="Z754" s="130"/>
      <c r="AB754" s="106"/>
    </row>
    <row r="755">
      <c r="C755" s="79"/>
      <c r="D755" s="79"/>
      <c r="E755" s="79"/>
      <c r="M755" s="79"/>
      <c r="R755" s="79"/>
      <c r="S755" s="79"/>
      <c r="V755" s="79"/>
      <c r="W755" s="79"/>
      <c r="Z755" s="130"/>
      <c r="AB755" s="106"/>
    </row>
    <row r="756">
      <c r="C756" s="79"/>
      <c r="D756" s="79"/>
      <c r="E756" s="79"/>
      <c r="M756" s="79"/>
      <c r="R756" s="79"/>
      <c r="S756" s="79"/>
      <c r="V756" s="79"/>
      <c r="W756" s="79"/>
      <c r="Z756" s="130"/>
      <c r="AB756" s="106"/>
    </row>
    <row r="757">
      <c r="C757" s="79"/>
      <c r="D757" s="79"/>
      <c r="E757" s="79"/>
      <c r="M757" s="79"/>
      <c r="R757" s="79"/>
      <c r="S757" s="79"/>
      <c r="V757" s="79"/>
      <c r="W757" s="79"/>
      <c r="Z757" s="130"/>
      <c r="AB757" s="106"/>
    </row>
    <row r="758">
      <c r="C758" s="79"/>
      <c r="D758" s="79"/>
      <c r="E758" s="79"/>
      <c r="M758" s="79"/>
      <c r="R758" s="79"/>
      <c r="S758" s="79"/>
      <c r="V758" s="79"/>
      <c r="W758" s="79"/>
      <c r="Z758" s="130"/>
      <c r="AB758" s="106"/>
    </row>
    <row r="759">
      <c r="C759" s="79"/>
      <c r="D759" s="79"/>
      <c r="E759" s="79"/>
      <c r="M759" s="79"/>
      <c r="R759" s="79"/>
      <c r="S759" s="79"/>
      <c r="V759" s="79"/>
      <c r="W759" s="79"/>
      <c r="Z759" s="130"/>
      <c r="AB759" s="106"/>
    </row>
    <row r="760">
      <c r="C760" s="79"/>
      <c r="D760" s="79"/>
      <c r="E760" s="79"/>
      <c r="M760" s="79"/>
      <c r="R760" s="79"/>
      <c r="S760" s="79"/>
      <c r="V760" s="79"/>
      <c r="W760" s="79"/>
      <c r="Z760" s="130"/>
      <c r="AB760" s="106"/>
    </row>
    <row r="761">
      <c r="C761" s="79"/>
      <c r="D761" s="79"/>
      <c r="E761" s="79"/>
      <c r="M761" s="79"/>
      <c r="R761" s="79"/>
      <c r="S761" s="79"/>
      <c r="V761" s="79"/>
      <c r="W761" s="79"/>
      <c r="Z761" s="130"/>
      <c r="AB761" s="106"/>
    </row>
    <row r="762">
      <c r="C762" s="79"/>
      <c r="D762" s="79"/>
      <c r="E762" s="79"/>
      <c r="M762" s="79"/>
      <c r="R762" s="79"/>
      <c r="S762" s="79"/>
      <c r="V762" s="79"/>
      <c r="W762" s="79"/>
      <c r="Z762" s="130"/>
      <c r="AB762" s="106"/>
    </row>
    <row r="763">
      <c r="C763" s="79"/>
      <c r="D763" s="79"/>
      <c r="E763" s="79"/>
      <c r="M763" s="79"/>
      <c r="R763" s="79"/>
      <c r="S763" s="79"/>
      <c r="V763" s="79"/>
      <c r="W763" s="79"/>
      <c r="Z763" s="130"/>
      <c r="AB763" s="106"/>
    </row>
    <row r="764">
      <c r="C764" s="79"/>
      <c r="D764" s="79"/>
      <c r="E764" s="79"/>
      <c r="M764" s="79"/>
      <c r="R764" s="79"/>
      <c r="S764" s="79"/>
      <c r="V764" s="79"/>
      <c r="W764" s="79"/>
      <c r="Z764" s="130"/>
      <c r="AB764" s="106"/>
    </row>
    <row r="765">
      <c r="C765" s="79"/>
      <c r="D765" s="79"/>
      <c r="E765" s="79"/>
      <c r="M765" s="79"/>
      <c r="R765" s="79"/>
      <c r="S765" s="79"/>
      <c r="V765" s="79"/>
      <c r="W765" s="79"/>
      <c r="Z765" s="130"/>
      <c r="AB765" s="106"/>
    </row>
    <row r="766">
      <c r="C766" s="79"/>
      <c r="D766" s="79"/>
      <c r="E766" s="79"/>
      <c r="M766" s="79"/>
      <c r="R766" s="79"/>
      <c r="S766" s="79"/>
      <c r="V766" s="79"/>
      <c r="W766" s="79"/>
      <c r="Z766" s="130"/>
      <c r="AB766" s="106"/>
    </row>
    <row r="767">
      <c r="C767" s="79"/>
      <c r="D767" s="79"/>
      <c r="E767" s="79"/>
      <c r="M767" s="79"/>
      <c r="R767" s="79"/>
      <c r="S767" s="79"/>
      <c r="V767" s="79"/>
      <c r="W767" s="79"/>
      <c r="Z767" s="130"/>
      <c r="AB767" s="106"/>
    </row>
    <row r="768">
      <c r="C768" s="79"/>
      <c r="D768" s="79"/>
      <c r="E768" s="79"/>
      <c r="M768" s="79"/>
      <c r="R768" s="79"/>
      <c r="S768" s="79"/>
      <c r="V768" s="79"/>
      <c r="W768" s="79"/>
      <c r="Z768" s="130"/>
      <c r="AB768" s="106"/>
    </row>
    <row r="769">
      <c r="C769" s="79"/>
      <c r="D769" s="79"/>
      <c r="E769" s="79"/>
      <c r="M769" s="79"/>
      <c r="R769" s="79"/>
      <c r="S769" s="79"/>
      <c r="V769" s="79"/>
      <c r="W769" s="79"/>
      <c r="Z769" s="130"/>
      <c r="AB769" s="106"/>
    </row>
    <row r="770">
      <c r="C770" s="79"/>
      <c r="D770" s="79"/>
      <c r="E770" s="79"/>
      <c r="M770" s="79"/>
      <c r="R770" s="79"/>
      <c r="S770" s="79"/>
      <c r="V770" s="79"/>
      <c r="W770" s="79"/>
      <c r="Z770" s="130"/>
      <c r="AB770" s="106"/>
    </row>
    <row r="771">
      <c r="C771" s="79"/>
      <c r="D771" s="79"/>
      <c r="E771" s="79"/>
      <c r="M771" s="79"/>
      <c r="R771" s="79"/>
      <c r="S771" s="79"/>
      <c r="V771" s="79"/>
      <c r="W771" s="79"/>
      <c r="Z771" s="130"/>
      <c r="AB771" s="106"/>
    </row>
    <row r="772">
      <c r="C772" s="79"/>
      <c r="D772" s="79"/>
      <c r="E772" s="79"/>
      <c r="M772" s="79"/>
      <c r="R772" s="79"/>
      <c r="S772" s="79"/>
      <c r="V772" s="79"/>
      <c r="W772" s="79"/>
      <c r="Z772" s="130"/>
      <c r="AB772" s="106"/>
    </row>
    <row r="773">
      <c r="C773" s="79"/>
      <c r="D773" s="79"/>
      <c r="E773" s="79"/>
      <c r="M773" s="79"/>
      <c r="R773" s="79"/>
      <c r="S773" s="79"/>
      <c r="V773" s="79"/>
      <c r="W773" s="79"/>
      <c r="Z773" s="130"/>
      <c r="AB773" s="106"/>
    </row>
    <row r="774">
      <c r="C774" s="79"/>
      <c r="D774" s="79"/>
      <c r="E774" s="79"/>
      <c r="M774" s="79"/>
      <c r="R774" s="79"/>
      <c r="S774" s="79"/>
      <c r="V774" s="79"/>
      <c r="W774" s="79"/>
      <c r="Z774" s="130"/>
      <c r="AB774" s="106"/>
    </row>
    <row r="775">
      <c r="C775" s="79"/>
      <c r="D775" s="79"/>
      <c r="E775" s="79"/>
      <c r="M775" s="79"/>
      <c r="R775" s="79"/>
      <c r="S775" s="79"/>
      <c r="V775" s="79"/>
      <c r="W775" s="79"/>
      <c r="Z775" s="130"/>
      <c r="AB775" s="106"/>
    </row>
    <row r="776">
      <c r="C776" s="79"/>
      <c r="D776" s="79"/>
      <c r="E776" s="79"/>
      <c r="M776" s="79"/>
      <c r="R776" s="79"/>
      <c r="S776" s="79"/>
      <c r="V776" s="79"/>
      <c r="W776" s="79"/>
      <c r="Z776" s="130"/>
      <c r="AB776" s="106"/>
    </row>
    <row r="777">
      <c r="C777" s="79"/>
      <c r="D777" s="79"/>
      <c r="E777" s="79"/>
      <c r="M777" s="79"/>
      <c r="R777" s="79"/>
      <c r="S777" s="79"/>
      <c r="V777" s="79"/>
      <c r="W777" s="79"/>
      <c r="Z777" s="130"/>
      <c r="AB777" s="106"/>
    </row>
    <row r="778">
      <c r="C778" s="79"/>
      <c r="D778" s="79"/>
      <c r="E778" s="79"/>
      <c r="M778" s="79"/>
      <c r="R778" s="79"/>
      <c r="S778" s="79"/>
      <c r="V778" s="79"/>
      <c r="W778" s="79"/>
      <c r="Z778" s="130"/>
      <c r="AB778" s="106"/>
    </row>
    <row r="779">
      <c r="C779" s="79"/>
      <c r="D779" s="79"/>
      <c r="E779" s="79"/>
      <c r="M779" s="79"/>
      <c r="R779" s="79"/>
      <c r="S779" s="79"/>
      <c r="V779" s="79"/>
      <c r="W779" s="79"/>
      <c r="Z779" s="130"/>
      <c r="AB779" s="106"/>
    </row>
    <row r="780">
      <c r="C780" s="79"/>
      <c r="D780" s="79"/>
      <c r="E780" s="79"/>
      <c r="M780" s="79"/>
      <c r="R780" s="79"/>
      <c r="S780" s="79"/>
      <c r="V780" s="79"/>
      <c r="W780" s="79"/>
      <c r="Z780" s="130"/>
      <c r="AB780" s="106"/>
    </row>
    <row r="781">
      <c r="C781" s="79"/>
      <c r="D781" s="79"/>
      <c r="E781" s="79"/>
      <c r="M781" s="79"/>
      <c r="R781" s="79"/>
      <c r="S781" s="79"/>
      <c r="V781" s="79"/>
      <c r="W781" s="79"/>
      <c r="Z781" s="130"/>
      <c r="AB781" s="106"/>
    </row>
    <row r="782">
      <c r="C782" s="79"/>
      <c r="D782" s="79"/>
      <c r="E782" s="79"/>
      <c r="M782" s="79"/>
      <c r="R782" s="79"/>
      <c r="S782" s="79"/>
      <c r="V782" s="79"/>
      <c r="W782" s="79"/>
      <c r="Z782" s="130"/>
      <c r="AB782" s="106"/>
    </row>
    <row r="783">
      <c r="C783" s="79"/>
      <c r="D783" s="79"/>
      <c r="E783" s="79"/>
      <c r="M783" s="79"/>
      <c r="R783" s="79"/>
      <c r="S783" s="79"/>
      <c r="V783" s="79"/>
      <c r="W783" s="79"/>
      <c r="Z783" s="130"/>
      <c r="AB783" s="106"/>
    </row>
    <row r="784">
      <c r="C784" s="79"/>
      <c r="D784" s="79"/>
      <c r="E784" s="79"/>
      <c r="M784" s="79"/>
      <c r="R784" s="79"/>
      <c r="S784" s="79"/>
      <c r="V784" s="79"/>
      <c r="W784" s="79"/>
      <c r="Z784" s="130"/>
      <c r="AB784" s="106"/>
    </row>
    <row r="785">
      <c r="C785" s="79"/>
      <c r="D785" s="79"/>
      <c r="E785" s="79"/>
      <c r="M785" s="79"/>
      <c r="R785" s="79"/>
      <c r="S785" s="79"/>
      <c r="V785" s="79"/>
      <c r="W785" s="79"/>
      <c r="Z785" s="130"/>
      <c r="AB785" s="106"/>
    </row>
    <row r="786">
      <c r="C786" s="79"/>
      <c r="D786" s="79"/>
      <c r="E786" s="79"/>
      <c r="M786" s="79"/>
      <c r="R786" s="79"/>
      <c r="S786" s="79"/>
      <c r="V786" s="79"/>
      <c r="W786" s="79"/>
      <c r="Z786" s="130"/>
      <c r="AB786" s="106"/>
    </row>
    <row r="787">
      <c r="C787" s="79"/>
      <c r="D787" s="79"/>
      <c r="E787" s="79"/>
      <c r="M787" s="79"/>
      <c r="R787" s="79"/>
      <c r="S787" s="79"/>
      <c r="V787" s="79"/>
      <c r="W787" s="79"/>
      <c r="Z787" s="130"/>
      <c r="AB787" s="106"/>
    </row>
    <row r="788">
      <c r="C788" s="79"/>
      <c r="D788" s="79"/>
      <c r="E788" s="79"/>
      <c r="M788" s="79"/>
      <c r="R788" s="79"/>
      <c r="S788" s="79"/>
      <c r="V788" s="79"/>
      <c r="W788" s="79"/>
      <c r="Z788" s="130"/>
      <c r="AB788" s="106"/>
    </row>
    <row r="789">
      <c r="C789" s="79"/>
      <c r="D789" s="79"/>
      <c r="E789" s="79"/>
      <c r="M789" s="79"/>
      <c r="R789" s="79"/>
      <c r="S789" s="79"/>
      <c r="V789" s="79"/>
      <c r="W789" s="79"/>
      <c r="Z789" s="130"/>
      <c r="AB789" s="106"/>
    </row>
    <row r="790">
      <c r="C790" s="79"/>
      <c r="D790" s="79"/>
      <c r="E790" s="79"/>
      <c r="M790" s="79"/>
      <c r="R790" s="79"/>
      <c r="S790" s="79"/>
      <c r="V790" s="79"/>
      <c r="W790" s="79"/>
      <c r="Z790" s="130"/>
      <c r="AB790" s="106"/>
    </row>
    <row r="791">
      <c r="C791" s="79"/>
      <c r="D791" s="79"/>
      <c r="E791" s="79"/>
      <c r="M791" s="79"/>
      <c r="R791" s="79"/>
      <c r="S791" s="79"/>
      <c r="V791" s="79"/>
      <c r="W791" s="79"/>
      <c r="Z791" s="130"/>
      <c r="AB791" s="106"/>
    </row>
    <row r="792">
      <c r="C792" s="79"/>
      <c r="D792" s="79"/>
      <c r="E792" s="79"/>
      <c r="M792" s="79"/>
      <c r="R792" s="79"/>
      <c r="S792" s="79"/>
      <c r="V792" s="79"/>
      <c r="W792" s="79"/>
      <c r="Z792" s="130"/>
      <c r="AB792" s="106"/>
    </row>
    <row r="793">
      <c r="C793" s="79"/>
      <c r="D793" s="79"/>
      <c r="E793" s="79"/>
      <c r="M793" s="79"/>
      <c r="R793" s="79"/>
      <c r="S793" s="79"/>
      <c r="V793" s="79"/>
      <c r="W793" s="79"/>
      <c r="Z793" s="130"/>
      <c r="AB793" s="106"/>
    </row>
    <row r="794">
      <c r="C794" s="79"/>
      <c r="D794" s="79"/>
      <c r="E794" s="79"/>
      <c r="M794" s="79"/>
      <c r="R794" s="79"/>
      <c r="S794" s="79"/>
      <c r="V794" s="79"/>
      <c r="W794" s="79"/>
      <c r="Z794" s="130"/>
      <c r="AB794" s="106"/>
    </row>
    <row r="795">
      <c r="C795" s="79"/>
      <c r="D795" s="79"/>
      <c r="E795" s="79"/>
      <c r="M795" s="79"/>
      <c r="R795" s="79"/>
      <c r="S795" s="79"/>
      <c r="V795" s="79"/>
      <c r="W795" s="79"/>
      <c r="Z795" s="130"/>
      <c r="AB795" s="106"/>
    </row>
    <row r="796">
      <c r="C796" s="79"/>
      <c r="D796" s="79"/>
      <c r="E796" s="79"/>
      <c r="M796" s="79"/>
      <c r="R796" s="79"/>
      <c r="S796" s="79"/>
      <c r="V796" s="79"/>
      <c r="W796" s="79"/>
      <c r="Z796" s="130"/>
      <c r="AB796" s="106"/>
    </row>
    <row r="797">
      <c r="C797" s="79"/>
      <c r="D797" s="79"/>
      <c r="E797" s="79"/>
      <c r="M797" s="79"/>
      <c r="R797" s="79"/>
      <c r="S797" s="79"/>
      <c r="V797" s="79"/>
      <c r="W797" s="79"/>
      <c r="Z797" s="130"/>
      <c r="AB797" s="106"/>
    </row>
    <row r="798">
      <c r="C798" s="79"/>
      <c r="D798" s="79"/>
      <c r="E798" s="79"/>
      <c r="M798" s="79"/>
      <c r="R798" s="79"/>
      <c r="S798" s="79"/>
      <c r="V798" s="79"/>
      <c r="W798" s="79"/>
      <c r="Z798" s="130"/>
      <c r="AB798" s="106"/>
    </row>
    <row r="799">
      <c r="C799" s="79"/>
      <c r="D799" s="79"/>
      <c r="E799" s="79"/>
      <c r="M799" s="79"/>
      <c r="R799" s="79"/>
      <c r="S799" s="79"/>
      <c r="V799" s="79"/>
      <c r="W799" s="79"/>
      <c r="Z799" s="130"/>
      <c r="AB799" s="106"/>
    </row>
    <row r="800">
      <c r="C800" s="79"/>
      <c r="D800" s="79"/>
      <c r="E800" s="79"/>
      <c r="M800" s="79"/>
      <c r="R800" s="79"/>
      <c r="S800" s="79"/>
      <c r="V800" s="79"/>
      <c r="W800" s="79"/>
      <c r="Z800" s="130"/>
      <c r="AB800" s="106"/>
    </row>
    <row r="801">
      <c r="C801" s="79"/>
      <c r="D801" s="79"/>
      <c r="E801" s="79"/>
      <c r="M801" s="79"/>
      <c r="R801" s="79"/>
      <c r="S801" s="79"/>
      <c r="V801" s="79"/>
      <c r="W801" s="79"/>
      <c r="Z801" s="130"/>
      <c r="AB801" s="106"/>
    </row>
    <row r="802">
      <c r="C802" s="79"/>
      <c r="D802" s="79"/>
      <c r="E802" s="79"/>
      <c r="M802" s="79"/>
      <c r="R802" s="79"/>
      <c r="S802" s="79"/>
      <c r="V802" s="79"/>
      <c r="W802" s="79"/>
      <c r="Z802" s="130"/>
      <c r="AB802" s="106"/>
    </row>
    <row r="803">
      <c r="C803" s="79"/>
      <c r="D803" s="79"/>
      <c r="E803" s="79"/>
      <c r="M803" s="79"/>
      <c r="R803" s="79"/>
      <c r="S803" s="79"/>
      <c r="V803" s="79"/>
      <c r="W803" s="79"/>
      <c r="Z803" s="130"/>
      <c r="AB803" s="106"/>
    </row>
    <row r="804">
      <c r="C804" s="79"/>
      <c r="D804" s="79"/>
      <c r="E804" s="79"/>
      <c r="M804" s="79"/>
      <c r="R804" s="79"/>
      <c r="S804" s="79"/>
      <c r="V804" s="79"/>
      <c r="W804" s="79"/>
      <c r="Z804" s="130"/>
      <c r="AB804" s="106"/>
    </row>
    <row r="805">
      <c r="C805" s="79"/>
      <c r="D805" s="79"/>
      <c r="E805" s="79"/>
      <c r="M805" s="79"/>
      <c r="R805" s="79"/>
      <c r="S805" s="79"/>
      <c r="V805" s="79"/>
      <c r="W805" s="79"/>
      <c r="Z805" s="130"/>
      <c r="AB805" s="106"/>
    </row>
    <row r="806">
      <c r="C806" s="79"/>
      <c r="D806" s="79"/>
      <c r="E806" s="79"/>
      <c r="M806" s="79"/>
      <c r="R806" s="79"/>
      <c r="S806" s="79"/>
      <c r="V806" s="79"/>
      <c r="W806" s="79"/>
      <c r="Z806" s="130"/>
      <c r="AB806" s="106"/>
    </row>
    <row r="807">
      <c r="C807" s="79"/>
      <c r="D807" s="79"/>
      <c r="E807" s="79"/>
      <c r="M807" s="79"/>
      <c r="R807" s="79"/>
      <c r="S807" s="79"/>
      <c r="V807" s="79"/>
      <c r="W807" s="79"/>
      <c r="Z807" s="130"/>
      <c r="AB807" s="106"/>
    </row>
    <row r="808">
      <c r="C808" s="79"/>
      <c r="D808" s="79"/>
      <c r="E808" s="79"/>
      <c r="M808" s="79"/>
      <c r="R808" s="79"/>
      <c r="S808" s="79"/>
      <c r="V808" s="79"/>
      <c r="W808" s="79"/>
      <c r="Z808" s="130"/>
      <c r="AB808" s="106"/>
    </row>
    <row r="809">
      <c r="C809" s="79"/>
      <c r="D809" s="79"/>
      <c r="E809" s="79"/>
      <c r="M809" s="79"/>
      <c r="R809" s="79"/>
      <c r="S809" s="79"/>
      <c r="V809" s="79"/>
      <c r="W809" s="79"/>
      <c r="Z809" s="130"/>
      <c r="AB809" s="106"/>
    </row>
    <row r="810">
      <c r="C810" s="79"/>
      <c r="D810" s="79"/>
      <c r="E810" s="79"/>
      <c r="M810" s="79"/>
      <c r="R810" s="79"/>
      <c r="S810" s="79"/>
      <c r="V810" s="79"/>
      <c r="W810" s="79"/>
      <c r="Z810" s="130"/>
      <c r="AB810" s="106"/>
    </row>
    <row r="811">
      <c r="C811" s="79"/>
      <c r="D811" s="79"/>
      <c r="E811" s="79"/>
      <c r="M811" s="79"/>
      <c r="R811" s="79"/>
      <c r="S811" s="79"/>
      <c r="V811" s="79"/>
      <c r="W811" s="79"/>
      <c r="Z811" s="130"/>
      <c r="AB811" s="106"/>
    </row>
    <row r="812">
      <c r="C812" s="79"/>
      <c r="D812" s="79"/>
      <c r="E812" s="79"/>
      <c r="M812" s="79"/>
      <c r="R812" s="79"/>
      <c r="S812" s="79"/>
      <c r="V812" s="79"/>
      <c r="W812" s="79"/>
      <c r="Z812" s="130"/>
      <c r="AB812" s="106"/>
    </row>
    <row r="813">
      <c r="C813" s="79"/>
      <c r="D813" s="79"/>
      <c r="E813" s="79"/>
      <c r="M813" s="79"/>
      <c r="R813" s="79"/>
      <c r="S813" s="79"/>
      <c r="V813" s="79"/>
      <c r="W813" s="79"/>
      <c r="Z813" s="130"/>
      <c r="AB813" s="106"/>
    </row>
    <row r="814">
      <c r="C814" s="79"/>
      <c r="D814" s="79"/>
      <c r="E814" s="79"/>
      <c r="M814" s="79"/>
      <c r="R814" s="79"/>
      <c r="S814" s="79"/>
      <c r="V814" s="79"/>
      <c r="W814" s="79"/>
      <c r="Z814" s="130"/>
      <c r="AB814" s="106"/>
    </row>
    <row r="815">
      <c r="C815" s="79"/>
      <c r="D815" s="79"/>
      <c r="E815" s="79"/>
      <c r="M815" s="79"/>
      <c r="R815" s="79"/>
      <c r="S815" s="79"/>
      <c r="V815" s="79"/>
      <c r="W815" s="79"/>
      <c r="Z815" s="130"/>
      <c r="AB815" s="106"/>
    </row>
    <row r="816">
      <c r="C816" s="79"/>
      <c r="D816" s="79"/>
      <c r="E816" s="79"/>
      <c r="M816" s="79"/>
      <c r="R816" s="79"/>
      <c r="S816" s="79"/>
      <c r="V816" s="79"/>
      <c r="W816" s="79"/>
      <c r="Z816" s="130"/>
      <c r="AB816" s="106"/>
    </row>
    <row r="817">
      <c r="C817" s="79"/>
      <c r="D817" s="79"/>
      <c r="E817" s="79"/>
      <c r="M817" s="79"/>
      <c r="R817" s="79"/>
      <c r="S817" s="79"/>
      <c r="V817" s="79"/>
      <c r="W817" s="79"/>
      <c r="Z817" s="130"/>
      <c r="AB817" s="106"/>
    </row>
    <row r="818">
      <c r="C818" s="79"/>
      <c r="D818" s="79"/>
      <c r="E818" s="79"/>
      <c r="M818" s="79"/>
      <c r="R818" s="79"/>
      <c r="S818" s="79"/>
      <c r="V818" s="79"/>
      <c r="W818" s="79"/>
      <c r="Z818" s="130"/>
      <c r="AB818" s="106"/>
    </row>
    <row r="819">
      <c r="C819" s="79"/>
      <c r="D819" s="79"/>
      <c r="E819" s="79"/>
      <c r="M819" s="79"/>
      <c r="R819" s="79"/>
      <c r="S819" s="79"/>
      <c r="V819" s="79"/>
      <c r="W819" s="79"/>
      <c r="Z819" s="130"/>
      <c r="AB819" s="106"/>
    </row>
    <row r="820">
      <c r="C820" s="79"/>
      <c r="D820" s="79"/>
      <c r="E820" s="79"/>
      <c r="M820" s="79"/>
      <c r="R820" s="79"/>
      <c r="S820" s="79"/>
      <c r="V820" s="79"/>
      <c r="W820" s="79"/>
      <c r="Z820" s="130"/>
      <c r="AB820" s="106"/>
    </row>
    <row r="821">
      <c r="C821" s="79"/>
      <c r="D821" s="79"/>
      <c r="E821" s="79"/>
      <c r="M821" s="79"/>
      <c r="R821" s="79"/>
      <c r="S821" s="79"/>
      <c r="V821" s="79"/>
      <c r="W821" s="79"/>
      <c r="Z821" s="130"/>
      <c r="AB821" s="106"/>
    </row>
    <row r="822">
      <c r="C822" s="79"/>
      <c r="D822" s="79"/>
      <c r="E822" s="79"/>
      <c r="M822" s="79"/>
      <c r="R822" s="79"/>
      <c r="S822" s="79"/>
      <c r="V822" s="79"/>
      <c r="W822" s="79"/>
      <c r="Z822" s="130"/>
      <c r="AB822" s="106"/>
    </row>
    <row r="823">
      <c r="C823" s="79"/>
      <c r="D823" s="79"/>
      <c r="E823" s="79"/>
      <c r="M823" s="79"/>
      <c r="R823" s="79"/>
      <c r="S823" s="79"/>
      <c r="V823" s="79"/>
      <c r="W823" s="79"/>
      <c r="Z823" s="130"/>
      <c r="AB823" s="106"/>
    </row>
    <row r="824">
      <c r="C824" s="79"/>
      <c r="D824" s="79"/>
      <c r="E824" s="79"/>
      <c r="M824" s="79"/>
      <c r="R824" s="79"/>
      <c r="S824" s="79"/>
      <c r="V824" s="79"/>
      <c r="W824" s="79"/>
      <c r="Z824" s="130"/>
      <c r="AB824" s="106"/>
    </row>
    <row r="825">
      <c r="C825" s="79"/>
      <c r="D825" s="79"/>
      <c r="E825" s="79"/>
      <c r="M825" s="79"/>
      <c r="R825" s="79"/>
      <c r="S825" s="79"/>
      <c r="V825" s="79"/>
      <c r="W825" s="79"/>
      <c r="Z825" s="130"/>
      <c r="AB825" s="106"/>
    </row>
    <row r="826">
      <c r="C826" s="79"/>
      <c r="D826" s="79"/>
      <c r="E826" s="79"/>
      <c r="M826" s="79"/>
      <c r="R826" s="79"/>
      <c r="S826" s="79"/>
      <c r="V826" s="79"/>
      <c r="W826" s="79"/>
      <c r="Z826" s="130"/>
      <c r="AB826" s="106"/>
    </row>
    <row r="827">
      <c r="C827" s="79"/>
      <c r="D827" s="79"/>
      <c r="E827" s="79"/>
      <c r="M827" s="79"/>
      <c r="R827" s="79"/>
      <c r="S827" s="79"/>
      <c r="V827" s="79"/>
      <c r="W827" s="79"/>
      <c r="Z827" s="130"/>
      <c r="AB827" s="106"/>
    </row>
    <row r="828">
      <c r="C828" s="79"/>
      <c r="D828" s="79"/>
      <c r="E828" s="79"/>
      <c r="M828" s="79"/>
      <c r="R828" s="79"/>
      <c r="S828" s="79"/>
      <c r="V828" s="79"/>
      <c r="W828" s="79"/>
      <c r="Z828" s="130"/>
      <c r="AB828" s="106"/>
    </row>
    <row r="829">
      <c r="C829" s="79"/>
      <c r="D829" s="79"/>
      <c r="E829" s="79"/>
      <c r="M829" s="79"/>
      <c r="R829" s="79"/>
      <c r="S829" s="79"/>
      <c r="V829" s="79"/>
      <c r="W829" s="79"/>
      <c r="Z829" s="130"/>
      <c r="AB829" s="106"/>
    </row>
    <row r="830">
      <c r="C830" s="79"/>
      <c r="D830" s="79"/>
      <c r="E830" s="79"/>
      <c r="M830" s="79"/>
      <c r="R830" s="79"/>
      <c r="S830" s="79"/>
      <c r="V830" s="79"/>
      <c r="W830" s="79"/>
      <c r="Z830" s="130"/>
      <c r="AB830" s="106"/>
    </row>
    <row r="831">
      <c r="C831" s="79"/>
      <c r="D831" s="79"/>
      <c r="E831" s="79"/>
      <c r="M831" s="79"/>
      <c r="R831" s="79"/>
      <c r="S831" s="79"/>
      <c r="V831" s="79"/>
      <c r="W831" s="79"/>
      <c r="Z831" s="130"/>
      <c r="AB831" s="106"/>
    </row>
    <row r="832">
      <c r="C832" s="79"/>
      <c r="D832" s="79"/>
      <c r="E832" s="79"/>
      <c r="M832" s="79"/>
      <c r="R832" s="79"/>
      <c r="S832" s="79"/>
      <c r="V832" s="79"/>
      <c r="W832" s="79"/>
      <c r="Z832" s="130"/>
      <c r="AB832" s="106"/>
    </row>
    <row r="833">
      <c r="C833" s="79"/>
      <c r="D833" s="79"/>
      <c r="E833" s="79"/>
      <c r="M833" s="79"/>
      <c r="R833" s="79"/>
      <c r="S833" s="79"/>
      <c r="V833" s="79"/>
      <c r="W833" s="79"/>
      <c r="Z833" s="130"/>
      <c r="AB833" s="106"/>
    </row>
    <row r="834">
      <c r="C834" s="79"/>
      <c r="D834" s="79"/>
      <c r="E834" s="79"/>
      <c r="M834" s="79"/>
      <c r="R834" s="79"/>
      <c r="S834" s="79"/>
      <c r="V834" s="79"/>
      <c r="W834" s="79"/>
      <c r="Z834" s="130"/>
      <c r="AB834" s="106"/>
    </row>
    <row r="835">
      <c r="C835" s="79"/>
      <c r="D835" s="79"/>
      <c r="E835" s="79"/>
      <c r="M835" s="79"/>
      <c r="R835" s="79"/>
      <c r="S835" s="79"/>
      <c r="V835" s="79"/>
      <c r="W835" s="79"/>
      <c r="Z835" s="130"/>
      <c r="AB835" s="106"/>
    </row>
    <row r="836">
      <c r="C836" s="79"/>
      <c r="D836" s="79"/>
      <c r="E836" s="79"/>
      <c r="M836" s="79"/>
      <c r="R836" s="79"/>
      <c r="S836" s="79"/>
      <c r="V836" s="79"/>
      <c r="W836" s="79"/>
      <c r="Z836" s="130"/>
      <c r="AB836" s="106"/>
    </row>
    <row r="837">
      <c r="C837" s="79"/>
      <c r="D837" s="79"/>
      <c r="E837" s="79"/>
      <c r="M837" s="79"/>
      <c r="R837" s="79"/>
      <c r="S837" s="79"/>
      <c r="V837" s="79"/>
      <c r="W837" s="79"/>
      <c r="Z837" s="130"/>
      <c r="AB837" s="106"/>
    </row>
    <row r="838">
      <c r="C838" s="79"/>
      <c r="D838" s="79"/>
      <c r="E838" s="79"/>
      <c r="M838" s="79"/>
      <c r="R838" s="79"/>
      <c r="S838" s="79"/>
      <c r="V838" s="79"/>
      <c r="W838" s="79"/>
      <c r="Z838" s="130"/>
      <c r="AB838" s="106"/>
    </row>
    <row r="839">
      <c r="C839" s="79"/>
      <c r="D839" s="79"/>
      <c r="E839" s="79"/>
      <c r="M839" s="79"/>
      <c r="R839" s="79"/>
      <c r="S839" s="79"/>
      <c r="V839" s="79"/>
      <c r="W839" s="79"/>
      <c r="Z839" s="130"/>
      <c r="AB839" s="106"/>
    </row>
    <row r="840">
      <c r="C840" s="79"/>
      <c r="D840" s="79"/>
      <c r="E840" s="79"/>
      <c r="M840" s="79"/>
      <c r="R840" s="79"/>
      <c r="S840" s="79"/>
      <c r="V840" s="79"/>
      <c r="W840" s="79"/>
      <c r="Z840" s="130"/>
      <c r="AB840" s="106"/>
    </row>
    <row r="841">
      <c r="C841" s="79"/>
      <c r="D841" s="79"/>
      <c r="E841" s="79"/>
      <c r="M841" s="79"/>
      <c r="R841" s="79"/>
      <c r="S841" s="79"/>
      <c r="V841" s="79"/>
      <c r="W841" s="79"/>
      <c r="Z841" s="130"/>
      <c r="AB841" s="106"/>
    </row>
    <row r="842">
      <c r="C842" s="79"/>
      <c r="D842" s="79"/>
      <c r="E842" s="79"/>
      <c r="M842" s="79"/>
      <c r="R842" s="79"/>
      <c r="S842" s="79"/>
      <c r="V842" s="79"/>
      <c r="W842" s="79"/>
      <c r="Z842" s="130"/>
      <c r="AB842" s="106"/>
    </row>
    <row r="843">
      <c r="C843" s="79"/>
      <c r="D843" s="79"/>
      <c r="E843" s="79"/>
      <c r="M843" s="79"/>
      <c r="R843" s="79"/>
      <c r="S843" s="79"/>
      <c r="V843" s="79"/>
      <c r="W843" s="79"/>
      <c r="Z843" s="130"/>
      <c r="AB843" s="106"/>
    </row>
    <row r="844">
      <c r="C844" s="79"/>
      <c r="D844" s="79"/>
      <c r="E844" s="79"/>
      <c r="M844" s="79"/>
      <c r="R844" s="79"/>
      <c r="S844" s="79"/>
      <c r="V844" s="79"/>
      <c r="W844" s="79"/>
      <c r="Z844" s="130"/>
      <c r="AB844" s="106"/>
    </row>
    <row r="845">
      <c r="C845" s="79"/>
      <c r="D845" s="79"/>
      <c r="E845" s="79"/>
      <c r="M845" s="79"/>
      <c r="R845" s="79"/>
      <c r="S845" s="79"/>
      <c r="V845" s="79"/>
      <c r="W845" s="79"/>
      <c r="Z845" s="130"/>
      <c r="AB845" s="106"/>
    </row>
    <row r="846">
      <c r="C846" s="79"/>
      <c r="D846" s="79"/>
      <c r="E846" s="79"/>
      <c r="M846" s="79"/>
      <c r="R846" s="79"/>
      <c r="S846" s="79"/>
      <c r="V846" s="79"/>
      <c r="W846" s="79"/>
      <c r="Z846" s="130"/>
      <c r="AB846" s="106"/>
    </row>
    <row r="847">
      <c r="C847" s="79"/>
      <c r="D847" s="79"/>
      <c r="E847" s="79"/>
      <c r="M847" s="79"/>
      <c r="R847" s="79"/>
      <c r="S847" s="79"/>
      <c r="V847" s="79"/>
      <c r="W847" s="79"/>
      <c r="Z847" s="130"/>
      <c r="AB847" s="106"/>
    </row>
    <row r="848">
      <c r="C848" s="79"/>
      <c r="D848" s="79"/>
      <c r="E848" s="79"/>
      <c r="M848" s="79"/>
      <c r="R848" s="79"/>
      <c r="S848" s="79"/>
      <c r="V848" s="79"/>
      <c r="W848" s="79"/>
      <c r="Z848" s="130"/>
      <c r="AB848" s="106"/>
    </row>
    <row r="849">
      <c r="C849" s="79"/>
      <c r="D849" s="79"/>
      <c r="E849" s="79"/>
      <c r="M849" s="79"/>
      <c r="R849" s="79"/>
      <c r="S849" s="79"/>
      <c r="V849" s="79"/>
      <c r="W849" s="79"/>
      <c r="Z849" s="130"/>
      <c r="AB849" s="106"/>
    </row>
    <row r="850">
      <c r="C850" s="79"/>
      <c r="D850" s="79"/>
      <c r="E850" s="79"/>
      <c r="M850" s="79"/>
      <c r="R850" s="79"/>
      <c r="S850" s="79"/>
      <c r="V850" s="79"/>
      <c r="W850" s="79"/>
      <c r="Z850" s="130"/>
      <c r="AB850" s="106"/>
    </row>
    <row r="851">
      <c r="C851" s="79"/>
      <c r="D851" s="79"/>
      <c r="E851" s="79"/>
      <c r="M851" s="79"/>
      <c r="R851" s="79"/>
      <c r="S851" s="79"/>
      <c r="V851" s="79"/>
      <c r="W851" s="79"/>
      <c r="Z851" s="130"/>
      <c r="AB851" s="106"/>
    </row>
    <row r="852">
      <c r="C852" s="79"/>
      <c r="D852" s="79"/>
      <c r="E852" s="79"/>
      <c r="M852" s="79"/>
      <c r="R852" s="79"/>
      <c r="S852" s="79"/>
      <c r="V852" s="79"/>
      <c r="W852" s="79"/>
      <c r="Z852" s="130"/>
      <c r="AB852" s="106"/>
    </row>
    <row r="853">
      <c r="C853" s="79"/>
      <c r="D853" s="79"/>
      <c r="E853" s="79"/>
      <c r="M853" s="79"/>
      <c r="R853" s="79"/>
      <c r="S853" s="79"/>
      <c r="V853" s="79"/>
      <c r="W853" s="79"/>
      <c r="Z853" s="130"/>
      <c r="AB853" s="106"/>
    </row>
    <row r="854">
      <c r="C854" s="79"/>
      <c r="D854" s="79"/>
      <c r="E854" s="79"/>
      <c r="M854" s="79"/>
      <c r="R854" s="79"/>
      <c r="S854" s="79"/>
      <c r="V854" s="79"/>
      <c r="W854" s="79"/>
      <c r="Z854" s="130"/>
      <c r="AB854" s="106"/>
    </row>
    <row r="855">
      <c r="C855" s="79"/>
      <c r="D855" s="79"/>
      <c r="E855" s="79"/>
      <c r="M855" s="79"/>
      <c r="R855" s="79"/>
      <c r="S855" s="79"/>
      <c r="V855" s="79"/>
      <c r="W855" s="79"/>
      <c r="Z855" s="130"/>
      <c r="AB855" s="106"/>
    </row>
    <row r="856">
      <c r="C856" s="79"/>
      <c r="D856" s="79"/>
      <c r="E856" s="79"/>
      <c r="M856" s="79"/>
      <c r="R856" s="79"/>
      <c r="S856" s="79"/>
      <c r="V856" s="79"/>
      <c r="W856" s="79"/>
      <c r="Z856" s="130"/>
      <c r="AB856" s="106"/>
    </row>
    <row r="857">
      <c r="C857" s="79"/>
      <c r="D857" s="79"/>
      <c r="E857" s="79"/>
      <c r="M857" s="79"/>
      <c r="R857" s="79"/>
      <c r="S857" s="79"/>
      <c r="V857" s="79"/>
      <c r="W857" s="79"/>
      <c r="Z857" s="130"/>
      <c r="AB857" s="106"/>
    </row>
    <row r="858">
      <c r="C858" s="79"/>
      <c r="D858" s="79"/>
      <c r="E858" s="79"/>
      <c r="M858" s="79"/>
      <c r="R858" s="79"/>
      <c r="S858" s="79"/>
      <c r="V858" s="79"/>
      <c r="W858" s="79"/>
      <c r="Z858" s="130"/>
      <c r="AB858" s="106"/>
    </row>
    <row r="859">
      <c r="C859" s="79"/>
      <c r="D859" s="79"/>
      <c r="E859" s="79"/>
      <c r="M859" s="79"/>
      <c r="R859" s="79"/>
      <c r="S859" s="79"/>
      <c r="V859" s="79"/>
      <c r="W859" s="79"/>
      <c r="Z859" s="130"/>
      <c r="AB859" s="106"/>
    </row>
    <row r="860">
      <c r="C860" s="79"/>
      <c r="D860" s="79"/>
      <c r="E860" s="79"/>
      <c r="M860" s="79"/>
      <c r="R860" s="79"/>
      <c r="S860" s="79"/>
      <c r="V860" s="79"/>
      <c r="W860" s="79"/>
      <c r="Z860" s="130"/>
      <c r="AB860" s="106"/>
    </row>
    <row r="861">
      <c r="C861" s="79"/>
      <c r="D861" s="79"/>
      <c r="E861" s="79"/>
      <c r="M861" s="79"/>
      <c r="R861" s="79"/>
      <c r="S861" s="79"/>
      <c r="V861" s="79"/>
      <c r="W861" s="79"/>
      <c r="Z861" s="130"/>
      <c r="AB861" s="106"/>
    </row>
    <row r="862">
      <c r="C862" s="79"/>
      <c r="D862" s="79"/>
      <c r="E862" s="79"/>
      <c r="M862" s="79"/>
      <c r="R862" s="79"/>
      <c r="S862" s="79"/>
      <c r="V862" s="79"/>
      <c r="W862" s="79"/>
      <c r="Z862" s="130"/>
      <c r="AB862" s="106"/>
    </row>
    <row r="863">
      <c r="C863" s="79"/>
      <c r="D863" s="79"/>
      <c r="E863" s="79"/>
      <c r="M863" s="79"/>
      <c r="R863" s="79"/>
      <c r="S863" s="79"/>
      <c r="V863" s="79"/>
      <c r="W863" s="79"/>
      <c r="Z863" s="130"/>
      <c r="AB863" s="106"/>
    </row>
    <row r="864">
      <c r="C864" s="79"/>
      <c r="D864" s="79"/>
      <c r="E864" s="79"/>
      <c r="M864" s="79"/>
      <c r="R864" s="79"/>
      <c r="S864" s="79"/>
      <c r="V864" s="79"/>
      <c r="W864" s="79"/>
      <c r="Z864" s="130"/>
      <c r="AB864" s="106"/>
    </row>
    <row r="865">
      <c r="C865" s="79"/>
      <c r="D865" s="79"/>
      <c r="E865" s="79"/>
      <c r="M865" s="79"/>
      <c r="R865" s="79"/>
      <c r="S865" s="79"/>
      <c r="V865" s="79"/>
      <c r="W865" s="79"/>
      <c r="Z865" s="130"/>
      <c r="AB865" s="106"/>
    </row>
    <row r="866">
      <c r="C866" s="79"/>
      <c r="D866" s="79"/>
      <c r="E866" s="79"/>
      <c r="M866" s="79"/>
      <c r="R866" s="79"/>
      <c r="S866" s="79"/>
      <c r="V866" s="79"/>
      <c r="W866" s="79"/>
      <c r="Z866" s="130"/>
      <c r="AB866" s="106"/>
    </row>
    <row r="867">
      <c r="C867" s="79"/>
      <c r="D867" s="79"/>
      <c r="E867" s="79"/>
      <c r="M867" s="79"/>
      <c r="R867" s="79"/>
      <c r="S867" s="79"/>
      <c r="V867" s="79"/>
      <c r="W867" s="79"/>
      <c r="Z867" s="130"/>
      <c r="AB867" s="106"/>
    </row>
    <row r="868">
      <c r="C868" s="79"/>
      <c r="D868" s="79"/>
      <c r="E868" s="79"/>
      <c r="M868" s="79"/>
      <c r="R868" s="79"/>
      <c r="S868" s="79"/>
      <c r="V868" s="79"/>
      <c r="W868" s="79"/>
      <c r="Z868" s="130"/>
      <c r="AB868" s="106"/>
    </row>
    <row r="869">
      <c r="C869" s="79"/>
      <c r="D869" s="79"/>
      <c r="E869" s="79"/>
      <c r="M869" s="79"/>
      <c r="R869" s="79"/>
      <c r="S869" s="79"/>
      <c r="V869" s="79"/>
      <c r="W869" s="79"/>
      <c r="Z869" s="130"/>
      <c r="AB869" s="106"/>
    </row>
    <row r="870">
      <c r="C870" s="79"/>
      <c r="D870" s="79"/>
      <c r="E870" s="79"/>
      <c r="M870" s="79"/>
      <c r="R870" s="79"/>
      <c r="S870" s="79"/>
      <c r="V870" s="79"/>
      <c r="W870" s="79"/>
      <c r="Z870" s="130"/>
      <c r="AB870" s="106"/>
    </row>
    <row r="871">
      <c r="C871" s="79"/>
      <c r="D871" s="79"/>
      <c r="E871" s="79"/>
      <c r="M871" s="79"/>
      <c r="R871" s="79"/>
      <c r="S871" s="79"/>
      <c r="V871" s="79"/>
      <c r="W871" s="79"/>
      <c r="Z871" s="130"/>
      <c r="AB871" s="106"/>
    </row>
    <row r="872">
      <c r="C872" s="79"/>
      <c r="D872" s="79"/>
      <c r="E872" s="79"/>
      <c r="M872" s="79"/>
      <c r="R872" s="79"/>
      <c r="S872" s="79"/>
      <c r="V872" s="79"/>
      <c r="W872" s="79"/>
      <c r="Z872" s="130"/>
      <c r="AB872" s="106"/>
    </row>
    <row r="873">
      <c r="C873" s="79"/>
      <c r="D873" s="79"/>
      <c r="E873" s="79"/>
      <c r="M873" s="79"/>
      <c r="R873" s="79"/>
      <c r="S873" s="79"/>
      <c r="V873" s="79"/>
      <c r="W873" s="79"/>
      <c r="Z873" s="130"/>
      <c r="AB873" s="106"/>
    </row>
    <row r="874">
      <c r="C874" s="79"/>
      <c r="D874" s="79"/>
      <c r="E874" s="79"/>
      <c r="M874" s="79"/>
      <c r="R874" s="79"/>
      <c r="S874" s="79"/>
      <c r="V874" s="79"/>
      <c r="W874" s="79"/>
      <c r="Z874" s="130"/>
      <c r="AB874" s="106"/>
    </row>
    <row r="875">
      <c r="C875" s="79"/>
      <c r="D875" s="79"/>
      <c r="E875" s="79"/>
      <c r="M875" s="79"/>
      <c r="R875" s="79"/>
      <c r="S875" s="79"/>
      <c r="V875" s="79"/>
      <c r="W875" s="79"/>
      <c r="Z875" s="130"/>
      <c r="AB875" s="106"/>
    </row>
    <row r="876">
      <c r="C876" s="79"/>
      <c r="D876" s="79"/>
      <c r="E876" s="79"/>
      <c r="M876" s="79"/>
      <c r="R876" s="79"/>
      <c r="S876" s="79"/>
      <c r="V876" s="79"/>
      <c r="W876" s="79"/>
      <c r="Z876" s="130"/>
      <c r="AB876" s="106"/>
    </row>
    <row r="877">
      <c r="C877" s="79"/>
      <c r="D877" s="79"/>
      <c r="E877" s="79"/>
      <c r="M877" s="79"/>
      <c r="R877" s="79"/>
      <c r="S877" s="79"/>
      <c r="V877" s="79"/>
      <c r="W877" s="79"/>
      <c r="Z877" s="130"/>
      <c r="AB877" s="106"/>
    </row>
    <row r="878">
      <c r="C878" s="79"/>
      <c r="D878" s="79"/>
      <c r="E878" s="79"/>
      <c r="M878" s="79"/>
      <c r="R878" s="79"/>
      <c r="S878" s="79"/>
      <c r="V878" s="79"/>
      <c r="W878" s="79"/>
      <c r="Z878" s="130"/>
      <c r="AB878" s="106"/>
    </row>
    <row r="879">
      <c r="C879" s="79"/>
      <c r="D879" s="79"/>
      <c r="E879" s="79"/>
      <c r="M879" s="79"/>
      <c r="R879" s="79"/>
      <c r="S879" s="79"/>
      <c r="V879" s="79"/>
      <c r="W879" s="79"/>
      <c r="Z879" s="130"/>
      <c r="AB879" s="106"/>
    </row>
    <row r="880">
      <c r="C880" s="79"/>
      <c r="D880" s="79"/>
      <c r="E880" s="79"/>
      <c r="M880" s="79"/>
      <c r="R880" s="79"/>
      <c r="S880" s="79"/>
      <c r="V880" s="79"/>
      <c r="W880" s="79"/>
      <c r="Z880" s="130"/>
      <c r="AB880" s="106"/>
    </row>
    <row r="881">
      <c r="C881" s="79"/>
      <c r="D881" s="79"/>
      <c r="E881" s="79"/>
      <c r="M881" s="79"/>
      <c r="R881" s="79"/>
      <c r="S881" s="79"/>
      <c r="V881" s="79"/>
      <c r="W881" s="79"/>
      <c r="Z881" s="130"/>
      <c r="AB881" s="106"/>
    </row>
    <row r="882">
      <c r="C882" s="79"/>
      <c r="D882" s="79"/>
      <c r="E882" s="79"/>
      <c r="M882" s="79"/>
      <c r="R882" s="79"/>
      <c r="S882" s="79"/>
      <c r="V882" s="79"/>
      <c r="W882" s="79"/>
      <c r="Z882" s="130"/>
      <c r="AB882" s="106"/>
    </row>
    <row r="883">
      <c r="C883" s="79"/>
      <c r="D883" s="79"/>
      <c r="E883" s="79"/>
      <c r="M883" s="79"/>
      <c r="R883" s="79"/>
      <c r="S883" s="79"/>
      <c r="V883" s="79"/>
      <c r="W883" s="79"/>
      <c r="Z883" s="130"/>
      <c r="AB883" s="106"/>
    </row>
    <row r="884">
      <c r="C884" s="79"/>
      <c r="D884" s="79"/>
      <c r="E884" s="79"/>
      <c r="M884" s="79"/>
      <c r="R884" s="79"/>
      <c r="S884" s="79"/>
      <c r="V884" s="79"/>
      <c r="W884" s="79"/>
      <c r="Z884" s="130"/>
      <c r="AB884" s="106"/>
    </row>
    <row r="885">
      <c r="C885" s="79"/>
      <c r="D885" s="79"/>
      <c r="E885" s="79"/>
      <c r="M885" s="79"/>
      <c r="R885" s="79"/>
      <c r="S885" s="79"/>
      <c r="V885" s="79"/>
      <c r="W885" s="79"/>
      <c r="Z885" s="130"/>
      <c r="AB885" s="106"/>
    </row>
    <row r="886">
      <c r="C886" s="79"/>
      <c r="D886" s="79"/>
      <c r="E886" s="79"/>
      <c r="M886" s="79"/>
      <c r="R886" s="79"/>
      <c r="S886" s="79"/>
      <c r="V886" s="79"/>
      <c r="W886" s="79"/>
      <c r="Z886" s="130"/>
      <c r="AB886" s="106"/>
    </row>
    <row r="887">
      <c r="C887" s="79"/>
      <c r="D887" s="79"/>
      <c r="E887" s="79"/>
      <c r="M887" s="79"/>
      <c r="R887" s="79"/>
      <c r="S887" s="79"/>
      <c r="V887" s="79"/>
      <c r="W887" s="79"/>
      <c r="Z887" s="130"/>
      <c r="AB887" s="106"/>
    </row>
    <row r="888">
      <c r="C888" s="79"/>
      <c r="D888" s="79"/>
      <c r="E888" s="79"/>
      <c r="M888" s="79"/>
      <c r="R888" s="79"/>
      <c r="S888" s="79"/>
      <c r="V888" s="79"/>
      <c r="W888" s="79"/>
      <c r="Z888" s="130"/>
      <c r="AB888" s="106"/>
    </row>
    <row r="889">
      <c r="C889" s="79"/>
      <c r="D889" s="79"/>
      <c r="E889" s="79"/>
      <c r="M889" s="79"/>
      <c r="R889" s="79"/>
      <c r="S889" s="79"/>
      <c r="V889" s="79"/>
      <c r="W889" s="79"/>
      <c r="Z889" s="130"/>
      <c r="AB889" s="106"/>
    </row>
    <row r="890">
      <c r="C890" s="79"/>
      <c r="D890" s="79"/>
      <c r="E890" s="79"/>
      <c r="M890" s="79"/>
      <c r="R890" s="79"/>
      <c r="S890" s="79"/>
      <c r="V890" s="79"/>
      <c r="W890" s="79"/>
      <c r="Z890" s="130"/>
      <c r="AB890" s="106"/>
    </row>
    <row r="891">
      <c r="C891" s="79"/>
      <c r="D891" s="79"/>
      <c r="E891" s="79"/>
      <c r="M891" s="79"/>
      <c r="R891" s="79"/>
      <c r="S891" s="79"/>
      <c r="V891" s="79"/>
      <c r="W891" s="79"/>
      <c r="Z891" s="130"/>
      <c r="AB891" s="106"/>
    </row>
    <row r="892">
      <c r="C892" s="79"/>
      <c r="D892" s="79"/>
      <c r="E892" s="79"/>
      <c r="M892" s="79"/>
      <c r="R892" s="79"/>
      <c r="S892" s="79"/>
      <c r="V892" s="79"/>
      <c r="W892" s="79"/>
      <c r="Z892" s="130"/>
      <c r="AB892" s="106"/>
    </row>
    <row r="893">
      <c r="C893" s="79"/>
      <c r="D893" s="79"/>
      <c r="E893" s="79"/>
      <c r="M893" s="79"/>
      <c r="R893" s="79"/>
      <c r="S893" s="79"/>
      <c r="V893" s="79"/>
      <c r="W893" s="79"/>
      <c r="Z893" s="130"/>
      <c r="AB893" s="106"/>
    </row>
    <row r="894">
      <c r="C894" s="79"/>
      <c r="D894" s="79"/>
      <c r="E894" s="79"/>
      <c r="M894" s="79"/>
      <c r="R894" s="79"/>
      <c r="S894" s="79"/>
      <c r="V894" s="79"/>
      <c r="W894" s="79"/>
      <c r="Z894" s="130"/>
      <c r="AB894" s="106"/>
    </row>
    <row r="895">
      <c r="C895" s="79"/>
      <c r="D895" s="79"/>
      <c r="E895" s="79"/>
      <c r="M895" s="79"/>
      <c r="R895" s="79"/>
      <c r="S895" s="79"/>
      <c r="V895" s="79"/>
      <c r="W895" s="79"/>
      <c r="Z895" s="130"/>
      <c r="AB895" s="106"/>
    </row>
    <row r="896">
      <c r="C896" s="79"/>
      <c r="D896" s="79"/>
      <c r="E896" s="79"/>
      <c r="M896" s="79"/>
      <c r="R896" s="79"/>
      <c r="S896" s="79"/>
      <c r="V896" s="79"/>
      <c r="W896" s="79"/>
      <c r="Z896" s="130"/>
      <c r="AB896" s="106"/>
    </row>
    <row r="897">
      <c r="C897" s="79"/>
      <c r="D897" s="79"/>
      <c r="E897" s="79"/>
      <c r="M897" s="79"/>
      <c r="R897" s="79"/>
      <c r="S897" s="79"/>
      <c r="V897" s="79"/>
      <c r="W897" s="79"/>
      <c r="Z897" s="130"/>
      <c r="AB897" s="106"/>
    </row>
    <row r="898">
      <c r="C898" s="79"/>
      <c r="D898" s="79"/>
      <c r="E898" s="79"/>
      <c r="M898" s="79"/>
      <c r="R898" s="79"/>
      <c r="S898" s="79"/>
      <c r="V898" s="79"/>
      <c r="W898" s="79"/>
      <c r="Z898" s="130"/>
      <c r="AB898" s="106"/>
    </row>
    <row r="899">
      <c r="C899" s="79"/>
      <c r="D899" s="79"/>
      <c r="E899" s="79"/>
      <c r="M899" s="79"/>
      <c r="R899" s="79"/>
      <c r="S899" s="79"/>
      <c r="V899" s="79"/>
      <c r="W899" s="79"/>
      <c r="Z899" s="130"/>
      <c r="AB899" s="106"/>
    </row>
    <row r="900">
      <c r="C900" s="79"/>
      <c r="D900" s="79"/>
      <c r="E900" s="79"/>
      <c r="M900" s="79"/>
      <c r="R900" s="79"/>
      <c r="S900" s="79"/>
      <c r="V900" s="79"/>
      <c r="W900" s="79"/>
      <c r="Z900" s="130"/>
      <c r="AB900" s="106"/>
    </row>
    <row r="901">
      <c r="C901" s="79"/>
      <c r="D901" s="79"/>
      <c r="E901" s="79"/>
      <c r="M901" s="79"/>
      <c r="R901" s="79"/>
      <c r="S901" s="79"/>
      <c r="V901" s="79"/>
      <c r="W901" s="79"/>
      <c r="Z901" s="130"/>
      <c r="AB901" s="106"/>
    </row>
    <row r="902">
      <c r="C902" s="79"/>
      <c r="D902" s="79"/>
      <c r="E902" s="79"/>
      <c r="M902" s="79"/>
      <c r="R902" s="79"/>
      <c r="S902" s="79"/>
      <c r="V902" s="79"/>
      <c r="W902" s="79"/>
      <c r="Z902" s="130"/>
      <c r="AB902" s="106"/>
    </row>
    <row r="903">
      <c r="C903" s="79"/>
      <c r="D903" s="79"/>
      <c r="E903" s="79"/>
      <c r="M903" s="79"/>
      <c r="R903" s="79"/>
      <c r="S903" s="79"/>
      <c r="V903" s="79"/>
      <c r="W903" s="79"/>
      <c r="Z903" s="130"/>
      <c r="AB903" s="106"/>
    </row>
    <row r="904">
      <c r="C904" s="79"/>
      <c r="D904" s="79"/>
      <c r="E904" s="79"/>
      <c r="M904" s="79"/>
      <c r="R904" s="79"/>
      <c r="S904" s="79"/>
      <c r="V904" s="79"/>
      <c r="W904" s="79"/>
      <c r="Z904" s="130"/>
      <c r="AB904" s="106"/>
    </row>
    <row r="905">
      <c r="C905" s="79"/>
      <c r="D905" s="79"/>
      <c r="E905" s="79"/>
      <c r="M905" s="79"/>
      <c r="R905" s="79"/>
      <c r="S905" s="79"/>
      <c r="V905" s="79"/>
      <c r="W905" s="79"/>
      <c r="Z905" s="130"/>
      <c r="AB905" s="106"/>
    </row>
    <row r="906">
      <c r="C906" s="79"/>
      <c r="D906" s="79"/>
      <c r="E906" s="79"/>
      <c r="M906" s="79"/>
      <c r="R906" s="79"/>
      <c r="S906" s="79"/>
      <c r="V906" s="79"/>
      <c r="W906" s="79"/>
      <c r="Z906" s="130"/>
      <c r="AB906" s="106"/>
    </row>
    <row r="907">
      <c r="C907" s="79"/>
      <c r="D907" s="79"/>
      <c r="E907" s="79"/>
      <c r="M907" s="79"/>
      <c r="R907" s="79"/>
      <c r="S907" s="79"/>
      <c r="V907" s="79"/>
      <c r="W907" s="79"/>
      <c r="Z907" s="130"/>
      <c r="AB907" s="106"/>
    </row>
    <row r="908">
      <c r="C908" s="79"/>
      <c r="D908" s="79"/>
      <c r="E908" s="79"/>
      <c r="M908" s="79"/>
      <c r="R908" s="79"/>
      <c r="S908" s="79"/>
      <c r="V908" s="79"/>
      <c r="W908" s="79"/>
      <c r="Z908" s="130"/>
      <c r="AB908" s="106"/>
    </row>
    <row r="909">
      <c r="C909" s="79"/>
      <c r="D909" s="79"/>
      <c r="E909" s="79"/>
      <c r="M909" s="79"/>
      <c r="R909" s="79"/>
      <c r="S909" s="79"/>
      <c r="V909" s="79"/>
      <c r="W909" s="79"/>
      <c r="Z909" s="130"/>
      <c r="AB909" s="106"/>
    </row>
    <row r="910">
      <c r="C910" s="79"/>
      <c r="D910" s="79"/>
      <c r="E910" s="79"/>
      <c r="M910" s="79"/>
      <c r="R910" s="79"/>
      <c r="S910" s="79"/>
      <c r="V910" s="79"/>
      <c r="W910" s="79"/>
      <c r="Z910" s="130"/>
      <c r="AB910" s="106"/>
    </row>
    <row r="911">
      <c r="C911" s="79"/>
      <c r="D911" s="79"/>
      <c r="E911" s="79"/>
      <c r="M911" s="79"/>
      <c r="R911" s="79"/>
      <c r="S911" s="79"/>
      <c r="V911" s="79"/>
      <c r="W911" s="79"/>
      <c r="Z911" s="130"/>
      <c r="AB911" s="106"/>
    </row>
    <row r="912">
      <c r="C912" s="79"/>
      <c r="D912" s="79"/>
      <c r="E912" s="79"/>
      <c r="M912" s="79"/>
      <c r="R912" s="79"/>
      <c r="S912" s="79"/>
      <c r="V912" s="79"/>
      <c r="W912" s="79"/>
      <c r="Z912" s="130"/>
      <c r="AB912" s="106"/>
    </row>
    <row r="913">
      <c r="C913" s="79"/>
      <c r="D913" s="79"/>
      <c r="E913" s="79"/>
      <c r="M913" s="79"/>
      <c r="R913" s="79"/>
      <c r="S913" s="79"/>
      <c r="V913" s="79"/>
      <c r="W913" s="79"/>
      <c r="Z913" s="130"/>
      <c r="AB913" s="106"/>
    </row>
    <row r="914">
      <c r="C914" s="79"/>
      <c r="D914" s="79"/>
      <c r="E914" s="79"/>
      <c r="M914" s="79"/>
      <c r="R914" s="79"/>
      <c r="S914" s="79"/>
      <c r="V914" s="79"/>
      <c r="W914" s="79"/>
      <c r="Z914" s="130"/>
      <c r="AB914" s="106"/>
    </row>
    <row r="915">
      <c r="C915" s="79"/>
      <c r="D915" s="79"/>
      <c r="E915" s="79"/>
      <c r="M915" s="79"/>
      <c r="R915" s="79"/>
      <c r="S915" s="79"/>
      <c r="V915" s="79"/>
      <c r="W915" s="79"/>
      <c r="Z915" s="130"/>
      <c r="AB915" s="106"/>
    </row>
    <row r="916">
      <c r="C916" s="79"/>
      <c r="D916" s="79"/>
      <c r="E916" s="79"/>
      <c r="M916" s="79"/>
      <c r="R916" s="79"/>
      <c r="S916" s="79"/>
      <c r="V916" s="79"/>
      <c r="W916" s="79"/>
      <c r="Z916" s="130"/>
      <c r="AB916" s="106"/>
    </row>
    <row r="917">
      <c r="C917" s="79"/>
      <c r="D917" s="79"/>
      <c r="E917" s="79"/>
      <c r="M917" s="79"/>
      <c r="R917" s="79"/>
      <c r="S917" s="79"/>
      <c r="V917" s="79"/>
      <c r="W917" s="79"/>
      <c r="Z917" s="130"/>
      <c r="AB917" s="106"/>
    </row>
    <row r="918">
      <c r="C918" s="79"/>
      <c r="D918" s="79"/>
      <c r="E918" s="79"/>
      <c r="M918" s="79"/>
      <c r="R918" s="79"/>
      <c r="S918" s="79"/>
      <c r="V918" s="79"/>
      <c r="W918" s="79"/>
      <c r="Z918" s="130"/>
      <c r="AB918" s="106"/>
    </row>
    <row r="919">
      <c r="C919" s="79"/>
      <c r="D919" s="79"/>
      <c r="E919" s="79"/>
      <c r="M919" s="79"/>
      <c r="R919" s="79"/>
      <c r="S919" s="79"/>
      <c r="V919" s="79"/>
      <c r="W919" s="79"/>
      <c r="Z919" s="130"/>
      <c r="AB919" s="106"/>
    </row>
    <row r="920">
      <c r="C920" s="79"/>
      <c r="D920" s="79"/>
      <c r="E920" s="79"/>
      <c r="M920" s="79"/>
      <c r="R920" s="79"/>
      <c r="S920" s="79"/>
      <c r="V920" s="79"/>
      <c r="W920" s="79"/>
      <c r="Z920" s="130"/>
      <c r="AB920" s="106"/>
    </row>
    <row r="921">
      <c r="C921" s="79"/>
      <c r="D921" s="79"/>
      <c r="E921" s="79"/>
      <c r="M921" s="79"/>
      <c r="R921" s="79"/>
      <c r="S921" s="79"/>
      <c r="V921" s="79"/>
      <c r="W921" s="79"/>
      <c r="Z921" s="130"/>
      <c r="AB921" s="106"/>
    </row>
    <row r="922">
      <c r="C922" s="79"/>
      <c r="D922" s="79"/>
      <c r="E922" s="79"/>
      <c r="M922" s="79"/>
      <c r="R922" s="79"/>
      <c r="S922" s="79"/>
      <c r="V922" s="79"/>
      <c r="W922" s="79"/>
      <c r="Z922" s="130"/>
      <c r="AB922" s="106"/>
    </row>
    <row r="923">
      <c r="C923" s="79"/>
      <c r="D923" s="79"/>
      <c r="E923" s="79"/>
      <c r="M923" s="79"/>
      <c r="R923" s="79"/>
      <c r="S923" s="79"/>
      <c r="V923" s="79"/>
      <c r="W923" s="79"/>
      <c r="Z923" s="130"/>
      <c r="AB923" s="106"/>
    </row>
    <row r="924">
      <c r="C924" s="79"/>
      <c r="D924" s="79"/>
      <c r="E924" s="79"/>
      <c r="M924" s="79"/>
      <c r="R924" s="79"/>
      <c r="S924" s="79"/>
      <c r="V924" s="79"/>
      <c r="W924" s="79"/>
      <c r="Z924" s="130"/>
      <c r="AB924" s="106"/>
    </row>
    <row r="925">
      <c r="C925" s="79"/>
      <c r="D925" s="79"/>
      <c r="E925" s="79"/>
      <c r="M925" s="79"/>
      <c r="R925" s="79"/>
      <c r="S925" s="79"/>
      <c r="V925" s="79"/>
      <c r="W925" s="79"/>
      <c r="Z925" s="130"/>
      <c r="AB925" s="106"/>
    </row>
    <row r="926">
      <c r="C926" s="79"/>
      <c r="D926" s="79"/>
      <c r="E926" s="79"/>
      <c r="M926" s="79"/>
      <c r="R926" s="79"/>
      <c r="S926" s="79"/>
      <c r="V926" s="79"/>
      <c r="W926" s="79"/>
      <c r="Z926" s="130"/>
      <c r="AB926" s="106"/>
    </row>
    <row r="927">
      <c r="C927" s="79"/>
      <c r="D927" s="79"/>
      <c r="E927" s="79"/>
      <c r="M927" s="79"/>
      <c r="R927" s="79"/>
      <c r="S927" s="79"/>
      <c r="V927" s="79"/>
      <c r="W927" s="79"/>
      <c r="Z927" s="130"/>
      <c r="AB927" s="106"/>
    </row>
    <row r="928">
      <c r="C928" s="79"/>
      <c r="D928" s="79"/>
      <c r="E928" s="79"/>
      <c r="M928" s="79"/>
      <c r="R928" s="79"/>
      <c r="S928" s="79"/>
      <c r="V928" s="79"/>
      <c r="W928" s="79"/>
      <c r="Z928" s="130"/>
      <c r="AB928" s="106"/>
    </row>
    <row r="929">
      <c r="C929" s="79"/>
      <c r="D929" s="79"/>
      <c r="E929" s="79"/>
      <c r="M929" s="79"/>
      <c r="R929" s="79"/>
      <c r="S929" s="79"/>
      <c r="V929" s="79"/>
      <c r="W929" s="79"/>
      <c r="Z929" s="130"/>
      <c r="AB929" s="106"/>
    </row>
    <row r="930">
      <c r="C930" s="79"/>
      <c r="D930" s="79"/>
      <c r="E930" s="79"/>
      <c r="M930" s="79"/>
      <c r="R930" s="79"/>
      <c r="S930" s="79"/>
      <c r="V930" s="79"/>
      <c r="W930" s="79"/>
      <c r="Z930" s="130"/>
      <c r="AB930" s="106"/>
    </row>
    <row r="931">
      <c r="C931" s="79"/>
      <c r="D931" s="79"/>
      <c r="E931" s="79"/>
      <c r="M931" s="79"/>
      <c r="R931" s="79"/>
      <c r="S931" s="79"/>
      <c r="V931" s="79"/>
      <c r="W931" s="79"/>
      <c r="Z931" s="130"/>
      <c r="AB931" s="106"/>
    </row>
    <row r="932">
      <c r="C932" s="79"/>
      <c r="D932" s="79"/>
      <c r="E932" s="79"/>
      <c r="M932" s="79"/>
      <c r="R932" s="79"/>
      <c r="S932" s="79"/>
      <c r="V932" s="79"/>
      <c r="W932" s="79"/>
      <c r="Z932" s="130"/>
      <c r="AB932" s="106"/>
    </row>
    <row r="933">
      <c r="C933" s="79"/>
      <c r="D933" s="79"/>
      <c r="E933" s="79"/>
      <c r="M933" s="79"/>
      <c r="R933" s="79"/>
      <c r="S933" s="79"/>
      <c r="V933" s="79"/>
      <c r="W933" s="79"/>
      <c r="Z933" s="130"/>
      <c r="AB933" s="106"/>
    </row>
    <row r="934">
      <c r="C934" s="79"/>
      <c r="D934" s="79"/>
      <c r="E934" s="79"/>
      <c r="M934" s="79"/>
      <c r="R934" s="79"/>
      <c r="S934" s="79"/>
      <c r="V934" s="79"/>
      <c r="W934" s="79"/>
      <c r="Z934" s="130"/>
      <c r="AB934" s="106"/>
    </row>
    <row r="935">
      <c r="C935" s="79"/>
      <c r="D935" s="79"/>
      <c r="E935" s="79"/>
      <c r="M935" s="79"/>
      <c r="R935" s="79"/>
      <c r="S935" s="79"/>
      <c r="V935" s="79"/>
      <c r="W935" s="79"/>
      <c r="Z935" s="130"/>
      <c r="AB935" s="106"/>
    </row>
    <row r="936">
      <c r="C936" s="79"/>
      <c r="D936" s="79"/>
      <c r="E936" s="79"/>
      <c r="M936" s="79"/>
      <c r="R936" s="79"/>
      <c r="S936" s="79"/>
      <c r="V936" s="79"/>
      <c r="W936" s="79"/>
      <c r="Z936" s="130"/>
      <c r="AB936" s="106"/>
    </row>
    <row r="937">
      <c r="C937" s="79"/>
      <c r="D937" s="79"/>
      <c r="E937" s="79"/>
      <c r="M937" s="79"/>
      <c r="R937" s="79"/>
      <c r="S937" s="79"/>
      <c r="V937" s="79"/>
      <c r="W937" s="79"/>
      <c r="Z937" s="130"/>
      <c r="AB937" s="106"/>
    </row>
    <row r="938">
      <c r="C938" s="79"/>
      <c r="D938" s="79"/>
      <c r="E938" s="79"/>
      <c r="M938" s="79"/>
      <c r="R938" s="79"/>
      <c r="S938" s="79"/>
      <c r="V938" s="79"/>
      <c r="W938" s="79"/>
      <c r="Z938" s="130"/>
      <c r="AB938" s="106"/>
    </row>
    <row r="939">
      <c r="C939" s="79"/>
      <c r="D939" s="79"/>
      <c r="E939" s="79"/>
      <c r="M939" s="79"/>
      <c r="R939" s="79"/>
      <c r="S939" s="79"/>
      <c r="V939" s="79"/>
      <c r="W939" s="79"/>
      <c r="Z939" s="130"/>
      <c r="AB939" s="106"/>
    </row>
    <row r="940">
      <c r="C940" s="79"/>
      <c r="D940" s="79"/>
      <c r="E940" s="79"/>
      <c r="M940" s="79"/>
      <c r="R940" s="79"/>
      <c r="S940" s="79"/>
      <c r="V940" s="79"/>
      <c r="W940" s="79"/>
      <c r="Z940" s="130"/>
      <c r="AB940" s="106"/>
    </row>
    <row r="941">
      <c r="C941" s="79"/>
      <c r="D941" s="79"/>
      <c r="E941" s="79"/>
      <c r="M941" s="79"/>
      <c r="R941" s="79"/>
      <c r="S941" s="79"/>
      <c r="V941" s="79"/>
      <c r="W941" s="79"/>
      <c r="Z941" s="130"/>
      <c r="AB941" s="106"/>
    </row>
    <row r="942">
      <c r="C942" s="79"/>
      <c r="D942" s="79"/>
      <c r="E942" s="79"/>
      <c r="M942" s="79"/>
      <c r="R942" s="79"/>
      <c r="S942" s="79"/>
      <c r="V942" s="79"/>
      <c r="W942" s="79"/>
      <c r="Z942" s="130"/>
      <c r="AB942" s="106"/>
    </row>
    <row r="943">
      <c r="C943" s="79"/>
      <c r="D943" s="79"/>
      <c r="E943" s="79"/>
      <c r="M943" s="79"/>
      <c r="R943" s="79"/>
      <c r="S943" s="79"/>
      <c r="V943" s="79"/>
      <c r="W943" s="79"/>
      <c r="Z943" s="130"/>
      <c r="AB943" s="106"/>
    </row>
    <row r="944">
      <c r="C944" s="79"/>
      <c r="D944" s="79"/>
      <c r="E944" s="79"/>
      <c r="M944" s="79"/>
      <c r="R944" s="79"/>
      <c r="S944" s="79"/>
      <c r="V944" s="79"/>
      <c r="W944" s="79"/>
      <c r="Z944" s="130"/>
      <c r="AB944" s="106"/>
    </row>
    <row r="945">
      <c r="C945" s="79"/>
      <c r="D945" s="79"/>
      <c r="E945" s="79"/>
      <c r="M945" s="79"/>
      <c r="R945" s="79"/>
      <c r="S945" s="79"/>
      <c r="V945" s="79"/>
      <c r="W945" s="79"/>
      <c r="Z945" s="130"/>
      <c r="AB945" s="106"/>
    </row>
    <row r="946">
      <c r="C946" s="79"/>
      <c r="D946" s="79"/>
      <c r="E946" s="79"/>
      <c r="M946" s="79"/>
      <c r="R946" s="79"/>
      <c r="S946" s="79"/>
      <c r="V946" s="79"/>
      <c r="W946" s="79"/>
      <c r="Z946" s="130"/>
      <c r="AB946" s="106"/>
    </row>
    <row r="947">
      <c r="C947" s="79"/>
      <c r="D947" s="79"/>
      <c r="E947" s="79"/>
      <c r="M947" s="79"/>
      <c r="R947" s="79"/>
      <c r="S947" s="79"/>
      <c r="V947" s="79"/>
      <c r="W947" s="79"/>
      <c r="Z947" s="130"/>
      <c r="AB947" s="106"/>
    </row>
    <row r="948">
      <c r="C948" s="79"/>
      <c r="D948" s="79"/>
      <c r="E948" s="79"/>
      <c r="M948" s="79"/>
      <c r="R948" s="79"/>
      <c r="S948" s="79"/>
      <c r="V948" s="79"/>
      <c r="W948" s="79"/>
      <c r="Z948" s="130"/>
      <c r="AB948" s="106"/>
    </row>
    <row r="949">
      <c r="C949" s="79"/>
      <c r="D949" s="79"/>
      <c r="E949" s="79"/>
      <c r="M949" s="79"/>
      <c r="R949" s="79"/>
      <c r="S949" s="79"/>
      <c r="V949" s="79"/>
      <c r="W949" s="79"/>
      <c r="Z949" s="130"/>
      <c r="AB949" s="106"/>
    </row>
    <row r="950">
      <c r="C950" s="79"/>
      <c r="D950" s="79"/>
      <c r="E950" s="79"/>
      <c r="M950" s="79"/>
      <c r="R950" s="79"/>
      <c r="S950" s="79"/>
      <c r="V950" s="79"/>
      <c r="W950" s="79"/>
      <c r="Z950" s="130"/>
      <c r="AB950" s="106"/>
    </row>
    <row r="951">
      <c r="C951" s="79"/>
      <c r="D951" s="79"/>
      <c r="E951" s="79"/>
      <c r="M951" s="79"/>
      <c r="R951" s="79"/>
      <c r="S951" s="79"/>
      <c r="V951" s="79"/>
      <c r="W951" s="79"/>
      <c r="Z951" s="130"/>
      <c r="AB951" s="106"/>
    </row>
    <row r="952">
      <c r="C952" s="79"/>
      <c r="D952" s="79"/>
      <c r="E952" s="79"/>
      <c r="M952" s="79"/>
      <c r="R952" s="79"/>
      <c r="S952" s="79"/>
      <c r="V952" s="79"/>
      <c r="W952" s="79"/>
      <c r="Z952" s="130"/>
      <c r="AB952" s="106"/>
    </row>
    <row r="953">
      <c r="C953" s="79"/>
      <c r="D953" s="79"/>
      <c r="E953" s="79"/>
      <c r="M953" s="79"/>
      <c r="R953" s="79"/>
      <c r="S953" s="79"/>
      <c r="V953" s="79"/>
      <c r="W953" s="79"/>
      <c r="Z953" s="130"/>
      <c r="AB953" s="106"/>
    </row>
    <row r="954">
      <c r="C954" s="79"/>
      <c r="D954" s="79"/>
      <c r="E954" s="79"/>
      <c r="M954" s="79"/>
      <c r="R954" s="79"/>
      <c r="S954" s="79"/>
      <c r="V954" s="79"/>
      <c r="W954" s="79"/>
      <c r="Z954" s="130"/>
      <c r="AB954" s="106"/>
    </row>
    <row r="955">
      <c r="C955" s="79"/>
      <c r="D955" s="79"/>
      <c r="E955" s="79"/>
      <c r="M955" s="79"/>
      <c r="R955" s="79"/>
      <c r="S955" s="79"/>
      <c r="V955" s="79"/>
      <c r="W955" s="79"/>
      <c r="Z955" s="130"/>
      <c r="AB955" s="106"/>
    </row>
    <row r="956">
      <c r="C956" s="79"/>
      <c r="D956" s="79"/>
      <c r="E956" s="79"/>
      <c r="M956" s="79"/>
      <c r="R956" s="79"/>
      <c r="S956" s="79"/>
      <c r="V956" s="79"/>
      <c r="W956" s="79"/>
      <c r="Z956" s="130"/>
      <c r="AB956" s="106"/>
    </row>
    <row r="957">
      <c r="C957" s="79"/>
      <c r="D957" s="79"/>
      <c r="E957" s="79"/>
      <c r="M957" s="79"/>
      <c r="R957" s="79"/>
      <c r="S957" s="79"/>
      <c r="V957" s="79"/>
      <c r="W957" s="79"/>
      <c r="Z957" s="130"/>
      <c r="AB957" s="106"/>
    </row>
    <row r="958">
      <c r="C958" s="79"/>
      <c r="D958" s="79"/>
      <c r="E958" s="79"/>
      <c r="M958" s="79"/>
      <c r="R958" s="79"/>
      <c r="S958" s="79"/>
      <c r="V958" s="79"/>
      <c r="W958" s="79"/>
      <c r="Z958" s="130"/>
      <c r="AB958" s="106"/>
    </row>
    <row r="959">
      <c r="C959" s="79"/>
      <c r="D959" s="79"/>
      <c r="E959" s="79"/>
      <c r="M959" s="79"/>
      <c r="R959" s="79"/>
      <c r="S959" s="79"/>
      <c r="V959" s="79"/>
      <c r="W959" s="79"/>
      <c r="Z959" s="130"/>
      <c r="AB959" s="106"/>
    </row>
    <row r="960">
      <c r="C960" s="79"/>
      <c r="D960" s="79"/>
      <c r="E960" s="79"/>
      <c r="M960" s="79"/>
      <c r="R960" s="79"/>
      <c r="S960" s="79"/>
      <c r="V960" s="79"/>
      <c r="W960" s="79"/>
      <c r="Z960" s="130"/>
      <c r="AB960" s="106"/>
    </row>
    <row r="961">
      <c r="C961" s="79"/>
      <c r="D961" s="79"/>
      <c r="E961" s="79"/>
      <c r="M961" s="79"/>
      <c r="R961" s="79"/>
      <c r="S961" s="79"/>
      <c r="V961" s="79"/>
      <c r="W961" s="79"/>
      <c r="Z961" s="130"/>
      <c r="AB961" s="106"/>
    </row>
    <row r="962">
      <c r="C962" s="79"/>
      <c r="D962" s="79"/>
      <c r="E962" s="79"/>
      <c r="M962" s="79"/>
      <c r="R962" s="79"/>
      <c r="S962" s="79"/>
      <c r="V962" s="79"/>
      <c r="W962" s="79"/>
      <c r="Z962" s="130"/>
      <c r="AB962" s="106"/>
    </row>
    <row r="963">
      <c r="C963" s="79"/>
      <c r="D963" s="79"/>
      <c r="E963" s="79"/>
      <c r="M963" s="79"/>
      <c r="R963" s="79"/>
      <c r="S963" s="79"/>
      <c r="V963" s="79"/>
      <c r="W963" s="79"/>
      <c r="Z963" s="130"/>
      <c r="AB963" s="106"/>
    </row>
    <row r="964">
      <c r="C964" s="79"/>
      <c r="D964" s="79"/>
      <c r="E964" s="79"/>
      <c r="M964" s="79"/>
      <c r="R964" s="79"/>
      <c r="S964" s="79"/>
      <c r="V964" s="79"/>
      <c r="W964" s="79"/>
      <c r="Z964" s="130"/>
      <c r="AB964" s="106"/>
    </row>
    <row r="965">
      <c r="C965" s="79"/>
      <c r="D965" s="79"/>
      <c r="E965" s="79"/>
      <c r="M965" s="79"/>
      <c r="R965" s="79"/>
      <c r="S965" s="79"/>
      <c r="V965" s="79"/>
      <c r="W965" s="79"/>
      <c r="Z965" s="130"/>
      <c r="AB965" s="106"/>
    </row>
    <row r="966">
      <c r="C966" s="79"/>
      <c r="D966" s="79"/>
      <c r="E966" s="79"/>
      <c r="M966" s="79"/>
      <c r="R966" s="79"/>
      <c r="S966" s="79"/>
      <c r="V966" s="79"/>
      <c r="W966" s="79"/>
      <c r="Z966" s="130"/>
      <c r="AB966" s="106"/>
    </row>
    <row r="967">
      <c r="C967" s="79"/>
      <c r="D967" s="79"/>
      <c r="E967" s="79"/>
      <c r="M967" s="79"/>
      <c r="R967" s="79"/>
      <c r="S967" s="79"/>
      <c r="V967" s="79"/>
      <c r="W967" s="79"/>
      <c r="Z967" s="130"/>
      <c r="AB967" s="106"/>
    </row>
    <row r="968">
      <c r="C968" s="79"/>
      <c r="D968" s="79"/>
      <c r="E968" s="79"/>
      <c r="M968" s="79"/>
      <c r="R968" s="79"/>
      <c r="S968" s="79"/>
      <c r="V968" s="79"/>
      <c r="W968" s="79"/>
      <c r="Z968" s="130"/>
      <c r="AB968" s="106"/>
    </row>
    <row r="969">
      <c r="C969" s="79"/>
      <c r="D969" s="79"/>
      <c r="E969" s="79"/>
      <c r="M969" s="79"/>
      <c r="R969" s="79"/>
      <c r="S969" s="79"/>
      <c r="V969" s="79"/>
      <c r="W969" s="79"/>
      <c r="Z969" s="130"/>
      <c r="AB969" s="106"/>
    </row>
    <row r="970">
      <c r="C970" s="79"/>
      <c r="D970" s="79"/>
      <c r="E970" s="79"/>
      <c r="M970" s="79"/>
      <c r="R970" s="79"/>
      <c r="S970" s="79"/>
      <c r="V970" s="79"/>
      <c r="W970" s="79"/>
      <c r="Z970" s="130"/>
      <c r="AB970" s="106"/>
    </row>
    <row r="971">
      <c r="C971" s="79"/>
      <c r="D971" s="79"/>
      <c r="E971" s="79"/>
      <c r="M971" s="79"/>
      <c r="R971" s="79"/>
      <c r="S971" s="79"/>
      <c r="V971" s="79"/>
      <c r="W971" s="79"/>
      <c r="Z971" s="130"/>
      <c r="AB971" s="106"/>
    </row>
    <row r="972">
      <c r="C972" s="79"/>
      <c r="D972" s="79"/>
      <c r="E972" s="79"/>
      <c r="M972" s="79"/>
      <c r="R972" s="79"/>
      <c r="S972" s="79"/>
      <c r="V972" s="79"/>
      <c r="W972" s="79"/>
      <c r="Z972" s="130"/>
      <c r="AB972" s="106"/>
    </row>
    <row r="973">
      <c r="C973" s="79"/>
      <c r="D973" s="79"/>
      <c r="E973" s="79"/>
      <c r="M973" s="79"/>
      <c r="R973" s="79"/>
      <c r="S973" s="79"/>
      <c r="V973" s="79"/>
      <c r="W973" s="79"/>
      <c r="Z973" s="130"/>
      <c r="AB973" s="106"/>
    </row>
    <row r="974">
      <c r="C974" s="79"/>
      <c r="D974" s="79"/>
      <c r="E974" s="79"/>
      <c r="M974" s="79"/>
      <c r="R974" s="79"/>
      <c r="S974" s="79"/>
      <c r="V974" s="79"/>
      <c r="W974" s="79"/>
      <c r="Z974" s="130"/>
      <c r="AB974" s="106"/>
    </row>
    <row r="975">
      <c r="C975" s="79"/>
      <c r="D975" s="79"/>
      <c r="E975" s="79"/>
      <c r="M975" s="79"/>
      <c r="R975" s="79"/>
      <c r="S975" s="79"/>
      <c r="V975" s="79"/>
      <c r="W975" s="79"/>
      <c r="Z975" s="130"/>
      <c r="AB975" s="106"/>
    </row>
    <row r="976">
      <c r="C976" s="79"/>
      <c r="D976" s="79"/>
      <c r="E976" s="79"/>
      <c r="M976" s="79"/>
      <c r="R976" s="79"/>
      <c r="S976" s="79"/>
      <c r="V976" s="79"/>
      <c r="W976" s="79"/>
      <c r="Z976" s="130"/>
      <c r="AB976" s="106"/>
    </row>
    <row r="977">
      <c r="C977" s="79"/>
      <c r="D977" s="79"/>
      <c r="E977" s="79"/>
      <c r="M977" s="79"/>
      <c r="R977" s="79"/>
      <c r="S977" s="79"/>
      <c r="V977" s="79"/>
      <c r="W977" s="79"/>
      <c r="Z977" s="130"/>
      <c r="AB977" s="106"/>
    </row>
    <row r="978">
      <c r="C978" s="79"/>
      <c r="D978" s="79"/>
      <c r="E978" s="79"/>
      <c r="M978" s="79"/>
      <c r="R978" s="79"/>
      <c r="S978" s="79"/>
      <c r="V978" s="79"/>
      <c r="W978" s="79"/>
      <c r="Z978" s="130"/>
      <c r="AB978" s="106"/>
    </row>
    <row r="979">
      <c r="C979" s="79"/>
      <c r="D979" s="79"/>
      <c r="E979" s="79"/>
      <c r="M979" s="79"/>
      <c r="R979" s="79"/>
      <c r="S979" s="79"/>
      <c r="V979" s="79"/>
      <c r="W979" s="79"/>
      <c r="Z979" s="130"/>
      <c r="AB979" s="106"/>
    </row>
    <row r="980">
      <c r="C980" s="79"/>
      <c r="D980" s="79"/>
      <c r="E980" s="79"/>
      <c r="M980" s="79"/>
      <c r="R980" s="79"/>
      <c r="S980" s="79"/>
      <c r="V980" s="79"/>
      <c r="W980" s="79"/>
      <c r="Z980" s="130"/>
      <c r="AB980" s="106"/>
    </row>
    <row r="981">
      <c r="C981" s="79"/>
      <c r="D981" s="79"/>
      <c r="E981" s="79"/>
      <c r="M981" s="79"/>
      <c r="R981" s="79"/>
      <c r="S981" s="79"/>
      <c r="V981" s="79"/>
      <c r="W981" s="79"/>
      <c r="Z981" s="130"/>
      <c r="AB981" s="106"/>
    </row>
    <row r="982">
      <c r="C982" s="79"/>
      <c r="D982" s="79"/>
      <c r="E982" s="79"/>
      <c r="M982" s="79"/>
      <c r="R982" s="79"/>
      <c r="S982" s="79"/>
      <c r="V982" s="79"/>
      <c r="W982" s="79"/>
      <c r="Z982" s="130"/>
      <c r="AB982" s="106"/>
    </row>
    <row r="983">
      <c r="C983" s="79"/>
      <c r="D983" s="79"/>
      <c r="E983" s="79"/>
      <c r="M983" s="79"/>
      <c r="R983" s="79"/>
      <c r="S983" s="79"/>
      <c r="V983" s="79"/>
      <c r="W983" s="79"/>
      <c r="Z983" s="130"/>
      <c r="AB983" s="106"/>
    </row>
    <row r="984">
      <c r="C984" s="79"/>
      <c r="D984" s="79"/>
      <c r="E984" s="79"/>
      <c r="M984" s="79"/>
      <c r="R984" s="79"/>
      <c r="S984" s="79"/>
      <c r="V984" s="79"/>
      <c r="W984" s="79"/>
      <c r="Z984" s="130"/>
      <c r="AB984" s="106"/>
    </row>
    <row r="985">
      <c r="C985" s="79"/>
      <c r="D985" s="79"/>
      <c r="E985" s="79"/>
      <c r="M985" s="79"/>
      <c r="R985" s="79"/>
      <c r="S985" s="79"/>
      <c r="V985" s="79"/>
      <c r="W985" s="79"/>
      <c r="Z985" s="130"/>
      <c r="AB985" s="106"/>
    </row>
    <row r="986">
      <c r="C986" s="79"/>
      <c r="D986" s="79"/>
      <c r="E986" s="79"/>
      <c r="M986" s="79"/>
      <c r="R986" s="79"/>
      <c r="S986" s="79"/>
      <c r="V986" s="79"/>
      <c r="W986" s="79"/>
      <c r="Z986" s="130"/>
      <c r="AB986" s="106"/>
    </row>
    <row r="987">
      <c r="C987" s="79"/>
      <c r="D987" s="79"/>
      <c r="E987" s="79"/>
      <c r="M987" s="79"/>
      <c r="R987" s="79"/>
      <c r="S987" s="79"/>
      <c r="V987" s="79"/>
      <c r="W987" s="79"/>
      <c r="Z987" s="130"/>
      <c r="AB987" s="106"/>
    </row>
    <row r="988">
      <c r="C988" s="79"/>
      <c r="D988" s="79"/>
      <c r="E988" s="79"/>
      <c r="M988" s="79"/>
      <c r="R988" s="79"/>
      <c r="S988" s="79"/>
      <c r="V988" s="79"/>
      <c r="W988" s="79"/>
      <c r="Z988" s="130"/>
      <c r="AB988" s="106"/>
    </row>
    <row r="989">
      <c r="C989" s="79"/>
      <c r="D989" s="79"/>
      <c r="E989" s="79"/>
      <c r="M989" s="79"/>
      <c r="R989" s="79"/>
      <c r="S989" s="79"/>
      <c r="V989" s="79"/>
      <c r="W989" s="79"/>
      <c r="Z989" s="130"/>
      <c r="AB989" s="106"/>
    </row>
    <row r="990">
      <c r="C990" s="79"/>
      <c r="D990" s="79"/>
      <c r="E990" s="79"/>
      <c r="M990" s="79"/>
      <c r="R990" s="79"/>
      <c r="S990" s="79"/>
      <c r="V990" s="79"/>
      <c r="W990" s="79"/>
      <c r="Z990" s="130"/>
      <c r="AB990" s="106"/>
    </row>
    <row r="991">
      <c r="C991" s="79"/>
      <c r="D991" s="79"/>
      <c r="E991" s="79"/>
      <c r="M991" s="79"/>
      <c r="R991" s="79"/>
      <c r="S991" s="79"/>
      <c r="V991" s="79"/>
      <c r="W991" s="79"/>
      <c r="Z991" s="130"/>
      <c r="AB991" s="106"/>
    </row>
    <row r="992">
      <c r="C992" s="79"/>
      <c r="D992" s="79"/>
      <c r="E992" s="79"/>
      <c r="M992" s="79"/>
      <c r="R992" s="79"/>
      <c r="S992" s="79"/>
      <c r="V992" s="79"/>
      <c r="W992" s="79"/>
      <c r="Z992" s="130"/>
      <c r="AB992" s="106"/>
    </row>
    <row r="993">
      <c r="C993" s="79"/>
      <c r="D993" s="79"/>
      <c r="E993" s="79"/>
      <c r="M993" s="79"/>
      <c r="R993" s="79"/>
      <c r="S993" s="79"/>
      <c r="V993" s="79"/>
      <c r="W993" s="79"/>
      <c r="Z993" s="130"/>
      <c r="AB993" s="106"/>
    </row>
    <row r="994">
      <c r="C994" s="79"/>
      <c r="D994" s="79"/>
      <c r="E994" s="79"/>
      <c r="M994" s="79"/>
      <c r="R994" s="79"/>
      <c r="S994" s="79"/>
      <c r="V994" s="79"/>
      <c r="W994" s="79"/>
      <c r="Z994" s="130"/>
      <c r="AB994" s="106"/>
    </row>
    <row r="995">
      <c r="C995" s="79"/>
      <c r="D995" s="79"/>
      <c r="E995" s="79"/>
      <c r="M995" s="79"/>
      <c r="R995" s="79"/>
      <c r="S995" s="79"/>
      <c r="V995" s="79"/>
      <c r="W995" s="79"/>
      <c r="Z995" s="130"/>
      <c r="AB995" s="106"/>
    </row>
  </sheetData>
  <drawing r:id="rId2"/>
  <legacyDrawing r:id="rId3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5" max="5" width="13.5"/>
    <col customWidth="1" min="7" max="7" width="13.25"/>
    <col hidden="1" min="12" max="13" width="12.63"/>
    <col customWidth="1" min="24" max="24" width="14.63"/>
    <col customWidth="1" min="28" max="28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3</v>
      </c>
      <c r="G1" s="2" t="s">
        <v>203</v>
      </c>
      <c r="H1" s="2" t="s">
        <v>129</v>
      </c>
      <c r="I1" s="2" t="s">
        <v>5</v>
      </c>
      <c r="J1" s="2" t="s">
        <v>204</v>
      </c>
      <c r="K1" s="2" t="s">
        <v>6</v>
      </c>
      <c r="L1" s="2" t="s">
        <v>43</v>
      </c>
      <c r="M1" s="105" t="s">
        <v>40</v>
      </c>
      <c r="N1" s="2" t="s">
        <v>49</v>
      </c>
      <c r="O1" s="2" t="s">
        <v>42</v>
      </c>
      <c r="P1" s="2" t="s">
        <v>121</v>
      </c>
      <c r="Q1" s="2" t="s">
        <v>164</v>
      </c>
      <c r="R1" s="105" t="s">
        <v>9</v>
      </c>
      <c r="S1" s="105" t="s">
        <v>165</v>
      </c>
      <c r="T1" s="2" t="s">
        <v>37</v>
      </c>
      <c r="U1" s="2" t="s">
        <v>10</v>
      </c>
      <c r="V1" s="105" t="s">
        <v>11</v>
      </c>
      <c r="W1" s="105" t="s">
        <v>205</v>
      </c>
      <c r="X1" s="2" t="s">
        <v>206</v>
      </c>
      <c r="Y1" s="3" t="s">
        <v>13</v>
      </c>
      <c r="Z1" s="3" t="s">
        <v>14</v>
      </c>
      <c r="AA1" s="3" t="s">
        <v>15</v>
      </c>
      <c r="AB1" s="106"/>
    </row>
    <row r="2">
      <c r="A2" s="74">
        <v>45271.0</v>
      </c>
      <c r="B2" s="93">
        <f>1408.32-47.03-78.76-95.74-40.43</f>
        <v>1146.36</v>
      </c>
      <c r="C2" s="93"/>
      <c r="D2" s="193">
        <f>227.88-170.88+460.8-221.6</f>
        <v>296.2</v>
      </c>
      <c r="E2" s="93"/>
      <c r="F2" s="193">
        <v>180.0</v>
      </c>
      <c r="G2" s="93"/>
      <c r="H2" s="93">
        <v>418.86</v>
      </c>
      <c r="I2" s="180">
        <v>283.8</v>
      </c>
      <c r="J2" s="93"/>
      <c r="K2" s="93"/>
      <c r="L2" s="93"/>
      <c r="M2" s="93"/>
      <c r="N2" s="93">
        <v>168.0</v>
      </c>
      <c r="O2" s="180">
        <v>470.0</v>
      </c>
      <c r="P2" s="93"/>
      <c r="Q2" s="93"/>
      <c r="R2" s="93"/>
      <c r="S2" s="93"/>
      <c r="T2" s="72"/>
      <c r="U2" s="93"/>
      <c r="V2" s="93">
        <v>57.05</v>
      </c>
      <c r="W2" s="93"/>
      <c r="X2" s="5"/>
      <c r="Y2" s="107">
        <f t="shared" ref="Y2:Y8" si="1">SUM(B2:X2)</f>
        <v>3020.27</v>
      </c>
      <c r="Z2" s="158">
        <v>3099.6</v>
      </c>
      <c r="AA2" s="59">
        <f t="shared" ref="AA2:AA8" si="2">Y2/Z2</f>
        <v>0.974406375</v>
      </c>
      <c r="AB2" s="109">
        <f t="shared" ref="AB2:AB8" si="3">A2</f>
        <v>45271</v>
      </c>
    </row>
    <row r="3">
      <c r="A3" s="74">
        <v>45272.0</v>
      </c>
      <c r="B3" s="93">
        <f>616.42-46.32-33.55-13.52+200.22-27.41-26.12</f>
        <v>669.72</v>
      </c>
      <c r="C3" s="93"/>
      <c r="D3" s="93">
        <v>457.99</v>
      </c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101"/>
      <c r="Q3" s="101"/>
      <c r="R3" s="93"/>
      <c r="S3" s="93"/>
      <c r="T3" s="93"/>
      <c r="U3" s="93"/>
      <c r="V3" s="93"/>
      <c r="W3" s="93"/>
      <c r="X3" s="93"/>
      <c r="Y3" s="107">
        <f t="shared" si="1"/>
        <v>1127.71</v>
      </c>
      <c r="Z3" s="158">
        <v>4908.0</v>
      </c>
      <c r="AA3" s="59">
        <f t="shared" si="2"/>
        <v>0.2297697637</v>
      </c>
      <c r="AB3" s="109">
        <f t="shared" si="3"/>
        <v>45272</v>
      </c>
    </row>
    <row r="4">
      <c r="A4" s="74">
        <v>45273.0</v>
      </c>
      <c r="B4" s="93">
        <f>1374.3-40.16-33.95-36.78-34.32-54.76-52.51-59.4-79.9-52.01-46.24-27.65-30.01-59.88</f>
        <v>766.73</v>
      </c>
      <c r="C4" s="93">
        <f>707.83-82.98-381.15</f>
        <v>243.7</v>
      </c>
      <c r="D4" s="93">
        <f>543.59-120.6-60.38-362.61+460.8</f>
        <v>460.8</v>
      </c>
      <c r="E4" s="93"/>
      <c r="F4" s="93"/>
      <c r="G4" s="93"/>
      <c r="H4" s="93"/>
      <c r="I4" s="93">
        <f>1013.31-198-190-283.8</f>
        <v>341.51</v>
      </c>
      <c r="J4" s="93"/>
      <c r="K4" s="93">
        <v>42.0</v>
      </c>
      <c r="L4" s="93"/>
      <c r="M4" s="93"/>
      <c r="N4" s="93"/>
      <c r="O4" s="93"/>
      <c r="P4" s="93">
        <v>18.5</v>
      </c>
      <c r="Q4" s="93"/>
      <c r="R4" s="93"/>
      <c r="S4" s="93"/>
      <c r="T4" s="160"/>
      <c r="U4" s="187"/>
      <c r="V4" s="93">
        <v>57.05</v>
      </c>
      <c r="W4" s="93"/>
      <c r="X4" s="6"/>
      <c r="Y4" s="107">
        <f t="shared" si="1"/>
        <v>1930.29</v>
      </c>
      <c r="Z4" s="97">
        <v>7959.6</v>
      </c>
      <c r="AA4" s="59">
        <f t="shared" si="2"/>
        <v>0.2425109302</v>
      </c>
      <c r="AB4" s="109">
        <f t="shared" si="3"/>
        <v>45273</v>
      </c>
    </row>
    <row r="5">
      <c r="A5" s="74">
        <v>45274.0</v>
      </c>
      <c r="B5" s="93">
        <f>2886.76-77.5-11.75-55-27.6-12.91-87-44-29.75-27.41-80.86-1098.03-7.85-32.98-14.02</f>
        <v>1280.1</v>
      </c>
      <c r="C5" s="93"/>
      <c r="D5" s="93"/>
      <c r="E5" s="93"/>
      <c r="F5" s="93">
        <v>180.0</v>
      </c>
      <c r="G5" s="160"/>
      <c r="H5" s="93">
        <f>265.75-101.46</f>
        <v>164.29</v>
      </c>
      <c r="I5" s="93"/>
      <c r="J5" s="93"/>
      <c r="K5" s="93"/>
      <c r="L5" s="93"/>
      <c r="M5" s="93"/>
      <c r="N5" s="93"/>
      <c r="O5" s="93"/>
      <c r="P5" s="93">
        <v>18.5</v>
      </c>
      <c r="Q5" s="93"/>
      <c r="R5" s="93"/>
      <c r="S5" s="93"/>
      <c r="T5" s="93"/>
      <c r="U5" s="93">
        <v>184.85</v>
      </c>
      <c r="V5" s="101"/>
      <c r="W5" s="101"/>
      <c r="X5" s="6"/>
      <c r="Y5" s="7">
        <f t="shared" si="1"/>
        <v>1827.74</v>
      </c>
      <c r="Z5" s="97">
        <f>2786+8045</f>
        <v>10831</v>
      </c>
      <c r="AA5" s="59">
        <f t="shared" si="2"/>
        <v>0.1687508079</v>
      </c>
      <c r="AB5" s="109">
        <f t="shared" si="3"/>
        <v>45274</v>
      </c>
    </row>
    <row r="6">
      <c r="A6" s="74">
        <v>45275.0</v>
      </c>
      <c r="B6" s="93">
        <f>6.17+2106.19-100.83-155.52-87.85-57.5-96.04-29-64-80.86-162.29-65.32-51.47</f>
        <v>1161.68</v>
      </c>
      <c r="C6" s="93"/>
      <c r="D6" s="93">
        <f>290.83+94.8</f>
        <v>385.63</v>
      </c>
      <c r="E6" s="93"/>
      <c r="F6" s="93"/>
      <c r="G6" s="93"/>
      <c r="H6" s="93"/>
      <c r="I6" s="93">
        <v>297.0</v>
      </c>
      <c r="J6" s="93"/>
      <c r="K6" s="93">
        <v>123.0</v>
      </c>
      <c r="L6" s="93"/>
      <c r="M6" s="162"/>
      <c r="N6" s="93"/>
      <c r="O6" s="93"/>
      <c r="P6" s="93">
        <v>18.5</v>
      </c>
      <c r="Q6" s="93"/>
      <c r="R6" s="93"/>
      <c r="S6" s="93"/>
      <c r="T6" s="93"/>
      <c r="U6" s="93"/>
      <c r="V6" s="93">
        <v>57.05</v>
      </c>
      <c r="W6" s="93"/>
      <c r="X6" s="5"/>
      <c r="Y6" s="7">
        <f t="shared" si="1"/>
        <v>2042.86</v>
      </c>
      <c r="Z6" s="97">
        <f>1251+15321.5</f>
        <v>16572.5</v>
      </c>
      <c r="AA6" s="59">
        <f t="shared" si="2"/>
        <v>0.1232680646</v>
      </c>
      <c r="AB6" s="109">
        <f t="shared" si="3"/>
        <v>45275</v>
      </c>
    </row>
    <row r="7">
      <c r="A7" s="74">
        <v>45276.0</v>
      </c>
      <c r="B7" s="93">
        <f>1000.57-59.96-55-100.34-14.2-12.78-13.06</f>
        <v>745.23</v>
      </c>
      <c r="C7" s="93">
        <f>629.69-41.2-38.6-22.05</f>
        <v>527.84</v>
      </c>
      <c r="D7" s="93">
        <f>731.25-120.6-62.45</f>
        <v>548.2</v>
      </c>
      <c r="E7" s="93"/>
      <c r="F7" s="93"/>
      <c r="G7" s="93"/>
      <c r="H7" s="93">
        <v>169.36</v>
      </c>
      <c r="I7" s="93"/>
      <c r="J7" s="93"/>
      <c r="K7" s="93"/>
      <c r="L7" s="93"/>
      <c r="M7" s="93"/>
      <c r="N7" s="93">
        <v>84.0</v>
      </c>
      <c r="O7" s="93"/>
      <c r="P7" s="93"/>
      <c r="Q7" s="93"/>
      <c r="R7" s="93"/>
      <c r="S7" s="93"/>
      <c r="T7" s="101"/>
      <c r="U7" s="101"/>
      <c r="V7" s="101"/>
      <c r="W7" s="101"/>
      <c r="X7" s="5"/>
      <c r="Y7" s="7">
        <f t="shared" si="1"/>
        <v>2074.63</v>
      </c>
      <c r="Z7" s="97">
        <f>2623.5+11683</f>
        <v>14306.5</v>
      </c>
      <c r="AA7" s="59">
        <f t="shared" si="2"/>
        <v>0.1450131059</v>
      </c>
      <c r="AB7" s="109">
        <f t="shared" si="3"/>
        <v>45276</v>
      </c>
    </row>
    <row r="8">
      <c r="A8" s="74">
        <v>45277.0</v>
      </c>
      <c r="B8" s="180">
        <f>241.43+258</f>
        <v>499.43</v>
      </c>
      <c r="C8" s="112" t="s">
        <v>21</v>
      </c>
      <c r="D8" s="180">
        <v>1332.0</v>
      </c>
      <c r="E8" s="112" t="s">
        <v>21</v>
      </c>
      <c r="F8" s="112" t="s">
        <v>21</v>
      </c>
      <c r="G8" s="194">
        <v>670.92</v>
      </c>
      <c r="H8" s="112" t="s">
        <v>21</v>
      </c>
      <c r="I8" s="112" t="s">
        <v>21</v>
      </c>
      <c r="J8" s="112" t="s">
        <v>21</v>
      </c>
      <c r="K8" s="112" t="s">
        <v>21</v>
      </c>
      <c r="L8" s="112" t="s">
        <v>21</v>
      </c>
      <c r="M8" s="112" t="s">
        <v>21</v>
      </c>
      <c r="N8" s="112" t="s">
        <v>21</v>
      </c>
      <c r="O8" s="112" t="s">
        <v>21</v>
      </c>
      <c r="P8" s="112" t="s">
        <v>21</v>
      </c>
      <c r="Q8" s="112" t="s">
        <v>21</v>
      </c>
      <c r="R8" s="112" t="s">
        <v>21</v>
      </c>
      <c r="S8" s="112" t="s">
        <v>21</v>
      </c>
      <c r="T8" s="112" t="s">
        <v>21</v>
      </c>
      <c r="U8" s="112" t="s">
        <v>21</v>
      </c>
      <c r="V8" s="10" t="s">
        <v>21</v>
      </c>
      <c r="W8" s="10" t="s">
        <v>21</v>
      </c>
      <c r="X8" s="10" t="s">
        <v>21</v>
      </c>
      <c r="Y8" s="7">
        <f t="shared" si="1"/>
        <v>2502.35</v>
      </c>
      <c r="Z8" s="97">
        <v>6831</v>
      </c>
      <c r="AA8" s="59">
        <f t="shared" si="2"/>
        <v>0.3663226468</v>
      </c>
      <c r="AB8" s="109">
        <f t="shared" si="3"/>
        <v>45277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Z9" s="129"/>
      <c r="AB9" s="106"/>
    </row>
    <row r="10">
      <c r="A10" s="164" t="s">
        <v>193</v>
      </c>
      <c r="B10" s="78"/>
      <c r="C10" s="78"/>
      <c r="D10" s="78"/>
      <c r="E10" s="188"/>
      <c r="F10" s="188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Z10" s="129"/>
      <c r="AB10" s="106"/>
    </row>
    <row r="11">
      <c r="A11" s="165" t="s">
        <v>194</v>
      </c>
      <c r="B11" s="93">
        <f>47.03+78.76+95.74+40.43+26.12+13.52+33.95+27.65+59.88+27.41+7.85+32.98+14.02+27.41+29+40.43++155.52+96.04+59.96+55+100.34+14.2+12.78+13.06</f>
        <v>1109.08</v>
      </c>
      <c r="C11" s="93">
        <f>41.2+38.6</f>
        <v>79.8</v>
      </c>
      <c r="D11" s="93">
        <f>221.6+120.6</f>
        <v>342.2</v>
      </c>
      <c r="E11" s="167"/>
      <c r="F11" s="168"/>
      <c r="G11" s="166"/>
      <c r="H11" s="166"/>
      <c r="I11" s="168"/>
      <c r="J11" s="168"/>
      <c r="K11" s="168"/>
      <c r="L11" s="168"/>
      <c r="M11" s="168"/>
      <c r="N11" s="168"/>
      <c r="O11" s="168"/>
      <c r="P11" s="1"/>
      <c r="Q11" s="1"/>
      <c r="R11" s="1"/>
      <c r="S11" s="1"/>
      <c r="T11" s="1"/>
      <c r="U11" s="1"/>
      <c r="V11" s="168"/>
      <c r="W11" s="168"/>
      <c r="X11" s="1"/>
      <c r="Y11" s="1"/>
      <c r="Z11" s="169"/>
      <c r="AA11" s="1"/>
      <c r="AB11" s="170"/>
    </row>
    <row r="12">
      <c r="A12" s="165" t="s">
        <v>195</v>
      </c>
      <c r="B12" s="93">
        <f>46.32+33.55+40.16+36.78+34.32+54.76+52.51+59.4+52.01+46.24+77.5+11.75+55+27.6+12.91+87+44+29.75+80.86+87.85+57.5+64+40.43+162.29+65.32</f>
        <v>1359.81</v>
      </c>
      <c r="C12" s="93">
        <f>381.15+82.98+22.05</f>
        <v>486.18</v>
      </c>
      <c r="D12" s="93">
        <f>60.38+120.6+62.45</f>
        <v>243.43</v>
      </c>
      <c r="E12" s="93"/>
      <c r="F12" s="93"/>
      <c r="G12" s="93"/>
      <c r="H12" s="93">
        <v>101.46</v>
      </c>
      <c r="I12" s="93">
        <f>198+190</f>
        <v>388</v>
      </c>
      <c r="J12" s="93"/>
      <c r="K12" s="93"/>
      <c r="L12" s="93"/>
      <c r="M12" s="93"/>
      <c r="N12" s="93">
        <f>144+156</f>
        <v>300</v>
      </c>
      <c r="O12" s="166"/>
      <c r="P12" s="1"/>
      <c r="Q12" s="1"/>
      <c r="R12" s="168"/>
      <c r="S12" s="168"/>
      <c r="T12" s="1"/>
      <c r="U12" s="96"/>
      <c r="V12" s="168"/>
      <c r="W12" s="168"/>
      <c r="X12" s="1"/>
      <c r="Y12" s="1"/>
      <c r="Z12" s="171"/>
      <c r="AA12" s="1"/>
      <c r="AB12" s="170"/>
    </row>
    <row r="13" hidden="1">
      <c r="A13" s="172" t="s">
        <v>196</v>
      </c>
      <c r="B13" s="93"/>
      <c r="C13" s="93"/>
      <c r="D13" s="93"/>
      <c r="E13" s="168"/>
      <c r="F13" s="166"/>
      <c r="G13" s="168"/>
      <c r="H13" s="168"/>
      <c r="I13" s="168"/>
      <c r="J13" s="168"/>
      <c r="K13" s="168"/>
      <c r="L13" s="168"/>
      <c r="M13" s="168"/>
      <c r="N13" s="168"/>
      <c r="O13" s="168"/>
      <c r="P13" s="1"/>
      <c r="Q13" s="1"/>
      <c r="R13" s="168"/>
      <c r="S13" s="168"/>
      <c r="T13" s="1"/>
      <c r="U13" s="1"/>
      <c r="V13" s="168"/>
      <c r="W13" s="168"/>
      <c r="X13" s="1"/>
      <c r="Y13" s="1"/>
      <c r="Z13" s="174"/>
      <c r="AA13" s="1"/>
      <c r="AB13" s="170"/>
    </row>
    <row r="14">
      <c r="A14" s="172" t="s">
        <v>197</v>
      </c>
      <c r="B14" s="93">
        <v>30.01</v>
      </c>
      <c r="C14" s="93"/>
      <c r="D14" s="93"/>
      <c r="E14" s="168"/>
      <c r="F14" s="166"/>
      <c r="G14" s="168"/>
      <c r="H14" s="168"/>
      <c r="I14" s="168"/>
      <c r="J14" s="168"/>
      <c r="K14" s="168"/>
      <c r="L14" s="168"/>
      <c r="M14" s="168"/>
      <c r="N14" s="166"/>
      <c r="O14" s="168"/>
      <c r="P14" s="1"/>
      <c r="Q14" s="1"/>
      <c r="R14" s="168"/>
      <c r="S14" s="168"/>
      <c r="T14" s="1"/>
      <c r="U14" s="96"/>
      <c r="V14" s="168"/>
      <c r="W14" s="168"/>
      <c r="X14" s="1"/>
      <c r="Y14" s="1"/>
      <c r="Z14" s="174"/>
      <c r="AA14" s="1"/>
      <c r="AB14" s="170"/>
    </row>
    <row r="15">
      <c r="A15" s="165" t="s">
        <v>198</v>
      </c>
      <c r="B15" s="93">
        <f>79.9+100.83+51.47</f>
        <v>232.2</v>
      </c>
      <c r="C15" s="93"/>
      <c r="D15" s="93"/>
      <c r="E15" s="168"/>
      <c r="F15" s="166"/>
      <c r="G15" s="168"/>
      <c r="H15" s="168"/>
      <c r="I15" s="168"/>
      <c r="J15" s="168"/>
      <c r="K15" s="168"/>
      <c r="L15" s="168"/>
      <c r="M15" s="168"/>
      <c r="N15" s="166"/>
      <c r="O15" s="168"/>
      <c r="P15" s="1"/>
      <c r="Q15" s="1"/>
      <c r="R15" s="168"/>
      <c r="S15" s="168"/>
      <c r="T15" s="1"/>
      <c r="U15" s="96"/>
      <c r="V15" s="168"/>
      <c r="W15" s="168"/>
      <c r="X15" s="1"/>
      <c r="Y15" s="1"/>
      <c r="Z15" s="174"/>
      <c r="AA15" s="1"/>
      <c r="AB15" s="170"/>
    </row>
    <row r="16">
      <c r="A16" s="91"/>
      <c r="B16" s="92"/>
      <c r="C16" s="79"/>
      <c r="D16" s="79"/>
      <c r="E16" s="79"/>
      <c r="F16" s="78"/>
      <c r="G16" s="78"/>
      <c r="H16" s="78"/>
      <c r="K16" s="79"/>
      <c r="L16" s="79"/>
      <c r="M16" s="78"/>
      <c r="N16" s="79"/>
      <c r="O16" s="79"/>
      <c r="R16" s="79"/>
      <c r="S16" s="79"/>
      <c r="V16" s="79"/>
      <c r="W16" s="79"/>
      <c r="Z16" s="131"/>
      <c r="AB16" s="106"/>
    </row>
    <row r="17">
      <c r="A17" s="91"/>
      <c r="B17" s="92"/>
      <c r="C17" s="78"/>
      <c r="D17" s="78"/>
      <c r="E17" s="78"/>
      <c r="F17" s="79"/>
      <c r="J17" s="175"/>
      <c r="K17" s="189"/>
      <c r="L17" s="147"/>
      <c r="M17" s="78"/>
      <c r="N17" s="190"/>
      <c r="O17" s="79"/>
      <c r="R17" s="79"/>
      <c r="S17" s="79"/>
      <c r="V17" s="79"/>
      <c r="W17" s="79"/>
      <c r="Z17" s="131"/>
      <c r="AB17" s="106"/>
    </row>
    <row r="18">
      <c r="A18" s="4" t="s">
        <v>22</v>
      </c>
      <c r="B18" s="11">
        <v>13000.0</v>
      </c>
      <c r="C18" s="79"/>
      <c r="D18" s="79"/>
      <c r="E18" s="79"/>
      <c r="G18" s="78"/>
      <c r="H18" s="78"/>
      <c r="K18" s="79"/>
      <c r="L18" s="79"/>
      <c r="M18" s="78"/>
      <c r="N18" s="147"/>
      <c r="O18" s="79"/>
      <c r="R18" s="79"/>
      <c r="S18" s="79"/>
      <c r="V18" s="79"/>
      <c r="W18" s="79"/>
      <c r="Z18" s="131"/>
      <c r="AB18" s="106"/>
    </row>
    <row r="19">
      <c r="A19" s="4" t="s">
        <v>23</v>
      </c>
      <c r="B19" s="12">
        <f>SUM(B2:X8)</f>
        <v>14525.85</v>
      </c>
      <c r="C19" s="79"/>
      <c r="D19" s="177"/>
      <c r="E19" s="78"/>
      <c r="G19" s="78"/>
      <c r="H19" s="78"/>
      <c r="J19" s="191"/>
      <c r="K19" s="79"/>
      <c r="L19" s="79"/>
      <c r="M19" s="147"/>
      <c r="N19" s="79"/>
      <c r="O19" s="79"/>
      <c r="R19" s="79"/>
      <c r="S19" s="79"/>
      <c r="V19" s="79"/>
      <c r="W19" s="79"/>
      <c r="Z19" s="131"/>
      <c r="AB19" s="106"/>
    </row>
    <row r="20">
      <c r="A20" s="4" t="s">
        <v>24</v>
      </c>
      <c r="B20" s="12">
        <f> SUM(B18-B19)</f>
        <v>-1525.85</v>
      </c>
      <c r="C20" s="79"/>
      <c r="D20" s="79"/>
      <c r="E20" s="78"/>
      <c r="F20" s="78"/>
      <c r="G20" s="144"/>
      <c r="H20" s="192"/>
      <c r="I20" s="38"/>
      <c r="J20" s="38"/>
      <c r="K20" s="189"/>
      <c r="L20" s="79"/>
      <c r="M20" s="78"/>
      <c r="N20" s="147"/>
      <c r="O20" s="79"/>
      <c r="R20" s="79"/>
      <c r="S20" s="79"/>
      <c r="V20" s="79"/>
      <c r="W20" s="79"/>
      <c r="Z20" s="131"/>
      <c r="AB20" s="106"/>
    </row>
    <row r="21">
      <c r="C21" s="79"/>
      <c r="D21" s="79"/>
      <c r="E21" s="78"/>
      <c r="G21" s="144"/>
      <c r="H21" s="192"/>
      <c r="I21" s="33"/>
      <c r="J21" s="38"/>
      <c r="K21" s="192"/>
      <c r="L21" s="79"/>
      <c r="M21" s="78"/>
      <c r="N21" s="79"/>
      <c r="O21" s="79"/>
      <c r="R21" s="79"/>
      <c r="S21" s="79"/>
      <c r="V21" s="79"/>
      <c r="W21" s="79"/>
      <c r="Z21" s="131"/>
      <c r="AB21" s="106"/>
    </row>
    <row r="22">
      <c r="A22" s="13" t="s">
        <v>25</v>
      </c>
      <c r="B22" s="14">
        <f>SUM(Z2:Z8)</f>
        <v>64508.2</v>
      </c>
      <c r="C22" s="79"/>
      <c r="D22" s="79"/>
      <c r="E22" s="78"/>
      <c r="F22" s="78"/>
      <c r="G22" s="78"/>
      <c r="H22" s="78"/>
      <c r="K22" s="79"/>
      <c r="L22" s="79"/>
      <c r="M22" s="78"/>
      <c r="N22" s="79"/>
      <c r="O22" s="79"/>
      <c r="R22" s="79"/>
      <c r="S22" s="79"/>
      <c r="V22" s="79"/>
      <c r="W22" s="79"/>
      <c r="Z22" s="181"/>
      <c r="AB22" s="106"/>
    </row>
    <row r="23">
      <c r="A23" s="13" t="s">
        <v>26</v>
      </c>
      <c r="B23" s="15">
        <f>B19/B22</f>
        <v>0.2251783494</v>
      </c>
      <c r="C23" s="79"/>
      <c r="D23" s="79"/>
      <c r="E23" s="78"/>
      <c r="H23" s="45"/>
      <c r="K23" s="79"/>
      <c r="L23" s="79"/>
      <c r="M23" s="147"/>
      <c r="N23" s="79"/>
      <c r="O23" s="79"/>
      <c r="R23" s="79"/>
      <c r="S23" s="79"/>
      <c r="V23" s="79"/>
      <c r="W23" s="79"/>
      <c r="Z23" s="130"/>
      <c r="AB23" s="106"/>
    </row>
    <row r="24">
      <c r="C24" s="79"/>
      <c r="D24" s="79"/>
      <c r="E24" s="78"/>
      <c r="R24" s="79"/>
      <c r="S24" s="79"/>
      <c r="V24" s="79"/>
      <c r="W24" s="79"/>
      <c r="Z24" s="182"/>
      <c r="AB24" s="106"/>
    </row>
    <row r="25">
      <c r="C25" s="79"/>
      <c r="D25" s="79"/>
      <c r="E25" s="79"/>
      <c r="I25" s="195"/>
      <c r="M25" s="78"/>
      <c r="R25" s="79"/>
      <c r="S25" s="79"/>
      <c r="V25" s="79"/>
      <c r="W25" s="79"/>
      <c r="Z25" s="130"/>
      <c r="AB25" s="106"/>
    </row>
    <row r="26">
      <c r="A26" s="16" t="s">
        <v>27</v>
      </c>
      <c r="B26" s="17"/>
      <c r="C26" s="114"/>
      <c r="D26" s="114"/>
      <c r="E26" s="115"/>
      <c r="J26" s="84"/>
      <c r="K26" s="84"/>
      <c r="L26" s="84"/>
      <c r="M26" s="84"/>
      <c r="O26" s="151"/>
      <c r="R26" s="79"/>
      <c r="S26" s="79"/>
      <c r="V26" s="79"/>
      <c r="W26" s="79"/>
      <c r="Z26" s="130"/>
      <c r="AB26" s="106"/>
    </row>
    <row r="27">
      <c r="A27" s="19" t="s">
        <v>28</v>
      </c>
      <c r="B27" s="20"/>
      <c r="C27" s="116"/>
      <c r="D27" s="116"/>
      <c r="E27" s="117"/>
      <c r="J27" s="85"/>
      <c r="K27" s="85"/>
      <c r="L27" s="85"/>
      <c r="M27" s="118"/>
      <c r="R27" s="79"/>
      <c r="S27" s="79"/>
      <c r="V27" s="79"/>
      <c r="W27" s="79"/>
      <c r="Z27" s="130"/>
      <c r="AB27" s="106"/>
    </row>
    <row r="28">
      <c r="A28" s="183" t="s">
        <v>29</v>
      </c>
      <c r="B28" s="184" t="s">
        <v>30</v>
      </c>
      <c r="C28" s="185"/>
      <c r="D28" s="185" t="s">
        <v>170</v>
      </c>
      <c r="E28" s="186" t="s">
        <v>171</v>
      </c>
      <c r="J28" s="86"/>
      <c r="K28" s="86"/>
      <c r="L28" s="85"/>
      <c r="M28" s="118"/>
      <c r="R28" s="79"/>
      <c r="S28" s="79"/>
      <c r="V28" s="79"/>
      <c r="W28" s="79"/>
      <c r="Z28" s="130"/>
      <c r="AB28" s="106"/>
    </row>
    <row r="29">
      <c r="A29" s="96" t="s">
        <v>41</v>
      </c>
      <c r="B29" s="5">
        <v>1402.33</v>
      </c>
      <c r="C29" s="168"/>
      <c r="D29" s="168"/>
      <c r="E29" s="166" t="s">
        <v>218</v>
      </c>
      <c r="M29" s="79"/>
      <c r="R29" s="79"/>
      <c r="S29" s="79"/>
      <c r="V29" s="79"/>
      <c r="W29" s="79"/>
      <c r="Z29" s="130"/>
      <c r="AB29" s="106"/>
    </row>
    <row r="30">
      <c r="A30" s="196" t="s">
        <v>220</v>
      </c>
      <c r="B30" s="197">
        <v>170.88</v>
      </c>
      <c r="C30" s="168"/>
      <c r="D30" s="168"/>
      <c r="E30" s="166" t="s">
        <v>218</v>
      </c>
      <c r="M30" s="79"/>
      <c r="R30" s="79"/>
      <c r="S30" s="79"/>
      <c r="V30" s="79"/>
      <c r="W30" s="79"/>
      <c r="Z30" s="130"/>
      <c r="AB30" s="106"/>
    </row>
    <row r="31">
      <c r="A31" s="196" t="s">
        <v>131</v>
      </c>
      <c r="B31" s="197">
        <v>362.61</v>
      </c>
      <c r="C31" s="168"/>
      <c r="D31" s="168"/>
      <c r="E31" s="166" t="s">
        <v>218</v>
      </c>
      <c r="M31" s="79"/>
      <c r="R31" s="79"/>
      <c r="S31" s="79"/>
      <c r="V31" s="79"/>
      <c r="W31" s="79"/>
      <c r="Z31" s="130"/>
      <c r="AB31" s="106"/>
    </row>
    <row r="32">
      <c r="A32" s="196" t="s">
        <v>211</v>
      </c>
      <c r="B32" s="197">
        <f>283.8+283.8</f>
        <v>567.6</v>
      </c>
      <c r="C32" s="168"/>
      <c r="D32" s="168"/>
      <c r="E32" s="166" t="s">
        <v>218</v>
      </c>
      <c r="M32" s="79"/>
      <c r="R32" s="79"/>
      <c r="S32" s="79"/>
      <c r="V32" s="79"/>
      <c r="W32" s="79"/>
      <c r="Z32" s="130"/>
      <c r="AB32" s="106"/>
    </row>
    <row r="33">
      <c r="A33" s="196" t="s">
        <v>221</v>
      </c>
      <c r="B33" s="197">
        <v>1098.03</v>
      </c>
      <c r="C33" s="168"/>
      <c r="D33" s="168"/>
      <c r="E33" s="166" t="s">
        <v>222</v>
      </c>
      <c r="M33" s="79"/>
      <c r="R33" s="79"/>
      <c r="S33" s="79"/>
      <c r="V33" s="79"/>
      <c r="W33" s="79"/>
      <c r="Z33" s="130"/>
      <c r="AB33" s="106"/>
    </row>
    <row r="34">
      <c r="A34" s="196" t="s">
        <v>111</v>
      </c>
      <c r="B34" s="197">
        <v>317.0</v>
      </c>
      <c r="C34" s="168"/>
      <c r="D34" s="168"/>
      <c r="E34" s="166" t="s">
        <v>218</v>
      </c>
      <c r="M34" s="79"/>
      <c r="R34" s="79"/>
      <c r="S34" s="79"/>
      <c r="V34" s="79"/>
      <c r="W34" s="79"/>
      <c r="Z34" s="130"/>
      <c r="AB34" s="106"/>
    </row>
    <row r="35">
      <c r="C35" s="79"/>
      <c r="D35" s="79"/>
      <c r="E35" s="79"/>
      <c r="M35" s="79"/>
      <c r="R35" s="79"/>
      <c r="S35" s="79"/>
      <c r="V35" s="79"/>
      <c r="W35" s="79"/>
      <c r="Z35" s="130"/>
      <c r="AB35" s="106"/>
    </row>
    <row r="36">
      <c r="C36" s="79"/>
      <c r="D36" s="79"/>
      <c r="E36" s="79"/>
      <c r="M36" s="79"/>
      <c r="R36" s="79"/>
      <c r="S36" s="79"/>
      <c r="V36" s="79"/>
      <c r="W36" s="79"/>
      <c r="Z36" s="130"/>
      <c r="AB36" s="106"/>
    </row>
    <row r="37">
      <c r="C37" s="79"/>
      <c r="D37" s="79"/>
      <c r="E37" s="79"/>
      <c r="M37" s="79"/>
      <c r="R37" s="79"/>
      <c r="S37" s="79"/>
      <c r="V37" s="79"/>
      <c r="W37" s="79"/>
      <c r="Z37" s="130"/>
      <c r="AB37" s="106"/>
    </row>
    <row r="38">
      <c r="C38" s="79"/>
      <c r="D38" s="79"/>
      <c r="E38" s="79"/>
      <c r="M38" s="79"/>
      <c r="R38" s="79"/>
      <c r="S38" s="79"/>
      <c r="V38" s="79"/>
      <c r="W38" s="79"/>
      <c r="Z38" s="130"/>
      <c r="AB38" s="106"/>
    </row>
    <row r="39">
      <c r="C39" s="79"/>
      <c r="D39" s="79"/>
      <c r="E39" s="79"/>
      <c r="M39" s="79"/>
      <c r="R39" s="79"/>
      <c r="S39" s="79"/>
      <c r="V39" s="79"/>
      <c r="W39" s="79"/>
      <c r="Z39" s="130"/>
      <c r="AB39" s="106"/>
    </row>
    <row r="40">
      <c r="C40" s="79"/>
      <c r="D40" s="79"/>
      <c r="E40" s="79"/>
      <c r="M40" s="79"/>
      <c r="R40" s="79"/>
      <c r="S40" s="79"/>
      <c r="V40" s="79"/>
      <c r="W40" s="79"/>
      <c r="Z40" s="130"/>
      <c r="AB40" s="106"/>
    </row>
    <row r="41">
      <c r="C41" s="79"/>
      <c r="D41" s="79"/>
      <c r="E41" s="79"/>
      <c r="M41" s="79"/>
      <c r="R41" s="79"/>
      <c r="S41" s="79"/>
      <c r="V41" s="79"/>
      <c r="W41" s="79"/>
      <c r="Z41" s="130"/>
      <c r="AB41" s="106"/>
    </row>
    <row r="42">
      <c r="C42" s="79"/>
      <c r="D42" s="79"/>
      <c r="E42" s="79"/>
      <c r="M42" s="79"/>
      <c r="R42" s="79"/>
      <c r="S42" s="79"/>
      <c r="V42" s="79"/>
      <c r="W42" s="79"/>
      <c r="Z42" s="130"/>
      <c r="AB42" s="106"/>
    </row>
    <row r="43">
      <c r="C43" s="79"/>
      <c r="D43" s="79"/>
      <c r="E43" s="79"/>
      <c r="M43" s="79"/>
      <c r="R43" s="79"/>
      <c r="S43" s="79"/>
      <c r="V43" s="79"/>
      <c r="W43" s="79"/>
      <c r="Z43" s="130"/>
      <c r="AB43" s="106"/>
    </row>
    <row r="44">
      <c r="C44" s="79"/>
      <c r="D44" s="79"/>
      <c r="E44" s="79"/>
      <c r="M44" s="79"/>
      <c r="R44" s="79"/>
      <c r="S44" s="79"/>
      <c r="V44" s="79"/>
      <c r="W44" s="79"/>
      <c r="Z44" s="130"/>
      <c r="AB44" s="106"/>
    </row>
    <row r="45">
      <c r="C45" s="79"/>
      <c r="D45" s="79"/>
      <c r="E45" s="79"/>
      <c r="M45" s="79"/>
      <c r="R45" s="79"/>
      <c r="S45" s="79"/>
      <c r="V45" s="79"/>
      <c r="W45" s="79"/>
      <c r="Z45" s="130"/>
      <c r="AB45" s="106"/>
    </row>
    <row r="46">
      <c r="C46" s="79"/>
      <c r="D46" s="79"/>
      <c r="E46" s="79"/>
      <c r="M46" s="79"/>
      <c r="R46" s="79"/>
      <c r="S46" s="79"/>
      <c r="V46" s="79"/>
      <c r="W46" s="79"/>
      <c r="Z46" s="130"/>
      <c r="AB46" s="106"/>
    </row>
    <row r="47">
      <c r="C47" s="79"/>
      <c r="D47" s="79"/>
      <c r="E47" s="79"/>
      <c r="M47" s="79"/>
      <c r="R47" s="79"/>
      <c r="S47" s="79"/>
      <c r="V47" s="79"/>
      <c r="W47" s="79"/>
      <c r="Z47" s="130"/>
      <c r="AB47" s="106"/>
    </row>
    <row r="48">
      <c r="C48" s="79"/>
      <c r="D48" s="79"/>
      <c r="E48" s="79"/>
      <c r="M48" s="79"/>
      <c r="R48" s="79"/>
      <c r="S48" s="79"/>
      <c r="V48" s="79"/>
      <c r="W48" s="79"/>
      <c r="Z48" s="130"/>
      <c r="AB48" s="106"/>
    </row>
    <row r="49">
      <c r="C49" s="79"/>
      <c r="D49" s="79"/>
      <c r="E49" s="79"/>
      <c r="M49" s="79"/>
      <c r="R49" s="79"/>
      <c r="S49" s="79"/>
      <c r="V49" s="79"/>
      <c r="W49" s="79"/>
      <c r="Z49" s="130"/>
      <c r="AB49" s="106"/>
    </row>
    <row r="50">
      <c r="C50" s="79"/>
      <c r="D50" s="79"/>
      <c r="E50" s="79"/>
      <c r="M50" s="79"/>
      <c r="R50" s="79"/>
      <c r="S50" s="79"/>
      <c r="V50" s="79"/>
      <c r="W50" s="79"/>
      <c r="Z50" s="130"/>
      <c r="AB50" s="106"/>
    </row>
    <row r="51">
      <c r="C51" s="79"/>
      <c r="D51" s="79"/>
      <c r="E51" s="79"/>
      <c r="M51" s="79"/>
      <c r="R51" s="79"/>
      <c r="S51" s="79"/>
      <c r="V51" s="79"/>
      <c r="W51" s="79"/>
      <c r="Z51" s="130"/>
      <c r="AB51" s="106"/>
    </row>
    <row r="52">
      <c r="C52" s="79"/>
      <c r="D52" s="79"/>
      <c r="E52" s="79"/>
      <c r="M52" s="79"/>
      <c r="R52" s="79"/>
      <c r="S52" s="79"/>
      <c r="V52" s="79"/>
      <c r="W52" s="79"/>
      <c r="Z52" s="130"/>
      <c r="AB52" s="106"/>
    </row>
    <row r="53">
      <c r="C53" s="79"/>
      <c r="D53" s="79"/>
      <c r="E53" s="79"/>
      <c r="M53" s="79"/>
      <c r="R53" s="79"/>
      <c r="S53" s="79"/>
      <c r="V53" s="79"/>
      <c r="W53" s="79"/>
      <c r="Z53" s="130"/>
      <c r="AB53" s="106"/>
    </row>
    <row r="54">
      <c r="C54" s="79"/>
      <c r="D54" s="79"/>
      <c r="E54" s="79"/>
      <c r="M54" s="79"/>
      <c r="R54" s="79"/>
      <c r="S54" s="79"/>
      <c r="V54" s="79"/>
      <c r="W54" s="79"/>
      <c r="Z54" s="130"/>
      <c r="AB54" s="106"/>
    </row>
    <row r="55">
      <c r="C55" s="79"/>
      <c r="D55" s="79"/>
      <c r="E55" s="79"/>
      <c r="M55" s="79"/>
      <c r="R55" s="79"/>
      <c r="S55" s="79"/>
      <c r="V55" s="79"/>
      <c r="W55" s="79"/>
      <c r="Z55" s="130"/>
      <c r="AB55" s="106"/>
    </row>
    <row r="56">
      <c r="C56" s="79"/>
      <c r="D56" s="79"/>
      <c r="E56" s="79"/>
      <c r="M56" s="79"/>
      <c r="R56" s="79"/>
      <c r="S56" s="79"/>
      <c r="V56" s="79"/>
      <c r="W56" s="79"/>
      <c r="Z56" s="130"/>
      <c r="AB56" s="106"/>
    </row>
    <row r="57">
      <c r="C57" s="79"/>
      <c r="D57" s="79"/>
      <c r="E57" s="79"/>
      <c r="M57" s="79"/>
      <c r="R57" s="79"/>
      <c r="S57" s="79"/>
      <c r="V57" s="79"/>
      <c r="W57" s="79"/>
      <c r="Z57" s="130"/>
      <c r="AB57" s="106"/>
    </row>
    <row r="58">
      <c r="C58" s="79"/>
      <c r="D58" s="79"/>
      <c r="E58" s="79"/>
      <c r="M58" s="79"/>
      <c r="R58" s="79"/>
      <c r="S58" s="79"/>
      <c r="V58" s="79"/>
      <c r="W58" s="79"/>
      <c r="Z58" s="130"/>
      <c r="AB58" s="106"/>
    </row>
    <row r="59">
      <c r="C59" s="79"/>
      <c r="D59" s="79"/>
      <c r="E59" s="79"/>
      <c r="M59" s="79"/>
      <c r="R59" s="79"/>
      <c r="S59" s="79"/>
      <c r="V59" s="79"/>
      <c r="W59" s="79"/>
      <c r="Z59" s="130"/>
      <c r="AB59" s="106"/>
    </row>
    <row r="60">
      <c r="C60" s="79"/>
      <c r="D60" s="79"/>
      <c r="E60" s="79"/>
      <c r="M60" s="79"/>
      <c r="R60" s="79"/>
      <c r="S60" s="79"/>
      <c r="V60" s="79"/>
      <c r="W60" s="79"/>
      <c r="Z60" s="130"/>
      <c r="AB60" s="106"/>
    </row>
    <row r="61">
      <c r="C61" s="79"/>
      <c r="D61" s="79"/>
      <c r="E61" s="79"/>
      <c r="M61" s="79"/>
      <c r="R61" s="79"/>
      <c r="S61" s="79"/>
      <c r="V61" s="79"/>
      <c r="W61" s="79"/>
      <c r="Z61" s="130"/>
      <c r="AB61" s="106"/>
    </row>
    <row r="62">
      <c r="C62" s="79"/>
      <c r="D62" s="79"/>
      <c r="E62" s="79"/>
      <c r="M62" s="79"/>
      <c r="R62" s="79"/>
      <c r="S62" s="79"/>
      <c r="V62" s="79"/>
      <c r="W62" s="79"/>
      <c r="Z62" s="130"/>
      <c r="AB62" s="106"/>
    </row>
    <row r="63">
      <c r="C63" s="79"/>
      <c r="D63" s="79"/>
      <c r="E63" s="79"/>
      <c r="M63" s="79"/>
      <c r="R63" s="79"/>
      <c r="S63" s="79"/>
      <c r="V63" s="79"/>
      <c r="W63" s="79"/>
      <c r="Z63" s="130"/>
      <c r="AB63" s="106"/>
    </row>
    <row r="64">
      <c r="C64" s="79"/>
      <c r="D64" s="79"/>
      <c r="E64" s="79"/>
      <c r="M64" s="79"/>
      <c r="R64" s="79"/>
      <c r="S64" s="79"/>
      <c r="V64" s="79"/>
      <c r="W64" s="79"/>
      <c r="Z64" s="130"/>
      <c r="AB64" s="106"/>
    </row>
    <row r="65">
      <c r="C65" s="79"/>
      <c r="D65" s="79"/>
      <c r="E65" s="79"/>
      <c r="M65" s="79"/>
      <c r="R65" s="79"/>
      <c r="S65" s="79"/>
      <c r="V65" s="79"/>
      <c r="W65" s="79"/>
      <c r="Z65" s="130"/>
      <c r="AB65" s="106"/>
    </row>
    <row r="66">
      <c r="C66" s="79"/>
      <c r="D66" s="79"/>
      <c r="E66" s="79"/>
      <c r="M66" s="79"/>
      <c r="R66" s="79"/>
      <c r="S66" s="79"/>
      <c r="V66" s="79"/>
      <c r="W66" s="79"/>
      <c r="Z66" s="130"/>
      <c r="AB66" s="106"/>
    </row>
    <row r="67">
      <c r="C67" s="79"/>
      <c r="D67" s="79"/>
      <c r="E67" s="79"/>
      <c r="M67" s="79"/>
      <c r="R67" s="79"/>
      <c r="S67" s="79"/>
      <c r="V67" s="79"/>
      <c r="W67" s="79"/>
      <c r="Z67" s="130"/>
      <c r="AB67" s="106"/>
    </row>
    <row r="68">
      <c r="C68" s="79"/>
      <c r="D68" s="79"/>
      <c r="E68" s="79"/>
      <c r="M68" s="79"/>
      <c r="R68" s="79"/>
      <c r="S68" s="79"/>
      <c r="V68" s="79"/>
      <c r="W68" s="79"/>
      <c r="Z68" s="130"/>
      <c r="AB68" s="106"/>
    </row>
    <row r="69">
      <c r="C69" s="79"/>
      <c r="D69" s="79"/>
      <c r="E69" s="79"/>
      <c r="M69" s="79"/>
      <c r="R69" s="79"/>
      <c r="S69" s="79"/>
      <c r="V69" s="79"/>
      <c r="W69" s="79"/>
      <c r="Z69" s="130"/>
      <c r="AB69" s="106"/>
    </row>
    <row r="70">
      <c r="C70" s="79"/>
      <c r="D70" s="79"/>
      <c r="E70" s="79"/>
      <c r="M70" s="79"/>
      <c r="R70" s="79"/>
      <c r="S70" s="79"/>
      <c r="V70" s="79"/>
      <c r="W70" s="79"/>
      <c r="Z70" s="130"/>
      <c r="AB70" s="106"/>
    </row>
    <row r="71">
      <c r="C71" s="79"/>
      <c r="D71" s="79"/>
      <c r="E71" s="79"/>
      <c r="M71" s="79"/>
      <c r="R71" s="79"/>
      <c r="S71" s="79"/>
      <c r="V71" s="79"/>
      <c r="W71" s="79"/>
      <c r="Z71" s="130"/>
      <c r="AB71" s="106"/>
    </row>
    <row r="72">
      <c r="C72" s="79"/>
      <c r="D72" s="79"/>
      <c r="E72" s="79"/>
      <c r="M72" s="79"/>
      <c r="R72" s="79"/>
      <c r="S72" s="79"/>
      <c r="V72" s="79"/>
      <c r="W72" s="79"/>
      <c r="Z72" s="130"/>
      <c r="AB72" s="106"/>
    </row>
    <row r="73">
      <c r="C73" s="79"/>
      <c r="D73" s="79"/>
      <c r="E73" s="79"/>
      <c r="M73" s="79"/>
      <c r="R73" s="79"/>
      <c r="S73" s="79"/>
      <c r="V73" s="79"/>
      <c r="W73" s="79"/>
      <c r="Z73" s="130"/>
      <c r="AB73" s="106"/>
    </row>
    <row r="74">
      <c r="C74" s="79"/>
      <c r="D74" s="79"/>
      <c r="E74" s="79"/>
      <c r="M74" s="79"/>
      <c r="R74" s="79"/>
      <c r="S74" s="79"/>
      <c r="V74" s="79"/>
      <c r="W74" s="79"/>
      <c r="Z74" s="130"/>
      <c r="AB74" s="106"/>
    </row>
    <row r="75">
      <c r="C75" s="79"/>
      <c r="D75" s="79"/>
      <c r="E75" s="79"/>
      <c r="M75" s="79"/>
      <c r="R75" s="79"/>
      <c r="S75" s="79"/>
      <c r="V75" s="79"/>
      <c r="W75" s="79"/>
      <c r="Z75" s="130"/>
      <c r="AB75" s="106"/>
    </row>
    <row r="76">
      <c r="C76" s="79"/>
      <c r="D76" s="79"/>
      <c r="E76" s="79"/>
      <c r="M76" s="79"/>
      <c r="R76" s="79"/>
      <c r="S76" s="79"/>
      <c r="V76" s="79"/>
      <c r="W76" s="79"/>
      <c r="Z76" s="130"/>
      <c r="AB76" s="106"/>
    </row>
    <row r="77">
      <c r="C77" s="79"/>
      <c r="D77" s="79"/>
      <c r="E77" s="79"/>
      <c r="M77" s="79"/>
      <c r="R77" s="79"/>
      <c r="S77" s="79"/>
      <c r="V77" s="79"/>
      <c r="W77" s="79"/>
      <c r="Z77" s="130"/>
      <c r="AB77" s="106"/>
    </row>
    <row r="78">
      <c r="C78" s="79"/>
      <c r="D78" s="79"/>
      <c r="E78" s="79"/>
      <c r="M78" s="79"/>
      <c r="R78" s="79"/>
      <c r="S78" s="79"/>
      <c r="V78" s="79"/>
      <c r="W78" s="79"/>
      <c r="Z78" s="130"/>
      <c r="AB78" s="106"/>
    </row>
    <row r="79">
      <c r="C79" s="79"/>
      <c r="D79" s="79"/>
      <c r="E79" s="79"/>
      <c r="M79" s="79"/>
      <c r="R79" s="79"/>
      <c r="S79" s="79"/>
      <c r="V79" s="79"/>
      <c r="W79" s="79"/>
      <c r="Z79" s="130"/>
      <c r="AB79" s="106"/>
    </row>
    <row r="80">
      <c r="C80" s="79"/>
      <c r="D80" s="79"/>
      <c r="E80" s="79"/>
      <c r="M80" s="79"/>
      <c r="R80" s="79"/>
      <c r="S80" s="79"/>
      <c r="V80" s="79"/>
      <c r="W80" s="79"/>
      <c r="Z80" s="130"/>
      <c r="AB80" s="106"/>
    </row>
    <row r="81">
      <c r="C81" s="79"/>
      <c r="D81" s="79"/>
      <c r="E81" s="79"/>
      <c r="M81" s="79"/>
      <c r="R81" s="79"/>
      <c r="S81" s="79"/>
      <c r="V81" s="79"/>
      <c r="W81" s="79"/>
      <c r="Z81" s="130"/>
      <c r="AB81" s="106"/>
    </row>
    <row r="82">
      <c r="C82" s="79"/>
      <c r="D82" s="79"/>
      <c r="E82" s="79"/>
      <c r="M82" s="79"/>
      <c r="R82" s="79"/>
      <c r="S82" s="79"/>
      <c r="V82" s="79"/>
      <c r="W82" s="79"/>
      <c r="Z82" s="130"/>
      <c r="AB82" s="106"/>
    </row>
    <row r="83">
      <c r="C83" s="79"/>
      <c r="D83" s="79"/>
      <c r="E83" s="79"/>
      <c r="M83" s="79"/>
      <c r="R83" s="79"/>
      <c r="S83" s="79"/>
      <c r="V83" s="79"/>
      <c r="W83" s="79"/>
      <c r="Z83" s="130"/>
      <c r="AB83" s="106"/>
    </row>
    <row r="84">
      <c r="C84" s="79"/>
      <c r="D84" s="79"/>
      <c r="E84" s="79"/>
      <c r="M84" s="79"/>
      <c r="R84" s="79"/>
      <c r="S84" s="79"/>
      <c r="V84" s="79"/>
      <c r="W84" s="79"/>
      <c r="Z84" s="130"/>
      <c r="AB84" s="106"/>
    </row>
    <row r="85">
      <c r="C85" s="79"/>
      <c r="D85" s="79"/>
      <c r="E85" s="79"/>
      <c r="M85" s="79"/>
      <c r="R85" s="79"/>
      <c r="S85" s="79"/>
      <c r="V85" s="79"/>
      <c r="W85" s="79"/>
      <c r="Z85" s="130"/>
      <c r="AB85" s="106"/>
    </row>
    <row r="86">
      <c r="C86" s="79"/>
      <c r="D86" s="79"/>
      <c r="E86" s="79"/>
      <c r="M86" s="79"/>
      <c r="R86" s="79"/>
      <c r="S86" s="79"/>
      <c r="V86" s="79"/>
      <c r="W86" s="79"/>
      <c r="Z86" s="130"/>
      <c r="AB86" s="106"/>
    </row>
    <row r="87">
      <c r="C87" s="79"/>
      <c r="D87" s="79"/>
      <c r="E87" s="79"/>
      <c r="M87" s="79"/>
      <c r="R87" s="79"/>
      <c r="S87" s="79"/>
      <c r="V87" s="79"/>
      <c r="W87" s="79"/>
      <c r="Z87" s="130"/>
      <c r="AB87" s="106"/>
    </row>
    <row r="88">
      <c r="C88" s="79"/>
      <c r="D88" s="79"/>
      <c r="E88" s="79"/>
      <c r="M88" s="79"/>
      <c r="R88" s="79"/>
      <c r="S88" s="79"/>
      <c r="V88" s="79"/>
      <c r="W88" s="79"/>
      <c r="Z88" s="130"/>
      <c r="AB88" s="106"/>
    </row>
    <row r="89">
      <c r="C89" s="79"/>
      <c r="D89" s="79"/>
      <c r="E89" s="79"/>
      <c r="M89" s="79"/>
      <c r="R89" s="79"/>
      <c r="S89" s="79"/>
      <c r="V89" s="79"/>
      <c r="W89" s="79"/>
      <c r="Z89" s="130"/>
      <c r="AB89" s="106"/>
    </row>
    <row r="90">
      <c r="C90" s="79"/>
      <c r="D90" s="79"/>
      <c r="E90" s="79"/>
      <c r="M90" s="79"/>
      <c r="R90" s="79"/>
      <c r="S90" s="79"/>
      <c r="V90" s="79"/>
      <c r="W90" s="79"/>
      <c r="Z90" s="130"/>
      <c r="AB90" s="106"/>
    </row>
    <row r="91">
      <c r="C91" s="79"/>
      <c r="D91" s="79"/>
      <c r="E91" s="79"/>
      <c r="M91" s="79"/>
      <c r="R91" s="79"/>
      <c r="S91" s="79"/>
      <c r="V91" s="79"/>
      <c r="W91" s="79"/>
      <c r="Z91" s="130"/>
      <c r="AB91" s="106"/>
    </row>
    <row r="92">
      <c r="C92" s="79"/>
      <c r="D92" s="79"/>
      <c r="E92" s="79"/>
      <c r="M92" s="79"/>
      <c r="R92" s="79"/>
      <c r="S92" s="79"/>
      <c r="V92" s="79"/>
      <c r="W92" s="79"/>
      <c r="Z92" s="130"/>
      <c r="AB92" s="106"/>
    </row>
    <row r="93">
      <c r="C93" s="79"/>
      <c r="D93" s="79"/>
      <c r="E93" s="79"/>
      <c r="M93" s="79"/>
      <c r="R93" s="79"/>
      <c r="S93" s="79"/>
      <c r="V93" s="79"/>
      <c r="W93" s="79"/>
      <c r="Z93" s="130"/>
      <c r="AB93" s="106"/>
    </row>
    <row r="94">
      <c r="C94" s="79"/>
      <c r="D94" s="79"/>
      <c r="E94" s="79"/>
      <c r="M94" s="79"/>
      <c r="R94" s="79"/>
      <c r="S94" s="79"/>
      <c r="V94" s="79"/>
      <c r="W94" s="79"/>
      <c r="Z94" s="130"/>
      <c r="AB94" s="106"/>
    </row>
    <row r="95">
      <c r="C95" s="79"/>
      <c r="D95" s="79"/>
      <c r="E95" s="79"/>
      <c r="M95" s="79"/>
      <c r="R95" s="79"/>
      <c r="S95" s="79"/>
      <c r="V95" s="79"/>
      <c r="W95" s="79"/>
      <c r="Z95" s="130"/>
      <c r="AB95" s="106"/>
    </row>
    <row r="96">
      <c r="C96" s="79"/>
      <c r="D96" s="79"/>
      <c r="E96" s="79"/>
      <c r="M96" s="79"/>
      <c r="R96" s="79"/>
      <c r="S96" s="79"/>
      <c r="V96" s="79"/>
      <c r="W96" s="79"/>
      <c r="Z96" s="130"/>
      <c r="AB96" s="106"/>
    </row>
    <row r="97">
      <c r="C97" s="79"/>
      <c r="D97" s="79"/>
      <c r="E97" s="79"/>
      <c r="M97" s="79"/>
      <c r="R97" s="79"/>
      <c r="S97" s="79"/>
      <c r="V97" s="79"/>
      <c r="W97" s="79"/>
      <c r="Z97" s="130"/>
      <c r="AB97" s="106"/>
    </row>
    <row r="98">
      <c r="C98" s="79"/>
      <c r="D98" s="79"/>
      <c r="E98" s="79"/>
      <c r="M98" s="79"/>
      <c r="R98" s="79"/>
      <c r="S98" s="79"/>
      <c r="V98" s="79"/>
      <c r="W98" s="79"/>
      <c r="Z98" s="130"/>
      <c r="AB98" s="106"/>
    </row>
    <row r="99">
      <c r="C99" s="79"/>
      <c r="D99" s="79"/>
      <c r="E99" s="79"/>
      <c r="M99" s="79"/>
      <c r="R99" s="79"/>
      <c r="S99" s="79"/>
      <c r="V99" s="79"/>
      <c r="W99" s="79"/>
      <c r="Z99" s="130"/>
      <c r="AB99" s="106"/>
    </row>
    <row r="100">
      <c r="C100" s="79"/>
      <c r="D100" s="79"/>
      <c r="E100" s="79"/>
      <c r="M100" s="79"/>
      <c r="R100" s="79"/>
      <c r="S100" s="79"/>
      <c r="V100" s="79"/>
      <c r="W100" s="79"/>
      <c r="Z100" s="130"/>
      <c r="AB100" s="106"/>
    </row>
    <row r="101">
      <c r="C101" s="79"/>
      <c r="D101" s="79"/>
      <c r="E101" s="79"/>
      <c r="M101" s="79"/>
      <c r="R101" s="79"/>
      <c r="S101" s="79"/>
      <c r="V101" s="79"/>
      <c r="W101" s="79"/>
      <c r="Z101" s="130"/>
      <c r="AB101" s="106"/>
    </row>
    <row r="102">
      <c r="C102" s="79"/>
      <c r="D102" s="79"/>
      <c r="E102" s="79"/>
      <c r="M102" s="79"/>
      <c r="R102" s="79"/>
      <c r="S102" s="79"/>
      <c r="V102" s="79"/>
      <c r="W102" s="79"/>
      <c r="Z102" s="130"/>
      <c r="AB102" s="106"/>
    </row>
    <row r="103">
      <c r="C103" s="79"/>
      <c r="D103" s="79"/>
      <c r="E103" s="79"/>
      <c r="M103" s="79"/>
      <c r="R103" s="79"/>
      <c r="S103" s="79"/>
      <c r="V103" s="79"/>
      <c r="W103" s="79"/>
      <c r="Z103" s="130"/>
      <c r="AB103" s="106"/>
    </row>
    <row r="104">
      <c r="C104" s="79"/>
      <c r="D104" s="79"/>
      <c r="E104" s="79"/>
      <c r="M104" s="79"/>
      <c r="R104" s="79"/>
      <c r="S104" s="79"/>
      <c r="V104" s="79"/>
      <c r="W104" s="79"/>
      <c r="Z104" s="130"/>
      <c r="AB104" s="106"/>
    </row>
    <row r="105">
      <c r="C105" s="79"/>
      <c r="D105" s="79"/>
      <c r="E105" s="79"/>
      <c r="M105" s="79"/>
      <c r="R105" s="79"/>
      <c r="S105" s="79"/>
      <c r="V105" s="79"/>
      <c r="W105" s="79"/>
      <c r="Z105" s="130"/>
      <c r="AB105" s="106"/>
    </row>
    <row r="106">
      <c r="C106" s="79"/>
      <c r="D106" s="79"/>
      <c r="E106" s="79"/>
      <c r="M106" s="79"/>
      <c r="R106" s="79"/>
      <c r="S106" s="79"/>
      <c r="V106" s="79"/>
      <c r="W106" s="79"/>
      <c r="Z106" s="130"/>
      <c r="AB106" s="106"/>
    </row>
    <row r="107">
      <c r="C107" s="79"/>
      <c r="D107" s="79"/>
      <c r="E107" s="79"/>
      <c r="M107" s="79"/>
      <c r="R107" s="79"/>
      <c r="S107" s="79"/>
      <c r="V107" s="79"/>
      <c r="W107" s="79"/>
      <c r="Z107" s="130"/>
      <c r="AB107" s="106"/>
    </row>
    <row r="108">
      <c r="C108" s="79"/>
      <c r="D108" s="79"/>
      <c r="E108" s="79"/>
      <c r="M108" s="79"/>
      <c r="R108" s="79"/>
      <c r="S108" s="79"/>
      <c r="V108" s="79"/>
      <c r="W108" s="79"/>
      <c r="Z108" s="130"/>
      <c r="AB108" s="106"/>
    </row>
    <row r="109">
      <c r="C109" s="79"/>
      <c r="D109" s="79"/>
      <c r="E109" s="79"/>
      <c r="M109" s="79"/>
      <c r="R109" s="79"/>
      <c r="S109" s="79"/>
      <c r="V109" s="79"/>
      <c r="W109" s="79"/>
      <c r="Z109" s="130"/>
      <c r="AB109" s="106"/>
    </row>
    <row r="110">
      <c r="C110" s="79"/>
      <c r="D110" s="79"/>
      <c r="E110" s="79"/>
      <c r="M110" s="79"/>
      <c r="R110" s="79"/>
      <c r="S110" s="79"/>
      <c r="V110" s="79"/>
      <c r="W110" s="79"/>
      <c r="Z110" s="130"/>
      <c r="AB110" s="106"/>
    </row>
    <row r="111">
      <c r="C111" s="79"/>
      <c r="D111" s="79"/>
      <c r="E111" s="79"/>
      <c r="M111" s="79"/>
      <c r="R111" s="79"/>
      <c r="S111" s="79"/>
      <c r="V111" s="79"/>
      <c r="W111" s="79"/>
      <c r="Z111" s="130"/>
      <c r="AB111" s="106"/>
    </row>
    <row r="112">
      <c r="C112" s="79"/>
      <c r="D112" s="79"/>
      <c r="E112" s="79"/>
      <c r="M112" s="79"/>
      <c r="R112" s="79"/>
      <c r="S112" s="79"/>
      <c r="V112" s="79"/>
      <c r="W112" s="79"/>
      <c r="Z112" s="130"/>
      <c r="AB112" s="106"/>
    </row>
    <row r="113">
      <c r="C113" s="79"/>
      <c r="D113" s="79"/>
      <c r="E113" s="79"/>
      <c r="M113" s="79"/>
      <c r="R113" s="79"/>
      <c r="S113" s="79"/>
      <c r="V113" s="79"/>
      <c r="W113" s="79"/>
      <c r="Z113" s="130"/>
      <c r="AB113" s="106"/>
    </row>
    <row r="114">
      <c r="C114" s="79"/>
      <c r="D114" s="79"/>
      <c r="E114" s="79"/>
      <c r="M114" s="79"/>
      <c r="R114" s="79"/>
      <c r="S114" s="79"/>
      <c r="V114" s="79"/>
      <c r="W114" s="79"/>
      <c r="Z114" s="130"/>
      <c r="AB114" s="106"/>
    </row>
    <row r="115">
      <c r="C115" s="79"/>
      <c r="D115" s="79"/>
      <c r="E115" s="79"/>
      <c r="M115" s="79"/>
      <c r="R115" s="79"/>
      <c r="S115" s="79"/>
      <c r="V115" s="79"/>
      <c r="W115" s="79"/>
      <c r="Z115" s="130"/>
      <c r="AB115" s="106"/>
    </row>
    <row r="116">
      <c r="C116" s="79"/>
      <c r="D116" s="79"/>
      <c r="E116" s="79"/>
      <c r="M116" s="79"/>
      <c r="R116" s="79"/>
      <c r="S116" s="79"/>
      <c r="V116" s="79"/>
      <c r="W116" s="79"/>
      <c r="Z116" s="130"/>
      <c r="AB116" s="106"/>
    </row>
    <row r="117">
      <c r="C117" s="79"/>
      <c r="D117" s="79"/>
      <c r="E117" s="79"/>
      <c r="M117" s="79"/>
      <c r="R117" s="79"/>
      <c r="S117" s="79"/>
      <c r="V117" s="79"/>
      <c r="W117" s="79"/>
      <c r="Z117" s="130"/>
      <c r="AB117" s="106"/>
    </row>
    <row r="118">
      <c r="C118" s="79"/>
      <c r="D118" s="79"/>
      <c r="E118" s="79"/>
      <c r="M118" s="79"/>
      <c r="R118" s="79"/>
      <c r="S118" s="79"/>
      <c r="V118" s="79"/>
      <c r="W118" s="79"/>
      <c r="Z118" s="130"/>
      <c r="AB118" s="106"/>
    </row>
    <row r="119">
      <c r="C119" s="79"/>
      <c r="D119" s="79"/>
      <c r="E119" s="79"/>
      <c r="M119" s="79"/>
      <c r="R119" s="79"/>
      <c r="S119" s="79"/>
      <c r="V119" s="79"/>
      <c r="W119" s="79"/>
      <c r="Z119" s="130"/>
      <c r="AB119" s="106"/>
    </row>
    <row r="120">
      <c r="C120" s="79"/>
      <c r="D120" s="79"/>
      <c r="E120" s="79"/>
      <c r="M120" s="79"/>
      <c r="R120" s="79"/>
      <c r="S120" s="79"/>
      <c r="V120" s="79"/>
      <c r="W120" s="79"/>
      <c r="Z120" s="130"/>
      <c r="AB120" s="106"/>
    </row>
    <row r="121">
      <c r="C121" s="79"/>
      <c r="D121" s="79"/>
      <c r="E121" s="79"/>
      <c r="M121" s="79"/>
      <c r="R121" s="79"/>
      <c r="S121" s="79"/>
      <c r="V121" s="79"/>
      <c r="W121" s="79"/>
      <c r="Z121" s="130"/>
      <c r="AB121" s="106"/>
    </row>
    <row r="122">
      <c r="C122" s="79"/>
      <c r="D122" s="79"/>
      <c r="E122" s="79"/>
      <c r="M122" s="79"/>
      <c r="R122" s="79"/>
      <c r="S122" s="79"/>
      <c r="V122" s="79"/>
      <c r="W122" s="79"/>
      <c r="Z122" s="130"/>
      <c r="AB122" s="106"/>
    </row>
    <row r="123">
      <c r="C123" s="79"/>
      <c r="D123" s="79"/>
      <c r="E123" s="79"/>
      <c r="M123" s="79"/>
      <c r="R123" s="79"/>
      <c r="S123" s="79"/>
      <c r="V123" s="79"/>
      <c r="W123" s="79"/>
      <c r="Z123" s="130"/>
      <c r="AB123" s="106"/>
    </row>
    <row r="124">
      <c r="C124" s="79"/>
      <c r="D124" s="79"/>
      <c r="E124" s="79"/>
      <c r="M124" s="79"/>
      <c r="R124" s="79"/>
      <c r="S124" s="79"/>
      <c r="V124" s="79"/>
      <c r="W124" s="79"/>
      <c r="Z124" s="130"/>
      <c r="AB124" s="106"/>
    </row>
    <row r="125">
      <c r="C125" s="79"/>
      <c r="D125" s="79"/>
      <c r="E125" s="79"/>
      <c r="M125" s="79"/>
      <c r="R125" s="79"/>
      <c r="S125" s="79"/>
      <c r="V125" s="79"/>
      <c r="W125" s="79"/>
      <c r="Z125" s="130"/>
      <c r="AB125" s="106"/>
    </row>
    <row r="126">
      <c r="C126" s="79"/>
      <c r="D126" s="79"/>
      <c r="E126" s="79"/>
      <c r="M126" s="79"/>
      <c r="R126" s="79"/>
      <c r="S126" s="79"/>
      <c r="V126" s="79"/>
      <c r="W126" s="79"/>
      <c r="Z126" s="130"/>
      <c r="AB126" s="106"/>
    </row>
    <row r="127">
      <c r="C127" s="79"/>
      <c r="D127" s="79"/>
      <c r="E127" s="79"/>
      <c r="M127" s="79"/>
      <c r="R127" s="79"/>
      <c r="S127" s="79"/>
      <c r="V127" s="79"/>
      <c r="W127" s="79"/>
      <c r="Z127" s="130"/>
      <c r="AB127" s="106"/>
    </row>
    <row r="128">
      <c r="C128" s="79"/>
      <c r="D128" s="79"/>
      <c r="E128" s="79"/>
      <c r="M128" s="79"/>
      <c r="R128" s="79"/>
      <c r="S128" s="79"/>
      <c r="V128" s="79"/>
      <c r="W128" s="79"/>
      <c r="Z128" s="130"/>
      <c r="AB128" s="106"/>
    </row>
    <row r="129">
      <c r="C129" s="79"/>
      <c r="D129" s="79"/>
      <c r="E129" s="79"/>
      <c r="M129" s="79"/>
      <c r="R129" s="79"/>
      <c r="S129" s="79"/>
      <c r="V129" s="79"/>
      <c r="W129" s="79"/>
      <c r="Z129" s="130"/>
      <c r="AB129" s="106"/>
    </row>
    <row r="130">
      <c r="C130" s="79"/>
      <c r="D130" s="79"/>
      <c r="E130" s="79"/>
      <c r="M130" s="79"/>
      <c r="R130" s="79"/>
      <c r="S130" s="79"/>
      <c r="V130" s="79"/>
      <c r="W130" s="79"/>
      <c r="Z130" s="130"/>
      <c r="AB130" s="106"/>
    </row>
    <row r="131">
      <c r="C131" s="79"/>
      <c r="D131" s="79"/>
      <c r="E131" s="79"/>
      <c r="M131" s="79"/>
      <c r="R131" s="79"/>
      <c r="S131" s="79"/>
      <c r="V131" s="79"/>
      <c r="W131" s="79"/>
      <c r="Z131" s="130"/>
      <c r="AB131" s="106"/>
    </row>
    <row r="132">
      <c r="C132" s="79"/>
      <c r="D132" s="79"/>
      <c r="E132" s="79"/>
      <c r="M132" s="79"/>
      <c r="R132" s="79"/>
      <c r="S132" s="79"/>
      <c r="V132" s="79"/>
      <c r="W132" s="79"/>
      <c r="Z132" s="130"/>
      <c r="AB132" s="106"/>
    </row>
    <row r="133">
      <c r="C133" s="79"/>
      <c r="D133" s="79"/>
      <c r="E133" s="79"/>
      <c r="M133" s="79"/>
      <c r="R133" s="79"/>
      <c r="S133" s="79"/>
      <c r="V133" s="79"/>
      <c r="W133" s="79"/>
      <c r="Z133" s="130"/>
      <c r="AB133" s="106"/>
    </row>
    <row r="134">
      <c r="C134" s="79"/>
      <c r="D134" s="79"/>
      <c r="E134" s="79"/>
      <c r="M134" s="79"/>
      <c r="R134" s="79"/>
      <c r="S134" s="79"/>
      <c r="V134" s="79"/>
      <c r="W134" s="79"/>
      <c r="Z134" s="130"/>
      <c r="AB134" s="106"/>
    </row>
    <row r="135">
      <c r="C135" s="79"/>
      <c r="D135" s="79"/>
      <c r="E135" s="79"/>
      <c r="M135" s="79"/>
      <c r="R135" s="79"/>
      <c r="S135" s="79"/>
      <c r="V135" s="79"/>
      <c r="W135" s="79"/>
      <c r="Z135" s="130"/>
      <c r="AB135" s="106"/>
    </row>
    <row r="136">
      <c r="C136" s="79"/>
      <c r="D136" s="79"/>
      <c r="E136" s="79"/>
      <c r="M136" s="79"/>
      <c r="R136" s="79"/>
      <c r="S136" s="79"/>
      <c r="V136" s="79"/>
      <c r="W136" s="79"/>
      <c r="Z136" s="130"/>
      <c r="AB136" s="106"/>
    </row>
    <row r="137">
      <c r="C137" s="79"/>
      <c r="D137" s="79"/>
      <c r="E137" s="79"/>
      <c r="M137" s="79"/>
      <c r="R137" s="79"/>
      <c r="S137" s="79"/>
      <c r="V137" s="79"/>
      <c r="W137" s="79"/>
      <c r="Z137" s="130"/>
      <c r="AB137" s="106"/>
    </row>
    <row r="138">
      <c r="C138" s="79"/>
      <c r="D138" s="79"/>
      <c r="E138" s="79"/>
      <c r="M138" s="79"/>
      <c r="R138" s="79"/>
      <c r="S138" s="79"/>
      <c r="V138" s="79"/>
      <c r="W138" s="79"/>
      <c r="Z138" s="130"/>
      <c r="AB138" s="106"/>
    </row>
    <row r="139">
      <c r="C139" s="79"/>
      <c r="D139" s="79"/>
      <c r="E139" s="79"/>
      <c r="M139" s="79"/>
      <c r="R139" s="79"/>
      <c r="S139" s="79"/>
      <c r="V139" s="79"/>
      <c r="W139" s="79"/>
      <c r="Z139" s="130"/>
      <c r="AB139" s="106"/>
    </row>
    <row r="140">
      <c r="C140" s="79"/>
      <c r="D140" s="79"/>
      <c r="E140" s="79"/>
      <c r="M140" s="79"/>
      <c r="R140" s="79"/>
      <c r="S140" s="79"/>
      <c r="V140" s="79"/>
      <c r="W140" s="79"/>
      <c r="Z140" s="130"/>
      <c r="AB140" s="106"/>
    </row>
    <row r="141">
      <c r="C141" s="79"/>
      <c r="D141" s="79"/>
      <c r="E141" s="79"/>
      <c r="M141" s="79"/>
      <c r="R141" s="79"/>
      <c r="S141" s="79"/>
      <c r="V141" s="79"/>
      <c r="W141" s="79"/>
      <c r="Z141" s="130"/>
      <c r="AB141" s="106"/>
    </row>
    <row r="142">
      <c r="C142" s="79"/>
      <c r="D142" s="79"/>
      <c r="E142" s="79"/>
      <c r="M142" s="79"/>
      <c r="R142" s="79"/>
      <c r="S142" s="79"/>
      <c r="V142" s="79"/>
      <c r="W142" s="79"/>
      <c r="Z142" s="130"/>
      <c r="AB142" s="106"/>
    </row>
    <row r="143">
      <c r="C143" s="79"/>
      <c r="D143" s="79"/>
      <c r="E143" s="79"/>
      <c r="M143" s="79"/>
      <c r="R143" s="79"/>
      <c r="S143" s="79"/>
      <c r="V143" s="79"/>
      <c r="W143" s="79"/>
      <c r="Z143" s="130"/>
      <c r="AB143" s="106"/>
    </row>
    <row r="144">
      <c r="C144" s="79"/>
      <c r="D144" s="79"/>
      <c r="E144" s="79"/>
      <c r="M144" s="79"/>
      <c r="R144" s="79"/>
      <c r="S144" s="79"/>
      <c r="V144" s="79"/>
      <c r="W144" s="79"/>
      <c r="Z144" s="130"/>
      <c r="AB144" s="106"/>
    </row>
    <row r="145">
      <c r="C145" s="79"/>
      <c r="D145" s="79"/>
      <c r="E145" s="79"/>
      <c r="M145" s="79"/>
      <c r="R145" s="79"/>
      <c r="S145" s="79"/>
      <c r="V145" s="79"/>
      <c r="W145" s="79"/>
      <c r="Z145" s="130"/>
      <c r="AB145" s="106"/>
    </row>
    <row r="146">
      <c r="C146" s="79"/>
      <c r="D146" s="79"/>
      <c r="E146" s="79"/>
      <c r="M146" s="79"/>
      <c r="R146" s="79"/>
      <c r="S146" s="79"/>
      <c r="V146" s="79"/>
      <c r="W146" s="79"/>
      <c r="Z146" s="130"/>
      <c r="AB146" s="106"/>
    </row>
    <row r="147">
      <c r="C147" s="79"/>
      <c r="D147" s="79"/>
      <c r="E147" s="79"/>
      <c r="M147" s="79"/>
      <c r="R147" s="79"/>
      <c r="S147" s="79"/>
      <c r="V147" s="79"/>
      <c r="W147" s="79"/>
      <c r="Z147" s="130"/>
      <c r="AB147" s="106"/>
    </row>
    <row r="148">
      <c r="C148" s="79"/>
      <c r="D148" s="79"/>
      <c r="E148" s="79"/>
      <c r="M148" s="79"/>
      <c r="R148" s="79"/>
      <c r="S148" s="79"/>
      <c r="V148" s="79"/>
      <c r="W148" s="79"/>
      <c r="Z148" s="130"/>
      <c r="AB148" s="106"/>
    </row>
    <row r="149">
      <c r="C149" s="79"/>
      <c r="D149" s="79"/>
      <c r="E149" s="79"/>
      <c r="M149" s="79"/>
      <c r="R149" s="79"/>
      <c r="S149" s="79"/>
      <c r="V149" s="79"/>
      <c r="W149" s="79"/>
      <c r="Z149" s="130"/>
      <c r="AB149" s="106"/>
    </row>
    <row r="150">
      <c r="C150" s="79"/>
      <c r="D150" s="79"/>
      <c r="E150" s="79"/>
      <c r="M150" s="79"/>
      <c r="R150" s="79"/>
      <c r="S150" s="79"/>
      <c r="V150" s="79"/>
      <c r="W150" s="79"/>
      <c r="Z150" s="130"/>
      <c r="AB150" s="106"/>
    </row>
    <row r="151">
      <c r="C151" s="79"/>
      <c r="D151" s="79"/>
      <c r="E151" s="79"/>
      <c r="M151" s="79"/>
      <c r="R151" s="79"/>
      <c r="S151" s="79"/>
      <c r="V151" s="79"/>
      <c r="W151" s="79"/>
      <c r="Z151" s="130"/>
      <c r="AB151" s="106"/>
    </row>
    <row r="152">
      <c r="C152" s="79"/>
      <c r="D152" s="79"/>
      <c r="E152" s="79"/>
      <c r="M152" s="79"/>
      <c r="R152" s="79"/>
      <c r="S152" s="79"/>
      <c r="V152" s="79"/>
      <c r="W152" s="79"/>
      <c r="Z152" s="130"/>
      <c r="AB152" s="106"/>
    </row>
    <row r="153">
      <c r="C153" s="79"/>
      <c r="D153" s="79"/>
      <c r="E153" s="79"/>
      <c r="M153" s="79"/>
      <c r="R153" s="79"/>
      <c r="S153" s="79"/>
      <c r="V153" s="79"/>
      <c r="W153" s="79"/>
      <c r="Z153" s="130"/>
      <c r="AB153" s="106"/>
    </row>
    <row r="154">
      <c r="C154" s="79"/>
      <c r="D154" s="79"/>
      <c r="E154" s="79"/>
      <c r="M154" s="79"/>
      <c r="R154" s="79"/>
      <c r="S154" s="79"/>
      <c r="V154" s="79"/>
      <c r="W154" s="79"/>
      <c r="Z154" s="130"/>
      <c r="AB154" s="106"/>
    </row>
    <row r="155">
      <c r="C155" s="79"/>
      <c r="D155" s="79"/>
      <c r="E155" s="79"/>
      <c r="M155" s="79"/>
      <c r="R155" s="79"/>
      <c r="S155" s="79"/>
      <c r="V155" s="79"/>
      <c r="W155" s="79"/>
      <c r="Z155" s="130"/>
      <c r="AB155" s="106"/>
    </row>
    <row r="156">
      <c r="C156" s="79"/>
      <c r="D156" s="79"/>
      <c r="E156" s="79"/>
      <c r="M156" s="79"/>
      <c r="R156" s="79"/>
      <c r="S156" s="79"/>
      <c r="V156" s="79"/>
      <c r="W156" s="79"/>
      <c r="Z156" s="130"/>
      <c r="AB156" s="106"/>
    </row>
    <row r="157">
      <c r="C157" s="79"/>
      <c r="D157" s="79"/>
      <c r="E157" s="79"/>
      <c r="M157" s="79"/>
      <c r="R157" s="79"/>
      <c r="S157" s="79"/>
      <c r="V157" s="79"/>
      <c r="W157" s="79"/>
      <c r="Z157" s="130"/>
      <c r="AB157" s="106"/>
    </row>
    <row r="158">
      <c r="C158" s="79"/>
      <c r="D158" s="79"/>
      <c r="E158" s="79"/>
      <c r="M158" s="79"/>
      <c r="R158" s="79"/>
      <c r="S158" s="79"/>
      <c r="V158" s="79"/>
      <c r="W158" s="79"/>
      <c r="Z158" s="130"/>
      <c r="AB158" s="106"/>
    </row>
    <row r="159">
      <c r="C159" s="79"/>
      <c r="D159" s="79"/>
      <c r="E159" s="79"/>
      <c r="M159" s="79"/>
      <c r="R159" s="79"/>
      <c r="S159" s="79"/>
      <c r="V159" s="79"/>
      <c r="W159" s="79"/>
      <c r="Z159" s="130"/>
      <c r="AB159" s="106"/>
    </row>
    <row r="160">
      <c r="C160" s="79"/>
      <c r="D160" s="79"/>
      <c r="E160" s="79"/>
      <c r="M160" s="79"/>
      <c r="R160" s="79"/>
      <c r="S160" s="79"/>
      <c r="V160" s="79"/>
      <c r="W160" s="79"/>
      <c r="Z160" s="130"/>
      <c r="AB160" s="106"/>
    </row>
    <row r="161">
      <c r="C161" s="79"/>
      <c r="D161" s="79"/>
      <c r="E161" s="79"/>
      <c r="M161" s="79"/>
      <c r="R161" s="79"/>
      <c r="S161" s="79"/>
      <c r="V161" s="79"/>
      <c r="W161" s="79"/>
      <c r="Z161" s="130"/>
      <c r="AB161" s="106"/>
    </row>
    <row r="162">
      <c r="C162" s="79"/>
      <c r="D162" s="79"/>
      <c r="E162" s="79"/>
      <c r="M162" s="79"/>
      <c r="R162" s="79"/>
      <c r="S162" s="79"/>
      <c r="V162" s="79"/>
      <c r="W162" s="79"/>
      <c r="Z162" s="130"/>
      <c r="AB162" s="106"/>
    </row>
    <row r="163">
      <c r="C163" s="79"/>
      <c r="D163" s="79"/>
      <c r="E163" s="79"/>
      <c r="M163" s="79"/>
      <c r="R163" s="79"/>
      <c r="S163" s="79"/>
      <c r="V163" s="79"/>
      <c r="W163" s="79"/>
      <c r="Z163" s="130"/>
      <c r="AB163" s="106"/>
    </row>
    <row r="164">
      <c r="C164" s="79"/>
      <c r="D164" s="79"/>
      <c r="E164" s="79"/>
      <c r="M164" s="79"/>
      <c r="R164" s="79"/>
      <c r="S164" s="79"/>
      <c r="V164" s="79"/>
      <c r="W164" s="79"/>
      <c r="Z164" s="130"/>
      <c r="AB164" s="106"/>
    </row>
    <row r="165">
      <c r="C165" s="79"/>
      <c r="D165" s="79"/>
      <c r="E165" s="79"/>
      <c r="M165" s="79"/>
      <c r="R165" s="79"/>
      <c r="S165" s="79"/>
      <c r="V165" s="79"/>
      <c r="W165" s="79"/>
      <c r="Z165" s="130"/>
      <c r="AB165" s="106"/>
    </row>
    <row r="166">
      <c r="C166" s="79"/>
      <c r="D166" s="79"/>
      <c r="E166" s="79"/>
      <c r="M166" s="79"/>
      <c r="R166" s="79"/>
      <c r="S166" s="79"/>
      <c r="V166" s="79"/>
      <c r="W166" s="79"/>
      <c r="Z166" s="130"/>
      <c r="AB166" s="106"/>
    </row>
    <row r="167">
      <c r="C167" s="79"/>
      <c r="D167" s="79"/>
      <c r="E167" s="79"/>
      <c r="M167" s="79"/>
      <c r="R167" s="79"/>
      <c r="S167" s="79"/>
      <c r="V167" s="79"/>
      <c r="W167" s="79"/>
      <c r="Z167" s="130"/>
      <c r="AB167" s="106"/>
    </row>
    <row r="168">
      <c r="C168" s="79"/>
      <c r="D168" s="79"/>
      <c r="E168" s="79"/>
      <c r="M168" s="79"/>
      <c r="R168" s="79"/>
      <c r="S168" s="79"/>
      <c r="V168" s="79"/>
      <c r="W168" s="79"/>
      <c r="Z168" s="130"/>
      <c r="AB168" s="106"/>
    </row>
    <row r="169">
      <c r="C169" s="79"/>
      <c r="D169" s="79"/>
      <c r="E169" s="79"/>
      <c r="M169" s="79"/>
      <c r="R169" s="79"/>
      <c r="S169" s="79"/>
      <c r="V169" s="79"/>
      <c r="W169" s="79"/>
      <c r="Z169" s="130"/>
      <c r="AB169" s="106"/>
    </row>
    <row r="170">
      <c r="C170" s="79"/>
      <c r="D170" s="79"/>
      <c r="E170" s="79"/>
      <c r="M170" s="79"/>
      <c r="R170" s="79"/>
      <c r="S170" s="79"/>
      <c r="V170" s="79"/>
      <c r="W170" s="79"/>
      <c r="Z170" s="130"/>
      <c r="AB170" s="106"/>
    </row>
    <row r="171">
      <c r="C171" s="79"/>
      <c r="D171" s="79"/>
      <c r="E171" s="79"/>
      <c r="M171" s="79"/>
      <c r="R171" s="79"/>
      <c r="S171" s="79"/>
      <c r="V171" s="79"/>
      <c r="W171" s="79"/>
      <c r="Z171" s="130"/>
      <c r="AB171" s="106"/>
    </row>
    <row r="172">
      <c r="C172" s="79"/>
      <c r="D172" s="79"/>
      <c r="E172" s="79"/>
      <c r="M172" s="79"/>
      <c r="R172" s="79"/>
      <c r="S172" s="79"/>
      <c r="V172" s="79"/>
      <c r="W172" s="79"/>
      <c r="Z172" s="130"/>
      <c r="AB172" s="106"/>
    </row>
    <row r="173">
      <c r="C173" s="79"/>
      <c r="D173" s="79"/>
      <c r="E173" s="79"/>
      <c r="M173" s="79"/>
      <c r="R173" s="79"/>
      <c r="S173" s="79"/>
      <c r="V173" s="79"/>
      <c r="W173" s="79"/>
      <c r="Z173" s="130"/>
      <c r="AB173" s="106"/>
    </row>
    <row r="174">
      <c r="C174" s="79"/>
      <c r="D174" s="79"/>
      <c r="E174" s="79"/>
      <c r="M174" s="79"/>
      <c r="R174" s="79"/>
      <c r="S174" s="79"/>
      <c r="V174" s="79"/>
      <c r="W174" s="79"/>
      <c r="Z174" s="130"/>
      <c r="AB174" s="106"/>
    </row>
    <row r="175">
      <c r="C175" s="79"/>
      <c r="D175" s="79"/>
      <c r="E175" s="79"/>
      <c r="M175" s="79"/>
      <c r="R175" s="79"/>
      <c r="S175" s="79"/>
      <c r="V175" s="79"/>
      <c r="W175" s="79"/>
      <c r="Z175" s="130"/>
      <c r="AB175" s="106"/>
    </row>
    <row r="176">
      <c r="C176" s="79"/>
      <c r="D176" s="79"/>
      <c r="E176" s="79"/>
      <c r="M176" s="79"/>
      <c r="R176" s="79"/>
      <c r="S176" s="79"/>
      <c r="V176" s="79"/>
      <c r="W176" s="79"/>
      <c r="Z176" s="130"/>
      <c r="AB176" s="106"/>
    </row>
    <row r="177">
      <c r="C177" s="79"/>
      <c r="D177" s="79"/>
      <c r="E177" s="79"/>
      <c r="M177" s="79"/>
      <c r="R177" s="79"/>
      <c r="S177" s="79"/>
      <c r="V177" s="79"/>
      <c r="W177" s="79"/>
      <c r="Z177" s="130"/>
      <c r="AB177" s="106"/>
    </row>
    <row r="178">
      <c r="C178" s="79"/>
      <c r="D178" s="79"/>
      <c r="E178" s="79"/>
      <c r="M178" s="79"/>
      <c r="R178" s="79"/>
      <c r="S178" s="79"/>
      <c r="V178" s="79"/>
      <c r="W178" s="79"/>
      <c r="Z178" s="130"/>
      <c r="AB178" s="106"/>
    </row>
    <row r="179">
      <c r="C179" s="79"/>
      <c r="D179" s="79"/>
      <c r="E179" s="79"/>
      <c r="M179" s="79"/>
      <c r="R179" s="79"/>
      <c r="S179" s="79"/>
      <c r="V179" s="79"/>
      <c r="W179" s="79"/>
      <c r="Z179" s="130"/>
      <c r="AB179" s="106"/>
    </row>
    <row r="180">
      <c r="C180" s="79"/>
      <c r="D180" s="79"/>
      <c r="E180" s="79"/>
      <c r="M180" s="79"/>
      <c r="R180" s="79"/>
      <c r="S180" s="79"/>
      <c r="V180" s="79"/>
      <c r="W180" s="79"/>
      <c r="Z180" s="130"/>
      <c r="AB180" s="106"/>
    </row>
    <row r="181">
      <c r="C181" s="79"/>
      <c r="D181" s="79"/>
      <c r="E181" s="79"/>
      <c r="M181" s="79"/>
      <c r="R181" s="79"/>
      <c r="S181" s="79"/>
      <c r="V181" s="79"/>
      <c r="W181" s="79"/>
      <c r="Z181" s="130"/>
      <c r="AB181" s="106"/>
    </row>
    <row r="182">
      <c r="C182" s="79"/>
      <c r="D182" s="79"/>
      <c r="E182" s="79"/>
      <c r="M182" s="79"/>
      <c r="R182" s="79"/>
      <c r="S182" s="79"/>
      <c r="V182" s="79"/>
      <c r="W182" s="79"/>
      <c r="Z182" s="130"/>
      <c r="AB182" s="106"/>
    </row>
    <row r="183">
      <c r="C183" s="79"/>
      <c r="D183" s="79"/>
      <c r="E183" s="79"/>
      <c r="M183" s="79"/>
      <c r="R183" s="79"/>
      <c r="S183" s="79"/>
      <c r="V183" s="79"/>
      <c r="W183" s="79"/>
      <c r="Z183" s="130"/>
      <c r="AB183" s="106"/>
    </row>
    <row r="184">
      <c r="C184" s="79"/>
      <c r="D184" s="79"/>
      <c r="E184" s="79"/>
      <c r="M184" s="79"/>
      <c r="R184" s="79"/>
      <c r="S184" s="79"/>
      <c r="V184" s="79"/>
      <c r="W184" s="79"/>
      <c r="Z184" s="130"/>
      <c r="AB184" s="106"/>
    </row>
    <row r="185">
      <c r="C185" s="79"/>
      <c r="D185" s="79"/>
      <c r="E185" s="79"/>
      <c r="M185" s="79"/>
      <c r="R185" s="79"/>
      <c r="S185" s="79"/>
      <c r="V185" s="79"/>
      <c r="W185" s="79"/>
      <c r="Z185" s="130"/>
      <c r="AB185" s="106"/>
    </row>
    <row r="186">
      <c r="C186" s="79"/>
      <c r="D186" s="79"/>
      <c r="E186" s="79"/>
      <c r="M186" s="79"/>
      <c r="R186" s="79"/>
      <c r="S186" s="79"/>
      <c r="V186" s="79"/>
      <c r="W186" s="79"/>
      <c r="Z186" s="130"/>
      <c r="AB186" s="106"/>
    </row>
    <row r="187">
      <c r="C187" s="79"/>
      <c r="D187" s="79"/>
      <c r="E187" s="79"/>
      <c r="M187" s="79"/>
      <c r="R187" s="79"/>
      <c r="S187" s="79"/>
      <c r="V187" s="79"/>
      <c r="W187" s="79"/>
      <c r="Z187" s="130"/>
      <c r="AB187" s="106"/>
    </row>
    <row r="188">
      <c r="C188" s="79"/>
      <c r="D188" s="79"/>
      <c r="E188" s="79"/>
      <c r="M188" s="79"/>
      <c r="R188" s="79"/>
      <c r="S188" s="79"/>
      <c r="V188" s="79"/>
      <c r="W188" s="79"/>
      <c r="Z188" s="130"/>
      <c r="AB188" s="106"/>
    </row>
    <row r="189">
      <c r="C189" s="79"/>
      <c r="D189" s="79"/>
      <c r="E189" s="79"/>
      <c r="M189" s="79"/>
      <c r="R189" s="79"/>
      <c r="S189" s="79"/>
      <c r="V189" s="79"/>
      <c r="W189" s="79"/>
      <c r="Z189" s="130"/>
      <c r="AB189" s="106"/>
    </row>
    <row r="190">
      <c r="C190" s="79"/>
      <c r="D190" s="79"/>
      <c r="E190" s="79"/>
      <c r="M190" s="79"/>
      <c r="R190" s="79"/>
      <c r="S190" s="79"/>
      <c r="V190" s="79"/>
      <c r="W190" s="79"/>
      <c r="Z190" s="130"/>
      <c r="AB190" s="106"/>
    </row>
    <row r="191">
      <c r="C191" s="79"/>
      <c r="D191" s="79"/>
      <c r="E191" s="79"/>
      <c r="M191" s="79"/>
      <c r="R191" s="79"/>
      <c r="S191" s="79"/>
      <c r="V191" s="79"/>
      <c r="W191" s="79"/>
      <c r="Z191" s="130"/>
      <c r="AB191" s="106"/>
    </row>
    <row r="192">
      <c r="C192" s="79"/>
      <c r="D192" s="79"/>
      <c r="E192" s="79"/>
      <c r="M192" s="79"/>
      <c r="R192" s="79"/>
      <c r="S192" s="79"/>
      <c r="V192" s="79"/>
      <c r="W192" s="79"/>
      <c r="Z192" s="130"/>
      <c r="AB192" s="106"/>
    </row>
    <row r="193">
      <c r="C193" s="79"/>
      <c r="D193" s="79"/>
      <c r="E193" s="79"/>
      <c r="M193" s="79"/>
      <c r="R193" s="79"/>
      <c r="S193" s="79"/>
      <c r="V193" s="79"/>
      <c r="W193" s="79"/>
      <c r="Z193" s="130"/>
      <c r="AB193" s="106"/>
    </row>
    <row r="194">
      <c r="C194" s="79"/>
      <c r="D194" s="79"/>
      <c r="E194" s="79"/>
      <c r="M194" s="79"/>
      <c r="R194" s="79"/>
      <c r="S194" s="79"/>
      <c r="V194" s="79"/>
      <c r="W194" s="79"/>
      <c r="Z194" s="130"/>
      <c r="AB194" s="106"/>
    </row>
    <row r="195">
      <c r="C195" s="79"/>
      <c r="D195" s="79"/>
      <c r="E195" s="79"/>
      <c r="M195" s="79"/>
      <c r="R195" s="79"/>
      <c r="S195" s="79"/>
      <c r="V195" s="79"/>
      <c r="W195" s="79"/>
      <c r="Z195" s="130"/>
      <c r="AB195" s="106"/>
    </row>
    <row r="196">
      <c r="C196" s="79"/>
      <c r="D196" s="79"/>
      <c r="E196" s="79"/>
      <c r="M196" s="79"/>
      <c r="R196" s="79"/>
      <c r="S196" s="79"/>
      <c r="V196" s="79"/>
      <c r="W196" s="79"/>
      <c r="Z196" s="130"/>
      <c r="AB196" s="106"/>
    </row>
    <row r="197">
      <c r="C197" s="79"/>
      <c r="D197" s="79"/>
      <c r="E197" s="79"/>
      <c r="M197" s="79"/>
      <c r="R197" s="79"/>
      <c r="S197" s="79"/>
      <c r="V197" s="79"/>
      <c r="W197" s="79"/>
      <c r="Z197" s="130"/>
      <c r="AB197" s="106"/>
    </row>
    <row r="198">
      <c r="C198" s="79"/>
      <c r="D198" s="79"/>
      <c r="E198" s="79"/>
      <c r="M198" s="79"/>
      <c r="R198" s="79"/>
      <c r="S198" s="79"/>
      <c r="V198" s="79"/>
      <c r="W198" s="79"/>
      <c r="Z198" s="130"/>
      <c r="AB198" s="106"/>
    </row>
    <row r="199">
      <c r="C199" s="79"/>
      <c r="D199" s="79"/>
      <c r="E199" s="79"/>
      <c r="M199" s="79"/>
      <c r="R199" s="79"/>
      <c r="S199" s="79"/>
      <c r="V199" s="79"/>
      <c r="W199" s="79"/>
      <c r="Z199" s="130"/>
      <c r="AB199" s="106"/>
    </row>
    <row r="200">
      <c r="C200" s="79"/>
      <c r="D200" s="79"/>
      <c r="E200" s="79"/>
      <c r="M200" s="79"/>
      <c r="R200" s="79"/>
      <c r="S200" s="79"/>
      <c r="V200" s="79"/>
      <c r="W200" s="79"/>
      <c r="Z200" s="130"/>
      <c r="AB200" s="106"/>
    </row>
    <row r="201">
      <c r="C201" s="79"/>
      <c r="D201" s="79"/>
      <c r="E201" s="79"/>
      <c r="M201" s="79"/>
      <c r="R201" s="79"/>
      <c r="S201" s="79"/>
      <c r="V201" s="79"/>
      <c r="W201" s="79"/>
      <c r="Z201" s="130"/>
      <c r="AB201" s="106"/>
    </row>
    <row r="202">
      <c r="C202" s="79"/>
      <c r="D202" s="79"/>
      <c r="E202" s="79"/>
      <c r="M202" s="79"/>
      <c r="R202" s="79"/>
      <c r="S202" s="79"/>
      <c r="V202" s="79"/>
      <c r="W202" s="79"/>
      <c r="Z202" s="130"/>
      <c r="AB202" s="106"/>
    </row>
    <row r="203">
      <c r="C203" s="79"/>
      <c r="D203" s="79"/>
      <c r="E203" s="79"/>
      <c r="M203" s="79"/>
      <c r="R203" s="79"/>
      <c r="S203" s="79"/>
      <c r="V203" s="79"/>
      <c r="W203" s="79"/>
      <c r="Z203" s="130"/>
      <c r="AB203" s="106"/>
    </row>
    <row r="204">
      <c r="C204" s="79"/>
      <c r="D204" s="79"/>
      <c r="E204" s="79"/>
      <c r="M204" s="79"/>
      <c r="R204" s="79"/>
      <c r="S204" s="79"/>
      <c r="V204" s="79"/>
      <c r="W204" s="79"/>
      <c r="Z204" s="130"/>
      <c r="AB204" s="106"/>
    </row>
    <row r="205">
      <c r="C205" s="79"/>
      <c r="D205" s="79"/>
      <c r="E205" s="79"/>
      <c r="M205" s="79"/>
      <c r="R205" s="79"/>
      <c r="S205" s="79"/>
      <c r="V205" s="79"/>
      <c r="W205" s="79"/>
      <c r="Z205" s="130"/>
      <c r="AB205" s="106"/>
    </row>
    <row r="206">
      <c r="C206" s="79"/>
      <c r="D206" s="79"/>
      <c r="E206" s="79"/>
      <c r="M206" s="79"/>
      <c r="R206" s="79"/>
      <c r="S206" s="79"/>
      <c r="V206" s="79"/>
      <c r="W206" s="79"/>
      <c r="Z206" s="130"/>
      <c r="AB206" s="106"/>
    </row>
    <row r="207">
      <c r="C207" s="79"/>
      <c r="D207" s="79"/>
      <c r="E207" s="79"/>
      <c r="M207" s="79"/>
      <c r="R207" s="79"/>
      <c r="S207" s="79"/>
      <c r="V207" s="79"/>
      <c r="W207" s="79"/>
      <c r="Z207" s="130"/>
      <c r="AB207" s="106"/>
    </row>
    <row r="208">
      <c r="C208" s="79"/>
      <c r="D208" s="79"/>
      <c r="E208" s="79"/>
      <c r="M208" s="79"/>
      <c r="R208" s="79"/>
      <c r="S208" s="79"/>
      <c r="V208" s="79"/>
      <c r="W208" s="79"/>
      <c r="Z208" s="130"/>
      <c r="AB208" s="106"/>
    </row>
    <row r="209">
      <c r="C209" s="79"/>
      <c r="D209" s="79"/>
      <c r="E209" s="79"/>
      <c r="M209" s="79"/>
      <c r="R209" s="79"/>
      <c r="S209" s="79"/>
      <c r="V209" s="79"/>
      <c r="W209" s="79"/>
      <c r="Z209" s="130"/>
      <c r="AB209" s="106"/>
    </row>
    <row r="210">
      <c r="C210" s="79"/>
      <c r="D210" s="79"/>
      <c r="E210" s="79"/>
      <c r="M210" s="79"/>
      <c r="R210" s="79"/>
      <c r="S210" s="79"/>
      <c r="V210" s="79"/>
      <c r="W210" s="79"/>
      <c r="Z210" s="130"/>
      <c r="AB210" s="106"/>
    </row>
    <row r="211">
      <c r="C211" s="79"/>
      <c r="D211" s="79"/>
      <c r="E211" s="79"/>
      <c r="M211" s="79"/>
      <c r="R211" s="79"/>
      <c r="S211" s="79"/>
      <c r="V211" s="79"/>
      <c r="W211" s="79"/>
      <c r="Z211" s="130"/>
      <c r="AB211" s="106"/>
    </row>
    <row r="212">
      <c r="C212" s="79"/>
      <c r="D212" s="79"/>
      <c r="E212" s="79"/>
      <c r="M212" s="79"/>
      <c r="R212" s="79"/>
      <c r="S212" s="79"/>
      <c r="V212" s="79"/>
      <c r="W212" s="79"/>
      <c r="Z212" s="130"/>
      <c r="AB212" s="106"/>
    </row>
    <row r="213">
      <c r="C213" s="79"/>
      <c r="D213" s="79"/>
      <c r="E213" s="79"/>
      <c r="M213" s="79"/>
      <c r="R213" s="79"/>
      <c r="S213" s="79"/>
      <c r="V213" s="79"/>
      <c r="W213" s="79"/>
      <c r="Z213" s="130"/>
      <c r="AB213" s="106"/>
    </row>
    <row r="214">
      <c r="C214" s="79"/>
      <c r="D214" s="79"/>
      <c r="E214" s="79"/>
      <c r="M214" s="79"/>
      <c r="R214" s="79"/>
      <c r="S214" s="79"/>
      <c r="V214" s="79"/>
      <c r="W214" s="79"/>
      <c r="Z214" s="130"/>
      <c r="AB214" s="106"/>
    </row>
    <row r="215">
      <c r="C215" s="79"/>
      <c r="D215" s="79"/>
      <c r="E215" s="79"/>
      <c r="M215" s="79"/>
      <c r="R215" s="79"/>
      <c r="S215" s="79"/>
      <c r="V215" s="79"/>
      <c r="W215" s="79"/>
      <c r="Z215" s="130"/>
      <c r="AB215" s="106"/>
    </row>
    <row r="216">
      <c r="C216" s="79"/>
      <c r="D216" s="79"/>
      <c r="E216" s="79"/>
      <c r="M216" s="79"/>
      <c r="R216" s="79"/>
      <c r="S216" s="79"/>
      <c r="V216" s="79"/>
      <c r="W216" s="79"/>
      <c r="Z216" s="130"/>
      <c r="AB216" s="106"/>
    </row>
    <row r="217">
      <c r="C217" s="79"/>
      <c r="D217" s="79"/>
      <c r="E217" s="79"/>
      <c r="M217" s="79"/>
      <c r="R217" s="79"/>
      <c r="S217" s="79"/>
      <c r="V217" s="79"/>
      <c r="W217" s="79"/>
      <c r="Z217" s="130"/>
      <c r="AB217" s="106"/>
    </row>
    <row r="218">
      <c r="C218" s="79"/>
      <c r="D218" s="79"/>
      <c r="E218" s="79"/>
      <c r="M218" s="79"/>
      <c r="R218" s="79"/>
      <c r="S218" s="79"/>
      <c r="V218" s="79"/>
      <c r="W218" s="79"/>
      <c r="Z218" s="130"/>
      <c r="AB218" s="106"/>
    </row>
    <row r="219">
      <c r="C219" s="79"/>
      <c r="D219" s="79"/>
      <c r="E219" s="79"/>
      <c r="M219" s="79"/>
      <c r="R219" s="79"/>
      <c r="S219" s="79"/>
      <c r="V219" s="79"/>
      <c r="W219" s="79"/>
      <c r="Z219" s="130"/>
      <c r="AB219" s="106"/>
    </row>
    <row r="220">
      <c r="C220" s="79"/>
      <c r="D220" s="79"/>
      <c r="E220" s="79"/>
      <c r="M220" s="79"/>
      <c r="R220" s="79"/>
      <c r="S220" s="79"/>
      <c r="V220" s="79"/>
      <c r="W220" s="79"/>
      <c r="Z220" s="130"/>
      <c r="AB220" s="106"/>
    </row>
    <row r="221">
      <c r="C221" s="79"/>
      <c r="D221" s="79"/>
      <c r="E221" s="79"/>
      <c r="M221" s="79"/>
      <c r="R221" s="79"/>
      <c r="S221" s="79"/>
      <c r="V221" s="79"/>
      <c r="W221" s="79"/>
      <c r="Z221" s="130"/>
      <c r="AB221" s="106"/>
    </row>
    <row r="222">
      <c r="C222" s="79"/>
      <c r="D222" s="79"/>
      <c r="E222" s="79"/>
      <c r="M222" s="79"/>
      <c r="R222" s="79"/>
      <c r="S222" s="79"/>
      <c r="V222" s="79"/>
      <c r="W222" s="79"/>
      <c r="Z222" s="130"/>
      <c r="AB222" s="106"/>
    </row>
    <row r="223">
      <c r="C223" s="79"/>
      <c r="D223" s="79"/>
      <c r="E223" s="79"/>
      <c r="M223" s="79"/>
      <c r="R223" s="79"/>
      <c r="S223" s="79"/>
      <c r="V223" s="79"/>
      <c r="W223" s="79"/>
      <c r="Z223" s="130"/>
      <c r="AB223" s="106"/>
    </row>
    <row r="224">
      <c r="C224" s="79"/>
      <c r="D224" s="79"/>
      <c r="E224" s="79"/>
      <c r="M224" s="79"/>
      <c r="R224" s="79"/>
      <c r="S224" s="79"/>
      <c r="V224" s="79"/>
      <c r="W224" s="79"/>
      <c r="Z224" s="130"/>
      <c r="AB224" s="106"/>
    </row>
    <row r="225">
      <c r="C225" s="79"/>
      <c r="D225" s="79"/>
      <c r="E225" s="79"/>
      <c r="M225" s="79"/>
      <c r="R225" s="79"/>
      <c r="S225" s="79"/>
      <c r="V225" s="79"/>
      <c r="W225" s="79"/>
      <c r="Z225" s="130"/>
      <c r="AB225" s="106"/>
    </row>
    <row r="226">
      <c r="C226" s="79"/>
      <c r="D226" s="79"/>
      <c r="E226" s="79"/>
      <c r="M226" s="79"/>
      <c r="R226" s="79"/>
      <c r="S226" s="79"/>
      <c r="V226" s="79"/>
      <c r="W226" s="79"/>
      <c r="Z226" s="130"/>
      <c r="AB226" s="106"/>
    </row>
    <row r="227">
      <c r="C227" s="79"/>
      <c r="D227" s="79"/>
      <c r="E227" s="79"/>
      <c r="M227" s="79"/>
      <c r="R227" s="79"/>
      <c r="S227" s="79"/>
      <c r="V227" s="79"/>
      <c r="W227" s="79"/>
      <c r="Z227" s="130"/>
      <c r="AB227" s="106"/>
    </row>
    <row r="228">
      <c r="C228" s="79"/>
      <c r="D228" s="79"/>
      <c r="E228" s="79"/>
      <c r="M228" s="79"/>
      <c r="R228" s="79"/>
      <c r="S228" s="79"/>
      <c r="V228" s="79"/>
      <c r="W228" s="79"/>
      <c r="Z228" s="130"/>
      <c r="AB228" s="106"/>
    </row>
    <row r="229">
      <c r="C229" s="79"/>
      <c r="D229" s="79"/>
      <c r="E229" s="79"/>
      <c r="M229" s="79"/>
      <c r="R229" s="79"/>
      <c r="S229" s="79"/>
      <c r="V229" s="79"/>
      <c r="W229" s="79"/>
      <c r="Z229" s="130"/>
      <c r="AB229" s="106"/>
    </row>
    <row r="230">
      <c r="C230" s="79"/>
      <c r="D230" s="79"/>
      <c r="E230" s="79"/>
      <c r="M230" s="79"/>
      <c r="R230" s="79"/>
      <c r="S230" s="79"/>
      <c r="V230" s="79"/>
      <c r="W230" s="79"/>
      <c r="Z230" s="130"/>
      <c r="AB230" s="106"/>
    </row>
    <row r="231">
      <c r="C231" s="79"/>
      <c r="D231" s="79"/>
      <c r="E231" s="79"/>
      <c r="M231" s="79"/>
      <c r="R231" s="79"/>
      <c r="S231" s="79"/>
      <c r="V231" s="79"/>
      <c r="W231" s="79"/>
      <c r="Z231" s="130"/>
      <c r="AB231" s="106"/>
    </row>
    <row r="232">
      <c r="C232" s="79"/>
      <c r="D232" s="79"/>
      <c r="E232" s="79"/>
      <c r="M232" s="79"/>
      <c r="R232" s="79"/>
      <c r="S232" s="79"/>
      <c r="V232" s="79"/>
      <c r="W232" s="79"/>
      <c r="Z232" s="130"/>
      <c r="AB232" s="106"/>
    </row>
    <row r="233">
      <c r="C233" s="79"/>
      <c r="D233" s="79"/>
      <c r="E233" s="79"/>
      <c r="M233" s="79"/>
      <c r="R233" s="79"/>
      <c r="S233" s="79"/>
      <c r="V233" s="79"/>
      <c r="W233" s="79"/>
      <c r="Z233" s="130"/>
      <c r="AB233" s="106"/>
    </row>
    <row r="234">
      <c r="C234" s="79"/>
      <c r="D234" s="79"/>
      <c r="E234" s="79"/>
      <c r="M234" s="79"/>
      <c r="R234" s="79"/>
      <c r="S234" s="79"/>
      <c r="V234" s="79"/>
      <c r="W234" s="79"/>
      <c r="Z234" s="130"/>
      <c r="AB234" s="106"/>
    </row>
    <row r="235">
      <c r="C235" s="79"/>
      <c r="D235" s="79"/>
      <c r="E235" s="79"/>
      <c r="M235" s="79"/>
      <c r="R235" s="79"/>
      <c r="S235" s="79"/>
      <c r="V235" s="79"/>
      <c r="W235" s="79"/>
      <c r="Z235" s="130"/>
      <c r="AB235" s="106"/>
    </row>
    <row r="236">
      <c r="C236" s="79"/>
      <c r="D236" s="79"/>
      <c r="E236" s="79"/>
      <c r="M236" s="79"/>
      <c r="R236" s="79"/>
      <c r="S236" s="79"/>
      <c r="V236" s="79"/>
      <c r="W236" s="79"/>
      <c r="Z236" s="130"/>
      <c r="AB236" s="106"/>
    </row>
    <row r="237">
      <c r="C237" s="79"/>
      <c r="D237" s="79"/>
      <c r="E237" s="79"/>
      <c r="M237" s="79"/>
      <c r="R237" s="79"/>
      <c r="S237" s="79"/>
      <c r="V237" s="79"/>
      <c r="W237" s="79"/>
      <c r="Z237" s="130"/>
      <c r="AB237" s="106"/>
    </row>
    <row r="238">
      <c r="C238" s="79"/>
      <c r="D238" s="79"/>
      <c r="E238" s="79"/>
      <c r="M238" s="79"/>
      <c r="R238" s="79"/>
      <c r="S238" s="79"/>
      <c r="V238" s="79"/>
      <c r="W238" s="79"/>
      <c r="Z238" s="130"/>
      <c r="AB238" s="106"/>
    </row>
    <row r="239">
      <c r="C239" s="79"/>
      <c r="D239" s="79"/>
      <c r="E239" s="79"/>
      <c r="M239" s="79"/>
      <c r="R239" s="79"/>
      <c r="S239" s="79"/>
      <c r="V239" s="79"/>
      <c r="W239" s="79"/>
      <c r="Z239" s="130"/>
      <c r="AB239" s="106"/>
    </row>
    <row r="240">
      <c r="C240" s="79"/>
      <c r="D240" s="79"/>
      <c r="E240" s="79"/>
      <c r="M240" s="79"/>
      <c r="R240" s="79"/>
      <c r="S240" s="79"/>
      <c r="V240" s="79"/>
      <c r="W240" s="79"/>
      <c r="Z240" s="130"/>
      <c r="AB240" s="106"/>
    </row>
    <row r="241">
      <c r="C241" s="79"/>
      <c r="D241" s="79"/>
      <c r="E241" s="79"/>
      <c r="M241" s="79"/>
      <c r="R241" s="79"/>
      <c r="S241" s="79"/>
      <c r="V241" s="79"/>
      <c r="W241" s="79"/>
      <c r="Z241" s="130"/>
      <c r="AB241" s="106"/>
    </row>
    <row r="242">
      <c r="C242" s="79"/>
      <c r="D242" s="79"/>
      <c r="E242" s="79"/>
      <c r="M242" s="79"/>
      <c r="R242" s="79"/>
      <c r="S242" s="79"/>
      <c r="V242" s="79"/>
      <c r="W242" s="79"/>
      <c r="Z242" s="130"/>
      <c r="AB242" s="106"/>
    </row>
    <row r="243">
      <c r="C243" s="79"/>
      <c r="D243" s="79"/>
      <c r="E243" s="79"/>
      <c r="M243" s="79"/>
      <c r="R243" s="79"/>
      <c r="S243" s="79"/>
      <c r="V243" s="79"/>
      <c r="W243" s="79"/>
      <c r="Z243" s="130"/>
      <c r="AB243" s="106"/>
    </row>
    <row r="244">
      <c r="C244" s="79"/>
      <c r="D244" s="79"/>
      <c r="E244" s="79"/>
      <c r="M244" s="79"/>
      <c r="R244" s="79"/>
      <c r="S244" s="79"/>
      <c r="V244" s="79"/>
      <c r="W244" s="79"/>
      <c r="Z244" s="130"/>
      <c r="AB244" s="106"/>
    </row>
    <row r="245">
      <c r="C245" s="79"/>
      <c r="D245" s="79"/>
      <c r="E245" s="79"/>
      <c r="M245" s="79"/>
      <c r="R245" s="79"/>
      <c r="S245" s="79"/>
      <c r="V245" s="79"/>
      <c r="W245" s="79"/>
      <c r="Z245" s="130"/>
      <c r="AB245" s="106"/>
    </row>
    <row r="246">
      <c r="C246" s="79"/>
      <c r="D246" s="79"/>
      <c r="E246" s="79"/>
      <c r="M246" s="79"/>
      <c r="R246" s="79"/>
      <c r="S246" s="79"/>
      <c r="V246" s="79"/>
      <c r="W246" s="79"/>
      <c r="Z246" s="130"/>
      <c r="AB246" s="106"/>
    </row>
    <row r="247">
      <c r="C247" s="79"/>
      <c r="D247" s="79"/>
      <c r="E247" s="79"/>
      <c r="M247" s="79"/>
      <c r="R247" s="79"/>
      <c r="S247" s="79"/>
      <c r="V247" s="79"/>
      <c r="W247" s="79"/>
      <c r="Z247" s="130"/>
      <c r="AB247" s="106"/>
    </row>
    <row r="248">
      <c r="C248" s="79"/>
      <c r="D248" s="79"/>
      <c r="E248" s="79"/>
      <c r="M248" s="79"/>
      <c r="R248" s="79"/>
      <c r="S248" s="79"/>
      <c r="V248" s="79"/>
      <c r="W248" s="79"/>
      <c r="Z248" s="130"/>
      <c r="AB248" s="106"/>
    </row>
    <row r="249">
      <c r="C249" s="79"/>
      <c r="D249" s="79"/>
      <c r="E249" s="79"/>
      <c r="M249" s="79"/>
      <c r="R249" s="79"/>
      <c r="S249" s="79"/>
      <c r="V249" s="79"/>
      <c r="W249" s="79"/>
      <c r="Z249" s="130"/>
      <c r="AB249" s="106"/>
    </row>
    <row r="250">
      <c r="C250" s="79"/>
      <c r="D250" s="79"/>
      <c r="E250" s="79"/>
      <c r="M250" s="79"/>
      <c r="R250" s="79"/>
      <c r="S250" s="79"/>
      <c r="V250" s="79"/>
      <c r="W250" s="79"/>
      <c r="Z250" s="130"/>
      <c r="AB250" s="106"/>
    </row>
    <row r="251">
      <c r="C251" s="79"/>
      <c r="D251" s="79"/>
      <c r="E251" s="79"/>
      <c r="M251" s="79"/>
      <c r="R251" s="79"/>
      <c r="S251" s="79"/>
      <c r="V251" s="79"/>
      <c r="W251" s="79"/>
      <c r="Z251" s="130"/>
      <c r="AB251" s="106"/>
    </row>
    <row r="252">
      <c r="C252" s="79"/>
      <c r="D252" s="79"/>
      <c r="E252" s="79"/>
      <c r="M252" s="79"/>
      <c r="R252" s="79"/>
      <c r="S252" s="79"/>
      <c r="V252" s="79"/>
      <c r="W252" s="79"/>
      <c r="Z252" s="130"/>
      <c r="AB252" s="106"/>
    </row>
    <row r="253">
      <c r="C253" s="79"/>
      <c r="D253" s="79"/>
      <c r="E253" s="79"/>
      <c r="M253" s="79"/>
      <c r="R253" s="79"/>
      <c r="S253" s="79"/>
      <c r="V253" s="79"/>
      <c r="W253" s="79"/>
      <c r="Z253" s="130"/>
      <c r="AB253" s="106"/>
    </row>
    <row r="254">
      <c r="C254" s="79"/>
      <c r="D254" s="79"/>
      <c r="E254" s="79"/>
      <c r="M254" s="79"/>
      <c r="R254" s="79"/>
      <c r="S254" s="79"/>
      <c r="V254" s="79"/>
      <c r="W254" s="79"/>
      <c r="Z254" s="130"/>
      <c r="AB254" s="106"/>
    </row>
    <row r="255">
      <c r="C255" s="79"/>
      <c r="D255" s="79"/>
      <c r="E255" s="79"/>
      <c r="M255" s="79"/>
      <c r="R255" s="79"/>
      <c r="S255" s="79"/>
      <c r="V255" s="79"/>
      <c r="W255" s="79"/>
      <c r="Z255" s="130"/>
      <c r="AB255" s="106"/>
    </row>
    <row r="256">
      <c r="C256" s="79"/>
      <c r="D256" s="79"/>
      <c r="E256" s="79"/>
      <c r="M256" s="79"/>
      <c r="R256" s="79"/>
      <c r="S256" s="79"/>
      <c r="V256" s="79"/>
      <c r="W256" s="79"/>
      <c r="Z256" s="130"/>
      <c r="AB256" s="106"/>
    </row>
    <row r="257">
      <c r="C257" s="79"/>
      <c r="D257" s="79"/>
      <c r="E257" s="79"/>
      <c r="M257" s="79"/>
      <c r="R257" s="79"/>
      <c r="S257" s="79"/>
      <c r="V257" s="79"/>
      <c r="W257" s="79"/>
      <c r="Z257" s="130"/>
      <c r="AB257" s="106"/>
    </row>
    <row r="258">
      <c r="C258" s="79"/>
      <c r="D258" s="79"/>
      <c r="E258" s="79"/>
      <c r="M258" s="79"/>
      <c r="R258" s="79"/>
      <c r="S258" s="79"/>
      <c r="V258" s="79"/>
      <c r="W258" s="79"/>
      <c r="Z258" s="130"/>
      <c r="AB258" s="106"/>
    </row>
    <row r="259">
      <c r="C259" s="79"/>
      <c r="D259" s="79"/>
      <c r="E259" s="79"/>
      <c r="M259" s="79"/>
      <c r="R259" s="79"/>
      <c r="S259" s="79"/>
      <c r="V259" s="79"/>
      <c r="W259" s="79"/>
      <c r="Z259" s="130"/>
      <c r="AB259" s="106"/>
    </row>
    <row r="260">
      <c r="C260" s="79"/>
      <c r="D260" s="79"/>
      <c r="E260" s="79"/>
      <c r="M260" s="79"/>
      <c r="R260" s="79"/>
      <c r="S260" s="79"/>
      <c r="V260" s="79"/>
      <c r="W260" s="79"/>
      <c r="Z260" s="130"/>
      <c r="AB260" s="106"/>
    </row>
    <row r="261">
      <c r="C261" s="79"/>
      <c r="D261" s="79"/>
      <c r="E261" s="79"/>
      <c r="M261" s="79"/>
      <c r="R261" s="79"/>
      <c r="S261" s="79"/>
      <c r="V261" s="79"/>
      <c r="W261" s="79"/>
      <c r="Z261" s="130"/>
      <c r="AB261" s="106"/>
    </row>
    <row r="262">
      <c r="C262" s="79"/>
      <c r="D262" s="79"/>
      <c r="E262" s="79"/>
      <c r="M262" s="79"/>
      <c r="R262" s="79"/>
      <c r="S262" s="79"/>
      <c r="V262" s="79"/>
      <c r="W262" s="79"/>
      <c r="Z262" s="130"/>
      <c r="AB262" s="106"/>
    </row>
    <row r="263">
      <c r="C263" s="79"/>
      <c r="D263" s="79"/>
      <c r="E263" s="79"/>
      <c r="M263" s="79"/>
      <c r="R263" s="79"/>
      <c r="S263" s="79"/>
      <c r="V263" s="79"/>
      <c r="W263" s="79"/>
      <c r="Z263" s="130"/>
      <c r="AB263" s="106"/>
    </row>
    <row r="264">
      <c r="C264" s="79"/>
      <c r="D264" s="79"/>
      <c r="E264" s="79"/>
      <c r="M264" s="79"/>
      <c r="R264" s="79"/>
      <c r="S264" s="79"/>
      <c r="V264" s="79"/>
      <c r="W264" s="79"/>
      <c r="Z264" s="130"/>
      <c r="AB264" s="106"/>
    </row>
    <row r="265">
      <c r="C265" s="79"/>
      <c r="D265" s="79"/>
      <c r="E265" s="79"/>
      <c r="M265" s="79"/>
      <c r="R265" s="79"/>
      <c r="S265" s="79"/>
      <c r="V265" s="79"/>
      <c r="W265" s="79"/>
      <c r="Z265" s="130"/>
      <c r="AB265" s="106"/>
    </row>
    <row r="266">
      <c r="C266" s="79"/>
      <c r="D266" s="79"/>
      <c r="E266" s="79"/>
      <c r="M266" s="79"/>
      <c r="R266" s="79"/>
      <c r="S266" s="79"/>
      <c r="V266" s="79"/>
      <c r="W266" s="79"/>
      <c r="Z266" s="130"/>
      <c r="AB266" s="106"/>
    </row>
    <row r="267">
      <c r="C267" s="79"/>
      <c r="D267" s="79"/>
      <c r="E267" s="79"/>
      <c r="M267" s="79"/>
      <c r="R267" s="79"/>
      <c r="S267" s="79"/>
      <c r="V267" s="79"/>
      <c r="W267" s="79"/>
      <c r="Z267" s="130"/>
      <c r="AB267" s="106"/>
    </row>
    <row r="268">
      <c r="C268" s="79"/>
      <c r="D268" s="79"/>
      <c r="E268" s="79"/>
      <c r="M268" s="79"/>
      <c r="R268" s="79"/>
      <c r="S268" s="79"/>
      <c r="V268" s="79"/>
      <c r="W268" s="79"/>
      <c r="Z268" s="130"/>
      <c r="AB268" s="106"/>
    </row>
    <row r="269">
      <c r="C269" s="79"/>
      <c r="D269" s="79"/>
      <c r="E269" s="79"/>
      <c r="M269" s="79"/>
      <c r="R269" s="79"/>
      <c r="S269" s="79"/>
      <c r="V269" s="79"/>
      <c r="W269" s="79"/>
      <c r="Z269" s="130"/>
      <c r="AB269" s="106"/>
    </row>
    <row r="270">
      <c r="C270" s="79"/>
      <c r="D270" s="79"/>
      <c r="E270" s="79"/>
      <c r="M270" s="79"/>
      <c r="R270" s="79"/>
      <c r="S270" s="79"/>
      <c r="V270" s="79"/>
      <c r="W270" s="79"/>
      <c r="Z270" s="130"/>
      <c r="AB270" s="106"/>
    </row>
    <row r="271">
      <c r="C271" s="79"/>
      <c r="D271" s="79"/>
      <c r="E271" s="79"/>
      <c r="M271" s="79"/>
      <c r="R271" s="79"/>
      <c r="S271" s="79"/>
      <c r="V271" s="79"/>
      <c r="W271" s="79"/>
      <c r="Z271" s="130"/>
      <c r="AB271" s="106"/>
    </row>
    <row r="272">
      <c r="C272" s="79"/>
      <c r="D272" s="79"/>
      <c r="E272" s="79"/>
      <c r="M272" s="79"/>
      <c r="R272" s="79"/>
      <c r="S272" s="79"/>
      <c r="V272" s="79"/>
      <c r="W272" s="79"/>
      <c r="Z272" s="130"/>
      <c r="AB272" s="106"/>
    </row>
    <row r="273">
      <c r="C273" s="79"/>
      <c r="D273" s="79"/>
      <c r="E273" s="79"/>
      <c r="M273" s="79"/>
      <c r="R273" s="79"/>
      <c r="S273" s="79"/>
      <c r="V273" s="79"/>
      <c r="W273" s="79"/>
      <c r="Z273" s="130"/>
      <c r="AB273" s="106"/>
    </row>
    <row r="274">
      <c r="C274" s="79"/>
      <c r="D274" s="79"/>
      <c r="E274" s="79"/>
      <c r="M274" s="79"/>
      <c r="R274" s="79"/>
      <c r="S274" s="79"/>
      <c r="V274" s="79"/>
      <c r="W274" s="79"/>
      <c r="Z274" s="130"/>
      <c r="AB274" s="106"/>
    </row>
    <row r="275">
      <c r="C275" s="79"/>
      <c r="D275" s="79"/>
      <c r="E275" s="79"/>
      <c r="M275" s="79"/>
      <c r="R275" s="79"/>
      <c r="S275" s="79"/>
      <c r="V275" s="79"/>
      <c r="W275" s="79"/>
      <c r="Z275" s="130"/>
      <c r="AB275" s="106"/>
    </row>
    <row r="276">
      <c r="C276" s="79"/>
      <c r="D276" s="79"/>
      <c r="E276" s="79"/>
      <c r="M276" s="79"/>
      <c r="R276" s="79"/>
      <c r="S276" s="79"/>
      <c r="V276" s="79"/>
      <c r="W276" s="79"/>
      <c r="Z276" s="130"/>
      <c r="AB276" s="106"/>
    </row>
    <row r="277">
      <c r="C277" s="79"/>
      <c r="D277" s="79"/>
      <c r="E277" s="79"/>
      <c r="M277" s="79"/>
      <c r="R277" s="79"/>
      <c r="S277" s="79"/>
      <c r="V277" s="79"/>
      <c r="W277" s="79"/>
      <c r="Z277" s="130"/>
      <c r="AB277" s="106"/>
    </row>
    <row r="278">
      <c r="C278" s="79"/>
      <c r="D278" s="79"/>
      <c r="E278" s="79"/>
      <c r="M278" s="79"/>
      <c r="R278" s="79"/>
      <c r="S278" s="79"/>
      <c r="V278" s="79"/>
      <c r="W278" s="79"/>
      <c r="Z278" s="130"/>
      <c r="AB278" s="106"/>
    </row>
    <row r="279">
      <c r="C279" s="79"/>
      <c r="D279" s="79"/>
      <c r="E279" s="79"/>
      <c r="M279" s="79"/>
      <c r="R279" s="79"/>
      <c r="S279" s="79"/>
      <c r="V279" s="79"/>
      <c r="W279" s="79"/>
      <c r="Z279" s="130"/>
      <c r="AB279" s="106"/>
    </row>
    <row r="280">
      <c r="C280" s="79"/>
      <c r="D280" s="79"/>
      <c r="E280" s="79"/>
      <c r="M280" s="79"/>
      <c r="R280" s="79"/>
      <c r="S280" s="79"/>
      <c r="V280" s="79"/>
      <c r="W280" s="79"/>
      <c r="Z280" s="130"/>
      <c r="AB280" s="106"/>
    </row>
    <row r="281">
      <c r="C281" s="79"/>
      <c r="D281" s="79"/>
      <c r="E281" s="79"/>
      <c r="M281" s="79"/>
      <c r="R281" s="79"/>
      <c r="S281" s="79"/>
      <c r="V281" s="79"/>
      <c r="W281" s="79"/>
      <c r="Z281" s="130"/>
      <c r="AB281" s="106"/>
    </row>
    <row r="282">
      <c r="C282" s="79"/>
      <c r="D282" s="79"/>
      <c r="E282" s="79"/>
      <c r="M282" s="79"/>
      <c r="R282" s="79"/>
      <c r="S282" s="79"/>
      <c r="V282" s="79"/>
      <c r="W282" s="79"/>
      <c r="Z282" s="130"/>
      <c r="AB282" s="106"/>
    </row>
    <row r="283">
      <c r="C283" s="79"/>
      <c r="D283" s="79"/>
      <c r="E283" s="79"/>
      <c r="M283" s="79"/>
      <c r="R283" s="79"/>
      <c r="S283" s="79"/>
      <c r="V283" s="79"/>
      <c r="W283" s="79"/>
      <c r="Z283" s="130"/>
      <c r="AB283" s="106"/>
    </row>
    <row r="284">
      <c r="C284" s="79"/>
      <c r="D284" s="79"/>
      <c r="E284" s="79"/>
      <c r="M284" s="79"/>
      <c r="R284" s="79"/>
      <c r="S284" s="79"/>
      <c r="V284" s="79"/>
      <c r="W284" s="79"/>
      <c r="Z284" s="130"/>
      <c r="AB284" s="106"/>
    </row>
    <row r="285">
      <c r="C285" s="79"/>
      <c r="D285" s="79"/>
      <c r="E285" s="79"/>
      <c r="M285" s="79"/>
      <c r="R285" s="79"/>
      <c r="S285" s="79"/>
      <c r="V285" s="79"/>
      <c r="W285" s="79"/>
      <c r="Z285" s="130"/>
      <c r="AB285" s="106"/>
    </row>
    <row r="286">
      <c r="C286" s="79"/>
      <c r="D286" s="79"/>
      <c r="E286" s="79"/>
      <c r="M286" s="79"/>
      <c r="R286" s="79"/>
      <c r="S286" s="79"/>
      <c r="V286" s="79"/>
      <c r="W286" s="79"/>
      <c r="Z286" s="130"/>
      <c r="AB286" s="106"/>
    </row>
    <row r="287">
      <c r="C287" s="79"/>
      <c r="D287" s="79"/>
      <c r="E287" s="79"/>
      <c r="M287" s="79"/>
      <c r="R287" s="79"/>
      <c r="S287" s="79"/>
      <c r="V287" s="79"/>
      <c r="W287" s="79"/>
      <c r="Z287" s="130"/>
      <c r="AB287" s="106"/>
    </row>
    <row r="288">
      <c r="C288" s="79"/>
      <c r="D288" s="79"/>
      <c r="E288" s="79"/>
      <c r="M288" s="79"/>
      <c r="R288" s="79"/>
      <c r="S288" s="79"/>
      <c r="V288" s="79"/>
      <c r="W288" s="79"/>
      <c r="Z288" s="130"/>
      <c r="AB288" s="106"/>
    </row>
    <row r="289">
      <c r="C289" s="79"/>
      <c r="D289" s="79"/>
      <c r="E289" s="79"/>
      <c r="M289" s="79"/>
      <c r="R289" s="79"/>
      <c r="S289" s="79"/>
      <c r="V289" s="79"/>
      <c r="W289" s="79"/>
      <c r="Z289" s="130"/>
      <c r="AB289" s="106"/>
    </row>
    <row r="290">
      <c r="C290" s="79"/>
      <c r="D290" s="79"/>
      <c r="E290" s="79"/>
      <c r="M290" s="79"/>
      <c r="R290" s="79"/>
      <c r="S290" s="79"/>
      <c r="V290" s="79"/>
      <c r="W290" s="79"/>
      <c r="Z290" s="130"/>
      <c r="AB290" s="106"/>
    </row>
    <row r="291">
      <c r="C291" s="79"/>
      <c r="D291" s="79"/>
      <c r="E291" s="79"/>
      <c r="M291" s="79"/>
      <c r="R291" s="79"/>
      <c r="S291" s="79"/>
      <c r="V291" s="79"/>
      <c r="W291" s="79"/>
      <c r="Z291" s="130"/>
      <c r="AB291" s="106"/>
    </row>
    <row r="292">
      <c r="C292" s="79"/>
      <c r="D292" s="79"/>
      <c r="E292" s="79"/>
      <c r="M292" s="79"/>
      <c r="R292" s="79"/>
      <c r="S292" s="79"/>
      <c r="V292" s="79"/>
      <c r="W292" s="79"/>
      <c r="Z292" s="130"/>
      <c r="AB292" s="106"/>
    </row>
    <row r="293">
      <c r="C293" s="79"/>
      <c r="D293" s="79"/>
      <c r="E293" s="79"/>
      <c r="M293" s="79"/>
      <c r="R293" s="79"/>
      <c r="S293" s="79"/>
      <c r="V293" s="79"/>
      <c r="W293" s="79"/>
      <c r="Z293" s="130"/>
      <c r="AB293" s="106"/>
    </row>
    <row r="294">
      <c r="C294" s="79"/>
      <c r="D294" s="79"/>
      <c r="E294" s="79"/>
      <c r="M294" s="79"/>
      <c r="R294" s="79"/>
      <c r="S294" s="79"/>
      <c r="V294" s="79"/>
      <c r="W294" s="79"/>
      <c r="Z294" s="130"/>
      <c r="AB294" s="106"/>
    </row>
    <row r="295">
      <c r="C295" s="79"/>
      <c r="D295" s="79"/>
      <c r="E295" s="79"/>
      <c r="M295" s="79"/>
      <c r="R295" s="79"/>
      <c r="S295" s="79"/>
      <c r="V295" s="79"/>
      <c r="W295" s="79"/>
      <c r="Z295" s="130"/>
      <c r="AB295" s="106"/>
    </row>
    <row r="296">
      <c r="C296" s="79"/>
      <c r="D296" s="79"/>
      <c r="E296" s="79"/>
      <c r="M296" s="79"/>
      <c r="R296" s="79"/>
      <c r="S296" s="79"/>
      <c r="V296" s="79"/>
      <c r="W296" s="79"/>
      <c r="Z296" s="130"/>
      <c r="AB296" s="106"/>
    </row>
    <row r="297">
      <c r="C297" s="79"/>
      <c r="D297" s="79"/>
      <c r="E297" s="79"/>
      <c r="M297" s="79"/>
      <c r="R297" s="79"/>
      <c r="S297" s="79"/>
      <c r="V297" s="79"/>
      <c r="W297" s="79"/>
      <c r="Z297" s="130"/>
      <c r="AB297" s="106"/>
    </row>
    <row r="298">
      <c r="C298" s="79"/>
      <c r="D298" s="79"/>
      <c r="E298" s="79"/>
      <c r="M298" s="79"/>
      <c r="R298" s="79"/>
      <c r="S298" s="79"/>
      <c r="V298" s="79"/>
      <c r="W298" s="79"/>
      <c r="Z298" s="130"/>
      <c r="AB298" s="106"/>
    </row>
    <row r="299">
      <c r="C299" s="79"/>
      <c r="D299" s="79"/>
      <c r="E299" s="79"/>
      <c r="M299" s="79"/>
      <c r="R299" s="79"/>
      <c r="S299" s="79"/>
      <c r="V299" s="79"/>
      <c r="W299" s="79"/>
      <c r="Z299" s="130"/>
      <c r="AB299" s="106"/>
    </row>
    <row r="300">
      <c r="C300" s="79"/>
      <c r="D300" s="79"/>
      <c r="E300" s="79"/>
      <c r="M300" s="79"/>
      <c r="R300" s="79"/>
      <c r="S300" s="79"/>
      <c r="V300" s="79"/>
      <c r="W300" s="79"/>
      <c r="Z300" s="130"/>
      <c r="AB300" s="106"/>
    </row>
    <row r="301">
      <c r="C301" s="79"/>
      <c r="D301" s="79"/>
      <c r="E301" s="79"/>
      <c r="M301" s="79"/>
      <c r="R301" s="79"/>
      <c r="S301" s="79"/>
      <c r="V301" s="79"/>
      <c r="W301" s="79"/>
      <c r="Z301" s="130"/>
      <c r="AB301" s="106"/>
    </row>
    <row r="302">
      <c r="C302" s="79"/>
      <c r="D302" s="79"/>
      <c r="E302" s="79"/>
      <c r="M302" s="79"/>
      <c r="R302" s="79"/>
      <c r="S302" s="79"/>
      <c r="V302" s="79"/>
      <c r="W302" s="79"/>
      <c r="Z302" s="130"/>
      <c r="AB302" s="106"/>
    </row>
    <row r="303">
      <c r="C303" s="79"/>
      <c r="D303" s="79"/>
      <c r="E303" s="79"/>
      <c r="M303" s="79"/>
      <c r="R303" s="79"/>
      <c r="S303" s="79"/>
      <c r="V303" s="79"/>
      <c r="W303" s="79"/>
      <c r="Z303" s="130"/>
      <c r="AB303" s="106"/>
    </row>
    <row r="304">
      <c r="C304" s="79"/>
      <c r="D304" s="79"/>
      <c r="E304" s="79"/>
      <c r="M304" s="79"/>
      <c r="R304" s="79"/>
      <c r="S304" s="79"/>
      <c r="V304" s="79"/>
      <c r="W304" s="79"/>
      <c r="Z304" s="130"/>
      <c r="AB304" s="106"/>
    </row>
    <row r="305">
      <c r="C305" s="79"/>
      <c r="D305" s="79"/>
      <c r="E305" s="79"/>
      <c r="M305" s="79"/>
      <c r="R305" s="79"/>
      <c r="S305" s="79"/>
      <c r="V305" s="79"/>
      <c r="W305" s="79"/>
      <c r="Z305" s="130"/>
      <c r="AB305" s="106"/>
    </row>
    <row r="306">
      <c r="C306" s="79"/>
      <c r="D306" s="79"/>
      <c r="E306" s="79"/>
      <c r="M306" s="79"/>
      <c r="R306" s="79"/>
      <c r="S306" s="79"/>
      <c r="V306" s="79"/>
      <c r="W306" s="79"/>
      <c r="Z306" s="130"/>
      <c r="AB306" s="106"/>
    </row>
    <row r="307">
      <c r="C307" s="79"/>
      <c r="D307" s="79"/>
      <c r="E307" s="79"/>
      <c r="M307" s="79"/>
      <c r="R307" s="79"/>
      <c r="S307" s="79"/>
      <c r="V307" s="79"/>
      <c r="W307" s="79"/>
      <c r="Z307" s="130"/>
      <c r="AB307" s="106"/>
    </row>
    <row r="308">
      <c r="C308" s="79"/>
      <c r="D308" s="79"/>
      <c r="E308" s="79"/>
      <c r="M308" s="79"/>
      <c r="R308" s="79"/>
      <c r="S308" s="79"/>
      <c r="V308" s="79"/>
      <c r="W308" s="79"/>
      <c r="Z308" s="130"/>
      <c r="AB308" s="106"/>
    </row>
    <row r="309">
      <c r="C309" s="79"/>
      <c r="D309" s="79"/>
      <c r="E309" s="79"/>
      <c r="M309" s="79"/>
      <c r="R309" s="79"/>
      <c r="S309" s="79"/>
      <c r="V309" s="79"/>
      <c r="W309" s="79"/>
      <c r="Z309" s="130"/>
      <c r="AB309" s="106"/>
    </row>
    <row r="310">
      <c r="C310" s="79"/>
      <c r="D310" s="79"/>
      <c r="E310" s="79"/>
      <c r="M310" s="79"/>
      <c r="R310" s="79"/>
      <c r="S310" s="79"/>
      <c r="V310" s="79"/>
      <c r="W310" s="79"/>
      <c r="Z310" s="130"/>
      <c r="AB310" s="106"/>
    </row>
    <row r="311">
      <c r="C311" s="79"/>
      <c r="D311" s="79"/>
      <c r="E311" s="79"/>
      <c r="M311" s="79"/>
      <c r="R311" s="79"/>
      <c r="S311" s="79"/>
      <c r="V311" s="79"/>
      <c r="W311" s="79"/>
      <c r="Z311" s="130"/>
      <c r="AB311" s="106"/>
    </row>
    <row r="312">
      <c r="C312" s="79"/>
      <c r="D312" s="79"/>
      <c r="E312" s="79"/>
      <c r="M312" s="79"/>
      <c r="R312" s="79"/>
      <c r="S312" s="79"/>
      <c r="V312" s="79"/>
      <c r="W312" s="79"/>
      <c r="Z312" s="130"/>
      <c r="AB312" s="106"/>
    </row>
    <row r="313">
      <c r="C313" s="79"/>
      <c r="D313" s="79"/>
      <c r="E313" s="79"/>
      <c r="M313" s="79"/>
      <c r="R313" s="79"/>
      <c r="S313" s="79"/>
      <c r="V313" s="79"/>
      <c r="W313" s="79"/>
      <c r="Z313" s="130"/>
      <c r="AB313" s="106"/>
    </row>
    <row r="314">
      <c r="C314" s="79"/>
      <c r="D314" s="79"/>
      <c r="E314" s="79"/>
      <c r="M314" s="79"/>
      <c r="R314" s="79"/>
      <c r="S314" s="79"/>
      <c r="V314" s="79"/>
      <c r="W314" s="79"/>
      <c r="Z314" s="130"/>
      <c r="AB314" s="106"/>
    </row>
    <row r="315">
      <c r="C315" s="79"/>
      <c r="D315" s="79"/>
      <c r="E315" s="79"/>
      <c r="M315" s="79"/>
      <c r="R315" s="79"/>
      <c r="S315" s="79"/>
      <c r="V315" s="79"/>
      <c r="W315" s="79"/>
      <c r="Z315" s="130"/>
      <c r="AB315" s="106"/>
    </row>
    <row r="316">
      <c r="C316" s="79"/>
      <c r="D316" s="79"/>
      <c r="E316" s="79"/>
      <c r="M316" s="79"/>
      <c r="R316" s="79"/>
      <c r="S316" s="79"/>
      <c r="V316" s="79"/>
      <c r="W316" s="79"/>
      <c r="Z316" s="130"/>
      <c r="AB316" s="106"/>
    </row>
    <row r="317">
      <c r="C317" s="79"/>
      <c r="D317" s="79"/>
      <c r="E317" s="79"/>
      <c r="M317" s="79"/>
      <c r="R317" s="79"/>
      <c r="S317" s="79"/>
      <c r="V317" s="79"/>
      <c r="W317" s="79"/>
      <c r="Z317" s="130"/>
      <c r="AB317" s="106"/>
    </row>
    <row r="318">
      <c r="C318" s="79"/>
      <c r="D318" s="79"/>
      <c r="E318" s="79"/>
      <c r="M318" s="79"/>
      <c r="R318" s="79"/>
      <c r="S318" s="79"/>
      <c r="V318" s="79"/>
      <c r="W318" s="79"/>
      <c r="Z318" s="130"/>
      <c r="AB318" s="106"/>
    </row>
    <row r="319">
      <c r="C319" s="79"/>
      <c r="D319" s="79"/>
      <c r="E319" s="79"/>
      <c r="M319" s="79"/>
      <c r="R319" s="79"/>
      <c r="S319" s="79"/>
      <c r="V319" s="79"/>
      <c r="W319" s="79"/>
      <c r="Z319" s="130"/>
      <c r="AB319" s="106"/>
    </row>
    <row r="320">
      <c r="C320" s="79"/>
      <c r="D320" s="79"/>
      <c r="E320" s="79"/>
      <c r="M320" s="79"/>
      <c r="R320" s="79"/>
      <c r="S320" s="79"/>
      <c r="V320" s="79"/>
      <c r="W320" s="79"/>
      <c r="Z320" s="130"/>
      <c r="AB320" s="106"/>
    </row>
    <row r="321">
      <c r="C321" s="79"/>
      <c r="D321" s="79"/>
      <c r="E321" s="79"/>
      <c r="M321" s="79"/>
      <c r="R321" s="79"/>
      <c r="S321" s="79"/>
      <c r="V321" s="79"/>
      <c r="W321" s="79"/>
      <c r="Z321" s="130"/>
      <c r="AB321" s="106"/>
    </row>
    <row r="322">
      <c r="C322" s="79"/>
      <c r="D322" s="79"/>
      <c r="E322" s="79"/>
      <c r="M322" s="79"/>
      <c r="R322" s="79"/>
      <c r="S322" s="79"/>
      <c r="V322" s="79"/>
      <c r="W322" s="79"/>
      <c r="Z322" s="130"/>
      <c r="AB322" s="106"/>
    </row>
    <row r="323">
      <c r="C323" s="79"/>
      <c r="D323" s="79"/>
      <c r="E323" s="79"/>
      <c r="M323" s="79"/>
      <c r="R323" s="79"/>
      <c r="S323" s="79"/>
      <c r="V323" s="79"/>
      <c r="W323" s="79"/>
      <c r="Z323" s="130"/>
      <c r="AB323" s="106"/>
    </row>
    <row r="324">
      <c r="C324" s="79"/>
      <c r="D324" s="79"/>
      <c r="E324" s="79"/>
      <c r="M324" s="79"/>
      <c r="R324" s="79"/>
      <c r="S324" s="79"/>
      <c r="V324" s="79"/>
      <c r="W324" s="79"/>
      <c r="Z324" s="130"/>
      <c r="AB324" s="106"/>
    </row>
    <row r="325">
      <c r="C325" s="79"/>
      <c r="D325" s="79"/>
      <c r="E325" s="79"/>
      <c r="M325" s="79"/>
      <c r="R325" s="79"/>
      <c r="S325" s="79"/>
      <c r="V325" s="79"/>
      <c r="W325" s="79"/>
      <c r="Z325" s="130"/>
      <c r="AB325" s="106"/>
    </row>
    <row r="326">
      <c r="C326" s="79"/>
      <c r="D326" s="79"/>
      <c r="E326" s="79"/>
      <c r="M326" s="79"/>
      <c r="R326" s="79"/>
      <c r="S326" s="79"/>
      <c r="V326" s="79"/>
      <c r="W326" s="79"/>
      <c r="Z326" s="130"/>
      <c r="AB326" s="106"/>
    </row>
    <row r="327">
      <c r="C327" s="79"/>
      <c r="D327" s="79"/>
      <c r="E327" s="79"/>
      <c r="M327" s="79"/>
      <c r="R327" s="79"/>
      <c r="S327" s="79"/>
      <c r="V327" s="79"/>
      <c r="W327" s="79"/>
      <c r="Z327" s="130"/>
      <c r="AB327" s="106"/>
    </row>
    <row r="328">
      <c r="C328" s="79"/>
      <c r="D328" s="79"/>
      <c r="E328" s="79"/>
      <c r="M328" s="79"/>
      <c r="R328" s="79"/>
      <c r="S328" s="79"/>
      <c r="V328" s="79"/>
      <c r="W328" s="79"/>
      <c r="Z328" s="130"/>
      <c r="AB328" s="106"/>
    </row>
    <row r="329">
      <c r="C329" s="79"/>
      <c r="D329" s="79"/>
      <c r="E329" s="79"/>
      <c r="M329" s="79"/>
      <c r="R329" s="79"/>
      <c r="S329" s="79"/>
      <c r="V329" s="79"/>
      <c r="W329" s="79"/>
      <c r="Z329" s="130"/>
      <c r="AB329" s="106"/>
    </row>
    <row r="330">
      <c r="C330" s="79"/>
      <c r="D330" s="79"/>
      <c r="E330" s="79"/>
      <c r="M330" s="79"/>
      <c r="R330" s="79"/>
      <c r="S330" s="79"/>
      <c r="V330" s="79"/>
      <c r="W330" s="79"/>
      <c r="Z330" s="130"/>
      <c r="AB330" s="106"/>
    </row>
    <row r="331">
      <c r="C331" s="79"/>
      <c r="D331" s="79"/>
      <c r="E331" s="79"/>
      <c r="M331" s="79"/>
      <c r="R331" s="79"/>
      <c r="S331" s="79"/>
      <c r="V331" s="79"/>
      <c r="W331" s="79"/>
      <c r="Z331" s="130"/>
      <c r="AB331" s="106"/>
    </row>
    <row r="332">
      <c r="C332" s="79"/>
      <c r="D332" s="79"/>
      <c r="E332" s="79"/>
      <c r="M332" s="79"/>
      <c r="R332" s="79"/>
      <c r="S332" s="79"/>
      <c r="V332" s="79"/>
      <c r="W332" s="79"/>
      <c r="Z332" s="130"/>
      <c r="AB332" s="106"/>
    </row>
    <row r="333">
      <c r="C333" s="79"/>
      <c r="D333" s="79"/>
      <c r="E333" s="79"/>
      <c r="M333" s="79"/>
      <c r="R333" s="79"/>
      <c r="S333" s="79"/>
      <c r="V333" s="79"/>
      <c r="W333" s="79"/>
      <c r="Z333" s="130"/>
      <c r="AB333" s="106"/>
    </row>
    <row r="334">
      <c r="C334" s="79"/>
      <c r="D334" s="79"/>
      <c r="E334" s="79"/>
      <c r="M334" s="79"/>
      <c r="R334" s="79"/>
      <c r="S334" s="79"/>
      <c r="V334" s="79"/>
      <c r="W334" s="79"/>
      <c r="Z334" s="130"/>
      <c r="AB334" s="106"/>
    </row>
    <row r="335">
      <c r="C335" s="79"/>
      <c r="D335" s="79"/>
      <c r="E335" s="79"/>
      <c r="M335" s="79"/>
      <c r="R335" s="79"/>
      <c r="S335" s="79"/>
      <c r="V335" s="79"/>
      <c r="W335" s="79"/>
      <c r="Z335" s="130"/>
      <c r="AB335" s="106"/>
    </row>
    <row r="336">
      <c r="C336" s="79"/>
      <c r="D336" s="79"/>
      <c r="E336" s="79"/>
      <c r="M336" s="79"/>
      <c r="R336" s="79"/>
      <c r="S336" s="79"/>
      <c r="V336" s="79"/>
      <c r="W336" s="79"/>
      <c r="Z336" s="130"/>
      <c r="AB336" s="106"/>
    </row>
    <row r="337">
      <c r="C337" s="79"/>
      <c r="D337" s="79"/>
      <c r="E337" s="79"/>
      <c r="M337" s="79"/>
      <c r="R337" s="79"/>
      <c r="S337" s="79"/>
      <c r="V337" s="79"/>
      <c r="W337" s="79"/>
      <c r="Z337" s="130"/>
      <c r="AB337" s="106"/>
    </row>
    <row r="338">
      <c r="C338" s="79"/>
      <c r="D338" s="79"/>
      <c r="E338" s="79"/>
      <c r="M338" s="79"/>
      <c r="R338" s="79"/>
      <c r="S338" s="79"/>
      <c r="V338" s="79"/>
      <c r="W338" s="79"/>
      <c r="Z338" s="130"/>
      <c r="AB338" s="106"/>
    </row>
    <row r="339">
      <c r="C339" s="79"/>
      <c r="D339" s="79"/>
      <c r="E339" s="79"/>
      <c r="M339" s="79"/>
      <c r="R339" s="79"/>
      <c r="S339" s="79"/>
      <c r="V339" s="79"/>
      <c r="W339" s="79"/>
      <c r="Z339" s="130"/>
      <c r="AB339" s="106"/>
    </row>
    <row r="340">
      <c r="C340" s="79"/>
      <c r="D340" s="79"/>
      <c r="E340" s="79"/>
      <c r="M340" s="79"/>
      <c r="R340" s="79"/>
      <c r="S340" s="79"/>
      <c r="V340" s="79"/>
      <c r="W340" s="79"/>
      <c r="Z340" s="130"/>
      <c r="AB340" s="106"/>
    </row>
    <row r="341">
      <c r="C341" s="79"/>
      <c r="D341" s="79"/>
      <c r="E341" s="79"/>
      <c r="M341" s="79"/>
      <c r="R341" s="79"/>
      <c r="S341" s="79"/>
      <c r="V341" s="79"/>
      <c r="W341" s="79"/>
      <c r="Z341" s="130"/>
      <c r="AB341" s="106"/>
    </row>
    <row r="342">
      <c r="C342" s="79"/>
      <c r="D342" s="79"/>
      <c r="E342" s="79"/>
      <c r="M342" s="79"/>
      <c r="R342" s="79"/>
      <c r="S342" s="79"/>
      <c r="V342" s="79"/>
      <c r="W342" s="79"/>
      <c r="Z342" s="130"/>
      <c r="AB342" s="106"/>
    </row>
    <row r="343">
      <c r="C343" s="79"/>
      <c r="D343" s="79"/>
      <c r="E343" s="79"/>
      <c r="M343" s="79"/>
      <c r="R343" s="79"/>
      <c r="S343" s="79"/>
      <c r="V343" s="79"/>
      <c r="W343" s="79"/>
      <c r="Z343" s="130"/>
      <c r="AB343" s="106"/>
    </row>
    <row r="344">
      <c r="C344" s="79"/>
      <c r="D344" s="79"/>
      <c r="E344" s="79"/>
      <c r="M344" s="79"/>
      <c r="R344" s="79"/>
      <c r="S344" s="79"/>
      <c r="V344" s="79"/>
      <c r="W344" s="79"/>
      <c r="Z344" s="130"/>
      <c r="AB344" s="106"/>
    </row>
    <row r="345">
      <c r="C345" s="79"/>
      <c r="D345" s="79"/>
      <c r="E345" s="79"/>
      <c r="M345" s="79"/>
      <c r="R345" s="79"/>
      <c r="S345" s="79"/>
      <c r="V345" s="79"/>
      <c r="W345" s="79"/>
      <c r="Z345" s="130"/>
      <c r="AB345" s="106"/>
    </row>
    <row r="346">
      <c r="C346" s="79"/>
      <c r="D346" s="79"/>
      <c r="E346" s="79"/>
      <c r="M346" s="79"/>
      <c r="R346" s="79"/>
      <c r="S346" s="79"/>
      <c r="V346" s="79"/>
      <c r="W346" s="79"/>
      <c r="Z346" s="130"/>
      <c r="AB346" s="106"/>
    </row>
    <row r="347">
      <c r="C347" s="79"/>
      <c r="D347" s="79"/>
      <c r="E347" s="79"/>
      <c r="M347" s="79"/>
      <c r="R347" s="79"/>
      <c r="S347" s="79"/>
      <c r="V347" s="79"/>
      <c r="W347" s="79"/>
      <c r="Z347" s="130"/>
      <c r="AB347" s="106"/>
    </row>
    <row r="348">
      <c r="C348" s="79"/>
      <c r="D348" s="79"/>
      <c r="E348" s="79"/>
      <c r="M348" s="79"/>
      <c r="R348" s="79"/>
      <c r="S348" s="79"/>
      <c r="V348" s="79"/>
      <c r="W348" s="79"/>
      <c r="Z348" s="130"/>
      <c r="AB348" s="106"/>
    </row>
    <row r="349">
      <c r="C349" s="79"/>
      <c r="D349" s="79"/>
      <c r="E349" s="79"/>
      <c r="M349" s="79"/>
      <c r="R349" s="79"/>
      <c r="S349" s="79"/>
      <c r="V349" s="79"/>
      <c r="W349" s="79"/>
      <c r="Z349" s="130"/>
      <c r="AB349" s="106"/>
    </row>
    <row r="350">
      <c r="C350" s="79"/>
      <c r="D350" s="79"/>
      <c r="E350" s="79"/>
      <c r="M350" s="79"/>
      <c r="R350" s="79"/>
      <c r="S350" s="79"/>
      <c r="V350" s="79"/>
      <c r="W350" s="79"/>
      <c r="Z350" s="130"/>
      <c r="AB350" s="106"/>
    </row>
    <row r="351">
      <c r="C351" s="79"/>
      <c r="D351" s="79"/>
      <c r="E351" s="79"/>
      <c r="M351" s="79"/>
      <c r="R351" s="79"/>
      <c r="S351" s="79"/>
      <c r="V351" s="79"/>
      <c r="W351" s="79"/>
      <c r="Z351" s="130"/>
      <c r="AB351" s="106"/>
    </row>
    <row r="352">
      <c r="C352" s="79"/>
      <c r="D352" s="79"/>
      <c r="E352" s="79"/>
      <c r="M352" s="79"/>
      <c r="R352" s="79"/>
      <c r="S352" s="79"/>
      <c r="V352" s="79"/>
      <c r="W352" s="79"/>
      <c r="Z352" s="130"/>
      <c r="AB352" s="106"/>
    </row>
    <row r="353">
      <c r="C353" s="79"/>
      <c r="D353" s="79"/>
      <c r="E353" s="79"/>
      <c r="M353" s="79"/>
      <c r="R353" s="79"/>
      <c r="S353" s="79"/>
      <c r="V353" s="79"/>
      <c r="W353" s="79"/>
      <c r="Z353" s="130"/>
      <c r="AB353" s="106"/>
    </row>
    <row r="354">
      <c r="C354" s="79"/>
      <c r="D354" s="79"/>
      <c r="E354" s="79"/>
      <c r="M354" s="79"/>
      <c r="R354" s="79"/>
      <c r="S354" s="79"/>
      <c r="V354" s="79"/>
      <c r="W354" s="79"/>
      <c r="Z354" s="130"/>
      <c r="AB354" s="106"/>
    </row>
    <row r="355">
      <c r="C355" s="79"/>
      <c r="D355" s="79"/>
      <c r="E355" s="79"/>
      <c r="M355" s="79"/>
      <c r="R355" s="79"/>
      <c r="S355" s="79"/>
      <c r="V355" s="79"/>
      <c r="W355" s="79"/>
      <c r="Z355" s="130"/>
      <c r="AB355" s="106"/>
    </row>
    <row r="356">
      <c r="C356" s="79"/>
      <c r="D356" s="79"/>
      <c r="E356" s="79"/>
      <c r="M356" s="79"/>
      <c r="R356" s="79"/>
      <c r="S356" s="79"/>
      <c r="V356" s="79"/>
      <c r="W356" s="79"/>
      <c r="Z356" s="130"/>
      <c r="AB356" s="106"/>
    </row>
    <row r="357">
      <c r="C357" s="79"/>
      <c r="D357" s="79"/>
      <c r="E357" s="79"/>
      <c r="M357" s="79"/>
      <c r="R357" s="79"/>
      <c r="S357" s="79"/>
      <c r="V357" s="79"/>
      <c r="W357" s="79"/>
      <c r="Z357" s="130"/>
      <c r="AB357" s="106"/>
    </row>
    <row r="358">
      <c r="C358" s="79"/>
      <c r="D358" s="79"/>
      <c r="E358" s="79"/>
      <c r="M358" s="79"/>
      <c r="R358" s="79"/>
      <c r="S358" s="79"/>
      <c r="V358" s="79"/>
      <c r="W358" s="79"/>
      <c r="Z358" s="130"/>
      <c r="AB358" s="106"/>
    </row>
    <row r="359">
      <c r="C359" s="79"/>
      <c r="D359" s="79"/>
      <c r="E359" s="79"/>
      <c r="M359" s="79"/>
      <c r="R359" s="79"/>
      <c r="S359" s="79"/>
      <c r="V359" s="79"/>
      <c r="W359" s="79"/>
      <c r="Z359" s="130"/>
      <c r="AB359" s="106"/>
    </row>
    <row r="360">
      <c r="C360" s="79"/>
      <c r="D360" s="79"/>
      <c r="E360" s="79"/>
      <c r="M360" s="79"/>
      <c r="R360" s="79"/>
      <c r="S360" s="79"/>
      <c r="V360" s="79"/>
      <c r="W360" s="79"/>
      <c r="Z360" s="130"/>
      <c r="AB360" s="106"/>
    </row>
    <row r="361">
      <c r="C361" s="79"/>
      <c r="D361" s="79"/>
      <c r="E361" s="79"/>
      <c r="M361" s="79"/>
      <c r="R361" s="79"/>
      <c r="S361" s="79"/>
      <c r="V361" s="79"/>
      <c r="W361" s="79"/>
      <c r="Z361" s="130"/>
      <c r="AB361" s="106"/>
    </row>
    <row r="362">
      <c r="C362" s="79"/>
      <c r="D362" s="79"/>
      <c r="E362" s="79"/>
      <c r="M362" s="79"/>
      <c r="R362" s="79"/>
      <c r="S362" s="79"/>
      <c r="V362" s="79"/>
      <c r="W362" s="79"/>
      <c r="Z362" s="130"/>
      <c r="AB362" s="106"/>
    </row>
    <row r="363">
      <c r="C363" s="79"/>
      <c r="D363" s="79"/>
      <c r="E363" s="79"/>
      <c r="M363" s="79"/>
      <c r="R363" s="79"/>
      <c r="S363" s="79"/>
      <c r="V363" s="79"/>
      <c r="W363" s="79"/>
      <c r="Z363" s="130"/>
      <c r="AB363" s="106"/>
    </row>
    <row r="364">
      <c r="C364" s="79"/>
      <c r="D364" s="79"/>
      <c r="E364" s="79"/>
      <c r="M364" s="79"/>
      <c r="R364" s="79"/>
      <c r="S364" s="79"/>
      <c r="V364" s="79"/>
      <c r="W364" s="79"/>
      <c r="Z364" s="130"/>
      <c r="AB364" s="106"/>
    </row>
    <row r="365">
      <c r="C365" s="79"/>
      <c r="D365" s="79"/>
      <c r="E365" s="79"/>
      <c r="M365" s="79"/>
      <c r="R365" s="79"/>
      <c r="S365" s="79"/>
      <c r="V365" s="79"/>
      <c r="W365" s="79"/>
      <c r="Z365" s="130"/>
      <c r="AB365" s="106"/>
    </row>
    <row r="366">
      <c r="C366" s="79"/>
      <c r="D366" s="79"/>
      <c r="E366" s="79"/>
      <c r="M366" s="79"/>
      <c r="R366" s="79"/>
      <c r="S366" s="79"/>
      <c r="V366" s="79"/>
      <c r="W366" s="79"/>
      <c r="Z366" s="130"/>
      <c r="AB366" s="106"/>
    </row>
    <row r="367">
      <c r="C367" s="79"/>
      <c r="D367" s="79"/>
      <c r="E367" s="79"/>
      <c r="M367" s="79"/>
      <c r="R367" s="79"/>
      <c r="S367" s="79"/>
      <c r="V367" s="79"/>
      <c r="W367" s="79"/>
      <c r="Z367" s="130"/>
      <c r="AB367" s="106"/>
    </row>
    <row r="368">
      <c r="C368" s="79"/>
      <c r="D368" s="79"/>
      <c r="E368" s="79"/>
      <c r="M368" s="79"/>
      <c r="R368" s="79"/>
      <c r="S368" s="79"/>
      <c r="V368" s="79"/>
      <c r="W368" s="79"/>
      <c r="Z368" s="130"/>
      <c r="AB368" s="106"/>
    </row>
    <row r="369">
      <c r="C369" s="79"/>
      <c r="D369" s="79"/>
      <c r="E369" s="79"/>
      <c r="M369" s="79"/>
      <c r="R369" s="79"/>
      <c r="S369" s="79"/>
      <c r="V369" s="79"/>
      <c r="W369" s="79"/>
      <c r="Z369" s="130"/>
      <c r="AB369" s="106"/>
    </row>
    <row r="370">
      <c r="C370" s="79"/>
      <c r="D370" s="79"/>
      <c r="E370" s="79"/>
      <c r="M370" s="79"/>
      <c r="R370" s="79"/>
      <c r="S370" s="79"/>
      <c r="V370" s="79"/>
      <c r="W370" s="79"/>
      <c r="Z370" s="130"/>
      <c r="AB370" s="106"/>
    </row>
    <row r="371">
      <c r="C371" s="79"/>
      <c r="D371" s="79"/>
      <c r="E371" s="79"/>
      <c r="M371" s="79"/>
      <c r="R371" s="79"/>
      <c r="S371" s="79"/>
      <c r="V371" s="79"/>
      <c r="W371" s="79"/>
      <c r="Z371" s="130"/>
      <c r="AB371" s="106"/>
    </row>
    <row r="372">
      <c r="C372" s="79"/>
      <c r="D372" s="79"/>
      <c r="E372" s="79"/>
      <c r="M372" s="79"/>
      <c r="R372" s="79"/>
      <c r="S372" s="79"/>
      <c r="V372" s="79"/>
      <c r="W372" s="79"/>
      <c r="Z372" s="130"/>
      <c r="AB372" s="106"/>
    </row>
    <row r="373">
      <c r="C373" s="79"/>
      <c r="D373" s="79"/>
      <c r="E373" s="79"/>
      <c r="M373" s="79"/>
      <c r="R373" s="79"/>
      <c r="S373" s="79"/>
      <c r="V373" s="79"/>
      <c r="W373" s="79"/>
      <c r="Z373" s="130"/>
      <c r="AB373" s="106"/>
    </row>
    <row r="374">
      <c r="C374" s="79"/>
      <c r="D374" s="79"/>
      <c r="E374" s="79"/>
      <c r="M374" s="79"/>
      <c r="R374" s="79"/>
      <c r="S374" s="79"/>
      <c r="V374" s="79"/>
      <c r="W374" s="79"/>
      <c r="Z374" s="130"/>
      <c r="AB374" s="106"/>
    </row>
    <row r="375">
      <c r="C375" s="79"/>
      <c r="D375" s="79"/>
      <c r="E375" s="79"/>
      <c r="M375" s="79"/>
      <c r="R375" s="79"/>
      <c r="S375" s="79"/>
      <c r="V375" s="79"/>
      <c r="W375" s="79"/>
      <c r="Z375" s="130"/>
      <c r="AB375" s="106"/>
    </row>
    <row r="376">
      <c r="C376" s="79"/>
      <c r="D376" s="79"/>
      <c r="E376" s="79"/>
      <c r="M376" s="79"/>
      <c r="R376" s="79"/>
      <c r="S376" s="79"/>
      <c r="V376" s="79"/>
      <c r="W376" s="79"/>
      <c r="Z376" s="130"/>
      <c r="AB376" s="106"/>
    </row>
    <row r="377">
      <c r="C377" s="79"/>
      <c r="D377" s="79"/>
      <c r="E377" s="79"/>
      <c r="M377" s="79"/>
      <c r="R377" s="79"/>
      <c r="S377" s="79"/>
      <c r="V377" s="79"/>
      <c r="W377" s="79"/>
      <c r="Z377" s="130"/>
      <c r="AB377" s="106"/>
    </row>
    <row r="378">
      <c r="C378" s="79"/>
      <c r="D378" s="79"/>
      <c r="E378" s="79"/>
      <c r="M378" s="79"/>
      <c r="R378" s="79"/>
      <c r="S378" s="79"/>
      <c r="V378" s="79"/>
      <c r="W378" s="79"/>
      <c r="Z378" s="130"/>
      <c r="AB378" s="106"/>
    </row>
    <row r="379">
      <c r="C379" s="79"/>
      <c r="D379" s="79"/>
      <c r="E379" s="79"/>
      <c r="M379" s="79"/>
      <c r="R379" s="79"/>
      <c r="S379" s="79"/>
      <c r="V379" s="79"/>
      <c r="W379" s="79"/>
      <c r="Z379" s="130"/>
      <c r="AB379" s="106"/>
    </row>
    <row r="380">
      <c r="C380" s="79"/>
      <c r="D380" s="79"/>
      <c r="E380" s="79"/>
      <c r="M380" s="79"/>
      <c r="R380" s="79"/>
      <c r="S380" s="79"/>
      <c r="V380" s="79"/>
      <c r="W380" s="79"/>
      <c r="Z380" s="130"/>
      <c r="AB380" s="106"/>
    </row>
    <row r="381">
      <c r="C381" s="79"/>
      <c r="D381" s="79"/>
      <c r="E381" s="79"/>
      <c r="M381" s="79"/>
      <c r="R381" s="79"/>
      <c r="S381" s="79"/>
      <c r="V381" s="79"/>
      <c r="W381" s="79"/>
      <c r="Z381" s="130"/>
      <c r="AB381" s="106"/>
    </row>
    <row r="382">
      <c r="C382" s="79"/>
      <c r="D382" s="79"/>
      <c r="E382" s="79"/>
      <c r="M382" s="79"/>
      <c r="R382" s="79"/>
      <c r="S382" s="79"/>
      <c r="V382" s="79"/>
      <c r="W382" s="79"/>
      <c r="Z382" s="130"/>
      <c r="AB382" s="106"/>
    </row>
    <row r="383">
      <c r="C383" s="79"/>
      <c r="D383" s="79"/>
      <c r="E383" s="79"/>
      <c r="M383" s="79"/>
      <c r="R383" s="79"/>
      <c r="S383" s="79"/>
      <c r="V383" s="79"/>
      <c r="W383" s="79"/>
      <c r="Z383" s="130"/>
      <c r="AB383" s="106"/>
    </row>
    <row r="384">
      <c r="C384" s="79"/>
      <c r="D384" s="79"/>
      <c r="E384" s="79"/>
      <c r="M384" s="79"/>
      <c r="R384" s="79"/>
      <c r="S384" s="79"/>
      <c r="V384" s="79"/>
      <c r="W384" s="79"/>
      <c r="Z384" s="130"/>
      <c r="AB384" s="106"/>
    </row>
    <row r="385">
      <c r="C385" s="79"/>
      <c r="D385" s="79"/>
      <c r="E385" s="79"/>
      <c r="M385" s="79"/>
      <c r="R385" s="79"/>
      <c r="S385" s="79"/>
      <c r="V385" s="79"/>
      <c r="W385" s="79"/>
      <c r="Z385" s="130"/>
      <c r="AB385" s="106"/>
    </row>
    <row r="386">
      <c r="C386" s="79"/>
      <c r="D386" s="79"/>
      <c r="E386" s="79"/>
      <c r="M386" s="79"/>
      <c r="R386" s="79"/>
      <c r="S386" s="79"/>
      <c r="V386" s="79"/>
      <c r="W386" s="79"/>
      <c r="Z386" s="130"/>
      <c r="AB386" s="106"/>
    </row>
    <row r="387">
      <c r="C387" s="79"/>
      <c r="D387" s="79"/>
      <c r="E387" s="79"/>
      <c r="M387" s="79"/>
      <c r="R387" s="79"/>
      <c r="S387" s="79"/>
      <c r="V387" s="79"/>
      <c r="W387" s="79"/>
      <c r="Z387" s="130"/>
      <c r="AB387" s="106"/>
    </row>
    <row r="388">
      <c r="C388" s="79"/>
      <c r="D388" s="79"/>
      <c r="E388" s="79"/>
      <c r="M388" s="79"/>
      <c r="R388" s="79"/>
      <c r="S388" s="79"/>
      <c r="V388" s="79"/>
      <c r="W388" s="79"/>
      <c r="Z388" s="130"/>
      <c r="AB388" s="106"/>
    </row>
    <row r="389">
      <c r="C389" s="79"/>
      <c r="D389" s="79"/>
      <c r="E389" s="79"/>
      <c r="M389" s="79"/>
      <c r="R389" s="79"/>
      <c r="S389" s="79"/>
      <c r="V389" s="79"/>
      <c r="W389" s="79"/>
      <c r="Z389" s="130"/>
      <c r="AB389" s="106"/>
    </row>
    <row r="390">
      <c r="C390" s="79"/>
      <c r="D390" s="79"/>
      <c r="E390" s="79"/>
      <c r="M390" s="79"/>
      <c r="R390" s="79"/>
      <c r="S390" s="79"/>
      <c r="V390" s="79"/>
      <c r="W390" s="79"/>
      <c r="Z390" s="130"/>
      <c r="AB390" s="106"/>
    </row>
    <row r="391">
      <c r="C391" s="79"/>
      <c r="D391" s="79"/>
      <c r="E391" s="79"/>
      <c r="M391" s="79"/>
      <c r="R391" s="79"/>
      <c r="S391" s="79"/>
      <c r="V391" s="79"/>
      <c r="W391" s="79"/>
      <c r="Z391" s="130"/>
      <c r="AB391" s="106"/>
    </row>
    <row r="392">
      <c r="C392" s="79"/>
      <c r="D392" s="79"/>
      <c r="E392" s="79"/>
      <c r="M392" s="79"/>
      <c r="R392" s="79"/>
      <c r="S392" s="79"/>
      <c r="V392" s="79"/>
      <c r="W392" s="79"/>
      <c r="Z392" s="130"/>
      <c r="AB392" s="106"/>
    </row>
    <row r="393">
      <c r="C393" s="79"/>
      <c r="D393" s="79"/>
      <c r="E393" s="79"/>
      <c r="M393" s="79"/>
      <c r="R393" s="79"/>
      <c r="S393" s="79"/>
      <c r="V393" s="79"/>
      <c r="W393" s="79"/>
      <c r="Z393" s="130"/>
      <c r="AB393" s="106"/>
    </row>
    <row r="394">
      <c r="C394" s="79"/>
      <c r="D394" s="79"/>
      <c r="E394" s="79"/>
      <c r="M394" s="79"/>
      <c r="R394" s="79"/>
      <c r="S394" s="79"/>
      <c r="V394" s="79"/>
      <c r="W394" s="79"/>
      <c r="Z394" s="130"/>
      <c r="AB394" s="106"/>
    </row>
    <row r="395">
      <c r="C395" s="79"/>
      <c r="D395" s="79"/>
      <c r="E395" s="79"/>
      <c r="M395" s="79"/>
      <c r="R395" s="79"/>
      <c r="S395" s="79"/>
      <c r="V395" s="79"/>
      <c r="W395" s="79"/>
      <c r="Z395" s="130"/>
      <c r="AB395" s="106"/>
    </row>
    <row r="396">
      <c r="C396" s="79"/>
      <c r="D396" s="79"/>
      <c r="E396" s="79"/>
      <c r="M396" s="79"/>
      <c r="R396" s="79"/>
      <c r="S396" s="79"/>
      <c r="V396" s="79"/>
      <c r="W396" s="79"/>
      <c r="Z396" s="130"/>
      <c r="AB396" s="106"/>
    </row>
    <row r="397">
      <c r="C397" s="79"/>
      <c r="D397" s="79"/>
      <c r="E397" s="79"/>
      <c r="M397" s="79"/>
      <c r="R397" s="79"/>
      <c r="S397" s="79"/>
      <c r="V397" s="79"/>
      <c r="W397" s="79"/>
      <c r="Z397" s="130"/>
      <c r="AB397" s="106"/>
    </row>
    <row r="398">
      <c r="C398" s="79"/>
      <c r="D398" s="79"/>
      <c r="E398" s="79"/>
      <c r="M398" s="79"/>
      <c r="R398" s="79"/>
      <c r="S398" s="79"/>
      <c r="V398" s="79"/>
      <c r="W398" s="79"/>
      <c r="Z398" s="130"/>
      <c r="AB398" s="106"/>
    </row>
    <row r="399">
      <c r="C399" s="79"/>
      <c r="D399" s="79"/>
      <c r="E399" s="79"/>
      <c r="M399" s="79"/>
      <c r="R399" s="79"/>
      <c r="S399" s="79"/>
      <c r="V399" s="79"/>
      <c r="W399" s="79"/>
      <c r="Z399" s="130"/>
      <c r="AB399" s="106"/>
    </row>
    <row r="400">
      <c r="C400" s="79"/>
      <c r="D400" s="79"/>
      <c r="E400" s="79"/>
      <c r="M400" s="79"/>
      <c r="R400" s="79"/>
      <c r="S400" s="79"/>
      <c r="V400" s="79"/>
      <c r="W400" s="79"/>
      <c r="Z400" s="130"/>
      <c r="AB400" s="106"/>
    </row>
    <row r="401">
      <c r="C401" s="79"/>
      <c r="D401" s="79"/>
      <c r="E401" s="79"/>
      <c r="M401" s="79"/>
      <c r="R401" s="79"/>
      <c r="S401" s="79"/>
      <c r="V401" s="79"/>
      <c r="W401" s="79"/>
      <c r="Z401" s="130"/>
      <c r="AB401" s="106"/>
    </row>
    <row r="402">
      <c r="C402" s="79"/>
      <c r="D402" s="79"/>
      <c r="E402" s="79"/>
      <c r="M402" s="79"/>
      <c r="R402" s="79"/>
      <c r="S402" s="79"/>
      <c r="V402" s="79"/>
      <c r="W402" s="79"/>
      <c r="Z402" s="130"/>
      <c r="AB402" s="106"/>
    </row>
    <row r="403">
      <c r="C403" s="79"/>
      <c r="D403" s="79"/>
      <c r="E403" s="79"/>
      <c r="M403" s="79"/>
      <c r="R403" s="79"/>
      <c r="S403" s="79"/>
      <c r="V403" s="79"/>
      <c r="W403" s="79"/>
      <c r="Z403" s="130"/>
      <c r="AB403" s="106"/>
    </row>
    <row r="404">
      <c r="C404" s="79"/>
      <c r="D404" s="79"/>
      <c r="E404" s="79"/>
      <c r="M404" s="79"/>
      <c r="R404" s="79"/>
      <c r="S404" s="79"/>
      <c r="V404" s="79"/>
      <c r="W404" s="79"/>
      <c r="Z404" s="130"/>
      <c r="AB404" s="106"/>
    </row>
    <row r="405">
      <c r="C405" s="79"/>
      <c r="D405" s="79"/>
      <c r="E405" s="79"/>
      <c r="M405" s="79"/>
      <c r="R405" s="79"/>
      <c r="S405" s="79"/>
      <c r="V405" s="79"/>
      <c r="W405" s="79"/>
      <c r="Z405" s="130"/>
      <c r="AB405" s="106"/>
    </row>
    <row r="406">
      <c r="C406" s="79"/>
      <c r="D406" s="79"/>
      <c r="E406" s="79"/>
      <c r="M406" s="79"/>
      <c r="R406" s="79"/>
      <c r="S406" s="79"/>
      <c r="V406" s="79"/>
      <c r="W406" s="79"/>
      <c r="Z406" s="130"/>
      <c r="AB406" s="106"/>
    </row>
    <row r="407">
      <c r="C407" s="79"/>
      <c r="D407" s="79"/>
      <c r="E407" s="79"/>
      <c r="M407" s="79"/>
      <c r="R407" s="79"/>
      <c r="S407" s="79"/>
      <c r="V407" s="79"/>
      <c r="W407" s="79"/>
      <c r="Z407" s="130"/>
      <c r="AB407" s="106"/>
    </row>
    <row r="408">
      <c r="C408" s="79"/>
      <c r="D408" s="79"/>
      <c r="E408" s="79"/>
      <c r="M408" s="79"/>
      <c r="R408" s="79"/>
      <c r="S408" s="79"/>
      <c r="V408" s="79"/>
      <c r="W408" s="79"/>
      <c r="Z408" s="130"/>
      <c r="AB408" s="106"/>
    </row>
    <row r="409">
      <c r="C409" s="79"/>
      <c r="D409" s="79"/>
      <c r="E409" s="79"/>
      <c r="M409" s="79"/>
      <c r="R409" s="79"/>
      <c r="S409" s="79"/>
      <c r="V409" s="79"/>
      <c r="W409" s="79"/>
      <c r="Z409" s="130"/>
      <c r="AB409" s="106"/>
    </row>
    <row r="410">
      <c r="C410" s="79"/>
      <c r="D410" s="79"/>
      <c r="E410" s="79"/>
      <c r="M410" s="79"/>
      <c r="R410" s="79"/>
      <c r="S410" s="79"/>
      <c r="V410" s="79"/>
      <c r="W410" s="79"/>
      <c r="Z410" s="130"/>
      <c r="AB410" s="106"/>
    </row>
    <row r="411">
      <c r="C411" s="79"/>
      <c r="D411" s="79"/>
      <c r="E411" s="79"/>
      <c r="M411" s="79"/>
      <c r="R411" s="79"/>
      <c r="S411" s="79"/>
      <c r="V411" s="79"/>
      <c r="W411" s="79"/>
      <c r="Z411" s="130"/>
      <c r="AB411" s="106"/>
    </row>
    <row r="412">
      <c r="C412" s="79"/>
      <c r="D412" s="79"/>
      <c r="E412" s="79"/>
      <c r="M412" s="79"/>
      <c r="R412" s="79"/>
      <c r="S412" s="79"/>
      <c r="V412" s="79"/>
      <c r="W412" s="79"/>
      <c r="Z412" s="130"/>
      <c r="AB412" s="106"/>
    </row>
    <row r="413">
      <c r="C413" s="79"/>
      <c r="D413" s="79"/>
      <c r="E413" s="79"/>
      <c r="M413" s="79"/>
      <c r="R413" s="79"/>
      <c r="S413" s="79"/>
      <c r="V413" s="79"/>
      <c r="W413" s="79"/>
      <c r="Z413" s="130"/>
      <c r="AB413" s="106"/>
    </row>
    <row r="414">
      <c r="C414" s="79"/>
      <c r="D414" s="79"/>
      <c r="E414" s="79"/>
      <c r="M414" s="79"/>
      <c r="R414" s="79"/>
      <c r="S414" s="79"/>
      <c r="V414" s="79"/>
      <c r="W414" s="79"/>
      <c r="Z414" s="130"/>
      <c r="AB414" s="106"/>
    </row>
    <row r="415">
      <c r="C415" s="79"/>
      <c r="D415" s="79"/>
      <c r="E415" s="79"/>
      <c r="M415" s="79"/>
      <c r="R415" s="79"/>
      <c r="S415" s="79"/>
      <c r="V415" s="79"/>
      <c r="W415" s="79"/>
      <c r="Z415" s="130"/>
      <c r="AB415" s="106"/>
    </row>
    <row r="416">
      <c r="C416" s="79"/>
      <c r="D416" s="79"/>
      <c r="E416" s="79"/>
      <c r="M416" s="79"/>
      <c r="R416" s="79"/>
      <c r="S416" s="79"/>
      <c r="V416" s="79"/>
      <c r="W416" s="79"/>
      <c r="Z416" s="130"/>
      <c r="AB416" s="106"/>
    </row>
    <row r="417">
      <c r="C417" s="79"/>
      <c r="D417" s="79"/>
      <c r="E417" s="79"/>
      <c r="M417" s="79"/>
      <c r="R417" s="79"/>
      <c r="S417" s="79"/>
      <c r="V417" s="79"/>
      <c r="W417" s="79"/>
      <c r="Z417" s="130"/>
      <c r="AB417" s="106"/>
    </row>
    <row r="418">
      <c r="C418" s="79"/>
      <c r="D418" s="79"/>
      <c r="E418" s="79"/>
      <c r="M418" s="79"/>
      <c r="R418" s="79"/>
      <c r="S418" s="79"/>
      <c r="V418" s="79"/>
      <c r="W418" s="79"/>
      <c r="Z418" s="130"/>
      <c r="AB418" s="106"/>
    </row>
    <row r="419">
      <c r="C419" s="79"/>
      <c r="D419" s="79"/>
      <c r="E419" s="79"/>
      <c r="M419" s="79"/>
      <c r="R419" s="79"/>
      <c r="S419" s="79"/>
      <c r="V419" s="79"/>
      <c r="W419" s="79"/>
      <c r="Z419" s="130"/>
      <c r="AB419" s="106"/>
    </row>
    <row r="420">
      <c r="C420" s="79"/>
      <c r="D420" s="79"/>
      <c r="E420" s="79"/>
      <c r="M420" s="79"/>
      <c r="R420" s="79"/>
      <c r="S420" s="79"/>
      <c r="V420" s="79"/>
      <c r="W420" s="79"/>
      <c r="Z420" s="130"/>
      <c r="AB420" s="106"/>
    </row>
    <row r="421">
      <c r="C421" s="79"/>
      <c r="D421" s="79"/>
      <c r="E421" s="79"/>
      <c r="M421" s="79"/>
      <c r="R421" s="79"/>
      <c r="S421" s="79"/>
      <c r="V421" s="79"/>
      <c r="W421" s="79"/>
      <c r="Z421" s="130"/>
      <c r="AB421" s="106"/>
    </row>
    <row r="422">
      <c r="C422" s="79"/>
      <c r="D422" s="79"/>
      <c r="E422" s="79"/>
      <c r="M422" s="79"/>
      <c r="R422" s="79"/>
      <c r="S422" s="79"/>
      <c r="V422" s="79"/>
      <c r="W422" s="79"/>
      <c r="Z422" s="130"/>
      <c r="AB422" s="106"/>
    </row>
    <row r="423">
      <c r="C423" s="79"/>
      <c r="D423" s="79"/>
      <c r="E423" s="79"/>
      <c r="M423" s="79"/>
      <c r="R423" s="79"/>
      <c r="S423" s="79"/>
      <c r="V423" s="79"/>
      <c r="W423" s="79"/>
      <c r="Z423" s="130"/>
      <c r="AB423" s="106"/>
    </row>
    <row r="424">
      <c r="C424" s="79"/>
      <c r="D424" s="79"/>
      <c r="E424" s="79"/>
      <c r="M424" s="79"/>
      <c r="R424" s="79"/>
      <c r="S424" s="79"/>
      <c r="V424" s="79"/>
      <c r="W424" s="79"/>
      <c r="Z424" s="130"/>
      <c r="AB424" s="106"/>
    </row>
    <row r="425">
      <c r="C425" s="79"/>
      <c r="D425" s="79"/>
      <c r="E425" s="79"/>
      <c r="M425" s="79"/>
      <c r="R425" s="79"/>
      <c r="S425" s="79"/>
      <c r="V425" s="79"/>
      <c r="W425" s="79"/>
      <c r="Z425" s="130"/>
      <c r="AB425" s="106"/>
    </row>
    <row r="426">
      <c r="C426" s="79"/>
      <c r="D426" s="79"/>
      <c r="E426" s="79"/>
      <c r="M426" s="79"/>
      <c r="R426" s="79"/>
      <c r="S426" s="79"/>
      <c r="V426" s="79"/>
      <c r="W426" s="79"/>
      <c r="Z426" s="130"/>
      <c r="AB426" s="106"/>
    </row>
    <row r="427">
      <c r="C427" s="79"/>
      <c r="D427" s="79"/>
      <c r="E427" s="79"/>
      <c r="M427" s="79"/>
      <c r="R427" s="79"/>
      <c r="S427" s="79"/>
      <c r="V427" s="79"/>
      <c r="W427" s="79"/>
      <c r="Z427" s="130"/>
      <c r="AB427" s="106"/>
    </row>
    <row r="428">
      <c r="C428" s="79"/>
      <c r="D428" s="79"/>
      <c r="E428" s="79"/>
      <c r="M428" s="79"/>
      <c r="R428" s="79"/>
      <c r="S428" s="79"/>
      <c r="V428" s="79"/>
      <c r="W428" s="79"/>
      <c r="Z428" s="130"/>
      <c r="AB428" s="106"/>
    </row>
    <row r="429">
      <c r="C429" s="79"/>
      <c r="D429" s="79"/>
      <c r="E429" s="79"/>
      <c r="M429" s="79"/>
      <c r="R429" s="79"/>
      <c r="S429" s="79"/>
      <c r="V429" s="79"/>
      <c r="W429" s="79"/>
      <c r="Z429" s="130"/>
      <c r="AB429" s="106"/>
    </row>
    <row r="430">
      <c r="C430" s="79"/>
      <c r="D430" s="79"/>
      <c r="E430" s="79"/>
      <c r="M430" s="79"/>
      <c r="R430" s="79"/>
      <c r="S430" s="79"/>
      <c r="V430" s="79"/>
      <c r="W430" s="79"/>
      <c r="Z430" s="130"/>
      <c r="AB430" s="106"/>
    </row>
    <row r="431">
      <c r="C431" s="79"/>
      <c r="D431" s="79"/>
      <c r="E431" s="79"/>
      <c r="M431" s="79"/>
      <c r="R431" s="79"/>
      <c r="S431" s="79"/>
      <c r="V431" s="79"/>
      <c r="W431" s="79"/>
      <c r="Z431" s="130"/>
      <c r="AB431" s="106"/>
    </row>
    <row r="432">
      <c r="C432" s="79"/>
      <c r="D432" s="79"/>
      <c r="E432" s="79"/>
      <c r="M432" s="79"/>
      <c r="R432" s="79"/>
      <c r="S432" s="79"/>
      <c r="V432" s="79"/>
      <c r="W432" s="79"/>
      <c r="Z432" s="130"/>
      <c r="AB432" s="106"/>
    </row>
    <row r="433">
      <c r="C433" s="79"/>
      <c r="D433" s="79"/>
      <c r="E433" s="79"/>
      <c r="M433" s="79"/>
      <c r="R433" s="79"/>
      <c r="S433" s="79"/>
      <c r="V433" s="79"/>
      <c r="W433" s="79"/>
      <c r="Z433" s="130"/>
      <c r="AB433" s="106"/>
    </row>
    <row r="434">
      <c r="C434" s="79"/>
      <c r="D434" s="79"/>
      <c r="E434" s="79"/>
      <c r="M434" s="79"/>
      <c r="R434" s="79"/>
      <c r="S434" s="79"/>
      <c r="V434" s="79"/>
      <c r="W434" s="79"/>
      <c r="Z434" s="130"/>
      <c r="AB434" s="106"/>
    </row>
    <row r="435">
      <c r="C435" s="79"/>
      <c r="D435" s="79"/>
      <c r="E435" s="79"/>
      <c r="M435" s="79"/>
      <c r="R435" s="79"/>
      <c r="S435" s="79"/>
      <c r="V435" s="79"/>
      <c r="W435" s="79"/>
      <c r="Z435" s="130"/>
      <c r="AB435" s="106"/>
    </row>
    <row r="436">
      <c r="C436" s="79"/>
      <c r="D436" s="79"/>
      <c r="E436" s="79"/>
      <c r="M436" s="79"/>
      <c r="R436" s="79"/>
      <c r="S436" s="79"/>
      <c r="V436" s="79"/>
      <c r="W436" s="79"/>
      <c r="Z436" s="130"/>
      <c r="AB436" s="106"/>
    </row>
    <row r="437">
      <c r="C437" s="79"/>
      <c r="D437" s="79"/>
      <c r="E437" s="79"/>
      <c r="M437" s="79"/>
      <c r="R437" s="79"/>
      <c r="S437" s="79"/>
      <c r="V437" s="79"/>
      <c r="W437" s="79"/>
      <c r="Z437" s="130"/>
      <c r="AB437" s="106"/>
    </row>
    <row r="438">
      <c r="C438" s="79"/>
      <c r="D438" s="79"/>
      <c r="E438" s="79"/>
      <c r="M438" s="79"/>
      <c r="R438" s="79"/>
      <c r="S438" s="79"/>
      <c r="V438" s="79"/>
      <c r="W438" s="79"/>
      <c r="Z438" s="130"/>
      <c r="AB438" s="106"/>
    </row>
    <row r="439">
      <c r="C439" s="79"/>
      <c r="D439" s="79"/>
      <c r="E439" s="79"/>
      <c r="M439" s="79"/>
      <c r="R439" s="79"/>
      <c r="S439" s="79"/>
      <c r="V439" s="79"/>
      <c r="W439" s="79"/>
      <c r="Z439" s="130"/>
      <c r="AB439" s="106"/>
    </row>
    <row r="440">
      <c r="C440" s="79"/>
      <c r="D440" s="79"/>
      <c r="E440" s="79"/>
      <c r="M440" s="79"/>
      <c r="R440" s="79"/>
      <c r="S440" s="79"/>
      <c r="V440" s="79"/>
      <c r="W440" s="79"/>
      <c r="Z440" s="130"/>
      <c r="AB440" s="106"/>
    </row>
    <row r="441">
      <c r="C441" s="79"/>
      <c r="D441" s="79"/>
      <c r="E441" s="79"/>
      <c r="M441" s="79"/>
      <c r="R441" s="79"/>
      <c r="S441" s="79"/>
      <c r="V441" s="79"/>
      <c r="W441" s="79"/>
      <c r="Z441" s="130"/>
      <c r="AB441" s="106"/>
    </row>
    <row r="442">
      <c r="C442" s="79"/>
      <c r="D442" s="79"/>
      <c r="E442" s="79"/>
      <c r="M442" s="79"/>
      <c r="R442" s="79"/>
      <c r="S442" s="79"/>
      <c r="V442" s="79"/>
      <c r="W442" s="79"/>
      <c r="Z442" s="130"/>
      <c r="AB442" s="106"/>
    </row>
    <row r="443">
      <c r="C443" s="79"/>
      <c r="D443" s="79"/>
      <c r="E443" s="79"/>
      <c r="M443" s="79"/>
      <c r="R443" s="79"/>
      <c r="S443" s="79"/>
      <c r="V443" s="79"/>
      <c r="W443" s="79"/>
      <c r="Z443" s="130"/>
      <c r="AB443" s="106"/>
    </row>
    <row r="444">
      <c r="C444" s="79"/>
      <c r="D444" s="79"/>
      <c r="E444" s="79"/>
      <c r="M444" s="79"/>
      <c r="R444" s="79"/>
      <c r="S444" s="79"/>
      <c r="V444" s="79"/>
      <c r="W444" s="79"/>
      <c r="Z444" s="130"/>
      <c r="AB444" s="106"/>
    </row>
    <row r="445">
      <c r="C445" s="79"/>
      <c r="D445" s="79"/>
      <c r="E445" s="79"/>
      <c r="M445" s="79"/>
      <c r="R445" s="79"/>
      <c r="S445" s="79"/>
      <c r="V445" s="79"/>
      <c r="W445" s="79"/>
      <c r="Z445" s="130"/>
      <c r="AB445" s="106"/>
    </row>
    <row r="446">
      <c r="C446" s="79"/>
      <c r="D446" s="79"/>
      <c r="E446" s="79"/>
      <c r="M446" s="79"/>
      <c r="R446" s="79"/>
      <c r="S446" s="79"/>
      <c r="V446" s="79"/>
      <c r="W446" s="79"/>
      <c r="Z446" s="130"/>
      <c r="AB446" s="106"/>
    </row>
    <row r="447">
      <c r="C447" s="79"/>
      <c r="D447" s="79"/>
      <c r="E447" s="79"/>
      <c r="M447" s="79"/>
      <c r="R447" s="79"/>
      <c r="S447" s="79"/>
      <c r="V447" s="79"/>
      <c r="W447" s="79"/>
      <c r="Z447" s="130"/>
      <c r="AB447" s="106"/>
    </row>
    <row r="448">
      <c r="C448" s="79"/>
      <c r="D448" s="79"/>
      <c r="E448" s="79"/>
      <c r="M448" s="79"/>
      <c r="R448" s="79"/>
      <c r="S448" s="79"/>
      <c r="V448" s="79"/>
      <c r="W448" s="79"/>
      <c r="Z448" s="130"/>
      <c r="AB448" s="106"/>
    </row>
    <row r="449">
      <c r="C449" s="79"/>
      <c r="D449" s="79"/>
      <c r="E449" s="79"/>
      <c r="M449" s="79"/>
      <c r="R449" s="79"/>
      <c r="S449" s="79"/>
      <c r="V449" s="79"/>
      <c r="W449" s="79"/>
      <c r="Z449" s="130"/>
      <c r="AB449" s="106"/>
    </row>
    <row r="450">
      <c r="C450" s="79"/>
      <c r="D450" s="79"/>
      <c r="E450" s="79"/>
      <c r="M450" s="79"/>
      <c r="R450" s="79"/>
      <c r="S450" s="79"/>
      <c r="V450" s="79"/>
      <c r="W450" s="79"/>
      <c r="Z450" s="130"/>
      <c r="AB450" s="106"/>
    </row>
    <row r="451">
      <c r="C451" s="79"/>
      <c r="D451" s="79"/>
      <c r="E451" s="79"/>
      <c r="M451" s="79"/>
      <c r="R451" s="79"/>
      <c r="S451" s="79"/>
      <c r="V451" s="79"/>
      <c r="W451" s="79"/>
      <c r="Z451" s="130"/>
      <c r="AB451" s="106"/>
    </row>
    <row r="452">
      <c r="C452" s="79"/>
      <c r="D452" s="79"/>
      <c r="E452" s="79"/>
      <c r="M452" s="79"/>
      <c r="R452" s="79"/>
      <c r="S452" s="79"/>
      <c r="V452" s="79"/>
      <c r="W452" s="79"/>
      <c r="Z452" s="130"/>
      <c r="AB452" s="106"/>
    </row>
    <row r="453">
      <c r="C453" s="79"/>
      <c r="D453" s="79"/>
      <c r="E453" s="79"/>
      <c r="M453" s="79"/>
      <c r="R453" s="79"/>
      <c r="S453" s="79"/>
      <c r="V453" s="79"/>
      <c r="W453" s="79"/>
      <c r="Z453" s="130"/>
      <c r="AB453" s="106"/>
    </row>
    <row r="454">
      <c r="C454" s="79"/>
      <c r="D454" s="79"/>
      <c r="E454" s="79"/>
      <c r="M454" s="79"/>
      <c r="R454" s="79"/>
      <c r="S454" s="79"/>
      <c r="V454" s="79"/>
      <c r="W454" s="79"/>
      <c r="Z454" s="130"/>
      <c r="AB454" s="106"/>
    </row>
    <row r="455">
      <c r="C455" s="79"/>
      <c r="D455" s="79"/>
      <c r="E455" s="79"/>
      <c r="M455" s="79"/>
      <c r="R455" s="79"/>
      <c r="S455" s="79"/>
      <c r="V455" s="79"/>
      <c r="W455" s="79"/>
      <c r="Z455" s="130"/>
      <c r="AB455" s="106"/>
    </row>
    <row r="456">
      <c r="C456" s="79"/>
      <c r="D456" s="79"/>
      <c r="E456" s="79"/>
      <c r="M456" s="79"/>
      <c r="R456" s="79"/>
      <c r="S456" s="79"/>
      <c r="V456" s="79"/>
      <c r="W456" s="79"/>
      <c r="Z456" s="130"/>
      <c r="AB456" s="106"/>
    </row>
    <row r="457">
      <c r="C457" s="79"/>
      <c r="D457" s="79"/>
      <c r="E457" s="79"/>
      <c r="M457" s="79"/>
      <c r="R457" s="79"/>
      <c r="S457" s="79"/>
      <c r="V457" s="79"/>
      <c r="W457" s="79"/>
      <c r="Z457" s="130"/>
      <c r="AB457" s="106"/>
    </row>
    <row r="458">
      <c r="C458" s="79"/>
      <c r="D458" s="79"/>
      <c r="E458" s="79"/>
      <c r="M458" s="79"/>
      <c r="R458" s="79"/>
      <c r="S458" s="79"/>
      <c r="V458" s="79"/>
      <c r="W458" s="79"/>
      <c r="Z458" s="130"/>
      <c r="AB458" s="106"/>
    </row>
    <row r="459">
      <c r="C459" s="79"/>
      <c r="D459" s="79"/>
      <c r="E459" s="79"/>
      <c r="M459" s="79"/>
      <c r="R459" s="79"/>
      <c r="S459" s="79"/>
      <c r="V459" s="79"/>
      <c r="W459" s="79"/>
      <c r="Z459" s="130"/>
      <c r="AB459" s="106"/>
    </row>
    <row r="460">
      <c r="C460" s="79"/>
      <c r="D460" s="79"/>
      <c r="E460" s="79"/>
      <c r="M460" s="79"/>
      <c r="R460" s="79"/>
      <c r="S460" s="79"/>
      <c r="V460" s="79"/>
      <c r="W460" s="79"/>
      <c r="Z460" s="130"/>
      <c r="AB460" s="106"/>
    </row>
    <row r="461">
      <c r="C461" s="79"/>
      <c r="D461" s="79"/>
      <c r="E461" s="79"/>
      <c r="M461" s="79"/>
      <c r="R461" s="79"/>
      <c r="S461" s="79"/>
      <c r="V461" s="79"/>
      <c r="W461" s="79"/>
      <c r="Z461" s="130"/>
      <c r="AB461" s="106"/>
    </row>
    <row r="462">
      <c r="C462" s="79"/>
      <c r="D462" s="79"/>
      <c r="E462" s="79"/>
      <c r="M462" s="79"/>
      <c r="R462" s="79"/>
      <c r="S462" s="79"/>
      <c r="V462" s="79"/>
      <c r="W462" s="79"/>
      <c r="Z462" s="130"/>
      <c r="AB462" s="106"/>
    </row>
    <row r="463">
      <c r="C463" s="79"/>
      <c r="D463" s="79"/>
      <c r="E463" s="79"/>
      <c r="M463" s="79"/>
      <c r="R463" s="79"/>
      <c r="S463" s="79"/>
      <c r="V463" s="79"/>
      <c r="W463" s="79"/>
      <c r="Z463" s="130"/>
      <c r="AB463" s="106"/>
    </row>
    <row r="464">
      <c r="C464" s="79"/>
      <c r="D464" s="79"/>
      <c r="E464" s="79"/>
      <c r="M464" s="79"/>
      <c r="R464" s="79"/>
      <c r="S464" s="79"/>
      <c r="V464" s="79"/>
      <c r="W464" s="79"/>
      <c r="Z464" s="130"/>
      <c r="AB464" s="106"/>
    </row>
    <row r="465">
      <c r="C465" s="79"/>
      <c r="D465" s="79"/>
      <c r="E465" s="79"/>
      <c r="M465" s="79"/>
      <c r="R465" s="79"/>
      <c r="S465" s="79"/>
      <c r="V465" s="79"/>
      <c r="W465" s="79"/>
      <c r="Z465" s="130"/>
      <c r="AB465" s="106"/>
    </row>
    <row r="466">
      <c r="C466" s="79"/>
      <c r="D466" s="79"/>
      <c r="E466" s="79"/>
      <c r="M466" s="79"/>
      <c r="R466" s="79"/>
      <c r="S466" s="79"/>
      <c r="V466" s="79"/>
      <c r="W466" s="79"/>
      <c r="Z466" s="130"/>
      <c r="AB466" s="106"/>
    </row>
    <row r="467">
      <c r="C467" s="79"/>
      <c r="D467" s="79"/>
      <c r="E467" s="79"/>
      <c r="M467" s="79"/>
      <c r="R467" s="79"/>
      <c r="S467" s="79"/>
      <c r="V467" s="79"/>
      <c r="W467" s="79"/>
      <c r="Z467" s="130"/>
      <c r="AB467" s="106"/>
    </row>
    <row r="468">
      <c r="C468" s="79"/>
      <c r="D468" s="79"/>
      <c r="E468" s="79"/>
      <c r="M468" s="79"/>
      <c r="R468" s="79"/>
      <c r="S468" s="79"/>
      <c r="V468" s="79"/>
      <c r="W468" s="79"/>
      <c r="Z468" s="130"/>
      <c r="AB468" s="106"/>
    </row>
    <row r="469">
      <c r="C469" s="79"/>
      <c r="D469" s="79"/>
      <c r="E469" s="79"/>
      <c r="M469" s="79"/>
      <c r="R469" s="79"/>
      <c r="S469" s="79"/>
      <c r="V469" s="79"/>
      <c r="W469" s="79"/>
      <c r="Z469" s="130"/>
      <c r="AB469" s="106"/>
    </row>
    <row r="470">
      <c r="C470" s="79"/>
      <c r="D470" s="79"/>
      <c r="E470" s="79"/>
      <c r="M470" s="79"/>
      <c r="R470" s="79"/>
      <c r="S470" s="79"/>
      <c r="V470" s="79"/>
      <c r="W470" s="79"/>
      <c r="Z470" s="130"/>
      <c r="AB470" s="106"/>
    </row>
    <row r="471">
      <c r="C471" s="79"/>
      <c r="D471" s="79"/>
      <c r="E471" s="79"/>
      <c r="M471" s="79"/>
      <c r="R471" s="79"/>
      <c r="S471" s="79"/>
      <c r="V471" s="79"/>
      <c r="W471" s="79"/>
      <c r="Z471" s="130"/>
      <c r="AB471" s="106"/>
    </row>
    <row r="472">
      <c r="C472" s="79"/>
      <c r="D472" s="79"/>
      <c r="E472" s="79"/>
      <c r="M472" s="79"/>
      <c r="R472" s="79"/>
      <c r="S472" s="79"/>
      <c r="V472" s="79"/>
      <c r="W472" s="79"/>
      <c r="Z472" s="130"/>
      <c r="AB472" s="106"/>
    </row>
    <row r="473">
      <c r="C473" s="79"/>
      <c r="D473" s="79"/>
      <c r="E473" s="79"/>
      <c r="M473" s="79"/>
      <c r="R473" s="79"/>
      <c r="S473" s="79"/>
      <c r="V473" s="79"/>
      <c r="W473" s="79"/>
      <c r="Z473" s="130"/>
      <c r="AB473" s="106"/>
    </row>
    <row r="474">
      <c r="C474" s="79"/>
      <c r="D474" s="79"/>
      <c r="E474" s="79"/>
      <c r="M474" s="79"/>
      <c r="R474" s="79"/>
      <c r="S474" s="79"/>
      <c r="V474" s="79"/>
      <c r="W474" s="79"/>
      <c r="Z474" s="130"/>
      <c r="AB474" s="106"/>
    </row>
    <row r="475">
      <c r="C475" s="79"/>
      <c r="D475" s="79"/>
      <c r="E475" s="79"/>
      <c r="M475" s="79"/>
      <c r="R475" s="79"/>
      <c r="S475" s="79"/>
      <c r="V475" s="79"/>
      <c r="W475" s="79"/>
      <c r="Z475" s="130"/>
      <c r="AB475" s="106"/>
    </row>
    <row r="476">
      <c r="C476" s="79"/>
      <c r="D476" s="79"/>
      <c r="E476" s="79"/>
      <c r="M476" s="79"/>
      <c r="R476" s="79"/>
      <c r="S476" s="79"/>
      <c r="V476" s="79"/>
      <c r="W476" s="79"/>
      <c r="Z476" s="130"/>
      <c r="AB476" s="106"/>
    </row>
    <row r="477">
      <c r="C477" s="79"/>
      <c r="D477" s="79"/>
      <c r="E477" s="79"/>
      <c r="M477" s="79"/>
      <c r="R477" s="79"/>
      <c r="S477" s="79"/>
      <c r="V477" s="79"/>
      <c r="W477" s="79"/>
      <c r="Z477" s="130"/>
      <c r="AB477" s="106"/>
    </row>
    <row r="478">
      <c r="C478" s="79"/>
      <c r="D478" s="79"/>
      <c r="E478" s="79"/>
      <c r="M478" s="79"/>
      <c r="R478" s="79"/>
      <c r="S478" s="79"/>
      <c r="V478" s="79"/>
      <c r="W478" s="79"/>
      <c r="Z478" s="130"/>
      <c r="AB478" s="106"/>
    </row>
    <row r="479">
      <c r="C479" s="79"/>
      <c r="D479" s="79"/>
      <c r="E479" s="79"/>
      <c r="M479" s="79"/>
      <c r="R479" s="79"/>
      <c r="S479" s="79"/>
      <c r="V479" s="79"/>
      <c r="W479" s="79"/>
      <c r="Z479" s="130"/>
      <c r="AB479" s="106"/>
    </row>
    <row r="480">
      <c r="C480" s="79"/>
      <c r="D480" s="79"/>
      <c r="E480" s="79"/>
      <c r="M480" s="79"/>
      <c r="R480" s="79"/>
      <c r="S480" s="79"/>
      <c r="V480" s="79"/>
      <c r="W480" s="79"/>
      <c r="Z480" s="130"/>
      <c r="AB480" s="106"/>
    </row>
    <row r="481">
      <c r="C481" s="79"/>
      <c r="D481" s="79"/>
      <c r="E481" s="79"/>
      <c r="M481" s="79"/>
      <c r="R481" s="79"/>
      <c r="S481" s="79"/>
      <c r="V481" s="79"/>
      <c r="W481" s="79"/>
      <c r="Z481" s="130"/>
      <c r="AB481" s="106"/>
    </row>
    <row r="482">
      <c r="C482" s="79"/>
      <c r="D482" s="79"/>
      <c r="E482" s="79"/>
      <c r="M482" s="79"/>
      <c r="R482" s="79"/>
      <c r="S482" s="79"/>
      <c r="V482" s="79"/>
      <c r="W482" s="79"/>
      <c r="Z482" s="130"/>
      <c r="AB482" s="106"/>
    </row>
    <row r="483">
      <c r="C483" s="79"/>
      <c r="D483" s="79"/>
      <c r="E483" s="79"/>
      <c r="M483" s="79"/>
      <c r="R483" s="79"/>
      <c r="S483" s="79"/>
      <c r="V483" s="79"/>
      <c r="W483" s="79"/>
      <c r="Z483" s="130"/>
      <c r="AB483" s="106"/>
    </row>
    <row r="484">
      <c r="C484" s="79"/>
      <c r="D484" s="79"/>
      <c r="E484" s="79"/>
      <c r="M484" s="79"/>
      <c r="R484" s="79"/>
      <c r="S484" s="79"/>
      <c r="V484" s="79"/>
      <c r="W484" s="79"/>
      <c r="Z484" s="130"/>
      <c r="AB484" s="106"/>
    </row>
    <row r="485">
      <c r="C485" s="79"/>
      <c r="D485" s="79"/>
      <c r="E485" s="79"/>
      <c r="M485" s="79"/>
      <c r="R485" s="79"/>
      <c r="S485" s="79"/>
      <c r="V485" s="79"/>
      <c r="W485" s="79"/>
      <c r="Z485" s="130"/>
      <c r="AB485" s="106"/>
    </row>
    <row r="486">
      <c r="C486" s="79"/>
      <c r="D486" s="79"/>
      <c r="E486" s="79"/>
      <c r="M486" s="79"/>
      <c r="R486" s="79"/>
      <c r="S486" s="79"/>
      <c r="V486" s="79"/>
      <c r="W486" s="79"/>
      <c r="Z486" s="130"/>
      <c r="AB486" s="106"/>
    </row>
    <row r="487">
      <c r="C487" s="79"/>
      <c r="D487" s="79"/>
      <c r="E487" s="79"/>
      <c r="M487" s="79"/>
      <c r="R487" s="79"/>
      <c r="S487" s="79"/>
      <c r="V487" s="79"/>
      <c r="W487" s="79"/>
      <c r="Z487" s="130"/>
      <c r="AB487" s="106"/>
    </row>
    <row r="488">
      <c r="C488" s="79"/>
      <c r="D488" s="79"/>
      <c r="E488" s="79"/>
      <c r="M488" s="79"/>
      <c r="R488" s="79"/>
      <c r="S488" s="79"/>
      <c r="V488" s="79"/>
      <c r="W488" s="79"/>
      <c r="Z488" s="130"/>
      <c r="AB488" s="106"/>
    </row>
    <row r="489">
      <c r="C489" s="79"/>
      <c r="D489" s="79"/>
      <c r="E489" s="79"/>
      <c r="M489" s="79"/>
      <c r="R489" s="79"/>
      <c r="S489" s="79"/>
      <c r="V489" s="79"/>
      <c r="W489" s="79"/>
      <c r="Z489" s="130"/>
      <c r="AB489" s="106"/>
    </row>
    <row r="490">
      <c r="C490" s="79"/>
      <c r="D490" s="79"/>
      <c r="E490" s="79"/>
      <c r="M490" s="79"/>
      <c r="R490" s="79"/>
      <c r="S490" s="79"/>
      <c r="V490" s="79"/>
      <c r="W490" s="79"/>
      <c r="Z490" s="130"/>
      <c r="AB490" s="106"/>
    </row>
    <row r="491">
      <c r="C491" s="79"/>
      <c r="D491" s="79"/>
      <c r="E491" s="79"/>
      <c r="M491" s="79"/>
      <c r="R491" s="79"/>
      <c r="S491" s="79"/>
      <c r="V491" s="79"/>
      <c r="W491" s="79"/>
      <c r="Z491" s="130"/>
      <c r="AB491" s="106"/>
    </row>
    <row r="492">
      <c r="C492" s="79"/>
      <c r="D492" s="79"/>
      <c r="E492" s="79"/>
      <c r="M492" s="79"/>
      <c r="R492" s="79"/>
      <c r="S492" s="79"/>
      <c r="V492" s="79"/>
      <c r="W492" s="79"/>
      <c r="Z492" s="130"/>
      <c r="AB492" s="106"/>
    </row>
    <row r="493">
      <c r="C493" s="79"/>
      <c r="D493" s="79"/>
      <c r="E493" s="79"/>
      <c r="M493" s="79"/>
      <c r="R493" s="79"/>
      <c r="S493" s="79"/>
      <c r="V493" s="79"/>
      <c r="W493" s="79"/>
      <c r="Z493" s="130"/>
      <c r="AB493" s="106"/>
    </row>
    <row r="494">
      <c r="C494" s="79"/>
      <c r="D494" s="79"/>
      <c r="E494" s="79"/>
      <c r="M494" s="79"/>
      <c r="R494" s="79"/>
      <c r="S494" s="79"/>
      <c r="V494" s="79"/>
      <c r="W494" s="79"/>
      <c r="Z494" s="130"/>
      <c r="AB494" s="106"/>
    </row>
    <row r="495">
      <c r="C495" s="79"/>
      <c r="D495" s="79"/>
      <c r="E495" s="79"/>
      <c r="M495" s="79"/>
      <c r="R495" s="79"/>
      <c r="S495" s="79"/>
      <c r="V495" s="79"/>
      <c r="W495" s="79"/>
      <c r="Z495" s="130"/>
      <c r="AB495" s="106"/>
    </row>
    <row r="496">
      <c r="C496" s="79"/>
      <c r="D496" s="79"/>
      <c r="E496" s="79"/>
      <c r="M496" s="79"/>
      <c r="R496" s="79"/>
      <c r="S496" s="79"/>
      <c r="V496" s="79"/>
      <c r="W496" s="79"/>
      <c r="Z496" s="130"/>
      <c r="AB496" s="106"/>
    </row>
    <row r="497">
      <c r="C497" s="79"/>
      <c r="D497" s="79"/>
      <c r="E497" s="79"/>
      <c r="M497" s="79"/>
      <c r="R497" s="79"/>
      <c r="S497" s="79"/>
      <c r="V497" s="79"/>
      <c r="W497" s="79"/>
      <c r="Z497" s="130"/>
      <c r="AB497" s="106"/>
    </row>
    <row r="498">
      <c r="C498" s="79"/>
      <c r="D498" s="79"/>
      <c r="E498" s="79"/>
      <c r="M498" s="79"/>
      <c r="R498" s="79"/>
      <c r="S498" s="79"/>
      <c r="V498" s="79"/>
      <c r="W498" s="79"/>
      <c r="Z498" s="130"/>
      <c r="AB498" s="106"/>
    </row>
    <row r="499">
      <c r="C499" s="79"/>
      <c r="D499" s="79"/>
      <c r="E499" s="79"/>
      <c r="M499" s="79"/>
      <c r="R499" s="79"/>
      <c r="S499" s="79"/>
      <c r="V499" s="79"/>
      <c r="W499" s="79"/>
      <c r="Z499" s="130"/>
      <c r="AB499" s="106"/>
    </row>
    <row r="500">
      <c r="C500" s="79"/>
      <c r="D500" s="79"/>
      <c r="E500" s="79"/>
      <c r="M500" s="79"/>
      <c r="R500" s="79"/>
      <c r="S500" s="79"/>
      <c r="V500" s="79"/>
      <c r="W500" s="79"/>
      <c r="Z500" s="130"/>
      <c r="AB500" s="106"/>
    </row>
    <row r="501">
      <c r="C501" s="79"/>
      <c r="D501" s="79"/>
      <c r="E501" s="79"/>
      <c r="M501" s="79"/>
      <c r="R501" s="79"/>
      <c r="S501" s="79"/>
      <c r="V501" s="79"/>
      <c r="W501" s="79"/>
      <c r="Z501" s="130"/>
      <c r="AB501" s="106"/>
    </row>
    <row r="502">
      <c r="C502" s="79"/>
      <c r="D502" s="79"/>
      <c r="E502" s="79"/>
      <c r="M502" s="79"/>
      <c r="R502" s="79"/>
      <c r="S502" s="79"/>
      <c r="V502" s="79"/>
      <c r="W502" s="79"/>
      <c r="Z502" s="130"/>
      <c r="AB502" s="106"/>
    </row>
    <row r="503">
      <c r="C503" s="79"/>
      <c r="D503" s="79"/>
      <c r="E503" s="79"/>
      <c r="M503" s="79"/>
      <c r="R503" s="79"/>
      <c r="S503" s="79"/>
      <c r="V503" s="79"/>
      <c r="W503" s="79"/>
      <c r="Z503" s="130"/>
      <c r="AB503" s="106"/>
    </row>
    <row r="504">
      <c r="C504" s="79"/>
      <c r="D504" s="79"/>
      <c r="E504" s="79"/>
      <c r="M504" s="79"/>
      <c r="R504" s="79"/>
      <c r="S504" s="79"/>
      <c r="V504" s="79"/>
      <c r="W504" s="79"/>
      <c r="Z504" s="130"/>
      <c r="AB504" s="106"/>
    </row>
    <row r="505">
      <c r="C505" s="79"/>
      <c r="D505" s="79"/>
      <c r="E505" s="79"/>
      <c r="M505" s="79"/>
      <c r="R505" s="79"/>
      <c r="S505" s="79"/>
      <c r="V505" s="79"/>
      <c r="W505" s="79"/>
      <c r="Z505" s="130"/>
      <c r="AB505" s="106"/>
    </row>
    <row r="506">
      <c r="C506" s="79"/>
      <c r="D506" s="79"/>
      <c r="E506" s="79"/>
      <c r="M506" s="79"/>
      <c r="R506" s="79"/>
      <c r="S506" s="79"/>
      <c r="V506" s="79"/>
      <c r="W506" s="79"/>
      <c r="Z506" s="130"/>
      <c r="AB506" s="106"/>
    </row>
    <row r="507">
      <c r="C507" s="79"/>
      <c r="D507" s="79"/>
      <c r="E507" s="79"/>
      <c r="M507" s="79"/>
      <c r="R507" s="79"/>
      <c r="S507" s="79"/>
      <c r="V507" s="79"/>
      <c r="W507" s="79"/>
      <c r="Z507" s="130"/>
      <c r="AB507" s="106"/>
    </row>
    <row r="508">
      <c r="C508" s="79"/>
      <c r="D508" s="79"/>
      <c r="E508" s="79"/>
      <c r="M508" s="79"/>
      <c r="R508" s="79"/>
      <c r="S508" s="79"/>
      <c r="V508" s="79"/>
      <c r="W508" s="79"/>
      <c r="Z508" s="130"/>
      <c r="AB508" s="106"/>
    </row>
    <row r="509">
      <c r="C509" s="79"/>
      <c r="D509" s="79"/>
      <c r="E509" s="79"/>
      <c r="M509" s="79"/>
      <c r="R509" s="79"/>
      <c r="S509" s="79"/>
      <c r="V509" s="79"/>
      <c r="W509" s="79"/>
      <c r="Z509" s="130"/>
      <c r="AB509" s="106"/>
    </row>
    <row r="510">
      <c r="C510" s="79"/>
      <c r="D510" s="79"/>
      <c r="E510" s="79"/>
      <c r="M510" s="79"/>
      <c r="R510" s="79"/>
      <c r="S510" s="79"/>
      <c r="V510" s="79"/>
      <c r="W510" s="79"/>
      <c r="Z510" s="130"/>
      <c r="AB510" s="106"/>
    </row>
    <row r="511">
      <c r="C511" s="79"/>
      <c r="D511" s="79"/>
      <c r="E511" s="79"/>
      <c r="M511" s="79"/>
      <c r="R511" s="79"/>
      <c r="S511" s="79"/>
      <c r="V511" s="79"/>
      <c r="W511" s="79"/>
      <c r="Z511" s="130"/>
      <c r="AB511" s="106"/>
    </row>
    <row r="512">
      <c r="C512" s="79"/>
      <c r="D512" s="79"/>
      <c r="E512" s="79"/>
      <c r="M512" s="79"/>
      <c r="R512" s="79"/>
      <c r="S512" s="79"/>
      <c r="V512" s="79"/>
      <c r="W512" s="79"/>
      <c r="Z512" s="130"/>
      <c r="AB512" s="106"/>
    </row>
    <row r="513">
      <c r="C513" s="79"/>
      <c r="D513" s="79"/>
      <c r="E513" s="79"/>
      <c r="M513" s="79"/>
      <c r="R513" s="79"/>
      <c r="S513" s="79"/>
      <c r="V513" s="79"/>
      <c r="W513" s="79"/>
      <c r="Z513" s="130"/>
      <c r="AB513" s="106"/>
    </row>
    <row r="514">
      <c r="C514" s="79"/>
      <c r="D514" s="79"/>
      <c r="E514" s="79"/>
      <c r="M514" s="79"/>
      <c r="R514" s="79"/>
      <c r="S514" s="79"/>
      <c r="V514" s="79"/>
      <c r="W514" s="79"/>
      <c r="Z514" s="130"/>
      <c r="AB514" s="106"/>
    </row>
    <row r="515">
      <c r="C515" s="79"/>
      <c r="D515" s="79"/>
      <c r="E515" s="79"/>
      <c r="M515" s="79"/>
      <c r="R515" s="79"/>
      <c r="S515" s="79"/>
      <c r="V515" s="79"/>
      <c r="W515" s="79"/>
      <c r="Z515" s="130"/>
      <c r="AB515" s="106"/>
    </row>
    <row r="516">
      <c r="C516" s="79"/>
      <c r="D516" s="79"/>
      <c r="E516" s="79"/>
      <c r="M516" s="79"/>
      <c r="R516" s="79"/>
      <c r="S516" s="79"/>
      <c r="V516" s="79"/>
      <c r="W516" s="79"/>
      <c r="Z516" s="130"/>
      <c r="AB516" s="106"/>
    </row>
    <row r="517">
      <c r="C517" s="79"/>
      <c r="D517" s="79"/>
      <c r="E517" s="79"/>
      <c r="M517" s="79"/>
      <c r="R517" s="79"/>
      <c r="S517" s="79"/>
      <c r="V517" s="79"/>
      <c r="W517" s="79"/>
      <c r="Z517" s="130"/>
      <c r="AB517" s="106"/>
    </row>
    <row r="518">
      <c r="C518" s="79"/>
      <c r="D518" s="79"/>
      <c r="E518" s="79"/>
      <c r="M518" s="79"/>
      <c r="R518" s="79"/>
      <c r="S518" s="79"/>
      <c r="V518" s="79"/>
      <c r="W518" s="79"/>
      <c r="Z518" s="130"/>
      <c r="AB518" s="106"/>
    </row>
    <row r="519">
      <c r="C519" s="79"/>
      <c r="D519" s="79"/>
      <c r="E519" s="79"/>
      <c r="M519" s="79"/>
      <c r="R519" s="79"/>
      <c r="S519" s="79"/>
      <c r="V519" s="79"/>
      <c r="W519" s="79"/>
      <c r="Z519" s="130"/>
      <c r="AB519" s="106"/>
    </row>
    <row r="520">
      <c r="C520" s="79"/>
      <c r="D520" s="79"/>
      <c r="E520" s="79"/>
      <c r="M520" s="79"/>
      <c r="R520" s="79"/>
      <c r="S520" s="79"/>
      <c r="V520" s="79"/>
      <c r="W520" s="79"/>
      <c r="Z520" s="130"/>
      <c r="AB520" s="106"/>
    </row>
    <row r="521">
      <c r="C521" s="79"/>
      <c r="D521" s="79"/>
      <c r="E521" s="79"/>
      <c r="M521" s="79"/>
      <c r="R521" s="79"/>
      <c r="S521" s="79"/>
      <c r="V521" s="79"/>
      <c r="W521" s="79"/>
      <c r="Z521" s="130"/>
      <c r="AB521" s="106"/>
    </row>
    <row r="522">
      <c r="C522" s="79"/>
      <c r="D522" s="79"/>
      <c r="E522" s="79"/>
      <c r="M522" s="79"/>
      <c r="R522" s="79"/>
      <c r="S522" s="79"/>
      <c r="V522" s="79"/>
      <c r="W522" s="79"/>
      <c r="Z522" s="130"/>
      <c r="AB522" s="106"/>
    </row>
    <row r="523">
      <c r="C523" s="79"/>
      <c r="D523" s="79"/>
      <c r="E523" s="79"/>
      <c r="M523" s="79"/>
      <c r="R523" s="79"/>
      <c r="S523" s="79"/>
      <c r="V523" s="79"/>
      <c r="W523" s="79"/>
      <c r="Z523" s="130"/>
      <c r="AB523" s="106"/>
    </row>
    <row r="524">
      <c r="C524" s="79"/>
      <c r="D524" s="79"/>
      <c r="E524" s="79"/>
      <c r="M524" s="79"/>
      <c r="R524" s="79"/>
      <c r="S524" s="79"/>
      <c r="V524" s="79"/>
      <c r="W524" s="79"/>
      <c r="Z524" s="130"/>
      <c r="AB524" s="106"/>
    </row>
    <row r="525">
      <c r="C525" s="79"/>
      <c r="D525" s="79"/>
      <c r="E525" s="79"/>
      <c r="M525" s="79"/>
      <c r="R525" s="79"/>
      <c r="S525" s="79"/>
      <c r="V525" s="79"/>
      <c r="W525" s="79"/>
      <c r="Z525" s="130"/>
      <c r="AB525" s="106"/>
    </row>
    <row r="526">
      <c r="C526" s="79"/>
      <c r="D526" s="79"/>
      <c r="E526" s="79"/>
      <c r="M526" s="79"/>
      <c r="R526" s="79"/>
      <c r="S526" s="79"/>
      <c r="V526" s="79"/>
      <c r="W526" s="79"/>
      <c r="Z526" s="130"/>
      <c r="AB526" s="106"/>
    </row>
    <row r="527">
      <c r="C527" s="79"/>
      <c r="D527" s="79"/>
      <c r="E527" s="79"/>
      <c r="M527" s="79"/>
      <c r="R527" s="79"/>
      <c r="S527" s="79"/>
      <c r="V527" s="79"/>
      <c r="W527" s="79"/>
      <c r="Z527" s="130"/>
      <c r="AB527" s="106"/>
    </row>
    <row r="528">
      <c r="C528" s="79"/>
      <c r="D528" s="79"/>
      <c r="E528" s="79"/>
      <c r="M528" s="79"/>
      <c r="R528" s="79"/>
      <c r="S528" s="79"/>
      <c r="V528" s="79"/>
      <c r="W528" s="79"/>
      <c r="Z528" s="130"/>
      <c r="AB528" s="106"/>
    </row>
    <row r="529">
      <c r="C529" s="79"/>
      <c r="D529" s="79"/>
      <c r="E529" s="79"/>
      <c r="M529" s="79"/>
      <c r="R529" s="79"/>
      <c r="S529" s="79"/>
      <c r="V529" s="79"/>
      <c r="W529" s="79"/>
      <c r="Z529" s="130"/>
      <c r="AB529" s="106"/>
    </row>
    <row r="530">
      <c r="C530" s="79"/>
      <c r="D530" s="79"/>
      <c r="E530" s="79"/>
      <c r="M530" s="79"/>
      <c r="R530" s="79"/>
      <c r="S530" s="79"/>
      <c r="V530" s="79"/>
      <c r="W530" s="79"/>
      <c r="Z530" s="130"/>
      <c r="AB530" s="106"/>
    </row>
    <row r="531">
      <c r="C531" s="79"/>
      <c r="D531" s="79"/>
      <c r="E531" s="79"/>
      <c r="M531" s="79"/>
      <c r="R531" s="79"/>
      <c r="S531" s="79"/>
      <c r="V531" s="79"/>
      <c r="W531" s="79"/>
      <c r="Z531" s="130"/>
      <c r="AB531" s="106"/>
    </row>
    <row r="532">
      <c r="C532" s="79"/>
      <c r="D532" s="79"/>
      <c r="E532" s="79"/>
      <c r="M532" s="79"/>
      <c r="R532" s="79"/>
      <c r="S532" s="79"/>
      <c r="V532" s="79"/>
      <c r="W532" s="79"/>
      <c r="Z532" s="130"/>
      <c r="AB532" s="106"/>
    </row>
    <row r="533">
      <c r="C533" s="79"/>
      <c r="D533" s="79"/>
      <c r="E533" s="79"/>
      <c r="M533" s="79"/>
      <c r="R533" s="79"/>
      <c r="S533" s="79"/>
      <c r="V533" s="79"/>
      <c r="W533" s="79"/>
      <c r="Z533" s="130"/>
      <c r="AB533" s="106"/>
    </row>
    <row r="534">
      <c r="C534" s="79"/>
      <c r="D534" s="79"/>
      <c r="E534" s="79"/>
      <c r="M534" s="79"/>
      <c r="R534" s="79"/>
      <c r="S534" s="79"/>
      <c r="V534" s="79"/>
      <c r="W534" s="79"/>
      <c r="Z534" s="130"/>
      <c r="AB534" s="106"/>
    </row>
    <row r="535">
      <c r="C535" s="79"/>
      <c r="D535" s="79"/>
      <c r="E535" s="79"/>
      <c r="M535" s="79"/>
      <c r="R535" s="79"/>
      <c r="S535" s="79"/>
      <c r="V535" s="79"/>
      <c r="W535" s="79"/>
      <c r="Z535" s="130"/>
      <c r="AB535" s="106"/>
    </row>
    <row r="536">
      <c r="C536" s="79"/>
      <c r="D536" s="79"/>
      <c r="E536" s="79"/>
      <c r="M536" s="79"/>
      <c r="R536" s="79"/>
      <c r="S536" s="79"/>
      <c r="V536" s="79"/>
      <c r="W536" s="79"/>
      <c r="Z536" s="130"/>
      <c r="AB536" s="106"/>
    </row>
    <row r="537">
      <c r="C537" s="79"/>
      <c r="D537" s="79"/>
      <c r="E537" s="79"/>
      <c r="M537" s="79"/>
      <c r="R537" s="79"/>
      <c r="S537" s="79"/>
      <c r="V537" s="79"/>
      <c r="W537" s="79"/>
      <c r="Z537" s="130"/>
      <c r="AB537" s="106"/>
    </row>
    <row r="538">
      <c r="C538" s="79"/>
      <c r="D538" s="79"/>
      <c r="E538" s="79"/>
      <c r="M538" s="79"/>
      <c r="R538" s="79"/>
      <c r="S538" s="79"/>
      <c r="V538" s="79"/>
      <c r="W538" s="79"/>
      <c r="Z538" s="130"/>
      <c r="AB538" s="106"/>
    </row>
    <row r="539">
      <c r="C539" s="79"/>
      <c r="D539" s="79"/>
      <c r="E539" s="79"/>
      <c r="M539" s="79"/>
      <c r="R539" s="79"/>
      <c r="S539" s="79"/>
      <c r="V539" s="79"/>
      <c r="W539" s="79"/>
      <c r="Z539" s="130"/>
      <c r="AB539" s="106"/>
    </row>
    <row r="540">
      <c r="C540" s="79"/>
      <c r="D540" s="79"/>
      <c r="E540" s="79"/>
      <c r="M540" s="79"/>
      <c r="R540" s="79"/>
      <c r="S540" s="79"/>
      <c r="V540" s="79"/>
      <c r="W540" s="79"/>
      <c r="Z540" s="130"/>
      <c r="AB540" s="106"/>
    </row>
    <row r="541">
      <c r="C541" s="79"/>
      <c r="D541" s="79"/>
      <c r="E541" s="79"/>
      <c r="M541" s="79"/>
      <c r="R541" s="79"/>
      <c r="S541" s="79"/>
      <c r="V541" s="79"/>
      <c r="W541" s="79"/>
      <c r="Z541" s="130"/>
      <c r="AB541" s="106"/>
    </row>
    <row r="542">
      <c r="C542" s="79"/>
      <c r="D542" s="79"/>
      <c r="E542" s="79"/>
      <c r="M542" s="79"/>
      <c r="R542" s="79"/>
      <c r="S542" s="79"/>
      <c r="V542" s="79"/>
      <c r="W542" s="79"/>
      <c r="Z542" s="130"/>
      <c r="AB542" s="106"/>
    </row>
    <row r="543">
      <c r="C543" s="79"/>
      <c r="D543" s="79"/>
      <c r="E543" s="79"/>
      <c r="M543" s="79"/>
      <c r="R543" s="79"/>
      <c r="S543" s="79"/>
      <c r="V543" s="79"/>
      <c r="W543" s="79"/>
      <c r="Z543" s="130"/>
      <c r="AB543" s="106"/>
    </row>
    <row r="544">
      <c r="C544" s="79"/>
      <c r="D544" s="79"/>
      <c r="E544" s="79"/>
      <c r="M544" s="79"/>
      <c r="R544" s="79"/>
      <c r="S544" s="79"/>
      <c r="V544" s="79"/>
      <c r="W544" s="79"/>
      <c r="Z544" s="130"/>
      <c r="AB544" s="106"/>
    </row>
    <row r="545">
      <c r="C545" s="79"/>
      <c r="D545" s="79"/>
      <c r="E545" s="79"/>
      <c r="M545" s="79"/>
      <c r="R545" s="79"/>
      <c r="S545" s="79"/>
      <c r="V545" s="79"/>
      <c r="W545" s="79"/>
      <c r="Z545" s="130"/>
      <c r="AB545" s="106"/>
    </row>
    <row r="546">
      <c r="C546" s="79"/>
      <c r="D546" s="79"/>
      <c r="E546" s="79"/>
      <c r="M546" s="79"/>
      <c r="R546" s="79"/>
      <c r="S546" s="79"/>
      <c r="V546" s="79"/>
      <c r="W546" s="79"/>
      <c r="Z546" s="130"/>
      <c r="AB546" s="106"/>
    </row>
    <row r="547">
      <c r="C547" s="79"/>
      <c r="D547" s="79"/>
      <c r="E547" s="79"/>
      <c r="M547" s="79"/>
      <c r="R547" s="79"/>
      <c r="S547" s="79"/>
      <c r="V547" s="79"/>
      <c r="W547" s="79"/>
      <c r="Z547" s="130"/>
      <c r="AB547" s="106"/>
    </row>
    <row r="548">
      <c r="C548" s="79"/>
      <c r="D548" s="79"/>
      <c r="E548" s="79"/>
      <c r="M548" s="79"/>
      <c r="R548" s="79"/>
      <c r="S548" s="79"/>
      <c r="V548" s="79"/>
      <c r="W548" s="79"/>
      <c r="Z548" s="130"/>
      <c r="AB548" s="106"/>
    </row>
    <row r="549">
      <c r="C549" s="79"/>
      <c r="D549" s="79"/>
      <c r="E549" s="79"/>
      <c r="M549" s="79"/>
      <c r="R549" s="79"/>
      <c r="S549" s="79"/>
      <c r="V549" s="79"/>
      <c r="W549" s="79"/>
      <c r="Z549" s="130"/>
      <c r="AB549" s="106"/>
    </row>
    <row r="550">
      <c r="C550" s="79"/>
      <c r="D550" s="79"/>
      <c r="E550" s="79"/>
      <c r="M550" s="79"/>
      <c r="R550" s="79"/>
      <c r="S550" s="79"/>
      <c r="V550" s="79"/>
      <c r="W550" s="79"/>
      <c r="Z550" s="130"/>
      <c r="AB550" s="106"/>
    </row>
    <row r="551">
      <c r="C551" s="79"/>
      <c r="D551" s="79"/>
      <c r="E551" s="79"/>
      <c r="M551" s="79"/>
      <c r="R551" s="79"/>
      <c r="S551" s="79"/>
      <c r="V551" s="79"/>
      <c r="W551" s="79"/>
      <c r="Z551" s="130"/>
      <c r="AB551" s="106"/>
    </row>
    <row r="552">
      <c r="C552" s="79"/>
      <c r="D552" s="79"/>
      <c r="E552" s="79"/>
      <c r="M552" s="79"/>
      <c r="R552" s="79"/>
      <c r="S552" s="79"/>
      <c r="V552" s="79"/>
      <c r="W552" s="79"/>
      <c r="Z552" s="130"/>
      <c r="AB552" s="106"/>
    </row>
    <row r="553">
      <c r="C553" s="79"/>
      <c r="D553" s="79"/>
      <c r="E553" s="79"/>
      <c r="M553" s="79"/>
      <c r="R553" s="79"/>
      <c r="S553" s="79"/>
      <c r="V553" s="79"/>
      <c r="W553" s="79"/>
      <c r="Z553" s="130"/>
      <c r="AB553" s="106"/>
    </row>
    <row r="554">
      <c r="C554" s="79"/>
      <c r="D554" s="79"/>
      <c r="E554" s="79"/>
      <c r="M554" s="79"/>
      <c r="R554" s="79"/>
      <c r="S554" s="79"/>
      <c r="V554" s="79"/>
      <c r="W554" s="79"/>
      <c r="Z554" s="130"/>
      <c r="AB554" s="106"/>
    </row>
    <row r="555">
      <c r="C555" s="79"/>
      <c r="D555" s="79"/>
      <c r="E555" s="79"/>
      <c r="M555" s="79"/>
      <c r="R555" s="79"/>
      <c r="S555" s="79"/>
      <c r="V555" s="79"/>
      <c r="W555" s="79"/>
      <c r="Z555" s="130"/>
      <c r="AB555" s="106"/>
    </row>
    <row r="556">
      <c r="C556" s="79"/>
      <c r="D556" s="79"/>
      <c r="E556" s="79"/>
      <c r="M556" s="79"/>
      <c r="R556" s="79"/>
      <c r="S556" s="79"/>
      <c r="V556" s="79"/>
      <c r="W556" s="79"/>
      <c r="Z556" s="130"/>
      <c r="AB556" s="106"/>
    </row>
    <row r="557">
      <c r="C557" s="79"/>
      <c r="D557" s="79"/>
      <c r="E557" s="79"/>
      <c r="M557" s="79"/>
      <c r="R557" s="79"/>
      <c r="S557" s="79"/>
      <c r="V557" s="79"/>
      <c r="W557" s="79"/>
      <c r="Z557" s="130"/>
      <c r="AB557" s="106"/>
    </row>
    <row r="558">
      <c r="C558" s="79"/>
      <c r="D558" s="79"/>
      <c r="E558" s="79"/>
      <c r="M558" s="79"/>
      <c r="R558" s="79"/>
      <c r="S558" s="79"/>
      <c r="V558" s="79"/>
      <c r="W558" s="79"/>
      <c r="Z558" s="130"/>
      <c r="AB558" s="106"/>
    </row>
    <row r="559">
      <c r="C559" s="79"/>
      <c r="D559" s="79"/>
      <c r="E559" s="79"/>
      <c r="M559" s="79"/>
      <c r="R559" s="79"/>
      <c r="S559" s="79"/>
      <c r="V559" s="79"/>
      <c r="W559" s="79"/>
      <c r="Z559" s="130"/>
      <c r="AB559" s="106"/>
    </row>
    <row r="560">
      <c r="C560" s="79"/>
      <c r="D560" s="79"/>
      <c r="E560" s="79"/>
      <c r="M560" s="79"/>
      <c r="R560" s="79"/>
      <c r="S560" s="79"/>
      <c r="V560" s="79"/>
      <c r="W560" s="79"/>
      <c r="Z560" s="130"/>
      <c r="AB560" s="106"/>
    </row>
    <row r="561">
      <c r="C561" s="79"/>
      <c r="D561" s="79"/>
      <c r="E561" s="79"/>
      <c r="M561" s="79"/>
      <c r="R561" s="79"/>
      <c r="S561" s="79"/>
      <c r="V561" s="79"/>
      <c r="W561" s="79"/>
      <c r="Z561" s="130"/>
      <c r="AB561" s="106"/>
    </row>
    <row r="562">
      <c r="C562" s="79"/>
      <c r="D562" s="79"/>
      <c r="E562" s="79"/>
      <c r="M562" s="79"/>
      <c r="R562" s="79"/>
      <c r="S562" s="79"/>
      <c r="V562" s="79"/>
      <c r="W562" s="79"/>
      <c r="Z562" s="130"/>
      <c r="AB562" s="106"/>
    </row>
    <row r="563">
      <c r="C563" s="79"/>
      <c r="D563" s="79"/>
      <c r="E563" s="79"/>
      <c r="M563" s="79"/>
      <c r="R563" s="79"/>
      <c r="S563" s="79"/>
      <c r="V563" s="79"/>
      <c r="W563" s="79"/>
      <c r="Z563" s="130"/>
      <c r="AB563" s="106"/>
    </row>
    <row r="564">
      <c r="C564" s="79"/>
      <c r="D564" s="79"/>
      <c r="E564" s="79"/>
      <c r="M564" s="79"/>
      <c r="R564" s="79"/>
      <c r="S564" s="79"/>
      <c r="V564" s="79"/>
      <c r="W564" s="79"/>
      <c r="Z564" s="130"/>
      <c r="AB564" s="106"/>
    </row>
    <row r="565">
      <c r="C565" s="79"/>
      <c r="D565" s="79"/>
      <c r="E565" s="79"/>
      <c r="M565" s="79"/>
      <c r="R565" s="79"/>
      <c r="S565" s="79"/>
      <c r="V565" s="79"/>
      <c r="W565" s="79"/>
      <c r="Z565" s="130"/>
      <c r="AB565" s="106"/>
    </row>
    <row r="566">
      <c r="C566" s="79"/>
      <c r="D566" s="79"/>
      <c r="E566" s="79"/>
      <c r="M566" s="79"/>
      <c r="R566" s="79"/>
      <c r="S566" s="79"/>
      <c r="V566" s="79"/>
      <c r="W566" s="79"/>
      <c r="Z566" s="130"/>
      <c r="AB566" s="106"/>
    </row>
    <row r="567">
      <c r="C567" s="79"/>
      <c r="D567" s="79"/>
      <c r="E567" s="79"/>
      <c r="M567" s="79"/>
      <c r="R567" s="79"/>
      <c r="S567" s="79"/>
      <c r="V567" s="79"/>
      <c r="W567" s="79"/>
      <c r="Z567" s="130"/>
      <c r="AB567" s="106"/>
    </row>
    <row r="568">
      <c r="C568" s="79"/>
      <c r="D568" s="79"/>
      <c r="E568" s="79"/>
      <c r="M568" s="79"/>
      <c r="R568" s="79"/>
      <c r="S568" s="79"/>
      <c r="V568" s="79"/>
      <c r="W568" s="79"/>
      <c r="Z568" s="130"/>
      <c r="AB568" s="106"/>
    </row>
    <row r="569">
      <c r="C569" s="79"/>
      <c r="D569" s="79"/>
      <c r="E569" s="79"/>
      <c r="M569" s="79"/>
      <c r="R569" s="79"/>
      <c r="S569" s="79"/>
      <c r="V569" s="79"/>
      <c r="W569" s="79"/>
      <c r="Z569" s="130"/>
      <c r="AB569" s="106"/>
    </row>
    <row r="570">
      <c r="C570" s="79"/>
      <c r="D570" s="79"/>
      <c r="E570" s="79"/>
      <c r="M570" s="79"/>
      <c r="R570" s="79"/>
      <c r="S570" s="79"/>
      <c r="V570" s="79"/>
      <c r="W570" s="79"/>
      <c r="Z570" s="130"/>
      <c r="AB570" s="106"/>
    </row>
    <row r="571">
      <c r="C571" s="79"/>
      <c r="D571" s="79"/>
      <c r="E571" s="79"/>
      <c r="M571" s="79"/>
      <c r="R571" s="79"/>
      <c r="S571" s="79"/>
      <c r="V571" s="79"/>
      <c r="W571" s="79"/>
      <c r="Z571" s="130"/>
      <c r="AB571" s="106"/>
    </row>
    <row r="572">
      <c r="C572" s="79"/>
      <c r="D572" s="79"/>
      <c r="E572" s="79"/>
      <c r="M572" s="79"/>
      <c r="R572" s="79"/>
      <c r="S572" s="79"/>
      <c r="V572" s="79"/>
      <c r="W572" s="79"/>
      <c r="Z572" s="130"/>
      <c r="AB572" s="106"/>
    </row>
    <row r="573">
      <c r="C573" s="79"/>
      <c r="D573" s="79"/>
      <c r="E573" s="79"/>
      <c r="M573" s="79"/>
      <c r="R573" s="79"/>
      <c r="S573" s="79"/>
      <c r="V573" s="79"/>
      <c r="W573" s="79"/>
      <c r="Z573" s="130"/>
      <c r="AB573" s="106"/>
    </row>
    <row r="574">
      <c r="C574" s="79"/>
      <c r="D574" s="79"/>
      <c r="E574" s="79"/>
      <c r="M574" s="79"/>
      <c r="R574" s="79"/>
      <c r="S574" s="79"/>
      <c r="V574" s="79"/>
      <c r="W574" s="79"/>
      <c r="Z574" s="130"/>
      <c r="AB574" s="106"/>
    </row>
    <row r="575">
      <c r="C575" s="79"/>
      <c r="D575" s="79"/>
      <c r="E575" s="79"/>
      <c r="M575" s="79"/>
      <c r="R575" s="79"/>
      <c r="S575" s="79"/>
      <c r="V575" s="79"/>
      <c r="W575" s="79"/>
      <c r="Z575" s="130"/>
      <c r="AB575" s="106"/>
    </row>
    <row r="576">
      <c r="C576" s="79"/>
      <c r="D576" s="79"/>
      <c r="E576" s="79"/>
      <c r="M576" s="79"/>
      <c r="R576" s="79"/>
      <c r="S576" s="79"/>
      <c r="V576" s="79"/>
      <c r="W576" s="79"/>
      <c r="Z576" s="130"/>
      <c r="AB576" s="106"/>
    </row>
    <row r="577">
      <c r="C577" s="79"/>
      <c r="D577" s="79"/>
      <c r="E577" s="79"/>
      <c r="M577" s="79"/>
      <c r="R577" s="79"/>
      <c r="S577" s="79"/>
      <c r="V577" s="79"/>
      <c r="W577" s="79"/>
      <c r="Z577" s="130"/>
      <c r="AB577" s="106"/>
    </row>
    <row r="578">
      <c r="C578" s="79"/>
      <c r="D578" s="79"/>
      <c r="E578" s="79"/>
      <c r="M578" s="79"/>
      <c r="R578" s="79"/>
      <c r="S578" s="79"/>
      <c r="V578" s="79"/>
      <c r="W578" s="79"/>
      <c r="Z578" s="130"/>
      <c r="AB578" s="106"/>
    </row>
    <row r="579">
      <c r="C579" s="79"/>
      <c r="D579" s="79"/>
      <c r="E579" s="79"/>
      <c r="M579" s="79"/>
      <c r="R579" s="79"/>
      <c r="S579" s="79"/>
      <c r="V579" s="79"/>
      <c r="W579" s="79"/>
      <c r="Z579" s="130"/>
      <c r="AB579" s="106"/>
    </row>
    <row r="580">
      <c r="C580" s="79"/>
      <c r="D580" s="79"/>
      <c r="E580" s="79"/>
      <c r="M580" s="79"/>
      <c r="R580" s="79"/>
      <c r="S580" s="79"/>
      <c r="V580" s="79"/>
      <c r="W580" s="79"/>
      <c r="Z580" s="130"/>
      <c r="AB580" s="106"/>
    </row>
    <row r="581">
      <c r="C581" s="79"/>
      <c r="D581" s="79"/>
      <c r="E581" s="79"/>
      <c r="M581" s="79"/>
      <c r="R581" s="79"/>
      <c r="S581" s="79"/>
      <c r="V581" s="79"/>
      <c r="W581" s="79"/>
      <c r="Z581" s="130"/>
      <c r="AB581" s="106"/>
    </row>
    <row r="582">
      <c r="C582" s="79"/>
      <c r="D582" s="79"/>
      <c r="E582" s="79"/>
      <c r="M582" s="79"/>
      <c r="R582" s="79"/>
      <c r="S582" s="79"/>
      <c r="V582" s="79"/>
      <c r="W582" s="79"/>
      <c r="Z582" s="130"/>
      <c r="AB582" s="106"/>
    </row>
    <row r="583">
      <c r="C583" s="79"/>
      <c r="D583" s="79"/>
      <c r="E583" s="79"/>
      <c r="M583" s="79"/>
      <c r="R583" s="79"/>
      <c r="S583" s="79"/>
      <c r="V583" s="79"/>
      <c r="W583" s="79"/>
      <c r="Z583" s="130"/>
      <c r="AB583" s="106"/>
    </row>
    <row r="584">
      <c r="C584" s="79"/>
      <c r="D584" s="79"/>
      <c r="E584" s="79"/>
      <c r="M584" s="79"/>
      <c r="R584" s="79"/>
      <c r="S584" s="79"/>
      <c r="V584" s="79"/>
      <c r="W584" s="79"/>
      <c r="Z584" s="130"/>
      <c r="AB584" s="106"/>
    </row>
    <row r="585">
      <c r="C585" s="79"/>
      <c r="D585" s="79"/>
      <c r="E585" s="79"/>
      <c r="M585" s="79"/>
      <c r="R585" s="79"/>
      <c r="S585" s="79"/>
      <c r="V585" s="79"/>
      <c r="W585" s="79"/>
      <c r="Z585" s="130"/>
      <c r="AB585" s="106"/>
    </row>
    <row r="586">
      <c r="C586" s="79"/>
      <c r="D586" s="79"/>
      <c r="E586" s="79"/>
      <c r="M586" s="79"/>
      <c r="R586" s="79"/>
      <c r="S586" s="79"/>
      <c r="V586" s="79"/>
      <c r="W586" s="79"/>
      <c r="Z586" s="130"/>
      <c r="AB586" s="106"/>
    </row>
    <row r="587">
      <c r="C587" s="79"/>
      <c r="D587" s="79"/>
      <c r="E587" s="79"/>
      <c r="M587" s="79"/>
      <c r="R587" s="79"/>
      <c r="S587" s="79"/>
      <c r="V587" s="79"/>
      <c r="W587" s="79"/>
      <c r="Z587" s="130"/>
      <c r="AB587" s="106"/>
    </row>
    <row r="588">
      <c r="C588" s="79"/>
      <c r="D588" s="79"/>
      <c r="E588" s="79"/>
      <c r="M588" s="79"/>
      <c r="R588" s="79"/>
      <c r="S588" s="79"/>
      <c r="V588" s="79"/>
      <c r="W588" s="79"/>
      <c r="Z588" s="130"/>
      <c r="AB588" s="106"/>
    </row>
    <row r="589">
      <c r="C589" s="79"/>
      <c r="D589" s="79"/>
      <c r="E589" s="79"/>
      <c r="M589" s="79"/>
      <c r="R589" s="79"/>
      <c r="S589" s="79"/>
      <c r="V589" s="79"/>
      <c r="W589" s="79"/>
      <c r="Z589" s="130"/>
      <c r="AB589" s="106"/>
    </row>
    <row r="590">
      <c r="C590" s="79"/>
      <c r="D590" s="79"/>
      <c r="E590" s="79"/>
      <c r="M590" s="79"/>
      <c r="R590" s="79"/>
      <c r="S590" s="79"/>
      <c r="V590" s="79"/>
      <c r="W590" s="79"/>
      <c r="Z590" s="130"/>
      <c r="AB590" s="106"/>
    </row>
    <row r="591">
      <c r="C591" s="79"/>
      <c r="D591" s="79"/>
      <c r="E591" s="79"/>
      <c r="M591" s="79"/>
      <c r="R591" s="79"/>
      <c r="S591" s="79"/>
      <c r="V591" s="79"/>
      <c r="W591" s="79"/>
      <c r="Z591" s="130"/>
      <c r="AB591" s="106"/>
    </row>
    <row r="592">
      <c r="C592" s="79"/>
      <c r="D592" s="79"/>
      <c r="E592" s="79"/>
      <c r="M592" s="79"/>
      <c r="R592" s="79"/>
      <c r="S592" s="79"/>
      <c r="V592" s="79"/>
      <c r="W592" s="79"/>
      <c r="Z592" s="130"/>
      <c r="AB592" s="106"/>
    </row>
    <row r="593">
      <c r="C593" s="79"/>
      <c r="D593" s="79"/>
      <c r="E593" s="79"/>
      <c r="M593" s="79"/>
      <c r="R593" s="79"/>
      <c r="S593" s="79"/>
      <c r="V593" s="79"/>
      <c r="W593" s="79"/>
      <c r="Z593" s="130"/>
      <c r="AB593" s="106"/>
    </row>
    <row r="594">
      <c r="C594" s="79"/>
      <c r="D594" s="79"/>
      <c r="E594" s="79"/>
      <c r="M594" s="79"/>
      <c r="R594" s="79"/>
      <c r="S594" s="79"/>
      <c r="V594" s="79"/>
      <c r="W594" s="79"/>
      <c r="Z594" s="130"/>
      <c r="AB594" s="106"/>
    </row>
    <row r="595">
      <c r="C595" s="79"/>
      <c r="D595" s="79"/>
      <c r="E595" s="79"/>
      <c r="M595" s="79"/>
      <c r="R595" s="79"/>
      <c r="S595" s="79"/>
      <c r="V595" s="79"/>
      <c r="W595" s="79"/>
      <c r="Z595" s="130"/>
      <c r="AB595" s="106"/>
    </row>
    <row r="596">
      <c r="C596" s="79"/>
      <c r="D596" s="79"/>
      <c r="E596" s="79"/>
      <c r="M596" s="79"/>
      <c r="R596" s="79"/>
      <c r="S596" s="79"/>
      <c r="V596" s="79"/>
      <c r="W596" s="79"/>
      <c r="Z596" s="130"/>
      <c r="AB596" s="106"/>
    </row>
    <row r="597">
      <c r="C597" s="79"/>
      <c r="D597" s="79"/>
      <c r="E597" s="79"/>
      <c r="M597" s="79"/>
      <c r="R597" s="79"/>
      <c r="S597" s="79"/>
      <c r="V597" s="79"/>
      <c r="W597" s="79"/>
      <c r="Z597" s="130"/>
      <c r="AB597" s="106"/>
    </row>
    <row r="598">
      <c r="C598" s="79"/>
      <c r="D598" s="79"/>
      <c r="E598" s="79"/>
      <c r="M598" s="79"/>
      <c r="R598" s="79"/>
      <c r="S598" s="79"/>
      <c r="V598" s="79"/>
      <c r="W598" s="79"/>
      <c r="Z598" s="130"/>
      <c r="AB598" s="106"/>
    </row>
    <row r="599">
      <c r="C599" s="79"/>
      <c r="D599" s="79"/>
      <c r="E599" s="79"/>
      <c r="M599" s="79"/>
      <c r="R599" s="79"/>
      <c r="S599" s="79"/>
      <c r="V599" s="79"/>
      <c r="W599" s="79"/>
      <c r="Z599" s="130"/>
      <c r="AB599" s="106"/>
    </row>
    <row r="600">
      <c r="C600" s="79"/>
      <c r="D600" s="79"/>
      <c r="E600" s="79"/>
      <c r="M600" s="79"/>
      <c r="R600" s="79"/>
      <c r="S600" s="79"/>
      <c r="V600" s="79"/>
      <c r="W600" s="79"/>
      <c r="Z600" s="130"/>
      <c r="AB600" s="106"/>
    </row>
    <row r="601">
      <c r="C601" s="79"/>
      <c r="D601" s="79"/>
      <c r="E601" s="79"/>
      <c r="M601" s="79"/>
      <c r="R601" s="79"/>
      <c r="S601" s="79"/>
      <c r="V601" s="79"/>
      <c r="W601" s="79"/>
      <c r="Z601" s="130"/>
      <c r="AB601" s="106"/>
    </row>
    <row r="602">
      <c r="C602" s="79"/>
      <c r="D602" s="79"/>
      <c r="E602" s="79"/>
      <c r="M602" s="79"/>
      <c r="R602" s="79"/>
      <c r="S602" s="79"/>
      <c r="V602" s="79"/>
      <c r="W602" s="79"/>
      <c r="Z602" s="130"/>
      <c r="AB602" s="106"/>
    </row>
    <row r="603">
      <c r="C603" s="79"/>
      <c r="D603" s="79"/>
      <c r="E603" s="79"/>
      <c r="M603" s="79"/>
      <c r="R603" s="79"/>
      <c r="S603" s="79"/>
      <c r="V603" s="79"/>
      <c r="W603" s="79"/>
      <c r="Z603" s="130"/>
      <c r="AB603" s="106"/>
    </row>
    <row r="604">
      <c r="C604" s="79"/>
      <c r="D604" s="79"/>
      <c r="E604" s="79"/>
      <c r="M604" s="79"/>
      <c r="R604" s="79"/>
      <c r="S604" s="79"/>
      <c r="V604" s="79"/>
      <c r="W604" s="79"/>
      <c r="Z604" s="130"/>
      <c r="AB604" s="106"/>
    </row>
    <row r="605">
      <c r="C605" s="79"/>
      <c r="D605" s="79"/>
      <c r="E605" s="79"/>
      <c r="M605" s="79"/>
      <c r="R605" s="79"/>
      <c r="S605" s="79"/>
      <c r="V605" s="79"/>
      <c r="W605" s="79"/>
      <c r="Z605" s="130"/>
      <c r="AB605" s="106"/>
    </row>
    <row r="606">
      <c r="C606" s="79"/>
      <c r="D606" s="79"/>
      <c r="E606" s="79"/>
      <c r="M606" s="79"/>
      <c r="R606" s="79"/>
      <c r="S606" s="79"/>
      <c r="V606" s="79"/>
      <c r="W606" s="79"/>
      <c r="Z606" s="130"/>
      <c r="AB606" s="106"/>
    </row>
    <row r="607">
      <c r="C607" s="79"/>
      <c r="D607" s="79"/>
      <c r="E607" s="79"/>
      <c r="M607" s="79"/>
      <c r="R607" s="79"/>
      <c r="S607" s="79"/>
      <c r="V607" s="79"/>
      <c r="W607" s="79"/>
      <c r="Z607" s="130"/>
      <c r="AB607" s="106"/>
    </row>
    <row r="608">
      <c r="C608" s="79"/>
      <c r="D608" s="79"/>
      <c r="E608" s="79"/>
      <c r="M608" s="79"/>
      <c r="R608" s="79"/>
      <c r="S608" s="79"/>
      <c r="V608" s="79"/>
      <c r="W608" s="79"/>
      <c r="Z608" s="130"/>
      <c r="AB608" s="106"/>
    </row>
    <row r="609">
      <c r="C609" s="79"/>
      <c r="D609" s="79"/>
      <c r="E609" s="79"/>
      <c r="M609" s="79"/>
      <c r="R609" s="79"/>
      <c r="S609" s="79"/>
      <c r="V609" s="79"/>
      <c r="W609" s="79"/>
      <c r="Z609" s="130"/>
      <c r="AB609" s="106"/>
    </row>
    <row r="610">
      <c r="C610" s="79"/>
      <c r="D610" s="79"/>
      <c r="E610" s="79"/>
      <c r="M610" s="79"/>
      <c r="R610" s="79"/>
      <c r="S610" s="79"/>
      <c r="V610" s="79"/>
      <c r="W610" s="79"/>
      <c r="Z610" s="130"/>
      <c r="AB610" s="106"/>
    </row>
    <row r="611">
      <c r="C611" s="79"/>
      <c r="D611" s="79"/>
      <c r="E611" s="79"/>
      <c r="M611" s="79"/>
      <c r="R611" s="79"/>
      <c r="S611" s="79"/>
      <c r="V611" s="79"/>
      <c r="W611" s="79"/>
      <c r="Z611" s="130"/>
      <c r="AB611" s="106"/>
    </row>
    <row r="612">
      <c r="C612" s="79"/>
      <c r="D612" s="79"/>
      <c r="E612" s="79"/>
      <c r="M612" s="79"/>
      <c r="R612" s="79"/>
      <c r="S612" s="79"/>
      <c r="V612" s="79"/>
      <c r="W612" s="79"/>
      <c r="Z612" s="130"/>
      <c r="AB612" s="106"/>
    </row>
    <row r="613">
      <c r="C613" s="79"/>
      <c r="D613" s="79"/>
      <c r="E613" s="79"/>
      <c r="M613" s="79"/>
      <c r="R613" s="79"/>
      <c r="S613" s="79"/>
      <c r="V613" s="79"/>
      <c r="W613" s="79"/>
      <c r="Z613" s="130"/>
      <c r="AB613" s="106"/>
    </row>
    <row r="614">
      <c r="C614" s="79"/>
      <c r="D614" s="79"/>
      <c r="E614" s="79"/>
      <c r="M614" s="79"/>
      <c r="R614" s="79"/>
      <c r="S614" s="79"/>
      <c r="V614" s="79"/>
      <c r="W614" s="79"/>
      <c r="Z614" s="130"/>
      <c r="AB614" s="106"/>
    </row>
    <row r="615">
      <c r="C615" s="79"/>
      <c r="D615" s="79"/>
      <c r="E615" s="79"/>
      <c r="M615" s="79"/>
      <c r="R615" s="79"/>
      <c r="S615" s="79"/>
      <c r="V615" s="79"/>
      <c r="W615" s="79"/>
      <c r="Z615" s="130"/>
      <c r="AB615" s="106"/>
    </row>
    <row r="616">
      <c r="C616" s="79"/>
      <c r="D616" s="79"/>
      <c r="E616" s="79"/>
      <c r="M616" s="79"/>
      <c r="R616" s="79"/>
      <c r="S616" s="79"/>
      <c r="V616" s="79"/>
      <c r="W616" s="79"/>
      <c r="Z616" s="130"/>
      <c r="AB616" s="106"/>
    </row>
    <row r="617">
      <c r="C617" s="79"/>
      <c r="D617" s="79"/>
      <c r="E617" s="79"/>
      <c r="M617" s="79"/>
      <c r="R617" s="79"/>
      <c r="S617" s="79"/>
      <c r="V617" s="79"/>
      <c r="W617" s="79"/>
      <c r="Z617" s="130"/>
      <c r="AB617" s="106"/>
    </row>
    <row r="618">
      <c r="C618" s="79"/>
      <c r="D618" s="79"/>
      <c r="E618" s="79"/>
      <c r="M618" s="79"/>
      <c r="R618" s="79"/>
      <c r="S618" s="79"/>
      <c r="V618" s="79"/>
      <c r="W618" s="79"/>
      <c r="Z618" s="130"/>
      <c r="AB618" s="106"/>
    </row>
    <row r="619">
      <c r="C619" s="79"/>
      <c r="D619" s="79"/>
      <c r="E619" s="79"/>
      <c r="M619" s="79"/>
      <c r="R619" s="79"/>
      <c r="S619" s="79"/>
      <c r="V619" s="79"/>
      <c r="W619" s="79"/>
      <c r="Z619" s="130"/>
      <c r="AB619" s="106"/>
    </row>
    <row r="620">
      <c r="C620" s="79"/>
      <c r="D620" s="79"/>
      <c r="E620" s="79"/>
      <c r="M620" s="79"/>
      <c r="R620" s="79"/>
      <c r="S620" s="79"/>
      <c r="V620" s="79"/>
      <c r="W620" s="79"/>
      <c r="Z620" s="130"/>
      <c r="AB620" s="106"/>
    </row>
    <row r="621">
      <c r="C621" s="79"/>
      <c r="D621" s="79"/>
      <c r="E621" s="79"/>
      <c r="M621" s="79"/>
      <c r="R621" s="79"/>
      <c r="S621" s="79"/>
      <c r="V621" s="79"/>
      <c r="W621" s="79"/>
      <c r="Z621" s="130"/>
      <c r="AB621" s="106"/>
    </row>
    <row r="622">
      <c r="C622" s="79"/>
      <c r="D622" s="79"/>
      <c r="E622" s="79"/>
      <c r="M622" s="79"/>
      <c r="R622" s="79"/>
      <c r="S622" s="79"/>
      <c r="V622" s="79"/>
      <c r="W622" s="79"/>
      <c r="Z622" s="130"/>
      <c r="AB622" s="106"/>
    </row>
    <row r="623">
      <c r="C623" s="79"/>
      <c r="D623" s="79"/>
      <c r="E623" s="79"/>
      <c r="M623" s="79"/>
      <c r="R623" s="79"/>
      <c r="S623" s="79"/>
      <c r="V623" s="79"/>
      <c r="W623" s="79"/>
      <c r="Z623" s="130"/>
      <c r="AB623" s="106"/>
    </row>
    <row r="624">
      <c r="C624" s="79"/>
      <c r="D624" s="79"/>
      <c r="E624" s="79"/>
      <c r="M624" s="79"/>
      <c r="R624" s="79"/>
      <c r="S624" s="79"/>
      <c r="V624" s="79"/>
      <c r="W624" s="79"/>
      <c r="Z624" s="130"/>
      <c r="AB624" s="106"/>
    </row>
    <row r="625">
      <c r="C625" s="79"/>
      <c r="D625" s="79"/>
      <c r="E625" s="79"/>
      <c r="M625" s="79"/>
      <c r="R625" s="79"/>
      <c r="S625" s="79"/>
      <c r="V625" s="79"/>
      <c r="W625" s="79"/>
      <c r="Z625" s="130"/>
      <c r="AB625" s="106"/>
    </row>
    <row r="626">
      <c r="C626" s="79"/>
      <c r="D626" s="79"/>
      <c r="E626" s="79"/>
      <c r="M626" s="79"/>
      <c r="R626" s="79"/>
      <c r="S626" s="79"/>
      <c r="V626" s="79"/>
      <c r="W626" s="79"/>
      <c r="Z626" s="130"/>
      <c r="AB626" s="106"/>
    </row>
    <row r="627">
      <c r="C627" s="79"/>
      <c r="D627" s="79"/>
      <c r="E627" s="79"/>
      <c r="M627" s="79"/>
      <c r="R627" s="79"/>
      <c r="S627" s="79"/>
      <c r="V627" s="79"/>
      <c r="W627" s="79"/>
      <c r="Z627" s="130"/>
      <c r="AB627" s="106"/>
    </row>
    <row r="628">
      <c r="C628" s="79"/>
      <c r="D628" s="79"/>
      <c r="E628" s="79"/>
      <c r="M628" s="79"/>
      <c r="R628" s="79"/>
      <c r="S628" s="79"/>
      <c r="V628" s="79"/>
      <c r="W628" s="79"/>
      <c r="Z628" s="130"/>
      <c r="AB628" s="106"/>
    </row>
    <row r="629">
      <c r="C629" s="79"/>
      <c r="D629" s="79"/>
      <c r="E629" s="79"/>
      <c r="M629" s="79"/>
      <c r="R629" s="79"/>
      <c r="S629" s="79"/>
      <c r="V629" s="79"/>
      <c r="W629" s="79"/>
      <c r="Z629" s="130"/>
      <c r="AB629" s="106"/>
    </row>
    <row r="630">
      <c r="C630" s="79"/>
      <c r="D630" s="79"/>
      <c r="E630" s="79"/>
      <c r="M630" s="79"/>
      <c r="R630" s="79"/>
      <c r="S630" s="79"/>
      <c r="V630" s="79"/>
      <c r="W630" s="79"/>
      <c r="Z630" s="130"/>
      <c r="AB630" s="106"/>
    </row>
    <row r="631">
      <c r="C631" s="79"/>
      <c r="D631" s="79"/>
      <c r="E631" s="79"/>
      <c r="M631" s="79"/>
      <c r="R631" s="79"/>
      <c r="S631" s="79"/>
      <c r="V631" s="79"/>
      <c r="W631" s="79"/>
      <c r="Z631" s="130"/>
      <c r="AB631" s="106"/>
    </row>
    <row r="632">
      <c r="C632" s="79"/>
      <c r="D632" s="79"/>
      <c r="E632" s="79"/>
      <c r="M632" s="79"/>
      <c r="R632" s="79"/>
      <c r="S632" s="79"/>
      <c r="V632" s="79"/>
      <c r="W632" s="79"/>
      <c r="Z632" s="130"/>
      <c r="AB632" s="106"/>
    </row>
    <row r="633">
      <c r="C633" s="79"/>
      <c r="D633" s="79"/>
      <c r="E633" s="79"/>
      <c r="M633" s="79"/>
      <c r="R633" s="79"/>
      <c r="S633" s="79"/>
      <c r="V633" s="79"/>
      <c r="W633" s="79"/>
      <c r="Z633" s="130"/>
      <c r="AB633" s="106"/>
    </row>
    <row r="634">
      <c r="C634" s="79"/>
      <c r="D634" s="79"/>
      <c r="E634" s="79"/>
      <c r="M634" s="79"/>
      <c r="R634" s="79"/>
      <c r="S634" s="79"/>
      <c r="V634" s="79"/>
      <c r="W634" s="79"/>
      <c r="Z634" s="130"/>
      <c r="AB634" s="106"/>
    </row>
    <row r="635">
      <c r="C635" s="79"/>
      <c r="D635" s="79"/>
      <c r="E635" s="79"/>
      <c r="M635" s="79"/>
      <c r="R635" s="79"/>
      <c r="S635" s="79"/>
      <c r="V635" s="79"/>
      <c r="W635" s="79"/>
      <c r="Z635" s="130"/>
      <c r="AB635" s="106"/>
    </row>
    <row r="636">
      <c r="C636" s="79"/>
      <c r="D636" s="79"/>
      <c r="E636" s="79"/>
      <c r="M636" s="79"/>
      <c r="R636" s="79"/>
      <c r="S636" s="79"/>
      <c r="V636" s="79"/>
      <c r="W636" s="79"/>
      <c r="Z636" s="130"/>
      <c r="AB636" s="106"/>
    </row>
    <row r="637">
      <c r="C637" s="79"/>
      <c r="D637" s="79"/>
      <c r="E637" s="79"/>
      <c r="M637" s="79"/>
      <c r="R637" s="79"/>
      <c r="S637" s="79"/>
      <c r="V637" s="79"/>
      <c r="W637" s="79"/>
      <c r="Z637" s="130"/>
      <c r="AB637" s="106"/>
    </row>
    <row r="638">
      <c r="C638" s="79"/>
      <c r="D638" s="79"/>
      <c r="E638" s="79"/>
      <c r="M638" s="79"/>
      <c r="R638" s="79"/>
      <c r="S638" s="79"/>
      <c r="V638" s="79"/>
      <c r="W638" s="79"/>
      <c r="Z638" s="130"/>
      <c r="AB638" s="106"/>
    </row>
    <row r="639">
      <c r="C639" s="79"/>
      <c r="D639" s="79"/>
      <c r="E639" s="79"/>
      <c r="M639" s="79"/>
      <c r="R639" s="79"/>
      <c r="S639" s="79"/>
      <c r="V639" s="79"/>
      <c r="W639" s="79"/>
      <c r="Z639" s="130"/>
      <c r="AB639" s="106"/>
    </row>
    <row r="640">
      <c r="C640" s="79"/>
      <c r="D640" s="79"/>
      <c r="E640" s="79"/>
      <c r="M640" s="79"/>
      <c r="R640" s="79"/>
      <c r="S640" s="79"/>
      <c r="V640" s="79"/>
      <c r="W640" s="79"/>
      <c r="Z640" s="130"/>
      <c r="AB640" s="106"/>
    </row>
    <row r="641">
      <c r="C641" s="79"/>
      <c r="D641" s="79"/>
      <c r="E641" s="79"/>
      <c r="M641" s="79"/>
      <c r="R641" s="79"/>
      <c r="S641" s="79"/>
      <c r="V641" s="79"/>
      <c r="W641" s="79"/>
      <c r="Z641" s="130"/>
      <c r="AB641" s="106"/>
    </row>
    <row r="642">
      <c r="C642" s="79"/>
      <c r="D642" s="79"/>
      <c r="E642" s="79"/>
      <c r="M642" s="79"/>
      <c r="R642" s="79"/>
      <c r="S642" s="79"/>
      <c r="V642" s="79"/>
      <c r="W642" s="79"/>
      <c r="Z642" s="130"/>
      <c r="AB642" s="106"/>
    </row>
    <row r="643">
      <c r="C643" s="79"/>
      <c r="D643" s="79"/>
      <c r="E643" s="79"/>
      <c r="M643" s="79"/>
      <c r="R643" s="79"/>
      <c r="S643" s="79"/>
      <c r="V643" s="79"/>
      <c r="W643" s="79"/>
      <c r="Z643" s="130"/>
      <c r="AB643" s="106"/>
    </row>
    <row r="644">
      <c r="C644" s="79"/>
      <c r="D644" s="79"/>
      <c r="E644" s="79"/>
      <c r="M644" s="79"/>
      <c r="R644" s="79"/>
      <c r="S644" s="79"/>
      <c r="V644" s="79"/>
      <c r="W644" s="79"/>
      <c r="Z644" s="130"/>
      <c r="AB644" s="106"/>
    </row>
    <row r="645">
      <c r="C645" s="79"/>
      <c r="D645" s="79"/>
      <c r="E645" s="79"/>
      <c r="M645" s="79"/>
      <c r="R645" s="79"/>
      <c r="S645" s="79"/>
      <c r="V645" s="79"/>
      <c r="W645" s="79"/>
      <c r="Z645" s="130"/>
      <c r="AB645" s="106"/>
    </row>
    <row r="646">
      <c r="C646" s="79"/>
      <c r="D646" s="79"/>
      <c r="E646" s="79"/>
      <c r="M646" s="79"/>
      <c r="R646" s="79"/>
      <c r="S646" s="79"/>
      <c r="V646" s="79"/>
      <c r="W646" s="79"/>
      <c r="Z646" s="130"/>
      <c r="AB646" s="106"/>
    </row>
    <row r="647">
      <c r="C647" s="79"/>
      <c r="D647" s="79"/>
      <c r="E647" s="79"/>
      <c r="M647" s="79"/>
      <c r="R647" s="79"/>
      <c r="S647" s="79"/>
      <c r="V647" s="79"/>
      <c r="W647" s="79"/>
      <c r="Z647" s="130"/>
      <c r="AB647" s="106"/>
    </row>
    <row r="648">
      <c r="C648" s="79"/>
      <c r="D648" s="79"/>
      <c r="E648" s="79"/>
      <c r="M648" s="79"/>
      <c r="R648" s="79"/>
      <c r="S648" s="79"/>
      <c r="V648" s="79"/>
      <c r="W648" s="79"/>
      <c r="Z648" s="130"/>
      <c r="AB648" s="106"/>
    </row>
    <row r="649">
      <c r="C649" s="79"/>
      <c r="D649" s="79"/>
      <c r="E649" s="79"/>
      <c r="M649" s="79"/>
      <c r="R649" s="79"/>
      <c r="S649" s="79"/>
      <c r="V649" s="79"/>
      <c r="W649" s="79"/>
      <c r="Z649" s="130"/>
      <c r="AB649" s="106"/>
    </row>
    <row r="650">
      <c r="C650" s="79"/>
      <c r="D650" s="79"/>
      <c r="E650" s="79"/>
      <c r="M650" s="79"/>
      <c r="R650" s="79"/>
      <c r="S650" s="79"/>
      <c r="V650" s="79"/>
      <c r="W650" s="79"/>
      <c r="Z650" s="130"/>
      <c r="AB650" s="106"/>
    </row>
    <row r="651">
      <c r="C651" s="79"/>
      <c r="D651" s="79"/>
      <c r="E651" s="79"/>
      <c r="M651" s="79"/>
      <c r="R651" s="79"/>
      <c r="S651" s="79"/>
      <c r="V651" s="79"/>
      <c r="W651" s="79"/>
      <c r="Z651" s="130"/>
      <c r="AB651" s="106"/>
    </row>
    <row r="652">
      <c r="C652" s="79"/>
      <c r="D652" s="79"/>
      <c r="E652" s="79"/>
      <c r="M652" s="79"/>
      <c r="R652" s="79"/>
      <c r="S652" s="79"/>
      <c r="V652" s="79"/>
      <c r="W652" s="79"/>
      <c r="Z652" s="130"/>
      <c r="AB652" s="106"/>
    </row>
    <row r="653">
      <c r="C653" s="79"/>
      <c r="D653" s="79"/>
      <c r="E653" s="79"/>
      <c r="M653" s="79"/>
      <c r="R653" s="79"/>
      <c r="S653" s="79"/>
      <c r="V653" s="79"/>
      <c r="W653" s="79"/>
      <c r="Z653" s="130"/>
      <c r="AB653" s="106"/>
    </row>
    <row r="654">
      <c r="C654" s="79"/>
      <c r="D654" s="79"/>
      <c r="E654" s="79"/>
      <c r="M654" s="79"/>
      <c r="R654" s="79"/>
      <c r="S654" s="79"/>
      <c r="V654" s="79"/>
      <c r="W654" s="79"/>
      <c r="Z654" s="130"/>
      <c r="AB654" s="106"/>
    </row>
    <row r="655">
      <c r="C655" s="79"/>
      <c r="D655" s="79"/>
      <c r="E655" s="79"/>
      <c r="M655" s="79"/>
      <c r="R655" s="79"/>
      <c r="S655" s="79"/>
      <c r="V655" s="79"/>
      <c r="W655" s="79"/>
      <c r="Z655" s="130"/>
      <c r="AB655" s="106"/>
    </row>
    <row r="656">
      <c r="C656" s="79"/>
      <c r="D656" s="79"/>
      <c r="E656" s="79"/>
      <c r="M656" s="79"/>
      <c r="R656" s="79"/>
      <c r="S656" s="79"/>
      <c r="V656" s="79"/>
      <c r="W656" s="79"/>
      <c r="Z656" s="130"/>
      <c r="AB656" s="106"/>
    </row>
    <row r="657">
      <c r="C657" s="79"/>
      <c r="D657" s="79"/>
      <c r="E657" s="79"/>
      <c r="M657" s="79"/>
      <c r="R657" s="79"/>
      <c r="S657" s="79"/>
      <c r="V657" s="79"/>
      <c r="W657" s="79"/>
      <c r="Z657" s="130"/>
      <c r="AB657" s="106"/>
    </row>
    <row r="658">
      <c r="C658" s="79"/>
      <c r="D658" s="79"/>
      <c r="E658" s="79"/>
      <c r="M658" s="79"/>
      <c r="R658" s="79"/>
      <c r="S658" s="79"/>
      <c r="V658" s="79"/>
      <c r="W658" s="79"/>
      <c r="Z658" s="130"/>
      <c r="AB658" s="106"/>
    </row>
    <row r="659">
      <c r="C659" s="79"/>
      <c r="D659" s="79"/>
      <c r="E659" s="79"/>
      <c r="M659" s="79"/>
      <c r="R659" s="79"/>
      <c r="S659" s="79"/>
      <c r="V659" s="79"/>
      <c r="W659" s="79"/>
      <c r="Z659" s="130"/>
      <c r="AB659" s="106"/>
    </row>
    <row r="660">
      <c r="C660" s="79"/>
      <c r="D660" s="79"/>
      <c r="E660" s="79"/>
      <c r="M660" s="79"/>
      <c r="R660" s="79"/>
      <c r="S660" s="79"/>
      <c r="V660" s="79"/>
      <c r="W660" s="79"/>
      <c r="Z660" s="130"/>
      <c r="AB660" s="106"/>
    </row>
    <row r="661">
      <c r="C661" s="79"/>
      <c r="D661" s="79"/>
      <c r="E661" s="79"/>
      <c r="M661" s="79"/>
      <c r="R661" s="79"/>
      <c r="S661" s="79"/>
      <c r="V661" s="79"/>
      <c r="W661" s="79"/>
      <c r="Z661" s="130"/>
      <c r="AB661" s="106"/>
    </row>
    <row r="662">
      <c r="C662" s="79"/>
      <c r="D662" s="79"/>
      <c r="E662" s="79"/>
      <c r="M662" s="79"/>
      <c r="R662" s="79"/>
      <c r="S662" s="79"/>
      <c r="V662" s="79"/>
      <c r="W662" s="79"/>
      <c r="Z662" s="130"/>
      <c r="AB662" s="106"/>
    </row>
    <row r="663">
      <c r="C663" s="79"/>
      <c r="D663" s="79"/>
      <c r="E663" s="79"/>
      <c r="M663" s="79"/>
      <c r="R663" s="79"/>
      <c r="S663" s="79"/>
      <c r="V663" s="79"/>
      <c r="W663" s="79"/>
      <c r="Z663" s="130"/>
      <c r="AB663" s="106"/>
    </row>
    <row r="664">
      <c r="C664" s="79"/>
      <c r="D664" s="79"/>
      <c r="E664" s="79"/>
      <c r="M664" s="79"/>
      <c r="R664" s="79"/>
      <c r="S664" s="79"/>
      <c r="V664" s="79"/>
      <c r="W664" s="79"/>
      <c r="Z664" s="130"/>
      <c r="AB664" s="106"/>
    </row>
    <row r="665">
      <c r="C665" s="79"/>
      <c r="D665" s="79"/>
      <c r="E665" s="79"/>
      <c r="M665" s="79"/>
      <c r="R665" s="79"/>
      <c r="S665" s="79"/>
      <c r="V665" s="79"/>
      <c r="W665" s="79"/>
      <c r="Z665" s="130"/>
      <c r="AB665" s="106"/>
    </row>
    <row r="666">
      <c r="C666" s="79"/>
      <c r="D666" s="79"/>
      <c r="E666" s="79"/>
      <c r="M666" s="79"/>
      <c r="R666" s="79"/>
      <c r="S666" s="79"/>
      <c r="V666" s="79"/>
      <c r="W666" s="79"/>
      <c r="Z666" s="130"/>
      <c r="AB666" s="106"/>
    </row>
    <row r="667">
      <c r="C667" s="79"/>
      <c r="D667" s="79"/>
      <c r="E667" s="79"/>
      <c r="M667" s="79"/>
      <c r="R667" s="79"/>
      <c r="S667" s="79"/>
      <c r="V667" s="79"/>
      <c r="W667" s="79"/>
      <c r="Z667" s="130"/>
      <c r="AB667" s="106"/>
    </row>
    <row r="668">
      <c r="C668" s="79"/>
      <c r="D668" s="79"/>
      <c r="E668" s="79"/>
      <c r="M668" s="79"/>
      <c r="R668" s="79"/>
      <c r="S668" s="79"/>
      <c r="V668" s="79"/>
      <c r="W668" s="79"/>
      <c r="Z668" s="130"/>
      <c r="AB668" s="106"/>
    </row>
    <row r="669">
      <c r="C669" s="79"/>
      <c r="D669" s="79"/>
      <c r="E669" s="79"/>
      <c r="M669" s="79"/>
      <c r="R669" s="79"/>
      <c r="S669" s="79"/>
      <c r="V669" s="79"/>
      <c r="W669" s="79"/>
      <c r="Z669" s="130"/>
      <c r="AB669" s="106"/>
    </row>
    <row r="670">
      <c r="C670" s="79"/>
      <c r="D670" s="79"/>
      <c r="E670" s="79"/>
      <c r="M670" s="79"/>
      <c r="R670" s="79"/>
      <c r="S670" s="79"/>
      <c r="V670" s="79"/>
      <c r="W670" s="79"/>
      <c r="Z670" s="130"/>
      <c r="AB670" s="106"/>
    </row>
    <row r="671">
      <c r="C671" s="79"/>
      <c r="D671" s="79"/>
      <c r="E671" s="79"/>
      <c r="M671" s="79"/>
      <c r="R671" s="79"/>
      <c r="S671" s="79"/>
      <c r="V671" s="79"/>
      <c r="W671" s="79"/>
      <c r="Z671" s="130"/>
      <c r="AB671" s="106"/>
    </row>
    <row r="672">
      <c r="C672" s="79"/>
      <c r="D672" s="79"/>
      <c r="E672" s="79"/>
      <c r="M672" s="79"/>
      <c r="R672" s="79"/>
      <c r="S672" s="79"/>
      <c r="V672" s="79"/>
      <c r="W672" s="79"/>
      <c r="Z672" s="130"/>
      <c r="AB672" s="106"/>
    </row>
    <row r="673">
      <c r="C673" s="79"/>
      <c r="D673" s="79"/>
      <c r="E673" s="79"/>
      <c r="M673" s="79"/>
      <c r="R673" s="79"/>
      <c r="S673" s="79"/>
      <c r="V673" s="79"/>
      <c r="W673" s="79"/>
      <c r="Z673" s="130"/>
      <c r="AB673" s="106"/>
    </row>
    <row r="674">
      <c r="C674" s="79"/>
      <c r="D674" s="79"/>
      <c r="E674" s="79"/>
      <c r="M674" s="79"/>
      <c r="R674" s="79"/>
      <c r="S674" s="79"/>
      <c r="V674" s="79"/>
      <c r="W674" s="79"/>
      <c r="Z674" s="130"/>
      <c r="AB674" s="106"/>
    </row>
    <row r="675">
      <c r="C675" s="79"/>
      <c r="D675" s="79"/>
      <c r="E675" s="79"/>
      <c r="M675" s="79"/>
      <c r="R675" s="79"/>
      <c r="S675" s="79"/>
      <c r="V675" s="79"/>
      <c r="W675" s="79"/>
      <c r="Z675" s="130"/>
      <c r="AB675" s="106"/>
    </row>
    <row r="676">
      <c r="C676" s="79"/>
      <c r="D676" s="79"/>
      <c r="E676" s="79"/>
      <c r="M676" s="79"/>
      <c r="R676" s="79"/>
      <c r="S676" s="79"/>
      <c r="V676" s="79"/>
      <c r="W676" s="79"/>
      <c r="Z676" s="130"/>
      <c r="AB676" s="106"/>
    </row>
    <row r="677">
      <c r="C677" s="79"/>
      <c r="D677" s="79"/>
      <c r="E677" s="79"/>
      <c r="M677" s="79"/>
      <c r="R677" s="79"/>
      <c r="S677" s="79"/>
      <c r="V677" s="79"/>
      <c r="W677" s="79"/>
      <c r="Z677" s="130"/>
      <c r="AB677" s="106"/>
    </row>
    <row r="678">
      <c r="C678" s="79"/>
      <c r="D678" s="79"/>
      <c r="E678" s="79"/>
      <c r="M678" s="79"/>
      <c r="R678" s="79"/>
      <c r="S678" s="79"/>
      <c r="V678" s="79"/>
      <c r="W678" s="79"/>
      <c r="Z678" s="130"/>
      <c r="AB678" s="106"/>
    </row>
    <row r="679">
      <c r="C679" s="79"/>
      <c r="D679" s="79"/>
      <c r="E679" s="79"/>
      <c r="M679" s="79"/>
      <c r="R679" s="79"/>
      <c r="S679" s="79"/>
      <c r="V679" s="79"/>
      <c r="W679" s="79"/>
      <c r="Z679" s="130"/>
      <c r="AB679" s="106"/>
    </row>
    <row r="680">
      <c r="C680" s="79"/>
      <c r="D680" s="79"/>
      <c r="E680" s="79"/>
      <c r="M680" s="79"/>
      <c r="R680" s="79"/>
      <c r="S680" s="79"/>
      <c r="V680" s="79"/>
      <c r="W680" s="79"/>
      <c r="Z680" s="130"/>
      <c r="AB680" s="106"/>
    </row>
    <row r="681">
      <c r="C681" s="79"/>
      <c r="D681" s="79"/>
      <c r="E681" s="79"/>
      <c r="M681" s="79"/>
      <c r="R681" s="79"/>
      <c r="S681" s="79"/>
      <c r="V681" s="79"/>
      <c r="W681" s="79"/>
      <c r="Z681" s="130"/>
      <c r="AB681" s="106"/>
    </row>
    <row r="682">
      <c r="C682" s="79"/>
      <c r="D682" s="79"/>
      <c r="E682" s="79"/>
      <c r="M682" s="79"/>
      <c r="R682" s="79"/>
      <c r="S682" s="79"/>
      <c r="V682" s="79"/>
      <c r="W682" s="79"/>
      <c r="Z682" s="130"/>
      <c r="AB682" s="106"/>
    </row>
    <row r="683">
      <c r="C683" s="79"/>
      <c r="D683" s="79"/>
      <c r="E683" s="79"/>
      <c r="M683" s="79"/>
      <c r="R683" s="79"/>
      <c r="S683" s="79"/>
      <c r="V683" s="79"/>
      <c r="W683" s="79"/>
      <c r="Z683" s="130"/>
      <c r="AB683" s="106"/>
    </row>
    <row r="684">
      <c r="C684" s="79"/>
      <c r="D684" s="79"/>
      <c r="E684" s="79"/>
      <c r="M684" s="79"/>
      <c r="R684" s="79"/>
      <c r="S684" s="79"/>
      <c r="V684" s="79"/>
      <c r="W684" s="79"/>
      <c r="Z684" s="130"/>
      <c r="AB684" s="106"/>
    </row>
    <row r="685">
      <c r="C685" s="79"/>
      <c r="D685" s="79"/>
      <c r="E685" s="79"/>
      <c r="M685" s="79"/>
      <c r="R685" s="79"/>
      <c r="S685" s="79"/>
      <c r="V685" s="79"/>
      <c r="W685" s="79"/>
      <c r="Z685" s="130"/>
      <c r="AB685" s="106"/>
    </row>
    <row r="686">
      <c r="C686" s="79"/>
      <c r="D686" s="79"/>
      <c r="E686" s="79"/>
      <c r="M686" s="79"/>
      <c r="R686" s="79"/>
      <c r="S686" s="79"/>
      <c r="V686" s="79"/>
      <c r="W686" s="79"/>
      <c r="Z686" s="130"/>
      <c r="AB686" s="106"/>
    </row>
    <row r="687">
      <c r="C687" s="79"/>
      <c r="D687" s="79"/>
      <c r="E687" s="79"/>
      <c r="M687" s="79"/>
      <c r="R687" s="79"/>
      <c r="S687" s="79"/>
      <c r="V687" s="79"/>
      <c r="W687" s="79"/>
      <c r="Z687" s="130"/>
      <c r="AB687" s="106"/>
    </row>
    <row r="688">
      <c r="C688" s="79"/>
      <c r="D688" s="79"/>
      <c r="E688" s="79"/>
      <c r="M688" s="79"/>
      <c r="R688" s="79"/>
      <c r="S688" s="79"/>
      <c r="V688" s="79"/>
      <c r="W688" s="79"/>
      <c r="Z688" s="130"/>
      <c r="AB688" s="106"/>
    </row>
    <row r="689">
      <c r="C689" s="79"/>
      <c r="D689" s="79"/>
      <c r="E689" s="79"/>
      <c r="M689" s="79"/>
      <c r="R689" s="79"/>
      <c r="S689" s="79"/>
      <c r="V689" s="79"/>
      <c r="W689" s="79"/>
      <c r="Z689" s="130"/>
      <c r="AB689" s="106"/>
    </row>
    <row r="690">
      <c r="C690" s="79"/>
      <c r="D690" s="79"/>
      <c r="E690" s="79"/>
      <c r="M690" s="79"/>
      <c r="R690" s="79"/>
      <c r="S690" s="79"/>
      <c r="V690" s="79"/>
      <c r="W690" s="79"/>
      <c r="Z690" s="130"/>
      <c r="AB690" s="106"/>
    </row>
    <row r="691">
      <c r="C691" s="79"/>
      <c r="D691" s="79"/>
      <c r="E691" s="79"/>
      <c r="M691" s="79"/>
      <c r="R691" s="79"/>
      <c r="S691" s="79"/>
      <c r="V691" s="79"/>
      <c r="W691" s="79"/>
      <c r="Z691" s="130"/>
      <c r="AB691" s="106"/>
    </row>
    <row r="692">
      <c r="C692" s="79"/>
      <c r="D692" s="79"/>
      <c r="E692" s="79"/>
      <c r="M692" s="79"/>
      <c r="R692" s="79"/>
      <c r="S692" s="79"/>
      <c r="V692" s="79"/>
      <c r="W692" s="79"/>
      <c r="Z692" s="130"/>
      <c r="AB692" s="106"/>
    </row>
    <row r="693">
      <c r="C693" s="79"/>
      <c r="D693" s="79"/>
      <c r="E693" s="79"/>
      <c r="M693" s="79"/>
      <c r="R693" s="79"/>
      <c r="S693" s="79"/>
      <c r="V693" s="79"/>
      <c r="W693" s="79"/>
      <c r="Z693" s="130"/>
      <c r="AB693" s="106"/>
    </row>
    <row r="694">
      <c r="C694" s="79"/>
      <c r="D694" s="79"/>
      <c r="E694" s="79"/>
      <c r="M694" s="79"/>
      <c r="R694" s="79"/>
      <c r="S694" s="79"/>
      <c r="V694" s="79"/>
      <c r="W694" s="79"/>
      <c r="Z694" s="130"/>
      <c r="AB694" s="106"/>
    </row>
    <row r="695">
      <c r="C695" s="79"/>
      <c r="D695" s="79"/>
      <c r="E695" s="79"/>
      <c r="M695" s="79"/>
      <c r="R695" s="79"/>
      <c r="S695" s="79"/>
      <c r="V695" s="79"/>
      <c r="W695" s="79"/>
      <c r="Z695" s="130"/>
      <c r="AB695" s="106"/>
    </row>
    <row r="696">
      <c r="C696" s="79"/>
      <c r="D696" s="79"/>
      <c r="E696" s="79"/>
      <c r="M696" s="79"/>
      <c r="R696" s="79"/>
      <c r="S696" s="79"/>
      <c r="V696" s="79"/>
      <c r="W696" s="79"/>
      <c r="Z696" s="130"/>
      <c r="AB696" s="106"/>
    </row>
    <row r="697">
      <c r="C697" s="79"/>
      <c r="D697" s="79"/>
      <c r="E697" s="79"/>
      <c r="M697" s="79"/>
      <c r="R697" s="79"/>
      <c r="S697" s="79"/>
      <c r="V697" s="79"/>
      <c r="W697" s="79"/>
      <c r="Z697" s="130"/>
      <c r="AB697" s="106"/>
    </row>
    <row r="698">
      <c r="C698" s="79"/>
      <c r="D698" s="79"/>
      <c r="E698" s="79"/>
      <c r="M698" s="79"/>
      <c r="R698" s="79"/>
      <c r="S698" s="79"/>
      <c r="V698" s="79"/>
      <c r="W698" s="79"/>
      <c r="Z698" s="130"/>
      <c r="AB698" s="106"/>
    </row>
    <row r="699">
      <c r="C699" s="79"/>
      <c r="D699" s="79"/>
      <c r="E699" s="79"/>
      <c r="M699" s="79"/>
      <c r="R699" s="79"/>
      <c r="S699" s="79"/>
      <c r="V699" s="79"/>
      <c r="W699" s="79"/>
      <c r="Z699" s="130"/>
      <c r="AB699" s="106"/>
    </row>
    <row r="700">
      <c r="C700" s="79"/>
      <c r="D700" s="79"/>
      <c r="E700" s="79"/>
      <c r="M700" s="79"/>
      <c r="R700" s="79"/>
      <c r="S700" s="79"/>
      <c r="V700" s="79"/>
      <c r="W700" s="79"/>
      <c r="Z700" s="130"/>
      <c r="AB700" s="106"/>
    </row>
    <row r="701">
      <c r="C701" s="79"/>
      <c r="D701" s="79"/>
      <c r="E701" s="79"/>
      <c r="M701" s="79"/>
      <c r="R701" s="79"/>
      <c r="S701" s="79"/>
      <c r="V701" s="79"/>
      <c r="W701" s="79"/>
      <c r="Z701" s="130"/>
      <c r="AB701" s="106"/>
    </row>
    <row r="702">
      <c r="C702" s="79"/>
      <c r="D702" s="79"/>
      <c r="E702" s="79"/>
      <c r="M702" s="79"/>
      <c r="R702" s="79"/>
      <c r="S702" s="79"/>
      <c r="V702" s="79"/>
      <c r="W702" s="79"/>
      <c r="Z702" s="130"/>
      <c r="AB702" s="106"/>
    </row>
    <row r="703">
      <c r="C703" s="79"/>
      <c r="D703" s="79"/>
      <c r="E703" s="79"/>
      <c r="M703" s="79"/>
      <c r="R703" s="79"/>
      <c r="S703" s="79"/>
      <c r="V703" s="79"/>
      <c r="W703" s="79"/>
      <c r="Z703" s="130"/>
      <c r="AB703" s="106"/>
    </row>
    <row r="704">
      <c r="C704" s="79"/>
      <c r="D704" s="79"/>
      <c r="E704" s="79"/>
      <c r="M704" s="79"/>
      <c r="R704" s="79"/>
      <c r="S704" s="79"/>
      <c r="V704" s="79"/>
      <c r="W704" s="79"/>
      <c r="Z704" s="130"/>
      <c r="AB704" s="106"/>
    </row>
    <row r="705">
      <c r="C705" s="79"/>
      <c r="D705" s="79"/>
      <c r="E705" s="79"/>
      <c r="M705" s="79"/>
      <c r="R705" s="79"/>
      <c r="S705" s="79"/>
      <c r="V705" s="79"/>
      <c r="W705" s="79"/>
      <c r="Z705" s="130"/>
      <c r="AB705" s="106"/>
    </row>
    <row r="706">
      <c r="C706" s="79"/>
      <c r="D706" s="79"/>
      <c r="E706" s="79"/>
      <c r="M706" s="79"/>
      <c r="R706" s="79"/>
      <c r="S706" s="79"/>
      <c r="V706" s="79"/>
      <c r="W706" s="79"/>
      <c r="Z706" s="130"/>
      <c r="AB706" s="106"/>
    </row>
    <row r="707">
      <c r="C707" s="79"/>
      <c r="D707" s="79"/>
      <c r="E707" s="79"/>
      <c r="M707" s="79"/>
      <c r="R707" s="79"/>
      <c r="S707" s="79"/>
      <c r="V707" s="79"/>
      <c r="W707" s="79"/>
      <c r="Z707" s="130"/>
      <c r="AB707" s="106"/>
    </row>
    <row r="708">
      <c r="C708" s="79"/>
      <c r="D708" s="79"/>
      <c r="E708" s="79"/>
      <c r="M708" s="79"/>
      <c r="R708" s="79"/>
      <c r="S708" s="79"/>
      <c r="V708" s="79"/>
      <c r="W708" s="79"/>
      <c r="Z708" s="130"/>
      <c r="AB708" s="106"/>
    </row>
    <row r="709">
      <c r="C709" s="79"/>
      <c r="D709" s="79"/>
      <c r="E709" s="79"/>
      <c r="M709" s="79"/>
      <c r="R709" s="79"/>
      <c r="S709" s="79"/>
      <c r="V709" s="79"/>
      <c r="W709" s="79"/>
      <c r="Z709" s="130"/>
      <c r="AB709" s="106"/>
    </row>
    <row r="710">
      <c r="C710" s="79"/>
      <c r="D710" s="79"/>
      <c r="E710" s="79"/>
      <c r="M710" s="79"/>
      <c r="R710" s="79"/>
      <c r="S710" s="79"/>
      <c r="V710" s="79"/>
      <c r="W710" s="79"/>
      <c r="Z710" s="130"/>
      <c r="AB710" s="106"/>
    </row>
    <row r="711">
      <c r="C711" s="79"/>
      <c r="D711" s="79"/>
      <c r="E711" s="79"/>
      <c r="M711" s="79"/>
      <c r="R711" s="79"/>
      <c r="S711" s="79"/>
      <c r="V711" s="79"/>
      <c r="W711" s="79"/>
      <c r="Z711" s="130"/>
      <c r="AB711" s="106"/>
    </row>
    <row r="712">
      <c r="C712" s="79"/>
      <c r="D712" s="79"/>
      <c r="E712" s="79"/>
      <c r="M712" s="79"/>
      <c r="R712" s="79"/>
      <c r="S712" s="79"/>
      <c r="V712" s="79"/>
      <c r="W712" s="79"/>
      <c r="Z712" s="130"/>
      <c r="AB712" s="106"/>
    </row>
    <row r="713">
      <c r="C713" s="79"/>
      <c r="D713" s="79"/>
      <c r="E713" s="79"/>
      <c r="M713" s="79"/>
      <c r="R713" s="79"/>
      <c r="S713" s="79"/>
      <c r="V713" s="79"/>
      <c r="W713" s="79"/>
      <c r="Z713" s="130"/>
      <c r="AB713" s="106"/>
    </row>
    <row r="714">
      <c r="C714" s="79"/>
      <c r="D714" s="79"/>
      <c r="E714" s="79"/>
      <c r="M714" s="79"/>
      <c r="R714" s="79"/>
      <c r="S714" s="79"/>
      <c r="V714" s="79"/>
      <c r="W714" s="79"/>
      <c r="Z714" s="130"/>
      <c r="AB714" s="106"/>
    </row>
    <row r="715">
      <c r="C715" s="79"/>
      <c r="D715" s="79"/>
      <c r="E715" s="79"/>
      <c r="M715" s="79"/>
      <c r="R715" s="79"/>
      <c r="S715" s="79"/>
      <c r="V715" s="79"/>
      <c r="W715" s="79"/>
      <c r="Z715" s="130"/>
      <c r="AB715" s="106"/>
    </row>
    <row r="716">
      <c r="C716" s="79"/>
      <c r="D716" s="79"/>
      <c r="E716" s="79"/>
      <c r="M716" s="79"/>
      <c r="R716" s="79"/>
      <c r="S716" s="79"/>
      <c r="V716" s="79"/>
      <c r="W716" s="79"/>
      <c r="Z716" s="130"/>
      <c r="AB716" s="106"/>
    </row>
    <row r="717">
      <c r="C717" s="79"/>
      <c r="D717" s="79"/>
      <c r="E717" s="79"/>
      <c r="M717" s="79"/>
      <c r="R717" s="79"/>
      <c r="S717" s="79"/>
      <c r="V717" s="79"/>
      <c r="W717" s="79"/>
      <c r="Z717" s="130"/>
      <c r="AB717" s="106"/>
    </row>
    <row r="718">
      <c r="C718" s="79"/>
      <c r="D718" s="79"/>
      <c r="E718" s="79"/>
      <c r="M718" s="79"/>
      <c r="R718" s="79"/>
      <c r="S718" s="79"/>
      <c r="V718" s="79"/>
      <c r="W718" s="79"/>
      <c r="Z718" s="130"/>
      <c r="AB718" s="106"/>
    </row>
    <row r="719">
      <c r="C719" s="79"/>
      <c r="D719" s="79"/>
      <c r="E719" s="79"/>
      <c r="M719" s="79"/>
      <c r="R719" s="79"/>
      <c r="S719" s="79"/>
      <c r="V719" s="79"/>
      <c r="W719" s="79"/>
      <c r="Z719" s="130"/>
      <c r="AB719" s="106"/>
    </row>
    <row r="720">
      <c r="C720" s="79"/>
      <c r="D720" s="79"/>
      <c r="E720" s="79"/>
      <c r="M720" s="79"/>
      <c r="R720" s="79"/>
      <c r="S720" s="79"/>
      <c r="V720" s="79"/>
      <c r="W720" s="79"/>
      <c r="Z720" s="130"/>
      <c r="AB720" s="106"/>
    </row>
    <row r="721">
      <c r="C721" s="79"/>
      <c r="D721" s="79"/>
      <c r="E721" s="79"/>
      <c r="M721" s="79"/>
      <c r="R721" s="79"/>
      <c r="S721" s="79"/>
      <c r="V721" s="79"/>
      <c r="W721" s="79"/>
      <c r="Z721" s="130"/>
      <c r="AB721" s="106"/>
    </row>
    <row r="722">
      <c r="C722" s="79"/>
      <c r="D722" s="79"/>
      <c r="E722" s="79"/>
      <c r="M722" s="79"/>
      <c r="R722" s="79"/>
      <c r="S722" s="79"/>
      <c r="V722" s="79"/>
      <c r="W722" s="79"/>
      <c r="Z722" s="130"/>
      <c r="AB722" s="106"/>
    </row>
    <row r="723">
      <c r="C723" s="79"/>
      <c r="D723" s="79"/>
      <c r="E723" s="79"/>
      <c r="M723" s="79"/>
      <c r="R723" s="79"/>
      <c r="S723" s="79"/>
      <c r="V723" s="79"/>
      <c r="W723" s="79"/>
      <c r="Z723" s="130"/>
      <c r="AB723" s="106"/>
    </row>
    <row r="724">
      <c r="C724" s="79"/>
      <c r="D724" s="79"/>
      <c r="E724" s="79"/>
      <c r="M724" s="79"/>
      <c r="R724" s="79"/>
      <c r="S724" s="79"/>
      <c r="V724" s="79"/>
      <c r="W724" s="79"/>
      <c r="Z724" s="130"/>
      <c r="AB724" s="106"/>
    </row>
    <row r="725">
      <c r="C725" s="79"/>
      <c r="D725" s="79"/>
      <c r="E725" s="79"/>
      <c r="M725" s="79"/>
      <c r="R725" s="79"/>
      <c r="S725" s="79"/>
      <c r="V725" s="79"/>
      <c r="W725" s="79"/>
      <c r="Z725" s="130"/>
      <c r="AB725" s="106"/>
    </row>
    <row r="726">
      <c r="C726" s="79"/>
      <c r="D726" s="79"/>
      <c r="E726" s="79"/>
      <c r="M726" s="79"/>
      <c r="R726" s="79"/>
      <c r="S726" s="79"/>
      <c r="V726" s="79"/>
      <c r="W726" s="79"/>
      <c r="Z726" s="130"/>
      <c r="AB726" s="106"/>
    </row>
    <row r="727">
      <c r="C727" s="79"/>
      <c r="D727" s="79"/>
      <c r="E727" s="79"/>
      <c r="M727" s="79"/>
      <c r="R727" s="79"/>
      <c r="S727" s="79"/>
      <c r="V727" s="79"/>
      <c r="W727" s="79"/>
      <c r="Z727" s="130"/>
      <c r="AB727" s="106"/>
    </row>
    <row r="728">
      <c r="C728" s="79"/>
      <c r="D728" s="79"/>
      <c r="E728" s="79"/>
      <c r="M728" s="79"/>
      <c r="R728" s="79"/>
      <c r="S728" s="79"/>
      <c r="V728" s="79"/>
      <c r="W728" s="79"/>
      <c r="Z728" s="130"/>
      <c r="AB728" s="106"/>
    </row>
    <row r="729">
      <c r="C729" s="79"/>
      <c r="D729" s="79"/>
      <c r="E729" s="79"/>
      <c r="M729" s="79"/>
      <c r="R729" s="79"/>
      <c r="S729" s="79"/>
      <c r="V729" s="79"/>
      <c r="W729" s="79"/>
      <c r="Z729" s="130"/>
      <c r="AB729" s="106"/>
    </row>
    <row r="730">
      <c r="C730" s="79"/>
      <c r="D730" s="79"/>
      <c r="E730" s="79"/>
      <c r="M730" s="79"/>
      <c r="R730" s="79"/>
      <c r="S730" s="79"/>
      <c r="V730" s="79"/>
      <c r="W730" s="79"/>
      <c r="Z730" s="130"/>
      <c r="AB730" s="106"/>
    </row>
    <row r="731">
      <c r="C731" s="79"/>
      <c r="D731" s="79"/>
      <c r="E731" s="79"/>
      <c r="M731" s="79"/>
      <c r="R731" s="79"/>
      <c r="S731" s="79"/>
      <c r="V731" s="79"/>
      <c r="W731" s="79"/>
      <c r="Z731" s="130"/>
      <c r="AB731" s="106"/>
    </row>
    <row r="732">
      <c r="C732" s="79"/>
      <c r="D732" s="79"/>
      <c r="E732" s="79"/>
      <c r="M732" s="79"/>
      <c r="R732" s="79"/>
      <c r="S732" s="79"/>
      <c r="V732" s="79"/>
      <c r="W732" s="79"/>
      <c r="Z732" s="130"/>
      <c r="AB732" s="106"/>
    </row>
    <row r="733">
      <c r="C733" s="79"/>
      <c r="D733" s="79"/>
      <c r="E733" s="79"/>
      <c r="M733" s="79"/>
      <c r="R733" s="79"/>
      <c r="S733" s="79"/>
      <c r="V733" s="79"/>
      <c r="W733" s="79"/>
      <c r="Z733" s="130"/>
      <c r="AB733" s="106"/>
    </row>
    <row r="734">
      <c r="C734" s="79"/>
      <c r="D734" s="79"/>
      <c r="E734" s="79"/>
      <c r="M734" s="79"/>
      <c r="R734" s="79"/>
      <c r="S734" s="79"/>
      <c r="V734" s="79"/>
      <c r="W734" s="79"/>
      <c r="Z734" s="130"/>
      <c r="AB734" s="106"/>
    </row>
    <row r="735">
      <c r="C735" s="79"/>
      <c r="D735" s="79"/>
      <c r="E735" s="79"/>
      <c r="M735" s="79"/>
      <c r="R735" s="79"/>
      <c r="S735" s="79"/>
      <c r="V735" s="79"/>
      <c r="W735" s="79"/>
      <c r="Z735" s="130"/>
      <c r="AB735" s="106"/>
    </row>
    <row r="736">
      <c r="C736" s="79"/>
      <c r="D736" s="79"/>
      <c r="E736" s="79"/>
      <c r="M736" s="79"/>
      <c r="R736" s="79"/>
      <c r="S736" s="79"/>
      <c r="V736" s="79"/>
      <c r="W736" s="79"/>
      <c r="Z736" s="130"/>
      <c r="AB736" s="106"/>
    </row>
    <row r="737">
      <c r="C737" s="79"/>
      <c r="D737" s="79"/>
      <c r="E737" s="79"/>
      <c r="M737" s="79"/>
      <c r="R737" s="79"/>
      <c r="S737" s="79"/>
      <c r="V737" s="79"/>
      <c r="W737" s="79"/>
      <c r="Z737" s="130"/>
      <c r="AB737" s="106"/>
    </row>
    <row r="738">
      <c r="C738" s="79"/>
      <c r="D738" s="79"/>
      <c r="E738" s="79"/>
      <c r="M738" s="79"/>
      <c r="R738" s="79"/>
      <c r="S738" s="79"/>
      <c r="V738" s="79"/>
      <c r="W738" s="79"/>
      <c r="Z738" s="130"/>
      <c r="AB738" s="106"/>
    </row>
    <row r="739">
      <c r="C739" s="79"/>
      <c r="D739" s="79"/>
      <c r="E739" s="79"/>
      <c r="M739" s="79"/>
      <c r="R739" s="79"/>
      <c r="S739" s="79"/>
      <c r="V739" s="79"/>
      <c r="W739" s="79"/>
      <c r="Z739" s="130"/>
      <c r="AB739" s="106"/>
    </row>
    <row r="740">
      <c r="C740" s="79"/>
      <c r="D740" s="79"/>
      <c r="E740" s="79"/>
      <c r="M740" s="79"/>
      <c r="R740" s="79"/>
      <c r="S740" s="79"/>
      <c r="V740" s="79"/>
      <c r="W740" s="79"/>
      <c r="Z740" s="130"/>
      <c r="AB740" s="106"/>
    </row>
    <row r="741">
      <c r="C741" s="79"/>
      <c r="D741" s="79"/>
      <c r="E741" s="79"/>
      <c r="M741" s="79"/>
      <c r="R741" s="79"/>
      <c r="S741" s="79"/>
      <c r="V741" s="79"/>
      <c r="W741" s="79"/>
      <c r="Z741" s="130"/>
      <c r="AB741" s="106"/>
    </row>
    <row r="742">
      <c r="C742" s="79"/>
      <c r="D742" s="79"/>
      <c r="E742" s="79"/>
      <c r="M742" s="79"/>
      <c r="R742" s="79"/>
      <c r="S742" s="79"/>
      <c r="V742" s="79"/>
      <c r="W742" s="79"/>
      <c r="Z742" s="130"/>
      <c r="AB742" s="106"/>
    </row>
    <row r="743">
      <c r="C743" s="79"/>
      <c r="D743" s="79"/>
      <c r="E743" s="79"/>
      <c r="M743" s="79"/>
      <c r="R743" s="79"/>
      <c r="S743" s="79"/>
      <c r="V743" s="79"/>
      <c r="W743" s="79"/>
      <c r="Z743" s="130"/>
      <c r="AB743" s="106"/>
    </row>
    <row r="744">
      <c r="C744" s="79"/>
      <c r="D744" s="79"/>
      <c r="E744" s="79"/>
      <c r="M744" s="79"/>
      <c r="R744" s="79"/>
      <c r="S744" s="79"/>
      <c r="V744" s="79"/>
      <c r="W744" s="79"/>
      <c r="Z744" s="130"/>
      <c r="AB744" s="106"/>
    </row>
    <row r="745">
      <c r="C745" s="79"/>
      <c r="D745" s="79"/>
      <c r="E745" s="79"/>
      <c r="M745" s="79"/>
      <c r="R745" s="79"/>
      <c r="S745" s="79"/>
      <c r="V745" s="79"/>
      <c r="W745" s="79"/>
      <c r="Z745" s="130"/>
      <c r="AB745" s="106"/>
    </row>
    <row r="746">
      <c r="C746" s="79"/>
      <c r="D746" s="79"/>
      <c r="E746" s="79"/>
      <c r="M746" s="79"/>
      <c r="R746" s="79"/>
      <c r="S746" s="79"/>
      <c r="V746" s="79"/>
      <c r="W746" s="79"/>
      <c r="Z746" s="130"/>
      <c r="AB746" s="106"/>
    </row>
    <row r="747">
      <c r="C747" s="79"/>
      <c r="D747" s="79"/>
      <c r="E747" s="79"/>
      <c r="M747" s="79"/>
      <c r="R747" s="79"/>
      <c r="S747" s="79"/>
      <c r="V747" s="79"/>
      <c r="W747" s="79"/>
      <c r="Z747" s="130"/>
      <c r="AB747" s="106"/>
    </row>
    <row r="748">
      <c r="C748" s="79"/>
      <c r="D748" s="79"/>
      <c r="E748" s="79"/>
      <c r="M748" s="79"/>
      <c r="R748" s="79"/>
      <c r="S748" s="79"/>
      <c r="V748" s="79"/>
      <c r="W748" s="79"/>
      <c r="Z748" s="130"/>
      <c r="AB748" s="106"/>
    </row>
    <row r="749">
      <c r="C749" s="79"/>
      <c r="D749" s="79"/>
      <c r="E749" s="79"/>
      <c r="M749" s="79"/>
      <c r="R749" s="79"/>
      <c r="S749" s="79"/>
      <c r="V749" s="79"/>
      <c r="W749" s="79"/>
      <c r="Z749" s="130"/>
      <c r="AB749" s="106"/>
    </row>
    <row r="750">
      <c r="C750" s="79"/>
      <c r="D750" s="79"/>
      <c r="E750" s="79"/>
      <c r="M750" s="79"/>
      <c r="R750" s="79"/>
      <c r="S750" s="79"/>
      <c r="V750" s="79"/>
      <c r="W750" s="79"/>
      <c r="Z750" s="130"/>
      <c r="AB750" s="106"/>
    </row>
    <row r="751">
      <c r="C751" s="79"/>
      <c r="D751" s="79"/>
      <c r="E751" s="79"/>
      <c r="M751" s="79"/>
      <c r="R751" s="79"/>
      <c r="S751" s="79"/>
      <c r="V751" s="79"/>
      <c r="W751" s="79"/>
      <c r="Z751" s="130"/>
      <c r="AB751" s="106"/>
    </row>
    <row r="752">
      <c r="C752" s="79"/>
      <c r="D752" s="79"/>
      <c r="E752" s="79"/>
      <c r="M752" s="79"/>
      <c r="R752" s="79"/>
      <c r="S752" s="79"/>
      <c r="V752" s="79"/>
      <c r="W752" s="79"/>
      <c r="Z752" s="130"/>
      <c r="AB752" s="106"/>
    </row>
    <row r="753">
      <c r="C753" s="79"/>
      <c r="D753" s="79"/>
      <c r="E753" s="79"/>
      <c r="M753" s="79"/>
      <c r="R753" s="79"/>
      <c r="S753" s="79"/>
      <c r="V753" s="79"/>
      <c r="W753" s="79"/>
      <c r="Z753" s="130"/>
      <c r="AB753" s="106"/>
    </row>
    <row r="754">
      <c r="C754" s="79"/>
      <c r="D754" s="79"/>
      <c r="E754" s="79"/>
      <c r="M754" s="79"/>
      <c r="R754" s="79"/>
      <c r="S754" s="79"/>
      <c r="V754" s="79"/>
      <c r="W754" s="79"/>
      <c r="Z754" s="130"/>
      <c r="AB754" s="106"/>
    </row>
    <row r="755">
      <c r="C755" s="79"/>
      <c r="D755" s="79"/>
      <c r="E755" s="79"/>
      <c r="M755" s="79"/>
      <c r="R755" s="79"/>
      <c r="S755" s="79"/>
      <c r="V755" s="79"/>
      <c r="W755" s="79"/>
      <c r="Z755" s="130"/>
      <c r="AB755" s="106"/>
    </row>
    <row r="756">
      <c r="C756" s="79"/>
      <c r="D756" s="79"/>
      <c r="E756" s="79"/>
      <c r="M756" s="79"/>
      <c r="R756" s="79"/>
      <c r="S756" s="79"/>
      <c r="V756" s="79"/>
      <c r="W756" s="79"/>
      <c r="Z756" s="130"/>
      <c r="AB756" s="106"/>
    </row>
    <row r="757">
      <c r="C757" s="79"/>
      <c r="D757" s="79"/>
      <c r="E757" s="79"/>
      <c r="M757" s="79"/>
      <c r="R757" s="79"/>
      <c r="S757" s="79"/>
      <c r="V757" s="79"/>
      <c r="W757" s="79"/>
      <c r="Z757" s="130"/>
      <c r="AB757" s="106"/>
    </row>
    <row r="758">
      <c r="C758" s="79"/>
      <c r="D758" s="79"/>
      <c r="E758" s="79"/>
      <c r="M758" s="79"/>
      <c r="R758" s="79"/>
      <c r="S758" s="79"/>
      <c r="V758" s="79"/>
      <c r="W758" s="79"/>
      <c r="Z758" s="130"/>
      <c r="AB758" s="106"/>
    </row>
    <row r="759">
      <c r="C759" s="79"/>
      <c r="D759" s="79"/>
      <c r="E759" s="79"/>
      <c r="M759" s="79"/>
      <c r="R759" s="79"/>
      <c r="S759" s="79"/>
      <c r="V759" s="79"/>
      <c r="W759" s="79"/>
      <c r="Z759" s="130"/>
      <c r="AB759" s="106"/>
    </row>
    <row r="760">
      <c r="C760" s="79"/>
      <c r="D760" s="79"/>
      <c r="E760" s="79"/>
      <c r="M760" s="79"/>
      <c r="R760" s="79"/>
      <c r="S760" s="79"/>
      <c r="V760" s="79"/>
      <c r="W760" s="79"/>
      <c r="Z760" s="130"/>
      <c r="AB760" s="106"/>
    </row>
    <row r="761">
      <c r="C761" s="79"/>
      <c r="D761" s="79"/>
      <c r="E761" s="79"/>
      <c r="M761" s="79"/>
      <c r="R761" s="79"/>
      <c r="S761" s="79"/>
      <c r="V761" s="79"/>
      <c r="W761" s="79"/>
      <c r="Z761" s="130"/>
      <c r="AB761" s="106"/>
    </row>
    <row r="762">
      <c r="C762" s="79"/>
      <c r="D762" s="79"/>
      <c r="E762" s="79"/>
      <c r="M762" s="79"/>
      <c r="R762" s="79"/>
      <c r="S762" s="79"/>
      <c r="V762" s="79"/>
      <c r="W762" s="79"/>
      <c r="Z762" s="130"/>
      <c r="AB762" s="106"/>
    </row>
    <row r="763">
      <c r="C763" s="79"/>
      <c r="D763" s="79"/>
      <c r="E763" s="79"/>
      <c r="M763" s="79"/>
      <c r="R763" s="79"/>
      <c r="S763" s="79"/>
      <c r="V763" s="79"/>
      <c r="W763" s="79"/>
      <c r="Z763" s="130"/>
      <c r="AB763" s="106"/>
    </row>
    <row r="764">
      <c r="C764" s="79"/>
      <c r="D764" s="79"/>
      <c r="E764" s="79"/>
      <c r="M764" s="79"/>
      <c r="R764" s="79"/>
      <c r="S764" s="79"/>
      <c r="V764" s="79"/>
      <c r="W764" s="79"/>
      <c r="Z764" s="130"/>
      <c r="AB764" s="106"/>
    </row>
    <row r="765">
      <c r="C765" s="79"/>
      <c r="D765" s="79"/>
      <c r="E765" s="79"/>
      <c r="M765" s="79"/>
      <c r="R765" s="79"/>
      <c r="S765" s="79"/>
      <c r="V765" s="79"/>
      <c r="W765" s="79"/>
      <c r="Z765" s="130"/>
      <c r="AB765" s="106"/>
    </row>
    <row r="766">
      <c r="C766" s="79"/>
      <c r="D766" s="79"/>
      <c r="E766" s="79"/>
      <c r="M766" s="79"/>
      <c r="R766" s="79"/>
      <c r="S766" s="79"/>
      <c r="V766" s="79"/>
      <c r="W766" s="79"/>
      <c r="Z766" s="130"/>
      <c r="AB766" s="106"/>
    </row>
    <row r="767">
      <c r="C767" s="79"/>
      <c r="D767" s="79"/>
      <c r="E767" s="79"/>
      <c r="M767" s="79"/>
      <c r="R767" s="79"/>
      <c r="S767" s="79"/>
      <c r="V767" s="79"/>
      <c r="W767" s="79"/>
      <c r="Z767" s="130"/>
      <c r="AB767" s="106"/>
    </row>
    <row r="768">
      <c r="C768" s="79"/>
      <c r="D768" s="79"/>
      <c r="E768" s="79"/>
      <c r="M768" s="79"/>
      <c r="R768" s="79"/>
      <c r="S768" s="79"/>
      <c r="V768" s="79"/>
      <c r="W768" s="79"/>
      <c r="Z768" s="130"/>
      <c r="AB768" s="106"/>
    </row>
    <row r="769">
      <c r="C769" s="79"/>
      <c r="D769" s="79"/>
      <c r="E769" s="79"/>
      <c r="M769" s="79"/>
      <c r="R769" s="79"/>
      <c r="S769" s="79"/>
      <c r="V769" s="79"/>
      <c r="W769" s="79"/>
      <c r="Z769" s="130"/>
      <c r="AB769" s="106"/>
    </row>
    <row r="770">
      <c r="C770" s="79"/>
      <c r="D770" s="79"/>
      <c r="E770" s="79"/>
      <c r="M770" s="79"/>
      <c r="R770" s="79"/>
      <c r="S770" s="79"/>
      <c r="V770" s="79"/>
      <c r="W770" s="79"/>
      <c r="Z770" s="130"/>
      <c r="AB770" s="106"/>
    </row>
    <row r="771">
      <c r="C771" s="79"/>
      <c r="D771" s="79"/>
      <c r="E771" s="79"/>
      <c r="M771" s="79"/>
      <c r="R771" s="79"/>
      <c r="S771" s="79"/>
      <c r="V771" s="79"/>
      <c r="W771" s="79"/>
      <c r="Z771" s="130"/>
      <c r="AB771" s="106"/>
    </row>
    <row r="772">
      <c r="C772" s="79"/>
      <c r="D772" s="79"/>
      <c r="E772" s="79"/>
      <c r="M772" s="79"/>
      <c r="R772" s="79"/>
      <c r="S772" s="79"/>
      <c r="V772" s="79"/>
      <c r="W772" s="79"/>
      <c r="Z772" s="130"/>
      <c r="AB772" s="106"/>
    </row>
    <row r="773">
      <c r="C773" s="79"/>
      <c r="D773" s="79"/>
      <c r="E773" s="79"/>
      <c r="M773" s="79"/>
      <c r="R773" s="79"/>
      <c r="S773" s="79"/>
      <c r="V773" s="79"/>
      <c r="W773" s="79"/>
      <c r="Z773" s="130"/>
      <c r="AB773" s="106"/>
    </row>
    <row r="774">
      <c r="C774" s="79"/>
      <c r="D774" s="79"/>
      <c r="E774" s="79"/>
      <c r="M774" s="79"/>
      <c r="R774" s="79"/>
      <c r="S774" s="79"/>
      <c r="V774" s="79"/>
      <c r="W774" s="79"/>
      <c r="Z774" s="130"/>
      <c r="AB774" s="106"/>
    </row>
    <row r="775">
      <c r="C775" s="79"/>
      <c r="D775" s="79"/>
      <c r="E775" s="79"/>
      <c r="M775" s="79"/>
      <c r="R775" s="79"/>
      <c r="S775" s="79"/>
      <c r="V775" s="79"/>
      <c r="W775" s="79"/>
      <c r="Z775" s="130"/>
      <c r="AB775" s="106"/>
    </row>
    <row r="776">
      <c r="C776" s="79"/>
      <c r="D776" s="79"/>
      <c r="E776" s="79"/>
      <c r="M776" s="79"/>
      <c r="R776" s="79"/>
      <c r="S776" s="79"/>
      <c r="V776" s="79"/>
      <c r="W776" s="79"/>
      <c r="Z776" s="130"/>
      <c r="AB776" s="106"/>
    </row>
    <row r="777">
      <c r="C777" s="79"/>
      <c r="D777" s="79"/>
      <c r="E777" s="79"/>
      <c r="M777" s="79"/>
      <c r="R777" s="79"/>
      <c r="S777" s="79"/>
      <c r="V777" s="79"/>
      <c r="W777" s="79"/>
      <c r="Z777" s="130"/>
      <c r="AB777" s="106"/>
    </row>
    <row r="778">
      <c r="C778" s="79"/>
      <c r="D778" s="79"/>
      <c r="E778" s="79"/>
      <c r="M778" s="79"/>
      <c r="R778" s="79"/>
      <c r="S778" s="79"/>
      <c r="V778" s="79"/>
      <c r="W778" s="79"/>
      <c r="Z778" s="130"/>
      <c r="AB778" s="106"/>
    </row>
    <row r="779">
      <c r="C779" s="79"/>
      <c r="D779" s="79"/>
      <c r="E779" s="79"/>
      <c r="M779" s="79"/>
      <c r="R779" s="79"/>
      <c r="S779" s="79"/>
      <c r="V779" s="79"/>
      <c r="W779" s="79"/>
      <c r="Z779" s="130"/>
      <c r="AB779" s="106"/>
    </row>
    <row r="780">
      <c r="C780" s="79"/>
      <c r="D780" s="79"/>
      <c r="E780" s="79"/>
      <c r="M780" s="79"/>
      <c r="R780" s="79"/>
      <c r="S780" s="79"/>
      <c r="V780" s="79"/>
      <c r="W780" s="79"/>
      <c r="Z780" s="130"/>
      <c r="AB780" s="106"/>
    </row>
    <row r="781">
      <c r="C781" s="79"/>
      <c r="D781" s="79"/>
      <c r="E781" s="79"/>
      <c r="M781" s="79"/>
      <c r="R781" s="79"/>
      <c r="S781" s="79"/>
      <c r="V781" s="79"/>
      <c r="W781" s="79"/>
      <c r="Z781" s="130"/>
      <c r="AB781" s="106"/>
    </row>
    <row r="782">
      <c r="C782" s="79"/>
      <c r="D782" s="79"/>
      <c r="E782" s="79"/>
      <c r="M782" s="79"/>
      <c r="R782" s="79"/>
      <c r="S782" s="79"/>
      <c r="V782" s="79"/>
      <c r="W782" s="79"/>
      <c r="Z782" s="130"/>
      <c r="AB782" s="106"/>
    </row>
    <row r="783">
      <c r="C783" s="79"/>
      <c r="D783" s="79"/>
      <c r="E783" s="79"/>
      <c r="M783" s="79"/>
      <c r="R783" s="79"/>
      <c r="S783" s="79"/>
      <c r="V783" s="79"/>
      <c r="W783" s="79"/>
      <c r="Z783" s="130"/>
      <c r="AB783" s="106"/>
    </row>
    <row r="784">
      <c r="C784" s="79"/>
      <c r="D784" s="79"/>
      <c r="E784" s="79"/>
      <c r="M784" s="79"/>
      <c r="R784" s="79"/>
      <c r="S784" s="79"/>
      <c r="V784" s="79"/>
      <c r="W784" s="79"/>
      <c r="Z784" s="130"/>
      <c r="AB784" s="106"/>
    </row>
    <row r="785">
      <c r="C785" s="79"/>
      <c r="D785" s="79"/>
      <c r="E785" s="79"/>
      <c r="M785" s="79"/>
      <c r="R785" s="79"/>
      <c r="S785" s="79"/>
      <c r="V785" s="79"/>
      <c r="W785" s="79"/>
      <c r="Z785" s="130"/>
      <c r="AB785" s="106"/>
    </row>
    <row r="786">
      <c r="C786" s="79"/>
      <c r="D786" s="79"/>
      <c r="E786" s="79"/>
      <c r="M786" s="79"/>
      <c r="R786" s="79"/>
      <c r="S786" s="79"/>
      <c r="V786" s="79"/>
      <c r="W786" s="79"/>
      <c r="Z786" s="130"/>
      <c r="AB786" s="106"/>
    </row>
    <row r="787">
      <c r="C787" s="79"/>
      <c r="D787" s="79"/>
      <c r="E787" s="79"/>
      <c r="M787" s="79"/>
      <c r="R787" s="79"/>
      <c r="S787" s="79"/>
      <c r="V787" s="79"/>
      <c r="W787" s="79"/>
      <c r="Z787" s="130"/>
      <c r="AB787" s="106"/>
    </row>
    <row r="788">
      <c r="C788" s="79"/>
      <c r="D788" s="79"/>
      <c r="E788" s="79"/>
      <c r="M788" s="79"/>
      <c r="R788" s="79"/>
      <c r="S788" s="79"/>
      <c r="V788" s="79"/>
      <c r="W788" s="79"/>
      <c r="Z788" s="130"/>
      <c r="AB788" s="106"/>
    </row>
    <row r="789">
      <c r="C789" s="79"/>
      <c r="D789" s="79"/>
      <c r="E789" s="79"/>
      <c r="M789" s="79"/>
      <c r="R789" s="79"/>
      <c r="S789" s="79"/>
      <c r="V789" s="79"/>
      <c r="W789" s="79"/>
      <c r="Z789" s="130"/>
      <c r="AB789" s="106"/>
    </row>
    <row r="790">
      <c r="C790" s="79"/>
      <c r="D790" s="79"/>
      <c r="E790" s="79"/>
      <c r="M790" s="79"/>
      <c r="R790" s="79"/>
      <c r="S790" s="79"/>
      <c r="V790" s="79"/>
      <c r="W790" s="79"/>
      <c r="Z790" s="130"/>
      <c r="AB790" s="106"/>
    </row>
    <row r="791">
      <c r="C791" s="79"/>
      <c r="D791" s="79"/>
      <c r="E791" s="79"/>
      <c r="M791" s="79"/>
      <c r="R791" s="79"/>
      <c r="S791" s="79"/>
      <c r="V791" s="79"/>
      <c r="W791" s="79"/>
      <c r="Z791" s="130"/>
      <c r="AB791" s="106"/>
    </row>
    <row r="792">
      <c r="C792" s="79"/>
      <c r="D792" s="79"/>
      <c r="E792" s="79"/>
      <c r="M792" s="79"/>
      <c r="R792" s="79"/>
      <c r="S792" s="79"/>
      <c r="V792" s="79"/>
      <c r="W792" s="79"/>
      <c r="Z792" s="130"/>
      <c r="AB792" s="106"/>
    </row>
    <row r="793">
      <c r="C793" s="79"/>
      <c r="D793" s="79"/>
      <c r="E793" s="79"/>
      <c r="M793" s="79"/>
      <c r="R793" s="79"/>
      <c r="S793" s="79"/>
      <c r="V793" s="79"/>
      <c r="W793" s="79"/>
      <c r="Z793" s="130"/>
      <c r="AB793" s="106"/>
    </row>
    <row r="794">
      <c r="C794" s="79"/>
      <c r="D794" s="79"/>
      <c r="E794" s="79"/>
      <c r="M794" s="79"/>
      <c r="R794" s="79"/>
      <c r="S794" s="79"/>
      <c r="V794" s="79"/>
      <c r="W794" s="79"/>
      <c r="Z794" s="130"/>
      <c r="AB794" s="106"/>
    </row>
    <row r="795">
      <c r="C795" s="79"/>
      <c r="D795" s="79"/>
      <c r="E795" s="79"/>
      <c r="M795" s="79"/>
      <c r="R795" s="79"/>
      <c r="S795" s="79"/>
      <c r="V795" s="79"/>
      <c r="W795" s="79"/>
      <c r="Z795" s="130"/>
      <c r="AB795" s="106"/>
    </row>
    <row r="796">
      <c r="C796" s="79"/>
      <c r="D796" s="79"/>
      <c r="E796" s="79"/>
      <c r="M796" s="79"/>
      <c r="R796" s="79"/>
      <c r="S796" s="79"/>
      <c r="V796" s="79"/>
      <c r="W796" s="79"/>
      <c r="Z796" s="130"/>
      <c r="AB796" s="106"/>
    </row>
    <row r="797">
      <c r="C797" s="79"/>
      <c r="D797" s="79"/>
      <c r="E797" s="79"/>
      <c r="M797" s="79"/>
      <c r="R797" s="79"/>
      <c r="S797" s="79"/>
      <c r="V797" s="79"/>
      <c r="W797" s="79"/>
      <c r="Z797" s="130"/>
      <c r="AB797" s="106"/>
    </row>
    <row r="798">
      <c r="C798" s="79"/>
      <c r="D798" s="79"/>
      <c r="E798" s="79"/>
      <c r="M798" s="79"/>
      <c r="R798" s="79"/>
      <c r="S798" s="79"/>
      <c r="V798" s="79"/>
      <c r="W798" s="79"/>
      <c r="Z798" s="130"/>
      <c r="AB798" s="106"/>
    </row>
    <row r="799">
      <c r="C799" s="79"/>
      <c r="D799" s="79"/>
      <c r="E799" s="79"/>
      <c r="M799" s="79"/>
      <c r="R799" s="79"/>
      <c r="S799" s="79"/>
      <c r="V799" s="79"/>
      <c r="W799" s="79"/>
      <c r="Z799" s="130"/>
      <c r="AB799" s="106"/>
    </row>
    <row r="800">
      <c r="C800" s="79"/>
      <c r="D800" s="79"/>
      <c r="E800" s="79"/>
      <c r="M800" s="79"/>
      <c r="R800" s="79"/>
      <c r="S800" s="79"/>
      <c r="V800" s="79"/>
      <c r="W800" s="79"/>
      <c r="Z800" s="130"/>
      <c r="AB800" s="106"/>
    </row>
    <row r="801">
      <c r="C801" s="79"/>
      <c r="D801" s="79"/>
      <c r="E801" s="79"/>
      <c r="M801" s="79"/>
      <c r="R801" s="79"/>
      <c r="S801" s="79"/>
      <c r="V801" s="79"/>
      <c r="W801" s="79"/>
      <c r="Z801" s="130"/>
      <c r="AB801" s="106"/>
    </row>
    <row r="802">
      <c r="C802" s="79"/>
      <c r="D802" s="79"/>
      <c r="E802" s="79"/>
      <c r="M802" s="79"/>
      <c r="R802" s="79"/>
      <c r="S802" s="79"/>
      <c r="V802" s="79"/>
      <c r="W802" s="79"/>
      <c r="Z802" s="130"/>
      <c r="AB802" s="106"/>
    </row>
    <row r="803">
      <c r="C803" s="79"/>
      <c r="D803" s="79"/>
      <c r="E803" s="79"/>
      <c r="M803" s="79"/>
      <c r="R803" s="79"/>
      <c r="S803" s="79"/>
      <c r="V803" s="79"/>
      <c r="W803" s="79"/>
      <c r="Z803" s="130"/>
      <c r="AB803" s="106"/>
    </row>
    <row r="804">
      <c r="C804" s="79"/>
      <c r="D804" s="79"/>
      <c r="E804" s="79"/>
      <c r="M804" s="79"/>
      <c r="R804" s="79"/>
      <c r="S804" s="79"/>
      <c r="V804" s="79"/>
      <c r="W804" s="79"/>
      <c r="Z804" s="130"/>
      <c r="AB804" s="106"/>
    </row>
    <row r="805">
      <c r="C805" s="79"/>
      <c r="D805" s="79"/>
      <c r="E805" s="79"/>
      <c r="M805" s="79"/>
      <c r="R805" s="79"/>
      <c r="S805" s="79"/>
      <c r="V805" s="79"/>
      <c r="W805" s="79"/>
      <c r="Z805" s="130"/>
      <c r="AB805" s="106"/>
    </row>
    <row r="806">
      <c r="C806" s="79"/>
      <c r="D806" s="79"/>
      <c r="E806" s="79"/>
      <c r="M806" s="79"/>
      <c r="R806" s="79"/>
      <c r="S806" s="79"/>
      <c r="V806" s="79"/>
      <c r="W806" s="79"/>
      <c r="Z806" s="130"/>
      <c r="AB806" s="106"/>
    </row>
    <row r="807">
      <c r="C807" s="79"/>
      <c r="D807" s="79"/>
      <c r="E807" s="79"/>
      <c r="M807" s="79"/>
      <c r="R807" s="79"/>
      <c r="S807" s="79"/>
      <c r="V807" s="79"/>
      <c r="W807" s="79"/>
      <c r="Z807" s="130"/>
      <c r="AB807" s="106"/>
    </row>
    <row r="808">
      <c r="C808" s="79"/>
      <c r="D808" s="79"/>
      <c r="E808" s="79"/>
      <c r="M808" s="79"/>
      <c r="R808" s="79"/>
      <c r="S808" s="79"/>
      <c r="V808" s="79"/>
      <c r="W808" s="79"/>
      <c r="Z808" s="130"/>
      <c r="AB808" s="106"/>
    </row>
    <row r="809">
      <c r="C809" s="79"/>
      <c r="D809" s="79"/>
      <c r="E809" s="79"/>
      <c r="M809" s="79"/>
      <c r="R809" s="79"/>
      <c r="S809" s="79"/>
      <c r="V809" s="79"/>
      <c r="W809" s="79"/>
      <c r="Z809" s="130"/>
      <c r="AB809" s="106"/>
    </row>
    <row r="810">
      <c r="C810" s="79"/>
      <c r="D810" s="79"/>
      <c r="E810" s="79"/>
      <c r="M810" s="79"/>
      <c r="R810" s="79"/>
      <c r="S810" s="79"/>
      <c r="V810" s="79"/>
      <c r="W810" s="79"/>
      <c r="Z810" s="130"/>
      <c r="AB810" s="106"/>
    </row>
    <row r="811">
      <c r="C811" s="79"/>
      <c r="D811" s="79"/>
      <c r="E811" s="79"/>
      <c r="M811" s="79"/>
      <c r="R811" s="79"/>
      <c r="S811" s="79"/>
      <c r="V811" s="79"/>
      <c r="W811" s="79"/>
      <c r="Z811" s="130"/>
      <c r="AB811" s="106"/>
    </row>
    <row r="812">
      <c r="C812" s="79"/>
      <c r="D812" s="79"/>
      <c r="E812" s="79"/>
      <c r="M812" s="79"/>
      <c r="R812" s="79"/>
      <c r="S812" s="79"/>
      <c r="V812" s="79"/>
      <c r="W812" s="79"/>
      <c r="Z812" s="130"/>
      <c r="AB812" s="106"/>
    </row>
    <row r="813">
      <c r="C813" s="79"/>
      <c r="D813" s="79"/>
      <c r="E813" s="79"/>
      <c r="M813" s="79"/>
      <c r="R813" s="79"/>
      <c r="S813" s="79"/>
      <c r="V813" s="79"/>
      <c r="W813" s="79"/>
      <c r="Z813" s="130"/>
      <c r="AB813" s="106"/>
    </row>
    <row r="814">
      <c r="C814" s="79"/>
      <c r="D814" s="79"/>
      <c r="E814" s="79"/>
      <c r="M814" s="79"/>
      <c r="R814" s="79"/>
      <c r="S814" s="79"/>
      <c r="V814" s="79"/>
      <c r="W814" s="79"/>
      <c r="Z814" s="130"/>
      <c r="AB814" s="106"/>
    </row>
    <row r="815">
      <c r="C815" s="79"/>
      <c r="D815" s="79"/>
      <c r="E815" s="79"/>
      <c r="M815" s="79"/>
      <c r="R815" s="79"/>
      <c r="S815" s="79"/>
      <c r="V815" s="79"/>
      <c r="W815" s="79"/>
      <c r="Z815" s="130"/>
      <c r="AB815" s="106"/>
    </row>
    <row r="816">
      <c r="C816" s="79"/>
      <c r="D816" s="79"/>
      <c r="E816" s="79"/>
      <c r="M816" s="79"/>
      <c r="R816" s="79"/>
      <c r="S816" s="79"/>
      <c r="V816" s="79"/>
      <c r="W816" s="79"/>
      <c r="Z816" s="130"/>
      <c r="AB816" s="106"/>
    </row>
    <row r="817">
      <c r="C817" s="79"/>
      <c r="D817" s="79"/>
      <c r="E817" s="79"/>
      <c r="M817" s="79"/>
      <c r="R817" s="79"/>
      <c r="S817" s="79"/>
      <c r="V817" s="79"/>
      <c r="W817" s="79"/>
      <c r="Z817" s="130"/>
      <c r="AB817" s="106"/>
    </row>
    <row r="818">
      <c r="C818" s="79"/>
      <c r="D818" s="79"/>
      <c r="E818" s="79"/>
      <c r="M818" s="79"/>
      <c r="R818" s="79"/>
      <c r="S818" s="79"/>
      <c r="V818" s="79"/>
      <c r="W818" s="79"/>
      <c r="Z818" s="130"/>
      <c r="AB818" s="106"/>
    </row>
    <row r="819">
      <c r="C819" s="79"/>
      <c r="D819" s="79"/>
      <c r="E819" s="79"/>
      <c r="M819" s="79"/>
      <c r="R819" s="79"/>
      <c r="S819" s="79"/>
      <c r="V819" s="79"/>
      <c r="W819" s="79"/>
      <c r="Z819" s="130"/>
      <c r="AB819" s="106"/>
    </row>
    <row r="820">
      <c r="C820" s="79"/>
      <c r="D820" s="79"/>
      <c r="E820" s="79"/>
      <c r="M820" s="79"/>
      <c r="R820" s="79"/>
      <c r="S820" s="79"/>
      <c r="V820" s="79"/>
      <c r="W820" s="79"/>
      <c r="Z820" s="130"/>
      <c r="AB820" s="106"/>
    </row>
    <row r="821">
      <c r="C821" s="79"/>
      <c r="D821" s="79"/>
      <c r="E821" s="79"/>
      <c r="M821" s="79"/>
      <c r="R821" s="79"/>
      <c r="S821" s="79"/>
      <c r="V821" s="79"/>
      <c r="W821" s="79"/>
      <c r="Z821" s="130"/>
      <c r="AB821" s="106"/>
    </row>
    <row r="822">
      <c r="C822" s="79"/>
      <c r="D822" s="79"/>
      <c r="E822" s="79"/>
      <c r="M822" s="79"/>
      <c r="R822" s="79"/>
      <c r="S822" s="79"/>
      <c r="V822" s="79"/>
      <c r="W822" s="79"/>
      <c r="Z822" s="130"/>
      <c r="AB822" s="106"/>
    </row>
    <row r="823">
      <c r="C823" s="79"/>
      <c r="D823" s="79"/>
      <c r="E823" s="79"/>
      <c r="M823" s="79"/>
      <c r="R823" s="79"/>
      <c r="S823" s="79"/>
      <c r="V823" s="79"/>
      <c r="W823" s="79"/>
      <c r="Z823" s="130"/>
      <c r="AB823" s="106"/>
    </row>
    <row r="824">
      <c r="C824" s="79"/>
      <c r="D824" s="79"/>
      <c r="E824" s="79"/>
      <c r="M824" s="79"/>
      <c r="R824" s="79"/>
      <c r="S824" s="79"/>
      <c r="V824" s="79"/>
      <c r="W824" s="79"/>
      <c r="Z824" s="130"/>
      <c r="AB824" s="106"/>
    </row>
    <row r="825">
      <c r="C825" s="79"/>
      <c r="D825" s="79"/>
      <c r="E825" s="79"/>
      <c r="M825" s="79"/>
      <c r="R825" s="79"/>
      <c r="S825" s="79"/>
      <c r="V825" s="79"/>
      <c r="W825" s="79"/>
      <c r="Z825" s="130"/>
      <c r="AB825" s="106"/>
    </row>
    <row r="826">
      <c r="C826" s="79"/>
      <c r="D826" s="79"/>
      <c r="E826" s="79"/>
      <c r="M826" s="79"/>
      <c r="R826" s="79"/>
      <c r="S826" s="79"/>
      <c r="V826" s="79"/>
      <c r="W826" s="79"/>
      <c r="Z826" s="130"/>
      <c r="AB826" s="106"/>
    </row>
    <row r="827">
      <c r="C827" s="79"/>
      <c r="D827" s="79"/>
      <c r="E827" s="79"/>
      <c r="M827" s="79"/>
      <c r="R827" s="79"/>
      <c r="S827" s="79"/>
      <c r="V827" s="79"/>
      <c r="W827" s="79"/>
      <c r="Z827" s="130"/>
      <c r="AB827" s="106"/>
    </row>
    <row r="828">
      <c r="C828" s="79"/>
      <c r="D828" s="79"/>
      <c r="E828" s="79"/>
      <c r="M828" s="79"/>
      <c r="R828" s="79"/>
      <c r="S828" s="79"/>
      <c r="V828" s="79"/>
      <c r="W828" s="79"/>
      <c r="Z828" s="130"/>
      <c r="AB828" s="106"/>
    </row>
    <row r="829">
      <c r="C829" s="79"/>
      <c r="D829" s="79"/>
      <c r="E829" s="79"/>
      <c r="M829" s="79"/>
      <c r="R829" s="79"/>
      <c r="S829" s="79"/>
      <c r="V829" s="79"/>
      <c r="W829" s="79"/>
      <c r="Z829" s="130"/>
      <c r="AB829" s="106"/>
    </row>
    <row r="830">
      <c r="C830" s="79"/>
      <c r="D830" s="79"/>
      <c r="E830" s="79"/>
      <c r="M830" s="79"/>
      <c r="R830" s="79"/>
      <c r="S830" s="79"/>
      <c r="V830" s="79"/>
      <c r="W830" s="79"/>
      <c r="Z830" s="130"/>
      <c r="AB830" s="106"/>
    </row>
    <row r="831">
      <c r="C831" s="79"/>
      <c r="D831" s="79"/>
      <c r="E831" s="79"/>
      <c r="M831" s="79"/>
      <c r="R831" s="79"/>
      <c r="S831" s="79"/>
      <c r="V831" s="79"/>
      <c r="W831" s="79"/>
      <c r="Z831" s="130"/>
      <c r="AB831" s="106"/>
    </row>
    <row r="832">
      <c r="C832" s="79"/>
      <c r="D832" s="79"/>
      <c r="E832" s="79"/>
      <c r="M832" s="79"/>
      <c r="R832" s="79"/>
      <c r="S832" s="79"/>
      <c r="V832" s="79"/>
      <c r="W832" s="79"/>
      <c r="Z832" s="130"/>
      <c r="AB832" s="106"/>
    </row>
    <row r="833">
      <c r="C833" s="79"/>
      <c r="D833" s="79"/>
      <c r="E833" s="79"/>
      <c r="M833" s="79"/>
      <c r="R833" s="79"/>
      <c r="S833" s="79"/>
      <c r="V833" s="79"/>
      <c r="W833" s="79"/>
      <c r="Z833" s="130"/>
      <c r="AB833" s="106"/>
    </row>
    <row r="834">
      <c r="C834" s="79"/>
      <c r="D834" s="79"/>
      <c r="E834" s="79"/>
      <c r="M834" s="79"/>
      <c r="R834" s="79"/>
      <c r="S834" s="79"/>
      <c r="V834" s="79"/>
      <c r="W834" s="79"/>
      <c r="Z834" s="130"/>
      <c r="AB834" s="106"/>
    </row>
    <row r="835">
      <c r="C835" s="79"/>
      <c r="D835" s="79"/>
      <c r="E835" s="79"/>
      <c r="M835" s="79"/>
      <c r="R835" s="79"/>
      <c r="S835" s="79"/>
      <c r="V835" s="79"/>
      <c r="W835" s="79"/>
      <c r="Z835" s="130"/>
      <c r="AB835" s="106"/>
    </row>
    <row r="836">
      <c r="C836" s="79"/>
      <c r="D836" s="79"/>
      <c r="E836" s="79"/>
      <c r="M836" s="79"/>
      <c r="R836" s="79"/>
      <c r="S836" s="79"/>
      <c r="V836" s="79"/>
      <c r="W836" s="79"/>
      <c r="Z836" s="130"/>
      <c r="AB836" s="106"/>
    </row>
    <row r="837">
      <c r="C837" s="79"/>
      <c r="D837" s="79"/>
      <c r="E837" s="79"/>
      <c r="M837" s="79"/>
      <c r="R837" s="79"/>
      <c r="S837" s="79"/>
      <c r="V837" s="79"/>
      <c r="W837" s="79"/>
      <c r="Z837" s="130"/>
      <c r="AB837" s="106"/>
    </row>
    <row r="838">
      <c r="C838" s="79"/>
      <c r="D838" s="79"/>
      <c r="E838" s="79"/>
      <c r="M838" s="79"/>
      <c r="R838" s="79"/>
      <c r="S838" s="79"/>
      <c r="V838" s="79"/>
      <c r="W838" s="79"/>
      <c r="Z838" s="130"/>
      <c r="AB838" s="106"/>
    </row>
    <row r="839">
      <c r="C839" s="79"/>
      <c r="D839" s="79"/>
      <c r="E839" s="79"/>
      <c r="M839" s="79"/>
      <c r="R839" s="79"/>
      <c r="S839" s="79"/>
      <c r="V839" s="79"/>
      <c r="W839" s="79"/>
      <c r="Z839" s="130"/>
      <c r="AB839" s="106"/>
    </row>
    <row r="840">
      <c r="C840" s="79"/>
      <c r="D840" s="79"/>
      <c r="E840" s="79"/>
      <c r="M840" s="79"/>
      <c r="R840" s="79"/>
      <c r="S840" s="79"/>
      <c r="V840" s="79"/>
      <c r="W840" s="79"/>
      <c r="Z840" s="130"/>
      <c r="AB840" s="106"/>
    </row>
    <row r="841">
      <c r="C841" s="79"/>
      <c r="D841" s="79"/>
      <c r="E841" s="79"/>
      <c r="M841" s="79"/>
      <c r="R841" s="79"/>
      <c r="S841" s="79"/>
      <c r="V841" s="79"/>
      <c r="W841" s="79"/>
      <c r="Z841" s="130"/>
      <c r="AB841" s="106"/>
    </row>
    <row r="842">
      <c r="C842" s="79"/>
      <c r="D842" s="79"/>
      <c r="E842" s="79"/>
      <c r="M842" s="79"/>
      <c r="R842" s="79"/>
      <c r="S842" s="79"/>
      <c r="V842" s="79"/>
      <c r="W842" s="79"/>
      <c r="Z842" s="130"/>
      <c r="AB842" s="106"/>
    </row>
    <row r="843">
      <c r="C843" s="79"/>
      <c r="D843" s="79"/>
      <c r="E843" s="79"/>
      <c r="M843" s="79"/>
      <c r="R843" s="79"/>
      <c r="S843" s="79"/>
      <c r="V843" s="79"/>
      <c r="W843" s="79"/>
      <c r="Z843" s="130"/>
      <c r="AB843" s="106"/>
    </row>
    <row r="844">
      <c r="C844" s="79"/>
      <c r="D844" s="79"/>
      <c r="E844" s="79"/>
      <c r="M844" s="79"/>
      <c r="R844" s="79"/>
      <c r="S844" s="79"/>
      <c r="V844" s="79"/>
      <c r="W844" s="79"/>
      <c r="Z844" s="130"/>
      <c r="AB844" s="106"/>
    </row>
    <row r="845">
      <c r="C845" s="79"/>
      <c r="D845" s="79"/>
      <c r="E845" s="79"/>
      <c r="M845" s="79"/>
      <c r="R845" s="79"/>
      <c r="S845" s="79"/>
      <c r="V845" s="79"/>
      <c r="W845" s="79"/>
      <c r="Z845" s="130"/>
      <c r="AB845" s="106"/>
    </row>
    <row r="846">
      <c r="C846" s="79"/>
      <c r="D846" s="79"/>
      <c r="E846" s="79"/>
      <c r="M846" s="79"/>
      <c r="R846" s="79"/>
      <c r="S846" s="79"/>
      <c r="V846" s="79"/>
      <c r="W846" s="79"/>
      <c r="Z846" s="130"/>
      <c r="AB846" s="106"/>
    </row>
    <row r="847">
      <c r="C847" s="79"/>
      <c r="D847" s="79"/>
      <c r="E847" s="79"/>
      <c r="M847" s="79"/>
      <c r="R847" s="79"/>
      <c r="S847" s="79"/>
      <c r="V847" s="79"/>
      <c r="W847" s="79"/>
      <c r="Z847" s="130"/>
      <c r="AB847" s="106"/>
    </row>
    <row r="848">
      <c r="C848" s="79"/>
      <c r="D848" s="79"/>
      <c r="E848" s="79"/>
      <c r="M848" s="79"/>
      <c r="R848" s="79"/>
      <c r="S848" s="79"/>
      <c r="V848" s="79"/>
      <c r="W848" s="79"/>
      <c r="Z848" s="130"/>
      <c r="AB848" s="106"/>
    </row>
    <row r="849">
      <c r="C849" s="79"/>
      <c r="D849" s="79"/>
      <c r="E849" s="79"/>
      <c r="M849" s="79"/>
      <c r="R849" s="79"/>
      <c r="S849" s="79"/>
      <c r="V849" s="79"/>
      <c r="W849" s="79"/>
      <c r="Z849" s="130"/>
      <c r="AB849" s="106"/>
    </row>
    <row r="850">
      <c r="C850" s="79"/>
      <c r="D850" s="79"/>
      <c r="E850" s="79"/>
      <c r="M850" s="79"/>
      <c r="R850" s="79"/>
      <c r="S850" s="79"/>
      <c r="V850" s="79"/>
      <c r="W850" s="79"/>
      <c r="Z850" s="130"/>
      <c r="AB850" s="106"/>
    </row>
    <row r="851">
      <c r="C851" s="79"/>
      <c r="D851" s="79"/>
      <c r="E851" s="79"/>
      <c r="M851" s="79"/>
      <c r="R851" s="79"/>
      <c r="S851" s="79"/>
      <c r="V851" s="79"/>
      <c r="W851" s="79"/>
      <c r="Z851" s="130"/>
      <c r="AB851" s="106"/>
    </row>
    <row r="852">
      <c r="C852" s="79"/>
      <c r="D852" s="79"/>
      <c r="E852" s="79"/>
      <c r="M852" s="79"/>
      <c r="R852" s="79"/>
      <c r="S852" s="79"/>
      <c r="V852" s="79"/>
      <c r="W852" s="79"/>
      <c r="Z852" s="130"/>
      <c r="AB852" s="106"/>
    </row>
    <row r="853">
      <c r="C853" s="79"/>
      <c r="D853" s="79"/>
      <c r="E853" s="79"/>
      <c r="M853" s="79"/>
      <c r="R853" s="79"/>
      <c r="S853" s="79"/>
      <c r="V853" s="79"/>
      <c r="W853" s="79"/>
      <c r="Z853" s="130"/>
      <c r="AB853" s="106"/>
    </row>
    <row r="854">
      <c r="C854" s="79"/>
      <c r="D854" s="79"/>
      <c r="E854" s="79"/>
      <c r="M854" s="79"/>
      <c r="R854" s="79"/>
      <c r="S854" s="79"/>
      <c r="V854" s="79"/>
      <c r="W854" s="79"/>
      <c r="Z854" s="130"/>
      <c r="AB854" s="106"/>
    </row>
    <row r="855">
      <c r="C855" s="79"/>
      <c r="D855" s="79"/>
      <c r="E855" s="79"/>
      <c r="M855" s="79"/>
      <c r="R855" s="79"/>
      <c r="S855" s="79"/>
      <c r="V855" s="79"/>
      <c r="W855" s="79"/>
      <c r="Z855" s="130"/>
      <c r="AB855" s="106"/>
    </row>
    <row r="856">
      <c r="C856" s="79"/>
      <c r="D856" s="79"/>
      <c r="E856" s="79"/>
      <c r="M856" s="79"/>
      <c r="R856" s="79"/>
      <c r="S856" s="79"/>
      <c r="V856" s="79"/>
      <c r="W856" s="79"/>
      <c r="Z856" s="130"/>
      <c r="AB856" s="106"/>
    </row>
    <row r="857">
      <c r="C857" s="79"/>
      <c r="D857" s="79"/>
      <c r="E857" s="79"/>
      <c r="M857" s="79"/>
      <c r="R857" s="79"/>
      <c r="S857" s="79"/>
      <c r="V857" s="79"/>
      <c r="W857" s="79"/>
      <c r="Z857" s="130"/>
      <c r="AB857" s="106"/>
    </row>
    <row r="858">
      <c r="C858" s="79"/>
      <c r="D858" s="79"/>
      <c r="E858" s="79"/>
      <c r="M858" s="79"/>
      <c r="R858" s="79"/>
      <c r="S858" s="79"/>
      <c r="V858" s="79"/>
      <c r="W858" s="79"/>
      <c r="Z858" s="130"/>
      <c r="AB858" s="106"/>
    </row>
    <row r="859">
      <c r="C859" s="79"/>
      <c r="D859" s="79"/>
      <c r="E859" s="79"/>
      <c r="M859" s="79"/>
      <c r="R859" s="79"/>
      <c r="S859" s="79"/>
      <c r="V859" s="79"/>
      <c r="W859" s="79"/>
      <c r="Z859" s="130"/>
      <c r="AB859" s="106"/>
    </row>
    <row r="860">
      <c r="C860" s="79"/>
      <c r="D860" s="79"/>
      <c r="E860" s="79"/>
      <c r="M860" s="79"/>
      <c r="R860" s="79"/>
      <c r="S860" s="79"/>
      <c r="V860" s="79"/>
      <c r="W860" s="79"/>
      <c r="Z860" s="130"/>
      <c r="AB860" s="106"/>
    </row>
    <row r="861">
      <c r="C861" s="79"/>
      <c r="D861" s="79"/>
      <c r="E861" s="79"/>
      <c r="M861" s="79"/>
      <c r="R861" s="79"/>
      <c r="S861" s="79"/>
      <c r="V861" s="79"/>
      <c r="W861" s="79"/>
      <c r="Z861" s="130"/>
      <c r="AB861" s="106"/>
    </row>
    <row r="862">
      <c r="C862" s="79"/>
      <c r="D862" s="79"/>
      <c r="E862" s="79"/>
      <c r="M862" s="79"/>
      <c r="R862" s="79"/>
      <c r="S862" s="79"/>
      <c r="V862" s="79"/>
      <c r="W862" s="79"/>
      <c r="Z862" s="130"/>
      <c r="AB862" s="106"/>
    </row>
    <row r="863">
      <c r="C863" s="79"/>
      <c r="D863" s="79"/>
      <c r="E863" s="79"/>
      <c r="M863" s="79"/>
      <c r="R863" s="79"/>
      <c r="S863" s="79"/>
      <c r="V863" s="79"/>
      <c r="W863" s="79"/>
      <c r="Z863" s="130"/>
      <c r="AB863" s="106"/>
    </row>
    <row r="864">
      <c r="C864" s="79"/>
      <c r="D864" s="79"/>
      <c r="E864" s="79"/>
      <c r="M864" s="79"/>
      <c r="R864" s="79"/>
      <c r="S864" s="79"/>
      <c r="V864" s="79"/>
      <c r="W864" s="79"/>
      <c r="Z864" s="130"/>
      <c r="AB864" s="106"/>
    </row>
    <row r="865">
      <c r="C865" s="79"/>
      <c r="D865" s="79"/>
      <c r="E865" s="79"/>
      <c r="M865" s="79"/>
      <c r="R865" s="79"/>
      <c r="S865" s="79"/>
      <c r="V865" s="79"/>
      <c r="W865" s="79"/>
      <c r="Z865" s="130"/>
      <c r="AB865" s="106"/>
    </row>
    <row r="866">
      <c r="C866" s="79"/>
      <c r="D866" s="79"/>
      <c r="E866" s="79"/>
      <c r="M866" s="79"/>
      <c r="R866" s="79"/>
      <c r="S866" s="79"/>
      <c r="V866" s="79"/>
      <c r="W866" s="79"/>
      <c r="Z866" s="130"/>
      <c r="AB866" s="106"/>
    </row>
    <row r="867">
      <c r="C867" s="79"/>
      <c r="D867" s="79"/>
      <c r="E867" s="79"/>
      <c r="M867" s="79"/>
      <c r="R867" s="79"/>
      <c r="S867" s="79"/>
      <c r="V867" s="79"/>
      <c r="W867" s="79"/>
      <c r="Z867" s="130"/>
      <c r="AB867" s="106"/>
    </row>
    <row r="868">
      <c r="C868" s="79"/>
      <c r="D868" s="79"/>
      <c r="E868" s="79"/>
      <c r="M868" s="79"/>
      <c r="R868" s="79"/>
      <c r="S868" s="79"/>
      <c r="V868" s="79"/>
      <c r="W868" s="79"/>
      <c r="Z868" s="130"/>
      <c r="AB868" s="106"/>
    </row>
    <row r="869">
      <c r="C869" s="79"/>
      <c r="D869" s="79"/>
      <c r="E869" s="79"/>
      <c r="M869" s="79"/>
      <c r="R869" s="79"/>
      <c r="S869" s="79"/>
      <c r="V869" s="79"/>
      <c r="W869" s="79"/>
      <c r="Z869" s="130"/>
      <c r="AB869" s="106"/>
    </row>
    <row r="870">
      <c r="C870" s="79"/>
      <c r="D870" s="79"/>
      <c r="E870" s="79"/>
      <c r="M870" s="79"/>
      <c r="R870" s="79"/>
      <c r="S870" s="79"/>
      <c r="V870" s="79"/>
      <c r="W870" s="79"/>
      <c r="Z870" s="130"/>
      <c r="AB870" s="106"/>
    </row>
    <row r="871">
      <c r="C871" s="79"/>
      <c r="D871" s="79"/>
      <c r="E871" s="79"/>
      <c r="M871" s="79"/>
      <c r="R871" s="79"/>
      <c r="S871" s="79"/>
      <c r="V871" s="79"/>
      <c r="W871" s="79"/>
      <c r="Z871" s="130"/>
      <c r="AB871" s="106"/>
    </row>
    <row r="872">
      <c r="C872" s="79"/>
      <c r="D872" s="79"/>
      <c r="E872" s="79"/>
      <c r="M872" s="79"/>
      <c r="R872" s="79"/>
      <c r="S872" s="79"/>
      <c r="V872" s="79"/>
      <c r="W872" s="79"/>
      <c r="Z872" s="130"/>
      <c r="AB872" s="106"/>
    </row>
    <row r="873">
      <c r="C873" s="79"/>
      <c r="D873" s="79"/>
      <c r="E873" s="79"/>
      <c r="M873" s="79"/>
      <c r="R873" s="79"/>
      <c r="S873" s="79"/>
      <c r="V873" s="79"/>
      <c r="W873" s="79"/>
      <c r="Z873" s="130"/>
      <c r="AB873" s="106"/>
    </row>
    <row r="874">
      <c r="C874" s="79"/>
      <c r="D874" s="79"/>
      <c r="E874" s="79"/>
      <c r="M874" s="79"/>
      <c r="R874" s="79"/>
      <c r="S874" s="79"/>
      <c r="V874" s="79"/>
      <c r="W874" s="79"/>
      <c r="Z874" s="130"/>
      <c r="AB874" s="106"/>
    </row>
    <row r="875">
      <c r="C875" s="79"/>
      <c r="D875" s="79"/>
      <c r="E875" s="79"/>
      <c r="M875" s="79"/>
      <c r="R875" s="79"/>
      <c r="S875" s="79"/>
      <c r="V875" s="79"/>
      <c r="W875" s="79"/>
      <c r="Z875" s="130"/>
      <c r="AB875" s="106"/>
    </row>
    <row r="876">
      <c r="C876" s="79"/>
      <c r="D876" s="79"/>
      <c r="E876" s="79"/>
      <c r="M876" s="79"/>
      <c r="R876" s="79"/>
      <c r="S876" s="79"/>
      <c r="V876" s="79"/>
      <c r="W876" s="79"/>
      <c r="Z876" s="130"/>
      <c r="AB876" s="106"/>
    </row>
    <row r="877">
      <c r="C877" s="79"/>
      <c r="D877" s="79"/>
      <c r="E877" s="79"/>
      <c r="M877" s="79"/>
      <c r="R877" s="79"/>
      <c r="S877" s="79"/>
      <c r="V877" s="79"/>
      <c r="W877" s="79"/>
      <c r="Z877" s="130"/>
      <c r="AB877" s="106"/>
    </row>
    <row r="878">
      <c r="C878" s="79"/>
      <c r="D878" s="79"/>
      <c r="E878" s="79"/>
      <c r="M878" s="79"/>
      <c r="R878" s="79"/>
      <c r="S878" s="79"/>
      <c r="V878" s="79"/>
      <c r="W878" s="79"/>
      <c r="Z878" s="130"/>
      <c r="AB878" s="106"/>
    </row>
    <row r="879">
      <c r="C879" s="79"/>
      <c r="D879" s="79"/>
      <c r="E879" s="79"/>
      <c r="M879" s="79"/>
      <c r="R879" s="79"/>
      <c r="S879" s="79"/>
      <c r="V879" s="79"/>
      <c r="W879" s="79"/>
      <c r="Z879" s="130"/>
      <c r="AB879" s="106"/>
    </row>
    <row r="880">
      <c r="C880" s="79"/>
      <c r="D880" s="79"/>
      <c r="E880" s="79"/>
      <c r="M880" s="79"/>
      <c r="R880" s="79"/>
      <c r="S880" s="79"/>
      <c r="V880" s="79"/>
      <c r="W880" s="79"/>
      <c r="Z880" s="130"/>
      <c r="AB880" s="106"/>
    </row>
    <row r="881">
      <c r="C881" s="79"/>
      <c r="D881" s="79"/>
      <c r="E881" s="79"/>
      <c r="M881" s="79"/>
      <c r="R881" s="79"/>
      <c r="S881" s="79"/>
      <c r="V881" s="79"/>
      <c r="W881" s="79"/>
      <c r="Z881" s="130"/>
      <c r="AB881" s="106"/>
    </row>
    <row r="882">
      <c r="C882" s="79"/>
      <c r="D882" s="79"/>
      <c r="E882" s="79"/>
      <c r="M882" s="79"/>
      <c r="R882" s="79"/>
      <c r="S882" s="79"/>
      <c r="V882" s="79"/>
      <c r="W882" s="79"/>
      <c r="Z882" s="130"/>
      <c r="AB882" s="106"/>
    </row>
    <row r="883">
      <c r="C883" s="79"/>
      <c r="D883" s="79"/>
      <c r="E883" s="79"/>
      <c r="M883" s="79"/>
      <c r="R883" s="79"/>
      <c r="S883" s="79"/>
      <c r="V883" s="79"/>
      <c r="W883" s="79"/>
      <c r="Z883" s="130"/>
      <c r="AB883" s="106"/>
    </row>
    <row r="884">
      <c r="C884" s="79"/>
      <c r="D884" s="79"/>
      <c r="E884" s="79"/>
      <c r="M884" s="79"/>
      <c r="R884" s="79"/>
      <c r="S884" s="79"/>
      <c r="V884" s="79"/>
      <c r="W884" s="79"/>
      <c r="Z884" s="130"/>
      <c r="AB884" s="106"/>
    </row>
    <row r="885">
      <c r="C885" s="79"/>
      <c r="D885" s="79"/>
      <c r="E885" s="79"/>
      <c r="M885" s="79"/>
      <c r="R885" s="79"/>
      <c r="S885" s="79"/>
      <c r="V885" s="79"/>
      <c r="W885" s="79"/>
      <c r="Z885" s="130"/>
      <c r="AB885" s="106"/>
    </row>
    <row r="886">
      <c r="C886" s="79"/>
      <c r="D886" s="79"/>
      <c r="E886" s="79"/>
      <c r="M886" s="79"/>
      <c r="R886" s="79"/>
      <c r="S886" s="79"/>
      <c r="V886" s="79"/>
      <c r="W886" s="79"/>
      <c r="Z886" s="130"/>
      <c r="AB886" s="106"/>
    </row>
    <row r="887">
      <c r="C887" s="79"/>
      <c r="D887" s="79"/>
      <c r="E887" s="79"/>
      <c r="M887" s="79"/>
      <c r="R887" s="79"/>
      <c r="S887" s="79"/>
      <c r="V887" s="79"/>
      <c r="W887" s="79"/>
      <c r="Z887" s="130"/>
      <c r="AB887" s="106"/>
    </row>
    <row r="888">
      <c r="C888" s="79"/>
      <c r="D888" s="79"/>
      <c r="E888" s="79"/>
      <c r="M888" s="79"/>
      <c r="R888" s="79"/>
      <c r="S888" s="79"/>
      <c r="V888" s="79"/>
      <c r="W888" s="79"/>
      <c r="Z888" s="130"/>
      <c r="AB888" s="106"/>
    </row>
    <row r="889">
      <c r="C889" s="79"/>
      <c r="D889" s="79"/>
      <c r="E889" s="79"/>
      <c r="M889" s="79"/>
      <c r="R889" s="79"/>
      <c r="S889" s="79"/>
      <c r="V889" s="79"/>
      <c r="W889" s="79"/>
      <c r="Z889" s="130"/>
      <c r="AB889" s="106"/>
    </row>
    <row r="890">
      <c r="C890" s="79"/>
      <c r="D890" s="79"/>
      <c r="E890" s="79"/>
      <c r="M890" s="79"/>
      <c r="R890" s="79"/>
      <c r="S890" s="79"/>
      <c r="V890" s="79"/>
      <c r="W890" s="79"/>
      <c r="Z890" s="130"/>
      <c r="AB890" s="106"/>
    </row>
    <row r="891">
      <c r="C891" s="79"/>
      <c r="D891" s="79"/>
      <c r="E891" s="79"/>
      <c r="M891" s="79"/>
      <c r="R891" s="79"/>
      <c r="S891" s="79"/>
      <c r="V891" s="79"/>
      <c r="W891" s="79"/>
      <c r="Z891" s="130"/>
      <c r="AB891" s="106"/>
    </row>
    <row r="892">
      <c r="C892" s="79"/>
      <c r="D892" s="79"/>
      <c r="E892" s="79"/>
      <c r="M892" s="79"/>
      <c r="R892" s="79"/>
      <c r="S892" s="79"/>
      <c r="V892" s="79"/>
      <c r="W892" s="79"/>
      <c r="Z892" s="130"/>
      <c r="AB892" s="106"/>
    </row>
    <row r="893">
      <c r="C893" s="79"/>
      <c r="D893" s="79"/>
      <c r="E893" s="79"/>
      <c r="M893" s="79"/>
      <c r="R893" s="79"/>
      <c r="S893" s="79"/>
      <c r="V893" s="79"/>
      <c r="W893" s="79"/>
      <c r="Z893" s="130"/>
      <c r="AB893" s="106"/>
    </row>
    <row r="894">
      <c r="C894" s="79"/>
      <c r="D894" s="79"/>
      <c r="E894" s="79"/>
      <c r="M894" s="79"/>
      <c r="R894" s="79"/>
      <c r="S894" s="79"/>
      <c r="V894" s="79"/>
      <c r="W894" s="79"/>
      <c r="Z894" s="130"/>
      <c r="AB894" s="106"/>
    </row>
    <row r="895">
      <c r="C895" s="79"/>
      <c r="D895" s="79"/>
      <c r="E895" s="79"/>
      <c r="M895" s="79"/>
      <c r="R895" s="79"/>
      <c r="S895" s="79"/>
      <c r="V895" s="79"/>
      <c r="W895" s="79"/>
      <c r="Z895" s="130"/>
      <c r="AB895" s="106"/>
    </row>
    <row r="896">
      <c r="C896" s="79"/>
      <c r="D896" s="79"/>
      <c r="E896" s="79"/>
      <c r="M896" s="79"/>
      <c r="R896" s="79"/>
      <c r="S896" s="79"/>
      <c r="V896" s="79"/>
      <c r="W896" s="79"/>
      <c r="Z896" s="130"/>
      <c r="AB896" s="106"/>
    </row>
    <row r="897">
      <c r="C897" s="79"/>
      <c r="D897" s="79"/>
      <c r="E897" s="79"/>
      <c r="M897" s="79"/>
      <c r="R897" s="79"/>
      <c r="S897" s="79"/>
      <c r="V897" s="79"/>
      <c r="W897" s="79"/>
      <c r="Z897" s="130"/>
      <c r="AB897" s="106"/>
    </row>
    <row r="898">
      <c r="C898" s="79"/>
      <c r="D898" s="79"/>
      <c r="E898" s="79"/>
      <c r="M898" s="79"/>
      <c r="R898" s="79"/>
      <c r="S898" s="79"/>
      <c r="V898" s="79"/>
      <c r="W898" s="79"/>
      <c r="Z898" s="130"/>
      <c r="AB898" s="106"/>
    </row>
    <row r="899">
      <c r="C899" s="79"/>
      <c r="D899" s="79"/>
      <c r="E899" s="79"/>
      <c r="M899" s="79"/>
      <c r="R899" s="79"/>
      <c r="S899" s="79"/>
      <c r="V899" s="79"/>
      <c r="W899" s="79"/>
      <c r="Z899" s="130"/>
      <c r="AB899" s="106"/>
    </row>
    <row r="900">
      <c r="C900" s="79"/>
      <c r="D900" s="79"/>
      <c r="E900" s="79"/>
      <c r="M900" s="79"/>
      <c r="R900" s="79"/>
      <c r="S900" s="79"/>
      <c r="V900" s="79"/>
      <c r="W900" s="79"/>
      <c r="Z900" s="130"/>
      <c r="AB900" s="106"/>
    </row>
    <row r="901">
      <c r="C901" s="79"/>
      <c r="D901" s="79"/>
      <c r="E901" s="79"/>
      <c r="M901" s="79"/>
      <c r="R901" s="79"/>
      <c r="S901" s="79"/>
      <c r="V901" s="79"/>
      <c r="W901" s="79"/>
      <c r="Z901" s="130"/>
      <c r="AB901" s="106"/>
    </row>
    <row r="902">
      <c r="C902" s="79"/>
      <c r="D902" s="79"/>
      <c r="E902" s="79"/>
      <c r="M902" s="79"/>
      <c r="R902" s="79"/>
      <c r="S902" s="79"/>
      <c r="V902" s="79"/>
      <c r="W902" s="79"/>
      <c r="Z902" s="130"/>
      <c r="AB902" s="106"/>
    </row>
    <row r="903">
      <c r="C903" s="79"/>
      <c r="D903" s="79"/>
      <c r="E903" s="79"/>
      <c r="M903" s="79"/>
      <c r="R903" s="79"/>
      <c r="S903" s="79"/>
      <c r="V903" s="79"/>
      <c r="W903" s="79"/>
      <c r="Z903" s="130"/>
      <c r="AB903" s="106"/>
    </row>
    <row r="904">
      <c r="C904" s="79"/>
      <c r="D904" s="79"/>
      <c r="E904" s="79"/>
      <c r="M904" s="79"/>
      <c r="R904" s="79"/>
      <c r="S904" s="79"/>
      <c r="V904" s="79"/>
      <c r="W904" s="79"/>
      <c r="Z904" s="130"/>
      <c r="AB904" s="106"/>
    </row>
    <row r="905">
      <c r="C905" s="79"/>
      <c r="D905" s="79"/>
      <c r="E905" s="79"/>
      <c r="M905" s="79"/>
      <c r="R905" s="79"/>
      <c r="S905" s="79"/>
      <c r="V905" s="79"/>
      <c r="W905" s="79"/>
      <c r="Z905" s="130"/>
      <c r="AB905" s="106"/>
    </row>
    <row r="906">
      <c r="C906" s="79"/>
      <c r="D906" s="79"/>
      <c r="E906" s="79"/>
      <c r="M906" s="79"/>
      <c r="R906" s="79"/>
      <c r="S906" s="79"/>
      <c r="V906" s="79"/>
      <c r="W906" s="79"/>
      <c r="Z906" s="130"/>
      <c r="AB906" s="106"/>
    </row>
    <row r="907">
      <c r="C907" s="79"/>
      <c r="D907" s="79"/>
      <c r="E907" s="79"/>
      <c r="M907" s="79"/>
      <c r="R907" s="79"/>
      <c r="S907" s="79"/>
      <c r="V907" s="79"/>
      <c r="W907" s="79"/>
      <c r="Z907" s="130"/>
      <c r="AB907" s="106"/>
    </row>
    <row r="908">
      <c r="C908" s="79"/>
      <c r="D908" s="79"/>
      <c r="E908" s="79"/>
      <c r="M908" s="79"/>
      <c r="R908" s="79"/>
      <c r="S908" s="79"/>
      <c r="V908" s="79"/>
      <c r="W908" s="79"/>
      <c r="Z908" s="130"/>
      <c r="AB908" s="106"/>
    </row>
    <row r="909">
      <c r="C909" s="79"/>
      <c r="D909" s="79"/>
      <c r="E909" s="79"/>
      <c r="M909" s="79"/>
      <c r="R909" s="79"/>
      <c r="S909" s="79"/>
      <c r="V909" s="79"/>
      <c r="W909" s="79"/>
      <c r="Z909" s="130"/>
      <c r="AB909" s="106"/>
    </row>
    <row r="910">
      <c r="C910" s="79"/>
      <c r="D910" s="79"/>
      <c r="E910" s="79"/>
      <c r="M910" s="79"/>
      <c r="R910" s="79"/>
      <c r="S910" s="79"/>
      <c r="V910" s="79"/>
      <c r="W910" s="79"/>
      <c r="Z910" s="130"/>
      <c r="AB910" s="106"/>
    </row>
    <row r="911">
      <c r="C911" s="79"/>
      <c r="D911" s="79"/>
      <c r="E911" s="79"/>
      <c r="M911" s="79"/>
      <c r="R911" s="79"/>
      <c r="S911" s="79"/>
      <c r="V911" s="79"/>
      <c r="W911" s="79"/>
      <c r="Z911" s="130"/>
      <c r="AB911" s="106"/>
    </row>
    <row r="912">
      <c r="C912" s="79"/>
      <c r="D912" s="79"/>
      <c r="E912" s="79"/>
      <c r="M912" s="79"/>
      <c r="R912" s="79"/>
      <c r="S912" s="79"/>
      <c r="V912" s="79"/>
      <c r="W912" s="79"/>
      <c r="Z912" s="130"/>
      <c r="AB912" s="106"/>
    </row>
    <row r="913">
      <c r="C913" s="79"/>
      <c r="D913" s="79"/>
      <c r="E913" s="79"/>
      <c r="M913" s="79"/>
      <c r="R913" s="79"/>
      <c r="S913" s="79"/>
      <c r="V913" s="79"/>
      <c r="W913" s="79"/>
      <c r="Z913" s="130"/>
      <c r="AB913" s="106"/>
    </row>
    <row r="914">
      <c r="C914" s="79"/>
      <c r="D914" s="79"/>
      <c r="E914" s="79"/>
      <c r="M914" s="79"/>
      <c r="R914" s="79"/>
      <c r="S914" s="79"/>
      <c r="V914" s="79"/>
      <c r="W914" s="79"/>
      <c r="Z914" s="130"/>
      <c r="AB914" s="106"/>
    </row>
    <row r="915">
      <c r="C915" s="79"/>
      <c r="D915" s="79"/>
      <c r="E915" s="79"/>
      <c r="M915" s="79"/>
      <c r="R915" s="79"/>
      <c r="S915" s="79"/>
      <c r="V915" s="79"/>
      <c r="W915" s="79"/>
      <c r="Z915" s="130"/>
      <c r="AB915" s="106"/>
    </row>
    <row r="916">
      <c r="C916" s="79"/>
      <c r="D916" s="79"/>
      <c r="E916" s="79"/>
      <c r="M916" s="79"/>
      <c r="R916" s="79"/>
      <c r="S916" s="79"/>
      <c r="V916" s="79"/>
      <c r="W916" s="79"/>
      <c r="Z916" s="130"/>
      <c r="AB916" s="106"/>
    </row>
    <row r="917">
      <c r="C917" s="79"/>
      <c r="D917" s="79"/>
      <c r="E917" s="79"/>
      <c r="M917" s="79"/>
      <c r="R917" s="79"/>
      <c r="S917" s="79"/>
      <c r="V917" s="79"/>
      <c r="W917" s="79"/>
      <c r="Z917" s="130"/>
      <c r="AB917" s="106"/>
    </row>
    <row r="918">
      <c r="C918" s="79"/>
      <c r="D918" s="79"/>
      <c r="E918" s="79"/>
      <c r="M918" s="79"/>
      <c r="R918" s="79"/>
      <c r="S918" s="79"/>
      <c r="V918" s="79"/>
      <c r="W918" s="79"/>
      <c r="Z918" s="130"/>
      <c r="AB918" s="106"/>
    </row>
    <row r="919">
      <c r="C919" s="79"/>
      <c r="D919" s="79"/>
      <c r="E919" s="79"/>
      <c r="M919" s="79"/>
      <c r="R919" s="79"/>
      <c r="S919" s="79"/>
      <c r="V919" s="79"/>
      <c r="W919" s="79"/>
      <c r="Z919" s="130"/>
      <c r="AB919" s="106"/>
    </row>
    <row r="920">
      <c r="C920" s="79"/>
      <c r="D920" s="79"/>
      <c r="E920" s="79"/>
      <c r="M920" s="79"/>
      <c r="R920" s="79"/>
      <c r="S920" s="79"/>
      <c r="V920" s="79"/>
      <c r="W920" s="79"/>
      <c r="Z920" s="130"/>
      <c r="AB920" s="106"/>
    </row>
    <row r="921">
      <c r="C921" s="79"/>
      <c r="D921" s="79"/>
      <c r="E921" s="79"/>
      <c r="M921" s="79"/>
      <c r="R921" s="79"/>
      <c r="S921" s="79"/>
      <c r="V921" s="79"/>
      <c r="W921" s="79"/>
      <c r="Z921" s="130"/>
      <c r="AB921" s="106"/>
    </row>
    <row r="922">
      <c r="C922" s="79"/>
      <c r="D922" s="79"/>
      <c r="E922" s="79"/>
      <c r="M922" s="79"/>
      <c r="R922" s="79"/>
      <c r="S922" s="79"/>
      <c r="V922" s="79"/>
      <c r="W922" s="79"/>
      <c r="Z922" s="130"/>
      <c r="AB922" s="106"/>
    </row>
    <row r="923">
      <c r="C923" s="79"/>
      <c r="D923" s="79"/>
      <c r="E923" s="79"/>
      <c r="M923" s="79"/>
      <c r="R923" s="79"/>
      <c r="S923" s="79"/>
      <c r="V923" s="79"/>
      <c r="W923" s="79"/>
      <c r="Z923" s="130"/>
      <c r="AB923" s="106"/>
    </row>
    <row r="924">
      <c r="C924" s="79"/>
      <c r="D924" s="79"/>
      <c r="E924" s="79"/>
      <c r="M924" s="79"/>
      <c r="R924" s="79"/>
      <c r="S924" s="79"/>
      <c r="V924" s="79"/>
      <c r="W924" s="79"/>
      <c r="Z924" s="130"/>
      <c r="AB924" s="106"/>
    </row>
    <row r="925">
      <c r="C925" s="79"/>
      <c r="D925" s="79"/>
      <c r="E925" s="79"/>
      <c r="M925" s="79"/>
      <c r="R925" s="79"/>
      <c r="S925" s="79"/>
      <c r="V925" s="79"/>
      <c r="W925" s="79"/>
      <c r="Z925" s="130"/>
      <c r="AB925" s="106"/>
    </row>
    <row r="926">
      <c r="C926" s="79"/>
      <c r="D926" s="79"/>
      <c r="E926" s="79"/>
      <c r="M926" s="79"/>
      <c r="R926" s="79"/>
      <c r="S926" s="79"/>
      <c r="V926" s="79"/>
      <c r="W926" s="79"/>
      <c r="Z926" s="130"/>
      <c r="AB926" s="106"/>
    </row>
    <row r="927">
      <c r="C927" s="79"/>
      <c r="D927" s="79"/>
      <c r="E927" s="79"/>
      <c r="M927" s="79"/>
      <c r="R927" s="79"/>
      <c r="S927" s="79"/>
      <c r="V927" s="79"/>
      <c r="W927" s="79"/>
      <c r="Z927" s="130"/>
      <c r="AB927" s="106"/>
    </row>
    <row r="928">
      <c r="C928" s="79"/>
      <c r="D928" s="79"/>
      <c r="E928" s="79"/>
      <c r="M928" s="79"/>
      <c r="R928" s="79"/>
      <c r="S928" s="79"/>
      <c r="V928" s="79"/>
      <c r="W928" s="79"/>
      <c r="Z928" s="130"/>
      <c r="AB928" s="106"/>
    </row>
    <row r="929">
      <c r="C929" s="79"/>
      <c r="D929" s="79"/>
      <c r="E929" s="79"/>
      <c r="M929" s="79"/>
      <c r="R929" s="79"/>
      <c r="S929" s="79"/>
      <c r="V929" s="79"/>
      <c r="W929" s="79"/>
      <c r="Z929" s="130"/>
      <c r="AB929" s="106"/>
    </row>
    <row r="930">
      <c r="C930" s="79"/>
      <c r="D930" s="79"/>
      <c r="E930" s="79"/>
      <c r="M930" s="79"/>
      <c r="R930" s="79"/>
      <c r="S930" s="79"/>
      <c r="V930" s="79"/>
      <c r="W930" s="79"/>
      <c r="Z930" s="130"/>
      <c r="AB930" s="106"/>
    </row>
    <row r="931">
      <c r="C931" s="79"/>
      <c r="D931" s="79"/>
      <c r="E931" s="79"/>
      <c r="M931" s="79"/>
      <c r="R931" s="79"/>
      <c r="S931" s="79"/>
      <c r="V931" s="79"/>
      <c r="W931" s="79"/>
      <c r="Z931" s="130"/>
      <c r="AB931" s="106"/>
    </row>
    <row r="932">
      <c r="C932" s="79"/>
      <c r="D932" s="79"/>
      <c r="E932" s="79"/>
      <c r="M932" s="79"/>
      <c r="R932" s="79"/>
      <c r="S932" s="79"/>
      <c r="V932" s="79"/>
      <c r="W932" s="79"/>
      <c r="Z932" s="130"/>
      <c r="AB932" s="106"/>
    </row>
    <row r="933">
      <c r="C933" s="79"/>
      <c r="D933" s="79"/>
      <c r="E933" s="79"/>
      <c r="M933" s="79"/>
      <c r="R933" s="79"/>
      <c r="S933" s="79"/>
      <c r="V933" s="79"/>
      <c r="W933" s="79"/>
      <c r="Z933" s="130"/>
      <c r="AB933" s="106"/>
    </row>
    <row r="934">
      <c r="C934" s="79"/>
      <c r="D934" s="79"/>
      <c r="E934" s="79"/>
      <c r="M934" s="79"/>
      <c r="R934" s="79"/>
      <c r="S934" s="79"/>
      <c r="V934" s="79"/>
      <c r="W934" s="79"/>
      <c r="Z934" s="130"/>
      <c r="AB934" s="106"/>
    </row>
    <row r="935">
      <c r="C935" s="79"/>
      <c r="D935" s="79"/>
      <c r="E935" s="79"/>
      <c r="M935" s="79"/>
      <c r="R935" s="79"/>
      <c r="S935" s="79"/>
      <c r="V935" s="79"/>
      <c r="W935" s="79"/>
      <c r="Z935" s="130"/>
      <c r="AB935" s="106"/>
    </row>
    <row r="936">
      <c r="C936" s="79"/>
      <c r="D936" s="79"/>
      <c r="E936" s="79"/>
      <c r="M936" s="79"/>
      <c r="R936" s="79"/>
      <c r="S936" s="79"/>
      <c r="V936" s="79"/>
      <c r="W936" s="79"/>
      <c r="Z936" s="130"/>
      <c r="AB936" s="106"/>
    </row>
    <row r="937">
      <c r="C937" s="79"/>
      <c r="D937" s="79"/>
      <c r="E937" s="79"/>
      <c r="M937" s="79"/>
      <c r="R937" s="79"/>
      <c r="S937" s="79"/>
      <c r="V937" s="79"/>
      <c r="W937" s="79"/>
      <c r="Z937" s="130"/>
      <c r="AB937" s="106"/>
    </row>
    <row r="938">
      <c r="C938" s="79"/>
      <c r="D938" s="79"/>
      <c r="E938" s="79"/>
      <c r="M938" s="79"/>
      <c r="R938" s="79"/>
      <c r="S938" s="79"/>
      <c r="V938" s="79"/>
      <c r="W938" s="79"/>
      <c r="Z938" s="130"/>
      <c r="AB938" s="106"/>
    </row>
    <row r="939">
      <c r="C939" s="79"/>
      <c r="D939" s="79"/>
      <c r="E939" s="79"/>
      <c r="M939" s="79"/>
      <c r="R939" s="79"/>
      <c r="S939" s="79"/>
      <c r="V939" s="79"/>
      <c r="W939" s="79"/>
      <c r="Z939" s="130"/>
      <c r="AB939" s="106"/>
    </row>
    <row r="940">
      <c r="C940" s="79"/>
      <c r="D940" s="79"/>
      <c r="E940" s="79"/>
      <c r="M940" s="79"/>
      <c r="R940" s="79"/>
      <c r="S940" s="79"/>
      <c r="V940" s="79"/>
      <c r="W940" s="79"/>
      <c r="Z940" s="130"/>
      <c r="AB940" s="106"/>
    </row>
    <row r="941">
      <c r="C941" s="79"/>
      <c r="D941" s="79"/>
      <c r="E941" s="79"/>
      <c r="M941" s="79"/>
      <c r="R941" s="79"/>
      <c r="S941" s="79"/>
      <c r="V941" s="79"/>
      <c r="W941" s="79"/>
      <c r="Z941" s="130"/>
      <c r="AB941" s="106"/>
    </row>
    <row r="942">
      <c r="C942" s="79"/>
      <c r="D942" s="79"/>
      <c r="E942" s="79"/>
      <c r="M942" s="79"/>
      <c r="R942" s="79"/>
      <c r="S942" s="79"/>
      <c r="V942" s="79"/>
      <c r="W942" s="79"/>
      <c r="Z942" s="130"/>
      <c r="AB942" s="106"/>
    </row>
    <row r="943">
      <c r="C943" s="79"/>
      <c r="D943" s="79"/>
      <c r="E943" s="79"/>
      <c r="M943" s="79"/>
      <c r="R943" s="79"/>
      <c r="S943" s="79"/>
      <c r="V943" s="79"/>
      <c r="W943" s="79"/>
      <c r="Z943" s="130"/>
      <c r="AB943" s="106"/>
    </row>
    <row r="944">
      <c r="C944" s="79"/>
      <c r="D944" s="79"/>
      <c r="E944" s="79"/>
      <c r="M944" s="79"/>
      <c r="R944" s="79"/>
      <c r="S944" s="79"/>
      <c r="V944" s="79"/>
      <c r="W944" s="79"/>
      <c r="Z944" s="130"/>
      <c r="AB944" s="106"/>
    </row>
    <row r="945">
      <c r="C945" s="79"/>
      <c r="D945" s="79"/>
      <c r="E945" s="79"/>
      <c r="M945" s="79"/>
      <c r="R945" s="79"/>
      <c r="S945" s="79"/>
      <c r="V945" s="79"/>
      <c r="W945" s="79"/>
      <c r="Z945" s="130"/>
      <c r="AB945" s="106"/>
    </row>
    <row r="946">
      <c r="C946" s="79"/>
      <c r="D946" s="79"/>
      <c r="E946" s="79"/>
      <c r="M946" s="79"/>
      <c r="R946" s="79"/>
      <c r="S946" s="79"/>
      <c r="V946" s="79"/>
      <c r="W946" s="79"/>
      <c r="Z946" s="130"/>
      <c r="AB946" s="106"/>
    </row>
    <row r="947">
      <c r="C947" s="79"/>
      <c r="D947" s="79"/>
      <c r="E947" s="79"/>
      <c r="M947" s="79"/>
      <c r="R947" s="79"/>
      <c r="S947" s="79"/>
      <c r="V947" s="79"/>
      <c r="W947" s="79"/>
      <c r="Z947" s="130"/>
      <c r="AB947" s="106"/>
    </row>
    <row r="948">
      <c r="C948" s="79"/>
      <c r="D948" s="79"/>
      <c r="E948" s="79"/>
      <c r="M948" s="79"/>
      <c r="R948" s="79"/>
      <c r="S948" s="79"/>
      <c r="V948" s="79"/>
      <c r="W948" s="79"/>
      <c r="Z948" s="130"/>
      <c r="AB948" s="106"/>
    </row>
    <row r="949">
      <c r="C949" s="79"/>
      <c r="D949" s="79"/>
      <c r="E949" s="79"/>
      <c r="M949" s="79"/>
      <c r="R949" s="79"/>
      <c r="S949" s="79"/>
      <c r="V949" s="79"/>
      <c r="W949" s="79"/>
      <c r="Z949" s="130"/>
      <c r="AB949" s="106"/>
    </row>
    <row r="950">
      <c r="C950" s="79"/>
      <c r="D950" s="79"/>
      <c r="E950" s="79"/>
      <c r="M950" s="79"/>
      <c r="R950" s="79"/>
      <c r="S950" s="79"/>
      <c r="V950" s="79"/>
      <c r="W950" s="79"/>
      <c r="Z950" s="130"/>
      <c r="AB950" s="106"/>
    </row>
    <row r="951">
      <c r="C951" s="79"/>
      <c r="D951" s="79"/>
      <c r="E951" s="79"/>
      <c r="M951" s="79"/>
      <c r="R951" s="79"/>
      <c r="S951" s="79"/>
      <c r="V951" s="79"/>
      <c r="W951" s="79"/>
      <c r="Z951" s="130"/>
      <c r="AB951" s="106"/>
    </row>
    <row r="952">
      <c r="C952" s="79"/>
      <c r="D952" s="79"/>
      <c r="E952" s="79"/>
      <c r="M952" s="79"/>
      <c r="R952" s="79"/>
      <c r="S952" s="79"/>
      <c r="V952" s="79"/>
      <c r="W952" s="79"/>
      <c r="Z952" s="130"/>
      <c r="AB952" s="106"/>
    </row>
    <row r="953">
      <c r="C953" s="79"/>
      <c r="D953" s="79"/>
      <c r="E953" s="79"/>
      <c r="M953" s="79"/>
      <c r="R953" s="79"/>
      <c r="S953" s="79"/>
      <c r="V953" s="79"/>
      <c r="W953" s="79"/>
      <c r="Z953" s="130"/>
      <c r="AB953" s="106"/>
    </row>
    <row r="954">
      <c r="C954" s="79"/>
      <c r="D954" s="79"/>
      <c r="E954" s="79"/>
      <c r="M954" s="79"/>
      <c r="R954" s="79"/>
      <c r="S954" s="79"/>
      <c r="V954" s="79"/>
      <c r="W954" s="79"/>
      <c r="Z954" s="130"/>
      <c r="AB954" s="106"/>
    </row>
    <row r="955">
      <c r="C955" s="79"/>
      <c r="D955" s="79"/>
      <c r="E955" s="79"/>
      <c r="M955" s="79"/>
      <c r="R955" s="79"/>
      <c r="S955" s="79"/>
      <c r="V955" s="79"/>
      <c r="W955" s="79"/>
      <c r="Z955" s="130"/>
      <c r="AB955" s="106"/>
    </row>
    <row r="956">
      <c r="C956" s="79"/>
      <c r="D956" s="79"/>
      <c r="E956" s="79"/>
      <c r="M956" s="79"/>
      <c r="R956" s="79"/>
      <c r="S956" s="79"/>
      <c r="V956" s="79"/>
      <c r="W956" s="79"/>
      <c r="Z956" s="130"/>
      <c r="AB956" s="106"/>
    </row>
    <row r="957">
      <c r="C957" s="79"/>
      <c r="D957" s="79"/>
      <c r="E957" s="79"/>
      <c r="M957" s="79"/>
      <c r="R957" s="79"/>
      <c r="S957" s="79"/>
      <c r="V957" s="79"/>
      <c r="W957" s="79"/>
      <c r="Z957" s="130"/>
      <c r="AB957" s="106"/>
    </row>
    <row r="958">
      <c r="C958" s="79"/>
      <c r="D958" s="79"/>
      <c r="E958" s="79"/>
      <c r="M958" s="79"/>
      <c r="R958" s="79"/>
      <c r="S958" s="79"/>
      <c r="V958" s="79"/>
      <c r="W958" s="79"/>
      <c r="Z958" s="130"/>
      <c r="AB958" s="106"/>
    </row>
    <row r="959">
      <c r="C959" s="79"/>
      <c r="D959" s="79"/>
      <c r="E959" s="79"/>
      <c r="M959" s="79"/>
      <c r="R959" s="79"/>
      <c r="S959" s="79"/>
      <c r="V959" s="79"/>
      <c r="W959" s="79"/>
      <c r="Z959" s="130"/>
      <c r="AB959" s="106"/>
    </row>
    <row r="960">
      <c r="C960" s="79"/>
      <c r="D960" s="79"/>
      <c r="E960" s="79"/>
      <c r="M960" s="79"/>
      <c r="R960" s="79"/>
      <c r="S960" s="79"/>
      <c r="V960" s="79"/>
      <c r="W960" s="79"/>
      <c r="Z960" s="130"/>
      <c r="AB960" s="106"/>
    </row>
    <row r="961">
      <c r="C961" s="79"/>
      <c r="D961" s="79"/>
      <c r="E961" s="79"/>
      <c r="M961" s="79"/>
      <c r="R961" s="79"/>
      <c r="S961" s="79"/>
      <c r="V961" s="79"/>
      <c r="W961" s="79"/>
      <c r="Z961" s="130"/>
      <c r="AB961" s="106"/>
    </row>
    <row r="962">
      <c r="C962" s="79"/>
      <c r="D962" s="79"/>
      <c r="E962" s="79"/>
      <c r="M962" s="79"/>
      <c r="R962" s="79"/>
      <c r="S962" s="79"/>
      <c r="V962" s="79"/>
      <c r="W962" s="79"/>
      <c r="Z962" s="130"/>
      <c r="AB962" s="106"/>
    </row>
    <row r="963">
      <c r="C963" s="79"/>
      <c r="D963" s="79"/>
      <c r="E963" s="79"/>
      <c r="M963" s="79"/>
      <c r="R963" s="79"/>
      <c r="S963" s="79"/>
      <c r="V963" s="79"/>
      <c r="W963" s="79"/>
      <c r="Z963" s="130"/>
      <c r="AB963" s="106"/>
    </row>
    <row r="964">
      <c r="C964" s="79"/>
      <c r="D964" s="79"/>
      <c r="E964" s="79"/>
      <c r="M964" s="79"/>
      <c r="R964" s="79"/>
      <c r="S964" s="79"/>
      <c r="V964" s="79"/>
      <c r="W964" s="79"/>
      <c r="Z964" s="130"/>
      <c r="AB964" s="106"/>
    </row>
    <row r="965">
      <c r="C965" s="79"/>
      <c r="D965" s="79"/>
      <c r="E965" s="79"/>
      <c r="M965" s="79"/>
      <c r="R965" s="79"/>
      <c r="S965" s="79"/>
      <c r="V965" s="79"/>
      <c r="W965" s="79"/>
      <c r="Z965" s="130"/>
      <c r="AB965" s="106"/>
    </row>
    <row r="966">
      <c r="C966" s="79"/>
      <c r="D966" s="79"/>
      <c r="E966" s="79"/>
      <c r="M966" s="79"/>
      <c r="R966" s="79"/>
      <c r="S966" s="79"/>
      <c r="V966" s="79"/>
      <c r="W966" s="79"/>
      <c r="Z966" s="130"/>
      <c r="AB966" s="106"/>
    </row>
    <row r="967">
      <c r="C967" s="79"/>
      <c r="D967" s="79"/>
      <c r="E967" s="79"/>
      <c r="M967" s="79"/>
      <c r="R967" s="79"/>
      <c r="S967" s="79"/>
      <c r="V967" s="79"/>
      <c r="W967" s="79"/>
      <c r="Z967" s="130"/>
      <c r="AB967" s="106"/>
    </row>
    <row r="968">
      <c r="C968" s="79"/>
      <c r="D968" s="79"/>
      <c r="E968" s="79"/>
      <c r="M968" s="79"/>
      <c r="R968" s="79"/>
      <c r="S968" s="79"/>
      <c r="V968" s="79"/>
      <c r="W968" s="79"/>
      <c r="Z968" s="130"/>
      <c r="AB968" s="106"/>
    </row>
    <row r="969">
      <c r="C969" s="79"/>
      <c r="D969" s="79"/>
      <c r="E969" s="79"/>
      <c r="M969" s="79"/>
      <c r="R969" s="79"/>
      <c r="S969" s="79"/>
      <c r="V969" s="79"/>
      <c r="W969" s="79"/>
      <c r="Z969" s="130"/>
      <c r="AB969" s="106"/>
    </row>
    <row r="970">
      <c r="C970" s="79"/>
      <c r="D970" s="79"/>
      <c r="E970" s="79"/>
      <c r="M970" s="79"/>
      <c r="R970" s="79"/>
      <c r="S970" s="79"/>
      <c r="V970" s="79"/>
      <c r="W970" s="79"/>
      <c r="Z970" s="130"/>
      <c r="AB970" s="106"/>
    </row>
    <row r="971">
      <c r="C971" s="79"/>
      <c r="D971" s="79"/>
      <c r="E971" s="79"/>
      <c r="M971" s="79"/>
      <c r="R971" s="79"/>
      <c r="S971" s="79"/>
      <c r="V971" s="79"/>
      <c r="W971" s="79"/>
      <c r="Z971" s="130"/>
      <c r="AB971" s="106"/>
    </row>
    <row r="972">
      <c r="C972" s="79"/>
      <c r="D972" s="79"/>
      <c r="E972" s="79"/>
      <c r="M972" s="79"/>
      <c r="R972" s="79"/>
      <c r="S972" s="79"/>
      <c r="V972" s="79"/>
      <c r="W972" s="79"/>
      <c r="Z972" s="130"/>
      <c r="AB972" s="106"/>
    </row>
    <row r="973">
      <c r="C973" s="79"/>
      <c r="D973" s="79"/>
      <c r="E973" s="79"/>
      <c r="M973" s="79"/>
      <c r="R973" s="79"/>
      <c r="S973" s="79"/>
      <c r="V973" s="79"/>
      <c r="W973" s="79"/>
      <c r="Z973" s="130"/>
      <c r="AB973" s="106"/>
    </row>
    <row r="974">
      <c r="C974" s="79"/>
      <c r="D974" s="79"/>
      <c r="E974" s="79"/>
      <c r="M974" s="79"/>
      <c r="R974" s="79"/>
      <c r="S974" s="79"/>
      <c r="V974" s="79"/>
      <c r="W974" s="79"/>
      <c r="Z974" s="130"/>
      <c r="AB974" s="106"/>
    </row>
    <row r="975">
      <c r="C975" s="79"/>
      <c r="D975" s="79"/>
      <c r="E975" s="79"/>
      <c r="M975" s="79"/>
      <c r="R975" s="79"/>
      <c r="S975" s="79"/>
      <c r="V975" s="79"/>
      <c r="W975" s="79"/>
      <c r="Z975" s="130"/>
      <c r="AB975" s="106"/>
    </row>
    <row r="976">
      <c r="C976" s="79"/>
      <c r="D976" s="79"/>
      <c r="E976" s="79"/>
      <c r="M976" s="79"/>
      <c r="R976" s="79"/>
      <c r="S976" s="79"/>
      <c r="V976" s="79"/>
      <c r="W976" s="79"/>
      <c r="Z976" s="130"/>
      <c r="AB976" s="106"/>
    </row>
    <row r="977">
      <c r="C977" s="79"/>
      <c r="D977" s="79"/>
      <c r="E977" s="79"/>
      <c r="M977" s="79"/>
      <c r="R977" s="79"/>
      <c r="S977" s="79"/>
      <c r="V977" s="79"/>
      <c r="W977" s="79"/>
      <c r="Z977" s="130"/>
      <c r="AB977" s="106"/>
    </row>
    <row r="978">
      <c r="C978" s="79"/>
      <c r="D978" s="79"/>
      <c r="E978" s="79"/>
      <c r="M978" s="79"/>
      <c r="R978" s="79"/>
      <c r="S978" s="79"/>
      <c r="V978" s="79"/>
      <c r="W978" s="79"/>
      <c r="Z978" s="130"/>
      <c r="AB978" s="106"/>
    </row>
    <row r="979">
      <c r="C979" s="79"/>
      <c r="D979" s="79"/>
      <c r="E979" s="79"/>
      <c r="M979" s="79"/>
      <c r="R979" s="79"/>
      <c r="S979" s="79"/>
      <c r="V979" s="79"/>
      <c r="W979" s="79"/>
      <c r="Z979" s="130"/>
      <c r="AB979" s="106"/>
    </row>
    <row r="980">
      <c r="C980" s="79"/>
      <c r="D980" s="79"/>
      <c r="E980" s="79"/>
      <c r="M980" s="79"/>
      <c r="R980" s="79"/>
      <c r="S980" s="79"/>
      <c r="V980" s="79"/>
      <c r="W980" s="79"/>
      <c r="Z980" s="130"/>
      <c r="AB980" s="106"/>
    </row>
    <row r="981">
      <c r="C981" s="79"/>
      <c r="D981" s="79"/>
      <c r="E981" s="79"/>
      <c r="M981" s="79"/>
      <c r="R981" s="79"/>
      <c r="S981" s="79"/>
      <c r="V981" s="79"/>
      <c r="W981" s="79"/>
      <c r="Z981" s="130"/>
      <c r="AB981" s="106"/>
    </row>
    <row r="982">
      <c r="C982" s="79"/>
      <c r="D982" s="79"/>
      <c r="E982" s="79"/>
      <c r="M982" s="79"/>
      <c r="R982" s="79"/>
      <c r="S982" s="79"/>
      <c r="V982" s="79"/>
      <c r="W982" s="79"/>
      <c r="Z982" s="130"/>
      <c r="AB982" s="106"/>
    </row>
    <row r="983">
      <c r="C983" s="79"/>
      <c r="D983" s="79"/>
      <c r="E983" s="79"/>
      <c r="M983" s="79"/>
      <c r="R983" s="79"/>
      <c r="S983" s="79"/>
      <c r="V983" s="79"/>
      <c r="W983" s="79"/>
      <c r="Z983" s="130"/>
      <c r="AB983" s="106"/>
    </row>
    <row r="984">
      <c r="C984" s="79"/>
      <c r="D984" s="79"/>
      <c r="E984" s="79"/>
      <c r="M984" s="79"/>
      <c r="R984" s="79"/>
      <c r="S984" s="79"/>
      <c r="V984" s="79"/>
      <c r="W984" s="79"/>
      <c r="Z984" s="130"/>
      <c r="AB984" s="106"/>
    </row>
    <row r="985">
      <c r="C985" s="79"/>
      <c r="D985" s="79"/>
      <c r="E985" s="79"/>
      <c r="M985" s="79"/>
      <c r="R985" s="79"/>
      <c r="S985" s="79"/>
      <c r="V985" s="79"/>
      <c r="W985" s="79"/>
      <c r="Z985" s="130"/>
      <c r="AB985" s="106"/>
    </row>
    <row r="986">
      <c r="C986" s="79"/>
      <c r="D986" s="79"/>
      <c r="E986" s="79"/>
      <c r="M986" s="79"/>
      <c r="R986" s="79"/>
      <c r="S986" s="79"/>
      <c r="V986" s="79"/>
      <c r="W986" s="79"/>
      <c r="Z986" s="130"/>
      <c r="AB986" s="106"/>
    </row>
    <row r="987">
      <c r="C987" s="79"/>
      <c r="D987" s="79"/>
      <c r="E987" s="79"/>
      <c r="M987" s="79"/>
      <c r="R987" s="79"/>
      <c r="S987" s="79"/>
      <c r="V987" s="79"/>
      <c r="W987" s="79"/>
      <c r="Z987" s="130"/>
      <c r="AB987" s="106"/>
    </row>
    <row r="988">
      <c r="C988" s="79"/>
      <c r="D988" s="79"/>
      <c r="E988" s="79"/>
      <c r="M988" s="79"/>
      <c r="R988" s="79"/>
      <c r="S988" s="79"/>
      <c r="V988" s="79"/>
      <c r="W988" s="79"/>
      <c r="Z988" s="130"/>
      <c r="AB988" s="106"/>
    </row>
    <row r="989">
      <c r="C989" s="79"/>
      <c r="D989" s="79"/>
      <c r="E989" s="79"/>
      <c r="M989" s="79"/>
      <c r="R989" s="79"/>
      <c r="S989" s="79"/>
      <c r="V989" s="79"/>
      <c r="W989" s="79"/>
      <c r="Z989" s="130"/>
      <c r="AB989" s="106"/>
    </row>
    <row r="990">
      <c r="C990" s="79"/>
      <c r="D990" s="79"/>
      <c r="E990" s="79"/>
      <c r="M990" s="79"/>
      <c r="R990" s="79"/>
      <c r="S990" s="79"/>
      <c r="V990" s="79"/>
      <c r="W990" s="79"/>
      <c r="Z990" s="130"/>
      <c r="AB990" s="106"/>
    </row>
  </sheetData>
  <drawing r:id="rId2"/>
  <legacyDrawing r:id="rId3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5" max="5" width="13.5"/>
    <col customWidth="1" min="7" max="7" width="13.25"/>
    <col hidden="1" min="12" max="13" width="12.63"/>
    <col customWidth="1" min="24" max="24" width="14.63"/>
    <col customWidth="1" min="28" max="28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3</v>
      </c>
      <c r="G1" s="2" t="s">
        <v>203</v>
      </c>
      <c r="H1" s="2" t="s">
        <v>129</v>
      </c>
      <c r="I1" s="2" t="s">
        <v>5</v>
      </c>
      <c r="J1" s="2" t="s">
        <v>204</v>
      </c>
      <c r="K1" s="2" t="s">
        <v>6</v>
      </c>
      <c r="L1" s="2" t="s">
        <v>43</v>
      </c>
      <c r="M1" s="105" t="s">
        <v>40</v>
      </c>
      <c r="N1" s="2" t="s">
        <v>49</v>
      </c>
      <c r="O1" s="2" t="s">
        <v>42</v>
      </c>
      <c r="P1" s="2" t="s">
        <v>121</v>
      </c>
      <c r="Q1" s="2" t="s">
        <v>164</v>
      </c>
      <c r="R1" s="105" t="s">
        <v>9</v>
      </c>
      <c r="S1" s="105" t="s">
        <v>165</v>
      </c>
      <c r="T1" s="2" t="s">
        <v>37</v>
      </c>
      <c r="U1" s="2" t="s">
        <v>10</v>
      </c>
      <c r="V1" s="105" t="s">
        <v>11</v>
      </c>
      <c r="W1" s="105" t="s">
        <v>205</v>
      </c>
      <c r="X1" s="2" t="s">
        <v>206</v>
      </c>
      <c r="Y1" s="3" t="s">
        <v>13</v>
      </c>
      <c r="Z1" s="3" t="s">
        <v>14</v>
      </c>
      <c r="AA1" s="3" t="s">
        <v>15</v>
      </c>
      <c r="AB1" s="106"/>
    </row>
    <row r="2">
      <c r="A2" s="74">
        <v>45278.0</v>
      </c>
      <c r="B2" s="93">
        <f>1717.48-266-31.74-28.75+459.52-255.34+226.91</f>
        <v>1822.08</v>
      </c>
      <c r="C2" s="93"/>
      <c r="D2" s="193">
        <f>460.8+772.7</f>
        <v>1233.5</v>
      </c>
      <c r="E2" s="93"/>
      <c r="F2" s="193">
        <v>180.0</v>
      </c>
      <c r="G2" s="93"/>
      <c r="H2" s="93">
        <f>294.93</f>
        <v>294.93</v>
      </c>
      <c r="I2" s="93"/>
      <c r="J2" s="93"/>
      <c r="K2" s="93"/>
      <c r="L2" s="93"/>
      <c r="M2" s="93"/>
      <c r="N2" s="93">
        <v>168.0</v>
      </c>
      <c r="O2" s="93">
        <v>123.0</v>
      </c>
      <c r="P2" s="93"/>
      <c r="Q2" s="93"/>
      <c r="R2" s="93"/>
      <c r="S2" s="93"/>
      <c r="T2" s="72"/>
      <c r="U2" s="93"/>
      <c r="V2" s="93">
        <v>57.05</v>
      </c>
      <c r="W2" s="93"/>
      <c r="X2" s="5"/>
      <c r="Y2" s="107">
        <f t="shared" ref="Y2:Y8" si="1">SUM(B2:X2)</f>
        <v>3878.56</v>
      </c>
      <c r="Z2" s="158">
        <v>5033.0</v>
      </c>
      <c r="AA2" s="59">
        <f t="shared" ref="AA2:AA8" si="2">Y2/Z2</f>
        <v>0.7706258693</v>
      </c>
      <c r="AB2" s="109">
        <f t="shared" ref="AB2:AB8" si="3">A2</f>
        <v>45278</v>
      </c>
    </row>
    <row r="3">
      <c r="A3" s="74">
        <v>45279.0</v>
      </c>
      <c r="B3" s="93">
        <f>1491.18-193.2-8.52-15.5</f>
        <v>1273.96</v>
      </c>
      <c r="C3" s="93"/>
      <c r="D3" s="93">
        <f>374.27</f>
        <v>374.27</v>
      </c>
      <c r="E3" s="93"/>
      <c r="F3" s="93"/>
      <c r="G3" s="93"/>
      <c r="H3" s="93">
        <v>170.25</v>
      </c>
      <c r="I3" s="93">
        <v>567.6</v>
      </c>
      <c r="J3" s="93"/>
      <c r="K3" s="93"/>
      <c r="L3" s="93"/>
      <c r="M3" s="93"/>
      <c r="N3" s="93"/>
      <c r="O3" s="93">
        <v>520.0</v>
      </c>
      <c r="P3" s="101"/>
      <c r="Q3" s="101"/>
      <c r="R3" s="93">
        <v>115.0</v>
      </c>
      <c r="S3" s="93"/>
      <c r="T3" s="93"/>
      <c r="U3" s="93"/>
      <c r="V3" s="93"/>
      <c r="W3" s="93"/>
      <c r="X3" s="93"/>
      <c r="Y3" s="107">
        <f t="shared" si="1"/>
        <v>3021.08</v>
      </c>
      <c r="Z3" s="158">
        <v>13425.0</v>
      </c>
      <c r="AA3" s="59">
        <f t="shared" si="2"/>
        <v>0.225033892</v>
      </c>
      <c r="AB3" s="109">
        <f t="shared" si="3"/>
        <v>45279</v>
      </c>
    </row>
    <row r="4">
      <c r="A4" s="74">
        <v>45280.0</v>
      </c>
      <c r="B4" s="93">
        <f>700.17-34.25-12.88-28.26-79.6</f>
        <v>545.18</v>
      </c>
      <c r="C4" s="93"/>
      <c r="D4" s="93">
        <f>493.33-66.13</f>
        <v>427.2</v>
      </c>
      <c r="E4" s="93"/>
      <c r="F4" s="93"/>
      <c r="G4" s="93"/>
      <c r="H4" s="93"/>
      <c r="I4" s="93">
        <f>570.5-99</f>
        <v>471.5</v>
      </c>
      <c r="J4" s="93"/>
      <c r="K4" s="93">
        <v>42.0</v>
      </c>
      <c r="L4" s="93"/>
      <c r="M4" s="93"/>
      <c r="N4" s="93"/>
      <c r="O4" s="93"/>
      <c r="P4" s="93">
        <v>18.5</v>
      </c>
      <c r="Q4" s="93"/>
      <c r="R4" s="93"/>
      <c r="S4" s="93"/>
      <c r="T4" s="160"/>
      <c r="U4" s="187"/>
      <c r="V4" s="93">
        <v>57.05</v>
      </c>
      <c r="W4" s="93"/>
      <c r="X4" s="6"/>
      <c r="Y4" s="107">
        <f t="shared" si="1"/>
        <v>1561.43</v>
      </c>
      <c r="Z4" s="97">
        <f>1678+13875</f>
        <v>15553</v>
      </c>
      <c r="AA4" s="59">
        <f t="shared" si="2"/>
        <v>0.1003941362</v>
      </c>
      <c r="AB4" s="109">
        <f t="shared" si="3"/>
        <v>45280</v>
      </c>
    </row>
    <row r="5">
      <c r="A5" s="74">
        <v>45281.0</v>
      </c>
      <c r="B5" s="93">
        <f>309.64-29.82-30.12+157.43-56.4-109.43+1076.42-12.91-32-46.24-27.87-27.87-109.43-14.2-36.3</f>
        <v>1010.9</v>
      </c>
      <c r="C5" s="93"/>
      <c r="D5" s="93"/>
      <c r="E5" s="93"/>
      <c r="F5" s="93">
        <v>180.0</v>
      </c>
      <c r="G5" s="160"/>
      <c r="H5" s="93"/>
      <c r="I5" s="93"/>
      <c r="J5" s="93"/>
      <c r="K5" s="93"/>
      <c r="L5" s="93"/>
      <c r="M5" s="93"/>
      <c r="N5" s="93"/>
      <c r="O5" s="93"/>
      <c r="P5" s="93">
        <v>18.5</v>
      </c>
      <c r="Q5" s="93"/>
      <c r="R5" s="93"/>
      <c r="S5" s="93"/>
      <c r="T5" s="93"/>
      <c r="U5" s="93"/>
      <c r="V5" s="101"/>
      <c r="W5" s="101"/>
      <c r="X5" s="6"/>
      <c r="Y5" s="7">
        <f t="shared" si="1"/>
        <v>1209.4</v>
      </c>
      <c r="Z5" s="97">
        <f>1232+7074</f>
        <v>8306</v>
      </c>
      <c r="AA5" s="59">
        <f t="shared" si="2"/>
        <v>0.1456055863</v>
      </c>
      <c r="AB5" s="109">
        <f t="shared" si="3"/>
        <v>45281</v>
      </c>
    </row>
    <row r="6">
      <c r="A6" s="74">
        <v>45282.0</v>
      </c>
      <c r="B6" s="93">
        <f>1278.54-43.5-82.86-52.71-36.67</f>
        <v>1062.8</v>
      </c>
      <c r="C6" s="93"/>
      <c r="D6" s="93">
        <f>581.06-44.08-304</f>
        <v>232.98</v>
      </c>
      <c r="E6" s="93"/>
      <c r="F6" s="93"/>
      <c r="G6" s="93"/>
      <c r="H6" s="93"/>
      <c r="I6" s="93"/>
      <c r="J6" s="93"/>
      <c r="K6" s="93">
        <v>123.0</v>
      </c>
      <c r="L6" s="93"/>
      <c r="M6" s="162"/>
      <c r="N6" s="93"/>
      <c r="O6" s="93"/>
      <c r="P6" s="93">
        <v>18.5</v>
      </c>
      <c r="Q6" s="93"/>
      <c r="R6" s="93"/>
      <c r="S6" s="93"/>
      <c r="T6" s="93"/>
      <c r="U6" s="93"/>
      <c r="V6" s="93">
        <v>57.05</v>
      </c>
      <c r="W6" s="93"/>
      <c r="X6" s="5"/>
      <c r="Y6" s="7">
        <f t="shared" si="1"/>
        <v>1494.33</v>
      </c>
      <c r="Z6" s="97">
        <f>1115+10067.43</f>
        <v>11182.43</v>
      </c>
      <c r="AA6" s="59">
        <f t="shared" si="2"/>
        <v>0.1336319566</v>
      </c>
      <c r="AB6" s="109">
        <f t="shared" si="3"/>
        <v>45282</v>
      </c>
    </row>
    <row r="7">
      <c r="A7" s="74">
        <v>45283.0</v>
      </c>
      <c r="B7" s="93">
        <f>1075.46-7.37-11-21.95-221.62-14.14-72.56</f>
        <v>726.82</v>
      </c>
      <c r="C7" s="93"/>
      <c r="D7" s="180">
        <f>533.49</f>
        <v>533.49</v>
      </c>
      <c r="E7" s="93"/>
      <c r="F7" s="93"/>
      <c r="G7" s="93"/>
      <c r="H7" s="93"/>
      <c r="I7" s="180">
        <v>567.6</v>
      </c>
      <c r="J7" s="93"/>
      <c r="K7" s="93"/>
      <c r="L7" s="93"/>
      <c r="M7" s="93"/>
      <c r="N7" s="93"/>
      <c r="O7" s="93"/>
      <c r="P7" s="93"/>
      <c r="Q7" s="93"/>
      <c r="R7" s="93"/>
      <c r="S7" s="93"/>
      <c r="T7" s="101"/>
      <c r="U7" s="101"/>
      <c r="V7" s="101"/>
      <c r="W7" s="101"/>
      <c r="X7" s="5"/>
      <c r="Y7" s="7">
        <f t="shared" si="1"/>
        <v>1827.91</v>
      </c>
      <c r="Z7" s="97">
        <f>2723.5+9110.5</f>
        <v>11834</v>
      </c>
      <c r="AA7" s="59">
        <f t="shared" si="2"/>
        <v>0.1544625655</v>
      </c>
      <c r="AB7" s="109">
        <f t="shared" si="3"/>
        <v>45283</v>
      </c>
    </row>
    <row r="8">
      <c r="A8" s="74">
        <v>45284.0</v>
      </c>
      <c r="B8" s="180">
        <v>1402.33</v>
      </c>
      <c r="C8" s="112" t="s">
        <v>21</v>
      </c>
      <c r="D8" s="180">
        <v>860.0</v>
      </c>
      <c r="E8" s="112" t="s">
        <v>21</v>
      </c>
      <c r="F8" s="112" t="s">
        <v>21</v>
      </c>
      <c r="G8" s="112" t="s">
        <v>21</v>
      </c>
      <c r="H8" s="112" t="s">
        <v>21</v>
      </c>
      <c r="I8" s="112" t="s">
        <v>21</v>
      </c>
      <c r="J8" s="112" t="s">
        <v>21</v>
      </c>
      <c r="K8" s="112" t="s">
        <v>21</v>
      </c>
      <c r="L8" s="112" t="s">
        <v>21</v>
      </c>
      <c r="M8" s="112" t="s">
        <v>21</v>
      </c>
      <c r="N8" s="112" t="s">
        <v>21</v>
      </c>
      <c r="O8" s="180">
        <v>317.0</v>
      </c>
      <c r="P8" s="112" t="s">
        <v>21</v>
      </c>
      <c r="Q8" s="112" t="s">
        <v>21</v>
      </c>
      <c r="R8" s="112" t="s">
        <v>21</v>
      </c>
      <c r="S8" s="112" t="s">
        <v>21</v>
      </c>
      <c r="T8" s="112" t="s">
        <v>21</v>
      </c>
      <c r="U8" s="112" t="s">
        <v>21</v>
      </c>
      <c r="V8" s="10" t="s">
        <v>21</v>
      </c>
      <c r="W8" s="10" t="s">
        <v>21</v>
      </c>
      <c r="X8" s="10" t="s">
        <v>21</v>
      </c>
      <c r="Y8" s="7">
        <f t="shared" si="1"/>
        <v>2579.33</v>
      </c>
      <c r="Z8" s="97">
        <v>0.0</v>
      </c>
      <c r="AA8" s="59" t="str">
        <f t="shared" si="2"/>
        <v>#DIV/0!</v>
      </c>
      <c r="AB8" s="109">
        <f t="shared" si="3"/>
        <v>45284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Z9" s="129"/>
      <c r="AB9" s="106"/>
    </row>
    <row r="10">
      <c r="A10" s="164" t="s">
        <v>193</v>
      </c>
      <c r="B10" s="78"/>
      <c r="C10" s="78"/>
      <c r="D10" s="78"/>
      <c r="E10" s="188"/>
      <c r="F10" s="188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Z10" s="129"/>
      <c r="AB10" s="106"/>
    </row>
    <row r="11">
      <c r="A11" s="165" t="s">
        <v>194</v>
      </c>
      <c r="B11" s="93">
        <f>255.34+193.2+8.52+15.5+34.25+12.88+29.82+30.12+56.4+27.87+36.3+36.67+72.56</f>
        <v>809.43</v>
      </c>
      <c r="C11" s="93"/>
      <c r="D11" s="93"/>
      <c r="E11" s="167"/>
      <c r="F11" s="168"/>
      <c r="G11" s="166"/>
      <c r="H11" s="166"/>
      <c r="I11" s="168"/>
      <c r="J11" s="168"/>
      <c r="K11" s="168"/>
      <c r="L11" s="168"/>
      <c r="M11" s="168"/>
      <c r="N11" s="166"/>
      <c r="O11" s="168"/>
      <c r="P11" s="1"/>
      <c r="Q11" s="1"/>
      <c r="R11" s="1"/>
      <c r="S11" s="1"/>
      <c r="T11" s="1"/>
      <c r="U11" s="1"/>
      <c r="V11" s="168"/>
      <c r="W11" s="168"/>
      <c r="X11" s="1"/>
      <c r="Y11" s="1"/>
      <c r="Z11" s="169"/>
      <c r="AA11" s="1"/>
      <c r="AB11" s="170"/>
    </row>
    <row r="12">
      <c r="A12" s="165" t="s">
        <v>195</v>
      </c>
      <c r="B12" s="93">
        <f>266+31.74+28.75+28.26+79.6+12.91+32+46.24+27.87+109.43+14.2+43.5+52.71+7.37+11+21.95+221.62+14.14</f>
        <v>1049.29</v>
      </c>
      <c r="C12" s="93"/>
      <c r="D12" s="93">
        <v>44.08</v>
      </c>
      <c r="E12" s="93"/>
      <c r="F12" s="93"/>
      <c r="G12" s="93"/>
      <c r="H12" s="93"/>
      <c r="I12" s="93">
        <v>99.0</v>
      </c>
      <c r="J12" s="93"/>
      <c r="K12" s="93"/>
      <c r="L12" s="93"/>
      <c r="M12" s="93"/>
      <c r="N12" s="93">
        <f>144+156</f>
        <v>300</v>
      </c>
      <c r="O12" s="166"/>
      <c r="P12" s="1"/>
      <c r="Q12" s="1"/>
      <c r="R12" s="168"/>
      <c r="S12" s="168"/>
      <c r="T12" s="1"/>
      <c r="U12" s="96"/>
      <c r="V12" s="168"/>
      <c r="W12" s="168"/>
      <c r="X12" s="1"/>
      <c r="Y12" s="1"/>
      <c r="Z12" s="171"/>
      <c r="AA12" s="1"/>
      <c r="AB12" s="170"/>
    </row>
    <row r="13" hidden="1">
      <c r="A13" s="172" t="s">
        <v>196</v>
      </c>
      <c r="B13" s="93"/>
      <c r="C13" s="93"/>
      <c r="D13" s="93"/>
      <c r="E13" s="168"/>
      <c r="F13" s="166"/>
      <c r="G13" s="168"/>
      <c r="H13" s="168"/>
      <c r="I13" s="168"/>
      <c r="J13" s="168"/>
      <c r="K13" s="168"/>
      <c r="L13" s="168"/>
      <c r="M13" s="168"/>
      <c r="N13" s="168"/>
      <c r="O13" s="168"/>
      <c r="P13" s="1"/>
      <c r="Q13" s="1"/>
      <c r="R13" s="168"/>
      <c r="S13" s="168"/>
      <c r="T13" s="1"/>
      <c r="U13" s="1"/>
      <c r="V13" s="168"/>
      <c r="W13" s="168"/>
      <c r="X13" s="1"/>
      <c r="Y13" s="1"/>
      <c r="Z13" s="174"/>
      <c r="AA13" s="1"/>
      <c r="AB13" s="170"/>
    </row>
    <row r="14">
      <c r="A14" s="172" t="s">
        <v>197</v>
      </c>
      <c r="B14" s="93"/>
      <c r="C14" s="93"/>
      <c r="D14" s="93"/>
      <c r="E14" s="168"/>
      <c r="F14" s="166"/>
      <c r="G14" s="168"/>
      <c r="H14" s="168"/>
      <c r="I14" s="168"/>
      <c r="J14" s="168"/>
      <c r="K14" s="168"/>
      <c r="L14" s="168"/>
      <c r="M14" s="168"/>
      <c r="N14" s="166"/>
      <c r="O14" s="168"/>
      <c r="P14" s="1"/>
      <c r="Q14" s="1"/>
      <c r="R14" s="168"/>
      <c r="S14" s="168"/>
      <c r="T14" s="1"/>
      <c r="U14" s="96"/>
      <c r="V14" s="168"/>
      <c r="W14" s="168"/>
      <c r="X14" s="1"/>
      <c r="Y14" s="1"/>
      <c r="Z14" s="174"/>
      <c r="AA14" s="1"/>
      <c r="AB14" s="170"/>
    </row>
    <row r="15">
      <c r="A15" s="165" t="s">
        <v>198</v>
      </c>
      <c r="B15" s="93">
        <f>109.43+82.86</f>
        <v>192.29</v>
      </c>
      <c r="C15" s="93"/>
      <c r="D15" s="93">
        <v>304.0</v>
      </c>
      <c r="E15" s="168"/>
      <c r="F15" s="166"/>
      <c r="G15" s="168"/>
      <c r="H15" s="168"/>
      <c r="I15" s="168"/>
      <c r="J15" s="168"/>
      <c r="K15" s="168"/>
      <c r="L15" s="168"/>
      <c r="M15" s="168"/>
      <c r="N15" s="166"/>
      <c r="O15" s="168"/>
      <c r="P15" s="1"/>
      <c r="Q15" s="1"/>
      <c r="R15" s="168"/>
      <c r="S15" s="168"/>
      <c r="T15" s="1"/>
      <c r="U15" s="96"/>
      <c r="V15" s="168"/>
      <c r="W15" s="168"/>
      <c r="X15" s="1"/>
      <c r="Y15" s="1"/>
      <c r="Z15" s="174"/>
      <c r="AA15" s="1"/>
      <c r="AB15" s="170"/>
    </row>
    <row r="16">
      <c r="A16" s="91"/>
      <c r="B16" s="92"/>
      <c r="C16" s="79"/>
      <c r="D16" s="79"/>
      <c r="E16" s="79"/>
      <c r="F16" s="78"/>
      <c r="G16" s="78"/>
      <c r="H16" s="78"/>
      <c r="K16" s="79"/>
      <c r="L16" s="79"/>
      <c r="M16" s="78"/>
      <c r="N16" s="79"/>
      <c r="O16" s="79"/>
      <c r="R16" s="79"/>
      <c r="S16" s="79"/>
      <c r="V16" s="79"/>
      <c r="W16" s="79"/>
      <c r="Z16" s="131"/>
      <c r="AB16" s="106"/>
    </row>
    <row r="17">
      <c r="A17" s="91"/>
      <c r="B17" s="92"/>
      <c r="C17" s="78"/>
      <c r="D17" s="78"/>
      <c r="E17" s="78"/>
      <c r="F17" s="79"/>
      <c r="J17" s="175"/>
      <c r="K17" s="189"/>
      <c r="L17" s="147"/>
      <c r="M17" s="78"/>
      <c r="N17" s="190"/>
      <c r="O17" s="79"/>
      <c r="R17" s="79"/>
      <c r="S17" s="79"/>
      <c r="V17" s="79"/>
      <c r="W17" s="79"/>
      <c r="Z17" s="131"/>
      <c r="AB17" s="106"/>
    </row>
    <row r="18">
      <c r="A18" s="4" t="s">
        <v>22</v>
      </c>
      <c r="B18" s="11">
        <v>13000.0</v>
      </c>
      <c r="C18" s="79"/>
      <c r="D18" s="79"/>
      <c r="E18" s="79"/>
      <c r="G18" s="78"/>
      <c r="H18" s="78"/>
      <c r="K18" s="79"/>
      <c r="L18" s="79"/>
      <c r="M18" s="78"/>
      <c r="N18" s="147"/>
      <c r="O18" s="79"/>
      <c r="R18" s="79"/>
      <c r="S18" s="79"/>
      <c r="V18" s="79"/>
      <c r="W18" s="79"/>
      <c r="Z18" s="131"/>
      <c r="AB18" s="106"/>
    </row>
    <row r="19">
      <c r="A19" s="4" t="s">
        <v>23</v>
      </c>
      <c r="B19" s="12">
        <f>SUM(B2:X8)</f>
        <v>15572.04</v>
      </c>
      <c r="C19" s="79"/>
      <c r="D19" s="177"/>
      <c r="E19" s="78"/>
      <c r="G19" s="78"/>
      <c r="H19" s="78"/>
      <c r="J19" s="191"/>
      <c r="K19" s="79"/>
      <c r="L19" s="79"/>
      <c r="M19" s="147"/>
      <c r="N19" s="79"/>
      <c r="O19" s="79"/>
      <c r="R19" s="79"/>
      <c r="S19" s="79"/>
      <c r="V19" s="79"/>
      <c r="W19" s="79"/>
      <c r="Z19" s="131"/>
      <c r="AB19" s="106"/>
    </row>
    <row r="20">
      <c r="A20" s="4" t="s">
        <v>24</v>
      </c>
      <c r="B20" s="12">
        <f> SUM(B18-B19)</f>
        <v>-2572.04</v>
      </c>
      <c r="C20" s="79"/>
      <c r="D20" s="79"/>
      <c r="E20" s="78"/>
      <c r="F20" s="78"/>
      <c r="G20" s="144"/>
      <c r="H20" s="192"/>
      <c r="I20" s="38"/>
      <c r="J20" s="38"/>
      <c r="K20" s="189"/>
      <c r="L20" s="79"/>
      <c r="M20" s="78"/>
      <c r="N20" s="147"/>
      <c r="O20" s="79"/>
      <c r="R20" s="79"/>
      <c r="S20" s="79"/>
      <c r="V20" s="79"/>
      <c r="W20" s="79"/>
      <c r="Z20" s="131"/>
      <c r="AB20" s="106"/>
    </row>
    <row r="21">
      <c r="C21" s="79"/>
      <c r="D21" s="79"/>
      <c r="E21" s="78"/>
      <c r="G21" s="144"/>
      <c r="H21" s="192"/>
      <c r="I21" s="33"/>
      <c r="J21" s="38"/>
      <c r="K21" s="192"/>
      <c r="L21" s="79"/>
      <c r="M21" s="78"/>
      <c r="N21" s="79"/>
      <c r="O21" s="79"/>
      <c r="R21" s="79"/>
      <c r="S21" s="79"/>
      <c r="V21" s="79"/>
      <c r="W21" s="79"/>
      <c r="Z21" s="131"/>
      <c r="AB21" s="106"/>
    </row>
    <row r="22">
      <c r="A22" s="13" t="s">
        <v>25</v>
      </c>
      <c r="B22" s="14">
        <f>SUM(Z2:Z8)</f>
        <v>65333.43</v>
      </c>
      <c r="C22" s="79"/>
      <c r="D22" s="79"/>
      <c r="E22" s="78"/>
      <c r="F22" s="78"/>
      <c r="G22" s="78"/>
      <c r="H22" s="78"/>
      <c r="K22" s="79"/>
      <c r="L22" s="79"/>
      <c r="M22" s="78"/>
      <c r="N22" s="79"/>
      <c r="O22" s="79"/>
      <c r="R22" s="79"/>
      <c r="S22" s="79"/>
      <c r="V22" s="79"/>
      <c r="W22" s="79"/>
      <c r="Z22" s="181"/>
      <c r="AB22" s="106"/>
    </row>
    <row r="23">
      <c r="A23" s="13" t="s">
        <v>26</v>
      </c>
      <c r="B23" s="15">
        <f>B19/B22</f>
        <v>0.2383471984</v>
      </c>
      <c r="C23" s="79"/>
      <c r="D23" s="79"/>
      <c r="E23" s="78"/>
      <c r="H23" s="45"/>
      <c r="K23" s="79"/>
      <c r="L23" s="79"/>
      <c r="M23" s="147"/>
      <c r="N23" s="79"/>
      <c r="O23" s="79"/>
      <c r="R23" s="79"/>
      <c r="S23" s="79"/>
      <c r="V23" s="79"/>
      <c r="W23" s="79"/>
      <c r="Z23" s="130"/>
      <c r="AB23" s="106"/>
    </row>
    <row r="24">
      <c r="C24" s="79"/>
      <c r="D24" s="79"/>
      <c r="E24" s="78"/>
      <c r="R24" s="79"/>
      <c r="S24" s="79"/>
      <c r="V24" s="79"/>
      <c r="W24" s="79"/>
      <c r="Z24" s="182"/>
      <c r="AB24" s="106"/>
    </row>
    <row r="25">
      <c r="C25" s="79"/>
      <c r="D25" s="79"/>
      <c r="E25" s="79"/>
      <c r="I25" s="195"/>
      <c r="M25" s="78"/>
      <c r="R25" s="79"/>
      <c r="S25" s="79"/>
      <c r="V25" s="79"/>
      <c r="W25" s="79"/>
      <c r="Z25" s="130"/>
      <c r="AB25" s="106"/>
    </row>
    <row r="26">
      <c r="A26" s="16" t="s">
        <v>27</v>
      </c>
      <c r="B26" s="17"/>
      <c r="C26" s="114"/>
      <c r="D26" s="114"/>
      <c r="E26" s="115"/>
      <c r="J26" s="84"/>
      <c r="K26" s="84"/>
      <c r="L26" s="84"/>
      <c r="M26" s="84"/>
      <c r="O26" s="151"/>
      <c r="R26" s="79"/>
      <c r="S26" s="79"/>
      <c r="V26" s="79"/>
      <c r="W26" s="79"/>
      <c r="Z26" s="130"/>
      <c r="AB26" s="106"/>
    </row>
    <row r="27">
      <c r="A27" s="19" t="s">
        <v>28</v>
      </c>
      <c r="B27" s="20"/>
      <c r="C27" s="116"/>
      <c r="D27" s="116"/>
      <c r="E27" s="117"/>
      <c r="J27" s="85"/>
      <c r="K27" s="85"/>
      <c r="L27" s="85"/>
      <c r="M27" s="118"/>
      <c r="R27" s="79"/>
      <c r="S27" s="79"/>
      <c r="V27" s="79"/>
      <c r="W27" s="79"/>
      <c r="Z27" s="130"/>
      <c r="AB27" s="106"/>
    </row>
    <row r="28">
      <c r="A28" s="183" t="s">
        <v>29</v>
      </c>
      <c r="B28" s="184" t="s">
        <v>30</v>
      </c>
      <c r="C28" s="185"/>
      <c r="D28" s="185" t="s">
        <v>170</v>
      </c>
      <c r="E28" s="186" t="s">
        <v>171</v>
      </c>
      <c r="J28" s="86"/>
      <c r="K28" s="86"/>
      <c r="L28" s="85"/>
      <c r="M28" s="118"/>
      <c r="R28" s="79"/>
      <c r="S28" s="79"/>
      <c r="V28" s="79"/>
      <c r="W28" s="79"/>
      <c r="Z28" s="130"/>
      <c r="AB28" s="106"/>
    </row>
    <row r="29">
      <c r="A29" s="166" t="s">
        <v>221</v>
      </c>
      <c r="B29" s="93">
        <v>1098.03</v>
      </c>
      <c r="C29" s="168"/>
      <c r="D29" s="168"/>
      <c r="E29" s="166" t="s">
        <v>222</v>
      </c>
      <c r="M29" s="79"/>
      <c r="R29" s="79"/>
      <c r="S29" s="79"/>
      <c r="V29" s="79"/>
      <c r="W29" s="79"/>
      <c r="Z29" s="130"/>
      <c r="AB29" s="106"/>
    </row>
    <row r="30">
      <c r="C30" s="79"/>
      <c r="D30" s="79"/>
      <c r="E30" s="79"/>
      <c r="M30" s="79"/>
      <c r="R30" s="79"/>
      <c r="S30" s="79"/>
      <c r="V30" s="79"/>
      <c r="W30" s="79"/>
      <c r="Z30" s="130"/>
      <c r="AB30" s="106"/>
    </row>
    <row r="31">
      <c r="C31" s="79"/>
      <c r="D31" s="79"/>
      <c r="E31" s="79"/>
      <c r="M31" s="79"/>
      <c r="R31" s="79"/>
      <c r="S31" s="79"/>
      <c r="V31" s="79"/>
      <c r="W31" s="79"/>
      <c r="Z31" s="130"/>
      <c r="AB31" s="106"/>
    </row>
    <row r="32">
      <c r="C32" s="79"/>
      <c r="D32" s="79"/>
      <c r="E32" s="79"/>
      <c r="M32" s="79"/>
      <c r="R32" s="79"/>
      <c r="S32" s="79"/>
      <c r="V32" s="79"/>
      <c r="W32" s="79"/>
      <c r="Z32" s="130"/>
      <c r="AB32" s="106"/>
    </row>
    <row r="33">
      <c r="C33" s="79"/>
      <c r="D33" s="79"/>
      <c r="E33" s="79"/>
      <c r="M33" s="79"/>
      <c r="R33" s="79"/>
      <c r="S33" s="79"/>
      <c r="V33" s="79"/>
      <c r="W33" s="79"/>
      <c r="Z33" s="130"/>
      <c r="AB33" s="106"/>
    </row>
    <row r="34">
      <c r="C34" s="79"/>
      <c r="D34" s="79"/>
      <c r="E34" s="79"/>
      <c r="M34" s="79"/>
      <c r="R34" s="79"/>
      <c r="S34" s="79"/>
      <c r="V34" s="79"/>
      <c r="W34" s="79"/>
      <c r="Z34" s="130"/>
      <c r="AB34" s="106"/>
    </row>
    <row r="35">
      <c r="C35" s="79"/>
      <c r="D35" s="79"/>
      <c r="E35" s="79"/>
      <c r="M35" s="79"/>
      <c r="R35" s="79"/>
      <c r="S35" s="79"/>
      <c r="V35" s="79"/>
      <c r="W35" s="79"/>
      <c r="Z35" s="130"/>
      <c r="AB35" s="106"/>
    </row>
    <row r="36">
      <c r="C36" s="79"/>
      <c r="D36" s="79"/>
      <c r="E36" s="79"/>
      <c r="M36" s="79"/>
      <c r="R36" s="79"/>
      <c r="S36" s="79"/>
      <c r="V36" s="79"/>
      <c r="W36" s="79"/>
      <c r="Z36" s="130"/>
      <c r="AB36" s="106"/>
    </row>
    <row r="37">
      <c r="C37" s="79"/>
      <c r="D37" s="79"/>
      <c r="E37" s="79"/>
      <c r="M37" s="79"/>
      <c r="R37" s="79"/>
      <c r="S37" s="79"/>
      <c r="V37" s="79"/>
      <c r="W37" s="79"/>
      <c r="Z37" s="130"/>
      <c r="AB37" s="106"/>
    </row>
    <row r="38">
      <c r="C38" s="79"/>
      <c r="D38" s="79"/>
      <c r="E38" s="79"/>
      <c r="M38" s="79"/>
      <c r="R38" s="79"/>
      <c r="S38" s="79"/>
      <c r="V38" s="79"/>
      <c r="W38" s="79"/>
      <c r="Z38" s="130"/>
      <c r="AB38" s="106"/>
    </row>
    <row r="39">
      <c r="C39" s="79"/>
      <c r="D39" s="79"/>
      <c r="E39" s="79"/>
      <c r="M39" s="79"/>
      <c r="R39" s="79"/>
      <c r="S39" s="79"/>
      <c r="V39" s="79"/>
      <c r="W39" s="79"/>
      <c r="Z39" s="130"/>
      <c r="AB39" s="106"/>
    </row>
    <row r="40">
      <c r="C40" s="79"/>
      <c r="D40" s="79"/>
      <c r="E40" s="79"/>
      <c r="M40" s="79"/>
      <c r="R40" s="79"/>
      <c r="S40" s="79"/>
      <c r="V40" s="79"/>
      <c r="W40" s="79"/>
      <c r="Z40" s="130"/>
      <c r="AB40" s="106"/>
    </row>
    <row r="41">
      <c r="C41" s="79"/>
      <c r="D41" s="79"/>
      <c r="E41" s="79"/>
      <c r="M41" s="79"/>
      <c r="R41" s="79"/>
      <c r="S41" s="79"/>
      <c r="V41" s="79"/>
      <c r="W41" s="79"/>
      <c r="Z41" s="130"/>
      <c r="AB41" s="106"/>
    </row>
    <row r="42">
      <c r="C42" s="79"/>
      <c r="D42" s="79"/>
      <c r="E42" s="79"/>
      <c r="M42" s="79"/>
      <c r="R42" s="79"/>
      <c r="S42" s="79"/>
      <c r="V42" s="79"/>
      <c r="W42" s="79"/>
      <c r="Z42" s="130"/>
      <c r="AB42" s="106"/>
    </row>
    <row r="43">
      <c r="C43" s="79"/>
      <c r="D43" s="79"/>
      <c r="E43" s="79"/>
      <c r="M43" s="79"/>
      <c r="R43" s="79"/>
      <c r="S43" s="79"/>
      <c r="V43" s="79"/>
      <c r="W43" s="79"/>
      <c r="Z43" s="130"/>
      <c r="AB43" s="106"/>
    </row>
    <row r="44">
      <c r="C44" s="79"/>
      <c r="D44" s="79"/>
      <c r="E44" s="79"/>
      <c r="M44" s="79"/>
      <c r="R44" s="79"/>
      <c r="S44" s="79"/>
      <c r="V44" s="79"/>
      <c r="W44" s="79"/>
      <c r="Z44" s="130"/>
      <c r="AB44" s="106"/>
    </row>
    <row r="45">
      <c r="C45" s="79"/>
      <c r="D45" s="79"/>
      <c r="E45" s="79"/>
      <c r="M45" s="79"/>
      <c r="R45" s="79"/>
      <c r="S45" s="79"/>
      <c r="V45" s="79"/>
      <c r="W45" s="79"/>
      <c r="Z45" s="130"/>
      <c r="AB45" s="106"/>
    </row>
    <row r="46">
      <c r="C46" s="79"/>
      <c r="D46" s="79"/>
      <c r="E46" s="79"/>
      <c r="M46" s="79"/>
      <c r="R46" s="79"/>
      <c r="S46" s="79"/>
      <c r="V46" s="79"/>
      <c r="W46" s="79"/>
      <c r="Z46" s="130"/>
      <c r="AB46" s="106"/>
    </row>
    <row r="47">
      <c r="C47" s="79"/>
      <c r="D47" s="79"/>
      <c r="E47" s="79"/>
      <c r="M47" s="79"/>
      <c r="R47" s="79"/>
      <c r="S47" s="79"/>
      <c r="V47" s="79"/>
      <c r="W47" s="79"/>
      <c r="Z47" s="130"/>
      <c r="AB47" s="106"/>
    </row>
    <row r="48">
      <c r="C48" s="79"/>
      <c r="D48" s="79"/>
      <c r="E48" s="79"/>
      <c r="M48" s="79"/>
      <c r="R48" s="79"/>
      <c r="S48" s="79"/>
      <c r="V48" s="79"/>
      <c r="W48" s="79"/>
      <c r="Z48" s="130"/>
      <c r="AB48" s="106"/>
    </row>
    <row r="49">
      <c r="C49" s="79"/>
      <c r="D49" s="79"/>
      <c r="E49" s="79"/>
      <c r="M49" s="79"/>
      <c r="R49" s="79"/>
      <c r="S49" s="79"/>
      <c r="V49" s="79"/>
      <c r="W49" s="79"/>
      <c r="Z49" s="130"/>
      <c r="AB49" s="106"/>
    </row>
    <row r="50">
      <c r="C50" s="79"/>
      <c r="D50" s="79"/>
      <c r="E50" s="79"/>
      <c r="M50" s="79"/>
      <c r="R50" s="79"/>
      <c r="S50" s="79"/>
      <c r="V50" s="79"/>
      <c r="W50" s="79"/>
      <c r="Z50" s="130"/>
      <c r="AB50" s="106"/>
    </row>
    <row r="51">
      <c r="C51" s="79"/>
      <c r="D51" s="79"/>
      <c r="E51" s="79"/>
      <c r="M51" s="79"/>
      <c r="R51" s="79"/>
      <c r="S51" s="79"/>
      <c r="V51" s="79"/>
      <c r="W51" s="79"/>
      <c r="Z51" s="130"/>
      <c r="AB51" s="106"/>
    </row>
    <row r="52">
      <c r="C52" s="79"/>
      <c r="D52" s="79"/>
      <c r="E52" s="79"/>
      <c r="M52" s="79"/>
      <c r="R52" s="79"/>
      <c r="S52" s="79"/>
      <c r="V52" s="79"/>
      <c r="W52" s="79"/>
      <c r="Z52" s="130"/>
      <c r="AB52" s="106"/>
    </row>
    <row r="53">
      <c r="C53" s="79"/>
      <c r="D53" s="79"/>
      <c r="E53" s="79"/>
      <c r="M53" s="79"/>
      <c r="R53" s="79"/>
      <c r="S53" s="79"/>
      <c r="V53" s="79"/>
      <c r="W53" s="79"/>
      <c r="Z53" s="130"/>
      <c r="AB53" s="106"/>
    </row>
    <row r="54">
      <c r="C54" s="79"/>
      <c r="D54" s="79"/>
      <c r="E54" s="79"/>
      <c r="M54" s="79"/>
      <c r="R54" s="79"/>
      <c r="S54" s="79"/>
      <c r="V54" s="79"/>
      <c r="W54" s="79"/>
      <c r="Z54" s="130"/>
      <c r="AB54" s="106"/>
    </row>
    <row r="55">
      <c r="C55" s="79"/>
      <c r="D55" s="79"/>
      <c r="E55" s="79"/>
      <c r="M55" s="79"/>
      <c r="R55" s="79"/>
      <c r="S55" s="79"/>
      <c r="V55" s="79"/>
      <c r="W55" s="79"/>
      <c r="Z55" s="130"/>
      <c r="AB55" s="106"/>
    </row>
    <row r="56">
      <c r="C56" s="79"/>
      <c r="D56" s="79"/>
      <c r="E56" s="79"/>
      <c r="M56" s="79"/>
      <c r="R56" s="79"/>
      <c r="S56" s="79"/>
      <c r="V56" s="79"/>
      <c r="W56" s="79"/>
      <c r="Z56" s="130"/>
      <c r="AB56" s="106"/>
    </row>
    <row r="57">
      <c r="C57" s="79"/>
      <c r="D57" s="79"/>
      <c r="E57" s="79"/>
      <c r="M57" s="79"/>
      <c r="R57" s="79"/>
      <c r="S57" s="79"/>
      <c r="V57" s="79"/>
      <c r="W57" s="79"/>
      <c r="Z57" s="130"/>
      <c r="AB57" s="106"/>
    </row>
    <row r="58">
      <c r="C58" s="79"/>
      <c r="D58" s="79"/>
      <c r="E58" s="79"/>
      <c r="M58" s="79"/>
      <c r="R58" s="79"/>
      <c r="S58" s="79"/>
      <c r="V58" s="79"/>
      <c r="W58" s="79"/>
      <c r="Z58" s="130"/>
      <c r="AB58" s="106"/>
    </row>
    <row r="59">
      <c r="C59" s="79"/>
      <c r="D59" s="79"/>
      <c r="E59" s="79"/>
      <c r="M59" s="79"/>
      <c r="R59" s="79"/>
      <c r="S59" s="79"/>
      <c r="V59" s="79"/>
      <c r="W59" s="79"/>
      <c r="Z59" s="130"/>
      <c r="AB59" s="106"/>
    </row>
    <row r="60">
      <c r="C60" s="79"/>
      <c r="D60" s="79"/>
      <c r="E60" s="79"/>
      <c r="M60" s="79"/>
      <c r="R60" s="79"/>
      <c r="S60" s="79"/>
      <c r="V60" s="79"/>
      <c r="W60" s="79"/>
      <c r="Z60" s="130"/>
      <c r="AB60" s="106"/>
    </row>
    <row r="61">
      <c r="C61" s="79"/>
      <c r="D61" s="79"/>
      <c r="E61" s="79"/>
      <c r="M61" s="79"/>
      <c r="R61" s="79"/>
      <c r="S61" s="79"/>
      <c r="V61" s="79"/>
      <c r="W61" s="79"/>
      <c r="Z61" s="130"/>
      <c r="AB61" s="106"/>
    </row>
    <row r="62">
      <c r="C62" s="79"/>
      <c r="D62" s="79"/>
      <c r="E62" s="79"/>
      <c r="M62" s="79"/>
      <c r="R62" s="79"/>
      <c r="S62" s="79"/>
      <c r="V62" s="79"/>
      <c r="W62" s="79"/>
      <c r="Z62" s="130"/>
      <c r="AB62" s="106"/>
    </row>
    <row r="63">
      <c r="C63" s="79"/>
      <c r="D63" s="79"/>
      <c r="E63" s="79"/>
      <c r="M63" s="79"/>
      <c r="R63" s="79"/>
      <c r="S63" s="79"/>
      <c r="V63" s="79"/>
      <c r="W63" s="79"/>
      <c r="Z63" s="130"/>
      <c r="AB63" s="106"/>
    </row>
    <row r="64">
      <c r="C64" s="79"/>
      <c r="D64" s="79"/>
      <c r="E64" s="79"/>
      <c r="M64" s="79"/>
      <c r="R64" s="79"/>
      <c r="S64" s="79"/>
      <c r="V64" s="79"/>
      <c r="W64" s="79"/>
      <c r="Z64" s="130"/>
      <c r="AB64" s="106"/>
    </row>
    <row r="65">
      <c r="C65" s="79"/>
      <c r="D65" s="79"/>
      <c r="E65" s="79"/>
      <c r="M65" s="79"/>
      <c r="R65" s="79"/>
      <c r="S65" s="79"/>
      <c r="V65" s="79"/>
      <c r="W65" s="79"/>
      <c r="Z65" s="130"/>
      <c r="AB65" s="106"/>
    </row>
    <row r="66">
      <c r="C66" s="79"/>
      <c r="D66" s="79"/>
      <c r="E66" s="79"/>
      <c r="M66" s="79"/>
      <c r="R66" s="79"/>
      <c r="S66" s="79"/>
      <c r="V66" s="79"/>
      <c r="W66" s="79"/>
      <c r="Z66" s="130"/>
      <c r="AB66" s="106"/>
    </row>
    <row r="67">
      <c r="C67" s="79"/>
      <c r="D67" s="79"/>
      <c r="E67" s="79"/>
      <c r="M67" s="79"/>
      <c r="R67" s="79"/>
      <c r="S67" s="79"/>
      <c r="V67" s="79"/>
      <c r="W67" s="79"/>
      <c r="Z67" s="130"/>
      <c r="AB67" s="106"/>
    </row>
    <row r="68">
      <c r="C68" s="79"/>
      <c r="D68" s="79"/>
      <c r="E68" s="79"/>
      <c r="M68" s="79"/>
      <c r="R68" s="79"/>
      <c r="S68" s="79"/>
      <c r="V68" s="79"/>
      <c r="W68" s="79"/>
      <c r="Z68" s="130"/>
      <c r="AB68" s="106"/>
    </row>
    <row r="69">
      <c r="C69" s="79"/>
      <c r="D69" s="79"/>
      <c r="E69" s="79"/>
      <c r="M69" s="79"/>
      <c r="R69" s="79"/>
      <c r="S69" s="79"/>
      <c r="V69" s="79"/>
      <c r="W69" s="79"/>
      <c r="Z69" s="130"/>
      <c r="AB69" s="106"/>
    </row>
    <row r="70">
      <c r="C70" s="79"/>
      <c r="D70" s="79"/>
      <c r="E70" s="79"/>
      <c r="M70" s="79"/>
      <c r="R70" s="79"/>
      <c r="S70" s="79"/>
      <c r="V70" s="79"/>
      <c r="W70" s="79"/>
      <c r="Z70" s="130"/>
      <c r="AB70" s="106"/>
    </row>
    <row r="71">
      <c r="C71" s="79"/>
      <c r="D71" s="79"/>
      <c r="E71" s="79"/>
      <c r="M71" s="79"/>
      <c r="R71" s="79"/>
      <c r="S71" s="79"/>
      <c r="V71" s="79"/>
      <c r="W71" s="79"/>
      <c r="Z71" s="130"/>
      <c r="AB71" s="106"/>
    </row>
    <row r="72">
      <c r="C72" s="79"/>
      <c r="D72" s="79"/>
      <c r="E72" s="79"/>
      <c r="M72" s="79"/>
      <c r="R72" s="79"/>
      <c r="S72" s="79"/>
      <c r="V72" s="79"/>
      <c r="W72" s="79"/>
      <c r="Z72" s="130"/>
      <c r="AB72" s="106"/>
    </row>
    <row r="73">
      <c r="C73" s="79"/>
      <c r="D73" s="79"/>
      <c r="E73" s="79"/>
      <c r="M73" s="79"/>
      <c r="R73" s="79"/>
      <c r="S73" s="79"/>
      <c r="V73" s="79"/>
      <c r="W73" s="79"/>
      <c r="Z73" s="130"/>
      <c r="AB73" s="106"/>
    </row>
    <row r="74">
      <c r="C74" s="79"/>
      <c r="D74" s="79"/>
      <c r="E74" s="79"/>
      <c r="M74" s="79"/>
      <c r="R74" s="79"/>
      <c r="S74" s="79"/>
      <c r="V74" s="79"/>
      <c r="W74" s="79"/>
      <c r="Z74" s="130"/>
      <c r="AB74" s="106"/>
    </row>
    <row r="75">
      <c r="C75" s="79"/>
      <c r="D75" s="79"/>
      <c r="E75" s="79"/>
      <c r="M75" s="79"/>
      <c r="R75" s="79"/>
      <c r="S75" s="79"/>
      <c r="V75" s="79"/>
      <c r="W75" s="79"/>
      <c r="Z75" s="130"/>
      <c r="AB75" s="106"/>
    </row>
    <row r="76">
      <c r="C76" s="79"/>
      <c r="D76" s="79"/>
      <c r="E76" s="79"/>
      <c r="M76" s="79"/>
      <c r="R76" s="79"/>
      <c r="S76" s="79"/>
      <c r="V76" s="79"/>
      <c r="W76" s="79"/>
      <c r="Z76" s="130"/>
      <c r="AB76" s="106"/>
    </row>
    <row r="77">
      <c r="C77" s="79"/>
      <c r="D77" s="79"/>
      <c r="E77" s="79"/>
      <c r="M77" s="79"/>
      <c r="R77" s="79"/>
      <c r="S77" s="79"/>
      <c r="V77" s="79"/>
      <c r="W77" s="79"/>
      <c r="Z77" s="130"/>
      <c r="AB77" s="106"/>
    </row>
    <row r="78">
      <c r="C78" s="79"/>
      <c r="D78" s="79"/>
      <c r="E78" s="79"/>
      <c r="M78" s="79"/>
      <c r="R78" s="79"/>
      <c r="S78" s="79"/>
      <c r="V78" s="79"/>
      <c r="W78" s="79"/>
      <c r="Z78" s="130"/>
      <c r="AB78" s="106"/>
    </row>
    <row r="79">
      <c r="C79" s="79"/>
      <c r="D79" s="79"/>
      <c r="E79" s="79"/>
      <c r="M79" s="79"/>
      <c r="R79" s="79"/>
      <c r="S79" s="79"/>
      <c r="V79" s="79"/>
      <c r="W79" s="79"/>
      <c r="Z79" s="130"/>
      <c r="AB79" s="106"/>
    </row>
    <row r="80">
      <c r="C80" s="79"/>
      <c r="D80" s="79"/>
      <c r="E80" s="79"/>
      <c r="M80" s="79"/>
      <c r="R80" s="79"/>
      <c r="S80" s="79"/>
      <c r="V80" s="79"/>
      <c r="W80" s="79"/>
      <c r="Z80" s="130"/>
      <c r="AB80" s="106"/>
    </row>
    <row r="81">
      <c r="C81" s="79"/>
      <c r="D81" s="79"/>
      <c r="E81" s="79"/>
      <c r="M81" s="79"/>
      <c r="R81" s="79"/>
      <c r="S81" s="79"/>
      <c r="V81" s="79"/>
      <c r="W81" s="79"/>
      <c r="Z81" s="130"/>
      <c r="AB81" s="106"/>
    </row>
    <row r="82">
      <c r="C82" s="79"/>
      <c r="D82" s="79"/>
      <c r="E82" s="79"/>
      <c r="M82" s="79"/>
      <c r="R82" s="79"/>
      <c r="S82" s="79"/>
      <c r="V82" s="79"/>
      <c r="W82" s="79"/>
      <c r="Z82" s="130"/>
      <c r="AB82" s="106"/>
    </row>
    <row r="83">
      <c r="C83" s="79"/>
      <c r="D83" s="79"/>
      <c r="E83" s="79"/>
      <c r="M83" s="79"/>
      <c r="R83" s="79"/>
      <c r="S83" s="79"/>
      <c r="V83" s="79"/>
      <c r="W83" s="79"/>
      <c r="Z83" s="130"/>
      <c r="AB83" s="106"/>
    </row>
    <row r="84">
      <c r="C84" s="79"/>
      <c r="D84" s="79"/>
      <c r="E84" s="79"/>
      <c r="M84" s="79"/>
      <c r="R84" s="79"/>
      <c r="S84" s="79"/>
      <c r="V84" s="79"/>
      <c r="W84" s="79"/>
      <c r="Z84" s="130"/>
      <c r="AB84" s="106"/>
    </row>
    <row r="85">
      <c r="C85" s="79"/>
      <c r="D85" s="79"/>
      <c r="E85" s="79"/>
      <c r="M85" s="79"/>
      <c r="R85" s="79"/>
      <c r="S85" s="79"/>
      <c r="V85" s="79"/>
      <c r="W85" s="79"/>
      <c r="Z85" s="130"/>
      <c r="AB85" s="106"/>
    </row>
    <row r="86">
      <c r="C86" s="79"/>
      <c r="D86" s="79"/>
      <c r="E86" s="79"/>
      <c r="M86" s="79"/>
      <c r="R86" s="79"/>
      <c r="S86" s="79"/>
      <c r="V86" s="79"/>
      <c r="W86" s="79"/>
      <c r="Z86" s="130"/>
      <c r="AB86" s="106"/>
    </row>
    <row r="87">
      <c r="C87" s="79"/>
      <c r="D87" s="79"/>
      <c r="E87" s="79"/>
      <c r="M87" s="79"/>
      <c r="R87" s="79"/>
      <c r="S87" s="79"/>
      <c r="V87" s="79"/>
      <c r="W87" s="79"/>
      <c r="Z87" s="130"/>
      <c r="AB87" s="106"/>
    </row>
    <row r="88">
      <c r="C88" s="79"/>
      <c r="D88" s="79"/>
      <c r="E88" s="79"/>
      <c r="M88" s="79"/>
      <c r="R88" s="79"/>
      <c r="S88" s="79"/>
      <c r="V88" s="79"/>
      <c r="W88" s="79"/>
      <c r="Z88" s="130"/>
      <c r="AB88" s="106"/>
    </row>
    <row r="89">
      <c r="C89" s="79"/>
      <c r="D89" s="79"/>
      <c r="E89" s="79"/>
      <c r="M89" s="79"/>
      <c r="R89" s="79"/>
      <c r="S89" s="79"/>
      <c r="V89" s="79"/>
      <c r="W89" s="79"/>
      <c r="Z89" s="130"/>
      <c r="AB89" s="106"/>
    </row>
    <row r="90">
      <c r="C90" s="79"/>
      <c r="D90" s="79"/>
      <c r="E90" s="79"/>
      <c r="M90" s="79"/>
      <c r="R90" s="79"/>
      <c r="S90" s="79"/>
      <c r="V90" s="79"/>
      <c r="W90" s="79"/>
      <c r="Z90" s="130"/>
      <c r="AB90" s="106"/>
    </row>
    <row r="91">
      <c r="C91" s="79"/>
      <c r="D91" s="79"/>
      <c r="E91" s="79"/>
      <c r="M91" s="79"/>
      <c r="R91" s="79"/>
      <c r="S91" s="79"/>
      <c r="V91" s="79"/>
      <c r="W91" s="79"/>
      <c r="Z91" s="130"/>
      <c r="AB91" s="106"/>
    </row>
    <row r="92">
      <c r="C92" s="79"/>
      <c r="D92" s="79"/>
      <c r="E92" s="79"/>
      <c r="M92" s="79"/>
      <c r="R92" s="79"/>
      <c r="S92" s="79"/>
      <c r="V92" s="79"/>
      <c r="W92" s="79"/>
      <c r="Z92" s="130"/>
      <c r="AB92" s="106"/>
    </row>
    <row r="93">
      <c r="C93" s="79"/>
      <c r="D93" s="79"/>
      <c r="E93" s="79"/>
      <c r="M93" s="79"/>
      <c r="R93" s="79"/>
      <c r="S93" s="79"/>
      <c r="V93" s="79"/>
      <c r="W93" s="79"/>
      <c r="Z93" s="130"/>
      <c r="AB93" s="106"/>
    </row>
    <row r="94">
      <c r="C94" s="79"/>
      <c r="D94" s="79"/>
      <c r="E94" s="79"/>
      <c r="M94" s="79"/>
      <c r="R94" s="79"/>
      <c r="S94" s="79"/>
      <c r="V94" s="79"/>
      <c r="W94" s="79"/>
      <c r="Z94" s="130"/>
      <c r="AB94" s="106"/>
    </row>
    <row r="95">
      <c r="C95" s="79"/>
      <c r="D95" s="79"/>
      <c r="E95" s="79"/>
      <c r="M95" s="79"/>
      <c r="R95" s="79"/>
      <c r="S95" s="79"/>
      <c r="V95" s="79"/>
      <c r="W95" s="79"/>
      <c r="Z95" s="130"/>
      <c r="AB95" s="106"/>
    </row>
    <row r="96">
      <c r="C96" s="79"/>
      <c r="D96" s="79"/>
      <c r="E96" s="79"/>
      <c r="M96" s="79"/>
      <c r="R96" s="79"/>
      <c r="S96" s="79"/>
      <c r="V96" s="79"/>
      <c r="W96" s="79"/>
      <c r="Z96" s="130"/>
      <c r="AB96" s="106"/>
    </row>
    <row r="97">
      <c r="C97" s="79"/>
      <c r="D97" s="79"/>
      <c r="E97" s="79"/>
      <c r="M97" s="79"/>
      <c r="R97" s="79"/>
      <c r="S97" s="79"/>
      <c r="V97" s="79"/>
      <c r="W97" s="79"/>
      <c r="Z97" s="130"/>
      <c r="AB97" s="106"/>
    </row>
    <row r="98">
      <c r="C98" s="79"/>
      <c r="D98" s="79"/>
      <c r="E98" s="79"/>
      <c r="M98" s="79"/>
      <c r="R98" s="79"/>
      <c r="S98" s="79"/>
      <c r="V98" s="79"/>
      <c r="W98" s="79"/>
      <c r="Z98" s="130"/>
      <c r="AB98" s="106"/>
    </row>
    <row r="99">
      <c r="C99" s="79"/>
      <c r="D99" s="79"/>
      <c r="E99" s="79"/>
      <c r="M99" s="79"/>
      <c r="R99" s="79"/>
      <c r="S99" s="79"/>
      <c r="V99" s="79"/>
      <c r="W99" s="79"/>
      <c r="Z99" s="130"/>
      <c r="AB99" s="106"/>
    </row>
    <row r="100">
      <c r="C100" s="79"/>
      <c r="D100" s="79"/>
      <c r="E100" s="79"/>
      <c r="M100" s="79"/>
      <c r="R100" s="79"/>
      <c r="S100" s="79"/>
      <c r="V100" s="79"/>
      <c r="W100" s="79"/>
      <c r="Z100" s="130"/>
      <c r="AB100" s="106"/>
    </row>
    <row r="101">
      <c r="C101" s="79"/>
      <c r="D101" s="79"/>
      <c r="E101" s="79"/>
      <c r="M101" s="79"/>
      <c r="R101" s="79"/>
      <c r="S101" s="79"/>
      <c r="V101" s="79"/>
      <c r="W101" s="79"/>
      <c r="Z101" s="130"/>
      <c r="AB101" s="106"/>
    </row>
    <row r="102">
      <c r="C102" s="79"/>
      <c r="D102" s="79"/>
      <c r="E102" s="79"/>
      <c r="M102" s="79"/>
      <c r="R102" s="79"/>
      <c r="S102" s="79"/>
      <c r="V102" s="79"/>
      <c r="W102" s="79"/>
      <c r="Z102" s="130"/>
      <c r="AB102" s="106"/>
    </row>
    <row r="103">
      <c r="C103" s="79"/>
      <c r="D103" s="79"/>
      <c r="E103" s="79"/>
      <c r="M103" s="79"/>
      <c r="R103" s="79"/>
      <c r="S103" s="79"/>
      <c r="V103" s="79"/>
      <c r="W103" s="79"/>
      <c r="Z103" s="130"/>
      <c r="AB103" s="106"/>
    </row>
    <row r="104">
      <c r="C104" s="79"/>
      <c r="D104" s="79"/>
      <c r="E104" s="79"/>
      <c r="M104" s="79"/>
      <c r="R104" s="79"/>
      <c r="S104" s="79"/>
      <c r="V104" s="79"/>
      <c r="W104" s="79"/>
      <c r="Z104" s="130"/>
      <c r="AB104" s="106"/>
    </row>
    <row r="105">
      <c r="C105" s="79"/>
      <c r="D105" s="79"/>
      <c r="E105" s="79"/>
      <c r="M105" s="79"/>
      <c r="R105" s="79"/>
      <c r="S105" s="79"/>
      <c r="V105" s="79"/>
      <c r="W105" s="79"/>
      <c r="Z105" s="130"/>
      <c r="AB105" s="106"/>
    </row>
    <row r="106">
      <c r="C106" s="79"/>
      <c r="D106" s="79"/>
      <c r="E106" s="79"/>
      <c r="M106" s="79"/>
      <c r="R106" s="79"/>
      <c r="S106" s="79"/>
      <c r="V106" s="79"/>
      <c r="W106" s="79"/>
      <c r="Z106" s="130"/>
      <c r="AB106" s="106"/>
    </row>
    <row r="107">
      <c r="C107" s="79"/>
      <c r="D107" s="79"/>
      <c r="E107" s="79"/>
      <c r="M107" s="79"/>
      <c r="R107" s="79"/>
      <c r="S107" s="79"/>
      <c r="V107" s="79"/>
      <c r="W107" s="79"/>
      <c r="Z107" s="130"/>
      <c r="AB107" s="106"/>
    </row>
    <row r="108">
      <c r="C108" s="79"/>
      <c r="D108" s="79"/>
      <c r="E108" s="79"/>
      <c r="M108" s="79"/>
      <c r="R108" s="79"/>
      <c r="S108" s="79"/>
      <c r="V108" s="79"/>
      <c r="W108" s="79"/>
      <c r="Z108" s="130"/>
      <c r="AB108" s="106"/>
    </row>
    <row r="109">
      <c r="C109" s="79"/>
      <c r="D109" s="79"/>
      <c r="E109" s="79"/>
      <c r="M109" s="79"/>
      <c r="R109" s="79"/>
      <c r="S109" s="79"/>
      <c r="V109" s="79"/>
      <c r="W109" s="79"/>
      <c r="Z109" s="130"/>
      <c r="AB109" s="106"/>
    </row>
    <row r="110">
      <c r="C110" s="79"/>
      <c r="D110" s="79"/>
      <c r="E110" s="79"/>
      <c r="M110" s="79"/>
      <c r="R110" s="79"/>
      <c r="S110" s="79"/>
      <c r="V110" s="79"/>
      <c r="W110" s="79"/>
      <c r="Z110" s="130"/>
      <c r="AB110" s="106"/>
    </row>
    <row r="111">
      <c r="C111" s="79"/>
      <c r="D111" s="79"/>
      <c r="E111" s="79"/>
      <c r="M111" s="79"/>
      <c r="R111" s="79"/>
      <c r="S111" s="79"/>
      <c r="V111" s="79"/>
      <c r="W111" s="79"/>
      <c r="Z111" s="130"/>
      <c r="AB111" s="106"/>
    </row>
    <row r="112">
      <c r="C112" s="79"/>
      <c r="D112" s="79"/>
      <c r="E112" s="79"/>
      <c r="M112" s="79"/>
      <c r="R112" s="79"/>
      <c r="S112" s="79"/>
      <c r="V112" s="79"/>
      <c r="W112" s="79"/>
      <c r="Z112" s="130"/>
      <c r="AB112" s="106"/>
    </row>
    <row r="113">
      <c r="C113" s="79"/>
      <c r="D113" s="79"/>
      <c r="E113" s="79"/>
      <c r="M113" s="79"/>
      <c r="R113" s="79"/>
      <c r="S113" s="79"/>
      <c r="V113" s="79"/>
      <c r="W113" s="79"/>
      <c r="Z113" s="130"/>
      <c r="AB113" s="106"/>
    </row>
    <row r="114">
      <c r="C114" s="79"/>
      <c r="D114" s="79"/>
      <c r="E114" s="79"/>
      <c r="M114" s="79"/>
      <c r="R114" s="79"/>
      <c r="S114" s="79"/>
      <c r="V114" s="79"/>
      <c r="W114" s="79"/>
      <c r="Z114" s="130"/>
      <c r="AB114" s="106"/>
    </row>
    <row r="115">
      <c r="C115" s="79"/>
      <c r="D115" s="79"/>
      <c r="E115" s="79"/>
      <c r="M115" s="79"/>
      <c r="R115" s="79"/>
      <c r="S115" s="79"/>
      <c r="V115" s="79"/>
      <c r="W115" s="79"/>
      <c r="Z115" s="130"/>
      <c r="AB115" s="106"/>
    </row>
    <row r="116">
      <c r="C116" s="79"/>
      <c r="D116" s="79"/>
      <c r="E116" s="79"/>
      <c r="M116" s="79"/>
      <c r="R116" s="79"/>
      <c r="S116" s="79"/>
      <c r="V116" s="79"/>
      <c r="W116" s="79"/>
      <c r="Z116" s="130"/>
      <c r="AB116" s="106"/>
    </row>
    <row r="117">
      <c r="C117" s="79"/>
      <c r="D117" s="79"/>
      <c r="E117" s="79"/>
      <c r="M117" s="79"/>
      <c r="R117" s="79"/>
      <c r="S117" s="79"/>
      <c r="V117" s="79"/>
      <c r="W117" s="79"/>
      <c r="Z117" s="130"/>
      <c r="AB117" s="106"/>
    </row>
    <row r="118">
      <c r="C118" s="79"/>
      <c r="D118" s="79"/>
      <c r="E118" s="79"/>
      <c r="M118" s="79"/>
      <c r="R118" s="79"/>
      <c r="S118" s="79"/>
      <c r="V118" s="79"/>
      <c r="W118" s="79"/>
      <c r="Z118" s="130"/>
      <c r="AB118" s="106"/>
    </row>
    <row r="119">
      <c r="C119" s="79"/>
      <c r="D119" s="79"/>
      <c r="E119" s="79"/>
      <c r="M119" s="79"/>
      <c r="R119" s="79"/>
      <c r="S119" s="79"/>
      <c r="V119" s="79"/>
      <c r="W119" s="79"/>
      <c r="Z119" s="130"/>
      <c r="AB119" s="106"/>
    </row>
    <row r="120">
      <c r="C120" s="79"/>
      <c r="D120" s="79"/>
      <c r="E120" s="79"/>
      <c r="M120" s="79"/>
      <c r="R120" s="79"/>
      <c r="S120" s="79"/>
      <c r="V120" s="79"/>
      <c r="W120" s="79"/>
      <c r="Z120" s="130"/>
      <c r="AB120" s="106"/>
    </row>
    <row r="121">
      <c r="C121" s="79"/>
      <c r="D121" s="79"/>
      <c r="E121" s="79"/>
      <c r="M121" s="79"/>
      <c r="R121" s="79"/>
      <c r="S121" s="79"/>
      <c r="V121" s="79"/>
      <c r="W121" s="79"/>
      <c r="Z121" s="130"/>
      <c r="AB121" s="106"/>
    </row>
    <row r="122">
      <c r="C122" s="79"/>
      <c r="D122" s="79"/>
      <c r="E122" s="79"/>
      <c r="M122" s="79"/>
      <c r="R122" s="79"/>
      <c r="S122" s="79"/>
      <c r="V122" s="79"/>
      <c r="W122" s="79"/>
      <c r="Z122" s="130"/>
      <c r="AB122" s="106"/>
    </row>
    <row r="123">
      <c r="C123" s="79"/>
      <c r="D123" s="79"/>
      <c r="E123" s="79"/>
      <c r="M123" s="79"/>
      <c r="R123" s="79"/>
      <c r="S123" s="79"/>
      <c r="V123" s="79"/>
      <c r="W123" s="79"/>
      <c r="Z123" s="130"/>
      <c r="AB123" s="106"/>
    </row>
    <row r="124">
      <c r="C124" s="79"/>
      <c r="D124" s="79"/>
      <c r="E124" s="79"/>
      <c r="M124" s="79"/>
      <c r="R124" s="79"/>
      <c r="S124" s="79"/>
      <c r="V124" s="79"/>
      <c r="W124" s="79"/>
      <c r="Z124" s="130"/>
      <c r="AB124" s="106"/>
    </row>
    <row r="125">
      <c r="C125" s="79"/>
      <c r="D125" s="79"/>
      <c r="E125" s="79"/>
      <c r="M125" s="79"/>
      <c r="R125" s="79"/>
      <c r="S125" s="79"/>
      <c r="V125" s="79"/>
      <c r="W125" s="79"/>
      <c r="Z125" s="130"/>
      <c r="AB125" s="106"/>
    </row>
    <row r="126">
      <c r="C126" s="79"/>
      <c r="D126" s="79"/>
      <c r="E126" s="79"/>
      <c r="M126" s="79"/>
      <c r="R126" s="79"/>
      <c r="S126" s="79"/>
      <c r="V126" s="79"/>
      <c r="W126" s="79"/>
      <c r="Z126" s="130"/>
      <c r="AB126" s="106"/>
    </row>
    <row r="127">
      <c r="C127" s="79"/>
      <c r="D127" s="79"/>
      <c r="E127" s="79"/>
      <c r="M127" s="79"/>
      <c r="R127" s="79"/>
      <c r="S127" s="79"/>
      <c r="V127" s="79"/>
      <c r="W127" s="79"/>
      <c r="Z127" s="130"/>
      <c r="AB127" s="106"/>
    </row>
    <row r="128">
      <c r="C128" s="79"/>
      <c r="D128" s="79"/>
      <c r="E128" s="79"/>
      <c r="M128" s="79"/>
      <c r="R128" s="79"/>
      <c r="S128" s="79"/>
      <c r="V128" s="79"/>
      <c r="W128" s="79"/>
      <c r="Z128" s="130"/>
      <c r="AB128" s="106"/>
    </row>
    <row r="129">
      <c r="C129" s="79"/>
      <c r="D129" s="79"/>
      <c r="E129" s="79"/>
      <c r="M129" s="79"/>
      <c r="R129" s="79"/>
      <c r="S129" s="79"/>
      <c r="V129" s="79"/>
      <c r="W129" s="79"/>
      <c r="Z129" s="130"/>
      <c r="AB129" s="106"/>
    </row>
    <row r="130">
      <c r="C130" s="79"/>
      <c r="D130" s="79"/>
      <c r="E130" s="79"/>
      <c r="M130" s="79"/>
      <c r="R130" s="79"/>
      <c r="S130" s="79"/>
      <c r="V130" s="79"/>
      <c r="W130" s="79"/>
      <c r="Z130" s="130"/>
      <c r="AB130" s="106"/>
    </row>
    <row r="131">
      <c r="C131" s="79"/>
      <c r="D131" s="79"/>
      <c r="E131" s="79"/>
      <c r="M131" s="79"/>
      <c r="R131" s="79"/>
      <c r="S131" s="79"/>
      <c r="V131" s="79"/>
      <c r="W131" s="79"/>
      <c r="Z131" s="130"/>
      <c r="AB131" s="106"/>
    </row>
    <row r="132">
      <c r="C132" s="79"/>
      <c r="D132" s="79"/>
      <c r="E132" s="79"/>
      <c r="M132" s="79"/>
      <c r="R132" s="79"/>
      <c r="S132" s="79"/>
      <c r="V132" s="79"/>
      <c r="W132" s="79"/>
      <c r="Z132" s="130"/>
      <c r="AB132" s="106"/>
    </row>
    <row r="133">
      <c r="C133" s="79"/>
      <c r="D133" s="79"/>
      <c r="E133" s="79"/>
      <c r="M133" s="79"/>
      <c r="R133" s="79"/>
      <c r="S133" s="79"/>
      <c r="V133" s="79"/>
      <c r="W133" s="79"/>
      <c r="Z133" s="130"/>
      <c r="AB133" s="106"/>
    </row>
    <row r="134">
      <c r="C134" s="79"/>
      <c r="D134" s="79"/>
      <c r="E134" s="79"/>
      <c r="M134" s="79"/>
      <c r="R134" s="79"/>
      <c r="S134" s="79"/>
      <c r="V134" s="79"/>
      <c r="W134" s="79"/>
      <c r="Z134" s="130"/>
      <c r="AB134" s="106"/>
    </row>
    <row r="135">
      <c r="C135" s="79"/>
      <c r="D135" s="79"/>
      <c r="E135" s="79"/>
      <c r="M135" s="79"/>
      <c r="R135" s="79"/>
      <c r="S135" s="79"/>
      <c r="V135" s="79"/>
      <c r="W135" s="79"/>
      <c r="Z135" s="130"/>
      <c r="AB135" s="106"/>
    </row>
    <row r="136">
      <c r="C136" s="79"/>
      <c r="D136" s="79"/>
      <c r="E136" s="79"/>
      <c r="M136" s="79"/>
      <c r="R136" s="79"/>
      <c r="S136" s="79"/>
      <c r="V136" s="79"/>
      <c r="W136" s="79"/>
      <c r="Z136" s="130"/>
      <c r="AB136" s="106"/>
    </row>
    <row r="137">
      <c r="C137" s="79"/>
      <c r="D137" s="79"/>
      <c r="E137" s="79"/>
      <c r="M137" s="79"/>
      <c r="R137" s="79"/>
      <c r="S137" s="79"/>
      <c r="V137" s="79"/>
      <c r="W137" s="79"/>
      <c r="Z137" s="130"/>
      <c r="AB137" s="106"/>
    </row>
    <row r="138">
      <c r="C138" s="79"/>
      <c r="D138" s="79"/>
      <c r="E138" s="79"/>
      <c r="M138" s="79"/>
      <c r="R138" s="79"/>
      <c r="S138" s="79"/>
      <c r="V138" s="79"/>
      <c r="W138" s="79"/>
      <c r="Z138" s="130"/>
      <c r="AB138" s="106"/>
    </row>
    <row r="139">
      <c r="C139" s="79"/>
      <c r="D139" s="79"/>
      <c r="E139" s="79"/>
      <c r="M139" s="79"/>
      <c r="R139" s="79"/>
      <c r="S139" s="79"/>
      <c r="V139" s="79"/>
      <c r="W139" s="79"/>
      <c r="Z139" s="130"/>
      <c r="AB139" s="106"/>
    </row>
    <row r="140">
      <c r="C140" s="79"/>
      <c r="D140" s="79"/>
      <c r="E140" s="79"/>
      <c r="M140" s="79"/>
      <c r="R140" s="79"/>
      <c r="S140" s="79"/>
      <c r="V140" s="79"/>
      <c r="W140" s="79"/>
      <c r="Z140" s="130"/>
      <c r="AB140" s="106"/>
    </row>
    <row r="141">
      <c r="C141" s="79"/>
      <c r="D141" s="79"/>
      <c r="E141" s="79"/>
      <c r="M141" s="79"/>
      <c r="R141" s="79"/>
      <c r="S141" s="79"/>
      <c r="V141" s="79"/>
      <c r="W141" s="79"/>
      <c r="Z141" s="130"/>
      <c r="AB141" s="106"/>
    </row>
    <row r="142">
      <c r="C142" s="79"/>
      <c r="D142" s="79"/>
      <c r="E142" s="79"/>
      <c r="M142" s="79"/>
      <c r="R142" s="79"/>
      <c r="S142" s="79"/>
      <c r="V142" s="79"/>
      <c r="W142" s="79"/>
      <c r="Z142" s="130"/>
      <c r="AB142" s="106"/>
    </row>
    <row r="143">
      <c r="C143" s="79"/>
      <c r="D143" s="79"/>
      <c r="E143" s="79"/>
      <c r="M143" s="79"/>
      <c r="R143" s="79"/>
      <c r="S143" s="79"/>
      <c r="V143" s="79"/>
      <c r="W143" s="79"/>
      <c r="Z143" s="130"/>
      <c r="AB143" s="106"/>
    </row>
    <row r="144">
      <c r="C144" s="79"/>
      <c r="D144" s="79"/>
      <c r="E144" s="79"/>
      <c r="M144" s="79"/>
      <c r="R144" s="79"/>
      <c r="S144" s="79"/>
      <c r="V144" s="79"/>
      <c r="W144" s="79"/>
      <c r="Z144" s="130"/>
      <c r="AB144" s="106"/>
    </row>
    <row r="145">
      <c r="C145" s="79"/>
      <c r="D145" s="79"/>
      <c r="E145" s="79"/>
      <c r="M145" s="79"/>
      <c r="R145" s="79"/>
      <c r="S145" s="79"/>
      <c r="V145" s="79"/>
      <c r="W145" s="79"/>
      <c r="Z145" s="130"/>
      <c r="AB145" s="106"/>
    </row>
    <row r="146">
      <c r="C146" s="79"/>
      <c r="D146" s="79"/>
      <c r="E146" s="79"/>
      <c r="M146" s="79"/>
      <c r="R146" s="79"/>
      <c r="S146" s="79"/>
      <c r="V146" s="79"/>
      <c r="W146" s="79"/>
      <c r="Z146" s="130"/>
      <c r="AB146" s="106"/>
    </row>
    <row r="147">
      <c r="C147" s="79"/>
      <c r="D147" s="79"/>
      <c r="E147" s="79"/>
      <c r="M147" s="79"/>
      <c r="R147" s="79"/>
      <c r="S147" s="79"/>
      <c r="V147" s="79"/>
      <c r="W147" s="79"/>
      <c r="Z147" s="130"/>
      <c r="AB147" s="106"/>
    </row>
    <row r="148">
      <c r="C148" s="79"/>
      <c r="D148" s="79"/>
      <c r="E148" s="79"/>
      <c r="M148" s="79"/>
      <c r="R148" s="79"/>
      <c r="S148" s="79"/>
      <c r="V148" s="79"/>
      <c r="W148" s="79"/>
      <c r="Z148" s="130"/>
      <c r="AB148" s="106"/>
    </row>
    <row r="149">
      <c r="C149" s="79"/>
      <c r="D149" s="79"/>
      <c r="E149" s="79"/>
      <c r="M149" s="79"/>
      <c r="R149" s="79"/>
      <c r="S149" s="79"/>
      <c r="V149" s="79"/>
      <c r="W149" s="79"/>
      <c r="Z149" s="130"/>
      <c r="AB149" s="106"/>
    </row>
    <row r="150">
      <c r="C150" s="79"/>
      <c r="D150" s="79"/>
      <c r="E150" s="79"/>
      <c r="M150" s="79"/>
      <c r="R150" s="79"/>
      <c r="S150" s="79"/>
      <c r="V150" s="79"/>
      <c r="W150" s="79"/>
      <c r="Z150" s="130"/>
      <c r="AB150" s="106"/>
    </row>
    <row r="151">
      <c r="C151" s="79"/>
      <c r="D151" s="79"/>
      <c r="E151" s="79"/>
      <c r="M151" s="79"/>
      <c r="R151" s="79"/>
      <c r="S151" s="79"/>
      <c r="V151" s="79"/>
      <c r="W151" s="79"/>
      <c r="Z151" s="130"/>
      <c r="AB151" s="106"/>
    </row>
    <row r="152">
      <c r="C152" s="79"/>
      <c r="D152" s="79"/>
      <c r="E152" s="79"/>
      <c r="M152" s="79"/>
      <c r="R152" s="79"/>
      <c r="S152" s="79"/>
      <c r="V152" s="79"/>
      <c r="W152" s="79"/>
      <c r="Z152" s="130"/>
      <c r="AB152" s="106"/>
    </row>
    <row r="153">
      <c r="C153" s="79"/>
      <c r="D153" s="79"/>
      <c r="E153" s="79"/>
      <c r="M153" s="79"/>
      <c r="R153" s="79"/>
      <c r="S153" s="79"/>
      <c r="V153" s="79"/>
      <c r="W153" s="79"/>
      <c r="Z153" s="130"/>
      <c r="AB153" s="106"/>
    </row>
    <row r="154">
      <c r="C154" s="79"/>
      <c r="D154" s="79"/>
      <c r="E154" s="79"/>
      <c r="M154" s="79"/>
      <c r="R154" s="79"/>
      <c r="S154" s="79"/>
      <c r="V154" s="79"/>
      <c r="W154" s="79"/>
      <c r="Z154" s="130"/>
      <c r="AB154" s="106"/>
    </row>
    <row r="155">
      <c r="C155" s="79"/>
      <c r="D155" s="79"/>
      <c r="E155" s="79"/>
      <c r="M155" s="79"/>
      <c r="R155" s="79"/>
      <c r="S155" s="79"/>
      <c r="V155" s="79"/>
      <c r="W155" s="79"/>
      <c r="Z155" s="130"/>
      <c r="AB155" s="106"/>
    </row>
    <row r="156">
      <c r="C156" s="79"/>
      <c r="D156" s="79"/>
      <c r="E156" s="79"/>
      <c r="M156" s="79"/>
      <c r="R156" s="79"/>
      <c r="S156" s="79"/>
      <c r="V156" s="79"/>
      <c r="W156" s="79"/>
      <c r="Z156" s="130"/>
      <c r="AB156" s="106"/>
    </row>
    <row r="157">
      <c r="C157" s="79"/>
      <c r="D157" s="79"/>
      <c r="E157" s="79"/>
      <c r="M157" s="79"/>
      <c r="R157" s="79"/>
      <c r="S157" s="79"/>
      <c r="V157" s="79"/>
      <c r="W157" s="79"/>
      <c r="Z157" s="130"/>
      <c r="AB157" s="106"/>
    </row>
    <row r="158">
      <c r="C158" s="79"/>
      <c r="D158" s="79"/>
      <c r="E158" s="79"/>
      <c r="M158" s="79"/>
      <c r="R158" s="79"/>
      <c r="S158" s="79"/>
      <c r="V158" s="79"/>
      <c r="W158" s="79"/>
      <c r="Z158" s="130"/>
      <c r="AB158" s="106"/>
    </row>
    <row r="159">
      <c r="C159" s="79"/>
      <c r="D159" s="79"/>
      <c r="E159" s="79"/>
      <c r="M159" s="79"/>
      <c r="R159" s="79"/>
      <c r="S159" s="79"/>
      <c r="V159" s="79"/>
      <c r="W159" s="79"/>
      <c r="Z159" s="130"/>
      <c r="AB159" s="106"/>
    </row>
    <row r="160">
      <c r="C160" s="79"/>
      <c r="D160" s="79"/>
      <c r="E160" s="79"/>
      <c r="M160" s="79"/>
      <c r="R160" s="79"/>
      <c r="S160" s="79"/>
      <c r="V160" s="79"/>
      <c r="W160" s="79"/>
      <c r="Z160" s="130"/>
      <c r="AB160" s="106"/>
    </row>
    <row r="161">
      <c r="C161" s="79"/>
      <c r="D161" s="79"/>
      <c r="E161" s="79"/>
      <c r="M161" s="79"/>
      <c r="R161" s="79"/>
      <c r="S161" s="79"/>
      <c r="V161" s="79"/>
      <c r="W161" s="79"/>
      <c r="Z161" s="130"/>
      <c r="AB161" s="106"/>
    </row>
    <row r="162">
      <c r="C162" s="79"/>
      <c r="D162" s="79"/>
      <c r="E162" s="79"/>
      <c r="M162" s="79"/>
      <c r="R162" s="79"/>
      <c r="S162" s="79"/>
      <c r="V162" s="79"/>
      <c r="W162" s="79"/>
      <c r="Z162" s="130"/>
      <c r="AB162" s="106"/>
    </row>
    <row r="163">
      <c r="C163" s="79"/>
      <c r="D163" s="79"/>
      <c r="E163" s="79"/>
      <c r="M163" s="79"/>
      <c r="R163" s="79"/>
      <c r="S163" s="79"/>
      <c r="V163" s="79"/>
      <c r="W163" s="79"/>
      <c r="Z163" s="130"/>
      <c r="AB163" s="106"/>
    </row>
    <row r="164">
      <c r="C164" s="79"/>
      <c r="D164" s="79"/>
      <c r="E164" s="79"/>
      <c r="M164" s="79"/>
      <c r="R164" s="79"/>
      <c r="S164" s="79"/>
      <c r="V164" s="79"/>
      <c r="W164" s="79"/>
      <c r="Z164" s="130"/>
      <c r="AB164" s="106"/>
    </row>
    <row r="165">
      <c r="C165" s="79"/>
      <c r="D165" s="79"/>
      <c r="E165" s="79"/>
      <c r="M165" s="79"/>
      <c r="R165" s="79"/>
      <c r="S165" s="79"/>
      <c r="V165" s="79"/>
      <c r="W165" s="79"/>
      <c r="Z165" s="130"/>
      <c r="AB165" s="106"/>
    </row>
    <row r="166">
      <c r="C166" s="79"/>
      <c r="D166" s="79"/>
      <c r="E166" s="79"/>
      <c r="M166" s="79"/>
      <c r="R166" s="79"/>
      <c r="S166" s="79"/>
      <c r="V166" s="79"/>
      <c r="W166" s="79"/>
      <c r="Z166" s="130"/>
      <c r="AB166" s="106"/>
    </row>
    <row r="167">
      <c r="C167" s="79"/>
      <c r="D167" s="79"/>
      <c r="E167" s="79"/>
      <c r="M167" s="79"/>
      <c r="R167" s="79"/>
      <c r="S167" s="79"/>
      <c r="V167" s="79"/>
      <c r="W167" s="79"/>
      <c r="Z167" s="130"/>
      <c r="AB167" s="106"/>
    </row>
    <row r="168">
      <c r="C168" s="79"/>
      <c r="D168" s="79"/>
      <c r="E168" s="79"/>
      <c r="M168" s="79"/>
      <c r="R168" s="79"/>
      <c r="S168" s="79"/>
      <c r="V168" s="79"/>
      <c r="W168" s="79"/>
      <c r="Z168" s="130"/>
      <c r="AB168" s="106"/>
    </row>
    <row r="169">
      <c r="C169" s="79"/>
      <c r="D169" s="79"/>
      <c r="E169" s="79"/>
      <c r="M169" s="79"/>
      <c r="R169" s="79"/>
      <c r="S169" s="79"/>
      <c r="V169" s="79"/>
      <c r="W169" s="79"/>
      <c r="Z169" s="130"/>
      <c r="AB169" s="106"/>
    </row>
    <row r="170">
      <c r="C170" s="79"/>
      <c r="D170" s="79"/>
      <c r="E170" s="79"/>
      <c r="M170" s="79"/>
      <c r="R170" s="79"/>
      <c r="S170" s="79"/>
      <c r="V170" s="79"/>
      <c r="W170" s="79"/>
      <c r="Z170" s="130"/>
      <c r="AB170" s="106"/>
    </row>
    <row r="171">
      <c r="C171" s="79"/>
      <c r="D171" s="79"/>
      <c r="E171" s="79"/>
      <c r="M171" s="79"/>
      <c r="R171" s="79"/>
      <c r="S171" s="79"/>
      <c r="V171" s="79"/>
      <c r="W171" s="79"/>
      <c r="Z171" s="130"/>
      <c r="AB171" s="106"/>
    </row>
    <row r="172">
      <c r="C172" s="79"/>
      <c r="D172" s="79"/>
      <c r="E172" s="79"/>
      <c r="M172" s="79"/>
      <c r="R172" s="79"/>
      <c r="S172" s="79"/>
      <c r="V172" s="79"/>
      <c r="W172" s="79"/>
      <c r="Z172" s="130"/>
      <c r="AB172" s="106"/>
    </row>
    <row r="173">
      <c r="C173" s="79"/>
      <c r="D173" s="79"/>
      <c r="E173" s="79"/>
      <c r="M173" s="79"/>
      <c r="R173" s="79"/>
      <c r="S173" s="79"/>
      <c r="V173" s="79"/>
      <c r="W173" s="79"/>
      <c r="Z173" s="130"/>
      <c r="AB173" s="106"/>
    </row>
    <row r="174">
      <c r="C174" s="79"/>
      <c r="D174" s="79"/>
      <c r="E174" s="79"/>
      <c r="M174" s="79"/>
      <c r="R174" s="79"/>
      <c r="S174" s="79"/>
      <c r="V174" s="79"/>
      <c r="W174" s="79"/>
      <c r="Z174" s="130"/>
      <c r="AB174" s="106"/>
    </row>
    <row r="175">
      <c r="C175" s="79"/>
      <c r="D175" s="79"/>
      <c r="E175" s="79"/>
      <c r="M175" s="79"/>
      <c r="R175" s="79"/>
      <c r="S175" s="79"/>
      <c r="V175" s="79"/>
      <c r="W175" s="79"/>
      <c r="Z175" s="130"/>
      <c r="AB175" s="106"/>
    </row>
    <row r="176">
      <c r="C176" s="79"/>
      <c r="D176" s="79"/>
      <c r="E176" s="79"/>
      <c r="M176" s="79"/>
      <c r="R176" s="79"/>
      <c r="S176" s="79"/>
      <c r="V176" s="79"/>
      <c r="W176" s="79"/>
      <c r="Z176" s="130"/>
      <c r="AB176" s="106"/>
    </row>
    <row r="177">
      <c r="C177" s="79"/>
      <c r="D177" s="79"/>
      <c r="E177" s="79"/>
      <c r="M177" s="79"/>
      <c r="R177" s="79"/>
      <c r="S177" s="79"/>
      <c r="V177" s="79"/>
      <c r="W177" s="79"/>
      <c r="Z177" s="130"/>
      <c r="AB177" s="106"/>
    </row>
    <row r="178">
      <c r="C178" s="79"/>
      <c r="D178" s="79"/>
      <c r="E178" s="79"/>
      <c r="M178" s="79"/>
      <c r="R178" s="79"/>
      <c r="S178" s="79"/>
      <c r="V178" s="79"/>
      <c r="W178" s="79"/>
      <c r="Z178" s="130"/>
      <c r="AB178" s="106"/>
    </row>
    <row r="179">
      <c r="C179" s="79"/>
      <c r="D179" s="79"/>
      <c r="E179" s="79"/>
      <c r="M179" s="79"/>
      <c r="R179" s="79"/>
      <c r="S179" s="79"/>
      <c r="V179" s="79"/>
      <c r="W179" s="79"/>
      <c r="Z179" s="130"/>
      <c r="AB179" s="106"/>
    </row>
    <row r="180">
      <c r="C180" s="79"/>
      <c r="D180" s="79"/>
      <c r="E180" s="79"/>
      <c r="M180" s="79"/>
      <c r="R180" s="79"/>
      <c r="S180" s="79"/>
      <c r="V180" s="79"/>
      <c r="W180" s="79"/>
      <c r="Z180" s="130"/>
      <c r="AB180" s="106"/>
    </row>
    <row r="181">
      <c r="C181" s="79"/>
      <c r="D181" s="79"/>
      <c r="E181" s="79"/>
      <c r="M181" s="79"/>
      <c r="R181" s="79"/>
      <c r="S181" s="79"/>
      <c r="V181" s="79"/>
      <c r="W181" s="79"/>
      <c r="Z181" s="130"/>
      <c r="AB181" s="106"/>
    </row>
    <row r="182">
      <c r="C182" s="79"/>
      <c r="D182" s="79"/>
      <c r="E182" s="79"/>
      <c r="M182" s="79"/>
      <c r="R182" s="79"/>
      <c r="S182" s="79"/>
      <c r="V182" s="79"/>
      <c r="W182" s="79"/>
      <c r="Z182" s="130"/>
      <c r="AB182" s="106"/>
    </row>
    <row r="183">
      <c r="C183" s="79"/>
      <c r="D183" s="79"/>
      <c r="E183" s="79"/>
      <c r="M183" s="79"/>
      <c r="R183" s="79"/>
      <c r="S183" s="79"/>
      <c r="V183" s="79"/>
      <c r="W183" s="79"/>
      <c r="Z183" s="130"/>
      <c r="AB183" s="106"/>
    </row>
    <row r="184">
      <c r="C184" s="79"/>
      <c r="D184" s="79"/>
      <c r="E184" s="79"/>
      <c r="M184" s="79"/>
      <c r="R184" s="79"/>
      <c r="S184" s="79"/>
      <c r="V184" s="79"/>
      <c r="W184" s="79"/>
      <c r="Z184" s="130"/>
      <c r="AB184" s="106"/>
    </row>
    <row r="185">
      <c r="C185" s="79"/>
      <c r="D185" s="79"/>
      <c r="E185" s="79"/>
      <c r="M185" s="79"/>
      <c r="R185" s="79"/>
      <c r="S185" s="79"/>
      <c r="V185" s="79"/>
      <c r="W185" s="79"/>
      <c r="Z185" s="130"/>
      <c r="AB185" s="106"/>
    </row>
    <row r="186">
      <c r="C186" s="79"/>
      <c r="D186" s="79"/>
      <c r="E186" s="79"/>
      <c r="M186" s="79"/>
      <c r="R186" s="79"/>
      <c r="S186" s="79"/>
      <c r="V186" s="79"/>
      <c r="W186" s="79"/>
      <c r="Z186" s="130"/>
      <c r="AB186" s="106"/>
    </row>
    <row r="187">
      <c r="C187" s="79"/>
      <c r="D187" s="79"/>
      <c r="E187" s="79"/>
      <c r="M187" s="79"/>
      <c r="R187" s="79"/>
      <c r="S187" s="79"/>
      <c r="V187" s="79"/>
      <c r="W187" s="79"/>
      <c r="Z187" s="130"/>
      <c r="AB187" s="106"/>
    </row>
    <row r="188">
      <c r="C188" s="79"/>
      <c r="D188" s="79"/>
      <c r="E188" s="79"/>
      <c r="M188" s="79"/>
      <c r="R188" s="79"/>
      <c r="S188" s="79"/>
      <c r="V188" s="79"/>
      <c r="W188" s="79"/>
      <c r="Z188" s="130"/>
      <c r="AB188" s="106"/>
    </row>
    <row r="189">
      <c r="C189" s="79"/>
      <c r="D189" s="79"/>
      <c r="E189" s="79"/>
      <c r="M189" s="79"/>
      <c r="R189" s="79"/>
      <c r="S189" s="79"/>
      <c r="V189" s="79"/>
      <c r="W189" s="79"/>
      <c r="Z189" s="130"/>
      <c r="AB189" s="106"/>
    </row>
    <row r="190">
      <c r="C190" s="79"/>
      <c r="D190" s="79"/>
      <c r="E190" s="79"/>
      <c r="M190" s="79"/>
      <c r="R190" s="79"/>
      <c r="S190" s="79"/>
      <c r="V190" s="79"/>
      <c r="W190" s="79"/>
      <c r="Z190" s="130"/>
      <c r="AB190" s="106"/>
    </row>
    <row r="191">
      <c r="C191" s="79"/>
      <c r="D191" s="79"/>
      <c r="E191" s="79"/>
      <c r="M191" s="79"/>
      <c r="R191" s="79"/>
      <c r="S191" s="79"/>
      <c r="V191" s="79"/>
      <c r="W191" s="79"/>
      <c r="Z191" s="130"/>
      <c r="AB191" s="106"/>
    </row>
    <row r="192">
      <c r="C192" s="79"/>
      <c r="D192" s="79"/>
      <c r="E192" s="79"/>
      <c r="M192" s="79"/>
      <c r="R192" s="79"/>
      <c r="S192" s="79"/>
      <c r="V192" s="79"/>
      <c r="W192" s="79"/>
      <c r="Z192" s="130"/>
      <c r="AB192" s="106"/>
    </row>
    <row r="193">
      <c r="C193" s="79"/>
      <c r="D193" s="79"/>
      <c r="E193" s="79"/>
      <c r="M193" s="79"/>
      <c r="R193" s="79"/>
      <c r="S193" s="79"/>
      <c r="V193" s="79"/>
      <c r="W193" s="79"/>
      <c r="Z193" s="130"/>
      <c r="AB193" s="106"/>
    </row>
    <row r="194">
      <c r="C194" s="79"/>
      <c r="D194" s="79"/>
      <c r="E194" s="79"/>
      <c r="M194" s="79"/>
      <c r="R194" s="79"/>
      <c r="S194" s="79"/>
      <c r="V194" s="79"/>
      <c r="W194" s="79"/>
      <c r="Z194" s="130"/>
      <c r="AB194" s="106"/>
    </row>
    <row r="195">
      <c r="C195" s="79"/>
      <c r="D195" s="79"/>
      <c r="E195" s="79"/>
      <c r="M195" s="79"/>
      <c r="R195" s="79"/>
      <c r="S195" s="79"/>
      <c r="V195" s="79"/>
      <c r="W195" s="79"/>
      <c r="Z195" s="130"/>
      <c r="AB195" s="106"/>
    </row>
    <row r="196">
      <c r="C196" s="79"/>
      <c r="D196" s="79"/>
      <c r="E196" s="79"/>
      <c r="M196" s="79"/>
      <c r="R196" s="79"/>
      <c r="S196" s="79"/>
      <c r="V196" s="79"/>
      <c r="W196" s="79"/>
      <c r="Z196" s="130"/>
      <c r="AB196" s="106"/>
    </row>
    <row r="197">
      <c r="C197" s="79"/>
      <c r="D197" s="79"/>
      <c r="E197" s="79"/>
      <c r="M197" s="79"/>
      <c r="R197" s="79"/>
      <c r="S197" s="79"/>
      <c r="V197" s="79"/>
      <c r="W197" s="79"/>
      <c r="Z197" s="130"/>
      <c r="AB197" s="106"/>
    </row>
    <row r="198">
      <c r="C198" s="79"/>
      <c r="D198" s="79"/>
      <c r="E198" s="79"/>
      <c r="M198" s="79"/>
      <c r="R198" s="79"/>
      <c r="S198" s="79"/>
      <c r="V198" s="79"/>
      <c r="W198" s="79"/>
      <c r="Z198" s="130"/>
      <c r="AB198" s="106"/>
    </row>
    <row r="199">
      <c r="C199" s="79"/>
      <c r="D199" s="79"/>
      <c r="E199" s="79"/>
      <c r="M199" s="79"/>
      <c r="R199" s="79"/>
      <c r="S199" s="79"/>
      <c r="V199" s="79"/>
      <c r="W199" s="79"/>
      <c r="Z199" s="130"/>
      <c r="AB199" s="106"/>
    </row>
    <row r="200">
      <c r="C200" s="79"/>
      <c r="D200" s="79"/>
      <c r="E200" s="79"/>
      <c r="M200" s="79"/>
      <c r="R200" s="79"/>
      <c r="S200" s="79"/>
      <c r="V200" s="79"/>
      <c r="W200" s="79"/>
      <c r="Z200" s="130"/>
      <c r="AB200" s="106"/>
    </row>
    <row r="201">
      <c r="C201" s="79"/>
      <c r="D201" s="79"/>
      <c r="E201" s="79"/>
      <c r="M201" s="79"/>
      <c r="R201" s="79"/>
      <c r="S201" s="79"/>
      <c r="V201" s="79"/>
      <c r="W201" s="79"/>
      <c r="Z201" s="130"/>
      <c r="AB201" s="106"/>
    </row>
    <row r="202">
      <c r="C202" s="79"/>
      <c r="D202" s="79"/>
      <c r="E202" s="79"/>
      <c r="M202" s="79"/>
      <c r="R202" s="79"/>
      <c r="S202" s="79"/>
      <c r="V202" s="79"/>
      <c r="W202" s="79"/>
      <c r="Z202" s="130"/>
      <c r="AB202" s="106"/>
    </row>
    <row r="203">
      <c r="C203" s="79"/>
      <c r="D203" s="79"/>
      <c r="E203" s="79"/>
      <c r="M203" s="79"/>
      <c r="R203" s="79"/>
      <c r="S203" s="79"/>
      <c r="V203" s="79"/>
      <c r="W203" s="79"/>
      <c r="Z203" s="130"/>
      <c r="AB203" s="106"/>
    </row>
    <row r="204">
      <c r="C204" s="79"/>
      <c r="D204" s="79"/>
      <c r="E204" s="79"/>
      <c r="M204" s="79"/>
      <c r="R204" s="79"/>
      <c r="S204" s="79"/>
      <c r="V204" s="79"/>
      <c r="W204" s="79"/>
      <c r="Z204" s="130"/>
      <c r="AB204" s="106"/>
    </row>
    <row r="205">
      <c r="C205" s="79"/>
      <c r="D205" s="79"/>
      <c r="E205" s="79"/>
      <c r="M205" s="79"/>
      <c r="R205" s="79"/>
      <c r="S205" s="79"/>
      <c r="V205" s="79"/>
      <c r="W205" s="79"/>
      <c r="Z205" s="130"/>
      <c r="AB205" s="106"/>
    </row>
    <row r="206">
      <c r="C206" s="79"/>
      <c r="D206" s="79"/>
      <c r="E206" s="79"/>
      <c r="M206" s="79"/>
      <c r="R206" s="79"/>
      <c r="S206" s="79"/>
      <c r="V206" s="79"/>
      <c r="W206" s="79"/>
      <c r="Z206" s="130"/>
      <c r="AB206" s="106"/>
    </row>
    <row r="207">
      <c r="C207" s="79"/>
      <c r="D207" s="79"/>
      <c r="E207" s="79"/>
      <c r="M207" s="79"/>
      <c r="R207" s="79"/>
      <c r="S207" s="79"/>
      <c r="V207" s="79"/>
      <c r="W207" s="79"/>
      <c r="Z207" s="130"/>
      <c r="AB207" s="106"/>
    </row>
    <row r="208">
      <c r="C208" s="79"/>
      <c r="D208" s="79"/>
      <c r="E208" s="79"/>
      <c r="M208" s="79"/>
      <c r="R208" s="79"/>
      <c r="S208" s="79"/>
      <c r="V208" s="79"/>
      <c r="W208" s="79"/>
      <c r="Z208" s="130"/>
      <c r="AB208" s="106"/>
    </row>
    <row r="209">
      <c r="C209" s="79"/>
      <c r="D209" s="79"/>
      <c r="E209" s="79"/>
      <c r="M209" s="79"/>
      <c r="R209" s="79"/>
      <c r="S209" s="79"/>
      <c r="V209" s="79"/>
      <c r="W209" s="79"/>
      <c r="Z209" s="130"/>
      <c r="AB209" s="106"/>
    </row>
    <row r="210">
      <c r="C210" s="79"/>
      <c r="D210" s="79"/>
      <c r="E210" s="79"/>
      <c r="M210" s="79"/>
      <c r="R210" s="79"/>
      <c r="S210" s="79"/>
      <c r="V210" s="79"/>
      <c r="W210" s="79"/>
      <c r="Z210" s="130"/>
      <c r="AB210" s="106"/>
    </row>
    <row r="211">
      <c r="C211" s="79"/>
      <c r="D211" s="79"/>
      <c r="E211" s="79"/>
      <c r="M211" s="79"/>
      <c r="R211" s="79"/>
      <c r="S211" s="79"/>
      <c r="V211" s="79"/>
      <c r="W211" s="79"/>
      <c r="Z211" s="130"/>
      <c r="AB211" s="106"/>
    </row>
    <row r="212">
      <c r="C212" s="79"/>
      <c r="D212" s="79"/>
      <c r="E212" s="79"/>
      <c r="M212" s="79"/>
      <c r="R212" s="79"/>
      <c r="S212" s="79"/>
      <c r="V212" s="79"/>
      <c r="W212" s="79"/>
      <c r="Z212" s="130"/>
      <c r="AB212" s="106"/>
    </row>
    <row r="213">
      <c r="C213" s="79"/>
      <c r="D213" s="79"/>
      <c r="E213" s="79"/>
      <c r="M213" s="79"/>
      <c r="R213" s="79"/>
      <c r="S213" s="79"/>
      <c r="V213" s="79"/>
      <c r="W213" s="79"/>
      <c r="Z213" s="130"/>
      <c r="AB213" s="106"/>
    </row>
    <row r="214">
      <c r="C214" s="79"/>
      <c r="D214" s="79"/>
      <c r="E214" s="79"/>
      <c r="M214" s="79"/>
      <c r="R214" s="79"/>
      <c r="S214" s="79"/>
      <c r="V214" s="79"/>
      <c r="W214" s="79"/>
      <c r="Z214" s="130"/>
      <c r="AB214" s="106"/>
    </row>
    <row r="215">
      <c r="C215" s="79"/>
      <c r="D215" s="79"/>
      <c r="E215" s="79"/>
      <c r="M215" s="79"/>
      <c r="R215" s="79"/>
      <c r="S215" s="79"/>
      <c r="V215" s="79"/>
      <c r="W215" s="79"/>
      <c r="Z215" s="130"/>
      <c r="AB215" s="106"/>
    </row>
    <row r="216">
      <c r="C216" s="79"/>
      <c r="D216" s="79"/>
      <c r="E216" s="79"/>
      <c r="M216" s="79"/>
      <c r="R216" s="79"/>
      <c r="S216" s="79"/>
      <c r="V216" s="79"/>
      <c r="W216" s="79"/>
      <c r="Z216" s="130"/>
      <c r="AB216" s="106"/>
    </row>
    <row r="217">
      <c r="C217" s="79"/>
      <c r="D217" s="79"/>
      <c r="E217" s="79"/>
      <c r="M217" s="79"/>
      <c r="R217" s="79"/>
      <c r="S217" s="79"/>
      <c r="V217" s="79"/>
      <c r="W217" s="79"/>
      <c r="Z217" s="130"/>
      <c r="AB217" s="106"/>
    </row>
    <row r="218">
      <c r="C218" s="79"/>
      <c r="D218" s="79"/>
      <c r="E218" s="79"/>
      <c r="M218" s="79"/>
      <c r="R218" s="79"/>
      <c r="S218" s="79"/>
      <c r="V218" s="79"/>
      <c r="W218" s="79"/>
      <c r="Z218" s="130"/>
      <c r="AB218" s="106"/>
    </row>
    <row r="219">
      <c r="C219" s="79"/>
      <c r="D219" s="79"/>
      <c r="E219" s="79"/>
      <c r="M219" s="79"/>
      <c r="R219" s="79"/>
      <c r="S219" s="79"/>
      <c r="V219" s="79"/>
      <c r="W219" s="79"/>
      <c r="Z219" s="130"/>
      <c r="AB219" s="106"/>
    </row>
    <row r="220">
      <c r="C220" s="79"/>
      <c r="D220" s="79"/>
      <c r="E220" s="79"/>
      <c r="M220" s="79"/>
      <c r="R220" s="79"/>
      <c r="S220" s="79"/>
      <c r="V220" s="79"/>
      <c r="W220" s="79"/>
      <c r="Z220" s="130"/>
      <c r="AB220" s="106"/>
    </row>
    <row r="221">
      <c r="C221" s="79"/>
      <c r="D221" s="79"/>
      <c r="E221" s="79"/>
      <c r="M221" s="79"/>
      <c r="R221" s="79"/>
      <c r="S221" s="79"/>
      <c r="V221" s="79"/>
      <c r="W221" s="79"/>
      <c r="Z221" s="130"/>
      <c r="AB221" s="106"/>
    </row>
    <row r="222">
      <c r="C222" s="79"/>
      <c r="D222" s="79"/>
      <c r="E222" s="79"/>
      <c r="M222" s="79"/>
      <c r="R222" s="79"/>
      <c r="S222" s="79"/>
      <c r="V222" s="79"/>
      <c r="W222" s="79"/>
      <c r="Z222" s="130"/>
      <c r="AB222" s="106"/>
    </row>
    <row r="223">
      <c r="C223" s="79"/>
      <c r="D223" s="79"/>
      <c r="E223" s="79"/>
      <c r="M223" s="79"/>
      <c r="R223" s="79"/>
      <c r="S223" s="79"/>
      <c r="V223" s="79"/>
      <c r="W223" s="79"/>
      <c r="Z223" s="130"/>
      <c r="AB223" s="106"/>
    </row>
    <row r="224">
      <c r="C224" s="79"/>
      <c r="D224" s="79"/>
      <c r="E224" s="79"/>
      <c r="M224" s="79"/>
      <c r="R224" s="79"/>
      <c r="S224" s="79"/>
      <c r="V224" s="79"/>
      <c r="W224" s="79"/>
      <c r="Z224" s="130"/>
      <c r="AB224" s="106"/>
    </row>
    <row r="225">
      <c r="C225" s="79"/>
      <c r="D225" s="79"/>
      <c r="E225" s="79"/>
      <c r="M225" s="79"/>
      <c r="R225" s="79"/>
      <c r="S225" s="79"/>
      <c r="V225" s="79"/>
      <c r="W225" s="79"/>
      <c r="Z225" s="130"/>
      <c r="AB225" s="106"/>
    </row>
    <row r="226">
      <c r="C226" s="79"/>
      <c r="D226" s="79"/>
      <c r="E226" s="79"/>
      <c r="M226" s="79"/>
      <c r="R226" s="79"/>
      <c r="S226" s="79"/>
      <c r="V226" s="79"/>
      <c r="W226" s="79"/>
      <c r="Z226" s="130"/>
      <c r="AB226" s="106"/>
    </row>
    <row r="227">
      <c r="C227" s="79"/>
      <c r="D227" s="79"/>
      <c r="E227" s="79"/>
      <c r="M227" s="79"/>
      <c r="R227" s="79"/>
      <c r="S227" s="79"/>
      <c r="V227" s="79"/>
      <c r="W227" s="79"/>
      <c r="Z227" s="130"/>
      <c r="AB227" s="106"/>
    </row>
    <row r="228">
      <c r="C228" s="79"/>
      <c r="D228" s="79"/>
      <c r="E228" s="79"/>
      <c r="M228" s="79"/>
      <c r="R228" s="79"/>
      <c r="S228" s="79"/>
      <c r="V228" s="79"/>
      <c r="W228" s="79"/>
      <c r="Z228" s="130"/>
      <c r="AB228" s="106"/>
    </row>
    <row r="229">
      <c r="C229" s="79"/>
      <c r="D229" s="79"/>
      <c r="E229" s="79"/>
      <c r="M229" s="79"/>
      <c r="R229" s="79"/>
      <c r="S229" s="79"/>
      <c r="V229" s="79"/>
      <c r="W229" s="79"/>
      <c r="Z229" s="130"/>
      <c r="AB229" s="106"/>
    </row>
    <row r="230">
      <c r="C230" s="79"/>
      <c r="D230" s="79"/>
      <c r="E230" s="79"/>
      <c r="M230" s="79"/>
      <c r="R230" s="79"/>
      <c r="S230" s="79"/>
      <c r="V230" s="79"/>
      <c r="W230" s="79"/>
      <c r="Z230" s="130"/>
      <c r="AB230" s="106"/>
    </row>
    <row r="231">
      <c r="C231" s="79"/>
      <c r="D231" s="79"/>
      <c r="E231" s="79"/>
      <c r="M231" s="79"/>
      <c r="R231" s="79"/>
      <c r="S231" s="79"/>
      <c r="V231" s="79"/>
      <c r="W231" s="79"/>
      <c r="Z231" s="130"/>
      <c r="AB231" s="106"/>
    </row>
    <row r="232">
      <c r="C232" s="79"/>
      <c r="D232" s="79"/>
      <c r="E232" s="79"/>
      <c r="M232" s="79"/>
      <c r="R232" s="79"/>
      <c r="S232" s="79"/>
      <c r="V232" s="79"/>
      <c r="W232" s="79"/>
      <c r="Z232" s="130"/>
      <c r="AB232" s="106"/>
    </row>
    <row r="233">
      <c r="C233" s="79"/>
      <c r="D233" s="79"/>
      <c r="E233" s="79"/>
      <c r="M233" s="79"/>
      <c r="R233" s="79"/>
      <c r="S233" s="79"/>
      <c r="V233" s="79"/>
      <c r="W233" s="79"/>
      <c r="Z233" s="130"/>
      <c r="AB233" s="106"/>
    </row>
    <row r="234">
      <c r="C234" s="79"/>
      <c r="D234" s="79"/>
      <c r="E234" s="79"/>
      <c r="M234" s="79"/>
      <c r="R234" s="79"/>
      <c r="S234" s="79"/>
      <c r="V234" s="79"/>
      <c r="W234" s="79"/>
      <c r="Z234" s="130"/>
      <c r="AB234" s="106"/>
    </row>
    <row r="235">
      <c r="C235" s="79"/>
      <c r="D235" s="79"/>
      <c r="E235" s="79"/>
      <c r="M235" s="79"/>
      <c r="R235" s="79"/>
      <c r="S235" s="79"/>
      <c r="V235" s="79"/>
      <c r="W235" s="79"/>
      <c r="Z235" s="130"/>
      <c r="AB235" s="106"/>
    </row>
    <row r="236">
      <c r="C236" s="79"/>
      <c r="D236" s="79"/>
      <c r="E236" s="79"/>
      <c r="M236" s="79"/>
      <c r="R236" s="79"/>
      <c r="S236" s="79"/>
      <c r="V236" s="79"/>
      <c r="W236" s="79"/>
      <c r="Z236" s="130"/>
      <c r="AB236" s="106"/>
    </row>
    <row r="237">
      <c r="C237" s="79"/>
      <c r="D237" s="79"/>
      <c r="E237" s="79"/>
      <c r="M237" s="79"/>
      <c r="R237" s="79"/>
      <c r="S237" s="79"/>
      <c r="V237" s="79"/>
      <c r="W237" s="79"/>
      <c r="Z237" s="130"/>
      <c r="AB237" s="106"/>
    </row>
    <row r="238">
      <c r="C238" s="79"/>
      <c r="D238" s="79"/>
      <c r="E238" s="79"/>
      <c r="M238" s="79"/>
      <c r="R238" s="79"/>
      <c r="S238" s="79"/>
      <c r="V238" s="79"/>
      <c r="W238" s="79"/>
      <c r="Z238" s="130"/>
      <c r="AB238" s="106"/>
    </row>
    <row r="239">
      <c r="C239" s="79"/>
      <c r="D239" s="79"/>
      <c r="E239" s="79"/>
      <c r="M239" s="79"/>
      <c r="R239" s="79"/>
      <c r="S239" s="79"/>
      <c r="V239" s="79"/>
      <c r="W239" s="79"/>
      <c r="Z239" s="130"/>
      <c r="AB239" s="106"/>
    </row>
    <row r="240">
      <c r="C240" s="79"/>
      <c r="D240" s="79"/>
      <c r="E240" s="79"/>
      <c r="M240" s="79"/>
      <c r="R240" s="79"/>
      <c r="S240" s="79"/>
      <c r="V240" s="79"/>
      <c r="W240" s="79"/>
      <c r="Z240" s="130"/>
      <c r="AB240" s="106"/>
    </row>
    <row r="241">
      <c r="C241" s="79"/>
      <c r="D241" s="79"/>
      <c r="E241" s="79"/>
      <c r="M241" s="79"/>
      <c r="R241" s="79"/>
      <c r="S241" s="79"/>
      <c r="V241" s="79"/>
      <c r="W241" s="79"/>
      <c r="Z241" s="130"/>
      <c r="AB241" s="106"/>
    </row>
    <row r="242">
      <c r="C242" s="79"/>
      <c r="D242" s="79"/>
      <c r="E242" s="79"/>
      <c r="M242" s="79"/>
      <c r="R242" s="79"/>
      <c r="S242" s="79"/>
      <c r="V242" s="79"/>
      <c r="W242" s="79"/>
      <c r="Z242" s="130"/>
      <c r="AB242" s="106"/>
    </row>
    <row r="243">
      <c r="C243" s="79"/>
      <c r="D243" s="79"/>
      <c r="E243" s="79"/>
      <c r="M243" s="79"/>
      <c r="R243" s="79"/>
      <c r="S243" s="79"/>
      <c r="V243" s="79"/>
      <c r="W243" s="79"/>
      <c r="Z243" s="130"/>
      <c r="AB243" s="106"/>
    </row>
    <row r="244">
      <c r="C244" s="79"/>
      <c r="D244" s="79"/>
      <c r="E244" s="79"/>
      <c r="M244" s="79"/>
      <c r="R244" s="79"/>
      <c r="S244" s="79"/>
      <c r="V244" s="79"/>
      <c r="W244" s="79"/>
      <c r="Z244" s="130"/>
      <c r="AB244" s="106"/>
    </row>
    <row r="245">
      <c r="C245" s="79"/>
      <c r="D245" s="79"/>
      <c r="E245" s="79"/>
      <c r="M245" s="79"/>
      <c r="R245" s="79"/>
      <c r="S245" s="79"/>
      <c r="V245" s="79"/>
      <c r="W245" s="79"/>
      <c r="Z245" s="130"/>
      <c r="AB245" s="106"/>
    </row>
    <row r="246">
      <c r="C246" s="79"/>
      <c r="D246" s="79"/>
      <c r="E246" s="79"/>
      <c r="M246" s="79"/>
      <c r="R246" s="79"/>
      <c r="S246" s="79"/>
      <c r="V246" s="79"/>
      <c r="W246" s="79"/>
      <c r="Z246" s="130"/>
      <c r="AB246" s="106"/>
    </row>
    <row r="247">
      <c r="C247" s="79"/>
      <c r="D247" s="79"/>
      <c r="E247" s="79"/>
      <c r="M247" s="79"/>
      <c r="R247" s="79"/>
      <c r="S247" s="79"/>
      <c r="V247" s="79"/>
      <c r="W247" s="79"/>
      <c r="Z247" s="130"/>
      <c r="AB247" s="106"/>
    </row>
    <row r="248">
      <c r="C248" s="79"/>
      <c r="D248" s="79"/>
      <c r="E248" s="79"/>
      <c r="M248" s="79"/>
      <c r="R248" s="79"/>
      <c r="S248" s="79"/>
      <c r="V248" s="79"/>
      <c r="W248" s="79"/>
      <c r="Z248" s="130"/>
      <c r="AB248" s="106"/>
    </row>
    <row r="249">
      <c r="C249" s="79"/>
      <c r="D249" s="79"/>
      <c r="E249" s="79"/>
      <c r="M249" s="79"/>
      <c r="R249" s="79"/>
      <c r="S249" s="79"/>
      <c r="V249" s="79"/>
      <c r="W249" s="79"/>
      <c r="Z249" s="130"/>
      <c r="AB249" s="106"/>
    </row>
    <row r="250">
      <c r="C250" s="79"/>
      <c r="D250" s="79"/>
      <c r="E250" s="79"/>
      <c r="M250" s="79"/>
      <c r="R250" s="79"/>
      <c r="S250" s="79"/>
      <c r="V250" s="79"/>
      <c r="W250" s="79"/>
      <c r="Z250" s="130"/>
      <c r="AB250" s="106"/>
    </row>
    <row r="251">
      <c r="C251" s="79"/>
      <c r="D251" s="79"/>
      <c r="E251" s="79"/>
      <c r="M251" s="79"/>
      <c r="R251" s="79"/>
      <c r="S251" s="79"/>
      <c r="V251" s="79"/>
      <c r="W251" s="79"/>
      <c r="Z251" s="130"/>
      <c r="AB251" s="106"/>
    </row>
    <row r="252">
      <c r="C252" s="79"/>
      <c r="D252" s="79"/>
      <c r="E252" s="79"/>
      <c r="M252" s="79"/>
      <c r="R252" s="79"/>
      <c r="S252" s="79"/>
      <c r="V252" s="79"/>
      <c r="W252" s="79"/>
      <c r="Z252" s="130"/>
      <c r="AB252" s="106"/>
    </row>
    <row r="253">
      <c r="C253" s="79"/>
      <c r="D253" s="79"/>
      <c r="E253" s="79"/>
      <c r="M253" s="79"/>
      <c r="R253" s="79"/>
      <c r="S253" s="79"/>
      <c r="V253" s="79"/>
      <c r="W253" s="79"/>
      <c r="Z253" s="130"/>
      <c r="AB253" s="106"/>
    </row>
    <row r="254">
      <c r="C254" s="79"/>
      <c r="D254" s="79"/>
      <c r="E254" s="79"/>
      <c r="M254" s="79"/>
      <c r="R254" s="79"/>
      <c r="S254" s="79"/>
      <c r="V254" s="79"/>
      <c r="W254" s="79"/>
      <c r="Z254" s="130"/>
      <c r="AB254" s="106"/>
    </row>
    <row r="255">
      <c r="C255" s="79"/>
      <c r="D255" s="79"/>
      <c r="E255" s="79"/>
      <c r="M255" s="79"/>
      <c r="R255" s="79"/>
      <c r="S255" s="79"/>
      <c r="V255" s="79"/>
      <c r="W255" s="79"/>
      <c r="Z255" s="130"/>
      <c r="AB255" s="106"/>
    </row>
    <row r="256">
      <c r="C256" s="79"/>
      <c r="D256" s="79"/>
      <c r="E256" s="79"/>
      <c r="M256" s="79"/>
      <c r="R256" s="79"/>
      <c r="S256" s="79"/>
      <c r="V256" s="79"/>
      <c r="W256" s="79"/>
      <c r="Z256" s="130"/>
      <c r="AB256" s="106"/>
    </row>
    <row r="257">
      <c r="C257" s="79"/>
      <c r="D257" s="79"/>
      <c r="E257" s="79"/>
      <c r="M257" s="79"/>
      <c r="R257" s="79"/>
      <c r="S257" s="79"/>
      <c r="V257" s="79"/>
      <c r="W257" s="79"/>
      <c r="Z257" s="130"/>
      <c r="AB257" s="106"/>
    </row>
    <row r="258">
      <c r="C258" s="79"/>
      <c r="D258" s="79"/>
      <c r="E258" s="79"/>
      <c r="M258" s="79"/>
      <c r="R258" s="79"/>
      <c r="S258" s="79"/>
      <c r="V258" s="79"/>
      <c r="W258" s="79"/>
      <c r="Z258" s="130"/>
      <c r="AB258" s="106"/>
    </row>
    <row r="259">
      <c r="C259" s="79"/>
      <c r="D259" s="79"/>
      <c r="E259" s="79"/>
      <c r="M259" s="79"/>
      <c r="R259" s="79"/>
      <c r="S259" s="79"/>
      <c r="V259" s="79"/>
      <c r="W259" s="79"/>
      <c r="Z259" s="130"/>
      <c r="AB259" s="106"/>
    </row>
    <row r="260">
      <c r="C260" s="79"/>
      <c r="D260" s="79"/>
      <c r="E260" s="79"/>
      <c r="M260" s="79"/>
      <c r="R260" s="79"/>
      <c r="S260" s="79"/>
      <c r="V260" s="79"/>
      <c r="W260" s="79"/>
      <c r="Z260" s="130"/>
      <c r="AB260" s="106"/>
    </row>
    <row r="261">
      <c r="C261" s="79"/>
      <c r="D261" s="79"/>
      <c r="E261" s="79"/>
      <c r="M261" s="79"/>
      <c r="R261" s="79"/>
      <c r="S261" s="79"/>
      <c r="V261" s="79"/>
      <c r="W261" s="79"/>
      <c r="Z261" s="130"/>
      <c r="AB261" s="106"/>
    </row>
    <row r="262">
      <c r="C262" s="79"/>
      <c r="D262" s="79"/>
      <c r="E262" s="79"/>
      <c r="M262" s="79"/>
      <c r="R262" s="79"/>
      <c r="S262" s="79"/>
      <c r="V262" s="79"/>
      <c r="W262" s="79"/>
      <c r="Z262" s="130"/>
      <c r="AB262" s="106"/>
    </row>
    <row r="263">
      <c r="C263" s="79"/>
      <c r="D263" s="79"/>
      <c r="E263" s="79"/>
      <c r="M263" s="79"/>
      <c r="R263" s="79"/>
      <c r="S263" s="79"/>
      <c r="V263" s="79"/>
      <c r="W263" s="79"/>
      <c r="Z263" s="130"/>
      <c r="AB263" s="106"/>
    </row>
    <row r="264">
      <c r="C264" s="79"/>
      <c r="D264" s="79"/>
      <c r="E264" s="79"/>
      <c r="M264" s="79"/>
      <c r="R264" s="79"/>
      <c r="S264" s="79"/>
      <c r="V264" s="79"/>
      <c r="W264" s="79"/>
      <c r="Z264" s="130"/>
      <c r="AB264" s="106"/>
    </row>
    <row r="265">
      <c r="C265" s="79"/>
      <c r="D265" s="79"/>
      <c r="E265" s="79"/>
      <c r="M265" s="79"/>
      <c r="R265" s="79"/>
      <c r="S265" s="79"/>
      <c r="V265" s="79"/>
      <c r="W265" s="79"/>
      <c r="Z265" s="130"/>
      <c r="AB265" s="106"/>
    </row>
    <row r="266">
      <c r="C266" s="79"/>
      <c r="D266" s="79"/>
      <c r="E266" s="79"/>
      <c r="M266" s="79"/>
      <c r="R266" s="79"/>
      <c r="S266" s="79"/>
      <c r="V266" s="79"/>
      <c r="W266" s="79"/>
      <c r="Z266" s="130"/>
      <c r="AB266" s="106"/>
    </row>
    <row r="267">
      <c r="C267" s="79"/>
      <c r="D267" s="79"/>
      <c r="E267" s="79"/>
      <c r="M267" s="79"/>
      <c r="R267" s="79"/>
      <c r="S267" s="79"/>
      <c r="V267" s="79"/>
      <c r="W267" s="79"/>
      <c r="Z267" s="130"/>
      <c r="AB267" s="106"/>
    </row>
    <row r="268">
      <c r="C268" s="79"/>
      <c r="D268" s="79"/>
      <c r="E268" s="79"/>
      <c r="M268" s="79"/>
      <c r="R268" s="79"/>
      <c r="S268" s="79"/>
      <c r="V268" s="79"/>
      <c r="W268" s="79"/>
      <c r="Z268" s="130"/>
      <c r="AB268" s="106"/>
    </row>
    <row r="269">
      <c r="C269" s="79"/>
      <c r="D269" s="79"/>
      <c r="E269" s="79"/>
      <c r="M269" s="79"/>
      <c r="R269" s="79"/>
      <c r="S269" s="79"/>
      <c r="V269" s="79"/>
      <c r="W269" s="79"/>
      <c r="Z269" s="130"/>
      <c r="AB269" s="106"/>
    </row>
    <row r="270">
      <c r="C270" s="79"/>
      <c r="D270" s="79"/>
      <c r="E270" s="79"/>
      <c r="M270" s="79"/>
      <c r="R270" s="79"/>
      <c r="S270" s="79"/>
      <c r="V270" s="79"/>
      <c r="W270" s="79"/>
      <c r="Z270" s="130"/>
      <c r="AB270" s="106"/>
    </row>
    <row r="271">
      <c r="C271" s="79"/>
      <c r="D271" s="79"/>
      <c r="E271" s="79"/>
      <c r="M271" s="79"/>
      <c r="R271" s="79"/>
      <c r="S271" s="79"/>
      <c r="V271" s="79"/>
      <c r="W271" s="79"/>
      <c r="Z271" s="130"/>
      <c r="AB271" s="106"/>
    </row>
    <row r="272">
      <c r="C272" s="79"/>
      <c r="D272" s="79"/>
      <c r="E272" s="79"/>
      <c r="M272" s="79"/>
      <c r="R272" s="79"/>
      <c r="S272" s="79"/>
      <c r="V272" s="79"/>
      <c r="W272" s="79"/>
      <c r="Z272" s="130"/>
      <c r="AB272" s="106"/>
    </row>
    <row r="273">
      <c r="C273" s="79"/>
      <c r="D273" s="79"/>
      <c r="E273" s="79"/>
      <c r="M273" s="79"/>
      <c r="R273" s="79"/>
      <c r="S273" s="79"/>
      <c r="V273" s="79"/>
      <c r="W273" s="79"/>
      <c r="Z273" s="130"/>
      <c r="AB273" s="106"/>
    </row>
    <row r="274">
      <c r="C274" s="79"/>
      <c r="D274" s="79"/>
      <c r="E274" s="79"/>
      <c r="M274" s="79"/>
      <c r="R274" s="79"/>
      <c r="S274" s="79"/>
      <c r="V274" s="79"/>
      <c r="W274" s="79"/>
      <c r="Z274" s="130"/>
      <c r="AB274" s="106"/>
    </row>
    <row r="275">
      <c r="C275" s="79"/>
      <c r="D275" s="79"/>
      <c r="E275" s="79"/>
      <c r="M275" s="79"/>
      <c r="R275" s="79"/>
      <c r="S275" s="79"/>
      <c r="V275" s="79"/>
      <c r="W275" s="79"/>
      <c r="Z275" s="130"/>
      <c r="AB275" s="106"/>
    </row>
    <row r="276">
      <c r="C276" s="79"/>
      <c r="D276" s="79"/>
      <c r="E276" s="79"/>
      <c r="M276" s="79"/>
      <c r="R276" s="79"/>
      <c r="S276" s="79"/>
      <c r="V276" s="79"/>
      <c r="W276" s="79"/>
      <c r="Z276" s="130"/>
      <c r="AB276" s="106"/>
    </row>
    <row r="277">
      <c r="C277" s="79"/>
      <c r="D277" s="79"/>
      <c r="E277" s="79"/>
      <c r="M277" s="79"/>
      <c r="R277" s="79"/>
      <c r="S277" s="79"/>
      <c r="V277" s="79"/>
      <c r="W277" s="79"/>
      <c r="Z277" s="130"/>
      <c r="AB277" s="106"/>
    </row>
    <row r="278">
      <c r="C278" s="79"/>
      <c r="D278" s="79"/>
      <c r="E278" s="79"/>
      <c r="M278" s="79"/>
      <c r="R278" s="79"/>
      <c r="S278" s="79"/>
      <c r="V278" s="79"/>
      <c r="W278" s="79"/>
      <c r="Z278" s="130"/>
      <c r="AB278" s="106"/>
    </row>
    <row r="279">
      <c r="C279" s="79"/>
      <c r="D279" s="79"/>
      <c r="E279" s="79"/>
      <c r="M279" s="79"/>
      <c r="R279" s="79"/>
      <c r="S279" s="79"/>
      <c r="V279" s="79"/>
      <c r="W279" s="79"/>
      <c r="Z279" s="130"/>
      <c r="AB279" s="106"/>
    </row>
    <row r="280">
      <c r="C280" s="79"/>
      <c r="D280" s="79"/>
      <c r="E280" s="79"/>
      <c r="M280" s="79"/>
      <c r="R280" s="79"/>
      <c r="S280" s="79"/>
      <c r="V280" s="79"/>
      <c r="W280" s="79"/>
      <c r="Z280" s="130"/>
      <c r="AB280" s="106"/>
    </row>
    <row r="281">
      <c r="C281" s="79"/>
      <c r="D281" s="79"/>
      <c r="E281" s="79"/>
      <c r="M281" s="79"/>
      <c r="R281" s="79"/>
      <c r="S281" s="79"/>
      <c r="V281" s="79"/>
      <c r="W281" s="79"/>
      <c r="Z281" s="130"/>
      <c r="AB281" s="106"/>
    </row>
    <row r="282">
      <c r="C282" s="79"/>
      <c r="D282" s="79"/>
      <c r="E282" s="79"/>
      <c r="M282" s="79"/>
      <c r="R282" s="79"/>
      <c r="S282" s="79"/>
      <c r="V282" s="79"/>
      <c r="W282" s="79"/>
      <c r="Z282" s="130"/>
      <c r="AB282" s="106"/>
    </row>
    <row r="283">
      <c r="C283" s="79"/>
      <c r="D283" s="79"/>
      <c r="E283" s="79"/>
      <c r="M283" s="79"/>
      <c r="R283" s="79"/>
      <c r="S283" s="79"/>
      <c r="V283" s="79"/>
      <c r="W283" s="79"/>
      <c r="Z283" s="130"/>
      <c r="AB283" s="106"/>
    </row>
    <row r="284">
      <c r="C284" s="79"/>
      <c r="D284" s="79"/>
      <c r="E284" s="79"/>
      <c r="M284" s="79"/>
      <c r="R284" s="79"/>
      <c r="S284" s="79"/>
      <c r="V284" s="79"/>
      <c r="W284" s="79"/>
      <c r="Z284" s="130"/>
      <c r="AB284" s="106"/>
    </row>
    <row r="285">
      <c r="C285" s="79"/>
      <c r="D285" s="79"/>
      <c r="E285" s="79"/>
      <c r="M285" s="79"/>
      <c r="R285" s="79"/>
      <c r="S285" s="79"/>
      <c r="V285" s="79"/>
      <c r="W285" s="79"/>
      <c r="Z285" s="130"/>
      <c r="AB285" s="106"/>
    </row>
    <row r="286">
      <c r="C286" s="79"/>
      <c r="D286" s="79"/>
      <c r="E286" s="79"/>
      <c r="M286" s="79"/>
      <c r="R286" s="79"/>
      <c r="S286" s="79"/>
      <c r="V286" s="79"/>
      <c r="W286" s="79"/>
      <c r="Z286" s="130"/>
      <c r="AB286" s="106"/>
    </row>
    <row r="287">
      <c r="C287" s="79"/>
      <c r="D287" s="79"/>
      <c r="E287" s="79"/>
      <c r="M287" s="79"/>
      <c r="R287" s="79"/>
      <c r="S287" s="79"/>
      <c r="V287" s="79"/>
      <c r="W287" s="79"/>
      <c r="Z287" s="130"/>
      <c r="AB287" s="106"/>
    </row>
    <row r="288">
      <c r="C288" s="79"/>
      <c r="D288" s="79"/>
      <c r="E288" s="79"/>
      <c r="M288" s="79"/>
      <c r="R288" s="79"/>
      <c r="S288" s="79"/>
      <c r="V288" s="79"/>
      <c r="W288" s="79"/>
      <c r="Z288" s="130"/>
      <c r="AB288" s="106"/>
    </row>
    <row r="289">
      <c r="C289" s="79"/>
      <c r="D289" s="79"/>
      <c r="E289" s="79"/>
      <c r="M289" s="79"/>
      <c r="R289" s="79"/>
      <c r="S289" s="79"/>
      <c r="V289" s="79"/>
      <c r="W289" s="79"/>
      <c r="Z289" s="130"/>
      <c r="AB289" s="106"/>
    </row>
    <row r="290">
      <c r="C290" s="79"/>
      <c r="D290" s="79"/>
      <c r="E290" s="79"/>
      <c r="M290" s="79"/>
      <c r="R290" s="79"/>
      <c r="S290" s="79"/>
      <c r="V290" s="79"/>
      <c r="W290" s="79"/>
      <c r="Z290" s="130"/>
      <c r="AB290" s="106"/>
    </row>
    <row r="291">
      <c r="C291" s="79"/>
      <c r="D291" s="79"/>
      <c r="E291" s="79"/>
      <c r="M291" s="79"/>
      <c r="R291" s="79"/>
      <c r="S291" s="79"/>
      <c r="V291" s="79"/>
      <c r="W291" s="79"/>
      <c r="Z291" s="130"/>
      <c r="AB291" s="106"/>
    </row>
    <row r="292">
      <c r="C292" s="79"/>
      <c r="D292" s="79"/>
      <c r="E292" s="79"/>
      <c r="M292" s="79"/>
      <c r="R292" s="79"/>
      <c r="S292" s="79"/>
      <c r="V292" s="79"/>
      <c r="W292" s="79"/>
      <c r="Z292" s="130"/>
      <c r="AB292" s="106"/>
    </row>
    <row r="293">
      <c r="C293" s="79"/>
      <c r="D293" s="79"/>
      <c r="E293" s="79"/>
      <c r="M293" s="79"/>
      <c r="R293" s="79"/>
      <c r="S293" s="79"/>
      <c r="V293" s="79"/>
      <c r="W293" s="79"/>
      <c r="Z293" s="130"/>
      <c r="AB293" s="106"/>
    </row>
    <row r="294">
      <c r="C294" s="79"/>
      <c r="D294" s="79"/>
      <c r="E294" s="79"/>
      <c r="M294" s="79"/>
      <c r="R294" s="79"/>
      <c r="S294" s="79"/>
      <c r="V294" s="79"/>
      <c r="W294" s="79"/>
      <c r="Z294" s="130"/>
      <c r="AB294" s="106"/>
    </row>
    <row r="295">
      <c r="C295" s="79"/>
      <c r="D295" s="79"/>
      <c r="E295" s="79"/>
      <c r="M295" s="79"/>
      <c r="R295" s="79"/>
      <c r="S295" s="79"/>
      <c r="V295" s="79"/>
      <c r="W295" s="79"/>
      <c r="Z295" s="130"/>
      <c r="AB295" s="106"/>
    </row>
    <row r="296">
      <c r="C296" s="79"/>
      <c r="D296" s="79"/>
      <c r="E296" s="79"/>
      <c r="M296" s="79"/>
      <c r="R296" s="79"/>
      <c r="S296" s="79"/>
      <c r="V296" s="79"/>
      <c r="W296" s="79"/>
      <c r="Z296" s="130"/>
      <c r="AB296" s="106"/>
    </row>
    <row r="297">
      <c r="C297" s="79"/>
      <c r="D297" s="79"/>
      <c r="E297" s="79"/>
      <c r="M297" s="79"/>
      <c r="R297" s="79"/>
      <c r="S297" s="79"/>
      <c r="V297" s="79"/>
      <c r="W297" s="79"/>
      <c r="Z297" s="130"/>
      <c r="AB297" s="106"/>
    </row>
    <row r="298">
      <c r="C298" s="79"/>
      <c r="D298" s="79"/>
      <c r="E298" s="79"/>
      <c r="M298" s="79"/>
      <c r="R298" s="79"/>
      <c r="S298" s="79"/>
      <c r="V298" s="79"/>
      <c r="W298" s="79"/>
      <c r="Z298" s="130"/>
      <c r="AB298" s="106"/>
    </row>
    <row r="299">
      <c r="C299" s="79"/>
      <c r="D299" s="79"/>
      <c r="E299" s="79"/>
      <c r="M299" s="79"/>
      <c r="R299" s="79"/>
      <c r="S299" s="79"/>
      <c r="V299" s="79"/>
      <c r="W299" s="79"/>
      <c r="Z299" s="130"/>
      <c r="AB299" s="106"/>
    </row>
    <row r="300">
      <c r="C300" s="79"/>
      <c r="D300" s="79"/>
      <c r="E300" s="79"/>
      <c r="M300" s="79"/>
      <c r="R300" s="79"/>
      <c r="S300" s="79"/>
      <c r="V300" s="79"/>
      <c r="W300" s="79"/>
      <c r="Z300" s="130"/>
      <c r="AB300" s="106"/>
    </row>
    <row r="301">
      <c r="C301" s="79"/>
      <c r="D301" s="79"/>
      <c r="E301" s="79"/>
      <c r="M301" s="79"/>
      <c r="R301" s="79"/>
      <c r="S301" s="79"/>
      <c r="V301" s="79"/>
      <c r="W301" s="79"/>
      <c r="Z301" s="130"/>
      <c r="AB301" s="106"/>
    </row>
    <row r="302">
      <c r="C302" s="79"/>
      <c r="D302" s="79"/>
      <c r="E302" s="79"/>
      <c r="M302" s="79"/>
      <c r="R302" s="79"/>
      <c r="S302" s="79"/>
      <c r="V302" s="79"/>
      <c r="W302" s="79"/>
      <c r="Z302" s="130"/>
      <c r="AB302" s="106"/>
    </row>
    <row r="303">
      <c r="C303" s="79"/>
      <c r="D303" s="79"/>
      <c r="E303" s="79"/>
      <c r="M303" s="79"/>
      <c r="R303" s="79"/>
      <c r="S303" s="79"/>
      <c r="V303" s="79"/>
      <c r="W303" s="79"/>
      <c r="Z303" s="130"/>
      <c r="AB303" s="106"/>
    </row>
    <row r="304">
      <c r="C304" s="79"/>
      <c r="D304" s="79"/>
      <c r="E304" s="79"/>
      <c r="M304" s="79"/>
      <c r="R304" s="79"/>
      <c r="S304" s="79"/>
      <c r="V304" s="79"/>
      <c r="W304" s="79"/>
      <c r="Z304" s="130"/>
      <c r="AB304" s="106"/>
    </row>
    <row r="305">
      <c r="C305" s="79"/>
      <c r="D305" s="79"/>
      <c r="E305" s="79"/>
      <c r="M305" s="79"/>
      <c r="R305" s="79"/>
      <c r="S305" s="79"/>
      <c r="V305" s="79"/>
      <c r="W305" s="79"/>
      <c r="Z305" s="130"/>
      <c r="AB305" s="106"/>
    </row>
    <row r="306">
      <c r="C306" s="79"/>
      <c r="D306" s="79"/>
      <c r="E306" s="79"/>
      <c r="M306" s="79"/>
      <c r="R306" s="79"/>
      <c r="S306" s="79"/>
      <c r="V306" s="79"/>
      <c r="W306" s="79"/>
      <c r="Z306" s="130"/>
      <c r="AB306" s="106"/>
    </row>
    <row r="307">
      <c r="C307" s="79"/>
      <c r="D307" s="79"/>
      <c r="E307" s="79"/>
      <c r="M307" s="79"/>
      <c r="R307" s="79"/>
      <c r="S307" s="79"/>
      <c r="V307" s="79"/>
      <c r="W307" s="79"/>
      <c r="Z307" s="130"/>
      <c r="AB307" s="106"/>
    </row>
    <row r="308">
      <c r="C308" s="79"/>
      <c r="D308" s="79"/>
      <c r="E308" s="79"/>
      <c r="M308" s="79"/>
      <c r="R308" s="79"/>
      <c r="S308" s="79"/>
      <c r="V308" s="79"/>
      <c r="W308" s="79"/>
      <c r="Z308" s="130"/>
      <c r="AB308" s="106"/>
    </row>
    <row r="309">
      <c r="C309" s="79"/>
      <c r="D309" s="79"/>
      <c r="E309" s="79"/>
      <c r="M309" s="79"/>
      <c r="R309" s="79"/>
      <c r="S309" s="79"/>
      <c r="V309" s="79"/>
      <c r="W309" s="79"/>
      <c r="Z309" s="130"/>
      <c r="AB309" s="106"/>
    </row>
    <row r="310">
      <c r="C310" s="79"/>
      <c r="D310" s="79"/>
      <c r="E310" s="79"/>
      <c r="M310" s="79"/>
      <c r="R310" s="79"/>
      <c r="S310" s="79"/>
      <c r="V310" s="79"/>
      <c r="W310" s="79"/>
      <c r="Z310" s="130"/>
      <c r="AB310" s="106"/>
    </row>
    <row r="311">
      <c r="C311" s="79"/>
      <c r="D311" s="79"/>
      <c r="E311" s="79"/>
      <c r="M311" s="79"/>
      <c r="R311" s="79"/>
      <c r="S311" s="79"/>
      <c r="V311" s="79"/>
      <c r="W311" s="79"/>
      <c r="Z311" s="130"/>
      <c r="AB311" s="106"/>
    </row>
    <row r="312">
      <c r="C312" s="79"/>
      <c r="D312" s="79"/>
      <c r="E312" s="79"/>
      <c r="M312" s="79"/>
      <c r="R312" s="79"/>
      <c r="S312" s="79"/>
      <c r="V312" s="79"/>
      <c r="W312" s="79"/>
      <c r="Z312" s="130"/>
      <c r="AB312" s="106"/>
    </row>
    <row r="313">
      <c r="C313" s="79"/>
      <c r="D313" s="79"/>
      <c r="E313" s="79"/>
      <c r="M313" s="79"/>
      <c r="R313" s="79"/>
      <c r="S313" s="79"/>
      <c r="V313" s="79"/>
      <c r="W313" s="79"/>
      <c r="Z313" s="130"/>
      <c r="AB313" s="106"/>
    </row>
    <row r="314">
      <c r="C314" s="79"/>
      <c r="D314" s="79"/>
      <c r="E314" s="79"/>
      <c r="M314" s="79"/>
      <c r="R314" s="79"/>
      <c r="S314" s="79"/>
      <c r="V314" s="79"/>
      <c r="W314" s="79"/>
      <c r="Z314" s="130"/>
      <c r="AB314" s="106"/>
    </row>
    <row r="315">
      <c r="C315" s="79"/>
      <c r="D315" s="79"/>
      <c r="E315" s="79"/>
      <c r="M315" s="79"/>
      <c r="R315" s="79"/>
      <c r="S315" s="79"/>
      <c r="V315" s="79"/>
      <c r="W315" s="79"/>
      <c r="Z315" s="130"/>
      <c r="AB315" s="106"/>
    </row>
    <row r="316">
      <c r="C316" s="79"/>
      <c r="D316" s="79"/>
      <c r="E316" s="79"/>
      <c r="M316" s="79"/>
      <c r="R316" s="79"/>
      <c r="S316" s="79"/>
      <c r="V316" s="79"/>
      <c r="W316" s="79"/>
      <c r="Z316" s="130"/>
      <c r="AB316" s="106"/>
    </row>
    <row r="317">
      <c r="C317" s="79"/>
      <c r="D317" s="79"/>
      <c r="E317" s="79"/>
      <c r="M317" s="79"/>
      <c r="R317" s="79"/>
      <c r="S317" s="79"/>
      <c r="V317" s="79"/>
      <c r="W317" s="79"/>
      <c r="Z317" s="130"/>
      <c r="AB317" s="106"/>
    </row>
    <row r="318">
      <c r="C318" s="79"/>
      <c r="D318" s="79"/>
      <c r="E318" s="79"/>
      <c r="M318" s="79"/>
      <c r="R318" s="79"/>
      <c r="S318" s="79"/>
      <c r="V318" s="79"/>
      <c r="W318" s="79"/>
      <c r="Z318" s="130"/>
      <c r="AB318" s="106"/>
    </row>
    <row r="319">
      <c r="C319" s="79"/>
      <c r="D319" s="79"/>
      <c r="E319" s="79"/>
      <c r="M319" s="79"/>
      <c r="R319" s="79"/>
      <c r="S319" s="79"/>
      <c r="V319" s="79"/>
      <c r="W319" s="79"/>
      <c r="Z319" s="130"/>
      <c r="AB319" s="106"/>
    </row>
    <row r="320">
      <c r="C320" s="79"/>
      <c r="D320" s="79"/>
      <c r="E320" s="79"/>
      <c r="M320" s="79"/>
      <c r="R320" s="79"/>
      <c r="S320" s="79"/>
      <c r="V320" s="79"/>
      <c r="W320" s="79"/>
      <c r="Z320" s="130"/>
      <c r="AB320" s="106"/>
    </row>
    <row r="321">
      <c r="C321" s="79"/>
      <c r="D321" s="79"/>
      <c r="E321" s="79"/>
      <c r="M321" s="79"/>
      <c r="R321" s="79"/>
      <c r="S321" s="79"/>
      <c r="V321" s="79"/>
      <c r="W321" s="79"/>
      <c r="Z321" s="130"/>
      <c r="AB321" s="106"/>
    </row>
    <row r="322">
      <c r="C322" s="79"/>
      <c r="D322" s="79"/>
      <c r="E322" s="79"/>
      <c r="M322" s="79"/>
      <c r="R322" s="79"/>
      <c r="S322" s="79"/>
      <c r="V322" s="79"/>
      <c r="W322" s="79"/>
      <c r="Z322" s="130"/>
      <c r="AB322" s="106"/>
    </row>
    <row r="323">
      <c r="C323" s="79"/>
      <c r="D323" s="79"/>
      <c r="E323" s="79"/>
      <c r="M323" s="79"/>
      <c r="R323" s="79"/>
      <c r="S323" s="79"/>
      <c r="V323" s="79"/>
      <c r="W323" s="79"/>
      <c r="Z323" s="130"/>
      <c r="AB323" s="106"/>
    </row>
    <row r="324">
      <c r="C324" s="79"/>
      <c r="D324" s="79"/>
      <c r="E324" s="79"/>
      <c r="M324" s="79"/>
      <c r="R324" s="79"/>
      <c r="S324" s="79"/>
      <c r="V324" s="79"/>
      <c r="W324" s="79"/>
      <c r="Z324" s="130"/>
      <c r="AB324" s="106"/>
    </row>
    <row r="325">
      <c r="C325" s="79"/>
      <c r="D325" s="79"/>
      <c r="E325" s="79"/>
      <c r="M325" s="79"/>
      <c r="R325" s="79"/>
      <c r="S325" s="79"/>
      <c r="V325" s="79"/>
      <c r="W325" s="79"/>
      <c r="Z325" s="130"/>
      <c r="AB325" s="106"/>
    </row>
    <row r="326">
      <c r="C326" s="79"/>
      <c r="D326" s="79"/>
      <c r="E326" s="79"/>
      <c r="M326" s="79"/>
      <c r="R326" s="79"/>
      <c r="S326" s="79"/>
      <c r="V326" s="79"/>
      <c r="W326" s="79"/>
      <c r="Z326" s="130"/>
      <c r="AB326" s="106"/>
    </row>
    <row r="327">
      <c r="C327" s="79"/>
      <c r="D327" s="79"/>
      <c r="E327" s="79"/>
      <c r="M327" s="79"/>
      <c r="R327" s="79"/>
      <c r="S327" s="79"/>
      <c r="V327" s="79"/>
      <c r="W327" s="79"/>
      <c r="Z327" s="130"/>
      <c r="AB327" s="106"/>
    </row>
    <row r="328">
      <c r="C328" s="79"/>
      <c r="D328" s="79"/>
      <c r="E328" s="79"/>
      <c r="M328" s="79"/>
      <c r="R328" s="79"/>
      <c r="S328" s="79"/>
      <c r="V328" s="79"/>
      <c r="W328" s="79"/>
      <c r="Z328" s="130"/>
      <c r="AB328" s="106"/>
    </row>
    <row r="329">
      <c r="C329" s="79"/>
      <c r="D329" s="79"/>
      <c r="E329" s="79"/>
      <c r="M329" s="79"/>
      <c r="R329" s="79"/>
      <c r="S329" s="79"/>
      <c r="V329" s="79"/>
      <c r="W329" s="79"/>
      <c r="Z329" s="130"/>
      <c r="AB329" s="106"/>
    </row>
    <row r="330">
      <c r="C330" s="79"/>
      <c r="D330" s="79"/>
      <c r="E330" s="79"/>
      <c r="M330" s="79"/>
      <c r="R330" s="79"/>
      <c r="S330" s="79"/>
      <c r="V330" s="79"/>
      <c r="W330" s="79"/>
      <c r="Z330" s="130"/>
      <c r="AB330" s="106"/>
    </row>
    <row r="331">
      <c r="C331" s="79"/>
      <c r="D331" s="79"/>
      <c r="E331" s="79"/>
      <c r="M331" s="79"/>
      <c r="R331" s="79"/>
      <c r="S331" s="79"/>
      <c r="V331" s="79"/>
      <c r="W331" s="79"/>
      <c r="Z331" s="130"/>
      <c r="AB331" s="106"/>
    </row>
    <row r="332">
      <c r="C332" s="79"/>
      <c r="D332" s="79"/>
      <c r="E332" s="79"/>
      <c r="M332" s="79"/>
      <c r="R332" s="79"/>
      <c r="S332" s="79"/>
      <c r="V332" s="79"/>
      <c r="W332" s="79"/>
      <c r="Z332" s="130"/>
      <c r="AB332" s="106"/>
    </row>
    <row r="333">
      <c r="C333" s="79"/>
      <c r="D333" s="79"/>
      <c r="E333" s="79"/>
      <c r="M333" s="79"/>
      <c r="R333" s="79"/>
      <c r="S333" s="79"/>
      <c r="V333" s="79"/>
      <c r="W333" s="79"/>
      <c r="Z333" s="130"/>
      <c r="AB333" s="106"/>
    </row>
    <row r="334">
      <c r="C334" s="79"/>
      <c r="D334" s="79"/>
      <c r="E334" s="79"/>
      <c r="M334" s="79"/>
      <c r="R334" s="79"/>
      <c r="S334" s="79"/>
      <c r="V334" s="79"/>
      <c r="W334" s="79"/>
      <c r="Z334" s="130"/>
      <c r="AB334" s="106"/>
    </row>
    <row r="335">
      <c r="C335" s="79"/>
      <c r="D335" s="79"/>
      <c r="E335" s="79"/>
      <c r="M335" s="79"/>
      <c r="R335" s="79"/>
      <c r="S335" s="79"/>
      <c r="V335" s="79"/>
      <c r="W335" s="79"/>
      <c r="Z335" s="130"/>
      <c r="AB335" s="106"/>
    </row>
    <row r="336">
      <c r="C336" s="79"/>
      <c r="D336" s="79"/>
      <c r="E336" s="79"/>
      <c r="M336" s="79"/>
      <c r="R336" s="79"/>
      <c r="S336" s="79"/>
      <c r="V336" s="79"/>
      <c r="W336" s="79"/>
      <c r="Z336" s="130"/>
      <c r="AB336" s="106"/>
    </row>
    <row r="337">
      <c r="C337" s="79"/>
      <c r="D337" s="79"/>
      <c r="E337" s="79"/>
      <c r="M337" s="79"/>
      <c r="R337" s="79"/>
      <c r="S337" s="79"/>
      <c r="V337" s="79"/>
      <c r="W337" s="79"/>
      <c r="Z337" s="130"/>
      <c r="AB337" s="106"/>
    </row>
    <row r="338">
      <c r="C338" s="79"/>
      <c r="D338" s="79"/>
      <c r="E338" s="79"/>
      <c r="M338" s="79"/>
      <c r="R338" s="79"/>
      <c r="S338" s="79"/>
      <c r="V338" s="79"/>
      <c r="W338" s="79"/>
      <c r="Z338" s="130"/>
      <c r="AB338" s="106"/>
    </row>
    <row r="339">
      <c r="C339" s="79"/>
      <c r="D339" s="79"/>
      <c r="E339" s="79"/>
      <c r="M339" s="79"/>
      <c r="R339" s="79"/>
      <c r="S339" s="79"/>
      <c r="V339" s="79"/>
      <c r="W339" s="79"/>
      <c r="Z339" s="130"/>
      <c r="AB339" s="106"/>
    </row>
    <row r="340">
      <c r="C340" s="79"/>
      <c r="D340" s="79"/>
      <c r="E340" s="79"/>
      <c r="M340" s="79"/>
      <c r="R340" s="79"/>
      <c r="S340" s="79"/>
      <c r="V340" s="79"/>
      <c r="W340" s="79"/>
      <c r="Z340" s="130"/>
      <c r="AB340" s="106"/>
    </row>
    <row r="341">
      <c r="C341" s="79"/>
      <c r="D341" s="79"/>
      <c r="E341" s="79"/>
      <c r="M341" s="79"/>
      <c r="R341" s="79"/>
      <c r="S341" s="79"/>
      <c r="V341" s="79"/>
      <c r="W341" s="79"/>
      <c r="Z341" s="130"/>
      <c r="AB341" s="106"/>
    </row>
    <row r="342">
      <c r="C342" s="79"/>
      <c r="D342" s="79"/>
      <c r="E342" s="79"/>
      <c r="M342" s="79"/>
      <c r="R342" s="79"/>
      <c r="S342" s="79"/>
      <c r="V342" s="79"/>
      <c r="W342" s="79"/>
      <c r="Z342" s="130"/>
      <c r="AB342" s="106"/>
    </row>
    <row r="343">
      <c r="C343" s="79"/>
      <c r="D343" s="79"/>
      <c r="E343" s="79"/>
      <c r="M343" s="79"/>
      <c r="R343" s="79"/>
      <c r="S343" s="79"/>
      <c r="V343" s="79"/>
      <c r="W343" s="79"/>
      <c r="Z343" s="130"/>
      <c r="AB343" s="106"/>
    </row>
    <row r="344">
      <c r="C344" s="79"/>
      <c r="D344" s="79"/>
      <c r="E344" s="79"/>
      <c r="M344" s="79"/>
      <c r="R344" s="79"/>
      <c r="S344" s="79"/>
      <c r="V344" s="79"/>
      <c r="W344" s="79"/>
      <c r="Z344" s="130"/>
      <c r="AB344" s="106"/>
    </row>
    <row r="345">
      <c r="C345" s="79"/>
      <c r="D345" s="79"/>
      <c r="E345" s="79"/>
      <c r="M345" s="79"/>
      <c r="R345" s="79"/>
      <c r="S345" s="79"/>
      <c r="V345" s="79"/>
      <c r="W345" s="79"/>
      <c r="Z345" s="130"/>
      <c r="AB345" s="106"/>
    </row>
    <row r="346">
      <c r="C346" s="79"/>
      <c r="D346" s="79"/>
      <c r="E346" s="79"/>
      <c r="M346" s="79"/>
      <c r="R346" s="79"/>
      <c r="S346" s="79"/>
      <c r="V346" s="79"/>
      <c r="W346" s="79"/>
      <c r="Z346" s="130"/>
      <c r="AB346" s="106"/>
    </row>
    <row r="347">
      <c r="C347" s="79"/>
      <c r="D347" s="79"/>
      <c r="E347" s="79"/>
      <c r="M347" s="79"/>
      <c r="R347" s="79"/>
      <c r="S347" s="79"/>
      <c r="V347" s="79"/>
      <c r="W347" s="79"/>
      <c r="Z347" s="130"/>
      <c r="AB347" s="106"/>
    </row>
    <row r="348">
      <c r="C348" s="79"/>
      <c r="D348" s="79"/>
      <c r="E348" s="79"/>
      <c r="M348" s="79"/>
      <c r="R348" s="79"/>
      <c r="S348" s="79"/>
      <c r="V348" s="79"/>
      <c r="W348" s="79"/>
      <c r="Z348" s="130"/>
      <c r="AB348" s="106"/>
    </row>
    <row r="349">
      <c r="C349" s="79"/>
      <c r="D349" s="79"/>
      <c r="E349" s="79"/>
      <c r="M349" s="79"/>
      <c r="R349" s="79"/>
      <c r="S349" s="79"/>
      <c r="V349" s="79"/>
      <c r="W349" s="79"/>
      <c r="Z349" s="130"/>
      <c r="AB349" s="106"/>
    </row>
    <row r="350">
      <c r="C350" s="79"/>
      <c r="D350" s="79"/>
      <c r="E350" s="79"/>
      <c r="M350" s="79"/>
      <c r="R350" s="79"/>
      <c r="S350" s="79"/>
      <c r="V350" s="79"/>
      <c r="W350" s="79"/>
      <c r="Z350" s="130"/>
      <c r="AB350" s="106"/>
    </row>
    <row r="351">
      <c r="C351" s="79"/>
      <c r="D351" s="79"/>
      <c r="E351" s="79"/>
      <c r="M351" s="79"/>
      <c r="R351" s="79"/>
      <c r="S351" s="79"/>
      <c r="V351" s="79"/>
      <c r="W351" s="79"/>
      <c r="Z351" s="130"/>
      <c r="AB351" s="106"/>
    </row>
    <row r="352">
      <c r="C352" s="79"/>
      <c r="D352" s="79"/>
      <c r="E352" s="79"/>
      <c r="M352" s="79"/>
      <c r="R352" s="79"/>
      <c r="S352" s="79"/>
      <c r="V352" s="79"/>
      <c r="W352" s="79"/>
      <c r="Z352" s="130"/>
      <c r="AB352" s="106"/>
    </row>
    <row r="353">
      <c r="C353" s="79"/>
      <c r="D353" s="79"/>
      <c r="E353" s="79"/>
      <c r="M353" s="79"/>
      <c r="R353" s="79"/>
      <c r="S353" s="79"/>
      <c r="V353" s="79"/>
      <c r="W353" s="79"/>
      <c r="Z353" s="130"/>
      <c r="AB353" s="106"/>
    </row>
    <row r="354">
      <c r="C354" s="79"/>
      <c r="D354" s="79"/>
      <c r="E354" s="79"/>
      <c r="M354" s="79"/>
      <c r="R354" s="79"/>
      <c r="S354" s="79"/>
      <c r="V354" s="79"/>
      <c r="W354" s="79"/>
      <c r="Z354" s="130"/>
      <c r="AB354" s="106"/>
    </row>
    <row r="355">
      <c r="C355" s="79"/>
      <c r="D355" s="79"/>
      <c r="E355" s="79"/>
      <c r="M355" s="79"/>
      <c r="R355" s="79"/>
      <c r="S355" s="79"/>
      <c r="V355" s="79"/>
      <c r="W355" s="79"/>
      <c r="Z355" s="130"/>
      <c r="AB355" s="106"/>
    </row>
    <row r="356">
      <c r="C356" s="79"/>
      <c r="D356" s="79"/>
      <c r="E356" s="79"/>
      <c r="M356" s="79"/>
      <c r="R356" s="79"/>
      <c r="S356" s="79"/>
      <c r="V356" s="79"/>
      <c r="W356" s="79"/>
      <c r="Z356" s="130"/>
      <c r="AB356" s="106"/>
    </row>
    <row r="357">
      <c r="C357" s="79"/>
      <c r="D357" s="79"/>
      <c r="E357" s="79"/>
      <c r="M357" s="79"/>
      <c r="R357" s="79"/>
      <c r="S357" s="79"/>
      <c r="V357" s="79"/>
      <c r="W357" s="79"/>
      <c r="Z357" s="130"/>
      <c r="AB357" s="106"/>
    </row>
    <row r="358">
      <c r="C358" s="79"/>
      <c r="D358" s="79"/>
      <c r="E358" s="79"/>
      <c r="M358" s="79"/>
      <c r="R358" s="79"/>
      <c r="S358" s="79"/>
      <c r="V358" s="79"/>
      <c r="W358" s="79"/>
      <c r="Z358" s="130"/>
      <c r="AB358" s="106"/>
    </row>
    <row r="359">
      <c r="C359" s="79"/>
      <c r="D359" s="79"/>
      <c r="E359" s="79"/>
      <c r="M359" s="79"/>
      <c r="R359" s="79"/>
      <c r="S359" s="79"/>
      <c r="V359" s="79"/>
      <c r="W359" s="79"/>
      <c r="Z359" s="130"/>
      <c r="AB359" s="106"/>
    </row>
    <row r="360">
      <c r="C360" s="79"/>
      <c r="D360" s="79"/>
      <c r="E360" s="79"/>
      <c r="M360" s="79"/>
      <c r="R360" s="79"/>
      <c r="S360" s="79"/>
      <c r="V360" s="79"/>
      <c r="W360" s="79"/>
      <c r="Z360" s="130"/>
      <c r="AB360" s="106"/>
    </row>
    <row r="361">
      <c r="C361" s="79"/>
      <c r="D361" s="79"/>
      <c r="E361" s="79"/>
      <c r="M361" s="79"/>
      <c r="R361" s="79"/>
      <c r="S361" s="79"/>
      <c r="V361" s="79"/>
      <c r="W361" s="79"/>
      <c r="Z361" s="130"/>
      <c r="AB361" s="106"/>
    </row>
    <row r="362">
      <c r="C362" s="79"/>
      <c r="D362" s="79"/>
      <c r="E362" s="79"/>
      <c r="M362" s="79"/>
      <c r="R362" s="79"/>
      <c r="S362" s="79"/>
      <c r="V362" s="79"/>
      <c r="W362" s="79"/>
      <c r="Z362" s="130"/>
      <c r="AB362" s="106"/>
    </row>
    <row r="363">
      <c r="C363" s="79"/>
      <c r="D363" s="79"/>
      <c r="E363" s="79"/>
      <c r="M363" s="79"/>
      <c r="R363" s="79"/>
      <c r="S363" s="79"/>
      <c r="V363" s="79"/>
      <c r="W363" s="79"/>
      <c r="Z363" s="130"/>
      <c r="AB363" s="106"/>
    </row>
    <row r="364">
      <c r="C364" s="79"/>
      <c r="D364" s="79"/>
      <c r="E364" s="79"/>
      <c r="M364" s="79"/>
      <c r="R364" s="79"/>
      <c r="S364" s="79"/>
      <c r="V364" s="79"/>
      <c r="W364" s="79"/>
      <c r="Z364" s="130"/>
      <c r="AB364" s="106"/>
    </row>
    <row r="365">
      <c r="C365" s="79"/>
      <c r="D365" s="79"/>
      <c r="E365" s="79"/>
      <c r="M365" s="79"/>
      <c r="R365" s="79"/>
      <c r="S365" s="79"/>
      <c r="V365" s="79"/>
      <c r="W365" s="79"/>
      <c r="Z365" s="130"/>
      <c r="AB365" s="106"/>
    </row>
    <row r="366">
      <c r="C366" s="79"/>
      <c r="D366" s="79"/>
      <c r="E366" s="79"/>
      <c r="M366" s="79"/>
      <c r="R366" s="79"/>
      <c r="S366" s="79"/>
      <c r="V366" s="79"/>
      <c r="W366" s="79"/>
      <c r="Z366" s="130"/>
      <c r="AB366" s="106"/>
    </row>
    <row r="367">
      <c r="C367" s="79"/>
      <c r="D367" s="79"/>
      <c r="E367" s="79"/>
      <c r="M367" s="79"/>
      <c r="R367" s="79"/>
      <c r="S367" s="79"/>
      <c r="V367" s="79"/>
      <c r="W367" s="79"/>
      <c r="Z367" s="130"/>
      <c r="AB367" s="106"/>
    </row>
    <row r="368">
      <c r="C368" s="79"/>
      <c r="D368" s="79"/>
      <c r="E368" s="79"/>
      <c r="M368" s="79"/>
      <c r="R368" s="79"/>
      <c r="S368" s="79"/>
      <c r="V368" s="79"/>
      <c r="W368" s="79"/>
      <c r="Z368" s="130"/>
      <c r="AB368" s="106"/>
    </row>
    <row r="369">
      <c r="C369" s="79"/>
      <c r="D369" s="79"/>
      <c r="E369" s="79"/>
      <c r="M369" s="79"/>
      <c r="R369" s="79"/>
      <c r="S369" s="79"/>
      <c r="V369" s="79"/>
      <c r="W369" s="79"/>
      <c r="Z369" s="130"/>
      <c r="AB369" s="106"/>
    </row>
    <row r="370">
      <c r="C370" s="79"/>
      <c r="D370" s="79"/>
      <c r="E370" s="79"/>
      <c r="M370" s="79"/>
      <c r="R370" s="79"/>
      <c r="S370" s="79"/>
      <c r="V370" s="79"/>
      <c r="W370" s="79"/>
      <c r="Z370" s="130"/>
      <c r="AB370" s="106"/>
    </row>
    <row r="371">
      <c r="C371" s="79"/>
      <c r="D371" s="79"/>
      <c r="E371" s="79"/>
      <c r="M371" s="79"/>
      <c r="R371" s="79"/>
      <c r="S371" s="79"/>
      <c r="V371" s="79"/>
      <c r="W371" s="79"/>
      <c r="Z371" s="130"/>
      <c r="AB371" s="106"/>
    </row>
    <row r="372">
      <c r="C372" s="79"/>
      <c r="D372" s="79"/>
      <c r="E372" s="79"/>
      <c r="M372" s="79"/>
      <c r="R372" s="79"/>
      <c r="S372" s="79"/>
      <c r="V372" s="79"/>
      <c r="W372" s="79"/>
      <c r="Z372" s="130"/>
      <c r="AB372" s="106"/>
    </row>
    <row r="373">
      <c r="C373" s="79"/>
      <c r="D373" s="79"/>
      <c r="E373" s="79"/>
      <c r="M373" s="79"/>
      <c r="R373" s="79"/>
      <c r="S373" s="79"/>
      <c r="V373" s="79"/>
      <c r="W373" s="79"/>
      <c r="Z373" s="130"/>
      <c r="AB373" s="106"/>
    </row>
    <row r="374">
      <c r="C374" s="79"/>
      <c r="D374" s="79"/>
      <c r="E374" s="79"/>
      <c r="M374" s="79"/>
      <c r="R374" s="79"/>
      <c r="S374" s="79"/>
      <c r="V374" s="79"/>
      <c r="W374" s="79"/>
      <c r="Z374" s="130"/>
      <c r="AB374" s="106"/>
    </row>
    <row r="375">
      <c r="C375" s="79"/>
      <c r="D375" s="79"/>
      <c r="E375" s="79"/>
      <c r="M375" s="79"/>
      <c r="R375" s="79"/>
      <c r="S375" s="79"/>
      <c r="V375" s="79"/>
      <c r="W375" s="79"/>
      <c r="Z375" s="130"/>
      <c r="AB375" s="106"/>
    </row>
    <row r="376">
      <c r="C376" s="79"/>
      <c r="D376" s="79"/>
      <c r="E376" s="79"/>
      <c r="M376" s="79"/>
      <c r="R376" s="79"/>
      <c r="S376" s="79"/>
      <c r="V376" s="79"/>
      <c r="W376" s="79"/>
      <c r="Z376" s="130"/>
      <c r="AB376" s="106"/>
    </row>
    <row r="377">
      <c r="C377" s="79"/>
      <c r="D377" s="79"/>
      <c r="E377" s="79"/>
      <c r="M377" s="79"/>
      <c r="R377" s="79"/>
      <c r="S377" s="79"/>
      <c r="V377" s="79"/>
      <c r="W377" s="79"/>
      <c r="Z377" s="130"/>
      <c r="AB377" s="106"/>
    </row>
    <row r="378">
      <c r="C378" s="79"/>
      <c r="D378" s="79"/>
      <c r="E378" s="79"/>
      <c r="M378" s="79"/>
      <c r="R378" s="79"/>
      <c r="S378" s="79"/>
      <c r="V378" s="79"/>
      <c r="W378" s="79"/>
      <c r="Z378" s="130"/>
      <c r="AB378" s="106"/>
    </row>
    <row r="379">
      <c r="C379" s="79"/>
      <c r="D379" s="79"/>
      <c r="E379" s="79"/>
      <c r="M379" s="79"/>
      <c r="R379" s="79"/>
      <c r="S379" s="79"/>
      <c r="V379" s="79"/>
      <c r="W379" s="79"/>
      <c r="Z379" s="130"/>
      <c r="AB379" s="106"/>
    </row>
    <row r="380">
      <c r="C380" s="79"/>
      <c r="D380" s="79"/>
      <c r="E380" s="79"/>
      <c r="M380" s="79"/>
      <c r="R380" s="79"/>
      <c r="S380" s="79"/>
      <c r="V380" s="79"/>
      <c r="W380" s="79"/>
      <c r="Z380" s="130"/>
      <c r="AB380" s="106"/>
    </row>
    <row r="381">
      <c r="C381" s="79"/>
      <c r="D381" s="79"/>
      <c r="E381" s="79"/>
      <c r="M381" s="79"/>
      <c r="R381" s="79"/>
      <c r="S381" s="79"/>
      <c r="V381" s="79"/>
      <c r="W381" s="79"/>
      <c r="Z381" s="130"/>
      <c r="AB381" s="106"/>
    </row>
    <row r="382">
      <c r="C382" s="79"/>
      <c r="D382" s="79"/>
      <c r="E382" s="79"/>
      <c r="M382" s="79"/>
      <c r="R382" s="79"/>
      <c r="S382" s="79"/>
      <c r="V382" s="79"/>
      <c r="W382" s="79"/>
      <c r="Z382" s="130"/>
      <c r="AB382" s="106"/>
    </row>
    <row r="383">
      <c r="C383" s="79"/>
      <c r="D383" s="79"/>
      <c r="E383" s="79"/>
      <c r="M383" s="79"/>
      <c r="R383" s="79"/>
      <c r="S383" s="79"/>
      <c r="V383" s="79"/>
      <c r="W383" s="79"/>
      <c r="Z383" s="130"/>
      <c r="AB383" s="106"/>
    </row>
    <row r="384">
      <c r="C384" s="79"/>
      <c r="D384" s="79"/>
      <c r="E384" s="79"/>
      <c r="M384" s="79"/>
      <c r="R384" s="79"/>
      <c r="S384" s="79"/>
      <c r="V384" s="79"/>
      <c r="W384" s="79"/>
      <c r="Z384" s="130"/>
      <c r="AB384" s="106"/>
    </row>
    <row r="385">
      <c r="C385" s="79"/>
      <c r="D385" s="79"/>
      <c r="E385" s="79"/>
      <c r="M385" s="79"/>
      <c r="R385" s="79"/>
      <c r="S385" s="79"/>
      <c r="V385" s="79"/>
      <c r="W385" s="79"/>
      <c r="Z385" s="130"/>
      <c r="AB385" s="106"/>
    </row>
    <row r="386">
      <c r="C386" s="79"/>
      <c r="D386" s="79"/>
      <c r="E386" s="79"/>
      <c r="M386" s="79"/>
      <c r="R386" s="79"/>
      <c r="S386" s="79"/>
      <c r="V386" s="79"/>
      <c r="W386" s="79"/>
      <c r="Z386" s="130"/>
      <c r="AB386" s="106"/>
    </row>
    <row r="387">
      <c r="C387" s="79"/>
      <c r="D387" s="79"/>
      <c r="E387" s="79"/>
      <c r="M387" s="79"/>
      <c r="R387" s="79"/>
      <c r="S387" s="79"/>
      <c r="V387" s="79"/>
      <c r="W387" s="79"/>
      <c r="Z387" s="130"/>
      <c r="AB387" s="106"/>
    </row>
    <row r="388">
      <c r="C388" s="79"/>
      <c r="D388" s="79"/>
      <c r="E388" s="79"/>
      <c r="M388" s="79"/>
      <c r="R388" s="79"/>
      <c r="S388" s="79"/>
      <c r="V388" s="79"/>
      <c r="W388" s="79"/>
      <c r="Z388" s="130"/>
      <c r="AB388" s="106"/>
    </row>
    <row r="389">
      <c r="C389" s="79"/>
      <c r="D389" s="79"/>
      <c r="E389" s="79"/>
      <c r="M389" s="79"/>
      <c r="R389" s="79"/>
      <c r="S389" s="79"/>
      <c r="V389" s="79"/>
      <c r="W389" s="79"/>
      <c r="Z389" s="130"/>
      <c r="AB389" s="106"/>
    </row>
    <row r="390">
      <c r="C390" s="79"/>
      <c r="D390" s="79"/>
      <c r="E390" s="79"/>
      <c r="M390" s="79"/>
      <c r="R390" s="79"/>
      <c r="S390" s="79"/>
      <c r="V390" s="79"/>
      <c r="W390" s="79"/>
      <c r="Z390" s="130"/>
      <c r="AB390" s="106"/>
    </row>
    <row r="391">
      <c r="C391" s="79"/>
      <c r="D391" s="79"/>
      <c r="E391" s="79"/>
      <c r="M391" s="79"/>
      <c r="R391" s="79"/>
      <c r="S391" s="79"/>
      <c r="V391" s="79"/>
      <c r="W391" s="79"/>
      <c r="Z391" s="130"/>
      <c r="AB391" s="106"/>
    </row>
    <row r="392">
      <c r="C392" s="79"/>
      <c r="D392" s="79"/>
      <c r="E392" s="79"/>
      <c r="M392" s="79"/>
      <c r="R392" s="79"/>
      <c r="S392" s="79"/>
      <c r="V392" s="79"/>
      <c r="W392" s="79"/>
      <c r="Z392" s="130"/>
      <c r="AB392" s="106"/>
    </row>
    <row r="393">
      <c r="C393" s="79"/>
      <c r="D393" s="79"/>
      <c r="E393" s="79"/>
      <c r="M393" s="79"/>
      <c r="R393" s="79"/>
      <c r="S393" s="79"/>
      <c r="V393" s="79"/>
      <c r="W393" s="79"/>
      <c r="Z393" s="130"/>
      <c r="AB393" s="106"/>
    </row>
    <row r="394">
      <c r="C394" s="79"/>
      <c r="D394" s="79"/>
      <c r="E394" s="79"/>
      <c r="M394" s="79"/>
      <c r="R394" s="79"/>
      <c r="S394" s="79"/>
      <c r="V394" s="79"/>
      <c r="W394" s="79"/>
      <c r="Z394" s="130"/>
      <c r="AB394" s="106"/>
    </row>
    <row r="395">
      <c r="C395" s="79"/>
      <c r="D395" s="79"/>
      <c r="E395" s="79"/>
      <c r="M395" s="79"/>
      <c r="R395" s="79"/>
      <c r="S395" s="79"/>
      <c r="V395" s="79"/>
      <c r="W395" s="79"/>
      <c r="Z395" s="130"/>
      <c r="AB395" s="106"/>
    </row>
    <row r="396">
      <c r="C396" s="79"/>
      <c r="D396" s="79"/>
      <c r="E396" s="79"/>
      <c r="M396" s="79"/>
      <c r="R396" s="79"/>
      <c r="S396" s="79"/>
      <c r="V396" s="79"/>
      <c r="W396" s="79"/>
      <c r="Z396" s="130"/>
      <c r="AB396" s="106"/>
    </row>
    <row r="397">
      <c r="C397" s="79"/>
      <c r="D397" s="79"/>
      <c r="E397" s="79"/>
      <c r="M397" s="79"/>
      <c r="R397" s="79"/>
      <c r="S397" s="79"/>
      <c r="V397" s="79"/>
      <c r="W397" s="79"/>
      <c r="Z397" s="130"/>
      <c r="AB397" s="106"/>
    </row>
    <row r="398">
      <c r="C398" s="79"/>
      <c r="D398" s="79"/>
      <c r="E398" s="79"/>
      <c r="M398" s="79"/>
      <c r="R398" s="79"/>
      <c r="S398" s="79"/>
      <c r="V398" s="79"/>
      <c r="W398" s="79"/>
      <c r="Z398" s="130"/>
      <c r="AB398" s="106"/>
    </row>
    <row r="399">
      <c r="C399" s="79"/>
      <c r="D399" s="79"/>
      <c r="E399" s="79"/>
      <c r="M399" s="79"/>
      <c r="R399" s="79"/>
      <c r="S399" s="79"/>
      <c r="V399" s="79"/>
      <c r="W399" s="79"/>
      <c r="Z399" s="130"/>
      <c r="AB399" s="106"/>
    </row>
    <row r="400">
      <c r="C400" s="79"/>
      <c r="D400" s="79"/>
      <c r="E400" s="79"/>
      <c r="M400" s="79"/>
      <c r="R400" s="79"/>
      <c r="S400" s="79"/>
      <c r="V400" s="79"/>
      <c r="W400" s="79"/>
      <c r="Z400" s="130"/>
      <c r="AB400" s="106"/>
    </row>
    <row r="401">
      <c r="C401" s="79"/>
      <c r="D401" s="79"/>
      <c r="E401" s="79"/>
      <c r="M401" s="79"/>
      <c r="R401" s="79"/>
      <c r="S401" s="79"/>
      <c r="V401" s="79"/>
      <c r="W401" s="79"/>
      <c r="Z401" s="130"/>
      <c r="AB401" s="106"/>
    </row>
    <row r="402">
      <c r="C402" s="79"/>
      <c r="D402" s="79"/>
      <c r="E402" s="79"/>
      <c r="M402" s="79"/>
      <c r="R402" s="79"/>
      <c r="S402" s="79"/>
      <c r="V402" s="79"/>
      <c r="W402" s="79"/>
      <c r="Z402" s="130"/>
      <c r="AB402" s="106"/>
    </row>
    <row r="403">
      <c r="C403" s="79"/>
      <c r="D403" s="79"/>
      <c r="E403" s="79"/>
      <c r="M403" s="79"/>
      <c r="R403" s="79"/>
      <c r="S403" s="79"/>
      <c r="V403" s="79"/>
      <c r="W403" s="79"/>
      <c r="Z403" s="130"/>
      <c r="AB403" s="106"/>
    </row>
    <row r="404">
      <c r="C404" s="79"/>
      <c r="D404" s="79"/>
      <c r="E404" s="79"/>
      <c r="M404" s="79"/>
      <c r="R404" s="79"/>
      <c r="S404" s="79"/>
      <c r="V404" s="79"/>
      <c r="W404" s="79"/>
      <c r="Z404" s="130"/>
      <c r="AB404" s="106"/>
    </row>
    <row r="405">
      <c r="C405" s="79"/>
      <c r="D405" s="79"/>
      <c r="E405" s="79"/>
      <c r="M405" s="79"/>
      <c r="R405" s="79"/>
      <c r="S405" s="79"/>
      <c r="V405" s="79"/>
      <c r="W405" s="79"/>
      <c r="Z405" s="130"/>
      <c r="AB405" s="106"/>
    </row>
    <row r="406">
      <c r="C406" s="79"/>
      <c r="D406" s="79"/>
      <c r="E406" s="79"/>
      <c r="M406" s="79"/>
      <c r="R406" s="79"/>
      <c r="S406" s="79"/>
      <c r="V406" s="79"/>
      <c r="W406" s="79"/>
      <c r="Z406" s="130"/>
      <c r="AB406" s="106"/>
    </row>
    <row r="407">
      <c r="C407" s="79"/>
      <c r="D407" s="79"/>
      <c r="E407" s="79"/>
      <c r="M407" s="79"/>
      <c r="R407" s="79"/>
      <c r="S407" s="79"/>
      <c r="V407" s="79"/>
      <c r="W407" s="79"/>
      <c r="Z407" s="130"/>
      <c r="AB407" s="106"/>
    </row>
    <row r="408">
      <c r="C408" s="79"/>
      <c r="D408" s="79"/>
      <c r="E408" s="79"/>
      <c r="M408" s="79"/>
      <c r="R408" s="79"/>
      <c r="S408" s="79"/>
      <c r="V408" s="79"/>
      <c r="W408" s="79"/>
      <c r="Z408" s="130"/>
      <c r="AB408" s="106"/>
    </row>
    <row r="409">
      <c r="C409" s="79"/>
      <c r="D409" s="79"/>
      <c r="E409" s="79"/>
      <c r="M409" s="79"/>
      <c r="R409" s="79"/>
      <c r="S409" s="79"/>
      <c r="V409" s="79"/>
      <c r="W409" s="79"/>
      <c r="Z409" s="130"/>
      <c r="AB409" s="106"/>
    </row>
    <row r="410">
      <c r="C410" s="79"/>
      <c r="D410" s="79"/>
      <c r="E410" s="79"/>
      <c r="M410" s="79"/>
      <c r="R410" s="79"/>
      <c r="S410" s="79"/>
      <c r="V410" s="79"/>
      <c r="W410" s="79"/>
      <c r="Z410" s="130"/>
      <c r="AB410" s="106"/>
    </row>
    <row r="411">
      <c r="C411" s="79"/>
      <c r="D411" s="79"/>
      <c r="E411" s="79"/>
      <c r="M411" s="79"/>
      <c r="R411" s="79"/>
      <c r="S411" s="79"/>
      <c r="V411" s="79"/>
      <c r="W411" s="79"/>
      <c r="Z411" s="130"/>
      <c r="AB411" s="106"/>
    </row>
    <row r="412">
      <c r="C412" s="79"/>
      <c r="D412" s="79"/>
      <c r="E412" s="79"/>
      <c r="M412" s="79"/>
      <c r="R412" s="79"/>
      <c r="S412" s="79"/>
      <c r="V412" s="79"/>
      <c r="W412" s="79"/>
      <c r="Z412" s="130"/>
      <c r="AB412" s="106"/>
    </row>
    <row r="413">
      <c r="C413" s="79"/>
      <c r="D413" s="79"/>
      <c r="E413" s="79"/>
      <c r="M413" s="79"/>
      <c r="R413" s="79"/>
      <c r="S413" s="79"/>
      <c r="V413" s="79"/>
      <c r="W413" s="79"/>
      <c r="Z413" s="130"/>
      <c r="AB413" s="106"/>
    </row>
    <row r="414">
      <c r="C414" s="79"/>
      <c r="D414" s="79"/>
      <c r="E414" s="79"/>
      <c r="M414" s="79"/>
      <c r="R414" s="79"/>
      <c r="S414" s="79"/>
      <c r="V414" s="79"/>
      <c r="W414" s="79"/>
      <c r="Z414" s="130"/>
      <c r="AB414" s="106"/>
    </row>
    <row r="415">
      <c r="C415" s="79"/>
      <c r="D415" s="79"/>
      <c r="E415" s="79"/>
      <c r="M415" s="79"/>
      <c r="R415" s="79"/>
      <c r="S415" s="79"/>
      <c r="V415" s="79"/>
      <c r="W415" s="79"/>
      <c r="Z415" s="130"/>
      <c r="AB415" s="106"/>
    </row>
    <row r="416">
      <c r="C416" s="79"/>
      <c r="D416" s="79"/>
      <c r="E416" s="79"/>
      <c r="M416" s="79"/>
      <c r="R416" s="79"/>
      <c r="S416" s="79"/>
      <c r="V416" s="79"/>
      <c r="W416" s="79"/>
      <c r="Z416" s="130"/>
      <c r="AB416" s="106"/>
    </row>
    <row r="417">
      <c r="C417" s="79"/>
      <c r="D417" s="79"/>
      <c r="E417" s="79"/>
      <c r="M417" s="79"/>
      <c r="R417" s="79"/>
      <c r="S417" s="79"/>
      <c r="V417" s="79"/>
      <c r="W417" s="79"/>
      <c r="Z417" s="130"/>
      <c r="AB417" s="106"/>
    </row>
    <row r="418">
      <c r="C418" s="79"/>
      <c r="D418" s="79"/>
      <c r="E418" s="79"/>
      <c r="M418" s="79"/>
      <c r="R418" s="79"/>
      <c r="S418" s="79"/>
      <c r="V418" s="79"/>
      <c r="W418" s="79"/>
      <c r="Z418" s="130"/>
      <c r="AB418" s="106"/>
    </row>
    <row r="419">
      <c r="C419" s="79"/>
      <c r="D419" s="79"/>
      <c r="E419" s="79"/>
      <c r="M419" s="79"/>
      <c r="R419" s="79"/>
      <c r="S419" s="79"/>
      <c r="V419" s="79"/>
      <c r="W419" s="79"/>
      <c r="Z419" s="130"/>
      <c r="AB419" s="106"/>
    </row>
    <row r="420">
      <c r="C420" s="79"/>
      <c r="D420" s="79"/>
      <c r="E420" s="79"/>
      <c r="M420" s="79"/>
      <c r="R420" s="79"/>
      <c r="S420" s="79"/>
      <c r="V420" s="79"/>
      <c r="W420" s="79"/>
      <c r="Z420" s="130"/>
      <c r="AB420" s="106"/>
    </row>
    <row r="421">
      <c r="C421" s="79"/>
      <c r="D421" s="79"/>
      <c r="E421" s="79"/>
      <c r="M421" s="79"/>
      <c r="R421" s="79"/>
      <c r="S421" s="79"/>
      <c r="V421" s="79"/>
      <c r="W421" s="79"/>
      <c r="Z421" s="130"/>
      <c r="AB421" s="106"/>
    </row>
    <row r="422">
      <c r="C422" s="79"/>
      <c r="D422" s="79"/>
      <c r="E422" s="79"/>
      <c r="M422" s="79"/>
      <c r="R422" s="79"/>
      <c r="S422" s="79"/>
      <c r="V422" s="79"/>
      <c r="W422" s="79"/>
      <c r="Z422" s="130"/>
      <c r="AB422" s="106"/>
    </row>
    <row r="423">
      <c r="C423" s="79"/>
      <c r="D423" s="79"/>
      <c r="E423" s="79"/>
      <c r="M423" s="79"/>
      <c r="R423" s="79"/>
      <c r="S423" s="79"/>
      <c r="V423" s="79"/>
      <c r="W423" s="79"/>
      <c r="Z423" s="130"/>
      <c r="AB423" s="106"/>
    </row>
    <row r="424">
      <c r="C424" s="79"/>
      <c r="D424" s="79"/>
      <c r="E424" s="79"/>
      <c r="M424" s="79"/>
      <c r="R424" s="79"/>
      <c r="S424" s="79"/>
      <c r="V424" s="79"/>
      <c r="W424" s="79"/>
      <c r="Z424" s="130"/>
      <c r="AB424" s="106"/>
    </row>
    <row r="425">
      <c r="C425" s="79"/>
      <c r="D425" s="79"/>
      <c r="E425" s="79"/>
      <c r="M425" s="79"/>
      <c r="R425" s="79"/>
      <c r="S425" s="79"/>
      <c r="V425" s="79"/>
      <c r="W425" s="79"/>
      <c r="Z425" s="130"/>
      <c r="AB425" s="106"/>
    </row>
    <row r="426">
      <c r="C426" s="79"/>
      <c r="D426" s="79"/>
      <c r="E426" s="79"/>
      <c r="M426" s="79"/>
      <c r="R426" s="79"/>
      <c r="S426" s="79"/>
      <c r="V426" s="79"/>
      <c r="W426" s="79"/>
      <c r="Z426" s="130"/>
      <c r="AB426" s="106"/>
    </row>
    <row r="427">
      <c r="C427" s="79"/>
      <c r="D427" s="79"/>
      <c r="E427" s="79"/>
      <c r="M427" s="79"/>
      <c r="R427" s="79"/>
      <c r="S427" s="79"/>
      <c r="V427" s="79"/>
      <c r="W427" s="79"/>
      <c r="Z427" s="130"/>
      <c r="AB427" s="106"/>
    </row>
    <row r="428">
      <c r="C428" s="79"/>
      <c r="D428" s="79"/>
      <c r="E428" s="79"/>
      <c r="M428" s="79"/>
      <c r="R428" s="79"/>
      <c r="S428" s="79"/>
      <c r="V428" s="79"/>
      <c r="W428" s="79"/>
      <c r="Z428" s="130"/>
      <c r="AB428" s="106"/>
    </row>
    <row r="429">
      <c r="C429" s="79"/>
      <c r="D429" s="79"/>
      <c r="E429" s="79"/>
      <c r="M429" s="79"/>
      <c r="R429" s="79"/>
      <c r="S429" s="79"/>
      <c r="V429" s="79"/>
      <c r="W429" s="79"/>
      <c r="Z429" s="130"/>
      <c r="AB429" s="106"/>
    </row>
    <row r="430">
      <c r="C430" s="79"/>
      <c r="D430" s="79"/>
      <c r="E430" s="79"/>
      <c r="M430" s="79"/>
      <c r="R430" s="79"/>
      <c r="S430" s="79"/>
      <c r="V430" s="79"/>
      <c r="W430" s="79"/>
      <c r="Z430" s="130"/>
      <c r="AB430" s="106"/>
    </row>
    <row r="431">
      <c r="C431" s="79"/>
      <c r="D431" s="79"/>
      <c r="E431" s="79"/>
      <c r="M431" s="79"/>
      <c r="R431" s="79"/>
      <c r="S431" s="79"/>
      <c r="V431" s="79"/>
      <c r="W431" s="79"/>
      <c r="Z431" s="130"/>
      <c r="AB431" s="106"/>
    </row>
    <row r="432">
      <c r="C432" s="79"/>
      <c r="D432" s="79"/>
      <c r="E432" s="79"/>
      <c r="M432" s="79"/>
      <c r="R432" s="79"/>
      <c r="S432" s="79"/>
      <c r="V432" s="79"/>
      <c r="W432" s="79"/>
      <c r="Z432" s="130"/>
      <c r="AB432" s="106"/>
    </row>
    <row r="433">
      <c r="C433" s="79"/>
      <c r="D433" s="79"/>
      <c r="E433" s="79"/>
      <c r="M433" s="79"/>
      <c r="R433" s="79"/>
      <c r="S433" s="79"/>
      <c r="V433" s="79"/>
      <c r="W433" s="79"/>
      <c r="Z433" s="130"/>
      <c r="AB433" s="106"/>
    </row>
    <row r="434">
      <c r="C434" s="79"/>
      <c r="D434" s="79"/>
      <c r="E434" s="79"/>
      <c r="M434" s="79"/>
      <c r="R434" s="79"/>
      <c r="S434" s="79"/>
      <c r="V434" s="79"/>
      <c r="W434" s="79"/>
      <c r="Z434" s="130"/>
      <c r="AB434" s="106"/>
    </row>
    <row r="435">
      <c r="C435" s="79"/>
      <c r="D435" s="79"/>
      <c r="E435" s="79"/>
      <c r="M435" s="79"/>
      <c r="R435" s="79"/>
      <c r="S435" s="79"/>
      <c r="V435" s="79"/>
      <c r="W435" s="79"/>
      <c r="Z435" s="130"/>
      <c r="AB435" s="106"/>
    </row>
    <row r="436">
      <c r="C436" s="79"/>
      <c r="D436" s="79"/>
      <c r="E436" s="79"/>
      <c r="M436" s="79"/>
      <c r="R436" s="79"/>
      <c r="S436" s="79"/>
      <c r="V436" s="79"/>
      <c r="W436" s="79"/>
      <c r="Z436" s="130"/>
      <c r="AB436" s="106"/>
    </row>
    <row r="437">
      <c r="C437" s="79"/>
      <c r="D437" s="79"/>
      <c r="E437" s="79"/>
      <c r="M437" s="79"/>
      <c r="R437" s="79"/>
      <c r="S437" s="79"/>
      <c r="V437" s="79"/>
      <c r="W437" s="79"/>
      <c r="Z437" s="130"/>
      <c r="AB437" s="106"/>
    </row>
    <row r="438">
      <c r="C438" s="79"/>
      <c r="D438" s="79"/>
      <c r="E438" s="79"/>
      <c r="M438" s="79"/>
      <c r="R438" s="79"/>
      <c r="S438" s="79"/>
      <c r="V438" s="79"/>
      <c r="W438" s="79"/>
      <c r="Z438" s="130"/>
      <c r="AB438" s="106"/>
    </row>
    <row r="439">
      <c r="C439" s="79"/>
      <c r="D439" s="79"/>
      <c r="E439" s="79"/>
      <c r="M439" s="79"/>
      <c r="R439" s="79"/>
      <c r="S439" s="79"/>
      <c r="V439" s="79"/>
      <c r="W439" s="79"/>
      <c r="Z439" s="130"/>
      <c r="AB439" s="106"/>
    </row>
    <row r="440">
      <c r="C440" s="79"/>
      <c r="D440" s="79"/>
      <c r="E440" s="79"/>
      <c r="M440" s="79"/>
      <c r="R440" s="79"/>
      <c r="S440" s="79"/>
      <c r="V440" s="79"/>
      <c r="W440" s="79"/>
      <c r="Z440" s="130"/>
      <c r="AB440" s="106"/>
    </row>
    <row r="441">
      <c r="C441" s="79"/>
      <c r="D441" s="79"/>
      <c r="E441" s="79"/>
      <c r="M441" s="79"/>
      <c r="R441" s="79"/>
      <c r="S441" s="79"/>
      <c r="V441" s="79"/>
      <c r="W441" s="79"/>
      <c r="Z441" s="130"/>
      <c r="AB441" s="106"/>
    </row>
    <row r="442">
      <c r="C442" s="79"/>
      <c r="D442" s="79"/>
      <c r="E442" s="79"/>
      <c r="M442" s="79"/>
      <c r="R442" s="79"/>
      <c r="S442" s="79"/>
      <c r="V442" s="79"/>
      <c r="W442" s="79"/>
      <c r="Z442" s="130"/>
      <c r="AB442" s="106"/>
    </row>
    <row r="443">
      <c r="C443" s="79"/>
      <c r="D443" s="79"/>
      <c r="E443" s="79"/>
      <c r="M443" s="79"/>
      <c r="R443" s="79"/>
      <c r="S443" s="79"/>
      <c r="V443" s="79"/>
      <c r="W443" s="79"/>
      <c r="Z443" s="130"/>
      <c r="AB443" s="106"/>
    </row>
    <row r="444">
      <c r="C444" s="79"/>
      <c r="D444" s="79"/>
      <c r="E444" s="79"/>
      <c r="M444" s="79"/>
      <c r="R444" s="79"/>
      <c r="S444" s="79"/>
      <c r="V444" s="79"/>
      <c r="W444" s="79"/>
      <c r="Z444" s="130"/>
      <c r="AB444" s="106"/>
    </row>
    <row r="445">
      <c r="C445" s="79"/>
      <c r="D445" s="79"/>
      <c r="E445" s="79"/>
      <c r="M445" s="79"/>
      <c r="R445" s="79"/>
      <c r="S445" s="79"/>
      <c r="V445" s="79"/>
      <c r="W445" s="79"/>
      <c r="Z445" s="130"/>
      <c r="AB445" s="106"/>
    </row>
    <row r="446">
      <c r="C446" s="79"/>
      <c r="D446" s="79"/>
      <c r="E446" s="79"/>
      <c r="M446" s="79"/>
      <c r="R446" s="79"/>
      <c r="S446" s="79"/>
      <c r="V446" s="79"/>
      <c r="W446" s="79"/>
      <c r="Z446" s="130"/>
      <c r="AB446" s="106"/>
    </row>
    <row r="447">
      <c r="C447" s="79"/>
      <c r="D447" s="79"/>
      <c r="E447" s="79"/>
      <c r="M447" s="79"/>
      <c r="R447" s="79"/>
      <c r="S447" s="79"/>
      <c r="V447" s="79"/>
      <c r="W447" s="79"/>
      <c r="Z447" s="130"/>
      <c r="AB447" s="106"/>
    </row>
    <row r="448">
      <c r="C448" s="79"/>
      <c r="D448" s="79"/>
      <c r="E448" s="79"/>
      <c r="M448" s="79"/>
      <c r="R448" s="79"/>
      <c r="S448" s="79"/>
      <c r="V448" s="79"/>
      <c r="W448" s="79"/>
      <c r="Z448" s="130"/>
      <c r="AB448" s="106"/>
    </row>
    <row r="449">
      <c r="C449" s="79"/>
      <c r="D449" s="79"/>
      <c r="E449" s="79"/>
      <c r="M449" s="79"/>
      <c r="R449" s="79"/>
      <c r="S449" s="79"/>
      <c r="V449" s="79"/>
      <c r="W449" s="79"/>
      <c r="Z449" s="130"/>
      <c r="AB449" s="106"/>
    </row>
    <row r="450">
      <c r="C450" s="79"/>
      <c r="D450" s="79"/>
      <c r="E450" s="79"/>
      <c r="M450" s="79"/>
      <c r="R450" s="79"/>
      <c r="S450" s="79"/>
      <c r="V450" s="79"/>
      <c r="W450" s="79"/>
      <c r="Z450" s="130"/>
      <c r="AB450" s="106"/>
    </row>
    <row r="451">
      <c r="C451" s="79"/>
      <c r="D451" s="79"/>
      <c r="E451" s="79"/>
      <c r="M451" s="79"/>
      <c r="R451" s="79"/>
      <c r="S451" s="79"/>
      <c r="V451" s="79"/>
      <c r="W451" s="79"/>
      <c r="Z451" s="130"/>
      <c r="AB451" s="106"/>
    </row>
    <row r="452">
      <c r="C452" s="79"/>
      <c r="D452" s="79"/>
      <c r="E452" s="79"/>
      <c r="M452" s="79"/>
      <c r="R452" s="79"/>
      <c r="S452" s="79"/>
      <c r="V452" s="79"/>
      <c r="W452" s="79"/>
      <c r="Z452" s="130"/>
      <c r="AB452" s="106"/>
    </row>
    <row r="453">
      <c r="C453" s="79"/>
      <c r="D453" s="79"/>
      <c r="E453" s="79"/>
      <c r="M453" s="79"/>
      <c r="R453" s="79"/>
      <c r="S453" s="79"/>
      <c r="V453" s="79"/>
      <c r="W453" s="79"/>
      <c r="Z453" s="130"/>
      <c r="AB453" s="106"/>
    </row>
    <row r="454">
      <c r="C454" s="79"/>
      <c r="D454" s="79"/>
      <c r="E454" s="79"/>
      <c r="M454" s="79"/>
      <c r="R454" s="79"/>
      <c r="S454" s="79"/>
      <c r="V454" s="79"/>
      <c r="W454" s="79"/>
      <c r="Z454" s="130"/>
      <c r="AB454" s="106"/>
    </row>
    <row r="455">
      <c r="C455" s="79"/>
      <c r="D455" s="79"/>
      <c r="E455" s="79"/>
      <c r="M455" s="79"/>
      <c r="R455" s="79"/>
      <c r="S455" s="79"/>
      <c r="V455" s="79"/>
      <c r="W455" s="79"/>
      <c r="Z455" s="130"/>
      <c r="AB455" s="106"/>
    </row>
    <row r="456">
      <c r="C456" s="79"/>
      <c r="D456" s="79"/>
      <c r="E456" s="79"/>
      <c r="M456" s="79"/>
      <c r="R456" s="79"/>
      <c r="S456" s="79"/>
      <c r="V456" s="79"/>
      <c r="W456" s="79"/>
      <c r="Z456" s="130"/>
      <c r="AB456" s="106"/>
    </row>
    <row r="457">
      <c r="C457" s="79"/>
      <c r="D457" s="79"/>
      <c r="E457" s="79"/>
      <c r="M457" s="79"/>
      <c r="R457" s="79"/>
      <c r="S457" s="79"/>
      <c r="V457" s="79"/>
      <c r="W457" s="79"/>
      <c r="Z457" s="130"/>
      <c r="AB457" s="106"/>
    </row>
    <row r="458">
      <c r="C458" s="79"/>
      <c r="D458" s="79"/>
      <c r="E458" s="79"/>
      <c r="M458" s="79"/>
      <c r="R458" s="79"/>
      <c r="S458" s="79"/>
      <c r="V458" s="79"/>
      <c r="W458" s="79"/>
      <c r="Z458" s="130"/>
      <c r="AB458" s="106"/>
    </row>
    <row r="459">
      <c r="C459" s="79"/>
      <c r="D459" s="79"/>
      <c r="E459" s="79"/>
      <c r="M459" s="79"/>
      <c r="R459" s="79"/>
      <c r="S459" s="79"/>
      <c r="V459" s="79"/>
      <c r="W459" s="79"/>
      <c r="Z459" s="130"/>
      <c r="AB459" s="106"/>
    </row>
    <row r="460">
      <c r="C460" s="79"/>
      <c r="D460" s="79"/>
      <c r="E460" s="79"/>
      <c r="M460" s="79"/>
      <c r="R460" s="79"/>
      <c r="S460" s="79"/>
      <c r="V460" s="79"/>
      <c r="W460" s="79"/>
      <c r="Z460" s="130"/>
      <c r="AB460" s="106"/>
    </row>
    <row r="461">
      <c r="C461" s="79"/>
      <c r="D461" s="79"/>
      <c r="E461" s="79"/>
      <c r="M461" s="79"/>
      <c r="R461" s="79"/>
      <c r="S461" s="79"/>
      <c r="V461" s="79"/>
      <c r="W461" s="79"/>
      <c r="Z461" s="130"/>
      <c r="AB461" s="106"/>
    </row>
    <row r="462">
      <c r="C462" s="79"/>
      <c r="D462" s="79"/>
      <c r="E462" s="79"/>
      <c r="M462" s="79"/>
      <c r="R462" s="79"/>
      <c r="S462" s="79"/>
      <c r="V462" s="79"/>
      <c r="W462" s="79"/>
      <c r="Z462" s="130"/>
      <c r="AB462" s="106"/>
    </row>
    <row r="463">
      <c r="C463" s="79"/>
      <c r="D463" s="79"/>
      <c r="E463" s="79"/>
      <c r="M463" s="79"/>
      <c r="R463" s="79"/>
      <c r="S463" s="79"/>
      <c r="V463" s="79"/>
      <c r="W463" s="79"/>
      <c r="Z463" s="130"/>
      <c r="AB463" s="106"/>
    </row>
    <row r="464">
      <c r="C464" s="79"/>
      <c r="D464" s="79"/>
      <c r="E464" s="79"/>
      <c r="M464" s="79"/>
      <c r="R464" s="79"/>
      <c r="S464" s="79"/>
      <c r="V464" s="79"/>
      <c r="W464" s="79"/>
      <c r="Z464" s="130"/>
      <c r="AB464" s="106"/>
    </row>
    <row r="465">
      <c r="C465" s="79"/>
      <c r="D465" s="79"/>
      <c r="E465" s="79"/>
      <c r="M465" s="79"/>
      <c r="R465" s="79"/>
      <c r="S465" s="79"/>
      <c r="V465" s="79"/>
      <c r="W465" s="79"/>
      <c r="Z465" s="130"/>
      <c r="AB465" s="106"/>
    </row>
    <row r="466">
      <c r="C466" s="79"/>
      <c r="D466" s="79"/>
      <c r="E466" s="79"/>
      <c r="M466" s="79"/>
      <c r="R466" s="79"/>
      <c r="S466" s="79"/>
      <c r="V466" s="79"/>
      <c r="W466" s="79"/>
      <c r="Z466" s="130"/>
      <c r="AB466" s="106"/>
    </row>
    <row r="467">
      <c r="C467" s="79"/>
      <c r="D467" s="79"/>
      <c r="E467" s="79"/>
      <c r="M467" s="79"/>
      <c r="R467" s="79"/>
      <c r="S467" s="79"/>
      <c r="V467" s="79"/>
      <c r="W467" s="79"/>
      <c r="Z467" s="130"/>
      <c r="AB467" s="106"/>
    </row>
    <row r="468">
      <c r="C468" s="79"/>
      <c r="D468" s="79"/>
      <c r="E468" s="79"/>
      <c r="M468" s="79"/>
      <c r="R468" s="79"/>
      <c r="S468" s="79"/>
      <c r="V468" s="79"/>
      <c r="W468" s="79"/>
      <c r="Z468" s="130"/>
      <c r="AB468" s="106"/>
    </row>
    <row r="469">
      <c r="C469" s="79"/>
      <c r="D469" s="79"/>
      <c r="E469" s="79"/>
      <c r="M469" s="79"/>
      <c r="R469" s="79"/>
      <c r="S469" s="79"/>
      <c r="V469" s="79"/>
      <c r="W469" s="79"/>
      <c r="Z469" s="130"/>
      <c r="AB469" s="106"/>
    </row>
    <row r="470">
      <c r="C470" s="79"/>
      <c r="D470" s="79"/>
      <c r="E470" s="79"/>
      <c r="M470" s="79"/>
      <c r="R470" s="79"/>
      <c r="S470" s="79"/>
      <c r="V470" s="79"/>
      <c r="W470" s="79"/>
      <c r="Z470" s="130"/>
      <c r="AB470" s="106"/>
    </row>
    <row r="471">
      <c r="C471" s="79"/>
      <c r="D471" s="79"/>
      <c r="E471" s="79"/>
      <c r="M471" s="79"/>
      <c r="R471" s="79"/>
      <c r="S471" s="79"/>
      <c r="V471" s="79"/>
      <c r="W471" s="79"/>
      <c r="Z471" s="130"/>
      <c r="AB471" s="106"/>
    </row>
    <row r="472">
      <c r="C472" s="79"/>
      <c r="D472" s="79"/>
      <c r="E472" s="79"/>
      <c r="M472" s="79"/>
      <c r="R472" s="79"/>
      <c r="S472" s="79"/>
      <c r="V472" s="79"/>
      <c r="W472" s="79"/>
      <c r="Z472" s="130"/>
      <c r="AB472" s="106"/>
    </row>
    <row r="473">
      <c r="C473" s="79"/>
      <c r="D473" s="79"/>
      <c r="E473" s="79"/>
      <c r="M473" s="79"/>
      <c r="R473" s="79"/>
      <c r="S473" s="79"/>
      <c r="V473" s="79"/>
      <c r="W473" s="79"/>
      <c r="Z473" s="130"/>
      <c r="AB473" s="106"/>
    </row>
    <row r="474">
      <c r="C474" s="79"/>
      <c r="D474" s="79"/>
      <c r="E474" s="79"/>
      <c r="M474" s="79"/>
      <c r="R474" s="79"/>
      <c r="S474" s="79"/>
      <c r="V474" s="79"/>
      <c r="W474" s="79"/>
      <c r="Z474" s="130"/>
      <c r="AB474" s="106"/>
    </row>
    <row r="475">
      <c r="C475" s="79"/>
      <c r="D475" s="79"/>
      <c r="E475" s="79"/>
      <c r="M475" s="79"/>
      <c r="R475" s="79"/>
      <c r="S475" s="79"/>
      <c r="V475" s="79"/>
      <c r="W475" s="79"/>
      <c r="Z475" s="130"/>
      <c r="AB475" s="106"/>
    </row>
    <row r="476">
      <c r="C476" s="79"/>
      <c r="D476" s="79"/>
      <c r="E476" s="79"/>
      <c r="M476" s="79"/>
      <c r="R476" s="79"/>
      <c r="S476" s="79"/>
      <c r="V476" s="79"/>
      <c r="W476" s="79"/>
      <c r="Z476" s="130"/>
      <c r="AB476" s="106"/>
    </row>
    <row r="477">
      <c r="C477" s="79"/>
      <c r="D477" s="79"/>
      <c r="E477" s="79"/>
      <c r="M477" s="79"/>
      <c r="R477" s="79"/>
      <c r="S477" s="79"/>
      <c r="V477" s="79"/>
      <c r="W477" s="79"/>
      <c r="Z477" s="130"/>
      <c r="AB477" s="106"/>
    </row>
    <row r="478">
      <c r="C478" s="79"/>
      <c r="D478" s="79"/>
      <c r="E478" s="79"/>
      <c r="M478" s="79"/>
      <c r="R478" s="79"/>
      <c r="S478" s="79"/>
      <c r="V478" s="79"/>
      <c r="W478" s="79"/>
      <c r="Z478" s="130"/>
      <c r="AB478" s="106"/>
    </row>
    <row r="479">
      <c r="C479" s="79"/>
      <c r="D479" s="79"/>
      <c r="E479" s="79"/>
      <c r="M479" s="79"/>
      <c r="R479" s="79"/>
      <c r="S479" s="79"/>
      <c r="V479" s="79"/>
      <c r="W479" s="79"/>
      <c r="Z479" s="130"/>
      <c r="AB479" s="106"/>
    </row>
    <row r="480">
      <c r="C480" s="79"/>
      <c r="D480" s="79"/>
      <c r="E480" s="79"/>
      <c r="M480" s="79"/>
      <c r="R480" s="79"/>
      <c r="S480" s="79"/>
      <c r="V480" s="79"/>
      <c r="W480" s="79"/>
      <c r="Z480" s="130"/>
      <c r="AB480" s="106"/>
    </row>
    <row r="481">
      <c r="C481" s="79"/>
      <c r="D481" s="79"/>
      <c r="E481" s="79"/>
      <c r="M481" s="79"/>
      <c r="R481" s="79"/>
      <c r="S481" s="79"/>
      <c r="V481" s="79"/>
      <c r="W481" s="79"/>
      <c r="Z481" s="130"/>
      <c r="AB481" s="106"/>
    </row>
    <row r="482">
      <c r="C482" s="79"/>
      <c r="D482" s="79"/>
      <c r="E482" s="79"/>
      <c r="M482" s="79"/>
      <c r="R482" s="79"/>
      <c r="S482" s="79"/>
      <c r="V482" s="79"/>
      <c r="W482" s="79"/>
      <c r="Z482" s="130"/>
      <c r="AB482" s="106"/>
    </row>
    <row r="483">
      <c r="C483" s="79"/>
      <c r="D483" s="79"/>
      <c r="E483" s="79"/>
      <c r="M483" s="79"/>
      <c r="R483" s="79"/>
      <c r="S483" s="79"/>
      <c r="V483" s="79"/>
      <c r="W483" s="79"/>
      <c r="Z483" s="130"/>
      <c r="AB483" s="106"/>
    </row>
    <row r="484">
      <c r="C484" s="79"/>
      <c r="D484" s="79"/>
      <c r="E484" s="79"/>
      <c r="M484" s="79"/>
      <c r="R484" s="79"/>
      <c r="S484" s="79"/>
      <c r="V484" s="79"/>
      <c r="W484" s="79"/>
      <c r="Z484" s="130"/>
      <c r="AB484" s="106"/>
    </row>
    <row r="485">
      <c r="C485" s="79"/>
      <c r="D485" s="79"/>
      <c r="E485" s="79"/>
      <c r="M485" s="79"/>
      <c r="R485" s="79"/>
      <c r="S485" s="79"/>
      <c r="V485" s="79"/>
      <c r="W485" s="79"/>
      <c r="Z485" s="130"/>
      <c r="AB485" s="106"/>
    </row>
    <row r="486">
      <c r="C486" s="79"/>
      <c r="D486" s="79"/>
      <c r="E486" s="79"/>
      <c r="M486" s="79"/>
      <c r="R486" s="79"/>
      <c r="S486" s="79"/>
      <c r="V486" s="79"/>
      <c r="W486" s="79"/>
      <c r="Z486" s="130"/>
      <c r="AB486" s="106"/>
    </row>
    <row r="487">
      <c r="C487" s="79"/>
      <c r="D487" s="79"/>
      <c r="E487" s="79"/>
      <c r="M487" s="79"/>
      <c r="R487" s="79"/>
      <c r="S487" s="79"/>
      <c r="V487" s="79"/>
      <c r="W487" s="79"/>
      <c r="Z487" s="130"/>
      <c r="AB487" s="106"/>
    </row>
    <row r="488">
      <c r="C488" s="79"/>
      <c r="D488" s="79"/>
      <c r="E488" s="79"/>
      <c r="M488" s="79"/>
      <c r="R488" s="79"/>
      <c r="S488" s="79"/>
      <c r="V488" s="79"/>
      <c r="W488" s="79"/>
      <c r="Z488" s="130"/>
      <c r="AB488" s="106"/>
    </row>
    <row r="489">
      <c r="C489" s="79"/>
      <c r="D489" s="79"/>
      <c r="E489" s="79"/>
      <c r="M489" s="79"/>
      <c r="R489" s="79"/>
      <c r="S489" s="79"/>
      <c r="V489" s="79"/>
      <c r="W489" s="79"/>
      <c r="Z489" s="130"/>
      <c r="AB489" s="106"/>
    </row>
    <row r="490">
      <c r="C490" s="79"/>
      <c r="D490" s="79"/>
      <c r="E490" s="79"/>
      <c r="M490" s="79"/>
      <c r="R490" s="79"/>
      <c r="S490" s="79"/>
      <c r="V490" s="79"/>
      <c r="W490" s="79"/>
      <c r="Z490" s="130"/>
      <c r="AB490" s="106"/>
    </row>
    <row r="491">
      <c r="C491" s="79"/>
      <c r="D491" s="79"/>
      <c r="E491" s="79"/>
      <c r="M491" s="79"/>
      <c r="R491" s="79"/>
      <c r="S491" s="79"/>
      <c r="V491" s="79"/>
      <c r="W491" s="79"/>
      <c r="Z491" s="130"/>
      <c r="AB491" s="106"/>
    </row>
    <row r="492">
      <c r="C492" s="79"/>
      <c r="D492" s="79"/>
      <c r="E492" s="79"/>
      <c r="M492" s="79"/>
      <c r="R492" s="79"/>
      <c r="S492" s="79"/>
      <c r="V492" s="79"/>
      <c r="W492" s="79"/>
      <c r="Z492" s="130"/>
      <c r="AB492" s="106"/>
    </row>
    <row r="493">
      <c r="C493" s="79"/>
      <c r="D493" s="79"/>
      <c r="E493" s="79"/>
      <c r="M493" s="79"/>
      <c r="R493" s="79"/>
      <c r="S493" s="79"/>
      <c r="V493" s="79"/>
      <c r="W493" s="79"/>
      <c r="Z493" s="130"/>
      <c r="AB493" s="106"/>
    </row>
    <row r="494">
      <c r="C494" s="79"/>
      <c r="D494" s="79"/>
      <c r="E494" s="79"/>
      <c r="M494" s="79"/>
      <c r="R494" s="79"/>
      <c r="S494" s="79"/>
      <c r="V494" s="79"/>
      <c r="W494" s="79"/>
      <c r="Z494" s="130"/>
      <c r="AB494" s="106"/>
    </row>
    <row r="495">
      <c r="C495" s="79"/>
      <c r="D495" s="79"/>
      <c r="E495" s="79"/>
      <c r="M495" s="79"/>
      <c r="R495" s="79"/>
      <c r="S495" s="79"/>
      <c r="V495" s="79"/>
      <c r="W495" s="79"/>
      <c r="Z495" s="130"/>
      <c r="AB495" s="106"/>
    </row>
    <row r="496">
      <c r="C496" s="79"/>
      <c r="D496" s="79"/>
      <c r="E496" s="79"/>
      <c r="M496" s="79"/>
      <c r="R496" s="79"/>
      <c r="S496" s="79"/>
      <c r="V496" s="79"/>
      <c r="W496" s="79"/>
      <c r="Z496" s="130"/>
      <c r="AB496" s="106"/>
    </row>
    <row r="497">
      <c r="C497" s="79"/>
      <c r="D497" s="79"/>
      <c r="E497" s="79"/>
      <c r="M497" s="79"/>
      <c r="R497" s="79"/>
      <c r="S497" s="79"/>
      <c r="V497" s="79"/>
      <c r="W497" s="79"/>
      <c r="Z497" s="130"/>
      <c r="AB497" s="106"/>
    </row>
    <row r="498">
      <c r="C498" s="79"/>
      <c r="D498" s="79"/>
      <c r="E498" s="79"/>
      <c r="M498" s="79"/>
      <c r="R498" s="79"/>
      <c r="S498" s="79"/>
      <c r="V498" s="79"/>
      <c r="W498" s="79"/>
      <c r="Z498" s="130"/>
      <c r="AB498" s="106"/>
    </row>
    <row r="499">
      <c r="C499" s="79"/>
      <c r="D499" s="79"/>
      <c r="E499" s="79"/>
      <c r="M499" s="79"/>
      <c r="R499" s="79"/>
      <c r="S499" s="79"/>
      <c r="V499" s="79"/>
      <c r="W499" s="79"/>
      <c r="Z499" s="130"/>
      <c r="AB499" s="106"/>
    </row>
    <row r="500">
      <c r="C500" s="79"/>
      <c r="D500" s="79"/>
      <c r="E500" s="79"/>
      <c r="M500" s="79"/>
      <c r="R500" s="79"/>
      <c r="S500" s="79"/>
      <c r="V500" s="79"/>
      <c r="W500" s="79"/>
      <c r="Z500" s="130"/>
      <c r="AB500" s="106"/>
    </row>
    <row r="501">
      <c r="C501" s="79"/>
      <c r="D501" s="79"/>
      <c r="E501" s="79"/>
      <c r="M501" s="79"/>
      <c r="R501" s="79"/>
      <c r="S501" s="79"/>
      <c r="V501" s="79"/>
      <c r="W501" s="79"/>
      <c r="Z501" s="130"/>
      <c r="AB501" s="106"/>
    </row>
    <row r="502">
      <c r="C502" s="79"/>
      <c r="D502" s="79"/>
      <c r="E502" s="79"/>
      <c r="M502" s="79"/>
      <c r="R502" s="79"/>
      <c r="S502" s="79"/>
      <c r="V502" s="79"/>
      <c r="W502" s="79"/>
      <c r="Z502" s="130"/>
      <c r="AB502" s="106"/>
    </row>
    <row r="503">
      <c r="C503" s="79"/>
      <c r="D503" s="79"/>
      <c r="E503" s="79"/>
      <c r="M503" s="79"/>
      <c r="R503" s="79"/>
      <c r="S503" s="79"/>
      <c r="V503" s="79"/>
      <c r="W503" s="79"/>
      <c r="Z503" s="130"/>
      <c r="AB503" s="106"/>
    </row>
    <row r="504">
      <c r="C504" s="79"/>
      <c r="D504" s="79"/>
      <c r="E504" s="79"/>
      <c r="M504" s="79"/>
      <c r="R504" s="79"/>
      <c r="S504" s="79"/>
      <c r="V504" s="79"/>
      <c r="W504" s="79"/>
      <c r="Z504" s="130"/>
      <c r="AB504" s="106"/>
    </row>
    <row r="505">
      <c r="C505" s="79"/>
      <c r="D505" s="79"/>
      <c r="E505" s="79"/>
      <c r="M505" s="79"/>
      <c r="R505" s="79"/>
      <c r="S505" s="79"/>
      <c r="V505" s="79"/>
      <c r="W505" s="79"/>
      <c r="Z505" s="130"/>
      <c r="AB505" s="106"/>
    </row>
    <row r="506">
      <c r="C506" s="79"/>
      <c r="D506" s="79"/>
      <c r="E506" s="79"/>
      <c r="M506" s="79"/>
      <c r="R506" s="79"/>
      <c r="S506" s="79"/>
      <c r="V506" s="79"/>
      <c r="W506" s="79"/>
      <c r="Z506" s="130"/>
      <c r="AB506" s="106"/>
    </row>
    <row r="507">
      <c r="C507" s="79"/>
      <c r="D507" s="79"/>
      <c r="E507" s="79"/>
      <c r="M507" s="79"/>
      <c r="R507" s="79"/>
      <c r="S507" s="79"/>
      <c r="V507" s="79"/>
      <c r="W507" s="79"/>
      <c r="Z507" s="130"/>
      <c r="AB507" s="106"/>
    </row>
    <row r="508">
      <c r="C508" s="79"/>
      <c r="D508" s="79"/>
      <c r="E508" s="79"/>
      <c r="M508" s="79"/>
      <c r="R508" s="79"/>
      <c r="S508" s="79"/>
      <c r="V508" s="79"/>
      <c r="W508" s="79"/>
      <c r="Z508" s="130"/>
      <c r="AB508" s="106"/>
    </row>
    <row r="509">
      <c r="C509" s="79"/>
      <c r="D509" s="79"/>
      <c r="E509" s="79"/>
      <c r="M509" s="79"/>
      <c r="R509" s="79"/>
      <c r="S509" s="79"/>
      <c r="V509" s="79"/>
      <c r="W509" s="79"/>
      <c r="Z509" s="130"/>
      <c r="AB509" s="106"/>
    </row>
    <row r="510">
      <c r="C510" s="79"/>
      <c r="D510" s="79"/>
      <c r="E510" s="79"/>
      <c r="M510" s="79"/>
      <c r="R510" s="79"/>
      <c r="S510" s="79"/>
      <c r="V510" s="79"/>
      <c r="W510" s="79"/>
      <c r="Z510" s="130"/>
      <c r="AB510" s="106"/>
    </row>
    <row r="511">
      <c r="C511" s="79"/>
      <c r="D511" s="79"/>
      <c r="E511" s="79"/>
      <c r="M511" s="79"/>
      <c r="R511" s="79"/>
      <c r="S511" s="79"/>
      <c r="V511" s="79"/>
      <c r="W511" s="79"/>
      <c r="Z511" s="130"/>
      <c r="AB511" s="106"/>
    </row>
    <row r="512">
      <c r="C512" s="79"/>
      <c r="D512" s="79"/>
      <c r="E512" s="79"/>
      <c r="M512" s="79"/>
      <c r="R512" s="79"/>
      <c r="S512" s="79"/>
      <c r="V512" s="79"/>
      <c r="W512" s="79"/>
      <c r="Z512" s="130"/>
      <c r="AB512" s="106"/>
    </row>
    <row r="513">
      <c r="C513" s="79"/>
      <c r="D513" s="79"/>
      <c r="E513" s="79"/>
      <c r="M513" s="79"/>
      <c r="R513" s="79"/>
      <c r="S513" s="79"/>
      <c r="V513" s="79"/>
      <c r="W513" s="79"/>
      <c r="Z513" s="130"/>
      <c r="AB513" s="106"/>
    </row>
    <row r="514">
      <c r="C514" s="79"/>
      <c r="D514" s="79"/>
      <c r="E514" s="79"/>
      <c r="M514" s="79"/>
      <c r="R514" s="79"/>
      <c r="S514" s="79"/>
      <c r="V514" s="79"/>
      <c r="W514" s="79"/>
      <c r="Z514" s="130"/>
      <c r="AB514" s="106"/>
    </row>
    <row r="515">
      <c r="C515" s="79"/>
      <c r="D515" s="79"/>
      <c r="E515" s="79"/>
      <c r="M515" s="79"/>
      <c r="R515" s="79"/>
      <c r="S515" s="79"/>
      <c r="V515" s="79"/>
      <c r="W515" s="79"/>
      <c r="Z515" s="130"/>
      <c r="AB515" s="106"/>
    </row>
    <row r="516">
      <c r="C516" s="79"/>
      <c r="D516" s="79"/>
      <c r="E516" s="79"/>
      <c r="M516" s="79"/>
      <c r="R516" s="79"/>
      <c r="S516" s="79"/>
      <c r="V516" s="79"/>
      <c r="W516" s="79"/>
      <c r="Z516" s="130"/>
      <c r="AB516" s="106"/>
    </row>
    <row r="517">
      <c r="C517" s="79"/>
      <c r="D517" s="79"/>
      <c r="E517" s="79"/>
      <c r="M517" s="79"/>
      <c r="R517" s="79"/>
      <c r="S517" s="79"/>
      <c r="V517" s="79"/>
      <c r="W517" s="79"/>
      <c r="Z517" s="130"/>
      <c r="AB517" s="106"/>
    </row>
    <row r="518">
      <c r="C518" s="79"/>
      <c r="D518" s="79"/>
      <c r="E518" s="79"/>
      <c r="M518" s="79"/>
      <c r="R518" s="79"/>
      <c r="S518" s="79"/>
      <c r="V518" s="79"/>
      <c r="W518" s="79"/>
      <c r="Z518" s="130"/>
      <c r="AB518" s="106"/>
    </row>
    <row r="519">
      <c r="C519" s="79"/>
      <c r="D519" s="79"/>
      <c r="E519" s="79"/>
      <c r="M519" s="79"/>
      <c r="R519" s="79"/>
      <c r="S519" s="79"/>
      <c r="V519" s="79"/>
      <c r="W519" s="79"/>
      <c r="Z519" s="130"/>
      <c r="AB519" s="106"/>
    </row>
    <row r="520">
      <c r="C520" s="79"/>
      <c r="D520" s="79"/>
      <c r="E520" s="79"/>
      <c r="M520" s="79"/>
      <c r="R520" s="79"/>
      <c r="S520" s="79"/>
      <c r="V520" s="79"/>
      <c r="W520" s="79"/>
      <c r="Z520" s="130"/>
      <c r="AB520" s="106"/>
    </row>
    <row r="521">
      <c r="C521" s="79"/>
      <c r="D521" s="79"/>
      <c r="E521" s="79"/>
      <c r="M521" s="79"/>
      <c r="R521" s="79"/>
      <c r="S521" s="79"/>
      <c r="V521" s="79"/>
      <c r="W521" s="79"/>
      <c r="Z521" s="130"/>
      <c r="AB521" s="106"/>
    </row>
    <row r="522">
      <c r="C522" s="79"/>
      <c r="D522" s="79"/>
      <c r="E522" s="79"/>
      <c r="M522" s="79"/>
      <c r="R522" s="79"/>
      <c r="S522" s="79"/>
      <c r="V522" s="79"/>
      <c r="W522" s="79"/>
      <c r="Z522" s="130"/>
      <c r="AB522" s="106"/>
    </row>
    <row r="523">
      <c r="C523" s="79"/>
      <c r="D523" s="79"/>
      <c r="E523" s="79"/>
      <c r="M523" s="79"/>
      <c r="R523" s="79"/>
      <c r="S523" s="79"/>
      <c r="V523" s="79"/>
      <c r="W523" s="79"/>
      <c r="Z523" s="130"/>
      <c r="AB523" s="106"/>
    </row>
    <row r="524">
      <c r="C524" s="79"/>
      <c r="D524" s="79"/>
      <c r="E524" s="79"/>
      <c r="M524" s="79"/>
      <c r="R524" s="79"/>
      <c r="S524" s="79"/>
      <c r="V524" s="79"/>
      <c r="W524" s="79"/>
      <c r="Z524" s="130"/>
      <c r="AB524" s="106"/>
    </row>
    <row r="525">
      <c r="C525" s="79"/>
      <c r="D525" s="79"/>
      <c r="E525" s="79"/>
      <c r="M525" s="79"/>
      <c r="R525" s="79"/>
      <c r="S525" s="79"/>
      <c r="V525" s="79"/>
      <c r="W525" s="79"/>
      <c r="Z525" s="130"/>
      <c r="AB525" s="106"/>
    </row>
    <row r="526">
      <c r="C526" s="79"/>
      <c r="D526" s="79"/>
      <c r="E526" s="79"/>
      <c r="M526" s="79"/>
      <c r="R526" s="79"/>
      <c r="S526" s="79"/>
      <c r="V526" s="79"/>
      <c r="W526" s="79"/>
      <c r="Z526" s="130"/>
      <c r="AB526" s="106"/>
    </row>
    <row r="527">
      <c r="C527" s="79"/>
      <c r="D527" s="79"/>
      <c r="E527" s="79"/>
      <c r="M527" s="79"/>
      <c r="R527" s="79"/>
      <c r="S527" s="79"/>
      <c r="V527" s="79"/>
      <c r="W527" s="79"/>
      <c r="Z527" s="130"/>
      <c r="AB527" s="106"/>
    </row>
    <row r="528">
      <c r="C528" s="79"/>
      <c r="D528" s="79"/>
      <c r="E528" s="79"/>
      <c r="M528" s="79"/>
      <c r="R528" s="79"/>
      <c r="S528" s="79"/>
      <c r="V528" s="79"/>
      <c r="W528" s="79"/>
      <c r="Z528" s="130"/>
      <c r="AB528" s="106"/>
    </row>
    <row r="529">
      <c r="C529" s="79"/>
      <c r="D529" s="79"/>
      <c r="E529" s="79"/>
      <c r="M529" s="79"/>
      <c r="R529" s="79"/>
      <c r="S529" s="79"/>
      <c r="V529" s="79"/>
      <c r="W529" s="79"/>
      <c r="Z529" s="130"/>
      <c r="AB529" s="106"/>
    </row>
    <row r="530">
      <c r="C530" s="79"/>
      <c r="D530" s="79"/>
      <c r="E530" s="79"/>
      <c r="M530" s="79"/>
      <c r="R530" s="79"/>
      <c r="S530" s="79"/>
      <c r="V530" s="79"/>
      <c r="W530" s="79"/>
      <c r="Z530" s="130"/>
      <c r="AB530" s="106"/>
    </row>
    <row r="531">
      <c r="C531" s="79"/>
      <c r="D531" s="79"/>
      <c r="E531" s="79"/>
      <c r="M531" s="79"/>
      <c r="R531" s="79"/>
      <c r="S531" s="79"/>
      <c r="V531" s="79"/>
      <c r="W531" s="79"/>
      <c r="Z531" s="130"/>
      <c r="AB531" s="106"/>
    </row>
    <row r="532">
      <c r="C532" s="79"/>
      <c r="D532" s="79"/>
      <c r="E532" s="79"/>
      <c r="M532" s="79"/>
      <c r="R532" s="79"/>
      <c r="S532" s="79"/>
      <c r="V532" s="79"/>
      <c r="W532" s="79"/>
      <c r="Z532" s="130"/>
      <c r="AB532" s="106"/>
    </row>
    <row r="533">
      <c r="C533" s="79"/>
      <c r="D533" s="79"/>
      <c r="E533" s="79"/>
      <c r="M533" s="79"/>
      <c r="R533" s="79"/>
      <c r="S533" s="79"/>
      <c r="V533" s="79"/>
      <c r="W533" s="79"/>
      <c r="Z533" s="130"/>
      <c r="AB533" s="106"/>
    </row>
    <row r="534">
      <c r="C534" s="79"/>
      <c r="D534" s="79"/>
      <c r="E534" s="79"/>
      <c r="M534" s="79"/>
      <c r="R534" s="79"/>
      <c r="S534" s="79"/>
      <c r="V534" s="79"/>
      <c r="W534" s="79"/>
      <c r="Z534" s="130"/>
      <c r="AB534" s="106"/>
    </row>
    <row r="535">
      <c r="C535" s="79"/>
      <c r="D535" s="79"/>
      <c r="E535" s="79"/>
      <c r="M535" s="79"/>
      <c r="R535" s="79"/>
      <c r="S535" s="79"/>
      <c r="V535" s="79"/>
      <c r="W535" s="79"/>
      <c r="Z535" s="130"/>
      <c r="AB535" s="106"/>
    </row>
    <row r="536">
      <c r="C536" s="79"/>
      <c r="D536" s="79"/>
      <c r="E536" s="79"/>
      <c r="M536" s="79"/>
      <c r="R536" s="79"/>
      <c r="S536" s="79"/>
      <c r="V536" s="79"/>
      <c r="W536" s="79"/>
      <c r="Z536" s="130"/>
      <c r="AB536" s="106"/>
    </row>
    <row r="537">
      <c r="C537" s="79"/>
      <c r="D537" s="79"/>
      <c r="E537" s="79"/>
      <c r="M537" s="79"/>
      <c r="R537" s="79"/>
      <c r="S537" s="79"/>
      <c r="V537" s="79"/>
      <c r="W537" s="79"/>
      <c r="Z537" s="130"/>
      <c r="AB537" s="106"/>
    </row>
    <row r="538">
      <c r="C538" s="79"/>
      <c r="D538" s="79"/>
      <c r="E538" s="79"/>
      <c r="M538" s="79"/>
      <c r="R538" s="79"/>
      <c r="S538" s="79"/>
      <c r="V538" s="79"/>
      <c r="W538" s="79"/>
      <c r="Z538" s="130"/>
      <c r="AB538" s="106"/>
    </row>
    <row r="539">
      <c r="C539" s="79"/>
      <c r="D539" s="79"/>
      <c r="E539" s="79"/>
      <c r="M539" s="79"/>
      <c r="R539" s="79"/>
      <c r="S539" s="79"/>
      <c r="V539" s="79"/>
      <c r="W539" s="79"/>
      <c r="Z539" s="130"/>
      <c r="AB539" s="106"/>
    </row>
    <row r="540">
      <c r="C540" s="79"/>
      <c r="D540" s="79"/>
      <c r="E540" s="79"/>
      <c r="M540" s="79"/>
      <c r="R540" s="79"/>
      <c r="S540" s="79"/>
      <c r="V540" s="79"/>
      <c r="W540" s="79"/>
      <c r="Z540" s="130"/>
      <c r="AB540" s="106"/>
    </row>
    <row r="541">
      <c r="C541" s="79"/>
      <c r="D541" s="79"/>
      <c r="E541" s="79"/>
      <c r="M541" s="79"/>
      <c r="R541" s="79"/>
      <c r="S541" s="79"/>
      <c r="V541" s="79"/>
      <c r="W541" s="79"/>
      <c r="Z541" s="130"/>
      <c r="AB541" s="106"/>
    </row>
    <row r="542">
      <c r="C542" s="79"/>
      <c r="D542" s="79"/>
      <c r="E542" s="79"/>
      <c r="M542" s="79"/>
      <c r="R542" s="79"/>
      <c r="S542" s="79"/>
      <c r="V542" s="79"/>
      <c r="W542" s="79"/>
      <c r="Z542" s="130"/>
      <c r="AB542" s="106"/>
    </row>
    <row r="543">
      <c r="C543" s="79"/>
      <c r="D543" s="79"/>
      <c r="E543" s="79"/>
      <c r="M543" s="79"/>
      <c r="R543" s="79"/>
      <c r="S543" s="79"/>
      <c r="V543" s="79"/>
      <c r="W543" s="79"/>
      <c r="Z543" s="130"/>
      <c r="AB543" s="106"/>
    </row>
    <row r="544">
      <c r="C544" s="79"/>
      <c r="D544" s="79"/>
      <c r="E544" s="79"/>
      <c r="M544" s="79"/>
      <c r="R544" s="79"/>
      <c r="S544" s="79"/>
      <c r="V544" s="79"/>
      <c r="W544" s="79"/>
      <c r="Z544" s="130"/>
      <c r="AB544" s="106"/>
    </row>
    <row r="545">
      <c r="C545" s="79"/>
      <c r="D545" s="79"/>
      <c r="E545" s="79"/>
      <c r="M545" s="79"/>
      <c r="R545" s="79"/>
      <c r="S545" s="79"/>
      <c r="V545" s="79"/>
      <c r="W545" s="79"/>
      <c r="Z545" s="130"/>
      <c r="AB545" s="106"/>
    </row>
    <row r="546">
      <c r="C546" s="79"/>
      <c r="D546" s="79"/>
      <c r="E546" s="79"/>
      <c r="M546" s="79"/>
      <c r="R546" s="79"/>
      <c r="S546" s="79"/>
      <c r="V546" s="79"/>
      <c r="W546" s="79"/>
      <c r="Z546" s="130"/>
      <c r="AB546" s="106"/>
    </row>
    <row r="547">
      <c r="C547" s="79"/>
      <c r="D547" s="79"/>
      <c r="E547" s="79"/>
      <c r="M547" s="79"/>
      <c r="R547" s="79"/>
      <c r="S547" s="79"/>
      <c r="V547" s="79"/>
      <c r="W547" s="79"/>
      <c r="Z547" s="130"/>
      <c r="AB547" s="106"/>
    </row>
    <row r="548">
      <c r="C548" s="79"/>
      <c r="D548" s="79"/>
      <c r="E548" s="79"/>
      <c r="M548" s="79"/>
      <c r="R548" s="79"/>
      <c r="S548" s="79"/>
      <c r="V548" s="79"/>
      <c r="W548" s="79"/>
      <c r="Z548" s="130"/>
      <c r="AB548" s="106"/>
    </row>
    <row r="549">
      <c r="C549" s="79"/>
      <c r="D549" s="79"/>
      <c r="E549" s="79"/>
      <c r="M549" s="79"/>
      <c r="R549" s="79"/>
      <c r="S549" s="79"/>
      <c r="V549" s="79"/>
      <c r="W549" s="79"/>
      <c r="Z549" s="130"/>
      <c r="AB549" s="106"/>
    </row>
    <row r="550">
      <c r="C550" s="79"/>
      <c r="D550" s="79"/>
      <c r="E550" s="79"/>
      <c r="M550" s="79"/>
      <c r="R550" s="79"/>
      <c r="S550" s="79"/>
      <c r="V550" s="79"/>
      <c r="W550" s="79"/>
      <c r="Z550" s="130"/>
      <c r="AB550" s="106"/>
    </row>
    <row r="551">
      <c r="C551" s="79"/>
      <c r="D551" s="79"/>
      <c r="E551" s="79"/>
      <c r="M551" s="79"/>
      <c r="R551" s="79"/>
      <c r="S551" s="79"/>
      <c r="V551" s="79"/>
      <c r="W551" s="79"/>
      <c r="Z551" s="130"/>
      <c r="AB551" s="106"/>
    </row>
    <row r="552">
      <c r="C552" s="79"/>
      <c r="D552" s="79"/>
      <c r="E552" s="79"/>
      <c r="M552" s="79"/>
      <c r="R552" s="79"/>
      <c r="S552" s="79"/>
      <c r="V552" s="79"/>
      <c r="W552" s="79"/>
      <c r="Z552" s="130"/>
      <c r="AB552" s="106"/>
    </row>
    <row r="553">
      <c r="C553" s="79"/>
      <c r="D553" s="79"/>
      <c r="E553" s="79"/>
      <c r="M553" s="79"/>
      <c r="R553" s="79"/>
      <c r="S553" s="79"/>
      <c r="V553" s="79"/>
      <c r="W553" s="79"/>
      <c r="Z553" s="130"/>
      <c r="AB553" s="106"/>
    </row>
    <row r="554">
      <c r="C554" s="79"/>
      <c r="D554" s="79"/>
      <c r="E554" s="79"/>
      <c r="M554" s="79"/>
      <c r="R554" s="79"/>
      <c r="S554" s="79"/>
      <c r="V554" s="79"/>
      <c r="W554" s="79"/>
      <c r="Z554" s="130"/>
      <c r="AB554" s="106"/>
    </row>
    <row r="555">
      <c r="C555" s="79"/>
      <c r="D555" s="79"/>
      <c r="E555" s="79"/>
      <c r="M555" s="79"/>
      <c r="R555" s="79"/>
      <c r="S555" s="79"/>
      <c r="V555" s="79"/>
      <c r="W555" s="79"/>
      <c r="Z555" s="130"/>
      <c r="AB555" s="106"/>
    </row>
    <row r="556">
      <c r="C556" s="79"/>
      <c r="D556" s="79"/>
      <c r="E556" s="79"/>
      <c r="M556" s="79"/>
      <c r="R556" s="79"/>
      <c r="S556" s="79"/>
      <c r="V556" s="79"/>
      <c r="W556" s="79"/>
      <c r="Z556" s="130"/>
      <c r="AB556" s="106"/>
    </row>
    <row r="557">
      <c r="C557" s="79"/>
      <c r="D557" s="79"/>
      <c r="E557" s="79"/>
      <c r="M557" s="79"/>
      <c r="R557" s="79"/>
      <c r="S557" s="79"/>
      <c r="V557" s="79"/>
      <c r="W557" s="79"/>
      <c r="Z557" s="130"/>
      <c r="AB557" s="106"/>
    </row>
    <row r="558">
      <c r="C558" s="79"/>
      <c r="D558" s="79"/>
      <c r="E558" s="79"/>
      <c r="M558" s="79"/>
      <c r="R558" s="79"/>
      <c r="S558" s="79"/>
      <c r="V558" s="79"/>
      <c r="W558" s="79"/>
      <c r="Z558" s="130"/>
      <c r="AB558" s="106"/>
    </row>
    <row r="559">
      <c r="C559" s="79"/>
      <c r="D559" s="79"/>
      <c r="E559" s="79"/>
      <c r="M559" s="79"/>
      <c r="R559" s="79"/>
      <c r="S559" s="79"/>
      <c r="V559" s="79"/>
      <c r="W559" s="79"/>
      <c r="Z559" s="130"/>
      <c r="AB559" s="106"/>
    </row>
    <row r="560">
      <c r="C560" s="79"/>
      <c r="D560" s="79"/>
      <c r="E560" s="79"/>
      <c r="M560" s="79"/>
      <c r="R560" s="79"/>
      <c r="S560" s="79"/>
      <c r="V560" s="79"/>
      <c r="W560" s="79"/>
      <c r="Z560" s="130"/>
      <c r="AB560" s="106"/>
    </row>
    <row r="561">
      <c r="C561" s="79"/>
      <c r="D561" s="79"/>
      <c r="E561" s="79"/>
      <c r="M561" s="79"/>
      <c r="R561" s="79"/>
      <c r="S561" s="79"/>
      <c r="V561" s="79"/>
      <c r="W561" s="79"/>
      <c r="Z561" s="130"/>
      <c r="AB561" s="106"/>
    </row>
    <row r="562">
      <c r="C562" s="79"/>
      <c r="D562" s="79"/>
      <c r="E562" s="79"/>
      <c r="M562" s="79"/>
      <c r="R562" s="79"/>
      <c r="S562" s="79"/>
      <c r="V562" s="79"/>
      <c r="W562" s="79"/>
      <c r="Z562" s="130"/>
      <c r="AB562" s="106"/>
    </row>
    <row r="563">
      <c r="C563" s="79"/>
      <c r="D563" s="79"/>
      <c r="E563" s="79"/>
      <c r="M563" s="79"/>
      <c r="R563" s="79"/>
      <c r="S563" s="79"/>
      <c r="V563" s="79"/>
      <c r="W563" s="79"/>
      <c r="Z563" s="130"/>
      <c r="AB563" s="106"/>
    </row>
    <row r="564">
      <c r="C564" s="79"/>
      <c r="D564" s="79"/>
      <c r="E564" s="79"/>
      <c r="M564" s="79"/>
      <c r="R564" s="79"/>
      <c r="S564" s="79"/>
      <c r="V564" s="79"/>
      <c r="W564" s="79"/>
      <c r="Z564" s="130"/>
      <c r="AB564" s="106"/>
    </row>
    <row r="565">
      <c r="C565" s="79"/>
      <c r="D565" s="79"/>
      <c r="E565" s="79"/>
      <c r="M565" s="79"/>
      <c r="R565" s="79"/>
      <c r="S565" s="79"/>
      <c r="V565" s="79"/>
      <c r="W565" s="79"/>
      <c r="Z565" s="130"/>
      <c r="AB565" s="106"/>
    </row>
    <row r="566">
      <c r="C566" s="79"/>
      <c r="D566" s="79"/>
      <c r="E566" s="79"/>
      <c r="M566" s="79"/>
      <c r="R566" s="79"/>
      <c r="S566" s="79"/>
      <c r="V566" s="79"/>
      <c r="W566" s="79"/>
      <c r="Z566" s="130"/>
      <c r="AB566" s="106"/>
    </row>
    <row r="567">
      <c r="C567" s="79"/>
      <c r="D567" s="79"/>
      <c r="E567" s="79"/>
      <c r="M567" s="79"/>
      <c r="R567" s="79"/>
      <c r="S567" s="79"/>
      <c r="V567" s="79"/>
      <c r="W567" s="79"/>
      <c r="Z567" s="130"/>
      <c r="AB567" s="106"/>
    </row>
    <row r="568">
      <c r="C568" s="79"/>
      <c r="D568" s="79"/>
      <c r="E568" s="79"/>
      <c r="M568" s="79"/>
      <c r="R568" s="79"/>
      <c r="S568" s="79"/>
      <c r="V568" s="79"/>
      <c r="W568" s="79"/>
      <c r="Z568" s="130"/>
      <c r="AB568" s="106"/>
    </row>
    <row r="569">
      <c r="C569" s="79"/>
      <c r="D569" s="79"/>
      <c r="E569" s="79"/>
      <c r="M569" s="79"/>
      <c r="R569" s="79"/>
      <c r="S569" s="79"/>
      <c r="V569" s="79"/>
      <c r="W569" s="79"/>
      <c r="Z569" s="130"/>
      <c r="AB569" s="106"/>
    </row>
    <row r="570">
      <c r="C570" s="79"/>
      <c r="D570" s="79"/>
      <c r="E570" s="79"/>
      <c r="M570" s="79"/>
      <c r="R570" s="79"/>
      <c r="S570" s="79"/>
      <c r="V570" s="79"/>
      <c r="W570" s="79"/>
      <c r="Z570" s="130"/>
      <c r="AB570" s="106"/>
    </row>
    <row r="571">
      <c r="C571" s="79"/>
      <c r="D571" s="79"/>
      <c r="E571" s="79"/>
      <c r="M571" s="79"/>
      <c r="R571" s="79"/>
      <c r="S571" s="79"/>
      <c r="V571" s="79"/>
      <c r="W571" s="79"/>
      <c r="Z571" s="130"/>
      <c r="AB571" s="106"/>
    </row>
    <row r="572">
      <c r="C572" s="79"/>
      <c r="D572" s="79"/>
      <c r="E572" s="79"/>
      <c r="M572" s="79"/>
      <c r="R572" s="79"/>
      <c r="S572" s="79"/>
      <c r="V572" s="79"/>
      <c r="W572" s="79"/>
      <c r="Z572" s="130"/>
      <c r="AB572" s="106"/>
    </row>
    <row r="573">
      <c r="C573" s="79"/>
      <c r="D573" s="79"/>
      <c r="E573" s="79"/>
      <c r="M573" s="79"/>
      <c r="R573" s="79"/>
      <c r="S573" s="79"/>
      <c r="V573" s="79"/>
      <c r="W573" s="79"/>
      <c r="Z573" s="130"/>
      <c r="AB573" s="106"/>
    </row>
    <row r="574">
      <c r="C574" s="79"/>
      <c r="D574" s="79"/>
      <c r="E574" s="79"/>
      <c r="M574" s="79"/>
      <c r="R574" s="79"/>
      <c r="S574" s="79"/>
      <c r="V574" s="79"/>
      <c r="W574" s="79"/>
      <c r="Z574" s="130"/>
      <c r="AB574" s="106"/>
    </row>
    <row r="575">
      <c r="C575" s="79"/>
      <c r="D575" s="79"/>
      <c r="E575" s="79"/>
      <c r="M575" s="79"/>
      <c r="R575" s="79"/>
      <c r="S575" s="79"/>
      <c r="V575" s="79"/>
      <c r="W575" s="79"/>
      <c r="Z575" s="130"/>
      <c r="AB575" s="106"/>
    </row>
    <row r="576">
      <c r="C576" s="79"/>
      <c r="D576" s="79"/>
      <c r="E576" s="79"/>
      <c r="M576" s="79"/>
      <c r="R576" s="79"/>
      <c r="S576" s="79"/>
      <c r="V576" s="79"/>
      <c r="W576" s="79"/>
      <c r="Z576" s="130"/>
      <c r="AB576" s="106"/>
    </row>
    <row r="577">
      <c r="C577" s="79"/>
      <c r="D577" s="79"/>
      <c r="E577" s="79"/>
      <c r="M577" s="79"/>
      <c r="R577" s="79"/>
      <c r="S577" s="79"/>
      <c r="V577" s="79"/>
      <c r="W577" s="79"/>
      <c r="Z577" s="130"/>
      <c r="AB577" s="106"/>
    </row>
    <row r="578">
      <c r="C578" s="79"/>
      <c r="D578" s="79"/>
      <c r="E578" s="79"/>
      <c r="M578" s="79"/>
      <c r="R578" s="79"/>
      <c r="S578" s="79"/>
      <c r="V578" s="79"/>
      <c r="W578" s="79"/>
      <c r="Z578" s="130"/>
      <c r="AB578" s="106"/>
    </row>
    <row r="579">
      <c r="C579" s="79"/>
      <c r="D579" s="79"/>
      <c r="E579" s="79"/>
      <c r="M579" s="79"/>
      <c r="R579" s="79"/>
      <c r="S579" s="79"/>
      <c r="V579" s="79"/>
      <c r="W579" s="79"/>
      <c r="Z579" s="130"/>
      <c r="AB579" s="106"/>
    </row>
    <row r="580">
      <c r="C580" s="79"/>
      <c r="D580" s="79"/>
      <c r="E580" s="79"/>
      <c r="M580" s="79"/>
      <c r="R580" s="79"/>
      <c r="S580" s="79"/>
      <c r="V580" s="79"/>
      <c r="W580" s="79"/>
      <c r="Z580" s="130"/>
      <c r="AB580" s="106"/>
    </row>
    <row r="581">
      <c r="C581" s="79"/>
      <c r="D581" s="79"/>
      <c r="E581" s="79"/>
      <c r="M581" s="79"/>
      <c r="R581" s="79"/>
      <c r="S581" s="79"/>
      <c r="V581" s="79"/>
      <c r="W581" s="79"/>
      <c r="Z581" s="130"/>
      <c r="AB581" s="106"/>
    </row>
    <row r="582">
      <c r="C582" s="79"/>
      <c r="D582" s="79"/>
      <c r="E582" s="79"/>
      <c r="M582" s="79"/>
      <c r="R582" s="79"/>
      <c r="S582" s="79"/>
      <c r="V582" s="79"/>
      <c r="W582" s="79"/>
      <c r="Z582" s="130"/>
      <c r="AB582" s="106"/>
    </row>
    <row r="583">
      <c r="C583" s="79"/>
      <c r="D583" s="79"/>
      <c r="E583" s="79"/>
      <c r="M583" s="79"/>
      <c r="R583" s="79"/>
      <c r="S583" s="79"/>
      <c r="V583" s="79"/>
      <c r="W583" s="79"/>
      <c r="Z583" s="130"/>
      <c r="AB583" s="106"/>
    </row>
    <row r="584">
      <c r="C584" s="79"/>
      <c r="D584" s="79"/>
      <c r="E584" s="79"/>
      <c r="M584" s="79"/>
      <c r="R584" s="79"/>
      <c r="S584" s="79"/>
      <c r="V584" s="79"/>
      <c r="W584" s="79"/>
      <c r="Z584" s="130"/>
      <c r="AB584" s="106"/>
    </row>
    <row r="585">
      <c r="C585" s="79"/>
      <c r="D585" s="79"/>
      <c r="E585" s="79"/>
      <c r="M585" s="79"/>
      <c r="R585" s="79"/>
      <c r="S585" s="79"/>
      <c r="V585" s="79"/>
      <c r="W585" s="79"/>
      <c r="Z585" s="130"/>
      <c r="AB585" s="106"/>
    </row>
    <row r="586">
      <c r="C586" s="79"/>
      <c r="D586" s="79"/>
      <c r="E586" s="79"/>
      <c r="M586" s="79"/>
      <c r="R586" s="79"/>
      <c r="S586" s="79"/>
      <c r="V586" s="79"/>
      <c r="W586" s="79"/>
      <c r="Z586" s="130"/>
      <c r="AB586" s="106"/>
    </row>
    <row r="587">
      <c r="C587" s="79"/>
      <c r="D587" s="79"/>
      <c r="E587" s="79"/>
      <c r="M587" s="79"/>
      <c r="R587" s="79"/>
      <c r="S587" s="79"/>
      <c r="V587" s="79"/>
      <c r="W587" s="79"/>
      <c r="Z587" s="130"/>
      <c r="AB587" s="106"/>
    </row>
    <row r="588">
      <c r="C588" s="79"/>
      <c r="D588" s="79"/>
      <c r="E588" s="79"/>
      <c r="M588" s="79"/>
      <c r="R588" s="79"/>
      <c r="S588" s="79"/>
      <c r="V588" s="79"/>
      <c r="W588" s="79"/>
      <c r="Z588" s="130"/>
      <c r="AB588" s="106"/>
    </row>
    <row r="589">
      <c r="C589" s="79"/>
      <c r="D589" s="79"/>
      <c r="E589" s="79"/>
      <c r="M589" s="79"/>
      <c r="R589" s="79"/>
      <c r="S589" s="79"/>
      <c r="V589" s="79"/>
      <c r="W589" s="79"/>
      <c r="Z589" s="130"/>
      <c r="AB589" s="106"/>
    </row>
    <row r="590">
      <c r="C590" s="79"/>
      <c r="D590" s="79"/>
      <c r="E590" s="79"/>
      <c r="M590" s="79"/>
      <c r="R590" s="79"/>
      <c r="S590" s="79"/>
      <c r="V590" s="79"/>
      <c r="W590" s="79"/>
      <c r="Z590" s="130"/>
      <c r="AB590" s="106"/>
    </row>
    <row r="591">
      <c r="C591" s="79"/>
      <c r="D591" s="79"/>
      <c r="E591" s="79"/>
      <c r="M591" s="79"/>
      <c r="R591" s="79"/>
      <c r="S591" s="79"/>
      <c r="V591" s="79"/>
      <c r="W591" s="79"/>
      <c r="Z591" s="130"/>
      <c r="AB591" s="106"/>
    </row>
    <row r="592">
      <c r="C592" s="79"/>
      <c r="D592" s="79"/>
      <c r="E592" s="79"/>
      <c r="M592" s="79"/>
      <c r="R592" s="79"/>
      <c r="S592" s="79"/>
      <c r="V592" s="79"/>
      <c r="W592" s="79"/>
      <c r="Z592" s="130"/>
      <c r="AB592" s="106"/>
    </row>
    <row r="593">
      <c r="C593" s="79"/>
      <c r="D593" s="79"/>
      <c r="E593" s="79"/>
      <c r="M593" s="79"/>
      <c r="R593" s="79"/>
      <c r="S593" s="79"/>
      <c r="V593" s="79"/>
      <c r="W593" s="79"/>
      <c r="Z593" s="130"/>
      <c r="AB593" s="106"/>
    </row>
    <row r="594">
      <c r="C594" s="79"/>
      <c r="D594" s="79"/>
      <c r="E594" s="79"/>
      <c r="M594" s="79"/>
      <c r="R594" s="79"/>
      <c r="S594" s="79"/>
      <c r="V594" s="79"/>
      <c r="W594" s="79"/>
      <c r="Z594" s="130"/>
      <c r="AB594" s="106"/>
    </row>
    <row r="595">
      <c r="C595" s="79"/>
      <c r="D595" s="79"/>
      <c r="E595" s="79"/>
      <c r="M595" s="79"/>
      <c r="R595" s="79"/>
      <c r="S595" s="79"/>
      <c r="V595" s="79"/>
      <c r="W595" s="79"/>
      <c r="Z595" s="130"/>
      <c r="AB595" s="106"/>
    </row>
    <row r="596">
      <c r="C596" s="79"/>
      <c r="D596" s="79"/>
      <c r="E596" s="79"/>
      <c r="M596" s="79"/>
      <c r="R596" s="79"/>
      <c r="S596" s="79"/>
      <c r="V596" s="79"/>
      <c r="W596" s="79"/>
      <c r="Z596" s="130"/>
      <c r="AB596" s="106"/>
    </row>
    <row r="597">
      <c r="C597" s="79"/>
      <c r="D597" s="79"/>
      <c r="E597" s="79"/>
      <c r="M597" s="79"/>
      <c r="R597" s="79"/>
      <c r="S597" s="79"/>
      <c r="V597" s="79"/>
      <c r="W597" s="79"/>
      <c r="Z597" s="130"/>
      <c r="AB597" s="106"/>
    </row>
    <row r="598">
      <c r="C598" s="79"/>
      <c r="D598" s="79"/>
      <c r="E598" s="79"/>
      <c r="M598" s="79"/>
      <c r="R598" s="79"/>
      <c r="S598" s="79"/>
      <c r="V598" s="79"/>
      <c r="W598" s="79"/>
      <c r="Z598" s="130"/>
      <c r="AB598" s="106"/>
    </row>
    <row r="599">
      <c r="C599" s="79"/>
      <c r="D599" s="79"/>
      <c r="E599" s="79"/>
      <c r="M599" s="79"/>
      <c r="R599" s="79"/>
      <c r="S599" s="79"/>
      <c r="V599" s="79"/>
      <c r="W599" s="79"/>
      <c r="Z599" s="130"/>
      <c r="AB599" s="106"/>
    </row>
    <row r="600">
      <c r="C600" s="79"/>
      <c r="D600" s="79"/>
      <c r="E600" s="79"/>
      <c r="M600" s="79"/>
      <c r="R600" s="79"/>
      <c r="S600" s="79"/>
      <c r="V600" s="79"/>
      <c r="W600" s="79"/>
      <c r="Z600" s="130"/>
      <c r="AB600" s="106"/>
    </row>
    <row r="601">
      <c r="C601" s="79"/>
      <c r="D601" s="79"/>
      <c r="E601" s="79"/>
      <c r="M601" s="79"/>
      <c r="R601" s="79"/>
      <c r="S601" s="79"/>
      <c r="V601" s="79"/>
      <c r="W601" s="79"/>
      <c r="Z601" s="130"/>
      <c r="AB601" s="106"/>
    </row>
    <row r="602">
      <c r="C602" s="79"/>
      <c r="D602" s="79"/>
      <c r="E602" s="79"/>
      <c r="M602" s="79"/>
      <c r="R602" s="79"/>
      <c r="S602" s="79"/>
      <c r="V602" s="79"/>
      <c r="W602" s="79"/>
      <c r="Z602" s="130"/>
      <c r="AB602" s="106"/>
    </row>
    <row r="603">
      <c r="C603" s="79"/>
      <c r="D603" s="79"/>
      <c r="E603" s="79"/>
      <c r="M603" s="79"/>
      <c r="R603" s="79"/>
      <c r="S603" s="79"/>
      <c r="V603" s="79"/>
      <c r="W603" s="79"/>
      <c r="Z603" s="130"/>
      <c r="AB603" s="106"/>
    </row>
    <row r="604">
      <c r="C604" s="79"/>
      <c r="D604" s="79"/>
      <c r="E604" s="79"/>
      <c r="M604" s="79"/>
      <c r="R604" s="79"/>
      <c r="S604" s="79"/>
      <c r="V604" s="79"/>
      <c r="W604" s="79"/>
      <c r="Z604" s="130"/>
      <c r="AB604" s="106"/>
    </row>
    <row r="605">
      <c r="C605" s="79"/>
      <c r="D605" s="79"/>
      <c r="E605" s="79"/>
      <c r="M605" s="79"/>
      <c r="R605" s="79"/>
      <c r="S605" s="79"/>
      <c r="V605" s="79"/>
      <c r="W605" s="79"/>
      <c r="Z605" s="130"/>
      <c r="AB605" s="106"/>
    </row>
    <row r="606">
      <c r="C606" s="79"/>
      <c r="D606" s="79"/>
      <c r="E606" s="79"/>
      <c r="M606" s="79"/>
      <c r="R606" s="79"/>
      <c r="S606" s="79"/>
      <c r="V606" s="79"/>
      <c r="W606" s="79"/>
      <c r="Z606" s="130"/>
      <c r="AB606" s="106"/>
    </row>
    <row r="607">
      <c r="C607" s="79"/>
      <c r="D607" s="79"/>
      <c r="E607" s="79"/>
      <c r="M607" s="79"/>
      <c r="R607" s="79"/>
      <c r="S607" s="79"/>
      <c r="V607" s="79"/>
      <c r="W607" s="79"/>
      <c r="Z607" s="130"/>
      <c r="AB607" s="106"/>
    </row>
    <row r="608">
      <c r="C608" s="79"/>
      <c r="D608" s="79"/>
      <c r="E608" s="79"/>
      <c r="M608" s="79"/>
      <c r="R608" s="79"/>
      <c r="S608" s="79"/>
      <c r="V608" s="79"/>
      <c r="W608" s="79"/>
      <c r="Z608" s="130"/>
      <c r="AB608" s="106"/>
    </row>
    <row r="609">
      <c r="C609" s="79"/>
      <c r="D609" s="79"/>
      <c r="E609" s="79"/>
      <c r="M609" s="79"/>
      <c r="R609" s="79"/>
      <c r="S609" s="79"/>
      <c r="V609" s="79"/>
      <c r="W609" s="79"/>
      <c r="Z609" s="130"/>
      <c r="AB609" s="106"/>
    </row>
    <row r="610">
      <c r="C610" s="79"/>
      <c r="D610" s="79"/>
      <c r="E610" s="79"/>
      <c r="M610" s="79"/>
      <c r="R610" s="79"/>
      <c r="S610" s="79"/>
      <c r="V610" s="79"/>
      <c r="W610" s="79"/>
      <c r="Z610" s="130"/>
      <c r="AB610" s="106"/>
    </row>
    <row r="611">
      <c r="C611" s="79"/>
      <c r="D611" s="79"/>
      <c r="E611" s="79"/>
      <c r="M611" s="79"/>
      <c r="R611" s="79"/>
      <c r="S611" s="79"/>
      <c r="V611" s="79"/>
      <c r="W611" s="79"/>
      <c r="Z611" s="130"/>
      <c r="AB611" s="106"/>
    </row>
    <row r="612">
      <c r="C612" s="79"/>
      <c r="D612" s="79"/>
      <c r="E612" s="79"/>
      <c r="M612" s="79"/>
      <c r="R612" s="79"/>
      <c r="S612" s="79"/>
      <c r="V612" s="79"/>
      <c r="W612" s="79"/>
      <c r="Z612" s="130"/>
      <c r="AB612" s="106"/>
    </row>
    <row r="613">
      <c r="C613" s="79"/>
      <c r="D613" s="79"/>
      <c r="E613" s="79"/>
      <c r="M613" s="79"/>
      <c r="R613" s="79"/>
      <c r="S613" s="79"/>
      <c r="V613" s="79"/>
      <c r="W613" s="79"/>
      <c r="Z613" s="130"/>
      <c r="AB613" s="106"/>
    </row>
    <row r="614">
      <c r="C614" s="79"/>
      <c r="D614" s="79"/>
      <c r="E614" s="79"/>
      <c r="M614" s="79"/>
      <c r="R614" s="79"/>
      <c r="S614" s="79"/>
      <c r="V614" s="79"/>
      <c r="W614" s="79"/>
      <c r="Z614" s="130"/>
      <c r="AB614" s="106"/>
    </row>
    <row r="615">
      <c r="C615" s="79"/>
      <c r="D615" s="79"/>
      <c r="E615" s="79"/>
      <c r="M615" s="79"/>
      <c r="R615" s="79"/>
      <c r="S615" s="79"/>
      <c r="V615" s="79"/>
      <c r="W615" s="79"/>
      <c r="Z615" s="130"/>
      <c r="AB615" s="106"/>
    </row>
    <row r="616">
      <c r="C616" s="79"/>
      <c r="D616" s="79"/>
      <c r="E616" s="79"/>
      <c r="M616" s="79"/>
      <c r="R616" s="79"/>
      <c r="S616" s="79"/>
      <c r="V616" s="79"/>
      <c r="W616" s="79"/>
      <c r="Z616" s="130"/>
      <c r="AB616" s="106"/>
    </row>
    <row r="617">
      <c r="C617" s="79"/>
      <c r="D617" s="79"/>
      <c r="E617" s="79"/>
      <c r="M617" s="79"/>
      <c r="R617" s="79"/>
      <c r="S617" s="79"/>
      <c r="V617" s="79"/>
      <c r="W617" s="79"/>
      <c r="Z617" s="130"/>
      <c r="AB617" s="106"/>
    </row>
    <row r="618">
      <c r="C618" s="79"/>
      <c r="D618" s="79"/>
      <c r="E618" s="79"/>
      <c r="M618" s="79"/>
      <c r="R618" s="79"/>
      <c r="S618" s="79"/>
      <c r="V618" s="79"/>
      <c r="W618" s="79"/>
      <c r="Z618" s="130"/>
      <c r="AB618" s="106"/>
    </row>
    <row r="619">
      <c r="C619" s="79"/>
      <c r="D619" s="79"/>
      <c r="E619" s="79"/>
      <c r="M619" s="79"/>
      <c r="R619" s="79"/>
      <c r="S619" s="79"/>
      <c r="V619" s="79"/>
      <c r="W619" s="79"/>
      <c r="Z619" s="130"/>
      <c r="AB619" s="106"/>
    </row>
    <row r="620">
      <c r="C620" s="79"/>
      <c r="D620" s="79"/>
      <c r="E620" s="79"/>
      <c r="M620" s="79"/>
      <c r="R620" s="79"/>
      <c r="S620" s="79"/>
      <c r="V620" s="79"/>
      <c r="W620" s="79"/>
      <c r="Z620" s="130"/>
      <c r="AB620" s="106"/>
    </row>
    <row r="621">
      <c r="C621" s="79"/>
      <c r="D621" s="79"/>
      <c r="E621" s="79"/>
      <c r="M621" s="79"/>
      <c r="R621" s="79"/>
      <c r="S621" s="79"/>
      <c r="V621" s="79"/>
      <c r="W621" s="79"/>
      <c r="Z621" s="130"/>
      <c r="AB621" s="106"/>
    </row>
    <row r="622">
      <c r="C622" s="79"/>
      <c r="D622" s="79"/>
      <c r="E622" s="79"/>
      <c r="M622" s="79"/>
      <c r="R622" s="79"/>
      <c r="S622" s="79"/>
      <c r="V622" s="79"/>
      <c r="W622" s="79"/>
      <c r="Z622" s="130"/>
      <c r="AB622" s="106"/>
    </row>
    <row r="623">
      <c r="C623" s="79"/>
      <c r="D623" s="79"/>
      <c r="E623" s="79"/>
      <c r="M623" s="79"/>
      <c r="R623" s="79"/>
      <c r="S623" s="79"/>
      <c r="V623" s="79"/>
      <c r="W623" s="79"/>
      <c r="Z623" s="130"/>
      <c r="AB623" s="106"/>
    </row>
    <row r="624">
      <c r="C624" s="79"/>
      <c r="D624" s="79"/>
      <c r="E624" s="79"/>
      <c r="M624" s="79"/>
      <c r="R624" s="79"/>
      <c r="S624" s="79"/>
      <c r="V624" s="79"/>
      <c r="W624" s="79"/>
      <c r="Z624" s="130"/>
      <c r="AB624" s="106"/>
    </row>
    <row r="625">
      <c r="C625" s="79"/>
      <c r="D625" s="79"/>
      <c r="E625" s="79"/>
      <c r="M625" s="79"/>
      <c r="R625" s="79"/>
      <c r="S625" s="79"/>
      <c r="V625" s="79"/>
      <c r="W625" s="79"/>
      <c r="Z625" s="130"/>
      <c r="AB625" s="106"/>
    </row>
    <row r="626">
      <c r="C626" s="79"/>
      <c r="D626" s="79"/>
      <c r="E626" s="79"/>
      <c r="M626" s="79"/>
      <c r="R626" s="79"/>
      <c r="S626" s="79"/>
      <c r="V626" s="79"/>
      <c r="W626" s="79"/>
      <c r="Z626" s="130"/>
      <c r="AB626" s="106"/>
    </row>
    <row r="627">
      <c r="C627" s="79"/>
      <c r="D627" s="79"/>
      <c r="E627" s="79"/>
      <c r="M627" s="79"/>
      <c r="R627" s="79"/>
      <c r="S627" s="79"/>
      <c r="V627" s="79"/>
      <c r="W627" s="79"/>
      <c r="Z627" s="130"/>
      <c r="AB627" s="106"/>
    </row>
    <row r="628">
      <c r="C628" s="79"/>
      <c r="D628" s="79"/>
      <c r="E628" s="79"/>
      <c r="M628" s="79"/>
      <c r="R628" s="79"/>
      <c r="S628" s="79"/>
      <c r="V628" s="79"/>
      <c r="W628" s="79"/>
      <c r="Z628" s="130"/>
      <c r="AB628" s="106"/>
    </row>
    <row r="629">
      <c r="C629" s="79"/>
      <c r="D629" s="79"/>
      <c r="E629" s="79"/>
      <c r="M629" s="79"/>
      <c r="R629" s="79"/>
      <c r="S629" s="79"/>
      <c r="V629" s="79"/>
      <c r="W629" s="79"/>
      <c r="Z629" s="130"/>
      <c r="AB629" s="106"/>
    </row>
    <row r="630">
      <c r="C630" s="79"/>
      <c r="D630" s="79"/>
      <c r="E630" s="79"/>
      <c r="M630" s="79"/>
      <c r="R630" s="79"/>
      <c r="S630" s="79"/>
      <c r="V630" s="79"/>
      <c r="W630" s="79"/>
      <c r="Z630" s="130"/>
      <c r="AB630" s="106"/>
    </row>
    <row r="631">
      <c r="C631" s="79"/>
      <c r="D631" s="79"/>
      <c r="E631" s="79"/>
      <c r="M631" s="79"/>
      <c r="R631" s="79"/>
      <c r="S631" s="79"/>
      <c r="V631" s="79"/>
      <c r="W631" s="79"/>
      <c r="Z631" s="130"/>
      <c r="AB631" s="106"/>
    </row>
    <row r="632">
      <c r="C632" s="79"/>
      <c r="D632" s="79"/>
      <c r="E632" s="79"/>
      <c r="M632" s="79"/>
      <c r="R632" s="79"/>
      <c r="S632" s="79"/>
      <c r="V632" s="79"/>
      <c r="W632" s="79"/>
      <c r="Z632" s="130"/>
      <c r="AB632" s="106"/>
    </row>
    <row r="633">
      <c r="C633" s="79"/>
      <c r="D633" s="79"/>
      <c r="E633" s="79"/>
      <c r="M633" s="79"/>
      <c r="R633" s="79"/>
      <c r="S633" s="79"/>
      <c r="V633" s="79"/>
      <c r="W633" s="79"/>
      <c r="Z633" s="130"/>
      <c r="AB633" s="106"/>
    </row>
    <row r="634">
      <c r="C634" s="79"/>
      <c r="D634" s="79"/>
      <c r="E634" s="79"/>
      <c r="M634" s="79"/>
      <c r="R634" s="79"/>
      <c r="S634" s="79"/>
      <c r="V634" s="79"/>
      <c r="W634" s="79"/>
      <c r="Z634" s="130"/>
      <c r="AB634" s="106"/>
    </row>
    <row r="635">
      <c r="C635" s="79"/>
      <c r="D635" s="79"/>
      <c r="E635" s="79"/>
      <c r="M635" s="79"/>
      <c r="R635" s="79"/>
      <c r="S635" s="79"/>
      <c r="V635" s="79"/>
      <c r="W635" s="79"/>
      <c r="Z635" s="130"/>
      <c r="AB635" s="106"/>
    </row>
    <row r="636">
      <c r="C636" s="79"/>
      <c r="D636" s="79"/>
      <c r="E636" s="79"/>
      <c r="M636" s="79"/>
      <c r="R636" s="79"/>
      <c r="S636" s="79"/>
      <c r="V636" s="79"/>
      <c r="W636" s="79"/>
      <c r="Z636" s="130"/>
      <c r="AB636" s="106"/>
    </row>
    <row r="637">
      <c r="C637" s="79"/>
      <c r="D637" s="79"/>
      <c r="E637" s="79"/>
      <c r="M637" s="79"/>
      <c r="R637" s="79"/>
      <c r="S637" s="79"/>
      <c r="V637" s="79"/>
      <c r="W637" s="79"/>
      <c r="Z637" s="130"/>
      <c r="AB637" s="106"/>
    </row>
    <row r="638">
      <c r="C638" s="79"/>
      <c r="D638" s="79"/>
      <c r="E638" s="79"/>
      <c r="M638" s="79"/>
      <c r="R638" s="79"/>
      <c r="S638" s="79"/>
      <c r="V638" s="79"/>
      <c r="W638" s="79"/>
      <c r="Z638" s="130"/>
      <c r="AB638" s="106"/>
    </row>
    <row r="639">
      <c r="C639" s="79"/>
      <c r="D639" s="79"/>
      <c r="E639" s="79"/>
      <c r="M639" s="79"/>
      <c r="R639" s="79"/>
      <c r="S639" s="79"/>
      <c r="V639" s="79"/>
      <c r="W639" s="79"/>
      <c r="Z639" s="130"/>
      <c r="AB639" s="106"/>
    </row>
    <row r="640">
      <c r="C640" s="79"/>
      <c r="D640" s="79"/>
      <c r="E640" s="79"/>
      <c r="M640" s="79"/>
      <c r="R640" s="79"/>
      <c r="S640" s="79"/>
      <c r="V640" s="79"/>
      <c r="W640" s="79"/>
      <c r="Z640" s="130"/>
      <c r="AB640" s="106"/>
    </row>
    <row r="641">
      <c r="C641" s="79"/>
      <c r="D641" s="79"/>
      <c r="E641" s="79"/>
      <c r="M641" s="79"/>
      <c r="R641" s="79"/>
      <c r="S641" s="79"/>
      <c r="V641" s="79"/>
      <c r="W641" s="79"/>
      <c r="Z641" s="130"/>
      <c r="AB641" s="106"/>
    </row>
    <row r="642">
      <c r="C642" s="79"/>
      <c r="D642" s="79"/>
      <c r="E642" s="79"/>
      <c r="M642" s="79"/>
      <c r="R642" s="79"/>
      <c r="S642" s="79"/>
      <c r="V642" s="79"/>
      <c r="W642" s="79"/>
      <c r="Z642" s="130"/>
      <c r="AB642" s="106"/>
    </row>
    <row r="643">
      <c r="C643" s="79"/>
      <c r="D643" s="79"/>
      <c r="E643" s="79"/>
      <c r="M643" s="79"/>
      <c r="R643" s="79"/>
      <c r="S643" s="79"/>
      <c r="V643" s="79"/>
      <c r="W643" s="79"/>
      <c r="Z643" s="130"/>
      <c r="AB643" s="106"/>
    </row>
    <row r="644">
      <c r="C644" s="79"/>
      <c r="D644" s="79"/>
      <c r="E644" s="79"/>
      <c r="M644" s="79"/>
      <c r="R644" s="79"/>
      <c r="S644" s="79"/>
      <c r="V644" s="79"/>
      <c r="W644" s="79"/>
      <c r="Z644" s="130"/>
      <c r="AB644" s="106"/>
    </row>
    <row r="645">
      <c r="C645" s="79"/>
      <c r="D645" s="79"/>
      <c r="E645" s="79"/>
      <c r="M645" s="79"/>
      <c r="R645" s="79"/>
      <c r="S645" s="79"/>
      <c r="V645" s="79"/>
      <c r="W645" s="79"/>
      <c r="Z645" s="130"/>
      <c r="AB645" s="106"/>
    </row>
    <row r="646">
      <c r="C646" s="79"/>
      <c r="D646" s="79"/>
      <c r="E646" s="79"/>
      <c r="M646" s="79"/>
      <c r="R646" s="79"/>
      <c r="S646" s="79"/>
      <c r="V646" s="79"/>
      <c r="W646" s="79"/>
      <c r="Z646" s="130"/>
      <c r="AB646" s="106"/>
    </row>
    <row r="647">
      <c r="C647" s="79"/>
      <c r="D647" s="79"/>
      <c r="E647" s="79"/>
      <c r="M647" s="79"/>
      <c r="R647" s="79"/>
      <c r="S647" s="79"/>
      <c r="V647" s="79"/>
      <c r="W647" s="79"/>
      <c r="Z647" s="130"/>
      <c r="AB647" s="106"/>
    </row>
    <row r="648">
      <c r="C648" s="79"/>
      <c r="D648" s="79"/>
      <c r="E648" s="79"/>
      <c r="M648" s="79"/>
      <c r="R648" s="79"/>
      <c r="S648" s="79"/>
      <c r="V648" s="79"/>
      <c r="W648" s="79"/>
      <c r="Z648" s="130"/>
      <c r="AB648" s="106"/>
    </row>
    <row r="649">
      <c r="C649" s="79"/>
      <c r="D649" s="79"/>
      <c r="E649" s="79"/>
      <c r="M649" s="79"/>
      <c r="R649" s="79"/>
      <c r="S649" s="79"/>
      <c r="V649" s="79"/>
      <c r="W649" s="79"/>
      <c r="Z649" s="130"/>
      <c r="AB649" s="106"/>
    </row>
    <row r="650">
      <c r="C650" s="79"/>
      <c r="D650" s="79"/>
      <c r="E650" s="79"/>
      <c r="M650" s="79"/>
      <c r="R650" s="79"/>
      <c r="S650" s="79"/>
      <c r="V650" s="79"/>
      <c r="W650" s="79"/>
      <c r="Z650" s="130"/>
      <c r="AB650" s="106"/>
    </row>
    <row r="651">
      <c r="C651" s="79"/>
      <c r="D651" s="79"/>
      <c r="E651" s="79"/>
      <c r="M651" s="79"/>
      <c r="R651" s="79"/>
      <c r="S651" s="79"/>
      <c r="V651" s="79"/>
      <c r="W651" s="79"/>
      <c r="Z651" s="130"/>
      <c r="AB651" s="106"/>
    </row>
    <row r="652">
      <c r="C652" s="79"/>
      <c r="D652" s="79"/>
      <c r="E652" s="79"/>
      <c r="M652" s="79"/>
      <c r="R652" s="79"/>
      <c r="S652" s="79"/>
      <c r="V652" s="79"/>
      <c r="W652" s="79"/>
      <c r="Z652" s="130"/>
      <c r="AB652" s="106"/>
    </row>
    <row r="653">
      <c r="C653" s="79"/>
      <c r="D653" s="79"/>
      <c r="E653" s="79"/>
      <c r="M653" s="79"/>
      <c r="R653" s="79"/>
      <c r="S653" s="79"/>
      <c r="V653" s="79"/>
      <c r="W653" s="79"/>
      <c r="Z653" s="130"/>
      <c r="AB653" s="106"/>
    </row>
    <row r="654">
      <c r="C654" s="79"/>
      <c r="D654" s="79"/>
      <c r="E654" s="79"/>
      <c r="M654" s="79"/>
      <c r="R654" s="79"/>
      <c r="S654" s="79"/>
      <c r="V654" s="79"/>
      <c r="W654" s="79"/>
      <c r="Z654" s="130"/>
      <c r="AB654" s="106"/>
    </row>
    <row r="655">
      <c r="C655" s="79"/>
      <c r="D655" s="79"/>
      <c r="E655" s="79"/>
      <c r="M655" s="79"/>
      <c r="R655" s="79"/>
      <c r="S655" s="79"/>
      <c r="V655" s="79"/>
      <c r="W655" s="79"/>
      <c r="Z655" s="130"/>
      <c r="AB655" s="106"/>
    </row>
    <row r="656">
      <c r="C656" s="79"/>
      <c r="D656" s="79"/>
      <c r="E656" s="79"/>
      <c r="M656" s="79"/>
      <c r="R656" s="79"/>
      <c r="S656" s="79"/>
      <c r="V656" s="79"/>
      <c r="W656" s="79"/>
      <c r="Z656" s="130"/>
      <c r="AB656" s="106"/>
    </row>
    <row r="657">
      <c r="C657" s="79"/>
      <c r="D657" s="79"/>
      <c r="E657" s="79"/>
      <c r="M657" s="79"/>
      <c r="R657" s="79"/>
      <c r="S657" s="79"/>
      <c r="V657" s="79"/>
      <c r="W657" s="79"/>
      <c r="Z657" s="130"/>
      <c r="AB657" s="106"/>
    </row>
    <row r="658">
      <c r="C658" s="79"/>
      <c r="D658" s="79"/>
      <c r="E658" s="79"/>
      <c r="M658" s="79"/>
      <c r="R658" s="79"/>
      <c r="S658" s="79"/>
      <c r="V658" s="79"/>
      <c r="W658" s="79"/>
      <c r="Z658" s="130"/>
      <c r="AB658" s="106"/>
    </row>
    <row r="659">
      <c r="C659" s="79"/>
      <c r="D659" s="79"/>
      <c r="E659" s="79"/>
      <c r="M659" s="79"/>
      <c r="R659" s="79"/>
      <c r="S659" s="79"/>
      <c r="V659" s="79"/>
      <c r="W659" s="79"/>
      <c r="Z659" s="130"/>
      <c r="AB659" s="106"/>
    </row>
    <row r="660">
      <c r="C660" s="79"/>
      <c r="D660" s="79"/>
      <c r="E660" s="79"/>
      <c r="M660" s="79"/>
      <c r="R660" s="79"/>
      <c r="S660" s="79"/>
      <c r="V660" s="79"/>
      <c r="W660" s="79"/>
      <c r="Z660" s="130"/>
      <c r="AB660" s="106"/>
    </row>
    <row r="661">
      <c r="C661" s="79"/>
      <c r="D661" s="79"/>
      <c r="E661" s="79"/>
      <c r="M661" s="79"/>
      <c r="R661" s="79"/>
      <c r="S661" s="79"/>
      <c r="V661" s="79"/>
      <c r="W661" s="79"/>
      <c r="Z661" s="130"/>
      <c r="AB661" s="106"/>
    </row>
    <row r="662">
      <c r="C662" s="79"/>
      <c r="D662" s="79"/>
      <c r="E662" s="79"/>
      <c r="M662" s="79"/>
      <c r="R662" s="79"/>
      <c r="S662" s="79"/>
      <c r="V662" s="79"/>
      <c r="W662" s="79"/>
      <c r="Z662" s="130"/>
      <c r="AB662" s="106"/>
    </row>
    <row r="663">
      <c r="C663" s="79"/>
      <c r="D663" s="79"/>
      <c r="E663" s="79"/>
      <c r="M663" s="79"/>
      <c r="R663" s="79"/>
      <c r="S663" s="79"/>
      <c r="V663" s="79"/>
      <c r="W663" s="79"/>
      <c r="Z663" s="130"/>
      <c r="AB663" s="106"/>
    </row>
    <row r="664">
      <c r="C664" s="79"/>
      <c r="D664" s="79"/>
      <c r="E664" s="79"/>
      <c r="M664" s="79"/>
      <c r="R664" s="79"/>
      <c r="S664" s="79"/>
      <c r="V664" s="79"/>
      <c r="W664" s="79"/>
      <c r="Z664" s="130"/>
      <c r="AB664" s="106"/>
    </row>
    <row r="665">
      <c r="C665" s="79"/>
      <c r="D665" s="79"/>
      <c r="E665" s="79"/>
      <c r="M665" s="79"/>
      <c r="R665" s="79"/>
      <c r="S665" s="79"/>
      <c r="V665" s="79"/>
      <c r="W665" s="79"/>
      <c r="Z665" s="130"/>
      <c r="AB665" s="106"/>
    </row>
    <row r="666">
      <c r="C666" s="79"/>
      <c r="D666" s="79"/>
      <c r="E666" s="79"/>
      <c r="M666" s="79"/>
      <c r="R666" s="79"/>
      <c r="S666" s="79"/>
      <c r="V666" s="79"/>
      <c r="W666" s="79"/>
      <c r="Z666" s="130"/>
      <c r="AB666" s="106"/>
    </row>
    <row r="667">
      <c r="C667" s="79"/>
      <c r="D667" s="79"/>
      <c r="E667" s="79"/>
      <c r="M667" s="79"/>
      <c r="R667" s="79"/>
      <c r="S667" s="79"/>
      <c r="V667" s="79"/>
      <c r="W667" s="79"/>
      <c r="Z667" s="130"/>
      <c r="AB667" s="106"/>
    </row>
    <row r="668">
      <c r="C668" s="79"/>
      <c r="D668" s="79"/>
      <c r="E668" s="79"/>
      <c r="M668" s="79"/>
      <c r="R668" s="79"/>
      <c r="S668" s="79"/>
      <c r="V668" s="79"/>
      <c r="W668" s="79"/>
      <c r="Z668" s="130"/>
      <c r="AB668" s="106"/>
    </row>
    <row r="669">
      <c r="C669" s="79"/>
      <c r="D669" s="79"/>
      <c r="E669" s="79"/>
      <c r="M669" s="79"/>
      <c r="R669" s="79"/>
      <c r="S669" s="79"/>
      <c r="V669" s="79"/>
      <c r="W669" s="79"/>
      <c r="Z669" s="130"/>
      <c r="AB669" s="106"/>
    </row>
    <row r="670">
      <c r="C670" s="79"/>
      <c r="D670" s="79"/>
      <c r="E670" s="79"/>
      <c r="M670" s="79"/>
      <c r="R670" s="79"/>
      <c r="S670" s="79"/>
      <c r="V670" s="79"/>
      <c r="W670" s="79"/>
      <c r="Z670" s="130"/>
      <c r="AB670" s="106"/>
    </row>
    <row r="671">
      <c r="C671" s="79"/>
      <c r="D671" s="79"/>
      <c r="E671" s="79"/>
      <c r="M671" s="79"/>
      <c r="R671" s="79"/>
      <c r="S671" s="79"/>
      <c r="V671" s="79"/>
      <c r="W671" s="79"/>
      <c r="Z671" s="130"/>
      <c r="AB671" s="106"/>
    </row>
    <row r="672">
      <c r="C672" s="79"/>
      <c r="D672" s="79"/>
      <c r="E672" s="79"/>
      <c r="M672" s="79"/>
      <c r="R672" s="79"/>
      <c r="S672" s="79"/>
      <c r="V672" s="79"/>
      <c r="W672" s="79"/>
      <c r="Z672" s="130"/>
      <c r="AB672" s="106"/>
    </row>
    <row r="673">
      <c r="C673" s="79"/>
      <c r="D673" s="79"/>
      <c r="E673" s="79"/>
      <c r="M673" s="79"/>
      <c r="R673" s="79"/>
      <c r="S673" s="79"/>
      <c r="V673" s="79"/>
      <c r="W673" s="79"/>
      <c r="Z673" s="130"/>
      <c r="AB673" s="106"/>
    </row>
    <row r="674">
      <c r="C674" s="79"/>
      <c r="D674" s="79"/>
      <c r="E674" s="79"/>
      <c r="M674" s="79"/>
      <c r="R674" s="79"/>
      <c r="S674" s="79"/>
      <c r="V674" s="79"/>
      <c r="W674" s="79"/>
      <c r="Z674" s="130"/>
      <c r="AB674" s="106"/>
    </row>
    <row r="675">
      <c r="C675" s="79"/>
      <c r="D675" s="79"/>
      <c r="E675" s="79"/>
      <c r="M675" s="79"/>
      <c r="R675" s="79"/>
      <c r="S675" s="79"/>
      <c r="V675" s="79"/>
      <c r="W675" s="79"/>
      <c r="Z675" s="130"/>
      <c r="AB675" s="106"/>
    </row>
    <row r="676">
      <c r="C676" s="79"/>
      <c r="D676" s="79"/>
      <c r="E676" s="79"/>
      <c r="M676" s="79"/>
      <c r="R676" s="79"/>
      <c r="S676" s="79"/>
      <c r="V676" s="79"/>
      <c r="W676" s="79"/>
      <c r="Z676" s="130"/>
      <c r="AB676" s="106"/>
    </row>
    <row r="677">
      <c r="C677" s="79"/>
      <c r="D677" s="79"/>
      <c r="E677" s="79"/>
      <c r="M677" s="79"/>
      <c r="R677" s="79"/>
      <c r="S677" s="79"/>
      <c r="V677" s="79"/>
      <c r="W677" s="79"/>
      <c r="Z677" s="130"/>
      <c r="AB677" s="106"/>
    </row>
    <row r="678">
      <c r="C678" s="79"/>
      <c r="D678" s="79"/>
      <c r="E678" s="79"/>
      <c r="M678" s="79"/>
      <c r="R678" s="79"/>
      <c r="S678" s="79"/>
      <c r="V678" s="79"/>
      <c r="W678" s="79"/>
      <c r="Z678" s="130"/>
      <c r="AB678" s="106"/>
    </row>
    <row r="679">
      <c r="C679" s="79"/>
      <c r="D679" s="79"/>
      <c r="E679" s="79"/>
      <c r="M679" s="79"/>
      <c r="R679" s="79"/>
      <c r="S679" s="79"/>
      <c r="V679" s="79"/>
      <c r="W679" s="79"/>
      <c r="Z679" s="130"/>
      <c r="AB679" s="106"/>
    </row>
    <row r="680">
      <c r="C680" s="79"/>
      <c r="D680" s="79"/>
      <c r="E680" s="79"/>
      <c r="M680" s="79"/>
      <c r="R680" s="79"/>
      <c r="S680" s="79"/>
      <c r="V680" s="79"/>
      <c r="W680" s="79"/>
      <c r="Z680" s="130"/>
      <c r="AB680" s="106"/>
    </row>
    <row r="681">
      <c r="C681" s="79"/>
      <c r="D681" s="79"/>
      <c r="E681" s="79"/>
      <c r="M681" s="79"/>
      <c r="R681" s="79"/>
      <c r="S681" s="79"/>
      <c r="V681" s="79"/>
      <c r="W681" s="79"/>
      <c r="Z681" s="130"/>
      <c r="AB681" s="106"/>
    </row>
    <row r="682">
      <c r="C682" s="79"/>
      <c r="D682" s="79"/>
      <c r="E682" s="79"/>
      <c r="M682" s="79"/>
      <c r="R682" s="79"/>
      <c r="S682" s="79"/>
      <c r="V682" s="79"/>
      <c r="W682" s="79"/>
      <c r="Z682" s="130"/>
      <c r="AB682" s="106"/>
    </row>
    <row r="683">
      <c r="C683" s="79"/>
      <c r="D683" s="79"/>
      <c r="E683" s="79"/>
      <c r="M683" s="79"/>
      <c r="R683" s="79"/>
      <c r="S683" s="79"/>
      <c r="V683" s="79"/>
      <c r="W683" s="79"/>
      <c r="Z683" s="130"/>
      <c r="AB683" s="106"/>
    </row>
    <row r="684">
      <c r="C684" s="79"/>
      <c r="D684" s="79"/>
      <c r="E684" s="79"/>
      <c r="M684" s="79"/>
      <c r="R684" s="79"/>
      <c r="S684" s="79"/>
      <c r="V684" s="79"/>
      <c r="W684" s="79"/>
      <c r="Z684" s="130"/>
      <c r="AB684" s="106"/>
    </row>
    <row r="685">
      <c r="C685" s="79"/>
      <c r="D685" s="79"/>
      <c r="E685" s="79"/>
      <c r="M685" s="79"/>
      <c r="R685" s="79"/>
      <c r="S685" s="79"/>
      <c r="V685" s="79"/>
      <c r="W685" s="79"/>
      <c r="Z685" s="130"/>
      <c r="AB685" s="106"/>
    </row>
    <row r="686">
      <c r="C686" s="79"/>
      <c r="D686" s="79"/>
      <c r="E686" s="79"/>
      <c r="M686" s="79"/>
      <c r="R686" s="79"/>
      <c r="S686" s="79"/>
      <c r="V686" s="79"/>
      <c r="W686" s="79"/>
      <c r="Z686" s="130"/>
      <c r="AB686" s="106"/>
    </row>
    <row r="687">
      <c r="C687" s="79"/>
      <c r="D687" s="79"/>
      <c r="E687" s="79"/>
      <c r="M687" s="79"/>
      <c r="R687" s="79"/>
      <c r="S687" s="79"/>
      <c r="V687" s="79"/>
      <c r="W687" s="79"/>
      <c r="Z687" s="130"/>
      <c r="AB687" s="106"/>
    </row>
    <row r="688">
      <c r="C688" s="79"/>
      <c r="D688" s="79"/>
      <c r="E688" s="79"/>
      <c r="M688" s="79"/>
      <c r="R688" s="79"/>
      <c r="S688" s="79"/>
      <c r="V688" s="79"/>
      <c r="W688" s="79"/>
      <c r="Z688" s="130"/>
      <c r="AB688" s="106"/>
    </row>
    <row r="689">
      <c r="C689" s="79"/>
      <c r="D689" s="79"/>
      <c r="E689" s="79"/>
      <c r="M689" s="79"/>
      <c r="R689" s="79"/>
      <c r="S689" s="79"/>
      <c r="V689" s="79"/>
      <c r="W689" s="79"/>
      <c r="Z689" s="130"/>
      <c r="AB689" s="106"/>
    </row>
    <row r="690">
      <c r="C690" s="79"/>
      <c r="D690" s="79"/>
      <c r="E690" s="79"/>
      <c r="M690" s="79"/>
      <c r="R690" s="79"/>
      <c r="S690" s="79"/>
      <c r="V690" s="79"/>
      <c r="W690" s="79"/>
      <c r="Z690" s="130"/>
      <c r="AB690" s="106"/>
    </row>
    <row r="691">
      <c r="C691" s="79"/>
      <c r="D691" s="79"/>
      <c r="E691" s="79"/>
      <c r="M691" s="79"/>
      <c r="R691" s="79"/>
      <c r="S691" s="79"/>
      <c r="V691" s="79"/>
      <c r="W691" s="79"/>
      <c r="Z691" s="130"/>
      <c r="AB691" s="106"/>
    </row>
    <row r="692">
      <c r="C692" s="79"/>
      <c r="D692" s="79"/>
      <c r="E692" s="79"/>
      <c r="M692" s="79"/>
      <c r="R692" s="79"/>
      <c r="S692" s="79"/>
      <c r="V692" s="79"/>
      <c r="W692" s="79"/>
      <c r="Z692" s="130"/>
      <c r="AB692" s="106"/>
    </row>
    <row r="693">
      <c r="C693" s="79"/>
      <c r="D693" s="79"/>
      <c r="E693" s="79"/>
      <c r="M693" s="79"/>
      <c r="R693" s="79"/>
      <c r="S693" s="79"/>
      <c r="V693" s="79"/>
      <c r="W693" s="79"/>
      <c r="Z693" s="130"/>
      <c r="AB693" s="106"/>
    </row>
    <row r="694">
      <c r="C694" s="79"/>
      <c r="D694" s="79"/>
      <c r="E694" s="79"/>
      <c r="M694" s="79"/>
      <c r="R694" s="79"/>
      <c r="S694" s="79"/>
      <c r="V694" s="79"/>
      <c r="W694" s="79"/>
      <c r="Z694" s="130"/>
      <c r="AB694" s="106"/>
    </row>
    <row r="695">
      <c r="C695" s="79"/>
      <c r="D695" s="79"/>
      <c r="E695" s="79"/>
      <c r="M695" s="79"/>
      <c r="R695" s="79"/>
      <c r="S695" s="79"/>
      <c r="V695" s="79"/>
      <c r="W695" s="79"/>
      <c r="Z695" s="130"/>
      <c r="AB695" s="106"/>
    </row>
    <row r="696">
      <c r="C696" s="79"/>
      <c r="D696" s="79"/>
      <c r="E696" s="79"/>
      <c r="M696" s="79"/>
      <c r="R696" s="79"/>
      <c r="S696" s="79"/>
      <c r="V696" s="79"/>
      <c r="W696" s="79"/>
      <c r="Z696" s="130"/>
      <c r="AB696" s="106"/>
    </row>
    <row r="697">
      <c r="C697" s="79"/>
      <c r="D697" s="79"/>
      <c r="E697" s="79"/>
      <c r="M697" s="79"/>
      <c r="R697" s="79"/>
      <c r="S697" s="79"/>
      <c r="V697" s="79"/>
      <c r="W697" s="79"/>
      <c r="Z697" s="130"/>
      <c r="AB697" s="106"/>
    </row>
    <row r="698">
      <c r="C698" s="79"/>
      <c r="D698" s="79"/>
      <c r="E698" s="79"/>
      <c r="M698" s="79"/>
      <c r="R698" s="79"/>
      <c r="S698" s="79"/>
      <c r="V698" s="79"/>
      <c r="W698" s="79"/>
      <c r="Z698" s="130"/>
      <c r="AB698" s="106"/>
    </row>
    <row r="699">
      <c r="C699" s="79"/>
      <c r="D699" s="79"/>
      <c r="E699" s="79"/>
      <c r="M699" s="79"/>
      <c r="R699" s="79"/>
      <c r="S699" s="79"/>
      <c r="V699" s="79"/>
      <c r="W699" s="79"/>
      <c r="Z699" s="130"/>
      <c r="AB699" s="106"/>
    </row>
    <row r="700">
      <c r="C700" s="79"/>
      <c r="D700" s="79"/>
      <c r="E700" s="79"/>
      <c r="M700" s="79"/>
      <c r="R700" s="79"/>
      <c r="S700" s="79"/>
      <c r="V700" s="79"/>
      <c r="W700" s="79"/>
      <c r="Z700" s="130"/>
      <c r="AB700" s="106"/>
    </row>
    <row r="701">
      <c r="C701" s="79"/>
      <c r="D701" s="79"/>
      <c r="E701" s="79"/>
      <c r="M701" s="79"/>
      <c r="R701" s="79"/>
      <c r="S701" s="79"/>
      <c r="V701" s="79"/>
      <c r="W701" s="79"/>
      <c r="Z701" s="130"/>
      <c r="AB701" s="106"/>
    </row>
    <row r="702">
      <c r="C702" s="79"/>
      <c r="D702" s="79"/>
      <c r="E702" s="79"/>
      <c r="M702" s="79"/>
      <c r="R702" s="79"/>
      <c r="S702" s="79"/>
      <c r="V702" s="79"/>
      <c r="W702" s="79"/>
      <c r="Z702" s="130"/>
      <c r="AB702" s="106"/>
    </row>
    <row r="703">
      <c r="C703" s="79"/>
      <c r="D703" s="79"/>
      <c r="E703" s="79"/>
      <c r="M703" s="79"/>
      <c r="R703" s="79"/>
      <c r="S703" s="79"/>
      <c r="V703" s="79"/>
      <c r="W703" s="79"/>
      <c r="Z703" s="130"/>
      <c r="AB703" s="106"/>
    </row>
    <row r="704">
      <c r="C704" s="79"/>
      <c r="D704" s="79"/>
      <c r="E704" s="79"/>
      <c r="M704" s="79"/>
      <c r="R704" s="79"/>
      <c r="S704" s="79"/>
      <c r="V704" s="79"/>
      <c r="W704" s="79"/>
      <c r="Z704" s="130"/>
      <c r="AB704" s="106"/>
    </row>
    <row r="705">
      <c r="C705" s="79"/>
      <c r="D705" s="79"/>
      <c r="E705" s="79"/>
      <c r="M705" s="79"/>
      <c r="R705" s="79"/>
      <c r="S705" s="79"/>
      <c r="V705" s="79"/>
      <c r="W705" s="79"/>
      <c r="Z705" s="130"/>
      <c r="AB705" s="106"/>
    </row>
    <row r="706">
      <c r="C706" s="79"/>
      <c r="D706" s="79"/>
      <c r="E706" s="79"/>
      <c r="M706" s="79"/>
      <c r="R706" s="79"/>
      <c r="S706" s="79"/>
      <c r="V706" s="79"/>
      <c r="W706" s="79"/>
      <c r="Z706" s="130"/>
      <c r="AB706" s="106"/>
    </row>
    <row r="707">
      <c r="C707" s="79"/>
      <c r="D707" s="79"/>
      <c r="E707" s="79"/>
      <c r="M707" s="79"/>
      <c r="R707" s="79"/>
      <c r="S707" s="79"/>
      <c r="V707" s="79"/>
      <c r="W707" s="79"/>
      <c r="Z707" s="130"/>
      <c r="AB707" s="106"/>
    </row>
    <row r="708">
      <c r="C708" s="79"/>
      <c r="D708" s="79"/>
      <c r="E708" s="79"/>
      <c r="M708" s="79"/>
      <c r="R708" s="79"/>
      <c r="S708" s="79"/>
      <c r="V708" s="79"/>
      <c r="W708" s="79"/>
      <c r="Z708" s="130"/>
      <c r="AB708" s="106"/>
    </row>
    <row r="709">
      <c r="C709" s="79"/>
      <c r="D709" s="79"/>
      <c r="E709" s="79"/>
      <c r="M709" s="79"/>
      <c r="R709" s="79"/>
      <c r="S709" s="79"/>
      <c r="V709" s="79"/>
      <c r="W709" s="79"/>
      <c r="Z709" s="130"/>
      <c r="AB709" s="106"/>
    </row>
    <row r="710">
      <c r="C710" s="79"/>
      <c r="D710" s="79"/>
      <c r="E710" s="79"/>
      <c r="M710" s="79"/>
      <c r="R710" s="79"/>
      <c r="S710" s="79"/>
      <c r="V710" s="79"/>
      <c r="W710" s="79"/>
      <c r="Z710" s="130"/>
      <c r="AB710" s="106"/>
    </row>
    <row r="711">
      <c r="C711" s="79"/>
      <c r="D711" s="79"/>
      <c r="E711" s="79"/>
      <c r="M711" s="79"/>
      <c r="R711" s="79"/>
      <c r="S711" s="79"/>
      <c r="V711" s="79"/>
      <c r="W711" s="79"/>
      <c r="Z711" s="130"/>
      <c r="AB711" s="106"/>
    </row>
    <row r="712">
      <c r="C712" s="79"/>
      <c r="D712" s="79"/>
      <c r="E712" s="79"/>
      <c r="M712" s="79"/>
      <c r="R712" s="79"/>
      <c r="S712" s="79"/>
      <c r="V712" s="79"/>
      <c r="W712" s="79"/>
      <c r="Z712" s="130"/>
      <c r="AB712" s="106"/>
    </row>
    <row r="713">
      <c r="C713" s="79"/>
      <c r="D713" s="79"/>
      <c r="E713" s="79"/>
      <c r="M713" s="79"/>
      <c r="R713" s="79"/>
      <c r="S713" s="79"/>
      <c r="V713" s="79"/>
      <c r="W713" s="79"/>
      <c r="Z713" s="130"/>
      <c r="AB713" s="106"/>
    </row>
    <row r="714">
      <c r="C714" s="79"/>
      <c r="D714" s="79"/>
      <c r="E714" s="79"/>
      <c r="M714" s="79"/>
      <c r="R714" s="79"/>
      <c r="S714" s="79"/>
      <c r="V714" s="79"/>
      <c r="W714" s="79"/>
      <c r="Z714" s="130"/>
      <c r="AB714" s="106"/>
    </row>
    <row r="715">
      <c r="C715" s="79"/>
      <c r="D715" s="79"/>
      <c r="E715" s="79"/>
      <c r="M715" s="79"/>
      <c r="R715" s="79"/>
      <c r="S715" s="79"/>
      <c r="V715" s="79"/>
      <c r="W715" s="79"/>
      <c r="Z715" s="130"/>
      <c r="AB715" s="106"/>
    </row>
    <row r="716">
      <c r="C716" s="79"/>
      <c r="D716" s="79"/>
      <c r="E716" s="79"/>
      <c r="M716" s="79"/>
      <c r="R716" s="79"/>
      <c r="S716" s="79"/>
      <c r="V716" s="79"/>
      <c r="W716" s="79"/>
      <c r="Z716" s="130"/>
      <c r="AB716" s="106"/>
    </row>
    <row r="717">
      <c r="C717" s="79"/>
      <c r="D717" s="79"/>
      <c r="E717" s="79"/>
      <c r="M717" s="79"/>
      <c r="R717" s="79"/>
      <c r="S717" s="79"/>
      <c r="V717" s="79"/>
      <c r="W717" s="79"/>
      <c r="Z717" s="130"/>
      <c r="AB717" s="106"/>
    </row>
    <row r="718">
      <c r="C718" s="79"/>
      <c r="D718" s="79"/>
      <c r="E718" s="79"/>
      <c r="M718" s="79"/>
      <c r="R718" s="79"/>
      <c r="S718" s="79"/>
      <c r="V718" s="79"/>
      <c r="W718" s="79"/>
      <c r="Z718" s="130"/>
      <c r="AB718" s="106"/>
    </row>
    <row r="719">
      <c r="C719" s="79"/>
      <c r="D719" s="79"/>
      <c r="E719" s="79"/>
      <c r="M719" s="79"/>
      <c r="R719" s="79"/>
      <c r="S719" s="79"/>
      <c r="V719" s="79"/>
      <c r="W719" s="79"/>
      <c r="Z719" s="130"/>
      <c r="AB719" s="106"/>
    </row>
    <row r="720">
      <c r="C720" s="79"/>
      <c r="D720" s="79"/>
      <c r="E720" s="79"/>
      <c r="M720" s="79"/>
      <c r="R720" s="79"/>
      <c r="S720" s="79"/>
      <c r="V720" s="79"/>
      <c r="W720" s="79"/>
      <c r="Z720" s="130"/>
      <c r="AB720" s="106"/>
    </row>
    <row r="721">
      <c r="C721" s="79"/>
      <c r="D721" s="79"/>
      <c r="E721" s="79"/>
      <c r="M721" s="79"/>
      <c r="R721" s="79"/>
      <c r="S721" s="79"/>
      <c r="V721" s="79"/>
      <c r="W721" s="79"/>
      <c r="Z721" s="130"/>
      <c r="AB721" s="106"/>
    </row>
    <row r="722">
      <c r="C722" s="79"/>
      <c r="D722" s="79"/>
      <c r="E722" s="79"/>
      <c r="M722" s="79"/>
      <c r="R722" s="79"/>
      <c r="S722" s="79"/>
      <c r="V722" s="79"/>
      <c r="W722" s="79"/>
      <c r="Z722" s="130"/>
      <c r="AB722" s="106"/>
    </row>
    <row r="723">
      <c r="C723" s="79"/>
      <c r="D723" s="79"/>
      <c r="E723" s="79"/>
      <c r="M723" s="79"/>
      <c r="R723" s="79"/>
      <c r="S723" s="79"/>
      <c r="V723" s="79"/>
      <c r="W723" s="79"/>
      <c r="Z723" s="130"/>
      <c r="AB723" s="106"/>
    </row>
    <row r="724">
      <c r="C724" s="79"/>
      <c r="D724" s="79"/>
      <c r="E724" s="79"/>
      <c r="M724" s="79"/>
      <c r="R724" s="79"/>
      <c r="S724" s="79"/>
      <c r="V724" s="79"/>
      <c r="W724" s="79"/>
      <c r="Z724" s="130"/>
      <c r="AB724" s="106"/>
    </row>
    <row r="725">
      <c r="C725" s="79"/>
      <c r="D725" s="79"/>
      <c r="E725" s="79"/>
      <c r="M725" s="79"/>
      <c r="R725" s="79"/>
      <c r="S725" s="79"/>
      <c r="V725" s="79"/>
      <c r="W725" s="79"/>
      <c r="Z725" s="130"/>
      <c r="AB725" s="106"/>
    </row>
    <row r="726">
      <c r="C726" s="79"/>
      <c r="D726" s="79"/>
      <c r="E726" s="79"/>
      <c r="M726" s="79"/>
      <c r="R726" s="79"/>
      <c r="S726" s="79"/>
      <c r="V726" s="79"/>
      <c r="W726" s="79"/>
      <c r="Z726" s="130"/>
      <c r="AB726" s="106"/>
    </row>
    <row r="727">
      <c r="C727" s="79"/>
      <c r="D727" s="79"/>
      <c r="E727" s="79"/>
      <c r="M727" s="79"/>
      <c r="R727" s="79"/>
      <c r="S727" s="79"/>
      <c r="V727" s="79"/>
      <c r="W727" s="79"/>
      <c r="Z727" s="130"/>
      <c r="AB727" s="106"/>
    </row>
    <row r="728">
      <c r="C728" s="79"/>
      <c r="D728" s="79"/>
      <c r="E728" s="79"/>
      <c r="M728" s="79"/>
      <c r="R728" s="79"/>
      <c r="S728" s="79"/>
      <c r="V728" s="79"/>
      <c r="W728" s="79"/>
      <c r="Z728" s="130"/>
      <c r="AB728" s="106"/>
    </row>
    <row r="729">
      <c r="C729" s="79"/>
      <c r="D729" s="79"/>
      <c r="E729" s="79"/>
      <c r="M729" s="79"/>
      <c r="R729" s="79"/>
      <c r="S729" s="79"/>
      <c r="V729" s="79"/>
      <c r="W729" s="79"/>
      <c r="Z729" s="130"/>
      <c r="AB729" s="106"/>
    </row>
    <row r="730">
      <c r="C730" s="79"/>
      <c r="D730" s="79"/>
      <c r="E730" s="79"/>
      <c r="M730" s="79"/>
      <c r="R730" s="79"/>
      <c r="S730" s="79"/>
      <c r="V730" s="79"/>
      <c r="W730" s="79"/>
      <c r="Z730" s="130"/>
      <c r="AB730" s="106"/>
    </row>
    <row r="731">
      <c r="C731" s="79"/>
      <c r="D731" s="79"/>
      <c r="E731" s="79"/>
      <c r="M731" s="79"/>
      <c r="R731" s="79"/>
      <c r="S731" s="79"/>
      <c r="V731" s="79"/>
      <c r="W731" s="79"/>
      <c r="Z731" s="130"/>
      <c r="AB731" s="106"/>
    </row>
    <row r="732">
      <c r="C732" s="79"/>
      <c r="D732" s="79"/>
      <c r="E732" s="79"/>
      <c r="M732" s="79"/>
      <c r="R732" s="79"/>
      <c r="S732" s="79"/>
      <c r="V732" s="79"/>
      <c r="W732" s="79"/>
      <c r="Z732" s="130"/>
      <c r="AB732" s="106"/>
    </row>
    <row r="733">
      <c r="C733" s="79"/>
      <c r="D733" s="79"/>
      <c r="E733" s="79"/>
      <c r="M733" s="79"/>
      <c r="R733" s="79"/>
      <c r="S733" s="79"/>
      <c r="V733" s="79"/>
      <c r="W733" s="79"/>
      <c r="Z733" s="130"/>
      <c r="AB733" s="106"/>
    </row>
    <row r="734">
      <c r="C734" s="79"/>
      <c r="D734" s="79"/>
      <c r="E734" s="79"/>
      <c r="M734" s="79"/>
      <c r="R734" s="79"/>
      <c r="S734" s="79"/>
      <c r="V734" s="79"/>
      <c r="W734" s="79"/>
      <c r="Z734" s="130"/>
      <c r="AB734" s="106"/>
    </row>
    <row r="735">
      <c r="C735" s="79"/>
      <c r="D735" s="79"/>
      <c r="E735" s="79"/>
      <c r="M735" s="79"/>
      <c r="R735" s="79"/>
      <c r="S735" s="79"/>
      <c r="V735" s="79"/>
      <c r="W735" s="79"/>
      <c r="Z735" s="130"/>
      <c r="AB735" s="106"/>
    </row>
    <row r="736">
      <c r="C736" s="79"/>
      <c r="D736" s="79"/>
      <c r="E736" s="79"/>
      <c r="M736" s="79"/>
      <c r="R736" s="79"/>
      <c r="S736" s="79"/>
      <c r="V736" s="79"/>
      <c r="W736" s="79"/>
      <c r="Z736" s="130"/>
      <c r="AB736" s="106"/>
    </row>
    <row r="737">
      <c r="C737" s="79"/>
      <c r="D737" s="79"/>
      <c r="E737" s="79"/>
      <c r="M737" s="79"/>
      <c r="R737" s="79"/>
      <c r="S737" s="79"/>
      <c r="V737" s="79"/>
      <c r="W737" s="79"/>
      <c r="Z737" s="130"/>
      <c r="AB737" s="106"/>
    </row>
    <row r="738">
      <c r="C738" s="79"/>
      <c r="D738" s="79"/>
      <c r="E738" s="79"/>
      <c r="M738" s="79"/>
      <c r="R738" s="79"/>
      <c r="S738" s="79"/>
      <c r="V738" s="79"/>
      <c r="W738" s="79"/>
      <c r="Z738" s="130"/>
      <c r="AB738" s="106"/>
    </row>
    <row r="739">
      <c r="C739" s="79"/>
      <c r="D739" s="79"/>
      <c r="E739" s="79"/>
      <c r="M739" s="79"/>
      <c r="R739" s="79"/>
      <c r="S739" s="79"/>
      <c r="V739" s="79"/>
      <c r="W739" s="79"/>
      <c r="Z739" s="130"/>
      <c r="AB739" s="106"/>
    </row>
    <row r="740">
      <c r="C740" s="79"/>
      <c r="D740" s="79"/>
      <c r="E740" s="79"/>
      <c r="M740" s="79"/>
      <c r="R740" s="79"/>
      <c r="S740" s="79"/>
      <c r="V740" s="79"/>
      <c r="W740" s="79"/>
      <c r="Z740" s="130"/>
      <c r="AB740" s="106"/>
    </row>
    <row r="741">
      <c r="C741" s="79"/>
      <c r="D741" s="79"/>
      <c r="E741" s="79"/>
      <c r="M741" s="79"/>
      <c r="R741" s="79"/>
      <c r="S741" s="79"/>
      <c r="V741" s="79"/>
      <c r="W741" s="79"/>
      <c r="Z741" s="130"/>
      <c r="AB741" s="106"/>
    </row>
    <row r="742">
      <c r="C742" s="79"/>
      <c r="D742" s="79"/>
      <c r="E742" s="79"/>
      <c r="M742" s="79"/>
      <c r="R742" s="79"/>
      <c r="S742" s="79"/>
      <c r="V742" s="79"/>
      <c r="W742" s="79"/>
      <c r="Z742" s="130"/>
      <c r="AB742" s="106"/>
    </row>
    <row r="743">
      <c r="C743" s="79"/>
      <c r="D743" s="79"/>
      <c r="E743" s="79"/>
      <c r="M743" s="79"/>
      <c r="R743" s="79"/>
      <c r="S743" s="79"/>
      <c r="V743" s="79"/>
      <c r="W743" s="79"/>
      <c r="Z743" s="130"/>
      <c r="AB743" s="106"/>
    </row>
    <row r="744">
      <c r="C744" s="79"/>
      <c r="D744" s="79"/>
      <c r="E744" s="79"/>
      <c r="M744" s="79"/>
      <c r="R744" s="79"/>
      <c r="S744" s="79"/>
      <c r="V744" s="79"/>
      <c r="W744" s="79"/>
      <c r="Z744" s="130"/>
      <c r="AB744" s="106"/>
    </row>
    <row r="745">
      <c r="C745" s="79"/>
      <c r="D745" s="79"/>
      <c r="E745" s="79"/>
      <c r="M745" s="79"/>
      <c r="R745" s="79"/>
      <c r="S745" s="79"/>
      <c r="V745" s="79"/>
      <c r="W745" s="79"/>
      <c r="Z745" s="130"/>
      <c r="AB745" s="106"/>
    </row>
    <row r="746">
      <c r="C746" s="79"/>
      <c r="D746" s="79"/>
      <c r="E746" s="79"/>
      <c r="M746" s="79"/>
      <c r="R746" s="79"/>
      <c r="S746" s="79"/>
      <c r="V746" s="79"/>
      <c r="W746" s="79"/>
      <c r="Z746" s="130"/>
      <c r="AB746" s="106"/>
    </row>
    <row r="747">
      <c r="C747" s="79"/>
      <c r="D747" s="79"/>
      <c r="E747" s="79"/>
      <c r="M747" s="79"/>
      <c r="R747" s="79"/>
      <c r="S747" s="79"/>
      <c r="V747" s="79"/>
      <c r="W747" s="79"/>
      <c r="Z747" s="130"/>
      <c r="AB747" s="106"/>
    </row>
    <row r="748">
      <c r="C748" s="79"/>
      <c r="D748" s="79"/>
      <c r="E748" s="79"/>
      <c r="M748" s="79"/>
      <c r="R748" s="79"/>
      <c r="S748" s="79"/>
      <c r="V748" s="79"/>
      <c r="W748" s="79"/>
      <c r="Z748" s="130"/>
      <c r="AB748" s="106"/>
    </row>
    <row r="749">
      <c r="C749" s="79"/>
      <c r="D749" s="79"/>
      <c r="E749" s="79"/>
      <c r="M749" s="79"/>
      <c r="R749" s="79"/>
      <c r="S749" s="79"/>
      <c r="V749" s="79"/>
      <c r="W749" s="79"/>
      <c r="Z749" s="130"/>
      <c r="AB749" s="106"/>
    </row>
    <row r="750">
      <c r="C750" s="79"/>
      <c r="D750" s="79"/>
      <c r="E750" s="79"/>
      <c r="M750" s="79"/>
      <c r="R750" s="79"/>
      <c r="S750" s="79"/>
      <c r="V750" s="79"/>
      <c r="W750" s="79"/>
      <c r="Z750" s="130"/>
      <c r="AB750" s="106"/>
    </row>
    <row r="751">
      <c r="C751" s="79"/>
      <c r="D751" s="79"/>
      <c r="E751" s="79"/>
      <c r="M751" s="79"/>
      <c r="R751" s="79"/>
      <c r="S751" s="79"/>
      <c r="V751" s="79"/>
      <c r="W751" s="79"/>
      <c r="Z751" s="130"/>
      <c r="AB751" s="106"/>
    </row>
    <row r="752">
      <c r="C752" s="79"/>
      <c r="D752" s="79"/>
      <c r="E752" s="79"/>
      <c r="M752" s="79"/>
      <c r="R752" s="79"/>
      <c r="S752" s="79"/>
      <c r="V752" s="79"/>
      <c r="W752" s="79"/>
      <c r="Z752" s="130"/>
      <c r="AB752" s="106"/>
    </row>
    <row r="753">
      <c r="C753" s="79"/>
      <c r="D753" s="79"/>
      <c r="E753" s="79"/>
      <c r="M753" s="79"/>
      <c r="R753" s="79"/>
      <c r="S753" s="79"/>
      <c r="V753" s="79"/>
      <c r="W753" s="79"/>
      <c r="Z753" s="130"/>
      <c r="AB753" s="106"/>
    </row>
    <row r="754">
      <c r="C754" s="79"/>
      <c r="D754" s="79"/>
      <c r="E754" s="79"/>
      <c r="M754" s="79"/>
      <c r="R754" s="79"/>
      <c r="S754" s="79"/>
      <c r="V754" s="79"/>
      <c r="W754" s="79"/>
      <c r="Z754" s="130"/>
      <c r="AB754" s="106"/>
    </row>
    <row r="755">
      <c r="C755" s="79"/>
      <c r="D755" s="79"/>
      <c r="E755" s="79"/>
      <c r="M755" s="79"/>
      <c r="R755" s="79"/>
      <c r="S755" s="79"/>
      <c r="V755" s="79"/>
      <c r="W755" s="79"/>
      <c r="Z755" s="130"/>
      <c r="AB755" s="106"/>
    </row>
    <row r="756">
      <c r="C756" s="79"/>
      <c r="D756" s="79"/>
      <c r="E756" s="79"/>
      <c r="M756" s="79"/>
      <c r="R756" s="79"/>
      <c r="S756" s="79"/>
      <c r="V756" s="79"/>
      <c r="W756" s="79"/>
      <c r="Z756" s="130"/>
      <c r="AB756" s="106"/>
    </row>
    <row r="757">
      <c r="C757" s="79"/>
      <c r="D757" s="79"/>
      <c r="E757" s="79"/>
      <c r="M757" s="79"/>
      <c r="R757" s="79"/>
      <c r="S757" s="79"/>
      <c r="V757" s="79"/>
      <c r="W757" s="79"/>
      <c r="Z757" s="130"/>
      <c r="AB757" s="106"/>
    </row>
    <row r="758">
      <c r="C758" s="79"/>
      <c r="D758" s="79"/>
      <c r="E758" s="79"/>
      <c r="M758" s="79"/>
      <c r="R758" s="79"/>
      <c r="S758" s="79"/>
      <c r="V758" s="79"/>
      <c r="W758" s="79"/>
      <c r="Z758" s="130"/>
      <c r="AB758" s="106"/>
    </row>
    <row r="759">
      <c r="C759" s="79"/>
      <c r="D759" s="79"/>
      <c r="E759" s="79"/>
      <c r="M759" s="79"/>
      <c r="R759" s="79"/>
      <c r="S759" s="79"/>
      <c r="V759" s="79"/>
      <c r="W759" s="79"/>
      <c r="Z759" s="130"/>
      <c r="AB759" s="106"/>
    </row>
    <row r="760">
      <c r="C760" s="79"/>
      <c r="D760" s="79"/>
      <c r="E760" s="79"/>
      <c r="M760" s="79"/>
      <c r="R760" s="79"/>
      <c r="S760" s="79"/>
      <c r="V760" s="79"/>
      <c r="W760" s="79"/>
      <c r="Z760" s="130"/>
      <c r="AB760" s="106"/>
    </row>
    <row r="761">
      <c r="C761" s="79"/>
      <c r="D761" s="79"/>
      <c r="E761" s="79"/>
      <c r="M761" s="79"/>
      <c r="R761" s="79"/>
      <c r="S761" s="79"/>
      <c r="V761" s="79"/>
      <c r="W761" s="79"/>
      <c r="Z761" s="130"/>
      <c r="AB761" s="106"/>
    </row>
    <row r="762">
      <c r="C762" s="79"/>
      <c r="D762" s="79"/>
      <c r="E762" s="79"/>
      <c r="M762" s="79"/>
      <c r="R762" s="79"/>
      <c r="S762" s="79"/>
      <c r="V762" s="79"/>
      <c r="W762" s="79"/>
      <c r="Z762" s="130"/>
      <c r="AB762" s="106"/>
    </row>
    <row r="763">
      <c r="C763" s="79"/>
      <c r="D763" s="79"/>
      <c r="E763" s="79"/>
      <c r="M763" s="79"/>
      <c r="R763" s="79"/>
      <c r="S763" s="79"/>
      <c r="V763" s="79"/>
      <c r="W763" s="79"/>
      <c r="Z763" s="130"/>
      <c r="AB763" s="106"/>
    </row>
    <row r="764">
      <c r="C764" s="79"/>
      <c r="D764" s="79"/>
      <c r="E764" s="79"/>
      <c r="M764" s="79"/>
      <c r="R764" s="79"/>
      <c r="S764" s="79"/>
      <c r="V764" s="79"/>
      <c r="W764" s="79"/>
      <c r="Z764" s="130"/>
      <c r="AB764" s="106"/>
    </row>
    <row r="765">
      <c r="C765" s="79"/>
      <c r="D765" s="79"/>
      <c r="E765" s="79"/>
      <c r="M765" s="79"/>
      <c r="R765" s="79"/>
      <c r="S765" s="79"/>
      <c r="V765" s="79"/>
      <c r="W765" s="79"/>
      <c r="Z765" s="130"/>
      <c r="AB765" s="106"/>
    </row>
    <row r="766">
      <c r="C766" s="79"/>
      <c r="D766" s="79"/>
      <c r="E766" s="79"/>
      <c r="M766" s="79"/>
      <c r="R766" s="79"/>
      <c r="S766" s="79"/>
      <c r="V766" s="79"/>
      <c r="W766" s="79"/>
      <c r="Z766" s="130"/>
      <c r="AB766" s="106"/>
    </row>
    <row r="767">
      <c r="C767" s="79"/>
      <c r="D767" s="79"/>
      <c r="E767" s="79"/>
      <c r="M767" s="79"/>
      <c r="R767" s="79"/>
      <c r="S767" s="79"/>
      <c r="V767" s="79"/>
      <c r="W767" s="79"/>
      <c r="Z767" s="130"/>
      <c r="AB767" s="106"/>
    </row>
    <row r="768">
      <c r="C768" s="79"/>
      <c r="D768" s="79"/>
      <c r="E768" s="79"/>
      <c r="M768" s="79"/>
      <c r="R768" s="79"/>
      <c r="S768" s="79"/>
      <c r="V768" s="79"/>
      <c r="W768" s="79"/>
      <c r="Z768" s="130"/>
      <c r="AB768" s="106"/>
    </row>
    <row r="769">
      <c r="C769" s="79"/>
      <c r="D769" s="79"/>
      <c r="E769" s="79"/>
      <c r="M769" s="79"/>
      <c r="R769" s="79"/>
      <c r="S769" s="79"/>
      <c r="V769" s="79"/>
      <c r="W769" s="79"/>
      <c r="Z769" s="130"/>
      <c r="AB769" s="106"/>
    </row>
    <row r="770">
      <c r="C770" s="79"/>
      <c r="D770" s="79"/>
      <c r="E770" s="79"/>
      <c r="M770" s="79"/>
      <c r="R770" s="79"/>
      <c r="S770" s="79"/>
      <c r="V770" s="79"/>
      <c r="W770" s="79"/>
      <c r="Z770" s="130"/>
      <c r="AB770" s="106"/>
    </row>
    <row r="771">
      <c r="C771" s="79"/>
      <c r="D771" s="79"/>
      <c r="E771" s="79"/>
      <c r="M771" s="79"/>
      <c r="R771" s="79"/>
      <c r="S771" s="79"/>
      <c r="V771" s="79"/>
      <c r="W771" s="79"/>
      <c r="Z771" s="130"/>
      <c r="AB771" s="106"/>
    </row>
    <row r="772">
      <c r="C772" s="79"/>
      <c r="D772" s="79"/>
      <c r="E772" s="79"/>
      <c r="M772" s="79"/>
      <c r="R772" s="79"/>
      <c r="S772" s="79"/>
      <c r="V772" s="79"/>
      <c r="W772" s="79"/>
      <c r="Z772" s="130"/>
      <c r="AB772" s="106"/>
    </row>
    <row r="773">
      <c r="C773" s="79"/>
      <c r="D773" s="79"/>
      <c r="E773" s="79"/>
      <c r="M773" s="79"/>
      <c r="R773" s="79"/>
      <c r="S773" s="79"/>
      <c r="V773" s="79"/>
      <c r="W773" s="79"/>
      <c r="Z773" s="130"/>
      <c r="AB773" s="106"/>
    </row>
    <row r="774">
      <c r="C774" s="79"/>
      <c r="D774" s="79"/>
      <c r="E774" s="79"/>
      <c r="M774" s="79"/>
      <c r="R774" s="79"/>
      <c r="S774" s="79"/>
      <c r="V774" s="79"/>
      <c r="W774" s="79"/>
      <c r="Z774" s="130"/>
      <c r="AB774" s="106"/>
    </row>
    <row r="775">
      <c r="C775" s="79"/>
      <c r="D775" s="79"/>
      <c r="E775" s="79"/>
      <c r="M775" s="79"/>
      <c r="R775" s="79"/>
      <c r="S775" s="79"/>
      <c r="V775" s="79"/>
      <c r="W775" s="79"/>
      <c r="Z775" s="130"/>
      <c r="AB775" s="106"/>
    </row>
    <row r="776">
      <c r="C776" s="79"/>
      <c r="D776" s="79"/>
      <c r="E776" s="79"/>
      <c r="M776" s="79"/>
      <c r="R776" s="79"/>
      <c r="S776" s="79"/>
      <c r="V776" s="79"/>
      <c r="W776" s="79"/>
      <c r="Z776" s="130"/>
      <c r="AB776" s="106"/>
    </row>
    <row r="777">
      <c r="C777" s="79"/>
      <c r="D777" s="79"/>
      <c r="E777" s="79"/>
      <c r="M777" s="79"/>
      <c r="R777" s="79"/>
      <c r="S777" s="79"/>
      <c r="V777" s="79"/>
      <c r="W777" s="79"/>
      <c r="Z777" s="130"/>
      <c r="AB777" s="106"/>
    </row>
    <row r="778">
      <c r="C778" s="79"/>
      <c r="D778" s="79"/>
      <c r="E778" s="79"/>
      <c r="M778" s="79"/>
      <c r="R778" s="79"/>
      <c r="S778" s="79"/>
      <c r="V778" s="79"/>
      <c r="W778" s="79"/>
      <c r="Z778" s="130"/>
      <c r="AB778" s="106"/>
    </row>
    <row r="779">
      <c r="C779" s="79"/>
      <c r="D779" s="79"/>
      <c r="E779" s="79"/>
      <c r="M779" s="79"/>
      <c r="R779" s="79"/>
      <c r="S779" s="79"/>
      <c r="V779" s="79"/>
      <c r="W779" s="79"/>
      <c r="Z779" s="130"/>
      <c r="AB779" s="106"/>
    </row>
    <row r="780">
      <c r="C780" s="79"/>
      <c r="D780" s="79"/>
      <c r="E780" s="79"/>
      <c r="M780" s="79"/>
      <c r="R780" s="79"/>
      <c r="S780" s="79"/>
      <c r="V780" s="79"/>
      <c r="W780" s="79"/>
      <c r="Z780" s="130"/>
      <c r="AB780" s="106"/>
    </row>
    <row r="781">
      <c r="C781" s="79"/>
      <c r="D781" s="79"/>
      <c r="E781" s="79"/>
      <c r="M781" s="79"/>
      <c r="R781" s="79"/>
      <c r="S781" s="79"/>
      <c r="V781" s="79"/>
      <c r="W781" s="79"/>
      <c r="Z781" s="130"/>
      <c r="AB781" s="106"/>
    </row>
    <row r="782">
      <c r="C782" s="79"/>
      <c r="D782" s="79"/>
      <c r="E782" s="79"/>
      <c r="M782" s="79"/>
      <c r="R782" s="79"/>
      <c r="S782" s="79"/>
      <c r="V782" s="79"/>
      <c r="W782" s="79"/>
      <c r="Z782" s="130"/>
      <c r="AB782" s="106"/>
    </row>
    <row r="783">
      <c r="C783" s="79"/>
      <c r="D783" s="79"/>
      <c r="E783" s="79"/>
      <c r="M783" s="79"/>
      <c r="R783" s="79"/>
      <c r="S783" s="79"/>
      <c r="V783" s="79"/>
      <c r="W783" s="79"/>
      <c r="Z783" s="130"/>
      <c r="AB783" s="106"/>
    </row>
    <row r="784">
      <c r="C784" s="79"/>
      <c r="D784" s="79"/>
      <c r="E784" s="79"/>
      <c r="M784" s="79"/>
      <c r="R784" s="79"/>
      <c r="S784" s="79"/>
      <c r="V784" s="79"/>
      <c r="W784" s="79"/>
      <c r="Z784" s="130"/>
      <c r="AB784" s="106"/>
    </row>
    <row r="785">
      <c r="C785" s="79"/>
      <c r="D785" s="79"/>
      <c r="E785" s="79"/>
      <c r="M785" s="79"/>
      <c r="R785" s="79"/>
      <c r="S785" s="79"/>
      <c r="V785" s="79"/>
      <c r="W785" s="79"/>
      <c r="Z785" s="130"/>
      <c r="AB785" s="106"/>
    </row>
    <row r="786">
      <c r="C786" s="79"/>
      <c r="D786" s="79"/>
      <c r="E786" s="79"/>
      <c r="M786" s="79"/>
      <c r="R786" s="79"/>
      <c r="S786" s="79"/>
      <c r="V786" s="79"/>
      <c r="W786" s="79"/>
      <c r="Z786" s="130"/>
      <c r="AB786" s="106"/>
    </row>
    <row r="787">
      <c r="C787" s="79"/>
      <c r="D787" s="79"/>
      <c r="E787" s="79"/>
      <c r="M787" s="79"/>
      <c r="R787" s="79"/>
      <c r="S787" s="79"/>
      <c r="V787" s="79"/>
      <c r="W787" s="79"/>
      <c r="Z787" s="130"/>
      <c r="AB787" s="106"/>
    </row>
    <row r="788">
      <c r="C788" s="79"/>
      <c r="D788" s="79"/>
      <c r="E788" s="79"/>
      <c r="M788" s="79"/>
      <c r="R788" s="79"/>
      <c r="S788" s="79"/>
      <c r="V788" s="79"/>
      <c r="W788" s="79"/>
      <c r="Z788" s="130"/>
      <c r="AB788" s="106"/>
    </row>
    <row r="789">
      <c r="C789" s="79"/>
      <c r="D789" s="79"/>
      <c r="E789" s="79"/>
      <c r="M789" s="79"/>
      <c r="R789" s="79"/>
      <c r="S789" s="79"/>
      <c r="V789" s="79"/>
      <c r="W789" s="79"/>
      <c r="Z789" s="130"/>
      <c r="AB789" s="106"/>
    </row>
    <row r="790">
      <c r="C790" s="79"/>
      <c r="D790" s="79"/>
      <c r="E790" s="79"/>
      <c r="M790" s="79"/>
      <c r="R790" s="79"/>
      <c r="S790" s="79"/>
      <c r="V790" s="79"/>
      <c r="W790" s="79"/>
      <c r="Z790" s="130"/>
      <c r="AB790" s="106"/>
    </row>
    <row r="791">
      <c r="C791" s="79"/>
      <c r="D791" s="79"/>
      <c r="E791" s="79"/>
      <c r="M791" s="79"/>
      <c r="R791" s="79"/>
      <c r="S791" s="79"/>
      <c r="V791" s="79"/>
      <c r="W791" s="79"/>
      <c r="Z791" s="130"/>
      <c r="AB791" s="106"/>
    </row>
    <row r="792">
      <c r="C792" s="79"/>
      <c r="D792" s="79"/>
      <c r="E792" s="79"/>
      <c r="M792" s="79"/>
      <c r="R792" s="79"/>
      <c r="S792" s="79"/>
      <c r="V792" s="79"/>
      <c r="W792" s="79"/>
      <c r="Z792" s="130"/>
      <c r="AB792" s="106"/>
    </row>
    <row r="793">
      <c r="C793" s="79"/>
      <c r="D793" s="79"/>
      <c r="E793" s="79"/>
      <c r="M793" s="79"/>
      <c r="R793" s="79"/>
      <c r="S793" s="79"/>
      <c r="V793" s="79"/>
      <c r="W793" s="79"/>
      <c r="Z793" s="130"/>
      <c r="AB793" s="106"/>
    </row>
    <row r="794">
      <c r="C794" s="79"/>
      <c r="D794" s="79"/>
      <c r="E794" s="79"/>
      <c r="M794" s="79"/>
      <c r="R794" s="79"/>
      <c r="S794" s="79"/>
      <c r="V794" s="79"/>
      <c r="W794" s="79"/>
      <c r="Z794" s="130"/>
      <c r="AB794" s="106"/>
    </row>
    <row r="795">
      <c r="C795" s="79"/>
      <c r="D795" s="79"/>
      <c r="E795" s="79"/>
      <c r="M795" s="79"/>
      <c r="R795" s="79"/>
      <c r="S795" s="79"/>
      <c r="V795" s="79"/>
      <c r="W795" s="79"/>
      <c r="Z795" s="130"/>
      <c r="AB795" s="106"/>
    </row>
    <row r="796">
      <c r="C796" s="79"/>
      <c r="D796" s="79"/>
      <c r="E796" s="79"/>
      <c r="M796" s="79"/>
      <c r="R796" s="79"/>
      <c r="S796" s="79"/>
      <c r="V796" s="79"/>
      <c r="W796" s="79"/>
      <c r="Z796" s="130"/>
      <c r="AB796" s="106"/>
    </row>
    <row r="797">
      <c r="C797" s="79"/>
      <c r="D797" s="79"/>
      <c r="E797" s="79"/>
      <c r="M797" s="79"/>
      <c r="R797" s="79"/>
      <c r="S797" s="79"/>
      <c r="V797" s="79"/>
      <c r="W797" s="79"/>
      <c r="Z797" s="130"/>
      <c r="AB797" s="106"/>
    </row>
    <row r="798">
      <c r="C798" s="79"/>
      <c r="D798" s="79"/>
      <c r="E798" s="79"/>
      <c r="M798" s="79"/>
      <c r="R798" s="79"/>
      <c r="S798" s="79"/>
      <c r="V798" s="79"/>
      <c r="W798" s="79"/>
      <c r="Z798" s="130"/>
      <c r="AB798" s="106"/>
    </row>
    <row r="799">
      <c r="C799" s="79"/>
      <c r="D799" s="79"/>
      <c r="E799" s="79"/>
      <c r="M799" s="79"/>
      <c r="R799" s="79"/>
      <c r="S799" s="79"/>
      <c r="V799" s="79"/>
      <c r="W799" s="79"/>
      <c r="Z799" s="130"/>
      <c r="AB799" s="106"/>
    </row>
    <row r="800">
      <c r="C800" s="79"/>
      <c r="D800" s="79"/>
      <c r="E800" s="79"/>
      <c r="M800" s="79"/>
      <c r="R800" s="79"/>
      <c r="S800" s="79"/>
      <c r="V800" s="79"/>
      <c r="W800" s="79"/>
      <c r="Z800" s="130"/>
      <c r="AB800" s="106"/>
    </row>
    <row r="801">
      <c r="C801" s="79"/>
      <c r="D801" s="79"/>
      <c r="E801" s="79"/>
      <c r="M801" s="79"/>
      <c r="R801" s="79"/>
      <c r="S801" s="79"/>
      <c r="V801" s="79"/>
      <c r="W801" s="79"/>
      <c r="Z801" s="130"/>
      <c r="AB801" s="106"/>
    </row>
    <row r="802">
      <c r="C802" s="79"/>
      <c r="D802" s="79"/>
      <c r="E802" s="79"/>
      <c r="M802" s="79"/>
      <c r="R802" s="79"/>
      <c r="S802" s="79"/>
      <c r="V802" s="79"/>
      <c r="W802" s="79"/>
      <c r="Z802" s="130"/>
      <c r="AB802" s="106"/>
    </row>
    <row r="803">
      <c r="C803" s="79"/>
      <c r="D803" s="79"/>
      <c r="E803" s="79"/>
      <c r="M803" s="79"/>
      <c r="R803" s="79"/>
      <c r="S803" s="79"/>
      <c r="V803" s="79"/>
      <c r="W803" s="79"/>
      <c r="Z803" s="130"/>
      <c r="AB803" s="106"/>
    </row>
    <row r="804">
      <c r="C804" s="79"/>
      <c r="D804" s="79"/>
      <c r="E804" s="79"/>
      <c r="M804" s="79"/>
      <c r="R804" s="79"/>
      <c r="S804" s="79"/>
      <c r="V804" s="79"/>
      <c r="W804" s="79"/>
      <c r="Z804" s="130"/>
      <c r="AB804" s="106"/>
    </row>
    <row r="805">
      <c r="C805" s="79"/>
      <c r="D805" s="79"/>
      <c r="E805" s="79"/>
      <c r="M805" s="79"/>
      <c r="R805" s="79"/>
      <c r="S805" s="79"/>
      <c r="V805" s="79"/>
      <c r="W805" s="79"/>
      <c r="Z805" s="130"/>
      <c r="AB805" s="106"/>
    </row>
    <row r="806">
      <c r="C806" s="79"/>
      <c r="D806" s="79"/>
      <c r="E806" s="79"/>
      <c r="M806" s="79"/>
      <c r="R806" s="79"/>
      <c r="S806" s="79"/>
      <c r="V806" s="79"/>
      <c r="W806" s="79"/>
      <c r="Z806" s="130"/>
      <c r="AB806" s="106"/>
    </row>
    <row r="807">
      <c r="C807" s="79"/>
      <c r="D807" s="79"/>
      <c r="E807" s="79"/>
      <c r="M807" s="79"/>
      <c r="R807" s="79"/>
      <c r="S807" s="79"/>
      <c r="V807" s="79"/>
      <c r="W807" s="79"/>
      <c r="Z807" s="130"/>
      <c r="AB807" s="106"/>
    </row>
    <row r="808">
      <c r="C808" s="79"/>
      <c r="D808" s="79"/>
      <c r="E808" s="79"/>
      <c r="M808" s="79"/>
      <c r="R808" s="79"/>
      <c r="S808" s="79"/>
      <c r="V808" s="79"/>
      <c r="W808" s="79"/>
      <c r="Z808" s="130"/>
      <c r="AB808" s="106"/>
    </row>
    <row r="809">
      <c r="C809" s="79"/>
      <c r="D809" s="79"/>
      <c r="E809" s="79"/>
      <c r="M809" s="79"/>
      <c r="R809" s="79"/>
      <c r="S809" s="79"/>
      <c r="V809" s="79"/>
      <c r="W809" s="79"/>
      <c r="Z809" s="130"/>
      <c r="AB809" s="106"/>
    </row>
    <row r="810">
      <c r="C810" s="79"/>
      <c r="D810" s="79"/>
      <c r="E810" s="79"/>
      <c r="M810" s="79"/>
      <c r="R810" s="79"/>
      <c r="S810" s="79"/>
      <c r="V810" s="79"/>
      <c r="W810" s="79"/>
      <c r="Z810" s="130"/>
      <c r="AB810" s="106"/>
    </row>
    <row r="811">
      <c r="C811" s="79"/>
      <c r="D811" s="79"/>
      <c r="E811" s="79"/>
      <c r="M811" s="79"/>
      <c r="R811" s="79"/>
      <c r="S811" s="79"/>
      <c r="V811" s="79"/>
      <c r="W811" s="79"/>
      <c r="Z811" s="130"/>
      <c r="AB811" s="106"/>
    </row>
    <row r="812">
      <c r="C812" s="79"/>
      <c r="D812" s="79"/>
      <c r="E812" s="79"/>
      <c r="M812" s="79"/>
      <c r="R812" s="79"/>
      <c r="S812" s="79"/>
      <c r="V812" s="79"/>
      <c r="W812" s="79"/>
      <c r="Z812" s="130"/>
      <c r="AB812" s="106"/>
    </row>
    <row r="813">
      <c r="C813" s="79"/>
      <c r="D813" s="79"/>
      <c r="E813" s="79"/>
      <c r="M813" s="79"/>
      <c r="R813" s="79"/>
      <c r="S813" s="79"/>
      <c r="V813" s="79"/>
      <c r="W813" s="79"/>
      <c r="Z813" s="130"/>
      <c r="AB813" s="106"/>
    </row>
    <row r="814">
      <c r="C814" s="79"/>
      <c r="D814" s="79"/>
      <c r="E814" s="79"/>
      <c r="M814" s="79"/>
      <c r="R814" s="79"/>
      <c r="S814" s="79"/>
      <c r="V814" s="79"/>
      <c r="W814" s="79"/>
      <c r="Z814" s="130"/>
      <c r="AB814" s="106"/>
    </row>
    <row r="815">
      <c r="C815" s="79"/>
      <c r="D815" s="79"/>
      <c r="E815" s="79"/>
      <c r="M815" s="79"/>
      <c r="R815" s="79"/>
      <c r="S815" s="79"/>
      <c r="V815" s="79"/>
      <c r="W815" s="79"/>
      <c r="Z815" s="130"/>
      <c r="AB815" s="106"/>
    </row>
    <row r="816">
      <c r="C816" s="79"/>
      <c r="D816" s="79"/>
      <c r="E816" s="79"/>
      <c r="M816" s="79"/>
      <c r="R816" s="79"/>
      <c r="S816" s="79"/>
      <c r="V816" s="79"/>
      <c r="W816" s="79"/>
      <c r="Z816" s="130"/>
      <c r="AB816" s="106"/>
    </row>
    <row r="817">
      <c r="C817" s="79"/>
      <c r="D817" s="79"/>
      <c r="E817" s="79"/>
      <c r="M817" s="79"/>
      <c r="R817" s="79"/>
      <c r="S817" s="79"/>
      <c r="V817" s="79"/>
      <c r="W817" s="79"/>
      <c r="Z817" s="130"/>
      <c r="AB817" s="106"/>
    </row>
    <row r="818">
      <c r="C818" s="79"/>
      <c r="D818" s="79"/>
      <c r="E818" s="79"/>
      <c r="M818" s="79"/>
      <c r="R818" s="79"/>
      <c r="S818" s="79"/>
      <c r="V818" s="79"/>
      <c r="W818" s="79"/>
      <c r="Z818" s="130"/>
      <c r="AB818" s="106"/>
    </row>
    <row r="819">
      <c r="C819" s="79"/>
      <c r="D819" s="79"/>
      <c r="E819" s="79"/>
      <c r="M819" s="79"/>
      <c r="R819" s="79"/>
      <c r="S819" s="79"/>
      <c r="V819" s="79"/>
      <c r="W819" s="79"/>
      <c r="Z819" s="130"/>
      <c r="AB819" s="106"/>
    </row>
    <row r="820">
      <c r="C820" s="79"/>
      <c r="D820" s="79"/>
      <c r="E820" s="79"/>
      <c r="M820" s="79"/>
      <c r="R820" s="79"/>
      <c r="S820" s="79"/>
      <c r="V820" s="79"/>
      <c r="W820" s="79"/>
      <c r="Z820" s="130"/>
      <c r="AB820" s="106"/>
    </row>
    <row r="821">
      <c r="C821" s="79"/>
      <c r="D821" s="79"/>
      <c r="E821" s="79"/>
      <c r="M821" s="79"/>
      <c r="R821" s="79"/>
      <c r="S821" s="79"/>
      <c r="V821" s="79"/>
      <c r="W821" s="79"/>
      <c r="Z821" s="130"/>
      <c r="AB821" s="106"/>
    </row>
    <row r="822">
      <c r="C822" s="79"/>
      <c r="D822" s="79"/>
      <c r="E822" s="79"/>
      <c r="M822" s="79"/>
      <c r="R822" s="79"/>
      <c r="S822" s="79"/>
      <c r="V822" s="79"/>
      <c r="W822" s="79"/>
      <c r="Z822" s="130"/>
      <c r="AB822" s="106"/>
    </row>
    <row r="823">
      <c r="C823" s="79"/>
      <c r="D823" s="79"/>
      <c r="E823" s="79"/>
      <c r="M823" s="79"/>
      <c r="R823" s="79"/>
      <c r="S823" s="79"/>
      <c r="V823" s="79"/>
      <c r="W823" s="79"/>
      <c r="Z823" s="130"/>
      <c r="AB823" s="106"/>
    </row>
    <row r="824">
      <c r="C824" s="79"/>
      <c r="D824" s="79"/>
      <c r="E824" s="79"/>
      <c r="M824" s="79"/>
      <c r="R824" s="79"/>
      <c r="S824" s="79"/>
      <c r="V824" s="79"/>
      <c r="W824" s="79"/>
      <c r="Z824" s="130"/>
      <c r="AB824" s="106"/>
    </row>
    <row r="825">
      <c r="C825" s="79"/>
      <c r="D825" s="79"/>
      <c r="E825" s="79"/>
      <c r="M825" s="79"/>
      <c r="R825" s="79"/>
      <c r="S825" s="79"/>
      <c r="V825" s="79"/>
      <c r="W825" s="79"/>
      <c r="Z825" s="130"/>
      <c r="AB825" s="106"/>
    </row>
    <row r="826">
      <c r="C826" s="79"/>
      <c r="D826" s="79"/>
      <c r="E826" s="79"/>
      <c r="M826" s="79"/>
      <c r="R826" s="79"/>
      <c r="S826" s="79"/>
      <c r="V826" s="79"/>
      <c r="W826" s="79"/>
      <c r="Z826" s="130"/>
      <c r="AB826" s="106"/>
    </row>
    <row r="827">
      <c r="C827" s="79"/>
      <c r="D827" s="79"/>
      <c r="E827" s="79"/>
      <c r="M827" s="79"/>
      <c r="R827" s="79"/>
      <c r="S827" s="79"/>
      <c r="V827" s="79"/>
      <c r="W827" s="79"/>
      <c r="Z827" s="130"/>
      <c r="AB827" s="106"/>
    </row>
    <row r="828">
      <c r="C828" s="79"/>
      <c r="D828" s="79"/>
      <c r="E828" s="79"/>
      <c r="M828" s="79"/>
      <c r="R828" s="79"/>
      <c r="S828" s="79"/>
      <c r="V828" s="79"/>
      <c r="W828" s="79"/>
      <c r="Z828" s="130"/>
      <c r="AB828" s="106"/>
    </row>
    <row r="829">
      <c r="C829" s="79"/>
      <c r="D829" s="79"/>
      <c r="E829" s="79"/>
      <c r="M829" s="79"/>
      <c r="R829" s="79"/>
      <c r="S829" s="79"/>
      <c r="V829" s="79"/>
      <c r="W829" s="79"/>
      <c r="Z829" s="130"/>
      <c r="AB829" s="106"/>
    </row>
    <row r="830">
      <c r="C830" s="79"/>
      <c r="D830" s="79"/>
      <c r="E830" s="79"/>
      <c r="M830" s="79"/>
      <c r="R830" s="79"/>
      <c r="S830" s="79"/>
      <c r="V830" s="79"/>
      <c r="W830" s="79"/>
      <c r="Z830" s="130"/>
      <c r="AB830" s="106"/>
    </row>
    <row r="831">
      <c r="C831" s="79"/>
      <c r="D831" s="79"/>
      <c r="E831" s="79"/>
      <c r="M831" s="79"/>
      <c r="R831" s="79"/>
      <c r="S831" s="79"/>
      <c r="V831" s="79"/>
      <c r="W831" s="79"/>
      <c r="Z831" s="130"/>
      <c r="AB831" s="106"/>
    </row>
    <row r="832">
      <c r="C832" s="79"/>
      <c r="D832" s="79"/>
      <c r="E832" s="79"/>
      <c r="M832" s="79"/>
      <c r="R832" s="79"/>
      <c r="S832" s="79"/>
      <c r="V832" s="79"/>
      <c r="W832" s="79"/>
      <c r="Z832" s="130"/>
      <c r="AB832" s="106"/>
    </row>
    <row r="833">
      <c r="C833" s="79"/>
      <c r="D833" s="79"/>
      <c r="E833" s="79"/>
      <c r="M833" s="79"/>
      <c r="R833" s="79"/>
      <c r="S833" s="79"/>
      <c r="V833" s="79"/>
      <c r="W833" s="79"/>
      <c r="Z833" s="130"/>
      <c r="AB833" s="106"/>
    </row>
    <row r="834">
      <c r="C834" s="79"/>
      <c r="D834" s="79"/>
      <c r="E834" s="79"/>
      <c r="M834" s="79"/>
      <c r="R834" s="79"/>
      <c r="S834" s="79"/>
      <c r="V834" s="79"/>
      <c r="W834" s="79"/>
      <c r="Z834" s="130"/>
      <c r="AB834" s="106"/>
    </row>
    <row r="835">
      <c r="C835" s="79"/>
      <c r="D835" s="79"/>
      <c r="E835" s="79"/>
      <c r="M835" s="79"/>
      <c r="R835" s="79"/>
      <c r="S835" s="79"/>
      <c r="V835" s="79"/>
      <c r="W835" s="79"/>
      <c r="Z835" s="130"/>
      <c r="AB835" s="106"/>
    </row>
    <row r="836">
      <c r="C836" s="79"/>
      <c r="D836" s="79"/>
      <c r="E836" s="79"/>
      <c r="M836" s="79"/>
      <c r="R836" s="79"/>
      <c r="S836" s="79"/>
      <c r="V836" s="79"/>
      <c r="W836" s="79"/>
      <c r="Z836" s="130"/>
      <c r="AB836" s="106"/>
    </row>
    <row r="837">
      <c r="C837" s="79"/>
      <c r="D837" s="79"/>
      <c r="E837" s="79"/>
      <c r="M837" s="79"/>
      <c r="R837" s="79"/>
      <c r="S837" s="79"/>
      <c r="V837" s="79"/>
      <c r="W837" s="79"/>
      <c r="Z837" s="130"/>
      <c r="AB837" s="106"/>
    </row>
    <row r="838">
      <c r="C838" s="79"/>
      <c r="D838" s="79"/>
      <c r="E838" s="79"/>
      <c r="M838" s="79"/>
      <c r="R838" s="79"/>
      <c r="S838" s="79"/>
      <c r="V838" s="79"/>
      <c r="W838" s="79"/>
      <c r="Z838" s="130"/>
      <c r="AB838" s="106"/>
    </row>
    <row r="839">
      <c r="C839" s="79"/>
      <c r="D839" s="79"/>
      <c r="E839" s="79"/>
      <c r="M839" s="79"/>
      <c r="R839" s="79"/>
      <c r="S839" s="79"/>
      <c r="V839" s="79"/>
      <c r="W839" s="79"/>
      <c r="Z839" s="130"/>
      <c r="AB839" s="106"/>
    </row>
    <row r="840">
      <c r="C840" s="79"/>
      <c r="D840" s="79"/>
      <c r="E840" s="79"/>
      <c r="M840" s="79"/>
      <c r="R840" s="79"/>
      <c r="S840" s="79"/>
      <c r="V840" s="79"/>
      <c r="W840" s="79"/>
      <c r="Z840" s="130"/>
      <c r="AB840" s="106"/>
    </row>
    <row r="841">
      <c r="C841" s="79"/>
      <c r="D841" s="79"/>
      <c r="E841" s="79"/>
      <c r="M841" s="79"/>
      <c r="R841" s="79"/>
      <c r="S841" s="79"/>
      <c r="V841" s="79"/>
      <c r="W841" s="79"/>
      <c r="Z841" s="130"/>
      <c r="AB841" s="106"/>
    </row>
    <row r="842">
      <c r="C842" s="79"/>
      <c r="D842" s="79"/>
      <c r="E842" s="79"/>
      <c r="M842" s="79"/>
      <c r="R842" s="79"/>
      <c r="S842" s="79"/>
      <c r="V842" s="79"/>
      <c r="W842" s="79"/>
      <c r="Z842" s="130"/>
      <c r="AB842" s="106"/>
    </row>
    <row r="843">
      <c r="C843" s="79"/>
      <c r="D843" s="79"/>
      <c r="E843" s="79"/>
      <c r="M843" s="79"/>
      <c r="R843" s="79"/>
      <c r="S843" s="79"/>
      <c r="V843" s="79"/>
      <c r="W843" s="79"/>
      <c r="Z843" s="130"/>
      <c r="AB843" s="106"/>
    </row>
    <row r="844">
      <c r="C844" s="79"/>
      <c r="D844" s="79"/>
      <c r="E844" s="79"/>
      <c r="M844" s="79"/>
      <c r="R844" s="79"/>
      <c r="S844" s="79"/>
      <c r="V844" s="79"/>
      <c r="W844" s="79"/>
      <c r="Z844" s="130"/>
      <c r="AB844" s="106"/>
    </row>
    <row r="845">
      <c r="C845" s="79"/>
      <c r="D845" s="79"/>
      <c r="E845" s="79"/>
      <c r="M845" s="79"/>
      <c r="R845" s="79"/>
      <c r="S845" s="79"/>
      <c r="V845" s="79"/>
      <c r="W845" s="79"/>
      <c r="Z845" s="130"/>
      <c r="AB845" s="106"/>
    </row>
    <row r="846">
      <c r="C846" s="79"/>
      <c r="D846" s="79"/>
      <c r="E846" s="79"/>
      <c r="M846" s="79"/>
      <c r="R846" s="79"/>
      <c r="S846" s="79"/>
      <c r="V846" s="79"/>
      <c r="W846" s="79"/>
      <c r="Z846" s="130"/>
      <c r="AB846" s="106"/>
    </row>
    <row r="847">
      <c r="C847" s="79"/>
      <c r="D847" s="79"/>
      <c r="E847" s="79"/>
      <c r="M847" s="79"/>
      <c r="R847" s="79"/>
      <c r="S847" s="79"/>
      <c r="V847" s="79"/>
      <c r="W847" s="79"/>
      <c r="Z847" s="130"/>
      <c r="AB847" s="106"/>
    </row>
    <row r="848">
      <c r="C848" s="79"/>
      <c r="D848" s="79"/>
      <c r="E848" s="79"/>
      <c r="M848" s="79"/>
      <c r="R848" s="79"/>
      <c r="S848" s="79"/>
      <c r="V848" s="79"/>
      <c r="W848" s="79"/>
      <c r="Z848" s="130"/>
      <c r="AB848" s="106"/>
    </row>
    <row r="849">
      <c r="C849" s="79"/>
      <c r="D849" s="79"/>
      <c r="E849" s="79"/>
      <c r="M849" s="79"/>
      <c r="R849" s="79"/>
      <c r="S849" s="79"/>
      <c r="V849" s="79"/>
      <c r="W849" s="79"/>
      <c r="Z849" s="130"/>
      <c r="AB849" s="106"/>
    </row>
    <row r="850">
      <c r="C850" s="79"/>
      <c r="D850" s="79"/>
      <c r="E850" s="79"/>
      <c r="M850" s="79"/>
      <c r="R850" s="79"/>
      <c r="S850" s="79"/>
      <c r="V850" s="79"/>
      <c r="W850" s="79"/>
      <c r="Z850" s="130"/>
      <c r="AB850" s="106"/>
    </row>
    <row r="851">
      <c r="C851" s="79"/>
      <c r="D851" s="79"/>
      <c r="E851" s="79"/>
      <c r="M851" s="79"/>
      <c r="R851" s="79"/>
      <c r="S851" s="79"/>
      <c r="V851" s="79"/>
      <c r="W851" s="79"/>
      <c r="Z851" s="130"/>
      <c r="AB851" s="106"/>
    </row>
    <row r="852">
      <c r="C852" s="79"/>
      <c r="D852" s="79"/>
      <c r="E852" s="79"/>
      <c r="M852" s="79"/>
      <c r="R852" s="79"/>
      <c r="S852" s="79"/>
      <c r="V852" s="79"/>
      <c r="W852" s="79"/>
      <c r="Z852" s="130"/>
      <c r="AB852" s="106"/>
    </row>
    <row r="853">
      <c r="C853" s="79"/>
      <c r="D853" s="79"/>
      <c r="E853" s="79"/>
      <c r="M853" s="79"/>
      <c r="R853" s="79"/>
      <c r="S853" s="79"/>
      <c r="V853" s="79"/>
      <c r="W853" s="79"/>
      <c r="Z853" s="130"/>
      <c r="AB853" s="106"/>
    </row>
    <row r="854">
      <c r="C854" s="79"/>
      <c r="D854" s="79"/>
      <c r="E854" s="79"/>
      <c r="M854" s="79"/>
      <c r="R854" s="79"/>
      <c r="S854" s="79"/>
      <c r="V854" s="79"/>
      <c r="W854" s="79"/>
      <c r="Z854" s="130"/>
      <c r="AB854" s="106"/>
    </row>
    <row r="855">
      <c r="C855" s="79"/>
      <c r="D855" s="79"/>
      <c r="E855" s="79"/>
      <c r="M855" s="79"/>
      <c r="R855" s="79"/>
      <c r="S855" s="79"/>
      <c r="V855" s="79"/>
      <c r="W855" s="79"/>
      <c r="Z855" s="130"/>
      <c r="AB855" s="106"/>
    </row>
    <row r="856">
      <c r="C856" s="79"/>
      <c r="D856" s="79"/>
      <c r="E856" s="79"/>
      <c r="M856" s="79"/>
      <c r="R856" s="79"/>
      <c r="S856" s="79"/>
      <c r="V856" s="79"/>
      <c r="W856" s="79"/>
      <c r="Z856" s="130"/>
      <c r="AB856" s="106"/>
    </row>
    <row r="857">
      <c r="C857" s="79"/>
      <c r="D857" s="79"/>
      <c r="E857" s="79"/>
      <c r="M857" s="79"/>
      <c r="R857" s="79"/>
      <c r="S857" s="79"/>
      <c r="V857" s="79"/>
      <c r="W857" s="79"/>
      <c r="Z857" s="130"/>
      <c r="AB857" s="106"/>
    </row>
    <row r="858">
      <c r="C858" s="79"/>
      <c r="D858" s="79"/>
      <c r="E858" s="79"/>
      <c r="M858" s="79"/>
      <c r="R858" s="79"/>
      <c r="S858" s="79"/>
      <c r="V858" s="79"/>
      <c r="W858" s="79"/>
      <c r="Z858" s="130"/>
      <c r="AB858" s="106"/>
    </row>
    <row r="859">
      <c r="C859" s="79"/>
      <c r="D859" s="79"/>
      <c r="E859" s="79"/>
      <c r="M859" s="79"/>
      <c r="R859" s="79"/>
      <c r="S859" s="79"/>
      <c r="V859" s="79"/>
      <c r="W859" s="79"/>
      <c r="Z859" s="130"/>
      <c r="AB859" s="106"/>
    </row>
    <row r="860">
      <c r="C860" s="79"/>
      <c r="D860" s="79"/>
      <c r="E860" s="79"/>
      <c r="M860" s="79"/>
      <c r="R860" s="79"/>
      <c r="S860" s="79"/>
      <c r="V860" s="79"/>
      <c r="W860" s="79"/>
      <c r="Z860" s="130"/>
      <c r="AB860" s="106"/>
    </row>
    <row r="861">
      <c r="C861" s="79"/>
      <c r="D861" s="79"/>
      <c r="E861" s="79"/>
      <c r="M861" s="79"/>
      <c r="R861" s="79"/>
      <c r="S861" s="79"/>
      <c r="V861" s="79"/>
      <c r="W861" s="79"/>
      <c r="Z861" s="130"/>
      <c r="AB861" s="106"/>
    </row>
    <row r="862">
      <c r="C862" s="79"/>
      <c r="D862" s="79"/>
      <c r="E862" s="79"/>
      <c r="M862" s="79"/>
      <c r="R862" s="79"/>
      <c r="S862" s="79"/>
      <c r="V862" s="79"/>
      <c r="W862" s="79"/>
      <c r="Z862" s="130"/>
      <c r="AB862" s="106"/>
    </row>
    <row r="863">
      <c r="C863" s="79"/>
      <c r="D863" s="79"/>
      <c r="E863" s="79"/>
      <c r="M863" s="79"/>
      <c r="R863" s="79"/>
      <c r="S863" s="79"/>
      <c r="V863" s="79"/>
      <c r="W863" s="79"/>
      <c r="Z863" s="130"/>
      <c r="AB863" s="106"/>
    </row>
    <row r="864">
      <c r="C864" s="79"/>
      <c r="D864" s="79"/>
      <c r="E864" s="79"/>
      <c r="M864" s="79"/>
      <c r="R864" s="79"/>
      <c r="S864" s="79"/>
      <c r="V864" s="79"/>
      <c r="W864" s="79"/>
      <c r="Z864" s="130"/>
      <c r="AB864" s="106"/>
    </row>
    <row r="865">
      <c r="C865" s="79"/>
      <c r="D865" s="79"/>
      <c r="E865" s="79"/>
      <c r="M865" s="79"/>
      <c r="R865" s="79"/>
      <c r="S865" s="79"/>
      <c r="V865" s="79"/>
      <c r="W865" s="79"/>
      <c r="Z865" s="130"/>
      <c r="AB865" s="106"/>
    </row>
    <row r="866">
      <c r="C866" s="79"/>
      <c r="D866" s="79"/>
      <c r="E866" s="79"/>
      <c r="M866" s="79"/>
      <c r="R866" s="79"/>
      <c r="S866" s="79"/>
      <c r="V866" s="79"/>
      <c r="W866" s="79"/>
      <c r="Z866" s="130"/>
      <c r="AB866" s="106"/>
    </row>
    <row r="867">
      <c r="C867" s="79"/>
      <c r="D867" s="79"/>
      <c r="E867" s="79"/>
      <c r="M867" s="79"/>
      <c r="R867" s="79"/>
      <c r="S867" s="79"/>
      <c r="V867" s="79"/>
      <c r="W867" s="79"/>
      <c r="Z867" s="130"/>
      <c r="AB867" s="106"/>
    </row>
    <row r="868">
      <c r="C868" s="79"/>
      <c r="D868" s="79"/>
      <c r="E868" s="79"/>
      <c r="M868" s="79"/>
      <c r="R868" s="79"/>
      <c r="S868" s="79"/>
      <c r="V868" s="79"/>
      <c r="W868" s="79"/>
      <c r="Z868" s="130"/>
      <c r="AB868" s="106"/>
    </row>
    <row r="869">
      <c r="C869" s="79"/>
      <c r="D869" s="79"/>
      <c r="E869" s="79"/>
      <c r="M869" s="79"/>
      <c r="R869" s="79"/>
      <c r="S869" s="79"/>
      <c r="V869" s="79"/>
      <c r="W869" s="79"/>
      <c r="Z869" s="130"/>
      <c r="AB869" s="106"/>
    </row>
    <row r="870">
      <c r="C870" s="79"/>
      <c r="D870" s="79"/>
      <c r="E870" s="79"/>
      <c r="M870" s="79"/>
      <c r="R870" s="79"/>
      <c r="S870" s="79"/>
      <c r="V870" s="79"/>
      <c r="W870" s="79"/>
      <c r="Z870" s="130"/>
      <c r="AB870" s="106"/>
    </row>
    <row r="871">
      <c r="C871" s="79"/>
      <c r="D871" s="79"/>
      <c r="E871" s="79"/>
      <c r="M871" s="79"/>
      <c r="R871" s="79"/>
      <c r="S871" s="79"/>
      <c r="V871" s="79"/>
      <c r="W871" s="79"/>
      <c r="Z871" s="130"/>
      <c r="AB871" s="106"/>
    </row>
    <row r="872">
      <c r="C872" s="79"/>
      <c r="D872" s="79"/>
      <c r="E872" s="79"/>
      <c r="M872" s="79"/>
      <c r="R872" s="79"/>
      <c r="S872" s="79"/>
      <c r="V872" s="79"/>
      <c r="W872" s="79"/>
      <c r="Z872" s="130"/>
      <c r="AB872" s="106"/>
    </row>
    <row r="873">
      <c r="C873" s="79"/>
      <c r="D873" s="79"/>
      <c r="E873" s="79"/>
      <c r="M873" s="79"/>
      <c r="R873" s="79"/>
      <c r="S873" s="79"/>
      <c r="V873" s="79"/>
      <c r="W873" s="79"/>
      <c r="Z873" s="130"/>
      <c r="AB873" s="106"/>
    </row>
    <row r="874">
      <c r="C874" s="79"/>
      <c r="D874" s="79"/>
      <c r="E874" s="79"/>
      <c r="M874" s="79"/>
      <c r="R874" s="79"/>
      <c r="S874" s="79"/>
      <c r="V874" s="79"/>
      <c r="W874" s="79"/>
      <c r="Z874" s="130"/>
      <c r="AB874" s="106"/>
    </row>
    <row r="875">
      <c r="C875" s="79"/>
      <c r="D875" s="79"/>
      <c r="E875" s="79"/>
      <c r="M875" s="79"/>
      <c r="R875" s="79"/>
      <c r="S875" s="79"/>
      <c r="V875" s="79"/>
      <c r="W875" s="79"/>
      <c r="Z875" s="130"/>
      <c r="AB875" s="106"/>
    </row>
    <row r="876">
      <c r="C876" s="79"/>
      <c r="D876" s="79"/>
      <c r="E876" s="79"/>
      <c r="M876" s="79"/>
      <c r="R876" s="79"/>
      <c r="S876" s="79"/>
      <c r="V876" s="79"/>
      <c r="W876" s="79"/>
      <c r="Z876" s="130"/>
      <c r="AB876" s="106"/>
    </row>
    <row r="877">
      <c r="C877" s="79"/>
      <c r="D877" s="79"/>
      <c r="E877" s="79"/>
      <c r="M877" s="79"/>
      <c r="R877" s="79"/>
      <c r="S877" s="79"/>
      <c r="V877" s="79"/>
      <c r="W877" s="79"/>
      <c r="Z877" s="130"/>
      <c r="AB877" s="106"/>
    </row>
    <row r="878">
      <c r="C878" s="79"/>
      <c r="D878" s="79"/>
      <c r="E878" s="79"/>
      <c r="M878" s="79"/>
      <c r="R878" s="79"/>
      <c r="S878" s="79"/>
      <c r="V878" s="79"/>
      <c r="W878" s="79"/>
      <c r="Z878" s="130"/>
      <c r="AB878" s="106"/>
    </row>
    <row r="879">
      <c r="C879" s="79"/>
      <c r="D879" s="79"/>
      <c r="E879" s="79"/>
      <c r="M879" s="79"/>
      <c r="R879" s="79"/>
      <c r="S879" s="79"/>
      <c r="V879" s="79"/>
      <c r="W879" s="79"/>
      <c r="Z879" s="130"/>
      <c r="AB879" s="106"/>
    </row>
    <row r="880">
      <c r="C880" s="79"/>
      <c r="D880" s="79"/>
      <c r="E880" s="79"/>
      <c r="M880" s="79"/>
      <c r="R880" s="79"/>
      <c r="S880" s="79"/>
      <c r="V880" s="79"/>
      <c r="W880" s="79"/>
      <c r="Z880" s="130"/>
      <c r="AB880" s="106"/>
    </row>
    <row r="881">
      <c r="C881" s="79"/>
      <c r="D881" s="79"/>
      <c r="E881" s="79"/>
      <c r="M881" s="79"/>
      <c r="R881" s="79"/>
      <c r="S881" s="79"/>
      <c r="V881" s="79"/>
      <c r="W881" s="79"/>
      <c r="Z881" s="130"/>
      <c r="AB881" s="106"/>
    </row>
    <row r="882">
      <c r="C882" s="79"/>
      <c r="D882" s="79"/>
      <c r="E882" s="79"/>
      <c r="M882" s="79"/>
      <c r="R882" s="79"/>
      <c r="S882" s="79"/>
      <c r="V882" s="79"/>
      <c r="W882" s="79"/>
      <c r="Z882" s="130"/>
      <c r="AB882" s="106"/>
    </row>
    <row r="883">
      <c r="C883" s="79"/>
      <c r="D883" s="79"/>
      <c r="E883" s="79"/>
      <c r="M883" s="79"/>
      <c r="R883" s="79"/>
      <c r="S883" s="79"/>
      <c r="V883" s="79"/>
      <c r="W883" s="79"/>
      <c r="Z883" s="130"/>
      <c r="AB883" s="106"/>
    </row>
    <row r="884">
      <c r="C884" s="79"/>
      <c r="D884" s="79"/>
      <c r="E884" s="79"/>
      <c r="M884" s="79"/>
      <c r="R884" s="79"/>
      <c r="S884" s="79"/>
      <c r="V884" s="79"/>
      <c r="W884" s="79"/>
      <c r="Z884" s="130"/>
      <c r="AB884" s="106"/>
    </row>
    <row r="885">
      <c r="C885" s="79"/>
      <c r="D885" s="79"/>
      <c r="E885" s="79"/>
      <c r="M885" s="79"/>
      <c r="R885" s="79"/>
      <c r="S885" s="79"/>
      <c r="V885" s="79"/>
      <c r="W885" s="79"/>
      <c r="Z885" s="130"/>
      <c r="AB885" s="106"/>
    </row>
    <row r="886">
      <c r="C886" s="79"/>
      <c r="D886" s="79"/>
      <c r="E886" s="79"/>
      <c r="M886" s="79"/>
      <c r="R886" s="79"/>
      <c r="S886" s="79"/>
      <c r="V886" s="79"/>
      <c r="W886" s="79"/>
      <c r="Z886" s="130"/>
      <c r="AB886" s="106"/>
    </row>
    <row r="887">
      <c r="C887" s="79"/>
      <c r="D887" s="79"/>
      <c r="E887" s="79"/>
      <c r="M887" s="79"/>
      <c r="R887" s="79"/>
      <c r="S887" s="79"/>
      <c r="V887" s="79"/>
      <c r="W887" s="79"/>
      <c r="Z887" s="130"/>
      <c r="AB887" s="106"/>
    </row>
    <row r="888">
      <c r="C888" s="79"/>
      <c r="D888" s="79"/>
      <c r="E888" s="79"/>
      <c r="M888" s="79"/>
      <c r="R888" s="79"/>
      <c r="S888" s="79"/>
      <c r="V888" s="79"/>
      <c r="W888" s="79"/>
      <c r="Z888" s="130"/>
      <c r="AB888" s="106"/>
    </row>
    <row r="889">
      <c r="C889" s="79"/>
      <c r="D889" s="79"/>
      <c r="E889" s="79"/>
      <c r="M889" s="79"/>
      <c r="R889" s="79"/>
      <c r="S889" s="79"/>
      <c r="V889" s="79"/>
      <c r="W889" s="79"/>
      <c r="Z889" s="130"/>
      <c r="AB889" s="106"/>
    </row>
    <row r="890">
      <c r="C890" s="79"/>
      <c r="D890" s="79"/>
      <c r="E890" s="79"/>
      <c r="M890" s="79"/>
      <c r="R890" s="79"/>
      <c r="S890" s="79"/>
      <c r="V890" s="79"/>
      <c r="W890" s="79"/>
      <c r="Z890" s="130"/>
      <c r="AB890" s="106"/>
    </row>
    <row r="891">
      <c r="C891" s="79"/>
      <c r="D891" s="79"/>
      <c r="E891" s="79"/>
      <c r="M891" s="79"/>
      <c r="R891" s="79"/>
      <c r="S891" s="79"/>
      <c r="V891" s="79"/>
      <c r="W891" s="79"/>
      <c r="Z891" s="130"/>
      <c r="AB891" s="106"/>
    </row>
    <row r="892">
      <c r="C892" s="79"/>
      <c r="D892" s="79"/>
      <c r="E892" s="79"/>
      <c r="M892" s="79"/>
      <c r="R892" s="79"/>
      <c r="S892" s="79"/>
      <c r="V892" s="79"/>
      <c r="W892" s="79"/>
      <c r="Z892" s="130"/>
      <c r="AB892" s="106"/>
    </row>
    <row r="893">
      <c r="C893" s="79"/>
      <c r="D893" s="79"/>
      <c r="E893" s="79"/>
      <c r="M893" s="79"/>
      <c r="R893" s="79"/>
      <c r="S893" s="79"/>
      <c r="V893" s="79"/>
      <c r="W893" s="79"/>
      <c r="Z893" s="130"/>
      <c r="AB893" s="106"/>
    </row>
    <row r="894">
      <c r="C894" s="79"/>
      <c r="D894" s="79"/>
      <c r="E894" s="79"/>
      <c r="M894" s="79"/>
      <c r="R894" s="79"/>
      <c r="S894" s="79"/>
      <c r="V894" s="79"/>
      <c r="W894" s="79"/>
      <c r="Z894" s="130"/>
      <c r="AB894" s="106"/>
    </row>
    <row r="895">
      <c r="C895" s="79"/>
      <c r="D895" s="79"/>
      <c r="E895" s="79"/>
      <c r="M895" s="79"/>
      <c r="R895" s="79"/>
      <c r="S895" s="79"/>
      <c r="V895" s="79"/>
      <c r="W895" s="79"/>
      <c r="Z895" s="130"/>
      <c r="AB895" s="106"/>
    </row>
    <row r="896">
      <c r="C896" s="79"/>
      <c r="D896" s="79"/>
      <c r="E896" s="79"/>
      <c r="M896" s="79"/>
      <c r="R896" s="79"/>
      <c r="S896" s="79"/>
      <c r="V896" s="79"/>
      <c r="W896" s="79"/>
      <c r="Z896" s="130"/>
      <c r="AB896" s="106"/>
    </row>
    <row r="897">
      <c r="C897" s="79"/>
      <c r="D897" s="79"/>
      <c r="E897" s="79"/>
      <c r="M897" s="79"/>
      <c r="R897" s="79"/>
      <c r="S897" s="79"/>
      <c r="V897" s="79"/>
      <c r="W897" s="79"/>
      <c r="Z897" s="130"/>
      <c r="AB897" s="106"/>
    </row>
    <row r="898">
      <c r="C898" s="79"/>
      <c r="D898" s="79"/>
      <c r="E898" s="79"/>
      <c r="M898" s="79"/>
      <c r="R898" s="79"/>
      <c r="S898" s="79"/>
      <c r="V898" s="79"/>
      <c r="W898" s="79"/>
      <c r="Z898" s="130"/>
      <c r="AB898" s="106"/>
    </row>
    <row r="899">
      <c r="C899" s="79"/>
      <c r="D899" s="79"/>
      <c r="E899" s="79"/>
      <c r="M899" s="79"/>
      <c r="R899" s="79"/>
      <c r="S899" s="79"/>
      <c r="V899" s="79"/>
      <c r="W899" s="79"/>
      <c r="Z899" s="130"/>
      <c r="AB899" s="106"/>
    </row>
    <row r="900">
      <c r="C900" s="79"/>
      <c r="D900" s="79"/>
      <c r="E900" s="79"/>
      <c r="M900" s="79"/>
      <c r="R900" s="79"/>
      <c r="S900" s="79"/>
      <c r="V900" s="79"/>
      <c r="W900" s="79"/>
      <c r="Z900" s="130"/>
      <c r="AB900" s="106"/>
    </row>
    <row r="901">
      <c r="C901" s="79"/>
      <c r="D901" s="79"/>
      <c r="E901" s="79"/>
      <c r="M901" s="79"/>
      <c r="R901" s="79"/>
      <c r="S901" s="79"/>
      <c r="V901" s="79"/>
      <c r="W901" s="79"/>
      <c r="Z901" s="130"/>
      <c r="AB901" s="106"/>
    </row>
    <row r="902">
      <c r="C902" s="79"/>
      <c r="D902" s="79"/>
      <c r="E902" s="79"/>
      <c r="M902" s="79"/>
      <c r="R902" s="79"/>
      <c r="S902" s="79"/>
      <c r="V902" s="79"/>
      <c r="W902" s="79"/>
      <c r="Z902" s="130"/>
      <c r="AB902" s="106"/>
    </row>
    <row r="903">
      <c r="C903" s="79"/>
      <c r="D903" s="79"/>
      <c r="E903" s="79"/>
      <c r="M903" s="79"/>
      <c r="R903" s="79"/>
      <c r="S903" s="79"/>
      <c r="V903" s="79"/>
      <c r="W903" s="79"/>
      <c r="Z903" s="130"/>
      <c r="AB903" s="106"/>
    </row>
    <row r="904">
      <c r="C904" s="79"/>
      <c r="D904" s="79"/>
      <c r="E904" s="79"/>
      <c r="M904" s="79"/>
      <c r="R904" s="79"/>
      <c r="S904" s="79"/>
      <c r="V904" s="79"/>
      <c r="W904" s="79"/>
      <c r="Z904" s="130"/>
      <c r="AB904" s="106"/>
    </row>
    <row r="905">
      <c r="C905" s="79"/>
      <c r="D905" s="79"/>
      <c r="E905" s="79"/>
      <c r="M905" s="79"/>
      <c r="R905" s="79"/>
      <c r="S905" s="79"/>
      <c r="V905" s="79"/>
      <c r="W905" s="79"/>
      <c r="Z905" s="130"/>
      <c r="AB905" s="106"/>
    </row>
    <row r="906">
      <c r="C906" s="79"/>
      <c r="D906" s="79"/>
      <c r="E906" s="79"/>
      <c r="M906" s="79"/>
      <c r="R906" s="79"/>
      <c r="S906" s="79"/>
      <c r="V906" s="79"/>
      <c r="W906" s="79"/>
      <c r="Z906" s="130"/>
      <c r="AB906" s="106"/>
    </row>
    <row r="907">
      <c r="C907" s="79"/>
      <c r="D907" s="79"/>
      <c r="E907" s="79"/>
      <c r="M907" s="79"/>
      <c r="R907" s="79"/>
      <c r="S907" s="79"/>
      <c r="V907" s="79"/>
      <c r="W907" s="79"/>
      <c r="Z907" s="130"/>
      <c r="AB907" s="106"/>
    </row>
    <row r="908">
      <c r="C908" s="79"/>
      <c r="D908" s="79"/>
      <c r="E908" s="79"/>
      <c r="M908" s="79"/>
      <c r="R908" s="79"/>
      <c r="S908" s="79"/>
      <c r="V908" s="79"/>
      <c r="W908" s="79"/>
      <c r="Z908" s="130"/>
      <c r="AB908" s="106"/>
    </row>
    <row r="909">
      <c r="C909" s="79"/>
      <c r="D909" s="79"/>
      <c r="E909" s="79"/>
      <c r="M909" s="79"/>
      <c r="R909" s="79"/>
      <c r="S909" s="79"/>
      <c r="V909" s="79"/>
      <c r="W909" s="79"/>
      <c r="Z909" s="130"/>
      <c r="AB909" s="106"/>
    </row>
    <row r="910">
      <c r="C910" s="79"/>
      <c r="D910" s="79"/>
      <c r="E910" s="79"/>
      <c r="M910" s="79"/>
      <c r="R910" s="79"/>
      <c r="S910" s="79"/>
      <c r="V910" s="79"/>
      <c r="W910" s="79"/>
      <c r="Z910" s="130"/>
      <c r="AB910" s="106"/>
    </row>
    <row r="911">
      <c r="C911" s="79"/>
      <c r="D911" s="79"/>
      <c r="E911" s="79"/>
      <c r="M911" s="79"/>
      <c r="R911" s="79"/>
      <c r="S911" s="79"/>
      <c r="V911" s="79"/>
      <c r="W911" s="79"/>
      <c r="Z911" s="130"/>
      <c r="AB911" s="106"/>
    </row>
    <row r="912">
      <c r="C912" s="79"/>
      <c r="D912" s="79"/>
      <c r="E912" s="79"/>
      <c r="M912" s="79"/>
      <c r="R912" s="79"/>
      <c r="S912" s="79"/>
      <c r="V912" s="79"/>
      <c r="W912" s="79"/>
      <c r="Z912" s="130"/>
      <c r="AB912" s="106"/>
    </row>
    <row r="913">
      <c r="C913" s="79"/>
      <c r="D913" s="79"/>
      <c r="E913" s="79"/>
      <c r="M913" s="79"/>
      <c r="R913" s="79"/>
      <c r="S913" s="79"/>
      <c r="V913" s="79"/>
      <c r="W913" s="79"/>
      <c r="Z913" s="130"/>
      <c r="AB913" s="106"/>
    </row>
    <row r="914">
      <c r="C914" s="79"/>
      <c r="D914" s="79"/>
      <c r="E914" s="79"/>
      <c r="M914" s="79"/>
      <c r="R914" s="79"/>
      <c r="S914" s="79"/>
      <c r="V914" s="79"/>
      <c r="W914" s="79"/>
      <c r="Z914" s="130"/>
      <c r="AB914" s="106"/>
    </row>
    <row r="915">
      <c r="C915" s="79"/>
      <c r="D915" s="79"/>
      <c r="E915" s="79"/>
      <c r="M915" s="79"/>
      <c r="R915" s="79"/>
      <c r="S915" s="79"/>
      <c r="V915" s="79"/>
      <c r="W915" s="79"/>
      <c r="Z915" s="130"/>
      <c r="AB915" s="106"/>
    </row>
    <row r="916">
      <c r="C916" s="79"/>
      <c r="D916" s="79"/>
      <c r="E916" s="79"/>
      <c r="M916" s="79"/>
      <c r="R916" s="79"/>
      <c r="S916" s="79"/>
      <c r="V916" s="79"/>
      <c r="W916" s="79"/>
      <c r="Z916" s="130"/>
      <c r="AB916" s="106"/>
    </row>
    <row r="917">
      <c r="C917" s="79"/>
      <c r="D917" s="79"/>
      <c r="E917" s="79"/>
      <c r="M917" s="79"/>
      <c r="R917" s="79"/>
      <c r="S917" s="79"/>
      <c r="V917" s="79"/>
      <c r="W917" s="79"/>
      <c r="Z917" s="130"/>
      <c r="AB917" s="106"/>
    </row>
    <row r="918">
      <c r="C918" s="79"/>
      <c r="D918" s="79"/>
      <c r="E918" s="79"/>
      <c r="M918" s="79"/>
      <c r="R918" s="79"/>
      <c r="S918" s="79"/>
      <c r="V918" s="79"/>
      <c r="W918" s="79"/>
      <c r="Z918" s="130"/>
      <c r="AB918" s="106"/>
    </row>
    <row r="919">
      <c r="C919" s="79"/>
      <c r="D919" s="79"/>
      <c r="E919" s="79"/>
      <c r="M919" s="79"/>
      <c r="R919" s="79"/>
      <c r="S919" s="79"/>
      <c r="V919" s="79"/>
      <c r="W919" s="79"/>
      <c r="Z919" s="130"/>
      <c r="AB919" s="106"/>
    </row>
    <row r="920">
      <c r="C920" s="79"/>
      <c r="D920" s="79"/>
      <c r="E920" s="79"/>
      <c r="M920" s="79"/>
      <c r="R920" s="79"/>
      <c r="S920" s="79"/>
      <c r="V920" s="79"/>
      <c r="W920" s="79"/>
      <c r="Z920" s="130"/>
      <c r="AB920" s="106"/>
    </row>
    <row r="921">
      <c r="C921" s="79"/>
      <c r="D921" s="79"/>
      <c r="E921" s="79"/>
      <c r="M921" s="79"/>
      <c r="R921" s="79"/>
      <c r="S921" s="79"/>
      <c r="V921" s="79"/>
      <c r="W921" s="79"/>
      <c r="Z921" s="130"/>
      <c r="AB921" s="106"/>
    </row>
    <row r="922">
      <c r="C922" s="79"/>
      <c r="D922" s="79"/>
      <c r="E922" s="79"/>
      <c r="M922" s="79"/>
      <c r="R922" s="79"/>
      <c r="S922" s="79"/>
      <c r="V922" s="79"/>
      <c r="W922" s="79"/>
      <c r="Z922" s="130"/>
      <c r="AB922" s="106"/>
    </row>
    <row r="923">
      <c r="C923" s="79"/>
      <c r="D923" s="79"/>
      <c r="E923" s="79"/>
      <c r="M923" s="79"/>
      <c r="R923" s="79"/>
      <c r="S923" s="79"/>
      <c r="V923" s="79"/>
      <c r="W923" s="79"/>
      <c r="Z923" s="130"/>
      <c r="AB923" s="106"/>
    </row>
    <row r="924">
      <c r="C924" s="79"/>
      <c r="D924" s="79"/>
      <c r="E924" s="79"/>
      <c r="M924" s="79"/>
      <c r="R924" s="79"/>
      <c r="S924" s="79"/>
      <c r="V924" s="79"/>
      <c r="W924" s="79"/>
      <c r="Z924" s="130"/>
      <c r="AB924" s="106"/>
    </row>
    <row r="925">
      <c r="C925" s="79"/>
      <c r="D925" s="79"/>
      <c r="E925" s="79"/>
      <c r="M925" s="79"/>
      <c r="R925" s="79"/>
      <c r="S925" s="79"/>
      <c r="V925" s="79"/>
      <c r="W925" s="79"/>
      <c r="Z925" s="130"/>
      <c r="AB925" s="106"/>
    </row>
    <row r="926">
      <c r="C926" s="79"/>
      <c r="D926" s="79"/>
      <c r="E926" s="79"/>
      <c r="M926" s="79"/>
      <c r="R926" s="79"/>
      <c r="S926" s="79"/>
      <c r="V926" s="79"/>
      <c r="W926" s="79"/>
      <c r="Z926" s="130"/>
      <c r="AB926" s="106"/>
    </row>
    <row r="927">
      <c r="C927" s="79"/>
      <c r="D927" s="79"/>
      <c r="E927" s="79"/>
      <c r="M927" s="79"/>
      <c r="R927" s="79"/>
      <c r="S927" s="79"/>
      <c r="V927" s="79"/>
      <c r="W927" s="79"/>
      <c r="Z927" s="130"/>
      <c r="AB927" s="106"/>
    </row>
    <row r="928">
      <c r="C928" s="79"/>
      <c r="D928" s="79"/>
      <c r="E928" s="79"/>
      <c r="M928" s="79"/>
      <c r="R928" s="79"/>
      <c r="S928" s="79"/>
      <c r="V928" s="79"/>
      <c r="W928" s="79"/>
      <c r="Z928" s="130"/>
      <c r="AB928" s="106"/>
    </row>
    <row r="929">
      <c r="C929" s="79"/>
      <c r="D929" s="79"/>
      <c r="E929" s="79"/>
      <c r="M929" s="79"/>
      <c r="R929" s="79"/>
      <c r="S929" s="79"/>
      <c r="V929" s="79"/>
      <c r="W929" s="79"/>
      <c r="Z929" s="130"/>
      <c r="AB929" s="106"/>
    </row>
    <row r="930">
      <c r="C930" s="79"/>
      <c r="D930" s="79"/>
      <c r="E930" s="79"/>
      <c r="M930" s="79"/>
      <c r="R930" s="79"/>
      <c r="S930" s="79"/>
      <c r="V930" s="79"/>
      <c r="W930" s="79"/>
      <c r="Z930" s="130"/>
      <c r="AB930" s="106"/>
    </row>
    <row r="931">
      <c r="C931" s="79"/>
      <c r="D931" s="79"/>
      <c r="E931" s="79"/>
      <c r="M931" s="79"/>
      <c r="R931" s="79"/>
      <c r="S931" s="79"/>
      <c r="V931" s="79"/>
      <c r="W931" s="79"/>
      <c r="Z931" s="130"/>
      <c r="AB931" s="106"/>
    </row>
    <row r="932">
      <c r="C932" s="79"/>
      <c r="D932" s="79"/>
      <c r="E932" s="79"/>
      <c r="M932" s="79"/>
      <c r="R932" s="79"/>
      <c r="S932" s="79"/>
      <c r="V932" s="79"/>
      <c r="W932" s="79"/>
      <c r="Z932" s="130"/>
      <c r="AB932" s="106"/>
    </row>
    <row r="933">
      <c r="C933" s="79"/>
      <c r="D933" s="79"/>
      <c r="E933" s="79"/>
      <c r="M933" s="79"/>
      <c r="R933" s="79"/>
      <c r="S933" s="79"/>
      <c r="V933" s="79"/>
      <c r="W933" s="79"/>
      <c r="Z933" s="130"/>
      <c r="AB933" s="106"/>
    </row>
    <row r="934">
      <c r="C934" s="79"/>
      <c r="D934" s="79"/>
      <c r="E934" s="79"/>
      <c r="M934" s="79"/>
      <c r="R934" s="79"/>
      <c r="S934" s="79"/>
      <c r="V934" s="79"/>
      <c r="W934" s="79"/>
      <c r="Z934" s="130"/>
      <c r="AB934" s="106"/>
    </row>
    <row r="935">
      <c r="C935" s="79"/>
      <c r="D935" s="79"/>
      <c r="E935" s="79"/>
      <c r="M935" s="79"/>
      <c r="R935" s="79"/>
      <c r="S935" s="79"/>
      <c r="V935" s="79"/>
      <c r="W935" s="79"/>
      <c r="Z935" s="130"/>
      <c r="AB935" s="106"/>
    </row>
    <row r="936">
      <c r="C936" s="79"/>
      <c r="D936" s="79"/>
      <c r="E936" s="79"/>
      <c r="M936" s="79"/>
      <c r="R936" s="79"/>
      <c r="S936" s="79"/>
      <c r="V936" s="79"/>
      <c r="W936" s="79"/>
      <c r="Z936" s="130"/>
      <c r="AB936" s="106"/>
    </row>
    <row r="937">
      <c r="C937" s="79"/>
      <c r="D937" s="79"/>
      <c r="E937" s="79"/>
      <c r="M937" s="79"/>
      <c r="R937" s="79"/>
      <c r="S937" s="79"/>
      <c r="V937" s="79"/>
      <c r="W937" s="79"/>
      <c r="Z937" s="130"/>
      <c r="AB937" s="106"/>
    </row>
    <row r="938">
      <c r="C938" s="79"/>
      <c r="D938" s="79"/>
      <c r="E938" s="79"/>
      <c r="M938" s="79"/>
      <c r="R938" s="79"/>
      <c r="S938" s="79"/>
      <c r="V938" s="79"/>
      <c r="W938" s="79"/>
      <c r="Z938" s="130"/>
      <c r="AB938" s="106"/>
    </row>
    <row r="939">
      <c r="C939" s="79"/>
      <c r="D939" s="79"/>
      <c r="E939" s="79"/>
      <c r="M939" s="79"/>
      <c r="R939" s="79"/>
      <c r="S939" s="79"/>
      <c r="V939" s="79"/>
      <c r="W939" s="79"/>
      <c r="Z939" s="130"/>
      <c r="AB939" s="106"/>
    </row>
    <row r="940">
      <c r="C940" s="79"/>
      <c r="D940" s="79"/>
      <c r="E940" s="79"/>
      <c r="M940" s="79"/>
      <c r="R940" s="79"/>
      <c r="S940" s="79"/>
      <c r="V940" s="79"/>
      <c r="W940" s="79"/>
      <c r="Z940" s="130"/>
      <c r="AB940" s="106"/>
    </row>
    <row r="941">
      <c r="C941" s="79"/>
      <c r="D941" s="79"/>
      <c r="E941" s="79"/>
      <c r="M941" s="79"/>
      <c r="R941" s="79"/>
      <c r="S941" s="79"/>
      <c r="V941" s="79"/>
      <c r="W941" s="79"/>
      <c r="Z941" s="130"/>
      <c r="AB941" s="106"/>
    </row>
    <row r="942">
      <c r="C942" s="79"/>
      <c r="D942" s="79"/>
      <c r="E942" s="79"/>
      <c r="M942" s="79"/>
      <c r="R942" s="79"/>
      <c r="S942" s="79"/>
      <c r="V942" s="79"/>
      <c r="W942" s="79"/>
      <c r="Z942" s="130"/>
      <c r="AB942" s="106"/>
    </row>
    <row r="943">
      <c r="C943" s="79"/>
      <c r="D943" s="79"/>
      <c r="E943" s="79"/>
      <c r="M943" s="79"/>
      <c r="R943" s="79"/>
      <c r="S943" s="79"/>
      <c r="V943" s="79"/>
      <c r="W943" s="79"/>
      <c r="Z943" s="130"/>
      <c r="AB943" s="106"/>
    </row>
    <row r="944">
      <c r="C944" s="79"/>
      <c r="D944" s="79"/>
      <c r="E944" s="79"/>
      <c r="M944" s="79"/>
      <c r="R944" s="79"/>
      <c r="S944" s="79"/>
      <c r="V944" s="79"/>
      <c r="W944" s="79"/>
      <c r="Z944" s="130"/>
      <c r="AB944" s="106"/>
    </row>
    <row r="945">
      <c r="C945" s="79"/>
      <c r="D945" s="79"/>
      <c r="E945" s="79"/>
      <c r="M945" s="79"/>
      <c r="R945" s="79"/>
      <c r="S945" s="79"/>
      <c r="V945" s="79"/>
      <c r="W945" s="79"/>
      <c r="Z945" s="130"/>
      <c r="AB945" s="106"/>
    </row>
    <row r="946">
      <c r="C946" s="79"/>
      <c r="D946" s="79"/>
      <c r="E946" s="79"/>
      <c r="M946" s="79"/>
      <c r="R946" s="79"/>
      <c r="S946" s="79"/>
      <c r="V946" s="79"/>
      <c r="W946" s="79"/>
      <c r="Z946" s="130"/>
      <c r="AB946" s="106"/>
    </row>
    <row r="947">
      <c r="C947" s="79"/>
      <c r="D947" s="79"/>
      <c r="E947" s="79"/>
      <c r="M947" s="79"/>
      <c r="R947" s="79"/>
      <c r="S947" s="79"/>
      <c r="V947" s="79"/>
      <c r="W947" s="79"/>
      <c r="Z947" s="130"/>
      <c r="AB947" s="106"/>
    </row>
    <row r="948">
      <c r="C948" s="79"/>
      <c r="D948" s="79"/>
      <c r="E948" s="79"/>
      <c r="M948" s="79"/>
      <c r="R948" s="79"/>
      <c r="S948" s="79"/>
      <c r="V948" s="79"/>
      <c r="W948" s="79"/>
      <c r="Z948" s="130"/>
      <c r="AB948" s="106"/>
    </row>
    <row r="949">
      <c r="C949" s="79"/>
      <c r="D949" s="79"/>
      <c r="E949" s="79"/>
      <c r="M949" s="79"/>
      <c r="R949" s="79"/>
      <c r="S949" s="79"/>
      <c r="V949" s="79"/>
      <c r="W949" s="79"/>
      <c r="Z949" s="130"/>
      <c r="AB949" s="106"/>
    </row>
    <row r="950">
      <c r="C950" s="79"/>
      <c r="D950" s="79"/>
      <c r="E950" s="79"/>
      <c r="M950" s="79"/>
      <c r="R950" s="79"/>
      <c r="S950" s="79"/>
      <c r="V950" s="79"/>
      <c r="W950" s="79"/>
      <c r="Z950" s="130"/>
      <c r="AB950" s="106"/>
    </row>
    <row r="951">
      <c r="C951" s="79"/>
      <c r="D951" s="79"/>
      <c r="E951" s="79"/>
      <c r="M951" s="79"/>
      <c r="R951" s="79"/>
      <c r="S951" s="79"/>
      <c r="V951" s="79"/>
      <c r="W951" s="79"/>
      <c r="Z951" s="130"/>
      <c r="AB951" s="106"/>
    </row>
    <row r="952">
      <c r="C952" s="79"/>
      <c r="D952" s="79"/>
      <c r="E952" s="79"/>
      <c r="M952" s="79"/>
      <c r="R952" s="79"/>
      <c r="S952" s="79"/>
      <c r="V952" s="79"/>
      <c r="W952" s="79"/>
      <c r="Z952" s="130"/>
      <c r="AB952" s="106"/>
    </row>
    <row r="953">
      <c r="C953" s="79"/>
      <c r="D953" s="79"/>
      <c r="E953" s="79"/>
      <c r="M953" s="79"/>
      <c r="R953" s="79"/>
      <c r="S953" s="79"/>
      <c r="V953" s="79"/>
      <c r="W953" s="79"/>
      <c r="Z953" s="130"/>
      <c r="AB953" s="106"/>
    </row>
    <row r="954">
      <c r="C954" s="79"/>
      <c r="D954" s="79"/>
      <c r="E954" s="79"/>
      <c r="M954" s="79"/>
      <c r="R954" s="79"/>
      <c r="S954" s="79"/>
      <c r="V954" s="79"/>
      <c r="W954" s="79"/>
      <c r="Z954" s="130"/>
      <c r="AB954" s="106"/>
    </row>
    <row r="955">
      <c r="C955" s="79"/>
      <c r="D955" s="79"/>
      <c r="E955" s="79"/>
      <c r="M955" s="79"/>
      <c r="R955" s="79"/>
      <c r="S955" s="79"/>
      <c r="V955" s="79"/>
      <c r="W955" s="79"/>
      <c r="Z955" s="130"/>
      <c r="AB955" s="106"/>
    </row>
    <row r="956">
      <c r="C956" s="79"/>
      <c r="D956" s="79"/>
      <c r="E956" s="79"/>
      <c r="M956" s="79"/>
      <c r="R956" s="79"/>
      <c r="S956" s="79"/>
      <c r="V956" s="79"/>
      <c r="W956" s="79"/>
      <c r="Z956" s="130"/>
      <c r="AB956" s="106"/>
    </row>
    <row r="957">
      <c r="C957" s="79"/>
      <c r="D957" s="79"/>
      <c r="E957" s="79"/>
      <c r="M957" s="79"/>
      <c r="R957" s="79"/>
      <c r="S957" s="79"/>
      <c r="V957" s="79"/>
      <c r="W957" s="79"/>
      <c r="Z957" s="130"/>
      <c r="AB957" s="106"/>
    </row>
    <row r="958">
      <c r="C958" s="79"/>
      <c r="D958" s="79"/>
      <c r="E958" s="79"/>
      <c r="M958" s="79"/>
      <c r="R958" s="79"/>
      <c r="S958" s="79"/>
      <c r="V958" s="79"/>
      <c r="W958" s="79"/>
      <c r="Z958" s="130"/>
      <c r="AB958" s="106"/>
    </row>
    <row r="959">
      <c r="C959" s="79"/>
      <c r="D959" s="79"/>
      <c r="E959" s="79"/>
      <c r="M959" s="79"/>
      <c r="R959" s="79"/>
      <c r="S959" s="79"/>
      <c r="V959" s="79"/>
      <c r="W959" s="79"/>
      <c r="Z959" s="130"/>
      <c r="AB959" s="106"/>
    </row>
    <row r="960">
      <c r="C960" s="79"/>
      <c r="D960" s="79"/>
      <c r="E960" s="79"/>
      <c r="M960" s="79"/>
      <c r="R960" s="79"/>
      <c r="S960" s="79"/>
      <c r="V960" s="79"/>
      <c r="W960" s="79"/>
      <c r="Z960" s="130"/>
      <c r="AB960" s="106"/>
    </row>
    <row r="961">
      <c r="C961" s="79"/>
      <c r="D961" s="79"/>
      <c r="E961" s="79"/>
      <c r="M961" s="79"/>
      <c r="R961" s="79"/>
      <c r="S961" s="79"/>
      <c r="V961" s="79"/>
      <c r="W961" s="79"/>
      <c r="Z961" s="130"/>
      <c r="AB961" s="106"/>
    </row>
    <row r="962">
      <c r="C962" s="79"/>
      <c r="D962" s="79"/>
      <c r="E962" s="79"/>
      <c r="M962" s="79"/>
      <c r="R962" s="79"/>
      <c r="S962" s="79"/>
      <c r="V962" s="79"/>
      <c r="W962" s="79"/>
      <c r="Z962" s="130"/>
      <c r="AB962" s="106"/>
    </row>
    <row r="963">
      <c r="C963" s="79"/>
      <c r="D963" s="79"/>
      <c r="E963" s="79"/>
      <c r="M963" s="79"/>
      <c r="R963" s="79"/>
      <c r="S963" s="79"/>
      <c r="V963" s="79"/>
      <c r="W963" s="79"/>
      <c r="Z963" s="130"/>
      <c r="AB963" s="106"/>
    </row>
    <row r="964">
      <c r="C964" s="79"/>
      <c r="D964" s="79"/>
      <c r="E964" s="79"/>
      <c r="M964" s="79"/>
      <c r="R964" s="79"/>
      <c r="S964" s="79"/>
      <c r="V964" s="79"/>
      <c r="W964" s="79"/>
      <c r="Z964" s="130"/>
      <c r="AB964" s="106"/>
    </row>
    <row r="965">
      <c r="C965" s="79"/>
      <c r="D965" s="79"/>
      <c r="E965" s="79"/>
      <c r="M965" s="79"/>
      <c r="R965" s="79"/>
      <c r="S965" s="79"/>
      <c r="V965" s="79"/>
      <c r="W965" s="79"/>
      <c r="Z965" s="130"/>
      <c r="AB965" s="106"/>
    </row>
    <row r="966">
      <c r="C966" s="79"/>
      <c r="D966" s="79"/>
      <c r="E966" s="79"/>
      <c r="M966" s="79"/>
      <c r="R966" s="79"/>
      <c r="S966" s="79"/>
      <c r="V966" s="79"/>
      <c r="W966" s="79"/>
      <c r="Z966" s="130"/>
      <c r="AB966" s="106"/>
    </row>
    <row r="967">
      <c r="C967" s="79"/>
      <c r="D967" s="79"/>
      <c r="E967" s="79"/>
      <c r="M967" s="79"/>
      <c r="R967" s="79"/>
      <c r="S967" s="79"/>
      <c r="V967" s="79"/>
      <c r="W967" s="79"/>
      <c r="Z967" s="130"/>
      <c r="AB967" s="106"/>
    </row>
    <row r="968">
      <c r="C968" s="79"/>
      <c r="D968" s="79"/>
      <c r="E968" s="79"/>
      <c r="M968" s="79"/>
      <c r="R968" s="79"/>
      <c r="S968" s="79"/>
      <c r="V968" s="79"/>
      <c r="W968" s="79"/>
      <c r="Z968" s="130"/>
      <c r="AB968" s="106"/>
    </row>
    <row r="969">
      <c r="C969" s="79"/>
      <c r="D969" s="79"/>
      <c r="E969" s="79"/>
      <c r="M969" s="79"/>
      <c r="R969" s="79"/>
      <c r="S969" s="79"/>
      <c r="V969" s="79"/>
      <c r="W969" s="79"/>
      <c r="Z969" s="130"/>
      <c r="AB969" s="106"/>
    </row>
    <row r="970">
      <c r="C970" s="79"/>
      <c r="D970" s="79"/>
      <c r="E970" s="79"/>
      <c r="M970" s="79"/>
      <c r="R970" s="79"/>
      <c r="S970" s="79"/>
      <c r="V970" s="79"/>
      <c r="W970" s="79"/>
      <c r="Z970" s="130"/>
      <c r="AB970" s="106"/>
    </row>
    <row r="971">
      <c r="C971" s="79"/>
      <c r="D971" s="79"/>
      <c r="E971" s="79"/>
      <c r="M971" s="79"/>
      <c r="R971" s="79"/>
      <c r="S971" s="79"/>
      <c r="V971" s="79"/>
      <c r="W971" s="79"/>
      <c r="Z971" s="130"/>
      <c r="AB971" s="106"/>
    </row>
    <row r="972">
      <c r="C972" s="79"/>
      <c r="D972" s="79"/>
      <c r="E972" s="79"/>
      <c r="M972" s="79"/>
      <c r="R972" s="79"/>
      <c r="S972" s="79"/>
      <c r="V972" s="79"/>
      <c r="W972" s="79"/>
      <c r="Z972" s="130"/>
      <c r="AB972" s="106"/>
    </row>
    <row r="973">
      <c r="C973" s="79"/>
      <c r="D973" s="79"/>
      <c r="E973" s="79"/>
      <c r="M973" s="79"/>
      <c r="R973" s="79"/>
      <c r="S973" s="79"/>
      <c r="V973" s="79"/>
      <c r="W973" s="79"/>
      <c r="Z973" s="130"/>
      <c r="AB973" s="106"/>
    </row>
    <row r="974">
      <c r="C974" s="79"/>
      <c r="D974" s="79"/>
      <c r="E974" s="79"/>
      <c r="M974" s="79"/>
      <c r="R974" s="79"/>
      <c r="S974" s="79"/>
      <c r="V974" s="79"/>
      <c r="W974" s="79"/>
      <c r="Z974" s="130"/>
      <c r="AB974" s="106"/>
    </row>
    <row r="975">
      <c r="C975" s="79"/>
      <c r="D975" s="79"/>
      <c r="E975" s="79"/>
      <c r="M975" s="79"/>
      <c r="R975" s="79"/>
      <c r="S975" s="79"/>
      <c r="V975" s="79"/>
      <c r="W975" s="79"/>
      <c r="Z975" s="130"/>
      <c r="AB975" s="106"/>
    </row>
    <row r="976">
      <c r="C976" s="79"/>
      <c r="D976" s="79"/>
      <c r="E976" s="79"/>
      <c r="M976" s="79"/>
      <c r="R976" s="79"/>
      <c r="S976" s="79"/>
      <c r="V976" s="79"/>
      <c r="W976" s="79"/>
      <c r="Z976" s="130"/>
      <c r="AB976" s="106"/>
    </row>
    <row r="977">
      <c r="C977" s="79"/>
      <c r="D977" s="79"/>
      <c r="E977" s="79"/>
      <c r="M977" s="79"/>
      <c r="R977" s="79"/>
      <c r="S977" s="79"/>
      <c r="V977" s="79"/>
      <c r="W977" s="79"/>
      <c r="Z977" s="130"/>
      <c r="AB977" s="106"/>
    </row>
    <row r="978">
      <c r="C978" s="79"/>
      <c r="D978" s="79"/>
      <c r="E978" s="79"/>
      <c r="M978" s="79"/>
      <c r="R978" s="79"/>
      <c r="S978" s="79"/>
      <c r="V978" s="79"/>
      <c r="W978" s="79"/>
      <c r="Z978" s="130"/>
      <c r="AB978" s="106"/>
    </row>
    <row r="979">
      <c r="C979" s="79"/>
      <c r="D979" s="79"/>
      <c r="E979" s="79"/>
      <c r="M979" s="79"/>
      <c r="R979" s="79"/>
      <c r="S979" s="79"/>
      <c r="V979" s="79"/>
      <c r="W979" s="79"/>
      <c r="Z979" s="130"/>
      <c r="AB979" s="106"/>
    </row>
    <row r="980">
      <c r="C980" s="79"/>
      <c r="D980" s="79"/>
      <c r="E980" s="79"/>
      <c r="M980" s="79"/>
      <c r="R980" s="79"/>
      <c r="S980" s="79"/>
      <c r="V980" s="79"/>
      <c r="W980" s="79"/>
      <c r="Z980" s="130"/>
      <c r="AB980" s="106"/>
    </row>
    <row r="981">
      <c r="C981" s="79"/>
      <c r="D981" s="79"/>
      <c r="E981" s="79"/>
      <c r="M981" s="79"/>
      <c r="R981" s="79"/>
      <c r="S981" s="79"/>
      <c r="V981" s="79"/>
      <c r="W981" s="79"/>
      <c r="Z981" s="130"/>
      <c r="AB981" s="106"/>
    </row>
    <row r="982">
      <c r="C982" s="79"/>
      <c r="D982" s="79"/>
      <c r="E982" s="79"/>
      <c r="M982" s="79"/>
      <c r="R982" s="79"/>
      <c r="S982" s="79"/>
      <c r="V982" s="79"/>
      <c r="W982" s="79"/>
      <c r="Z982" s="130"/>
      <c r="AB982" s="106"/>
    </row>
    <row r="983">
      <c r="C983" s="79"/>
      <c r="D983" s="79"/>
      <c r="E983" s="79"/>
      <c r="M983" s="79"/>
      <c r="R983" s="79"/>
      <c r="S983" s="79"/>
      <c r="V983" s="79"/>
      <c r="W983" s="79"/>
      <c r="Z983" s="130"/>
      <c r="AB983" s="106"/>
    </row>
    <row r="984">
      <c r="C984" s="79"/>
      <c r="D984" s="79"/>
      <c r="E984" s="79"/>
      <c r="M984" s="79"/>
      <c r="R984" s="79"/>
      <c r="S984" s="79"/>
      <c r="V984" s="79"/>
      <c r="W984" s="79"/>
      <c r="Z984" s="130"/>
      <c r="AB984" s="106"/>
    </row>
    <row r="985">
      <c r="C985" s="79"/>
      <c r="D985" s="79"/>
      <c r="E985" s="79"/>
      <c r="M985" s="79"/>
      <c r="R985" s="79"/>
      <c r="S985" s="79"/>
      <c r="V985" s="79"/>
      <c r="W985" s="79"/>
      <c r="Z985" s="130"/>
      <c r="AB985" s="106"/>
    </row>
  </sheetData>
  <drawing r:id="rId2"/>
  <legacyDrawing r:id="rId3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5" max="5" width="13.5"/>
    <col customWidth="1" min="7" max="7" width="13.25"/>
    <col hidden="1" min="12" max="13" width="12.63"/>
    <col customWidth="1" min="24" max="24" width="14.63"/>
    <col customWidth="1" min="28" max="28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3</v>
      </c>
      <c r="G1" s="2" t="s">
        <v>203</v>
      </c>
      <c r="H1" s="2" t="s">
        <v>129</v>
      </c>
      <c r="I1" s="2" t="s">
        <v>5</v>
      </c>
      <c r="J1" s="2" t="s">
        <v>204</v>
      </c>
      <c r="K1" s="2" t="s">
        <v>6</v>
      </c>
      <c r="L1" s="2" t="s">
        <v>43</v>
      </c>
      <c r="M1" s="105" t="s">
        <v>40</v>
      </c>
      <c r="N1" s="2" t="s">
        <v>49</v>
      </c>
      <c r="O1" s="2" t="s">
        <v>42</v>
      </c>
      <c r="P1" s="2" t="s">
        <v>121</v>
      </c>
      <c r="Q1" s="2" t="s">
        <v>164</v>
      </c>
      <c r="R1" s="105" t="s">
        <v>9</v>
      </c>
      <c r="S1" s="105" t="s">
        <v>165</v>
      </c>
      <c r="T1" s="2" t="s">
        <v>37</v>
      </c>
      <c r="U1" s="2" t="s">
        <v>10</v>
      </c>
      <c r="V1" s="105" t="s">
        <v>11</v>
      </c>
      <c r="W1" s="105" t="s">
        <v>205</v>
      </c>
      <c r="X1" s="2" t="s">
        <v>206</v>
      </c>
      <c r="Y1" s="3" t="s">
        <v>13</v>
      </c>
      <c r="Z1" s="3" t="s">
        <v>14</v>
      </c>
      <c r="AA1" s="3" t="s">
        <v>15</v>
      </c>
      <c r="AB1" s="106"/>
    </row>
    <row r="2">
      <c r="A2" s="74">
        <v>45285.0</v>
      </c>
      <c r="B2" s="93"/>
      <c r="C2" s="93"/>
      <c r="D2" s="193"/>
      <c r="E2" s="93"/>
      <c r="F2" s="193"/>
      <c r="G2" s="93">
        <v>1407.69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72"/>
      <c r="U2" s="93"/>
      <c r="V2" s="93"/>
      <c r="W2" s="93"/>
      <c r="X2" s="5"/>
      <c r="Y2" s="107">
        <f t="shared" ref="Y2:Y8" si="1">SUM(B2:X2)</f>
        <v>1407.69</v>
      </c>
      <c r="Z2" s="158">
        <v>0.0</v>
      </c>
      <c r="AA2" s="59" t="str">
        <f t="shared" ref="AA2:AA8" si="2">Y2/Z2</f>
        <v>#DIV/0!</v>
      </c>
      <c r="AB2" s="109">
        <f t="shared" ref="AB2:AB8" si="3">A2</f>
        <v>45285</v>
      </c>
    </row>
    <row r="3">
      <c r="A3" s="74">
        <v>45286.0</v>
      </c>
      <c r="B3" s="93">
        <f>972-228-155.52-19.62-35.97-23.61-32-7.84-70.56</f>
        <v>398.88</v>
      </c>
      <c r="C3" s="93">
        <f>390-15.6-37-38.5</f>
        <v>298.9</v>
      </c>
      <c r="D3" s="193">
        <f>229.1+29</f>
        <v>258.1</v>
      </c>
      <c r="E3" s="93"/>
      <c r="F3" s="93">
        <v>180.0</v>
      </c>
      <c r="G3" s="93"/>
      <c r="H3" s="93"/>
      <c r="I3" s="93"/>
      <c r="J3" s="93"/>
      <c r="K3" s="93"/>
      <c r="L3" s="93"/>
      <c r="M3" s="93"/>
      <c r="N3" s="93">
        <v>168.0</v>
      </c>
      <c r="O3" s="93">
        <v>305.0</v>
      </c>
      <c r="P3" s="101"/>
      <c r="Q3" s="93"/>
      <c r="R3" s="93"/>
      <c r="S3" s="93"/>
      <c r="T3" s="93"/>
      <c r="U3" s="93"/>
      <c r="V3" s="93"/>
      <c r="W3" s="93"/>
      <c r="X3" s="93"/>
      <c r="Y3" s="107">
        <f t="shared" si="1"/>
        <v>1608.88</v>
      </c>
      <c r="Z3" s="158">
        <v>5145.4</v>
      </c>
      <c r="AA3" s="59">
        <f t="shared" si="2"/>
        <v>0.3126831733</v>
      </c>
      <c r="AB3" s="109">
        <f t="shared" si="3"/>
        <v>45286</v>
      </c>
    </row>
    <row r="4">
      <c r="A4" s="74">
        <v>45287.0</v>
      </c>
      <c r="B4" s="93">
        <f>1110.14-42.06-28.28-27.65-34.4-26.13-8</f>
        <v>943.62</v>
      </c>
      <c r="C4" s="93">
        <v>531.8</v>
      </c>
      <c r="D4" s="93">
        <f>313.14-123.3</f>
        <v>189.84</v>
      </c>
      <c r="E4" s="93"/>
      <c r="F4" s="93"/>
      <c r="G4" s="93"/>
      <c r="H4" s="93">
        <v>169.36</v>
      </c>
      <c r="I4" s="93">
        <f>580.8-198</f>
        <v>382.8</v>
      </c>
      <c r="J4" s="93"/>
      <c r="K4" s="93">
        <v>42.0</v>
      </c>
      <c r="L4" s="93"/>
      <c r="M4" s="93"/>
      <c r="N4" s="93"/>
      <c r="O4" s="93">
        <v>33.5</v>
      </c>
      <c r="P4" s="93">
        <v>18.5</v>
      </c>
      <c r="Q4" s="93">
        <v>252.0</v>
      </c>
      <c r="R4" s="93"/>
      <c r="S4" s="93"/>
      <c r="T4" s="160"/>
      <c r="U4" s="93">
        <v>151.0</v>
      </c>
      <c r="V4" s="93">
        <v>57.05</v>
      </c>
      <c r="W4" s="93"/>
      <c r="X4" s="6"/>
      <c r="Y4" s="107">
        <f t="shared" si="1"/>
        <v>2771.47</v>
      </c>
      <c r="Z4" s="97">
        <f>906+6762</f>
        <v>7668</v>
      </c>
      <c r="AA4" s="59">
        <f t="shared" si="2"/>
        <v>0.361433229</v>
      </c>
      <c r="AB4" s="109">
        <f t="shared" si="3"/>
        <v>45287</v>
      </c>
    </row>
    <row r="5">
      <c r="A5" s="74">
        <v>45288.0</v>
      </c>
      <c r="B5" s="93">
        <f>2782.83-30.77-93.39-25.82-28.26-44-47.61-87-54-38.34-34.8-98.1-110-83-40.16-65.98</f>
        <v>1901.6</v>
      </c>
      <c r="C5" s="93"/>
      <c r="D5" s="93">
        <f>1306.94-120.6-348.64-60.95-29.5-79.75</f>
        <v>667.5</v>
      </c>
      <c r="E5" s="93"/>
      <c r="F5" s="93">
        <v>180.0</v>
      </c>
      <c r="G5" s="160"/>
      <c r="H5" s="93">
        <v>345.31</v>
      </c>
      <c r="I5" s="93"/>
      <c r="J5" s="93"/>
      <c r="K5" s="93"/>
      <c r="L5" s="93"/>
      <c r="M5" s="93"/>
      <c r="N5" s="93"/>
      <c r="O5" s="93"/>
      <c r="P5" s="93">
        <v>18.5</v>
      </c>
      <c r="Q5" s="93"/>
      <c r="R5" s="93"/>
      <c r="S5" s="93"/>
      <c r="T5" s="93"/>
      <c r="U5" s="93"/>
      <c r="V5" s="101"/>
      <c r="W5" s="101"/>
      <c r="X5" s="6"/>
      <c r="Y5" s="7">
        <f t="shared" si="1"/>
        <v>3112.91</v>
      </c>
      <c r="Z5" s="97">
        <f>561+7086.8</f>
        <v>7647.8</v>
      </c>
      <c r="AA5" s="59">
        <f t="shared" si="2"/>
        <v>0.4070333952</v>
      </c>
      <c r="AB5" s="109">
        <f t="shared" si="3"/>
        <v>45288</v>
      </c>
    </row>
    <row r="6">
      <c r="A6" s="74">
        <v>45289.0</v>
      </c>
      <c r="B6" s="93">
        <f>1602.68-79.6-62.07-34.97-47.61-155.52-100.36-145-23.12-64.93</f>
        <v>889.5</v>
      </c>
      <c r="C6" s="93">
        <v>413.15</v>
      </c>
      <c r="D6" s="93">
        <f>852.49-105.2-292+251.6</f>
        <v>706.89</v>
      </c>
      <c r="E6" s="93"/>
      <c r="F6" s="93"/>
      <c r="G6" s="93"/>
      <c r="H6" s="93"/>
      <c r="I6" s="93">
        <v>495.0</v>
      </c>
      <c r="J6" s="93"/>
      <c r="K6" s="93">
        <v>123.0</v>
      </c>
      <c r="L6" s="93"/>
      <c r="M6" s="162"/>
      <c r="N6" s="93"/>
      <c r="O6" s="93"/>
      <c r="P6" s="93">
        <v>18.5</v>
      </c>
      <c r="Q6" s="93"/>
      <c r="R6" s="93"/>
      <c r="S6" s="93"/>
      <c r="T6" s="93"/>
      <c r="U6" s="93"/>
      <c r="V6" s="93">
        <v>57.05</v>
      </c>
      <c r="W6" s="93"/>
      <c r="X6" s="5"/>
      <c r="Y6" s="7">
        <f t="shared" si="1"/>
        <v>2703.09</v>
      </c>
      <c r="Z6" s="97">
        <f>1463+5982</f>
        <v>7445</v>
      </c>
      <c r="AA6" s="59">
        <f t="shared" si="2"/>
        <v>0.3630745467</v>
      </c>
      <c r="AB6" s="109">
        <f t="shared" si="3"/>
        <v>45289</v>
      </c>
    </row>
    <row r="7">
      <c r="A7" s="74">
        <v>45290.0</v>
      </c>
      <c r="B7" s="93">
        <f>1093.97-18.61-39.43-23.11-37.77-26.16-155.52</f>
        <v>793.37</v>
      </c>
      <c r="C7" s="93">
        <f>514.4-19.85-21.2-25.9-130</f>
        <v>317.45</v>
      </c>
      <c r="D7" s="93"/>
      <c r="E7" s="93"/>
      <c r="F7" s="93">
        <v>180.0</v>
      </c>
      <c r="G7" s="93"/>
      <c r="H7" s="93"/>
      <c r="I7" s="93">
        <v>958.0</v>
      </c>
      <c r="J7" s="93"/>
      <c r="K7" s="93"/>
      <c r="L7" s="93"/>
      <c r="M7" s="93"/>
      <c r="N7" s="93">
        <v>420.0</v>
      </c>
      <c r="O7" s="93">
        <v>397.5</v>
      </c>
      <c r="P7" s="93"/>
      <c r="Q7" s="93"/>
      <c r="R7" s="93">
        <v>70.0</v>
      </c>
      <c r="S7" s="93"/>
      <c r="T7" s="101"/>
      <c r="U7" s="101"/>
      <c r="V7" s="101"/>
      <c r="W7" s="101"/>
      <c r="X7" s="5"/>
      <c r="Y7" s="7">
        <f t="shared" si="1"/>
        <v>3136.32</v>
      </c>
      <c r="Z7" s="97">
        <f>3349.15+10380</f>
        <v>13729.15</v>
      </c>
      <c r="AA7" s="59">
        <f t="shared" si="2"/>
        <v>0.2284424018</v>
      </c>
      <c r="AB7" s="109">
        <f t="shared" si="3"/>
        <v>45290</v>
      </c>
    </row>
    <row r="8">
      <c r="A8" s="74">
        <v>45291.0</v>
      </c>
      <c r="B8" s="180">
        <v>1098.03</v>
      </c>
      <c r="C8" s="112" t="s">
        <v>21</v>
      </c>
      <c r="D8" s="180">
        <v>860.0</v>
      </c>
      <c r="E8" s="112" t="s">
        <v>21</v>
      </c>
      <c r="F8" s="112" t="s">
        <v>21</v>
      </c>
      <c r="G8" s="112" t="s">
        <v>21</v>
      </c>
      <c r="H8" s="112" t="s">
        <v>21</v>
      </c>
      <c r="I8" s="112" t="s">
        <v>21</v>
      </c>
      <c r="J8" s="112" t="s">
        <v>21</v>
      </c>
      <c r="K8" s="112" t="s">
        <v>21</v>
      </c>
      <c r="L8" s="112" t="s">
        <v>21</v>
      </c>
      <c r="M8" s="112" t="s">
        <v>21</v>
      </c>
      <c r="N8" s="112" t="s">
        <v>21</v>
      </c>
      <c r="O8" s="93"/>
      <c r="P8" s="112" t="s">
        <v>21</v>
      </c>
      <c r="Q8" s="112" t="s">
        <v>21</v>
      </c>
      <c r="R8" s="112" t="s">
        <v>21</v>
      </c>
      <c r="S8" s="112" t="s">
        <v>21</v>
      </c>
      <c r="T8" s="112" t="s">
        <v>21</v>
      </c>
      <c r="U8" s="112" t="s">
        <v>21</v>
      </c>
      <c r="V8" s="10" t="s">
        <v>21</v>
      </c>
      <c r="W8" s="10" t="s">
        <v>21</v>
      </c>
      <c r="X8" s="10" t="s">
        <v>21</v>
      </c>
      <c r="Y8" s="7">
        <f t="shared" si="1"/>
        <v>1958.03</v>
      </c>
      <c r="Z8" s="97">
        <f>4916+24150</f>
        <v>29066</v>
      </c>
      <c r="AA8" s="59">
        <f t="shared" si="2"/>
        <v>0.0673649625</v>
      </c>
      <c r="AB8" s="109">
        <f t="shared" si="3"/>
        <v>45291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Z9" s="129"/>
      <c r="AB9" s="106"/>
    </row>
    <row r="10">
      <c r="A10" s="164" t="s">
        <v>193</v>
      </c>
      <c r="B10" s="78"/>
      <c r="C10" s="78"/>
      <c r="D10" s="78"/>
      <c r="E10" s="188"/>
      <c r="F10" s="188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Z10" s="129"/>
      <c r="AB10" s="106"/>
    </row>
    <row r="11">
      <c r="A11" s="165" t="s">
        <v>194</v>
      </c>
      <c r="B11" s="93">
        <f>35.97+42.06+27.65+34.4+26.13+30.77+12.91+65.98+7.84+70.56</f>
        <v>354.27</v>
      </c>
      <c r="C11" s="93">
        <f>15.6+37+38.5+19.85+21.2+25.9+130</f>
        <v>288.05</v>
      </c>
      <c r="D11" s="93">
        <v>105.2</v>
      </c>
      <c r="E11" s="167"/>
      <c r="F11" s="168"/>
      <c r="G11" s="166"/>
      <c r="H11" s="166"/>
      <c r="I11" s="168"/>
      <c r="J11" s="168"/>
      <c r="K11" s="168"/>
      <c r="L11" s="168"/>
      <c r="M11" s="168"/>
      <c r="N11" s="166"/>
      <c r="O11" s="168"/>
      <c r="P11" s="1"/>
      <c r="Q11" s="1"/>
      <c r="R11" s="1"/>
      <c r="S11" s="1"/>
      <c r="T11" s="1"/>
      <c r="U11" s="1"/>
      <c r="V11" s="168"/>
      <c r="W11" s="168"/>
      <c r="X11" s="1"/>
      <c r="Y11" s="1"/>
      <c r="Z11" s="169"/>
      <c r="AA11" s="1"/>
      <c r="AB11" s="170"/>
    </row>
    <row r="12">
      <c r="A12" s="165" t="s">
        <v>195</v>
      </c>
      <c r="B12" s="93">
        <f>228+155.52+19.62+23.61+32+28.28+12.91+28.26+47.61+83+40.16+47.61+145+23.12+18.61+39.43+23.11+37.77+26.16+155.52</f>
        <v>1215.3</v>
      </c>
      <c r="C12" s="93"/>
      <c r="D12" s="93">
        <f>123.3+120.6+86+60.95</f>
        <v>390.85</v>
      </c>
      <c r="E12" s="93"/>
      <c r="F12" s="93"/>
      <c r="G12" s="93"/>
      <c r="H12" s="93">
        <v>198.0</v>
      </c>
      <c r="I12" s="93">
        <f>198+190</f>
        <v>388</v>
      </c>
      <c r="J12" s="93"/>
      <c r="K12" s="93"/>
      <c r="L12" s="93"/>
      <c r="M12" s="93"/>
      <c r="N12" s="93">
        <v>300.0</v>
      </c>
      <c r="O12" s="166"/>
      <c r="P12" s="1"/>
      <c r="Q12" s="1"/>
      <c r="R12" s="168"/>
      <c r="S12" s="168"/>
      <c r="T12" s="1"/>
      <c r="U12" s="96"/>
      <c r="V12" s="168"/>
      <c r="W12" s="168"/>
      <c r="X12" s="1"/>
      <c r="Y12" s="1"/>
      <c r="Z12" s="171"/>
      <c r="AA12" s="1"/>
      <c r="AB12" s="170"/>
    </row>
    <row r="13">
      <c r="A13" s="172" t="s">
        <v>223</v>
      </c>
      <c r="B13" s="93">
        <f>44+54+38.34+34.8+98.1+110+79.6+62.07+34.97+155.52+100.36+64.93</f>
        <v>876.69</v>
      </c>
      <c r="C13" s="93"/>
      <c r="D13" s="93">
        <f>263+29.5+292</f>
        <v>584.5</v>
      </c>
      <c r="E13" s="168"/>
      <c r="F13" s="166"/>
      <c r="G13" s="93">
        <v>1483.31</v>
      </c>
      <c r="H13" s="168"/>
      <c r="I13" s="168"/>
      <c r="J13" s="168"/>
      <c r="K13" s="168"/>
      <c r="L13" s="168"/>
      <c r="M13" s="168"/>
      <c r="N13" s="168"/>
      <c r="O13" s="168"/>
      <c r="P13" s="1"/>
      <c r="Q13" s="1"/>
      <c r="R13" s="168"/>
      <c r="S13" s="168"/>
      <c r="T13" s="1"/>
      <c r="U13" s="1"/>
      <c r="V13" s="168"/>
      <c r="W13" s="168"/>
      <c r="X13" s="1"/>
      <c r="Y13" s="1"/>
      <c r="Z13" s="174"/>
      <c r="AA13" s="1"/>
      <c r="AB13" s="170"/>
    </row>
    <row r="14" hidden="1">
      <c r="A14" s="172" t="s">
        <v>197</v>
      </c>
      <c r="B14" s="93"/>
      <c r="C14" s="93"/>
      <c r="D14" s="93"/>
      <c r="E14" s="168"/>
      <c r="F14" s="166"/>
      <c r="G14" s="168"/>
      <c r="H14" s="168"/>
      <c r="I14" s="168"/>
      <c r="J14" s="168"/>
      <c r="K14" s="168"/>
      <c r="L14" s="168"/>
      <c r="M14" s="168"/>
      <c r="N14" s="166"/>
      <c r="O14" s="168"/>
      <c r="P14" s="1"/>
      <c r="Q14" s="1"/>
      <c r="R14" s="168"/>
      <c r="S14" s="168"/>
      <c r="T14" s="1"/>
      <c r="U14" s="96"/>
      <c r="V14" s="168"/>
      <c r="W14" s="168"/>
      <c r="X14" s="1"/>
      <c r="Y14" s="1"/>
      <c r="Z14" s="174"/>
      <c r="AA14" s="1"/>
      <c r="AB14" s="170"/>
    </row>
    <row r="15">
      <c r="A15" s="165" t="s">
        <v>198</v>
      </c>
      <c r="B15" s="93">
        <f>8+93.39+87</f>
        <v>188.39</v>
      </c>
      <c r="C15" s="93"/>
      <c r="D15" s="93">
        <v>79.75</v>
      </c>
      <c r="E15" s="168"/>
      <c r="F15" s="166"/>
      <c r="G15" s="168"/>
      <c r="H15" s="168"/>
      <c r="I15" s="168"/>
      <c r="J15" s="168"/>
      <c r="K15" s="168"/>
      <c r="L15" s="168"/>
      <c r="M15" s="168"/>
      <c r="N15" s="166"/>
      <c r="O15" s="168"/>
      <c r="P15" s="1"/>
      <c r="Q15" s="1"/>
      <c r="R15" s="168"/>
      <c r="S15" s="168"/>
      <c r="T15" s="1"/>
      <c r="U15" s="96"/>
      <c r="V15" s="168"/>
      <c r="W15" s="168"/>
      <c r="X15" s="1"/>
      <c r="Y15" s="1"/>
      <c r="Z15" s="174"/>
      <c r="AA15" s="1"/>
      <c r="AB15" s="170"/>
    </row>
    <row r="16">
      <c r="A16" s="91"/>
      <c r="B16" s="92"/>
      <c r="C16" s="79"/>
      <c r="D16" s="79"/>
      <c r="E16" s="79"/>
      <c r="F16" s="78"/>
      <c r="G16" s="78"/>
      <c r="H16" s="78"/>
      <c r="K16" s="79"/>
      <c r="L16" s="79"/>
      <c r="M16" s="78"/>
      <c r="N16" s="79"/>
      <c r="O16" s="79"/>
      <c r="R16" s="79"/>
      <c r="S16" s="79"/>
      <c r="V16" s="79"/>
      <c r="W16" s="79"/>
      <c r="Z16" s="131"/>
      <c r="AB16" s="106"/>
    </row>
    <row r="17">
      <c r="A17" s="91"/>
      <c r="B17" s="92"/>
      <c r="C17" s="78"/>
      <c r="D17" s="78"/>
      <c r="E17" s="78"/>
      <c r="F17" s="79"/>
      <c r="I17" s="198"/>
      <c r="J17" s="199"/>
      <c r="K17" s="199"/>
      <c r="L17" s="200"/>
      <c r="M17" s="201"/>
      <c r="N17" s="202"/>
      <c r="O17" s="198"/>
      <c r="P17" s="198"/>
      <c r="Q17" s="198"/>
      <c r="R17" s="198"/>
      <c r="S17" s="79"/>
      <c r="V17" s="79"/>
      <c r="W17" s="79"/>
      <c r="Z17" s="131"/>
      <c r="AB17" s="106"/>
    </row>
    <row r="18">
      <c r="A18" s="4" t="s">
        <v>22</v>
      </c>
      <c r="B18" s="11">
        <v>13000.0</v>
      </c>
      <c r="C18" s="79"/>
      <c r="D18" s="79"/>
      <c r="E18" s="79"/>
      <c r="G18" s="78"/>
      <c r="H18" s="201"/>
      <c r="I18" s="198"/>
      <c r="J18" s="198"/>
      <c r="K18" s="198"/>
      <c r="L18" s="198"/>
      <c r="M18" s="201"/>
      <c r="N18" s="200"/>
      <c r="O18" s="203"/>
      <c r="P18" s="198"/>
      <c r="Q18" s="198"/>
      <c r="R18" s="198"/>
      <c r="S18" s="198"/>
      <c r="T18" s="204"/>
      <c r="V18" s="79"/>
      <c r="W18" s="79"/>
      <c r="Z18" s="131"/>
      <c r="AB18" s="106"/>
    </row>
    <row r="19">
      <c r="A19" s="4" t="s">
        <v>23</v>
      </c>
      <c r="B19" s="12">
        <f>SUM(B2:X8)</f>
        <v>16698.39</v>
      </c>
      <c r="C19" s="79"/>
      <c r="D19" s="177"/>
      <c r="E19" s="78"/>
      <c r="G19" s="78"/>
      <c r="H19" s="201"/>
      <c r="I19" s="198"/>
      <c r="J19" s="191"/>
      <c r="K19" s="198"/>
      <c r="L19" s="198"/>
      <c r="M19" s="200"/>
      <c r="N19" s="198"/>
      <c r="O19" s="203"/>
      <c r="P19" s="198"/>
      <c r="Q19" s="198"/>
      <c r="R19" s="198"/>
      <c r="S19" s="198"/>
      <c r="T19" s="204"/>
      <c r="V19" s="79"/>
      <c r="W19" s="79"/>
      <c r="Z19" s="131"/>
      <c r="AB19" s="106"/>
    </row>
    <row r="20">
      <c r="A20" s="4" t="s">
        <v>24</v>
      </c>
      <c r="B20" s="12">
        <f> SUM(B18-B19)</f>
        <v>-3698.39</v>
      </c>
      <c r="C20" s="79"/>
      <c r="D20" s="79"/>
      <c r="E20" s="78"/>
      <c r="F20" s="78"/>
      <c r="G20" s="144"/>
      <c r="H20" s="203"/>
      <c r="I20" s="203"/>
      <c r="J20" s="203"/>
      <c r="K20" s="199"/>
      <c r="L20" s="198"/>
      <c r="M20" s="201"/>
      <c r="N20" s="200"/>
      <c r="O20" s="203"/>
      <c r="P20" s="198"/>
      <c r="Q20" s="198"/>
      <c r="R20" s="198"/>
      <c r="S20" s="198"/>
      <c r="T20" s="204"/>
      <c r="V20" s="79"/>
      <c r="W20" s="79"/>
      <c r="Z20" s="131"/>
      <c r="AB20" s="106"/>
    </row>
    <row r="21">
      <c r="C21" s="79"/>
      <c r="D21" s="79"/>
      <c r="E21" s="78"/>
      <c r="G21" s="144"/>
      <c r="H21" s="203"/>
      <c r="I21" s="205"/>
      <c r="J21" s="203"/>
      <c r="K21" s="203"/>
      <c r="L21" s="198"/>
      <c r="M21" s="201"/>
      <c r="N21" s="198"/>
      <c r="O21" s="203"/>
      <c r="P21" s="198"/>
      <c r="Q21" s="206"/>
      <c r="R21" s="198"/>
      <c r="S21" s="198"/>
      <c r="T21" s="204"/>
      <c r="V21" s="79"/>
      <c r="W21" s="79"/>
      <c r="Z21" s="131"/>
      <c r="AB21" s="106"/>
    </row>
    <row r="22">
      <c r="A22" s="13" t="s">
        <v>25</v>
      </c>
      <c r="B22" s="14">
        <f>SUM(Z2:Z8)</f>
        <v>70701.35</v>
      </c>
      <c r="C22" s="79"/>
      <c r="D22" s="79"/>
      <c r="E22" s="78"/>
      <c r="F22" s="78"/>
      <c r="G22" s="78"/>
      <c r="H22" s="201"/>
      <c r="I22" s="192"/>
      <c r="J22" s="192"/>
      <c r="K22" s="198"/>
      <c r="L22" s="198"/>
      <c r="M22" s="201"/>
      <c r="N22" s="198"/>
      <c r="O22" s="203"/>
      <c r="P22" s="198"/>
      <c r="Q22" s="198"/>
      <c r="R22" s="198"/>
      <c r="S22" s="198"/>
      <c r="T22" s="204"/>
      <c r="V22" s="79"/>
      <c r="W22" s="79"/>
      <c r="Z22" s="181"/>
      <c r="AB22" s="106"/>
    </row>
    <row r="23">
      <c r="A23" s="13" t="s">
        <v>26</v>
      </c>
      <c r="B23" s="15">
        <f>B19/B22</f>
        <v>0.2361820531</v>
      </c>
      <c r="C23" s="79"/>
      <c r="D23" s="79"/>
      <c r="E23" s="78"/>
      <c r="H23" s="207"/>
      <c r="I23" s="192"/>
      <c r="J23" s="192"/>
      <c r="K23" s="198"/>
      <c r="L23" s="198"/>
      <c r="M23" s="200"/>
      <c r="N23" s="198"/>
      <c r="O23" s="203"/>
      <c r="P23" s="198"/>
      <c r="Q23" s="198"/>
      <c r="R23" s="198"/>
      <c r="S23" s="198"/>
      <c r="T23" s="204"/>
      <c r="V23" s="79"/>
      <c r="W23" s="79"/>
      <c r="Z23" s="130"/>
      <c r="AB23" s="106"/>
    </row>
    <row r="24">
      <c r="C24" s="79"/>
      <c r="D24" s="79"/>
      <c r="E24" s="78"/>
      <c r="H24" s="204"/>
      <c r="I24" s="192"/>
      <c r="J24" s="192"/>
      <c r="K24" s="198"/>
      <c r="L24" s="198"/>
      <c r="M24" s="198"/>
      <c r="N24" s="198"/>
      <c r="O24" s="198"/>
      <c r="P24" s="198"/>
      <c r="Q24" s="198"/>
      <c r="R24" s="198"/>
      <c r="S24" s="198"/>
      <c r="T24" s="204"/>
      <c r="V24" s="79"/>
      <c r="W24" s="79"/>
      <c r="Z24" s="182"/>
      <c r="AB24" s="106"/>
    </row>
    <row r="25">
      <c r="C25" s="79"/>
      <c r="D25" s="79"/>
      <c r="E25" s="79"/>
      <c r="H25" s="204"/>
      <c r="I25" s="192"/>
      <c r="J25" s="192"/>
      <c r="K25" s="198"/>
      <c r="L25" s="198"/>
      <c r="M25" s="201"/>
      <c r="N25" s="198"/>
      <c r="O25" s="198"/>
      <c r="P25" s="198"/>
      <c r="Q25" s="198"/>
      <c r="R25" s="198"/>
      <c r="S25" s="198"/>
      <c r="T25" s="204"/>
      <c r="V25" s="79"/>
      <c r="W25" s="79"/>
      <c r="Z25" s="130"/>
      <c r="AB25" s="106"/>
    </row>
    <row r="26">
      <c r="A26" s="16" t="s">
        <v>27</v>
      </c>
      <c r="B26" s="17"/>
      <c r="C26" s="114"/>
      <c r="D26" s="114"/>
      <c r="E26" s="115"/>
      <c r="H26" s="204"/>
      <c r="I26" s="192"/>
      <c r="J26" s="192"/>
      <c r="K26" s="208"/>
      <c r="L26" s="208"/>
      <c r="M26" s="208"/>
      <c r="N26" s="198"/>
      <c r="O26" s="200"/>
      <c r="P26" s="198"/>
      <c r="Q26" s="198"/>
      <c r="R26" s="198"/>
      <c r="S26" s="198"/>
      <c r="T26" s="204"/>
      <c r="V26" s="79"/>
      <c r="W26" s="79"/>
      <c r="Z26" s="130"/>
      <c r="AB26" s="106"/>
    </row>
    <row r="27">
      <c r="A27" s="19" t="s">
        <v>28</v>
      </c>
      <c r="B27" s="20"/>
      <c r="C27" s="116"/>
      <c r="D27" s="116"/>
      <c r="E27" s="117"/>
      <c r="H27" s="204"/>
      <c r="I27" s="192"/>
      <c r="J27" s="192"/>
      <c r="K27" s="209"/>
      <c r="L27" s="209"/>
      <c r="M27" s="209"/>
      <c r="N27" s="198"/>
      <c r="O27" s="198"/>
      <c r="P27" s="198"/>
      <c r="Q27" s="198"/>
      <c r="R27" s="198"/>
      <c r="S27" s="198"/>
      <c r="T27" s="204"/>
      <c r="V27" s="79"/>
      <c r="W27" s="79"/>
      <c r="Z27" s="130"/>
      <c r="AB27" s="106"/>
    </row>
    <row r="28">
      <c r="A28" s="183" t="s">
        <v>29</v>
      </c>
      <c r="B28" s="184" t="s">
        <v>30</v>
      </c>
      <c r="C28" s="185"/>
      <c r="D28" s="185" t="s">
        <v>170</v>
      </c>
      <c r="E28" s="186" t="s">
        <v>171</v>
      </c>
      <c r="H28" s="204"/>
      <c r="I28" s="210"/>
      <c r="J28" s="192"/>
      <c r="K28" s="211"/>
      <c r="L28" s="209"/>
      <c r="M28" s="209"/>
      <c r="N28" s="198"/>
      <c r="O28" s="198"/>
      <c r="P28" s="198"/>
      <c r="Q28" s="198"/>
      <c r="R28" s="198"/>
      <c r="S28" s="198"/>
      <c r="T28" s="204"/>
      <c r="V28" s="79"/>
      <c r="W28" s="79"/>
      <c r="Z28" s="130"/>
      <c r="AB28" s="106"/>
    </row>
    <row r="29">
      <c r="A29" s="166"/>
      <c r="B29" s="93"/>
      <c r="C29" s="168"/>
      <c r="D29" s="168"/>
      <c r="E29" s="166"/>
      <c r="H29" s="204"/>
      <c r="I29" s="198"/>
      <c r="J29" s="192"/>
      <c r="K29" s="198"/>
      <c r="L29" s="198"/>
      <c r="M29" s="198"/>
      <c r="N29" s="198"/>
      <c r="O29" s="198"/>
      <c r="P29" s="198"/>
      <c r="Q29" s="198"/>
      <c r="R29" s="198"/>
      <c r="S29" s="198"/>
      <c r="T29" s="204"/>
      <c r="V29" s="79"/>
      <c r="W29" s="79"/>
      <c r="Z29" s="130"/>
      <c r="AB29" s="106"/>
    </row>
    <row r="30">
      <c r="C30" s="79"/>
      <c r="D30" s="79"/>
      <c r="E30" s="79"/>
      <c r="H30" s="204"/>
      <c r="I30" s="203"/>
      <c r="J30" s="212"/>
      <c r="K30" s="198"/>
      <c r="L30" s="198"/>
      <c r="M30" s="198"/>
      <c r="N30" s="198"/>
      <c r="O30" s="198"/>
      <c r="P30" s="198"/>
      <c r="Q30" s="198"/>
      <c r="R30" s="198"/>
      <c r="S30" s="198"/>
      <c r="T30" s="204"/>
      <c r="V30" s="79"/>
      <c r="W30" s="79"/>
      <c r="Z30" s="130"/>
      <c r="AB30" s="106"/>
    </row>
    <row r="31">
      <c r="C31" s="79"/>
      <c r="D31" s="79"/>
      <c r="E31" s="79"/>
      <c r="H31" s="204"/>
      <c r="I31" s="198"/>
      <c r="J31" s="192"/>
      <c r="K31" s="198"/>
      <c r="L31" s="198"/>
      <c r="M31" s="198"/>
      <c r="N31" s="198"/>
      <c r="O31" s="198"/>
      <c r="P31" s="198"/>
      <c r="Q31" s="198"/>
      <c r="R31" s="198"/>
      <c r="S31" s="198"/>
      <c r="T31" s="204"/>
      <c r="V31" s="79"/>
      <c r="W31" s="79"/>
      <c r="Z31" s="130"/>
      <c r="AB31" s="106"/>
    </row>
    <row r="32">
      <c r="C32" s="79"/>
      <c r="D32" s="79"/>
      <c r="E32" s="79"/>
      <c r="H32" s="204"/>
      <c r="I32" s="198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204"/>
      <c r="V32" s="79"/>
      <c r="W32" s="79"/>
      <c r="Z32" s="130"/>
      <c r="AB32" s="106"/>
    </row>
    <row r="33">
      <c r="C33" s="79"/>
      <c r="D33" s="79"/>
      <c r="E33" s="79"/>
      <c r="H33" s="204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204"/>
      <c r="V33" s="79"/>
      <c r="W33" s="79"/>
      <c r="Z33" s="130"/>
      <c r="AB33" s="106"/>
    </row>
    <row r="34">
      <c r="C34" s="79"/>
      <c r="D34" s="79"/>
      <c r="E34" s="79"/>
      <c r="H34" s="204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204"/>
      <c r="V34" s="79"/>
      <c r="W34" s="79"/>
      <c r="Z34" s="130"/>
      <c r="AB34" s="106"/>
    </row>
    <row r="35">
      <c r="C35" s="79"/>
      <c r="D35" s="79"/>
      <c r="E35" s="79"/>
      <c r="H35" s="204"/>
      <c r="I35" s="213"/>
      <c r="J35" s="204"/>
      <c r="K35" s="204"/>
      <c r="L35" s="204"/>
      <c r="M35" s="198"/>
      <c r="N35" s="204"/>
      <c r="O35" s="204"/>
      <c r="P35" s="204"/>
      <c r="Q35" s="204"/>
      <c r="R35" s="198"/>
      <c r="S35" s="198"/>
      <c r="T35" s="204"/>
      <c r="V35" s="79"/>
      <c r="W35" s="79"/>
      <c r="Z35" s="130"/>
      <c r="AB35" s="106"/>
    </row>
    <row r="36">
      <c r="C36" s="79"/>
      <c r="D36" s="79"/>
      <c r="E36" s="79"/>
      <c r="H36" s="204"/>
      <c r="I36" s="213"/>
      <c r="J36" s="204"/>
      <c r="K36" s="204"/>
      <c r="L36" s="204"/>
      <c r="M36" s="198"/>
      <c r="N36" s="204"/>
      <c r="O36" s="204"/>
      <c r="P36" s="204"/>
      <c r="Q36" s="204"/>
      <c r="R36" s="198"/>
      <c r="S36" s="198"/>
      <c r="T36" s="204"/>
      <c r="V36" s="79"/>
      <c r="W36" s="79"/>
      <c r="Z36" s="130"/>
      <c r="AB36" s="106"/>
    </row>
    <row r="37">
      <c r="C37" s="79"/>
      <c r="D37" s="79"/>
      <c r="E37" s="79"/>
      <c r="I37" s="213"/>
      <c r="J37" s="204"/>
      <c r="K37" s="204"/>
      <c r="L37" s="204"/>
      <c r="M37" s="198"/>
      <c r="N37" s="204"/>
      <c r="O37" s="204"/>
      <c r="P37" s="204"/>
      <c r="Q37" s="204"/>
      <c r="R37" s="198"/>
      <c r="S37" s="79"/>
      <c r="V37" s="79"/>
      <c r="W37" s="79"/>
      <c r="Z37" s="130"/>
      <c r="AB37" s="106"/>
    </row>
    <row r="38">
      <c r="C38" s="79"/>
      <c r="D38" s="79"/>
      <c r="E38" s="79"/>
      <c r="I38" s="213"/>
      <c r="J38" s="204"/>
      <c r="K38" s="204"/>
      <c r="L38" s="204"/>
      <c r="M38" s="198"/>
      <c r="N38" s="204"/>
      <c r="O38" s="204"/>
      <c r="P38" s="204"/>
      <c r="Q38" s="204"/>
      <c r="R38" s="198"/>
      <c r="S38" s="79"/>
      <c r="V38" s="79"/>
      <c r="W38" s="79"/>
      <c r="Z38" s="130"/>
      <c r="AB38" s="106"/>
    </row>
    <row r="39">
      <c r="C39" s="79"/>
      <c r="D39" s="79"/>
      <c r="E39" s="79"/>
      <c r="I39" s="213"/>
      <c r="J39" s="204"/>
      <c r="K39" s="204"/>
      <c r="L39" s="204"/>
      <c r="M39" s="198"/>
      <c r="N39" s="204"/>
      <c r="O39" s="204"/>
      <c r="P39" s="204"/>
      <c r="Q39" s="204"/>
      <c r="R39" s="198"/>
      <c r="S39" s="79"/>
      <c r="V39" s="79"/>
      <c r="W39" s="79"/>
      <c r="Z39" s="130"/>
      <c r="AB39" s="106"/>
    </row>
    <row r="40">
      <c r="C40" s="79"/>
      <c r="D40" s="79"/>
      <c r="E40" s="79"/>
      <c r="I40" s="204"/>
      <c r="J40" s="204"/>
      <c r="K40" s="204"/>
      <c r="L40" s="204"/>
      <c r="M40" s="198"/>
      <c r="N40" s="204"/>
      <c r="O40" s="204"/>
      <c r="P40" s="204"/>
      <c r="Q40" s="204"/>
      <c r="R40" s="198"/>
      <c r="S40" s="79"/>
      <c r="V40" s="79"/>
      <c r="W40" s="79"/>
      <c r="Z40" s="130"/>
      <c r="AB40" s="106"/>
    </row>
    <row r="41">
      <c r="C41" s="79"/>
      <c r="D41" s="79"/>
      <c r="E41" s="79"/>
      <c r="I41" s="204"/>
      <c r="J41" s="204"/>
      <c r="K41" s="204"/>
      <c r="L41" s="204"/>
      <c r="M41" s="198"/>
      <c r="N41" s="204"/>
      <c r="O41" s="204"/>
      <c r="P41" s="204"/>
      <c r="Q41" s="204"/>
      <c r="R41" s="198"/>
      <c r="S41" s="79"/>
      <c r="V41" s="79"/>
      <c r="W41" s="79"/>
      <c r="Z41" s="130"/>
      <c r="AB41" s="106"/>
    </row>
    <row r="42">
      <c r="C42" s="79"/>
      <c r="D42" s="79"/>
      <c r="E42" s="79"/>
      <c r="M42" s="79"/>
      <c r="R42" s="79"/>
      <c r="S42" s="79"/>
      <c r="V42" s="79"/>
      <c r="W42" s="79"/>
      <c r="Z42" s="130"/>
      <c r="AB42" s="106"/>
    </row>
    <row r="43">
      <c r="C43" s="79"/>
      <c r="D43" s="79"/>
      <c r="E43" s="79"/>
      <c r="M43" s="79"/>
      <c r="R43" s="79"/>
      <c r="S43" s="79"/>
      <c r="V43" s="79"/>
      <c r="W43" s="79"/>
      <c r="Z43" s="130"/>
      <c r="AB43" s="106"/>
    </row>
    <row r="44">
      <c r="C44" s="79"/>
      <c r="D44" s="79"/>
      <c r="E44" s="79"/>
      <c r="M44" s="79"/>
      <c r="R44" s="79"/>
      <c r="S44" s="79"/>
      <c r="V44" s="79"/>
      <c r="W44" s="79"/>
      <c r="Z44" s="130"/>
      <c r="AB44" s="106"/>
    </row>
    <row r="45">
      <c r="C45" s="79"/>
      <c r="D45" s="79"/>
      <c r="E45" s="79"/>
      <c r="M45" s="79"/>
      <c r="R45" s="79"/>
      <c r="S45" s="79"/>
      <c r="V45" s="79"/>
      <c r="W45" s="79"/>
      <c r="Z45" s="130"/>
      <c r="AB45" s="106"/>
    </row>
    <row r="46">
      <c r="C46" s="79"/>
      <c r="D46" s="79"/>
      <c r="E46" s="79"/>
      <c r="M46" s="79"/>
      <c r="R46" s="79"/>
      <c r="S46" s="79"/>
      <c r="V46" s="79"/>
      <c r="W46" s="79"/>
      <c r="Z46" s="130"/>
      <c r="AB46" s="106"/>
    </row>
    <row r="47">
      <c r="C47" s="79"/>
      <c r="D47" s="79"/>
      <c r="E47" s="79"/>
      <c r="M47" s="79"/>
      <c r="R47" s="79"/>
      <c r="S47" s="79"/>
      <c r="V47" s="79"/>
      <c r="W47" s="79"/>
      <c r="Z47" s="130"/>
      <c r="AB47" s="106"/>
    </row>
    <row r="48">
      <c r="C48" s="79"/>
      <c r="D48" s="79"/>
      <c r="E48" s="79"/>
      <c r="M48" s="79"/>
      <c r="R48" s="79"/>
      <c r="S48" s="79"/>
      <c r="V48" s="79"/>
      <c r="W48" s="79"/>
      <c r="Z48" s="130"/>
      <c r="AB48" s="106"/>
    </row>
    <row r="49">
      <c r="C49" s="79"/>
      <c r="D49" s="79"/>
      <c r="E49" s="79"/>
      <c r="M49" s="79"/>
      <c r="R49" s="79"/>
      <c r="S49" s="79"/>
      <c r="V49" s="79"/>
      <c r="W49" s="79"/>
      <c r="Z49" s="130"/>
      <c r="AB49" s="106"/>
    </row>
    <row r="50">
      <c r="C50" s="79"/>
      <c r="D50" s="79"/>
      <c r="E50" s="79"/>
      <c r="M50" s="79"/>
      <c r="R50" s="79"/>
      <c r="S50" s="79"/>
      <c r="V50" s="79"/>
      <c r="W50" s="79"/>
      <c r="Z50" s="130"/>
      <c r="AB50" s="106"/>
    </row>
    <row r="51">
      <c r="C51" s="79"/>
      <c r="D51" s="79"/>
      <c r="E51" s="79"/>
      <c r="M51" s="79"/>
      <c r="R51" s="79"/>
      <c r="S51" s="79"/>
      <c r="V51" s="79"/>
      <c r="W51" s="79"/>
      <c r="Z51" s="130"/>
      <c r="AB51" s="106"/>
    </row>
    <row r="52">
      <c r="C52" s="79"/>
      <c r="D52" s="79"/>
      <c r="E52" s="79"/>
      <c r="M52" s="79"/>
      <c r="R52" s="79"/>
      <c r="S52" s="79"/>
      <c r="V52" s="79"/>
      <c r="W52" s="79"/>
      <c r="Z52" s="130"/>
      <c r="AB52" s="106"/>
    </row>
    <row r="53">
      <c r="C53" s="79"/>
      <c r="D53" s="79"/>
      <c r="E53" s="79"/>
      <c r="M53" s="79"/>
      <c r="R53" s="79"/>
      <c r="S53" s="79"/>
      <c r="V53" s="79"/>
      <c r="W53" s="79"/>
      <c r="Z53" s="130"/>
      <c r="AB53" s="106"/>
    </row>
    <row r="54">
      <c r="C54" s="79"/>
      <c r="D54" s="79"/>
      <c r="E54" s="79"/>
      <c r="M54" s="79"/>
      <c r="R54" s="79"/>
      <c r="S54" s="79"/>
      <c r="V54" s="79"/>
      <c r="W54" s="79"/>
      <c r="Z54" s="130"/>
      <c r="AB54" s="106"/>
    </row>
    <row r="55">
      <c r="C55" s="79"/>
      <c r="D55" s="79"/>
      <c r="E55" s="79"/>
      <c r="M55" s="79"/>
      <c r="R55" s="79"/>
      <c r="S55" s="79"/>
      <c r="V55" s="79"/>
      <c r="W55" s="79"/>
      <c r="Z55" s="130"/>
      <c r="AB55" s="106"/>
    </row>
    <row r="56">
      <c r="C56" s="79"/>
      <c r="D56" s="79"/>
      <c r="E56" s="79"/>
      <c r="M56" s="79"/>
      <c r="R56" s="79"/>
      <c r="S56" s="79"/>
      <c r="V56" s="79"/>
      <c r="W56" s="79"/>
      <c r="Z56" s="130"/>
      <c r="AB56" s="106"/>
    </row>
    <row r="57">
      <c r="C57" s="79"/>
      <c r="D57" s="79"/>
      <c r="E57" s="79"/>
      <c r="M57" s="79"/>
      <c r="R57" s="79"/>
      <c r="S57" s="79"/>
      <c r="V57" s="79"/>
      <c r="W57" s="79"/>
      <c r="Z57" s="130"/>
      <c r="AB57" s="106"/>
    </row>
    <row r="58">
      <c r="C58" s="79"/>
      <c r="D58" s="79"/>
      <c r="E58" s="79"/>
      <c r="M58" s="79"/>
      <c r="R58" s="79"/>
      <c r="S58" s="79"/>
      <c r="V58" s="79"/>
      <c r="W58" s="79"/>
      <c r="Z58" s="130"/>
      <c r="AB58" s="106"/>
    </row>
    <row r="59">
      <c r="C59" s="79"/>
      <c r="D59" s="79"/>
      <c r="E59" s="79"/>
      <c r="M59" s="79"/>
      <c r="R59" s="79"/>
      <c r="S59" s="79"/>
      <c r="V59" s="79"/>
      <c r="W59" s="79"/>
      <c r="Z59" s="130"/>
      <c r="AB59" s="106"/>
    </row>
    <row r="60">
      <c r="C60" s="79"/>
      <c r="D60" s="79"/>
      <c r="E60" s="79"/>
      <c r="M60" s="79"/>
      <c r="R60" s="79"/>
      <c r="S60" s="79"/>
      <c r="V60" s="79"/>
      <c r="W60" s="79"/>
      <c r="Z60" s="130"/>
      <c r="AB60" s="106"/>
    </row>
    <row r="61">
      <c r="C61" s="79"/>
      <c r="D61" s="79"/>
      <c r="E61" s="79"/>
      <c r="M61" s="79"/>
      <c r="R61" s="79"/>
      <c r="S61" s="79"/>
      <c r="V61" s="79"/>
      <c r="W61" s="79"/>
      <c r="Z61" s="130"/>
      <c r="AB61" s="106"/>
    </row>
    <row r="62">
      <c r="C62" s="79"/>
      <c r="D62" s="79"/>
      <c r="E62" s="79"/>
      <c r="M62" s="79"/>
      <c r="R62" s="79"/>
      <c r="S62" s="79"/>
      <c r="V62" s="79"/>
      <c r="W62" s="79"/>
      <c r="Z62" s="130"/>
      <c r="AB62" s="106"/>
    </row>
    <row r="63">
      <c r="C63" s="79"/>
      <c r="D63" s="79"/>
      <c r="E63" s="79"/>
      <c r="M63" s="79"/>
      <c r="R63" s="79"/>
      <c r="S63" s="79"/>
      <c r="V63" s="79"/>
      <c r="W63" s="79"/>
      <c r="Z63" s="130"/>
      <c r="AB63" s="106"/>
    </row>
    <row r="64">
      <c r="C64" s="79"/>
      <c r="D64" s="79"/>
      <c r="E64" s="79"/>
      <c r="M64" s="79"/>
      <c r="R64" s="79"/>
      <c r="S64" s="79"/>
      <c r="V64" s="79"/>
      <c r="W64" s="79"/>
      <c r="Z64" s="130"/>
      <c r="AB64" s="106"/>
    </row>
    <row r="65">
      <c r="C65" s="79"/>
      <c r="D65" s="79"/>
      <c r="E65" s="79"/>
      <c r="M65" s="79"/>
      <c r="R65" s="79"/>
      <c r="S65" s="79"/>
      <c r="V65" s="79"/>
      <c r="W65" s="79"/>
      <c r="Z65" s="130"/>
      <c r="AB65" s="106"/>
    </row>
    <row r="66">
      <c r="C66" s="79"/>
      <c r="D66" s="79"/>
      <c r="E66" s="79"/>
      <c r="M66" s="79"/>
      <c r="R66" s="79"/>
      <c r="S66" s="79"/>
      <c r="V66" s="79"/>
      <c r="W66" s="79"/>
      <c r="Z66" s="130"/>
      <c r="AB66" s="106"/>
    </row>
    <row r="67">
      <c r="C67" s="79"/>
      <c r="D67" s="79"/>
      <c r="E67" s="79"/>
      <c r="M67" s="79"/>
      <c r="R67" s="79"/>
      <c r="S67" s="79"/>
      <c r="V67" s="79"/>
      <c r="W67" s="79"/>
      <c r="Z67" s="130"/>
      <c r="AB67" s="106"/>
    </row>
    <row r="68">
      <c r="C68" s="79"/>
      <c r="D68" s="79"/>
      <c r="E68" s="79"/>
      <c r="M68" s="79"/>
      <c r="R68" s="79"/>
      <c r="S68" s="79"/>
      <c r="V68" s="79"/>
      <c r="W68" s="79"/>
      <c r="Z68" s="130"/>
      <c r="AB68" s="106"/>
    </row>
    <row r="69">
      <c r="C69" s="79"/>
      <c r="D69" s="79"/>
      <c r="E69" s="79"/>
      <c r="M69" s="79"/>
      <c r="R69" s="79"/>
      <c r="S69" s="79"/>
      <c r="V69" s="79"/>
      <c r="W69" s="79"/>
      <c r="Z69" s="130"/>
      <c r="AB69" s="106"/>
    </row>
    <row r="70">
      <c r="C70" s="79"/>
      <c r="D70" s="79"/>
      <c r="E70" s="79"/>
      <c r="M70" s="79"/>
      <c r="R70" s="79"/>
      <c r="S70" s="79"/>
      <c r="V70" s="79"/>
      <c r="W70" s="79"/>
      <c r="Z70" s="130"/>
      <c r="AB70" s="106"/>
    </row>
    <row r="71">
      <c r="C71" s="79"/>
      <c r="D71" s="79"/>
      <c r="E71" s="79"/>
      <c r="M71" s="79"/>
      <c r="R71" s="79"/>
      <c r="S71" s="79"/>
      <c r="V71" s="79"/>
      <c r="W71" s="79"/>
      <c r="Z71" s="130"/>
      <c r="AB71" s="106"/>
    </row>
    <row r="72">
      <c r="C72" s="79"/>
      <c r="D72" s="79"/>
      <c r="E72" s="79"/>
      <c r="M72" s="79"/>
      <c r="R72" s="79"/>
      <c r="S72" s="79"/>
      <c r="V72" s="79"/>
      <c r="W72" s="79"/>
      <c r="Z72" s="130"/>
      <c r="AB72" s="106"/>
    </row>
    <row r="73">
      <c r="C73" s="79"/>
      <c r="D73" s="79"/>
      <c r="E73" s="79"/>
      <c r="M73" s="79"/>
      <c r="R73" s="79"/>
      <c r="S73" s="79"/>
      <c r="V73" s="79"/>
      <c r="W73" s="79"/>
      <c r="Z73" s="130"/>
      <c r="AB73" s="106"/>
    </row>
    <row r="74">
      <c r="C74" s="79"/>
      <c r="D74" s="79"/>
      <c r="E74" s="79"/>
      <c r="M74" s="79"/>
      <c r="R74" s="79"/>
      <c r="S74" s="79"/>
      <c r="V74" s="79"/>
      <c r="W74" s="79"/>
      <c r="Z74" s="130"/>
      <c r="AB74" s="106"/>
    </row>
    <row r="75">
      <c r="C75" s="79"/>
      <c r="D75" s="79"/>
      <c r="E75" s="79"/>
      <c r="M75" s="79"/>
      <c r="R75" s="79"/>
      <c r="S75" s="79"/>
      <c r="V75" s="79"/>
      <c r="W75" s="79"/>
      <c r="Z75" s="130"/>
      <c r="AB75" s="106"/>
    </row>
    <row r="76">
      <c r="C76" s="79"/>
      <c r="D76" s="79"/>
      <c r="E76" s="79"/>
      <c r="M76" s="79"/>
      <c r="R76" s="79"/>
      <c r="S76" s="79"/>
      <c r="V76" s="79"/>
      <c r="W76" s="79"/>
      <c r="Z76" s="130"/>
      <c r="AB76" s="106"/>
    </row>
    <row r="77">
      <c r="C77" s="79"/>
      <c r="D77" s="79"/>
      <c r="E77" s="79"/>
      <c r="M77" s="79"/>
      <c r="R77" s="79"/>
      <c r="S77" s="79"/>
      <c r="V77" s="79"/>
      <c r="W77" s="79"/>
      <c r="Z77" s="130"/>
      <c r="AB77" s="106"/>
    </row>
    <row r="78">
      <c r="C78" s="79"/>
      <c r="D78" s="79"/>
      <c r="E78" s="79"/>
      <c r="M78" s="79"/>
      <c r="R78" s="79"/>
      <c r="S78" s="79"/>
      <c r="V78" s="79"/>
      <c r="W78" s="79"/>
      <c r="Z78" s="130"/>
      <c r="AB78" s="106"/>
    </row>
    <row r="79">
      <c r="C79" s="79"/>
      <c r="D79" s="79"/>
      <c r="E79" s="79"/>
      <c r="M79" s="79"/>
      <c r="R79" s="79"/>
      <c r="S79" s="79"/>
      <c r="V79" s="79"/>
      <c r="W79" s="79"/>
      <c r="Z79" s="130"/>
      <c r="AB79" s="106"/>
    </row>
    <row r="80">
      <c r="C80" s="79"/>
      <c r="D80" s="79"/>
      <c r="E80" s="79"/>
      <c r="M80" s="79"/>
      <c r="R80" s="79"/>
      <c r="S80" s="79"/>
      <c r="V80" s="79"/>
      <c r="W80" s="79"/>
      <c r="Z80" s="130"/>
      <c r="AB80" s="106"/>
    </row>
    <row r="81">
      <c r="C81" s="79"/>
      <c r="D81" s="79"/>
      <c r="E81" s="79"/>
      <c r="M81" s="79"/>
      <c r="R81" s="79"/>
      <c r="S81" s="79"/>
      <c r="V81" s="79"/>
      <c r="W81" s="79"/>
      <c r="Z81" s="130"/>
      <c r="AB81" s="106"/>
    </row>
    <row r="82">
      <c r="C82" s="79"/>
      <c r="D82" s="79"/>
      <c r="E82" s="79"/>
      <c r="M82" s="79"/>
      <c r="R82" s="79"/>
      <c r="S82" s="79"/>
      <c r="V82" s="79"/>
      <c r="W82" s="79"/>
      <c r="Z82" s="130"/>
      <c r="AB82" s="106"/>
    </row>
    <row r="83">
      <c r="C83" s="79"/>
      <c r="D83" s="79"/>
      <c r="E83" s="79"/>
      <c r="M83" s="79"/>
      <c r="R83" s="79"/>
      <c r="S83" s="79"/>
      <c r="V83" s="79"/>
      <c r="W83" s="79"/>
      <c r="Z83" s="130"/>
      <c r="AB83" s="106"/>
    </row>
    <row r="84">
      <c r="C84" s="79"/>
      <c r="D84" s="79"/>
      <c r="E84" s="79"/>
      <c r="M84" s="79"/>
      <c r="R84" s="79"/>
      <c r="S84" s="79"/>
      <c r="V84" s="79"/>
      <c r="W84" s="79"/>
      <c r="Z84" s="130"/>
      <c r="AB84" s="106"/>
    </row>
    <row r="85">
      <c r="C85" s="79"/>
      <c r="D85" s="79"/>
      <c r="E85" s="79"/>
      <c r="M85" s="79"/>
      <c r="R85" s="79"/>
      <c r="S85" s="79"/>
      <c r="V85" s="79"/>
      <c r="W85" s="79"/>
      <c r="Z85" s="130"/>
      <c r="AB85" s="106"/>
    </row>
    <row r="86">
      <c r="C86" s="79"/>
      <c r="D86" s="79"/>
      <c r="E86" s="79"/>
      <c r="M86" s="79"/>
      <c r="R86" s="79"/>
      <c r="S86" s="79"/>
      <c r="V86" s="79"/>
      <c r="W86" s="79"/>
      <c r="Z86" s="130"/>
      <c r="AB86" s="106"/>
    </row>
    <row r="87">
      <c r="C87" s="79"/>
      <c r="D87" s="79"/>
      <c r="E87" s="79"/>
      <c r="M87" s="79"/>
      <c r="R87" s="79"/>
      <c r="S87" s="79"/>
      <c r="V87" s="79"/>
      <c r="W87" s="79"/>
      <c r="Z87" s="130"/>
      <c r="AB87" s="106"/>
    </row>
    <row r="88">
      <c r="C88" s="79"/>
      <c r="D88" s="79"/>
      <c r="E88" s="79"/>
      <c r="M88" s="79"/>
      <c r="R88" s="79"/>
      <c r="S88" s="79"/>
      <c r="V88" s="79"/>
      <c r="W88" s="79"/>
      <c r="Z88" s="130"/>
      <c r="AB88" s="106"/>
    </row>
    <row r="89">
      <c r="C89" s="79"/>
      <c r="D89" s="79"/>
      <c r="E89" s="79"/>
      <c r="M89" s="79"/>
      <c r="R89" s="79"/>
      <c r="S89" s="79"/>
      <c r="V89" s="79"/>
      <c r="W89" s="79"/>
      <c r="Z89" s="130"/>
      <c r="AB89" s="106"/>
    </row>
    <row r="90">
      <c r="C90" s="79"/>
      <c r="D90" s="79"/>
      <c r="E90" s="79"/>
      <c r="M90" s="79"/>
      <c r="R90" s="79"/>
      <c r="S90" s="79"/>
      <c r="V90" s="79"/>
      <c r="W90" s="79"/>
      <c r="Z90" s="130"/>
      <c r="AB90" s="106"/>
    </row>
    <row r="91">
      <c r="C91" s="79"/>
      <c r="D91" s="79"/>
      <c r="E91" s="79"/>
      <c r="M91" s="79"/>
      <c r="R91" s="79"/>
      <c r="S91" s="79"/>
      <c r="V91" s="79"/>
      <c r="W91" s="79"/>
      <c r="Z91" s="130"/>
      <c r="AB91" s="106"/>
    </row>
    <row r="92">
      <c r="C92" s="79"/>
      <c r="D92" s="79"/>
      <c r="E92" s="79"/>
      <c r="M92" s="79"/>
      <c r="R92" s="79"/>
      <c r="S92" s="79"/>
      <c r="V92" s="79"/>
      <c r="W92" s="79"/>
      <c r="Z92" s="130"/>
      <c r="AB92" s="106"/>
    </row>
    <row r="93">
      <c r="C93" s="79"/>
      <c r="D93" s="79"/>
      <c r="E93" s="79"/>
      <c r="M93" s="79"/>
      <c r="R93" s="79"/>
      <c r="S93" s="79"/>
      <c r="V93" s="79"/>
      <c r="W93" s="79"/>
      <c r="Z93" s="130"/>
      <c r="AB93" s="106"/>
    </row>
    <row r="94">
      <c r="C94" s="79"/>
      <c r="D94" s="79"/>
      <c r="E94" s="79"/>
      <c r="M94" s="79"/>
      <c r="R94" s="79"/>
      <c r="S94" s="79"/>
      <c r="V94" s="79"/>
      <c r="W94" s="79"/>
      <c r="Z94" s="130"/>
      <c r="AB94" s="106"/>
    </row>
    <row r="95">
      <c r="C95" s="79"/>
      <c r="D95" s="79"/>
      <c r="E95" s="79"/>
      <c r="M95" s="79"/>
      <c r="R95" s="79"/>
      <c r="S95" s="79"/>
      <c r="V95" s="79"/>
      <c r="W95" s="79"/>
      <c r="Z95" s="130"/>
      <c r="AB95" s="106"/>
    </row>
    <row r="96">
      <c r="C96" s="79"/>
      <c r="D96" s="79"/>
      <c r="E96" s="79"/>
      <c r="M96" s="79"/>
      <c r="R96" s="79"/>
      <c r="S96" s="79"/>
      <c r="V96" s="79"/>
      <c r="W96" s="79"/>
      <c r="Z96" s="130"/>
      <c r="AB96" s="106"/>
    </row>
    <row r="97">
      <c r="C97" s="79"/>
      <c r="D97" s="79"/>
      <c r="E97" s="79"/>
      <c r="M97" s="79"/>
      <c r="R97" s="79"/>
      <c r="S97" s="79"/>
      <c r="V97" s="79"/>
      <c r="W97" s="79"/>
      <c r="Z97" s="130"/>
      <c r="AB97" s="106"/>
    </row>
    <row r="98">
      <c r="C98" s="79"/>
      <c r="D98" s="79"/>
      <c r="E98" s="79"/>
      <c r="M98" s="79"/>
      <c r="R98" s="79"/>
      <c r="S98" s="79"/>
      <c r="V98" s="79"/>
      <c r="W98" s="79"/>
      <c r="Z98" s="130"/>
      <c r="AB98" s="106"/>
    </row>
    <row r="99">
      <c r="C99" s="79"/>
      <c r="D99" s="79"/>
      <c r="E99" s="79"/>
      <c r="M99" s="79"/>
      <c r="R99" s="79"/>
      <c r="S99" s="79"/>
      <c r="V99" s="79"/>
      <c r="W99" s="79"/>
      <c r="Z99" s="130"/>
      <c r="AB99" s="106"/>
    </row>
    <row r="100">
      <c r="C100" s="79"/>
      <c r="D100" s="79"/>
      <c r="E100" s="79"/>
      <c r="M100" s="79"/>
      <c r="R100" s="79"/>
      <c r="S100" s="79"/>
      <c r="V100" s="79"/>
      <c r="W100" s="79"/>
      <c r="Z100" s="130"/>
      <c r="AB100" s="106"/>
    </row>
    <row r="101">
      <c r="C101" s="79"/>
      <c r="D101" s="79"/>
      <c r="E101" s="79"/>
      <c r="M101" s="79"/>
      <c r="R101" s="79"/>
      <c r="S101" s="79"/>
      <c r="V101" s="79"/>
      <c r="W101" s="79"/>
      <c r="Z101" s="130"/>
      <c r="AB101" s="106"/>
    </row>
    <row r="102">
      <c r="C102" s="79"/>
      <c r="D102" s="79"/>
      <c r="E102" s="79"/>
      <c r="M102" s="79"/>
      <c r="R102" s="79"/>
      <c r="S102" s="79"/>
      <c r="V102" s="79"/>
      <c r="W102" s="79"/>
      <c r="Z102" s="130"/>
      <c r="AB102" s="106"/>
    </row>
    <row r="103">
      <c r="C103" s="79"/>
      <c r="D103" s="79"/>
      <c r="E103" s="79"/>
      <c r="M103" s="79"/>
      <c r="R103" s="79"/>
      <c r="S103" s="79"/>
      <c r="V103" s="79"/>
      <c r="W103" s="79"/>
      <c r="Z103" s="130"/>
      <c r="AB103" s="106"/>
    </row>
    <row r="104">
      <c r="C104" s="79"/>
      <c r="D104" s="79"/>
      <c r="E104" s="79"/>
      <c r="M104" s="79"/>
      <c r="R104" s="79"/>
      <c r="S104" s="79"/>
      <c r="V104" s="79"/>
      <c r="W104" s="79"/>
      <c r="Z104" s="130"/>
      <c r="AB104" s="106"/>
    </row>
    <row r="105">
      <c r="C105" s="79"/>
      <c r="D105" s="79"/>
      <c r="E105" s="79"/>
      <c r="M105" s="79"/>
      <c r="R105" s="79"/>
      <c r="S105" s="79"/>
      <c r="V105" s="79"/>
      <c r="W105" s="79"/>
      <c r="Z105" s="130"/>
      <c r="AB105" s="106"/>
    </row>
    <row r="106">
      <c r="C106" s="79"/>
      <c r="D106" s="79"/>
      <c r="E106" s="79"/>
      <c r="M106" s="79"/>
      <c r="R106" s="79"/>
      <c r="S106" s="79"/>
      <c r="V106" s="79"/>
      <c r="W106" s="79"/>
      <c r="Z106" s="130"/>
      <c r="AB106" s="106"/>
    </row>
    <row r="107">
      <c r="C107" s="79"/>
      <c r="D107" s="79"/>
      <c r="E107" s="79"/>
      <c r="M107" s="79"/>
      <c r="R107" s="79"/>
      <c r="S107" s="79"/>
      <c r="V107" s="79"/>
      <c r="W107" s="79"/>
      <c r="Z107" s="130"/>
      <c r="AB107" s="106"/>
    </row>
    <row r="108">
      <c r="C108" s="79"/>
      <c r="D108" s="79"/>
      <c r="E108" s="79"/>
      <c r="M108" s="79"/>
      <c r="R108" s="79"/>
      <c r="S108" s="79"/>
      <c r="V108" s="79"/>
      <c r="W108" s="79"/>
      <c r="Z108" s="130"/>
      <c r="AB108" s="106"/>
    </row>
    <row r="109">
      <c r="C109" s="79"/>
      <c r="D109" s="79"/>
      <c r="E109" s="79"/>
      <c r="M109" s="79"/>
      <c r="R109" s="79"/>
      <c r="S109" s="79"/>
      <c r="V109" s="79"/>
      <c r="W109" s="79"/>
      <c r="Z109" s="130"/>
      <c r="AB109" s="106"/>
    </row>
    <row r="110">
      <c r="C110" s="79"/>
      <c r="D110" s="79"/>
      <c r="E110" s="79"/>
      <c r="M110" s="79"/>
      <c r="R110" s="79"/>
      <c r="S110" s="79"/>
      <c r="V110" s="79"/>
      <c r="W110" s="79"/>
      <c r="Z110" s="130"/>
      <c r="AB110" s="106"/>
    </row>
    <row r="111">
      <c r="C111" s="79"/>
      <c r="D111" s="79"/>
      <c r="E111" s="79"/>
      <c r="M111" s="79"/>
      <c r="R111" s="79"/>
      <c r="S111" s="79"/>
      <c r="V111" s="79"/>
      <c r="W111" s="79"/>
      <c r="Z111" s="130"/>
      <c r="AB111" s="106"/>
    </row>
    <row r="112">
      <c r="C112" s="79"/>
      <c r="D112" s="79"/>
      <c r="E112" s="79"/>
      <c r="M112" s="79"/>
      <c r="R112" s="79"/>
      <c r="S112" s="79"/>
      <c r="V112" s="79"/>
      <c r="W112" s="79"/>
      <c r="Z112" s="130"/>
      <c r="AB112" s="106"/>
    </row>
    <row r="113">
      <c r="C113" s="79"/>
      <c r="D113" s="79"/>
      <c r="E113" s="79"/>
      <c r="M113" s="79"/>
      <c r="R113" s="79"/>
      <c r="S113" s="79"/>
      <c r="V113" s="79"/>
      <c r="W113" s="79"/>
      <c r="Z113" s="130"/>
      <c r="AB113" s="106"/>
    </row>
    <row r="114">
      <c r="C114" s="79"/>
      <c r="D114" s="79"/>
      <c r="E114" s="79"/>
      <c r="M114" s="79"/>
      <c r="R114" s="79"/>
      <c r="S114" s="79"/>
      <c r="V114" s="79"/>
      <c r="W114" s="79"/>
      <c r="Z114" s="130"/>
      <c r="AB114" s="106"/>
    </row>
    <row r="115">
      <c r="C115" s="79"/>
      <c r="D115" s="79"/>
      <c r="E115" s="79"/>
      <c r="M115" s="79"/>
      <c r="R115" s="79"/>
      <c r="S115" s="79"/>
      <c r="V115" s="79"/>
      <c r="W115" s="79"/>
      <c r="Z115" s="130"/>
      <c r="AB115" s="106"/>
    </row>
    <row r="116">
      <c r="C116" s="79"/>
      <c r="D116" s="79"/>
      <c r="E116" s="79"/>
      <c r="M116" s="79"/>
      <c r="R116" s="79"/>
      <c r="S116" s="79"/>
      <c r="V116" s="79"/>
      <c r="W116" s="79"/>
      <c r="Z116" s="130"/>
      <c r="AB116" s="106"/>
    </row>
    <row r="117">
      <c r="C117" s="79"/>
      <c r="D117" s="79"/>
      <c r="E117" s="79"/>
      <c r="M117" s="79"/>
      <c r="R117" s="79"/>
      <c r="S117" s="79"/>
      <c r="V117" s="79"/>
      <c r="W117" s="79"/>
      <c r="Z117" s="130"/>
      <c r="AB117" s="106"/>
    </row>
    <row r="118">
      <c r="C118" s="79"/>
      <c r="D118" s="79"/>
      <c r="E118" s="79"/>
      <c r="M118" s="79"/>
      <c r="R118" s="79"/>
      <c r="S118" s="79"/>
      <c r="V118" s="79"/>
      <c r="W118" s="79"/>
      <c r="Z118" s="130"/>
      <c r="AB118" s="106"/>
    </row>
    <row r="119">
      <c r="C119" s="79"/>
      <c r="D119" s="79"/>
      <c r="E119" s="79"/>
      <c r="M119" s="79"/>
      <c r="R119" s="79"/>
      <c r="S119" s="79"/>
      <c r="V119" s="79"/>
      <c r="W119" s="79"/>
      <c r="Z119" s="130"/>
      <c r="AB119" s="106"/>
    </row>
    <row r="120">
      <c r="C120" s="79"/>
      <c r="D120" s="79"/>
      <c r="E120" s="79"/>
      <c r="M120" s="79"/>
      <c r="R120" s="79"/>
      <c r="S120" s="79"/>
      <c r="V120" s="79"/>
      <c r="W120" s="79"/>
      <c r="Z120" s="130"/>
      <c r="AB120" s="106"/>
    </row>
    <row r="121">
      <c r="C121" s="79"/>
      <c r="D121" s="79"/>
      <c r="E121" s="79"/>
      <c r="M121" s="79"/>
      <c r="R121" s="79"/>
      <c r="S121" s="79"/>
      <c r="V121" s="79"/>
      <c r="W121" s="79"/>
      <c r="Z121" s="130"/>
      <c r="AB121" s="106"/>
    </row>
    <row r="122">
      <c r="C122" s="79"/>
      <c r="D122" s="79"/>
      <c r="E122" s="79"/>
      <c r="M122" s="79"/>
      <c r="R122" s="79"/>
      <c r="S122" s="79"/>
      <c r="V122" s="79"/>
      <c r="W122" s="79"/>
      <c r="Z122" s="130"/>
      <c r="AB122" s="106"/>
    </row>
    <row r="123">
      <c r="C123" s="79"/>
      <c r="D123" s="79"/>
      <c r="E123" s="79"/>
      <c r="M123" s="79"/>
      <c r="R123" s="79"/>
      <c r="S123" s="79"/>
      <c r="V123" s="79"/>
      <c r="W123" s="79"/>
      <c r="Z123" s="130"/>
      <c r="AB123" s="106"/>
    </row>
    <row r="124">
      <c r="C124" s="79"/>
      <c r="D124" s="79"/>
      <c r="E124" s="79"/>
      <c r="M124" s="79"/>
      <c r="R124" s="79"/>
      <c r="S124" s="79"/>
      <c r="V124" s="79"/>
      <c r="W124" s="79"/>
      <c r="Z124" s="130"/>
      <c r="AB124" s="106"/>
    </row>
    <row r="125">
      <c r="C125" s="79"/>
      <c r="D125" s="79"/>
      <c r="E125" s="79"/>
      <c r="M125" s="79"/>
      <c r="R125" s="79"/>
      <c r="S125" s="79"/>
      <c r="V125" s="79"/>
      <c r="W125" s="79"/>
      <c r="Z125" s="130"/>
      <c r="AB125" s="106"/>
    </row>
    <row r="126">
      <c r="C126" s="79"/>
      <c r="D126" s="79"/>
      <c r="E126" s="79"/>
      <c r="M126" s="79"/>
      <c r="R126" s="79"/>
      <c r="S126" s="79"/>
      <c r="V126" s="79"/>
      <c r="W126" s="79"/>
      <c r="Z126" s="130"/>
      <c r="AB126" s="106"/>
    </row>
    <row r="127">
      <c r="C127" s="79"/>
      <c r="D127" s="79"/>
      <c r="E127" s="79"/>
      <c r="M127" s="79"/>
      <c r="R127" s="79"/>
      <c r="S127" s="79"/>
      <c r="V127" s="79"/>
      <c r="W127" s="79"/>
      <c r="Z127" s="130"/>
      <c r="AB127" s="106"/>
    </row>
    <row r="128">
      <c r="C128" s="79"/>
      <c r="D128" s="79"/>
      <c r="E128" s="79"/>
      <c r="M128" s="79"/>
      <c r="R128" s="79"/>
      <c r="S128" s="79"/>
      <c r="V128" s="79"/>
      <c r="W128" s="79"/>
      <c r="Z128" s="130"/>
      <c r="AB128" s="106"/>
    </row>
    <row r="129">
      <c r="C129" s="79"/>
      <c r="D129" s="79"/>
      <c r="E129" s="79"/>
      <c r="M129" s="79"/>
      <c r="R129" s="79"/>
      <c r="S129" s="79"/>
      <c r="V129" s="79"/>
      <c r="W129" s="79"/>
      <c r="Z129" s="130"/>
      <c r="AB129" s="106"/>
    </row>
    <row r="130">
      <c r="C130" s="79"/>
      <c r="D130" s="79"/>
      <c r="E130" s="79"/>
      <c r="M130" s="79"/>
      <c r="R130" s="79"/>
      <c r="S130" s="79"/>
      <c r="V130" s="79"/>
      <c r="W130" s="79"/>
      <c r="Z130" s="130"/>
      <c r="AB130" s="106"/>
    </row>
    <row r="131">
      <c r="C131" s="79"/>
      <c r="D131" s="79"/>
      <c r="E131" s="79"/>
      <c r="M131" s="79"/>
      <c r="R131" s="79"/>
      <c r="S131" s="79"/>
      <c r="V131" s="79"/>
      <c r="W131" s="79"/>
      <c r="Z131" s="130"/>
      <c r="AB131" s="106"/>
    </row>
    <row r="132">
      <c r="C132" s="79"/>
      <c r="D132" s="79"/>
      <c r="E132" s="79"/>
      <c r="M132" s="79"/>
      <c r="R132" s="79"/>
      <c r="S132" s="79"/>
      <c r="V132" s="79"/>
      <c r="W132" s="79"/>
      <c r="Z132" s="130"/>
      <c r="AB132" s="106"/>
    </row>
    <row r="133">
      <c r="C133" s="79"/>
      <c r="D133" s="79"/>
      <c r="E133" s="79"/>
      <c r="M133" s="79"/>
      <c r="R133" s="79"/>
      <c r="S133" s="79"/>
      <c r="V133" s="79"/>
      <c r="W133" s="79"/>
      <c r="Z133" s="130"/>
      <c r="AB133" s="106"/>
    </row>
    <row r="134">
      <c r="C134" s="79"/>
      <c r="D134" s="79"/>
      <c r="E134" s="79"/>
      <c r="M134" s="79"/>
      <c r="R134" s="79"/>
      <c r="S134" s="79"/>
      <c r="V134" s="79"/>
      <c r="W134" s="79"/>
      <c r="Z134" s="130"/>
      <c r="AB134" s="106"/>
    </row>
    <row r="135">
      <c r="C135" s="79"/>
      <c r="D135" s="79"/>
      <c r="E135" s="79"/>
      <c r="M135" s="79"/>
      <c r="R135" s="79"/>
      <c r="S135" s="79"/>
      <c r="V135" s="79"/>
      <c r="W135" s="79"/>
      <c r="Z135" s="130"/>
      <c r="AB135" s="106"/>
    </row>
    <row r="136">
      <c r="C136" s="79"/>
      <c r="D136" s="79"/>
      <c r="E136" s="79"/>
      <c r="M136" s="79"/>
      <c r="R136" s="79"/>
      <c r="S136" s="79"/>
      <c r="V136" s="79"/>
      <c r="W136" s="79"/>
      <c r="Z136" s="130"/>
      <c r="AB136" s="106"/>
    </row>
    <row r="137">
      <c r="C137" s="79"/>
      <c r="D137" s="79"/>
      <c r="E137" s="79"/>
      <c r="M137" s="79"/>
      <c r="R137" s="79"/>
      <c r="S137" s="79"/>
      <c r="V137" s="79"/>
      <c r="W137" s="79"/>
      <c r="Z137" s="130"/>
      <c r="AB137" s="106"/>
    </row>
    <row r="138">
      <c r="C138" s="79"/>
      <c r="D138" s="79"/>
      <c r="E138" s="79"/>
      <c r="M138" s="79"/>
      <c r="R138" s="79"/>
      <c r="S138" s="79"/>
      <c r="V138" s="79"/>
      <c r="W138" s="79"/>
      <c r="Z138" s="130"/>
      <c r="AB138" s="106"/>
    </row>
    <row r="139">
      <c r="C139" s="79"/>
      <c r="D139" s="79"/>
      <c r="E139" s="79"/>
      <c r="M139" s="79"/>
      <c r="R139" s="79"/>
      <c r="S139" s="79"/>
      <c r="V139" s="79"/>
      <c r="W139" s="79"/>
      <c r="Z139" s="130"/>
      <c r="AB139" s="106"/>
    </row>
    <row r="140">
      <c r="C140" s="79"/>
      <c r="D140" s="79"/>
      <c r="E140" s="79"/>
      <c r="M140" s="79"/>
      <c r="R140" s="79"/>
      <c r="S140" s="79"/>
      <c r="V140" s="79"/>
      <c r="W140" s="79"/>
      <c r="Z140" s="130"/>
      <c r="AB140" s="106"/>
    </row>
    <row r="141">
      <c r="C141" s="79"/>
      <c r="D141" s="79"/>
      <c r="E141" s="79"/>
      <c r="M141" s="79"/>
      <c r="R141" s="79"/>
      <c r="S141" s="79"/>
      <c r="V141" s="79"/>
      <c r="W141" s="79"/>
      <c r="Z141" s="130"/>
      <c r="AB141" s="106"/>
    </row>
    <row r="142">
      <c r="C142" s="79"/>
      <c r="D142" s="79"/>
      <c r="E142" s="79"/>
      <c r="M142" s="79"/>
      <c r="R142" s="79"/>
      <c r="S142" s="79"/>
      <c r="V142" s="79"/>
      <c r="W142" s="79"/>
      <c r="Z142" s="130"/>
      <c r="AB142" s="106"/>
    </row>
    <row r="143">
      <c r="C143" s="79"/>
      <c r="D143" s="79"/>
      <c r="E143" s="79"/>
      <c r="M143" s="79"/>
      <c r="R143" s="79"/>
      <c r="S143" s="79"/>
      <c r="V143" s="79"/>
      <c r="W143" s="79"/>
      <c r="Z143" s="130"/>
      <c r="AB143" s="106"/>
    </row>
    <row r="144">
      <c r="C144" s="79"/>
      <c r="D144" s="79"/>
      <c r="E144" s="79"/>
      <c r="M144" s="79"/>
      <c r="R144" s="79"/>
      <c r="S144" s="79"/>
      <c r="V144" s="79"/>
      <c r="W144" s="79"/>
      <c r="Z144" s="130"/>
      <c r="AB144" s="106"/>
    </row>
    <row r="145">
      <c r="C145" s="79"/>
      <c r="D145" s="79"/>
      <c r="E145" s="79"/>
      <c r="M145" s="79"/>
      <c r="R145" s="79"/>
      <c r="S145" s="79"/>
      <c r="V145" s="79"/>
      <c r="W145" s="79"/>
      <c r="Z145" s="130"/>
      <c r="AB145" s="106"/>
    </row>
    <row r="146">
      <c r="C146" s="79"/>
      <c r="D146" s="79"/>
      <c r="E146" s="79"/>
      <c r="M146" s="79"/>
      <c r="R146" s="79"/>
      <c r="S146" s="79"/>
      <c r="V146" s="79"/>
      <c r="W146" s="79"/>
      <c r="Z146" s="130"/>
      <c r="AB146" s="106"/>
    </row>
    <row r="147">
      <c r="C147" s="79"/>
      <c r="D147" s="79"/>
      <c r="E147" s="79"/>
      <c r="M147" s="79"/>
      <c r="R147" s="79"/>
      <c r="S147" s="79"/>
      <c r="V147" s="79"/>
      <c r="W147" s="79"/>
      <c r="Z147" s="130"/>
      <c r="AB147" s="106"/>
    </row>
    <row r="148">
      <c r="C148" s="79"/>
      <c r="D148" s="79"/>
      <c r="E148" s="79"/>
      <c r="M148" s="79"/>
      <c r="R148" s="79"/>
      <c r="S148" s="79"/>
      <c r="V148" s="79"/>
      <c r="W148" s="79"/>
      <c r="Z148" s="130"/>
      <c r="AB148" s="106"/>
    </row>
    <row r="149">
      <c r="C149" s="79"/>
      <c r="D149" s="79"/>
      <c r="E149" s="79"/>
      <c r="M149" s="79"/>
      <c r="R149" s="79"/>
      <c r="S149" s="79"/>
      <c r="V149" s="79"/>
      <c r="W149" s="79"/>
      <c r="Z149" s="130"/>
      <c r="AB149" s="106"/>
    </row>
    <row r="150">
      <c r="C150" s="79"/>
      <c r="D150" s="79"/>
      <c r="E150" s="79"/>
      <c r="M150" s="79"/>
      <c r="R150" s="79"/>
      <c r="S150" s="79"/>
      <c r="V150" s="79"/>
      <c r="W150" s="79"/>
      <c r="Z150" s="130"/>
      <c r="AB150" s="106"/>
    </row>
    <row r="151">
      <c r="C151" s="79"/>
      <c r="D151" s="79"/>
      <c r="E151" s="79"/>
      <c r="M151" s="79"/>
      <c r="R151" s="79"/>
      <c r="S151" s="79"/>
      <c r="V151" s="79"/>
      <c r="W151" s="79"/>
      <c r="Z151" s="130"/>
      <c r="AB151" s="106"/>
    </row>
    <row r="152">
      <c r="C152" s="79"/>
      <c r="D152" s="79"/>
      <c r="E152" s="79"/>
      <c r="M152" s="79"/>
      <c r="R152" s="79"/>
      <c r="S152" s="79"/>
      <c r="V152" s="79"/>
      <c r="W152" s="79"/>
      <c r="Z152" s="130"/>
      <c r="AB152" s="106"/>
    </row>
    <row r="153">
      <c r="C153" s="79"/>
      <c r="D153" s="79"/>
      <c r="E153" s="79"/>
      <c r="M153" s="79"/>
      <c r="R153" s="79"/>
      <c r="S153" s="79"/>
      <c r="V153" s="79"/>
      <c r="W153" s="79"/>
      <c r="Z153" s="130"/>
      <c r="AB153" s="106"/>
    </row>
    <row r="154">
      <c r="C154" s="79"/>
      <c r="D154" s="79"/>
      <c r="E154" s="79"/>
      <c r="M154" s="79"/>
      <c r="R154" s="79"/>
      <c r="S154" s="79"/>
      <c r="V154" s="79"/>
      <c r="W154" s="79"/>
      <c r="Z154" s="130"/>
      <c r="AB154" s="106"/>
    </row>
    <row r="155">
      <c r="C155" s="79"/>
      <c r="D155" s="79"/>
      <c r="E155" s="79"/>
      <c r="M155" s="79"/>
      <c r="R155" s="79"/>
      <c r="S155" s="79"/>
      <c r="V155" s="79"/>
      <c r="W155" s="79"/>
      <c r="Z155" s="130"/>
      <c r="AB155" s="106"/>
    </row>
    <row r="156">
      <c r="C156" s="79"/>
      <c r="D156" s="79"/>
      <c r="E156" s="79"/>
      <c r="M156" s="79"/>
      <c r="R156" s="79"/>
      <c r="S156" s="79"/>
      <c r="V156" s="79"/>
      <c r="W156" s="79"/>
      <c r="Z156" s="130"/>
      <c r="AB156" s="106"/>
    </row>
    <row r="157">
      <c r="C157" s="79"/>
      <c r="D157" s="79"/>
      <c r="E157" s="79"/>
      <c r="M157" s="79"/>
      <c r="R157" s="79"/>
      <c r="S157" s="79"/>
      <c r="V157" s="79"/>
      <c r="W157" s="79"/>
      <c r="Z157" s="130"/>
      <c r="AB157" s="106"/>
    </row>
    <row r="158">
      <c r="C158" s="79"/>
      <c r="D158" s="79"/>
      <c r="E158" s="79"/>
      <c r="M158" s="79"/>
      <c r="R158" s="79"/>
      <c r="S158" s="79"/>
      <c r="V158" s="79"/>
      <c r="W158" s="79"/>
      <c r="Z158" s="130"/>
      <c r="AB158" s="106"/>
    </row>
    <row r="159">
      <c r="C159" s="79"/>
      <c r="D159" s="79"/>
      <c r="E159" s="79"/>
      <c r="M159" s="79"/>
      <c r="R159" s="79"/>
      <c r="S159" s="79"/>
      <c r="V159" s="79"/>
      <c r="W159" s="79"/>
      <c r="Z159" s="130"/>
      <c r="AB159" s="106"/>
    </row>
    <row r="160">
      <c r="C160" s="79"/>
      <c r="D160" s="79"/>
      <c r="E160" s="79"/>
      <c r="M160" s="79"/>
      <c r="R160" s="79"/>
      <c r="S160" s="79"/>
      <c r="V160" s="79"/>
      <c r="W160" s="79"/>
      <c r="Z160" s="130"/>
      <c r="AB160" s="106"/>
    </row>
    <row r="161">
      <c r="C161" s="79"/>
      <c r="D161" s="79"/>
      <c r="E161" s="79"/>
      <c r="M161" s="79"/>
      <c r="R161" s="79"/>
      <c r="S161" s="79"/>
      <c r="V161" s="79"/>
      <c r="W161" s="79"/>
      <c r="Z161" s="130"/>
      <c r="AB161" s="106"/>
    </row>
    <row r="162">
      <c r="C162" s="79"/>
      <c r="D162" s="79"/>
      <c r="E162" s="79"/>
      <c r="M162" s="79"/>
      <c r="R162" s="79"/>
      <c r="S162" s="79"/>
      <c r="V162" s="79"/>
      <c r="W162" s="79"/>
      <c r="Z162" s="130"/>
      <c r="AB162" s="106"/>
    </row>
    <row r="163">
      <c r="C163" s="79"/>
      <c r="D163" s="79"/>
      <c r="E163" s="79"/>
      <c r="M163" s="79"/>
      <c r="R163" s="79"/>
      <c r="S163" s="79"/>
      <c r="V163" s="79"/>
      <c r="W163" s="79"/>
      <c r="Z163" s="130"/>
      <c r="AB163" s="106"/>
    </row>
    <row r="164">
      <c r="C164" s="79"/>
      <c r="D164" s="79"/>
      <c r="E164" s="79"/>
      <c r="M164" s="79"/>
      <c r="R164" s="79"/>
      <c r="S164" s="79"/>
      <c r="V164" s="79"/>
      <c r="W164" s="79"/>
      <c r="Z164" s="130"/>
      <c r="AB164" s="106"/>
    </row>
    <row r="165">
      <c r="C165" s="79"/>
      <c r="D165" s="79"/>
      <c r="E165" s="79"/>
      <c r="M165" s="79"/>
      <c r="R165" s="79"/>
      <c r="S165" s="79"/>
      <c r="V165" s="79"/>
      <c r="W165" s="79"/>
      <c r="Z165" s="130"/>
      <c r="AB165" s="106"/>
    </row>
    <row r="166">
      <c r="C166" s="79"/>
      <c r="D166" s="79"/>
      <c r="E166" s="79"/>
      <c r="M166" s="79"/>
      <c r="R166" s="79"/>
      <c r="S166" s="79"/>
      <c r="V166" s="79"/>
      <c r="W166" s="79"/>
      <c r="Z166" s="130"/>
      <c r="AB166" s="106"/>
    </row>
    <row r="167">
      <c r="C167" s="79"/>
      <c r="D167" s="79"/>
      <c r="E167" s="79"/>
      <c r="M167" s="79"/>
      <c r="R167" s="79"/>
      <c r="S167" s="79"/>
      <c r="V167" s="79"/>
      <c r="W167" s="79"/>
      <c r="Z167" s="130"/>
      <c r="AB167" s="106"/>
    </row>
    <row r="168">
      <c r="C168" s="79"/>
      <c r="D168" s="79"/>
      <c r="E168" s="79"/>
      <c r="M168" s="79"/>
      <c r="R168" s="79"/>
      <c r="S168" s="79"/>
      <c r="V168" s="79"/>
      <c r="W168" s="79"/>
      <c r="Z168" s="130"/>
      <c r="AB168" s="106"/>
    </row>
    <row r="169">
      <c r="C169" s="79"/>
      <c r="D169" s="79"/>
      <c r="E169" s="79"/>
      <c r="M169" s="79"/>
      <c r="R169" s="79"/>
      <c r="S169" s="79"/>
      <c r="V169" s="79"/>
      <c r="W169" s="79"/>
      <c r="Z169" s="130"/>
      <c r="AB169" s="106"/>
    </row>
    <row r="170">
      <c r="C170" s="79"/>
      <c r="D170" s="79"/>
      <c r="E170" s="79"/>
      <c r="M170" s="79"/>
      <c r="R170" s="79"/>
      <c r="S170" s="79"/>
      <c r="V170" s="79"/>
      <c r="W170" s="79"/>
      <c r="Z170" s="130"/>
      <c r="AB170" s="106"/>
    </row>
    <row r="171">
      <c r="C171" s="79"/>
      <c r="D171" s="79"/>
      <c r="E171" s="79"/>
      <c r="M171" s="79"/>
      <c r="R171" s="79"/>
      <c r="S171" s="79"/>
      <c r="V171" s="79"/>
      <c r="W171" s="79"/>
      <c r="Z171" s="130"/>
      <c r="AB171" s="106"/>
    </row>
    <row r="172">
      <c r="C172" s="79"/>
      <c r="D172" s="79"/>
      <c r="E172" s="79"/>
      <c r="M172" s="79"/>
      <c r="R172" s="79"/>
      <c r="S172" s="79"/>
      <c r="V172" s="79"/>
      <c r="W172" s="79"/>
      <c r="Z172" s="130"/>
      <c r="AB172" s="106"/>
    </row>
    <row r="173">
      <c r="C173" s="79"/>
      <c r="D173" s="79"/>
      <c r="E173" s="79"/>
      <c r="M173" s="79"/>
      <c r="R173" s="79"/>
      <c r="S173" s="79"/>
      <c r="V173" s="79"/>
      <c r="W173" s="79"/>
      <c r="Z173" s="130"/>
      <c r="AB173" s="106"/>
    </row>
    <row r="174">
      <c r="C174" s="79"/>
      <c r="D174" s="79"/>
      <c r="E174" s="79"/>
      <c r="M174" s="79"/>
      <c r="R174" s="79"/>
      <c r="S174" s="79"/>
      <c r="V174" s="79"/>
      <c r="W174" s="79"/>
      <c r="Z174" s="130"/>
      <c r="AB174" s="106"/>
    </row>
    <row r="175">
      <c r="C175" s="79"/>
      <c r="D175" s="79"/>
      <c r="E175" s="79"/>
      <c r="M175" s="79"/>
      <c r="R175" s="79"/>
      <c r="S175" s="79"/>
      <c r="V175" s="79"/>
      <c r="W175" s="79"/>
      <c r="Z175" s="130"/>
      <c r="AB175" s="106"/>
    </row>
    <row r="176">
      <c r="C176" s="79"/>
      <c r="D176" s="79"/>
      <c r="E176" s="79"/>
      <c r="M176" s="79"/>
      <c r="R176" s="79"/>
      <c r="S176" s="79"/>
      <c r="V176" s="79"/>
      <c r="W176" s="79"/>
      <c r="Z176" s="130"/>
      <c r="AB176" s="106"/>
    </row>
    <row r="177">
      <c r="C177" s="79"/>
      <c r="D177" s="79"/>
      <c r="E177" s="79"/>
      <c r="M177" s="79"/>
      <c r="R177" s="79"/>
      <c r="S177" s="79"/>
      <c r="V177" s="79"/>
      <c r="W177" s="79"/>
      <c r="Z177" s="130"/>
      <c r="AB177" s="106"/>
    </row>
    <row r="178">
      <c r="C178" s="79"/>
      <c r="D178" s="79"/>
      <c r="E178" s="79"/>
      <c r="M178" s="79"/>
      <c r="R178" s="79"/>
      <c r="S178" s="79"/>
      <c r="V178" s="79"/>
      <c r="W178" s="79"/>
      <c r="Z178" s="130"/>
      <c r="AB178" s="106"/>
    </row>
    <row r="179">
      <c r="C179" s="79"/>
      <c r="D179" s="79"/>
      <c r="E179" s="79"/>
      <c r="M179" s="79"/>
      <c r="R179" s="79"/>
      <c r="S179" s="79"/>
      <c r="V179" s="79"/>
      <c r="W179" s="79"/>
      <c r="Z179" s="130"/>
      <c r="AB179" s="106"/>
    </row>
    <row r="180">
      <c r="C180" s="79"/>
      <c r="D180" s="79"/>
      <c r="E180" s="79"/>
      <c r="M180" s="79"/>
      <c r="R180" s="79"/>
      <c r="S180" s="79"/>
      <c r="V180" s="79"/>
      <c r="W180" s="79"/>
      <c r="Z180" s="130"/>
      <c r="AB180" s="106"/>
    </row>
    <row r="181">
      <c r="C181" s="79"/>
      <c r="D181" s="79"/>
      <c r="E181" s="79"/>
      <c r="M181" s="79"/>
      <c r="R181" s="79"/>
      <c r="S181" s="79"/>
      <c r="V181" s="79"/>
      <c r="W181" s="79"/>
      <c r="Z181" s="130"/>
      <c r="AB181" s="106"/>
    </row>
    <row r="182">
      <c r="C182" s="79"/>
      <c r="D182" s="79"/>
      <c r="E182" s="79"/>
      <c r="M182" s="79"/>
      <c r="R182" s="79"/>
      <c r="S182" s="79"/>
      <c r="V182" s="79"/>
      <c r="W182" s="79"/>
      <c r="Z182" s="130"/>
      <c r="AB182" s="106"/>
    </row>
    <row r="183">
      <c r="C183" s="79"/>
      <c r="D183" s="79"/>
      <c r="E183" s="79"/>
      <c r="M183" s="79"/>
      <c r="R183" s="79"/>
      <c r="S183" s="79"/>
      <c r="V183" s="79"/>
      <c r="W183" s="79"/>
      <c r="Z183" s="130"/>
      <c r="AB183" s="106"/>
    </row>
    <row r="184">
      <c r="C184" s="79"/>
      <c r="D184" s="79"/>
      <c r="E184" s="79"/>
      <c r="M184" s="79"/>
      <c r="R184" s="79"/>
      <c r="S184" s="79"/>
      <c r="V184" s="79"/>
      <c r="W184" s="79"/>
      <c r="Z184" s="130"/>
      <c r="AB184" s="106"/>
    </row>
    <row r="185">
      <c r="C185" s="79"/>
      <c r="D185" s="79"/>
      <c r="E185" s="79"/>
      <c r="M185" s="79"/>
      <c r="R185" s="79"/>
      <c r="S185" s="79"/>
      <c r="V185" s="79"/>
      <c r="W185" s="79"/>
      <c r="Z185" s="130"/>
      <c r="AB185" s="106"/>
    </row>
    <row r="186">
      <c r="C186" s="79"/>
      <c r="D186" s="79"/>
      <c r="E186" s="79"/>
      <c r="M186" s="79"/>
      <c r="R186" s="79"/>
      <c r="S186" s="79"/>
      <c r="V186" s="79"/>
      <c r="W186" s="79"/>
      <c r="Z186" s="130"/>
      <c r="AB186" s="106"/>
    </row>
    <row r="187">
      <c r="C187" s="79"/>
      <c r="D187" s="79"/>
      <c r="E187" s="79"/>
      <c r="M187" s="79"/>
      <c r="R187" s="79"/>
      <c r="S187" s="79"/>
      <c r="V187" s="79"/>
      <c r="W187" s="79"/>
      <c r="Z187" s="130"/>
      <c r="AB187" s="106"/>
    </row>
    <row r="188">
      <c r="C188" s="79"/>
      <c r="D188" s="79"/>
      <c r="E188" s="79"/>
      <c r="M188" s="79"/>
      <c r="R188" s="79"/>
      <c r="S188" s="79"/>
      <c r="V188" s="79"/>
      <c r="W188" s="79"/>
      <c r="Z188" s="130"/>
      <c r="AB188" s="106"/>
    </row>
    <row r="189">
      <c r="C189" s="79"/>
      <c r="D189" s="79"/>
      <c r="E189" s="79"/>
      <c r="M189" s="79"/>
      <c r="R189" s="79"/>
      <c r="S189" s="79"/>
      <c r="V189" s="79"/>
      <c r="W189" s="79"/>
      <c r="Z189" s="130"/>
      <c r="AB189" s="106"/>
    </row>
    <row r="190">
      <c r="C190" s="79"/>
      <c r="D190" s="79"/>
      <c r="E190" s="79"/>
      <c r="M190" s="79"/>
      <c r="R190" s="79"/>
      <c r="S190" s="79"/>
      <c r="V190" s="79"/>
      <c r="W190" s="79"/>
      <c r="Z190" s="130"/>
      <c r="AB190" s="106"/>
    </row>
    <row r="191">
      <c r="C191" s="79"/>
      <c r="D191" s="79"/>
      <c r="E191" s="79"/>
      <c r="M191" s="79"/>
      <c r="R191" s="79"/>
      <c r="S191" s="79"/>
      <c r="V191" s="79"/>
      <c r="W191" s="79"/>
      <c r="Z191" s="130"/>
      <c r="AB191" s="106"/>
    </row>
    <row r="192">
      <c r="C192" s="79"/>
      <c r="D192" s="79"/>
      <c r="E192" s="79"/>
      <c r="M192" s="79"/>
      <c r="R192" s="79"/>
      <c r="S192" s="79"/>
      <c r="V192" s="79"/>
      <c r="W192" s="79"/>
      <c r="Z192" s="130"/>
      <c r="AB192" s="106"/>
    </row>
    <row r="193">
      <c r="C193" s="79"/>
      <c r="D193" s="79"/>
      <c r="E193" s="79"/>
      <c r="M193" s="79"/>
      <c r="R193" s="79"/>
      <c r="S193" s="79"/>
      <c r="V193" s="79"/>
      <c r="W193" s="79"/>
      <c r="Z193" s="130"/>
      <c r="AB193" s="106"/>
    </row>
    <row r="194">
      <c r="C194" s="79"/>
      <c r="D194" s="79"/>
      <c r="E194" s="79"/>
      <c r="M194" s="79"/>
      <c r="R194" s="79"/>
      <c r="S194" s="79"/>
      <c r="V194" s="79"/>
      <c r="W194" s="79"/>
      <c r="Z194" s="130"/>
      <c r="AB194" s="106"/>
    </row>
    <row r="195">
      <c r="C195" s="79"/>
      <c r="D195" s="79"/>
      <c r="E195" s="79"/>
      <c r="M195" s="79"/>
      <c r="R195" s="79"/>
      <c r="S195" s="79"/>
      <c r="V195" s="79"/>
      <c r="W195" s="79"/>
      <c r="Z195" s="130"/>
      <c r="AB195" s="106"/>
    </row>
    <row r="196">
      <c r="C196" s="79"/>
      <c r="D196" s="79"/>
      <c r="E196" s="79"/>
      <c r="M196" s="79"/>
      <c r="R196" s="79"/>
      <c r="S196" s="79"/>
      <c r="V196" s="79"/>
      <c r="W196" s="79"/>
      <c r="Z196" s="130"/>
      <c r="AB196" s="106"/>
    </row>
    <row r="197">
      <c r="C197" s="79"/>
      <c r="D197" s="79"/>
      <c r="E197" s="79"/>
      <c r="M197" s="79"/>
      <c r="R197" s="79"/>
      <c r="S197" s="79"/>
      <c r="V197" s="79"/>
      <c r="W197" s="79"/>
      <c r="Z197" s="130"/>
      <c r="AB197" s="106"/>
    </row>
    <row r="198">
      <c r="C198" s="79"/>
      <c r="D198" s="79"/>
      <c r="E198" s="79"/>
      <c r="M198" s="79"/>
      <c r="R198" s="79"/>
      <c r="S198" s="79"/>
      <c r="V198" s="79"/>
      <c r="W198" s="79"/>
      <c r="Z198" s="130"/>
      <c r="AB198" s="106"/>
    </row>
    <row r="199">
      <c r="C199" s="79"/>
      <c r="D199" s="79"/>
      <c r="E199" s="79"/>
      <c r="M199" s="79"/>
      <c r="R199" s="79"/>
      <c r="S199" s="79"/>
      <c r="V199" s="79"/>
      <c r="W199" s="79"/>
      <c r="Z199" s="130"/>
      <c r="AB199" s="106"/>
    </row>
    <row r="200">
      <c r="C200" s="79"/>
      <c r="D200" s="79"/>
      <c r="E200" s="79"/>
      <c r="M200" s="79"/>
      <c r="R200" s="79"/>
      <c r="S200" s="79"/>
      <c r="V200" s="79"/>
      <c r="W200" s="79"/>
      <c r="Z200" s="130"/>
      <c r="AB200" s="106"/>
    </row>
    <row r="201">
      <c r="C201" s="79"/>
      <c r="D201" s="79"/>
      <c r="E201" s="79"/>
      <c r="M201" s="79"/>
      <c r="R201" s="79"/>
      <c r="S201" s="79"/>
      <c r="V201" s="79"/>
      <c r="W201" s="79"/>
      <c r="Z201" s="130"/>
      <c r="AB201" s="106"/>
    </row>
    <row r="202">
      <c r="C202" s="79"/>
      <c r="D202" s="79"/>
      <c r="E202" s="79"/>
      <c r="M202" s="79"/>
      <c r="R202" s="79"/>
      <c r="S202" s="79"/>
      <c r="V202" s="79"/>
      <c r="W202" s="79"/>
      <c r="Z202" s="130"/>
      <c r="AB202" s="106"/>
    </row>
    <row r="203">
      <c r="C203" s="79"/>
      <c r="D203" s="79"/>
      <c r="E203" s="79"/>
      <c r="M203" s="79"/>
      <c r="R203" s="79"/>
      <c r="S203" s="79"/>
      <c r="V203" s="79"/>
      <c r="W203" s="79"/>
      <c r="Z203" s="130"/>
      <c r="AB203" s="106"/>
    </row>
    <row r="204">
      <c r="C204" s="79"/>
      <c r="D204" s="79"/>
      <c r="E204" s="79"/>
      <c r="M204" s="79"/>
      <c r="R204" s="79"/>
      <c r="S204" s="79"/>
      <c r="V204" s="79"/>
      <c r="W204" s="79"/>
      <c r="Z204" s="130"/>
      <c r="AB204" s="106"/>
    </row>
    <row r="205">
      <c r="C205" s="79"/>
      <c r="D205" s="79"/>
      <c r="E205" s="79"/>
      <c r="M205" s="79"/>
      <c r="R205" s="79"/>
      <c r="S205" s="79"/>
      <c r="V205" s="79"/>
      <c r="W205" s="79"/>
      <c r="Z205" s="130"/>
      <c r="AB205" s="106"/>
    </row>
    <row r="206">
      <c r="C206" s="79"/>
      <c r="D206" s="79"/>
      <c r="E206" s="79"/>
      <c r="M206" s="79"/>
      <c r="R206" s="79"/>
      <c r="S206" s="79"/>
      <c r="V206" s="79"/>
      <c r="W206" s="79"/>
      <c r="Z206" s="130"/>
      <c r="AB206" s="106"/>
    </row>
    <row r="207">
      <c r="C207" s="79"/>
      <c r="D207" s="79"/>
      <c r="E207" s="79"/>
      <c r="M207" s="79"/>
      <c r="R207" s="79"/>
      <c r="S207" s="79"/>
      <c r="V207" s="79"/>
      <c r="W207" s="79"/>
      <c r="Z207" s="130"/>
      <c r="AB207" s="106"/>
    </row>
    <row r="208">
      <c r="C208" s="79"/>
      <c r="D208" s="79"/>
      <c r="E208" s="79"/>
      <c r="M208" s="79"/>
      <c r="R208" s="79"/>
      <c r="S208" s="79"/>
      <c r="V208" s="79"/>
      <c r="W208" s="79"/>
      <c r="Z208" s="130"/>
      <c r="AB208" s="106"/>
    </row>
    <row r="209">
      <c r="C209" s="79"/>
      <c r="D209" s="79"/>
      <c r="E209" s="79"/>
      <c r="M209" s="79"/>
      <c r="R209" s="79"/>
      <c r="S209" s="79"/>
      <c r="V209" s="79"/>
      <c r="W209" s="79"/>
      <c r="Z209" s="130"/>
      <c r="AB209" s="106"/>
    </row>
    <row r="210">
      <c r="C210" s="79"/>
      <c r="D210" s="79"/>
      <c r="E210" s="79"/>
      <c r="M210" s="79"/>
      <c r="R210" s="79"/>
      <c r="S210" s="79"/>
      <c r="V210" s="79"/>
      <c r="W210" s="79"/>
      <c r="Z210" s="130"/>
      <c r="AB210" s="106"/>
    </row>
    <row r="211">
      <c r="C211" s="79"/>
      <c r="D211" s="79"/>
      <c r="E211" s="79"/>
      <c r="M211" s="79"/>
      <c r="R211" s="79"/>
      <c r="S211" s="79"/>
      <c r="V211" s="79"/>
      <c r="W211" s="79"/>
      <c r="Z211" s="130"/>
      <c r="AB211" s="106"/>
    </row>
    <row r="212">
      <c r="C212" s="79"/>
      <c r="D212" s="79"/>
      <c r="E212" s="79"/>
      <c r="M212" s="79"/>
      <c r="R212" s="79"/>
      <c r="S212" s="79"/>
      <c r="V212" s="79"/>
      <c r="W212" s="79"/>
      <c r="Z212" s="130"/>
      <c r="AB212" s="106"/>
    </row>
    <row r="213">
      <c r="C213" s="79"/>
      <c r="D213" s="79"/>
      <c r="E213" s="79"/>
      <c r="M213" s="79"/>
      <c r="R213" s="79"/>
      <c r="S213" s="79"/>
      <c r="V213" s="79"/>
      <c r="W213" s="79"/>
      <c r="Z213" s="130"/>
      <c r="AB213" s="106"/>
    </row>
    <row r="214">
      <c r="C214" s="79"/>
      <c r="D214" s="79"/>
      <c r="E214" s="79"/>
      <c r="M214" s="79"/>
      <c r="R214" s="79"/>
      <c r="S214" s="79"/>
      <c r="V214" s="79"/>
      <c r="W214" s="79"/>
      <c r="Z214" s="130"/>
      <c r="AB214" s="106"/>
    </row>
    <row r="215">
      <c r="C215" s="79"/>
      <c r="D215" s="79"/>
      <c r="E215" s="79"/>
      <c r="M215" s="79"/>
      <c r="R215" s="79"/>
      <c r="S215" s="79"/>
      <c r="V215" s="79"/>
      <c r="W215" s="79"/>
      <c r="Z215" s="130"/>
      <c r="AB215" s="106"/>
    </row>
    <row r="216">
      <c r="C216" s="79"/>
      <c r="D216" s="79"/>
      <c r="E216" s="79"/>
      <c r="M216" s="79"/>
      <c r="R216" s="79"/>
      <c r="S216" s="79"/>
      <c r="V216" s="79"/>
      <c r="W216" s="79"/>
      <c r="Z216" s="130"/>
      <c r="AB216" s="106"/>
    </row>
    <row r="217">
      <c r="C217" s="79"/>
      <c r="D217" s="79"/>
      <c r="E217" s="79"/>
      <c r="M217" s="79"/>
      <c r="R217" s="79"/>
      <c r="S217" s="79"/>
      <c r="V217" s="79"/>
      <c r="W217" s="79"/>
      <c r="Z217" s="130"/>
      <c r="AB217" s="106"/>
    </row>
    <row r="218">
      <c r="C218" s="79"/>
      <c r="D218" s="79"/>
      <c r="E218" s="79"/>
      <c r="M218" s="79"/>
      <c r="R218" s="79"/>
      <c r="S218" s="79"/>
      <c r="V218" s="79"/>
      <c r="W218" s="79"/>
      <c r="Z218" s="130"/>
      <c r="AB218" s="106"/>
    </row>
    <row r="219">
      <c r="C219" s="79"/>
      <c r="D219" s="79"/>
      <c r="E219" s="79"/>
      <c r="M219" s="79"/>
      <c r="R219" s="79"/>
      <c r="S219" s="79"/>
      <c r="V219" s="79"/>
      <c r="W219" s="79"/>
      <c r="Z219" s="130"/>
      <c r="AB219" s="106"/>
    </row>
    <row r="220">
      <c r="C220" s="79"/>
      <c r="D220" s="79"/>
      <c r="E220" s="79"/>
      <c r="M220" s="79"/>
      <c r="R220" s="79"/>
      <c r="S220" s="79"/>
      <c r="V220" s="79"/>
      <c r="W220" s="79"/>
      <c r="Z220" s="130"/>
      <c r="AB220" s="106"/>
    </row>
    <row r="221">
      <c r="C221" s="79"/>
      <c r="D221" s="79"/>
      <c r="E221" s="79"/>
      <c r="M221" s="79"/>
      <c r="R221" s="79"/>
      <c r="S221" s="79"/>
      <c r="V221" s="79"/>
      <c r="W221" s="79"/>
      <c r="Z221" s="130"/>
      <c r="AB221" s="106"/>
    </row>
    <row r="222">
      <c r="C222" s="79"/>
      <c r="D222" s="79"/>
      <c r="E222" s="79"/>
      <c r="M222" s="79"/>
      <c r="R222" s="79"/>
      <c r="S222" s="79"/>
      <c r="V222" s="79"/>
      <c r="W222" s="79"/>
      <c r="Z222" s="130"/>
      <c r="AB222" s="106"/>
    </row>
    <row r="223">
      <c r="C223" s="79"/>
      <c r="D223" s="79"/>
      <c r="E223" s="79"/>
      <c r="M223" s="79"/>
      <c r="R223" s="79"/>
      <c r="S223" s="79"/>
      <c r="V223" s="79"/>
      <c r="W223" s="79"/>
      <c r="Z223" s="130"/>
      <c r="AB223" s="106"/>
    </row>
    <row r="224">
      <c r="C224" s="79"/>
      <c r="D224" s="79"/>
      <c r="E224" s="79"/>
      <c r="M224" s="79"/>
      <c r="R224" s="79"/>
      <c r="S224" s="79"/>
      <c r="V224" s="79"/>
      <c r="W224" s="79"/>
      <c r="Z224" s="130"/>
      <c r="AB224" s="106"/>
    </row>
    <row r="225">
      <c r="C225" s="79"/>
      <c r="D225" s="79"/>
      <c r="E225" s="79"/>
      <c r="M225" s="79"/>
      <c r="R225" s="79"/>
      <c r="S225" s="79"/>
      <c r="V225" s="79"/>
      <c r="W225" s="79"/>
      <c r="Z225" s="130"/>
      <c r="AB225" s="106"/>
    </row>
    <row r="226">
      <c r="C226" s="79"/>
      <c r="D226" s="79"/>
      <c r="E226" s="79"/>
      <c r="M226" s="79"/>
      <c r="R226" s="79"/>
      <c r="S226" s="79"/>
      <c r="V226" s="79"/>
      <c r="W226" s="79"/>
      <c r="Z226" s="130"/>
      <c r="AB226" s="106"/>
    </row>
    <row r="227">
      <c r="C227" s="79"/>
      <c r="D227" s="79"/>
      <c r="E227" s="79"/>
      <c r="M227" s="79"/>
      <c r="R227" s="79"/>
      <c r="S227" s="79"/>
      <c r="V227" s="79"/>
      <c r="W227" s="79"/>
      <c r="Z227" s="130"/>
      <c r="AB227" s="106"/>
    </row>
    <row r="228">
      <c r="C228" s="79"/>
      <c r="D228" s="79"/>
      <c r="E228" s="79"/>
      <c r="M228" s="79"/>
      <c r="R228" s="79"/>
      <c r="S228" s="79"/>
      <c r="V228" s="79"/>
      <c r="W228" s="79"/>
      <c r="Z228" s="130"/>
      <c r="AB228" s="106"/>
    </row>
    <row r="229">
      <c r="C229" s="79"/>
      <c r="D229" s="79"/>
      <c r="E229" s="79"/>
      <c r="M229" s="79"/>
      <c r="R229" s="79"/>
      <c r="S229" s="79"/>
      <c r="V229" s="79"/>
      <c r="W229" s="79"/>
      <c r="Z229" s="130"/>
      <c r="AB229" s="106"/>
    </row>
    <row r="230">
      <c r="C230" s="79"/>
      <c r="D230" s="79"/>
      <c r="E230" s="79"/>
      <c r="M230" s="79"/>
      <c r="R230" s="79"/>
      <c r="S230" s="79"/>
      <c r="V230" s="79"/>
      <c r="W230" s="79"/>
      <c r="Z230" s="130"/>
      <c r="AB230" s="106"/>
    </row>
    <row r="231">
      <c r="C231" s="79"/>
      <c r="D231" s="79"/>
      <c r="E231" s="79"/>
      <c r="M231" s="79"/>
      <c r="R231" s="79"/>
      <c r="S231" s="79"/>
      <c r="V231" s="79"/>
      <c r="W231" s="79"/>
      <c r="Z231" s="130"/>
      <c r="AB231" s="106"/>
    </row>
    <row r="232">
      <c r="C232" s="79"/>
      <c r="D232" s="79"/>
      <c r="E232" s="79"/>
      <c r="M232" s="79"/>
      <c r="R232" s="79"/>
      <c r="S232" s="79"/>
      <c r="V232" s="79"/>
      <c r="W232" s="79"/>
      <c r="Z232" s="130"/>
      <c r="AB232" s="106"/>
    </row>
    <row r="233">
      <c r="C233" s="79"/>
      <c r="D233" s="79"/>
      <c r="E233" s="79"/>
      <c r="M233" s="79"/>
      <c r="R233" s="79"/>
      <c r="S233" s="79"/>
      <c r="V233" s="79"/>
      <c r="W233" s="79"/>
      <c r="Z233" s="130"/>
      <c r="AB233" s="106"/>
    </row>
    <row r="234">
      <c r="C234" s="79"/>
      <c r="D234" s="79"/>
      <c r="E234" s="79"/>
      <c r="M234" s="79"/>
      <c r="R234" s="79"/>
      <c r="S234" s="79"/>
      <c r="V234" s="79"/>
      <c r="W234" s="79"/>
      <c r="Z234" s="130"/>
      <c r="AB234" s="106"/>
    </row>
    <row r="235">
      <c r="C235" s="79"/>
      <c r="D235" s="79"/>
      <c r="E235" s="79"/>
      <c r="M235" s="79"/>
      <c r="R235" s="79"/>
      <c r="S235" s="79"/>
      <c r="V235" s="79"/>
      <c r="W235" s="79"/>
      <c r="Z235" s="130"/>
      <c r="AB235" s="106"/>
    </row>
    <row r="236">
      <c r="C236" s="79"/>
      <c r="D236" s="79"/>
      <c r="E236" s="79"/>
      <c r="M236" s="79"/>
      <c r="R236" s="79"/>
      <c r="S236" s="79"/>
      <c r="V236" s="79"/>
      <c r="W236" s="79"/>
      <c r="Z236" s="130"/>
      <c r="AB236" s="106"/>
    </row>
    <row r="237">
      <c r="C237" s="79"/>
      <c r="D237" s="79"/>
      <c r="E237" s="79"/>
      <c r="M237" s="79"/>
      <c r="R237" s="79"/>
      <c r="S237" s="79"/>
      <c r="V237" s="79"/>
      <c r="W237" s="79"/>
      <c r="Z237" s="130"/>
      <c r="AB237" s="106"/>
    </row>
    <row r="238">
      <c r="C238" s="79"/>
      <c r="D238" s="79"/>
      <c r="E238" s="79"/>
      <c r="M238" s="79"/>
      <c r="R238" s="79"/>
      <c r="S238" s="79"/>
      <c r="V238" s="79"/>
      <c r="W238" s="79"/>
      <c r="Z238" s="130"/>
      <c r="AB238" s="106"/>
    </row>
    <row r="239">
      <c r="C239" s="79"/>
      <c r="D239" s="79"/>
      <c r="E239" s="79"/>
      <c r="M239" s="79"/>
      <c r="R239" s="79"/>
      <c r="S239" s="79"/>
      <c r="V239" s="79"/>
      <c r="W239" s="79"/>
      <c r="Z239" s="130"/>
      <c r="AB239" s="106"/>
    </row>
    <row r="240">
      <c r="C240" s="79"/>
      <c r="D240" s="79"/>
      <c r="E240" s="79"/>
      <c r="M240" s="79"/>
      <c r="R240" s="79"/>
      <c r="S240" s="79"/>
      <c r="V240" s="79"/>
      <c r="W240" s="79"/>
      <c r="Z240" s="130"/>
      <c r="AB240" s="106"/>
    </row>
    <row r="241">
      <c r="C241" s="79"/>
      <c r="D241" s="79"/>
      <c r="E241" s="79"/>
      <c r="M241" s="79"/>
      <c r="R241" s="79"/>
      <c r="S241" s="79"/>
      <c r="V241" s="79"/>
      <c r="W241" s="79"/>
      <c r="Z241" s="130"/>
      <c r="AB241" s="106"/>
    </row>
    <row r="242">
      <c r="C242" s="79"/>
      <c r="D242" s="79"/>
      <c r="E242" s="79"/>
      <c r="M242" s="79"/>
      <c r="R242" s="79"/>
      <c r="S242" s="79"/>
      <c r="V242" s="79"/>
      <c r="W242" s="79"/>
      <c r="Z242" s="130"/>
      <c r="AB242" s="106"/>
    </row>
    <row r="243">
      <c r="C243" s="79"/>
      <c r="D243" s="79"/>
      <c r="E243" s="79"/>
      <c r="M243" s="79"/>
      <c r="R243" s="79"/>
      <c r="S243" s="79"/>
      <c r="V243" s="79"/>
      <c r="W243" s="79"/>
      <c r="Z243" s="130"/>
      <c r="AB243" s="106"/>
    </row>
    <row r="244">
      <c r="C244" s="79"/>
      <c r="D244" s="79"/>
      <c r="E244" s="79"/>
      <c r="M244" s="79"/>
      <c r="R244" s="79"/>
      <c r="S244" s="79"/>
      <c r="V244" s="79"/>
      <c r="W244" s="79"/>
      <c r="Z244" s="130"/>
      <c r="AB244" s="106"/>
    </row>
    <row r="245">
      <c r="C245" s="79"/>
      <c r="D245" s="79"/>
      <c r="E245" s="79"/>
      <c r="M245" s="79"/>
      <c r="R245" s="79"/>
      <c r="S245" s="79"/>
      <c r="V245" s="79"/>
      <c r="W245" s="79"/>
      <c r="Z245" s="130"/>
      <c r="AB245" s="106"/>
    </row>
    <row r="246">
      <c r="C246" s="79"/>
      <c r="D246" s="79"/>
      <c r="E246" s="79"/>
      <c r="M246" s="79"/>
      <c r="R246" s="79"/>
      <c r="S246" s="79"/>
      <c r="V246" s="79"/>
      <c r="W246" s="79"/>
      <c r="Z246" s="130"/>
      <c r="AB246" s="106"/>
    </row>
    <row r="247">
      <c r="C247" s="79"/>
      <c r="D247" s="79"/>
      <c r="E247" s="79"/>
      <c r="M247" s="79"/>
      <c r="R247" s="79"/>
      <c r="S247" s="79"/>
      <c r="V247" s="79"/>
      <c r="W247" s="79"/>
      <c r="Z247" s="130"/>
      <c r="AB247" s="106"/>
    </row>
    <row r="248">
      <c r="C248" s="79"/>
      <c r="D248" s="79"/>
      <c r="E248" s="79"/>
      <c r="M248" s="79"/>
      <c r="R248" s="79"/>
      <c r="S248" s="79"/>
      <c r="V248" s="79"/>
      <c r="W248" s="79"/>
      <c r="Z248" s="130"/>
      <c r="AB248" s="106"/>
    </row>
    <row r="249">
      <c r="C249" s="79"/>
      <c r="D249" s="79"/>
      <c r="E249" s="79"/>
      <c r="M249" s="79"/>
      <c r="R249" s="79"/>
      <c r="S249" s="79"/>
      <c r="V249" s="79"/>
      <c r="W249" s="79"/>
      <c r="Z249" s="130"/>
      <c r="AB249" s="106"/>
    </row>
    <row r="250">
      <c r="C250" s="79"/>
      <c r="D250" s="79"/>
      <c r="E250" s="79"/>
      <c r="M250" s="79"/>
      <c r="R250" s="79"/>
      <c r="S250" s="79"/>
      <c r="V250" s="79"/>
      <c r="W250" s="79"/>
      <c r="Z250" s="130"/>
      <c r="AB250" s="106"/>
    </row>
    <row r="251">
      <c r="C251" s="79"/>
      <c r="D251" s="79"/>
      <c r="E251" s="79"/>
      <c r="M251" s="79"/>
      <c r="R251" s="79"/>
      <c r="S251" s="79"/>
      <c r="V251" s="79"/>
      <c r="W251" s="79"/>
      <c r="Z251" s="130"/>
      <c r="AB251" s="106"/>
    </row>
    <row r="252">
      <c r="C252" s="79"/>
      <c r="D252" s="79"/>
      <c r="E252" s="79"/>
      <c r="M252" s="79"/>
      <c r="R252" s="79"/>
      <c r="S252" s="79"/>
      <c r="V252" s="79"/>
      <c r="W252" s="79"/>
      <c r="Z252" s="130"/>
      <c r="AB252" s="106"/>
    </row>
    <row r="253">
      <c r="C253" s="79"/>
      <c r="D253" s="79"/>
      <c r="E253" s="79"/>
      <c r="M253" s="79"/>
      <c r="R253" s="79"/>
      <c r="S253" s="79"/>
      <c r="V253" s="79"/>
      <c r="W253" s="79"/>
      <c r="Z253" s="130"/>
      <c r="AB253" s="106"/>
    </row>
    <row r="254">
      <c r="C254" s="79"/>
      <c r="D254" s="79"/>
      <c r="E254" s="79"/>
      <c r="M254" s="79"/>
      <c r="R254" s="79"/>
      <c r="S254" s="79"/>
      <c r="V254" s="79"/>
      <c r="W254" s="79"/>
      <c r="Z254" s="130"/>
      <c r="AB254" s="106"/>
    </row>
    <row r="255">
      <c r="C255" s="79"/>
      <c r="D255" s="79"/>
      <c r="E255" s="79"/>
      <c r="M255" s="79"/>
      <c r="R255" s="79"/>
      <c r="S255" s="79"/>
      <c r="V255" s="79"/>
      <c r="W255" s="79"/>
      <c r="Z255" s="130"/>
      <c r="AB255" s="106"/>
    </row>
    <row r="256">
      <c r="C256" s="79"/>
      <c r="D256" s="79"/>
      <c r="E256" s="79"/>
      <c r="M256" s="79"/>
      <c r="R256" s="79"/>
      <c r="S256" s="79"/>
      <c r="V256" s="79"/>
      <c r="W256" s="79"/>
      <c r="Z256" s="130"/>
      <c r="AB256" s="106"/>
    </row>
    <row r="257">
      <c r="C257" s="79"/>
      <c r="D257" s="79"/>
      <c r="E257" s="79"/>
      <c r="M257" s="79"/>
      <c r="R257" s="79"/>
      <c r="S257" s="79"/>
      <c r="V257" s="79"/>
      <c r="W257" s="79"/>
      <c r="Z257" s="130"/>
      <c r="AB257" s="106"/>
    </row>
    <row r="258">
      <c r="C258" s="79"/>
      <c r="D258" s="79"/>
      <c r="E258" s="79"/>
      <c r="M258" s="79"/>
      <c r="R258" s="79"/>
      <c r="S258" s="79"/>
      <c r="V258" s="79"/>
      <c r="W258" s="79"/>
      <c r="Z258" s="130"/>
      <c r="AB258" s="106"/>
    </row>
    <row r="259">
      <c r="C259" s="79"/>
      <c r="D259" s="79"/>
      <c r="E259" s="79"/>
      <c r="M259" s="79"/>
      <c r="R259" s="79"/>
      <c r="S259" s="79"/>
      <c r="V259" s="79"/>
      <c r="W259" s="79"/>
      <c r="Z259" s="130"/>
      <c r="AB259" s="106"/>
    </row>
    <row r="260">
      <c r="C260" s="79"/>
      <c r="D260" s="79"/>
      <c r="E260" s="79"/>
      <c r="M260" s="79"/>
      <c r="R260" s="79"/>
      <c r="S260" s="79"/>
      <c r="V260" s="79"/>
      <c r="W260" s="79"/>
      <c r="Z260" s="130"/>
      <c r="AB260" s="106"/>
    </row>
    <row r="261">
      <c r="C261" s="79"/>
      <c r="D261" s="79"/>
      <c r="E261" s="79"/>
      <c r="M261" s="79"/>
      <c r="R261" s="79"/>
      <c r="S261" s="79"/>
      <c r="V261" s="79"/>
      <c r="W261" s="79"/>
      <c r="Z261" s="130"/>
      <c r="AB261" s="106"/>
    </row>
    <row r="262">
      <c r="C262" s="79"/>
      <c r="D262" s="79"/>
      <c r="E262" s="79"/>
      <c r="M262" s="79"/>
      <c r="R262" s="79"/>
      <c r="S262" s="79"/>
      <c r="V262" s="79"/>
      <c r="W262" s="79"/>
      <c r="Z262" s="130"/>
      <c r="AB262" s="106"/>
    </row>
    <row r="263">
      <c r="C263" s="79"/>
      <c r="D263" s="79"/>
      <c r="E263" s="79"/>
      <c r="M263" s="79"/>
      <c r="R263" s="79"/>
      <c r="S263" s="79"/>
      <c r="V263" s="79"/>
      <c r="W263" s="79"/>
      <c r="Z263" s="130"/>
      <c r="AB263" s="106"/>
    </row>
    <row r="264">
      <c r="C264" s="79"/>
      <c r="D264" s="79"/>
      <c r="E264" s="79"/>
      <c r="M264" s="79"/>
      <c r="R264" s="79"/>
      <c r="S264" s="79"/>
      <c r="V264" s="79"/>
      <c r="W264" s="79"/>
      <c r="Z264" s="130"/>
      <c r="AB264" s="106"/>
    </row>
    <row r="265">
      <c r="C265" s="79"/>
      <c r="D265" s="79"/>
      <c r="E265" s="79"/>
      <c r="M265" s="79"/>
      <c r="R265" s="79"/>
      <c r="S265" s="79"/>
      <c r="V265" s="79"/>
      <c r="W265" s="79"/>
      <c r="Z265" s="130"/>
      <c r="AB265" s="106"/>
    </row>
    <row r="266">
      <c r="C266" s="79"/>
      <c r="D266" s="79"/>
      <c r="E266" s="79"/>
      <c r="M266" s="79"/>
      <c r="R266" s="79"/>
      <c r="S266" s="79"/>
      <c r="V266" s="79"/>
      <c r="W266" s="79"/>
      <c r="Z266" s="130"/>
      <c r="AB266" s="106"/>
    </row>
    <row r="267">
      <c r="C267" s="79"/>
      <c r="D267" s="79"/>
      <c r="E267" s="79"/>
      <c r="M267" s="79"/>
      <c r="R267" s="79"/>
      <c r="S267" s="79"/>
      <c r="V267" s="79"/>
      <c r="W267" s="79"/>
      <c r="Z267" s="130"/>
      <c r="AB267" s="106"/>
    </row>
    <row r="268">
      <c r="C268" s="79"/>
      <c r="D268" s="79"/>
      <c r="E268" s="79"/>
      <c r="M268" s="79"/>
      <c r="R268" s="79"/>
      <c r="S268" s="79"/>
      <c r="V268" s="79"/>
      <c r="W268" s="79"/>
      <c r="Z268" s="130"/>
      <c r="AB268" s="106"/>
    </row>
    <row r="269">
      <c r="C269" s="79"/>
      <c r="D269" s="79"/>
      <c r="E269" s="79"/>
      <c r="M269" s="79"/>
      <c r="R269" s="79"/>
      <c r="S269" s="79"/>
      <c r="V269" s="79"/>
      <c r="W269" s="79"/>
      <c r="Z269" s="130"/>
      <c r="AB269" s="106"/>
    </row>
    <row r="270">
      <c r="C270" s="79"/>
      <c r="D270" s="79"/>
      <c r="E270" s="79"/>
      <c r="M270" s="79"/>
      <c r="R270" s="79"/>
      <c r="S270" s="79"/>
      <c r="V270" s="79"/>
      <c r="W270" s="79"/>
      <c r="Z270" s="130"/>
      <c r="AB270" s="106"/>
    </row>
    <row r="271">
      <c r="C271" s="79"/>
      <c r="D271" s="79"/>
      <c r="E271" s="79"/>
      <c r="M271" s="79"/>
      <c r="R271" s="79"/>
      <c r="S271" s="79"/>
      <c r="V271" s="79"/>
      <c r="W271" s="79"/>
      <c r="Z271" s="130"/>
      <c r="AB271" s="106"/>
    </row>
    <row r="272">
      <c r="C272" s="79"/>
      <c r="D272" s="79"/>
      <c r="E272" s="79"/>
      <c r="M272" s="79"/>
      <c r="R272" s="79"/>
      <c r="S272" s="79"/>
      <c r="V272" s="79"/>
      <c r="W272" s="79"/>
      <c r="Z272" s="130"/>
      <c r="AB272" s="106"/>
    </row>
    <row r="273">
      <c r="C273" s="79"/>
      <c r="D273" s="79"/>
      <c r="E273" s="79"/>
      <c r="M273" s="79"/>
      <c r="R273" s="79"/>
      <c r="S273" s="79"/>
      <c r="V273" s="79"/>
      <c r="W273" s="79"/>
      <c r="Z273" s="130"/>
      <c r="AB273" s="106"/>
    </row>
    <row r="274">
      <c r="C274" s="79"/>
      <c r="D274" s="79"/>
      <c r="E274" s="79"/>
      <c r="M274" s="79"/>
      <c r="R274" s="79"/>
      <c r="S274" s="79"/>
      <c r="V274" s="79"/>
      <c r="W274" s="79"/>
      <c r="Z274" s="130"/>
      <c r="AB274" s="106"/>
    </row>
    <row r="275">
      <c r="C275" s="79"/>
      <c r="D275" s="79"/>
      <c r="E275" s="79"/>
      <c r="M275" s="79"/>
      <c r="R275" s="79"/>
      <c r="S275" s="79"/>
      <c r="V275" s="79"/>
      <c r="W275" s="79"/>
      <c r="Z275" s="130"/>
      <c r="AB275" s="106"/>
    </row>
    <row r="276">
      <c r="C276" s="79"/>
      <c r="D276" s="79"/>
      <c r="E276" s="79"/>
      <c r="M276" s="79"/>
      <c r="R276" s="79"/>
      <c r="S276" s="79"/>
      <c r="V276" s="79"/>
      <c r="W276" s="79"/>
      <c r="Z276" s="130"/>
      <c r="AB276" s="106"/>
    </row>
    <row r="277">
      <c r="C277" s="79"/>
      <c r="D277" s="79"/>
      <c r="E277" s="79"/>
      <c r="M277" s="79"/>
      <c r="R277" s="79"/>
      <c r="S277" s="79"/>
      <c r="V277" s="79"/>
      <c r="W277" s="79"/>
      <c r="Z277" s="130"/>
      <c r="AB277" s="106"/>
    </row>
    <row r="278">
      <c r="C278" s="79"/>
      <c r="D278" s="79"/>
      <c r="E278" s="79"/>
      <c r="M278" s="79"/>
      <c r="R278" s="79"/>
      <c r="S278" s="79"/>
      <c r="V278" s="79"/>
      <c r="W278" s="79"/>
      <c r="Z278" s="130"/>
      <c r="AB278" s="106"/>
    </row>
    <row r="279">
      <c r="C279" s="79"/>
      <c r="D279" s="79"/>
      <c r="E279" s="79"/>
      <c r="M279" s="79"/>
      <c r="R279" s="79"/>
      <c r="S279" s="79"/>
      <c r="V279" s="79"/>
      <c r="W279" s="79"/>
      <c r="Z279" s="130"/>
      <c r="AB279" s="106"/>
    </row>
    <row r="280">
      <c r="C280" s="79"/>
      <c r="D280" s="79"/>
      <c r="E280" s="79"/>
      <c r="M280" s="79"/>
      <c r="R280" s="79"/>
      <c r="S280" s="79"/>
      <c r="V280" s="79"/>
      <c r="W280" s="79"/>
      <c r="Z280" s="130"/>
      <c r="AB280" s="106"/>
    </row>
    <row r="281">
      <c r="C281" s="79"/>
      <c r="D281" s="79"/>
      <c r="E281" s="79"/>
      <c r="M281" s="79"/>
      <c r="R281" s="79"/>
      <c r="S281" s="79"/>
      <c r="V281" s="79"/>
      <c r="W281" s="79"/>
      <c r="Z281" s="130"/>
      <c r="AB281" s="106"/>
    </row>
    <row r="282">
      <c r="C282" s="79"/>
      <c r="D282" s="79"/>
      <c r="E282" s="79"/>
      <c r="M282" s="79"/>
      <c r="R282" s="79"/>
      <c r="S282" s="79"/>
      <c r="V282" s="79"/>
      <c r="W282" s="79"/>
      <c r="Z282" s="130"/>
      <c r="AB282" s="106"/>
    </row>
    <row r="283">
      <c r="C283" s="79"/>
      <c r="D283" s="79"/>
      <c r="E283" s="79"/>
      <c r="M283" s="79"/>
      <c r="R283" s="79"/>
      <c r="S283" s="79"/>
      <c r="V283" s="79"/>
      <c r="W283" s="79"/>
      <c r="Z283" s="130"/>
      <c r="AB283" s="106"/>
    </row>
    <row r="284">
      <c r="C284" s="79"/>
      <c r="D284" s="79"/>
      <c r="E284" s="79"/>
      <c r="M284" s="79"/>
      <c r="R284" s="79"/>
      <c r="S284" s="79"/>
      <c r="V284" s="79"/>
      <c r="W284" s="79"/>
      <c r="Z284" s="130"/>
      <c r="AB284" s="106"/>
    </row>
    <row r="285">
      <c r="C285" s="79"/>
      <c r="D285" s="79"/>
      <c r="E285" s="79"/>
      <c r="M285" s="79"/>
      <c r="R285" s="79"/>
      <c r="S285" s="79"/>
      <c r="V285" s="79"/>
      <c r="W285" s="79"/>
      <c r="Z285" s="130"/>
      <c r="AB285" s="106"/>
    </row>
    <row r="286">
      <c r="C286" s="79"/>
      <c r="D286" s="79"/>
      <c r="E286" s="79"/>
      <c r="M286" s="79"/>
      <c r="R286" s="79"/>
      <c r="S286" s="79"/>
      <c r="V286" s="79"/>
      <c r="W286" s="79"/>
      <c r="Z286" s="130"/>
      <c r="AB286" s="106"/>
    </row>
    <row r="287">
      <c r="C287" s="79"/>
      <c r="D287" s="79"/>
      <c r="E287" s="79"/>
      <c r="M287" s="79"/>
      <c r="R287" s="79"/>
      <c r="S287" s="79"/>
      <c r="V287" s="79"/>
      <c r="W287" s="79"/>
      <c r="Z287" s="130"/>
      <c r="AB287" s="106"/>
    </row>
    <row r="288">
      <c r="C288" s="79"/>
      <c r="D288" s="79"/>
      <c r="E288" s="79"/>
      <c r="M288" s="79"/>
      <c r="R288" s="79"/>
      <c r="S288" s="79"/>
      <c r="V288" s="79"/>
      <c r="W288" s="79"/>
      <c r="Z288" s="130"/>
      <c r="AB288" s="106"/>
    </row>
    <row r="289">
      <c r="C289" s="79"/>
      <c r="D289" s="79"/>
      <c r="E289" s="79"/>
      <c r="M289" s="79"/>
      <c r="R289" s="79"/>
      <c r="S289" s="79"/>
      <c r="V289" s="79"/>
      <c r="W289" s="79"/>
      <c r="Z289" s="130"/>
      <c r="AB289" s="106"/>
    </row>
    <row r="290">
      <c r="C290" s="79"/>
      <c r="D290" s="79"/>
      <c r="E290" s="79"/>
      <c r="M290" s="79"/>
      <c r="R290" s="79"/>
      <c r="S290" s="79"/>
      <c r="V290" s="79"/>
      <c r="W290" s="79"/>
      <c r="Z290" s="130"/>
      <c r="AB290" s="106"/>
    </row>
    <row r="291">
      <c r="C291" s="79"/>
      <c r="D291" s="79"/>
      <c r="E291" s="79"/>
      <c r="M291" s="79"/>
      <c r="R291" s="79"/>
      <c r="S291" s="79"/>
      <c r="V291" s="79"/>
      <c r="W291" s="79"/>
      <c r="Z291" s="130"/>
      <c r="AB291" s="106"/>
    </row>
    <row r="292">
      <c r="C292" s="79"/>
      <c r="D292" s="79"/>
      <c r="E292" s="79"/>
      <c r="M292" s="79"/>
      <c r="R292" s="79"/>
      <c r="S292" s="79"/>
      <c r="V292" s="79"/>
      <c r="W292" s="79"/>
      <c r="Z292" s="130"/>
      <c r="AB292" s="106"/>
    </row>
    <row r="293">
      <c r="C293" s="79"/>
      <c r="D293" s="79"/>
      <c r="E293" s="79"/>
      <c r="M293" s="79"/>
      <c r="R293" s="79"/>
      <c r="S293" s="79"/>
      <c r="V293" s="79"/>
      <c r="W293" s="79"/>
      <c r="Z293" s="130"/>
      <c r="AB293" s="106"/>
    </row>
    <row r="294">
      <c r="C294" s="79"/>
      <c r="D294" s="79"/>
      <c r="E294" s="79"/>
      <c r="M294" s="79"/>
      <c r="R294" s="79"/>
      <c r="S294" s="79"/>
      <c r="V294" s="79"/>
      <c r="W294" s="79"/>
      <c r="Z294" s="130"/>
      <c r="AB294" s="106"/>
    </row>
    <row r="295">
      <c r="C295" s="79"/>
      <c r="D295" s="79"/>
      <c r="E295" s="79"/>
      <c r="M295" s="79"/>
      <c r="R295" s="79"/>
      <c r="S295" s="79"/>
      <c r="V295" s="79"/>
      <c r="W295" s="79"/>
      <c r="Z295" s="130"/>
      <c r="AB295" s="106"/>
    </row>
    <row r="296">
      <c r="C296" s="79"/>
      <c r="D296" s="79"/>
      <c r="E296" s="79"/>
      <c r="M296" s="79"/>
      <c r="R296" s="79"/>
      <c r="S296" s="79"/>
      <c r="V296" s="79"/>
      <c r="W296" s="79"/>
      <c r="Z296" s="130"/>
      <c r="AB296" s="106"/>
    </row>
    <row r="297">
      <c r="C297" s="79"/>
      <c r="D297" s="79"/>
      <c r="E297" s="79"/>
      <c r="M297" s="79"/>
      <c r="R297" s="79"/>
      <c r="S297" s="79"/>
      <c r="V297" s="79"/>
      <c r="W297" s="79"/>
      <c r="Z297" s="130"/>
      <c r="AB297" s="106"/>
    </row>
    <row r="298">
      <c r="C298" s="79"/>
      <c r="D298" s="79"/>
      <c r="E298" s="79"/>
      <c r="M298" s="79"/>
      <c r="R298" s="79"/>
      <c r="S298" s="79"/>
      <c r="V298" s="79"/>
      <c r="W298" s="79"/>
      <c r="Z298" s="130"/>
      <c r="AB298" s="106"/>
    </row>
    <row r="299">
      <c r="C299" s="79"/>
      <c r="D299" s="79"/>
      <c r="E299" s="79"/>
      <c r="M299" s="79"/>
      <c r="R299" s="79"/>
      <c r="S299" s="79"/>
      <c r="V299" s="79"/>
      <c r="W299" s="79"/>
      <c r="Z299" s="130"/>
      <c r="AB299" s="106"/>
    </row>
    <row r="300">
      <c r="C300" s="79"/>
      <c r="D300" s="79"/>
      <c r="E300" s="79"/>
      <c r="M300" s="79"/>
      <c r="R300" s="79"/>
      <c r="S300" s="79"/>
      <c r="V300" s="79"/>
      <c r="W300" s="79"/>
      <c r="Z300" s="130"/>
      <c r="AB300" s="106"/>
    </row>
    <row r="301">
      <c r="C301" s="79"/>
      <c r="D301" s="79"/>
      <c r="E301" s="79"/>
      <c r="M301" s="79"/>
      <c r="R301" s="79"/>
      <c r="S301" s="79"/>
      <c r="V301" s="79"/>
      <c r="W301" s="79"/>
      <c r="Z301" s="130"/>
      <c r="AB301" s="106"/>
    </row>
    <row r="302">
      <c r="C302" s="79"/>
      <c r="D302" s="79"/>
      <c r="E302" s="79"/>
      <c r="M302" s="79"/>
      <c r="R302" s="79"/>
      <c r="S302" s="79"/>
      <c r="V302" s="79"/>
      <c r="W302" s="79"/>
      <c r="Z302" s="130"/>
      <c r="AB302" s="106"/>
    </row>
    <row r="303">
      <c r="C303" s="79"/>
      <c r="D303" s="79"/>
      <c r="E303" s="79"/>
      <c r="M303" s="79"/>
      <c r="R303" s="79"/>
      <c r="S303" s="79"/>
      <c r="V303" s="79"/>
      <c r="W303" s="79"/>
      <c r="Z303" s="130"/>
      <c r="AB303" s="106"/>
    </row>
    <row r="304">
      <c r="C304" s="79"/>
      <c r="D304" s="79"/>
      <c r="E304" s="79"/>
      <c r="M304" s="79"/>
      <c r="R304" s="79"/>
      <c r="S304" s="79"/>
      <c r="V304" s="79"/>
      <c r="W304" s="79"/>
      <c r="Z304" s="130"/>
      <c r="AB304" s="106"/>
    </row>
    <row r="305">
      <c r="C305" s="79"/>
      <c r="D305" s="79"/>
      <c r="E305" s="79"/>
      <c r="M305" s="79"/>
      <c r="R305" s="79"/>
      <c r="S305" s="79"/>
      <c r="V305" s="79"/>
      <c r="W305" s="79"/>
      <c r="Z305" s="130"/>
      <c r="AB305" s="106"/>
    </row>
    <row r="306">
      <c r="C306" s="79"/>
      <c r="D306" s="79"/>
      <c r="E306" s="79"/>
      <c r="M306" s="79"/>
      <c r="R306" s="79"/>
      <c r="S306" s="79"/>
      <c r="V306" s="79"/>
      <c r="W306" s="79"/>
      <c r="Z306" s="130"/>
      <c r="AB306" s="106"/>
    </row>
    <row r="307">
      <c r="C307" s="79"/>
      <c r="D307" s="79"/>
      <c r="E307" s="79"/>
      <c r="M307" s="79"/>
      <c r="R307" s="79"/>
      <c r="S307" s="79"/>
      <c r="V307" s="79"/>
      <c r="W307" s="79"/>
      <c r="Z307" s="130"/>
      <c r="AB307" s="106"/>
    </row>
    <row r="308">
      <c r="C308" s="79"/>
      <c r="D308" s="79"/>
      <c r="E308" s="79"/>
      <c r="M308" s="79"/>
      <c r="R308" s="79"/>
      <c r="S308" s="79"/>
      <c r="V308" s="79"/>
      <c r="W308" s="79"/>
      <c r="Z308" s="130"/>
      <c r="AB308" s="106"/>
    </row>
    <row r="309">
      <c r="C309" s="79"/>
      <c r="D309" s="79"/>
      <c r="E309" s="79"/>
      <c r="M309" s="79"/>
      <c r="R309" s="79"/>
      <c r="S309" s="79"/>
      <c r="V309" s="79"/>
      <c r="W309" s="79"/>
      <c r="Z309" s="130"/>
      <c r="AB309" s="106"/>
    </row>
    <row r="310">
      <c r="C310" s="79"/>
      <c r="D310" s="79"/>
      <c r="E310" s="79"/>
      <c r="M310" s="79"/>
      <c r="R310" s="79"/>
      <c r="S310" s="79"/>
      <c r="V310" s="79"/>
      <c r="W310" s="79"/>
      <c r="Z310" s="130"/>
      <c r="AB310" s="106"/>
    </row>
    <row r="311">
      <c r="C311" s="79"/>
      <c r="D311" s="79"/>
      <c r="E311" s="79"/>
      <c r="M311" s="79"/>
      <c r="R311" s="79"/>
      <c r="S311" s="79"/>
      <c r="V311" s="79"/>
      <c r="W311" s="79"/>
      <c r="Z311" s="130"/>
      <c r="AB311" s="106"/>
    </row>
    <row r="312">
      <c r="C312" s="79"/>
      <c r="D312" s="79"/>
      <c r="E312" s="79"/>
      <c r="M312" s="79"/>
      <c r="R312" s="79"/>
      <c r="S312" s="79"/>
      <c r="V312" s="79"/>
      <c r="W312" s="79"/>
      <c r="Z312" s="130"/>
      <c r="AB312" s="106"/>
    </row>
    <row r="313">
      <c r="C313" s="79"/>
      <c r="D313" s="79"/>
      <c r="E313" s="79"/>
      <c r="M313" s="79"/>
      <c r="R313" s="79"/>
      <c r="S313" s="79"/>
      <c r="V313" s="79"/>
      <c r="W313" s="79"/>
      <c r="Z313" s="130"/>
      <c r="AB313" s="106"/>
    </row>
    <row r="314">
      <c r="C314" s="79"/>
      <c r="D314" s="79"/>
      <c r="E314" s="79"/>
      <c r="M314" s="79"/>
      <c r="R314" s="79"/>
      <c r="S314" s="79"/>
      <c r="V314" s="79"/>
      <c r="W314" s="79"/>
      <c r="Z314" s="130"/>
      <c r="AB314" s="106"/>
    </row>
    <row r="315">
      <c r="C315" s="79"/>
      <c r="D315" s="79"/>
      <c r="E315" s="79"/>
      <c r="M315" s="79"/>
      <c r="R315" s="79"/>
      <c r="S315" s="79"/>
      <c r="V315" s="79"/>
      <c r="W315" s="79"/>
      <c r="Z315" s="130"/>
      <c r="AB315" s="106"/>
    </row>
    <row r="316">
      <c r="C316" s="79"/>
      <c r="D316" s="79"/>
      <c r="E316" s="79"/>
      <c r="M316" s="79"/>
      <c r="R316" s="79"/>
      <c r="S316" s="79"/>
      <c r="V316" s="79"/>
      <c r="W316" s="79"/>
      <c r="Z316" s="130"/>
      <c r="AB316" s="106"/>
    </row>
    <row r="317">
      <c r="C317" s="79"/>
      <c r="D317" s="79"/>
      <c r="E317" s="79"/>
      <c r="M317" s="79"/>
      <c r="R317" s="79"/>
      <c r="S317" s="79"/>
      <c r="V317" s="79"/>
      <c r="W317" s="79"/>
      <c r="Z317" s="130"/>
      <c r="AB317" s="106"/>
    </row>
    <row r="318">
      <c r="C318" s="79"/>
      <c r="D318" s="79"/>
      <c r="E318" s="79"/>
      <c r="M318" s="79"/>
      <c r="R318" s="79"/>
      <c r="S318" s="79"/>
      <c r="V318" s="79"/>
      <c r="W318" s="79"/>
      <c r="Z318" s="130"/>
      <c r="AB318" s="106"/>
    </row>
    <row r="319">
      <c r="C319" s="79"/>
      <c r="D319" s="79"/>
      <c r="E319" s="79"/>
      <c r="M319" s="79"/>
      <c r="R319" s="79"/>
      <c r="S319" s="79"/>
      <c r="V319" s="79"/>
      <c r="W319" s="79"/>
      <c r="Z319" s="130"/>
      <c r="AB319" s="106"/>
    </row>
    <row r="320">
      <c r="C320" s="79"/>
      <c r="D320" s="79"/>
      <c r="E320" s="79"/>
      <c r="M320" s="79"/>
      <c r="R320" s="79"/>
      <c r="S320" s="79"/>
      <c r="V320" s="79"/>
      <c r="W320" s="79"/>
      <c r="Z320" s="130"/>
      <c r="AB320" s="106"/>
    </row>
    <row r="321">
      <c r="C321" s="79"/>
      <c r="D321" s="79"/>
      <c r="E321" s="79"/>
      <c r="M321" s="79"/>
      <c r="R321" s="79"/>
      <c r="S321" s="79"/>
      <c r="V321" s="79"/>
      <c r="W321" s="79"/>
      <c r="Z321" s="130"/>
      <c r="AB321" s="106"/>
    </row>
    <row r="322">
      <c r="C322" s="79"/>
      <c r="D322" s="79"/>
      <c r="E322" s="79"/>
      <c r="M322" s="79"/>
      <c r="R322" s="79"/>
      <c r="S322" s="79"/>
      <c r="V322" s="79"/>
      <c r="W322" s="79"/>
      <c r="Z322" s="130"/>
      <c r="AB322" s="106"/>
    </row>
    <row r="323">
      <c r="C323" s="79"/>
      <c r="D323" s="79"/>
      <c r="E323" s="79"/>
      <c r="M323" s="79"/>
      <c r="R323" s="79"/>
      <c r="S323" s="79"/>
      <c r="V323" s="79"/>
      <c r="W323" s="79"/>
      <c r="Z323" s="130"/>
      <c r="AB323" s="106"/>
    </row>
    <row r="324">
      <c r="C324" s="79"/>
      <c r="D324" s="79"/>
      <c r="E324" s="79"/>
      <c r="M324" s="79"/>
      <c r="R324" s="79"/>
      <c r="S324" s="79"/>
      <c r="V324" s="79"/>
      <c r="W324" s="79"/>
      <c r="Z324" s="130"/>
      <c r="AB324" s="106"/>
    </row>
    <row r="325">
      <c r="C325" s="79"/>
      <c r="D325" s="79"/>
      <c r="E325" s="79"/>
      <c r="M325" s="79"/>
      <c r="R325" s="79"/>
      <c r="S325" s="79"/>
      <c r="V325" s="79"/>
      <c r="W325" s="79"/>
      <c r="Z325" s="130"/>
      <c r="AB325" s="106"/>
    </row>
    <row r="326">
      <c r="C326" s="79"/>
      <c r="D326" s="79"/>
      <c r="E326" s="79"/>
      <c r="M326" s="79"/>
      <c r="R326" s="79"/>
      <c r="S326" s="79"/>
      <c r="V326" s="79"/>
      <c r="W326" s="79"/>
      <c r="Z326" s="130"/>
      <c r="AB326" s="106"/>
    </row>
    <row r="327">
      <c r="C327" s="79"/>
      <c r="D327" s="79"/>
      <c r="E327" s="79"/>
      <c r="M327" s="79"/>
      <c r="R327" s="79"/>
      <c r="S327" s="79"/>
      <c r="V327" s="79"/>
      <c r="W327" s="79"/>
      <c r="Z327" s="130"/>
      <c r="AB327" s="106"/>
    </row>
    <row r="328">
      <c r="C328" s="79"/>
      <c r="D328" s="79"/>
      <c r="E328" s="79"/>
      <c r="M328" s="79"/>
      <c r="R328" s="79"/>
      <c r="S328" s="79"/>
      <c r="V328" s="79"/>
      <c r="W328" s="79"/>
      <c r="Z328" s="130"/>
      <c r="AB328" s="106"/>
    </row>
    <row r="329">
      <c r="C329" s="79"/>
      <c r="D329" s="79"/>
      <c r="E329" s="79"/>
      <c r="M329" s="79"/>
      <c r="R329" s="79"/>
      <c r="S329" s="79"/>
      <c r="V329" s="79"/>
      <c r="W329" s="79"/>
      <c r="Z329" s="130"/>
      <c r="AB329" s="106"/>
    </row>
    <row r="330">
      <c r="C330" s="79"/>
      <c r="D330" s="79"/>
      <c r="E330" s="79"/>
      <c r="M330" s="79"/>
      <c r="R330" s="79"/>
      <c r="S330" s="79"/>
      <c r="V330" s="79"/>
      <c r="W330" s="79"/>
      <c r="Z330" s="130"/>
      <c r="AB330" s="106"/>
    </row>
    <row r="331">
      <c r="C331" s="79"/>
      <c r="D331" s="79"/>
      <c r="E331" s="79"/>
      <c r="M331" s="79"/>
      <c r="R331" s="79"/>
      <c r="S331" s="79"/>
      <c r="V331" s="79"/>
      <c r="W331" s="79"/>
      <c r="Z331" s="130"/>
      <c r="AB331" s="106"/>
    </row>
    <row r="332">
      <c r="C332" s="79"/>
      <c r="D332" s="79"/>
      <c r="E332" s="79"/>
      <c r="M332" s="79"/>
      <c r="R332" s="79"/>
      <c r="S332" s="79"/>
      <c r="V332" s="79"/>
      <c r="W332" s="79"/>
      <c r="Z332" s="130"/>
      <c r="AB332" s="106"/>
    </row>
    <row r="333">
      <c r="C333" s="79"/>
      <c r="D333" s="79"/>
      <c r="E333" s="79"/>
      <c r="M333" s="79"/>
      <c r="R333" s="79"/>
      <c r="S333" s="79"/>
      <c r="V333" s="79"/>
      <c r="W333" s="79"/>
      <c r="Z333" s="130"/>
      <c r="AB333" s="106"/>
    </row>
    <row r="334">
      <c r="C334" s="79"/>
      <c r="D334" s="79"/>
      <c r="E334" s="79"/>
      <c r="M334" s="79"/>
      <c r="R334" s="79"/>
      <c r="S334" s="79"/>
      <c r="V334" s="79"/>
      <c r="W334" s="79"/>
      <c r="Z334" s="130"/>
      <c r="AB334" s="106"/>
    </row>
    <row r="335">
      <c r="C335" s="79"/>
      <c r="D335" s="79"/>
      <c r="E335" s="79"/>
      <c r="M335" s="79"/>
      <c r="R335" s="79"/>
      <c r="S335" s="79"/>
      <c r="V335" s="79"/>
      <c r="W335" s="79"/>
      <c r="Z335" s="130"/>
      <c r="AB335" s="106"/>
    </row>
    <row r="336">
      <c r="C336" s="79"/>
      <c r="D336" s="79"/>
      <c r="E336" s="79"/>
      <c r="M336" s="79"/>
      <c r="R336" s="79"/>
      <c r="S336" s="79"/>
      <c r="V336" s="79"/>
      <c r="W336" s="79"/>
      <c r="Z336" s="130"/>
      <c r="AB336" s="106"/>
    </row>
    <row r="337">
      <c r="C337" s="79"/>
      <c r="D337" s="79"/>
      <c r="E337" s="79"/>
      <c r="M337" s="79"/>
      <c r="R337" s="79"/>
      <c r="S337" s="79"/>
      <c r="V337" s="79"/>
      <c r="W337" s="79"/>
      <c r="Z337" s="130"/>
      <c r="AB337" s="106"/>
    </row>
    <row r="338">
      <c r="C338" s="79"/>
      <c r="D338" s="79"/>
      <c r="E338" s="79"/>
      <c r="M338" s="79"/>
      <c r="R338" s="79"/>
      <c r="S338" s="79"/>
      <c r="V338" s="79"/>
      <c r="W338" s="79"/>
      <c r="Z338" s="130"/>
      <c r="AB338" s="106"/>
    </row>
    <row r="339">
      <c r="C339" s="79"/>
      <c r="D339" s="79"/>
      <c r="E339" s="79"/>
      <c r="M339" s="79"/>
      <c r="R339" s="79"/>
      <c r="S339" s="79"/>
      <c r="V339" s="79"/>
      <c r="W339" s="79"/>
      <c r="Z339" s="130"/>
      <c r="AB339" s="106"/>
    </row>
    <row r="340">
      <c r="C340" s="79"/>
      <c r="D340" s="79"/>
      <c r="E340" s="79"/>
      <c r="M340" s="79"/>
      <c r="R340" s="79"/>
      <c r="S340" s="79"/>
      <c r="V340" s="79"/>
      <c r="W340" s="79"/>
      <c r="Z340" s="130"/>
      <c r="AB340" s="106"/>
    </row>
    <row r="341">
      <c r="C341" s="79"/>
      <c r="D341" s="79"/>
      <c r="E341" s="79"/>
      <c r="M341" s="79"/>
      <c r="R341" s="79"/>
      <c r="S341" s="79"/>
      <c r="V341" s="79"/>
      <c r="W341" s="79"/>
      <c r="Z341" s="130"/>
      <c r="AB341" s="106"/>
    </row>
    <row r="342">
      <c r="C342" s="79"/>
      <c r="D342" s="79"/>
      <c r="E342" s="79"/>
      <c r="M342" s="79"/>
      <c r="R342" s="79"/>
      <c r="S342" s="79"/>
      <c r="V342" s="79"/>
      <c r="W342" s="79"/>
      <c r="Z342" s="130"/>
      <c r="AB342" s="106"/>
    </row>
    <row r="343">
      <c r="C343" s="79"/>
      <c r="D343" s="79"/>
      <c r="E343" s="79"/>
      <c r="M343" s="79"/>
      <c r="R343" s="79"/>
      <c r="S343" s="79"/>
      <c r="V343" s="79"/>
      <c r="W343" s="79"/>
      <c r="Z343" s="130"/>
      <c r="AB343" s="106"/>
    </row>
    <row r="344">
      <c r="C344" s="79"/>
      <c r="D344" s="79"/>
      <c r="E344" s="79"/>
      <c r="M344" s="79"/>
      <c r="R344" s="79"/>
      <c r="S344" s="79"/>
      <c r="V344" s="79"/>
      <c r="W344" s="79"/>
      <c r="Z344" s="130"/>
      <c r="AB344" s="106"/>
    </row>
    <row r="345">
      <c r="C345" s="79"/>
      <c r="D345" s="79"/>
      <c r="E345" s="79"/>
      <c r="M345" s="79"/>
      <c r="R345" s="79"/>
      <c r="S345" s="79"/>
      <c r="V345" s="79"/>
      <c r="W345" s="79"/>
      <c r="Z345" s="130"/>
      <c r="AB345" s="106"/>
    </row>
    <row r="346">
      <c r="C346" s="79"/>
      <c r="D346" s="79"/>
      <c r="E346" s="79"/>
      <c r="M346" s="79"/>
      <c r="R346" s="79"/>
      <c r="S346" s="79"/>
      <c r="V346" s="79"/>
      <c r="W346" s="79"/>
      <c r="Z346" s="130"/>
      <c r="AB346" s="106"/>
    </row>
    <row r="347">
      <c r="C347" s="79"/>
      <c r="D347" s="79"/>
      <c r="E347" s="79"/>
      <c r="M347" s="79"/>
      <c r="R347" s="79"/>
      <c r="S347" s="79"/>
      <c r="V347" s="79"/>
      <c r="W347" s="79"/>
      <c r="Z347" s="130"/>
      <c r="AB347" s="106"/>
    </row>
    <row r="348">
      <c r="C348" s="79"/>
      <c r="D348" s="79"/>
      <c r="E348" s="79"/>
      <c r="M348" s="79"/>
      <c r="R348" s="79"/>
      <c r="S348" s="79"/>
      <c r="V348" s="79"/>
      <c r="W348" s="79"/>
      <c r="Z348" s="130"/>
      <c r="AB348" s="106"/>
    </row>
    <row r="349">
      <c r="C349" s="79"/>
      <c r="D349" s="79"/>
      <c r="E349" s="79"/>
      <c r="M349" s="79"/>
      <c r="R349" s="79"/>
      <c r="S349" s="79"/>
      <c r="V349" s="79"/>
      <c r="W349" s="79"/>
      <c r="Z349" s="130"/>
      <c r="AB349" s="106"/>
    </row>
    <row r="350">
      <c r="C350" s="79"/>
      <c r="D350" s="79"/>
      <c r="E350" s="79"/>
      <c r="M350" s="79"/>
      <c r="R350" s="79"/>
      <c r="S350" s="79"/>
      <c r="V350" s="79"/>
      <c r="W350" s="79"/>
      <c r="Z350" s="130"/>
      <c r="AB350" s="106"/>
    </row>
    <row r="351">
      <c r="C351" s="79"/>
      <c r="D351" s="79"/>
      <c r="E351" s="79"/>
      <c r="M351" s="79"/>
      <c r="R351" s="79"/>
      <c r="S351" s="79"/>
      <c r="V351" s="79"/>
      <c r="W351" s="79"/>
      <c r="Z351" s="130"/>
      <c r="AB351" s="106"/>
    </row>
    <row r="352">
      <c r="C352" s="79"/>
      <c r="D352" s="79"/>
      <c r="E352" s="79"/>
      <c r="M352" s="79"/>
      <c r="R352" s="79"/>
      <c r="S352" s="79"/>
      <c r="V352" s="79"/>
      <c r="W352" s="79"/>
      <c r="Z352" s="130"/>
      <c r="AB352" s="106"/>
    </row>
    <row r="353">
      <c r="C353" s="79"/>
      <c r="D353" s="79"/>
      <c r="E353" s="79"/>
      <c r="M353" s="79"/>
      <c r="R353" s="79"/>
      <c r="S353" s="79"/>
      <c r="V353" s="79"/>
      <c r="W353" s="79"/>
      <c r="Z353" s="130"/>
      <c r="AB353" s="106"/>
    </row>
    <row r="354">
      <c r="C354" s="79"/>
      <c r="D354" s="79"/>
      <c r="E354" s="79"/>
      <c r="M354" s="79"/>
      <c r="R354" s="79"/>
      <c r="S354" s="79"/>
      <c r="V354" s="79"/>
      <c r="W354" s="79"/>
      <c r="Z354" s="130"/>
      <c r="AB354" s="106"/>
    </row>
    <row r="355">
      <c r="C355" s="79"/>
      <c r="D355" s="79"/>
      <c r="E355" s="79"/>
      <c r="M355" s="79"/>
      <c r="R355" s="79"/>
      <c r="S355" s="79"/>
      <c r="V355" s="79"/>
      <c r="W355" s="79"/>
      <c r="Z355" s="130"/>
      <c r="AB355" s="106"/>
    </row>
    <row r="356">
      <c r="C356" s="79"/>
      <c r="D356" s="79"/>
      <c r="E356" s="79"/>
      <c r="M356" s="79"/>
      <c r="R356" s="79"/>
      <c r="S356" s="79"/>
      <c r="V356" s="79"/>
      <c r="W356" s="79"/>
      <c r="Z356" s="130"/>
      <c r="AB356" s="106"/>
    </row>
    <row r="357">
      <c r="C357" s="79"/>
      <c r="D357" s="79"/>
      <c r="E357" s="79"/>
      <c r="M357" s="79"/>
      <c r="R357" s="79"/>
      <c r="S357" s="79"/>
      <c r="V357" s="79"/>
      <c r="W357" s="79"/>
      <c r="Z357" s="130"/>
      <c r="AB357" s="106"/>
    </row>
    <row r="358">
      <c r="C358" s="79"/>
      <c r="D358" s="79"/>
      <c r="E358" s="79"/>
      <c r="M358" s="79"/>
      <c r="R358" s="79"/>
      <c r="S358" s="79"/>
      <c r="V358" s="79"/>
      <c r="W358" s="79"/>
      <c r="Z358" s="130"/>
      <c r="AB358" s="106"/>
    </row>
    <row r="359">
      <c r="C359" s="79"/>
      <c r="D359" s="79"/>
      <c r="E359" s="79"/>
      <c r="M359" s="79"/>
      <c r="R359" s="79"/>
      <c r="S359" s="79"/>
      <c r="V359" s="79"/>
      <c r="W359" s="79"/>
      <c r="Z359" s="130"/>
      <c r="AB359" s="106"/>
    </row>
    <row r="360">
      <c r="C360" s="79"/>
      <c r="D360" s="79"/>
      <c r="E360" s="79"/>
      <c r="M360" s="79"/>
      <c r="R360" s="79"/>
      <c r="S360" s="79"/>
      <c r="V360" s="79"/>
      <c r="W360" s="79"/>
      <c r="Z360" s="130"/>
      <c r="AB360" s="106"/>
    </row>
    <row r="361">
      <c r="C361" s="79"/>
      <c r="D361" s="79"/>
      <c r="E361" s="79"/>
      <c r="M361" s="79"/>
      <c r="R361" s="79"/>
      <c r="S361" s="79"/>
      <c r="V361" s="79"/>
      <c r="W361" s="79"/>
      <c r="Z361" s="130"/>
      <c r="AB361" s="106"/>
    </row>
    <row r="362">
      <c r="C362" s="79"/>
      <c r="D362" s="79"/>
      <c r="E362" s="79"/>
      <c r="M362" s="79"/>
      <c r="R362" s="79"/>
      <c r="S362" s="79"/>
      <c r="V362" s="79"/>
      <c r="W362" s="79"/>
      <c r="Z362" s="130"/>
      <c r="AB362" s="106"/>
    </row>
    <row r="363">
      <c r="C363" s="79"/>
      <c r="D363" s="79"/>
      <c r="E363" s="79"/>
      <c r="M363" s="79"/>
      <c r="R363" s="79"/>
      <c r="S363" s="79"/>
      <c r="V363" s="79"/>
      <c r="W363" s="79"/>
      <c r="Z363" s="130"/>
      <c r="AB363" s="106"/>
    </row>
    <row r="364">
      <c r="C364" s="79"/>
      <c r="D364" s="79"/>
      <c r="E364" s="79"/>
      <c r="M364" s="79"/>
      <c r="R364" s="79"/>
      <c r="S364" s="79"/>
      <c r="V364" s="79"/>
      <c r="W364" s="79"/>
      <c r="Z364" s="130"/>
      <c r="AB364" s="106"/>
    </row>
    <row r="365">
      <c r="C365" s="79"/>
      <c r="D365" s="79"/>
      <c r="E365" s="79"/>
      <c r="M365" s="79"/>
      <c r="R365" s="79"/>
      <c r="S365" s="79"/>
      <c r="V365" s="79"/>
      <c r="W365" s="79"/>
      <c r="Z365" s="130"/>
      <c r="AB365" s="106"/>
    </row>
    <row r="366">
      <c r="C366" s="79"/>
      <c r="D366" s="79"/>
      <c r="E366" s="79"/>
      <c r="M366" s="79"/>
      <c r="R366" s="79"/>
      <c r="S366" s="79"/>
      <c r="V366" s="79"/>
      <c r="W366" s="79"/>
      <c r="Z366" s="130"/>
      <c r="AB366" s="106"/>
    </row>
    <row r="367">
      <c r="C367" s="79"/>
      <c r="D367" s="79"/>
      <c r="E367" s="79"/>
      <c r="M367" s="79"/>
      <c r="R367" s="79"/>
      <c r="S367" s="79"/>
      <c r="V367" s="79"/>
      <c r="W367" s="79"/>
      <c r="Z367" s="130"/>
      <c r="AB367" s="106"/>
    </row>
    <row r="368">
      <c r="C368" s="79"/>
      <c r="D368" s="79"/>
      <c r="E368" s="79"/>
      <c r="M368" s="79"/>
      <c r="R368" s="79"/>
      <c r="S368" s="79"/>
      <c r="V368" s="79"/>
      <c r="W368" s="79"/>
      <c r="Z368" s="130"/>
      <c r="AB368" s="106"/>
    </row>
    <row r="369">
      <c r="C369" s="79"/>
      <c r="D369" s="79"/>
      <c r="E369" s="79"/>
      <c r="M369" s="79"/>
      <c r="R369" s="79"/>
      <c r="S369" s="79"/>
      <c r="V369" s="79"/>
      <c r="W369" s="79"/>
      <c r="Z369" s="130"/>
      <c r="AB369" s="106"/>
    </row>
    <row r="370">
      <c r="C370" s="79"/>
      <c r="D370" s="79"/>
      <c r="E370" s="79"/>
      <c r="M370" s="79"/>
      <c r="R370" s="79"/>
      <c r="S370" s="79"/>
      <c r="V370" s="79"/>
      <c r="W370" s="79"/>
      <c r="Z370" s="130"/>
      <c r="AB370" s="106"/>
    </row>
    <row r="371">
      <c r="C371" s="79"/>
      <c r="D371" s="79"/>
      <c r="E371" s="79"/>
      <c r="M371" s="79"/>
      <c r="R371" s="79"/>
      <c r="S371" s="79"/>
      <c r="V371" s="79"/>
      <c r="W371" s="79"/>
      <c r="Z371" s="130"/>
      <c r="AB371" s="106"/>
    </row>
    <row r="372">
      <c r="C372" s="79"/>
      <c r="D372" s="79"/>
      <c r="E372" s="79"/>
      <c r="M372" s="79"/>
      <c r="R372" s="79"/>
      <c r="S372" s="79"/>
      <c r="V372" s="79"/>
      <c r="W372" s="79"/>
      <c r="Z372" s="130"/>
      <c r="AB372" s="106"/>
    </row>
    <row r="373">
      <c r="C373" s="79"/>
      <c r="D373" s="79"/>
      <c r="E373" s="79"/>
      <c r="M373" s="79"/>
      <c r="R373" s="79"/>
      <c r="S373" s="79"/>
      <c r="V373" s="79"/>
      <c r="W373" s="79"/>
      <c r="Z373" s="130"/>
      <c r="AB373" s="106"/>
    </row>
    <row r="374">
      <c r="C374" s="79"/>
      <c r="D374" s="79"/>
      <c r="E374" s="79"/>
      <c r="M374" s="79"/>
      <c r="R374" s="79"/>
      <c r="S374" s="79"/>
      <c r="V374" s="79"/>
      <c r="W374" s="79"/>
      <c r="Z374" s="130"/>
      <c r="AB374" s="106"/>
    </row>
    <row r="375">
      <c r="C375" s="79"/>
      <c r="D375" s="79"/>
      <c r="E375" s="79"/>
      <c r="M375" s="79"/>
      <c r="R375" s="79"/>
      <c r="S375" s="79"/>
      <c r="V375" s="79"/>
      <c r="W375" s="79"/>
      <c r="Z375" s="130"/>
      <c r="AB375" s="106"/>
    </row>
    <row r="376">
      <c r="C376" s="79"/>
      <c r="D376" s="79"/>
      <c r="E376" s="79"/>
      <c r="M376" s="79"/>
      <c r="R376" s="79"/>
      <c r="S376" s="79"/>
      <c r="V376" s="79"/>
      <c r="W376" s="79"/>
      <c r="Z376" s="130"/>
      <c r="AB376" s="106"/>
    </row>
    <row r="377">
      <c r="C377" s="79"/>
      <c r="D377" s="79"/>
      <c r="E377" s="79"/>
      <c r="M377" s="79"/>
      <c r="R377" s="79"/>
      <c r="S377" s="79"/>
      <c r="V377" s="79"/>
      <c r="W377" s="79"/>
      <c r="Z377" s="130"/>
      <c r="AB377" s="106"/>
    </row>
    <row r="378">
      <c r="C378" s="79"/>
      <c r="D378" s="79"/>
      <c r="E378" s="79"/>
      <c r="M378" s="79"/>
      <c r="R378" s="79"/>
      <c r="S378" s="79"/>
      <c r="V378" s="79"/>
      <c r="W378" s="79"/>
      <c r="Z378" s="130"/>
      <c r="AB378" s="106"/>
    </row>
    <row r="379">
      <c r="C379" s="79"/>
      <c r="D379" s="79"/>
      <c r="E379" s="79"/>
      <c r="M379" s="79"/>
      <c r="R379" s="79"/>
      <c r="S379" s="79"/>
      <c r="V379" s="79"/>
      <c r="W379" s="79"/>
      <c r="Z379" s="130"/>
      <c r="AB379" s="106"/>
    </row>
    <row r="380">
      <c r="C380" s="79"/>
      <c r="D380" s="79"/>
      <c r="E380" s="79"/>
      <c r="M380" s="79"/>
      <c r="R380" s="79"/>
      <c r="S380" s="79"/>
      <c r="V380" s="79"/>
      <c r="W380" s="79"/>
      <c r="Z380" s="130"/>
      <c r="AB380" s="106"/>
    </row>
    <row r="381">
      <c r="C381" s="79"/>
      <c r="D381" s="79"/>
      <c r="E381" s="79"/>
      <c r="M381" s="79"/>
      <c r="R381" s="79"/>
      <c r="S381" s="79"/>
      <c r="V381" s="79"/>
      <c r="W381" s="79"/>
      <c r="Z381" s="130"/>
      <c r="AB381" s="106"/>
    </row>
    <row r="382">
      <c r="C382" s="79"/>
      <c r="D382" s="79"/>
      <c r="E382" s="79"/>
      <c r="M382" s="79"/>
      <c r="R382" s="79"/>
      <c r="S382" s="79"/>
      <c r="V382" s="79"/>
      <c r="W382" s="79"/>
      <c r="Z382" s="130"/>
      <c r="AB382" s="106"/>
    </row>
    <row r="383">
      <c r="C383" s="79"/>
      <c r="D383" s="79"/>
      <c r="E383" s="79"/>
      <c r="M383" s="79"/>
      <c r="R383" s="79"/>
      <c r="S383" s="79"/>
      <c r="V383" s="79"/>
      <c r="W383" s="79"/>
      <c r="Z383" s="130"/>
      <c r="AB383" s="106"/>
    </row>
    <row r="384">
      <c r="C384" s="79"/>
      <c r="D384" s="79"/>
      <c r="E384" s="79"/>
      <c r="M384" s="79"/>
      <c r="R384" s="79"/>
      <c r="S384" s="79"/>
      <c r="V384" s="79"/>
      <c r="W384" s="79"/>
      <c r="Z384" s="130"/>
      <c r="AB384" s="106"/>
    </row>
    <row r="385">
      <c r="C385" s="79"/>
      <c r="D385" s="79"/>
      <c r="E385" s="79"/>
      <c r="M385" s="79"/>
      <c r="R385" s="79"/>
      <c r="S385" s="79"/>
      <c r="V385" s="79"/>
      <c r="W385" s="79"/>
      <c r="Z385" s="130"/>
      <c r="AB385" s="106"/>
    </row>
    <row r="386">
      <c r="C386" s="79"/>
      <c r="D386" s="79"/>
      <c r="E386" s="79"/>
      <c r="M386" s="79"/>
      <c r="R386" s="79"/>
      <c r="S386" s="79"/>
      <c r="V386" s="79"/>
      <c r="W386" s="79"/>
      <c r="Z386" s="130"/>
      <c r="AB386" s="106"/>
    </row>
    <row r="387">
      <c r="C387" s="79"/>
      <c r="D387" s="79"/>
      <c r="E387" s="79"/>
      <c r="M387" s="79"/>
      <c r="R387" s="79"/>
      <c r="S387" s="79"/>
      <c r="V387" s="79"/>
      <c r="W387" s="79"/>
      <c r="Z387" s="130"/>
      <c r="AB387" s="106"/>
    </row>
    <row r="388">
      <c r="C388" s="79"/>
      <c r="D388" s="79"/>
      <c r="E388" s="79"/>
      <c r="M388" s="79"/>
      <c r="R388" s="79"/>
      <c r="S388" s="79"/>
      <c r="V388" s="79"/>
      <c r="W388" s="79"/>
      <c r="Z388" s="130"/>
      <c r="AB388" s="106"/>
    </row>
    <row r="389">
      <c r="C389" s="79"/>
      <c r="D389" s="79"/>
      <c r="E389" s="79"/>
      <c r="M389" s="79"/>
      <c r="R389" s="79"/>
      <c r="S389" s="79"/>
      <c r="V389" s="79"/>
      <c r="W389" s="79"/>
      <c r="Z389" s="130"/>
      <c r="AB389" s="106"/>
    </row>
    <row r="390">
      <c r="C390" s="79"/>
      <c r="D390" s="79"/>
      <c r="E390" s="79"/>
      <c r="M390" s="79"/>
      <c r="R390" s="79"/>
      <c r="S390" s="79"/>
      <c r="V390" s="79"/>
      <c r="W390" s="79"/>
      <c r="Z390" s="130"/>
      <c r="AB390" s="106"/>
    </row>
    <row r="391">
      <c r="C391" s="79"/>
      <c r="D391" s="79"/>
      <c r="E391" s="79"/>
      <c r="M391" s="79"/>
      <c r="R391" s="79"/>
      <c r="S391" s="79"/>
      <c r="V391" s="79"/>
      <c r="W391" s="79"/>
      <c r="Z391" s="130"/>
      <c r="AB391" s="106"/>
    </row>
    <row r="392">
      <c r="C392" s="79"/>
      <c r="D392" s="79"/>
      <c r="E392" s="79"/>
      <c r="M392" s="79"/>
      <c r="R392" s="79"/>
      <c r="S392" s="79"/>
      <c r="V392" s="79"/>
      <c r="W392" s="79"/>
      <c r="Z392" s="130"/>
      <c r="AB392" s="106"/>
    </row>
    <row r="393">
      <c r="C393" s="79"/>
      <c r="D393" s="79"/>
      <c r="E393" s="79"/>
      <c r="M393" s="79"/>
      <c r="R393" s="79"/>
      <c r="S393" s="79"/>
      <c r="V393" s="79"/>
      <c r="W393" s="79"/>
      <c r="Z393" s="130"/>
      <c r="AB393" s="106"/>
    </row>
    <row r="394">
      <c r="C394" s="79"/>
      <c r="D394" s="79"/>
      <c r="E394" s="79"/>
      <c r="M394" s="79"/>
      <c r="R394" s="79"/>
      <c r="S394" s="79"/>
      <c r="V394" s="79"/>
      <c r="W394" s="79"/>
      <c r="Z394" s="130"/>
      <c r="AB394" s="106"/>
    </row>
    <row r="395">
      <c r="C395" s="79"/>
      <c r="D395" s="79"/>
      <c r="E395" s="79"/>
      <c r="M395" s="79"/>
      <c r="R395" s="79"/>
      <c r="S395" s="79"/>
      <c r="V395" s="79"/>
      <c r="W395" s="79"/>
      <c r="Z395" s="130"/>
      <c r="AB395" s="106"/>
    </row>
    <row r="396">
      <c r="C396" s="79"/>
      <c r="D396" s="79"/>
      <c r="E396" s="79"/>
      <c r="M396" s="79"/>
      <c r="R396" s="79"/>
      <c r="S396" s="79"/>
      <c r="V396" s="79"/>
      <c r="W396" s="79"/>
      <c r="Z396" s="130"/>
      <c r="AB396" s="106"/>
    </row>
    <row r="397">
      <c r="C397" s="79"/>
      <c r="D397" s="79"/>
      <c r="E397" s="79"/>
      <c r="M397" s="79"/>
      <c r="R397" s="79"/>
      <c r="S397" s="79"/>
      <c r="V397" s="79"/>
      <c r="W397" s="79"/>
      <c r="Z397" s="130"/>
      <c r="AB397" s="106"/>
    </row>
    <row r="398">
      <c r="C398" s="79"/>
      <c r="D398" s="79"/>
      <c r="E398" s="79"/>
      <c r="M398" s="79"/>
      <c r="R398" s="79"/>
      <c r="S398" s="79"/>
      <c r="V398" s="79"/>
      <c r="W398" s="79"/>
      <c r="Z398" s="130"/>
      <c r="AB398" s="106"/>
    </row>
    <row r="399">
      <c r="C399" s="79"/>
      <c r="D399" s="79"/>
      <c r="E399" s="79"/>
      <c r="M399" s="79"/>
      <c r="R399" s="79"/>
      <c r="S399" s="79"/>
      <c r="V399" s="79"/>
      <c r="W399" s="79"/>
      <c r="Z399" s="130"/>
      <c r="AB399" s="106"/>
    </row>
    <row r="400">
      <c r="C400" s="79"/>
      <c r="D400" s="79"/>
      <c r="E400" s="79"/>
      <c r="M400" s="79"/>
      <c r="R400" s="79"/>
      <c r="S400" s="79"/>
      <c r="V400" s="79"/>
      <c r="W400" s="79"/>
      <c r="Z400" s="130"/>
      <c r="AB400" s="106"/>
    </row>
    <row r="401">
      <c r="C401" s="79"/>
      <c r="D401" s="79"/>
      <c r="E401" s="79"/>
      <c r="M401" s="79"/>
      <c r="R401" s="79"/>
      <c r="S401" s="79"/>
      <c r="V401" s="79"/>
      <c r="W401" s="79"/>
      <c r="Z401" s="130"/>
      <c r="AB401" s="106"/>
    </row>
    <row r="402">
      <c r="C402" s="79"/>
      <c r="D402" s="79"/>
      <c r="E402" s="79"/>
      <c r="M402" s="79"/>
      <c r="R402" s="79"/>
      <c r="S402" s="79"/>
      <c r="V402" s="79"/>
      <c r="W402" s="79"/>
      <c r="Z402" s="130"/>
      <c r="AB402" s="106"/>
    </row>
    <row r="403">
      <c r="C403" s="79"/>
      <c r="D403" s="79"/>
      <c r="E403" s="79"/>
      <c r="M403" s="79"/>
      <c r="R403" s="79"/>
      <c r="S403" s="79"/>
      <c r="V403" s="79"/>
      <c r="W403" s="79"/>
      <c r="Z403" s="130"/>
      <c r="AB403" s="106"/>
    </row>
    <row r="404">
      <c r="C404" s="79"/>
      <c r="D404" s="79"/>
      <c r="E404" s="79"/>
      <c r="M404" s="79"/>
      <c r="R404" s="79"/>
      <c r="S404" s="79"/>
      <c r="V404" s="79"/>
      <c r="W404" s="79"/>
      <c r="Z404" s="130"/>
      <c r="AB404" s="106"/>
    </row>
    <row r="405">
      <c r="C405" s="79"/>
      <c r="D405" s="79"/>
      <c r="E405" s="79"/>
      <c r="M405" s="79"/>
      <c r="R405" s="79"/>
      <c r="S405" s="79"/>
      <c r="V405" s="79"/>
      <c r="W405" s="79"/>
      <c r="Z405" s="130"/>
      <c r="AB405" s="106"/>
    </row>
    <row r="406">
      <c r="C406" s="79"/>
      <c r="D406" s="79"/>
      <c r="E406" s="79"/>
      <c r="M406" s="79"/>
      <c r="R406" s="79"/>
      <c r="S406" s="79"/>
      <c r="V406" s="79"/>
      <c r="W406" s="79"/>
      <c r="Z406" s="130"/>
      <c r="AB406" s="106"/>
    </row>
    <row r="407">
      <c r="C407" s="79"/>
      <c r="D407" s="79"/>
      <c r="E407" s="79"/>
      <c r="M407" s="79"/>
      <c r="R407" s="79"/>
      <c r="S407" s="79"/>
      <c r="V407" s="79"/>
      <c r="W407" s="79"/>
      <c r="Z407" s="130"/>
      <c r="AB407" s="106"/>
    </row>
    <row r="408">
      <c r="C408" s="79"/>
      <c r="D408" s="79"/>
      <c r="E408" s="79"/>
      <c r="M408" s="79"/>
      <c r="R408" s="79"/>
      <c r="S408" s="79"/>
      <c r="V408" s="79"/>
      <c r="W408" s="79"/>
      <c r="Z408" s="130"/>
      <c r="AB408" s="106"/>
    </row>
    <row r="409">
      <c r="C409" s="79"/>
      <c r="D409" s="79"/>
      <c r="E409" s="79"/>
      <c r="M409" s="79"/>
      <c r="R409" s="79"/>
      <c r="S409" s="79"/>
      <c r="V409" s="79"/>
      <c r="W409" s="79"/>
      <c r="Z409" s="130"/>
      <c r="AB409" s="106"/>
    </row>
    <row r="410">
      <c r="C410" s="79"/>
      <c r="D410" s="79"/>
      <c r="E410" s="79"/>
      <c r="M410" s="79"/>
      <c r="R410" s="79"/>
      <c r="S410" s="79"/>
      <c r="V410" s="79"/>
      <c r="W410" s="79"/>
      <c r="Z410" s="130"/>
      <c r="AB410" s="106"/>
    </row>
    <row r="411">
      <c r="C411" s="79"/>
      <c r="D411" s="79"/>
      <c r="E411" s="79"/>
      <c r="M411" s="79"/>
      <c r="R411" s="79"/>
      <c r="S411" s="79"/>
      <c r="V411" s="79"/>
      <c r="W411" s="79"/>
      <c r="Z411" s="130"/>
      <c r="AB411" s="106"/>
    </row>
    <row r="412">
      <c r="C412" s="79"/>
      <c r="D412" s="79"/>
      <c r="E412" s="79"/>
      <c r="M412" s="79"/>
      <c r="R412" s="79"/>
      <c r="S412" s="79"/>
      <c r="V412" s="79"/>
      <c r="W412" s="79"/>
      <c r="Z412" s="130"/>
      <c r="AB412" s="106"/>
    </row>
    <row r="413">
      <c r="C413" s="79"/>
      <c r="D413" s="79"/>
      <c r="E413" s="79"/>
      <c r="M413" s="79"/>
      <c r="R413" s="79"/>
      <c r="S413" s="79"/>
      <c r="V413" s="79"/>
      <c r="W413" s="79"/>
      <c r="Z413" s="130"/>
      <c r="AB413" s="106"/>
    </row>
    <row r="414">
      <c r="C414" s="79"/>
      <c r="D414" s="79"/>
      <c r="E414" s="79"/>
      <c r="M414" s="79"/>
      <c r="R414" s="79"/>
      <c r="S414" s="79"/>
      <c r="V414" s="79"/>
      <c r="W414" s="79"/>
      <c r="Z414" s="130"/>
      <c r="AB414" s="106"/>
    </row>
    <row r="415">
      <c r="C415" s="79"/>
      <c r="D415" s="79"/>
      <c r="E415" s="79"/>
      <c r="M415" s="79"/>
      <c r="R415" s="79"/>
      <c r="S415" s="79"/>
      <c r="V415" s="79"/>
      <c r="W415" s="79"/>
      <c r="Z415" s="130"/>
      <c r="AB415" s="106"/>
    </row>
    <row r="416">
      <c r="C416" s="79"/>
      <c r="D416" s="79"/>
      <c r="E416" s="79"/>
      <c r="M416" s="79"/>
      <c r="R416" s="79"/>
      <c r="S416" s="79"/>
      <c r="V416" s="79"/>
      <c r="W416" s="79"/>
      <c r="Z416" s="130"/>
      <c r="AB416" s="106"/>
    </row>
    <row r="417">
      <c r="C417" s="79"/>
      <c r="D417" s="79"/>
      <c r="E417" s="79"/>
      <c r="M417" s="79"/>
      <c r="R417" s="79"/>
      <c r="S417" s="79"/>
      <c r="V417" s="79"/>
      <c r="W417" s="79"/>
      <c r="Z417" s="130"/>
      <c r="AB417" s="106"/>
    </row>
    <row r="418">
      <c r="C418" s="79"/>
      <c r="D418" s="79"/>
      <c r="E418" s="79"/>
      <c r="M418" s="79"/>
      <c r="R418" s="79"/>
      <c r="S418" s="79"/>
      <c r="V418" s="79"/>
      <c r="W418" s="79"/>
      <c r="Z418" s="130"/>
      <c r="AB418" s="106"/>
    </row>
    <row r="419">
      <c r="C419" s="79"/>
      <c r="D419" s="79"/>
      <c r="E419" s="79"/>
      <c r="M419" s="79"/>
      <c r="R419" s="79"/>
      <c r="S419" s="79"/>
      <c r="V419" s="79"/>
      <c r="W419" s="79"/>
      <c r="Z419" s="130"/>
      <c r="AB419" s="106"/>
    </row>
    <row r="420">
      <c r="C420" s="79"/>
      <c r="D420" s="79"/>
      <c r="E420" s="79"/>
      <c r="M420" s="79"/>
      <c r="R420" s="79"/>
      <c r="S420" s="79"/>
      <c r="V420" s="79"/>
      <c r="W420" s="79"/>
      <c r="Z420" s="130"/>
      <c r="AB420" s="106"/>
    </row>
    <row r="421">
      <c r="C421" s="79"/>
      <c r="D421" s="79"/>
      <c r="E421" s="79"/>
      <c r="M421" s="79"/>
      <c r="R421" s="79"/>
      <c r="S421" s="79"/>
      <c r="V421" s="79"/>
      <c r="W421" s="79"/>
      <c r="Z421" s="130"/>
      <c r="AB421" s="106"/>
    </row>
    <row r="422">
      <c r="C422" s="79"/>
      <c r="D422" s="79"/>
      <c r="E422" s="79"/>
      <c r="M422" s="79"/>
      <c r="R422" s="79"/>
      <c r="S422" s="79"/>
      <c r="V422" s="79"/>
      <c r="W422" s="79"/>
      <c r="Z422" s="130"/>
      <c r="AB422" s="106"/>
    </row>
    <row r="423">
      <c r="C423" s="79"/>
      <c r="D423" s="79"/>
      <c r="E423" s="79"/>
      <c r="M423" s="79"/>
      <c r="R423" s="79"/>
      <c r="S423" s="79"/>
      <c r="V423" s="79"/>
      <c r="W423" s="79"/>
      <c r="Z423" s="130"/>
      <c r="AB423" s="106"/>
    </row>
    <row r="424">
      <c r="C424" s="79"/>
      <c r="D424" s="79"/>
      <c r="E424" s="79"/>
      <c r="M424" s="79"/>
      <c r="R424" s="79"/>
      <c r="S424" s="79"/>
      <c r="V424" s="79"/>
      <c r="W424" s="79"/>
      <c r="Z424" s="130"/>
      <c r="AB424" s="106"/>
    </row>
    <row r="425">
      <c r="C425" s="79"/>
      <c r="D425" s="79"/>
      <c r="E425" s="79"/>
      <c r="M425" s="79"/>
      <c r="R425" s="79"/>
      <c r="S425" s="79"/>
      <c r="V425" s="79"/>
      <c r="W425" s="79"/>
      <c r="Z425" s="130"/>
      <c r="AB425" s="106"/>
    </row>
    <row r="426">
      <c r="C426" s="79"/>
      <c r="D426" s="79"/>
      <c r="E426" s="79"/>
      <c r="M426" s="79"/>
      <c r="R426" s="79"/>
      <c r="S426" s="79"/>
      <c r="V426" s="79"/>
      <c r="W426" s="79"/>
      <c r="Z426" s="130"/>
      <c r="AB426" s="106"/>
    </row>
    <row r="427">
      <c r="C427" s="79"/>
      <c r="D427" s="79"/>
      <c r="E427" s="79"/>
      <c r="M427" s="79"/>
      <c r="R427" s="79"/>
      <c r="S427" s="79"/>
      <c r="V427" s="79"/>
      <c r="W427" s="79"/>
      <c r="Z427" s="130"/>
      <c r="AB427" s="106"/>
    </row>
    <row r="428">
      <c r="C428" s="79"/>
      <c r="D428" s="79"/>
      <c r="E428" s="79"/>
      <c r="M428" s="79"/>
      <c r="R428" s="79"/>
      <c r="S428" s="79"/>
      <c r="V428" s="79"/>
      <c r="W428" s="79"/>
      <c r="Z428" s="130"/>
      <c r="AB428" s="106"/>
    </row>
    <row r="429">
      <c r="C429" s="79"/>
      <c r="D429" s="79"/>
      <c r="E429" s="79"/>
      <c r="M429" s="79"/>
      <c r="R429" s="79"/>
      <c r="S429" s="79"/>
      <c r="V429" s="79"/>
      <c r="W429" s="79"/>
      <c r="Z429" s="130"/>
      <c r="AB429" s="106"/>
    </row>
    <row r="430">
      <c r="C430" s="79"/>
      <c r="D430" s="79"/>
      <c r="E430" s="79"/>
      <c r="M430" s="79"/>
      <c r="R430" s="79"/>
      <c r="S430" s="79"/>
      <c r="V430" s="79"/>
      <c r="W430" s="79"/>
      <c r="Z430" s="130"/>
      <c r="AB430" s="106"/>
    </row>
    <row r="431">
      <c r="C431" s="79"/>
      <c r="D431" s="79"/>
      <c r="E431" s="79"/>
      <c r="M431" s="79"/>
      <c r="R431" s="79"/>
      <c r="S431" s="79"/>
      <c r="V431" s="79"/>
      <c r="W431" s="79"/>
      <c r="Z431" s="130"/>
      <c r="AB431" s="106"/>
    </row>
    <row r="432">
      <c r="C432" s="79"/>
      <c r="D432" s="79"/>
      <c r="E432" s="79"/>
      <c r="M432" s="79"/>
      <c r="R432" s="79"/>
      <c r="S432" s="79"/>
      <c r="V432" s="79"/>
      <c r="W432" s="79"/>
      <c r="Z432" s="130"/>
      <c r="AB432" s="106"/>
    </row>
    <row r="433">
      <c r="C433" s="79"/>
      <c r="D433" s="79"/>
      <c r="E433" s="79"/>
      <c r="M433" s="79"/>
      <c r="R433" s="79"/>
      <c r="S433" s="79"/>
      <c r="V433" s="79"/>
      <c r="W433" s="79"/>
      <c r="Z433" s="130"/>
      <c r="AB433" s="106"/>
    </row>
    <row r="434">
      <c r="C434" s="79"/>
      <c r="D434" s="79"/>
      <c r="E434" s="79"/>
      <c r="M434" s="79"/>
      <c r="R434" s="79"/>
      <c r="S434" s="79"/>
      <c r="V434" s="79"/>
      <c r="W434" s="79"/>
      <c r="Z434" s="130"/>
      <c r="AB434" s="106"/>
    </row>
    <row r="435">
      <c r="C435" s="79"/>
      <c r="D435" s="79"/>
      <c r="E435" s="79"/>
      <c r="M435" s="79"/>
      <c r="R435" s="79"/>
      <c r="S435" s="79"/>
      <c r="V435" s="79"/>
      <c r="W435" s="79"/>
      <c r="Z435" s="130"/>
      <c r="AB435" s="106"/>
    </row>
    <row r="436">
      <c r="C436" s="79"/>
      <c r="D436" s="79"/>
      <c r="E436" s="79"/>
      <c r="M436" s="79"/>
      <c r="R436" s="79"/>
      <c r="S436" s="79"/>
      <c r="V436" s="79"/>
      <c r="W436" s="79"/>
      <c r="Z436" s="130"/>
      <c r="AB436" s="106"/>
    </row>
    <row r="437">
      <c r="C437" s="79"/>
      <c r="D437" s="79"/>
      <c r="E437" s="79"/>
      <c r="M437" s="79"/>
      <c r="R437" s="79"/>
      <c r="S437" s="79"/>
      <c r="V437" s="79"/>
      <c r="W437" s="79"/>
      <c r="Z437" s="130"/>
      <c r="AB437" s="106"/>
    </row>
    <row r="438">
      <c r="C438" s="79"/>
      <c r="D438" s="79"/>
      <c r="E438" s="79"/>
      <c r="M438" s="79"/>
      <c r="R438" s="79"/>
      <c r="S438" s="79"/>
      <c r="V438" s="79"/>
      <c r="W438" s="79"/>
      <c r="Z438" s="130"/>
      <c r="AB438" s="106"/>
    </row>
    <row r="439">
      <c r="C439" s="79"/>
      <c r="D439" s="79"/>
      <c r="E439" s="79"/>
      <c r="M439" s="79"/>
      <c r="R439" s="79"/>
      <c r="S439" s="79"/>
      <c r="V439" s="79"/>
      <c r="W439" s="79"/>
      <c r="Z439" s="130"/>
      <c r="AB439" s="106"/>
    </row>
    <row r="440">
      <c r="C440" s="79"/>
      <c r="D440" s="79"/>
      <c r="E440" s="79"/>
      <c r="M440" s="79"/>
      <c r="R440" s="79"/>
      <c r="S440" s="79"/>
      <c r="V440" s="79"/>
      <c r="W440" s="79"/>
      <c r="Z440" s="130"/>
      <c r="AB440" s="106"/>
    </row>
    <row r="441">
      <c r="C441" s="79"/>
      <c r="D441" s="79"/>
      <c r="E441" s="79"/>
      <c r="M441" s="79"/>
      <c r="R441" s="79"/>
      <c r="S441" s="79"/>
      <c r="V441" s="79"/>
      <c r="W441" s="79"/>
      <c r="Z441" s="130"/>
      <c r="AB441" s="106"/>
    </row>
    <row r="442">
      <c r="C442" s="79"/>
      <c r="D442" s="79"/>
      <c r="E442" s="79"/>
      <c r="M442" s="79"/>
      <c r="R442" s="79"/>
      <c r="S442" s="79"/>
      <c r="V442" s="79"/>
      <c r="W442" s="79"/>
      <c r="Z442" s="130"/>
      <c r="AB442" s="106"/>
    </row>
    <row r="443">
      <c r="C443" s="79"/>
      <c r="D443" s="79"/>
      <c r="E443" s="79"/>
      <c r="M443" s="79"/>
      <c r="R443" s="79"/>
      <c r="S443" s="79"/>
      <c r="V443" s="79"/>
      <c r="W443" s="79"/>
      <c r="Z443" s="130"/>
      <c r="AB443" s="106"/>
    </row>
    <row r="444">
      <c r="C444" s="79"/>
      <c r="D444" s="79"/>
      <c r="E444" s="79"/>
      <c r="M444" s="79"/>
      <c r="R444" s="79"/>
      <c r="S444" s="79"/>
      <c r="V444" s="79"/>
      <c r="W444" s="79"/>
      <c r="Z444" s="130"/>
      <c r="AB444" s="106"/>
    </row>
    <row r="445">
      <c r="C445" s="79"/>
      <c r="D445" s="79"/>
      <c r="E445" s="79"/>
      <c r="M445" s="79"/>
      <c r="R445" s="79"/>
      <c r="S445" s="79"/>
      <c r="V445" s="79"/>
      <c r="W445" s="79"/>
      <c r="Z445" s="130"/>
      <c r="AB445" s="106"/>
    </row>
    <row r="446">
      <c r="C446" s="79"/>
      <c r="D446" s="79"/>
      <c r="E446" s="79"/>
      <c r="M446" s="79"/>
      <c r="R446" s="79"/>
      <c r="S446" s="79"/>
      <c r="V446" s="79"/>
      <c r="W446" s="79"/>
      <c r="Z446" s="130"/>
      <c r="AB446" s="106"/>
    </row>
    <row r="447">
      <c r="C447" s="79"/>
      <c r="D447" s="79"/>
      <c r="E447" s="79"/>
      <c r="M447" s="79"/>
      <c r="R447" s="79"/>
      <c r="S447" s="79"/>
      <c r="V447" s="79"/>
      <c r="W447" s="79"/>
      <c r="Z447" s="130"/>
      <c r="AB447" s="106"/>
    </row>
    <row r="448">
      <c r="C448" s="79"/>
      <c r="D448" s="79"/>
      <c r="E448" s="79"/>
      <c r="M448" s="79"/>
      <c r="R448" s="79"/>
      <c r="S448" s="79"/>
      <c r="V448" s="79"/>
      <c r="W448" s="79"/>
      <c r="Z448" s="130"/>
      <c r="AB448" s="106"/>
    </row>
    <row r="449">
      <c r="C449" s="79"/>
      <c r="D449" s="79"/>
      <c r="E449" s="79"/>
      <c r="M449" s="79"/>
      <c r="R449" s="79"/>
      <c r="S449" s="79"/>
      <c r="V449" s="79"/>
      <c r="W449" s="79"/>
      <c r="Z449" s="130"/>
      <c r="AB449" s="106"/>
    </row>
    <row r="450">
      <c r="C450" s="79"/>
      <c r="D450" s="79"/>
      <c r="E450" s="79"/>
      <c r="M450" s="79"/>
      <c r="R450" s="79"/>
      <c r="S450" s="79"/>
      <c r="V450" s="79"/>
      <c r="W450" s="79"/>
      <c r="Z450" s="130"/>
      <c r="AB450" s="106"/>
    </row>
    <row r="451">
      <c r="C451" s="79"/>
      <c r="D451" s="79"/>
      <c r="E451" s="79"/>
      <c r="M451" s="79"/>
      <c r="R451" s="79"/>
      <c r="S451" s="79"/>
      <c r="V451" s="79"/>
      <c r="W451" s="79"/>
      <c r="Z451" s="130"/>
      <c r="AB451" s="106"/>
    </row>
    <row r="452">
      <c r="C452" s="79"/>
      <c r="D452" s="79"/>
      <c r="E452" s="79"/>
      <c r="M452" s="79"/>
      <c r="R452" s="79"/>
      <c r="S452" s="79"/>
      <c r="V452" s="79"/>
      <c r="W452" s="79"/>
      <c r="Z452" s="130"/>
      <c r="AB452" s="106"/>
    </row>
    <row r="453">
      <c r="C453" s="79"/>
      <c r="D453" s="79"/>
      <c r="E453" s="79"/>
      <c r="M453" s="79"/>
      <c r="R453" s="79"/>
      <c r="S453" s="79"/>
      <c r="V453" s="79"/>
      <c r="W453" s="79"/>
      <c r="Z453" s="130"/>
      <c r="AB453" s="106"/>
    </row>
    <row r="454">
      <c r="C454" s="79"/>
      <c r="D454" s="79"/>
      <c r="E454" s="79"/>
      <c r="M454" s="79"/>
      <c r="R454" s="79"/>
      <c r="S454" s="79"/>
      <c r="V454" s="79"/>
      <c r="W454" s="79"/>
      <c r="Z454" s="130"/>
      <c r="AB454" s="106"/>
    </row>
    <row r="455">
      <c r="C455" s="79"/>
      <c r="D455" s="79"/>
      <c r="E455" s="79"/>
      <c r="M455" s="79"/>
      <c r="R455" s="79"/>
      <c r="S455" s="79"/>
      <c r="V455" s="79"/>
      <c r="W455" s="79"/>
      <c r="Z455" s="130"/>
      <c r="AB455" s="106"/>
    </row>
    <row r="456">
      <c r="C456" s="79"/>
      <c r="D456" s="79"/>
      <c r="E456" s="79"/>
      <c r="M456" s="79"/>
      <c r="R456" s="79"/>
      <c r="S456" s="79"/>
      <c r="V456" s="79"/>
      <c r="W456" s="79"/>
      <c r="Z456" s="130"/>
      <c r="AB456" s="106"/>
    </row>
    <row r="457">
      <c r="C457" s="79"/>
      <c r="D457" s="79"/>
      <c r="E457" s="79"/>
      <c r="M457" s="79"/>
      <c r="R457" s="79"/>
      <c r="S457" s="79"/>
      <c r="V457" s="79"/>
      <c r="W457" s="79"/>
      <c r="Z457" s="130"/>
      <c r="AB457" s="106"/>
    </row>
    <row r="458">
      <c r="C458" s="79"/>
      <c r="D458" s="79"/>
      <c r="E458" s="79"/>
      <c r="M458" s="79"/>
      <c r="R458" s="79"/>
      <c r="S458" s="79"/>
      <c r="V458" s="79"/>
      <c r="W458" s="79"/>
      <c r="Z458" s="130"/>
      <c r="AB458" s="106"/>
    </row>
    <row r="459">
      <c r="C459" s="79"/>
      <c r="D459" s="79"/>
      <c r="E459" s="79"/>
      <c r="M459" s="79"/>
      <c r="R459" s="79"/>
      <c r="S459" s="79"/>
      <c r="V459" s="79"/>
      <c r="W459" s="79"/>
      <c r="Z459" s="130"/>
      <c r="AB459" s="106"/>
    </row>
    <row r="460">
      <c r="C460" s="79"/>
      <c r="D460" s="79"/>
      <c r="E460" s="79"/>
      <c r="M460" s="79"/>
      <c r="R460" s="79"/>
      <c r="S460" s="79"/>
      <c r="V460" s="79"/>
      <c r="W460" s="79"/>
      <c r="Z460" s="130"/>
      <c r="AB460" s="106"/>
    </row>
    <row r="461">
      <c r="C461" s="79"/>
      <c r="D461" s="79"/>
      <c r="E461" s="79"/>
      <c r="M461" s="79"/>
      <c r="R461" s="79"/>
      <c r="S461" s="79"/>
      <c r="V461" s="79"/>
      <c r="W461" s="79"/>
      <c r="Z461" s="130"/>
      <c r="AB461" s="106"/>
    </row>
    <row r="462">
      <c r="C462" s="79"/>
      <c r="D462" s="79"/>
      <c r="E462" s="79"/>
      <c r="M462" s="79"/>
      <c r="R462" s="79"/>
      <c r="S462" s="79"/>
      <c r="V462" s="79"/>
      <c r="W462" s="79"/>
      <c r="Z462" s="130"/>
      <c r="AB462" s="106"/>
    </row>
    <row r="463">
      <c r="C463" s="79"/>
      <c r="D463" s="79"/>
      <c r="E463" s="79"/>
      <c r="M463" s="79"/>
      <c r="R463" s="79"/>
      <c r="S463" s="79"/>
      <c r="V463" s="79"/>
      <c r="W463" s="79"/>
      <c r="Z463" s="130"/>
      <c r="AB463" s="106"/>
    </row>
    <row r="464">
      <c r="C464" s="79"/>
      <c r="D464" s="79"/>
      <c r="E464" s="79"/>
      <c r="M464" s="79"/>
      <c r="R464" s="79"/>
      <c r="S464" s="79"/>
      <c r="V464" s="79"/>
      <c r="W464" s="79"/>
      <c r="Z464" s="130"/>
      <c r="AB464" s="106"/>
    </row>
    <row r="465">
      <c r="C465" s="79"/>
      <c r="D465" s="79"/>
      <c r="E465" s="79"/>
      <c r="M465" s="79"/>
      <c r="R465" s="79"/>
      <c r="S465" s="79"/>
      <c r="V465" s="79"/>
      <c r="W465" s="79"/>
      <c r="Z465" s="130"/>
      <c r="AB465" s="106"/>
    </row>
    <row r="466">
      <c r="C466" s="79"/>
      <c r="D466" s="79"/>
      <c r="E466" s="79"/>
      <c r="M466" s="79"/>
      <c r="R466" s="79"/>
      <c r="S466" s="79"/>
      <c r="V466" s="79"/>
      <c r="W466" s="79"/>
      <c r="Z466" s="130"/>
      <c r="AB466" s="106"/>
    </row>
    <row r="467">
      <c r="C467" s="79"/>
      <c r="D467" s="79"/>
      <c r="E467" s="79"/>
      <c r="M467" s="79"/>
      <c r="R467" s="79"/>
      <c r="S467" s="79"/>
      <c r="V467" s="79"/>
      <c r="W467" s="79"/>
      <c r="Z467" s="130"/>
      <c r="AB467" s="106"/>
    </row>
    <row r="468">
      <c r="C468" s="79"/>
      <c r="D468" s="79"/>
      <c r="E468" s="79"/>
      <c r="M468" s="79"/>
      <c r="R468" s="79"/>
      <c r="S468" s="79"/>
      <c r="V468" s="79"/>
      <c r="W468" s="79"/>
      <c r="Z468" s="130"/>
      <c r="AB468" s="106"/>
    </row>
    <row r="469">
      <c r="C469" s="79"/>
      <c r="D469" s="79"/>
      <c r="E469" s="79"/>
      <c r="M469" s="79"/>
      <c r="R469" s="79"/>
      <c r="S469" s="79"/>
      <c r="V469" s="79"/>
      <c r="W469" s="79"/>
      <c r="Z469" s="130"/>
      <c r="AB469" s="106"/>
    </row>
    <row r="470">
      <c r="C470" s="79"/>
      <c r="D470" s="79"/>
      <c r="E470" s="79"/>
      <c r="M470" s="79"/>
      <c r="R470" s="79"/>
      <c r="S470" s="79"/>
      <c r="V470" s="79"/>
      <c r="W470" s="79"/>
      <c r="Z470" s="130"/>
      <c r="AB470" s="106"/>
    </row>
    <row r="471">
      <c r="C471" s="79"/>
      <c r="D471" s="79"/>
      <c r="E471" s="79"/>
      <c r="M471" s="79"/>
      <c r="R471" s="79"/>
      <c r="S471" s="79"/>
      <c r="V471" s="79"/>
      <c r="W471" s="79"/>
      <c r="Z471" s="130"/>
      <c r="AB471" s="106"/>
    </row>
    <row r="472">
      <c r="C472" s="79"/>
      <c r="D472" s="79"/>
      <c r="E472" s="79"/>
      <c r="M472" s="79"/>
      <c r="R472" s="79"/>
      <c r="S472" s="79"/>
      <c r="V472" s="79"/>
      <c r="W472" s="79"/>
      <c r="Z472" s="130"/>
      <c r="AB472" s="106"/>
    </row>
    <row r="473">
      <c r="C473" s="79"/>
      <c r="D473" s="79"/>
      <c r="E473" s="79"/>
      <c r="M473" s="79"/>
      <c r="R473" s="79"/>
      <c r="S473" s="79"/>
      <c r="V473" s="79"/>
      <c r="W473" s="79"/>
      <c r="Z473" s="130"/>
      <c r="AB473" s="106"/>
    </row>
    <row r="474">
      <c r="C474" s="79"/>
      <c r="D474" s="79"/>
      <c r="E474" s="79"/>
      <c r="M474" s="79"/>
      <c r="R474" s="79"/>
      <c r="S474" s="79"/>
      <c r="V474" s="79"/>
      <c r="W474" s="79"/>
      <c r="Z474" s="130"/>
      <c r="AB474" s="106"/>
    </row>
    <row r="475">
      <c r="C475" s="79"/>
      <c r="D475" s="79"/>
      <c r="E475" s="79"/>
      <c r="M475" s="79"/>
      <c r="R475" s="79"/>
      <c r="S475" s="79"/>
      <c r="V475" s="79"/>
      <c r="W475" s="79"/>
      <c r="Z475" s="130"/>
      <c r="AB475" s="106"/>
    </row>
    <row r="476">
      <c r="C476" s="79"/>
      <c r="D476" s="79"/>
      <c r="E476" s="79"/>
      <c r="M476" s="79"/>
      <c r="R476" s="79"/>
      <c r="S476" s="79"/>
      <c r="V476" s="79"/>
      <c r="W476" s="79"/>
      <c r="Z476" s="130"/>
      <c r="AB476" s="106"/>
    </row>
    <row r="477">
      <c r="C477" s="79"/>
      <c r="D477" s="79"/>
      <c r="E477" s="79"/>
      <c r="M477" s="79"/>
      <c r="R477" s="79"/>
      <c r="S477" s="79"/>
      <c r="V477" s="79"/>
      <c r="W477" s="79"/>
      <c r="Z477" s="130"/>
      <c r="AB477" s="106"/>
    </row>
    <row r="478">
      <c r="C478" s="79"/>
      <c r="D478" s="79"/>
      <c r="E478" s="79"/>
      <c r="M478" s="79"/>
      <c r="R478" s="79"/>
      <c r="S478" s="79"/>
      <c r="V478" s="79"/>
      <c r="W478" s="79"/>
      <c r="Z478" s="130"/>
      <c r="AB478" s="106"/>
    </row>
    <row r="479">
      <c r="C479" s="79"/>
      <c r="D479" s="79"/>
      <c r="E479" s="79"/>
      <c r="M479" s="79"/>
      <c r="R479" s="79"/>
      <c r="S479" s="79"/>
      <c r="V479" s="79"/>
      <c r="W479" s="79"/>
      <c r="Z479" s="130"/>
      <c r="AB479" s="106"/>
    </row>
    <row r="480">
      <c r="C480" s="79"/>
      <c r="D480" s="79"/>
      <c r="E480" s="79"/>
      <c r="M480" s="79"/>
      <c r="R480" s="79"/>
      <c r="S480" s="79"/>
      <c r="V480" s="79"/>
      <c r="W480" s="79"/>
      <c r="Z480" s="130"/>
      <c r="AB480" s="106"/>
    </row>
    <row r="481">
      <c r="C481" s="79"/>
      <c r="D481" s="79"/>
      <c r="E481" s="79"/>
      <c r="M481" s="79"/>
      <c r="R481" s="79"/>
      <c r="S481" s="79"/>
      <c r="V481" s="79"/>
      <c r="W481" s="79"/>
      <c r="Z481" s="130"/>
      <c r="AB481" s="106"/>
    </row>
    <row r="482">
      <c r="C482" s="79"/>
      <c r="D482" s="79"/>
      <c r="E482" s="79"/>
      <c r="M482" s="79"/>
      <c r="R482" s="79"/>
      <c r="S482" s="79"/>
      <c r="V482" s="79"/>
      <c r="W482" s="79"/>
      <c r="Z482" s="130"/>
      <c r="AB482" s="106"/>
    </row>
    <row r="483">
      <c r="C483" s="79"/>
      <c r="D483" s="79"/>
      <c r="E483" s="79"/>
      <c r="M483" s="79"/>
      <c r="R483" s="79"/>
      <c r="S483" s="79"/>
      <c r="V483" s="79"/>
      <c r="W483" s="79"/>
      <c r="Z483" s="130"/>
      <c r="AB483" s="106"/>
    </row>
    <row r="484">
      <c r="C484" s="79"/>
      <c r="D484" s="79"/>
      <c r="E484" s="79"/>
      <c r="M484" s="79"/>
      <c r="R484" s="79"/>
      <c r="S484" s="79"/>
      <c r="V484" s="79"/>
      <c r="W484" s="79"/>
      <c r="Z484" s="130"/>
      <c r="AB484" s="106"/>
    </row>
    <row r="485">
      <c r="C485" s="79"/>
      <c r="D485" s="79"/>
      <c r="E485" s="79"/>
      <c r="M485" s="79"/>
      <c r="R485" s="79"/>
      <c r="S485" s="79"/>
      <c r="V485" s="79"/>
      <c r="W485" s="79"/>
      <c r="Z485" s="130"/>
      <c r="AB485" s="106"/>
    </row>
    <row r="486">
      <c r="C486" s="79"/>
      <c r="D486" s="79"/>
      <c r="E486" s="79"/>
      <c r="M486" s="79"/>
      <c r="R486" s="79"/>
      <c r="S486" s="79"/>
      <c r="V486" s="79"/>
      <c r="W486" s="79"/>
      <c r="Z486" s="130"/>
      <c r="AB486" s="106"/>
    </row>
    <row r="487">
      <c r="C487" s="79"/>
      <c r="D487" s="79"/>
      <c r="E487" s="79"/>
      <c r="M487" s="79"/>
      <c r="R487" s="79"/>
      <c r="S487" s="79"/>
      <c r="V487" s="79"/>
      <c r="W487" s="79"/>
      <c r="Z487" s="130"/>
      <c r="AB487" s="106"/>
    </row>
    <row r="488">
      <c r="C488" s="79"/>
      <c r="D488" s="79"/>
      <c r="E488" s="79"/>
      <c r="M488" s="79"/>
      <c r="R488" s="79"/>
      <c r="S488" s="79"/>
      <c r="V488" s="79"/>
      <c r="W488" s="79"/>
      <c r="Z488" s="130"/>
      <c r="AB488" s="106"/>
    </row>
    <row r="489">
      <c r="C489" s="79"/>
      <c r="D489" s="79"/>
      <c r="E489" s="79"/>
      <c r="M489" s="79"/>
      <c r="R489" s="79"/>
      <c r="S489" s="79"/>
      <c r="V489" s="79"/>
      <c r="W489" s="79"/>
      <c r="Z489" s="130"/>
      <c r="AB489" s="106"/>
    </row>
    <row r="490">
      <c r="C490" s="79"/>
      <c r="D490" s="79"/>
      <c r="E490" s="79"/>
      <c r="M490" s="79"/>
      <c r="R490" s="79"/>
      <c r="S490" s="79"/>
      <c r="V490" s="79"/>
      <c r="W490" s="79"/>
      <c r="Z490" s="130"/>
      <c r="AB490" s="106"/>
    </row>
    <row r="491">
      <c r="C491" s="79"/>
      <c r="D491" s="79"/>
      <c r="E491" s="79"/>
      <c r="M491" s="79"/>
      <c r="R491" s="79"/>
      <c r="S491" s="79"/>
      <c r="V491" s="79"/>
      <c r="W491" s="79"/>
      <c r="Z491" s="130"/>
      <c r="AB491" s="106"/>
    </row>
    <row r="492">
      <c r="C492" s="79"/>
      <c r="D492" s="79"/>
      <c r="E492" s="79"/>
      <c r="M492" s="79"/>
      <c r="R492" s="79"/>
      <c r="S492" s="79"/>
      <c r="V492" s="79"/>
      <c r="W492" s="79"/>
      <c r="Z492" s="130"/>
      <c r="AB492" s="106"/>
    </row>
    <row r="493">
      <c r="C493" s="79"/>
      <c r="D493" s="79"/>
      <c r="E493" s="79"/>
      <c r="M493" s="79"/>
      <c r="R493" s="79"/>
      <c r="S493" s="79"/>
      <c r="V493" s="79"/>
      <c r="W493" s="79"/>
      <c r="Z493" s="130"/>
      <c r="AB493" s="106"/>
    </row>
    <row r="494">
      <c r="C494" s="79"/>
      <c r="D494" s="79"/>
      <c r="E494" s="79"/>
      <c r="M494" s="79"/>
      <c r="R494" s="79"/>
      <c r="S494" s="79"/>
      <c r="V494" s="79"/>
      <c r="W494" s="79"/>
      <c r="Z494" s="130"/>
      <c r="AB494" s="106"/>
    </row>
    <row r="495">
      <c r="C495" s="79"/>
      <c r="D495" s="79"/>
      <c r="E495" s="79"/>
      <c r="M495" s="79"/>
      <c r="R495" s="79"/>
      <c r="S495" s="79"/>
      <c r="V495" s="79"/>
      <c r="W495" s="79"/>
      <c r="Z495" s="130"/>
      <c r="AB495" s="106"/>
    </row>
    <row r="496">
      <c r="C496" s="79"/>
      <c r="D496" s="79"/>
      <c r="E496" s="79"/>
      <c r="M496" s="79"/>
      <c r="R496" s="79"/>
      <c r="S496" s="79"/>
      <c r="V496" s="79"/>
      <c r="W496" s="79"/>
      <c r="Z496" s="130"/>
      <c r="AB496" s="106"/>
    </row>
    <row r="497">
      <c r="C497" s="79"/>
      <c r="D497" s="79"/>
      <c r="E497" s="79"/>
      <c r="M497" s="79"/>
      <c r="R497" s="79"/>
      <c r="S497" s="79"/>
      <c r="V497" s="79"/>
      <c r="W497" s="79"/>
      <c r="Z497" s="130"/>
      <c r="AB497" s="106"/>
    </row>
    <row r="498">
      <c r="C498" s="79"/>
      <c r="D498" s="79"/>
      <c r="E498" s="79"/>
      <c r="M498" s="79"/>
      <c r="R498" s="79"/>
      <c r="S498" s="79"/>
      <c r="V498" s="79"/>
      <c r="W498" s="79"/>
      <c r="Z498" s="130"/>
      <c r="AB498" s="106"/>
    </row>
    <row r="499">
      <c r="C499" s="79"/>
      <c r="D499" s="79"/>
      <c r="E499" s="79"/>
      <c r="M499" s="79"/>
      <c r="R499" s="79"/>
      <c r="S499" s="79"/>
      <c r="V499" s="79"/>
      <c r="W499" s="79"/>
      <c r="Z499" s="130"/>
      <c r="AB499" s="106"/>
    </row>
    <row r="500">
      <c r="C500" s="79"/>
      <c r="D500" s="79"/>
      <c r="E500" s="79"/>
      <c r="M500" s="79"/>
      <c r="R500" s="79"/>
      <c r="S500" s="79"/>
      <c r="V500" s="79"/>
      <c r="W500" s="79"/>
      <c r="Z500" s="130"/>
      <c r="AB500" s="106"/>
    </row>
    <row r="501">
      <c r="C501" s="79"/>
      <c r="D501" s="79"/>
      <c r="E501" s="79"/>
      <c r="M501" s="79"/>
      <c r="R501" s="79"/>
      <c r="S501" s="79"/>
      <c r="V501" s="79"/>
      <c r="W501" s="79"/>
      <c r="Z501" s="130"/>
      <c r="AB501" s="106"/>
    </row>
    <row r="502">
      <c r="C502" s="79"/>
      <c r="D502" s="79"/>
      <c r="E502" s="79"/>
      <c r="M502" s="79"/>
      <c r="R502" s="79"/>
      <c r="S502" s="79"/>
      <c r="V502" s="79"/>
      <c r="W502" s="79"/>
      <c r="Z502" s="130"/>
      <c r="AB502" s="106"/>
    </row>
    <row r="503">
      <c r="C503" s="79"/>
      <c r="D503" s="79"/>
      <c r="E503" s="79"/>
      <c r="M503" s="79"/>
      <c r="R503" s="79"/>
      <c r="S503" s="79"/>
      <c r="V503" s="79"/>
      <c r="W503" s="79"/>
      <c r="Z503" s="130"/>
      <c r="AB503" s="106"/>
    </row>
    <row r="504">
      <c r="C504" s="79"/>
      <c r="D504" s="79"/>
      <c r="E504" s="79"/>
      <c r="M504" s="79"/>
      <c r="R504" s="79"/>
      <c r="S504" s="79"/>
      <c r="V504" s="79"/>
      <c r="W504" s="79"/>
      <c r="Z504" s="130"/>
      <c r="AB504" s="106"/>
    </row>
    <row r="505">
      <c r="C505" s="79"/>
      <c r="D505" s="79"/>
      <c r="E505" s="79"/>
      <c r="M505" s="79"/>
      <c r="R505" s="79"/>
      <c r="S505" s="79"/>
      <c r="V505" s="79"/>
      <c r="W505" s="79"/>
      <c r="Z505" s="130"/>
      <c r="AB505" s="106"/>
    </row>
    <row r="506">
      <c r="C506" s="79"/>
      <c r="D506" s="79"/>
      <c r="E506" s="79"/>
      <c r="M506" s="79"/>
      <c r="R506" s="79"/>
      <c r="S506" s="79"/>
      <c r="V506" s="79"/>
      <c r="W506" s="79"/>
      <c r="Z506" s="130"/>
      <c r="AB506" s="106"/>
    </row>
    <row r="507">
      <c r="C507" s="79"/>
      <c r="D507" s="79"/>
      <c r="E507" s="79"/>
      <c r="M507" s="79"/>
      <c r="R507" s="79"/>
      <c r="S507" s="79"/>
      <c r="V507" s="79"/>
      <c r="W507" s="79"/>
      <c r="Z507" s="130"/>
      <c r="AB507" s="106"/>
    </row>
    <row r="508">
      <c r="C508" s="79"/>
      <c r="D508" s="79"/>
      <c r="E508" s="79"/>
      <c r="M508" s="79"/>
      <c r="R508" s="79"/>
      <c r="S508" s="79"/>
      <c r="V508" s="79"/>
      <c r="W508" s="79"/>
      <c r="Z508" s="130"/>
      <c r="AB508" s="106"/>
    </row>
    <row r="509">
      <c r="C509" s="79"/>
      <c r="D509" s="79"/>
      <c r="E509" s="79"/>
      <c r="M509" s="79"/>
      <c r="R509" s="79"/>
      <c r="S509" s="79"/>
      <c r="V509" s="79"/>
      <c r="W509" s="79"/>
      <c r="Z509" s="130"/>
      <c r="AB509" s="106"/>
    </row>
    <row r="510">
      <c r="C510" s="79"/>
      <c r="D510" s="79"/>
      <c r="E510" s="79"/>
      <c r="M510" s="79"/>
      <c r="R510" s="79"/>
      <c r="S510" s="79"/>
      <c r="V510" s="79"/>
      <c r="W510" s="79"/>
      <c r="Z510" s="130"/>
      <c r="AB510" s="106"/>
    </row>
    <row r="511">
      <c r="C511" s="79"/>
      <c r="D511" s="79"/>
      <c r="E511" s="79"/>
      <c r="M511" s="79"/>
      <c r="R511" s="79"/>
      <c r="S511" s="79"/>
      <c r="V511" s="79"/>
      <c r="W511" s="79"/>
      <c r="Z511" s="130"/>
      <c r="AB511" s="106"/>
    </row>
    <row r="512">
      <c r="C512" s="79"/>
      <c r="D512" s="79"/>
      <c r="E512" s="79"/>
      <c r="M512" s="79"/>
      <c r="R512" s="79"/>
      <c r="S512" s="79"/>
      <c r="V512" s="79"/>
      <c r="W512" s="79"/>
      <c r="Z512" s="130"/>
      <c r="AB512" s="106"/>
    </row>
    <row r="513">
      <c r="C513" s="79"/>
      <c r="D513" s="79"/>
      <c r="E513" s="79"/>
      <c r="M513" s="79"/>
      <c r="R513" s="79"/>
      <c r="S513" s="79"/>
      <c r="V513" s="79"/>
      <c r="W513" s="79"/>
      <c r="Z513" s="130"/>
      <c r="AB513" s="106"/>
    </row>
    <row r="514">
      <c r="C514" s="79"/>
      <c r="D514" s="79"/>
      <c r="E514" s="79"/>
      <c r="M514" s="79"/>
      <c r="R514" s="79"/>
      <c r="S514" s="79"/>
      <c r="V514" s="79"/>
      <c r="W514" s="79"/>
      <c r="Z514" s="130"/>
      <c r="AB514" s="106"/>
    </row>
    <row r="515">
      <c r="C515" s="79"/>
      <c r="D515" s="79"/>
      <c r="E515" s="79"/>
      <c r="M515" s="79"/>
      <c r="R515" s="79"/>
      <c r="S515" s="79"/>
      <c r="V515" s="79"/>
      <c r="W515" s="79"/>
      <c r="Z515" s="130"/>
      <c r="AB515" s="106"/>
    </row>
    <row r="516">
      <c r="C516" s="79"/>
      <c r="D516" s="79"/>
      <c r="E516" s="79"/>
      <c r="M516" s="79"/>
      <c r="R516" s="79"/>
      <c r="S516" s="79"/>
      <c r="V516" s="79"/>
      <c r="W516" s="79"/>
      <c r="Z516" s="130"/>
      <c r="AB516" s="106"/>
    </row>
    <row r="517">
      <c r="C517" s="79"/>
      <c r="D517" s="79"/>
      <c r="E517" s="79"/>
      <c r="M517" s="79"/>
      <c r="R517" s="79"/>
      <c r="S517" s="79"/>
      <c r="V517" s="79"/>
      <c r="W517" s="79"/>
      <c r="Z517" s="130"/>
      <c r="AB517" s="106"/>
    </row>
    <row r="518">
      <c r="C518" s="79"/>
      <c r="D518" s="79"/>
      <c r="E518" s="79"/>
      <c r="M518" s="79"/>
      <c r="R518" s="79"/>
      <c r="S518" s="79"/>
      <c r="V518" s="79"/>
      <c r="W518" s="79"/>
      <c r="Z518" s="130"/>
      <c r="AB518" s="106"/>
    </row>
    <row r="519">
      <c r="C519" s="79"/>
      <c r="D519" s="79"/>
      <c r="E519" s="79"/>
      <c r="M519" s="79"/>
      <c r="R519" s="79"/>
      <c r="S519" s="79"/>
      <c r="V519" s="79"/>
      <c r="W519" s="79"/>
      <c r="Z519" s="130"/>
      <c r="AB519" s="106"/>
    </row>
    <row r="520">
      <c r="C520" s="79"/>
      <c r="D520" s="79"/>
      <c r="E520" s="79"/>
      <c r="M520" s="79"/>
      <c r="R520" s="79"/>
      <c r="S520" s="79"/>
      <c r="V520" s="79"/>
      <c r="W520" s="79"/>
      <c r="Z520" s="130"/>
      <c r="AB520" s="106"/>
    </row>
    <row r="521">
      <c r="C521" s="79"/>
      <c r="D521" s="79"/>
      <c r="E521" s="79"/>
      <c r="M521" s="79"/>
      <c r="R521" s="79"/>
      <c r="S521" s="79"/>
      <c r="V521" s="79"/>
      <c r="W521" s="79"/>
      <c r="Z521" s="130"/>
      <c r="AB521" s="106"/>
    </row>
    <row r="522">
      <c r="C522" s="79"/>
      <c r="D522" s="79"/>
      <c r="E522" s="79"/>
      <c r="M522" s="79"/>
      <c r="R522" s="79"/>
      <c r="S522" s="79"/>
      <c r="V522" s="79"/>
      <c r="W522" s="79"/>
      <c r="Z522" s="130"/>
      <c r="AB522" s="106"/>
    </row>
    <row r="523">
      <c r="C523" s="79"/>
      <c r="D523" s="79"/>
      <c r="E523" s="79"/>
      <c r="M523" s="79"/>
      <c r="R523" s="79"/>
      <c r="S523" s="79"/>
      <c r="V523" s="79"/>
      <c r="W523" s="79"/>
      <c r="Z523" s="130"/>
      <c r="AB523" s="106"/>
    </row>
    <row r="524">
      <c r="C524" s="79"/>
      <c r="D524" s="79"/>
      <c r="E524" s="79"/>
      <c r="M524" s="79"/>
      <c r="R524" s="79"/>
      <c r="S524" s="79"/>
      <c r="V524" s="79"/>
      <c r="W524" s="79"/>
      <c r="Z524" s="130"/>
      <c r="AB524" s="106"/>
    </row>
    <row r="525">
      <c r="C525" s="79"/>
      <c r="D525" s="79"/>
      <c r="E525" s="79"/>
      <c r="M525" s="79"/>
      <c r="R525" s="79"/>
      <c r="S525" s="79"/>
      <c r="V525" s="79"/>
      <c r="W525" s="79"/>
      <c r="Z525" s="130"/>
      <c r="AB525" s="106"/>
    </row>
    <row r="526">
      <c r="C526" s="79"/>
      <c r="D526" s="79"/>
      <c r="E526" s="79"/>
      <c r="M526" s="79"/>
      <c r="R526" s="79"/>
      <c r="S526" s="79"/>
      <c r="V526" s="79"/>
      <c r="W526" s="79"/>
      <c r="Z526" s="130"/>
      <c r="AB526" s="106"/>
    </row>
    <row r="527">
      <c r="C527" s="79"/>
      <c r="D527" s="79"/>
      <c r="E527" s="79"/>
      <c r="M527" s="79"/>
      <c r="R527" s="79"/>
      <c r="S527" s="79"/>
      <c r="V527" s="79"/>
      <c r="W527" s="79"/>
      <c r="Z527" s="130"/>
      <c r="AB527" s="106"/>
    </row>
    <row r="528">
      <c r="C528" s="79"/>
      <c r="D528" s="79"/>
      <c r="E528" s="79"/>
      <c r="M528" s="79"/>
      <c r="R528" s="79"/>
      <c r="S528" s="79"/>
      <c r="V528" s="79"/>
      <c r="W528" s="79"/>
      <c r="Z528" s="130"/>
      <c r="AB528" s="106"/>
    </row>
    <row r="529">
      <c r="C529" s="79"/>
      <c r="D529" s="79"/>
      <c r="E529" s="79"/>
      <c r="M529" s="79"/>
      <c r="R529" s="79"/>
      <c r="S529" s="79"/>
      <c r="V529" s="79"/>
      <c r="W529" s="79"/>
      <c r="Z529" s="130"/>
      <c r="AB529" s="106"/>
    </row>
    <row r="530">
      <c r="C530" s="79"/>
      <c r="D530" s="79"/>
      <c r="E530" s="79"/>
      <c r="M530" s="79"/>
      <c r="R530" s="79"/>
      <c r="S530" s="79"/>
      <c r="V530" s="79"/>
      <c r="W530" s="79"/>
      <c r="Z530" s="130"/>
      <c r="AB530" s="106"/>
    </row>
    <row r="531">
      <c r="C531" s="79"/>
      <c r="D531" s="79"/>
      <c r="E531" s="79"/>
      <c r="M531" s="79"/>
      <c r="R531" s="79"/>
      <c r="S531" s="79"/>
      <c r="V531" s="79"/>
      <c r="W531" s="79"/>
      <c r="Z531" s="130"/>
      <c r="AB531" s="106"/>
    </row>
    <row r="532">
      <c r="C532" s="79"/>
      <c r="D532" s="79"/>
      <c r="E532" s="79"/>
      <c r="M532" s="79"/>
      <c r="R532" s="79"/>
      <c r="S532" s="79"/>
      <c r="V532" s="79"/>
      <c r="W532" s="79"/>
      <c r="Z532" s="130"/>
      <c r="AB532" s="106"/>
    </row>
    <row r="533">
      <c r="C533" s="79"/>
      <c r="D533" s="79"/>
      <c r="E533" s="79"/>
      <c r="M533" s="79"/>
      <c r="R533" s="79"/>
      <c r="S533" s="79"/>
      <c r="V533" s="79"/>
      <c r="W533" s="79"/>
      <c r="Z533" s="130"/>
      <c r="AB533" s="106"/>
    </row>
    <row r="534">
      <c r="C534" s="79"/>
      <c r="D534" s="79"/>
      <c r="E534" s="79"/>
      <c r="M534" s="79"/>
      <c r="R534" s="79"/>
      <c r="S534" s="79"/>
      <c r="V534" s="79"/>
      <c r="W534" s="79"/>
      <c r="Z534" s="130"/>
      <c r="AB534" s="106"/>
    </row>
    <row r="535">
      <c r="C535" s="79"/>
      <c r="D535" s="79"/>
      <c r="E535" s="79"/>
      <c r="M535" s="79"/>
      <c r="R535" s="79"/>
      <c r="S535" s="79"/>
      <c r="V535" s="79"/>
      <c r="W535" s="79"/>
      <c r="Z535" s="130"/>
      <c r="AB535" s="106"/>
    </row>
    <row r="536">
      <c r="C536" s="79"/>
      <c r="D536" s="79"/>
      <c r="E536" s="79"/>
      <c r="M536" s="79"/>
      <c r="R536" s="79"/>
      <c r="S536" s="79"/>
      <c r="V536" s="79"/>
      <c r="W536" s="79"/>
      <c r="Z536" s="130"/>
      <c r="AB536" s="106"/>
    </row>
    <row r="537">
      <c r="C537" s="79"/>
      <c r="D537" s="79"/>
      <c r="E537" s="79"/>
      <c r="M537" s="79"/>
      <c r="R537" s="79"/>
      <c r="S537" s="79"/>
      <c r="V537" s="79"/>
      <c r="W537" s="79"/>
      <c r="Z537" s="130"/>
      <c r="AB537" s="106"/>
    </row>
    <row r="538">
      <c r="C538" s="79"/>
      <c r="D538" s="79"/>
      <c r="E538" s="79"/>
      <c r="M538" s="79"/>
      <c r="R538" s="79"/>
      <c r="S538" s="79"/>
      <c r="V538" s="79"/>
      <c r="W538" s="79"/>
      <c r="Z538" s="130"/>
      <c r="AB538" s="106"/>
    </row>
    <row r="539">
      <c r="C539" s="79"/>
      <c r="D539" s="79"/>
      <c r="E539" s="79"/>
      <c r="M539" s="79"/>
      <c r="R539" s="79"/>
      <c r="S539" s="79"/>
      <c r="V539" s="79"/>
      <c r="W539" s="79"/>
      <c r="Z539" s="130"/>
      <c r="AB539" s="106"/>
    </row>
    <row r="540">
      <c r="C540" s="79"/>
      <c r="D540" s="79"/>
      <c r="E540" s="79"/>
      <c r="M540" s="79"/>
      <c r="R540" s="79"/>
      <c r="S540" s="79"/>
      <c r="V540" s="79"/>
      <c r="W540" s="79"/>
      <c r="Z540" s="130"/>
      <c r="AB540" s="106"/>
    </row>
    <row r="541">
      <c r="C541" s="79"/>
      <c r="D541" s="79"/>
      <c r="E541" s="79"/>
      <c r="M541" s="79"/>
      <c r="R541" s="79"/>
      <c r="S541" s="79"/>
      <c r="V541" s="79"/>
      <c r="W541" s="79"/>
      <c r="Z541" s="130"/>
      <c r="AB541" s="106"/>
    </row>
    <row r="542">
      <c r="C542" s="79"/>
      <c r="D542" s="79"/>
      <c r="E542" s="79"/>
      <c r="M542" s="79"/>
      <c r="R542" s="79"/>
      <c r="S542" s="79"/>
      <c r="V542" s="79"/>
      <c r="W542" s="79"/>
      <c r="Z542" s="130"/>
      <c r="AB542" s="106"/>
    </row>
    <row r="543">
      <c r="C543" s="79"/>
      <c r="D543" s="79"/>
      <c r="E543" s="79"/>
      <c r="M543" s="79"/>
      <c r="R543" s="79"/>
      <c r="S543" s="79"/>
      <c r="V543" s="79"/>
      <c r="W543" s="79"/>
      <c r="Z543" s="130"/>
      <c r="AB543" s="106"/>
    </row>
    <row r="544">
      <c r="C544" s="79"/>
      <c r="D544" s="79"/>
      <c r="E544" s="79"/>
      <c r="M544" s="79"/>
      <c r="R544" s="79"/>
      <c r="S544" s="79"/>
      <c r="V544" s="79"/>
      <c r="W544" s="79"/>
      <c r="Z544" s="130"/>
      <c r="AB544" s="106"/>
    </row>
    <row r="545">
      <c r="C545" s="79"/>
      <c r="D545" s="79"/>
      <c r="E545" s="79"/>
      <c r="M545" s="79"/>
      <c r="R545" s="79"/>
      <c r="S545" s="79"/>
      <c r="V545" s="79"/>
      <c r="W545" s="79"/>
      <c r="Z545" s="130"/>
      <c r="AB545" s="106"/>
    </row>
    <row r="546">
      <c r="C546" s="79"/>
      <c r="D546" s="79"/>
      <c r="E546" s="79"/>
      <c r="M546" s="79"/>
      <c r="R546" s="79"/>
      <c r="S546" s="79"/>
      <c r="V546" s="79"/>
      <c r="W546" s="79"/>
      <c r="Z546" s="130"/>
      <c r="AB546" s="106"/>
    </row>
    <row r="547">
      <c r="C547" s="79"/>
      <c r="D547" s="79"/>
      <c r="E547" s="79"/>
      <c r="M547" s="79"/>
      <c r="R547" s="79"/>
      <c r="S547" s="79"/>
      <c r="V547" s="79"/>
      <c r="W547" s="79"/>
      <c r="Z547" s="130"/>
      <c r="AB547" s="106"/>
    </row>
    <row r="548">
      <c r="C548" s="79"/>
      <c r="D548" s="79"/>
      <c r="E548" s="79"/>
      <c r="M548" s="79"/>
      <c r="R548" s="79"/>
      <c r="S548" s="79"/>
      <c r="V548" s="79"/>
      <c r="W548" s="79"/>
      <c r="Z548" s="130"/>
      <c r="AB548" s="106"/>
    </row>
    <row r="549">
      <c r="C549" s="79"/>
      <c r="D549" s="79"/>
      <c r="E549" s="79"/>
      <c r="M549" s="79"/>
      <c r="R549" s="79"/>
      <c r="S549" s="79"/>
      <c r="V549" s="79"/>
      <c r="W549" s="79"/>
      <c r="Z549" s="130"/>
      <c r="AB549" s="106"/>
    </row>
    <row r="550">
      <c r="C550" s="79"/>
      <c r="D550" s="79"/>
      <c r="E550" s="79"/>
      <c r="M550" s="79"/>
      <c r="R550" s="79"/>
      <c r="S550" s="79"/>
      <c r="V550" s="79"/>
      <c r="W550" s="79"/>
      <c r="Z550" s="130"/>
      <c r="AB550" s="106"/>
    </row>
    <row r="551">
      <c r="C551" s="79"/>
      <c r="D551" s="79"/>
      <c r="E551" s="79"/>
      <c r="M551" s="79"/>
      <c r="R551" s="79"/>
      <c r="S551" s="79"/>
      <c r="V551" s="79"/>
      <c r="W551" s="79"/>
      <c r="Z551" s="130"/>
      <c r="AB551" s="106"/>
    </row>
    <row r="552">
      <c r="C552" s="79"/>
      <c r="D552" s="79"/>
      <c r="E552" s="79"/>
      <c r="M552" s="79"/>
      <c r="R552" s="79"/>
      <c r="S552" s="79"/>
      <c r="V552" s="79"/>
      <c r="W552" s="79"/>
      <c r="Z552" s="130"/>
      <c r="AB552" s="106"/>
    </row>
    <row r="553">
      <c r="C553" s="79"/>
      <c r="D553" s="79"/>
      <c r="E553" s="79"/>
      <c r="M553" s="79"/>
      <c r="R553" s="79"/>
      <c r="S553" s="79"/>
      <c r="V553" s="79"/>
      <c r="W553" s="79"/>
      <c r="Z553" s="130"/>
      <c r="AB553" s="106"/>
    </row>
    <row r="554">
      <c r="C554" s="79"/>
      <c r="D554" s="79"/>
      <c r="E554" s="79"/>
      <c r="M554" s="79"/>
      <c r="R554" s="79"/>
      <c r="S554" s="79"/>
      <c r="V554" s="79"/>
      <c r="W554" s="79"/>
      <c r="Z554" s="130"/>
      <c r="AB554" s="106"/>
    </row>
    <row r="555">
      <c r="C555" s="79"/>
      <c r="D555" s="79"/>
      <c r="E555" s="79"/>
      <c r="M555" s="79"/>
      <c r="R555" s="79"/>
      <c r="S555" s="79"/>
      <c r="V555" s="79"/>
      <c r="W555" s="79"/>
      <c r="Z555" s="130"/>
      <c r="AB555" s="106"/>
    </row>
    <row r="556">
      <c r="C556" s="79"/>
      <c r="D556" s="79"/>
      <c r="E556" s="79"/>
      <c r="M556" s="79"/>
      <c r="R556" s="79"/>
      <c r="S556" s="79"/>
      <c r="V556" s="79"/>
      <c r="W556" s="79"/>
      <c r="Z556" s="130"/>
      <c r="AB556" s="106"/>
    </row>
    <row r="557">
      <c r="C557" s="79"/>
      <c r="D557" s="79"/>
      <c r="E557" s="79"/>
      <c r="M557" s="79"/>
      <c r="R557" s="79"/>
      <c r="S557" s="79"/>
      <c r="V557" s="79"/>
      <c r="W557" s="79"/>
      <c r="Z557" s="130"/>
      <c r="AB557" s="106"/>
    </row>
    <row r="558">
      <c r="C558" s="79"/>
      <c r="D558" s="79"/>
      <c r="E558" s="79"/>
      <c r="M558" s="79"/>
      <c r="R558" s="79"/>
      <c r="S558" s="79"/>
      <c r="V558" s="79"/>
      <c r="W558" s="79"/>
      <c r="Z558" s="130"/>
      <c r="AB558" s="106"/>
    </row>
    <row r="559">
      <c r="C559" s="79"/>
      <c r="D559" s="79"/>
      <c r="E559" s="79"/>
      <c r="M559" s="79"/>
      <c r="R559" s="79"/>
      <c r="S559" s="79"/>
      <c r="V559" s="79"/>
      <c r="W559" s="79"/>
      <c r="Z559" s="130"/>
      <c r="AB559" s="106"/>
    </row>
    <row r="560">
      <c r="C560" s="79"/>
      <c r="D560" s="79"/>
      <c r="E560" s="79"/>
      <c r="M560" s="79"/>
      <c r="R560" s="79"/>
      <c r="S560" s="79"/>
      <c r="V560" s="79"/>
      <c r="W560" s="79"/>
      <c r="Z560" s="130"/>
      <c r="AB560" s="106"/>
    </row>
    <row r="561">
      <c r="C561" s="79"/>
      <c r="D561" s="79"/>
      <c r="E561" s="79"/>
      <c r="M561" s="79"/>
      <c r="R561" s="79"/>
      <c r="S561" s="79"/>
      <c r="V561" s="79"/>
      <c r="W561" s="79"/>
      <c r="Z561" s="130"/>
      <c r="AB561" s="106"/>
    </row>
    <row r="562">
      <c r="C562" s="79"/>
      <c r="D562" s="79"/>
      <c r="E562" s="79"/>
      <c r="M562" s="79"/>
      <c r="R562" s="79"/>
      <c r="S562" s="79"/>
      <c r="V562" s="79"/>
      <c r="W562" s="79"/>
      <c r="Z562" s="130"/>
      <c r="AB562" s="106"/>
    </row>
    <row r="563">
      <c r="C563" s="79"/>
      <c r="D563" s="79"/>
      <c r="E563" s="79"/>
      <c r="M563" s="79"/>
      <c r="R563" s="79"/>
      <c r="S563" s="79"/>
      <c r="V563" s="79"/>
      <c r="W563" s="79"/>
      <c r="Z563" s="130"/>
      <c r="AB563" s="106"/>
    </row>
    <row r="564">
      <c r="C564" s="79"/>
      <c r="D564" s="79"/>
      <c r="E564" s="79"/>
      <c r="M564" s="79"/>
      <c r="R564" s="79"/>
      <c r="S564" s="79"/>
      <c r="V564" s="79"/>
      <c r="W564" s="79"/>
      <c r="Z564" s="130"/>
      <c r="AB564" s="106"/>
    </row>
    <row r="565">
      <c r="C565" s="79"/>
      <c r="D565" s="79"/>
      <c r="E565" s="79"/>
      <c r="M565" s="79"/>
      <c r="R565" s="79"/>
      <c r="S565" s="79"/>
      <c r="V565" s="79"/>
      <c r="W565" s="79"/>
      <c r="Z565" s="130"/>
      <c r="AB565" s="106"/>
    </row>
    <row r="566">
      <c r="C566" s="79"/>
      <c r="D566" s="79"/>
      <c r="E566" s="79"/>
      <c r="M566" s="79"/>
      <c r="R566" s="79"/>
      <c r="S566" s="79"/>
      <c r="V566" s="79"/>
      <c r="W566" s="79"/>
      <c r="Z566" s="130"/>
      <c r="AB566" s="106"/>
    </row>
    <row r="567">
      <c r="C567" s="79"/>
      <c r="D567" s="79"/>
      <c r="E567" s="79"/>
      <c r="M567" s="79"/>
      <c r="R567" s="79"/>
      <c r="S567" s="79"/>
      <c r="V567" s="79"/>
      <c r="W567" s="79"/>
      <c r="Z567" s="130"/>
      <c r="AB567" s="106"/>
    </row>
    <row r="568">
      <c r="C568" s="79"/>
      <c r="D568" s="79"/>
      <c r="E568" s="79"/>
      <c r="M568" s="79"/>
      <c r="R568" s="79"/>
      <c r="S568" s="79"/>
      <c r="V568" s="79"/>
      <c r="W568" s="79"/>
      <c r="Z568" s="130"/>
      <c r="AB568" s="106"/>
    </row>
    <row r="569">
      <c r="C569" s="79"/>
      <c r="D569" s="79"/>
      <c r="E569" s="79"/>
      <c r="M569" s="79"/>
      <c r="R569" s="79"/>
      <c r="S569" s="79"/>
      <c r="V569" s="79"/>
      <c r="W569" s="79"/>
      <c r="Z569" s="130"/>
      <c r="AB569" s="106"/>
    </row>
    <row r="570">
      <c r="C570" s="79"/>
      <c r="D570" s="79"/>
      <c r="E570" s="79"/>
      <c r="M570" s="79"/>
      <c r="R570" s="79"/>
      <c r="S570" s="79"/>
      <c r="V570" s="79"/>
      <c r="W570" s="79"/>
      <c r="Z570" s="130"/>
      <c r="AB570" s="106"/>
    </row>
    <row r="571">
      <c r="C571" s="79"/>
      <c r="D571" s="79"/>
      <c r="E571" s="79"/>
      <c r="M571" s="79"/>
      <c r="R571" s="79"/>
      <c r="S571" s="79"/>
      <c r="V571" s="79"/>
      <c r="W571" s="79"/>
      <c r="Z571" s="130"/>
      <c r="AB571" s="106"/>
    </row>
    <row r="572">
      <c r="C572" s="79"/>
      <c r="D572" s="79"/>
      <c r="E572" s="79"/>
      <c r="M572" s="79"/>
      <c r="R572" s="79"/>
      <c r="S572" s="79"/>
      <c r="V572" s="79"/>
      <c r="W572" s="79"/>
      <c r="Z572" s="130"/>
      <c r="AB572" s="106"/>
    </row>
    <row r="573">
      <c r="C573" s="79"/>
      <c r="D573" s="79"/>
      <c r="E573" s="79"/>
      <c r="M573" s="79"/>
      <c r="R573" s="79"/>
      <c r="S573" s="79"/>
      <c r="V573" s="79"/>
      <c r="W573" s="79"/>
      <c r="Z573" s="130"/>
      <c r="AB573" s="106"/>
    </row>
    <row r="574">
      <c r="C574" s="79"/>
      <c r="D574" s="79"/>
      <c r="E574" s="79"/>
      <c r="M574" s="79"/>
      <c r="R574" s="79"/>
      <c r="S574" s="79"/>
      <c r="V574" s="79"/>
      <c r="W574" s="79"/>
      <c r="Z574" s="130"/>
      <c r="AB574" s="106"/>
    </row>
    <row r="575">
      <c r="C575" s="79"/>
      <c r="D575" s="79"/>
      <c r="E575" s="79"/>
      <c r="M575" s="79"/>
      <c r="R575" s="79"/>
      <c r="S575" s="79"/>
      <c r="V575" s="79"/>
      <c r="W575" s="79"/>
      <c r="Z575" s="130"/>
      <c r="AB575" s="106"/>
    </row>
    <row r="576">
      <c r="C576" s="79"/>
      <c r="D576" s="79"/>
      <c r="E576" s="79"/>
      <c r="M576" s="79"/>
      <c r="R576" s="79"/>
      <c r="S576" s="79"/>
      <c r="V576" s="79"/>
      <c r="W576" s="79"/>
      <c r="Z576" s="130"/>
      <c r="AB576" s="106"/>
    </row>
    <row r="577">
      <c r="C577" s="79"/>
      <c r="D577" s="79"/>
      <c r="E577" s="79"/>
      <c r="M577" s="79"/>
      <c r="R577" s="79"/>
      <c r="S577" s="79"/>
      <c r="V577" s="79"/>
      <c r="W577" s="79"/>
      <c r="Z577" s="130"/>
      <c r="AB577" s="106"/>
    </row>
    <row r="578">
      <c r="C578" s="79"/>
      <c r="D578" s="79"/>
      <c r="E578" s="79"/>
      <c r="M578" s="79"/>
      <c r="R578" s="79"/>
      <c r="S578" s="79"/>
      <c r="V578" s="79"/>
      <c r="W578" s="79"/>
      <c r="Z578" s="130"/>
      <c r="AB578" s="106"/>
    </row>
    <row r="579">
      <c r="C579" s="79"/>
      <c r="D579" s="79"/>
      <c r="E579" s="79"/>
      <c r="M579" s="79"/>
      <c r="R579" s="79"/>
      <c r="S579" s="79"/>
      <c r="V579" s="79"/>
      <c r="W579" s="79"/>
      <c r="Z579" s="130"/>
      <c r="AB579" s="106"/>
    </row>
    <row r="580">
      <c r="C580" s="79"/>
      <c r="D580" s="79"/>
      <c r="E580" s="79"/>
      <c r="M580" s="79"/>
      <c r="R580" s="79"/>
      <c r="S580" s="79"/>
      <c r="V580" s="79"/>
      <c r="W580" s="79"/>
      <c r="Z580" s="130"/>
      <c r="AB580" s="106"/>
    </row>
    <row r="581">
      <c r="C581" s="79"/>
      <c r="D581" s="79"/>
      <c r="E581" s="79"/>
      <c r="M581" s="79"/>
      <c r="R581" s="79"/>
      <c r="S581" s="79"/>
      <c r="V581" s="79"/>
      <c r="W581" s="79"/>
      <c r="Z581" s="130"/>
      <c r="AB581" s="106"/>
    </row>
    <row r="582">
      <c r="C582" s="79"/>
      <c r="D582" s="79"/>
      <c r="E582" s="79"/>
      <c r="M582" s="79"/>
      <c r="R582" s="79"/>
      <c r="S582" s="79"/>
      <c r="V582" s="79"/>
      <c r="W582" s="79"/>
      <c r="Z582" s="130"/>
      <c r="AB582" s="106"/>
    </row>
    <row r="583">
      <c r="C583" s="79"/>
      <c r="D583" s="79"/>
      <c r="E583" s="79"/>
      <c r="M583" s="79"/>
      <c r="R583" s="79"/>
      <c r="S583" s="79"/>
      <c r="V583" s="79"/>
      <c r="W583" s="79"/>
      <c r="Z583" s="130"/>
      <c r="AB583" s="106"/>
    </row>
    <row r="584">
      <c r="C584" s="79"/>
      <c r="D584" s="79"/>
      <c r="E584" s="79"/>
      <c r="M584" s="79"/>
      <c r="R584" s="79"/>
      <c r="S584" s="79"/>
      <c r="V584" s="79"/>
      <c r="W584" s="79"/>
      <c r="Z584" s="130"/>
      <c r="AB584" s="106"/>
    </row>
    <row r="585">
      <c r="C585" s="79"/>
      <c r="D585" s="79"/>
      <c r="E585" s="79"/>
      <c r="M585" s="79"/>
      <c r="R585" s="79"/>
      <c r="S585" s="79"/>
      <c r="V585" s="79"/>
      <c r="W585" s="79"/>
      <c r="Z585" s="130"/>
      <c r="AB585" s="106"/>
    </row>
    <row r="586">
      <c r="C586" s="79"/>
      <c r="D586" s="79"/>
      <c r="E586" s="79"/>
      <c r="M586" s="79"/>
      <c r="R586" s="79"/>
      <c r="S586" s="79"/>
      <c r="V586" s="79"/>
      <c r="W586" s="79"/>
      <c r="Z586" s="130"/>
      <c r="AB586" s="106"/>
    </row>
    <row r="587">
      <c r="C587" s="79"/>
      <c r="D587" s="79"/>
      <c r="E587" s="79"/>
      <c r="M587" s="79"/>
      <c r="R587" s="79"/>
      <c r="S587" s="79"/>
      <c r="V587" s="79"/>
      <c r="W587" s="79"/>
      <c r="Z587" s="130"/>
      <c r="AB587" s="106"/>
    </row>
    <row r="588">
      <c r="C588" s="79"/>
      <c r="D588" s="79"/>
      <c r="E588" s="79"/>
      <c r="M588" s="79"/>
      <c r="R588" s="79"/>
      <c r="S588" s="79"/>
      <c r="V588" s="79"/>
      <c r="W588" s="79"/>
      <c r="Z588" s="130"/>
      <c r="AB588" s="106"/>
    </row>
    <row r="589">
      <c r="C589" s="79"/>
      <c r="D589" s="79"/>
      <c r="E589" s="79"/>
      <c r="M589" s="79"/>
      <c r="R589" s="79"/>
      <c r="S589" s="79"/>
      <c r="V589" s="79"/>
      <c r="W589" s="79"/>
      <c r="Z589" s="130"/>
      <c r="AB589" s="106"/>
    </row>
    <row r="590">
      <c r="C590" s="79"/>
      <c r="D590" s="79"/>
      <c r="E590" s="79"/>
      <c r="M590" s="79"/>
      <c r="R590" s="79"/>
      <c r="S590" s="79"/>
      <c r="V590" s="79"/>
      <c r="W590" s="79"/>
      <c r="Z590" s="130"/>
      <c r="AB590" s="106"/>
    </row>
    <row r="591">
      <c r="C591" s="79"/>
      <c r="D591" s="79"/>
      <c r="E591" s="79"/>
      <c r="M591" s="79"/>
      <c r="R591" s="79"/>
      <c r="S591" s="79"/>
      <c r="V591" s="79"/>
      <c r="W591" s="79"/>
      <c r="Z591" s="130"/>
      <c r="AB591" s="106"/>
    </row>
    <row r="592">
      <c r="C592" s="79"/>
      <c r="D592" s="79"/>
      <c r="E592" s="79"/>
      <c r="M592" s="79"/>
      <c r="R592" s="79"/>
      <c r="S592" s="79"/>
      <c r="V592" s="79"/>
      <c r="W592" s="79"/>
      <c r="Z592" s="130"/>
      <c r="AB592" s="106"/>
    </row>
    <row r="593">
      <c r="C593" s="79"/>
      <c r="D593" s="79"/>
      <c r="E593" s="79"/>
      <c r="M593" s="79"/>
      <c r="R593" s="79"/>
      <c r="S593" s="79"/>
      <c r="V593" s="79"/>
      <c r="W593" s="79"/>
      <c r="Z593" s="130"/>
      <c r="AB593" s="106"/>
    </row>
    <row r="594">
      <c r="C594" s="79"/>
      <c r="D594" s="79"/>
      <c r="E594" s="79"/>
      <c r="M594" s="79"/>
      <c r="R594" s="79"/>
      <c r="S594" s="79"/>
      <c r="V594" s="79"/>
      <c r="W594" s="79"/>
      <c r="Z594" s="130"/>
      <c r="AB594" s="106"/>
    </row>
    <row r="595">
      <c r="C595" s="79"/>
      <c r="D595" s="79"/>
      <c r="E595" s="79"/>
      <c r="M595" s="79"/>
      <c r="R595" s="79"/>
      <c r="S595" s="79"/>
      <c r="V595" s="79"/>
      <c r="W595" s="79"/>
      <c r="Z595" s="130"/>
      <c r="AB595" s="106"/>
    </row>
    <row r="596">
      <c r="C596" s="79"/>
      <c r="D596" s="79"/>
      <c r="E596" s="79"/>
      <c r="M596" s="79"/>
      <c r="R596" s="79"/>
      <c r="S596" s="79"/>
      <c r="V596" s="79"/>
      <c r="W596" s="79"/>
      <c r="Z596" s="130"/>
      <c r="AB596" s="106"/>
    </row>
    <row r="597">
      <c r="C597" s="79"/>
      <c r="D597" s="79"/>
      <c r="E597" s="79"/>
      <c r="M597" s="79"/>
      <c r="R597" s="79"/>
      <c r="S597" s="79"/>
      <c r="V597" s="79"/>
      <c r="W597" s="79"/>
      <c r="Z597" s="130"/>
      <c r="AB597" s="106"/>
    </row>
    <row r="598">
      <c r="C598" s="79"/>
      <c r="D598" s="79"/>
      <c r="E598" s="79"/>
      <c r="M598" s="79"/>
      <c r="R598" s="79"/>
      <c r="S598" s="79"/>
      <c r="V598" s="79"/>
      <c r="W598" s="79"/>
      <c r="Z598" s="130"/>
      <c r="AB598" s="106"/>
    </row>
    <row r="599">
      <c r="C599" s="79"/>
      <c r="D599" s="79"/>
      <c r="E599" s="79"/>
      <c r="M599" s="79"/>
      <c r="R599" s="79"/>
      <c r="S599" s="79"/>
      <c r="V599" s="79"/>
      <c r="W599" s="79"/>
      <c r="Z599" s="130"/>
      <c r="AB599" s="106"/>
    </row>
    <row r="600">
      <c r="C600" s="79"/>
      <c r="D600" s="79"/>
      <c r="E600" s="79"/>
      <c r="M600" s="79"/>
      <c r="R600" s="79"/>
      <c r="S600" s="79"/>
      <c r="V600" s="79"/>
      <c r="W600" s="79"/>
      <c r="Z600" s="130"/>
      <c r="AB600" s="106"/>
    </row>
    <row r="601">
      <c r="C601" s="79"/>
      <c r="D601" s="79"/>
      <c r="E601" s="79"/>
      <c r="M601" s="79"/>
      <c r="R601" s="79"/>
      <c r="S601" s="79"/>
      <c r="V601" s="79"/>
      <c r="W601" s="79"/>
      <c r="Z601" s="130"/>
      <c r="AB601" s="106"/>
    </row>
    <row r="602">
      <c r="C602" s="79"/>
      <c r="D602" s="79"/>
      <c r="E602" s="79"/>
      <c r="M602" s="79"/>
      <c r="R602" s="79"/>
      <c r="S602" s="79"/>
      <c r="V602" s="79"/>
      <c r="W602" s="79"/>
      <c r="Z602" s="130"/>
      <c r="AB602" s="106"/>
    </row>
    <row r="603">
      <c r="C603" s="79"/>
      <c r="D603" s="79"/>
      <c r="E603" s="79"/>
      <c r="M603" s="79"/>
      <c r="R603" s="79"/>
      <c r="S603" s="79"/>
      <c r="V603" s="79"/>
      <c r="W603" s="79"/>
      <c r="Z603" s="130"/>
      <c r="AB603" s="106"/>
    </row>
    <row r="604">
      <c r="C604" s="79"/>
      <c r="D604" s="79"/>
      <c r="E604" s="79"/>
      <c r="M604" s="79"/>
      <c r="R604" s="79"/>
      <c r="S604" s="79"/>
      <c r="V604" s="79"/>
      <c r="W604" s="79"/>
      <c r="Z604" s="130"/>
      <c r="AB604" s="106"/>
    </row>
    <row r="605">
      <c r="C605" s="79"/>
      <c r="D605" s="79"/>
      <c r="E605" s="79"/>
      <c r="M605" s="79"/>
      <c r="R605" s="79"/>
      <c r="S605" s="79"/>
      <c r="V605" s="79"/>
      <c r="W605" s="79"/>
      <c r="Z605" s="130"/>
      <c r="AB605" s="106"/>
    </row>
    <row r="606">
      <c r="C606" s="79"/>
      <c r="D606" s="79"/>
      <c r="E606" s="79"/>
      <c r="M606" s="79"/>
      <c r="R606" s="79"/>
      <c r="S606" s="79"/>
      <c r="V606" s="79"/>
      <c r="W606" s="79"/>
      <c r="Z606" s="130"/>
      <c r="AB606" s="106"/>
    </row>
    <row r="607">
      <c r="C607" s="79"/>
      <c r="D607" s="79"/>
      <c r="E607" s="79"/>
      <c r="M607" s="79"/>
      <c r="R607" s="79"/>
      <c r="S607" s="79"/>
      <c r="V607" s="79"/>
      <c r="W607" s="79"/>
      <c r="Z607" s="130"/>
      <c r="AB607" s="106"/>
    </row>
    <row r="608">
      <c r="C608" s="79"/>
      <c r="D608" s="79"/>
      <c r="E608" s="79"/>
      <c r="M608" s="79"/>
      <c r="R608" s="79"/>
      <c r="S608" s="79"/>
      <c r="V608" s="79"/>
      <c r="W608" s="79"/>
      <c r="Z608" s="130"/>
      <c r="AB608" s="106"/>
    </row>
    <row r="609">
      <c r="C609" s="79"/>
      <c r="D609" s="79"/>
      <c r="E609" s="79"/>
      <c r="M609" s="79"/>
      <c r="R609" s="79"/>
      <c r="S609" s="79"/>
      <c r="V609" s="79"/>
      <c r="W609" s="79"/>
      <c r="Z609" s="130"/>
      <c r="AB609" s="106"/>
    </row>
    <row r="610">
      <c r="C610" s="79"/>
      <c r="D610" s="79"/>
      <c r="E610" s="79"/>
      <c r="M610" s="79"/>
      <c r="R610" s="79"/>
      <c r="S610" s="79"/>
      <c r="V610" s="79"/>
      <c r="W610" s="79"/>
      <c r="Z610" s="130"/>
      <c r="AB610" s="106"/>
    </row>
    <row r="611">
      <c r="C611" s="79"/>
      <c r="D611" s="79"/>
      <c r="E611" s="79"/>
      <c r="M611" s="79"/>
      <c r="R611" s="79"/>
      <c r="S611" s="79"/>
      <c r="V611" s="79"/>
      <c r="W611" s="79"/>
      <c r="Z611" s="130"/>
      <c r="AB611" s="106"/>
    </row>
    <row r="612">
      <c r="C612" s="79"/>
      <c r="D612" s="79"/>
      <c r="E612" s="79"/>
      <c r="M612" s="79"/>
      <c r="R612" s="79"/>
      <c r="S612" s="79"/>
      <c r="V612" s="79"/>
      <c r="W612" s="79"/>
      <c r="Z612" s="130"/>
      <c r="AB612" s="106"/>
    </row>
    <row r="613">
      <c r="C613" s="79"/>
      <c r="D613" s="79"/>
      <c r="E613" s="79"/>
      <c r="M613" s="79"/>
      <c r="R613" s="79"/>
      <c r="S613" s="79"/>
      <c r="V613" s="79"/>
      <c r="W613" s="79"/>
      <c r="Z613" s="130"/>
      <c r="AB613" s="106"/>
    </row>
    <row r="614">
      <c r="C614" s="79"/>
      <c r="D614" s="79"/>
      <c r="E614" s="79"/>
      <c r="M614" s="79"/>
      <c r="R614" s="79"/>
      <c r="S614" s="79"/>
      <c r="V614" s="79"/>
      <c r="W614" s="79"/>
      <c r="Z614" s="130"/>
      <c r="AB614" s="106"/>
    </row>
    <row r="615">
      <c r="C615" s="79"/>
      <c r="D615" s="79"/>
      <c r="E615" s="79"/>
      <c r="M615" s="79"/>
      <c r="R615" s="79"/>
      <c r="S615" s="79"/>
      <c r="V615" s="79"/>
      <c r="W615" s="79"/>
      <c r="Z615" s="130"/>
      <c r="AB615" s="106"/>
    </row>
    <row r="616">
      <c r="C616" s="79"/>
      <c r="D616" s="79"/>
      <c r="E616" s="79"/>
      <c r="M616" s="79"/>
      <c r="R616" s="79"/>
      <c r="S616" s="79"/>
      <c r="V616" s="79"/>
      <c r="W616" s="79"/>
      <c r="Z616" s="130"/>
      <c r="AB616" s="106"/>
    </row>
    <row r="617">
      <c r="C617" s="79"/>
      <c r="D617" s="79"/>
      <c r="E617" s="79"/>
      <c r="M617" s="79"/>
      <c r="R617" s="79"/>
      <c r="S617" s="79"/>
      <c r="V617" s="79"/>
      <c r="W617" s="79"/>
      <c r="Z617" s="130"/>
      <c r="AB617" s="106"/>
    </row>
    <row r="618">
      <c r="C618" s="79"/>
      <c r="D618" s="79"/>
      <c r="E618" s="79"/>
      <c r="M618" s="79"/>
      <c r="R618" s="79"/>
      <c r="S618" s="79"/>
      <c r="V618" s="79"/>
      <c r="W618" s="79"/>
      <c r="Z618" s="130"/>
      <c r="AB618" s="106"/>
    </row>
    <row r="619">
      <c r="C619" s="79"/>
      <c r="D619" s="79"/>
      <c r="E619" s="79"/>
      <c r="M619" s="79"/>
      <c r="R619" s="79"/>
      <c r="S619" s="79"/>
      <c r="V619" s="79"/>
      <c r="W619" s="79"/>
      <c r="Z619" s="130"/>
      <c r="AB619" s="106"/>
    </row>
    <row r="620">
      <c r="C620" s="79"/>
      <c r="D620" s="79"/>
      <c r="E620" s="79"/>
      <c r="M620" s="79"/>
      <c r="R620" s="79"/>
      <c r="S620" s="79"/>
      <c r="V620" s="79"/>
      <c r="W620" s="79"/>
      <c r="Z620" s="130"/>
      <c r="AB620" s="106"/>
    </row>
    <row r="621">
      <c r="C621" s="79"/>
      <c r="D621" s="79"/>
      <c r="E621" s="79"/>
      <c r="M621" s="79"/>
      <c r="R621" s="79"/>
      <c r="S621" s="79"/>
      <c r="V621" s="79"/>
      <c r="W621" s="79"/>
      <c r="Z621" s="130"/>
      <c r="AB621" s="106"/>
    </row>
    <row r="622">
      <c r="C622" s="79"/>
      <c r="D622" s="79"/>
      <c r="E622" s="79"/>
      <c r="M622" s="79"/>
      <c r="R622" s="79"/>
      <c r="S622" s="79"/>
      <c r="V622" s="79"/>
      <c r="W622" s="79"/>
      <c r="Z622" s="130"/>
      <c r="AB622" s="106"/>
    </row>
    <row r="623">
      <c r="C623" s="79"/>
      <c r="D623" s="79"/>
      <c r="E623" s="79"/>
      <c r="M623" s="79"/>
      <c r="R623" s="79"/>
      <c r="S623" s="79"/>
      <c r="V623" s="79"/>
      <c r="W623" s="79"/>
      <c r="Z623" s="130"/>
      <c r="AB623" s="106"/>
    </row>
    <row r="624">
      <c r="C624" s="79"/>
      <c r="D624" s="79"/>
      <c r="E624" s="79"/>
      <c r="M624" s="79"/>
      <c r="R624" s="79"/>
      <c r="S624" s="79"/>
      <c r="V624" s="79"/>
      <c r="W624" s="79"/>
      <c r="Z624" s="130"/>
      <c r="AB624" s="106"/>
    </row>
    <row r="625">
      <c r="C625" s="79"/>
      <c r="D625" s="79"/>
      <c r="E625" s="79"/>
      <c r="M625" s="79"/>
      <c r="R625" s="79"/>
      <c r="S625" s="79"/>
      <c r="V625" s="79"/>
      <c r="W625" s="79"/>
      <c r="Z625" s="130"/>
      <c r="AB625" s="106"/>
    </row>
    <row r="626">
      <c r="C626" s="79"/>
      <c r="D626" s="79"/>
      <c r="E626" s="79"/>
      <c r="M626" s="79"/>
      <c r="R626" s="79"/>
      <c r="S626" s="79"/>
      <c r="V626" s="79"/>
      <c r="W626" s="79"/>
      <c r="Z626" s="130"/>
      <c r="AB626" s="106"/>
    </row>
    <row r="627">
      <c r="C627" s="79"/>
      <c r="D627" s="79"/>
      <c r="E627" s="79"/>
      <c r="M627" s="79"/>
      <c r="R627" s="79"/>
      <c r="S627" s="79"/>
      <c r="V627" s="79"/>
      <c r="W627" s="79"/>
      <c r="Z627" s="130"/>
      <c r="AB627" s="106"/>
    </row>
    <row r="628">
      <c r="C628" s="79"/>
      <c r="D628" s="79"/>
      <c r="E628" s="79"/>
      <c r="M628" s="79"/>
      <c r="R628" s="79"/>
      <c r="S628" s="79"/>
      <c r="V628" s="79"/>
      <c r="W628" s="79"/>
      <c r="Z628" s="130"/>
      <c r="AB628" s="106"/>
    </row>
    <row r="629">
      <c r="C629" s="79"/>
      <c r="D629" s="79"/>
      <c r="E629" s="79"/>
      <c r="M629" s="79"/>
      <c r="R629" s="79"/>
      <c r="S629" s="79"/>
      <c r="V629" s="79"/>
      <c r="W629" s="79"/>
      <c r="Z629" s="130"/>
      <c r="AB629" s="106"/>
    </row>
    <row r="630">
      <c r="C630" s="79"/>
      <c r="D630" s="79"/>
      <c r="E630" s="79"/>
      <c r="M630" s="79"/>
      <c r="R630" s="79"/>
      <c r="S630" s="79"/>
      <c r="V630" s="79"/>
      <c r="W630" s="79"/>
      <c r="Z630" s="130"/>
      <c r="AB630" s="106"/>
    </row>
    <row r="631">
      <c r="C631" s="79"/>
      <c r="D631" s="79"/>
      <c r="E631" s="79"/>
      <c r="M631" s="79"/>
      <c r="R631" s="79"/>
      <c r="S631" s="79"/>
      <c r="V631" s="79"/>
      <c r="W631" s="79"/>
      <c r="Z631" s="130"/>
      <c r="AB631" s="106"/>
    </row>
    <row r="632">
      <c r="C632" s="79"/>
      <c r="D632" s="79"/>
      <c r="E632" s="79"/>
      <c r="M632" s="79"/>
      <c r="R632" s="79"/>
      <c r="S632" s="79"/>
      <c r="V632" s="79"/>
      <c r="W632" s="79"/>
      <c r="Z632" s="130"/>
      <c r="AB632" s="106"/>
    </row>
    <row r="633">
      <c r="C633" s="79"/>
      <c r="D633" s="79"/>
      <c r="E633" s="79"/>
      <c r="M633" s="79"/>
      <c r="R633" s="79"/>
      <c r="S633" s="79"/>
      <c r="V633" s="79"/>
      <c r="W633" s="79"/>
      <c r="Z633" s="130"/>
      <c r="AB633" s="106"/>
    </row>
    <row r="634">
      <c r="C634" s="79"/>
      <c r="D634" s="79"/>
      <c r="E634" s="79"/>
      <c r="M634" s="79"/>
      <c r="R634" s="79"/>
      <c r="S634" s="79"/>
      <c r="V634" s="79"/>
      <c r="W634" s="79"/>
      <c r="Z634" s="130"/>
      <c r="AB634" s="106"/>
    </row>
    <row r="635">
      <c r="C635" s="79"/>
      <c r="D635" s="79"/>
      <c r="E635" s="79"/>
      <c r="M635" s="79"/>
      <c r="R635" s="79"/>
      <c r="S635" s="79"/>
      <c r="V635" s="79"/>
      <c r="W635" s="79"/>
      <c r="Z635" s="130"/>
      <c r="AB635" s="106"/>
    </row>
    <row r="636">
      <c r="C636" s="79"/>
      <c r="D636" s="79"/>
      <c r="E636" s="79"/>
      <c r="M636" s="79"/>
      <c r="R636" s="79"/>
      <c r="S636" s="79"/>
      <c r="V636" s="79"/>
      <c r="W636" s="79"/>
      <c r="Z636" s="130"/>
      <c r="AB636" s="106"/>
    </row>
    <row r="637">
      <c r="C637" s="79"/>
      <c r="D637" s="79"/>
      <c r="E637" s="79"/>
      <c r="M637" s="79"/>
      <c r="R637" s="79"/>
      <c r="S637" s="79"/>
      <c r="V637" s="79"/>
      <c r="W637" s="79"/>
      <c r="Z637" s="130"/>
      <c r="AB637" s="106"/>
    </row>
    <row r="638">
      <c r="C638" s="79"/>
      <c r="D638" s="79"/>
      <c r="E638" s="79"/>
      <c r="M638" s="79"/>
      <c r="R638" s="79"/>
      <c r="S638" s="79"/>
      <c r="V638" s="79"/>
      <c r="W638" s="79"/>
      <c r="Z638" s="130"/>
      <c r="AB638" s="106"/>
    </row>
    <row r="639">
      <c r="C639" s="79"/>
      <c r="D639" s="79"/>
      <c r="E639" s="79"/>
      <c r="M639" s="79"/>
      <c r="R639" s="79"/>
      <c r="S639" s="79"/>
      <c r="V639" s="79"/>
      <c r="W639" s="79"/>
      <c r="Z639" s="130"/>
      <c r="AB639" s="106"/>
    </row>
    <row r="640">
      <c r="C640" s="79"/>
      <c r="D640" s="79"/>
      <c r="E640" s="79"/>
      <c r="M640" s="79"/>
      <c r="R640" s="79"/>
      <c r="S640" s="79"/>
      <c r="V640" s="79"/>
      <c r="W640" s="79"/>
      <c r="Z640" s="130"/>
      <c r="AB640" s="106"/>
    </row>
    <row r="641">
      <c r="C641" s="79"/>
      <c r="D641" s="79"/>
      <c r="E641" s="79"/>
      <c r="M641" s="79"/>
      <c r="R641" s="79"/>
      <c r="S641" s="79"/>
      <c r="V641" s="79"/>
      <c r="W641" s="79"/>
      <c r="Z641" s="130"/>
      <c r="AB641" s="106"/>
    </row>
    <row r="642">
      <c r="C642" s="79"/>
      <c r="D642" s="79"/>
      <c r="E642" s="79"/>
      <c r="M642" s="79"/>
      <c r="R642" s="79"/>
      <c r="S642" s="79"/>
      <c r="V642" s="79"/>
      <c r="W642" s="79"/>
      <c r="Z642" s="130"/>
      <c r="AB642" s="106"/>
    </row>
    <row r="643">
      <c r="C643" s="79"/>
      <c r="D643" s="79"/>
      <c r="E643" s="79"/>
      <c r="M643" s="79"/>
      <c r="R643" s="79"/>
      <c r="S643" s="79"/>
      <c r="V643" s="79"/>
      <c r="W643" s="79"/>
      <c r="Z643" s="130"/>
      <c r="AB643" s="106"/>
    </row>
    <row r="644">
      <c r="C644" s="79"/>
      <c r="D644" s="79"/>
      <c r="E644" s="79"/>
      <c r="M644" s="79"/>
      <c r="R644" s="79"/>
      <c r="S644" s="79"/>
      <c r="V644" s="79"/>
      <c r="W644" s="79"/>
      <c r="Z644" s="130"/>
      <c r="AB644" s="106"/>
    </row>
    <row r="645">
      <c r="C645" s="79"/>
      <c r="D645" s="79"/>
      <c r="E645" s="79"/>
      <c r="M645" s="79"/>
      <c r="R645" s="79"/>
      <c r="S645" s="79"/>
      <c r="V645" s="79"/>
      <c r="W645" s="79"/>
      <c r="Z645" s="130"/>
      <c r="AB645" s="106"/>
    </row>
    <row r="646">
      <c r="C646" s="79"/>
      <c r="D646" s="79"/>
      <c r="E646" s="79"/>
      <c r="M646" s="79"/>
      <c r="R646" s="79"/>
      <c r="S646" s="79"/>
      <c r="V646" s="79"/>
      <c r="W646" s="79"/>
      <c r="Z646" s="130"/>
      <c r="AB646" s="106"/>
    </row>
    <row r="647">
      <c r="C647" s="79"/>
      <c r="D647" s="79"/>
      <c r="E647" s="79"/>
      <c r="M647" s="79"/>
      <c r="R647" s="79"/>
      <c r="S647" s="79"/>
      <c r="V647" s="79"/>
      <c r="W647" s="79"/>
      <c r="Z647" s="130"/>
      <c r="AB647" s="106"/>
    </row>
    <row r="648">
      <c r="C648" s="79"/>
      <c r="D648" s="79"/>
      <c r="E648" s="79"/>
      <c r="M648" s="79"/>
      <c r="R648" s="79"/>
      <c r="S648" s="79"/>
      <c r="V648" s="79"/>
      <c r="W648" s="79"/>
      <c r="Z648" s="130"/>
      <c r="AB648" s="106"/>
    </row>
    <row r="649">
      <c r="C649" s="79"/>
      <c r="D649" s="79"/>
      <c r="E649" s="79"/>
      <c r="M649" s="79"/>
      <c r="R649" s="79"/>
      <c r="S649" s="79"/>
      <c r="V649" s="79"/>
      <c r="W649" s="79"/>
      <c r="Z649" s="130"/>
      <c r="AB649" s="106"/>
    </row>
    <row r="650">
      <c r="C650" s="79"/>
      <c r="D650" s="79"/>
      <c r="E650" s="79"/>
      <c r="M650" s="79"/>
      <c r="R650" s="79"/>
      <c r="S650" s="79"/>
      <c r="V650" s="79"/>
      <c r="W650" s="79"/>
      <c r="Z650" s="130"/>
      <c r="AB650" s="106"/>
    </row>
    <row r="651">
      <c r="C651" s="79"/>
      <c r="D651" s="79"/>
      <c r="E651" s="79"/>
      <c r="M651" s="79"/>
      <c r="R651" s="79"/>
      <c r="S651" s="79"/>
      <c r="V651" s="79"/>
      <c r="W651" s="79"/>
      <c r="Z651" s="130"/>
      <c r="AB651" s="106"/>
    </row>
    <row r="652">
      <c r="C652" s="79"/>
      <c r="D652" s="79"/>
      <c r="E652" s="79"/>
      <c r="M652" s="79"/>
      <c r="R652" s="79"/>
      <c r="S652" s="79"/>
      <c r="V652" s="79"/>
      <c r="W652" s="79"/>
      <c r="Z652" s="130"/>
      <c r="AB652" s="106"/>
    </row>
    <row r="653">
      <c r="C653" s="79"/>
      <c r="D653" s="79"/>
      <c r="E653" s="79"/>
      <c r="M653" s="79"/>
      <c r="R653" s="79"/>
      <c r="S653" s="79"/>
      <c r="V653" s="79"/>
      <c r="W653" s="79"/>
      <c r="Z653" s="130"/>
      <c r="AB653" s="106"/>
    </row>
    <row r="654">
      <c r="C654" s="79"/>
      <c r="D654" s="79"/>
      <c r="E654" s="79"/>
      <c r="M654" s="79"/>
      <c r="R654" s="79"/>
      <c r="S654" s="79"/>
      <c r="V654" s="79"/>
      <c r="W654" s="79"/>
      <c r="Z654" s="130"/>
      <c r="AB654" s="106"/>
    </row>
    <row r="655">
      <c r="C655" s="79"/>
      <c r="D655" s="79"/>
      <c r="E655" s="79"/>
      <c r="M655" s="79"/>
      <c r="R655" s="79"/>
      <c r="S655" s="79"/>
      <c r="V655" s="79"/>
      <c r="W655" s="79"/>
      <c r="Z655" s="130"/>
      <c r="AB655" s="106"/>
    </row>
    <row r="656">
      <c r="C656" s="79"/>
      <c r="D656" s="79"/>
      <c r="E656" s="79"/>
      <c r="M656" s="79"/>
      <c r="R656" s="79"/>
      <c r="S656" s="79"/>
      <c r="V656" s="79"/>
      <c r="W656" s="79"/>
      <c r="Z656" s="130"/>
      <c r="AB656" s="106"/>
    </row>
    <row r="657">
      <c r="C657" s="79"/>
      <c r="D657" s="79"/>
      <c r="E657" s="79"/>
      <c r="M657" s="79"/>
      <c r="R657" s="79"/>
      <c r="S657" s="79"/>
      <c r="V657" s="79"/>
      <c r="W657" s="79"/>
      <c r="Z657" s="130"/>
      <c r="AB657" s="106"/>
    </row>
    <row r="658">
      <c r="C658" s="79"/>
      <c r="D658" s="79"/>
      <c r="E658" s="79"/>
      <c r="M658" s="79"/>
      <c r="R658" s="79"/>
      <c r="S658" s="79"/>
      <c r="V658" s="79"/>
      <c r="W658" s="79"/>
      <c r="Z658" s="130"/>
      <c r="AB658" s="106"/>
    </row>
    <row r="659">
      <c r="C659" s="79"/>
      <c r="D659" s="79"/>
      <c r="E659" s="79"/>
      <c r="M659" s="79"/>
      <c r="R659" s="79"/>
      <c r="S659" s="79"/>
      <c r="V659" s="79"/>
      <c r="W659" s="79"/>
      <c r="Z659" s="130"/>
      <c r="AB659" s="106"/>
    </row>
    <row r="660">
      <c r="C660" s="79"/>
      <c r="D660" s="79"/>
      <c r="E660" s="79"/>
      <c r="M660" s="79"/>
      <c r="R660" s="79"/>
      <c r="S660" s="79"/>
      <c r="V660" s="79"/>
      <c r="W660" s="79"/>
      <c r="Z660" s="130"/>
      <c r="AB660" s="106"/>
    </row>
    <row r="661">
      <c r="C661" s="79"/>
      <c r="D661" s="79"/>
      <c r="E661" s="79"/>
      <c r="M661" s="79"/>
      <c r="R661" s="79"/>
      <c r="S661" s="79"/>
      <c r="V661" s="79"/>
      <c r="W661" s="79"/>
      <c r="Z661" s="130"/>
      <c r="AB661" s="106"/>
    </row>
    <row r="662">
      <c r="C662" s="79"/>
      <c r="D662" s="79"/>
      <c r="E662" s="79"/>
      <c r="M662" s="79"/>
      <c r="R662" s="79"/>
      <c r="S662" s="79"/>
      <c r="V662" s="79"/>
      <c r="W662" s="79"/>
      <c r="Z662" s="130"/>
      <c r="AB662" s="106"/>
    </row>
    <row r="663">
      <c r="C663" s="79"/>
      <c r="D663" s="79"/>
      <c r="E663" s="79"/>
      <c r="M663" s="79"/>
      <c r="R663" s="79"/>
      <c r="S663" s="79"/>
      <c r="V663" s="79"/>
      <c r="W663" s="79"/>
      <c r="Z663" s="130"/>
      <c r="AB663" s="106"/>
    </row>
    <row r="664">
      <c r="C664" s="79"/>
      <c r="D664" s="79"/>
      <c r="E664" s="79"/>
      <c r="M664" s="79"/>
      <c r="R664" s="79"/>
      <c r="S664" s="79"/>
      <c r="V664" s="79"/>
      <c r="W664" s="79"/>
      <c r="Z664" s="130"/>
      <c r="AB664" s="106"/>
    </row>
    <row r="665">
      <c r="C665" s="79"/>
      <c r="D665" s="79"/>
      <c r="E665" s="79"/>
      <c r="M665" s="79"/>
      <c r="R665" s="79"/>
      <c r="S665" s="79"/>
      <c r="V665" s="79"/>
      <c r="W665" s="79"/>
      <c r="Z665" s="130"/>
      <c r="AB665" s="106"/>
    </row>
    <row r="666">
      <c r="C666" s="79"/>
      <c r="D666" s="79"/>
      <c r="E666" s="79"/>
      <c r="M666" s="79"/>
      <c r="R666" s="79"/>
      <c r="S666" s="79"/>
      <c r="V666" s="79"/>
      <c r="W666" s="79"/>
      <c r="Z666" s="130"/>
      <c r="AB666" s="106"/>
    </row>
    <row r="667">
      <c r="C667" s="79"/>
      <c r="D667" s="79"/>
      <c r="E667" s="79"/>
      <c r="M667" s="79"/>
      <c r="R667" s="79"/>
      <c r="S667" s="79"/>
      <c r="V667" s="79"/>
      <c r="W667" s="79"/>
      <c r="Z667" s="130"/>
      <c r="AB667" s="106"/>
    </row>
    <row r="668">
      <c r="C668" s="79"/>
      <c r="D668" s="79"/>
      <c r="E668" s="79"/>
      <c r="M668" s="79"/>
      <c r="R668" s="79"/>
      <c r="S668" s="79"/>
      <c r="V668" s="79"/>
      <c r="W668" s="79"/>
      <c r="Z668" s="130"/>
      <c r="AB668" s="106"/>
    </row>
    <row r="669">
      <c r="C669" s="79"/>
      <c r="D669" s="79"/>
      <c r="E669" s="79"/>
      <c r="M669" s="79"/>
      <c r="R669" s="79"/>
      <c r="S669" s="79"/>
      <c r="V669" s="79"/>
      <c r="W669" s="79"/>
      <c r="Z669" s="130"/>
      <c r="AB669" s="106"/>
    </row>
    <row r="670">
      <c r="C670" s="79"/>
      <c r="D670" s="79"/>
      <c r="E670" s="79"/>
      <c r="M670" s="79"/>
      <c r="R670" s="79"/>
      <c r="S670" s="79"/>
      <c r="V670" s="79"/>
      <c r="W670" s="79"/>
      <c r="Z670" s="130"/>
      <c r="AB670" s="106"/>
    </row>
    <row r="671">
      <c r="C671" s="79"/>
      <c r="D671" s="79"/>
      <c r="E671" s="79"/>
      <c r="M671" s="79"/>
      <c r="R671" s="79"/>
      <c r="S671" s="79"/>
      <c r="V671" s="79"/>
      <c r="W671" s="79"/>
      <c r="Z671" s="130"/>
      <c r="AB671" s="106"/>
    </row>
    <row r="672">
      <c r="C672" s="79"/>
      <c r="D672" s="79"/>
      <c r="E672" s="79"/>
      <c r="M672" s="79"/>
      <c r="R672" s="79"/>
      <c r="S672" s="79"/>
      <c r="V672" s="79"/>
      <c r="W672" s="79"/>
      <c r="Z672" s="130"/>
      <c r="AB672" s="106"/>
    </row>
    <row r="673">
      <c r="C673" s="79"/>
      <c r="D673" s="79"/>
      <c r="E673" s="79"/>
      <c r="M673" s="79"/>
      <c r="R673" s="79"/>
      <c r="S673" s="79"/>
      <c r="V673" s="79"/>
      <c r="W673" s="79"/>
      <c r="Z673" s="130"/>
      <c r="AB673" s="106"/>
    </row>
    <row r="674">
      <c r="C674" s="79"/>
      <c r="D674" s="79"/>
      <c r="E674" s="79"/>
      <c r="M674" s="79"/>
      <c r="R674" s="79"/>
      <c r="S674" s="79"/>
      <c r="V674" s="79"/>
      <c r="W674" s="79"/>
      <c r="Z674" s="130"/>
      <c r="AB674" s="106"/>
    </row>
    <row r="675">
      <c r="C675" s="79"/>
      <c r="D675" s="79"/>
      <c r="E675" s="79"/>
      <c r="M675" s="79"/>
      <c r="R675" s="79"/>
      <c r="S675" s="79"/>
      <c r="V675" s="79"/>
      <c r="W675" s="79"/>
      <c r="Z675" s="130"/>
      <c r="AB675" s="106"/>
    </row>
    <row r="676">
      <c r="C676" s="79"/>
      <c r="D676" s="79"/>
      <c r="E676" s="79"/>
      <c r="M676" s="79"/>
      <c r="R676" s="79"/>
      <c r="S676" s="79"/>
      <c r="V676" s="79"/>
      <c r="W676" s="79"/>
      <c r="Z676" s="130"/>
      <c r="AB676" s="106"/>
    </row>
    <row r="677">
      <c r="C677" s="79"/>
      <c r="D677" s="79"/>
      <c r="E677" s="79"/>
      <c r="M677" s="79"/>
      <c r="R677" s="79"/>
      <c r="S677" s="79"/>
      <c r="V677" s="79"/>
      <c r="W677" s="79"/>
      <c r="Z677" s="130"/>
      <c r="AB677" s="106"/>
    </row>
    <row r="678">
      <c r="C678" s="79"/>
      <c r="D678" s="79"/>
      <c r="E678" s="79"/>
      <c r="M678" s="79"/>
      <c r="R678" s="79"/>
      <c r="S678" s="79"/>
      <c r="V678" s="79"/>
      <c r="W678" s="79"/>
      <c r="Z678" s="130"/>
      <c r="AB678" s="106"/>
    </row>
    <row r="679">
      <c r="C679" s="79"/>
      <c r="D679" s="79"/>
      <c r="E679" s="79"/>
      <c r="M679" s="79"/>
      <c r="R679" s="79"/>
      <c r="S679" s="79"/>
      <c r="V679" s="79"/>
      <c r="W679" s="79"/>
      <c r="Z679" s="130"/>
      <c r="AB679" s="106"/>
    </row>
    <row r="680">
      <c r="C680" s="79"/>
      <c r="D680" s="79"/>
      <c r="E680" s="79"/>
      <c r="M680" s="79"/>
      <c r="R680" s="79"/>
      <c r="S680" s="79"/>
      <c r="V680" s="79"/>
      <c r="W680" s="79"/>
      <c r="Z680" s="130"/>
      <c r="AB680" s="106"/>
    </row>
    <row r="681">
      <c r="C681" s="79"/>
      <c r="D681" s="79"/>
      <c r="E681" s="79"/>
      <c r="M681" s="79"/>
      <c r="R681" s="79"/>
      <c r="S681" s="79"/>
      <c r="V681" s="79"/>
      <c r="W681" s="79"/>
      <c r="Z681" s="130"/>
      <c r="AB681" s="106"/>
    </row>
    <row r="682">
      <c r="C682" s="79"/>
      <c r="D682" s="79"/>
      <c r="E682" s="79"/>
      <c r="M682" s="79"/>
      <c r="R682" s="79"/>
      <c r="S682" s="79"/>
      <c r="V682" s="79"/>
      <c r="W682" s="79"/>
      <c r="Z682" s="130"/>
      <c r="AB682" s="106"/>
    </row>
    <row r="683">
      <c r="C683" s="79"/>
      <c r="D683" s="79"/>
      <c r="E683" s="79"/>
      <c r="M683" s="79"/>
      <c r="R683" s="79"/>
      <c r="S683" s="79"/>
      <c r="V683" s="79"/>
      <c r="W683" s="79"/>
      <c r="Z683" s="130"/>
      <c r="AB683" s="106"/>
    </row>
    <row r="684">
      <c r="C684" s="79"/>
      <c r="D684" s="79"/>
      <c r="E684" s="79"/>
      <c r="M684" s="79"/>
      <c r="R684" s="79"/>
      <c r="S684" s="79"/>
      <c r="V684" s="79"/>
      <c r="W684" s="79"/>
      <c r="Z684" s="130"/>
      <c r="AB684" s="106"/>
    </row>
    <row r="685">
      <c r="C685" s="79"/>
      <c r="D685" s="79"/>
      <c r="E685" s="79"/>
      <c r="M685" s="79"/>
      <c r="R685" s="79"/>
      <c r="S685" s="79"/>
      <c r="V685" s="79"/>
      <c r="W685" s="79"/>
      <c r="Z685" s="130"/>
      <c r="AB685" s="106"/>
    </row>
    <row r="686">
      <c r="C686" s="79"/>
      <c r="D686" s="79"/>
      <c r="E686" s="79"/>
      <c r="M686" s="79"/>
      <c r="R686" s="79"/>
      <c r="S686" s="79"/>
      <c r="V686" s="79"/>
      <c r="W686" s="79"/>
      <c r="Z686" s="130"/>
      <c r="AB686" s="106"/>
    </row>
    <row r="687">
      <c r="C687" s="79"/>
      <c r="D687" s="79"/>
      <c r="E687" s="79"/>
      <c r="M687" s="79"/>
      <c r="R687" s="79"/>
      <c r="S687" s="79"/>
      <c r="V687" s="79"/>
      <c r="W687" s="79"/>
      <c r="Z687" s="130"/>
      <c r="AB687" s="106"/>
    </row>
    <row r="688">
      <c r="C688" s="79"/>
      <c r="D688" s="79"/>
      <c r="E688" s="79"/>
      <c r="M688" s="79"/>
      <c r="R688" s="79"/>
      <c r="S688" s="79"/>
      <c r="V688" s="79"/>
      <c r="W688" s="79"/>
      <c r="Z688" s="130"/>
      <c r="AB688" s="106"/>
    </row>
    <row r="689">
      <c r="C689" s="79"/>
      <c r="D689" s="79"/>
      <c r="E689" s="79"/>
      <c r="M689" s="79"/>
      <c r="R689" s="79"/>
      <c r="S689" s="79"/>
      <c r="V689" s="79"/>
      <c r="W689" s="79"/>
      <c r="Z689" s="130"/>
      <c r="AB689" s="106"/>
    </row>
    <row r="690">
      <c r="C690" s="79"/>
      <c r="D690" s="79"/>
      <c r="E690" s="79"/>
      <c r="M690" s="79"/>
      <c r="R690" s="79"/>
      <c r="S690" s="79"/>
      <c r="V690" s="79"/>
      <c r="W690" s="79"/>
      <c r="Z690" s="130"/>
      <c r="AB690" s="106"/>
    </row>
    <row r="691">
      <c r="C691" s="79"/>
      <c r="D691" s="79"/>
      <c r="E691" s="79"/>
      <c r="M691" s="79"/>
      <c r="R691" s="79"/>
      <c r="S691" s="79"/>
      <c r="V691" s="79"/>
      <c r="W691" s="79"/>
      <c r="Z691" s="130"/>
      <c r="AB691" s="106"/>
    </row>
    <row r="692">
      <c r="C692" s="79"/>
      <c r="D692" s="79"/>
      <c r="E692" s="79"/>
      <c r="M692" s="79"/>
      <c r="R692" s="79"/>
      <c r="S692" s="79"/>
      <c r="V692" s="79"/>
      <c r="W692" s="79"/>
      <c r="Z692" s="130"/>
      <c r="AB692" s="106"/>
    </row>
    <row r="693">
      <c r="C693" s="79"/>
      <c r="D693" s="79"/>
      <c r="E693" s="79"/>
      <c r="M693" s="79"/>
      <c r="R693" s="79"/>
      <c r="S693" s="79"/>
      <c r="V693" s="79"/>
      <c r="W693" s="79"/>
      <c r="Z693" s="130"/>
      <c r="AB693" s="106"/>
    </row>
    <row r="694">
      <c r="C694" s="79"/>
      <c r="D694" s="79"/>
      <c r="E694" s="79"/>
      <c r="M694" s="79"/>
      <c r="R694" s="79"/>
      <c r="S694" s="79"/>
      <c r="V694" s="79"/>
      <c r="W694" s="79"/>
      <c r="Z694" s="130"/>
      <c r="AB694" s="106"/>
    </row>
    <row r="695">
      <c r="C695" s="79"/>
      <c r="D695" s="79"/>
      <c r="E695" s="79"/>
      <c r="M695" s="79"/>
      <c r="R695" s="79"/>
      <c r="S695" s="79"/>
      <c r="V695" s="79"/>
      <c r="W695" s="79"/>
      <c r="Z695" s="130"/>
      <c r="AB695" s="106"/>
    </row>
    <row r="696">
      <c r="C696" s="79"/>
      <c r="D696" s="79"/>
      <c r="E696" s="79"/>
      <c r="M696" s="79"/>
      <c r="R696" s="79"/>
      <c r="S696" s="79"/>
      <c r="V696" s="79"/>
      <c r="W696" s="79"/>
      <c r="Z696" s="130"/>
      <c r="AB696" s="106"/>
    </row>
    <row r="697">
      <c r="C697" s="79"/>
      <c r="D697" s="79"/>
      <c r="E697" s="79"/>
      <c r="M697" s="79"/>
      <c r="R697" s="79"/>
      <c r="S697" s="79"/>
      <c r="V697" s="79"/>
      <c r="W697" s="79"/>
      <c r="Z697" s="130"/>
      <c r="AB697" s="106"/>
    </row>
    <row r="698">
      <c r="C698" s="79"/>
      <c r="D698" s="79"/>
      <c r="E698" s="79"/>
      <c r="M698" s="79"/>
      <c r="R698" s="79"/>
      <c r="S698" s="79"/>
      <c r="V698" s="79"/>
      <c r="W698" s="79"/>
      <c r="Z698" s="130"/>
      <c r="AB698" s="106"/>
    </row>
    <row r="699">
      <c r="C699" s="79"/>
      <c r="D699" s="79"/>
      <c r="E699" s="79"/>
      <c r="M699" s="79"/>
      <c r="R699" s="79"/>
      <c r="S699" s="79"/>
      <c r="V699" s="79"/>
      <c r="W699" s="79"/>
      <c r="Z699" s="130"/>
      <c r="AB699" s="106"/>
    </row>
    <row r="700">
      <c r="C700" s="79"/>
      <c r="D700" s="79"/>
      <c r="E700" s="79"/>
      <c r="M700" s="79"/>
      <c r="R700" s="79"/>
      <c r="S700" s="79"/>
      <c r="V700" s="79"/>
      <c r="W700" s="79"/>
      <c r="Z700" s="130"/>
      <c r="AB700" s="106"/>
    </row>
    <row r="701">
      <c r="C701" s="79"/>
      <c r="D701" s="79"/>
      <c r="E701" s="79"/>
      <c r="M701" s="79"/>
      <c r="R701" s="79"/>
      <c r="S701" s="79"/>
      <c r="V701" s="79"/>
      <c r="W701" s="79"/>
      <c r="Z701" s="130"/>
      <c r="AB701" s="106"/>
    </row>
    <row r="702">
      <c r="C702" s="79"/>
      <c r="D702" s="79"/>
      <c r="E702" s="79"/>
      <c r="M702" s="79"/>
      <c r="R702" s="79"/>
      <c r="S702" s="79"/>
      <c r="V702" s="79"/>
      <c r="W702" s="79"/>
      <c r="Z702" s="130"/>
      <c r="AB702" s="106"/>
    </row>
    <row r="703">
      <c r="C703" s="79"/>
      <c r="D703" s="79"/>
      <c r="E703" s="79"/>
      <c r="M703" s="79"/>
      <c r="R703" s="79"/>
      <c r="S703" s="79"/>
      <c r="V703" s="79"/>
      <c r="W703" s="79"/>
      <c r="Z703" s="130"/>
      <c r="AB703" s="106"/>
    </row>
    <row r="704">
      <c r="C704" s="79"/>
      <c r="D704" s="79"/>
      <c r="E704" s="79"/>
      <c r="M704" s="79"/>
      <c r="R704" s="79"/>
      <c r="S704" s="79"/>
      <c r="V704" s="79"/>
      <c r="W704" s="79"/>
      <c r="Z704" s="130"/>
      <c r="AB704" s="106"/>
    </row>
    <row r="705">
      <c r="C705" s="79"/>
      <c r="D705" s="79"/>
      <c r="E705" s="79"/>
      <c r="M705" s="79"/>
      <c r="R705" s="79"/>
      <c r="S705" s="79"/>
      <c r="V705" s="79"/>
      <c r="W705" s="79"/>
      <c r="Z705" s="130"/>
      <c r="AB705" s="106"/>
    </row>
    <row r="706">
      <c r="C706" s="79"/>
      <c r="D706" s="79"/>
      <c r="E706" s="79"/>
      <c r="M706" s="79"/>
      <c r="R706" s="79"/>
      <c r="S706" s="79"/>
      <c r="V706" s="79"/>
      <c r="W706" s="79"/>
      <c r="Z706" s="130"/>
      <c r="AB706" s="106"/>
    </row>
    <row r="707">
      <c r="C707" s="79"/>
      <c r="D707" s="79"/>
      <c r="E707" s="79"/>
      <c r="M707" s="79"/>
      <c r="R707" s="79"/>
      <c r="S707" s="79"/>
      <c r="V707" s="79"/>
      <c r="W707" s="79"/>
      <c r="Z707" s="130"/>
      <c r="AB707" s="106"/>
    </row>
    <row r="708">
      <c r="C708" s="79"/>
      <c r="D708" s="79"/>
      <c r="E708" s="79"/>
      <c r="M708" s="79"/>
      <c r="R708" s="79"/>
      <c r="S708" s="79"/>
      <c r="V708" s="79"/>
      <c r="W708" s="79"/>
      <c r="Z708" s="130"/>
      <c r="AB708" s="106"/>
    </row>
    <row r="709">
      <c r="C709" s="79"/>
      <c r="D709" s="79"/>
      <c r="E709" s="79"/>
      <c r="M709" s="79"/>
      <c r="R709" s="79"/>
      <c r="S709" s="79"/>
      <c r="V709" s="79"/>
      <c r="W709" s="79"/>
      <c r="Z709" s="130"/>
      <c r="AB709" s="106"/>
    </row>
    <row r="710">
      <c r="C710" s="79"/>
      <c r="D710" s="79"/>
      <c r="E710" s="79"/>
      <c r="M710" s="79"/>
      <c r="R710" s="79"/>
      <c r="S710" s="79"/>
      <c r="V710" s="79"/>
      <c r="W710" s="79"/>
      <c r="Z710" s="130"/>
      <c r="AB710" s="106"/>
    </row>
    <row r="711">
      <c r="C711" s="79"/>
      <c r="D711" s="79"/>
      <c r="E711" s="79"/>
      <c r="M711" s="79"/>
      <c r="R711" s="79"/>
      <c r="S711" s="79"/>
      <c r="V711" s="79"/>
      <c r="W711" s="79"/>
      <c r="Z711" s="130"/>
      <c r="AB711" s="106"/>
    </row>
    <row r="712">
      <c r="C712" s="79"/>
      <c r="D712" s="79"/>
      <c r="E712" s="79"/>
      <c r="M712" s="79"/>
      <c r="R712" s="79"/>
      <c r="S712" s="79"/>
      <c r="V712" s="79"/>
      <c r="W712" s="79"/>
      <c r="Z712" s="130"/>
      <c r="AB712" s="106"/>
    </row>
    <row r="713">
      <c r="C713" s="79"/>
      <c r="D713" s="79"/>
      <c r="E713" s="79"/>
      <c r="M713" s="79"/>
      <c r="R713" s="79"/>
      <c r="S713" s="79"/>
      <c r="V713" s="79"/>
      <c r="W713" s="79"/>
      <c r="Z713" s="130"/>
      <c r="AB713" s="106"/>
    </row>
    <row r="714">
      <c r="C714" s="79"/>
      <c r="D714" s="79"/>
      <c r="E714" s="79"/>
      <c r="M714" s="79"/>
      <c r="R714" s="79"/>
      <c r="S714" s="79"/>
      <c r="V714" s="79"/>
      <c r="W714" s="79"/>
      <c r="Z714" s="130"/>
      <c r="AB714" s="106"/>
    </row>
    <row r="715">
      <c r="C715" s="79"/>
      <c r="D715" s="79"/>
      <c r="E715" s="79"/>
      <c r="M715" s="79"/>
      <c r="R715" s="79"/>
      <c r="S715" s="79"/>
      <c r="V715" s="79"/>
      <c r="W715" s="79"/>
      <c r="Z715" s="130"/>
      <c r="AB715" s="106"/>
    </row>
    <row r="716">
      <c r="C716" s="79"/>
      <c r="D716" s="79"/>
      <c r="E716" s="79"/>
      <c r="M716" s="79"/>
      <c r="R716" s="79"/>
      <c r="S716" s="79"/>
      <c r="V716" s="79"/>
      <c r="W716" s="79"/>
      <c r="Z716" s="130"/>
      <c r="AB716" s="106"/>
    </row>
    <row r="717">
      <c r="C717" s="79"/>
      <c r="D717" s="79"/>
      <c r="E717" s="79"/>
      <c r="M717" s="79"/>
      <c r="R717" s="79"/>
      <c r="S717" s="79"/>
      <c r="V717" s="79"/>
      <c r="W717" s="79"/>
      <c r="Z717" s="130"/>
      <c r="AB717" s="106"/>
    </row>
    <row r="718">
      <c r="C718" s="79"/>
      <c r="D718" s="79"/>
      <c r="E718" s="79"/>
      <c r="M718" s="79"/>
      <c r="R718" s="79"/>
      <c r="S718" s="79"/>
      <c r="V718" s="79"/>
      <c r="W718" s="79"/>
      <c r="Z718" s="130"/>
      <c r="AB718" s="106"/>
    </row>
    <row r="719">
      <c r="C719" s="79"/>
      <c r="D719" s="79"/>
      <c r="E719" s="79"/>
      <c r="M719" s="79"/>
      <c r="R719" s="79"/>
      <c r="S719" s="79"/>
      <c r="V719" s="79"/>
      <c r="W719" s="79"/>
      <c r="Z719" s="130"/>
      <c r="AB719" s="106"/>
    </row>
    <row r="720">
      <c r="C720" s="79"/>
      <c r="D720" s="79"/>
      <c r="E720" s="79"/>
      <c r="M720" s="79"/>
      <c r="R720" s="79"/>
      <c r="S720" s="79"/>
      <c r="V720" s="79"/>
      <c r="W720" s="79"/>
      <c r="Z720" s="130"/>
      <c r="AB720" s="106"/>
    </row>
    <row r="721">
      <c r="C721" s="79"/>
      <c r="D721" s="79"/>
      <c r="E721" s="79"/>
      <c r="M721" s="79"/>
      <c r="R721" s="79"/>
      <c r="S721" s="79"/>
      <c r="V721" s="79"/>
      <c r="W721" s="79"/>
      <c r="Z721" s="130"/>
      <c r="AB721" s="106"/>
    </row>
    <row r="722">
      <c r="C722" s="79"/>
      <c r="D722" s="79"/>
      <c r="E722" s="79"/>
      <c r="M722" s="79"/>
      <c r="R722" s="79"/>
      <c r="S722" s="79"/>
      <c r="V722" s="79"/>
      <c r="W722" s="79"/>
      <c r="Z722" s="130"/>
      <c r="AB722" s="106"/>
    </row>
    <row r="723">
      <c r="C723" s="79"/>
      <c r="D723" s="79"/>
      <c r="E723" s="79"/>
      <c r="M723" s="79"/>
      <c r="R723" s="79"/>
      <c r="S723" s="79"/>
      <c r="V723" s="79"/>
      <c r="W723" s="79"/>
      <c r="Z723" s="130"/>
      <c r="AB723" s="106"/>
    </row>
    <row r="724">
      <c r="C724" s="79"/>
      <c r="D724" s="79"/>
      <c r="E724" s="79"/>
      <c r="M724" s="79"/>
      <c r="R724" s="79"/>
      <c r="S724" s="79"/>
      <c r="V724" s="79"/>
      <c r="W724" s="79"/>
      <c r="Z724" s="130"/>
      <c r="AB724" s="106"/>
    </row>
    <row r="725">
      <c r="C725" s="79"/>
      <c r="D725" s="79"/>
      <c r="E725" s="79"/>
      <c r="M725" s="79"/>
      <c r="R725" s="79"/>
      <c r="S725" s="79"/>
      <c r="V725" s="79"/>
      <c r="W725" s="79"/>
      <c r="Z725" s="130"/>
      <c r="AB725" s="106"/>
    </row>
    <row r="726">
      <c r="C726" s="79"/>
      <c r="D726" s="79"/>
      <c r="E726" s="79"/>
      <c r="M726" s="79"/>
      <c r="R726" s="79"/>
      <c r="S726" s="79"/>
      <c r="V726" s="79"/>
      <c r="W726" s="79"/>
      <c r="Z726" s="130"/>
      <c r="AB726" s="106"/>
    </row>
    <row r="727">
      <c r="C727" s="79"/>
      <c r="D727" s="79"/>
      <c r="E727" s="79"/>
      <c r="M727" s="79"/>
      <c r="R727" s="79"/>
      <c r="S727" s="79"/>
      <c r="V727" s="79"/>
      <c r="W727" s="79"/>
      <c r="Z727" s="130"/>
      <c r="AB727" s="106"/>
    </row>
    <row r="728">
      <c r="C728" s="79"/>
      <c r="D728" s="79"/>
      <c r="E728" s="79"/>
      <c r="M728" s="79"/>
      <c r="R728" s="79"/>
      <c r="S728" s="79"/>
      <c r="V728" s="79"/>
      <c r="W728" s="79"/>
      <c r="Z728" s="130"/>
      <c r="AB728" s="106"/>
    </row>
    <row r="729">
      <c r="C729" s="79"/>
      <c r="D729" s="79"/>
      <c r="E729" s="79"/>
      <c r="M729" s="79"/>
      <c r="R729" s="79"/>
      <c r="S729" s="79"/>
      <c r="V729" s="79"/>
      <c r="W729" s="79"/>
      <c r="Z729" s="130"/>
      <c r="AB729" s="106"/>
    </row>
    <row r="730">
      <c r="C730" s="79"/>
      <c r="D730" s="79"/>
      <c r="E730" s="79"/>
      <c r="M730" s="79"/>
      <c r="R730" s="79"/>
      <c r="S730" s="79"/>
      <c r="V730" s="79"/>
      <c r="W730" s="79"/>
      <c r="Z730" s="130"/>
      <c r="AB730" s="106"/>
    </row>
    <row r="731">
      <c r="C731" s="79"/>
      <c r="D731" s="79"/>
      <c r="E731" s="79"/>
      <c r="M731" s="79"/>
      <c r="R731" s="79"/>
      <c r="S731" s="79"/>
      <c r="V731" s="79"/>
      <c r="W731" s="79"/>
      <c r="Z731" s="130"/>
      <c r="AB731" s="106"/>
    </row>
    <row r="732">
      <c r="C732" s="79"/>
      <c r="D732" s="79"/>
      <c r="E732" s="79"/>
      <c r="M732" s="79"/>
      <c r="R732" s="79"/>
      <c r="S732" s="79"/>
      <c r="V732" s="79"/>
      <c r="W732" s="79"/>
      <c r="Z732" s="130"/>
      <c r="AB732" s="106"/>
    </row>
    <row r="733">
      <c r="C733" s="79"/>
      <c r="D733" s="79"/>
      <c r="E733" s="79"/>
      <c r="M733" s="79"/>
      <c r="R733" s="79"/>
      <c r="S733" s="79"/>
      <c r="V733" s="79"/>
      <c r="W733" s="79"/>
      <c r="Z733" s="130"/>
      <c r="AB733" s="106"/>
    </row>
    <row r="734">
      <c r="C734" s="79"/>
      <c r="D734" s="79"/>
      <c r="E734" s="79"/>
      <c r="M734" s="79"/>
      <c r="R734" s="79"/>
      <c r="S734" s="79"/>
      <c r="V734" s="79"/>
      <c r="W734" s="79"/>
      <c r="Z734" s="130"/>
      <c r="AB734" s="106"/>
    </row>
    <row r="735">
      <c r="C735" s="79"/>
      <c r="D735" s="79"/>
      <c r="E735" s="79"/>
      <c r="M735" s="79"/>
      <c r="R735" s="79"/>
      <c r="S735" s="79"/>
      <c r="V735" s="79"/>
      <c r="W735" s="79"/>
      <c r="Z735" s="130"/>
      <c r="AB735" s="106"/>
    </row>
    <row r="736">
      <c r="C736" s="79"/>
      <c r="D736" s="79"/>
      <c r="E736" s="79"/>
      <c r="M736" s="79"/>
      <c r="R736" s="79"/>
      <c r="S736" s="79"/>
      <c r="V736" s="79"/>
      <c r="W736" s="79"/>
      <c r="Z736" s="130"/>
      <c r="AB736" s="106"/>
    </row>
    <row r="737">
      <c r="C737" s="79"/>
      <c r="D737" s="79"/>
      <c r="E737" s="79"/>
      <c r="M737" s="79"/>
      <c r="R737" s="79"/>
      <c r="S737" s="79"/>
      <c r="V737" s="79"/>
      <c r="W737" s="79"/>
      <c r="Z737" s="130"/>
      <c r="AB737" s="106"/>
    </row>
    <row r="738">
      <c r="C738" s="79"/>
      <c r="D738" s="79"/>
      <c r="E738" s="79"/>
      <c r="M738" s="79"/>
      <c r="R738" s="79"/>
      <c r="S738" s="79"/>
      <c r="V738" s="79"/>
      <c r="W738" s="79"/>
      <c r="Z738" s="130"/>
      <c r="AB738" s="106"/>
    </row>
    <row r="739">
      <c r="C739" s="79"/>
      <c r="D739" s="79"/>
      <c r="E739" s="79"/>
      <c r="M739" s="79"/>
      <c r="R739" s="79"/>
      <c r="S739" s="79"/>
      <c r="V739" s="79"/>
      <c r="W739" s="79"/>
      <c r="Z739" s="130"/>
      <c r="AB739" s="106"/>
    </row>
    <row r="740">
      <c r="C740" s="79"/>
      <c r="D740" s="79"/>
      <c r="E740" s="79"/>
      <c r="M740" s="79"/>
      <c r="R740" s="79"/>
      <c r="S740" s="79"/>
      <c r="V740" s="79"/>
      <c r="W740" s="79"/>
      <c r="Z740" s="130"/>
      <c r="AB740" s="106"/>
    </row>
    <row r="741">
      <c r="C741" s="79"/>
      <c r="D741" s="79"/>
      <c r="E741" s="79"/>
      <c r="M741" s="79"/>
      <c r="R741" s="79"/>
      <c r="S741" s="79"/>
      <c r="V741" s="79"/>
      <c r="W741" s="79"/>
      <c r="Z741" s="130"/>
      <c r="AB741" s="106"/>
    </row>
    <row r="742">
      <c r="C742" s="79"/>
      <c r="D742" s="79"/>
      <c r="E742" s="79"/>
      <c r="M742" s="79"/>
      <c r="R742" s="79"/>
      <c r="S742" s="79"/>
      <c r="V742" s="79"/>
      <c r="W742" s="79"/>
      <c r="Z742" s="130"/>
      <c r="AB742" s="106"/>
    </row>
    <row r="743">
      <c r="C743" s="79"/>
      <c r="D743" s="79"/>
      <c r="E743" s="79"/>
      <c r="M743" s="79"/>
      <c r="R743" s="79"/>
      <c r="S743" s="79"/>
      <c r="V743" s="79"/>
      <c r="W743" s="79"/>
      <c r="Z743" s="130"/>
      <c r="AB743" s="106"/>
    </row>
    <row r="744">
      <c r="C744" s="79"/>
      <c r="D744" s="79"/>
      <c r="E744" s="79"/>
      <c r="M744" s="79"/>
      <c r="R744" s="79"/>
      <c r="S744" s="79"/>
      <c r="V744" s="79"/>
      <c r="W744" s="79"/>
      <c r="Z744" s="130"/>
      <c r="AB744" s="106"/>
    </row>
    <row r="745">
      <c r="C745" s="79"/>
      <c r="D745" s="79"/>
      <c r="E745" s="79"/>
      <c r="M745" s="79"/>
      <c r="R745" s="79"/>
      <c r="S745" s="79"/>
      <c r="V745" s="79"/>
      <c r="W745" s="79"/>
      <c r="Z745" s="130"/>
      <c r="AB745" s="106"/>
    </row>
    <row r="746">
      <c r="C746" s="79"/>
      <c r="D746" s="79"/>
      <c r="E746" s="79"/>
      <c r="M746" s="79"/>
      <c r="R746" s="79"/>
      <c r="S746" s="79"/>
      <c r="V746" s="79"/>
      <c r="W746" s="79"/>
      <c r="Z746" s="130"/>
      <c r="AB746" s="106"/>
    </row>
    <row r="747">
      <c r="C747" s="79"/>
      <c r="D747" s="79"/>
      <c r="E747" s="79"/>
      <c r="M747" s="79"/>
      <c r="R747" s="79"/>
      <c r="S747" s="79"/>
      <c r="V747" s="79"/>
      <c r="W747" s="79"/>
      <c r="Z747" s="130"/>
      <c r="AB747" s="106"/>
    </row>
    <row r="748">
      <c r="C748" s="79"/>
      <c r="D748" s="79"/>
      <c r="E748" s="79"/>
      <c r="M748" s="79"/>
      <c r="R748" s="79"/>
      <c r="S748" s="79"/>
      <c r="V748" s="79"/>
      <c r="W748" s="79"/>
      <c r="Z748" s="130"/>
      <c r="AB748" s="106"/>
    </row>
    <row r="749">
      <c r="C749" s="79"/>
      <c r="D749" s="79"/>
      <c r="E749" s="79"/>
      <c r="M749" s="79"/>
      <c r="R749" s="79"/>
      <c r="S749" s="79"/>
      <c r="V749" s="79"/>
      <c r="W749" s="79"/>
      <c r="Z749" s="130"/>
      <c r="AB749" s="106"/>
    </row>
    <row r="750">
      <c r="C750" s="79"/>
      <c r="D750" s="79"/>
      <c r="E750" s="79"/>
      <c r="M750" s="79"/>
      <c r="R750" s="79"/>
      <c r="S750" s="79"/>
      <c r="V750" s="79"/>
      <c r="W750" s="79"/>
      <c r="Z750" s="130"/>
      <c r="AB750" s="106"/>
    </row>
    <row r="751">
      <c r="C751" s="79"/>
      <c r="D751" s="79"/>
      <c r="E751" s="79"/>
      <c r="M751" s="79"/>
      <c r="R751" s="79"/>
      <c r="S751" s="79"/>
      <c r="V751" s="79"/>
      <c r="W751" s="79"/>
      <c r="Z751" s="130"/>
      <c r="AB751" s="106"/>
    </row>
    <row r="752">
      <c r="C752" s="79"/>
      <c r="D752" s="79"/>
      <c r="E752" s="79"/>
      <c r="M752" s="79"/>
      <c r="R752" s="79"/>
      <c r="S752" s="79"/>
      <c r="V752" s="79"/>
      <c r="W752" s="79"/>
      <c r="Z752" s="130"/>
      <c r="AB752" s="106"/>
    </row>
    <row r="753">
      <c r="C753" s="79"/>
      <c r="D753" s="79"/>
      <c r="E753" s="79"/>
      <c r="M753" s="79"/>
      <c r="R753" s="79"/>
      <c r="S753" s="79"/>
      <c r="V753" s="79"/>
      <c r="W753" s="79"/>
      <c r="Z753" s="130"/>
      <c r="AB753" s="106"/>
    </row>
    <row r="754">
      <c r="C754" s="79"/>
      <c r="D754" s="79"/>
      <c r="E754" s="79"/>
      <c r="M754" s="79"/>
      <c r="R754" s="79"/>
      <c r="S754" s="79"/>
      <c r="V754" s="79"/>
      <c r="W754" s="79"/>
      <c r="Z754" s="130"/>
      <c r="AB754" s="106"/>
    </row>
    <row r="755">
      <c r="C755" s="79"/>
      <c r="D755" s="79"/>
      <c r="E755" s="79"/>
      <c r="M755" s="79"/>
      <c r="R755" s="79"/>
      <c r="S755" s="79"/>
      <c r="V755" s="79"/>
      <c r="W755" s="79"/>
      <c r="Z755" s="130"/>
      <c r="AB755" s="106"/>
    </row>
    <row r="756">
      <c r="C756" s="79"/>
      <c r="D756" s="79"/>
      <c r="E756" s="79"/>
      <c r="M756" s="79"/>
      <c r="R756" s="79"/>
      <c r="S756" s="79"/>
      <c r="V756" s="79"/>
      <c r="W756" s="79"/>
      <c r="Z756" s="130"/>
      <c r="AB756" s="106"/>
    </row>
    <row r="757">
      <c r="C757" s="79"/>
      <c r="D757" s="79"/>
      <c r="E757" s="79"/>
      <c r="M757" s="79"/>
      <c r="R757" s="79"/>
      <c r="S757" s="79"/>
      <c r="V757" s="79"/>
      <c r="W757" s="79"/>
      <c r="Z757" s="130"/>
      <c r="AB757" s="106"/>
    </row>
    <row r="758">
      <c r="C758" s="79"/>
      <c r="D758" s="79"/>
      <c r="E758" s="79"/>
      <c r="M758" s="79"/>
      <c r="R758" s="79"/>
      <c r="S758" s="79"/>
      <c r="V758" s="79"/>
      <c r="W758" s="79"/>
      <c r="Z758" s="130"/>
      <c r="AB758" s="106"/>
    </row>
    <row r="759">
      <c r="C759" s="79"/>
      <c r="D759" s="79"/>
      <c r="E759" s="79"/>
      <c r="M759" s="79"/>
      <c r="R759" s="79"/>
      <c r="S759" s="79"/>
      <c r="V759" s="79"/>
      <c r="W759" s="79"/>
      <c r="Z759" s="130"/>
      <c r="AB759" s="106"/>
    </row>
    <row r="760">
      <c r="C760" s="79"/>
      <c r="D760" s="79"/>
      <c r="E760" s="79"/>
      <c r="M760" s="79"/>
      <c r="R760" s="79"/>
      <c r="S760" s="79"/>
      <c r="V760" s="79"/>
      <c r="W760" s="79"/>
      <c r="Z760" s="130"/>
      <c r="AB760" s="106"/>
    </row>
    <row r="761">
      <c r="C761" s="79"/>
      <c r="D761" s="79"/>
      <c r="E761" s="79"/>
      <c r="M761" s="79"/>
      <c r="R761" s="79"/>
      <c r="S761" s="79"/>
      <c r="V761" s="79"/>
      <c r="W761" s="79"/>
      <c r="Z761" s="130"/>
      <c r="AB761" s="106"/>
    </row>
    <row r="762">
      <c r="C762" s="79"/>
      <c r="D762" s="79"/>
      <c r="E762" s="79"/>
      <c r="M762" s="79"/>
      <c r="R762" s="79"/>
      <c r="S762" s="79"/>
      <c r="V762" s="79"/>
      <c r="W762" s="79"/>
      <c r="Z762" s="130"/>
      <c r="AB762" s="106"/>
    </row>
    <row r="763">
      <c r="C763" s="79"/>
      <c r="D763" s="79"/>
      <c r="E763" s="79"/>
      <c r="M763" s="79"/>
      <c r="R763" s="79"/>
      <c r="S763" s="79"/>
      <c r="V763" s="79"/>
      <c r="W763" s="79"/>
      <c r="Z763" s="130"/>
      <c r="AB763" s="106"/>
    </row>
    <row r="764">
      <c r="C764" s="79"/>
      <c r="D764" s="79"/>
      <c r="E764" s="79"/>
      <c r="M764" s="79"/>
      <c r="R764" s="79"/>
      <c r="S764" s="79"/>
      <c r="V764" s="79"/>
      <c r="W764" s="79"/>
      <c r="Z764" s="130"/>
      <c r="AB764" s="106"/>
    </row>
    <row r="765">
      <c r="C765" s="79"/>
      <c r="D765" s="79"/>
      <c r="E765" s="79"/>
      <c r="M765" s="79"/>
      <c r="R765" s="79"/>
      <c r="S765" s="79"/>
      <c r="V765" s="79"/>
      <c r="W765" s="79"/>
      <c r="Z765" s="130"/>
      <c r="AB765" s="106"/>
    </row>
    <row r="766">
      <c r="C766" s="79"/>
      <c r="D766" s="79"/>
      <c r="E766" s="79"/>
      <c r="M766" s="79"/>
      <c r="R766" s="79"/>
      <c r="S766" s="79"/>
      <c r="V766" s="79"/>
      <c r="W766" s="79"/>
      <c r="Z766" s="130"/>
      <c r="AB766" s="106"/>
    </row>
    <row r="767">
      <c r="C767" s="79"/>
      <c r="D767" s="79"/>
      <c r="E767" s="79"/>
      <c r="M767" s="79"/>
      <c r="R767" s="79"/>
      <c r="S767" s="79"/>
      <c r="V767" s="79"/>
      <c r="W767" s="79"/>
      <c r="Z767" s="130"/>
      <c r="AB767" s="106"/>
    </row>
    <row r="768">
      <c r="C768" s="79"/>
      <c r="D768" s="79"/>
      <c r="E768" s="79"/>
      <c r="M768" s="79"/>
      <c r="R768" s="79"/>
      <c r="S768" s="79"/>
      <c r="V768" s="79"/>
      <c r="W768" s="79"/>
      <c r="Z768" s="130"/>
      <c r="AB768" s="106"/>
    </row>
    <row r="769">
      <c r="C769" s="79"/>
      <c r="D769" s="79"/>
      <c r="E769" s="79"/>
      <c r="M769" s="79"/>
      <c r="R769" s="79"/>
      <c r="S769" s="79"/>
      <c r="V769" s="79"/>
      <c r="W769" s="79"/>
      <c r="Z769" s="130"/>
      <c r="AB769" s="106"/>
    </row>
    <row r="770">
      <c r="C770" s="79"/>
      <c r="D770" s="79"/>
      <c r="E770" s="79"/>
      <c r="M770" s="79"/>
      <c r="R770" s="79"/>
      <c r="S770" s="79"/>
      <c r="V770" s="79"/>
      <c r="W770" s="79"/>
      <c r="Z770" s="130"/>
      <c r="AB770" s="106"/>
    </row>
    <row r="771">
      <c r="C771" s="79"/>
      <c r="D771" s="79"/>
      <c r="E771" s="79"/>
      <c r="M771" s="79"/>
      <c r="R771" s="79"/>
      <c r="S771" s="79"/>
      <c r="V771" s="79"/>
      <c r="W771" s="79"/>
      <c r="Z771" s="130"/>
      <c r="AB771" s="106"/>
    </row>
    <row r="772">
      <c r="C772" s="79"/>
      <c r="D772" s="79"/>
      <c r="E772" s="79"/>
      <c r="M772" s="79"/>
      <c r="R772" s="79"/>
      <c r="S772" s="79"/>
      <c r="V772" s="79"/>
      <c r="W772" s="79"/>
      <c r="Z772" s="130"/>
      <c r="AB772" s="106"/>
    </row>
    <row r="773">
      <c r="C773" s="79"/>
      <c r="D773" s="79"/>
      <c r="E773" s="79"/>
      <c r="M773" s="79"/>
      <c r="R773" s="79"/>
      <c r="S773" s="79"/>
      <c r="V773" s="79"/>
      <c r="W773" s="79"/>
      <c r="Z773" s="130"/>
      <c r="AB773" s="106"/>
    </row>
    <row r="774">
      <c r="C774" s="79"/>
      <c r="D774" s="79"/>
      <c r="E774" s="79"/>
      <c r="M774" s="79"/>
      <c r="R774" s="79"/>
      <c r="S774" s="79"/>
      <c r="V774" s="79"/>
      <c r="W774" s="79"/>
      <c r="Z774" s="130"/>
      <c r="AB774" s="106"/>
    </row>
    <row r="775">
      <c r="C775" s="79"/>
      <c r="D775" s="79"/>
      <c r="E775" s="79"/>
      <c r="M775" s="79"/>
      <c r="R775" s="79"/>
      <c r="S775" s="79"/>
      <c r="V775" s="79"/>
      <c r="W775" s="79"/>
      <c r="Z775" s="130"/>
      <c r="AB775" s="106"/>
    </row>
    <row r="776">
      <c r="C776" s="79"/>
      <c r="D776" s="79"/>
      <c r="E776" s="79"/>
      <c r="M776" s="79"/>
      <c r="R776" s="79"/>
      <c r="S776" s="79"/>
      <c r="V776" s="79"/>
      <c r="W776" s="79"/>
      <c r="Z776" s="130"/>
      <c r="AB776" s="106"/>
    </row>
    <row r="777">
      <c r="C777" s="79"/>
      <c r="D777" s="79"/>
      <c r="E777" s="79"/>
      <c r="M777" s="79"/>
      <c r="R777" s="79"/>
      <c r="S777" s="79"/>
      <c r="V777" s="79"/>
      <c r="W777" s="79"/>
      <c r="Z777" s="130"/>
      <c r="AB777" s="106"/>
    </row>
    <row r="778">
      <c r="C778" s="79"/>
      <c r="D778" s="79"/>
      <c r="E778" s="79"/>
      <c r="M778" s="79"/>
      <c r="R778" s="79"/>
      <c r="S778" s="79"/>
      <c r="V778" s="79"/>
      <c r="W778" s="79"/>
      <c r="Z778" s="130"/>
      <c r="AB778" s="106"/>
    </row>
    <row r="779">
      <c r="C779" s="79"/>
      <c r="D779" s="79"/>
      <c r="E779" s="79"/>
      <c r="M779" s="79"/>
      <c r="R779" s="79"/>
      <c r="S779" s="79"/>
      <c r="V779" s="79"/>
      <c r="W779" s="79"/>
      <c r="Z779" s="130"/>
      <c r="AB779" s="106"/>
    </row>
    <row r="780">
      <c r="C780" s="79"/>
      <c r="D780" s="79"/>
      <c r="E780" s="79"/>
      <c r="M780" s="79"/>
      <c r="R780" s="79"/>
      <c r="S780" s="79"/>
      <c r="V780" s="79"/>
      <c r="W780" s="79"/>
      <c r="Z780" s="130"/>
      <c r="AB780" s="106"/>
    </row>
    <row r="781">
      <c r="C781" s="79"/>
      <c r="D781" s="79"/>
      <c r="E781" s="79"/>
      <c r="M781" s="79"/>
      <c r="R781" s="79"/>
      <c r="S781" s="79"/>
      <c r="V781" s="79"/>
      <c r="W781" s="79"/>
      <c r="Z781" s="130"/>
      <c r="AB781" s="106"/>
    </row>
    <row r="782">
      <c r="C782" s="79"/>
      <c r="D782" s="79"/>
      <c r="E782" s="79"/>
      <c r="M782" s="79"/>
      <c r="R782" s="79"/>
      <c r="S782" s="79"/>
      <c r="V782" s="79"/>
      <c r="W782" s="79"/>
      <c r="Z782" s="130"/>
      <c r="AB782" s="106"/>
    </row>
    <row r="783">
      <c r="C783" s="79"/>
      <c r="D783" s="79"/>
      <c r="E783" s="79"/>
      <c r="M783" s="79"/>
      <c r="R783" s="79"/>
      <c r="S783" s="79"/>
      <c r="V783" s="79"/>
      <c r="W783" s="79"/>
      <c r="Z783" s="130"/>
      <c r="AB783" s="106"/>
    </row>
    <row r="784">
      <c r="C784" s="79"/>
      <c r="D784" s="79"/>
      <c r="E784" s="79"/>
      <c r="M784" s="79"/>
      <c r="R784" s="79"/>
      <c r="S784" s="79"/>
      <c r="V784" s="79"/>
      <c r="W784" s="79"/>
      <c r="Z784" s="130"/>
      <c r="AB784" s="106"/>
    </row>
    <row r="785">
      <c r="C785" s="79"/>
      <c r="D785" s="79"/>
      <c r="E785" s="79"/>
      <c r="M785" s="79"/>
      <c r="R785" s="79"/>
      <c r="S785" s="79"/>
      <c r="V785" s="79"/>
      <c r="W785" s="79"/>
      <c r="Z785" s="130"/>
      <c r="AB785" s="106"/>
    </row>
    <row r="786">
      <c r="C786" s="79"/>
      <c r="D786" s="79"/>
      <c r="E786" s="79"/>
      <c r="M786" s="79"/>
      <c r="R786" s="79"/>
      <c r="S786" s="79"/>
      <c r="V786" s="79"/>
      <c r="W786" s="79"/>
      <c r="Z786" s="130"/>
      <c r="AB786" s="106"/>
    </row>
    <row r="787">
      <c r="C787" s="79"/>
      <c r="D787" s="79"/>
      <c r="E787" s="79"/>
      <c r="M787" s="79"/>
      <c r="R787" s="79"/>
      <c r="S787" s="79"/>
      <c r="V787" s="79"/>
      <c r="W787" s="79"/>
      <c r="Z787" s="130"/>
      <c r="AB787" s="106"/>
    </row>
    <row r="788">
      <c r="C788" s="79"/>
      <c r="D788" s="79"/>
      <c r="E788" s="79"/>
      <c r="M788" s="79"/>
      <c r="R788" s="79"/>
      <c r="S788" s="79"/>
      <c r="V788" s="79"/>
      <c r="W788" s="79"/>
      <c r="Z788" s="130"/>
      <c r="AB788" s="106"/>
    </row>
    <row r="789">
      <c r="C789" s="79"/>
      <c r="D789" s="79"/>
      <c r="E789" s="79"/>
      <c r="M789" s="79"/>
      <c r="R789" s="79"/>
      <c r="S789" s="79"/>
      <c r="V789" s="79"/>
      <c r="W789" s="79"/>
      <c r="Z789" s="130"/>
      <c r="AB789" s="106"/>
    </row>
    <row r="790">
      <c r="C790" s="79"/>
      <c r="D790" s="79"/>
      <c r="E790" s="79"/>
      <c r="M790" s="79"/>
      <c r="R790" s="79"/>
      <c r="S790" s="79"/>
      <c r="V790" s="79"/>
      <c r="W790" s="79"/>
      <c r="Z790" s="130"/>
      <c r="AB790" s="106"/>
    </row>
    <row r="791">
      <c r="C791" s="79"/>
      <c r="D791" s="79"/>
      <c r="E791" s="79"/>
      <c r="M791" s="79"/>
      <c r="R791" s="79"/>
      <c r="S791" s="79"/>
      <c r="V791" s="79"/>
      <c r="W791" s="79"/>
      <c r="Z791" s="130"/>
      <c r="AB791" s="106"/>
    </row>
    <row r="792">
      <c r="C792" s="79"/>
      <c r="D792" s="79"/>
      <c r="E792" s="79"/>
      <c r="M792" s="79"/>
      <c r="R792" s="79"/>
      <c r="S792" s="79"/>
      <c r="V792" s="79"/>
      <c r="W792" s="79"/>
      <c r="Z792" s="130"/>
      <c r="AB792" s="106"/>
    </row>
    <row r="793">
      <c r="C793" s="79"/>
      <c r="D793" s="79"/>
      <c r="E793" s="79"/>
      <c r="M793" s="79"/>
      <c r="R793" s="79"/>
      <c r="S793" s="79"/>
      <c r="V793" s="79"/>
      <c r="W793" s="79"/>
      <c r="Z793" s="130"/>
      <c r="AB793" s="106"/>
    </row>
    <row r="794">
      <c r="C794" s="79"/>
      <c r="D794" s="79"/>
      <c r="E794" s="79"/>
      <c r="M794" s="79"/>
      <c r="R794" s="79"/>
      <c r="S794" s="79"/>
      <c r="V794" s="79"/>
      <c r="W794" s="79"/>
      <c r="Z794" s="130"/>
      <c r="AB794" s="106"/>
    </row>
    <row r="795">
      <c r="C795" s="79"/>
      <c r="D795" s="79"/>
      <c r="E795" s="79"/>
      <c r="M795" s="79"/>
      <c r="R795" s="79"/>
      <c r="S795" s="79"/>
      <c r="V795" s="79"/>
      <c r="W795" s="79"/>
      <c r="Z795" s="130"/>
      <c r="AB795" s="106"/>
    </row>
    <row r="796">
      <c r="C796" s="79"/>
      <c r="D796" s="79"/>
      <c r="E796" s="79"/>
      <c r="M796" s="79"/>
      <c r="R796" s="79"/>
      <c r="S796" s="79"/>
      <c r="V796" s="79"/>
      <c r="W796" s="79"/>
      <c r="Z796" s="130"/>
      <c r="AB796" s="106"/>
    </row>
    <row r="797">
      <c r="C797" s="79"/>
      <c r="D797" s="79"/>
      <c r="E797" s="79"/>
      <c r="M797" s="79"/>
      <c r="R797" s="79"/>
      <c r="S797" s="79"/>
      <c r="V797" s="79"/>
      <c r="W797" s="79"/>
      <c r="Z797" s="130"/>
      <c r="AB797" s="106"/>
    </row>
    <row r="798">
      <c r="C798" s="79"/>
      <c r="D798" s="79"/>
      <c r="E798" s="79"/>
      <c r="M798" s="79"/>
      <c r="R798" s="79"/>
      <c r="S798" s="79"/>
      <c r="V798" s="79"/>
      <c r="W798" s="79"/>
      <c r="Z798" s="130"/>
      <c r="AB798" s="106"/>
    </row>
    <row r="799">
      <c r="C799" s="79"/>
      <c r="D799" s="79"/>
      <c r="E799" s="79"/>
      <c r="M799" s="79"/>
      <c r="R799" s="79"/>
      <c r="S799" s="79"/>
      <c r="V799" s="79"/>
      <c r="W799" s="79"/>
      <c r="Z799" s="130"/>
      <c r="AB799" s="106"/>
    </row>
    <row r="800">
      <c r="C800" s="79"/>
      <c r="D800" s="79"/>
      <c r="E800" s="79"/>
      <c r="M800" s="79"/>
      <c r="R800" s="79"/>
      <c r="S800" s="79"/>
      <c r="V800" s="79"/>
      <c r="W800" s="79"/>
      <c r="Z800" s="130"/>
      <c r="AB800" s="106"/>
    </row>
    <row r="801">
      <c r="C801" s="79"/>
      <c r="D801" s="79"/>
      <c r="E801" s="79"/>
      <c r="M801" s="79"/>
      <c r="R801" s="79"/>
      <c r="S801" s="79"/>
      <c r="V801" s="79"/>
      <c r="W801" s="79"/>
      <c r="Z801" s="130"/>
      <c r="AB801" s="106"/>
    </row>
    <row r="802">
      <c r="C802" s="79"/>
      <c r="D802" s="79"/>
      <c r="E802" s="79"/>
      <c r="M802" s="79"/>
      <c r="R802" s="79"/>
      <c r="S802" s="79"/>
      <c r="V802" s="79"/>
      <c r="W802" s="79"/>
      <c r="Z802" s="130"/>
      <c r="AB802" s="106"/>
    </row>
    <row r="803">
      <c r="C803" s="79"/>
      <c r="D803" s="79"/>
      <c r="E803" s="79"/>
      <c r="M803" s="79"/>
      <c r="R803" s="79"/>
      <c r="S803" s="79"/>
      <c r="V803" s="79"/>
      <c r="W803" s="79"/>
      <c r="Z803" s="130"/>
      <c r="AB803" s="106"/>
    </row>
    <row r="804">
      <c r="C804" s="79"/>
      <c r="D804" s="79"/>
      <c r="E804" s="79"/>
      <c r="M804" s="79"/>
      <c r="R804" s="79"/>
      <c r="S804" s="79"/>
      <c r="V804" s="79"/>
      <c r="W804" s="79"/>
      <c r="Z804" s="130"/>
      <c r="AB804" s="106"/>
    </row>
    <row r="805">
      <c r="C805" s="79"/>
      <c r="D805" s="79"/>
      <c r="E805" s="79"/>
      <c r="M805" s="79"/>
      <c r="R805" s="79"/>
      <c r="S805" s="79"/>
      <c r="V805" s="79"/>
      <c r="W805" s="79"/>
      <c r="Z805" s="130"/>
      <c r="AB805" s="106"/>
    </row>
    <row r="806">
      <c r="C806" s="79"/>
      <c r="D806" s="79"/>
      <c r="E806" s="79"/>
      <c r="M806" s="79"/>
      <c r="R806" s="79"/>
      <c r="S806" s="79"/>
      <c r="V806" s="79"/>
      <c r="W806" s="79"/>
      <c r="Z806" s="130"/>
      <c r="AB806" s="106"/>
    </row>
    <row r="807">
      <c r="C807" s="79"/>
      <c r="D807" s="79"/>
      <c r="E807" s="79"/>
      <c r="M807" s="79"/>
      <c r="R807" s="79"/>
      <c r="S807" s="79"/>
      <c r="V807" s="79"/>
      <c r="W807" s="79"/>
      <c r="Z807" s="130"/>
      <c r="AB807" s="106"/>
    </row>
    <row r="808">
      <c r="C808" s="79"/>
      <c r="D808" s="79"/>
      <c r="E808" s="79"/>
      <c r="M808" s="79"/>
      <c r="R808" s="79"/>
      <c r="S808" s="79"/>
      <c r="V808" s="79"/>
      <c r="W808" s="79"/>
      <c r="Z808" s="130"/>
      <c r="AB808" s="106"/>
    </row>
    <row r="809">
      <c r="C809" s="79"/>
      <c r="D809" s="79"/>
      <c r="E809" s="79"/>
      <c r="M809" s="79"/>
      <c r="R809" s="79"/>
      <c r="S809" s="79"/>
      <c r="V809" s="79"/>
      <c r="W809" s="79"/>
      <c r="Z809" s="130"/>
      <c r="AB809" s="106"/>
    </row>
    <row r="810">
      <c r="C810" s="79"/>
      <c r="D810" s="79"/>
      <c r="E810" s="79"/>
      <c r="M810" s="79"/>
      <c r="R810" s="79"/>
      <c r="S810" s="79"/>
      <c r="V810" s="79"/>
      <c r="W810" s="79"/>
      <c r="Z810" s="130"/>
      <c r="AB810" s="106"/>
    </row>
    <row r="811">
      <c r="C811" s="79"/>
      <c r="D811" s="79"/>
      <c r="E811" s="79"/>
      <c r="M811" s="79"/>
      <c r="R811" s="79"/>
      <c r="S811" s="79"/>
      <c r="V811" s="79"/>
      <c r="W811" s="79"/>
      <c r="Z811" s="130"/>
      <c r="AB811" s="106"/>
    </row>
    <row r="812">
      <c r="C812" s="79"/>
      <c r="D812" s="79"/>
      <c r="E812" s="79"/>
      <c r="M812" s="79"/>
      <c r="R812" s="79"/>
      <c r="S812" s="79"/>
      <c r="V812" s="79"/>
      <c r="W812" s="79"/>
      <c r="Z812" s="130"/>
      <c r="AB812" s="106"/>
    </row>
    <row r="813">
      <c r="C813" s="79"/>
      <c r="D813" s="79"/>
      <c r="E813" s="79"/>
      <c r="M813" s="79"/>
      <c r="R813" s="79"/>
      <c r="S813" s="79"/>
      <c r="V813" s="79"/>
      <c r="W813" s="79"/>
      <c r="Z813" s="130"/>
      <c r="AB813" s="106"/>
    </row>
    <row r="814">
      <c r="C814" s="79"/>
      <c r="D814" s="79"/>
      <c r="E814" s="79"/>
      <c r="M814" s="79"/>
      <c r="R814" s="79"/>
      <c r="S814" s="79"/>
      <c r="V814" s="79"/>
      <c r="W814" s="79"/>
      <c r="Z814" s="130"/>
      <c r="AB814" s="106"/>
    </row>
    <row r="815">
      <c r="C815" s="79"/>
      <c r="D815" s="79"/>
      <c r="E815" s="79"/>
      <c r="M815" s="79"/>
      <c r="R815" s="79"/>
      <c r="S815" s="79"/>
      <c r="V815" s="79"/>
      <c r="W815" s="79"/>
      <c r="Z815" s="130"/>
      <c r="AB815" s="106"/>
    </row>
    <row r="816">
      <c r="C816" s="79"/>
      <c r="D816" s="79"/>
      <c r="E816" s="79"/>
      <c r="M816" s="79"/>
      <c r="R816" s="79"/>
      <c r="S816" s="79"/>
      <c r="V816" s="79"/>
      <c r="W816" s="79"/>
      <c r="Z816" s="130"/>
      <c r="AB816" s="106"/>
    </row>
    <row r="817">
      <c r="C817" s="79"/>
      <c r="D817" s="79"/>
      <c r="E817" s="79"/>
      <c r="M817" s="79"/>
      <c r="R817" s="79"/>
      <c r="S817" s="79"/>
      <c r="V817" s="79"/>
      <c r="W817" s="79"/>
      <c r="Z817" s="130"/>
      <c r="AB817" s="106"/>
    </row>
    <row r="818">
      <c r="C818" s="79"/>
      <c r="D818" s="79"/>
      <c r="E818" s="79"/>
      <c r="M818" s="79"/>
      <c r="R818" s="79"/>
      <c r="S818" s="79"/>
      <c r="V818" s="79"/>
      <c r="W818" s="79"/>
      <c r="Z818" s="130"/>
      <c r="AB818" s="106"/>
    </row>
    <row r="819">
      <c r="C819" s="79"/>
      <c r="D819" s="79"/>
      <c r="E819" s="79"/>
      <c r="M819" s="79"/>
      <c r="R819" s="79"/>
      <c r="S819" s="79"/>
      <c r="V819" s="79"/>
      <c r="W819" s="79"/>
      <c r="Z819" s="130"/>
      <c r="AB819" s="106"/>
    </row>
    <row r="820">
      <c r="C820" s="79"/>
      <c r="D820" s="79"/>
      <c r="E820" s="79"/>
      <c r="M820" s="79"/>
      <c r="R820" s="79"/>
      <c r="S820" s="79"/>
      <c r="V820" s="79"/>
      <c r="W820" s="79"/>
      <c r="Z820" s="130"/>
      <c r="AB820" s="106"/>
    </row>
    <row r="821">
      <c r="C821" s="79"/>
      <c r="D821" s="79"/>
      <c r="E821" s="79"/>
      <c r="M821" s="79"/>
      <c r="R821" s="79"/>
      <c r="S821" s="79"/>
      <c r="V821" s="79"/>
      <c r="W821" s="79"/>
      <c r="Z821" s="130"/>
      <c r="AB821" s="106"/>
    </row>
    <row r="822">
      <c r="C822" s="79"/>
      <c r="D822" s="79"/>
      <c r="E822" s="79"/>
      <c r="M822" s="79"/>
      <c r="R822" s="79"/>
      <c r="S822" s="79"/>
      <c r="V822" s="79"/>
      <c r="W822" s="79"/>
      <c r="Z822" s="130"/>
      <c r="AB822" s="106"/>
    </row>
    <row r="823">
      <c r="C823" s="79"/>
      <c r="D823" s="79"/>
      <c r="E823" s="79"/>
      <c r="M823" s="79"/>
      <c r="R823" s="79"/>
      <c r="S823" s="79"/>
      <c r="V823" s="79"/>
      <c r="W823" s="79"/>
      <c r="Z823" s="130"/>
      <c r="AB823" s="106"/>
    </row>
    <row r="824">
      <c r="C824" s="79"/>
      <c r="D824" s="79"/>
      <c r="E824" s="79"/>
      <c r="M824" s="79"/>
      <c r="R824" s="79"/>
      <c r="S824" s="79"/>
      <c r="V824" s="79"/>
      <c r="W824" s="79"/>
      <c r="Z824" s="130"/>
      <c r="AB824" s="106"/>
    </row>
    <row r="825">
      <c r="C825" s="79"/>
      <c r="D825" s="79"/>
      <c r="E825" s="79"/>
      <c r="M825" s="79"/>
      <c r="R825" s="79"/>
      <c r="S825" s="79"/>
      <c r="V825" s="79"/>
      <c r="W825" s="79"/>
      <c r="Z825" s="130"/>
      <c r="AB825" s="106"/>
    </row>
    <row r="826">
      <c r="C826" s="79"/>
      <c r="D826" s="79"/>
      <c r="E826" s="79"/>
      <c r="M826" s="79"/>
      <c r="R826" s="79"/>
      <c r="S826" s="79"/>
      <c r="V826" s="79"/>
      <c r="W826" s="79"/>
      <c r="Z826" s="130"/>
      <c r="AB826" s="106"/>
    </row>
    <row r="827">
      <c r="C827" s="79"/>
      <c r="D827" s="79"/>
      <c r="E827" s="79"/>
      <c r="M827" s="79"/>
      <c r="R827" s="79"/>
      <c r="S827" s="79"/>
      <c r="V827" s="79"/>
      <c r="W827" s="79"/>
      <c r="Z827" s="130"/>
      <c r="AB827" s="106"/>
    </row>
    <row r="828">
      <c r="C828" s="79"/>
      <c r="D828" s="79"/>
      <c r="E828" s="79"/>
      <c r="M828" s="79"/>
      <c r="R828" s="79"/>
      <c r="S828" s="79"/>
      <c r="V828" s="79"/>
      <c r="W828" s="79"/>
      <c r="Z828" s="130"/>
      <c r="AB828" s="106"/>
    </row>
    <row r="829">
      <c r="C829" s="79"/>
      <c r="D829" s="79"/>
      <c r="E829" s="79"/>
      <c r="M829" s="79"/>
      <c r="R829" s="79"/>
      <c r="S829" s="79"/>
      <c r="V829" s="79"/>
      <c r="W829" s="79"/>
      <c r="Z829" s="130"/>
      <c r="AB829" s="106"/>
    </row>
    <row r="830">
      <c r="C830" s="79"/>
      <c r="D830" s="79"/>
      <c r="E830" s="79"/>
      <c r="M830" s="79"/>
      <c r="R830" s="79"/>
      <c r="S830" s="79"/>
      <c r="V830" s="79"/>
      <c r="W830" s="79"/>
      <c r="Z830" s="130"/>
      <c r="AB830" s="106"/>
    </row>
    <row r="831">
      <c r="C831" s="79"/>
      <c r="D831" s="79"/>
      <c r="E831" s="79"/>
      <c r="M831" s="79"/>
      <c r="R831" s="79"/>
      <c r="S831" s="79"/>
      <c r="V831" s="79"/>
      <c r="W831" s="79"/>
      <c r="Z831" s="130"/>
      <c r="AB831" s="106"/>
    </row>
    <row r="832">
      <c r="C832" s="79"/>
      <c r="D832" s="79"/>
      <c r="E832" s="79"/>
      <c r="M832" s="79"/>
      <c r="R832" s="79"/>
      <c r="S832" s="79"/>
      <c r="V832" s="79"/>
      <c r="W832" s="79"/>
      <c r="Z832" s="130"/>
      <c r="AB832" s="106"/>
    </row>
    <row r="833">
      <c r="C833" s="79"/>
      <c r="D833" s="79"/>
      <c r="E833" s="79"/>
      <c r="M833" s="79"/>
      <c r="R833" s="79"/>
      <c r="S833" s="79"/>
      <c r="V833" s="79"/>
      <c r="W833" s="79"/>
      <c r="Z833" s="130"/>
      <c r="AB833" s="106"/>
    </row>
    <row r="834">
      <c r="C834" s="79"/>
      <c r="D834" s="79"/>
      <c r="E834" s="79"/>
      <c r="M834" s="79"/>
      <c r="R834" s="79"/>
      <c r="S834" s="79"/>
      <c r="V834" s="79"/>
      <c r="W834" s="79"/>
      <c r="Z834" s="130"/>
      <c r="AB834" s="106"/>
    </row>
    <row r="835">
      <c r="C835" s="79"/>
      <c r="D835" s="79"/>
      <c r="E835" s="79"/>
      <c r="M835" s="79"/>
      <c r="R835" s="79"/>
      <c r="S835" s="79"/>
      <c r="V835" s="79"/>
      <c r="W835" s="79"/>
      <c r="Z835" s="130"/>
      <c r="AB835" s="106"/>
    </row>
    <row r="836">
      <c r="C836" s="79"/>
      <c r="D836" s="79"/>
      <c r="E836" s="79"/>
      <c r="M836" s="79"/>
      <c r="R836" s="79"/>
      <c r="S836" s="79"/>
      <c r="V836" s="79"/>
      <c r="W836" s="79"/>
      <c r="Z836" s="130"/>
      <c r="AB836" s="106"/>
    </row>
    <row r="837">
      <c r="C837" s="79"/>
      <c r="D837" s="79"/>
      <c r="E837" s="79"/>
      <c r="M837" s="79"/>
      <c r="R837" s="79"/>
      <c r="S837" s="79"/>
      <c r="V837" s="79"/>
      <c r="W837" s="79"/>
      <c r="Z837" s="130"/>
      <c r="AB837" s="106"/>
    </row>
    <row r="838">
      <c r="C838" s="79"/>
      <c r="D838" s="79"/>
      <c r="E838" s="79"/>
      <c r="M838" s="79"/>
      <c r="R838" s="79"/>
      <c r="S838" s="79"/>
      <c r="V838" s="79"/>
      <c r="W838" s="79"/>
      <c r="Z838" s="130"/>
      <c r="AB838" s="106"/>
    </row>
    <row r="839">
      <c r="C839" s="79"/>
      <c r="D839" s="79"/>
      <c r="E839" s="79"/>
      <c r="M839" s="79"/>
      <c r="R839" s="79"/>
      <c r="S839" s="79"/>
      <c r="V839" s="79"/>
      <c r="W839" s="79"/>
      <c r="Z839" s="130"/>
      <c r="AB839" s="106"/>
    </row>
    <row r="840">
      <c r="C840" s="79"/>
      <c r="D840" s="79"/>
      <c r="E840" s="79"/>
      <c r="M840" s="79"/>
      <c r="R840" s="79"/>
      <c r="S840" s="79"/>
      <c r="V840" s="79"/>
      <c r="W840" s="79"/>
      <c r="Z840" s="130"/>
      <c r="AB840" s="106"/>
    </row>
    <row r="841">
      <c r="C841" s="79"/>
      <c r="D841" s="79"/>
      <c r="E841" s="79"/>
      <c r="M841" s="79"/>
      <c r="R841" s="79"/>
      <c r="S841" s="79"/>
      <c r="V841" s="79"/>
      <c r="W841" s="79"/>
      <c r="Z841" s="130"/>
      <c r="AB841" s="106"/>
    </row>
    <row r="842">
      <c r="C842" s="79"/>
      <c r="D842" s="79"/>
      <c r="E842" s="79"/>
      <c r="M842" s="79"/>
      <c r="R842" s="79"/>
      <c r="S842" s="79"/>
      <c r="V842" s="79"/>
      <c r="W842" s="79"/>
      <c r="Z842" s="130"/>
      <c r="AB842" s="106"/>
    </row>
    <row r="843">
      <c r="C843" s="79"/>
      <c r="D843" s="79"/>
      <c r="E843" s="79"/>
      <c r="M843" s="79"/>
      <c r="R843" s="79"/>
      <c r="S843" s="79"/>
      <c r="V843" s="79"/>
      <c r="W843" s="79"/>
      <c r="Z843" s="130"/>
      <c r="AB843" s="106"/>
    </row>
    <row r="844">
      <c r="C844" s="79"/>
      <c r="D844" s="79"/>
      <c r="E844" s="79"/>
      <c r="M844" s="79"/>
      <c r="R844" s="79"/>
      <c r="S844" s="79"/>
      <c r="V844" s="79"/>
      <c r="W844" s="79"/>
      <c r="Z844" s="130"/>
      <c r="AB844" s="106"/>
    </row>
    <row r="845">
      <c r="C845" s="79"/>
      <c r="D845" s="79"/>
      <c r="E845" s="79"/>
      <c r="M845" s="79"/>
      <c r="R845" s="79"/>
      <c r="S845" s="79"/>
      <c r="V845" s="79"/>
      <c r="W845" s="79"/>
      <c r="Z845" s="130"/>
      <c r="AB845" s="106"/>
    </row>
    <row r="846">
      <c r="C846" s="79"/>
      <c r="D846" s="79"/>
      <c r="E846" s="79"/>
      <c r="M846" s="79"/>
      <c r="R846" s="79"/>
      <c r="S846" s="79"/>
      <c r="V846" s="79"/>
      <c r="W846" s="79"/>
      <c r="Z846" s="130"/>
      <c r="AB846" s="106"/>
    </row>
    <row r="847">
      <c r="C847" s="79"/>
      <c r="D847" s="79"/>
      <c r="E847" s="79"/>
      <c r="M847" s="79"/>
      <c r="R847" s="79"/>
      <c r="S847" s="79"/>
      <c r="V847" s="79"/>
      <c r="W847" s="79"/>
      <c r="Z847" s="130"/>
      <c r="AB847" s="106"/>
    </row>
    <row r="848">
      <c r="C848" s="79"/>
      <c r="D848" s="79"/>
      <c r="E848" s="79"/>
      <c r="M848" s="79"/>
      <c r="R848" s="79"/>
      <c r="S848" s="79"/>
      <c r="V848" s="79"/>
      <c r="W848" s="79"/>
      <c r="Z848" s="130"/>
      <c r="AB848" s="106"/>
    </row>
    <row r="849">
      <c r="C849" s="79"/>
      <c r="D849" s="79"/>
      <c r="E849" s="79"/>
      <c r="M849" s="79"/>
      <c r="R849" s="79"/>
      <c r="S849" s="79"/>
      <c r="V849" s="79"/>
      <c r="W849" s="79"/>
      <c r="Z849" s="130"/>
      <c r="AB849" s="106"/>
    </row>
    <row r="850">
      <c r="C850" s="79"/>
      <c r="D850" s="79"/>
      <c r="E850" s="79"/>
      <c r="M850" s="79"/>
      <c r="R850" s="79"/>
      <c r="S850" s="79"/>
      <c r="V850" s="79"/>
      <c r="W850" s="79"/>
      <c r="Z850" s="130"/>
      <c r="AB850" s="106"/>
    </row>
    <row r="851">
      <c r="C851" s="79"/>
      <c r="D851" s="79"/>
      <c r="E851" s="79"/>
      <c r="M851" s="79"/>
      <c r="R851" s="79"/>
      <c r="S851" s="79"/>
      <c r="V851" s="79"/>
      <c r="W851" s="79"/>
      <c r="Z851" s="130"/>
      <c r="AB851" s="106"/>
    </row>
    <row r="852">
      <c r="C852" s="79"/>
      <c r="D852" s="79"/>
      <c r="E852" s="79"/>
      <c r="M852" s="79"/>
      <c r="R852" s="79"/>
      <c r="S852" s="79"/>
      <c r="V852" s="79"/>
      <c r="W852" s="79"/>
      <c r="Z852" s="130"/>
      <c r="AB852" s="106"/>
    </row>
    <row r="853">
      <c r="C853" s="79"/>
      <c r="D853" s="79"/>
      <c r="E853" s="79"/>
      <c r="M853" s="79"/>
      <c r="R853" s="79"/>
      <c r="S853" s="79"/>
      <c r="V853" s="79"/>
      <c r="W853" s="79"/>
      <c r="Z853" s="130"/>
      <c r="AB853" s="106"/>
    </row>
    <row r="854">
      <c r="C854" s="79"/>
      <c r="D854" s="79"/>
      <c r="E854" s="79"/>
      <c r="M854" s="79"/>
      <c r="R854" s="79"/>
      <c r="S854" s="79"/>
      <c r="V854" s="79"/>
      <c r="W854" s="79"/>
      <c r="Z854" s="130"/>
      <c r="AB854" s="106"/>
    </row>
    <row r="855">
      <c r="C855" s="79"/>
      <c r="D855" s="79"/>
      <c r="E855" s="79"/>
      <c r="M855" s="79"/>
      <c r="R855" s="79"/>
      <c r="S855" s="79"/>
      <c r="V855" s="79"/>
      <c r="W855" s="79"/>
      <c r="Z855" s="130"/>
      <c r="AB855" s="106"/>
    </row>
    <row r="856">
      <c r="C856" s="79"/>
      <c r="D856" s="79"/>
      <c r="E856" s="79"/>
      <c r="M856" s="79"/>
      <c r="R856" s="79"/>
      <c r="S856" s="79"/>
      <c r="V856" s="79"/>
      <c r="W856" s="79"/>
      <c r="Z856" s="130"/>
      <c r="AB856" s="106"/>
    </row>
    <row r="857">
      <c r="C857" s="79"/>
      <c r="D857" s="79"/>
      <c r="E857" s="79"/>
      <c r="M857" s="79"/>
      <c r="R857" s="79"/>
      <c r="S857" s="79"/>
      <c r="V857" s="79"/>
      <c r="W857" s="79"/>
      <c r="Z857" s="130"/>
      <c r="AB857" s="106"/>
    </row>
    <row r="858">
      <c r="C858" s="79"/>
      <c r="D858" s="79"/>
      <c r="E858" s="79"/>
      <c r="M858" s="79"/>
      <c r="R858" s="79"/>
      <c r="S858" s="79"/>
      <c r="V858" s="79"/>
      <c r="W858" s="79"/>
      <c r="Z858" s="130"/>
      <c r="AB858" s="106"/>
    </row>
    <row r="859">
      <c r="C859" s="79"/>
      <c r="D859" s="79"/>
      <c r="E859" s="79"/>
      <c r="M859" s="79"/>
      <c r="R859" s="79"/>
      <c r="S859" s="79"/>
      <c r="V859" s="79"/>
      <c r="W859" s="79"/>
      <c r="Z859" s="130"/>
      <c r="AB859" s="106"/>
    </row>
    <row r="860">
      <c r="C860" s="79"/>
      <c r="D860" s="79"/>
      <c r="E860" s="79"/>
      <c r="M860" s="79"/>
      <c r="R860" s="79"/>
      <c r="S860" s="79"/>
      <c r="V860" s="79"/>
      <c r="W860" s="79"/>
      <c r="Z860" s="130"/>
      <c r="AB860" s="106"/>
    </row>
    <row r="861">
      <c r="C861" s="79"/>
      <c r="D861" s="79"/>
      <c r="E861" s="79"/>
      <c r="M861" s="79"/>
      <c r="R861" s="79"/>
      <c r="S861" s="79"/>
      <c r="V861" s="79"/>
      <c r="W861" s="79"/>
      <c r="Z861" s="130"/>
      <c r="AB861" s="106"/>
    </row>
    <row r="862">
      <c r="C862" s="79"/>
      <c r="D862" s="79"/>
      <c r="E862" s="79"/>
      <c r="M862" s="79"/>
      <c r="R862" s="79"/>
      <c r="S862" s="79"/>
      <c r="V862" s="79"/>
      <c r="W862" s="79"/>
      <c r="Z862" s="130"/>
      <c r="AB862" s="106"/>
    </row>
    <row r="863">
      <c r="C863" s="79"/>
      <c r="D863" s="79"/>
      <c r="E863" s="79"/>
      <c r="M863" s="79"/>
      <c r="R863" s="79"/>
      <c r="S863" s="79"/>
      <c r="V863" s="79"/>
      <c r="W863" s="79"/>
      <c r="Z863" s="130"/>
      <c r="AB863" s="106"/>
    </row>
    <row r="864">
      <c r="C864" s="79"/>
      <c r="D864" s="79"/>
      <c r="E864" s="79"/>
      <c r="M864" s="79"/>
      <c r="R864" s="79"/>
      <c r="S864" s="79"/>
      <c r="V864" s="79"/>
      <c r="W864" s="79"/>
      <c r="Z864" s="130"/>
      <c r="AB864" s="106"/>
    </row>
    <row r="865">
      <c r="C865" s="79"/>
      <c r="D865" s="79"/>
      <c r="E865" s="79"/>
      <c r="M865" s="79"/>
      <c r="R865" s="79"/>
      <c r="S865" s="79"/>
      <c r="V865" s="79"/>
      <c r="W865" s="79"/>
      <c r="Z865" s="130"/>
      <c r="AB865" s="106"/>
    </row>
    <row r="866">
      <c r="C866" s="79"/>
      <c r="D866" s="79"/>
      <c r="E866" s="79"/>
      <c r="M866" s="79"/>
      <c r="R866" s="79"/>
      <c r="S866" s="79"/>
      <c r="V866" s="79"/>
      <c r="W866" s="79"/>
      <c r="Z866" s="130"/>
      <c r="AB866" s="106"/>
    </row>
    <row r="867">
      <c r="C867" s="79"/>
      <c r="D867" s="79"/>
      <c r="E867" s="79"/>
      <c r="M867" s="79"/>
      <c r="R867" s="79"/>
      <c r="S867" s="79"/>
      <c r="V867" s="79"/>
      <c r="W867" s="79"/>
      <c r="Z867" s="130"/>
      <c r="AB867" s="106"/>
    </row>
    <row r="868">
      <c r="C868" s="79"/>
      <c r="D868" s="79"/>
      <c r="E868" s="79"/>
      <c r="M868" s="79"/>
      <c r="R868" s="79"/>
      <c r="S868" s="79"/>
      <c r="V868" s="79"/>
      <c r="W868" s="79"/>
      <c r="Z868" s="130"/>
      <c r="AB868" s="106"/>
    </row>
    <row r="869">
      <c r="C869" s="79"/>
      <c r="D869" s="79"/>
      <c r="E869" s="79"/>
      <c r="M869" s="79"/>
      <c r="R869" s="79"/>
      <c r="S869" s="79"/>
      <c r="V869" s="79"/>
      <c r="W869" s="79"/>
      <c r="Z869" s="130"/>
      <c r="AB869" s="106"/>
    </row>
    <row r="870">
      <c r="C870" s="79"/>
      <c r="D870" s="79"/>
      <c r="E870" s="79"/>
      <c r="M870" s="79"/>
      <c r="R870" s="79"/>
      <c r="S870" s="79"/>
      <c r="V870" s="79"/>
      <c r="W870" s="79"/>
      <c r="Z870" s="130"/>
      <c r="AB870" s="106"/>
    </row>
    <row r="871">
      <c r="C871" s="79"/>
      <c r="D871" s="79"/>
      <c r="E871" s="79"/>
      <c r="M871" s="79"/>
      <c r="R871" s="79"/>
      <c r="S871" s="79"/>
      <c r="V871" s="79"/>
      <c r="W871" s="79"/>
      <c r="Z871" s="130"/>
      <c r="AB871" s="106"/>
    </row>
    <row r="872">
      <c r="C872" s="79"/>
      <c r="D872" s="79"/>
      <c r="E872" s="79"/>
      <c r="M872" s="79"/>
      <c r="R872" s="79"/>
      <c r="S872" s="79"/>
      <c r="V872" s="79"/>
      <c r="W872" s="79"/>
      <c r="Z872" s="130"/>
      <c r="AB872" s="106"/>
    </row>
    <row r="873">
      <c r="C873" s="79"/>
      <c r="D873" s="79"/>
      <c r="E873" s="79"/>
      <c r="M873" s="79"/>
      <c r="R873" s="79"/>
      <c r="S873" s="79"/>
      <c r="V873" s="79"/>
      <c r="W873" s="79"/>
      <c r="Z873" s="130"/>
      <c r="AB873" s="106"/>
    </row>
    <row r="874">
      <c r="C874" s="79"/>
      <c r="D874" s="79"/>
      <c r="E874" s="79"/>
      <c r="M874" s="79"/>
      <c r="R874" s="79"/>
      <c r="S874" s="79"/>
      <c r="V874" s="79"/>
      <c r="W874" s="79"/>
      <c r="Z874" s="130"/>
      <c r="AB874" s="106"/>
    </row>
    <row r="875">
      <c r="C875" s="79"/>
      <c r="D875" s="79"/>
      <c r="E875" s="79"/>
      <c r="M875" s="79"/>
      <c r="R875" s="79"/>
      <c r="S875" s="79"/>
      <c r="V875" s="79"/>
      <c r="W875" s="79"/>
      <c r="Z875" s="130"/>
      <c r="AB875" s="106"/>
    </row>
    <row r="876">
      <c r="C876" s="79"/>
      <c r="D876" s="79"/>
      <c r="E876" s="79"/>
      <c r="M876" s="79"/>
      <c r="R876" s="79"/>
      <c r="S876" s="79"/>
      <c r="V876" s="79"/>
      <c r="W876" s="79"/>
      <c r="Z876" s="130"/>
      <c r="AB876" s="106"/>
    </row>
    <row r="877">
      <c r="C877" s="79"/>
      <c r="D877" s="79"/>
      <c r="E877" s="79"/>
      <c r="M877" s="79"/>
      <c r="R877" s="79"/>
      <c r="S877" s="79"/>
      <c r="V877" s="79"/>
      <c r="W877" s="79"/>
      <c r="Z877" s="130"/>
      <c r="AB877" s="106"/>
    </row>
    <row r="878">
      <c r="C878" s="79"/>
      <c r="D878" s="79"/>
      <c r="E878" s="79"/>
      <c r="M878" s="79"/>
      <c r="R878" s="79"/>
      <c r="S878" s="79"/>
      <c r="V878" s="79"/>
      <c r="W878" s="79"/>
      <c r="Z878" s="130"/>
      <c r="AB878" s="106"/>
    </row>
    <row r="879">
      <c r="C879" s="79"/>
      <c r="D879" s="79"/>
      <c r="E879" s="79"/>
      <c r="M879" s="79"/>
      <c r="R879" s="79"/>
      <c r="S879" s="79"/>
      <c r="V879" s="79"/>
      <c r="W879" s="79"/>
      <c r="Z879" s="130"/>
      <c r="AB879" s="106"/>
    </row>
    <row r="880">
      <c r="C880" s="79"/>
      <c r="D880" s="79"/>
      <c r="E880" s="79"/>
      <c r="M880" s="79"/>
      <c r="R880" s="79"/>
      <c r="S880" s="79"/>
      <c r="V880" s="79"/>
      <c r="W880" s="79"/>
      <c r="Z880" s="130"/>
      <c r="AB880" s="106"/>
    </row>
    <row r="881">
      <c r="C881" s="79"/>
      <c r="D881" s="79"/>
      <c r="E881" s="79"/>
      <c r="M881" s="79"/>
      <c r="R881" s="79"/>
      <c r="S881" s="79"/>
      <c r="V881" s="79"/>
      <c r="W881" s="79"/>
      <c r="Z881" s="130"/>
      <c r="AB881" s="106"/>
    </row>
    <row r="882">
      <c r="C882" s="79"/>
      <c r="D882" s="79"/>
      <c r="E882" s="79"/>
      <c r="M882" s="79"/>
      <c r="R882" s="79"/>
      <c r="S882" s="79"/>
      <c r="V882" s="79"/>
      <c r="W882" s="79"/>
      <c r="Z882" s="130"/>
      <c r="AB882" s="106"/>
    </row>
    <row r="883">
      <c r="C883" s="79"/>
      <c r="D883" s="79"/>
      <c r="E883" s="79"/>
      <c r="M883" s="79"/>
      <c r="R883" s="79"/>
      <c r="S883" s="79"/>
      <c r="V883" s="79"/>
      <c r="W883" s="79"/>
      <c r="Z883" s="130"/>
      <c r="AB883" s="106"/>
    </row>
    <row r="884">
      <c r="C884" s="79"/>
      <c r="D884" s="79"/>
      <c r="E884" s="79"/>
      <c r="M884" s="79"/>
      <c r="R884" s="79"/>
      <c r="S884" s="79"/>
      <c r="V884" s="79"/>
      <c r="W884" s="79"/>
      <c r="Z884" s="130"/>
      <c r="AB884" s="106"/>
    </row>
    <row r="885">
      <c r="C885" s="79"/>
      <c r="D885" s="79"/>
      <c r="E885" s="79"/>
      <c r="M885" s="79"/>
      <c r="R885" s="79"/>
      <c r="S885" s="79"/>
      <c r="V885" s="79"/>
      <c r="W885" s="79"/>
      <c r="Z885" s="130"/>
      <c r="AB885" s="106"/>
    </row>
    <row r="886">
      <c r="C886" s="79"/>
      <c r="D886" s="79"/>
      <c r="E886" s="79"/>
      <c r="M886" s="79"/>
      <c r="R886" s="79"/>
      <c r="S886" s="79"/>
      <c r="V886" s="79"/>
      <c r="W886" s="79"/>
      <c r="Z886" s="130"/>
      <c r="AB886" s="106"/>
    </row>
    <row r="887">
      <c r="C887" s="79"/>
      <c r="D887" s="79"/>
      <c r="E887" s="79"/>
      <c r="M887" s="79"/>
      <c r="R887" s="79"/>
      <c r="S887" s="79"/>
      <c r="V887" s="79"/>
      <c r="W887" s="79"/>
      <c r="Z887" s="130"/>
      <c r="AB887" s="106"/>
    </row>
    <row r="888">
      <c r="C888" s="79"/>
      <c r="D888" s="79"/>
      <c r="E888" s="79"/>
      <c r="M888" s="79"/>
      <c r="R888" s="79"/>
      <c r="S888" s="79"/>
      <c r="V888" s="79"/>
      <c r="W888" s="79"/>
      <c r="Z888" s="130"/>
      <c r="AB888" s="106"/>
    </row>
    <row r="889">
      <c r="C889" s="79"/>
      <c r="D889" s="79"/>
      <c r="E889" s="79"/>
      <c r="M889" s="79"/>
      <c r="R889" s="79"/>
      <c r="S889" s="79"/>
      <c r="V889" s="79"/>
      <c r="W889" s="79"/>
      <c r="Z889" s="130"/>
      <c r="AB889" s="106"/>
    </row>
    <row r="890">
      <c r="C890" s="79"/>
      <c r="D890" s="79"/>
      <c r="E890" s="79"/>
      <c r="M890" s="79"/>
      <c r="R890" s="79"/>
      <c r="S890" s="79"/>
      <c r="V890" s="79"/>
      <c r="W890" s="79"/>
      <c r="Z890" s="130"/>
      <c r="AB890" s="106"/>
    </row>
    <row r="891">
      <c r="C891" s="79"/>
      <c r="D891" s="79"/>
      <c r="E891" s="79"/>
      <c r="M891" s="79"/>
      <c r="R891" s="79"/>
      <c r="S891" s="79"/>
      <c r="V891" s="79"/>
      <c r="W891" s="79"/>
      <c r="Z891" s="130"/>
      <c r="AB891" s="106"/>
    </row>
    <row r="892">
      <c r="C892" s="79"/>
      <c r="D892" s="79"/>
      <c r="E892" s="79"/>
      <c r="M892" s="79"/>
      <c r="R892" s="79"/>
      <c r="S892" s="79"/>
      <c r="V892" s="79"/>
      <c r="W892" s="79"/>
      <c r="Z892" s="130"/>
      <c r="AB892" s="106"/>
    </row>
    <row r="893">
      <c r="C893" s="79"/>
      <c r="D893" s="79"/>
      <c r="E893" s="79"/>
      <c r="M893" s="79"/>
      <c r="R893" s="79"/>
      <c r="S893" s="79"/>
      <c r="V893" s="79"/>
      <c r="W893" s="79"/>
      <c r="Z893" s="130"/>
      <c r="AB893" s="106"/>
    </row>
    <row r="894">
      <c r="C894" s="79"/>
      <c r="D894" s="79"/>
      <c r="E894" s="79"/>
      <c r="M894" s="79"/>
      <c r="R894" s="79"/>
      <c r="S894" s="79"/>
      <c r="V894" s="79"/>
      <c r="W894" s="79"/>
      <c r="Z894" s="130"/>
      <c r="AB894" s="106"/>
    </row>
    <row r="895">
      <c r="C895" s="79"/>
      <c r="D895" s="79"/>
      <c r="E895" s="79"/>
      <c r="M895" s="79"/>
      <c r="R895" s="79"/>
      <c r="S895" s="79"/>
      <c r="V895" s="79"/>
      <c r="W895" s="79"/>
      <c r="Z895" s="130"/>
      <c r="AB895" s="106"/>
    </row>
    <row r="896">
      <c r="C896" s="79"/>
      <c r="D896" s="79"/>
      <c r="E896" s="79"/>
      <c r="M896" s="79"/>
      <c r="R896" s="79"/>
      <c r="S896" s="79"/>
      <c r="V896" s="79"/>
      <c r="W896" s="79"/>
      <c r="Z896" s="130"/>
      <c r="AB896" s="106"/>
    </row>
    <row r="897">
      <c r="C897" s="79"/>
      <c r="D897" s="79"/>
      <c r="E897" s="79"/>
      <c r="M897" s="79"/>
      <c r="R897" s="79"/>
      <c r="S897" s="79"/>
      <c r="V897" s="79"/>
      <c r="W897" s="79"/>
      <c r="Z897" s="130"/>
      <c r="AB897" s="106"/>
    </row>
    <row r="898">
      <c r="C898" s="79"/>
      <c r="D898" s="79"/>
      <c r="E898" s="79"/>
      <c r="M898" s="79"/>
      <c r="R898" s="79"/>
      <c r="S898" s="79"/>
      <c r="V898" s="79"/>
      <c r="W898" s="79"/>
      <c r="Z898" s="130"/>
      <c r="AB898" s="106"/>
    </row>
    <row r="899">
      <c r="C899" s="79"/>
      <c r="D899" s="79"/>
      <c r="E899" s="79"/>
      <c r="M899" s="79"/>
      <c r="R899" s="79"/>
      <c r="S899" s="79"/>
      <c r="V899" s="79"/>
      <c r="W899" s="79"/>
      <c r="Z899" s="130"/>
      <c r="AB899" s="106"/>
    </row>
    <row r="900">
      <c r="C900" s="79"/>
      <c r="D900" s="79"/>
      <c r="E900" s="79"/>
      <c r="M900" s="79"/>
      <c r="R900" s="79"/>
      <c r="S900" s="79"/>
      <c r="V900" s="79"/>
      <c r="W900" s="79"/>
      <c r="Z900" s="130"/>
      <c r="AB900" s="106"/>
    </row>
    <row r="901">
      <c r="C901" s="79"/>
      <c r="D901" s="79"/>
      <c r="E901" s="79"/>
      <c r="M901" s="79"/>
      <c r="R901" s="79"/>
      <c r="S901" s="79"/>
      <c r="V901" s="79"/>
      <c r="W901" s="79"/>
      <c r="Z901" s="130"/>
      <c r="AB901" s="106"/>
    </row>
    <row r="902">
      <c r="C902" s="79"/>
      <c r="D902" s="79"/>
      <c r="E902" s="79"/>
      <c r="M902" s="79"/>
      <c r="R902" s="79"/>
      <c r="S902" s="79"/>
      <c r="V902" s="79"/>
      <c r="W902" s="79"/>
      <c r="Z902" s="130"/>
      <c r="AB902" s="106"/>
    </row>
    <row r="903">
      <c r="C903" s="79"/>
      <c r="D903" s="79"/>
      <c r="E903" s="79"/>
      <c r="M903" s="79"/>
      <c r="R903" s="79"/>
      <c r="S903" s="79"/>
      <c r="V903" s="79"/>
      <c r="W903" s="79"/>
      <c r="Z903" s="130"/>
      <c r="AB903" s="106"/>
    </row>
    <row r="904">
      <c r="C904" s="79"/>
      <c r="D904" s="79"/>
      <c r="E904" s="79"/>
      <c r="M904" s="79"/>
      <c r="R904" s="79"/>
      <c r="S904" s="79"/>
      <c r="V904" s="79"/>
      <c r="W904" s="79"/>
      <c r="Z904" s="130"/>
      <c r="AB904" s="106"/>
    </row>
    <row r="905">
      <c r="C905" s="79"/>
      <c r="D905" s="79"/>
      <c r="E905" s="79"/>
      <c r="M905" s="79"/>
      <c r="R905" s="79"/>
      <c r="S905" s="79"/>
      <c r="V905" s="79"/>
      <c r="W905" s="79"/>
      <c r="Z905" s="130"/>
      <c r="AB905" s="106"/>
    </row>
    <row r="906">
      <c r="C906" s="79"/>
      <c r="D906" s="79"/>
      <c r="E906" s="79"/>
      <c r="M906" s="79"/>
      <c r="R906" s="79"/>
      <c r="S906" s="79"/>
      <c r="V906" s="79"/>
      <c r="W906" s="79"/>
      <c r="Z906" s="130"/>
      <c r="AB906" s="106"/>
    </row>
    <row r="907">
      <c r="C907" s="79"/>
      <c r="D907" s="79"/>
      <c r="E907" s="79"/>
      <c r="M907" s="79"/>
      <c r="R907" s="79"/>
      <c r="S907" s="79"/>
      <c r="V907" s="79"/>
      <c r="W907" s="79"/>
      <c r="Z907" s="130"/>
      <c r="AB907" s="106"/>
    </row>
    <row r="908">
      <c r="C908" s="79"/>
      <c r="D908" s="79"/>
      <c r="E908" s="79"/>
      <c r="M908" s="79"/>
      <c r="R908" s="79"/>
      <c r="S908" s="79"/>
      <c r="V908" s="79"/>
      <c r="W908" s="79"/>
      <c r="Z908" s="130"/>
      <c r="AB908" s="106"/>
    </row>
    <row r="909">
      <c r="C909" s="79"/>
      <c r="D909" s="79"/>
      <c r="E909" s="79"/>
      <c r="M909" s="79"/>
      <c r="R909" s="79"/>
      <c r="S909" s="79"/>
      <c r="V909" s="79"/>
      <c r="W909" s="79"/>
      <c r="Z909" s="130"/>
      <c r="AB909" s="106"/>
    </row>
    <row r="910">
      <c r="C910" s="79"/>
      <c r="D910" s="79"/>
      <c r="E910" s="79"/>
      <c r="M910" s="79"/>
      <c r="R910" s="79"/>
      <c r="S910" s="79"/>
      <c r="V910" s="79"/>
      <c r="W910" s="79"/>
      <c r="Z910" s="130"/>
      <c r="AB910" s="106"/>
    </row>
    <row r="911">
      <c r="C911" s="79"/>
      <c r="D911" s="79"/>
      <c r="E911" s="79"/>
      <c r="M911" s="79"/>
      <c r="R911" s="79"/>
      <c r="S911" s="79"/>
      <c r="V911" s="79"/>
      <c r="W911" s="79"/>
      <c r="Z911" s="130"/>
      <c r="AB911" s="106"/>
    </row>
    <row r="912">
      <c r="C912" s="79"/>
      <c r="D912" s="79"/>
      <c r="E912" s="79"/>
      <c r="M912" s="79"/>
      <c r="R912" s="79"/>
      <c r="S912" s="79"/>
      <c r="V912" s="79"/>
      <c r="W912" s="79"/>
      <c r="Z912" s="130"/>
      <c r="AB912" s="106"/>
    </row>
    <row r="913">
      <c r="C913" s="79"/>
      <c r="D913" s="79"/>
      <c r="E913" s="79"/>
      <c r="M913" s="79"/>
      <c r="R913" s="79"/>
      <c r="S913" s="79"/>
      <c r="V913" s="79"/>
      <c r="W913" s="79"/>
      <c r="Z913" s="130"/>
      <c r="AB913" s="106"/>
    </row>
    <row r="914">
      <c r="C914" s="79"/>
      <c r="D914" s="79"/>
      <c r="E914" s="79"/>
      <c r="M914" s="79"/>
      <c r="R914" s="79"/>
      <c r="S914" s="79"/>
      <c r="V914" s="79"/>
      <c r="W914" s="79"/>
      <c r="Z914" s="130"/>
      <c r="AB914" s="106"/>
    </row>
    <row r="915">
      <c r="C915" s="79"/>
      <c r="D915" s="79"/>
      <c r="E915" s="79"/>
      <c r="M915" s="79"/>
      <c r="R915" s="79"/>
      <c r="S915" s="79"/>
      <c r="V915" s="79"/>
      <c r="W915" s="79"/>
      <c r="Z915" s="130"/>
      <c r="AB915" s="106"/>
    </row>
    <row r="916">
      <c r="C916" s="79"/>
      <c r="D916" s="79"/>
      <c r="E916" s="79"/>
      <c r="M916" s="79"/>
      <c r="R916" s="79"/>
      <c r="S916" s="79"/>
      <c r="V916" s="79"/>
      <c r="W916" s="79"/>
      <c r="Z916" s="130"/>
      <c r="AB916" s="106"/>
    </row>
    <row r="917">
      <c r="C917" s="79"/>
      <c r="D917" s="79"/>
      <c r="E917" s="79"/>
      <c r="M917" s="79"/>
      <c r="R917" s="79"/>
      <c r="S917" s="79"/>
      <c r="V917" s="79"/>
      <c r="W917" s="79"/>
      <c r="Z917" s="130"/>
      <c r="AB917" s="106"/>
    </row>
    <row r="918">
      <c r="C918" s="79"/>
      <c r="D918" s="79"/>
      <c r="E918" s="79"/>
      <c r="M918" s="79"/>
      <c r="R918" s="79"/>
      <c r="S918" s="79"/>
      <c r="V918" s="79"/>
      <c r="W918" s="79"/>
      <c r="Z918" s="130"/>
      <c r="AB918" s="106"/>
    </row>
    <row r="919">
      <c r="C919" s="79"/>
      <c r="D919" s="79"/>
      <c r="E919" s="79"/>
      <c r="M919" s="79"/>
      <c r="R919" s="79"/>
      <c r="S919" s="79"/>
      <c r="V919" s="79"/>
      <c r="W919" s="79"/>
      <c r="Z919" s="130"/>
      <c r="AB919" s="106"/>
    </row>
    <row r="920">
      <c r="C920" s="79"/>
      <c r="D920" s="79"/>
      <c r="E920" s="79"/>
      <c r="M920" s="79"/>
      <c r="R920" s="79"/>
      <c r="S920" s="79"/>
      <c r="V920" s="79"/>
      <c r="W920" s="79"/>
      <c r="Z920" s="130"/>
      <c r="AB920" s="106"/>
    </row>
    <row r="921">
      <c r="C921" s="79"/>
      <c r="D921" s="79"/>
      <c r="E921" s="79"/>
      <c r="M921" s="79"/>
      <c r="R921" s="79"/>
      <c r="S921" s="79"/>
      <c r="V921" s="79"/>
      <c r="W921" s="79"/>
      <c r="Z921" s="130"/>
      <c r="AB921" s="106"/>
    </row>
    <row r="922">
      <c r="C922" s="79"/>
      <c r="D922" s="79"/>
      <c r="E922" s="79"/>
      <c r="M922" s="79"/>
      <c r="R922" s="79"/>
      <c r="S922" s="79"/>
      <c r="V922" s="79"/>
      <c r="W922" s="79"/>
      <c r="Z922" s="130"/>
      <c r="AB922" s="106"/>
    </row>
    <row r="923">
      <c r="C923" s="79"/>
      <c r="D923" s="79"/>
      <c r="E923" s="79"/>
      <c r="M923" s="79"/>
      <c r="R923" s="79"/>
      <c r="S923" s="79"/>
      <c r="V923" s="79"/>
      <c r="W923" s="79"/>
      <c r="Z923" s="130"/>
      <c r="AB923" s="106"/>
    </row>
    <row r="924">
      <c r="C924" s="79"/>
      <c r="D924" s="79"/>
      <c r="E924" s="79"/>
      <c r="M924" s="79"/>
      <c r="R924" s="79"/>
      <c r="S924" s="79"/>
      <c r="V924" s="79"/>
      <c r="W924" s="79"/>
      <c r="Z924" s="130"/>
      <c r="AB924" s="106"/>
    </row>
    <row r="925">
      <c r="C925" s="79"/>
      <c r="D925" s="79"/>
      <c r="E925" s="79"/>
      <c r="M925" s="79"/>
      <c r="R925" s="79"/>
      <c r="S925" s="79"/>
      <c r="V925" s="79"/>
      <c r="W925" s="79"/>
      <c r="Z925" s="130"/>
      <c r="AB925" s="106"/>
    </row>
    <row r="926">
      <c r="C926" s="79"/>
      <c r="D926" s="79"/>
      <c r="E926" s="79"/>
      <c r="M926" s="79"/>
      <c r="R926" s="79"/>
      <c r="S926" s="79"/>
      <c r="V926" s="79"/>
      <c r="W926" s="79"/>
      <c r="Z926" s="130"/>
      <c r="AB926" s="106"/>
    </row>
    <row r="927">
      <c r="C927" s="79"/>
      <c r="D927" s="79"/>
      <c r="E927" s="79"/>
      <c r="M927" s="79"/>
      <c r="R927" s="79"/>
      <c r="S927" s="79"/>
      <c r="V927" s="79"/>
      <c r="W927" s="79"/>
      <c r="Z927" s="130"/>
      <c r="AB927" s="106"/>
    </row>
    <row r="928">
      <c r="C928" s="79"/>
      <c r="D928" s="79"/>
      <c r="E928" s="79"/>
      <c r="M928" s="79"/>
      <c r="R928" s="79"/>
      <c r="S928" s="79"/>
      <c r="V928" s="79"/>
      <c r="W928" s="79"/>
      <c r="Z928" s="130"/>
      <c r="AB928" s="106"/>
    </row>
    <row r="929">
      <c r="C929" s="79"/>
      <c r="D929" s="79"/>
      <c r="E929" s="79"/>
      <c r="M929" s="79"/>
      <c r="R929" s="79"/>
      <c r="S929" s="79"/>
      <c r="V929" s="79"/>
      <c r="W929" s="79"/>
      <c r="Z929" s="130"/>
      <c r="AB929" s="106"/>
    </row>
    <row r="930">
      <c r="C930" s="79"/>
      <c r="D930" s="79"/>
      <c r="E930" s="79"/>
      <c r="M930" s="79"/>
      <c r="R930" s="79"/>
      <c r="S930" s="79"/>
      <c r="V930" s="79"/>
      <c r="W930" s="79"/>
      <c r="Z930" s="130"/>
      <c r="AB930" s="106"/>
    </row>
    <row r="931">
      <c r="C931" s="79"/>
      <c r="D931" s="79"/>
      <c r="E931" s="79"/>
      <c r="M931" s="79"/>
      <c r="R931" s="79"/>
      <c r="S931" s="79"/>
      <c r="V931" s="79"/>
      <c r="W931" s="79"/>
      <c r="Z931" s="130"/>
      <c r="AB931" s="106"/>
    </row>
    <row r="932">
      <c r="C932" s="79"/>
      <c r="D932" s="79"/>
      <c r="E932" s="79"/>
      <c r="M932" s="79"/>
      <c r="R932" s="79"/>
      <c r="S932" s="79"/>
      <c r="V932" s="79"/>
      <c r="W932" s="79"/>
      <c r="Z932" s="130"/>
      <c r="AB932" s="106"/>
    </row>
    <row r="933">
      <c r="C933" s="79"/>
      <c r="D933" s="79"/>
      <c r="E933" s="79"/>
      <c r="M933" s="79"/>
      <c r="R933" s="79"/>
      <c r="S933" s="79"/>
      <c r="V933" s="79"/>
      <c r="W933" s="79"/>
      <c r="Z933" s="130"/>
      <c r="AB933" s="106"/>
    </row>
    <row r="934">
      <c r="C934" s="79"/>
      <c r="D934" s="79"/>
      <c r="E934" s="79"/>
      <c r="M934" s="79"/>
      <c r="R934" s="79"/>
      <c r="S934" s="79"/>
      <c r="V934" s="79"/>
      <c r="W934" s="79"/>
      <c r="Z934" s="130"/>
      <c r="AB934" s="106"/>
    </row>
    <row r="935">
      <c r="C935" s="79"/>
      <c r="D935" s="79"/>
      <c r="E935" s="79"/>
      <c r="M935" s="79"/>
      <c r="R935" s="79"/>
      <c r="S935" s="79"/>
      <c r="V935" s="79"/>
      <c r="W935" s="79"/>
      <c r="Z935" s="130"/>
      <c r="AB935" s="106"/>
    </row>
    <row r="936">
      <c r="C936" s="79"/>
      <c r="D936" s="79"/>
      <c r="E936" s="79"/>
      <c r="M936" s="79"/>
      <c r="R936" s="79"/>
      <c r="S936" s="79"/>
      <c r="V936" s="79"/>
      <c r="W936" s="79"/>
      <c r="Z936" s="130"/>
      <c r="AB936" s="106"/>
    </row>
    <row r="937">
      <c r="C937" s="79"/>
      <c r="D937" s="79"/>
      <c r="E937" s="79"/>
      <c r="M937" s="79"/>
      <c r="R937" s="79"/>
      <c r="S937" s="79"/>
      <c r="V937" s="79"/>
      <c r="W937" s="79"/>
      <c r="Z937" s="130"/>
      <c r="AB937" s="106"/>
    </row>
    <row r="938">
      <c r="C938" s="79"/>
      <c r="D938" s="79"/>
      <c r="E938" s="79"/>
      <c r="M938" s="79"/>
      <c r="R938" s="79"/>
      <c r="S938" s="79"/>
      <c r="V938" s="79"/>
      <c r="W938" s="79"/>
      <c r="Z938" s="130"/>
      <c r="AB938" s="106"/>
    </row>
    <row r="939">
      <c r="C939" s="79"/>
      <c r="D939" s="79"/>
      <c r="E939" s="79"/>
      <c r="M939" s="79"/>
      <c r="R939" s="79"/>
      <c r="S939" s="79"/>
      <c r="V939" s="79"/>
      <c r="W939" s="79"/>
      <c r="Z939" s="130"/>
      <c r="AB939" s="106"/>
    </row>
    <row r="940">
      <c r="C940" s="79"/>
      <c r="D940" s="79"/>
      <c r="E940" s="79"/>
      <c r="M940" s="79"/>
      <c r="R940" s="79"/>
      <c r="S940" s="79"/>
      <c r="V940" s="79"/>
      <c r="W940" s="79"/>
      <c r="Z940" s="130"/>
      <c r="AB940" s="106"/>
    </row>
    <row r="941">
      <c r="C941" s="79"/>
      <c r="D941" s="79"/>
      <c r="E941" s="79"/>
      <c r="M941" s="79"/>
      <c r="R941" s="79"/>
      <c r="S941" s="79"/>
      <c r="V941" s="79"/>
      <c r="W941" s="79"/>
      <c r="Z941" s="130"/>
      <c r="AB941" s="106"/>
    </row>
    <row r="942">
      <c r="C942" s="79"/>
      <c r="D942" s="79"/>
      <c r="E942" s="79"/>
      <c r="M942" s="79"/>
      <c r="R942" s="79"/>
      <c r="S942" s="79"/>
      <c r="V942" s="79"/>
      <c r="W942" s="79"/>
      <c r="Z942" s="130"/>
      <c r="AB942" s="106"/>
    </row>
    <row r="943">
      <c r="C943" s="79"/>
      <c r="D943" s="79"/>
      <c r="E943" s="79"/>
      <c r="M943" s="79"/>
      <c r="R943" s="79"/>
      <c r="S943" s="79"/>
      <c r="V943" s="79"/>
      <c r="W943" s="79"/>
      <c r="Z943" s="130"/>
      <c r="AB943" s="106"/>
    </row>
    <row r="944">
      <c r="C944" s="79"/>
      <c r="D944" s="79"/>
      <c r="E944" s="79"/>
      <c r="M944" s="79"/>
      <c r="R944" s="79"/>
      <c r="S944" s="79"/>
      <c r="V944" s="79"/>
      <c r="W944" s="79"/>
      <c r="Z944" s="130"/>
      <c r="AB944" s="106"/>
    </row>
    <row r="945">
      <c r="C945" s="79"/>
      <c r="D945" s="79"/>
      <c r="E945" s="79"/>
      <c r="M945" s="79"/>
      <c r="R945" s="79"/>
      <c r="S945" s="79"/>
      <c r="V945" s="79"/>
      <c r="W945" s="79"/>
      <c r="Z945" s="130"/>
      <c r="AB945" s="106"/>
    </row>
    <row r="946">
      <c r="C946" s="79"/>
      <c r="D946" s="79"/>
      <c r="E946" s="79"/>
      <c r="M946" s="79"/>
      <c r="R946" s="79"/>
      <c r="S946" s="79"/>
      <c r="V946" s="79"/>
      <c r="W946" s="79"/>
      <c r="Z946" s="130"/>
      <c r="AB946" s="106"/>
    </row>
    <row r="947">
      <c r="C947" s="79"/>
      <c r="D947" s="79"/>
      <c r="E947" s="79"/>
      <c r="M947" s="79"/>
      <c r="R947" s="79"/>
      <c r="S947" s="79"/>
      <c r="V947" s="79"/>
      <c r="W947" s="79"/>
      <c r="Z947" s="130"/>
      <c r="AB947" s="106"/>
    </row>
    <row r="948">
      <c r="C948" s="79"/>
      <c r="D948" s="79"/>
      <c r="E948" s="79"/>
      <c r="M948" s="79"/>
      <c r="R948" s="79"/>
      <c r="S948" s="79"/>
      <c r="V948" s="79"/>
      <c r="W948" s="79"/>
      <c r="Z948" s="130"/>
      <c r="AB948" s="106"/>
    </row>
    <row r="949">
      <c r="C949" s="79"/>
      <c r="D949" s="79"/>
      <c r="E949" s="79"/>
      <c r="M949" s="79"/>
      <c r="R949" s="79"/>
      <c r="S949" s="79"/>
      <c r="V949" s="79"/>
      <c r="W949" s="79"/>
      <c r="Z949" s="130"/>
      <c r="AB949" s="106"/>
    </row>
    <row r="950">
      <c r="C950" s="79"/>
      <c r="D950" s="79"/>
      <c r="E950" s="79"/>
      <c r="M950" s="79"/>
      <c r="R950" s="79"/>
      <c r="S950" s="79"/>
      <c r="V950" s="79"/>
      <c r="W950" s="79"/>
      <c r="Z950" s="130"/>
      <c r="AB950" s="106"/>
    </row>
    <row r="951">
      <c r="C951" s="79"/>
      <c r="D951" s="79"/>
      <c r="E951" s="79"/>
      <c r="M951" s="79"/>
      <c r="R951" s="79"/>
      <c r="S951" s="79"/>
      <c r="V951" s="79"/>
      <c r="W951" s="79"/>
      <c r="Z951" s="130"/>
      <c r="AB951" s="106"/>
    </row>
    <row r="952">
      <c r="C952" s="79"/>
      <c r="D952" s="79"/>
      <c r="E952" s="79"/>
      <c r="M952" s="79"/>
      <c r="R952" s="79"/>
      <c r="S952" s="79"/>
      <c r="V952" s="79"/>
      <c r="W952" s="79"/>
      <c r="Z952" s="130"/>
      <c r="AB952" s="106"/>
    </row>
    <row r="953">
      <c r="C953" s="79"/>
      <c r="D953" s="79"/>
      <c r="E953" s="79"/>
      <c r="M953" s="79"/>
      <c r="R953" s="79"/>
      <c r="S953" s="79"/>
      <c r="V953" s="79"/>
      <c r="W953" s="79"/>
      <c r="Z953" s="130"/>
      <c r="AB953" s="106"/>
    </row>
    <row r="954">
      <c r="C954" s="79"/>
      <c r="D954" s="79"/>
      <c r="E954" s="79"/>
      <c r="M954" s="79"/>
      <c r="R954" s="79"/>
      <c r="S954" s="79"/>
      <c r="V954" s="79"/>
      <c r="W954" s="79"/>
      <c r="Z954" s="130"/>
      <c r="AB954" s="106"/>
    </row>
    <row r="955">
      <c r="C955" s="79"/>
      <c r="D955" s="79"/>
      <c r="E955" s="79"/>
      <c r="M955" s="79"/>
      <c r="R955" s="79"/>
      <c r="S955" s="79"/>
      <c r="V955" s="79"/>
      <c r="W955" s="79"/>
      <c r="Z955" s="130"/>
      <c r="AB955" s="106"/>
    </row>
    <row r="956">
      <c r="C956" s="79"/>
      <c r="D956" s="79"/>
      <c r="E956" s="79"/>
      <c r="M956" s="79"/>
      <c r="R956" s="79"/>
      <c r="S956" s="79"/>
      <c r="V956" s="79"/>
      <c r="W956" s="79"/>
      <c r="Z956" s="130"/>
      <c r="AB956" s="106"/>
    </row>
    <row r="957">
      <c r="C957" s="79"/>
      <c r="D957" s="79"/>
      <c r="E957" s="79"/>
      <c r="M957" s="79"/>
      <c r="R957" s="79"/>
      <c r="S957" s="79"/>
      <c r="V957" s="79"/>
      <c r="W957" s="79"/>
      <c r="Z957" s="130"/>
      <c r="AB957" s="106"/>
    </row>
    <row r="958">
      <c r="C958" s="79"/>
      <c r="D958" s="79"/>
      <c r="E958" s="79"/>
      <c r="M958" s="79"/>
      <c r="R958" s="79"/>
      <c r="S958" s="79"/>
      <c r="V958" s="79"/>
      <c r="W958" s="79"/>
      <c r="Z958" s="130"/>
      <c r="AB958" s="106"/>
    </row>
    <row r="959">
      <c r="C959" s="79"/>
      <c r="D959" s="79"/>
      <c r="E959" s="79"/>
      <c r="M959" s="79"/>
      <c r="R959" s="79"/>
      <c r="S959" s="79"/>
      <c r="V959" s="79"/>
      <c r="W959" s="79"/>
      <c r="Z959" s="130"/>
      <c r="AB959" s="106"/>
    </row>
    <row r="960">
      <c r="C960" s="79"/>
      <c r="D960" s="79"/>
      <c r="E960" s="79"/>
      <c r="M960" s="79"/>
      <c r="R960" s="79"/>
      <c r="S960" s="79"/>
      <c r="V960" s="79"/>
      <c r="W960" s="79"/>
      <c r="Z960" s="130"/>
      <c r="AB960" s="106"/>
    </row>
    <row r="961">
      <c r="C961" s="79"/>
      <c r="D961" s="79"/>
      <c r="E961" s="79"/>
      <c r="M961" s="79"/>
      <c r="R961" s="79"/>
      <c r="S961" s="79"/>
      <c r="V961" s="79"/>
      <c r="W961" s="79"/>
      <c r="Z961" s="130"/>
      <c r="AB961" s="106"/>
    </row>
    <row r="962">
      <c r="C962" s="79"/>
      <c r="D962" s="79"/>
      <c r="E962" s="79"/>
      <c r="M962" s="79"/>
      <c r="R962" s="79"/>
      <c r="S962" s="79"/>
      <c r="V962" s="79"/>
      <c r="W962" s="79"/>
      <c r="Z962" s="130"/>
      <c r="AB962" s="106"/>
    </row>
    <row r="963">
      <c r="C963" s="79"/>
      <c r="D963" s="79"/>
      <c r="E963" s="79"/>
      <c r="M963" s="79"/>
      <c r="R963" s="79"/>
      <c r="S963" s="79"/>
      <c r="V963" s="79"/>
      <c r="W963" s="79"/>
      <c r="Z963" s="130"/>
      <c r="AB963" s="106"/>
    </row>
    <row r="964">
      <c r="C964" s="79"/>
      <c r="D964" s="79"/>
      <c r="E964" s="79"/>
      <c r="M964" s="79"/>
      <c r="R964" s="79"/>
      <c r="S964" s="79"/>
      <c r="V964" s="79"/>
      <c r="W964" s="79"/>
      <c r="Z964" s="130"/>
      <c r="AB964" s="106"/>
    </row>
    <row r="965">
      <c r="C965" s="79"/>
      <c r="D965" s="79"/>
      <c r="E965" s="79"/>
      <c r="M965" s="79"/>
      <c r="R965" s="79"/>
      <c r="S965" s="79"/>
      <c r="V965" s="79"/>
      <c r="W965" s="79"/>
      <c r="Z965" s="130"/>
      <c r="AB965" s="106"/>
    </row>
    <row r="966">
      <c r="C966" s="79"/>
      <c r="D966" s="79"/>
      <c r="E966" s="79"/>
      <c r="M966" s="79"/>
      <c r="R966" s="79"/>
      <c r="S966" s="79"/>
      <c r="V966" s="79"/>
      <c r="W966" s="79"/>
      <c r="Z966" s="130"/>
      <c r="AB966" s="106"/>
    </row>
    <row r="967">
      <c r="C967" s="79"/>
      <c r="D967" s="79"/>
      <c r="E967" s="79"/>
      <c r="M967" s="79"/>
      <c r="R967" s="79"/>
      <c r="S967" s="79"/>
      <c r="V967" s="79"/>
      <c r="W967" s="79"/>
      <c r="Z967" s="130"/>
      <c r="AB967" s="106"/>
    </row>
    <row r="968">
      <c r="C968" s="79"/>
      <c r="D968" s="79"/>
      <c r="E968" s="79"/>
      <c r="M968" s="79"/>
      <c r="R968" s="79"/>
      <c r="S968" s="79"/>
      <c r="V968" s="79"/>
      <c r="W968" s="79"/>
      <c r="Z968" s="130"/>
      <c r="AB968" s="106"/>
    </row>
    <row r="969">
      <c r="C969" s="79"/>
      <c r="D969" s="79"/>
      <c r="E969" s="79"/>
      <c r="M969" s="79"/>
      <c r="R969" s="79"/>
      <c r="S969" s="79"/>
      <c r="V969" s="79"/>
      <c r="W969" s="79"/>
      <c r="Z969" s="130"/>
      <c r="AB969" s="106"/>
    </row>
    <row r="970">
      <c r="C970" s="79"/>
      <c r="D970" s="79"/>
      <c r="E970" s="79"/>
      <c r="M970" s="79"/>
      <c r="R970" s="79"/>
      <c r="S970" s="79"/>
      <c r="V970" s="79"/>
      <c r="W970" s="79"/>
      <c r="Z970" s="130"/>
      <c r="AB970" s="106"/>
    </row>
    <row r="971">
      <c r="C971" s="79"/>
      <c r="D971" s="79"/>
      <c r="E971" s="79"/>
      <c r="M971" s="79"/>
      <c r="R971" s="79"/>
      <c r="S971" s="79"/>
      <c r="V971" s="79"/>
      <c r="W971" s="79"/>
      <c r="Z971" s="130"/>
      <c r="AB971" s="106"/>
    </row>
    <row r="972">
      <c r="C972" s="79"/>
      <c r="D972" s="79"/>
      <c r="E972" s="79"/>
      <c r="M972" s="79"/>
      <c r="R972" s="79"/>
      <c r="S972" s="79"/>
      <c r="V972" s="79"/>
      <c r="W972" s="79"/>
      <c r="Z972" s="130"/>
      <c r="AB972" s="106"/>
    </row>
    <row r="973">
      <c r="C973" s="79"/>
      <c r="D973" s="79"/>
      <c r="E973" s="79"/>
      <c r="M973" s="79"/>
      <c r="R973" s="79"/>
      <c r="S973" s="79"/>
      <c r="V973" s="79"/>
      <c r="W973" s="79"/>
      <c r="Z973" s="130"/>
      <c r="AB973" s="106"/>
    </row>
    <row r="974">
      <c r="C974" s="79"/>
      <c r="D974" s="79"/>
      <c r="E974" s="79"/>
      <c r="M974" s="79"/>
      <c r="R974" s="79"/>
      <c r="S974" s="79"/>
      <c r="V974" s="79"/>
      <c r="W974" s="79"/>
      <c r="Z974" s="130"/>
      <c r="AB974" s="106"/>
    </row>
    <row r="975">
      <c r="C975" s="79"/>
      <c r="D975" s="79"/>
      <c r="E975" s="79"/>
      <c r="M975" s="79"/>
      <c r="R975" s="79"/>
      <c r="S975" s="79"/>
      <c r="V975" s="79"/>
      <c r="W975" s="79"/>
      <c r="Z975" s="130"/>
      <c r="AB975" s="106"/>
    </row>
    <row r="976">
      <c r="C976" s="79"/>
      <c r="D976" s="79"/>
      <c r="E976" s="79"/>
      <c r="M976" s="79"/>
      <c r="R976" s="79"/>
      <c r="S976" s="79"/>
      <c r="V976" s="79"/>
      <c r="W976" s="79"/>
      <c r="Z976" s="130"/>
      <c r="AB976" s="106"/>
    </row>
    <row r="977">
      <c r="C977" s="79"/>
      <c r="D977" s="79"/>
      <c r="E977" s="79"/>
      <c r="M977" s="79"/>
      <c r="R977" s="79"/>
      <c r="S977" s="79"/>
      <c r="V977" s="79"/>
      <c r="W977" s="79"/>
      <c r="Z977" s="130"/>
      <c r="AB977" s="106"/>
    </row>
    <row r="978">
      <c r="C978" s="79"/>
      <c r="D978" s="79"/>
      <c r="E978" s="79"/>
      <c r="M978" s="79"/>
      <c r="R978" s="79"/>
      <c r="S978" s="79"/>
      <c r="V978" s="79"/>
      <c r="W978" s="79"/>
      <c r="Z978" s="130"/>
      <c r="AB978" s="106"/>
    </row>
    <row r="979">
      <c r="C979" s="79"/>
      <c r="D979" s="79"/>
      <c r="E979" s="79"/>
      <c r="M979" s="79"/>
      <c r="R979" s="79"/>
      <c r="S979" s="79"/>
      <c r="V979" s="79"/>
      <c r="W979" s="79"/>
      <c r="Z979" s="130"/>
      <c r="AB979" s="106"/>
    </row>
    <row r="980">
      <c r="C980" s="79"/>
      <c r="D980" s="79"/>
      <c r="E980" s="79"/>
      <c r="M980" s="79"/>
      <c r="R980" s="79"/>
      <c r="S980" s="79"/>
      <c r="V980" s="79"/>
      <c r="W980" s="79"/>
      <c r="Z980" s="130"/>
      <c r="AB980" s="106"/>
    </row>
    <row r="981">
      <c r="C981" s="79"/>
      <c r="D981" s="79"/>
      <c r="E981" s="79"/>
      <c r="M981" s="79"/>
      <c r="R981" s="79"/>
      <c r="S981" s="79"/>
      <c r="V981" s="79"/>
      <c r="W981" s="79"/>
      <c r="Z981" s="130"/>
      <c r="AB981" s="106"/>
    </row>
    <row r="982">
      <c r="C982" s="79"/>
      <c r="D982" s="79"/>
      <c r="E982" s="79"/>
      <c r="M982" s="79"/>
      <c r="R982" s="79"/>
      <c r="S982" s="79"/>
      <c r="V982" s="79"/>
      <c r="W982" s="79"/>
      <c r="Z982" s="130"/>
      <c r="AB982" s="106"/>
    </row>
    <row r="983">
      <c r="C983" s="79"/>
      <c r="D983" s="79"/>
      <c r="E983" s="79"/>
      <c r="M983" s="79"/>
      <c r="R983" s="79"/>
      <c r="S983" s="79"/>
      <c r="V983" s="79"/>
      <c r="W983" s="79"/>
      <c r="Z983" s="130"/>
      <c r="AB983" s="106"/>
    </row>
  </sheetData>
  <drawing r:id="rId2"/>
  <legacyDrawing r:id="rId3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5" max="5" width="13.5"/>
    <col customWidth="1" min="7" max="7" width="13.25"/>
    <col hidden="1" min="12" max="13" width="12.63"/>
    <col customWidth="1" min="24" max="24" width="14.63"/>
    <col customWidth="1" min="28" max="28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3</v>
      </c>
      <c r="G1" s="2" t="s">
        <v>203</v>
      </c>
      <c r="H1" s="2" t="s">
        <v>129</v>
      </c>
      <c r="I1" s="2" t="s">
        <v>5</v>
      </c>
      <c r="J1" s="2" t="s">
        <v>204</v>
      </c>
      <c r="K1" s="2" t="s">
        <v>6</v>
      </c>
      <c r="L1" s="2" t="s">
        <v>43</v>
      </c>
      <c r="M1" s="105" t="s">
        <v>40</v>
      </c>
      <c r="N1" s="2" t="s">
        <v>49</v>
      </c>
      <c r="O1" s="2" t="s">
        <v>42</v>
      </c>
      <c r="P1" s="2" t="s">
        <v>121</v>
      </c>
      <c r="Q1" s="2" t="s">
        <v>164</v>
      </c>
      <c r="R1" s="105" t="s">
        <v>9</v>
      </c>
      <c r="S1" s="105" t="s">
        <v>165</v>
      </c>
      <c r="T1" s="2" t="s">
        <v>37</v>
      </c>
      <c r="U1" s="2" t="s">
        <v>10</v>
      </c>
      <c r="V1" s="105" t="s">
        <v>11</v>
      </c>
      <c r="W1" s="105" t="s">
        <v>205</v>
      </c>
      <c r="X1" s="2" t="s">
        <v>206</v>
      </c>
      <c r="Y1" s="3" t="s">
        <v>13</v>
      </c>
      <c r="Z1" s="3" t="s">
        <v>14</v>
      </c>
      <c r="AA1" s="3" t="s">
        <v>15</v>
      </c>
      <c r="AB1" s="106"/>
    </row>
    <row r="2">
      <c r="A2" s="74">
        <v>45292.0</v>
      </c>
      <c r="B2" s="93"/>
      <c r="C2" s="93"/>
      <c r="D2" s="193"/>
      <c r="E2" s="93"/>
      <c r="F2" s="1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72"/>
      <c r="U2" s="93"/>
      <c r="V2" s="93"/>
      <c r="W2" s="93"/>
      <c r="X2" s="5"/>
      <c r="Y2" s="107">
        <f t="shared" ref="Y2:Y8" si="1">SUM(B2:X2)</f>
        <v>0</v>
      </c>
      <c r="Z2" s="158">
        <v>0.0</v>
      </c>
      <c r="AA2" s="59" t="str">
        <f t="shared" ref="AA2:AA8" si="2">Y2/Z2</f>
        <v>#DIV/0!</v>
      </c>
      <c r="AB2" s="109">
        <f t="shared" ref="AB2:AB8" si="3">A2</f>
        <v>45292</v>
      </c>
    </row>
    <row r="3">
      <c r="A3" s="74">
        <v>45293.0</v>
      </c>
      <c r="B3" s="93">
        <f>2212.87-77.76-24.6-32-59.89-44-21.6</f>
        <v>1953.02</v>
      </c>
      <c r="C3" s="93">
        <f>279.3-211.75</f>
        <v>67.55</v>
      </c>
      <c r="D3" s="193">
        <f>449.6-239.2+669.5-248.5</f>
        <v>631.4</v>
      </c>
      <c r="E3" s="93"/>
      <c r="F3" s="93">
        <v>180.0</v>
      </c>
      <c r="G3" s="93">
        <f>150.37+332.05</f>
        <v>482.42</v>
      </c>
      <c r="H3" s="93"/>
      <c r="I3" s="93"/>
      <c r="J3" s="93"/>
      <c r="K3" s="93"/>
      <c r="L3" s="93"/>
      <c r="M3" s="93"/>
      <c r="N3" s="93">
        <v>168.0</v>
      </c>
      <c r="O3" s="93"/>
      <c r="P3" s="101"/>
      <c r="Q3" s="93"/>
      <c r="R3" s="93"/>
      <c r="S3" s="93"/>
      <c r="T3" s="93"/>
      <c r="U3" s="93"/>
      <c r="V3" s="93"/>
      <c r="W3" s="93"/>
      <c r="X3" s="93"/>
      <c r="Y3" s="107">
        <f t="shared" si="1"/>
        <v>3482.39</v>
      </c>
      <c r="Z3" s="158">
        <v>1505.5</v>
      </c>
      <c r="AA3" s="59">
        <f t="shared" si="2"/>
        <v>2.313111923</v>
      </c>
      <c r="AB3" s="109">
        <f t="shared" si="3"/>
        <v>45293</v>
      </c>
    </row>
    <row r="4">
      <c r="A4" s="74">
        <v>45294.0</v>
      </c>
      <c r="B4" s="93">
        <f>13.64+935.48-28.28-162.29-45.06-34.1-33.71-25.82-180.87-46.21-37.77-24.6</f>
        <v>330.41</v>
      </c>
      <c r="C4" s="93">
        <v>202.3</v>
      </c>
      <c r="D4" s="93">
        <f>292.37-120.6-57.4-69.2</f>
        <v>45.17</v>
      </c>
      <c r="E4" s="93"/>
      <c r="F4" s="93"/>
      <c r="G4" s="93"/>
      <c r="H4" s="93"/>
      <c r="I4" s="93"/>
      <c r="J4" s="93"/>
      <c r="K4" s="93">
        <v>42.0</v>
      </c>
      <c r="L4" s="93"/>
      <c r="M4" s="93"/>
      <c r="N4" s="93"/>
      <c r="O4" s="93"/>
      <c r="P4" s="93">
        <v>18.5</v>
      </c>
      <c r="Q4" s="93"/>
      <c r="R4" s="93">
        <v>250.0</v>
      </c>
      <c r="S4" s="93"/>
      <c r="T4" s="160"/>
      <c r="U4" s="93"/>
      <c r="V4" s="93">
        <v>57.05</v>
      </c>
      <c r="W4" s="93"/>
      <c r="X4" s="6"/>
      <c r="Y4" s="107">
        <f t="shared" si="1"/>
        <v>945.43</v>
      </c>
      <c r="Z4" s="97">
        <f>143+2918.6</f>
        <v>3061.6</v>
      </c>
      <c r="AA4" s="59">
        <f t="shared" si="2"/>
        <v>0.3088025869</v>
      </c>
      <c r="AB4" s="109">
        <f t="shared" si="3"/>
        <v>45294</v>
      </c>
    </row>
    <row r="5">
      <c r="A5" s="74">
        <v>45295.0</v>
      </c>
      <c r="B5" s="93">
        <f>1617.83-98.43-59.59-22-59.96-12.19-349-27.6-24.91-26.19-14.91-33.06-12.88-32.98-8.6-30.1-37.77-34.14</f>
        <v>733.52</v>
      </c>
      <c r="C5" s="93">
        <f>452.25-27-169.4</f>
        <v>255.85</v>
      </c>
      <c r="D5" s="93">
        <f>333.75-33.4-90.57-58.48</f>
        <v>151.3</v>
      </c>
      <c r="E5" s="93"/>
      <c r="F5" s="93">
        <v>180.0</v>
      </c>
      <c r="G5" s="160"/>
      <c r="H5" s="93"/>
      <c r="I5" s="93">
        <f>1005.94-190</f>
        <v>815.94</v>
      </c>
      <c r="J5" s="93"/>
      <c r="K5" s="93"/>
      <c r="L5" s="93"/>
      <c r="M5" s="93"/>
      <c r="N5" s="93"/>
      <c r="O5" s="93">
        <v>30.0</v>
      </c>
      <c r="P5" s="93">
        <v>18.5</v>
      </c>
      <c r="Q5" s="93"/>
      <c r="R5" s="93"/>
      <c r="S5" s="93"/>
      <c r="T5" s="93"/>
      <c r="U5" s="93"/>
      <c r="V5" s="101"/>
      <c r="W5" s="101"/>
      <c r="X5" s="6"/>
      <c r="Y5" s="7">
        <f t="shared" si="1"/>
        <v>2185.11</v>
      </c>
      <c r="Z5" s="97">
        <v>3602</v>
      </c>
      <c r="AA5" s="59">
        <f t="shared" si="2"/>
        <v>0.6066379789</v>
      </c>
      <c r="AB5" s="109">
        <f t="shared" si="3"/>
        <v>45295</v>
      </c>
    </row>
    <row r="6">
      <c r="A6" s="74">
        <v>45296.0</v>
      </c>
      <c r="B6" s="93">
        <f>330.09-11.47-22.4-12.26-48.48-5.71-7.84+378.1-218</f>
        <v>382.03</v>
      </c>
      <c r="C6" s="93"/>
      <c r="D6" s="93"/>
      <c r="E6" s="93"/>
      <c r="F6" s="93"/>
      <c r="G6" s="93"/>
      <c r="H6" s="93"/>
      <c r="I6" s="93"/>
      <c r="J6" s="93"/>
      <c r="K6" s="93">
        <v>123.0</v>
      </c>
      <c r="L6" s="93"/>
      <c r="M6" s="162"/>
      <c r="N6" s="93"/>
      <c r="O6" s="93"/>
      <c r="P6" s="93">
        <v>18.5</v>
      </c>
      <c r="Q6" s="93"/>
      <c r="R6" s="93"/>
      <c r="S6" s="93"/>
      <c r="T6" s="93"/>
      <c r="U6" s="93"/>
      <c r="V6" s="93">
        <v>57.05</v>
      </c>
      <c r="W6" s="93"/>
      <c r="X6" s="5"/>
      <c r="Y6" s="7">
        <f t="shared" si="1"/>
        <v>580.58</v>
      </c>
      <c r="Z6" s="97">
        <f>821+6430.8</f>
        <v>7251.8</v>
      </c>
      <c r="AA6" s="59">
        <f t="shared" si="2"/>
        <v>0.080060123</v>
      </c>
      <c r="AB6" s="109">
        <f t="shared" si="3"/>
        <v>45296</v>
      </c>
    </row>
    <row r="7">
      <c r="A7" s="74">
        <v>45297.0</v>
      </c>
      <c r="B7" s="93">
        <f>432.5</f>
        <v>432.5</v>
      </c>
      <c r="C7" s="93">
        <f>281.5-101.2</f>
        <v>180.3</v>
      </c>
      <c r="D7" s="93">
        <v>175.38</v>
      </c>
      <c r="E7" s="93"/>
      <c r="F7" s="93">
        <v>588.0</v>
      </c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101"/>
      <c r="U7" s="101"/>
      <c r="V7" s="101"/>
      <c r="W7" s="101"/>
      <c r="X7" s="5"/>
      <c r="Y7" s="7">
        <f t="shared" si="1"/>
        <v>1376.18</v>
      </c>
      <c r="Z7" s="97">
        <v>12307</v>
      </c>
      <c r="AA7" s="59">
        <f t="shared" si="2"/>
        <v>0.1118209149</v>
      </c>
      <c r="AB7" s="109">
        <f t="shared" si="3"/>
        <v>45297</v>
      </c>
    </row>
    <row r="8">
      <c r="A8" s="74">
        <v>45298.0</v>
      </c>
      <c r="B8" s="93"/>
      <c r="C8" s="112" t="s">
        <v>21</v>
      </c>
      <c r="D8" s="180">
        <v>860.0</v>
      </c>
      <c r="E8" s="112" t="s">
        <v>21</v>
      </c>
      <c r="F8" s="112" t="s">
        <v>21</v>
      </c>
      <c r="G8" s="112" t="s">
        <v>21</v>
      </c>
      <c r="H8" s="112" t="s">
        <v>21</v>
      </c>
      <c r="I8" s="112" t="s">
        <v>21</v>
      </c>
      <c r="J8" s="112" t="s">
        <v>21</v>
      </c>
      <c r="K8" s="112" t="s">
        <v>21</v>
      </c>
      <c r="L8" s="112" t="s">
        <v>21</v>
      </c>
      <c r="M8" s="112" t="s">
        <v>21</v>
      </c>
      <c r="N8" s="112" t="s">
        <v>21</v>
      </c>
      <c r="O8" s="93"/>
      <c r="P8" s="112" t="s">
        <v>21</v>
      </c>
      <c r="Q8" s="112" t="s">
        <v>21</v>
      </c>
      <c r="R8" s="112" t="s">
        <v>21</v>
      </c>
      <c r="S8" s="112" t="s">
        <v>21</v>
      </c>
      <c r="T8" s="112" t="s">
        <v>21</v>
      </c>
      <c r="U8" s="112" t="s">
        <v>21</v>
      </c>
      <c r="V8" s="10" t="s">
        <v>21</v>
      </c>
      <c r="W8" s="10" t="s">
        <v>21</v>
      </c>
      <c r="X8" s="10" t="s">
        <v>21</v>
      </c>
      <c r="Y8" s="7">
        <f t="shared" si="1"/>
        <v>860</v>
      </c>
      <c r="Z8" s="97">
        <v>3983.8</v>
      </c>
      <c r="AA8" s="59">
        <f t="shared" si="2"/>
        <v>0.2158742909</v>
      </c>
      <c r="AB8" s="109">
        <f t="shared" si="3"/>
        <v>45298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Z9" s="129"/>
      <c r="AB9" s="106"/>
    </row>
    <row r="10">
      <c r="A10" s="164" t="s">
        <v>193</v>
      </c>
      <c r="B10" s="78"/>
      <c r="C10" s="78"/>
      <c r="D10" s="78"/>
      <c r="E10" s="188"/>
      <c r="F10" s="188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Z10" s="129"/>
      <c r="AB10" s="106"/>
    </row>
    <row r="11">
      <c r="A11" s="165" t="s">
        <v>194</v>
      </c>
      <c r="B11" s="93">
        <f>59.89+59.59+24.91+26.19+14.91+33.06+12.88+44+21.6+24.6+30.1+37.77+34.14+11.47+22.4+7.84</f>
        <v>465.35</v>
      </c>
      <c r="C11" s="93">
        <f>27+101.2</f>
        <v>128.2</v>
      </c>
      <c r="D11" s="93">
        <v>239.2</v>
      </c>
      <c r="E11" s="167"/>
      <c r="F11" s="168"/>
      <c r="G11" s="166"/>
      <c r="H11" s="166"/>
      <c r="I11" s="93">
        <v>190.0</v>
      </c>
      <c r="J11" s="168"/>
      <c r="K11" s="168"/>
      <c r="L11" s="168"/>
      <c r="M11" s="168"/>
      <c r="N11" s="166"/>
      <c r="O11" s="168"/>
      <c r="P11" s="1"/>
      <c r="Q11" s="1"/>
      <c r="R11" s="1"/>
      <c r="S11" s="1"/>
      <c r="T11" s="1"/>
      <c r="U11" s="1"/>
      <c r="V11" s="168"/>
      <c r="W11" s="168"/>
      <c r="X11" s="1"/>
      <c r="Y11" s="1"/>
      <c r="Z11" s="169"/>
      <c r="AA11" s="1"/>
      <c r="AB11" s="170"/>
    </row>
    <row r="12">
      <c r="A12" s="165" t="s">
        <v>195</v>
      </c>
      <c r="B12" s="93">
        <f>77.76+24.6+32+28.28+81.15+45.06+34.1+33.71+25.82+46.21+37.77+22+59.96+12.19+349+27.6+8.6+48.48+5.71</f>
        <v>1000</v>
      </c>
      <c r="C12" s="93">
        <f>211.15+169.4</f>
        <v>380.55</v>
      </c>
      <c r="D12" s="93">
        <f>248.6+120.6+57.4+58.48</f>
        <v>485.08</v>
      </c>
      <c r="E12" s="93"/>
      <c r="F12" s="93"/>
      <c r="G12" s="93"/>
      <c r="H12" s="93"/>
      <c r="I12" s="93"/>
      <c r="J12" s="93"/>
      <c r="K12" s="93"/>
      <c r="L12" s="93"/>
      <c r="M12" s="93"/>
      <c r="N12" s="93">
        <v>300.0</v>
      </c>
      <c r="O12" s="166"/>
      <c r="P12" s="1"/>
      <c r="Q12" s="1"/>
      <c r="R12" s="168"/>
      <c r="S12" s="168"/>
      <c r="T12" s="1"/>
      <c r="U12" s="96"/>
      <c r="V12" s="168"/>
      <c r="W12" s="168"/>
      <c r="X12" s="1"/>
      <c r="Y12" s="1"/>
      <c r="Z12" s="171"/>
      <c r="AA12" s="1"/>
      <c r="AB12" s="170"/>
    </row>
    <row r="13">
      <c r="A13" s="172" t="s">
        <v>224</v>
      </c>
      <c r="B13" s="93"/>
      <c r="C13" s="93"/>
      <c r="D13" s="93">
        <f>33.4+90.57</f>
        <v>123.97</v>
      </c>
      <c r="E13" s="168"/>
      <c r="F13" s="166"/>
      <c r="G13" s="93"/>
      <c r="H13" s="168"/>
      <c r="I13" s="168"/>
      <c r="J13" s="168"/>
      <c r="K13" s="168"/>
      <c r="L13" s="168"/>
      <c r="M13" s="168"/>
      <c r="N13" s="168"/>
      <c r="O13" s="168"/>
      <c r="P13" s="1"/>
      <c r="Q13" s="1"/>
      <c r="R13" s="168"/>
      <c r="S13" s="168"/>
      <c r="T13" s="1"/>
      <c r="U13" s="1"/>
      <c r="V13" s="168"/>
      <c r="W13" s="168"/>
      <c r="X13" s="1"/>
      <c r="Y13" s="1"/>
      <c r="Z13" s="174"/>
      <c r="AA13" s="1"/>
      <c r="AB13" s="170"/>
    </row>
    <row r="14" hidden="1">
      <c r="A14" s="172" t="s">
        <v>197</v>
      </c>
      <c r="B14" s="93"/>
      <c r="C14" s="93"/>
      <c r="D14" s="93"/>
      <c r="E14" s="168"/>
      <c r="F14" s="166"/>
      <c r="G14" s="168"/>
      <c r="H14" s="168"/>
      <c r="I14" s="168"/>
      <c r="J14" s="168"/>
      <c r="K14" s="168"/>
      <c r="L14" s="168"/>
      <c r="M14" s="168"/>
      <c r="N14" s="166"/>
      <c r="O14" s="168"/>
      <c r="P14" s="1"/>
      <c r="Q14" s="1"/>
      <c r="R14" s="168"/>
      <c r="S14" s="168"/>
      <c r="T14" s="1"/>
      <c r="U14" s="96"/>
      <c r="V14" s="168"/>
      <c r="W14" s="168"/>
      <c r="X14" s="1"/>
      <c r="Y14" s="1"/>
      <c r="Z14" s="174"/>
      <c r="AA14" s="1"/>
      <c r="AB14" s="170"/>
    </row>
    <row r="15">
      <c r="A15" s="165" t="s">
        <v>198</v>
      </c>
      <c r="B15" s="93">
        <v>98.43</v>
      </c>
      <c r="C15" s="93"/>
      <c r="D15" s="93">
        <v>69.2</v>
      </c>
      <c r="E15" s="168"/>
      <c r="F15" s="166"/>
      <c r="G15" s="168"/>
      <c r="H15" s="168"/>
      <c r="I15" s="168"/>
      <c r="J15" s="168"/>
      <c r="K15" s="168"/>
      <c r="L15" s="168"/>
      <c r="M15" s="168"/>
      <c r="N15" s="166"/>
      <c r="O15" s="168"/>
      <c r="P15" s="1"/>
      <c r="Q15" s="1"/>
      <c r="R15" s="168"/>
      <c r="S15" s="168"/>
      <c r="T15" s="1"/>
      <c r="U15" s="96"/>
      <c r="V15" s="168"/>
      <c r="W15" s="168"/>
      <c r="X15" s="1"/>
      <c r="Y15" s="1"/>
      <c r="Z15" s="174"/>
      <c r="AA15" s="1"/>
      <c r="AB15" s="170"/>
    </row>
    <row r="16">
      <c r="A16" s="91"/>
      <c r="B16" s="92"/>
      <c r="C16" s="79"/>
      <c r="D16" s="79"/>
      <c r="E16" s="79"/>
      <c r="F16" s="78"/>
      <c r="G16" s="78"/>
      <c r="H16" s="78"/>
      <c r="K16" s="79"/>
      <c r="L16" s="79"/>
      <c r="M16" s="78"/>
      <c r="N16" s="79"/>
      <c r="O16" s="79"/>
      <c r="R16" s="79"/>
      <c r="S16" s="79"/>
      <c r="V16" s="79"/>
      <c r="W16" s="79"/>
      <c r="Z16" s="131"/>
      <c r="AB16" s="106"/>
    </row>
    <row r="17">
      <c r="A17" s="91"/>
      <c r="B17" s="92"/>
      <c r="C17" s="78"/>
      <c r="D17" s="78"/>
      <c r="E17" s="78"/>
      <c r="F17" s="198"/>
      <c r="G17" s="204"/>
      <c r="H17" s="204"/>
      <c r="I17" s="198"/>
      <c r="J17" s="199"/>
      <c r="K17" s="199"/>
      <c r="L17" s="200"/>
      <c r="M17" s="201"/>
      <c r="N17" s="202"/>
      <c r="O17" s="198"/>
      <c r="P17" s="198"/>
      <c r="Q17" s="198"/>
      <c r="R17" s="198"/>
      <c r="S17" s="198"/>
      <c r="V17" s="79"/>
      <c r="W17" s="79"/>
      <c r="Z17" s="131"/>
      <c r="AB17" s="106"/>
    </row>
    <row r="18">
      <c r="A18" s="4" t="s">
        <v>22</v>
      </c>
      <c r="B18" s="11">
        <v>12605.0</v>
      </c>
      <c r="C18" s="79"/>
      <c r="D18" s="79"/>
      <c r="E18" s="79"/>
      <c r="F18" s="204"/>
      <c r="G18" s="201"/>
      <c r="H18" s="201"/>
      <c r="I18" s="198"/>
      <c r="J18" s="198"/>
      <c r="K18" s="198"/>
      <c r="L18" s="198"/>
      <c r="M18" s="201"/>
      <c r="N18" s="200"/>
      <c r="O18" s="203"/>
      <c r="P18" s="198"/>
      <c r="Q18" s="198"/>
      <c r="R18" s="198"/>
      <c r="S18" s="198"/>
      <c r="T18" s="204"/>
      <c r="V18" s="79"/>
      <c r="W18" s="79"/>
      <c r="Z18" s="131"/>
      <c r="AB18" s="106"/>
    </row>
    <row r="19">
      <c r="A19" s="4" t="s">
        <v>23</v>
      </c>
      <c r="B19" s="12">
        <f>SUM(B2:X8)</f>
        <v>9429.69</v>
      </c>
      <c r="C19" s="79"/>
      <c r="D19" s="177"/>
      <c r="E19" s="78"/>
      <c r="F19" s="204"/>
      <c r="G19" s="201"/>
      <c r="H19" s="201"/>
      <c r="I19" s="198"/>
      <c r="J19" s="191"/>
      <c r="K19" s="198"/>
      <c r="L19" s="198"/>
      <c r="M19" s="200"/>
      <c r="N19" s="198"/>
      <c r="O19" s="203"/>
      <c r="P19" s="198"/>
      <c r="Q19" s="198"/>
      <c r="R19" s="198"/>
      <c r="S19" s="198"/>
      <c r="T19" s="204"/>
      <c r="V19" s="79"/>
      <c r="W19" s="79"/>
      <c r="Z19" s="131"/>
      <c r="AB19" s="106"/>
    </row>
    <row r="20">
      <c r="A20" s="4" t="s">
        <v>24</v>
      </c>
      <c r="B20" s="12">
        <f> SUM(B18-B19)</f>
        <v>3175.31</v>
      </c>
      <c r="C20" s="79"/>
      <c r="D20" s="79"/>
      <c r="E20" s="78"/>
      <c r="F20" s="201"/>
      <c r="G20" s="214"/>
      <c r="H20" s="203"/>
      <c r="I20" s="215"/>
      <c r="J20" s="203"/>
      <c r="K20" s="199"/>
      <c r="L20" s="198"/>
      <c r="M20" s="201"/>
      <c r="N20" s="200"/>
      <c r="O20" s="203"/>
      <c r="P20" s="198"/>
      <c r="Q20" s="198"/>
      <c r="R20" s="198"/>
      <c r="S20" s="198"/>
      <c r="T20" s="204"/>
      <c r="V20" s="79"/>
      <c r="W20" s="79"/>
      <c r="Z20" s="131"/>
      <c r="AB20" s="106"/>
    </row>
    <row r="21">
      <c r="C21" s="79"/>
      <c r="D21" s="79"/>
      <c r="E21" s="78"/>
      <c r="F21" s="204"/>
      <c r="G21" s="214"/>
      <c r="H21" s="203"/>
      <c r="I21" s="205"/>
      <c r="J21" s="203"/>
      <c r="K21" s="203"/>
      <c r="L21" s="198"/>
      <c r="M21" s="201"/>
      <c r="N21" s="198"/>
      <c r="O21" s="203"/>
      <c r="P21" s="198"/>
      <c r="Q21" s="206"/>
      <c r="R21" s="198"/>
      <c r="S21" s="198"/>
      <c r="T21" s="204"/>
      <c r="V21" s="79"/>
      <c r="W21" s="79"/>
      <c r="Z21" s="131"/>
      <c r="AB21" s="106"/>
    </row>
    <row r="22">
      <c r="A22" s="13" t="s">
        <v>25</v>
      </c>
      <c r="B22" s="14">
        <f>SUM(Z2:Z8)</f>
        <v>31711.7</v>
      </c>
      <c r="C22" s="79"/>
      <c r="D22" s="79"/>
      <c r="E22" s="78"/>
      <c r="F22" s="201"/>
      <c r="G22" s="201"/>
      <c r="H22" s="201"/>
      <c r="I22" s="203"/>
      <c r="J22" s="203"/>
      <c r="K22" s="203"/>
      <c r="L22" s="198"/>
      <c r="M22" s="201"/>
      <c r="N22" s="198"/>
      <c r="O22" s="203"/>
      <c r="P22" s="198"/>
      <c r="Q22" s="198"/>
      <c r="R22" s="198"/>
      <c r="S22" s="198"/>
      <c r="T22" s="204"/>
      <c r="V22" s="79"/>
      <c r="W22" s="79"/>
      <c r="Z22" s="181"/>
      <c r="AB22" s="106"/>
    </row>
    <row r="23">
      <c r="A23" s="13" t="s">
        <v>26</v>
      </c>
      <c r="B23" s="15">
        <f>B19/B22</f>
        <v>0.2973568115</v>
      </c>
      <c r="C23" s="79"/>
      <c r="D23" s="79"/>
      <c r="E23" s="78"/>
      <c r="F23" s="204"/>
      <c r="G23" s="204"/>
      <c r="H23" s="207"/>
      <c r="I23" s="203"/>
      <c r="J23" s="203"/>
      <c r="K23" s="203"/>
      <c r="L23" s="198"/>
      <c r="M23" s="200"/>
      <c r="N23" s="203"/>
      <c r="O23" s="203"/>
      <c r="P23" s="198"/>
      <c r="Q23" s="198"/>
      <c r="R23" s="198"/>
      <c r="S23" s="198"/>
      <c r="T23" s="204"/>
      <c r="V23" s="79"/>
      <c r="W23" s="79"/>
      <c r="Z23" s="130"/>
      <c r="AB23" s="106"/>
    </row>
    <row r="24">
      <c r="C24" s="79"/>
      <c r="D24" s="79"/>
      <c r="E24" s="78"/>
      <c r="F24" s="204"/>
      <c r="G24" s="204"/>
      <c r="H24" s="204"/>
      <c r="I24" s="203"/>
      <c r="J24" s="203"/>
      <c r="K24" s="203"/>
      <c r="L24" s="198"/>
      <c r="M24" s="198"/>
      <c r="N24" s="198"/>
      <c r="O24" s="198"/>
      <c r="P24" s="198"/>
      <c r="Q24" s="198"/>
      <c r="R24" s="198"/>
      <c r="S24" s="198"/>
      <c r="T24" s="204"/>
      <c r="V24" s="79"/>
      <c r="W24" s="79"/>
      <c r="Z24" s="182"/>
      <c r="AB24" s="106"/>
    </row>
    <row r="25">
      <c r="C25" s="79"/>
      <c r="D25" s="79"/>
      <c r="E25" s="79"/>
      <c r="F25" s="204"/>
      <c r="G25" s="204"/>
      <c r="H25" s="204"/>
      <c r="I25" s="203"/>
      <c r="J25" s="203"/>
      <c r="K25" s="203"/>
      <c r="L25" s="198"/>
      <c r="M25" s="201"/>
      <c r="N25" s="198"/>
      <c r="O25" s="198"/>
      <c r="P25" s="198"/>
      <c r="Q25" s="198"/>
      <c r="R25" s="198"/>
      <c r="S25" s="198"/>
      <c r="T25" s="204"/>
      <c r="V25" s="79"/>
      <c r="W25" s="79"/>
      <c r="Z25" s="130"/>
      <c r="AB25" s="106"/>
    </row>
    <row r="26">
      <c r="A26" s="16" t="s">
        <v>27</v>
      </c>
      <c r="B26" s="17"/>
      <c r="C26" s="114"/>
      <c r="D26" s="114"/>
      <c r="E26" s="115"/>
      <c r="F26" s="204"/>
      <c r="G26" s="204"/>
      <c r="H26" s="204"/>
      <c r="I26" s="203"/>
      <c r="J26" s="203"/>
      <c r="K26" s="208"/>
      <c r="L26" s="208"/>
      <c r="M26" s="208"/>
      <c r="N26" s="198"/>
      <c r="O26" s="200"/>
      <c r="P26" s="198"/>
      <c r="Q26" s="198"/>
      <c r="R26" s="198"/>
      <c r="S26" s="198"/>
      <c r="T26" s="204"/>
      <c r="V26" s="79"/>
      <c r="W26" s="79"/>
      <c r="Z26" s="130"/>
      <c r="AB26" s="106"/>
    </row>
    <row r="27">
      <c r="A27" s="19" t="s">
        <v>28</v>
      </c>
      <c r="B27" s="20"/>
      <c r="C27" s="116"/>
      <c r="D27" s="116"/>
      <c r="E27" s="117"/>
      <c r="F27" s="204"/>
      <c r="G27" s="204"/>
      <c r="H27" s="204"/>
      <c r="I27" s="203"/>
      <c r="J27" s="203"/>
      <c r="K27" s="209"/>
      <c r="L27" s="209"/>
      <c r="M27" s="209"/>
      <c r="N27" s="198"/>
      <c r="O27" s="198"/>
      <c r="P27" s="198"/>
      <c r="Q27" s="198"/>
      <c r="R27" s="198"/>
      <c r="S27" s="198"/>
      <c r="T27" s="204"/>
      <c r="V27" s="79"/>
      <c r="W27" s="79"/>
      <c r="Z27" s="130"/>
      <c r="AB27" s="106"/>
    </row>
    <row r="28">
      <c r="A28" s="183" t="s">
        <v>29</v>
      </c>
      <c r="B28" s="184" t="s">
        <v>30</v>
      </c>
      <c r="C28" s="185"/>
      <c r="D28" s="185" t="s">
        <v>170</v>
      </c>
      <c r="E28" s="186" t="s">
        <v>171</v>
      </c>
      <c r="F28" s="204"/>
      <c r="G28" s="204"/>
      <c r="H28" s="204"/>
      <c r="I28" s="203"/>
      <c r="J28" s="203"/>
      <c r="K28" s="216"/>
      <c r="L28" s="209"/>
      <c r="M28" s="209"/>
      <c r="N28" s="198"/>
      <c r="O28" s="198"/>
      <c r="P28" s="198"/>
      <c r="Q28" s="198"/>
      <c r="R28" s="198"/>
      <c r="S28" s="198"/>
      <c r="T28" s="204"/>
      <c r="V28" s="79"/>
      <c r="W28" s="79"/>
      <c r="Z28" s="130"/>
      <c r="AB28" s="106"/>
    </row>
    <row r="29">
      <c r="A29" s="166" t="s">
        <v>111</v>
      </c>
      <c r="B29" s="93">
        <v>305.0</v>
      </c>
      <c r="C29" s="168"/>
      <c r="D29" s="168"/>
      <c r="E29" s="166" t="s">
        <v>225</v>
      </c>
      <c r="F29" s="204"/>
      <c r="G29" s="204"/>
      <c r="H29" s="204"/>
      <c r="I29" s="203"/>
      <c r="J29" s="217"/>
      <c r="K29" s="198"/>
      <c r="L29" s="198"/>
      <c r="M29" s="198"/>
      <c r="N29" s="198"/>
      <c r="O29" s="198"/>
      <c r="P29" s="198"/>
      <c r="Q29" s="198"/>
      <c r="R29" s="198"/>
      <c r="S29" s="198"/>
      <c r="T29" s="204"/>
      <c r="V29" s="79"/>
      <c r="W29" s="79"/>
      <c r="Z29" s="130"/>
      <c r="AB29" s="106"/>
    </row>
    <row r="30">
      <c r="A30" s="166" t="s">
        <v>41</v>
      </c>
      <c r="B30" s="93">
        <v>1320.16</v>
      </c>
      <c r="C30" s="168"/>
      <c r="D30" s="168"/>
      <c r="E30" s="166" t="s">
        <v>225</v>
      </c>
      <c r="F30" s="204"/>
      <c r="G30" s="204"/>
      <c r="H30" s="204"/>
      <c r="I30" s="203"/>
      <c r="J30" s="217"/>
      <c r="K30" s="198"/>
      <c r="L30" s="198"/>
      <c r="M30" s="198"/>
      <c r="N30" s="198"/>
      <c r="O30" s="198"/>
      <c r="P30" s="198"/>
      <c r="Q30" s="198"/>
      <c r="R30" s="198"/>
      <c r="S30" s="198"/>
      <c r="T30" s="204"/>
      <c r="V30" s="79"/>
      <c r="W30" s="79"/>
      <c r="Z30" s="130"/>
      <c r="AB30" s="106"/>
    </row>
    <row r="31">
      <c r="C31" s="79"/>
      <c r="D31" s="79"/>
      <c r="E31" s="79"/>
      <c r="F31" s="204"/>
      <c r="G31" s="204"/>
      <c r="H31" s="204"/>
      <c r="I31" s="198"/>
      <c r="J31" s="198"/>
      <c r="K31" s="198"/>
      <c r="L31" s="198"/>
      <c r="M31" s="198"/>
      <c r="N31" s="198"/>
      <c r="O31" s="198"/>
      <c r="P31" s="198"/>
      <c r="Q31" s="198"/>
      <c r="R31" s="198"/>
      <c r="S31" s="198"/>
      <c r="T31" s="204"/>
      <c r="V31" s="79"/>
      <c r="W31" s="79"/>
      <c r="Z31" s="130"/>
      <c r="AB31" s="106"/>
    </row>
    <row r="32">
      <c r="C32" s="79"/>
      <c r="D32" s="79"/>
      <c r="E32" s="79"/>
      <c r="F32" s="204"/>
      <c r="G32" s="204"/>
      <c r="H32" s="204"/>
      <c r="I32" s="198"/>
      <c r="J32" s="198"/>
      <c r="K32" s="198"/>
      <c r="L32" s="198"/>
      <c r="M32" s="198"/>
      <c r="N32" s="198"/>
      <c r="O32" s="201"/>
      <c r="P32" s="198"/>
      <c r="Q32" s="198"/>
      <c r="R32" s="198"/>
      <c r="S32" s="198"/>
      <c r="T32" s="204"/>
      <c r="V32" s="79"/>
      <c r="W32" s="79"/>
      <c r="Z32" s="130"/>
      <c r="AB32" s="106"/>
    </row>
    <row r="33">
      <c r="C33" s="79"/>
      <c r="D33" s="79"/>
      <c r="E33" s="79"/>
      <c r="F33" s="204"/>
      <c r="G33" s="204"/>
      <c r="H33" s="204"/>
      <c r="I33" s="198"/>
      <c r="J33" s="198"/>
      <c r="K33" s="198"/>
      <c r="L33" s="198"/>
      <c r="M33" s="198"/>
      <c r="N33" s="198"/>
      <c r="O33" s="201"/>
      <c r="P33" s="198"/>
      <c r="Q33" s="198"/>
      <c r="R33" s="198"/>
      <c r="S33" s="198"/>
      <c r="T33" s="204"/>
      <c r="V33" s="79"/>
      <c r="W33" s="79"/>
      <c r="Z33" s="130"/>
      <c r="AB33" s="106"/>
    </row>
    <row r="34">
      <c r="C34" s="79"/>
      <c r="D34" s="79"/>
      <c r="E34" s="79"/>
      <c r="F34" s="204"/>
      <c r="G34" s="204"/>
      <c r="H34" s="204"/>
      <c r="I34" s="213"/>
      <c r="J34" s="204"/>
      <c r="K34" s="204"/>
      <c r="L34" s="204"/>
      <c r="M34" s="198"/>
      <c r="N34" s="204"/>
      <c r="O34" s="213">
        <v>6.0</v>
      </c>
      <c r="P34" s="204"/>
      <c r="Q34" s="204"/>
      <c r="R34" s="198"/>
      <c r="S34" s="198"/>
      <c r="T34" s="204"/>
      <c r="V34" s="79"/>
      <c r="W34" s="79"/>
      <c r="Z34" s="130"/>
      <c r="AB34" s="106"/>
    </row>
    <row r="35">
      <c r="C35" s="79"/>
      <c r="D35" s="79"/>
      <c r="E35" s="79"/>
      <c r="F35" s="204"/>
      <c r="G35" s="204"/>
      <c r="H35" s="204"/>
      <c r="I35" s="213"/>
      <c r="J35" s="204"/>
      <c r="K35" s="204"/>
      <c r="L35" s="204"/>
      <c r="M35" s="198"/>
      <c r="N35" s="204"/>
      <c r="O35" s="204"/>
      <c r="P35" s="204"/>
      <c r="Q35" s="204"/>
      <c r="R35" s="198"/>
      <c r="S35" s="198"/>
      <c r="T35" s="204"/>
      <c r="V35" s="79"/>
      <c r="W35" s="79"/>
      <c r="Z35" s="130"/>
      <c r="AB35" s="106"/>
    </row>
    <row r="36">
      <c r="C36" s="79"/>
      <c r="D36" s="79"/>
      <c r="E36" s="79"/>
      <c r="F36" s="204"/>
      <c r="G36" s="204"/>
      <c r="H36" s="204"/>
      <c r="I36" s="213"/>
      <c r="J36" s="204"/>
      <c r="K36" s="204"/>
      <c r="L36" s="204"/>
      <c r="M36" s="198"/>
      <c r="N36" s="204"/>
      <c r="O36" s="204"/>
      <c r="P36" s="204"/>
      <c r="Q36" s="204"/>
      <c r="R36" s="198"/>
      <c r="S36" s="198"/>
      <c r="V36" s="79"/>
      <c r="W36" s="79"/>
      <c r="Z36" s="130"/>
      <c r="AB36" s="106"/>
    </row>
    <row r="37">
      <c r="C37" s="79"/>
      <c r="D37" s="79"/>
      <c r="E37" s="79"/>
      <c r="I37" s="213"/>
      <c r="J37" s="204"/>
      <c r="K37" s="204"/>
      <c r="L37" s="204"/>
      <c r="M37" s="198"/>
      <c r="N37" s="204"/>
      <c r="O37" s="204"/>
      <c r="P37" s="204"/>
      <c r="Q37" s="204"/>
      <c r="R37" s="198"/>
      <c r="S37" s="79"/>
      <c r="V37" s="79"/>
      <c r="W37" s="79"/>
      <c r="Z37" s="130"/>
      <c r="AB37" s="106"/>
    </row>
    <row r="38">
      <c r="C38" s="79"/>
      <c r="D38" s="79"/>
      <c r="E38" s="79"/>
      <c r="I38" s="213"/>
      <c r="J38" s="204"/>
      <c r="K38" s="204"/>
      <c r="L38" s="204"/>
      <c r="M38" s="198"/>
      <c r="N38" s="204"/>
      <c r="O38" s="204"/>
      <c r="P38" s="204"/>
      <c r="Q38" s="204"/>
      <c r="R38" s="198"/>
      <c r="S38" s="79"/>
      <c r="V38" s="79"/>
      <c r="W38" s="79"/>
      <c r="Z38" s="130"/>
      <c r="AB38" s="106"/>
    </row>
    <row r="39">
      <c r="C39" s="79"/>
      <c r="D39" s="79"/>
      <c r="E39" s="79"/>
      <c r="I39" s="204"/>
      <c r="J39" s="204"/>
      <c r="K39" s="204"/>
      <c r="L39" s="204"/>
      <c r="M39" s="198"/>
      <c r="N39" s="204"/>
      <c r="O39" s="204"/>
      <c r="P39" s="204"/>
      <c r="Q39" s="204"/>
      <c r="R39" s="198"/>
      <c r="S39" s="79"/>
      <c r="V39" s="79"/>
      <c r="W39" s="79"/>
      <c r="Z39" s="130"/>
      <c r="AB39" s="106"/>
    </row>
    <row r="40">
      <c r="C40" s="79"/>
      <c r="D40" s="79"/>
      <c r="E40" s="79"/>
      <c r="I40" s="204"/>
      <c r="J40" s="204"/>
      <c r="K40" s="204"/>
      <c r="L40" s="204"/>
      <c r="M40" s="198"/>
      <c r="N40" s="204"/>
      <c r="O40" s="204"/>
      <c r="P40" s="204"/>
      <c r="Q40" s="204"/>
      <c r="R40" s="198"/>
      <c r="S40" s="79"/>
      <c r="V40" s="79"/>
      <c r="W40" s="79"/>
      <c r="Z40" s="130"/>
      <c r="AB40" s="106"/>
    </row>
    <row r="41">
      <c r="C41" s="79"/>
      <c r="D41" s="79"/>
      <c r="E41" s="79"/>
      <c r="M41" s="79"/>
      <c r="R41" s="79"/>
      <c r="S41" s="79"/>
      <c r="V41" s="79"/>
      <c r="W41" s="79"/>
      <c r="Z41" s="130"/>
      <c r="AB41" s="106"/>
    </row>
    <row r="42">
      <c r="C42" s="79"/>
      <c r="D42" s="79"/>
      <c r="E42" s="79"/>
      <c r="M42" s="79"/>
      <c r="R42" s="79"/>
      <c r="S42" s="79"/>
      <c r="V42" s="79"/>
      <c r="W42" s="79"/>
      <c r="Z42" s="130"/>
      <c r="AB42" s="106"/>
    </row>
    <row r="43">
      <c r="C43" s="79"/>
      <c r="D43" s="79"/>
      <c r="E43" s="79"/>
      <c r="M43" s="79"/>
      <c r="R43" s="79"/>
      <c r="S43" s="79"/>
      <c r="V43" s="79"/>
      <c r="W43" s="79"/>
      <c r="Z43" s="130"/>
      <c r="AB43" s="106"/>
    </row>
    <row r="44">
      <c r="C44" s="79"/>
      <c r="D44" s="79"/>
      <c r="E44" s="79"/>
      <c r="M44" s="79"/>
      <c r="R44" s="79"/>
      <c r="S44" s="79"/>
      <c r="V44" s="79"/>
      <c r="W44" s="79"/>
      <c r="Z44" s="130"/>
      <c r="AB44" s="106"/>
    </row>
    <row r="45">
      <c r="C45" s="79"/>
      <c r="D45" s="79"/>
      <c r="E45" s="79"/>
      <c r="M45" s="79"/>
      <c r="R45" s="79"/>
      <c r="S45" s="79"/>
      <c r="V45" s="79"/>
      <c r="W45" s="79"/>
      <c r="Z45" s="130"/>
      <c r="AB45" s="106"/>
    </row>
    <row r="46">
      <c r="C46" s="79"/>
      <c r="D46" s="79"/>
      <c r="E46" s="79"/>
      <c r="M46" s="79"/>
      <c r="R46" s="79"/>
      <c r="S46" s="79"/>
      <c r="V46" s="79"/>
      <c r="W46" s="79"/>
      <c r="Z46" s="130"/>
      <c r="AB46" s="106"/>
    </row>
    <row r="47">
      <c r="C47" s="79"/>
      <c r="D47" s="79"/>
      <c r="E47" s="79"/>
      <c r="M47" s="79"/>
      <c r="R47" s="79"/>
      <c r="S47" s="79"/>
      <c r="V47" s="79"/>
      <c r="W47" s="79"/>
      <c r="Z47" s="130"/>
      <c r="AB47" s="106"/>
    </row>
    <row r="48">
      <c r="C48" s="79"/>
      <c r="D48" s="79"/>
      <c r="E48" s="79"/>
      <c r="M48" s="79"/>
      <c r="R48" s="79"/>
      <c r="S48" s="79"/>
      <c r="V48" s="79"/>
      <c r="W48" s="79"/>
      <c r="Z48" s="130"/>
      <c r="AB48" s="106"/>
    </row>
    <row r="49">
      <c r="C49" s="79"/>
      <c r="D49" s="79"/>
      <c r="E49" s="79"/>
      <c r="M49" s="79"/>
      <c r="R49" s="79"/>
      <c r="S49" s="79"/>
      <c r="V49" s="79"/>
      <c r="W49" s="79"/>
      <c r="Z49" s="130"/>
      <c r="AB49" s="106"/>
    </row>
    <row r="50">
      <c r="C50" s="79"/>
      <c r="D50" s="79"/>
      <c r="E50" s="79"/>
      <c r="M50" s="79"/>
      <c r="R50" s="79"/>
      <c r="S50" s="79"/>
      <c r="V50" s="79"/>
      <c r="W50" s="79"/>
      <c r="Z50" s="130"/>
      <c r="AB50" s="106"/>
    </row>
    <row r="51">
      <c r="C51" s="79"/>
      <c r="D51" s="79"/>
      <c r="E51" s="79"/>
      <c r="M51" s="79"/>
      <c r="R51" s="79"/>
      <c r="S51" s="79"/>
      <c r="V51" s="79"/>
      <c r="W51" s="79"/>
      <c r="Z51" s="130"/>
      <c r="AB51" s="106"/>
    </row>
    <row r="52">
      <c r="C52" s="79"/>
      <c r="D52" s="79"/>
      <c r="E52" s="79"/>
      <c r="M52" s="79"/>
      <c r="R52" s="79"/>
      <c r="S52" s="79"/>
      <c r="V52" s="79"/>
      <c r="W52" s="79"/>
      <c r="Z52" s="130"/>
      <c r="AB52" s="106"/>
    </row>
    <row r="53">
      <c r="C53" s="79"/>
      <c r="D53" s="79"/>
      <c r="E53" s="79"/>
      <c r="M53" s="79"/>
      <c r="R53" s="79"/>
      <c r="S53" s="79"/>
      <c r="V53" s="79"/>
      <c r="W53" s="79"/>
      <c r="Z53" s="130"/>
      <c r="AB53" s="106"/>
    </row>
    <row r="54">
      <c r="C54" s="79"/>
      <c r="D54" s="79"/>
      <c r="E54" s="79"/>
      <c r="M54" s="79"/>
      <c r="R54" s="79"/>
      <c r="S54" s="79"/>
      <c r="V54" s="79"/>
      <c r="W54" s="79"/>
      <c r="Z54" s="130"/>
      <c r="AB54" s="106"/>
    </row>
    <row r="55">
      <c r="C55" s="79"/>
      <c r="D55" s="79"/>
      <c r="E55" s="79"/>
      <c r="M55" s="79"/>
      <c r="R55" s="79"/>
      <c r="S55" s="79"/>
      <c r="V55" s="79"/>
      <c r="W55" s="79"/>
      <c r="Z55" s="130"/>
      <c r="AB55" s="106"/>
    </row>
    <row r="56">
      <c r="C56" s="79"/>
      <c r="D56" s="79"/>
      <c r="E56" s="79"/>
      <c r="M56" s="79"/>
      <c r="R56" s="79"/>
      <c r="S56" s="79"/>
      <c r="V56" s="79"/>
      <c r="W56" s="79"/>
      <c r="Z56" s="130"/>
      <c r="AB56" s="106"/>
    </row>
    <row r="57">
      <c r="C57" s="79"/>
      <c r="D57" s="79"/>
      <c r="E57" s="79"/>
      <c r="M57" s="79"/>
      <c r="R57" s="79"/>
      <c r="S57" s="79"/>
      <c r="V57" s="79"/>
      <c r="W57" s="79"/>
      <c r="Z57" s="130"/>
      <c r="AB57" s="106"/>
    </row>
    <row r="58">
      <c r="C58" s="79"/>
      <c r="D58" s="79"/>
      <c r="E58" s="79"/>
      <c r="M58" s="79"/>
      <c r="R58" s="79"/>
      <c r="S58" s="79"/>
      <c r="V58" s="79"/>
      <c r="W58" s="79"/>
      <c r="Z58" s="130"/>
      <c r="AB58" s="106"/>
    </row>
    <row r="59">
      <c r="C59" s="79"/>
      <c r="D59" s="79"/>
      <c r="E59" s="79"/>
      <c r="M59" s="79"/>
      <c r="R59" s="79"/>
      <c r="S59" s="79"/>
      <c r="V59" s="79"/>
      <c r="W59" s="79"/>
      <c r="Z59" s="130"/>
      <c r="AB59" s="106"/>
    </row>
    <row r="60">
      <c r="C60" s="79"/>
      <c r="D60" s="79"/>
      <c r="E60" s="79"/>
      <c r="M60" s="79"/>
      <c r="R60" s="79"/>
      <c r="S60" s="79"/>
      <c r="V60" s="79"/>
      <c r="W60" s="79"/>
      <c r="Z60" s="130"/>
      <c r="AB60" s="106"/>
    </row>
    <row r="61">
      <c r="C61" s="79"/>
      <c r="D61" s="79"/>
      <c r="E61" s="79"/>
      <c r="M61" s="79"/>
      <c r="R61" s="79"/>
      <c r="S61" s="79"/>
      <c r="V61" s="79"/>
      <c r="W61" s="79"/>
      <c r="Z61" s="130"/>
      <c r="AB61" s="106"/>
    </row>
    <row r="62">
      <c r="C62" s="79"/>
      <c r="D62" s="79"/>
      <c r="E62" s="79"/>
      <c r="M62" s="79"/>
      <c r="R62" s="79"/>
      <c r="S62" s="79"/>
      <c r="V62" s="79"/>
      <c r="W62" s="79"/>
      <c r="Z62" s="130"/>
      <c r="AB62" s="106"/>
    </row>
    <row r="63">
      <c r="C63" s="79"/>
      <c r="D63" s="79"/>
      <c r="E63" s="79"/>
      <c r="M63" s="79"/>
      <c r="R63" s="79"/>
      <c r="S63" s="79"/>
      <c r="V63" s="79"/>
      <c r="W63" s="79"/>
      <c r="Z63" s="130"/>
      <c r="AB63" s="106"/>
    </row>
    <row r="64">
      <c r="C64" s="79"/>
      <c r="D64" s="79"/>
      <c r="E64" s="79"/>
      <c r="M64" s="79"/>
      <c r="R64" s="79"/>
      <c r="S64" s="79"/>
      <c r="V64" s="79"/>
      <c r="W64" s="79"/>
      <c r="Z64" s="130"/>
      <c r="AB64" s="106"/>
    </row>
    <row r="65">
      <c r="C65" s="79"/>
      <c r="D65" s="79"/>
      <c r="E65" s="79"/>
      <c r="M65" s="79"/>
      <c r="R65" s="79"/>
      <c r="S65" s="79"/>
      <c r="V65" s="79"/>
      <c r="W65" s="79"/>
      <c r="Z65" s="130"/>
      <c r="AB65" s="106"/>
    </row>
    <row r="66">
      <c r="C66" s="79"/>
      <c r="D66" s="79"/>
      <c r="E66" s="79"/>
      <c r="M66" s="79"/>
      <c r="R66" s="79"/>
      <c r="S66" s="79"/>
      <c r="V66" s="79"/>
      <c r="W66" s="79"/>
      <c r="Z66" s="130"/>
      <c r="AB66" s="106"/>
    </row>
    <row r="67">
      <c r="C67" s="79"/>
      <c r="D67" s="79"/>
      <c r="E67" s="79"/>
      <c r="M67" s="79"/>
      <c r="R67" s="79"/>
      <c r="S67" s="79"/>
      <c r="V67" s="79"/>
      <c r="W67" s="79"/>
      <c r="Z67" s="130"/>
      <c r="AB67" s="106"/>
    </row>
    <row r="68">
      <c r="C68" s="79"/>
      <c r="D68" s="79"/>
      <c r="E68" s="79"/>
      <c r="M68" s="79"/>
      <c r="R68" s="79"/>
      <c r="S68" s="79"/>
      <c r="V68" s="79"/>
      <c r="W68" s="79"/>
      <c r="Z68" s="130"/>
      <c r="AB68" s="106"/>
    </row>
    <row r="69">
      <c r="C69" s="79"/>
      <c r="D69" s="79"/>
      <c r="E69" s="79"/>
      <c r="M69" s="79"/>
      <c r="R69" s="79"/>
      <c r="S69" s="79"/>
      <c r="V69" s="79"/>
      <c r="W69" s="79"/>
      <c r="Z69" s="130"/>
      <c r="AB69" s="106"/>
    </row>
    <row r="70">
      <c r="C70" s="79"/>
      <c r="D70" s="79"/>
      <c r="E70" s="79"/>
      <c r="M70" s="79"/>
      <c r="R70" s="79"/>
      <c r="S70" s="79"/>
      <c r="V70" s="79"/>
      <c r="W70" s="79"/>
      <c r="Z70" s="130"/>
      <c r="AB70" s="106"/>
    </row>
    <row r="71">
      <c r="C71" s="79"/>
      <c r="D71" s="79"/>
      <c r="E71" s="79"/>
      <c r="M71" s="79"/>
      <c r="R71" s="79"/>
      <c r="S71" s="79"/>
      <c r="V71" s="79"/>
      <c r="W71" s="79"/>
      <c r="Z71" s="130"/>
      <c r="AB71" s="106"/>
    </row>
    <row r="72">
      <c r="C72" s="79"/>
      <c r="D72" s="79"/>
      <c r="E72" s="79"/>
      <c r="M72" s="79"/>
      <c r="R72" s="79"/>
      <c r="S72" s="79"/>
      <c r="V72" s="79"/>
      <c r="W72" s="79"/>
      <c r="Z72" s="130"/>
      <c r="AB72" s="106"/>
    </row>
    <row r="73">
      <c r="C73" s="79"/>
      <c r="D73" s="79"/>
      <c r="E73" s="79"/>
      <c r="M73" s="79"/>
      <c r="R73" s="79"/>
      <c r="S73" s="79"/>
      <c r="V73" s="79"/>
      <c r="W73" s="79"/>
      <c r="Z73" s="130"/>
      <c r="AB73" s="106"/>
    </row>
    <row r="74">
      <c r="C74" s="79"/>
      <c r="D74" s="79"/>
      <c r="E74" s="79"/>
      <c r="M74" s="79"/>
      <c r="R74" s="79"/>
      <c r="S74" s="79"/>
      <c r="V74" s="79"/>
      <c r="W74" s="79"/>
      <c r="Z74" s="130"/>
      <c r="AB74" s="106"/>
    </row>
    <row r="75">
      <c r="C75" s="79"/>
      <c r="D75" s="79"/>
      <c r="E75" s="79"/>
      <c r="M75" s="79"/>
      <c r="R75" s="79"/>
      <c r="S75" s="79"/>
      <c r="V75" s="79"/>
      <c r="W75" s="79"/>
      <c r="Z75" s="130"/>
      <c r="AB75" s="106"/>
    </row>
    <row r="76">
      <c r="C76" s="79"/>
      <c r="D76" s="79"/>
      <c r="E76" s="79"/>
      <c r="M76" s="79"/>
      <c r="R76" s="79"/>
      <c r="S76" s="79"/>
      <c r="V76" s="79"/>
      <c r="W76" s="79"/>
      <c r="Z76" s="130"/>
      <c r="AB76" s="106"/>
    </row>
    <row r="77">
      <c r="C77" s="79"/>
      <c r="D77" s="79"/>
      <c r="E77" s="79"/>
      <c r="M77" s="79"/>
      <c r="R77" s="79"/>
      <c r="S77" s="79"/>
      <c r="V77" s="79"/>
      <c r="W77" s="79"/>
      <c r="Z77" s="130"/>
      <c r="AB77" s="106"/>
    </row>
    <row r="78">
      <c r="C78" s="79"/>
      <c r="D78" s="79"/>
      <c r="E78" s="79"/>
      <c r="M78" s="79"/>
      <c r="R78" s="79"/>
      <c r="S78" s="79"/>
      <c r="V78" s="79"/>
      <c r="W78" s="79"/>
      <c r="Z78" s="130"/>
      <c r="AB78" s="106"/>
    </row>
    <row r="79">
      <c r="C79" s="79"/>
      <c r="D79" s="79"/>
      <c r="E79" s="79"/>
      <c r="M79" s="79"/>
      <c r="R79" s="79"/>
      <c r="S79" s="79"/>
      <c r="V79" s="79"/>
      <c r="W79" s="79"/>
      <c r="Z79" s="130"/>
      <c r="AB79" s="106"/>
    </row>
    <row r="80">
      <c r="C80" s="79"/>
      <c r="D80" s="79"/>
      <c r="E80" s="79"/>
      <c r="M80" s="79"/>
      <c r="R80" s="79"/>
      <c r="S80" s="79"/>
      <c r="V80" s="79"/>
      <c r="W80" s="79"/>
      <c r="Z80" s="130"/>
      <c r="AB80" s="106"/>
    </row>
    <row r="81">
      <c r="C81" s="79"/>
      <c r="D81" s="79"/>
      <c r="E81" s="79"/>
      <c r="M81" s="79"/>
      <c r="R81" s="79"/>
      <c r="S81" s="79"/>
      <c r="V81" s="79"/>
      <c r="W81" s="79"/>
      <c r="Z81" s="130"/>
      <c r="AB81" s="106"/>
    </row>
    <row r="82">
      <c r="C82" s="79"/>
      <c r="D82" s="79"/>
      <c r="E82" s="79"/>
      <c r="M82" s="79"/>
      <c r="R82" s="79"/>
      <c r="S82" s="79"/>
      <c r="V82" s="79"/>
      <c r="W82" s="79"/>
      <c r="Z82" s="130"/>
      <c r="AB82" s="106"/>
    </row>
    <row r="83">
      <c r="C83" s="79"/>
      <c r="D83" s="79"/>
      <c r="E83" s="79"/>
      <c r="M83" s="79"/>
      <c r="R83" s="79"/>
      <c r="S83" s="79"/>
      <c r="V83" s="79"/>
      <c r="W83" s="79"/>
      <c r="Z83" s="130"/>
      <c r="AB83" s="106"/>
    </row>
    <row r="84">
      <c r="C84" s="79"/>
      <c r="D84" s="79"/>
      <c r="E84" s="79"/>
      <c r="M84" s="79"/>
      <c r="R84" s="79"/>
      <c r="S84" s="79"/>
      <c r="V84" s="79"/>
      <c r="W84" s="79"/>
      <c r="Z84" s="130"/>
      <c r="AB84" s="106"/>
    </row>
    <row r="85">
      <c r="C85" s="79"/>
      <c r="D85" s="79"/>
      <c r="E85" s="79"/>
      <c r="M85" s="79"/>
      <c r="R85" s="79"/>
      <c r="S85" s="79"/>
      <c r="V85" s="79"/>
      <c r="W85" s="79"/>
      <c r="Z85" s="130"/>
      <c r="AB85" s="106"/>
    </row>
    <row r="86">
      <c r="C86" s="79"/>
      <c r="D86" s="79"/>
      <c r="E86" s="79"/>
      <c r="M86" s="79"/>
      <c r="R86" s="79"/>
      <c r="S86" s="79"/>
      <c r="V86" s="79"/>
      <c r="W86" s="79"/>
      <c r="Z86" s="130"/>
      <c r="AB86" s="106"/>
    </row>
    <row r="87">
      <c r="C87" s="79"/>
      <c r="D87" s="79"/>
      <c r="E87" s="79"/>
      <c r="M87" s="79"/>
      <c r="R87" s="79"/>
      <c r="S87" s="79"/>
      <c r="V87" s="79"/>
      <c r="W87" s="79"/>
      <c r="Z87" s="130"/>
      <c r="AB87" s="106"/>
    </row>
    <row r="88">
      <c r="C88" s="79"/>
      <c r="D88" s="79"/>
      <c r="E88" s="79"/>
      <c r="M88" s="79"/>
      <c r="R88" s="79"/>
      <c r="S88" s="79"/>
      <c r="V88" s="79"/>
      <c r="W88" s="79"/>
      <c r="Z88" s="130"/>
      <c r="AB88" s="106"/>
    </row>
    <row r="89">
      <c r="C89" s="79"/>
      <c r="D89" s="79"/>
      <c r="E89" s="79"/>
      <c r="M89" s="79"/>
      <c r="R89" s="79"/>
      <c r="S89" s="79"/>
      <c r="V89" s="79"/>
      <c r="W89" s="79"/>
      <c r="Z89" s="130"/>
      <c r="AB89" s="106"/>
    </row>
    <row r="90">
      <c r="C90" s="79"/>
      <c r="D90" s="79"/>
      <c r="E90" s="79"/>
      <c r="M90" s="79"/>
      <c r="R90" s="79"/>
      <c r="S90" s="79"/>
      <c r="V90" s="79"/>
      <c r="W90" s="79"/>
      <c r="Z90" s="130"/>
      <c r="AB90" s="106"/>
    </row>
    <row r="91">
      <c r="C91" s="79"/>
      <c r="D91" s="79"/>
      <c r="E91" s="79"/>
      <c r="M91" s="79"/>
      <c r="R91" s="79"/>
      <c r="S91" s="79"/>
      <c r="V91" s="79"/>
      <c r="W91" s="79"/>
      <c r="Z91" s="130"/>
      <c r="AB91" s="106"/>
    </row>
    <row r="92">
      <c r="C92" s="79"/>
      <c r="D92" s="79"/>
      <c r="E92" s="79"/>
      <c r="M92" s="79"/>
      <c r="R92" s="79"/>
      <c r="S92" s="79"/>
      <c r="V92" s="79"/>
      <c r="W92" s="79"/>
      <c r="Z92" s="130"/>
      <c r="AB92" s="106"/>
    </row>
    <row r="93">
      <c r="C93" s="79"/>
      <c r="D93" s="79"/>
      <c r="E93" s="79"/>
      <c r="M93" s="79"/>
      <c r="R93" s="79"/>
      <c r="S93" s="79"/>
      <c r="V93" s="79"/>
      <c r="W93" s="79"/>
      <c r="Z93" s="130"/>
      <c r="AB93" s="106"/>
    </row>
    <row r="94">
      <c r="C94" s="79"/>
      <c r="D94" s="79"/>
      <c r="E94" s="79"/>
      <c r="M94" s="79"/>
      <c r="R94" s="79"/>
      <c r="S94" s="79"/>
      <c r="V94" s="79"/>
      <c r="W94" s="79"/>
      <c r="Z94" s="130"/>
      <c r="AB94" s="106"/>
    </row>
    <row r="95">
      <c r="C95" s="79"/>
      <c r="D95" s="79"/>
      <c r="E95" s="79"/>
      <c r="M95" s="79"/>
      <c r="R95" s="79"/>
      <c r="S95" s="79"/>
      <c r="V95" s="79"/>
      <c r="W95" s="79"/>
      <c r="Z95" s="130"/>
      <c r="AB95" s="106"/>
    </row>
    <row r="96">
      <c r="C96" s="79"/>
      <c r="D96" s="79"/>
      <c r="E96" s="79"/>
      <c r="M96" s="79"/>
      <c r="R96" s="79"/>
      <c r="S96" s="79"/>
      <c r="V96" s="79"/>
      <c r="W96" s="79"/>
      <c r="Z96" s="130"/>
      <c r="AB96" s="106"/>
    </row>
    <row r="97">
      <c r="C97" s="79"/>
      <c r="D97" s="79"/>
      <c r="E97" s="79"/>
      <c r="M97" s="79"/>
      <c r="R97" s="79"/>
      <c r="S97" s="79"/>
      <c r="V97" s="79"/>
      <c r="W97" s="79"/>
      <c r="Z97" s="130"/>
      <c r="AB97" s="106"/>
    </row>
    <row r="98">
      <c r="C98" s="79"/>
      <c r="D98" s="79"/>
      <c r="E98" s="79"/>
      <c r="M98" s="79"/>
      <c r="R98" s="79"/>
      <c r="S98" s="79"/>
      <c r="V98" s="79"/>
      <c r="W98" s="79"/>
      <c r="Z98" s="130"/>
      <c r="AB98" s="106"/>
    </row>
    <row r="99">
      <c r="C99" s="79"/>
      <c r="D99" s="79"/>
      <c r="E99" s="79"/>
      <c r="M99" s="79"/>
      <c r="R99" s="79"/>
      <c r="S99" s="79"/>
      <c r="V99" s="79"/>
      <c r="W99" s="79"/>
      <c r="Z99" s="130"/>
      <c r="AB99" s="106"/>
    </row>
    <row r="100">
      <c r="C100" s="79"/>
      <c r="D100" s="79"/>
      <c r="E100" s="79"/>
      <c r="M100" s="79"/>
      <c r="R100" s="79"/>
      <c r="S100" s="79"/>
      <c r="V100" s="79"/>
      <c r="W100" s="79"/>
      <c r="Z100" s="130"/>
      <c r="AB100" s="106"/>
    </row>
    <row r="101">
      <c r="C101" s="79"/>
      <c r="D101" s="79"/>
      <c r="E101" s="79"/>
      <c r="M101" s="79"/>
      <c r="R101" s="79"/>
      <c r="S101" s="79"/>
      <c r="V101" s="79"/>
      <c r="W101" s="79"/>
      <c r="Z101" s="130"/>
      <c r="AB101" s="106"/>
    </row>
    <row r="102">
      <c r="C102" s="79"/>
      <c r="D102" s="79"/>
      <c r="E102" s="79"/>
      <c r="M102" s="79"/>
      <c r="R102" s="79"/>
      <c r="S102" s="79"/>
      <c r="V102" s="79"/>
      <c r="W102" s="79"/>
      <c r="Z102" s="130"/>
      <c r="AB102" s="106"/>
    </row>
    <row r="103">
      <c r="C103" s="79"/>
      <c r="D103" s="79"/>
      <c r="E103" s="79"/>
      <c r="M103" s="79"/>
      <c r="R103" s="79"/>
      <c r="S103" s="79"/>
      <c r="V103" s="79"/>
      <c r="W103" s="79"/>
      <c r="Z103" s="130"/>
      <c r="AB103" s="106"/>
    </row>
    <row r="104">
      <c r="C104" s="79"/>
      <c r="D104" s="79"/>
      <c r="E104" s="79"/>
      <c r="M104" s="79"/>
      <c r="R104" s="79"/>
      <c r="S104" s="79"/>
      <c r="V104" s="79"/>
      <c r="W104" s="79"/>
      <c r="Z104" s="130"/>
      <c r="AB104" s="106"/>
    </row>
    <row r="105">
      <c r="C105" s="79"/>
      <c r="D105" s="79"/>
      <c r="E105" s="79"/>
      <c r="M105" s="79"/>
      <c r="R105" s="79"/>
      <c r="S105" s="79"/>
      <c r="V105" s="79"/>
      <c r="W105" s="79"/>
      <c r="Z105" s="130"/>
      <c r="AB105" s="106"/>
    </row>
    <row r="106">
      <c r="C106" s="79"/>
      <c r="D106" s="79"/>
      <c r="E106" s="79"/>
      <c r="M106" s="79"/>
      <c r="R106" s="79"/>
      <c r="S106" s="79"/>
      <c r="V106" s="79"/>
      <c r="W106" s="79"/>
      <c r="Z106" s="130"/>
      <c r="AB106" s="106"/>
    </row>
    <row r="107">
      <c r="C107" s="79"/>
      <c r="D107" s="79"/>
      <c r="E107" s="79"/>
      <c r="M107" s="79"/>
      <c r="R107" s="79"/>
      <c r="S107" s="79"/>
      <c r="V107" s="79"/>
      <c r="W107" s="79"/>
      <c r="Z107" s="130"/>
      <c r="AB107" s="106"/>
    </row>
    <row r="108">
      <c r="C108" s="79"/>
      <c r="D108" s="79"/>
      <c r="E108" s="79"/>
      <c r="M108" s="79"/>
      <c r="R108" s="79"/>
      <c r="S108" s="79"/>
      <c r="V108" s="79"/>
      <c r="W108" s="79"/>
      <c r="Z108" s="130"/>
      <c r="AB108" s="106"/>
    </row>
    <row r="109">
      <c r="C109" s="79"/>
      <c r="D109" s="79"/>
      <c r="E109" s="79"/>
      <c r="M109" s="79"/>
      <c r="R109" s="79"/>
      <c r="S109" s="79"/>
      <c r="V109" s="79"/>
      <c r="W109" s="79"/>
      <c r="Z109" s="130"/>
      <c r="AB109" s="106"/>
    </row>
    <row r="110">
      <c r="C110" s="79"/>
      <c r="D110" s="79"/>
      <c r="E110" s="79"/>
      <c r="M110" s="79"/>
      <c r="R110" s="79"/>
      <c r="S110" s="79"/>
      <c r="V110" s="79"/>
      <c r="W110" s="79"/>
      <c r="Z110" s="130"/>
      <c r="AB110" s="106"/>
    </row>
    <row r="111">
      <c r="C111" s="79"/>
      <c r="D111" s="79"/>
      <c r="E111" s="79"/>
      <c r="M111" s="79"/>
      <c r="R111" s="79"/>
      <c r="S111" s="79"/>
      <c r="V111" s="79"/>
      <c r="W111" s="79"/>
      <c r="Z111" s="130"/>
      <c r="AB111" s="106"/>
    </row>
    <row r="112">
      <c r="C112" s="79"/>
      <c r="D112" s="79"/>
      <c r="E112" s="79"/>
      <c r="M112" s="79"/>
      <c r="R112" s="79"/>
      <c r="S112" s="79"/>
      <c r="V112" s="79"/>
      <c r="W112" s="79"/>
      <c r="Z112" s="130"/>
      <c r="AB112" s="106"/>
    </row>
    <row r="113">
      <c r="C113" s="79"/>
      <c r="D113" s="79"/>
      <c r="E113" s="79"/>
      <c r="M113" s="79"/>
      <c r="R113" s="79"/>
      <c r="S113" s="79"/>
      <c r="V113" s="79"/>
      <c r="W113" s="79"/>
      <c r="Z113" s="130"/>
      <c r="AB113" s="106"/>
    </row>
    <row r="114">
      <c r="C114" s="79"/>
      <c r="D114" s="79"/>
      <c r="E114" s="79"/>
      <c r="M114" s="79"/>
      <c r="R114" s="79"/>
      <c r="S114" s="79"/>
      <c r="V114" s="79"/>
      <c r="W114" s="79"/>
      <c r="Z114" s="130"/>
      <c r="AB114" s="106"/>
    </row>
    <row r="115">
      <c r="C115" s="79"/>
      <c r="D115" s="79"/>
      <c r="E115" s="79"/>
      <c r="M115" s="79"/>
      <c r="R115" s="79"/>
      <c r="S115" s="79"/>
      <c r="V115" s="79"/>
      <c r="W115" s="79"/>
      <c r="Z115" s="130"/>
      <c r="AB115" s="106"/>
    </row>
    <row r="116">
      <c r="C116" s="79"/>
      <c r="D116" s="79"/>
      <c r="E116" s="79"/>
      <c r="M116" s="79"/>
      <c r="R116" s="79"/>
      <c r="S116" s="79"/>
      <c r="V116" s="79"/>
      <c r="W116" s="79"/>
      <c r="Z116" s="130"/>
      <c r="AB116" s="106"/>
    </row>
    <row r="117">
      <c r="C117" s="79"/>
      <c r="D117" s="79"/>
      <c r="E117" s="79"/>
      <c r="M117" s="79"/>
      <c r="R117" s="79"/>
      <c r="S117" s="79"/>
      <c r="V117" s="79"/>
      <c r="W117" s="79"/>
      <c r="Z117" s="130"/>
      <c r="AB117" s="106"/>
    </row>
    <row r="118">
      <c r="C118" s="79"/>
      <c r="D118" s="79"/>
      <c r="E118" s="79"/>
      <c r="M118" s="79"/>
      <c r="R118" s="79"/>
      <c r="S118" s="79"/>
      <c r="V118" s="79"/>
      <c r="W118" s="79"/>
      <c r="Z118" s="130"/>
      <c r="AB118" s="106"/>
    </row>
    <row r="119">
      <c r="C119" s="79"/>
      <c r="D119" s="79"/>
      <c r="E119" s="79"/>
      <c r="M119" s="79"/>
      <c r="R119" s="79"/>
      <c r="S119" s="79"/>
      <c r="V119" s="79"/>
      <c r="W119" s="79"/>
      <c r="Z119" s="130"/>
      <c r="AB119" s="106"/>
    </row>
    <row r="120">
      <c r="C120" s="79"/>
      <c r="D120" s="79"/>
      <c r="E120" s="79"/>
      <c r="M120" s="79"/>
      <c r="R120" s="79"/>
      <c r="S120" s="79"/>
      <c r="V120" s="79"/>
      <c r="W120" s="79"/>
      <c r="Z120" s="130"/>
      <c r="AB120" s="106"/>
    </row>
    <row r="121">
      <c r="C121" s="79"/>
      <c r="D121" s="79"/>
      <c r="E121" s="79"/>
      <c r="M121" s="79"/>
      <c r="R121" s="79"/>
      <c r="S121" s="79"/>
      <c r="V121" s="79"/>
      <c r="W121" s="79"/>
      <c r="Z121" s="130"/>
      <c r="AB121" s="106"/>
    </row>
    <row r="122">
      <c r="C122" s="79"/>
      <c r="D122" s="79"/>
      <c r="E122" s="79"/>
      <c r="M122" s="79"/>
      <c r="R122" s="79"/>
      <c r="S122" s="79"/>
      <c r="V122" s="79"/>
      <c r="W122" s="79"/>
      <c r="Z122" s="130"/>
      <c r="AB122" s="106"/>
    </row>
    <row r="123">
      <c r="C123" s="79"/>
      <c r="D123" s="79"/>
      <c r="E123" s="79"/>
      <c r="M123" s="79"/>
      <c r="R123" s="79"/>
      <c r="S123" s="79"/>
      <c r="V123" s="79"/>
      <c r="W123" s="79"/>
      <c r="Z123" s="130"/>
      <c r="AB123" s="106"/>
    </row>
    <row r="124">
      <c r="C124" s="79"/>
      <c r="D124" s="79"/>
      <c r="E124" s="79"/>
      <c r="M124" s="79"/>
      <c r="R124" s="79"/>
      <c r="S124" s="79"/>
      <c r="V124" s="79"/>
      <c r="W124" s="79"/>
      <c r="Z124" s="130"/>
      <c r="AB124" s="106"/>
    </row>
    <row r="125">
      <c r="C125" s="79"/>
      <c r="D125" s="79"/>
      <c r="E125" s="79"/>
      <c r="M125" s="79"/>
      <c r="R125" s="79"/>
      <c r="S125" s="79"/>
      <c r="V125" s="79"/>
      <c r="W125" s="79"/>
      <c r="Z125" s="130"/>
      <c r="AB125" s="106"/>
    </row>
    <row r="126">
      <c r="C126" s="79"/>
      <c r="D126" s="79"/>
      <c r="E126" s="79"/>
      <c r="M126" s="79"/>
      <c r="R126" s="79"/>
      <c r="S126" s="79"/>
      <c r="V126" s="79"/>
      <c r="W126" s="79"/>
      <c r="Z126" s="130"/>
      <c r="AB126" s="106"/>
    </row>
    <row r="127">
      <c r="C127" s="79"/>
      <c r="D127" s="79"/>
      <c r="E127" s="79"/>
      <c r="M127" s="79"/>
      <c r="R127" s="79"/>
      <c r="S127" s="79"/>
      <c r="V127" s="79"/>
      <c r="W127" s="79"/>
      <c r="Z127" s="130"/>
      <c r="AB127" s="106"/>
    </row>
    <row r="128">
      <c r="C128" s="79"/>
      <c r="D128" s="79"/>
      <c r="E128" s="79"/>
      <c r="M128" s="79"/>
      <c r="R128" s="79"/>
      <c r="S128" s="79"/>
      <c r="V128" s="79"/>
      <c r="W128" s="79"/>
      <c r="Z128" s="130"/>
      <c r="AB128" s="106"/>
    </row>
    <row r="129">
      <c r="C129" s="79"/>
      <c r="D129" s="79"/>
      <c r="E129" s="79"/>
      <c r="M129" s="79"/>
      <c r="R129" s="79"/>
      <c r="S129" s="79"/>
      <c r="V129" s="79"/>
      <c r="W129" s="79"/>
      <c r="Z129" s="130"/>
      <c r="AB129" s="106"/>
    </row>
    <row r="130">
      <c r="C130" s="79"/>
      <c r="D130" s="79"/>
      <c r="E130" s="79"/>
      <c r="M130" s="79"/>
      <c r="R130" s="79"/>
      <c r="S130" s="79"/>
      <c r="V130" s="79"/>
      <c r="W130" s="79"/>
      <c r="Z130" s="130"/>
      <c r="AB130" s="106"/>
    </row>
    <row r="131">
      <c r="C131" s="79"/>
      <c r="D131" s="79"/>
      <c r="E131" s="79"/>
      <c r="M131" s="79"/>
      <c r="R131" s="79"/>
      <c r="S131" s="79"/>
      <c r="V131" s="79"/>
      <c r="W131" s="79"/>
      <c r="Z131" s="130"/>
      <c r="AB131" s="106"/>
    </row>
    <row r="132">
      <c r="C132" s="79"/>
      <c r="D132" s="79"/>
      <c r="E132" s="79"/>
      <c r="M132" s="79"/>
      <c r="R132" s="79"/>
      <c r="S132" s="79"/>
      <c r="V132" s="79"/>
      <c r="W132" s="79"/>
      <c r="Z132" s="130"/>
      <c r="AB132" s="106"/>
    </row>
    <row r="133">
      <c r="C133" s="79"/>
      <c r="D133" s="79"/>
      <c r="E133" s="79"/>
      <c r="M133" s="79"/>
      <c r="R133" s="79"/>
      <c r="S133" s="79"/>
      <c r="V133" s="79"/>
      <c r="W133" s="79"/>
      <c r="Z133" s="130"/>
      <c r="AB133" s="106"/>
    </row>
    <row r="134">
      <c r="C134" s="79"/>
      <c r="D134" s="79"/>
      <c r="E134" s="79"/>
      <c r="M134" s="79"/>
      <c r="R134" s="79"/>
      <c r="S134" s="79"/>
      <c r="V134" s="79"/>
      <c r="W134" s="79"/>
      <c r="Z134" s="130"/>
      <c r="AB134" s="106"/>
    </row>
    <row r="135">
      <c r="C135" s="79"/>
      <c r="D135" s="79"/>
      <c r="E135" s="79"/>
      <c r="M135" s="79"/>
      <c r="R135" s="79"/>
      <c r="S135" s="79"/>
      <c r="V135" s="79"/>
      <c r="W135" s="79"/>
      <c r="Z135" s="130"/>
      <c r="AB135" s="106"/>
    </row>
    <row r="136">
      <c r="C136" s="79"/>
      <c r="D136" s="79"/>
      <c r="E136" s="79"/>
      <c r="M136" s="79"/>
      <c r="R136" s="79"/>
      <c r="S136" s="79"/>
      <c r="V136" s="79"/>
      <c r="W136" s="79"/>
      <c r="Z136" s="130"/>
      <c r="AB136" s="106"/>
    </row>
    <row r="137">
      <c r="C137" s="79"/>
      <c r="D137" s="79"/>
      <c r="E137" s="79"/>
      <c r="M137" s="79"/>
      <c r="R137" s="79"/>
      <c r="S137" s="79"/>
      <c r="V137" s="79"/>
      <c r="W137" s="79"/>
      <c r="Z137" s="130"/>
      <c r="AB137" s="106"/>
    </row>
    <row r="138">
      <c r="C138" s="79"/>
      <c r="D138" s="79"/>
      <c r="E138" s="79"/>
      <c r="M138" s="79"/>
      <c r="R138" s="79"/>
      <c r="S138" s="79"/>
      <c r="V138" s="79"/>
      <c r="W138" s="79"/>
      <c r="Z138" s="130"/>
      <c r="AB138" s="106"/>
    </row>
    <row r="139">
      <c r="C139" s="79"/>
      <c r="D139" s="79"/>
      <c r="E139" s="79"/>
      <c r="M139" s="79"/>
      <c r="R139" s="79"/>
      <c r="S139" s="79"/>
      <c r="V139" s="79"/>
      <c r="W139" s="79"/>
      <c r="Z139" s="130"/>
      <c r="AB139" s="106"/>
    </row>
    <row r="140">
      <c r="C140" s="79"/>
      <c r="D140" s="79"/>
      <c r="E140" s="79"/>
      <c r="M140" s="79"/>
      <c r="R140" s="79"/>
      <c r="S140" s="79"/>
      <c r="V140" s="79"/>
      <c r="W140" s="79"/>
      <c r="Z140" s="130"/>
      <c r="AB140" s="106"/>
    </row>
    <row r="141">
      <c r="C141" s="79"/>
      <c r="D141" s="79"/>
      <c r="E141" s="79"/>
      <c r="M141" s="79"/>
      <c r="R141" s="79"/>
      <c r="S141" s="79"/>
      <c r="V141" s="79"/>
      <c r="W141" s="79"/>
      <c r="Z141" s="130"/>
      <c r="AB141" s="106"/>
    </row>
    <row r="142">
      <c r="C142" s="79"/>
      <c r="D142" s="79"/>
      <c r="E142" s="79"/>
      <c r="M142" s="79"/>
      <c r="R142" s="79"/>
      <c r="S142" s="79"/>
      <c r="V142" s="79"/>
      <c r="W142" s="79"/>
      <c r="Z142" s="130"/>
      <c r="AB142" s="106"/>
    </row>
    <row r="143">
      <c r="C143" s="79"/>
      <c r="D143" s="79"/>
      <c r="E143" s="79"/>
      <c r="M143" s="79"/>
      <c r="R143" s="79"/>
      <c r="S143" s="79"/>
      <c r="V143" s="79"/>
      <c r="W143" s="79"/>
      <c r="Z143" s="130"/>
      <c r="AB143" s="106"/>
    </row>
    <row r="144">
      <c r="C144" s="79"/>
      <c r="D144" s="79"/>
      <c r="E144" s="79"/>
      <c r="M144" s="79"/>
      <c r="R144" s="79"/>
      <c r="S144" s="79"/>
      <c r="V144" s="79"/>
      <c r="W144" s="79"/>
      <c r="Z144" s="130"/>
      <c r="AB144" s="106"/>
    </row>
    <row r="145">
      <c r="C145" s="79"/>
      <c r="D145" s="79"/>
      <c r="E145" s="79"/>
      <c r="M145" s="79"/>
      <c r="R145" s="79"/>
      <c r="S145" s="79"/>
      <c r="V145" s="79"/>
      <c r="W145" s="79"/>
      <c r="Z145" s="130"/>
      <c r="AB145" s="106"/>
    </row>
    <row r="146">
      <c r="C146" s="79"/>
      <c r="D146" s="79"/>
      <c r="E146" s="79"/>
      <c r="M146" s="79"/>
      <c r="R146" s="79"/>
      <c r="S146" s="79"/>
      <c r="V146" s="79"/>
      <c r="W146" s="79"/>
      <c r="Z146" s="130"/>
      <c r="AB146" s="106"/>
    </row>
    <row r="147">
      <c r="C147" s="79"/>
      <c r="D147" s="79"/>
      <c r="E147" s="79"/>
      <c r="M147" s="79"/>
      <c r="R147" s="79"/>
      <c r="S147" s="79"/>
      <c r="V147" s="79"/>
      <c r="W147" s="79"/>
      <c r="Z147" s="130"/>
      <c r="AB147" s="106"/>
    </row>
    <row r="148">
      <c r="C148" s="79"/>
      <c r="D148" s="79"/>
      <c r="E148" s="79"/>
      <c r="M148" s="79"/>
      <c r="R148" s="79"/>
      <c r="S148" s="79"/>
      <c r="V148" s="79"/>
      <c r="W148" s="79"/>
      <c r="Z148" s="130"/>
      <c r="AB148" s="106"/>
    </row>
    <row r="149">
      <c r="C149" s="79"/>
      <c r="D149" s="79"/>
      <c r="E149" s="79"/>
      <c r="M149" s="79"/>
      <c r="R149" s="79"/>
      <c r="S149" s="79"/>
      <c r="V149" s="79"/>
      <c r="W149" s="79"/>
      <c r="Z149" s="130"/>
      <c r="AB149" s="106"/>
    </row>
    <row r="150">
      <c r="C150" s="79"/>
      <c r="D150" s="79"/>
      <c r="E150" s="79"/>
      <c r="M150" s="79"/>
      <c r="R150" s="79"/>
      <c r="S150" s="79"/>
      <c r="V150" s="79"/>
      <c r="W150" s="79"/>
      <c r="Z150" s="130"/>
      <c r="AB150" s="106"/>
    </row>
    <row r="151">
      <c r="C151" s="79"/>
      <c r="D151" s="79"/>
      <c r="E151" s="79"/>
      <c r="M151" s="79"/>
      <c r="R151" s="79"/>
      <c r="S151" s="79"/>
      <c r="V151" s="79"/>
      <c r="W151" s="79"/>
      <c r="Z151" s="130"/>
      <c r="AB151" s="106"/>
    </row>
    <row r="152">
      <c r="C152" s="79"/>
      <c r="D152" s="79"/>
      <c r="E152" s="79"/>
      <c r="M152" s="79"/>
      <c r="R152" s="79"/>
      <c r="S152" s="79"/>
      <c r="V152" s="79"/>
      <c r="W152" s="79"/>
      <c r="Z152" s="130"/>
      <c r="AB152" s="106"/>
    </row>
    <row r="153">
      <c r="C153" s="79"/>
      <c r="D153" s="79"/>
      <c r="E153" s="79"/>
      <c r="M153" s="79"/>
      <c r="R153" s="79"/>
      <c r="S153" s="79"/>
      <c r="V153" s="79"/>
      <c r="W153" s="79"/>
      <c r="Z153" s="130"/>
      <c r="AB153" s="106"/>
    </row>
    <row r="154">
      <c r="C154" s="79"/>
      <c r="D154" s="79"/>
      <c r="E154" s="79"/>
      <c r="M154" s="79"/>
      <c r="R154" s="79"/>
      <c r="S154" s="79"/>
      <c r="V154" s="79"/>
      <c r="W154" s="79"/>
      <c r="Z154" s="130"/>
      <c r="AB154" s="106"/>
    </row>
    <row r="155">
      <c r="C155" s="79"/>
      <c r="D155" s="79"/>
      <c r="E155" s="79"/>
      <c r="M155" s="79"/>
      <c r="R155" s="79"/>
      <c r="S155" s="79"/>
      <c r="V155" s="79"/>
      <c r="W155" s="79"/>
      <c r="Z155" s="130"/>
      <c r="AB155" s="106"/>
    </row>
    <row r="156">
      <c r="C156" s="79"/>
      <c r="D156" s="79"/>
      <c r="E156" s="79"/>
      <c r="M156" s="79"/>
      <c r="R156" s="79"/>
      <c r="S156" s="79"/>
      <c r="V156" s="79"/>
      <c r="W156" s="79"/>
      <c r="Z156" s="130"/>
      <c r="AB156" s="106"/>
    </row>
    <row r="157">
      <c r="C157" s="79"/>
      <c r="D157" s="79"/>
      <c r="E157" s="79"/>
      <c r="M157" s="79"/>
      <c r="R157" s="79"/>
      <c r="S157" s="79"/>
      <c r="V157" s="79"/>
      <c r="W157" s="79"/>
      <c r="Z157" s="130"/>
      <c r="AB157" s="106"/>
    </row>
    <row r="158">
      <c r="C158" s="79"/>
      <c r="D158" s="79"/>
      <c r="E158" s="79"/>
      <c r="M158" s="79"/>
      <c r="R158" s="79"/>
      <c r="S158" s="79"/>
      <c r="V158" s="79"/>
      <c r="W158" s="79"/>
      <c r="Z158" s="130"/>
      <c r="AB158" s="106"/>
    </row>
    <row r="159">
      <c r="C159" s="79"/>
      <c r="D159" s="79"/>
      <c r="E159" s="79"/>
      <c r="M159" s="79"/>
      <c r="R159" s="79"/>
      <c r="S159" s="79"/>
      <c r="V159" s="79"/>
      <c r="W159" s="79"/>
      <c r="Z159" s="130"/>
      <c r="AB159" s="106"/>
    </row>
    <row r="160">
      <c r="C160" s="79"/>
      <c r="D160" s="79"/>
      <c r="E160" s="79"/>
      <c r="M160" s="79"/>
      <c r="R160" s="79"/>
      <c r="S160" s="79"/>
      <c r="V160" s="79"/>
      <c r="W160" s="79"/>
      <c r="Z160" s="130"/>
      <c r="AB160" s="106"/>
    </row>
    <row r="161">
      <c r="C161" s="79"/>
      <c r="D161" s="79"/>
      <c r="E161" s="79"/>
      <c r="M161" s="79"/>
      <c r="R161" s="79"/>
      <c r="S161" s="79"/>
      <c r="V161" s="79"/>
      <c r="W161" s="79"/>
      <c r="Z161" s="130"/>
      <c r="AB161" s="106"/>
    </row>
    <row r="162">
      <c r="C162" s="79"/>
      <c r="D162" s="79"/>
      <c r="E162" s="79"/>
      <c r="M162" s="79"/>
      <c r="R162" s="79"/>
      <c r="S162" s="79"/>
      <c r="V162" s="79"/>
      <c r="W162" s="79"/>
      <c r="Z162" s="130"/>
      <c r="AB162" s="106"/>
    </row>
    <row r="163">
      <c r="C163" s="79"/>
      <c r="D163" s="79"/>
      <c r="E163" s="79"/>
      <c r="M163" s="79"/>
      <c r="R163" s="79"/>
      <c r="S163" s="79"/>
      <c r="V163" s="79"/>
      <c r="W163" s="79"/>
      <c r="Z163" s="130"/>
      <c r="AB163" s="106"/>
    </row>
    <row r="164">
      <c r="C164" s="79"/>
      <c r="D164" s="79"/>
      <c r="E164" s="79"/>
      <c r="M164" s="79"/>
      <c r="R164" s="79"/>
      <c r="S164" s="79"/>
      <c r="V164" s="79"/>
      <c r="W164" s="79"/>
      <c r="Z164" s="130"/>
      <c r="AB164" s="106"/>
    </row>
    <row r="165">
      <c r="C165" s="79"/>
      <c r="D165" s="79"/>
      <c r="E165" s="79"/>
      <c r="M165" s="79"/>
      <c r="R165" s="79"/>
      <c r="S165" s="79"/>
      <c r="V165" s="79"/>
      <c r="W165" s="79"/>
      <c r="Z165" s="130"/>
      <c r="AB165" s="106"/>
    </row>
    <row r="166">
      <c r="C166" s="79"/>
      <c r="D166" s="79"/>
      <c r="E166" s="79"/>
      <c r="M166" s="79"/>
      <c r="R166" s="79"/>
      <c r="S166" s="79"/>
      <c r="V166" s="79"/>
      <c r="W166" s="79"/>
      <c r="Z166" s="130"/>
      <c r="AB166" s="106"/>
    </row>
    <row r="167">
      <c r="C167" s="79"/>
      <c r="D167" s="79"/>
      <c r="E167" s="79"/>
      <c r="M167" s="79"/>
      <c r="R167" s="79"/>
      <c r="S167" s="79"/>
      <c r="V167" s="79"/>
      <c r="W167" s="79"/>
      <c r="Z167" s="130"/>
      <c r="AB167" s="106"/>
    </row>
    <row r="168">
      <c r="C168" s="79"/>
      <c r="D168" s="79"/>
      <c r="E168" s="79"/>
      <c r="M168" s="79"/>
      <c r="R168" s="79"/>
      <c r="S168" s="79"/>
      <c r="V168" s="79"/>
      <c r="W168" s="79"/>
      <c r="Z168" s="130"/>
      <c r="AB168" s="106"/>
    </row>
    <row r="169">
      <c r="C169" s="79"/>
      <c r="D169" s="79"/>
      <c r="E169" s="79"/>
      <c r="M169" s="79"/>
      <c r="R169" s="79"/>
      <c r="S169" s="79"/>
      <c r="V169" s="79"/>
      <c r="W169" s="79"/>
      <c r="Z169" s="130"/>
      <c r="AB169" s="106"/>
    </row>
    <row r="170">
      <c r="C170" s="79"/>
      <c r="D170" s="79"/>
      <c r="E170" s="79"/>
      <c r="M170" s="79"/>
      <c r="R170" s="79"/>
      <c r="S170" s="79"/>
      <c r="V170" s="79"/>
      <c r="W170" s="79"/>
      <c r="Z170" s="130"/>
      <c r="AB170" s="106"/>
    </row>
    <row r="171">
      <c r="C171" s="79"/>
      <c r="D171" s="79"/>
      <c r="E171" s="79"/>
      <c r="M171" s="79"/>
      <c r="R171" s="79"/>
      <c r="S171" s="79"/>
      <c r="V171" s="79"/>
      <c r="W171" s="79"/>
      <c r="Z171" s="130"/>
      <c r="AB171" s="106"/>
    </row>
    <row r="172">
      <c r="C172" s="79"/>
      <c r="D172" s="79"/>
      <c r="E172" s="79"/>
      <c r="M172" s="79"/>
      <c r="R172" s="79"/>
      <c r="S172" s="79"/>
      <c r="V172" s="79"/>
      <c r="W172" s="79"/>
      <c r="Z172" s="130"/>
      <c r="AB172" s="106"/>
    </row>
    <row r="173">
      <c r="C173" s="79"/>
      <c r="D173" s="79"/>
      <c r="E173" s="79"/>
      <c r="M173" s="79"/>
      <c r="R173" s="79"/>
      <c r="S173" s="79"/>
      <c r="V173" s="79"/>
      <c r="W173" s="79"/>
      <c r="Z173" s="130"/>
      <c r="AB173" s="106"/>
    </row>
    <row r="174">
      <c r="C174" s="79"/>
      <c r="D174" s="79"/>
      <c r="E174" s="79"/>
      <c r="M174" s="79"/>
      <c r="R174" s="79"/>
      <c r="S174" s="79"/>
      <c r="V174" s="79"/>
      <c r="W174" s="79"/>
      <c r="Z174" s="130"/>
      <c r="AB174" s="106"/>
    </row>
    <row r="175">
      <c r="C175" s="79"/>
      <c r="D175" s="79"/>
      <c r="E175" s="79"/>
      <c r="M175" s="79"/>
      <c r="R175" s="79"/>
      <c r="S175" s="79"/>
      <c r="V175" s="79"/>
      <c r="W175" s="79"/>
      <c r="Z175" s="130"/>
      <c r="AB175" s="106"/>
    </row>
    <row r="176">
      <c r="C176" s="79"/>
      <c r="D176" s="79"/>
      <c r="E176" s="79"/>
      <c r="M176" s="79"/>
      <c r="R176" s="79"/>
      <c r="S176" s="79"/>
      <c r="V176" s="79"/>
      <c r="W176" s="79"/>
      <c r="Z176" s="130"/>
      <c r="AB176" s="106"/>
    </row>
    <row r="177">
      <c r="C177" s="79"/>
      <c r="D177" s="79"/>
      <c r="E177" s="79"/>
      <c r="M177" s="79"/>
      <c r="R177" s="79"/>
      <c r="S177" s="79"/>
      <c r="V177" s="79"/>
      <c r="W177" s="79"/>
      <c r="Z177" s="130"/>
      <c r="AB177" s="106"/>
    </row>
    <row r="178">
      <c r="C178" s="79"/>
      <c r="D178" s="79"/>
      <c r="E178" s="79"/>
      <c r="M178" s="79"/>
      <c r="R178" s="79"/>
      <c r="S178" s="79"/>
      <c r="V178" s="79"/>
      <c r="W178" s="79"/>
      <c r="Z178" s="130"/>
      <c r="AB178" s="106"/>
    </row>
    <row r="179">
      <c r="C179" s="79"/>
      <c r="D179" s="79"/>
      <c r="E179" s="79"/>
      <c r="M179" s="79"/>
      <c r="R179" s="79"/>
      <c r="S179" s="79"/>
      <c r="V179" s="79"/>
      <c r="W179" s="79"/>
      <c r="Z179" s="130"/>
      <c r="AB179" s="106"/>
    </row>
    <row r="180">
      <c r="C180" s="79"/>
      <c r="D180" s="79"/>
      <c r="E180" s="79"/>
      <c r="M180" s="79"/>
      <c r="R180" s="79"/>
      <c r="S180" s="79"/>
      <c r="V180" s="79"/>
      <c r="W180" s="79"/>
      <c r="Z180" s="130"/>
      <c r="AB180" s="106"/>
    </row>
    <row r="181">
      <c r="C181" s="79"/>
      <c r="D181" s="79"/>
      <c r="E181" s="79"/>
      <c r="M181" s="79"/>
      <c r="R181" s="79"/>
      <c r="S181" s="79"/>
      <c r="V181" s="79"/>
      <c r="W181" s="79"/>
      <c r="Z181" s="130"/>
      <c r="AB181" s="106"/>
    </row>
    <row r="182">
      <c r="C182" s="79"/>
      <c r="D182" s="79"/>
      <c r="E182" s="79"/>
      <c r="M182" s="79"/>
      <c r="R182" s="79"/>
      <c r="S182" s="79"/>
      <c r="V182" s="79"/>
      <c r="W182" s="79"/>
      <c r="Z182" s="130"/>
      <c r="AB182" s="106"/>
    </row>
    <row r="183">
      <c r="C183" s="79"/>
      <c r="D183" s="79"/>
      <c r="E183" s="79"/>
      <c r="M183" s="79"/>
      <c r="R183" s="79"/>
      <c r="S183" s="79"/>
      <c r="V183" s="79"/>
      <c r="W183" s="79"/>
      <c r="Z183" s="130"/>
      <c r="AB183" s="106"/>
    </row>
    <row r="184">
      <c r="C184" s="79"/>
      <c r="D184" s="79"/>
      <c r="E184" s="79"/>
      <c r="M184" s="79"/>
      <c r="R184" s="79"/>
      <c r="S184" s="79"/>
      <c r="V184" s="79"/>
      <c r="W184" s="79"/>
      <c r="Z184" s="130"/>
      <c r="AB184" s="106"/>
    </row>
    <row r="185">
      <c r="C185" s="79"/>
      <c r="D185" s="79"/>
      <c r="E185" s="79"/>
      <c r="M185" s="79"/>
      <c r="R185" s="79"/>
      <c r="S185" s="79"/>
      <c r="V185" s="79"/>
      <c r="W185" s="79"/>
      <c r="Z185" s="130"/>
      <c r="AB185" s="106"/>
    </row>
    <row r="186">
      <c r="C186" s="79"/>
      <c r="D186" s="79"/>
      <c r="E186" s="79"/>
      <c r="M186" s="79"/>
      <c r="R186" s="79"/>
      <c r="S186" s="79"/>
      <c r="V186" s="79"/>
      <c r="W186" s="79"/>
      <c r="Z186" s="130"/>
      <c r="AB186" s="106"/>
    </row>
    <row r="187">
      <c r="C187" s="79"/>
      <c r="D187" s="79"/>
      <c r="E187" s="79"/>
      <c r="M187" s="79"/>
      <c r="R187" s="79"/>
      <c r="S187" s="79"/>
      <c r="V187" s="79"/>
      <c r="W187" s="79"/>
      <c r="Z187" s="130"/>
      <c r="AB187" s="106"/>
    </row>
    <row r="188">
      <c r="C188" s="79"/>
      <c r="D188" s="79"/>
      <c r="E188" s="79"/>
      <c r="M188" s="79"/>
      <c r="R188" s="79"/>
      <c r="S188" s="79"/>
      <c r="V188" s="79"/>
      <c r="W188" s="79"/>
      <c r="Z188" s="130"/>
      <c r="AB188" s="106"/>
    </row>
    <row r="189">
      <c r="C189" s="79"/>
      <c r="D189" s="79"/>
      <c r="E189" s="79"/>
      <c r="M189" s="79"/>
      <c r="R189" s="79"/>
      <c r="S189" s="79"/>
      <c r="V189" s="79"/>
      <c r="W189" s="79"/>
      <c r="Z189" s="130"/>
      <c r="AB189" s="106"/>
    </row>
    <row r="190">
      <c r="C190" s="79"/>
      <c r="D190" s="79"/>
      <c r="E190" s="79"/>
      <c r="M190" s="79"/>
      <c r="R190" s="79"/>
      <c r="S190" s="79"/>
      <c r="V190" s="79"/>
      <c r="W190" s="79"/>
      <c r="Z190" s="130"/>
      <c r="AB190" s="106"/>
    </row>
    <row r="191">
      <c r="C191" s="79"/>
      <c r="D191" s="79"/>
      <c r="E191" s="79"/>
      <c r="M191" s="79"/>
      <c r="R191" s="79"/>
      <c r="S191" s="79"/>
      <c r="V191" s="79"/>
      <c r="W191" s="79"/>
      <c r="Z191" s="130"/>
      <c r="AB191" s="106"/>
    </row>
    <row r="192">
      <c r="C192" s="79"/>
      <c r="D192" s="79"/>
      <c r="E192" s="79"/>
      <c r="M192" s="79"/>
      <c r="R192" s="79"/>
      <c r="S192" s="79"/>
      <c r="V192" s="79"/>
      <c r="W192" s="79"/>
      <c r="Z192" s="130"/>
      <c r="AB192" s="106"/>
    </row>
    <row r="193">
      <c r="C193" s="79"/>
      <c r="D193" s="79"/>
      <c r="E193" s="79"/>
      <c r="M193" s="79"/>
      <c r="R193" s="79"/>
      <c r="S193" s="79"/>
      <c r="V193" s="79"/>
      <c r="W193" s="79"/>
      <c r="Z193" s="130"/>
      <c r="AB193" s="106"/>
    </row>
    <row r="194">
      <c r="C194" s="79"/>
      <c r="D194" s="79"/>
      <c r="E194" s="79"/>
      <c r="M194" s="79"/>
      <c r="R194" s="79"/>
      <c r="S194" s="79"/>
      <c r="V194" s="79"/>
      <c r="W194" s="79"/>
      <c r="Z194" s="130"/>
      <c r="AB194" s="106"/>
    </row>
    <row r="195">
      <c r="C195" s="79"/>
      <c r="D195" s="79"/>
      <c r="E195" s="79"/>
      <c r="M195" s="79"/>
      <c r="R195" s="79"/>
      <c r="S195" s="79"/>
      <c r="V195" s="79"/>
      <c r="W195" s="79"/>
      <c r="Z195" s="130"/>
      <c r="AB195" s="106"/>
    </row>
    <row r="196">
      <c r="C196" s="79"/>
      <c r="D196" s="79"/>
      <c r="E196" s="79"/>
      <c r="M196" s="79"/>
      <c r="R196" s="79"/>
      <c r="S196" s="79"/>
      <c r="V196" s="79"/>
      <c r="W196" s="79"/>
      <c r="Z196" s="130"/>
      <c r="AB196" s="106"/>
    </row>
    <row r="197">
      <c r="C197" s="79"/>
      <c r="D197" s="79"/>
      <c r="E197" s="79"/>
      <c r="M197" s="79"/>
      <c r="R197" s="79"/>
      <c r="S197" s="79"/>
      <c r="V197" s="79"/>
      <c r="W197" s="79"/>
      <c r="Z197" s="130"/>
      <c r="AB197" s="106"/>
    </row>
    <row r="198">
      <c r="C198" s="79"/>
      <c r="D198" s="79"/>
      <c r="E198" s="79"/>
      <c r="M198" s="79"/>
      <c r="R198" s="79"/>
      <c r="S198" s="79"/>
      <c r="V198" s="79"/>
      <c r="W198" s="79"/>
      <c r="Z198" s="130"/>
      <c r="AB198" s="106"/>
    </row>
    <row r="199">
      <c r="C199" s="79"/>
      <c r="D199" s="79"/>
      <c r="E199" s="79"/>
      <c r="M199" s="79"/>
      <c r="R199" s="79"/>
      <c r="S199" s="79"/>
      <c r="V199" s="79"/>
      <c r="W199" s="79"/>
      <c r="Z199" s="130"/>
      <c r="AB199" s="106"/>
    </row>
    <row r="200">
      <c r="C200" s="79"/>
      <c r="D200" s="79"/>
      <c r="E200" s="79"/>
      <c r="M200" s="79"/>
      <c r="R200" s="79"/>
      <c r="S200" s="79"/>
      <c r="V200" s="79"/>
      <c r="W200" s="79"/>
      <c r="Z200" s="130"/>
      <c r="AB200" s="106"/>
    </row>
    <row r="201">
      <c r="C201" s="79"/>
      <c r="D201" s="79"/>
      <c r="E201" s="79"/>
      <c r="M201" s="79"/>
      <c r="R201" s="79"/>
      <c r="S201" s="79"/>
      <c r="V201" s="79"/>
      <c r="W201" s="79"/>
      <c r="Z201" s="130"/>
      <c r="AB201" s="106"/>
    </row>
    <row r="202">
      <c r="C202" s="79"/>
      <c r="D202" s="79"/>
      <c r="E202" s="79"/>
      <c r="M202" s="79"/>
      <c r="R202" s="79"/>
      <c r="S202" s="79"/>
      <c r="V202" s="79"/>
      <c r="W202" s="79"/>
      <c r="Z202" s="130"/>
      <c r="AB202" s="106"/>
    </row>
    <row r="203">
      <c r="C203" s="79"/>
      <c r="D203" s="79"/>
      <c r="E203" s="79"/>
      <c r="M203" s="79"/>
      <c r="R203" s="79"/>
      <c r="S203" s="79"/>
      <c r="V203" s="79"/>
      <c r="W203" s="79"/>
      <c r="Z203" s="130"/>
      <c r="AB203" s="106"/>
    </row>
    <row r="204">
      <c r="C204" s="79"/>
      <c r="D204" s="79"/>
      <c r="E204" s="79"/>
      <c r="M204" s="79"/>
      <c r="R204" s="79"/>
      <c r="S204" s="79"/>
      <c r="V204" s="79"/>
      <c r="W204" s="79"/>
      <c r="Z204" s="130"/>
      <c r="AB204" s="106"/>
    </row>
    <row r="205">
      <c r="C205" s="79"/>
      <c r="D205" s="79"/>
      <c r="E205" s="79"/>
      <c r="M205" s="79"/>
      <c r="R205" s="79"/>
      <c r="S205" s="79"/>
      <c r="V205" s="79"/>
      <c r="W205" s="79"/>
      <c r="Z205" s="130"/>
      <c r="AB205" s="106"/>
    </row>
    <row r="206">
      <c r="C206" s="79"/>
      <c r="D206" s="79"/>
      <c r="E206" s="79"/>
      <c r="M206" s="79"/>
      <c r="R206" s="79"/>
      <c r="S206" s="79"/>
      <c r="V206" s="79"/>
      <c r="W206" s="79"/>
      <c r="Z206" s="130"/>
      <c r="AB206" s="106"/>
    </row>
    <row r="207">
      <c r="C207" s="79"/>
      <c r="D207" s="79"/>
      <c r="E207" s="79"/>
      <c r="M207" s="79"/>
      <c r="R207" s="79"/>
      <c r="S207" s="79"/>
      <c r="V207" s="79"/>
      <c r="W207" s="79"/>
      <c r="Z207" s="130"/>
      <c r="AB207" s="106"/>
    </row>
    <row r="208">
      <c r="C208" s="79"/>
      <c r="D208" s="79"/>
      <c r="E208" s="79"/>
      <c r="M208" s="79"/>
      <c r="R208" s="79"/>
      <c r="S208" s="79"/>
      <c r="V208" s="79"/>
      <c r="W208" s="79"/>
      <c r="Z208" s="130"/>
      <c r="AB208" s="106"/>
    </row>
    <row r="209">
      <c r="C209" s="79"/>
      <c r="D209" s="79"/>
      <c r="E209" s="79"/>
      <c r="M209" s="79"/>
      <c r="R209" s="79"/>
      <c r="S209" s="79"/>
      <c r="V209" s="79"/>
      <c r="W209" s="79"/>
      <c r="Z209" s="130"/>
      <c r="AB209" s="106"/>
    </row>
    <row r="210">
      <c r="C210" s="79"/>
      <c r="D210" s="79"/>
      <c r="E210" s="79"/>
      <c r="M210" s="79"/>
      <c r="R210" s="79"/>
      <c r="S210" s="79"/>
      <c r="V210" s="79"/>
      <c r="W210" s="79"/>
      <c r="Z210" s="130"/>
      <c r="AB210" s="106"/>
    </row>
    <row r="211">
      <c r="C211" s="79"/>
      <c r="D211" s="79"/>
      <c r="E211" s="79"/>
      <c r="M211" s="79"/>
      <c r="R211" s="79"/>
      <c r="S211" s="79"/>
      <c r="V211" s="79"/>
      <c r="W211" s="79"/>
      <c r="Z211" s="130"/>
      <c r="AB211" s="106"/>
    </row>
    <row r="212">
      <c r="C212" s="79"/>
      <c r="D212" s="79"/>
      <c r="E212" s="79"/>
      <c r="M212" s="79"/>
      <c r="R212" s="79"/>
      <c r="S212" s="79"/>
      <c r="V212" s="79"/>
      <c r="W212" s="79"/>
      <c r="Z212" s="130"/>
      <c r="AB212" s="106"/>
    </row>
    <row r="213">
      <c r="C213" s="79"/>
      <c r="D213" s="79"/>
      <c r="E213" s="79"/>
      <c r="M213" s="79"/>
      <c r="R213" s="79"/>
      <c r="S213" s="79"/>
      <c r="V213" s="79"/>
      <c r="W213" s="79"/>
      <c r="Z213" s="130"/>
      <c r="AB213" s="106"/>
    </row>
    <row r="214">
      <c r="C214" s="79"/>
      <c r="D214" s="79"/>
      <c r="E214" s="79"/>
      <c r="M214" s="79"/>
      <c r="R214" s="79"/>
      <c r="S214" s="79"/>
      <c r="V214" s="79"/>
      <c r="W214" s="79"/>
      <c r="Z214" s="130"/>
      <c r="AB214" s="106"/>
    </row>
    <row r="215">
      <c r="C215" s="79"/>
      <c r="D215" s="79"/>
      <c r="E215" s="79"/>
      <c r="M215" s="79"/>
      <c r="R215" s="79"/>
      <c r="S215" s="79"/>
      <c r="V215" s="79"/>
      <c r="W215" s="79"/>
      <c r="Z215" s="130"/>
      <c r="AB215" s="106"/>
    </row>
    <row r="216">
      <c r="C216" s="79"/>
      <c r="D216" s="79"/>
      <c r="E216" s="79"/>
      <c r="M216" s="79"/>
      <c r="R216" s="79"/>
      <c r="S216" s="79"/>
      <c r="V216" s="79"/>
      <c r="W216" s="79"/>
      <c r="Z216" s="130"/>
      <c r="AB216" s="106"/>
    </row>
    <row r="217">
      <c r="C217" s="79"/>
      <c r="D217" s="79"/>
      <c r="E217" s="79"/>
      <c r="M217" s="79"/>
      <c r="R217" s="79"/>
      <c r="S217" s="79"/>
      <c r="V217" s="79"/>
      <c r="W217" s="79"/>
      <c r="Z217" s="130"/>
      <c r="AB217" s="106"/>
    </row>
    <row r="218">
      <c r="C218" s="79"/>
      <c r="D218" s="79"/>
      <c r="E218" s="79"/>
      <c r="M218" s="79"/>
      <c r="R218" s="79"/>
      <c r="S218" s="79"/>
      <c r="V218" s="79"/>
      <c r="W218" s="79"/>
      <c r="Z218" s="130"/>
      <c r="AB218" s="106"/>
    </row>
    <row r="219">
      <c r="C219" s="79"/>
      <c r="D219" s="79"/>
      <c r="E219" s="79"/>
      <c r="M219" s="79"/>
      <c r="R219" s="79"/>
      <c r="S219" s="79"/>
      <c r="V219" s="79"/>
      <c r="W219" s="79"/>
      <c r="Z219" s="130"/>
      <c r="AB219" s="106"/>
    </row>
    <row r="220">
      <c r="C220" s="79"/>
      <c r="D220" s="79"/>
      <c r="E220" s="79"/>
      <c r="M220" s="79"/>
      <c r="R220" s="79"/>
      <c r="S220" s="79"/>
      <c r="V220" s="79"/>
      <c r="W220" s="79"/>
      <c r="Z220" s="130"/>
      <c r="AB220" s="106"/>
    </row>
    <row r="221">
      <c r="C221" s="79"/>
      <c r="D221" s="79"/>
      <c r="E221" s="79"/>
      <c r="M221" s="79"/>
      <c r="R221" s="79"/>
      <c r="S221" s="79"/>
      <c r="V221" s="79"/>
      <c r="W221" s="79"/>
      <c r="Z221" s="130"/>
      <c r="AB221" s="106"/>
    </row>
    <row r="222">
      <c r="C222" s="79"/>
      <c r="D222" s="79"/>
      <c r="E222" s="79"/>
      <c r="M222" s="79"/>
      <c r="R222" s="79"/>
      <c r="S222" s="79"/>
      <c r="V222" s="79"/>
      <c r="W222" s="79"/>
      <c r="Z222" s="130"/>
      <c r="AB222" s="106"/>
    </row>
    <row r="223">
      <c r="C223" s="79"/>
      <c r="D223" s="79"/>
      <c r="E223" s="79"/>
      <c r="M223" s="79"/>
      <c r="R223" s="79"/>
      <c r="S223" s="79"/>
      <c r="V223" s="79"/>
      <c r="W223" s="79"/>
      <c r="Z223" s="130"/>
      <c r="AB223" s="106"/>
    </row>
    <row r="224">
      <c r="C224" s="79"/>
      <c r="D224" s="79"/>
      <c r="E224" s="79"/>
      <c r="M224" s="79"/>
      <c r="R224" s="79"/>
      <c r="S224" s="79"/>
      <c r="V224" s="79"/>
      <c r="W224" s="79"/>
      <c r="Z224" s="130"/>
      <c r="AB224" s="106"/>
    </row>
    <row r="225">
      <c r="C225" s="79"/>
      <c r="D225" s="79"/>
      <c r="E225" s="79"/>
      <c r="M225" s="79"/>
      <c r="R225" s="79"/>
      <c r="S225" s="79"/>
      <c r="V225" s="79"/>
      <c r="W225" s="79"/>
      <c r="Z225" s="130"/>
      <c r="AB225" s="106"/>
    </row>
    <row r="226">
      <c r="C226" s="79"/>
      <c r="D226" s="79"/>
      <c r="E226" s="79"/>
      <c r="M226" s="79"/>
      <c r="R226" s="79"/>
      <c r="S226" s="79"/>
      <c r="V226" s="79"/>
      <c r="W226" s="79"/>
      <c r="Z226" s="130"/>
      <c r="AB226" s="106"/>
    </row>
    <row r="227">
      <c r="C227" s="79"/>
      <c r="D227" s="79"/>
      <c r="E227" s="79"/>
      <c r="M227" s="79"/>
      <c r="R227" s="79"/>
      <c r="S227" s="79"/>
      <c r="V227" s="79"/>
      <c r="W227" s="79"/>
      <c r="Z227" s="130"/>
      <c r="AB227" s="106"/>
    </row>
    <row r="228">
      <c r="C228" s="79"/>
      <c r="D228" s="79"/>
      <c r="E228" s="79"/>
      <c r="M228" s="79"/>
      <c r="R228" s="79"/>
      <c r="S228" s="79"/>
      <c r="V228" s="79"/>
      <c r="W228" s="79"/>
      <c r="Z228" s="130"/>
      <c r="AB228" s="106"/>
    </row>
    <row r="229">
      <c r="C229" s="79"/>
      <c r="D229" s="79"/>
      <c r="E229" s="79"/>
      <c r="M229" s="79"/>
      <c r="R229" s="79"/>
      <c r="S229" s="79"/>
      <c r="V229" s="79"/>
      <c r="W229" s="79"/>
      <c r="Z229" s="130"/>
      <c r="AB229" s="106"/>
    </row>
    <row r="230">
      <c r="C230" s="79"/>
      <c r="D230" s="79"/>
      <c r="E230" s="79"/>
      <c r="M230" s="79"/>
      <c r="R230" s="79"/>
      <c r="S230" s="79"/>
      <c r="V230" s="79"/>
      <c r="W230" s="79"/>
      <c r="Z230" s="130"/>
      <c r="AB230" s="106"/>
    </row>
    <row r="231">
      <c r="C231" s="79"/>
      <c r="D231" s="79"/>
      <c r="E231" s="79"/>
      <c r="M231" s="79"/>
      <c r="R231" s="79"/>
      <c r="S231" s="79"/>
      <c r="V231" s="79"/>
      <c r="W231" s="79"/>
      <c r="Z231" s="130"/>
      <c r="AB231" s="106"/>
    </row>
    <row r="232">
      <c r="C232" s="79"/>
      <c r="D232" s="79"/>
      <c r="E232" s="79"/>
      <c r="M232" s="79"/>
      <c r="R232" s="79"/>
      <c r="S232" s="79"/>
      <c r="V232" s="79"/>
      <c r="W232" s="79"/>
      <c r="Z232" s="130"/>
      <c r="AB232" s="106"/>
    </row>
    <row r="233">
      <c r="C233" s="79"/>
      <c r="D233" s="79"/>
      <c r="E233" s="79"/>
      <c r="M233" s="79"/>
      <c r="R233" s="79"/>
      <c r="S233" s="79"/>
      <c r="V233" s="79"/>
      <c r="W233" s="79"/>
      <c r="Z233" s="130"/>
      <c r="AB233" s="106"/>
    </row>
    <row r="234">
      <c r="C234" s="79"/>
      <c r="D234" s="79"/>
      <c r="E234" s="79"/>
      <c r="M234" s="79"/>
      <c r="R234" s="79"/>
      <c r="S234" s="79"/>
      <c r="V234" s="79"/>
      <c r="W234" s="79"/>
      <c r="Z234" s="130"/>
      <c r="AB234" s="106"/>
    </row>
    <row r="235">
      <c r="C235" s="79"/>
      <c r="D235" s="79"/>
      <c r="E235" s="79"/>
      <c r="M235" s="79"/>
      <c r="R235" s="79"/>
      <c r="S235" s="79"/>
      <c r="V235" s="79"/>
      <c r="W235" s="79"/>
      <c r="Z235" s="130"/>
      <c r="AB235" s="106"/>
    </row>
    <row r="236">
      <c r="C236" s="79"/>
      <c r="D236" s="79"/>
      <c r="E236" s="79"/>
      <c r="M236" s="79"/>
      <c r="R236" s="79"/>
      <c r="S236" s="79"/>
      <c r="V236" s="79"/>
      <c r="W236" s="79"/>
      <c r="Z236" s="130"/>
      <c r="AB236" s="106"/>
    </row>
    <row r="237">
      <c r="C237" s="79"/>
      <c r="D237" s="79"/>
      <c r="E237" s="79"/>
      <c r="M237" s="79"/>
      <c r="R237" s="79"/>
      <c r="S237" s="79"/>
      <c r="V237" s="79"/>
      <c r="W237" s="79"/>
      <c r="Z237" s="130"/>
      <c r="AB237" s="106"/>
    </row>
    <row r="238">
      <c r="C238" s="79"/>
      <c r="D238" s="79"/>
      <c r="E238" s="79"/>
      <c r="M238" s="79"/>
      <c r="R238" s="79"/>
      <c r="S238" s="79"/>
      <c r="V238" s="79"/>
      <c r="W238" s="79"/>
      <c r="Z238" s="130"/>
      <c r="AB238" s="106"/>
    </row>
    <row r="239">
      <c r="C239" s="79"/>
      <c r="D239" s="79"/>
      <c r="E239" s="79"/>
      <c r="M239" s="79"/>
      <c r="R239" s="79"/>
      <c r="S239" s="79"/>
      <c r="V239" s="79"/>
      <c r="W239" s="79"/>
      <c r="Z239" s="130"/>
      <c r="AB239" s="106"/>
    </row>
    <row r="240">
      <c r="C240" s="79"/>
      <c r="D240" s="79"/>
      <c r="E240" s="79"/>
      <c r="M240" s="79"/>
      <c r="R240" s="79"/>
      <c r="S240" s="79"/>
      <c r="V240" s="79"/>
      <c r="W240" s="79"/>
      <c r="Z240" s="130"/>
      <c r="AB240" s="106"/>
    </row>
    <row r="241">
      <c r="C241" s="79"/>
      <c r="D241" s="79"/>
      <c r="E241" s="79"/>
      <c r="M241" s="79"/>
      <c r="R241" s="79"/>
      <c r="S241" s="79"/>
      <c r="V241" s="79"/>
      <c r="W241" s="79"/>
      <c r="Z241" s="130"/>
      <c r="AB241" s="106"/>
    </row>
    <row r="242">
      <c r="C242" s="79"/>
      <c r="D242" s="79"/>
      <c r="E242" s="79"/>
      <c r="M242" s="79"/>
      <c r="R242" s="79"/>
      <c r="S242" s="79"/>
      <c r="V242" s="79"/>
      <c r="W242" s="79"/>
      <c r="Z242" s="130"/>
      <c r="AB242" s="106"/>
    </row>
    <row r="243">
      <c r="C243" s="79"/>
      <c r="D243" s="79"/>
      <c r="E243" s="79"/>
      <c r="M243" s="79"/>
      <c r="R243" s="79"/>
      <c r="S243" s="79"/>
      <c r="V243" s="79"/>
      <c r="W243" s="79"/>
      <c r="Z243" s="130"/>
      <c r="AB243" s="106"/>
    </row>
    <row r="244">
      <c r="C244" s="79"/>
      <c r="D244" s="79"/>
      <c r="E244" s="79"/>
      <c r="M244" s="79"/>
      <c r="R244" s="79"/>
      <c r="S244" s="79"/>
      <c r="V244" s="79"/>
      <c r="W244" s="79"/>
      <c r="Z244" s="130"/>
      <c r="AB244" s="106"/>
    </row>
    <row r="245">
      <c r="C245" s="79"/>
      <c r="D245" s="79"/>
      <c r="E245" s="79"/>
      <c r="M245" s="79"/>
      <c r="R245" s="79"/>
      <c r="S245" s="79"/>
      <c r="V245" s="79"/>
      <c r="W245" s="79"/>
      <c r="Z245" s="130"/>
      <c r="AB245" s="106"/>
    </row>
    <row r="246">
      <c r="C246" s="79"/>
      <c r="D246" s="79"/>
      <c r="E246" s="79"/>
      <c r="M246" s="79"/>
      <c r="R246" s="79"/>
      <c r="S246" s="79"/>
      <c r="V246" s="79"/>
      <c r="W246" s="79"/>
      <c r="Z246" s="130"/>
      <c r="AB246" s="106"/>
    </row>
    <row r="247">
      <c r="C247" s="79"/>
      <c r="D247" s="79"/>
      <c r="E247" s="79"/>
      <c r="M247" s="79"/>
      <c r="R247" s="79"/>
      <c r="S247" s="79"/>
      <c r="V247" s="79"/>
      <c r="W247" s="79"/>
      <c r="Z247" s="130"/>
      <c r="AB247" s="106"/>
    </row>
    <row r="248">
      <c r="C248" s="79"/>
      <c r="D248" s="79"/>
      <c r="E248" s="79"/>
      <c r="M248" s="79"/>
      <c r="R248" s="79"/>
      <c r="S248" s="79"/>
      <c r="V248" s="79"/>
      <c r="W248" s="79"/>
      <c r="Z248" s="130"/>
      <c r="AB248" s="106"/>
    </row>
    <row r="249">
      <c r="C249" s="79"/>
      <c r="D249" s="79"/>
      <c r="E249" s="79"/>
      <c r="M249" s="79"/>
      <c r="R249" s="79"/>
      <c r="S249" s="79"/>
      <c r="V249" s="79"/>
      <c r="W249" s="79"/>
      <c r="Z249" s="130"/>
      <c r="AB249" s="106"/>
    </row>
    <row r="250">
      <c r="C250" s="79"/>
      <c r="D250" s="79"/>
      <c r="E250" s="79"/>
      <c r="M250" s="79"/>
      <c r="R250" s="79"/>
      <c r="S250" s="79"/>
      <c r="V250" s="79"/>
      <c r="W250" s="79"/>
      <c r="Z250" s="130"/>
      <c r="AB250" s="106"/>
    </row>
    <row r="251">
      <c r="C251" s="79"/>
      <c r="D251" s="79"/>
      <c r="E251" s="79"/>
      <c r="M251" s="79"/>
      <c r="R251" s="79"/>
      <c r="S251" s="79"/>
      <c r="V251" s="79"/>
      <c r="W251" s="79"/>
      <c r="Z251" s="130"/>
      <c r="AB251" s="106"/>
    </row>
    <row r="252">
      <c r="C252" s="79"/>
      <c r="D252" s="79"/>
      <c r="E252" s="79"/>
      <c r="M252" s="79"/>
      <c r="R252" s="79"/>
      <c r="S252" s="79"/>
      <c r="V252" s="79"/>
      <c r="W252" s="79"/>
      <c r="Z252" s="130"/>
      <c r="AB252" s="106"/>
    </row>
    <row r="253">
      <c r="C253" s="79"/>
      <c r="D253" s="79"/>
      <c r="E253" s="79"/>
      <c r="M253" s="79"/>
      <c r="R253" s="79"/>
      <c r="S253" s="79"/>
      <c r="V253" s="79"/>
      <c r="W253" s="79"/>
      <c r="Z253" s="130"/>
      <c r="AB253" s="106"/>
    </row>
    <row r="254">
      <c r="C254" s="79"/>
      <c r="D254" s="79"/>
      <c r="E254" s="79"/>
      <c r="M254" s="79"/>
      <c r="R254" s="79"/>
      <c r="S254" s="79"/>
      <c r="V254" s="79"/>
      <c r="W254" s="79"/>
      <c r="Z254" s="130"/>
      <c r="AB254" s="106"/>
    </row>
    <row r="255">
      <c r="C255" s="79"/>
      <c r="D255" s="79"/>
      <c r="E255" s="79"/>
      <c r="M255" s="79"/>
      <c r="R255" s="79"/>
      <c r="S255" s="79"/>
      <c r="V255" s="79"/>
      <c r="W255" s="79"/>
      <c r="Z255" s="130"/>
      <c r="AB255" s="106"/>
    </row>
    <row r="256">
      <c r="C256" s="79"/>
      <c r="D256" s="79"/>
      <c r="E256" s="79"/>
      <c r="M256" s="79"/>
      <c r="R256" s="79"/>
      <c r="S256" s="79"/>
      <c r="V256" s="79"/>
      <c r="W256" s="79"/>
      <c r="Z256" s="130"/>
      <c r="AB256" s="106"/>
    </row>
    <row r="257">
      <c r="C257" s="79"/>
      <c r="D257" s="79"/>
      <c r="E257" s="79"/>
      <c r="M257" s="79"/>
      <c r="R257" s="79"/>
      <c r="S257" s="79"/>
      <c r="V257" s="79"/>
      <c r="W257" s="79"/>
      <c r="Z257" s="130"/>
      <c r="AB257" s="106"/>
    </row>
    <row r="258">
      <c r="C258" s="79"/>
      <c r="D258" s="79"/>
      <c r="E258" s="79"/>
      <c r="M258" s="79"/>
      <c r="R258" s="79"/>
      <c r="S258" s="79"/>
      <c r="V258" s="79"/>
      <c r="W258" s="79"/>
      <c r="Z258" s="130"/>
      <c r="AB258" s="106"/>
    </row>
    <row r="259">
      <c r="C259" s="79"/>
      <c r="D259" s="79"/>
      <c r="E259" s="79"/>
      <c r="M259" s="79"/>
      <c r="R259" s="79"/>
      <c r="S259" s="79"/>
      <c r="V259" s="79"/>
      <c r="W259" s="79"/>
      <c r="Z259" s="130"/>
      <c r="AB259" s="106"/>
    </row>
    <row r="260">
      <c r="C260" s="79"/>
      <c r="D260" s="79"/>
      <c r="E260" s="79"/>
      <c r="M260" s="79"/>
      <c r="R260" s="79"/>
      <c r="S260" s="79"/>
      <c r="V260" s="79"/>
      <c r="W260" s="79"/>
      <c r="Z260" s="130"/>
      <c r="AB260" s="106"/>
    </row>
    <row r="261">
      <c r="C261" s="79"/>
      <c r="D261" s="79"/>
      <c r="E261" s="79"/>
      <c r="M261" s="79"/>
      <c r="R261" s="79"/>
      <c r="S261" s="79"/>
      <c r="V261" s="79"/>
      <c r="W261" s="79"/>
      <c r="Z261" s="130"/>
      <c r="AB261" s="106"/>
    </row>
    <row r="262">
      <c r="C262" s="79"/>
      <c r="D262" s="79"/>
      <c r="E262" s="79"/>
      <c r="M262" s="79"/>
      <c r="R262" s="79"/>
      <c r="S262" s="79"/>
      <c r="V262" s="79"/>
      <c r="W262" s="79"/>
      <c r="Z262" s="130"/>
      <c r="AB262" s="106"/>
    </row>
    <row r="263">
      <c r="C263" s="79"/>
      <c r="D263" s="79"/>
      <c r="E263" s="79"/>
      <c r="M263" s="79"/>
      <c r="R263" s="79"/>
      <c r="S263" s="79"/>
      <c r="V263" s="79"/>
      <c r="W263" s="79"/>
      <c r="Z263" s="130"/>
      <c r="AB263" s="106"/>
    </row>
    <row r="264">
      <c r="C264" s="79"/>
      <c r="D264" s="79"/>
      <c r="E264" s="79"/>
      <c r="M264" s="79"/>
      <c r="R264" s="79"/>
      <c r="S264" s="79"/>
      <c r="V264" s="79"/>
      <c r="W264" s="79"/>
      <c r="Z264" s="130"/>
      <c r="AB264" s="106"/>
    </row>
    <row r="265">
      <c r="C265" s="79"/>
      <c r="D265" s="79"/>
      <c r="E265" s="79"/>
      <c r="M265" s="79"/>
      <c r="R265" s="79"/>
      <c r="S265" s="79"/>
      <c r="V265" s="79"/>
      <c r="W265" s="79"/>
      <c r="Z265" s="130"/>
      <c r="AB265" s="106"/>
    </row>
    <row r="266">
      <c r="C266" s="79"/>
      <c r="D266" s="79"/>
      <c r="E266" s="79"/>
      <c r="M266" s="79"/>
      <c r="R266" s="79"/>
      <c r="S266" s="79"/>
      <c r="V266" s="79"/>
      <c r="W266" s="79"/>
      <c r="Z266" s="130"/>
      <c r="AB266" s="106"/>
    </row>
    <row r="267">
      <c r="C267" s="79"/>
      <c r="D267" s="79"/>
      <c r="E267" s="79"/>
      <c r="M267" s="79"/>
      <c r="R267" s="79"/>
      <c r="S267" s="79"/>
      <c r="V267" s="79"/>
      <c r="W267" s="79"/>
      <c r="Z267" s="130"/>
      <c r="AB267" s="106"/>
    </row>
    <row r="268">
      <c r="C268" s="79"/>
      <c r="D268" s="79"/>
      <c r="E268" s="79"/>
      <c r="M268" s="79"/>
      <c r="R268" s="79"/>
      <c r="S268" s="79"/>
      <c r="V268" s="79"/>
      <c r="W268" s="79"/>
      <c r="Z268" s="130"/>
      <c r="AB268" s="106"/>
    </row>
    <row r="269">
      <c r="C269" s="79"/>
      <c r="D269" s="79"/>
      <c r="E269" s="79"/>
      <c r="M269" s="79"/>
      <c r="R269" s="79"/>
      <c r="S269" s="79"/>
      <c r="V269" s="79"/>
      <c r="W269" s="79"/>
      <c r="Z269" s="130"/>
      <c r="AB269" s="106"/>
    </row>
    <row r="270">
      <c r="C270" s="79"/>
      <c r="D270" s="79"/>
      <c r="E270" s="79"/>
      <c r="M270" s="79"/>
      <c r="R270" s="79"/>
      <c r="S270" s="79"/>
      <c r="V270" s="79"/>
      <c r="W270" s="79"/>
      <c r="Z270" s="130"/>
      <c r="AB270" s="106"/>
    </row>
    <row r="271">
      <c r="C271" s="79"/>
      <c r="D271" s="79"/>
      <c r="E271" s="79"/>
      <c r="M271" s="79"/>
      <c r="R271" s="79"/>
      <c r="S271" s="79"/>
      <c r="V271" s="79"/>
      <c r="W271" s="79"/>
      <c r="Z271" s="130"/>
      <c r="AB271" s="106"/>
    </row>
    <row r="272">
      <c r="C272" s="79"/>
      <c r="D272" s="79"/>
      <c r="E272" s="79"/>
      <c r="M272" s="79"/>
      <c r="R272" s="79"/>
      <c r="S272" s="79"/>
      <c r="V272" s="79"/>
      <c r="W272" s="79"/>
      <c r="Z272" s="130"/>
      <c r="AB272" s="106"/>
    </row>
    <row r="273">
      <c r="C273" s="79"/>
      <c r="D273" s="79"/>
      <c r="E273" s="79"/>
      <c r="M273" s="79"/>
      <c r="R273" s="79"/>
      <c r="S273" s="79"/>
      <c r="V273" s="79"/>
      <c r="W273" s="79"/>
      <c r="Z273" s="130"/>
      <c r="AB273" s="106"/>
    </row>
    <row r="274">
      <c r="C274" s="79"/>
      <c r="D274" s="79"/>
      <c r="E274" s="79"/>
      <c r="M274" s="79"/>
      <c r="R274" s="79"/>
      <c r="S274" s="79"/>
      <c r="V274" s="79"/>
      <c r="W274" s="79"/>
      <c r="Z274" s="130"/>
      <c r="AB274" s="106"/>
    </row>
    <row r="275">
      <c r="C275" s="79"/>
      <c r="D275" s="79"/>
      <c r="E275" s="79"/>
      <c r="M275" s="79"/>
      <c r="R275" s="79"/>
      <c r="S275" s="79"/>
      <c r="V275" s="79"/>
      <c r="W275" s="79"/>
      <c r="Z275" s="130"/>
      <c r="AB275" s="106"/>
    </row>
    <row r="276">
      <c r="C276" s="79"/>
      <c r="D276" s="79"/>
      <c r="E276" s="79"/>
      <c r="M276" s="79"/>
      <c r="R276" s="79"/>
      <c r="S276" s="79"/>
      <c r="V276" s="79"/>
      <c r="W276" s="79"/>
      <c r="Z276" s="130"/>
      <c r="AB276" s="106"/>
    </row>
    <row r="277">
      <c r="C277" s="79"/>
      <c r="D277" s="79"/>
      <c r="E277" s="79"/>
      <c r="M277" s="79"/>
      <c r="R277" s="79"/>
      <c r="S277" s="79"/>
      <c r="V277" s="79"/>
      <c r="W277" s="79"/>
      <c r="Z277" s="130"/>
      <c r="AB277" s="106"/>
    </row>
    <row r="278">
      <c r="C278" s="79"/>
      <c r="D278" s="79"/>
      <c r="E278" s="79"/>
      <c r="M278" s="79"/>
      <c r="R278" s="79"/>
      <c r="S278" s="79"/>
      <c r="V278" s="79"/>
      <c r="W278" s="79"/>
      <c r="Z278" s="130"/>
      <c r="AB278" s="106"/>
    </row>
    <row r="279">
      <c r="C279" s="79"/>
      <c r="D279" s="79"/>
      <c r="E279" s="79"/>
      <c r="M279" s="79"/>
      <c r="R279" s="79"/>
      <c r="S279" s="79"/>
      <c r="V279" s="79"/>
      <c r="W279" s="79"/>
      <c r="Z279" s="130"/>
      <c r="AB279" s="106"/>
    </row>
    <row r="280">
      <c r="C280" s="79"/>
      <c r="D280" s="79"/>
      <c r="E280" s="79"/>
      <c r="M280" s="79"/>
      <c r="R280" s="79"/>
      <c r="S280" s="79"/>
      <c r="V280" s="79"/>
      <c r="W280" s="79"/>
      <c r="Z280" s="130"/>
      <c r="AB280" s="106"/>
    </row>
    <row r="281">
      <c r="C281" s="79"/>
      <c r="D281" s="79"/>
      <c r="E281" s="79"/>
      <c r="M281" s="79"/>
      <c r="R281" s="79"/>
      <c r="S281" s="79"/>
      <c r="V281" s="79"/>
      <c r="W281" s="79"/>
      <c r="Z281" s="130"/>
      <c r="AB281" s="106"/>
    </row>
    <row r="282">
      <c r="C282" s="79"/>
      <c r="D282" s="79"/>
      <c r="E282" s="79"/>
      <c r="M282" s="79"/>
      <c r="R282" s="79"/>
      <c r="S282" s="79"/>
      <c r="V282" s="79"/>
      <c r="W282" s="79"/>
      <c r="Z282" s="130"/>
      <c r="AB282" s="106"/>
    </row>
    <row r="283">
      <c r="C283" s="79"/>
      <c r="D283" s="79"/>
      <c r="E283" s="79"/>
      <c r="M283" s="79"/>
      <c r="R283" s="79"/>
      <c r="S283" s="79"/>
      <c r="V283" s="79"/>
      <c r="W283" s="79"/>
      <c r="Z283" s="130"/>
      <c r="AB283" s="106"/>
    </row>
    <row r="284">
      <c r="C284" s="79"/>
      <c r="D284" s="79"/>
      <c r="E284" s="79"/>
      <c r="M284" s="79"/>
      <c r="R284" s="79"/>
      <c r="S284" s="79"/>
      <c r="V284" s="79"/>
      <c r="W284" s="79"/>
      <c r="Z284" s="130"/>
      <c r="AB284" s="106"/>
    </row>
    <row r="285">
      <c r="C285" s="79"/>
      <c r="D285" s="79"/>
      <c r="E285" s="79"/>
      <c r="M285" s="79"/>
      <c r="R285" s="79"/>
      <c r="S285" s="79"/>
      <c r="V285" s="79"/>
      <c r="W285" s="79"/>
      <c r="Z285" s="130"/>
      <c r="AB285" s="106"/>
    </row>
    <row r="286">
      <c r="C286" s="79"/>
      <c r="D286" s="79"/>
      <c r="E286" s="79"/>
      <c r="M286" s="79"/>
      <c r="R286" s="79"/>
      <c r="S286" s="79"/>
      <c r="V286" s="79"/>
      <c r="W286" s="79"/>
      <c r="Z286" s="130"/>
      <c r="AB286" s="106"/>
    </row>
    <row r="287">
      <c r="C287" s="79"/>
      <c r="D287" s="79"/>
      <c r="E287" s="79"/>
      <c r="M287" s="79"/>
      <c r="R287" s="79"/>
      <c r="S287" s="79"/>
      <c r="V287" s="79"/>
      <c r="W287" s="79"/>
      <c r="Z287" s="130"/>
      <c r="AB287" s="106"/>
    </row>
    <row r="288">
      <c r="C288" s="79"/>
      <c r="D288" s="79"/>
      <c r="E288" s="79"/>
      <c r="M288" s="79"/>
      <c r="R288" s="79"/>
      <c r="S288" s="79"/>
      <c r="V288" s="79"/>
      <c r="W288" s="79"/>
      <c r="Z288" s="130"/>
      <c r="AB288" s="106"/>
    </row>
    <row r="289">
      <c r="C289" s="79"/>
      <c r="D289" s="79"/>
      <c r="E289" s="79"/>
      <c r="M289" s="79"/>
      <c r="R289" s="79"/>
      <c r="S289" s="79"/>
      <c r="V289" s="79"/>
      <c r="W289" s="79"/>
      <c r="Z289" s="130"/>
      <c r="AB289" s="106"/>
    </row>
    <row r="290">
      <c r="C290" s="79"/>
      <c r="D290" s="79"/>
      <c r="E290" s="79"/>
      <c r="M290" s="79"/>
      <c r="R290" s="79"/>
      <c r="S290" s="79"/>
      <c r="V290" s="79"/>
      <c r="W290" s="79"/>
      <c r="Z290" s="130"/>
      <c r="AB290" s="106"/>
    </row>
    <row r="291">
      <c r="C291" s="79"/>
      <c r="D291" s="79"/>
      <c r="E291" s="79"/>
      <c r="M291" s="79"/>
      <c r="R291" s="79"/>
      <c r="S291" s="79"/>
      <c r="V291" s="79"/>
      <c r="W291" s="79"/>
      <c r="Z291" s="130"/>
      <c r="AB291" s="106"/>
    </row>
    <row r="292">
      <c r="C292" s="79"/>
      <c r="D292" s="79"/>
      <c r="E292" s="79"/>
      <c r="M292" s="79"/>
      <c r="R292" s="79"/>
      <c r="S292" s="79"/>
      <c r="V292" s="79"/>
      <c r="W292" s="79"/>
      <c r="Z292" s="130"/>
      <c r="AB292" s="106"/>
    </row>
    <row r="293">
      <c r="C293" s="79"/>
      <c r="D293" s="79"/>
      <c r="E293" s="79"/>
      <c r="M293" s="79"/>
      <c r="R293" s="79"/>
      <c r="S293" s="79"/>
      <c r="V293" s="79"/>
      <c r="W293" s="79"/>
      <c r="Z293" s="130"/>
      <c r="AB293" s="106"/>
    </row>
    <row r="294">
      <c r="C294" s="79"/>
      <c r="D294" s="79"/>
      <c r="E294" s="79"/>
      <c r="M294" s="79"/>
      <c r="R294" s="79"/>
      <c r="S294" s="79"/>
      <c r="V294" s="79"/>
      <c r="W294" s="79"/>
      <c r="Z294" s="130"/>
      <c r="AB294" s="106"/>
    </row>
    <row r="295">
      <c r="C295" s="79"/>
      <c r="D295" s="79"/>
      <c r="E295" s="79"/>
      <c r="M295" s="79"/>
      <c r="R295" s="79"/>
      <c r="S295" s="79"/>
      <c r="V295" s="79"/>
      <c r="W295" s="79"/>
      <c r="Z295" s="130"/>
      <c r="AB295" s="106"/>
    </row>
    <row r="296">
      <c r="C296" s="79"/>
      <c r="D296" s="79"/>
      <c r="E296" s="79"/>
      <c r="M296" s="79"/>
      <c r="R296" s="79"/>
      <c r="S296" s="79"/>
      <c r="V296" s="79"/>
      <c r="W296" s="79"/>
      <c r="Z296" s="130"/>
      <c r="AB296" s="106"/>
    </row>
    <row r="297">
      <c r="C297" s="79"/>
      <c r="D297" s="79"/>
      <c r="E297" s="79"/>
      <c r="M297" s="79"/>
      <c r="R297" s="79"/>
      <c r="S297" s="79"/>
      <c r="V297" s="79"/>
      <c r="W297" s="79"/>
      <c r="Z297" s="130"/>
      <c r="AB297" s="106"/>
    </row>
    <row r="298">
      <c r="C298" s="79"/>
      <c r="D298" s="79"/>
      <c r="E298" s="79"/>
      <c r="M298" s="79"/>
      <c r="R298" s="79"/>
      <c r="S298" s="79"/>
      <c r="V298" s="79"/>
      <c r="W298" s="79"/>
      <c r="Z298" s="130"/>
      <c r="AB298" s="106"/>
    </row>
    <row r="299">
      <c r="C299" s="79"/>
      <c r="D299" s="79"/>
      <c r="E299" s="79"/>
      <c r="M299" s="79"/>
      <c r="R299" s="79"/>
      <c r="S299" s="79"/>
      <c r="V299" s="79"/>
      <c r="W299" s="79"/>
      <c r="Z299" s="130"/>
      <c r="AB299" s="106"/>
    </row>
    <row r="300">
      <c r="C300" s="79"/>
      <c r="D300" s="79"/>
      <c r="E300" s="79"/>
      <c r="M300" s="79"/>
      <c r="R300" s="79"/>
      <c r="S300" s="79"/>
      <c r="V300" s="79"/>
      <c r="W300" s="79"/>
      <c r="Z300" s="130"/>
      <c r="AB300" s="106"/>
    </row>
    <row r="301">
      <c r="C301" s="79"/>
      <c r="D301" s="79"/>
      <c r="E301" s="79"/>
      <c r="M301" s="79"/>
      <c r="R301" s="79"/>
      <c r="S301" s="79"/>
      <c r="V301" s="79"/>
      <c r="W301" s="79"/>
      <c r="Z301" s="130"/>
      <c r="AB301" s="106"/>
    </row>
    <row r="302">
      <c r="C302" s="79"/>
      <c r="D302" s="79"/>
      <c r="E302" s="79"/>
      <c r="M302" s="79"/>
      <c r="R302" s="79"/>
      <c r="S302" s="79"/>
      <c r="V302" s="79"/>
      <c r="W302" s="79"/>
      <c r="Z302" s="130"/>
      <c r="AB302" s="106"/>
    </row>
    <row r="303">
      <c r="C303" s="79"/>
      <c r="D303" s="79"/>
      <c r="E303" s="79"/>
      <c r="M303" s="79"/>
      <c r="R303" s="79"/>
      <c r="S303" s="79"/>
      <c r="V303" s="79"/>
      <c r="W303" s="79"/>
      <c r="Z303" s="130"/>
      <c r="AB303" s="106"/>
    </row>
    <row r="304">
      <c r="C304" s="79"/>
      <c r="D304" s="79"/>
      <c r="E304" s="79"/>
      <c r="M304" s="79"/>
      <c r="R304" s="79"/>
      <c r="S304" s="79"/>
      <c r="V304" s="79"/>
      <c r="W304" s="79"/>
      <c r="Z304" s="130"/>
      <c r="AB304" s="106"/>
    </row>
    <row r="305">
      <c r="C305" s="79"/>
      <c r="D305" s="79"/>
      <c r="E305" s="79"/>
      <c r="M305" s="79"/>
      <c r="R305" s="79"/>
      <c r="S305" s="79"/>
      <c r="V305" s="79"/>
      <c r="W305" s="79"/>
      <c r="Z305" s="130"/>
      <c r="AB305" s="106"/>
    </row>
    <row r="306">
      <c r="C306" s="79"/>
      <c r="D306" s="79"/>
      <c r="E306" s="79"/>
      <c r="M306" s="79"/>
      <c r="R306" s="79"/>
      <c r="S306" s="79"/>
      <c r="V306" s="79"/>
      <c r="W306" s="79"/>
      <c r="Z306" s="130"/>
      <c r="AB306" s="106"/>
    </row>
    <row r="307">
      <c r="C307" s="79"/>
      <c r="D307" s="79"/>
      <c r="E307" s="79"/>
      <c r="M307" s="79"/>
      <c r="R307" s="79"/>
      <c r="S307" s="79"/>
      <c r="V307" s="79"/>
      <c r="W307" s="79"/>
      <c r="Z307" s="130"/>
      <c r="AB307" s="106"/>
    </row>
    <row r="308">
      <c r="C308" s="79"/>
      <c r="D308" s="79"/>
      <c r="E308" s="79"/>
      <c r="M308" s="79"/>
      <c r="R308" s="79"/>
      <c r="S308" s="79"/>
      <c r="V308" s="79"/>
      <c r="W308" s="79"/>
      <c r="Z308" s="130"/>
      <c r="AB308" s="106"/>
    </row>
    <row r="309">
      <c r="C309" s="79"/>
      <c r="D309" s="79"/>
      <c r="E309" s="79"/>
      <c r="M309" s="79"/>
      <c r="R309" s="79"/>
      <c r="S309" s="79"/>
      <c r="V309" s="79"/>
      <c r="W309" s="79"/>
      <c r="Z309" s="130"/>
      <c r="AB309" s="106"/>
    </row>
    <row r="310">
      <c r="C310" s="79"/>
      <c r="D310" s="79"/>
      <c r="E310" s="79"/>
      <c r="M310" s="79"/>
      <c r="R310" s="79"/>
      <c r="S310" s="79"/>
      <c r="V310" s="79"/>
      <c r="W310" s="79"/>
      <c r="Z310" s="130"/>
      <c r="AB310" s="106"/>
    </row>
    <row r="311">
      <c r="C311" s="79"/>
      <c r="D311" s="79"/>
      <c r="E311" s="79"/>
      <c r="M311" s="79"/>
      <c r="R311" s="79"/>
      <c r="S311" s="79"/>
      <c r="V311" s="79"/>
      <c r="W311" s="79"/>
      <c r="Z311" s="130"/>
      <c r="AB311" s="106"/>
    </row>
    <row r="312">
      <c r="C312" s="79"/>
      <c r="D312" s="79"/>
      <c r="E312" s="79"/>
      <c r="M312" s="79"/>
      <c r="R312" s="79"/>
      <c r="S312" s="79"/>
      <c r="V312" s="79"/>
      <c r="W312" s="79"/>
      <c r="Z312" s="130"/>
      <c r="AB312" s="106"/>
    </row>
    <row r="313">
      <c r="C313" s="79"/>
      <c r="D313" s="79"/>
      <c r="E313" s="79"/>
      <c r="M313" s="79"/>
      <c r="R313" s="79"/>
      <c r="S313" s="79"/>
      <c r="V313" s="79"/>
      <c r="W313" s="79"/>
      <c r="Z313" s="130"/>
      <c r="AB313" s="106"/>
    </row>
    <row r="314">
      <c r="C314" s="79"/>
      <c r="D314" s="79"/>
      <c r="E314" s="79"/>
      <c r="M314" s="79"/>
      <c r="R314" s="79"/>
      <c r="S314" s="79"/>
      <c r="V314" s="79"/>
      <c r="W314" s="79"/>
      <c r="Z314" s="130"/>
      <c r="AB314" s="106"/>
    </row>
    <row r="315">
      <c r="C315" s="79"/>
      <c r="D315" s="79"/>
      <c r="E315" s="79"/>
      <c r="M315" s="79"/>
      <c r="R315" s="79"/>
      <c r="S315" s="79"/>
      <c r="V315" s="79"/>
      <c r="W315" s="79"/>
      <c r="Z315" s="130"/>
      <c r="AB315" s="106"/>
    </row>
    <row r="316">
      <c r="C316" s="79"/>
      <c r="D316" s="79"/>
      <c r="E316" s="79"/>
      <c r="M316" s="79"/>
      <c r="R316" s="79"/>
      <c r="S316" s="79"/>
      <c r="V316" s="79"/>
      <c r="W316" s="79"/>
      <c r="Z316" s="130"/>
      <c r="AB316" s="106"/>
    </row>
    <row r="317">
      <c r="C317" s="79"/>
      <c r="D317" s="79"/>
      <c r="E317" s="79"/>
      <c r="M317" s="79"/>
      <c r="R317" s="79"/>
      <c r="S317" s="79"/>
      <c r="V317" s="79"/>
      <c r="W317" s="79"/>
      <c r="Z317" s="130"/>
      <c r="AB317" s="106"/>
    </row>
    <row r="318">
      <c r="C318" s="79"/>
      <c r="D318" s="79"/>
      <c r="E318" s="79"/>
      <c r="M318" s="79"/>
      <c r="R318" s="79"/>
      <c r="S318" s="79"/>
      <c r="V318" s="79"/>
      <c r="W318" s="79"/>
      <c r="Z318" s="130"/>
      <c r="AB318" s="106"/>
    </row>
    <row r="319">
      <c r="C319" s="79"/>
      <c r="D319" s="79"/>
      <c r="E319" s="79"/>
      <c r="M319" s="79"/>
      <c r="R319" s="79"/>
      <c r="S319" s="79"/>
      <c r="V319" s="79"/>
      <c r="W319" s="79"/>
      <c r="Z319" s="130"/>
      <c r="AB319" s="106"/>
    </row>
    <row r="320">
      <c r="C320" s="79"/>
      <c r="D320" s="79"/>
      <c r="E320" s="79"/>
      <c r="M320" s="79"/>
      <c r="R320" s="79"/>
      <c r="S320" s="79"/>
      <c r="V320" s="79"/>
      <c r="W320" s="79"/>
      <c r="Z320" s="130"/>
      <c r="AB320" s="106"/>
    </row>
    <row r="321">
      <c r="C321" s="79"/>
      <c r="D321" s="79"/>
      <c r="E321" s="79"/>
      <c r="M321" s="79"/>
      <c r="R321" s="79"/>
      <c r="S321" s="79"/>
      <c r="V321" s="79"/>
      <c r="W321" s="79"/>
      <c r="Z321" s="130"/>
      <c r="AB321" s="106"/>
    </row>
    <row r="322">
      <c r="C322" s="79"/>
      <c r="D322" s="79"/>
      <c r="E322" s="79"/>
      <c r="M322" s="79"/>
      <c r="R322" s="79"/>
      <c r="S322" s="79"/>
      <c r="V322" s="79"/>
      <c r="W322" s="79"/>
      <c r="Z322" s="130"/>
      <c r="AB322" s="106"/>
    </row>
    <row r="323">
      <c r="C323" s="79"/>
      <c r="D323" s="79"/>
      <c r="E323" s="79"/>
      <c r="M323" s="79"/>
      <c r="R323" s="79"/>
      <c r="S323" s="79"/>
      <c r="V323" s="79"/>
      <c r="W323" s="79"/>
      <c r="Z323" s="130"/>
      <c r="AB323" s="106"/>
    </row>
    <row r="324">
      <c r="C324" s="79"/>
      <c r="D324" s="79"/>
      <c r="E324" s="79"/>
      <c r="M324" s="79"/>
      <c r="R324" s="79"/>
      <c r="S324" s="79"/>
      <c r="V324" s="79"/>
      <c r="W324" s="79"/>
      <c r="Z324" s="130"/>
      <c r="AB324" s="106"/>
    </row>
    <row r="325">
      <c r="C325" s="79"/>
      <c r="D325" s="79"/>
      <c r="E325" s="79"/>
      <c r="M325" s="79"/>
      <c r="R325" s="79"/>
      <c r="S325" s="79"/>
      <c r="V325" s="79"/>
      <c r="W325" s="79"/>
      <c r="Z325" s="130"/>
      <c r="AB325" s="106"/>
    </row>
    <row r="326">
      <c r="C326" s="79"/>
      <c r="D326" s="79"/>
      <c r="E326" s="79"/>
      <c r="M326" s="79"/>
      <c r="R326" s="79"/>
      <c r="S326" s="79"/>
      <c r="V326" s="79"/>
      <c r="W326" s="79"/>
      <c r="Z326" s="130"/>
      <c r="AB326" s="106"/>
    </row>
    <row r="327">
      <c r="C327" s="79"/>
      <c r="D327" s="79"/>
      <c r="E327" s="79"/>
      <c r="M327" s="79"/>
      <c r="R327" s="79"/>
      <c r="S327" s="79"/>
      <c r="V327" s="79"/>
      <c r="W327" s="79"/>
      <c r="Z327" s="130"/>
      <c r="AB327" s="106"/>
    </row>
    <row r="328">
      <c r="C328" s="79"/>
      <c r="D328" s="79"/>
      <c r="E328" s="79"/>
      <c r="M328" s="79"/>
      <c r="R328" s="79"/>
      <c r="S328" s="79"/>
      <c r="V328" s="79"/>
      <c r="W328" s="79"/>
      <c r="Z328" s="130"/>
      <c r="AB328" s="106"/>
    </row>
    <row r="329">
      <c r="C329" s="79"/>
      <c r="D329" s="79"/>
      <c r="E329" s="79"/>
      <c r="M329" s="79"/>
      <c r="R329" s="79"/>
      <c r="S329" s="79"/>
      <c r="V329" s="79"/>
      <c r="W329" s="79"/>
      <c r="Z329" s="130"/>
      <c r="AB329" s="106"/>
    </row>
    <row r="330">
      <c r="C330" s="79"/>
      <c r="D330" s="79"/>
      <c r="E330" s="79"/>
      <c r="M330" s="79"/>
      <c r="R330" s="79"/>
      <c r="S330" s="79"/>
      <c r="V330" s="79"/>
      <c r="W330" s="79"/>
      <c r="Z330" s="130"/>
      <c r="AB330" s="106"/>
    </row>
    <row r="331">
      <c r="C331" s="79"/>
      <c r="D331" s="79"/>
      <c r="E331" s="79"/>
      <c r="M331" s="79"/>
      <c r="R331" s="79"/>
      <c r="S331" s="79"/>
      <c r="V331" s="79"/>
      <c r="W331" s="79"/>
      <c r="Z331" s="130"/>
      <c r="AB331" s="106"/>
    </row>
    <row r="332">
      <c r="C332" s="79"/>
      <c r="D332" s="79"/>
      <c r="E332" s="79"/>
      <c r="M332" s="79"/>
      <c r="R332" s="79"/>
      <c r="S332" s="79"/>
      <c r="V332" s="79"/>
      <c r="W332" s="79"/>
      <c r="Z332" s="130"/>
      <c r="AB332" s="106"/>
    </row>
    <row r="333">
      <c r="C333" s="79"/>
      <c r="D333" s="79"/>
      <c r="E333" s="79"/>
      <c r="M333" s="79"/>
      <c r="R333" s="79"/>
      <c r="S333" s="79"/>
      <c r="V333" s="79"/>
      <c r="W333" s="79"/>
      <c r="Z333" s="130"/>
      <c r="AB333" s="106"/>
    </row>
    <row r="334">
      <c r="C334" s="79"/>
      <c r="D334" s="79"/>
      <c r="E334" s="79"/>
      <c r="M334" s="79"/>
      <c r="R334" s="79"/>
      <c r="S334" s="79"/>
      <c r="V334" s="79"/>
      <c r="W334" s="79"/>
      <c r="Z334" s="130"/>
      <c r="AB334" s="106"/>
    </row>
    <row r="335">
      <c r="C335" s="79"/>
      <c r="D335" s="79"/>
      <c r="E335" s="79"/>
      <c r="M335" s="79"/>
      <c r="R335" s="79"/>
      <c r="S335" s="79"/>
      <c r="V335" s="79"/>
      <c r="W335" s="79"/>
      <c r="Z335" s="130"/>
      <c r="AB335" s="106"/>
    </row>
    <row r="336">
      <c r="C336" s="79"/>
      <c r="D336" s="79"/>
      <c r="E336" s="79"/>
      <c r="M336" s="79"/>
      <c r="R336" s="79"/>
      <c r="S336" s="79"/>
      <c r="V336" s="79"/>
      <c r="W336" s="79"/>
      <c r="Z336" s="130"/>
      <c r="AB336" s="106"/>
    </row>
    <row r="337">
      <c r="C337" s="79"/>
      <c r="D337" s="79"/>
      <c r="E337" s="79"/>
      <c r="M337" s="79"/>
      <c r="R337" s="79"/>
      <c r="S337" s="79"/>
      <c r="V337" s="79"/>
      <c r="W337" s="79"/>
      <c r="Z337" s="130"/>
      <c r="AB337" s="106"/>
    </row>
    <row r="338">
      <c r="C338" s="79"/>
      <c r="D338" s="79"/>
      <c r="E338" s="79"/>
      <c r="M338" s="79"/>
      <c r="R338" s="79"/>
      <c r="S338" s="79"/>
      <c r="V338" s="79"/>
      <c r="W338" s="79"/>
      <c r="Z338" s="130"/>
      <c r="AB338" s="106"/>
    </row>
    <row r="339">
      <c r="C339" s="79"/>
      <c r="D339" s="79"/>
      <c r="E339" s="79"/>
      <c r="M339" s="79"/>
      <c r="R339" s="79"/>
      <c r="S339" s="79"/>
      <c r="V339" s="79"/>
      <c r="W339" s="79"/>
      <c r="Z339" s="130"/>
      <c r="AB339" s="106"/>
    </row>
    <row r="340">
      <c r="C340" s="79"/>
      <c r="D340" s="79"/>
      <c r="E340" s="79"/>
      <c r="M340" s="79"/>
      <c r="R340" s="79"/>
      <c r="S340" s="79"/>
      <c r="V340" s="79"/>
      <c r="W340" s="79"/>
      <c r="Z340" s="130"/>
      <c r="AB340" s="106"/>
    </row>
    <row r="341">
      <c r="C341" s="79"/>
      <c r="D341" s="79"/>
      <c r="E341" s="79"/>
      <c r="M341" s="79"/>
      <c r="R341" s="79"/>
      <c r="S341" s="79"/>
      <c r="V341" s="79"/>
      <c r="W341" s="79"/>
      <c r="Z341" s="130"/>
      <c r="AB341" s="106"/>
    </row>
    <row r="342">
      <c r="C342" s="79"/>
      <c r="D342" s="79"/>
      <c r="E342" s="79"/>
      <c r="M342" s="79"/>
      <c r="R342" s="79"/>
      <c r="S342" s="79"/>
      <c r="V342" s="79"/>
      <c r="W342" s="79"/>
      <c r="Z342" s="130"/>
      <c r="AB342" s="106"/>
    </row>
    <row r="343">
      <c r="C343" s="79"/>
      <c r="D343" s="79"/>
      <c r="E343" s="79"/>
      <c r="M343" s="79"/>
      <c r="R343" s="79"/>
      <c r="S343" s="79"/>
      <c r="V343" s="79"/>
      <c r="W343" s="79"/>
      <c r="Z343" s="130"/>
      <c r="AB343" s="106"/>
    </row>
    <row r="344">
      <c r="C344" s="79"/>
      <c r="D344" s="79"/>
      <c r="E344" s="79"/>
      <c r="M344" s="79"/>
      <c r="R344" s="79"/>
      <c r="S344" s="79"/>
      <c r="V344" s="79"/>
      <c r="W344" s="79"/>
      <c r="Z344" s="130"/>
      <c r="AB344" s="106"/>
    </row>
    <row r="345">
      <c r="C345" s="79"/>
      <c r="D345" s="79"/>
      <c r="E345" s="79"/>
      <c r="M345" s="79"/>
      <c r="R345" s="79"/>
      <c r="S345" s="79"/>
      <c r="V345" s="79"/>
      <c r="W345" s="79"/>
      <c r="Z345" s="130"/>
      <c r="AB345" s="106"/>
    </row>
    <row r="346">
      <c r="C346" s="79"/>
      <c r="D346" s="79"/>
      <c r="E346" s="79"/>
      <c r="M346" s="79"/>
      <c r="R346" s="79"/>
      <c r="S346" s="79"/>
      <c r="V346" s="79"/>
      <c r="W346" s="79"/>
      <c r="Z346" s="130"/>
      <c r="AB346" s="106"/>
    </row>
    <row r="347">
      <c r="C347" s="79"/>
      <c r="D347" s="79"/>
      <c r="E347" s="79"/>
      <c r="M347" s="79"/>
      <c r="R347" s="79"/>
      <c r="S347" s="79"/>
      <c r="V347" s="79"/>
      <c r="W347" s="79"/>
      <c r="Z347" s="130"/>
      <c r="AB347" s="106"/>
    </row>
    <row r="348">
      <c r="C348" s="79"/>
      <c r="D348" s="79"/>
      <c r="E348" s="79"/>
      <c r="M348" s="79"/>
      <c r="R348" s="79"/>
      <c r="S348" s="79"/>
      <c r="V348" s="79"/>
      <c r="W348" s="79"/>
      <c r="Z348" s="130"/>
      <c r="AB348" s="106"/>
    </row>
    <row r="349">
      <c r="C349" s="79"/>
      <c r="D349" s="79"/>
      <c r="E349" s="79"/>
      <c r="M349" s="79"/>
      <c r="R349" s="79"/>
      <c r="S349" s="79"/>
      <c r="V349" s="79"/>
      <c r="W349" s="79"/>
      <c r="Z349" s="130"/>
      <c r="AB349" s="106"/>
    </row>
    <row r="350">
      <c r="C350" s="79"/>
      <c r="D350" s="79"/>
      <c r="E350" s="79"/>
      <c r="M350" s="79"/>
      <c r="R350" s="79"/>
      <c r="S350" s="79"/>
      <c r="V350" s="79"/>
      <c r="W350" s="79"/>
      <c r="Z350" s="130"/>
      <c r="AB350" s="106"/>
    </row>
    <row r="351">
      <c r="C351" s="79"/>
      <c r="D351" s="79"/>
      <c r="E351" s="79"/>
      <c r="M351" s="79"/>
      <c r="R351" s="79"/>
      <c r="S351" s="79"/>
      <c r="V351" s="79"/>
      <c r="W351" s="79"/>
      <c r="Z351" s="130"/>
      <c r="AB351" s="106"/>
    </row>
    <row r="352">
      <c r="C352" s="79"/>
      <c r="D352" s="79"/>
      <c r="E352" s="79"/>
      <c r="M352" s="79"/>
      <c r="R352" s="79"/>
      <c r="S352" s="79"/>
      <c r="V352" s="79"/>
      <c r="W352" s="79"/>
      <c r="Z352" s="130"/>
      <c r="AB352" s="106"/>
    </row>
    <row r="353">
      <c r="C353" s="79"/>
      <c r="D353" s="79"/>
      <c r="E353" s="79"/>
      <c r="M353" s="79"/>
      <c r="R353" s="79"/>
      <c r="S353" s="79"/>
      <c r="V353" s="79"/>
      <c r="W353" s="79"/>
      <c r="Z353" s="130"/>
      <c r="AB353" s="106"/>
    </row>
    <row r="354">
      <c r="C354" s="79"/>
      <c r="D354" s="79"/>
      <c r="E354" s="79"/>
      <c r="M354" s="79"/>
      <c r="R354" s="79"/>
      <c r="S354" s="79"/>
      <c r="V354" s="79"/>
      <c r="W354" s="79"/>
      <c r="Z354" s="130"/>
      <c r="AB354" s="106"/>
    </row>
    <row r="355">
      <c r="C355" s="79"/>
      <c r="D355" s="79"/>
      <c r="E355" s="79"/>
      <c r="M355" s="79"/>
      <c r="R355" s="79"/>
      <c r="S355" s="79"/>
      <c r="V355" s="79"/>
      <c r="W355" s="79"/>
      <c r="Z355" s="130"/>
      <c r="AB355" s="106"/>
    </row>
    <row r="356">
      <c r="C356" s="79"/>
      <c r="D356" s="79"/>
      <c r="E356" s="79"/>
      <c r="M356" s="79"/>
      <c r="R356" s="79"/>
      <c r="S356" s="79"/>
      <c r="V356" s="79"/>
      <c r="W356" s="79"/>
      <c r="Z356" s="130"/>
      <c r="AB356" s="106"/>
    </row>
    <row r="357">
      <c r="C357" s="79"/>
      <c r="D357" s="79"/>
      <c r="E357" s="79"/>
      <c r="M357" s="79"/>
      <c r="R357" s="79"/>
      <c r="S357" s="79"/>
      <c r="V357" s="79"/>
      <c r="W357" s="79"/>
      <c r="Z357" s="130"/>
      <c r="AB357" s="106"/>
    </row>
    <row r="358">
      <c r="C358" s="79"/>
      <c r="D358" s="79"/>
      <c r="E358" s="79"/>
      <c r="M358" s="79"/>
      <c r="R358" s="79"/>
      <c r="S358" s="79"/>
      <c r="V358" s="79"/>
      <c r="W358" s="79"/>
      <c r="Z358" s="130"/>
      <c r="AB358" s="106"/>
    </row>
    <row r="359">
      <c r="C359" s="79"/>
      <c r="D359" s="79"/>
      <c r="E359" s="79"/>
      <c r="M359" s="79"/>
      <c r="R359" s="79"/>
      <c r="S359" s="79"/>
      <c r="V359" s="79"/>
      <c r="W359" s="79"/>
      <c r="Z359" s="130"/>
      <c r="AB359" s="106"/>
    </row>
    <row r="360">
      <c r="C360" s="79"/>
      <c r="D360" s="79"/>
      <c r="E360" s="79"/>
      <c r="M360" s="79"/>
      <c r="R360" s="79"/>
      <c r="S360" s="79"/>
      <c r="V360" s="79"/>
      <c r="W360" s="79"/>
      <c r="Z360" s="130"/>
      <c r="AB360" s="106"/>
    </row>
    <row r="361">
      <c r="C361" s="79"/>
      <c r="D361" s="79"/>
      <c r="E361" s="79"/>
      <c r="M361" s="79"/>
      <c r="R361" s="79"/>
      <c r="S361" s="79"/>
      <c r="V361" s="79"/>
      <c r="W361" s="79"/>
      <c r="Z361" s="130"/>
      <c r="AB361" s="106"/>
    </row>
    <row r="362">
      <c r="C362" s="79"/>
      <c r="D362" s="79"/>
      <c r="E362" s="79"/>
      <c r="M362" s="79"/>
      <c r="R362" s="79"/>
      <c r="S362" s="79"/>
      <c r="V362" s="79"/>
      <c r="W362" s="79"/>
      <c r="Z362" s="130"/>
      <c r="AB362" s="106"/>
    </row>
    <row r="363">
      <c r="C363" s="79"/>
      <c r="D363" s="79"/>
      <c r="E363" s="79"/>
      <c r="M363" s="79"/>
      <c r="R363" s="79"/>
      <c r="S363" s="79"/>
      <c r="V363" s="79"/>
      <c r="W363" s="79"/>
      <c r="Z363" s="130"/>
      <c r="AB363" s="106"/>
    </row>
    <row r="364">
      <c r="C364" s="79"/>
      <c r="D364" s="79"/>
      <c r="E364" s="79"/>
      <c r="M364" s="79"/>
      <c r="R364" s="79"/>
      <c r="S364" s="79"/>
      <c r="V364" s="79"/>
      <c r="W364" s="79"/>
      <c r="Z364" s="130"/>
      <c r="AB364" s="106"/>
    </row>
    <row r="365">
      <c r="C365" s="79"/>
      <c r="D365" s="79"/>
      <c r="E365" s="79"/>
      <c r="M365" s="79"/>
      <c r="R365" s="79"/>
      <c r="S365" s="79"/>
      <c r="V365" s="79"/>
      <c r="W365" s="79"/>
      <c r="Z365" s="130"/>
      <c r="AB365" s="106"/>
    </row>
    <row r="366">
      <c r="C366" s="79"/>
      <c r="D366" s="79"/>
      <c r="E366" s="79"/>
      <c r="M366" s="79"/>
      <c r="R366" s="79"/>
      <c r="S366" s="79"/>
      <c r="V366" s="79"/>
      <c r="W366" s="79"/>
      <c r="Z366" s="130"/>
      <c r="AB366" s="106"/>
    </row>
    <row r="367">
      <c r="C367" s="79"/>
      <c r="D367" s="79"/>
      <c r="E367" s="79"/>
      <c r="M367" s="79"/>
      <c r="R367" s="79"/>
      <c r="S367" s="79"/>
      <c r="V367" s="79"/>
      <c r="W367" s="79"/>
      <c r="Z367" s="130"/>
      <c r="AB367" s="106"/>
    </row>
    <row r="368">
      <c r="C368" s="79"/>
      <c r="D368" s="79"/>
      <c r="E368" s="79"/>
      <c r="M368" s="79"/>
      <c r="R368" s="79"/>
      <c r="S368" s="79"/>
      <c r="V368" s="79"/>
      <c r="W368" s="79"/>
      <c r="Z368" s="130"/>
      <c r="AB368" s="106"/>
    </row>
    <row r="369">
      <c r="C369" s="79"/>
      <c r="D369" s="79"/>
      <c r="E369" s="79"/>
      <c r="M369" s="79"/>
      <c r="R369" s="79"/>
      <c r="S369" s="79"/>
      <c r="V369" s="79"/>
      <c r="W369" s="79"/>
      <c r="Z369" s="130"/>
      <c r="AB369" s="106"/>
    </row>
    <row r="370">
      <c r="C370" s="79"/>
      <c r="D370" s="79"/>
      <c r="E370" s="79"/>
      <c r="M370" s="79"/>
      <c r="R370" s="79"/>
      <c r="S370" s="79"/>
      <c r="V370" s="79"/>
      <c r="W370" s="79"/>
      <c r="Z370" s="130"/>
      <c r="AB370" s="106"/>
    </row>
    <row r="371">
      <c r="C371" s="79"/>
      <c r="D371" s="79"/>
      <c r="E371" s="79"/>
      <c r="M371" s="79"/>
      <c r="R371" s="79"/>
      <c r="S371" s="79"/>
      <c r="V371" s="79"/>
      <c r="W371" s="79"/>
      <c r="Z371" s="130"/>
      <c r="AB371" s="106"/>
    </row>
    <row r="372">
      <c r="C372" s="79"/>
      <c r="D372" s="79"/>
      <c r="E372" s="79"/>
      <c r="M372" s="79"/>
      <c r="R372" s="79"/>
      <c r="S372" s="79"/>
      <c r="V372" s="79"/>
      <c r="W372" s="79"/>
      <c r="Z372" s="130"/>
      <c r="AB372" s="106"/>
    </row>
    <row r="373">
      <c r="C373" s="79"/>
      <c r="D373" s="79"/>
      <c r="E373" s="79"/>
      <c r="M373" s="79"/>
      <c r="R373" s="79"/>
      <c r="S373" s="79"/>
      <c r="V373" s="79"/>
      <c r="W373" s="79"/>
      <c r="Z373" s="130"/>
      <c r="AB373" s="106"/>
    </row>
    <row r="374">
      <c r="C374" s="79"/>
      <c r="D374" s="79"/>
      <c r="E374" s="79"/>
      <c r="M374" s="79"/>
      <c r="R374" s="79"/>
      <c r="S374" s="79"/>
      <c r="V374" s="79"/>
      <c r="W374" s="79"/>
      <c r="Z374" s="130"/>
      <c r="AB374" s="106"/>
    </row>
    <row r="375">
      <c r="C375" s="79"/>
      <c r="D375" s="79"/>
      <c r="E375" s="79"/>
      <c r="M375" s="79"/>
      <c r="R375" s="79"/>
      <c r="S375" s="79"/>
      <c r="V375" s="79"/>
      <c r="W375" s="79"/>
      <c r="Z375" s="130"/>
      <c r="AB375" s="106"/>
    </row>
    <row r="376">
      <c r="C376" s="79"/>
      <c r="D376" s="79"/>
      <c r="E376" s="79"/>
      <c r="M376" s="79"/>
      <c r="R376" s="79"/>
      <c r="S376" s="79"/>
      <c r="V376" s="79"/>
      <c r="W376" s="79"/>
      <c r="Z376" s="130"/>
      <c r="AB376" s="106"/>
    </row>
    <row r="377">
      <c r="C377" s="79"/>
      <c r="D377" s="79"/>
      <c r="E377" s="79"/>
      <c r="M377" s="79"/>
      <c r="R377" s="79"/>
      <c r="S377" s="79"/>
      <c r="V377" s="79"/>
      <c r="W377" s="79"/>
      <c r="Z377" s="130"/>
      <c r="AB377" s="106"/>
    </row>
    <row r="378">
      <c r="C378" s="79"/>
      <c r="D378" s="79"/>
      <c r="E378" s="79"/>
      <c r="M378" s="79"/>
      <c r="R378" s="79"/>
      <c r="S378" s="79"/>
      <c r="V378" s="79"/>
      <c r="W378" s="79"/>
      <c r="Z378" s="130"/>
      <c r="AB378" s="106"/>
    </row>
    <row r="379">
      <c r="C379" s="79"/>
      <c r="D379" s="79"/>
      <c r="E379" s="79"/>
      <c r="M379" s="79"/>
      <c r="R379" s="79"/>
      <c r="S379" s="79"/>
      <c r="V379" s="79"/>
      <c r="W379" s="79"/>
      <c r="Z379" s="130"/>
      <c r="AB379" s="106"/>
    </row>
    <row r="380">
      <c r="C380" s="79"/>
      <c r="D380" s="79"/>
      <c r="E380" s="79"/>
      <c r="M380" s="79"/>
      <c r="R380" s="79"/>
      <c r="S380" s="79"/>
      <c r="V380" s="79"/>
      <c r="W380" s="79"/>
      <c r="Z380" s="130"/>
      <c r="AB380" s="106"/>
    </row>
    <row r="381">
      <c r="C381" s="79"/>
      <c r="D381" s="79"/>
      <c r="E381" s="79"/>
      <c r="M381" s="79"/>
      <c r="R381" s="79"/>
      <c r="S381" s="79"/>
      <c r="V381" s="79"/>
      <c r="W381" s="79"/>
      <c r="Z381" s="130"/>
      <c r="AB381" s="106"/>
    </row>
    <row r="382">
      <c r="C382" s="79"/>
      <c r="D382" s="79"/>
      <c r="E382" s="79"/>
      <c r="M382" s="79"/>
      <c r="R382" s="79"/>
      <c r="S382" s="79"/>
      <c r="V382" s="79"/>
      <c r="W382" s="79"/>
      <c r="Z382" s="130"/>
      <c r="AB382" s="106"/>
    </row>
    <row r="383">
      <c r="C383" s="79"/>
      <c r="D383" s="79"/>
      <c r="E383" s="79"/>
      <c r="M383" s="79"/>
      <c r="R383" s="79"/>
      <c r="S383" s="79"/>
      <c r="V383" s="79"/>
      <c r="W383" s="79"/>
      <c r="Z383" s="130"/>
      <c r="AB383" s="106"/>
    </row>
    <row r="384">
      <c r="C384" s="79"/>
      <c r="D384" s="79"/>
      <c r="E384" s="79"/>
      <c r="M384" s="79"/>
      <c r="R384" s="79"/>
      <c r="S384" s="79"/>
      <c r="V384" s="79"/>
      <c r="W384" s="79"/>
      <c r="Z384" s="130"/>
      <c r="AB384" s="106"/>
    </row>
    <row r="385">
      <c r="C385" s="79"/>
      <c r="D385" s="79"/>
      <c r="E385" s="79"/>
      <c r="M385" s="79"/>
      <c r="R385" s="79"/>
      <c r="S385" s="79"/>
      <c r="V385" s="79"/>
      <c r="W385" s="79"/>
      <c r="Z385" s="130"/>
      <c r="AB385" s="106"/>
    </row>
    <row r="386">
      <c r="C386" s="79"/>
      <c r="D386" s="79"/>
      <c r="E386" s="79"/>
      <c r="M386" s="79"/>
      <c r="R386" s="79"/>
      <c r="S386" s="79"/>
      <c r="V386" s="79"/>
      <c r="W386" s="79"/>
      <c r="Z386" s="130"/>
      <c r="AB386" s="106"/>
    </row>
    <row r="387">
      <c r="C387" s="79"/>
      <c r="D387" s="79"/>
      <c r="E387" s="79"/>
      <c r="M387" s="79"/>
      <c r="R387" s="79"/>
      <c r="S387" s="79"/>
      <c r="V387" s="79"/>
      <c r="W387" s="79"/>
      <c r="Z387" s="130"/>
      <c r="AB387" s="106"/>
    </row>
    <row r="388">
      <c r="C388" s="79"/>
      <c r="D388" s="79"/>
      <c r="E388" s="79"/>
      <c r="M388" s="79"/>
      <c r="R388" s="79"/>
      <c r="S388" s="79"/>
      <c r="V388" s="79"/>
      <c r="W388" s="79"/>
      <c r="Z388" s="130"/>
      <c r="AB388" s="106"/>
    </row>
    <row r="389">
      <c r="C389" s="79"/>
      <c r="D389" s="79"/>
      <c r="E389" s="79"/>
      <c r="M389" s="79"/>
      <c r="R389" s="79"/>
      <c r="S389" s="79"/>
      <c r="V389" s="79"/>
      <c r="W389" s="79"/>
      <c r="Z389" s="130"/>
      <c r="AB389" s="106"/>
    </row>
    <row r="390">
      <c r="C390" s="79"/>
      <c r="D390" s="79"/>
      <c r="E390" s="79"/>
      <c r="M390" s="79"/>
      <c r="R390" s="79"/>
      <c r="S390" s="79"/>
      <c r="V390" s="79"/>
      <c r="W390" s="79"/>
      <c r="Z390" s="130"/>
      <c r="AB390" s="106"/>
    </row>
    <row r="391">
      <c r="C391" s="79"/>
      <c r="D391" s="79"/>
      <c r="E391" s="79"/>
      <c r="M391" s="79"/>
      <c r="R391" s="79"/>
      <c r="S391" s="79"/>
      <c r="V391" s="79"/>
      <c r="W391" s="79"/>
      <c r="Z391" s="130"/>
      <c r="AB391" s="106"/>
    </row>
    <row r="392">
      <c r="C392" s="79"/>
      <c r="D392" s="79"/>
      <c r="E392" s="79"/>
      <c r="M392" s="79"/>
      <c r="R392" s="79"/>
      <c r="S392" s="79"/>
      <c r="V392" s="79"/>
      <c r="W392" s="79"/>
      <c r="Z392" s="130"/>
      <c r="AB392" s="106"/>
    </row>
    <row r="393">
      <c r="C393" s="79"/>
      <c r="D393" s="79"/>
      <c r="E393" s="79"/>
      <c r="M393" s="79"/>
      <c r="R393" s="79"/>
      <c r="S393" s="79"/>
      <c r="V393" s="79"/>
      <c r="W393" s="79"/>
      <c r="Z393" s="130"/>
      <c r="AB393" s="106"/>
    </row>
    <row r="394">
      <c r="C394" s="79"/>
      <c r="D394" s="79"/>
      <c r="E394" s="79"/>
      <c r="M394" s="79"/>
      <c r="R394" s="79"/>
      <c r="S394" s="79"/>
      <c r="V394" s="79"/>
      <c r="W394" s="79"/>
      <c r="Z394" s="130"/>
      <c r="AB394" s="106"/>
    </row>
    <row r="395">
      <c r="C395" s="79"/>
      <c r="D395" s="79"/>
      <c r="E395" s="79"/>
      <c r="M395" s="79"/>
      <c r="R395" s="79"/>
      <c r="S395" s="79"/>
      <c r="V395" s="79"/>
      <c r="W395" s="79"/>
      <c r="Z395" s="130"/>
      <c r="AB395" s="106"/>
    </row>
    <row r="396">
      <c r="C396" s="79"/>
      <c r="D396" s="79"/>
      <c r="E396" s="79"/>
      <c r="M396" s="79"/>
      <c r="R396" s="79"/>
      <c r="S396" s="79"/>
      <c r="V396" s="79"/>
      <c r="W396" s="79"/>
      <c r="Z396" s="130"/>
      <c r="AB396" s="106"/>
    </row>
    <row r="397">
      <c r="C397" s="79"/>
      <c r="D397" s="79"/>
      <c r="E397" s="79"/>
      <c r="M397" s="79"/>
      <c r="R397" s="79"/>
      <c r="S397" s="79"/>
      <c r="V397" s="79"/>
      <c r="W397" s="79"/>
      <c r="Z397" s="130"/>
      <c r="AB397" s="106"/>
    </row>
    <row r="398">
      <c r="C398" s="79"/>
      <c r="D398" s="79"/>
      <c r="E398" s="79"/>
      <c r="M398" s="79"/>
      <c r="R398" s="79"/>
      <c r="S398" s="79"/>
      <c r="V398" s="79"/>
      <c r="W398" s="79"/>
      <c r="Z398" s="130"/>
      <c r="AB398" s="106"/>
    </row>
    <row r="399">
      <c r="C399" s="79"/>
      <c r="D399" s="79"/>
      <c r="E399" s="79"/>
      <c r="M399" s="79"/>
      <c r="R399" s="79"/>
      <c r="S399" s="79"/>
      <c r="V399" s="79"/>
      <c r="W399" s="79"/>
      <c r="Z399" s="130"/>
      <c r="AB399" s="106"/>
    </row>
    <row r="400">
      <c r="C400" s="79"/>
      <c r="D400" s="79"/>
      <c r="E400" s="79"/>
      <c r="M400" s="79"/>
      <c r="R400" s="79"/>
      <c r="S400" s="79"/>
      <c r="V400" s="79"/>
      <c r="W400" s="79"/>
      <c r="Z400" s="130"/>
      <c r="AB400" s="106"/>
    </row>
    <row r="401">
      <c r="C401" s="79"/>
      <c r="D401" s="79"/>
      <c r="E401" s="79"/>
      <c r="M401" s="79"/>
      <c r="R401" s="79"/>
      <c r="S401" s="79"/>
      <c r="V401" s="79"/>
      <c r="W401" s="79"/>
      <c r="Z401" s="130"/>
      <c r="AB401" s="106"/>
    </row>
    <row r="402">
      <c r="C402" s="79"/>
      <c r="D402" s="79"/>
      <c r="E402" s="79"/>
      <c r="M402" s="79"/>
      <c r="R402" s="79"/>
      <c r="S402" s="79"/>
      <c r="V402" s="79"/>
      <c r="W402" s="79"/>
      <c r="Z402" s="130"/>
      <c r="AB402" s="106"/>
    </row>
    <row r="403">
      <c r="C403" s="79"/>
      <c r="D403" s="79"/>
      <c r="E403" s="79"/>
      <c r="M403" s="79"/>
      <c r="R403" s="79"/>
      <c r="S403" s="79"/>
      <c r="V403" s="79"/>
      <c r="W403" s="79"/>
      <c r="Z403" s="130"/>
      <c r="AB403" s="106"/>
    </row>
    <row r="404">
      <c r="C404" s="79"/>
      <c r="D404" s="79"/>
      <c r="E404" s="79"/>
      <c r="M404" s="79"/>
      <c r="R404" s="79"/>
      <c r="S404" s="79"/>
      <c r="V404" s="79"/>
      <c r="W404" s="79"/>
      <c r="Z404" s="130"/>
      <c r="AB404" s="106"/>
    </row>
    <row r="405">
      <c r="C405" s="79"/>
      <c r="D405" s="79"/>
      <c r="E405" s="79"/>
      <c r="M405" s="79"/>
      <c r="R405" s="79"/>
      <c r="S405" s="79"/>
      <c r="V405" s="79"/>
      <c r="W405" s="79"/>
      <c r="Z405" s="130"/>
      <c r="AB405" s="106"/>
    </row>
    <row r="406">
      <c r="C406" s="79"/>
      <c r="D406" s="79"/>
      <c r="E406" s="79"/>
      <c r="M406" s="79"/>
      <c r="R406" s="79"/>
      <c r="S406" s="79"/>
      <c r="V406" s="79"/>
      <c r="W406" s="79"/>
      <c r="Z406" s="130"/>
      <c r="AB406" s="106"/>
    </row>
    <row r="407">
      <c r="C407" s="79"/>
      <c r="D407" s="79"/>
      <c r="E407" s="79"/>
      <c r="M407" s="79"/>
      <c r="R407" s="79"/>
      <c r="S407" s="79"/>
      <c r="V407" s="79"/>
      <c r="W407" s="79"/>
      <c r="Z407" s="130"/>
      <c r="AB407" s="106"/>
    </row>
    <row r="408">
      <c r="C408" s="79"/>
      <c r="D408" s="79"/>
      <c r="E408" s="79"/>
      <c r="M408" s="79"/>
      <c r="R408" s="79"/>
      <c r="S408" s="79"/>
      <c r="V408" s="79"/>
      <c r="W408" s="79"/>
      <c r="Z408" s="130"/>
      <c r="AB408" s="106"/>
    </row>
    <row r="409">
      <c r="C409" s="79"/>
      <c r="D409" s="79"/>
      <c r="E409" s="79"/>
      <c r="M409" s="79"/>
      <c r="R409" s="79"/>
      <c r="S409" s="79"/>
      <c r="V409" s="79"/>
      <c r="W409" s="79"/>
      <c r="Z409" s="130"/>
      <c r="AB409" s="106"/>
    </row>
    <row r="410">
      <c r="C410" s="79"/>
      <c r="D410" s="79"/>
      <c r="E410" s="79"/>
      <c r="M410" s="79"/>
      <c r="R410" s="79"/>
      <c r="S410" s="79"/>
      <c r="V410" s="79"/>
      <c r="W410" s="79"/>
      <c r="Z410" s="130"/>
      <c r="AB410" s="106"/>
    </row>
    <row r="411">
      <c r="C411" s="79"/>
      <c r="D411" s="79"/>
      <c r="E411" s="79"/>
      <c r="M411" s="79"/>
      <c r="R411" s="79"/>
      <c r="S411" s="79"/>
      <c r="V411" s="79"/>
      <c r="W411" s="79"/>
      <c r="Z411" s="130"/>
      <c r="AB411" s="106"/>
    </row>
    <row r="412">
      <c r="C412" s="79"/>
      <c r="D412" s="79"/>
      <c r="E412" s="79"/>
      <c r="M412" s="79"/>
      <c r="R412" s="79"/>
      <c r="S412" s="79"/>
      <c r="V412" s="79"/>
      <c r="W412" s="79"/>
      <c r="Z412" s="130"/>
      <c r="AB412" s="106"/>
    </row>
    <row r="413">
      <c r="C413" s="79"/>
      <c r="D413" s="79"/>
      <c r="E413" s="79"/>
      <c r="M413" s="79"/>
      <c r="R413" s="79"/>
      <c r="S413" s="79"/>
      <c r="V413" s="79"/>
      <c r="W413" s="79"/>
      <c r="Z413" s="130"/>
      <c r="AB413" s="106"/>
    </row>
    <row r="414">
      <c r="C414" s="79"/>
      <c r="D414" s="79"/>
      <c r="E414" s="79"/>
      <c r="M414" s="79"/>
      <c r="R414" s="79"/>
      <c r="S414" s="79"/>
      <c r="V414" s="79"/>
      <c r="W414" s="79"/>
      <c r="Z414" s="130"/>
      <c r="AB414" s="106"/>
    </row>
    <row r="415">
      <c r="C415" s="79"/>
      <c r="D415" s="79"/>
      <c r="E415" s="79"/>
      <c r="M415" s="79"/>
      <c r="R415" s="79"/>
      <c r="S415" s="79"/>
      <c r="V415" s="79"/>
      <c r="W415" s="79"/>
      <c r="Z415" s="130"/>
      <c r="AB415" s="106"/>
    </row>
    <row r="416">
      <c r="C416" s="79"/>
      <c r="D416" s="79"/>
      <c r="E416" s="79"/>
      <c r="M416" s="79"/>
      <c r="R416" s="79"/>
      <c r="S416" s="79"/>
      <c r="V416" s="79"/>
      <c r="W416" s="79"/>
      <c r="Z416" s="130"/>
      <c r="AB416" s="106"/>
    </row>
    <row r="417">
      <c r="C417" s="79"/>
      <c r="D417" s="79"/>
      <c r="E417" s="79"/>
      <c r="M417" s="79"/>
      <c r="R417" s="79"/>
      <c r="S417" s="79"/>
      <c r="V417" s="79"/>
      <c r="W417" s="79"/>
      <c r="Z417" s="130"/>
      <c r="AB417" s="106"/>
    </row>
    <row r="418">
      <c r="C418" s="79"/>
      <c r="D418" s="79"/>
      <c r="E418" s="79"/>
      <c r="M418" s="79"/>
      <c r="R418" s="79"/>
      <c r="S418" s="79"/>
      <c r="V418" s="79"/>
      <c r="W418" s="79"/>
      <c r="Z418" s="130"/>
      <c r="AB418" s="106"/>
    </row>
    <row r="419">
      <c r="C419" s="79"/>
      <c r="D419" s="79"/>
      <c r="E419" s="79"/>
      <c r="M419" s="79"/>
      <c r="R419" s="79"/>
      <c r="S419" s="79"/>
      <c r="V419" s="79"/>
      <c r="W419" s="79"/>
      <c r="Z419" s="130"/>
      <c r="AB419" s="106"/>
    </row>
    <row r="420">
      <c r="C420" s="79"/>
      <c r="D420" s="79"/>
      <c r="E420" s="79"/>
      <c r="M420" s="79"/>
      <c r="R420" s="79"/>
      <c r="S420" s="79"/>
      <c r="V420" s="79"/>
      <c r="W420" s="79"/>
      <c r="Z420" s="130"/>
      <c r="AB420" s="106"/>
    </row>
    <row r="421">
      <c r="C421" s="79"/>
      <c r="D421" s="79"/>
      <c r="E421" s="79"/>
      <c r="M421" s="79"/>
      <c r="R421" s="79"/>
      <c r="S421" s="79"/>
      <c r="V421" s="79"/>
      <c r="W421" s="79"/>
      <c r="Z421" s="130"/>
      <c r="AB421" s="106"/>
    </row>
    <row r="422">
      <c r="C422" s="79"/>
      <c r="D422" s="79"/>
      <c r="E422" s="79"/>
      <c r="M422" s="79"/>
      <c r="R422" s="79"/>
      <c r="S422" s="79"/>
      <c r="V422" s="79"/>
      <c r="W422" s="79"/>
      <c r="Z422" s="130"/>
      <c r="AB422" s="106"/>
    </row>
    <row r="423">
      <c r="C423" s="79"/>
      <c r="D423" s="79"/>
      <c r="E423" s="79"/>
      <c r="M423" s="79"/>
      <c r="R423" s="79"/>
      <c r="S423" s="79"/>
      <c r="V423" s="79"/>
      <c r="W423" s="79"/>
      <c r="Z423" s="130"/>
      <c r="AB423" s="106"/>
    </row>
    <row r="424">
      <c r="C424" s="79"/>
      <c r="D424" s="79"/>
      <c r="E424" s="79"/>
      <c r="M424" s="79"/>
      <c r="R424" s="79"/>
      <c r="S424" s="79"/>
      <c r="V424" s="79"/>
      <c r="W424" s="79"/>
      <c r="Z424" s="130"/>
      <c r="AB424" s="106"/>
    </row>
    <row r="425">
      <c r="C425" s="79"/>
      <c r="D425" s="79"/>
      <c r="E425" s="79"/>
      <c r="M425" s="79"/>
      <c r="R425" s="79"/>
      <c r="S425" s="79"/>
      <c r="V425" s="79"/>
      <c r="W425" s="79"/>
      <c r="Z425" s="130"/>
      <c r="AB425" s="106"/>
    </row>
    <row r="426">
      <c r="C426" s="79"/>
      <c r="D426" s="79"/>
      <c r="E426" s="79"/>
      <c r="M426" s="79"/>
      <c r="R426" s="79"/>
      <c r="S426" s="79"/>
      <c r="V426" s="79"/>
      <c r="W426" s="79"/>
      <c r="Z426" s="130"/>
      <c r="AB426" s="106"/>
    </row>
    <row r="427">
      <c r="C427" s="79"/>
      <c r="D427" s="79"/>
      <c r="E427" s="79"/>
      <c r="M427" s="79"/>
      <c r="R427" s="79"/>
      <c r="S427" s="79"/>
      <c r="V427" s="79"/>
      <c r="W427" s="79"/>
      <c r="Z427" s="130"/>
      <c r="AB427" s="106"/>
    </row>
    <row r="428">
      <c r="C428" s="79"/>
      <c r="D428" s="79"/>
      <c r="E428" s="79"/>
      <c r="M428" s="79"/>
      <c r="R428" s="79"/>
      <c r="S428" s="79"/>
      <c r="V428" s="79"/>
      <c r="W428" s="79"/>
      <c r="Z428" s="130"/>
      <c r="AB428" s="106"/>
    </row>
    <row r="429">
      <c r="C429" s="79"/>
      <c r="D429" s="79"/>
      <c r="E429" s="79"/>
      <c r="M429" s="79"/>
      <c r="R429" s="79"/>
      <c r="S429" s="79"/>
      <c r="V429" s="79"/>
      <c r="W429" s="79"/>
      <c r="Z429" s="130"/>
      <c r="AB429" s="106"/>
    </row>
    <row r="430">
      <c r="C430" s="79"/>
      <c r="D430" s="79"/>
      <c r="E430" s="79"/>
      <c r="M430" s="79"/>
      <c r="R430" s="79"/>
      <c r="S430" s="79"/>
      <c r="V430" s="79"/>
      <c r="W430" s="79"/>
      <c r="Z430" s="130"/>
      <c r="AB430" s="106"/>
    </row>
    <row r="431">
      <c r="C431" s="79"/>
      <c r="D431" s="79"/>
      <c r="E431" s="79"/>
      <c r="M431" s="79"/>
      <c r="R431" s="79"/>
      <c r="S431" s="79"/>
      <c r="V431" s="79"/>
      <c r="W431" s="79"/>
      <c r="Z431" s="130"/>
      <c r="AB431" s="106"/>
    </row>
    <row r="432">
      <c r="C432" s="79"/>
      <c r="D432" s="79"/>
      <c r="E432" s="79"/>
      <c r="M432" s="79"/>
      <c r="R432" s="79"/>
      <c r="S432" s="79"/>
      <c r="V432" s="79"/>
      <c r="W432" s="79"/>
      <c r="Z432" s="130"/>
      <c r="AB432" s="106"/>
    </row>
    <row r="433">
      <c r="C433" s="79"/>
      <c r="D433" s="79"/>
      <c r="E433" s="79"/>
      <c r="M433" s="79"/>
      <c r="R433" s="79"/>
      <c r="S433" s="79"/>
      <c r="V433" s="79"/>
      <c r="W433" s="79"/>
      <c r="Z433" s="130"/>
      <c r="AB433" s="106"/>
    </row>
    <row r="434">
      <c r="C434" s="79"/>
      <c r="D434" s="79"/>
      <c r="E434" s="79"/>
      <c r="M434" s="79"/>
      <c r="R434" s="79"/>
      <c r="S434" s="79"/>
      <c r="V434" s="79"/>
      <c r="W434" s="79"/>
      <c r="Z434" s="130"/>
      <c r="AB434" s="106"/>
    </row>
    <row r="435">
      <c r="C435" s="79"/>
      <c r="D435" s="79"/>
      <c r="E435" s="79"/>
      <c r="M435" s="79"/>
      <c r="R435" s="79"/>
      <c r="S435" s="79"/>
      <c r="V435" s="79"/>
      <c r="W435" s="79"/>
      <c r="Z435" s="130"/>
      <c r="AB435" s="106"/>
    </row>
    <row r="436">
      <c r="C436" s="79"/>
      <c r="D436" s="79"/>
      <c r="E436" s="79"/>
      <c r="M436" s="79"/>
      <c r="R436" s="79"/>
      <c r="S436" s="79"/>
      <c r="V436" s="79"/>
      <c r="W436" s="79"/>
      <c r="Z436" s="130"/>
      <c r="AB436" s="106"/>
    </row>
    <row r="437">
      <c r="C437" s="79"/>
      <c r="D437" s="79"/>
      <c r="E437" s="79"/>
      <c r="M437" s="79"/>
      <c r="R437" s="79"/>
      <c r="S437" s="79"/>
      <c r="V437" s="79"/>
      <c r="W437" s="79"/>
      <c r="Z437" s="130"/>
      <c r="AB437" s="106"/>
    </row>
    <row r="438">
      <c r="C438" s="79"/>
      <c r="D438" s="79"/>
      <c r="E438" s="79"/>
      <c r="M438" s="79"/>
      <c r="R438" s="79"/>
      <c r="S438" s="79"/>
      <c r="V438" s="79"/>
      <c r="W438" s="79"/>
      <c r="Z438" s="130"/>
      <c r="AB438" s="106"/>
    </row>
    <row r="439">
      <c r="C439" s="79"/>
      <c r="D439" s="79"/>
      <c r="E439" s="79"/>
      <c r="M439" s="79"/>
      <c r="R439" s="79"/>
      <c r="S439" s="79"/>
      <c r="V439" s="79"/>
      <c r="W439" s="79"/>
      <c r="Z439" s="130"/>
      <c r="AB439" s="106"/>
    </row>
    <row r="440">
      <c r="C440" s="79"/>
      <c r="D440" s="79"/>
      <c r="E440" s="79"/>
      <c r="M440" s="79"/>
      <c r="R440" s="79"/>
      <c r="S440" s="79"/>
      <c r="V440" s="79"/>
      <c r="W440" s="79"/>
      <c r="Z440" s="130"/>
      <c r="AB440" s="106"/>
    </row>
    <row r="441">
      <c r="C441" s="79"/>
      <c r="D441" s="79"/>
      <c r="E441" s="79"/>
      <c r="M441" s="79"/>
      <c r="R441" s="79"/>
      <c r="S441" s="79"/>
      <c r="V441" s="79"/>
      <c r="W441" s="79"/>
      <c r="Z441" s="130"/>
      <c r="AB441" s="106"/>
    </row>
    <row r="442">
      <c r="C442" s="79"/>
      <c r="D442" s="79"/>
      <c r="E442" s="79"/>
      <c r="M442" s="79"/>
      <c r="R442" s="79"/>
      <c r="S442" s="79"/>
      <c r="V442" s="79"/>
      <c r="W442" s="79"/>
      <c r="Z442" s="130"/>
      <c r="AB442" s="106"/>
    </row>
    <row r="443">
      <c r="C443" s="79"/>
      <c r="D443" s="79"/>
      <c r="E443" s="79"/>
      <c r="M443" s="79"/>
      <c r="R443" s="79"/>
      <c r="S443" s="79"/>
      <c r="V443" s="79"/>
      <c r="W443" s="79"/>
      <c r="Z443" s="130"/>
      <c r="AB443" s="106"/>
    </row>
    <row r="444">
      <c r="C444" s="79"/>
      <c r="D444" s="79"/>
      <c r="E444" s="79"/>
      <c r="M444" s="79"/>
      <c r="R444" s="79"/>
      <c r="S444" s="79"/>
      <c r="V444" s="79"/>
      <c r="W444" s="79"/>
      <c r="Z444" s="130"/>
      <c r="AB444" s="106"/>
    </row>
    <row r="445">
      <c r="C445" s="79"/>
      <c r="D445" s="79"/>
      <c r="E445" s="79"/>
      <c r="M445" s="79"/>
      <c r="R445" s="79"/>
      <c r="S445" s="79"/>
      <c r="V445" s="79"/>
      <c r="W445" s="79"/>
      <c r="Z445" s="130"/>
      <c r="AB445" s="106"/>
    </row>
    <row r="446">
      <c r="C446" s="79"/>
      <c r="D446" s="79"/>
      <c r="E446" s="79"/>
      <c r="M446" s="79"/>
      <c r="R446" s="79"/>
      <c r="S446" s="79"/>
      <c r="V446" s="79"/>
      <c r="W446" s="79"/>
      <c r="Z446" s="130"/>
      <c r="AB446" s="106"/>
    </row>
    <row r="447">
      <c r="C447" s="79"/>
      <c r="D447" s="79"/>
      <c r="E447" s="79"/>
      <c r="M447" s="79"/>
      <c r="R447" s="79"/>
      <c r="S447" s="79"/>
      <c r="V447" s="79"/>
      <c r="W447" s="79"/>
      <c r="Z447" s="130"/>
      <c r="AB447" s="106"/>
    </row>
    <row r="448">
      <c r="C448" s="79"/>
      <c r="D448" s="79"/>
      <c r="E448" s="79"/>
      <c r="M448" s="79"/>
      <c r="R448" s="79"/>
      <c r="S448" s="79"/>
      <c r="V448" s="79"/>
      <c r="W448" s="79"/>
      <c r="Z448" s="130"/>
      <c r="AB448" s="106"/>
    </row>
    <row r="449">
      <c r="C449" s="79"/>
      <c r="D449" s="79"/>
      <c r="E449" s="79"/>
      <c r="M449" s="79"/>
      <c r="R449" s="79"/>
      <c r="S449" s="79"/>
      <c r="V449" s="79"/>
      <c r="W449" s="79"/>
      <c r="Z449" s="130"/>
      <c r="AB449" s="106"/>
    </row>
    <row r="450">
      <c r="C450" s="79"/>
      <c r="D450" s="79"/>
      <c r="E450" s="79"/>
      <c r="M450" s="79"/>
      <c r="R450" s="79"/>
      <c r="S450" s="79"/>
      <c r="V450" s="79"/>
      <c r="W450" s="79"/>
      <c r="Z450" s="130"/>
      <c r="AB450" s="106"/>
    </row>
    <row r="451">
      <c r="C451" s="79"/>
      <c r="D451" s="79"/>
      <c r="E451" s="79"/>
      <c r="M451" s="79"/>
      <c r="R451" s="79"/>
      <c r="S451" s="79"/>
      <c r="V451" s="79"/>
      <c r="W451" s="79"/>
      <c r="Z451" s="130"/>
      <c r="AB451" s="106"/>
    </row>
    <row r="452">
      <c r="C452" s="79"/>
      <c r="D452" s="79"/>
      <c r="E452" s="79"/>
      <c r="M452" s="79"/>
      <c r="R452" s="79"/>
      <c r="S452" s="79"/>
      <c r="V452" s="79"/>
      <c r="W452" s="79"/>
      <c r="Z452" s="130"/>
      <c r="AB452" s="106"/>
    </row>
    <row r="453">
      <c r="C453" s="79"/>
      <c r="D453" s="79"/>
      <c r="E453" s="79"/>
      <c r="M453" s="79"/>
      <c r="R453" s="79"/>
      <c r="S453" s="79"/>
      <c r="V453" s="79"/>
      <c r="W453" s="79"/>
      <c r="Z453" s="130"/>
      <c r="AB453" s="106"/>
    </row>
    <row r="454">
      <c r="C454" s="79"/>
      <c r="D454" s="79"/>
      <c r="E454" s="79"/>
      <c r="M454" s="79"/>
      <c r="R454" s="79"/>
      <c r="S454" s="79"/>
      <c r="V454" s="79"/>
      <c r="W454" s="79"/>
      <c r="Z454" s="130"/>
      <c r="AB454" s="106"/>
    </row>
    <row r="455">
      <c r="C455" s="79"/>
      <c r="D455" s="79"/>
      <c r="E455" s="79"/>
      <c r="M455" s="79"/>
      <c r="R455" s="79"/>
      <c r="S455" s="79"/>
      <c r="V455" s="79"/>
      <c r="W455" s="79"/>
      <c r="Z455" s="130"/>
      <c r="AB455" s="106"/>
    </row>
    <row r="456">
      <c r="C456" s="79"/>
      <c r="D456" s="79"/>
      <c r="E456" s="79"/>
      <c r="M456" s="79"/>
      <c r="R456" s="79"/>
      <c r="S456" s="79"/>
      <c r="V456" s="79"/>
      <c r="W456" s="79"/>
      <c r="Z456" s="130"/>
      <c r="AB456" s="106"/>
    </row>
    <row r="457">
      <c r="C457" s="79"/>
      <c r="D457" s="79"/>
      <c r="E457" s="79"/>
      <c r="M457" s="79"/>
      <c r="R457" s="79"/>
      <c r="S457" s="79"/>
      <c r="V457" s="79"/>
      <c r="W457" s="79"/>
      <c r="Z457" s="130"/>
      <c r="AB457" s="106"/>
    </row>
    <row r="458">
      <c r="C458" s="79"/>
      <c r="D458" s="79"/>
      <c r="E458" s="79"/>
      <c r="M458" s="79"/>
      <c r="R458" s="79"/>
      <c r="S458" s="79"/>
      <c r="V458" s="79"/>
      <c r="W458" s="79"/>
      <c r="Z458" s="130"/>
      <c r="AB458" s="106"/>
    </row>
    <row r="459">
      <c r="C459" s="79"/>
      <c r="D459" s="79"/>
      <c r="E459" s="79"/>
      <c r="M459" s="79"/>
      <c r="R459" s="79"/>
      <c r="S459" s="79"/>
      <c r="V459" s="79"/>
      <c r="W459" s="79"/>
      <c r="Z459" s="130"/>
      <c r="AB459" s="106"/>
    </row>
    <row r="460">
      <c r="C460" s="79"/>
      <c r="D460" s="79"/>
      <c r="E460" s="79"/>
      <c r="M460" s="79"/>
      <c r="R460" s="79"/>
      <c r="S460" s="79"/>
      <c r="V460" s="79"/>
      <c r="W460" s="79"/>
      <c r="Z460" s="130"/>
      <c r="AB460" s="106"/>
    </row>
    <row r="461">
      <c r="C461" s="79"/>
      <c r="D461" s="79"/>
      <c r="E461" s="79"/>
      <c r="M461" s="79"/>
      <c r="R461" s="79"/>
      <c r="S461" s="79"/>
      <c r="V461" s="79"/>
      <c r="W461" s="79"/>
      <c r="Z461" s="130"/>
      <c r="AB461" s="106"/>
    </row>
    <row r="462">
      <c r="C462" s="79"/>
      <c r="D462" s="79"/>
      <c r="E462" s="79"/>
      <c r="M462" s="79"/>
      <c r="R462" s="79"/>
      <c r="S462" s="79"/>
      <c r="V462" s="79"/>
      <c r="W462" s="79"/>
      <c r="Z462" s="130"/>
      <c r="AB462" s="106"/>
    </row>
    <row r="463">
      <c r="C463" s="79"/>
      <c r="D463" s="79"/>
      <c r="E463" s="79"/>
      <c r="M463" s="79"/>
      <c r="R463" s="79"/>
      <c r="S463" s="79"/>
      <c r="V463" s="79"/>
      <c r="W463" s="79"/>
      <c r="Z463" s="130"/>
      <c r="AB463" s="106"/>
    </row>
    <row r="464">
      <c r="C464" s="79"/>
      <c r="D464" s="79"/>
      <c r="E464" s="79"/>
      <c r="M464" s="79"/>
      <c r="R464" s="79"/>
      <c r="S464" s="79"/>
      <c r="V464" s="79"/>
      <c r="W464" s="79"/>
      <c r="Z464" s="130"/>
      <c r="AB464" s="106"/>
    </row>
    <row r="465">
      <c r="C465" s="79"/>
      <c r="D465" s="79"/>
      <c r="E465" s="79"/>
      <c r="M465" s="79"/>
      <c r="R465" s="79"/>
      <c r="S465" s="79"/>
      <c r="V465" s="79"/>
      <c r="W465" s="79"/>
      <c r="Z465" s="130"/>
      <c r="AB465" s="106"/>
    </row>
    <row r="466">
      <c r="C466" s="79"/>
      <c r="D466" s="79"/>
      <c r="E466" s="79"/>
      <c r="M466" s="79"/>
      <c r="R466" s="79"/>
      <c r="S466" s="79"/>
      <c r="V466" s="79"/>
      <c r="W466" s="79"/>
      <c r="Z466" s="130"/>
      <c r="AB466" s="106"/>
    </row>
    <row r="467">
      <c r="C467" s="79"/>
      <c r="D467" s="79"/>
      <c r="E467" s="79"/>
      <c r="M467" s="79"/>
      <c r="R467" s="79"/>
      <c r="S467" s="79"/>
      <c r="V467" s="79"/>
      <c r="W467" s="79"/>
      <c r="Z467" s="130"/>
      <c r="AB467" s="106"/>
    </row>
    <row r="468">
      <c r="C468" s="79"/>
      <c r="D468" s="79"/>
      <c r="E468" s="79"/>
      <c r="M468" s="79"/>
      <c r="R468" s="79"/>
      <c r="S468" s="79"/>
      <c r="V468" s="79"/>
      <c r="W468" s="79"/>
      <c r="Z468" s="130"/>
      <c r="AB468" s="106"/>
    </row>
    <row r="469">
      <c r="C469" s="79"/>
      <c r="D469" s="79"/>
      <c r="E469" s="79"/>
      <c r="M469" s="79"/>
      <c r="R469" s="79"/>
      <c r="S469" s="79"/>
      <c r="V469" s="79"/>
      <c r="W469" s="79"/>
      <c r="Z469" s="130"/>
      <c r="AB469" s="106"/>
    </row>
    <row r="470">
      <c r="C470" s="79"/>
      <c r="D470" s="79"/>
      <c r="E470" s="79"/>
      <c r="M470" s="79"/>
      <c r="R470" s="79"/>
      <c r="S470" s="79"/>
      <c r="V470" s="79"/>
      <c r="W470" s="79"/>
      <c r="Z470" s="130"/>
      <c r="AB470" s="106"/>
    </row>
    <row r="471">
      <c r="C471" s="79"/>
      <c r="D471" s="79"/>
      <c r="E471" s="79"/>
      <c r="M471" s="79"/>
      <c r="R471" s="79"/>
      <c r="S471" s="79"/>
      <c r="V471" s="79"/>
      <c r="W471" s="79"/>
      <c r="Z471" s="130"/>
      <c r="AB471" s="106"/>
    </row>
    <row r="472">
      <c r="C472" s="79"/>
      <c r="D472" s="79"/>
      <c r="E472" s="79"/>
      <c r="M472" s="79"/>
      <c r="R472" s="79"/>
      <c r="S472" s="79"/>
      <c r="V472" s="79"/>
      <c r="W472" s="79"/>
      <c r="Z472" s="130"/>
      <c r="AB472" s="106"/>
    </row>
    <row r="473">
      <c r="C473" s="79"/>
      <c r="D473" s="79"/>
      <c r="E473" s="79"/>
      <c r="M473" s="79"/>
      <c r="R473" s="79"/>
      <c r="S473" s="79"/>
      <c r="V473" s="79"/>
      <c r="W473" s="79"/>
      <c r="Z473" s="130"/>
      <c r="AB473" s="106"/>
    </row>
    <row r="474">
      <c r="C474" s="79"/>
      <c r="D474" s="79"/>
      <c r="E474" s="79"/>
      <c r="M474" s="79"/>
      <c r="R474" s="79"/>
      <c r="S474" s="79"/>
      <c r="V474" s="79"/>
      <c r="W474" s="79"/>
      <c r="Z474" s="130"/>
      <c r="AB474" s="106"/>
    </row>
    <row r="475">
      <c r="C475" s="79"/>
      <c r="D475" s="79"/>
      <c r="E475" s="79"/>
      <c r="M475" s="79"/>
      <c r="R475" s="79"/>
      <c r="S475" s="79"/>
      <c r="V475" s="79"/>
      <c r="W475" s="79"/>
      <c r="Z475" s="130"/>
      <c r="AB475" s="106"/>
    </row>
    <row r="476">
      <c r="C476" s="79"/>
      <c r="D476" s="79"/>
      <c r="E476" s="79"/>
      <c r="M476" s="79"/>
      <c r="R476" s="79"/>
      <c r="S476" s="79"/>
      <c r="V476" s="79"/>
      <c r="W476" s="79"/>
      <c r="Z476" s="130"/>
      <c r="AB476" s="106"/>
    </row>
    <row r="477">
      <c r="C477" s="79"/>
      <c r="D477" s="79"/>
      <c r="E477" s="79"/>
      <c r="M477" s="79"/>
      <c r="R477" s="79"/>
      <c r="S477" s="79"/>
      <c r="V477" s="79"/>
      <c r="W477" s="79"/>
      <c r="Z477" s="130"/>
      <c r="AB477" s="106"/>
    </row>
    <row r="478">
      <c r="C478" s="79"/>
      <c r="D478" s="79"/>
      <c r="E478" s="79"/>
      <c r="M478" s="79"/>
      <c r="R478" s="79"/>
      <c r="S478" s="79"/>
      <c r="V478" s="79"/>
      <c r="W478" s="79"/>
      <c r="Z478" s="130"/>
      <c r="AB478" s="106"/>
    </row>
    <row r="479">
      <c r="C479" s="79"/>
      <c r="D479" s="79"/>
      <c r="E479" s="79"/>
      <c r="M479" s="79"/>
      <c r="R479" s="79"/>
      <c r="S479" s="79"/>
      <c r="V479" s="79"/>
      <c r="W479" s="79"/>
      <c r="Z479" s="130"/>
      <c r="AB479" s="106"/>
    </row>
    <row r="480">
      <c r="C480" s="79"/>
      <c r="D480" s="79"/>
      <c r="E480" s="79"/>
      <c r="M480" s="79"/>
      <c r="R480" s="79"/>
      <c r="S480" s="79"/>
      <c r="V480" s="79"/>
      <c r="W480" s="79"/>
      <c r="Z480" s="130"/>
      <c r="AB480" s="106"/>
    </row>
    <row r="481">
      <c r="C481" s="79"/>
      <c r="D481" s="79"/>
      <c r="E481" s="79"/>
      <c r="M481" s="79"/>
      <c r="R481" s="79"/>
      <c r="S481" s="79"/>
      <c r="V481" s="79"/>
      <c r="W481" s="79"/>
      <c r="Z481" s="130"/>
      <c r="AB481" s="106"/>
    </row>
    <row r="482">
      <c r="C482" s="79"/>
      <c r="D482" s="79"/>
      <c r="E482" s="79"/>
      <c r="M482" s="79"/>
      <c r="R482" s="79"/>
      <c r="S482" s="79"/>
      <c r="V482" s="79"/>
      <c r="W482" s="79"/>
      <c r="Z482" s="130"/>
      <c r="AB482" s="106"/>
    </row>
    <row r="483">
      <c r="C483" s="79"/>
      <c r="D483" s="79"/>
      <c r="E483" s="79"/>
      <c r="M483" s="79"/>
      <c r="R483" s="79"/>
      <c r="S483" s="79"/>
      <c r="V483" s="79"/>
      <c r="W483" s="79"/>
      <c r="Z483" s="130"/>
      <c r="AB483" s="106"/>
    </row>
    <row r="484">
      <c r="C484" s="79"/>
      <c r="D484" s="79"/>
      <c r="E484" s="79"/>
      <c r="M484" s="79"/>
      <c r="R484" s="79"/>
      <c r="S484" s="79"/>
      <c r="V484" s="79"/>
      <c r="W484" s="79"/>
      <c r="Z484" s="130"/>
      <c r="AB484" s="106"/>
    </row>
    <row r="485">
      <c r="C485" s="79"/>
      <c r="D485" s="79"/>
      <c r="E485" s="79"/>
      <c r="M485" s="79"/>
      <c r="R485" s="79"/>
      <c r="S485" s="79"/>
      <c r="V485" s="79"/>
      <c r="W485" s="79"/>
      <c r="Z485" s="130"/>
      <c r="AB485" s="106"/>
    </row>
    <row r="486">
      <c r="C486" s="79"/>
      <c r="D486" s="79"/>
      <c r="E486" s="79"/>
      <c r="M486" s="79"/>
      <c r="R486" s="79"/>
      <c r="S486" s="79"/>
      <c r="V486" s="79"/>
      <c r="W486" s="79"/>
      <c r="Z486" s="130"/>
      <c r="AB486" s="106"/>
    </row>
    <row r="487">
      <c r="C487" s="79"/>
      <c r="D487" s="79"/>
      <c r="E487" s="79"/>
      <c r="M487" s="79"/>
      <c r="R487" s="79"/>
      <c r="S487" s="79"/>
      <c r="V487" s="79"/>
      <c r="W487" s="79"/>
      <c r="Z487" s="130"/>
      <c r="AB487" s="106"/>
    </row>
    <row r="488">
      <c r="C488" s="79"/>
      <c r="D488" s="79"/>
      <c r="E488" s="79"/>
      <c r="M488" s="79"/>
      <c r="R488" s="79"/>
      <c r="S488" s="79"/>
      <c r="V488" s="79"/>
      <c r="W488" s="79"/>
      <c r="Z488" s="130"/>
      <c r="AB488" s="106"/>
    </row>
    <row r="489">
      <c r="C489" s="79"/>
      <c r="D489" s="79"/>
      <c r="E489" s="79"/>
      <c r="M489" s="79"/>
      <c r="R489" s="79"/>
      <c r="S489" s="79"/>
      <c r="V489" s="79"/>
      <c r="W489" s="79"/>
      <c r="Z489" s="130"/>
      <c r="AB489" s="106"/>
    </row>
    <row r="490">
      <c r="C490" s="79"/>
      <c r="D490" s="79"/>
      <c r="E490" s="79"/>
      <c r="M490" s="79"/>
      <c r="R490" s="79"/>
      <c r="S490" s="79"/>
      <c r="V490" s="79"/>
      <c r="W490" s="79"/>
      <c r="Z490" s="130"/>
      <c r="AB490" s="106"/>
    </row>
    <row r="491">
      <c r="C491" s="79"/>
      <c r="D491" s="79"/>
      <c r="E491" s="79"/>
      <c r="M491" s="79"/>
      <c r="R491" s="79"/>
      <c r="S491" s="79"/>
      <c r="V491" s="79"/>
      <c r="W491" s="79"/>
      <c r="Z491" s="130"/>
      <c r="AB491" s="106"/>
    </row>
    <row r="492">
      <c r="C492" s="79"/>
      <c r="D492" s="79"/>
      <c r="E492" s="79"/>
      <c r="M492" s="79"/>
      <c r="R492" s="79"/>
      <c r="S492" s="79"/>
      <c r="V492" s="79"/>
      <c r="W492" s="79"/>
      <c r="Z492" s="130"/>
      <c r="AB492" s="106"/>
    </row>
    <row r="493">
      <c r="C493" s="79"/>
      <c r="D493" s="79"/>
      <c r="E493" s="79"/>
      <c r="M493" s="79"/>
      <c r="R493" s="79"/>
      <c r="S493" s="79"/>
      <c r="V493" s="79"/>
      <c r="W493" s="79"/>
      <c r="Z493" s="130"/>
      <c r="AB493" s="106"/>
    </row>
    <row r="494">
      <c r="C494" s="79"/>
      <c r="D494" s="79"/>
      <c r="E494" s="79"/>
      <c r="M494" s="79"/>
      <c r="R494" s="79"/>
      <c r="S494" s="79"/>
      <c r="V494" s="79"/>
      <c r="W494" s="79"/>
      <c r="Z494" s="130"/>
      <c r="AB494" s="106"/>
    </row>
    <row r="495">
      <c r="C495" s="79"/>
      <c r="D495" s="79"/>
      <c r="E495" s="79"/>
      <c r="M495" s="79"/>
      <c r="R495" s="79"/>
      <c r="S495" s="79"/>
      <c r="V495" s="79"/>
      <c r="W495" s="79"/>
      <c r="Z495" s="130"/>
      <c r="AB495" s="106"/>
    </row>
    <row r="496">
      <c r="C496" s="79"/>
      <c r="D496" s="79"/>
      <c r="E496" s="79"/>
      <c r="M496" s="79"/>
      <c r="R496" s="79"/>
      <c r="S496" s="79"/>
      <c r="V496" s="79"/>
      <c r="W496" s="79"/>
      <c r="Z496" s="130"/>
      <c r="AB496" s="106"/>
    </row>
    <row r="497">
      <c r="C497" s="79"/>
      <c r="D497" s="79"/>
      <c r="E497" s="79"/>
      <c r="M497" s="79"/>
      <c r="R497" s="79"/>
      <c r="S497" s="79"/>
      <c r="V497" s="79"/>
      <c r="W497" s="79"/>
      <c r="Z497" s="130"/>
      <c r="AB497" s="106"/>
    </row>
    <row r="498">
      <c r="C498" s="79"/>
      <c r="D498" s="79"/>
      <c r="E498" s="79"/>
      <c r="M498" s="79"/>
      <c r="R498" s="79"/>
      <c r="S498" s="79"/>
      <c r="V498" s="79"/>
      <c r="W498" s="79"/>
      <c r="Z498" s="130"/>
      <c r="AB498" s="106"/>
    </row>
    <row r="499">
      <c r="C499" s="79"/>
      <c r="D499" s="79"/>
      <c r="E499" s="79"/>
      <c r="M499" s="79"/>
      <c r="R499" s="79"/>
      <c r="S499" s="79"/>
      <c r="V499" s="79"/>
      <c r="W499" s="79"/>
      <c r="Z499" s="130"/>
      <c r="AB499" s="106"/>
    </row>
    <row r="500">
      <c r="C500" s="79"/>
      <c r="D500" s="79"/>
      <c r="E500" s="79"/>
      <c r="M500" s="79"/>
      <c r="R500" s="79"/>
      <c r="S500" s="79"/>
      <c r="V500" s="79"/>
      <c r="W500" s="79"/>
      <c r="Z500" s="130"/>
      <c r="AB500" s="106"/>
    </row>
    <row r="501">
      <c r="C501" s="79"/>
      <c r="D501" s="79"/>
      <c r="E501" s="79"/>
      <c r="M501" s="79"/>
      <c r="R501" s="79"/>
      <c r="S501" s="79"/>
      <c r="V501" s="79"/>
      <c r="W501" s="79"/>
      <c r="Z501" s="130"/>
      <c r="AB501" s="106"/>
    </row>
    <row r="502">
      <c r="C502" s="79"/>
      <c r="D502" s="79"/>
      <c r="E502" s="79"/>
      <c r="M502" s="79"/>
      <c r="R502" s="79"/>
      <c r="S502" s="79"/>
      <c r="V502" s="79"/>
      <c r="W502" s="79"/>
      <c r="Z502" s="130"/>
      <c r="AB502" s="106"/>
    </row>
    <row r="503">
      <c r="C503" s="79"/>
      <c r="D503" s="79"/>
      <c r="E503" s="79"/>
      <c r="M503" s="79"/>
      <c r="R503" s="79"/>
      <c r="S503" s="79"/>
      <c r="V503" s="79"/>
      <c r="W503" s="79"/>
      <c r="Z503" s="130"/>
      <c r="AB503" s="106"/>
    </row>
    <row r="504">
      <c r="C504" s="79"/>
      <c r="D504" s="79"/>
      <c r="E504" s="79"/>
      <c r="M504" s="79"/>
      <c r="R504" s="79"/>
      <c r="S504" s="79"/>
      <c r="V504" s="79"/>
      <c r="W504" s="79"/>
      <c r="Z504" s="130"/>
      <c r="AB504" s="106"/>
    </row>
    <row r="505">
      <c r="C505" s="79"/>
      <c r="D505" s="79"/>
      <c r="E505" s="79"/>
      <c r="M505" s="79"/>
      <c r="R505" s="79"/>
      <c r="S505" s="79"/>
      <c r="V505" s="79"/>
      <c r="W505" s="79"/>
      <c r="Z505" s="130"/>
      <c r="AB505" s="106"/>
    </row>
    <row r="506">
      <c r="C506" s="79"/>
      <c r="D506" s="79"/>
      <c r="E506" s="79"/>
      <c r="M506" s="79"/>
      <c r="R506" s="79"/>
      <c r="S506" s="79"/>
      <c r="V506" s="79"/>
      <c r="W506" s="79"/>
      <c r="Z506" s="130"/>
      <c r="AB506" s="106"/>
    </row>
    <row r="507">
      <c r="C507" s="79"/>
      <c r="D507" s="79"/>
      <c r="E507" s="79"/>
      <c r="M507" s="79"/>
      <c r="R507" s="79"/>
      <c r="S507" s="79"/>
      <c r="V507" s="79"/>
      <c r="W507" s="79"/>
      <c r="Z507" s="130"/>
      <c r="AB507" s="106"/>
    </row>
    <row r="508">
      <c r="C508" s="79"/>
      <c r="D508" s="79"/>
      <c r="E508" s="79"/>
      <c r="M508" s="79"/>
      <c r="R508" s="79"/>
      <c r="S508" s="79"/>
      <c r="V508" s="79"/>
      <c r="W508" s="79"/>
      <c r="Z508" s="130"/>
      <c r="AB508" s="106"/>
    </row>
    <row r="509">
      <c r="C509" s="79"/>
      <c r="D509" s="79"/>
      <c r="E509" s="79"/>
      <c r="M509" s="79"/>
      <c r="R509" s="79"/>
      <c r="S509" s="79"/>
      <c r="V509" s="79"/>
      <c r="W509" s="79"/>
      <c r="Z509" s="130"/>
      <c r="AB509" s="106"/>
    </row>
    <row r="510">
      <c r="C510" s="79"/>
      <c r="D510" s="79"/>
      <c r="E510" s="79"/>
      <c r="M510" s="79"/>
      <c r="R510" s="79"/>
      <c r="S510" s="79"/>
      <c r="V510" s="79"/>
      <c r="W510" s="79"/>
      <c r="Z510" s="130"/>
      <c r="AB510" s="106"/>
    </row>
    <row r="511">
      <c r="C511" s="79"/>
      <c r="D511" s="79"/>
      <c r="E511" s="79"/>
      <c r="M511" s="79"/>
      <c r="R511" s="79"/>
      <c r="S511" s="79"/>
      <c r="V511" s="79"/>
      <c r="W511" s="79"/>
      <c r="Z511" s="130"/>
      <c r="AB511" s="106"/>
    </row>
    <row r="512">
      <c r="C512" s="79"/>
      <c r="D512" s="79"/>
      <c r="E512" s="79"/>
      <c r="M512" s="79"/>
      <c r="R512" s="79"/>
      <c r="S512" s="79"/>
      <c r="V512" s="79"/>
      <c r="W512" s="79"/>
      <c r="Z512" s="130"/>
      <c r="AB512" s="106"/>
    </row>
    <row r="513">
      <c r="C513" s="79"/>
      <c r="D513" s="79"/>
      <c r="E513" s="79"/>
      <c r="M513" s="79"/>
      <c r="R513" s="79"/>
      <c r="S513" s="79"/>
      <c r="V513" s="79"/>
      <c r="W513" s="79"/>
      <c r="Z513" s="130"/>
      <c r="AB513" s="106"/>
    </row>
    <row r="514">
      <c r="C514" s="79"/>
      <c r="D514" s="79"/>
      <c r="E514" s="79"/>
      <c r="M514" s="79"/>
      <c r="R514" s="79"/>
      <c r="S514" s="79"/>
      <c r="V514" s="79"/>
      <c r="W514" s="79"/>
      <c r="Z514" s="130"/>
      <c r="AB514" s="106"/>
    </row>
    <row r="515">
      <c r="C515" s="79"/>
      <c r="D515" s="79"/>
      <c r="E515" s="79"/>
      <c r="M515" s="79"/>
      <c r="R515" s="79"/>
      <c r="S515" s="79"/>
      <c r="V515" s="79"/>
      <c r="W515" s="79"/>
      <c r="Z515" s="130"/>
      <c r="AB515" s="106"/>
    </row>
    <row r="516">
      <c r="C516" s="79"/>
      <c r="D516" s="79"/>
      <c r="E516" s="79"/>
      <c r="M516" s="79"/>
      <c r="R516" s="79"/>
      <c r="S516" s="79"/>
      <c r="V516" s="79"/>
      <c r="W516" s="79"/>
      <c r="Z516" s="130"/>
      <c r="AB516" s="106"/>
    </row>
    <row r="517">
      <c r="C517" s="79"/>
      <c r="D517" s="79"/>
      <c r="E517" s="79"/>
      <c r="M517" s="79"/>
      <c r="R517" s="79"/>
      <c r="S517" s="79"/>
      <c r="V517" s="79"/>
      <c r="W517" s="79"/>
      <c r="Z517" s="130"/>
      <c r="AB517" s="106"/>
    </row>
    <row r="518">
      <c r="C518" s="79"/>
      <c r="D518" s="79"/>
      <c r="E518" s="79"/>
      <c r="M518" s="79"/>
      <c r="R518" s="79"/>
      <c r="S518" s="79"/>
      <c r="V518" s="79"/>
      <c r="W518" s="79"/>
      <c r="Z518" s="130"/>
      <c r="AB518" s="106"/>
    </row>
    <row r="519">
      <c r="C519" s="79"/>
      <c r="D519" s="79"/>
      <c r="E519" s="79"/>
      <c r="M519" s="79"/>
      <c r="R519" s="79"/>
      <c r="S519" s="79"/>
      <c r="V519" s="79"/>
      <c r="W519" s="79"/>
      <c r="Z519" s="130"/>
      <c r="AB519" s="106"/>
    </row>
    <row r="520">
      <c r="C520" s="79"/>
      <c r="D520" s="79"/>
      <c r="E520" s="79"/>
      <c r="M520" s="79"/>
      <c r="R520" s="79"/>
      <c r="S520" s="79"/>
      <c r="V520" s="79"/>
      <c r="W520" s="79"/>
      <c r="Z520" s="130"/>
      <c r="AB520" s="106"/>
    </row>
    <row r="521">
      <c r="C521" s="79"/>
      <c r="D521" s="79"/>
      <c r="E521" s="79"/>
      <c r="M521" s="79"/>
      <c r="R521" s="79"/>
      <c r="S521" s="79"/>
      <c r="V521" s="79"/>
      <c r="W521" s="79"/>
      <c r="Z521" s="130"/>
      <c r="AB521" s="106"/>
    </row>
    <row r="522">
      <c r="C522" s="79"/>
      <c r="D522" s="79"/>
      <c r="E522" s="79"/>
      <c r="M522" s="79"/>
      <c r="R522" s="79"/>
      <c r="S522" s="79"/>
      <c r="V522" s="79"/>
      <c r="W522" s="79"/>
      <c r="Z522" s="130"/>
      <c r="AB522" s="106"/>
    </row>
    <row r="523">
      <c r="C523" s="79"/>
      <c r="D523" s="79"/>
      <c r="E523" s="79"/>
      <c r="M523" s="79"/>
      <c r="R523" s="79"/>
      <c r="S523" s="79"/>
      <c r="V523" s="79"/>
      <c r="W523" s="79"/>
      <c r="Z523" s="130"/>
      <c r="AB523" s="106"/>
    </row>
    <row r="524">
      <c r="C524" s="79"/>
      <c r="D524" s="79"/>
      <c r="E524" s="79"/>
      <c r="M524" s="79"/>
      <c r="R524" s="79"/>
      <c r="S524" s="79"/>
      <c r="V524" s="79"/>
      <c r="W524" s="79"/>
      <c r="Z524" s="130"/>
      <c r="AB524" s="106"/>
    </row>
    <row r="525">
      <c r="C525" s="79"/>
      <c r="D525" s="79"/>
      <c r="E525" s="79"/>
      <c r="M525" s="79"/>
      <c r="R525" s="79"/>
      <c r="S525" s="79"/>
      <c r="V525" s="79"/>
      <c r="W525" s="79"/>
      <c r="Z525" s="130"/>
      <c r="AB525" s="106"/>
    </row>
    <row r="526">
      <c r="C526" s="79"/>
      <c r="D526" s="79"/>
      <c r="E526" s="79"/>
      <c r="M526" s="79"/>
      <c r="R526" s="79"/>
      <c r="S526" s="79"/>
      <c r="V526" s="79"/>
      <c r="W526" s="79"/>
      <c r="Z526" s="130"/>
      <c r="AB526" s="106"/>
    </row>
    <row r="527">
      <c r="C527" s="79"/>
      <c r="D527" s="79"/>
      <c r="E527" s="79"/>
      <c r="M527" s="79"/>
      <c r="R527" s="79"/>
      <c r="S527" s="79"/>
      <c r="V527" s="79"/>
      <c r="W527" s="79"/>
      <c r="Z527" s="130"/>
      <c r="AB527" s="106"/>
    </row>
    <row r="528">
      <c r="C528" s="79"/>
      <c r="D528" s="79"/>
      <c r="E528" s="79"/>
      <c r="M528" s="79"/>
      <c r="R528" s="79"/>
      <c r="S528" s="79"/>
      <c r="V528" s="79"/>
      <c r="W528" s="79"/>
      <c r="Z528" s="130"/>
      <c r="AB528" s="106"/>
    </row>
    <row r="529">
      <c r="C529" s="79"/>
      <c r="D529" s="79"/>
      <c r="E529" s="79"/>
      <c r="M529" s="79"/>
      <c r="R529" s="79"/>
      <c r="S529" s="79"/>
      <c r="V529" s="79"/>
      <c r="W529" s="79"/>
      <c r="Z529" s="130"/>
      <c r="AB529" s="106"/>
    </row>
    <row r="530">
      <c r="C530" s="79"/>
      <c r="D530" s="79"/>
      <c r="E530" s="79"/>
      <c r="M530" s="79"/>
      <c r="R530" s="79"/>
      <c r="S530" s="79"/>
      <c r="V530" s="79"/>
      <c r="W530" s="79"/>
      <c r="Z530" s="130"/>
      <c r="AB530" s="106"/>
    </row>
    <row r="531">
      <c r="C531" s="79"/>
      <c r="D531" s="79"/>
      <c r="E531" s="79"/>
      <c r="M531" s="79"/>
      <c r="R531" s="79"/>
      <c r="S531" s="79"/>
      <c r="V531" s="79"/>
      <c r="W531" s="79"/>
      <c r="Z531" s="130"/>
      <c r="AB531" s="106"/>
    </row>
    <row r="532">
      <c r="C532" s="79"/>
      <c r="D532" s="79"/>
      <c r="E532" s="79"/>
      <c r="M532" s="79"/>
      <c r="R532" s="79"/>
      <c r="S532" s="79"/>
      <c r="V532" s="79"/>
      <c r="W532" s="79"/>
      <c r="Z532" s="130"/>
      <c r="AB532" s="106"/>
    </row>
    <row r="533">
      <c r="C533" s="79"/>
      <c r="D533" s="79"/>
      <c r="E533" s="79"/>
      <c r="M533" s="79"/>
      <c r="R533" s="79"/>
      <c r="S533" s="79"/>
      <c r="V533" s="79"/>
      <c r="W533" s="79"/>
      <c r="Z533" s="130"/>
      <c r="AB533" s="106"/>
    </row>
    <row r="534">
      <c r="C534" s="79"/>
      <c r="D534" s="79"/>
      <c r="E534" s="79"/>
      <c r="M534" s="79"/>
      <c r="R534" s="79"/>
      <c r="S534" s="79"/>
      <c r="V534" s="79"/>
      <c r="W534" s="79"/>
      <c r="Z534" s="130"/>
      <c r="AB534" s="106"/>
    </row>
    <row r="535">
      <c r="C535" s="79"/>
      <c r="D535" s="79"/>
      <c r="E535" s="79"/>
      <c r="M535" s="79"/>
      <c r="R535" s="79"/>
      <c r="S535" s="79"/>
      <c r="V535" s="79"/>
      <c r="W535" s="79"/>
      <c r="Z535" s="130"/>
      <c r="AB535" s="106"/>
    </row>
    <row r="536">
      <c r="C536" s="79"/>
      <c r="D536" s="79"/>
      <c r="E536" s="79"/>
      <c r="M536" s="79"/>
      <c r="R536" s="79"/>
      <c r="S536" s="79"/>
      <c r="V536" s="79"/>
      <c r="W536" s="79"/>
      <c r="Z536" s="130"/>
      <c r="AB536" s="106"/>
    </row>
    <row r="537">
      <c r="C537" s="79"/>
      <c r="D537" s="79"/>
      <c r="E537" s="79"/>
      <c r="M537" s="79"/>
      <c r="R537" s="79"/>
      <c r="S537" s="79"/>
      <c r="V537" s="79"/>
      <c r="W537" s="79"/>
      <c r="Z537" s="130"/>
      <c r="AB537" s="106"/>
    </row>
    <row r="538">
      <c r="C538" s="79"/>
      <c r="D538" s="79"/>
      <c r="E538" s="79"/>
      <c r="M538" s="79"/>
      <c r="R538" s="79"/>
      <c r="S538" s="79"/>
      <c r="V538" s="79"/>
      <c r="W538" s="79"/>
      <c r="Z538" s="130"/>
      <c r="AB538" s="106"/>
    </row>
    <row r="539">
      <c r="C539" s="79"/>
      <c r="D539" s="79"/>
      <c r="E539" s="79"/>
      <c r="M539" s="79"/>
      <c r="R539" s="79"/>
      <c r="S539" s="79"/>
      <c r="V539" s="79"/>
      <c r="W539" s="79"/>
      <c r="Z539" s="130"/>
      <c r="AB539" s="106"/>
    </row>
    <row r="540">
      <c r="C540" s="79"/>
      <c r="D540" s="79"/>
      <c r="E540" s="79"/>
      <c r="M540" s="79"/>
      <c r="R540" s="79"/>
      <c r="S540" s="79"/>
      <c r="V540" s="79"/>
      <c r="W540" s="79"/>
      <c r="Z540" s="130"/>
      <c r="AB540" s="106"/>
    </row>
    <row r="541">
      <c r="C541" s="79"/>
      <c r="D541" s="79"/>
      <c r="E541" s="79"/>
      <c r="M541" s="79"/>
      <c r="R541" s="79"/>
      <c r="S541" s="79"/>
      <c r="V541" s="79"/>
      <c r="W541" s="79"/>
      <c r="Z541" s="130"/>
      <c r="AB541" s="106"/>
    </row>
    <row r="542">
      <c r="C542" s="79"/>
      <c r="D542" s="79"/>
      <c r="E542" s="79"/>
      <c r="M542" s="79"/>
      <c r="R542" s="79"/>
      <c r="S542" s="79"/>
      <c r="V542" s="79"/>
      <c r="W542" s="79"/>
      <c r="Z542" s="130"/>
      <c r="AB542" s="106"/>
    </row>
    <row r="543">
      <c r="C543" s="79"/>
      <c r="D543" s="79"/>
      <c r="E543" s="79"/>
      <c r="M543" s="79"/>
      <c r="R543" s="79"/>
      <c r="S543" s="79"/>
      <c r="V543" s="79"/>
      <c r="W543" s="79"/>
      <c r="Z543" s="130"/>
      <c r="AB543" s="106"/>
    </row>
    <row r="544">
      <c r="C544" s="79"/>
      <c r="D544" s="79"/>
      <c r="E544" s="79"/>
      <c r="M544" s="79"/>
      <c r="R544" s="79"/>
      <c r="S544" s="79"/>
      <c r="V544" s="79"/>
      <c r="W544" s="79"/>
      <c r="Z544" s="130"/>
      <c r="AB544" s="106"/>
    </row>
    <row r="545">
      <c r="C545" s="79"/>
      <c r="D545" s="79"/>
      <c r="E545" s="79"/>
      <c r="M545" s="79"/>
      <c r="R545" s="79"/>
      <c r="S545" s="79"/>
      <c r="V545" s="79"/>
      <c r="W545" s="79"/>
      <c r="Z545" s="130"/>
      <c r="AB545" s="106"/>
    </row>
    <row r="546">
      <c r="C546" s="79"/>
      <c r="D546" s="79"/>
      <c r="E546" s="79"/>
      <c r="M546" s="79"/>
      <c r="R546" s="79"/>
      <c r="S546" s="79"/>
      <c r="V546" s="79"/>
      <c r="W546" s="79"/>
      <c r="Z546" s="130"/>
      <c r="AB546" s="106"/>
    </row>
    <row r="547">
      <c r="C547" s="79"/>
      <c r="D547" s="79"/>
      <c r="E547" s="79"/>
      <c r="M547" s="79"/>
      <c r="R547" s="79"/>
      <c r="S547" s="79"/>
      <c r="V547" s="79"/>
      <c r="W547" s="79"/>
      <c r="Z547" s="130"/>
      <c r="AB547" s="106"/>
    </row>
    <row r="548">
      <c r="C548" s="79"/>
      <c r="D548" s="79"/>
      <c r="E548" s="79"/>
      <c r="M548" s="79"/>
      <c r="R548" s="79"/>
      <c r="S548" s="79"/>
      <c r="V548" s="79"/>
      <c r="W548" s="79"/>
      <c r="Z548" s="130"/>
      <c r="AB548" s="106"/>
    </row>
    <row r="549">
      <c r="C549" s="79"/>
      <c r="D549" s="79"/>
      <c r="E549" s="79"/>
      <c r="M549" s="79"/>
      <c r="R549" s="79"/>
      <c r="S549" s="79"/>
      <c r="V549" s="79"/>
      <c r="W549" s="79"/>
      <c r="Z549" s="130"/>
      <c r="AB549" s="106"/>
    </row>
    <row r="550">
      <c r="C550" s="79"/>
      <c r="D550" s="79"/>
      <c r="E550" s="79"/>
      <c r="M550" s="79"/>
      <c r="R550" s="79"/>
      <c r="S550" s="79"/>
      <c r="V550" s="79"/>
      <c r="W550" s="79"/>
      <c r="Z550" s="130"/>
      <c r="AB550" s="106"/>
    </row>
    <row r="551">
      <c r="C551" s="79"/>
      <c r="D551" s="79"/>
      <c r="E551" s="79"/>
      <c r="M551" s="79"/>
      <c r="R551" s="79"/>
      <c r="S551" s="79"/>
      <c r="V551" s="79"/>
      <c r="W551" s="79"/>
      <c r="Z551" s="130"/>
      <c r="AB551" s="106"/>
    </row>
    <row r="552">
      <c r="C552" s="79"/>
      <c r="D552" s="79"/>
      <c r="E552" s="79"/>
      <c r="M552" s="79"/>
      <c r="R552" s="79"/>
      <c r="S552" s="79"/>
      <c r="V552" s="79"/>
      <c r="W552" s="79"/>
      <c r="Z552" s="130"/>
      <c r="AB552" s="106"/>
    </row>
    <row r="553">
      <c r="C553" s="79"/>
      <c r="D553" s="79"/>
      <c r="E553" s="79"/>
      <c r="M553" s="79"/>
      <c r="R553" s="79"/>
      <c r="S553" s="79"/>
      <c r="V553" s="79"/>
      <c r="W553" s="79"/>
      <c r="Z553" s="130"/>
      <c r="AB553" s="106"/>
    </row>
    <row r="554">
      <c r="C554" s="79"/>
      <c r="D554" s="79"/>
      <c r="E554" s="79"/>
      <c r="M554" s="79"/>
      <c r="R554" s="79"/>
      <c r="S554" s="79"/>
      <c r="V554" s="79"/>
      <c r="W554" s="79"/>
      <c r="Z554" s="130"/>
      <c r="AB554" s="106"/>
    </row>
    <row r="555">
      <c r="C555" s="79"/>
      <c r="D555" s="79"/>
      <c r="E555" s="79"/>
      <c r="M555" s="79"/>
      <c r="R555" s="79"/>
      <c r="S555" s="79"/>
      <c r="V555" s="79"/>
      <c r="W555" s="79"/>
      <c r="Z555" s="130"/>
      <c r="AB555" s="106"/>
    </row>
    <row r="556">
      <c r="C556" s="79"/>
      <c r="D556" s="79"/>
      <c r="E556" s="79"/>
      <c r="M556" s="79"/>
      <c r="R556" s="79"/>
      <c r="S556" s="79"/>
      <c r="V556" s="79"/>
      <c r="W556" s="79"/>
      <c r="Z556" s="130"/>
      <c r="AB556" s="106"/>
    </row>
    <row r="557">
      <c r="C557" s="79"/>
      <c r="D557" s="79"/>
      <c r="E557" s="79"/>
      <c r="M557" s="79"/>
      <c r="R557" s="79"/>
      <c r="S557" s="79"/>
      <c r="V557" s="79"/>
      <c r="W557" s="79"/>
      <c r="Z557" s="130"/>
      <c r="AB557" s="106"/>
    </row>
    <row r="558">
      <c r="C558" s="79"/>
      <c r="D558" s="79"/>
      <c r="E558" s="79"/>
      <c r="M558" s="79"/>
      <c r="R558" s="79"/>
      <c r="S558" s="79"/>
      <c r="V558" s="79"/>
      <c r="W558" s="79"/>
      <c r="Z558" s="130"/>
      <c r="AB558" s="106"/>
    </row>
    <row r="559">
      <c r="C559" s="79"/>
      <c r="D559" s="79"/>
      <c r="E559" s="79"/>
      <c r="M559" s="79"/>
      <c r="R559" s="79"/>
      <c r="S559" s="79"/>
      <c r="V559" s="79"/>
      <c r="W559" s="79"/>
      <c r="Z559" s="130"/>
      <c r="AB559" s="106"/>
    </row>
    <row r="560">
      <c r="C560" s="79"/>
      <c r="D560" s="79"/>
      <c r="E560" s="79"/>
      <c r="M560" s="79"/>
      <c r="R560" s="79"/>
      <c r="S560" s="79"/>
      <c r="V560" s="79"/>
      <c r="W560" s="79"/>
      <c r="Z560" s="130"/>
      <c r="AB560" s="106"/>
    </row>
    <row r="561">
      <c r="C561" s="79"/>
      <c r="D561" s="79"/>
      <c r="E561" s="79"/>
      <c r="M561" s="79"/>
      <c r="R561" s="79"/>
      <c r="S561" s="79"/>
      <c r="V561" s="79"/>
      <c r="W561" s="79"/>
      <c r="Z561" s="130"/>
      <c r="AB561" s="106"/>
    </row>
    <row r="562">
      <c r="C562" s="79"/>
      <c r="D562" s="79"/>
      <c r="E562" s="79"/>
      <c r="M562" s="79"/>
      <c r="R562" s="79"/>
      <c r="S562" s="79"/>
      <c r="V562" s="79"/>
      <c r="W562" s="79"/>
      <c r="Z562" s="130"/>
      <c r="AB562" s="106"/>
    </row>
    <row r="563">
      <c r="C563" s="79"/>
      <c r="D563" s="79"/>
      <c r="E563" s="79"/>
      <c r="M563" s="79"/>
      <c r="R563" s="79"/>
      <c r="S563" s="79"/>
      <c r="V563" s="79"/>
      <c r="W563" s="79"/>
      <c r="Z563" s="130"/>
      <c r="AB563" s="106"/>
    </row>
    <row r="564">
      <c r="C564" s="79"/>
      <c r="D564" s="79"/>
      <c r="E564" s="79"/>
      <c r="M564" s="79"/>
      <c r="R564" s="79"/>
      <c r="S564" s="79"/>
      <c r="V564" s="79"/>
      <c r="W564" s="79"/>
      <c r="Z564" s="130"/>
      <c r="AB564" s="106"/>
    </row>
    <row r="565">
      <c r="C565" s="79"/>
      <c r="D565" s="79"/>
      <c r="E565" s="79"/>
      <c r="M565" s="79"/>
      <c r="R565" s="79"/>
      <c r="S565" s="79"/>
      <c r="V565" s="79"/>
      <c r="W565" s="79"/>
      <c r="Z565" s="130"/>
      <c r="AB565" s="106"/>
    </row>
    <row r="566">
      <c r="C566" s="79"/>
      <c r="D566" s="79"/>
      <c r="E566" s="79"/>
      <c r="M566" s="79"/>
      <c r="R566" s="79"/>
      <c r="S566" s="79"/>
      <c r="V566" s="79"/>
      <c r="W566" s="79"/>
      <c r="Z566" s="130"/>
      <c r="AB566" s="106"/>
    </row>
    <row r="567">
      <c r="C567" s="79"/>
      <c r="D567" s="79"/>
      <c r="E567" s="79"/>
      <c r="M567" s="79"/>
      <c r="R567" s="79"/>
      <c r="S567" s="79"/>
      <c r="V567" s="79"/>
      <c r="W567" s="79"/>
      <c r="Z567" s="130"/>
      <c r="AB567" s="106"/>
    </row>
    <row r="568">
      <c r="C568" s="79"/>
      <c r="D568" s="79"/>
      <c r="E568" s="79"/>
      <c r="M568" s="79"/>
      <c r="R568" s="79"/>
      <c r="S568" s="79"/>
      <c r="V568" s="79"/>
      <c r="W568" s="79"/>
      <c r="Z568" s="130"/>
      <c r="AB568" s="106"/>
    </row>
    <row r="569">
      <c r="C569" s="79"/>
      <c r="D569" s="79"/>
      <c r="E569" s="79"/>
      <c r="M569" s="79"/>
      <c r="R569" s="79"/>
      <c r="S569" s="79"/>
      <c r="V569" s="79"/>
      <c r="W569" s="79"/>
      <c r="Z569" s="130"/>
      <c r="AB569" s="106"/>
    </row>
    <row r="570">
      <c r="C570" s="79"/>
      <c r="D570" s="79"/>
      <c r="E570" s="79"/>
      <c r="M570" s="79"/>
      <c r="R570" s="79"/>
      <c r="S570" s="79"/>
      <c r="V570" s="79"/>
      <c r="W570" s="79"/>
      <c r="Z570" s="130"/>
      <c r="AB570" s="106"/>
    </row>
    <row r="571">
      <c r="C571" s="79"/>
      <c r="D571" s="79"/>
      <c r="E571" s="79"/>
      <c r="M571" s="79"/>
      <c r="R571" s="79"/>
      <c r="S571" s="79"/>
      <c r="V571" s="79"/>
      <c r="W571" s="79"/>
      <c r="Z571" s="130"/>
      <c r="AB571" s="106"/>
    </row>
    <row r="572">
      <c r="C572" s="79"/>
      <c r="D572" s="79"/>
      <c r="E572" s="79"/>
      <c r="M572" s="79"/>
      <c r="R572" s="79"/>
      <c r="S572" s="79"/>
      <c r="V572" s="79"/>
      <c r="W572" s="79"/>
      <c r="Z572" s="130"/>
      <c r="AB572" s="106"/>
    </row>
    <row r="573">
      <c r="C573" s="79"/>
      <c r="D573" s="79"/>
      <c r="E573" s="79"/>
      <c r="M573" s="79"/>
      <c r="R573" s="79"/>
      <c r="S573" s="79"/>
      <c r="V573" s="79"/>
      <c r="W573" s="79"/>
      <c r="Z573" s="130"/>
      <c r="AB573" s="106"/>
    </row>
    <row r="574">
      <c r="C574" s="79"/>
      <c r="D574" s="79"/>
      <c r="E574" s="79"/>
      <c r="M574" s="79"/>
      <c r="R574" s="79"/>
      <c r="S574" s="79"/>
      <c r="V574" s="79"/>
      <c r="W574" s="79"/>
      <c r="Z574" s="130"/>
      <c r="AB574" s="106"/>
    </row>
    <row r="575">
      <c r="C575" s="79"/>
      <c r="D575" s="79"/>
      <c r="E575" s="79"/>
      <c r="M575" s="79"/>
      <c r="R575" s="79"/>
      <c r="S575" s="79"/>
      <c r="V575" s="79"/>
      <c r="W575" s="79"/>
      <c r="Z575" s="130"/>
      <c r="AB575" s="106"/>
    </row>
    <row r="576">
      <c r="C576" s="79"/>
      <c r="D576" s="79"/>
      <c r="E576" s="79"/>
      <c r="M576" s="79"/>
      <c r="R576" s="79"/>
      <c r="S576" s="79"/>
      <c r="V576" s="79"/>
      <c r="W576" s="79"/>
      <c r="Z576" s="130"/>
      <c r="AB576" s="106"/>
    </row>
    <row r="577">
      <c r="C577" s="79"/>
      <c r="D577" s="79"/>
      <c r="E577" s="79"/>
      <c r="M577" s="79"/>
      <c r="R577" s="79"/>
      <c r="S577" s="79"/>
      <c r="V577" s="79"/>
      <c r="W577" s="79"/>
      <c r="Z577" s="130"/>
      <c r="AB577" s="106"/>
    </row>
    <row r="578">
      <c r="C578" s="79"/>
      <c r="D578" s="79"/>
      <c r="E578" s="79"/>
      <c r="M578" s="79"/>
      <c r="R578" s="79"/>
      <c r="S578" s="79"/>
      <c r="V578" s="79"/>
      <c r="W578" s="79"/>
      <c r="Z578" s="130"/>
      <c r="AB578" s="106"/>
    </row>
    <row r="579">
      <c r="C579" s="79"/>
      <c r="D579" s="79"/>
      <c r="E579" s="79"/>
      <c r="M579" s="79"/>
      <c r="R579" s="79"/>
      <c r="S579" s="79"/>
      <c r="V579" s="79"/>
      <c r="W579" s="79"/>
      <c r="Z579" s="130"/>
      <c r="AB579" s="106"/>
    </row>
    <row r="580">
      <c r="C580" s="79"/>
      <c r="D580" s="79"/>
      <c r="E580" s="79"/>
      <c r="M580" s="79"/>
      <c r="R580" s="79"/>
      <c r="S580" s="79"/>
      <c r="V580" s="79"/>
      <c r="W580" s="79"/>
      <c r="Z580" s="130"/>
      <c r="AB580" s="106"/>
    </row>
    <row r="581">
      <c r="C581" s="79"/>
      <c r="D581" s="79"/>
      <c r="E581" s="79"/>
      <c r="M581" s="79"/>
      <c r="R581" s="79"/>
      <c r="S581" s="79"/>
      <c r="V581" s="79"/>
      <c r="W581" s="79"/>
      <c r="Z581" s="130"/>
      <c r="AB581" s="106"/>
    </row>
    <row r="582">
      <c r="C582" s="79"/>
      <c r="D582" s="79"/>
      <c r="E582" s="79"/>
      <c r="M582" s="79"/>
      <c r="R582" s="79"/>
      <c r="S582" s="79"/>
      <c r="V582" s="79"/>
      <c r="W582" s="79"/>
      <c r="Z582" s="130"/>
      <c r="AB582" s="106"/>
    </row>
    <row r="583">
      <c r="C583" s="79"/>
      <c r="D583" s="79"/>
      <c r="E583" s="79"/>
      <c r="M583" s="79"/>
      <c r="R583" s="79"/>
      <c r="S583" s="79"/>
      <c r="V583" s="79"/>
      <c r="W583" s="79"/>
      <c r="Z583" s="130"/>
      <c r="AB583" s="106"/>
    </row>
    <row r="584">
      <c r="C584" s="79"/>
      <c r="D584" s="79"/>
      <c r="E584" s="79"/>
      <c r="M584" s="79"/>
      <c r="R584" s="79"/>
      <c r="S584" s="79"/>
      <c r="V584" s="79"/>
      <c r="W584" s="79"/>
      <c r="Z584" s="130"/>
      <c r="AB584" s="106"/>
    </row>
    <row r="585">
      <c r="C585" s="79"/>
      <c r="D585" s="79"/>
      <c r="E585" s="79"/>
      <c r="M585" s="79"/>
      <c r="R585" s="79"/>
      <c r="S585" s="79"/>
      <c r="V585" s="79"/>
      <c r="W585" s="79"/>
      <c r="Z585" s="130"/>
      <c r="AB585" s="106"/>
    </row>
    <row r="586">
      <c r="C586" s="79"/>
      <c r="D586" s="79"/>
      <c r="E586" s="79"/>
      <c r="M586" s="79"/>
      <c r="R586" s="79"/>
      <c r="S586" s="79"/>
      <c r="V586" s="79"/>
      <c r="W586" s="79"/>
      <c r="Z586" s="130"/>
      <c r="AB586" s="106"/>
    </row>
    <row r="587">
      <c r="C587" s="79"/>
      <c r="D587" s="79"/>
      <c r="E587" s="79"/>
      <c r="M587" s="79"/>
      <c r="R587" s="79"/>
      <c r="S587" s="79"/>
      <c r="V587" s="79"/>
      <c r="W587" s="79"/>
      <c r="Z587" s="130"/>
      <c r="AB587" s="106"/>
    </row>
    <row r="588">
      <c r="C588" s="79"/>
      <c r="D588" s="79"/>
      <c r="E588" s="79"/>
      <c r="M588" s="79"/>
      <c r="R588" s="79"/>
      <c r="S588" s="79"/>
      <c r="V588" s="79"/>
      <c r="W588" s="79"/>
      <c r="Z588" s="130"/>
      <c r="AB588" s="106"/>
    </row>
    <row r="589">
      <c r="C589" s="79"/>
      <c r="D589" s="79"/>
      <c r="E589" s="79"/>
      <c r="M589" s="79"/>
      <c r="R589" s="79"/>
      <c r="S589" s="79"/>
      <c r="V589" s="79"/>
      <c r="W589" s="79"/>
      <c r="Z589" s="130"/>
      <c r="AB589" s="106"/>
    </row>
    <row r="590">
      <c r="C590" s="79"/>
      <c r="D590" s="79"/>
      <c r="E590" s="79"/>
      <c r="M590" s="79"/>
      <c r="R590" s="79"/>
      <c r="S590" s="79"/>
      <c r="V590" s="79"/>
      <c r="W590" s="79"/>
      <c r="Z590" s="130"/>
      <c r="AB590" s="106"/>
    </row>
    <row r="591">
      <c r="C591" s="79"/>
      <c r="D591" s="79"/>
      <c r="E591" s="79"/>
      <c r="M591" s="79"/>
      <c r="R591" s="79"/>
      <c r="S591" s="79"/>
      <c r="V591" s="79"/>
      <c r="W591" s="79"/>
      <c r="Z591" s="130"/>
      <c r="AB591" s="106"/>
    </row>
    <row r="592">
      <c r="C592" s="79"/>
      <c r="D592" s="79"/>
      <c r="E592" s="79"/>
      <c r="M592" s="79"/>
      <c r="R592" s="79"/>
      <c r="S592" s="79"/>
      <c r="V592" s="79"/>
      <c r="W592" s="79"/>
      <c r="Z592" s="130"/>
      <c r="AB592" s="106"/>
    </row>
    <row r="593">
      <c r="C593" s="79"/>
      <c r="D593" s="79"/>
      <c r="E593" s="79"/>
      <c r="M593" s="79"/>
      <c r="R593" s="79"/>
      <c r="S593" s="79"/>
      <c r="V593" s="79"/>
      <c r="W593" s="79"/>
      <c r="Z593" s="130"/>
      <c r="AB593" s="106"/>
    </row>
    <row r="594">
      <c r="C594" s="79"/>
      <c r="D594" s="79"/>
      <c r="E594" s="79"/>
      <c r="M594" s="79"/>
      <c r="R594" s="79"/>
      <c r="S594" s="79"/>
      <c r="V594" s="79"/>
      <c r="W594" s="79"/>
      <c r="Z594" s="130"/>
      <c r="AB594" s="106"/>
    </row>
    <row r="595">
      <c r="C595" s="79"/>
      <c r="D595" s="79"/>
      <c r="E595" s="79"/>
      <c r="M595" s="79"/>
      <c r="R595" s="79"/>
      <c r="S595" s="79"/>
      <c r="V595" s="79"/>
      <c r="W595" s="79"/>
      <c r="Z595" s="130"/>
      <c r="AB595" s="106"/>
    </row>
    <row r="596">
      <c r="C596" s="79"/>
      <c r="D596" s="79"/>
      <c r="E596" s="79"/>
      <c r="M596" s="79"/>
      <c r="R596" s="79"/>
      <c r="S596" s="79"/>
      <c r="V596" s="79"/>
      <c r="W596" s="79"/>
      <c r="Z596" s="130"/>
      <c r="AB596" s="106"/>
    </row>
    <row r="597">
      <c r="C597" s="79"/>
      <c r="D597" s="79"/>
      <c r="E597" s="79"/>
      <c r="M597" s="79"/>
      <c r="R597" s="79"/>
      <c r="S597" s="79"/>
      <c r="V597" s="79"/>
      <c r="W597" s="79"/>
      <c r="Z597" s="130"/>
      <c r="AB597" s="106"/>
    </row>
    <row r="598">
      <c r="C598" s="79"/>
      <c r="D598" s="79"/>
      <c r="E598" s="79"/>
      <c r="M598" s="79"/>
      <c r="R598" s="79"/>
      <c r="S598" s="79"/>
      <c r="V598" s="79"/>
      <c r="W598" s="79"/>
      <c r="Z598" s="130"/>
      <c r="AB598" s="106"/>
    </row>
    <row r="599">
      <c r="C599" s="79"/>
      <c r="D599" s="79"/>
      <c r="E599" s="79"/>
      <c r="M599" s="79"/>
      <c r="R599" s="79"/>
      <c r="S599" s="79"/>
      <c r="V599" s="79"/>
      <c r="W599" s="79"/>
      <c r="Z599" s="130"/>
      <c r="AB599" s="106"/>
    </row>
    <row r="600">
      <c r="C600" s="79"/>
      <c r="D600" s="79"/>
      <c r="E600" s="79"/>
      <c r="M600" s="79"/>
      <c r="R600" s="79"/>
      <c r="S600" s="79"/>
      <c r="V600" s="79"/>
      <c r="W600" s="79"/>
      <c r="Z600" s="130"/>
      <c r="AB600" s="106"/>
    </row>
    <row r="601">
      <c r="C601" s="79"/>
      <c r="D601" s="79"/>
      <c r="E601" s="79"/>
      <c r="M601" s="79"/>
      <c r="R601" s="79"/>
      <c r="S601" s="79"/>
      <c r="V601" s="79"/>
      <c r="W601" s="79"/>
      <c r="Z601" s="130"/>
      <c r="AB601" s="106"/>
    </row>
    <row r="602">
      <c r="C602" s="79"/>
      <c r="D602" s="79"/>
      <c r="E602" s="79"/>
      <c r="M602" s="79"/>
      <c r="R602" s="79"/>
      <c r="S602" s="79"/>
      <c r="V602" s="79"/>
      <c r="W602" s="79"/>
      <c r="Z602" s="130"/>
      <c r="AB602" s="106"/>
    </row>
    <row r="603">
      <c r="C603" s="79"/>
      <c r="D603" s="79"/>
      <c r="E603" s="79"/>
      <c r="M603" s="79"/>
      <c r="R603" s="79"/>
      <c r="S603" s="79"/>
      <c r="V603" s="79"/>
      <c r="W603" s="79"/>
      <c r="Z603" s="130"/>
      <c r="AB603" s="106"/>
    </row>
    <row r="604">
      <c r="C604" s="79"/>
      <c r="D604" s="79"/>
      <c r="E604" s="79"/>
      <c r="M604" s="79"/>
      <c r="R604" s="79"/>
      <c r="S604" s="79"/>
      <c r="V604" s="79"/>
      <c r="W604" s="79"/>
      <c r="Z604" s="130"/>
      <c r="AB604" s="106"/>
    </row>
    <row r="605">
      <c r="C605" s="79"/>
      <c r="D605" s="79"/>
      <c r="E605" s="79"/>
      <c r="M605" s="79"/>
      <c r="R605" s="79"/>
      <c r="S605" s="79"/>
      <c r="V605" s="79"/>
      <c r="W605" s="79"/>
      <c r="Z605" s="130"/>
      <c r="AB605" s="106"/>
    </row>
    <row r="606">
      <c r="C606" s="79"/>
      <c r="D606" s="79"/>
      <c r="E606" s="79"/>
      <c r="M606" s="79"/>
      <c r="R606" s="79"/>
      <c r="S606" s="79"/>
      <c r="V606" s="79"/>
      <c r="W606" s="79"/>
      <c r="Z606" s="130"/>
      <c r="AB606" s="106"/>
    </row>
    <row r="607">
      <c r="C607" s="79"/>
      <c r="D607" s="79"/>
      <c r="E607" s="79"/>
      <c r="M607" s="79"/>
      <c r="R607" s="79"/>
      <c r="S607" s="79"/>
      <c r="V607" s="79"/>
      <c r="W607" s="79"/>
      <c r="Z607" s="130"/>
      <c r="AB607" s="106"/>
    </row>
    <row r="608">
      <c r="C608" s="79"/>
      <c r="D608" s="79"/>
      <c r="E608" s="79"/>
      <c r="M608" s="79"/>
      <c r="R608" s="79"/>
      <c r="S608" s="79"/>
      <c r="V608" s="79"/>
      <c r="W608" s="79"/>
      <c r="Z608" s="130"/>
      <c r="AB608" s="106"/>
    </row>
    <row r="609">
      <c r="C609" s="79"/>
      <c r="D609" s="79"/>
      <c r="E609" s="79"/>
      <c r="M609" s="79"/>
      <c r="R609" s="79"/>
      <c r="S609" s="79"/>
      <c r="V609" s="79"/>
      <c r="W609" s="79"/>
      <c r="Z609" s="130"/>
      <c r="AB609" s="106"/>
    </row>
    <row r="610">
      <c r="C610" s="79"/>
      <c r="D610" s="79"/>
      <c r="E610" s="79"/>
      <c r="M610" s="79"/>
      <c r="R610" s="79"/>
      <c r="S610" s="79"/>
      <c r="V610" s="79"/>
      <c r="W610" s="79"/>
      <c r="Z610" s="130"/>
      <c r="AB610" s="106"/>
    </row>
    <row r="611">
      <c r="C611" s="79"/>
      <c r="D611" s="79"/>
      <c r="E611" s="79"/>
      <c r="M611" s="79"/>
      <c r="R611" s="79"/>
      <c r="S611" s="79"/>
      <c r="V611" s="79"/>
      <c r="W611" s="79"/>
      <c r="Z611" s="130"/>
      <c r="AB611" s="106"/>
    </row>
    <row r="612">
      <c r="C612" s="79"/>
      <c r="D612" s="79"/>
      <c r="E612" s="79"/>
      <c r="M612" s="79"/>
      <c r="R612" s="79"/>
      <c r="S612" s="79"/>
      <c r="V612" s="79"/>
      <c r="W612" s="79"/>
      <c r="Z612" s="130"/>
      <c r="AB612" s="106"/>
    </row>
    <row r="613">
      <c r="C613" s="79"/>
      <c r="D613" s="79"/>
      <c r="E613" s="79"/>
      <c r="M613" s="79"/>
      <c r="R613" s="79"/>
      <c r="S613" s="79"/>
      <c r="V613" s="79"/>
      <c r="W613" s="79"/>
      <c r="Z613" s="130"/>
      <c r="AB613" s="106"/>
    </row>
    <row r="614">
      <c r="C614" s="79"/>
      <c r="D614" s="79"/>
      <c r="E614" s="79"/>
      <c r="M614" s="79"/>
      <c r="R614" s="79"/>
      <c r="S614" s="79"/>
      <c r="V614" s="79"/>
      <c r="W614" s="79"/>
      <c r="Z614" s="130"/>
      <c r="AB614" s="106"/>
    </row>
    <row r="615">
      <c r="C615" s="79"/>
      <c r="D615" s="79"/>
      <c r="E615" s="79"/>
      <c r="M615" s="79"/>
      <c r="R615" s="79"/>
      <c r="S615" s="79"/>
      <c r="V615" s="79"/>
      <c r="W615" s="79"/>
      <c r="Z615" s="130"/>
      <c r="AB615" s="106"/>
    </row>
    <row r="616">
      <c r="C616" s="79"/>
      <c r="D616" s="79"/>
      <c r="E616" s="79"/>
      <c r="M616" s="79"/>
      <c r="R616" s="79"/>
      <c r="S616" s="79"/>
      <c r="V616" s="79"/>
      <c r="W616" s="79"/>
      <c r="Z616" s="130"/>
      <c r="AB616" s="106"/>
    </row>
    <row r="617">
      <c r="C617" s="79"/>
      <c r="D617" s="79"/>
      <c r="E617" s="79"/>
      <c r="M617" s="79"/>
      <c r="R617" s="79"/>
      <c r="S617" s="79"/>
      <c r="V617" s="79"/>
      <c r="W617" s="79"/>
      <c r="Z617" s="130"/>
      <c r="AB617" s="106"/>
    </row>
    <row r="618">
      <c r="C618" s="79"/>
      <c r="D618" s="79"/>
      <c r="E618" s="79"/>
      <c r="M618" s="79"/>
      <c r="R618" s="79"/>
      <c r="S618" s="79"/>
      <c r="V618" s="79"/>
      <c r="W618" s="79"/>
      <c r="Z618" s="130"/>
      <c r="AB618" s="106"/>
    </row>
    <row r="619">
      <c r="C619" s="79"/>
      <c r="D619" s="79"/>
      <c r="E619" s="79"/>
      <c r="M619" s="79"/>
      <c r="R619" s="79"/>
      <c r="S619" s="79"/>
      <c r="V619" s="79"/>
      <c r="W619" s="79"/>
      <c r="Z619" s="130"/>
      <c r="AB619" s="106"/>
    </row>
    <row r="620">
      <c r="C620" s="79"/>
      <c r="D620" s="79"/>
      <c r="E620" s="79"/>
      <c r="M620" s="79"/>
      <c r="R620" s="79"/>
      <c r="S620" s="79"/>
      <c r="V620" s="79"/>
      <c r="W620" s="79"/>
      <c r="Z620" s="130"/>
      <c r="AB620" s="106"/>
    </row>
    <row r="621">
      <c r="C621" s="79"/>
      <c r="D621" s="79"/>
      <c r="E621" s="79"/>
      <c r="M621" s="79"/>
      <c r="R621" s="79"/>
      <c r="S621" s="79"/>
      <c r="V621" s="79"/>
      <c r="W621" s="79"/>
      <c r="Z621" s="130"/>
      <c r="AB621" s="106"/>
    </row>
    <row r="622">
      <c r="C622" s="79"/>
      <c r="D622" s="79"/>
      <c r="E622" s="79"/>
      <c r="M622" s="79"/>
      <c r="R622" s="79"/>
      <c r="S622" s="79"/>
      <c r="V622" s="79"/>
      <c r="W622" s="79"/>
      <c r="Z622" s="130"/>
      <c r="AB622" s="106"/>
    </row>
    <row r="623">
      <c r="C623" s="79"/>
      <c r="D623" s="79"/>
      <c r="E623" s="79"/>
      <c r="M623" s="79"/>
      <c r="R623" s="79"/>
      <c r="S623" s="79"/>
      <c r="V623" s="79"/>
      <c r="W623" s="79"/>
      <c r="Z623" s="130"/>
      <c r="AB623" s="106"/>
    </row>
    <row r="624">
      <c r="C624" s="79"/>
      <c r="D624" s="79"/>
      <c r="E624" s="79"/>
      <c r="M624" s="79"/>
      <c r="R624" s="79"/>
      <c r="S624" s="79"/>
      <c r="V624" s="79"/>
      <c r="W624" s="79"/>
      <c r="Z624" s="130"/>
      <c r="AB624" s="106"/>
    </row>
    <row r="625">
      <c r="C625" s="79"/>
      <c r="D625" s="79"/>
      <c r="E625" s="79"/>
      <c r="M625" s="79"/>
      <c r="R625" s="79"/>
      <c r="S625" s="79"/>
      <c r="V625" s="79"/>
      <c r="W625" s="79"/>
      <c r="Z625" s="130"/>
      <c r="AB625" s="106"/>
    </row>
    <row r="626">
      <c r="C626" s="79"/>
      <c r="D626" s="79"/>
      <c r="E626" s="79"/>
      <c r="M626" s="79"/>
      <c r="R626" s="79"/>
      <c r="S626" s="79"/>
      <c r="V626" s="79"/>
      <c r="W626" s="79"/>
      <c r="Z626" s="130"/>
      <c r="AB626" s="106"/>
    </row>
    <row r="627">
      <c r="C627" s="79"/>
      <c r="D627" s="79"/>
      <c r="E627" s="79"/>
      <c r="M627" s="79"/>
      <c r="R627" s="79"/>
      <c r="S627" s="79"/>
      <c r="V627" s="79"/>
      <c r="W627" s="79"/>
      <c r="Z627" s="130"/>
      <c r="AB627" s="106"/>
    </row>
    <row r="628">
      <c r="C628" s="79"/>
      <c r="D628" s="79"/>
      <c r="E628" s="79"/>
      <c r="M628" s="79"/>
      <c r="R628" s="79"/>
      <c r="S628" s="79"/>
      <c r="V628" s="79"/>
      <c r="W628" s="79"/>
      <c r="Z628" s="130"/>
      <c r="AB628" s="106"/>
    </row>
    <row r="629">
      <c r="C629" s="79"/>
      <c r="D629" s="79"/>
      <c r="E629" s="79"/>
      <c r="M629" s="79"/>
      <c r="R629" s="79"/>
      <c r="S629" s="79"/>
      <c r="V629" s="79"/>
      <c r="W629" s="79"/>
      <c r="Z629" s="130"/>
      <c r="AB629" s="106"/>
    </row>
    <row r="630">
      <c r="C630" s="79"/>
      <c r="D630" s="79"/>
      <c r="E630" s="79"/>
      <c r="M630" s="79"/>
      <c r="R630" s="79"/>
      <c r="S630" s="79"/>
      <c r="V630" s="79"/>
      <c r="W630" s="79"/>
      <c r="Z630" s="130"/>
      <c r="AB630" s="106"/>
    </row>
    <row r="631">
      <c r="C631" s="79"/>
      <c r="D631" s="79"/>
      <c r="E631" s="79"/>
      <c r="M631" s="79"/>
      <c r="R631" s="79"/>
      <c r="S631" s="79"/>
      <c r="V631" s="79"/>
      <c r="W631" s="79"/>
      <c r="Z631" s="130"/>
      <c r="AB631" s="106"/>
    </row>
    <row r="632">
      <c r="C632" s="79"/>
      <c r="D632" s="79"/>
      <c r="E632" s="79"/>
      <c r="M632" s="79"/>
      <c r="R632" s="79"/>
      <c r="S632" s="79"/>
      <c r="V632" s="79"/>
      <c r="W632" s="79"/>
      <c r="Z632" s="130"/>
      <c r="AB632" s="106"/>
    </row>
    <row r="633">
      <c r="C633" s="79"/>
      <c r="D633" s="79"/>
      <c r="E633" s="79"/>
      <c r="M633" s="79"/>
      <c r="R633" s="79"/>
      <c r="S633" s="79"/>
      <c r="V633" s="79"/>
      <c r="W633" s="79"/>
      <c r="Z633" s="130"/>
      <c r="AB633" s="106"/>
    </row>
    <row r="634">
      <c r="C634" s="79"/>
      <c r="D634" s="79"/>
      <c r="E634" s="79"/>
      <c r="M634" s="79"/>
      <c r="R634" s="79"/>
      <c r="S634" s="79"/>
      <c r="V634" s="79"/>
      <c r="W634" s="79"/>
      <c r="Z634" s="130"/>
      <c r="AB634" s="106"/>
    </row>
    <row r="635">
      <c r="C635" s="79"/>
      <c r="D635" s="79"/>
      <c r="E635" s="79"/>
      <c r="M635" s="79"/>
      <c r="R635" s="79"/>
      <c r="S635" s="79"/>
      <c r="V635" s="79"/>
      <c r="W635" s="79"/>
      <c r="Z635" s="130"/>
      <c r="AB635" s="106"/>
    </row>
    <row r="636">
      <c r="C636" s="79"/>
      <c r="D636" s="79"/>
      <c r="E636" s="79"/>
      <c r="M636" s="79"/>
      <c r="R636" s="79"/>
      <c r="S636" s="79"/>
      <c r="V636" s="79"/>
      <c r="W636" s="79"/>
      <c r="Z636" s="130"/>
      <c r="AB636" s="106"/>
    </row>
    <row r="637">
      <c r="C637" s="79"/>
      <c r="D637" s="79"/>
      <c r="E637" s="79"/>
      <c r="M637" s="79"/>
      <c r="R637" s="79"/>
      <c r="S637" s="79"/>
      <c r="V637" s="79"/>
      <c r="W637" s="79"/>
      <c r="Z637" s="130"/>
      <c r="AB637" s="106"/>
    </row>
    <row r="638">
      <c r="C638" s="79"/>
      <c r="D638" s="79"/>
      <c r="E638" s="79"/>
      <c r="M638" s="79"/>
      <c r="R638" s="79"/>
      <c r="S638" s="79"/>
      <c r="V638" s="79"/>
      <c r="W638" s="79"/>
      <c r="Z638" s="130"/>
      <c r="AB638" s="106"/>
    </row>
    <row r="639">
      <c r="C639" s="79"/>
      <c r="D639" s="79"/>
      <c r="E639" s="79"/>
      <c r="M639" s="79"/>
      <c r="R639" s="79"/>
      <c r="S639" s="79"/>
      <c r="V639" s="79"/>
      <c r="W639" s="79"/>
      <c r="Z639" s="130"/>
      <c r="AB639" s="106"/>
    </row>
    <row r="640">
      <c r="C640" s="79"/>
      <c r="D640" s="79"/>
      <c r="E640" s="79"/>
      <c r="M640" s="79"/>
      <c r="R640" s="79"/>
      <c r="S640" s="79"/>
      <c r="V640" s="79"/>
      <c r="W640" s="79"/>
      <c r="Z640" s="130"/>
      <c r="AB640" s="106"/>
    </row>
    <row r="641">
      <c r="C641" s="79"/>
      <c r="D641" s="79"/>
      <c r="E641" s="79"/>
      <c r="M641" s="79"/>
      <c r="R641" s="79"/>
      <c r="S641" s="79"/>
      <c r="V641" s="79"/>
      <c r="W641" s="79"/>
      <c r="Z641" s="130"/>
      <c r="AB641" s="106"/>
    </row>
    <row r="642">
      <c r="C642" s="79"/>
      <c r="D642" s="79"/>
      <c r="E642" s="79"/>
      <c r="M642" s="79"/>
      <c r="R642" s="79"/>
      <c r="S642" s="79"/>
      <c r="V642" s="79"/>
      <c r="W642" s="79"/>
      <c r="Z642" s="130"/>
      <c r="AB642" s="106"/>
    </row>
    <row r="643">
      <c r="C643" s="79"/>
      <c r="D643" s="79"/>
      <c r="E643" s="79"/>
      <c r="M643" s="79"/>
      <c r="R643" s="79"/>
      <c r="S643" s="79"/>
      <c r="V643" s="79"/>
      <c r="W643" s="79"/>
      <c r="Z643" s="130"/>
      <c r="AB643" s="106"/>
    </row>
    <row r="644">
      <c r="C644" s="79"/>
      <c r="D644" s="79"/>
      <c r="E644" s="79"/>
      <c r="M644" s="79"/>
      <c r="R644" s="79"/>
      <c r="S644" s="79"/>
      <c r="V644" s="79"/>
      <c r="W644" s="79"/>
      <c r="Z644" s="130"/>
      <c r="AB644" s="106"/>
    </row>
    <row r="645">
      <c r="C645" s="79"/>
      <c r="D645" s="79"/>
      <c r="E645" s="79"/>
      <c r="M645" s="79"/>
      <c r="R645" s="79"/>
      <c r="S645" s="79"/>
      <c r="V645" s="79"/>
      <c r="W645" s="79"/>
      <c r="Z645" s="130"/>
      <c r="AB645" s="106"/>
    </row>
    <row r="646">
      <c r="C646" s="79"/>
      <c r="D646" s="79"/>
      <c r="E646" s="79"/>
      <c r="M646" s="79"/>
      <c r="R646" s="79"/>
      <c r="S646" s="79"/>
      <c r="V646" s="79"/>
      <c r="W646" s="79"/>
      <c r="Z646" s="130"/>
      <c r="AB646" s="106"/>
    </row>
    <row r="647">
      <c r="C647" s="79"/>
      <c r="D647" s="79"/>
      <c r="E647" s="79"/>
      <c r="M647" s="79"/>
      <c r="R647" s="79"/>
      <c r="S647" s="79"/>
      <c r="V647" s="79"/>
      <c r="W647" s="79"/>
      <c r="Z647" s="130"/>
      <c r="AB647" s="106"/>
    </row>
    <row r="648">
      <c r="C648" s="79"/>
      <c r="D648" s="79"/>
      <c r="E648" s="79"/>
      <c r="M648" s="79"/>
      <c r="R648" s="79"/>
      <c r="S648" s="79"/>
      <c r="V648" s="79"/>
      <c r="W648" s="79"/>
      <c r="Z648" s="130"/>
      <c r="AB648" s="106"/>
    </row>
    <row r="649">
      <c r="C649" s="79"/>
      <c r="D649" s="79"/>
      <c r="E649" s="79"/>
      <c r="M649" s="79"/>
      <c r="R649" s="79"/>
      <c r="S649" s="79"/>
      <c r="V649" s="79"/>
      <c r="W649" s="79"/>
      <c r="Z649" s="130"/>
      <c r="AB649" s="106"/>
    </row>
    <row r="650">
      <c r="C650" s="79"/>
      <c r="D650" s="79"/>
      <c r="E650" s="79"/>
      <c r="M650" s="79"/>
      <c r="R650" s="79"/>
      <c r="S650" s="79"/>
      <c r="V650" s="79"/>
      <c r="W650" s="79"/>
      <c r="Z650" s="130"/>
      <c r="AB650" s="106"/>
    </row>
    <row r="651">
      <c r="C651" s="79"/>
      <c r="D651" s="79"/>
      <c r="E651" s="79"/>
      <c r="M651" s="79"/>
      <c r="R651" s="79"/>
      <c r="S651" s="79"/>
      <c r="V651" s="79"/>
      <c r="W651" s="79"/>
      <c r="Z651" s="130"/>
      <c r="AB651" s="106"/>
    </row>
    <row r="652">
      <c r="C652" s="79"/>
      <c r="D652" s="79"/>
      <c r="E652" s="79"/>
      <c r="M652" s="79"/>
      <c r="R652" s="79"/>
      <c r="S652" s="79"/>
      <c r="V652" s="79"/>
      <c r="W652" s="79"/>
      <c r="Z652" s="130"/>
      <c r="AB652" s="106"/>
    </row>
    <row r="653">
      <c r="C653" s="79"/>
      <c r="D653" s="79"/>
      <c r="E653" s="79"/>
      <c r="M653" s="79"/>
      <c r="R653" s="79"/>
      <c r="S653" s="79"/>
      <c r="V653" s="79"/>
      <c r="W653" s="79"/>
      <c r="Z653" s="130"/>
      <c r="AB653" s="106"/>
    </row>
    <row r="654">
      <c r="C654" s="79"/>
      <c r="D654" s="79"/>
      <c r="E654" s="79"/>
      <c r="M654" s="79"/>
      <c r="R654" s="79"/>
      <c r="S654" s="79"/>
      <c r="V654" s="79"/>
      <c r="W654" s="79"/>
      <c r="Z654" s="130"/>
      <c r="AB654" s="106"/>
    </row>
    <row r="655">
      <c r="C655" s="79"/>
      <c r="D655" s="79"/>
      <c r="E655" s="79"/>
      <c r="M655" s="79"/>
      <c r="R655" s="79"/>
      <c r="S655" s="79"/>
      <c r="V655" s="79"/>
      <c r="W655" s="79"/>
      <c r="Z655" s="130"/>
      <c r="AB655" s="106"/>
    </row>
    <row r="656">
      <c r="C656" s="79"/>
      <c r="D656" s="79"/>
      <c r="E656" s="79"/>
      <c r="M656" s="79"/>
      <c r="R656" s="79"/>
      <c r="S656" s="79"/>
      <c r="V656" s="79"/>
      <c r="W656" s="79"/>
      <c r="Z656" s="130"/>
      <c r="AB656" s="106"/>
    </row>
    <row r="657">
      <c r="C657" s="79"/>
      <c r="D657" s="79"/>
      <c r="E657" s="79"/>
      <c r="M657" s="79"/>
      <c r="R657" s="79"/>
      <c r="S657" s="79"/>
      <c r="V657" s="79"/>
      <c r="W657" s="79"/>
      <c r="Z657" s="130"/>
      <c r="AB657" s="106"/>
    </row>
    <row r="658">
      <c r="C658" s="79"/>
      <c r="D658" s="79"/>
      <c r="E658" s="79"/>
      <c r="M658" s="79"/>
      <c r="R658" s="79"/>
      <c r="S658" s="79"/>
      <c r="V658" s="79"/>
      <c r="W658" s="79"/>
      <c r="Z658" s="130"/>
      <c r="AB658" s="106"/>
    </row>
    <row r="659">
      <c r="C659" s="79"/>
      <c r="D659" s="79"/>
      <c r="E659" s="79"/>
      <c r="M659" s="79"/>
      <c r="R659" s="79"/>
      <c r="S659" s="79"/>
      <c r="V659" s="79"/>
      <c r="W659" s="79"/>
      <c r="Z659" s="130"/>
      <c r="AB659" s="106"/>
    </row>
    <row r="660">
      <c r="C660" s="79"/>
      <c r="D660" s="79"/>
      <c r="E660" s="79"/>
      <c r="M660" s="79"/>
      <c r="R660" s="79"/>
      <c r="S660" s="79"/>
      <c r="V660" s="79"/>
      <c r="W660" s="79"/>
      <c r="Z660" s="130"/>
      <c r="AB660" s="106"/>
    </row>
    <row r="661">
      <c r="C661" s="79"/>
      <c r="D661" s="79"/>
      <c r="E661" s="79"/>
      <c r="M661" s="79"/>
      <c r="R661" s="79"/>
      <c r="S661" s="79"/>
      <c r="V661" s="79"/>
      <c r="W661" s="79"/>
      <c r="Z661" s="130"/>
      <c r="AB661" s="106"/>
    </row>
    <row r="662">
      <c r="C662" s="79"/>
      <c r="D662" s="79"/>
      <c r="E662" s="79"/>
      <c r="M662" s="79"/>
      <c r="R662" s="79"/>
      <c r="S662" s="79"/>
      <c r="V662" s="79"/>
      <c r="W662" s="79"/>
      <c r="Z662" s="130"/>
      <c r="AB662" s="106"/>
    </row>
    <row r="663">
      <c r="C663" s="79"/>
      <c r="D663" s="79"/>
      <c r="E663" s="79"/>
      <c r="M663" s="79"/>
      <c r="R663" s="79"/>
      <c r="S663" s="79"/>
      <c r="V663" s="79"/>
      <c r="W663" s="79"/>
      <c r="Z663" s="130"/>
      <c r="AB663" s="106"/>
    </row>
    <row r="664">
      <c r="C664" s="79"/>
      <c r="D664" s="79"/>
      <c r="E664" s="79"/>
      <c r="M664" s="79"/>
      <c r="R664" s="79"/>
      <c r="S664" s="79"/>
      <c r="V664" s="79"/>
      <c r="W664" s="79"/>
      <c r="Z664" s="130"/>
      <c r="AB664" s="106"/>
    </row>
    <row r="665">
      <c r="C665" s="79"/>
      <c r="D665" s="79"/>
      <c r="E665" s="79"/>
      <c r="M665" s="79"/>
      <c r="R665" s="79"/>
      <c r="S665" s="79"/>
      <c r="V665" s="79"/>
      <c r="W665" s="79"/>
      <c r="Z665" s="130"/>
      <c r="AB665" s="106"/>
    </row>
    <row r="666">
      <c r="C666" s="79"/>
      <c r="D666" s="79"/>
      <c r="E666" s="79"/>
      <c r="M666" s="79"/>
      <c r="R666" s="79"/>
      <c r="S666" s="79"/>
      <c r="V666" s="79"/>
      <c r="W666" s="79"/>
      <c r="Z666" s="130"/>
      <c r="AB666" s="106"/>
    </row>
    <row r="667">
      <c r="C667" s="79"/>
      <c r="D667" s="79"/>
      <c r="E667" s="79"/>
      <c r="M667" s="79"/>
      <c r="R667" s="79"/>
      <c r="S667" s="79"/>
      <c r="V667" s="79"/>
      <c r="W667" s="79"/>
      <c r="Z667" s="130"/>
      <c r="AB667" s="106"/>
    </row>
    <row r="668">
      <c r="C668" s="79"/>
      <c r="D668" s="79"/>
      <c r="E668" s="79"/>
      <c r="M668" s="79"/>
      <c r="R668" s="79"/>
      <c r="S668" s="79"/>
      <c r="V668" s="79"/>
      <c r="W668" s="79"/>
      <c r="Z668" s="130"/>
      <c r="AB668" s="106"/>
    </row>
    <row r="669">
      <c r="C669" s="79"/>
      <c r="D669" s="79"/>
      <c r="E669" s="79"/>
      <c r="M669" s="79"/>
      <c r="R669" s="79"/>
      <c r="S669" s="79"/>
      <c r="V669" s="79"/>
      <c r="W669" s="79"/>
      <c r="Z669" s="130"/>
      <c r="AB669" s="106"/>
    </row>
    <row r="670">
      <c r="C670" s="79"/>
      <c r="D670" s="79"/>
      <c r="E670" s="79"/>
      <c r="M670" s="79"/>
      <c r="R670" s="79"/>
      <c r="S670" s="79"/>
      <c r="V670" s="79"/>
      <c r="W670" s="79"/>
      <c r="Z670" s="130"/>
      <c r="AB670" s="106"/>
    </row>
    <row r="671">
      <c r="C671" s="79"/>
      <c r="D671" s="79"/>
      <c r="E671" s="79"/>
      <c r="M671" s="79"/>
      <c r="R671" s="79"/>
      <c r="S671" s="79"/>
      <c r="V671" s="79"/>
      <c r="W671" s="79"/>
      <c r="Z671" s="130"/>
      <c r="AB671" s="106"/>
    </row>
    <row r="672">
      <c r="C672" s="79"/>
      <c r="D672" s="79"/>
      <c r="E672" s="79"/>
      <c r="M672" s="79"/>
      <c r="R672" s="79"/>
      <c r="S672" s="79"/>
      <c r="V672" s="79"/>
      <c r="W672" s="79"/>
      <c r="Z672" s="130"/>
      <c r="AB672" s="106"/>
    </row>
    <row r="673">
      <c r="C673" s="79"/>
      <c r="D673" s="79"/>
      <c r="E673" s="79"/>
      <c r="M673" s="79"/>
      <c r="R673" s="79"/>
      <c r="S673" s="79"/>
      <c r="V673" s="79"/>
      <c r="W673" s="79"/>
      <c r="Z673" s="130"/>
      <c r="AB673" s="106"/>
    </row>
    <row r="674">
      <c r="C674" s="79"/>
      <c r="D674" s="79"/>
      <c r="E674" s="79"/>
      <c r="M674" s="79"/>
      <c r="R674" s="79"/>
      <c r="S674" s="79"/>
      <c r="V674" s="79"/>
      <c r="W674" s="79"/>
      <c r="Z674" s="130"/>
      <c r="AB674" s="106"/>
    </row>
    <row r="675">
      <c r="C675" s="79"/>
      <c r="D675" s="79"/>
      <c r="E675" s="79"/>
      <c r="M675" s="79"/>
      <c r="R675" s="79"/>
      <c r="S675" s="79"/>
      <c r="V675" s="79"/>
      <c r="W675" s="79"/>
      <c r="Z675" s="130"/>
      <c r="AB675" s="106"/>
    </row>
    <row r="676">
      <c r="C676" s="79"/>
      <c r="D676" s="79"/>
      <c r="E676" s="79"/>
      <c r="M676" s="79"/>
      <c r="R676" s="79"/>
      <c r="S676" s="79"/>
      <c r="V676" s="79"/>
      <c r="W676" s="79"/>
      <c r="Z676" s="130"/>
      <c r="AB676" s="106"/>
    </row>
    <row r="677">
      <c r="C677" s="79"/>
      <c r="D677" s="79"/>
      <c r="E677" s="79"/>
      <c r="M677" s="79"/>
      <c r="R677" s="79"/>
      <c r="S677" s="79"/>
      <c r="V677" s="79"/>
      <c r="W677" s="79"/>
      <c r="Z677" s="130"/>
      <c r="AB677" s="106"/>
    </row>
    <row r="678">
      <c r="C678" s="79"/>
      <c r="D678" s="79"/>
      <c r="E678" s="79"/>
      <c r="M678" s="79"/>
      <c r="R678" s="79"/>
      <c r="S678" s="79"/>
      <c r="V678" s="79"/>
      <c r="W678" s="79"/>
      <c r="Z678" s="130"/>
      <c r="AB678" s="106"/>
    </row>
    <row r="679">
      <c r="C679" s="79"/>
      <c r="D679" s="79"/>
      <c r="E679" s="79"/>
      <c r="M679" s="79"/>
      <c r="R679" s="79"/>
      <c r="S679" s="79"/>
      <c r="V679" s="79"/>
      <c r="W679" s="79"/>
      <c r="Z679" s="130"/>
      <c r="AB679" s="106"/>
    </row>
    <row r="680">
      <c r="C680" s="79"/>
      <c r="D680" s="79"/>
      <c r="E680" s="79"/>
      <c r="M680" s="79"/>
      <c r="R680" s="79"/>
      <c r="S680" s="79"/>
      <c r="V680" s="79"/>
      <c r="W680" s="79"/>
      <c r="Z680" s="130"/>
      <c r="AB680" s="106"/>
    </row>
    <row r="681">
      <c r="C681" s="79"/>
      <c r="D681" s="79"/>
      <c r="E681" s="79"/>
      <c r="M681" s="79"/>
      <c r="R681" s="79"/>
      <c r="S681" s="79"/>
      <c r="V681" s="79"/>
      <c r="W681" s="79"/>
      <c r="Z681" s="130"/>
      <c r="AB681" s="106"/>
    </row>
    <row r="682">
      <c r="C682" s="79"/>
      <c r="D682" s="79"/>
      <c r="E682" s="79"/>
      <c r="M682" s="79"/>
      <c r="R682" s="79"/>
      <c r="S682" s="79"/>
      <c r="V682" s="79"/>
      <c r="W682" s="79"/>
      <c r="Z682" s="130"/>
      <c r="AB682" s="106"/>
    </row>
    <row r="683">
      <c r="C683" s="79"/>
      <c r="D683" s="79"/>
      <c r="E683" s="79"/>
      <c r="M683" s="79"/>
      <c r="R683" s="79"/>
      <c r="S683" s="79"/>
      <c r="V683" s="79"/>
      <c r="W683" s="79"/>
      <c r="Z683" s="130"/>
      <c r="AB683" s="106"/>
    </row>
    <row r="684">
      <c r="C684" s="79"/>
      <c r="D684" s="79"/>
      <c r="E684" s="79"/>
      <c r="M684" s="79"/>
      <c r="R684" s="79"/>
      <c r="S684" s="79"/>
      <c r="V684" s="79"/>
      <c r="W684" s="79"/>
      <c r="Z684" s="130"/>
      <c r="AB684" s="106"/>
    </row>
    <row r="685">
      <c r="C685" s="79"/>
      <c r="D685" s="79"/>
      <c r="E685" s="79"/>
      <c r="M685" s="79"/>
      <c r="R685" s="79"/>
      <c r="S685" s="79"/>
      <c r="V685" s="79"/>
      <c r="W685" s="79"/>
      <c r="Z685" s="130"/>
      <c r="AB685" s="106"/>
    </row>
    <row r="686">
      <c r="C686" s="79"/>
      <c r="D686" s="79"/>
      <c r="E686" s="79"/>
      <c r="M686" s="79"/>
      <c r="R686" s="79"/>
      <c r="S686" s="79"/>
      <c r="V686" s="79"/>
      <c r="W686" s="79"/>
      <c r="Z686" s="130"/>
      <c r="AB686" s="106"/>
    </row>
    <row r="687">
      <c r="C687" s="79"/>
      <c r="D687" s="79"/>
      <c r="E687" s="79"/>
      <c r="M687" s="79"/>
      <c r="R687" s="79"/>
      <c r="S687" s="79"/>
      <c r="V687" s="79"/>
      <c r="W687" s="79"/>
      <c r="Z687" s="130"/>
      <c r="AB687" s="106"/>
    </row>
    <row r="688">
      <c r="C688" s="79"/>
      <c r="D688" s="79"/>
      <c r="E688" s="79"/>
      <c r="M688" s="79"/>
      <c r="R688" s="79"/>
      <c r="S688" s="79"/>
      <c r="V688" s="79"/>
      <c r="W688" s="79"/>
      <c r="Z688" s="130"/>
      <c r="AB688" s="106"/>
    </row>
    <row r="689">
      <c r="C689" s="79"/>
      <c r="D689" s="79"/>
      <c r="E689" s="79"/>
      <c r="M689" s="79"/>
      <c r="R689" s="79"/>
      <c r="S689" s="79"/>
      <c r="V689" s="79"/>
      <c r="W689" s="79"/>
      <c r="Z689" s="130"/>
      <c r="AB689" s="106"/>
    </row>
    <row r="690">
      <c r="C690" s="79"/>
      <c r="D690" s="79"/>
      <c r="E690" s="79"/>
      <c r="M690" s="79"/>
      <c r="R690" s="79"/>
      <c r="S690" s="79"/>
      <c r="V690" s="79"/>
      <c r="W690" s="79"/>
      <c r="Z690" s="130"/>
      <c r="AB690" s="106"/>
    </row>
    <row r="691">
      <c r="C691" s="79"/>
      <c r="D691" s="79"/>
      <c r="E691" s="79"/>
      <c r="M691" s="79"/>
      <c r="R691" s="79"/>
      <c r="S691" s="79"/>
      <c r="V691" s="79"/>
      <c r="W691" s="79"/>
      <c r="Z691" s="130"/>
      <c r="AB691" s="106"/>
    </row>
    <row r="692">
      <c r="C692" s="79"/>
      <c r="D692" s="79"/>
      <c r="E692" s="79"/>
      <c r="M692" s="79"/>
      <c r="R692" s="79"/>
      <c r="S692" s="79"/>
      <c r="V692" s="79"/>
      <c r="W692" s="79"/>
      <c r="Z692" s="130"/>
      <c r="AB692" s="106"/>
    </row>
    <row r="693">
      <c r="C693" s="79"/>
      <c r="D693" s="79"/>
      <c r="E693" s="79"/>
      <c r="M693" s="79"/>
      <c r="R693" s="79"/>
      <c r="S693" s="79"/>
      <c r="V693" s="79"/>
      <c r="W693" s="79"/>
      <c r="Z693" s="130"/>
      <c r="AB693" s="106"/>
    </row>
    <row r="694">
      <c r="C694" s="79"/>
      <c r="D694" s="79"/>
      <c r="E694" s="79"/>
      <c r="M694" s="79"/>
      <c r="R694" s="79"/>
      <c r="S694" s="79"/>
      <c r="V694" s="79"/>
      <c r="W694" s="79"/>
      <c r="Z694" s="130"/>
      <c r="AB694" s="106"/>
    </row>
    <row r="695">
      <c r="C695" s="79"/>
      <c r="D695" s="79"/>
      <c r="E695" s="79"/>
      <c r="M695" s="79"/>
      <c r="R695" s="79"/>
      <c r="S695" s="79"/>
      <c r="V695" s="79"/>
      <c r="W695" s="79"/>
      <c r="Z695" s="130"/>
      <c r="AB695" s="106"/>
    </row>
    <row r="696">
      <c r="C696" s="79"/>
      <c r="D696" s="79"/>
      <c r="E696" s="79"/>
      <c r="M696" s="79"/>
      <c r="R696" s="79"/>
      <c r="S696" s="79"/>
      <c r="V696" s="79"/>
      <c r="W696" s="79"/>
      <c r="Z696" s="130"/>
      <c r="AB696" s="106"/>
    </row>
    <row r="697">
      <c r="C697" s="79"/>
      <c r="D697" s="79"/>
      <c r="E697" s="79"/>
      <c r="M697" s="79"/>
      <c r="R697" s="79"/>
      <c r="S697" s="79"/>
      <c r="V697" s="79"/>
      <c r="W697" s="79"/>
      <c r="Z697" s="130"/>
      <c r="AB697" s="106"/>
    </row>
    <row r="698">
      <c r="C698" s="79"/>
      <c r="D698" s="79"/>
      <c r="E698" s="79"/>
      <c r="M698" s="79"/>
      <c r="R698" s="79"/>
      <c r="S698" s="79"/>
      <c r="V698" s="79"/>
      <c r="W698" s="79"/>
      <c r="Z698" s="130"/>
      <c r="AB698" s="106"/>
    </row>
    <row r="699">
      <c r="C699" s="79"/>
      <c r="D699" s="79"/>
      <c r="E699" s="79"/>
      <c r="M699" s="79"/>
      <c r="R699" s="79"/>
      <c r="S699" s="79"/>
      <c r="V699" s="79"/>
      <c r="W699" s="79"/>
      <c r="Z699" s="130"/>
      <c r="AB699" s="106"/>
    </row>
    <row r="700">
      <c r="C700" s="79"/>
      <c r="D700" s="79"/>
      <c r="E700" s="79"/>
      <c r="M700" s="79"/>
      <c r="R700" s="79"/>
      <c r="S700" s="79"/>
      <c r="V700" s="79"/>
      <c r="W700" s="79"/>
      <c r="Z700" s="130"/>
      <c r="AB700" s="106"/>
    </row>
    <row r="701">
      <c r="C701" s="79"/>
      <c r="D701" s="79"/>
      <c r="E701" s="79"/>
      <c r="M701" s="79"/>
      <c r="R701" s="79"/>
      <c r="S701" s="79"/>
      <c r="V701" s="79"/>
      <c r="W701" s="79"/>
      <c r="Z701" s="130"/>
      <c r="AB701" s="106"/>
    </row>
    <row r="702">
      <c r="C702" s="79"/>
      <c r="D702" s="79"/>
      <c r="E702" s="79"/>
      <c r="M702" s="79"/>
      <c r="R702" s="79"/>
      <c r="S702" s="79"/>
      <c r="V702" s="79"/>
      <c r="W702" s="79"/>
      <c r="Z702" s="130"/>
      <c r="AB702" s="106"/>
    </row>
    <row r="703">
      <c r="C703" s="79"/>
      <c r="D703" s="79"/>
      <c r="E703" s="79"/>
      <c r="M703" s="79"/>
      <c r="R703" s="79"/>
      <c r="S703" s="79"/>
      <c r="V703" s="79"/>
      <c r="W703" s="79"/>
      <c r="Z703" s="130"/>
      <c r="AB703" s="106"/>
    </row>
    <row r="704">
      <c r="C704" s="79"/>
      <c r="D704" s="79"/>
      <c r="E704" s="79"/>
      <c r="M704" s="79"/>
      <c r="R704" s="79"/>
      <c r="S704" s="79"/>
      <c r="V704" s="79"/>
      <c r="W704" s="79"/>
      <c r="Z704" s="130"/>
      <c r="AB704" s="106"/>
    </row>
    <row r="705">
      <c r="C705" s="79"/>
      <c r="D705" s="79"/>
      <c r="E705" s="79"/>
      <c r="M705" s="79"/>
      <c r="R705" s="79"/>
      <c r="S705" s="79"/>
      <c r="V705" s="79"/>
      <c r="W705" s="79"/>
      <c r="Z705" s="130"/>
      <c r="AB705" s="106"/>
    </row>
    <row r="706">
      <c r="C706" s="79"/>
      <c r="D706" s="79"/>
      <c r="E706" s="79"/>
      <c r="M706" s="79"/>
      <c r="R706" s="79"/>
      <c r="S706" s="79"/>
      <c r="V706" s="79"/>
      <c r="W706" s="79"/>
      <c r="Z706" s="130"/>
      <c r="AB706" s="106"/>
    </row>
    <row r="707">
      <c r="C707" s="79"/>
      <c r="D707" s="79"/>
      <c r="E707" s="79"/>
      <c r="M707" s="79"/>
      <c r="R707" s="79"/>
      <c r="S707" s="79"/>
      <c r="V707" s="79"/>
      <c r="W707" s="79"/>
      <c r="Z707" s="130"/>
      <c r="AB707" s="106"/>
    </row>
    <row r="708">
      <c r="C708" s="79"/>
      <c r="D708" s="79"/>
      <c r="E708" s="79"/>
      <c r="M708" s="79"/>
      <c r="R708" s="79"/>
      <c r="S708" s="79"/>
      <c r="V708" s="79"/>
      <c r="W708" s="79"/>
      <c r="Z708" s="130"/>
      <c r="AB708" s="106"/>
    </row>
    <row r="709">
      <c r="C709" s="79"/>
      <c r="D709" s="79"/>
      <c r="E709" s="79"/>
      <c r="M709" s="79"/>
      <c r="R709" s="79"/>
      <c r="S709" s="79"/>
      <c r="V709" s="79"/>
      <c r="W709" s="79"/>
      <c r="Z709" s="130"/>
      <c r="AB709" s="106"/>
    </row>
    <row r="710">
      <c r="C710" s="79"/>
      <c r="D710" s="79"/>
      <c r="E710" s="79"/>
      <c r="M710" s="79"/>
      <c r="R710" s="79"/>
      <c r="S710" s="79"/>
      <c r="V710" s="79"/>
      <c r="W710" s="79"/>
      <c r="Z710" s="130"/>
      <c r="AB710" s="106"/>
    </row>
    <row r="711">
      <c r="C711" s="79"/>
      <c r="D711" s="79"/>
      <c r="E711" s="79"/>
      <c r="M711" s="79"/>
      <c r="R711" s="79"/>
      <c r="S711" s="79"/>
      <c r="V711" s="79"/>
      <c r="W711" s="79"/>
      <c r="Z711" s="130"/>
      <c r="AB711" s="106"/>
    </row>
    <row r="712">
      <c r="C712" s="79"/>
      <c r="D712" s="79"/>
      <c r="E712" s="79"/>
      <c r="M712" s="79"/>
      <c r="R712" s="79"/>
      <c r="S712" s="79"/>
      <c r="V712" s="79"/>
      <c r="W712" s="79"/>
      <c r="Z712" s="130"/>
      <c r="AB712" s="106"/>
    </row>
    <row r="713">
      <c r="C713" s="79"/>
      <c r="D713" s="79"/>
      <c r="E713" s="79"/>
      <c r="M713" s="79"/>
      <c r="R713" s="79"/>
      <c r="S713" s="79"/>
      <c r="V713" s="79"/>
      <c r="W713" s="79"/>
      <c r="Z713" s="130"/>
      <c r="AB713" s="106"/>
    </row>
    <row r="714">
      <c r="C714" s="79"/>
      <c r="D714" s="79"/>
      <c r="E714" s="79"/>
      <c r="M714" s="79"/>
      <c r="R714" s="79"/>
      <c r="S714" s="79"/>
      <c r="V714" s="79"/>
      <c r="W714" s="79"/>
      <c r="Z714" s="130"/>
      <c r="AB714" s="106"/>
    </row>
    <row r="715">
      <c r="C715" s="79"/>
      <c r="D715" s="79"/>
      <c r="E715" s="79"/>
      <c r="M715" s="79"/>
      <c r="R715" s="79"/>
      <c r="S715" s="79"/>
      <c r="V715" s="79"/>
      <c r="W715" s="79"/>
      <c r="Z715" s="130"/>
      <c r="AB715" s="106"/>
    </row>
    <row r="716">
      <c r="C716" s="79"/>
      <c r="D716" s="79"/>
      <c r="E716" s="79"/>
      <c r="M716" s="79"/>
      <c r="R716" s="79"/>
      <c r="S716" s="79"/>
      <c r="V716" s="79"/>
      <c r="W716" s="79"/>
      <c r="Z716" s="130"/>
      <c r="AB716" s="106"/>
    </row>
    <row r="717">
      <c r="C717" s="79"/>
      <c r="D717" s="79"/>
      <c r="E717" s="79"/>
      <c r="M717" s="79"/>
      <c r="R717" s="79"/>
      <c r="S717" s="79"/>
      <c r="V717" s="79"/>
      <c r="W717" s="79"/>
      <c r="Z717" s="130"/>
      <c r="AB717" s="106"/>
    </row>
    <row r="718">
      <c r="C718" s="79"/>
      <c r="D718" s="79"/>
      <c r="E718" s="79"/>
      <c r="M718" s="79"/>
      <c r="R718" s="79"/>
      <c r="S718" s="79"/>
      <c r="V718" s="79"/>
      <c r="W718" s="79"/>
      <c r="Z718" s="130"/>
      <c r="AB718" s="106"/>
    </row>
    <row r="719">
      <c r="C719" s="79"/>
      <c r="D719" s="79"/>
      <c r="E719" s="79"/>
      <c r="M719" s="79"/>
      <c r="R719" s="79"/>
      <c r="S719" s="79"/>
      <c r="V719" s="79"/>
      <c r="W719" s="79"/>
      <c r="Z719" s="130"/>
      <c r="AB719" s="106"/>
    </row>
    <row r="720">
      <c r="C720" s="79"/>
      <c r="D720" s="79"/>
      <c r="E720" s="79"/>
      <c r="M720" s="79"/>
      <c r="R720" s="79"/>
      <c r="S720" s="79"/>
      <c r="V720" s="79"/>
      <c r="W720" s="79"/>
      <c r="Z720" s="130"/>
      <c r="AB720" s="106"/>
    </row>
    <row r="721">
      <c r="C721" s="79"/>
      <c r="D721" s="79"/>
      <c r="E721" s="79"/>
      <c r="M721" s="79"/>
      <c r="R721" s="79"/>
      <c r="S721" s="79"/>
      <c r="V721" s="79"/>
      <c r="W721" s="79"/>
      <c r="Z721" s="130"/>
      <c r="AB721" s="106"/>
    </row>
    <row r="722">
      <c r="C722" s="79"/>
      <c r="D722" s="79"/>
      <c r="E722" s="79"/>
      <c r="M722" s="79"/>
      <c r="R722" s="79"/>
      <c r="S722" s="79"/>
      <c r="V722" s="79"/>
      <c r="W722" s="79"/>
      <c r="Z722" s="130"/>
      <c r="AB722" s="106"/>
    </row>
    <row r="723">
      <c r="C723" s="79"/>
      <c r="D723" s="79"/>
      <c r="E723" s="79"/>
      <c r="M723" s="79"/>
      <c r="R723" s="79"/>
      <c r="S723" s="79"/>
      <c r="V723" s="79"/>
      <c r="W723" s="79"/>
      <c r="Z723" s="130"/>
      <c r="AB723" s="106"/>
    </row>
    <row r="724">
      <c r="C724" s="79"/>
      <c r="D724" s="79"/>
      <c r="E724" s="79"/>
      <c r="M724" s="79"/>
      <c r="R724" s="79"/>
      <c r="S724" s="79"/>
      <c r="V724" s="79"/>
      <c r="W724" s="79"/>
      <c r="Z724" s="130"/>
      <c r="AB724" s="106"/>
    </row>
    <row r="725">
      <c r="C725" s="79"/>
      <c r="D725" s="79"/>
      <c r="E725" s="79"/>
      <c r="M725" s="79"/>
      <c r="R725" s="79"/>
      <c r="S725" s="79"/>
      <c r="V725" s="79"/>
      <c r="W725" s="79"/>
      <c r="Z725" s="130"/>
      <c r="AB725" s="106"/>
    </row>
    <row r="726">
      <c r="C726" s="79"/>
      <c r="D726" s="79"/>
      <c r="E726" s="79"/>
      <c r="M726" s="79"/>
      <c r="R726" s="79"/>
      <c r="S726" s="79"/>
      <c r="V726" s="79"/>
      <c r="W726" s="79"/>
      <c r="Z726" s="130"/>
      <c r="AB726" s="106"/>
    </row>
    <row r="727">
      <c r="C727" s="79"/>
      <c r="D727" s="79"/>
      <c r="E727" s="79"/>
      <c r="M727" s="79"/>
      <c r="R727" s="79"/>
      <c r="S727" s="79"/>
      <c r="V727" s="79"/>
      <c r="W727" s="79"/>
      <c r="Z727" s="130"/>
      <c r="AB727" s="106"/>
    </row>
    <row r="728">
      <c r="C728" s="79"/>
      <c r="D728" s="79"/>
      <c r="E728" s="79"/>
      <c r="M728" s="79"/>
      <c r="R728" s="79"/>
      <c r="S728" s="79"/>
      <c r="V728" s="79"/>
      <c r="W728" s="79"/>
      <c r="Z728" s="130"/>
      <c r="AB728" s="106"/>
    </row>
    <row r="729">
      <c r="C729" s="79"/>
      <c r="D729" s="79"/>
      <c r="E729" s="79"/>
      <c r="M729" s="79"/>
      <c r="R729" s="79"/>
      <c r="S729" s="79"/>
      <c r="V729" s="79"/>
      <c r="W729" s="79"/>
      <c r="Z729" s="130"/>
      <c r="AB729" s="106"/>
    </row>
    <row r="730">
      <c r="C730" s="79"/>
      <c r="D730" s="79"/>
      <c r="E730" s="79"/>
      <c r="M730" s="79"/>
      <c r="R730" s="79"/>
      <c r="S730" s="79"/>
      <c r="V730" s="79"/>
      <c r="W730" s="79"/>
      <c r="Z730" s="130"/>
      <c r="AB730" s="106"/>
    </row>
    <row r="731">
      <c r="C731" s="79"/>
      <c r="D731" s="79"/>
      <c r="E731" s="79"/>
      <c r="M731" s="79"/>
      <c r="R731" s="79"/>
      <c r="S731" s="79"/>
      <c r="V731" s="79"/>
      <c r="W731" s="79"/>
      <c r="Z731" s="130"/>
      <c r="AB731" s="106"/>
    </row>
    <row r="732">
      <c r="C732" s="79"/>
      <c r="D732" s="79"/>
      <c r="E732" s="79"/>
      <c r="M732" s="79"/>
      <c r="R732" s="79"/>
      <c r="S732" s="79"/>
      <c r="V732" s="79"/>
      <c r="W732" s="79"/>
      <c r="Z732" s="130"/>
      <c r="AB732" s="106"/>
    </row>
    <row r="733">
      <c r="C733" s="79"/>
      <c r="D733" s="79"/>
      <c r="E733" s="79"/>
      <c r="M733" s="79"/>
      <c r="R733" s="79"/>
      <c r="S733" s="79"/>
      <c r="V733" s="79"/>
      <c r="W733" s="79"/>
      <c r="Z733" s="130"/>
      <c r="AB733" s="106"/>
    </row>
    <row r="734">
      <c r="C734" s="79"/>
      <c r="D734" s="79"/>
      <c r="E734" s="79"/>
      <c r="M734" s="79"/>
      <c r="R734" s="79"/>
      <c r="S734" s="79"/>
      <c r="V734" s="79"/>
      <c r="W734" s="79"/>
      <c r="Z734" s="130"/>
      <c r="AB734" s="106"/>
    </row>
    <row r="735">
      <c r="C735" s="79"/>
      <c r="D735" s="79"/>
      <c r="E735" s="79"/>
      <c r="M735" s="79"/>
      <c r="R735" s="79"/>
      <c r="S735" s="79"/>
      <c r="V735" s="79"/>
      <c r="W735" s="79"/>
      <c r="Z735" s="130"/>
      <c r="AB735" s="106"/>
    </row>
    <row r="736">
      <c r="C736" s="79"/>
      <c r="D736" s="79"/>
      <c r="E736" s="79"/>
      <c r="M736" s="79"/>
      <c r="R736" s="79"/>
      <c r="S736" s="79"/>
      <c r="V736" s="79"/>
      <c r="W736" s="79"/>
      <c r="Z736" s="130"/>
      <c r="AB736" s="106"/>
    </row>
    <row r="737">
      <c r="C737" s="79"/>
      <c r="D737" s="79"/>
      <c r="E737" s="79"/>
      <c r="M737" s="79"/>
      <c r="R737" s="79"/>
      <c r="S737" s="79"/>
      <c r="V737" s="79"/>
      <c r="W737" s="79"/>
      <c r="Z737" s="130"/>
      <c r="AB737" s="106"/>
    </row>
    <row r="738">
      <c r="C738" s="79"/>
      <c r="D738" s="79"/>
      <c r="E738" s="79"/>
      <c r="M738" s="79"/>
      <c r="R738" s="79"/>
      <c r="S738" s="79"/>
      <c r="V738" s="79"/>
      <c r="W738" s="79"/>
      <c r="Z738" s="130"/>
      <c r="AB738" s="106"/>
    </row>
    <row r="739">
      <c r="C739" s="79"/>
      <c r="D739" s="79"/>
      <c r="E739" s="79"/>
      <c r="M739" s="79"/>
      <c r="R739" s="79"/>
      <c r="S739" s="79"/>
      <c r="V739" s="79"/>
      <c r="W739" s="79"/>
      <c r="Z739" s="130"/>
      <c r="AB739" s="106"/>
    </row>
    <row r="740">
      <c r="C740" s="79"/>
      <c r="D740" s="79"/>
      <c r="E740" s="79"/>
      <c r="M740" s="79"/>
      <c r="R740" s="79"/>
      <c r="S740" s="79"/>
      <c r="V740" s="79"/>
      <c r="W740" s="79"/>
      <c r="Z740" s="130"/>
      <c r="AB740" s="106"/>
    </row>
    <row r="741">
      <c r="C741" s="79"/>
      <c r="D741" s="79"/>
      <c r="E741" s="79"/>
      <c r="M741" s="79"/>
      <c r="R741" s="79"/>
      <c r="S741" s="79"/>
      <c r="V741" s="79"/>
      <c r="W741" s="79"/>
      <c r="Z741" s="130"/>
      <c r="AB741" s="106"/>
    </row>
    <row r="742">
      <c r="C742" s="79"/>
      <c r="D742" s="79"/>
      <c r="E742" s="79"/>
      <c r="M742" s="79"/>
      <c r="R742" s="79"/>
      <c r="S742" s="79"/>
      <c r="V742" s="79"/>
      <c r="W742" s="79"/>
      <c r="Z742" s="130"/>
      <c r="AB742" s="106"/>
    </row>
    <row r="743">
      <c r="C743" s="79"/>
      <c r="D743" s="79"/>
      <c r="E743" s="79"/>
      <c r="M743" s="79"/>
      <c r="R743" s="79"/>
      <c r="S743" s="79"/>
      <c r="V743" s="79"/>
      <c r="W743" s="79"/>
      <c r="Z743" s="130"/>
      <c r="AB743" s="106"/>
    </row>
    <row r="744">
      <c r="C744" s="79"/>
      <c r="D744" s="79"/>
      <c r="E744" s="79"/>
      <c r="M744" s="79"/>
      <c r="R744" s="79"/>
      <c r="S744" s="79"/>
      <c r="V744" s="79"/>
      <c r="W744" s="79"/>
      <c r="Z744" s="130"/>
      <c r="AB744" s="106"/>
    </row>
    <row r="745">
      <c r="C745" s="79"/>
      <c r="D745" s="79"/>
      <c r="E745" s="79"/>
      <c r="M745" s="79"/>
      <c r="R745" s="79"/>
      <c r="S745" s="79"/>
      <c r="V745" s="79"/>
      <c r="W745" s="79"/>
      <c r="Z745" s="130"/>
      <c r="AB745" s="106"/>
    </row>
    <row r="746">
      <c r="C746" s="79"/>
      <c r="D746" s="79"/>
      <c r="E746" s="79"/>
      <c r="M746" s="79"/>
      <c r="R746" s="79"/>
      <c r="S746" s="79"/>
      <c r="V746" s="79"/>
      <c r="W746" s="79"/>
      <c r="Z746" s="130"/>
      <c r="AB746" s="106"/>
    </row>
    <row r="747">
      <c r="C747" s="79"/>
      <c r="D747" s="79"/>
      <c r="E747" s="79"/>
      <c r="M747" s="79"/>
      <c r="R747" s="79"/>
      <c r="S747" s="79"/>
      <c r="V747" s="79"/>
      <c r="W747" s="79"/>
      <c r="Z747" s="130"/>
      <c r="AB747" s="106"/>
    </row>
    <row r="748">
      <c r="C748" s="79"/>
      <c r="D748" s="79"/>
      <c r="E748" s="79"/>
      <c r="M748" s="79"/>
      <c r="R748" s="79"/>
      <c r="S748" s="79"/>
      <c r="V748" s="79"/>
      <c r="W748" s="79"/>
      <c r="Z748" s="130"/>
      <c r="AB748" s="106"/>
    </row>
    <row r="749">
      <c r="C749" s="79"/>
      <c r="D749" s="79"/>
      <c r="E749" s="79"/>
      <c r="M749" s="79"/>
      <c r="R749" s="79"/>
      <c r="S749" s="79"/>
      <c r="V749" s="79"/>
      <c r="W749" s="79"/>
      <c r="Z749" s="130"/>
      <c r="AB749" s="106"/>
    </row>
    <row r="750">
      <c r="C750" s="79"/>
      <c r="D750" s="79"/>
      <c r="E750" s="79"/>
      <c r="M750" s="79"/>
      <c r="R750" s="79"/>
      <c r="S750" s="79"/>
      <c r="V750" s="79"/>
      <c r="W750" s="79"/>
      <c r="Z750" s="130"/>
      <c r="AB750" s="106"/>
    </row>
    <row r="751">
      <c r="C751" s="79"/>
      <c r="D751" s="79"/>
      <c r="E751" s="79"/>
      <c r="M751" s="79"/>
      <c r="R751" s="79"/>
      <c r="S751" s="79"/>
      <c r="V751" s="79"/>
      <c r="W751" s="79"/>
      <c r="Z751" s="130"/>
      <c r="AB751" s="106"/>
    </row>
    <row r="752">
      <c r="C752" s="79"/>
      <c r="D752" s="79"/>
      <c r="E752" s="79"/>
      <c r="M752" s="79"/>
      <c r="R752" s="79"/>
      <c r="S752" s="79"/>
      <c r="V752" s="79"/>
      <c r="W752" s="79"/>
      <c r="Z752" s="130"/>
      <c r="AB752" s="106"/>
    </row>
    <row r="753">
      <c r="C753" s="79"/>
      <c r="D753" s="79"/>
      <c r="E753" s="79"/>
      <c r="M753" s="79"/>
      <c r="R753" s="79"/>
      <c r="S753" s="79"/>
      <c r="V753" s="79"/>
      <c r="W753" s="79"/>
      <c r="Z753" s="130"/>
      <c r="AB753" s="106"/>
    </row>
    <row r="754">
      <c r="C754" s="79"/>
      <c r="D754" s="79"/>
      <c r="E754" s="79"/>
      <c r="M754" s="79"/>
      <c r="R754" s="79"/>
      <c r="S754" s="79"/>
      <c r="V754" s="79"/>
      <c r="W754" s="79"/>
      <c r="Z754" s="130"/>
      <c r="AB754" s="106"/>
    </row>
    <row r="755">
      <c r="C755" s="79"/>
      <c r="D755" s="79"/>
      <c r="E755" s="79"/>
      <c r="M755" s="79"/>
      <c r="R755" s="79"/>
      <c r="S755" s="79"/>
      <c r="V755" s="79"/>
      <c r="W755" s="79"/>
      <c r="Z755" s="130"/>
      <c r="AB755" s="106"/>
    </row>
    <row r="756">
      <c r="C756" s="79"/>
      <c r="D756" s="79"/>
      <c r="E756" s="79"/>
      <c r="M756" s="79"/>
      <c r="R756" s="79"/>
      <c r="S756" s="79"/>
      <c r="V756" s="79"/>
      <c r="W756" s="79"/>
      <c r="Z756" s="130"/>
      <c r="AB756" s="106"/>
    </row>
    <row r="757">
      <c r="C757" s="79"/>
      <c r="D757" s="79"/>
      <c r="E757" s="79"/>
      <c r="M757" s="79"/>
      <c r="R757" s="79"/>
      <c r="S757" s="79"/>
      <c r="V757" s="79"/>
      <c r="W757" s="79"/>
      <c r="Z757" s="130"/>
      <c r="AB757" s="106"/>
    </row>
    <row r="758">
      <c r="C758" s="79"/>
      <c r="D758" s="79"/>
      <c r="E758" s="79"/>
      <c r="M758" s="79"/>
      <c r="R758" s="79"/>
      <c r="S758" s="79"/>
      <c r="V758" s="79"/>
      <c r="W758" s="79"/>
      <c r="Z758" s="130"/>
      <c r="AB758" s="106"/>
    </row>
    <row r="759">
      <c r="C759" s="79"/>
      <c r="D759" s="79"/>
      <c r="E759" s="79"/>
      <c r="M759" s="79"/>
      <c r="R759" s="79"/>
      <c r="S759" s="79"/>
      <c r="V759" s="79"/>
      <c r="W759" s="79"/>
      <c r="Z759" s="130"/>
      <c r="AB759" s="106"/>
    </row>
    <row r="760">
      <c r="C760" s="79"/>
      <c r="D760" s="79"/>
      <c r="E760" s="79"/>
      <c r="M760" s="79"/>
      <c r="R760" s="79"/>
      <c r="S760" s="79"/>
      <c r="V760" s="79"/>
      <c r="W760" s="79"/>
      <c r="Z760" s="130"/>
      <c r="AB760" s="106"/>
    </row>
    <row r="761">
      <c r="C761" s="79"/>
      <c r="D761" s="79"/>
      <c r="E761" s="79"/>
      <c r="M761" s="79"/>
      <c r="R761" s="79"/>
      <c r="S761" s="79"/>
      <c r="V761" s="79"/>
      <c r="W761" s="79"/>
      <c r="Z761" s="130"/>
      <c r="AB761" s="106"/>
    </row>
    <row r="762">
      <c r="C762" s="79"/>
      <c r="D762" s="79"/>
      <c r="E762" s="79"/>
      <c r="M762" s="79"/>
      <c r="R762" s="79"/>
      <c r="S762" s="79"/>
      <c r="V762" s="79"/>
      <c r="W762" s="79"/>
      <c r="Z762" s="130"/>
      <c r="AB762" s="106"/>
    </row>
    <row r="763">
      <c r="C763" s="79"/>
      <c r="D763" s="79"/>
      <c r="E763" s="79"/>
      <c r="M763" s="79"/>
      <c r="R763" s="79"/>
      <c r="S763" s="79"/>
      <c r="V763" s="79"/>
      <c r="W763" s="79"/>
      <c r="Z763" s="130"/>
      <c r="AB763" s="106"/>
    </row>
    <row r="764">
      <c r="C764" s="79"/>
      <c r="D764" s="79"/>
      <c r="E764" s="79"/>
      <c r="M764" s="79"/>
      <c r="R764" s="79"/>
      <c r="S764" s="79"/>
      <c r="V764" s="79"/>
      <c r="W764" s="79"/>
      <c r="Z764" s="130"/>
      <c r="AB764" s="106"/>
    </row>
    <row r="765">
      <c r="C765" s="79"/>
      <c r="D765" s="79"/>
      <c r="E765" s="79"/>
      <c r="M765" s="79"/>
      <c r="R765" s="79"/>
      <c r="S765" s="79"/>
      <c r="V765" s="79"/>
      <c r="W765" s="79"/>
      <c r="Z765" s="130"/>
      <c r="AB765" s="106"/>
    </row>
    <row r="766">
      <c r="C766" s="79"/>
      <c r="D766" s="79"/>
      <c r="E766" s="79"/>
      <c r="M766" s="79"/>
      <c r="R766" s="79"/>
      <c r="S766" s="79"/>
      <c r="V766" s="79"/>
      <c r="W766" s="79"/>
      <c r="Z766" s="130"/>
      <c r="AB766" s="106"/>
    </row>
    <row r="767">
      <c r="C767" s="79"/>
      <c r="D767" s="79"/>
      <c r="E767" s="79"/>
      <c r="M767" s="79"/>
      <c r="R767" s="79"/>
      <c r="S767" s="79"/>
      <c r="V767" s="79"/>
      <c r="W767" s="79"/>
      <c r="Z767" s="130"/>
      <c r="AB767" s="106"/>
    </row>
    <row r="768">
      <c r="C768" s="79"/>
      <c r="D768" s="79"/>
      <c r="E768" s="79"/>
      <c r="M768" s="79"/>
      <c r="R768" s="79"/>
      <c r="S768" s="79"/>
      <c r="V768" s="79"/>
      <c r="W768" s="79"/>
      <c r="Z768" s="130"/>
      <c r="AB768" s="106"/>
    </row>
    <row r="769">
      <c r="C769" s="79"/>
      <c r="D769" s="79"/>
      <c r="E769" s="79"/>
      <c r="M769" s="79"/>
      <c r="R769" s="79"/>
      <c r="S769" s="79"/>
      <c r="V769" s="79"/>
      <c r="W769" s="79"/>
      <c r="Z769" s="130"/>
      <c r="AB769" s="106"/>
    </row>
    <row r="770">
      <c r="C770" s="79"/>
      <c r="D770" s="79"/>
      <c r="E770" s="79"/>
      <c r="M770" s="79"/>
      <c r="R770" s="79"/>
      <c r="S770" s="79"/>
      <c r="V770" s="79"/>
      <c r="W770" s="79"/>
      <c r="Z770" s="130"/>
      <c r="AB770" s="106"/>
    </row>
    <row r="771">
      <c r="C771" s="79"/>
      <c r="D771" s="79"/>
      <c r="E771" s="79"/>
      <c r="M771" s="79"/>
      <c r="R771" s="79"/>
      <c r="S771" s="79"/>
      <c r="V771" s="79"/>
      <c r="W771" s="79"/>
      <c r="Z771" s="130"/>
      <c r="AB771" s="106"/>
    </row>
    <row r="772">
      <c r="C772" s="79"/>
      <c r="D772" s="79"/>
      <c r="E772" s="79"/>
      <c r="M772" s="79"/>
      <c r="R772" s="79"/>
      <c r="S772" s="79"/>
      <c r="V772" s="79"/>
      <c r="W772" s="79"/>
      <c r="Z772" s="130"/>
      <c r="AB772" s="106"/>
    </row>
    <row r="773">
      <c r="C773" s="79"/>
      <c r="D773" s="79"/>
      <c r="E773" s="79"/>
      <c r="M773" s="79"/>
      <c r="R773" s="79"/>
      <c r="S773" s="79"/>
      <c r="V773" s="79"/>
      <c r="W773" s="79"/>
      <c r="Z773" s="130"/>
      <c r="AB773" s="106"/>
    </row>
    <row r="774">
      <c r="C774" s="79"/>
      <c r="D774" s="79"/>
      <c r="E774" s="79"/>
      <c r="M774" s="79"/>
      <c r="R774" s="79"/>
      <c r="S774" s="79"/>
      <c r="V774" s="79"/>
      <c r="W774" s="79"/>
      <c r="Z774" s="130"/>
      <c r="AB774" s="106"/>
    </row>
    <row r="775">
      <c r="C775" s="79"/>
      <c r="D775" s="79"/>
      <c r="E775" s="79"/>
      <c r="M775" s="79"/>
      <c r="R775" s="79"/>
      <c r="S775" s="79"/>
      <c r="V775" s="79"/>
      <c r="W775" s="79"/>
      <c r="Z775" s="130"/>
      <c r="AB775" s="106"/>
    </row>
    <row r="776">
      <c r="C776" s="79"/>
      <c r="D776" s="79"/>
      <c r="E776" s="79"/>
      <c r="M776" s="79"/>
      <c r="R776" s="79"/>
      <c r="S776" s="79"/>
      <c r="V776" s="79"/>
      <c r="W776" s="79"/>
      <c r="Z776" s="130"/>
      <c r="AB776" s="106"/>
    </row>
    <row r="777">
      <c r="C777" s="79"/>
      <c r="D777" s="79"/>
      <c r="E777" s="79"/>
      <c r="M777" s="79"/>
      <c r="R777" s="79"/>
      <c r="S777" s="79"/>
      <c r="V777" s="79"/>
      <c r="W777" s="79"/>
      <c r="Z777" s="130"/>
      <c r="AB777" s="106"/>
    </row>
    <row r="778">
      <c r="C778" s="79"/>
      <c r="D778" s="79"/>
      <c r="E778" s="79"/>
      <c r="M778" s="79"/>
      <c r="R778" s="79"/>
      <c r="S778" s="79"/>
      <c r="V778" s="79"/>
      <c r="W778" s="79"/>
      <c r="Z778" s="130"/>
      <c r="AB778" s="106"/>
    </row>
    <row r="779">
      <c r="C779" s="79"/>
      <c r="D779" s="79"/>
      <c r="E779" s="79"/>
      <c r="M779" s="79"/>
      <c r="R779" s="79"/>
      <c r="S779" s="79"/>
      <c r="V779" s="79"/>
      <c r="W779" s="79"/>
      <c r="Z779" s="130"/>
      <c r="AB779" s="106"/>
    </row>
    <row r="780">
      <c r="C780" s="79"/>
      <c r="D780" s="79"/>
      <c r="E780" s="79"/>
      <c r="M780" s="79"/>
      <c r="R780" s="79"/>
      <c r="S780" s="79"/>
      <c r="V780" s="79"/>
      <c r="W780" s="79"/>
      <c r="Z780" s="130"/>
      <c r="AB780" s="106"/>
    </row>
    <row r="781">
      <c r="C781" s="79"/>
      <c r="D781" s="79"/>
      <c r="E781" s="79"/>
      <c r="M781" s="79"/>
      <c r="R781" s="79"/>
      <c r="S781" s="79"/>
      <c r="V781" s="79"/>
      <c r="W781" s="79"/>
      <c r="Z781" s="130"/>
      <c r="AB781" s="106"/>
    </row>
    <row r="782">
      <c r="C782" s="79"/>
      <c r="D782" s="79"/>
      <c r="E782" s="79"/>
      <c r="M782" s="79"/>
      <c r="R782" s="79"/>
      <c r="S782" s="79"/>
      <c r="V782" s="79"/>
      <c r="W782" s="79"/>
      <c r="Z782" s="130"/>
      <c r="AB782" s="106"/>
    </row>
    <row r="783">
      <c r="C783" s="79"/>
      <c r="D783" s="79"/>
      <c r="E783" s="79"/>
      <c r="M783" s="79"/>
      <c r="R783" s="79"/>
      <c r="S783" s="79"/>
      <c r="V783" s="79"/>
      <c r="W783" s="79"/>
      <c r="Z783" s="130"/>
      <c r="AB783" s="106"/>
    </row>
    <row r="784">
      <c r="C784" s="79"/>
      <c r="D784" s="79"/>
      <c r="E784" s="79"/>
      <c r="M784" s="79"/>
      <c r="R784" s="79"/>
      <c r="S784" s="79"/>
      <c r="V784" s="79"/>
      <c r="W784" s="79"/>
      <c r="Z784" s="130"/>
      <c r="AB784" s="106"/>
    </row>
    <row r="785">
      <c r="C785" s="79"/>
      <c r="D785" s="79"/>
      <c r="E785" s="79"/>
      <c r="M785" s="79"/>
      <c r="R785" s="79"/>
      <c r="S785" s="79"/>
      <c r="V785" s="79"/>
      <c r="W785" s="79"/>
      <c r="Z785" s="130"/>
      <c r="AB785" s="106"/>
    </row>
    <row r="786">
      <c r="C786" s="79"/>
      <c r="D786" s="79"/>
      <c r="E786" s="79"/>
      <c r="M786" s="79"/>
      <c r="R786" s="79"/>
      <c r="S786" s="79"/>
      <c r="V786" s="79"/>
      <c r="W786" s="79"/>
      <c r="Z786" s="130"/>
      <c r="AB786" s="106"/>
    </row>
    <row r="787">
      <c r="C787" s="79"/>
      <c r="D787" s="79"/>
      <c r="E787" s="79"/>
      <c r="M787" s="79"/>
      <c r="R787" s="79"/>
      <c r="S787" s="79"/>
      <c r="V787" s="79"/>
      <c r="W787" s="79"/>
      <c r="Z787" s="130"/>
      <c r="AB787" s="106"/>
    </row>
    <row r="788">
      <c r="C788" s="79"/>
      <c r="D788" s="79"/>
      <c r="E788" s="79"/>
      <c r="M788" s="79"/>
      <c r="R788" s="79"/>
      <c r="S788" s="79"/>
      <c r="V788" s="79"/>
      <c r="W788" s="79"/>
      <c r="Z788" s="130"/>
      <c r="AB788" s="106"/>
    </row>
    <row r="789">
      <c r="C789" s="79"/>
      <c r="D789" s="79"/>
      <c r="E789" s="79"/>
      <c r="M789" s="79"/>
      <c r="R789" s="79"/>
      <c r="S789" s="79"/>
      <c r="V789" s="79"/>
      <c r="W789" s="79"/>
      <c r="Z789" s="130"/>
      <c r="AB789" s="106"/>
    </row>
    <row r="790">
      <c r="C790" s="79"/>
      <c r="D790" s="79"/>
      <c r="E790" s="79"/>
      <c r="M790" s="79"/>
      <c r="R790" s="79"/>
      <c r="S790" s="79"/>
      <c r="V790" s="79"/>
      <c r="W790" s="79"/>
      <c r="Z790" s="130"/>
      <c r="AB790" s="106"/>
    </row>
    <row r="791">
      <c r="C791" s="79"/>
      <c r="D791" s="79"/>
      <c r="E791" s="79"/>
      <c r="M791" s="79"/>
      <c r="R791" s="79"/>
      <c r="S791" s="79"/>
      <c r="V791" s="79"/>
      <c r="W791" s="79"/>
      <c r="Z791" s="130"/>
      <c r="AB791" s="106"/>
    </row>
    <row r="792">
      <c r="C792" s="79"/>
      <c r="D792" s="79"/>
      <c r="E792" s="79"/>
      <c r="M792" s="79"/>
      <c r="R792" s="79"/>
      <c r="S792" s="79"/>
      <c r="V792" s="79"/>
      <c r="W792" s="79"/>
      <c r="Z792" s="130"/>
      <c r="AB792" s="106"/>
    </row>
    <row r="793">
      <c r="C793" s="79"/>
      <c r="D793" s="79"/>
      <c r="E793" s="79"/>
      <c r="M793" s="79"/>
      <c r="R793" s="79"/>
      <c r="S793" s="79"/>
      <c r="V793" s="79"/>
      <c r="W793" s="79"/>
      <c r="Z793" s="130"/>
      <c r="AB793" s="106"/>
    </row>
    <row r="794">
      <c r="C794" s="79"/>
      <c r="D794" s="79"/>
      <c r="E794" s="79"/>
      <c r="M794" s="79"/>
      <c r="R794" s="79"/>
      <c r="S794" s="79"/>
      <c r="V794" s="79"/>
      <c r="W794" s="79"/>
      <c r="Z794" s="130"/>
      <c r="AB794" s="106"/>
    </row>
    <row r="795">
      <c r="C795" s="79"/>
      <c r="D795" s="79"/>
      <c r="E795" s="79"/>
      <c r="M795" s="79"/>
      <c r="R795" s="79"/>
      <c r="S795" s="79"/>
      <c r="V795" s="79"/>
      <c r="W795" s="79"/>
      <c r="Z795" s="130"/>
      <c r="AB795" s="106"/>
    </row>
    <row r="796">
      <c r="C796" s="79"/>
      <c r="D796" s="79"/>
      <c r="E796" s="79"/>
      <c r="M796" s="79"/>
      <c r="R796" s="79"/>
      <c r="S796" s="79"/>
      <c r="V796" s="79"/>
      <c r="W796" s="79"/>
      <c r="Z796" s="130"/>
      <c r="AB796" s="106"/>
    </row>
    <row r="797">
      <c r="C797" s="79"/>
      <c r="D797" s="79"/>
      <c r="E797" s="79"/>
      <c r="M797" s="79"/>
      <c r="R797" s="79"/>
      <c r="S797" s="79"/>
      <c r="V797" s="79"/>
      <c r="W797" s="79"/>
      <c r="Z797" s="130"/>
      <c r="AB797" s="106"/>
    </row>
    <row r="798">
      <c r="C798" s="79"/>
      <c r="D798" s="79"/>
      <c r="E798" s="79"/>
      <c r="M798" s="79"/>
      <c r="R798" s="79"/>
      <c r="S798" s="79"/>
      <c r="V798" s="79"/>
      <c r="W798" s="79"/>
      <c r="Z798" s="130"/>
      <c r="AB798" s="106"/>
    </row>
    <row r="799">
      <c r="C799" s="79"/>
      <c r="D799" s="79"/>
      <c r="E799" s="79"/>
      <c r="M799" s="79"/>
      <c r="R799" s="79"/>
      <c r="S799" s="79"/>
      <c r="V799" s="79"/>
      <c r="W799" s="79"/>
      <c r="Z799" s="130"/>
      <c r="AB799" s="106"/>
    </row>
    <row r="800">
      <c r="C800" s="79"/>
      <c r="D800" s="79"/>
      <c r="E800" s="79"/>
      <c r="M800" s="79"/>
      <c r="R800" s="79"/>
      <c r="S800" s="79"/>
      <c r="V800" s="79"/>
      <c r="W800" s="79"/>
      <c r="Z800" s="130"/>
      <c r="AB800" s="106"/>
    </row>
    <row r="801">
      <c r="C801" s="79"/>
      <c r="D801" s="79"/>
      <c r="E801" s="79"/>
      <c r="M801" s="79"/>
      <c r="R801" s="79"/>
      <c r="S801" s="79"/>
      <c r="V801" s="79"/>
      <c r="W801" s="79"/>
      <c r="Z801" s="130"/>
      <c r="AB801" s="106"/>
    </row>
    <row r="802">
      <c r="C802" s="79"/>
      <c r="D802" s="79"/>
      <c r="E802" s="79"/>
      <c r="M802" s="79"/>
      <c r="R802" s="79"/>
      <c r="S802" s="79"/>
      <c r="V802" s="79"/>
      <c r="W802" s="79"/>
      <c r="Z802" s="130"/>
      <c r="AB802" s="106"/>
    </row>
    <row r="803">
      <c r="C803" s="79"/>
      <c r="D803" s="79"/>
      <c r="E803" s="79"/>
      <c r="M803" s="79"/>
      <c r="R803" s="79"/>
      <c r="S803" s="79"/>
      <c r="V803" s="79"/>
      <c r="W803" s="79"/>
      <c r="Z803" s="130"/>
      <c r="AB803" s="106"/>
    </row>
    <row r="804">
      <c r="C804" s="79"/>
      <c r="D804" s="79"/>
      <c r="E804" s="79"/>
      <c r="M804" s="79"/>
      <c r="R804" s="79"/>
      <c r="S804" s="79"/>
      <c r="V804" s="79"/>
      <c r="W804" s="79"/>
      <c r="Z804" s="130"/>
      <c r="AB804" s="106"/>
    </row>
    <row r="805">
      <c r="C805" s="79"/>
      <c r="D805" s="79"/>
      <c r="E805" s="79"/>
      <c r="M805" s="79"/>
      <c r="R805" s="79"/>
      <c r="S805" s="79"/>
      <c r="V805" s="79"/>
      <c r="W805" s="79"/>
      <c r="Z805" s="130"/>
      <c r="AB805" s="106"/>
    </row>
    <row r="806">
      <c r="C806" s="79"/>
      <c r="D806" s="79"/>
      <c r="E806" s="79"/>
      <c r="M806" s="79"/>
      <c r="R806" s="79"/>
      <c r="S806" s="79"/>
      <c r="V806" s="79"/>
      <c r="W806" s="79"/>
      <c r="Z806" s="130"/>
      <c r="AB806" s="106"/>
    </row>
    <row r="807">
      <c r="C807" s="79"/>
      <c r="D807" s="79"/>
      <c r="E807" s="79"/>
      <c r="M807" s="79"/>
      <c r="R807" s="79"/>
      <c r="S807" s="79"/>
      <c r="V807" s="79"/>
      <c r="W807" s="79"/>
      <c r="Z807" s="130"/>
      <c r="AB807" s="106"/>
    </row>
    <row r="808">
      <c r="C808" s="79"/>
      <c r="D808" s="79"/>
      <c r="E808" s="79"/>
      <c r="M808" s="79"/>
      <c r="R808" s="79"/>
      <c r="S808" s="79"/>
      <c r="V808" s="79"/>
      <c r="W808" s="79"/>
      <c r="Z808" s="130"/>
      <c r="AB808" s="106"/>
    </row>
    <row r="809">
      <c r="C809" s="79"/>
      <c r="D809" s="79"/>
      <c r="E809" s="79"/>
      <c r="M809" s="79"/>
      <c r="R809" s="79"/>
      <c r="S809" s="79"/>
      <c r="V809" s="79"/>
      <c r="W809" s="79"/>
      <c r="Z809" s="130"/>
      <c r="AB809" s="106"/>
    </row>
    <row r="810">
      <c r="C810" s="79"/>
      <c r="D810" s="79"/>
      <c r="E810" s="79"/>
      <c r="M810" s="79"/>
      <c r="R810" s="79"/>
      <c r="S810" s="79"/>
      <c r="V810" s="79"/>
      <c r="W810" s="79"/>
      <c r="Z810" s="130"/>
      <c r="AB810" s="106"/>
    </row>
    <row r="811">
      <c r="C811" s="79"/>
      <c r="D811" s="79"/>
      <c r="E811" s="79"/>
      <c r="M811" s="79"/>
      <c r="R811" s="79"/>
      <c r="S811" s="79"/>
      <c r="V811" s="79"/>
      <c r="W811" s="79"/>
      <c r="Z811" s="130"/>
      <c r="AB811" s="106"/>
    </row>
    <row r="812">
      <c r="C812" s="79"/>
      <c r="D812" s="79"/>
      <c r="E812" s="79"/>
      <c r="M812" s="79"/>
      <c r="R812" s="79"/>
      <c r="S812" s="79"/>
      <c r="V812" s="79"/>
      <c r="W812" s="79"/>
      <c r="Z812" s="130"/>
      <c r="AB812" s="106"/>
    </row>
    <row r="813">
      <c r="C813" s="79"/>
      <c r="D813" s="79"/>
      <c r="E813" s="79"/>
      <c r="M813" s="79"/>
      <c r="R813" s="79"/>
      <c r="S813" s="79"/>
      <c r="V813" s="79"/>
      <c r="W813" s="79"/>
      <c r="Z813" s="130"/>
      <c r="AB813" s="106"/>
    </row>
    <row r="814">
      <c r="C814" s="79"/>
      <c r="D814" s="79"/>
      <c r="E814" s="79"/>
      <c r="M814" s="79"/>
      <c r="R814" s="79"/>
      <c r="S814" s="79"/>
      <c r="V814" s="79"/>
      <c r="W814" s="79"/>
      <c r="Z814" s="130"/>
      <c r="AB814" s="106"/>
    </row>
    <row r="815">
      <c r="C815" s="79"/>
      <c r="D815" s="79"/>
      <c r="E815" s="79"/>
      <c r="M815" s="79"/>
      <c r="R815" s="79"/>
      <c r="S815" s="79"/>
      <c r="V815" s="79"/>
      <c r="W815" s="79"/>
      <c r="Z815" s="130"/>
      <c r="AB815" s="106"/>
    </row>
    <row r="816">
      <c r="C816" s="79"/>
      <c r="D816" s="79"/>
      <c r="E816" s="79"/>
      <c r="M816" s="79"/>
      <c r="R816" s="79"/>
      <c r="S816" s="79"/>
      <c r="V816" s="79"/>
      <c r="W816" s="79"/>
      <c r="Z816" s="130"/>
      <c r="AB816" s="106"/>
    </row>
    <row r="817">
      <c r="C817" s="79"/>
      <c r="D817" s="79"/>
      <c r="E817" s="79"/>
      <c r="M817" s="79"/>
      <c r="R817" s="79"/>
      <c r="S817" s="79"/>
      <c r="V817" s="79"/>
      <c r="W817" s="79"/>
      <c r="Z817" s="130"/>
      <c r="AB817" s="106"/>
    </row>
    <row r="818">
      <c r="C818" s="79"/>
      <c r="D818" s="79"/>
      <c r="E818" s="79"/>
      <c r="M818" s="79"/>
      <c r="R818" s="79"/>
      <c r="S818" s="79"/>
      <c r="V818" s="79"/>
      <c r="W818" s="79"/>
      <c r="Z818" s="130"/>
      <c r="AB818" s="106"/>
    </row>
    <row r="819">
      <c r="C819" s="79"/>
      <c r="D819" s="79"/>
      <c r="E819" s="79"/>
      <c r="M819" s="79"/>
      <c r="R819" s="79"/>
      <c r="S819" s="79"/>
      <c r="V819" s="79"/>
      <c r="W819" s="79"/>
      <c r="Z819" s="130"/>
      <c r="AB819" s="106"/>
    </row>
    <row r="820">
      <c r="C820" s="79"/>
      <c r="D820" s="79"/>
      <c r="E820" s="79"/>
      <c r="M820" s="79"/>
      <c r="R820" s="79"/>
      <c r="S820" s="79"/>
      <c r="V820" s="79"/>
      <c r="W820" s="79"/>
      <c r="Z820" s="130"/>
      <c r="AB820" s="106"/>
    </row>
    <row r="821">
      <c r="C821" s="79"/>
      <c r="D821" s="79"/>
      <c r="E821" s="79"/>
      <c r="M821" s="79"/>
      <c r="R821" s="79"/>
      <c r="S821" s="79"/>
      <c r="V821" s="79"/>
      <c r="W821" s="79"/>
      <c r="Z821" s="130"/>
      <c r="AB821" s="106"/>
    </row>
    <row r="822">
      <c r="C822" s="79"/>
      <c r="D822" s="79"/>
      <c r="E822" s="79"/>
      <c r="M822" s="79"/>
      <c r="R822" s="79"/>
      <c r="S822" s="79"/>
      <c r="V822" s="79"/>
      <c r="W822" s="79"/>
      <c r="Z822" s="130"/>
      <c r="AB822" s="106"/>
    </row>
    <row r="823">
      <c r="C823" s="79"/>
      <c r="D823" s="79"/>
      <c r="E823" s="79"/>
      <c r="M823" s="79"/>
      <c r="R823" s="79"/>
      <c r="S823" s="79"/>
      <c r="V823" s="79"/>
      <c r="W823" s="79"/>
      <c r="Z823" s="130"/>
      <c r="AB823" s="106"/>
    </row>
    <row r="824">
      <c r="C824" s="79"/>
      <c r="D824" s="79"/>
      <c r="E824" s="79"/>
      <c r="M824" s="79"/>
      <c r="R824" s="79"/>
      <c r="S824" s="79"/>
      <c r="V824" s="79"/>
      <c r="W824" s="79"/>
      <c r="Z824" s="130"/>
      <c r="AB824" s="106"/>
    </row>
    <row r="825">
      <c r="C825" s="79"/>
      <c r="D825" s="79"/>
      <c r="E825" s="79"/>
      <c r="M825" s="79"/>
      <c r="R825" s="79"/>
      <c r="S825" s="79"/>
      <c r="V825" s="79"/>
      <c r="W825" s="79"/>
      <c r="Z825" s="130"/>
      <c r="AB825" s="106"/>
    </row>
    <row r="826">
      <c r="C826" s="79"/>
      <c r="D826" s="79"/>
      <c r="E826" s="79"/>
      <c r="M826" s="79"/>
      <c r="R826" s="79"/>
      <c r="S826" s="79"/>
      <c r="V826" s="79"/>
      <c r="W826" s="79"/>
      <c r="Z826" s="130"/>
      <c r="AB826" s="106"/>
    </row>
    <row r="827">
      <c r="C827" s="79"/>
      <c r="D827" s="79"/>
      <c r="E827" s="79"/>
      <c r="M827" s="79"/>
      <c r="R827" s="79"/>
      <c r="S827" s="79"/>
      <c r="V827" s="79"/>
      <c r="W827" s="79"/>
      <c r="Z827" s="130"/>
      <c r="AB827" s="106"/>
    </row>
    <row r="828">
      <c r="C828" s="79"/>
      <c r="D828" s="79"/>
      <c r="E828" s="79"/>
      <c r="M828" s="79"/>
      <c r="R828" s="79"/>
      <c r="S828" s="79"/>
      <c r="V828" s="79"/>
      <c r="W828" s="79"/>
      <c r="Z828" s="130"/>
      <c r="AB828" s="106"/>
    </row>
    <row r="829">
      <c r="C829" s="79"/>
      <c r="D829" s="79"/>
      <c r="E829" s="79"/>
      <c r="M829" s="79"/>
      <c r="R829" s="79"/>
      <c r="S829" s="79"/>
      <c r="V829" s="79"/>
      <c r="W829" s="79"/>
      <c r="Z829" s="130"/>
      <c r="AB829" s="106"/>
    </row>
    <row r="830">
      <c r="C830" s="79"/>
      <c r="D830" s="79"/>
      <c r="E830" s="79"/>
      <c r="M830" s="79"/>
      <c r="R830" s="79"/>
      <c r="S830" s="79"/>
      <c r="V830" s="79"/>
      <c r="W830" s="79"/>
      <c r="Z830" s="130"/>
      <c r="AB830" s="106"/>
    </row>
    <row r="831">
      <c r="C831" s="79"/>
      <c r="D831" s="79"/>
      <c r="E831" s="79"/>
      <c r="M831" s="79"/>
      <c r="R831" s="79"/>
      <c r="S831" s="79"/>
      <c r="V831" s="79"/>
      <c r="W831" s="79"/>
      <c r="Z831" s="130"/>
      <c r="AB831" s="106"/>
    </row>
    <row r="832">
      <c r="C832" s="79"/>
      <c r="D832" s="79"/>
      <c r="E832" s="79"/>
      <c r="M832" s="79"/>
      <c r="R832" s="79"/>
      <c r="S832" s="79"/>
      <c r="V832" s="79"/>
      <c r="W832" s="79"/>
      <c r="Z832" s="130"/>
      <c r="AB832" s="106"/>
    </row>
    <row r="833">
      <c r="C833" s="79"/>
      <c r="D833" s="79"/>
      <c r="E833" s="79"/>
      <c r="M833" s="79"/>
      <c r="R833" s="79"/>
      <c r="S833" s="79"/>
      <c r="V833" s="79"/>
      <c r="W833" s="79"/>
      <c r="Z833" s="130"/>
      <c r="AB833" s="106"/>
    </row>
    <row r="834">
      <c r="C834" s="79"/>
      <c r="D834" s="79"/>
      <c r="E834" s="79"/>
      <c r="M834" s="79"/>
      <c r="R834" s="79"/>
      <c r="S834" s="79"/>
      <c r="V834" s="79"/>
      <c r="W834" s="79"/>
      <c r="Z834" s="130"/>
      <c r="AB834" s="106"/>
    </row>
    <row r="835">
      <c r="C835" s="79"/>
      <c r="D835" s="79"/>
      <c r="E835" s="79"/>
      <c r="M835" s="79"/>
      <c r="R835" s="79"/>
      <c r="S835" s="79"/>
      <c r="V835" s="79"/>
      <c r="W835" s="79"/>
      <c r="Z835" s="130"/>
      <c r="AB835" s="106"/>
    </row>
    <row r="836">
      <c r="C836" s="79"/>
      <c r="D836" s="79"/>
      <c r="E836" s="79"/>
      <c r="M836" s="79"/>
      <c r="R836" s="79"/>
      <c r="S836" s="79"/>
      <c r="V836" s="79"/>
      <c r="W836" s="79"/>
      <c r="Z836" s="130"/>
      <c r="AB836" s="106"/>
    </row>
    <row r="837">
      <c r="C837" s="79"/>
      <c r="D837" s="79"/>
      <c r="E837" s="79"/>
      <c r="M837" s="79"/>
      <c r="R837" s="79"/>
      <c r="S837" s="79"/>
      <c r="V837" s="79"/>
      <c r="W837" s="79"/>
      <c r="Z837" s="130"/>
      <c r="AB837" s="106"/>
    </row>
    <row r="838">
      <c r="C838" s="79"/>
      <c r="D838" s="79"/>
      <c r="E838" s="79"/>
      <c r="M838" s="79"/>
      <c r="R838" s="79"/>
      <c r="S838" s="79"/>
      <c r="V838" s="79"/>
      <c r="W838" s="79"/>
      <c r="Z838" s="130"/>
      <c r="AB838" s="106"/>
    </row>
    <row r="839">
      <c r="C839" s="79"/>
      <c r="D839" s="79"/>
      <c r="E839" s="79"/>
      <c r="M839" s="79"/>
      <c r="R839" s="79"/>
      <c r="S839" s="79"/>
      <c r="V839" s="79"/>
      <c r="W839" s="79"/>
      <c r="Z839" s="130"/>
      <c r="AB839" s="106"/>
    </row>
    <row r="840">
      <c r="C840" s="79"/>
      <c r="D840" s="79"/>
      <c r="E840" s="79"/>
      <c r="M840" s="79"/>
      <c r="R840" s="79"/>
      <c r="S840" s="79"/>
      <c r="V840" s="79"/>
      <c r="W840" s="79"/>
      <c r="Z840" s="130"/>
      <c r="AB840" s="106"/>
    </row>
    <row r="841">
      <c r="C841" s="79"/>
      <c r="D841" s="79"/>
      <c r="E841" s="79"/>
      <c r="M841" s="79"/>
      <c r="R841" s="79"/>
      <c r="S841" s="79"/>
      <c r="V841" s="79"/>
      <c r="W841" s="79"/>
      <c r="Z841" s="130"/>
      <c r="AB841" s="106"/>
    </row>
    <row r="842">
      <c r="C842" s="79"/>
      <c r="D842" s="79"/>
      <c r="E842" s="79"/>
      <c r="M842" s="79"/>
      <c r="R842" s="79"/>
      <c r="S842" s="79"/>
      <c r="V842" s="79"/>
      <c r="W842" s="79"/>
      <c r="Z842" s="130"/>
      <c r="AB842" s="106"/>
    </row>
    <row r="843">
      <c r="C843" s="79"/>
      <c r="D843" s="79"/>
      <c r="E843" s="79"/>
      <c r="M843" s="79"/>
      <c r="R843" s="79"/>
      <c r="S843" s="79"/>
      <c r="V843" s="79"/>
      <c r="W843" s="79"/>
      <c r="Z843" s="130"/>
      <c r="AB843" s="106"/>
    </row>
    <row r="844">
      <c r="C844" s="79"/>
      <c r="D844" s="79"/>
      <c r="E844" s="79"/>
      <c r="M844" s="79"/>
      <c r="R844" s="79"/>
      <c r="S844" s="79"/>
      <c r="V844" s="79"/>
      <c r="W844" s="79"/>
      <c r="Z844" s="130"/>
      <c r="AB844" s="106"/>
    </row>
    <row r="845">
      <c r="C845" s="79"/>
      <c r="D845" s="79"/>
      <c r="E845" s="79"/>
      <c r="M845" s="79"/>
      <c r="R845" s="79"/>
      <c r="S845" s="79"/>
      <c r="V845" s="79"/>
      <c r="W845" s="79"/>
      <c r="Z845" s="130"/>
      <c r="AB845" s="106"/>
    </row>
    <row r="846">
      <c r="C846" s="79"/>
      <c r="D846" s="79"/>
      <c r="E846" s="79"/>
      <c r="M846" s="79"/>
      <c r="R846" s="79"/>
      <c r="S846" s="79"/>
      <c r="V846" s="79"/>
      <c r="W846" s="79"/>
      <c r="Z846" s="130"/>
      <c r="AB846" s="106"/>
    </row>
    <row r="847">
      <c r="C847" s="79"/>
      <c r="D847" s="79"/>
      <c r="E847" s="79"/>
      <c r="M847" s="79"/>
      <c r="R847" s="79"/>
      <c r="S847" s="79"/>
      <c r="V847" s="79"/>
      <c r="W847" s="79"/>
      <c r="Z847" s="130"/>
      <c r="AB847" s="106"/>
    </row>
    <row r="848">
      <c r="C848" s="79"/>
      <c r="D848" s="79"/>
      <c r="E848" s="79"/>
      <c r="M848" s="79"/>
      <c r="R848" s="79"/>
      <c r="S848" s="79"/>
      <c r="V848" s="79"/>
      <c r="W848" s="79"/>
      <c r="Z848" s="130"/>
      <c r="AB848" s="106"/>
    </row>
    <row r="849">
      <c r="C849" s="79"/>
      <c r="D849" s="79"/>
      <c r="E849" s="79"/>
      <c r="M849" s="79"/>
      <c r="R849" s="79"/>
      <c r="S849" s="79"/>
      <c r="V849" s="79"/>
      <c r="W849" s="79"/>
      <c r="Z849" s="130"/>
      <c r="AB849" s="106"/>
    </row>
    <row r="850">
      <c r="C850" s="79"/>
      <c r="D850" s="79"/>
      <c r="E850" s="79"/>
      <c r="M850" s="79"/>
      <c r="R850" s="79"/>
      <c r="S850" s="79"/>
      <c r="V850" s="79"/>
      <c r="W850" s="79"/>
      <c r="Z850" s="130"/>
      <c r="AB850" s="106"/>
    </row>
    <row r="851">
      <c r="C851" s="79"/>
      <c r="D851" s="79"/>
      <c r="E851" s="79"/>
      <c r="M851" s="79"/>
      <c r="R851" s="79"/>
      <c r="S851" s="79"/>
      <c r="V851" s="79"/>
      <c r="W851" s="79"/>
      <c r="Z851" s="130"/>
      <c r="AB851" s="106"/>
    </row>
    <row r="852">
      <c r="C852" s="79"/>
      <c r="D852" s="79"/>
      <c r="E852" s="79"/>
      <c r="M852" s="79"/>
      <c r="R852" s="79"/>
      <c r="S852" s="79"/>
      <c r="V852" s="79"/>
      <c r="W852" s="79"/>
      <c r="Z852" s="130"/>
      <c r="AB852" s="106"/>
    </row>
    <row r="853">
      <c r="C853" s="79"/>
      <c r="D853" s="79"/>
      <c r="E853" s="79"/>
      <c r="M853" s="79"/>
      <c r="R853" s="79"/>
      <c r="S853" s="79"/>
      <c r="V853" s="79"/>
      <c r="W853" s="79"/>
      <c r="Z853" s="130"/>
      <c r="AB853" s="106"/>
    </row>
    <row r="854">
      <c r="C854" s="79"/>
      <c r="D854" s="79"/>
      <c r="E854" s="79"/>
      <c r="M854" s="79"/>
      <c r="R854" s="79"/>
      <c r="S854" s="79"/>
      <c r="V854" s="79"/>
      <c r="W854" s="79"/>
      <c r="Z854" s="130"/>
      <c r="AB854" s="106"/>
    </row>
    <row r="855">
      <c r="C855" s="79"/>
      <c r="D855" s="79"/>
      <c r="E855" s="79"/>
      <c r="M855" s="79"/>
      <c r="R855" s="79"/>
      <c r="S855" s="79"/>
      <c r="V855" s="79"/>
      <c r="W855" s="79"/>
      <c r="Z855" s="130"/>
      <c r="AB855" s="106"/>
    </row>
    <row r="856">
      <c r="C856" s="79"/>
      <c r="D856" s="79"/>
      <c r="E856" s="79"/>
      <c r="M856" s="79"/>
      <c r="R856" s="79"/>
      <c r="S856" s="79"/>
      <c r="V856" s="79"/>
      <c r="W856" s="79"/>
      <c r="Z856" s="130"/>
      <c r="AB856" s="106"/>
    </row>
    <row r="857">
      <c r="C857" s="79"/>
      <c r="D857" s="79"/>
      <c r="E857" s="79"/>
      <c r="M857" s="79"/>
      <c r="R857" s="79"/>
      <c r="S857" s="79"/>
      <c r="V857" s="79"/>
      <c r="W857" s="79"/>
      <c r="Z857" s="130"/>
      <c r="AB857" s="106"/>
    </row>
    <row r="858">
      <c r="C858" s="79"/>
      <c r="D858" s="79"/>
      <c r="E858" s="79"/>
      <c r="M858" s="79"/>
      <c r="R858" s="79"/>
      <c r="S858" s="79"/>
      <c r="V858" s="79"/>
      <c r="W858" s="79"/>
      <c r="Z858" s="130"/>
      <c r="AB858" s="106"/>
    </row>
    <row r="859">
      <c r="C859" s="79"/>
      <c r="D859" s="79"/>
      <c r="E859" s="79"/>
      <c r="M859" s="79"/>
      <c r="R859" s="79"/>
      <c r="S859" s="79"/>
      <c r="V859" s="79"/>
      <c r="W859" s="79"/>
      <c r="Z859" s="130"/>
      <c r="AB859" s="106"/>
    </row>
    <row r="860">
      <c r="C860" s="79"/>
      <c r="D860" s="79"/>
      <c r="E860" s="79"/>
      <c r="M860" s="79"/>
      <c r="R860" s="79"/>
      <c r="S860" s="79"/>
      <c r="V860" s="79"/>
      <c r="W860" s="79"/>
      <c r="Z860" s="130"/>
      <c r="AB860" s="106"/>
    </row>
    <row r="861">
      <c r="C861" s="79"/>
      <c r="D861" s="79"/>
      <c r="E861" s="79"/>
      <c r="M861" s="79"/>
      <c r="R861" s="79"/>
      <c r="S861" s="79"/>
      <c r="V861" s="79"/>
      <c r="W861" s="79"/>
      <c r="Z861" s="130"/>
      <c r="AB861" s="106"/>
    </row>
    <row r="862">
      <c r="C862" s="79"/>
      <c r="D862" s="79"/>
      <c r="E862" s="79"/>
      <c r="M862" s="79"/>
      <c r="R862" s="79"/>
      <c r="S862" s="79"/>
      <c r="V862" s="79"/>
      <c r="W862" s="79"/>
      <c r="Z862" s="130"/>
      <c r="AB862" s="106"/>
    </row>
    <row r="863">
      <c r="C863" s="79"/>
      <c r="D863" s="79"/>
      <c r="E863" s="79"/>
      <c r="M863" s="79"/>
      <c r="R863" s="79"/>
      <c r="S863" s="79"/>
      <c r="V863" s="79"/>
      <c r="W863" s="79"/>
      <c r="Z863" s="130"/>
      <c r="AB863" s="106"/>
    </row>
    <row r="864">
      <c r="C864" s="79"/>
      <c r="D864" s="79"/>
      <c r="E864" s="79"/>
      <c r="M864" s="79"/>
      <c r="R864" s="79"/>
      <c r="S864" s="79"/>
      <c r="V864" s="79"/>
      <c r="W864" s="79"/>
      <c r="Z864" s="130"/>
      <c r="AB864" s="106"/>
    </row>
    <row r="865">
      <c r="C865" s="79"/>
      <c r="D865" s="79"/>
      <c r="E865" s="79"/>
      <c r="M865" s="79"/>
      <c r="R865" s="79"/>
      <c r="S865" s="79"/>
      <c r="V865" s="79"/>
      <c r="W865" s="79"/>
      <c r="Z865" s="130"/>
      <c r="AB865" s="106"/>
    </row>
    <row r="866">
      <c r="C866" s="79"/>
      <c r="D866" s="79"/>
      <c r="E866" s="79"/>
      <c r="M866" s="79"/>
      <c r="R866" s="79"/>
      <c r="S866" s="79"/>
      <c r="V866" s="79"/>
      <c r="W866" s="79"/>
      <c r="Z866" s="130"/>
      <c r="AB866" s="106"/>
    </row>
    <row r="867">
      <c r="C867" s="79"/>
      <c r="D867" s="79"/>
      <c r="E867" s="79"/>
      <c r="M867" s="79"/>
      <c r="R867" s="79"/>
      <c r="S867" s="79"/>
      <c r="V867" s="79"/>
      <c r="W867" s="79"/>
      <c r="Z867" s="130"/>
      <c r="AB867" s="106"/>
    </row>
    <row r="868">
      <c r="C868" s="79"/>
      <c r="D868" s="79"/>
      <c r="E868" s="79"/>
      <c r="M868" s="79"/>
      <c r="R868" s="79"/>
      <c r="S868" s="79"/>
      <c r="V868" s="79"/>
      <c r="W868" s="79"/>
      <c r="Z868" s="130"/>
      <c r="AB868" s="106"/>
    </row>
    <row r="869">
      <c r="C869" s="79"/>
      <c r="D869" s="79"/>
      <c r="E869" s="79"/>
      <c r="M869" s="79"/>
      <c r="R869" s="79"/>
      <c r="S869" s="79"/>
      <c r="V869" s="79"/>
      <c r="W869" s="79"/>
      <c r="Z869" s="130"/>
      <c r="AB869" s="106"/>
    </row>
    <row r="870">
      <c r="C870" s="79"/>
      <c r="D870" s="79"/>
      <c r="E870" s="79"/>
      <c r="M870" s="79"/>
      <c r="R870" s="79"/>
      <c r="S870" s="79"/>
      <c r="V870" s="79"/>
      <c r="W870" s="79"/>
      <c r="Z870" s="130"/>
      <c r="AB870" s="106"/>
    </row>
    <row r="871">
      <c r="C871" s="79"/>
      <c r="D871" s="79"/>
      <c r="E871" s="79"/>
      <c r="M871" s="79"/>
      <c r="R871" s="79"/>
      <c r="S871" s="79"/>
      <c r="V871" s="79"/>
      <c r="W871" s="79"/>
      <c r="Z871" s="130"/>
      <c r="AB871" s="106"/>
    </row>
    <row r="872">
      <c r="C872" s="79"/>
      <c r="D872" s="79"/>
      <c r="E872" s="79"/>
      <c r="M872" s="79"/>
      <c r="R872" s="79"/>
      <c r="S872" s="79"/>
      <c r="V872" s="79"/>
      <c r="W872" s="79"/>
      <c r="Z872" s="130"/>
      <c r="AB872" s="106"/>
    </row>
    <row r="873">
      <c r="C873" s="79"/>
      <c r="D873" s="79"/>
      <c r="E873" s="79"/>
      <c r="M873" s="79"/>
      <c r="R873" s="79"/>
      <c r="S873" s="79"/>
      <c r="V873" s="79"/>
      <c r="W873" s="79"/>
      <c r="Z873" s="130"/>
      <c r="AB873" s="106"/>
    </row>
    <row r="874">
      <c r="C874" s="79"/>
      <c r="D874" s="79"/>
      <c r="E874" s="79"/>
      <c r="M874" s="79"/>
      <c r="R874" s="79"/>
      <c r="S874" s="79"/>
      <c r="V874" s="79"/>
      <c r="W874" s="79"/>
      <c r="Z874" s="130"/>
      <c r="AB874" s="106"/>
    </row>
    <row r="875">
      <c r="C875" s="79"/>
      <c r="D875" s="79"/>
      <c r="E875" s="79"/>
      <c r="M875" s="79"/>
      <c r="R875" s="79"/>
      <c r="S875" s="79"/>
      <c r="V875" s="79"/>
      <c r="W875" s="79"/>
      <c r="Z875" s="130"/>
      <c r="AB875" s="106"/>
    </row>
    <row r="876">
      <c r="C876" s="79"/>
      <c r="D876" s="79"/>
      <c r="E876" s="79"/>
      <c r="M876" s="79"/>
      <c r="R876" s="79"/>
      <c r="S876" s="79"/>
      <c r="V876" s="79"/>
      <c r="W876" s="79"/>
      <c r="Z876" s="130"/>
      <c r="AB876" s="106"/>
    </row>
    <row r="877">
      <c r="C877" s="79"/>
      <c r="D877" s="79"/>
      <c r="E877" s="79"/>
      <c r="M877" s="79"/>
      <c r="R877" s="79"/>
      <c r="S877" s="79"/>
      <c r="V877" s="79"/>
      <c r="W877" s="79"/>
      <c r="Z877" s="130"/>
      <c r="AB877" s="106"/>
    </row>
    <row r="878">
      <c r="C878" s="79"/>
      <c r="D878" s="79"/>
      <c r="E878" s="79"/>
      <c r="M878" s="79"/>
      <c r="R878" s="79"/>
      <c r="S878" s="79"/>
      <c r="V878" s="79"/>
      <c r="W878" s="79"/>
      <c r="Z878" s="130"/>
      <c r="AB878" s="106"/>
    </row>
    <row r="879">
      <c r="C879" s="79"/>
      <c r="D879" s="79"/>
      <c r="E879" s="79"/>
      <c r="M879" s="79"/>
      <c r="R879" s="79"/>
      <c r="S879" s="79"/>
      <c r="V879" s="79"/>
      <c r="W879" s="79"/>
      <c r="Z879" s="130"/>
      <c r="AB879" s="106"/>
    </row>
    <row r="880">
      <c r="C880" s="79"/>
      <c r="D880" s="79"/>
      <c r="E880" s="79"/>
      <c r="M880" s="79"/>
      <c r="R880" s="79"/>
      <c r="S880" s="79"/>
      <c r="V880" s="79"/>
      <c r="W880" s="79"/>
      <c r="Z880" s="130"/>
      <c r="AB880" s="106"/>
    </row>
    <row r="881">
      <c r="C881" s="79"/>
      <c r="D881" s="79"/>
      <c r="E881" s="79"/>
      <c r="M881" s="79"/>
      <c r="R881" s="79"/>
      <c r="S881" s="79"/>
      <c r="V881" s="79"/>
      <c r="W881" s="79"/>
      <c r="Z881" s="130"/>
      <c r="AB881" s="106"/>
    </row>
    <row r="882">
      <c r="C882" s="79"/>
      <c r="D882" s="79"/>
      <c r="E882" s="79"/>
      <c r="M882" s="79"/>
      <c r="R882" s="79"/>
      <c r="S882" s="79"/>
      <c r="V882" s="79"/>
      <c r="W882" s="79"/>
      <c r="Z882" s="130"/>
      <c r="AB882" s="106"/>
    </row>
    <row r="883">
      <c r="C883" s="79"/>
      <c r="D883" s="79"/>
      <c r="E883" s="79"/>
      <c r="M883" s="79"/>
      <c r="R883" s="79"/>
      <c r="S883" s="79"/>
      <c r="V883" s="79"/>
      <c r="W883" s="79"/>
      <c r="Z883" s="130"/>
      <c r="AB883" s="106"/>
    </row>
    <row r="884">
      <c r="C884" s="79"/>
      <c r="D884" s="79"/>
      <c r="E884" s="79"/>
      <c r="M884" s="79"/>
      <c r="R884" s="79"/>
      <c r="S884" s="79"/>
      <c r="V884" s="79"/>
      <c r="W884" s="79"/>
      <c r="Z884" s="130"/>
      <c r="AB884" s="106"/>
    </row>
    <row r="885">
      <c r="C885" s="79"/>
      <c r="D885" s="79"/>
      <c r="E885" s="79"/>
      <c r="M885" s="79"/>
      <c r="R885" s="79"/>
      <c r="S885" s="79"/>
      <c r="V885" s="79"/>
      <c r="W885" s="79"/>
      <c r="Z885" s="130"/>
      <c r="AB885" s="106"/>
    </row>
    <row r="886">
      <c r="C886" s="79"/>
      <c r="D886" s="79"/>
      <c r="E886" s="79"/>
      <c r="M886" s="79"/>
      <c r="R886" s="79"/>
      <c r="S886" s="79"/>
      <c r="V886" s="79"/>
      <c r="W886" s="79"/>
      <c r="Z886" s="130"/>
      <c r="AB886" s="106"/>
    </row>
    <row r="887">
      <c r="C887" s="79"/>
      <c r="D887" s="79"/>
      <c r="E887" s="79"/>
      <c r="M887" s="79"/>
      <c r="R887" s="79"/>
      <c r="S887" s="79"/>
      <c r="V887" s="79"/>
      <c r="W887" s="79"/>
      <c r="Z887" s="130"/>
      <c r="AB887" s="106"/>
    </row>
    <row r="888">
      <c r="C888" s="79"/>
      <c r="D888" s="79"/>
      <c r="E888" s="79"/>
      <c r="M888" s="79"/>
      <c r="R888" s="79"/>
      <c r="S888" s="79"/>
      <c r="V888" s="79"/>
      <c r="W888" s="79"/>
      <c r="Z888" s="130"/>
      <c r="AB888" s="106"/>
    </row>
    <row r="889">
      <c r="C889" s="79"/>
      <c r="D889" s="79"/>
      <c r="E889" s="79"/>
      <c r="M889" s="79"/>
      <c r="R889" s="79"/>
      <c r="S889" s="79"/>
      <c r="V889" s="79"/>
      <c r="W889" s="79"/>
      <c r="Z889" s="130"/>
      <c r="AB889" s="106"/>
    </row>
    <row r="890">
      <c r="C890" s="79"/>
      <c r="D890" s="79"/>
      <c r="E890" s="79"/>
      <c r="M890" s="79"/>
      <c r="R890" s="79"/>
      <c r="S890" s="79"/>
      <c r="V890" s="79"/>
      <c r="W890" s="79"/>
      <c r="Z890" s="130"/>
      <c r="AB890" s="106"/>
    </row>
    <row r="891">
      <c r="C891" s="79"/>
      <c r="D891" s="79"/>
      <c r="E891" s="79"/>
      <c r="M891" s="79"/>
      <c r="R891" s="79"/>
      <c r="S891" s="79"/>
      <c r="V891" s="79"/>
      <c r="W891" s="79"/>
      <c r="Z891" s="130"/>
      <c r="AB891" s="106"/>
    </row>
    <row r="892">
      <c r="C892" s="79"/>
      <c r="D892" s="79"/>
      <c r="E892" s="79"/>
      <c r="M892" s="79"/>
      <c r="R892" s="79"/>
      <c r="S892" s="79"/>
      <c r="V892" s="79"/>
      <c r="W892" s="79"/>
      <c r="Z892" s="130"/>
      <c r="AB892" s="106"/>
    </row>
    <row r="893">
      <c r="C893" s="79"/>
      <c r="D893" s="79"/>
      <c r="E893" s="79"/>
      <c r="M893" s="79"/>
      <c r="R893" s="79"/>
      <c r="S893" s="79"/>
      <c r="V893" s="79"/>
      <c r="W893" s="79"/>
      <c r="Z893" s="130"/>
      <c r="AB893" s="106"/>
    </row>
    <row r="894">
      <c r="C894" s="79"/>
      <c r="D894" s="79"/>
      <c r="E894" s="79"/>
      <c r="M894" s="79"/>
      <c r="R894" s="79"/>
      <c r="S894" s="79"/>
      <c r="V894" s="79"/>
      <c r="W894" s="79"/>
      <c r="Z894" s="130"/>
      <c r="AB894" s="106"/>
    </row>
    <row r="895">
      <c r="C895" s="79"/>
      <c r="D895" s="79"/>
      <c r="E895" s="79"/>
      <c r="M895" s="79"/>
      <c r="R895" s="79"/>
      <c r="S895" s="79"/>
      <c r="V895" s="79"/>
      <c r="W895" s="79"/>
      <c r="Z895" s="130"/>
      <c r="AB895" s="106"/>
    </row>
    <row r="896">
      <c r="C896" s="79"/>
      <c r="D896" s="79"/>
      <c r="E896" s="79"/>
      <c r="M896" s="79"/>
      <c r="R896" s="79"/>
      <c r="S896" s="79"/>
      <c r="V896" s="79"/>
      <c r="W896" s="79"/>
      <c r="Z896" s="130"/>
      <c r="AB896" s="106"/>
    </row>
    <row r="897">
      <c r="C897" s="79"/>
      <c r="D897" s="79"/>
      <c r="E897" s="79"/>
      <c r="M897" s="79"/>
      <c r="R897" s="79"/>
      <c r="S897" s="79"/>
      <c r="V897" s="79"/>
      <c r="W897" s="79"/>
      <c r="Z897" s="130"/>
      <c r="AB897" s="106"/>
    </row>
    <row r="898">
      <c r="C898" s="79"/>
      <c r="D898" s="79"/>
      <c r="E898" s="79"/>
      <c r="M898" s="79"/>
      <c r="R898" s="79"/>
      <c r="S898" s="79"/>
      <c r="V898" s="79"/>
      <c r="W898" s="79"/>
      <c r="Z898" s="130"/>
      <c r="AB898" s="106"/>
    </row>
    <row r="899">
      <c r="C899" s="79"/>
      <c r="D899" s="79"/>
      <c r="E899" s="79"/>
      <c r="M899" s="79"/>
      <c r="R899" s="79"/>
      <c r="S899" s="79"/>
      <c r="V899" s="79"/>
      <c r="W899" s="79"/>
      <c r="Z899" s="130"/>
      <c r="AB899" s="106"/>
    </row>
    <row r="900">
      <c r="C900" s="79"/>
      <c r="D900" s="79"/>
      <c r="E900" s="79"/>
      <c r="M900" s="79"/>
      <c r="R900" s="79"/>
      <c r="S900" s="79"/>
      <c r="V900" s="79"/>
      <c r="W900" s="79"/>
      <c r="Z900" s="130"/>
      <c r="AB900" s="106"/>
    </row>
    <row r="901">
      <c r="C901" s="79"/>
      <c r="D901" s="79"/>
      <c r="E901" s="79"/>
      <c r="M901" s="79"/>
      <c r="R901" s="79"/>
      <c r="S901" s="79"/>
      <c r="V901" s="79"/>
      <c r="W901" s="79"/>
      <c r="Z901" s="130"/>
      <c r="AB901" s="106"/>
    </row>
    <row r="902">
      <c r="C902" s="79"/>
      <c r="D902" s="79"/>
      <c r="E902" s="79"/>
      <c r="M902" s="79"/>
      <c r="R902" s="79"/>
      <c r="S902" s="79"/>
      <c r="V902" s="79"/>
      <c r="W902" s="79"/>
      <c r="Z902" s="130"/>
      <c r="AB902" s="106"/>
    </row>
    <row r="903">
      <c r="C903" s="79"/>
      <c r="D903" s="79"/>
      <c r="E903" s="79"/>
      <c r="M903" s="79"/>
      <c r="R903" s="79"/>
      <c r="S903" s="79"/>
      <c r="V903" s="79"/>
      <c r="W903" s="79"/>
      <c r="Z903" s="130"/>
      <c r="AB903" s="106"/>
    </row>
    <row r="904">
      <c r="C904" s="79"/>
      <c r="D904" s="79"/>
      <c r="E904" s="79"/>
      <c r="M904" s="79"/>
      <c r="R904" s="79"/>
      <c r="S904" s="79"/>
      <c r="V904" s="79"/>
      <c r="W904" s="79"/>
      <c r="Z904" s="130"/>
      <c r="AB904" s="106"/>
    </row>
    <row r="905">
      <c r="C905" s="79"/>
      <c r="D905" s="79"/>
      <c r="E905" s="79"/>
      <c r="M905" s="79"/>
      <c r="R905" s="79"/>
      <c r="S905" s="79"/>
      <c r="V905" s="79"/>
      <c r="W905" s="79"/>
      <c r="Z905" s="130"/>
      <c r="AB905" s="106"/>
    </row>
    <row r="906">
      <c r="C906" s="79"/>
      <c r="D906" s="79"/>
      <c r="E906" s="79"/>
      <c r="M906" s="79"/>
      <c r="R906" s="79"/>
      <c r="S906" s="79"/>
      <c r="V906" s="79"/>
      <c r="W906" s="79"/>
      <c r="Z906" s="130"/>
      <c r="AB906" s="106"/>
    </row>
    <row r="907">
      <c r="C907" s="79"/>
      <c r="D907" s="79"/>
      <c r="E907" s="79"/>
      <c r="M907" s="79"/>
      <c r="R907" s="79"/>
      <c r="S907" s="79"/>
      <c r="V907" s="79"/>
      <c r="W907" s="79"/>
      <c r="Z907" s="130"/>
      <c r="AB907" s="106"/>
    </row>
    <row r="908">
      <c r="C908" s="79"/>
      <c r="D908" s="79"/>
      <c r="E908" s="79"/>
      <c r="M908" s="79"/>
      <c r="R908" s="79"/>
      <c r="S908" s="79"/>
      <c r="V908" s="79"/>
      <c r="W908" s="79"/>
      <c r="Z908" s="130"/>
      <c r="AB908" s="106"/>
    </row>
    <row r="909">
      <c r="C909" s="79"/>
      <c r="D909" s="79"/>
      <c r="E909" s="79"/>
      <c r="M909" s="79"/>
      <c r="R909" s="79"/>
      <c r="S909" s="79"/>
      <c r="V909" s="79"/>
      <c r="W909" s="79"/>
      <c r="Z909" s="130"/>
      <c r="AB909" s="106"/>
    </row>
    <row r="910">
      <c r="C910" s="79"/>
      <c r="D910" s="79"/>
      <c r="E910" s="79"/>
      <c r="M910" s="79"/>
      <c r="R910" s="79"/>
      <c r="S910" s="79"/>
      <c r="V910" s="79"/>
      <c r="W910" s="79"/>
      <c r="Z910" s="130"/>
      <c r="AB910" s="106"/>
    </row>
    <row r="911">
      <c r="C911" s="79"/>
      <c r="D911" s="79"/>
      <c r="E911" s="79"/>
      <c r="M911" s="79"/>
      <c r="R911" s="79"/>
      <c r="S911" s="79"/>
      <c r="V911" s="79"/>
      <c r="W911" s="79"/>
      <c r="Z911" s="130"/>
      <c r="AB911" s="106"/>
    </row>
    <row r="912">
      <c r="C912" s="79"/>
      <c r="D912" s="79"/>
      <c r="E912" s="79"/>
      <c r="M912" s="79"/>
      <c r="R912" s="79"/>
      <c r="S912" s="79"/>
      <c r="V912" s="79"/>
      <c r="W912" s="79"/>
      <c r="Z912" s="130"/>
      <c r="AB912" s="106"/>
    </row>
    <row r="913">
      <c r="C913" s="79"/>
      <c r="D913" s="79"/>
      <c r="E913" s="79"/>
      <c r="M913" s="79"/>
      <c r="R913" s="79"/>
      <c r="S913" s="79"/>
      <c r="V913" s="79"/>
      <c r="W913" s="79"/>
      <c r="Z913" s="130"/>
      <c r="AB913" s="106"/>
    </row>
    <row r="914">
      <c r="C914" s="79"/>
      <c r="D914" s="79"/>
      <c r="E914" s="79"/>
      <c r="M914" s="79"/>
      <c r="R914" s="79"/>
      <c r="S914" s="79"/>
      <c r="V914" s="79"/>
      <c r="W914" s="79"/>
      <c r="Z914" s="130"/>
      <c r="AB914" s="106"/>
    </row>
    <row r="915">
      <c r="C915" s="79"/>
      <c r="D915" s="79"/>
      <c r="E915" s="79"/>
      <c r="M915" s="79"/>
      <c r="R915" s="79"/>
      <c r="S915" s="79"/>
      <c r="V915" s="79"/>
      <c r="W915" s="79"/>
      <c r="Z915" s="130"/>
      <c r="AB915" s="106"/>
    </row>
    <row r="916">
      <c r="C916" s="79"/>
      <c r="D916" s="79"/>
      <c r="E916" s="79"/>
      <c r="M916" s="79"/>
      <c r="R916" s="79"/>
      <c r="S916" s="79"/>
      <c r="V916" s="79"/>
      <c r="W916" s="79"/>
      <c r="Z916" s="130"/>
      <c r="AB916" s="106"/>
    </row>
    <row r="917">
      <c r="C917" s="79"/>
      <c r="D917" s="79"/>
      <c r="E917" s="79"/>
      <c r="M917" s="79"/>
      <c r="R917" s="79"/>
      <c r="S917" s="79"/>
      <c r="V917" s="79"/>
      <c r="W917" s="79"/>
      <c r="Z917" s="130"/>
      <c r="AB917" s="106"/>
    </row>
    <row r="918">
      <c r="C918" s="79"/>
      <c r="D918" s="79"/>
      <c r="E918" s="79"/>
      <c r="M918" s="79"/>
      <c r="R918" s="79"/>
      <c r="S918" s="79"/>
      <c r="V918" s="79"/>
      <c r="W918" s="79"/>
      <c r="Z918" s="130"/>
      <c r="AB918" s="106"/>
    </row>
    <row r="919">
      <c r="C919" s="79"/>
      <c r="D919" s="79"/>
      <c r="E919" s="79"/>
      <c r="M919" s="79"/>
      <c r="R919" s="79"/>
      <c r="S919" s="79"/>
      <c r="V919" s="79"/>
      <c r="W919" s="79"/>
      <c r="Z919" s="130"/>
      <c r="AB919" s="106"/>
    </row>
    <row r="920">
      <c r="C920" s="79"/>
      <c r="D920" s="79"/>
      <c r="E920" s="79"/>
      <c r="M920" s="79"/>
      <c r="R920" s="79"/>
      <c r="S920" s="79"/>
      <c r="V920" s="79"/>
      <c r="W920" s="79"/>
      <c r="Z920" s="130"/>
      <c r="AB920" s="106"/>
    </row>
    <row r="921">
      <c r="C921" s="79"/>
      <c r="D921" s="79"/>
      <c r="E921" s="79"/>
      <c r="M921" s="79"/>
      <c r="R921" s="79"/>
      <c r="S921" s="79"/>
      <c r="V921" s="79"/>
      <c r="W921" s="79"/>
      <c r="Z921" s="130"/>
      <c r="AB921" s="106"/>
    </row>
    <row r="922">
      <c r="C922" s="79"/>
      <c r="D922" s="79"/>
      <c r="E922" s="79"/>
      <c r="M922" s="79"/>
      <c r="R922" s="79"/>
      <c r="S922" s="79"/>
      <c r="V922" s="79"/>
      <c r="W922" s="79"/>
      <c r="Z922" s="130"/>
      <c r="AB922" s="106"/>
    </row>
    <row r="923">
      <c r="C923" s="79"/>
      <c r="D923" s="79"/>
      <c r="E923" s="79"/>
      <c r="M923" s="79"/>
      <c r="R923" s="79"/>
      <c r="S923" s="79"/>
      <c r="V923" s="79"/>
      <c r="W923" s="79"/>
      <c r="Z923" s="130"/>
      <c r="AB923" s="106"/>
    </row>
    <row r="924">
      <c r="C924" s="79"/>
      <c r="D924" s="79"/>
      <c r="E924" s="79"/>
      <c r="M924" s="79"/>
      <c r="R924" s="79"/>
      <c r="S924" s="79"/>
      <c r="V924" s="79"/>
      <c r="W924" s="79"/>
      <c r="Z924" s="130"/>
      <c r="AB924" s="106"/>
    </row>
    <row r="925">
      <c r="C925" s="79"/>
      <c r="D925" s="79"/>
      <c r="E925" s="79"/>
      <c r="M925" s="79"/>
      <c r="R925" s="79"/>
      <c r="S925" s="79"/>
      <c r="V925" s="79"/>
      <c r="W925" s="79"/>
      <c r="Z925" s="130"/>
      <c r="AB925" s="106"/>
    </row>
    <row r="926">
      <c r="C926" s="79"/>
      <c r="D926" s="79"/>
      <c r="E926" s="79"/>
      <c r="M926" s="79"/>
      <c r="R926" s="79"/>
      <c r="S926" s="79"/>
      <c r="V926" s="79"/>
      <c r="W926" s="79"/>
      <c r="Z926" s="130"/>
      <c r="AB926" s="106"/>
    </row>
    <row r="927">
      <c r="C927" s="79"/>
      <c r="D927" s="79"/>
      <c r="E927" s="79"/>
      <c r="M927" s="79"/>
      <c r="R927" s="79"/>
      <c r="S927" s="79"/>
      <c r="V927" s="79"/>
      <c r="W927" s="79"/>
      <c r="Z927" s="130"/>
      <c r="AB927" s="106"/>
    </row>
    <row r="928">
      <c r="C928" s="79"/>
      <c r="D928" s="79"/>
      <c r="E928" s="79"/>
      <c r="M928" s="79"/>
      <c r="R928" s="79"/>
      <c r="S928" s="79"/>
      <c r="V928" s="79"/>
      <c r="W928" s="79"/>
      <c r="Z928" s="130"/>
      <c r="AB928" s="106"/>
    </row>
    <row r="929">
      <c r="C929" s="79"/>
      <c r="D929" s="79"/>
      <c r="E929" s="79"/>
      <c r="M929" s="79"/>
      <c r="R929" s="79"/>
      <c r="S929" s="79"/>
      <c r="V929" s="79"/>
      <c r="W929" s="79"/>
      <c r="Z929" s="130"/>
      <c r="AB929" s="106"/>
    </row>
    <row r="930">
      <c r="C930" s="79"/>
      <c r="D930" s="79"/>
      <c r="E930" s="79"/>
      <c r="M930" s="79"/>
      <c r="R930" s="79"/>
      <c r="S930" s="79"/>
      <c r="V930" s="79"/>
      <c r="W930" s="79"/>
      <c r="Z930" s="130"/>
      <c r="AB930" s="106"/>
    </row>
    <row r="931">
      <c r="C931" s="79"/>
      <c r="D931" s="79"/>
      <c r="E931" s="79"/>
      <c r="M931" s="79"/>
      <c r="R931" s="79"/>
      <c r="S931" s="79"/>
      <c r="V931" s="79"/>
      <c r="W931" s="79"/>
      <c r="Z931" s="130"/>
      <c r="AB931" s="106"/>
    </row>
    <row r="932">
      <c r="C932" s="79"/>
      <c r="D932" s="79"/>
      <c r="E932" s="79"/>
      <c r="M932" s="79"/>
      <c r="R932" s="79"/>
      <c r="S932" s="79"/>
      <c r="V932" s="79"/>
      <c r="W932" s="79"/>
      <c r="Z932" s="130"/>
      <c r="AB932" s="106"/>
    </row>
    <row r="933">
      <c r="C933" s="79"/>
      <c r="D933" s="79"/>
      <c r="E933" s="79"/>
      <c r="M933" s="79"/>
      <c r="R933" s="79"/>
      <c r="S933" s="79"/>
      <c r="V933" s="79"/>
      <c r="W933" s="79"/>
      <c r="Z933" s="130"/>
      <c r="AB933" s="106"/>
    </row>
    <row r="934">
      <c r="C934" s="79"/>
      <c r="D934" s="79"/>
      <c r="E934" s="79"/>
      <c r="M934" s="79"/>
      <c r="R934" s="79"/>
      <c r="S934" s="79"/>
      <c r="V934" s="79"/>
      <c r="W934" s="79"/>
      <c r="Z934" s="130"/>
      <c r="AB934" s="106"/>
    </row>
    <row r="935">
      <c r="C935" s="79"/>
      <c r="D935" s="79"/>
      <c r="E935" s="79"/>
      <c r="M935" s="79"/>
      <c r="R935" s="79"/>
      <c r="S935" s="79"/>
      <c r="V935" s="79"/>
      <c r="W935" s="79"/>
      <c r="Z935" s="130"/>
      <c r="AB935" s="106"/>
    </row>
    <row r="936">
      <c r="C936" s="79"/>
      <c r="D936" s="79"/>
      <c r="E936" s="79"/>
      <c r="M936" s="79"/>
      <c r="R936" s="79"/>
      <c r="S936" s="79"/>
      <c r="V936" s="79"/>
      <c r="W936" s="79"/>
      <c r="Z936" s="130"/>
      <c r="AB936" s="106"/>
    </row>
    <row r="937">
      <c r="C937" s="79"/>
      <c r="D937" s="79"/>
      <c r="E937" s="79"/>
      <c r="M937" s="79"/>
      <c r="R937" s="79"/>
      <c r="S937" s="79"/>
      <c r="V937" s="79"/>
      <c r="W937" s="79"/>
      <c r="Z937" s="130"/>
      <c r="AB937" s="106"/>
    </row>
    <row r="938">
      <c r="C938" s="79"/>
      <c r="D938" s="79"/>
      <c r="E938" s="79"/>
      <c r="M938" s="79"/>
      <c r="R938" s="79"/>
      <c r="S938" s="79"/>
      <c r="V938" s="79"/>
      <c r="W938" s="79"/>
      <c r="Z938" s="130"/>
      <c r="AB938" s="106"/>
    </row>
    <row r="939">
      <c r="C939" s="79"/>
      <c r="D939" s="79"/>
      <c r="E939" s="79"/>
      <c r="M939" s="79"/>
      <c r="R939" s="79"/>
      <c r="S939" s="79"/>
      <c r="V939" s="79"/>
      <c r="W939" s="79"/>
      <c r="Z939" s="130"/>
      <c r="AB939" s="106"/>
    </row>
    <row r="940">
      <c r="C940" s="79"/>
      <c r="D940" s="79"/>
      <c r="E940" s="79"/>
      <c r="M940" s="79"/>
      <c r="R940" s="79"/>
      <c r="S940" s="79"/>
      <c r="V940" s="79"/>
      <c r="W940" s="79"/>
      <c r="Z940" s="130"/>
      <c r="AB940" s="106"/>
    </row>
    <row r="941">
      <c r="C941" s="79"/>
      <c r="D941" s="79"/>
      <c r="E941" s="79"/>
      <c r="M941" s="79"/>
      <c r="R941" s="79"/>
      <c r="S941" s="79"/>
      <c r="V941" s="79"/>
      <c r="W941" s="79"/>
      <c r="Z941" s="130"/>
      <c r="AB941" s="106"/>
    </row>
    <row r="942">
      <c r="C942" s="79"/>
      <c r="D942" s="79"/>
      <c r="E942" s="79"/>
      <c r="M942" s="79"/>
      <c r="R942" s="79"/>
      <c r="S942" s="79"/>
      <c r="V942" s="79"/>
      <c r="W942" s="79"/>
      <c r="Z942" s="130"/>
      <c r="AB942" s="106"/>
    </row>
    <row r="943">
      <c r="C943" s="79"/>
      <c r="D943" s="79"/>
      <c r="E943" s="79"/>
      <c r="M943" s="79"/>
      <c r="R943" s="79"/>
      <c r="S943" s="79"/>
      <c r="V943" s="79"/>
      <c r="W943" s="79"/>
      <c r="Z943" s="130"/>
      <c r="AB943" s="106"/>
    </row>
    <row r="944">
      <c r="C944" s="79"/>
      <c r="D944" s="79"/>
      <c r="E944" s="79"/>
      <c r="M944" s="79"/>
      <c r="R944" s="79"/>
      <c r="S944" s="79"/>
      <c r="V944" s="79"/>
      <c r="W944" s="79"/>
      <c r="Z944" s="130"/>
      <c r="AB944" s="106"/>
    </row>
    <row r="945">
      <c r="C945" s="79"/>
      <c r="D945" s="79"/>
      <c r="E945" s="79"/>
      <c r="M945" s="79"/>
      <c r="R945" s="79"/>
      <c r="S945" s="79"/>
      <c r="V945" s="79"/>
      <c r="W945" s="79"/>
      <c r="Z945" s="130"/>
      <c r="AB945" s="106"/>
    </row>
    <row r="946">
      <c r="C946" s="79"/>
      <c r="D946" s="79"/>
      <c r="E946" s="79"/>
      <c r="M946" s="79"/>
      <c r="R946" s="79"/>
      <c r="S946" s="79"/>
      <c r="V946" s="79"/>
      <c r="W946" s="79"/>
      <c r="Z946" s="130"/>
      <c r="AB946" s="106"/>
    </row>
    <row r="947">
      <c r="C947" s="79"/>
      <c r="D947" s="79"/>
      <c r="E947" s="79"/>
      <c r="M947" s="79"/>
      <c r="R947" s="79"/>
      <c r="S947" s="79"/>
      <c r="V947" s="79"/>
      <c r="W947" s="79"/>
      <c r="Z947" s="130"/>
      <c r="AB947" s="106"/>
    </row>
    <row r="948">
      <c r="C948" s="79"/>
      <c r="D948" s="79"/>
      <c r="E948" s="79"/>
      <c r="M948" s="79"/>
      <c r="R948" s="79"/>
      <c r="S948" s="79"/>
      <c r="V948" s="79"/>
      <c r="W948" s="79"/>
      <c r="Z948" s="130"/>
      <c r="AB948" s="106"/>
    </row>
    <row r="949">
      <c r="C949" s="79"/>
      <c r="D949" s="79"/>
      <c r="E949" s="79"/>
      <c r="M949" s="79"/>
      <c r="R949" s="79"/>
      <c r="S949" s="79"/>
      <c r="V949" s="79"/>
      <c r="W949" s="79"/>
      <c r="Z949" s="130"/>
      <c r="AB949" s="106"/>
    </row>
    <row r="950">
      <c r="C950" s="79"/>
      <c r="D950" s="79"/>
      <c r="E950" s="79"/>
      <c r="M950" s="79"/>
      <c r="R950" s="79"/>
      <c r="S950" s="79"/>
      <c r="V950" s="79"/>
      <c r="W950" s="79"/>
      <c r="Z950" s="130"/>
      <c r="AB950" s="106"/>
    </row>
    <row r="951">
      <c r="C951" s="79"/>
      <c r="D951" s="79"/>
      <c r="E951" s="79"/>
      <c r="M951" s="79"/>
      <c r="R951" s="79"/>
      <c r="S951" s="79"/>
      <c r="V951" s="79"/>
      <c r="W951" s="79"/>
      <c r="Z951" s="130"/>
      <c r="AB951" s="106"/>
    </row>
    <row r="952">
      <c r="C952" s="79"/>
      <c r="D952" s="79"/>
      <c r="E952" s="79"/>
      <c r="M952" s="79"/>
      <c r="R952" s="79"/>
      <c r="S952" s="79"/>
      <c r="V952" s="79"/>
      <c r="W952" s="79"/>
      <c r="Z952" s="130"/>
      <c r="AB952" s="106"/>
    </row>
    <row r="953">
      <c r="C953" s="79"/>
      <c r="D953" s="79"/>
      <c r="E953" s="79"/>
      <c r="M953" s="79"/>
      <c r="R953" s="79"/>
      <c r="S953" s="79"/>
      <c r="V953" s="79"/>
      <c r="W953" s="79"/>
      <c r="Z953" s="130"/>
      <c r="AB953" s="106"/>
    </row>
    <row r="954">
      <c r="C954" s="79"/>
      <c r="D954" s="79"/>
      <c r="E954" s="79"/>
      <c r="M954" s="79"/>
      <c r="R954" s="79"/>
      <c r="S954" s="79"/>
      <c r="V954" s="79"/>
      <c r="W954" s="79"/>
      <c r="Z954" s="130"/>
      <c r="AB954" s="106"/>
    </row>
    <row r="955">
      <c r="C955" s="79"/>
      <c r="D955" s="79"/>
      <c r="E955" s="79"/>
      <c r="M955" s="79"/>
      <c r="R955" s="79"/>
      <c r="S955" s="79"/>
      <c r="V955" s="79"/>
      <c r="W955" s="79"/>
      <c r="Z955" s="130"/>
      <c r="AB955" s="106"/>
    </row>
    <row r="956">
      <c r="C956" s="79"/>
      <c r="D956" s="79"/>
      <c r="E956" s="79"/>
      <c r="M956" s="79"/>
      <c r="R956" s="79"/>
      <c r="S956" s="79"/>
      <c r="V956" s="79"/>
      <c r="W956" s="79"/>
      <c r="Z956" s="130"/>
      <c r="AB956" s="106"/>
    </row>
    <row r="957">
      <c r="C957" s="79"/>
      <c r="D957" s="79"/>
      <c r="E957" s="79"/>
      <c r="M957" s="79"/>
      <c r="R957" s="79"/>
      <c r="S957" s="79"/>
      <c r="V957" s="79"/>
      <c r="W957" s="79"/>
      <c r="Z957" s="130"/>
      <c r="AB957" s="106"/>
    </row>
    <row r="958">
      <c r="C958" s="79"/>
      <c r="D958" s="79"/>
      <c r="E958" s="79"/>
      <c r="M958" s="79"/>
      <c r="R958" s="79"/>
      <c r="S958" s="79"/>
      <c r="V958" s="79"/>
      <c r="W958" s="79"/>
      <c r="Z958" s="130"/>
      <c r="AB958" s="106"/>
    </row>
    <row r="959">
      <c r="C959" s="79"/>
      <c r="D959" s="79"/>
      <c r="E959" s="79"/>
      <c r="M959" s="79"/>
      <c r="R959" s="79"/>
      <c r="S959" s="79"/>
      <c r="V959" s="79"/>
      <c r="W959" s="79"/>
      <c r="Z959" s="130"/>
      <c r="AB959" s="106"/>
    </row>
    <row r="960">
      <c r="C960" s="79"/>
      <c r="D960" s="79"/>
      <c r="E960" s="79"/>
      <c r="M960" s="79"/>
      <c r="R960" s="79"/>
      <c r="S960" s="79"/>
      <c r="V960" s="79"/>
      <c r="W960" s="79"/>
      <c r="Z960" s="130"/>
      <c r="AB960" s="106"/>
    </row>
    <row r="961">
      <c r="C961" s="79"/>
      <c r="D961" s="79"/>
      <c r="E961" s="79"/>
      <c r="M961" s="79"/>
      <c r="R961" s="79"/>
      <c r="S961" s="79"/>
      <c r="V961" s="79"/>
      <c r="W961" s="79"/>
      <c r="Z961" s="130"/>
      <c r="AB961" s="106"/>
    </row>
    <row r="962">
      <c r="C962" s="79"/>
      <c r="D962" s="79"/>
      <c r="E962" s="79"/>
      <c r="M962" s="79"/>
      <c r="R962" s="79"/>
      <c r="S962" s="79"/>
      <c r="V962" s="79"/>
      <c r="W962" s="79"/>
      <c r="Z962" s="130"/>
      <c r="AB962" s="106"/>
    </row>
    <row r="963">
      <c r="C963" s="79"/>
      <c r="D963" s="79"/>
      <c r="E963" s="79"/>
      <c r="M963" s="79"/>
      <c r="R963" s="79"/>
      <c r="S963" s="79"/>
      <c r="V963" s="79"/>
      <c r="W963" s="79"/>
      <c r="Z963" s="130"/>
      <c r="AB963" s="106"/>
    </row>
    <row r="964">
      <c r="C964" s="79"/>
      <c r="D964" s="79"/>
      <c r="E964" s="79"/>
      <c r="M964" s="79"/>
      <c r="R964" s="79"/>
      <c r="S964" s="79"/>
      <c r="V964" s="79"/>
      <c r="W964" s="79"/>
      <c r="Z964" s="130"/>
      <c r="AB964" s="106"/>
    </row>
    <row r="965">
      <c r="C965" s="79"/>
      <c r="D965" s="79"/>
      <c r="E965" s="79"/>
      <c r="M965" s="79"/>
      <c r="R965" s="79"/>
      <c r="S965" s="79"/>
      <c r="V965" s="79"/>
      <c r="W965" s="79"/>
      <c r="Z965" s="130"/>
      <c r="AB965" s="106"/>
    </row>
    <row r="966">
      <c r="C966" s="79"/>
      <c r="D966" s="79"/>
      <c r="E966" s="79"/>
      <c r="M966" s="79"/>
      <c r="R966" s="79"/>
      <c r="S966" s="79"/>
      <c r="V966" s="79"/>
      <c r="W966" s="79"/>
      <c r="Z966" s="130"/>
      <c r="AB966" s="106"/>
    </row>
    <row r="967">
      <c r="C967" s="79"/>
      <c r="D967" s="79"/>
      <c r="E967" s="79"/>
      <c r="M967" s="79"/>
      <c r="R967" s="79"/>
      <c r="S967" s="79"/>
      <c r="V967" s="79"/>
      <c r="W967" s="79"/>
      <c r="Z967" s="130"/>
      <c r="AB967" s="106"/>
    </row>
    <row r="968">
      <c r="C968" s="79"/>
      <c r="D968" s="79"/>
      <c r="E968" s="79"/>
      <c r="M968" s="79"/>
      <c r="R968" s="79"/>
      <c r="S968" s="79"/>
      <c r="V968" s="79"/>
      <c r="W968" s="79"/>
      <c r="Z968" s="130"/>
      <c r="AB968" s="106"/>
    </row>
    <row r="969">
      <c r="C969" s="79"/>
      <c r="D969" s="79"/>
      <c r="E969" s="79"/>
      <c r="M969" s="79"/>
      <c r="R969" s="79"/>
      <c r="S969" s="79"/>
      <c r="V969" s="79"/>
      <c r="W969" s="79"/>
      <c r="Z969" s="130"/>
      <c r="AB969" s="106"/>
    </row>
    <row r="970">
      <c r="C970" s="79"/>
      <c r="D970" s="79"/>
      <c r="E970" s="79"/>
      <c r="M970" s="79"/>
      <c r="R970" s="79"/>
      <c r="S970" s="79"/>
      <c r="V970" s="79"/>
      <c r="W970" s="79"/>
      <c r="Z970" s="130"/>
      <c r="AB970" s="106"/>
    </row>
    <row r="971">
      <c r="C971" s="79"/>
      <c r="D971" s="79"/>
      <c r="E971" s="79"/>
      <c r="M971" s="79"/>
      <c r="R971" s="79"/>
      <c r="S971" s="79"/>
      <c r="V971" s="79"/>
      <c r="W971" s="79"/>
      <c r="Z971" s="130"/>
      <c r="AB971" s="106"/>
    </row>
    <row r="972">
      <c r="C972" s="79"/>
      <c r="D972" s="79"/>
      <c r="E972" s="79"/>
      <c r="M972" s="79"/>
      <c r="R972" s="79"/>
      <c r="S972" s="79"/>
      <c r="V972" s="79"/>
      <c r="W972" s="79"/>
      <c r="Z972" s="130"/>
      <c r="AB972" s="106"/>
    </row>
    <row r="973">
      <c r="C973" s="79"/>
      <c r="D973" s="79"/>
      <c r="E973" s="79"/>
      <c r="M973" s="79"/>
      <c r="R973" s="79"/>
      <c r="S973" s="79"/>
      <c r="V973" s="79"/>
      <c r="W973" s="79"/>
      <c r="Z973" s="130"/>
      <c r="AB973" s="106"/>
    </row>
    <row r="974">
      <c r="C974" s="79"/>
      <c r="D974" s="79"/>
      <c r="E974" s="79"/>
      <c r="M974" s="79"/>
      <c r="R974" s="79"/>
      <c r="S974" s="79"/>
      <c r="V974" s="79"/>
      <c r="W974" s="79"/>
      <c r="Z974" s="130"/>
      <c r="AB974" s="106"/>
    </row>
    <row r="975">
      <c r="C975" s="79"/>
      <c r="D975" s="79"/>
      <c r="E975" s="79"/>
      <c r="M975" s="79"/>
      <c r="R975" s="79"/>
      <c r="S975" s="79"/>
      <c r="V975" s="79"/>
      <c r="W975" s="79"/>
      <c r="Z975" s="130"/>
      <c r="AB975" s="106"/>
    </row>
    <row r="976">
      <c r="C976" s="79"/>
      <c r="D976" s="79"/>
      <c r="E976" s="79"/>
      <c r="M976" s="79"/>
      <c r="R976" s="79"/>
      <c r="S976" s="79"/>
      <c r="V976" s="79"/>
      <c r="W976" s="79"/>
      <c r="Z976" s="130"/>
      <c r="AB976" s="106"/>
    </row>
    <row r="977">
      <c r="C977" s="79"/>
      <c r="D977" s="79"/>
      <c r="E977" s="79"/>
      <c r="M977" s="79"/>
      <c r="R977" s="79"/>
      <c r="S977" s="79"/>
      <c r="V977" s="79"/>
      <c r="W977" s="79"/>
      <c r="Z977" s="130"/>
      <c r="AB977" s="106"/>
    </row>
    <row r="978">
      <c r="C978" s="79"/>
      <c r="D978" s="79"/>
      <c r="E978" s="79"/>
      <c r="M978" s="79"/>
      <c r="R978" s="79"/>
      <c r="S978" s="79"/>
      <c r="V978" s="79"/>
      <c r="W978" s="79"/>
      <c r="Z978" s="130"/>
      <c r="AB978" s="106"/>
    </row>
    <row r="979">
      <c r="C979" s="79"/>
      <c r="D979" s="79"/>
      <c r="E979" s="79"/>
      <c r="M979" s="79"/>
      <c r="R979" s="79"/>
      <c r="S979" s="79"/>
      <c r="V979" s="79"/>
      <c r="W979" s="79"/>
      <c r="Z979" s="130"/>
      <c r="AB979" s="106"/>
    </row>
    <row r="980">
      <c r="C980" s="79"/>
      <c r="D980" s="79"/>
      <c r="E980" s="79"/>
      <c r="M980" s="79"/>
      <c r="R980" s="79"/>
      <c r="S980" s="79"/>
      <c r="V980" s="79"/>
      <c r="W980" s="79"/>
      <c r="Z980" s="130"/>
      <c r="AB980" s="106"/>
    </row>
    <row r="981">
      <c r="C981" s="79"/>
      <c r="D981" s="79"/>
      <c r="E981" s="79"/>
      <c r="M981" s="79"/>
      <c r="R981" s="79"/>
      <c r="S981" s="79"/>
      <c r="V981" s="79"/>
      <c r="W981" s="79"/>
      <c r="Z981" s="130"/>
      <c r="AB981" s="106"/>
    </row>
    <row r="982">
      <c r="C982" s="79"/>
      <c r="D982" s="79"/>
      <c r="E982" s="79"/>
      <c r="M982" s="79"/>
      <c r="R982" s="79"/>
      <c r="S982" s="79"/>
      <c r="V982" s="79"/>
      <c r="W982" s="79"/>
      <c r="Z982" s="130"/>
      <c r="AB982" s="106"/>
    </row>
  </sheetData>
  <drawing r:id="rId2"/>
  <legacyDrawing r:id="rId3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5" max="5" width="13.5"/>
    <col customWidth="1" min="7" max="7" width="13.25"/>
    <col hidden="1" min="12" max="13" width="12.63"/>
    <col customWidth="1" min="24" max="24" width="14.63"/>
    <col customWidth="1" min="28" max="28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3</v>
      </c>
      <c r="G1" s="2" t="s">
        <v>203</v>
      </c>
      <c r="H1" s="2" t="s">
        <v>129</v>
      </c>
      <c r="I1" s="2" t="s">
        <v>5</v>
      </c>
      <c r="J1" s="2" t="s">
        <v>204</v>
      </c>
      <c r="K1" s="2" t="s">
        <v>6</v>
      </c>
      <c r="L1" s="2" t="s">
        <v>43</v>
      </c>
      <c r="M1" s="105" t="s">
        <v>40</v>
      </c>
      <c r="N1" s="2" t="s">
        <v>49</v>
      </c>
      <c r="O1" s="2" t="s">
        <v>42</v>
      </c>
      <c r="P1" s="2" t="s">
        <v>121</v>
      </c>
      <c r="Q1" s="2" t="s">
        <v>164</v>
      </c>
      <c r="R1" s="105" t="s">
        <v>9</v>
      </c>
      <c r="S1" s="105" t="s">
        <v>165</v>
      </c>
      <c r="T1" s="2" t="s">
        <v>37</v>
      </c>
      <c r="U1" s="2" t="s">
        <v>10</v>
      </c>
      <c r="V1" s="105" t="s">
        <v>11</v>
      </c>
      <c r="W1" s="105" t="s">
        <v>205</v>
      </c>
      <c r="X1" s="2" t="s">
        <v>206</v>
      </c>
      <c r="Y1" s="3" t="s">
        <v>13</v>
      </c>
      <c r="Z1" s="3" t="s">
        <v>14</v>
      </c>
      <c r="AA1" s="3" t="s">
        <v>15</v>
      </c>
      <c r="AB1" s="106"/>
    </row>
    <row r="2">
      <c r="A2" s="74">
        <v>45299.0</v>
      </c>
      <c r="B2" s="93">
        <f>386.05-218+913.99-155.52-240.12-24.6</f>
        <v>661.8</v>
      </c>
      <c r="C2" s="93"/>
      <c r="D2" s="193">
        <v>180.3</v>
      </c>
      <c r="E2" s="93"/>
      <c r="F2" s="193">
        <v>180.0</v>
      </c>
      <c r="G2" s="93"/>
      <c r="H2" s="93"/>
      <c r="I2" s="93"/>
      <c r="J2" s="93"/>
      <c r="K2" s="93"/>
      <c r="L2" s="93"/>
      <c r="M2" s="93"/>
      <c r="N2" s="93"/>
      <c r="O2" s="180">
        <v>305.0</v>
      </c>
      <c r="P2" s="93"/>
      <c r="Q2" s="93"/>
      <c r="R2" s="93"/>
      <c r="S2" s="93"/>
      <c r="T2" s="72"/>
      <c r="U2" s="93"/>
      <c r="V2" s="93">
        <v>57.05</v>
      </c>
      <c r="W2" s="93"/>
      <c r="X2" s="5"/>
      <c r="Y2" s="107">
        <f t="shared" ref="Y2:Y8" si="1">SUM(B2:X2)</f>
        <v>1384.15</v>
      </c>
      <c r="Z2" s="158">
        <v>2312.0</v>
      </c>
      <c r="AA2" s="59">
        <f t="shared" ref="AA2:AA8" si="2">Y2/Z2</f>
        <v>0.5986807958</v>
      </c>
      <c r="AB2" s="109">
        <f t="shared" ref="AB2:AB8" si="3">A2</f>
        <v>45299</v>
      </c>
    </row>
    <row r="3">
      <c r="A3" s="74">
        <v>45300.0</v>
      </c>
      <c r="B3" s="93">
        <f>626.43-59.89-26.14-32-39.32-37.1</f>
        <v>431.98</v>
      </c>
      <c r="C3" s="93">
        <v>235.1</v>
      </c>
      <c r="D3" s="193">
        <f>711.21-463.61</f>
        <v>247.6</v>
      </c>
      <c r="E3" s="93"/>
      <c r="F3" s="93"/>
      <c r="G3" s="93"/>
      <c r="H3" s="93"/>
      <c r="I3" s="93">
        <f>431-148.5</f>
        <v>282.5</v>
      </c>
      <c r="J3" s="93"/>
      <c r="K3" s="93"/>
      <c r="L3" s="93"/>
      <c r="M3" s="93"/>
      <c r="N3" s="93"/>
      <c r="O3" s="93"/>
      <c r="P3" s="101"/>
      <c r="Q3" s="93"/>
      <c r="R3" s="93"/>
      <c r="S3" s="93"/>
      <c r="T3" s="93"/>
      <c r="U3" s="93"/>
      <c r="V3" s="93"/>
      <c r="W3" s="93"/>
      <c r="X3" s="93"/>
      <c r="Y3" s="107">
        <f t="shared" si="1"/>
        <v>1197.18</v>
      </c>
      <c r="Z3" s="158">
        <v>3103.0</v>
      </c>
      <c r="AA3" s="59">
        <f t="shared" si="2"/>
        <v>0.3858137286</v>
      </c>
      <c r="AB3" s="109">
        <f t="shared" si="3"/>
        <v>45300</v>
      </c>
    </row>
    <row r="4">
      <c r="A4" s="74">
        <v>45301.0</v>
      </c>
      <c r="B4" s="93">
        <f>1040.25-12.88-46.24-221.62-63.33-8.46-8.7-29.76-46.32-8.69</f>
        <v>594.25</v>
      </c>
      <c r="C4" s="93"/>
      <c r="D4" s="93"/>
      <c r="E4" s="93"/>
      <c r="F4" s="93"/>
      <c r="G4" s="93"/>
      <c r="H4" s="93"/>
      <c r="I4" s="93">
        <f>283.8</f>
        <v>283.8</v>
      </c>
      <c r="J4" s="93"/>
      <c r="K4" s="93">
        <v>42.0</v>
      </c>
      <c r="L4" s="93"/>
      <c r="M4" s="93"/>
      <c r="N4" s="93"/>
      <c r="O4" s="93"/>
      <c r="P4" s="93">
        <v>18.5</v>
      </c>
      <c r="Q4" s="93"/>
      <c r="R4" s="93"/>
      <c r="S4" s="93"/>
      <c r="T4" s="160"/>
      <c r="U4" s="93"/>
      <c r="V4" s="93">
        <v>57.05</v>
      </c>
      <c r="W4" s="93"/>
      <c r="X4" s="6"/>
      <c r="Y4" s="107">
        <f t="shared" si="1"/>
        <v>995.6</v>
      </c>
      <c r="Z4" s="97">
        <f>771+4675</f>
        <v>5446</v>
      </c>
      <c r="AA4" s="59">
        <f t="shared" si="2"/>
        <v>0.1828130738</v>
      </c>
      <c r="AB4" s="109">
        <f t="shared" si="3"/>
        <v>45301</v>
      </c>
    </row>
    <row r="5">
      <c r="A5" s="74">
        <v>45302.0</v>
      </c>
      <c r="B5" s="93">
        <f>1798.83-28.28-33.04-46.32-26.16-38.18-39.32-179.1-33.79-12.88-109</f>
        <v>1252.76</v>
      </c>
      <c r="C5" s="93">
        <f>453.65-46.95-35.5-19.5</f>
        <v>351.7</v>
      </c>
      <c r="D5" s="93">
        <v>313.99</v>
      </c>
      <c r="E5" s="93"/>
      <c r="F5" s="93">
        <v>180.0</v>
      </c>
      <c r="G5" s="160"/>
      <c r="H5" s="93"/>
      <c r="I5" s="93"/>
      <c r="J5" s="93"/>
      <c r="K5" s="93"/>
      <c r="L5" s="93"/>
      <c r="M5" s="93"/>
      <c r="N5" s="93"/>
      <c r="O5" s="93"/>
      <c r="P5" s="93">
        <v>18.5</v>
      </c>
      <c r="Q5" s="93"/>
      <c r="R5" s="93">
        <v>198.0</v>
      </c>
      <c r="S5" s="93"/>
      <c r="T5" s="93"/>
      <c r="U5" s="93">
        <v>58.5</v>
      </c>
      <c r="V5" s="101"/>
      <c r="W5" s="101"/>
      <c r="X5" s="6"/>
      <c r="Y5" s="7">
        <f t="shared" si="1"/>
        <v>2373.45</v>
      </c>
      <c r="Z5" s="97">
        <v>4569</v>
      </c>
      <c r="AA5" s="59">
        <f t="shared" si="2"/>
        <v>0.519468155</v>
      </c>
      <c r="AB5" s="109">
        <f t="shared" si="3"/>
        <v>45302</v>
      </c>
    </row>
    <row r="6">
      <c r="A6" s="74">
        <v>45303.0</v>
      </c>
      <c r="B6" s="93">
        <f>1336.19-69-39.8-160.8-33.32-21.2-39.32-12.19-51.25-12.88</f>
        <v>896.43</v>
      </c>
      <c r="C6" s="93"/>
      <c r="D6" s="93">
        <f>367.24-123.3</f>
        <v>243.94</v>
      </c>
      <c r="E6" s="93"/>
      <c r="F6" s="93"/>
      <c r="G6" s="93"/>
      <c r="H6" s="93">
        <v>92.86</v>
      </c>
      <c r="I6" s="93"/>
      <c r="J6" s="93"/>
      <c r="K6" s="93">
        <v>123.0</v>
      </c>
      <c r="L6" s="93"/>
      <c r="M6" s="162"/>
      <c r="N6" s="93"/>
      <c r="O6" s="93"/>
      <c r="P6" s="93">
        <v>18.5</v>
      </c>
      <c r="Q6" s="93"/>
      <c r="R6" s="93"/>
      <c r="S6" s="93"/>
      <c r="T6" s="93"/>
      <c r="U6" s="93"/>
      <c r="V6" s="93">
        <v>57.05</v>
      </c>
      <c r="W6" s="93"/>
      <c r="X6" s="5"/>
      <c r="Y6" s="7">
        <f t="shared" si="1"/>
        <v>1431.78</v>
      </c>
      <c r="Z6" s="97">
        <v>5598.0</v>
      </c>
      <c r="AA6" s="59">
        <f t="shared" si="2"/>
        <v>0.2557663451</v>
      </c>
      <c r="AB6" s="109">
        <f t="shared" si="3"/>
        <v>45303</v>
      </c>
    </row>
    <row r="7">
      <c r="A7" s="74">
        <v>45304.0</v>
      </c>
      <c r="B7" s="93">
        <f>658.96-86.84-39.32</f>
        <v>532.8</v>
      </c>
      <c r="C7" s="93"/>
      <c r="D7" s="93"/>
      <c r="E7" s="93"/>
      <c r="F7" s="93"/>
      <c r="G7" s="93"/>
      <c r="H7" s="93">
        <v>88.44</v>
      </c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101"/>
      <c r="U7" s="101"/>
      <c r="V7" s="101"/>
      <c r="W7" s="101"/>
      <c r="X7" s="5"/>
      <c r="Y7" s="7">
        <f t="shared" si="1"/>
        <v>621.24</v>
      </c>
      <c r="Z7" s="97">
        <v>8546</v>
      </c>
      <c r="AA7" s="59">
        <f t="shared" si="2"/>
        <v>0.07269365785</v>
      </c>
      <c r="AB7" s="109">
        <f t="shared" si="3"/>
        <v>45304</v>
      </c>
    </row>
    <row r="8">
      <c r="A8" s="74">
        <v>45305.0</v>
      </c>
      <c r="B8" s="112" t="s">
        <v>21</v>
      </c>
      <c r="C8" s="112" t="s">
        <v>21</v>
      </c>
      <c r="D8" s="180">
        <v>860.0</v>
      </c>
      <c r="E8" s="112" t="s">
        <v>21</v>
      </c>
      <c r="F8" s="112" t="s">
        <v>21</v>
      </c>
      <c r="G8" s="112" t="s">
        <v>21</v>
      </c>
      <c r="H8" s="112" t="s">
        <v>21</v>
      </c>
      <c r="I8" s="112" t="s">
        <v>21</v>
      </c>
      <c r="J8" s="112" t="s">
        <v>21</v>
      </c>
      <c r="K8" s="112" t="s">
        <v>21</v>
      </c>
      <c r="L8" s="112" t="s">
        <v>21</v>
      </c>
      <c r="M8" s="112" t="s">
        <v>21</v>
      </c>
      <c r="N8" s="112" t="s">
        <v>21</v>
      </c>
      <c r="O8" s="93"/>
      <c r="P8" s="112" t="s">
        <v>21</v>
      </c>
      <c r="Q8" s="112" t="s">
        <v>21</v>
      </c>
      <c r="R8" s="112" t="s">
        <v>21</v>
      </c>
      <c r="S8" s="112" t="s">
        <v>21</v>
      </c>
      <c r="T8" s="112" t="s">
        <v>21</v>
      </c>
      <c r="U8" s="112" t="s">
        <v>21</v>
      </c>
      <c r="V8" s="10" t="s">
        <v>21</v>
      </c>
      <c r="W8" s="10" t="s">
        <v>21</v>
      </c>
      <c r="X8" s="10" t="s">
        <v>21</v>
      </c>
      <c r="Y8" s="7">
        <f t="shared" si="1"/>
        <v>860</v>
      </c>
      <c r="Z8" s="97">
        <f>1294.8+3413</f>
        <v>4707.8</v>
      </c>
      <c r="AA8" s="59">
        <f t="shared" si="2"/>
        <v>0.1826755597</v>
      </c>
      <c r="AB8" s="109">
        <f t="shared" si="3"/>
        <v>45305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Z9" s="129"/>
      <c r="AB9" s="106"/>
    </row>
    <row r="10">
      <c r="A10" s="164" t="s">
        <v>193</v>
      </c>
      <c r="B10" s="78"/>
      <c r="C10" s="78"/>
      <c r="D10" s="78"/>
      <c r="E10" s="188"/>
      <c r="F10" s="188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Z10" s="129"/>
      <c r="AB10" s="106"/>
    </row>
    <row r="11">
      <c r="A11" s="165" t="s">
        <v>194</v>
      </c>
      <c r="B11" s="93">
        <f>218+59.89+26.14+39.32+37.1+8.69+33.04+46.32+26.16+38.18+33.79+12.88+109+33.32+21.2+39.32+51.25+12.88+86.84+39.32</f>
        <v>972.64</v>
      </c>
      <c r="C11" s="93">
        <f>46.95+32.5+19.5</f>
        <v>98.95</v>
      </c>
      <c r="D11" s="93"/>
      <c r="E11" s="167"/>
      <c r="F11" s="168"/>
      <c r="G11" s="166"/>
      <c r="H11" s="166"/>
      <c r="I11" s="93"/>
      <c r="J11" s="168"/>
      <c r="K11" s="168"/>
      <c r="L11" s="168"/>
      <c r="M11" s="168"/>
      <c r="N11" s="166"/>
      <c r="O11" s="168"/>
      <c r="P11" s="1"/>
      <c r="Q11" s="1"/>
      <c r="R11" s="1"/>
      <c r="S11" s="1"/>
      <c r="T11" s="1"/>
      <c r="U11" s="1"/>
      <c r="V11" s="168"/>
      <c r="W11" s="168"/>
      <c r="X11" s="1"/>
      <c r="Y11" s="1"/>
      <c r="Z11" s="169"/>
      <c r="AA11" s="1"/>
      <c r="AB11" s="170"/>
    </row>
    <row r="12">
      <c r="A12" s="165" t="s">
        <v>195</v>
      </c>
      <c r="B12" s="93">
        <f>155.52+240.12+24.6+32+12.88+46.24+221.62+63.33+8.46+8.7+29.76+46.32+28.28+39.32+39.8+160.8+12.19</f>
        <v>1169.94</v>
      </c>
      <c r="C12" s="93"/>
      <c r="D12" s="93">
        <v>123.3</v>
      </c>
      <c r="E12" s="93"/>
      <c r="F12" s="93"/>
      <c r="G12" s="93"/>
      <c r="H12" s="93"/>
      <c r="I12" s="93">
        <f>148.5+190</f>
        <v>338.5</v>
      </c>
      <c r="J12" s="93"/>
      <c r="K12" s="93"/>
      <c r="L12" s="93"/>
      <c r="M12" s="93"/>
      <c r="N12" s="93"/>
      <c r="O12" s="166"/>
      <c r="P12" s="1"/>
      <c r="Q12" s="1"/>
      <c r="R12" s="168"/>
      <c r="S12" s="168"/>
      <c r="T12" s="1"/>
      <c r="U12" s="96"/>
      <c r="V12" s="168"/>
      <c r="W12" s="168"/>
      <c r="X12" s="1"/>
      <c r="Y12" s="1"/>
      <c r="Z12" s="171"/>
      <c r="AA12" s="1"/>
      <c r="AB12" s="170"/>
    </row>
    <row r="13">
      <c r="A13" s="172" t="s">
        <v>224</v>
      </c>
      <c r="B13" s="93"/>
      <c r="C13" s="93"/>
      <c r="D13" s="93"/>
      <c r="E13" s="168"/>
      <c r="F13" s="166"/>
      <c r="G13" s="93"/>
      <c r="H13" s="168"/>
      <c r="I13" s="168"/>
      <c r="J13" s="168"/>
      <c r="K13" s="168"/>
      <c r="L13" s="168"/>
      <c r="M13" s="168"/>
      <c r="N13" s="168"/>
      <c r="O13" s="168"/>
      <c r="P13" s="1"/>
      <c r="Q13" s="1"/>
      <c r="R13" s="168"/>
      <c r="S13" s="168"/>
      <c r="T13" s="1"/>
      <c r="U13" s="1"/>
      <c r="V13" s="168"/>
      <c r="W13" s="168"/>
      <c r="X13" s="1"/>
      <c r="Y13" s="1"/>
      <c r="Z13" s="174"/>
      <c r="AA13" s="1"/>
      <c r="AB13" s="170"/>
    </row>
    <row r="14" hidden="1">
      <c r="A14" s="172" t="s">
        <v>197</v>
      </c>
      <c r="B14" s="93"/>
      <c r="C14" s="93"/>
      <c r="D14" s="93"/>
      <c r="E14" s="168"/>
      <c r="F14" s="166"/>
      <c r="G14" s="168"/>
      <c r="H14" s="168"/>
      <c r="I14" s="168"/>
      <c r="J14" s="168"/>
      <c r="K14" s="168"/>
      <c r="L14" s="168"/>
      <c r="M14" s="168"/>
      <c r="N14" s="166"/>
      <c r="O14" s="168"/>
      <c r="P14" s="1"/>
      <c r="Q14" s="1"/>
      <c r="R14" s="168"/>
      <c r="S14" s="168"/>
      <c r="T14" s="1"/>
      <c r="U14" s="96"/>
      <c r="V14" s="168"/>
      <c r="W14" s="168"/>
      <c r="X14" s="1"/>
      <c r="Y14" s="1"/>
      <c r="Z14" s="174"/>
      <c r="AA14" s="1"/>
      <c r="AB14" s="170"/>
    </row>
    <row r="15">
      <c r="A15" s="165" t="s">
        <v>198</v>
      </c>
      <c r="B15" s="93">
        <f>179.1+69</f>
        <v>248.1</v>
      </c>
      <c r="C15" s="93"/>
      <c r="D15" s="93"/>
      <c r="E15" s="168"/>
      <c r="F15" s="166"/>
      <c r="G15" s="168"/>
      <c r="H15" s="168"/>
      <c r="I15" s="168"/>
      <c r="J15" s="168"/>
      <c r="K15" s="168"/>
      <c r="L15" s="168"/>
      <c r="M15" s="168"/>
      <c r="N15" s="166"/>
      <c r="O15" s="168"/>
      <c r="P15" s="1"/>
      <c r="Q15" s="1"/>
      <c r="R15" s="168"/>
      <c r="S15" s="168"/>
      <c r="T15" s="1"/>
      <c r="U15" s="96"/>
      <c r="V15" s="168"/>
      <c r="W15" s="168"/>
      <c r="X15" s="1"/>
      <c r="Y15" s="1"/>
      <c r="Z15" s="174"/>
      <c r="AA15" s="1"/>
      <c r="AB15" s="170"/>
    </row>
    <row r="16">
      <c r="A16" s="91"/>
      <c r="B16" s="92"/>
      <c r="C16" s="79"/>
      <c r="D16" s="79"/>
      <c r="E16" s="79"/>
      <c r="F16" s="78"/>
      <c r="G16" s="78"/>
      <c r="H16" s="78"/>
      <c r="K16" s="79"/>
      <c r="L16" s="79"/>
      <c r="M16" s="78"/>
      <c r="N16" s="79"/>
      <c r="O16" s="79"/>
      <c r="R16" s="79"/>
      <c r="S16" s="79"/>
      <c r="V16" s="79"/>
      <c r="W16" s="79"/>
      <c r="Z16" s="131"/>
      <c r="AB16" s="106"/>
    </row>
    <row r="17">
      <c r="A17" s="91"/>
      <c r="B17" s="92"/>
      <c r="C17" s="78"/>
      <c r="D17" s="78"/>
      <c r="E17" s="78"/>
      <c r="F17" s="198"/>
      <c r="G17" s="204"/>
      <c r="H17" s="204"/>
      <c r="I17" s="198"/>
      <c r="J17" s="199"/>
      <c r="K17" s="199"/>
      <c r="L17" s="200"/>
      <c r="M17" s="201"/>
      <c r="N17" s="202"/>
      <c r="O17" s="198"/>
      <c r="P17" s="198"/>
      <c r="Q17" s="198"/>
      <c r="R17" s="198"/>
      <c r="S17" s="198"/>
      <c r="V17" s="79"/>
      <c r="W17" s="79"/>
      <c r="Z17" s="131"/>
      <c r="AB17" s="106"/>
    </row>
    <row r="18">
      <c r="A18" s="4" t="s">
        <v>22</v>
      </c>
      <c r="B18" s="11">
        <v>10000.0</v>
      </c>
      <c r="C18" s="79"/>
      <c r="D18" s="79"/>
      <c r="E18" s="79"/>
      <c r="F18" s="204"/>
      <c r="G18" s="201"/>
      <c r="H18" s="201"/>
      <c r="I18" s="198"/>
      <c r="J18" s="198"/>
      <c r="K18" s="198"/>
      <c r="L18" s="198"/>
      <c r="M18" s="201"/>
      <c r="N18" s="200"/>
      <c r="O18" s="203"/>
      <c r="P18" s="198"/>
      <c r="Q18" s="198"/>
      <c r="R18" s="198"/>
      <c r="S18" s="198"/>
      <c r="T18" s="204"/>
      <c r="V18" s="79"/>
      <c r="W18" s="79"/>
      <c r="Z18" s="131"/>
      <c r="AB18" s="106"/>
    </row>
    <row r="19">
      <c r="A19" s="4" t="s">
        <v>23</v>
      </c>
      <c r="B19" s="12">
        <f>SUM(B2:X8)</f>
        <v>8863.4</v>
      </c>
      <c r="C19" s="79"/>
      <c r="D19" s="177"/>
      <c r="E19" s="78"/>
      <c r="F19" s="204"/>
      <c r="G19" s="201"/>
      <c r="H19" s="201"/>
      <c r="I19" s="198"/>
      <c r="J19" s="191"/>
      <c r="K19" s="198"/>
      <c r="L19" s="198"/>
      <c r="M19" s="200"/>
      <c r="N19" s="198"/>
      <c r="O19" s="203"/>
      <c r="P19" s="198"/>
      <c r="Q19" s="198"/>
      <c r="R19" s="198"/>
      <c r="S19" s="198"/>
      <c r="T19" s="204"/>
      <c r="V19" s="79"/>
      <c r="W19" s="79"/>
      <c r="Z19" s="131"/>
      <c r="AB19" s="106"/>
    </row>
    <row r="20">
      <c r="A20" s="4" t="s">
        <v>24</v>
      </c>
      <c r="B20" s="12">
        <f> SUM(B18-B19)</f>
        <v>1136.6</v>
      </c>
      <c r="C20" s="79"/>
      <c r="D20" s="79"/>
      <c r="E20" s="78"/>
      <c r="F20" s="201"/>
      <c r="G20" s="214"/>
      <c r="H20" s="203"/>
      <c r="I20" s="215"/>
      <c r="J20" s="203"/>
      <c r="K20" s="199"/>
      <c r="L20" s="198"/>
      <c r="M20" s="201"/>
      <c r="N20" s="200"/>
      <c r="O20" s="203"/>
      <c r="P20" s="198"/>
      <c r="Q20" s="198"/>
      <c r="R20" s="198"/>
      <c r="S20" s="198"/>
      <c r="T20" s="204"/>
      <c r="V20" s="79"/>
      <c r="W20" s="79"/>
      <c r="Z20" s="131"/>
      <c r="AB20" s="106"/>
    </row>
    <row r="21">
      <c r="C21" s="79"/>
      <c r="D21" s="79"/>
      <c r="E21" s="78"/>
      <c r="F21" s="204"/>
      <c r="G21" s="214"/>
      <c r="H21" s="203"/>
      <c r="I21" s="205"/>
      <c r="J21" s="203"/>
      <c r="K21" s="203"/>
      <c r="L21" s="198"/>
      <c r="M21" s="201"/>
      <c r="N21" s="198"/>
      <c r="O21" s="203"/>
      <c r="P21" s="198"/>
      <c r="Q21" s="206"/>
      <c r="R21" s="198"/>
      <c r="S21" s="198"/>
      <c r="T21" s="204"/>
      <c r="V21" s="79"/>
      <c r="W21" s="79"/>
      <c r="Z21" s="131"/>
      <c r="AB21" s="106"/>
    </row>
    <row r="22">
      <c r="A22" s="13" t="s">
        <v>25</v>
      </c>
      <c r="B22" s="14">
        <f>SUM(Z2:Z8)</f>
        <v>34281.8</v>
      </c>
      <c r="C22" s="79"/>
      <c r="D22" s="79"/>
      <c r="E22" s="78"/>
      <c r="F22" s="201"/>
      <c r="G22" s="201"/>
      <c r="H22" s="201"/>
      <c r="I22" s="203"/>
      <c r="J22" s="203"/>
      <c r="K22" s="203"/>
      <c r="L22" s="198"/>
      <c r="M22" s="201"/>
      <c r="N22" s="198"/>
      <c r="O22" s="203"/>
      <c r="P22" s="198"/>
      <c r="Q22" s="198"/>
      <c r="R22" s="198"/>
      <c r="S22" s="198"/>
      <c r="T22" s="204"/>
      <c r="V22" s="79"/>
      <c r="W22" s="79"/>
      <c r="Z22" s="181"/>
      <c r="AB22" s="106"/>
    </row>
    <row r="23">
      <c r="A23" s="13" t="s">
        <v>26</v>
      </c>
      <c r="B23" s="15">
        <f>B19/B22</f>
        <v>0.2585453506</v>
      </c>
      <c r="C23" s="79"/>
      <c r="D23" s="79"/>
      <c r="E23" s="78"/>
      <c r="F23" s="204"/>
      <c r="G23" s="204"/>
      <c r="H23" s="207"/>
      <c r="I23" s="203"/>
      <c r="J23" s="203"/>
      <c r="K23" s="203"/>
      <c r="L23" s="198"/>
      <c r="M23" s="200"/>
      <c r="N23" s="203"/>
      <c r="O23" s="203"/>
      <c r="P23" s="198"/>
      <c r="Q23" s="198"/>
      <c r="R23" s="198"/>
      <c r="S23" s="198"/>
      <c r="T23" s="204"/>
      <c r="V23" s="79"/>
      <c r="W23" s="79"/>
      <c r="Z23" s="130"/>
      <c r="AB23" s="106"/>
    </row>
    <row r="24">
      <c r="C24" s="79"/>
      <c r="D24" s="79"/>
      <c r="E24" s="78"/>
      <c r="F24" s="204"/>
      <c r="G24" s="204"/>
      <c r="H24" s="204"/>
      <c r="I24" s="203"/>
      <c r="J24" s="203"/>
      <c r="K24" s="203"/>
      <c r="L24" s="198"/>
      <c r="M24" s="198"/>
      <c r="N24" s="198"/>
      <c r="O24" s="198"/>
      <c r="P24" s="198"/>
      <c r="Q24" s="198"/>
      <c r="R24" s="198"/>
      <c r="S24" s="198"/>
      <c r="T24" s="204"/>
      <c r="V24" s="79"/>
      <c r="W24" s="79"/>
      <c r="Z24" s="182"/>
      <c r="AB24" s="106"/>
    </row>
    <row r="25">
      <c r="C25" s="79"/>
      <c r="D25" s="79"/>
      <c r="E25" s="79"/>
      <c r="F25" s="204"/>
      <c r="G25" s="204"/>
      <c r="H25" s="204"/>
      <c r="I25" s="203"/>
      <c r="J25" s="203"/>
      <c r="K25" s="203"/>
      <c r="L25" s="198"/>
      <c r="M25" s="201"/>
      <c r="N25" s="198"/>
      <c r="O25" s="198"/>
      <c r="P25" s="198"/>
      <c r="Q25" s="198"/>
      <c r="R25" s="198"/>
      <c r="S25" s="198"/>
      <c r="T25" s="204"/>
      <c r="V25" s="79"/>
      <c r="W25" s="79"/>
      <c r="Z25" s="130"/>
      <c r="AB25" s="106"/>
    </row>
    <row r="26">
      <c r="A26" s="16" t="s">
        <v>27</v>
      </c>
      <c r="B26" s="17"/>
      <c r="C26" s="114"/>
      <c r="D26" s="114"/>
      <c r="E26" s="115"/>
      <c r="F26" s="204"/>
      <c r="G26" s="204"/>
      <c r="H26" s="204"/>
      <c r="I26" s="203"/>
      <c r="J26" s="203"/>
      <c r="K26" s="204"/>
      <c r="L26" s="208"/>
      <c r="M26" s="208"/>
      <c r="N26" s="198"/>
      <c r="O26" s="200"/>
      <c r="P26" s="198"/>
      <c r="Q26" s="198"/>
      <c r="R26" s="198"/>
      <c r="S26" s="198"/>
      <c r="T26" s="204"/>
      <c r="V26" s="79"/>
      <c r="W26" s="79"/>
      <c r="Z26" s="130"/>
      <c r="AB26" s="106"/>
    </row>
    <row r="27">
      <c r="A27" s="19" t="s">
        <v>28</v>
      </c>
      <c r="B27" s="20"/>
      <c r="C27" s="116"/>
      <c r="D27" s="116"/>
      <c r="E27" s="117"/>
      <c r="F27" s="204"/>
      <c r="G27" s="204"/>
      <c r="H27" s="204"/>
      <c r="I27" s="203"/>
      <c r="J27" s="203"/>
      <c r="K27" s="208"/>
      <c r="L27" s="209"/>
      <c r="M27" s="209"/>
      <c r="N27" s="198"/>
      <c r="O27" s="198"/>
      <c r="P27" s="198"/>
      <c r="Q27" s="198"/>
      <c r="R27" s="198"/>
      <c r="S27" s="198"/>
      <c r="T27" s="204"/>
      <c r="V27" s="79"/>
      <c r="W27" s="79"/>
      <c r="Z27" s="130"/>
      <c r="AB27" s="106"/>
    </row>
    <row r="28">
      <c r="A28" s="183" t="s">
        <v>29</v>
      </c>
      <c r="B28" s="184" t="s">
        <v>30</v>
      </c>
      <c r="C28" s="185"/>
      <c r="D28" s="185" t="s">
        <v>170</v>
      </c>
      <c r="E28" s="186" t="s">
        <v>171</v>
      </c>
      <c r="F28" s="204"/>
      <c r="G28" s="204"/>
      <c r="H28" s="204"/>
      <c r="I28" s="203"/>
      <c r="J28" s="203"/>
      <c r="K28" s="216"/>
      <c r="L28" s="209"/>
      <c r="M28" s="209"/>
      <c r="N28" s="198"/>
      <c r="O28" s="198"/>
      <c r="P28" s="198"/>
      <c r="Q28" s="198"/>
      <c r="R28" s="198"/>
      <c r="S28" s="198"/>
      <c r="T28" s="204"/>
      <c r="V28" s="79"/>
      <c r="W28" s="79"/>
      <c r="Z28" s="130"/>
      <c r="AB28" s="106"/>
    </row>
    <row r="29">
      <c r="A29" s="166" t="s">
        <v>41</v>
      </c>
      <c r="B29" s="93">
        <v>1320.16</v>
      </c>
      <c r="C29" s="168"/>
      <c r="D29" s="168"/>
      <c r="E29" s="166" t="s">
        <v>225</v>
      </c>
      <c r="F29" s="204"/>
      <c r="G29" s="204"/>
      <c r="H29" s="204"/>
      <c r="I29" s="203"/>
      <c r="J29" s="217"/>
      <c r="K29" s="198"/>
      <c r="L29" s="198"/>
      <c r="M29" s="198"/>
      <c r="N29" s="198"/>
      <c r="O29" s="198"/>
      <c r="P29" s="198"/>
      <c r="Q29" s="198"/>
      <c r="R29" s="198"/>
      <c r="S29" s="198"/>
      <c r="T29" s="204"/>
      <c r="V29" s="79"/>
      <c r="W29" s="79"/>
      <c r="Z29" s="130"/>
      <c r="AB29" s="106"/>
    </row>
    <row r="30">
      <c r="A30" s="166" t="s">
        <v>226</v>
      </c>
      <c r="B30" s="93">
        <v>463.61</v>
      </c>
      <c r="C30" s="168"/>
      <c r="D30" s="168"/>
      <c r="E30" s="166" t="s">
        <v>227</v>
      </c>
      <c r="F30" s="204"/>
      <c r="G30" s="204"/>
      <c r="H30" s="204"/>
      <c r="I30" s="198"/>
      <c r="J30" s="198"/>
      <c r="K30" s="198"/>
      <c r="L30" s="198"/>
      <c r="M30" s="198"/>
      <c r="N30" s="198"/>
      <c r="O30" s="198"/>
      <c r="P30" s="198"/>
      <c r="Q30" s="198"/>
      <c r="R30" s="198"/>
      <c r="S30" s="198"/>
      <c r="T30" s="204"/>
      <c r="V30" s="79"/>
      <c r="W30" s="79"/>
      <c r="Z30" s="130"/>
      <c r="AB30" s="106"/>
    </row>
    <row r="31">
      <c r="C31" s="79"/>
      <c r="D31" s="79"/>
      <c r="E31" s="79"/>
      <c r="F31" s="204"/>
      <c r="G31" s="204"/>
      <c r="H31" s="204"/>
      <c r="I31" s="198"/>
      <c r="J31" s="198"/>
      <c r="K31" s="198"/>
      <c r="L31" s="198"/>
      <c r="M31" s="198"/>
      <c r="N31" s="198"/>
      <c r="O31" s="201"/>
      <c r="P31" s="198"/>
      <c r="Q31" s="198"/>
      <c r="R31" s="198"/>
      <c r="S31" s="198"/>
      <c r="T31" s="204"/>
      <c r="V31" s="79"/>
      <c r="W31" s="79"/>
      <c r="Z31" s="130"/>
      <c r="AB31" s="106"/>
    </row>
    <row r="32">
      <c r="C32" s="79"/>
      <c r="D32" s="79"/>
      <c r="E32" s="79"/>
      <c r="F32" s="204"/>
      <c r="G32" s="204"/>
      <c r="H32" s="204"/>
      <c r="I32" s="198"/>
      <c r="J32" s="198"/>
      <c r="K32" s="198"/>
      <c r="L32" s="198"/>
      <c r="M32" s="198"/>
      <c r="N32" s="198"/>
      <c r="O32" s="201"/>
      <c r="P32" s="198"/>
      <c r="Q32" s="198"/>
      <c r="R32" s="198"/>
      <c r="S32" s="198"/>
      <c r="T32" s="204"/>
      <c r="V32" s="79"/>
      <c r="W32" s="79"/>
      <c r="Z32" s="130"/>
      <c r="AB32" s="106"/>
    </row>
    <row r="33">
      <c r="C33" s="79"/>
      <c r="D33" s="79"/>
      <c r="E33" s="79"/>
      <c r="F33" s="204"/>
      <c r="G33" s="204"/>
      <c r="H33" s="204"/>
      <c r="I33" s="213"/>
      <c r="J33" s="204"/>
      <c r="K33" s="204"/>
      <c r="L33" s="204"/>
      <c r="M33" s="198"/>
      <c r="N33" s="204"/>
      <c r="O33" s="213"/>
      <c r="P33" s="204"/>
      <c r="Q33" s="204"/>
      <c r="R33" s="198"/>
      <c r="S33" s="198"/>
      <c r="T33" s="204"/>
      <c r="V33" s="79"/>
      <c r="W33" s="79"/>
      <c r="Z33" s="130"/>
      <c r="AB33" s="106"/>
    </row>
    <row r="34">
      <c r="C34" s="79"/>
      <c r="D34" s="79"/>
      <c r="E34" s="79"/>
      <c r="F34" s="204"/>
      <c r="G34" s="204"/>
      <c r="H34" s="204"/>
      <c r="I34" s="213"/>
      <c r="J34" s="204"/>
      <c r="K34" s="204"/>
      <c r="L34" s="204"/>
      <c r="M34" s="198"/>
      <c r="N34" s="204"/>
      <c r="O34" s="204"/>
      <c r="P34" s="204"/>
      <c r="Q34" s="204"/>
      <c r="R34" s="198"/>
      <c r="S34" s="198"/>
      <c r="T34" s="204"/>
      <c r="V34" s="79"/>
      <c r="W34" s="79"/>
      <c r="Z34" s="130"/>
      <c r="AB34" s="106"/>
    </row>
    <row r="35">
      <c r="C35" s="79"/>
      <c r="D35" s="79"/>
      <c r="E35" s="79"/>
      <c r="F35" s="204"/>
      <c r="G35" s="204"/>
      <c r="H35" s="204"/>
      <c r="I35" s="213"/>
      <c r="J35" s="204"/>
      <c r="K35" s="204"/>
      <c r="L35" s="204"/>
      <c r="M35" s="198"/>
      <c r="N35" s="204"/>
      <c r="O35" s="204"/>
      <c r="P35" s="204"/>
      <c r="Q35" s="204"/>
      <c r="R35" s="198"/>
      <c r="S35" s="198"/>
      <c r="V35" s="79"/>
      <c r="W35" s="79"/>
      <c r="Z35" s="130"/>
      <c r="AB35" s="106"/>
    </row>
    <row r="36">
      <c r="C36" s="79"/>
      <c r="D36" s="79"/>
      <c r="E36" s="79"/>
      <c r="I36" s="213"/>
      <c r="J36" s="204"/>
      <c r="K36" s="204"/>
      <c r="L36" s="204"/>
      <c r="M36" s="198"/>
      <c r="N36" s="204"/>
      <c r="O36" s="204"/>
      <c r="P36" s="204"/>
      <c r="Q36" s="204"/>
      <c r="R36" s="198"/>
      <c r="S36" s="79"/>
      <c r="V36" s="79"/>
      <c r="W36" s="79"/>
      <c r="Z36" s="130"/>
      <c r="AB36" s="106"/>
    </row>
    <row r="37">
      <c r="C37" s="79"/>
      <c r="D37" s="79"/>
      <c r="E37" s="79"/>
      <c r="I37" s="213"/>
      <c r="J37" s="204"/>
      <c r="K37" s="204"/>
      <c r="L37" s="204"/>
      <c r="M37" s="198"/>
      <c r="N37" s="204"/>
      <c r="O37" s="204"/>
      <c r="P37" s="204"/>
      <c r="Q37" s="204"/>
      <c r="R37" s="198"/>
      <c r="S37" s="79"/>
      <c r="V37" s="79"/>
      <c r="W37" s="79"/>
      <c r="Z37" s="130"/>
      <c r="AB37" s="106"/>
    </row>
    <row r="38">
      <c r="C38" s="79"/>
      <c r="D38" s="79"/>
      <c r="E38" s="79"/>
      <c r="I38" s="204"/>
      <c r="J38" s="204"/>
      <c r="K38" s="204"/>
      <c r="L38" s="204"/>
      <c r="M38" s="198"/>
      <c r="N38" s="204"/>
      <c r="O38" s="204"/>
      <c r="P38" s="204"/>
      <c r="Q38" s="204"/>
      <c r="R38" s="198"/>
      <c r="S38" s="79"/>
      <c r="V38" s="79"/>
      <c r="W38" s="79"/>
      <c r="Z38" s="130"/>
      <c r="AB38" s="106"/>
    </row>
    <row r="39">
      <c r="C39" s="79"/>
      <c r="D39" s="79"/>
      <c r="E39" s="79"/>
      <c r="I39" s="204"/>
      <c r="J39" s="204"/>
      <c r="K39" s="204"/>
      <c r="L39" s="204"/>
      <c r="M39" s="198"/>
      <c r="N39" s="204"/>
      <c r="O39" s="204"/>
      <c r="P39" s="204"/>
      <c r="Q39" s="204"/>
      <c r="R39" s="198"/>
      <c r="S39" s="79"/>
      <c r="V39" s="79"/>
      <c r="W39" s="79"/>
      <c r="Z39" s="130"/>
      <c r="AB39" s="106"/>
    </row>
    <row r="40">
      <c r="C40" s="79"/>
      <c r="D40" s="79"/>
      <c r="E40" s="79"/>
      <c r="M40" s="79"/>
      <c r="R40" s="79"/>
      <c r="S40" s="79"/>
      <c r="V40" s="79"/>
      <c r="W40" s="79"/>
      <c r="Z40" s="130"/>
      <c r="AB40" s="106"/>
    </row>
    <row r="41">
      <c r="C41" s="79"/>
      <c r="D41" s="79"/>
      <c r="E41" s="79"/>
      <c r="M41" s="79"/>
      <c r="R41" s="79"/>
      <c r="S41" s="79"/>
      <c r="V41" s="79"/>
      <c r="W41" s="79"/>
      <c r="Z41" s="130"/>
      <c r="AB41" s="106"/>
    </row>
    <row r="42">
      <c r="C42" s="79"/>
      <c r="D42" s="79"/>
      <c r="E42" s="79"/>
      <c r="M42" s="79"/>
      <c r="R42" s="79"/>
      <c r="S42" s="79"/>
      <c r="V42" s="79"/>
      <c r="W42" s="79"/>
      <c r="Z42" s="130"/>
      <c r="AB42" s="106"/>
    </row>
    <row r="43">
      <c r="C43" s="79"/>
      <c r="D43" s="79"/>
      <c r="E43" s="79"/>
      <c r="M43" s="79"/>
      <c r="R43" s="79"/>
      <c r="S43" s="79"/>
      <c r="V43" s="79"/>
      <c r="W43" s="79"/>
      <c r="Z43" s="130"/>
      <c r="AB43" s="106"/>
    </row>
    <row r="44">
      <c r="C44" s="79"/>
      <c r="D44" s="79"/>
      <c r="E44" s="79"/>
      <c r="M44" s="79"/>
      <c r="R44" s="79"/>
      <c r="S44" s="79"/>
      <c r="V44" s="79"/>
      <c r="W44" s="79"/>
      <c r="Z44" s="130"/>
      <c r="AB44" s="106"/>
    </row>
    <row r="45">
      <c r="C45" s="79"/>
      <c r="D45" s="79"/>
      <c r="E45" s="79"/>
      <c r="M45" s="79"/>
      <c r="R45" s="79"/>
      <c r="S45" s="79"/>
      <c r="V45" s="79"/>
      <c r="W45" s="79"/>
      <c r="Z45" s="130"/>
      <c r="AB45" s="106"/>
    </row>
    <row r="46">
      <c r="C46" s="79"/>
      <c r="D46" s="79"/>
      <c r="E46" s="79"/>
      <c r="M46" s="79"/>
      <c r="R46" s="79"/>
      <c r="S46" s="79"/>
      <c r="V46" s="79"/>
      <c r="W46" s="79"/>
      <c r="Z46" s="130"/>
      <c r="AB46" s="106"/>
    </row>
    <row r="47">
      <c r="C47" s="79"/>
      <c r="D47" s="79"/>
      <c r="E47" s="79"/>
      <c r="M47" s="79"/>
      <c r="R47" s="79"/>
      <c r="S47" s="79"/>
      <c r="V47" s="79"/>
      <c r="W47" s="79"/>
      <c r="Z47" s="130"/>
      <c r="AB47" s="106"/>
    </row>
    <row r="48">
      <c r="C48" s="79"/>
      <c r="D48" s="79"/>
      <c r="E48" s="79"/>
      <c r="M48" s="79"/>
      <c r="R48" s="79"/>
      <c r="S48" s="79"/>
      <c r="V48" s="79"/>
      <c r="W48" s="79"/>
      <c r="Z48" s="130"/>
      <c r="AB48" s="106"/>
    </row>
    <row r="49">
      <c r="C49" s="79"/>
      <c r="D49" s="79"/>
      <c r="E49" s="79"/>
      <c r="M49" s="79"/>
      <c r="R49" s="79"/>
      <c r="S49" s="79"/>
      <c r="V49" s="79"/>
      <c r="W49" s="79"/>
      <c r="Z49" s="130"/>
      <c r="AB49" s="106"/>
    </row>
    <row r="50">
      <c r="C50" s="79"/>
      <c r="D50" s="79"/>
      <c r="E50" s="79"/>
      <c r="M50" s="79"/>
      <c r="R50" s="79"/>
      <c r="S50" s="79"/>
      <c r="V50" s="79"/>
      <c r="W50" s="79"/>
      <c r="Z50" s="130"/>
      <c r="AB50" s="106"/>
    </row>
    <row r="51">
      <c r="C51" s="79"/>
      <c r="D51" s="79"/>
      <c r="E51" s="79"/>
      <c r="M51" s="79"/>
      <c r="R51" s="79"/>
      <c r="S51" s="79"/>
      <c r="V51" s="79"/>
      <c r="W51" s="79"/>
      <c r="Z51" s="130"/>
      <c r="AB51" s="106"/>
    </row>
    <row r="52">
      <c r="C52" s="79"/>
      <c r="D52" s="79"/>
      <c r="E52" s="79"/>
      <c r="M52" s="79"/>
      <c r="R52" s="79"/>
      <c r="S52" s="79"/>
      <c r="V52" s="79"/>
      <c r="W52" s="79"/>
      <c r="Z52" s="130"/>
      <c r="AB52" s="106"/>
    </row>
    <row r="53">
      <c r="C53" s="79"/>
      <c r="D53" s="79"/>
      <c r="E53" s="79"/>
      <c r="M53" s="79"/>
      <c r="R53" s="79"/>
      <c r="S53" s="79"/>
      <c r="V53" s="79"/>
      <c r="W53" s="79"/>
      <c r="Z53" s="130"/>
      <c r="AB53" s="106"/>
    </row>
    <row r="54">
      <c r="C54" s="79"/>
      <c r="D54" s="79"/>
      <c r="E54" s="79"/>
      <c r="M54" s="79"/>
      <c r="R54" s="79"/>
      <c r="S54" s="79"/>
      <c r="V54" s="79"/>
      <c r="W54" s="79"/>
      <c r="Z54" s="130"/>
      <c r="AB54" s="106"/>
    </row>
    <row r="55">
      <c r="C55" s="79"/>
      <c r="D55" s="79"/>
      <c r="E55" s="79"/>
      <c r="M55" s="79"/>
      <c r="R55" s="79"/>
      <c r="S55" s="79"/>
      <c r="V55" s="79"/>
      <c r="W55" s="79"/>
      <c r="Z55" s="130"/>
      <c r="AB55" s="106"/>
    </row>
    <row r="56">
      <c r="C56" s="79"/>
      <c r="D56" s="79"/>
      <c r="E56" s="79"/>
      <c r="M56" s="79"/>
      <c r="R56" s="79"/>
      <c r="S56" s="79"/>
      <c r="V56" s="79"/>
      <c r="W56" s="79"/>
      <c r="Z56" s="130"/>
      <c r="AB56" s="106"/>
    </row>
    <row r="57">
      <c r="C57" s="79"/>
      <c r="D57" s="79"/>
      <c r="E57" s="79"/>
      <c r="M57" s="79"/>
      <c r="R57" s="79"/>
      <c r="S57" s="79"/>
      <c r="V57" s="79"/>
      <c r="W57" s="79"/>
      <c r="Z57" s="130"/>
      <c r="AB57" s="106"/>
    </row>
    <row r="58">
      <c r="C58" s="79"/>
      <c r="D58" s="79"/>
      <c r="E58" s="79"/>
      <c r="M58" s="79"/>
      <c r="R58" s="79"/>
      <c r="S58" s="79"/>
      <c r="V58" s="79"/>
      <c r="W58" s="79"/>
      <c r="Z58" s="130"/>
      <c r="AB58" s="106"/>
    </row>
    <row r="59">
      <c r="C59" s="79"/>
      <c r="D59" s="79"/>
      <c r="E59" s="79"/>
      <c r="M59" s="79"/>
      <c r="R59" s="79"/>
      <c r="S59" s="79"/>
      <c r="V59" s="79"/>
      <c r="W59" s="79"/>
      <c r="Z59" s="130"/>
      <c r="AB59" s="106"/>
    </row>
    <row r="60">
      <c r="C60" s="79"/>
      <c r="D60" s="79"/>
      <c r="E60" s="79"/>
      <c r="M60" s="79"/>
      <c r="R60" s="79"/>
      <c r="S60" s="79"/>
      <c r="V60" s="79"/>
      <c r="W60" s="79"/>
      <c r="Z60" s="130"/>
      <c r="AB60" s="106"/>
    </row>
    <row r="61">
      <c r="C61" s="79"/>
      <c r="D61" s="79"/>
      <c r="E61" s="79"/>
      <c r="M61" s="79"/>
      <c r="R61" s="79"/>
      <c r="S61" s="79"/>
      <c r="V61" s="79"/>
      <c r="W61" s="79"/>
      <c r="Z61" s="130"/>
      <c r="AB61" s="106"/>
    </row>
    <row r="62">
      <c r="C62" s="79"/>
      <c r="D62" s="79"/>
      <c r="E62" s="79"/>
      <c r="M62" s="79"/>
      <c r="R62" s="79"/>
      <c r="S62" s="79"/>
      <c r="V62" s="79"/>
      <c r="W62" s="79"/>
      <c r="Z62" s="130"/>
      <c r="AB62" s="106"/>
    </row>
    <row r="63">
      <c r="C63" s="79"/>
      <c r="D63" s="79"/>
      <c r="E63" s="79"/>
      <c r="M63" s="79"/>
      <c r="R63" s="79"/>
      <c r="S63" s="79"/>
      <c r="V63" s="79"/>
      <c r="W63" s="79"/>
      <c r="Z63" s="130"/>
      <c r="AB63" s="106"/>
    </row>
    <row r="64">
      <c r="C64" s="79"/>
      <c r="D64" s="79"/>
      <c r="E64" s="79"/>
      <c r="M64" s="79"/>
      <c r="R64" s="79"/>
      <c r="S64" s="79"/>
      <c r="V64" s="79"/>
      <c r="W64" s="79"/>
      <c r="Z64" s="130"/>
      <c r="AB64" s="106"/>
    </row>
    <row r="65">
      <c r="C65" s="79"/>
      <c r="D65" s="79"/>
      <c r="E65" s="79"/>
      <c r="M65" s="79"/>
      <c r="R65" s="79"/>
      <c r="S65" s="79"/>
      <c r="V65" s="79"/>
      <c r="W65" s="79"/>
      <c r="Z65" s="130"/>
      <c r="AB65" s="106"/>
    </row>
    <row r="66">
      <c r="C66" s="79"/>
      <c r="D66" s="79"/>
      <c r="E66" s="79"/>
      <c r="M66" s="79"/>
      <c r="R66" s="79"/>
      <c r="S66" s="79"/>
      <c r="V66" s="79"/>
      <c r="W66" s="79"/>
      <c r="Z66" s="130"/>
      <c r="AB66" s="106"/>
    </row>
    <row r="67">
      <c r="C67" s="79"/>
      <c r="D67" s="79"/>
      <c r="E67" s="79"/>
      <c r="M67" s="79"/>
      <c r="R67" s="79"/>
      <c r="S67" s="79"/>
      <c r="V67" s="79"/>
      <c r="W67" s="79"/>
      <c r="Z67" s="130"/>
      <c r="AB67" s="106"/>
    </row>
    <row r="68">
      <c r="C68" s="79"/>
      <c r="D68" s="79"/>
      <c r="E68" s="79"/>
      <c r="M68" s="79"/>
      <c r="R68" s="79"/>
      <c r="S68" s="79"/>
      <c r="V68" s="79"/>
      <c r="W68" s="79"/>
      <c r="Z68" s="130"/>
      <c r="AB68" s="106"/>
    </row>
    <row r="69">
      <c r="C69" s="79"/>
      <c r="D69" s="79"/>
      <c r="E69" s="79"/>
      <c r="M69" s="79"/>
      <c r="R69" s="79"/>
      <c r="S69" s="79"/>
      <c r="V69" s="79"/>
      <c r="W69" s="79"/>
      <c r="Z69" s="130"/>
      <c r="AB69" s="106"/>
    </row>
    <row r="70">
      <c r="C70" s="79"/>
      <c r="D70" s="79"/>
      <c r="E70" s="79"/>
      <c r="M70" s="79"/>
      <c r="R70" s="79"/>
      <c r="S70" s="79"/>
      <c r="V70" s="79"/>
      <c r="W70" s="79"/>
      <c r="Z70" s="130"/>
      <c r="AB70" s="106"/>
    </row>
    <row r="71">
      <c r="C71" s="79"/>
      <c r="D71" s="79"/>
      <c r="E71" s="79"/>
      <c r="M71" s="79"/>
      <c r="R71" s="79"/>
      <c r="S71" s="79"/>
      <c r="V71" s="79"/>
      <c r="W71" s="79"/>
      <c r="Z71" s="130"/>
      <c r="AB71" s="106"/>
    </row>
    <row r="72">
      <c r="C72" s="79"/>
      <c r="D72" s="79"/>
      <c r="E72" s="79"/>
      <c r="M72" s="79"/>
      <c r="R72" s="79"/>
      <c r="S72" s="79"/>
      <c r="V72" s="79"/>
      <c r="W72" s="79"/>
      <c r="Z72" s="130"/>
      <c r="AB72" s="106"/>
    </row>
    <row r="73">
      <c r="C73" s="79"/>
      <c r="D73" s="79"/>
      <c r="E73" s="79"/>
      <c r="M73" s="79"/>
      <c r="R73" s="79"/>
      <c r="S73" s="79"/>
      <c r="V73" s="79"/>
      <c r="W73" s="79"/>
      <c r="Z73" s="130"/>
      <c r="AB73" s="106"/>
    </row>
    <row r="74">
      <c r="C74" s="79"/>
      <c r="D74" s="79"/>
      <c r="E74" s="79"/>
      <c r="M74" s="79"/>
      <c r="R74" s="79"/>
      <c r="S74" s="79"/>
      <c r="V74" s="79"/>
      <c r="W74" s="79"/>
      <c r="Z74" s="130"/>
      <c r="AB74" s="106"/>
    </row>
    <row r="75">
      <c r="C75" s="79"/>
      <c r="D75" s="79"/>
      <c r="E75" s="79"/>
      <c r="M75" s="79"/>
      <c r="R75" s="79"/>
      <c r="S75" s="79"/>
      <c r="V75" s="79"/>
      <c r="W75" s="79"/>
      <c r="Z75" s="130"/>
      <c r="AB75" s="106"/>
    </row>
    <row r="76">
      <c r="C76" s="79"/>
      <c r="D76" s="79"/>
      <c r="E76" s="79"/>
      <c r="M76" s="79"/>
      <c r="R76" s="79"/>
      <c r="S76" s="79"/>
      <c r="V76" s="79"/>
      <c r="W76" s="79"/>
      <c r="Z76" s="130"/>
      <c r="AB76" s="106"/>
    </row>
    <row r="77">
      <c r="C77" s="79"/>
      <c r="D77" s="79"/>
      <c r="E77" s="79"/>
      <c r="M77" s="79"/>
      <c r="R77" s="79"/>
      <c r="S77" s="79"/>
      <c r="V77" s="79"/>
      <c r="W77" s="79"/>
      <c r="Z77" s="130"/>
      <c r="AB77" s="106"/>
    </row>
    <row r="78">
      <c r="C78" s="79"/>
      <c r="D78" s="79"/>
      <c r="E78" s="79"/>
      <c r="M78" s="79"/>
      <c r="R78" s="79"/>
      <c r="S78" s="79"/>
      <c r="V78" s="79"/>
      <c r="W78" s="79"/>
      <c r="Z78" s="130"/>
      <c r="AB78" s="106"/>
    </row>
    <row r="79">
      <c r="C79" s="79"/>
      <c r="D79" s="79"/>
      <c r="E79" s="79"/>
      <c r="M79" s="79"/>
      <c r="R79" s="79"/>
      <c r="S79" s="79"/>
      <c r="V79" s="79"/>
      <c r="W79" s="79"/>
      <c r="Z79" s="130"/>
      <c r="AB79" s="106"/>
    </row>
    <row r="80">
      <c r="C80" s="79"/>
      <c r="D80" s="79"/>
      <c r="E80" s="79"/>
      <c r="M80" s="79"/>
      <c r="R80" s="79"/>
      <c r="S80" s="79"/>
      <c r="V80" s="79"/>
      <c r="W80" s="79"/>
      <c r="Z80" s="130"/>
      <c r="AB80" s="106"/>
    </row>
    <row r="81">
      <c r="C81" s="79"/>
      <c r="D81" s="79"/>
      <c r="E81" s="79"/>
      <c r="M81" s="79"/>
      <c r="R81" s="79"/>
      <c r="S81" s="79"/>
      <c r="V81" s="79"/>
      <c r="W81" s="79"/>
      <c r="Z81" s="130"/>
      <c r="AB81" s="106"/>
    </row>
    <row r="82">
      <c r="C82" s="79"/>
      <c r="D82" s="79"/>
      <c r="E82" s="79"/>
      <c r="M82" s="79"/>
      <c r="R82" s="79"/>
      <c r="S82" s="79"/>
      <c r="V82" s="79"/>
      <c r="W82" s="79"/>
      <c r="Z82" s="130"/>
      <c r="AB82" s="106"/>
    </row>
    <row r="83">
      <c r="C83" s="79"/>
      <c r="D83" s="79"/>
      <c r="E83" s="79"/>
      <c r="M83" s="79"/>
      <c r="R83" s="79"/>
      <c r="S83" s="79"/>
      <c r="V83" s="79"/>
      <c r="W83" s="79"/>
      <c r="Z83" s="130"/>
      <c r="AB83" s="106"/>
    </row>
    <row r="84">
      <c r="C84" s="79"/>
      <c r="D84" s="79"/>
      <c r="E84" s="79"/>
      <c r="M84" s="79"/>
      <c r="R84" s="79"/>
      <c r="S84" s="79"/>
      <c r="V84" s="79"/>
      <c r="W84" s="79"/>
      <c r="Z84" s="130"/>
      <c r="AB84" s="106"/>
    </row>
    <row r="85">
      <c r="C85" s="79"/>
      <c r="D85" s="79"/>
      <c r="E85" s="79"/>
      <c r="M85" s="79"/>
      <c r="R85" s="79"/>
      <c r="S85" s="79"/>
      <c r="V85" s="79"/>
      <c r="W85" s="79"/>
      <c r="Z85" s="130"/>
      <c r="AB85" s="106"/>
    </row>
    <row r="86">
      <c r="C86" s="79"/>
      <c r="D86" s="79"/>
      <c r="E86" s="79"/>
      <c r="M86" s="79"/>
      <c r="R86" s="79"/>
      <c r="S86" s="79"/>
      <c r="V86" s="79"/>
      <c r="W86" s="79"/>
      <c r="Z86" s="130"/>
      <c r="AB86" s="106"/>
    </row>
    <row r="87">
      <c r="C87" s="79"/>
      <c r="D87" s="79"/>
      <c r="E87" s="79"/>
      <c r="M87" s="79"/>
      <c r="R87" s="79"/>
      <c r="S87" s="79"/>
      <c r="V87" s="79"/>
      <c r="W87" s="79"/>
      <c r="Z87" s="130"/>
      <c r="AB87" s="106"/>
    </row>
    <row r="88">
      <c r="C88" s="79"/>
      <c r="D88" s="79"/>
      <c r="E88" s="79"/>
      <c r="M88" s="79"/>
      <c r="R88" s="79"/>
      <c r="S88" s="79"/>
      <c r="V88" s="79"/>
      <c r="W88" s="79"/>
      <c r="Z88" s="130"/>
      <c r="AB88" s="106"/>
    </row>
    <row r="89">
      <c r="C89" s="79"/>
      <c r="D89" s="79"/>
      <c r="E89" s="79"/>
      <c r="M89" s="79"/>
      <c r="R89" s="79"/>
      <c r="S89" s="79"/>
      <c r="V89" s="79"/>
      <c r="W89" s="79"/>
      <c r="Z89" s="130"/>
      <c r="AB89" s="106"/>
    </row>
    <row r="90">
      <c r="C90" s="79"/>
      <c r="D90" s="79"/>
      <c r="E90" s="79"/>
      <c r="M90" s="79"/>
      <c r="R90" s="79"/>
      <c r="S90" s="79"/>
      <c r="V90" s="79"/>
      <c r="W90" s="79"/>
      <c r="Z90" s="130"/>
      <c r="AB90" s="106"/>
    </row>
    <row r="91">
      <c r="C91" s="79"/>
      <c r="D91" s="79"/>
      <c r="E91" s="79"/>
      <c r="M91" s="79"/>
      <c r="R91" s="79"/>
      <c r="S91" s="79"/>
      <c r="V91" s="79"/>
      <c r="W91" s="79"/>
      <c r="Z91" s="130"/>
      <c r="AB91" s="106"/>
    </row>
    <row r="92">
      <c r="C92" s="79"/>
      <c r="D92" s="79"/>
      <c r="E92" s="79"/>
      <c r="M92" s="79"/>
      <c r="R92" s="79"/>
      <c r="S92" s="79"/>
      <c r="V92" s="79"/>
      <c r="W92" s="79"/>
      <c r="Z92" s="130"/>
      <c r="AB92" s="106"/>
    </row>
    <row r="93">
      <c r="C93" s="79"/>
      <c r="D93" s="79"/>
      <c r="E93" s="79"/>
      <c r="M93" s="79"/>
      <c r="R93" s="79"/>
      <c r="S93" s="79"/>
      <c r="V93" s="79"/>
      <c r="W93" s="79"/>
      <c r="Z93" s="130"/>
      <c r="AB93" s="106"/>
    </row>
    <row r="94">
      <c r="C94" s="79"/>
      <c r="D94" s="79"/>
      <c r="E94" s="79"/>
      <c r="M94" s="79"/>
      <c r="R94" s="79"/>
      <c r="S94" s="79"/>
      <c r="V94" s="79"/>
      <c r="W94" s="79"/>
      <c r="Z94" s="130"/>
      <c r="AB94" s="106"/>
    </row>
    <row r="95">
      <c r="C95" s="79"/>
      <c r="D95" s="79"/>
      <c r="E95" s="79"/>
      <c r="M95" s="79"/>
      <c r="R95" s="79"/>
      <c r="S95" s="79"/>
      <c r="V95" s="79"/>
      <c r="W95" s="79"/>
      <c r="Z95" s="130"/>
      <c r="AB95" s="106"/>
    </row>
    <row r="96">
      <c r="C96" s="79"/>
      <c r="D96" s="79"/>
      <c r="E96" s="79"/>
      <c r="M96" s="79"/>
      <c r="R96" s="79"/>
      <c r="S96" s="79"/>
      <c r="V96" s="79"/>
      <c r="W96" s="79"/>
      <c r="Z96" s="130"/>
      <c r="AB96" s="106"/>
    </row>
    <row r="97">
      <c r="C97" s="79"/>
      <c r="D97" s="79"/>
      <c r="E97" s="79"/>
      <c r="M97" s="79"/>
      <c r="R97" s="79"/>
      <c r="S97" s="79"/>
      <c r="V97" s="79"/>
      <c r="W97" s="79"/>
      <c r="Z97" s="130"/>
      <c r="AB97" s="106"/>
    </row>
    <row r="98">
      <c r="C98" s="79"/>
      <c r="D98" s="79"/>
      <c r="E98" s="79"/>
      <c r="M98" s="79"/>
      <c r="R98" s="79"/>
      <c r="S98" s="79"/>
      <c r="V98" s="79"/>
      <c r="W98" s="79"/>
      <c r="Z98" s="130"/>
      <c r="AB98" s="106"/>
    </row>
    <row r="99">
      <c r="C99" s="79"/>
      <c r="D99" s="79"/>
      <c r="E99" s="79"/>
      <c r="M99" s="79"/>
      <c r="R99" s="79"/>
      <c r="S99" s="79"/>
      <c r="V99" s="79"/>
      <c r="W99" s="79"/>
      <c r="Z99" s="130"/>
      <c r="AB99" s="106"/>
    </row>
    <row r="100">
      <c r="C100" s="79"/>
      <c r="D100" s="79"/>
      <c r="E100" s="79"/>
      <c r="M100" s="79"/>
      <c r="R100" s="79"/>
      <c r="S100" s="79"/>
      <c r="V100" s="79"/>
      <c r="W100" s="79"/>
      <c r="Z100" s="130"/>
      <c r="AB100" s="106"/>
    </row>
    <row r="101">
      <c r="C101" s="79"/>
      <c r="D101" s="79"/>
      <c r="E101" s="79"/>
      <c r="M101" s="79"/>
      <c r="R101" s="79"/>
      <c r="S101" s="79"/>
      <c r="V101" s="79"/>
      <c r="W101" s="79"/>
      <c r="Z101" s="130"/>
      <c r="AB101" s="106"/>
    </row>
    <row r="102">
      <c r="C102" s="79"/>
      <c r="D102" s="79"/>
      <c r="E102" s="79"/>
      <c r="M102" s="79"/>
      <c r="R102" s="79"/>
      <c r="S102" s="79"/>
      <c r="V102" s="79"/>
      <c r="W102" s="79"/>
      <c r="Z102" s="130"/>
      <c r="AB102" s="106"/>
    </row>
    <row r="103">
      <c r="C103" s="79"/>
      <c r="D103" s="79"/>
      <c r="E103" s="79"/>
      <c r="M103" s="79"/>
      <c r="R103" s="79"/>
      <c r="S103" s="79"/>
      <c r="V103" s="79"/>
      <c r="W103" s="79"/>
      <c r="Z103" s="130"/>
      <c r="AB103" s="106"/>
    </row>
    <row r="104">
      <c r="C104" s="79"/>
      <c r="D104" s="79"/>
      <c r="E104" s="79"/>
      <c r="M104" s="79"/>
      <c r="R104" s="79"/>
      <c r="S104" s="79"/>
      <c r="V104" s="79"/>
      <c r="W104" s="79"/>
      <c r="Z104" s="130"/>
      <c r="AB104" s="106"/>
    </row>
    <row r="105">
      <c r="C105" s="79"/>
      <c r="D105" s="79"/>
      <c r="E105" s="79"/>
      <c r="M105" s="79"/>
      <c r="R105" s="79"/>
      <c r="S105" s="79"/>
      <c r="V105" s="79"/>
      <c r="W105" s="79"/>
      <c r="Z105" s="130"/>
      <c r="AB105" s="106"/>
    </row>
    <row r="106">
      <c r="C106" s="79"/>
      <c r="D106" s="79"/>
      <c r="E106" s="79"/>
      <c r="M106" s="79"/>
      <c r="R106" s="79"/>
      <c r="S106" s="79"/>
      <c r="V106" s="79"/>
      <c r="W106" s="79"/>
      <c r="Z106" s="130"/>
      <c r="AB106" s="106"/>
    </row>
    <row r="107">
      <c r="C107" s="79"/>
      <c r="D107" s="79"/>
      <c r="E107" s="79"/>
      <c r="M107" s="79"/>
      <c r="R107" s="79"/>
      <c r="S107" s="79"/>
      <c r="V107" s="79"/>
      <c r="W107" s="79"/>
      <c r="Z107" s="130"/>
      <c r="AB107" s="106"/>
    </row>
    <row r="108">
      <c r="C108" s="79"/>
      <c r="D108" s="79"/>
      <c r="E108" s="79"/>
      <c r="M108" s="79"/>
      <c r="R108" s="79"/>
      <c r="S108" s="79"/>
      <c r="V108" s="79"/>
      <c r="W108" s="79"/>
      <c r="Z108" s="130"/>
      <c r="AB108" s="106"/>
    </row>
    <row r="109">
      <c r="C109" s="79"/>
      <c r="D109" s="79"/>
      <c r="E109" s="79"/>
      <c r="M109" s="79"/>
      <c r="R109" s="79"/>
      <c r="S109" s="79"/>
      <c r="V109" s="79"/>
      <c r="W109" s="79"/>
      <c r="Z109" s="130"/>
      <c r="AB109" s="106"/>
    </row>
    <row r="110">
      <c r="C110" s="79"/>
      <c r="D110" s="79"/>
      <c r="E110" s="79"/>
      <c r="M110" s="79"/>
      <c r="R110" s="79"/>
      <c r="S110" s="79"/>
      <c r="V110" s="79"/>
      <c r="W110" s="79"/>
      <c r="Z110" s="130"/>
      <c r="AB110" s="106"/>
    </row>
    <row r="111">
      <c r="C111" s="79"/>
      <c r="D111" s="79"/>
      <c r="E111" s="79"/>
      <c r="M111" s="79"/>
      <c r="R111" s="79"/>
      <c r="S111" s="79"/>
      <c r="V111" s="79"/>
      <c r="W111" s="79"/>
      <c r="Z111" s="130"/>
      <c r="AB111" s="106"/>
    </row>
    <row r="112">
      <c r="C112" s="79"/>
      <c r="D112" s="79"/>
      <c r="E112" s="79"/>
      <c r="M112" s="79"/>
      <c r="R112" s="79"/>
      <c r="S112" s="79"/>
      <c r="V112" s="79"/>
      <c r="W112" s="79"/>
      <c r="Z112" s="130"/>
      <c r="AB112" s="106"/>
    </row>
    <row r="113">
      <c r="C113" s="79"/>
      <c r="D113" s="79"/>
      <c r="E113" s="79"/>
      <c r="M113" s="79"/>
      <c r="R113" s="79"/>
      <c r="S113" s="79"/>
      <c r="V113" s="79"/>
      <c r="W113" s="79"/>
      <c r="Z113" s="130"/>
      <c r="AB113" s="106"/>
    </row>
    <row r="114">
      <c r="C114" s="79"/>
      <c r="D114" s="79"/>
      <c r="E114" s="79"/>
      <c r="M114" s="79"/>
      <c r="R114" s="79"/>
      <c r="S114" s="79"/>
      <c r="V114" s="79"/>
      <c r="W114" s="79"/>
      <c r="Z114" s="130"/>
      <c r="AB114" s="106"/>
    </row>
    <row r="115">
      <c r="C115" s="79"/>
      <c r="D115" s="79"/>
      <c r="E115" s="79"/>
      <c r="M115" s="79"/>
      <c r="R115" s="79"/>
      <c r="S115" s="79"/>
      <c r="V115" s="79"/>
      <c r="W115" s="79"/>
      <c r="Z115" s="130"/>
      <c r="AB115" s="106"/>
    </row>
    <row r="116">
      <c r="C116" s="79"/>
      <c r="D116" s="79"/>
      <c r="E116" s="79"/>
      <c r="M116" s="79"/>
      <c r="R116" s="79"/>
      <c r="S116" s="79"/>
      <c r="V116" s="79"/>
      <c r="W116" s="79"/>
      <c r="Z116" s="130"/>
      <c r="AB116" s="106"/>
    </row>
    <row r="117">
      <c r="C117" s="79"/>
      <c r="D117" s="79"/>
      <c r="E117" s="79"/>
      <c r="M117" s="79"/>
      <c r="R117" s="79"/>
      <c r="S117" s="79"/>
      <c r="V117" s="79"/>
      <c r="W117" s="79"/>
      <c r="Z117" s="130"/>
      <c r="AB117" s="106"/>
    </row>
    <row r="118">
      <c r="C118" s="79"/>
      <c r="D118" s="79"/>
      <c r="E118" s="79"/>
      <c r="M118" s="79"/>
      <c r="R118" s="79"/>
      <c r="S118" s="79"/>
      <c r="V118" s="79"/>
      <c r="W118" s="79"/>
      <c r="Z118" s="130"/>
      <c r="AB118" s="106"/>
    </row>
    <row r="119">
      <c r="C119" s="79"/>
      <c r="D119" s="79"/>
      <c r="E119" s="79"/>
      <c r="M119" s="79"/>
      <c r="R119" s="79"/>
      <c r="S119" s="79"/>
      <c r="V119" s="79"/>
      <c r="W119" s="79"/>
      <c r="Z119" s="130"/>
      <c r="AB119" s="106"/>
    </row>
    <row r="120">
      <c r="C120" s="79"/>
      <c r="D120" s="79"/>
      <c r="E120" s="79"/>
      <c r="M120" s="79"/>
      <c r="R120" s="79"/>
      <c r="S120" s="79"/>
      <c r="V120" s="79"/>
      <c r="W120" s="79"/>
      <c r="Z120" s="130"/>
      <c r="AB120" s="106"/>
    </row>
    <row r="121">
      <c r="C121" s="79"/>
      <c r="D121" s="79"/>
      <c r="E121" s="79"/>
      <c r="M121" s="79"/>
      <c r="R121" s="79"/>
      <c r="S121" s="79"/>
      <c r="V121" s="79"/>
      <c r="W121" s="79"/>
      <c r="Z121" s="130"/>
      <c r="AB121" s="106"/>
    </row>
    <row r="122">
      <c r="C122" s="79"/>
      <c r="D122" s="79"/>
      <c r="E122" s="79"/>
      <c r="M122" s="79"/>
      <c r="R122" s="79"/>
      <c r="S122" s="79"/>
      <c r="V122" s="79"/>
      <c r="W122" s="79"/>
      <c r="Z122" s="130"/>
      <c r="AB122" s="106"/>
    </row>
    <row r="123">
      <c r="C123" s="79"/>
      <c r="D123" s="79"/>
      <c r="E123" s="79"/>
      <c r="M123" s="79"/>
      <c r="R123" s="79"/>
      <c r="S123" s="79"/>
      <c r="V123" s="79"/>
      <c r="W123" s="79"/>
      <c r="Z123" s="130"/>
      <c r="AB123" s="106"/>
    </row>
    <row r="124">
      <c r="C124" s="79"/>
      <c r="D124" s="79"/>
      <c r="E124" s="79"/>
      <c r="M124" s="79"/>
      <c r="R124" s="79"/>
      <c r="S124" s="79"/>
      <c r="V124" s="79"/>
      <c r="W124" s="79"/>
      <c r="Z124" s="130"/>
      <c r="AB124" s="106"/>
    </row>
    <row r="125">
      <c r="C125" s="79"/>
      <c r="D125" s="79"/>
      <c r="E125" s="79"/>
      <c r="M125" s="79"/>
      <c r="R125" s="79"/>
      <c r="S125" s="79"/>
      <c r="V125" s="79"/>
      <c r="W125" s="79"/>
      <c r="Z125" s="130"/>
      <c r="AB125" s="106"/>
    </row>
    <row r="126">
      <c r="C126" s="79"/>
      <c r="D126" s="79"/>
      <c r="E126" s="79"/>
      <c r="M126" s="79"/>
      <c r="R126" s="79"/>
      <c r="S126" s="79"/>
      <c r="V126" s="79"/>
      <c r="W126" s="79"/>
      <c r="Z126" s="130"/>
      <c r="AB126" s="106"/>
    </row>
    <row r="127">
      <c r="C127" s="79"/>
      <c r="D127" s="79"/>
      <c r="E127" s="79"/>
      <c r="M127" s="79"/>
      <c r="R127" s="79"/>
      <c r="S127" s="79"/>
      <c r="V127" s="79"/>
      <c r="W127" s="79"/>
      <c r="Z127" s="130"/>
      <c r="AB127" s="106"/>
    </row>
    <row r="128">
      <c r="C128" s="79"/>
      <c r="D128" s="79"/>
      <c r="E128" s="79"/>
      <c r="M128" s="79"/>
      <c r="R128" s="79"/>
      <c r="S128" s="79"/>
      <c r="V128" s="79"/>
      <c r="W128" s="79"/>
      <c r="Z128" s="130"/>
      <c r="AB128" s="106"/>
    </row>
    <row r="129">
      <c r="C129" s="79"/>
      <c r="D129" s="79"/>
      <c r="E129" s="79"/>
      <c r="M129" s="79"/>
      <c r="R129" s="79"/>
      <c r="S129" s="79"/>
      <c r="V129" s="79"/>
      <c r="W129" s="79"/>
      <c r="Z129" s="130"/>
      <c r="AB129" s="106"/>
    </row>
    <row r="130">
      <c r="C130" s="79"/>
      <c r="D130" s="79"/>
      <c r="E130" s="79"/>
      <c r="M130" s="79"/>
      <c r="R130" s="79"/>
      <c r="S130" s="79"/>
      <c r="V130" s="79"/>
      <c r="W130" s="79"/>
      <c r="Z130" s="130"/>
      <c r="AB130" s="106"/>
    </row>
    <row r="131">
      <c r="C131" s="79"/>
      <c r="D131" s="79"/>
      <c r="E131" s="79"/>
      <c r="M131" s="79"/>
      <c r="R131" s="79"/>
      <c r="S131" s="79"/>
      <c r="V131" s="79"/>
      <c r="W131" s="79"/>
      <c r="Z131" s="130"/>
      <c r="AB131" s="106"/>
    </row>
    <row r="132">
      <c r="C132" s="79"/>
      <c r="D132" s="79"/>
      <c r="E132" s="79"/>
      <c r="M132" s="79"/>
      <c r="R132" s="79"/>
      <c r="S132" s="79"/>
      <c r="V132" s="79"/>
      <c r="W132" s="79"/>
      <c r="Z132" s="130"/>
      <c r="AB132" s="106"/>
    </row>
    <row r="133">
      <c r="C133" s="79"/>
      <c r="D133" s="79"/>
      <c r="E133" s="79"/>
      <c r="M133" s="79"/>
      <c r="R133" s="79"/>
      <c r="S133" s="79"/>
      <c r="V133" s="79"/>
      <c r="W133" s="79"/>
      <c r="Z133" s="130"/>
      <c r="AB133" s="106"/>
    </row>
    <row r="134">
      <c r="C134" s="79"/>
      <c r="D134" s="79"/>
      <c r="E134" s="79"/>
      <c r="M134" s="79"/>
      <c r="R134" s="79"/>
      <c r="S134" s="79"/>
      <c r="V134" s="79"/>
      <c r="W134" s="79"/>
      <c r="Z134" s="130"/>
      <c r="AB134" s="106"/>
    </row>
    <row r="135">
      <c r="C135" s="79"/>
      <c r="D135" s="79"/>
      <c r="E135" s="79"/>
      <c r="M135" s="79"/>
      <c r="R135" s="79"/>
      <c r="S135" s="79"/>
      <c r="V135" s="79"/>
      <c r="W135" s="79"/>
      <c r="Z135" s="130"/>
      <c r="AB135" s="106"/>
    </row>
    <row r="136">
      <c r="C136" s="79"/>
      <c r="D136" s="79"/>
      <c r="E136" s="79"/>
      <c r="M136" s="79"/>
      <c r="R136" s="79"/>
      <c r="S136" s="79"/>
      <c r="V136" s="79"/>
      <c r="W136" s="79"/>
      <c r="Z136" s="130"/>
      <c r="AB136" s="106"/>
    </row>
    <row r="137">
      <c r="C137" s="79"/>
      <c r="D137" s="79"/>
      <c r="E137" s="79"/>
      <c r="M137" s="79"/>
      <c r="R137" s="79"/>
      <c r="S137" s="79"/>
      <c r="V137" s="79"/>
      <c r="W137" s="79"/>
      <c r="Z137" s="130"/>
      <c r="AB137" s="106"/>
    </row>
    <row r="138">
      <c r="C138" s="79"/>
      <c r="D138" s="79"/>
      <c r="E138" s="79"/>
      <c r="M138" s="79"/>
      <c r="R138" s="79"/>
      <c r="S138" s="79"/>
      <c r="V138" s="79"/>
      <c r="W138" s="79"/>
      <c r="Z138" s="130"/>
      <c r="AB138" s="106"/>
    </row>
    <row r="139">
      <c r="C139" s="79"/>
      <c r="D139" s="79"/>
      <c r="E139" s="79"/>
      <c r="M139" s="79"/>
      <c r="R139" s="79"/>
      <c r="S139" s="79"/>
      <c r="V139" s="79"/>
      <c r="W139" s="79"/>
      <c r="Z139" s="130"/>
      <c r="AB139" s="106"/>
    </row>
    <row r="140">
      <c r="C140" s="79"/>
      <c r="D140" s="79"/>
      <c r="E140" s="79"/>
      <c r="M140" s="79"/>
      <c r="R140" s="79"/>
      <c r="S140" s="79"/>
      <c r="V140" s="79"/>
      <c r="W140" s="79"/>
      <c r="Z140" s="130"/>
      <c r="AB140" s="106"/>
    </row>
    <row r="141">
      <c r="C141" s="79"/>
      <c r="D141" s="79"/>
      <c r="E141" s="79"/>
      <c r="M141" s="79"/>
      <c r="R141" s="79"/>
      <c r="S141" s="79"/>
      <c r="V141" s="79"/>
      <c r="W141" s="79"/>
      <c r="Z141" s="130"/>
      <c r="AB141" s="106"/>
    </row>
    <row r="142">
      <c r="C142" s="79"/>
      <c r="D142" s="79"/>
      <c r="E142" s="79"/>
      <c r="M142" s="79"/>
      <c r="R142" s="79"/>
      <c r="S142" s="79"/>
      <c r="V142" s="79"/>
      <c r="W142" s="79"/>
      <c r="Z142" s="130"/>
      <c r="AB142" s="106"/>
    </row>
    <row r="143">
      <c r="C143" s="79"/>
      <c r="D143" s="79"/>
      <c r="E143" s="79"/>
      <c r="M143" s="79"/>
      <c r="R143" s="79"/>
      <c r="S143" s="79"/>
      <c r="V143" s="79"/>
      <c r="W143" s="79"/>
      <c r="Z143" s="130"/>
      <c r="AB143" s="106"/>
    </row>
    <row r="144">
      <c r="C144" s="79"/>
      <c r="D144" s="79"/>
      <c r="E144" s="79"/>
      <c r="M144" s="79"/>
      <c r="R144" s="79"/>
      <c r="S144" s="79"/>
      <c r="V144" s="79"/>
      <c r="W144" s="79"/>
      <c r="Z144" s="130"/>
      <c r="AB144" s="106"/>
    </row>
    <row r="145">
      <c r="C145" s="79"/>
      <c r="D145" s="79"/>
      <c r="E145" s="79"/>
      <c r="M145" s="79"/>
      <c r="R145" s="79"/>
      <c r="S145" s="79"/>
      <c r="V145" s="79"/>
      <c r="W145" s="79"/>
      <c r="Z145" s="130"/>
      <c r="AB145" s="106"/>
    </row>
    <row r="146">
      <c r="C146" s="79"/>
      <c r="D146" s="79"/>
      <c r="E146" s="79"/>
      <c r="M146" s="79"/>
      <c r="R146" s="79"/>
      <c r="S146" s="79"/>
      <c r="V146" s="79"/>
      <c r="W146" s="79"/>
      <c r="Z146" s="130"/>
      <c r="AB146" s="106"/>
    </row>
    <row r="147">
      <c r="C147" s="79"/>
      <c r="D147" s="79"/>
      <c r="E147" s="79"/>
      <c r="M147" s="79"/>
      <c r="R147" s="79"/>
      <c r="S147" s="79"/>
      <c r="V147" s="79"/>
      <c r="W147" s="79"/>
      <c r="Z147" s="130"/>
      <c r="AB147" s="106"/>
    </row>
    <row r="148">
      <c r="C148" s="79"/>
      <c r="D148" s="79"/>
      <c r="E148" s="79"/>
      <c r="M148" s="79"/>
      <c r="R148" s="79"/>
      <c r="S148" s="79"/>
      <c r="V148" s="79"/>
      <c r="W148" s="79"/>
      <c r="Z148" s="130"/>
      <c r="AB148" s="106"/>
    </row>
    <row r="149">
      <c r="C149" s="79"/>
      <c r="D149" s="79"/>
      <c r="E149" s="79"/>
      <c r="M149" s="79"/>
      <c r="R149" s="79"/>
      <c r="S149" s="79"/>
      <c r="V149" s="79"/>
      <c r="W149" s="79"/>
      <c r="Z149" s="130"/>
      <c r="AB149" s="106"/>
    </row>
    <row r="150">
      <c r="C150" s="79"/>
      <c r="D150" s="79"/>
      <c r="E150" s="79"/>
      <c r="M150" s="79"/>
      <c r="R150" s="79"/>
      <c r="S150" s="79"/>
      <c r="V150" s="79"/>
      <c r="W150" s="79"/>
      <c r="Z150" s="130"/>
      <c r="AB150" s="106"/>
    </row>
    <row r="151">
      <c r="C151" s="79"/>
      <c r="D151" s="79"/>
      <c r="E151" s="79"/>
      <c r="M151" s="79"/>
      <c r="R151" s="79"/>
      <c r="S151" s="79"/>
      <c r="V151" s="79"/>
      <c r="W151" s="79"/>
      <c r="Z151" s="130"/>
      <c r="AB151" s="106"/>
    </row>
    <row r="152">
      <c r="C152" s="79"/>
      <c r="D152" s="79"/>
      <c r="E152" s="79"/>
      <c r="M152" s="79"/>
      <c r="R152" s="79"/>
      <c r="S152" s="79"/>
      <c r="V152" s="79"/>
      <c r="W152" s="79"/>
      <c r="Z152" s="130"/>
      <c r="AB152" s="106"/>
    </row>
    <row r="153">
      <c r="C153" s="79"/>
      <c r="D153" s="79"/>
      <c r="E153" s="79"/>
      <c r="M153" s="79"/>
      <c r="R153" s="79"/>
      <c r="S153" s="79"/>
      <c r="V153" s="79"/>
      <c r="W153" s="79"/>
      <c r="Z153" s="130"/>
      <c r="AB153" s="106"/>
    </row>
    <row r="154">
      <c r="C154" s="79"/>
      <c r="D154" s="79"/>
      <c r="E154" s="79"/>
      <c r="M154" s="79"/>
      <c r="R154" s="79"/>
      <c r="S154" s="79"/>
      <c r="V154" s="79"/>
      <c r="W154" s="79"/>
      <c r="Z154" s="130"/>
      <c r="AB154" s="106"/>
    </row>
    <row r="155">
      <c r="C155" s="79"/>
      <c r="D155" s="79"/>
      <c r="E155" s="79"/>
      <c r="M155" s="79"/>
      <c r="R155" s="79"/>
      <c r="S155" s="79"/>
      <c r="V155" s="79"/>
      <c r="W155" s="79"/>
      <c r="Z155" s="130"/>
      <c r="AB155" s="106"/>
    </row>
    <row r="156">
      <c r="C156" s="79"/>
      <c r="D156" s="79"/>
      <c r="E156" s="79"/>
      <c r="M156" s="79"/>
      <c r="R156" s="79"/>
      <c r="S156" s="79"/>
      <c r="V156" s="79"/>
      <c r="W156" s="79"/>
      <c r="Z156" s="130"/>
      <c r="AB156" s="106"/>
    </row>
    <row r="157">
      <c r="C157" s="79"/>
      <c r="D157" s="79"/>
      <c r="E157" s="79"/>
      <c r="M157" s="79"/>
      <c r="R157" s="79"/>
      <c r="S157" s="79"/>
      <c r="V157" s="79"/>
      <c r="W157" s="79"/>
      <c r="Z157" s="130"/>
      <c r="AB157" s="106"/>
    </row>
    <row r="158">
      <c r="C158" s="79"/>
      <c r="D158" s="79"/>
      <c r="E158" s="79"/>
      <c r="M158" s="79"/>
      <c r="R158" s="79"/>
      <c r="S158" s="79"/>
      <c r="V158" s="79"/>
      <c r="W158" s="79"/>
      <c r="Z158" s="130"/>
      <c r="AB158" s="106"/>
    </row>
    <row r="159">
      <c r="C159" s="79"/>
      <c r="D159" s="79"/>
      <c r="E159" s="79"/>
      <c r="M159" s="79"/>
      <c r="R159" s="79"/>
      <c r="S159" s="79"/>
      <c r="V159" s="79"/>
      <c r="W159" s="79"/>
      <c r="Z159" s="130"/>
      <c r="AB159" s="106"/>
    </row>
    <row r="160">
      <c r="C160" s="79"/>
      <c r="D160" s="79"/>
      <c r="E160" s="79"/>
      <c r="M160" s="79"/>
      <c r="R160" s="79"/>
      <c r="S160" s="79"/>
      <c r="V160" s="79"/>
      <c r="W160" s="79"/>
      <c r="Z160" s="130"/>
      <c r="AB160" s="106"/>
    </row>
    <row r="161">
      <c r="C161" s="79"/>
      <c r="D161" s="79"/>
      <c r="E161" s="79"/>
      <c r="M161" s="79"/>
      <c r="R161" s="79"/>
      <c r="S161" s="79"/>
      <c r="V161" s="79"/>
      <c r="W161" s="79"/>
      <c r="Z161" s="130"/>
      <c r="AB161" s="106"/>
    </row>
    <row r="162">
      <c r="C162" s="79"/>
      <c r="D162" s="79"/>
      <c r="E162" s="79"/>
      <c r="M162" s="79"/>
      <c r="R162" s="79"/>
      <c r="S162" s="79"/>
      <c r="V162" s="79"/>
      <c r="W162" s="79"/>
      <c r="Z162" s="130"/>
      <c r="AB162" s="106"/>
    </row>
    <row r="163">
      <c r="C163" s="79"/>
      <c r="D163" s="79"/>
      <c r="E163" s="79"/>
      <c r="M163" s="79"/>
      <c r="R163" s="79"/>
      <c r="S163" s="79"/>
      <c r="V163" s="79"/>
      <c r="W163" s="79"/>
      <c r="Z163" s="130"/>
      <c r="AB163" s="106"/>
    </row>
    <row r="164">
      <c r="C164" s="79"/>
      <c r="D164" s="79"/>
      <c r="E164" s="79"/>
      <c r="M164" s="79"/>
      <c r="R164" s="79"/>
      <c r="S164" s="79"/>
      <c r="V164" s="79"/>
      <c r="W164" s="79"/>
      <c r="Z164" s="130"/>
      <c r="AB164" s="106"/>
    </row>
    <row r="165">
      <c r="C165" s="79"/>
      <c r="D165" s="79"/>
      <c r="E165" s="79"/>
      <c r="M165" s="79"/>
      <c r="R165" s="79"/>
      <c r="S165" s="79"/>
      <c r="V165" s="79"/>
      <c r="W165" s="79"/>
      <c r="Z165" s="130"/>
      <c r="AB165" s="106"/>
    </row>
    <row r="166">
      <c r="C166" s="79"/>
      <c r="D166" s="79"/>
      <c r="E166" s="79"/>
      <c r="M166" s="79"/>
      <c r="R166" s="79"/>
      <c r="S166" s="79"/>
      <c r="V166" s="79"/>
      <c r="W166" s="79"/>
      <c r="Z166" s="130"/>
      <c r="AB166" s="106"/>
    </row>
    <row r="167">
      <c r="C167" s="79"/>
      <c r="D167" s="79"/>
      <c r="E167" s="79"/>
      <c r="M167" s="79"/>
      <c r="R167" s="79"/>
      <c r="S167" s="79"/>
      <c r="V167" s="79"/>
      <c r="W167" s="79"/>
      <c r="Z167" s="130"/>
      <c r="AB167" s="106"/>
    </row>
    <row r="168">
      <c r="C168" s="79"/>
      <c r="D168" s="79"/>
      <c r="E168" s="79"/>
      <c r="M168" s="79"/>
      <c r="R168" s="79"/>
      <c r="S168" s="79"/>
      <c r="V168" s="79"/>
      <c r="W168" s="79"/>
      <c r="Z168" s="130"/>
      <c r="AB168" s="106"/>
    </row>
    <row r="169">
      <c r="C169" s="79"/>
      <c r="D169" s="79"/>
      <c r="E169" s="79"/>
      <c r="M169" s="79"/>
      <c r="R169" s="79"/>
      <c r="S169" s="79"/>
      <c r="V169" s="79"/>
      <c r="W169" s="79"/>
      <c r="Z169" s="130"/>
      <c r="AB169" s="106"/>
    </row>
    <row r="170">
      <c r="C170" s="79"/>
      <c r="D170" s="79"/>
      <c r="E170" s="79"/>
      <c r="M170" s="79"/>
      <c r="R170" s="79"/>
      <c r="S170" s="79"/>
      <c r="V170" s="79"/>
      <c r="W170" s="79"/>
      <c r="Z170" s="130"/>
      <c r="AB170" s="106"/>
    </row>
    <row r="171">
      <c r="C171" s="79"/>
      <c r="D171" s="79"/>
      <c r="E171" s="79"/>
      <c r="M171" s="79"/>
      <c r="R171" s="79"/>
      <c r="S171" s="79"/>
      <c r="V171" s="79"/>
      <c r="W171" s="79"/>
      <c r="Z171" s="130"/>
      <c r="AB171" s="106"/>
    </row>
    <row r="172">
      <c r="C172" s="79"/>
      <c r="D172" s="79"/>
      <c r="E172" s="79"/>
      <c r="M172" s="79"/>
      <c r="R172" s="79"/>
      <c r="S172" s="79"/>
      <c r="V172" s="79"/>
      <c r="W172" s="79"/>
      <c r="Z172" s="130"/>
      <c r="AB172" s="106"/>
    </row>
    <row r="173">
      <c r="C173" s="79"/>
      <c r="D173" s="79"/>
      <c r="E173" s="79"/>
      <c r="M173" s="79"/>
      <c r="R173" s="79"/>
      <c r="S173" s="79"/>
      <c r="V173" s="79"/>
      <c r="W173" s="79"/>
      <c r="Z173" s="130"/>
      <c r="AB173" s="106"/>
    </row>
    <row r="174">
      <c r="C174" s="79"/>
      <c r="D174" s="79"/>
      <c r="E174" s="79"/>
      <c r="M174" s="79"/>
      <c r="R174" s="79"/>
      <c r="S174" s="79"/>
      <c r="V174" s="79"/>
      <c r="W174" s="79"/>
      <c r="Z174" s="130"/>
      <c r="AB174" s="106"/>
    </row>
    <row r="175">
      <c r="C175" s="79"/>
      <c r="D175" s="79"/>
      <c r="E175" s="79"/>
      <c r="M175" s="79"/>
      <c r="R175" s="79"/>
      <c r="S175" s="79"/>
      <c r="V175" s="79"/>
      <c r="W175" s="79"/>
      <c r="Z175" s="130"/>
      <c r="AB175" s="106"/>
    </row>
    <row r="176">
      <c r="C176" s="79"/>
      <c r="D176" s="79"/>
      <c r="E176" s="79"/>
      <c r="M176" s="79"/>
      <c r="R176" s="79"/>
      <c r="S176" s="79"/>
      <c r="V176" s="79"/>
      <c r="W176" s="79"/>
      <c r="Z176" s="130"/>
      <c r="AB176" s="106"/>
    </row>
    <row r="177">
      <c r="C177" s="79"/>
      <c r="D177" s="79"/>
      <c r="E177" s="79"/>
      <c r="M177" s="79"/>
      <c r="R177" s="79"/>
      <c r="S177" s="79"/>
      <c r="V177" s="79"/>
      <c r="W177" s="79"/>
      <c r="Z177" s="130"/>
      <c r="AB177" s="106"/>
    </row>
    <row r="178">
      <c r="C178" s="79"/>
      <c r="D178" s="79"/>
      <c r="E178" s="79"/>
      <c r="M178" s="79"/>
      <c r="R178" s="79"/>
      <c r="S178" s="79"/>
      <c r="V178" s="79"/>
      <c r="W178" s="79"/>
      <c r="Z178" s="130"/>
      <c r="AB178" s="106"/>
    </row>
    <row r="179">
      <c r="C179" s="79"/>
      <c r="D179" s="79"/>
      <c r="E179" s="79"/>
      <c r="M179" s="79"/>
      <c r="R179" s="79"/>
      <c r="S179" s="79"/>
      <c r="V179" s="79"/>
      <c r="W179" s="79"/>
      <c r="Z179" s="130"/>
      <c r="AB179" s="106"/>
    </row>
    <row r="180">
      <c r="C180" s="79"/>
      <c r="D180" s="79"/>
      <c r="E180" s="79"/>
      <c r="M180" s="79"/>
      <c r="R180" s="79"/>
      <c r="S180" s="79"/>
      <c r="V180" s="79"/>
      <c r="W180" s="79"/>
      <c r="Z180" s="130"/>
      <c r="AB180" s="106"/>
    </row>
    <row r="181">
      <c r="C181" s="79"/>
      <c r="D181" s="79"/>
      <c r="E181" s="79"/>
      <c r="M181" s="79"/>
      <c r="R181" s="79"/>
      <c r="S181" s="79"/>
      <c r="V181" s="79"/>
      <c r="W181" s="79"/>
      <c r="Z181" s="130"/>
      <c r="AB181" s="106"/>
    </row>
    <row r="182">
      <c r="C182" s="79"/>
      <c r="D182" s="79"/>
      <c r="E182" s="79"/>
      <c r="M182" s="79"/>
      <c r="R182" s="79"/>
      <c r="S182" s="79"/>
      <c r="V182" s="79"/>
      <c r="W182" s="79"/>
      <c r="Z182" s="130"/>
      <c r="AB182" s="106"/>
    </row>
    <row r="183">
      <c r="C183" s="79"/>
      <c r="D183" s="79"/>
      <c r="E183" s="79"/>
      <c r="M183" s="79"/>
      <c r="R183" s="79"/>
      <c r="S183" s="79"/>
      <c r="V183" s="79"/>
      <c r="W183" s="79"/>
      <c r="Z183" s="130"/>
      <c r="AB183" s="106"/>
    </row>
    <row r="184">
      <c r="C184" s="79"/>
      <c r="D184" s="79"/>
      <c r="E184" s="79"/>
      <c r="M184" s="79"/>
      <c r="R184" s="79"/>
      <c r="S184" s="79"/>
      <c r="V184" s="79"/>
      <c r="W184" s="79"/>
      <c r="Z184" s="130"/>
      <c r="AB184" s="106"/>
    </row>
    <row r="185">
      <c r="C185" s="79"/>
      <c r="D185" s="79"/>
      <c r="E185" s="79"/>
      <c r="M185" s="79"/>
      <c r="R185" s="79"/>
      <c r="S185" s="79"/>
      <c r="V185" s="79"/>
      <c r="W185" s="79"/>
      <c r="Z185" s="130"/>
      <c r="AB185" s="106"/>
    </row>
    <row r="186">
      <c r="C186" s="79"/>
      <c r="D186" s="79"/>
      <c r="E186" s="79"/>
      <c r="M186" s="79"/>
      <c r="R186" s="79"/>
      <c r="S186" s="79"/>
      <c r="V186" s="79"/>
      <c r="W186" s="79"/>
      <c r="Z186" s="130"/>
      <c r="AB186" s="106"/>
    </row>
    <row r="187">
      <c r="C187" s="79"/>
      <c r="D187" s="79"/>
      <c r="E187" s="79"/>
      <c r="M187" s="79"/>
      <c r="R187" s="79"/>
      <c r="S187" s="79"/>
      <c r="V187" s="79"/>
      <c r="W187" s="79"/>
      <c r="Z187" s="130"/>
      <c r="AB187" s="106"/>
    </row>
    <row r="188">
      <c r="C188" s="79"/>
      <c r="D188" s="79"/>
      <c r="E188" s="79"/>
      <c r="M188" s="79"/>
      <c r="R188" s="79"/>
      <c r="S188" s="79"/>
      <c r="V188" s="79"/>
      <c r="W188" s="79"/>
      <c r="Z188" s="130"/>
      <c r="AB188" s="106"/>
    </row>
    <row r="189">
      <c r="C189" s="79"/>
      <c r="D189" s="79"/>
      <c r="E189" s="79"/>
      <c r="M189" s="79"/>
      <c r="R189" s="79"/>
      <c r="S189" s="79"/>
      <c r="V189" s="79"/>
      <c r="W189" s="79"/>
      <c r="Z189" s="130"/>
      <c r="AB189" s="106"/>
    </row>
    <row r="190">
      <c r="C190" s="79"/>
      <c r="D190" s="79"/>
      <c r="E190" s="79"/>
      <c r="M190" s="79"/>
      <c r="R190" s="79"/>
      <c r="S190" s="79"/>
      <c r="V190" s="79"/>
      <c r="W190" s="79"/>
      <c r="Z190" s="130"/>
      <c r="AB190" s="106"/>
    </row>
    <row r="191">
      <c r="C191" s="79"/>
      <c r="D191" s="79"/>
      <c r="E191" s="79"/>
      <c r="M191" s="79"/>
      <c r="R191" s="79"/>
      <c r="S191" s="79"/>
      <c r="V191" s="79"/>
      <c r="W191" s="79"/>
      <c r="Z191" s="130"/>
      <c r="AB191" s="106"/>
    </row>
    <row r="192">
      <c r="C192" s="79"/>
      <c r="D192" s="79"/>
      <c r="E192" s="79"/>
      <c r="M192" s="79"/>
      <c r="R192" s="79"/>
      <c r="S192" s="79"/>
      <c r="V192" s="79"/>
      <c r="W192" s="79"/>
      <c r="Z192" s="130"/>
      <c r="AB192" s="106"/>
    </row>
    <row r="193">
      <c r="C193" s="79"/>
      <c r="D193" s="79"/>
      <c r="E193" s="79"/>
      <c r="M193" s="79"/>
      <c r="R193" s="79"/>
      <c r="S193" s="79"/>
      <c r="V193" s="79"/>
      <c r="W193" s="79"/>
      <c r="Z193" s="130"/>
      <c r="AB193" s="106"/>
    </row>
    <row r="194">
      <c r="C194" s="79"/>
      <c r="D194" s="79"/>
      <c r="E194" s="79"/>
      <c r="M194" s="79"/>
      <c r="R194" s="79"/>
      <c r="S194" s="79"/>
      <c r="V194" s="79"/>
      <c r="W194" s="79"/>
      <c r="Z194" s="130"/>
      <c r="AB194" s="106"/>
    </row>
    <row r="195">
      <c r="C195" s="79"/>
      <c r="D195" s="79"/>
      <c r="E195" s="79"/>
      <c r="M195" s="79"/>
      <c r="R195" s="79"/>
      <c r="S195" s="79"/>
      <c r="V195" s="79"/>
      <c r="W195" s="79"/>
      <c r="Z195" s="130"/>
      <c r="AB195" s="106"/>
    </row>
    <row r="196">
      <c r="C196" s="79"/>
      <c r="D196" s="79"/>
      <c r="E196" s="79"/>
      <c r="M196" s="79"/>
      <c r="R196" s="79"/>
      <c r="S196" s="79"/>
      <c r="V196" s="79"/>
      <c r="W196" s="79"/>
      <c r="Z196" s="130"/>
      <c r="AB196" s="106"/>
    </row>
    <row r="197">
      <c r="C197" s="79"/>
      <c r="D197" s="79"/>
      <c r="E197" s="79"/>
      <c r="M197" s="79"/>
      <c r="R197" s="79"/>
      <c r="S197" s="79"/>
      <c r="V197" s="79"/>
      <c r="W197" s="79"/>
      <c r="Z197" s="130"/>
      <c r="AB197" s="106"/>
    </row>
    <row r="198">
      <c r="C198" s="79"/>
      <c r="D198" s="79"/>
      <c r="E198" s="79"/>
      <c r="M198" s="79"/>
      <c r="R198" s="79"/>
      <c r="S198" s="79"/>
      <c r="V198" s="79"/>
      <c r="W198" s="79"/>
      <c r="Z198" s="130"/>
      <c r="AB198" s="106"/>
    </row>
    <row r="199">
      <c r="C199" s="79"/>
      <c r="D199" s="79"/>
      <c r="E199" s="79"/>
      <c r="M199" s="79"/>
      <c r="R199" s="79"/>
      <c r="S199" s="79"/>
      <c r="V199" s="79"/>
      <c r="W199" s="79"/>
      <c r="Z199" s="130"/>
      <c r="AB199" s="106"/>
    </row>
    <row r="200">
      <c r="C200" s="79"/>
      <c r="D200" s="79"/>
      <c r="E200" s="79"/>
      <c r="M200" s="79"/>
      <c r="R200" s="79"/>
      <c r="S200" s="79"/>
      <c r="V200" s="79"/>
      <c r="W200" s="79"/>
      <c r="Z200" s="130"/>
      <c r="AB200" s="106"/>
    </row>
    <row r="201">
      <c r="C201" s="79"/>
      <c r="D201" s="79"/>
      <c r="E201" s="79"/>
      <c r="M201" s="79"/>
      <c r="R201" s="79"/>
      <c r="S201" s="79"/>
      <c r="V201" s="79"/>
      <c r="W201" s="79"/>
      <c r="Z201" s="130"/>
      <c r="AB201" s="106"/>
    </row>
    <row r="202">
      <c r="C202" s="79"/>
      <c r="D202" s="79"/>
      <c r="E202" s="79"/>
      <c r="M202" s="79"/>
      <c r="R202" s="79"/>
      <c r="S202" s="79"/>
      <c r="V202" s="79"/>
      <c r="W202" s="79"/>
      <c r="Z202" s="130"/>
      <c r="AB202" s="106"/>
    </row>
    <row r="203">
      <c r="C203" s="79"/>
      <c r="D203" s="79"/>
      <c r="E203" s="79"/>
      <c r="M203" s="79"/>
      <c r="R203" s="79"/>
      <c r="S203" s="79"/>
      <c r="V203" s="79"/>
      <c r="W203" s="79"/>
      <c r="Z203" s="130"/>
      <c r="AB203" s="106"/>
    </row>
    <row r="204">
      <c r="C204" s="79"/>
      <c r="D204" s="79"/>
      <c r="E204" s="79"/>
      <c r="M204" s="79"/>
      <c r="R204" s="79"/>
      <c r="S204" s="79"/>
      <c r="V204" s="79"/>
      <c r="W204" s="79"/>
      <c r="Z204" s="130"/>
      <c r="AB204" s="106"/>
    </row>
    <row r="205">
      <c r="C205" s="79"/>
      <c r="D205" s="79"/>
      <c r="E205" s="79"/>
      <c r="M205" s="79"/>
      <c r="R205" s="79"/>
      <c r="S205" s="79"/>
      <c r="V205" s="79"/>
      <c r="W205" s="79"/>
      <c r="Z205" s="130"/>
      <c r="AB205" s="106"/>
    </row>
    <row r="206">
      <c r="C206" s="79"/>
      <c r="D206" s="79"/>
      <c r="E206" s="79"/>
      <c r="M206" s="79"/>
      <c r="R206" s="79"/>
      <c r="S206" s="79"/>
      <c r="V206" s="79"/>
      <c r="W206" s="79"/>
      <c r="Z206" s="130"/>
      <c r="AB206" s="106"/>
    </row>
    <row r="207">
      <c r="C207" s="79"/>
      <c r="D207" s="79"/>
      <c r="E207" s="79"/>
      <c r="M207" s="79"/>
      <c r="R207" s="79"/>
      <c r="S207" s="79"/>
      <c r="V207" s="79"/>
      <c r="W207" s="79"/>
      <c r="Z207" s="130"/>
      <c r="AB207" s="106"/>
    </row>
    <row r="208">
      <c r="C208" s="79"/>
      <c r="D208" s="79"/>
      <c r="E208" s="79"/>
      <c r="M208" s="79"/>
      <c r="R208" s="79"/>
      <c r="S208" s="79"/>
      <c r="V208" s="79"/>
      <c r="W208" s="79"/>
      <c r="Z208" s="130"/>
      <c r="AB208" s="106"/>
    </row>
    <row r="209">
      <c r="C209" s="79"/>
      <c r="D209" s="79"/>
      <c r="E209" s="79"/>
      <c r="M209" s="79"/>
      <c r="R209" s="79"/>
      <c r="S209" s="79"/>
      <c r="V209" s="79"/>
      <c r="W209" s="79"/>
      <c r="Z209" s="130"/>
      <c r="AB209" s="106"/>
    </row>
    <row r="210">
      <c r="C210" s="79"/>
      <c r="D210" s="79"/>
      <c r="E210" s="79"/>
      <c r="M210" s="79"/>
      <c r="R210" s="79"/>
      <c r="S210" s="79"/>
      <c r="V210" s="79"/>
      <c r="W210" s="79"/>
      <c r="Z210" s="130"/>
      <c r="AB210" s="106"/>
    </row>
    <row r="211">
      <c r="C211" s="79"/>
      <c r="D211" s="79"/>
      <c r="E211" s="79"/>
      <c r="M211" s="79"/>
      <c r="R211" s="79"/>
      <c r="S211" s="79"/>
      <c r="V211" s="79"/>
      <c r="W211" s="79"/>
      <c r="Z211" s="130"/>
      <c r="AB211" s="106"/>
    </row>
    <row r="212">
      <c r="C212" s="79"/>
      <c r="D212" s="79"/>
      <c r="E212" s="79"/>
      <c r="M212" s="79"/>
      <c r="R212" s="79"/>
      <c r="S212" s="79"/>
      <c r="V212" s="79"/>
      <c r="W212" s="79"/>
      <c r="Z212" s="130"/>
      <c r="AB212" s="106"/>
    </row>
    <row r="213">
      <c r="C213" s="79"/>
      <c r="D213" s="79"/>
      <c r="E213" s="79"/>
      <c r="M213" s="79"/>
      <c r="R213" s="79"/>
      <c r="S213" s="79"/>
      <c r="V213" s="79"/>
      <c r="W213" s="79"/>
      <c r="Z213" s="130"/>
      <c r="AB213" s="106"/>
    </row>
    <row r="214">
      <c r="C214" s="79"/>
      <c r="D214" s="79"/>
      <c r="E214" s="79"/>
      <c r="M214" s="79"/>
      <c r="R214" s="79"/>
      <c r="S214" s="79"/>
      <c r="V214" s="79"/>
      <c r="W214" s="79"/>
      <c r="Z214" s="130"/>
      <c r="AB214" s="106"/>
    </row>
    <row r="215">
      <c r="C215" s="79"/>
      <c r="D215" s="79"/>
      <c r="E215" s="79"/>
      <c r="M215" s="79"/>
      <c r="R215" s="79"/>
      <c r="S215" s="79"/>
      <c r="V215" s="79"/>
      <c r="W215" s="79"/>
      <c r="Z215" s="130"/>
      <c r="AB215" s="106"/>
    </row>
    <row r="216">
      <c r="C216" s="79"/>
      <c r="D216" s="79"/>
      <c r="E216" s="79"/>
      <c r="M216" s="79"/>
      <c r="R216" s="79"/>
      <c r="S216" s="79"/>
      <c r="V216" s="79"/>
      <c r="W216" s="79"/>
      <c r="Z216" s="130"/>
      <c r="AB216" s="106"/>
    </row>
    <row r="217">
      <c r="C217" s="79"/>
      <c r="D217" s="79"/>
      <c r="E217" s="79"/>
      <c r="M217" s="79"/>
      <c r="R217" s="79"/>
      <c r="S217" s="79"/>
      <c r="V217" s="79"/>
      <c r="W217" s="79"/>
      <c r="Z217" s="130"/>
      <c r="AB217" s="106"/>
    </row>
    <row r="218">
      <c r="C218" s="79"/>
      <c r="D218" s="79"/>
      <c r="E218" s="79"/>
      <c r="M218" s="79"/>
      <c r="R218" s="79"/>
      <c r="S218" s="79"/>
      <c r="V218" s="79"/>
      <c r="W218" s="79"/>
      <c r="Z218" s="130"/>
      <c r="AB218" s="106"/>
    </row>
    <row r="219">
      <c r="C219" s="79"/>
      <c r="D219" s="79"/>
      <c r="E219" s="79"/>
      <c r="M219" s="79"/>
      <c r="R219" s="79"/>
      <c r="S219" s="79"/>
      <c r="V219" s="79"/>
      <c r="W219" s="79"/>
      <c r="Z219" s="130"/>
      <c r="AB219" s="106"/>
    </row>
    <row r="220">
      <c r="C220" s="79"/>
      <c r="D220" s="79"/>
      <c r="E220" s="79"/>
      <c r="M220" s="79"/>
      <c r="R220" s="79"/>
      <c r="S220" s="79"/>
      <c r="V220" s="79"/>
      <c r="W220" s="79"/>
      <c r="Z220" s="130"/>
      <c r="AB220" s="106"/>
    </row>
    <row r="221">
      <c r="C221" s="79"/>
      <c r="D221" s="79"/>
      <c r="E221" s="79"/>
      <c r="M221" s="79"/>
      <c r="R221" s="79"/>
      <c r="S221" s="79"/>
      <c r="V221" s="79"/>
      <c r="W221" s="79"/>
      <c r="Z221" s="130"/>
      <c r="AB221" s="106"/>
    </row>
    <row r="222">
      <c r="C222" s="79"/>
      <c r="D222" s="79"/>
      <c r="E222" s="79"/>
      <c r="M222" s="79"/>
      <c r="R222" s="79"/>
      <c r="S222" s="79"/>
      <c r="V222" s="79"/>
      <c r="W222" s="79"/>
      <c r="Z222" s="130"/>
      <c r="AB222" s="106"/>
    </row>
    <row r="223">
      <c r="C223" s="79"/>
      <c r="D223" s="79"/>
      <c r="E223" s="79"/>
      <c r="M223" s="79"/>
      <c r="R223" s="79"/>
      <c r="S223" s="79"/>
      <c r="V223" s="79"/>
      <c r="W223" s="79"/>
      <c r="Z223" s="130"/>
      <c r="AB223" s="106"/>
    </row>
    <row r="224">
      <c r="C224" s="79"/>
      <c r="D224" s="79"/>
      <c r="E224" s="79"/>
      <c r="M224" s="79"/>
      <c r="R224" s="79"/>
      <c r="S224" s="79"/>
      <c r="V224" s="79"/>
      <c r="W224" s="79"/>
      <c r="Z224" s="130"/>
      <c r="AB224" s="106"/>
    </row>
    <row r="225">
      <c r="C225" s="79"/>
      <c r="D225" s="79"/>
      <c r="E225" s="79"/>
      <c r="M225" s="79"/>
      <c r="R225" s="79"/>
      <c r="S225" s="79"/>
      <c r="V225" s="79"/>
      <c r="W225" s="79"/>
      <c r="Z225" s="130"/>
      <c r="AB225" s="106"/>
    </row>
    <row r="226">
      <c r="C226" s="79"/>
      <c r="D226" s="79"/>
      <c r="E226" s="79"/>
      <c r="M226" s="79"/>
      <c r="R226" s="79"/>
      <c r="S226" s="79"/>
      <c r="V226" s="79"/>
      <c r="W226" s="79"/>
      <c r="Z226" s="130"/>
      <c r="AB226" s="106"/>
    </row>
    <row r="227">
      <c r="C227" s="79"/>
      <c r="D227" s="79"/>
      <c r="E227" s="79"/>
      <c r="M227" s="79"/>
      <c r="R227" s="79"/>
      <c r="S227" s="79"/>
      <c r="V227" s="79"/>
      <c r="W227" s="79"/>
      <c r="Z227" s="130"/>
      <c r="AB227" s="106"/>
    </row>
    <row r="228">
      <c r="C228" s="79"/>
      <c r="D228" s="79"/>
      <c r="E228" s="79"/>
      <c r="M228" s="79"/>
      <c r="R228" s="79"/>
      <c r="S228" s="79"/>
      <c r="V228" s="79"/>
      <c r="W228" s="79"/>
      <c r="Z228" s="130"/>
      <c r="AB228" s="106"/>
    </row>
    <row r="229">
      <c r="C229" s="79"/>
      <c r="D229" s="79"/>
      <c r="E229" s="79"/>
      <c r="M229" s="79"/>
      <c r="R229" s="79"/>
      <c r="S229" s="79"/>
      <c r="V229" s="79"/>
      <c r="W229" s="79"/>
      <c r="Z229" s="130"/>
      <c r="AB229" s="106"/>
    </row>
    <row r="230">
      <c r="C230" s="79"/>
      <c r="D230" s="79"/>
      <c r="E230" s="79"/>
      <c r="M230" s="79"/>
      <c r="R230" s="79"/>
      <c r="S230" s="79"/>
      <c r="V230" s="79"/>
      <c r="W230" s="79"/>
      <c r="Z230" s="130"/>
      <c r="AB230" s="106"/>
    </row>
    <row r="231">
      <c r="C231" s="79"/>
      <c r="D231" s="79"/>
      <c r="E231" s="79"/>
      <c r="M231" s="79"/>
      <c r="R231" s="79"/>
      <c r="S231" s="79"/>
      <c r="V231" s="79"/>
      <c r="W231" s="79"/>
      <c r="Z231" s="130"/>
      <c r="AB231" s="106"/>
    </row>
    <row r="232">
      <c r="C232" s="79"/>
      <c r="D232" s="79"/>
      <c r="E232" s="79"/>
      <c r="M232" s="79"/>
      <c r="R232" s="79"/>
      <c r="S232" s="79"/>
      <c r="V232" s="79"/>
      <c r="W232" s="79"/>
      <c r="Z232" s="130"/>
      <c r="AB232" s="106"/>
    </row>
    <row r="233">
      <c r="C233" s="79"/>
      <c r="D233" s="79"/>
      <c r="E233" s="79"/>
      <c r="M233" s="79"/>
      <c r="R233" s="79"/>
      <c r="S233" s="79"/>
      <c r="V233" s="79"/>
      <c r="W233" s="79"/>
      <c r="Z233" s="130"/>
      <c r="AB233" s="106"/>
    </row>
    <row r="234">
      <c r="C234" s="79"/>
      <c r="D234" s="79"/>
      <c r="E234" s="79"/>
      <c r="M234" s="79"/>
      <c r="R234" s="79"/>
      <c r="S234" s="79"/>
      <c r="V234" s="79"/>
      <c r="W234" s="79"/>
      <c r="Z234" s="130"/>
      <c r="AB234" s="106"/>
    </row>
    <row r="235">
      <c r="C235" s="79"/>
      <c r="D235" s="79"/>
      <c r="E235" s="79"/>
      <c r="M235" s="79"/>
      <c r="R235" s="79"/>
      <c r="S235" s="79"/>
      <c r="V235" s="79"/>
      <c r="W235" s="79"/>
      <c r="Z235" s="130"/>
      <c r="AB235" s="106"/>
    </row>
    <row r="236">
      <c r="C236" s="79"/>
      <c r="D236" s="79"/>
      <c r="E236" s="79"/>
      <c r="M236" s="79"/>
      <c r="R236" s="79"/>
      <c r="S236" s="79"/>
      <c r="V236" s="79"/>
      <c r="W236" s="79"/>
      <c r="Z236" s="130"/>
      <c r="AB236" s="106"/>
    </row>
    <row r="237">
      <c r="C237" s="79"/>
      <c r="D237" s="79"/>
      <c r="E237" s="79"/>
      <c r="M237" s="79"/>
      <c r="R237" s="79"/>
      <c r="S237" s="79"/>
      <c r="V237" s="79"/>
      <c r="W237" s="79"/>
      <c r="Z237" s="130"/>
      <c r="AB237" s="106"/>
    </row>
    <row r="238">
      <c r="C238" s="79"/>
      <c r="D238" s="79"/>
      <c r="E238" s="79"/>
      <c r="M238" s="79"/>
      <c r="R238" s="79"/>
      <c r="S238" s="79"/>
      <c r="V238" s="79"/>
      <c r="W238" s="79"/>
      <c r="Z238" s="130"/>
      <c r="AB238" s="106"/>
    </row>
    <row r="239">
      <c r="C239" s="79"/>
      <c r="D239" s="79"/>
      <c r="E239" s="79"/>
      <c r="M239" s="79"/>
      <c r="R239" s="79"/>
      <c r="S239" s="79"/>
      <c r="V239" s="79"/>
      <c r="W239" s="79"/>
      <c r="Z239" s="130"/>
      <c r="AB239" s="106"/>
    </row>
    <row r="240">
      <c r="C240" s="79"/>
      <c r="D240" s="79"/>
      <c r="E240" s="79"/>
      <c r="M240" s="79"/>
      <c r="R240" s="79"/>
      <c r="S240" s="79"/>
      <c r="V240" s="79"/>
      <c r="W240" s="79"/>
      <c r="Z240" s="130"/>
      <c r="AB240" s="106"/>
    </row>
    <row r="241">
      <c r="C241" s="79"/>
      <c r="D241" s="79"/>
      <c r="E241" s="79"/>
      <c r="M241" s="79"/>
      <c r="R241" s="79"/>
      <c r="S241" s="79"/>
      <c r="V241" s="79"/>
      <c r="W241" s="79"/>
      <c r="Z241" s="130"/>
      <c r="AB241" s="106"/>
    </row>
    <row r="242">
      <c r="C242" s="79"/>
      <c r="D242" s="79"/>
      <c r="E242" s="79"/>
      <c r="M242" s="79"/>
      <c r="R242" s="79"/>
      <c r="S242" s="79"/>
      <c r="V242" s="79"/>
      <c r="W242" s="79"/>
      <c r="Z242" s="130"/>
      <c r="AB242" s="106"/>
    </row>
    <row r="243">
      <c r="C243" s="79"/>
      <c r="D243" s="79"/>
      <c r="E243" s="79"/>
      <c r="M243" s="79"/>
      <c r="R243" s="79"/>
      <c r="S243" s="79"/>
      <c r="V243" s="79"/>
      <c r="W243" s="79"/>
      <c r="Z243" s="130"/>
      <c r="AB243" s="106"/>
    </row>
    <row r="244">
      <c r="C244" s="79"/>
      <c r="D244" s="79"/>
      <c r="E244" s="79"/>
      <c r="M244" s="79"/>
      <c r="R244" s="79"/>
      <c r="S244" s="79"/>
      <c r="V244" s="79"/>
      <c r="W244" s="79"/>
      <c r="Z244" s="130"/>
      <c r="AB244" s="106"/>
    </row>
    <row r="245">
      <c r="C245" s="79"/>
      <c r="D245" s="79"/>
      <c r="E245" s="79"/>
      <c r="M245" s="79"/>
      <c r="R245" s="79"/>
      <c r="S245" s="79"/>
      <c r="V245" s="79"/>
      <c r="W245" s="79"/>
      <c r="Z245" s="130"/>
      <c r="AB245" s="106"/>
    </row>
    <row r="246">
      <c r="C246" s="79"/>
      <c r="D246" s="79"/>
      <c r="E246" s="79"/>
      <c r="M246" s="79"/>
      <c r="R246" s="79"/>
      <c r="S246" s="79"/>
      <c r="V246" s="79"/>
      <c r="W246" s="79"/>
      <c r="Z246" s="130"/>
      <c r="AB246" s="106"/>
    </row>
    <row r="247">
      <c r="C247" s="79"/>
      <c r="D247" s="79"/>
      <c r="E247" s="79"/>
      <c r="M247" s="79"/>
      <c r="R247" s="79"/>
      <c r="S247" s="79"/>
      <c r="V247" s="79"/>
      <c r="W247" s="79"/>
      <c r="Z247" s="130"/>
      <c r="AB247" s="106"/>
    </row>
    <row r="248">
      <c r="C248" s="79"/>
      <c r="D248" s="79"/>
      <c r="E248" s="79"/>
      <c r="M248" s="79"/>
      <c r="R248" s="79"/>
      <c r="S248" s="79"/>
      <c r="V248" s="79"/>
      <c r="W248" s="79"/>
      <c r="Z248" s="130"/>
      <c r="AB248" s="106"/>
    </row>
    <row r="249">
      <c r="C249" s="79"/>
      <c r="D249" s="79"/>
      <c r="E249" s="79"/>
      <c r="M249" s="79"/>
      <c r="R249" s="79"/>
      <c r="S249" s="79"/>
      <c r="V249" s="79"/>
      <c r="W249" s="79"/>
      <c r="Z249" s="130"/>
      <c r="AB249" s="106"/>
    </row>
    <row r="250">
      <c r="C250" s="79"/>
      <c r="D250" s="79"/>
      <c r="E250" s="79"/>
      <c r="M250" s="79"/>
      <c r="R250" s="79"/>
      <c r="S250" s="79"/>
      <c r="V250" s="79"/>
      <c r="W250" s="79"/>
      <c r="Z250" s="130"/>
      <c r="AB250" s="106"/>
    </row>
    <row r="251">
      <c r="C251" s="79"/>
      <c r="D251" s="79"/>
      <c r="E251" s="79"/>
      <c r="M251" s="79"/>
      <c r="R251" s="79"/>
      <c r="S251" s="79"/>
      <c r="V251" s="79"/>
      <c r="W251" s="79"/>
      <c r="Z251" s="130"/>
      <c r="AB251" s="106"/>
    </row>
    <row r="252">
      <c r="C252" s="79"/>
      <c r="D252" s="79"/>
      <c r="E252" s="79"/>
      <c r="M252" s="79"/>
      <c r="R252" s="79"/>
      <c r="S252" s="79"/>
      <c r="V252" s="79"/>
      <c r="W252" s="79"/>
      <c r="Z252" s="130"/>
      <c r="AB252" s="106"/>
    </row>
    <row r="253">
      <c r="C253" s="79"/>
      <c r="D253" s="79"/>
      <c r="E253" s="79"/>
      <c r="M253" s="79"/>
      <c r="R253" s="79"/>
      <c r="S253" s="79"/>
      <c r="V253" s="79"/>
      <c r="W253" s="79"/>
      <c r="Z253" s="130"/>
      <c r="AB253" s="106"/>
    </row>
    <row r="254">
      <c r="C254" s="79"/>
      <c r="D254" s="79"/>
      <c r="E254" s="79"/>
      <c r="M254" s="79"/>
      <c r="R254" s="79"/>
      <c r="S254" s="79"/>
      <c r="V254" s="79"/>
      <c r="W254" s="79"/>
      <c r="Z254" s="130"/>
      <c r="AB254" s="106"/>
    </row>
    <row r="255">
      <c r="C255" s="79"/>
      <c r="D255" s="79"/>
      <c r="E255" s="79"/>
      <c r="M255" s="79"/>
      <c r="R255" s="79"/>
      <c r="S255" s="79"/>
      <c r="V255" s="79"/>
      <c r="W255" s="79"/>
      <c r="Z255" s="130"/>
      <c r="AB255" s="106"/>
    </row>
    <row r="256">
      <c r="C256" s="79"/>
      <c r="D256" s="79"/>
      <c r="E256" s="79"/>
      <c r="M256" s="79"/>
      <c r="R256" s="79"/>
      <c r="S256" s="79"/>
      <c r="V256" s="79"/>
      <c r="W256" s="79"/>
      <c r="Z256" s="130"/>
      <c r="AB256" s="106"/>
    </row>
    <row r="257">
      <c r="C257" s="79"/>
      <c r="D257" s="79"/>
      <c r="E257" s="79"/>
      <c r="M257" s="79"/>
      <c r="R257" s="79"/>
      <c r="S257" s="79"/>
      <c r="V257" s="79"/>
      <c r="W257" s="79"/>
      <c r="Z257" s="130"/>
      <c r="AB257" s="106"/>
    </row>
    <row r="258">
      <c r="C258" s="79"/>
      <c r="D258" s="79"/>
      <c r="E258" s="79"/>
      <c r="M258" s="79"/>
      <c r="R258" s="79"/>
      <c r="S258" s="79"/>
      <c r="V258" s="79"/>
      <c r="W258" s="79"/>
      <c r="Z258" s="130"/>
      <c r="AB258" s="106"/>
    </row>
    <row r="259">
      <c r="C259" s="79"/>
      <c r="D259" s="79"/>
      <c r="E259" s="79"/>
      <c r="M259" s="79"/>
      <c r="R259" s="79"/>
      <c r="S259" s="79"/>
      <c r="V259" s="79"/>
      <c r="W259" s="79"/>
      <c r="Z259" s="130"/>
      <c r="AB259" s="106"/>
    </row>
    <row r="260">
      <c r="C260" s="79"/>
      <c r="D260" s="79"/>
      <c r="E260" s="79"/>
      <c r="M260" s="79"/>
      <c r="R260" s="79"/>
      <c r="S260" s="79"/>
      <c r="V260" s="79"/>
      <c r="W260" s="79"/>
      <c r="Z260" s="130"/>
      <c r="AB260" s="106"/>
    </row>
    <row r="261">
      <c r="C261" s="79"/>
      <c r="D261" s="79"/>
      <c r="E261" s="79"/>
      <c r="M261" s="79"/>
      <c r="R261" s="79"/>
      <c r="S261" s="79"/>
      <c r="V261" s="79"/>
      <c r="W261" s="79"/>
      <c r="Z261" s="130"/>
      <c r="AB261" s="106"/>
    </row>
    <row r="262">
      <c r="C262" s="79"/>
      <c r="D262" s="79"/>
      <c r="E262" s="79"/>
      <c r="M262" s="79"/>
      <c r="R262" s="79"/>
      <c r="S262" s="79"/>
      <c r="V262" s="79"/>
      <c r="W262" s="79"/>
      <c r="Z262" s="130"/>
      <c r="AB262" s="106"/>
    </row>
    <row r="263">
      <c r="C263" s="79"/>
      <c r="D263" s="79"/>
      <c r="E263" s="79"/>
      <c r="M263" s="79"/>
      <c r="R263" s="79"/>
      <c r="S263" s="79"/>
      <c r="V263" s="79"/>
      <c r="W263" s="79"/>
      <c r="Z263" s="130"/>
      <c r="AB263" s="106"/>
    </row>
    <row r="264">
      <c r="C264" s="79"/>
      <c r="D264" s="79"/>
      <c r="E264" s="79"/>
      <c r="M264" s="79"/>
      <c r="R264" s="79"/>
      <c r="S264" s="79"/>
      <c r="V264" s="79"/>
      <c r="W264" s="79"/>
      <c r="Z264" s="130"/>
      <c r="AB264" s="106"/>
    </row>
    <row r="265">
      <c r="C265" s="79"/>
      <c r="D265" s="79"/>
      <c r="E265" s="79"/>
      <c r="M265" s="79"/>
      <c r="R265" s="79"/>
      <c r="S265" s="79"/>
      <c r="V265" s="79"/>
      <c r="W265" s="79"/>
      <c r="Z265" s="130"/>
      <c r="AB265" s="106"/>
    </row>
    <row r="266">
      <c r="C266" s="79"/>
      <c r="D266" s="79"/>
      <c r="E266" s="79"/>
      <c r="M266" s="79"/>
      <c r="R266" s="79"/>
      <c r="S266" s="79"/>
      <c r="V266" s="79"/>
      <c r="W266" s="79"/>
      <c r="Z266" s="130"/>
      <c r="AB266" s="106"/>
    </row>
    <row r="267">
      <c r="C267" s="79"/>
      <c r="D267" s="79"/>
      <c r="E267" s="79"/>
      <c r="M267" s="79"/>
      <c r="R267" s="79"/>
      <c r="S267" s="79"/>
      <c r="V267" s="79"/>
      <c r="W267" s="79"/>
      <c r="Z267" s="130"/>
      <c r="AB267" s="106"/>
    </row>
    <row r="268">
      <c r="C268" s="79"/>
      <c r="D268" s="79"/>
      <c r="E268" s="79"/>
      <c r="M268" s="79"/>
      <c r="R268" s="79"/>
      <c r="S268" s="79"/>
      <c r="V268" s="79"/>
      <c r="W268" s="79"/>
      <c r="Z268" s="130"/>
      <c r="AB268" s="106"/>
    </row>
    <row r="269">
      <c r="C269" s="79"/>
      <c r="D269" s="79"/>
      <c r="E269" s="79"/>
      <c r="M269" s="79"/>
      <c r="R269" s="79"/>
      <c r="S269" s="79"/>
      <c r="V269" s="79"/>
      <c r="W269" s="79"/>
      <c r="Z269" s="130"/>
      <c r="AB269" s="106"/>
    </row>
    <row r="270">
      <c r="C270" s="79"/>
      <c r="D270" s="79"/>
      <c r="E270" s="79"/>
      <c r="M270" s="79"/>
      <c r="R270" s="79"/>
      <c r="S270" s="79"/>
      <c r="V270" s="79"/>
      <c r="W270" s="79"/>
      <c r="Z270" s="130"/>
      <c r="AB270" s="106"/>
    </row>
    <row r="271">
      <c r="C271" s="79"/>
      <c r="D271" s="79"/>
      <c r="E271" s="79"/>
      <c r="M271" s="79"/>
      <c r="R271" s="79"/>
      <c r="S271" s="79"/>
      <c r="V271" s="79"/>
      <c r="W271" s="79"/>
      <c r="Z271" s="130"/>
      <c r="AB271" s="106"/>
    </row>
    <row r="272">
      <c r="C272" s="79"/>
      <c r="D272" s="79"/>
      <c r="E272" s="79"/>
      <c r="M272" s="79"/>
      <c r="R272" s="79"/>
      <c r="S272" s="79"/>
      <c r="V272" s="79"/>
      <c r="W272" s="79"/>
      <c r="Z272" s="130"/>
      <c r="AB272" s="106"/>
    </row>
    <row r="273">
      <c r="C273" s="79"/>
      <c r="D273" s="79"/>
      <c r="E273" s="79"/>
      <c r="M273" s="79"/>
      <c r="R273" s="79"/>
      <c r="S273" s="79"/>
      <c r="V273" s="79"/>
      <c r="W273" s="79"/>
      <c r="Z273" s="130"/>
      <c r="AB273" s="106"/>
    </row>
    <row r="274">
      <c r="C274" s="79"/>
      <c r="D274" s="79"/>
      <c r="E274" s="79"/>
      <c r="M274" s="79"/>
      <c r="R274" s="79"/>
      <c r="S274" s="79"/>
      <c r="V274" s="79"/>
      <c r="W274" s="79"/>
      <c r="Z274" s="130"/>
      <c r="AB274" s="106"/>
    </row>
    <row r="275">
      <c r="C275" s="79"/>
      <c r="D275" s="79"/>
      <c r="E275" s="79"/>
      <c r="M275" s="79"/>
      <c r="R275" s="79"/>
      <c r="S275" s="79"/>
      <c r="V275" s="79"/>
      <c r="W275" s="79"/>
      <c r="Z275" s="130"/>
      <c r="AB275" s="106"/>
    </row>
    <row r="276">
      <c r="C276" s="79"/>
      <c r="D276" s="79"/>
      <c r="E276" s="79"/>
      <c r="M276" s="79"/>
      <c r="R276" s="79"/>
      <c r="S276" s="79"/>
      <c r="V276" s="79"/>
      <c r="W276" s="79"/>
      <c r="Z276" s="130"/>
      <c r="AB276" s="106"/>
    </row>
    <row r="277">
      <c r="C277" s="79"/>
      <c r="D277" s="79"/>
      <c r="E277" s="79"/>
      <c r="M277" s="79"/>
      <c r="R277" s="79"/>
      <c r="S277" s="79"/>
      <c r="V277" s="79"/>
      <c r="W277" s="79"/>
      <c r="Z277" s="130"/>
      <c r="AB277" s="106"/>
    </row>
    <row r="278">
      <c r="C278" s="79"/>
      <c r="D278" s="79"/>
      <c r="E278" s="79"/>
      <c r="M278" s="79"/>
      <c r="R278" s="79"/>
      <c r="S278" s="79"/>
      <c r="V278" s="79"/>
      <c r="W278" s="79"/>
      <c r="Z278" s="130"/>
      <c r="AB278" s="106"/>
    </row>
    <row r="279">
      <c r="C279" s="79"/>
      <c r="D279" s="79"/>
      <c r="E279" s="79"/>
      <c r="M279" s="79"/>
      <c r="R279" s="79"/>
      <c r="S279" s="79"/>
      <c r="V279" s="79"/>
      <c r="W279" s="79"/>
      <c r="Z279" s="130"/>
      <c r="AB279" s="106"/>
    </row>
    <row r="280">
      <c r="C280" s="79"/>
      <c r="D280" s="79"/>
      <c r="E280" s="79"/>
      <c r="M280" s="79"/>
      <c r="R280" s="79"/>
      <c r="S280" s="79"/>
      <c r="V280" s="79"/>
      <c r="W280" s="79"/>
      <c r="Z280" s="130"/>
      <c r="AB280" s="106"/>
    </row>
    <row r="281">
      <c r="C281" s="79"/>
      <c r="D281" s="79"/>
      <c r="E281" s="79"/>
      <c r="M281" s="79"/>
      <c r="R281" s="79"/>
      <c r="S281" s="79"/>
      <c r="V281" s="79"/>
      <c r="W281" s="79"/>
      <c r="Z281" s="130"/>
      <c r="AB281" s="106"/>
    </row>
    <row r="282">
      <c r="C282" s="79"/>
      <c r="D282" s="79"/>
      <c r="E282" s="79"/>
      <c r="M282" s="79"/>
      <c r="R282" s="79"/>
      <c r="S282" s="79"/>
      <c r="V282" s="79"/>
      <c r="W282" s="79"/>
      <c r="Z282" s="130"/>
      <c r="AB282" s="106"/>
    </row>
    <row r="283">
      <c r="C283" s="79"/>
      <c r="D283" s="79"/>
      <c r="E283" s="79"/>
      <c r="M283" s="79"/>
      <c r="R283" s="79"/>
      <c r="S283" s="79"/>
      <c r="V283" s="79"/>
      <c r="W283" s="79"/>
      <c r="Z283" s="130"/>
      <c r="AB283" s="106"/>
    </row>
    <row r="284">
      <c r="C284" s="79"/>
      <c r="D284" s="79"/>
      <c r="E284" s="79"/>
      <c r="M284" s="79"/>
      <c r="R284" s="79"/>
      <c r="S284" s="79"/>
      <c r="V284" s="79"/>
      <c r="W284" s="79"/>
      <c r="Z284" s="130"/>
      <c r="AB284" s="106"/>
    </row>
    <row r="285">
      <c r="C285" s="79"/>
      <c r="D285" s="79"/>
      <c r="E285" s="79"/>
      <c r="M285" s="79"/>
      <c r="R285" s="79"/>
      <c r="S285" s="79"/>
      <c r="V285" s="79"/>
      <c r="W285" s="79"/>
      <c r="Z285" s="130"/>
      <c r="AB285" s="106"/>
    </row>
    <row r="286">
      <c r="C286" s="79"/>
      <c r="D286" s="79"/>
      <c r="E286" s="79"/>
      <c r="M286" s="79"/>
      <c r="R286" s="79"/>
      <c r="S286" s="79"/>
      <c r="V286" s="79"/>
      <c r="W286" s="79"/>
      <c r="Z286" s="130"/>
      <c r="AB286" s="106"/>
    </row>
    <row r="287">
      <c r="C287" s="79"/>
      <c r="D287" s="79"/>
      <c r="E287" s="79"/>
      <c r="M287" s="79"/>
      <c r="R287" s="79"/>
      <c r="S287" s="79"/>
      <c r="V287" s="79"/>
      <c r="W287" s="79"/>
      <c r="Z287" s="130"/>
      <c r="AB287" s="106"/>
    </row>
    <row r="288">
      <c r="C288" s="79"/>
      <c r="D288" s="79"/>
      <c r="E288" s="79"/>
      <c r="M288" s="79"/>
      <c r="R288" s="79"/>
      <c r="S288" s="79"/>
      <c r="V288" s="79"/>
      <c r="W288" s="79"/>
      <c r="Z288" s="130"/>
      <c r="AB288" s="106"/>
    </row>
    <row r="289">
      <c r="C289" s="79"/>
      <c r="D289" s="79"/>
      <c r="E289" s="79"/>
      <c r="M289" s="79"/>
      <c r="R289" s="79"/>
      <c r="S289" s="79"/>
      <c r="V289" s="79"/>
      <c r="W289" s="79"/>
      <c r="Z289" s="130"/>
      <c r="AB289" s="106"/>
    </row>
    <row r="290">
      <c r="C290" s="79"/>
      <c r="D290" s="79"/>
      <c r="E290" s="79"/>
      <c r="M290" s="79"/>
      <c r="R290" s="79"/>
      <c r="S290" s="79"/>
      <c r="V290" s="79"/>
      <c r="W290" s="79"/>
      <c r="Z290" s="130"/>
      <c r="AB290" s="106"/>
    </row>
    <row r="291">
      <c r="C291" s="79"/>
      <c r="D291" s="79"/>
      <c r="E291" s="79"/>
      <c r="M291" s="79"/>
      <c r="R291" s="79"/>
      <c r="S291" s="79"/>
      <c r="V291" s="79"/>
      <c r="W291" s="79"/>
      <c r="Z291" s="130"/>
      <c r="AB291" s="106"/>
    </row>
    <row r="292">
      <c r="C292" s="79"/>
      <c r="D292" s="79"/>
      <c r="E292" s="79"/>
      <c r="M292" s="79"/>
      <c r="R292" s="79"/>
      <c r="S292" s="79"/>
      <c r="V292" s="79"/>
      <c r="W292" s="79"/>
      <c r="Z292" s="130"/>
      <c r="AB292" s="106"/>
    </row>
    <row r="293">
      <c r="C293" s="79"/>
      <c r="D293" s="79"/>
      <c r="E293" s="79"/>
      <c r="M293" s="79"/>
      <c r="R293" s="79"/>
      <c r="S293" s="79"/>
      <c r="V293" s="79"/>
      <c r="W293" s="79"/>
      <c r="Z293" s="130"/>
      <c r="AB293" s="106"/>
    </row>
    <row r="294">
      <c r="C294" s="79"/>
      <c r="D294" s="79"/>
      <c r="E294" s="79"/>
      <c r="M294" s="79"/>
      <c r="R294" s="79"/>
      <c r="S294" s="79"/>
      <c r="V294" s="79"/>
      <c r="W294" s="79"/>
      <c r="Z294" s="130"/>
      <c r="AB294" s="106"/>
    </row>
    <row r="295">
      <c r="C295" s="79"/>
      <c r="D295" s="79"/>
      <c r="E295" s="79"/>
      <c r="M295" s="79"/>
      <c r="R295" s="79"/>
      <c r="S295" s="79"/>
      <c r="V295" s="79"/>
      <c r="W295" s="79"/>
      <c r="Z295" s="130"/>
      <c r="AB295" s="106"/>
    </row>
    <row r="296">
      <c r="C296" s="79"/>
      <c r="D296" s="79"/>
      <c r="E296" s="79"/>
      <c r="M296" s="79"/>
      <c r="R296" s="79"/>
      <c r="S296" s="79"/>
      <c r="V296" s="79"/>
      <c r="W296" s="79"/>
      <c r="Z296" s="130"/>
      <c r="AB296" s="106"/>
    </row>
    <row r="297">
      <c r="C297" s="79"/>
      <c r="D297" s="79"/>
      <c r="E297" s="79"/>
      <c r="M297" s="79"/>
      <c r="R297" s="79"/>
      <c r="S297" s="79"/>
      <c r="V297" s="79"/>
      <c r="W297" s="79"/>
      <c r="Z297" s="130"/>
      <c r="AB297" s="106"/>
    </row>
    <row r="298">
      <c r="C298" s="79"/>
      <c r="D298" s="79"/>
      <c r="E298" s="79"/>
      <c r="M298" s="79"/>
      <c r="R298" s="79"/>
      <c r="S298" s="79"/>
      <c r="V298" s="79"/>
      <c r="W298" s="79"/>
      <c r="Z298" s="130"/>
      <c r="AB298" s="106"/>
    </row>
    <row r="299">
      <c r="C299" s="79"/>
      <c r="D299" s="79"/>
      <c r="E299" s="79"/>
      <c r="M299" s="79"/>
      <c r="R299" s="79"/>
      <c r="S299" s="79"/>
      <c r="V299" s="79"/>
      <c r="W299" s="79"/>
      <c r="Z299" s="130"/>
      <c r="AB299" s="106"/>
    </row>
    <row r="300">
      <c r="C300" s="79"/>
      <c r="D300" s="79"/>
      <c r="E300" s="79"/>
      <c r="M300" s="79"/>
      <c r="R300" s="79"/>
      <c r="S300" s="79"/>
      <c r="V300" s="79"/>
      <c r="W300" s="79"/>
      <c r="Z300" s="130"/>
      <c r="AB300" s="106"/>
    </row>
    <row r="301">
      <c r="C301" s="79"/>
      <c r="D301" s="79"/>
      <c r="E301" s="79"/>
      <c r="M301" s="79"/>
      <c r="R301" s="79"/>
      <c r="S301" s="79"/>
      <c r="V301" s="79"/>
      <c r="W301" s="79"/>
      <c r="Z301" s="130"/>
      <c r="AB301" s="106"/>
    </row>
    <row r="302">
      <c r="C302" s="79"/>
      <c r="D302" s="79"/>
      <c r="E302" s="79"/>
      <c r="M302" s="79"/>
      <c r="R302" s="79"/>
      <c r="S302" s="79"/>
      <c r="V302" s="79"/>
      <c r="W302" s="79"/>
      <c r="Z302" s="130"/>
      <c r="AB302" s="106"/>
    </row>
    <row r="303">
      <c r="C303" s="79"/>
      <c r="D303" s="79"/>
      <c r="E303" s="79"/>
      <c r="M303" s="79"/>
      <c r="R303" s="79"/>
      <c r="S303" s="79"/>
      <c r="V303" s="79"/>
      <c r="W303" s="79"/>
      <c r="Z303" s="130"/>
      <c r="AB303" s="106"/>
    </row>
    <row r="304">
      <c r="C304" s="79"/>
      <c r="D304" s="79"/>
      <c r="E304" s="79"/>
      <c r="M304" s="79"/>
      <c r="R304" s="79"/>
      <c r="S304" s="79"/>
      <c r="V304" s="79"/>
      <c r="W304" s="79"/>
      <c r="Z304" s="130"/>
      <c r="AB304" s="106"/>
    </row>
    <row r="305">
      <c r="C305" s="79"/>
      <c r="D305" s="79"/>
      <c r="E305" s="79"/>
      <c r="M305" s="79"/>
      <c r="R305" s="79"/>
      <c r="S305" s="79"/>
      <c r="V305" s="79"/>
      <c r="W305" s="79"/>
      <c r="Z305" s="130"/>
      <c r="AB305" s="106"/>
    </row>
    <row r="306">
      <c r="C306" s="79"/>
      <c r="D306" s="79"/>
      <c r="E306" s="79"/>
      <c r="M306" s="79"/>
      <c r="R306" s="79"/>
      <c r="S306" s="79"/>
      <c r="V306" s="79"/>
      <c r="W306" s="79"/>
      <c r="Z306" s="130"/>
      <c r="AB306" s="106"/>
    </row>
    <row r="307">
      <c r="C307" s="79"/>
      <c r="D307" s="79"/>
      <c r="E307" s="79"/>
      <c r="M307" s="79"/>
      <c r="R307" s="79"/>
      <c r="S307" s="79"/>
      <c r="V307" s="79"/>
      <c r="W307" s="79"/>
      <c r="Z307" s="130"/>
      <c r="AB307" s="106"/>
    </row>
    <row r="308">
      <c r="C308" s="79"/>
      <c r="D308" s="79"/>
      <c r="E308" s="79"/>
      <c r="M308" s="79"/>
      <c r="R308" s="79"/>
      <c r="S308" s="79"/>
      <c r="V308" s="79"/>
      <c r="W308" s="79"/>
      <c r="Z308" s="130"/>
      <c r="AB308" s="106"/>
    </row>
    <row r="309">
      <c r="C309" s="79"/>
      <c r="D309" s="79"/>
      <c r="E309" s="79"/>
      <c r="M309" s="79"/>
      <c r="R309" s="79"/>
      <c r="S309" s="79"/>
      <c r="V309" s="79"/>
      <c r="W309" s="79"/>
      <c r="Z309" s="130"/>
      <c r="AB309" s="106"/>
    </row>
    <row r="310">
      <c r="C310" s="79"/>
      <c r="D310" s="79"/>
      <c r="E310" s="79"/>
      <c r="M310" s="79"/>
      <c r="R310" s="79"/>
      <c r="S310" s="79"/>
      <c r="V310" s="79"/>
      <c r="W310" s="79"/>
      <c r="Z310" s="130"/>
      <c r="AB310" s="106"/>
    </row>
    <row r="311">
      <c r="C311" s="79"/>
      <c r="D311" s="79"/>
      <c r="E311" s="79"/>
      <c r="M311" s="79"/>
      <c r="R311" s="79"/>
      <c r="S311" s="79"/>
      <c r="V311" s="79"/>
      <c r="W311" s="79"/>
      <c r="Z311" s="130"/>
      <c r="AB311" s="106"/>
    </row>
    <row r="312">
      <c r="C312" s="79"/>
      <c r="D312" s="79"/>
      <c r="E312" s="79"/>
      <c r="M312" s="79"/>
      <c r="R312" s="79"/>
      <c r="S312" s="79"/>
      <c r="V312" s="79"/>
      <c r="W312" s="79"/>
      <c r="Z312" s="130"/>
      <c r="AB312" s="106"/>
    </row>
    <row r="313">
      <c r="C313" s="79"/>
      <c r="D313" s="79"/>
      <c r="E313" s="79"/>
      <c r="M313" s="79"/>
      <c r="R313" s="79"/>
      <c r="S313" s="79"/>
      <c r="V313" s="79"/>
      <c r="W313" s="79"/>
      <c r="Z313" s="130"/>
      <c r="AB313" s="106"/>
    </row>
    <row r="314">
      <c r="C314" s="79"/>
      <c r="D314" s="79"/>
      <c r="E314" s="79"/>
      <c r="M314" s="79"/>
      <c r="R314" s="79"/>
      <c r="S314" s="79"/>
      <c r="V314" s="79"/>
      <c r="W314" s="79"/>
      <c r="Z314" s="130"/>
      <c r="AB314" s="106"/>
    </row>
    <row r="315">
      <c r="C315" s="79"/>
      <c r="D315" s="79"/>
      <c r="E315" s="79"/>
      <c r="M315" s="79"/>
      <c r="R315" s="79"/>
      <c r="S315" s="79"/>
      <c r="V315" s="79"/>
      <c r="W315" s="79"/>
      <c r="Z315" s="130"/>
      <c r="AB315" s="106"/>
    </row>
    <row r="316">
      <c r="C316" s="79"/>
      <c r="D316" s="79"/>
      <c r="E316" s="79"/>
      <c r="M316" s="79"/>
      <c r="R316" s="79"/>
      <c r="S316" s="79"/>
      <c r="V316" s="79"/>
      <c r="W316" s="79"/>
      <c r="Z316" s="130"/>
      <c r="AB316" s="106"/>
    </row>
    <row r="317">
      <c r="C317" s="79"/>
      <c r="D317" s="79"/>
      <c r="E317" s="79"/>
      <c r="M317" s="79"/>
      <c r="R317" s="79"/>
      <c r="S317" s="79"/>
      <c r="V317" s="79"/>
      <c r="W317" s="79"/>
      <c r="Z317" s="130"/>
      <c r="AB317" s="106"/>
    </row>
    <row r="318">
      <c r="C318" s="79"/>
      <c r="D318" s="79"/>
      <c r="E318" s="79"/>
      <c r="M318" s="79"/>
      <c r="R318" s="79"/>
      <c r="S318" s="79"/>
      <c r="V318" s="79"/>
      <c r="W318" s="79"/>
      <c r="Z318" s="130"/>
      <c r="AB318" s="106"/>
    </row>
    <row r="319">
      <c r="C319" s="79"/>
      <c r="D319" s="79"/>
      <c r="E319" s="79"/>
      <c r="M319" s="79"/>
      <c r="R319" s="79"/>
      <c r="S319" s="79"/>
      <c r="V319" s="79"/>
      <c r="W319" s="79"/>
      <c r="Z319" s="130"/>
      <c r="AB319" s="106"/>
    </row>
    <row r="320">
      <c r="C320" s="79"/>
      <c r="D320" s="79"/>
      <c r="E320" s="79"/>
      <c r="M320" s="79"/>
      <c r="R320" s="79"/>
      <c r="S320" s="79"/>
      <c r="V320" s="79"/>
      <c r="W320" s="79"/>
      <c r="Z320" s="130"/>
      <c r="AB320" s="106"/>
    </row>
    <row r="321">
      <c r="C321" s="79"/>
      <c r="D321" s="79"/>
      <c r="E321" s="79"/>
      <c r="M321" s="79"/>
      <c r="R321" s="79"/>
      <c r="S321" s="79"/>
      <c r="V321" s="79"/>
      <c r="W321" s="79"/>
      <c r="Z321" s="130"/>
      <c r="AB321" s="106"/>
    </row>
    <row r="322">
      <c r="C322" s="79"/>
      <c r="D322" s="79"/>
      <c r="E322" s="79"/>
      <c r="M322" s="79"/>
      <c r="R322" s="79"/>
      <c r="S322" s="79"/>
      <c r="V322" s="79"/>
      <c r="W322" s="79"/>
      <c r="Z322" s="130"/>
      <c r="AB322" s="106"/>
    </row>
    <row r="323">
      <c r="C323" s="79"/>
      <c r="D323" s="79"/>
      <c r="E323" s="79"/>
      <c r="M323" s="79"/>
      <c r="R323" s="79"/>
      <c r="S323" s="79"/>
      <c r="V323" s="79"/>
      <c r="W323" s="79"/>
      <c r="Z323" s="130"/>
      <c r="AB323" s="106"/>
    </row>
    <row r="324">
      <c r="C324" s="79"/>
      <c r="D324" s="79"/>
      <c r="E324" s="79"/>
      <c r="M324" s="79"/>
      <c r="R324" s="79"/>
      <c r="S324" s="79"/>
      <c r="V324" s="79"/>
      <c r="W324" s="79"/>
      <c r="Z324" s="130"/>
      <c r="AB324" s="106"/>
    </row>
    <row r="325">
      <c r="C325" s="79"/>
      <c r="D325" s="79"/>
      <c r="E325" s="79"/>
      <c r="M325" s="79"/>
      <c r="R325" s="79"/>
      <c r="S325" s="79"/>
      <c r="V325" s="79"/>
      <c r="W325" s="79"/>
      <c r="Z325" s="130"/>
      <c r="AB325" s="106"/>
    </row>
    <row r="326">
      <c r="C326" s="79"/>
      <c r="D326" s="79"/>
      <c r="E326" s="79"/>
      <c r="M326" s="79"/>
      <c r="R326" s="79"/>
      <c r="S326" s="79"/>
      <c r="V326" s="79"/>
      <c r="W326" s="79"/>
      <c r="Z326" s="130"/>
      <c r="AB326" s="106"/>
    </row>
    <row r="327">
      <c r="C327" s="79"/>
      <c r="D327" s="79"/>
      <c r="E327" s="79"/>
      <c r="M327" s="79"/>
      <c r="R327" s="79"/>
      <c r="S327" s="79"/>
      <c r="V327" s="79"/>
      <c r="W327" s="79"/>
      <c r="Z327" s="130"/>
      <c r="AB327" s="106"/>
    </row>
    <row r="328">
      <c r="C328" s="79"/>
      <c r="D328" s="79"/>
      <c r="E328" s="79"/>
      <c r="M328" s="79"/>
      <c r="R328" s="79"/>
      <c r="S328" s="79"/>
      <c r="V328" s="79"/>
      <c r="W328" s="79"/>
      <c r="Z328" s="130"/>
      <c r="AB328" s="106"/>
    </row>
    <row r="329">
      <c r="C329" s="79"/>
      <c r="D329" s="79"/>
      <c r="E329" s="79"/>
      <c r="M329" s="79"/>
      <c r="R329" s="79"/>
      <c r="S329" s="79"/>
      <c r="V329" s="79"/>
      <c r="W329" s="79"/>
      <c r="Z329" s="130"/>
      <c r="AB329" s="106"/>
    </row>
    <row r="330">
      <c r="C330" s="79"/>
      <c r="D330" s="79"/>
      <c r="E330" s="79"/>
      <c r="M330" s="79"/>
      <c r="R330" s="79"/>
      <c r="S330" s="79"/>
      <c r="V330" s="79"/>
      <c r="W330" s="79"/>
      <c r="Z330" s="130"/>
      <c r="AB330" s="106"/>
    </row>
    <row r="331">
      <c r="C331" s="79"/>
      <c r="D331" s="79"/>
      <c r="E331" s="79"/>
      <c r="M331" s="79"/>
      <c r="R331" s="79"/>
      <c r="S331" s="79"/>
      <c r="V331" s="79"/>
      <c r="W331" s="79"/>
      <c r="Z331" s="130"/>
      <c r="AB331" s="106"/>
    </row>
    <row r="332">
      <c r="C332" s="79"/>
      <c r="D332" s="79"/>
      <c r="E332" s="79"/>
      <c r="M332" s="79"/>
      <c r="R332" s="79"/>
      <c r="S332" s="79"/>
      <c r="V332" s="79"/>
      <c r="W332" s="79"/>
      <c r="Z332" s="130"/>
      <c r="AB332" s="106"/>
    </row>
    <row r="333">
      <c r="C333" s="79"/>
      <c r="D333" s="79"/>
      <c r="E333" s="79"/>
      <c r="M333" s="79"/>
      <c r="R333" s="79"/>
      <c r="S333" s="79"/>
      <c r="V333" s="79"/>
      <c r="W333" s="79"/>
      <c r="Z333" s="130"/>
      <c r="AB333" s="106"/>
    </row>
    <row r="334">
      <c r="C334" s="79"/>
      <c r="D334" s="79"/>
      <c r="E334" s="79"/>
      <c r="M334" s="79"/>
      <c r="R334" s="79"/>
      <c r="S334" s="79"/>
      <c r="V334" s="79"/>
      <c r="W334" s="79"/>
      <c r="Z334" s="130"/>
      <c r="AB334" s="106"/>
    </row>
    <row r="335">
      <c r="C335" s="79"/>
      <c r="D335" s="79"/>
      <c r="E335" s="79"/>
      <c r="M335" s="79"/>
      <c r="R335" s="79"/>
      <c r="S335" s="79"/>
      <c r="V335" s="79"/>
      <c r="W335" s="79"/>
      <c r="Z335" s="130"/>
      <c r="AB335" s="106"/>
    </row>
    <row r="336">
      <c r="C336" s="79"/>
      <c r="D336" s="79"/>
      <c r="E336" s="79"/>
      <c r="M336" s="79"/>
      <c r="R336" s="79"/>
      <c r="S336" s="79"/>
      <c r="V336" s="79"/>
      <c r="W336" s="79"/>
      <c r="Z336" s="130"/>
      <c r="AB336" s="106"/>
    </row>
    <row r="337">
      <c r="C337" s="79"/>
      <c r="D337" s="79"/>
      <c r="E337" s="79"/>
      <c r="M337" s="79"/>
      <c r="R337" s="79"/>
      <c r="S337" s="79"/>
      <c r="V337" s="79"/>
      <c r="W337" s="79"/>
      <c r="Z337" s="130"/>
      <c r="AB337" s="106"/>
    </row>
    <row r="338">
      <c r="C338" s="79"/>
      <c r="D338" s="79"/>
      <c r="E338" s="79"/>
      <c r="M338" s="79"/>
      <c r="R338" s="79"/>
      <c r="S338" s="79"/>
      <c r="V338" s="79"/>
      <c r="W338" s="79"/>
      <c r="Z338" s="130"/>
      <c r="AB338" s="106"/>
    </row>
    <row r="339">
      <c r="C339" s="79"/>
      <c r="D339" s="79"/>
      <c r="E339" s="79"/>
      <c r="M339" s="79"/>
      <c r="R339" s="79"/>
      <c r="S339" s="79"/>
      <c r="V339" s="79"/>
      <c r="W339" s="79"/>
      <c r="Z339" s="130"/>
      <c r="AB339" s="106"/>
    </row>
    <row r="340">
      <c r="C340" s="79"/>
      <c r="D340" s="79"/>
      <c r="E340" s="79"/>
      <c r="M340" s="79"/>
      <c r="R340" s="79"/>
      <c r="S340" s="79"/>
      <c r="V340" s="79"/>
      <c r="W340" s="79"/>
      <c r="Z340" s="130"/>
      <c r="AB340" s="106"/>
    </row>
    <row r="341">
      <c r="C341" s="79"/>
      <c r="D341" s="79"/>
      <c r="E341" s="79"/>
      <c r="M341" s="79"/>
      <c r="R341" s="79"/>
      <c r="S341" s="79"/>
      <c r="V341" s="79"/>
      <c r="W341" s="79"/>
      <c r="Z341" s="130"/>
      <c r="AB341" s="106"/>
    </row>
    <row r="342">
      <c r="C342" s="79"/>
      <c r="D342" s="79"/>
      <c r="E342" s="79"/>
      <c r="M342" s="79"/>
      <c r="R342" s="79"/>
      <c r="S342" s="79"/>
      <c r="V342" s="79"/>
      <c r="W342" s="79"/>
      <c r="Z342" s="130"/>
      <c r="AB342" s="106"/>
    </row>
    <row r="343">
      <c r="C343" s="79"/>
      <c r="D343" s="79"/>
      <c r="E343" s="79"/>
      <c r="M343" s="79"/>
      <c r="R343" s="79"/>
      <c r="S343" s="79"/>
      <c r="V343" s="79"/>
      <c r="W343" s="79"/>
      <c r="Z343" s="130"/>
      <c r="AB343" s="106"/>
    </row>
    <row r="344">
      <c r="C344" s="79"/>
      <c r="D344" s="79"/>
      <c r="E344" s="79"/>
      <c r="M344" s="79"/>
      <c r="R344" s="79"/>
      <c r="S344" s="79"/>
      <c r="V344" s="79"/>
      <c r="W344" s="79"/>
      <c r="Z344" s="130"/>
      <c r="AB344" s="106"/>
    </row>
    <row r="345">
      <c r="C345" s="79"/>
      <c r="D345" s="79"/>
      <c r="E345" s="79"/>
      <c r="M345" s="79"/>
      <c r="R345" s="79"/>
      <c r="S345" s="79"/>
      <c r="V345" s="79"/>
      <c r="W345" s="79"/>
      <c r="Z345" s="130"/>
      <c r="AB345" s="106"/>
    </row>
    <row r="346">
      <c r="C346" s="79"/>
      <c r="D346" s="79"/>
      <c r="E346" s="79"/>
      <c r="M346" s="79"/>
      <c r="R346" s="79"/>
      <c r="S346" s="79"/>
      <c r="V346" s="79"/>
      <c r="W346" s="79"/>
      <c r="Z346" s="130"/>
      <c r="AB346" s="106"/>
    </row>
    <row r="347">
      <c r="C347" s="79"/>
      <c r="D347" s="79"/>
      <c r="E347" s="79"/>
      <c r="M347" s="79"/>
      <c r="R347" s="79"/>
      <c r="S347" s="79"/>
      <c r="V347" s="79"/>
      <c r="W347" s="79"/>
      <c r="Z347" s="130"/>
      <c r="AB347" s="106"/>
    </row>
    <row r="348">
      <c r="C348" s="79"/>
      <c r="D348" s="79"/>
      <c r="E348" s="79"/>
      <c r="M348" s="79"/>
      <c r="R348" s="79"/>
      <c r="S348" s="79"/>
      <c r="V348" s="79"/>
      <c r="W348" s="79"/>
      <c r="Z348" s="130"/>
      <c r="AB348" s="106"/>
    </row>
    <row r="349">
      <c r="C349" s="79"/>
      <c r="D349" s="79"/>
      <c r="E349" s="79"/>
      <c r="M349" s="79"/>
      <c r="R349" s="79"/>
      <c r="S349" s="79"/>
      <c r="V349" s="79"/>
      <c r="W349" s="79"/>
      <c r="Z349" s="130"/>
      <c r="AB349" s="106"/>
    </row>
    <row r="350">
      <c r="C350" s="79"/>
      <c r="D350" s="79"/>
      <c r="E350" s="79"/>
      <c r="M350" s="79"/>
      <c r="R350" s="79"/>
      <c r="S350" s="79"/>
      <c r="V350" s="79"/>
      <c r="W350" s="79"/>
      <c r="Z350" s="130"/>
      <c r="AB350" s="106"/>
    </row>
    <row r="351">
      <c r="C351" s="79"/>
      <c r="D351" s="79"/>
      <c r="E351" s="79"/>
      <c r="M351" s="79"/>
      <c r="R351" s="79"/>
      <c r="S351" s="79"/>
      <c r="V351" s="79"/>
      <c r="W351" s="79"/>
      <c r="Z351" s="130"/>
      <c r="AB351" s="106"/>
    </row>
    <row r="352">
      <c r="C352" s="79"/>
      <c r="D352" s="79"/>
      <c r="E352" s="79"/>
      <c r="M352" s="79"/>
      <c r="R352" s="79"/>
      <c r="S352" s="79"/>
      <c r="V352" s="79"/>
      <c r="W352" s="79"/>
      <c r="Z352" s="130"/>
      <c r="AB352" s="106"/>
    </row>
    <row r="353">
      <c r="C353" s="79"/>
      <c r="D353" s="79"/>
      <c r="E353" s="79"/>
      <c r="M353" s="79"/>
      <c r="R353" s="79"/>
      <c r="S353" s="79"/>
      <c r="V353" s="79"/>
      <c r="W353" s="79"/>
      <c r="Z353" s="130"/>
      <c r="AB353" s="106"/>
    </row>
    <row r="354">
      <c r="C354" s="79"/>
      <c r="D354" s="79"/>
      <c r="E354" s="79"/>
      <c r="M354" s="79"/>
      <c r="R354" s="79"/>
      <c r="S354" s="79"/>
      <c r="V354" s="79"/>
      <c r="W354" s="79"/>
      <c r="Z354" s="130"/>
      <c r="AB354" s="106"/>
    </row>
    <row r="355">
      <c r="C355" s="79"/>
      <c r="D355" s="79"/>
      <c r="E355" s="79"/>
      <c r="M355" s="79"/>
      <c r="R355" s="79"/>
      <c r="S355" s="79"/>
      <c r="V355" s="79"/>
      <c r="W355" s="79"/>
      <c r="Z355" s="130"/>
      <c r="AB355" s="106"/>
    </row>
    <row r="356">
      <c r="C356" s="79"/>
      <c r="D356" s="79"/>
      <c r="E356" s="79"/>
      <c r="M356" s="79"/>
      <c r="R356" s="79"/>
      <c r="S356" s="79"/>
      <c r="V356" s="79"/>
      <c r="W356" s="79"/>
      <c r="Z356" s="130"/>
      <c r="AB356" s="106"/>
    </row>
    <row r="357">
      <c r="C357" s="79"/>
      <c r="D357" s="79"/>
      <c r="E357" s="79"/>
      <c r="M357" s="79"/>
      <c r="R357" s="79"/>
      <c r="S357" s="79"/>
      <c r="V357" s="79"/>
      <c r="W357" s="79"/>
      <c r="Z357" s="130"/>
      <c r="AB357" s="106"/>
    </row>
    <row r="358">
      <c r="C358" s="79"/>
      <c r="D358" s="79"/>
      <c r="E358" s="79"/>
      <c r="M358" s="79"/>
      <c r="R358" s="79"/>
      <c r="S358" s="79"/>
      <c r="V358" s="79"/>
      <c r="W358" s="79"/>
      <c r="Z358" s="130"/>
      <c r="AB358" s="106"/>
    </row>
    <row r="359">
      <c r="C359" s="79"/>
      <c r="D359" s="79"/>
      <c r="E359" s="79"/>
      <c r="M359" s="79"/>
      <c r="R359" s="79"/>
      <c r="S359" s="79"/>
      <c r="V359" s="79"/>
      <c r="W359" s="79"/>
      <c r="Z359" s="130"/>
      <c r="AB359" s="106"/>
    </row>
    <row r="360">
      <c r="C360" s="79"/>
      <c r="D360" s="79"/>
      <c r="E360" s="79"/>
      <c r="M360" s="79"/>
      <c r="R360" s="79"/>
      <c r="S360" s="79"/>
      <c r="V360" s="79"/>
      <c r="W360" s="79"/>
      <c r="Z360" s="130"/>
      <c r="AB360" s="106"/>
    </row>
    <row r="361">
      <c r="C361" s="79"/>
      <c r="D361" s="79"/>
      <c r="E361" s="79"/>
      <c r="M361" s="79"/>
      <c r="R361" s="79"/>
      <c r="S361" s="79"/>
      <c r="V361" s="79"/>
      <c r="W361" s="79"/>
      <c r="Z361" s="130"/>
      <c r="AB361" s="106"/>
    </row>
    <row r="362">
      <c r="C362" s="79"/>
      <c r="D362" s="79"/>
      <c r="E362" s="79"/>
      <c r="M362" s="79"/>
      <c r="R362" s="79"/>
      <c r="S362" s="79"/>
      <c r="V362" s="79"/>
      <c r="W362" s="79"/>
      <c r="Z362" s="130"/>
      <c r="AB362" s="106"/>
    </row>
    <row r="363">
      <c r="C363" s="79"/>
      <c r="D363" s="79"/>
      <c r="E363" s="79"/>
      <c r="M363" s="79"/>
      <c r="R363" s="79"/>
      <c r="S363" s="79"/>
      <c r="V363" s="79"/>
      <c r="W363" s="79"/>
      <c r="Z363" s="130"/>
      <c r="AB363" s="106"/>
    </row>
    <row r="364">
      <c r="C364" s="79"/>
      <c r="D364" s="79"/>
      <c r="E364" s="79"/>
      <c r="M364" s="79"/>
      <c r="R364" s="79"/>
      <c r="S364" s="79"/>
      <c r="V364" s="79"/>
      <c r="W364" s="79"/>
      <c r="Z364" s="130"/>
      <c r="AB364" s="106"/>
    </row>
    <row r="365">
      <c r="C365" s="79"/>
      <c r="D365" s="79"/>
      <c r="E365" s="79"/>
      <c r="M365" s="79"/>
      <c r="R365" s="79"/>
      <c r="S365" s="79"/>
      <c r="V365" s="79"/>
      <c r="W365" s="79"/>
      <c r="Z365" s="130"/>
      <c r="AB365" s="106"/>
    </row>
    <row r="366">
      <c r="C366" s="79"/>
      <c r="D366" s="79"/>
      <c r="E366" s="79"/>
      <c r="M366" s="79"/>
      <c r="R366" s="79"/>
      <c r="S366" s="79"/>
      <c r="V366" s="79"/>
      <c r="W366" s="79"/>
      <c r="Z366" s="130"/>
      <c r="AB366" s="106"/>
    </row>
    <row r="367">
      <c r="C367" s="79"/>
      <c r="D367" s="79"/>
      <c r="E367" s="79"/>
      <c r="M367" s="79"/>
      <c r="R367" s="79"/>
      <c r="S367" s="79"/>
      <c r="V367" s="79"/>
      <c r="W367" s="79"/>
      <c r="Z367" s="130"/>
      <c r="AB367" s="106"/>
    </row>
    <row r="368">
      <c r="C368" s="79"/>
      <c r="D368" s="79"/>
      <c r="E368" s="79"/>
      <c r="M368" s="79"/>
      <c r="R368" s="79"/>
      <c r="S368" s="79"/>
      <c r="V368" s="79"/>
      <c r="W368" s="79"/>
      <c r="Z368" s="130"/>
      <c r="AB368" s="106"/>
    </row>
    <row r="369">
      <c r="C369" s="79"/>
      <c r="D369" s="79"/>
      <c r="E369" s="79"/>
      <c r="M369" s="79"/>
      <c r="R369" s="79"/>
      <c r="S369" s="79"/>
      <c r="V369" s="79"/>
      <c r="W369" s="79"/>
      <c r="Z369" s="130"/>
      <c r="AB369" s="106"/>
    </row>
    <row r="370">
      <c r="C370" s="79"/>
      <c r="D370" s="79"/>
      <c r="E370" s="79"/>
      <c r="M370" s="79"/>
      <c r="R370" s="79"/>
      <c r="S370" s="79"/>
      <c r="V370" s="79"/>
      <c r="W370" s="79"/>
      <c r="Z370" s="130"/>
      <c r="AB370" s="106"/>
    </row>
    <row r="371">
      <c r="C371" s="79"/>
      <c r="D371" s="79"/>
      <c r="E371" s="79"/>
      <c r="M371" s="79"/>
      <c r="R371" s="79"/>
      <c r="S371" s="79"/>
      <c r="V371" s="79"/>
      <c r="W371" s="79"/>
      <c r="Z371" s="130"/>
      <c r="AB371" s="106"/>
    </row>
    <row r="372">
      <c r="C372" s="79"/>
      <c r="D372" s="79"/>
      <c r="E372" s="79"/>
      <c r="M372" s="79"/>
      <c r="R372" s="79"/>
      <c r="S372" s="79"/>
      <c r="V372" s="79"/>
      <c r="W372" s="79"/>
      <c r="Z372" s="130"/>
      <c r="AB372" s="106"/>
    </row>
    <row r="373">
      <c r="C373" s="79"/>
      <c r="D373" s="79"/>
      <c r="E373" s="79"/>
      <c r="M373" s="79"/>
      <c r="R373" s="79"/>
      <c r="S373" s="79"/>
      <c r="V373" s="79"/>
      <c r="W373" s="79"/>
      <c r="Z373" s="130"/>
      <c r="AB373" s="106"/>
    </row>
    <row r="374">
      <c r="C374" s="79"/>
      <c r="D374" s="79"/>
      <c r="E374" s="79"/>
      <c r="M374" s="79"/>
      <c r="R374" s="79"/>
      <c r="S374" s="79"/>
      <c r="V374" s="79"/>
      <c r="W374" s="79"/>
      <c r="Z374" s="130"/>
      <c r="AB374" s="106"/>
    </row>
    <row r="375">
      <c r="C375" s="79"/>
      <c r="D375" s="79"/>
      <c r="E375" s="79"/>
      <c r="M375" s="79"/>
      <c r="R375" s="79"/>
      <c r="S375" s="79"/>
      <c r="V375" s="79"/>
      <c r="W375" s="79"/>
      <c r="Z375" s="130"/>
      <c r="AB375" s="106"/>
    </row>
    <row r="376">
      <c r="C376" s="79"/>
      <c r="D376" s="79"/>
      <c r="E376" s="79"/>
      <c r="M376" s="79"/>
      <c r="R376" s="79"/>
      <c r="S376" s="79"/>
      <c r="V376" s="79"/>
      <c r="W376" s="79"/>
      <c r="Z376" s="130"/>
      <c r="AB376" s="106"/>
    </row>
    <row r="377">
      <c r="C377" s="79"/>
      <c r="D377" s="79"/>
      <c r="E377" s="79"/>
      <c r="M377" s="79"/>
      <c r="R377" s="79"/>
      <c r="S377" s="79"/>
      <c r="V377" s="79"/>
      <c r="W377" s="79"/>
      <c r="Z377" s="130"/>
      <c r="AB377" s="106"/>
    </row>
    <row r="378">
      <c r="C378" s="79"/>
      <c r="D378" s="79"/>
      <c r="E378" s="79"/>
      <c r="M378" s="79"/>
      <c r="R378" s="79"/>
      <c r="S378" s="79"/>
      <c r="V378" s="79"/>
      <c r="W378" s="79"/>
      <c r="Z378" s="130"/>
      <c r="AB378" s="106"/>
    </row>
    <row r="379">
      <c r="C379" s="79"/>
      <c r="D379" s="79"/>
      <c r="E379" s="79"/>
      <c r="M379" s="79"/>
      <c r="R379" s="79"/>
      <c r="S379" s="79"/>
      <c r="V379" s="79"/>
      <c r="W379" s="79"/>
      <c r="Z379" s="130"/>
      <c r="AB379" s="106"/>
    </row>
    <row r="380">
      <c r="C380" s="79"/>
      <c r="D380" s="79"/>
      <c r="E380" s="79"/>
      <c r="M380" s="79"/>
      <c r="R380" s="79"/>
      <c r="S380" s="79"/>
      <c r="V380" s="79"/>
      <c r="W380" s="79"/>
      <c r="Z380" s="130"/>
      <c r="AB380" s="106"/>
    </row>
    <row r="381">
      <c r="C381" s="79"/>
      <c r="D381" s="79"/>
      <c r="E381" s="79"/>
      <c r="M381" s="79"/>
      <c r="R381" s="79"/>
      <c r="S381" s="79"/>
      <c r="V381" s="79"/>
      <c r="W381" s="79"/>
      <c r="Z381" s="130"/>
      <c r="AB381" s="106"/>
    </row>
    <row r="382">
      <c r="C382" s="79"/>
      <c r="D382" s="79"/>
      <c r="E382" s="79"/>
      <c r="M382" s="79"/>
      <c r="R382" s="79"/>
      <c r="S382" s="79"/>
      <c r="V382" s="79"/>
      <c r="W382" s="79"/>
      <c r="Z382" s="130"/>
      <c r="AB382" s="106"/>
    </row>
    <row r="383">
      <c r="C383" s="79"/>
      <c r="D383" s="79"/>
      <c r="E383" s="79"/>
      <c r="M383" s="79"/>
      <c r="R383" s="79"/>
      <c r="S383" s="79"/>
      <c r="V383" s="79"/>
      <c r="W383" s="79"/>
      <c r="Z383" s="130"/>
      <c r="AB383" s="106"/>
    </row>
    <row r="384">
      <c r="C384" s="79"/>
      <c r="D384" s="79"/>
      <c r="E384" s="79"/>
      <c r="M384" s="79"/>
      <c r="R384" s="79"/>
      <c r="S384" s="79"/>
      <c r="V384" s="79"/>
      <c r="W384" s="79"/>
      <c r="Z384" s="130"/>
      <c r="AB384" s="106"/>
    </row>
    <row r="385">
      <c r="C385" s="79"/>
      <c r="D385" s="79"/>
      <c r="E385" s="79"/>
      <c r="M385" s="79"/>
      <c r="R385" s="79"/>
      <c r="S385" s="79"/>
      <c r="V385" s="79"/>
      <c r="W385" s="79"/>
      <c r="Z385" s="130"/>
      <c r="AB385" s="106"/>
    </row>
    <row r="386">
      <c r="C386" s="79"/>
      <c r="D386" s="79"/>
      <c r="E386" s="79"/>
      <c r="M386" s="79"/>
      <c r="R386" s="79"/>
      <c r="S386" s="79"/>
      <c r="V386" s="79"/>
      <c r="W386" s="79"/>
      <c r="Z386" s="130"/>
      <c r="AB386" s="106"/>
    </row>
    <row r="387">
      <c r="C387" s="79"/>
      <c r="D387" s="79"/>
      <c r="E387" s="79"/>
      <c r="M387" s="79"/>
      <c r="R387" s="79"/>
      <c r="S387" s="79"/>
      <c r="V387" s="79"/>
      <c r="W387" s="79"/>
      <c r="Z387" s="130"/>
      <c r="AB387" s="106"/>
    </row>
    <row r="388">
      <c r="C388" s="79"/>
      <c r="D388" s="79"/>
      <c r="E388" s="79"/>
      <c r="M388" s="79"/>
      <c r="R388" s="79"/>
      <c r="S388" s="79"/>
      <c r="V388" s="79"/>
      <c r="W388" s="79"/>
      <c r="Z388" s="130"/>
      <c r="AB388" s="106"/>
    </row>
    <row r="389">
      <c r="C389" s="79"/>
      <c r="D389" s="79"/>
      <c r="E389" s="79"/>
      <c r="M389" s="79"/>
      <c r="R389" s="79"/>
      <c r="S389" s="79"/>
      <c r="V389" s="79"/>
      <c r="W389" s="79"/>
      <c r="Z389" s="130"/>
      <c r="AB389" s="106"/>
    </row>
    <row r="390">
      <c r="C390" s="79"/>
      <c r="D390" s="79"/>
      <c r="E390" s="79"/>
      <c r="M390" s="79"/>
      <c r="R390" s="79"/>
      <c r="S390" s="79"/>
      <c r="V390" s="79"/>
      <c r="W390" s="79"/>
      <c r="Z390" s="130"/>
      <c r="AB390" s="106"/>
    </row>
    <row r="391">
      <c r="C391" s="79"/>
      <c r="D391" s="79"/>
      <c r="E391" s="79"/>
      <c r="M391" s="79"/>
      <c r="R391" s="79"/>
      <c r="S391" s="79"/>
      <c r="V391" s="79"/>
      <c r="W391" s="79"/>
      <c r="Z391" s="130"/>
      <c r="AB391" s="106"/>
    </row>
    <row r="392">
      <c r="C392" s="79"/>
      <c r="D392" s="79"/>
      <c r="E392" s="79"/>
      <c r="M392" s="79"/>
      <c r="R392" s="79"/>
      <c r="S392" s="79"/>
      <c r="V392" s="79"/>
      <c r="W392" s="79"/>
      <c r="Z392" s="130"/>
      <c r="AB392" s="106"/>
    </row>
    <row r="393">
      <c r="C393" s="79"/>
      <c r="D393" s="79"/>
      <c r="E393" s="79"/>
      <c r="M393" s="79"/>
      <c r="R393" s="79"/>
      <c r="S393" s="79"/>
      <c r="V393" s="79"/>
      <c r="W393" s="79"/>
      <c r="Z393" s="130"/>
      <c r="AB393" s="106"/>
    </row>
    <row r="394">
      <c r="C394" s="79"/>
      <c r="D394" s="79"/>
      <c r="E394" s="79"/>
      <c r="M394" s="79"/>
      <c r="R394" s="79"/>
      <c r="S394" s="79"/>
      <c r="V394" s="79"/>
      <c r="W394" s="79"/>
      <c r="Z394" s="130"/>
      <c r="AB394" s="106"/>
    </row>
    <row r="395">
      <c r="C395" s="79"/>
      <c r="D395" s="79"/>
      <c r="E395" s="79"/>
      <c r="M395" s="79"/>
      <c r="R395" s="79"/>
      <c r="S395" s="79"/>
      <c r="V395" s="79"/>
      <c r="W395" s="79"/>
      <c r="Z395" s="130"/>
      <c r="AB395" s="106"/>
    </row>
    <row r="396">
      <c r="C396" s="79"/>
      <c r="D396" s="79"/>
      <c r="E396" s="79"/>
      <c r="M396" s="79"/>
      <c r="R396" s="79"/>
      <c r="S396" s="79"/>
      <c r="V396" s="79"/>
      <c r="W396" s="79"/>
      <c r="Z396" s="130"/>
      <c r="AB396" s="106"/>
    </row>
    <row r="397">
      <c r="C397" s="79"/>
      <c r="D397" s="79"/>
      <c r="E397" s="79"/>
      <c r="M397" s="79"/>
      <c r="R397" s="79"/>
      <c r="S397" s="79"/>
      <c r="V397" s="79"/>
      <c r="W397" s="79"/>
      <c r="Z397" s="130"/>
      <c r="AB397" s="106"/>
    </row>
    <row r="398">
      <c r="C398" s="79"/>
      <c r="D398" s="79"/>
      <c r="E398" s="79"/>
      <c r="M398" s="79"/>
      <c r="R398" s="79"/>
      <c r="S398" s="79"/>
      <c r="V398" s="79"/>
      <c r="W398" s="79"/>
      <c r="Z398" s="130"/>
      <c r="AB398" s="106"/>
    </row>
    <row r="399">
      <c r="C399" s="79"/>
      <c r="D399" s="79"/>
      <c r="E399" s="79"/>
      <c r="M399" s="79"/>
      <c r="R399" s="79"/>
      <c r="S399" s="79"/>
      <c r="V399" s="79"/>
      <c r="W399" s="79"/>
      <c r="Z399" s="130"/>
      <c r="AB399" s="106"/>
    </row>
    <row r="400">
      <c r="C400" s="79"/>
      <c r="D400" s="79"/>
      <c r="E400" s="79"/>
      <c r="M400" s="79"/>
      <c r="R400" s="79"/>
      <c r="S400" s="79"/>
      <c r="V400" s="79"/>
      <c r="W400" s="79"/>
      <c r="Z400" s="130"/>
      <c r="AB400" s="106"/>
    </row>
    <row r="401">
      <c r="C401" s="79"/>
      <c r="D401" s="79"/>
      <c r="E401" s="79"/>
      <c r="M401" s="79"/>
      <c r="R401" s="79"/>
      <c r="S401" s="79"/>
      <c r="V401" s="79"/>
      <c r="W401" s="79"/>
      <c r="Z401" s="130"/>
      <c r="AB401" s="106"/>
    </row>
    <row r="402">
      <c r="C402" s="79"/>
      <c r="D402" s="79"/>
      <c r="E402" s="79"/>
      <c r="M402" s="79"/>
      <c r="R402" s="79"/>
      <c r="S402" s="79"/>
      <c r="V402" s="79"/>
      <c r="W402" s="79"/>
      <c r="Z402" s="130"/>
      <c r="AB402" s="106"/>
    </row>
    <row r="403">
      <c r="C403" s="79"/>
      <c r="D403" s="79"/>
      <c r="E403" s="79"/>
      <c r="M403" s="79"/>
      <c r="R403" s="79"/>
      <c r="S403" s="79"/>
      <c r="V403" s="79"/>
      <c r="W403" s="79"/>
      <c r="Z403" s="130"/>
      <c r="AB403" s="106"/>
    </row>
    <row r="404">
      <c r="C404" s="79"/>
      <c r="D404" s="79"/>
      <c r="E404" s="79"/>
      <c r="M404" s="79"/>
      <c r="R404" s="79"/>
      <c r="S404" s="79"/>
      <c r="V404" s="79"/>
      <c r="W404" s="79"/>
      <c r="Z404" s="130"/>
      <c r="AB404" s="106"/>
    </row>
    <row r="405">
      <c r="C405" s="79"/>
      <c r="D405" s="79"/>
      <c r="E405" s="79"/>
      <c r="M405" s="79"/>
      <c r="R405" s="79"/>
      <c r="S405" s="79"/>
      <c r="V405" s="79"/>
      <c r="W405" s="79"/>
      <c r="Z405" s="130"/>
      <c r="AB405" s="106"/>
    </row>
    <row r="406">
      <c r="C406" s="79"/>
      <c r="D406" s="79"/>
      <c r="E406" s="79"/>
      <c r="M406" s="79"/>
      <c r="R406" s="79"/>
      <c r="S406" s="79"/>
      <c r="V406" s="79"/>
      <c r="W406" s="79"/>
      <c r="Z406" s="130"/>
      <c r="AB406" s="106"/>
    </row>
    <row r="407">
      <c r="C407" s="79"/>
      <c r="D407" s="79"/>
      <c r="E407" s="79"/>
      <c r="M407" s="79"/>
      <c r="R407" s="79"/>
      <c r="S407" s="79"/>
      <c r="V407" s="79"/>
      <c r="W407" s="79"/>
      <c r="Z407" s="130"/>
      <c r="AB407" s="106"/>
    </row>
    <row r="408">
      <c r="C408" s="79"/>
      <c r="D408" s="79"/>
      <c r="E408" s="79"/>
      <c r="M408" s="79"/>
      <c r="R408" s="79"/>
      <c r="S408" s="79"/>
      <c r="V408" s="79"/>
      <c r="W408" s="79"/>
      <c r="Z408" s="130"/>
      <c r="AB408" s="106"/>
    </row>
    <row r="409">
      <c r="C409" s="79"/>
      <c r="D409" s="79"/>
      <c r="E409" s="79"/>
      <c r="M409" s="79"/>
      <c r="R409" s="79"/>
      <c r="S409" s="79"/>
      <c r="V409" s="79"/>
      <c r="W409" s="79"/>
      <c r="Z409" s="130"/>
      <c r="AB409" s="106"/>
    </row>
    <row r="410">
      <c r="C410" s="79"/>
      <c r="D410" s="79"/>
      <c r="E410" s="79"/>
      <c r="M410" s="79"/>
      <c r="R410" s="79"/>
      <c r="S410" s="79"/>
      <c r="V410" s="79"/>
      <c r="W410" s="79"/>
      <c r="Z410" s="130"/>
      <c r="AB410" s="106"/>
    </row>
    <row r="411">
      <c r="C411" s="79"/>
      <c r="D411" s="79"/>
      <c r="E411" s="79"/>
      <c r="M411" s="79"/>
      <c r="R411" s="79"/>
      <c r="S411" s="79"/>
      <c r="V411" s="79"/>
      <c r="W411" s="79"/>
      <c r="Z411" s="130"/>
      <c r="AB411" s="106"/>
    </row>
    <row r="412">
      <c r="C412" s="79"/>
      <c r="D412" s="79"/>
      <c r="E412" s="79"/>
      <c r="M412" s="79"/>
      <c r="R412" s="79"/>
      <c r="S412" s="79"/>
      <c r="V412" s="79"/>
      <c r="W412" s="79"/>
      <c r="Z412" s="130"/>
      <c r="AB412" s="106"/>
    </row>
    <row r="413">
      <c r="C413" s="79"/>
      <c r="D413" s="79"/>
      <c r="E413" s="79"/>
      <c r="M413" s="79"/>
      <c r="R413" s="79"/>
      <c r="S413" s="79"/>
      <c r="V413" s="79"/>
      <c r="W413" s="79"/>
      <c r="Z413" s="130"/>
      <c r="AB413" s="106"/>
    </row>
    <row r="414">
      <c r="C414" s="79"/>
      <c r="D414" s="79"/>
      <c r="E414" s="79"/>
      <c r="M414" s="79"/>
      <c r="R414" s="79"/>
      <c r="S414" s="79"/>
      <c r="V414" s="79"/>
      <c r="W414" s="79"/>
      <c r="Z414" s="130"/>
      <c r="AB414" s="106"/>
    </row>
    <row r="415">
      <c r="C415" s="79"/>
      <c r="D415" s="79"/>
      <c r="E415" s="79"/>
      <c r="M415" s="79"/>
      <c r="R415" s="79"/>
      <c r="S415" s="79"/>
      <c r="V415" s="79"/>
      <c r="W415" s="79"/>
      <c r="Z415" s="130"/>
      <c r="AB415" s="106"/>
    </row>
    <row r="416">
      <c r="C416" s="79"/>
      <c r="D416" s="79"/>
      <c r="E416" s="79"/>
      <c r="M416" s="79"/>
      <c r="R416" s="79"/>
      <c r="S416" s="79"/>
      <c r="V416" s="79"/>
      <c r="W416" s="79"/>
      <c r="Z416" s="130"/>
      <c r="AB416" s="106"/>
    </row>
    <row r="417">
      <c r="C417" s="79"/>
      <c r="D417" s="79"/>
      <c r="E417" s="79"/>
      <c r="M417" s="79"/>
      <c r="R417" s="79"/>
      <c r="S417" s="79"/>
      <c r="V417" s="79"/>
      <c r="W417" s="79"/>
      <c r="Z417" s="130"/>
      <c r="AB417" s="106"/>
    </row>
    <row r="418">
      <c r="C418" s="79"/>
      <c r="D418" s="79"/>
      <c r="E418" s="79"/>
      <c r="M418" s="79"/>
      <c r="R418" s="79"/>
      <c r="S418" s="79"/>
      <c r="V418" s="79"/>
      <c r="W418" s="79"/>
      <c r="Z418" s="130"/>
      <c r="AB418" s="106"/>
    </row>
    <row r="419">
      <c r="C419" s="79"/>
      <c r="D419" s="79"/>
      <c r="E419" s="79"/>
      <c r="M419" s="79"/>
      <c r="R419" s="79"/>
      <c r="S419" s="79"/>
      <c r="V419" s="79"/>
      <c r="W419" s="79"/>
      <c r="Z419" s="130"/>
      <c r="AB419" s="106"/>
    </row>
    <row r="420">
      <c r="C420" s="79"/>
      <c r="D420" s="79"/>
      <c r="E420" s="79"/>
      <c r="M420" s="79"/>
      <c r="R420" s="79"/>
      <c r="S420" s="79"/>
      <c r="V420" s="79"/>
      <c r="W420" s="79"/>
      <c r="Z420" s="130"/>
      <c r="AB420" s="106"/>
    </row>
    <row r="421">
      <c r="C421" s="79"/>
      <c r="D421" s="79"/>
      <c r="E421" s="79"/>
      <c r="M421" s="79"/>
      <c r="R421" s="79"/>
      <c r="S421" s="79"/>
      <c r="V421" s="79"/>
      <c r="W421" s="79"/>
      <c r="Z421" s="130"/>
      <c r="AB421" s="106"/>
    </row>
    <row r="422">
      <c r="C422" s="79"/>
      <c r="D422" s="79"/>
      <c r="E422" s="79"/>
      <c r="M422" s="79"/>
      <c r="R422" s="79"/>
      <c r="S422" s="79"/>
      <c r="V422" s="79"/>
      <c r="W422" s="79"/>
      <c r="Z422" s="130"/>
      <c r="AB422" s="106"/>
    </row>
    <row r="423">
      <c r="C423" s="79"/>
      <c r="D423" s="79"/>
      <c r="E423" s="79"/>
      <c r="M423" s="79"/>
      <c r="R423" s="79"/>
      <c r="S423" s="79"/>
      <c r="V423" s="79"/>
      <c r="W423" s="79"/>
      <c r="Z423" s="130"/>
      <c r="AB423" s="106"/>
    </row>
    <row r="424">
      <c r="C424" s="79"/>
      <c r="D424" s="79"/>
      <c r="E424" s="79"/>
      <c r="M424" s="79"/>
      <c r="R424" s="79"/>
      <c r="S424" s="79"/>
      <c r="V424" s="79"/>
      <c r="W424" s="79"/>
      <c r="Z424" s="130"/>
      <c r="AB424" s="106"/>
    </row>
    <row r="425">
      <c r="C425" s="79"/>
      <c r="D425" s="79"/>
      <c r="E425" s="79"/>
      <c r="M425" s="79"/>
      <c r="R425" s="79"/>
      <c r="S425" s="79"/>
      <c r="V425" s="79"/>
      <c r="W425" s="79"/>
      <c r="Z425" s="130"/>
      <c r="AB425" s="106"/>
    </row>
    <row r="426">
      <c r="C426" s="79"/>
      <c r="D426" s="79"/>
      <c r="E426" s="79"/>
      <c r="M426" s="79"/>
      <c r="R426" s="79"/>
      <c r="S426" s="79"/>
      <c r="V426" s="79"/>
      <c r="W426" s="79"/>
      <c r="Z426" s="130"/>
      <c r="AB426" s="106"/>
    </row>
    <row r="427">
      <c r="C427" s="79"/>
      <c r="D427" s="79"/>
      <c r="E427" s="79"/>
      <c r="M427" s="79"/>
      <c r="R427" s="79"/>
      <c r="S427" s="79"/>
      <c r="V427" s="79"/>
      <c r="W427" s="79"/>
      <c r="Z427" s="130"/>
      <c r="AB427" s="106"/>
    </row>
    <row r="428">
      <c r="C428" s="79"/>
      <c r="D428" s="79"/>
      <c r="E428" s="79"/>
      <c r="M428" s="79"/>
      <c r="R428" s="79"/>
      <c r="S428" s="79"/>
      <c r="V428" s="79"/>
      <c r="W428" s="79"/>
      <c r="Z428" s="130"/>
      <c r="AB428" s="106"/>
    </row>
    <row r="429">
      <c r="C429" s="79"/>
      <c r="D429" s="79"/>
      <c r="E429" s="79"/>
      <c r="M429" s="79"/>
      <c r="R429" s="79"/>
      <c r="S429" s="79"/>
      <c r="V429" s="79"/>
      <c r="W429" s="79"/>
      <c r="Z429" s="130"/>
      <c r="AB429" s="106"/>
    </row>
    <row r="430">
      <c r="C430" s="79"/>
      <c r="D430" s="79"/>
      <c r="E430" s="79"/>
      <c r="M430" s="79"/>
      <c r="R430" s="79"/>
      <c r="S430" s="79"/>
      <c r="V430" s="79"/>
      <c r="W430" s="79"/>
      <c r="Z430" s="130"/>
      <c r="AB430" s="106"/>
    </row>
    <row r="431">
      <c r="C431" s="79"/>
      <c r="D431" s="79"/>
      <c r="E431" s="79"/>
      <c r="M431" s="79"/>
      <c r="R431" s="79"/>
      <c r="S431" s="79"/>
      <c r="V431" s="79"/>
      <c r="W431" s="79"/>
      <c r="Z431" s="130"/>
      <c r="AB431" s="106"/>
    </row>
    <row r="432">
      <c r="C432" s="79"/>
      <c r="D432" s="79"/>
      <c r="E432" s="79"/>
      <c r="M432" s="79"/>
      <c r="R432" s="79"/>
      <c r="S432" s="79"/>
      <c r="V432" s="79"/>
      <c r="W432" s="79"/>
      <c r="Z432" s="130"/>
      <c r="AB432" s="106"/>
    </row>
    <row r="433">
      <c r="C433" s="79"/>
      <c r="D433" s="79"/>
      <c r="E433" s="79"/>
      <c r="M433" s="79"/>
      <c r="R433" s="79"/>
      <c r="S433" s="79"/>
      <c r="V433" s="79"/>
      <c r="W433" s="79"/>
      <c r="Z433" s="130"/>
      <c r="AB433" s="106"/>
    </row>
    <row r="434">
      <c r="C434" s="79"/>
      <c r="D434" s="79"/>
      <c r="E434" s="79"/>
      <c r="M434" s="79"/>
      <c r="R434" s="79"/>
      <c r="S434" s="79"/>
      <c r="V434" s="79"/>
      <c r="W434" s="79"/>
      <c r="Z434" s="130"/>
      <c r="AB434" s="106"/>
    </row>
    <row r="435">
      <c r="C435" s="79"/>
      <c r="D435" s="79"/>
      <c r="E435" s="79"/>
      <c r="M435" s="79"/>
      <c r="R435" s="79"/>
      <c r="S435" s="79"/>
      <c r="V435" s="79"/>
      <c r="W435" s="79"/>
      <c r="Z435" s="130"/>
      <c r="AB435" s="106"/>
    </row>
    <row r="436">
      <c r="C436" s="79"/>
      <c r="D436" s="79"/>
      <c r="E436" s="79"/>
      <c r="M436" s="79"/>
      <c r="R436" s="79"/>
      <c r="S436" s="79"/>
      <c r="V436" s="79"/>
      <c r="W436" s="79"/>
      <c r="Z436" s="130"/>
      <c r="AB436" s="106"/>
    </row>
    <row r="437">
      <c r="C437" s="79"/>
      <c r="D437" s="79"/>
      <c r="E437" s="79"/>
      <c r="M437" s="79"/>
      <c r="R437" s="79"/>
      <c r="S437" s="79"/>
      <c r="V437" s="79"/>
      <c r="W437" s="79"/>
      <c r="Z437" s="130"/>
      <c r="AB437" s="106"/>
    </row>
    <row r="438">
      <c r="C438" s="79"/>
      <c r="D438" s="79"/>
      <c r="E438" s="79"/>
      <c r="M438" s="79"/>
      <c r="R438" s="79"/>
      <c r="S438" s="79"/>
      <c r="V438" s="79"/>
      <c r="W438" s="79"/>
      <c r="Z438" s="130"/>
      <c r="AB438" s="106"/>
    </row>
    <row r="439">
      <c r="C439" s="79"/>
      <c r="D439" s="79"/>
      <c r="E439" s="79"/>
      <c r="M439" s="79"/>
      <c r="R439" s="79"/>
      <c r="S439" s="79"/>
      <c r="V439" s="79"/>
      <c r="W439" s="79"/>
      <c r="Z439" s="130"/>
      <c r="AB439" s="106"/>
    </row>
    <row r="440">
      <c r="C440" s="79"/>
      <c r="D440" s="79"/>
      <c r="E440" s="79"/>
      <c r="M440" s="79"/>
      <c r="R440" s="79"/>
      <c r="S440" s="79"/>
      <c r="V440" s="79"/>
      <c r="W440" s="79"/>
      <c r="Z440" s="130"/>
      <c r="AB440" s="106"/>
    </row>
    <row r="441">
      <c r="C441" s="79"/>
      <c r="D441" s="79"/>
      <c r="E441" s="79"/>
      <c r="M441" s="79"/>
      <c r="R441" s="79"/>
      <c r="S441" s="79"/>
      <c r="V441" s="79"/>
      <c r="W441" s="79"/>
      <c r="Z441" s="130"/>
      <c r="AB441" s="106"/>
    </row>
    <row r="442">
      <c r="C442" s="79"/>
      <c r="D442" s="79"/>
      <c r="E442" s="79"/>
      <c r="M442" s="79"/>
      <c r="R442" s="79"/>
      <c r="S442" s="79"/>
      <c r="V442" s="79"/>
      <c r="W442" s="79"/>
      <c r="Z442" s="130"/>
      <c r="AB442" s="106"/>
    </row>
    <row r="443">
      <c r="C443" s="79"/>
      <c r="D443" s="79"/>
      <c r="E443" s="79"/>
      <c r="M443" s="79"/>
      <c r="R443" s="79"/>
      <c r="S443" s="79"/>
      <c r="V443" s="79"/>
      <c r="W443" s="79"/>
      <c r="Z443" s="130"/>
      <c r="AB443" s="106"/>
    </row>
    <row r="444">
      <c r="C444" s="79"/>
      <c r="D444" s="79"/>
      <c r="E444" s="79"/>
      <c r="M444" s="79"/>
      <c r="R444" s="79"/>
      <c r="S444" s="79"/>
      <c r="V444" s="79"/>
      <c r="W444" s="79"/>
      <c r="Z444" s="130"/>
      <c r="AB444" s="106"/>
    </row>
    <row r="445">
      <c r="C445" s="79"/>
      <c r="D445" s="79"/>
      <c r="E445" s="79"/>
      <c r="M445" s="79"/>
      <c r="R445" s="79"/>
      <c r="S445" s="79"/>
      <c r="V445" s="79"/>
      <c r="W445" s="79"/>
      <c r="Z445" s="130"/>
      <c r="AB445" s="106"/>
    </row>
    <row r="446">
      <c r="C446" s="79"/>
      <c r="D446" s="79"/>
      <c r="E446" s="79"/>
      <c r="M446" s="79"/>
      <c r="R446" s="79"/>
      <c r="S446" s="79"/>
      <c r="V446" s="79"/>
      <c r="W446" s="79"/>
      <c r="Z446" s="130"/>
      <c r="AB446" s="106"/>
    </row>
    <row r="447">
      <c r="C447" s="79"/>
      <c r="D447" s="79"/>
      <c r="E447" s="79"/>
      <c r="M447" s="79"/>
      <c r="R447" s="79"/>
      <c r="S447" s="79"/>
      <c r="V447" s="79"/>
      <c r="W447" s="79"/>
      <c r="Z447" s="130"/>
      <c r="AB447" s="106"/>
    </row>
    <row r="448">
      <c r="C448" s="79"/>
      <c r="D448" s="79"/>
      <c r="E448" s="79"/>
      <c r="M448" s="79"/>
      <c r="R448" s="79"/>
      <c r="S448" s="79"/>
      <c r="V448" s="79"/>
      <c r="W448" s="79"/>
      <c r="Z448" s="130"/>
      <c r="AB448" s="106"/>
    </row>
    <row r="449">
      <c r="C449" s="79"/>
      <c r="D449" s="79"/>
      <c r="E449" s="79"/>
      <c r="M449" s="79"/>
      <c r="R449" s="79"/>
      <c r="S449" s="79"/>
      <c r="V449" s="79"/>
      <c r="W449" s="79"/>
      <c r="Z449" s="130"/>
      <c r="AB449" s="106"/>
    </row>
    <row r="450">
      <c r="C450" s="79"/>
      <c r="D450" s="79"/>
      <c r="E450" s="79"/>
      <c r="M450" s="79"/>
      <c r="R450" s="79"/>
      <c r="S450" s="79"/>
      <c r="V450" s="79"/>
      <c r="W450" s="79"/>
      <c r="Z450" s="130"/>
      <c r="AB450" s="106"/>
    </row>
    <row r="451">
      <c r="C451" s="79"/>
      <c r="D451" s="79"/>
      <c r="E451" s="79"/>
      <c r="M451" s="79"/>
      <c r="R451" s="79"/>
      <c r="S451" s="79"/>
      <c r="V451" s="79"/>
      <c r="W451" s="79"/>
      <c r="Z451" s="130"/>
      <c r="AB451" s="106"/>
    </row>
    <row r="452">
      <c r="C452" s="79"/>
      <c r="D452" s="79"/>
      <c r="E452" s="79"/>
      <c r="M452" s="79"/>
      <c r="R452" s="79"/>
      <c r="S452" s="79"/>
      <c r="V452" s="79"/>
      <c r="W452" s="79"/>
      <c r="Z452" s="130"/>
      <c r="AB452" s="106"/>
    </row>
    <row r="453">
      <c r="C453" s="79"/>
      <c r="D453" s="79"/>
      <c r="E453" s="79"/>
      <c r="M453" s="79"/>
      <c r="R453" s="79"/>
      <c r="S453" s="79"/>
      <c r="V453" s="79"/>
      <c r="W453" s="79"/>
      <c r="Z453" s="130"/>
      <c r="AB453" s="106"/>
    </row>
    <row r="454">
      <c r="C454" s="79"/>
      <c r="D454" s="79"/>
      <c r="E454" s="79"/>
      <c r="M454" s="79"/>
      <c r="R454" s="79"/>
      <c r="S454" s="79"/>
      <c r="V454" s="79"/>
      <c r="W454" s="79"/>
      <c r="Z454" s="130"/>
      <c r="AB454" s="106"/>
    </row>
    <row r="455">
      <c r="C455" s="79"/>
      <c r="D455" s="79"/>
      <c r="E455" s="79"/>
      <c r="M455" s="79"/>
      <c r="R455" s="79"/>
      <c r="S455" s="79"/>
      <c r="V455" s="79"/>
      <c r="W455" s="79"/>
      <c r="Z455" s="130"/>
      <c r="AB455" s="106"/>
    </row>
    <row r="456">
      <c r="C456" s="79"/>
      <c r="D456" s="79"/>
      <c r="E456" s="79"/>
      <c r="M456" s="79"/>
      <c r="R456" s="79"/>
      <c r="S456" s="79"/>
      <c r="V456" s="79"/>
      <c r="W456" s="79"/>
      <c r="Z456" s="130"/>
      <c r="AB456" s="106"/>
    </row>
    <row r="457">
      <c r="C457" s="79"/>
      <c r="D457" s="79"/>
      <c r="E457" s="79"/>
      <c r="M457" s="79"/>
      <c r="R457" s="79"/>
      <c r="S457" s="79"/>
      <c r="V457" s="79"/>
      <c r="W457" s="79"/>
      <c r="Z457" s="130"/>
      <c r="AB457" s="106"/>
    </row>
    <row r="458">
      <c r="C458" s="79"/>
      <c r="D458" s="79"/>
      <c r="E458" s="79"/>
      <c r="M458" s="79"/>
      <c r="R458" s="79"/>
      <c r="S458" s="79"/>
      <c r="V458" s="79"/>
      <c r="W458" s="79"/>
      <c r="Z458" s="130"/>
      <c r="AB458" s="106"/>
    </row>
    <row r="459">
      <c r="C459" s="79"/>
      <c r="D459" s="79"/>
      <c r="E459" s="79"/>
      <c r="M459" s="79"/>
      <c r="R459" s="79"/>
      <c r="S459" s="79"/>
      <c r="V459" s="79"/>
      <c r="W459" s="79"/>
      <c r="Z459" s="130"/>
      <c r="AB459" s="106"/>
    </row>
    <row r="460">
      <c r="C460" s="79"/>
      <c r="D460" s="79"/>
      <c r="E460" s="79"/>
      <c r="M460" s="79"/>
      <c r="R460" s="79"/>
      <c r="S460" s="79"/>
      <c r="V460" s="79"/>
      <c r="W460" s="79"/>
      <c r="Z460" s="130"/>
      <c r="AB460" s="106"/>
    </row>
    <row r="461">
      <c r="C461" s="79"/>
      <c r="D461" s="79"/>
      <c r="E461" s="79"/>
      <c r="M461" s="79"/>
      <c r="R461" s="79"/>
      <c r="S461" s="79"/>
      <c r="V461" s="79"/>
      <c r="W461" s="79"/>
      <c r="Z461" s="130"/>
      <c r="AB461" s="106"/>
    </row>
    <row r="462">
      <c r="C462" s="79"/>
      <c r="D462" s="79"/>
      <c r="E462" s="79"/>
      <c r="M462" s="79"/>
      <c r="R462" s="79"/>
      <c r="S462" s="79"/>
      <c r="V462" s="79"/>
      <c r="W462" s="79"/>
      <c r="Z462" s="130"/>
      <c r="AB462" s="106"/>
    </row>
    <row r="463">
      <c r="C463" s="79"/>
      <c r="D463" s="79"/>
      <c r="E463" s="79"/>
      <c r="M463" s="79"/>
      <c r="R463" s="79"/>
      <c r="S463" s="79"/>
      <c r="V463" s="79"/>
      <c r="W463" s="79"/>
      <c r="Z463" s="130"/>
      <c r="AB463" s="106"/>
    </row>
    <row r="464">
      <c r="C464" s="79"/>
      <c r="D464" s="79"/>
      <c r="E464" s="79"/>
      <c r="M464" s="79"/>
      <c r="R464" s="79"/>
      <c r="S464" s="79"/>
      <c r="V464" s="79"/>
      <c r="W464" s="79"/>
      <c r="Z464" s="130"/>
      <c r="AB464" s="106"/>
    </row>
    <row r="465">
      <c r="C465" s="79"/>
      <c r="D465" s="79"/>
      <c r="E465" s="79"/>
      <c r="M465" s="79"/>
      <c r="R465" s="79"/>
      <c r="S465" s="79"/>
      <c r="V465" s="79"/>
      <c r="W465" s="79"/>
      <c r="Z465" s="130"/>
      <c r="AB465" s="106"/>
    </row>
    <row r="466">
      <c r="C466" s="79"/>
      <c r="D466" s="79"/>
      <c r="E466" s="79"/>
      <c r="M466" s="79"/>
      <c r="R466" s="79"/>
      <c r="S466" s="79"/>
      <c r="V466" s="79"/>
      <c r="W466" s="79"/>
      <c r="Z466" s="130"/>
      <c r="AB466" s="106"/>
    </row>
    <row r="467">
      <c r="C467" s="79"/>
      <c r="D467" s="79"/>
      <c r="E467" s="79"/>
      <c r="M467" s="79"/>
      <c r="R467" s="79"/>
      <c r="S467" s="79"/>
      <c r="V467" s="79"/>
      <c r="W467" s="79"/>
      <c r="Z467" s="130"/>
      <c r="AB467" s="106"/>
    </row>
    <row r="468">
      <c r="C468" s="79"/>
      <c r="D468" s="79"/>
      <c r="E468" s="79"/>
      <c r="M468" s="79"/>
      <c r="R468" s="79"/>
      <c r="S468" s="79"/>
      <c r="V468" s="79"/>
      <c r="W468" s="79"/>
      <c r="Z468" s="130"/>
      <c r="AB468" s="106"/>
    </row>
    <row r="469">
      <c r="C469" s="79"/>
      <c r="D469" s="79"/>
      <c r="E469" s="79"/>
      <c r="M469" s="79"/>
      <c r="R469" s="79"/>
      <c r="S469" s="79"/>
      <c r="V469" s="79"/>
      <c r="W469" s="79"/>
      <c r="Z469" s="130"/>
      <c r="AB469" s="106"/>
    </row>
    <row r="470">
      <c r="C470" s="79"/>
      <c r="D470" s="79"/>
      <c r="E470" s="79"/>
      <c r="M470" s="79"/>
      <c r="R470" s="79"/>
      <c r="S470" s="79"/>
      <c r="V470" s="79"/>
      <c r="W470" s="79"/>
      <c r="Z470" s="130"/>
      <c r="AB470" s="106"/>
    </row>
    <row r="471">
      <c r="C471" s="79"/>
      <c r="D471" s="79"/>
      <c r="E471" s="79"/>
      <c r="M471" s="79"/>
      <c r="R471" s="79"/>
      <c r="S471" s="79"/>
      <c r="V471" s="79"/>
      <c r="W471" s="79"/>
      <c r="Z471" s="130"/>
      <c r="AB471" s="106"/>
    </row>
    <row r="472">
      <c r="C472" s="79"/>
      <c r="D472" s="79"/>
      <c r="E472" s="79"/>
      <c r="M472" s="79"/>
      <c r="R472" s="79"/>
      <c r="S472" s="79"/>
      <c r="V472" s="79"/>
      <c r="W472" s="79"/>
      <c r="Z472" s="130"/>
      <c r="AB472" s="106"/>
    </row>
    <row r="473">
      <c r="C473" s="79"/>
      <c r="D473" s="79"/>
      <c r="E473" s="79"/>
      <c r="M473" s="79"/>
      <c r="R473" s="79"/>
      <c r="S473" s="79"/>
      <c r="V473" s="79"/>
      <c r="W473" s="79"/>
      <c r="Z473" s="130"/>
      <c r="AB473" s="106"/>
    </row>
    <row r="474">
      <c r="C474" s="79"/>
      <c r="D474" s="79"/>
      <c r="E474" s="79"/>
      <c r="M474" s="79"/>
      <c r="R474" s="79"/>
      <c r="S474" s="79"/>
      <c r="V474" s="79"/>
      <c r="W474" s="79"/>
      <c r="Z474" s="130"/>
      <c r="AB474" s="106"/>
    </row>
    <row r="475">
      <c r="C475" s="79"/>
      <c r="D475" s="79"/>
      <c r="E475" s="79"/>
      <c r="M475" s="79"/>
      <c r="R475" s="79"/>
      <c r="S475" s="79"/>
      <c r="V475" s="79"/>
      <c r="W475" s="79"/>
      <c r="Z475" s="130"/>
      <c r="AB475" s="106"/>
    </row>
    <row r="476">
      <c r="C476" s="79"/>
      <c r="D476" s="79"/>
      <c r="E476" s="79"/>
      <c r="M476" s="79"/>
      <c r="R476" s="79"/>
      <c r="S476" s="79"/>
      <c r="V476" s="79"/>
      <c r="W476" s="79"/>
      <c r="Z476" s="130"/>
      <c r="AB476" s="106"/>
    </row>
    <row r="477">
      <c r="C477" s="79"/>
      <c r="D477" s="79"/>
      <c r="E477" s="79"/>
      <c r="M477" s="79"/>
      <c r="R477" s="79"/>
      <c r="S477" s="79"/>
      <c r="V477" s="79"/>
      <c r="W477" s="79"/>
      <c r="Z477" s="130"/>
      <c r="AB477" s="106"/>
    </row>
    <row r="478">
      <c r="C478" s="79"/>
      <c r="D478" s="79"/>
      <c r="E478" s="79"/>
      <c r="M478" s="79"/>
      <c r="R478" s="79"/>
      <c r="S478" s="79"/>
      <c r="V478" s="79"/>
      <c r="W478" s="79"/>
      <c r="Z478" s="130"/>
      <c r="AB478" s="106"/>
    </row>
    <row r="479">
      <c r="C479" s="79"/>
      <c r="D479" s="79"/>
      <c r="E479" s="79"/>
      <c r="M479" s="79"/>
      <c r="R479" s="79"/>
      <c r="S479" s="79"/>
      <c r="V479" s="79"/>
      <c r="W479" s="79"/>
      <c r="Z479" s="130"/>
      <c r="AB479" s="106"/>
    </row>
    <row r="480">
      <c r="C480" s="79"/>
      <c r="D480" s="79"/>
      <c r="E480" s="79"/>
      <c r="M480" s="79"/>
      <c r="R480" s="79"/>
      <c r="S480" s="79"/>
      <c r="V480" s="79"/>
      <c r="W480" s="79"/>
      <c r="Z480" s="130"/>
      <c r="AB480" s="106"/>
    </row>
    <row r="481">
      <c r="C481" s="79"/>
      <c r="D481" s="79"/>
      <c r="E481" s="79"/>
      <c r="M481" s="79"/>
      <c r="R481" s="79"/>
      <c r="S481" s="79"/>
      <c r="V481" s="79"/>
      <c r="W481" s="79"/>
      <c r="Z481" s="130"/>
      <c r="AB481" s="106"/>
    </row>
    <row r="482">
      <c r="C482" s="79"/>
      <c r="D482" s="79"/>
      <c r="E482" s="79"/>
      <c r="M482" s="79"/>
      <c r="R482" s="79"/>
      <c r="S482" s="79"/>
      <c r="V482" s="79"/>
      <c r="W482" s="79"/>
      <c r="Z482" s="130"/>
      <c r="AB482" s="106"/>
    </row>
    <row r="483">
      <c r="C483" s="79"/>
      <c r="D483" s="79"/>
      <c r="E483" s="79"/>
      <c r="M483" s="79"/>
      <c r="R483" s="79"/>
      <c r="S483" s="79"/>
      <c r="V483" s="79"/>
      <c r="W483" s="79"/>
      <c r="Z483" s="130"/>
      <c r="AB483" s="106"/>
    </row>
    <row r="484">
      <c r="C484" s="79"/>
      <c r="D484" s="79"/>
      <c r="E484" s="79"/>
      <c r="M484" s="79"/>
      <c r="R484" s="79"/>
      <c r="S484" s="79"/>
      <c r="V484" s="79"/>
      <c r="W484" s="79"/>
      <c r="Z484" s="130"/>
      <c r="AB484" s="106"/>
    </row>
    <row r="485">
      <c r="C485" s="79"/>
      <c r="D485" s="79"/>
      <c r="E485" s="79"/>
      <c r="M485" s="79"/>
      <c r="R485" s="79"/>
      <c r="S485" s="79"/>
      <c r="V485" s="79"/>
      <c r="W485" s="79"/>
      <c r="Z485" s="130"/>
      <c r="AB485" s="106"/>
    </row>
    <row r="486">
      <c r="C486" s="79"/>
      <c r="D486" s="79"/>
      <c r="E486" s="79"/>
      <c r="M486" s="79"/>
      <c r="R486" s="79"/>
      <c r="S486" s="79"/>
      <c r="V486" s="79"/>
      <c r="W486" s="79"/>
      <c r="Z486" s="130"/>
      <c r="AB486" s="106"/>
    </row>
    <row r="487">
      <c r="C487" s="79"/>
      <c r="D487" s="79"/>
      <c r="E487" s="79"/>
      <c r="M487" s="79"/>
      <c r="R487" s="79"/>
      <c r="S487" s="79"/>
      <c r="V487" s="79"/>
      <c r="W487" s="79"/>
      <c r="Z487" s="130"/>
      <c r="AB487" s="106"/>
    </row>
    <row r="488">
      <c r="C488" s="79"/>
      <c r="D488" s="79"/>
      <c r="E488" s="79"/>
      <c r="M488" s="79"/>
      <c r="R488" s="79"/>
      <c r="S488" s="79"/>
      <c r="V488" s="79"/>
      <c r="W488" s="79"/>
      <c r="Z488" s="130"/>
      <c r="AB488" s="106"/>
    </row>
    <row r="489">
      <c r="C489" s="79"/>
      <c r="D489" s="79"/>
      <c r="E489" s="79"/>
      <c r="M489" s="79"/>
      <c r="R489" s="79"/>
      <c r="S489" s="79"/>
      <c r="V489" s="79"/>
      <c r="W489" s="79"/>
      <c r="Z489" s="130"/>
      <c r="AB489" s="106"/>
    </row>
    <row r="490">
      <c r="C490" s="79"/>
      <c r="D490" s="79"/>
      <c r="E490" s="79"/>
      <c r="M490" s="79"/>
      <c r="R490" s="79"/>
      <c r="S490" s="79"/>
      <c r="V490" s="79"/>
      <c r="W490" s="79"/>
      <c r="Z490" s="130"/>
      <c r="AB490" s="106"/>
    </row>
    <row r="491">
      <c r="C491" s="79"/>
      <c r="D491" s="79"/>
      <c r="E491" s="79"/>
      <c r="M491" s="79"/>
      <c r="R491" s="79"/>
      <c r="S491" s="79"/>
      <c r="V491" s="79"/>
      <c r="W491" s="79"/>
      <c r="Z491" s="130"/>
      <c r="AB491" s="106"/>
    </row>
    <row r="492">
      <c r="C492" s="79"/>
      <c r="D492" s="79"/>
      <c r="E492" s="79"/>
      <c r="M492" s="79"/>
      <c r="R492" s="79"/>
      <c r="S492" s="79"/>
      <c r="V492" s="79"/>
      <c r="W492" s="79"/>
      <c r="Z492" s="130"/>
      <c r="AB492" s="106"/>
    </row>
    <row r="493">
      <c r="C493" s="79"/>
      <c r="D493" s="79"/>
      <c r="E493" s="79"/>
      <c r="M493" s="79"/>
      <c r="R493" s="79"/>
      <c r="S493" s="79"/>
      <c r="V493" s="79"/>
      <c r="W493" s="79"/>
      <c r="Z493" s="130"/>
      <c r="AB493" s="106"/>
    </row>
    <row r="494">
      <c r="C494" s="79"/>
      <c r="D494" s="79"/>
      <c r="E494" s="79"/>
      <c r="M494" s="79"/>
      <c r="R494" s="79"/>
      <c r="S494" s="79"/>
      <c r="V494" s="79"/>
      <c r="W494" s="79"/>
      <c r="Z494" s="130"/>
      <c r="AB494" s="106"/>
    </row>
    <row r="495">
      <c r="C495" s="79"/>
      <c r="D495" s="79"/>
      <c r="E495" s="79"/>
      <c r="M495" s="79"/>
      <c r="R495" s="79"/>
      <c r="S495" s="79"/>
      <c r="V495" s="79"/>
      <c r="W495" s="79"/>
      <c r="Z495" s="130"/>
      <c r="AB495" s="106"/>
    </row>
    <row r="496">
      <c r="C496" s="79"/>
      <c r="D496" s="79"/>
      <c r="E496" s="79"/>
      <c r="M496" s="79"/>
      <c r="R496" s="79"/>
      <c r="S496" s="79"/>
      <c r="V496" s="79"/>
      <c r="W496" s="79"/>
      <c r="Z496" s="130"/>
      <c r="AB496" s="106"/>
    </row>
    <row r="497">
      <c r="C497" s="79"/>
      <c r="D497" s="79"/>
      <c r="E497" s="79"/>
      <c r="M497" s="79"/>
      <c r="R497" s="79"/>
      <c r="S497" s="79"/>
      <c r="V497" s="79"/>
      <c r="W497" s="79"/>
      <c r="Z497" s="130"/>
      <c r="AB497" s="106"/>
    </row>
    <row r="498">
      <c r="C498" s="79"/>
      <c r="D498" s="79"/>
      <c r="E498" s="79"/>
      <c r="M498" s="79"/>
      <c r="R498" s="79"/>
      <c r="S498" s="79"/>
      <c r="V498" s="79"/>
      <c r="W498" s="79"/>
      <c r="Z498" s="130"/>
      <c r="AB498" s="106"/>
    </row>
    <row r="499">
      <c r="C499" s="79"/>
      <c r="D499" s="79"/>
      <c r="E499" s="79"/>
      <c r="M499" s="79"/>
      <c r="R499" s="79"/>
      <c r="S499" s="79"/>
      <c r="V499" s="79"/>
      <c r="W499" s="79"/>
      <c r="Z499" s="130"/>
      <c r="AB499" s="106"/>
    </row>
    <row r="500">
      <c r="C500" s="79"/>
      <c r="D500" s="79"/>
      <c r="E500" s="79"/>
      <c r="M500" s="79"/>
      <c r="R500" s="79"/>
      <c r="S500" s="79"/>
      <c r="V500" s="79"/>
      <c r="W500" s="79"/>
      <c r="Z500" s="130"/>
      <c r="AB500" s="106"/>
    </row>
    <row r="501">
      <c r="C501" s="79"/>
      <c r="D501" s="79"/>
      <c r="E501" s="79"/>
      <c r="M501" s="79"/>
      <c r="R501" s="79"/>
      <c r="S501" s="79"/>
      <c r="V501" s="79"/>
      <c r="W501" s="79"/>
      <c r="Z501" s="130"/>
      <c r="AB501" s="106"/>
    </row>
    <row r="502">
      <c r="C502" s="79"/>
      <c r="D502" s="79"/>
      <c r="E502" s="79"/>
      <c r="M502" s="79"/>
      <c r="R502" s="79"/>
      <c r="S502" s="79"/>
      <c r="V502" s="79"/>
      <c r="W502" s="79"/>
      <c r="Z502" s="130"/>
      <c r="AB502" s="106"/>
    </row>
    <row r="503">
      <c r="C503" s="79"/>
      <c r="D503" s="79"/>
      <c r="E503" s="79"/>
      <c r="M503" s="79"/>
      <c r="R503" s="79"/>
      <c r="S503" s="79"/>
      <c r="V503" s="79"/>
      <c r="W503" s="79"/>
      <c r="Z503" s="130"/>
      <c r="AB503" s="106"/>
    </row>
    <row r="504">
      <c r="C504" s="79"/>
      <c r="D504" s="79"/>
      <c r="E504" s="79"/>
      <c r="M504" s="79"/>
      <c r="R504" s="79"/>
      <c r="S504" s="79"/>
      <c r="V504" s="79"/>
      <c r="W504" s="79"/>
      <c r="Z504" s="130"/>
      <c r="AB504" s="106"/>
    </row>
    <row r="505">
      <c r="C505" s="79"/>
      <c r="D505" s="79"/>
      <c r="E505" s="79"/>
      <c r="M505" s="79"/>
      <c r="R505" s="79"/>
      <c r="S505" s="79"/>
      <c r="V505" s="79"/>
      <c r="W505" s="79"/>
      <c r="Z505" s="130"/>
      <c r="AB505" s="106"/>
    </row>
    <row r="506">
      <c r="C506" s="79"/>
      <c r="D506" s="79"/>
      <c r="E506" s="79"/>
      <c r="M506" s="79"/>
      <c r="R506" s="79"/>
      <c r="S506" s="79"/>
      <c r="V506" s="79"/>
      <c r="W506" s="79"/>
      <c r="Z506" s="130"/>
      <c r="AB506" s="106"/>
    </row>
    <row r="507">
      <c r="C507" s="79"/>
      <c r="D507" s="79"/>
      <c r="E507" s="79"/>
      <c r="M507" s="79"/>
      <c r="R507" s="79"/>
      <c r="S507" s="79"/>
      <c r="V507" s="79"/>
      <c r="W507" s="79"/>
      <c r="Z507" s="130"/>
      <c r="AB507" s="106"/>
    </row>
    <row r="508">
      <c r="C508" s="79"/>
      <c r="D508" s="79"/>
      <c r="E508" s="79"/>
      <c r="M508" s="79"/>
      <c r="R508" s="79"/>
      <c r="S508" s="79"/>
      <c r="V508" s="79"/>
      <c r="W508" s="79"/>
      <c r="Z508" s="130"/>
      <c r="AB508" s="106"/>
    </row>
    <row r="509">
      <c r="C509" s="79"/>
      <c r="D509" s="79"/>
      <c r="E509" s="79"/>
      <c r="M509" s="79"/>
      <c r="R509" s="79"/>
      <c r="S509" s="79"/>
      <c r="V509" s="79"/>
      <c r="W509" s="79"/>
      <c r="Z509" s="130"/>
      <c r="AB509" s="106"/>
    </row>
    <row r="510">
      <c r="C510" s="79"/>
      <c r="D510" s="79"/>
      <c r="E510" s="79"/>
      <c r="M510" s="79"/>
      <c r="R510" s="79"/>
      <c r="S510" s="79"/>
      <c r="V510" s="79"/>
      <c r="W510" s="79"/>
      <c r="Z510" s="130"/>
      <c r="AB510" s="106"/>
    </row>
    <row r="511">
      <c r="C511" s="79"/>
      <c r="D511" s="79"/>
      <c r="E511" s="79"/>
      <c r="M511" s="79"/>
      <c r="R511" s="79"/>
      <c r="S511" s="79"/>
      <c r="V511" s="79"/>
      <c r="W511" s="79"/>
      <c r="Z511" s="130"/>
      <c r="AB511" s="106"/>
    </row>
    <row r="512">
      <c r="C512" s="79"/>
      <c r="D512" s="79"/>
      <c r="E512" s="79"/>
      <c r="M512" s="79"/>
      <c r="R512" s="79"/>
      <c r="S512" s="79"/>
      <c r="V512" s="79"/>
      <c r="W512" s="79"/>
      <c r="Z512" s="130"/>
      <c r="AB512" s="106"/>
    </row>
    <row r="513">
      <c r="C513" s="79"/>
      <c r="D513" s="79"/>
      <c r="E513" s="79"/>
      <c r="M513" s="79"/>
      <c r="R513" s="79"/>
      <c r="S513" s="79"/>
      <c r="V513" s="79"/>
      <c r="W513" s="79"/>
      <c r="Z513" s="130"/>
      <c r="AB513" s="106"/>
    </row>
    <row r="514">
      <c r="C514" s="79"/>
      <c r="D514" s="79"/>
      <c r="E514" s="79"/>
      <c r="M514" s="79"/>
      <c r="R514" s="79"/>
      <c r="S514" s="79"/>
      <c r="V514" s="79"/>
      <c r="W514" s="79"/>
      <c r="Z514" s="130"/>
      <c r="AB514" s="106"/>
    </row>
    <row r="515">
      <c r="C515" s="79"/>
      <c r="D515" s="79"/>
      <c r="E515" s="79"/>
      <c r="M515" s="79"/>
      <c r="R515" s="79"/>
      <c r="S515" s="79"/>
      <c r="V515" s="79"/>
      <c r="W515" s="79"/>
      <c r="Z515" s="130"/>
      <c r="AB515" s="106"/>
    </row>
    <row r="516">
      <c r="C516" s="79"/>
      <c r="D516" s="79"/>
      <c r="E516" s="79"/>
      <c r="M516" s="79"/>
      <c r="R516" s="79"/>
      <c r="S516" s="79"/>
      <c r="V516" s="79"/>
      <c r="W516" s="79"/>
      <c r="Z516" s="130"/>
      <c r="AB516" s="106"/>
    </row>
    <row r="517">
      <c r="C517" s="79"/>
      <c r="D517" s="79"/>
      <c r="E517" s="79"/>
      <c r="M517" s="79"/>
      <c r="R517" s="79"/>
      <c r="S517" s="79"/>
      <c r="V517" s="79"/>
      <c r="W517" s="79"/>
      <c r="Z517" s="130"/>
      <c r="AB517" s="106"/>
    </row>
    <row r="518">
      <c r="C518" s="79"/>
      <c r="D518" s="79"/>
      <c r="E518" s="79"/>
      <c r="M518" s="79"/>
      <c r="R518" s="79"/>
      <c r="S518" s="79"/>
      <c r="V518" s="79"/>
      <c r="W518" s="79"/>
      <c r="Z518" s="130"/>
      <c r="AB518" s="106"/>
    </row>
    <row r="519">
      <c r="C519" s="79"/>
      <c r="D519" s="79"/>
      <c r="E519" s="79"/>
      <c r="M519" s="79"/>
      <c r="R519" s="79"/>
      <c r="S519" s="79"/>
      <c r="V519" s="79"/>
      <c r="W519" s="79"/>
      <c r="Z519" s="130"/>
      <c r="AB519" s="106"/>
    </row>
    <row r="520">
      <c r="C520" s="79"/>
      <c r="D520" s="79"/>
      <c r="E520" s="79"/>
      <c r="M520" s="79"/>
      <c r="R520" s="79"/>
      <c r="S520" s="79"/>
      <c r="V520" s="79"/>
      <c r="W520" s="79"/>
      <c r="Z520" s="130"/>
      <c r="AB520" s="106"/>
    </row>
    <row r="521">
      <c r="C521" s="79"/>
      <c r="D521" s="79"/>
      <c r="E521" s="79"/>
      <c r="M521" s="79"/>
      <c r="R521" s="79"/>
      <c r="S521" s="79"/>
      <c r="V521" s="79"/>
      <c r="W521" s="79"/>
      <c r="Z521" s="130"/>
      <c r="AB521" s="106"/>
    </row>
    <row r="522">
      <c r="C522" s="79"/>
      <c r="D522" s="79"/>
      <c r="E522" s="79"/>
      <c r="M522" s="79"/>
      <c r="R522" s="79"/>
      <c r="S522" s="79"/>
      <c r="V522" s="79"/>
      <c r="W522" s="79"/>
      <c r="Z522" s="130"/>
      <c r="AB522" s="106"/>
    </row>
    <row r="523">
      <c r="C523" s="79"/>
      <c r="D523" s="79"/>
      <c r="E523" s="79"/>
      <c r="M523" s="79"/>
      <c r="R523" s="79"/>
      <c r="S523" s="79"/>
      <c r="V523" s="79"/>
      <c r="W523" s="79"/>
      <c r="Z523" s="130"/>
      <c r="AB523" s="106"/>
    </row>
    <row r="524">
      <c r="C524" s="79"/>
      <c r="D524" s="79"/>
      <c r="E524" s="79"/>
      <c r="M524" s="79"/>
      <c r="R524" s="79"/>
      <c r="S524" s="79"/>
      <c r="V524" s="79"/>
      <c r="W524" s="79"/>
      <c r="Z524" s="130"/>
      <c r="AB524" s="106"/>
    </row>
    <row r="525">
      <c r="C525" s="79"/>
      <c r="D525" s="79"/>
      <c r="E525" s="79"/>
      <c r="M525" s="79"/>
      <c r="R525" s="79"/>
      <c r="S525" s="79"/>
      <c r="V525" s="79"/>
      <c r="W525" s="79"/>
      <c r="Z525" s="130"/>
      <c r="AB525" s="106"/>
    </row>
    <row r="526">
      <c r="C526" s="79"/>
      <c r="D526" s="79"/>
      <c r="E526" s="79"/>
      <c r="M526" s="79"/>
      <c r="R526" s="79"/>
      <c r="S526" s="79"/>
      <c r="V526" s="79"/>
      <c r="W526" s="79"/>
      <c r="Z526" s="130"/>
      <c r="AB526" s="106"/>
    </row>
    <row r="527">
      <c r="C527" s="79"/>
      <c r="D527" s="79"/>
      <c r="E527" s="79"/>
      <c r="M527" s="79"/>
      <c r="R527" s="79"/>
      <c r="S527" s="79"/>
      <c r="V527" s="79"/>
      <c r="W527" s="79"/>
      <c r="Z527" s="130"/>
      <c r="AB527" s="106"/>
    </row>
    <row r="528">
      <c r="C528" s="79"/>
      <c r="D528" s="79"/>
      <c r="E528" s="79"/>
      <c r="M528" s="79"/>
      <c r="R528" s="79"/>
      <c r="S528" s="79"/>
      <c r="V528" s="79"/>
      <c r="W528" s="79"/>
      <c r="Z528" s="130"/>
      <c r="AB528" s="106"/>
    </row>
    <row r="529">
      <c r="C529" s="79"/>
      <c r="D529" s="79"/>
      <c r="E529" s="79"/>
      <c r="M529" s="79"/>
      <c r="R529" s="79"/>
      <c r="S529" s="79"/>
      <c r="V529" s="79"/>
      <c r="W529" s="79"/>
      <c r="Z529" s="130"/>
      <c r="AB529" s="106"/>
    </row>
    <row r="530">
      <c r="C530" s="79"/>
      <c r="D530" s="79"/>
      <c r="E530" s="79"/>
      <c r="M530" s="79"/>
      <c r="R530" s="79"/>
      <c r="S530" s="79"/>
      <c r="V530" s="79"/>
      <c r="W530" s="79"/>
      <c r="Z530" s="130"/>
      <c r="AB530" s="106"/>
    </row>
    <row r="531">
      <c r="C531" s="79"/>
      <c r="D531" s="79"/>
      <c r="E531" s="79"/>
      <c r="M531" s="79"/>
      <c r="R531" s="79"/>
      <c r="S531" s="79"/>
      <c r="V531" s="79"/>
      <c r="W531" s="79"/>
      <c r="Z531" s="130"/>
      <c r="AB531" s="106"/>
    </row>
    <row r="532">
      <c r="C532" s="79"/>
      <c r="D532" s="79"/>
      <c r="E532" s="79"/>
      <c r="M532" s="79"/>
      <c r="R532" s="79"/>
      <c r="S532" s="79"/>
      <c r="V532" s="79"/>
      <c r="W532" s="79"/>
      <c r="Z532" s="130"/>
      <c r="AB532" s="106"/>
    </row>
    <row r="533">
      <c r="C533" s="79"/>
      <c r="D533" s="79"/>
      <c r="E533" s="79"/>
      <c r="M533" s="79"/>
      <c r="R533" s="79"/>
      <c r="S533" s="79"/>
      <c r="V533" s="79"/>
      <c r="W533" s="79"/>
      <c r="Z533" s="130"/>
      <c r="AB533" s="106"/>
    </row>
    <row r="534">
      <c r="C534" s="79"/>
      <c r="D534" s="79"/>
      <c r="E534" s="79"/>
      <c r="M534" s="79"/>
      <c r="R534" s="79"/>
      <c r="S534" s="79"/>
      <c r="V534" s="79"/>
      <c r="W534" s="79"/>
      <c r="Z534" s="130"/>
      <c r="AB534" s="106"/>
    </row>
    <row r="535">
      <c r="C535" s="79"/>
      <c r="D535" s="79"/>
      <c r="E535" s="79"/>
      <c r="M535" s="79"/>
      <c r="R535" s="79"/>
      <c r="S535" s="79"/>
      <c r="V535" s="79"/>
      <c r="W535" s="79"/>
      <c r="Z535" s="130"/>
      <c r="AB535" s="106"/>
    </row>
    <row r="536">
      <c r="C536" s="79"/>
      <c r="D536" s="79"/>
      <c r="E536" s="79"/>
      <c r="M536" s="79"/>
      <c r="R536" s="79"/>
      <c r="S536" s="79"/>
      <c r="V536" s="79"/>
      <c r="W536" s="79"/>
      <c r="Z536" s="130"/>
      <c r="AB536" s="106"/>
    </row>
    <row r="537">
      <c r="C537" s="79"/>
      <c r="D537" s="79"/>
      <c r="E537" s="79"/>
      <c r="M537" s="79"/>
      <c r="R537" s="79"/>
      <c r="S537" s="79"/>
      <c r="V537" s="79"/>
      <c r="W537" s="79"/>
      <c r="Z537" s="130"/>
      <c r="AB537" s="106"/>
    </row>
    <row r="538">
      <c r="C538" s="79"/>
      <c r="D538" s="79"/>
      <c r="E538" s="79"/>
      <c r="M538" s="79"/>
      <c r="R538" s="79"/>
      <c r="S538" s="79"/>
      <c r="V538" s="79"/>
      <c r="W538" s="79"/>
      <c r="Z538" s="130"/>
      <c r="AB538" s="106"/>
    </row>
    <row r="539">
      <c r="C539" s="79"/>
      <c r="D539" s="79"/>
      <c r="E539" s="79"/>
      <c r="M539" s="79"/>
      <c r="R539" s="79"/>
      <c r="S539" s="79"/>
      <c r="V539" s="79"/>
      <c r="W539" s="79"/>
      <c r="Z539" s="130"/>
      <c r="AB539" s="106"/>
    </row>
    <row r="540">
      <c r="C540" s="79"/>
      <c r="D540" s="79"/>
      <c r="E540" s="79"/>
      <c r="M540" s="79"/>
      <c r="R540" s="79"/>
      <c r="S540" s="79"/>
      <c r="V540" s="79"/>
      <c r="W540" s="79"/>
      <c r="Z540" s="130"/>
      <c r="AB540" s="106"/>
    </row>
    <row r="541">
      <c r="C541" s="79"/>
      <c r="D541" s="79"/>
      <c r="E541" s="79"/>
      <c r="M541" s="79"/>
      <c r="R541" s="79"/>
      <c r="S541" s="79"/>
      <c r="V541" s="79"/>
      <c r="W541" s="79"/>
      <c r="Z541" s="130"/>
      <c r="AB541" s="106"/>
    </row>
    <row r="542">
      <c r="C542" s="79"/>
      <c r="D542" s="79"/>
      <c r="E542" s="79"/>
      <c r="M542" s="79"/>
      <c r="R542" s="79"/>
      <c r="S542" s="79"/>
      <c r="V542" s="79"/>
      <c r="W542" s="79"/>
      <c r="Z542" s="130"/>
      <c r="AB542" s="106"/>
    </row>
    <row r="543">
      <c r="C543" s="79"/>
      <c r="D543" s="79"/>
      <c r="E543" s="79"/>
      <c r="M543" s="79"/>
      <c r="R543" s="79"/>
      <c r="S543" s="79"/>
      <c r="V543" s="79"/>
      <c r="W543" s="79"/>
      <c r="Z543" s="130"/>
      <c r="AB543" s="106"/>
    </row>
    <row r="544">
      <c r="C544" s="79"/>
      <c r="D544" s="79"/>
      <c r="E544" s="79"/>
      <c r="M544" s="79"/>
      <c r="R544" s="79"/>
      <c r="S544" s="79"/>
      <c r="V544" s="79"/>
      <c r="W544" s="79"/>
      <c r="Z544" s="130"/>
      <c r="AB544" s="106"/>
    </row>
    <row r="545">
      <c r="C545" s="79"/>
      <c r="D545" s="79"/>
      <c r="E545" s="79"/>
      <c r="M545" s="79"/>
      <c r="R545" s="79"/>
      <c r="S545" s="79"/>
      <c r="V545" s="79"/>
      <c r="W545" s="79"/>
      <c r="Z545" s="130"/>
      <c r="AB545" s="106"/>
    </row>
    <row r="546">
      <c r="C546" s="79"/>
      <c r="D546" s="79"/>
      <c r="E546" s="79"/>
      <c r="M546" s="79"/>
      <c r="R546" s="79"/>
      <c r="S546" s="79"/>
      <c r="V546" s="79"/>
      <c r="W546" s="79"/>
      <c r="Z546" s="130"/>
      <c r="AB546" s="106"/>
    </row>
    <row r="547">
      <c r="C547" s="79"/>
      <c r="D547" s="79"/>
      <c r="E547" s="79"/>
      <c r="M547" s="79"/>
      <c r="R547" s="79"/>
      <c r="S547" s="79"/>
      <c r="V547" s="79"/>
      <c r="W547" s="79"/>
      <c r="Z547" s="130"/>
      <c r="AB547" s="106"/>
    </row>
    <row r="548">
      <c r="C548" s="79"/>
      <c r="D548" s="79"/>
      <c r="E548" s="79"/>
      <c r="M548" s="79"/>
      <c r="R548" s="79"/>
      <c r="S548" s="79"/>
      <c r="V548" s="79"/>
      <c r="W548" s="79"/>
      <c r="Z548" s="130"/>
      <c r="AB548" s="106"/>
    </row>
    <row r="549">
      <c r="C549" s="79"/>
      <c r="D549" s="79"/>
      <c r="E549" s="79"/>
      <c r="M549" s="79"/>
      <c r="R549" s="79"/>
      <c r="S549" s="79"/>
      <c r="V549" s="79"/>
      <c r="W549" s="79"/>
      <c r="Z549" s="130"/>
      <c r="AB549" s="106"/>
    </row>
    <row r="550">
      <c r="C550" s="79"/>
      <c r="D550" s="79"/>
      <c r="E550" s="79"/>
      <c r="M550" s="79"/>
      <c r="R550" s="79"/>
      <c r="S550" s="79"/>
      <c r="V550" s="79"/>
      <c r="W550" s="79"/>
      <c r="Z550" s="130"/>
      <c r="AB550" s="106"/>
    </row>
    <row r="551">
      <c r="C551" s="79"/>
      <c r="D551" s="79"/>
      <c r="E551" s="79"/>
      <c r="M551" s="79"/>
      <c r="R551" s="79"/>
      <c r="S551" s="79"/>
      <c r="V551" s="79"/>
      <c r="W551" s="79"/>
      <c r="Z551" s="130"/>
      <c r="AB551" s="106"/>
    </row>
    <row r="552">
      <c r="C552" s="79"/>
      <c r="D552" s="79"/>
      <c r="E552" s="79"/>
      <c r="M552" s="79"/>
      <c r="R552" s="79"/>
      <c r="S552" s="79"/>
      <c r="V552" s="79"/>
      <c r="W552" s="79"/>
      <c r="Z552" s="130"/>
      <c r="AB552" s="106"/>
    </row>
    <row r="553">
      <c r="C553" s="79"/>
      <c r="D553" s="79"/>
      <c r="E553" s="79"/>
      <c r="M553" s="79"/>
      <c r="R553" s="79"/>
      <c r="S553" s="79"/>
      <c r="V553" s="79"/>
      <c r="W553" s="79"/>
      <c r="Z553" s="130"/>
      <c r="AB553" s="106"/>
    </row>
    <row r="554">
      <c r="C554" s="79"/>
      <c r="D554" s="79"/>
      <c r="E554" s="79"/>
      <c r="M554" s="79"/>
      <c r="R554" s="79"/>
      <c r="S554" s="79"/>
      <c r="V554" s="79"/>
      <c r="W554" s="79"/>
      <c r="Z554" s="130"/>
      <c r="AB554" s="106"/>
    </row>
    <row r="555">
      <c r="C555" s="79"/>
      <c r="D555" s="79"/>
      <c r="E555" s="79"/>
      <c r="M555" s="79"/>
      <c r="R555" s="79"/>
      <c r="S555" s="79"/>
      <c r="V555" s="79"/>
      <c r="W555" s="79"/>
      <c r="Z555" s="130"/>
      <c r="AB555" s="106"/>
    </row>
    <row r="556">
      <c r="C556" s="79"/>
      <c r="D556" s="79"/>
      <c r="E556" s="79"/>
      <c r="M556" s="79"/>
      <c r="R556" s="79"/>
      <c r="S556" s="79"/>
      <c r="V556" s="79"/>
      <c r="W556" s="79"/>
      <c r="Z556" s="130"/>
      <c r="AB556" s="106"/>
    </row>
    <row r="557">
      <c r="C557" s="79"/>
      <c r="D557" s="79"/>
      <c r="E557" s="79"/>
      <c r="M557" s="79"/>
      <c r="R557" s="79"/>
      <c r="S557" s="79"/>
      <c r="V557" s="79"/>
      <c r="W557" s="79"/>
      <c r="Z557" s="130"/>
      <c r="AB557" s="106"/>
    </row>
    <row r="558">
      <c r="C558" s="79"/>
      <c r="D558" s="79"/>
      <c r="E558" s="79"/>
      <c r="M558" s="79"/>
      <c r="R558" s="79"/>
      <c r="S558" s="79"/>
      <c r="V558" s="79"/>
      <c r="W558" s="79"/>
      <c r="Z558" s="130"/>
      <c r="AB558" s="106"/>
    </row>
    <row r="559">
      <c r="C559" s="79"/>
      <c r="D559" s="79"/>
      <c r="E559" s="79"/>
      <c r="M559" s="79"/>
      <c r="R559" s="79"/>
      <c r="S559" s="79"/>
      <c r="V559" s="79"/>
      <c r="W559" s="79"/>
      <c r="Z559" s="130"/>
      <c r="AB559" s="106"/>
    </row>
    <row r="560">
      <c r="C560" s="79"/>
      <c r="D560" s="79"/>
      <c r="E560" s="79"/>
      <c r="M560" s="79"/>
      <c r="R560" s="79"/>
      <c r="S560" s="79"/>
      <c r="V560" s="79"/>
      <c r="W560" s="79"/>
      <c r="Z560" s="130"/>
      <c r="AB560" s="106"/>
    </row>
    <row r="561">
      <c r="C561" s="79"/>
      <c r="D561" s="79"/>
      <c r="E561" s="79"/>
      <c r="M561" s="79"/>
      <c r="R561" s="79"/>
      <c r="S561" s="79"/>
      <c r="V561" s="79"/>
      <c r="W561" s="79"/>
      <c r="Z561" s="130"/>
      <c r="AB561" s="106"/>
    </row>
    <row r="562">
      <c r="C562" s="79"/>
      <c r="D562" s="79"/>
      <c r="E562" s="79"/>
      <c r="M562" s="79"/>
      <c r="R562" s="79"/>
      <c r="S562" s="79"/>
      <c r="V562" s="79"/>
      <c r="W562" s="79"/>
      <c r="Z562" s="130"/>
      <c r="AB562" s="106"/>
    </row>
    <row r="563">
      <c r="C563" s="79"/>
      <c r="D563" s="79"/>
      <c r="E563" s="79"/>
      <c r="M563" s="79"/>
      <c r="R563" s="79"/>
      <c r="S563" s="79"/>
      <c r="V563" s="79"/>
      <c r="W563" s="79"/>
      <c r="Z563" s="130"/>
      <c r="AB563" s="106"/>
    </row>
    <row r="564">
      <c r="C564" s="79"/>
      <c r="D564" s="79"/>
      <c r="E564" s="79"/>
      <c r="M564" s="79"/>
      <c r="R564" s="79"/>
      <c r="S564" s="79"/>
      <c r="V564" s="79"/>
      <c r="W564" s="79"/>
      <c r="Z564" s="130"/>
      <c r="AB564" s="106"/>
    </row>
    <row r="565">
      <c r="C565" s="79"/>
      <c r="D565" s="79"/>
      <c r="E565" s="79"/>
      <c r="M565" s="79"/>
      <c r="R565" s="79"/>
      <c r="S565" s="79"/>
      <c r="V565" s="79"/>
      <c r="W565" s="79"/>
      <c r="Z565" s="130"/>
      <c r="AB565" s="106"/>
    </row>
    <row r="566">
      <c r="C566" s="79"/>
      <c r="D566" s="79"/>
      <c r="E566" s="79"/>
      <c r="M566" s="79"/>
      <c r="R566" s="79"/>
      <c r="S566" s="79"/>
      <c r="V566" s="79"/>
      <c r="W566" s="79"/>
      <c r="Z566" s="130"/>
      <c r="AB566" s="106"/>
    </row>
    <row r="567">
      <c r="C567" s="79"/>
      <c r="D567" s="79"/>
      <c r="E567" s="79"/>
      <c r="M567" s="79"/>
      <c r="R567" s="79"/>
      <c r="S567" s="79"/>
      <c r="V567" s="79"/>
      <c r="W567" s="79"/>
      <c r="Z567" s="130"/>
      <c r="AB567" s="106"/>
    </row>
    <row r="568">
      <c r="C568" s="79"/>
      <c r="D568" s="79"/>
      <c r="E568" s="79"/>
      <c r="M568" s="79"/>
      <c r="R568" s="79"/>
      <c r="S568" s="79"/>
      <c r="V568" s="79"/>
      <c r="W568" s="79"/>
      <c r="Z568" s="130"/>
      <c r="AB568" s="106"/>
    </row>
    <row r="569">
      <c r="C569" s="79"/>
      <c r="D569" s="79"/>
      <c r="E569" s="79"/>
      <c r="M569" s="79"/>
      <c r="R569" s="79"/>
      <c r="S569" s="79"/>
      <c r="V569" s="79"/>
      <c r="W569" s="79"/>
      <c r="Z569" s="130"/>
      <c r="AB569" s="106"/>
    </row>
    <row r="570">
      <c r="C570" s="79"/>
      <c r="D570" s="79"/>
      <c r="E570" s="79"/>
      <c r="M570" s="79"/>
      <c r="R570" s="79"/>
      <c r="S570" s="79"/>
      <c r="V570" s="79"/>
      <c r="W570" s="79"/>
      <c r="Z570" s="130"/>
      <c r="AB570" s="106"/>
    </row>
    <row r="571">
      <c r="C571" s="79"/>
      <c r="D571" s="79"/>
      <c r="E571" s="79"/>
      <c r="M571" s="79"/>
      <c r="R571" s="79"/>
      <c r="S571" s="79"/>
      <c r="V571" s="79"/>
      <c r="W571" s="79"/>
      <c r="Z571" s="130"/>
      <c r="AB571" s="106"/>
    </row>
    <row r="572">
      <c r="C572" s="79"/>
      <c r="D572" s="79"/>
      <c r="E572" s="79"/>
      <c r="M572" s="79"/>
      <c r="R572" s="79"/>
      <c r="S572" s="79"/>
      <c r="V572" s="79"/>
      <c r="W572" s="79"/>
      <c r="Z572" s="130"/>
      <c r="AB572" s="106"/>
    </row>
    <row r="573">
      <c r="C573" s="79"/>
      <c r="D573" s="79"/>
      <c r="E573" s="79"/>
      <c r="M573" s="79"/>
      <c r="R573" s="79"/>
      <c r="S573" s="79"/>
      <c r="V573" s="79"/>
      <c r="W573" s="79"/>
      <c r="Z573" s="130"/>
      <c r="AB573" s="106"/>
    </row>
    <row r="574">
      <c r="C574" s="79"/>
      <c r="D574" s="79"/>
      <c r="E574" s="79"/>
      <c r="M574" s="79"/>
      <c r="R574" s="79"/>
      <c r="S574" s="79"/>
      <c r="V574" s="79"/>
      <c r="W574" s="79"/>
      <c r="Z574" s="130"/>
      <c r="AB574" s="106"/>
    </row>
    <row r="575">
      <c r="C575" s="79"/>
      <c r="D575" s="79"/>
      <c r="E575" s="79"/>
      <c r="M575" s="79"/>
      <c r="R575" s="79"/>
      <c r="S575" s="79"/>
      <c r="V575" s="79"/>
      <c r="W575" s="79"/>
      <c r="Z575" s="130"/>
      <c r="AB575" s="106"/>
    </row>
    <row r="576">
      <c r="C576" s="79"/>
      <c r="D576" s="79"/>
      <c r="E576" s="79"/>
      <c r="M576" s="79"/>
      <c r="R576" s="79"/>
      <c r="S576" s="79"/>
      <c r="V576" s="79"/>
      <c r="W576" s="79"/>
      <c r="Z576" s="130"/>
      <c r="AB576" s="106"/>
    </row>
    <row r="577">
      <c r="C577" s="79"/>
      <c r="D577" s="79"/>
      <c r="E577" s="79"/>
      <c r="M577" s="79"/>
      <c r="R577" s="79"/>
      <c r="S577" s="79"/>
      <c r="V577" s="79"/>
      <c r="W577" s="79"/>
      <c r="Z577" s="130"/>
      <c r="AB577" s="106"/>
    </row>
    <row r="578">
      <c r="C578" s="79"/>
      <c r="D578" s="79"/>
      <c r="E578" s="79"/>
      <c r="M578" s="79"/>
      <c r="R578" s="79"/>
      <c r="S578" s="79"/>
      <c r="V578" s="79"/>
      <c r="W578" s="79"/>
      <c r="Z578" s="130"/>
      <c r="AB578" s="106"/>
    </row>
    <row r="579">
      <c r="C579" s="79"/>
      <c r="D579" s="79"/>
      <c r="E579" s="79"/>
      <c r="M579" s="79"/>
      <c r="R579" s="79"/>
      <c r="S579" s="79"/>
      <c r="V579" s="79"/>
      <c r="W579" s="79"/>
      <c r="Z579" s="130"/>
      <c r="AB579" s="106"/>
    </row>
    <row r="580">
      <c r="C580" s="79"/>
      <c r="D580" s="79"/>
      <c r="E580" s="79"/>
      <c r="M580" s="79"/>
      <c r="R580" s="79"/>
      <c r="S580" s="79"/>
      <c r="V580" s="79"/>
      <c r="W580" s="79"/>
      <c r="Z580" s="130"/>
      <c r="AB580" s="106"/>
    </row>
    <row r="581">
      <c r="C581" s="79"/>
      <c r="D581" s="79"/>
      <c r="E581" s="79"/>
      <c r="M581" s="79"/>
      <c r="R581" s="79"/>
      <c r="S581" s="79"/>
      <c r="V581" s="79"/>
      <c r="W581" s="79"/>
      <c r="Z581" s="130"/>
      <c r="AB581" s="106"/>
    </row>
    <row r="582">
      <c r="C582" s="79"/>
      <c r="D582" s="79"/>
      <c r="E582" s="79"/>
      <c r="M582" s="79"/>
      <c r="R582" s="79"/>
      <c r="S582" s="79"/>
      <c r="V582" s="79"/>
      <c r="W582" s="79"/>
      <c r="Z582" s="130"/>
      <c r="AB582" s="106"/>
    </row>
    <row r="583">
      <c r="C583" s="79"/>
      <c r="D583" s="79"/>
      <c r="E583" s="79"/>
      <c r="M583" s="79"/>
      <c r="R583" s="79"/>
      <c r="S583" s="79"/>
      <c r="V583" s="79"/>
      <c r="W583" s="79"/>
      <c r="Z583" s="130"/>
      <c r="AB583" s="106"/>
    </row>
    <row r="584">
      <c r="C584" s="79"/>
      <c r="D584" s="79"/>
      <c r="E584" s="79"/>
      <c r="M584" s="79"/>
      <c r="R584" s="79"/>
      <c r="S584" s="79"/>
      <c r="V584" s="79"/>
      <c r="W584" s="79"/>
      <c r="Z584" s="130"/>
      <c r="AB584" s="106"/>
    </row>
    <row r="585">
      <c r="C585" s="79"/>
      <c r="D585" s="79"/>
      <c r="E585" s="79"/>
      <c r="M585" s="79"/>
      <c r="R585" s="79"/>
      <c r="S585" s="79"/>
      <c r="V585" s="79"/>
      <c r="W585" s="79"/>
      <c r="Z585" s="130"/>
      <c r="AB585" s="106"/>
    </row>
    <row r="586">
      <c r="C586" s="79"/>
      <c r="D586" s="79"/>
      <c r="E586" s="79"/>
      <c r="M586" s="79"/>
      <c r="R586" s="79"/>
      <c r="S586" s="79"/>
      <c r="V586" s="79"/>
      <c r="W586" s="79"/>
      <c r="Z586" s="130"/>
      <c r="AB586" s="106"/>
    </row>
    <row r="587">
      <c r="C587" s="79"/>
      <c r="D587" s="79"/>
      <c r="E587" s="79"/>
      <c r="M587" s="79"/>
      <c r="R587" s="79"/>
      <c r="S587" s="79"/>
      <c r="V587" s="79"/>
      <c r="W587" s="79"/>
      <c r="Z587" s="130"/>
      <c r="AB587" s="106"/>
    </row>
    <row r="588">
      <c r="C588" s="79"/>
      <c r="D588" s="79"/>
      <c r="E588" s="79"/>
      <c r="M588" s="79"/>
      <c r="R588" s="79"/>
      <c r="S588" s="79"/>
      <c r="V588" s="79"/>
      <c r="W588" s="79"/>
      <c r="Z588" s="130"/>
      <c r="AB588" s="106"/>
    </row>
    <row r="589">
      <c r="C589" s="79"/>
      <c r="D589" s="79"/>
      <c r="E589" s="79"/>
      <c r="M589" s="79"/>
      <c r="R589" s="79"/>
      <c r="S589" s="79"/>
      <c r="V589" s="79"/>
      <c r="W589" s="79"/>
      <c r="Z589" s="130"/>
      <c r="AB589" s="106"/>
    </row>
    <row r="590">
      <c r="C590" s="79"/>
      <c r="D590" s="79"/>
      <c r="E590" s="79"/>
      <c r="M590" s="79"/>
      <c r="R590" s="79"/>
      <c r="S590" s="79"/>
      <c r="V590" s="79"/>
      <c r="W590" s="79"/>
      <c r="Z590" s="130"/>
      <c r="AB590" s="106"/>
    </row>
    <row r="591">
      <c r="C591" s="79"/>
      <c r="D591" s="79"/>
      <c r="E591" s="79"/>
      <c r="M591" s="79"/>
      <c r="R591" s="79"/>
      <c r="S591" s="79"/>
      <c r="V591" s="79"/>
      <c r="W591" s="79"/>
      <c r="Z591" s="130"/>
      <c r="AB591" s="106"/>
    </row>
    <row r="592">
      <c r="C592" s="79"/>
      <c r="D592" s="79"/>
      <c r="E592" s="79"/>
      <c r="M592" s="79"/>
      <c r="R592" s="79"/>
      <c r="S592" s="79"/>
      <c r="V592" s="79"/>
      <c r="W592" s="79"/>
      <c r="Z592" s="130"/>
      <c r="AB592" s="106"/>
    </row>
    <row r="593">
      <c r="C593" s="79"/>
      <c r="D593" s="79"/>
      <c r="E593" s="79"/>
      <c r="M593" s="79"/>
      <c r="R593" s="79"/>
      <c r="S593" s="79"/>
      <c r="V593" s="79"/>
      <c r="W593" s="79"/>
      <c r="Z593" s="130"/>
      <c r="AB593" s="106"/>
    </row>
    <row r="594">
      <c r="C594" s="79"/>
      <c r="D594" s="79"/>
      <c r="E594" s="79"/>
      <c r="M594" s="79"/>
      <c r="R594" s="79"/>
      <c r="S594" s="79"/>
      <c r="V594" s="79"/>
      <c r="W594" s="79"/>
      <c r="Z594" s="130"/>
      <c r="AB594" s="106"/>
    </row>
    <row r="595">
      <c r="C595" s="79"/>
      <c r="D595" s="79"/>
      <c r="E595" s="79"/>
      <c r="M595" s="79"/>
      <c r="R595" s="79"/>
      <c r="S595" s="79"/>
      <c r="V595" s="79"/>
      <c r="W595" s="79"/>
      <c r="Z595" s="130"/>
      <c r="AB595" s="106"/>
    </row>
    <row r="596">
      <c r="C596" s="79"/>
      <c r="D596" s="79"/>
      <c r="E596" s="79"/>
      <c r="M596" s="79"/>
      <c r="R596" s="79"/>
      <c r="S596" s="79"/>
      <c r="V596" s="79"/>
      <c r="W596" s="79"/>
      <c r="Z596" s="130"/>
      <c r="AB596" s="106"/>
    </row>
    <row r="597">
      <c r="C597" s="79"/>
      <c r="D597" s="79"/>
      <c r="E597" s="79"/>
      <c r="M597" s="79"/>
      <c r="R597" s="79"/>
      <c r="S597" s="79"/>
      <c r="V597" s="79"/>
      <c r="W597" s="79"/>
      <c r="Z597" s="130"/>
      <c r="AB597" s="106"/>
    </row>
    <row r="598">
      <c r="C598" s="79"/>
      <c r="D598" s="79"/>
      <c r="E598" s="79"/>
      <c r="M598" s="79"/>
      <c r="R598" s="79"/>
      <c r="S598" s="79"/>
      <c r="V598" s="79"/>
      <c r="W598" s="79"/>
      <c r="Z598" s="130"/>
      <c r="AB598" s="106"/>
    </row>
    <row r="599">
      <c r="C599" s="79"/>
      <c r="D599" s="79"/>
      <c r="E599" s="79"/>
      <c r="M599" s="79"/>
      <c r="R599" s="79"/>
      <c r="S599" s="79"/>
      <c r="V599" s="79"/>
      <c r="W599" s="79"/>
      <c r="Z599" s="130"/>
      <c r="AB599" s="106"/>
    </row>
    <row r="600">
      <c r="C600" s="79"/>
      <c r="D600" s="79"/>
      <c r="E600" s="79"/>
      <c r="M600" s="79"/>
      <c r="R600" s="79"/>
      <c r="S600" s="79"/>
      <c r="V600" s="79"/>
      <c r="W600" s="79"/>
      <c r="Z600" s="130"/>
      <c r="AB600" s="106"/>
    </row>
    <row r="601">
      <c r="C601" s="79"/>
      <c r="D601" s="79"/>
      <c r="E601" s="79"/>
      <c r="M601" s="79"/>
      <c r="R601" s="79"/>
      <c r="S601" s="79"/>
      <c r="V601" s="79"/>
      <c r="W601" s="79"/>
      <c r="Z601" s="130"/>
      <c r="AB601" s="106"/>
    </row>
    <row r="602">
      <c r="C602" s="79"/>
      <c r="D602" s="79"/>
      <c r="E602" s="79"/>
      <c r="M602" s="79"/>
      <c r="R602" s="79"/>
      <c r="S602" s="79"/>
      <c r="V602" s="79"/>
      <c r="W602" s="79"/>
      <c r="Z602" s="130"/>
      <c r="AB602" s="106"/>
    </row>
    <row r="603">
      <c r="C603" s="79"/>
      <c r="D603" s="79"/>
      <c r="E603" s="79"/>
      <c r="M603" s="79"/>
      <c r="R603" s="79"/>
      <c r="S603" s="79"/>
      <c r="V603" s="79"/>
      <c r="W603" s="79"/>
      <c r="Z603" s="130"/>
      <c r="AB603" s="106"/>
    </row>
    <row r="604">
      <c r="C604" s="79"/>
      <c r="D604" s="79"/>
      <c r="E604" s="79"/>
      <c r="M604" s="79"/>
      <c r="R604" s="79"/>
      <c r="S604" s="79"/>
      <c r="V604" s="79"/>
      <c r="W604" s="79"/>
      <c r="Z604" s="130"/>
      <c r="AB604" s="106"/>
    </row>
    <row r="605">
      <c r="C605" s="79"/>
      <c r="D605" s="79"/>
      <c r="E605" s="79"/>
      <c r="M605" s="79"/>
      <c r="R605" s="79"/>
      <c r="S605" s="79"/>
      <c r="V605" s="79"/>
      <c r="W605" s="79"/>
      <c r="Z605" s="130"/>
      <c r="AB605" s="106"/>
    </row>
    <row r="606">
      <c r="C606" s="79"/>
      <c r="D606" s="79"/>
      <c r="E606" s="79"/>
      <c r="M606" s="79"/>
      <c r="R606" s="79"/>
      <c r="S606" s="79"/>
      <c r="V606" s="79"/>
      <c r="W606" s="79"/>
      <c r="Z606" s="130"/>
      <c r="AB606" s="106"/>
    </row>
    <row r="607">
      <c r="C607" s="79"/>
      <c r="D607" s="79"/>
      <c r="E607" s="79"/>
      <c r="M607" s="79"/>
      <c r="R607" s="79"/>
      <c r="S607" s="79"/>
      <c r="V607" s="79"/>
      <c r="W607" s="79"/>
      <c r="Z607" s="130"/>
      <c r="AB607" s="106"/>
    </row>
    <row r="608">
      <c r="C608" s="79"/>
      <c r="D608" s="79"/>
      <c r="E608" s="79"/>
      <c r="M608" s="79"/>
      <c r="R608" s="79"/>
      <c r="S608" s="79"/>
      <c r="V608" s="79"/>
      <c r="W608" s="79"/>
      <c r="Z608" s="130"/>
      <c r="AB608" s="106"/>
    </row>
    <row r="609">
      <c r="C609" s="79"/>
      <c r="D609" s="79"/>
      <c r="E609" s="79"/>
      <c r="M609" s="79"/>
      <c r="R609" s="79"/>
      <c r="S609" s="79"/>
      <c r="V609" s="79"/>
      <c r="W609" s="79"/>
      <c r="Z609" s="130"/>
      <c r="AB609" s="106"/>
    </row>
    <row r="610">
      <c r="C610" s="79"/>
      <c r="D610" s="79"/>
      <c r="E610" s="79"/>
      <c r="M610" s="79"/>
      <c r="R610" s="79"/>
      <c r="S610" s="79"/>
      <c r="V610" s="79"/>
      <c r="W610" s="79"/>
      <c r="Z610" s="130"/>
      <c r="AB610" s="106"/>
    </row>
    <row r="611">
      <c r="C611" s="79"/>
      <c r="D611" s="79"/>
      <c r="E611" s="79"/>
      <c r="M611" s="79"/>
      <c r="R611" s="79"/>
      <c r="S611" s="79"/>
      <c r="V611" s="79"/>
      <c r="W611" s="79"/>
      <c r="Z611" s="130"/>
      <c r="AB611" s="106"/>
    </row>
    <row r="612">
      <c r="C612" s="79"/>
      <c r="D612" s="79"/>
      <c r="E612" s="79"/>
      <c r="M612" s="79"/>
      <c r="R612" s="79"/>
      <c r="S612" s="79"/>
      <c r="V612" s="79"/>
      <c r="W612" s="79"/>
      <c r="Z612" s="130"/>
      <c r="AB612" s="106"/>
    </row>
    <row r="613">
      <c r="C613" s="79"/>
      <c r="D613" s="79"/>
      <c r="E613" s="79"/>
      <c r="M613" s="79"/>
      <c r="R613" s="79"/>
      <c r="S613" s="79"/>
      <c r="V613" s="79"/>
      <c r="W613" s="79"/>
      <c r="Z613" s="130"/>
      <c r="AB613" s="106"/>
    </row>
    <row r="614">
      <c r="C614" s="79"/>
      <c r="D614" s="79"/>
      <c r="E614" s="79"/>
      <c r="M614" s="79"/>
      <c r="R614" s="79"/>
      <c r="S614" s="79"/>
      <c r="V614" s="79"/>
      <c r="W614" s="79"/>
      <c r="Z614" s="130"/>
      <c r="AB614" s="106"/>
    </row>
    <row r="615">
      <c r="C615" s="79"/>
      <c r="D615" s="79"/>
      <c r="E615" s="79"/>
      <c r="M615" s="79"/>
      <c r="R615" s="79"/>
      <c r="S615" s="79"/>
      <c r="V615" s="79"/>
      <c r="W615" s="79"/>
      <c r="Z615" s="130"/>
      <c r="AB615" s="106"/>
    </row>
    <row r="616">
      <c r="C616" s="79"/>
      <c r="D616" s="79"/>
      <c r="E616" s="79"/>
      <c r="M616" s="79"/>
      <c r="R616" s="79"/>
      <c r="S616" s="79"/>
      <c r="V616" s="79"/>
      <c r="W616" s="79"/>
      <c r="Z616" s="130"/>
      <c r="AB616" s="106"/>
    </row>
    <row r="617">
      <c r="C617" s="79"/>
      <c r="D617" s="79"/>
      <c r="E617" s="79"/>
      <c r="M617" s="79"/>
      <c r="R617" s="79"/>
      <c r="S617" s="79"/>
      <c r="V617" s="79"/>
      <c r="W617" s="79"/>
      <c r="Z617" s="130"/>
      <c r="AB617" s="106"/>
    </row>
    <row r="618">
      <c r="C618" s="79"/>
      <c r="D618" s="79"/>
      <c r="E618" s="79"/>
      <c r="M618" s="79"/>
      <c r="R618" s="79"/>
      <c r="S618" s="79"/>
      <c r="V618" s="79"/>
      <c r="W618" s="79"/>
      <c r="Z618" s="130"/>
      <c r="AB618" s="106"/>
    </row>
    <row r="619">
      <c r="C619" s="79"/>
      <c r="D619" s="79"/>
      <c r="E619" s="79"/>
      <c r="M619" s="79"/>
      <c r="R619" s="79"/>
      <c r="S619" s="79"/>
      <c r="V619" s="79"/>
      <c r="W619" s="79"/>
      <c r="Z619" s="130"/>
      <c r="AB619" s="106"/>
    </row>
    <row r="620">
      <c r="C620" s="79"/>
      <c r="D620" s="79"/>
      <c r="E620" s="79"/>
      <c r="M620" s="79"/>
      <c r="R620" s="79"/>
      <c r="S620" s="79"/>
      <c r="V620" s="79"/>
      <c r="W620" s="79"/>
      <c r="Z620" s="130"/>
      <c r="AB620" s="106"/>
    </row>
    <row r="621">
      <c r="C621" s="79"/>
      <c r="D621" s="79"/>
      <c r="E621" s="79"/>
      <c r="M621" s="79"/>
      <c r="R621" s="79"/>
      <c r="S621" s="79"/>
      <c r="V621" s="79"/>
      <c r="W621" s="79"/>
      <c r="Z621" s="130"/>
      <c r="AB621" s="106"/>
    </row>
    <row r="622">
      <c r="C622" s="79"/>
      <c r="D622" s="79"/>
      <c r="E622" s="79"/>
      <c r="M622" s="79"/>
      <c r="R622" s="79"/>
      <c r="S622" s="79"/>
      <c r="V622" s="79"/>
      <c r="W622" s="79"/>
      <c r="Z622" s="130"/>
      <c r="AB622" s="106"/>
    </row>
    <row r="623">
      <c r="C623" s="79"/>
      <c r="D623" s="79"/>
      <c r="E623" s="79"/>
      <c r="M623" s="79"/>
      <c r="R623" s="79"/>
      <c r="S623" s="79"/>
      <c r="V623" s="79"/>
      <c r="W623" s="79"/>
      <c r="Z623" s="130"/>
      <c r="AB623" s="106"/>
    </row>
    <row r="624">
      <c r="C624" s="79"/>
      <c r="D624" s="79"/>
      <c r="E624" s="79"/>
      <c r="M624" s="79"/>
      <c r="R624" s="79"/>
      <c r="S624" s="79"/>
      <c r="V624" s="79"/>
      <c r="W624" s="79"/>
      <c r="Z624" s="130"/>
      <c r="AB624" s="106"/>
    </row>
    <row r="625">
      <c r="C625" s="79"/>
      <c r="D625" s="79"/>
      <c r="E625" s="79"/>
      <c r="M625" s="79"/>
      <c r="R625" s="79"/>
      <c r="S625" s="79"/>
      <c r="V625" s="79"/>
      <c r="W625" s="79"/>
      <c r="Z625" s="130"/>
      <c r="AB625" s="106"/>
    </row>
    <row r="626">
      <c r="C626" s="79"/>
      <c r="D626" s="79"/>
      <c r="E626" s="79"/>
      <c r="M626" s="79"/>
      <c r="R626" s="79"/>
      <c r="S626" s="79"/>
      <c r="V626" s="79"/>
      <c r="W626" s="79"/>
      <c r="Z626" s="130"/>
      <c r="AB626" s="106"/>
    </row>
    <row r="627">
      <c r="C627" s="79"/>
      <c r="D627" s="79"/>
      <c r="E627" s="79"/>
      <c r="M627" s="79"/>
      <c r="R627" s="79"/>
      <c r="S627" s="79"/>
      <c r="V627" s="79"/>
      <c r="W627" s="79"/>
      <c r="Z627" s="130"/>
      <c r="AB627" s="106"/>
    </row>
    <row r="628">
      <c r="C628" s="79"/>
      <c r="D628" s="79"/>
      <c r="E628" s="79"/>
      <c r="M628" s="79"/>
      <c r="R628" s="79"/>
      <c r="S628" s="79"/>
      <c r="V628" s="79"/>
      <c r="W628" s="79"/>
      <c r="Z628" s="130"/>
      <c r="AB628" s="106"/>
    </row>
    <row r="629">
      <c r="C629" s="79"/>
      <c r="D629" s="79"/>
      <c r="E629" s="79"/>
      <c r="M629" s="79"/>
      <c r="R629" s="79"/>
      <c r="S629" s="79"/>
      <c r="V629" s="79"/>
      <c r="W629" s="79"/>
      <c r="Z629" s="130"/>
      <c r="AB629" s="106"/>
    </row>
    <row r="630">
      <c r="C630" s="79"/>
      <c r="D630" s="79"/>
      <c r="E630" s="79"/>
      <c r="M630" s="79"/>
      <c r="R630" s="79"/>
      <c r="S630" s="79"/>
      <c r="V630" s="79"/>
      <c r="W630" s="79"/>
      <c r="Z630" s="130"/>
      <c r="AB630" s="106"/>
    </row>
    <row r="631">
      <c r="C631" s="79"/>
      <c r="D631" s="79"/>
      <c r="E631" s="79"/>
      <c r="M631" s="79"/>
      <c r="R631" s="79"/>
      <c r="S631" s="79"/>
      <c r="V631" s="79"/>
      <c r="W631" s="79"/>
      <c r="Z631" s="130"/>
      <c r="AB631" s="106"/>
    </row>
    <row r="632">
      <c r="C632" s="79"/>
      <c r="D632" s="79"/>
      <c r="E632" s="79"/>
      <c r="M632" s="79"/>
      <c r="R632" s="79"/>
      <c r="S632" s="79"/>
      <c r="V632" s="79"/>
      <c r="W632" s="79"/>
      <c r="Z632" s="130"/>
      <c r="AB632" s="106"/>
    </row>
    <row r="633">
      <c r="C633" s="79"/>
      <c r="D633" s="79"/>
      <c r="E633" s="79"/>
      <c r="M633" s="79"/>
      <c r="R633" s="79"/>
      <c r="S633" s="79"/>
      <c r="V633" s="79"/>
      <c r="W633" s="79"/>
      <c r="Z633" s="130"/>
      <c r="AB633" s="106"/>
    </row>
    <row r="634">
      <c r="C634" s="79"/>
      <c r="D634" s="79"/>
      <c r="E634" s="79"/>
      <c r="M634" s="79"/>
      <c r="R634" s="79"/>
      <c r="S634" s="79"/>
      <c r="V634" s="79"/>
      <c r="W634" s="79"/>
      <c r="Z634" s="130"/>
      <c r="AB634" s="106"/>
    </row>
    <row r="635">
      <c r="C635" s="79"/>
      <c r="D635" s="79"/>
      <c r="E635" s="79"/>
      <c r="M635" s="79"/>
      <c r="R635" s="79"/>
      <c r="S635" s="79"/>
      <c r="V635" s="79"/>
      <c r="W635" s="79"/>
      <c r="Z635" s="130"/>
      <c r="AB635" s="106"/>
    </row>
    <row r="636">
      <c r="C636" s="79"/>
      <c r="D636" s="79"/>
      <c r="E636" s="79"/>
      <c r="M636" s="79"/>
      <c r="R636" s="79"/>
      <c r="S636" s="79"/>
      <c r="V636" s="79"/>
      <c r="W636" s="79"/>
      <c r="Z636" s="130"/>
      <c r="AB636" s="106"/>
    </row>
    <row r="637">
      <c r="C637" s="79"/>
      <c r="D637" s="79"/>
      <c r="E637" s="79"/>
      <c r="M637" s="79"/>
      <c r="R637" s="79"/>
      <c r="S637" s="79"/>
      <c r="V637" s="79"/>
      <c r="W637" s="79"/>
      <c r="Z637" s="130"/>
      <c r="AB637" s="106"/>
    </row>
    <row r="638">
      <c r="C638" s="79"/>
      <c r="D638" s="79"/>
      <c r="E638" s="79"/>
      <c r="M638" s="79"/>
      <c r="R638" s="79"/>
      <c r="S638" s="79"/>
      <c r="V638" s="79"/>
      <c r="W638" s="79"/>
      <c r="Z638" s="130"/>
      <c r="AB638" s="106"/>
    </row>
    <row r="639">
      <c r="C639" s="79"/>
      <c r="D639" s="79"/>
      <c r="E639" s="79"/>
      <c r="M639" s="79"/>
      <c r="R639" s="79"/>
      <c r="S639" s="79"/>
      <c r="V639" s="79"/>
      <c r="W639" s="79"/>
      <c r="Z639" s="130"/>
      <c r="AB639" s="106"/>
    </row>
    <row r="640">
      <c r="C640" s="79"/>
      <c r="D640" s="79"/>
      <c r="E640" s="79"/>
      <c r="M640" s="79"/>
      <c r="R640" s="79"/>
      <c r="S640" s="79"/>
      <c r="V640" s="79"/>
      <c r="W640" s="79"/>
      <c r="Z640" s="130"/>
      <c r="AB640" s="106"/>
    </row>
    <row r="641">
      <c r="C641" s="79"/>
      <c r="D641" s="79"/>
      <c r="E641" s="79"/>
      <c r="M641" s="79"/>
      <c r="R641" s="79"/>
      <c r="S641" s="79"/>
      <c r="V641" s="79"/>
      <c r="W641" s="79"/>
      <c r="Z641" s="130"/>
      <c r="AB641" s="106"/>
    </row>
    <row r="642">
      <c r="C642" s="79"/>
      <c r="D642" s="79"/>
      <c r="E642" s="79"/>
      <c r="M642" s="79"/>
      <c r="R642" s="79"/>
      <c r="S642" s="79"/>
      <c r="V642" s="79"/>
      <c r="W642" s="79"/>
      <c r="Z642" s="130"/>
      <c r="AB642" s="106"/>
    </row>
    <row r="643">
      <c r="C643" s="79"/>
      <c r="D643" s="79"/>
      <c r="E643" s="79"/>
      <c r="M643" s="79"/>
      <c r="R643" s="79"/>
      <c r="S643" s="79"/>
      <c r="V643" s="79"/>
      <c r="W643" s="79"/>
      <c r="Z643" s="130"/>
      <c r="AB643" s="106"/>
    </row>
    <row r="644">
      <c r="C644" s="79"/>
      <c r="D644" s="79"/>
      <c r="E644" s="79"/>
      <c r="M644" s="79"/>
      <c r="R644" s="79"/>
      <c r="S644" s="79"/>
      <c r="V644" s="79"/>
      <c r="W644" s="79"/>
      <c r="Z644" s="130"/>
      <c r="AB644" s="106"/>
    </row>
    <row r="645">
      <c r="C645" s="79"/>
      <c r="D645" s="79"/>
      <c r="E645" s="79"/>
      <c r="M645" s="79"/>
      <c r="R645" s="79"/>
      <c r="S645" s="79"/>
      <c r="V645" s="79"/>
      <c r="W645" s="79"/>
      <c r="Z645" s="130"/>
      <c r="AB645" s="106"/>
    </row>
    <row r="646">
      <c r="C646" s="79"/>
      <c r="D646" s="79"/>
      <c r="E646" s="79"/>
      <c r="M646" s="79"/>
      <c r="R646" s="79"/>
      <c r="S646" s="79"/>
      <c r="V646" s="79"/>
      <c r="W646" s="79"/>
      <c r="Z646" s="130"/>
      <c r="AB646" s="106"/>
    </row>
    <row r="647">
      <c r="C647" s="79"/>
      <c r="D647" s="79"/>
      <c r="E647" s="79"/>
      <c r="M647" s="79"/>
      <c r="R647" s="79"/>
      <c r="S647" s="79"/>
      <c r="V647" s="79"/>
      <c r="W647" s="79"/>
      <c r="Z647" s="130"/>
      <c r="AB647" s="106"/>
    </row>
    <row r="648">
      <c r="C648" s="79"/>
      <c r="D648" s="79"/>
      <c r="E648" s="79"/>
      <c r="M648" s="79"/>
      <c r="R648" s="79"/>
      <c r="S648" s="79"/>
      <c r="V648" s="79"/>
      <c r="W648" s="79"/>
      <c r="Z648" s="130"/>
      <c r="AB648" s="106"/>
    </row>
    <row r="649">
      <c r="C649" s="79"/>
      <c r="D649" s="79"/>
      <c r="E649" s="79"/>
      <c r="M649" s="79"/>
      <c r="R649" s="79"/>
      <c r="S649" s="79"/>
      <c r="V649" s="79"/>
      <c r="W649" s="79"/>
      <c r="Z649" s="130"/>
      <c r="AB649" s="106"/>
    </row>
    <row r="650">
      <c r="C650" s="79"/>
      <c r="D650" s="79"/>
      <c r="E650" s="79"/>
      <c r="M650" s="79"/>
      <c r="R650" s="79"/>
      <c r="S650" s="79"/>
      <c r="V650" s="79"/>
      <c r="W650" s="79"/>
      <c r="Z650" s="130"/>
      <c r="AB650" s="106"/>
    </row>
    <row r="651">
      <c r="C651" s="79"/>
      <c r="D651" s="79"/>
      <c r="E651" s="79"/>
      <c r="M651" s="79"/>
      <c r="R651" s="79"/>
      <c r="S651" s="79"/>
      <c r="V651" s="79"/>
      <c r="W651" s="79"/>
      <c r="Z651" s="130"/>
      <c r="AB651" s="106"/>
    </row>
    <row r="652">
      <c r="C652" s="79"/>
      <c r="D652" s="79"/>
      <c r="E652" s="79"/>
      <c r="M652" s="79"/>
      <c r="R652" s="79"/>
      <c r="S652" s="79"/>
      <c r="V652" s="79"/>
      <c r="W652" s="79"/>
      <c r="Z652" s="130"/>
      <c r="AB652" s="106"/>
    </row>
    <row r="653">
      <c r="C653" s="79"/>
      <c r="D653" s="79"/>
      <c r="E653" s="79"/>
      <c r="M653" s="79"/>
      <c r="R653" s="79"/>
      <c r="S653" s="79"/>
      <c r="V653" s="79"/>
      <c r="W653" s="79"/>
      <c r="Z653" s="130"/>
      <c r="AB653" s="106"/>
    </row>
    <row r="654">
      <c r="C654" s="79"/>
      <c r="D654" s="79"/>
      <c r="E654" s="79"/>
      <c r="M654" s="79"/>
      <c r="R654" s="79"/>
      <c r="S654" s="79"/>
      <c r="V654" s="79"/>
      <c r="W654" s="79"/>
      <c r="Z654" s="130"/>
      <c r="AB654" s="106"/>
    </row>
    <row r="655">
      <c r="C655" s="79"/>
      <c r="D655" s="79"/>
      <c r="E655" s="79"/>
      <c r="M655" s="79"/>
      <c r="R655" s="79"/>
      <c r="S655" s="79"/>
      <c r="V655" s="79"/>
      <c r="W655" s="79"/>
      <c r="Z655" s="130"/>
      <c r="AB655" s="106"/>
    </row>
    <row r="656">
      <c r="C656" s="79"/>
      <c r="D656" s="79"/>
      <c r="E656" s="79"/>
      <c r="M656" s="79"/>
      <c r="R656" s="79"/>
      <c r="S656" s="79"/>
      <c r="V656" s="79"/>
      <c r="W656" s="79"/>
      <c r="Z656" s="130"/>
      <c r="AB656" s="106"/>
    </row>
    <row r="657">
      <c r="C657" s="79"/>
      <c r="D657" s="79"/>
      <c r="E657" s="79"/>
      <c r="M657" s="79"/>
      <c r="R657" s="79"/>
      <c r="S657" s="79"/>
      <c r="V657" s="79"/>
      <c r="W657" s="79"/>
      <c r="Z657" s="130"/>
      <c r="AB657" s="106"/>
    </row>
    <row r="658">
      <c r="C658" s="79"/>
      <c r="D658" s="79"/>
      <c r="E658" s="79"/>
      <c r="M658" s="79"/>
      <c r="R658" s="79"/>
      <c r="S658" s="79"/>
      <c r="V658" s="79"/>
      <c r="W658" s="79"/>
      <c r="Z658" s="130"/>
      <c r="AB658" s="106"/>
    </row>
    <row r="659">
      <c r="C659" s="79"/>
      <c r="D659" s="79"/>
      <c r="E659" s="79"/>
      <c r="M659" s="79"/>
      <c r="R659" s="79"/>
      <c r="S659" s="79"/>
      <c r="V659" s="79"/>
      <c r="W659" s="79"/>
      <c r="Z659" s="130"/>
      <c r="AB659" s="106"/>
    </row>
    <row r="660">
      <c r="C660" s="79"/>
      <c r="D660" s="79"/>
      <c r="E660" s="79"/>
      <c r="M660" s="79"/>
      <c r="R660" s="79"/>
      <c r="S660" s="79"/>
      <c r="V660" s="79"/>
      <c r="W660" s="79"/>
      <c r="Z660" s="130"/>
      <c r="AB660" s="106"/>
    </row>
    <row r="661">
      <c r="C661" s="79"/>
      <c r="D661" s="79"/>
      <c r="E661" s="79"/>
      <c r="M661" s="79"/>
      <c r="R661" s="79"/>
      <c r="S661" s="79"/>
      <c r="V661" s="79"/>
      <c r="W661" s="79"/>
      <c r="Z661" s="130"/>
      <c r="AB661" s="106"/>
    </row>
    <row r="662">
      <c r="C662" s="79"/>
      <c r="D662" s="79"/>
      <c r="E662" s="79"/>
      <c r="M662" s="79"/>
      <c r="R662" s="79"/>
      <c r="S662" s="79"/>
      <c r="V662" s="79"/>
      <c r="W662" s="79"/>
      <c r="Z662" s="130"/>
      <c r="AB662" s="106"/>
    </row>
    <row r="663">
      <c r="C663" s="79"/>
      <c r="D663" s="79"/>
      <c r="E663" s="79"/>
      <c r="M663" s="79"/>
      <c r="R663" s="79"/>
      <c r="S663" s="79"/>
      <c r="V663" s="79"/>
      <c r="W663" s="79"/>
      <c r="Z663" s="130"/>
      <c r="AB663" s="106"/>
    </row>
    <row r="664">
      <c r="C664" s="79"/>
      <c r="D664" s="79"/>
      <c r="E664" s="79"/>
      <c r="M664" s="79"/>
      <c r="R664" s="79"/>
      <c r="S664" s="79"/>
      <c r="V664" s="79"/>
      <c r="W664" s="79"/>
      <c r="Z664" s="130"/>
      <c r="AB664" s="106"/>
    </row>
    <row r="665">
      <c r="C665" s="79"/>
      <c r="D665" s="79"/>
      <c r="E665" s="79"/>
      <c r="M665" s="79"/>
      <c r="R665" s="79"/>
      <c r="S665" s="79"/>
      <c r="V665" s="79"/>
      <c r="W665" s="79"/>
      <c r="Z665" s="130"/>
      <c r="AB665" s="106"/>
    </row>
    <row r="666">
      <c r="C666" s="79"/>
      <c r="D666" s="79"/>
      <c r="E666" s="79"/>
      <c r="M666" s="79"/>
      <c r="R666" s="79"/>
      <c r="S666" s="79"/>
      <c r="V666" s="79"/>
      <c r="W666" s="79"/>
      <c r="Z666" s="130"/>
      <c r="AB666" s="106"/>
    </row>
    <row r="667">
      <c r="C667" s="79"/>
      <c r="D667" s="79"/>
      <c r="E667" s="79"/>
      <c r="M667" s="79"/>
      <c r="R667" s="79"/>
      <c r="S667" s="79"/>
      <c r="V667" s="79"/>
      <c r="W667" s="79"/>
      <c r="Z667" s="130"/>
      <c r="AB667" s="106"/>
    </row>
    <row r="668">
      <c r="C668" s="79"/>
      <c r="D668" s="79"/>
      <c r="E668" s="79"/>
      <c r="M668" s="79"/>
      <c r="R668" s="79"/>
      <c r="S668" s="79"/>
      <c r="V668" s="79"/>
      <c r="W668" s="79"/>
      <c r="Z668" s="130"/>
      <c r="AB668" s="106"/>
    </row>
    <row r="669">
      <c r="C669" s="79"/>
      <c r="D669" s="79"/>
      <c r="E669" s="79"/>
      <c r="M669" s="79"/>
      <c r="R669" s="79"/>
      <c r="S669" s="79"/>
      <c r="V669" s="79"/>
      <c r="W669" s="79"/>
      <c r="Z669" s="130"/>
      <c r="AB669" s="106"/>
    </row>
    <row r="670">
      <c r="C670" s="79"/>
      <c r="D670" s="79"/>
      <c r="E670" s="79"/>
      <c r="M670" s="79"/>
      <c r="R670" s="79"/>
      <c r="S670" s="79"/>
      <c r="V670" s="79"/>
      <c r="W670" s="79"/>
      <c r="Z670" s="130"/>
      <c r="AB670" s="106"/>
    </row>
    <row r="671">
      <c r="C671" s="79"/>
      <c r="D671" s="79"/>
      <c r="E671" s="79"/>
      <c r="M671" s="79"/>
      <c r="R671" s="79"/>
      <c r="S671" s="79"/>
      <c r="V671" s="79"/>
      <c r="W671" s="79"/>
      <c r="Z671" s="130"/>
      <c r="AB671" s="106"/>
    </row>
    <row r="672">
      <c r="C672" s="79"/>
      <c r="D672" s="79"/>
      <c r="E672" s="79"/>
      <c r="M672" s="79"/>
      <c r="R672" s="79"/>
      <c r="S672" s="79"/>
      <c r="V672" s="79"/>
      <c r="W672" s="79"/>
      <c r="Z672" s="130"/>
      <c r="AB672" s="106"/>
    </row>
    <row r="673">
      <c r="C673" s="79"/>
      <c r="D673" s="79"/>
      <c r="E673" s="79"/>
      <c r="M673" s="79"/>
      <c r="R673" s="79"/>
      <c r="S673" s="79"/>
      <c r="V673" s="79"/>
      <c r="W673" s="79"/>
      <c r="Z673" s="130"/>
      <c r="AB673" s="106"/>
    </row>
    <row r="674">
      <c r="C674" s="79"/>
      <c r="D674" s="79"/>
      <c r="E674" s="79"/>
      <c r="M674" s="79"/>
      <c r="R674" s="79"/>
      <c r="S674" s="79"/>
      <c r="V674" s="79"/>
      <c r="W674" s="79"/>
      <c r="Z674" s="130"/>
      <c r="AB674" s="106"/>
    </row>
    <row r="675">
      <c r="C675" s="79"/>
      <c r="D675" s="79"/>
      <c r="E675" s="79"/>
      <c r="M675" s="79"/>
      <c r="R675" s="79"/>
      <c r="S675" s="79"/>
      <c r="V675" s="79"/>
      <c r="W675" s="79"/>
      <c r="Z675" s="130"/>
      <c r="AB675" s="106"/>
    </row>
    <row r="676">
      <c r="C676" s="79"/>
      <c r="D676" s="79"/>
      <c r="E676" s="79"/>
      <c r="M676" s="79"/>
      <c r="R676" s="79"/>
      <c r="S676" s="79"/>
      <c r="V676" s="79"/>
      <c r="W676" s="79"/>
      <c r="Z676" s="130"/>
      <c r="AB676" s="106"/>
    </row>
    <row r="677">
      <c r="C677" s="79"/>
      <c r="D677" s="79"/>
      <c r="E677" s="79"/>
      <c r="M677" s="79"/>
      <c r="R677" s="79"/>
      <c r="S677" s="79"/>
      <c r="V677" s="79"/>
      <c r="W677" s="79"/>
      <c r="Z677" s="130"/>
      <c r="AB677" s="106"/>
    </row>
    <row r="678">
      <c r="C678" s="79"/>
      <c r="D678" s="79"/>
      <c r="E678" s="79"/>
      <c r="M678" s="79"/>
      <c r="R678" s="79"/>
      <c r="S678" s="79"/>
      <c r="V678" s="79"/>
      <c r="W678" s="79"/>
      <c r="Z678" s="130"/>
      <c r="AB678" s="106"/>
    </row>
    <row r="679">
      <c r="C679" s="79"/>
      <c r="D679" s="79"/>
      <c r="E679" s="79"/>
      <c r="M679" s="79"/>
      <c r="R679" s="79"/>
      <c r="S679" s="79"/>
      <c r="V679" s="79"/>
      <c r="W679" s="79"/>
      <c r="Z679" s="130"/>
      <c r="AB679" s="106"/>
    </row>
    <row r="680">
      <c r="C680" s="79"/>
      <c r="D680" s="79"/>
      <c r="E680" s="79"/>
      <c r="M680" s="79"/>
      <c r="R680" s="79"/>
      <c r="S680" s="79"/>
      <c r="V680" s="79"/>
      <c r="W680" s="79"/>
      <c r="Z680" s="130"/>
      <c r="AB680" s="106"/>
    </row>
    <row r="681">
      <c r="C681" s="79"/>
      <c r="D681" s="79"/>
      <c r="E681" s="79"/>
      <c r="M681" s="79"/>
      <c r="R681" s="79"/>
      <c r="S681" s="79"/>
      <c r="V681" s="79"/>
      <c r="W681" s="79"/>
      <c r="Z681" s="130"/>
      <c r="AB681" s="106"/>
    </row>
    <row r="682">
      <c r="C682" s="79"/>
      <c r="D682" s="79"/>
      <c r="E682" s="79"/>
      <c r="M682" s="79"/>
      <c r="R682" s="79"/>
      <c r="S682" s="79"/>
      <c r="V682" s="79"/>
      <c r="W682" s="79"/>
      <c r="Z682" s="130"/>
      <c r="AB682" s="106"/>
    </row>
    <row r="683">
      <c r="C683" s="79"/>
      <c r="D683" s="79"/>
      <c r="E683" s="79"/>
      <c r="M683" s="79"/>
      <c r="R683" s="79"/>
      <c r="S683" s="79"/>
      <c r="V683" s="79"/>
      <c r="W683" s="79"/>
      <c r="Z683" s="130"/>
      <c r="AB683" s="106"/>
    </row>
    <row r="684">
      <c r="C684" s="79"/>
      <c r="D684" s="79"/>
      <c r="E684" s="79"/>
      <c r="M684" s="79"/>
      <c r="R684" s="79"/>
      <c r="S684" s="79"/>
      <c r="V684" s="79"/>
      <c r="W684" s="79"/>
      <c r="Z684" s="130"/>
      <c r="AB684" s="106"/>
    </row>
    <row r="685">
      <c r="C685" s="79"/>
      <c r="D685" s="79"/>
      <c r="E685" s="79"/>
      <c r="M685" s="79"/>
      <c r="R685" s="79"/>
      <c r="S685" s="79"/>
      <c r="V685" s="79"/>
      <c r="W685" s="79"/>
      <c r="Z685" s="130"/>
      <c r="AB685" s="106"/>
    </row>
    <row r="686">
      <c r="C686" s="79"/>
      <c r="D686" s="79"/>
      <c r="E686" s="79"/>
      <c r="M686" s="79"/>
      <c r="R686" s="79"/>
      <c r="S686" s="79"/>
      <c r="V686" s="79"/>
      <c r="W686" s="79"/>
      <c r="Z686" s="130"/>
      <c r="AB686" s="106"/>
    </row>
    <row r="687">
      <c r="C687" s="79"/>
      <c r="D687" s="79"/>
      <c r="E687" s="79"/>
      <c r="M687" s="79"/>
      <c r="R687" s="79"/>
      <c r="S687" s="79"/>
      <c r="V687" s="79"/>
      <c r="W687" s="79"/>
      <c r="Z687" s="130"/>
      <c r="AB687" s="106"/>
    </row>
    <row r="688">
      <c r="C688" s="79"/>
      <c r="D688" s="79"/>
      <c r="E688" s="79"/>
      <c r="M688" s="79"/>
      <c r="R688" s="79"/>
      <c r="S688" s="79"/>
      <c r="V688" s="79"/>
      <c r="W688" s="79"/>
      <c r="Z688" s="130"/>
      <c r="AB688" s="106"/>
    </row>
    <row r="689">
      <c r="C689" s="79"/>
      <c r="D689" s="79"/>
      <c r="E689" s="79"/>
      <c r="M689" s="79"/>
      <c r="R689" s="79"/>
      <c r="S689" s="79"/>
      <c r="V689" s="79"/>
      <c r="W689" s="79"/>
      <c r="Z689" s="130"/>
      <c r="AB689" s="106"/>
    </row>
    <row r="690">
      <c r="C690" s="79"/>
      <c r="D690" s="79"/>
      <c r="E690" s="79"/>
      <c r="M690" s="79"/>
      <c r="R690" s="79"/>
      <c r="S690" s="79"/>
      <c r="V690" s="79"/>
      <c r="W690" s="79"/>
      <c r="Z690" s="130"/>
      <c r="AB690" s="106"/>
    </row>
    <row r="691">
      <c r="C691" s="79"/>
      <c r="D691" s="79"/>
      <c r="E691" s="79"/>
      <c r="M691" s="79"/>
      <c r="R691" s="79"/>
      <c r="S691" s="79"/>
      <c r="V691" s="79"/>
      <c r="W691" s="79"/>
      <c r="Z691" s="130"/>
      <c r="AB691" s="106"/>
    </row>
    <row r="692">
      <c r="C692" s="79"/>
      <c r="D692" s="79"/>
      <c r="E692" s="79"/>
      <c r="M692" s="79"/>
      <c r="R692" s="79"/>
      <c r="S692" s="79"/>
      <c r="V692" s="79"/>
      <c r="W692" s="79"/>
      <c r="Z692" s="130"/>
      <c r="AB692" s="106"/>
    </row>
    <row r="693">
      <c r="C693" s="79"/>
      <c r="D693" s="79"/>
      <c r="E693" s="79"/>
      <c r="M693" s="79"/>
      <c r="R693" s="79"/>
      <c r="S693" s="79"/>
      <c r="V693" s="79"/>
      <c r="W693" s="79"/>
      <c r="Z693" s="130"/>
      <c r="AB693" s="106"/>
    </row>
    <row r="694">
      <c r="C694" s="79"/>
      <c r="D694" s="79"/>
      <c r="E694" s="79"/>
      <c r="M694" s="79"/>
      <c r="R694" s="79"/>
      <c r="S694" s="79"/>
      <c r="V694" s="79"/>
      <c r="W694" s="79"/>
      <c r="Z694" s="130"/>
      <c r="AB694" s="106"/>
    </row>
    <row r="695">
      <c r="C695" s="79"/>
      <c r="D695" s="79"/>
      <c r="E695" s="79"/>
      <c r="M695" s="79"/>
      <c r="R695" s="79"/>
      <c r="S695" s="79"/>
      <c r="V695" s="79"/>
      <c r="W695" s="79"/>
      <c r="Z695" s="130"/>
      <c r="AB695" s="106"/>
    </row>
    <row r="696">
      <c r="C696" s="79"/>
      <c r="D696" s="79"/>
      <c r="E696" s="79"/>
      <c r="M696" s="79"/>
      <c r="R696" s="79"/>
      <c r="S696" s="79"/>
      <c r="V696" s="79"/>
      <c r="W696" s="79"/>
      <c r="Z696" s="130"/>
      <c r="AB696" s="106"/>
    </row>
    <row r="697">
      <c r="C697" s="79"/>
      <c r="D697" s="79"/>
      <c r="E697" s="79"/>
      <c r="M697" s="79"/>
      <c r="R697" s="79"/>
      <c r="S697" s="79"/>
      <c r="V697" s="79"/>
      <c r="W697" s="79"/>
      <c r="Z697" s="130"/>
      <c r="AB697" s="106"/>
    </row>
    <row r="698">
      <c r="C698" s="79"/>
      <c r="D698" s="79"/>
      <c r="E698" s="79"/>
      <c r="M698" s="79"/>
      <c r="R698" s="79"/>
      <c r="S698" s="79"/>
      <c r="V698" s="79"/>
      <c r="W698" s="79"/>
      <c r="Z698" s="130"/>
      <c r="AB698" s="106"/>
    </row>
    <row r="699">
      <c r="C699" s="79"/>
      <c r="D699" s="79"/>
      <c r="E699" s="79"/>
      <c r="M699" s="79"/>
      <c r="R699" s="79"/>
      <c r="S699" s="79"/>
      <c r="V699" s="79"/>
      <c r="W699" s="79"/>
      <c r="Z699" s="130"/>
      <c r="AB699" s="106"/>
    </row>
    <row r="700">
      <c r="C700" s="79"/>
      <c r="D700" s="79"/>
      <c r="E700" s="79"/>
      <c r="M700" s="79"/>
      <c r="R700" s="79"/>
      <c r="S700" s="79"/>
      <c r="V700" s="79"/>
      <c r="W700" s="79"/>
      <c r="Z700" s="130"/>
      <c r="AB700" s="106"/>
    </row>
    <row r="701">
      <c r="C701" s="79"/>
      <c r="D701" s="79"/>
      <c r="E701" s="79"/>
      <c r="M701" s="79"/>
      <c r="R701" s="79"/>
      <c r="S701" s="79"/>
      <c r="V701" s="79"/>
      <c r="W701" s="79"/>
      <c r="Z701" s="130"/>
      <c r="AB701" s="106"/>
    </row>
    <row r="702">
      <c r="C702" s="79"/>
      <c r="D702" s="79"/>
      <c r="E702" s="79"/>
      <c r="M702" s="79"/>
      <c r="R702" s="79"/>
      <c r="S702" s="79"/>
      <c r="V702" s="79"/>
      <c r="W702" s="79"/>
      <c r="Z702" s="130"/>
      <c r="AB702" s="106"/>
    </row>
    <row r="703">
      <c r="C703" s="79"/>
      <c r="D703" s="79"/>
      <c r="E703" s="79"/>
      <c r="M703" s="79"/>
      <c r="R703" s="79"/>
      <c r="S703" s="79"/>
      <c r="V703" s="79"/>
      <c r="W703" s="79"/>
      <c r="Z703" s="130"/>
      <c r="AB703" s="106"/>
    </row>
    <row r="704">
      <c r="C704" s="79"/>
      <c r="D704" s="79"/>
      <c r="E704" s="79"/>
      <c r="M704" s="79"/>
      <c r="R704" s="79"/>
      <c r="S704" s="79"/>
      <c r="V704" s="79"/>
      <c r="W704" s="79"/>
      <c r="Z704" s="130"/>
      <c r="AB704" s="106"/>
    </row>
    <row r="705">
      <c r="C705" s="79"/>
      <c r="D705" s="79"/>
      <c r="E705" s="79"/>
      <c r="M705" s="79"/>
      <c r="R705" s="79"/>
      <c r="S705" s="79"/>
      <c r="V705" s="79"/>
      <c r="W705" s="79"/>
      <c r="Z705" s="130"/>
      <c r="AB705" s="106"/>
    </row>
    <row r="706">
      <c r="C706" s="79"/>
      <c r="D706" s="79"/>
      <c r="E706" s="79"/>
      <c r="M706" s="79"/>
      <c r="R706" s="79"/>
      <c r="S706" s="79"/>
      <c r="V706" s="79"/>
      <c r="W706" s="79"/>
      <c r="Z706" s="130"/>
      <c r="AB706" s="106"/>
    </row>
    <row r="707">
      <c r="C707" s="79"/>
      <c r="D707" s="79"/>
      <c r="E707" s="79"/>
      <c r="M707" s="79"/>
      <c r="R707" s="79"/>
      <c r="S707" s="79"/>
      <c r="V707" s="79"/>
      <c r="W707" s="79"/>
      <c r="Z707" s="130"/>
      <c r="AB707" s="106"/>
    </row>
    <row r="708">
      <c r="C708" s="79"/>
      <c r="D708" s="79"/>
      <c r="E708" s="79"/>
      <c r="M708" s="79"/>
      <c r="R708" s="79"/>
      <c r="S708" s="79"/>
      <c r="V708" s="79"/>
      <c r="W708" s="79"/>
      <c r="Z708" s="130"/>
      <c r="AB708" s="106"/>
    </row>
    <row r="709">
      <c r="C709" s="79"/>
      <c r="D709" s="79"/>
      <c r="E709" s="79"/>
      <c r="M709" s="79"/>
      <c r="R709" s="79"/>
      <c r="S709" s="79"/>
      <c r="V709" s="79"/>
      <c r="W709" s="79"/>
      <c r="Z709" s="130"/>
      <c r="AB709" s="106"/>
    </row>
    <row r="710">
      <c r="C710" s="79"/>
      <c r="D710" s="79"/>
      <c r="E710" s="79"/>
      <c r="M710" s="79"/>
      <c r="R710" s="79"/>
      <c r="S710" s="79"/>
      <c r="V710" s="79"/>
      <c r="W710" s="79"/>
      <c r="Z710" s="130"/>
      <c r="AB710" s="106"/>
    </row>
    <row r="711">
      <c r="C711" s="79"/>
      <c r="D711" s="79"/>
      <c r="E711" s="79"/>
      <c r="M711" s="79"/>
      <c r="R711" s="79"/>
      <c r="S711" s="79"/>
      <c r="V711" s="79"/>
      <c r="W711" s="79"/>
      <c r="Z711" s="130"/>
      <c r="AB711" s="106"/>
    </row>
    <row r="712">
      <c r="C712" s="79"/>
      <c r="D712" s="79"/>
      <c r="E712" s="79"/>
      <c r="M712" s="79"/>
      <c r="R712" s="79"/>
      <c r="S712" s="79"/>
      <c r="V712" s="79"/>
      <c r="W712" s="79"/>
      <c r="Z712" s="130"/>
      <c r="AB712" s="106"/>
    </row>
    <row r="713">
      <c r="C713" s="79"/>
      <c r="D713" s="79"/>
      <c r="E713" s="79"/>
      <c r="M713" s="79"/>
      <c r="R713" s="79"/>
      <c r="S713" s="79"/>
      <c r="V713" s="79"/>
      <c r="W713" s="79"/>
      <c r="Z713" s="130"/>
      <c r="AB713" s="106"/>
    </row>
    <row r="714">
      <c r="C714" s="79"/>
      <c r="D714" s="79"/>
      <c r="E714" s="79"/>
      <c r="M714" s="79"/>
      <c r="R714" s="79"/>
      <c r="S714" s="79"/>
      <c r="V714" s="79"/>
      <c r="W714" s="79"/>
      <c r="Z714" s="130"/>
      <c r="AB714" s="106"/>
    </row>
    <row r="715">
      <c r="C715" s="79"/>
      <c r="D715" s="79"/>
      <c r="E715" s="79"/>
      <c r="M715" s="79"/>
      <c r="R715" s="79"/>
      <c r="S715" s="79"/>
      <c r="V715" s="79"/>
      <c r="W715" s="79"/>
      <c r="Z715" s="130"/>
      <c r="AB715" s="106"/>
    </row>
    <row r="716">
      <c r="C716" s="79"/>
      <c r="D716" s="79"/>
      <c r="E716" s="79"/>
      <c r="M716" s="79"/>
      <c r="R716" s="79"/>
      <c r="S716" s="79"/>
      <c r="V716" s="79"/>
      <c r="W716" s="79"/>
      <c r="Z716" s="130"/>
      <c r="AB716" s="106"/>
    </row>
    <row r="717">
      <c r="C717" s="79"/>
      <c r="D717" s="79"/>
      <c r="E717" s="79"/>
      <c r="M717" s="79"/>
      <c r="R717" s="79"/>
      <c r="S717" s="79"/>
      <c r="V717" s="79"/>
      <c r="W717" s="79"/>
      <c r="Z717" s="130"/>
      <c r="AB717" s="106"/>
    </row>
    <row r="718">
      <c r="C718" s="79"/>
      <c r="D718" s="79"/>
      <c r="E718" s="79"/>
      <c r="M718" s="79"/>
      <c r="R718" s="79"/>
      <c r="S718" s="79"/>
      <c r="V718" s="79"/>
      <c r="W718" s="79"/>
      <c r="Z718" s="130"/>
      <c r="AB718" s="106"/>
    </row>
    <row r="719">
      <c r="C719" s="79"/>
      <c r="D719" s="79"/>
      <c r="E719" s="79"/>
      <c r="M719" s="79"/>
      <c r="R719" s="79"/>
      <c r="S719" s="79"/>
      <c r="V719" s="79"/>
      <c r="W719" s="79"/>
      <c r="Z719" s="130"/>
      <c r="AB719" s="106"/>
    </row>
    <row r="720">
      <c r="C720" s="79"/>
      <c r="D720" s="79"/>
      <c r="E720" s="79"/>
      <c r="M720" s="79"/>
      <c r="R720" s="79"/>
      <c r="S720" s="79"/>
      <c r="V720" s="79"/>
      <c r="W720" s="79"/>
      <c r="Z720" s="130"/>
      <c r="AB720" s="106"/>
    </row>
    <row r="721">
      <c r="C721" s="79"/>
      <c r="D721" s="79"/>
      <c r="E721" s="79"/>
      <c r="M721" s="79"/>
      <c r="R721" s="79"/>
      <c r="S721" s="79"/>
      <c r="V721" s="79"/>
      <c r="W721" s="79"/>
      <c r="Z721" s="130"/>
      <c r="AB721" s="106"/>
    </row>
    <row r="722">
      <c r="C722" s="79"/>
      <c r="D722" s="79"/>
      <c r="E722" s="79"/>
      <c r="M722" s="79"/>
      <c r="R722" s="79"/>
      <c r="S722" s="79"/>
      <c r="V722" s="79"/>
      <c r="W722" s="79"/>
      <c r="Z722" s="130"/>
      <c r="AB722" s="106"/>
    </row>
    <row r="723">
      <c r="C723" s="79"/>
      <c r="D723" s="79"/>
      <c r="E723" s="79"/>
      <c r="M723" s="79"/>
      <c r="R723" s="79"/>
      <c r="S723" s="79"/>
      <c r="V723" s="79"/>
      <c r="W723" s="79"/>
      <c r="Z723" s="130"/>
      <c r="AB723" s="106"/>
    </row>
    <row r="724">
      <c r="C724" s="79"/>
      <c r="D724" s="79"/>
      <c r="E724" s="79"/>
      <c r="M724" s="79"/>
      <c r="R724" s="79"/>
      <c r="S724" s="79"/>
      <c r="V724" s="79"/>
      <c r="W724" s="79"/>
      <c r="Z724" s="130"/>
      <c r="AB724" s="106"/>
    </row>
    <row r="725">
      <c r="C725" s="79"/>
      <c r="D725" s="79"/>
      <c r="E725" s="79"/>
      <c r="M725" s="79"/>
      <c r="R725" s="79"/>
      <c r="S725" s="79"/>
      <c r="V725" s="79"/>
      <c r="W725" s="79"/>
      <c r="Z725" s="130"/>
      <c r="AB725" s="106"/>
    </row>
    <row r="726">
      <c r="C726" s="79"/>
      <c r="D726" s="79"/>
      <c r="E726" s="79"/>
      <c r="M726" s="79"/>
      <c r="R726" s="79"/>
      <c r="S726" s="79"/>
      <c r="V726" s="79"/>
      <c r="W726" s="79"/>
      <c r="Z726" s="130"/>
      <c r="AB726" s="106"/>
    </row>
    <row r="727">
      <c r="C727" s="79"/>
      <c r="D727" s="79"/>
      <c r="E727" s="79"/>
      <c r="M727" s="79"/>
      <c r="R727" s="79"/>
      <c r="S727" s="79"/>
      <c r="V727" s="79"/>
      <c r="W727" s="79"/>
      <c r="Z727" s="130"/>
      <c r="AB727" s="106"/>
    </row>
    <row r="728">
      <c r="C728" s="79"/>
      <c r="D728" s="79"/>
      <c r="E728" s="79"/>
      <c r="M728" s="79"/>
      <c r="R728" s="79"/>
      <c r="S728" s="79"/>
      <c r="V728" s="79"/>
      <c r="W728" s="79"/>
      <c r="Z728" s="130"/>
      <c r="AB728" s="106"/>
    </row>
    <row r="729">
      <c r="C729" s="79"/>
      <c r="D729" s="79"/>
      <c r="E729" s="79"/>
      <c r="M729" s="79"/>
      <c r="R729" s="79"/>
      <c r="S729" s="79"/>
      <c r="V729" s="79"/>
      <c r="W729" s="79"/>
      <c r="Z729" s="130"/>
      <c r="AB729" s="106"/>
    </row>
    <row r="730">
      <c r="C730" s="79"/>
      <c r="D730" s="79"/>
      <c r="E730" s="79"/>
      <c r="M730" s="79"/>
      <c r="R730" s="79"/>
      <c r="S730" s="79"/>
      <c r="V730" s="79"/>
      <c r="W730" s="79"/>
      <c r="Z730" s="130"/>
      <c r="AB730" s="106"/>
    </row>
    <row r="731">
      <c r="C731" s="79"/>
      <c r="D731" s="79"/>
      <c r="E731" s="79"/>
      <c r="M731" s="79"/>
      <c r="R731" s="79"/>
      <c r="S731" s="79"/>
      <c r="V731" s="79"/>
      <c r="W731" s="79"/>
      <c r="Z731" s="130"/>
      <c r="AB731" s="106"/>
    </row>
    <row r="732">
      <c r="C732" s="79"/>
      <c r="D732" s="79"/>
      <c r="E732" s="79"/>
      <c r="M732" s="79"/>
      <c r="R732" s="79"/>
      <c r="S732" s="79"/>
      <c r="V732" s="79"/>
      <c r="W732" s="79"/>
      <c r="Z732" s="130"/>
      <c r="AB732" s="106"/>
    </row>
    <row r="733">
      <c r="C733" s="79"/>
      <c r="D733" s="79"/>
      <c r="E733" s="79"/>
      <c r="M733" s="79"/>
      <c r="R733" s="79"/>
      <c r="S733" s="79"/>
      <c r="V733" s="79"/>
      <c r="W733" s="79"/>
      <c r="Z733" s="130"/>
      <c r="AB733" s="106"/>
    </row>
    <row r="734">
      <c r="C734" s="79"/>
      <c r="D734" s="79"/>
      <c r="E734" s="79"/>
      <c r="M734" s="79"/>
      <c r="R734" s="79"/>
      <c r="S734" s="79"/>
      <c r="V734" s="79"/>
      <c r="W734" s="79"/>
      <c r="Z734" s="130"/>
      <c r="AB734" s="106"/>
    </row>
    <row r="735">
      <c r="C735" s="79"/>
      <c r="D735" s="79"/>
      <c r="E735" s="79"/>
      <c r="M735" s="79"/>
      <c r="R735" s="79"/>
      <c r="S735" s="79"/>
      <c r="V735" s="79"/>
      <c r="W735" s="79"/>
      <c r="Z735" s="130"/>
      <c r="AB735" s="106"/>
    </row>
    <row r="736">
      <c r="C736" s="79"/>
      <c r="D736" s="79"/>
      <c r="E736" s="79"/>
      <c r="M736" s="79"/>
      <c r="R736" s="79"/>
      <c r="S736" s="79"/>
      <c r="V736" s="79"/>
      <c r="W736" s="79"/>
      <c r="Z736" s="130"/>
      <c r="AB736" s="106"/>
    </row>
    <row r="737">
      <c r="C737" s="79"/>
      <c r="D737" s="79"/>
      <c r="E737" s="79"/>
      <c r="M737" s="79"/>
      <c r="R737" s="79"/>
      <c r="S737" s="79"/>
      <c r="V737" s="79"/>
      <c r="W737" s="79"/>
      <c r="Z737" s="130"/>
      <c r="AB737" s="106"/>
    </row>
    <row r="738">
      <c r="C738" s="79"/>
      <c r="D738" s="79"/>
      <c r="E738" s="79"/>
      <c r="M738" s="79"/>
      <c r="R738" s="79"/>
      <c r="S738" s="79"/>
      <c r="V738" s="79"/>
      <c r="W738" s="79"/>
      <c r="Z738" s="130"/>
      <c r="AB738" s="106"/>
    </row>
    <row r="739">
      <c r="C739" s="79"/>
      <c r="D739" s="79"/>
      <c r="E739" s="79"/>
      <c r="M739" s="79"/>
      <c r="R739" s="79"/>
      <c r="S739" s="79"/>
      <c r="V739" s="79"/>
      <c r="W739" s="79"/>
      <c r="Z739" s="130"/>
      <c r="AB739" s="106"/>
    </row>
    <row r="740">
      <c r="C740" s="79"/>
      <c r="D740" s="79"/>
      <c r="E740" s="79"/>
      <c r="M740" s="79"/>
      <c r="R740" s="79"/>
      <c r="S740" s="79"/>
      <c r="V740" s="79"/>
      <c r="W740" s="79"/>
      <c r="Z740" s="130"/>
      <c r="AB740" s="106"/>
    </row>
    <row r="741">
      <c r="C741" s="79"/>
      <c r="D741" s="79"/>
      <c r="E741" s="79"/>
      <c r="M741" s="79"/>
      <c r="R741" s="79"/>
      <c r="S741" s="79"/>
      <c r="V741" s="79"/>
      <c r="W741" s="79"/>
      <c r="Z741" s="130"/>
      <c r="AB741" s="106"/>
    </row>
    <row r="742">
      <c r="C742" s="79"/>
      <c r="D742" s="79"/>
      <c r="E742" s="79"/>
      <c r="M742" s="79"/>
      <c r="R742" s="79"/>
      <c r="S742" s="79"/>
      <c r="V742" s="79"/>
      <c r="W742" s="79"/>
      <c r="Z742" s="130"/>
      <c r="AB742" s="106"/>
    </row>
    <row r="743">
      <c r="C743" s="79"/>
      <c r="D743" s="79"/>
      <c r="E743" s="79"/>
      <c r="M743" s="79"/>
      <c r="R743" s="79"/>
      <c r="S743" s="79"/>
      <c r="V743" s="79"/>
      <c r="W743" s="79"/>
      <c r="Z743" s="130"/>
      <c r="AB743" s="106"/>
    </row>
    <row r="744">
      <c r="C744" s="79"/>
      <c r="D744" s="79"/>
      <c r="E744" s="79"/>
      <c r="M744" s="79"/>
      <c r="R744" s="79"/>
      <c r="S744" s="79"/>
      <c r="V744" s="79"/>
      <c r="W744" s="79"/>
      <c r="Z744" s="130"/>
      <c r="AB744" s="106"/>
    </row>
    <row r="745">
      <c r="C745" s="79"/>
      <c r="D745" s="79"/>
      <c r="E745" s="79"/>
      <c r="M745" s="79"/>
      <c r="R745" s="79"/>
      <c r="S745" s="79"/>
      <c r="V745" s="79"/>
      <c r="W745" s="79"/>
      <c r="Z745" s="130"/>
      <c r="AB745" s="106"/>
    </row>
    <row r="746">
      <c r="C746" s="79"/>
      <c r="D746" s="79"/>
      <c r="E746" s="79"/>
      <c r="M746" s="79"/>
      <c r="R746" s="79"/>
      <c r="S746" s="79"/>
      <c r="V746" s="79"/>
      <c r="W746" s="79"/>
      <c r="Z746" s="130"/>
      <c r="AB746" s="106"/>
    </row>
    <row r="747">
      <c r="C747" s="79"/>
      <c r="D747" s="79"/>
      <c r="E747" s="79"/>
      <c r="M747" s="79"/>
      <c r="R747" s="79"/>
      <c r="S747" s="79"/>
      <c r="V747" s="79"/>
      <c r="W747" s="79"/>
      <c r="Z747" s="130"/>
      <c r="AB747" s="106"/>
    </row>
    <row r="748">
      <c r="C748" s="79"/>
      <c r="D748" s="79"/>
      <c r="E748" s="79"/>
      <c r="M748" s="79"/>
      <c r="R748" s="79"/>
      <c r="S748" s="79"/>
      <c r="V748" s="79"/>
      <c r="W748" s="79"/>
      <c r="Z748" s="130"/>
      <c r="AB748" s="106"/>
    </row>
    <row r="749">
      <c r="C749" s="79"/>
      <c r="D749" s="79"/>
      <c r="E749" s="79"/>
      <c r="M749" s="79"/>
      <c r="R749" s="79"/>
      <c r="S749" s="79"/>
      <c r="V749" s="79"/>
      <c r="W749" s="79"/>
      <c r="Z749" s="130"/>
      <c r="AB749" s="106"/>
    </row>
    <row r="750">
      <c r="C750" s="79"/>
      <c r="D750" s="79"/>
      <c r="E750" s="79"/>
      <c r="M750" s="79"/>
      <c r="R750" s="79"/>
      <c r="S750" s="79"/>
      <c r="V750" s="79"/>
      <c r="W750" s="79"/>
      <c r="Z750" s="130"/>
      <c r="AB750" s="106"/>
    </row>
    <row r="751">
      <c r="C751" s="79"/>
      <c r="D751" s="79"/>
      <c r="E751" s="79"/>
      <c r="M751" s="79"/>
      <c r="R751" s="79"/>
      <c r="S751" s="79"/>
      <c r="V751" s="79"/>
      <c r="W751" s="79"/>
      <c r="Z751" s="130"/>
      <c r="AB751" s="106"/>
    </row>
    <row r="752">
      <c r="C752" s="79"/>
      <c r="D752" s="79"/>
      <c r="E752" s="79"/>
      <c r="M752" s="79"/>
      <c r="R752" s="79"/>
      <c r="S752" s="79"/>
      <c r="V752" s="79"/>
      <c r="W752" s="79"/>
      <c r="Z752" s="130"/>
      <c r="AB752" s="106"/>
    </row>
    <row r="753">
      <c r="C753" s="79"/>
      <c r="D753" s="79"/>
      <c r="E753" s="79"/>
      <c r="M753" s="79"/>
      <c r="R753" s="79"/>
      <c r="S753" s="79"/>
      <c r="V753" s="79"/>
      <c r="W753" s="79"/>
      <c r="Z753" s="130"/>
      <c r="AB753" s="106"/>
    </row>
    <row r="754">
      <c r="C754" s="79"/>
      <c r="D754" s="79"/>
      <c r="E754" s="79"/>
      <c r="M754" s="79"/>
      <c r="R754" s="79"/>
      <c r="S754" s="79"/>
      <c r="V754" s="79"/>
      <c r="W754" s="79"/>
      <c r="Z754" s="130"/>
      <c r="AB754" s="106"/>
    </row>
    <row r="755">
      <c r="C755" s="79"/>
      <c r="D755" s="79"/>
      <c r="E755" s="79"/>
      <c r="M755" s="79"/>
      <c r="R755" s="79"/>
      <c r="S755" s="79"/>
      <c r="V755" s="79"/>
      <c r="W755" s="79"/>
      <c r="Z755" s="130"/>
      <c r="AB755" s="106"/>
    </row>
    <row r="756">
      <c r="C756" s="79"/>
      <c r="D756" s="79"/>
      <c r="E756" s="79"/>
      <c r="M756" s="79"/>
      <c r="R756" s="79"/>
      <c r="S756" s="79"/>
      <c r="V756" s="79"/>
      <c r="W756" s="79"/>
      <c r="Z756" s="130"/>
      <c r="AB756" s="106"/>
    </row>
    <row r="757">
      <c r="C757" s="79"/>
      <c r="D757" s="79"/>
      <c r="E757" s="79"/>
      <c r="M757" s="79"/>
      <c r="R757" s="79"/>
      <c r="S757" s="79"/>
      <c r="V757" s="79"/>
      <c r="W757" s="79"/>
      <c r="Z757" s="130"/>
      <c r="AB757" s="106"/>
    </row>
    <row r="758">
      <c r="C758" s="79"/>
      <c r="D758" s="79"/>
      <c r="E758" s="79"/>
      <c r="M758" s="79"/>
      <c r="R758" s="79"/>
      <c r="S758" s="79"/>
      <c r="V758" s="79"/>
      <c r="W758" s="79"/>
      <c r="Z758" s="130"/>
      <c r="AB758" s="106"/>
    </row>
    <row r="759">
      <c r="C759" s="79"/>
      <c r="D759" s="79"/>
      <c r="E759" s="79"/>
      <c r="M759" s="79"/>
      <c r="R759" s="79"/>
      <c r="S759" s="79"/>
      <c r="V759" s="79"/>
      <c r="W759" s="79"/>
      <c r="Z759" s="130"/>
      <c r="AB759" s="106"/>
    </row>
    <row r="760">
      <c r="C760" s="79"/>
      <c r="D760" s="79"/>
      <c r="E760" s="79"/>
      <c r="M760" s="79"/>
      <c r="R760" s="79"/>
      <c r="S760" s="79"/>
      <c r="V760" s="79"/>
      <c r="W760" s="79"/>
      <c r="Z760" s="130"/>
      <c r="AB760" s="106"/>
    </row>
    <row r="761">
      <c r="C761" s="79"/>
      <c r="D761" s="79"/>
      <c r="E761" s="79"/>
      <c r="M761" s="79"/>
      <c r="R761" s="79"/>
      <c r="S761" s="79"/>
      <c r="V761" s="79"/>
      <c r="W761" s="79"/>
      <c r="Z761" s="130"/>
      <c r="AB761" s="106"/>
    </row>
    <row r="762">
      <c r="C762" s="79"/>
      <c r="D762" s="79"/>
      <c r="E762" s="79"/>
      <c r="M762" s="79"/>
      <c r="R762" s="79"/>
      <c r="S762" s="79"/>
      <c r="V762" s="79"/>
      <c r="W762" s="79"/>
      <c r="Z762" s="130"/>
      <c r="AB762" s="106"/>
    </row>
    <row r="763">
      <c r="C763" s="79"/>
      <c r="D763" s="79"/>
      <c r="E763" s="79"/>
      <c r="M763" s="79"/>
      <c r="R763" s="79"/>
      <c r="S763" s="79"/>
      <c r="V763" s="79"/>
      <c r="W763" s="79"/>
      <c r="Z763" s="130"/>
      <c r="AB763" s="106"/>
    </row>
    <row r="764">
      <c r="C764" s="79"/>
      <c r="D764" s="79"/>
      <c r="E764" s="79"/>
      <c r="M764" s="79"/>
      <c r="R764" s="79"/>
      <c r="S764" s="79"/>
      <c r="V764" s="79"/>
      <c r="W764" s="79"/>
      <c r="Z764" s="130"/>
      <c r="AB764" s="106"/>
    </row>
    <row r="765">
      <c r="C765" s="79"/>
      <c r="D765" s="79"/>
      <c r="E765" s="79"/>
      <c r="M765" s="79"/>
      <c r="R765" s="79"/>
      <c r="S765" s="79"/>
      <c r="V765" s="79"/>
      <c r="W765" s="79"/>
      <c r="Z765" s="130"/>
      <c r="AB765" s="106"/>
    </row>
    <row r="766">
      <c r="C766" s="79"/>
      <c r="D766" s="79"/>
      <c r="E766" s="79"/>
      <c r="M766" s="79"/>
      <c r="R766" s="79"/>
      <c r="S766" s="79"/>
      <c r="V766" s="79"/>
      <c r="W766" s="79"/>
      <c r="Z766" s="130"/>
      <c r="AB766" s="106"/>
    </row>
    <row r="767">
      <c r="C767" s="79"/>
      <c r="D767" s="79"/>
      <c r="E767" s="79"/>
      <c r="M767" s="79"/>
      <c r="R767" s="79"/>
      <c r="S767" s="79"/>
      <c r="V767" s="79"/>
      <c r="W767" s="79"/>
      <c r="Z767" s="130"/>
      <c r="AB767" s="106"/>
    </row>
    <row r="768">
      <c r="C768" s="79"/>
      <c r="D768" s="79"/>
      <c r="E768" s="79"/>
      <c r="M768" s="79"/>
      <c r="R768" s="79"/>
      <c r="S768" s="79"/>
      <c r="V768" s="79"/>
      <c r="W768" s="79"/>
      <c r="Z768" s="130"/>
      <c r="AB768" s="106"/>
    </row>
    <row r="769">
      <c r="C769" s="79"/>
      <c r="D769" s="79"/>
      <c r="E769" s="79"/>
      <c r="M769" s="79"/>
      <c r="R769" s="79"/>
      <c r="S769" s="79"/>
      <c r="V769" s="79"/>
      <c r="W769" s="79"/>
      <c r="Z769" s="130"/>
      <c r="AB769" s="106"/>
    </row>
    <row r="770">
      <c r="C770" s="79"/>
      <c r="D770" s="79"/>
      <c r="E770" s="79"/>
      <c r="M770" s="79"/>
      <c r="R770" s="79"/>
      <c r="S770" s="79"/>
      <c r="V770" s="79"/>
      <c r="W770" s="79"/>
      <c r="Z770" s="130"/>
      <c r="AB770" s="106"/>
    </row>
    <row r="771">
      <c r="C771" s="79"/>
      <c r="D771" s="79"/>
      <c r="E771" s="79"/>
      <c r="M771" s="79"/>
      <c r="R771" s="79"/>
      <c r="S771" s="79"/>
      <c r="V771" s="79"/>
      <c r="W771" s="79"/>
      <c r="Z771" s="130"/>
      <c r="AB771" s="106"/>
    </row>
    <row r="772">
      <c r="C772" s="79"/>
      <c r="D772" s="79"/>
      <c r="E772" s="79"/>
      <c r="M772" s="79"/>
      <c r="R772" s="79"/>
      <c r="S772" s="79"/>
      <c r="V772" s="79"/>
      <c r="W772" s="79"/>
      <c r="Z772" s="130"/>
      <c r="AB772" s="106"/>
    </row>
    <row r="773">
      <c r="C773" s="79"/>
      <c r="D773" s="79"/>
      <c r="E773" s="79"/>
      <c r="M773" s="79"/>
      <c r="R773" s="79"/>
      <c r="S773" s="79"/>
      <c r="V773" s="79"/>
      <c r="W773" s="79"/>
      <c r="Z773" s="130"/>
      <c r="AB773" s="106"/>
    </row>
    <row r="774">
      <c r="C774" s="79"/>
      <c r="D774" s="79"/>
      <c r="E774" s="79"/>
      <c r="M774" s="79"/>
      <c r="R774" s="79"/>
      <c r="S774" s="79"/>
      <c r="V774" s="79"/>
      <c r="W774" s="79"/>
      <c r="Z774" s="130"/>
      <c r="AB774" s="106"/>
    </row>
    <row r="775">
      <c r="C775" s="79"/>
      <c r="D775" s="79"/>
      <c r="E775" s="79"/>
      <c r="M775" s="79"/>
      <c r="R775" s="79"/>
      <c r="S775" s="79"/>
      <c r="V775" s="79"/>
      <c r="W775" s="79"/>
      <c r="Z775" s="130"/>
      <c r="AB775" s="106"/>
    </row>
    <row r="776">
      <c r="C776" s="79"/>
      <c r="D776" s="79"/>
      <c r="E776" s="79"/>
      <c r="M776" s="79"/>
      <c r="R776" s="79"/>
      <c r="S776" s="79"/>
      <c r="V776" s="79"/>
      <c r="W776" s="79"/>
      <c r="Z776" s="130"/>
      <c r="AB776" s="106"/>
    </row>
    <row r="777">
      <c r="C777" s="79"/>
      <c r="D777" s="79"/>
      <c r="E777" s="79"/>
      <c r="M777" s="79"/>
      <c r="R777" s="79"/>
      <c r="S777" s="79"/>
      <c r="V777" s="79"/>
      <c r="W777" s="79"/>
      <c r="Z777" s="130"/>
      <c r="AB777" s="106"/>
    </row>
    <row r="778">
      <c r="C778" s="79"/>
      <c r="D778" s="79"/>
      <c r="E778" s="79"/>
      <c r="M778" s="79"/>
      <c r="R778" s="79"/>
      <c r="S778" s="79"/>
      <c r="V778" s="79"/>
      <c r="W778" s="79"/>
      <c r="Z778" s="130"/>
      <c r="AB778" s="106"/>
    </row>
    <row r="779">
      <c r="C779" s="79"/>
      <c r="D779" s="79"/>
      <c r="E779" s="79"/>
      <c r="M779" s="79"/>
      <c r="R779" s="79"/>
      <c r="S779" s="79"/>
      <c r="V779" s="79"/>
      <c r="W779" s="79"/>
      <c r="Z779" s="130"/>
      <c r="AB779" s="106"/>
    </row>
    <row r="780">
      <c r="C780" s="79"/>
      <c r="D780" s="79"/>
      <c r="E780" s="79"/>
      <c r="M780" s="79"/>
      <c r="R780" s="79"/>
      <c r="S780" s="79"/>
      <c r="V780" s="79"/>
      <c r="W780" s="79"/>
      <c r="Z780" s="130"/>
      <c r="AB780" s="106"/>
    </row>
    <row r="781">
      <c r="C781" s="79"/>
      <c r="D781" s="79"/>
      <c r="E781" s="79"/>
      <c r="M781" s="79"/>
      <c r="R781" s="79"/>
      <c r="S781" s="79"/>
      <c r="V781" s="79"/>
      <c r="W781" s="79"/>
      <c r="Z781" s="130"/>
      <c r="AB781" s="106"/>
    </row>
    <row r="782">
      <c r="C782" s="79"/>
      <c r="D782" s="79"/>
      <c r="E782" s="79"/>
      <c r="M782" s="79"/>
      <c r="R782" s="79"/>
      <c r="S782" s="79"/>
      <c r="V782" s="79"/>
      <c r="W782" s="79"/>
      <c r="Z782" s="130"/>
      <c r="AB782" s="106"/>
    </row>
    <row r="783">
      <c r="C783" s="79"/>
      <c r="D783" s="79"/>
      <c r="E783" s="79"/>
      <c r="M783" s="79"/>
      <c r="R783" s="79"/>
      <c r="S783" s="79"/>
      <c r="V783" s="79"/>
      <c r="W783" s="79"/>
      <c r="Z783" s="130"/>
      <c r="AB783" s="106"/>
    </row>
    <row r="784">
      <c r="C784" s="79"/>
      <c r="D784" s="79"/>
      <c r="E784" s="79"/>
      <c r="M784" s="79"/>
      <c r="R784" s="79"/>
      <c r="S784" s="79"/>
      <c r="V784" s="79"/>
      <c r="W784" s="79"/>
      <c r="Z784" s="130"/>
      <c r="AB784" s="106"/>
    </row>
    <row r="785">
      <c r="C785" s="79"/>
      <c r="D785" s="79"/>
      <c r="E785" s="79"/>
      <c r="M785" s="79"/>
      <c r="R785" s="79"/>
      <c r="S785" s="79"/>
      <c r="V785" s="79"/>
      <c r="W785" s="79"/>
      <c r="Z785" s="130"/>
      <c r="AB785" s="106"/>
    </row>
    <row r="786">
      <c r="C786" s="79"/>
      <c r="D786" s="79"/>
      <c r="E786" s="79"/>
      <c r="M786" s="79"/>
      <c r="R786" s="79"/>
      <c r="S786" s="79"/>
      <c r="V786" s="79"/>
      <c r="W786" s="79"/>
      <c r="Z786" s="130"/>
      <c r="AB786" s="106"/>
    </row>
    <row r="787">
      <c r="C787" s="79"/>
      <c r="D787" s="79"/>
      <c r="E787" s="79"/>
      <c r="M787" s="79"/>
      <c r="R787" s="79"/>
      <c r="S787" s="79"/>
      <c r="V787" s="79"/>
      <c r="W787" s="79"/>
      <c r="Z787" s="130"/>
      <c r="AB787" s="106"/>
    </row>
    <row r="788">
      <c r="C788" s="79"/>
      <c r="D788" s="79"/>
      <c r="E788" s="79"/>
      <c r="M788" s="79"/>
      <c r="R788" s="79"/>
      <c r="S788" s="79"/>
      <c r="V788" s="79"/>
      <c r="W788" s="79"/>
      <c r="Z788" s="130"/>
      <c r="AB788" s="106"/>
    </row>
    <row r="789">
      <c r="C789" s="79"/>
      <c r="D789" s="79"/>
      <c r="E789" s="79"/>
      <c r="M789" s="79"/>
      <c r="R789" s="79"/>
      <c r="S789" s="79"/>
      <c r="V789" s="79"/>
      <c r="W789" s="79"/>
      <c r="Z789" s="130"/>
      <c r="AB789" s="106"/>
    </row>
    <row r="790">
      <c r="C790" s="79"/>
      <c r="D790" s="79"/>
      <c r="E790" s="79"/>
      <c r="M790" s="79"/>
      <c r="R790" s="79"/>
      <c r="S790" s="79"/>
      <c r="V790" s="79"/>
      <c r="W790" s="79"/>
      <c r="Z790" s="130"/>
      <c r="AB790" s="106"/>
    </row>
    <row r="791">
      <c r="C791" s="79"/>
      <c r="D791" s="79"/>
      <c r="E791" s="79"/>
      <c r="M791" s="79"/>
      <c r="R791" s="79"/>
      <c r="S791" s="79"/>
      <c r="V791" s="79"/>
      <c r="W791" s="79"/>
      <c r="Z791" s="130"/>
      <c r="AB791" s="106"/>
    </row>
    <row r="792">
      <c r="C792" s="79"/>
      <c r="D792" s="79"/>
      <c r="E792" s="79"/>
      <c r="M792" s="79"/>
      <c r="R792" s="79"/>
      <c r="S792" s="79"/>
      <c r="V792" s="79"/>
      <c r="W792" s="79"/>
      <c r="Z792" s="130"/>
      <c r="AB792" s="106"/>
    </row>
    <row r="793">
      <c r="C793" s="79"/>
      <c r="D793" s="79"/>
      <c r="E793" s="79"/>
      <c r="M793" s="79"/>
      <c r="R793" s="79"/>
      <c r="S793" s="79"/>
      <c r="V793" s="79"/>
      <c r="W793" s="79"/>
      <c r="Z793" s="130"/>
      <c r="AB793" s="106"/>
    </row>
    <row r="794">
      <c r="C794" s="79"/>
      <c r="D794" s="79"/>
      <c r="E794" s="79"/>
      <c r="M794" s="79"/>
      <c r="R794" s="79"/>
      <c r="S794" s="79"/>
      <c r="V794" s="79"/>
      <c r="W794" s="79"/>
      <c r="Z794" s="130"/>
      <c r="AB794" s="106"/>
    </row>
    <row r="795">
      <c r="C795" s="79"/>
      <c r="D795" s="79"/>
      <c r="E795" s="79"/>
      <c r="M795" s="79"/>
      <c r="R795" s="79"/>
      <c r="S795" s="79"/>
      <c r="V795" s="79"/>
      <c r="W795" s="79"/>
      <c r="Z795" s="130"/>
      <c r="AB795" s="106"/>
    </row>
    <row r="796">
      <c r="C796" s="79"/>
      <c r="D796" s="79"/>
      <c r="E796" s="79"/>
      <c r="M796" s="79"/>
      <c r="R796" s="79"/>
      <c r="S796" s="79"/>
      <c r="V796" s="79"/>
      <c r="W796" s="79"/>
      <c r="Z796" s="130"/>
      <c r="AB796" s="106"/>
    </row>
    <row r="797">
      <c r="C797" s="79"/>
      <c r="D797" s="79"/>
      <c r="E797" s="79"/>
      <c r="M797" s="79"/>
      <c r="R797" s="79"/>
      <c r="S797" s="79"/>
      <c r="V797" s="79"/>
      <c r="W797" s="79"/>
      <c r="Z797" s="130"/>
      <c r="AB797" s="106"/>
    </row>
    <row r="798">
      <c r="C798" s="79"/>
      <c r="D798" s="79"/>
      <c r="E798" s="79"/>
      <c r="M798" s="79"/>
      <c r="R798" s="79"/>
      <c r="S798" s="79"/>
      <c r="V798" s="79"/>
      <c r="W798" s="79"/>
      <c r="Z798" s="130"/>
      <c r="AB798" s="106"/>
    </row>
    <row r="799">
      <c r="C799" s="79"/>
      <c r="D799" s="79"/>
      <c r="E799" s="79"/>
      <c r="M799" s="79"/>
      <c r="R799" s="79"/>
      <c r="S799" s="79"/>
      <c r="V799" s="79"/>
      <c r="W799" s="79"/>
      <c r="Z799" s="130"/>
      <c r="AB799" s="106"/>
    </row>
    <row r="800">
      <c r="C800" s="79"/>
      <c r="D800" s="79"/>
      <c r="E800" s="79"/>
      <c r="M800" s="79"/>
      <c r="R800" s="79"/>
      <c r="S800" s="79"/>
      <c r="V800" s="79"/>
      <c r="W800" s="79"/>
      <c r="Z800" s="130"/>
      <c r="AB800" s="106"/>
    </row>
    <row r="801">
      <c r="C801" s="79"/>
      <c r="D801" s="79"/>
      <c r="E801" s="79"/>
      <c r="M801" s="79"/>
      <c r="R801" s="79"/>
      <c r="S801" s="79"/>
      <c r="V801" s="79"/>
      <c r="W801" s="79"/>
      <c r="Z801" s="130"/>
      <c r="AB801" s="106"/>
    </row>
    <row r="802">
      <c r="C802" s="79"/>
      <c r="D802" s="79"/>
      <c r="E802" s="79"/>
      <c r="M802" s="79"/>
      <c r="R802" s="79"/>
      <c r="S802" s="79"/>
      <c r="V802" s="79"/>
      <c r="W802" s="79"/>
      <c r="Z802" s="130"/>
      <c r="AB802" s="106"/>
    </row>
    <row r="803">
      <c r="C803" s="79"/>
      <c r="D803" s="79"/>
      <c r="E803" s="79"/>
      <c r="M803" s="79"/>
      <c r="R803" s="79"/>
      <c r="S803" s="79"/>
      <c r="V803" s="79"/>
      <c r="W803" s="79"/>
      <c r="Z803" s="130"/>
      <c r="AB803" s="106"/>
    </row>
    <row r="804">
      <c r="C804" s="79"/>
      <c r="D804" s="79"/>
      <c r="E804" s="79"/>
      <c r="M804" s="79"/>
      <c r="R804" s="79"/>
      <c r="S804" s="79"/>
      <c r="V804" s="79"/>
      <c r="W804" s="79"/>
      <c r="Z804" s="130"/>
      <c r="AB804" s="106"/>
    </row>
    <row r="805">
      <c r="C805" s="79"/>
      <c r="D805" s="79"/>
      <c r="E805" s="79"/>
      <c r="M805" s="79"/>
      <c r="R805" s="79"/>
      <c r="S805" s="79"/>
      <c r="V805" s="79"/>
      <c r="W805" s="79"/>
      <c r="Z805" s="130"/>
      <c r="AB805" s="106"/>
    </row>
    <row r="806">
      <c r="C806" s="79"/>
      <c r="D806" s="79"/>
      <c r="E806" s="79"/>
      <c r="M806" s="79"/>
      <c r="R806" s="79"/>
      <c r="S806" s="79"/>
      <c r="V806" s="79"/>
      <c r="W806" s="79"/>
      <c r="Z806" s="130"/>
      <c r="AB806" s="106"/>
    </row>
    <row r="807">
      <c r="C807" s="79"/>
      <c r="D807" s="79"/>
      <c r="E807" s="79"/>
      <c r="M807" s="79"/>
      <c r="R807" s="79"/>
      <c r="S807" s="79"/>
      <c r="V807" s="79"/>
      <c r="W807" s="79"/>
      <c r="Z807" s="130"/>
      <c r="AB807" s="106"/>
    </row>
    <row r="808">
      <c r="C808" s="79"/>
      <c r="D808" s="79"/>
      <c r="E808" s="79"/>
      <c r="M808" s="79"/>
      <c r="R808" s="79"/>
      <c r="S808" s="79"/>
      <c r="V808" s="79"/>
      <c r="W808" s="79"/>
      <c r="Z808" s="130"/>
      <c r="AB808" s="106"/>
    </row>
    <row r="809">
      <c r="C809" s="79"/>
      <c r="D809" s="79"/>
      <c r="E809" s="79"/>
      <c r="M809" s="79"/>
      <c r="R809" s="79"/>
      <c r="S809" s="79"/>
      <c r="V809" s="79"/>
      <c r="W809" s="79"/>
      <c r="Z809" s="130"/>
      <c r="AB809" s="106"/>
    </row>
    <row r="810">
      <c r="C810" s="79"/>
      <c r="D810" s="79"/>
      <c r="E810" s="79"/>
      <c r="M810" s="79"/>
      <c r="R810" s="79"/>
      <c r="S810" s="79"/>
      <c r="V810" s="79"/>
      <c r="W810" s="79"/>
      <c r="Z810" s="130"/>
      <c r="AB810" s="106"/>
    </row>
    <row r="811">
      <c r="C811" s="79"/>
      <c r="D811" s="79"/>
      <c r="E811" s="79"/>
      <c r="M811" s="79"/>
      <c r="R811" s="79"/>
      <c r="S811" s="79"/>
      <c r="V811" s="79"/>
      <c r="W811" s="79"/>
      <c r="Z811" s="130"/>
      <c r="AB811" s="106"/>
    </row>
    <row r="812">
      <c r="C812" s="79"/>
      <c r="D812" s="79"/>
      <c r="E812" s="79"/>
      <c r="M812" s="79"/>
      <c r="R812" s="79"/>
      <c r="S812" s="79"/>
      <c r="V812" s="79"/>
      <c r="W812" s="79"/>
      <c r="Z812" s="130"/>
      <c r="AB812" s="106"/>
    </row>
    <row r="813">
      <c r="C813" s="79"/>
      <c r="D813" s="79"/>
      <c r="E813" s="79"/>
      <c r="M813" s="79"/>
      <c r="R813" s="79"/>
      <c r="S813" s="79"/>
      <c r="V813" s="79"/>
      <c r="W813" s="79"/>
      <c r="Z813" s="130"/>
      <c r="AB813" s="106"/>
    </row>
    <row r="814">
      <c r="C814" s="79"/>
      <c r="D814" s="79"/>
      <c r="E814" s="79"/>
      <c r="M814" s="79"/>
      <c r="R814" s="79"/>
      <c r="S814" s="79"/>
      <c r="V814" s="79"/>
      <c r="W814" s="79"/>
      <c r="Z814" s="130"/>
      <c r="AB814" s="106"/>
    </row>
    <row r="815">
      <c r="C815" s="79"/>
      <c r="D815" s="79"/>
      <c r="E815" s="79"/>
      <c r="M815" s="79"/>
      <c r="R815" s="79"/>
      <c r="S815" s="79"/>
      <c r="V815" s="79"/>
      <c r="W815" s="79"/>
      <c r="Z815" s="130"/>
      <c r="AB815" s="106"/>
    </row>
    <row r="816">
      <c r="C816" s="79"/>
      <c r="D816" s="79"/>
      <c r="E816" s="79"/>
      <c r="M816" s="79"/>
      <c r="R816" s="79"/>
      <c r="S816" s="79"/>
      <c r="V816" s="79"/>
      <c r="W816" s="79"/>
      <c r="Z816" s="130"/>
      <c r="AB816" s="106"/>
    </row>
    <row r="817">
      <c r="C817" s="79"/>
      <c r="D817" s="79"/>
      <c r="E817" s="79"/>
      <c r="M817" s="79"/>
      <c r="R817" s="79"/>
      <c r="S817" s="79"/>
      <c r="V817" s="79"/>
      <c r="W817" s="79"/>
      <c r="Z817" s="130"/>
      <c r="AB817" s="106"/>
    </row>
    <row r="818">
      <c r="C818" s="79"/>
      <c r="D818" s="79"/>
      <c r="E818" s="79"/>
      <c r="M818" s="79"/>
      <c r="R818" s="79"/>
      <c r="S818" s="79"/>
      <c r="V818" s="79"/>
      <c r="W818" s="79"/>
      <c r="Z818" s="130"/>
      <c r="AB818" s="106"/>
    </row>
    <row r="819">
      <c r="C819" s="79"/>
      <c r="D819" s="79"/>
      <c r="E819" s="79"/>
      <c r="M819" s="79"/>
      <c r="R819" s="79"/>
      <c r="S819" s="79"/>
      <c r="V819" s="79"/>
      <c r="W819" s="79"/>
      <c r="Z819" s="130"/>
      <c r="AB819" s="106"/>
    </row>
    <row r="820">
      <c r="C820" s="79"/>
      <c r="D820" s="79"/>
      <c r="E820" s="79"/>
      <c r="M820" s="79"/>
      <c r="R820" s="79"/>
      <c r="S820" s="79"/>
      <c r="V820" s="79"/>
      <c r="W820" s="79"/>
      <c r="Z820" s="130"/>
      <c r="AB820" s="106"/>
    </row>
    <row r="821">
      <c r="C821" s="79"/>
      <c r="D821" s="79"/>
      <c r="E821" s="79"/>
      <c r="M821" s="79"/>
      <c r="R821" s="79"/>
      <c r="S821" s="79"/>
      <c r="V821" s="79"/>
      <c r="W821" s="79"/>
      <c r="Z821" s="130"/>
      <c r="AB821" s="106"/>
    </row>
    <row r="822">
      <c r="C822" s="79"/>
      <c r="D822" s="79"/>
      <c r="E822" s="79"/>
      <c r="M822" s="79"/>
      <c r="R822" s="79"/>
      <c r="S822" s="79"/>
      <c r="V822" s="79"/>
      <c r="W822" s="79"/>
      <c r="Z822" s="130"/>
      <c r="AB822" s="106"/>
    </row>
    <row r="823">
      <c r="C823" s="79"/>
      <c r="D823" s="79"/>
      <c r="E823" s="79"/>
      <c r="M823" s="79"/>
      <c r="R823" s="79"/>
      <c r="S823" s="79"/>
      <c r="V823" s="79"/>
      <c r="W823" s="79"/>
      <c r="Z823" s="130"/>
      <c r="AB823" s="106"/>
    </row>
    <row r="824">
      <c r="C824" s="79"/>
      <c r="D824" s="79"/>
      <c r="E824" s="79"/>
      <c r="M824" s="79"/>
      <c r="R824" s="79"/>
      <c r="S824" s="79"/>
      <c r="V824" s="79"/>
      <c r="W824" s="79"/>
      <c r="Z824" s="130"/>
      <c r="AB824" s="106"/>
    </row>
    <row r="825">
      <c r="C825" s="79"/>
      <c r="D825" s="79"/>
      <c r="E825" s="79"/>
      <c r="M825" s="79"/>
      <c r="R825" s="79"/>
      <c r="S825" s="79"/>
      <c r="V825" s="79"/>
      <c r="W825" s="79"/>
      <c r="Z825" s="130"/>
      <c r="AB825" s="106"/>
    </row>
    <row r="826">
      <c r="C826" s="79"/>
      <c r="D826" s="79"/>
      <c r="E826" s="79"/>
      <c r="M826" s="79"/>
      <c r="R826" s="79"/>
      <c r="S826" s="79"/>
      <c r="V826" s="79"/>
      <c r="W826" s="79"/>
      <c r="Z826" s="130"/>
      <c r="AB826" s="106"/>
    </row>
    <row r="827">
      <c r="C827" s="79"/>
      <c r="D827" s="79"/>
      <c r="E827" s="79"/>
      <c r="M827" s="79"/>
      <c r="R827" s="79"/>
      <c r="S827" s="79"/>
      <c r="V827" s="79"/>
      <c r="W827" s="79"/>
      <c r="Z827" s="130"/>
      <c r="AB827" s="106"/>
    </row>
    <row r="828">
      <c r="C828" s="79"/>
      <c r="D828" s="79"/>
      <c r="E828" s="79"/>
      <c r="M828" s="79"/>
      <c r="R828" s="79"/>
      <c r="S828" s="79"/>
      <c r="V828" s="79"/>
      <c r="W828" s="79"/>
      <c r="Z828" s="130"/>
      <c r="AB828" s="106"/>
    </row>
    <row r="829">
      <c r="C829" s="79"/>
      <c r="D829" s="79"/>
      <c r="E829" s="79"/>
      <c r="M829" s="79"/>
      <c r="R829" s="79"/>
      <c r="S829" s="79"/>
      <c r="V829" s="79"/>
      <c r="W829" s="79"/>
      <c r="Z829" s="130"/>
      <c r="AB829" s="106"/>
    </row>
    <row r="830">
      <c r="C830" s="79"/>
      <c r="D830" s="79"/>
      <c r="E830" s="79"/>
      <c r="M830" s="79"/>
      <c r="R830" s="79"/>
      <c r="S830" s="79"/>
      <c r="V830" s="79"/>
      <c r="W830" s="79"/>
      <c r="Z830" s="130"/>
      <c r="AB830" s="106"/>
    </row>
    <row r="831">
      <c r="C831" s="79"/>
      <c r="D831" s="79"/>
      <c r="E831" s="79"/>
      <c r="M831" s="79"/>
      <c r="R831" s="79"/>
      <c r="S831" s="79"/>
      <c r="V831" s="79"/>
      <c r="W831" s="79"/>
      <c r="Z831" s="130"/>
      <c r="AB831" s="106"/>
    </row>
    <row r="832">
      <c r="C832" s="79"/>
      <c r="D832" s="79"/>
      <c r="E832" s="79"/>
      <c r="M832" s="79"/>
      <c r="R832" s="79"/>
      <c r="S832" s="79"/>
      <c r="V832" s="79"/>
      <c r="W832" s="79"/>
      <c r="Z832" s="130"/>
      <c r="AB832" s="106"/>
    </row>
    <row r="833">
      <c r="C833" s="79"/>
      <c r="D833" s="79"/>
      <c r="E833" s="79"/>
      <c r="M833" s="79"/>
      <c r="R833" s="79"/>
      <c r="S833" s="79"/>
      <c r="V833" s="79"/>
      <c r="W833" s="79"/>
      <c r="Z833" s="130"/>
      <c r="AB833" s="106"/>
    </row>
    <row r="834">
      <c r="C834" s="79"/>
      <c r="D834" s="79"/>
      <c r="E834" s="79"/>
      <c r="M834" s="79"/>
      <c r="R834" s="79"/>
      <c r="S834" s="79"/>
      <c r="V834" s="79"/>
      <c r="W834" s="79"/>
      <c r="Z834" s="130"/>
      <c r="AB834" s="106"/>
    </row>
    <row r="835">
      <c r="C835" s="79"/>
      <c r="D835" s="79"/>
      <c r="E835" s="79"/>
      <c r="M835" s="79"/>
      <c r="R835" s="79"/>
      <c r="S835" s="79"/>
      <c r="V835" s="79"/>
      <c r="W835" s="79"/>
      <c r="Z835" s="130"/>
      <c r="AB835" s="106"/>
    </row>
    <row r="836">
      <c r="C836" s="79"/>
      <c r="D836" s="79"/>
      <c r="E836" s="79"/>
      <c r="M836" s="79"/>
      <c r="R836" s="79"/>
      <c r="S836" s="79"/>
      <c r="V836" s="79"/>
      <c r="W836" s="79"/>
      <c r="Z836" s="130"/>
      <c r="AB836" s="106"/>
    </row>
    <row r="837">
      <c r="C837" s="79"/>
      <c r="D837" s="79"/>
      <c r="E837" s="79"/>
      <c r="M837" s="79"/>
      <c r="R837" s="79"/>
      <c r="S837" s="79"/>
      <c r="V837" s="79"/>
      <c r="W837" s="79"/>
      <c r="Z837" s="130"/>
      <c r="AB837" s="106"/>
    </row>
    <row r="838">
      <c r="C838" s="79"/>
      <c r="D838" s="79"/>
      <c r="E838" s="79"/>
      <c r="M838" s="79"/>
      <c r="R838" s="79"/>
      <c r="S838" s="79"/>
      <c r="V838" s="79"/>
      <c r="W838" s="79"/>
      <c r="Z838" s="130"/>
      <c r="AB838" s="106"/>
    </row>
    <row r="839">
      <c r="C839" s="79"/>
      <c r="D839" s="79"/>
      <c r="E839" s="79"/>
      <c r="M839" s="79"/>
      <c r="R839" s="79"/>
      <c r="S839" s="79"/>
      <c r="V839" s="79"/>
      <c r="W839" s="79"/>
      <c r="Z839" s="130"/>
      <c r="AB839" s="106"/>
    </row>
    <row r="840">
      <c r="C840" s="79"/>
      <c r="D840" s="79"/>
      <c r="E840" s="79"/>
      <c r="M840" s="79"/>
      <c r="R840" s="79"/>
      <c r="S840" s="79"/>
      <c r="V840" s="79"/>
      <c r="W840" s="79"/>
      <c r="Z840" s="130"/>
      <c r="AB840" s="106"/>
    </row>
    <row r="841">
      <c r="C841" s="79"/>
      <c r="D841" s="79"/>
      <c r="E841" s="79"/>
      <c r="M841" s="79"/>
      <c r="R841" s="79"/>
      <c r="S841" s="79"/>
      <c r="V841" s="79"/>
      <c r="W841" s="79"/>
      <c r="Z841" s="130"/>
      <c r="AB841" s="106"/>
    </row>
    <row r="842">
      <c r="C842" s="79"/>
      <c r="D842" s="79"/>
      <c r="E842" s="79"/>
      <c r="M842" s="79"/>
      <c r="R842" s="79"/>
      <c r="S842" s="79"/>
      <c r="V842" s="79"/>
      <c r="W842" s="79"/>
      <c r="Z842" s="130"/>
      <c r="AB842" s="106"/>
    </row>
    <row r="843">
      <c r="C843" s="79"/>
      <c r="D843" s="79"/>
      <c r="E843" s="79"/>
      <c r="M843" s="79"/>
      <c r="R843" s="79"/>
      <c r="S843" s="79"/>
      <c r="V843" s="79"/>
      <c r="W843" s="79"/>
      <c r="Z843" s="130"/>
      <c r="AB843" s="106"/>
    </row>
    <row r="844">
      <c r="C844" s="79"/>
      <c r="D844" s="79"/>
      <c r="E844" s="79"/>
      <c r="M844" s="79"/>
      <c r="R844" s="79"/>
      <c r="S844" s="79"/>
      <c r="V844" s="79"/>
      <c r="W844" s="79"/>
      <c r="Z844" s="130"/>
      <c r="AB844" s="106"/>
    </row>
    <row r="845">
      <c r="C845" s="79"/>
      <c r="D845" s="79"/>
      <c r="E845" s="79"/>
      <c r="M845" s="79"/>
      <c r="R845" s="79"/>
      <c r="S845" s="79"/>
      <c r="V845" s="79"/>
      <c r="W845" s="79"/>
      <c r="Z845" s="130"/>
      <c r="AB845" s="106"/>
    </row>
    <row r="846">
      <c r="C846" s="79"/>
      <c r="D846" s="79"/>
      <c r="E846" s="79"/>
      <c r="M846" s="79"/>
      <c r="R846" s="79"/>
      <c r="S846" s="79"/>
      <c r="V846" s="79"/>
      <c r="W846" s="79"/>
      <c r="Z846" s="130"/>
      <c r="AB846" s="106"/>
    </row>
    <row r="847">
      <c r="C847" s="79"/>
      <c r="D847" s="79"/>
      <c r="E847" s="79"/>
      <c r="M847" s="79"/>
      <c r="R847" s="79"/>
      <c r="S847" s="79"/>
      <c r="V847" s="79"/>
      <c r="W847" s="79"/>
      <c r="Z847" s="130"/>
      <c r="AB847" s="106"/>
    </row>
    <row r="848">
      <c r="C848" s="79"/>
      <c r="D848" s="79"/>
      <c r="E848" s="79"/>
      <c r="M848" s="79"/>
      <c r="R848" s="79"/>
      <c r="S848" s="79"/>
      <c r="V848" s="79"/>
      <c r="W848" s="79"/>
      <c r="Z848" s="130"/>
      <c r="AB848" s="106"/>
    </row>
    <row r="849">
      <c r="C849" s="79"/>
      <c r="D849" s="79"/>
      <c r="E849" s="79"/>
      <c r="M849" s="79"/>
      <c r="R849" s="79"/>
      <c r="S849" s="79"/>
      <c r="V849" s="79"/>
      <c r="W849" s="79"/>
      <c r="Z849" s="130"/>
      <c r="AB849" s="106"/>
    </row>
    <row r="850">
      <c r="C850" s="79"/>
      <c r="D850" s="79"/>
      <c r="E850" s="79"/>
      <c r="M850" s="79"/>
      <c r="R850" s="79"/>
      <c r="S850" s="79"/>
      <c r="V850" s="79"/>
      <c r="W850" s="79"/>
      <c r="Z850" s="130"/>
      <c r="AB850" s="106"/>
    </row>
    <row r="851">
      <c r="C851" s="79"/>
      <c r="D851" s="79"/>
      <c r="E851" s="79"/>
      <c r="M851" s="79"/>
      <c r="R851" s="79"/>
      <c r="S851" s="79"/>
      <c r="V851" s="79"/>
      <c r="W851" s="79"/>
      <c r="Z851" s="130"/>
      <c r="AB851" s="106"/>
    </row>
    <row r="852">
      <c r="C852" s="79"/>
      <c r="D852" s="79"/>
      <c r="E852" s="79"/>
      <c r="M852" s="79"/>
      <c r="R852" s="79"/>
      <c r="S852" s="79"/>
      <c r="V852" s="79"/>
      <c r="W852" s="79"/>
      <c r="Z852" s="130"/>
      <c r="AB852" s="106"/>
    </row>
    <row r="853">
      <c r="C853" s="79"/>
      <c r="D853" s="79"/>
      <c r="E853" s="79"/>
      <c r="M853" s="79"/>
      <c r="R853" s="79"/>
      <c r="S853" s="79"/>
      <c r="V853" s="79"/>
      <c r="W853" s="79"/>
      <c r="Z853" s="130"/>
      <c r="AB853" s="106"/>
    </row>
    <row r="854">
      <c r="C854" s="79"/>
      <c r="D854" s="79"/>
      <c r="E854" s="79"/>
      <c r="M854" s="79"/>
      <c r="R854" s="79"/>
      <c r="S854" s="79"/>
      <c r="V854" s="79"/>
      <c r="W854" s="79"/>
      <c r="Z854" s="130"/>
      <c r="AB854" s="106"/>
    </row>
    <row r="855">
      <c r="C855" s="79"/>
      <c r="D855" s="79"/>
      <c r="E855" s="79"/>
      <c r="M855" s="79"/>
      <c r="R855" s="79"/>
      <c r="S855" s="79"/>
      <c r="V855" s="79"/>
      <c r="W855" s="79"/>
      <c r="Z855" s="130"/>
      <c r="AB855" s="106"/>
    </row>
    <row r="856">
      <c r="C856" s="79"/>
      <c r="D856" s="79"/>
      <c r="E856" s="79"/>
      <c r="M856" s="79"/>
      <c r="R856" s="79"/>
      <c r="S856" s="79"/>
      <c r="V856" s="79"/>
      <c r="W856" s="79"/>
      <c r="Z856" s="130"/>
      <c r="AB856" s="106"/>
    </row>
    <row r="857">
      <c r="C857" s="79"/>
      <c r="D857" s="79"/>
      <c r="E857" s="79"/>
      <c r="M857" s="79"/>
      <c r="R857" s="79"/>
      <c r="S857" s="79"/>
      <c r="V857" s="79"/>
      <c r="W857" s="79"/>
      <c r="Z857" s="130"/>
      <c r="AB857" s="106"/>
    </row>
    <row r="858">
      <c r="C858" s="79"/>
      <c r="D858" s="79"/>
      <c r="E858" s="79"/>
      <c r="M858" s="79"/>
      <c r="R858" s="79"/>
      <c r="S858" s="79"/>
      <c r="V858" s="79"/>
      <c r="W858" s="79"/>
      <c r="Z858" s="130"/>
      <c r="AB858" s="106"/>
    </row>
    <row r="859">
      <c r="C859" s="79"/>
      <c r="D859" s="79"/>
      <c r="E859" s="79"/>
      <c r="M859" s="79"/>
      <c r="R859" s="79"/>
      <c r="S859" s="79"/>
      <c r="V859" s="79"/>
      <c r="W859" s="79"/>
      <c r="Z859" s="130"/>
      <c r="AB859" s="106"/>
    </row>
    <row r="860">
      <c r="C860" s="79"/>
      <c r="D860" s="79"/>
      <c r="E860" s="79"/>
      <c r="M860" s="79"/>
      <c r="R860" s="79"/>
      <c r="S860" s="79"/>
      <c r="V860" s="79"/>
      <c r="W860" s="79"/>
      <c r="Z860" s="130"/>
      <c r="AB860" s="106"/>
    </row>
    <row r="861">
      <c r="C861" s="79"/>
      <c r="D861" s="79"/>
      <c r="E861" s="79"/>
      <c r="M861" s="79"/>
      <c r="R861" s="79"/>
      <c r="S861" s="79"/>
      <c r="V861" s="79"/>
      <c r="W861" s="79"/>
      <c r="Z861" s="130"/>
      <c r="AB861" s="106"/>
    </row>
    <row r="862">
      <c r="C862" s="79"/>
      <c r="D862" s="79"/>
      <c r="E862" s="79"/>
      <c r="M862" s="79"/>
      <c r="R862" s="79"/>
      <c r="S862" s="79"/>
      <c r="V862" s="79"/>
      <c r="W862" s="79"/>
      <c r="Z862" s="130"/>
      <c r="AB862" s="106"/>
    </row>
    <row r="863">
      <c r="C863" s="79"/>
      <c r="D863" s="79"/>
      <c r="E863" s="79"/>
      <c r="M863" s="79"/>
      <c r="R863" s="79"/>
      <c r="S863" s="79"/>
      <c r="V863" s="79"/>
      <c r="W863" s="79"/>
      <c r="Z863" s="130"/>
      <c r="AB863" s="106"/>
    </row>
    <row r="864">
      <c r="C864" s="79"/>
      <c r="D864" s="79"/>
      <c r="E864" s="79"/>
      <c r="M864" s="79"/>
      <c r="R864" s="79"/>
      <c r="S864" s="79"/>
      <c r="V864" s="79"/>
      <c r="W864" s="79"/>
      <c r="Z864" s="130"/>
      <c r="AB864" s="106"/>
    </row>
    <row r="865">
      <c r="C865" s="79"/>
      <c r="D865" s="79"/>
      <c r="E865" s="79"/>
      <c r="M865" s="79"/>
      <c r="R865" s="79"/>
      <c r="S865" s="79"/>
      <c r="V865" s="79"/>
      <c r="W865" s="79"/>
      <c r="Z865" s="130"/>
      <c r="AB865" s="106"/>
    </row>
    <row r="866">
      <c r="C866" s="79"/>
      <c r="D866" s="79"/>
      <c r="E866" s="79"/>
      <c r="M866" s="79"/>
      <c r="R866" s="79"/>
      <c r="S866" s="79"/>
      <c r="V866" s="79"/>
      <c r="W866" s="79"/>
      <c r="Z866" s="130"/>
      <c r="AB866" s="106"/>
    </row>
    <row r="867">
      <c r="C867" s="79"/>
      <c r="D867" s="79"/>
      <c r="E867" s="79"/>
      <c r="M867" s="79"/>
      <c r="R867" s="79"/>
      <c r="S867" s="79"/>
      <c r="V867" s="79"/>
      <c r="W867" s="79"/>
      <c r="Z867" s="130"/>
      <c r="AB867" s="106"/>
    </row>
    <row r="868">
      <c r="C868" s="79"/>
      <c r="D868" s="79"/>
      <c r="E868" s="79"/>
      <c r="M868" s="79"/>
      <c r="R868" s="79"/>
      <c r="S868" s="79"/>
      <c r="V868" s="79"/>
      <c r="W868" s="79"/>
      <c r="Z868" s="130"/>
      <c r="AB868" s="106"/>
    </row>
    <row r="869">
      <c r="C869" s="79"/>
      <c r="D869" s="79"/>
      <c r="E869" s="79"/>
      <c r="M869" s="79"/>
      <c r="R869" s="79"/>
      <c r="S869" s="79"/>
      <c r="V869" s="79"/>
      <c r="W869" s="79"/>
      <c r="Z869" s="130"/>
      <c r="AB869" s="106"/>
    </row>
    <row r="870">
      <c r="C870" s="79"/>
      <c r="D870" s="79"/>
      <c r="E870" s="79"/>
      <c r="M870" s="79"/>
      <c r="R870" s="79"/>
      <c r="S870" s="79"/>
      <c r="V870" s="79"/>
      <c r="W870" s="79"/>
      <c r="Z870" s="130"/>
      <c r="AB870" s="106"/>
    </row>
    <row r="871">
      <c r="C871" s="79"/>
      <c r="D871" s="79"/>
      <c r="E871" s="79"/>
      <c r="M871" s="79"/>
      <c r="R871" s="79"/>
      <c r="S871" s="79"/>
      <c r="V871" s="79"/>
      <c r="W871" s="79"/>
      <c r="Z871" s="130"/>
      <c r="AB871" s="106"/>
    </row>
    <row r="872">
      <c r="C872" s="79"/>
      <c r="D872" s="79"/>
      <c r="E872" s="79"/>
      <c r="M872" s="79"/>
      <c r="R872" s="79"/>
      <c r="S872" s="79"/>
      <c r="V872" s="79"/>
      <c r="W872" s="79"/>
      <c r="Z872" s="130"/>
      <c r="AB872" s="106"/>
    </row>
    <row r="873">
      <c r="C873" s="79"/>
      <c r="D873" s="79"/>
      <c r="E873" s="79"/>
      <c r="M873" s="79"/>
      <c r="R873" s="79"/>
      <c r="S873" s="79"/>
      <c r="V873" s="79"/>
      <c r="W873" s="79"/>
      <c r="Z873" s="130"/>
      <c r="AB873" s="106"/>
    </row>
    <row r="874">
      <c r="C874" s="79"/>
      <c r="D874" s="79"/>
      <c r="E874" s="79"/>
      <c r="M874" s="79"/>
      <c r="R874" s="79"/>
      <c r="S874" s="79"/>
      <c r="V874" s="79"/>
      <c r="W874" s="79"/>
      <c r="Z874" s="130"/>
      <c r="AB874" s="106"/>
    </row>
    <row r="875">
      <c r="C875" s="79"/>
      <c r="D875" s="79"/>
      <c r="E875" s="79"/>
      <c r="M875" s="79"/>
      <c r="R875" s="79"/>
      <c r="S875" s="79"/>
      <c r="V875" s="79"/>
      <c r="W875" s="79"/>
      <c r="Z875" s="130"/>
      <c r="AB875" s="106"/>
    </row>
    <row r="876">
      <c r="C876" s="79"/>
      <c r="D876" s="79"/>
      <c r="E876" s="79"/>
      <c r="M876" s="79"/>
      <c r="R876" s="79"/>
      <c r="S876" s="79"/>
      <c r="V876" s="79"/>
      <c r="W876" s="79"/>
      <c r="Z876" s="130"/>
      <c r="AB876" s="106"/>
    </row>
    <row r="877">
      <c r="C877" s="79"/>
      <c r="D877" s="79"/>
      <c r="E877" s="79"/>
      <c r="M877" s="79"/>
      <c r="R877" s="79"/>
      <c r="S877" s="79"/>
      <c r="V877" s="79"/>
      <c r="W877" s="79"/>
      <c r="Z877" s="130"/>
      <c r="AB877" s="106"/>
    </row>
    <row r="878">
      <c r="C878" s="79"/>
      <c r="D878" s="79"/>
      <c r="E878" s="79"/>
      <c r="M878" s="79"/>
      <c r="R878" s="79"/>
      <c r="S878" s="79"/>
      <c r="V878" s="79"/>
      <c r="W878" s="79"/>
      <c r="Z878" s="130"/>
      <c r="AB878" s="106"/>
    </row>
    <row r="879">
      <c r="C879" s="79"/>
      <c r="D879" s="79"/>
      <c r="E879" s="79"/>
      <c r="M879" s="79"/>
      <c r="R879" s="79"/>
      <c r="S879" s="79"/>
      <c r="V879" s="79"/>
      <c r="W879" s="79"/>
      <c r="Z879" s="130"/>
      <c r="AB879" s="106"/>
    </row>
    <row r="880">
      <c r="C880" s="79"/>
      <c r="D880" s="79"/>
      <c r="E880" s="79"/>
      <c r="M880" s="79"/>
      <c r="R880" s="79"/>
      <c r="S880" s="79"/>
      <c r="V880" s="79"/>
      <c r="W880" s="79"/>
      <c r="Z880" s="130"/>
      <c r="AB880" s="106"/>
    </row>
    <row r="881">
      <c r="C881" s="79"/>
      <c r="D881" s="79"/>
      <c r="E881" s="79"/>
      <c r="M881" s="79"/>
      <c r="R881" s="79"/>
      <c r="S881" s="79"/>
      <c r="V881" s="79"/>
      <c r="W881" s="79"/>
      <c r="Z881" s="130"/>
      <c r="AB881" s="106"/>
    </row>
    <row r="882">
      <c r="C882" s="79"/>
      <c r="D882" s="79"/>
      <c r="E882" s="79"/>
      <c r="M882" s="79"/>
      <c r="R882" s="79"/>
      <c r="S882" s="79"/>
      <c r="V882" s="79"/>
      <c r="W882" s="79"/>
      <c r="Z882" s="130"/>
      <c r="AB882" s="106"/>
    </row>
    <row r="883">
      <c r="C883" s="79"/>
      <c r="D883" s="79"/>
      <c r="E883" s="79"/>
      <c r="M883" s="79"/>
      <c r="R883" s="79"/>
      <c r="S883" s="79"/>
      <c r="V883" s="79"/>
      <c r="W883" s="79"/>
      <c r="Z883" s="130"/>
      <c r="AB883" s="106"/>
    </row>
    <row r="884">
      <c r="C884" s="79"/>
      <c r="D884" s="79"/>
      <c r="E884" s="79"/>
      <c r="M884" s="79"/>
      <c r="R884" s="79"/>
      <c r="S884" s="79"/>
      <c r="V884" s="79"/>
      <c r="W884" s="79"/>
      <c r="Z884" s="130"/>
      <c r="AB884" s="106"/>
    </row>
    <row r="885">
      <c r="C885" s="79"/>
      <c r="D885" s="79"/>
      <c r="E885" s="79"/>
      <c r="M885" s="79"/>
      <c r="R885" s="79"/>
      <c r="S885" s="79"/>
      <c r="V885" s="79"/>
      <c r="W885" s="79"/>
      <c r="Z885" s="130"/>
      <c r="AB885" s="106"/>
    </row>
    <row r="886">
      <c r="C886" s="79"/>
      <c r="D886" s="79"/>
      <c r="E886" s="79"/>
      <c r="M886" s="79"/>
      <c r="R886" s="79"/>
      <c r="S886" s="79"/>
      <c r="V886" s="79"/>
      <c r="W886" s="79"/>
      <c r="Z886" s="130"/>
      <c r="AB886" s="106"/>
    </row>
    <row r="887">
      <c r="C887" s="79"/>
      <c r="D887" s="79"/>
      <c r="E887" s="79"/>
      <c r="M887" s="79"/>
      <c r="R887" s="79"/>
      <c r="S887" s="79"/>
      <c r="V887" s="79"/>
      <c r="W887" s="79"/>
      <c r="Z887" s="130"/>
      <c r="AB887" s="106"/>
    </row>
    <row r="888">
      <c r="C888" s="79"/>
      <c r="D888" s="79"/>
      <c r="E888" s="79"/>
      <c r="M888" s="79"/>
      <c r="R888" s="79"/>
      <c r="S888" s="79"/>
      <c r="V888" s="79"/>
      <c r="W888" s="79"/>
      <c r="Z888" s="130"/>
      <c r="AB888" s="106"/>
    </row>
    <row r="889">
      <c r="C889" s="79"/>
      <c r="D889" s="79"/>
      <c r="E889" s="79"/>
      <c r="M889" s="79"/>
      <c r="R889" s="79"/>
      <c r="S889" s="79"/>
      <c r="V889" s="79"/>
      <c r="W889" s="79"/>
      <c r="Z889" s="130"/>
      <c r="AB889" s="106"/>
    </row>
    <row r="890">
      <c r="C890" s="79"/>
      <c r="D890" s="79"/>
      <c r="E890" s="79"/>
      <c r="M890" s="79"/>
      <c r="R890" s="79"/>
      <c r="S890" s="79"/>
      <c r="V890" s="79"/>
      <c r="W890" s="79"/>
      <c r="Z890" s="130"/>
      <c r="AB890" s="106"/>
    </row>
    <row r="891">
      <c r="C891" s="79"/>
      <c r="D891" s="79"/>
      <c r="E891" s="79"/>
      <c r="M891" s="79"/>
      <c r="R891" s="79"/>
      <c r="S891" s="79"/>
      <c r="V891" s="79"/>
      <c r="W891" s="79"/>
      <c r="Z891" s="130"/>
      <c r="AB891" s="106"/>
    </row>
    <row r="892">
      <c r="C892" s="79"/>
      <c r="D892" s="79"/>
      <c r="E892" s="79"/>
      <c r="M892" s="79"/>
      <c r="R892" s="79"/>
      <c r="S892" s="79"/>
      <c r="V892" s="79"/>
      <c r="W892" s="79"/>
      <c r="Z892" s="130"/>
      <c r="AB892" s="106"/>
    </row>
    <row r="893">
      <c r="C893" s="79"/>
      <c r="D893" s="79"/>
      <c r="E893" s="79"/>
      <c r="M893" s="79"/>
      <c r="R893" s="79"/>
      <c r="S893" s="79"/>
      <c r="V893" s="79"/>
      <c r="W893" s="79"/>
      <c r="Z893" s="130"/>
      <c r="AB893" s="106"/>
    </row>
    <row r="894">
      <c r="C894" s="79"/>
      <c r="D894" s="79"/>
      <c r="E894" s="79"/>
      <c r="M894" s="79"/>
      <c r="R894" s="79"/>
      <c r="S894" s="79"/>
      <c r="V894" s="79"/>
      <c r="W894" s="79"/>
      <c r="Z894" s="130"/>
      <c r="AB894" s="106"/>
    </row>
    <row r="895">
      <c r="C895" s="79"/>
      <c r="D895" s="79"/>
      <c r="E895" s="79"/>
      <c r="M895" s="79"/>
      <c r="R895" s="79"/>
      <c r="S895" s="79"/>
      <c r="V895" s="79"/>
      <c r="W895" s="79"/>
      <c r="Z895" s="130"/>
      <c r="AB895" s="106"/>
    </row>
    <row r="896">
      <c r="C896" s="79"/>
      <c r="D896" s="79"/>
      <c r="E896" s="79"/>
      <c r="M896" s="79"/>
      <c r="R896" s="79"/>
      <c r="S896" s="79"/>
      <c r="V896" s="79"/>
      <c r="W896" s="79"/>
      <c r="Z896" s="130"/>
      <c r="AB896" s="106"/>
    </row>
    <row r="897">
      <c r="C897" s="79"/>
      <c r="D897" s="79"/>
      <c r="E897" s="79"/>
      <c r="M897" s="79"/>
      <c r="R897" s="79"/>
      <c r="S897" s="79"/>
      <c r="V897" s="79"/>
      <c r="W897" s="79"/>
      <c r="Z897" s="130"/>
      <c r="AB897" s="106"/>
    </row>
    <row r="898">
      <c r="C898" s="79"/>
      <c r="D898" s="79"/>
      <c r="E898" s="79"/>
      <c r="M898" s="79"/>
      <c r="R898" s="79"/>
      <c r="S898" s="79"/>
      <c r="V898" s="79"/>
      <c r="W898" s="79"/>
      <c r="Z898" s="130"/>
      <c r="AB898" s="106"/>
    </row>
    <row r="899">
      <c r="C899" s="79"/>
      <c r="D899" s="79"/>
      <c r="E899" s="79"/>
      <c r="M899" s="79"/>
      <c r="R899" s="79"/>
      <c r="S899" s="79"/>
      <c r="V899" s="79"/>
      <c r="W899" s="79"/>
      <c r="Z899" s="130"/>
      <c r="AB899" s="106"/>
    </row>
    <row r="900">
      <c r="C900" s="79"/>
      <c r="D900" s="79"/>
      <c r="E900" s="79"/>
      <c r="M900" s="79"/>
      <c r="R900" s="79"/>
      <c r="S900" s="79"/>
      <c r="V900" s="79"/>
      <c r="W900" s="79"/>
      <c r="Z900" s="130"/>
      <c r="AB900" s="106"/>
    </row>
    <row r="901">
      <c r="C901" s="79"/>
      <c r="D901" s="79"/>
      <c r="E901" s="79"/>
      <c r="M901" s="79"/>
      <c r="R901" s="79"/>
      <c r="S901" s="79"/>
      <c r="V901" s="79"/>
      <c r="W901" s="79"/>
      <c r="Z901" s="130"/>
      <c r="AB901" s="106"/>
    </row>
    <row r="902">
      <c r="C902" s="79"/>
      <c r="D902" s="79"/>
      <c r="E902" s="79"/>
      <c r="M902" s="79"/>
      <c r="R902" s="79"/>
      <c r="S902" s="79"/>
      <c r="V902" s="79"/>
      <c r="W902" s="79"/>
      <c r="Z902" s="130"/>
      <c r="AB902" s="106"/>
    </row>
    <row r="903">
      <c r="C903" s="79"/>
      <c r="D903" s="79"/>
      <c r="E903" s="79"/>
      <c r="M903" s="79"/>
      <c r="R903" s="79"/>
      <c r="S903" s="79"/>
      <c r="V903" s="79"/>
      <c r="W903" s="79"/>
      <c r="Z903" s="130"/>
      <c r="AB903" s="106"/>
    </row>
    <row r="904">
      <c r="C904" s="79"/>
      <c r="D904" s="79"/>
      <c r="E904" s="79"/>
      <c r="M904" s="79"/>
      <c r="R904" s="79"/>
      <c r="S904" s="79"/>
      <c r="V904" s="79"/>
      <c r="W904" s="79"/>
      <c r="Z904" s="130"/>
      <c r="AB904" s="106"/>
    </row>
    <row r="905">
      <c r="C905" s="79"/>
      <c r="D905" s="79"/>
      <c r="E905" s="79"/>
      <c r="M905" s="79"/>
      <c r="R905" s="79"/>
      <c r="S905" s="79"/>
      <c r="V905" s="79"/>
      <c r="W905" s="79"/>
      <c r="Z905" s="130"/>
      <c r="AB905" s="106"/>
    </row>
    <row r="906">
      <c r="C906" s="79"/>
      <c r="D906" s="79"/>
      <c r="E906" s="79"/>
      <c r="M906" s="79"/>
      <c r="R906" s="79"/>
      <c r="S906" s="79"/>
      <c r="V906" s="79"/>
      <c r="W906" s="79"/>
      <c r="Z906" s="130"/>
      <c r="AB906" s="106"/>
    </row>
    <row r="907">
      <c r="C907" s="79"/>
      <c r="D907" s="79"/>
      <c r="E907" s="79"/>
      <c r="M907" s="79"/>
      <c r="R907" s="79"/>
      <c r="S907" s="79"/>
      <c r="V907" s="79"/>
      <c r="W907" s="79"/>
      <c r="Z907" s="130"/>
      <c r="AB907" s="106"/>
    </row>
    <row r="908">
      <c r="C908" s="79"/>
      <c r="D908" s="79"/>
      <c r="E908" s="79"/>
      <c r="M908" s="79"/>
      <c r="R908" s="79"/>
      <c r="S908" s="79"/>
      <c r="V908" s="79"/>
      <c r="W908" s="79"/>
      <c r="Z908" s="130"/>
      <c r="AB908" s="106"/>
    </row>
    <row r="909">
      <c r="C909" s="79"/>
      <c r="D909" s="79"/>
      <c r="E909" s="79"/>
      <c r="M909" s="79"/>
      <c r="R909" s="79"/>
      <c r="S909" s="79"/>
      <c r="V909" s="79"/>
      <c r="W909" s="79"/>
      <c r="Z909" s="130"/>
      <c r="AB909" s="106"/>
    </row>
    <row r="910">
      <c r="C910" s="79"/>
      <c r="D910" s="79"/>
      <c r="E910" s="79"/>
      <c r="M910" s="79"/>
      <c r="R910" s="79"/>
      <c r="S910" s="79"/>
      <c r="V910" s="79"/>
      <c r="W910" s="79"/>
      <c r="Z910" s="130"/>
      <c r="AB910" s="106"/>
    </row>
    <row r="911">
      <c r="C911" s="79"/>
      <c r="D911" s="79"/>
      <c r="E911" s="79"/>
      <c r="M911" s="79"/>
      <c r="R911" s="79"/>
      <c r="S911" s="79"/>
      <c r="V911" s="79"/>
      <c r="W911" s="79"/>
      <c r="Z911" s="130"/>
      <c r="AB911" s="106"/>
    </row>
    <row r="912">
      <c r="C912" s="79"/>
      <c r="D912" s="79"/>
      <c r="E912" s="79"/>
      <c r="M912" s="79"/>
      <c r="R912" s="79"/>
      <c r="S912" s="79"/>
      <c r="V912" s="79"/>
      <c r="W912" s="79"/>
      <c r="Z912" s="130"/>
      <c r="AB912" s="106"/>
    </row>
    <row r="913">
      <c r="C913" s="79"/>
      <c r="D913" s="79"/>
      <c r="E913" s="79"/>
      <c r="M913" s="79"/>
      <c r="R913" s="79"/>
      <c r="S913" s="79"/>
      <c r="V913" s="79"/>
      <c r="W913" s="79"/>
      <c r="Z913" s="130"/>
      <c r="AB913" s="106"/>
    </row>
    <row r="914">
      <c r="C914" s="79"/>
      <c r="D914" s="79"/>
      <c r="E914" s="79"/>
      <c r="M914" s="79"/>
      <c r="R914" s="79"/>
      <c r="S914" s="79"/>
      <c r="V914" s="79"/>
      <c r="W914" s="79"/>
      <c r="Z914" s="130"/>
      <c r="AB914" s="106"/>
    </row>
    <row r="915">
      <c r="C915" s="79"/>
      <c r="D915" s="79"/>
      <c r="E915" s="79"/>
      <c r="M915" s="79"/>
      <c r="R915" s="79"/>
      <c r="S915" s="79"/>
      <c r="V915" s="79"/>
      <c r="W915" s="79"/>
      <c r="Z915" s="130"/>
      <c r="AB915" s="106"/>
    </row>
    <row r="916">
      <c r="C916" s="79"/>
      <c r="D916" s="79"/>
      <c r="E916" s="79"/>
      <c r="M916" s="79"/>
      <c r="R916" s="79"/>
      <c r="S916" s="79"/>
      <c r="V916" s="79"/>
      <c r="W916" s="79"/>
      <c r="Z916" s="130"/>
      <c r="AB916" s="106"/>
    </row>
    <row r="917">
      <c r="C917" s="79"/>
      <c r="D917" s="79"/>
      <c r="E917" s="79"/>
      <c r="M917" s="79"/>
      <c r="R917" s="79"/>
      <c r="S917" s="79"/>
      <c r="V917" s="79"/>
      <c r="W917" s="79"/>
      <c r="Z917" s="130"/>
      <c r="AB917" s="106"/>
    </row>
    <row r="918">
      <c r="C918" s="79"/>
      <c r="D918" s="79"/>
      <c r="E918" s="79"/>
      <c r="M918" s="79"/>
      <c r="R918" s="79"/>
      <c r="S918" s="79"/>
      <c r="V918" s="79"/>
      <c r="W918" s="79"/>
      <c r="Z918" s="130"/>
      <c r="AB918" s="106"/>
    </row>
    <row r="919">
      <c r="C919" s="79"/>
      <c r="D919" s="79"/>
      <c r="E919" s="79"/>
      <c r="M919" s="79"/>
      <c r="R919" s="79"/>
      <c r="S919" s="79"/>
      <c r="V919" s="79"/>
      <c r="W919" s="79"/>
      <c r="Z919" s="130"/>
      <c r="AB919" s="106"/>
    </row>
    <row r="920">
      <c r="C920" s="79"/>
      <c r="D920" s="79"/>
      <c r="E920" s="79"/>
      <c r="M920" s="79"/>
      <c r="R920" s="79"/>
      <c r="S920" s="79"/>
      <c r="V920" s="79"/>
      <c r="W920" s="79"/>
      <c r="Z920" s="130"/>
      <c r="AB920" s="106"/>
    </row>
    <row r="921">
      <c r="C921" s="79"/>
      <c r="D921" s="79"/>
      <c r="E921" s="79"/>
      <c r="M921" s="79"/>
      <c r="R921" s="79"/>
      <c r="S921" s="79"/>
      <c r="V921" s="79"/>
      <c r="W921" s="79"/>
      <c r="Z921" s="130"/>
      <c r="AB921" s="106"/>
    </row>
    <row r="922">
      <c r="C922" s="79"/>
      <c r="D922" s="79"/>
      <c r="E922" s="79"/>
      <c r="M922" s="79"/>
      <c r="R922" s="79"/>
      <c r="S922" s="79"/>
      <c r="V922" s="79"/>
      <c r="W922" s="79"/>
      <c r="Z922" s="130"/>
      <c r="AB922" s="106"/>
    </row>
    <row r="923">
      <c r="C923" s="79"/>
      <c r="D923" s="79"/>
      <c r="E923" s="79"/>
      <c r="M923" s="79"/>
      <c r="R923" s="79"/>
      <c r="S923" s="79"/>
      <c r="V923" s="79"/>
      <c r="W923" s="79"/>
      <c r="Z923" s="130"/>
      <c r="AB923" s="106"/>
    </row>
    <row r="924">
      <c r="C924" s="79"/>
      <c r="D924" s="79"/>
      <c r="E924" s="79"/>
      <c r="M924" s="79"/>
      <c r="R924" s="79"/>
      <c r="S924" s="79"/>
      <c r="V924" s="79"/>
      <c r="W924" s="79"/>
      <c r="Z924" s="130"/>
      <c r="AB924" s="106"/>
    </row>
    <row r="925">
      <c r="C925" s="79"/>
      <c r="D925" s="79"/>
      <c r="E925" s="79"/>
      <c r="M925" s="79"/>
      <c r="R925" s="79"/>
      <c r="S925" s="79"/>
      <c r="V925" s="79"/>
      <c r="W925" s="79"/>
      <c r="Z925" s="130"/>
      <c r="AB925" s="106"/>
    </row>
    <row r="926">
      <c r="C926" s="79"/>
      <c r="D926" s="79"/>
      <c r="E926" s="79"/>
      <c r="M926" s="79"/>
      <c r="R926" s="79"/>
      <c r="S926" s="79"/>
      <c r="V926" s="79"/>
      <c r="W926" s="79"/>
      <c r="Z926" s="130"/>
      <c r="AB926" s="106"/>
    </row>
    <row r="927">
      <c r="C927" s="79"/>
      <c r="D927" s="79"/>
      <c r="E927" s="79"/>
      <c r="M927" s="79"/>
      <c r="R927" s="79"/>
      <c r="S927" s="79"/>
      <c r="V927" s="79"/>
      <c r="W927" s="79"/>
      <c r="Z927" s="130"/>
      <c r="AB927" s="106"/>
    </row>
    <row r="928">
      <c r="C928" s="79"/>
      <c r="D928" s="79"/>
      <c r="E928" s="79"/>
      <c r="M928" s="79"/>
      <c r="R928" s="79"/>
      <c r="S928" s="79"/>
      <c r="V928" s="79"/>
      <c r="W928" s="79"/>
      <c r="Z928" s="130"/>
      <c r="AB928" s="106"/>
    </row>
    <row r="929">
      <c r="C929" s="79"/>
      <c r="D929" s="79"/>
      <c r="E929" s="79"/>
      <c r="M929" s="79"/>
      <c r="R929" s="79"/>
      <c r="S929" s="79"/>
      <c r="V929" s="79"/>
      <c r="W929" s="79"/>
      <c r="Z929" s="130"/>
      <c r="AB929" s="106"/>
    </row>
    <row r="930">
      <c r="C930" s="79"/>
      <c r="D930" s="79"/>
      <c r="E930" s="79"/>
      <c r="M930" s="79"/>
      <c r="R930" s="79"/>
      <c r="S930" s="79"/>
      <c r="V930" s="79"/>
      <c r="W930" s="79"/>
      <c r="Z930" s="130"/>
      <c r="AB930" s="106"/>
    </row>
    <row r="931">
      <c r="C931" s="79"/>
      <c r="D931" s="79"/>
      <c r="E931" s="79"/>
      <c r="M931" s="79"/>
      <c r="R931" s="79"/>
      <c r="S931" s="79"/>
      <c r="V931" s="79"/>
      <c r="W931" s="79"/>
      <c r="Z931" s="130"/>
      <c r="AB931" s="106"/>
    </row>
    <row r="932">
      <c r="C932" s="79"/>
      <c r="D932" s="79"/>
      <c r="E932" s="79"/>
      <c r="M932" s="79"/>
      <c r="R932" s="79"/>
      <c r="S932" s="79"/>
      <c r="V932" s="79"/>
      <c r="W932" s="79"/>
      <c r="Z932" s="130"/>
      <c r="AB932" s="106"/>
    </row>
    <row r="933">
      <c r="C933" s="79"/>
      <c r="D933" s="79"/>
      <c r="E933" s="79"/>
      <c r="M933" s="79"/>
      <c r="R933" s="79"/>
      <c r="S933" s="79"/>
      <c r="V933" s="79"/>
      <c r="W933" s="79"/>
      <c r="Z933" s="130"/>
      <c r="AB933" s="106"/>
    </row>
    <row r="934">
      <c r="C934" s="79"/>
      <c r="D934" s="79"/>
      <c r="E934" s="79"/>
      <c r="M934" s="79"/>
      <c r="R934" s="79"/>
      <c r="S934" s="79"/>
      <c r="V934" s="79"/>
      <c r="W934" s="79"/>
      <c r="Z934" s="130"/>
      <c r="AB934" s="106"/>
    </row>
    <row r="935">
      <c r="C935" s="79"/>
      <c r="D935" s="79"/>
      <c r="E935" s="79"/>
      <c r="M935" s="79"/>
      <c r="R935" s="79"/>
      <c r="S935" s="79"/>
      <c r="V935" s="79"/>
      <c r="W935" s="79"/>
      <c r="Z935" s="130"/>
      <c r="AB935" s="106"/>
    </row>
    <row r="936">
      <c r="C936" s="79"/>
      <c r="D936" s="79"/>
      <c r="E936" s="79"/>
      <c r="M936" s="79"/>
      <c r="R936" s="79"/>
      <c r="S936" s="79"/>
      <c r="V936" s="79"/>
      <c r="W936" s="79"/>
      <c r="Z936" s="130"/>
      <c r="AB936" s="106"/>
    </row>
    <row r="937">
      <c r="C937" s="79"/>
      <c r="D937" s="79"/>
      <c r="E937" s="79"/>
      <c r="M937" s="79"/>
      <c r="R937" s="79"/>
      <c r="S937" s="79"/>
      <c r="V937" s="79"/>
      <c r="W937" s="79"/>
      <c r="Z937" s="130"/>
      <c r="AB937" s="106"/>
    </row>
    <row r="938">
      <c r="C938" s="79"/>
      <c r="D938" s="79"/>
      <c r="E938" s="79"/>
      <c r="M938" s="79"/>
      <c r="R938" s="79"/>
      <c r="S938" s="79"/>
      <c r="V938" s="79"/>
      <c r="W938" s="79"/>
      <c r="Z938" s="130"/>
      <c r="AB938" s="106"/>
    </row>
    <row r="939">
      <c r="C939" s="79"/>
      <c r="D939" s="79"/>
      <c r="E939" s="79"/>
      <c r="M939" s="79"/>
      <c r="R939" s="79"/>
      <c r="S939" s="79"/>
      <c r="V939" s="79"/>
      <c r="W939" s="79"/>
      <c r="Z939" s="130"/>
      <c r="AB939" s="106"/>
    </row>
    <row r="940">
      <c r="C940" s="79"/>
      <c r="D940" s="79"/>
      <c r="E940" s="79"/>
      <c r="M940" s="79"/>
      <c r="R940" s="79"/>
      <c r="S940" s="79"/>
      <c r="V940" s="79"/>
      <c r="W940" s="79"/>
      <c r="Z940" s="130"/>
      <c r="AB940" s="106"/>
    </row>
    <row r="941">
      <c r="C941" s="79"/>
      <c r="D941" s="79"/>
      <c r="E941" s="79"/>
      <c r="M941" s="79"/>
      <c r="R941" s="79"/>
      <c r="S941" s="79"/>
      <c r="V941" s="79"/>
      <c r="W941" s="79"/>
      <c r="Z941" s="130"/>
      <c r="AB941" s="106"/>
    </row>
    <row r="942">
      <c r="C942" s="79"/>
      <c r="D942" s="79"/>
      <c r="E942" s="79"/>
      <c r="M942" s="79"/>
      <c r="R942" s="79"/>
      <c r="S942" s="79"/>
      <c r="V942" s="79"/>
      <c r="W942" s="79"/>
      <c r="Z942" s="130"/>
      <c r="AB942" s="106"/>
    </row>
    <row r="943">
      <c r="C943" s="79"/>
      <c r="D943" s="79"/>
      <c r="E943" s="79"/>
      <c r="M943" s="79"/>
      <c r="R943" s="79"/>
      <c r="S943" s="79"/>
      <c r="V943" s="79"/>
      <c r="W943" s="79"/>
      <c r="Z943" s="130"/>
      <c r="AB943" s="106"/>
    </row>
    <row r="944">
      <c r="C944" s="79"/>
      <c r="D944" s="79"/>
      <c r="E944" s="79"/>
      <c r="M944" s="79"/>
      <c r="R944" s="79"/>
      <c r="S944" s="79"/>
      <c r="V944" s="79"/>
      <c r="W944" s="79"/>
      <c r="Z944" s="130"/>
      <c r="AB944" s="106"/>
    </row>
    <row r="945">
      <c r="C945" s="79"/>
      <c r="D945" s="79"/>
      <c r="E945" s="79"/>
      <c r="M945" s="79"/>
      <c r="R945" s="79"/>
      <c r="S945" s="79"/>
      <c r="V945" s="79"/>
      <c r="W945" s="79"/>
      <c r="Z945" s="130"/>
      <c r="AB945" s="106"/>
    </row>
    <row r="946">
      <c r="C946" s="79"/>
      <c r="D946" s="79"/>
      <c r="E946" s="79"/>
      <c r="M946" s="79"/>
      <c r="R946" s="79"/>
      <c r="S946" s="79"/>
      <c r="V946" s="79"/>
      <c r="W946" s="79"/>
      <c r="Z946" s="130"/>
      <c r="AB946" s="106"/>
    </row>
    <row r="947">
      <c r="C947" s="79"/>
      <c r="D947" s="79"/>
      <c r="E947" s="79"/>
      <c r="M947" s="79"/>
      <c r="R947" s="79"/>
      <c r="S947" s="79"/>
      <c r="V947" s="79"/>
      <c r="W947" s="79"/>
      <c r="Z947" s="130"/>
      <c r="AB947" s="106"/>
    </row>
    <row r="948">
      <c r="C948" s="79"/>
      <c r="D948" s="79"/>
      <c r="E948" s="79"/>
      <c r="M948" s="79"/>
      <c r="R948" s="79"/>
      <c r="S948" s="79"/>
      <c r="V948" s="79"/>
      <c r="W948" s="79"/>
      <c r="Z948" s="130"/>
      <c r="AB948" s="106"/>
    </row>
    <row r="949">
      <c r="C949" s="79"/>
      <c r="D949" s="79"/>
      <c r="E949" s="79"/>
      <c r="M949" s="79"/>
      <c r="R949" s="79"/>
      <c r="S949" s="79"/>
      <c r="V949" s="79"/>
      <c r="W949" s="79"/>
      <c r="Z949" s="130"/>
      <c r="AB949" s="106"/>
    </row>
    <row r="950">
      <c r="C950" s="79"/>
      <c r="D950" s="79"/>
      <c r="E950" s="79"/>
      <c r="M950" s="79"/>
      <c r="R950" s="79"/>
      <c r="S950" s="79"/>
      <c r="V950" s="79"/>
      <c r="W950" s="79"/>
      <c r="Z950" s="130"/>
      <c r="AB950" s="106"/>
    </row>
    <row r="951">
      <c r="C951" s="79"/>
      <c r="D951" s="79"/>
      <c r="E951" s="79"/>
      <c r="M951" s="79"/>
      <c r="R951" s="79"/>
      <c r="S951" s="79"/>
      <c r="V951" s="79"/>
      <c r="W951" s="79"/>
      <c r="Z951" s="130"/>
      <c r="AB951" s="106"/>
    </row>
    <row r="952">
      <c r="C952" s="79"/>
      <c r="D952" s="79"/>
      <c r="E952" s="79"/>
      <c r="M952" s="79"/>
      <c r="R952" s="79"/>
      <c r="S952" s="79"/>
      <c r="V952" s="79"/>
      <c r="W952" s="79"/>
      <c r="Z952" s="130"/>
      <c r="AB952" s="106"/>
    </row>
    <row r="953">
      <c r="C953" s="79"/>
      <c r="D953" s="79"/>
      <c r="E953" s="79"/>
      <c r="M953" s="79"/>
      <c r="R953" s="79"/>
      <c r="S953" s="79"/>
      <c r="V953" s="79"/>
      <c r="W953" s="79"/>
      <c r="Z953" s="130"/>
      <c r="AB953" s="106"/>
    </row>
    <row r="954">
      <c r="C954" s="79"/>
      <c r="D954" s="79"/>
      <c r="E954" s="79"/>
      <c r="M954" s="79"/>
      <c r="R954" s="79"/>
      <c r="S954" s="79"/>
      <c r="V954" s="79"/>
      <c r="W954" s="79"/>
      <c r="Z954" s="130"/>
      <c r="AB954" s="106"/>
    </row>
    <row r="955">
      <c r="C955" s="79"/>
      <c r="D955" s="79"/>
      <c r="E955" s="79"/>
      <c r="M955" s="79"/>
      <c r="R955" s="79"/>
      <c r="S955" s="79"/>
      <c r="V955" s="79"/>
      <c r="W955" s="79"/>
      <c r="Z955" s="130"/>
      <c r="AB955" s="106"/>
    </row>
    <row r="956">
      <c r="C956" s="79"/>
      <c r="D956" s="79"/>
      <c r="E956" s="79"/>
      <c r="M956" s="79"/>
      <c r="R956" s="79"/>
      <c r="S956" s="79"/>
      <c r="V956" s="79"/>
      <c r="W956" s="79"/>
      <c r="Z956" s="130"/>
      <c r="AB956" s="106"/>
    </row>
    <row r="957">
      <c r="C957" s="79"/>
      <c r="D957" s="79"/>
      <c r="E957" s="79"/>
      <c r="M957" s="79"/>
      <c r="R957" s="79"/>
      <c r="S957" s="79"/>
      <c r="V957" s="79"/>
      <c r="W957" s="79"/>
      <c r="Z957" s="130"/>
      <c r="AB957" s="106"/>
    </row>
    <row r="958">
      <c r="C958" s="79"/>
      <c r="D958" s="79"/>
      <c r="E958" s="79"/>
      <c r="M958" s="79"/>
      <c r="R958" s="79"/>
      <c r="S958" s="79"/>
      <c r="V958" s="79"/>
      <c r="W958" s="79"/>
      <c r="Z958" s="130"/>
      <c r="AB958" s="106"/>
    </row>
    <row r="959">
      <c r="C959" s="79"/>
      <c r="D959" s="79"/>
      <c r="E959" s="79"/>
      <c r="M959" s="79"/>
      <c r="R959" s="79"/>
      <c r="S959" s="79"/>
      <c r="V959" s="79"/>
      <c r="W959" s="79"/>
      <c r="Z959" s="130"/>
      <c r="AB959" s="106"/>
    </row>
    <row r="960">
      <c r="C960" s="79"/>
      <c r="D960" s="79"/>
      <c r="E960" s="79"/>
      <c r="M960" s="79"/>
      <c r="R960" s="79"/>
      <c r="S960" s="79"/>
      <c r="V960" s="79"/>
      <c r="W960" s="79"/>
      <c r="Z960" s="130"/>
      <c r="AB960" s="106"/>
    </row>
    <row r="961">
      <c r="C961" s="79"/>
      <c r="D961" s="79"/>
      <c r="E961" s="79"/>
      <c r="M961" s="79"/>
      <c r="R961" s="79"/>
      <c r="S961" s="79"/>
      <c r="V961" s="79"/>
      <c r="W961" s="79"/>
      <c r="Z961" s="130"/>
      <c r="AB961" s="106"/>
    </row>
    <row r="962">
      <c r="C962" s="79"/>
      <c r="D962" s="79"/>
      <c r="E962" s="79"/>
      <c r="M962" s="79"/>
      <c r="R962" s="79"/>
      <c r="S962" s="79"/>
      <c r="V962" s="79"/>
      <c r="W962" s="79"/>
      <c r="Z962" s="130"/>
      <c r="AB962" s="106"/>
    </row>
    <row r="963">
      <c r="C963" s="79"/>
      <c r="D963" s="79"/>
      <c r="E963" s="79"/>
      <c r="M963" s="79"/>
      <c r="R963" s="79"/>
      <c r="S963" s="79"/>
      <c r="V963" s="79"/>
      <c r="W963" s="79"/>
      <c r="Z963" s="130"/>
      <c r="AB963" s="106"/>
    </row>
    <row r="964">
      <c r="C964" s="79"/>
      <c r="D964" s="79"/>
      <c r="E964" s="79"/>
      <c r="M964" s="79"/>
      <c r="R964" s="79"/>
      <c r="S964" s="79"/>
      <c r="V964" s="79"/>
      <c r="W964" s="79"/>
      <c r="Z964" s="130"/>
      <c r="AB964" s="106"/>
    </row>
    <row r="965">
      <c r="C965" s="79"/>
      <c r="D965" s="79"/>
      <c r="E965" s="79"/>
      <c r="M965" s="79"/>
      <c r="R965" s="79"/>
      <c r="S965" s="79"/>
      <c r="V965" s="79"/>
      <c r="W965" s="79"/>
      <c r="Z965" s="130"/>
      <c r="AB965" s="106"/>
    </row>
    <row r="966">
      <c r="C966" s="79"/>
      <c r="D966" s="79"/>
      <c r="E966" s="79"/>
      <c r="M966" s="79"/>
      <c r="R966" s="79"/>
      <c r="S966" s="79"/>
      <c r="V966" s="79"/>
      <c r="W966" s="79"/>
      <c r="Z966" s="130"/>
      <c r="AB966" s="106"/>
    </row>
    <row r="967">
      <c r="C967" s="79"/>
      <c r="D967" s="79"/>
      <c r="E967" s="79"/>
      <c r="M967" s="79"/>
      <c r="R967" s="79"/>
      <c r="S967" s="79"/>
      <c r="V967" s="79"/>
      <c r="W967" s="79"/>
      <c r="Z967" s="130"/>
      <c r="AB967" s="106"/>
    </row>
    <row r="968">
      <c r="C968" s="79"/>
      <c r="D968" s="79"/>
      <c r="E968" s="79"/>
      <c r="M968" s="79"/>
      <c r="R968" s="79"/>
      <c r="S968" s="79"/>
      <c r="V968" s="79"/>
      <c r="W968" s="79"/>
      <c r="Z968" s="130"/>
      <c r="AB968" s="106"/>
    </row>
    <row r="969">
      <c r="C969" s="79"/>
      <c r="D969" s="79"/>
      <c r="E969" s="79"/>
      <c r="M969" s="79"/>
      <c r="R969" s="79"/>
      <c r="S969" s="79"/>
      <c r="V969" s="79"/>
      <c r="W969" s="79"/>
      <c r="Z969" s="130"/>
      <c r="AB969" s="106"/>
    </row>
    <row r="970">
      <c r="C970" s="79"/>
      <c r="D970" s="79"/>
      <c r="E970" s="79"/>
      <c r="M970" s="79"/>
      <c r="R970" s="79"/>
      <c r="S970" s="79"/>
      <c r="V970" s="79"/>
      <c r="W970" s="79"/>
      <c r="Z970" s="130"/>
      <c r="AB970" s="106"/>
    </row>
    <row r="971">
      <c r="C971" s="79"/>
      <c r="D971" s="79"/>
      <c r="E971" s="79"/>
      <c r="M971" s="79"/>
      <c r="R971" s="79"/>
      <c r="S971" s="79"/>
      <c r="V971" s="79"/>
      <c r="W971" s="79"/>
      <c r="Z971" s="130"/>
      <c r="AB971" s="106"/>
    </row>
    <row r="972">
      <c r="C972" s="79"/>
      <c r="D972" s="79"/>
      <c r="E972" s="79"/>
      <c r="M972" s="79"/>
      <c r="R972" s="79"/>
      <c r="S972" s="79"/>
      <c r="V972" s="79"/>
      <c r="W972" s="79"/>
      <c r="Z972" s="130"/>
      <c r="AB972" s="106"/>
    </row>
    <row r="973">
      <c r="C973" s="79"/>
      <c r="D973" s="79"/>
      <c r="E973" s="79"/>
      <c r="M973" s="79"/>
      <c r="R973" s="79"/>
      <c r="S973" s="79"/>
      <c r="V973" s="79"/>
      <c r="W973" s="79"/>
      <c r="Z973" s="130"/>
      <c r="AB973" s="106"/>
    </row>
    <row r="974">
      <c r="C974" s="79"/>
      <c r="D974" s="79"/>
      <c r="E974" s="79"/>
      <c r="M974" s="79"/>
      <c r="R974" s="79"/>
      <c r="S974" s="79"/>
      <c r="V974" s="79"/>
      <c r="W974" s="79"/>
      <c r="Z974" s="130"/>
      <c r="AB974" s="106"/>
    </row>
    <row r="975">
      <c r="C975" s="79"/>
      <c r="D975" s="79"/>
      <c r="E975" s="79"/>
      <c r="M975" s="79"/>
      <c r="R975" s="79"/>
      <c r="S975" s="79"/>
      <c r="V975" s="79"/>
      <c r="W975" s="79"/>
      <c r="Z975" s="130"/>
      <c r="AB975" s="106"/>
    </row>
    <row r="976">
      <c r="C976" s="79"/>
      <c r="D976" s="79"/>
      <c r="E976" s="79"/>
      <c r="M976" s="79"/>
      <c r="R976" s="79"/>
      <c r="S976" s="79"/>
      <c r="V976" s="79"/>
      <c r="W976" s="79"/>
      <c r="Z976" s="130"/>
      <c r="AB976" s="106"/>
    </row>
    <row r="977">
      <c r="C977" s="79"/>
      <c r="D977" s="79"/>
      <c r="E977" s="79"/>
      <c r="M977" s="79"/>
      <c r="R977" s="79"/>
      <c r="S977" s="79"/>
      <c r="V977" s="79"/>
      <c r="W977" s="79"/>
      <c r="Z977" s="130"/>
      <c r="AB977" s="106"/>
    </row>
    <row r="978">
      <c r="C978" s="79"/>
      <c r="D978" s="79"/>
      <c r="E978" s="79"/>
      <c r="M978" s="79"/>
      <c r="R978" s="79"/>
      <c r="S978" s="79"/>
      <c r="V978" s="79"/>
      <c r="W978" s="79"/>
      <c r="Z978" s="130"/>
      <c r="AB978" s="106"/>
    </row>
    <row r="979">
      <c r="C979" s="79"/>
      <c r="D979" s="79"/>
      <c r="E979" s="79"/>
      <c r="M979" s="79"/>
      <c r="R979" s="79"/>
      <c r="S979" s="79"/>
      <c r="V979" s="79"/>
      <c r="W979" s="79"/>
      <c r="Z979" s="130"/>
      <c r="AB979" s="106"/>
    </row>
    <row r="980">
      <c r="C980" s="79"/>
      <c r="D980" s="79"/>
      <c r="E980" s="79"/>
      <c r="M980" s="79"/>
      <c r="R980" s="79"/>
      <c r="S980" s="79"/>
      <c r="V980" s="79"/>
      <c r="W980" s="79"/>
      <c r="Z980" s="130"/>
      <c r="AB980" s="106"/>
    </row>
    <row r="981">
      <c r="C981" s="79"/>
      <c r="D981" s="79"/>
      <c r="E981" s="79"/>
      <c r="M981" s="79"/>
      <c r="R981" s="79"/>
      <c r="S981" s="79"/>
      <c r="V981" s="79"/>
      <c r="W981" s="79"/>
      <c r="Z981" s="130"/>
      <c r="AB981" s="106"/>
    </row>
  </sheetData>
  <drawing r:id="rId2"/>
  <legacyDrawing r:id="rId3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5" max="5" width="13.5"/>
    <col customWidth="1" min="7" max="7" width="13.25"/>
    <col hidden="1" min="12" max="13" width="12.63"/>
    <col customWidth="1" min="24" max="24" width="14.63"/>
    <col customWidth="1" min="28" max="28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3</v>
      </c>
      <c r="G1" s="2" t="s">
        <v>203</v>
      </c>
      <c r="H1" s="2" t="s">
        <v>129</v>
      </c>
      <c r="I1" s="2" t="s">
        <v>5</v>
      </c>
      <c r="J1" s="2" t="s">
        <v>204</v>
      </c>
      <c r="K1" s="2" t="s">
        <v>6</v>
      </c>
      <c r="L1" s="2" t="s">
        <v>43</v>
      </c>
      <c r="M1" s="105" t="s">
        <v>40</v>
      </c>
      <c r="N1" s="2" t="s">
        <v>49</v>
      </c>
      <c r="O1" s="2" t="s">
        <v>42</v>
      </c>
      <c r="P1" s="2" t="s">
        <v>121</v>
      </c>
      <c r="Q1" s="2" t="s">
        <v>164</v>
      </c>
      <c r="R1" s="105" t="s">
        <v>9</v>
      </c>
      <c r="S1" s="105" t="s">
        <v>165</v>
      </c>
      <c r="T1" s="2" t="s">
        <v>37</v>
      </c>
      <c r="U1" s="2" t="s">
        <v>10</v>
      </c>
      <c r="V1" s="105" t="s">
        <v>11</v>
      </c>
      <c r="W1" s="105" t="s">
        <v>205</v>
      </c>
      <c r="X1" s="2" t="s">
        <v>206</v>
      </c>
      <c r="Y1" s="3" t="s">
        <v>13</v>
      </c>
      <c r="Z1" s="3" t="s">
        <v>14</v>
      </c>
      <c r="AA1" s="3" t="s">
        <v>15</v>
      </c>
      <c r="AB1" s="106"/>
    </row>
    <row r="2">
      <c r="A2" s="74">
        <v>45306.0</v>
      </c>
      <c r="B2" s="93">
        <f>963.91-52.51-69-30.12-17.05-12.91-62.07</f>
        <v>720.25</v>
      </c>
      <c r="C2" s="93">
        <f>471.55-150.5-127</f>
        <v>194.05</v>
      </c>
      <c r="D2" s="193">
        <f>71.63+406.04-100.1-197.64</f>
        <v>179.93</v>
      </c>
      <c r="E2" s="93"/>
      <c r="F2" s="1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72"/>
      <c r="U2" s="93"/>
      <c r="V2" s="93">
        <v>57.05</v>
      </c>
      <c r="W2" s="93"/>
      <c r="X2" s="5"/>
      <c r="Y2" s="107">
        <f t="shared" ref="Y2:Y8" si="1">SUM(B2:X2)</f>
        <v>1151.28</v>
      </c>
      <c r="Z2" s="158">
        <v>865.0</v>
      </c>
      <c r="AA2" s="59">
        <f t="shared" ref="AA2:AA8" si="2">Y2/Z2</f>
        <v>1.330959538</v>
      </c>
      <c r="AB2" s="109">
        <f t="shared" ref="AB2:AB8" si="3">A2</f>
        <v>45306</v>
      </c>
    </row>
    <row r="3">
      <c r="A3" s="74">
        <v>45307.0</v>
      </c>
      <c r="B3" s="93">
        <f>386.05-218</f>
        <v>168.05</v>
      </c>
      <c r="C3" s="93">
        <f>217.95-33.4-43.5</f>
        <v>141.05</v>
      </c>
      <c r="D3" s="193">
        <v>377.76</v>
      </c>
      <c r="E3" s="93"/>
      <c r="F3" s="93">
        <v>180.0</v>
      </c>
      <c r="G3" s="93"/>
      <c r="H3" s="93">
        <v>124.7</v>
      </c>
      <c r="I3" s="93"/>
      <c r="J3" s="93"/>
      <c r="K3" s="93"/>
      <c r="L3" s="93"/>
      <c r="M3" s="93"/>
      <c r="N3" s="93"/>
      <c r="O3" s="93"/>
      <c r="P3" s="101"/>
      <c r="Q3" s="93"/>
      <c r="R3" s="93"/>
      <c r="S3" s="93"/>
      <c r="T3" s="93"/>
      <c r="U3" s="93"/>
      <c r="V3" s="93"/>
      <c r="W3" s="93"/>
      <c r="X3" s="93"/>
      <c r="Y3" s="107">
        <f t="shared" si="1"/>
        <v>991.56</v>
      </c>
      <c r="Z3" s="158">
        <v>2553.0</v>
      </c>
      <c r="AA3" s="59">
        <f t="shared" si="2"/>
        <v>0.3883901293</v>
      </c>
      <c r="AB3" s="109">
        <f t="shared" si="3"/>
        <v>45307</v>
      </c>
    </row>
    <row r="4">
      <c r="A4" s="74">
        <v>45308.0</v>
      </c>
      <c r="B4" s="93">
        <f>879.73-38.1-23.73-36.81-28.28-37.66-33.79</f>
        <v>681.36</v>
      </c>
      <c r="C4" s="93"/>
      <c r="D4" s="93">
        <v>402.86</v>
      </c>
      <c r="E4" s="93"/>
      <c r="F4" s="93"/>
      <c r="G4" s="93"/>
      <c r="H4" s="93"/>
      <c r="I4" s="93">
        <f>487-190-49.5</f>
        <v>247.5</v>
      </c>
      <c r="J4" s="93"/>
      <c r="K4" s="93">
        <v>42.0</v>
      </c>
      <c r="L4" s="93"/>
      <c r="M4" s="93"/>
      <c r="N4" s="93"/>
      <c r="O4" s="93"/>
      <c r="P4" s="93">
        <v>18.5</v>
      </c>
      <c r="Q4" s="93"/>
      <c r="R4" s="93"/>
      <c r="S4" s="93"/>
      <c r="T4" s="160"/>
      <c r="U4" s="93"/>
      <c r="V4" s="93">
        <v>57.05</v>
      </c>
      <c r="W4" s="93"/>
      <c r="X4" s="6"/>
      <c r="Y4" s="107">
        <f t="shared" si="1"/>
        <v>1449.27</v>
      </c>
      <c r="Z4" s="97">
        <f>60+2367.8</f>
        <v>2427.8</v>
      </c>
      <c r="AA4" s="59">
        <f t="shared" si="2"/>
        <v>0.596947854</v>
      </c>
      <c r="AB4" s="109">
        <f t="shared" si="3"/>
        <v>45308</v>
      </c>
    </row>
    <row r="5">
      <c r="A5" s="74">
        <v>45309.0</v>
      </c>
      <c r="B5" s="93">
        <f>1310.74-88.31-265.2-17.5-32-40.26-24.6-66.08-96.6-118.03-23.65</f>
        <v>538.51</v>
      </c>
      <c r="C5" s="93">
        <f>15.75+369.55-18.55-12.05-16.8-12.2-23.55-38.6</f>
        <v>263.55</v>
      </c>
      <c r="D5" s="93">
        <f>+165.29-65.71-57.6</f>
        <v>41.98</v>
      </c>
      <c r="E5" s="93"/>
      <c r="F5" s="93">
        <v>180.0</v>
      </c>
      <c r="G5" s="160"/>
      <c r="H5" s="93"/>
      <c r="I5" s="93"/>
      <c r="J5" s="93"/>
      <c r="K5" s="93"/>
      <c r="L5" s="93"/>
      <c r="M5" s="93"/>
      <c r="N5" s="93">
        <v>144.0</v>
      </c>
      <c r="O5" s="93"/>
      <c r="P5" s="93">
        <v>18.5</v>
      </c>
      <c r="Q5" s="93"/>
      <c r="R5" s="93"/>
      <c r="S5" s="93"/>
      <c r="T5" s="93"/>
      <c r="U5" s="93">
        <v>149.0</v>
      </c>
      <c r="V5" s="101"/>
      <c r="W5" s="101"/>
      <c r="X5" s="6"/>
      <c r="Y5" s="7">
        <f t="shared" si="1"/>
        <v>1335.54</v>
      </c>
      <c r="Z5" s="97">
        <f>427+2895</f>
        <v>3322</v>
      </c>
      <c r="AA5" s="59">
        <f t="shared" si="2"/>
        <v>0.4020288983</v>
      </c>
      <c r="AB5" s="109">
        <f t="shared" si="3"/>
        <v>45309</v>
      </c>
    </row>
    <row r="6">
      <c r="A6" s="74">
        <v>45310.0</v>
      </c>
      <c r="B6" s="93">
        <f>1110.08-46.84-34.1-32-30.12-46.24-129.24-66.08</f>
        <v>725.46</v>
      </c>
      <c r="C6" s="93"/>
      <c r="D6" s="93"/>
      <c r="E6" s="93"/>
      <c r="F6" s="93"/>
      <c r="G6" s="93"/>
      <c r="H6" s="93"/>
      <c r="I6" s="93">
        <f>615.8-283.8</f>
        <v>332</v>
      </c>
      <c r="J6" s="93"/>
      <c r="K6" s="93">
        <v>123.0</v>
      </c>
      <c r="L6" s="93"/>
      <c r="M6" s="162"/>
      <c r="N6" s="93"/>
      <c r="O6" s="93"/>
      <c r="P6" s="93">
        <v>18.5</v>
      </c>
      <c r="Q6" s="93"/>
      <c r="R6" s="93"/>
      <c r="S6" s="93"/>
      <c r="T6" s="93"/>
      <c r="U6" s="93"/>
      <c r="V6" s="93">
        <v>57.05</v>
      </c>
      <c r="W6" s="93"/>
      <c r="X6" s="5"/>
      <c r="Y6" s="7">
        <f t="shared" si="1"/>
        <v>1256.01</v>
      </c>
      <c r="Z6" s="97">
        <f>899+8033</f>
        <v>8932</v>
      </c>
      <c r="AA6" s="59">
        <f t="shared" si="2"/>
        <v>0.1406191223</v>
      </c>
      <c r="AB6" s="109">
        <f t="shared" si="3"/>
        <v>45310</v>
      </c>
    </row>
    <row r="7">
      <c r="A7" s="74">
        <v>45311.0</v>
      </c>
      <c r="B7" s="93">
        <f>1627.09-349-109-218.94-55+103.96+33.52-65.96</f>
        <v>966.67</v>
      </c>
      <c r="C7" s="93">
        <f>365.25-119.2</f>
        <v>246.05</v>
      </c>
      <c r="D7" s="180">
        <v>231.81</v>
      </c>
      <c r="E7" s="93"/>
      <c r="F7" s="93">
        <v>180.0</v>
      </c>
      <c r="G7" s="93"/>
      <c r="H7" s="93">
        <v>202.74</v>
      </c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101"/>
      <c r="U7" s="101"/>
      <c r="V7" s="101"/>
      <c r="W7" s="101"/>
      <c r="X7" s="5"/>
      <c r="Y7" s="7">
        <f t="shared" si="1"/>
        <v>1827.27</v>
      </c>
      <c r="Z7" s="97">
        <v>11366.86</v>
      </c>
      <c r="AA7" s="59">
        <f t="shared" si="2"/>
        <v>0.1607541573</v>
      </c>
      <c r="AB7" s="109">
        <f t="shared" si="3"/>
        <v>45311</v>
      </c>
    </row>
    <row r="8">
      <c r="A8" s="74">
        <v>45312.0</v>
      </c>
      <c r="B8" s="180">
        <v>440.05</v>
      </c>
      <c r="C8" s="112" t="s">
        <v>21</v>
      </c>
      <c r="D8" s="180">
        <v>1120.33</v>
      </c>
      <c r="E8" s="112" t="s">
        <v>21</v>
      </c>
      <c r="F8" s="112" t="s">
        <v>21</v>
      </c>
      <c r="G8" s="112" t="s">
        <v>21</v>
      </c>
      <c r="H8" s="112" t="s">
        <v>21</v>
      </c>
      <c r="I8" s="112" t="s">
        <v>21</v>
      </c>
      <c r="J8" s="112" t="s">
        <v>21</v>
      </c>
      <c r="K8" s="112" t="s">
        <v>21</v>
      </c>
      <c r="L8" s="112" t="s">
        <v>21</v>
      </c>
      <c r="M8" s="112" t="s">
        <v>21</v>
      </c>
      <c r="N8" s="112" t="s">
        <v>21</v>
      </c>
      <c r="O8" s="93"/>
      <c r="P8" s="112" t="s">
        <v>21</v>
      </c>
      <c r="Q8" s="112" t="s">
        <v>21</v>
      </c>
      <c r="R8" s="112" t="s">
        <v>21</v>
      </c>
      <c r="S8" s="112" t="s">
        <v>21</v>
      </c>
      <c r="T8" s="112" t="s">
        <v>21</v>
      </c>
      <c r="U8" s="112" t="s">
        <v>21</v>
      </c>
      <c r="V8" s="10" t="s">
        <v>21</v>
      </c>
      <c r="W8" s="10" t="s">
        <v>21</v>
      </c>
      <c r="X8" s="10" t="s">
        <v>21</v>
      </c>
      <c r="Y8" s="7">
        <f t="shared" si="1"/>
        <v>1560.38</v>
      </c>
      <c r="Z8" s="97">
        <v>5337.8</v>
      </c>
      <c r="AA8" s="59">
        <f t="shared" si="2"/>
        <v>0.2923264266</v>
      </c>
      <c r="AB8" s="109">
        <f t="shared" si="3"/>
        <v>45312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Z9" s="129"/>
      <c r="AB9" s="106"/>
    </row>
    <row r="10">
      <c r="A10" s="164" t="s">
        <v>193</v>
      </c>
      <c r="B10" s="78"/>
      <c r="C10" s="78"/>
      <c r="D10" s="78"/>
      <c r="E10" s="188"/>
      <c r="F10" s="188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Z10" s="129"/>
      <c r="AB10" s="106"/>
    </row>
    <row r="11">
      <c r="A11" s="165" t="s">
        <v>194</v>
      </c>
      <c r="B11" s="93">
        <f>69+30.12+17.05+218+38.1+23.73+36.81+96.6+66.08+12.91+33.79+109+55+65.96</f>
        <v>872.15</v>
      </c>
      <c r="C11" s="93">
        <f>150.5+33.4+43.5+18.55+12.05+16.8+23.55+38.6</f>
        <v>336.95</v>
      </c>
      <c r="D11" s="93">
        <v>57.6</v>
      </c>
      <c r="E11" s="167"/>
      <c r="F11" s="168"/>
      <c r="G11" s="166"/>
      <c r="H11" s="166"/>
      <c r="I11" s="93"/>
      <c r="J11" s="168"/>
      <c r="K11" s="168"/>
      <c r="L11" s="168"/>
      <c r="M11" s="168"/>
      <c r="N11" s="166"/>
      <c r="O11" s="168"/>
      <c r="P11" s="1"/>
      <c r="Q11" s="1"/>
      <c r="R11" s="1"/>
      <c r="S11" s="1"/>
      <c r="T11" s="1"/>
      <c r="U11" s="1"/>
      <c r="V11" s="168"/>
      <c r="W11" s="168"/>
      <c r="X11" s="1"/>
      <c r="Y11" s="1"/>
      <c r="Z11" s="169"/>
      <c r="AA11" s="1"/>
      <c r="AB11" s="170"/>
    </row>
    <row r="12">
      <c r="A12" s="165" t="s">
        <v>195</v>
      </c>
      <c r="B12" s="93">
        <f>52.51+28.28+88.31+265.2+32+24.6+66.08+32+46.24+129.24+62.07+37.66+349</f>
        <v>1213.19</v>
      </c>
      <c r="C12" s="93">
        <f>127+12.2+119.25</f>
        <v>258.45</v>
      </c>
      <c r="D12" s="93">
        <f>100.1+197.64</f>
        <v>297.74</v>
      </c>
      <c r="E12" s="93"/>
      <c r="F12" s="93"/>
      <c r="G12" s="93"/>
      <c r="H12" s="93"/>
      <c r="I12" s="93">
        <f>190+49.5</f>
        <v>239.5</v>
      </c>
      <c r="J12" s="93"/>
      <c r="K12" s="93"/>
      <c r="L12" s="93"/>
      <c r="M12" s="93"/>
      <c r="N12" s="93">
        <v>300.0</v>
      </c>
      <c r="O12" s="166"/>
      <c r="P12" s="1"/>
      <c r="Q12" s="1"/>
      <c r="R12" s="168"/>
      <c r="S12" s="168"/>
      <c r="T12" s="1"/>
      <c r="U12" s="96"/>
      <c r="V12" s="168"/>
      <c r="W12" s="168"/>
      <c r="X12" s="1"/>
      <c r="Y12" s="1"/>
      <c r="Z12" s="171"/>
      <c r="AA12" s="1"/>
      <c r="AB12" s="170"/>
    </row>
    <row r="13">
      <c r="A13" s="165" t="s">
        <v>198</v>
      </c>
      <c r="B13" s="93"/>
      <c r="C13" s="93"/>
      <c r="D13" s="93"/>
      <c r="E13" s="168"/>
      <c r="F13" s="166"/>
      <c r="G13" s="168"/>
      <c r="H13" s="168"/>
      <c r="I13" s="168"/>
      <c r="J13" s="168"/>
      <c r="K13" s="168"/>
      <c r="L13" s="168"/>
      <c r="M13" s="168"/>
      <c r="N13" s="166"/>
      <c r="O13" s="168"/>
      <c r="P13" s="1"/>
      <c r="Q13" s="1"/>
      <c r="R13" s="168"/>
      <c r="S13" s="168"/>
      <c r="T13" s="1"/>
      <c r="U13" s="96"/>
      <c r="V13" s="168"/>
      <c r="W13" s="168"/>
      <c r="X13" s="1"/>
      <c r="Y13" s="1"/>
      <c r="Z13" s="174"/>
      <c r="AA13" s="1"/>
      <c r="AB13" s="170"/>
    </row>
    <row r="14">
      <c r="A14" s="91"/>
      <c r="B14" s="92"/>
      <c r="C14" s="79"/>
      <c r="D14" s="79"/>
      <c r="E14" s="79"/>
      <c r="F14" s="78"/>
      <c r="G14" s="78"/>
      <c r="H14" s="78"/>
      <c r="K14" s="79"/>
      <c r="L14" s="79"/>
      <c r="M14" s="78"/>
      <c r="N14" s="79"/>
      <c r="O14" s="79"/>
      <c r="R14" s="79"/>
      <c r="S14" s="79"/>
      <c r="V14" s="79"/>
      <c r="W14" s="79"/>
      <c r="Z14" s="131"/>
      <c r="AB14" s="106"/>
    </row>
    <row r="15">
      <c r="A15" s="91"/>
      <c r="B15" s="92"/>
      <c r="C15" s="78"/>
      <c r="D15" s="78"/>
      <c r="E15" s="78"/>
      <c r="F15" s="198"/>
      <c r="G15" s="204"/>
      <c r="H15" s="204"/>
      <c r="I15" s="198"/>
      <c r="J15" s="199"/>
      <c r="K15" s="199"/>
      <c r="L15" s="200"/>
      <c r="M15" s="201"/>
      <c r="N15" s="202"/>
      <c r="O15" s="198"/>
      <c r="P15" s="198"/>
      <c r="Q15" s="198"/>
      <c r="R15" s="198"/>
      <c r="S15" s="198"/>
      <c r="V15" s="79"/>
      <c r="W15" s="79"/>
      <c r="Z15" s="131"/>
      <c r="AB15" s="106"/>
    </row>
    <row r="16">
      <c r="A16" s="4" t="s">
        <v>22</v>
      </c>
      <c r="B16" s="11">
        <v>10000.0</v>
      </c>
      <c r="C16" s="79"/>
      <c r="D16" s="79"/>
      <c r="E16" s="79"/>
      <c r="F16" s="204"/>
      <c r="G16" s="201"/>
      <c r="H16" s="201"/>
      <c r="I16" s="201"/>
      <c r="J16" s="201"/>
      <c r="K16" s="201"/>
      <c r="L16" s="198"/>
      <c r="M16" s="201"/>
      <c r="N16" s="200"/>
      <c r="O16" s="203"/>
      <c r="P16" s="198"/>
      <c r="Q16" s="198"/>
      <c r="R16" s="198"/>
      <c r="S16" s="198"/>
      <c r="T16" s="204"/>
      <c r="V16" s="79"/>
      <c r="W16" s="79"/>
      <c r="Z16" s="131"/>
      <c r="AB16" s="106"/>
    </row>
    <row r="17">
      <c r="A17" s="4" t="s">
        <v>23</v>
      </c>
      <c r="B17" s="12">
        <f>SUM(B2:X8)</f>
        <v>9571.31</v>
      </c>
      <c r="C17" s="79"/>
      <c r="D17" s="177"/>
      <c r="E17" s="78"/>
      <c r="F17" s="204"/>
      <c r="G17" s="201"/>
      <c r="H17" s="201"/>
      <c r="I17" s="201"/>
      <c r="J17" s="191"/>
      <c r="K17" s="201"/>
      <c r="L17" s="198"/>
      <c r="M17" s="200"/>
      <c r="N17" s="201"/>
      <c r="O17" s="203"/>
      <c r="P17" s="198"/>
      <c r="Q17" s="198"/>
      <c r="R17" s="198"/>
      <c r="S17" s="198"/>
      <c r="T17" s="204"/>
      <c r="V17" s="79"/>
      <c r="W17" s="79"/>
      <c r="Z17" s="131"/>
      <c r="AB17" s="106"/>
    </row>
    <row r="18">
      <c r="A18" s="4" t="s">
        <v>24</v>
      </c>
      <c r="B18" s="12">
        <f> SUM(B16-B17)</f>
        <v>428.69</v>
      </c>
      <c r="C18" s="79"/>
      <c r="D18" s="79"/>
      <c r="E18" s="78"/>
      <c r="F18" s="201"/>
      <c r="G18" s="214"/>
      <c r="H18" s="203"/>
      <c r="I18" s="215"/>
      <c r="J18" s="218"/>
      <c r="K18" s="199"/>
      <c r="L18" s="198"/>
      <c r="M18" s="201"/>
      <c r="N18" s="200"/>
      <c r="O18" s="203"/>
      <c r="P18" s="198"/>
      <c r="Q18" s="198"/>
      <c r="R18" s="198"/>
      <c r="S18" s="198"/>
      <c r="T18" s="204"/>
      <c r="V18" s="79"/>
      <c r="W18" s="79"/>
      <c r="Z18" s="131"/>
      <c r="AB18" s="106"/>
    </row>
    <row r="19">
      <c r="C19" s="79"/>
      <c r="D19" s="79"/>
      <c r="E19" s="78"/>
      <c r="F19" s="204"/>
      <c r="G19" s="214"/>
      <c r="H19" s="203"/>
      <c r="I19" s="205"/>
      <c r="J19" s="203"/>
      <c r="K19" s="203"/>
      <c r="L19" s="198"/>
      <c r="M19" s="201"/>
      <c r="N19" s="198"/>
      <c r="O19" s="203"/>
      <c r="P19" s="198"/>
      <c r="Q19" s="206"/>
      <c r="R19" s="198"/>
      <c r="S19" s="198"/>
      <c r="T19" s="204"/>
      <c r="V19" s="79"/>
      <c r="W19" s="79"/>
      <c r="Z19" s="131"/>
      <c r="AB19" s="106"/>
    </row>
    <row r="20">
      <c r="A20" s="13" t="s">
        <v>25</v>
      </c>
      <c r="B20" s="14">
        <f>SUM(Z2:Z8)</f>
        <v>34804.46</v>
      </c>
      <c r="C20" s="79"/>
      <c r="D20" s="79"/>
      <c r="E20" s="78"/>
      <c r="F20" s="201"/>
      <c r="G20" s="201"/>
      <c r="H20" s="201"/>
      <c r="I20" s="203"/>
      <c r="J20" s="203"/>
      <c r="K20" s="203"/>
      <c r="L20" s="198"/>
      <c r="M20" s="201"/>
      <c r="N20" s="198"/>
      <c r="O20" s="203"/>
      <c r="P20" s="198"/>
      <c r="Q20" s="198"/>
      <c r="R20" s="198"/>
      <c r="S20" s="198"/>
      <c r="T20" s="204"/>
      <c r="V20" s="79"/>
      <c r="W20" s="79"/>
      <c r="Z20" s="181"/>
      <c r="AB20" s="106"/>
    </row>
    <row r="21">
      <c r="A21" s="13" t="s">
        <v>26</v>
      </c>
      <c r="B21" s="15">
        <f>B17/B20</f>
        <v>0.2750023991</v>
      </c>
      <c r="C21" s="79"/>
      <c r="D21" s="79"/>
      <c r="E21" s="78"/>
      <c r="F21" s="204"/>
      <c r="G21" s="204"/>
      <c r="H21" s="207"/>
      <c r="I21" s="203"/>
      <c r="J21" s="203"/>
      <c r="K21" s="203"/>
      <c r="L21" s="198"/>
      <c r="M21" s="200"/>
      <c r="N21" s="203"/>
      <c r="O21" s="203"/>
      <c r="P21" s="198"/>
      <c r="Q21" s="198"/>
      <c r="R21" s="198"/>
      <c r="S21" s="198"/>
      <c r="T21" s="204"/>
      <c r="V21" s="79"/>
      <c r="W21" s="79"/>
      <c r="Z21" s="130"/>
      <c r="AB21" s="106"/>
    </row>
    <row r="22">
      <c r="C22" s="79"/>
      <c r="D22" s="79"/>
      <c r="E22" s="78"/>
      <c r="F22" s="204"/>
      <c r="G22" s="204"/>
      <c r="H22" s="204"/>
      <c r="I22" s="203"/>
      <c r="J22" s="203"/>
      <c r="K22" s="203"/>
      <c r="L22" s="198"/>
      <c r="M22" s="198"/>
      <c r="N22" s="198"/>
      <c r="O22" s="198"/>
      <c r="P22" s="198"/>
      <c r="Q22" s="198"/>
      <c r="R22" s="198"/>
      <c r="S22" s="198"/>
      <c r="T22" s="204"/>
      <c r="V22" s="79"/>
      <c r="W22" s="79"/>
      <c r="Z22" s="182"/>
      <c r="AB22" s="106"/>
    </row>
    <row r="23">
      <c r="C23" s="79"/>
      <c r="D23" s="79"/>
      <c r="E23" s="79"/>
      <c r="F23" s="204"/>
      <c r="G23" s="204"/>
      <c r="H23" s="204"/>
      <c r="I23" s="203"/>
      <c r="J23" s="203"/>
      <c r="K23" s="203"/>
      <c r="L23" s="198"/>
      <c r="M23" s="201"/>
      <c r="N23" s="198"/>
      <c r="O23" s="198"/>
      <c r="P23" s="198"/>
      <c r="Q23" s="198"/>
      <c r="R23" s="198"/>
      <c r="S23" s="198"/>
      <c r="T23" s="204"/>
      <c r="V23" s="79"/>
      <c r="W23" s="79"/>
      <c r="Z23" s="130"/>
      <c r="AB23" s="106"/>
    </row>
    <row r="24">
      <c r="A24" s="16" t="s">
        <v>27</v>
      </c>
      <c r="B24" s="17"/>
      <c r="C24" s="114"/>
      <c r="D24" s="114"/>
      <c r="E24" s="115"/>
      <c r="F24" s="204"/>
      <c r="G24" s="204"/>
      <c r="H24" s="204"/>
      <c r="I24" s="203"/>
      <c r="J24" s="203"/>
      <c r="K24" s="213"/>
      <c r="L24" s="208"/>
      <c r="M24" s="208"/>
      <c r="N24" s="198"/>
      <c r="O24" s="200"/>
      <c r="P24" s="198"/>
      <c r="Q24" s="198"/>
      <c r="R24" s="198"/>
      <c r="S24" s="198"/>
      <c r="T24" s="204"/>
      <c r="V24" s="79"/>
      <c r="W24" s="79"/>
      <c r="Z24" s="130"/>
      <c r="AB24" s="106"/>
    </row>
    <row r="25">
      <c r="A25" s="19" t="s">
        <v>28</v>
      </c>
      <c r="B25" s="20"/>
      <c r="C25" s="116"/>
      <c r="D25" s="116"/>
      <c r="E25" s="117"/>
      <c r="F25" s="204"/>
      <c r="G25" s="204"/>
      <c r="H25" s="204"/>
      <c r="I25" s="203"/>
      <c r="J25" s="203"/>
      <c r="K25" s="203"/>
      <c r="L25" s="209"/>
      <c r="M25" s="209"/>
      <c r="N25" s="201"/>
      <c r="O25" s="198"/>
      <c r="P25" s="198"/>
      <c r="Q25" s="198"/>
      <c r="R25" s="198"/>
      <c r="S25" s="198"/>
      <c r="T25" s="204"/>
      <c r="V25" s="79"/>
      <c r="W25" s="79"/>
      <c r="Z25" s="130"/>
      <c r="AB25" s="106"/>
    </row>
    <row r="26">
      <c r="A26" s="183" t="s">
        <v>29</v>
      </c>
      <c r="B26" s="184" t="s">
        <v>30</v>
      </c>
      <c r="C26" s="183"/>
      <c r="D26" s="183" t="s">
        <v>170</v>
      </c>
      <c r="E26" s="219" t="s">
        <v>171</v>
      </c>
      <c r="F26" s="204"/>
      <c r="G26" s="204"/>
      <c r="H26" s="204"/>
      <c r="I26" s="203"/>
      <c r="J26" s="203"/>
      <c r="K26" s="201"/>
      <c r="L26" s="209"/>
      <c r="M26" s="209"/>
      <c r="N26" s="198"/>
      <c r="O26" s="198"/>
      <c r="P26" s="198"/>
      <c r="Q26" s="198"/>
      <c r="R26" s="198"/>
      <c r="S26" s="198"/>
      <c r="T26" s="204"/>
      <c r="V26" s="79"/>
      <c r="W26" s="79"/>
      <c r="Z26" s="130"/>
      <c r="AB26" s="106"/>
    </row>
    <row r="27">
      <c r="A27" s="166" t="s">
        <v>41</v>
      </c>
      <c r="B27" s="93">
        <f>(660.08+660.08)-440.05</f>
        <v>880.11</v>
      </c>
      <c r="C27" s="168"/>
      <c r="D27" s="168"/>
      <c r="E27" s="166" t="s">
        <v>228</v>
      </c>
      <c r="F27" s="204"/>
      <c r="G27" s="204"/>
      <c r="H27" s="204"/>
      <c r="I27" s="203"/>
      <c r="J27" s="217"/>
      <c r="K27" s="201"/>
      <c r="L27" s="198"/>
      <c r="M27" s="198"/>
      <c r="N27" s="198"/>
      <c r="O27" s="198"/>
      <c r="P27" s="198"/>
      <c r="Q27" s="198"/>
      <c r="R27" s="198"/>
      <c r="S27" s="198"/>
      <c r="T27" s="204"/>
      <c r="V27" s="79"/>
      <c r="W27" s="79"/>
      <c r="Z27" s="130"/>
      <c r="AB27" s="106"/>
    </row>
    <row r="28">
      <c r="A28" s="166" t="s">
        <v>226</v>
      </c>
      <c r="B28" s="93">
        <f>463.61/2</f>
        <v>231.805</v>
      </c>
      <c r="C28" s="168"/>
      <c r="D28" s="168"/>
      <c r="E28" s="166" t="s">
        <v>228</v>
      </c>
      <c r="F28" s="204"/>
      <c r="G28" s="204"/>
      <c r="H28" s="204"/>
      <c r="I28" s="198"/>
      <c r="J28" s="198"/>
      <c r="K28" s="201"/>
      <c r="L28" s="198"/>
      <c r="M28" s="198"/>
      <c r="N28" s="198"/>
      <c r="O28" s="198"/>
      <c r="P28" s="198"/>
      <c r="Q28" s="198"/>
      <c r="R28" s="198"/>
      <c r="S28" s="198"/>
      <c r="T28" s="204"/>
      <c r="V28" s="79"/>
      <c r="W28" s="79"/>
      <c r="Z28" s="130"/>
      <c r="AB28" s="106"/>
    </row>
    <row r="29">
      <c r="A29" s="166" t="s">
        <v>229</v>
      </c>
      <c r="B29" s="93">
        <v>226.1</v>
      </c>
      <c r="C29" s="168"/>
      <c r="D29" s="168"/>
      <c r="E29" s="166" t="s">
        <v>228</v>
      </c>
      <c r="F29" s="204"/>
      <c r="G29" s="204"/>
      <c r="H29" s="204"/>
      <c r="I29" s="198"/>
      <c r="J29" s="198"/>
      <c r="K29" s="201"/>
      <c r="L29" s="198"/>
      <c r="M29" s="198"/>
      <c r="N29" s="198"/>
      <c r="O29" s="198"/>
      <c r="P29" s="198"/>
      <c r="Q29" s="198"/>
      <c r="R29" s="198"/>
      <c r="S29" s="198"/>
      <c r="T29" s="204"/>
      <c r="V29" s="79"/>
      <c r="W29" s="79"/>
      <c r="Z29" s="130"/>
      <c r="AB29" s="106"/>
    </row>
    <row r="30">
      <c r="A30" s="196" t="s">
        <v>230</v>
      </c>
      <c r="B30" s="197">
        <f>65.71+402.5</f>
        <v>468.21</v>
      </c>
      <c r="C30" s="220"/>
      <c r="D30" s="220"/>
      <c r="E30" s="196" t="s">
        <v>228</v>
      </c>
      <c r="F30" s="204"/>
      <c r="G30" s="204"/>
      <c r="H30" s="204"/>
      <c r="I30" s="198"/>
      <c r="J30" s="198"/>
      <c r="K30" s="201"/>
      <c r="L30" s="198"/>
      <c r="M30" s="198"/>
      <c r="N30" s="198"/>
      <c r="O30" s="201"/>
      <c r="P30" s="198"/>
      <c r="Q30" s="198"/>
      <c r="R30" s="198"/>
      <c r="S30" s="198"/>
      <c r="T30" s="204"/>
      <c r="V30" s="79"/>
      <c r="W30" s="79"/>
      <c r="Z30" s="130"/>
      <c r="AB30" s="106"/>
    </row>
    <row r="31">
      <c r="A31" s="196" t="s">
        <v>231</v>
      </c>
      <c r="B31" s="197">
        <f>17.5+40.26+118.03+23.65</f>
        <v>199.44</v>
      </c>
      <c r="C31" s="220"/>
      <c r="D31" s="220"/>
      <c r="E31" s="196" t="s">
        <v>228</v>
      </c>
      <c r="F31" s="204"/>
      <c r="G31" s="204"/>
      <c r="H31" s="204"/>
      <c r="I31" s="198"/>
      <c r="J31" s="198"/>
      <c r="K31" s="198"/>
      <c r="L31" s="198"/>
      <c r="M31" s="198"/>
      <c r="N31" s="198"/>
      <c r="O31" s="201"/>
      <c r="P31" s="198"/>
      <c r="Q31" s="198"/>
      <c r="R31" s="198"/>
      <c r="S31" s="198"/>
      <c r="T31" s="204"/>
      <c r="V31" s="79"/>
      <c r="W31" s="79"/>
      <c r="Z31" s="130"/>
      <c r="AB31" s="106"/>
    </row>
    <row r="32">
      <c r="A32" s="196" t="s">
        <v>232</v>
      </c>
      <c r="B32" s="197">
        <f>46.84+34.1+30.12</f>
        <v>111.06</v>
      </c>
      <c r="C32" s="220"/>
      <c r="D32" s="220"/>
      <c r="E32" s="196" t="s">
        <v>228</v>
      </c>
      <c r="F32" s="204"/>
      <c r="G32" s="204"/>
      <c r="H32" s="204"/>
      <c r="I32" s="198"/>
      <c r="J32" s="198"/>
      <c r="K32" s="198"/>
      <c r="L32" s="198"/>
      <c r="M32" s="198"/>
      <c r="N32" s="198"/>
      <c r="O32" s="201"/>
      <c r="P32" s="198"/>
      <c r="Q32" s="198"/>
      <c r="R32" s="198"/>
      <c r="S32" s="198"/>
      <c r="T32" s="204"/>
      <c r="V32" s="79"/>
      <c r="W32" s="79"/>
      <c r="Z32" s="130"/>
      <c r="AB32" s="106"/>
    </row>
    <row r="33">
      <c r="A33" s="221" t="s">
        <v>111</v>
      </c>
      <c r="B33" s="222">
        <v>389.0</v>
      </c>
      <c r="C33" s="223"/>
      <c r="D33" s="223"/>
      <c r="E33" s="221" t="s">
        <v>228</v>
      </c>
      <c r="F33" s="204"/>
      <c r="G33" s="204"/>
      <c r="H33" s="204"/>
      <c r="I33" s="198"/>
      <c r="J33" s="198"/>
      <c r="K33" s="198"/>
      <c r="L33" s="198"/>
      <c r="M33" s="198"/>
      <c r="N33" s="198"/>
      <c r="O33" s="201"/>
      <c r="P33" s="198"/>
      <c r="Q33" s="198"/>
      <c r="R33" s="198"/>
      <c r="S33" s="198"/>
      <c r="T33" s="204"/>
      <c r="V33" s="79"/>
      <c r="W33" s="79"/>
      <c r="Z33" s="130"/>
      <c r="AB33" s="106"/>
    </row>
    <row r="34">
      <c r="A34" s="221" t="s">
        <v>233</v>
      </c>
      <c r="B34" s="222">
        <v>283.8</v>
      </c>
      <c r="C34" s="223"/>
      <c r="D34" s="223"/>
      <c r="E34" s="221" t="s">
        <v>228</v>
      </c>
      <c r="F34" s="204"/>
      <c r="G34" s="204"/>
      <c r="H34" s="204"/>
      <c r="I34" s="213"/>
      <c r="J34" s="204"/>
      <c r="K34" s="204"/>
      <c r="L34" s="204"/>
      <c r="M34" s="198"/>
      <c r="N34" s="204"/>
      <c r="O34" s="204"/>
      <c r="P34" s="204"/>
      <c r="Q34" s="204"/>
      <c r="R34" s="198"/>
      <c r="S34" s="198"/>
      <c r="V34" s="79"/>
      <c r="W34" s="79"/>
      <c r="Z34" s="130"/>
      <c r="AB34" s="106"/>
    </row>
    <row r="35">
      <c r="A35" s="221" t="s">
        <v>234</v>
      </c>
      <c r="B35" s="222">
        <v>218.94</v>
      </c>
      <c r="C35" s="223"/>
      <c r="D35" s="223"/>
      <c r="E35" s="221" t="s">
        <v>228</v>
      </c>
      <c r="I35" s="213"/>
      <c r="J35" s="204"/>
      <c r="K35" s="204"/>
      <c r="L35" s="204"/>
      <c r="M35" s="198"/>
      <c r="N35" s="204"/>
      <c r="O35" s="204"/>
      <c r="P35" s="204"/>
      <c r="Q35" s="204"/>
      <c r="R35" s="198"/>
      <c r="S35" s="79"/>
      <c r="V35" s="79"/>
      <c r="W35" s="79"/>
      <c r="Z35" s="130"/>
      <c r="AB35" s="106"/>
    </row>
    <row r="36">
      <c r="C36" s="79"/>
      <c r="D36" s="79"/>
      <c r="E36" s="79"/>
      <c r="I36" s="213"/>
      <c r="J36" s="204"/>
      <c r="K36" s="204"/>
      <c r="L36" s="204"/>
      <c r="M36" s="198"/>
      <c r="N36" s="204"/>
      <c r="O36" s="204"/>
      <c r="P36" s="204"/>
      <c r="Q36" s="204"/>
      <c r="R36" s="198"/>
      <c r="S36" s="79"/>
      <c r="V36" s="79"/>
      <c r="W36" s="79"/>
      <c r="Z36" s="130"/>
      <c r="AB36" s="106"/>
    </row>
    <row r="37">
      <c r="C37" s="79"/>
      <c r="D37" s="79"/>
      <c r="E37" s="79"/>
      <c r="I37" s="204"/>
      <c r="J37" s="204"/>
      <c r="K37" s="204"/>
      <c r="L37" s="204"/>
      <c r="M37" s="198"/>
      <c r="N37" s="204"/>
      <c r="O37" s="204"/>
      <c r="P37" s="204"/>
      <c r="Q37" s="204"/>
      <c r="R37" s="198"/>
      <c r="S37" s="79"/>
      <c r="V37" s="79"/>
      <c r="W37" s="79"/>
      <c r="Z37" s="130"/>
      <c r="AB37" s="106"/>
    </row>
    <row r="38">
      <c r="C38" s="79"/>
      <c r="D38" s="79"/>
      <c r="E38" s="79"/>
      <c r="I38" s="204"/>
      <c r="J38" s="204"/>
      <c r="K38" s="204"/>
      <c r="L38" s="204"/>
      <c r="M38" s="198"/>
      <c r="N38" s="204"/>
      <c r="O38" s="204"/>
      <c r="P38" s="204"/>
      <c r="Q38" s="204"/>
      <c r="R38" s="198"/>
      <c r="S38" s="79"/>
      <c r="V38" s="79"/>
      <c r="W38" s="79"/>
      <c r="Z38" s="130"/>
      <c r="AB38" s="106"/>
    </row>
    <row r="39">
      <c r="C39" s="79"/>
      <c r="D39" s="79"/>
      <c r="E39" s="79"/>
      <c r="M39" s="79"/>
      <c r="R39" s="79"/>
      <c r="S39" s="79"/>
      <c r="V39" s="79"/>
      <c r="W39" s="79"/>
      <c r="Z39" s="130"/>
      <c r="AB39" s="106"/>
    </row>
    <row r="40">
      <c r="C40" s="79"/>
      <c r="D40" s="79"/>
      <c r="E40" s="79"/>
      <c r="M40" s="79"/>
      <c r="R40" s="79"/>
      <c r="S40" s="79"/>
      <c r="V40" s="79"/>
      <c r="W40" s="79"/>
      <c r="Z40" s="130"/>
      <c r="AB40" s="106"/>
    </row>
    <row r="41">
      <c r="C41" s="79"/>
      <c r="D41" s="79"/>
      <c r="E41" s="79"/>
      <c r="M41" s="79"/>
      <c r="R41" s="79"/>
      <c r="S41" s="79"/>
      <c r="V41" s="79"/>
      <c r="W41" s="79"/>
      <c r="Z41" s="130"/>
      <c r="AB41" s="106"/>
    </row>
    <row r="42">
      <c r="C42" s="79"/>
      <c r="D42" s="79"/>
      <c r="E42" s="79"/>
      <c r="M42" s="79"/>
      <c r="R42" s="79"/>
      <c r="S42" s="79"/>
      <c r="V42" s="79"/>
      <c r="W42" s="79"/>
      <c r="Z42" s="130"/>
      <c r="AB42" s="106"/>
    </row>
    <row r="43">
      <c r="C43" s="79"/>
      <c r="D43" s="79"/>
      <c r="E43" s="79"/>
      <c r="M43" s="79"/>
      <c r="R43" s="79"/>
      <c r="S43" s="79"/>
      <c r="V43" s="79"/>
      <c r="W43" s="79"/>
      <c r="Z43" s="130"/>
      <c r="AB43" s="106"/>
    </row>
    <row r="44">
      <c r="C44" s="79"/>
      <c r="D44" s="79"/>
      <c r="E44" s="79"/>
      <c r="M44" s="79"/>
      <c r="R44" s="79"/>
      <c r="S44" s="79"/>
      <c r="V44" s="79"/>
      <c r="W44" s="79"/>
      <c r="Z44" s="130"/>
      <c r="AB44" s="106"/>
    </row>
    <row r="45">
      <c r="C45" s="79"/>
      <c r="D45" s="79"/>
      <c r="E45" s="79"/>
      <c r="M45" s="79"/>
      <c r="R45" s="79"/>
      <c r="S45" s="79"/>
      <c r="V45" s="79"/>
      <c r="W45" s="79"/>
      <c r="Z45" s="130"/>
      <c r="AB45" s="106"/>
    </row>
    <row r="46">
      <c r="C46" s="79"/>
      <c r="D46" s="79"/>
      <c r="E46" s="79"/>
      <c r="M46" s="79"/>
      <c r="R46" s="79"/>
      <c r="S46" s="79"/>
      <c r="V46" s="79"/>
      <c r="W46" s="79"/>
      <c r="Z46" s="130"/>
      <c r="AB46" s="106"/>
    </row>
    <row r="47">
      <c r="C47" s="79"/>
      <c r="D47" s="79"/>
      <c r="E47" s="79"/>
      <c r="M47" s="79"/>
      <c r="R47" s="79"/>
      <c r="S47" s="79"/>
      <c r="V47" s="79"/>
      <c r="W47" s="79"/>
      <c r="Z47" s="130"/>
      <c r="AB47" s="106"/>
    </row>
    <row r="48">
      <c r="C48" s="79"/>
      <c r="D48" s="79"/>
      <c r="E48" s="79"/>
      <c r="M48" s="79"/>
      <c r="R48" s="79"/>
      <c r="S48" s="79"/>
      <c r="V48" s="79"/>
      <c r="W48" s="79"/>
      <c r="Z48" s="130"/>
      <c r="AB48" s="106"/>
    </row>
    <row r="49">
      <c r="C49" s="79"/>
      <c r="D49" s="79"/>
      <c r="E49" s="79"/>
      <c r="M49" s="79"/>
      <c r="R49" s="79"/>
      <c r="S49" s="79"/>
      <c r="V49" s="79"/>
      <c r="W49" s="79"/>
      <c r="Z49" s="130"/>
      <c r="AB49" s="106"/>
    </row>
    <row r="50">
      <c r="C50" s="79"/>
      <c r="D50" s="79"/>
      <c r="E50" s="79"/>
      <c r="M50" s="79"/>
      <c r="R50" s="79"/>
      <c r="S50" s="79"/>
      <c r="V50" s="79"/>
      <c r="W50" s="79"/>
      <c r="Z50" s="130"/>
      <c r="AB50" s="106"/>
    </row>
    <row r="51">
      <c r="C51" s="79"/>
      <c r="D51" s="79"/>
      <c r="E51" s="79"/>
      <c r="M51" s="79"/>
      <c r="R51" s="79"/>
      <c r="S51" s="79"/>
      <c r="V51" s="79"/>
      <c r="W51" s="79"/>
      <c r="Z51" s="130"/>
      <c r="AB51" s="106"/>
    </row>
    <row r="52">
      <c r="C52" s="79"/>
      <c r="D52" s="79"/>
      <c r="E52" s="79"/>
      <c r="M52" s="79"/>
      <c r="R52" s="79"/>
      <c r="S52" s="79"/>
      <c r="V52" s="79"/>
      <c r="W52" s="79"/>
      <c r="Z52" s="130"/>
      <c r="AB52" s="106"/>
    </row>
    <row r="53">
      <c r="C53" s="79"/>
      <c r="D53" s="79"/>
      <c r="E53" s="79"/>
      <c r="M53" s="79"/>
      <c r="R53" s="79"/>
      <c r="S53" s="79"/>
      <c r="V53" s="79"/>
      <c r="W53" s="79"/>
      <c r="Z53" s="130"/>
      <c r="AB53" s="106"/>
    </row>
    <row r="54">
      <c r="C54" s="79"/>
      <c r="D54" s="79"/>
      <c r="E54" s="79"/>
      <c r="M54" s="79"/>
      <c r="R54" s="79"/>
      <c r="S54" s="79"/>
      <c r="V54" s="79"/>
      <c r="W54" s="79"/>
      <c r="Z54" s="130"/>
      <c r="AB54" s="106"/>
    </row>
    <row r="55">
      <c r="C55" s="79"/>
      <c r="D55" s="79"/>
      <c r="E55" s="79"/>
      <c r="M55" s="79"/>
      <c r="R55" s="79"/>
      <c r="S55" s="79"/>
      <c r="V55" s="79"/>
      <c r="W55" s="79"/>
      <c r="Z55" s="130"/>
      <c r="AB55" s="106"/>
    </row>
    <row r="56">
      <c r="C56" s="79"/>
      <c r="D56" s="79"/>
      <c r="E56" s="79"/>
      <c r="M56" s="79"/>
      <c r="R56" s="79"/>
      <c r="S56" s="79"/>
      <c r="V56" s="79"/>
      <c r="W56" s="79"/>
      <c r="Z56" s="130"/>
      <c r="AB56" s="106"/>
    </row>
    <row r="57">
      <c r="C57" s="79"/>
      <c r="D57" s="79"/>
      <c r="E57" s="79"/>
      <c r="M57" s="79"/>
      <c r="R57" s="79"/>
      <c r="S57" s="79"/>
      <c r="V57" s="79"/>
      <c r="W57" s="79"/>
      <c r="Z57" s="130"/>
      <c r="AB57" s="106"/>
    </row>
    <row r="58">
      <c r="C58" s="79"/>
      <c r="D58" s="79"/>
      <c r="E58" s="79"/>
      <c r="M58" s="79"/>
      <c r="R58" s="79"/>
      <c r="S58" s="79"/>
      <c r="V58" s="79"/>
      <c r="W58" s="79"/>
      <c r="Z58" s="130"/>
      <c r="AB58" s="106"/>
    </row>
    <row r="59">
      <c r="C59" s="79"/>
      <c r="D59" s="79"/>
      <c r="E59" s="79"/>
      <c r="M59" s="79"/>
      <c r="R59" s="79"/>
      <c r="S59" s="79"/>
      <c r="V59" s="79"/>
      <c r="W59" s="79"/>
      <c r="Z59" s="130"/>
      <c r="AB59" s="106"/>
    </row>
    <row r="60">
      <c r="C60" s="79"/>
      <c r="D60" s="79"/>
      <c r="E60" s="79"/>
      <c r="M60" s="79"/>
      <c r="R60" s="79"/>
      <c r="S60" s="79"/>
      <c r="V60" s="79"/>
      <c r="W60" s="79"/>
      <c r="Z60" s="130"/>
      <c r="AB60" s="106"/>
    </row>
    <row r="61">
      <c r="C61" s="79"/>
      <c r="D61" s="79"/>
      <c r="E61" s="79"/>
      <c r="M61" s="79"/>
      <c r="R61" s="79"/>
      <c r="S61" s="79"/>
      <c r="V61" s="79"/>
      <c r="W61" s="79"/>
      <c r="Z61" s="130"/>
      <c r="AB61" s="106"/>
    </row>
    <row r="62">
      <c r="C62" s="79"/>
      <c r="D62" s="79"/>
      <c r="E62" s="79"/>
      <c r="M62" s="79"/>
      <c r="R62" s="79"/>
      <c r="S62" s="79"/>
      <c r="V62" s="79"/>
      <c r="W62" s="79"/>
      <c r="Z62" s="130"/>
      <c r="AB62" s="106"/>
    </row>
    <row r="63">
      <c r="C63" s="79"/>
      <c r="D63" s="79"/>
      <c r="E63" s="79"/>
      <c r="M63" s="79"/>
      <c r="R63" s="79"/>
      <c r="S63" s="79"/>
      <c r="V63" s="79"/>
      <c r="W63" s="79"/>
      <c r="Z63" s="130"/>
      <c r="AB63" s="106"/>
    </row>
    <row r="64">
      <c r="C64" s="79"/>
      <c r="D64" s="79"/>
      <c r="E64" s="79"/>
      <c r="M64" s="79"/>
      <c r="R64" s="79"/>
      <c r="S64" s="79"/>
      <c r="V64" s="79"/>
      <c r="W64" s="79"/>
      <c r="Z64" s="130"/>
      <c r="AB64" s="106"/>
    </row>
    <row r="65">
      <c r="C65" s="79"/>
      <c r="D65" s="79"/>
      <c r="E65" s="79"/>
      <c r="M65" s="79"/>
      <c r="R65" s="79"/>
      <c r="S65" s="79"/>
      <c r="V65" s="79"/>
      <c r="W65" s="79"/>
      <c r="Z65" s="130"/>
      <c r="AB65" s="106"/>
    </row>
    <row r="66">
      <c r="C66" s="79"/>
      <c r="D66" s="79"/>
      <c r="E66" s="79"/>
      <c r="M66" s="79"/>
      <c r="R66" s="79"/>
      <c r="S66" s="79"/>
      <c r="V66" s="79"/>
      <c r="W66" s="79"/>
      <c r="Z66" s="130"/>
      <c r="AB66" s="106"/>
    </row>
    <row r="67">
      <c r="C67" s="79"/>
      <c r="D67" s="79"/>
      <c r="E67" s="79"/>
      <c r="M67" s="79"/>
      <c r="R67" s="79"/>
      <c r="S67" s="79"/>
      <c r="V67" s="79"/>
      <c r="W67" s="79"/>
      <c r="Z67" s="130"/>
      <c r="AB67" s="106"/>
    </row>
    <row r="68">
      <c r="C68" s="79"/>
      <c r="D68" s="79"/>
      <c r="E68" s="79"/>
      <c r="M68" s="79"/>
      <c r="R68" s="79"/>
      <c r="S68" s="79"/>
      <c r="V68" s="79"/>
      <c r="W68" s="79"/>
      <c r="Z68" s="130"/>
      <c r="AB68" s="106"/>
    </row>
    <row r="69">
      <c r="C69" s="79"/>
      <c r="D69" s="79"/>
      <c r="E69" s="79"/>
      <c r="M69" s="79"/>
      <c r="R69" s="79"/>
      <c r="S69" s="79"/>
      <c r="V69" s="79"/>
      <c r="W69" s="79"/>
      <c r="Z69" s="130"/>
      <c r="AB69" s="106"/>
    </row>
    <row r="70">
      <c r="C70" s="79"/>
      <c r="D70" s="79"/>
      <c r="E70" s="79"/>
      <c r="M70" s="79"/>
      <c r="R70" s="79"/>
      <c r="S70" s="79"/>
      <c r="V70" s="79"/>
      <c r="W70" s="79"/>
      <c r="Z70" s="130"/>
      <c r="AB70" s="106"/>
    </row>
    <row r="71">
      <c r="C71" s="79"/>
      <c r="D71" s="79"/>
      <c r="E71" s="79"/>
      <c r="M71" s="79"/>
      <c r="R71" s="79"/>
      <c r="S71" s="79"/>
      <c r="V71" s="79"/>
      <c r="W71" s="79"/>
      <c r="Z71" s="130"/>
      <c r="AB71" s="106"/>
    </row>
    <row r="72">
      <c r="C72" s="79"/>
      <c r="D72" s="79"/>
      <c r="E72" s="79"/>
      <c r="M72" s="79"/>
      <c r="R72" s="79"/>
      <c r="S72" s="79"/>
      <c r="V72" s="79"/>
      <c r="W72" s="79"/>
      <c r="Z72" s="130"/>
      <c r="AB72" s="106"/>
    </row>
    <row r="73">
      <c r="C73" s="79"/>
      <c r="D73" s="79"/>
      <c r="E73" s="79"/>
      <c r="M73" s="79"/>
      <c r="R73" s="79"/>
      <c r="S73" s="79"/>
      <c r="V73" s="79"/>
      <c r="W73" s="79"/>
      <c r="Z73" s="130"/>
      <c r="AB73" s="106"/>
    </row>
    <row r="74">
      <c r="C74" s="79"/>
      <c r="D74" s="79"/>
      <c r="E74" s="79"/>
      <c r="M74" s="79"/>
      <c r="R74" s="79"/>
      <c r="S74" s="79"/>
      <c r="V74" s="79"/>
      <c r="W74" s="79"/>
      <c r="Z74" s="130"/>
      <c r="AB74" s="106"/>
    </row>
    <row r="75">
      <c r="C75" s="79"/>
      <c r="D75" s="79"/>
      <c r="E75" s="79"/>
      <c r="M75" s="79"/>
      <c r="R75" s="79"/>
      <c r="S75" s="79"/>
      <c r="V75" s="79"/>
      <c r="W75" s="79"/>
      <c r="Z75" s="130"/>
      <c r="AB75" s="106"/>
    </row>
    <row r="76">
      <c r="C76" s="79"/>
      <c r="D76" s="79"/>
      <c r="E76" s="79"/>
      <c r="M76" s="79"/>
      <c r="R76" s="79"/>
      <c r="S76" s="79"/>
      <c r="V76" s="79"/>
      <c r="W76" s="79"/>
      <c r="Z76" s="130"/>
      <c r="AB76" s="106"/>
    </row>
    <row r="77">
      <c r="C77" s="79"/>
      <c r="D77" s="79"/>
      <c r="E77" s="79"/>
      <c r="M77" s="79"/>
      <c r="R77" s="79"/>
      <c r="S77" s="79"/>
      <c r="V77" s="79"/>
      <c r="W77" s="79"/>
      <c r="Z77" s="130"/>
      <c r="AB77" s="106"/>
    </row>
    <row r="78">
      <c r="C78" s="79"/>
      <c r="D78" s="79"/>
      <c r="E78" s="79"/>
      <c r="M78" s="79"/>
      <c r="R78" s="79"/>
      <c r="S78" s="79"/>
      <c r="V78" s="79"/>
      <c r="W78" s="79"/>
      <c r="Z78" s="130"/>
      <c r="AB78" s="106"/>
    </row>
    <row r="79">
      <c r="C79" s="79"/>
      <c r="D79" s="79"/>
      <c r="E79" s="79"/>
      <c r="M79" s="79"/>
      <c r="R79" s="79"/>
      <c r="S79" s="79"/>
      <c r="V79" s="79"/>
      <c r="W79" s="79"/>
      <c r="Z79" s="130"/>
      <c r="AB79" s="106"/>
    </row>
    <row r="80">
      <c r="C80" s="79"/>
      <c r="D80" s="79"/>
      <c r="E80" s="79"/>
      <c r="M80" s="79"/>
      <c r="R80" s="79"/>
      <c r="S80" s="79"/>
      <c r="V80" s="79"/>
      <c r="W80" s="79"/>
      <c r="Z80" s="130"/>
      <c r="AB80" s="106"/>
    </row>
    <row r="81">
      <c r="C81" s="79"/>
      <c r="D81" s="79"/>
      <c r="E81" s="79"/>
      <c r="M81" s="79"/>
      <c r="R81" s="79"/>
      <c r="S81" s="79"/>
      <c r="V81" s="79"/>
      <c r="W81" s="79"/>
      <c r="Z81" s="130"/>
      <c r="AB81" s="106"/>
    </row>
    <row r="82">
      <c r="C82" s="79"/>
      <c r="D82" s="79"/>
      <c r="E82" s="79"/>
      <c r="M82" s="79"/>
      <c r="R82" s="79"/>
      <c r="S82" s="79"/>
      <c r="V82" s="79"/>
      <c r="W82" s="79"/>
      <c r="Z82" s="130"/>
      <c r="AB82" s="106"/>
    </row>
    <row r="83">
      <c r="C83" s="79"/>
      <c r="D83" s="79"/>
      <c r="E83" s="79"/>
      <c r="M83" s="79"/>
      <c r="R83" s="79"/>
      <c r="S83" s="79"/>
      <c r="V83" s="79"/>
      <c r="W83" s="79"/>
      <c r="Z83" s="130"/>
      <c r="AB83" s="106"/>
    </row>
    <row r="84">
      <c r="C84" s="79"/>
      <c r="D84" s="79"/>
      <c r="E84" s="79"/>
      <c r="M84" s="79"/>
      <c r="R84" s="79"/>
      <c r="S84" s="79"/>
      <c r="V84" s="79"/>
      <c r="W84" s="79"/>
      <c r="Z84" s="130"/>
      <c r="AB84" s="106"/>
    </row>
    <row r="85">
      <c r="C85" s="79"/>
      <c r="D85" s="79"/>
      <c r="E85" s="79"/>
      <c r="M85" s="79"/>
      <c r="R85" s="79"/>
      <c r="S85" s="79"/>
      <c r="V85" s="79"/>
      <c r="W85" s="79"/>
      <c r="Z85" s="130"/>
      <c r="AB85" s="106"/>
    </row>
    <row r="86">
      <c r="C86" s="79"/>
      <c r="D86" s="79"/>
      <c r="E86" s="79"/>
      <c r="M86" s="79"/>
      <c r="R86" s="79"/>
      <c r="S86" s="79"/>
      <c r="V86" s="79"/>
      <c r="W86" s="79"/>
      <c r="Z86" s="130"/>
      <c r="AB86" s="106"/>
    </row>
    <row r="87">
      <c r="C87" s="79"/>
      <c r="D87" s="79"/>
      <c r="E87" s="79"/>
      <c r="M87" s="79"/>
      <c r="R87" s="79"/>
      <c r="S87" s="79"/>
      <c r="V87" s="79"/>
      <c r="W87" s="79"/>
      <c r="Z87" s="130"/>
      <c r="AB87" s="106"/>
    </row>
    <row r="88">
      <c r="C88" s="79"/>
      <c r="D88" s="79"/>
      <c r="E88" s="79"/>
      <c r="M88" s="79"/>
      <c r="R88" s="79"/>
      <c r="S88" s="79"/>
      <c r="V88" s="79"/>
      <c r="W88" s="79"/>
      <c r="Z88" s="130"/>
      <c r="AB88" s="106"/>
    </row>
    <row r="89">
      <c r="C89" s="79"/>
      <c r="D89" s="79"/>
      <c r="E89" s="79"/>
      <c r="M89" s="79"/>
      <c r="R89" s="79"/>
      <c r="S89" s="79"/>
      <c r="V89" s="79"/>
      <c r="W89" s="79"/>
      <c r="Z89" s="130"/>
      <c r="AB89" s="106"/>
    </row>
    <row r="90">
      <c r="C90" s="79"/>
      <c r="D90" s="79"/>
      <c r="E90" s="79"/>
      <c r="M90" s="79"/>
      <c r="R90" s="79"/>
      <c r="S90" s="79"/>
      <c r="V90" s="79"/>
      <c r="W90" s="79"/>
      <c r="Z90" s="130"/>
      <c r="AB90" s="106"/>
    </row>
    <row r="91">
      <c r="C91" s="79"/>
      <c r="D91" s="79"/>
      <c r="E91" s="79"/>
      <c r="M91" s="79"/>
      <c r="R91" s="79"/>
      <c r="S91" s="79"/>
      <c r="V91" s="79"/>
      <c r="W91" s="79"/>
      <c r="Z91" s="130"/>
      <c r="AB91" s="106"/>
    </row>
    <row r="92">
      <c r="C92" s="79"/>
      <c r="D92" s="79"/>
      <c r="E92" s="79"/>
      <c r="M92" s="79"/>
      <c r="R92" s="79"/>
      <c r="S92" s="79"/>
      <c r="V92" s="79"/>
      <c r="W92" s="79"/>
      <c r="Z92" s="130"/>
      <c r="AB92" s="106"/>
    </row>
    <row r="93">
      <c r="C93" s="79"/>
      <c r="D93" s="79"/>
      <c r="E93" s="79"/>
      <c r="M93" s="79"/>
      <c r="R93" s="79"/>
      <c r="S93" s="79"/>
      <c r="V93" s="79"/>
      <c r="W93" s="79"/>
      <c r="Z93" s="130"/>
      <c r="AB93" s="106"/>
    </row>
    <row r="94">
      <c r="C94" s="79"/>
      <c r="D94" s="79"/>
      <c r="E94" s="79"/>
      <c r="M94" s="79"/>
      <c r="R94" s="79"/>
      <c r="S94" s="79"/>
      <c r="V94" s="79"/>
      <c r="W94" s="79"/>
      <c r="Z94" s="130"/>
      <c r="AB94" s="106"/>
    </row>
    <row r="95">
      <c r="C95" s="79"/>
      <c r="D95" s="79"/>
      <c r="E95" s="79"/>
      <c r="M95" s="79"/>
      <c r="R95" s="79"/>
      <c r="S95" s="79"/>
      <c r="V95" s="79"/>
      <c r="W95" s="79"/>
      <c r="Z95" s="130"/>
      <c r="AB95" s="106"/>
    </row>
    <row r="96">
      <c r="C96" s="79"/>
      <c r="D96" s="79"/>
      <c r="E96" s="79"/>
      <c r="M96" s="79"/>
      <c r="R96" s="79"/>
      <c r="S96" s="79"/>
      <c r="V96" s="79"/>
      <c r="W96" s="79"/>
      <c r="Z96" s="130"/>
      <c r="AB96" s="106"/>
    </row>
    <row r="97">
      <c r="C97" s="79"/>
      <c r="D97" s="79"/>
      <c r="E97" s="79"/>
      <c r="M97" s="79"/>
      <c r="R97" s="79"/>
      <c r="S97" s="79"/>
      <c r="V97" s="79"/>
      <c r="W97" s="79"/>
      <c r="Z97" s="130"/>
      <c r="AB97" s="106"/>
    </row>
    <row r="98">
      <c r="C98" s="79"/>
      <c r="D98" s="79"/>
      <c r="E98" s="79"/>
      <c r="M98" s="79"/>
      <c r="R98" s="79"/>
      <c r="S98" s="79"/>
      <c r="V98" s="79"/>
      <c r="W98" s="79"/>
      <c r="Z98" s="130"/>
      <c r="AB98" s="106"/>
    </row>
    <row r="99">
      <c r="C99" s="79"/>
      <c r="D99" s="79"/>
      <c r="E99" s="79"/>
      <c r="M99" s="79"/>
      <c r="R99" s="79"/>
      <c r="S99" s="79"/>
      <c r="V99" s="79"/>
      <c r="W99" s="79"/>
      <c r="Z99" s="130"/>
      <c r="AB99" s="106"/>
    </row>
    <row r="100">
      <c r="C100" s="79"/>
      <c r="D100" s="79"/>
      <c r="E100" s="79"/>
      <c r="M100" s="79"/>
      <c r="R100" s="79"/>
      <c r="S100" s="79"/>
      <c r="V100" s="79"/>
      <c r="W100" s="79"/>
      <c r="Z100" s="130"/>
      <c r="AB100" s="106"/>
    </row>
    <row r="101">
      <c r="C101" s="79"/>
      <c r="D101" s="79"/>
      <c r="E101" s="79"/>
      <c r="M101" s="79"/>
      <c r="R101" s="79"/>
      <c r="S101" s="79"/>
      <c r="V101" s="79"/>
      <c r="W101" s="79"/>
      <c r="Z101" s="130"/>
      <c r="AB101" s="106"/>
    </row>
    <row r="102">
      <c r="C102" s="79"/>
      <c r="D102" s="79"/>
      <c r="E102" s="79"/>
      <c r="M102" s="79"/>
      <c r="R102" s="79"/>
      <c r="S102" s="79"/>
      <c r="V102" s="79"/>
      <c r="W102" s="79"/>
      <c r="Z102" s="130"/>
      <c r="AB102" s="106"/>
    </row>
    <row r="103">
      <c r="C103" s="79"/>
      <c r="D103" s="79"/>
      <c r="E103" s="79"/>
      <c r="M103" s="79"/>
      <c r="R103" s="79"/>
      <c r="S103" s="79"/>
      <c r="V103" s="79"/>
      <c r="W103" s="79"/>
      <c r="Z103" s="130"/>
      <c r="AB103" s="106"/>
    </row>
    <row r="104">
      <c r="C104" s="79"/>
      <c r="D104" s="79"/>
      <c r="E104" s="79"/>
      <c r="M104" s="79"/>
      <c r="R104" s="79"/>
      <c r="S104" s="79"/>
      <c r="V104" s="79"/>
      <c r="W104" s="79"/>
      <c r="Z104" s="130"/>
      <c r="AB104" s="106"/>
    </row>
    <row r="105">
      <c r="C105" s="79"/>
      <c r="D105" s="79"/>
      <c r="E105" s="79"/>
      <c r="M105" s="79"/>
      <c r="R105" s="79"/>
      <c r="S105" s="79"/>
      <c r="V105" s="79"/>
      <c r="W105" s="79"/>
      <c r="Z105" s="130"/>
      <c r="AB105" s="106"/>
    </row>
    <row r="106">
      <c r="C106" s="79"/>
      <c r="D106" s="79"/>
      <c r="E106" s="79"/>
      <c r="M106" s="79"/>
      <c r="R106" s="79"/>
      <c r="S106" s="79"/>
      <c r="V106" s="79"/>
      <c r="W106" s="79"/>
      <c r="Z106" s="130"/>
      <c r="AB106" s="106"/>
    </row>
    <row r="107">
      <c r="C107" s="79"/>
      <c r="D107" s="79"/>
      <c r="E107" s="79"/>
      <c r="M107" s="79"/>
      <c r="R107" s="79"/>
      <c r="S107" s="79"/>
      <c r="V107" s="79"/>
      <c r="W107" s="79"/>
      <c r="Z107" s="130"/>
      <c r="AB107" s="106"/>
    </row>
    <row r="108">
      <c r="C108" s="79"/>
      <c r="D108" s="79"/>
      <c r="E108" s="79"/>
      <c r="M108" s="79"/>
      <c r="R108" s="79"/>
      <c r="S108" s="79"/>
      <c r="V108" s="79"/>
      <c r="W108" s="79"/>
      <c r="Z108" s="130"/>
      <c r="AB108" s="106"/>
    </row>
    <row r="109">
      <c r="C109" s="79"/>
      <c r="D109" s="79"/>
      <c r="E109" s="79"/>
      <c r="M109" s="79"/>
      <c r="R109" s="79"/>
      <c r="S109" s="79"/>
      <c r="V109" s="79"/>
      <c r="W109" s="79"/>
      <c r="Z109" s="130"/>
      <c r="AB109" s="106"/>
    </row>
    <row r="110">
      <c r="C110" s="79"/>
      <c r="D110" s="79"/>
      <c r="E110" s="79"/>
      <c r="M110" s="79"/>
      <c r="R110" s="79"/>
      <c r="S110" s="79"/>
      <c r="V110" s="79"/>
      <c r="W110" s="79"/>
      <c r="Z110" s="130"/>
      <c r="AB110" s="106"/>
    </row>
    <row r="111">
      <c r="C111" s="79"/>
      <c r="D111" s="79"/>
      <c r="E111" s="79"/>
      <c r="M111" s="79"/>
      <c r="R111" s="79"/>
      <c r="S111" s="79"/>
      <c r="V111" s="79"/>
      <c r="W111" s="79"/>
      <c r="Z111" s="130"/>
      <c r="AB111" s="106"/>
    </row>
    <row r="112">
      <c r="C112" s="79"/>
      <c r="D112" s="79"/>
      <c r="E112" s="79"/>
      <c r="M112" s="79"/>
      <c r="R112" s="79"/>
      <c r="S112" s="79"/>
      <c r="V112" s="79"/>
      <c r="W112" s="79"/>
      <c r="Z112" s="130"/>
      <c r="AB112" s="106"/>
    </row>
    <row r="113">
      <c r="C113" s="79"/>
      <c r="D113" s="79"/>
      <c r="E113" s="79"/>
      <c r="M113" s="79"/>
      <c r="R113" s="79"/>
      <c r="S113" s="79"/>
      <c r="V113" s="79"/>
      <c r="W113" s="79"/>
      <c r="Z113" s="130"/>
      <c r="AB113" s="106"/>
    </row>
    <row r="114">
      <c r="C114" s="79"/>
      <c r="D114" s="79"/>
      <c r="E114" s="79"/>
      <c r="M114" s="79"/>
      <c r="R114" s="79"/>
      <c r="S114" s="79"/>
      <c r="V114" s="79"/>
      <c r="W114" s="79"/>
      <c r="Z114" s="130"/>
      <c r="AB114" s="106"/>
    </row>
    <row r="115">
      <c r="C115" s="79"/>
      <c r="D115" s="79"/>
      <c r="E115" s="79"/>
      <c r="M115" s="79"/>
      <c r="R115" s="79"/>
      <c r="S115" s="79"/>
      <c r="V115" s="79"/>
      <c r="W115" s="79"/>
      <c r="Z115" s="130"/>
      <c r="AB115" s="106"/>
    </row>
    <row r="116">
      <c r="C116" s="79"/>
      <c r="D116" s="79"/>
      <c r="E116" s="79"/>
      <c r="M116" s="79"/>
      <c r="R116" s="79"/>
      <c r="S116" s="79"/>
      <c r="V116" s="79"/>
      <c r="W116" s="79"/>
      <c r="Z116" s="130"/>
      <c r="AB116" s="106"/>
    </row>
    <row r="117">
      <c r="C117" s="79"/>
      <c r="D117" s="79"/>
      <c r="E117" s="79"/>
      <c r="M117" s="79"/>
      <c r="R117" s="79"/>
      <c r="S117" s="79"/>
      <c r="V117" s="79"/>
      <c r="W117" s="79"/>
      <c r="Z117" s="130"/>
      <c r="AB117" s="106"/>
    </row>
    <row r="118">
      <c r="C118" s="79"/>
      <c r="D118" s="79"/>
      <c r="E118" s="79"/>
      <c r="M118" s="79"/>
      <c r="R118" s="79"/>
      <c r="S118" s="79"/>
      <c r="V118" s="79"/>
      <c r="W118" s="79"/>
      <c r="Z118" s="130"/>
      <c r="AB118" s="106"/>
    </row>
    <row r="119">
      <c r="C119" s="79"/>
      <c r="D119" s="79"/>
      <c r="E119" s="79"/>
      <c r="M119" s="79"/>
      <c r="R119" s="79"/>
      <c r="S119" s="79"/>
      <c r="V119" s="79"/>
      <c r="W119" s="79"/>
      <c r="Z119" s="130"/>
      <c r="AB119" s="106"/>
    </row>
    <row r="120">
      <c r="C120" s="79"/>
      <c r="D120" s="79"/>
      <c r="E120" s="79"/>
      <c r="M120" s="79"/>
      <c r="R120" s="79"/>
      <c r="S120" s="79"/>
      <c r="V120" s="79"/>
      <c r="W120" s="79"/>
      <c r="Z120" s="130"/>
      <c r="AB120" s="106"/>
    </row>
    <row r="121">
      <c r="C121" s="79"/>
      <c r="D121" s="79"/>
      <c r="E121" s="79"/>
      <c r="M121" s="79"/>
      <c r="R121" s="79"/>
      <c r="S121" s="79"/>
      <c r="V121" s="79"/>
      <c r="W121" s="79"/>
      <c r="Z121" s="130"/>
      <c r="AB121" s="106"/>
    </row>
    <row r="122">
      <c r="C122" s="79"/>
      <c r="D122" s="79"/>
      <c r="E122" s="79"/>
      <c r="M122" s="79"/>
      <c r="R122" s="79"/>
      <c r="S122" s="79"/>
      <c r="V122" s="79"/>
      <c r="W122" s="79"/>
      <c r="Z122" s="130"/>
      <c r="AB122" s="106"/>
    </row>
    <row r="123">
      <c r="C123" s="79"/>
      <c r="D123" s="79"/>
      <c r="E123" s="79"/>
      <c r="M123" s="79"/>
      <c r="R123" s="79"/>
      <c r="S123" s="79"/>
      <c r="V123" s="79"/>
      <c r="W123" s="79"/>
      <c r="Z123" s="130"/>
      <c r="AB123" s="106"/>
    </row>
    <row r="124">
      <c r="C124" s="79"/>
      <c r="D124" s="79"/>
      <c r="E124" s="79"/>
      <c r="M124" s="79"/>
      <c r="R124" s="79"/>
      <c r="S124" s="79"/>
      <c r="V124" s="79"/>
      <c r="W124" s="79"/>
      <c r="Z124" s="130"/>
      <c r="AB124" s="106"/>
    </row>
    <row r="125">
      <c r="C125" s="79"/>
      <c r="D125" s="79"/>
      <c r="E125" s="79"/>
      <c r="M125" s="79"/>
      <c r="R125" s="79"/>
      <c r="S125" s="79"/>
      <c r="V125" s="79"/>
      <c r="W125" s="79"/>
      <c r="Z125" s="130"/>
      <c r="AB125" s="106"/>
    </row>
    <row r="126">
      <c r="C126" s="79"/>
      <c r="D126" s="79"/>
      <c r="E126" s="79"/>
      <c r="M126" s="79"/>
      <c r="R126" s="79"/>
      <c r="S126" s="79"/>
      <c r="V126" s="79"/>
      <c r="W126" s="79"/>
      <c r="Z126" s="130"/>
      <c r="AB126" s="106"/>
    </row>
    <row r="127">
      <c r="C127" s="79"/>
      <c r="D127" s="79"/>
      <c r="E127" s="79"/>
      <c r="M127" s="79"/>
      <c r="R127" s="79"/>
      <c r="S127" s="79"/>
      <c r="V127" s="79"/>
      <c r="W127" s="79"/>
      <c r="Z127" s="130"/>
      <c r="AB127" s="106"/>
    </row>
    <row r="128">
      <c r="C128" s="79"/>
      <c r="D128" s="79"/>
      <c r="E128" s="79"/>
      <c r="M128" s="79"/>
      <c r="R128" s="79"/>
      <c r="S128" s="79"/>
      <c r="V128" s="79"/>
      <c r="W128" s="79"/>
      <c r="Z128" s="130"/>
      <c r="AB128" s="106"/>
    </row>
    <row r="129">
      <c r="C129" s="79"/>
      <c r="D129" s="79"/>
      <c r="E129" s="79"/>
      <c r="M129" s="79"/>
      <c r="R129" s="79"/>
      <c r="S129" s="79"/>
      <c r="V129" s="79"/>
      <c r="W129" s="79"/>
      <c r="Z129" s="130"/>
      <c r="AB129" s="106"/>
    </row>
    <row r="130">
      <c r="C130" s="79"/>
      <c r="D130" s="79"/>
      <c r="E130" s="79"/>
      <c r="M130" s="79"/>
      <c r="R130" s="79"/>
      <c r="S130" s="79"/>
      <c r="V130" s="79"/>
      <c r="W130" s="79"/>
      <c r="Z130" s="130"/>
      <c r="AB130" s="106"/>
    </row>
    <row r="131">
      <c r="C131" s="79"/>
      <c r="D131" s="79"/>
      <c r="E131" s="79"/>
      <c r="M131" s="79"/>
      <c r="R131" s="79"/>
      <c r="S131" s="79"/>
      <c r="V131" s="79"/>
      <c r="W131" s="79"/>
      <c r="Z131" s="130"/>
      <c r="AB131" s="106"/>
    </row>
    <row r="132">
      <c r="C132" s="79"/>
      <c r="D132" s="79"/>
      <c r="E132" s="79"/>
      <c r="M132" s="79"/>
      <c r="R132" s="79"/>
      <c r="S132" s="79"/>
      <c r="V132" s="79"/>
      <c r="W132" s="79"/>
      <c r="Z132" s="130"/>
      <c r="AB132" s="106"/>
    </row>
    <row r="133">
      <c r="C133" s="79"/>
      <c r="D133" s="79"/>
      <c r="E133" s="79"/>
      <c r="M133" s="79"/>
      <c r="R133" s="79"/>
      <c r="S133" s="79"/>
      <c r="V133" s="79"/>
      <c r="W133" s="79"/>
      <c r="Z133" s="130"/>
      <c r="AB133" s="106"/>
    </row>
    <row r="134">
      <c r="C134" s="79"/>
      <c r="D134" s="79"/>
      <c r="E134" s="79"/>
      <c r="M134" s="79"/>
      <c r="R134" s="79"/>
      <c r="S134" s="79"/>
      <c r="V134" s="79"/>
      <c r="W134" s="79"/>
      <c r="Z134" s="130"/>
      <c r="AB134" s="106"/>
    </row>
    <row r="135">
      <c r="C135" s="79"/>
      <c r="D135" s="79"/>
      <c r="E135" s="79"/>
      <c r="M135" s="79"/>
      <c r="R135" s="79"/>
      <c r="S135" s="79"/>
      <c r="V135" s="79"/>
      <c r="W135" s="79"/>
      <c r="Z135" s="130"/>
      <c r="AB135" s="106"/>
    </row>
    <row r="136">
      <c r="C136" s="79"/>
      <c r="D136" s="79"/>
      <c r="E136" s="79"/>
      <c r="M136" s="79"/>
      <c r="R136" s="79"/>
      <c r="S136" s="79"/>
      <c r="V136" s="79"/>
      <c r="W136" s="79"/>
      <c r="Z136" s="130"/>
      <c r="AB136" s="106"/>
    </row>
    <row r="137">
      <c r="C137" s="79"/>
      <c r="D137" s="79"/>
      <c r="E137" s="79"/>
      <c r="M137" s="79"/>
      <c r="R137" s="79"/>
      <c r="S137" s="79"/>
      <c r="V137" s="79"/>
      <c r="W137" s="79"/>
      <c r="Z137" s="130"/>
      <c r="AB137" s="106"/>
    </row>
    <row r="138">
      <c r="C138" s="79"/>
      <c r="D138" s="79"/>
      <c r="E138" s="79"/>
      <c r="M138" s="79"/>
      <c r="R138" s="79"/>
      <c r="S138" s="79"/>
      <c r="V138" s="79"/>
      <c r="W138" s="79"/>
      <c r="Z138" s="130"/>
      <c r="AB138" s="106"/>
    </row>
    <row r="139">
      <c r="C139" s="79"/>
      <c r="D139" s="79"/>
      <c r="E139" s="79"/>
      <c r="M139" s="79"/>
      <c r="R139" s="79"/>
      <c r="S139" s="79"/>
      <c r="V139" s="79"/>
      <c r="W139" s="79"/>
      <c r="Z139" s="130"/>
      <c r="AB139" s="106"/>
    </row>
    <row r="140">
      <c r="C140" s="79"/>
      <c r="D140" s="79"/>
      <c r="E140" s="79"/>
      <c r="M140" s="79"/>
      <c r="R140" s="79"/>
      <c r="S140" s="79"/>
      <c r="V140" s="79"/>
      <c r="W140" s="79"/>
      <c r="Z140" s="130"/>
      <c r="AB140" s="106"/>
    </row>
    <row r="141">
      <c r="C141" s="79"/>
      <c r="D141" s="79"/>
      <c r="E141" s="79"/>
      <c r="M141" s="79"/>
      <c r="R141" s="79"/>
      <c r="S141" s="79"/>
      <c r="V141" s="79"/>
      <c r="W141" s="79"/>
      <c r="Z141" s="130"/>
      <c r="AB141" s="106"/>
    </row>
    <row r="142">
      <c r="C142" s="79"/>
      <c r="D142" s="79"/>
      <c r="E142" s="79"/>
      <c r="M142" s="79"/>
      <c r="R142" s="79"/>
      <c r="S142" s="79"/>
      <c r="V142" s="79"/>
      <c r="W142" s="79"/>
      <c r="Z142" s="130"/>
      <c r="AB142" s="106"/>
    </row>
    <row r="143">
      <c r="C143" s="79"/>
      <c r="D143" s="79"/>
      <c r="E143" s="79"/>
      <c r="M143" s="79"/>
      <c r="R143" s="79"/>
      <c r="S143" s="79"/>
      <c r="V143" s="79"/>
      <c r="W143" s="79"/>
      <c r="Z143" s="130"/>
      <c r="AB143" s="106"/>
    </row>
    <row r="144">
      <c r="C144" s="79"/>
      <c r="D144" s="79"/>
      <c r="E144" s="79"/>
      <c r="M144" s="79"/>
      <c r="R144" s="79"/>
      <c r="S144" s="79"/>
      <c r="V144" s="79"/>
      <c r="W144" s="79"/>
      <c r="Z144" s="130"/>
      <c r="AB144" s="106"/>
    </row>
    <row r="145">
      <c r="C145" s="79"/>
      <c r="D145" s="79"/>
      <c r="E145" s="79"/>
      <c r="M145" s="79"/>
      <c r="R145" s="79"/>
      <c r="S145" s="79"/>
      <c r="V145" s="79"/>
      <c r="W145" s="79"/>
      <c r="Z145" s="130"/>
      <c r="AB145" s="106"/>
    </row>
    <row r="146">
      <c r="C146" s="79"/>
      <c r="D146" s="79"/>
      <c r="E146" s="79"/>
      <c r="M146" s="79"/>
      <c r="R146" s="79"/>
      <c r="S146" s="79"/>
      <c r="V146" s="79"/>
      <c r="W146" s="79"/>
      <c r="Z146" s="130"/>
      <c r="AB146" s="106"/>
    </row>
    <row r="147">
      <c r="C147" s="79"/>
      <c r="D147" s="79"/>
      <c r="E147" s="79"/>
      <c r="M147" s="79"/>
      <c r="R147" s="79"/>
      <c r="S147" s="79"/>
      <c r="V147" s="79"/>
      <c r="W147" s="79"/>
      <c r="Z147" s="130"/>
      <c r="AB147" s="106"/>
    </row>
    <row r="148">
      <c r="C148" s="79"/>
      <c r="D148" s="79"/>
      <c r="E148" s="79"/>
      <c r="M148" s="79"/>
      <c r="R148" s="79"/>
      <c r="S148" s="79"/>
      <c r="V148" s="79"/>
      <c r="W148" s="79"/>
      <c r="Z148" s="130"/>
      <c r="AB148" s="106"/>
    </row>
    <row r="149">
      <c r="C149" s="79"/>
      <c r="D149" s="79"/>
      <c r="E149" s="79"/>
      <c r="M149" s="79"/>
      <c r="R149" s="79"/>
      <c r="S149" s="79"/>
      <c r="V149" s="79"/>
      <c r="W149" s="79"/>
      <c r="Z149" s="130"/>
      <c r="AB149" s="106"/>
    </row>
    <row r="150">
      <c r="C150" s="79"/>
      <c r="D150" s="79"/>
      <c r="E150" s="79"/>
      <c r="M150" s="79"/>
      <c r="R150" s="79"/>
      <c r="S150" s="79"/>
      <c r="V150" s="79"/>
      <c r="W150" s="79"/>
      <c r="Z150" s="130"/>
      <c r="AB150" s="106"/>
    </row>
    <row r="151">
      <c r="C151" s="79"/>
      <c r="D151" s="79"/>
      <c r="E151" s="79"/>
      <c r="M151" s="79"/>
      <c r="R151" s="79"/>
      <c r="S151" s="79"/>
      <c r="V151" s="79"/>
      <c r="W151" s="79"/>
      <c r="Z151" s="130"/>
      <c r="AB151" s="106"/>
    </row>
    <row r="152">
      <c r="C152" s="79"/>
      <c r="D152" s="79"/>
      <c r="E152" s="79"/>
      <c r="M152" s="79"/>
      <c r="R152" s="79"/>
      <c r="S152" s="79"/>
      <c r="V152" s="79"/>
      <c r="W152" s="79"/>
      <c r="Z152" s="130"/>
      <c r="AB152" s="106"/>
    </row>
    <row r="153">
      <c r="C153" s="79"/>
      <c r="D153" s="79"/>
      <c r="E153" s="79"/>
      <c r="M153" s="79"/>
      <c r="R153" s="79"/>
      <c r="S153" s="79"/>
      <c r="V153" s="79"/>
      <c r="W153" s="79"/>
      <c r="Z153" s="130"/>
      <c r="AB153" s="106"/>
    </row>
    <row r="154">
      <c r="C154" s="79"/>
      <c r="D154" s="79"/>
      <c r="E154" s="79"/>
      <c r="M154" s="79"/>
      <c r="R154" s="79"/>
      <c r="S154" s="79"/>
      <c r="V154" s="79"/>
      <c r="W154" s="79"/>
      <c r="Z154" s="130"/>
      <c r="AB154" s="106"/>
    </row>
    <row r="155">
      <c r="C155" s="79"/>
      <c r="D155" s="79"/>
      <c r="E155" s="79"/>
      <c r="M155" s="79"/>
      <c r="R155" s="79"/>
      <c r="S155" s="79"/>
      <c r="V155" s="79"/>
      <c r="W155" s="79"/>
      <c r="Z155" s="130"/>
      <c r="AB155" s="106"/>
    </row>
    <row r="156">
      <c r="C156" s="79"/>
      <c r="D156" s="79"/>
      <c r="E156" s="79"/>
      <c r="M156" s="79"/>
      <c r="R156" s="79"/>
      <c r="S156" s="79"/>
      <c r="V156" s="79"/>
      <c r="W156" s="79"/>
      <c r="Z156" s="130"/>
      <c r="AB156" s="106"/>
    </row>
    <row r="157">
      <c r="C157" s="79"/>
      <c r="D157" s="79"/>
      <c r="E157" s="79"/>
      <c r="M157" s="79"/>
      <c r="R157" s="79"/>
      <c r="S157" s="79"/>
      <c r="V157" s="79"/>
      <c r="W157" s="79"/>
      <c r="Z157" s="130"/>
      <c r="AB157" s="106"/>
    </row>
    <row r="158">
      <c r="C158" s="79"/>
      <c r="D158" s="79"/>
      <c r="E158" s="79"/>
      <c r="M158" s="79"/>
      <c r="R158" s="79"/>
      <c r="S158" s="79"/>
      <c r="V158" s="79"/>
      <c r="W158" s="79"/>
      <c r="Z158" s="130"/>
      <c r="AB158" s="106"/>
    </row>
    <row r="159">
      <c r="C159" s="79"/>
      <c r="D159" s="79"/>
      <c r="E159" s="79"/>
      <c r="M159" s="79"/>
      <c r="R159" s="79"/>
      <c r="S159" s="79"/>
      <c r="V159" s="79"/>
      <c r="W159" s="79"/>
      <c r="Z159" s="130"/>
      <c r="AB159" s="106"/>
    </row>
    <row r="160">
      <c r="C160" s="79"/>
      <c r="D160" s="79"/>
      <c r="E160" s="79"/>
      <c r="M160" s="79"/>
      <c r="R160" s="79"/>
      <c r="S160" s="79"/>
      <c r="V160" s="79"/>
      <c r="W160" s="79"/>
      <c r="Z160" s="130"/>
      <c r="AB160" s="106"/>
    </row>
    <row r="161">
      <c r="C161" s="79"/>
      <c r="D161" s="79"/>
      <c r="E161" s="79"/>
      <c r="M161" s="79"/>
      <c r="R161" s="79"/>
      <c r="S161" s="79"/>
      <c r="V161" s="79"/>
      <c r="W161" s="79"/>
      <c r="Z161" s="130"/>
      <c r="AB161" s="106"/>
    </row>
    <row r="162">
      <c r="C162" s="79"/>
      <c r="D162" s="79"/>
      <c r="E162" s="79"/>
      <c r="M162" s="79"/>
      <c r="R162" s="79"/>
      <c r="S162" s="79"/>
      <c r="V162" s="79"/>
      <c r="W162" s="79"/>
      <c r="Z162" s="130"/>
      <c r="AB162" s="106"/>
    </row>
    <row r="163">
      <c r="C163" s="79"/>
      <c r="D163" s="79"/>
      <c r="E163" s="79"/>
      <c r="M163" s="79"/>
      <c r="R163" s="79"/>
      <c r="S163" s="79"/>
      <c r="V163" s="79"/>
      <c r="W163" s="79"/>
      <c r="Z163" s="130"/>
      <c r="AB163" s="106"/>
    </row>
    <row r="164">
      <c r="C164" s="79"/>
      <c r="D164" s="79"/>
      <c r="E164" s="79"/>
      <c r="M164" s="79"/>
      <c r="R164" s="79"/>
      <c r="S164" s="79"/>
      <c r="V164" s="79"/>
      <c r="W164" s="79"/>
      <c r="Z164" s="130"/>
      <c r="AB164" s="106"/>
    </row>
    <row r="165">
      <c r="C165" s="79"/>
      <c r="D165" s="79"/>
      <c r="E165" s="79"/>
      <c r="M165" s="79"/>
      <c r="R165" s="79"/>
      <c r="S165" s="79"/>
      <c r="V165" s="79"/>
      <c r="W165" s="79"/>
      <c r="Z165" s="130"/>
      <c r="AB165" s="106"/>
    </row>
    <row r="166">
      <c r="C166" s="79"/>
      <c r="D166" s="79"/>
      <c r="E166" s="79"/>
      <c r="M166" s="79"/>
      <c r="R166" s="79"/>
      <c r="S166" s="79"/>
      <c r="V166" s="79"/>
      <c r="W166" s="79"/>
      <c r="Z166" s="130"/>
      <c r="AB166" s="106"/>
    </row>
    <row r="167">
      <c r="C167" s="79"/>
      <c r="D167" s="79"/>
      <c r="E167" s="79"/>
      <c r="M167" s="79"/>
      <c r="R167" s="79"/>
      <c r="S167" s="79"/>
      <c r="V167" s="79"/>
      <c r="W167" s="79"/>
      <c r="Z167" s="130"/>
      <c r="AB167" s="106"/>
    </row>
    <row r="168">
      <c r="C168" s="79"/>
      <c r="D168" s="79"/>
      <c r="E168" s="79"/>
      <c r="M168" s="79"/>
      <c r="R168" s="79"/>
      <c r="S168" s="79"/>
      <c r="V168" s="79"/>
      <c r="W168" s="79"/>
      <c r="Z168" s="130"/>
      <c r="AB168" s="106"/>
    </row>
    <row r="169">
      <c r="C169" s="79"/>
      <c r="D169" s="79"/>
      <c r="E169" s="79"/>
      <c r="M169" s="79"/>
      <c r="R169" s="79"/>
      <c r="S169" s="79"/>
      <c r="V169" s="79"/>
      <c r="W169" s="79"/>
      <c r="Z169" s="130"/>
      <c r="AB169" s="106"/>
    </row>
    <row r="170">
      <c r="C170" s="79"/>
      <c r="D170" s="79"/>
      <c r="E170" s="79"/>
      <c r="M170" s="79"/>
      <c r="R170" s="79"/>
      <c r="S170" s="79"/>
      <c r="V170" s="79"/>
      <c r="W170" s="79"/>
      <c r="Z170" s="130"/>
      <c r="AB170" s="106"/>
    </row>
    <row r="171">
      <c r="C171" s="79"/>
      <c r="D171" s="79"/>
      <c r="E171" s="79"/>
      <c r="M171" s="79"/>
      <c r="R171" s="79"/>
      <c r="S171" s="79"/>
      <c r="V171" s="79"/>
      <c r="W171" s="79"/>
      <c r="Z171" s="130"/>
      <c r="AB171" s="106"/>
    </row>
    <row r="172">
      <c r="C172" s="79"/>
      <c r="D172" s="79"/>
      <c r="E172" s="79"/>
      <c r="M172" s="79"/>
      <c r="R172" s="79"/>
      <c r="S172" s="79"/>
      <c r="V172" s="79"/>
      <c r="W172" s="79"/>
      <c r="Z172" s="130"/>
      <c r="AB172" s="106"/>
    </row>
    <row r="173">
      <c r="C173" s="79"/>
      <c r="D173" s="79"/>
      <c r="E173" s="79"/>
      <c r="M173" s="79"/>
      <c r="R173" s="79"/>
      <c r="S173" s="79"/>
      <c r="V173" s="79"/>
      <c r="W173" s="79"/>
      <c r="Z173" s="130"/>
      <c r="AB173" s="106"/>
    </row>
    <row r="174">
      <c r="C174" s="79"/>
      <c r="D174" s="79"/>
      <c r="E174" s="79"/>
      <c r="M174" s="79"/>
      <c r="R174" s="79"/>
      <c r="S174" s="79"/>
      <c r="V174" s="79"/>
      <c r="W174" s="79"/>
      <c r="Z174" s="130"/>
      <c r="AB174" s="106"/>
    </row>
    <row r="175">
      <c r="C175" s="79"/>
      <c r="D175" s="79"/>
      <c r="E175" s="79"/>
      <c r="M175" s="79"/>
      <c r="R175" s="79"/>
      <c r="S175" s="79"/>
      <c r="V175" s="79"/>
      <c r="W175" s="79"/>
      <c r="Z175" s="130"/>
      <c r="AB175" s="106"/>
    </row>
    <row r="176">
      <c r="C176" s="79"/>
      <c r="D176" s="79"/>
      <c r="E176" s="79"/>
      <c r="M176" s="79"/>
      <c r="R176" s="79"/>
      <c r="S176" s="79"/>
      <c r="V176" s="79"/>
      <c r="W176" s="79"/>
      <c r="Z176" s="130"/>
      <c r="AB176" s="106"/>
    </row>
    <row r="177">
      <c r="C177" s="79"/>
      <c r="D177" s="79"/>
      <c r="E177" s="79"/>
      <c r="M177" s="79"/>
      <c r="R177" s="79"/>
      <c r="S177" s="79"/>
      <c r="V177" s="79"/>
      <c r="W177" s="79"/>
      <c r="Z177" s="130"/>
      <c r="AB177" s="106"/>
    </row>
    <row r="178">
      <c r="C178" s="79"/>
      <c r="D178" s="79"/>
      <c r="E178" s="79"/>
      <c r="M178" s="79"/>
      <c r="R178" s="79"/>
      <c r="S178" s="79"/>
      <c r="V178" s="79"/>
      <c r="W178" s="79"/>
      <c r="Z178" s="130"/>
      <c r="AB178" s="106"/>
    </row>
    <row r="179">
      <c r="C179" s="79"/>
      <c r="D179" s="79"/>
      <c r="E179" s="79"/>
      <c r="M179" s="79"/>
      <c r="R179" s="79"/>
      <c r="S179" s="79"/>
      <c r="V179" s="79"/>
      <c r="W179" s="79"/>
      <c r="Z179" s="130"/>
      <c r="AB179" s="106"/>
    </row>
    <row r="180">
      <c r="C180" s="79"/>
      <c r="D180" s="79"/>
      <c r="E180" s="79"/>
      <c r="M180" s="79"/>
      <c r="R180" s="79"/>
      <c r="S180" s="79"/>
      <c r="V180" s="79"/>
      <c r="W180" s="79"/>
      <c r="Z180" s="130"/>
      <c r="AB180" s="106"/>
    </row>
    <row r="181">
      <c r="C181" s="79"/>
      <c r="D181" s="79"/>
      <c r="E181" s="79"/>
      <c r="M181" s="79"/>
      <c r="R181" s="79"/>
      <c r="S181" s="79"/>
      <c r="V181" s="79"/>
      <c r="W181" s="79"/>
      <c r="Z181" s="130"/>
      <c r="AB181" s="106"/>
    </row>
    <row r="182">
      <c r="C182" s="79"/>
      <c r="D182" s="79"/>
      <c r="E182" s="79"/>
      <c r="M182" s="79"/>
      <c r="R182" s="79"/>
      <c r="S182" s="79"/>
      <c r="V182" s="79"/>
      <c r="W182" s="79"/>
      <c r="Z182" s="130"/>
      <c r="AB182" s="106"/>
    </row>
    <row r="183">
      <c r="C183" s="79"/>
      <c r="D183" s="79"/>
      <c r="E183" s="79"/>
      <c r="M183" s="79"/>
      <c r="R183" s="79"/>
      <c r="S183" s="79"/>
      <c r="V183" s="79"/>
      <c r="W183" s="79"/>
      <c r="Z183" s="130"/>
      <c r="AB183" s="106"/>
    </row>
    <row r="184">
      <c r="C184" s="79"/>
      <c r="D184" s="79"/>
      <c r="E184" s="79"/>
      <c r="M184" s="79"/>
      <c r="R184" s="79"/>
      <c r="S184" s="79"/>
      <c r="V184" s="79"/>
      <c r="W184" s="79"/>
      <c r="Z184" s="130"/>
      <c r="AB184" s="106"/>
    </row>
    <row r="185">
      <c r="C185" s="79"/>
      <c r="D185" s="79"/>
      <c r="E185" s="79"/>
      <c r="M185" s="79"/>
      <c r="R185" s="79"/>
      <c r="S185" s="79"/>
      <c r="V185" s="79"/>
      <c r="W185" s="79"/>
      <c r="Z185" s="130"/>
      <c r="AB185" s="106"/>
    </row>
    <row r="186">
      <c r="C186" s="79"/>
      <c r="D186" s="79"/>
      <c r="E186" s="79"/>
      <c r="M186" s="79"/>
      <c r="R186" s="79"/>
      <c r="S186" s="79"/>
      <c r="V186" s="79"/>
      <c r="W186" s="79"/>
      <c r="Z186" s="130"/>
      <c r="AB186" s="106"/>
    </row>
    <row r="187">
      <c r="C187" s="79"/>
      <c r="D187" s="79"/>
      <c r="E187" s="79"/>
      <c r="M187" s="79"/>
      <c r="R187" s="79"/>
      <c r="S187" s="79"/>
      <c r="V187" s="79"/>
      <c r="W187" s="79"/>
      <c r="Z187" s="130"/>
      <c r="AB187" s="106"/>
    </row>
    <row r="188">
      <c r="C188" s="79"/>
      <c r="D188" s="79"/>
      <c r="E188" s="79"/>
      <c r="M188" s="79"/>
      <c r="R188" s="79"/>
      <c r="S188" s="79"/>
      <c r="V188" s="79"/>
      <c r="W188" s="79"/>
      <c r="Z188" s="130"/>
      <c r="AB188" s="106"/>
    </row>
    <row r="189">
      <c r="C189" s="79"/>
      <c r="D189" s="79"/>
      <c r="E189" s="79"/>
      <c r="M189" s="79"/>
      <c r="R189" s="79"/>
      <c r="S189" s="79"/>
      <c r="V189" s="79"/>
      <c r="W189" s="79"/>
      <c r="Z189" s="130"/>
      <c r="AB189" s="106"/>
    </row>
    <row r="190">
      <c r="C190" s="79"/>
      <c r="D190" s="79"/>
      <c r="E190" s="79"/>
      <c r="M190" s="79"/>
      <c r="R190" s="79"/>
      <c r="S190" s="79"/>
      <c r="V190" s="79"/>
      <c r="W190" s="79"/>
      <c r="Z190" s="130"/>
      <c r="AB190" s="106"/>
    </row>
    <row r="191">
      <c r="C191" s="79"/>
      <c r="D191" s="79"/>
      <c r="E191" s="79"/>
      <c r="M191" s="79"/>
      <c r="R191" s="79"/>
      <c r="S191" s="79"/>
      <c r="V191" s="79"/>
      <c r="W191" s="79"/>
      <c r="Z191" s="130"/>
      <c r="AB191" s="106"/>
    </row>
    <row r="192">
      <c r="C192" s="79"/>
      <c r="D192" s="79"/>
      <c r="E192" s="79"/>
      <c r="M192" s="79"/>
      <c r="R192" s="79"/>
      <c r="S192" s="79"/>
      <c r="V192" s="79"/>
      <c r="W192" s="79"/>
      <c r="Z192" s="130"/>
      <c r="AB192" s="106"/>
    </row>
    <row r="193">
      <c r="C193" s="79"/>
      <c r="D193" s="79"/>
      <c r="E193" s="79"/>
      <c r="M193" s="79"/>
      <c r="R193" s="79"/>
      <c r="S193" s="79"/>
      <c r="V193" s="79"/>
      <c r="W193" s="79"/>
      <c r="Z193" s="130"/>
      <c r="AB193" s="106"/>
    </row>
    <row r="194">
      <c r="C194" s="79"/>
      <c r="D194" s="79"/>
      <c r="E194" s="79"/>
      <c r="M194" s="79"/>
      <c r="R194" s="79"/>
      <c r="S194" s="79"/>
      <c r="V194" s="79"/>
      <c r="W194" s="79"/>
      <c r="Z194" s="130"/>
      <c r="AB194" s="106"/>
    </row>
    <row r="195">
      <c r="C195" s="79"/>
      <c r="D195" s="79"/>
      <c r="E195" s="79"/>
      <c r="M195" s="79"/>
      <c r="R195" s="79"/>
      <c r="S195" s="79"/>
      <c r="V195" s="79"/>
      <c r="W195" s="79"/>
      <c r="Z195" s="130"/>
      <c r="AB195" s="106"/>
    </row>
    <row r="196">
      <c r="C196" s="79"/>
      <c r="D196" s="79"/>
      <c r="E196" s="79"/>
      <c r="M196" s="79"/>
      <c r="R196" s="79"/>
      <c r="S196" s="79"/>
      <c r="V196" s="79"/>
      <c r="W196" s="79"/>
      <c r="Z196" s="130"/>
      <c r="AB196" s="106"/>
    </row>
    <row r="197">
      <c r="C197" s="79"/>
      <c r="D197" s="79"/>
      <c r="E197" s="79"/>
      <c r="M197" s="79"/>
      <c r="R197" s="79"/>
      <c r="S197" s="79"/>
      <c r="V197" s="79"/>
      <c r="W197" s="79"/>
      <c r="Z197" s="130"/>
      <c r="AB197" s="106"/>
    </row>
    <row r="198">
      <c r="C198" s="79"/>
      <c r="D198" s="79"/>
      <c r="E198" s="79"/>
      <c r="M198" s="79"/>
      <c r="R198" s="79"/>
      <c r="S198" s="79"/>
      <c r="V198" s="79"/>
      <c r="W198" s="79"/>
      <c r="Z198" s="130"/>
      <c r="AB198" s="106"/>
    </row>
    <row r="199">
      <c r="C199" s="79"/>
      <c r="D199" s="79"/>
      <c r="E199" s="79"/>
      <c r="M199" s="79"/>
      <c r="R199" s="79"/>
      <c r="S199" s="79"/>
      <c r="V199" s="79"/>
      <c r="W199" s="79"/>
      <c r="Z199" s="130"/>
      <c r="AB199" s="106"/>
    </row>
    <row r="200">
      <c r="C200" s="79"/>
      <c r="D200" s="79"/>
      <c r="E200" s="79"/>
      <c r="M200" s="79"/>
      <c r="R200" s="79"/>
      <c r="S200" s="79"/>
      <c r="V200" s="79"/>
      <c r="W200" s="79"/>
      <c r="Z200" s="130"/>
      <c r="AB200" s="106"/>
    </row>
    <row r="201">
      <c r="C201" s="79"/>
      <c r="D201" s="79"/>
      <c r="E201" s="79"/>
      <c r="M201" s="79"/>
      <c r="R201" s="79"/>
      <c r="S201" s="79"/>
      <c r="V201" s="79"/>
      <c r="W201" s="79"/>
      <c r="Z201" s="130"/>
      <c r="AB201" s="106"/>
    </row>
    <row r="202">
      <c r="C202" s="79"/>
      <c r="D202" s="79"/>
      <c r="E202" s="79"/>
      <c r="M202" s="79"/>
      <c r="R202" s="79"/>
      <c r="S202" s="79"/>
      <c r="V202" s="79"/>
      <c r="W202" s="79"/>
      <c r="Z202" s="130"/>
      <c r="AB202" s="106"/>
    </row>
    <row r="203">
      <c r="C203" s="79"/>
      <c r="D203" s="79"/>
      <c r="E203" s="79"/>
      <c r="M203" s="79"/>
      <c r="R203" s="79"/>
      <c r="S203" s="79"/>
      <c r="V203" s="79"/>
      <c r="W203" s="79"/>
      <c r="Z203" s="130"/>
      <c r="AB203" s="106"/>
    </row>
    <row r="204">
      <c r="C204" s="79"/>
      <c r="D204" s="79"/>
      <c r="E204" s="79"/>
      <c r="M204" s="79"/>
      <c r="R204" s="79"/>
      <c r="S204" s="79"/>
      <c r="V204" s="79"/>
      <c r="W204" s="79"/>
      <c r="Z204" s="130"/>
      <c r="AB204" s="106"/>
    </row>
    <row r="205">
      <c r="C205" s="79"/>
      <c r="D205" s="79"/>
      <c r="E205" s="79"/>
      <c r="M205" s="79"/>
      <c r="R205" s="79"/>
      <c r="S205" s="79"/>
      <c r="V205" s="79"/>
      <c r="W205" s="79"/>
      <c r="Z205" s="130"/>
      <c r="AB205" s="106"/>
    </row>
    <row r="206">
      <c r="C206" s="79"/>
      <c r="D206" s="79"/>
      <c r="E206" s="79"/>
      <c r="M206" s="79"/>
      <c r="R206" s="79"/>
      <c r="S206" s="79"/>
      <c r="V206" s="79"/>
      <c r="W206" s="79"/>
      <c r="Z206" s="130"/>
      <c r="AB206" s="106"/>
    </row>
    <row r="207">
      <c r="C207" s="79"/>
      <c r="D207" s="79"/>
      <c r="E207" s="79"/>
      <c r="M207" s="79"/>
      <c r="R207" s="79"/>
      <c r="S207" s="79"/>
      <c r="V207" s="79"/>
      <c r="W207" s="79"/>
      <c r="Z207" s="130"/>
      <c r="AB207" s="106"/>
    </row>
    <row r="208">
      <c r="C208" s="79"/>
      <c r="D208" s="79"/>
      <c r="E208" s="79"/>
      <c r="M208" s="79"/>
      <c r="R208" s="79"/>
      <c r="S208" s="79"/>
      <c r="V208" s="79"/>
      <c r="W208" s="79"/>
      <c r="Z208" s="130"/>
      <c r="AB208" s="106"/>
    </row>
    <row r="209">
      <c r="C209" s="79"/>
      <c r="D209" s="79"/>
      <c r="E209" s="79"/>
      <c r="M209" s="79"/>
      <c r="R209" s="79"/>
      <c r="S209" s="79"/>
      <c r="V209" s="79"/>
      <c r="W209" s="79"/>
      <c r="Z209" s="130"/>
      <c r="AB209" s="106"/>
    </row>
    <row r="210">
      <c r="C210" s="79"/>
      <c r="D210" s="79"/>
      <c r="E210" s="79"/>
      <c r="M210" s="79"/>
      <c r="R210" s="79"/>
      <c r="S210" s="79"/>
      <c r="V210" s="79"/>
      <c r="W210" s="79"/>
      <c r="Z210" s="130"/>
      <c r="AB210" s="106"/>
    </row>
    <row r="211">
      <c r="C211" s="79"/>
      <c r="D211" s="79"/>
      <c r="E211" s="79"/>
      <c r="M211" s="79"/>
      <c r="R211" s="79"/>
      <c r="S211" s="79"/>
      <c r="V211" s="79"/>
      <c r="W211" s="79"/>
      <c r="Z211" s="130"/>
      <c r="AB211" s="106"/>
    </row>
    <row r="212">
      <c r="C212" s="79"/>
      <c r="D212" s="79"/>
      <c r="E212" s="79"/>
      <c r="M212" s="79"/>
      <c r="R212" s="79"/>
      <c r="S212" s="79"/>
      <c r="V212" s="79"/>
      <c r="W212" s="79"/>
      <c r="Z212" s="130"/>
      <c r="AB212" s="106"/>
    </row>
    <row r="213">
      <c r="C213" s="79"/>
      <c r="D213" s="79"/>
      <c r="E213" s="79"/>
      <c r="M213" s="79"/>
      <c r="R213" s="79"/>
      <c r="S213" s="79"/>
      <c r="V213" s="79"/>
      <c r="W213" s="79"/>
      <c r="Z213" s="130"/>
      <c r="AB213" s="106"/>
    </row>
    <row r="214">
      <c r="C214" s="79"/>
      <c r="D214" s="79"/>
      <c r="E214" s="79"/>
      <c r="M214" s="79"/>
      <c r="R214" s="79"/>
      <c r="S214" s="79"/>
      <c r="V214" s="79"/>
      <c r="W214" s="79"/>
      <c r="Z214" s="130"/>
      <c r="AB214" s="106"/>
    </row>
    <row r="215">
      <c r="C215" s="79"/>
      <c r="D215" s="79"/>
      <c r="E215" s="79"/>
      <c r="M215" s="79"/>
      <c r="R215" s="79"/>
      <c r="S215" s="79"/>
      <c r="V215" s="79"/>
      <c r="W215" s="79"/>
      <c r="Z215" s="130"/>
      <c r="AB215" s="106"/>
    </row>
    <row r="216">
      <c r="C216" s="79"/>
      <c r="D216" s="79"/>
      <c r="E216" s="79"/>
      <c r="M216" s="79"/>
      <c r="R216" s="79"/>
      <c r="S216" s="79"/>
      <c r="V216" s="79"/>
      <c r="W216" s="79"/>
      <c r="Z216" s="130"/>
      <c r="AB216" s="106"/>
    </row>
    <row r="217">
      <c r="C217" s="79"/>
      <c r="D217" s="79"/>
      <c r="E217" s="79"/>
      <c r="M217" s="79"/>
      <c r="R217" s="79"/>
      <c r="S217" s="79"/>
      <c r="V217" s="79"/>
      <c r="W217" s="79"/>
      <c r="Z217" s="130"/>
      <c r="AB217" s="106"/>
    </row>
    <row r="218">
      <c r="C218" s="79"/>
      <c r="D218" s="79"/>
      <c r="E218" s="79"/>
      <c r="M218" s="79"/>
      <c r="R218" s="79"/>
      <c r="S218" s="79"/>
      <c r="V218" s="79"/>
      <c r="W218" s="79"/>
      <c r="Z218" s="130"/>
      <c r="AB218" s="106"/>
    </row>
    <row r="219">
      <c r="C219" s="79"/>
      <c r="D219" s="79"/>
      <c r="E219" s="79"/>
      <c r="M219" s="79"/>
      <c r="R219" s="79"/>
      <c r="S219" s="79"/>
      <c r="V219" s="79"/>
      <c r="W219" s="79"/>
      <c r="Z219" s="130"/>
      <c r="AB219" s="106"/>
    </row>
    <row r="220">
      <c r="C220" s="79"/>
      <c r="D220" s="79"/>
      <c r="E220" s="79"/>
      <c r="M220" s="79"/>
      <c r="R220" s="79"/>
      <c r="S220" s="79"/>
      <c r="V220" s="79"/>
      <c r="W220" s="79"/>
      <c r="Z220" s="130"/>
      <c r="AB220" s="106"/>
    </row>
    <row r="221">
      <c r="C221" s="79"/>
      <c r="D221" s="79"/>
      <c r="E221" s="79"/>
      <c r="M221" s="79"/>
      <c r="R221" s="79"/>
      <c r="S221" s="79"/>
      <c r="V221" s="79"/>
      <c r="W221" s="79"/>
      <c r="Z221" s="130"/>
      <c r="AB221" s="106"/>
    </row>
    <row r="222">
      <c r="C222" s="79"/>
      <c r="D222" s="79"/>
      <c r="E222" s="79"/>
      <c r="M222" s="79"/>
      <c r="R222" s="79"/>
      <c r="S222" s="79"/>
      <c r="V222" s="79"/>
      <c r="W222" s="79"/>
      <c r="Z222" s="130"/>
      <c r="AB222" s="106"/>
    </row>
    <row r="223">
      <c r="C223" s="79"/>
      <c r="D223" s="79"/>
      <c r="E223" s="79"/>
      <c r="M223" s="79"/>
      <c r="R223" s="79"/>
      <c r="S223" s="79"/>
      <c r="V223" s="79"/>
      <c r="W223" s="79"/>
      <c r="Z223" s="130"/>
      <c r="AB223" s="106"/>
    </row>
    <row r="224">
      <c r="C224" s="79"/>
      <c r="D224" s="79"/>
      <c r="E224" s="79"/>
      <c r="M224" s="79"/>
      <c r="R224" s="79"/>
      <c r="S224" s="79"/>
      <c r="V224" s="79"/>
      <c r="W224" s="79"/>
      <c r="Z224" s="130"/>
      <c r="AB224" s="106"/>
    </row>
    <row r="225">
      <c r="C225" s="79"/>
      <c r="D225" s="79"/>
      <c r="E225" s="79"/>
      <c r="M225" s="79"/>
      <c r="R225" s="79"/>
      <c r="S225" s="79"/>
      <c r="V225" s="79"/>
      <c r="W225" s="79"/>
      <c r="Z225" s="130"/>
      <c r="AB225" s="106"/>
    </row>
    <row r="226">
      <c r="C226" s="79"/>
      <c r="D226" s="79"/>
      <c r="E226" s="79"/>
      <c r="M226" s="79"/>
      <c r="R226" s="79"/>
      <c r="S226" s="79"/>
      <c r="V226" s="79"/>
      <c r="W226" s="79"/>
      <c r="Z226" s="130"/>
      <c r="AB226" s="106"/>
    </row>
    <row r="227">
      <c r="C227" s="79"/>
      <c r="D227" s="79"/>
      <c r="E227" s="79"/>
      <c r="M227" s="79"/>
      <c r="R227" s="79"/>
      <c r="S227" s="79"/>
      <c r="V227" s="79"/>
      <c r="W227" s="79"/>
      <c r="Z227" s="130"/>
      <c r="AB227" s="106"/>
    </row>
    <row r="228">
      <c r="C228" s="79"/>
      <c r="D228" s="79"/>
      <c r="E228" s="79"/>
      <c r="M228" s="79"/>
      <c r="R228" s="79"/>
      <c r="S228" s="79"/>
      <c r="V228" s="79"/>
      <c r="W228" s="79"/>
      <c r="Z228" s="130"/>
      <c r="AB228" s="106"/>
    </row>
    <row r="229">
      <c r="C229" s="79"/>
      <c r="D229" s="79"/>
      <c r="E229" s="79"/>
      <c r="M229" s="79"/>
      <c r="R229" s="79"/>
      <c r="S229" s="79"/>
      <c r="V229" s="79"/>
      <c r="W229" s="79"/>
      <c r="Z229" s="130"/>
      <c r="AB229" s="106"/>
    </row>
    <row r="230">
      <c r="C230" s="79"/>
      <c r="D230" s="79"/>
      <c r="E230" s="79"/>
      <c r="M230" s="79"/>
      <c r="R230" s="79"/>
      <c r="S230" s="79"/>
      <c r="V230" s="79"/>
      <c r="W230" s="79"/>
      <c r="Z230" s="130"/>
      <c r="AB230" s="106"/>
    </row>
    <row r="231">
      <c r="C231" s="79"/>
      <c r="D231" s="79"/>
      <c r="E231" s="79"/>
      <c r="M231" s="79"/>
      <c r="R231" s="79"/>
      <c r="S231" s="79"/>
      <c r="V231" s="79"/>
      <c r="W231" s="79"/>
      <c r="Z231" s="130"/>
      <c r="AB231" s="106"/>
    </row>
    <row r="232">
      <c r="C232" s="79"/>
      <c r="D232" s="79"/>
      <c r="E232" s="79"/>
      <c r="M232" s="79"/>
      <c r="R232" s="79"/>
      <c r="S232" s="79"/>
      <c r="V232" s="79"/>
      <c r="W232" s="79"/>
      <c r="Z232" s="130"/>
      <c r="AB232" s="106"/>
    </row>
    <row r="233">
      <c r="C233" s="79"/>
      <c r="D233" s="79"/>
      <c r="E233" s="79"/>
      <c r="M233" s="79"/>
      <c r="R233" s="79"/>
      <c r="S233" s="79"/>
      <c r="V233" s="79"/>
      <c r="W233" s="79"/>
      <c r="Z233" s="130"/>
      <c r="AB233" s="106"/>
    </row>
    <row r="234">
      <c r="C234" s="79"/>
      <c r="D234" s="79"/>
      <c r="E234" s="79"/>
      <c r="M234" s="79"/>
      <c r="R234" s="79"/>
      <c r="S234" s="79"/>
      <c r="V234" s="79"/>
      <c r="W234" s="79"/>
      <c r="Z234" s="130"/>
      <c r="AB234" s="106"/>
    </row>
    <row r="235">
      <c r="C235" s="79"/>
      <c r="D235" s="79"/>
      <c r="E235" s="79"/>
      <c r="M235" s="79"/>
      <c r="R235" s="79"/>
      <c r="S235" s="79"/>
      <c r="V235" s="79"/>
      <c r="W235" s="79"/>
      <c r="Z235" s="130"/>
      <c r="AB235" s="106"/>
    </row>
    <row r="236">
      <c r="C236" s="79"/>
      <c r="D236" s="79"/>
      <c r="E236" s="79"/>
      <c r="M236" s="79"/>
      <c r="R236" s="79"/>
      <c r="S236" s="79"/>
      <c r="V236" s="79"/>
      <c r="W236" s="79"/>
      <c r="Z236" s="130"/>
      <c r="AB236" s="106"/>
    </row>
    <row r="237">
      <c r="C237" s="79"/>
      <c r="D237" s="79"/>
      <c r="E237" s="79"/>
      <c r="M237" s="79"/>
      <c r="R237" s="79"/>
      <c r="S237" s="79"/>
      <c r="V237" s="79"/>
      <c r="W237" s="79"/>
      <c r="Z237" s="130"/>
      <c r="AB237" s="106"/>
    </row>
    <row r="238">
      <c r="C238" s="79"/>
      <c r="D238" s="79"/>
      <c r="E238" s="79"/>
      <c r="M238" s="79"/>
      <c r="R238" s="79"/>
      <c r="S238" s="79"/>
      <c r="V238" s="79"/>
      <c r="W238" s="79"/>
      <c r="Z238" s="130"/>
      <c r="AB238" s="106"/>
    </row>
    <row r="239">
      <c r="C239" s="79"/>
      <c r="D239" s="79"/>
      <c r="E239" s="79"/>
      <c r="M239" s="79"/>
      <c r="R239" s="79"/>
      <c r="S239" s="79"/>
      <c r="V239" s="79"/>
      <c r="W239" s="79"/>
      <c r="Z239" s="130"/>
      <c r="AB239" s="106"/>
    </row>
    <row r="240">
      <c r="C240" s="79"/>
      <c r="D240" s="79"/>
      <c r="E240" s="79"/>
      <c r="M240" s="79"/>
      <c r="R240" s="79"/>
      <c r="S240" s="79"/>
      <c r="V240" s="79"/>
      <c r="W240" s="79"/>
      <c r="Z240" s="130"/>
      <c r="AB240" s="106"/>
    </row>
    <row r="241">
      <c r="C241" s="79"/>
      <c r="D241" s="79"/>
      <c r="E241" s="79"/>
      <c r="M241" s="79"/>
      <c r="R241" s="79"/>
      <c r="S241" s="79"/>
      <c r="V241" s="79"/>
      <c r="W241" s="79"/>
      <c r="Z241" s="130"/>
      <c r="AB241" s="106"/>
    </row>
    <row r="242">
      <c r="C242" s="79"/>
      <c r="D242" s="79"/>
      <c r="E242" s="79"/>
      <c r="M242" s="79"/>
      <c r="R242" s="79"/>
      <c r="S242" s="79"/>
      <c r="V242" s="79"/>
      <c r="W242" s="79"/>
      <c r="Z242" s="130"/>
      <c r="AB242" s="106"/>
    </row>
    <row r="243">
      <c r="C243" s="79"/>
      <c r="D243" s="79"/>
      <c r="E243" s="79"/>
      <c r="M243" s="79"/>
      <c r="R243" s="79"/>
      <c r="S243" s="79"/>
      <c r="V243" s="79"/>
      <c r="W243" s="79"/>
      <c r="Z243" s="130"/>
      <c r="AB243" s="106"/>
    </row>
    <row r="244">
      <c r="C244" s="79"/>
      <c r="D244" s="79"/>
      <c r="E244" s="79"/>
      <c r="M244" s="79"/>
      <c r="R244" s="79"/>
      <c r="S244" s="79"/>
      <c r="V244" s="79"/>
      <c r="W244" s="79"/>
      <c r="Z244" s="130"/>
      <c r="AB244" s="106"/>
    </row>
    <row r="245">
      <c r="C245" s="79"/>
      <c r="D245" s="79"/>
      <c r="E245" s="79"/>
      <c r="M245" s="79"/>
      <c r="R245" s="79"/>
      <c r="S245" s="79"/>
      <c r="V245" s="79"/>
      <c r="W245" s="79"/>
      <c r="Z245" s="130"/>
      <c r="AB245" s="106"/>
    </row>
    <row r="246">
      <c r="C246" s="79"/>
      <c r="D246" s="79"/>
      <c r="E246" s="79"/>
      <c r="M246" s="79"/>
      <c r="R246" s="79"/>
      <c r="S246" s="79"/>
      <c r="V246" s="79"/>
      <c r="W246" s="79"/>
      <c r="Z246" s="130"/>
      <c r="AB246" s="106"/>
    </row>
    <row r="247">
      <c r="C247" s="79"/>
      <c r="D247" s="79"/>
      <c r="E247" s="79"/>
      <c r="M247" s="79"/>
      <c r="R247" s="79"/>
      <c r="S247" s="79"/>
      <c r="V247" s="79"/>
      <c r="W247" s="79"/>
      <c r="Z247" s="130"/>
      <c r="AB247" s="106"/>
    </row>
    <row r="248">
      <c r="C248" s="79"/>
      <c r="D248" s="79"/>
      <c r="E248" s="79"/>
      <c r="M248" s="79"/>
      <c r="R248" s="79"/>
      <c r="S248" s="79"/>
      <c r="V248" s="79"/>
      <c r="W248" s="79"/>
      <c r="Z248" s="130"/>
      <c r="AB248" s="106"/>
    </row>
    <row r="249">
      <c r="C249" s="79"/>
      <c r="D249" s="79"/>
      <c r="E249" s="79"/>
      <c r="M249" s="79"/>
      <c r="R249" s="79"/>
      <c r="S249" s="79"/>
      <c r="V249" s="79"/>
      <c r="W249" s="79"/>
      <c r="Z249" s="130"/>
      <c r="AB249" s="106"/>
    </row>
    <row r="250">
      <c r="C250" s="79"/>
      <c r="D250" s="79"/>
      <c r="E250" s="79"/>
      <c r="M250" s="79"/>
      <c r="R250" s="79"/>
      <c r="S250" s="79"/>
      <c r="V250" s="79"/>
      <c r="W250" s="79"/>
      <c r="Z250" s="130"/>
      <c r="AB250" s="106"/>
    </row>
    <row r="251">
      <c r="C251" s="79"/>
      <c r="D251" s="79"/>
      <c r="E251" s="79"/>
      <c r="M251" s="79"/>
      <c r="R251" s="79"/>
      <c r="S251" s="79"/>
      <c r="V251" s="79"/>
      <c r="W251" s="79"/>
      <c r="Z251" s="130"/>
      <c r="AB251" s="106"/>
    </row>
    <row r="252">
      <c r="C252" s="79"/>
      <c r="D252" s="79"/>
      <c r="E252" s="79"/>
      <c r="M252" s="79"/>
      <c r="R252" s="79"/>
      <c r="S252" s="79"/>
      <c r="V252" s="79"/>
      <c r="W252" s="79"/>
      <c r="Z252" s="130"/>
      <c r="AB252" s="106"/>
    </row>
    <row r="253">
      <c r="C253" s="79"/>
      <c r="D253" s="79"/>
      <c r="E253" s="79"/>
      <c r="M253" s="79"/>
      <c r="R253" s="79"/>
      <c r="S253" s="79"/>
      <c r="V253" s="79"/>
      <c r="W253" s="79"/>
      <c r="Z253" s="130"/>
      <c r="AB253" s="106"/>
    </row>
    <row r="254">
      <c r="C254" s="79"/>
      <c r="D254" s="79"/>
      <c r="E254" s="79"/>
      <c r="M254" s="79"/>
      <c r="R254" s="79"/>
      <c r="S254" s="79"/>
      <c r="V254" s="79"/>
      <c r="W254" s="79"/>
      <c r="Z254" s="130"/>
      <c r="AB254" s="106"/>
    </row>
    <row r="255">
      <c r="C255" s="79"/>
      <c r="D255" s="79"/>
      <c r="E255" s="79"/>
      <c r="M255" s="79"/>
      <c r="R255" s="79"/>
      <c r="S255" s="79"/>
      <c r="V255" s="79"/>
      <c r="W255" s="79"/>
      <c r="Z255" s="130"/>
      <c r="AB255" s="106"/>
    </row>
    <row r="256">
      <c r="C256" s="79"/>
      <c r="D256" s="79"/>
      <c r="E256" s="79"/>
      <c r="M256" s="79"/>
      <c r="R256" s="79"/>
      <c r="S256" s="79"/>
      <c r="V256" s="79"/>
      <c r="W256" s="79"/>
      <c r="Z256" s="130"/>
      <c r="AB256" s="106"/>
    </row>
    <row r="257">
      <c r="C257" s="79"/>
      <c r="D257" s="79"/>
      <c r="E257" s="79"/>
      <c r="M257" s="79"/>
      <c r="R257" s="79"/>
      <c r="S257" s="79"/>
      <c r="V257" s="79"/>
      <c r="W257" s="79"/>
      <c r="Z257" s="130"/>
      <c r="AB257" s="106"/>
    </row>
    <row r="258">
      <c r="C258" s="79"/>
      <c r="D258" s="79"/>
      <c r="E258" s="79"/>
      <c r="M258" s="79"/>
      <c r="R258" s="79"/>
      <c r="S258" s="79"/>
      <c r="V258" s="79"/>
      <c r="W258" s="79"/>
      <c r="Z258" s="130"/>
      <c r="AB258" s="106"/>
    </row>
    <row r="259">
      <c r="C259" s="79"/>
      <c r="D259" s="79"/>
      <c r="E259" s="79"/>
      <c r="M259" s="79"/>
      <c r="R259" s="79"/>
      <c r="S259" s="79"/>
      <c r="V259" s="79"/>
      <c r="W259" s="79"/>
      <c r="Z259" s="130"/>
      <c r="AB259" s="106"/>
    </row>
    <row r="260">
      <c r="C260" s="79"/>
      <c r="D260" s="79"/>
      <c r="E260" s="79"/>
      <c r="M260" s="79"/>
      <c r="R260" s="79"/>
      <c r="S260" s="79"/>
      <c r="V260" s="79"/>
      <c r="W260" s="79"/>
      <c r="Z260" s="130"/>
      <c r="AB260" s="106"/>
    </row>
    <row r="261">
      <c r="C261" s="79"/>
      <c r="D261" s="79"/>
      <c r="E261" s="79"/>
      <c r="M261" s="79"/>
      <c r="R261" s="79"/>
      <c r="S261" s="79"/>
      <c r="V261" s="79"/>
      <c r="W261" s="79"/>
      <c r="Z261" s="130"/>
      <c r="AB261" s="106"/>
    </row>
    <row r="262">
      <c r="C262" s="79"/>
      <c r="D262" s="79"/>
      <c r="E262" s="79"/>
      <c r="M262" s="79"/>
      <c r="R262" s="79"/>
      <c r="S262" s="79"/>
      <c r="V262" s="79"/>
      <c r="W262" s="79"/>
      <c r="Z262" s="130"/>
      <c r="AB262" s="106"/>
    </row>
    <row r="263">
      <c r="C263" s="79"/>
      <c r="D263" s="79"/>
      <c r="E263" s="79"/>
      <c r="M263" s="79"/>
      <c r="R263" s="79"/>
      <c r="S263" s="79"/>
      <c r="V263" s="79"/>
      <c r="W263" s="79"/>
      <c r="Z263" s="130"/>
      <c r="AB263" s="106"/>
    </row>
    <row r="264">
      <c r="C264" s="79"/>
      <c r="D264" s="79"/>
      <c r="E264" s="79"/>
      <c r="M264" s="79"/>
      <c r="R264" s="79"/>
      <c r="S264" s="79"/>
      <c r="V264" s="79"/>
      <c r="W264" s="79"/>
      <c r="Z264" s="130"/>
      <c r="AB264" s="106"/>
    </row>
    <row r="265">
      <c r="C265" s="79"/>
      <c r="D265" s="79"/>
      <c r="E265" s="79"/>
      <c r="M265" s="79"/>
      <c r="R265" s="79"/>
      <c r="S265" s="79"/>
      <c r="V265" s="79"/>
      <c r="W265" s="79"/>
      <c r="Z265" s="130"/>
      <c r="AB265" s="106"/>
    </row>
    <row r="266">
      <c r="C266" s="79"/>
      <c r="D266" s="79"/>
      <c r="E266" s="79"/>
      <c r="M266" s="79"/>
      <c r="R266" s="79"/>
      <c r="S266" s="79"/>
      <c r="V266" s="79"/>
      <c r="W266" s="79"/>
      <c r="Z266" s="130"/>
      <c r="AB266" s="106"/>
    </row>
    <row r="267">
      <c r="C267" s="79"/>
      <c r="D267" s="79"/>
      <c r="E267" s="79"/>
      <c r="M267" s="79"/>
      <c r="R267" s="79"/>
      <c r="S267" s="79"/>
      <c r="V267" s="79"/>
      <c r="W267" s="79"/>
      <c r="Z267" s="130"/>
      <c r="AB267" s="106"/>
    </row>
    <row r="268">
      <c r="C268" s="79"/>
      <c r="D268" s="79"/>
      <c r="E268" s="79"/>
      <c r="M268" s="79"/>
      <c r="R268" s="79"/>
      <c r="S268" s="79"/>
      <c r="V268" s="79"/>
      <c r="W268" s="79"/>
      <c r="Z268" s="130"/>
      <c r="AB268" s="106"/>
    </row>
    <row r="269">
      <c r="C269" s="79"/>
      <c r="D269" s="79"/>
      <c r="E269" s="79"/>
      <c r="M269" s="79"/>
      <c r="R269" s="79"/>
      <c r="S269" s="79"/>
      <c r="V269" s="79"/>
      <c r="W269" s="79"/>
      <c r="Z269" s="130"/>
      <c r="AB269" s="106"/>
    </row>
    <row r="270">
      <c r="C270" s="79"/>
      <c r="D270" s="79"/>
      <c r="E270" s="79"/>
      <c r="M270" s="79"/>
      <c r="R270" s="79"/>
      <c r="S270" s="79"/>
      <c r="V270" s="79"/>
      <c r="W270" s="79"/>
      <c r="Z270" s="130"/>
      <c r="AB270" s="106"/>
    </row>
    <row r="271">
      <c r="C271" s="79"/>
      <c r="D271" s="79"/>
      <c r="E271" s="79"/>
      <c r="M271" s="79"/>
      <c r="R271" s="79"/>
      <c r="S271" s="79"/>
      <c r="V271" s="79"/>
      <c r="W271" s="79"/>
      <c r="Z271" s="130"/>
      <c r="AB271" s="106"/>
    </row>
    <row r="272">
      <c r="C272" s="79"/>
      <c r="D272" s="79"/>
      <c r="E272" s="79"/>
      <c r="M272" s="79"/>
      <c r="R272" s="79"/>
      <c r="S272" s="79"/>
      <c r="V272" s="79"/>
      <c r="W272" s="79"/>
      <c r="Z272" s="130"/>
      <c r="AB272" s="106"/>
    </row>
    <row r="273">
      <c r="C273" s="79"/>
      <c r="D273" s="79"/>
      <c r="E273" s="79"/>
      <c r="M273" s="79"/>
      <c r="R273" s="79"/>
      <c r="S273" s="79"/>
      <c r="V273" s="79"/>
      <c r="W273" s="79"/>
      <c r="Z273" s="130"/>
      <c r="AB273" s="106"/>
    </row>
    <row r="274">
      <c r="C274" s="79"/>
      <c r="D274" s="79"/>
      <c r="E274" s="79"/>
      <c r="M274" s="79"/>
      <c r="R274" s="79"/>
      <c r="S274" s="79"/>
      <c r="V274" s="79"/>
      <c r="W274" s="79"/>
      <c r="Z274" s="130"/>
      <c r="AB274" s="106"/>
    </row>
    <row r="275">
      <c r="C275" s="79"/>
      <c r="D275" s="79"/>
      <c r="E275" s="79"/>
      <c r="M275" s="79"/>
      <c r="R275" s="79"/>
      <c r="S275" s="79"/>
      <c r="V275" s="79"/>
      <c r="W275" s="79"/>
      <c r="Z275" s="130"/>
      <c r="AB275" s="106"/>
    </row>
    <row r="276">
      <c r="C276" s="79"/>
      <c r="D276" s="79"/>
      <c r="E276" s="79"/>
      <c r="M276" s="79"/>
      <c r="R276" s="79"/>
      <c r="S276" s="79"/>
      <c r="V276" s="79"/>
      <c r="W276" s="79"/>
      <c r="Z276" s="130"/>
      <c r="AB276" s="106"/>
    </row>
    <row r="277">
      <c r="C277" s="79"/>
      <c r="D277" s="79"/>
      <c r="E277" s="79"/>
      <c r="M277" s="79"/>
      <c r="R277" s="79"/>
      <c r="S277" s="79"/>
      <c r="V277" s="79"/>
      <c r="W277" s="79"/>
      <c r="Z277" s="130"/>
      <c r="AB277" s="106"/>
    </row>
    <row r="278">
      <c r="C278" s="79"/>
      <c r="D278" s="79"/>
      <c r="E278" s="79"/>
      <c r="M278" s="79"/>
      <c r="R278" s="79"/>
      <c r="S278" s="79"/>
      <c r="V278" s="79"/>
      <c r="W278" s="79"/>
      <c r="Z278" s="130"/>
      <c r="AB278" s="106"/>
    </row>
    <row r="279">
      <c r="C279" s="79"/>
      <c r="D279" s="79"/>
      <c r="E279" s="79"/>
      <c r="M279" s="79"/>
      <c r="R279" s="79"/>
      <c r="S279" s="79"/>
      <c r="V279" s="79"/>
      <c r="W279" s="79"/>
      <c r="Z279" s="130"/>
      <c r="AB279" s="106"/>
    </row>
    <row r="280">
      <c r="C280" s="79"/>
      <c r="D280" s="79"/>
      <c r="E280" s="79"/>
      <c r="M280" s="79"/>
      <c r="R280" s="79"/>
      <c r="S280" s="79"/>
      <c r="V280" s="79"/>
      <c r="W280" s="79"/>
      <c r="Z280" s="130"/>
      <c r="AB280" s="106"/>
    </row>
    <row r="281">
      <c r="C281" s="79"/>
      <c r="D281" s="79"/>
      <c r="E281" s="79"/>
      <c r="M281" s="79"/>
      <c r="R281" s="79"/>
      <c r="S281" s="79"/>
      <c r="V281" s="79"/>
      <c r="W281" s="79"/>
      <c r="Z281" s="130"/>
      <c r="AB281" s="106"/>
    </row>
    <row r="282">
      <c r="C282" s="79"/>
      <c r="D282" s="79"/>
      <c r="E282" s="79"/>
      <c r="M282" s="79"/>
      <c r="R282" s="79"/>
      <c r="S282" s="79"/>
      <c r="V282" s="79"/>
      <c r="W282" s="79"/>
      <c r="Z282" s="130"/>
      <c r="AB282" s="106"/>
    </row>
    <row r="283">
      <c r="C283" s="79"/>
      <c r="D283" s="79"/>
      <c r="E283" s="79"/>
      <c r="M283" s="79"/>
      <c r="R283" s="79"/>
      <c r="S283" s="79"/>
      <c r="V283" s="79"/>
      <c r="W283" s="79"/>
      <c r="Z283" s="130"/>
      <c r="AB283" s="106"/>
    </row>
    <row r="284">
      <c r="C284" s="79"/>
      <c r="D284" s="79"/>
      <c r="E284" s="79"/>
      <c r="M284" s="79"/>
      <c r="R284" s="79"/>
      <c r="S284" s="79"/>
      <c r="V284" s="79"/>
      <c r="W284" s="79"/>
      <c r="Z284" s="130"/>
      <c r="AB284" s="106"/>
    </row>
    <row r="285">
      <c r="C285" s="79"/>
      <c r="D285" s="79"/>
      <c r="E285" s="79"/>
      <c r="M285" s="79"/>
      <c r="R285" s="79"/>
      <c r="S285" s="79"/>
      <c r="V285" s="79"/>
      <c r="W285" s="79"/>
      <c r="Z285" s="130"/>
      <c r="AB285" s="106"/>
    </row>
    <row r="286">
      <c r="C286" s="79"/>
      <c r="D286" s="79"/>
      <c r="E286" s="79"/>
      <c r="M286" s="79"/>
      <c r="R286" s="79"/>
      <c r="S286" s="79"/>
      <c r="V286" s="79"/>
      <c r="W286" s="79"/>
      <c r="Z286" s="130"/>
      <c r="AB286" s="106"/>
    </row>
    <row r="287">
      <c r="C287" s="79"/>
      <c r="D287" s="79"/>
      <c r="E287" s="79"/>
      <c r="M287" s="79"/>
      <c r="R287" s="79"/>
      <c r="S287" s="79"/>
      <c r="V287" s="79"/>
      <c r="W287" s="79"/>
      <c r="Z287" s="130"/>
      <c r="AB287" s="106"/>
    </row>
    <row r="288">
      <c r="C288" s="79"/>
      <c r="D288" s="79"/>
      <c r="E288" s="79"/>
      <c r="M288" s="79"/>
      <c r="R288" s="79"/>
      <c r="S288" s="79"/>
      <c r="V288" s="79"/>
      <c r="W288" s="79"/>
      <c r="Z288" s="130"/>
      <c r="AB288" s="106"/>
    </row>
    <row r="289">
      <c r="C289" s="79"/>
      <c r="D289" s="79"/>
      <c r="E289" s="79"/>
      <c r="M289" s="79"/>
      <c r="R289" s="79"/>
      <c r="S289" s="79"/>
      <c r="V289" s="79"/>
      <c r="W289" s="79"/>
      <c r="Z289" s="130"/>
      <c r="AB289" s="106"/>
    </row>
    <row r="290">
      <c r="C290" s="79"/>
      <c r="D290" s="79"/>
      <c r="E290" s="79"/>
      <c r="M290" s="79"/>
      <c r="R290" s="79"/>
      <c r="S290" s="79"/>
      <c r="V290" s="79"/>
      <c r="W290" s="79"/>
      <c r="Z290" s="130"/>
      <c r="AB290" s="106"/>
    </row>
    <row r="291">
      <c r="C291" s="79"/>
      <c r="D291" s="79"/>
      <c r="E291" s="79"/>
      <c r="M291" s="79"/>
      <c r="R291" s="79"/>
      <c r="S291" s="79"/>
      <c r="V291" s="79"/>
      <c r="W291" s="79"/>
      <c r="Z291" s="130"/>
      <c r="AB291" s="106"/>
    </row>
    <row r="292">
      <c r="C292" s="79"/>
      <c r="D292" s="79"/>
      <c r="E292" s="79"/>
      <c r="M292" s="79"/>
      <c r="R292" s="79"/>
      <c r="S292" s="79"/>
      <c r="V292" s="79"/>
      <c r="W292" s="79"/>
      <c r="Z292" s="130"/>
      <c r="AB292" s="106"/>
    </row>
    <row r="293">
      <c r="C293" s="79"/>
      <c r="D293" s="79"/>
      <c r="E293" s="79"/>
      <c r="M293" s="79"/>
      <c r="R293" s="79"/>
      <c r="S293" s="79"/>
      <c r="V293" s="79"/>
      <c r="W293" s="79"/>
      <c r="Z293" s="130"/>
      <c r="AB293" s="106"/>
    </row>
    <row r="294">
      <c r="C294" s="79"/>
      <c r="D294" s="79"/>
      <c r="E294" s="79"/>
      <c r="M294" s="79"/>
      <c r="R294" s="79"/>
      <c r="S294" s="79"/>
      <c r="V294" s="79"/>
      <c r="W294" s="79"/>
      <c r="Z294" s="130"/>
      <c r="AB294" s="106"/>
    </row>
    <row r="295">
      <c r="C295" s="79"/>
      <c r="D295" s="79"/>
      <c r="E295" s="79"/>
      <c r="M295" s="79"/>
      <c r="R295" s="79"/>
      <c r="S295" s="79"/>
      <c r="V295" s="79"/>
      <c r="W295" s="79"/>
      <c r="Z295" s="130"/>
      <c r="AB295" s="106"/>
    </row>
    <row r="296">
      <c r="C296" s="79"/>
      <c r="D296" s="79"/>
      <c r="E296" s="79"/>
      <c r="M296" s="79"/>
      <c r="R296" s="79"/>
      <c r="S296" s="79"/>
      <c r="V296" s="79"/>
      <c r="W296" s="79"/>
      <c r="Z296" s="130"/>
      <c r="AB296" s="106"/>
    </row>
    <row r="297">
      <c r="C297" s="79"/>
      <c r="D297" s="79"/>
      <c r="E297" s="79"/>
      <c r="M297" s="79"/>
      <c r="R297" s="79"/>
      <c r="S297" s="79"/>
      <c r="V297" s="79"/>
      <c r="W297" s="79"/>
      <c r="Z297" s="130"/>
      <c r="AB297" s="106"/>
    </row>
    <row r="298">
      <c r="C298" s="79"/>
      <c r="D298" s="79"/>
      <c r="E298" s="79"/>
      <c r="M298" s="79"/>
      <c r="R298" s="79"/>
      <c r="S298" s="79"/>
      <c r="V298" s="79"/>
      <c r="W298" s="79"/>
      <c r="Z298" s="130"/>
      <c r="AB298" s="106"/>
    </row>
    <row r="299">
      <c r="C299" s="79"/>
      <c r="D299" s="79"/>
      <c r="E299" s="79"/>
      <c r="M299" s="79"/>
      <c r="R299" s="79"/>
      <c r="S299" s="79"/>
      <c r="V299" s="79"/>
      <c r="W299" s="79"/>
      <c r="Z299" s="130"/>
      <c r="AB299" s="106"/>
    </row>
    <row r="300">
      <c r="C300" s="79"/>
      <c r="D300" s="79"/>
      <c r="E300" s="79"/>
      <c r="M300" s="79"/>
      <c r="R300" s="79"/>
      <c r="S300" s="79"/>
      <c r="V300" s="79"/>
      <c r="W300" s="79"/>
      <c r="Z300" s="130"/>
      <c r="AB300" s="106"/>
    </row>
    <row r="301">
      <c r="C301" s="79"/>
      <c r="D301" s="79"/>
      <c r="E301" s="79"/>
      <c r="M301" s="79"/>
      <c r="R301" s="79"/>
      <c r="S301" s="79"/>
      <c r="V301" s="79"/>
      <c r="W301" s="79"/>
      <c r="Z301" s="130"/>
      <c r="AB301" s="106"/>
    </row>
    <row r="302">
      <c r="C302" s="79"/>
      <c r="D302" s="79"/>
      <c r="E302" s="79"/>
      <c r="M302" s="79"/>
      <c r="R302" s="79"/>
      <c r="S302" s="79"/>
      <c r="V302" s="79"/>
      <c r="W302" s="79"/>
      <c r="Z302" s="130"/>
      <c r="AB302" s="106"/>
    </row>
    <row r="303">
      <c r="C303" s="79"/>
      <c r="D303" s="79"/>
      <c r="E303" s="79"/>
      <c r="M303" s="79"/>
      <c r="R303" s="79"/>
      <c r="S303" s="79"/>
      <c r="V303" s="79"/>
      <c r="W303" s="79"/>
      <c r="Z303" s="130"/>
      <c r="AB303" s="106"/>
    </row>
    <row r="304">
      <c r="C304" s="79"/>
      <c r="D304" s="79"/>
      <c r="E304" s="79"/>
      <c r="M304" s="79"/>
      <c r="R304" s="79"/>
      <c r="S304" s="79"/>
      <c r="V304" s="79"/>
      <c r="W304" s="79"/>
      <c r="Z304" s="130"/>
      <c r="AB304" s="106"/>
    </row>
    <row r="305">
      <c r="C305" s="79"/>
      <c r="D305" s="79"/>
      <c r="E305" s="79"/>
      <c r="M305" s="79"/>
      <c r="R305" s="79"/>
      <c r="S305" s="79"/>
      <c r="V305" s="79"/>
      <c r="W305" s="79"/>
      <c r="Z305" s="130"/>
      <c r="AB305" s="106"/>
    </row>
    <row r="306">
      <c r="C306" s="79"/>
      <c r="D306" s="79"/>
      <c r="E306" s="79"/>
      <c r="M306" s="79"/>
      <c r="R306" s="79"/>
      <c r="S306" s="79"/>
      <c r="V306" s="79"/>
      <c r="W306" s="79"/>
      <c r="Z306" s="130"/>
      <c r="AB306" s="106"/>
    </row>
    <row r="307">
      <c r="C307" s="79"/>
      <c r="D307" s="79"/>
      <c r="E307" s="79"/>
      <c r="M307" s="79"/>
      <c r="R307" s="79"/>
      <c r="S307" s="79"/>
      <c r="V307" s="79"/>
      <c r="W307" s="79"/>
      <c r="Z307" s="130"/>
      <c r="AB307" s="106"/>
    </row>
    <row r="308">
      <c r="C308" s="79"/>
      <c r="D308" s="79"/>
      <c r="E308" s="79"/>
      <c r="M308" s="79"/>
      <c r="R308" s="79"/>
      <c r="S308" s="79"/>
      <c r="V308" s="79"/>
      <c r="W308" s="79"/>
      <c r="Z308" s="130"/>
      <c r="AB308" s="106"/>
    </row>
    <row r="309">
      <c r="C309" s="79"/>
      <c r="D309" s="79"/>
      <c r="E309" s="79"/>
      <c r="M309" s="79"/>
      <c r="R309" s="79"/>
      <c r="S309" s="79"/>
      <c r="V309" s="79"/>
      <c r="W309" s="79"/>
      <c r="Z309" s="130"/>
      <c r="AB309" s="106"/>
    </row>
    <row r="310">
      <c r="C310" s="79"/>
      <c r="D310" s="79"/>
      <c r="E310" s="79"/>
      <c r="M310" s="79"/>
      <c r="R310" s="79"/>
      <c r="S310" s="79"/>
      <c r="V310" s="79"/>
      <c r="W310" s="79"/>
      <c r="Z310" s="130"/>
      <c r="AB310" s="106"/>
    </row>
    <row r="311">
      <c r="C311" s="79"/>
      <c r="D311" s="79"/>
      <c r="E311" s="79"/>
      <c r="M311" s="79"/>
      <c r="R311" s="79"/>
      <c r="S311" s="79"/>
      <c r="V311" s="79"/>
      <c r="W311" s="79"/>
      <c r="Z311" s="130"/>
      <c r="AB311" s="106"/>
    </row>
    <row r="312">
      <c r="C312" s="79"/>
      <c r="D312" s="79"/>
      <c r="E312" s="79"/>
      <c r="M312" s="79"/>
      <c r="R312" s="79"/>
      <c r="S312" s="79"/>
      <c r="V312" s="79"/>
      <c r="W312" s="79"/>
      <c r="Z312" s="130"/>
      <c r="AB312" s="106"/>
    </row>
    <row r="313">
      <c r="C313" s="79"/>
      <c r="D313" s="79"/>
      <c r="E313" s="79"/>
      <c r="M313" s="79"/>
      <c r="R313" s="79"/>
      <c r="S313" s="79"/>
      <c r="V313" s="79"/>
      <c r="W313" s="79"/>
      <c r="Z313" s="130"/>
      <c r="AB313" s="106"/>
    </row>
    <row r="314">
      <c r="C314" s="79"/>
      <c r="D314" s="79"/>
      <c r="E314" s="79"/>
      <c r="M314" s="79"/>
      <c r="R314" s="79"/>
      <c r="S314" s="79"/>
      <c r="V314" s="79"/>
      <c r="W314" s="79"/>
      <c r="Z314" s="130"/>
      <c r="AB314" s="106"/>
    </row>
    <row r="315">
      <c r="C315" s="79"/>
      <c r="D315" s="79"/>
      <c r="E315" s="79"/>
      <c r="M315" s="79"/>
      <c r="R315" s="79"/>
      <c r="S315" s="79"/>
      <c r="V315" s="79"/>
      <c r="W315" s="79"/>
      <c r="Z315" s="130"/>
      <c r="AB315" s="106"/>
    </row>
    <row r="316">
      <c r="C316" s="79"/>
      <c r="D316" s="79"/>
      <c r="E316" s="79"/>
      <c r="M316" s="79"/>
      <c r="R316" s="79"/>
      <c r="S316" s="79"/>
      <c r="V316" s="79"/>
      <c r="W316" s="79"/>
      <c r="Z316" s="130"/>
      <c r="AB316" s="106"/>
    </row>
    <row r="317">
      <c r="C317" s="79"/>
      <c r="D317" s="79"/>
      <c r="E317" s="79"/>
      <c r="M317" s="79"/>
      <c r="R317" s="79"/>
      <c r="S317" s="79"/>
      <c r="V317" s="79"/>
      <c r="W317" s="79"/>
      <c r="Z317" s="130"/>
      <c r="AB317" s="106"/>
    </row>
    <row r="318">
      <c r="C318" s="79"/>
      <c r="D318" s="79"/>
      <c r="E318" s="79"/>
      <c r="M318" s="79"/>
      <c r="R318" s="79"/>
      <c r="S318" s="79"/>
      <c r="V318" s="79"/>
      <c r="W318" s="79"/>
      <c r="Z318" s="130"/>
      <c r="AB318" s="106"/>
    </row>
    <row r="319">
      <c r="C319" s="79"/>
      <c r="D319" s="79"/>
      <c r="E319" s="79"/>
      <c r="M319" s="79"/>
      <c r="R319" s="79"/>
      <c r="S319" s="79"/>
      <c r="V319" s="79"/>
      <c r="W319" s="79"/>
      <c r="Z319" s="130"/>
      <c r="AB319" s="106"/>
    </row>
    <row r="320">
      <c r="C320" s="79"/>
      <c r="D320" s="79"/>
      <c r="E320" s="79"/>
      <c r="M320" s="79"/>
      <c r="R320" s="79"/>
      <c r="S320" s="79"/>
      <c r="V320" s="79"/>
      <c r="W320" s="79"/>
      <c r="Z320" s="130"/>
      <c r="AB320" s="106"/>
    </row>
    <row r="321">
      <c r="C321" s="79"/>
      <c r="D321" s="79"/>
      <c r="E321" s="79"/>
      <c r="M321" s="79"/>
      <c r="R321" s="79"/>
      <c r="S321" s="79"/>
      <c r="V321" s="79"/>
      <c r="W321" s="79"/>
      <c r="Z321" s="130"/>
      <c r="AB321" s="106"/>
    </row>
    <row r="322">
      <c r="C322" s="79"/>
      <c r="D322" s="79"/>
      <c r="E322" s="79"/>
      <c r="M322" s="79"/>
      <c r="R322" s="79"/>
      <c r="S322" s="79"/>
      <c r="V322" s="79"/>
      <c r="W322" s="79"/>
      <c r="Z322" s="130"/>
      <c r="AB322" s="106"/>
    </row>
    <row r="323">
      <c r="C323" s="79"/>
      <c r="D323" s="79"/>
      <c r="E323" s="79"/>
      <c r="M323" s="79"/>
      <c r="R323" s="79"/>
      <c r="S323" s="79"/>
      <c r="V323" s="79"/>
      <c r="W323" s="79"/>
      <c r="Z323" s="130"/>
      <c r="AB323" s="106"/>
    </row>
    <row r="324">
      <c r="C324" s="79"/>
      <c r="D324" s="79"/>
      <c r="E324" s="79"/>
      <c r="M324" s="79"/>
      <c r="R324" s="79"/>
      <c r="S324" s="79"/>
      <c r="V324" s="79"/>
      <c r="W324" s="79"/>
      <c r="Z324" s="130"/>
      <c r="AB324" s="106"/>
    </row>
    <row r="325">
      <c r="C325" s="79"/>
      <c r="D325" s="79"/>
      <c r="E325" s="79"/>
      <c r="M325" s="79"/>
      <c r="R325" s="79"/>
      <c r="S325" s="79"/>
      <c r="V325" s="79"/>
      <c r="W325" s="79"/>
      <c r="Z325" s="130"/>
      <c r="AB325" s="106"/>
    </row>
    <row r="326">
      <c r="C326" s="79"/>
      <c r="D326" s="79"/>
      <c r="E326" s="79"/>
      <c r="M326" s="79"/>
      <c r="R326" s="79"/>
      <c r="S326" s="79"/>
      <c r="V326" s="79"/>
      <c r="W326" s="79"/>
      <c r="Z326" s="130"/>
      <c r="AB326" s="106"/>
    </row>
    <row r="327">
      <c r="C327" s="79"/>
      <c r="D327" s="79"/>
      <c r="E327" s="79"/>
      <c r="M327" s="79"/>
      <c r="R327" s="79"/>
      <c r="S327" s="79"/>
      <c r="V327" s="79"/>
      <c r="W327" s="79"/>
      <c r="Z327" s="130"/>
      <c r="AB327" s="106"/>
    </row>
    <row r="328">
      <c r="C328" s="79"/>
      <c r="D328" s="79"/>
      <c r="E328" s="79"/>
      <c r="M328" s="79"/>
      <c r="R328" s="79"/>
      <c r="S328" s="79"/>
      <c r="V328" s="79"/>
      <c r="W328" s="79"/>
      <c r="Z328" s="130"/>
      <c r="AB328" s="106"/>
    </row>
    <row r="329">
      <c r="C329" s="79"/>
      <c r="D329" s="79"/>
      <c r="E329" s="79"/>
      <c r="M329" s="79"/>
      <c r="R329" s="79"/>
      <c r="S329" s="79"/>
      <c r="V329" s="79"/>
      <c r="W329" s="79"/>
      <c r="Z329" s="130"/>
      <c r="AB329" s="106"/>
    </row>
    <row r="330">
      <c r="C330" s="79"/>
      <c r="D330" s="79"/>
      <c r="E330" s="79"/>
      <c r="M330" s="79"/>
      <c r="R330" s="79"/>
      <c r="S330" s="79"/>
      <c r="V330" s="79"/>
      <c r="W330" s="79"/>
      <c r="Z330" s="130"/>
      <c r="AB330" s="106"/>
    </row>
    <row r="331">
      <c r="C331" s="79"/>
      <c r="D331" s="79"/>
      <c r="E331" s="79"/>
      <c r="M331" s="79"/>
      <c r="R331" s="79"/>
      <c r="S331" s="79"/>
      <c r="V331" s="79"/>
      <c r="W331" s="79"/>
      <c r="Z331" s="130"/>
      <c r="AB331" s="106"/>
    </row>
    <row r="332">
      <c r="C332" s="79"/>
      <c r="D332" s="79"/>
      <c r="E332" s="79"/>
      <c r="M332" s="79"/>
      <c r="R332" s="79"/>
      <c r="S332" s="79"/>
      <c r="V332" s="79"/>
      <c r="W332" s="79"/>
      <c r="Z332" s="130"/>
      <c r="AB332" s="106"/>
    </row>
    <row r="333">
      <c r="C333" s="79"/>
      <c r="D333" s="79"/>
      <c r="E333" s="79"/>
      <c r="M333" s="79"/>
      <c r="R333" s="79"/>
      <c r="S333" s="79"/>
      <c r="V333" s="79"/>
      <c r="W333" s="79"/>
      <c r="Z333" s="130"/>
      <c r="AB333" s="106"/>
    </row>
    <row r="334">
      <c r="C334" s="79"/>
      <c r="D334" s="79"/>
      <c r="E334" s="79"/>
      <c r="M334" s="79"/>
      <c r="R334" s="79"/>
      <c r="S334" s="79"/>
      <c r="V334" s="79"/>
      <c r="W334" s="79"/>
      <c r="Z334" s="130"/>
      <c r="AB334" s="106"/>
    </row>
    <row r="335">
      <c r="C335" s="79"/>
      <c r="D335" s="79"/>
      <c r="E335" s="79"/>
      <c r="M335" s="79"/>
      <c r="R335" s="79"/>
      <c r="S335" s="79"/>
      <c r="V335" s="79"/>
      <c r="W335" s="79"/>
      <c r="Z335" s="130"/>
      <c r="AB335" s="106"/>
    </row>
    <row r="336">
      <c r="C336" s="79"/>
      <c r="D336" s="79"/>
      <c r="E336" s="79"/>
      <c r="M336" s="79"/>
      <c r="R336" s="79"/>
      <c r="S336" s="79"/>
      <c r="V336" s="79"/>
      <c r="W336" s="79"/>
      <c r="Z336" s="130"/>
      <c r="AB336" s="106"/>
    </row>
    <row r="337">
      <c r="C337" s="79"/>
      <c r="D337" s="79"/>
      <c r="E337" s="79"/>
      <c r="M337" s="79"/>
      <c r="R337" s="79"/>
      <c r="S337" s="79"/>
      <c r="V337" s="79"/>
      <c r="W337" s="79"/>
      <c r="Z337" s="130"/>
      <c r="AB337" s="106"/>
    </row>
    <row r="338">
      <c r="C338" s="79"/>
      <c r="D338" s="79"/>
      <c r="E338" s="79"/>
      <c r="M338" s="79"/>
      <c r="R338" s="79"/>
      <c r="S338" s="79"/>
      <c r="V338" s="79"/>
      <c r="W338" s="79"/>
      <c r="Z338" s="130"/>
      <c r="AB338" s="106"/>
    </row>
    <row r="339">
      <c r="C339" s="79"/>
      <c r="D339" s="79"/>
      <c r="E339" s="79"/>
      <c r="M339" s="79"/>
      <c r="R339" s="79"/>
      <c r="S339" s="79"/>
      <c r="V339" s="79"/>
      <c r="W339" s="79"/>
      <c r="Z339" s="130"/>
      <c r="AB339" s="106"/>
    </row>
    <row r="340">
      <c r="C340" s="79"/>
      <c r="D340" s="79"/>
      <c r="E340" s="79"/>
      <c r="M340" s="79"/>
      <c r="R340" s="79"/>
      <c r="S340" s="79"/>
      <c r="V340" s="79"/>
      <c r="W340" s="79"/>
      <c r="Z340" s="130"/>
      <c r="AB340" s="106"/>
    </row>
    <row r="341">
      <c r="C341" s="79"/>
      <c r="D341" s="79"/>
      <c r="E341" s="79"/>
      <c r="M341" s="79"/>
      <c r="R341" s="79"/>
      <c r="S341" s="79"/>
      <c r="V341" s="79"/>
      <c r="W341" s="79"/>
      <c r="Z341" s="130"/>
      <c r="AB341" s="106"/>
    </row>
    <row r="342">
      <c r="C342" s="79"/>
      <c r="D342" s="79"/>
      <c r="E342" s="79"/>
      <c r="M342" s="79"/>
      <c r="R342" s="79"/>
      <c r="S342" s="79"/>
      <c r="V342" s="79"/>
      <c r="W342" s="79"/>
      <c r="Z342" s="130"/>
      <c r="AB342" s="106"/>
    </row>
    <row r="343">
      <c r="C343" s="79"/>
      <c r="D343" s="79"/>
      <c r="E343" s="79"/>
      <c r="M343" s="79"/>
      <c r="R343" s="79"/>
      <c r="S343" s="79"/>
      <c r="V343" s="79"/>
      <c r="W343" s="79"/>
      <c r="Z343" s="130"/>
      <c r="AB343" s="106"/>
    </row>
    <row r="344">
      <c r="C344" s="79"/>
      <c r="D344" s="79"/>
      <c r="E344" s="79"/>
      <c r="M344" s="79"/>
      <c r="R344" s="79"/>
      <c r="S344" s="79"/>
      <c r="V344" s="79"/>
      <c r="W344" s="79"/>
      <c r="Z344" s="130"/>
      <c r="AB344" s="106"/>
    </row>
    <row r="345">
      <c r="C345" s="79"/>
      <c r="D345" s="79"/>
      <c r="E345" s="79"/>
      <c r="M345" s="79"/>
      <c r="R345" s="79"/>
      <c r="S345" s="79"/>
      <c r="V345" s="79"/>
      <c r="W345" s="79"/>
      <c r="Z345" s="130"/>
      <c r="AB345" s="106"/>
    </row>
    <row r="346">
      <c r="C346" s="79"/>
      <c r="D346" s="79"/>
      <c r="E346" s="79"/>
      <c r="M346" s="79"/>
      <c r="R346" s="79"/>
      <c r="S346" s="79"/>
      <c r="V346" s="79"/>
      <c r="W346" s="79"/>
      <c r="Z346" s="130"/>
      <c r="AB346" s="106"/>
    </row>
    <row r="347">
      <c r="C347" s="79"/>
      <c r="D347" s="79"/>
      <c r="E347" s="79"/>
      <c r="M347" s="79"/>
      <c r="R347" s="79"/>
      <c r="S347" s="79"/>
      <c r="V347" s="79"/>
      <c r="W347" s="79"/>
      <c r="Z347" s="130"/>
      <c r="AB347" s="106"/>
    </row>
    <row r="348">
      <c r="C348" s="79"/>
      <c r="D348" s="79"/>
      <c r="E348" s="79"/>
      <c r="M348" s="79"/>
      <c r="R348" s="79"/>
      <c r="S348" s="79"/>
      <c r="V348" s="79"/>
      <c r="W348" s="79"/>
      <c r="Z348" s="130"/>
      <c r="AB348" s="106"/>
    </row>
    <row r="349">
      <c r="C349" s="79"/>
      <c r="D349" s="79"/>
      <c r="E349" s="79"/>
      <c r="M349" s="79"/>
      <c r="R349" s="79"/>
      <c r="S349" s="79"/>
      <c r="V349" s="79"/>
      <c r="W349" s="79"/>
      <c r="Z349" s="130"/>
      <c r="AB349" s="106"/>
    </row>
    <row r="350">
      <c r="C350" s="79"/>
      <c r="D350" s="79"/>
      <c r="E350" s="79"/>
      <c r="M350" s="79"/>
      <c r="R350" s="79"/>
      <c r="S350" s="79"/>
      <c r="V350" s="79"/>
      <c r="W350" s="79"/>
      <c r="Z350" s="130"/>
      <c r="AB350" s="106"/>
    </row>
    <row r="351">
      <c r="C351" s="79"/>
      <c r="D351" s="79"/>
      <c r="E351" s="79"/>
      <c r="M351" s="79"/>
      <c r="R351" s="79"/>
      <c r="S351" s="79"/>
      <c r="V351" s="79"/>
      <c r="W351" s="79"/>
      <c r="Z351" s="130"/>
      <c r="AB351" s="106"/>
    </row>
    <row r="352">
      <c r="C352" s="79"/>
      <c r="D352" s="79"/>
      <c r="E352" s="79"/>
      <c r="M352" s="79"/>
      <c r="R352" s="79"/>
      <c r="S352" s="79"/>
      <c r="V352" s="79"/>
      <c r="W352" s="79"/>
      <c r="Z352" s="130"/>
      <c r="AB352" s="106"/>
    </row>
    <row r="353">
      <c r="C353" s="79"/>
      <c r="D353" s="79"/>
      <c r="E353" s="79"/>
      <c r="M353" s="79"/>
      <c r="R353" s="79"/>
      <c r="S353" s="79"/>
      <c r="V353" s="79"/>
      <c r="W353" s="79"/>
      <c r="Z353" s="130"/>
      <c r="AB353" s="106"/>
    </row>
    <row r="354">
      <c r="C354" s="79"/>
      <c r="D354" s="79"/>
      <c r="E354" s="79"/>
      <c r="M354" s="79"/>
      <c r="R354" s="79"/>
      <c r="S354" s="79"/>
      <c r="V354" s="79"/>
      <c r="W354" s="79"/>
      <c r="Z354" s="130"/>
      <c r="AB354" s="106"/>
    </row>
    <row r="355">
      <c r="C355" s="79"/>
      <c r="D355" s="79"/>
      <c r="E355" s="79"/>
      <c r="M355" s="79"/>
      <c r="R355" s="79"/>
      <c r="S355" s="79"/>
      <c r="V355" s="79"/>
      <c r="W355" s="79"/>
      <c r="Z355" s="130"/>
      <c r="AB355" s="106"/>
    </row>
    <row r="356">
      <c r="C356" s="79"/>
      <c r="D356" s="79"/>
      <c r="E356" s="79"/>
      <c r="M356" s="79"/>
      <c r="R356" s="79"/>
      <c r="S356" s="79"/>
      <c r="V356" s="79"/>
      <c r="W356" s="79"/>
      <c r="Z356" s="130"/>
      <c r="AB356" s="106"/>
    </row>
    <row r="357">
      <c r="C357" s="79"/>
      <c r="D357" s="79"/>
      <c r="E357" s="79"/>
      <c r="M357" s="79"/>
      <c r="R357" s="79"/>
      <c r="S357" s="79"/>
      <c r="V357" s="79"/>
      <c r="W357" s="79"/>
      <c r="Z357" s="130"/>
      <c r="AB357" s="106"/>
    </row>
    <row r="358">
      <c r="C358" s="79"/>
      <c r="D358" s="79"/>
      <c r="E358" s="79"/>
      <c r="M358" s="79"/>
      <c r="R358" s="79"/>
      <c r="S358" s="79"/>
      <c r="V358" s="79"/>
      <c r="W358" s="79"/>
      <c r="Z358" s="130"/>
      <c r="AB358" s="106"/>
    </row>
    <row r="359">
      <c r="C359" s="79"/>
      <c r="D359" s="79"/>
      <c r="E359" s="79"/>
      <c r="M359" s="79"/>
      <c r="R359" s="79"/>
      <c r="S359" s="79"/>
      <c r="V359" s="79"/>
      <c r="W359" s="79"/>
      <c r="Z359" s="130"/>
      <c r="AB359" s="106"/>
    </row>
    <row r="360">
      <c r="C360" s="79"/>
      <c r="D360" s="79"/>
      <c r="E360" s="79"/>
      <c r="M360" s="79"/>
      <c r="R360" s="79"/>
      <c r="S360" s="79"/>
      <c r="V360" s="79"/>
      <c r="W360" s="79"/>
      <c r="Z360" s="130"/>
      <c r="AB360" s="106"/>
    </row>
    <row r="361">
      <c r="C361" s="79"/>
      <c r="D361" s="79"/>
      <c r="E361" s="79"/>
      <c r="M361" s="79"/>
      <c r="R361" s="79"/>
      <c r="S361" s="79"/>
      <c r="V361" s="79"/>
      <c r="W361" s="79"/>
      <c r="Z361" s="130"/>
      <c r="AB361" s="106"/>
    </row>
    <row r="362">
      <c r="C362" s="79"/>
      <c r="D362" s="79"/>
      <c r="E362" s="79"/>
      <c r="M362" s="79"/>
      <c r="R362" s="79"/>
      <c r="S362" s="79"/>
      <c r="V362" s="79"/>
      <c r="W362" s="79"/>
      <c r="Z362" s="130"/>
      <c r="AB362" s="106"/>
    </row>
    <row r="363">
      <c r="C363" s="79"/>
      <c r="D363" s="79"/>
      <c r="E363" s="79"/>
      <c r="M363" s="79"/>
      <c r="R363" s="79"/>
      <c r="S363" s="79"/>
      <c r="V363" s="79"/>
      <c r="W363" s="79"/>
      <c r="Z363" s="130"/>
      <c r="AB363" s="106"/>
    </row>
    <row r="364">
      <c r="C364" s="79"/>
      <c r="D364" s="79"/>
      <c r="E364" s="79"/>
      <c r="M364" s="79"/>
      <c r="R364" s="79"/>
      <c r="S364" s="79"/>
      <c r="V364" s="79"/>
      <c r="W364" s="79"/>
      <c r="Z364" s="130"/>
      <c r="AB364" s="106"/>
    </row>
    <row r="365">
      <c r="C365" s="79"/>
      <c r="D365" s="79"/>
      <c r="E365" s="79"/>
      <c r="M365" s="79"/>
      <c r="R365" s="79"/>
      <c r="S365" s="79"/>
      <c r="V365" s="79"/>
      <c r="W365" s="79"/>
      <c r="Z365" s="130"/>
      <c r="AB365" s="106"/>
    </row>
    <row r="366">
      <c r="C366" s="79"/>
      <c r="D366" s="79"/>
      <c r="E366" s="79"/>
      <c r="M366" s="79"/>
      <c r="R366" s="79"/>
      <c r="S366" s="79"/>
      <c r="V366" s="79"/>
      <c r="W366" s="79"/>
      <c r="Z366" s="130"/>
      <c r="AB366" s="106"/>
    </row>
    <row r="367">
      <c r="C367" s="79"/>
      <c r="D367" s="79"/>
      <c r="E367" s="79"/>
      <c r="M367" s="79"/>
      <c r="R367" s="79"/>
      <c r="S367" s="79"/>
      <c r="V367" s="79"/>
      <c r="W367" s="79"/>
      <c r="Z367" s="130"/>
      <c r="AB367" s="106"/>
    </row>
    <row r="368">
      <c r="C368" s="79"/>
      <c r="D368" s="79"/>
      <c r="E368" s="79"/>
      <c r="M368" s="79"/>
      <c r="R368" s="79"/>
      <c r="S368" s="79"/>
      <c r="V368" s="79"/>
      <c r="W368" s="79"/>
      <c r="Z368" s="130"/>
      <c r="AB368" s="106"/>
    </row>
    <row r="369">
      <c r="C369" s="79"/>
      <c r="D369" s="79"/>
      <c r="E369" s="79"/>
      <c r="M369" s="79"/>
      <c r="R369" s="79"/>
      <c r="S369" s="79"/>
      <c r="V369" s="79"/>
      <c r="W369" s="79"/>
      <c r="Z369" s="130"/>
      <c r="AB369" s="106"/>
    </row>
    <row r="370">
      <c r="C370" s="79"/>
      <c r="D370" s="79"/>
      <c r="E370" s="79"/>
      <c r="M370" s="79"/>
      <c r="R370" s="79"/>
      <c r="S370" s="79"/>
      <c r="V370" s="79"/>
      <c r="W370" s="79"/>
      <c r="Z370" s="130"/>
      <c r="AB370" s="106"/>
    </row>
    <row r="371">
      <c r="C371" s="79"/>
      <c r="D371" s="79"/>
      <c r="E371" s="79"/>
      <c r="M371" s="79"/>
      <c r="R371" s="79"/>
      <c r="S371" s="79"/>
      <c r="V371" s="79"/>
      <c r="W371" s="79"/>
      <c r="Z371" s="130"/>
      <c r="AB371" s="106"/>
    </row>
    <row r="372">
      <c r="C372" s="79"/>
      <c r="D372" s="79"/>
      <c r="E372" s="79"/>
      <c r="M372" s="79"/>
      <c r="R372" s="79"/>
      <c r="S372" s="79"/>
      <c r="V372" s="79"/>
      <c r="W372" s="79"/>
      <c r="Z372" s="130"/>
      <c r="AB372" s="106"/>
    </row>
    <row r="373">
      <c r="C373" s="79"/>
      <c r="D373" s="79"/>
      <c r="E373" s="79"/>
      <c r="M373" s="79"/>
      <c r="R373" s="79"/>
      <c r="S373" s="79"/>
      <c r="V373" s="79"/>
      <c r="W373" s="79"/>
      <c r="Z373" s="130"/>
      <c r="AB373" s="106"/>
    </row>
    <row r="374">
      <c r="C374" s="79"/>
      <c r="D374" s="79"/>
      <c r="E374" s="79"/>
      <c r="M374" s="79"/>
      <c r="R374" s="79"/>
      <c r="S374" s="79"/>
      <c r="V374" s="79"/>
      <c r="W374" s="79"/>
      <c r="Z374" s="130"/>
      <c r="AB374" s="106"/>
    </row>
    <row r="375">
      <c r="C375" s="79"/>
      <c r="D375" s="79"/>
      <c r="E375" s="79"/>
      <c r="M375" s="79"/>
      <c r="R375" s="79"/>
      <c r="S375" s="79"/>
      <c r="V375" s="79"/>
      <c r="W375" s="79"/>
      <c r="Z375" s="130"/>
      <c r="AB375" s="106"/>
    </row>
    <row r="376">
      <c r="C376" s="79"/>
      <c r="D376" s="79"/>
      <c r="E376" s="79"/>
      <c r="M376" s="79"/>
      <c r="R376" s="79"/>
      <c r="S376" s="79"/>
      <c r="V376" s="79"/>
      <c r="W376" s="79"/>
      <c r="Z376" s="130"/>
      <c r="AB376" s="106"/>
    </row>
    <row r="377">
      <c r="C377" s="79"/>
      <c r="D377" s="79"/>
      <c r="E377" s="79"/>
      <c r="M377" s="79"/>
      <c r="R377" s="79"/>
      <c r="S377" s="79"/>
      <c r="V377" s="79"/>
      <c r="W377" s="79"/>
      <c r="Z377" s="130"/>
      <c r="AB377" s="106"/>
    </row>
    <row r="378">
      <c r="C378" s="79"/>
      <c r="D378" s="79"/>
      <c r="E378" s="79"/>
      <c r="M378" s="79"/>
      <c r="R378" s="79"/>
      <c r="S378" s="79"/>
      <c r="V378" s="79"/>
      <c r="W378" s="79"/>
      <c r="Z378" s="130"/>
      <c r="AB378" s="106"/>
    </row>
    <row r="379">
      <c r="C379" s="79"/>
      <c r="D379" s="79"/>
      <c r="E379" s="79"/>
      <c r="M379" s="79"/>
      <c r="R379" s="79"/>
      <c r="S379" s="79"/>
      <c r="V379" s="79"/>
      <c r="W379" s="79"/>
      <c r="Z379" s="130"/>
      <c r="AB379" s="106"/>
    </row>
    <row r="380">
      <c r="C380" s="79"/>
      <c r="D380" s="79"/>
      <c r="E380" s="79"/>
      <c r="M380" s="79"/>
      <c r="R380" s="79"/>
      <c r="S380" s="79"/>
      <c r="V380" s="79"/>
      <c r="W380" s="79"/>
      <c r="Z380" s="130"/>
      <c r="AB380" s="106"/>
    </row>
    <row r="381">
      <c r="C381" s="79"/>
      <c r="D381" s="79"/>
      <c r="E381" s="79"/>
      <c r="M381" s="79"/>
      <c r="R381" s="79"/>
      <c r="S381" s="79"/>
      <c r="V381" s="79"/>
      <c r="W381" s="79"/>
      <c r="Z381" s="130"/>
      <c r="AB381" s="106"/>
    </row>
    <row r="382">
      <c r="C382" s="79"/>
      <c r="D382" s="79"/>
      <c r="E382" s="79"/>
      <c r="M382" s="79"/>
      <c r="R382" s="79"/>
      <c r="S382" s="79"/>
      <c r="V382" s="79"/>
      <c r="W382" s="79"/>
      <c r="Z382" s="130"/>
      <c r="AB382" s="106"/>
    </row>
    <row r="383">
      <c r="C383" s="79"/>
      <c r="D383" s="79"/>
      <c r="E383" s="79"/>
      <c r="M383" s="79"/>
      <c r="R383" s="79"/>
      <c r="S383" s="79"/>
      <c r="V383" s="79"/>
      <c r="W383" s="79"/>
      <c r="Z383" s="130"/>
      <c r="AB383" s="106"/>
    </row>
    <row r="384">
      <c r="C384" s="79"/>
      <c r="D384" s="79"/>
      <c r="E384" s="79"/>
      <c r="M384" s="79"/>
      <c r="R384" s="79"/>
      <c r="S384" s="79"/>
      <c r="V384" s="79"/>
      <c r="W384" s="79"/>
      <c r="Z384" s="130"/>
      <c r="AB384" s="106"/>
    </row>
    <row r="385">
      <c r="C385" s="79"/>
      <c r="D385" s="79"/>
      <c r="E385" s="79"/>
      <c r="M385" s="79"/>
      <c r="R385" s="79"/>
      <c r="S385" s="79"/>
      <c r="V385" s="79"/>
      <c r="W385" s="79"/>
      <c r="Z385" s="130"/>
      <c r="AB385" s="106"/>
    </row>
    <row r="386">
      <c r="C386" s="79"/>
      <c r="D386" s="79"/>
      <c r="E386" s="79"/>
      <c r="M386" s="79"/>
      <c r="R386" s="79"/>
      <c r="S386" s="79"/>
      <c r="V386" s="79"/>
      <c r="W386" s="79"/>
      <c r="Z386" s="130"/>
      <c r="AB386" s="106"/>
    </row>
    <row r="387">
      <c r="C387" s="79"/>
      <c r="D387" s="79"/>
      <c r="E387" s="79"/>
      <c r="M387" s="79"/>
      <c r="R387" s="79"/>
      <c r="S387" s="79"/>
      <c r="V387" s="79"/>
      <c r="W387" s="79"/>
      <c r="Z387" s="130"/>
      <c r="AB387" s="106"/>
    </row>
    <row r="388">
      <c r="C388" s="79"/>
      <c r="D388" s="79"/>
      <c r="E388" s="79"/>
      <c r="M388" s="79"/>
      <c r="R388" s="79"/>
      <c r="S388" s="79"/>
      <c r="V388" s="79"/>
      <c r="W388" s="79"/>
      <c r="Z388" s="130"/>
      <c r="AB388" s="106"/>
    </row>
    <row r="389">
      <c r="C389" s="79"/>
      <c r="D389" s="79"/>
      <c r="E389" s="79"/>
      <c r="M389" s="79"/>
      <c r="R389" s="79"/>
      <c r="S389" s="79"/>
      <c r="V389" s="79"/>
      <c r="W389" s="79"/>
      <c r="Z389" s="130"/>
      <c r="AB389" s="106"/>
    </row>
    <row r="390">
      <c r="C390" s="79"/>
      <c r="D390" s="79"/>
      <c r="E390" s="79"/>
      <c r="M390" s="79"/>
      <c r="R390" s="79"/>
      <c r="S390" s="79"/>
      <c r="V390" s="79"/>
      <c r="W390" s="79"/>
      <c r="Z390" s="130"/>
      <c r="AB390" s="106"/>
    </row>
    <row r="391">
      <c r="C391" s="79"/>
      <c r="D391" s="79"/>
      <c r="E391" s="79"/>
      <c r="M391" s="79"/>
      <c r="R391" s="79"/>
      <c r="S391" s="79"/>
      <c r="V391" s="79"/>
      <c r="W391" s="79"/>
      <c r="Z391" s="130"/>
      <c r="AB391" s="106"/>
    </row>
    <row r="392">
      <c r="C392" s="79"/>
      <c r="D392" s="79"/>
      <c r="E392" s="79"/>
      <c r="M392" s="79"/>
      <c r="R392" s="79"/>
      <c r="S392" s="79"/>
      <c r="V392" s="79"/>
      <c r="W392" s="79"/>
      <c r="Z392" s="130"/>
      <c r="AB392" s="106"/>
    </row>
    <row r="393">
      <c r="C393" s="79"/>
      <c r="D393" s="79"/>
      <c r="E393" s="79"/>
      <c r="M393" s="79"/>
      <c r="R393" s="79"/>
      <c r="S393" s="79"/>
      <c r="V393" s="79"/>
      <c r="W393" s="79"/>
      <c r="Z393" s="130"/>
      <c r="AB393" s="106"/>
    </row>
    <row r="394">
      <c r="C394" s="79"/>
      <c r="D394" s="79"/>
      <c r="E394" s="79"/>
      <c r="M394" s="79"/>
      <c r="R394" s="79"/>
      <c r="S394" s="79"/>
      <c r="V394" s="79"/>
      <c r="W394" s="79"/>
      <c r="Z394" s="130"/>
      <c r="AB394" s="106"/>
    </row>
    <row r="395">
      <c r="C395" s="79"/>
      <c r="D395" s="79"/>
      <c r="E395" s="79"/>
      <c r="M395" s="79"/>
      <c r="R395" s="79"/>
      <c r="S395" s="79"/>
      <c r="V395" s="79"/>
      <c r="W395" s="79"/>
      <c r="Z395" s="130"/>
      <c r="AB395" s="106"/>
    </row>
    <row r="396">
      <c r="C396" s="79"/>
      <c r="D396" s="79"/>
      <c r="E396" s="79"/>
      <c r="M396" s="79"/>
      <c r="R396" s="79"/>
      <c r="S396" s="79"/>
      <c r="V396" s="79"/>
      <c r="W396" s="79"/>
      <c r="Z396" s="130"/>
      <c r="AB396" s="106"/>
    </row>
    <row r="397">
      <c r="C397" s="79"/>
      <c r="D397" s="79"/>
      <c r="E397" s="79"/>
      <c r="M397" s="79"/>
      <c r="R397" s="79"/>
      <c r="S397" s="79"/>
      <c r="V397" s="79"/>
      <c r="W397" s="79"/>
      <c r="Z397" s="130"/>
      <c r="AB397" s="106"/>
    </row>
    <row r="398">
      <c r="C398" s="79"/>
      <c r="D398" s="79"/>
      <c r="E398" s="79"/>
      <c r="M398" s="79"/>
      <c r="R398" s="79"/>
      <c r="S398" s="79"/>
      <c r="V398" s="79"/>
      <c r="W398" s="79"/>
      <c r="Z398" s="130"/>
      <c r="AB398" s="106"/>
    </row>
    <row r="399">
      <c r="C399" s="79"/>
      <c r="D399" s="79"/>
      <c r="E399" s="79"/>
      <c r="M399" s="79"/>
      <c r="R399" s="79"/>
      <c r="S399" s="79"/>
      <c r="V399" s="79"/>
      <c r="W399" s="79"/>
      <c r="Z399" s="130"/>
      <c r="AB399" s="106"/>
    </row>
    <row r="400">
      <c r="C400" s="79"/>
      <c r="D400" s="79"/>
      <c r="E400" s="79"/>
      <c r="M400" s="79"/>
      <c r="R400" s="79"/>
      <c r="S400" s="79"/>
      <c r="V400" s="79"/>
      <c r="W400" s="79"/>
      <c r="Z400" s="130"/>
      <c r="AB400" s="106"/>
    </row>
    <row r="401">
      <c r="C401" s="79"/>
      <c r="D401" s="79"/>
      <c r="E401" s="79"/>
      <c r="M401" s="79"/>
      <c r="R401" s="79"/>
      <c r="S401" s="79"/>
      <c r="V401" s="79"/>
      <c r="W401" s="79"/>
      <c r="Z401" s="130"/>
      <c r="AB401" s="106"/>
    </row>
    <row r="402">
      <c r="C402" s="79"/>
      <c r="D402" s="79"/>
      <c r="E402" s="79"/>
      <c r="M402" s="79"/>
      <c r="R402" s="79"/>
      <c r="S402" s="79"/>
      <c r="V402" s="79"/>
      <c r="W402" s="79"/>
      <c r="Z402" s="130"/>
      <c r="AB402" s="106"/>
    </row>
    <row r="403">
      <c r="C403" s="79"/>
      <c r="D403" s="79"/>
      <c r="E403" s="79"/>
      <c r="M403" s="79"/>
      <c r="R403" s="79"/>
      <c r="S403" s="79"/>
      <c r="V403" s="79"/>
      <c r="W403" s="79"/>
      <c r="Z403" s="130"/>
      <c r="AB403" s="106"/>
    </row>
    <row r="404">
      <c r="C404" s="79"/>
      <c r="D404" s="79"/>
      <c r="E404" s="79"/>
      <c r="M404" s="79"/>
      <c r="R404" s="79"/>
      <c r="S404" s="79"/>
      <c r="V404" s="79"/>
      <c r="W404" s="79"/>
      <c r="Z404" s="130"/>
      <c r="AB404" s="106"/>
    </row>
    <row r="405">
      <c r="C405" s="79"/>
      <c r="D405" s="79"/>
      <c r="E405" s="79"/>
      <c r="M405" s="79"/>
      <c r="R405" s="79"/>
      <c r="S405" s="79"/>
      <c r="V405" s="79"/>
      <c r="W405" s="79"/>
      <c r="Z405" s="130"/>
      <c r="AB405" s="106"/>
    </row>
    <row r="406">
      <c r="C406" s="79"/>
      <c r="D406" s="79"/>
      <c r="E406" s="79"/>
      <c r="M406" s="79"/>
      <c r="R406" s="79"/>
      <c r="S406" s="79"/>
      <c r="V406" s="79"/>
      <c r="W406" s="79"/>
      <c r="Z406" s="130"/>
      <c r="AB406" s="106"/>
    </row>
    <row r="407">
      <c r="C407" s="79"/>
      <c r="D407" s="79"/>
      <c r="E407" s="79"/>
      <c r="M407" s="79"/>
      <c r="R407" s="79"/>
      <c r="S407" s="79"/>
      <c r="V407" s="79"/>
      <c r="W407" s="79"/>
      <c r="Z407" s="130"/>
      <c r="AB407" s="106"/>
    </row>
    <row r="408">
      <c r="C408" s="79"/>
      <c r="D408" s="79"/>
      <c r="E408" s="79"/>
      <c r="M408" s="79"/>
      <c r="R408" s="79"/>
      <c r="S408" s="79"/>
      <c r="V408" s="79"/>
      <c r="W408" s="79"/>
      <c r="Z408" s="130"/>
      <c r="AB408" s="106"/>
    </row>
    <row r="409">
      <c r="C409" s="79"/>
      <c r="D409" s="79"/>
      <c r="E409" s="79"/>
      <c r="M409" s="79"/>
      <c r="R409" s="79"/>
      <c r="S409" s="79"/>
      <c r="V409" s="79"/>
      <c r="W409" s="79"/>
      <c r="Z409" s="130"/>
      <c r="AB409" s="106"/>
    </row>
    <row r="410">
      <c r="C410" s="79"/>
      <c r="D410" s="79"/>
      <c r="E410" s="79"/>
      <c r="M410" s="79"/>
      <c r="R410" s="79"/>
      <c r="S410" s="79"/>
      <c r="V410" s="79"/>
      <c r="W410" s="79"/>
      <c r="Z410" s="130"/>
      <c r="AB410" s="106"/>
    </row>
    <row r="411">
      <c r="C411" s="79"/>
      <c r="D411" s="79"/>
      <c r="E411" s="79"/>
      <c r="M411" s="79"/>
      <c r="R411" s="79"/>
      <c r="S411" s="79"/>
      <c r="V411" s="79"/>
      <c r="W411" s="79"/>
      <c r="Z411" s="130"/>
      <c r="AB411" s="106"/>
    </row>
    <row r="412">
      <c r="C412" s="79"/>
      <c r="D412" s="79"/>
      <c r="E412" s="79"/>
      <c r="M412" s="79"/>
      <c r="R412" s="79"/>
      <c r="S412" s="79"/>
      <c r="V412" s="79"/>
      <c r="W412" s="79"/>
      <c r="Z412" s="130"/>
      <c r="AB412" s="106"/>
    </row>
    <row r="413">
      <c r="C413" s="79"/>
      <c r="D413" s="79"/>
      <c r="E413" s="79"/>
      <c r="M413" s="79"/>
      <c r="R413" s="79"/>
      <c r="S413" s="79"/>
      <c r="V413" s="79"/>
      <c r="W413" s="79"/>
      <c r="Z413" s="130"/>
      <c r="AB413" s="106"/>
    </row>
    <row r="414">
      <c r="C414" s="79"/>
      <c r="D414" s="79"/>
      <c r="E414" s="79"/>
      <c r="M414" s="79"/>
      <c r="R414" s="79"/>
      <c r="S414" s="79"/>
      <c r="V414" s="79"/>
      <c r="W414" s="79"/>
      <c r="Z414" s="130"/>
      <c r="AB414" s="106"/>
    </row>
    <row r="415">
      <c r="C415" s="79"/>
      <c r="D415" s="79"/>
      <c r="E415" s="79"/>
      <c r="M415" s="79"/>
      <c r="R415" s="79"/>
      <c r="S415" s="79"/>
      <c r="V415" s="79"/>
      <c r="W415" s="79"/>
      <c r="Z415" s="130"/>
      <c r="AB415" s="106"/>
    </row>
    <row r="416">
      <c r="C416" s="79"/>
      <c r="D416" s="79"/>
      <c r="E416" s="79"/>
      <c r="M416" s="79"/>
      <c r="R416" s="79"/>
      <c r="S416" s="79"/>
      <c r="V416" s="79"/>
      <c r="W416" s="79"/>
      <c r="Z416" s="130"/>
      <c r="AB416" s="106"/>
    </row>
    <row r="417">
      <c r="C417" s="79"/>
      <c r="D417" s="79"/>
      <c r="E417" s="79"/>
      <c r="M417" s="79"/>
      <c r="R417" s="79"/>
      <c r="S417" s="79"/>
      <c r="V417" s="79"/>
      <c r="W417" s="79"/>
      <c r="Z417" s="130"/>
      <c r="AB417" s="106"/>
    </row>
    <row r="418">
      <c r="C418" s="79"/>
      <c r="D418" s="79"/>
      <c r="E418" s="79"/>
      <c r="M418" s="79"/>
      <c r="R418" s="79"/>
      <c r="S418" s="79"/>
      <c r="V418" s="79"/>
      <c r="W418" s="79"/>
      <c r="Z418" s="130"/>
      <c r="AB418" s="106"/>
    </row>
    <row r="419">
      <c r="C419" s="79"/>
      <c r="D419" s="79"/>
      <c r="E419" s="79"/>
      <c r="M419" s="79"/>
      <c r="R419" s="79"/>
      <c r="S419" s="79"/>
      <c r="V419" s="79"/>
      <c r="W419" s="79"/>
      <c r="Z419" s="130"/>
      <c r="AB419" s="106"/>
    </row>
    <row r="420">
      <c r="C420" s="79"/>
      <c r="D420" s="79"/>
      <c r="E420" s="79"/>
      <c r="M420" s="79"/>
      <c r="R420" s="79"/>
      <c r="S420" s="79"/>
      <c r="V420" s="79"/>
      <c r="W420" s="79"/>
      <c r="Z420" s="130"/>
      <c r="AB420" s="106"/>
    </row>
    <row r="421">
      <c r="C421" s="79"/>
      <c r="D421" s="79"/>
      <c r="E421" s="79"/>
      <c r="M421" s="79"/>
      <c r="R421" s="79"/>
      <c r="S421" s="79"/>
      <c r="V421" s="79"/>
      <c r="W421" s="79"/>
      <c r="Z421" s="130"/>
      <c r="AB421" s="106"/>
    </row>
    <row r="422">
      <c r="C422" s="79"/>
      <c r="D422" s="79"/>
      <c r="E422" s="79"/>
      <c r="M422" s="79"/>
      <c r="R422" s="79"/>
      <c r="S422" s="79"/>
      <c r="V422" s="79"/>
      <c r="W422" s="79"/>
      <c r="Z422" s="130"/>
      <c r="AB422" s="106"/>
    </row>
    <row r="423">
      <c r="C423" s="79"/>
      <c r="D423" s="79"/>
      <c r="E423" s="79"/>
      <c r="M423" s="79"/>
      <c r="R423" s="79"/>
      <c r="S423" s="79"/>
      <c r="V423" s="79"/>
      <c r="W423" s="79"/>
      <c r="Z423" s="130"/>
      <c r="AB423" s="106"/>
    </row>
    <row r="424">
      <c r="C424" s="79"/>
      <c r="D424" s="79"/>
      <c r="E424" s="79"/>
      <c r="M424" s="79"/>
      <c r="R424" s="79"/>
      <c r="S424" s="79"/>
      <c r="V424" s="79"/>
      <c r="W424" s="79"/>
      <c r="Z424" s="130"/>
      <c r="AB424" s="106"/>
    </row>
    <row r="425">
      <c r="C425" s="79"/>
      <c r="D425" s="79"/>
      <c r="E425" s="79"/>
      <c r="M425" s="79"/>
      <c r="R425" s="79"/>
      <c r="S425" s="79"/>
      <c r="V425" s="79"/>
      <c r="W425" s="79"/>
      <c r="Z425" s="130"/>
      <c r="AB425" s="106"/>
    </row>
    <row r="426">
      <c r="C426" s="79"/>
      <c r="D426" s="79"/>
      <c r="E426" s="79"/>
      <c r="M426" s="79"/>
      <c r="R426" s="79"/>
      <c r="S426" s="79"/>
      <c r="V426" s="79"/>
      <c r="W426" s="79"/>
      <c r="Z426" s="130"/>
      <c r="AB426" s="106"/>
    </row>
    <row r="427">
      <c r="C427" s="79"/>
      <c r="D427" s="79"/>
      <c r="E427" s="79"/>
      <c r="M427" s="79"/>
      <c r="R427" s="79"/>
      <c r="S427" s="79"/>
      <c r="V427" s="79"/>
      <c r="W427" s="79"/>
      <c r="Z427" s="130"/>
      <c r="AB427" s="106"/>
    </row>
    <row r="428">
      <c r="C428" s="79"/>
      <c r="D428" s="79"/>
      <c r="E428" s="79"/>
      <c r="M428" s="79"/>
      <c r="R428" s="79"/>
      <c r="S428" s="79"/>
      <c r="V428" s="79"/>
      <c r="W428" s="79"/>
      <c r="Z428" s="130"/>
      <c r="AB428" s="106"/>
    </row>
    <row r="429">
      <c r="C429" s="79"/>
      <c r="D429" s="79"/>
      <c r="E429" s="79"/>
      <c r="M429" s="79"/>
      <c r="R429" s="79"/>
      <c r="S429" s="79"/>
      <c r="V429" s="79"/>
      <c r="W429" s="79"/>
      <c r="Z429" s="130"/>
      <c r="AB429" s="106"/>
    </row>
    <row r="430">
      <c r="C430" s="79"/>
      <c r="D430" s="79"/>
      <c r="E430" s="79"/>
      <c r="M430" s="79"/>
      <c r="R430" s="79"/>
      <c r="S430" s="79"/>
      <c r="V430" s="79"/>
      <c r="W430" s="79"/>
      <c r="Z430" s="130"/>
      <c r="AB430" s="106"/>
    </row>
    <row r="431">
      <c r="C431" s="79"/>
      <c r="D431" s="79"/>
      <c r="E431" s="79"/>
      <c r="M431" s="79"/>
      <c r="R431" s="79"/>
      <c r="S431" s="79"/>
      <c r="V431" s="79"/>
      <c r="W431" s="79"/>
      <c r="Z431" s="130"/>
      <c r="AB431" s="106"/>
    </row>
    <row r="432">
      <c r="C432" s="79"/>
      <c r="D432" s="79"/>
      <c r="E432" s="79"/>
      <c r="M432" s="79"/>
      <c r="R432" s="79"/>
      <c r="S432" s="79"/>
      <c r="V432" s="79"/>
      <c r="W432" s="79"/>
      <c r="Z432" s="130"/>
      <c r="AB432" s="106"/>
    </row>
    <row r="433">
      <c r="C433" s="79"/>
      <c r="D433" s="79"/>
      <c r="E433" s="79"/>
      <c r="M433" s="79"/>
      <c r="R433" s="79"/>
      <c r="S433" s="79"/>
      <c r="V433" s="79"/>
      <c r="W433" s="79"/>
      <c r="Z433" s="130"/>
      <c r="AB433" s="106"/>
    </row>
    <row r="434">
      <c r="C434" s="79"/>
      <c r="D434" s="79"/>
      <c r="E434" s="79"/>
      <c r="M434" s="79"/>
      <c r="R434" s="79"/>
      <c r="S434" s="79"/>
      <c r="V434" s="79"/>
      <c r="W434" s="79"/>
      <c r="Z434" s="130"/>
      <c r="AB434" s="106"/>
    </row>
    <row r="435">
      <c r="C435" s="79"/>
      <c r="D435" s="79"/>
      <c r="E435" s="79"/>
      <c r="M435" s="79"/>
      <c r="R435" s="79"/>
      <c r="S435" s="79"/>
      <c r="V435" s="79"/>
      <c r="W435" s="79"/>
      <c r="Z435" s="130"/>
      <c r="AB435" s="106"/>
    </row>
    <row r="436">
      <c r="C436" s="79"/>
      <c r="D436" s="79"/>
      <c r="E436" s="79"/>
      <c r="M436" s="79"/>
      <c r="R436" s="79"/>
      <c r="S436" s="79"/>
      <c r="V436" s="79"/>
      <c r="W436" s="79"/>
      <c r="Z436" s="130"/>
      <c r="AB436" s="106"/>
    </row>
    <row r="437">
      <c r="C437" s="79"/>
      <c r="D437" s="79"/>
      <c r="E437" s="79"/>
      <c r="M437" s="79"/>
      <c r="R437" s="79"/>
      <c r="S437" s="79"/>
      <c r="V437" s="79"/>
      <c r="W437" s="79"/>
      <c r="Z437" s="130"/>
      <c r="AB437" s="106"/>
    </row>
    <row r="438">
      <c r="C438" s="79"/>
      <c r="D438" s="79"/>
      <c r="E438" s="79"/>
      <c r="M438" s="79"/>
      <c r="R438" s="79"/>
      <c r="S438" s="79"/>
      <c r="V438" s="79"/>
      <c r="W438" s="79"/>
      <c r="Z438" s="130"/>
      <c r="AB438" s="106"/>
    </row>
    <row r="439">
      <c r="C439" s="79"/>
      <c r="D439" s="79"/>
      <c r="E439" s="79"/>
      <c r="M439" s="79"/>
      <c r="R439" s="79"/>
      <c r="S439" s="79"/>
      <c r="V439" s="79"/>
      <c r="W439" s="79"/>
      <c r="Z439" s="130"/>
      <c r="AB439" s="106"/>
    </row>
    <row r="440">
      <c r="C440" s="79"/>
      <c r="D440" s="79"/>
      <c r="E440" s="79"/>
      <c r="M440" s="79"/>
      <c r="R440" s="79"/>
      <c r="S440" s="79"/>
      <c r="V440" s="79"/>
      <c r="W440" s="79"/>
      <c r="Z440" s="130"/>
      <c r="AB440" s="106"/>
    </row>
    <row r="441">
      <c r="C441" s="79"/>
      <c r="D441" s="79"/>
      <c r="E441" s="79"/>
      <c r="M441" s="79"/>
      <c r="R441" s="79"/>
      <c r="S441" s="79"/>
      <c r="V441" s="79"/>
      <c r="W441" s="79"/>
      <c r="Z441" s="130"/>
      <c r="AB441" s="106"/>
    </row>
    <row r="442">
      <c r="C442" s="79"/>
      <c r="D442" s="79"/>
      <c r="E442" s="79"/>
      <c r="M442" s="79"/>
      <c r="R442" s="79"/>
      <c r="S442" s="79"/>
      <c r="V442" s="79"/>
      <c r="W442" s="79"/>
      <c r="Z442" s="130"/>
      <c r="AB442" s="106"/>
    </row>
    <row r="443">
      <c r="C443" s="79"/>
      <c r="D443" s="79"/>
      <c r="E443" s="79"/>
      <c r="M443" s="79"/>
      <c r="R443" s="79"/>
      <c r="S443" s="79"/>
      <c r="V443" s="79"/>
      <c r="W443" s="79"/>
      <c r="Z443" s="130"/>
      <c r="AB443" s="106"/>
    </row>
    <row r="444">
      <c r="C444" s="79"/>
      <c r="D444" s="79"/>
      <c r="E444" s="79"/>
      <c r="M444" s="79"/>
      <c r="R444" s="79"/>
      <c r="S444" s="79"/>
      <c r="V444" s="79"/>
      <c r="W444" s="79"/>
      <c r="Z444" s="130"/>
      <c r="AB444" s="106"/>
    </row>
    <row r="445">
      <c r="C445" s="79"/>
      <c r="D445" s="79"/>
      <c r="E445" s="79"/>
      <c r="M445" s="79"/>
      <c r="R445" s="79"/>
      <c r="S445" s="79"/>
      <c r="V445" s="79"/>
      <c r="W445" s="79"/>
      <c r="Z445" s="130"/>
      <c r="AB445" s="106"/>
    </row>
    <row r="446">
      <c r="C446" s="79"/>
      <c r="D446" s="79"/>
      <c r="E446" s="79"/>
      <c r="M446" s="79"/>
      <c r="R446" s="79"/>
      <c r="S446" s="79"/>
      <c r="V446" s="79"/>
      <c r="W446" s="79"/>
      <c r="Z446" s="130"/>
      <c r="AB446" s="106"/>
    </row>
    <row r="447">
      <c r="C447" s="79"/>
      <c r="D447" s="79"/>
      <c r="E447" s="79"/>
      <c r="M447" s="79"/>
      <c r="R447" s="79"/>
      <c r="S447" s="79"/>
      <c r="V447" s="79"/>
      <c r="W447" s="79"/>
      <c r="Z447" s="130"/>
      <c r="AB447" s="106"/>
    </row>
    <row r="448">
      <c r="C448" s="79"/>
      <c r="D448" s="79"/>
      <c r="E448" s="79"/>
      <c r="M448" s="79"/>
      <c r="R448" s="79"/>
      <c r="S448" s="79"/>
      <c r="V448" s="79"/>
      <c r="W448" s="79"/>
      <c r="Z448" s="130"/>
      <c r="AB448" s="106"/>
    </row>
    <row r="449">
      <c r="C449" s="79"/>
      <c r="D449" s="79"/>
      <c r="E449" s="79"/>
      <c r="M449" s="79"/>
      <c r="R449" s="79"/>
      <c r="S449" s="79"/>
      <c r="V449" s="79"/>
      <c r="W449" s="79"/>
      <c r="Z449" s="130"/>
      <c r="AB449" s="106"/>
    </row>
    <row r="450">
      <c r="C450" s="79"/>
      <c r="D450" s="79"/>
      <c r="E450" s="79"/>
      <c r="M450" s="79"/>
      <c r="R450" s="79"/>
      <c r="S450" s="79"/>
      <c r="V450" s="79"/>
      <c r="W450" s="79"/>
      <c r="Z450" s="130"/>
      <c r="AB450" s="106"/>
    </row>
    <row r="451">
      <c r="C451" s="79"/>
      <c r="D451" s="79"/>
      <c r="E451" s="79"/>
      <c r="M451" s="79"/>
      <c r="R451" s="79"/>
      <c r="S451" s="79"/>
      <c r="V451" s="79"/>
      <c r="W451" s="79"/>
      <c r="Z451" s="130"/>
      <c r="AB451" s="106"/>
    </row>
    <row r="452">
      <c r="C452" s="79"/>
      <c r="D452" s="79"/>
      <c r="E452" s="79"/>
      <c r="M452" s="79"/>
      <c r="R452" s="79"/>
      <c r="S452" s="79"/>
      <c r="V452" s="79"/>
      <c r="W452" s="79"/>
      <c r="Z452" s="130"/>
      <c r="AB452" s="106"/>
    </row>
    <row r="453">
      <c r="C453" s="79"/>
      <c r="D453" s="79"/>
      <c r="E453" s="79"/>
      <c r="M453" s="79"/>
      <c r="R453" s="79"/>
      <c r="S453" s="79"/>
      <c r="V453" s="79"/>
      <c r="W453" s="79"/>
      <c r="Z453" s="130"/>
      <c r="AB453" s="106"/>
    </row>
    <row r="454">
      <c r="C454" s="79"/>
      <c r="D454" s="79"/>
      <c r="E454" s="79"/>
      <c r="M454" s="79"/>
      <c r="R454" s="79"/>
      <c r="S454" s="79"/>
      <c r="V454" s="79"/>
      <c r="W454" s="79"/>
      <c r="Z454" s="130"/>
      <c r="AB454" s="106"/>
    </row>
    <row r="455">
      <c r="C455" s="79"/>
      <c r="D455" s="79"/>
      <c r="E455" s="79"/>
      <c r="M455" s="79"/>
      <c r="R455" s="79"/>
      <c r="S455" s="79"/>
      <c r="V455" s="79"/>
      <c r="W455" s="79"/>
      <c r="Z455" s="130"/>
      <c r="AB455" s="106"/>
    </row>
    <row r="456">
      <c r="C456" s="79"/>
      <c r="D456" s="79"/>
      <c r="E456" s="79"/>
      <c r="M456" s="79"/>
      <c r="R456" s="79"/>
      <c r="S456" s="79"/>
      <c r="V456" s="79"/>
      <c r="W456" s="79"/>
      <c r="Z456" s="130"/>
      <c r="AB456" s="106"/>
    </row>
    <row r="457">
      <c r="C457" s="79"/>
      <c r="D457" s="79"/>
      <c r="E457" s="79"/>
      <c r="M457" s="79"/>
      <c r="R457" s="79"/>
      <c r="S457" s="79"/>
      <c r="V457" s="79"/>
      <c r="W457" s="79"/>
      <c r="Z457" s="130"/>
      <c r="AB457" s="106"/>
    </row>
    <row r="458">
      <c r="C458" s="79"/>
      <c r="D458" s="79"/>
      <c r="E458" s="79"/>
      <c r="M458" s="79"/>
      <c r="R458" s="79"/>
      <c r="S458" s="79"/>
      <c r="V458" s="79"/>
      <c r="W458" s="79"/>
      <c r="Z458" s="130"/>
      <c r="AB458" s="106"/>
    </row>
    <row r="459">
      <c r="C459" s="79"/>
      <c r="D459" s="79"/>
      <c r="E459" s="79"/>
      <c r="M459" s="79"/>
      <c r="R459" s="79"/>
      <c r="S459" s="79"/>
      <c r="V459" s="79"/>
      <c r="W459" s="79"/>
      <c r="Z459" s="130"/>
      <c r="AB459" s="106"/>
    </row>
    <row r="460">
      <c r="C460" s="79"/>
      <c r="D460" s="79"/>
      <c r="E460" s="79"/>
      <c r="M460" s="79"/>
      <c r="R460" s="79"/>
      <c r="S460" s="79"/>
      <c r="V460" s="79"/>
      <c r="W460" s="79"/>
      <c r="Z460" s="130"/>
      <c r="AB460" s="106"/>
    </row>
    <row r="461">
      <c r="C461" s="79"/>
      <c r="D461" s="79"/>
      <c r="E461" s="79"/>
      <c r="M461" s="79"/>
      <c r="R461" s="79"/>
      <c r="S461" s="79"/>
      <c r="V461" s="79"/>
      <c r="W461" s="79"/>
      <c r="Z461" s="130"/>
      <c r="AB461" s="106"/>
    </row>
    <row r="462">
      <c r="C462" s="79"/>
      <c r="D462" s="79"/>
      <c r="E462" s="79"/>
      <c r="M462" s="79"/>
      <c r="R462" s="79"/>
      <c r="S462" s="79"/>
      <c r="V462" s="79"/>
      <c r="W462" s="79"/>
      <c r="Z462" s="130"/>
      <c r="AB462" s="106"/>
    </row>
    <row r="463">
      <c r="C463" s="79"/>
      <c r="D463" s="79"/>
      <c r="E463" s="79"/>
      <c r="M463" s="79"/>
      <c r="R463" s="79"/>
      <c r="S463" s="79"/>
      <c r="V463" s="79"/>
      <c r="W463" s="79"/>
      <c r="Z463" s="130"/>
      <c r="AB463" s="106"/>
    </row>
    <row r="464">
      <c r="C464" s="79"/>
      <c r="D464" s="79"/>
      <c r="E464" s="79"/>
      <c r="M464" s="79"/>
      <c r="R464" s="79"/>
      <c r="S464" s="79"/>
      <c r="V464" s="79"/>
      <c r="W464" s="79"/>
      <c r="Z464" s="130"/>
      <c r="AB464" s="106"/>
    </row>
    <row r="465">
      <c r="C465" s="79"/>
      <c r="D465" s="79"/>
      <c r="E465" s="79"/>
      <c r="M465" s="79"/>
      <c r="R465" s="79"/>
      <c r="S465" s="79"/>
      <c r="V465" s="79"/>
      <c r="W465" s="79"/>
      <c r="Z465" s="130"/>
      <c r="AB465" s="106"/>
    </row>
    <row r="466">
      <c r="C466" s="79"/>
      <c r="D466" s="79"/>
      <c r="E466" s="79"/>
      <c r="M466" s="79"/>
      <c r="R466" s="79"/>
      <c r="S466" s="79"/>
      <c r="V466" s="79"/>
      <c r="W466" s="79"/>
      <c r="Z466" s="130"/>
      <c r="AB466" s="106"/>
    </row>
    <row r="467">
      <c r="C467" s="79"/>
      <c r="D467" s="79"/>
      <c r="E467" s="79"/>
      <c r="M467" s="79"/>
      <c r="R467" s="79"/>
      <c r="S467" s="79"/>
      <c r="V467" s="79"/>
      <c r="W467" s="79"/>
      <c r="Z467" s="130"/>
      <c r="AB467" s="106"/>
    </row>
    <row r="468">
      <c r="C468" s="79"/>
      <c r="D468" s="79"/>
      <c r="E468" s="79"/>
      <c r="M468" s="79"/>
      <c r="R468" s="79"/>
      <c r="S468" s="79"/>
      <c r="V468" s="79"/>
      <c r="W468" s="79"/>
      <c r="Z468" s="130"/>
      <c r="AB468" s="106"/>
    </row>
    <row r="469">
      <c r="C469" s="79"/>
      <c r="D469" s="79"/>
      <c r="E469" s="79"/>
      <c r="M469" s="79"/>
      <c r="R469" s="79"/>
      <c r="S469" s="79"/>
      <c r="V469" s="79"/>
      <c r="W469" s="79"/>
      <c r="Z469" s="130"/>
      <c r="AB469" s="106"/>
    </row>
    <row r="470">
      <c r="C470" s="79"/>
      <c r="D470" s="79"/>
      <c r="E470" s="79"/>
      <c r="M470" s="79"/>
      <c r="R470" s="79"/>
      <c r="S470" s="79"/>
      <c r="V470" s="79"/>
      <c r="W470" s="79"/>
      <c r="Z470" s="130"/>
      <c r="AB470" s="106"/>
    </row>
    <row r="471">
      <c r="C471" s="79"/>
      <c r="D471" s="79"/>
      <c r="E471" s="79"/>
      <c r="M471" s="79"/>
      <c r="R471" s="79"/>
      <c r="S471" s="79"/>
      <c r="V471" s="79"/>
      <c r="W471" s="79"/>
      <c r="Z471" s="130"/>
      <c r="AB471" s="106"/>
    </row>
    <row r="472">
      <c r="C472" s="79"/>
      <c r="D472" s="79"/>
      <c r="E472" s="79"/>
      <c r="M472" s="79"/>
      <c r="R472" s="79"/>
      <c r="S472" s="79"/>
      <c r="V472" s="79"/>
      <c r="W472" s="79"/>
      <c r="Z472" s="130"/>
      <c r="AB472" s="106"/>
    </row>
    <row r="473">
      <c r="C473" s="79"/>
      <c r="D473" s="79"/>
      <c r="E473" s="79"/>
      <c r="M473" s="79"/>
      <c r="R473" s="79"/>
      <c r="S473" s="79"/>
      <c r="V473" s="79"/>
      <c r="W473" s="79"/>
      <c r="Z473" s="130"/>
      <c r="AB473" s="106"/>
    </row>
    <row r="474">
      <c r="C474" s="79"/>
      <c r="D474" s="79"/>
      <c r="E474" s="79"/>
      <c r="M474" s="79"/>
      <c r="R474" s="79"/>
      <c r="S474" s="79"/>
      <c r="V474" s="79"/>
      <c r="W474" s="79"/>
      <c r="Z474" s="130"/>
      <c r="AB474" s="106"/>
    </row>
    <row r="475">
      <c r="C475" s="79"/>
      <c r="D475" s="79"/>
      <c r="E475" s="79"/>
      <c r="M475" s="79"/>
      <c r="R475" s="79"/>
      <c r="S475" s="79"/>
      <c r="V475" s="79"/>
      <c r="W475" s="79"/>
      <c r="Z475" s="130"/>
      <c r="AB475" s="106"/>
    </row>
    <row r="476">
      <c r="C476" s="79"/>
      <c r="D476" s="79"/>
      <c r="E476" s="79"/>
      <c r="M476" s="79"/>
      <c r="R476" s="79"/>
      <c r="S476" s="79"/>
      <c r="V476" s="79"/>
      <c r="W476" s="79"/>
      <c r="Z476" s="130"/>
      <c r="AB476" s="106"/>
    </row>
    <row r="477">
      <c r="C477" s="79"/>
      <c r="D477" s="79"/>
      <c r="E477" s="79"/>
      <c r="M477" s="79"/>
      <c r="R477" s="79"/>
      <c r="S477" s="79"/>
      <c r="V477" s="79"/>
      <c r="W477" s="79"/>
      <c r="Z477" s="130"/>
      <c r="AB477" s="106"/>
    </row>
    <row r="478">
      <c r="C478" s="79"/>
      <c r="D478" s="79"/>
      <c r="E478" s="79"/>
      <c r="M478" s="79"/>
      <c r="R478" s="79"/>
      <c r="S478" s="79"/>
      <c r="V478" s="79"/>
      <c r="W478" s="79"/>
      <c r="Z478" s="130"/>
      <c r="AB478" s="106"/>
    </row>
    <row r="479">
      <c r="C479" s="79"/>
      <c r="D479" s="79"/>
      <c r="E479" s="79"/>
      <c r="M479" s="79"/>
      <c r="R479" s="79"/>
      <c r="S479" s="79"/>
      <c r="V479" s="79"/>
      <c r="W479" s="79"/>
      <c r="Z479" s="130"/>
      <c r="AB479" s="106"/>
    </row>
    <row r="480">
      <c r="C480" s="79"/>
      <c r="D480" s="79"/>
      <c r="E480" s="79"/>
      <c r="M480" s="79"/>
      <c r="R480" s="79"/>
      <c r="S480" s="79"/>
      <c r="V480" s="79"/>
      <c r="W480" s="79"/>
      <c r="Z480" s="130"/>
      <c r="AB480" s="106"/>
    </row>
    <row r="481">
      <c r="C481" s="79"/>
      <c r="D481" s="79"/>
      <c r="E481" s="79"/>
      <c r="M481" s="79"/>
      <c r="R481" s="79"/>
      <c r="S481" s="79"/>
      <c r="V481" s="79"/>
      <c r="W481" s="79"/>
      <c r="Z481" s="130"/>
      <c r="AB481" s="106"/>
    </row>
    <row r="482">
      <c r="C482" s="79"/>
      <c r="D482" s="79"/>
      <c r="E482" s="79"/>
      <c r="M482" s="79"/>
      <c r="R482" s="79"/>
      <c r="S482" s="79"/>
      <c r="V482" s="79"/>
      <c r="W482" s="79"/>
      <c r="Z482" s="130"/>
      <c r="AB482" s="106"/>
    </row>
    <row r="483">
      <c r="C483" s="79"/>
      <c r="D483" s="79"/>
      <c r="E483" s="79"/>
      <c r="M483" s="79"/>
      <c r="R483" s="79"/>
      <c r="S483" s="79"/>
      <c r="V483" s="79"/>
      <c r="W483" s="79"/>
      <c r="Z483" s="130"/>
      <c r="AB483" s="106"/>
    </row>
    <row r="484">
      <c r="C484" s="79"/>
      <c r="D484" s="79"/>
      <c r="E484" s="79"/>
      <c r="M484" s="79"/>
      <c r="R484" s="79"/>
      <c r="S484" s="79"/>
      <c r="V484" s="79"/>
      <c r="W484" s="79"/>
      <c r="Z484" s="130"/>
      <c r="AB484" s="106"/>
    </row>
    <row r="485">
      <c r="C485" s="79"/>
      <c r="D485" s="79"/>
      <c r="E485" s="79"/>
      <c r="M485" s="79"/>
      <c r="R485" s="79"/>
      <c r="S485" s="79"/>
      <c r="V485" s="79"/>
      <c r="W485" s="79"/>
      <c r="Z485" s="130"/>
      <c r="AB485" s="106"/>
    </row>
    <row r="486">
      <c r="C486" s="79"/>
      <c r="D486" s="79"/>
      <c r="E486" s="79"/>
      <c r="M486" s="79"/>
      <c r="R486" s="79"/>
      <c r="S486" s="79"/>
      <c r="V486" s="79"/>
      <c r="W486" s="79"/>
      <c r="Z486" s="130"/>
      <c r="AB486" s="106"/>
    </row>
    <row r="487">
      <c r="C487" s="79"/>
      <c r="D487" s="79"/>
      <c r="E487" s="79"/>
      <c r="M487" s="79"/>
      <c r="R487" s="79"/>
      <c r="S487" s="79"/>
      <c r="V487" s="79"/>
      <c r="W487" s="79"/>
      <c r="Z487" s="130"/>
      <c r="AB487" s="106"/>
    </row>
    <row r="488">
      <c r="C488" s="79"/>
      <c r="D488" s="79"/>
      <c r="E488" s="79"/>
      <c r="M488" s="79"/>
      <c r="R488" s="79"/>
      <c r="S488" s="79"/>
      <c r="V488" s="79"/>
      <c r="W488" s="79"/>
      <c r="Z488" s="130"/>
      <c r="AB488" s="106"/>
    </row>
    <row r="489">
      <c r="C489" s="79"/>
      <c r="D489" s="79"/>
      <c r="E489" s="79"/>
      <c r="M489" s="79"/>
      <c r="R489" s="79"/>
      <c r="S489" s="79"/>
      <c r="V489" s="79"/>
      <c r="W489" s="79"/>
      <c r="Z489" s="130"/>
      <c r="AB489" s="106"/>
    </row>
    <row r="490">
      <c r="C490" s="79"/>
      <c r="D490" s="79"/>
      <c r="E490" s="79"/>
      <c r="M490" s="79"/>
      <c r="R490" s="79"/>
      <c r="S490" s="79"/>
      <c r="V490" s="79"/>
      <c r="W490" s="79"/>
      <c r="Z490" s="130"/>
      <c r="AB490" s="106"/>
    </row>
    <row r="491">
      <c r="C491" s="79"/>
      <c r="D491" s="79"/>
      <c r="E491" s="79"/>
      <c r="M491" s="79"/>
      <c r="R491" s="79"/>
      <c r="S491" s="79"/>
      <c r="V491" s="79"/>
      <c r="W491" s="79"/>
      <c r="Z491" s="130"/>
      <c r="AB491" s="106"/>
    </row>
    <row r="492">
      <c r="C492" s="79"/>
      <c r="D492" s="79"/>
      <c r="E492" s="79"/>
      <c r="M492" s="79"/>
      <c r="R492" s="79"/>
      <c r="S492" s="79"/>
      <c r="V492" s="79"/>
      <c r="W492" s="79"/>
      <c r="Z492" s="130"/>
      <c r="AB492" s="106"/>
    </row>
    <row r="493">
      <c r="C493" s="79"/>
      <c r="D493" s="79"/>
      <c r="E493" s="79"/>
      <c r="M493" s="79"/>
      <c r="R493" s="79"/>
      <c r="S493" s="79"/>
      <c r="V493" s="79"/>
      <c r="W493" s="79"/>
      <c r="Z493" s="130"/>
      <c r="AB493" s="106"/>
    </row>
    <row r="494">
      <c r="C494" s="79"/>
      <c r="D494" s="79"/>
      <c r="E494" s="79"/>
      <c r="M494" s="79"/>
      <c r="R494" s="79"/>
      <c r="S494" s="79"/>
      <c r="V494" s="79"/>
      <c r="W494" s="79"/>
      <c r="Z494" s="130"/>
      <c r="AB494" s="106"/>
    </row>
    <row r="495">
      <c r="C495" s="79"/>
      <c r="D495" s="79"/>
      <c r="E495" s="79"/>
      <c r="M495" s="79"/>
      <c r="R495" s="79"/>
      <c r="S495" s="79"/>
      <c r="V495" s="79"/>
      <c r="W495" s="79"/>
      <c r="Z495" s="130"/>
      <c r="AB495" s="106"/>
    </row>
    <row r="496">
      <c r="C496" s="79"/>
      <c r="D496" s="79"/>
      <c r="E496" s="79"/>
      <c r="M496" s="79"/>
      <c r="R496" s="79"/>
      <c r="S496" s="79"/>
      <c r="V496" s="79"/>
      <c r="W496" s="79"/>
      <c r="Z496" s="130"/>
      <c r="AB496" s="106"/>
    </row>
    <row r="497">
      <c r="C497" s="79"/>
      <c r="D497" s="79"/>
      <c r="E497" s="79"/>
      <c r="M497" s="79"/>
      <c r="R497" s="79"/>
      <c r="S497" s="79"/>
      <c r="V497" s="79"/>
      <c r="W497" s="79"/>
      <c r="Z497" s="130"/>
      <c r="AB497" s="106"/>
    </row>
    <row r="498">
      <c r="C498" s="79"/>
      <c r="D498" s="79"/>
      <c r="E498" s="79"/>
      <c r="M498" s="79"/>
      <c r="R498" s="79"/>
      <c r="S498" s="79"/>
      <c r="V498" s="79"/>
      <c r="W498" s="79"/>
      <c r="Z498" s="130"/>
      <c r="AB498" s="106"/>
    </row>
    <row r="499">
      <c r="C499" s="79"/>
      <c r="D499" s="79"/>
      <c r="E499" s="79"/>
      <c r="M499" s="79"/>
      <c r="R499" s="79"/>
      <c r="S499" s="79"/>
      <c r="V499" s="79"/>
      <c r="W499" s="79"/>
      <c r="Z499" s="130"/>
      <c r="AB499" s="106"/>
    </row>
    <row r="500">
      <c r="C500" s="79"/>
      <c r="D500" s="79"/>
      <c r="E500" s="79"/>
      <c r="M500" s="79"/>
      <c r="R500" s="79"/>
      <c r="S500" s="79"/>
      <c r="V500" s="79"/>
      <c r="W500" s="79"/>
      <c r="Z500" s="130"/>
      <c r="AB500" s="106"/>
    </row>
    <row r="501">
      <c r="C501" s="79"/>
      <c r="D501" s="79"/>
      <c r="E501" s="79"/>
      <c r="M501" s="79"/>
      <c r="R501" s="79"/>
      <c r="S501" s="79"/>
      <c r="V501" s="79"/>
      <c r="W501" s="79"/>
      <c r="Z501" s="130"/>
      <c r="AB501" s="106"/>
    </row>
    <row r="502">
      <c r="C502" s="79"/>
      <c r="D502" s="79"/>
      <c r="E502" s="79"/>
      <c r="M502" s="79"/>
      <c r="R502" s="79"/>
      <c r="S502" s="79"/>
      <c r="V502" s="79"/>
      <c r="W502" s="79"/>
      <c r="Z502" s="130"/>
      <c r="AB502" s="106"/>
    </row>
    <row r="503">
      <c r="C503" s="79"/>
      <c r="D503" s="79"/>
      <c r="E503" s="79"/>
      <c r="M503" s="79"/>
      <c r="R503" s="79"/>
      <c r="S503" s="79"/>
      <c r="V503" s="79"/>
      <c r="W503" s="79"/>
      <c r="Z503" s="130"/>
      <c r="AB503" s="106"/>
    </row>
    <row r="504">
      <c r="C504" s="79"/>
      <c r="D504" s="79"/>
      <c r="E504" s="79"/>
      <c r="M504" s="79"/>
      <c r="R504" s="79"/>
      <c r="S504" s="79"/>
      <c r="V504" s="79"/>
      <c r="W504" s="79"/>
      <c r="Z504" s="130"/>
      <c r="AB504" s="106"/>
    </row>
    <row r="505">
      <c r="C505" s="79"/>
      <c r="D505" s="79"/>
      <c r="E505" s="79"/>
      <c r="M505" s="79"/>
      <c r="R505" s="79"/>
      <c r="S505" s="79"/>
      <c r="V505" s="79"/>
      <c r="W505" s="79"/>
      <c r="Z505" s="130"/>
      <c r="AB505" s="106"/>
    </row>
    <row r="506">
      <c r="C506" s="79"/>
      <c r="D506" s="79"/>
      <c r="E506" s="79"/>
      <c r="M506" s="79"/>
      <c r="R506" s="79"/>
      <c r="S506" s="79"/>
      <c r="V506" s="79"/>
      <c r="W506" s="79"/>
      <c r="Z506" s="130"/>
      <c r="AB506" s="106"/>
    </row>
    <row r="507">
      <c r="C507" s="79"/>
      <c r="D507" s="79"/>
      <c r="E507" s="79"/>
      <c r="M507" s="79"/>
      <c r="R507" s="79"/>
      <c r="S507" s="79"/>
      <c r="V507" s="79"/>
      <c r="W507" s="79"/>
      <c r="Z507" s="130"/>
      <c r="AB507" s="106"/>
    </row>
    <row r="508">
      <c r="C508" s="79"/>
      <c r="D508" s="79"/>
      <c r="E508" s="79"/>
      <c r="M508" s="79"/>
      <c r="R508" s="79"/>
      <c r="S508" s="79"/>
      <c r="V508" s="79"/>
      <c r="W508" s="79"/>
      <c r="Z508" s="130"/>
      <c r="AB508" s="106"/>
    </row>
    <row r="509">
      <c r="C509" s="79"/>
      <c r="D509" s="79"/>
      <c r="E509" s="79"/>
      <c r="M509" s="79"/>
      <c r="R509" s="79"/>
      <c r="S509" s="79"/>
      <c r="V509" s="79"/>
      <c r="W509" s="79"/>
      <c r="Z509" s="130"/>
      <c r="AB509" s="106"/>
    </row>
    <row r="510">
      <c r="C510" s="79"/>
      <c r="D510" s="79"/>
      <c r="E510" s="79"/>
      <c r="M510" s="79"/>
      <c r="R510" s="79"/>
      <c r="S510" s="79"/>
      <c r="V510" s="79"/>
      <c r="W510" s="79"/>
      <c r="Z510" s="130"/>
      <c r="AB510" s="106"/>
    </row>
    <row r="511">
      <c r="C511" s="79"/>
      <c r="D511" s="79"/>
      <c r="E511" s="79"/>
      <c r="M511" s="79"/>
      <c r="R511" s="79"/>
      <c r="S511" s="79"/>
      <c r="V511" s="79"/>
      <c r="W511" s="79"/>
      <c r="Z511" s="130"/>
      <c r="AB511" s="106"/>
    </row>
    <row r="512">
      <c r="C512" s="79"/>
      <c r="D512" s="79"/>
      <c r="E512" s="79"/>
      <c r="M512" s="79"/>
      <c r="R512" s="79"/>
      <c r="S512" s="79"/>
      <c r="V512" s="79"/>
      <c r="W512" s="79"/>
      <c r="Z512" s="130"/>
      <c r="AB512" s="106"/>
    </row>
    <row r="513">
      <c r="C513" s="79"/>
      <c r="D513" s="79"/>
      <c r="E513" s="79"/>
      <c r="M513" s="79"/>
      <c r="R513" s="79"/>
      <c r="S513" s="79"/>
      <c r="V513" s="79"/>
      <c r="W513" s="79"/>
      <c r="Z513" s="130"/>
      <c r="AB513" s="106"/>
    </row>
    <row r="514">
      <c r="C514" s="79"/>
      <c r="D514" s="79"/>
      <c r="E514" s="79"/>
      <c r="M514" s="79"/>
      <c r="R514" s="79"/>
      <c r="S514" s="79"/>
      <c r="V514" s="79"/>
      <c r="W514" s="79"/>
      <c r="Z514" s="130"/>
      <c r="AB514" s="106"/>
    </row>
    <row r="515">
      <c r="C515" s="79"/>
      <c r="D515" s="79"/>
      <c r="E515" s="79"/>
      <c r="M515" s="79"/>
      <c r="R515" s="79"/>
      <c r="S515" s="79"/>
      <c r="V515" s="79"/>
      <c r="W515" s="79"/>
      <c r="Z515" s="130"/>
      <c r="AB515" s="106"/>
    </row>
    <row r="516">
      <c r="C516" s="79"/>
      <c r="D516" s="79"/>
      <c r="E516" s="79"/>
      <c r="M516" s="79"/>
      <c r="R516" s="79"/>
      <c r="S516" s="79"/>
      <c r="V516" s="79"/>
      <c r="W516" s="79"/>
      <c r="Z516" s="130"/>
      <c r="AB516" s="106"/>
    </row>
    <row r="517">
      <c r="C517" s="79"/>
      <c r="D517" s="79"/>
      <c r="E517" s="79"/>
      <c r="M517" s="79"/>
      <c r="R517" s="79"/>
      <c r="S517" s="79"/>
      <c r="V517" s="79"/>
      <c r="W517" s="79"/>
      <c r="Z517" s="130"/>
      <c r="AB517" s="106"/>
    </row>
    <row r="518">
      <c r="C518" s="79"/>
      <c r="D518" s="79"/>
      <c r="E518" s="79"/>
      <c r="M518" s="79"/>
      <c r="R518" s="79"/>
      <c r="S518" s="79"/>
      <c r="V518" s="79"/>
      <c r="W518" s="79"/>
      <c r="Z518" s="130"/>
      <c r="AB518" s="106"/>
    </row>
    <row r="519">
      <c r="C519" s="79"/>
      <c r="D519" s="79"/>
      <c r="E519" s="79"/>
      <c r="M519" s="79"/>
      <c r="R519" s="79"/>
      <c r="S519" s="79"/>
      <c r="V519" s="79"/>
      <c r="W519" s="79"/>
      <c r="Z519" s="130"/>
      <c r="AB519" s="106"/>
    </row>
    <row r="520">
      <c r="C520" s="79"/>
      <c r="D520" s="79"/>
      <c r="E520" s="79"/>
      <c r="M520" s="79"/>
      <c r="R520" s="79"/>
      <c r="S520" s="79"/>
      <c r="V520" s="79"/>
      <c r="W520" s="79"/>
      <c r="Z520" s="130"/>
      <c r="AB520" s="106"/>
    </row>
    <row r="521">
      <c r="C521" s="79"/>
      <c r="D521" s="79"/>
      <c r="E521" s="79"/>
      <c r="M521" s="79"/>
      <c r="R521" s="79"/>
      <c r="S521" s="79"/>
      <c r="V521" s="79"/>
      <c r="W521" s="79"/>
      <c r="Z521" s="130"/>
      <c r="AB521" s="106"/>
    </row>
    <row r="522">
      <c r="C522" s="79"/>
      <c r="D522" s="79"/>
      <c r="E522" s="79"/>
      <c r="M522" s="79"/>
      <c r="R522" s="79"/>
      <c r="S522" s="79"/>
      <c r="V522" s="79"/>
      <c r="W522" s="79"/>
      <c r="Z522" s="130"/>
      <c r="AB522" s="106"/>
    </row>
    <row r="523">
      <c r="C523" s="79"/>
      <c r="D523" s="79"/>
      <c r="E523" s="79"/>
      <c r="M523" s="79"/>
      <c r="R523" s="79"/>
      <c r="S523" s="79"/>
      <c r="V523" s="79"/>
      <c r="W523" s="79"/>
      <c r="Z523" s="130"/>
      <c r="AB523" s="106"/>
    </row>
    <row r="524">
      <c r="C524" s="79"/>
      <c r="D524" s="79"/>
      <c r="E524" s="79"/>
      <c r="M524" s="79"/>
      <c r="R524" s="79"/>
      <c r="S524" s="79"/>
      <c r="V524" s="79"/>
      <c r="W524" s="79"/>
      <c r="Z524" s="130"/>
      <c r="AB524" s="106"/>
    </row>
    <row r="525">
      <c r="C525" s="79"/>
      <c r="D525" s="79"/>
      <c r="E525" s="79"/>
      <c r="M525" s="79"/>
      <c r="R525" s="79"/>
      <c r="S525" s="79"/>
      <c r="V525" s="79"/>
      <c r="W525" s="79"/>
      <c r="Z525" s="130"/>
      <c r="AB525" s="106"/>
    </row>
    <row r="526">
      <c r="C526" s="79"/>
      <c r="D526" s="79"/>
      <c r="E526" s="79"/>
      <c r="M526" s="79"/>
      <c r="R526" s="79"/>
      <c r="S526" s="79"/>
      <c r="V526" s="79"/>
      <c r="W526" s="79"/>
      <c r="Z526" s="130"/>
      <c r="AB526" s="106"/>
    </row>
    <row r="527">
      <c r="C527" s="79"/>
      <c r="D527" s="79"/>
      <c r="E527" s="79"/>
      <c r="M527" s="79"/>
      <c r="R527" s="79"/>
      <c r="S527" s="79"/>
      <c r="V527" s="79"/>
      <c r="W527" s="79"/>
      <c r="Z527" s="130"/>
      <c r="AB527" s="106"/>
    </row>
    <row r="528">
      <c r="C528" s="79"/>
      <c r="D528" s="79"/>
      <c r="E528" s="79"/>
      <c r="M528" s="79"/>
      <c r="R528" s="79"/>
      <c r="S528" s="79"/>
      <c r="V528" s="79"/>
      <c r="W528" s="79"/>
      <c r="Z528" s="130"/>
      <c r="AB528" s="106"/>
    </row>
    <row r="529">
      <c r="C529" s="79"/>
      <c r="D529" s="79"/>
      <c r="E529" s="79"/>
      <c r="M529" s="79"/>
      <c r="R529" s="79"/>
      <c r="S529" s="79"/>
      <c r="V529" s="79"/>
      <c r="W529" s="79"/>
      <c r="Z529" s="130"/>
      <c r="AB529" s="106"/>
    </row>
    <row r="530">
      <c r="C530" s="79"/>
      <c r="D530" s="79"/>
      <c r="E530" s="79"/>
      <c r="M530" s="79"/>
      <c r="R530" s="79"/>
      <c r="S530" s="79"/>
      <c r="V530" s="79"/>
      <c r="W530" s="79"/>
      <c r="Z530" s="130"/>
      <c r="AB530" s="106"/>
    </row>
    <row r="531">
      <c r="C531" s="79"/>
      <c r="D531" s="79"/>
      <c r="E531" s="79"/>
      <c r="M531" s="79"/>
      <c r="R531" s="79"/>
      <c r="S531" s="79"/>
      <c r="V531" s="79"/>
      <c r="W531" s="79"/>
      <c r="Z531" s="130"/>
      <c r="AB531" s="106"/>
    </row>
    <row r="532">
      <c r="C532" s="79"/>
      <c r="D532" s="79"/>
      <c r="E532" s="79"/>
      <c r="M532" s="79"/>
      <c r="R532" s="79"/>
      <c r="S532" s="79"/>
      <c r="V532" s="79"/>
      <c r="W532" s="79"/>
      <c r="Z532" s="130"/>
      <c r="AB532" s="106"/>
    </row>
    <row r="533">
      <c r="C533" s="79"/>
      <c r="D533" s="79"/>
      <c r="E533" s="79"/>
      <c r="M533" s="79"/>
      <c r="R533" s="79"/>
      <c r="S533" s="79"/>
      <c r="V533" s="79"/>
      <c r="W533" s="79"/>
      <c r="Z533" s="130"/>
      <c r="AB533" s="106"/>
    </row>
    <row r="534">
      <c r="C534" s="79"/>
      <c r="D534" s="79"/>
      <c r="E534" s="79"/>
      <c r="M534" s="79"/>
      <c r="R534" s="79"/>
      <c r="S534" s="79"/>
      <c r="V534" s="79"/>
      <c r="W534" s="79"/>
      <c r="Z534" s="130"/>
      <c r="AB534" s="106"/>
    </row>
    <row r="535">
      <c r="C535" s="79"/>
      <c r="D535" s="79"/>
      <c r="E535" s="79"/>
      <c r="M535" s="79"/>
      <c r="R535" s="79"/>
      <c r="S535" s="79"/>
      <c r="V535" s="79"/>
      <c r="W535" s="79"/>
      <c r="Z535" s="130"/>
      <c r="AB535" s="106"/>
    </row>
    <row r="536">
      <c r="C536" s="79"/>
      <c r="D536" s="79"/>
      <c r="E536" s="79"/>
      <c r="M536" s="79"/>
      <c r="R536" s="79"/>
      <c r="S536" s="79"/>
      <c r="V536" s="79"/>
      <c r="W536" s="79"/>
      <c r="Z536" s="130"/>
      <c r="AB536" s="106"/>
    </row>
    <row r="537">
      <c r="C537" s="79"/>
      <c r="D537" s="79"/>
      <c r="E537" s="79"/>
      <c r="M537" s="79"/>
      <c r="R537" s="79"/>
      <c r="S537" s="79"/>
      <c r="V537" s="79"/>
      <c r="W537" s="79"/>
      <c r="Z537" s="130"/>
      <c r="AB537" s="106"/>
    </row>
    <row r="538">
      <c r="C538" s="79"/>
      <c r="D538" s="79"/>
      <c r="E538" s="79"/>
      <c r="M538" s="79"/>
      <c r="R538" s="79"/>
      <c r="S538" s="79"/>
      <c r="V538" s="79"/>
      <c r="W538" s="79"/>
      <c r="Z538" s="130"/>
      <c r="AB538" s="106"/>
    </row>
    <row r="539">
      <c r="C539" s="79"/>
      <c r="D539" s="79"/>
      <c r="E539" s="79"/>
      <c r="M539" s="79"/>
      <c r="R539" s="79"/>
      <c r="S539" s="79"/>
      <c r="V539" s="79"/>
      <c r="W539" s="79"/>
      <c r="Z539" s="130"/>
      <c r="AB539" s="106"/>
    </row>
    <row r="540">
      <c r="C540" s="79"/>
      <c r="D540" s="79"/>
      <c r="E540" s="79"/>
      <c r="M540" s="79"/>
      <c r="R540" s="79"/>
      <c r="S540" s="79"/>
      <c r="V540" s="79"/>
      <c r="W540" s="79"/>
      <c r="Z540" s="130"/>
      <c r="AB540" s="106"/>
    </row>
    <row r="541">
      <c r="C541" s="79"/>
      <c r="D541" s="79"/>
      <c r="E541" s="79"/>
      <c r="M541" s="79"/>
      <c r="R541" s="79"/>
      <c r="S541" s="79"/>
      <c r="V541" s="79"/>
      <c r="W541" s="79"/>
      <c r="Z541" s="130"/>
      <c r="AB541" s="106"/>
    </row>
    <row r="542">
      <c r="C542" s="79"/>
      <c r="D542" s="79"/>
      <c r="E542" s="79"/>
      <c r="M542" s="79"/>
      <c r="R542" s="79"/>
      <c r="S542" s="79"/>
      <c r="V542" s="79"/>
      <c r="W542" s="79"/>
      <c r="Z542" s="130"/>
      <c r="AB542" s="106"/>
    </row>
    <row r="543">
      <c r="C543" s="79"/>
      <c r="D543" s="79"/>
      <c r="E543" s="79"/>
      <c r="M543" s="79"/>
      <c r="R543" s="79"/>
      <c r="S543" s="79"/>
      <c r="V543" s="79"/>
      <c r="W543" s="79"/>
      <c r="Z543" s="130"/>
      <c r="AB543" s="106"/>
    </row>
    <row r="544">
      <c r="C544" s="79"/>
      <c r="D544" s="79"/>
      <c r="E544" s="79"/>
      <c r="M544" s="79"/>
      <c r="R544" s="79"/>
      <c r="S544" s="79"/>
      <c r="V544" s="79"/>
      <c r="W544" s="79"/>
      <c r="Z544" s="130"/>
      <c r="AB544" s="106"/>
    </row>
    <row r="545">
      <c r="C545" s="79"/>
      <c r="D545" s="79"/>
      <c r="E545" s="79"/>
      <c r="M545" s="79"/>
      <c r="R545" s="79"/>
      <c r="S545" s="79"/>
      <c r="V545" s="79"/>
      <c r="W545" s="79"/>
      <c r="Z545" s="130"/>
      <c r="AB545" s="106"/>
    </row>
    <row r="546">
      <c r="C546" s="79"/>
      <c r="D546" s="79"/>
      <c r="E546" s="79"/>
      <c r="M546" s="79"/>
      <c r="R546" s="79"/>
      <c r="S546" s="79"/>
      <c r="V546" s="79"/>
      <c r="W546" s="79"/>
      <c r="Z546" s="130"/>
      <c r="AB546" s="106"/>
    </row>
    <row r="547">
      <c r="C547" s="79"/>
      <c r="D547" s="79"/>
      <c r="E547" s="79"/>
      <c r="M547" s="79"/>
      <c r="R547" s="79"/>
      <c r="S547" s="79"/>
      <c r="V547" s="79"/>
      <c r="W547" s="79"/>
      <c r="Z547" s="130"/>
      <c r="AB547" s="106"/>
    </row>
    <row r="548">
      <c r="C548" s="79"/>
      <c r="D548" s="79"/>
      <c r="E548" s="79"/>
      <c r="M548" s="79"/>
      <c r="R548" s="79"/>
      <c r="S548" s="79"/>
      <c r="V548" s="79"/>
      <c r="W548" s="79"/>
      <c r="Z548" s="130"/>
      <c r="AB548" s="106"/>
    </row>
    <row r="549">
      <c r="C549" s="79"/>
      <c r="D549" s="79"/>
      <c r="E549" s="79"/>
      <c r="M549" s="79"/>
      <c r="R549" s="79"/>
      <c r="S549" s="79"/>
      <c r="V549" s="79"/>
      <c r="W549" s="79"/>
      <c r="Z549" s="130"/>
      <c r="AB549" s="106"/>
    </row>
    <row r="550">
      <c r="C550" s="79"/>
      <c r="D550" s="79"/>
      <c r="E550" s="79"/>
      <c r="M550" s="79"/>
      <c r="R550" s="79"/>
      <c r="S550" s="79"/>
      <c r="V550" s="79"/>
      <c r="W550" s="79"/>
      <c r="Z550" s="130"/>
      <c r="AB550" s="106"/>
    </row>
    <row r="551">
      <c r="C551" s="79"/>
      <c r="D551" s="79"/>
      <c r="E551" s="79"/>
      <c r="M551" s="79"/>
      <c r="R551" s="79"/>
      <c r="S551" s="79"/>
      <c r="V551" s="79"/>
      <c r="W551" s="79"/>
      <c r="Z551" s="130"/>
      <c r="AB551" s="106"/>
    </row>
    <row r="552">
      <c r="C552" s="79"/>
      <c r="D552" s="79"/>
      <c r="E552" s="79"/>
      <c r="M552" s="79"/>
      <c r="R552" s="79"/>
      <c r="S552" s="79"/>
      <c r="V552" s="79"/>
      <c r="W552" s="79"/>
      <c r="Z552" s="130"/>
      <c r="AB552" s="106"/>
    </row>
    <row r="553">
      <c r="C553" s="79"/>
      <c r="D553" s="79"/>
      <c r="E553" s="79"/>
      <c r="M553" s="79"/>
      <c r="R553" s="79"/>
      <c r="S553" s="79"/>
      <c r="V553" s="79"/>
      <c r="W553" s="79"/>
      <c r="Z553" s="130"/>
      <c r="AB553" s="106"/>
    </row>
    <row r="554">
      <c r="C554" s="79"/>
      <c r="D554" s="79"/>
      <c r="E554" s="79"/>
      <c r="M554" s="79"/>
      <c r="R554" s="79"/>
      <c r="S554" s="79"/>
      <c r="V554" s="79"/>
      <c r="W554" s="79"/>
      <c r="Z554" s="130"/>
      <c r="AB554" s="106"/>
    </row>
    <row r="555">
      <c r="C555" s="79"/>
      <c r="D555" s="79"/>
      <c r="E555" s="79"/>
      <c r="M555" s="79"/>
      <c r="R555" s="79"/>
      <c r="S555" s="79"/>
      <c r="V555" s="79"/>
      <c r="W555" s="79"/>
      <c r="Z555" s="130"/>
      <c r="AB555" s="106"/>
    </row>
    <row r="556">
      <c r="C556" s="79"/>
      <c r="D556" s="79"/>
      <c r="E556" s="79"/>
      <c r="M556" s="79"/>
      <c r="R556" s="79"/>
      <c r="S556" s="79"/>
      <c r="V556" s="79"/>
      <c r="W556" s="79"/>
      <c r="Z556" s="130"/>
      <c r="AB556" s="106"/>
    </row>
    <row r="557">
      <c r="C557" s="79"/>
      <c r="D557" s="79"/>
      <c r="E557" s="79"/>
      <c r="M557" s="79"/>
      <c r="R557" s="79"/>
      <c r="S557" s="79"/>
      <c r="V557" s="79"/>
      <c r="W557" s="79"/>
      <c r="Z557" s="130"/>
      <c r="AB557" s="106"/>
    </row>
    <row r="558">
      <c r="C558" s="79"/>
      <c r="D558" s="79"/>
      <c r="E558" s="79"/>
      <c r="M558" s="79"/>
      <c r="R558" s="79"/>
      <c r="S558" s="79"/>
      <c r="V558" s="79"/>
      <c r="W558" s="79"/>
      <c r="Z558" s="130"/>
      <c r="AB558" s="106"/>
    </row>
    <row r="559">
      <c r="C559" s="79"/>
      <c r="D559" s="79"/>
      <c r="E559" s="79"/>
      <c r="M559" s="79"/>
      <c r="R559" s="79"/>
      <c r="S559" s="79"/>
      <c r="V559" s="79"/>
      <c r="W559" s="79"/>
      <c r="Z559" s="130"/>
      <c r="AB559" s="106"/>
    </row>
    <row r="560">
      <c r="C560" s="79"/>
      <c r="D560" s="79"/>
      <c r="E560" s="79"/>
      <c r="M560" s="79"/>
      <c r="R560" s="79"/>
      <c r="S560" s="79"/>
      <c r="V560" s="79"/>
      <c r="W560" s="79"/>
      <c r="Z560" s="130"/>
      <c r="AB560" s="106"/>
    </row>
    <row r="561">
      <c r="C561" s="79"/>
      <c r="D561" s="79"/>
      <c r="E561" s="79"/>
      <c r="M561" s="79"/>
      <c r="R561" s="79"/>
      <c r="S561" s="79"/>
      <c r="V561" s="79"/>
      <c r="W561" s="79"/>
      <c r="Z561" s="130"/>
      <c r="AB561" s="106"/>
    </row>
    <row r="562">
      <c r="C562" s="79"/>
      <c r="D562" s="79"/>
      <c r="E562" s="79"/>
      <c r="M562" s="79"/>
      <c r="R562" s="79"/>
      <c r="S562" s="79"/>
      <c r="V562" s="79"/>
      <c r="W562" s="79"/>
      <c r="Z562" s="130"/>
      <c r="AB562" s="106"/>
    </row>
    <row r="563">
      <c r="C563" s="79"/>
      <c r="D563" s="79"/>
      <c r="E563" s="79"/>
      <c r="M563" s="79"/>
      <c r="R563" s="79"/>
      <c r="S563" s="79"/>
      <c r="V563" s="79"/>
      <c r="W563" s="79"/>
      <c r="Z563" s="130"/>
      <c r="AB563" s="106"/>
    </row>
    <row r="564">
      <c r="C564" s="79"/>
      <c r="D564" s="79"/>
      <c r="E564" s="79"/>
      <c r="M564" s="79"/>
      <c r="R564" s="79"/>
      <c r="S564" s="79"/>
      <c r="V564" s="79"/>
      <c r="W564" s="79"/>
      <c r="Z564" s="130"/>
      <c r="AB564" s="106"/>
    </row>
    <row r="565">
      <c r="C565" s="79"/>
      <c r="D565" s="79"/>
      <c r="E565" s="79"/>
      <c r="M565" s="79"/>
      <c r="R565" s="79"/>
      <c r="S565" s="79"/>
      <c r="V565" s="79"/>
      <c r="W565" s="79"/>
      <c r="Z565" s="130"/>
      <c r="AB565" s="106"/>
    </row>
    <row r="566">
      <c r="C566" s="79"/>
      <c r="D566" s="79"/>
      <c r="E566" s="79"/>
      <c r="M566" s="79"/>
      <c r="R566" s="79"/>
      <c r="S566" s="79"/>
      <c r="V566" s="79"/>
      <c r="W566" s="79"/>
      <c r="Z566" s="130"/>
      <c r="AB566" s="106"/>
    </row>
    <row r="567">
      <c r="C567" s="79"/>
      <c r="D567" s="79"/>
      <c r="E567" s="79"/>
      <c r="M567" s="79"/>
      <c r="R567" s="79"/>
      <c r="S567" s="79"/>
      <c r="V567" s="79"/>
      <c r="W567" s="79"/>
      <c r="Z567" s="130"/>
      <c r="AB567" s="106"/>
    </row>
    <row r="568">
      <c r="C568" s="79"/>
      <c r="D568" s="79"/>
      <c r="E568" s="79"/>
      <c r="M568" s="79"/>
      <c r="R568" s="79"/>
      <c r="S568" s="79"/>
      <c r="V568" s="79"/>
      <c r="W568" s="79"/>
      <c r="Z568" s="130"/>
      <c r="AB568" s="106"/>
    </row>
    <row r="569">
      <c r="C569" s="79"/>
      <c r="D569" s="79"/>
      <c r="E569" s="79"/>
      <c r="M569" s="79"/>
      <c r="R569" s="79"/>
      <c r="S569" s="79"/>
      <c r="V569" s="79"/>
      <c r="W569" s="79"/>
      <c r="Z569" s="130"/>
      <c r="AB569" s="106"/>
    </row>
    <row r="570">
      <c r="C570" s="79"/>
      <c r="D570" s="79"/>
      <c r="E570" s="79"/>
      <c r="M570" s="79"/>
      <c r="R570" s="79"/>
      <c r="S570" s="79"/>
      <c r="V570" s="79"/>
      <c r="W570" s="79"/>
      <c r="Z570" s="130"/>
      <c r="AB570" s="106"/>
    </row>
    <row r="571">
      <c r="C571" s="79"/>
      <c r="D571" s="79"/>
      <c r="E571" s="79"/>
      <c r="M571" s="79"/>
      <c r="R571" s="79"/>
      <c r="S571" s="79"/>
      <c r="V571" s="79"/>
      <c r="W571" s="79"/>
      <c r="Z571" s="130"/>
      <c r="AB571" s="106"/>
    </row>
    <row r="572">
      <c r="C572" s="79"/>
      <c r="D572" s="79"/>
      <c r="E572" s="79"/>
      <c r="M572" s="79"/>
      <c r="R572" s="79"/>
      <c r="S572" s="79"/>
      <c r="V572" s="79"/>
      <c r="W572" s="79"/>
      <c r="Z572" s="130"/>
      <c r="AB572" s="106"/>
    </row>
    <row r="573">
      <c r="C573" s="79"/>
      <c r="D573" s="79"/>
      <c r="E573" s="79"/>
      <c r="M573" s="79"/>
      <c r="R573" s="79"/>
      <c r="S573" s="79"/>
      <c r="V573" s="79"/>
      <c r="W573" s="79"/>
      <c r="Z573" s="130"/>
      <c r="AB573" s="106"/>
    </row>
    <row r="574">
      <c r="C574" s="79"/>
      <c r="D574" s="79"/>
      <c r="E574" s="79"/>
      <c r="M574" s="79"/>
      <c r="R574" s="79"/>
      <c r="S574" s="79"/>
      <c r="V574" s="79"/>
      <c r="W574" s="79"/>
      <c r="Z574" s="130"/>
      <c r="AB574" s="106"/>
    </row>
    <row r="575">
      <c r="C575" s="79"/>
      <c r="D575" s="79"/>
      <c r="E575" s="79"/>
      <c r="M575" s="79"/>
      <c r="R575" s="79"/>
      <c r="S575" s="79"/>
      <c r="V575" s="79"/>
      <c r="W575" s="79"/>
      <c r="Z575" s="130"/>
      <c r="AB575" s="106"/>
    </row>
    <row r="576">
      <c r="C576" s="79"/>
      <c r="D576" s="79"/>
      <c r="E576" s="79"/>
      <c r="M576" s="79"/>
      <c r="R576" s="79"/>
      <c r="S576" s="79"/>
      <c r="V576" s="79"/>
      <c r="W576" s="79"/>
      <c r="Z576" s="130"/>
      <c r="AB576" s="106"/>
    </row>
    <row r="577">
      <c r="C577" s="79"/>
      <c r="D577" s="79"/>
      <c r="E577" s="79"/>
      <c r="M577" s="79"/>
      <c r="R577" s="79"/>
      <c r="S577" s="79"/>
      <c r="V577" s="79"/>
      <c r="W577" s="79"/>
      <c r="Z577" s="130"/>
      <c r="AB577" s="106"/>
    </row>
    <row r="578">
      <c r="C578" s="79"/>
      <c r="D578" s="79"/>
      <c r="E578" s="79"/>
      <c r="M578" s="79"/>
      <c r="R578" s="79"/>
      <c r="S578" s="79"/>
      <c r="V578" s="79"/>
      <c r="W578" s="79"/>
      <c r="Z578" s="130"/>
      <c r="AB578" s="106"/>
    </row>
    <row r="579">
      <c r="C579" s="79"/>
      <c r="D579" s="79"/>
      <c r="E579" s="79"/>
      <c r="M579" s="79"/>
      <c r="R579" s="79"/>
      <c r="S579" s="79"/>
      <c r="V579" s="79"/>
      <c r="W579" s="79"/>
      <c r="Z579" s="130"/>
      <c r="AB579" s="106"/>
    </row>
    <row r="580">
      <c r="C580" s="79"/>
      <c r="D580" s="79"/>
      <c r="E580" s="79"/>
      <c r="M580" s="79"/>
      <c r="R580" s="79"/>
      <c r="S580" s="79"/>
      <c r="V580" s="79"/>
      <c r="W580" s="79"/>
      <c r="Z580" s="130"/>
      <c r="AB580" s="106"/>
    </row>
    <row r="581">
      <c r="C581" s="79"/>
      <c r="D581" s="79"/>
      <c r="E581" s="79"/>
      <c r="M581" s="79"/>
      <c r="R581" s="79"/>
      <c r="S581" s="79"/>
      <c r="V581" s="79"/>
      <c r="W581" s="79"/>
      <c r="Z581" s="130"/>
      <c r="AB581" s="106"/>
    </row>
    <row r="582">
      <c r="C582" s="79"/>
      <c r="D582" s="79"/>
      <c r="E582" s="79"/>
      <c r="M582" s="79"/>
      <c r="R582" s="79"/>
      <c r="S582" s="79"/>
      <c r="V582" s="79"/>
      <c r="W582" s="79"/>
      <c r="Z582" s="130"/>
      <c r="AB582" s="106"/>
    </row>
    <row r="583">
      <c r="C583" s="79"/>
      <c r="D583" s="79"/>
      <c r="E583" s="79"/>
      <c r="M583" s="79"/>
      <c r="R583" s="79"/>
      <c r="S583" s="79"/>
      <c r="V583" s="79"/>
      <c r="W583" s="79"/>
      <c r="Z583" s="130"/>
      <c r="AB583" s="106"/>
    </row>
    <row r="584">
      <c r="C584" s="79"/>
      <c r="D584" s="79"/>
      <c r="E584" s="79"/>
      <c r="M584" s="79"/>
      <c r="R584" s="79"/>
      <c r="S584" s="79"/>
      <c r="V584" s="79"/>
      <c r="W584" s="79"/>
      <c r="Z584" s="130"/>
      <c r="AB584" s="106"/>
    </row>
    <row r="585">
      <c r="C585" s="79"/>
      <c r="D585" s="79"/>
      <c r="E585" s="79"/>
      <c r="M585" s="79"/>
      <c r="R585" s="79"/>
      <c r="S585" s="79"/>
      <c r="V585" s="79"/>
      <c r="W585" s="79"/>
      <c r="Z585" s="130"/>
      <c r="AB585" s="106"/>
    </row>
    <row r="586">
      <c r="C586" s="79"/>
      <c r="D586" s="79"/>
      <c r="E586" s="79"/>
      <c r="M586" s="79"/>
      <c r="R586" s="79"/>
      <c r="S586" s="79"/>
      <c r="V586" s="79"/>
      <c r="W586" s="79"/>
      <c r="Z586" s="130"/>
      <c r="AB586" s="106"/>
    </row>
    <row r="587">
      <c r="C587" s="79"/>
      <c r="D587" s="79"/>
      <c r="E587" s="79"/>
      <c r="M587" s="79"/>
      <c r="R587" s="79"/>
      <c r="S587" s="79"/>
      <c r="V587" s="79"/>
      <c r="W587" s="79"/>
      <c r="Z587" s="130"/>
      <c r="AB587" s="106"/>
    </row>
    <row r="588">
      <c r="C588" s="79"/>
      <c r="D588" s="79"/>
      <c r="E588" s="79"/>
      <c r="M588" s="79"/>
      <c r="R588" s="79"/>
      <c r="S588" s="79"/>
      <c r="V588" s="79"/>
      <c r="W588" s="79"/>
      <c r="Z588" s="130"/>
      <c r="AB588" s="106"/>
    </row>
    <row r="589">
      <c r="C589" s="79"/>
      <c r="D589" s="79"/>
      <c r="E589" s="79"/>
      <c r="M589" s="79"/>
      <c r="R589" s="79"/>
      <c r="S589" s="79"/>
      <c r="V589" s="79"/>
      <c r="W589" s="79"/>
      <c r="Z589" s="130"/>
      <c r="AB589" s="106"/>
    </row>
    <row r="590">
      <c r="C590" s="79"/>
      <c r="D590" s="79"/>
      <c r="E590" s="79"/>
      <c r="M590" s="79"/>
      <c r="R590" s="79"/>
      <c r="S590" s="79"/>
      <c r="V590" s="79"/>
      <c r="W590" s="79"/>
      <c r="Z590" s="130"/>
      <c r="AB590" s="106"/>
    </row>
    <row r="591">
      <c r="C591" s="79"/>
      <c r="D591" s="79"/>
      <c r="E591" s="79"/>
      <c r="M591" s="79"/>
      <c r="R591" s="79"/>
      <c r="S591" s="79"/>
      <c r="V591" s="79"/>
      <c r="W591" s="79"/>
      <c r="Z591" s="130"/>
      <c r="AB591" s="106"/>
    </row>
    <row r="592">
      <c r="C592" s="79"/>
      <c r="D592" s="79"/>
      <c r="E592" s="79"/>
      <c r="M592" s="79"/>
      <c r="R592" s="79"/>
      <c r="S592" s="79"/>
      <c r="V592" s="79"/>
      <c r="W592" s="79"/>
      <c r="Z592" s="130"/>
      <c r="AB592" s="106"/>
    </row>
    <row r="593">
      <c r="C593" s="79"/>
      <c r="D593" s="79"/>
      <c r="E593" s="79"/>
      <c r="M593" s="79"/>
      <c r="R593" s="79"/>
      <c r="S593" s="79"/>
      <c r="V593" s="79"/>
      <c r="W593" s="79"/>
      <c r="Z593" s="130"/>
      <c r="AB593" s="106"/>
    </row>
    <row r="594">
      <c r="C594" s="79"/>
      <c r="D594" s="79"/>
      <c r="E594" s="79"/>
      <c r="M594" s="79"/>
      <c r="R594" s="79"/>
      <c r="S594" s="79"/>
      <c r="V594" s="79"/>
      <c r="W594" s="79"/>
      <c r="Z594" s="130"/>
      <c r="AB594" s="106"/>
    </row>
    <row r="595">
      <c r="C595" s="79"/>
      <c r="D595" s="79"/>
      <c r="E595" s="79"/>
      <c r="M595" s="79"/>
      <c r="R595" s="79"/>
      <c r="S595" s="79"/>
      <c r="V595" s="79"/>
      <c r="W595" s="79"/>
      <c r="Z595" s="130"/>
      <c r="AB595" s="106"/>
    </row>
    <row r="596">
      <c r="C596" s="79"/>
      <c r="D596" s="79"/>
      <c r="E596" s="79"/>
      <c r="M596" s="79"/>
      <c r="R596" s="79"/>
      <c r="S596" s="79"/>
      <c r="V596" s="79"/>
      <c r="W596" s="79"/>
      <c r="Z596" s="130"/>
      <c r="AB596" s="106"/>
    </row>
    <row r="597">
      <c r="C597" s="79"/>
      <c r="D597" s="79"/>
      <c r="E597" s="79"/>
      <c r="M597" s="79"/>
      <c r="R597" s="79"/>
      <c r="S597" s="79"/>
      <c r="V597" s="79"/>
      <c r="W597" s="79"/>
      <c r="Z597" s="130"/>
      <c r="AB597" s="106"/>
    </row>
    <row r="598">
      <c r="C598" s="79"/>
      <c r="D598" s="79"/>
      <c r="E598" s="79"/>
      <c r="M598" s="79"/>
      <c r="R598" s="79"/>
      <c r="S598" s="79"/>
      <c r="V598" s="79"/>
      <c r="W598" s="79"/>
      <c r="Z598" s="130"/>
      <c r="AB598" s="106"/>
    </row>
    <row r="599">
      <c r="C599" s="79"/>
      <c r="D599" s="79"/>
      <c r="E599" s="79"/>
      <c r="M599" s="79"/>
      <c r="R599" s="79"/>
      <c r="S599" s="79"/>
      <c r="V599" s="79"/>
      <c r="W599" s="79"/>
      <c r="Z599" s="130"/>
      <c r="AB599" s="106"/>
    </row>
    <row r="600">
      <c r="C600" s="79"/>
      <c r="D600" s="79"/>
      <c r="E600" s="79"/>
      <c r="M600" s="79"/>
      <c r="R600" s="79"/>
      <c r="S600" s="79"/>
      <c r="V600" s="79"/>
      <c r="W600" s="79"/>
      <c r="Z600" s="130"/>
      <c r="AB600" s="106"/>
    </row>
    <row r="601">
      <c r="C601" s="79"/>
      <c r="D601" s="79"/>
      <c r="E601" s="79"/>
      <c r="M601" s="79"/>
      <c r="R601" s="79"/>
      <c r="S601" s="79"/>
      <c r="V601" s="79"/>
      <c r="W601" s="79"/>
      <c r="Z601" s="130"/>
      <c r="AB601" s="106"/>
    </row>
    <row r="602">
      <c r="C602" s="79"/>
      <c r="D602" s="79"/>
      <c r="E602" s="79"/>
      <c r="M602" s="79"/>
      <c r="R602" s="79"/>
      <c r="S602" s="79"/>
      <c r="V602" s="79"/>
      <c r="W602" s="79"/>
      <c r="Z602" s="130"/>
      <c r="AB602" s="106"/>
    </row>
    <row r="603">
      <c r="C603" s="79"/>
      <c r="D603" s="79"/>
      <c r="E603" s="79"/>
      <c r="M603" s="79"/>
      <c r="R603" s="79"/>
      <c r="S603" s="79"/>
      <c r="V603" s="79"/>
      <c r="W603" s="79"/>
      <c r="Z603" s="130"/>
      <c r="AB603" s="106"/>
    </row>
    <row r="604">
      <c r="C604" s="79"/>
      <c r="D604" s="79"/>
      <c r="E604" s="79"/>
      <c r="M604" s="79"/>
      <c r="R604" s="79"/>
      <c r="S604" s="79"/>
      <c r="V604" s="79"/>
      <c r="W604" s="79"/>
      <c r="Z604" s="130"/>
      <c r="AB604" s="106"/>
    </row>
    <row r="605">
      <c r="C605" s="79"/>
      <c r="D605" s="79"/>
      <c r="E605" s="79"/>
      <c r="M605" s="79"/>
      <c r="R605" s="79"/>
      <c r="S605" s="79"/>
      <c r="V605" s="79"/>
      <c r="W605" s="79"/>
      <c r="Z605" s="130"/>
      <c r="AB605" s="106"/>
    </row>
    <row r="606">
      <c r="C606" s="79"/>
      <c r="D606" s="79"/>
      <c r="E606" s="79"/>
      <c r="M606" s="79"/>
      <c r="R606" s="79"/>
      <c r="S606" s="79"/>
      <c r="V606" s="79"/>
      <c r="W606" s="79"/>
      <c r="Z606" s="130"/>
      <c r="AB606" s="106"/>
    </row>
    <row r="607">
      <c r="C607" s="79"/>
      <c r="D607" s="79"/>
      <c r="E607" s="79"/>
      <c r="M607" s="79"/>
      <c r="R607" s="79"/>
      <c r="S607" s="79"/>
      <c r="V607" s="79"/>
      <c r="W607" s="79"/>
      <c r="Z607" s="130"/>
      <c r="AB607" s="106"/>
    </row>
    <row r="608">
      <c r="C608" s="79"/>
      <c r="D608" s="79"/>
      <c r="E608" s="79"/>
      <c r="M608" s="79"/>
      <c r="R608" s="79"/>
      <c r="S608" s="79"/>
      <c r="V608" s="79"/>
      <c r="W608" s="79"/>
      <c r="Z608" s="130"/>
      <c r="AB608" s="106"/>
    </row>
    <row r="609">
      <c r="C609" s="79"/>
      <c r="D609" s="79"/>
      <c r="E609" s="79"/>
      <c r="M609" s="79"/>
      <c r="R609" s="79"/>
      <c r="S609" s="79"/>
      <c r="V609" s="79"/>
      <c r="W609" s="79"/>
      <c r="Z609" s="130"/>
      <c r="AB609" s="106"/>
    </row>
    <row r="610">
      <c r="C610" s="79"/>
      <c r="D610" s="79"/>
      <c r="E610" s="79"/>
      <c r="M610" s="79"/>
      <c r="R610" s="79"/>
      <c r="S610" s="79"/>
      <c r="V610" s="79"/>
      <c r="W610" s="79"/>
      <c r="Z610" s="130"/>
      <c r="AB610" s="106"/>
    </row>
    <row r="611">
      <c r="C611" s="79"/>
      <c r="D611" s="79"/>
      <c r="E611" s="79"/>
      <c r="M611" s="79"/>
      <c r="R611" s="79"/>
      <c r="S611" s="79"/>
      <c r="V611" s="79"/>
      <c r="W611" s="79"/>
      <c r="Z611" s="130"/>
      <c r="AB611" s="106"/>
    </row>
    <row r="612">
      <c r="C612" s="79"/>
      <c r="D612" s="79"/>
      <c r="E612" s="79"/>
      <c r="M612" s="79"/>
      <c r="R612" s="79"/>
      <c r="S612" s="79"/>
      <c r="V612" s="79"/>
      <c r="W612" s="79"/>
      <c r="Z612" s="130"/>
      <c r="AB612" s="106"/>
    </row>
    <row r="613">
      <c r="C613" s="79"/>
      <c r="D613" s="79"/>
      <c r="E613" s="79"/>
      <c r="M613" s="79"/>
      <c r="R613" s="79"/>
      <c r="S613" s="79"/>
      <c r="V613" s="79"/>
      <c r="W613" s="79"/>
      <c r="Z613" s="130"/>
      <c r="AB613" s="106"/>
    </row>
    <row r="614">
      <c r="C614" s="79"/>
      <c r="D614" s="79"/>
      <c r="E614" s="79"/>
      <c r="M614" s="79"/>
      <c r="R614" s="79"/>
      <c r="S614" s="79"/>
      <c r="V614" s="79"/>
      <c r="W614" s="79"/>
      <c r="Z614" s="130"/>
      <c r="AB614" s="106"/>
    </row>
    <row r="615">
      <c r="C615" s="79"/>
      <c r="D615" s="79"/>
      <c r="E615" s="79"/>
      <c r="M615" s="79"/>
      <c r="R615" s="79"/>
      <c r="S615" s="79"/>
      <c r="V615" s="79"/>
      <c r="W615" s="79"/>
      <c r="Z615" s="130"/>
      <c r="AB615" s="106"/>
    </row>
    <row r="616">
      <c r="C616" s="79"/>
      <c r="D616" s="79"/>
      <c r="E616" s="79"/>
      <c r="M616" s="79"/>
      <c r="R616" s="79"/>
      <c r="S616" s="79"/>
      <c r="V616" s="79"/>
      <c r="W616" s="79"/>
      <c r="Z616" s="130"/>
      <c r="AB616" s="106"/>
    </row>
    <row r="617">
      <c r="C617" s="79"/>
      <c r="D617" s="79"/>
      <c r="E617" s="79"/>
      <c r="M617" s="79"/>
      <c r="R617" s="79"/>
      <c r="S617" s="79"/>
      <c r="V617" s="79"/>
      <c r="W617" s="79"/>
      <c r="Z617" s="130"/>
      <c r="AB617" s="106"/>
    </row>
    <row r="618">
      <c r="C618" s="79"/>
      <c r="D618" s="79"/>
      <c r="E618" s="79"/>
      <c r="M618" s="79"/>
      <c r="R618" s="79"/>
      <c r="S618" s="79"/>
      <c r="V618" s="79"/>
      <c r="W618" s="79"/>
      <c r="Z618" s="130"/>
      <c r="AB618" s="106"/>
    </row>
    <row r="619">
      <c r="C619" s="79"/>
      <c r="D619" s="79"/>
      <c r="E619" s="79"/>
      <c r="M619" s="79"/>
      <c r="R619" s="79"/>
      <c r="S619" s="79"/>
      <c r="V619" s="79"/>
      <c r="W619" s="79"/>
      <c r="Z619" s="130"/>
      <c r="AB619" s="106"/>
    </row>
    <row r="620">
      <c r="C620" s="79"/>
      <c r="D620" s="79"/>
      <c r="E620" s="79"/>
      <c r="M620" s="79"/>
      <c r="R620" s="79"/>
      <c r="S620" s="79"/>
      <c r="V620" s="79"/>
      <c r="W620" s="79"/>
      <c r="Z620" s="130"/>
      <c r="AB620" s="106"/>
    </row>
    <row r="621">
      <c r="C621" s="79"/>
      <c r="D621" s="79"/>
      <c r="E621" s="79"/>
      <c r="M621" s="79"/>
      <c r="R621" s="79"/>
      <c r="S621" s="79"/>
      <c r="V621" s="79"/>
      <c r="W621" s="79"/>
      <c r="Z621" s="130"/>
      <c r="AB621" s="106"/>
    </row>
    <row r="622">
      <c r="C622" s="79"/>
      <c r="D622" s="79"/>
      <c r="E622" s="79"/>
      <c r="M622" s="79"/>
      <c r="R622" s="79"/>
      <c r="S622" s="79"/>
      <c r="V622" s="79"/>
      <c r="W622" s="79"/>
      <c r="Z622" s="130"/>
      <c r="AB622" s="106"/>
    </row>
    <row r="623">
      <c r="C623" s="79"/>
      <c r="D623" s="79"/>
      <c r="E623" s="79"/>
      <c r="M623" s="79"/>
      <c r="R623" s="79"/>
      <c r="S623" s="79"/>
      <c r="V623" s="79"/>
      <c r="W623" s="79"/>
      <c r="Z623" s="130"/>
      <c r="AB623" s="106"/>
    </row>
    <row r="624">
      <c r="C624" s="79"/>
      <c r="D624" s="79"/>
      <c r="E624" s="79"/>
      <c r="M624" s="79"/>
      <c r="R624" s="79"/>
      <c r="S624" s="79"/>
      <c r="V624" s="79"/>
      <c r="W624" s="79"/>
      <c r="Z624" s="130"/>
      <c r="AB624" s="106"/>
    </row>
    <row r="625">
      <c r="C625" s="79"/>
      <c r="D625" s="79"/>
      <c r="E625" s="79"/>
      <c r="M625" s="79"/>
      <c r="R625" s="79"/>
      <c r="S625" s="79"/>
      <c r="V625" s="79"/>
      <c r="W625" s="79"/>
      <c r="Z625" s="130"/>
      <c r="AB625" s="106"/>
    </row>
    <row r="626">
      <c r="C626" s="79"/>
      <c r="D626" s="79"/>
      <c r="E626" s="79"/>
      <c r="M626" s="79"/>
      <c r="R626" s="79"/>
      <c r="S626" s="79"/>
      <c r="V626" s="79"/>
      <c r="W626" s="79"/>
      <c r="Z626" s="130"/>
      <c r="AB626" s="106"/>
    </row>
    <row r="627">
      <c r="C627" s="79"/>
      <c r="D627" s="79"/>
      <c r="E627" s="79"/>
      <c r="M627" s="79"/>
      <c r="R627" s="79"/>
      <c r="S627" s="79"/>
      <c r="V627" s="79"/>
      <c r="W627" s="79"/>
      <c r="Z627" s="130"/>
      <c r="AB627" s="106"/>
    </row>
    <row r="628">
      <c r="C628" s="79"/>
      <c r="D628" s="79"/>
      <c r="E628" s="79"/>
      <c r="M628" s="79"/>
      <c r="R628" s="79"/>
      <c r="S628" s="79"/>
      <c r="V628" s="79"/>
      <c r="W628" s="79"/>
      <c r="Z628" s="130"/>
      <c r="AB628" s="106"/>
    </row>
    <row r="629">
      <c r="C629" s="79"/>
      <c r="D629" s="79"/>
      <c r="E629" s="79"/>
      <c r="M629" s="79"/>
      <c r="R629" s="79"/>
      <c r="S629" s="79"/>
      <c r="V629" s="79"/>
      <c r="W629" s="79"/>
      <c r="Z629" s="130"/>
      <c r="AB629" s="106"/>
    </row>
    <row r="630">
      <c r="C630" s="79"/>
      <c r="D630" s="79"/>
      <c r="E630" s="79"/>
      <c r="M630" s="79"/>
      <c r="R630" s="79"/>
      <c r="S630" s="79"/>
      <c r="V630" s="79"/>
      <c r="W630" s="79"/>
      <c r="Z630" s="130"/>
      <c r="AB630" s="106"/>
    </row>
    <row r="631">
      <c r="C631" s="79"/>
      <c r="D631" s="79"/>
      <c r="E631" s="79"/>
      <c r="M631" s="79"/>
      <c r="R631" s="79"/>
      <c r="S631" s="79"/>
      <c r="V631" s="79"/>
      <c r="W631" s="79"/>
      <c r="Z631" s="130"/>
      <c r="AB631" s="106"/>
    </row>
    <row r="632">
      <c r="C632" s="79"/>
      <c r="D632" s="79"/>
      <c r="E632" s="79"/>
      <c r="M632" s="79"/>
      <c r="R632" s="79"/>
      <c r="S632" s="79"/>
      <c r="V632" s="79"/>
      <c r="W632" s="79"/>
      <c r="Z632" s="130"/>
      <c r="AB632" s="106"/>
    </row>
    <row r="633">
      <c r="C633" s="79"/>
      <c r="D633" s="79"/>
      <c r="E633" s="79"/>
      <c r="M633" s="79"/>
      <c r="R633" s="79"/>
      <c r="S633" s="79"/>
      <c r="V633" s="79"/>
      <c r="W633" s="79"/>
      <c r="Z633" s="130"/>
      <c r="AB633" s="106"/>
    </row>
    <row r="634">
      <c r="C634" s="79"/>
      <c r="D634" s="79"/>
      <c r="E634" s="79"/>
      <c r="M634" s="79"/>
      <c r="R634" s="79"/>
      <c r="S634" s="79"/>
      <c r="V634" s="79"/>
      <c r="W634" s="79"/>
      <c r="Z634" s="130"/>
      <c r="AB634" s="106"/>
    </row>
    <row r="635">
      <c r="C635" s="79"/>
      <c r="D635" s="79"/>
      <c r="E635" s="79"/>
      <c r="M635" s="79"/>
      <c r="R635" s="79"/>
      <c r="S635" s="79"/>
      <c r="V635" s="79"/>
      <c r="W635" s="79"/>
      <c r="Z635" s="130"/>
      <c r="AB635" s="106"/>
    </row>
    <row r="636">
      <c r="C636" s="79"/>
      <c r="D636" s="79"/>
      <c r="E636" s="79"/>
      <c r="M636" s="79"/>
      <c r="R636" s="79"/>
      <c r="S636" s="79"/>
      <c r="V636" s="79"/>
      <c r="W636" s="79"/>
      <c r="Z636" s="130"/>
      <c r="AB636" s="106"/>
    </row>
    <row r="637">
      <c r="C637" s="79"/>
      <c r="D637" s="79"/>
      <c r="E637" s="79"/>
      <c r="M637" s="79"/>
      <c r="R637" s="79"/>
      <c r="S637" s="79"/>
      <c r="V637" s="79"/>
      <c r="W637" s="79"/>
      <c r="Z637" s="130"/>
      <c r="AB637" s="106"/>
    </row>
    <row r="638">
      <c r="C638" s="79"/>
      <c r="D638" s="79"/>
      <c r="E638" s="79"/>
      <c r="M638" s="79"/>
      <c r="R638" s="79"/>
      <c r="S638" s="79"/>
      <c r="V638" s="79"/>
      <c r="W638" s="79"/>
      <c r="Z638" s="130"/>
      <c r="AB638" s="106"/>
    </row>
    <row r="639">
      <c r="C639" s="79"/>
      <c r="D639" s="79"/>
      <c r="E639" s="79"/>
      <c r="M639" s="79"/>
      <c r="R639" s="79"/>
      <c r="S639" s="79"/>
      <c r="V639" s="79"/>
      <c r="W639" s="79"/>
      <c r="Z639" s="130"/>
      <c r="AB639" s="106"/>
    </row>
    <row r="640">
      <c r="C640" s="79"/>
      <c r="D640" s="79"/>
      <c r="E640" s="79"/>
      <c r="M640" s="79"/>
      <c r="R640" s="79"/>
      <c r="S640" s="79"/>
      <c r="V640" s="79"/>
      <c r="W640" s="79"/>
      <c r="Z640" s="130"/>
      <c r="AB640" s="106"/>
    </row>
    <row r="641">
      <c r="C641" s="79"/>
      <c r="D641" s="79"/>
      <c r="E641" s="79"/>
      <c r="M641" s="79"/>
      <c r="R641" s="79"/>
      <c r="S641" s="79"/>
      <c r="V641" s="79"/>
      <c r="W641" s="79"/>
      <c r="Z641" s="130"/>
      <c r="AB641" s="106"/>
    </row>
    <row r="642">
      <c r="C642" s="79"/>
      <c r="D642" s="79"/>
      <c r="E642" s="79"/>
      <c r="M642" s="79"/>
      <c r="R642" s="79"/>
      <c r="S642" s="79"/>
      <c r="V642" s="79"/>
      <c r="W642" s="79"/>
      <c r="Z642" s="130"/>
      <c r="AB642" s="106"/>
    </row>
    <row r="643">
      <c r="C643" s="79"/>
      <c r="D643" s="79"/>
      <c r="E643" s="79"/>
      <c r="M643" s="79"/>
      <c r="R643" s="79"/>
      <c r="S643" s="79"/>
      <c r="V643" s="79"/>
      <c r="W643" s="79"/>
      <c r="Z643" s="130"/>
      <c r="AB643" s="106"/>
    </row>
    <row r="644">
      <c r="C644" s="79"/>
      <c r="D644" s="79"/>
      <c r="E644" s="79"/>
      <c r="M644" s="79"/>
      <c r="R644" s="79"/>
      <c r="S644" s="79"/>
      <c r="V644" s="79"/>
      <c r="W644" s="79"/>
      <c r="Z644" s="130"/>
      <c r="AB644" s="106"/>
    </row>
    <row r="645">
      <c r="C645" s="79"/>
      <c r="D645" s="79"/>
      <c r="E645" s="79"/>
      <c r="M645" s="79"/>
      <c r="R645" s="79"/>
      <c r="S645" s="79"/>
      <c r="V645" s="79"/>
      <c r="W645" s="79"/>
      <c r="Z645" s="130"/>
      <c r="AB645" s="106"/>
    </row>
    <row r="646">
      <c r="C646" s="79"/>
      <c r="D646" s="79"/>
      <c r="E646" s="79"/>
      <c r="M646" s="79"/>
      <c r="R646" s="79"/>
      <c r="S646" s="79"/>
      <c r="V646" s="79"/>
      <c r="W646" s="79"/>
      <c r="Z646" s="130"/>
      <c r="AB646" s="106"/>
    </row>
    <row r="647">
      <c r="C647" s="79"/>
      <c r="D647" s="79"/>
      <c r="E647" s="79"/>
      <c r="M647" s="79"/>
      <c r="R647" s="79"/>
      <c r="S647" s="79"/>
      <c r="V647" s="79"/>
      <c r="W647" s="79"/>
      <c r="Z647" s="130"/>
      <c r="AB647" s="106"/>
    </row>
    <row r="648">
      <c r="C648" s="79"/>
      <c r="D648" s="79"/>
      <c r="E648" s="79"/>
      <c r="M648" s="79"/>
      <c r="R648" s="79"/>
      <c r="S648" s="79"/>
      <c r="V648" s="79"/>
      <c r="W648" s="79"/>
      <c r="Z648" s="130"/>
      <c r="AB648" s="106"/>
    </row>
    <row r="649">
      <c r="C649" s="79"/>
      <c r="D649" s="79"/>
      <c r="E649" s="79"/>
      <c r="M649" s="79"/>
      <c r="R649" s="79"/>
      <c r="S649" s="79"/>
      <c r="V649" s="79"/>
      <c r="W649" s="79"/>
      <c r="Z649" s="130"/>
      <c r="AB649" s="106"/>
    </row>
    <row r="650">
      <c r="C650" s="79"/>
      <c r="D650" s="79"/>
      <c r="E650" s="79"/>
      <c r="M650" s="79"/>
      <c r="R650" s="79"/>
      <c r="S650" s="79"/>
      <c r="V650" s="79"/>
      <c r="W650" s="79"/>
      <c r="Z650" s="130"/>
      <c r="AB650" s="106"/>
    </row>
    <row r="651">
      <c r="C651" s="79"/>
      <c r="D651" s="79"/>
      <c r="E651" s="79"/>
      <c r="M651" s="79"/>
      <c r="R651" s="79"/>
      <c r="S651" s="79"/>
      <c r="V651" s="79"/>
      <c r="W651" s="79"/>
      <c r="Z651" s="130"/>
      <c r="AB651" s="106"/>
    </row>
    <row r="652">
      <c r="C652" s="79"/>
      <c r="D652" s="79"/>
      <c r="E652" s="79"/>
      <c r="M652" s="79"/>
      <c r="R652" s="79"/>
      <c r="S652" s="79"/>
      <c r="V652" s="79"/>
      <c r="W652" s="79"/>
      <c r="Z652" s="130"/>
      <c r="AB652" s="106"/>
    </row>
    <row r="653">
      <c r="C653" s="79"/>
      <c r="D653" s="79"/>
      <c r="E653" s="79"/>
      <c r="M653" s="79"/>
      <c r="R653" s="79"/>
      <c r="S653" s="79"/>
      <c r="V653" s="79"/>
      <c r="W653" s="79"/>
      <c r="Z653" s="130"/>
      <c r="AB653" s="106"/>
    </row>
    <row r="654">
      <c r="C654" s="79"/>
      <c r="D654" s="79"/>
      <c r="E654" s="79"/>
      <c r="M654" s="79"/>
      <c r="R654" s="79"/>
      <c r="S654" s="79"/>
      <c r="V654" s="79"/>
      <c r="W654" s="79"/>
      <c r="Z654" s="130"/>
      <c r="AB654" s="106"/>
    </row>
    <row r="655">
      <c r="C655" s="79"/>
      <c r="D655" s="79"/>
      <c r="E655" s="79"/>
      <c r="M655" s="79"/>
      <c r="R655" s="79"/>
      <c r="S655" s="79"/>
      <c r="V655" s="79"/>
      <c r="W655" s="79"/>
      <c r="Z655" s="130"/>
      <c r="AB655" s="106"/>
    </row>
    <row r="656">
      <c r="C656" s="79"/>
      <c r="D656" s="79"/>
      <c r="E656" s="79"/>
      <c r="M656" s="79"/>
      <c r="R656" s="79"/>
      <c r="S656" s="79"/>
      <c r="V656" s="79"/>
      <c r="W656" s="79"/>
      <c r="Z656" s="130"/>
      <c r="AB656" s="106"/>
    </row>
    <row r="657">
      <c r="C657" s="79"/>
      <c r="D657" s="79"/>
      <c r="E657" s="79"/>
      <c r="M657" s="79"/>
      <c r="R657" s="79"/>
      <c r="S657" s="79"/>
      <c r="V657" s="79"/>
      <c r="W657" s="79"/>
      <c r="Z657" s="130"/>
      <c r="AB657" s="106"/>
    </row>
    <row r="658">
      <c r="C658" s="79"/>
      <c r="D658" s="79"/>
      <c r="E658" s="79"/>
      <c r="M658" s="79"/>
      <c r="R658" s="79"/>
      <c r="S658" s="79"/>
      <c r="V658" s="79"/>
      <c r="W658" s="79"/>
      <c r="Z658" s="130"/>
      <c r="AB658" s="106"/>
    </row>
    <row r="659">
      <c r="C659" s="79"/>
      <c r="D659" s="79"/>
      <c r="E659" s="79"/>
      <c r="M659" s="79"/>
      <c r="R659" s="79"/>
      <c r="S659" s="79"/>
      <c r="V659" s="79"/>
      <c r="W659" s="79"/>
      <c r="Z659" s="130"/>
      <c r="AB659" s="106"/>
    </row>
    <row r="660">
      <c r="C660" s="79"/>
      <c r="D660" s="79"/>
      <c r="E660" s="79"/>
      <c r="M660" s="79"/>
      <c r="R660" s="79"/>
      <c r="S660" s="79"/>
      <c r="V660" s="79"/>
      <c r="W660" s="79"/>
      <c r="Z660" s="130"/>
      <c r="AB660" s="106"/>
    </row>
    <row r="661">
      <c r="C661" s="79"/>
      <c r="D661" s="79"/>
      <c r="E661" s="79"/>
      <c r="M661" s="79"/>
      <c r="R661" s="79"/>
      <c r="S661" s="79"/>
      <c r="V661" s="79"/>
      <c r="W661" s="79"/>
      <c r="Z661" s="130"/>
      <c r="AB661" s="106"/>
    </row>
    <row r="662">
      <c r="C662" s="79"/>
      <c r="D662" s="79"/>
      <c r="E662" s="79"/>
      <c r="M662" s="79"/>
      <c r="R662" s="79"/>
      <c r="S662" s="79"/>
      <c r="V662" s="79"/>
      <c r="W662" s="79"/>
      <c r="Z662" s="130"/>
      <c r="AB662" s="106"/>
    </row>
    <row r="663">
      <c r="C663" s="79"/>
      <c r="D663" s="79"/>
      <c r="E663" s="79"/>
      <c r="M663" s="79"/>
      <c r="R663" s="79"/>
      <c r="S663" s="79"/>
      <c r="V663" s="79"/>
      <c r="W663" s="79"/>
      <c r="Z663" s="130"/>
      <c r="AB663" s="106"/>
    </row>
    <row r="664">
      <c r="C664" s="79"/>
      <c r="D664" s="79"/>
      <c r="E664" s="79"/>
      <c r="M664" s="79"/>
      <c r="R664" s="79"/>
      <c r="S664" s="79"/>
      <c r="V664" s="79"/>
      <c r="W664" s="79"/>
      <c r="Z664" s="130"/>
      <c r="AB664" s="106"/>
    </row>
    <row r="665">
      <c r="C665" s="79"/>
      <c r="D665" s="79"/>
      <c r="E665" s="79"/>
      <c r="M665" s="79"/>
      <c r="R665" s="79"/>
      <c r="S665" s="79"/>
      <c r="V665" s="79"/>
      <c r="W665" s="79"/>
      <c r="Z665" s="130"/>
      <c r="AB665" s="106"/>
    </row>
    <row r="666">
      <c r="C666" s="79"/>
      <c r="D666" s="79"/>
      <c r="E666" s="79"/>
      <c r="M666" s="79"/>
      <c r="R666" s="79"/>
      <c r="S666" s="79"/>
      <c r="V666" s="79"/>
      <c r="W666" s="79"/>
      <c r="Z666" s="130"/>
      <c r="AB666" s="106"/>
    </row>
    <row r="667">
      <c r="C667" s="79"/>
      <c r="D667" s="79"/>
      <c r="E667" s="79"/>
      <c r="M667" s="79"/>
      <c r="R667" s="79"/>
      <c r="S667" s="79"/>
      <c r="V667" s="79"/>
      <c r="W667" s="79"/>
      <c r="Z667" s="130"/>
      <c r="AB667" s="106"/>
    </row>
    <row r="668">
      <c r="C668" s="79"/>
      <c r="D668" s="79"/>
      <c r="E668" s="79"/>
      <c r="M668" s="79"/>
      <c r="R668" s="79"/>
      <c r="S668" s="79"/>
      <c r="V668" s="79"/>
      <c r="W668" s="79"/>
      <c r="Z668" s="130"/>
      <c r="AB668" s="106"/>
    </row>
    <row r="669">
      <c r="C669" s="79"/>
      <c r="D669" s="79"/>
      <c r="E669" s="79"/>
      <c r="M669" s="79"/>
      <c r="R669" s="79"/>
      <c r="S669" s="79"/>
      <c r="V669" s="79"/>
      <c r="W669" s="79"/>
      <c r="Z669" s="130"/>
      <c r="AB669" s="106"/>
    </row>
    <row r="670">
      <c r="C670" s="79"/>
      <c r="D670" s="79"/>
      <c r="E670" s="79"/>
      <c r="M670" s="79"/>
      <c r="R670" s="79"/>
      <c r="S670" s="79"/>
      <c r="V670" s="79"/>
      <c r="W670" s="79"/>
      <c r="Z670" s="130"/>
      <c r="AB670" s="106"/>
    </row>
    <row r="671">
      <c r="C671" s="79"/>
      <c r="D671" s="79"/>
      <c r="E671" s="79"/>
      <c r="M671" s="79"/>
      <c r="R671" s="79"/>
      <c r="S671" s="79"/>
      <c r="V671" s="79"/>
      <c r="W671" s="79"/>
      <c r="Z671" s="130"/>
      <c r="AB671" s="106"/>
    </row>
    <row r="672">
      <c r="C672" s="79"/>
      <c r="D672" s="79"/>
      <c r="E672" s="79"/>
      <c r="M672" s="79"/>
      <c r="R672" s="79"/>
      <c r="S672" s="79"/>
      <c r="V672" s="79"/>
      <c r="W672" s="79"/>
      <c r="Z672" s="130"/>
      <c r="AB672" s="106"/>
    </row>
    <row r="673">
      <c r="C673" s="79"/>
      <c r="D673" s="79"/>
      <c r="E673" s="79"/>
      <c r="M673" s="79"/>
      <c r="R673" s="79"/>
      <c r="S673" s="79"/>
      <c r="V673" s="79"/>
      <c r="W673" s="79"/>
      <c r="Z673" s="130"/>
      <c r="AB673" s="106"/>
    </row>
    <row r="674">
      <c r="C674" s="79"/>
      <c r="D674" s="79"/>
      <c r="E674" s="79"/>
      <c r="M674" s="79"/>
      <c r="R674" s="79"/>
      <c r="S674" s="79"/>
      <c r="V674" s="79"/>
      <c r="W674" s="79"/>
      <c r="Z674" s="130"/>
      <c r="AB674" s="106"/>
    </row>
    <row r="675">
      <c r="C675" s="79"/>
      <c r="D675" s="79"/>
      <c r="E675" s="79"/>
      <c r="M675" s="79"/>
      <c r="R675" s="79"/>
      <c r="S675" s="79"/>
      <c r="V675" s="79"/>
      <c r="W675" s="79"/>
      <c r="Z675" s="130"/>
      <c r="AB675" s="106"/>
    </row>
    <row r="676">
      <c r="C676" s="79"/>
      <c r="D676" s="79"/>
      <c r="E676" s="79"/>
      <c r="M676" s="79"/>
      <c r="R676" s="79"/>
      <c r="S676" s="79"/>
      <c r="V676" s="79"/>
      <c r="W676" s="79"/>
      <c r="Z676" s="130"/>
      <c r="AB676" s="106"/>
    </row>
    <row r="677">
      <c r="C677" s="79"/>
      <c r="D677" s="79"/>
      <c r="E677" s="79"/>
      <c r="M677" s="79"/>
      <c r="R677" s="79"/>
      <c r="S677" s="79"/>
      <c r="V677" s="79"/>
      <c r="W677" s="79"/>
      <c r="Z677" s="130"/>
      <c r="AB677" s="106"/>
    </row>
    <row r="678">
      <c r="C678" s="79"/>
      <c r="D678" s="79"/>
      <c r="E678" s="79"/>
      <c r="M678" s="79"/>
      <c r="R678" s="79"/>
      <c r="S678" s="79"/>
      <c r="V678" s="79"/>
      <c r="W678" s="79"/>
      <c r="Z678" s="130"/>
      <c r="AB678" s="106"/>
    </row>
    <row r="679">
      <c r="C679" s="79"/>
      <c r="D679" s="79"/>
      <c r="E679" s="79"/>
      <c r="M679" s="79"/>
      <c r="R679" s="79"/>
      <c r="S679" s="79"/>
      <c r="V679" s="79"/>
      <c r="W679" s="79"/>
      <c r="Z679" s="130"/>
      <c r="AB679" s="106"/>
    </row>
    <row r="680">
      <c r="C680" s="79"/>
      <c r="D680" s="79"/>
      <c r="E680" s="79"/>
      <c r="M680" s="79"/>
      <c r="R680" s="79"/>
      <c r="S680" s="79"/>
      <c r="V680" s="79"/>
      <c r="W680" s="79"/>
      <c r="Z680" s="130"/>
      <c r="AB680" s="106"/>
    </row>
    <row r="681">
      <c r="C681" s="79"/>
      <c r="D681" s="79"/>
      <c r="E681" s="79"/>
      <c r="M681" s="79"/>
      <c r="R681" s="79"/>
      <c r="S681" s="79"/>
      <c r="V681" s="79"/>
      <c r="W681" s="79"/>
      <c r="Z681" s="130"/>
      <c r="AB681" s="106"/>
    </row>
    <row r="682">
      <c r="C682" s="79"/>
      <c r="D682" s="79"/>
      <c r="E682" s="79"/>
      <c r="M682" s="79"/>
      <c r="R682" s="79"/>
      <c r="S682" s="79"/>
      <c r="V682" s="79"/>
      <c r="W682" s="79"/>
      <c r="Z682" s="130"/>
      <c r="AB682" s="106"/>
    </row>
    <row r="683">
      <c r="C683" s="79"/>
      <c r="D683" s="79"/>
      <c r="E683" s="79"/>
      <c r="M683" s="79"/>
      <c r="R683" s="79"/>
      <c r="S683" s="79"/>
      <c r="V683" s="79"/>
      <c r="W683" s="79"/>
      <c r="Z683" s="130"/>
      <c r="AB683" s="106"/>
    </row>
    <row r="684">
      <c r="C684" s="79"/>
      <c r="D684" s="79"/>
      <c r="E684" s="79"/>
      <c r="M684" s="79"/>
      <c r="R684" s="79"/>
      <c r="S684" s="79"/>
      <c r="V684" s="79"/>
      <c r="W684" s="79"/>
      <c r="Z684" s="130"/>
      <c r="AB684" s="106"/>
    </row>
    <row r="685">
      <c r="C685" s="79"/>
      <c r="D685" s="79"/>
      <c r="E685" s="79"/>
      <c r="M685" s="79"/>
      <c r="R685" s="79"/>
      <c r="S685" s="79"/>
      <c r="V685" s="79"/>
      <c r="W685" s="79"/>
      <c r="Z685" s="130"/>
      <c r="AB685" s="106"/>
    </row>
    <row r="686">
      <c r="C686" s="79"/>
      <c r="D686" s="79"/>
      <c r="E686" s="79"/>
      <c r="M686" s="79"/>
      <c r="R686" s="79"/>
      <c r="S686" s="79"/>
      <c r="V686" s="79"/>
      <c r="W686" s="79"/>
      <c r="Z686" s="130"/>
      <c r="AB686" s="106"/>
    </row>
    <row r="687">
      <c r="C687" s="79"/>
      <c r="D687" s="79"/>
      <c r="E687" s="79"/>
      <c r="M687" s="79"/>
      <c r="R687" s="79"/>
      <c r="S687" s="79"/>
      <c r="V687" s="79"/>
      <c r="W687" s="79"/>
      <c r="Z687" s="130"/>
      <c r="AB687" s="106"/>
    </row>
    <row r="688">
      <c r="C688" s="79"/>
      <c r="D688" s="79"/>
      <c r="E688" s="79"/>
      <c r="M688" s="79"/>
      <c r="R688" s="79"/>
      <c r="S688" s="79"/>
      <c r="V688" s="79"/>
      <c r="W688" s="79"/>
      <c r="Z688" s="130"/>
      <c r="AB688" s="106"/>
    </row>
    <row r="689">
      <c r="C689" s="79"/>
      <c r="D689" s="79"/>
      <c r="E689" s="79"/>
      <c r="M689" s="79"/>
      <c r="R689" s="79"/>
      <c r="S689" s="79"/>
      <c r="V689" s="79"/>
      <c r="W689" s="79"/>
      <c r="Z689" s="130"/>
      <c r="AB689" s="106"/>
    </row>
    <row r="690">
      <c r="C690" s="79"/>
      <c r="D690" s="79"/>
      <c r="E690" s="79"/>
      <c r="M690" s="79"/>
      <c r="R690" s="79"/>
      <c r="S690" s="79"/>
      <c r="V690" s="79"/>
      <c r="W690" s="79"/>
      <c r="Z690" s="130"/>
      <c r="AB690" s="106"/>
    </row>
    <row r="691">
      <c r="C691" s="79"/>
      <c r="D691" s="79"/>
      <c r="E691" s="79"/>
      <c r="M691" s="79"/>
      <c r="R691" s="79"/>
      <c r="S691" s="79"/>
      <c r="V691" s="79"/>
      <c r="W691" s="79"/>
      <c r="Z691" s="130"/>
      <c r="AB691" s="106"/>
    </row>
    <row r="692">
      <c r="C692" s="79"/>
      <c r="D692" s="79"/>
      <c r="E692" s="79"/>
      <c r="M692" s="79"/>
      <c r="R692" s="79"/>
      <c r="S692" s="79"/>
      <c r="V692" s="79"/>
      <c r="W692" s="79"/>
      <c r="Z692" s="130"/>
      <c r="AB692" s="106"/>
    </row>
    <row r="693">
      <c r="C693" s="79"/>
      <c r="D693" s="79"/>
      <c r="E693" s="79"/>
      <c r="M693" s="79"/>
      <c r="R693" s="79"/>
      <c r="S693" s="79"/>
      <c r="V693" s="79"/>
      <c r="W693" s="79"/>
      <c r="Z693" s="130"/>
      <c r="AB693" s="106"/>
    </row>
    <row r="694">
      <c r="C694" s="79"/>
      <c r="D694" s="79"/>
      <c r="E694" s="79"/>
      <c r="M694" s="79"/>
      <c r="R694" s="79"/>
      <c r="S694" s="79"/>
      <c r="V694" s="79"/>
      <c r="W694" s="79"/>
      <c r="Z694" s="130"/>
      <c r="AB694" s="106"/>
    </row>
    <row r="695">
      <c r="C695" s="79"/>
      <c r="D695" s="79"/>
      <c r="E695" s="79"/>
      <c r="M695" s="79"/>
      <c r="R695" s="79"/>
      <c r="S695" s="79"/>
      <c r="V695" s="79"/>
      <c r="W695" s="79"/>
      <c r="Z695" s="130"/>
      <c r="AB695" s="106"/>
    </row>
    <row r="696">
      <c r="C696" s="79"/>
      <c r="D696" s="79"/>
      <c r="E696" s="79"/>
      <c r="M696" s="79"/>
      <c r="R696" s="79"/>
      <c r="S696" s="79"/>
      <c r="V696" s="79"/>
      <c r="W696" s="79"/>
      <c r="Z696" s="130"/>
      <c r="AB696" s="106"/>
    </row>
    <row r="697">
      <c r="C697" s="79"/>
      <c r="D697" s="79"/>
      <c r="E697" s="79"/>
      <c r="M697" s="79"/>
      <c r="R697" s="79"/>
      <c r="S697" s="79"/>
      <c r="V697" s="79"/>
      <c r="W697" s="79"/>
      <c r="Z697" s="130"/>
      <c r="AB697" s="106"/>
    </row>
    <row r="698">
      <c r="C698" s="79"/>
      <c r="D698" s="79"/>
      <c r="E698" s="79"/>
      <c r="M698" s="79"/>
      <c r="R698" s="79"/>
      <c r="S698" s="79"/>
      <c r="V698" s="79"/>
      <c r="W698" s="79"/>
      <c r="Z698" s="130"/>
      <c r="AB698" s="106"/>
    </row>
    <row r="699">
      <c r="C699" s="79"/>
      <c r="D699" s="79"/>
      <c r="E699" s="79"/>
      <c r="M699" s="79"/>
      <c r="R699" s="79"/>
      <c r="S699" s="79"/>
      <c r="V699" s="79"/>
      <c r="W699" s="79"/>
      <c r="Z699" s="130"/>
      <c r="AB699" s="106"/>
    </row>
    <row r="700">
      <c r="C700" s="79"/>
      <c r="D700" s="79"/>
      <c r="E700" s="79"/>
      <c r="M700" s="79"/>
      <c r="R700" s="79"/>
      <c r="S700" s="79"/>
      <c r="V700" s="79"/>
      <c r="W700" s="79"/>
      <c r="Z700" s="130"/>
      <c r="AB700" s="106"/>
    </row>
    <row r="701">
      <c r="C701" s="79"/>
      <c r="D701" s="79"/>
      <c r="E701" s="79"/>
      <c r="M701" s="79"/>
      <c r="R701" s="79"/>
      <c r="S701" s="79"/>
      <c r="V701" s="79"/>
      <c r="W701" s="79"/>
      <c r="Z701" s="130"/>
      <c r="AB701" s="106"/>
    </row>
    <row r="702">
      <c r="C702" s="79"/>
      <c r="D702" s="79"/>
      <c r="E702" s="79"/>
      <c r="M702" s="79"/>
      <c r="R702" s="79"/>
      <c r="S702" s="79"/>
      <c r="V702" s="79"/>
      <c r="W702" s="79"/>
      <c r="Z702" s="130"/>
      <c r="AB702" s="106"/>
    </row>
    <row r="703">
      <c r="C703" s="79"/>
      <c r="D703" s="79"/>
      <c r="E703" s="79"/>
      <c r="M703" s="79"/>
      <c r="R703" s="79"/>
      <c r="S703" s="79"/>
      <c r="V703" s="79"/>
      <c r="W703" s="79"/>
      <c r="Z703" s="130"/>
      <c r="AB703" s="106"/>
    </row>
    <row r="704">
      <c r="C704" s="79"/>
      <c r="D704" s="79"/>
      <c r="E704" s="79"/>
      <c r="M704" s="79"/>
      <c r="R704" s="79"/>
      <c r="S704" s="79"/>
      <c r="V704" s="79"/>
      <c r="W704" s="79"/>
      <c r="Z704" s="130"/>
      <c r="AB704" s="106"/>
    </row>
    <row r="705">
      <c r="C705" s="79"/>
      <c r="D705" s="79"/>
      <c r="E705" s="79"/>
      <c r="M705" s="79"/>
      <c r="R705" s="79"/>
      <c r="S705" s="79"/>
      <c r="V705" s="79"/>
      <c r="W705" s="79"/>
      <c r="Z705" s="130"/>
      <c r="AB705" s="106"/>
    </row>
    <row r="706">
      <c r="C706" s="79"/>
      <c r="D706" s="79"/>
      <c r="E706" s="79"/>
      <c r="M706" s="79"/>
      <c r="R706" s="79"/>
      <c r="S706" s="79"/>
      <c r="V706" s="79"/>
      <c r="W706" s="79"/>
      <c r="Z706" s="130"/>
      <c r="AB706" s="106"/>
    </row>
    <row r="707">
      <c r="C707" s="79"/>
      <c r="D707" s="79"/>
      <c r="E707" s="79"/>
      <c r="M707" s="79"/>
      <c r="R707" s="79"/>
      <c r="S707" s="79"/>
      <c r="V707" s="79"/>
      <c r="W707" s="79"/>
      <c r="Z707" s="130"/>
      <c r="AB707" s="106"/>
    </row>
    <row r="708">
      <c r="C708" s="79"/>
      <c r="D708" s="79"/>
      <c r="E708" s="79"/>
      <c r="M708" s="79"/>
      <c r="R708" s="79"/>
      <c r="S708" s="79"/>
      <c r="V708" s="79"/>
      <c r="W708" s="79"/>
      <c r="Z708" s="130"/>
      <c r="AB708" s="106"/>
    </row>
    <row r="709">
      <c r="C709" s="79"/>
      <c r="D709" s="79"/>
      <c r="E709" s="79"/>
      <c r="M709" s="79"/>
      <c r="R709" s="79"/>
      <c r="S709" s="79"/>
      <c r="V709" s="79"/>
      <c r="W709" s="79"/>
      <c r="Z709" s="130"/>
      <c r="AB709" s="106"/>
    </row>
    <row r="710">
      <c r="C710" s="79"/>
      <c r="D710" s="79"/>
      <c r="E710" s="79"/>
      <c r="M710" s="79"/>
      <c r="R710" s="79"/>
      <c r="S710" s="79"/>
      <c r="V710" s="79"/>
      <c r="W710" s="79"/>
      <c r="Z710" s="130"/>
      <c r="AB710" s="106"/>
    </row>
    <row r="711">
      <c r="C711" s="79"/>
      <c r="D711" s="79"/>
      <c r="E711" s="79"/>
      <c r="M711" s="79"/>
      <c r="R711" s="79"/>
      <c r="S711" s="79"/>
      <c r="V711" s="79"/>
      <c r="W711" s="79"/>
      <c r="Z711" s="130"/>
      <c r="AB711" s="106"/>
    </row>
    <row r="712">
      <c r="C712" s="79"/>
      <c r="D712" s="79"/>
      <c r="E712" s="79"/>
      <c r="M712" s="79"/>
      <c r="R712" s="79"/>
      <c r="S712" s="79"/>
      <c r="V712" s="79"/>
      <c r="W712" s="79"/>
      <c r="Z712" s="130"/>
      <c r="AB712" s="106"/>
    </row>
    <row r="713">
      <c r="C713" s="79"/>
      <c r="D713" s="79"/>
      <c r="E713" s="79"/>
      <c r="M713" s="79"/>
      <c r="R713" s="79"/>
      <c r="S713" s="79"/>
      <c r="V713" s="79"/>
      <c r="W713" s="79"/>
      <c r="Z713" s="130"/>
      <c r="AB713" s="106"/>
    </row>
    <row r="714">
      <c r="C714" s="79"/>
      <c r="D714" s="79"/>
      <c r="E714" s="79"/>
      <c r="M714" s="79"/>
      <c r="R714" s="79"/>
      <c r="S714" s="79"/>
      <c r="V714" s="79"/>
      <c r="W714" s="79"/>
      <c r="Z714" s="130"/>
      <c r="AB714" s="106"/>
    </row>
    <row r="715">
      <c r="C715" s="79"/>
      <c r="D715" s="79"/>
      <c r="E715" s="79"/>
      <c r="M715" s="79"/>
      <c r="R715" s="79"/>
      <c r="S715" s="79"/>
      <c r="V715" s="79"/>
      <c r="W715" s="79"/>
      <c r="Z715" s="130"/>
      <c r="AB715" s="106"/>
    </row>
    <row r="716">
      <c r="C716" s="79"/>
      <c r="D716" s="79"/>
      <c r="E716" s="79"/>
      <c r="M716" s="79"/>
      <c r="R716" s="79"/>
      <c r="S716" s="79"/>
      <c r="V716" s="79"/>
      <c r="W716" s="79"/>
      <c r="Z716" s="130"/>
      <c r="AB716" s="106"/>
    </row>
    <row r="717">
      <c r="C717" s="79"/>
      <c r="D717" s="79"/>
      <c r="E717" s="79"/>
      <c r="M717" s="79"/>
      <c r="R717" s="79"/>
      <c r="S717" s="79"/>
      <c r="V717" s="79"/>
      <c r="W717" s="79"/>
      <c r="Z717" s="130"/>
      <c r="AB717" s="106"/>
    </row>
    <row r="718">
      <c r="C718" s="79"/>
      <c r="D718" s="79"/>
      <c r="E718" s="79"/>
      <c r="M718" s="79"/>
      <c r="R718" s="79"/>
      <c r="S718" s="79"/>
      <c r="V718" s="79"/>
      <c r="W718" s="79"/>
      <c r="Z718" s="130"/>
      <c r="AB718" s="106"/>
    </row>
    <row r="719">
      <c r="C719" s="79"/>
      <c r="D719" s="79"/>
      <c r="E719" s="79"/>
      <c r="M719" s="79"/>
      <c r="R719" s="79"/>
      <c r="S719" s="79"/>
      <c r="V719" s="79"/>
      <c r="W719" s="79"/>
      <c r="Z719" s="130"/>
      <c r="AB719" s="106"/>
    </row>
    <row r="720">
      <c r="C720" s="79"/>
      <c r="D720" s="79"/>
      <c r="E720" s="79"/>
      <c r="M720" s="79"/>
      <c r="R720" s="79"/>
      <c r="S720" s="79"/>
      <c r="V720" s="79"/>
      <c r="W720" s="79"/>
      <c r="Z720" s="130"/>
      <c r="AB720" s="106"/>
    </row>
    <row r="721">
      <c r="C721" s="79"/>
      <c r="D721" s="79"/>
      <c r="E721" s="79"/>
      <c r="M721" s="79"/>
      <c r="R721" s="79"/>
      <c r="S721" s="79"/>
      <c r="V721" s="79"/>
      <c r="W721" s="79"/>
      <c r="Z721" s="130"/>
      <c r="AB721" s="106"/>
    </row>
    <row r="722">
      <c r="C722" s="79"/>
      <c r="D722" s="79"/>
      <c r="E722" s="79"/>
      <c r="M722" s="79"/>
      <c r="R722" s="79"/>
      <c r="S722" s="79"/>
      <c r="V722" s="79"/>
      <c r="W722" s="79"/>
      <c r="Z722" s="130"/>
      <c r="AB722" s="106"/>
    </row>
    <row r="723">
      <c r="C723" s="79"/>
      <c r="D723" s="79"/>
      <c r="E723" s="79"/>
      <c r="M723" s="79"/>
      <c r="R723" s="79"/>
      <c r="S723" s="79"/>
      <c r="V723" s="79"/>
      <c r="W723" s="79"/>
      <c r="Z723" s="130"/>
      <c r="AB723" s="106"/>
    </row>
    <row r="724">
      <c r="C724" s="79"/>
      <c r="D724" s="79"/>
      <c r="E724" s="79"/>
      <c r="M724" s="79"/>
      <c r="R724" s="79"/>
      <c r="S724" s="79"/>
      <c r="V724" s="79"/>
      <c r="W724" s="79"/>
      <c r="Z724" s="130"/>
      <c r="AB724" s="106"/>
    </row>
    <row r="725">
      <c r="C725" s="79"/>
      <c r="D725" s="79"/>
      <c r="E725" s="79"/>
      <c r="M725" s="79"/>
      <c r="R725" s="79"/>
      <c r="S725" s="79"/>
      <c r="V725" s="79"/>
      <c r="W725" s="79"/>
      <c r="Z725" s="130"/>
      <c r="AB725" s="106"/>
    </row>
    <row r="726">
      <c r="C726" s="79"/>
      <c r="D726" s="79"/>
      <c r="E726" s="79"/>
      <c r="M726" s="79"/>
      <c r="R726" s="79"/>
      <c r="S726" s="79"/>
      <c r="V726" s="79"/>
      <c r="W726" s="79"/>
      <c r="Z726" s="130"/>
      <c r="AB726" s="106"/>
    </row>
    <row r="727">
      <c r="C727" s="79"/>
      <c r="D727" s="79"/>
      <c r="E727" s="79"/>
      <c r="M727" s="79"/>
      <c r="R727" s="79"/>
      <c r="S727" s="79"/>
      <c r="V727" s="79"/>
      <c r="W727" s="79"/>
      <c r="Z727" s="130"/>
      <c r="AB727" s="106"/>
    </row>
    <row r="728">
      <c r="C728" s="79"/>
      <c r="D728" s="79"/>
      <c r="E728" s="79"/>
      <c r="M728" s="79"/>
      <c r="R728" s="79"/>
      <c r="S728" s="79"/>
      <c r="V728" s="79"/>
      <c r="W728" s="79"/>
      <c r="Z728" s="130"/>
      <c r="AB728" s="106"/>
    </row>
    <row r="729">
      <c r="C729" s="79"/>
      <c r="D729" s="79"/>
      <c r="E729" s="79"/>
      <c r="M729" s="79"/>
      <c r="R729" s="79"/>
      <c r="S729" s="79"/>
      <c r="V729" s="79"/>
      <c r="W729" s="79"/>
      <c r="Z729" s="130"/>
      <c r="AB729" s="106"/>
    </row>
    <row r="730">
      <c r="C730" s="79"/>
      <c r="D730" s="79"/>
      <c r="E730" s="79"/>
      <c r="M730" s="79"/>
      <c r="R730" s="79"/>
      <c r="S730" s="79"/>
      <c r="V730" s="79"/>
      <c r="W730" s="79"/>
      <c r="Z730" s="130"/>
      <c r="AB730" s="106"/>
    </row>
    <row r="731">
      <c r="C731" s="79"/>
      <c r="D731" s="79"/>
      <c r="E731" s="79"/>
      <c r="M731" s="79"/>
      <c r="R731" s="79"/>
      <c r="S731" s="79"/>
      <c r="V731" s="79"/>
      <c r="W731" s="79"/>
      <c r="Z731" s="130"/>
      <c r="AB731" s="106"/>
    </row>
    <row r="732">
      <c r="C732" s="79"/>
      <c r="D732" s="79"/>
      <c r="E732" s="79"/>
      <c r="M732" s="79"/>
      <c r="R732" s="79"/>
      <c r="S732" s="79"/>
      <c r="V732" s="79"/>
      <c r="W732" s="79"/>
      <c r="Z732" s="130"/>
      <c r="AB732" s="106"/>
    </row>
    <row r="733">
      <c r="C733" s="79"/>
      <c r="D733" s="79"/>
      <c r="E733" s="79"/>
      <c r="M733" s="79"/>
      <c r="R733" s="79"/>
      <c r="S733" s="79"/>
      <c r="V733" s="79"/>
      <c r="W733" s="79"/>
      <c r="Z733" s="130"/>
      <c r="AB733" s="106"/>
    </row>
    <row r="734">
      <c r="C734" s="79"/>
      <c r="D734" s="79"/>
      <c r="E734" s="79"/>
      <c r="M734" s="79"/>
      <c r="R734" s="79"/>
      <c r="S734" s="79"/>
      <c r="V734" s="79"/>
      <c r="W734" s="79"/>
      <c r="Z734" s="130"/>
      <c r="AB734" s="106"/>
    </row>
    <row r="735">
      <c r="C735" s="79"/>
      <c r="D735" s="79"/>
      <c r="E735" s="79"/>
      <c r="M735" s="79"/>
      <c r="R735" s="79"/>
      <c r="S735" s="79"/>
      <c r="V735" s="79"/>
      <c r="W735" s="79"/>
      <c r="Z735" s="130"/>
      <c r="AB735" s="106"/>
    </row>
    <row r="736">
      <c r="C736" s="79"/>
      <c r="D736" s="79"/>
      <c r="E736" s="79"/>
      <c r="M736" s="79"/>
      <c r="R736" s="79"/>
      <c r="S736" s="79"/>
      <c r="V736" s="79"/>
      <c r="W736" s="79"/>
      <c r="Z736" s="130"/>
      <c r="AB736" s="106"/>
    </row>
    <row r="737">
      <c r="C737" s="79"/>
      <c r="D737" s="79"/>
      <c r="E737" s="79"/>
      <c r="M737" s="79"/>
      <c r="R737" s="79"/>
      <c r="S737" s="79"/>
      <c r="V737" s="79"/>
      <c r="W737" s="79"/>
      <c r="Z737" s="130"/>
      <c r="AB737" s="106"/>
    </row>
    <row r="738">
      <c r="C738" s="79"/>
      <c r="D738" s="79"/>
      <c r="E738" s="79"/>
      <c r="M738" s="79"/>
      <c r="R738" s="79"/>
      <c r="S738" s="79"/>
      <c r="V738" s="79"/>
      <c r="W738" s="79"/>
      <c r="Z738" s="130"/>
      <c r="AB738" s="106"/>
    </row>
    <row r="739">
      <c r="C739" s="79"/>
      <c r="D739" s="79"/>
      <c r="E739" s="79"/>
      <c r="M739" s="79"/>
      <c r="R739" s="79"/>
      <c r="S739" s="79"/>
      <c r="V739" s="79"/>
      <c r="W739" s="79"/>
      <c r="Z739" s="130"/>
      <c r="AB739" s="106"/>
    </row>
    <row r="740">
      <c r="C740" s="79"/>
      <c r="D740" s="79"/>
      <c r="E740" s="79"/>
      <c r="M740" s="79"/>
      <c r="R740" s="79"/>
      <c r="S740" s="79"/>
      <c r="V740" s="79"/>
      <c r="W740" s="79"/>
      <c r="Z740" s="130"/>
      <c r="AB740" s="106"/>
    </row>
    <row r="741">
      <c r="C741" s="79"/>
      <c r="D741" s="79"/>
      <c r="E741" s="79"/>
      <c r="M741" s="79"/>
      <c r="R741" s="79"/>
      <c r="S741" s="79"/>
      <c r="V741" s="79"/>
      <c r="W741" s="79"/>
      <c r="Z741" s="130"/>
      <c r="AB741" s="106"/>
    </row>
    <row r="742">
      <c r="C742" s="79"/>
      <c r="D742" s="79"/>
      <c r="E742" s="79"/>
      <c r="M742" s="79"/>
      <c r="R742" s="79"/>
      <c r="S742" s="79"/>
      <c r="V742" s="79"/>
      <c r="W742" s="79"/>
      <c r="Z742" s="130"/>
      <c r="AB742" s="106"/>
    </row>
    <row r="743">
      <c r="C743" s="79"/>
      <c r="D743" s="79"/>
      <c r="E743" s="79"/>
      <c r="M743" s="79"/>
      <c r="R743" s="79"/>
      <c r="S743" s="79"/>
      <c r="V743" s="79"/>
      <c r="W743" s="79"/>
      <c r="Z743" s="130"/>
      <c r="AB743" s="106"/>
    </row>
    <row r="744">
      <c r="C744" s="79"/>
      <c r="D744" s="79"/>
      <c r="E744" s="79"/>
      <c r="M744" s="79"/>
      <c r="R744" s="79"/>
      <c r="S744" s="79"/>
      <c r="V744" s="79"/>
      <c r="W744" s="79"/>
      <c r="Z744" s="130"/>
      <c r="AB744" s="106"/>
    </row>
    <row r="745">
      <c r="C745" s="79"/>
      <c r="D745" s="79"/>
      <c r="E745" s="79"/>
      <c r="M745" s="79"/>
      <c r="R745" s="79"/>
      <c r="S745" s="79"/>
      <c r="V745" s="79"/>
      <c r="W745" s="79"/>
      <c r="Z745" s="130"/>
      <c r="AB745" s="106"/>
    </row>
    <row r="746">
      <c r="C746" s="79"/>
      <c r="D746" s="79"/>
      <c r="E746" s="79"/>
      <c r="M746" s="79"/>
      <c r="R746" s="79"/>
      <c r="S746" s="79"/>
      <c r="V746" s="79"/>
      <c r="W746" s="79"/>
      <c r="Z746" s="130"/>
      <c r="AB746" s="106"/>
    </row>
    <row r="747">
      <c r="C747" s="79"/>
      <c r="D747" s="79"/>
      <c r="E747" s="79"/>
      <c r="M747" s="79"/>
      <c r="R747" s="79"/>
      <c r="S747" s="79"/>
      <c r="V747" s="79"/>
      <c r="W747" s="79"/>
      <c r="Z747" s="130"/>
      <c r="AB747" s="106"/>
    </row>
    <row r="748">
      <c r="C748" s="79"/>
      <c r="D748" s="79"/>
      <c r="E748" s="79"/>
      <c r="M748" s="79"/>
      <c r="R748" s="79"/>
      <c r="S748" s="79"/>
      <c r="V748" s="79"/>
      <c r="W748" s="79"/>
      <c r="Z748" s="130"/>
      <c r="AB748" s="106"/>
    </row>
    <row r="749">
      <c r="C749" s="79"/>
      <c r="D749" s="79"/>
      <c r="E749" s="79"/>
      <c r="M749" s="79"/>
      <c r="R749" s="79"/>
      <c r="S749" s="79"/>
      <c r="V749" s="79"/>
      <c r="W749" s="79"/>
      <c r="Z749" s="130"/>
      <c r="AB749" s="106"/>
    </row>
    <row r="750">
      <c r="C750" s="79"/>
      <c r="D750" s="79"/>
      <c r="E750" s="79"/>
      <c r="M750" s="79"/>
      <c r="R750" s="79"/>
      <c r="S750" s="79"/>
      <c r="V750" s="79"/>
      <c r="W750" s="79"/>
      <c r="Z750" s="130"/>
      <c r="AB750" s="106"/>
    </row>
    <row r="751">
      <c r="C751" s="79"/>
      <c r="D751" s="79"/>
      <c r="E751" s="79"/>
      <c r="M751" s="79"/>
      <c r="R751" s="79"/>
      <c r="S751" s="79"/>
      <c r="V751" s="79"/>
      <c r="W751" s="79"/>
      <c r="Z751" s="130"/>
      <c r="AB751" s="106"/>
    </row>
    <row r="752">
      <c r="C752" s="79"/>
      <c r="D752" s="79"/>
      <c r="E752" s="79"/>
      <c r="M752" s="79"/>
      <c r="R752" s="79"/>
      <c r="S752" s="79"/>
      <c r="V752" s="79"/>
      <c r="W752" s="79"/>
      <c r="Z752" s="130"/>
      <c r="AB752" s="106"/>
    </row>
    <row r="753">
      <c r="C753" s="79"/>
      <c r="D753" s="79"/>
      <c r="E753" s="79"/>
      <c r="M753" s="79"/>
      <c r="R753" s="79"/>
      <c r="S753" s="79"/>
      <c r="V753" s="79"/>
      <c r="W753" s="79"/>
      <c r="Z753" s="130"/>
      <c r="AB753" s="106"/>
    </row>
    <row r="754">
      <c r="C754" s="79"/>
      <c r="D754" s="79"/>
      <c r="E754" s="79"/>
      <c r="M754" s="79"/>
      <c r="R754" s="79"/>
      <c r="S754" s="79"/>
      <c r="V754" s="79"/>
      <c r="W754" s="79"/>
      <c r="Z754" s="130"/>
      <c r="AB754" s="106"/>
    </row>
    <row r="755">
      <c r="C755" s="79"/>
      <c r="D755" s="79"/>
      <c r="E755" s="79"/>
      <c r="M755" s="79"/>
      <c r="R755" s="79"/>
      <c r="S755" s="79"/>
      <c r="V755" s="79"/>
      <c r="W755" s="79"/>
      <c r="Z755" s="130"/>
      <c r="AB755" s="106"/>
    </row>
    <row r="756">
      <c r="C756" s="79"/>
      <c r="D756" s="79"/>
      <c r="E756" s="79"/>
      <c r="M756" s="79"/>
      <c r="R756" s="79"/>
      <c r="S756" s="79"/>
      <c r="V756" s="79"/>
      <c r="W756" s="79"/>
      <c r="Z756" s="130"/>
      <c r="AB756" s="106"/>
    </row>
    <row r="757">
      <c r="C757" s="79"/>
      <c r="D757" s="79"/>
      <c r="E757" s="79"/>
      <c r="M757" s="79"/>
      <c r="R757" s="79"/>
      <c r="S757" s="79"/>
      <c r="V757" s="79"/>
      <c r="W757" s="79"/>
      <c r="Z757" s="130"/>
      <c r="AB757" s="106"/>
    </row>
    <row r="758">
      <c r="C758" s="79"/>
      <c r="D758" s="79"/>
      <c r="E758" s="79"/>
      <c r="M758" s="79"/>
      <c r="R758" s="79"/>
      <c r="S758" s="79"/>
      <c r="V758" s="79"/>
      <c r="W758" s="79"/>
      <c r="Z758" s="130"/>
      <c r="AB758" s="106"/>
    </row>
    <row r="759">
      <c r="C759" s="79"/>
      <c r="D759" s="79"/>
      <c r="E759" s="79"/>
      <c r="M759" s="79"/>
      <c r="R759" s="79"/>
      <c r="S759" s="79"/>
      <c r="V759" s="79"/>
      <c r="W759" s="79"/>
      <c r="Z759" s="130"/>
      <c r="AB759" s="106"/>
    </row>
    <row r="760">
      <c r="C760" s="79"/>
      <c r="D760" s="79"/>
      <c r="E760" s="79"/>
      <c r="M760" s="79"/>
      <c r="R760" s="79"/>
      <c r="S760" s="79"/>
      <c r="V760" s="79"/>
      <c r="W760" s="79"/>
      <c r="Z760" s="130"/>
      <c r="AB760" s="106"/>
    </row>
    <row r="761">
      <c r="C761" s="79"/>
      <c r="D761" s="79"/>
      <c r="E761" s="79"/>
      <c r="M761" s="79"/>
      <c r="R761" s="79"/>
      <c r="S761" s="79"/>
      <c r="V761" s="79"/>
      <c r="W761" s="79"/>
      <c r="Z761" s="130"/>
      <c r="AB761" s="106"/>
    </row>
    <row r="762">
      <c r="C762" s="79"/>
      <c r="D762" s="79"/>
      <c r="E762" s="79"/>
      <c r="M762" s="79"/>
      <c r="R762" s="79"/>
      <c r="S762" s="79"/>
      <c r="V762" s="79"/>
      <c r="W762" s="79"/>
      <c r="Z762" s="130"/>
      <c r="AB762" s="106"/>
    </row>
    <row r="763">
      <c r="C763" s="79"/>
      <c r="D763" s="79"/>
      <c r="E763" s="79"/>
      <c r="M763" s="79"/>
      <c r="R763" s="79"/>
      <c r="S763" s="79"/>
      <c r="V763" s="79"/>
      <c r="W763" s="79"/>
      <c r="Z763" s="130"/>
      <c r="AB763" s="106"/>
    </row>
    <row r="764">
      <c r="C764" s="79"/>
      <c r="D764" s="79"/>
      <c r="E764" s="79"/>
      <c r="M764" s="79"/>
      <c r="R764" s="79"/>
      <c r="S764" s="79"/>
      <c r="V764" s="79"/>
      <c r="W764" s="79"/>
      <c r="Z764" s="130"/>
      <c r="AB764" s="106"/>
    </row>
    <row r="765">
      <c r="C765" s="79"/>
      <c r="D765" s="79"/>
      <c r="E765" s="79"/>
      <c r="M765" s="79"/>
      <c r="R765" s="79"/>
      <c r="S765" s="79"/>
      <c r="V765" s="79"/>
      <c r="W765" s="79"/>
      <c r="Z765" s="130"/>
      <c r="AB765" s="106"/>
    </row>
    <row r="766">
      <c r="C766" s="79"/>
      <c r="D766" s="79"/>
      <c r="E766" s="79"/>
      <c r="M766" s="79"/>
      <c r="R766" s="79"/>
      <c r="S766" s="79"/>
      <c r="V766" s="79"/>
      <c r="W766" s="79"/>
      <c r="Z766" s="130"/>
      <c r="AB766" s="106"/>
    </row>
    <row r="767">
      <c r="C767" s="79"/>
      <c r="D767" s="79"/>
      <c r="E767" s="79"/>
      <c r="M767" s="79"/>
      <c r="R767" s="79"/>
      <c r="S767" s="79"/>
      <c r="V767" s="79"/>
      <c r="W767" s="79"/>
      <c r="Z767" s="130"/>
      <c r="AB767" s="106"/>
    </row>
    <row r="768">
      <c r="C768" s="79"/>
      <c r="D768" s="79"/>
      <c r="E768" s="79"/>
      <c r="M768" s="79"/>
      <c r="R768" s="79"/>
      <c r="S768" s="79"/>
      <c r="V768" s="79"/>
      <c r="W768" s="79"/>
      <c r="Z768" s="130"/>
      <c r="AB768" s="106"/>
    </row>
    <row r="769">
      <c r="C769" s="79"/>
      <c r="D769" s="79"/>
      <c r="E769" s="79"/>
      <c r="M769" s="79"/>
      <c r="R769" s="79"/>
      <c r="S769" s="79"/>
      <c r="V769" s="79"/>
      <c r="W769" s="79"/>
      <c r="Z769" s="130"/>
      <c r="AB769" s="106"/>
    </row>
    <row r="770">
      <c r="C770" s="79"/>
      <c r="D770" s="79"/>
      <c r="E770" s="79"/>
      <c r="M770" s="79"/>
      <c r="R770" s="79"/>
      <c r="S770" s="79"/>
      <c r="V770" s="79"/>
      <c r="W770" s="79"/>
      <c r="Z770" s="130"/>
      <c r="AB770" s="106"/>
    </row>
    <row r="771">
      <c r="C771" s="79"/>
      <c r="D771" s="79"/>
      <c r="E771" s="79"/>
      <c r="M771" s="79"/>
      <c r="R771" s="79"/>
      <c r="S771" s="79"/>
      <c r="V771" s="79"/>
      <c r="W771" s="79"/>
      <c r="Z771" s="130"/>
      <c r="AB771" s="106"/>
    </row>
    <row r="772">
      <c r="C772" s="79"/>
      <c r="D772" s="79"/>
      <c r="E772" s="79"/>
      <c r="M772" s="79"/>
      <c r="R772" s="79"/>
      <c r="S772" s="79"/>
      <c r="V772" s="79"/>
      <c r="W772" s="79"/>
      <c r="Z772" s="130"/>
      <c r="AB772" s="106"/>
    </row>
    <row r="773">
      <c r="C773" s="79"/>
      <c r="D773" s="79"/>
      <c r="E773" s="79"/>
      <c r="M773" s="79"/>
      <c r="R773" s="79"/>
      <c r="S773" s="79"/>
      <c r="V773" s="79"/>
      <c r="W773" s="79"/>
      <c r="Z773" s="130"/>
      <c r="AB773" s="106"/>
    </row>
    <row r="774">
      <c r="C774" s="79"/>
      <c r="D774" s="79"/>
      <c r="E774" s="79"/>
      <c r="M774" s="79"/>
      <c r="R774" s="79"/>
      <c r="S774" s="79"/>
      <c r="V774" s="79"/>
      <c r="W774" s="79"/>
      <c r="Z774" s="130"/>
      <c r="AB774" s="106"/>
    </row>
    <row r="775">
      <c r="C775" s="79"/>
      <c r="D775" s="79"/>
      <c r="E775" s="79"/>
      <c r="M775" s="79"/>
      <c r="R775" s="79"/>
      <c r="S775" s="79"/>
      <c r="V775" s="79"/>
      <c r="W775" s="79"/>
      <c r="Z775" s="130"/>
      <c r="AB775" s="106"/>
    </row>
    <row r="776">
      <c r="C776" s="79"/>
      <c r="D776" s="79"/>
      <c r="E776" s="79"/>
      <c r="M776" s="79"/>
      <c r="R776" s="79"/>
      <c r="S776" s="79"/>
      <c r="V776" s="79"/>
      <c r="W776" s="79"/>
      <c r="Z776" s="130"/>
      <c r="AB776" s="106"/>
    </row>
    <row r="777">
      <c r="C777" s="79"/>
      <c r="D777" s="79"/>
      <c r="E777" s="79"/>
      <c r="M777" s="79"/>
      <c r="R777" s="79"/>
      <c r="S777" s="79"/>
      <c r="V777" s="79"/>
      <c r="W777" s="79"/>
      <c r="Z777" s="130"/>
      <c r="AB777" s="106"/>
    </row>
    <row r="778">
      <c r="C778" s="79"/>
      <c r="D778" s="79"/>
      <c r="E778" s="79"/>
      <c r="M778" s="79"/>
      <c r="R778" s="79"/>
      <c r="S778" s="79"/>
      <c r="V778" s="79"/>
      <c r="W778" s="79"/>
      <c r="Z778" s="130"/>
      <c r="AB778" s="106"/>
    </row>
    <row r="779">
      <c r="C779" s="79"/>
      <c r="D779" s="79"/>
      <c r="E779" s="79"/>
      <c r="M779" s="79"/>
      <c r="R779" s="79"/>
      <c r="S779" s="79"/>
      <c r="V779" s="79"/>
      <c r="W779" s="79"/>
      <c r="Z779" s="130"/>
      <c r="AB779" s="106"/>
    </row>
    <row r="780">
      <c r="C780" s="79"/>
      <c r="D780" s="79"/>
      <c r="E780" s="79"/>
      <c r="M780" s="79"/>
      <c r="R780" s="79"/>
      <c r="S780" s="79"/>
      <c r="V780" s="79"/>
      <c r="W780" s="79"/>
      <c r="Z780" s="130"/>
      <c r="AB780" s="106"/>
    </row>
    <row r="781">
      <c r="C781" s="79"/>
      <c r="D781" s="79"/>
      <c r="E781" s="79"/>
      <c r="M781" s="79"/>
      <c r="R781" s="79"/>
      <c r="S781" s="79"/>
      <c r="V781" s="79"/>
      <c r="W781" s="79"/>
      <c r="Z781" s="130"/>
      <c r="AB781" s="106"/>
    </row>
    <row r="782">
      <c r="C782" s="79"/>
      <c r="D782" s="79"/>
      <c r="E782" s="79"/>
      <c r="M782" s="79"/>
      <c r="R782" s="79"/>
      <c r="S782" s="79"/>
      <c r="V782" s="79"/>
      <c r="W782" s="79"/>
      <c r="Z782" s="130"/>
      <c r="AB782" s="106"/>
    </row>
    <row r="783">
      <c r="C783" s="79"/>
      <c r="D783" s="79"/>
      <c r="E783" s="79"/>
      <c r="M783" s="79"/>
      <c r="R783" s="79"/>
      <c r="S783" s="79"/>
      <c r="V783" s="79"/>
      <c r="W783" s="79"/>
      <c r="Z783" s="130"/>
      <c r="AB783" s="106"/>
    </row>
    <row r="784">
      <c r="C784" s="79"/>
      <c r="D784" s="79"/>
      <c r="E784" s="79"/>
      <c r="M784" s="79"/>
      <c r="R784" s="79"/>
      <c r="S784" s="79"/>
      <c r="V784" s="79"/>
      <c r="W784" s="79"/>
      <c r="Z784" s="130"/>
      <c r="AB784" s="106"/>
    </row>
    <row r="785">
      <c r="C785" s="79"/>
      <c r="D785" s="79"/>
      <c r="E785" s="79"/>
      <c r="M785" s="79"/>
      <c r="R785" s="79"/>
      <c r="S785" s="79"/>
      <c r="V785" s="79"/>
      <c r="W785" s="79"/>
      <c r="Z785" s="130"/>
      <c r="AB785" s="106"/>
    </row>
    <row r="786">
      <c r="C786" s="79"/>
      <c r="D786" s="79"/>
      <c r="E786" s="79"/>
      <c r="M786" s="79"/>
      <c r="R786" s="79"/>
      <c r="S786" s="79"/>
      <c r="V786" s="79"/>
      <c r="W786" s="79"/>
      <c r="Z786" s="130"/>
      <c r="AB786" s="106"/>
    </row>
    <row r="787">
      <c r="C787" s="79"/>
      <c r="D787" s="79"/>
      <c r="E787" s="79"/>
      <c r="M787" s="79"/>
      <c r="R787" s="79"/>
      <c r="S787" s="79"/>
      <c r="V787" s="79"/>
      <c r="W787" s="79"/>
      <c r="Z787" s="130"/>
      <c r="AB787" s="106"/>
    </row>
    <row r="788">
      <c r="C788" s="79"/>
      <c r="D788" s="79"/>
      <c r="E788" s="79"/>
      <c r="M788" s="79"/>
      <c r="R788" s="79"/>
      <c r="S788" s="79"/>
      <c r="V788" s="79"/>
      <c r="W788" s="79"/>
      <c r="Z788" s="130"/>
      <c r="AB788" s="106"/>
    </row>
    <row r="789">
      <c r="C789" s="79"/>
      <c r="D789" s="79"/>
      <c r="E789" s="79"/>
      <c r="M789" s="79"/>
      <c r="R789" s="79"/>
      <c r="S789" s="79"/>
      <c r="V789" s="79"/>
      <c r="W789" s="79"/>
      <c r="Z789" s="130"/>
      <c r="AB789" s="106"/>
    </row>
    <row r="790">
      <c r="C790" s="79"/>
      <c r="D790" s="79"/>
      <c r="E790" s="79"/>
      <c r="M790" s="79"/>
      <c r="R790" s="79"/>
      <c r="S790" s="79"/>
      <c r="V790" s="79"/>
      <c r="W790" s="79"/>
      <c r="Z790" s="130"/>
      <c r="AB790" s="106"/>
    </row>
    <row r="791">
      <c r="C791" s="79"/>
      <c r="D791" s="79"/>
      <c r="E791" s="79"/>
      <c r="M791" s="79"/>
      <c r="R791" s="79"/>
      <c r="S791" s="79"/>
      <c r="V791" s="79"/>
      <c r="W791" s="79"/>
      <c r="Z791" s="130"/>
      <c r="AB791" s="106"/>
    </row>
    <row r="792">
      <c r="C792" s="79"/>
      <c r="D792" s="79"/>
      <c r="E792" s="79"/>
      <c r="M792" s="79"/>
      <c r="R792" s="79"/>
      <c r="S792" s="79"/>
      <c r="V792" s="79"/>
      <c r="W792" s="79"/>
      <c r="Z792" s="130"/>
      <c r="AB792" s="106"/>
    </row>
    <row r="793">
      <c r="C793" s="79"/>
      <c r="D793" s="79"/>
      <c r="E793" s="79"/>
      <c r="M793" s="79"/>
      <c r="R793" s="79"/>
      <c r="S793" s="79"/>
      <c r="V793" s="79"/>
      <c r="W793" s="79"/>
      <c r="Z793" s="130"/>
      <c r="AB793" s="106"/>
    </row>
    <row r="794">
      <c r="C794" s="79"/>
      <c r="D794" s="79"/>
      <c r="E794" s="79"/>
      <c r="M794" s="79"/>
      <c r="R794" s="79"/>
      <c r="S794" s="79"/>
      <c r="V794" s="79"/>
      <c r="W794" s="79"/>
      <c r="Z794" s="130"/>
      <c r="AB794" s="106"/>
    </row>
    <row r="795">
      <c r="C795" s="79"/>
      <c r="D795" s="79"/>
      <c r="E795" s="79"/>
      <c r="M795" s="79"/>
      <c r="R795" s="79"/>
      <c r="S795" s="79"/>
      <c r="V795" s="79"/>
      <c r="W795" s="79"/>
      <c r="Z795" s="130"/>
      <c r="AB795" s="106"/>
    </row>
    <row r="796">
      <c r="C796" s="79"/>
      <c r="D796" s="79"/>
      <c r="E796" s="79"/>
      <c r="M796" s="79"/>
      <c r="R796" s="79"/>
      <c r="S796" s="79"/>
      <c r="V796" s="79"/>
      <c r="W796" s="79"/>
      <c r="Z796" s="130"/>
      <c r="AB796" s="106"/>
    </row>
    <row r="797">
      <c r="C797" s="79"/>
      <c r="D797" s="79"/>
      <c r="E797" s="79"/>
      <c r="M797" s="79"/>
      <c r="R797" s="79"/>
      <c r="S797" s="79"/>
      <c r="V797" s="79"/>
      <c r="W797" s="79"/>
      <c r="Z797" s="130"/>
      <c r="AB797" s="106"/>
    </row>
    <row r="798">
      <c r="C798" s="79"/>
      <c r="D798" s="79"/>
      <c r="E798" s="79"/>
      <c r="M798" s="79"/>
      <c r="R798" s="79"/>
      <c r="S798" s="79"/>
      <c r="V798" s="79"/>
      <c r="W798" s="79"/>
      <c r="Z798" s="130"/>
      <c r="AB798" s="106"/>
    </row>
    <row r="799">
      <c r="C799" s="79"/>
      <c r="D799" s="79"/>
      <c r="E799" s="79"/>
      <c r="M799" s="79"/>
      <c r="R799" s="79"/>
      <c r="S799" s="79"/>
      <c r="V799" s="79"/>
      <c r="W799" s="79"/>
      <c r="Z799" s="130"/>
      <c r="AB799" s="106"/>
    </row>
    <row r="800">
      <c r="C800" s="79"/>
      <c r="D800" s="79"/>
      <c r="E800" s="79"/>
      <c r="M800" s="79"/>
      <c r="R800" s="79"/>
      <c r="S800" s="79"/>
      <c r="V800" s="79"/>
      <c r="W800" s="79"/>
      <c r="Z800" s="130"/>
      <c r="AB800" s="106"/>
    </row>
    <row r="801">
      <c r="C801" s="79"/>
      <c r="D801" s="79"/>
      <c r="E801" s="79"/>
      <c r="M801" s="79"/>
      <c r="R801" s="79"/>
      <c r="S801" s="79"/>
      <c r="V801" s="79"/>
      <c r="W801" s="79"/>
      <c r="Z801" s="130"/>
      <c r="AB801" s="106"/>
    </row>
    <row r="802">
      <c r="C802" s="79"/>
      <c r="D802" s="79"/>
      <c r="E802" s="79"/>
      <c r="M802" s="79"/>
      <c r="R802" s="79"/>
      <c r="S802" s="79"/>
      <c r="V802" s="79"/>
      <c r="W802" s="79"/>
      <c r="Z802" s="130"/>
      <c r="AB802" s="106"/>
    </row>
    <row r="803">
      <c r="C803" s="79"/>
      <c r="D803" s="79"/>
      <c r="E803" s="79"/>
      <c r="M803" s="79"/>
      <c r="R803" s="79"/>
      <c r="S803" s="79"/>
      <c r="V803" s="79"/>
      <c r="W803" s="79"/>
      <c r="Z803" s="130"/>
      <c r="AB803" s="106"/>
    </row>
    <row r="804">
      <c r="C804" s="79"/>
      <c r="D804" s="79"/>
      <c r="E804" s="79"/>
      <c r="M804" s="79"/>
      <c r="R804" s="79"/>
      <c r="S804" s="79"/>
      <c r="V804" s="79"/>
      <c r="W804" s="79"/>
      <c r="Z804" s="130"/>
      <c r="AB804" s="106"/>
    </row>
    <row r="805">
      <c r="C805" s="79"/>
      <c r="D805" s="79"/>
      <c r="E805" s="79"/>
      <c r="M805" s="79"/>
      <c r="R805" s="79"/>
      <c r="S805" s="79"/>
      <c r="V805" s="79"/>
      <c r="W805" s="79"/>
      <c r="Z805" s="130"/>
      <c r="AB805" s="106"/>
    </row>
    <row r="806">
      <c r="C806" s="79"/>
      <c r="D806" s="79"/>
      <c r="E806" s="79"/>
      <c r="M806" s="79"/>
      <c r="R806" s="79"/>
      <c r="S806" s="79"/>
      <c r="V806" s="79"/>
      <c r="W806" s="79"/>
      <c r="Z806" s="130"/>
      <c r="AB806" s="106"/>
    </row>
    <row r="807">
      <c r="C807" s="79"/>
      <c r="D807" s="79"/>
      <c r="E807" s="79"/>
      <c r="M807" s="79"/>
      <c r="R807" s="79"/>
      <c r="S807" s="79"/>
      <c r="V807" s="79"/>
      <c r="W807" s="79"/>
      <c r="Z807" s="130"/>
      <c r="AB807" s="106"/>
    </row>
    <row r="808">
      <c r="C808" s="79"/>
      <c r="D808" s="79"/>
      <c r="E808" s="79"/>
      <c r="M808" s="79"/>
      <c r="R808" s="79"/>
      <c r="S808" s="79"/>
      <c r="V808" s="79"/>
      <c r="W808" s="79"/>
      <c r="Z808" s="130"/>
      <c r="AB808" s="106"/>
    </row>
    <row r="809">
      <c r="C809" s="79"/>
      <c r="D809" s="79"/>
      <c r="E809" s="79"/>
      <c r="M809" s="79"/>
      <c r="R809" s="79"/>
      <c r="S809" s="79"/>
      <c r="V809" s="79"/>
      <c r="W809" s="79"/>
      <c r="Z809" s="130"/>
      <c r="AB809" s="106"/>
    </row>
    <row r="810">
      <c r="C810" s="79"/>
      <c r="D810" s="79"/>
      <c r="E810" s="79"/>
      <c r="M810" s="79"/>
      <c r="R810" s="79"/>
      <c r="S810" s="79"/>
      <c r="V810" s="79"/>
      <c r="W810" s="79"/>
      <c r="Z810" s="130"/>
      <c r="AB810" s="106"/>
    </row>
    <row r="811">
      <c r="C811" s="79"/>
      <c r="D811" s="79"/>
      <c r="E811" s="79"/>
      <c r="M811" s="79"/>
      <c r="R811" s="79"/>
      <c r="S811" s="79"/>
      <c r="V811" s="79"/>
      <c r="W811" s="79"/>
      <c r="Z811" s="130"/>
      <c r="AB811" s="106"/>
    </row>
    <row r="812">
      <c r="C812" s="79"/>
      <c r="D812" s="79"/>
      <c r="E812" s="79"/>
      <c r="M812" s="79"/>
      <c r="R812" s="79"/>
      <c r="S812" s="79"/>
      <c r="V812" s="79"/>
      <c r="W812" s="79"/>
      <c r="Z812" s="130"/>
      <c r="AB812" s="106"/>
    </row>
    <row r="813">
      <c r="C813" s="79"/>
      <c r="D813" s="79"/>
      <c r="E813" s="79"/>
      <c r="M813" s="79"/>
      <c r="R813" s="79"/>
      <c r="S813" s="79"/>
      <c r="V813" s="79"/>
      <c r="W813" s="79"/>
      <c r="Z813" s="130"/>
      <c r="AB813" s="106"/>
    </row>
    <row r="814">
      <c r="C814" s="79"/>
      <c r="D814" s="79"/>
      <c r="E814" s="79"/>
      <c r="M814" s="79"/>
      <c r="R814" s="79"/>
      <c r="S814" s="79"/>
      <c r="V814" s="79"/>
      <c r="W814" s="79"/>
      <c r="Z814" s="130"/>
      <c r="AB814" s="106"/>
    </row>
    <row r="815">
      <c r="C815" s="79"/>
      <c r="D815" s="79"/>
      <c r="E815" s="79"/>
      <c r="M815" s="79"/>
      <c r="R815" s="79"/>
      <c r="S815" s="79"/>
      <c r="V815" s="79"/>
      <c r="W815" s="79"/>
      <c r="Z815" s="130"/>
      <c r="AB815" s="106"/>
    </row>
    <row r="816">
      <c r="C816" s="79"/>
      <c r="D816" s="79"/>
      <c r="E816" s="79"/>
      <c r="M816" s="79"/>
      <c r="R816" s="79"/>
      <c r="S816" s="79"/>
      <c r="V816" s="79"/>
      <c r="W816" s="79"/>
      <c r="Z816" s="130"/>
      <c r="AB816" s="106"/>
    </row>
    <row r="817">
      <c r="C817" s="79"/>
      <c r="D817" s="79"/>
      <c r="E817" s="79"/>
      <c r="M817" s="79"/>
      <c r="R817" s="79"/>
      <c r="S817" s="79"/>
      <c r="V817" s="79"/>
      <c r="W817" s="79"/>
      <c r="Z817" s="130"/>
      <c r="AB817" s="106"/>
    </row>
    <row r="818">
      <c r="C818" s="79"/>
      <c r="D818" s="79"/>
      <c r="E818" s="79"/>
      <c r="M818" s="79"/>
      <c r="R818" s="79"/>
      <c r="S818" s="79"/>
      <c r="V818" s="79"/>
      <c r="W818" s="79"/>
      <c r="Z818" s="130"/>
      <c r="AB818" s="106"/>
    </row>
    <row r="819">
      <c r="C819" s="79"/>
      <c r="D819" s="79"/>
      <c r="E819" s="79"/>
      <c r="M819" s="79"/>
      <c r="R819" s="79"/>
      <c r="S819" s="79"/>
      <c r="V819" s="79"/>
      <c r="W819" s="79"/>
      <c r="Z819" s="130"/>
      <c r="AB819" s="106"/>
    </row>
    <row r="820">
      <c r="C820" s="79"/>
      <c r="D820" s="79"/>
      <c r="E820" s="79"/>
      <c r="M820" s="79"/>
      <c r="R820" s="79"/>
      <c r="S820" s="79"/>
      <c r="V820" s="79"/>
      <c r="W820" s="79"/>
      <c r="Z820" s="130"/>
      <c r="AB820" s="106"/>
    </row>
    <row r="821">
      <c r="C821" s="79"/>
      <c r="D821" s="79"/>
      <c r="E821" s="79"/>
      <c r="M821" s="79"/>
      <c r="R821" s="79"/>
      <c r="S821" s="79"/>
      <c r="V821" s="79"/>
      <c r="W821" s="79"/>
      <c r="Z821" s="130"/>
      <c r="AB821" s="106"/>
    </row>
    <row r="822">
      <c r="C822" s="79"/>
      <c r="D822" s="79"/>
      <c r="E822" s="79"/>
      <c r="M822" s="79"/>
      <c r="R822" s="79"/>
      <c r="S822" s="79"/>
      <c r="V822" s="79"/>
      <c r="W822" s="79"/>
      <c r="Z822" s="130"/>
      <c r="AB822" s="106"/>
    </row>
    <row r="823">
      <c r="C823" s="79"/>
      <c r="D823" s="79"/>
      <c r="E823" s="79"/>
      <c r="M823" s="79"/>
      <c r="R823" s="79"/>
      <c r="S823" s="79"/>
      <c r="V823" s="79"/>
      <c r="W823" s="79"/>
      <c r="Z823" s="130"/>
      <c r="AB823" s="106"/>
    </row>
    <row r="824">
      <c r="C824" s="79"/>
      <c r="D824" s="79"/>
      <c r="E824" s="79"/>
      <c r="M824" s="79"/>
      <c r="R824" s="79"/>
      <c r="S824" s="79"/>
      <c r="V824" s="79"/>
      <c r="W824" s="79"/>
      <c r="Z824" s="130"/>
      <c r="AB824" s="106"/>
    </row>
    <row r="825">
      <c r="C825" s="79"/>
      <c r="D825" s="79"/>
      <c r="E825" s="79"/>
      <c r="M825" s="79"/>
      <c r="R825" s="79"/>
      <c r="S825" s="79"/>
      <c r="V825" s="79"/>
      <c r="W825" s="79"/>
      <c r="Z825" s="130"/>
      <c r="AB825" s="106"/>
    </row>
    <row r="826">
      <c r="C826" s="79"/>
      <c r="D826" s="79"/>
      <c r="E826" s="79"/>
      <c r="M826" s="79"/>
      <c r="R826" s="79"/>
      <c r="S826" s="79"/>
      <c r="V826" s="79"/>
      <c r="W826" s="79"/>
      <c r="Z826" s="130"/>
      <c r="AB826" s="106"/>
    </row>
    <row r="827">
      <c r="C827" s="79"/>
      <c r="D827" s="79"/>
      <c r="E827" s="79"/>
      <c r="M827" s="79"/>
      <c r="R827" s="79"/>
      <c r="S827" s="79"/>
      <c r="V827" s="79"/>
      <c r="W827" s="79"/>
      <c r="Z827" s="130"/>
      <c r="AB827" s="106"/>
    </row>
    <row r="828">
      <c r="C828" s="79"/>
      <c r="D828" s="79"/>
      <c r="E828" s="79"/>
      <c r="M828" s="79"/>
      <c r="R828" s="79"/>
      <c r="S828" s="79"/>
      <c r="V828" s="79"/>
      <c r="W828" s="79"/>
      <c r="Z828" s="130"/>
      <c r="AB828" s="106"/>
    </row>
    <row r="829">
      <c r="C829" s="79"/>
      <c r="D829" s="79"/>
      <c r="E829" s="79"/>
      <c r="M829" s="79"/>
      <c r="R829" s="79"/>
      <c r="S829" s="79"/>
      <c r="V829" s="79"/>
      <c r="W829" s="79"/>
      <c r="Z829" s="130"/>
      <c r="AB829" s="106"/>
    </row>
    <row r="830">
      <c r="C830" s="79"/>
      <c r="D830" s="79"/>
      <c r="E830" s="79"/>
      <c r="M830" s="79"/>
      <c r="R830" s="79"/>
      <c r="S830" s="79"/>
      <c r="V830" s="79"/>
      <c r="W830" s="79"/>
      <c r="Z830" s="130"/>
      <c r="AB830" s="106"/>
    </row>
    <row r="831">
      <c r="C831" s="79"/>
      <c r="D831" s="79"/>
      <c r="E831" s="79"/>
      <c r="M831" s="79"/>
      <c r="R831" s="79"/>
      <c r="S831" s="79"/>
      <c r="V831" s="79"/>
      <c r="W831" s="79"/>
      <c r="Z831" s="130"/>
      <c r="AB831" s="106"/>
    </row>
    <row r="832">
      <c r="C832" s="79"/>
      <c r="D832" s="79"/>
      <c r="E832" s="79"/>
      <c r="M832" s="79"/>
      <c r="R832" s="79"/>
      <c r="S832" s="79"/>
      <c r="V832" s="79"/>
      <c r="W832" s="79"/>
      <c r="Z832" s="130"/>
      <c r="AB832" s="106"/>
    </row>
    <row r="833">
      <c r="C833" s="79"/>
      <c r="D833" s="79"/>
      <c r="E833" s="79"/>
      <c r="M833" s="79"/>
      <c r="R833" s="79"/>
      <c r="S833" s="79"/>
      <c r="V833" s="79"/>
      <c r="W833" s="79"/>
      <c r="Z833" s="130"/>
      <c r="AB833" s="106"/>
    </row>
    <row r="834">
      <c r="C834" s="79"/>
      <c r="D834" s="79"/>
      <c r="E834" s="79"/>
      <c r="M834" s="79"/>
      <c r="R834" s="79"/>
      <c r="S834" s="79"/>
      <c r="V834" s="79"/>
      <c r="W834" s="79"/>
      <c r="Z834" s="130"/>
      <c r="AB834" s="106"/>
    </row>
    <row r="835">
      <c r="C835" s="79"/>
      <c r="D835" s="79"/>
      <c r="E835" s="79"/>
      <c r="M835" s="79"/>
      <c r="R835" s="79"/>
      <c r="S835" s="79"/>
      <c r="V835" s="79"/>
      <c r="W835" s="79"/>
      <c r="Z835" s="130"/>
      <c r="AB835" s="106"/>
    </row>
    <row r="836">
      <c r="C836" s="79"/>
      <c r="D836" s="79"/>
      <c r="E836" s="79"/>
      <c r="M836" s="79"/>
      <c r="R836" s="79"/>
      <c r="S836" s="79"/>
      <c r="V836" s="79"/>
      <c r="W836" s="79"/>
      <c r="Z836" s="130"/>
      <c r="AB836" s="106"/>
    </row>
    <row r="837">
      <c r="C837" s="79"/>
      <c r="D837" s="79"/>
      <c r="E837" s="79"/>
      <c r="M837" s="79"/>
      <c r="R837" s="79"/>
      <c r="S837" s="79"/>
      <c r="V837" s="79"/>
      <c r="W837" s="79"/>
      <c r="Z837" s="130"/>
      <c r="AB837" s="106"/>
    </row>
    <row r="838">
      <c r="C838" s="79"/>
      <c r="D838" s="79"/>
      <c r="E838" s="79"/>
      <c r="M838" s="79"/>
      <c r="R838" s="79"/>
      <c r="S838" s="79"/>
      <c r="V838" s="79"/>
      <c r="W838" s="79"/>
      <c r="Z838" s="130"/>
      <c r="AB838" s="106"/>
    </row>
    <row r="839">
      <c r="C839" s="79"/>
      <c r="D839" s="79"/>
      <c r="E839" s="79"/>
      <c r="M839" s="79"/>
      <c r="R839" s="79"/>
      <c r="S839" s="79"/>
      <c r="V839" s="79"/>
      <c r="W839" s="79"/>
      <c r="Z839" s="130"/>
      <c r="AB839" s="106"/>
    </row>
    <row r="840">
      <c r="C840" s="79"/>
      <c r="D840" s="79"/>
      <c r="E840" s="79"/>
      <c r="M840" s="79"/>
      <c r="R840" s="79"/>
      <c r="S840" s="79"/>
      <c r="V840" s="79"/>
      <c r="W840" s="79"/>
      <c r="Z840" s="130"/>
      <c r="AB840" s="106"/>
    </row>
    <row r="841">
      <c r="C841" s="79"/>
      <c r="D841" s="79"/>
      <c r="E841" s="79"/>
      <c r="M841" s="79"/>
      <c r="R841" s="79"/>
      <c r="S841" s="79"/>
      <c r="V841" s="79"/>
      <c r="W841" s="79"/>
      <c r="Z841" s="130"/>
      <c r="AB841" s="106"/>
    </row>
    <row r="842">
      <c r="C842" s="79"/>
      <c r="D842" s="79"/>
      <c r="E842" s="79"/>
      <c r="M842" s="79"/>
      <c r="R842" s="79"/>
      <c r="S842" s="79"/>
      <c r="V842" s="79"/>
      <c r="W842" s="79"/>
      <c r="Z842" s="130"/>
      <c r="AB842" s="106"/>
    </row>
    <row r="843">
      <c r="C843" s="79"/>
      <c r="D843" s="79"/>
      <c r="E843" s="79"/>
      <c r="M843" s="79"/>
      <c r="R843" s="79"/>
      <c r="S843" s="79"/>
      <c r="V843" s="79"/>
      <c r="W843" s="79"/>
      <c r="Z843" s="130"/>
      <c r="AB843" s="106"/>
    </row>
    <row r="844">
      <c r="C844" s="79"/>
      <c r="D844" s="79"/>
      <c r="E844" s="79"/>
      <c r="M844" s="79"/>
      <c r="R844" s="79"/>
      <c r="S844" s="79"/>
      <c r="V844" s="79"/>
      <c r="W844" s="79"/>
      <c r="Z844" s="130"/>
      <c r="AB844" s="106"/>
    </row>
    <row r="845">
      <c r="C845" s="79"/>
      <c r="D845" s="79"/>
      <c r="E845" s="79"/>
      <c r="M845" s="79"/>
      <c r="R845" s="79"/>
      <c r="S845" s="79"/>
      <c r="V845" s="79"/>
      <c r="W845" s="79"/>
      <c r="Z845" s="130"/>
      <c r="AB845" s="106"/>
    </row>
    <row r="846">
      <c r="C846" s="79"/>
      <c r="D846" s="79"/>
      <c r="E846" s="79"/>
      <c r="M846" s="79"/>
      <c r="R846" s="79"/>
      <c r="S846" s="79"/>
      <c r="V846" s="79"/>
      <c r="W846" s="79"/>
      <c r="Z846" s="130"/>
      <c r="AB846" s="106"/>
    </row>
    <row r="847">
      <c r="C847" s="79"/>
      <c r="D847" s="79"/>
      <c r="E847" s="79"/>
      <c r="M847" s="79"/>
      <c r="R847" s="79"/>
      <c r="S847" s="79"/>
      <c r="V847" s="79"/>
      <c r="W847" s="79"/>
      <c r="Z847" s="130"/>
      <c r="AB847" s="106"/>
    </row>
    <row r="848">
      <c r="C848" s="79"/>
      <c r="D848" s="79"/>
      <c r="E848" s="79"/>
      <c r="M848" s="79"/>
      <c r="R848" s="79"/>
      <c r="S848" s="79"/>
      <c r="V848" s="79"/>
      <c r="W848" s="79"/>
      <c r="Z848" s="130"/>
      <c r="AB848" s="106"/>
    </row>
    <row r="849">
      <c r="C849" s="79"/>
      <c r="D849" s="79"/>
      <c r="E849" s="79"/>
      <c r="M849" s="79"/>
      <c r="R849" s="79"/>
      <c r="S849" s="79"/>
      <c r="V849" s="79"/>
      <c r="W849" s="79"/>
      <c r="Z849" s="130"/>
      <c r="AB849" s="106"/>
    </row>
    <row r="850">
      <c r="C850" s="79"/>
      <c r="D850" s="79"/>
      <c r="E850" s="79"/>
      <c r="M850" s="79"/>
      <c r="R850" s="79"/>
      <c r="S850" s="79"/>
      <c r="V850" s="79"/>
      <c r="W850" s="79"/>
      <c r="Z850" s="130"/>
      <c r="AB850" s="106"/>
    </row>
    <row r="851">
      <c r="C851" s="79"/>
      <c r="D851" s="79"/>
      <c r="E851" s="79"/>
      <c r="M851" s="79"/>
      <c r="R851" s="79"/>
      <c r="S851" s="79"/>
      <c r="V851" s="79"/>
      <c r="W851" s="79"/>
      <c r="Z851" s="130"/>
      <c r="AB851" s="106"/>
    </row>
    <row r="852">
      <c r="C852" s="79"/>
      <c r="D852" s="79"/>
      <c r="E852" s="79"/>
      <c r="M852" s="79"/>
      <c r="R852" s="79"/>
      <c r="S852" s="79"/>
      <c r="V852" s="79"/>
      <c r="W852" s="79"/>
      <c r="Z852" s="130"/>
      <c r="AB852" s="106"/>
    </row>
    <row r="853">
      <c r="C853" s="79"/>
      <c r="D853" s="79"/>
      <c r="E853" s="79"/>
      <c r="M853" s="79"/>
      <c r="R853" s="79"/>
      <c r="S853" s="79"/>
      <c r="V853" s="79"/>
      <c r="W853" s="79"/>
      <c r="Z853" s="130"/>
      <c r="AB853" s="106"/>
    </row>
    <row r="854">
      <c r="C854" s="79"/>
      <c r="D854" s="79"/>
      <c r="E854" s="79"/>
      <c r="M854" s="79"/>
      <c r="R854" s="79"/>
      <c r="S854" s="79"/>
      <c r="V854" s="79"/>
      <c r="W854" s="79"/>
      <c r="Z854" s="130"/>
      <c r="AB854" s="106"/>
    </row>
    <row r="855">
      <c r="C855" s="79"/>
      <c r="D855" s="79"/>
      <c r="E855" s="79"/>
      <c r="M855" s="79"/>
      <c r="R855" s="79"/>
      <c r="S855" s="79"/>
      <c r="V855" s="79"/>
      <c r="W855" s="79"/>
      <c r="Z855" s="130"/>
      <c r="AB855" s="106"/>
    </row>
    <row r="856">
      <c r="C856" s="79"/>
      <c r="D856" s="79"/>
      <c r="E856" s="79"/>
      <c r="M856" s="79"/>
      <c r="R856" s="79"/>
      <c r="S856" s="79"/>
      <c r="V856" s="79"/>
      <c r="W856" s="79"/>
      <c r="Z856" s="130"/>
      <c r="AB856" s="106"/>
    </row>
    <row r="857">
      <c r="C857" s="79"/>
      <c r="D857" s="79"/>
      <c r="E857" s="79"/>
      <c r="M857" s="79"/>
      <c r="R857" s="79"/>
      <c r="S857" s="79"/>
      <c r="V857" s="79"/>
      <c r="W857" s="79"/>
      <c r="Z857" s="130"/>
      <c r="AB857" s="106"/>
    </row>
    <row r="858">
      <c r="C858" s="79"/>
      <c r="D858" s="79"/>
      <c r="E858" s="79"/>
      <c r="M858" s="79"/>
      <c r="R858" s="79"/>
      <c r="S858" s="79"/>
      <c r="V858" s="79"/>
      <c r="W858" s="79"/>
      <c r="Z858" s="130"/>
      <c r="AB858" s="106"/>
    </row>
    <row r="859">
      <c r="C859" s="79"/>
      <c r="D859" s="79"/>
      <c r="E859" s="79"/>
      <c r="M859" s="79"/>
      <c r="R859" s="79"/>
      <c r="S859" s="79"/>
      <c r="V859" s="79"/>
      <c r="W859" s="79"/>
      <c r="Z859" s="130"/>
      <c r="AB859" s="106"/>
    </row>
    <row r="860">
      <c r="C860" s="79"/>
      <c r="D860" s="79"/>
      <c r="E860" s="79"/>
      <c r="M860" s="79"/>
      <c r="R860" s="79"/>
      <c r="S860" s="79"/>
      <c r="V860" s="79"/>
      <c r="W860" s="79"/>
      <c r="Z860" s="130"/>
      <c r="AB860" s="106"/>
    </row>
    <row r="861">
      <c r="C861" s="79"/>
      <c r="D861" s="79"/>
      <c r="E861" s="79"/>
      <c r="M861" s="79"/>
      <c r="R861" s="79"/>
      <c r="S861" s="79"/>
      <c r="V861" s="79"/>
      <c r="W861" s="79"/>
      <c r="Z861" s="130"/>
      <c r="AB861" s="106"/>
    </row>
    <row r="862">
      <c r="C862" s="79"/>
      <c r="D862" s="79"/>
      <c r="E862" s="79"/>
      <c r="M862" s="79"/>
      <c r="R862" s="79"/>
      <c r="S862" s="79"/>
      <c r="V862" s="79"/>
      <c r="W862" s="79"/>
      <c r="Z862" s="130"/>
      <c r="AB862" s="106"/>
    </row>
    <row r="863">
      <c r="C863" s="79"/>
      <c r="D863" s="79"/>
      <c r="E863" s="79"/>
      <c r="M863" s="79"/>
      <c r="R863" s="79"/>
      <c r="S863" s="79"/>
      <c r="V863" s="79"/>
      <c r="W863" s="79"/>
      <c r="Z863" s="130"/>
      <c r="AB863" s="106"/>
    </row>
    <row r="864">
      <c r="C864" s="79"/>
      <c r="D864" s="79"/>
      <c r="E864" s="79"/>
      <c r="M864" s="79"/>
      <c r="R864" s="79"/>
      <c r="S864" s="79"/>
      <c r="V864" s="79"/>
      <c r="W864" s="79"/>
      <c r="Z864" s="130"/>
      <c r="AB864" s="106"/>
    </row>
    <row r="865">
      <c r="C865" s="79"/>
      <c r="D865" s="79"/>
      <c r="E865" s="79"/>
      <c r="M865" s="79"/>
      <c r="R865" s="79"/>
      <c r="S865" s="79"/>
      <c r="V865" s="79"/>
      <c r="W865" s="79"/>
      <c r="Z865" s="130"/>
      <c r="AB865" s="106"/>
    </row>
    <row r="866">
      <c r="C866" s="79"/>
      <c r="D866" s="79"/>
      <c r="E866" s="79"/>
      <c r="M866" s="79"/>
      <c r="R866" s="79"/>
      <c r="S866" s="79"/>
      <c r="V866" s="79"/>
      <c r="W866" s="79"/>
      <c r="Z866" s="130"/>
      <c r="AB866" s="106"/>
    </row>
    <row r="867">
      <c r="C867" s="79"/>
      <c r="D867" s="79"/>
      <c r="E867" s="79"/>
      <c r="M867" s="79"/>
      <c r="R867" s="79"/>
      <c r="S867" s="79"/>
      <c r="V867" s="79"/>
      <c r="W867" s="79"/>
      <c r="Z867" s="130"/>
      <c r="AB867" s="106"/>
    </row>
    <row r="868">
      <c r="C868" s="79"/>
      <c r="D868" s="79"/>
      <c r="E868" s="79"/>
      <c r="M868" s="79"/>
      <c r="R868" s="79"/>
      <c r="S868" s="79"/>
      <c r="V868" s="79"/>
      <c r="W868" s="79"/>
      <c r="Z868" s="130"/>
      <c r="AB868" s="106"/>
    </row>
    <row r="869">
      <c r="C869" s="79"/>
      <c r="D869" s="79"/>
      <c r="E869" s="79"/>
      <c r="M869" s="79"/>
      <c r="R869" s="79"/>
      <c r="S869" s="79"/>
      <c r="V869" s="79"/>
      <c r="W869" s="79"/>
      <c r="Z869" s="130"/>
      <c r="AB869" s="106"/>
    </row>
    <row r="870">
      <c r="C870" s="79"/>
      <c r="D870" s="79"/>
      <c r="E870" s="79"/>
      <c r="M870" s="79"/>
      <c r="R870" s="79"/>
      <c r="S870" s="79"/>
      <c r="V870" s="79"/>
      <c r="W870" s="79"/>
      <c r="Z870" s="130"/>
      <c r="AB870" s="106"/>
    </row>
    <row r="871">
      <c r="C871" s="79"/>
      <c r="D871" s="79"/>
      <c r="E871" s="79"/>
      <c r="M871" s="79"/>
      <c r="R871" s="79"/>
      <c r="S871" s="79"/>
      <c r="V871" s="79"/>
      <c r="W871" s="79"/>
      <c r="Z871" s="130"/>
      <c r="AB871" s="106"/>
    </row>
    <row r="872">
      <c r="C872" s="79"/>
      <c r="D872" s="79"/>
      <c r="E872" s="79"/>
      <c r="M872" s="79"/>
      <c r="R872" s="79"/>
      <c r="S872" s="79"/>
      <c r="V872" s="79"/>
      <c r="W872" s="79"/>
      <c r="Z872" s="130"/>
      <c r="AB872" s="106"/>
    </row>
    <row r="873">
      <c r="C873" s="79"/>
      <c r="D873" s="79"/>
      <c r="E873" s="79"/>
      <c r="M873" s="79"/>
      <c r="R873" s="79"/>
      <c r="S873" s="79"/>
      <c r="V873" s="79"/>
      <c r="W873" s="79"/>
      <c r="Z873" s="130"/>
      <c r="AB873" s="106"/>
    </row>
    <row r="874">
      <c r="C874" s="79"/>
      <c r="D874" s="79"/>
      <c r="E874" s="79"/>
      <c r="M874" s="79"/>
      <c r="R874" s="79"/>
      <c r="S874" s="79"/>
      <c r="V874" s="79"/>
      <c r="W874" s="79"/>
      <c r="Z874" s="130"/>
      <c r="AB874" s="106"/>
    </row>
    <row r="875">
      <c r="C875" s="79"/>
      <c r="D875" s="79"/>
      <c r="E875" s="79"/>
      <c r="M875" s="79"/>
      <c r="R875" s="79"/>
      <c r="S875" s="79"/>
      <c r="V875" s="79"/>
      <c r="W875" s="79"/>
      <c r="Z875" s="130"/>
      <c r="AB875" s="106"/>
    </row>
    <row r="876">
      <c r="C876" s="79"/>
      <c r="D876" s="79"/>
      <c r="E876" s="79"/>
      <c r="M876" s="79"/>
      <c r="R876" s="79"/>
      <c r="S876" s="79"/>
      <c r="V876" s="79"/>
      <c r="W876" s="79"/>
      <c r="Z876" s="130"/>
      <c r="AB876" s="106"/>
    </row>
    <row r="877">
      <c r="C877" s="79"/>
      <c r="D877" s="79"/>
      <c r="E877" s="79"/>
      <c r="M877" s="79"/>
      <c r="R877" s="79"/>
      <c r="S877" s="79"/>
      <c r="V877" s="79"/>
      <c r="W877" s="79"/>
      <c r="Z877" s="130"/>
      <c r="AB877" s="106"/>
    </row>
    <row r="878">
      <c r="C878" s="79"/>
      <c r="D878" s="79"/>
      <c r="E878" s="79"/>
      <c r="M878" s="79"/>
      <c r="R878" s="79"/>
      <c r="S878" s="79"/>
      <c r="V878" s="79"/>
      <c r="W878" s="79"/>
      <c r="Z878" s="130"/>
      <c r="AB878" s="106"/>
    </row>
    <row r="879">
      <c r="C879" s="79"/>
      <c r="D879" s="79"/>
      <c r="E879" s="79"/>
      <c r="M879" s="79"/>
      <c r="R879" s="79"/>
      <c r="S879" s="79"/>
      <c r="V879" s="79"/>
      <c r="W879" s="79"/>
      <c r="Z879" s="130"/>
      <c r="AB879" s="106"/>
    </row>
    <row r="880">
      <c r="C880" s="79"/>
      <c r="D880" s="79"/>
      <c r="E880" s="79"/>
      <c r="M880" s="79"/>
      <c r="R880" s="79"/>
      <c r="S880" s="79"/>
      <c r="V880" s="79"/>
      <c r="W880" s="79"/>
      <c r="Z880" s="130"/>
      <c r="AB880" s="106"/>
    </row>
    <row r="881">
      <c r="C881" s="79"/>
      <c r="D881" s="79"/>
      <c r="E881" s="79"/>
      <c r="M881" s="79"/>
      <c r="R881" s="79"/>
      <c r="S881" s="79"/>
      <c r="V881" s="79"/>
      <c r="W881" s="79"/>
      <c r="Z881" s="130"/>
      <c r="AB881" s="106"/>
    </row>
    <row r="882">
      <c r="C882" s="79"/>
      <c r="D882" s="79"/>
      <c r="E882" s="79"/>
      <c r="M882" s="79"/>
      <c r="R882" s="79"/>
      <c r="S882" s="79"/>
      <c r="V882" s="79"/>
      <c r="W882" s="79"/>
      <c r="Z882" s="130"/>
      <c r="AB882" s="106"/>
    </row>
    <row r="883">
      <c r="C883" s="79"/>
      <c r="D883" s="79"/>
      <c r="E883" s="79"/>
      <c r="M883" s="79"/>
      <c r="R883" s="79"/>
      <c r="S883" s="79"/>
      <c r="V883" s="79"/>
      <c r="W883" s="79"/>
      <c r="Z883" s="130"/>
      <c r="AB883" s="106"/>
    </row>
    <row r="884">
      <c r="C884" s="79"/>
      <c r="D884" s="79"/>
      <c r="E884" s="79"/>
      <c r="M884" s="79"/>
      <c r="R884" s="79"/>
      <c r="S884" s="79"/>
      <c r="V884" s="79"/>
      <c r="W884" s="79"/>
      <c r="Z884" s="130"/>
      <c r="AB884" s="106"/>
    </row>
    <row r="885">
      <c r="C885" s="79"/>
      <c r="D885" s="79"/>
      <c r="E885" s="79"/>
      <c r="M885" s="79"/>
      <c r="R885" s="79"/>
      <c r="S885" s="79"/>
      <c r="V885" s="79"/>
      <c r="W885" s="79"/>
      <c r="Z885" s="130"/>
      <c r="AB885" s="106"/>
    </row>
    <row r="886">
      <c r="C886" s="79"/>
      <c r="D886" s="79"/>
      <c r="E886" s="79"/>
      <c r="M886" s="79"/>
      <c r="R886" s="79"/>
      <c r="S886" s="79"/>
      <c r="V886" s="79"/>
      <c r="W886" s="79"/>
      <c r="Z886" s="130"/>
      <c r="AB886" s="106"/>
    </row>
    <row r="887">
      <c r="C887" s="79"/>
      <c r="D887" s="79"/>
      <c r="E887" s="79"/>
      <c r="M887" s="79"/>
      <c r="R887" s="79"/>
      <c r="S887" s="79"/>
      <c r="V887" s="79"/>
      <c r="W887" s="79"/>
      <c r="Z887" s="130"/>
      <c r="AB887" s="106"/>
    </row>
    <row r="888">
      <c r="C888" s="79"/>
      <c r="D888" s="79"/>
      <c r="E888" s="79"/>
      <c r="M888" s="79"/>
      <c r="R888" s="79"/>
      <c r="S888" s="79"/>
      <c r="V888" s="79"/>
      <c r="W888" s="79"/>
      <c r="Z888" s="130"/>
      <c r="AB888" s="106"/>
    </row>
    <row r="889">
      <c r="C889" s="79"/>
      <c r="D889" s="79"/>
      <c r="E889" s="79"/>
      <c r="M889" s="79"/>
      <c r="R889" s="79"/>
      <c r="S889" s="79"/>
      <c r="V889" s="79"/>
      <c r="W889" s="79"/>
      <c r="Z889" s="130"/>
      <c r="AB889" s="106"/>
    </row>
    <row r="890">
      <c r="C890" s="79"/>
      <c r="D890" s="79"/>
      <c r="E890" s="79"/>
      <c r="M890" s="79"/>
      <c r="R890" s="79"/>
      <c r="S890" s="79"/>
      <c r="V890" s="79"/>
      <c r="W890" s="79"/>
      <c r="Z890" s="130"/>
      <c r="AB890" s="106"/>
    </row>
    <row r="891">
      <c r="C891" s="79"/>
      <c r="D891" s="79"/>
      <c r="E891" s="79"/>
      <c r="M891" s="79"/>
      <c r="R891" s="79"/>
      <c r="S891" s="79"/>
      <c r="V891" s="79"/>
      <c r="W891" s="79"/>
      <c r="Z891" s="130"/>
      <c r="AB891" s="106"/>
    </row>
    <row r="892">
      <c r="C892" s="79"/>
      <c r="D892" s="79"/>
      <c r="E892" s="79"/>
      <c r="M892" s="79"/>
      <c r="R892" s="79"/>
      <c r="S892" s="79"/>
      <c r="V892" s="79"/>
      <c r="W892" s="79"/>
      <c r="Z892" s="130"/>
      <c r="AB892" s="106"/>
    </row>
    <row r="893">
      <c r="C893" s="79"/>
      <c r="D893" s="79"/>
      <c r="E893" s="79"/>
      <c r="M893" s="79"/>
      <c r="R893" s="79"/>
      <c r="S893" s="79"/>
      <c r="V893" s="79"/>
      <c r="W893" s="79"/>
      <c r="Z893" s="130"/>
      <c r="AB893" s="106"/>
    </row>
    <row r="894">
      <c r="C894" s="79"/>
      <c r="D894" s="79"/>
      <c r="E894" s="79"/>
      <c r="M894" s="79"/>
      <c r="R894" s="79"/>
      <c r="S894" s="79"/>
      <c r="V894" s="79"/>
      <c r="W894" s="79"/>
      <c r="Z894" s="130"/>
      <c r="AB894" s="106"/>
    </row>
    <row r="895">
      <c r="C895" s="79"/>
      <c r="D895" s="79"/>
      <c r="E895" s="79"/>
      <c r="M895" s="79"/>
      <c r="R895" s="79"/>
      <c r="S895" s="79"/>
      <c r="V895" s="79"/>
      <c r="W895" s="79"/>
      <c r="Z895" s="130"/>
      <c r="AB895" s="106"/>
    </row>
    <row r="896">
      <c r="C896" s="79"/>
      <c r="D896" s="79"/>
      <c r="E896" s="79"/>
      <c r="M896" s="79"/>
      <c r="R896" s="79"/>
      <c r="S896" s="79"/>
      <c r="V896" s="79"/>
      <c r="W896" s="79"/>
      <c r="Z896" s="130"/>
      <c r="AB896" s="106"/>
    </row>
    <row r="897">
      <c r="C897" s="79"/>
      <c r="D897" s="79"/>
      <c r="E897" s="79"/>
      <c r="M897" s="79"/>
      <c r="R897" s="79"/>
      <c r="S897" s="79"/>
      <c r="V897" s="79"/>
      <c r="W897" s="79"/>
      <c r="Z897" s="130"/>
      <c r="AB897" s="106"/>
    </row>
    <row r="898">
      <c r="C898" s="79"/>
      <c r="D898" s="79"/>
      <c r="E898" s="79"/>
      <c r="M898" s="79"/>
      <c r="R898" s="79"/>
      <c r="S898" s="79"/>
      <c r="V898" s="79"/>
      <c r="W898" s="79"/>
      <c r="Z898" s="130"/>
      <c r="AB898" s="106"/>
    </row>
    <row r="899">
      <c r="C899" s="79"/>
      <c r="D899" s="79"/>
      <c r="E899" s="79"/>
      <c r="M899" s="79"/>
      <c r="R899" s="79"/>
      <c r="S899" s="79"/>
      <c r="V899" s="79"/>
      <c r="W899" s="79"/>
      <c r="Z899" s="130"/>
      <c r="AB899" s="106"/>
    </row>
    <row r="900">
      <c r="C900" s="79"/>
      <c r="D900" s="79"/>
      <c r="E900" s="79"/>
      <c r="M900" s="79"/>
      <c r="R900" s="79"/>
      <c r="S900" s="79"/>
      <c r="V900" s="79"/>
      <c r="W900" s="79"/>
      <c r="Z900" s="130"/>
      <c r="AB900" s="106"/>
    </row>
    <row r="901">
      <c r="C901" s="79"/>
      <c r="D901" s="79"/>
      <c r="E901" s="79"/>
      <c r="M901" s="79"/>
      <c r="R901" s="79"/>
      <c r="S901" s="79"/>
      <c r="V901" s="79"/>
      <c r="W901" s="79"/>
      <c r="Z901" s="130"/>
      <c r="AB901" s="106"/>
    </row>
    <row r="902">
      <c r="C902" s="79"/>
      <c r="D902" s="79"/>
      <c r="E902" s="79"/>
      <c r="M902" s="79"/>
      <c r="R902" s="79"/>
      <c r="S902" s="79"/>
      <c r="V902" s="79"/>
      <c r="W902" s="79"/>
      <c r="Z902" s="130"/>
      <c r="AB902" s="106"/>
    </row>
    <row r="903">
      <c r="C903" s="79"/>
      <c r="D903" s="79"/>
      <c r="E903" s="79"/>
      <c r="M903" s="79"/>
      <c r="R903" s="79"/>
      <c r="S903" s="79"/>
      <c r="V903" s="79"/>
      <c r="W903" s="79"/>
      <c r="Z903" s="130"/>
      <c r="AB903" s="106"/>
    </row>
    <row r="904">
      <c r="C904" s="79"/>
      <c r="D904" s="79"/>
      <c r="E904" s="79"/>
      <c r="M904" s="79"/>
      <c r="R904" s="79"/>
      <c r="S904" s="79"/>
      <c r="V904" s="79"/>
      <c r="W904" s="79"/>
      <c r="Z904" s="130"/>
      <c r="AB904" s="106"/>
    </row>
    <row r="905">
      <c r="C905" s="79"/>
      <c r="D905" s="79"/>
      <c r="E905" s="79"/>
      <c r="M905" s="79"/>
      <c r="R905" s="79"/>
      <c r="S905" s="79"/>
      <c r="V905" s="79"/>
      <c r="W905" s="79"/>
      <c r="Z905" s="130"/>
      <c r="AB905" s="106"/>
    </row>
    <row r="906">
      <c r="C906" s="79"/>
      <c r="D906" s="79"/>
      <c r="E906" s="79"/>
      <c r="M906" s="79"/>
      <c r="R906" s="79"/>
      <c r="S906" s="79"/>
      <c r="V906" s="79"/>
      <c r="W906" s="79"/>
      <c r="Z906" s="130"/>
      <c r="AB906" s="106"/>
    </row>
    <row r="907">
      <c r="C907" s="79"/>
      <c r="D907" s="79"/>
      <c r="E907" s="79"/>
      <c r="M907" s="79"/>
      <c r="R907" s="79"/>
      <c r="S907" s="79"/>
      <c r="V907" s="79"/>
      <c r="W907" s="79"/>
      <c r="Z907" s="130"/>
      <c r="AB907" s="106"/>
    </row>
    <row r="908">
      <c r="C908" s="79"/>
      <c r="D908" s="79"/>
      <c r="E908" s="79"/>
      <c r="M908" s="79"/>
      <c r="R908" s="79"/>
      <c r="S908" s="79"/>
      <c r="V908" s="79"/>
      <c r="W908" s="79"/>
      <c r="Z908" s="130"/>
      <c r="AB908" s="106"/>
    </row>
    <row r="909">
      <c r="C909" s="79"/>
      <c r="D909" s="79"/>
      <c r="E909" s="79"/>
      <c r="M909" s="79"/>
      <c r="R909" s="79"/>
      <c r="S909" s="79"/>
      <c r="V909" s="79"/>
      <c r="W909" s="79"/>
      <c r="Z909" s="130"/>
      <c r="AB909" s="106"/>
    </row>
    <row r="910">
      <c r="C910" s="79"/>
      <c r="D910" s="79"/>
      <c r="E910" s="79"/>
      <c r="M910" s="79"/>
      <c r="R910" s="79"/>
      <c r="S910" s="79"/>
      <c r="V910" s="79"/>
      <c r="W910" s="79"/>
      <c r="Z910" s="130"/>
      <c r="AB910" s="106"/>
    </row>
    <row r="911">
      <c r="C911" s="79"/>
      <c r="D911" s="79"/>
      <c r="E911" s="79"/>
      <c r="M911" s="79"/>
      <c r="R911" s="79"/>
      <c r="S911" s="79"/>
      <c r="V911" s="79"/>
      <c r="W911" s="79"/>
      <c r="Z911" s="130"/>
      <c r="AB911" s="106"/>
    </row>
    <row r="912">
      <c r="C912" s="79"/>
      <c r="D912" s="79"/>
      <c r="E912" s="79"/>
      <c r="M912" s="79"/>
      <c r="R912" s="79"/>
      <c r="S912" s="79"/>
      <c r="V912" s="79"/>
      <c r="W912" s="79"/>
      <c r="Z912" s="130"/>
      <c r="AB912" s="106"/>
    </row>
    <row r="913">
      <c r="C913" s="79"/>
      <c r="D913" s="79"/>
      <c r="E913" s="79"/>
      <c r="M913" s="79"/>
      <c r="R913" s="79"/>
      <c r="S913" s="79"/>
      <c r="V913" s="79"/>
      <c r="W913" s="79"/>
      <c r="Z913" s="130"/>
      <c r="AB913" s="106"/>
    </row>
    <row r="914">
      <c r="C914" s="79"/>
      <c r="D914" s="79"/>
      <c r="E914" s="79"/>
      <c r="M914" s="79"/>
      <c r="R914" s="79"/>
      <c r="S914" s="79"/>
      <c r="V914" s="79"/>
      <c r="W914" s="79"/>
      <c r="Z914" s="130"/>
      <c r="AB914" s="106"/>
    </row>
    <row r="915">
      <c r="C915" s="79"/>
      <c r="D915" s="79"/>
      <c r="E915" s="79"/>
      <c r="M915" s="79"/>
      <c r="R915" s="79"/>
      <c r="S915" s="79"/>
      <c r="V915" s="79"/>
      <c r="W915" s="79"/>
      <c r="Z915" s="130"/>
      <c r="AB915" s="106"/>
    </row>
    <row r="916">
      <c r="C916" s="79"/>
      <c r="D916" s="79"/>
      <c r="E916" s="79"/>
      <c r="M916" s="79"/>
      <c r="R916" s="79"/>
      <c r="S916" s="79"/>
      <c r="V916" s="79"/>
      <c r="W916" s="79"/>
      <c r="Z916" s="130"/>
      <c r="AB916" s="106"/>
    </row>
    <row r="917">
      <c r="C917" s="79"/>
      <c r="D917" s="79"/>
      <c r="E917" s="79"/>
      <c r="M917" s="79"/>
      <c r="R917" s="79"/>
      <c r="S917" s="79"/>
      <c r="V917" s="79"/>
      <c r="W917" s="79"/>
      <c r="Z917" s="130"/>
      <c r="AB917" s="106"/>
    </row>
    <row r="918">
      <c r="C918" s="79"/>
      <c r="D918" s="79"/>
      <c r="E918" s="79"/>
      <c r="M918" s="79"/>
      <c r="R918" s="79"/>
      <c r="S918" s="79"/>
      <c r="V918" s="79"/>
      <c r="W918" s="79"/>
      <c r="Z918" s="130"/>
      <c r="AB918" s="106"/>
    </row>
    <row r="919">
      <c r="C919" s="79"/>
      <c r="D919" s="79"/>
      <c r="E919" s="79"/>
      <c r="M919" s="79"/>
      <c r="R919" s="79"/>
      <c r="S919" s="79"/>
      <c r="V919" s="79"/>
      <c r="W919" s="79"/>
      <c r="Z919" s="130"/>
      <c r="AB919" s="106"/>
    </row>
    <row r="920">
      <c r="C920" s="79"/>
      <c r="D920" s="79"/>
      <c r="E920" s="79"/>
      <c r="M920" s="79"/>
      <c r="R920" s="79"/>
      <c r="S920" s="79"/>
      <c r="V920" s="79"/>
      <c r="W920" s="79"/>
      <c r="Z920" s="130"/>
      <c r="AB920" s="106"/>
    </row>
    <row r="921">
      <c r="C921" s="79"/>
      <c r="D921" s="79"/>
      <c r="E921" s="79"/>
      <c r="M921" s="79"/>
      <c r="R921" s="79"/>
      <c r="S921" s="79"/>
      <c r="V921" s="79"/>
      <c r="W921" s="79"/>
      <c r="Z921" s="130"/>
      <c r="AB921" s="106"/>
    </row>
    <row r="922">
      <c r="C922" s="79"/>
      <c r="D922" s="79"/>
      <c r="E922" s="79"/>
      <c r="M922" s="79"/>
      <c r="R922" s="79"/>
      <c r="S922" s="79"/>
      <c r="V922" s="79"/>
      <c r="W922" s="79"/>
      <c r="Z922" s="130"/>
      <c r="AB922" s="106"/>
    </row>
    <row r="923">
      <c r="C923" s="79"/>
      <c r="D923" s="79"/>
      <c r="E923" s="79"/>
      <c r="M923" s="79"/>
      <c r="R923" s="79"/>
      <c r="S923" s="79"/>
      <c r="V923" s="79"/>
      <c r="W923" s="79"/>
      <c r="Z923" s="130"/>
      <c r="AB923" s="106"/>
    </row>
    <row r="924">
      <c r="C924" s="79"/>
      <c r="D924" s="79"/>
      <c r="E924" s="79"/>
      <c r="M924" s="79"/>
      <c r="R924" s="79"/>
      <c r="S924" s="79"/>
      <c r="V924" s="79"/>
      <c r="W924" s="79"/>
      <c r="Z924" s="130"/>
      <c r="AB924" s="106"/>
    </row>
    <row r="925">
      <c r="C925" s="79"/>
      <c r="D925" s="79"/>
      <c r="E925" s="79"/>
      <c r="M925" s="79"/>
      <c r="R925" s="79"/>
      <c r="S925" s="79"/>
      <c r="V925" s="79"/>
      <c r="W925" s="79"/>
      <c r="Z925" s="130"/>
      <c r="AB925" s="106"/>
    </row>
    <row r="926">
      <c r="C926" s="79"/>
      <c r="D926" s="79"/>
      <c r="E926" s="79"/>
      <c r="M926" s="79"/>
      <c r="R926" s="79"/>
      <c r="S926" s="79"/>
      <c r="V926" s="79"/>
      <c r="W926" s="79"/>
      <c r="Z926" s="130"/>
      <c r="AB926" s="106"/>
    </row>
    <row r="927">
      <c r="C927" s="79"/>
      <c r="D927" s="79"/>
      <c r="E927" s="79"/>
      <c r="M927" s="79"/>
      <c r="R927" s="79"/>
      <c r="S927" s="79"/>
      <c r="V927" s="79"/>
      <c r="W927" s="79"/>
      <c r="Z927" s="130"/>
      <c r="AB927" s="106"/>
    </row>
    <row r="928">
      <c r="C928" s="79"/>
      <c r="D928" s="79"/>
      <c r="E928" s="79"/>
      <c r="M928" s="79"/>
      <c r="R928" s="79"/>
      <c r="S928" s="79"/>
      <c r="V928" s="79"/>
      <c r="W928" s="79"/>
      <c r="Z928" s="130"/>
      <c r="AB928" s="106"/>
    </row>
    <row r="929">
      <c r="C929" s="79"/>
      <c r="D929" s="79"/>
      <c r="E929" s="79"/>
      <c r="M929" s="79"/>
      <c r="R929" s="79"/>
      <c r="S929" s="79"/>
      <c r="V929" s="79"/>
      <c r="W929" s="79"/>
      <c r="Z929" s="130"/>
      <c r="AB929" s="106"/>
    </row>
    <row r="930">
      <c r="C930" s="79"/>
      <c r="D930" s="79"/>
      <c r="E930" s="79"/>
      <c r="M930" s="79"/>
      <c r="R930" s="79"/>
      <c r="S930" s="79"/>
      <c r="V930" s="79"/>
      <c r="W930" s="79"/>
      <c r="Z930" s="130"/>
      <c r="AB930" s="106"/>
    </row>
    <row r="931">
      <c r="C931" s="79"/>
      <c r="D931" s="79"/>
      <c r="E931" s="79"/>
      <c r="M931" s="79"/>
      <c r="R931" s="79"/>
      <c r="S931" s="79"/>
      <c r="V931" s="79"/>
      <c r="W931" s="79"/>
      <c r="Z931" s="130"/>
      <c r="AB931" s="106"/>
    </row>
    <row r="932">
      <c r="C932" s="79"/>
      <c r="D932" s="79"/>
      <c r="E932" s="79"/>
      <c r="M932" s="79"/>
      <c r="R932" s="79"/>
      <c r="S932" s="79"/>
      <c r="V932" s="79"/>
      <c r="W932" s="79"/>
      <c r="Z932" s="130"/>
      <c r="AB932" s="106"/>
    </row>
    <row r="933">
      <c r="C933" s="79"/>
      <c r="D933" s="79"/>
      <c r="E933" s="79"/>
      <c r="M933" s="79"/>
      <c r="R933" s="79"/>
      <c r="S933" s="79"/>
      <c r="V933" s="79"/>
      <c r="W933" s="79"/>
      <c r="Z933" s="130"/>
      <c r="AB933" s="106"/>
    </row>
    <row r="934">
      <c r="C934" s="79"/>
      <c r="D934" s="79"/>
      <c r="E934" s="79"/>
      <c r="M934" s="79"/>
      <c r="R934" s="79"/>
      <c r="S934" s="79"/>
      <c r="V934" s="79"/>
      <c r="W934" s="79"/>
      <c r="Z934" s="130"/>
      <c r="AB934" s="106"/>
    </row>
    <row r="935">
      <c r="C935" s="79"/>
      <c r="D935" s="79"/>
      <c r="E935" s="79"/>
      <c r="M935" s="79"/>
      <c r="R935" s="79"/>
      <c r="S935" s="79"/>
      <c r="V935" s="79"/>
      <c r="W935" s="79"/>
      <c r="Z935" s="130"/>
      <c r="AB935" s="106"/>
    </row>
    <row r="936">
      <c r="C936" s="79"/>
      <c r="D936" s="79"/>
      <c r="E936" s="79"/>
      <c r="M936" s="79"/>
      <c r="R936" s="79"/>
      <c r="S936" s="79"/>
      <c r="V936" s="79"/>
      <c r="W936" s="79"/>
      <c r="Z936" s="130"/>
      <c r="AB936" s="106"/>
    </row>
    <row r="937">
      <c r="C937" s="79"/>
      <c r="D937" s="79"/>
      <c r="E937" s="79"/>
      <c r="M937" s="79"/>
      <c r="R937" s="79"/>
      <c r="S937" s="79"/>
      <c r="V937" s="79"/>
      <c r="W937" s="79"/>
      <c r="Z937" s="130"/>
      <c r="AB937" s="106"/>
    </row>
    <row r="938">
      <c r="C938" s="79"/>
      <c r="D938" s="79"/>
      <c r="E938" s="79"/>
      <c r="M938" s="79"/>
      <c r="R938" s="79"/>
      <c r="S938" s="79"/>
      <c r="V938" s="79"/>
      <c r="W938" s="79"/>
      <c r="Z938" s="130"/>
      <c r="AB938" s="106"/>
    </row>
    <row r="939">
      <c r="C939" s="79"/>
      <c r="D939" s="79"/>
      <c r="E939" s="79"/>
      <c r="M939" s="79"/>
      <c r="R939" s="79"/>
      <c r="S939" s="79"/>
      <c r="V939" s="79"/>
      <c r="W939" s="79"/>
      <c r="Z939" s="130"/>
      <c r="AB939" s="106"/>
    </row>
    <row r="940">
      <c r="C940" s="79"/>
      <c r="D940" s="79"/>
      <c r="E940" s="79"/>
      <c r="M940" s="79"/>
      <c r="R940" s="79"/>
      <c r="S940" s="79"/>
      <c r="V940" s="79"/>
      <c r="W940" s="79"/>
      <c r="Z940" s="130"/>
      <c r="AB940" s="106"/>
    </row>
    <row r="941">
      <c r="C941" s="79"/>
      <c r="D941" s="79"/>
      <c r="E941" s="79"/>
      <c r="M941" s="79"/>
      <c r="R941" s="79"/>
      <c r="S941" s="79"/>
      <c r="V941" s="79"/>
      <c r="W941" s="79"/>
      <c r="Z941" s="130"/>
      <c r="AB941" s="106"/>
    </row>
    <row r="942">
      <c r="C942" s="79"/>
      <c r="D942" s="79"/>
      <c r="E942" s="79"/>
      <c r="M942" s="79"/>
      <c r="R942" s="79"/>
      <c r="S942" s="79"/>
      <c r="V942" s="79"/>
      <c r="W942" s="79"/>
      <c r="Z942" s="130"/>
      <c r="AB942" s="106"/>
    </row>
    <row r="943">
      <c r="C943" s="79"/>
      <c r="D943" s="79"/>
      <c r="E943" s="79"/>
      <c r="M943" s="79"/>
      <c r="R943" s="79"/>
      <c r="S943" s="79"/>
      <c r="V943" s="79"/>
      <c r="W943" s="79"/>
      <c r="Z943" s="130"/>
      <c r="AB943" s="106"/>
    </row>
    <row r="944">
      <c r="C944" s="79"/>
      <c r="D944" s="79"/>
      <c r="E944" s="79"/>
      <c r="M944" s="79"/>
      <c r="R944" s="79"/>
      <c r="S944" s="79"/>
      <c r="V944" s="79"/>
      <c r="W944" s="79"/>
      <c r="Z944" s="130"/>
      <c r="AB944" s="106"/>
    </row>
    <row r="945">
      <c r="C945" s="79"/>
      <c r="D945" s="79"/>
      <c r="E945" s="79"/>
      <c r="M945" s="79"/>
      <c r="R945" s="79"/>
      <c r="S945" s="79"/>
      <c r="V945" s="79"/>
      <c r="W945" s="79"/>
      <c r="Z945" s="130"/>
      <c r="AB945" s="106"/>
    </row>
    <row r="946">
      <c r="C946" s="79"/>
      <c r="D946" s="79"/>
      <c r="E946" s="79"/>
      <c r="M946" s="79"/>
      <c r="R946" s="79"/>
      <c r="S946" s="79"/>
      <c r="V946" s="79"/>
      <c r="W946" s="79"/>
      <c r="Z946" s="130"/>
      <c r="AB946" s="106"/>
    </row>
    <row r="947">
      <c r="C947" s="79"/>
      <c r="D947" s="79"/>
      <c r="E947" s="79"/>
      <c r="M947" s="79"/>
      <c r="R947" s="79"/>
      <c r="S947" s="79"/>
      <c r="V947" s="79"/>
      <c r="W947" s="79"/>
      <c r="Z947" s="130"/>
      <c r="AB947" s="106"/>
    </row>
    <row r="948">
      <c r="C948" s="79"/>
      <c r="D948" s="79"/>
      <c r="E948" s="79"/>
      <c r="M948" s="79"/>
      <c r="R948" s="79"/>
      <c r="S948" s="79"/>
      <c r="V948" s="79"/>
      <c r="W948" s="79"/>
      <c r="Z948" s="130"/>
      <c r="AB948" s="106"/>
    </row>
    <row r="949">
      <c r="C949" s="79"/>
      <c r="D949" s="79"/>
      <c r="E949" s="79"/>
      <c r="M949" s="79"/>
      <c r="R949" s="79"/>
      <c r="S949" s="79"/>
      <c r="V949" s="79"/>
      <c r="W949" s="79"/>
      <c r="Z949" s="130"/>
      <c r="AB949" s="106"/>
    </row>
    <row r="950">
      <c r="C950" s="79"/>
      <c r="D950" s="79"/>
      <c r="E950" s="79"/>
      <c r="M950" s="79"/>
      <c r="R950" s="79"/>
      <c r="S950" s="79"/>
      <c r="V950" s="79"/>
      <c r="W950" s="79"/>
      <c r="Z950" s="130"/>
      <c r="AB950" s="106"/>
    </row>
    <row r="951">
      <c r="C951" s="79"/>
      <c r="D951" s="79"/>
      <c r="E951" s="79"/>
      <c r="M951" s="79"/>
      <c r="R951" s="79"/>
      <c r="S951" s="79"/>
      <c r="V951" s="79"/>
      <c r="W951" s="79"/>
      <c r="Z951" s="130"/>
      <c r="AB951" s="106"/>
    </row>
    <row r="952">
      <c r="C952" s="79"/>
      <c r="D952" s="79"/>
      <c r="E952" s="79"/>
      <c r="M952" s="79"/>
      <c r="R952" s="79"/>
      <c r="S952" s="79"/>
      <c r="V952" s="79"/>
      <c r="W952" s="79"/>
      <c r="Z952" s="130"/>
      <c r="AB952" s="106"/>
    </row>
    <row r="953">
      <c r="C953" s="79"/>
      <c r="D953" s="79"/>
      <c r="E953" s="79"/>
      <c r="M953" s="79"/>
      <c r="R953" s="79"/>
      <c r="S953" s="79"/>
      <c r="V953" s="79"/>
      <c r="W953" s="79"/>
      <c r="Z953" s="130"/>
      <c r="AB953" s="106"/>
    </row>
    <row r="954">
      <c r="C954" s="79"/>
      <c r="D954" s="79"/>
      <c r="E954" s="79"/>
      <c r="M954" s="79"/>
      <c r="R954" s="79"/>
      <c r="S954" s="79"/>
      <c r="V954" s="79"/>
      <c r="W954" s="79"/>
      <c r="Z954" s="130"/>
      <c r="AB954" s="106"/>
    </row>
    <row r="955">
      <c r="C955" s="79"/>
      <c r="D955" s="79"/>
      <c r="E955" s="79"/>
      <c r="M955" s="79"/>
      <c r="R955" s="79"/>
      <c r="S955" s="79"/>
      <c r="V955" s="79"/>
      <c r="W955" s="79"/>
      <c r="Z955" s="130"/>
      <c r="AB955" s="106"/>
    </row>
    <row r="956">
      <c r="C956" s="79"/>
      <c r="D956" s="79"/>
      <c r="E956" s="79"/>
      <c r="M956" s="79"/>
      <c r="R956" s="79"/>
      <c r="S956" s="79"/>
      <c r="V956" s="79"/>
      <c r="W956" s="79"/>
      <c r="Z956" s="130"/>
      <c r="AB956" s="106"/>
    </row>
    <row r="957">
      <c r="C957" s="79"/>
      <c r="D957" s="79"/>
      <c r="E957" s="79"/>
      <c r="M957" s="79"/>
      <c r="R957" s="79"/>
      <c r="S957" s="79"/>
      <c r="V957" s="79"/>
      <c r="W957" s="79"/>
      <c r="Z957" s="130"/>
      <c r="AB957" s="106"/>
    </row>
    <row r="958">
      <c r="C958" s="79"/>
      <c r="D958" s="79"/>
      <c r="E958" s="79"/>
      <c r="M958" s="79"/>
      <c r="R958" s="79"/>
      <c r="S958" s="79"/>
      <c r="V958" s="79"/>
      <c r="W958" s="79"/>
      <c r="Z958" s="130"/>
      <c r="AB958" s="106"/>
    </row>
    <row r="959">
      <c r="C959" s="79"/>
      <c r="D959" s="79"/>
      <c r="E959" s="79"/>
      <c r="M959" s="79"/>
      <c r="R959" s="79"/>
      <c r="S959" s="79"/>
      <c r="V959" s="79"/>
      <c r="W959" s="79"/>
      <c r="Z959" s="130"/>
      <c r="AB959" s="106"/>
    </row>
    <row r="960">
      <c r="C960" s="79"/>
      <c r="D960" s="79"/>
      <c r="E960" s="79"/>
      <c r="M960" s="79"/>
      <c r="R960" s="79"/>
      <c r="S960" s="79"/>
      <c r="V960" s="79"/>
      <c r="W960" s="79"/>
      <c r="Z960" s="130"/>
      <c r="AB960" s="106"/>
    </row>
    <row r="961">
      <c r="C961" s="79"/>
      <c r="D961" s="79"/>
      <c r="E961" s="79"/>
      <c r="M961" s="79"/>
      <c r="R961" s="79"/>
      <c r="S961" s="79"/>
      <c r="V961" s="79"/>
      <c r="W961" s="79"/>
      <c r="Z961" s="130"/>
      <c r="AB961" s="106"/>
    </row>
    <row r="962">
      <c r="C962" s="79"/>
      <c r="D962" s="79"/>
      <c r="E962" s="79"/>
      <c r="M962" s="79"/>
      <c r="R962" s="79"/>
      <c r="S962" s="79"/>
      <c r="V962" s="79"/>
      <c r="W962" s="79"/>
      <c r="Z962" s="130"/>
      <c r="AB962" s="106"/>
    </row>
    <row r="963">
      <c r="C963" s="79"/>
      <c r="D963" s="79"/>
      <c r="E963" s="79"/>
      <c r="M963" s="79"/>
      <c r="R963" s="79"/>
      <c r="S963" s="79"/>
      <c r="V963" s="79"/>
      <c r="W963" s="79"/>
      <c r="Z963" s="130"/>
      <c r="AB963" s="106"/>
    </row>
    <row r="964">
      <c r="C964" s="79"/>
      <c r="D964" s="79"/>
      <c r="E964" s="79"/>
      <c r="M964" s="79"/>
      <c r="R964" s="79"/>
      <c r="S964" s="79"/>
      <c r="V964" s="79"/>
      <c r="W964" s="79"/>
      <c r="Z964" s="130"/>
      <c r="AB964" s="106"/>
    </row>
    <row r="965">
      <c r="C965" s="79"/>
      <c r="D965" s="79"/>
      <c r="E965" s="79"/>
      <c r="M965" s="79"/>
      <c r="R965" s="79"/>
      <c r="S965" s="79"/>
      <c r="V965" s="79"/>
      <c r="W965" s="79"/>
      <c r="Z965" s="130"/>
      <c r="AB965" s="106"/>
    </row>
    <row r="966">
      <c r="C966" s="79"/>
      <c r="D966" s="79"/>
      <c r="E966" s="79"/>
      <c r="M966" s="79"/>
      <c r="R966" s="79"/>
      <c r="S966" s="79"/>
      <c r="V966" s="79"/>
      <c r="W966" s="79"/>
      <c r="Z966" s="130"/>
      <c r="AB966" s="106"/>
    </row>
    <row r="967">
      <c r="C967" s="79"/>
      <c r="D967" s="79"/>
      <c r="E967" s="79"/>
      <c r="M967" s="79"/>
      <c r="R967" s="79"/>
      <c r="S967" s="79"/>
      <c r="V967" s="79"/>
      <c r="W967" s="79"/>
      <c r="Z967" s="130"/>
      <c r="AB967" s="106"/>
    </row>
    <row r="968">
      <c r="C968" s="79"/>
      <c r="D968" s="79"/>
      <c r="E968" s="79"/>
      <c r="M968" s="79"/>
      <c r="R968" s="79"/>
      <c r="S968" s="79"/>
      <c r="V968" s="79"/>
      <c r="W968" s="79"/>
      <c r="Z968" s="130"/>
      <c r="AB968" s="106"/>
    </row>
    <row r="969">
      <c r="C969" s="79"/>
      <c r="D969" s="79"/>
      <c r="E969" s="79"/>
      <c r="M969" s="79"/>
      <c r="R969" s="79"/>
      <c r="S969" s="79"/>
      <c r="V969" s="79"/>
      <c r="W969" s="79"/>
      <c r="Z969" s="130"/>
      <c r="AB969" s="106"/>
    </row>
    <row r="970">
      <c r="C970" s="79"/>
      <c r="D970" s="79"/>
      <c r="E970" s="79"/>
      <c r="M970" s="79"/>
      <c r="R970" s="79"/>
      <c r="S970" s="79"/>
      <c r="V970" s="79"/>
      <c r="W970" s="79"/>
      <c r="Z970" s="130"/>
      <c r="AB970" s="106"/>
    </row>
    <row r="971">
      <c r="C971" s="79"/>
      <c r="D971" s="79"/>
      <c r="E971" s="79"/>
      <c r="M971" s="79"/>
      <c r="R971" s="79"/>
      <c r="S971" s="79"/>
      <c r="V971" s="79"/>
      <c r="W971" s="79"/>
      <c r="Z971" s="130"/>
      <c r="AB971" s="106"/>
    </row>
    <row r="972">
      <c r="C972" s="79"/>
      <c r="D972" s="79"/>
      <c r="E972" s="79"/>
      <c r="M972" s="79"/>
      <c r="R972" s="79"/>
      <c r="S972" s="79"/>
      <c r="V972" s="79"/>
      <c r="W972" s="79"/>
      <c r="Z972" s="130"/>
      <c r="AB972" s="106"/>
    </row>
    <row r="973">
      <c r="C973" s="79"/>
      <c r="D973" s="79"/>
      <c r="E973" s="79"/>
      <c r="M973" s="79"/>
      <c r="R973" s="79"/>
      <c r="S973" s="79"/>
      <c r="V973" s="79"/>
      <c r="W973" s="79"/>
      <c r="Z973" s="130"/>
      <c r="AB973" s="106"/>
    </row>
    <row r="974">
      <c r="C974" s="79"/>
      <c r="D974" s="79"/>
      <c r="E974" s="79"/>
      <c r="M974" s="79"/>
      <c r="R974" s="79"/>
      <c r="S974" s="79"/>
      <c r="V974" s="79"/>
      <c r="W974" s="79"/>
      <c r="Z974" s="130"/>
      <c r="AB974" s="106"/>
    </row>
    <row r="975">
      <c r="C975" s="79"/>
      <c r="D975" s="79"/>
      <c r="E975" s="79"/>
      <c r="M975" s="79"/>
      <c r="R975" s="79"/>
      <c r="S975" s="79"/>
      <c r="V975" s="79"/>
      <c r="W975" s="79"/>
      <c r="Z975" s="130"/>
      <c r="AB975" s="106"/>
    </row>
    <row r="976">
      <c r="C976" s="79"/>
      <c r="D976" s="79"/>
      <c r="E976" s="79"/>
      <c r="M976" s="79"/>
      <c r="R976" s="79"/>
      <c r="S976" s="79"/>
      <c r="V976" s="79"/>
      <c r="W976" s="79"/>
      <c r="Z976" s="130"/>
      <c r="AB976" s="106"/>
    </row>
    <row r="977">
      <c r="C977" s="79"/>
      <c r="D977" s="79"/>
      <c r="E977" s="79"/>
      <c r="M977" s="79"/>
      <c r="R977" s="79"/>
      <c r="S977" s="79"/>
      <c r="V977" s="79"/>
      <c r="W977" s="79"/>
      <c r="Z977" s="130"/>
      <c r="AB977" s="106"/>
    </row>
    <row r="978">
      <c r="C978" s="79"/>
      <c r="D978" s="79"/>
      <c r="E978" s="79"/>
      <c r="M978" s="79"/>
      <c r="R978" s="79"/>
      <c r="S978" s="79"/>
      <c r="V978" s="79"/>
      <c r="W978" s="79"/>
      <c r="Z978" s="130"/>
      <c r="AB978" s="106"/>
    </row>
    <row r="979">
      <c r="C979" s="79"/>
      <c r="D979" s="79"/>
      <c r="E979" s="79"/>
      <c r="M979" s="79"/>
      <c r="R979" s="79"/>
      <c r="S979" s="79"/>
      <c r="V979" s="79"/>
      <c r="W979" s="79"/>
      <c r="Z979" s="130"/>
      <c r="AB979" s="106"/>
    </row>
    <row r="980">
      <c r="C980" s="79"/>
      <c r="D980" s="79"/>
      <c r="E980" s="79"/>
      <c r="M980" s="79"/>
      <c r="R980" s="79"/>
      <c r="S980" s="79"/>
      <c r="V980" s="79"/>
      <c r="W980" s="79"/>
      <c r="Z980" s="130"/>
      <c r="AB980" s="106"/>
    </row>
  </sheetData>
  <drawing r:id="rId2"/>
  <legacyDrawing r:id="rId3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5" max="5" width="13.5"/>
    <col customWidth="1" min="7" max="7" width="13.25"/>
    <col customWidth="1" min="24" max="24" width="14.63"/>
    <col customWidth="1" min="28" max="28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3</v>
      </c>
      <c r="G1" s="2" t="s">
        <v>203</v>
      </c>
      <c r="H1" s="2" t="s">
        <v>129</v>
      </c>
      <c r="I1" s="2" t="s">
        <v>5</v>
      </c>
      <c r="J1" s="2" t="s">
        <v>204</v>
      </c>
      <c r="K1" s="2" t="s">
        <v>6</v>
      </c>
      <c r="L1" s="2" t="s">
        <v>12</v>
      </c>
      <c r="M1" s="105" t="s">
        <v>40</v>
      </c>
      <c r="N1" s="2" t="s">
        <v>49</v>
      </c>
      <c r="O1" s="2" t="s">
        <v>42</v>
      </c>
      <c r="P1" s="2" t="s">
        <v>121</v>
      </c>
      <c r="Q1" s="2" t="s">
        <v>164</v>
      </c>
      <c r="R1" s="105" t="s">
        <v>9</v>
      </c>
      <c r="S1" s="105" t="s">
        <v>165</v>
      </c>
      <c r="T1" s="2" t="s">
        <v>37</v>
      </c>
      <c r="U1" s="2" t="s">
        <v>10</v>
      </c>
      <c r="V1" s="105" t="s">
        <v>11</v>
      </c>
      <c r="W1" s="105" t="s">
        <v>205</v>
      </c>
      <c r="X1" s="2" t="s">
        <v>206</v>
      </c>
      <c r="Y1" s="3" t="s">
        <v>13</v>
      </c>
      <c r="Z1" s="3" t="s">
        <v>14</v>
      </c>
      <c r="AA1" s="3" t="s">
        <v>15</v>
      </c>
      <c r="AB1" s="106"/>
    </row>
    <row r="2">
      <c r="A2" s="74">
        <v>45313.0</v>
      </c>
      <c r="B2" s="93">
        <f>1507.62-119.92-35.8-54.72-129.24-265.2-55.36-24.6-12.88-28.71-41.89-69</f>
        <v>670.3</v>
      </c>
      <c r="C2" s="93">
        <v>137.25</v>
      </c>
      <c r="D2" s="193">
        <f>283.4-100.1-55</f>
        <v>128.3</v>
      </c>
      <c r="E2" s="93"/>
      <c r="F2" s="93">
        <v>180.0</v>
      </c>
      <c r="G2" s="93"/>
      <c r="H2" s="93">
        <v>256.48</v>
      </c>
      <c r="I2" s="93"/>
      <c r="J2" s="93"/>
      <c r="K2" s="93"/>
      <c r="L2" s="93"/>
      <c r="M2" s="93"/>
      <c r="N2" s="93">
        <v>168.0</v>
      </c>
      <c r="O2" s="93"/>
      <c r="P2" s="93"/>
      <c r="Q2" s="93"/>
      <c r="R2" s="93"/>
      <c r="S2" s="93"/>
      <c r="T2" s="72"/>
      <c r="U2" s="93">
        <v>155.0</v>
      </c>
      <c r="V2" s="93">
        <v>57.05</v>
      </c>
      <c r="W2" s="93"/>
      <c r="X2" s="5"/>
      <c r="Y2" s="107">
        <f t="shared" ref="Y2:Y8" si="1">SUM(B2:X2)</f>
        <v>1752.38</v>
      </c>
      <c r="Z2" s="158">
        <v>3011.0</v>
      </c>
      <c r="AA2" s="59">
        <f t="shared" ref="AA2:AA8" si="2">Y2/Z2</f>
        <v>0.5819926935</v>
      </c>
      <c r="AB2" s="109">
        <f t="shared" ref="AB2:AB8" si="3">A2</f>
        <v>45313</v>
      </c>
    </row>
    <row r="3">
      <c r="A3" s="74">
        <v>45314.0</v>
      </c>
      <c r="B3" s="93">
        <f>282.5-180+764.94-32-12.91-23.12-65.96+478.27</f>
        <v>1211.72</v>
      </c>
      <c r="C3" s="93">
        <v>10.0</v>
      </c>
      <c r="D3" s="193">
        <f>410.2-156</f>
        <v>254.2</v>
      </c>
      <c r="E3" s="93"/>
      <c r="F3" s="93"/>
      <c r="G3" s="93"/>
      <c r="H3" s="93"/>
      <c r="I3" s="93">
        <v>580.8</v>
      </c>
      <c r="J3" s="93"/>
      <c r="K3" s="93"/>
      <c r="L3" s="93"/>
      <c r="M3" s="93"/>
      <c r="N3" s="93"/>
      <c r="O3" s="180">
        <v>389.0</v>
      </c>
      <c r="P3" s="101"/>
      <c r="Q3" s="93"/>
      <c r="R3" s="93"/>
      <c r="S3" s="93"/>
      <c r="T3" s="93"/>
      <c r="U3" s="93"/>
      <c r="V3" s="93"/>
      <c r="W3" s="93"/>
      <c r="X3" s="93"/>
      <c r="Y3" s="107">
        <f t="shared" si="1"/>
        <v>2445.72</v>
      </c>
      <c r="Z3" s="158">
        <v>5850.3</v>
      </c>
      <c r="AA3" s="59">
        <f t="shared" si="2"/>
        <v>0.4180503564</v>
      </c>
      <c r="AB3" s="109">
        <f t="shared" si="3"/>
        <v>45314</v>
      </c>
    </row>
    <row r="4">
      <c r="A4" s="74">
        <v>45315.0</v>
      </c>
      <c r="B4" s="93">
        <f>215.05+1078.53-277.46-17.88-28.26-46.32-81.15-19.08-32.98-26.61-64</f>
        <v>699.84</v>
      </c>
      <c r="C4" s="93">
        <f>81+163.15-8.5-41.5</f>
        <v>194.15</v>
      </c>
      <c r="D4" s="180">
        <v>661.36</v>
      </c>
      <c r="E4" s="93"/>
      <c r="F4" s="93"/>
      <c r="G4" s="93"/>
      <c r="H4" s="93"/>
      <c r="I4" s="93"/>
      <c r="J4" s="93"/>
      <c r="K4" s="93">
        <v>85.4</v>
      </c>
      <c r="L4" s="93"/>
      <c r="M4" s="93"/>
      <c r="N4" s="93"/>
      <c r="O4" s="93"/>
      <c r="P4" s="93">
        <v>18.5</v>
      </c>
      <c r="Q4" s="93"/>
      <c r="R4" s="93">
        <v>110.0</v>
      </c>
      <c r="S4" s="93"/>
      <c r="T4" s="160"/>
      <c r="U4" s="93"/>
      <c r="V4" s="93">
        <v>57.05</v>
      </c>
      <c r="W4" s="93"/>
      <c r="X4" s="6"/>
      <c r="Y4" s="107">
        <f t="shared" si="1"/>
        <v>1826.3</v>
      </c>
      <c r="Z4" s="97">
        <f>1047+3269</f>
        <v>4316</v>
      </c>
      <c r="AA4" s="59">
        <f t="shared" si="2"/>
        <v>0.4231464319</v>
      </c>
      <c r="AB4" s="109">
        <f t="shared" si="3"/>
        <v>45315</v>
      </c>
    </row>
    <row r="5">
      <c r="A5" s="74">
        <v>45316.0</v>
      </c>
      <c r="B5" s="93">
        <f>1503.07-20.14-58.4-161.63-203.41-12.88-65.52-33.04-92.48-42.39-97.13-14.17+14.84-79.84</f>
        <v>636.88</v>
      </c>
      <c r="C5" s="93">
        <f>498.41-32.5-17.5</f>
        <v>448.41</v>
      </c>
      <c r="D5" s="93">
        <f>387.39-242.48</f>
        <v>144.91</v>
      </c>
      <c r="E5" s="93"/>
      <c r="F5" s="93">
        <v>180.0</v>
      </c>
      <c r="G5" s="160"/>
      <c r="H5" s="93"/>
      <c r="I5" s="93"/>
      <c r="J5" s="93"/>
      <c r="K5" s="93"/>
      <c r="L5" s="93"/>
      <c r="M5" s="93"/>
      <c r="N5" s="93"/>
      <c r="O5" s="93"/>
      <c r="P5" s="93">
        <v>18.5</v>
      </c>
      <c r="Q5" s="93"/>
      <c r="R5" s="93"/>
      <c r="S5" s="93"/>
      <c r="T5" s="93"/>
      <c r="U5" s="93"/>
      <c r="V5" s="101"/>
      <c r="W5" s="101"/>
      <c r="X5" s="6"/>
      <c r="Y5" s="7">
        <f t="shared" si="1"/>
        <v>1428.7</v>
      </c>
      <c r="Z5" s="97">
        <v>8036.02</v>
      </c>
      <c r="AA5" s="59">
        <f t="shared" si="2"/>
        <v>0.177787014</v>
      </c>
      <c r="AB5" s="109">
        <f t="shared" si="3"/>
        <v>45316</v>
      </c>
    </row>
    <row r="6">
      <c r="A6" s="74">
        <v>45317.0</v>
      </c>
      <c r="B6" s="93">
        <f>1813.25-20.65-38.52-17.88-33.04-62.01-51.25-34.6-31.46-349-698</f>
        <v>476.84</v>
      </c>
      <c r="C6" s="93">
        <f>387.1-43.75-34</f>
        <v>309.35</v>
      </c>
      <c r="D6" s="93">
        <f>503.4-60.3-118</f>
        <v>325.1</v>
      </c>
      <c r="E6" s="93"/>
      <c r="F6" s="93"/>
      <c r="G6" s="93"/>
      <c r="H6" s="93"/>
      <c r="I6" s="93"/>
      <c r="J6" s="93"/>
      <c r="K6" s="93">
        <v>123.0</v>
      </c>
      <c r="L6" s="93">
        <f>81.22-55.38-5.75-5.75</f>
        <v>14.34</v>
      </c>
      <c r="M6" s="162"/>
      <c r="N6" s="93"/>
      <c r="O6" s="93"/>
      <c r="P6" s="93">
        <v>18.5</v>
      </c>
      <c r="Q6" s="93"/>
      <c r="R6" s="93"/>
      <c r="S6" s="93"/>
      <c r="T6" s="93"/>
      <c r="U6" s="93"/>
      <c r="V6" s="93">
        <v>57.05</v>
      </c>
      <c r="W6" s="93"/>
      <c r="X6" s="5"/>
      <c r="Y6" s="7">
        <f t="shared" si="1"/>
        <v>1324.18</v>
      </c>
      <c r="Z6" s="97">
        <v>8168</v>
      </c>
      <c r="AA6" s="59">
        <f t="shared" si="2"/>
        <v>0.1621180215</v>
      </c>
      <c r="AB6" s="109">
        <f t="shared" si="3"/>
        <v>45317</v>
      </c>
    </row>
    <row r="7">
      <c r="A7" s="74">
        <v>45318.0</v>
      </c>
      <c r="B7" s="93">
        <f>815.67-37.19-10.07-42.42-65.46</f>
        <v>660.53</v>
      </c>
      <c r="C7" s="93"/>
      <c r="D7" s="93">
        <f>131.12+428.27-105.78</f>
        <v>453.61</v>
      </c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101"/>
      <c r="U7" s="101"/>
      <c r="V7" s="101"/>
      <c r="W7" s="101"/>
      <c r="X7" s="5"/>
      <c r="Y7" s="7">
        <f t="shared" si="1"/>
        <v>1114.14</v>
      </c>
      <c r="Z7" s="97">
        <v>13394.86</v>
      </c>
      <c r="AA7" s="59">
        <f t="shared" si="2"/>
        <v>0.0831766812</v>
      </c>
      <c r="AB7" s="109">
        <f t="shared" si="3"/>
        <v>45318</v>
      </c>
    </row>
    <row r="8">
      <c r="A8" s="74">
        <v>45319.0</v>
      </c>
      <c r="B8" s="180">
        <f>778.71+226.1+880.11</f>
        <v>1884.92</v>
      </c>
      <c r="C8" s="1"/>
      <c r="D8" s="180">
        <v>231.81</v>
      </c>
      <c r="E8" s="112" t="s">
        <v>21</v>
      </c>
      <c r="F8" s="112" t="s">
        <v>21</v>
      </c>
      <c r="G8" s="112" t="s">
        <v>21</v>
      </c>
      <c r="H8" s="112" t="s">
        <v>21</v>
      </c>
      <c r="I8" s="112" t="s">
        <v>21</v>
      </c>
      <c r="J8" s="112" t="s">
        <v>21</v>
      </c>
      <c r="K8" s="112" t="s">
        <v>21</v>
      </c>
      <c r="L8" s="112" t="s">
        <v>21</v>
      </c>
      <c r="M8" s="112" t="s">
        <v>21</v>
      </c>
      <c r="N8" s="112" t="s">
        <v>21</v>
      </c>
      <c r="O8" s="93"/>
      <c r="P8" s="112" t="s">
        <v>21</v>
      </c>
      <c r="Q8" s="112" t="s">
        <v>21</v>
      </c>
      <c r="R8" s="112" t="s">
        <v>21</v>
      </c>
      <c r="S8" s="112" t="s">
        <v>21</v>
      </c>
      <c r="T8" s="112" t="s">
        <v>21</v>
      </c>
      <c r="U8" s="112" t="s">
        <v>21</v>
      </c>
      <c r="V8" s="10" t="s">
        <v>21</v>
      </c>
      <c r="W8" s="10" t="s">
        <v>21</v>
      </c>
      <c r="X8" s="10" t="s">
        <v>21</v>
      </c>
      <c r="Y8" s="7">
        <f t="shared" si="1"/>
        <v>2116.73</v>
      </c>
      <c r="Z8" s="97">
        <f>2064.2+2076.95</f>
        <v>4141.15</v>
      </c>
      <c r="AA8" s="59">
        <f t="shared" si="2"/>
        <v>0.5111454548</v>
      </c>
      <c r="AB8" s="109">
        <f t="shared" si="3"/>
        <v>45319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Z9" s="129"/>
      <c r="AB9" s="106"/>
    </row>
    <row r="10">
      <c r="A10" s="164" t="s">
        <v>193</v>
      </c>
      <c r="B10" s="78"/>
      <c r="C10" s="78"/>
      <c r="D10" s="78"/>
      <c r="E10" s="188"/>
      <c r="F10" s="188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Z10" s="129"/>
      <c r="AB10" s="106"/>
    </row>
    <row r="11">
      <c r="A11" s="165" t="s">
        <v>194</v>
      </c>
      <c r="B11" s="93">
        <f>54.72+28.71+41.89+180+32+12.91+23.12+46.32+19.08+69+33.04+51.25+34.6+32.98+26.61+64</f>
        <v>750.23</v>
      </c>
      <c r="C11" s="93">
        <f>32.5+34</f>
        <v>66.5</v>
      </c>
      <c r="D11" s="93">
        <v>156.0</v>
      </c>
      <c r="E11" s="167"/>
      <c r="F11" s="168"/>
      <c r="G11" s="166"/>
      <c r="H11" s="166"/>
      <c r="I11" s="93"/>
      <c r="J11" s="168"/>
      <c r="K11" s="168"/>
      <c r="L11" s="168">
        <f>55.38+5.75+5.75</f>
        <v>66.88</v>
      </c>
      <c r="M11" s="168"/>
      <c r="N11" s="166"/>
      <c r="O11" s="168"/>
      <c r="P11" s="1"/>
      <c r="Q11" s="1"/>
      <c r="R11" s="1"/>
      <c r="S11" s="1"/>
      <c r="T11" s="1"/>
      <c r="U11" s="1"/>
      <c r="V11" s="168"/>
      <c r="W11" s="168"/>
      <c r="X11" s="1"/>
      <c r="Y11" s="1"/>
      <c r="Z11" s="169"/>
      <c r="AA11" s="1"/>
      <c r="AB11" s="170"/>
    </row>
    <row r="12">
      <c r="A12" s="165" t="s">
        <v>195</v>
      </c>
      <c r="B12" s="93">
        <f>35.8+129.24+265.2+24.6+12.88+65.96+28.26+81.15+65.52+33.04+92.48+42.39+97.13+14.17+20.65+38.52+62.01+349+174</f>
        <v>1632</v>
      </c>
      <c r="C12" s="93">
        <f>41.5+17.5+43.75</f>
        <v>102.75</v>
      </c>
      <c r="D12" s="93">
        <f>100.1+55+242.48+60.3+118</f>
        <v>575.88</v>
      </c>
      <c r="E12" s="93"/>
      <c r="F12" s="93"/>
      <c r="G12" s="93"/>
      <c r="H12" s="93"/>
      <c r="I12" s="93"/>
      <c r="J12" s="93"/>
      <c r="K12" s="93"/>
      <c r="L12" s="93"/>
      <c r="M12" s="93"/>
      <c r="N12" s="93">
        <f>156+144</f>
        <v>300</v>
      </c>
      <c r="O12" s="166"/>
      <c r="P12" s="1"/>
      <c r="Q12" s="1"/>
      <c r="R12" s="168"/>
      <c r="S12" s="168"/>
      <c r="T12" s="1"/>
      <c r="U12" s="96"/>
      <c r="V12" s="168"/>
      <c r="W12" s="168"/>
      <c r="X12" s="1"/>
      <c r="Y12" s="1"/>
      <c r="Z12" s="171"/>
      <c r="AA12" s="1"/>
      <c r="AB12" s="170"/>
    </row>
    <row r="13">
      <c r="A13" s="172" t="s">
        <v>197</v>
      </c>
      <c r="B13" s="93">
        <f>161.63+203.41+12.88+79.84</f>
        <v>457.76</v>
      </c>
      <c r="C13" s="93"/>
      <c r="D13" s="93"/>
      <c r="E13" s="168"/>
      <c r="F13" s="166"/>
      <c r="G13" s="168"/>
      <c r="H13" s="168"/>
      <c r="I13" s="168"/>
      <c r="J13" s="168"/>
      <c r="K13" s="168"/>
      <c r="L13" s="168"/>
      <c r="M13" s="168"/>
      <c r="N13" s="166"/>
      <c r="O13" s="168"/>
      <c r="P13" s="1"/>
      <c r="Q13" s="1"/>
      <c r="R13" s="168"/>
      <c r="S13" s="168"/>
      <c r="T13" s="1"/>
      <c r="U13" s="96"/>
      <c r="V13" s="168"/>
      <c r="W13" s="168"/>
      <c r="X13" s="1"/>
      <c r="Y13" s="1"/>
      <c r="Z13" s="174"/>
      <c r="AA13" s="1"/>
      <c r="AB13" s="170"/>
    </row>
    <row r="14">
      <c r="A14" s="172" t="s">
        <v>224</v>
      </c>
      <c r="B14" s="93">
        <f>277.46+17.88+20.14+58.4+37.19+10.07</f>
        <v>421.14</v>
      </c>
      <c r="C14" s="93"/>
      <c r="D14" s="93">
        <v>105.78</v>
      </c>
      <c r="E14" s="168"/>
      <c r="F14" s="166"/>
      <c r="G14" s="168"/>
      <c r="H14" s="168"/>
      <c r="I14" s="168"/>
      <c r="J14" s="168"/>
      <c r="K14" s="168"/>
      <c r="L14" s="168"/>
      <c r="M14" s="168"/>
      <c r="N14" s="166"/>
      <c r="O14" s="168"/>
      <c r="P14" s="1"/>
      <c r="Q14" s="1"/>
      <c r="R14" s="168"/>
      <c r="S14" s="168"/>
      <c r="T14" s="1"/>
      <c r="U14" s="96"/>
      <c r="V14" s="168"/>
      <c r="W14" s="168"/>
      <c r="X14" s="1"/>
      <c r="Y14" s="1"/>
      <c r="Z14" s="174"/>
      <c r="AA14" s="1"/>
      <c r="AB14" s="170"/>
    </row>
    <row r="15">
      <c r="A15" s="165" t="s">
        <v>198</v>
      </c>
      <c r="B15" s="93">
        <f>119.92+55.36+17.88+31.36+524+42.42+65.46</f>
        <v>856.4</v>
      </c>
      <c r="C15" s="93"/>
      <c r="D15" s="93"/>
      <c r="E15" s="168"/>
      <c r="F15" s="166"/>
      <c r="G15" s="168"/>
      <c r="H15" s="168"/>
      <c r="I15" s="168"/>
      <c r="J15" s="168"/>
      <c r="K15" s="168"/>
      <c r="L15" s="168"/>
      <c r="M15" s="168"/>
      <c r="N15" s="166"/>
      <c r="O15" s="168"/>
      <c r="P15" s="1"/>
      <c r="Q15" s="1"/>
      <c r="R15" s="168"/>
      <c r="S15" s="168"/>
      <c r="T15" s="1"/>
      <c r="U15" s="96"/>
      <c r="V15" s="168"/>
      <c r="W15" s="168"/>
      <c r="X15" s="1"/>
      <c r="Y15" s="1"/>
      <c r="Z15" s="174"/>
      <c r="AA15" s="1"/>
      <c r="AB15" s="170"/>
    </row>
    <row r="16">
      <c r="A16" s="91"/>
      <c r="B16" s="92"/>
      <c r="C16" s="79"/>
      <c r="D16" s="79"/>
      <c r="E16" s="79"/>
      <c r="F16" s="78"/>
      <c r="G16" s="78"/>
      <c r="H16" s="78"/>
      <c r="K16" s="79"/>
      <c r="L16" s="79"/>
      <c r="M16" s="78"/>
      <c r="N16" s="79"/>
      <c r="O16" s="79"/>
      <c r="R16" s="79"/>
      <c r="S16" s="79"/>
      <c r="V16" s="79"/>
      <c r="W16" s="79"/>
      <c r="Z16" s="131"/>
      <c r="AB16" s="106"/>
    </row>
    <row r="17">
      <c r="A17" s="91"/>
      <c r="B17" s="92"/>
      <c r="C17" s="78"/>
      <c r="D17" s="78"/>
      <c r="E17" s="78"/>
      <c r="F17" s="198"/>
      <c r="G17" s="204"/>
      <c r="H17" s="204"/>
      <c r="I17" s="198"/>
      <c r="J17" s="199"/>
      <c r="K17" s="199"/>
      <c r="L17" s="200"/>
      <c r="M17" s="201"/>
      <c r="N17" s="202"/>
      <c r="O17" s="198"/>
      <c r="P17" s="198"/>
      <c r="Q17" s="198"/>
      <c r="R17" s="198"/>
      <c r="S17" s="198"/>
      <c r="V17" s="79"/>
      <c r="W17" s="79"/>
      <c r="Z17" s="131"/>
      <c r="AB17" s="106"/>
    </row>
    <row r="18">
      <c r="A18" s="4" t="s">
        <v>22</v>
      </c>
      <c r="B18" s="11">
        <v>10000.0</v>
      </c>
      <c r="C18" s="79"/>
      <c r="D18" s="79"/>
      <c r="E18" s="79"/>
      <c r="F18" s="204"/>
      <c r="G18" s="201"/>
      <c r="H18" s="201"/>
      <c r="I18" s="201"/>
      <c r="J18" s="201"/>
      <c r="K18" s="201"/>
      <c r="L18" s="198"/>
      <c r="M18" s="201"/>
      <c r="N18" s="200"/>
      <c r="O18" s="203"/>
      <c r="P18" s="198"/>
      <c r="Q18" s="198"/>
      <c r="R18" s="198"/>
      <c r="S18" s="198"/>
      <c r="T18" s="204"/>
      <c r="V18" s="79"/>
      <c r="W18" s="79"/>
      <c r="Z18" s="131"/>
      <c r="AB18" s="106"/>
    </row>
    <row r="19">
      <c r="A19" s="4" t="s">
        <v>23</v>
      </c>
      <c r="B19" s="12">
        <f>SUM(B2:X8)</f>
        <v>12008.15</v>
      </c>
      <c r="C19" s="79"/>
      <c r="D19" s="177"/>
      <c r="E19" s="78"/>
      <c r="F19" s="213"/>
      <c r="G19" s="201"/>
      <c r="H19" s="201"/>
      <c r="I19" s="201"/>
      <c r="J19" s="191"/>
      <c r="K19" s="201"/>
      <c r="L19" s="198"/>
      <c r="M19" s="200"/>
      <c r="N19" s="201"/>
      <c r="O19" s="203"/>
      <c r="P19" s="198"/>
      <c r="Q19" s="198"/>
      <c r="R19" s="198"/>
      <c r="S19" s="198"/>
      <c r="T19" s="204"/>
      <c r="V19" s="79"/>
      <c r="W19" s="79"/>
      <c r="Z19" s="131"/>
      <c r="AB19" s="106"/>
    </row>
    <row r="20">
      <c r="A20" s="4" t="s">
        <v>24</v>
      </c>
      <c r="B20" s="12">
        <f> SUM(B18-B19)</f>
        <v>-2008.15</v>
      </c>
      <c r="C20" s="79"/>
      <c r="D20" s="79"/>
      <c r="E20" s="78"/>
      <c r="F20" s="201"/>
      <c r="G20" s="214"/>
      <c r="H20" s="203"/>
      <c r="I20" s="203"/>
      <c r="J20" s="218"/>
      <c r="K20" s="199"/>
      <c r="L20" s="198"/>
      <c r="M20" s="201"/>
      <c r="N20" s="200"/>
      <c r="O20" s="203"/>
      <c r="P20" s="198"/>
      <c r="Q20" s="198"/>
      <c r="R20" s="198"/>
      <c r="S20" s="198"/>
      <c r="T20" s="204"/>
      <c r="V20" s="79"/>
      <c r="W20" s="79"/>
      <c r="Z20" s="131"/>
      <c r="AB20" s="106"/>
    </row>
    <row r="21">
      <c r="C21" s="79"/>
      <c r="D21" s="79"/>
      <c r="E21" s="78"/>
      <c r="F21" s="213"/>
      <c r="G21" s="214"/>
      <c r="H21" s="203"/>
      <c r="I21" s="205"/>
      <c r="J21" s="203"/>
      <c r="K21" s="203"/>
      <c r="L21" s="198"/>
      <c r="M21" s="201"/>
      <c r="N21" s="198"/>
      <c r="O21" s="203"/>
      <c r="P21" s="198"/>
      <c r="Q21" s="206"/>
      <c r="R21" s="198"/>
      <c r="S21" s="198"/>
      <c r="T21" s="204"/>
      <c r="V21" s="79"/>
      <c r="W21" s="79"/>
      <c r="Z21" s="131"/>
      <c r="AB21" s="106"/>
    </row>
    <row r="22">
      <c r="A22" s="13" t="s">
        <v>25</v>
      </c>
      <c r="B22" s="14">
        <f>SUM(Z2:Z8)</f>
        <v>46917.33</v>
      </c>
      <c r="C22" s="79"/>
      <c r="D22" s="79"/>
      <c r="E22" s="78"/>
      <c r="F22" s="201"/>
      <c r="G22" s="201"/>
      <c r="H22" s="201"/>
      <c r="I22" s="203"/>
      <c r="J22" s="203"/>
      <c r="K22" s="203"/>
      <c r="L22" s="198"/>
      <c r="M22" s="201"/>
      <c r="N22" s="198"/>
      <c r="O22" s="203"/>
      <c r="P22" s="198"/>
      <c r="Q22" s="198"/>
      <c r="R22" s="198"/>
      <c r="S22" s="198"/>
      <c r="T22" s="204"/>
      <c r="V22" s="79"/>
      <c r="W22" s="79"/>
      <c r="Z22" s="181"/>
      <c r="AB22" s="106"/>
    </row>
    <row r="23">
      <c r="A23" s="13" t="s">
        <v>26</v>
      </c>
      <c r="B23" s="15">
        <f>B19/B22</f>
        <v>0.2559427401</v>
      </c>
      <c r="C23" s="79"/>
      <c r="D23" s="79"/>
      <c r="E23" s="78"/>
      <c r="F23" s="204"/>
      <c r="G23" s="204"/>
      <c r="H23" s="207"/>
      <c r="I23" s="203"/>
      <c r="J23" s="203"/>
      <c r="K23" s="203"/>
      <c r="L23" s="198"/>
      <c r="M23" s="200"/>
      <c r="N23" s="203"/>
      <c r="O23" s="203"/>
      <c r="P23" s="198"/>
      <c r="Q23" s="198"/>
      <c r="R23" s="198"/>
      <c r="S23" s="198"/>
      <c r="T23" s="204"/>
      <c r="V23" s="79"/>
      <c r="W23" s="79"/>
      <c r="Z23" s="130"/>
      <c r="AB23" s="106"/>
    </row>
    <row r="24">
      <c r="C24" s="79"/>
      <c r="D24" s="79"/>
      <c r="E24" s="78"/>
      <c r="F24" s="204"/>
      <c r="G24" s="204"/>
      <c r="H24" s="204"/>
      <c r="I24" s="203"/>
      <c r="J24" s="203"/>
      <c r="K24" s="203"/>
      <c r="L24" s="198"/>
      <c r="M24" s="198"/>
      <c r="N24" s="198"/>
      <c r="O24" s="198"/>
      <c r="P24" s="198"/>
      <c r="Q24" s="198"/>
      <c r="R24" s="198"/>
      <c r="S24" s="198"/>
      <c r="T24" s="204"/>
      <c r="V24" s="79"/>
      <c r="W24" s="79"/>
      <c r="Z24" s="182"/>
      <c r="AB24" s="106"/>
    </row>
    <row r="25">
      <c r="C25" s="79"/>
      <c r="D25" s="79"/>
      <c r="E25" s="79"/>
      <c r="F25" s="204"/>
      <c r="G25" s="204"/>
      <c r="H25" s="204"/>
      <c r="I25" s="203"/>
      <c r="J25" s="203"/>
      <c r="K25" s="203"/>
      <c r="L25" s="198"/>
      <c r="M25" s="201"/>
      <c r="N25" s="198"/>
      <c r="O25" s="198"/>
      <c r="P25" s="198"/>
      <c r="Q25" s="198"/>
      <c r="R25" s="198"/>
      <c r="S25" s="198"/>
      <c r="T25" s="204"/>
      <c r="V25" s="79"/>
      <c r="W25" s="79"/>
      <c r="Z25" s="130"/>
      <c r="AB25" s="106"/>
    </row>
    <row r="26">
      <c r="A26" s="16" t="s">
        <v>27</v>
      </c>
      <c r="B26" s="17"/>
      <c r="C26" s="114"/>
      <c r="D26" s="114"/>
      <c r="E26" s="115"/>
      <c r="F26" s="204"/>
      <c r="G26" s="204"/>
      <c r="H26" s="204"/>
      <c r="I26" s="203"/>
      <c r="J26" s="203"/>
      <c r="K26" s="213"/>
      <c r="L26" s="208"/>
      <c r="M26" s="208"/>
      <c r="N26" s="198"/>
      <c r="O26" s="200"/>
      <c r="P26" s="198"/>
      <c r="Q26" s="198"/>
      <c r="R26" s="198"/>
      <c r="S26" s="198"/>
      <c r="T26" s="204"/>
      <c r="V26" s="79"/>
      <c r="W26" s="79"/>
      <c r="Z26" s="130"/>
      <c r="AB26" s="106"/>
    </row>
    <row r="27">
      <c r="A27" s="19" t="s">
        <v>28</v>
      </c>
      <c r="B27" s="20"/>
      <c r="C27" s="116"/>
      <c r="D27" s="116"/>
      <c r="E27" s="117"/>
      <c r="F27" s="204"/>
      <c r="G27" s="204"/>
      <c r="H27" s="204"/>
      <c r="I27" s="203"/>
      <c r="J27" s="203"/>
      <c r="K27" s="203"/>
      <c r="L27" s="209"/>
      <c r="M27" s="209"/>
      <c r="N27" s="201"/>
      <c r="O27" s="198"/>
      <c r="P27" s="198"/>
      <c r="Q27" s="198"/>
      <c r="R27" s="198"/>
      <c r="S27" s="198"/>
      <c r="T27" s="204"/>
      <c r="V27" s="79"/>
      <c r="W27" s="79"/>
      <c r="Z27" s="130"/>
      <c r="AB27" s="106"/>
    </row>
    <row r="28">
      <c r="A28" s="183" t="s">
        <v>29</v>
      </c>
      <c r="B28" s="184" t="s">
        <v>30</v>
      </c>
      <c r="C28" s="183"/>
      <c r="D28" s="183" t="s">
        <v>170</v>
      </c>
      <c r="E28" s="219" t="s">
        <v>171</v>
      </c>
      <c r="F28" s="204"/>
      <c r="G28" s="204"/>
      <c r="H28" s="204"/>
      <c r="I28" s="203"/>
      <c r="J28" s="203"/>
      <c r="K28" s="201"/>
      <c r="L28" s="209"/>
      <c r="M28" s="209"/>
      <c r="N28" s="198"/>
      <c r="O28" s="198"/>
      <c r="P28" s="198"/>
      <c r="Q28" s="198"/>
      <c r="R28" s="198"/>
      <c r="S28" s="198"/>
      <c r="T28" s="204"/>
      <c r="V28" s="79"/>
      <c r="W28" s="79"/>
      <c r="Z28" s="130"/>
      <c r="AB28" s="106"/>
    </row>
    <row r="29">
      <c r="A29" s="221" t="s">
        <v>233</v>
      </c>
      <c r="B29" s="222">
        <v>283.8</v>
      </c>
      <c r="C29" s="223"/>
      <c r="D29" s="223"/>
      <c r="E29" s="221" t="s">
        <v>235</v>
      </c>
      <c r="F29" s="204"/>
      <c r="G29" s="204"/>
      <c r="H29" s="204"/>
      <c r="I29" s="213"/>
      <c r="J29" s="204"/>
      <c r="K29" s="204"/>
      <c r="L29" s="204"/>
      <c r="M29" s="198"/>
      <c r="N29" s="204"/>
      <c r="O29" s="204"/>
      <c r="P29" s="204"/>
      <c r="Q29" s="204"/>
      <c r="R29" s="198"/>
      <c r="S29" s="198"/>
      <c r="V29" s="79"/>
      <c r="W29" s="79"/>
      <c r="Z29" s="130"/>
      <c r="AB29" s="106"/>
    </row>
    <row r="30">
      <c r="A30" s="221" t="s">
        <v>234</v>
      </c>
      <c r="B30" s="222">
        <v>218.94</v>
      </c>
      <c r="C30" s="223"/>
      <c r="D30" s="223"/>
      <c r="E30" s="221" t="s">
        <v>235</v>
      </c>
      <c r="I30" s="213"/>
      <c r="J30" s="204"/>
      <c r="K30" s="204"/>
      <c r="L30" s="204"/>
      <c r="M30" s="198"/>
      <c r="N30" s="204"/>
      <c r="O30" s="204"/>
      <c r="P30" s="204"/>
      <c r="Q30" s="204"/>
      <c r="R30" s="198"/>
      <c r="S30" s="79"/>
      <c r="V30" s="79"/>
      <c r="W30" s="79"/>
      <c r="Z30" s="130"/>
      <c r="AB30" s="106"/>
    </row>
    <row r="31">
      <c r="A31" s="196" t="s">
        <v>41</v>
      </c>
      <c r="B31" s="197">
        <v>1508.44</v>
      </c>
      <c r="C31" s="220"/>
      <c r="D31" s="220"/>
      <c r="E31" s="196" t="s">
        <v>235</v>
      </c>
      <c r="F31" s="204"/>
      <c r="G31" s="204"/>
      <c r="H31" s="204"/>
      <c r="I31" s="203"/>
      <c r="J31" s="217"/>
      <c r="K31" s="201"/>
      <c r="L31" s="198"/>
      <c r="M31" s="198"/>
      <c r="N31" s="198"/>
      <c r="O31" s="198"/>
      <c r="P31" s="198"/>
      <c r="Q31" s="198"/>
      <c r="R31" s="198"/>
      <c r="S31" s="198"/>
      <c r="T31" s="204"/>
      <c r="V31" s="79"/>
      <c r="W31" s="79"/>
      <c r="Z31" s="130"/>
      <c r="AB31" s="106"/>
    </row>
    <row r="32">
      <c r="A32" s="196" t="s">
        <v>111</v>
      </c>
      <c r="B32" s="197">
        <v>266.5</v>
      </c>
      <c r="C32" s="220"/>
      <c r="D32" s="220"/>
      <c r="E32" s="196" t="s">
        <v>235</v>
      </c>
      <c r="F32" s="204"/>
      <c r="G32" s="204"/>
      <c r="H32" s="204"/>
      <c r="I32" s="203"/>
      <c r="J32" s="217"/>
      <c r="K32" s="201"/>
      <c r="L32" s="198"/>
      <c r="M32" s="198"/>
      <c r="N32" s="198"/>
      <c r="O32" s="198"/>
      <c r="P32" s="198"/>
      <c r="Q32" s="198"/>
      <c r="R32" s="198"/>
      <c r="S32" s="198"/>
      <c r="T32" s="204"/>
      <c r="V32" s="79"/>
      <c r="W32" s="79"/>
      <c r="Z32" s="130"/>
      <c r="AB32" s="106"/>
    </row>
    <row r="33">
      <c r="C33" s="79"/>
      <c r="D33" s="79"/>
      <c r="E33" s="79"/>
      <c r="I33" s="204"/>
      <c r="J33" s="204"/>
      <c r="K33" s="204"/>
      <c r="L33" s="204"/>
      <c r="M33" s="198"/>
      <c r="N33" s="204"/>
      <c r="O33" s="204"/>
      <c r="P33" s="204"/>
      <c r="Q33" s="204"/>
      <c r="R33" s="198"/>
      <c r="S33" s="79"/>
      <c r="V33" s="79"/>
      <c r="W33" s="79"/>
      <c r="Z33" s="130"/>
      <c r="AB33" s="106"/>
    </row>
    <row r="34">
      <c r="C34" s="79"/>
      <c r="D34" s="79"/>
      <c r="E34" s="79"/>
      <c r="M34" s="79"/>
      <c r="R34" s="79"/>
      <c r="S34" s="79"/>
      <c r="V34" s="79"/>
      <c r="W34" s="79"/>
      <c r="Z34" s="130"/>
      <c r="AB34" s="106"/>
    </row>
    <row r="35">
      <c r="C35" s="79"/>
      <c r="D35" s="79"/>
      <c r="E35" s="79"/>
      <c r="M35" s="79"/>
      <c r="R35" s="79"/>
      <c r="S35" s="79"/>
      <c r="V35" s="79"/>
      <c r="W35" s="79"/>
      <c r="Z35" s="130"/>
      <c r="AB35" s="106"/>
    </row>
    <row r="36">
      <c r="C36" s="79"/>
      <c r="D36" s="79"/>
      <c r="E36" s="79"/>
      <c r="M36" s="79"/>
      <c r="R36" s="79"/>
      <c r="S36" s="79"/>
      <c r="V36" s="79"/>
      <c r="W36" s="79"/>
      <c r="Z36" s="130"/>
      <c r="AB36" s="106"/>
    </row>
    <row r="37">
      <c r="C37" s="79"/>
      <c r="D37" s="79"/>
      <c r="E37" s="79"/>
      <c r="M37" s="79"/>
      <c r="R37" s="79"/>
      <c r="S37" s="79"/>
      <c r="V37" s="79"/>
      <c r="W37" s="79"/>
      <c r="Z37" s="130"/>
      <c r="AB37" s="106"/>
    </row>
    <row r="38">
      <c r="C38" s="79"/>
      <c r="D38" s="79"/>
      <c r="E38" s="79"/>
      <c r="M38" s="79"/>
      <c r="R38" s="79"/>
      <c r="S38" s="79"/>
      <c r="V38" s="79"/>
      <c r="W38" s="79"/>
      <c r="Z38" s="130"/>
      <c r="AB38" s="106"/>
    </row>
    <row r="39">
      <c r="C39" s="79"/>
      <c r="D39" s="79"/>
      <c r="E39" s="79"/>
      <c r="M39" s="79"/>
      <c r="R39" s="79"/>
      <c r="S39" s="79"/>
      <c r="V39" s="79"/>
      <c r="W39" s="79"/>
      <c r="Z39" s="130"/>
      <c r="AB39" s="106"/>
    </row>
    <row r="40">
      <c r="C40" s="79"/>
      <c r="D40" s="79"/>
      <c r="E40" s="79"/>
      <c r="M40" s="79"/>
      <c r="R40" s="79"/>
      <c r="S40" s="79"/>
      <c r="V40" s="79"/>
      <c r="W40" s="79"/>
      <c r="Z40" s="130"/>
      <c r="AB40" s="106"/>
    </row>
    <row r="41">
      <c r="C41" s="79"/>
      <c r="D41" s="79"/>
      <c r="E41" s="79"/>
      <c r="M41" s="79"/>
      <c r="R41" s="79"/>
      <c r="S41" s="79"/>
      <c r="V41" s="79"/>
      <c r="W41" s="79"/>
      <c r="Z41" s="130"/>
      <c r="AB41" s="106"/>
    </row>
    <row r="42">
      <c r="C42" s="79"/>
      <c r="D42" s="79"/>
      <c r="E42" s="79"/>
      <c r="M42" s="79"/>
      <c r="R42" s="79"/>
      <c r="S42" s="79"/>
      <c r="V42" s="79"/>
      <c r="W42" s="79"/>
      <c r="Z42" s="130"/>
      <c r="AB42" s="106"/>
    </row>
    <row r="43">
      <c r="C43" s="79"/>
      <c r="D43" s="79"/>
      <c r="E43" s="79"/>
      <c r="M43" s="79"/>
      <c r="R43" s="79"/>
      <c r="S43" s="79"/>
      <c r="V43" s="79"/>
      <c r="W43" s="79"/>
      <c r="Z43" s="130"/>
      <c r="AB43" s="106"/>
    </row>
    <row r="44">
      <c r="C44" s="79"/>
      <c r="D44" s="79"/>
      <c r="E44" s="79"/>
      <c r="M44" s="79"/>
      <c r="R44" s="79"/>
      <c r="S44" s="79"/>
      <c r="V44" s="79"/>
      <c r="W44" s="79"/>
      <c r="Z44" s="130"/>
      <c r="AB44" s="106"/>
    </row>
    <row r="45">
      <c r="C45" s="79"/>
      <c r="D45" s="79"/>
      <c r="E45" s="79"/>
      <c r="M45" s="79"/>
      <c r="R45" s="79"/>
      <c r="S45" s="79"/>
      <c r="V45" s="79"/>
      <c r="W45" s="79"/>
      <c r="Z45" s="130"/>
      <c r="AB45" s="106"/>
    </row>
    <row r="46">
      <c r="C46" s="79"/>
      <c r="D46" s="79"/>
      <c r="E46" s="79"/>
      <c r="M46" s="79"/>
      <c r="R46" s="79"/>
      <c r="S46" s="79"/>
      <c r="V46" s="79"/>
      <c r="W46" s="79"/>
      <c r="Z46" s="130"/>
      <c r="AB46" s="106"/>
    </row>
    <row r="47">
      <c r="C47" s="79"/>
      <c r="D47" s="79"/>
      <c r="E47" s="79"/>
      <c r="M47" s="79"/>
      <c r="R47" s="79"/>
      <c r="S47" s="79"/>
      <c r="V47" s="79"/>
      <c r="W47" s="79"/>
      <c r="Z47" s="130"/>
      <c r="AB47" s="106"/>
    </row>
    <row r="48">
      <c r="C48" s="79"/>
      <c r="D48" s="79"/>
      <c r="E48" s="79"/>
      <c r="M48" s="79"/>
      <c r="R48" s="79"/>
      <c r="S48" s="79"/>
      <c r="V48" s="79"/>
      <c r="W48" s="79"/>
      <c r="Z48" s="130"/>
      <c r="AB48" s="106"/>
    </row>
    <row r="49">
      <c r="C49" s="79"/>
      <c r="D49" s="79"/>
      <c r="E49" s="79"/>
      <c r="M49" s="79"/>
      <c r="R49" s="79"/>
      <c r="S49" s="79"/>
      <c r="V49" s="79"/>
      <c r="W49" s="79"/>
      <c r="Z49" s="130"/>
      <c r="AB49" s="106"/>
    </row>
    <row r="50">
      <c r="C50" s="79"/>
      <c r="D50" s="79"/>
      <c r="E50" s="79"/>
      <c r="M50" s="79"/>
      <c r="R50" s="79"/>
      <c r="S50" s="79"/>
      <c r="V50" s="79"/>
      <c r="W50" s="79"/>
      <c r="Z50" s="130"/>
      <c r="AB50" s="106"/>
    </row>
    <row r="51">
      <c r="C51" s="79"/>
      <c r="D51" s="79"/>
      <c r="E51" s="79"/>
      <c r="M51" s="79"/>
      <c r="R51" s="79"/>
      <c r="S51" s="79"/>
      <c r="V51" s="79"/>
      <c r="W51" s="79"/>
      <c r="Z51" s="130"/>
      <c r="AB51" s="106"/>
    </row>
    <row r="52">
      <c r="C52" s="79"/>
      <c r="D52" s="79"/>
      <c r="E52" s="79"/>
      <c r="M52" s="79"/>
      <c r="R52" s="79"/>
      <c r="S52" s="79"/>
      <c r="V52" s="79"/>
      <c r="W52" s="79"/>
      <c r="Z52" s="130"/>
      <c r="AB52" s="106"/>
    </row>
    <row r="53">
      <c r="C53" s="79"/>
      <c r="D53" s="79"/>
      <c r="E53" s="79"/>
      <c r="M53" s="79"/>
      <c r="R53" s="79"/>
      <c r="S53" s="79"/>
      <c r="V53" s="79"/>
      <c r="W53" s="79"/>
      <c r="Z53" s="130"/>
      <c r="AB53" s="106"/>
    </row>
    <row r="54">
      <c r="C54" s="79"/>
      <c r="D54" s="79"/>
      <c r="E54" s="79"/>
      <c r="M54" s="79"/>
      <c r="R54" s="79"/>
      <c r="S54" s="79"/>
      <c r="V54" s="79"/>
      <c r="W54" s="79"/>
      <c r="Z54" s="130"/>
      <c r="AB54" s="106"/>
    </row>
    <row r="55">
      <c r="C55" s="79"/>
      <c r="D55" s="79"/>
      <c r="E55" s="79"/>
      <c r="M55" s="79"/>
      <c r="R55" s="79"/>
      <c r="S55" s="79"/>
      <c r="V55" s="79"/>
      <c r="W55" s="79"/>
      <c r="Z55" s="130"/>
      <c r="AB55" s="106"/>
    </row>
    <row r="56">
      <c r="C56" s="79"/>
      <c r="D56" s="79"/>
      <c r="E56" s="79"/>
      <c r="M56" s="79"/>
      <c r="R56" s="79"/>
      <c r="S56" s="79"/>
      <c r="V56" s="79"/>
      <c r="W56" s="79"/>
      <c r="Z56" s="130"/>
      <c r="AB56" s="106"/>
    </row>
    <row r="57">
      <c r="C57" s="79"/>
      <c r="D57" s="79"/>
      <c r="E57" s="79"/>
      <c r="M57" s="79"/>
      <c r="R57" s="79"/>
      <c r="S57" s="79"/>
      <c r="V57" s="79"/>
      <c r="W57" s="79"/>
      <c r="Z57" s="130"/>
      <c r="AB57" s="106"/>
    </row>
    <row r="58">
      <c r="C58" s="79"/>
      <c r="D58" s="79"/>
      <c r="E58" s="79"/>
      <c r="M58" s="79"/>
      <c r="R58" s="79"/>
      <c r="S58" s="79"/>
      <c r="V58" s="79"/>
      <c r="W58" s="79"/>
      <c r="Z58" s="130"/>
      <c r="AB58" s="106"/>
    </row>
    <row r="59">
      <c r="C59" s="79"/>
      <c r="D59" s="79"/>
      <c r="E59" s="79"/>
      <c r="M59" s="79"/>
      <c r="R59" s="79"/>
      <c r="S59" s="79"/>
      <c r="V59" s="79"/>
      <c r="W59" s="79"/>
      <c r="Z59" s="130"/>
      <c r="AB59" s="106"/>
    </row>
    <row r="60">
      <c r="C60" s="79"/>
      <c r="D60" s="79"/>
      <c r="E60" s="79"/>
      <c r="M60" s="79"/>
      <c r="R60" s="79"/>
      <c r="S60" s="79"/>
      <c r="V60" s="79"/>
      <c r="W60" s="79"/>
      <c r="Z60" s="130"/>
      <c r="AB60" s="106"/>
    </row>
    <row r="61">
      <c r="C61" s="79"/>
      <c r="D61" s="79"/>
      <c r="E61" s="79"/>
      <c r="M61" s="79"/>
      <c r="R61" s="79"/>
      <c r="S61" s="79"/>
      <c r="V61" s="79"/>
      <c r="W61" s="79"/>
      <c r="Z61" s="130"/>
      <c r="AB61" s="106"/>
    </row>
    <row r="62">
      <c r="C62" s="79"/>
      <c r="D62" s="79"/>
      <c r="E62" s="79"/>
      <c r="M62" s="79"/>
      <c r="R62" s="79"/>
      <c r="S62" s="79"/>
      <c r="V62" s="79"/>
      <c r="W62" s="79"/>
      <c r="Z62" s="130"/>
      <c r="AB62" s="106"/>
    </row>
    <row r="63">
      <c r="C63" s="79"/>
      <c r="D63" s="79"/>
      <c r="E63" s="79"/>
      <c r="M63" s="79"/>
      <c r="R63" s="79"/>
      <c r="S63" s="79"/>
      <c r="V63" s="79"/>
      <c r="W63" s="79"/>
      <c r="Z63" s="130"/>
      <c r="AB63" s="106"/>
    </row>
    <row r="64">
      <c r="C64" s="79"/>
      <c r="D64" s="79"/>
      <c r="E64" s="79"/>
      <c r="M64" s="79"/>
      <c r="R64" s="79"/>
      <c r="S64" s="79"/>
      <c r="V64" s="79"/>
      <c r="W64" s="79"/>
      <c r="Z64" s="130"/>
      <c r="AB64" s="106"/>
    </row>
    <row r="65">
      <c r="C65" s="79"/>
      <c r="D65" s="79"/>
      <c r="E65" s="79"/>
      <c r="M65" s="79"/>
      <c r="R65" s="79"/>
      <c r="S65" s="79"/>
      <c r="V65" s="79"/>
      <c r="W65" s="79"/>
      <c r="Z65" s="130"/>
      <c r="AB65" s="106"/>
    </row>
    <row r="66">
      <c r="C66" s="79"/>
      <c r="D66" s="79"/>
      <c r="E66" s="79"/>
      <c r="M66" s="79"/>
      <c r="R66" s="79"/>
      <c r="S66" s="79"/>
      <c r="V66" s="79"/>
      <c r="W66" s="79"/>
      <c r="Z66" s="130"/>
      <c r="AB66" s="106"/>
    </row>
    <row r="67">
      <c r="C67" s="79"/>
      <c r="D67" s="79"/>
      <c r="E67" s="79"/>
      <c r="M67" s="79"/>
      <c r="R67" s="79"/>
      <c r="S67" s="79"/>
      <c r="V67" s="79"/>
      <c r="W67" s="79"/>
      <c r="Z67" s="130"/>
      <c r="AB67" s="106"/>
    </row>
    <row r="68">
      <c r="C68" s="79"/>
      <c r="D68" s="79"/>
      <c r="E68" s="79"/>
      <c r="M68" s="79"/>
      <c r="R68" s="79"/>
      <c r="S68" s="79"/>
      <c r="V68" s="79"/>
      <c r="W68" s="79"/>
      <c r="Z68" s="130"/>
      <c r="AB68" s="106"/>
    </row>
    <row r="69">
      <c r="C69" s="79"/>
      <c r="D69" s="79"/>
      <c r="E69" s="79"/>
      <c r="M69" s="79"/>
      <c r="R69" s="79"/>
      <c r="S69" s="79"/>
      <c r="V69" s="79"/>
      <c r="W69" s="79"/>
      <c r="Z69" s="130"/>
      <c r="AB69" s="106"/>
    </row>
    <row r="70">
      <c r="C70" s="79"/>
      <c r="D70" s="79"/>
      <c r="E70" s="79"/>
      <c r="M70" s="79"/>
      <c r="R70" s="79"/>
      <c r="S70" s="79"/>
      <c r="V70" s="79"/>
      <c r="W70" s="79"/>
      <c r="Z70" s="130"/>
      <c r="AB70" s="106"/>
    </row>
    <row r="71">
      <c r="C71" s="79"/>
      <c r="D71" s="79"/>
      <c r="E71" s="79"/>
      <c r="M71" s="79"/>
      <c r="R71" s="79"/>
      <c r="S71" s="79"/>
      <c r="V71" s="79"/>
      <c r="W71" s="79"/>
      <c r="Z71" s="130"/>
      <c r="AB71" s="106"/>
    </row>
    <row r="72">
      <c r="C72" s="79"/>
      <c r="D72" s="79"/>
      <c r="E72" s="79"/>
      <c r="M72" s="79"/>
      <c r="R72" s="79"/>
      <c r="S72" s="79"/>
      <c r="V72" s="79"/>
      <c r="W72" s="79"/>
      <c r="Z72" s="130"/>
      <c r="AB72" s="106"/>
    </row>
    <row r="73">
      <c r="C73" s="79"/>
      <c r="D73" s="79"/>
      <c r="E73" s="79"/>
      <c r="M73" s="79"/>
      <c r="R73" s="79"/>
      <c r="S73" s="79"/>
      <c r="V73" s="79"/>
      <c r="W73" s="79"/>
      <c r="Z73" s="130"/>
      <c r="AB73" s="106"/>
    </row>
    <row r="74">
      <c r="C74" s="79"/>
      <c r="D74" s="79"/>
      <c r="E74" s="79"/>
      <c r="M74" s="79"/>
      <c r="R74" s="79"/>
      <c r="S74" s="79"/>
      <c r="V74" s="79"/>
      <c r="W74" s="79"/>
      <c r="Z74" s="130"/>
      <c r="AB74" s="106"/>
    </row>
    <row r="75">
      <c r="C75" s="79"/>
      <c r="D75" s="79"/>
      <c r="E75" s="79"/>
      <c r="M75" s="79"/>
      <c r="R75" s="79"/>
      <c r="S75" s="79"/>
      <c r="V75" s="79"/>
      <c r="W75" s="79"/>
      <c r="Z75" s="130"/>
      <c r="AB75" s="106"/>
    </row>
    <row r="76">
      <c r="C76" s="79"/>
      <c r="D76" s="79"/>
      <c r="E76" s="79"/>
      <c r="M76" s="79"/>
      <c r="R76" s="79"/>
      <c r="S76" s="79"/>
      <c r="V76" s="79"/>
      <c r="W76" s="79"/>
      <c r="Z76" s="130"/>
      <c r="AB76" s="106"/>
    </row>
    <row r="77">
      <c r="C77" s="79"/>
      <c r="D77" s="79"/>
      <c r="E77" s="79"/>
      <c r="M77" s="79"/>
      <c r="R77" s="79"/>
      <c r="S77" s="79"/>
      <c r="V77" s="79"/>
      <c r="W77" s="79"/>
      <c r="Z77" s="130"/>
      <c r="AB77" s="106"/>
    </row>
    <row r="78">
      <c r="C78" s="79"/>
      <c r="D78" s="79"/>
      <c r="E78" s="79"/>
      <c r="M78" s="79"/>
      <c r="R78" s="79"/>
      <c r="S78" s="79"/>
      <c r="V78" s="79"/>
      <c r="W78" s="79"/>
      <c r="Z78" s="130"/>
      <c r="AB78" s="106"/>
    </row>
    <row r="79">
      <c r="C79" s="79"/>
      <c r="D79" s="79"/>
      <c r="E79" s="79"/>
      <c r="M79" s="79"/>
      <c r="R79" s="79"/>
      <c r="S79" s="79"/>
      <c r="V79" s="79"/>
      <c r="W79" s="79"/>
      <c r="Z79" s="130"/>
      <c r="AB79" s="106"/>
    </row>
    <row r="80">
      <c r="C80" s="79"/>
      <c r="D80" s="79"/>
      <c r="E80" s="79"/>
      <c r="M80" s="79"/>
      <c r="R80" s="79"/>
      <c r="S80" s="79"/>
      <c r="V80" s="79"/>
      <c r="W80" s="79"/>
      <c r="Z80" s="130"/>
      <c r="AB80" s="106"/>
    </row>
    <row r="81">
      <c r="C81" s="79"/>
      <c r="D81" s="79"/>
      <c r="E81" s="79"/>
      <c r="M81" s="79"/>
      <c r="R81" s="79"/>
      <c r="S81" s="79"/>
      <c r="V81" s="79"/>
      <c r="W81" s="79"/>
      <c r="Z81" s="130"/>
      <c r="AB81" s="106"/>
    </row>
    <row r="82">
      <c r="C82" s="79"/>
      <c r="D82" s="79"/>
      <c r="E82" s="79"/>
      <c r="M82" s="79"/>
      <c r="R82" s="79"/>
      <c r="S82" s="79"/>
      <c r="V82" s="79"/>
      <c r="W82" s="79"/>
      <c r="Z82" s="130"/>
      <c r="AB82" s="106"/>
    </row>
    <row r="83">
      <c r="C83" s="79"/>
      <c r="D83" s="79"/>
      <c r="E83" s="79"/>
      <c r="M83" s="79"/>
      <c r="R83" s="79"/>
      <c r="S83" s="79"/>
      <c r="V83" s="79"/>
      <c r="W83" s="79"/>
      <c r="Z83" s="130"/>
      <c r="AB83" s="106"/>
    </row>
    <row r="84">
      <c r="C84" s="79"/>
      <c r="D84" s="79"/>
      <c r="E84" s="79"/>
      <c r="M84" s="79"/>
      <c r="R84" s="79"/>
      <c r="S84" s="79"/>
      <c r="V84" s="79"/>
      <c r="W84" s="79"/>
      <c r="Z84" s="130"/>
      <c r="AB84" s="106"/>
    </row>
    <row r="85">
      <c r="C85" s="79"/>
      <c r="D85" s="79"/>
      <c r="E85" s="79"/>
      <c r="M85" s="79"/>
      <c r="R85" s="79"/>
      <c r="S85" s="79"/>
      <c r="V85" s="79"/>
      <c r="W85" s="79"/>
      <c r="Z85" s="130"/>
      <c r="AB85" s="106"/>
    </row>
    <row r="86">
      <c r="C86" s="79"/>
      <c r="D86" s="79"/>
      <c r="E86" s="79"/>
      <c r="M86" s="79"/>
      <c r="R86" s="79"/>
      <c r="S86" s="79"/>
      <c r="V86" s="79"/>
      <c r="W86" s="79"/>
      <c r="Z86" s="130"/>
      <c r="AB86" s="106"/>
    </row>
    <row r="87">
      <c r="C87" s="79"/>
      <c r="D87" s="79"/>
      <c r="E87" s="79"/>
      <c r="M87" s="79"/>
      <c r="R87" s="79"/>
      <c r="S87" s="79"/>
      <c r="V87" s="79"/>
      <c r="W87" s="79"/>
      <c r="Z87" s="130"/>
      <c r="AB87" s="106"/>
    </row>
    <row r="88">
      <c r="C88" s="79"/>
      <c r="D88" s="79"/>
      <c r="E88" s="79"/>
      <c r="M88" s="79"/>
      <c r="R88" s="79"/>
      <c r="S88" s="79"/>
      <c r="V88" s="79"/>
      <c r="W88" s="79"/>
      <c r="Z88" s="130"/>
      <c r="AB88" s="106"/>
    </row>
    <row r="89">
      <c r="C89" s="79"/>
      <c r="D89" s="79"/>
      <c r="E89" s="79"/>
      <c r="M89" s="79"/>
      <c r="R89" s="79"/>
      <c r="S89" s="79"/>
      <c r="V89" s="79"/>
      <c r="W89" s="79"/>
      <c r="Z89" s="130"/>
      <c r="AB89" s="106"/>
    </row>
    <row r="90">
      <c r="C90" s="79"/>
      <c r="D90" s="79"/>
      <c r="E90" s="79"/>
      <c r="M90" s="79"/>
      <c r="R90" s="79"/>
      <c r="S90" s="79"/>
      <c r="V90" s="79"/>
      <c r="W90" s="79"/>
      <c r="Z90" s="130"/>
      <c r="AB90" s="106"/>
    </row>
    <row r="91">
      <c r="C91" s="79"/>
      <c r="D91" s="79"/>
      <c r="E91" s="79"/>
      <c r="M91" s="79"/>
      <c r="R91" s="79"/>
      <c r="S91" s="79"/>
      <c r="V91" s="79"/>
      <c r="W91" s="79"/>
      <c r="Z91" s="130"/>
      <c r="AB91" s="106"/>
    </row>
    <row r="92">
      <c r="C92" s="79"/>
      <c r="D92" s="79"/>
      <c r="E92" s="79"/>
      <c r="M92" s="79"/>
      <c r="R92" s="79"/>
      <c r="S92" s="79"/>
      <c r="V92" s="79"/>
      <c r="W92" s="79"/>
      <c r="Z92" s="130"/>
      <c r="AB92" s="106"/>
    </row>
    <row r="93">
      <c r="C93" s="79"/>
      <c r="D93" s="79"/>
      <c r="E93" s="79"/>
      <c r="M93" s="79"/>
      <c r="R93" s="79"/>
      <c r="S93" s="79"/>
      <c r="V93" s="79"/>
      <c r="W93" s="79"/>
      <c r="Z93" s="130"/>
      <c r="AB93" s="106"/>
    </row>
    <row r="94">
      <c r="C94" s="79"/>
      <c r="D94" s="79"/>
      <c r="E94" s="79"/>
      <c r="M94" s="79"/>
      <c r="R94" s="79"/>
      <c r="S94" s="79"/>
      <c r="V94" s="79"/>
      <c r="W94" s="79"/>
      <c r="Z94" s="130"/>
      <c r="AB94" s="106"/>
    </row>
    <row r="95">
      <c r="C95" s="79"/>
      <c r="D95" s="79"/>
      <c r="E95" s="79"/>
      <c r="M95" s="79"/>
      <c r="R95" s="79"/>
      <c r="S95" s="79"/>
      <c r="V95" s="79"/>
      <c r="W95" s="79"/>
      <c r="Z95" s="130"/>
      <c r="AB95" s="106"/>
    </row>
    <row r="96">
      <c r="C96" s="79"/>
      <c r="D96" s="79"/>
      <c r="E96" s="79"/>
      <c r="M96" s="79"/>
      <c r="R96" s="79"/>
      <c r="S96" s="79"/>
      <c r="V96" s="79"/>
      <c r="W96" s="79"/>
      <c r="Z96" s="130"/>
      <c r="AB96" s="106"/>
    </row>
    <row r="97">
      <c r="C97" s="79"/>
      <c r="D97" s="79"/>
      <c r="E97" s="79"/>
      <c r="M97" s="79"/>
      <c r="R97" s="79"/>
      <c r="S97" s="79"/>
      <c r="V97" s="79"/>
      <c r="W97" s="79"/>
      <c r="Z97" s="130"/>
      <c r="AB97" s="106"/>
    </row>
    <row r="98">
      <c r="C98" s="79"/>
      <c r="D98" s="79"/>
      <c r="E98" s="79"/>
      <c r="M98" s="79"/>
      <c r="R98" s="79"/>
      <c r="S98" s="79"/>
      <c r="V98" s="79"/>
      <c r="W98" s="79"/>
      <c r="Z98" s="130"/>
      <c r="AB98" s="106"/>
    </row>
    <row r="99">
      <c r="C99" s="79"/>
      <c r="D99" s="79"/>
      <c r="E99" s="79"/>
      <c r="M99" s="79"/>
      <c r="R99" s="79"/>
      <c r="S99" s="79"/>
      <c r="V99" s="79"/>
      <c r="W99" s="79"/>
      <c r="Z99" s="130"/>
      <c r="AB99" s="106"/>
    </row>
    <row r="100">
      <c r="C100" s="79"/>
      <c r="D100" s="79"/>
      <c r="E100" s="79"/>
      <c r="M100" s="79"/>
      <c r="R100" s="79"/>
      <c r="S100" s="79"/>
      <c r="V100" s="79"/>
      <c r="W100" s="79"/>
      <c r="Z100" s="130"/>
      <c r="AB100" s="106"/>
    </row>
    <row r="101">
      <c r="C101" s="79"/>
      <c r="D101" s="79"/>
      <c r="E101" s="79"/>
      <c r="M101" s="79"/>
      <c r="R101" s="79"/>
      <c r="S101" s="79"/>
      <c r="V101" s="79"/>
      <c r="W101" s="79"/>
      <c r="Z101" s="130"/>
      <c r="AB101" s="106"/>
    </row>
    <row r="102">
      <c r="C102" s="79"/>
      <c r="D102" s="79"/>
      <c r="E102" s="79"/>
      <c r="M102" s="79"/>
      <c r="R102" s="79"/>
      <c r="S102" s="79"/>
      <c r="V102" s="79"/>
      <c r="W102" s="79"/>
      <c r="Z102" s="130"/>
      <c r="AB102" s="106"/>
    </row>
    <row r="103">
      <c r="C103" s="79"/>
      <c r="D103" s="79"/>
      <c r="E103" s="79"/>
      <c r="M103" s="79"/>
      <c r="R103" s="79"/>
      <c r="S103" s="79"/>
      <c r="V103" s="79"/>
      <c r="W103" s="79"/>
      <c r="Z103" s="130"/>
      <c r="AB103" s="106"/>
    </row>
    <row r="104">
      <c r="C104" s="79"/>
      <c r="D104" s="79"/>
      <c r="E104" s="79"/>
      <c r="M104" s="79"/>
      <c r="R104" s="79"/>
      <c r="S104" s="79"/>
      <c r="V104" s="79"/>
      <c r="W104" s="79"/>
      <c r="Z104" s="130"/>
      <c r="AB104" s="106"/>
    </row>
    <row r="105">
      <c r="C105" s="79"/>
      <c r="D105" s="79"/>
      <c r="E105" s="79"/>
      <c r="M105" s="79"/>
      <c r="R105" s="79"/>
      <c r="S105" s="79"/>
      <c r="V105" s="79"/>
      <c r="W105" s="79"/>
      <c r="Z105" s="130"/>
      <c r="AB105" s="106"/>
    </row>
    <row r="106">
      <c r="C106" s="79"/>
      <c r="D106" s="79"/>
      <c r="E106" s="79"/>
      <c r="M106" s="79"/>
      <c r="R106" s="79"/>
      <c r="S106" s="79"/>
      <c r="V106" s="79"/>
      <c r="W106" s="79"/>
      <c r="Z106" s="130"/>
      <c r="AB106" s="106"/>
    </row>
    <row r="107">
      <c r="C107" s="79"/>
      <c r="D107" s="79"/>
      <c r="E107" s="79"/>
      <c r="M107" s="79"/>
      <c r="R107" s="79"/>
      <c r="S107" s="79"/>
      <c r="V107" s="79"/>
      <c r="W107" s="79"/>
      <c r="Z107" s="130"/>
      <c r="AB107" s="106"/>
    </row>
    <row r="108">
      <c r="C108" s="79"/>
      <c r="D108" s="79"/>
      <c r="E108" s="79"/>
      <c r="M108" s="79"/>
      <c r="R108" s="79"/>
      <c r="S108" s="79"/>
      <c r="V108" s="79"/>
      <c r="W108" s="79"/>
      <c r="Z108" s="130"/>
      <c r="AB108" s="106"/>
    </row>
    <row r="109">
      <c r="C109" s="79"/>
      <c r="D109" s="79"/>
      <c r="E109" s="79"/>
      <c r="M109" s="79"/>
      <c r="R109" s="79"/>
      <c r="S109" s="79"/>
      <c r="V109" s="79"/>
      <c r="W109" s="79"/>
      <c r="Z109" s="130"/>
      <c r="AB109" s="106"/>
    </row>
    <row r="110">
      <c r="C110" s="79"/>
      <c r="D110" s="79"/>
      <c r="E110" s="79"/>
      <c r="M110" s="79"/>
      <c r="R110" s="79"/>
      <c r="S110" s="79"/>
      <c r="V110" s="79"/>
      <c r="W110" s="79"/>
      <c r="Z110" s="130"/>
      <c r="AB110" s="106"/>
    </row>
    <row r="111">
      <c r="C111" s="79"/>
      <c r="D111" s="79"/>
      <c r="E111" s="79"/>
      <c r="M111" s="79"/>
      <c r="R111" s="79"/>
      <c r="S111" s="79"/>
      <c r="V111" s="79"/>
      <c r="W111" s="79"/>
      <c r="Z111" s="130"/>
      <c r="AB111" s="106"/>
    </row>
    <row r="112">
      <c r="C112" s="79"/>
      <c r="D112" s="79"/>
      <c r="E112" s="79"/>
      <c r="M112" s="79"/>
      <c r="R112" s="79"/>
      <c r="S112" s="79"/>
      <c r="V112" s="79"/>
      <c r="W112" s="79"/>
      <c r="Z112" s="130"/>
      <c r="AB112" s="106"/>
    </row>
    <row r="113">
      <c r="C113" s="79"/>
      <c r="D113" s="79"/>
      <c r="E113" s="79"/>
      <c r="M113" s="79"/>
      <c r="R113" s="79"/>
      <c r="S113" s="79"/>
      <c r="V113" s="79"/>
      <c r="W113" s="79"/>
      <c r="Z113" s="130"/>
      <c r="AB113" s="106"/>
    </row>
    <row r="114">
      <c r="C114" s="79"/>
      <c r="D114" s="79"/>
      <c r="E114" s="79"/>
      <c r="M114" s="79"/>
      <c r="R114" s="79"/>
      <c r="S114" s="79"/>
      <c r="V114" s="79"/>
      <c r="W114" s="79"/>
      <c r="Z114" s="130"/>
      <c r="AB114" s="106"/>
    </row>
    <row r="115">
      <c r="C115" s="79"/>
      <c r="D115" s="79"/>
      <c r="E115" s="79"/>
      <c r="M115" s="79"/>
      <c r="R115" s="79"/>
      <c r="S115" s="79"/>
      <c r="V115" s="79"/>
      <c r="W115" s="79"/>
      <c r="Z115" s="130"/>
      <c r="AB115" s="106"/>
    </row>
    <row r="116">
      <c r="C116" s="79"/>
      <c r="D116" s="79"/>
      <c r="E116" s="79"/>
      <c r="M116" s="79"/>
      <c r="R116" s="79"/>
      <c r="S116" s="79"/>
      <c r="V116" s="79"/>
      <c r="W116" s="79"/>
      <c r="Z116" s="130"/>
      <c r="AB116" s="106"/>
    </row>
    <row r="117">
      <c r="C117" s="79"/>
      <c r="D117" s="79"/>
      <c r="E117" s="79"/>
      <c r="M117" s="79"/>
      <c r="R117" s="79"/>
      <c r="S117" s="79"/>
      <c r="V117" s="79"/>
      <c r="W117" s="79"/>
      <c r="Z117" s="130"/>
      <c r="AB117" s="106"/>
    </row>
    <row r="118">
      <c r="C118" s="79"/>
      <c r="D118" s="79"/>
      <c r="E118" s="79"/>
      <c r="M118" s="79"/>
      <c r="R118" s="79"/>
      <c r="S118" s="79"/>
      <c r="V118" s="79"/>
      <c r="W118" s="79"/>
      <c r="Z118" s="130"/>
      <c r="AB118" s="106"/>
    </row>
    <row r="119">
      <c r="C119" s="79"/>
      <c r="D119" s="79"/>
      <c r="E119" s="79"/>
      <c r="M119" s="79"/>
      <c r="R119" s="79"/>
      <c r="S119" s="79"/>
      <c r="V119" s="79"/>
      <c r="W119" s="79"/>
      <c r="Z119" s="130"/>
      <c r="AB119" s="106"/>
    </row>
    <row r="120">
      <c r="C120" s="79"/>
      <c r="D120" s="79"/>
      <c r="E120" s="79"/>
      <c r="M120" s="79"/>
      <c r="R120" s="79"/>
      <c r="S120" s="79"/>
      <c r="V120" s="79"/>
      <c r="W120" s="79"/>
      <c r="Z120" s="130"/>
      <c r="AB120" s="106"/>
    </row>
    <row r="121">
      <c r="C121" s="79"/>
      <c r="D121" s="79"/>
      <c r="E121" s="79"/>
      <c r="M121" s="79"/>
      <c r="R121" s="79"/>
      <c r="S121" s="79"/>
      <c r="V121" s="79"/>
      <c r="W121" s="79"/>
      <c r="Z121" s="130"/>
      <c r="AB121" s="106"/>
    </row>
    <row r="122">
      <c r="C122" s="79"/>
      <c r="D122" s="79"/>
      <c r="E122" s="79"/>
      <c r="M122" s="79"/>
      <c r="R122" s="79"/>
      <c r="S122" s="79"/>
      <c r="V122" s="79"/>
      <c r="W122" s="79"/>
      <c r="Z122" s="130"/>
      <c r="AB122" s="106"/>
    </row>
    <row r="123">
      <c r="C123" s="79"/>
      <c r="D123" s="79"/>
      <c r="E123" s="79"/>
      <c r="M123" s="79"/>
      <c r="R123" s="79"/>
      <c r="S123" s="79"/>
      <c r="V123" s="79"/>
      <c r="W123" s="79"/>
      <c r="Z123" s="130"/>
      <c r="AB123" s="106"/>
    </row>
    <row r="124">
      <c r="C124" s="79"/>
      <c r="D124" s="79"/>
      <c r="E124" s="79"/>
      <c r="M124" s="79"/>
      <c r="R124" s="79"/>
      <c r="S124" s="79"/>
      <c r="V124" s="79"/>
      <c r="W124" s="79"/>
      <c r="Z124" s="130"/>
      <c r="AB124" s="106"/>
    </row>
    <row r="125">
      <c r="C125" s="79"/>
      <c r="D125" s="79"/>
      <c r="E125" s="79"/>
      <c r="M125" s="79"/>
      <c r="R125" s="79"/>
      <c r="S125" s="79"/>
      <c r="V125" s="79"/>
      <c r="W125" s="79"/>
      <c r="Z125" s="130"/>
      <c r="AB125" s="106"/>
    </row>
    <row r="126">
      <c r="C126" s="79"/>
      <c r="D126" s="79"/>
      <c r="E126" s="79"/>
      <c r="M126" s="79"/>
      <c r="R126" s="79"/>
      <c r="S126" s="79"/>
      <c r="V126" s="79"/>
      <c r="W126" s="79"/>
      <c r="Z126" s="130"/>
      <c r="AB126" s="106"/>
    </row>
    <row r="127">
      <c r="C127" s="79"/>
      <c r="D127" s="79"/>
      <c r="E127" s="79"/>
      <c r="M127" s="79"/>
      <c r="R127" s="79"/>
      <c r="S127" s="79"/>
      <c r="V127" s="79"/>
      <c r="W127" s="79"/>
      <c r="Z127" s="130"/>
      <c r="AB127" s="106"/>
    </row>
    <row r="128">
      <c r="C128" s="79"/>
      <c r="D128" s="79"/>
      <c r="E128" s="79"/>
      <c r="M128" s="79"/>
      <c r="R128" s="79"/>
      <c r="S128" s="79"/>
      <c r="V128" s="79"/>
      <c r="W128" s="79"/>
      <c r="Z128" s="130"/>
      <c r="AB128" s="106"/>
    </row>
    <row r="129">
      <c r="C129" s="79"/>
      <c r="D129" s="79"/>
      <c r="E129" s="79"/>
      <c r="M129" s="79"/>
      <c r="R129" s="79"/>
      <c r="S129" s="79"/>
      <c r="V129" s="79"/>
      <c r="W129" s="79"/>
      <c r="Z129" s="130"/>
      <c r="AB129" s="106"/>
    </row>
    <row r="130">
      <c r="C130" s="79"/>
      <c r="D130" s="79"/>
      <c r="E130" s="79"/>
      <c r="M130" s="79"/>
      <c r="R130" s="79"/>
      <c r="S130" s="79"/>
      <c r="V130" s="79"/>
      <c r="W130" s="79"/>
      <c r="Z130" s="130"/>
      <c r="AB130" s="106"/>
    </row>
    <row r="131">
      <c r="C131" s="79"/>
      <c r="D131" s="79"/>
      <c r="E131" s="79"/>
      <c r="M131" s="79"/>
      <c r="R131" s="79"/>
      <c r="S131" s="79"/>
      <c r="V131" s="79"/>
      <c r="W131" s="79"/>
      <c r="Z131" s="130"/>
      <c r="AB131" s="106"/>
    </row>
    <row r="132">
      <c r="C132" s="79"/>
      <c r="D132" s="79"/>
      <c r="E132" s="79"/>
      <c r="M132" s="79"/>
      <c r="R132" s="79"/>
      <c r="S132" s="79"/>
      <c r="V132" s="79"/>
      <c r="W132" s="79"/>
      <c r="Z132" s="130"/>
      <c r="AB132" s="106"/>
    </row>
    <row r="133">
      <c r="C133" s="79"/>
      <c r="D133" s="79"/>
      <c r="E133" s="79"/>
      <c r="M133" s="79"/>
      <c r="R133" s="79"/>
      <c r="S133" s="79"/>
      <c r="V133" s="79"/>
      <c r="W133" s="79"/>
      <c r="Z133" s="130"/>
      <c r="AB133" s="106"/>
    </row>
    <row r="134">
      <c r="C134" s="79"/>
      <c r="D134" s="79"/>
      <c r="E134" s="79"/>
      <c r="M134" s="79"/>
      <c r="R134" s="79"/>
      <c r="S134" s="79"/>
      <c r="V134" s="79"/>
      <c r="W134" s="79"/>
      <c r="Z134" s="130"/>
      <c r="AB134" s="106"/>
    </row>
    <row r="135">
      <c r="C135" s="79"/>
      <c r="D135" s="79"/>
      <c r="E135" s="79"/>
      <c r="M135" s="79"/>
      <c r="R135" s="79"/>
      <c r="S135" s="79"/>
      <c r="V135" s="79"/>
      <c r="W135" s="79"/>
      <c r="Z135" s="130"/>
      <c r="AB135" s="106"/>
    </row>
    <row r="136">
      <c r="C136" s="79"/>
      <c r="D136" s="79"/>
      <c r="E136" s="79"/>
      <c r="M136" s="79"/>
      <c r="R136" s="79"/>
      <c r="S136" s="79"/>
      <c r="V136" s="79"/>
      <c r="W136" s="79"/>
      <c r="Z136" s="130"/>
      <c r="AB136" s="106"/>
    </row>
    <row r="137">
      <c r="C137" s="79"/>
      <c r="D137" s="79"/>
      <c r="E137" s="79"/>
      <c r="M137" s="79"/>
      <c r="R137" s="79"/>
      <c r="S137" s="79"/>
      <c r="V137" s="79"/>
      <c r="W137" s="79"/>
      <c r="Z137" s="130"/>
      <c r="AB137" s="106"/>
    </row>
    <row r="138">
      <c r="C138" s="79"/>
      <c r="D138" s="79"/>
      <c r="E138" s="79"/>
      <c r="M138" s="79"/>
      <c r="R138" s="79"/>
      <c r="S138" s="79"/>
      <c r="V138" s="79"/>
      <c r="W138" s="79"/>
      <c r="Z138" s="130"/>
      <c r="AB138" s="106"/>
    </row>
    <row r="139">
      <c r="C139" s="79"/>
      <c r="D139" s="79"/>
      <c r="E139" s="79"/>
      <c r="M139" s="79"/>
      <c r="R139" s="79"/>
      <c r="S139" s="79"/>
      <c r="V139" s="79"/>
      <c r="W139" s="79"/>
      <c r="Z139" s="130"/>
      <c r="AB139" s="106"/>
    </row>
    <row r="140">
      <c r="C140" s="79"/>
      <c r="D140" s="79"/>
      <c r="E140" s="79"/>
      <c r="M140" s="79"/>
      <c r="R140" s="79"/>
      <c r="S140" s="79"/>
      <c r="V140" s="79"/>
      <c r="W140" s="79"/>
      <c r="Z140" s="130"/>
      <c r="AB140" s="106"/>
    </row>
    <row r="141">
      <c r="C141" s="79"/>
      <c r="D141" s="79"/>
      <c r="E141" s="79"/>
      <c r="M141" s="79"/>
      <c r="R141" s="79"/>
      <c r="S141" s="79"/>
      <c r="V141" s="79"/>
      <c r="W141" s="79"/>
      <c r="Z141" s="130"/>
      <c r="AB141" s="106"/>
    </row>
    <row r="142">
      <c r="C142" s="79"/>
      <c r="D142" s="79"/>
      <c r="E142" s="79"/>
      <c r="M142" s="79"/>
      <c r="R142" s="79"/>
      <c r="S142" s="79"/>
      <c r="V142" s="79"/>
      <c r="W142" s="79"/>
      <c r="Z142" s="130"/>
      <c r="AB142" s="106"/>
    </row>
    <row r="143">
      <c r="C143" s="79"/>
      <c r="D143" s="79"/>
      <c r="E143" s="79"/>
      <c r="M143" s="79"/>
      <c r="R143" s="79"/>
      <c r="S143" s="79"/>
      <c r="V143" s="79"/>
      <c r="W143" s="79"/>
      <c r="Z143" s="130"/>
      <c r="AB143" s="106"/>
    </row>
    <row r="144">
      <c r="C144" s="79"/>
      <c r="D144" s="79"/>
      <c r="E144" s="79"/>
      <c r="M144" s="79"/>
      <c r="R144" s="79"/>
      <c r="S144" s="79"/>
      <c r="V144" s="79"/>
      <c r="W144" s="79"/>
      <c r="Z144" s="130"/>
      <c r="AB144" s="106"/>
    </row>
    <row r="145">
      <c r="C145" s="79"/>
      <c r="D145" s="79"/>
      <c r="E145" s="79"/>
      <c r="M145" s="79"/>
      <c r="R145" s="79"/>
      <c r="S145" s="79"/>
      <c r="V145" s="79"/>
      <c r="W145" s="79"/>
      <c r="Z145" s="130"/>
      <c r="AB145" s="106"/>
    </row>
    <row r="146">
      <c r="C146" s="79"/>
      <c r="D146" s="79"/>
      <c r="E146" s="79"/>
      <c r="M146" s="79"/>
      <c r="R146" s="79"/>
      <c r="S146" s="79"/>
      <c r="V146" s="79"/>
      <c r="W146" s="79"/>
      <c r="Z146" s="130"/>
      <c r="AB146" s="106"/>
    </row>
    <row r="147">
      <c r="C147" s="79"/>
      <c r="D147" s="79"/>
      <c r="E147" s="79"/>
      <c r="M147" s="79"/>
      <c r="R147" s="79"/>
      <c r="S147" s="79"/>
      <c r="V147" s="79"/>
      <c r="W147" s="79"/>
      <c r="Z147" s="130"/>
      <c r="AB147" s="106"/>
    </row>
    <row r="148">
      <c r="C148" s="79"/>
      <c r="D148" s="79"/>
      <c r="E148" s="79"/>
      <c r="M148" s="79"/>
      <c r="R148" s="79"/>
      <c r="S148" s="79"/>
      <c r="V148" s="79"/>
      <c r="W148" s="79"/>
      <c r="Z148" s="130"/>
      <c r="AB148" s="106"/>
    </row>
    <row r="149">
      <c r="C149" s="79"/>
      <c r="D149" s="79"/>
      <c r="E149" s="79"/>
      <c r="M149" s="79"/>
      <c r="R149" s="79"/>
      <c r="S149" s="79"/>
      <c r="V149" s="79"/>
      <c r="W149" s="79"/>
      <c r="Z149" s="130"/>
      <c r="AB149" s="106"/>
    </row>
    <row r="150">
      <c r="C150" s="79"/>
      <c r="D150" s="79"/>
      <c r="E150" s="79"/>
      <c r="M150" s="79"/>
      <c r="R150" s="79"/>
      <c r="S150" s="79"/>
      <c r="V150" s="79"/>
      <c r="W150" s="79"/>
      <c r="Z150" s="130"/>
      <c r="AB150" s="106"/>
    </row>
    <row r="151">
      <c r="C151" s="79"/>
      <c r="D151" s="79"/>
      <c r="E151" s="79"/>
      <c r="M151" s="79"/>
      <c r="R151" s="79"/>
      <c r="S151" s="79"/>
      <c r="V151" s="79"/>
      <c r="W151" s="79"/>
      <c r="Z151" s="130"/>
      <c r="AB151" s="106"/>
    </row>
    <row r="152">
      <c r="C152" s="79"/>
      <c r="D152" s="79"/>
      <c r="E152" s="79"/>
      <c r="M152" s="79"/>
      <c r="R152" s="79"/>
      <c r="S152" s="79"/>
      <c r="V152" s="79"/>
      <c r="W152" s="79"/>
      <c r="Z152" s="130"/>
      <c r="AB152" s="106"/>
    </row>
    <row r="153">
      <c r="C153" s="79"/>
      <c r="D153" s="79"/>
      <c r="E153" s="79"/>
      <c r="M153" s="79"/>
      <c r="R153" s="79"/>
      <c r="S153" s="79"/>
      <c r="V153" s="79"/>
      <c r="W153" s="79"/>
      <c r="Z153" s="130"/>
      <c r="AB153" s="106"/>
    </row>
    <row r="154">
      <c r="C154" s="79"/>
      <c r="D154" s="79"/>
      <c r="E154" s="79"/>
      <c r="M154" s="79"/>
      <c r="R154" s="79"/>
      <c r="S154" s="79"/>
      <c r="V154" s="79"/>
      <c r="W154" s="79"/>
      <c r="Z154" s="130"/>
      <c r="AB154" s="106"/>
    </row>
    <row r="155">
      <c r="C155" s="79"/>
      <c r="D155" s="79"/>
      <c r="E155" s="79"/>
      <c r="M155" s="79"/>
      <c r="R155" s="79"/>
      <c r="S155" s="79"/>
      <c r="V155" s="79"/>
      <c r="W155" s="79"/>
      <c r="Z155" s="130"/>
      <c r="AB155" s="106"/>
    </row>
    <row r="156">
      <c r="C156" s="79"/>
      <c r="D156" s="79"/>
      <c r="E156" s="79"/>
      <c r="M156" s="79"/>
      <c r="R156" s="79"/>
      <c r="S156" s="79"/>
      <c r="V156" s="79"/>
      <c r="W156" s="79"/>
      <c r="Z156" s="130"/>
      <c r="AB156" s="106"/>
    </row>
    <row r="157">
      <c r="C157" s="79"/>
      <c r="D157" s="79"/>
      <c r="E157" s="79"/>
      <c r="M157" s="79"/>
      <c r="R157" s="79"/>
      <c r="S157" s="79"/>
      <c r="V157" s="79"/>
      <c r="W157" s="79"/>
      <c r="Z157" s="130"/>
      <c r="AB157" s="106"/>
    </row>
    <row r="158">
      <c r="C158" s="79"/>
      <c r="D158" s="79"/>
      <c r="E158" s="79"/>
      <c r="M158" s="79"/>
      <c r="R158" s="79"/>
      <c r="S158" s="79"/>
      <c r="V158" s="79"/>
      <c r="W158" s="79"/>
      <c r="Z158" s="130"/>
      <c r="AB158" s="106"/>
    </row>
    <row r="159">
      <c r="C159" s="79"/>
      <c r="D159" s="79"/>
      <c r="E159" s="79"/>
      <c r="M159" s="79"/>
      <c r="R159" s="79"/>
      <c r="S159" s="79"/>
      <c r="V159" s="79"/>
      <c r="W159" s="79"/>
      <c r="Z159" s="130"/>
      <c r="AB159" s="106"/>
    </row>
    <row r="160">
      <c r="C160" s="79"/>
      <c r="D160" s="79"/>
      <c r="E160" s="79"/>
      <c r="M160" s="79"/>
      <c r="R160" s="79"/>
      <c r="S160" s="79"/>
      <c r="V160" s="79"/>
      <c r="W160" s="79"/>
      <c r="Z160" s="130"/>
      <c r="AB160" s="106"/>
    </row>
    <row r="161">
      <c r="C161" s="79"/>
      <c r="D161" s="79"/>
      <c r="E161" s="79"/>
      <c r="M161" s="79"/>
      <c r="R161" s="79"/>
      <c r="S161" s="79"/>
      <c r="V161" s="79"/>
      <c r="W161" s="79"/>
      <c r="Z161" s="130"/>
      <c r="AB161" s="106"/>
    </row>
    <row r="162">
      <c r="C162" s="79"/>
      <c r="D162" s="79"/>
      <c r="E162" s="79"/>
      <c r="M162" s="79"/>
      <c r="R162" s="79"/>
      <c r="S162" s="79"/>
      <c r="V162" s="79"/>
      <c r="W162" s="79"/>
      <c r="Z162" s="130"/>
      <c r="AB162" s="106"/>
    </row>
    <row r="163">
      <c r="C163" s="79"/>
      <c r="D163" s="79"/>
      <c r="E163" s="79"/>
      <c r="M163" s="79"/>
      <c r="R163" s="79"/>
      <c r="S163" s="79"/>
      <c r="V163" s="79"/>
      <c r="W163" s="79"/>
      <c r="Z163" s="130"/>
      <c r="AB163" s="106"/>
    </row>
    <row r="164">
      <c r="C164" s="79"/>
      <c r="D164" s="79"/>
      <c r="E164" s="79"/>
      <c r="M164" s="79"/>
      <c r="R164" s="79"/>
      <c r="S164" s="79"/>
      <c r="V164" s="79"/>
      <c r="W164" s="79"/>
      <c r="Z164" s="130"/>
      <c r="AB164" s="106"/>
    </row>
    <row r="165">
      <c r="C165" s="79"/>
      <c r="D165" s="79"/>
      <c r="E165" s="79"/>
      <c r="M165" s="79"/>
      <c r="R165" s="79"/>
      <c r="S165" s="79"/>
      <c r="V165" s="79"/>
      <c r="W165" s="79"/>
      <c r="Z165" s="130"/>
      <c r="AB165" s="106"/>
    </row>
    <row r="166">
      <c r="C166" s="79"/>
      <c r="D166" s="79"/>
      <c r="E166" s="79"/>
      <c r="M166" s="79"/>
      <c r="R166" s="79"/>
      <c r="S166" s="79"/>
      <c r="V166" s="79"/>
      <c r="W166" s="79"/>
      <c r="Z166" s="130"/>
      <c r="AB166" s="106"/>
    </row>
    <row r="167">
      <c r="C167" s="79"/>
      <c r="D167" s="79"/>
      <c r="E167" s="79"/>
      <c r="M167" s="79"/>
      <c r="R167" s="79"/>
      <c r="S167" s="79"/>
      <c r="V167" s="79"/>
      <c r="W167" s="79"/>
      <c r="Z167" s="130"/>
      <c r="AB167" s="106"/>
    </row>
    <row r="168">
      <c r="C168" s="79"/>
      <c r="D168" s="79"/>
      <c r="E168" s="79"/>
      <c r="M168" s="79"/>
      <c r="R168" s="79"/>
      <c r="S168" s="79"/>
      <c r="V168" s="79"/>
      <c r="W168" s="79"/>
      <c r="Z168" s="130"/>
      <c r="AB168" s="106"/>
    </row>
    <row r="169">
      <c r="C169" s="79"/>
      <c r="D169" s="79"/>
      <c r="E169" s="79"/>
      <c r="M169" s="79"/>
      <c r="R169" s="79"/>
      <c r="S169" s="79"/>
      <c r="V169" s="79"/>
      <c r="W169" s="79"/>
      <c r="Z169" s="130"/>
      <c r="AB169" s="106"/>
    </row>
    <row r="170">
      <c r="C170" s="79"/>
      <c r="D170" s="79"/>
      <c r="E170" s="79"/>
      <c r="M170" s="79"/>
      <c r="R170" s="79"/>
      <c r="S170" s="79"/>
      <c r="V170" s="79"/>
      <c r="W170" s="79"/>
      <c r="Z170" s="130"/>
      <c r="AB170" s="106"/>
    </row>
    <row r="171">
      <c r="C171" s="79"/>
      <c r="D171" s="79"/>
      <c r="E171" s="79"/>
      <c r="M171" s="79"/>
      <c r="R171" s="79"/>
      <c r="S171" s="79"/>
      <c r="V171" s="79"/>
      <c r="W171" s="79"/>
      <c r="Z171" s="130"/>
      <c r="AB171" s="106"/>
    </row>
    <row r="172">
      <c r="C172" s="79"/>
      <c r="D172" s="79"/>
      <c r="E172" s="79"/>
      <c r="M172" s="79"/>
      <c r="R172" s="79"/>
      <c r="S172" s="79"/>
      <c r="V172" s="79"/>
      <c r="W172" s="79"/>
      <c r="Z172" s="130"/>
      <c r="AB172" s="106"/>
    </row>
    <row r="173">
      <c r="C173" s="79"/>
      <c r="D173" s="79"/>
      <c r="E173" s="79"/>
      <c r="M173" s="79"/>
      <c r="R173" s="79"/>
      <c r="S173" s="79"/>
      <c r="V173" s="79"/>
      <c r="W173" s="79"/>
      <c r="Z173" s="130"/>
      <c r="AB173" s="106"/>
    </row>
    <row r="174">
      <c r="C174" s="79"/>
      <c r="D174" s="79"/>
      <c r="E174" s="79"/>
      <c r="M174" s="79"/>
      <c r="R174" s="79"/>
      <c r="S174" s="79"/>
      <c r="V174" s="79"/>
      <c r="W174" s="79"/>
      <c r="Z174" s="130"/>
      <c r="AB174" s="106"/>
    </row>
    <row r="175">
      <c r="C175" s="79"/>
      <c r="D175" s="79"/>
      <c r="E175" s="79"/>
      <c r="M175" s="79"/>
      <c r="R175" s="79"/>
      <c r="S175" s="79"/>
      <c r="V175" s="79"/>
      <c r="W175" s="79"/>
      <c r="Z175" s="130"/>
      <c r="AB175" s="106"/>
    </row>
    <row r="176">
      <c r="C176" s="79"/>
      <c r="D176" s="79"/>
      <c r="E176" s="79"/>
      <c r="M176" s="79"/>
      <c r="R176" s="79"/>
      <c r="S176" s="79"/>
      <c r="V176" s="79"/>
      <c r="W176" s="79"/>
      <c r="Z176" s="130"/>
      <c r="AB176" s="106"/>
    </row>
    <row r="177">
      <c r="C177" s="79"/>
      <c r="D177" s="79"/>
      <c r="E177" s="79"/>
      <c r="M177" s="79"/>
      <c r="R177" s="79"/>
      <c r="S177" s="79"/>
      <c r="V177" s="79"/>
      <c r="W177" s="79"/>
      <c r="Z177" s="130"/>
      <c r="AB177" s="106"/>
    </row>
    <row r="178">
      <c r="C178" s="79"/>
      <c r="D178" s="79"/>
      <c r="E178" s="79"/>
      <c r="M178" s="79"/>
      <c r="R178" s="79"/>
      <c r="S178" s="79"/>
      <c r="V178" s="79"/>
      <c r="W178" s="79"/>
      <c r="Z178" s="130"/>
      <c r="AB178" s="106"/>
    </row>
    <row r="179">
      <c r="C179" s="79"/>
      <c r="D179" s="79"/>
      <c r="E179" s="79"/>
      <c r="M179" s="79"/>
      <c r="R179" s="79"/>
      <c r="S179" s="79"/>
      <c r="V179" s="79"/>
      <c r="W179" s="79"/>
      <c r="Z179" s="130"/>
      <c r="AB179" s="106"/>
    </row>
    <row r="180">
      <c r="C180" s="79"/>
      <c r="D180" s="79"/>
      <c r="E180" s="79"/>
      <c r="M180" s="79"/>
      <c r="R180" s="79"/>
      <c r="S180" s="79"/>
      <c r="V180" s="79"/>
      <c r="W180" s="79"/>
      <c r="Z180" s="130"/>
      <c r="AB180" s="106"/>
    </row>
    <row r="181">
      <c r="C181" s="79"/>
      <c r="D181" s="79"/>
      <c r="E181" s="79"/>
      <c r="M181" s="79"/>
      <c r="R181" s="79"/>
      <c r="S181" s="79"/>
      <c r="V181" s="79"/>
      <c r="W181" s="79"/>
      <c r="Z181" s="130"/>
      <c r="AB181" s="106"/>
    </row>
    <row r="182">
      <c r="C182" s="79"/>
      <c r="D182" s="79"/>
      <c r="E182" s="79"/>
      <c r="M182" s="79"/>
      <c r="R182" s="79"/>
      <c r="S182" s="79"/>
      <c r="V182" s="79"/>
      <c r="W182" s="79"/>
      <c r="Z182" s="130"/>
      <c r="AB182" s="106"/>
    </row>
    <row r="183">
      <c r="C183" s="79"/>
      <c r="D183" s="79"/>
      <c r="E183" s="79"/>
      <c r="M183" s="79"/>
      <c r="R183" s="79"/>
      <c r="S183" s="79"/>
      <c r="V183" s="79"/>
      <c r="W183" s="79"/>
      <c r="Z183" s="130"/>
      <c r="AB183" s="106"/>
    </row>
    <row r="184">
      <c r="C184" s="79"/>
      <c r="D184" s="79"/>
      <c r="E184" s="79"/>
      <c r="M184" s="79"/>
      <c r="R184" s="79"/>
      <c r="S184" s="79"/>
      <c r="V184" s="79"/>
      <c r="W184" s="79"/>
      <c r="Z184" s="130"/>
      <c r="AB184" s="106"/>
    </row>
    <row r="185">
      <c r="C185" s="79"/>
      <c r="D185" s="79"/>
      <c r="E185" s="79"/>
      <c r="M185" s="79"/>
      <c r="R185" s="79"/>
      <c r="S185" s="79"/>
      <c r="V185" s="79"/>
      <c r="W185" s="79"/>
      <c r="Z185" s="130"/>
      <c r="AB185" s="106"/>
    </row>
    <row r="186">
      <c r="C186" s="79"/>
      <c r="D186" s="79"/>
      <c r="E186" s="79"/>
      <c r="M186" s="79"/>
      <c r="R186" s="79"/>
      <c r="S186" s="79"/>
      <c r="V186" s="79"/>
      <c r="W186" s="79"/>
      <c r="Z186" s="130"/>
      <c r="AB186" s="106"/>
    </row>
    <row r="187">
      <c r="C187" s="79"/>
      <c r="D187" s="79"/>
      <c r="E187" s="79"/>
      <c r="M187" s="79"/>
      <c r="R187" s="79"/>
      <c r="S187" s="79"/>
      <c r="V187" s="79"/>
      <c r="W187" s="79"/>
      <c r="Z187" s="130"/>
      <c r="AB187" s="106"/>
    </row>
    <row r="188">
      <c r="C188" s="79"/>
      <c r="D188" s="79"/>
      <c r="E188" s="79"/>
      <c r="M188" s="79"/>
      <c r="R188" s="79"/>
      <c r="S188" s="79"/>
      <c r="V188" s="79"/>
      <c r="W188" s="79"/>
      <c r="Z188" s="130"/>
      <c r="AB188" s="106"/>
    </row>
    <row r="189">
      <c r="C189" s="79"/>
      <c r="D189" s="79"/>
      <c r="E189" s="79"/>
      <c r="M189" s="79"/>
      <c r="R189" s="79"/>
      <c r="S189" s="79"/>
      <c r="V189" s="79"/>
      <c r="W189" s="79"/>
      <c r="Z189" s="130"/>
      <c r="AB189" s="106"/>
    </row>
    <row r="190">
      <c r="C190" s="79"/>
      <c r="D190" s="79"/>
      <c r="E190" s="79"/>
      <c r="M190" s="79"/>
      <c r="R190" s="79"/>
      <c r="S190" s="79"/>
      <c r="V190" s="79"/>
      <c r="W190" s="79"/>
      <c r="Z190" s="130"/>
      <c r="AB190" s="106"/>
    </row>
    <row r="191">
      <c r="C191" s="79"/>
      <c r="D191" s="79"/>
      <c r="E191" s="79"/>
      <c r="M191" s="79"/>
      <c r="R191" s="79"/>
      <c r="S191" s="79"/>
      <c r="V191" s="79"/>
      <c r="W191" s="79"/>
      <c r="Z191" s="130"/>
      <c r="AB191" s="106"/>
    </row>
    <row r="192">
      <c r="C192" s="79"/>
      <c r="D192" s="79"/>
      <c r="E192" s="79"/>
      <c r="M192" s="79"/>
      <c r="R192" s="79"/>
      <c r="S192" s="79"/>
      <c r="V192" s="79"/>
      <c r="W192" s="79"/>
      <c r="Z192" s="130"/>
      <c r="AB192" s="106"/>
    </row>
    <row r="193">
      <c r="C193" s="79"/>
      <c r="D193" s="79"/>
      <c r="E193" s="79"/>
      <c r="M193" s="79"/>
      <c r="R193" s="79"/>
      <c r="S193" s="79"/>
      <c r="V193" s="79"/>
      <c r="W193" s="79"/>
      <c r="Z193" s="130"/>
      <c r="AB193" s="106"/>
    </row>
    <row r="194">
      <c r="C194" s="79"/>
      <c r="D194" s="79"/>
      <c r="E194" s="79"/>
      <c r="M194" s="79"/>
      <c r="R194" s="79"/>
      <c r="S194" s="79"/>
      <c r="V194" s="79"/>
      <c r="W194" s="79"/>
      <c r="Z194" s="130"/>
      <c r="AB194" s="106"/>
    </row>
    <row r="195">
      <c r="C195" s="79"/>
      <c r="D195" s="79"/>
      <c r="E195" s="79"/>
      <c r="M195" s="79"/>
      <c r="R195" s="79"/>
      <c r="S195" s="79"/>
      <c r="V195" s="79"/>
      <c r="W195" s="79"/>
      <c r="Z195" s="130"/>
      <c r="AB195" s="106"/>
    </row>
    <row r="196">
      <c r="C196" s="79"/>
      <c r="D196" s="79"/>
      <c r="E196" s="79"/>
      <c r="M196" s="79"/>
      <c r="R196" s="79"/>
      <c r="S196" s="79"/>
      <c r="V196" s="79"/>
      <c r="W196" s="79"/>
      <c r="Z196" s="130"/>
      <c r="AB196" s="106"/>
    </row>
    <row r="197">
      <c r="C197" s="79"/>
      <c r="D197" s="79"/>
      <c r="E197" s="79"/>
      <c r="M197" s="79"/>
      <c r="R197" s="79"/>
      <c r="S197" s="79"/>
      <c r="V197" s="79"/>
      <c r="W197" s="79"/>
      <c r="Z197" s="130"/>
      <c r="AB197" s="106"/>
    </row>
    <row r="198">
      <c r="C198" s="79"/>
      <c r="D198" s="79"/>
      <c r="E198" s="79"/>
      <c r="M198" s="79"/>
      <c r="R198" s="79"/>
      <c r="S198" s="79"/>
      <c r="V198" s="79"/>
      <c r="W198" s="79"/>
      <c r="Z198" s="130"/>
      <c r="AB198" s="106"/>
    </row>
    <row r="199">
      <c r="C199" s="79"/>
      <c r="D199" s="79"/>
      <c r="E199" s="79"/>
      <c r="M199" s="79"/>
      <c r="R199" s="79"/>
      <c r="S199" s="79"/>
      <c r="V199" s="79"/>
      <c r="W199" s="79"/>
      <c r="Z199" s="130"/>
      <c r="AB199" s="106"/>
    </row>
    <row r="200">
      <c r="C200" s="79"/>
      <c r="D200" s="79"/>
      <c r="E200" s="79"/>
      <c r="M200" s="79"/>
      <c r="R200" s="79"/>
      <c r="S200" s="79"/>
      <c r="V200" s="79"/>
      <c r="W200" s="79"/>
      <c r="Z200" s="130"/>
      <c r="AB200" s="106"/>
    </row>
    <row r="201">
      <c r="C201" s="79"/>
      <c r="D201" s="79"/>
      <c r="E201" s="79"/>
      <c r="M201" s="79"/>
      <c r="R201" s="79"/>
      <c r="S201" s="79"/>
      <c r="V201" s="79"/>
      <c r="W201" s="79"/>
      <c r="Z201" s="130"/>
      <c r="AB201" s="106"/>
    </row>
    <row r="202">
      <c r="C202" s="79"/>
      <c r="D202" s="79"/>
      <c r="E202" s="79"/>
      <c r="M202" s="79"/>
      <c r="R202" s="79"/>
      <c r="S202" s="79"/>
      <c r="V202" s="79"/>
      <c r="W202" s="79"/>
      <c r="Z202" s="130"/>
      <c r="AB202" s="106"/>
    </row>
    <row r="203">
      <c r="C203" s="79"/>
      <c r="D203" s="79"/>
      <c r="E203" s="79"/>
      <c r="M203" s="79"/>
      <c r="R203" s="79"/>
      <c r="S203" s="79"/>
      <c r="V203" s="79"/>
      <c r="W203" s="79"/>
      <c r="Z203" s="130"/>
      <c r="AB203" s="106"/>
    </row>
    <row r="204">
      <c r="C204" s="79"/>
      <c r="D204" s="79"/>
      <c r="E204" s="79"/>
      <c r="M204" s="79"/>
      <c r="R204" s="79"/>
      <c r="S204" s="79"/>
      <c r="V204" s="79"/>
      <c r="W204" s="79"/>
      <c r="Z204" s="130"/>
      <c r="AB204" s="106"/>
    </row>
    <row r="205">
      <c r="C205" s="79"/>
      <c r="D205" s="79"/>
      <c r="E205" s="79"/>
      <c r="M205" s="79"/>
      <c r="R205" s="79"/>
      <c r="S205" s="79"/>
      <c r="V205" s="79"/>
      <c r="W205" s="79"/>
      <c r="Z205" s="130"/>
      <c r="AB205" s="106"/>
    </row>
    <row r="206">
      <c r="C206" s="79"/>
      <c r="D206" s="79"/>
      <c r="E206" s="79"/>
      <c r="M206" s="79"/>
      <c r="R206" s="79"/>
      <c r="S206" s="79"/>
      <c r="V206" s="79"/>
      <c r="W206" s="79"/>
      <c r="Z206" s="130"/>
      <c r="AB206" s="106"/>
    </row>
    <row r="207">
      <c r="C207" s="79"/>
      <c r="D207" s="79"/>
      <c r="E207" s="79"/>
      <c r="M207" s="79"/>
      <c r="R207" s="79"/>
      <c r="S207" s="79"/>
      <c r="V207" s="79"/>
      <c r="W207" s="79"/>
      <c r="Z207" s="130"/>
      <c r="AB207" s="106"/>
    </row>
    <row r="208">
      <c r="C208" s="79"/>
      <c r="D208" s="79"/>
      <c r="E208" s="79"/>
      <c r="M208" s="79"/>
      <c r="R208" s="79"/>
      <c r="S208" s="79"/>
      <c r="V208" s="79"/>
      <c r="W208" s="79"/>
      <c r="Z208" s="130"/>
      <c r="AB208" s="106"/>
    </row>
    <row r="209">
      <c r="C209" s="79"/>
      <c r="D209" s="79"/>
      <c r="E209" s="79"/>
      <c r="M209" s="79"/>
      <c r="R209" s="79"/>
      <c r="S209" s="79"/>
      <c r="V209" s="79"/>
      <c r="W209" s="79"/>
      <c r="Z209" s="130"/>
      <c r="AB209" s="106"/>
    </row>
    <row r="210">
      <c r="C210" s="79"/>
      <c r="D210" s="79"/>
      <c r="E210" s="79"/>
      <c r="M210" s="79"/>
      <c r="R210" s="79"/>
      <c r="S210" s="79"/>
      <c r="V210" s="79"/>
      <c r="W210" s="79"/>
      <c r="Z210" s="130"/>
      <c r="AB210" s="106"/>
    </row>
    <row r="211">
      <c r="C211" s="79"/>
      <c r="D211" s="79"/>
      <c r="E211" s="79"/>
      <c r="M211" s="79"/>
      <c r="R211" s="79"/>
      <c r="S211" s="79"/>
      <c r="V211" s="79"/>
      <c r="W211" s="79"/>
      <c r="Z211" s="130"/>
      <c r="AB211" s="106"/>
    </row>
    <row r="212">
      <c r="C212" s="79"/>
      <c r="D212" s="79"/>
      <c r="E212" s="79"/>
      <c r="M212" s="79"/>
      <c r="R212" s="79"/>
      <c r="S212" s="79"/>
      <c r="V212" s="79"/>
      <c r="W212" s="79"/>
      <c r="Z212" s="130"/>
      <c r="AB212" s="106"/>
    </row>
    <row r="213">
      <c r="C213" s="79"/>
      <c r="D213" s="79"/>
      <c r="E213" s="79"/>
      <c r="M213" s="79"/>
      <c r="R213" s="79"/>
      <c r="S213" s="79"/>
      <c r="V213" s="79"/>
      <c r="W213" s="79"/>
      <c r="Z213" s="130"/>
      <c r="AB213" s="106"/>
    </row>
    <row r="214">
      <c r="C214" s="79"/>
      <c r="D214" s="79"/>
      <c r="E214" s="79"/>
      <c r="M214" s="79"/>
      <c r="R214" s="79"/>
      <c r="S214" s="79"/>
      <c r="V214" s="79"/>
      <c r="W214" s="79"/>
      <c r="Z214" s="130"/>
      <c r="AB214" s="106"/>
    </row>
    <row r="215">
      <c r="C215" s="79"/>
      <c r="D215" s="79"/>
      <c r="E215" s="79"/>
      <c r="M215" s="79"/>
      <c r="R215" s="79"/>
      <c r="S215" s="79"/>
      <c r="V215" s="79"/>
      <c r="W215" s="79"/>
      <c r="Z215" s="130"/>
      <c r="AB215" s="106"/>
    </row>
    <row r="216">
      <c r="C216" s="79"/>
      <c r="D216" s="79"/>
      <c r="E216" s="79"/>
      <c r="M216" s="79"/>
      <c r="R216" s="79"/>
      <c r="S216" s="79"/>
      <c r="V216" s="79"/>
      <c r="W216" s="79"/>
      <c r="Z216" s="130"/>
      <c r="AB216" s="106"/>
    </row>
    <row r="217">
      <c r="C217" s="79"/>
      <c r="D217" s="79"/>
      <c r="E217" s="79"/>
      <c r="M217" s="79"/>
      <c r="R217" s="79"/>
      <c r="S217" s="79"/>
      <c r="V217" s="79"/>
      <c r="W217" s="79"/>
      <c r="Z217" s="130"/>
      <c r="AB217" s="106"/>
    </row>
    <row r="218">
      <c r="C218" s="79"/>
      <c r="D218" s="79"/>
      <c r="E218" s="79"/>
      <c r="M218" s="79"/>
      <c r="R218" s="79"/>
      <c r="S218" s="79"/>
      <c r="V218" s="79"/>
      <c r="W218" s="79"/>
      <c r="Z218" s="130"/>
      <c r="AB218" s="106"/>
    </row>
    <row r="219">
      <c r="C219" s="79"/>
      <c r="D219" s="79"/>
      <c r="E219" s="79"/>
      <c r="M219" s="79"/>
      <c r="R219" s="79"/>
      <c r="S219" s="79"/>
      <c r="V219" s="79"/>
      <c r="W219" s="79"/>
      <c r="Z219" s="130"/>
      <c r="AB219" s="106"/>
    </row>
    <row r="220">
      <c r="C220" s="79"/>
      <c r="D220" s="79"/>
      <c r="E220" s="79"/>
      <c r="M220" s="79"/>
      <c r="R220" s="79"/>
      <c r="S220" s="79"/>
      <c r="V220" s="79"/>
      <c r="W220" s="79"/>
      <c r="Z220" s="130"/>
      <c r="AB220" s="106"/>
    </row>
    <row r="221">
      <c r="C221" s="79"/>
      <c r="D221" s="79"/>
      <c r="E221" s="79"/>
      <c r="M221" s="79"/>
      <c r="R221" s="79"/>
      <c r="S221" s="79"/>
      <c r="V221" s="79"/>
      <c r="W221" s="79"/>
      <c r="Z221" s="130"/>
      <c r="AB221" s="106"/>
    </row>
    <row r="222">
      <c r="C222" s="79"/>
      <c r="D222" s="79"/>
      <c r="E222" s="79"/>
      <c r="M222" s="79"/>
      <c r="R222" s="79"/>
      <c r="S222" s="79"/>
      <c r="V222" s="79"/>
      <c r="W222" s="79"/>
      <c r="Z222" s="130"/>
      <c r="AB222" s="106"/>
    </row>
    <row r="223">
      <c r="C223" s="79"/>
      <c r="D223" s="79"/>
      <c r="E223" s="79"/>
      <c r="M223" s="79"/>
      <c r="R223" s="79"/>
      <c r="S223" s="79"/>
      <c r="V223" s="79"/>
      <c r="W223" s="79"/>
      <c r="Z223" s="130"/>
      <c r="AB223" s="106"/>
    </row>
    <row r="224">
      <c r="C224" s="79"/>
      <c r="D224" s="79"/>
      <c r="E224" s="79"/>
      <c r="M224" s="79"/>
      <c r="R224" s="79"/>
      <c r="S224" s="79"/>
      <c r="V224" s="79"/>
      <c r="W224" s="79"/>
      <c r="Z224" s="130"/>
      <c r="AB224" s="106"/>
    </row>
    <row r="225">
      <c r="C225" s="79"/>
      <c r="D225" s="79"/>
      <c r="E225" s="79"/>
      <c r="M225" s="79"/>
      <c r="R225" s="79"/>
      <c r="S225" s="79"/>
      <c r="V225" s="79"/>
      <c r="W225" s="79"/>
      <c r="Z225" s="130"/>
      <c r="AB225" s="106"/>
    </row>
    <row r="226">
      <c r="C226" s="79"/>
      <c r="D226" s="79"/>
      <c r="E226" s="79"/>
      <c r="M226" s="79"/>
      <c r="R226" s="79"/>
      <c r="S226" s="79"/>
      <c r="V226" s="79"/>
      <c r="W226" s="79"/>
      <c r="Z226" s="130"/>
      <c r="AB226" s="106"/>
    </row>
    <row r="227">
      <c r="C227" s="79"/>
      <c r="D227" s="79"/>
      <c r="E227" s="79"/>
      <c r="M227" s="79"/>
      <c r="R227" s="79"/>
      <c r="S227" s="79"/>
      <c r="V227" s="79"/>
      <c r="W227" s="79"/>
      <c r="Z227" s="130"/>
      <c r="AB227" s="106"/>
    </row>
    <row r="228">
      <c r="C228" s="79"/>
      <c r="D228" s="79"/>
      <c r="E228" s="79"/>
      <c r="M228" s="79"/>
      <c r="R228" s="79"/>
      <c r="S228" s="79"/>
      <c r="V228" s="79"/>
      <c r="W228" s="79"/>
      <c r="Z228" s="130"/>
      <c r="AB228" s="106"/>
    </row>
    <row r="229">
      <c r="C229" s="79"/>
      <c r="D229" s="79"/>
      <c r="E229" s="79"/>
      <c r="M229" s="79"/>
      <c r="R229" s="79"/>
      <c r="S229" s="79"/>
      <c r="V229" s="79"/>
      <c r="W229" s="79"/>
      <c r="Z229" s="130"/>
      <c r="AB229" s="106"/>
    </row>
    <row r="230">
      <c r="C230" s="79"/>
      <c r="D230" s="79"/>
      <c r="E230" s="79"/>
      <c r="M230" s="79"/>
      <c r="R230" s="79"/>
      <c r="S230" s="79"/>
      <c r="V230" s="79"/>
      <c r="W230" s="79"/>
      <c r="Z230" s="130"/>
      <c r="AB230" s="106"/>
    </row>
    <row r="231">
      <c r="C231" s="79"/>
      <c r="D231" s="79"/>
      <c r="E231" s="79"/>
      <c r="M231" s="79"/>
      <c r="R231" s="79"/>
      <c r="S231" s="79"/>
      <c r="V231" s="79"/>
      <c r="W231" s="79"/>
      <c r="Z231" s="130"/>
      <c r="AB231" s="106"/>
    </row>
    <row r="232">
      <c r="C232" s="79"/>
      <c r="D232" s="79"/>
      <c r="E232" s="79"/>
      <c r="M232" s="79"/>
      <c r="R232" s="79"/>
      <c r="S232" s="79"/>
      <c r="V232" s="79"/>
      <c r="W232" s="79"/>
      <c r="Z232" s="130"/>
      <c r="AB232" s="106"/>
    </row>
    <row r="233">
      <c r="C233" s="79"/>
      <c r="D233" s="79"/>
      <c r="E233" s="79"/>
      <c r="M233" s="79"/>
      <c r="R233" s="79"/>
      <c r="S233" s="79"/>
      <c r="V233" s="79"/>
      <c r="W233" s="79"/>
      <c r="Z233" s="130"/>
      <c r="AB233" s="106"/>
    </row>
    <row r="234">
      <c r="C234" s="79"/>
      <c r="D234" s="79"/>
      <c r="E234" s="79"/>
      <c r="M234" s="79"/>
      <c r="R234" s="79"/>
      <c r="S234" s="79"/>
      <c r="V234" s="79"/>
      <c r="W234" s="79"/>
      <c r="Z234" s="130"/>
      <c r="AB234" s="106"/>
    </row>
    <row r="235">
      <c r="C235" s="79"/>
      <c r="D235" s="79"/>
      <c r="E235" s="79"/>
      <c r="M235" s="79"/>
      <c r="R235" s="79"/>
      <c r="S235" s="79"/>
      <c r="V235" s="79"/>
      <c r="W235" s="79"/>
      <c r="Z235" s="130"/>
      <c r="AB235" s="106"/>
    </row>
    <row r="236">
      <c r="C236" s="79"/>
      <c r="D236" s="79"/>
      <c r="E236" s="79"/>
      <c r="M236" s="79"/>
      <c r="R236" s="79"/>
      <c r="S236" s="79"/>
      <c r="V236" s="79"/>
      <c r="W236" s="79"/>
      <c r="Z236" s="130"/>
      <c r="AB236" s="106"/>
    </row>
    <row r="237">
      <c r="C237" s="79"/>
      <c r="D237" s="79"/>
      <c r="E237" s="79"/>
      <c r="M237" s="79"/>
      <c r="R237" s="79"/>
      <c r="S237" s="79"/>
      <c r="V237" s="79"/>
      <c r="W237" s="79"/>
      <c r="Z237" s="130"/>
      <c r="AB237" s="106"/>
    </row>
    <row r="238">
      <c r="C238" s="79"/>
      <c r="D238" s="79"/>
      <c r="E238" s="79"/>
      <c r="M238" s="79"/>
      <c r="R238" s="79"/>
      <c r="S238" s="79"/>
      <c r="V238" s="79"/>
      <c r="W238" s="79"/>
      <c r="Z238" s="130"/>
      <c r="AB238" s="106"/>
    </row>
    <row r="239">
      <c r="C239" s="79"/>
      <c r="D239" s="79"/>
      <c r="E239" s="79"/>
      <c r="M239" s="79"/>
      <c r="R239" s="79"/>
      <c r="S239" s="79"/>
      <c r="V239" s="79"/>
      <c r="W239" s="79"/>
      <c r="Z239" s="130"/>
      <c r="AB239" s="106"/>
    </row>
    <row r="240">
      <c r="C240" s="79"/>
      <c r="D240" s="79"/>
      <c r="E240" s="79"/>
      <c r="M240" s="79"/>
      <c r="R240" s="79"/>
      <c r="S240" s="79"/>
      <c r="V240" s="79"/>
      <c r="W240" s="79"/>
      <c r="Z240" s="130"/>
      <c r="AB240" s="106"/>
    </row>
    <row r="241">
      <c r="C241" s="79"/>
      <c r="D241" s="79"/>
      <c r="E241" s="79"/>
      <c r="M241" s="79"/>
      <c r="R241" s="79"/>
      <c r="S241" s="79"/>
      <c r="V241" s="79"/>
      <c r="W241" s="79"/>
      <c r="Z241" s="130"/>
      <c r="AB241" s="106"/>
    </row>
    <row r="242">
      <c r="C242" s="79"/>
      <c r="D242" s="79"/>
      <c r="E242" s="79"/>
      <c r="M242" s="79"/>
      <c r="R242" s="79"/>
      <c r="S242" s="79"/>
      <c r="V242" s="79"/>
      <c r="W242" s="79"/>
      <c r="Z242" s="130"/>
      <c r="AB242" s="106"/>
    </row>
    <row r="243">
      <c r="C243" s="79"/>
      <c r="D243" s="79"/>
      <c r="E243" s="79"/>
      <c r="M243" s="79"/>
      <c r="R243" s="79"/>
      <c r="S243" s="79"/>
      <c r="V243" s="79"/>
      <c r="W243" s="79"/>
      <c r="Z243" s="130"/>
      <c r="AB243" s="106"/>
    </row>
    <row r="244">
      <c r="C244" s="79"/>
      <c r="D244" s="79"/>
      <c r="E244" s="79"/>
      <c r="M244" s="79"/>
      <c r="R244" s="79"/>
      <c r="S244" s="79"/>
      <c r="V244" s="79"/>
      <c r="W244" s="79"/>
      <c r="Z244" s="130"/>
      <c r="AB244" s="106"/>
    </row>
    <row r="245">
      <c r="C245" s="79"/>
      <c r="D245" s="79"/>
      <c r="E245" s="79"/>
      <c r="M245" s="79"/>
      <c r="R245" s="79"/>
      <c r="S245" s="79"/>
      <c r="V245" s="79"/>
      <c r="W245" s="79"/>
      <c r="Z245" s="130"/>
      <c r="AB245" s="106"/>
    </row>
    <row r="246">
      <c r="C246" s="79"/>
      <c r="D246" s="79"/>
      <c r="E246" s="79"/>
      <c r="M246" s="79"/>
      <c r="R246" s="79"/>
      <c r="S246" s="79"/>
      <c r="V246" s="79"/>
      <c r="W246" s="79"/>
      <c r="Z246" s="130"/>
      <c r="AB246" s="106"/>
    </row>
    <row r="247">
      <c r="C247" s="79"/>
      <c r="D247" s="79"/>
      <c r="E247" s="79"/>
      <c r="M247" s="79"/>
      <c r="R247" s="79"/>
      <c r="S247" s="79"/>
      <c r="V247" s="79"/>
      <c r="W247" s="79"/>
      <c r="Z247" s="130"/>
      <c r="AB247" s="106"/>
    </row>
    <row r="248">
      <c r="C248" s="79"/>
      <c r="D248" s="79"/>
      <c r="E248" s="79"/>
      <c r="M248" s="79"/>
      <c r="R248" s="79"/>
      <c r="S248" s="79"/>
      <c r="V248" s="79"/>
      <c r="W248" s="79"/>
      <c r="Z248" s="130"/>
      <c r="AB248" s="106"/>
    </row>
    <row r="249">
      <c r="C249" s="79"/>
      <c r="D249" s="79"/>
      <c r="E249" s="79"/>
      <c r="M249" s="79"/>
      <c r="R249" s="79"/>
      <c r="S249" s="79"/>
      <c r="V249" s="79"/>
      <c r="W249" s="79"/>
      <c r="Z249" s="130"/>
      <c r="AB249" s="106"/>
    </row>
    <row r="250">
      <c r="C250" s="79"/>
      <c r="D250" s="79"/>
      <c r="E250" s="79"/>
      <c r="M250" s="79"/>
      <c r="R250" s="79"/>
      <c r="S250" s="79"/>
      <c r="V250" s="79"/>
      <c r="W250" s="79"/>
      <c r="Z250" s="130"/>
      <c r="AB250" s="106"/>
    </row>
    <row r="251">
      <c r="C251" s="79"/>
      <c r="D251" s="79"/>
      <c r="E251" s="79"/>
      <c r="M251" s="79"/>
      <c r="R251" s="79"/>
      <c r="S251" s="79"/>
      <c r="V251" s="79"/>
      <c r="W251" s="79"/>
      <c r="Z251" s="130"/>
      <c r="AB251" s="106"/>
    </row>
    <row r="252">
      <c r="C252" s="79"/>
      <c r="D252" s="79"/>
      <c r="E252" s="79"/>
      <c r="M252" s="79"/>
      <c r="R252" s="79"/>
      <c r="S252" s="79"/>
      <c r="V252" s="79"/>
      <c r="W252" s="79"/>
      <c r="Z252" s="130"/>
      <c r="AB252" s="106"/>
    </row>
    <row r="253">
      <c r="C253" s="79"/>
      <c r="D253" s="79"/>
      <c r="E253" s="79"/>
      <c r="M253" s="79"/>
      <c r="R253" s="79"/>
      <c r="S253" s="79"/>
      <c r="V253" s="79"/>
      <c r="W253" s="79"/>
      <c r="Z253" s="130"/>
      <c r="AB253" s="106"/>
    </row>
    <row r="254">
      <c r="C254" s="79"/>
      <c r="D254" s="79"/>
      <c r="E254" s="79"/>
      <c r="M254" s="79"/>
      <c r="R254" s="79"/>
      <c r="S254" s="79"/>
      <c r="V254" s="79"/>
      <c r="W254" s="79"/>
      <c r="Z254" s="130"/>
      <c r="AB254" s="106"/>
    </row>
    <row r="255">
      <c r="C255" s="79"/>
      <c r="D255" s="79"/>
      <c r="E255" s="79"/>
      <c r="M255" s="79"/>
      <c r="R255" s="79"/>
      <c r="S255" s="79"/>
      <c r="V255" s="79"/>
      <c r="W255" s="79"/>
      <c r="Z255" s="130"/>
      <c r="AB255" s="106"/>
    </row>
    <row r="256">
      <c r="C256" s="79"/>
      <c r="D256" s="79"/>
      <c r="E256" s="79"/>
      <c r="M256" s="79"/>
      <c r="R256" s="79"/>
      <c r="S256" s="79"/>
      <c r="V256" s="79"/>
      <c r="W256" s="79"/>
      <c r="Z256" s="130"/>
      <c r="AB256" s="106"/>
    </row>
    <row r="257">
      <c r="C257" s="79"/>
      <c r="D257" s="79"/>
      <c r="E257" s="79"/>
      <c r="M257" s="79"/>
      <c r="R257" s="79"/>
      <c r="S257" s="79"/>
      <c r="V257" s="79"/>
      <c r="W257" s="79"/>
      <c r="Z257" s="130"/>
      <c r="AB257" s="106"/>
    </row>
    <row r="258">
      <c r="C258" s="79"/>
      <c r="D258" s="79"/>
      <c r="E258" s="79"/>
      <c r="M258" s="79"/>
      <c r="R258" s="79"/>
      <c r="S258" s="79"/>
      <c r="V258" s="79"/>
      <c r="W258" s="79"/>
      <c r="Z258" s="130"/>
      <c r="AB258" s="106"/>
    </row>
    <row r="259">
      <c r="C259" s="79"/>
      <c r="D259" s="79"/>
      <c r="E259" s="79"/>
      <c r="M259" s="79"/>
      <c r="R259" s="79"/>
      <c r="S259" s="79"/>
      <c r="V259" s="79"/>
      <c r="W259" s="79"/>
      <c r="Z259" s="130"/>
      <c r="AB259" s="106"/>
    </row>
    <row r="260">
      <c r="C260" s="79"/>
      <c r="D260" s="79"/>
      <c r="E260" s="79"/>
      <c r="M260" s="79"/>
      <c r="R260" s="79"/>
      <c r="S260" s="79"/>
      <c r="V260" s="79"/>
      <c r="W260" s="79"/>
      <c r="Z260" s="130"/>
      <c r="AB260" s="106"/>
    </row>
    <row r="261">
      <c r="C261" s="79"/>
      <c r="D261" s="79"/>
      <c r="E261" s="79"/>
      <c r="M261" s="79"/>
      <c r="R261" s="79"/>
      <c r="S261" s="79"/>
      <c r="V261" s="79"/>
      <c r="W261" s="79"/>
      <c r="Z261" s="130"/>
      <c r="AB261" s="106"/>
    </row>
    <row r="262">
      <c r="C262" s="79"/>
      <c r="D262" s="79"/>
      <c r="E262" s="79"/>
      <c r="M262" s="79"/>
      <c r="R262" s="79"/>
      <c r="S262" s="79"/>
      <c r="V262" s="79"/>
      <c r="W262" s="79"/>
      <c r="Z262" s="130"/>
      <c r="AB262" s="106"/>
    </row>
    <row r="263">
      <c r="C263" s="79"/>
      <c r="D263" s="79"/>
      <c r="E263" s="79"/>
      <c r="M263" s="79"/>
      <c r="R263" s="79"/>
      <c r="S263" s="79"/>
      <c r="V263" s="79"/>
      <c r="W263" s="79"/>
      <c r="Z263" s="130"/>
      <c r="AB263" s="106"/>
    </row>
    <row r="264">
      <c r="C264" s="79"/>
      <c r="D264" s="79"/>
      <c r="E264" s="79"/>
      <c r="M264" s="79"/>
      <c r="R264" s="79"/>
      <c r="S264" s="79"/>
      <c r="V264" s="79"/>
      <c r="W264" s="79"/>
      <c r="Z264" s="130"/>
      <c r="AB264" s="106"/>
    </row>
    <row r="265">
      <c r="C265" s="79"/>
      <c r="D265" s="79"/>
      <c r="E265" s="79"/>
      <c r="M265" s="79"/>
      <c r="R265" s="79"/>
      <c r="S265" s="79"/>
      <c r="V265" s="79"/>
      <c r="W265" s="79"/>
      <c r="Z265" s="130"/>
      <c r="AB265" s="106"/>
    </row>
    <row r="266">
      <c r="C266" s="79"/>
      <c r="D266" s="79"/>
      <c r="E266" s="79"/>
      <c r="M266" s="79"/>
      <c r="R266" s="79"/>
      <c r="S266" s="79"/>
      <c r="V266" s="79"/>
      <c r="W266" s="79"/>
      <c r="Z266" s="130"/>
      <c r="AB266" s="106"/>
    </row>
    <row r="267">
      <c r="C267" s="79"/>
      <c r="D267" s="79"/>
      <c r="E267" s="79"/>
      <c r="M267" s="79"/>
      <c r="R267" s="79"/>
      <c r="S267" s="79"/>
      <c r="V267" s="79"/>
      <c r="W267" s="79"/>
      <c r="Z267" s="130"/>
      <c r="AB267" s="106"/>
    </row>
    <row r="268">
      <c r="C268" s="79"/>
      <c r="D268" s="79"/>
      <c r="E268" s="79"/>
      <c r="M268" s="79"/>
      <c r="R268" s="79"/>
      <c r="S268" s="79"/>
      <c r="V268" s="79"/>
      <c r="W268" s="79"/>
      <c r="Z268" s="130"/>
      <c r="AB268" s="106"/>
    </row>
    <row r="269">
      <c r="C269" s="79"/>
      <c r="D269" s="79"/>
      <c r="E269" s="79"/>
      <c r="M269" s="79"/>
      <c r="R269" s="79"/>
      <c r="S269" s="79"/>
      <c r="V269" s="79"/>
      <c r="W269" s="79"/>
      <c r="Z269" s="130"/>
      <c r="AB269" s="106"/>
    </row>
    <row r="270">
      <c r="C270" s="79"/>
      <c r="D270" s="79"/>
      <c r="E270" s="79"/>
      <c r="M270" s="79"/>
      <c r="R270" s="79"/>
      <c r="S270" s="79"/>
      <c r="V270" s="79"/>
      <c r="W270" s="79"/>
      <c r="Z270" s="130"/>
      <c r="AB270" s="106"/>
    </row>
    <row r="271">
      <c r="C271" s="79"/>
      <c r="D271" s="79"/>
      <c r="E271" s="79"/>
      <c r="M271" s="79"/>
      <c r="R271" s="79"/>
      <c r="S271" s="79"/>
      <c r="V271" s="79"/>
      <c r="W271" s="79"/>
      <c r="Z271" s="130"/>
      <c r="AB271" s="106"/>
    </row>
    <row r="272">
      <c r="C272" s="79"/>
      <c r="D272" s="79"/>
      <c r="E272" s="79"/>
      <c r="M272" s="79"/>
      <c r="R272" s="79"/>
      <c r="S272" s="79"/>
      <c r="V272" s="79"/>
      <c r="W272" s="79"/>
      <c r="Z272" s="130"/>
      <c r="AB272" s="106"/>
    </row>
    <row r="273">
      <c r="C273" s="79"/>
      <c r="D273" s="79"/>
      <c r="E273" s="79"/>
      <c r="M273" s="79"/>
      <c r="R273" s="79"/>
      <c r="S273" s="79"/>
      <c r="V273" s="79"/>
      <c r="W273" s="79"/>
      <c r="Z273" s="130"/>
      <c r="AB273" s="106"/>
    </row>
    <row r="274">
      <c r="C274" s="79"/>
      <c r="D274" s="79"/>
      <c r="E274" s="79"/>
      <c r="M274" s="79"/>
      <c r="R274" s="79"/>
      <c r="S274" s="79"/>
      <c r="V274" s="79"/>
      <c r="W274" s="79"/>
      <c r="Z274" s="130"/>
      <c r="AB274" s="106"/>
    </row>
    <row r="275">
      <c r="C275" s="79"/>
      <c r="D275" s="79"/>
      <c r="E275" s="79"/>
      <c r="M275" s="79"/>
      <c r="R275" s="79"/>
      <c r="S275" s="79"/>
      <c r="V275" s="79"/>
      <c r="W275" s="79"/>
      <c r="Z275" s="130"/>
      <c r="AB275" s="106"/>
    </row>
    <row r="276">
      <c r="C276" s="79"/>
      <c r="D276" s="79"/>
      <c r="E276" s="79"/>
      <c r="M276" s="79"/>
      <c r="R276" s="79"/>
      <c r="S276" s="79"/>
      <c r="V276" s="79"/>
      <c r="W276" s="79"/>
      <c r="Z276" s="130"/>
      <c r="AB276" s="106"/>
    </row>
    <row r="277">
      <c r="C277" s="79"/>
      <c r="D277" s="79"/>
      <c r="E277" s="79"/>
      <c r="M277" s="79"/>
      <c r="R277" s="79"/>
      <c r="S277" s="79"/>
      <c r="V277" s="79"/>
      <c r="W277" s="79"/>
      <c r="Z277" s="130"/>
      <c r="AB277" s="106"/>
    </row>
    <row r="278">
      <c r="C278" s="79"/>
      <c r="D278" s="79"/>
      <c r="E278" s="79"/>
      <c r="M278" s="79"/>
      <c r="R278" s="79"/>
      <c r="S278" s="79"/>
      <c r="V278" s="79"/>
      <c r="W278" s="79"/>
      <c r="Z278" s="130"/>
      <c r="AB278" s="106"/>
    </row>
    <row r="279">
      <c r="C279" s="79"/>
      <c r="D279" s="79"/>
      <c r="E279" s="79"/>
      <c r="M279" s="79"/>
      <c r="R279" s="79"/>
      <c r="S279" s="79"/>
      <c r="V279" s="79"/>
      <c r="W279" s="79"/>
      <c r="Z279" s="130"/>
      <c r="AB279" s="106"/>
    </row>
    <row r="280">
      <c r="C280" s="79"/>
      <c r="D280" s="79"/>
      <c r="E280" s="79"/>
      <c r="M280" s="79"/>
      <c r="R280" s="79"/>
      <c r="S280" s="79"/>
      <c r="V280" s="79"/>
      <c r="W280" s="79"/>
      <c r="Z280" s="130"/>
      <c r="AB280" s="106"/>
    </row>
    <row r="281">
      <c r="C281" s="79"/>
      <c r="D281" s="79"/>
      <c r="E281" s="79"/>
      <c r="M281" s="79"/>
      <c r="R281" s="79"/>
      <c r="S281" s="79"/>
      <c r="V281" s="79"/>
      <c r="W281" s="79"/>
      <c r="Z281" s="130"/>
      <c r="AB281" s="106"/>
    </row>
    <row r="282">
      <c r="C282" s="79"/>
      <c r="D282" s="79"/>
      <c r="E282" s="79"/>
      <c r="M282" s="79"/>
      <c r="R282" s="79"/>
      <c r="S282" s="79"/>
      <c r="V282" s="79"/>
      <c r="W282" s="79"/>
      <c r="Z282" s="130"/>
      <c r="AB282" s="106"/>
    </row>
    <row r="283">
      <c r="C283" s="79"/>
      <c r="D283" s="79"/>
      <c r="E283" s="79"/>
      <c r="M283" s="79"/>
      <c r="R283" s="79"/>
      <c r="S283" s="79"/>
      <c r="V283" s="79"/>
      <c r="W283" s="79"/>
      <c r="Z283" s="130"/>
      <c r="AB283" s="106"/>
    </row>
    <row r="284">
      <c r="C284" s="79"/>
      <c r="D284" s="79"/>
      <c r="E284" s="79"/>
      <c r="M284" s="79"/>
      <c r="R284" s="79"/>
      <c r="S284" s="79"/>
      <c r="V284" s="79"/>
      <c r="W284" s="79"/>
      <c r="Z284" s="130"/>
      <c r="AB284" s="106"/>
    </row>
    <row r="285">
      <c r="C285" s="79"/>
      <c r="D285" s="79"/>
      <c r="E285" s="79"/>
      <c r="M285" s="79"/>
      <c r="R285" s="79"/>
      <c r="S285" s="79"/>
      <c r="V285" s="79"/>
      <c r="W285" s="79"/>
      <c r="Z285" s="130"/>
      <c r="AB285" s="106"/>
    </row>
    <row r="286">
      <c r="C286" s="79"/>
      <c r="D286" s="79"/>
      <c r="E286" s="79"/>
      <c r="M286" s="79"/>
      <c r="R286" s="79"/>
      <c r="S286" s="79"/>
      <c r="V286" s="79"/>
      <c r="W286" s="79"/>
      <c r="Z286" s="130"/>
      <c r="AB286" s="106"/>
    </row>
    <row r="287">
      <c r="C287" s="79"/>
      <c r="D287" s="79"/>
      <c r="E287" s="79"/>
      <c r="M287" s="79"/>
      <c r="R287" s="79"/>
      <c r="S287" s="79"/>
      <c r="V287" s="79"/>
      <c r="W287" s="79"/>
      <c r="Z287" s="130"/>
      <c r="AB287" s="106"/>
    </row>
    <row r="288">
      <c r="C288" s="79"/>
      <c r="D288" s="79"/>
      <c r="E288" s="79"/>
      <c r="M288" s="79"/>
      <c r="R288" s="79"/>
      <c r="S288" s="79"/>
      <c r="V288" s="79"/>
      <c r="W288" s="79"/>
      <c r="Z288" s="130"/>
      <c r="AB288" s="106"/>
    </row>
    <row r="289">
      <c r="C289" s="79"/>
      <c r="D289" s="79"/>
      <c r="E289" s="79"/>
      <c r="M289" s="79"/>
      <c r="R289" s="79"/>
      <c r="S289" s="79"/>
      <c r="V289" s="79"/>
      <c r="W289" s="79"/>
      <c r="Z289" s="130"/>
      <c r="AB289" s="106"/>
    </row>
    <row r="290">
      <c r="C290" s="79"/>
      <c r="D290" s="79"/>
      <c r="E290" s="79"/>
      <c r="M290" s="79"/>
      <c r="R290" s="79"/>
      <c r="S290" s="79"/>
      <c r="V290" s="79"/>
      <c r="W290" s="79"/>
      <c r="Z290" s="130"/>
      <c r="AB290" s="106"/>
    </row>
    <row r="291">
      <c r="C291" s="79"/>
      <c r="D291" s="79"/>
      <c r="E291" s="79"/>
      <c r="M291" s="79"/>
      <c r="R291" s="79"/>
      <c r="S291" s="79"/>
      <c r="V291" s="79"/>
      <c r="W291" s="79"/>
      <c r="Z291" s="130"/>
      <c r="AB291" s="106"/>
    </row>
    <row r="292">
      <c r="C292" s="79"/>
      <c r="D292" s="79"/>
      <c r="E292" s="79"/>
      <c r="M292" s="79"/>
      <c r="R292" s="79"/>
      <c r="S292" s="79"/>
      <c r="V292" s="79"/>
      <c r="W292" s="79"/>
      <c r="Z292" s="130"/>
      <c r="AB292" s="106"/>
    </row>
    <row r="293">
      <c r="C293" s="79"/>
      <c r="D293" s="79"/>
      <c r="E293" s="79"/>
      <c r="M293" s="79"/>
      <c r="R293" s="79"/>
      <c r="S293" s="79"/>
      <c r="V293" s="79"/>
      <c r="W293" s="79"/>
      <c r="Z293" s="130"/>
      <c r="AB293" s="106"/>
    </row>
    <row r="294">
      <c r="C294" s="79"/>
      <c r="D294" s="79"/>
      <c r="E294" s="79"/>
      <c r="M294" s="79"/>
      <c r="R294" s="79"/>
      <c r="S294" s="79"/>
      <c r="V294" s="79"/>
      <c r="W294" s="79"/>
      <c r="Z294" s="130"/>
      <c r="AB294" s="106"/>
    </row>
    <row r="295">
      <c r="C295" s="79"/>
      <c r="D295" s="79"/>
      <c r="E295" s="79"/>
      <c r="M295" s="79"/>
      <c r="R295" s="79"/>
      <c r="S295" s="79"/>
      <c r="V295" s="79"/>
      <c r="W295" s="79"/>
      <c r="Z295" s="130"/>
      <c r="AB295" s="106"/>
    </row>
    <row r="296">
      <c r="C296" s="79"/>
      <c r="D296" s="79"/>
      <c r="E296" s="79"/>
      <c r="M296" s="79"/>
      <c r="R296" s="79"/>
      <c r="S296" s="79"/>
      <c r="V296" s="79"/>
      <c r="W296" s="79"/>
      <c r="Z296" s="130"/>
      <c r="AB296" s="106"/>
    </row>
    <row r="297">
      <c r="C297" s="79"/>
      <c r="D297" s="79"/>
      <c r="E297" s="79"/>
      <c r="M297" s="79"/>
      <c r="R297" s="79"/>
      <c r="S297" s="79"/>
      <c r="V297" s="79"/>
      <c r="W297" s="79"/>
      <c r="Z297" s="130"/>
      <c r="AB297" s="106"/>
    </row>
    <row r="298">
      <c r="C298" s="79"/>
      <c r="D298" s="79"/>
      <c r="E298" s="79"/>
      <c r="M298" s="79"/>
      <c r="R298" s="79"/>
      <c r="S298" s="79"/>
      <c r="V298" s="79"/>
      <c r="W298" s="79"/>
      <c r="Z298" s="130"/>
      <c r="AB298" s="106"/>
    </row>
    <row r="299">
      <c r="C299" s="79"/>
      <c r="D299" s="79"/>
      <c r="E299" s="79"/>
      <c r="M299" s="79"/>
      <c r="R299" s="79"/>
      <c r="S299" s="79"/>
      <c r="V299" s="79"/>
      <c r="W299" s="79"/>
      <c r="Z299" s="130"/>
      <c r="AB299" s="106"/>
    </row>
    <row r="300">
      <c r="C300" s="79"/>
      <c r="D300" s="79"/>
      <c r="E300" s="79"/>
      <c r="M300" s="79"/>
      <c r="R300" s="79"/>
      <c r="S300" s="79"/>
      <c r="V300" s="79"/>
      <c r="W300" s="79"/>
      <c r="Z300" s="130"/>
      <c r="AB300" s="106"/>
    </row>
    <row r="301">
      <c r="C301" s="79"/>
      <c r="D301" s="79"/>
      <c r="E301" s="79"/>
      <c r="M301" s="79"/>
      <c r="R301" s="79"/>
      <c r="S301" s="79"/>
      <c r="V301" s="79"/>
      <c r="W301" s="79"/>
      <c r="Z301" s="130"/>
      <c r="AB301" s="106"/>
    </row>
    <row r="302">
      <c r="C302" s="79"/>
      <c r="D302" s="79"/>
      <c r="E302" s="79"/>
      <c r="M302" s="79"/>
      <c r="R302" s="79"/>
      <c r="S302" s="79"/>
      <c r="V302" s="79"/>
      <c r="W302" s="79"/>
      <c r="Z302" s="130"/>
      <c r="AB302" s="106"/>
    </row>
    <row r="303">
      <c r="C303" s="79"/>
      <c r="D303" s="79"/>
      <c r="E303" s="79"/>
      <c r="M303" s="79"/>
      <c r="R303" s="79"/>
      <c r="S303" s="79"/>
      <c r="V303" s="79"/>
      <c r="W303" s="79"/>
      <c r="Z303" s="130"/>
      <c r="AB303" s="106"/>
    </row>
    <row r="304">
      <c r="C304" s="79"/>
      <c r="D304" s="79"/>
      <c r="E304" s="79"/>
      <c r="M304" s="79"/>
      <c r="R304" s="79"/>
      <c r="S304" s="79"/>
      <c r="V304" s="79"/>
      <c r="W304" s="79"/>
      <c r="Z304" s="130"/>
      <c r="AB304" s="106"/>
    </row>
    <row r="305">
      <c r="C305" s="79"/>
      <c r="D305" s="79"/>
      <c r="E305" s="79"/>
      <c r="M305" s="79"/>
      <c r="R305" s="79"/>
      <c r="S305" s="79"/>
      <c r="V305" s="79"/>
      <c r="W305" s="79"/>
      <c r="Z305" s="130"/>
      <c r="AB305" s="106"/>
    </row>
    <row r="306">
      <c r="C306" s="79"/>
      <c r="D306" s="79"/>
      <c r="E306" s="79"/>
      <c r="M306" s="79"/>
      <c r="R306" s="79"/>
      <c r="S306" s="79"/>
      <c r="V306" s="79"/>
      <c r="W306" s="79"/>
      <c r="Z306" s="130"/>
      <c r="AB306" s="106"/>
    </row>
    <row r="307">
      <c r="C307" s="79"/>
      <c r="D307" s="79"/>
      <c r="E307" s="79"/>
      <c r="M307" s="79"/>
      <c r="R307" s="79"/>
      <c r="S307" s="79"/>
      <c r="V307" s="79"/>
      <c r="W307" s="79"/>
      <c r="Z307" s="130"/>
      <c r="AB307" s="106"/>
    </row>
    <row r="308">
      <c r="C308" s="79"/>
      <c r="D308" s="79"/>
      <c r="E308" s="79"/>
      <c r="M308" s="79"/>
      <c r="R308" s="79"/>
      <c r="S308" s="79"/>
      <c r="V308" s="79"/>
      <c r="W308" s="79"/>
      <c r="Z308" s="130"/>
      <c r="AB308" s="106"/>
    </row>
    <row r="309">
      <c r="C309" s="79"/>
      <c r="D309" s="79"/>
      <c r="E309" s="79"/>
      <c r="M309" s="79"/>
      <c r="R309" s="79"/>
      <c r="S309" s="79"/>
      <c r="V309" s="79"/>
      <c r="W309" s="79"/>
      <c r="Z309" s="130"/>
      <c r="AB309" s="106"/>
    </row>
    <row r="310">
      <c r="C310" s="79"/>
      <c r="D310" s="79"/>
      <c r="E310" s="79"/>
      <c r="M310" s="79"/>
      <c r="R310" s="79"/>
      <c r="S310" s="79"/>
      <c r="V310" s="79"/>
      <c r="W310" s="79"/>
      <c r="Z310" s="130"/>
      <c r="AB310" s="106"/>
    </row>
    <row r="311">
      <c r="C311" s="79"/>
      <c r="D311" s="79"/>
      <c r="E311" s="79"/>
      <c r="M311" s="79"/>
      <c r="R311" s="79"/>
      <c r="S311" s="79"/>
      <c r="V311" s="79"/>
      <c r="W311" s="79"/>
      <c r="Z311" s="130"/>
      <c r="AB311" s="106"/>
    </row>
    <row r="312">
      <c r="C312" s="79"/>
      <c r="D312" s="79"/>
      <c r="E312" s="79"/>
      <c r="M312" s="79"/>
      <c r="R312" s="79"/>
      <c r="S312" s="79"/>
      <c r="V312" s="79"/>
      <c r="W312" s="79"/>
      <c r="Z312" s="130"/>
      <c r="AB312" s="106"/>
    </row>
    <row r="313">
      <c r="C313" s="79"/>
      <c r="D313" s="79"/>
      <c r="E313" s="79"/>
      <c r="M313" s="79"/>
      <c r="R313" s="79"/>
      <c r="S313" s="79"/>
      <c r="V313" s="79"/>
      <c r="W313" s="79"/>
      <c r="Z313" s="130"/>
      <c r="AB313" s="106"/>
    </row>
    <row r="314">
      <c r="C314" s="79"/>
      <c r="D314" s="79"/>
      <c r="E314" s="79"/>
      <c r="M314" s="79"/>
      <c r="R314" s="79"/>
      <c r="S314" s="79"/>
      <c r="V314" s="79"/>
      <c r="W314" s="79"/>
      <c r="Z314" s="130"/>
      <c r="AB314" s="106"/>
    </row>
    <row r="315">
      <c r="C315" s="79"/>
      <c r="D315" s="79"/>
      <c r="E315" s="79"/>
      <c r="M315" s="79"/>
      <c r="R315" s="79"/>
      <c r="S315" s="79"/>
      <c r="V315" s="79"/>
      <c r="W315" s="79"/>
      <c r="Z315" s="130"/>
      <c r="AB315" s="106"/>
    </row>
    <row r="316">
      <c r="C316" s="79"/>
      <c r="D316" s="79"/>
      <c r="E316" s="79"/>
      <c r="M316" s="79"/>
      <c r="R316" s="79"/>
      <c r="S316" s="79"/>
      <c r="V316" s="79"/>
      <c r="W316" s="79"/>
      <c r="Z316" s="130"/>
      <c r="AB316" s="106"/>
    </row>
    <row r="317">
      <c r="C317" s="79"/>
      <c r="D317" s="79"/>
      <c r="E317" s="79"/>
      <c r="M317" s="79"/>
      <c r="R317" s="79"/>
      <c r="S317" s="79"/>
      <c r="V317" s="79"/>
      <c r="W317" s="79"/>
      <c r="Z317" s="130"/>
      <c r="AB317" s="106"/>
    </row>
    <row r="318">
      <c r="C318" s="79"/>
      <c r="D318" s="79"/>
      <c r="E318" s="79"/>
      <c r="M318" s="79"/>
      <c r="R318" s="79"/>
      <c r="S318" s="79"/>
      <c r="V318" s="79"/>
      <c r="W318" s="79"/>
      <c r="Z318" s="130"/>
      <c r="AB318" s="106"/>
    </row>
    <row r="319">
      <c r="C319" s="79"/>
      <c r="D319" s="79"/>
      <c r="E319" s="79"/>
      <c r="M319" s="79"/>
      <c r="R319" s="79"/>
      <c r="S319" s="79"/>
      <c r="V319" s="79"/>
      <c r="W319" s="79"/>
      <c r="Z319" s="130"/>
      <c r="AB319" s="106"/>
    </row>
    <row r="320">
      <c r="C320" s="79"/>
      <c r="D320" s="79"/>
      <c r="E320" s="79"/>
      <c r="M320" s="79"/>
      <c r="R320" s="79"/>
      <c r="S320" s="79"/>
      <c r="V320" s="79"/>
      <c r="W320" s="79"/>
      <c r="Z320" s="130"/>
      <c r="AB320" s="106"/>
    </row>
    <row r="321">
      <c r="C321" s="79"/>
      <c r="D321" s="79"/>
      <c r="E321" s="79"/>
      <c r="M321" s="79"/>
      <c r="R321" s="79"/>
      <c r="S321" s="79"/>
      <c r="V321" s="79"/>
      <c r="W321" s="79"/>
      <c r="Z321" s="130"/>
      <c r="AB321" s="106"/>
    </row>
    <row r="322">
      <c r="C322" s="79"/>
      <c r="D322" s="79"/>
      <c r="E322" s="79"/>
      <c r="M322" s="79"/>
      <c r="R322" s="79"/>
      <c r="S322" s="79"/>
      <c r="V322" s="79"/>
      <c r="W322" s="79"/>
      <c r="Z322" s="130"/>
      <c r="AB322" s="106"/>
    </row>
    <row r="323">
      <c r="C323" s="79"/>
      <c r="D323" s="79"/>
      <c r="E323" s="79"/>
      <c r="M323" s="79"/>
      <c r="R323" s="79"/>
      <c r="S323" s="79"/>
      <c r="V323" s="79"/>
      <c r="W323" s="79"/>
      <c r="Z323" s="130"/>
      <c r="AB323" s="106"/>
    </row>
    <row r="324">
      <c r="C324" s="79"/>
      <c r="D324" s="79"/>
      <c r="E324" s="79"/>
      <c r="M324" s="79"/>
      <c r="R324" s="79"/>
      <c r="S324" s="79"/>
      <c r="V324" s="79"/>
      <c r="W324" s="79"/>
      <c r="Z324" s="130"/>
      <c r="AB324" s="106"/>
    </row>
    <row r="325">
      <c r="C325" s="79"/>
      <c r="D325" s="79"/>
      <c r="E325" s="79"/>
      <c r="M325" s="79"/>
      <c r="R325" s="79"/>
      <c r="S325" s="79"/>
      <c r="V325" s="79"/>
      <c r="W325" s="79"/>
      <c r="Z325" s="130"/>
      <c r="AB325" s="106"/>
    </row>
    <row r="326">
      <c r="C326" s="79"/>
      <c r="D326" s="79"/>
      <c r="E326" s="79"/>
      <c r="M326" s="79"/>
      <c r="R326" s="79"/>
      <c r="S326" s="79"/>
      <c r="V326" s="79"/>
      <c r="W326" s="79"/>
      <c r="Z326" s="130"/>
      <c r="AB326" s="106"/>
    </row>
    <row r="327">
      <c r="C327" s="79"/>
      <c r="D327" s="79"/>
      <c r="E327" s="79"/>
      <c r="M327" s="79"/>
      <c r="R327" s="79"/>
      <c r="S327" s="79"/>
      <c r="V327" s="79"/>
      <c r="W327" s="79"/>
      <c r="Z327" s="130"/>
      <c r="AB327" s="106"/>
    </row>
    <row r="328">
      <c r="C328" s="79"/>
      <c r="D328" s="79"/>
      <c r="E328" s="79"/>
      <c r="M328" s="79"/>
      <c r="R328" s="79"/>
      <c r="S328" s="79"/>
      <c r="V328" s="79"/>
      <c r="W328" s="79"/>
      <c r="Z328" s="130"/>
      <c r="AB328" s="106"/>
    </row>
    <row r="329">
      <c r="C329" s="79"/>
      <c r="D329" s="79"/>
      <c r="E329" s="79"/>
      <c r="M329" s="79"/>
      <c r="R329" s="79"/>
      <c r="S329" s="79"/>
      <c r="V329" s="79"/>
      <c r="W329" s="79"/>
      <c r="Z329" s="130"/>
      <c r="AB329" s="106"/>
    </row>
    <row r="330">
      <c r="C330" s="79"/>
      <c r="D330" s="79"/>
      <c r="E330" s="79"/>
      <c r="M330" s="79"/>
      <c r="R330" s="79"/>
      <c r="S330" s="79"/>
      <c r="V330" s="79"/>
      <c r="W330" s="79"/>
      <c r="Z330" s="130"/>
      <c r="AB330" s="106"/>
    </row>
    <row r="331">
      <c r="C331" s="79"/>
      <c r="D331" s="79"/>
      <c r="E331" s="79"/>
      <c r="M331" s="79"/>
      <c r="R331" s="79"/>
      <c r="S331" s="79"/>
      <c r="V331" s="79"/>
      <c r="W331" s="79"/>
      <c r="Z331" s="130"/>
      <c r="AB331" s="106"/>
    </row>
    <row r="332">
      <c r="C332" s="79"/>
      <c r="D332" s="79"/>
      <c r="E332" s="79"/>
      <c r="M332" s="79"/>
      <c r="R332" s="79"/>
      <c r="S332" s="79"/>
      <c r="V332" s="79"/>
      <c r="W332" s="79"/>
      <c r="Z332" s="130"/>
      <c r="AB332" s="106"/>
    </row>
    <row r="333">
      <c r="C333" s="79"/>
      <c r="D333" s="79"/>
      <c r="E333" s="79"/>
      <c r="M333" s="79"/>
      <c r="R333" s="79"/>
      <c r="S333" s="79"/>
      <c r="V333" s="79"/>
      <c r="W333" s="79"/>
      <c r="Z333" s="130"/>
      <c r="AB333" s="106"/>
    </row>
    <row r="334">
      <c r="C334" s="79"/>
      <c r="D334" s="79"/>
      <c r="E334" s="79"/>
      <c r="M334" s="79"/>
      <c r="R334" s="79"/>
      <c r="S334" s="79"/>
      <c r="V334" s="79"/>
      <c r="W334" s="79"/>
      <c r="Z334" s="130"/>
      <c r="AB334" s="106"/>
    </row>
    <row r="335">
      <c r="C335" s="79"/>
      <c r="D335" s="79"/>
      <c r="E335" s="79"/>
      <c r="M335" s="79"/>
      <c r="R335" s="79"/>
      <c r="S335" s="79"/>
      <c r="V335" s="79"/>
      <c r="W335" s="79"/>
      <c r="Z335" s="130"/>
      <c r="AB335" s="106"/>
    </row>
    <row r="336">
      <c r="C336" s="79"/>
      <c r="D336" s="79"/>
      <c r="E336" s="79"/>
      <c r="M336" s="79"/>
      <c r="R336" s="79"/>
      <c r="S336" s="79"/>
      <c r="V336" s="79"/>
      <c r="W336" s="79"/>
      <c r="Z336" s="130"/>
      <c r="AB336" s="106"/>
    </row>
    <row r="337">
      <c r="C337" s="79"/>
      <c r="D337" s="79"/>
      <c r="E337" s="79"/>
      <c r="M337" s="79"/>
      <c r="R337" s="79"/>
      <c r="S337" s="79"/>
      <c r="V337" s="79"/>
      <c r="W337" s="79"/>
      <c r="Z337" s="130"/>
      <c r="AB337" s="106"/>
    </row>
    <row r="338">
      <c r="C338" s="79"/>
      <c r="D338" s="79"/>
      <c r="E338" s="79"/>
      <c r="M338" s="79"/>
      <c r="R338" s="79"/>
      <c r="S338" s="79"/>
      <c r="V338" s="79"/>
      <c r="W338" s="79"/>
      <c r="Z338" s="130"/>
      <c r="AB338" s="106"/>
    </row>
    <row r="339">
      <c r="C339" s="79"/>
      <c r="D339" s="79"/>
      <c r="E339" s="79"/>
      <c r="M339" s="79"/>
      <c r="R339" s="79"/>
      <c r="S339" s="79"/>
      <c r="V339" s="79"/>
      <c r="W339" s="79"/>
      <c r="Z339" s="130"/>
      <c r="AB339" s="106"/>
    </row>
    <row r="340">
      <c r="C340" s="79"/>
      <c r="D340" s="79"/>
      <c r="E340" s="79"/>
      <c r="M340" s="79"/>
      <c r="R340" s="79"/>
      <c r="S340" s="79"/>
      <c r="V340" s="79"/>
      <c r="W340" s="79"/>
      <c r="Z340" s="130"/>
      <c r="AB340" s="106"/>
    </row>
    <row r="341">
      <c r="C341" s="79"/>
      <c r="D341" s="79"/>
      <c r="E341" s="79"/>
      <c r="M341" s="79"/>
      <c r="R341" s="79"/>
      <c r="S341" s="79"/>
      <c r="V341" s="79"/>
      <c r="W341" s="79"/>
      <c r="Z341" s="130"/>
      <c r="AB341" s="106"/>
    </row>
    <row r="342">
      <c r="C342" s="79"/>
      <c r="D342" s="79"/>
      <c r="E342" s="79"/>
      <c r="M342" s="79"/>
      <c r="R342" s="79"/>
      <c r="S342" s="79"/>
      <c r="V342" s="79"/>
      <c r="W342" s="79"/>
      <c r="Z342" s="130"/>
      <c r="AB342" s="106"/>
    </row>
    <row r="343">
      <c r="C343" s="79"/>
      <c r="D343" s="79"/>
      <c r="E343" s="79"/>
      <c r="M343" s="79"/>
      <c r="R343" s="79"/>
      <c r="S343" s="79"/>
      <c r="V343" s="79"/>
      <c r="W343" s="79"/>
      <c r="Z343" s="130"/>
      <c r="AB343" s="106"/>
    </row>
    <row r="344">
      <c r="C344" s="79"/>
      <c r="D344" s="79"/>
      <c r="E344" s="79"/>
      <c r="M344" s="79"/>
      <c r="R344" s="79"/>
      <c r="S344" s="79"/>
      <c r="V344" s="79"/>
      <c r="W344" s="79"/>
      <c r="Z344" s="130"/>
      <c r="AB344" s="106"/>
    </row>
    <row r="345">
      <c r="C345" s="79"/>
      <c r="D345" s="79"/>
      <c r="E345" s="79"/>
      <c r="M345" s="79"/>
      <c r="R345" s="79"/>
      <c r="S345" s="79"/>
      <c r="V345" s="79"/>
      <c r="W345" s="79"/>
      <c r="Z345" s="130"/>
      <c r="AB345" s="106"/>
    </row>
    <row r="346">
      <c r="C346" s="79"/>
      <c r="D346" s="79"/>
      <c r="E346" s="79"/>
      <c r="M346" s="79"/>
      <c r="R346" s="79"/>
      <c r="S346" s="79"/>
      <c r="V346" s="79"/>
      <c r="W346" s="79"/>
      <c r="Z346" s="130"/>
      <c r="AB346" s="106"/>
    </row>
    <row r="347">
      <c r="C347" s="79"/>
      <c r="D347" s="79"/>
      <c r="E347" s="79"/>
      <c r="M347" s="79"/>
      <c r="R347" s="79"/>
      <c r="S347" s="79"/>
      <c r="V347" s="79"/>
      <c r="W347" s="79"/>
      <c r="Z347" s="130"/>
      <c r="AB347" s="106"/>
    </row>
    <row r="348">
      <c r="C348" s="79"/>
      <c r="D348" s="79"/>
      <c r="E348" s="79"/>
      <c r="M348" s="79"/>
      <c r="R348" s="79"/>
      <c r="S348" s="79"/>
      <c r="V348" s="79"/>
      <c r="W348" s="79"/>
      <c r="Z348" s="130"/>
      <c r="AB348" s="106"/>
    </row>
    <row r="349">
      <c r="C349" s="79"/>
      <c r="D349" s="79"/>
      <c r="E349" s="79"/>
      <c r="M349" s="79"/>
      <c r="R349" s="79"/>
      <c r="S349" s="79"/>
      <c r="V349" s="79"/>
      <c r="W349" s="79"/>
      <c r="Z349" s="130"/>
      <c r="AB349" s="106"/>
    </row>
    <row r="350">
      <c r="C350" s="79"/>
      <c r="D350" s="79"/>
      <c r="E350" s="79"/>
      <c r="M350" s="79"/>
      <c r="R350" s="79"/>
      <c r="S350" s="79"/>
      <c r="V350" s="79"/>
      <c r="W350" s="79"/>
      <c r="Z350" s="130"/>
      <c r="AB350" s="106"/>
    </row>
    <row r="351">
      <c r="C351" s="79"/>
      <c r="D351" s="79"/>
      <c r="E351" s="79"/>
      <c r="M351" s="79"/>
      <c r="R351" s="79"/>
      <c r="S351" s="79"/>
      <c r="V351" s="79"/>
      <c r="W351" s="79"/>
      <c r="Z351" s="130"/>
      <c r="AB351" s="106"/>
    </row>
    <row r="352">
      <c r="C352" s="79"/>
      <c r="D352" s="79"/>
      <c r="E352" s="79"/>
      <c r="M352" s="79"/>
      <c r="R352" s="79"/>
      <c r="S352" s="79"/>
      <c r="V352" s="79"/>
      <c r="W352" s="79"/>
      <c r="Z352" s="130"/>
      <c r="AB352" s="106"/>
    </row>
    <row r="353">
      <c r="C353" s="79"/>
      <c r="D353" s="79"/>
      <c r="E353" s="79"/>
      <c r="M353" s="79"/>
      <c r="R353" s="79"/>
      <c r="S353" s="79"/>
      <c r="V353" s="79"/>
      <c r="W353" s="79"/>
      <c r="Z353" s="130"/>
      <c r="AB353" s="106"/>
    </row>
    <row r="354">
      <c r="C354" s="79"/>
      <c r="D354" s="79"/>
      <c r="E354" s="79"/>
      <c r="M354" s="79"/>
      <c r="R354" s="79"/>
      <c r="S354" s="79"/>
      <c r="V354" s="79"/>
      <c r="W354" s="79"/>
      <c r="Z354" s="130"/>
      <c r="AB354" s="106"/>
    </row>
    <row r="355">
      <c r="C355" s="79"/>
      <c r="D355" s="79"/>
      <c r="E355" s="79"/>
      <c r="M355" s="79"/>
      <c r="R355" s="79"/>
      <c r="S355" s="79"/>
      <c r="V355" s="79"/>
      <c r="W355" s="79"/>
      <c r="Z355" s="130"/>
      <c r="AB355" s="106"/>
    </row>
    <row r="356">
      <c r="C356" s="79"/>
      <c r="D356" s="79"/>
      <c r="E356" s="79"/>
      <c r="M356" s="79"/>
      <c r="R356" s="79"/>
      <c r="S356" s="79"/>
      <c r="V356" s="79"/>
      <c r="W356" s="79"/>
      <c r="Z356" s="130"/>
      <c r="AB356" s="106"/>
    </row>
    <row r="357">
      <c r="C357" s="79"/>
      <c r="D357" s="79"/>
      <c r="E357" s="79"/>
      <c r="M357" s="79"/>
      <c r="R357" s="79"/>
      <c r="S357" s="79"/>
      <c r="V357" s="79"/>
      <c r="W357" s="79"/>
      <c r="Z357" s="130"/>
      <c r="AB357" s="106"/>
    </row>
    <row r="358">
      <c r="C358" s="79"/>
      <c r="D358" s="79"/>
      <c r="E358" s="79"/>
      <c r="M358" s="79"/>
      <c r="R358" s="79"/>
      <c r="S358" s="79"/>
      <c r="V358" s="79"/>
      <c r="W358" s="79"/>
      <c r="Z358" s="130"/>
      <c r="AB358" s="106"/>
    </row>
    <row r="359">
      <c r="C359" s="79"/>
      <c r="D359" s="79"/>
      <c r="E359" s="79"/>
      <c r="M359" s="79"/>
      <c r="R359" s="79"/>
      <c r="S359" s="79"/>
      <c r="V359" s="79"/>
      <c r="W359" s="79"/>
      <c r="Z359" s="130"/>
      <c r="AB359" s="106"/>
    </row>
    <row r="360">
      <c r="C360" s="79"/>
      <c r="D360" s="79"/>
      <c r="E360" s="79"/>
      <c r="M360" s="79"/>
      <c r="R360" s="79"/>
      <c r="S360" s="79"/>
      <c r="V360" s="79"/>
      <c r="W360" s="79"/>
      <c r="Z360" s="130"/>
      <c r="AB360" s="106"/>
    </row>
    <row r="361">
      <c r="C361" s="79"/>
      <c r="D361" s="79"/>
      <c r="E361" s="79"/>
      <c r="M361" s="79"/>
      <c r="R361" s="79"/>
      <c r="S361" s="79"/>
      <c r="V361" s="79"/>
      <c r="W361" s="79"/>
      <c r="Z361" s="130"/>
      <c r="AB361" s="106"/>
    </row>
    <row r="362">
      <c r="C362" s="79"/>
      <c r="D362" s="79"/>
      <c r="E362" s="79"/>
      <c r="M362" s="79"/>
      <c r="R362" s="79"/>
      <c r="S362" s="79"/>
      <c r="V362" s="79"/>
      <c r="W362" s="79"/>
      <c r="Z362" s="130"/>
      <c r="AB362" s="106"/>
    </row>
    <row r="363">
      <c r="C363" s="79"/>
      <c r="D363" s="79"/>
      <c r="E363" s="79"/>
      <c r="M363" s="79"/>
      <c r="R363" s="79"/>
      <c r="S363" s="79"/>
      <c r="V363" s="79"/>
      <c r="W363" s="79"/>
      <c r="Z363" s="130"/>
      <c r="AB363" s="106"/>
    </row>
    <row r="364">
      <c r="C364" s="79"/>
      <c r="D364" s="79"/>
      <c r="E364" s="79"/>
      <c r="M364" s="79"/>
      <c r="R364" s="79"/>
      <c r="S364" s="79"/>
      <c r="V364" s="79"/>
      <c r="W364" s="79"/>
      <c r="Z364" s="130"/>
      <c r="AB364" s="106"/>
    </row>
    <row r="365">
      <c r="C365" s="79"/>
      <c r="D365" s="79"/>
      <c r="E365" s="79"/>
      <c r="M365" s="79"/>
      <c r="R365" s="79"/>
      <c r="S365" s="79"/>
      <c r="V365" s="79"/>
      <c r="W365" s="79"/>
      <c r="Z365" s="130"/>
      <c r="AB365" s="106"/>
    </row>
    <row r="366">
      <c r="C366" s="79"/>
      <c r="D366" s="79"/>
      <c r="E366" s="79"/>
      <c r="M366" s="79"/>
      <c r="R366" s="79"/>
      <c r="S366" s="79"/>
      <c r="V366" s="79"/>
      <c r="W366" s="79"/>
      <c r="Z366" s="130"/>
      <c r="AB366" s="106"/>
    </row>
    <row r="367">
      <c r="C367" s="79"/>
      <c r="D367" s="79"/>
      <c r="E367" s="79"/>
      <c r="M367" s="79"/>
      <c r="R367" s="79"/>
      <c r="S367" s="79"/>
      <c r="V367" s="79"/>
      <c r="W367" s="79"/>
      <c r="Z367" s="130"/>
      <c r="AB367" s="106"/>
    </row>
    <row r="368">
      <c r="C368" s="79"/>
      <c r="D368" s="79"/>
      <c r="E368" s="79"/>
      <c r="M368" s="79"/>
      <c r="R368" s="79"/>
      <c r="S368" s="79"/>
      <c r="V368" s="79"/>
      <c r="W368" s="79"/>
      <c r="Z368" s="130"/>
      <c r="AB368" s="106"/>
    </row>
    <row r="369">
      <c r="C369" s="79"/>
      <c r="D369" s="79"/>
      <c r="E369" s="79"/>
      <c r="M369" s="79"/>
      <c r="R369" s="79"/>
      <c r="S369" s="79"/>
      <c r="V369" s="79"/>
      <c r="W369" s="79"/>
      <c r="Z369" s="130"/>
      <c r="AB369" s="106"/>
    </row>
    <row r="370">
      <c r="C370" s="79"/>
      <c r="D370" s="79"/>
      <c r="E370" s="79"/>
      <c r="M370" s="79"/>
      <c r="R370" s="79"/>
      <c r="S370" s="79"/>
      <c r="V370" s="79"/>
      <c r="W370" s="79"/>
      <c r="Z370" s="130"/>
      <c r="AB370" s="106"/>
    </row>
    <row r="371">
      <c r="C371" s="79"/>
      <c r="D371" s="79"/>
      <c r="E371" s="79"/>
      <c r="M371" s="79"/>
      <c r="R371" s="79"/>
      <c r="S371" s="79"/>
      <c r="V371" s="79"/>
      <c r="W371" s="79"/>
      <c r="Z371" s="130"/>
      <c r="AB371" s="106"/>
    </row>
    <row r="372">
      <c r="C372" s="79"/>
      <c r="D372" s="79"/>
      <c r="E372" s="79"/>
      <c r="M372" s="79"/>
      <c r="R372" s="79"/>
      <c r="S372" s="79"/>
      <c r="V372" s="79"/>
      <c r="W372" s="79"/>
      <c r="Z372" s="130"/>
      <c r="AB372" s="106"/>
    </row>
    <row r="373">
      <c r="C373" s="79"/>
      <c r="D373" s="79"/>
      <c r="E373" s="79"/>
      <c r="M373" s="79"/>
      <c r="R373" s="79"/>
      <c r="S373" s="79"/>
      <c r="V373" s="79"/>
      <c r="W373" s="79"/>
      <c r="Z373" s="130"/>
      <c r="AB373" s="106"/>
    </row>
    <row r="374">
      <c r="C374" s="79"/>
      <c r="D374" s="79"/>
      <c r="E374" s="79"/>
      <c r="M374" s="79"/>
      <c r="R374" s="79"/>
      <c r="S374" s="79"/>
      <c r="V374" s="79"/>
      <c r="W374" s="79"/>
      <c r="Z374" s="130"/>
      <c r="AB374" s="106"/>
    </row>
    <row r="375">
      <c r="C375" s="79"/>
      <c r="D375" s="79"/>
      <c r="E375" s="79"/>
      <c r="M375" s="79"/>
      <c r="R375" s="79"/>
      <c r="S375" s="79"/>
      <c r="V375" s="79"/>
      <c r="W375" s="79"/>
      <c r="Z375" s="130"/>
      <c r="AB375" s="106"/>
    </row>
    <row r="376">
      <c r="C376" s="79"/>
      <c r="D376" s="79"/>
      <c r="E376" s="79"/>
      <c r="M376" s="79"/>
      <c r="R376" s="79"/>
      <c r="S376" s="79"/>
      <c r="V376" s="79"/>
      <c r="W376" s="79"/>
      <c r="Z376" s="130"/>
      <c r="AB376" s="106"/>
    </row>
    <row r="377">
      <c r="C377" s="79"/>
      <c r="D377" s="79"/>
      <c r="E377" s="79"/>
      <c r="M377" s="79"/>
      <c r="R377" s="79"/>
      <c r="S377" s="79"/>
      <c r="V377" s="79"/>
      <c r="W377" s="79"/>
      <c r="Z377" s="130"/>
      <c r="AB377" s="106"/>
    </row>
    <row r="378">
      <c r="C378" s="79"/>
      <c r="D378" s="79"/>
      <c r="E378" s="79"/>
      <c r="M378" s="79"/>
      <c r="R378" s="79"/>
      <c r="S378" s="79"/>
      <c r="V378" s="79"/>
      <c r="W378" s="79"/>
      <c r="Z378" s="130"/>
      <c r="AB378" s="106"/>
    </row>
    <row r="379">
      <c r="C379" s="79"/>
      <c r="D379" s="79"/>
      <c r="E379" s="79"/>
      <c r="M379" s="79"/>
      <c r="R379" s="79"/>
      <c r="S379" s="79"/>
      <c r="V379" s="79"/>
      <c r="W379" s="79"/>
      <c r="Z379" s="130"/>
      <c r="AB379" s="106"/>
    </row>
    <row r="380">
      <c r="C380" s="79"/>
      <c r="D380" s="79"/>
      <c r="E380" s="79"/>
      <c r="M380" s="79"/>
      <c r="R380" s="79"/>
      <c r="S380" s="79"/>
      <c r="V380" s="79"/>
      <c r="W380" s="79"/>
      <c r="Z380" s="130"/>
      <c r="AB380" s="106"/>
    </row>
    <row r="381">
      <c r="C381" s="79"/>
      <c r="D381" s="79"/>
      <c r="E381" s="79"/>
      <c r="M381" s="79"/>
      <c r="R381" s="79"/>
      <c r="S381" s="79"/>
      <c r="V381" s="79"/>
      <c r="W381" s="79"/>
      <c r="Z381" s="130"/>
      <c r="AB381" s="106"/>
    </row>
    <row r="382">
      <c r="C382" s="79"/>
      <c r="D382" s="79"/>
      <c r="E382" s="79"/>
      <c r="M382" s="79"/>
      <c r="R382" s="79"/>
      <c r="S382" s="79"/>
      <c r="V382" s="79"/>
      <c r="W382" s="79"/>
      <c r="Z382" s="130"/>
      <c r="AB382" s="106"/>
    </row>
    <row r="383">
      <c r="C383" s="79"/>
      <c r="D383" s="79"/>
      <c r="E383" s="79"/>
      <c r="M383" s="79"/>
      <c r="R383" s="79"/>
      <c r="S383" s="79"/>
      <c r="V383" s="79"/>
      <c r="W383" s="79"/>
      <c r="Z383" s="130"/>
      <c r="AB383" s="106"/>
    </row>
    <row r="384">
      <c r="C384" s="79"/>
      <c r="D384" s="79"/>
      <c r="E384" s="79"/>
      <c r="M384" s="79"/>
      <c r="R384" s="79"/>
      <c r="S384" s="79"/>
      <c r="V384" s="79"/>
      <c r="W384" s="79"/>
      <c r="Z384" s="130"/>
      <c r="AB384" s="106"/>
    </row>
    <row r="385">
      <c r="C385" s="79"/>
      <c r="D385" s="79"/>
      <c r="E385" s="79"/>
      <c r="M385" s="79"/>
      <c r="R385" s="79"/>
      <c r="S385" s="79"/>
      <c r="V385" s="79"/>
      <c r="W385" s="79"/>
      <c r="Z385" s="130"/>
      <c r="AB385" s="106"/>
    </row>
    <row r="386">
      <c r="C386" s="79"/>
      <c r="D386" s="79"/>
      <c r="E386" s="79"/>
      <c r="M386" s="79"/>
      <c r="R386" s="79"/>
      <c r="S386" s="79"/>
      <c r="V386" s="79"/>
      <c r="W386" s="79"/>
      <c r="Z386" s="130"/>
      <c r="AB386" s="106"/>
    </row>
    <row r="387">
      <c r="C387" s="79"/>
      <c r="D387" s="79"/>
      <c r="E387" s="79"/>
      <c r="M387" s="79"/>
      <c r="R387" s="79"/>
      <c r="S387" s="79"/>
      <c r="V387" s="79"/>
      <c r="W387" s="79"/>
      <c r="Z387" s="130"/>
      <c r="AB387" s="106"/>
    </row>
    <row r="388">
      <c r="C388" s="79"/>
      <c r="D388" s="79"/>
      <c r="E388" s="79"/>
      <c r="M388" s="79"/>
      <c r="R388" s="79"/>
      <c r="S388" s="79"/>
      <c r="V388" s="79"/>
      <c r="W388" s="79"/>
      <c r="Z388" s="130"/>
      <c r="AB388" s="106"/>
    </row>
    <row r="389">
      <c r="C389" s="79"/>
      <c r="D389" s="79"/>
      <c r="E389" s="79"/>
      <c r="M389" s="79"/>
      <c r="R389" s="79"/>
      <c r="S389" s="79"/>
      <c r="V389" s="79"/>
      <c r="W389" s="79"/>
      <c r="Z389" s="130"/>
      <c r="AB389" s="106"/>
    </row>
    <row r="390">
      <c r="C390" s="79"/>
      <c r="D390" s="79"/>
      <c r="E390" s="79"/>
      <c r="M390" s="79"/>
      <c r="R390" s="79"/>
      <c r="S390" s="79"/>
      <c r="V390" s="79"/>
      <c r="W390" s="79"/>
      <c r="Z390" s="130"/>
      <c r="AB390" s="106"/>
    </row>
    <row r="391">
      <c r="C391" s="79"/>
      <c r="D391" s="79"/>
      <c r="E391" s="79"/>
      <c r="M391" s="79"/>
      <c r="R391" s="79"/>
      <c r="S391" s="79"/>
      <c r="V391" s="79"/>
      <c r="W391" s="79"/>
      <c r="Z391" s="130"/>
      <c r="AB391" s="106"/>
    </row>
    <row r="392">
      <c r="C392" s="79"/>
      <c r="D392" s="79"/>
      <c r="E392" s="79"/>
      <c r="M392" s="79"/>
      <c r="R392" s="79"/>
      <c r="S392" s="79"/>
      <c r="V392" s="79"/>
      <c r="W392" s="79"/>
      <c r="Z392" s="130"/>
      <c r="AB392" s="106"/>
    </row>
    <row r="393">
      <c r="C393" s="79"/>
      <c r="D393" s="79"/>
      <c r="E393" s="79"/>
      <c r="M393" s="79"/>
      <c r="R393" s="79"/>
      <c r="S393" s="79"/>
      <c r="V393" s="79"/>
      <c r="W393" s="79"/>
      <c r="Z393" s="130"/>
      <c r="AB393" s="106"/>
    </row>
    <row r="394">
      <c r="C394" s="79"/>
      <c r="D394" s="79"/>
      <c r="E394" s="79"/>
      <c r="M394" s="79"/>
      <c r="R394" s="79"/>
      <c r="S394" s="79"/>
      <c r="V394" s="79"/>
      <c r="W394" s="79"/>
      <c r="Z394" s="130"/>
      <c r="AB394" s="106"/>
    </row>
    <row r="395">
      <c r="C395" s="79"/>
      <c r="D395" s="79"/>
      <c r="E395" s="79"/>
      <c r="M395" s="79"/>
      <c r="R395" s="79"/>
      <c r="S395" s="79"/>
      <c r="V395" s="79"/>
      <c r="W395" s="79"/>
      <c r="Z395" s="130"/>
      <c r="AB395" s="106"/>
    </row>
    <row r="396">
      <c r="C396" s="79"/>
      <c r="D396" s="79"/>
      <c r="E396" s="79"/>
      <c r="M396" s="79"/>
      <c r="R396" s="79"/>
      <c r="S396" s="79"/>
      <c r="V396" s="79"/>
      <c r="W396" s="79"/>
      <c r="Z396" s="130"/>
      <c r="AB396" s="106"/>
    </row>
    <row r="397">
      <c r="C397" s="79"/>
      <c r="D397" s="79"/>
      <c r="E397" s="79"/>
      <c r="M397" s="79"/>
      <c r="R397" s="79"/>
      <c r="S397" s="79"/>
      <c r="V397" s="79"/>
      <c r="W397" s="79"/>
      <c r="Z397" s="130"/>
      <c r="AB397" s="106"/>
    </row>
    <row r="398">
      <c r="C398" s="79"/>
      <c r="D398" s="79"/>
      <c r="E398" s="79"/>
      <c r="M398" s="79"/>
      <c r="R398" s="79"/>
      <c r="S398" s="79"/>
      <c r="V398" s="79"/>
      <c r="W398" s="79"/>
      <c r="Z398" s="130"/>
      <c r="AB398" s="106"/>
    </row>
    <row r="399">
      <c r="C399" s="79"/>
      <c r="D399" s="79"/>
      <c r="E399" s="79"/>
      <c r="M399" s="79"/>
      <c r="R399" s="79"/>
      <c r="S399" s="79"/>
      <c r="V399" s="79"/>
      <c r="W399" s="79"/>
      <c r="Z399" s="130"/>
      <c r="AB399" s="106"/>
    </row>
    <row r="400">
      <c r="C400" s="79"/>
      <c r="D400" s="79"/>
      <c r="E400" s="79"/>
      <c r="M400" s="79"/>
      <c r="R400" s="79"/>
      <c r="S400" s="79"/>
      <c r="V400" s="79"/>
      <c r="W400" s="79"/>
      <c r="Z400" s="130"/>
      <c r="AB400" s="106"/>
    </row>
    <row r="401">
      <c r="C401" s="79"/>
      <c r="D401" s="79"/>
      <c r="E401" s="79"/>
      <c r="M401" s="79"/>
      <c r="R401" s="79"/>
      <c r="S401" s="79"/>
      <c r="V401" s="79"/>
      <c r="W401" s="79"/>
      <c r="Z401" s="130"/>
      <c r="AB401" s="106"/>
    </row>
    <row r="402">
      <c r="C402" s="79"/>
      <c r="D402" s="79"/>
      <c r="E402" s="79"/>
      <c r="M402" s="79"/>
      <c r="R402" s="79"/>
      <c r="S402" s="79"/>
      <c r="V402" s="79"/>
      <c r="W402" s="79"/>
      <c r="Z402" s="130"/>
      <c r="AB402" s="106"/>
    </row>
    <row r="403">
      <c r="C403" s="79"/>
      <c r="D403" s="79"/>
      <c r="E403" s="79"/>
      <c r="M403" s="79"/>
      <c r="R403" s="79"/>
      <c r="S403" s="79"/>
      <c r="V403" s="79"/>
      <c r="W403" s="79"/>
      <c r="Z403" s="130"/>
      <c r="AB403" s="106"/>
    </row>
    <row r="404">
      <c r="C404" s="79"/>
      <c r="D404" s="79"/>
      <c r="E404" s="79"/>
      <c r="M404" s="79"/>
      <c r="R404" s="79"/>
      <c r="S404" s="79"/>
      <c r="V404" s="79"/>
      <c r="W404" s="79"/>
      <c r="Z404" s="130"/>
      <c r="AB404" s="106"/>
    </row>
    <row r="405">
      <c r="C405" s="79"/>
      <c r="D405" s="79"/>
      <c r="E405" s="79"/>
      <c r="M405" s="79"/>
      <c r="R405" s="79"/>
      <c r="S405" s="79"/>
      <c r="V405" s="79"/>
      <c r="W405" s="79"/>
      <c r="Z405" s="130"/>
      <c r="AB405" s="106"/>
    </row>
    <row r="406">
      <c r="C406" s="79"/>
      <c r="D406" s="79"/>
      <c r="E406" s="79"/>
      <c r="M406" s="79"/>
      <c r="R406" s="79"/>
      <c r="S406" s="79"/>
      <c r="V406" s="79"/>
      <c r="W406" s="79"/>
      <c r="Z406" s="130"/>
      <c r="AB406" s="106"/>
    </row>
    <row r="407">
      <c r="C407" s="79"/>
      <c r="D407" s="79"/>
      <c r="E407" s="79"/>
      <c r="M407" s="79"/>
      <c r="R407" s="79"/>
      <c r="S407" s="79"/>
      <c r="V407" s="79"/>
      <c r="W407" s="79"/>
      <c r="Z407" s="130"/>
      <c r="AB407" s="106"/>
    </row>
    <row r="408">
      <c r="C408" s="79"/>
      <c r="D408" s="79"/>
      <c r="E408" s="79"/>
      <c r="M408" s="79"/>
      <c r="R408" s="79"/>
      <c r="S408" s="79"/>
      <c r="V408" s="79"/>
      <c r="W408" s="79"/>
      <c r="Z408" s="130"/>
      <c r="AB408" s="106"/>
    </row>
    <row r="409">
      <c r="C409" s="79"/>
      <c r="D409" s="79"/>
      <c r="E409" s="79"/>
      <c r="M409" s="79"/>
      <c r="R409" s="79"/>
      <c r="S409" s="79"/>
      <c r="V409" s="79"/>
      <c r="W409" s="79"/>
      <c r="Z409" s="130"/>
      <c r="AB409" s="106"/>
    </row>
    <row r="410">
      <c r="C410" s="79"/>
      <c r="D410" s="79"/>
      <c r="E410" s="79"/>
      <c r="M410" s="79"/>
      <c r="R410" s="79"/>
      <c r="S410" s="79"/>
      <c r="V410" s="79"/>
      <c r="W410" s="79"/>
      <c r="Z410" s="130"/>
      <c r="AB410" s="106"/>
    </row>
    <row r="411">
      <c r="C411" s="79"/>
      <c r="D411" s="79"/>
      <c r="E411" s="79"/>
      <c r="M411" s="79"/>
      <c r="R411" s="79"/>
      <c r="S411" s="79"/>
      <c r="V411" s="79"/>
      <c r="W411" s="79"/>
      <c r="Z411" s="130"/>
      <c r="AB411" s="106"/>
    </row>
    <row r="412">
      <c r="C412" s="79"/>
      <c r="D412" s="79"/>
      <c r="E412" s="79"/>
      <c r="M412" s="79"/>
      <c r="R412" s="79"/>
      <c r="S412" s="79"/>
      <c r="V412" s="79"/>
      <c r="W412" s="79"/>
      <c r="Z412" s="130"/>
      <c r="AB412" s="106"/>
    </row>
    <row r="413">
      <c r="C413" s="79"/>
      <c r="D413" s="79"/>
      <c r="E413" s="79"/>
      <c r="M413" s="79"/>
      <c r="R413" s="79"/>
      <c r="S413" s="79"/>
      <c r="V413" s="79"/>
      <c r="W413" s="79"/>
      <c r="Z413" s="130"/>
      <c r="AB413" s="106"/>
    </row>
    <row r="414">
      <c r="C414" s="79"/>
      <c r="D414" s="79"/>
      <c r="E414" s="79"/>
      <c r="M414" s="79"/>
      <c r="R414" s="79"/>
      <c r="S414" s="79"/>
      <c r="V414" s="79"/>
      <c r="W414" s="79"/>
      <c r="Z414" s="130"/>
      <c r="AB414" s="106"/>
    </row>
    <row r="415">
      <c r="C415" s="79"/>
      <c r="D415" s="79"/>
      <c r="E415" s="79"/>
      <c r="M415" s="79"/>
      <c r="R415" s="79"/>
      <c r="S415" s="79"/>
      <c r="V415" s="79"/>
      <c r="W415" s="79"/>
      <c r="Z415" s="130"/>
      <c r="AB415" s="106"/>
    </row>
    <row r="416">
      <c r="C416" s="79"/>
      <c r="D416" s="79"/>
      <c r="E416" s="79"/>
      <c r="M416" s="79"/>
      <c r="R416" s="79"/>
      <c r="S416" s="79"/>
      <c r="V416" s="79"/>
      <c r="W416" s="79"/>
      <c r="Z416" s="130"/>
      <c r="AB416" s="106"/>
    </row>
    <row r="417">
      <c r="C417" s="79"/>
      <c r="D417" s="79"/>
      <c r="E417" s="79"/>
      <c r="M417" s="79"/>
      <c r="R417" s="79"/>
      <c r="S417" s="79"/>
      <c r="V417" s="79"/>
      <c r="W417" s="79"/>
      <c r="Z417" s="130"/>
      <c r="AB417" s="106"/>
    </row>
    <row r="418">
      <c r="C418" s="79"/>
      <c r="D418" s="79"/>
      <c r="E418" s="79"/>
      <c r="M418" s="79"/>
      <c r="R418" s="79"/>
      <c r="S418" s="79"/>
      <c r="V418" s="79"/>
      <c r="W418" s="79"/>
      <c r="Z418" s="130"/>
      <c r="AB418" s="106"/>
    </row>
    <row r="419">
      <c r="C419" s="79"/>
      <c r="D419" s="79"/>
      <c r="E419" s="79"/>
      <c r="M419" s="79"/>
      <c r="R419" s="79"/>
      <c r="S419" s="79"/>
      <c r="V419" s="79"/>
      <c r="W419" s="79"/>
      <c r="Z419" s="130"/>
      <c r="AB419" s="106"/>
    </row>
    <row r="420">
      <c r="C420" s="79"/>
      <c r="D420" s="79"/>
      <c r="E420" s="79"/>
      <c r="M420" s="79"/>
      <c r="R420" s="79"/>
      <c r="S420" s="79"/>
      <c r="V420" s="79"/>
      <c r="W420" s="79"/>
      <c r="Z420" s="130"/>
      <c r="AB420" s="106"/>
    </row>
    <row r="421">
      <c r="C421" s="79"/>
      <c r="D421" s="79"/>
      <c r="E421" s="79"/>
      <c r="M421" s="79"/>
      <c r="R421" s="79"/>
      <c r="S421" s="79"/>
      <c r="V421" s="79"/>
      <c r="W421" s="79"/>
      <c r="Z421" s="130"/>
      <c r="AB421" s="106"/>
    </row>
    <row r="422">
      <c r="C422" s="79"/>
      <c r="D422" s="79"/>
      <c r="E422" s="79"/>
      <c r="M422" s="79"/>
      <c r="R422" s="79"/>
      <c r="S422" s="79"/>
      <c r="V422" s="79"/>
      <c r="W422" s="79"/>
      <c r="Z422" s="130"/>
      <c r="AB422" s="106"/>
    </row>
    <row r="423">
      <c r="C423" s="79"/>
      <c r="D423" s="79"/>
      <c r="E423" s="79"/>
      <c r="M423" s="79"/>
      <c r="R423" s="79"/>
      <c r="S423" s="79"/>
      <c r="V423" s="79"/>
      <c r="W423" s="79"/>
      <c r="Z423" s="130"/>
      <c r="AB423" s="106"/>
    </row>
    <row r="424">
      <c r="C424" s="79"/>
      <c r="D424" s="79"/>
      <c r="E424" s="79"/>
      <c r="M424" s="79"/>
      <c r="R424" s="79"/>
      <c r="S424" s="79"/>
      <c r="V424" s="79"/>
      <c r="W424" s="79"/>
      <c r="Z424" s="130"/>
      <c r="AB424" s="106"/>
    </row>
    <row r="425">
      <c r="C425" s="79"/>
      <c r="D425" s="79"/>
      <c r="E425" s="79"/>
      <c r="M425" s="79"/>
      <c r="R425" s="79"/>
      <c r="S425" s="79"/>
      <c r="V425" s="79"/>
      <c r="W425" s="79"/>
      <c r="Z425" s="130"/>
      <c r="AB425" s="106"/>
    </row>
    <row r="426">
      <c r="C426" s="79"/>
      <c r="D426" s="79"/>
      <c r="E426" s="79"/>
      <c r="M426" s="79"/>
      <c r="R426" s="79"/>
      <c r="S426" s="79"/>
      <c r="V426" s="79"/>
      <c r="W426" s="79"/>
      <c r="Z426" s="130"/>
      <c r="AB426" s="106"/>
    </row>
    <row r="427">
      <c r="C427" s="79"/>
      <c r="D427" s="79"/>
      <c r="E427" s="79"/>
      <c r="M427" s="79"/>
      <c r="R427" s="79"/>
      <c r="S427" s="79"/>
      <c r="V427" s="79"/>
      <c r="W427" s="79"/>
      <c r="Z427" s="130"/>
      <c r="AB427" s="106"/>
    </row>
    <row r="428">
      <c r="C428" s="79"/>
      <c r="D428" s="79"/>
      <c r="E428" s="79"/>
      <c r="M428" s="79"/>
      <c r="R428" s="79"/>
      <c r="S428" s="79"/>
      <c r="V428" s="79"/>
      <c r="W428" s="79"/>
      <c r="Z428" s="130"/>
      <c r="AB428" s="106"/>
    </row>
    <row r="429">
      <c r="C429" s="79"/>
      <c r="D429" s="79"/>
      <c r="E429" s="79"/>
      <c r="M429" s="79"/>
      <c r="R429" s="79"/>
      <c r="S429" s="79"/>
      <c r="V429" s="79"/>
      <c r="W429" s="79"/>
      <c r="Z429" s="130"/>
      <c r="AB429" s="106"/>
    </row>
    <row r="430">
      <c r="C430" s="79"/>
      <c r="D430" s="79"/>
      <c r="E430" s="79"/>
      <c r="M430" s="79"/>
      <c r="R430" s="79"/>
      <c r="S430" s="79"/>
      <c r="V430" s="79"/>
      <c r="W430" s="79"/>
      <c r="Z430" s="130"/>
      <c r="AB430" s="106"/>
    </row>
    <row r="431">
      <c r="C431" s="79"/>
      <c r="D431" s="79"/>
      <c r="E431" s="79"/>
      <c r="M431" s="79"/>
      <c r="R431" s="79"/>
      <c r="S431" s="79"/>
      <c r="V431" s="79"/>
      <c r="W431" s="79"/>
      <c r="Z431" s="130"/>
      <c r="AB431" s="106"/>
    </row>
    <row r="432">
      <c r="C432" s="79"/>
      <c r="D432" s="79"/>
      <c r="E432" s="79"/>
      <c r="M432" s="79"/>
      <c r="R432" s="79"/>
      <c r="S432" s="79"/>
      <c r="V432" s="79"/>
      <c r="W432" s="79"/>
      <c r="Z432" s="130"/>
      <c r="AB432" s="106"/>
    </row>
    <row r="433">
      <c r="C433" s="79"/>
      <c r="D433" s="79"/>
      <c r="E433" s="79"/>
      <c r="M433" s="79"/>
      <c r="R433" s="79"/>
      <c r="S433" s="79"/>
      <c r="V433" s="79"/>
      <c r="W433" s="79"/>
      <c r="Z433" s="130"/>
      <c r="AB433" s="106"/>
    </row>
    <row r="434">
      <c r="C434" s="79"/>
      <c r="D434" s="79"/>
      <c r="E434" s="79"/>
      <c r="M434" s="79"/>
      <c r="R434" s="79"/>
      <c r="S434" s="79"/>
      <c r="V434" s="79"/>
      <c r="W434" s="79"/>
      <c r="Z434" s="130"/>
      <c r="AB434" s="106"/>
    </row>
    <row r="435">
      <c r="C435" s="79"/>
      <c r="D435" s="79"/>
      <c r="E435" s="79"/>
      <c r="M435" s="79"/>
      <c r="R435" s="79"/>
      <c r="S435" s="79"/>
      <c r="V435" s="79"/>
      <c r="W435" s="79"/>
      <c r="Z435" s="130"/>
      <c r="AB435" s="106"/>
    </row>
    <row r="436">
      <c r="C436" s="79"/>
      <c r="D436" s="79"/>
      <c r="E436" s="79"/>
      <c r="M436" s="79"/>
      <c r="R436" s="79"/>
      <c r="S436" s="79"/>
      <c r="V436" s="79"/>
      <c r="W436" s="79"/>
      <c r="Z436" s="130"/>
      <c r="AB436" s="106"/>
    </row>
    <row r="437">
      <c r="C437" s="79"/>
      <c r="D437" s="79"/>
      <c r="E437" s="79"/>
      <c r="M437" s="79"/>
      <c r="R437" s="79"/>
      <c r="S437" s="79"/>
      <c r="V437" s="79"/>
      <c r="W437" s="79"/>
      <c r="Z437" s="130"/>
      <c r="AB437" s="106"/>
    </row>
    <row r="438">
      <c r="C438" s="79"/>
      <c r="D438" s="79"/>
      <c r="E438" s="79"/>
      <c r="M438" s="79"/>
      <c r="R438" s="79"/>
      <c r="S438" s="79"/>
      <c r="V438" s="79"/>
      <c r="W438" s="79"/>
      <c r="Z438" s="130"/>
      <c r="AB438" s="106"/>
    </row>
    <row r="439">
      <c r="C439" s="79"/>
      <c r="D439" s="79"/>
      <c r="E439" s="79"/>
      <c r="M439" s="79"/>
      <c r="R439" s="79"/>
      <c r="S439" s="79"/>
      <c r="V439" s="79"/>
      <c r="W439" s="79"/>
      <c r="Z439" s="130"/>
      <c r="AB439" s="106"/>
    </row>
    <row r="440">
      <c r="C440" s="79"/>
      <c r="D440" s="79"/>
      <c r="E440" s="79"/>
      <c r="M440" s="79"/>
      <c r="R440" s="79"/>
      <c r="S440" s="79"/>
      <c r="V440" s="79"/>
      <c r="W440" s="79"/>
      <c r="Z440" s="130"/>
      <c r="AB440" s="106"/>
    </row>
    <row r="441">
      <c r="C441" s="79"/>
      <c r="D441" s="79"/>
      <c r="E441" s="79"/>
      <c r="M441" s="79"/>
      <c r="R441" s="79"/>
      <c r="S441" s="79"/>
      <c r="V441" s="79"/>
      <c r="W441" s="79"/>
      <c r="Z441" s="130"/>
      <c r="AB441" s="106"/>
    </row>
    <row r="442">
      <c r="C442" s="79"/>
      <c r="D442" s="79"/>
      <c r="E442" s="79"/>
      <c r="M442" s="79"/>
      <c r="R442" s="79"/>
      <c r="S442" s="79"/>
      <c r="V442" s="79"/>
      <c r="W442" s="79"/>
      <c r="Z442" s="130"/>
      <c r="AB442" s="106"/>
    </row>
    <row r="443">
      <c r="C443" s="79"/>
      <c r="D443" s="79"/>
      <c r="E443" s="79"/>
      <c r="M443" s="79"/>
      <c r="R443" s="79"/>
      <c r="S443" s="79"/>
      <c r="V443" s="79"/>
      <c r="W443" s="79"/>
      <c r="Z443" s="130"/>
      <c r="AB443" s="106"/>
    </row>
    <row r="444">
      <c r="C444" s="79"/>
      <c r="D444" s="79"/>
      <c r="E444" s="79"/>
      <c r="M444" s="79"/>
      <c r="R444" s="79"/>
      <c r="S444" s="79"/>
      <c r="V444" s="79"/>
      <c r="W444" s="79"/>
      <c r="Z444" s="130"/>
      <c r="AB444" s="106"/>
    </row>
    <row r="445">
      <c r="C445" s="79"/>
      <c r="D445" s="79"/>
      <c r="E445" s="79"/>
      <c r="M445" s="79"/>
      <c r="R445" s="79"/>
      <c r="S445" s="79"/>
      <c r="V445" s="79"/>
      <c r="W445" s="79"/>
      <c r="Z445" s="130"/>
      <c r="AB445" s="106"/>
    </row>
    <row r="446">
      <c r="C446" s="79"/>
      <c r="D446" s="79"/>
      <c r="E446" s="79"/>
      <c r="M446" s="79"/>
      <c r="R446" s="79"/>
      <c r="S446" s="79"/>
      <c r="V446" s="79"/>
      <c r="W446" s="79"/>
      <c r="Z446" s="130"/>
      <c r="AB446" s="106"/>
    </row>
    <row r="447">
      <c r="C447" s="79"/>
      <c r="D447" s="79"/>
      <c r="E447" s="79"/>
      <c r="M447" s="79"/>
      <c r="R447" s="79"/>
      <c r="S447" s="79"/>
      <c r="V447" s="79"/>
      <c r="W447" s="79"/>
      <c r="Z447" s="130"/>
      <c r="AB447" s="106"/>
    </row>
    <row r="448">
      <c r="C448" s="79"/>
      <c r="D448" s="79"/>
      <c r="E448" s="79"/>
      <c r="M448" s="79"/>
      <c r="R448" s="79"/>
      <c r="S448" s="79"/>
      <c r="V448" s="79"/>
      <c r="W448" s="79"/>
      <c r="Z448" s="130"/>
      <c r="AB448" s="106"/>
    </row>
    <row r="449">
      <c r="C449" s="79"/>
      <c r="D449" s="79"/>
      <c r="E449" s="79"/>
      <c r="M449" s="79"/>
      <c r="R449" s="79"/>
      <c r="S449" s="79"/>
      <c r="V449" s="79"/>
      <c r="W449" s="79"/>
      <c r="Z449" s="130"/>
      <c r="AB449" s="106"/>
    </row>
    <row r="450">
      <c r="C450" s="79"/>
      <c r="D450" s="79"/>
      <c r="E450" s="79"/>
      <c r="M450" s="79"/>
      <c r="R450" s="79"/>
      <c r="S450" s="79"/>
      <c r="V450" s="79"/>
      <c r="W450" s="79"/>
      <c r="Z450" s="130"/>
      <c r="AB450" s="106"/>
    </row>
    <row r="451">
      <c r="C451" s="79"/>
      <c r="D451" s="79"/>
      <c r="E451" s="79"/>
      <c r="M451" s="79"/>
      <c r="R451" s="79"/>
      <c r="S451" s="79"/>
      <c r="V451" s="79"/>
      <c r="W451" s="79"/>
      <c r="Z451" s="130"/>
      <c r="AB451" s="106"/>
    </row>
    <row r="452">
      <c r="C452" s="79"/>
      <c r="D452" s="79"/>
      <c r="E452" s="79"/>
      <c r="M452" s="79"/>
      <c r="R452" s="79"/>
      <c r="S452" s="79"/>
      <c r="V452" s="79"/>
      <c r="W452" s="79"/>
      <c r="Z452" s="130"/>
      <c r="AB452" s="106"/>
    </row>
    <row r="453">
      <c r="C453" s="79"/>
      <c r="D453" s="79"/>
      <c r="E453" s="79"/>
      <c r="M453" s="79"/>
      <c r="R453" s="79"/>
      <c r="S453" s="79"/>
      <c r="V453" s="79"/>
      <c r="W453" s="79"/>
      <c r="Z453" s="130"/>
      <c r="AB453" s="106"/>
    </row>
    <row r="454">
      <c r="C454" s="79"/>
      <c r="D454" s="79"/>
      <c r="E454" s="79"/>
      <c r="M454" s="79"/>
      <c r="R454" s="79"/>
      <c r="S454" s="79"/>
      <c r="V454" s="79"/>
      <c r="W454" s="79"/>
      <c r="Z454" s="130"/>
      <c r="AB454" s="106"/>
    </row>
    <row r="455">
      <c r="C455" s="79"/>
      <c r="D455" s="79"/>
      <c r="E455" s="79"/>
      <c r="M455" s="79"/>
      <c r="R455" s="79"/>
      <c r="S455" s="79"/>
      <c r="V455" s="79"/>
      <c r="W455" s="79"/>
      <c r="Z455" s="130"/>
      <c r="AB455" s="106"/>
    </row>
    <row r="456">
      <c r="C456" s="79"/>
      <c r="D456" s="79"/>
      <c r="E456" s="79"/>
      <c r="M456" s="79"/>
      <c r="R456" s="79"/>
      <c r="S456" s="79"/>
      <c r="V456" s="79"/>
      <c r="W456" s="79"/>
      <c r="Z456" s="130"/>
      <c r="AB456" s="106"/>
    </row>
    <row r="457">
      <c r="C457" s="79"/>
      <c r="D457" s="79"/>
      <c r="E457" s="79"/>
      <c r="M457" s="79"/>
      <c r="R457" s="79"/>
      <c r="S457" s="79"/>
      <c r="V457" s="79"/>
      <c r="W457" s="79"/>
      <c r="Z457" s="130"/>
      <c r="AB457" s="106"/>
    </row>
    <row r="458">
      <c r="C458" s="79"/>
      <c r="D458" s="79"/>
      <c r="E458" s="79"/>
      <c r="M458" s="79"/>
      <c r="R458" s="79"/>
      <c r="S458" s="79"/>
      <c r="V458" s="79"/>
      <c r="W458" s="79"/>
      <c r="Z458" s="130"/>
      <c r="AB458" s="106"/>
    </row>
    <row r="459">
      <c r="C459" s="79"/>
      <c r="D459" s="79"/>
      <c r="E459" s="79"/>
      <c r="M459" s="79"/>
      <c r="R459" s="79"/>
      <c r="S459" s="79"/>
      <c r="V459" s="79"/>
      <c r="W459" s="79"/>
      <c r="Z459" s="130"/>
      <c r="AB459" s="106"/>
    </row>
    <row r="460">
      <c r="C460" s="79"/>
      <c r="D460" s="79"/>
      <c r="E460" s="79"/>
      <c r="M460" s="79"/>
      <c r="R460" s="79"/>
      <c r="S460" s="79"/>
      <c r="V460" s="79"/>
      <c r="W460" s="79"/>
      <c r="Z460" s="130"/>
      <c r="AB460" s="106"/>
    </row>
    <row r="461">
      <c r="C461" s="79"/>
      <c r="D461" s="79"/>
      <c r="E461" s="79"/>
      <c r="M461" s="79"/>
      <c r="R461" s="79"/>
      <c r="S461" s="79"/>
      <c r="V461" s="79"/>
      <c r="W461" s="79"/>
      <c r="Z461" s="130"/>
      <c r="AB461" s="106"/>
    </row>
    <row r="462">
      <c r="C462" s="79"/>
      <c r="D462" s="79"/>
      <c r="E462" s="79"/>
      <c r="M462" s="79"/>
      <c r="R462" s="79"/>
      <c r="S462" s="79"/>
      <c r="V462" s="79"/>
      <c r="W462" s="79"/>
      <c r="Z462" s="130"/>
      <c r="AB462" s="106"/>
    </row>
    <row r="463">
      <c r="C463" s="79"/>
      <c r="D463" s="79"/>
      <c r="E463" s="79"/>
      <c r="M463" s="79"/>
      <c r="R463" s="79"/>
      <c r="S463" s="79"/>
      <c r="V463" s="79"/>
      <c r="W463" s="79"/>
      <c r="Z463" s="130"/>
      <c r="AB463" s="106"/>
    </row>
    <row r="464">
      <c r="C464" s="79"/>
      <c r="D464" s="79"/>
      <c r="E464" s="79"/>
      <c r="M464" s="79"/>
      <c r="R464" s="79"/>
      <c r="S464" s="79"/>
      <c r="V464" s="79"/>
      <c r="W464" s="79"/>
      <c r="Z464" s="130"/>
      <c r="AB464" s="106"/>
    </row>
    <row r="465">
      <c r="C465" s="79"/>
      <c r="D465" s="79"/>
      <c r="E465" s="79"/>
      <c r="M465" s="79"/>
      <c r="R465" s="79"/>
      <c r="S465" s="79"/>
      <c r="V465" s="79"/>
      <c r="W465" s="79"/>
      <c r="Z465" s="130"/>
      <c r="AB465" s="106"/>
    </row>
    <row r="466">
      <c r="C466" s="79"/>
      <c r="D466" s="79"/>
      <c r="E466" s="79"/>
      <c r="M466" s="79"/>
      <c r="R466" s="79"/>
      <c r="S466" s="79"/>
      <c r="V466" s="79"/>
      <c r="W466" s="79"/>
      <c r="Z466" s="130"/>
      <c r="AB466" s="106"/>
    </row>
    <row r="467">
      <c r="C467" s="79"/>
      <c r="D467" s="79"/>
      <c r="E467" s="79"/>
      <c r="M467" s="79"/>
      <c r="R467" s="79"/>
      <c r="S467" s="79"/>
      <c r="V467" s="79"/>
      <c r="W467" s="79"/>
      <c r="Z467" s="130"/>
      <c r="AB467" s="106"/>
    </row>
    <row r="468">
      <c r="C468" s="79"/>
      <c r="D468" s="79"/>
      <c r="E468" s="79"/>
      <c r="M468" s="79"/>
      <c r="R468" s="79"/>
      <c r="S468" s="79"/>
      <c r="V468" s="79"/>
      <c r="W468" s="79"/>
      <c r="Z468" s="130"/>
      <c r="AB468" s="106"/>
    </row>
    <row r="469">
      <c r="C469" s="79"/>
      <c r="D469" s="79"/>
      <c r="E469" s="79"/>
      <c r="M469" s="79"/>
      <c r="R469" s="79"/>
      <c r="S469" s="79"/>
      <c r="V469" s="79"/>
      <c r="W469" s="79"/>
      <c r="Z469" s="130"/>
      <c r="AB469" s="106"/>
    </row>
    <row r="470">
      <c r="C470" s="79"/>
      <c r="D470" s="79"/>
      <c r="E470" s="79"/>
      <c r="M470" s="79"/>
      <c r="R470" s="79"/>
      <c r="S470" s="79"/>
      <c r="V470" s="79"/>
      <c r="W470" s="79"/>
      <c r="Z470" s="130"/>
      <c r="AB470" s="106"/>
    </row>
    <row r="471">
      <c r="C471" s="79"/>
      <c r="D471" s="79"/>
      <c r="E471" s="79"/>
      <c r="M471" s="79"/>
      <c r="R471" s="79"/>
      <c r="S471" s="79"/>
      <c r="V471" s="79"/>
      <c r="W471" s="79"/>
      <c r="Z471" s="130"/>
      <c r="AB471" s="106"/>
    </row>
    <row r="472">
      <c r="C472" s="79"/>
      <c r="D472" s="79"/>
      <c r="E472" s="79"/>
      <c r="M472" s="79"/>
      <c r="R472" s="79"/>
      <c r="S472" s="79"/>
      <c r="V472" s="79"/>
      <c r="W472" s="79"/>
      <c r="Z472" s="130"/>
      <c r="AB472" s="106"/>
    </row>
    <row r="473">
      <c r="C473" s="79"/>
      <c r="D473" s="79"/>
      <c r="E473" s="79"/>
      <c r="M473" s="79"/>
      <c r="R473" s="79"/>
      <c r="S473" s="79"/>
      <c r="V473" s="79"/>
      <c r="W473" s="79"/>
      <c r="Z473" s="130"/>
      <c r="AB473" s="106"/>
    </row>
    <row r="474">
      <c r="C474" s="79"/>
      <c r="D474" s="79"/>
      <c r="E474" s="79"/>
      <c r="M474" s="79"/>
      <c r="R474" s="79"/>
      <c r="S474" s="79"/>
      <c r="V474" s="79"/>
      <c r="W474" s="79"/>
      <c r="Z474" s="130"/>
      <c r="AB474" s="106"/>
    </row>
    <row r="475">
      <c r="C475" s="79"/>
      <c r="D475" s="79"/>
      <c r="E475" s="79"/>
      <c r="M475" s="79"/>
      <c r="R475" s="79"/>
      <c r="S475" s="79"/>
      <c r="V475" s="79"/>
      <c r="W475" s="79"/>
      <c r="Z475" s="130"/>
      <c r="AB475" s="106"/>
    </row>
    <row r="476">
      <c r="C476" s="79"/>
      <c r="D476" s="79"/>
      <c r="E476" s="79"/>
      <c r="M476" s="79"/>
      <c r="R476" s="79"/>
      <c r="S476" s="79"/>
      <c r="V476" s="79"/>
      <c r="W476" s="79"/>
      <c r="Z476" s="130"/>
      <c r="AB476" s="106"/>
    </row>
    <row r="477">
      <c r="C477" s="79"/>
      <c r="D477" s="79"/>
      <c r="E477" s="79"/>
      <c r="M477" s="79"/>
      <c r="R477" s="79"/>
      <c r="S477" s="79"/>
      <c r="V477" s="79"/>
      <c r="W477" s="79"/>
      <c r="Z477" s="130"/>
      <c r="AB477" s="106"/>
    </row>
    <row r="478">
      <c r="C478" s="79"/>
      <c r="D478" s="79"/>
      <c r="E478" s="79"/>
      <c r="M478" s="79"/>
      <c r="R478" s="79"/>
      <c r="S478" s="79"/>
      <c r="V478" s="79"/>
      <c r="W478" s="79"/>
      <c r="Z478" s="130"/>
      <c r="AB478" s="106"/>
    </row>
    <row r="479">
      <c r="C479" s="79"/>
      <c r="D479" s="79"/>
      <c r="E479" s="79"/>
      <c r="M479" s="79"/>
      <c r="R479" s="79"/>
      <c r="S479" s="79"/>
      <c r="V479" s="79"/>
      <c r="W479" s="79"/>
      <c r="Z479" s="130"/>
      <c r="AB479" s="106"/>
    </row>
    <row r="480">
      <c r="C480" s="79"/>
      <c r="D480" s="79"/>
      <c r="E480" s="79"/>
      <c r="M480" s="79"/>
      <c r="R480" s="79"/>
      <c r="S480" s="79"/>
      <c r="V480" s="79"/>
      <c r="W480" s="79"/>
      <c r="Z480" s="130"/>
      <c r="AB480" s="106"/>
    </row>
    <row r="481">
      <c r="C481" s="79"/>
      <c r="D481" s="79"/>
      <c r="E481" s="79"/>
      <c r="M481" s="79"/>
      <c r="R481" s="79"/>
      <c r="S481" s="79"/>
      <c r="V481" s="79"/>
      <c r="W481" s="79"/>
      <c r="Z481" s="130"/>
      <c r="AB481" s="106"/>
    </row>
    <row r="482">
      <c r="C482" s="79"/>
      <c r="D482" s="79"/>
      <c r="E482" s="79"/>
      <c r="M482" s="79"/>
      <c r="R482" s="79"/>
      <c r="S482" s="79"/>
      <c r="V482" s="79"/>
      <c r="W482" s="79"/>
      <c r="Z482" s="130"/>
      <c r="AB482" s="106"/>
    </row>
    <row r="483">
      <c r="C483" s="79"/>
      <c r="D483" s="79"/>
      <c r="E483" s="79"/>
      <c r="M483" s="79"/>
      <c r="R483" s="79"/>
      <c r="S483" s="79"/>
      <c r="V483" s="79"/>
      <c r="W483" s="79"/>
      <c r="Z483" s="130"/>
      <c r="AB483" s="106"/>
    </row>
    <row r="484">
      <c r="C484" s="79"/>
      <c r="D484" s="79"/>
      <c r="E484" s="79"/>
      <c r="M484" s="79"/>
      <c r="R484" s="79"/>
      <c r="S484" s="79"/>
      <c r="V484" s="79"/>
      <c r="W484" s="79"/>
      <c r="Z484" s="130"/>
      <c r="AB484" s="106"/>
    </row>
    <row r="485">
      <c r="C485" s="79"/>
      <c r="D485" s="79"/>
      <c r="E485" s="79"/>
      <c r="M485" s="79"/>
      <c r="R485" s="79"/>
      <c r="S485" s="79"/>
      <c r="V485" s="79"/>
      <c r="W485" s="79"/>
      <c r="Z485" s="130"/>
      <c r="AB485" s="106"/>
    </row>
    <row r="486">
      <c r="C486" s="79"/>
      <c r="D486" s="79"/>
      <c r="E486" s="79"/>
      <c r="M486" s="79"/>
      <c r="R486" s="79"/>
      <c r="S486" s="79"/>
      <c r="V486" s="79"/>
      <c r="W486" s="79"/>
      <c r="Z486" s="130"/>
      <c r="AB486" s="106"/>
    </row>
    <row r="487">
      <c r="C487" s="79"/>
      <c r="D487" s="79"/>
      <c r="E487" s="79"/>
      <c r="M487" s="79"/>
      <c r="R487" s="79"/>
      <c r="S487" s="79"/>
      <c r="V487" s="79"/>
      <c r="W487" s="79"/>
      <c r="Z487" s="130"/>
      <c r="AB487" s="106"/>
    </row>
    <row r="488">
      <c r="C488" s="79"/>
      <c r="D488" s="79"/>
      <c r="E488" s="79"/>
      <c r="M488" s="79"/>
      <c r="R488" s="79"/>
      <c r="S488" s="79"/>
      <c r="V488" s="79"/>
      <c r="W488" s="79"/>
      <c r="Z488" s="130"/>
      <c r="AB488" s="106"/>
    </row>
    <row r="489">
      <c r="C489" s="79"/>
      <c r="D489" s="79"/>
      <c r="E489" s="79"/>
      <c r="M489" s="79"/>
      <c r="R489" s="79"/>
      <c r="S489" s="79"/>
      <c r="V489" s="79"/>
      <c r="W489" s="79"/>
      <c r="Z489" s="130"/>
      <c r="AB489" s="106"/>
    </row>
    <row r="490">
      <c r="C490" s="79"/>
      <c r="D490" s="79"/>
      <c r="E490" s="79"/>
      <c r="M490" s="79"/>
      <c r="R490" s="79"/>
      <c r="S490" s="79"/>
      <c r="V490" s="79"/>
      <c r="W490" s="79"/>
      <c r="Z490" s="130"/>
      <c r="AB490" s="106"/>
    </row>
    <row r="491">
      <c r="C491" s="79"/>
      <c r="D491" s="79"/>
      <c r="E491" s="79"/>
      <c r="M491" s="79"/>
      <c r="R491" s="79"/>
      <c r="S491" s="79"/>
      <c r="V491" s="79"/>
      <c r="W491" s="79"/>
      <c r="Z491" s="130"/>
      <c r="AB491" s="106"/>
    </row>
    <row r="492">
      <c r="C492" s="79"/>
      <c r="D492" s="79"/>
      <c r="E492" s="79"/>
      <c r="M492" s="79"/>
      <c r="R492" s="79"/>
      <c r="S492" s="79"/>
      <c r="V492" s="79"/>
      <c r="W492" s="79"/>
      <c r="Z492" s="130"/>
      <c r="AB492" s="106"/>
    </row>
    <row r="493">
      <c r="C493" s="79"/>
      <c r="D493" s="79"/>
      <c r="E493" s="79"/>
      <c r="M493" s="79"/>
      <c r="R493" s="79"/>
      <c r="S493" s="79"/>
      <c r="V493" s="79"/>
      <c r="W493" s="79"/>
      <c r="Z493" s="130"/>
      <c r="AB493" s="106"/>
    </row>
    <row r="494">
      <c r="C494" s="79"/>
      <c r="D494" s="79"/>
      <c r="E494" s="79"/>
      <c r="M494" s="79"/>
      <c r="R494" s="79"/>
      <c r="S494" s="79"/>
      <c r="V494" s="79"/>
      <c r="W494" s="79"/>
      <c r="Z494" s="130"/>
      <c r="AB494" s="106"/>
    </row>
    <row r="495">
      <c r="C495" s="79"/>
      <c r="D495" s="79"/>
      <c r="E495" s="79"/>
      <c r="M495" s="79"/>
      <c r="R495" s="79"/>
      <c r="S495" s="79"/>
      <c r="V495" s="79"/>
      <c r="W495" s="79"/>
      <c r="Z495" s="130"/>
      <c r="AB495" s="106"/>
    </row>
    <row r="496">
      <c r="C496" s="79"/>
      <c r="D496" s="79"/>
      <c r="E496" s="79"/>
      <c r="M496" s="79"/>
      <c r="R496" s="79"/>
      <c r="S496" s="79"/>
      <c r="V496" s="79"/>
      <c r="W496" s="79"/>
      <c r="Z496" s="130"/>
      <c r="AB496" s="106"/>
    </row>
    <row r="497">
      <c r="C497" s="79"/>
      <c r="D497" s="79"/>
      <c r="E497" s="79"/>
      <c r="M497" s="79"/>
      <c r="R497" s="79"/>
      <c r="S497" s="79"/>
      <c r="V497" s="79"/>
      <c r="W497" s="79"/>
      <c r="Z497" s="130"/>
      <c r="AB497" s="106"/>
    </row>
    <row r="498">
      <c r="C498" s="79"/>
      <c r="D498" s="79"/>
      <c r="E498" s="79"/>
      <c r="M498" s="79"/>
      <c r="R498" s="79"/>
      <c r="S498" s="79"/>
      <c r="V498" s="79"/>
      <c r="W498" s="79"/>
      <c r="Z498" s="130"/>
      <c r="AB498" s="106"/>
    </row>
    <row r="499">
      <c r="C499" s="79"/>
      <c r="D499" s="79"/>
      <c r="E499" s="79"/>
      <c r="M499" s="79"/>
      <c r="R499" s="79"/>
      <c r="S499" s="79"/>
      <c r="V499" s="79"/>
      <c r="W499" s="79"/>
      <c r="Z499" s="130"/>
      <c r="AB499" s="106"/>
    </row>
    <row r="500">
      <c r="C500" s="79"/>
      <c r="D500" s="79"/>
      <c r="E500" s="79"/>
      <c r="M500" s="79"/>
      <c r="R500" s="79"/>
      <c r="S500" s="79"/>
      <c r="V500" s="79"/>
      <c r="W500" s="79"/>
      <c r="Z500" s="130"/>
      <c r="AB500" s="106"/>
    </row>
    <row r="501">
      <c r="C501" s="79"/>
      <c r="D501" s="79"/>
      <c r="E501" s="79"/>
      <c r="M501" s="79"/>
      <c r="R501" s="79"/>
      <c r="S501" s="79"/>
      <c r="V501" s="79"/>
      <c r="W501" s="79"/>
      <c r="Z501" s="130"/>
      <c r="AB501" s="106"/>
    </row>
    <row r="502">
      <c r="C502" s="79"/>
      <c r="D502" s="79"/>
      <c r="E502" s="79"/>
      <c r="M502" s="79"/>
      <c r="R502" s="79"/>
      <c r="S502" s="79"/>
      <c r="V502" s="79"/>
      <c r="W502" s="79"/>
      <c r="Z502" s="130"/>
      <c r="AB502" s="106"/>
    </row>
    <row r="503">
      <c r="C503" s="79"/>
      <c r="D503" s="79"/>
      <c r="E503" s="79"/>
      <c r="M503" s="79"/>
      <c r="R503" s="79"/>
      <c r="S503" s="79"/>
      <c r="V503" s="79"/>
      <c r="W503" s="79"/>
      <c r="Z503" s="130"/>
      <c r="AB503" s="106"/>
    </row>
    <row r="504">
      <c r="C504" s="79"/>
      <c r="D504" s="79"/>
      <c r="E504" s="79"/>
      <c r="M504" s="79"/>
      <c r="R504" s="79"/>
      <c r="S504" s="79"/>
      <c r="V504" s="79"/>
      <c r="W504" s="79"/>
      <c r="Z504" s="130"/>
      <c r="AB504" s="106"/>
    </row>
    <row r="505">
      <c r="C505" s="79"/>
      <c r="D505" s="79"/>
      <c r="E505" s="79"/>
      <c r="M505" s="79"/>
      <c r="R505" s="79"/>
      <c r="S505" s="79"/>
      <c r="V505" s="79"/>
      <c r="W505" s="79"/>
      <c r="Z505" s="130"/>
      <c r="AB505" s="106"/>
    </row>
    <row r="506">
      <c r="C506" s="79"/>
      <c r="D506" s="79"/>
      <c r="E506" s="79"/>
      <c r="M506" s="79"/>
      <c r="R506" s="79"/>
      <c r="S506" s="79"/>
      <c r="V506" s="79"/>
      <c r="W506" s="79"/>
      <c r="Z506" s="130"/>
      <c r="AB506" s="106"/>
    </row>
    <row r="507">
      <c r="C507" s="79"/>
      <c r="D507" s="79"/>
      <c r="E507" s="79"/>
      <c r="M507" s="79"/>
      <c r="R507" s="79"/>
      <c r="S507" s="79"/>
      <c r="V507" s="79"/>
      <c r="W507" s="79"/>
      <c r="Z507" s="130"/>
      <c r="AB507" s="106"/>
    </row>
    <row r="508">
      <c r="C508" s="79"/>
      <c r="D508" s="79"/>
      <c r="E508" s="79"/>
      <c r="M508" s="79"/>
      <c r="R508" s="79"/>
      <c r="S508" s="79"/>
      <c r="V508" s="79"/>
      <c r="W508" s="79"/>
      <c r="Z508" s="130"/>
      <c r="AB508" s="106"/>
    </row>
    <row r="509">
      <c r="C509" s="79"/>
      <c r="D509" s="79"/>
      <c r="E509" s="79"/>
      <c r="M509" s="79"/>
      <c r="R509" s="79"/>
      <c r="S509" s="79"/>
      <c r="V509" s="79"/>
      <c r="W509" s="79"/>
      <c r="Z509" s="130"/>
      <c r="AB509" s="106"/>
    </row>
    <row r="510">
      <c r="C510" s="79"/>
      <c r="D510" s="79"/>
      <c r="E510" s="79"/>
      <c r="M510" s="79"/>
      <c r="R510" s="79"/>
      <c r="S510" s="79"/>
      <c r="V510" s="79"/>
      <c r="W510" s="79"/>
      <c r="Z510" s="130"/>
      <c r="AB510" s="106"/>
    </row>
    <row r="511">
      <c r="C511" s="79"/>
      <c r="D511" s="79"/>
      <c r="E511" s="79"/>
      <c r="M511" s="79"/>
      <c r="R511" s="79"/>
      <c r="S511" s="79"/>
      <c r="V511" s="79"/>
      <c r="W511" s="79"/>
      <c r="Z511" s="130"/>
      <c r="AB511" s="106"/>
    </row>
    <row r="512">
      <c r="C512" s="79"/>
      <c r="D512" s="79"/>
      <c r="E512" s="79"/>
      <c r="M512" s="79"/>
      <c r="R512" s="79"/>
      <c r="S512" s="79"/>
      <c r="V512" s="79"/>
      <c r="W512" s="79"/>
      <c r="Z512" s="130"/>
      <c r="AB512" s="106"/>
    </row>
    <row r="513">
      <c r="C513" s="79"/>
      <c r="D513" s="79"/>
      <c r="E513" s="79"/>
      <c r="M513" s="79"/>
      <c r="R513" s="79"/>
      <c r="S513" s="79"/>
      <c r="V513" s="79"/>
      <c r="W513" s="79"/>
      <c r="Z513" s="130"/>
      <c r="AB513" s="106"/>
    </row>
    <row r="514">
      <c r="C514" s="79"/>
      <c r="D514" s="79"/>
      <c r="E514" s="79"/>
      <c r="M514" s="79"/>
      <c r="R514" s="79"/>
      <c r="S514" s="79"/>
      <c r="V514" s="79"/>
      <c r="W514" s="79"/>
      <c r="Z514" s="130"/>
      <c r="AB514" s="106"/>
    </row>
    <row r="515">
      <c r="C515" s="79"/>
      <c r="D515" s="79"/>
      <c r="E515" s="79"/>
      <c r="M515" s="79"/>
      <c r="R515" s="79"/>
      <c r="S515" s="79"/>
      <c r="V515" s="79"/>
      <c r="W515" s="79"/>
      <c r="Z515" s="130"/>
      <c r="AB515" s="106"/>
    </row>
    <row r="516">
      <c r="C516" s="79"/>
      <c r="D516" s="79"/>
      <c r="E516" s="79"/>
      <c r="M516" s="79"/>
      <c r="R516" s="79"/>
      <c r="S516" s="79"/>
      <c r="V516" s="79"/>
      <c r="W516" s="79"/>
      <c r="Z516" s="130"/>
      <c r="AB516" s="106"/>
    </row>
    <row r="517">
      <c r="C517" s="79"/>
      <c r="D517" s="79"/>
      <c r="E517" s="79"/>
      <c r="M517" s="79"/>
      <c r="R517" s="79"/>
      <c r="S517" s="79"/>
      <c r="V517" s="79"/>
      <c r="W517" s="79"/>
      <c r="Z517" s="130"/>
      <c r="AB517" s="106"/>
    </row>
    <row r="518">
      <c r="C518" s="79"/>
      <c r="D518" s="79"/>
      <c r="E518" s="79"/>
      <c r="M518" s="79"/>
      <c r="R518" s="79"/>
      <c r="S518" s="79"/>
      <c r="V518" s="79"/>
      <c r="W518" s="79"/>
      <c r="Z518" s="130"/>
      <c r="AB518" s="106"/>
    </row>
    <row r="519">
      <c r="C519" s="79"/>
      <c r="D519" s="79"/>
      <c r="E519" s="79"/>
      <c r="M519" s="79"/>
      <c r="R519" s="79"/>
      <c r="S519" s="79"/>
      <c r="V519" s="79"/>
      <c r="W519" s="79"/>
      <c r="Z519" s="130"/>
      <c r="AB519" s="106"/>
    </row>
    <row r="520">
      <c r="C520" s="79"/>
      <c r="D520" s="79"/>
      <c r="E520" s="79"/>
      <c r="M520" s="79"/>
      <c r="R520" s="79"/>
      <c r="S520" s="79"/>
      <c r="V520" s="79"/>
      <c r="W520" s="79"/>
      <c r="Z520" s="130"/>
      <c r="AB520" s="106"/>
    </row>
    <row r="521">
      <c r="C521" s="79"/>
      <c r="D521" s="79"/>
      <c r="E521" s="79"/>
      <c r="M521" s="79"/>
      <c r="R521" s="79"/>
      <c r="S521" s="79"/>
      <c r="V521" s="79"/>
      <c r="W521" s="79"/>
      <c r="Z521" s="130"/>
      <c r="AB521" s="106"/>
    </row>
    <row r="522">
      <c r="C522" s="79"/>
      <c r="D522" s="79"/>
      <c r="E522" s="79"/>
      <c r="M522" s="79"/>
      <c r="R522" s="79"/>
      <c r="S522" s="79"/>
      <c r="V522" s="79"/>
      <c r="W522" s="79"/>
      <c r="Z522" s="130"/>
      <c r="AB522" s="106"/>
    </row>
    <row r="523">
      <c r="C523" s="79"/>
      <c r="D523" s="79"/>
      <c r="E523" s="79"/>
      <c r="M523" s="79"/>
      <c r="R523" s="79"/>
      <c r="S523" s="79"/>
      <c r="V523" s="79"/>
      <c r="W523" s="79"/>
      <c r="Z523" s="130"/>
      <c r="AB523" s="106"/>
    </row>
    <row r="524">
      <c r="C524" s="79"/>
      <c r="D524" s="79"/>
      <c r="E524" s="79"/>
      <c r="M524" s="79"/>
      <c r="R524" s="79"/>
      <c r="S524" s="79"/>
      <c r="V524" s="79"/>
      <c r="W524" s="79"/>
      <c r="Z524" s="130"/>
      <c r="AB524" s="106"/>
    </row>
    <row r="525">
      <c r="C525" s="79"/>
      <c r="D525" s="79"/>
      <c r="E525" s="79"/>
      <c r="M525" s="79"/>
      <c r="R525" s="79"/>
      <c r="S525" s="79"/>
      <c r="V525" s="79"/>
      <c r="W525" s="79"/>
      <c r="Z525" s="130"/>
      <c r="AB525" s="106"/>
    </row>
    <row r="526">
      <c r="C526" s="79"/>
      <c r="D526" s="79"/>
      <c r="E526" s="79"/>
      <c r="M526" s="79"/>
      <c r="R526" s="79"/>
      <c r="S526" s="79"/>
      <c r="V526" s="79"/>
      <c r="W526" s="79"/>
      <c r="Z526" s="130"/>
      <c r="AB526" s="106"/>
    </row>
    <row r="527">
      <c r="C527" s="79"/>
      <c r="D527" s="79"/>
      <c r="E527" s="79"/>
      <c r="M527" s="79"/>
      <c r="R527" s="79"/>
      <c r="S527" s="79"/>
      <c r="V527" s="79"/>
      <c r="W527" s="79"/>
      <c r="Z527" s="130"/>
      <c r="AB527" s="106"/>
    </row>
    <row r="528">
      <c r="C528" s="79"/>
      <c r="D528" s="79"/>
      <c r="E528" s="79"/>
      <c r="M528" s="79"/>
      <c r="R528" s="79"/>
      <c r="S528" s="79"/>
      <c r="V528" s="79"/>
      <c r="W528" s="79"/>
      <c r="Z528" s="130"/>
      <c r="AB528" s="106"/>
    </row>
    <row r="529">
      <c r="C529" s="79"/>
      <c r="D529" s="79"/>
      <c r="E529" s="79"/>
      <c r="M529" s="79"/>
      <c r="R529" s="79"/>
      <c r="S529" s="79"/>
      <c r="V529" s="79"/>
      <c r="W529" s="79"/>
      <c r="Z529" s="130"/>
      <c r="AB529" s="106"/>
    </row>
    <row r="530">
      <c r="C530" s="79"/>
      <c r="D530" s="79"/>
      <c r="E530" s="79"/>
      <c r="M530" s="79"/>
      <c r="R530" s="79"/>
      <c r="S530" s="79"/>
      <c r="V530" s="79"/>
      <c r="W530" s="79"/>
      <c r="Z530" s="130"/>
      <c r="AB530" s="106"/>
    </row>
    <row r="531">
      <c r="C531" s="79"/>
      <c r="D531" s="79"/>
      <c r="E531" s="79"/>
      <c r="M531" s="79"/>
      <c r="R531" s="79"/>
      <c r="S531" s="79"/>
      <c r="V531" s="79"/>
      <c r="W531" s="79"/>
      <c r="Z531" s="130"/>
      <c r="AB531" s="106"/>
    </row>
    <row r="532">
      <c r="C532" s="79"/>
      <c r="D532" s="79"/>
      <c r="E532" s="79"/>
      <c r="M532" s="79"/>
      <c r="R532" s="79"/>
      <c r="S532" s="79"/>
      <c r="V532" s="79"/>
      <c r="W532" s="79"/>
      <c r="Z532" s="130"/>
      <c r="AB532" s="106"/>
    </row>
    <row r="533">
      <c r="C533" s="79"/>
      <c r="D533" s="79"/>
      <c r="E533" s="79"/>
      <c r="M533" s="79"/>
      <c r="R533" s="79"/>
      <c r="S533" s="79"/>
      <c r="V533" s="79"/>
      <c r="W533" s="79"/>
      <c r="Z533" s="130"/>
      <c r="AB533" s="106"/>
    </row>
    <row r="534">
      <c r="C534" s="79"/>
      <c r="D534" s="79"/>
      <c r="E534" s="79"/>
      <c r="M534" s="79"/>
      <c r="R534" s="79"/>
      <c r="S534" s="79"/>
      <c r="V534" s="79"/>
      <c r="W534" s="79"/>
      <c r="Z534" s="130"/>
      <c r="AB534" s="106"/>
    </row>
    <row r="535">
      <c r="C535" s="79"/>
      <c r="D535" s="79"/>
      <c r="E535" s="79"/>
      <c r="M535" s="79"/>
      <c r="R535" s="79"/>
      <c r="S535" s="79"/>
      <c r="V535" s="79"/>
      <c r="W535" s="79"/>
      <c r="Z535" s="130"/>
      <c r="AB535" s="106"/>
    </row>
    <row r="536">
      <c r="C536" s="79"/>
      <c r="D536" s="79"/>
      <c r="E536" s="79"/>
      <c r="M536" s="79"/>
      <c r="R536" s="79"/>
      <c r="S536" s="79"/>
      <c r="V536" s="79"/>
      <c r="W536" s="79"/>
      <c r="Z536" s="130"/>
      <c r="AB536" s="106"/>
    </row>
    <row r="537">
      <c r="C537" s="79"/>
      <c r="D537" s="79"/>
      <c r="E537" s="79"/>
      <c r="M537" s="79"/>
      <c r="R537" s="79"/>
      <c r="S537" s="79"/>
      <c r="V537" s="79"/>
      <c r="W537" s="79"/>
      <c r="Z537" s="130"/>
      <c r="AB537" s="106"/>
    </row>
    <row r="538">
      <c r="C538" s="79"/>
      <c r="D538" s="79"/>
      <c r="E538" s="79"/>
      <c r="M538" s="79"/>
      <c r="R538" s="79"/>
      <c r="S538" s="79"/>
      <c r="V538" s="79"/>
      <c r="W538" s="79"/>
      <c r="Z538" s="130"/>
      <c r="AB538" s="106"/>
    </row>
    <row r="539">
      <c r="C539" s="79"/>
      <c r="D539" s="79"/>
      <c r="E539" s="79"/>
      <c r="M539" s="79"/>
      <c r="R539" s="79"/>
      <c r="S539" s="79"/>
      <c r="V539" s="79"/>
      <c r="W539" s="79"/>
      <c r="Z539" s="130"/>
      <c r="AB539" s="106"/>
    </row>
    <row r="540">
      <c r="C540" s="79"/>
      <c r="D540" s="79"/>
      <c r="E540" s="79"/>
      <c r="M540" s="79"/>
      <c r="R540" s="79"/>
      <c r="S540" s="79"/>
      <c r="V540" s="79"/>
      <c r="W540" s="79"/>
      <c r="Z540" s="130"/>
      <c r="AB540" s="106"/>
    </row>
    <row r="541">
      <c r="C541" s="79"/>
      <c r="D541" s="79"/>
      <c r="E541" s="79"/>
      <c r="M541" s="79"/>
      <c r="R541" s="79"/>
      <c r="S541" s="79"/>
      <c r="V541" s="79"/>
      <c r="W541" s="79"/>
      <c r="Z541" s="130"/>
      <c r="AB541" s="106"/>
    </row>
    <row r="542">
      <c r="C542" s="79"/>
      <c r="D542" s="79"/>
      <c r="E542" s="79"/>
      <c r="M542" s="79"/>
      <c r="R542" s="79"/>
      <c r="S542" s="79"/>
      <c r="V542" s="79"/>
      <c r="W542" s="79"/>
      <c r="Z542" s="130"/>
      <c r="AB542" s="106"/>
    </row>
    <row r="543">
      <c r="C543" s="79"/>
      <c r="D543" s="79"/>
      <c r="E543" s="79"/>
      <c r="M543" s="79"/>
      <c r="R543" s="79"/>
      <c r="S543" s="79"/>
      <c r="V543" s="79"/>
      <c r="W543" s="79"/>
      <c r="Z543" s="130"/>
      <c r="AB543" s="106"/>
    </row>
    <row r="544">
      <c r="C544" s="79"/>
      <c r="D544" s="79"/>
      <c r="E544" s="79"/>
      <c r="M544" s="79"/>
      <c r="R544" s="79"/>
      <c r="S544" s="79"/>
      <c r="V544" s="79"/>
      <c r="W544" s="79"/>
      <c r="Z544" s="130"/>
      <c r="AB544" s="106"/>
    </row>
    <row r="545">
      <c r="C545" s="79"/>
      <c r="D545" s="79"/>
      <c r="E545" s="79"/>
      <c r="M545" s="79"/>
      <c r="R545" s="79"/>
      <c r="S545" s="79"/>
      <c r="V545" s="79"/>
      <c r="W545" s="79"/>
      <c r="Z545" s="130"/>
      <c r="AB545" s="106"/>
    </row>
    <row r="546">
      <c r="C546" s="79"/>
      <c r="D546" s="79"/>
      <c r="E546" s="79"/>
      <c r="M546" s="79"/>
      <c r="R546" s="79"/>
      <c r="S546" s="79"/>
      <c r="V546" s="79"/>
      <c r="W546" s="79"/>
      <c r="Z546" s="130"/>
      <c r="AB546" s="106"/>
    </row>
    <row r="547">
      <c r="C547" s="79"/>
      <c r="D547" s="79"/>
      <c r="E547" s="79"/>
      <c r="M547" s="79"/>
      <c r="R547" s="79"/>
      <c r="S547" s="79"/>
      <c r="V547" s="79"/>
      <c r="W547" s="79"/>
      <c r="Z547" s="130"/>
      <c r="AB547" s="106"/>
    </row>
    <row r="548">
      <c r="C548" s="79"/>
      <c r="D548" s="79"/>
      <c r="E548" s="79"/>
      <c r="M548" s="79"/>
      <c r="R548" s="79"/>
      <c r="S548" s="79"/>
      <c r="V548" s="79"/>
      <c r="W548" s="79"/>
      <c r="Z548" s="130"/>
      <c r="AB548" s="106"/>
    </row>
    <row r="549">
      <c r="C549" s="79"/>
      <c r="D549" s="79"/>
      <c r="E549" s="79"/>
      <c r="M549" s="79"/>
      <c r="R549" s="79"/>
      <c r="S549" s="79"/>
      <c r="V549" s="79"/>
      <c r="W549" s="79"/>
      <c r="Z549" s="130"/>
      <c r="AB549" s="106"/>
    </row>
    <row r="550">
      <c r="C550" s="79"/>
      <c r="D550" s="79"/>
      <c r="E550" s="79"/>
      <c r="M550" s="79"/>
      <c r="R550" s="79"/>
      <c r="S550" s="79"/>
      <c r="V550" s="79"/>
      <c r="W550" s="79"/>
      <c r="Z550" s="130"/>
      <c r="AB550" s="106"/>
    </row>
    <row r="551">
      <c r="C551" s="79"/>
      <c r="D551" s="79"/>
      <c r="E551" s="79"/>
      <c r="M551" s="79"/>
      <c r="R551" s="79"/>
      <c r="S551" s="79"/>
      <c r="V551" s="79"/>
      <c r="W551" s="79"/>
      <c r="Z551" s="130"/>
      <c r="AB551" s="106"/>
    </row>
    <row r="552">
      <c r="C552" s="79"/>
      <c r="D552" s="79"/>
      <c r="E552" s="79"/>
      <c r="M552" s="79"/>
      <c r="R552" s="79"/>
      <c r="S552" s="79"/>
      <c r="V552" s="79"/>
      <c r="W552" s="79"/>
      <c r="Z552" s="130"/>
      <c r="AB552" s="106"/>
    </row>
    <row r="553">
      <c r="C553" s="79"/>
      <c r="D553" s="79"/>
      <c r="E553" s="79"/>
      <c r="M553" s="79"/>
      <c r="R553" s="79"/>
      <c r="S553" s="79"/>
      <c r="V553" s="79"/>
      <c r="W553" s="79"/>
      <c r="Z553" s="130"/>
      <c r="AB553" s="106"/>
    </row>
    <row r="554">
      <c r="C554" s="79"/>
      <c r="D554" s="79"/>
      <c r="E554" s="79"/>
      <c r="M554" s="79"/>
      <c r="R554" s="79"/>
      <c r="S554" s="79"/>
      <c r="V554" s="79"/>
      <c r="W554" s="79"/>
      <c r="Z554" s="130"/>
      <c r="AB554" s="106"/>
    </row>
    <row r="555">
      <c r="C555" s="79"/>
      <c r="D555" s="79"/>
      <c r="E555" s="79"/>
      <c r="M555" s="79"/>
      <c r="R555" s="79"/>
      <c r="S555" s="79"/>
      <c r="V555" s="79"/>
      <c r="W555" s="79"/>
      <c r="Z555" s="130"/>
      <c r="AB555" s="106"/>
    </row>
    <row r="556">
      <c r="C556" s="79"/>
      <c r="D556" s="79"/>
      <c r="E556" s="79"/>
      <c r="M556" s="79"/>
      <c r="R556" s="79"/>
      <c r="S556" s="79"/>
      <c r="V556" s="79"/>
      <c r="W556" s="79"/>
      <c r="Z556" s="130"/>
      <c r="AB556" s="106"/>
    </row>
    <row r="557">
      <c r="C557" s="79"/>
      <c r="D557" s="79"/>
      <c r="E557" s="79"/>
      <c r="M557" s="79"/>
      <c r="R557" s="79"/>
      <c r="S557" s="79"/>
      <c r="V557" s="79"/>
      <c r="W557" s="79"/>
      <c r="Z557" s="130"/>
      <c r="AB557" s="106"/>
    </row>
    <row r="558">
      <c r="C558" s="79"/>
      <c r="D558" s="79"/>
      <c r="E558" s="79"/>
      <c r="M558" s="79"/>
      <c r="R558" s="79"/>
      <c r="S558" s="79"/>
      <c r="V558" s="79"/>
      <c r="W558" s="79"/>
      <c r="Z558" s="130"/>
      <c r="AB558" s="106"/>
    </row>
    <row r="559">
      <c r="C559" s="79"/>
      <c r="D559" s="79"/>
      <c r="E559" s="79"/>
      <c r="M559" s="79"/>
      <c r="R559" s="79"/>
      <c r="S559" s="79"/>
      <c r="V559" s="79"/>
      <c r="W559" s="79"/>
      <c r="Z559" s="130"/>
      <c r="AB559" s="106"/>
    </row>
    <row r="560">
      <c r="C560" s="79"/>
      <c r="D560" s="79"/>
      <c r="E560" s="79"/>
      <c r="M560" s="79"/>
      <c r="R560" s="79"/>
      <c r="S560" s="79"/>
      <c r="V560" s="79"/>
      <c r="W560" s="79"/>
      <c r="Z560" s="130"/>
      <c r="AB560" s="106"/>
    </row>
    <row r="561">
      <c r="C561" s="79"/>
      <c r="D561" s="79"/>
      <c r="E561" s="79"/>
      <c r="M561" s="79"/>
      <c r="R561" s="79"/>
      <c r="S561" s="79"/>
      <c r="V561" s="79"/>
      <c r="W561" s="79"/>
      <c r="Z561" s="130"/>
      <c r="AB561" s="106"/>
    </row>
    <row r="562">
      <c r="C562" s="79"/>
      <c r="D562" s="79"/>
      <c r="E562" s="79"/>
      <c r="M562" s="79"/>
      <c r="R562" s="79"/>
      <c r="S562" s="79"/>
      <c r="V562" s="79"/>
      <c r="W562" s="79"/>
      <c r="Z562" s="130"/>
      <c r="AB562" s="106"/>
    </row>
    <row r="563">
      <c r="C563" s="79"/>
      <c r="D563" s="79"/>
      <c r="E563" s="79"/>
      <c r="M563" s="79"/>
      <c r="R563" s="79"/>
      <c r="S563" s="79"/>
      <c r="V563" s="79"/>
      <c r="W563" s="79"/>
      <c r="Z563" s="130"/>
      <c r="AB563" s="106"/>
    </row>
    <row r="564">
      <c r="C564" s="79"/>
      <c r="D564" s="79"/>
      <c r="E564" s="79"/>
      <c r="M564" s="79"/>
      <c r="R564" s="79"/>
      <c r="S564" s="79"/>
      <c r="V564" s="79"/>
      <c r="W564" s="79"/>
      <c r="Z564" s="130"/>
      <c r="AB564" s="106"/>
    </row>
    <row r="565">
      <c r="C565" s="79"/>
      <c r="D565" s="79"/>
      <c r="E565" s="79"/>
      <c r="M565" s="79"/>
      <c r="R565" s="79"/>
      <c r="S565" s="79"/>
      <c r="V565" s="79"/>
      <c r="W565" s="79"/>
      <c r="Z565" s="130"/>
      <c r="AB565" s="106"/>
    </row>
    <row r="566">
      <c r="C566" s="79"/>
      <c r="D566" s="79"/>
      <c r="E566" s="79"/>
      <c r="M566" s="79"/>
      <c r="R566" s="79"/>
      <c r="S566" s="79"/>
      <c r="V566" s="79"/>
      <c r="W566" s="79"/>
      <c r="Z566" s="130"/>
      <c r="AB566" s="106"/>
    </row>
    <row r="567">
      <c r="C567" s="79"/>
      <c r="D567" s="79"/>
      <c r="E567" s="79"/>
      <c r="M567" s="79"/>
      <c r="R567" s="79"/>
      <c r="S567" s="79"/>
      <c r="V567" s="79"/>
      <c r="W567" s="79"/>
      <c r="Z567" s="130"/>
      <c r="AB567" s="106"/>
    </row>
    <row r="568">
      <c r="C568" s="79"/>
      <c r="D568" s="79"/>
      <c r="E568" s="79"/>
      <c r="M568" s="79"/>
      <c r="R568" s="79"/>
      <c r="S568" s="79"/>
      <c r="V568" s="79"/>
      <c r="W568" s="79"/>
      <c r="Z568" s="130"/>
      <c r="AB568" s="106"/>
    </row>
    <row r="569">
      <c r="C569" s="79"/>
      <c r="D569" s="79"/>
      <c r="E569" s="79"/>
      <c r="M569" s="79"/>
      <c r="R569" s="79"/>
      <c r="S569" s="79"/>
      <c r="V569" s="79"/>
      <c r="W569" s="79"/>
      <c r="Z569" s="130"/>
      <c r="AB569" s="106"/>
    </row>
    <row r="570">
      <c r="C570" s="79"/>
      <c r="D570" s="79"/>
      <c r="E570" s="79"/>
      <c r="M570" s="79"/>
      <c r="R570" s="79"/>
      <c r="S570" s="79"/>
      <c r="V570" s="79"/>
      <c r="W570" s="79"/>
      <c r="Z570" s="130"/>
      <c r="AB570" s="106"/>
    </row>
    <row r="571">
      <c r="C571" s="79"/>
      <c r="D571" s="79"/>
      <c r="E571" s="79"/>
      <c r="M571" s="79"/>
      <c r="R571" s="79"/>
      <c r="S571" s="79"/>
      <c r="V571" s="79"/>
      <c r="W571" s="79"/>
      <c r="Z571" s="130"/>
      <c r="AB571" s="106"/>
    </row>
    <row r="572">
      <c r="C572" s="79"/>
      <c r="D572" s="79"/>
      <c r="E572" s="79"/>
      <c r="M572" s="79"/>
      <c r="R572" s="79"/>
      <c r="S572" s="79"/>
      <c r="V572" s="79"/>
      <c r="W572" s="79"/>
      <c r="Z572" s="130"/>
      <c r="AB572" s="106"/>
    </row>
    <row r="573">
      <c r="C573" s="79"/>
      <c r="D573" s="79"/>
      <c r="E573" s="79"/>
      <c r="M573" s="79"/>
      <c r="R573" s="79"/>
      <c r="S573" s="79"/>
      <c r="V573" s="79"/>
      <c r="W573" s="79"/>
      <c r="Z573" s="130"/>
      <c r="AB573" s="106"/>
    </row>
    <row r="574">
      <c r="C574" s="79"/>
      <c r="D574" s="79"/>
      <c r="E574" s="79"/>
      <c r="M574" s="79"/>
      <c r="R574" s="79"/>
      <c r="S574" s="79"/>
      <c r="V574" s="79"/>
      <c r="W574" s="79"/>
      <c r="Z574" s="130"/>
      <c r="AB574" s="106"/>
    </row>
    <row r="575">
      <c r="C575" s="79"/>
      <c r="D575" s="79"/>
      <c r="E575" s="79"/>
      <c r="M575" s="79"/>
      <c r="R575" s="79"/>
      <c r="S575" s="79"/>
      <c r="V575" s="79"/>
      <c r="W575" s="79"/>
      <c r="Z575" s="130"/>
      <c r="AB575" s="106"/>
    </row>
    <row r="576">
      <c r="C576" s="79"/>
      <c r="D576" s="79"/>
      <c r="E576" s="79"/>
      <c r="M576" s="79"/>
      <c r="R576" s="79"/>
      <c r="S576" s="79"/>
      <c r="V576" s="79"/>
      <c r="W576" s="79"/>
      <c r="Z576" s="130"/>
      <c r="AB576" s="106"/>
    </row>
    <row r="577">
      <c r="C577" s="79"/>
      <c r="D577" s="79"/>
      <c r="E577" s="79"/>
      <c r="M577" s="79"/>
      <c r="R577" s="79"/>
      <c r="S577" s="79"/>
      <c r="V577" s="79"/>
      <c r="W577" s="79"/>
      <c r="Z577" s="130"/>
      <c r="AB577" s="106"/>
    </row>
    <row r="578">
      <c r="C578" s="79"/>
      <c r="D578" s="79"/>
      <c r="E578" s="79"/>
      <c r="M578" s="79"/>
      <c r="R578" s="79"/>
      <c r="S578" s="79"/>
      <c r="V578" s="79"/>
      <c r="W578" s="79"/>
      <c r="Z578" s="130"/>
      <c r="AB578" s="106"/>
    </row>
    <row r="579">
      <c r="C579" s="79"/>
      <c r="D579" s="79"/>
      <c r="E579" s="79"/>
      <c r="M579" s="79"/>
      <c r="R579" s="79"/>
      <c r="S579" s="79"/>
      <c r="V579" s="79"/>
      <c r="W579" s="79"/>
      <c r="Z579" s="130"/>
      <c r="AB579" s="106"/>
    </row>
    <row r="580">
      <c r="C580" s="79"/>
      <c r="D580" s="79"/>
      <c r="E580" s="79"/>
      <c r="M580" s="79"/>
      <c r="R580" s="79"/>
      <c r="S580" s="79"/>
      <c r="V580" s="79"/>
      <c r="W580" s="79"/>
      <c r="Z580" s="130"/>
      <c r="AB580" s="106"/>
    </row>
    <row r="581">
      <c r="C581" s="79"/>
      <c r="D581" s="79"/>
      <c r="E581" s="79"/>
      <c r="M581" s="79"/>
      <c r="R581" s="79"/>
      <c r="S581" s="79"/>
      <c r="V581" s="79"/>
      <c r="W581" s="79"/>
      <c r="Z581" s="130"/>
      <c r="AB581" s="106"/>
    </row>
    <row r="582">
      <c r="C582" s="79"/>
      <c r="D582" s="79"/>
      <c r="E582" s="79"/>
      <c r="M582" s="79"/>
      <c r="R582" s="79"/>
      <c r="S582" s="79"/>
      <c r="V582" s="79"/>
      <c r="W582" s="79"/>
      <c r="Z582" s="130"/>
      <c r="AB582" s="106"/>
    </row>
    <row r="583">
      <c r="C583" s="79"/>
      <c r="D583" s="79"/>
      <c r="E583" s="79"/>
      <c r="M583" s="79"/>
      <c r="R583" s="79"/>
      <c r="S583" s="79"/>
      <c r="V583" s="79"/>
      <c r="W583" s="79"/>
      <c r="Z583" s="130"/>
      <c r="AB583" s="106"/>
    </row>
    <row r="584">
      <c r="C584" s="79"/>
      <c r="D584" s="79"/>
      <c r="E584" s="79"/>
      <c r="M584" s="79"/>
      <c r="R584" s="79"/>
      <c r="S584" s="79"/>
      <c r="V584" s="79"/>
      <c r="W584" s="79"/>
      <c r="Z584" s="130"/>
      <c r="AB584" s="106"/>
    </row>
    <row r="585">
      <c r="C585" s="79"/>
      <c r="D585" s="79"/>
      <c r="E585" s="79"/>
      <c r="M585" s="79"/>
      <c r="R585" s="79"/>
      <c r="S585" s="79"/>
      <c r="V585" s="79"/>
      <c r="W585" s="79"/>
      <c r="Z585" s="130"/>
      <c r="AB585" s="106"/>
    </row>
    <row r="586">
      <c r="C586" s="79"/>
      <c r="D586" s="79"/>
      <c r="E586" s="79"/>
      <c r="M586" s="79"/>
      <c r="R586" s="79"/>
      <c r="S586" s="79"/>
      <c r="V586" s="79"/>
      <c r="W586" s="79"/>
      <c r="Z586" s="130"/>
      <c r="AB586" s="106"/>
    </row>
    <row r="587">
      <c r="C587" s="79"/>
      <c r="D587" s="79"/>
      <c r="E587" s="79"/>
      <c r="M587" s="79"/>
      <c r="R587" s="79"/>
      <c r="S587" s="79"/>
      <c r="V587" s="79"/>
      <c r="W587" s="79"/>
      <c r="Z587" s="130"/>
      <c r="AB587" s="106"/>
    </row>
    <row r="588">
      <c r="C588" s="79"/>
      <c r="D588" s="79"/>
      <c r="E588" s="79"/>
      <c r="M588" s="79"/>
      <c r="R588" s="79"/>
      <c r="S588" s="79"/>
      <c r="V588" s="79"/>
      <c r="W588" s="79"/>
      <c r="Z588" s="130"/>
      <c r="AB588" s="106"/>
    </row>
    <row r="589">
      <c r="C589" s="79"/>
      <c r="D589" s="79"/>
      <c r="E589" s="79"/>
      <c r="M589" s="79"/>
      <c r="R589" s="79"/>
      <c r="S589" s="79"/>
      <c r="V589" s="79"/>
      <c r="W589" s="79"/>
      <c r="Z589" s="130"/>
      <c r="AB589" s="106"/>
    </row>
    <row r="590">
      <c r="C590" s="79"/>
      <c r="D590" s="79"/>
      <c r="E590" s="79"/>
      <c r="M590" s="79"/>
      <c r="R590" s="79"/>
      <c r="S590" s="79"/>
      <c r="V590" s="79"/>
      <c r="W590" s="79"/>
      <c r="Z590" s="130"/>
      <c r="AB590" s="106"/>
    </row>
    <row r="591">
      <c r="C591" s="79"/>
      <c r="D591" s="79"/>
      <c r="E591" s="79"/>
      <c r="M591" s="79"/>
      <c r="R591" s="79"/>
      <c r="S591" s="79"/>
      <c r="V591" s="79"/>
      <c r="W591" s="79"/>
      <c r="Z591" s="130"/>
      <c r="AB591" s="106"/>
    </row>
    <row r="592">
      <c r="C592" s="79"/>
      <c r="D592" s="79"/>
      <c r="E592" s="79"/>
      <c r="M592" s="79"/>
      <c r="R592" s="79"/>
      <c r="S592" s="79"/>
      <c r="V592" s="79"/>
      <c r="W592" s="79"/>
      <c r="Z592" s="130"/>
      <c r="AB592" s="106"/>
    </row>
    <row r="593">
      <c r="C593" s="79"/>
      <c r="D593" s="79"/>
      <c r="E593" s="79"/>
      <c r="M593" s="79"/>
      <c r="R593" s="79"/>
      <c r="S593" s="79"/>
      <c r="V593" s="79"/>
      <c r="W593" s="79"/>
      <c r="Z593" s="130"/>
      <c r="AB593" s="106"/>
    </row>
    <row r="594">
      <c r="C594" s="79"/>
      <c r="D594" s="79"/>
      <c r="E594" s="79"/>
      <c r="M594" s="79"/>
      <c r="R594" s="79"/>
      <c r="S594" s="79"/>
      <c r="V594" s="79"/>
      <c r="W594" s="79"/>
      <c r="Z594" s="130"/>
      <c r="AB594" s="106"/>
    </row>
    <row r="595">
      <c r="C595" s="79"/>
      <c r="D595" s="79"/>
      <c r="E595" s="79"/>
      <c r="M595" s="79"/>
      <c r="R595" s="79"/>
      <c r="S595" s="79"/>
      <c r="V595" s="79"/>
      <c r="W595" s="79"/>
      <c r="Z595" s="130"/>
      <c r="AB595" s="106"/>
    </row>
    <row r="596">
      <c r="C596" s="79"/>
      <c r="D596" s="79"/>
      <c r="E596" s="79"/>
      <c r="M596" s="79"/>
      <c r="R596" s="79"/>
      <c r="S596" s="79"/>
      <c r="V596" s="79"/>
      <c r="W596" s="79"/>
      <c r="Z596" s="130"/>
      <c r="AB596" s="106"/>
    </row>
    <row r="597">
      <c r="C597" s="79"/>
      <c r="D597" s="79"/>
      <c r="E597" s="79"/>
      <c r="M597" s="79"/>
      <c r="R597" s="79"/>
      <c r="S597" s="79"/>
      <c r="V597" s="79"/>
      <c r="W597" s="79"/>
      <c r="Z597" s="130"/>
      <c r="AB597" s="106"/>
    </row>
    <row r="598">
      <c r="C598" s="79"/>
      <c r="D598" s="79"/>
      <c r="E598" s="79"/>
      <c r="M598" s="79"/>
      <c r="R598" s="79"/>
      <c r="S598" s="79"/>
      <c r="V598" s="79"/>
      <c r="W598" s="79"/>
      <c r="Z598" s="130"/>
      <c r="AB598" s="106"/>
    </row>
    <row r="599">
      <c r="C599" s="79"/>
      <c r="D599" s="79"/>
      <c r="E599" s="79"/>
      <c r="M599" s="79"/>
      <c r="R599" s="79"/>
      <c r="S599" s="79"/>
      <c r="V599" s="79"/>
      <c r="W599" s="79"/>
      <c r="Z599" s="130"/>
      <c r="AB599" s="106"/>
    </row>
    <row r="600">
      <c r="C600" s="79"/>
      <c r="D600" s="79"/>
      <c r="E600" s="79"/>
      <c r="M600" s="79"/>
      <c r="R600" s="79"/>
      <c r="S600" s="79"/>
      <c r="V600" s="79"/>
      <c r="W600" s="79"/>
      <c r="Z600" s="130"/>
      <c r="AB600" s="106"/>
    </row>
    <row r="601">
      <c r="C601" s="79"/>
      <c r="D601" s="79"/>
      <c r="E601" s="79"/>
      <c r="M601" s="79"/>
      <c r="R601" s="79"/>
      <c r="S601" s="79"/>
      <c r="V601" s="79"/>
      <c r="W601" s="79"/>
      <c r="Z601" s="130"/>
      <c r="AB601" s="106"/>
    </row>
    <row r="602">
      <c r="C602" s="79"/>
      <c r="D602" s="79"/>
      <c r="E602" s="79"/>
      <c r="M602" s="79"/>
      <c r="R602" s="79"/>
      <c r="S602" s="79"/>
      <c r="V602" s="79"/>
      <c r="W602" s="79"/>
      <c r="Z602" s="130"/>
      <c r="AB602" s="106"/>
    </row>
    <row r="603">
      <c r="C603" s="79"/>
      <c r="D603" s="79"/>
      <c r="E603" s="79"/>
      <c r="M603" s="79"/>
      <c r="R603" s="79"/>
      <c r="S603" s="79"/>
      <c r="V603" s="79"/>
      <c r="W603" s="79"/>
      <c r="Z603" s="130"/>
      <c r="AB603" s="106"/>
    </row>
    <row r="604">
      <c r="C604" s="79"/>
      <c r="D604" s="79"/>
      <c r="E604" s="79"/>
      <c r="M604" s="79"/>
      <c r="R604" s="79"/>
      <c r="S604" s="79"/>
      <c r="V604" s="79"/>
      <c r="W604" s="79"/>
      <c r="Z604" s="130"/>
      <c r="AB604" s="106"/>
    </row>
    <row r="605">
      <c r="C605" s="79"/>
      <c r="D605" s="79"/>
      <c r="E605" s="79"/>
      <c r="M605" s="79"/>
      <c r="R605" s="79"/>
      <c r="S605" s="79"/>
      <c r="V605" s="79"/>
      <c r="W605" s="79"/>
      <c r="Z605" s="130"/>
      <c r="AB605" s="106"/>
    </row>
    <row r="606">
      <c r="C606" s="79"/>
      <c r="D606" s="79"/>
      <c r="E606" s="79"/>
      <c r="M606" s="79"/>
      <c r="R606" s="79"/>
      <c r="S606" s="79"/>
      <c r="V606" s="79"/>
      <c r="W606" s="79"/>
      <c r="Z606" s="130"/>
      <c r="AB606" s="106"/>
    </row>
    <row r="607">
      <c r="C607" s="79"/>
      <c r="D607" s="79"/>
      <c r="E607" s="79"/>
      <c r="M607" s="79"/>
      <c r="R607" s="79"/>
      <c r="S607" s="79"/>
      <c r="V607" s="79"/>
      <c r="W607" s="79"/>
      <c r="Z607" s="130"/>
      <c r="AB607" s="106"/>
    </row>
    <row r="608">
      <c r="C608" s="79"/>
      <c r="D608" s="79"/>
      <c r="E608" s="79"/>
      <c r="M608" s="79"/>
      <c r="R608" s="79"/>
      <c r="S608" s="79"/>
      <c r="V608" s="79"/>
      <c r="W608" s="79"/>
      <c r="Z608" s="130"/>
      <c r="AB608" s="106"/>
    </row>
    <row r="609">
      <c r="C609" s="79"/>
      <c r="D609" s="79"/>
      <c r="E609" s="79"/>
      <c r="M609" s="79"/>
      <c r="R609" s="79"/>
      <c r="S609" s="79"/>
      <c r="V609" s="79"/>
      <c r="W609" s="79"/>
      <c r="Z609" s="130"/>
      <c r="AB609" s="106"/>
    </row>
    <row r="610">
      <c r="C610" s="79"/>
      <c r="D610" s="79"/>
      <c r="E610" s="79"/>
      <c r="M610" s="79"/>
      <c r="R610" s="79"/>
      <c r="S610" s="79"/>
      <c r="V610" s="79"/>
      <c r="W610" s="79"/>
      <c r="Z610" s="130"/>
      <c r="AB610" s="106"/>
    </row>
    <row r="611">
      <c r="C611" s="79"/>
      <c r="D611" s="79"/>
      <c r="E611" s="79"/>
      <c r="M611" s="79"/>
      <c r="R611" s="79"/>
      <c r="S611" s="79"/>
      <c r="V611" s="79"/>
      <c r="W611" s="79"/>
      <c r="Z611" s="130"/>
      <c r="AB611" s="106"/>
    </row>
    <row r="612">
      <c r="C612" s="79"/>
      <c r="D612" s="79"/>
      <c r="E612" s="79"/>
      <c r="M612" s="79"/>
      <c r="R612" s="79"/>
      <c r="S612" s="79"/>
      <c r="V612" s="79"/>
      <c r="W612" s="79"/>
      <c r="Z612" s="130"/>
      <c r="AB612" s="106"/>
    </row>
    <row r="613">
      <c r="C613" s="79"/>
      <c r="D613" s="79"/>
      <c r="E613" s="79"/>
      <c r="M613" s="79"/>
      <c r="R613" s="79"/>
      <c r="S613" s="79"/>
      <c r="V613" s="79"/>
      <c r="W613" s="79"/>
      <c r="Z613" s="130"/>
      <c r="AB613" s="106"/>
    </row>
    <row r="614">
      <c r="C614" s="79"/>
      <c r="D614" s="79"/>
      <c r="E614" s="79"/>
      <c r="M614" s="79"/>
      <c r="R614" s="79"/>
      <c r="S614" s="79"/>
      <c r="V614" s="79"/>
      <c r="W614" s="79"/>
      <c r="Z614" s="130"/>
      <c r="AB614" s="106"/>
    </row>
    <row r="615">
      <c r="C615" s="79"/>
      <c r="D615" s="79"/>
      <c r="E615" s="79"/>
      <c r="M615" s="79"/>
      <c r="R615" s="79"/>
      <c r="S615" s="79"/>
      <c r="V615" s="79"/>
      <c r="W615" s="79"/>
      <c r="Z615" s="130"/>
      <c r="AB615" s="106"/>
    </row>
    <row r="616">
      <c r="C616" s="79"/>
      <c r="D616" s="79"/>
      <c r="E616" s="79"/>
      <c r="M616" s="79"/>
      <c r="R616" s="79"/>
      <c r="S616" s="79"/>
      <c r="V616" s="79"/>
      <c r="W616" s="79"/>
      <c r="Z616" s="130"/>
      <c r="AB616" s="106"/>
    </row>
    <row r="617">
      <c r="C617" s="79"/>
      <c r="D617" s="79"/>
      <c r="E617" s="79"/>
      <c r="M617" s="79"/>
      <c r="R617" s="79"/>
      <c r="S617" s="79"/>
      <c r="V617" s="79"/>
      <c r="W617" s="79"/>
      <c r="Z617" s="130"/>
      <c r="AB617" s="106"/>
    </row>
    <row r="618">
      <c r="C618" s="79"/>
      <c r="D618" s="79"/>
      <c r="E618" s="79"/>
      <c r="M618" s="79"/>
      <c r="R618" s="79"/>
      <c r="S618" s="79"/>
      <c r="V618" s="79"/>
      <c r="W618" s="79"/>
      <c r="Z618" s="130"/>
      <c r="AB618" s="106"/>
    </row>
    <row r="619">
      <c r="C619" s="79"/>
      <c r="D619" s="79"/>
      <c r="E619" s="79"/>
      <c r="M619" s="79"/>
      <c r="R619" s="79"/>
      <c r="S619" s="79"/>
      <c r="V619" s="79"/>
      <c r="W619" s="79"/>
      <c r="Z619" s="130"/>
      <c r="AB619" s="106"/>
    </row>
    <row r="620">
      <c r="C620" s="79"/>
      <c r="D620" s="79"/>
      <c r="E620" s="79"/>
      <c r="M620" s="79"/>
      <c r="R620" s="79"/>
      <c r="S620" s="79"/>
      <c r="V620" s="79"/>
      <c r="W620" s="79"/>
      <c r="Z620" s="130"/>
      <c r="AB620" s="106"/>
    </row>
    <row r="621">
      <c r="C621" s="79"/>
      <c r="D621" s="79"/>
      <c r="E621" s="79"/>
      <c r="M621" s="79"/>
      <c r="R621" s="79"/>
      <c r="S621" s="79"/>
      <c r="V621" s="79"/>
      <c r="W621" s="79"/>
      <c r="Z621" s="130"/>
      <c r="AB621" s="106"/>
    </row>
    <row r="622">
      <c r="C622" s="79"/>
      <c r="D622" s="79"/>
      <c r="E622" s="79"/>
      <c r="M622" s="79"/>
      <c r="R622" s="79"/>
      <c r="S622" s="79"/>
      <c r="V622" s="79"/>
      <c r="W622" s="79"/>
      <c r="Z622" s="130"/>
      <c r="AB622" s="106"/>
    </row>
    <row r="623">
      <c r="C623" s="79"/>
      <c r="D623" s="79"/>
      <c r="E623" s="79"/>
      <c r="M623" s="79"/>
      <c r="R623" s="79"/>
      <c r="S623" s="79"/>
      <c r="V623" s="79"/>
      <c r="W623" s="79"/>
      <c r="Z623" s="130"/>
      <c r="AB623" s="106"/>
    </row>
    <row r="624">
      <c r="C624" s="79"/>
      <c r="D624" s="79"/>
      <c r="E624" s="79"/>
      <c r="M624" s="79"/>
      <c r="R624" s="79"/>
      <c r="S624" s="79"/>
      <c r="V624" s="79"/>
      <c r="W624" s="79"/>
      <c r="Z624" s="130"/>
      <c r="AB624" s="106"/>
    </row>
    <row r="625">
      <c r="C625" s="79"/>
      <c r="D625" s="79"/>
      <c r="E625" s="79"/>
      <c r="M625" s="79"/>
      <c r="R625" s="79"/>
      <c r="S625" s="79"/>
      <c r="V625" s="79"/>
      <c r="W625" s="79"/>
      <c r="Z625" s="130"/>
      <c r="AB625" s="106"/>
    </row>
    <row r="626">
      <c r="C626" s="79"/>
      <c r="D626" s="79"/>
      <c r="E626" s="79"/>
      <c r="M626" s="79"/>
      <c r="R626" s="79"/>
      <c r="S626" s="79"/>
      <c r="V626" s="79"/>
      <c r="W626" s="79"/>
      <c r="Z626" s="130"/>
      <c r="AB626" s="106"/>
    </row>
    <row r="627">
      <c r="C627" s="79"/>
      <c r="D627" s="79"/>
      <c r="E627" s="79"/>
      <c r="M627" s="79"/>
      <c r="R627" s="79"/>
      <c r="S627" s="79"/>
      <c r="V627" s="79"/>
      <c r="W627" s="79"/>
      <c r="Z627" s="130"/>
      <c r="AB627" s="106"/>
    </row>
    <row r="628">
      <c r="C628" s="79"/>
      <c r="D628" s="79"/>
      <c r="E628" s="79"/>
      <c r="M628" s="79"/>
      <c r="R628" s="79"/>
      <c r="S628" s="79"/>
      <c r="V628" s="79"/>
      <c r="W628" s="79"/>
      <c r="Z628" s="130"/>
      <c r="AB628" s="106"/>
    </row>
    <row r="629">
      <c r="C629" s="79"/>
      <c r="D629" s="79"/>
      <c r="E629" s="79"/>
      <c r="M629" s="79"/>
      <c r="R629" s="79"/>
      <c r="S629" s="79"/>
      <c r="V629" s="79"/>
      <c r="W629" s="79"/>
      <c r="Z629" s="130"/>
      <c r="AB629" s="106"/>
    </row>
    <row r="630">
      <c r="C630" s="79"/>
      <c r="D630" s="79"/>
      <c r="E630" s="79"/>
      <c r="M630" s="79"/>
      <c r="R630" s="79"/>
      <c r="S630" s="79"/>
      <c r="V630" s="79"/>
      <c r="W630" s="79"/>
      <c r="Z630" s="130"/>
      <c r="AB630" s="106"/>
    </row>
    <row r="631">
      <c r="C631" s="79"/>
      <c r="D631" s="79"/>
      <c r="E631" s="79"/>
      <c r="M631" s="79"/>
      <c r="R631" s="79"/>
      <c r="S631" s="79"/>
      <c r="V631" s="79"/>
      <c r="W631" s="79"/>
      <c r="Z631" s="130"/>
      <c r="AB631" s="106"/>
    </row>
    <row r="632">
      <c r="C632" s="79"/>
      <c r="D632" s="79"/>
      <c r="E632" s="79"/>
      <c r="M632" s="79"/>
      <c r="R632" s="79"/>
      <c r="S632" s="79"/>
      <c r="V632" s="79"/>
      <c r="W632" s="79"/>
      <c r="Z632" s="130"/>
      <c r="AB632" s="106"/>
    </row>
    <row r="633">
      <c r="C633" s="79"/>
      <c r="D633" s="79"/>
      <c r="E633" s="79"/>
      <c r="M633" s="79"/>
      <c r="R633" s="79"/>
      <c r="S633" s="79"/>
      <c r="V633" s="79"/>
      <c r="W633" s="79"/>
      <c r="Z633" s="130"/>
      <c r="AB633" s="106"/>
    </row>
    <row r="634">
      <c r="C634" s="79"/>
      <c r="D634" s="79"/>
      <c r="E634" s="79"/>
      <c r="M634" s="79"/>
      <c r="R634" s="79"/>
      <c r="S634" s="79"/>
      <c r="V634" s="79"/>
      <c r="W634" s="79"/>
      <c r="Z634" s="130"/>
      <c r="AB634" s="106"/>
    </row>
    <row r="635">
      <c r="C635" s="79"/>
      <c r="D635" s="79"/>
      <c r="E635" s="79"/>
      <c r="M635" s="79"/>
      <c r="R635" s="79"/>
      <c r="S635" s="79"/>
      <c r="V635" s="79"/>
      <c r="W635" s="79"/>
      <c r="Z635" s="130"/>
      <c r="AB635" s="106"/>
    </row>
    <row r="636">
      <c r="C636" s="79"/>
      <c r="D636" s="79"/>
      <c r="E636" s="79"/>
      <c r="M636" s="79"/>
      <c r="R636" s="79"/>
      <c r="S636" s="79"/>
      <c r="V636" s="79"/>
      <c r="W636" s="79"/>
      <c r="Z636" s="130"/>
      <c r="AB636" s="106"/>
    </row>
    <row r="637">
      <c r="C637" s="79"/>
      <c r="D637" s="79"/>
      <c r="E637" s="79"/>
      <c r="M637" s="79"/>
      <c r="R637" s="79"/>
      <c r="S637" s="79"/>
      <c r="V637" s="79"/>
      <c r="W637" s="79"/>
      <c r="Z637" s="130"/>
      <c r="AB637" s="106"/>
    </row>
    <row r="638">
      <c r="C638" s="79"/>
      <c r="D638" s="79"/>
      <c r="E638" s="79"/>
      <c r="M638" s="79"/>
      <c r="R638" s="79"/>
      <c r="S638" s="79"/>
      <c r="V638" s="79"/>
      <c r="W638" s="79"/>
      <c r="Z638" s="130"/>
      <c r="AB638" s="106"/>
    </row>
    <row r="639">
      <c r="C639" s="79"/>
      <c r="D639" s="79"/>
      <c r="E639" s="79"/>
      <c r="M639" s="79"/>
      <c r="R639" s="79"/>
      <c r="S639" s="79"/>
      <c r="V639" s="79"/>
      <c r="W639" s="79"/>
      <c r="Z639" s="130"/>
      <c r="AB639" s="106"/>
    </row>
    <row r="640">
      <c r="C640" s="79"/>
      <c r="D640" s="79"/>
      <c r="E640" s="79"/>
      <c r="M640" s="79"/>
      <c r="R640" s="79"/>
      <c r="S640" s="79"/>
      <c r="V640" s="79"/>
      <c r="W640" s="79"/>
      <c r="Z640" s="130"/>
      <c r="AB640" s="106"/>
    </row>
    <row r="641">
      <c r="C641" s="79"/>
      <c r="D641" s="79"/>
      <c r="E641" s="79"/>
      <c r="M641" s="79"/>
      <c r="R641" s="79"/>
      <c r="S641" s="79"/>
      <c r="V641" s="79"/>
      <c r="W641" s="79"/>
      <c r="Z641" s="130"/>
      <c r="AB641" s="106"/>
    </row>
    <row r="642">
      <c r="C642" s="79"/>
      <c r="D642" s="79"/>
      <c r="E642" s="79"/>
      <c r="M642" s="79"/>
      <c r="R642" s="79"/>
      <c r="S642" s="79"/>
      <c r="V642" s="79"/>
      <c r="W642" s="79"/>
      <c r="Z642" s="130"/>
      <c r="AB642" s="106"/>
    </row>
    <row r="643">
      <c r="C643" s="79"/>
      <c r="D643" s="79"/>
      <c r="E643" s="79"/>
      <c r="M643" s="79"/>
      <c r="R643" s="79"/>
      <c r="S643" s="79"/>
      <c r="V643" s="79"/>
      <c r="W643" s="79"/>
      <c r="Z643" s="130"/>
      <c r="AB643" s="106"/>
    </row>
    <row r="644">
      <c r="C644" s="79"/>
      <c r="D644" s="79"/>
      <c r="E644" s="79"/>
      <c r="M644" s="79"/>
      <c r="R644" s="79"/>
      <c r="S644" s="79"/>
      <c r="V644" s="79"/>
      <c r="W644" s="79"/>
      <c r="Z644" s="130"/>
      <c r="AB644" s="106"/>
    </row>
    <row r="645">
      <c r="C645" s="79"/>
      <c r="D645" s="79"/>
      <c r="E645" s="79"/>
      <c r="M645" s="79"/>
      <c r="R645" s="79"/>
      <c r="S645" s="79"/>
      <c r="V645" s="79"/>
      <c r="W645" s="79"/>
      <c r="Z645" s="130"/>
      <c r="AB645" s="106"/>
    </row>
    <row r="646">
      <c r="C646" s="79"/>
      <c r="D646" s="79"/>
      <c r="E646" s="79"/>
      <c r="M646" s="79"/>
      <c r="R646" s="79"/>
      <c r="S646" s="79"/>
      <c r="V646" s="79"/>
      <c r="W646" s="79"/>
      <c r="Z646" s="130"/>
      <c r="AB646" s="106"/>
    </row>
    <row r="647">
      <c r="C647" s="79"/>
      <c r="D647" s="79"/>
      <c r="E647" s="79"/>
      <c r="M647" s="79"/>
      <c r="R647" s="79"/>
      <c r="S647" s="79"/>
      <c r="V647" s="79"/>
      <c r="W647" s="79"/>
      <c r="Z647" s="130"/>
      <c r="AB647" s="106"/>
    </row>
    <row r="648">
      <c r="C648" s="79"/>
      <c r="D648" s="79"/>
      <c r="E648" s="79"/>
      <c r="M648" s="79"/>
      <c r="R648" s="79"/>
      <c r="S648" s="79"/>
      <c r="V648" s="79"/>
      <c r="W648" s="79"/>
      <c r="Z648" s="130"/>
      <c r="AB648" s="106"/>
    </row>
    <row r="649">
      <c r="C649" s="79"/>
      <c r="D649" s="79"/>
      <c r="E649" s="79"/>
      <c r="M649" s="79"/>
      <c r="R649" s="79"/>
      <c r="S649" s="79"/>
      <c r="V649" s="79"/>
      <c r="W649" s="79"/>
      <c r="Z649" s="130"/>
      <c r="AB649" s="106"/>
    </row>
    <row r="650">
      <c r="C650" s="79"/>
      <c r="D650" s="79"/>
      <c r="E650" s="79"/>
      <c r="M650" s="79"/>
      <c r="R650" s="79"/>
      <c r="S650" s="79"/>
      <c r="V650" s="79"/>
      <c r="W650" s="79"/>
      <c r="Z650" s="130"/>
      <c r="AB650" s="106"/>
    </row>
    <row r="651">
      <c r="C651" s="79"/>
      <c r="D651" s="79"/>
      <c r="E651" s="79"/>
      <c r="M651" s="79"/>
      <c r="R651" s="79"/>
      <c r="S651" s="79"/>
      <c r="V651" s="79"/>
      <c r="W651" s="79"/>
      <c r="Z651" s="130"/>
      <c r="AB651" s="106"/>
    </row>
    <row r="652">
      <c r="C652" s="79"/>
      <c r="D652" s="79"/>
      <c r="E652" s="79"/>
      <c r="M652" s="79"/>
      <c r="R652" s="79"/>
      <c r="S652" s="79"/>
      <c r="V652" s="79"/>
      <c r="W652" s="79"/>
      <c r="Z652" s="130"/>
      <c r="AB652" s="106"/>
    </row>
    <row r="653">
      <c r="C653" s="79"/>
      <c r="D653" s="79"/>
      <c r="E653" s="79"/>
      <c r="M653" s="79"/>
      <c r="R653" s="79"/>
      <c r="S653" s="79"/>
      <c r="V653" s="79"/>
      <c r="W653" s="79"/>
      <c r="Z653" s="130"/>
      <c r="AB653" s="106"/>
    </row>
    <row r="654">
      <c r="C654" s="79"/>
      <c r="D654" s="79"/>
      <c r="E654" s="79"/>
      <c r="M654" s="79"/>
      <c r="R654" s="79"/>
      <c r="S654" s="79"/>
      <c r="V654" s="79"/>
      <c r="W654" s="79"/>
      <c r="Z654" s="130"/>
      <c r="AB654" s="106"/>
    </row>
    <row r="655">
      <c r="C655" s="79"/>
      <c r="D655" s="79"/>
      <c r="E655" s="79"/>
      <c r="M655" s="79"/>
      <c r="R655" s="79"/>
      <c r="S655" s="79"/>
      <c r="V655" s="79"/>
      <c r="W655" s="79"/>
      <c r="Z655" s="130"/>
      <c r="AB655" s="106"/>
    </row>
    <row r="656">
      <c r="C656" s="79"/>
      <c r="D656" s="79"/>
      <c r="E656" s="79"/>
      <c r="M656" s="79"/>
      <c r="R656" s="79"/>
      <c r="S656" s="79"/>
      <c r="V656" s="79"/>
      <c r="W656" s="79"/>
      <c r="Z656" s="130"/>
      <c r="AB656" s="106"/>
    </row>
    <row r="657">
      <c r="C657" s="79"/>
      <c r="D657" s="79"/>
      <c r="E657" s="79"/>
      <c r="M657" s="79"/>
      <c r="R657" s="79"/>
      <c r="S657" s="79"/>
      <c r="V657" s="79"/>
      <c r="W657" s="79"/>
      <c r="Z657" s="130"/>
      <c r="AB657" s="106"/>
    </row>
    <row r="658">
      <c r="C658" s="79"/>
      <c r="D658" s="79"/>
      <c r="E658" s="79"/>
      <c r="M658" s="79"/>
      <c r="R658" s="79"/>
      <c r="S658" s="79"/>
      <c r="V658" s="79"/>
      <c r="W658" s="79"/>
      <c r="Z658" s="130"/>
      <c r="AB658" s="106"/>
    </row>
    <row r="659">
      <c r="C659" s="79"/>
      <c r="D659" s="79"/>
      <c r="E659" s="79"/>
      <c r="M659" s="79"/>
      <c r="R659" s="79"/>
      <c r="S659" s="79"/>
      <c r="V659" s="79"/>
      <c r="W659" s="79"/>
      <c r="Z659" s="130"/>
      <c r="AB659" s="106"/>
    </row>
    <row r="660">
      <c r="C660" s="79"/>
      <c r="D660" s="79"/>
      <c r="E660" s="79"/>
      <c r="M660" s="79"/>
      <c r="R660" s="79"/>
      <c r="S660" s="79"/>
      <c r="V660" s="79"/>
      <c r="W660" s="79"/>
      <c r="Z660" s="130"/>
      <c r="AB660" s="106"/>
    </row>
    <row r="661">
      <c r="C661" s="79"/>
      <c r="D661" s="79"/>
      <c r="E661" s="79"/>
      <c r="M661" s="79"/>
      <c r="R661" s="79"/>
      <c r="S661" s="79"/>
      <c r="V661" s="79"/>
      <c r="W661" s="79"/>
      <c r="Z661" s="130"/>
      <c r="AB661" s="106"/>
    </row>
    <row r="662">
      <c r="C662" s="79"/>
      <c r="D662" s="79"/>
      <c r="E662" s="79"/>
      <c r="M662" s="79"/>
      <c r="R662" s="79"/>
      <c r="S662" s="79"/>
      <c r="V662" s="79"/>
      <c r="W662" s="79"/>
      <c r="Z662" s="130"/>
      <c r="AB662" s="106"/>
    </row>
    <row r="663">
      <c r="C663" s="79"/>
      <c r="D663" s="79"/>
      <c r="E663" s="79"/>
      <c r="M663" s="79"/>
      <c r="R663" s="79"/>
      <c r="S663" s="79"/>
      <c r="V663" s="79"/>
      <c r="W663" s="79"/>
      <c r="Z663" s="130"/>
      <c r="AB663" s="106"/>
    </row>
    <row r="664">
      <c r="C664" s="79"/>
      <c r="D664" s="79"/>
      <c r="E664" s="79"/>
      <c r="M664" s="79"/>
      <c r="R664" s="79"/>
      <c r="S664" s="79"/>
      <c r="V664" s="79"/>
      <c r="W664" s="79"/>
      <c r="Z664" s="130"/>
      <c r="AB664" s="106"/>
    </row>
    <row r="665">
      <c r="C665" s="79"/>
      <c r="D665" s="79"/>
      <c r="E665" s="79"/>
      <c r="M665" s="79"/>
      <c r="R665" s="79"/>
      <c r="S665" s="79"/>
      <c r="V665" s="79"/>
      <c r="W665" s="79"/>
      <c r="Z665" s="130"/>
      <c r="AB665" s="106"/>
    </row>
    <row r="666">
      <c r="C666" s="79"/>
      <c r="D666" s="79"/>
      <c r="E666" s="79"/>
      <c r="M666" s="79"/>
      <c r="R666" s="79"/>
      <c r="S666" s="79"/>
      <c r="V666" s="79"/>
      <c r="W666" s="79"/>
      <c r="Z666" s="130"/>
      <c r="AB666" s="106"/>
    </row>
    <row r="667">
      <c r="C667" s="79"/>
      <c r="D667" s="79"/>
      <c r="E667" s="79"/>
      <c r="M667" s="79"/>
      <c r="R667" s="79"/>
      <c r="S667" s="79"/>
      <c r="V667" s="79"/>
      <c r="W667" s="79"/>
      <c r="Z667" s="130"/>
      <c r="AB667" s="106"/>
    </row>
    <row r="668">
      <c r="C668" s="79"/>
      <c r="D668" s="79"/>
      <c r="E668" s="79"/>
      <c r="M668" s="79"/>
      <c r="R668" s="79"/>
      <c r="S668" s="79"/>
      <c r="V668" s="79"/>
      <c r="W668" s="79"/>
      <c r="Z668" s="130"/>
      <c r="AB668" s="106"/>
    </row>
    <row r="669">
      <c r="C669" s="79"/>
      <c r="D669" s="79"/>
      <c r="E669" s="79"/>
      <c r="M669" s="79"/>
      <c r="R669" s="79"/>
      <c r="S669" s="79"/>
      <c r="V669" s="79"/>
      <c r="W669" s="79"/>
      <c r="Z669" s="130"/>
      <c r="AB669" s="106"/>
    </row>
    <row r="670">
      <c r="C670" s="79"/>
      <c r="D670" s="79"/>
      <c r="E670" s="79"/>
      <c r="M670" s="79"/>
      <c r="R670" s="79"/>
      <c r="S670" s="79"/>
      <c r="V670" s="79"/>
      <c r="W670" s="79"/>
      <c r="Z670" s="130"/>
      <c r="AB670" s="106"/>
    </row>
    <row r="671">
      <c r="C671" s="79"/>
      <c r="D671" s="79"/>
      <c r="E671" s="79"/>
      <c r="M671" s="79"/>
      <c r="R671" s="79"/>
      <c r="S671" s="79"/>
      <c r="V671" s="79"/>
      <c r="W671" s="79"/>
      <c r="Z671" s="130"/>
      <c r="AB671" s="106"/>
    </row>
    <row r="672">
      <c r="C672" s="79"/>
      <c r="D672" s="79"/>
      <c r="E672" s="79"/>
      <c r="M672" s="79"/>
      <c r="R672" s="79"/>
      <c r="S672" s="79"/>
      <c r="V672" s="79"/>
      <c r="W672" s="79"/>
      <c r="Z672" s="130"/>
      <c r="AB672" s="106"/>
    </row>
    <row r="673">
      <c r="C673" s="79"/>
      <c r="D673" s="79"/>
      <c r="E673" s="79"/>
      <c r="M673" s="79"/>
      <c r="R673" s="79"/>
      <c r="S673" s="79"/>
      <c r="V673" s="79"/>
      <c r="W673" s="79"/>
      <c r="Z673" s="130"/>
      <c r="AB673" s="106"/>
    </row>
    <row r="674">
      <c r="C674" s="79"/>
      <c r="D674" s="79"/>
      <c r="E674" s="79"/>
      <c r="M674" s="79"/>
      <c r="R674" s="79"/>
      <c r="S674" s="79"/>
      <c r="V674" s="79"/>
      <c r="W674" s="79"/>
      <c r="Z674" s="130"/>
      <c r="AB674" s="106"/>
    </row>
    <row r="675">
      <c r="C675" s="79"/>
      <c r="D675" s="79"/>
      <c r="E675" s="79"/>
      <c r="M675" s="79"/>
      <c r="R675" s="79"/>
      <c r="S675" s="79"/>
      <c r="V675" s="79"/>
      <c r="W675" s="79"/>
      <c r="Z675" s="130"/>
      <c r="AB675" s="106"/>
    </row>
    <row r="676">
      <c r="C676" s="79"/>
      <c r="D676" s="79"/>
      <c r="E676" s="79"/>
      <c r="M676" s="79"/>
      <c r="R676" s="79"/>
      <c r="S676" s="79"/>
      <c r="V676" s="79"/>
      <c r="W676" s="79"/>
      <c r="Z676" s="130"/>
      <c r="AB676" s="106"/>
    </row>
    <row r="677">
      <c r="C677" s="79"/>
      <c r="D677" s="79"/>
      <c r="E677" s="79"/>
      <c r="M677" s="79"/>
      <c r="R677" s="79"/>
      <c r="S677" s="79"/>
      <c r="V677" s="79"/>
      <c r="W677" s="79"/>
      <c r="Z677" s="130"/>
      <c r="AB677" s="106"/>
    </row>
    <row r="678">
      <c r="C678" s="79"/>
      <c r="D678" s="79"/>
      <c r="E678" s="79"/>
      <c r="M678" s="79"/>
      <c r="R678" s="79"/>
      <c r="S678" s="79"/>
      <c r="V678" s="79"/>
      <c r="W678" s="79"/>
      <c r="Z678" s="130"/>
      <c r="AB678" s="106"/>
    </row>
    <row r="679">
      <c r="C679" s="79"/>
      <c r="D679" s="79"/>
      <c r="E679" s="79"/>
      <c r="M679" s="79"/>
      <c r="R679" s="79"/>
      <c r="S679" s="79"/>
      <c r="V679" s="79"/>
      <c r="W679" s="79"/>
      <c r="Z679" s="130"/>
      <c r="AB679" s="106"/>
    </row>
    <row r="680">
      <c r="C680" s="79"/>
      <c r="D680" s="79"/>
      <c r="E680" s="79"/>
      <c r="M680" s="79"/>
      <c r="R680" s="79"/>
      <c r="S680" s="79"/>
      <c r="V680" s="79"/>
      <c r="W680" s="79"/>
      <c r="Z680" s="130"/>
      <c r="AB680" s="106"/>
    </row>
    <row r="681">
      <c r="C681" s="79"/>
      <c r="D681" s="79"/>
      <c r="E681" s="79"/>
      <c r="M681" s="79"/>
      <c r="R681" s="79"/>
      <c r="S681" s="79"/>
      <c r="V681" s="79"/>
      <c r="W681" s="79"/>
      <c r="Z681" s="130"/>
      <c r="AB681" s="106"/>
    </row>
    <row r="682">
      <c r="C682" s="79"/>
      <c r="D682" s="79"/>
      <c r="E682" s="79"/>
      <c r="M682" s="79"/>
      <c r="R682" s="79"/>
      <c r="S682" s="79"/>
      <c r="V682" s="79"/>
      <c r="W682" s="79"/>
      <c r="Z682" s="130"/>
      <c r="AB682" s="106"/>
    </row>
    <row r="683">
      <c r="C683" s="79"/>
      <c r="D683" s="79"/>
      <c r="E683" s="79"/>
      <c r="M683" s="79"/>
      <c r="R683" s="79"/>
      <c r="S683" s="79"/>
      <c r="V683" s="79"/>
      <c r="W683" s="79"/>
      <c r="Z683" s="130"/>
      <c r="AB683" s="106"/>
    </row>
    <row r="684">
      <c r="C684" s="79"/>
      <c r="D684" s="79"/>
      <c r="E684" s="79"/>
      <c r="M684" s="79"/>
      <c r="R684" s="79"/>
      <c r="S684" s="79"/>
      <c r="V684" s="79"/>
      <c r="W684" s="79"/>
      <c r="Z684" s="130"/>
      <c r="AB684" s="106"/>
    </row>
    <row r="685">
      <c r="C685" s="79"/>
      <c r="D685" s="79"/>
      <c r="E685" s="79"/>
      <c r="M685" s="79"/>
      <c r="R685" s="79"/>
      <c r="S685" s="79"/>
      <c r="V685" s="79"/>
      <c r="W685" s="79"/>
      <c r="Z685" s="130"/>
      <c r="AB685" s="106"/>
    </row>
    <row r="686">
      <c r="C686" s="79"/>
      <c r="D686" s="79"/>
      <c r="E686" s="79"/>
      <c r="M686" s="79"/>
      <c r="R686" s="79"/>
      <c r="S686" s="79"/>
      <c r="V686" s="79"/>
      <c r="W686" s="79"/>
      <c r="Z686" s="130"/>
      <c r="AB686" s="106"/>
    </row>
    <row r="687">
      <c r="C687" s="79"/>
      <c r="D687" s="79"/>
      <c r="E687" s="79"/>
      <c r="M687" s="79"/>
      <c r="R687" s="79"/>
      <c r="S687" s="79"/>
      <c r="V687" s="79"/>
      <c r="W687" s="79"/>
      <c r="Z687" s="130"/>
      <c r="AB687" s="106"/>
    </row>
    <row r="688">
      <c r="C688" s="79"/>
      <c r="D688" s="79"/>
      <c r="E688" s="79"/>
      <c r="M688" s="79"/>
      <c r="R688" s="79"/>
      <c r="S688" s="79"/>
      <c r="V688" s="79"/>
      <c r="W688" s="79"/>
      <c r="Z688" s="130"/>
      <c r="AB688" s="106"/>
    </row>
    <row r="689">
      <c r="C689" s="79"/>
      <c r="D689" s="79"/>
      <c r="E689" s="79"/>
      <c r="M689" s="79"/>
      <c r="R689" s="79"/>
      <c r="S689" s="79"/>
      <c r="V689" s="79"/>
      <c r="W689" s="79"/>
      <c r="Z689" s="130"/>
      <c r="AB689" s="106"/>
    </row>
    <row r="690">
      <c r="C690" s="79"/>
      <c r="D690" s="79"/>
      <c r="E690" s="79"/>
      <c r="M690" s="79"/>
      <c r="R690" s="79"/>
      <c r="S690" s="79"/>
      <c r="V690" s="79"/>
      <c r="W690" s="79"/>
      <c r="Z690" s="130"/>
      <c r="AB690" s="106"/>
    </row>
    <row r="691">
      <c r="C691" s="79"/>
      <c r="D691" s="79"/>
      <c r="E691" s="79"/>
      <c r="M691" s="79"/>
      <c r="R691" s="79"/>
      <c r="S691" s="79"/>
      <c r="V691" s="79"/>
      <c r="W691" s="79"/>
      <c r="Z691" s="130"/>
      <c r="AB691" s="106"/>
    </row>
    <row r="692">
      <c r="C692" s="79"/>
      <c r="D692" s="79"/>
      <c r="E692" s="79"/>
      <c r="M692" s="79"/>
      <c r="R692" s="79"/>
      <c r="S692" s="79"/>
      <c r="V692" s="79"/>
      <c r="W692" s="79"/>
      <c r="Z692" s="130"/>
      <c r="AB692" s="106"/>
    </row>
    <row r="693">
      <c r="C693" s="79"/>
      <c r="D693" s="79"/>
      <c r="E693" s="79"/>
      <c r="M693" s="79"/>
      <c r="R693" s="79"/>
      <c r="S693" s="79"/>
      <c r="V693" s="79"/>
      <c r="W693" s="79"/>
      <c r="Z693" s="130"/>
      <c r="AB693" s="106"/>
    </row>
    <row r="694">
      <c r="C694" s="79"/>
      <c r="D694" s="79"/>
      <c r="E694" s="79"/>
      <c r="M694" s="79"/>
      <c r="R694" s="79"/>
      <c r="S694" s="79"/>
      <c r="V694" s="79"/>
      <c r="W694" s="79"/>
      <c r="Z694" s="130"/>
      <c r="AB694" s="106"/>
    </row>
    <row r="695">
      <c r="C695" s="79"/>
      <c r="D695" s="79"/>
      <c r="E695" s="79"/>
      <c r="M695" s="79"/>
      <c r="R695" s="79"/>
      <c r="S695" s="79"/>
      <c r="V695" s="79"/>
      <c r="W695" s="79"/>
      <c r="Z695" s="130"/>
      <c r="AB695" s="106"/>
    </row>
    <row r="696">
      <c r="C696" s="79"/>
      <c r="D696" s="79"/>
      <c r="E696" s="79"/>
      <c r="M696" s="79"/>
      <c r="R696" s="79"/>
      <c r="S696" s="79"/>
      <c r="V696" s="79"/>
      <c r="W696" s="79"/>
      <c r="Z696" s="130"/>
      <c r="AB696" s="106"/>
    </row>
    <row r="697">
      <c r="C697" s="79"/>
      <c r="D697" s="79"/>
      <c r="E697" s="79"/>
      <c r="M697" s="79"/>
      <c r="R697" s="79"/>
      <c r="S697" s="79"/>
      <c r="V697" s="79"/>
      <c r="W697" s="79"/>
      <c r="Z697" s="130"/>
      <c r="AB697" s="106"/>
    </row>
    <row r="698">
      <c r="C698" s="79"/>
      <c r="D698" s="79"/>
      <c r="E698" s="79"/>
      <c r="M698" s="79"/>
      <c r="R698" s="79"/>
      <c r="S698" s="79"/>
      <c r="V698" s="79"/>
      <c r="W698" s="79"/>
      <c r="Z698" s="130"/>
      <c r="AB698" s="106"/>
    </row>
    <row r="699">
      <c r="C699" s="79"/>
      <c r="D699" s="79"/>
      <c r="E699" s="79"/>
      <c r="M699" s="79"/>
      <c r="R699" s="79"/>
      <c r="S699" s="79"/>
      <c r="V699" s="79"/>
      <c r="W699" s="79"/>
      <c r="Z699" s="130"/>
      <c r="AB699" s="106"/>
    </row>
    <row r="700">
      <c r="C700" s="79"/>
      <c r="D700" s="79"/>
      <c r="E700" s="79"/>
      <c r="M700" s="79"/>
      <c r="R700" s="79"/>
      <c r="S700" s="79"/>
      <c r="V700" s="79"/>
      <c r="W700" s="79"/>
      <c r="Z700" s="130"/>
      <c r="AB700" s="106"/>
    </row>
    <row r="701">
      <c r="C701" s="79"/>
      <c r="D701" s="79"/>
      <c r="E701" s="79"/>
      <c r="M701" s="79"/>
      <c r="R701" s="79"/>
      <c r="S701" s="79"/>
      <c r="V701" s="79"/>
      <c r="W701" s="79"/>
      <c r="Z701" s="130"/>
      <c r="AB701" s="106"/>
    </row>
    <row r="702">
      <c r="C702" s="79"/>
      <c r="D702" s="79"/>
      <c r="E702" s="79"/>
      <c r="M702" s="79"/>
      <c r="R702" s="79"/>
      <c r="S702" s="79"/>
      <c r="V702" s="79"/>
      <c r="W702" s="79"/>
      <c r="Z702" s="130"/>
      <c r="AB702" s="106"/>
    </row>
    <row r="703">
      <c r="C703" s="79"/>
      <c r="D703" s="79"/>
      <c r="E703" s="79"/>
      <c r="M703" s="79"/>
      <c r="R703" s="79"/>
      <c r="S703" s="79"/>
      <c r="V703" s="79"/>
      <c r="W703" s="79"/>
      <c r="Z703" s="130"/>
      <c r="AB703" s="106"/>
    </row>
    <row r="704">
      <c r="C704" s="79"/>
      <c r="D704" s="79"/>
      <c r="E704" s="79"/>
      <c r="M704" s="79"/>
      <c r="R704" s="79"/>
      <c r="S704" s="79"/>
      <c r="V704" s="79"/>
      <c r="W704" s="79"/>
      <c r="Z704" s="130"/>
      <c r="AB704" s="106"/>
    </row>
    <row r="705">
      <c r="C705" s="79"/>
      <c r="D705" s="79"/>
      <c r="E705" s="79"/>
      <c r="M705" s="79"/>
      <c r="R705" s="79"/>
      <c r="S705" s="79"/>
      <c r="V705" s="79"/>
      <c r="W705" s="79"/>
      <c r="Z705" s="130"/>
      <c r="AB705" s="106"/>
    </row>
    <row r="706">
      <c r="C706" s="79"/>
      <c r="D706" s="79"/>
      <c r="E706" s="79"/>
      <c r="M706" s="79"/>
      <c r="R706" s="79"/>
      <c r="S706" s="79"/>
      <c r="V706" s="79"/>
      <c r="W706" s="79"/>
      <c r="Z706" s="130"/>
      <c r="AB706" s="106"/>
    </row>
    <row r="707">
      <c r="C707" s="79"/>
      <c r="D707" s="79"/>
      <c r="E707" s="79"/>
      <c r="M707" s="79"/>
      <c r="R707" s="79"/>
      <c r="S707" s="79"/>
      <c r="V707" s="79"/>
      <c r="W707" s="79"/>
      <c r="Z707" s="130"/>
      <c r="AB707" s="106"/>
    </row>
    <row r="708">
      <c r="C708" s="79"/>
      <c r="D708" s="79"/>
      <c r="E708" s="79"/>
      <c r="M708" s="79"/>
      <c r="R708" s="79"/>
      <c r="S708" s="79"/>
      <c r="V708" s="79"/>
      <c r="W708" s="79"/>
      <c r="Z708" s="130"/>
      <c r="AB708" s="106"/>
    </row>
    <row r="709">
      <c r="C709" s="79"/>
      <c r="D709" s="79"/>
      <c r="E709" s="79"/>
      <c r="M709" s="79"/>
      <c r="R709" s="79"/>
      <c r="S709" s="79"/>
      <c r="V709" s="79"/>
      <c r="W709" s="79"/>
      <c r="Z709" s="130"/>
      <c r="AB709" s="106"/>
    </row>
    <row r="710">
      <c r="C710" s="79"/>
      <c r="D710" s="79"/>
      <c r="E710" s="79"/>
      <c r="M710" s="79"/>
      <c r="R710" s="79"/>
      <c r="S710" s="79"/>
      <c r="V710" s="79"/>
      <c r="W710" s="79"/>
      <c r="Z710" s="130"/>
      <c r="AB710" s="106"/>
    </row>
    <row r="711">
      <c r="C711" s="79"/>
      <c r="D711" s="79"/>
      <c r="E711" s="79"/>
      <c r="M711" s="79"/>
      <c r="R711" s="79"/>
      <c r="S711" s="79"/>
      <c r="V711" s="79"/>
      <c r="W711" s="79"/>
      <c r="Z711" s="130"/>
      <c r="AB711" s="106"/>
    </row>
    <row r="712">
      <c r="C712" s="79"/>
      <c r="D712" s="79"/>
      <c r="E712" s="79"/>
      <c r="M712" s="79"/>
      <c r="R712" s="79"/>
      <c r="S712" s="79"/>
      <c r="V712" s="79"/>
      <c r="W712" s="79"/>
      <c r="Z712" s="130"/>
      <c r="AB712" s="106"/>
    </row>
    <row r="713">
      <c r="C713" s="79"/>
      <c r="D713" s="79"/>
      <c r="E713" s="79"/>
      <c r="M713" s="79"/>
      <c r="R713" s="79"/>
      <c r="S713" s="79"/>
      <c r="V713" s="79"/>
      <c r="W713" s="79"/>
      <c r="Z713" s="130"/>
      <c r="AB713" s="106"/>
    </row>
    <row r="714">
      <c r="C714" s="79"/>
      <c r="D714" s="79"/>
      <c r="E714" s="79"/>
      <c r="M714" s="79"/>
      <c r="R714" s="79"/>
      <c r="S714" s="79"/>
      <c r="V714" s="79"/>
      <c r="W714" s="79"/>
      <c r="Z714" s="130"/>
      <c r="AB714" s="106"/>
    </row>
    <row r="715">
      <c r="C715" s="79"/>
      <c r="D715" s="79"/>
      <c r="E715" s="79"/>
      <c r="M715" s="79"/>
      <c r="R715" s="79"/>
      <c r="S715" s="79"/>
      <c r="V715" s="79"/>
      <c r="W715" s="79"/>
      <c r="Z715" s="130"/>
      <c r="AB715" s="106"/>
    </row>
    <row r="716">
      <c r="C716" s="79"/>
      <c r="D716" s="79"/>
      <c r="E716" s="79"/>
      <c r="M716" s="79"/>
      <c r="R716" s="79"/>
      <c r="S716" s="79"/>
      <c r="V716" s="79"/>
      <c r="W716" s="79"/>
      <c r="Z716" s="130"/>
      <c r="AB716" s="106"/>
    </row>
    <row r="717">
      <c r="C717" s="79"/>
      <c r="D717" s="79"/>
      <c r="E717" s="79"/>
      <c r="M717" s="79"/>
      <c r="R717" s="79"/>
      <c r="S717" s="79"/>
      <c r="V717" s="79"/>
      <c r="W717" s="79"/>
      <c r="Z717" s="130"/>
      <c r="AB717" s="106"/>
    </row>
    <row r="718">
      <c r="C718" s="79"/>
      <c r="D718" s="79"/>
      <c r="E718" s="79"/>
      <c r="M718" s="79"/>
      <c r="R718" s="79"/>
      <c r="S718" s="79"/>
      <c r="V718" s="79"/>
      <c r="W718" s="79"/>
      <c r="Z718" s="130"/>
      <c r="AB718" s="106"/>
    </row>
    <row r="719">
      <c r="C719" s="79"/>
      <c r="D719" s="79"/>
      <c r="E719" s="79"/>
      <c r="M719" s="79"/>
      <c r="R719" s="79"/>
      <c r="S719" s="79"/>
      <c r="V719" s="79"/>
      <c r="W719" s="79"/>
      <c r="Z719" s="130"/>
      <c r="AB719" s="106"/>
    </row>
    <row r="720">
      <c r="C720" s="79"/>
      <c r="D720" s="79"/>
      <c r="E720" s="79"/>
      <c r="M720" s="79"/>
      <c r="R720" s="79"/>
      <c r="S720" s="79"/>
      <c r="V720" s="79"/>
      <c r="W720" s="79"/>
      <c r="Z720" s="130"/>
      <c r="AB720" s="106"/>
    </row>
    <row r="721">
      <c r="C721" s="79"/>
      <c r="D721" s="79"/>
      <c r="E721" s="79"/>
      <c r="M721" s="79"/>
      <c r="R721" s="79"/>
      <c r="S721" s="79"/>
      <c r="V721" s="79"/>
      <c r="W721" s="79"/>
      <c r="Z721" s="130"/>
      <c r="AB721" s="106"/>
    </row>
    <row r="722">
      <c r="C722" s="79"/>
      <c r="D722" s="79"/>
      <c r="E722" s="79"/>
      <c r="M722" s="79"/>
      <c r="R722" s="79"/>
      <c r="S722" s="79"/>
      <c r="V722" s="79"/>
      <c r="W722" s="79"/>
      <c r="Z722" s="130"/>
      <c r="AB722" s="106"/>
    </row>
    <row r="723">
      <c r="C723" s="79"/>
      <c r="D723" s="79"/>
      <c r="E723" s="79"/>
      <c r="M723" s="79"/>
      <c r="R723" s="79"/>
      <c r="S723" s="79"/>
      <c r="V723" s="79"/>
      <c r="W723" s="79"/>
      <c r="Z723" s="130"/>
      <c r="AB723" s="106"/>
    </row>
    <row r="724">
      <c r="C724" s="79"/>
      <c r="D724" s="79"/>
      <c r="E724" s="79"/>
      <c r="M724" s="79"/>
      <c r="R724" s="79"/>
      <c r="S724" s="79"/>
      <c r="V724" s="79"/>
      <c r="W724" s="79"/>
      <c r="Z724" s="130"/>
      <c r="AB724" s="106"/>
    </row>
    <row r="725">
      <c r="C725" s="79"/>
      <c r="D725" s="79"/>
      <c r="E725" s="79"/>
      <c r="M725" s="79"/>
      <c r="R725" s="79"/>
      <c r="S725" s="79"/>
      <c r="V725" s="79"/>
      <c r="W725" s="79"/>
      <c r="Z725" s="130"/>
      <c r="AB725" s="106"/>
    </row>
    <row r="726">
      <c r="C726" s="79"/>
      <c r="D726" s="79"/>
      <c r="E726" s="79"/>
      <c r="M726" s="79"/>
      <c r="R726" s="79"/>
      <c r="S726" s="79"/>
      <c r="V726" s="79"/>
      <c r="W726" s="79"/>
      <c r="Z726" s="130"/>
      <c r="AB726" s="106"/>
    </row>
    <row r="727">
      <c r="C727" s="79"/>
      <c r="D727" s="79"/>
      <c r="E727" s="79"/>
      <c r="M727" s="79"/>
      <c r="R727" s="79"/>
      <c r="S727" s="79"/>
      <c r="V727" s="79"/>
      <c r="W727" s="79"/>
      <c r="Z727" s="130"/>
      <c r="AB727" s="106"/>
    </row>
    <row r="728">
      <c r="C728" s="79"/>
      <c r="D728" s="79"/>
      <c r="E728" s="79"/>
      <c r="M728" s="79"/>
      <c r="R728" s="79"/>
      <c r="S728" s="79"/>
      <c r="V728" s="79"/>
      <c r="W728" s="79"/>
      <c r="Z728" s="130"/>
      <c r="AB728" s="106"/>
    </row>
    <row r="729">
      <c r="C729" s="79"/>
      <c r="D729" s="79"/>
      <c r="E729" s="79"/>
      <c r="M729" s="79"/>
      <c r="R729" s="79"/>
      <c r="S729" s="79"/>
      <c r="V729" s="79"/>
      <c r="W729" s="79"/>
      <c r="Z729" s="130"/>
      <c r="AB729" s="106"/>
    </row>
    <row r="730">
      <c r="C730" s="79"/>
      <c r="D730" s="79"/>
      <c r="E730" s="79"/>
      <c r="M730" s="79"/>
      <c r="R730" s="79"/>
      <c r="S730" s="79"/>
      <c r="V730" s="79"/>
      <c r="W730" s="79"/>
      <c r="Z730" s="130"/>
      <c r="AB730" s="106"/>
    </row>
    <row r="731">
      <c r="C731" s="79"/>
      <c r="D731" s="79"/>
      <c r="E731" s="79"/>
      <c r="M731" s="79"/>
      <c r="R731" s="79"/>
      <c r="S731" s="79"/>
      <c r="V731" s="79"/>
      <c r="W731" s="79"/>
      <c r="Z731" s="130"/>
      <c r="AB731" s="106"/>
    </row>
    <row r="732">
      <c r="C732" s="79"/>
      <c r="D732" s="79"/>
      <c r="E732" s="79"/>
      <c r="M732" s="79"/>
      <c r="R732" s="79"/>
      <c r="S732" s="79"/>
      <c r="V732" s="79"/>
      <c r="W732" s="79"/>
      <c r="Z732" s="130"/>
      <c r="AB732" s="106"/>
    </row>
    <row r="733">
      <c r="C733" s="79"/>
      <c r="D733" s="79"/>
      <c r="E733" s="79"/>
      <c r="M733" s="79"/>
      <c r="R733" s="79"/>
      <c r="S733" s="79"/>
      <c r="V733" s="79"/>
      <c r="W733" s="79"/>
      <c r="Z733" s="130"/>
      <c r="AB733" s="106"/>
    </row>
    <row r="734">
      <c r="C734" s="79"/>
      <c r="D734" s="79"/>
      <c r="E734" s="79"/>
      <c r="M734" s="79"/>
      <c r="R734" s="79"/>
      <c r="S734" s="79"/>
      <c r="V734" s="79"/>
      <c r="W734" s="79"/>
      <c r="Z734" s="130"/>
      <c r="AB734" s="106"/>
    </row>
    <row r="735">
      <c r="C735" s="79"/>
      <c r="D735" s="79"/>
      <c r="E735" s="79"/>
      <c r="M735" s="79"/>
      <c r="R735" s="79"/>
      <c r="S735" s="79"/>
      <c r="V735" s="79"/>
      <c r="W735" s="79"/>
      <c r="Z735" s="130"/>
      <c r="AB735" s="106"/>
    </row>
    <row r="736">
      <c r="C736" s="79"/>
      <c r="D736" s="79"/>
      <c r="E736" s="79"/>
      <c r="M736" s="79"/>
      <c r="R736" s="79"/>
      <c r="S736" s="79"/>
      <c r="V736" s="79"/>
      <c r="W736" s="79"/>
      <c r="Z736" s="130"/>
      <c r="AB736" s="106"/>
    </row>
    <row r="737">
      <c r="C737" s="79"/>
      <c r="D737" s="79"/>
      <c r="E737" s="79"/>
      <c r="M737" s="79"/>
      <c r="R737" s="79"/>
      <c r="S737" s="79"/>
      <c r="V737" s="79"/>
      <c r="W737" s="79"/>
      <c r="Z737" s="130"/>
      <c r="AB737" s="106"/>
    </row>
    <row r="738">
      <c r="C738" s="79"/>
      <c r="D738" s="79"/>
      <c r="E738" s="79"/>
      <c r="M738" s="79"/>
      <c r="R738" s="79"/>
      <c r="S738" s="79"/>
      <c r="V738" s="79"/>
      <c r="W738" s="79"/>
      <c r="Z738" s="130"/>
      <c r="AB738" s="106"/>
    </row>
    <row r="739">
      <c r="C739" s="79"/>
      <c r="D739" s="79"/>
      <c r="E739" s="79"/>
      <c r="M739" s="79"/>
      <c r="R739" s="79"/>
      <c r="S739" s="79"/>
      <c r="V739" s="79"/>
      <c r="W739" s="79"/>
      <c r="Z739" s="130"/>
      <c r="AB739" s="106"/>
    </row>
    <row r="740">
      <c r="C740" s="79"/>
      <c r="D740" s="79"/>
      <c r="E740" s="79"/>
      <c r="M740" s="79"/>
      <c r="R740" s="79"/>
      <c r="S740" s="79"/>
      <c r="V740" s="79"/>
      <c r="W740" s="79"/>
      <c r="Z740" s="130"/>
      <c r="AB740" s="106"/>
    </row>
    <row r="741">
      <c r="C741" s="79"/>
      <c r="D741" s="79"/>
      <c r="E741" s="79"/>
      <c r="M741" s="79"/>
      <c r="R741" s="79"/>
      <c r="S741" s="79"/>
      <c r="V741" s="79"/>
      <c r="W741" s="79"/>
      <c r="Z741" s="130"/>
      <c r="AB741" s="106"/>
    </row>
    <row r="742">
      <c r="C742" s="79"/>
      <c r="D742" s="79"/>
      <c r="E742" s="79"/>
      <c r="M742" s="79"/>
      <c r="R742" s="79"/>
      <c r="S742" s="79"/>
      <c r="V742" s="79"/>
      <c r="W742" s="79"/>
      <c r="Z742" s="130"/>
      <c r="AB742" s="106"/>
    </row>
    <row r="743">
      <c r="C743" s="79"/>
      <c r="D743" s="79"/>
      <c r="E743" s="79"/>
      <c r="M743" s="79"/>
      <c r="R743" s="79"/>
      <c r="S743" s="79"/>
      <c r="V743" s="79"/>
      <c r="W743" s="79"/>
      <c r="Z743" s="130"/>
      <c r="AB743" s="106"/>
    </row>
    <row r="744">
      <c r="C744" s="79"/>
      <c r="D744" s="79"/>
      <c r="E744" s="79"/>
      <c r="M744" s="79"/>
      <c r="R744" s="79"/>
      <c r="S744" s="79"/>
      <c r="V744" s="79"/>
      <c r="W744" s="79"/>
      <c r="Z744" s="130"/>
      <c r="AB744" s="106"/>
    </row>
    <row r="745">
      <c r="C745" s="79"/>
      <c r="D745" s="79"/>
      <c r="E745" s="79"/>
      <c r="M745" s="79"/>
      <c r="R745" s="79"/>
      <c r="S745" s="79"/>
      <c r="V745" s="79"/>
      <c r="W745" s="79"/>
      <c r="Z745" s="130"/>
      <c r="AB745" s="106"/>
    </row>
    <row r="746">
      <c r="C746" s="79"/>
      <c r="D746" s="79"/>
      <c r="E746" s="79"/>
      <c r="M746" s="79"/>
      <c r="R746" s="79"/>
      <c r="S746" s="79"/>
      <c r="V746" s="79"/>
      <c r="W746" s="79"/>
      <c r="Z746" s="130"/>
      <c r="AB746" s="106"/>
    </row>
    <row r="747">
      <c r="C747" s="79"/>
      <c r="D747" s="79"/>
      <c r="E747" s="79"/>
      <c r="M747" s="79"/>
      <c r="R747" s="79"/>
      <c r="S747" s="79"/>
      <c r="V747" s="79"/>
      <c r="W747" s="79"/>
      <c r="Z747" s="130"/>
      <c r="AB747" s="106"/>
    </row>
    <row r="748">
      <c r="C748" s="79"/>
      <c r="D748" s="79"/>
      <c r="E748" s="79"/>
      <c r="M748" s="79"/>
      <c r="R748" s="79"/>
      <c r="S748" s="79"/>
      <c r="V748" s="79"/>
      <c r="W748" s="79"/>
      <c r="Z748" s="130"/>
      <c r="AB748" s="106"/>
    </row>
    <row r="749">
      <c r="C749" s="79"/>
      <c r="D749" s="79"/>
      <c r="E749" s="79"/>
      <c r="M749" s="79"/>
      <c r="R749" s="79"/>
      <c r="S749" s="79"/>
      <c r="V749" s="79"/>
      <c r="W749" s="79"/>
      <c r="Z749" s="130"/>
      <c r="AB749" s="106"/>
    </row>
    <row r="750">
      <c r="C750" s="79"/>
      <c r="D750" s="79"/>
      <c r="E750" s="79"/>
      <c r="M750" s="79"/>
      <c r="R750" s="79"/>
      <c r="S750" s="79"/>
      <c r="V750" s="79"/>
      <c r="W750" s="79"/>
      <c r="Z750" s="130"/>
      <c r="AB750" s="106"/>
    </row>
    <row r="751">
      <c r="C751" s="79"/>
      <c r="D751" s="79"/>
      <c r="E751" s="79"/>
      <c r="M751" s="79"/>
      <c r="R751" s="79"/>
      <c r="S751" s="79"/>
      <c r="V751" s="79"/>
      <c r="W751" s="79"/>
      <c r="Z751" s="130"/>
      <c r="AB751" s="106"/>
    </row>
    <row r="752">
      <c r="C752" s="79"/>
      <c r="D752" s="79"/>
      <c r="E752" s="79"/>
      <c r="M752" s="79"/>
      <c r="R752" s="79"/>
      <c r="S752" s="79"/>
      <c r="V752" s="79"/>
      <c r="W752" s="79"/>
      <c r="Z752" s="130"/>
      <c r="AB752" s="106"/>
    </row>
    <row r="753">
      <c r="C753" s="79"/>
      <c r="D753" s="79"/>
      <c r="E753" s="79"/>
      <c r="M753" s="79"/>
      <c r="R753" s="79"/>
      <c r="S753" s="79"/>
      <c r="V753" s="79"/>
      <c r="W753" s="79"/>
      <c r="Z753" s="130"/>
      <c r="AB753" s="106"/>
    </row>
    <row r="754">
      <c r="C754" s="79"/>
      <c r="D754" s="79"/>
      <c r="E754" s="79"/>
      <c r="M754" s="79"/>
      <c r="R754" s="79"/>
      <c r="S754" s="79"/>
      <c r="V754" s="79"/>
      <c r="W754" s="79"/>
      <c r="Z754" s="130"/>
      <c r="AB754" s="106"/>
    </row>
    <row r="755">
      <c r="C755" s="79"/>
      <c r="D755" s="79"/>
      <c r="E755" s="79"/>
      <c r="M755" s="79"/>
      <c r="R755" s="79"/>
      <c r="S755" s="79"/>
      <c r="V755" s="79"/>
      <c r="W755" s="79"/>
      <c r="Z755" s="130"/>
      <c r="AB755" s="106"/>
    </row>
    <row r="756">
      <c r="C756" s="79"/>
      <c r="D756" s="79"/>
      <c r="E756" s="79"/>
      <c r="M756" s="79"/>
      <c r="R756" s="79"/>
      <c r="S756" s="79"/>
      <c r="V756" s="79"/>
      <c r="W756" s="79"/>
      <c r="Z756" s="130"/>
      <c r="AB756" s="106"/>
    </row>
    <row r="757">
      <c r="C757" s="79"/>
      <c r="D757" s="79"/>
      <c r="E757" s="79"/>
      <c r="M757" s="79"/>
      <c r="R757" s="79"/>
      <c r="S757" s="79"/>
      <c r="V757" s="79"/>
      <c r="W757" s="79"/>
      <c r="Z757" s="130"/>
      <c r="AB757" s="106"/>
    </row>
    <row r="758">
      <c r="C758" s="79"/>
      <c r="D758" s="79"/>
      <c r="E758" s="79"/>
      <c r="M758" s="79"/>
      <c r="R758" s="79"/>
      <c r="S758" s="79"/>
      <c r="V758" s="79"/>
      <c r="W758" s="79"/>
      <c r="Z758" s="130"/>
      <c r="AB758" s="106"/>
    </row>
    <row r="759">
      <c r="C759" s="79"/>
      <c r="D759" s="79"/>
      <c r="E759" s="79"/>
      <c r="M759" s="79"/>
      <c r="R759" s="79"/>
      <c r="S759" s="79"/>
      <c r="V759" s="79"/>
      <c r="W759" s="79"/>
      <c r="Z759" s="130"/>
      <c r="AB759" s="106"/>
    </row>
    <row r="760">
      <c r="C760" s="79"/>
      <c r="D760" s="79"/>
      <c r="E760" s="79"/>
      <c r="M760" s="79"/>
      <c r="R760" s="79"/>
      <c r="S760" s="79"/>
      <c r="V760" s="79"/>
      <c r="W760" s="79"/>
      <c r="Z760" s="130"/>
      <c r="AB760" s="106"/>
    </row>
    <row r="761">
      <c r="C761" s="79"/>
      <c r="D761" s="79"/>
      <c r="E761" s="79"/>
      <c r="M761" s="79"/>
      <c r="R761" s="79"/>
      <c r="S761" s="79"/>
      <c r="V761" s="79"/>
      <c r="W761" s="79"/>
      <c r="Z761" s="130"/>
      <c r="AB761" s="106"/>
    </row>
    <row r="762">
      <c r="C762" s="79"/>
      <c r="D762" s="79"/>
      <c r="E762" s="79"/>
      <c r="M762" s="79"/>
      <c r="R762" s="79"/>
      <c r="S762" s="79"/>
      <c r="V762" s="79"/>
      <c r="W762" s="79"/>
      <c r="Z762" s="130"/>
      <c r="AB762" s="106"/>
    </row>
    <row r="763">
      <c r="C763" s="79"/>
      <c r="D763" s="79"/>
      <c r="E763" s="79"/>
      <c r="M763" s="79"/>
      <c r="R763" s="79"/>
      <c r="S763" s="79"/>
      <c r="V763" s="79"/>
      <c r="W763" s="79"/>
      <c r="Z763" s="130"/>
      <c r="AB763" s="106"/>
    </row>
    <row r="764">
      <c r="C764" s="79"/>
      <c r="D764" s="79"/>
      <c r="E764" s="79"/>
      <c r="M764" s="79"/>
      <c r="R764" s="79"/>
      <c r="S764" s="79"/>
      <c r="V764" s="79"/>
      <c r="W764" s="79"/>
      <c r="Z764" s="130"/>
      <c r="AB764" s="106"/>
    </row>
    <row r="765">
      <c r="C765" s="79"/>
      <c r="D765" s="79"/>
      <c r="E765" s="79"/>
      <c r="M765" s="79"/>
      <c r="R765" s="79"/>
      <c r="S765" s="79"/>
      <c r="V765" s="79"/>
      <c r="W765" s="79"/>
      <c r="Z765" s="130"/>
      <c r="AB765" s="106"/>
    </row>
    <row r="766">
      <c r="C766" s="79"/>
      <c r="D766" s="79"/>
      <c r="E766" s="79"/>
      <c r="M766" s="79"/>
      <c r="R766" s="79"/>
      <c r="S766" s="79"/>
      <c r="V766" s="79"/>
      <c r="W766" s="79"/>
      <c r="Z766" s="130"/>
      <c r="AB766" s="106"/>
    </row>
    <row r="767">
      <c r="C767" s="79"/>
      <c r="D767" s="79"/>
      <c r="E767" s="79"/>
      <c r="M767" s="79"/>
      <c r="R767" s="79"/>
      <c r="S767" s="79"/>
      <c r="V767" s="79"/>
      <c r="W767" s="79"/>
      <c r="Z767" s="130"/>
      <c r="AB767" s="106"/>
    </row>
    <row r="768">
      <c r="C768" s="79"/>
      <c r="D768" s="79"/>
      <c r="E768" s="79"/>
      <c r="M768" s="79"/>
      <c r="R768" s="79"/>
      <c r="S768" s="79"/>
      <c r="V768" s="79"/>
      <c r="W768" s="79"/>
      <c r="Z768" s="130"/>
      <c r="AB768" s="106"/>
    </row>
    <row r="769">
      <c r="C769" s="79"/>
      <c r="D769" s="79"/>
      <c r="E769" s="79"/>
      <c r="M769" s="79"/>
      <c r="R769" s="79"/>
      <c r="S769" s="79"/>
      <c r="V769" s="79"/>
      <c r="W769" s="79"/>
      <c r="Z769" s="130"/>
      <c r="AB769" s="106"/>
    </row>
    <row r="770">
      <c r="C770" s="79"/>
      <c r="D770" s="79"/>
      <c r="E770" s="79"/>
      <c r="M770" s="79"/>
      <c r="R770" s="79"/>
      <c r="S770" s="79"/>
      <c r="V770" s="79"/>
      <c r="W770" s="79"/>
      <c r="Z770" s="130"/>
      <c r="AB770" s="106"/>
    </row>
    <row r="771">
      <c r="C771" s="79"/>
      <c r="D771" s="79"/>
      <c r="E771" s="79"/>
      <c r="M771" s="79"/>
      <c r="R771" s="79"/>
      <c r="S771" s="79"/>
      <c r="V771" s="79"/>
      <c r="W771" s="79"/>
      <c r="Z771" s="130"/>
      <c r="AB771" s="106"/>
    </row>
    <row r="772">
      <c r="C772" s="79"/>
      <c r="D772" s="79"/>
      <c r="E772" s="79"/>
      <c r="M772" s="79"/>
      <c r="R772" s="79"/>
      <c r="S772" s="79"/>
      <c r="V772" s="79"/>
      <c r="W772" s="79"/>
      <c r="Z772" s="130"/>
      <c r="AB772" s="106"/>
    </row>
    <row r="773">
      <c r="C773" s="79"/>
      <c r="D773" s="79"/>
      <c r="E773" s="79"/>
      <c r="M773" s="79"/>
      <c r="R773" s="79"/>
      <c r="S773" s="79"/>
      <c r="V773" s="79"/>
      <c r="W773" s="79"/>
      <c r="Z773" s="130"/>
      <c r="AB773" s="106"/>
    </row>
    <row r="774">
      <c r="C774" s="79"/>
      <c r="D774" s="79"/>
      <c r="E774" s="79"/>
      <c r="M774" s="79"/>
      <c r="R774" s="79"/>
      <c r="S774" s="79"/>
      <c r="V774" s="79"/>
      <c r="W774" s="79"/>
      <c r="Z774" s="130"/>
      <c r="AB774" s="106"/>
    </row>
    <row r="775">
      <c r="C775" s="79"/>
      <c r="D775" s="79"/>
      <c r="E775" s="79"/>
      <c r="M775" s="79"/>
      <c r="R775" s="79"/>
      <c r="S775" s="79"/>
      <c r="V775" s="79"/>
      <c r="W775" s="79"/>
      <c r="Z775" s="130"/>
      <c r="AB775" s="106"/>
    </row>
    <row r="776">
      <c r="C776" s="79"/>
      <c r="D776" s="79"/>
      <c r="E776" s="79"/>
      <c r="M776" s="79"/>
      <c r="R776" s="79"/>
      <c r="S776" s="79"/>
      <c r="V776" s="79"/>
      <c r="W776" s="79"/>
      <c r="Z776" s="130"/>
      <c r="AB776" s="106"/>
    </row>
    <row r="777">
      <c r="C777" s="79"/>
      <c r="D777" s="79"/>
      <c r="E777" s="79"/>
      <c r="M777" s="79"/>
      <c r="R777" s="79"/>
      <c r="S777" s="79"/>
      <c r="V777" s="79"/>
      <c r="W777" s="79"/>
      <c r="Z777" s="130"/>
      <c r="AB777" s="106"/>
    </row>
    <row r="778">
      <c r="C778" s="79"/>
      <c r="D778" s="79"/>
      <c r="E778" s="79"/>
      <c r="M778" s="79"/>
      <c r="R778" s="79"/>
      <c r="S778" s="79"/>
      <c r="V778" s="79"/>
      <c r="W778" s="79"/>
      <c r="Z778" s="130"/>
      <c r="AB778" s="106"/>
    </row>
    <row r="779">
      <c r="C779" s="79"/>
      <c r="D779" s="79"/>
      <c r="E779" s="79"/>
      <c r="M779" s="79"/>
      <c r="R779" s="79"/>
      <c r="S779" s="79"/>
      <c r="V779" s="79"/>
      <c r="W779" s="79"/>
      <c r="Z779" s="130"/>
      <c r="AB779" s="106"/>
    </row>
    <row r="780">
      <c r="C780" s="79"/>
      <c r="D780" s="79"/>
      <c r="E780" s="79"/>
      <c r="M780" s="79"/>
      <c r="R780" s="79"/>
      <c r="S780" s="79"/>
      <c r="V780" s="79"/>
      <c r="W780" s="79"/>
      <c r="Z780" s="130"/>
      <c r="AB780" s="106"/>
    </row>
    <row r="781">
      <c r="C781" s="79"/>
      <c r="D781" s="79"/>
      <c r="E781" s="79"/>
      <c r="M781" s="79"/>
      <c r="R781" s="79"/>
      <c r="S781" s="79"/>
      <c r="V781" s="79"/>
      <c r="W781" s="79"/>
      <c r="Z781" s="130"/>
      <c r="AB781" s="106"/>
    </row>
    <row r="782">
      <c r="C782" s="79"/>
      <c r="D782" s="79"/>
      <c r="E782" s="79"/>
      <c r="M782" s="79"/>
      <c r="R782" s="79"/>
      <c r="S782" s="79"/>
      <c r="V782" s="79"/>
      <c r="W782" s="79"/>
      <c r="Z782" s="130"/>
      <c r="AB782" s="106"/>
    </row>
    <row r="783">
      <c r="C783" s="79"/>
      <c r="D783" s="79"/>
      <c r="E783" s="79"/>
      <c r="M783" s="79"/>
      <c r="R783" s="79"/>
      <c r="S783" s="79"/>
      <c r="V783" s="79"/>
      <c r="W783" s="79"/>
      <c r="Z783" s="130"/>
      <c r="AB783" s="106"/>
    </row>
    <row r="784">
      <c r="C784" s="79"/>
      <c r="D784" s="79"/>
      <c r="E784" s="79"/>
      <c r="M784" s="79"/>
      <c r="R784" s="79"/>
      <c r="S784" s="79"/>
      <c r="V784" s="79"/>
      <c r="W784" s="79"/>
      <c r="Z784" s="130"/>
      <c r="AB784" s="106"/>
    </row>
    <row r="785">
      <c r="C785" s="79"/>
      <c r="D785" s="79"/>
      <c r="E785" s="79"/>
      <c r="M785" s="79"/>
      <c r="R785" s="79"/>
      <c r="S785" s="79"/>
      <c r="V785" s="79"/>
      <c r="W785" s="79"/>
      <c r="Z785" s="130"/>
      <c r="AB785" s="106"/>
    </row>
    <row r="786">
      <c r="C786" s="79"/>
      <c r="D786" s="79"/>
      <c r="E786" s="79"/>
      <c r="M786" s="79"/>
      <c r="R786" s="79"/>
      <c r="S786" s="79"/>
      <c r="V786" s="79"/>
      <c r="W786" s="79"/>
      <c r="Z786" s="130"/>
      <c r="AB786" s="106"/>
    </row>
    <row r="787">
      <c r="C787" s="79"/>
      <c r="D787" s="79"/>
      <c r="E787" s="79"/>
      <c r="M787" s="79"/>
      <c r="R787" s="79"/>
      <c r="S787" s="79"/>
      <c r="V787" s="79"/>
      <c r="W787" s="79"/>
      <c r="Z787" s="130"/>
      <c r="AB787" s="106"/>
    </row>
    <row r="788">
      <c r="C788" s="79"/>
      <c r="D788" s="79"/>
      <c r="E788" s="79"/>
      <c r="M788" s="79"/>
      <c r="R788" s="79"/>
      <c r="S788" s="79"/>
      <c r="V788" s="79"/>
      <c r="W788" s="79"/>
      <c r="Z788" s="130"/>
      <c r="AB788" s="106"/>
    </row>
    <row r="789">
      <c r="C789" s="79"/>
      <c r="D789" s="79"/>
      <c r="E789" s="79"/>
      <c r="M789" s="79"/>
      <c r="R789" s="79"/>
      <c r="S789" s="79"/>
      <c r="V789" s="79"/>
      <c r="W789" s="79"/>
      <c r="Z789" s="130"/>
      <c r="AB789" s="106"/>
    </row>
    <row r="790">
      <c r="C790" s="79"/>
      <c r="D790" s="79"/>
      <c r="E790" s="79"/>
      <c r="M790" s="79"/>
      <c r="R790" s="79"/>
      <c r="S790" s="79"/>
      <c r="V790" s="79"/>
      <c r="W790" s="79"/>
      <c r="Z790" s="130"/>
      <c r="AB790" s="106"/>
    </row>
    <row r="791">
      <c r="C791" s="79"/>
      <c r="D791" s="79"/>
      <c r="E791" s="79"/>
      <c r="M791" s="79"/>
      <c r="R791" s="79"/>
      <c r="S791" s="79"/>
      <c r="V791" s="79"/>
      <c r="W791" s="79"/>
      <c r="Z791" s="130"/>
      <c r="AB791" s="106"/>
    </row>
    <row r="792">
      <c r="C792" s="79"/>
      <c r="D792" s="79"/>
      <c r="E792" s="79"/>
      <c r="M792" s="79"/>
      <c r="R792" s="79"/>
      <c r="S792" s="79"/>
      <c r="V792" s="79"/>
      <c r="W792" s="79"/>
      <c r="Z792" s="130"/>
      <c r="AB792" s="106"/>
    </row>
    <row r="793">
      <c r="C793" s="79"/>
      <c r="D793" s="79"/>
      <c r="E793" s="79"/>
      <c r="M793" s="79"/>
      <c r="R793" s="79"/>
      <c r="S793" s="79"/>
      <c r="V793" s="79"/>
      <c r="W793" s="79"/>
      <c r="Z793" s="130"/>
      <c r="AB793" s="106"/>
    </row>
    <row r="794">
      <c r="C794" s="79"/>
      <c r="D794" s="79"/>
      <c r="E794" s="79"/>
      <c r="M794" s="79"/>
      <c r="R794" s="79"/>
      <c r="S794" s="79"/>
      <c r="V794" s="79"/>
      <c r="W794" s="79"/>
      <c r="Z794" s="130"/>
      <c r="AB794" s="106"/>
    </row>
    <row r="795">
      <c r="C795" s="79"/>
      <c r="D795" s="79"/>
      <c r="E795" s="79"/>
      <c r="M795" s="79"/>
      <c r="R795" s="79"/>
      <c r="S795" s="79"/>
      <c r="V795" s="79"/>
      <c r="W795" s="79"/>
      <c r="Z795" s="130"/>
      <c r="AB795" s="106"/>
    </row>
    <row r="796">
      <c r="C796" s="79"/>
      <c r="D796" s="79"/>
      <c r="E796" s="79"/>
      <c r="M796" s="79"/>
      <c r="R796" s="79"/>
      <c r="S796" s="79"/>
      <c r="V796" s="79"/>
      <c r="W796" s="79"/>
      <c r="Z796" s="130"/>
      <c r="AB796" s="106"/>
    </row>
    <row r="797">
      <c r="C797" s="79"/>
      <c r="D797" s="79"/>
      <c r="E797" s="79"/>
      <c r="M797" s="79"/>
      <c r="R797" s="79"/>
      <c r="S797" s="79"/>
      <c r="V797" s="79"/>
      <c r="W797" s="79"/>
      <c r="Z797" s="130"/>
      <c r="AB797" s="106"/>
    </row>
    <row r="798">
      <c r="C798" s="79"/>
      <c r="D798" s="79"/>
      <c r="E798" s="79"/>
      <c r="M798" s="79"/>
      <c r="R798" s="79"/>
      <c r="S798" s="79"/>
      <c r="V798" s="79"/>
      <c r="W798" s="79"/>
      <c r="Z798" s="130"/>
      <c r="AB798" s="106"/>
    </row>
    <row r="799">
      <c r="C799" s="79"/>
      <c r="D799" s="79"/>
      <c r="E799" s="79"/>
      <c r="M799" s="79"/>
      <c r="R799" s="79"/>
      <c r="S799" s="79"/>
      <c r="V799" s="79"/>
      <c r="W799" s="79"/>
      <c r="Z799" s="130"/>
      <c r="AB799" s="106"/>
    </row>
    <row r="800">
      <c r="C800" s="79"/>
      <c r="D800" s="79"/>
      <c r="E800" s="79"/>
      <c r="M800" s="79"/>
      <c r="R800" s="79"/>
      <c r="S800" s="79"/>
      <c r="V800" s="79"/>
      <c r="W800" s="79"/>
      <c r="Z800" s="130"/>
      <c r="AB800" s="106"/>
    </row>
    <row r="801">
      <c r="C801" s="79"/>
      <c r="D801" s="79"/>
      <c r="E801" s="79"/>
      <c r="M801" s="79"/>
      <c r="R801" s="79"/>
      <c r="S801" s="79"/>
      <c r="V801" s="79"/>
      <c r="W801" s="79"/>
      <c r="Z801" s="130"/>
      <c r="AB801" s="106"/>
    </row>
    <row r="802">
      <c r="C802" s="79"/>
      <c r="D802" s="79"/>
      <c r="E802" s="79"/>
      <c r="M802" s="79"/>
      <c r="R802" s="79"/>
      <c r="S802" s="79"/>
      <c r="V802" s="79"/>
      <c r="W802" s="79"/>
      <c r="Z802" s="130"/>
      <c r="AB802" s="106"/>
    </row>
    <row r="803">
      <c r="C803" s="79"/>
      <c r="D803" s="79"/>
      <c r="E803" s="79"/>
      <c r="M803" s="79"/>
      <c r="R803" s="79"/>
      <c r="S803" s="79"/>
      <c r="V803" s="79"/>
      <c r="W803" s="79"/>
      <c r="Z803" s="130"/>
      <c r="AB803" s="106"/>
    </row>
    <row r="804">
      <c r="C804" s="79"/>
      <c r="D804" s="79"/>
      <c r="E804" s="79"/>
      <c r="M804" s="79"/>
      <c r="R804" s="79"/>
      <c r="S804" s="79"/>
      <c r="V804" s="79"/>
      <c r="W804" s="79"/>
      <c r="Z804" s="130"/>
      <c r="AB804" s="106"/>
    </row>
    <row r="805">
      <c r="C805" s="79"/>
      <c r="D805" s="79"/>
      <c r="E805" s="79"/>
      <c r="M805" s="79"/>
      <c r="R805" s="79"/>
      <c r="S805" s="79"/>
      <c r="V805" s="79"/>
      <c r="W805" s="79"/>
      <c r="Z805" s="130"/>
      <c r="AB805" s="106"/>
    </row>
    <row r="806">
      <c r="C806" s="79"/>
      <c r="D806" s="79"/>
      <c r="E806" s="79"/>
      <c r="M806" s="79"/>
      <c r="R806" s="79"/>
      <c r="S806" s="79"/>
      <c r="V806" s="79"/>
      <c r="W806" s="79"/>
      <c r="Z806" s="130"/>
      <c r="AB806" s="106"/>
    </row>
    <row r="807">
      <c r="C807" s="79"/>
      <c r="D807" s="79"/>
      <c r="E807" s="79"/>
      <c r="M807" s="79"/>
      <c r="R807" s="79"/>
      <c r="S807" s="79"/>
      <c r="V807" s="79"/>
      <c r="W807" s="79"/>
      <c r="Z807" s="130"/>
      <c r="AB807" s="106"/>
    </row>
    <row r="808">
      <c r="C808" s="79"/>
      <c r="D808" s="79"/>
      <c r="E808" s="79"/>
      <c r="M808" s="79"/>
      <c r="R808" s="79"/>
      <c r="S808" s="79"/>
      <c r="V808" s="79"/>
      <c r="W808" s="79"/>
      <c r="Z808" s="130"/>
      <c r="AB808" s="106"/>
    </row>
    <row r="809">
      <c r="C809" s="79"/>
      <c r="D809" s="79"/>
      <c r="E809" s="79"/>
      <c r="M809" s="79"/>
      <c r="R809" s="79"/>
      <c r="S809" s="79"/>
      <c r="V809" s="79"/>
      <c r="W809" s="79"/>
      <c r="Z809" s="130"/>
      <c r="AB809" s="106"/>
    </row>
    <row r="810">
      <c r="C810" s="79"/>
      <c r="D810" s="79"/>
      <c r="E810" s="79"/>
      <c r="M810" s="79"/>
      <c r="R810" s="79"/>
      <c r="S810" s="79"/>
      <c r="V810" s="79"/>
      <c r="W810" s="79"/>
      <c r="Z810" s="130"/>
      <c r="AB810" s="106"/>
    </row>
    <row r="811">
      <c r="C811" s="79"/>
      <c r="D811" s="79"/>
      <c r="E811" s="79"/>
      <c r="M811" s="79"/>
      <c r="R811" s="79"/>
      <c r="S811" s="79"/>
      <c r="V811" s="79"/>
      <c r="W811" s="79"/>
      <c r="Z811" s="130"/>
      <c r="AB811" s="106"/>
    </row>
    <row r="812">
      <c r="C812" s="79"/>
      <c r="D812" s="79"/>
      <c r="E812" s="79"/>
      <c r="M812" s="79"/>
      <c r="R812" s="79"/>
      <c r="S812" s="79"/>
      <c r="V812" s="79"/>
      <c r="W812" s="79"/>
      <c r="Z812" s="130"/>
      <c r="AB812" s="106"/>
    </row>
    <row r="813">
      <c r="C813" s="79"/>
      <c r="D813" s="79"/>
      <c r="E813" s="79"/>
      <c r="M813" s="79"/>
      <c r="R813" s="79"/>
      <c r="S813" s="79"/>
      <c r="V813" s="79"/>
      <c r="W813" s="79"/>
      <c r="Z813" s="130"/>
      <c r="AB813" s="106"/>
    </row>
    <row r="814">
      <c r="C814" s="79"/>
      <c r="D814" s="79"/>
      <c r="E814" s="79"/>
      <c r="M814" s="79"/>
      <c r="R814" s="79"/>
      <c r="S814" s="79"/>
      <c r="V814" s="79"/>
      <c r="W814" s="79"/>
      <c r="Z814" s="130"/>
      <c r="AB814" s="106"/>
    </row>
    <row r="815">
      <c r="C815" s="79"/>
      <c r="D815" s="79"/>
      <c r="E815" s="79"/>
      <c r="M815" s="79"/>
      <c r="R815" s="79"/>
      <c r="S815" s="79"/>
      <c r="V815" s="79"/>
      <c r="W815" s="79"/>
      <c r="Z815" s="130"/>
      <c r="AB815" s="106"/>
    </row>
    <row r="816">
      <c r="C816" s="79"/>
      <c r="D816" s="79"/>
      <c r="E816" s="79"/>
      <c r="M816" s="79"/>
      <c r="R816" s="79"/>
      <c r="S816" s="79"/>
      <c r="V816" s="79"/>
      <c r="W816" s="79"/>
      <c r="Z816" s="130"/>
      <c r="AB816" s="106"/>
    </row>
    <row r="817">
      <c r="C817" s="79"/>
      <c r="D817" s="79"/>
      <c r="E817" s="79"/>
      <c r="M817" s="79"/>
      <c r="R817" s="79"/>
      <c r="S817" s="79"/>
      <c r="V817" s="79"/>
      <c r="W817" s="79"/>
      <c r="Z817" s="130"/>
      <c r="AB817" s="106"/>
    </row>
    <row r="818">
      <c r="C818" s="79"/>
      <c r="D818" s="79"/>
      <c r="E818" s="79"/>
      <c r="M818" s="79"/>
      <c r="R818" s="79"/>
      <c r="S818" s="79"/>
      <c r="V818" s="79"/>
      <c r="W818" s="79"/>
      <c r="Z818" s="130"/>
      <c r="AB818" s="106"/>
    </row>
    <row r="819">
      <c r="C819" s="79"/>
      <c r="D819" s="79"/>
      <c r="E819" s="79"/>
      <c r="M819" s="79"/>
      <c r="R819" s="79"/>
      <c r="S819" s="79"/>
      <c r="V819" s="79"/>
      <c r="W819" s="79"/>
      <c r="Z819" s="130"/>
      <c r="AB819" s="106"/>
    </row>
    <row r="820">
      <c r="C820" s="79"/>
      <c r="D820" s="79"/>
      <c r="E820" s="79"/>
      <c r="M820" s="79"/>
      <c r="R820" s="79"/>
      <c r="S820" s="79"/>
      <c r="V820" s="79"/>
      <c r="W820" s="79"/>
      <c r="Z820" s="130"/>
      <c r="AB820" s="106"/>
    </row>
    <row r="821">
      <c r="C821" s="79"/>
      <c r="D821" s="79"/>
      <c r="E821" s="79"/>
      <c r="M821" s="79"/>
      <c r="R821" s="79"/>
      <c r="S821" s="79"/>
      <c r="V821" s="79"/>
      <c r="W821" s="79"/>
      <c r="Z821" s="130"/>
      <c r="AB821" s="106"/>
    </row>
    <row r="822">
      <c r="C822" s="79"/>
      <c r="D822" s="79"/>
      <c r="E822" s="79"/>
      <c r="M822" s="79"/>
      <c r="R822" s="79"/>
      <c r="S822" s="79"/>
      <c r="V822" s="79"/>
      <c r="W822" s="79"/>
      <c r="Z822" s="130"/>
      <c r="AB822" s="106"/>
    </row>
    <row r="823">
      <c r="C823" s="79"/>
      <c r="D823" s="79"/>
      <c r="E823" s="79"/>
      <c r="M823" s="79"/>
      <c r="R823" s="79"/>
      <c r="S823" s="79"/>
      <c r="V823" s="79"/>
      <c r="W823" s="79"/>
      <c r="Z823" s="130"/>
      <c r="AB823" s="106"/>
    </row>
    <row r="824">
      <c r="C824" s="79"/>
      <c r="D824" s="79"/>
      <c r="E824" s="79"/>
      <c r="M824" s="79"/>
      <c r="R824" s="79"/>
      <c r="S824" s="79"/>
      <c r="V824" s="79"/>
      <c r="W824" s="79"/>
      <c r="Z824" s="130"/>
      <c r="AB824" s="106"/>
    </row>
    <row r="825">
      <c r="C825" s="79"/>
      <c r="D825" s="79"/>
      <c r="E825" s="79"/>
      <c r="M825" s="79"/>
      <c r="R825" s="79"/>
      <c r="S825" s="79"/>
      <c r="V825" s="79"/>
      <c r="W825" s="79"/>
      <c r="Z825" s="130"/>
      <c r="AB825" s="106"/>
    </row>
    <row r="826">
      <c r="C826" s="79"/>
      <c r="D826" s="79"/>
      <c r="E826" s="79"/>
      <c r="M826" s="79"/>
      <c r="R826" s="79"/>
      <c r="S826" s="79"/>
      <c r="V826" s="79"/>
      <c r="W826" s="79"/>
      <c r="Z826" s="130"/>
      <c r="AB826" s="106"/>
    </row>
    <row r="827">
      <c r="C827" s="79"/>
      <c r="D827" s="79"/>
      <c r="E827" s="79"/>
      <c r="M827" s="79"/>
      <c r="R827" s="79"/>
      <c r="S827" s="79"/>
      <c r="V827" s="79"/>
      <c r="W827" s="79"/>
      <c r="Z827" s="130"/>
      <c r="AB827" s="106"/>
    </row>
    <row r="828">
      <c r="C828" s="79"/>
      <c r="D828" s="79"/>
      <c r="E828" s="79"/>
      <c r="M828" s="79"/>
      <c r="R828" s="79"/>
      <c r="S828" s="79"/>
      <c r="V828" s="79"/>
      <c r="W828" s="79"/>
      <c r="Z828" s="130"/>
      <c r="AB828" s="106"/>
    </row>
    <row r="829">
      <c r="C829" s="79"/>
      <c r="D829" s="79"/>
      <c r="E829" s="79"/>
      <c r="M829" s="79"/>
      <c r="R829" s="79"/>
      <c r="S829" s="79"/>
      <c r="V829" s="79"/>
      <c r="W829" s="79"/>
      <c r="Z829" s="130"/>
      <c r="AB829" s="106"/>
    </row>
    <row r="830">
      <c r="C830" s="79"/>
      <c r="D830" s="79"/>
      <c r="E830" s="79"/>
      <c r="M830" s="79"/>
      <c r="R830" s="79"/>
      <c r="S830" s="79"/>
      <c r="V830" s="79"/>
      <c r="W830" s="79"/>
      <c r="Z830" s="130"/>
      <c r="AB830" s="106"/>
    </row>
    <row r="831">
      <c r="C831" s="79"/>
      <c r="D831" s="79"/>
      <c r="E831" s="79"/>
      <c r="M831" s="79"/>
      <c r="R831" s="79"/>
      <c r="S831" s="79"/>
      <c r="V831" s="79"/>
      <c r="W831" s="79"/>
      <c r="Z831" s="130"/>
      <c r="AB831" s="106"/>
    </row>
    <row r="832">
      <c r="C832" s="79"/>
      <c r="D832" s="79"/>
      <c r="E832" s="79"/>
      <c r="M832" s="79"/>
      <c r="R832" s="79"/>
      <c r="S832" s="79"/>
      <c r="V832" s="79"/>
      <c r="W832" s="79"/>
      <c r="Z832" s="130"/>
      <c r="AB832" s="106"/>
    </row>
    <row r="833">
      <c r="C833" s="79"/>
      <c r="D833" s="79"/>
      <c r="E833" s="79"/>
      <c r="M833" s="79"/>
      <c r="R833" s="79"/>
      <c r="S833" s="79"/>
      <c r="V833" s="79"/>
      <c r="W833" s="79"/>
      <c r="Z833" s="130"/>
      <c r="AB833" s="106"/>
    </row>
    <row r="834">
      <c r="C834" s="79"/>
      <c r="D834" s="79"/>
      <c r="E834" s="79"/>
      <c r="M834" s="79"/>
      <c r="R834" s="79"/>
      <c r="S834" s="79"/>
      <c r="V834" s="79"/>
      <c r="W834" s="79"/>
      <c r="Z834" s="130"/>
      <c r="AB834" s="106"/>
    </row>
    <row r="835">
      <c r="C835" s="79"/>
      <c r="D835" s="79"/>
      <c r="E835" s="79"/>
      <c r="M835" s="79"/>
      <c r="R835" s="79"/>
      <c r="S835" s="79"/>
      <c r="V835" s="79"/>
      <c r="W835" s="79"/>
      <c r="Z835" s="130"/>
      <c r="AB835" s="106"/>
    </row>
    <row r="836">
      <c r="C836" s="79"/>
      <c r="D836" s="79"/>
      <c r="E836" s="79"/>
      <c r="M836" s="79"/>
      <c r="R836" s="79"/>
      <c r="S836" s="79"/>
      <c r="V836" s="79"/>
      <c r="W836" s="79"/>
      <c r="Z836" s="130"/>
      <c r="AB836" s="106"/>
    </row>
    <row r="837">
      <c r="C837" s="79"/>
      <c r="D837" s="79"/>
      <c r="E837" s="79"/>
      <c r="M837" s="79"/>
      <c r="R837" s="79"/>
      <c r="S837" s="79"/>
      <c r="V837" s="79"/>
      <c r="W837" s="79"/>
      <c r="Z837" s="130"/>
      <c r="AB837" s="106"/>
    </row>
    <row r="838">
      <c r="C838" s="79"/>
      <c r="D838" s="79"/>
      <c r="E838" s="79"/>
      <c r="M838" s="79"/>
      <c r="R838" s="79"/>
      <c r="S838" s="79"/>
      <c r="V838" s="79"/>
      <c r="W838" s="79"/>
      <c r="Z838" s="130"/>
      <c r="AB838" s="106"/>
    </row>
    <row r="839">
      <c r="C839" s="79"/>
      <c r="D839" s="79"/>
      <c r="E839" s="79"/>
      <c r="M839" s="79"/>
      <c r="R839" s="79"/>
      <c r="S839" s="79"/>
      <c r="V839" s="79"/>
      <c r="W839" s="79"/>
      <c r="Z839" s="130"/>
      <c r="AB839" s="106"/>
    </row>
    <row r="840">
      <c r="C840" s="79"/>
      <c r="D840" s="79"/>
      <c r="E840" s="79"/>
      <c r="M840" s="79"/>
      <c r="R840" s="79"/>
      <c r="S840" s="79"/>
      <c r="V840" s="79"/>
      <c r="W840" s="79"/>
      <c r="Z840" s="130"/>
      <c r="AB840" s="106"/>
    </row>
    <row r="841">
      <c r="C841" s="79"/>
      <c r="D841" s="79"/>
      <c r="E841" s="79"/>
      <c r="M841" s="79"/>
      <c r="R841" s="79"/>
      <c r="S841" s="79"/>
      <c r="V841" s="79"/>
      <c r="W841" s="79"/>
      <c r="Z841" s="130"/>
      <c r="AB841" s="106"/>
    </row>
    <row r="842">
      <c r="C842" s="79"/>
      <c r="D842" s="79"/>
      <c r="E842" s="79"/>
      <c r="M842" s="79"/>
      <c r="R842" s="79"/>
      <c r="S842" s="79"/>
      <c r="V842" s="79"/>
      <c r="W842" s="79"/>
      <c r="Z842" s="130"/>
      <c r="AB842" s="106"/>
    </row>
    <row r="843">
      <c r="C843" s="79"/>
      <c r="D843" s="79"/>
      <c r="E843" s="79"/>
      <c r="M843" s="79"/>
      <c r="R843" s="79"/>
      <c r="S843" s="79"/>
      <c r="V843" s="79"/>
      <c r="W843" s="79"/>
      <c r="Z843" s="130"/>
      <c r="AB843" s="106"/>
    </row>
    <row r="844">
      <c r="C844" s="79"/>
      <c r="D844" s="79"/>
      <c r="E844" s="79"/>
      <c r="M844" s="79"/>
      <c r="R844" s="79"/>
      <c r="S844" s="79"/>
      <c r="V844" s="79"/>
      <c r="W844" s="79"/>
      <c r="Z844" s="130"/>
      <c r="AB844" s="106"/>
    </row>
    <row r="845">
      <c r="C845" s="79"/>
      <c r="D845" s="79"/>
      <c r="E845" s="79"/>
      <c r="M845" s="79"/>
      <c r="R845" s="79"/>
      <c r="S845" s="79"/>
      <c r="V845" s="79"/>
      <c r="W845" s="79"/>
      <c r="Z845" s="130"/>
      <c r="AB845" s="106"/>
    </row>
    <row r="846">
      <c r="C846" s="79"/>
      <c r="D846" s="79"/>
      <c r="E846" s="79"/>
      <c r="M846" s="79"/>
      <c r="R846" s="79"/>
      <c r="S846" s="79"/>
      <c r="V846" s="79"/>
      <c r="W846" s="79"/>
      <c r="Z846" s="130"/>
      <c r="AB846" s="106"/>
    </row>
    <row r="847">
      <c r="C847" s="79"/>
      <c r="D847" s="79"/>
      <c r="E847" s="79"/>
      <c r="M847" s="79"/>
      <c r="R847" s="79"/>
      <c r="S847" s="79"/>
      <c r="V847" s="79"/>
      <c r="W847" s="79"/>
      <c r="Z847" s="130"/>
      <c r="AB847" s="106"/>
    </row>
    <row r="848">
      <c r="C848" s="79"/>
      <c r="D848" s="79"/>
      <c r="E848" s="79"/>
      <c r="M848" s="79"/>
      <c r="R848" s="79"/>
      <c r="S848" s="79"/>
      <c r="V848" s="79"/>
      <c r="W848" s="79"/>
      <c r="Z848" s="130"/>
      <c r="AB848" s="106"/>
    </row>
    <row r="849">
      <c r="C849" s="79"/>
      <c r="D849" s="79"/>
      <c r="E849" s="79"/>
      <c r="M849" s="79"/>
      <c r="R849" s="79"/>
      <c r="S849" s="79"/>
      <c r="V849" s="79"/>
      <c r="W849" s="79"/>
      <c r="Z849" s="130"/>
      <c r="AB849" s="106"/>
    </row>
    <row r="850">
      <c r="C850" s="79"/>
      <c r="D850" s="79"/>
      <c r="E850" s="79"/>
      <c r="M850" s="79"/>
      <c r="R850" s="79"/>
      <c r="S850" s="79"/>
      <c r="V850" s="79"/>
      <c r="W850" s="79"/>
      <c r="Z850" s="130"/>
      <c r="AB850" s="106"/>
    </row>
    <row r="851">
      <c r="C851" s="79"/>
      <c r="D851" s="79"/>
      <c r="E851" s="79"/>
      <c r="M851" s="79"/>
      <c r="R851" s="79"/>
      <c r="S851" s="79"/>
      <c r="V851" s="79"/>
      <c r="W851" s="79"/>
      <c r="Z851" s="130"/>
      <c r="AB851" s="106"/>
    </row>
    <row r="852">
      <c r="C852" s="79"/>
      <c r="D852" s="79"/>
      <c r="E852" s="79"/>
      <c r="M852" s="79"/>
      <c r="R852" s="79"/>
      <c r="S852" s="79"/>
      <c r="V852" s="79"/>
      <c r="W852" s="79"/>
      <c r="Z852" s="130"/>
      <c r="AB852" s="106"/>
    </row>
    <row r="853">
      <c r="C853" s="79"/>
      <c r="D853" s="79"/>
      <c r="E853" s="79"/>
      <c r="M853" s="79"/>
      <c r="R853" s="79"/>
      <c r="S853" s="79"/>
      <c r="V853" s="79"/>
      <c r="W853" s="79"/>
      <c r="Z853" s="130"/>
      <c r="AB853" s="106"/>
    </row>
    <row r="854">
      <c r="C854" s="79"/>
      <c r="D854" s="79"/>
      <c r="E854" s="79"/>
      <c r="M854" s="79"/>
      <c r="R854" s="79"/>
      <c r="S854" s="79"/>
      <c r="V854" s="79"/>
      <c r="W854" s="79"/>
      <c r="Z854" s="130"/>
      <c r="AB854" s="106"/>
    </row>
    <row r="855">
      <c r="C855" s="79"/>
      <c r="D855" s="79"/>
      <c r="E855" s="79"/>
      <c r="M855" s="79"/>
      <c r="R855" s="79"/>
      <c r="S855" s="79"/>
      <c r="V855" s="79"/>
      <c r="W855" s="79"/>
      <c r="Z855" s="130"/>
      <c r="AB855" s="106"/>
    </row>
    <row r="856">
      <c r="C856" s="79"/>
      <c r="D856" s="79"/>
      <c r="E856" s="79"/>
      <c r="M856" s="79"/>
      <c r="R856" s="79"/>
      <c r="S856" s="79"/>
      <c r="V856" s="79"/>
      <c r="W856" s="79"/>
      <c r="Z856" s="130"/>
      <c r="AB856" s="106"/>
    </row>
    <row r="857">
      <c r="C857" s="79"/>
      <c r="D857" s="79"/>
      <c r="E857" s="79"/>
      <c r="M857" s="79"/>
      <c r="R857" s="79"/>
      <c r="S857" s="79"/>
      <c r="V857" s="79"/>
      <c r="W857" s="79"/>
      <c r="Z857" s="130"/>
      <c r="AB857" s="106"/>
    </row>
    <row r="858">
      <c r="C858" s="79"/>
      <c r="D858" s="79"/>
      <c r="E858" s="79"/>
      <c r="M858" s="79"/>
      <c r="R858" s="79"/>
      <c r="S858" s="79"/>
      <c r="V858" s="79"/>
      <c r="W858" s="79"/>
      <c r="Z858" s="130"/>
      <c r="AB858" s="106"/>
    </row>
    <row r="859">
      <c r="C859" s="79"/>
      <c r="D859" s="79"/>
      <c r="E859" s="79"/>
      <c r="M859" s="79"/>
      <c r="R859" s="79"/>
      <c r="S859" s="79"/>
      <c r="V859" s="79"/>
      <c r="W859" s="79"/>
      <c r="Z859" s="130"/>
      <c r="AB859" s="106"/>
    </row>
    <row r="860">
      <c r="C860" s="79"/>
      <c r="D860" s="79"/>
      <c r="E860" s="79"/>
      <c r="M860" s="79"/>
      <c r="R860" s="79"/>
      <c r="S860" s="79"/>
      <c r="V860" s="79"/>
      <c r="W860" s="79"/>
      <c r="Z860" s="130"/>
      <c r="AB860" s="106"/>
    </row>
    <row r="861">
      <c r="C861" s="79"/>
      <c r="D861" s="79"/>
      <c r="E861" s="79"/>
      <c r="M861" s="79"/>
      <c r="R861" s="79"/>
      <c r="S861" s="79"/>
      <c r="V861" s="79"/>
      <c r="W861" s="79"/>
      <c r="Z861" s="130"/>
      <c r="AB861" s="106"/>
    </row>
    <row r="862">
      <c r="C862" s="79"/>
      <c r="D862" s="79"/>
      <c r="E862" s="79"/>
      <c r="M862" s="79"/>
      <c r="R862" s="79"/>
      <c r="S862" s="79"/>
      <c r="V862" s="79"/>
      <c r="W862" s="79"/>
      <c r="Z862" s="130"/>
      <c r="AB862" s="106"/>
    </row>
    <row r="863">
      <c r="C863" s="79"/>
      <c r="D863" s="79"/>
      <c r="E863" s="79"/>
      <c r="M863" s="79"/>
      <c r="R863" s="79"/>
      <c r="S863" s="79"/>
      <c r="V863" s="79"/>
      <c r="W863" s="79"/>
      <c r="Z863" s="130"/>
      <c r="AB863" s="106"/>
    </row>
    <row r="864">
      <c r="C864" s="79"/>
      <c r="D864" s="79"/>
      <c r="E864" s="79"/>
      <c r="M864" s="79"/>
      <c r="R864" s="79"/>
      <c r="S864" s="79"/>
      <c r="V864" s="79"/>
      <c r="W864" s="79"/>
      <c r="Z864" s="130"/>
      <c r="AB864" s="106"/>
    </row>
    <row r="865">
      <c r="C865" s="79"/>
      <c r="D865" s="79"/>
      <c r="E865" s="79"/>
      <c r="M865" s="79"/>
      <c r="R865" s="79"/>
      <c r="S865" s="79"/>
      <c r="V865" s="79"/>
      <c r="W865" s="79"/>
      <c r="Z865" s="130"/>
      <c r="AB865" s="106"/>
    </row>
    <row r="866">
      <c r="C866" s="79"/>
      <c r="D866" s="79"/>
      <c r="E866" s="79"/>
      <c r="M866" s="79"/>
      <c r="R866" s="79"/>
      <c r="S866" s="79"/>
      <c r="V866" s="79"/>
      <c r="W866" s="79"/>
      <c r="Z866" s="130"/>
      <c r="AB866" s="106"/>
    </row>
    <row r="867">
      <c r="C867" s="79"/>
      <c r="D867" s="79"/>
      <c r="E867" s="79"/>
      <c r="M867" s="79"/>
      <c r="R867" s="79"/>
      <c r="S867" s="79"/>
      <c r="V867" s="79"/>
      <c r="W867" s="79"/>
      <c r="Z867" s="130"/>
      <c r="AB867" s="106"/>
    </row>
    <row r="868">
      <c r="C868" s="79"/>
      <c r="D868" s="79"/>
      <c r="E868" s="79"/>
      <c r="M868" s="79"/>
      <c r="R868" s="79"/>
      <c r="S868" s="79"/>
      <c r="V868" s="79"/>
      <c r="W868" s="79"/>
      <c r="Z868" s="130"/>
      <c r="AB868" s="106"/>
    </row>
    <row r="869">
      <c r="C869" s="79"/>
      <c r="D869" s="79"/>
      <c r="E869" s="79"/>
      <c r="M869" s="79"/>
      <c r="R869" s="79"/>
      <c r="S869" s="79"/>
      <c r="V869" s="79"/>
      <c r="W869" s="79"/>
      <c r="Z869" s="130"/>
      <c r="AB869" s="106"/>
    </row>
    <row r="870">
      <c r="C870" s="79"/>
      <c r="D870" s="79"/>
      <c r="E870" s="79"/>
      <c r="M870" s="79"/>
      <c r="R870" s="79"/>
      <c r="S870" s="79"/>
      <c r="V870" s="79"/>
      <c r="W870" s="79"/>
      <c r="Z870" s="130"/>
      <c r="AB870" s="106"/>
    </row>
    <row r="871">
      <c r="C871" s="79"/>
      <c r="D871" s="79"/>
      <c r="E871" s="79"/>
      <c r="M871" s="79"/>
      <c r="R871" s="79"/>
      <c r="S871" s="79"/>
      <c r="V871" s="79"/>
      <c r="W871" s="79"/>
      <c r="Z871" s="130"/>
      <c r="AB871" s="106"/>
    </row>
    <row r="872">
      <c r="C872" s="79"/>
      <c r="D872" s="79"/>
      <c r="E872" s="79"/>
      <c r="M872" s="79"/>
      <c r="R872" s="79"/>
      <c r="S872" s="79"/>
      <c r="V872" s="79"/>
      <c r="W872" s="79"/>
      <c r="Z872" s="130"/>
      <c r="AB872" s="106"/>
    </row>
    <row r="873">
      <c r="C873" s="79"/>
      <c r="D873" s="79"/>
      <c r="E873" s="79"/>
      <c r="M873" s="79"/>
      <c r="R873" s="79"/>
      <c r="S873" s="79"/>
      <c r="V873" s="79"/>
      <c r="W873" s="79"/>
      <c r="Z873" s="130"/>
      <c r="AB873" s="106"/>
    </row>
    <row r="874">
      <c r="C874" s="79"/>
      <c r="D874" s="79"/>
      <c r="E874" s="79"/>
      <c r="M874" s="79"/>
      <c r="R874" s="79"/>
      <c r="S874" s="79"/>
      <c r="V874" s="79"/>
      <c r="W874" s="79"/>
      <c r="Z874" s="130"/>
      <c r="AB874" s="106"/>
    </row>
    <row r="875">
      <c r="C875" s="79"/>
      <c r="D875" s="79"/>
      <c r="E875" s="79"/>
      <c r="M875" s="79"/>
      <c r="R875" s="79"/>
      <c r="S875" s="79"/>
      <c r="V875" s="79"/>
      <c r="W875" s="79"/>
      <c r="Z875" s="130"/>
      <c r="AB875" s="106"/>
    </row>
    <row r="876">
      <c r="C876" s="79"/>
      <c r="D876" s="79"/>
      <c r="E876" s="79"/>
      <c r="M876" s="79"/>
      <c r="R876" s="79"/>
      <c r="S876" s="79"/>
      <c r="V876" s="79"/>
      <c r="W876" s="79"/>
      <c r="Z876" s="130"/>
      <c r="AB876" s="106"/>
    </row>
    <row r="877">
      <c r="C877" s="79"/>
      <c r="D877" s="79"/>
      <c r="E877" s="79"/>
      <c r="M877" s="79"/>
      <c r="R877" s="79"/>
      <c r="S877" s="79"/>
      <c r="V877" s="79"/>
      <c r="W877" s="79"/>
      <c r="Z877" s="130"/>
      <c r="AB877" s="106"/>
    </row>
    <row r="878">
      <c r="C878" s="79"/>
      <c r="D878" s="79"/>
      <c r="E878" s="79"/>
      <c r="M878" s="79"/>
      <c r="R878" s="79"/>
      <c r="S878" s="79"/>
      <c r="V878" s="79"/>
      <c r="W878" s="79"/>
      <c r="Z878" s="130"/>
      <c r="AB878" s="106"/>
    </row>
    <row r="879">
      <c r="C879" s="79"/>
      <c r="D879" s="79"/>
      <c r="E879" s="79"/>
      <c r="M879" s="79"/>
      <c r="R879" s="79"/>
      <c r="S879" s="79"/>
      <c r="V879" s="79"/>
      <c r="W879" s="79"/>
      <c r="Z879" s="130"/>
      <c r="AB879" s="106"/>
    </row>
    <row r="880">
      <c r="C880" s="79"/>
      <c r="D880" s="79"/>
      <c r="E880" s="79"/>
      <c r="M880" s="79"/>
      <c r="R880" s="79"/>
      <c r="S880" s="79"/>
      <c r="V880" s="79"/>
      <c r="W880" s="79"/>
      <c r="Z880" s="130"/>
      <c r="AB880" s="106"/>
    </row>
    <row r="881">
      <c r="C881" s="79"/>
      <c r="D881" s="79"/>
      <c r="E881" s="79"/>
      <c r="M881" s="79"/>
      <c r="R881" s="79"/>
      <c r="S881" s="79"/>
      <c r="V881" s="79"/>
      <c r="W881" s="79"/>
      <c r="Z881" s="130"/>
      <c r="AB881" s="106"/>
    </row>
    <row r="882">
      <c r="C882" s="79"/>
      <c r="D882" s="79"/>
      <c r="E882" s="79"/>
      <c r="M882" s="79"/>
      <c r="R882" s="79"/>
      <c r="S882" s="79"/>
      <c r="V882" s="79"/>
      <c r="W882" s="79"/>
      <c r="Z882" s="130"/>
      <c r="AB882" s="106"/>
    </row>
    <row r="883">
      <c r="C883" s="79"/>
      <c r="D883" s="79"/>
      <c r="E883" s="79"/>
      <c r="M883" s="79"/>
      <c r="R883" s="79"/>
      <c r="S883" s="79"/>
      <c r="V883" s="79"/>
      <c r="W883" s="79"/>
      <c r="Z883" s="130"/>
      <c r="AB883" s="106"/>
    </row>
    <row r="884">
      <c r="C884" s="79"/>
      <c r="D884" s="79"/>
      <c r="E884" s="79"/>
      <c r="M884" s="79"/>
      <c r="R884" s="79"/>
      <c r="S884" s="79"/>
      <c r="V884" s="79"/>
      <c r="W884" s="79"/>
      <c r="Z884" s="130"/>
      <c r="AB884" s="106"/>
    </row>
    <row r="885">
      <c r="C885" s="79"/>
      <c r="D885" s="79"/>
      <c r="E885" s="79"/>
      <c r="M885" s="79"/>
      <c r="R885" s="79"/>
      <c r="S885" s="79"/>
      <c r="V885" s="79"/>
      <c r="W885" s="79"/>
      <c r="Z885" s="130"/>
      <c r="AB885" s="106"/>
    </row>
    <row r="886">
      <c r="C886" s="79"/>
      <c r="D886" s="79"/>
      <c r="E886" s="79"/>
      <c r="M886" s="79"/>
      <c r="R886" s="79"/>
      <c r="S886" s="79"/>
      <c r="V886" s="79"/>
      <c r="W886" s="79"/>
      <c r="Z886" s="130"/>
      <c r="AB886" s="106"/>
    </row>
    <row r="887">
      <c r="C887" s="79"/>
      <c r="D887" s="79"/>
      <c r="E887" s="79"/>
      <c r="M887" s="79"/>
      <c r="R887" s="79"/>
      <c r="S887" s="79"/>
      <c r="V887" s="79"/>
      <c r="W887" s="79"/>
      <c r="Z887" s="130"/>
      <c r="AB887" s="106"/>
    </row>
    <row r="888">
      <c r="C888" s="79"/>
      <c r="D888" s="79"/>
      <c r="E888" s="79"/>
      <c r="M888" s="79"/>
      <c r="R888" s="79"/>
      <c r="S888" s="79"/>
      <c r="V888" s="79"/>
      <c r="W888" s="79"/>
      <c r="Z888" s="130"/>
      <c r="AB888" s="106"/>
    </row>
    <row r="889">
      <c r="C889" s="79"/>
      <c r="D889" s="79"/>
      <c r="E889" s="79"/>
      <c r="M889" s="79"/>
      <c r="R889" s="79"/>
      <c r="S889" s="79"/>
      <c r="V889" s="79"/>
      <c r="W889" s="79"/>
      <c r="Z889" s="130"/>
      <c r="AB889" s="106"/>
    </row>
    <row r="890">
      <c r="C890" s="79"/>
      <c r="D890" s="79"/>
      <c r="E890" s="79"/>
      <c r="M890" s="79"/>
      <c r="R890" s="79"/>
      <c r="S890" s="79"/>
      <c r="V890" s="79"/>
      <c r="W890" s="79"/>
      <c r="Z890" s="130"/>
      <c r="AB890" s="106"/>
    </row>
    <row r="891">
      <c r="C891" s="79"/>
      <c r="D891" s="79"/>
      <c r="E891" s="79"/>
      <c r="M891" s="79"/>
      <c r="R891" s="79"/>
      <c r="S891" s="79"/>
      <c r="V891" s="79"/>
      <c r="W891" s="79"/>
      <c r="Z891" s="130"/>
      <c r="AB891" s="106"/>
    </row>
    <row r="892">
      <c r="C892" s="79"/>
      <c r="D892" s="79"/>
      <c r="E892" s="79"/>
      <c r="M892" s="79"/>
      <c r="R892" s="79"/>
      <c r="S892" s="79"/>
      <c r="V892" s="79"/>
      <c r="W892" s="79"/>
      <c r="Z892" s="130"/>
      <c r="AB892" s="106"/>
    </row>
    <row r="893">
      <c r="C893" s="79"/>
      <c r="D893" s="79"/>
      <c r="E893" s="79"/>
      <c r="M893" s="79"/>
      <c r="R893" s="79"/>
      <c r="S893" s="79"/>
      <c r="V893" s="79"/>
      <c r="W893" s="79"/>
      <c r="Z893" s="130"/>
      <c r="AB893" s="106"/>
    </row>
    <row r="894">
      <c r="C894" s="79"/>
      <c r="D894" s="79"/>
      <c r="E894" s="79"/>
      <c r="M894" s="79"/>
      <c r="R894" s="79"/>
      <c r="S894" s="79"/>
      <c r="V894" s="79"/>
      <c r="W894" s="79"/>
      <c r="Z894" s="130"/>
      <c r="AB894" s="106"/>
    </row>
    <row r="895">
      <c r="C895" s="79"/>
      <c r="D895" s="79"/>
      <c r="E895" s="79"/>
      <c r="M895" s="79"/>
      <c r="R895" s="79"/>
      <c r="S895" s="79"/>
      <c r="V895" s="79"/>
      <c r="W895" s="79"/>
      <c r="Z895" s="130"/>
      <c r="AB895" s="106"/>
    </row>
    <row r="896">
      <c r="C896" s="79"/>
      <c r="D896" s="79"/>
      <c r="E896" s="79"/>
      <c r="M896" s="79"/>
      <c r="R896" s="79"/>
      <c r="S896" s="79"/>
      <c r="V896" s="79"/>
      <c r="W896" s="79"/>
      <c r="Z896" s="130"/>
      <c r="AB896" s="106"/>
    </row>
    <row r="897">
      <c r="C897" s="79"/>
      <c r="D897" s="79"/>
      <c r="E897" s="79"/>
      <c r="M897" s="79"/>
      <c r="R897" s="79"/>
      <c r="S897" s="79"/>
      <c r="V897" s="79"/>
      <c r="W897" s="79"/>
      <c r="Z897" s="130"/>
      <c r="AB897" s="106"/>
    </row>
    <row r="898">
      <c r="C898" s="79"/>
      <c r="D898" s="79"/>
      <c r="E898" s="79"/>
      <c r="M898" s="79"/>
      <c r="R898" s="79"/>
      <c r="S898" s="79"/>
      <c r="V898" s="79"/>
      <c r="W898" s="79"/>
      <c r="Z898" s="130"/>
      <c r="AB898" s="106"/>
    </row>
    <row r="899">
      <c r="C899" s="79"/>
      <c r="D899" s="79"/>
      <c r="E899" s="79"/>
      <c r="M899" s="79"/>
      <c r="R899" s="79"/>
      <c r="S899" s="79"/>
      <c r="V899" s="79"/>
      <c r="W899" s="79"/>
      <c r="Z899" s="130"/>
      <c r="AB899" s="106"/>
    </row>
    <row r="900">
      <c r="C900" s="79"/>
      <c r="D900" s="79"/>
      <c r="E900" s="79"/>
      <c r="M900" s="79"/>
      <c r="R900" s="79"/>
      <c r="S900" s="79"/>
      <c r="V900" s="79"/>
      <c r="W900" s="79"/>
      <c r="Z900" s="130"/>
      <c r="AB900" s="106"/>
    </row>
    <row r="901">
      <c r="C901" s="79"/>
      <c r="D901" s="79"/>
      <c r="E901" s="79"/>
      <c r="M901" s="79"/>
      <c r="R901" s="79"/>
      <c r="S901" s="79"/>
      <c r="V901" s="79"/>
      <c r="W901" s="79"/>
      <c r="Z901" s="130"/>
      <c r="AB901" s="106"/>
    </row>
    <row r="902">
      <c r="C902" s="79"/>
      <c r="D902" s="79"/>
      <c r="E902" s="79"/>
      <c r="M902" s="79"/>
      <c r="R902" s="79"/>
      <c r="S902" s="79"/>
      <c r="V902" s="79"/>
      <c r="W902" s="79"/>
      <c r="Z902" s="130"/>
      <c r="AB902" s="106"/>
    </row>
    <row r="903">
      <c r="C903" s="79"/>
      <c r="D903" s="79"/>
      <c r="E903" s="79"/>
      <c r="M903" s="79"/>
      <c r="R903" s="79"/>
      <c r="S903" s="79"/>
      <c r="V903" s="79"/>
      <c r="W903" s="79"/>
      <c r="Z903" s="130"/>
      <c r="AB903" s="106"/>
    </row>
    <row r="904">
      <c r="C904" s="79"/>
      <c r="D904" s="79"/>
      <c r="E904" s="79"/>
      <c r="M904" s="79"/>
      <c r="R904" s="79"/>
      <c r="S904" s="79"/>
      <c r="V904" s="79"/>
      <c r="W904" s="79"/>
      <c r="Z904" s="130"/>
      <c r="AB904" s="106"/>
    </row>
    <row r="905">
      <c r="C905" s="79"/>
      <c r="D905" s="79"/>
      <c r="E905" s="79"/>
      <c r="M905" s="79"/>
      <c r="R905" s="79"/>
      <c r="S905" s="79"/>
      <c r="V905" s="79"/>
      <c r="W905" s="79"/>
      <c r="Z905" s="130"/>
      <c r="AB905" s="106"/>
    </row>
    <row r="906">
      <c r="C906" s="79"/>
      <c r="D906" s="79"/>
      <c r="E906" s="79"/>
      <c r="M906" s="79"/>
      <c r="R906" s="79"/>
      <c r="S906" s="79"/>
      <c r="V906" s="79"/>
      <c r="W906" s="79"/>
      <c r="Z906" s="130"/>
      <c r="AB906" s="106"/>
    </row>
    <row r="907">
      <c r="C907" s="79"/>
      <c r="D907" s="79"/>
      <c r="E907" s="79"/>
      <c r="M907" s="79"/>
      <c r="R907" s="79"/>
      <c r="S907" s="79"/>
      <c r="V907" s="79"/>
      <c r="W907" s="79"/>
      <c r="Z907" s="130"/>
      <c r="AB907" s="106"/>
    </row>
    <row r="908">
      <c r="C908" s="79"/>
      <c r="D908" s="79"/>
      <c r="E908" s="79"/>
      <c r="M908" s="79"/>
      <c r="R908" s="79"/>
      <c r="S908" s="79"/>
      <c r="V908" s="79"/>
      <c r="W908" s="79"/>
      <c r="Z908" s="130"/>
      <c r="AB908" s="106"/>
    </row>
    <row r="909">
      <c r="C909" s="79"/>
      <c r="D909" s="79"/>
      <c r="E909" s="79"/>
      <c r="M909" s="79"/>
      <c r="R909" s="79"/>
      <c r="S909" s="79"/>
      <c r="V909" s="79"/>
      <c r="W909" s="79"/>
      <c r="Z909" s="130"/>
      <c r="AB909" s="106"/>
    </row>
    <row r="910">
      <c r="C910" s="79"/>
      <c r="D910" s="79"/>
      <c r="E910" s="79"/>
      <c r="M910" s="79"/>
      <c r="R910" s="79"/>
      <c r="S910" s="79"/>
      <c r="V910" s="79"/>
      <c r="W910" s="79"/>
      <c r="Z910" s="130"/>
      <c r="AB910" s="106"/>
    </row>
    <row r="911">
      <c r="C911" s="79"/>
      <c r="D911" s="79"/>
      <c r="E911" s="79"/>
      <c r="M911" s="79"/>
      <c r="R911" s="79"/>
      <c r="S911" s="79"/>
      <c r="V911" s="79"/>
      <c r="W911" s="79"/>
      <c r="Z911" s="130"/>
      <c r="AB911" s="106"/>
    </row>
    <row r="912">
      <c r="C912" s="79"/>
      <c r="D912" s="79"/>
      <c r="E912" s="79"/>
      <c r="M912" s="79"/>
      <c r="R912" s="79"/>
      <c r="S912" s="79"/>
      <c r="V912" s="79"/>
      <c r="W912" s="79"/>
      <c r="Z912" s="130"/>
      <c r="AB912" s="106"/>
    </row>
    <row r="913">
      <c r="C913" s="79"/>
      <c r="D913" s="79"/>
      <c r="E913" s="79"/>
      <c r="M913" s="79"/>
      <c r="R913" s="79"/>
      <c r="S913" s="79"/>
      <c r="V913" s="79"/>
      <c r="W913" s="79"/>
      <c r="Z913" s="130"/>
      <c r="AB913" s="106"/>
    </row>
    <row r="914">
      <c r="C914" s="79"/>
      <c r="D914" s="79"/>
      <c r="E914" s="79"/>
      <c r="M914" s="79"/>
      <c r="R914" s="79"/>
      <c r="S914" s="79"/>
      <c r="V914" s="79"/>
      <c r="W914" s="79"/>
      <c r="Z914" s="130"/>
      <c r="AB914" s="106"/>
    </row>
    <row r="915">
      <c r="C915" s="79"/>
      <c r="D915" s="79"/>
      <c r="E915" s="79"/>
      <c r="M915" s="79"/>
      <c r="R915" s="79"/>
      <c r="S915" s="79"/>
      <c r="V915" s="79"/>
      <c r="W915" s="79"/>
      <c r="Z915" s="130"/>
      <c r="AB915" s="106"/>
    </row>
    <row r="916">
      <c r="C916" s="79"/>
      <c r="D916" s="79"/>
      <c r="E916" s="79"/>
      <c r="M916" s="79"/>
      <c r="R916" s="79"/>
      <c r="S916" s="79"/>
      <c r="V916" s="79"/>
      <c r="W916" s="79"/>
      <c r="Z916" s="130"/>
      <c r="AB916" s="106"/>
    </row>
    <row r="917">
      <c r="C917" s="79"/>
      <c r="D917" s="79"/>
      <c r="E917" s="79"/>
      <c r="M917" s="79"/>
      <c r="R917" s="79"/>
      <c r="S917" s="79"/>
      <c r="V917" s="79"/>
      <c r="W917" s="79"/>
      <c r="Z917" s="130"/>
      <c r="AB917" s="106"/>
    </row>
    <row r="918">
      <c r="C918" s="79"/>
      <c r="D918" s="79"/>
      <c r="E918" s="79"/>
      <c r="M918" s="79"/>
      <c r="R918" s="79"/>
      <c r="S918" s="79"/>
      <c r="V918" s="79"/>
      <c r="W918" s="79"/>
      <c r="Z918" s="130"/>
      <c r="AB918" s="106"/>
    </row>
    <row r="919">
      <c r="C919" s="79"/>
      <c r="D919" s="79"/>
      <c r="E919" s="79"/>
      <c r="M919" s="79"/>
      <c r="R919" s="79"/>
      <c r="S919" s="79"/>
      <c r="V919" s="79"/>
      <c r="W919" s="79"/>
      <c r="Z919" s="130"/>
      <c r="AB919" s="106"/>
    </row>
    <row r="920">
      <c r="C920" s="79"/>
      <c r="D920" s="79"/>
      <c r="E920" s="79"/>
      <c r="M920" s="79"/>
      <c r="R920" s="79"/>
      <c r="S920" s="79"/>
      <c r="V920" s="79"/>
      <c r="W920" s="79"/>
      <c r="Z920" s="130"/>
      <c r="AB920" s="106"/>
    </row>
    <row r="921">
      <c r="C921" s="79"/>
      <c r="D921" s="79"/>
      <c r="E921" s="79"/>
      <c r="M921" s="79"/>
      <c r="R921" s="79"/>
      <c r="S921" s="79"/>
      <c r="V921" s="79"/>
      <c r="W921" s="79"/>
      <c r="Z921" s="130"/>
      <c r="AB921" s="106"/>
    </row>
    <row r="922">
      <c r="C922" s="79"/>
      <c r="D922" s="79"/>
      <c r="E922" s="79"/>
      <c r="M922" s="79"/>
      <c r="R922" s="79"/>
      <c r="S922" s="79"/>
      <c r="V922" s="79"/>
      <c r="W922" s="79"/>
      <c r="Z922" s="130"/>
      <c r="AB922" s="106"/>
    </row>
    <row r="923">
      <c r="C923" s="79"/>
      <c r="D923" s="79"/>
      <c r="E923" s="79"/>
      <c r="M923" s="79"/>
      <c r="R923" s="79"/>
      <c r="S923" s="79"/>
      <c r="V923" s="79"/>
      <c r="W923" s="79"/>
      <c r="Z923" s="130"/>
      <c r="AB923" s="106"/>
    </row>
    <row r="924">
      <c r="C924" s="79"/>
      <c r="D924" s="79"/>
      <c r="E924" s="79"/>
      <c r="M924" s="79"/>
      <c r="R924" s="79"/>
      <c r="S924" s="79"/>
      <c r="V924" s="79"/>
      <c r="W924" s="79"/>
      <c r="Z924" s="130"/>
      <c r="AB924" s="106"/>
    </row>
    <row r="925">
      <c r="C925" s="79"/>
      <c r="D925" s="79"/>
      <c r="E925" s="79"/>
      <c r="M925" s="79"/>
      <c r="R925" s="79"/>
      <c r="S925" s="79"/>
      <c r="V925" s="79"/>
      <c r="W925" s="79"/>
      <c r="Z925" s="130"/>
      <c r="AB925" s="106"/>
    </row>
    <row r="926">
      <c r="C926" s="79"/>
      <c r="D926" s="79"/>
      <c r="E926" s="79"/>
      <c r="M926" s="79"/>
      <c r="R926" s="79"/>
      <c r="S926" s="79"/>
      <c r="V926" s="79"/>
      <c r="W926" s="79"/>
      <c r="Z926" s="130"/>
      <c r="AB926" s="106"/>
    </row>
    <row r="927">
      <c r="C927" s="79"/>
      <c r="D927" s="79"/>
      <c r="E927" s="79"/>
      <c r="M927" s="79"/>
      <c r="R927" s="79"/>
      <c r="S927" s="79"/>
      <c r="V927" s="79"/>
      <c r="W927" s="79"/>
      <c r="Z927" s="130"/>
      <c r="AB927" s="106"/>
    </row>
    <row r="928">
      <c r="C928" s="79"/>
      <c r="D928" s="79"/>
      <c r="E928" s="79"/>
      <c r="M928" s="79"/>
      <c r="R928" s="79"/>
      <c r="S928" s="79"/>
      <c r="V928" s="79"/>
      <c r="W928" s="79"/>
      <c r="Z928" s="130"/>
      <c r="AB928" s="106"/>
    </row>
    <row r="929">
      <c r="C929" s="79"/>
      <c r="D929" s="79"/>
      <c r="E929" s="79"/>
      <c r="M929" s="79"/>
      <c r="R929" s="79"/>
      <c r="S929" s="79"/>
      <c r="V929" s="79"/>
      <c r="W929" s="79"/>
      <c r="Z929" s="130"/>
      <c r="AB929" s="106"/>
    </row>
    <row r="930">
      <c r="C930" s="79"/>
      <c r="D930" s="79"/>
      <c r="E930" s="79"/>
      <c r="M930" s="79"/>
      <c r="R930" s="79"/>
      <c r="S930" s="79"/>
      <c r="V930" s="79"/>
      <c r="W930" s="79"/>
      <c r="Z930" s="130"/>
      <c r="AB930" s="106"/>
    </row>
    <row r="931">
      <c r="C931" s="79"/>
      <c r="D931" s="79"/>
      <c r="E931" s="79"/>
      <c r="M931" s="79"/>
      <c r="R931" s="79"/>
      <c r="S931" s="79"/>
      <c r="V931" s="79"/>
      <c r="W931" s="79"/>
      <c r="Z931" s="130"/>
      <c r="AB931" s="106"/>
    </row>
    <row r="932">
      <c r="C932" s="79"/>
      <c r="D932" s="79"/>
      <c r="E932" s="79"/>
      <c r="M932" s="79"/>
      <c r="R932" s="79"/>
      <c r="S932" s="79"/>
      <c r="V932" s="79"/>
      <c r="W932" s="79"/>
      <c r="Z932" s="130"/>
      <c r="AB932" s="106"/>
    </row>
    <row r="933">
      <c r="C933" s="79"/>
      <c r="D933" s="79"/>
      <c r="E933" s="79"/>
      <c r="M933" s="79"/>
      <c r="R933" s="79"/>
      <c r="S933" s="79"/>
      <c r="V933" s="79"/>
      <c r="W933" s="79"/>
      <c r="Z933" s="130"/>
      <c r="AB933" s="106"/>
    </row>
    <row r="934">
      <c r="C934" s="79"/>
      <c r="D934" s="79"/>
      <c r="E934" s="79"/>
      <c r="M934" s="79"/>
      <c r="R934" s="79"/>
      <c r="S934" s="79"/>
      <c r="V934" s="79"/>
      <c r="W934" s="79"/>
      <c r="Z934" s="130"/>
      <c r="AB934" s="106"/>
    </row>
    <row r="935">
      <c r="C935" s="79"/>
      <c r="D935" s="79"/>
      <c r="E935" s="79"/>
      <c r="M935" s="79"/>
      <c r="R935" s="79"/>
      <c r="S935" s="79"/>
      <c r="V935" s="79"/>
      <c r="W935" s="79"/>
      <c r="Z935" s="130"/>
      <c r="AB935" s="106"/>
    </row>
    <row r="936">
      <c r="C936" s="79"/>
      <c r="D936" s="79"/>
      <c r="E936" s="79"/>
      <c r="M936" s="79"/>
      <c r="R936" s="79"/>
      <c r="S936" s="79"/>
      <c r="V936" s="79"/>
      <c r="W936" s="79"/>
      <c r="Z936" s="130"/>
      <c r="AB936" s="106"/>
    </row>
    <row r="937">
      <c r="C937" s="79"/>
      <c r="D937" s="79"/>
      <c r="E937" s="79"/>
      <c r="M937" s="79"/>
      <c r="R937" s="79"/>
      <c r="S937" s="79"/>
      <c r="V937" s="79"/>
      <c r="W937" s="79"/>
      <c r="Z937" s="130"/>
      <c r="AB937" s="106"/>
    </row>
    <row r="938">
      <c r="C938" s="79"/>
      <c r="D938" s="79"/>
      <c r="E938" s="79"/>
      <c r="M938" s="79"/>
      <c r="R938" s="79"/>
      <c r="S938" s="79"/>
      <c r="V938" s="79"/>
      <c r="W938" s="79"/>
      <c r="Z938" s="130"/>
      <c r="AB938" s="106"/>
    </row>
    <row r="939">
      <c r="C939" s="79"/>
      <c r="D939" s="79"/>
      <c r="E939" s="79"/>
      <c r="M939" s="79"/>
      <c r="R939" s="79"/>
      <c r="S939" s="79"/>
      <c r="V939" s="79"/>
      <c r="W939" s="79"/>
      <c r="Z939" s="130"/>
      <c r="AB939" s="106"/>
    </row>
    <row r="940">
      <c r="C940" s="79"/>
      <c r="D940" s="79"/>
      <c r="E940" s="79"/>
      <c r="M940" s="79"/>
      <c r="R940" s="79"/>
      <c r="S940" s="79"/>
      <c r="V940" s="79"/>
      <c r="W940" s="79"/>
      <c r="Z940" s="130"/>
      <c r="AB940" s="106"/>
    </row>
    <row r="941">
      <c r="C941" s="79"/>
      <c r="D941" s="79"/>
      <c r="E941" s="79"/>
      <c r="M941" s="79"/>
      <c r="R941" s="79"/>
      <c r="S941" s="79"/>
      <c r="V941" s="79"/>
      <c r="W941" s="79"/>
      <c r="Z941" s="130"/>
      <c r="AB941" s="106"/>
    </row>
    <row r="942">
      <c r="C942" s="79"/>
      <c r="D942" s="79"/>
      <c r="E942" s="79"/>
      <c r="M942" s="79"/>
      <c r="R942" s="79"/>
      <c r="S942" s="79"/>
      <c r="V942" s="79"/>
      <c r="W942" s="79"/>
      <c r="Z942" s="130"/>
      <c r="AB942" s="106"/>
    </row>
    <row r="943">
      <c r="C943" s="79"/>
      <c r="D943" s="79"/>
      <c r="E943" s="79"/>
      <c r="M943" s="79"/>
      <c r="R943" s="79"/>
      <c r="S943" s="79"/>
      <c r="V943" s="79"/>
      <c r="W943" s="79"/>
      <c r="Z943" s="130"/>
      <c r="AB943" s="106"/>
    </row>
    <row r="944">
      <c r="C944" s="79"/>
      <c r="D944" s="79"/>
      <c r="E944" s="79"/>
      <c r="M944" s="79"/>
      <c r="R944" s="79"/>
      <c r="S944" s="79"/>
      <c r="V944" s="79"/>
      <c r="W944" s="79"/>
      <c r="Z944" s="130"/>
      <c r="AB944" s="106"/>
    </row>
    <row r="945">
      <c r="C945" s="79"/>
      <c r="D945" s="79"/>
      <c r="E945" s="79"/>
      <c r="M945" s="79"/>
      <c r="R945" s="79"/>
      <c r="S945" s="79"/>
      <c r="V945" s="79"/>
      <c r="W945" s="79"/>
      <c r="Z945" s="130"/>
      <c r="AB945" s="106"/>
    </row>
    <row r="946">
      <c r="C946" s="79"/>
      <c r="D946" s="79"/>
      <c r="E946" s="79"/>
      <c r="M946" s="79"/>
      <c r="R946" s="79"/>
      <c r="S946" s="79"/>
      <c r="V946" s="79"/>
      <c r="W946" s="79"/>
      <c r="Z946" s="130"/>
      <c r="AB946" s="106"/>
    </row>
    <row r="947">
      <c r="C947" s="79"/>
      <c r="D947" s="79"/>
      <c r="E947" s="79"/>
      <c r="M947" s="79"/>
      <c r="R947" s="79"/>
      <c r="S947" s="79"/>
      <c r="V947" s="79"/>
      <c r="W947" s="79"/>
      <c r="Z947" s="130"/>
      <c r="AB947" s="106"/>
    </row>
    <row r="948">
      <c r="C948" s="79"/>
      <c r="D948" s="79"/>
      <c r="E948" s="79"/>
      <c r="M948" s="79"/>
      <c r="R948" s="79"/>
      <c r="S948" s="79"/>
      <c r="V948" s="79"/>
      <c r="W948" s="79"/>
      <c r="Z948" s="130"/>
      <c r="AB948" s="106"/>
    </row>
    <row r="949">
      <c r="C949" s="79"/>
      <c r="D949" s="79"/>
      <c r="E949" s="79"/>
      <c r="M949" s="79"/>
      <c r="R949" s="79"/>
      <c r="S949" s="79"/>
      <c r="V949" s="79"/>
      <c r="W949" s="79"/>
      <c r="Z949" s="130"/>
      <c r="AB949" s="106"/>
    </row>
    <row r="950">
      <c r="C950" s="79"/>
      <c r="D950" s="79"/>
      <c r="E950" s="79"/>
      <c r="M950" s="79"/>
      <c r="R950" s="79"/>
      <c r="S950" s="79"/>
      <c r="V950" s="79"/>
      <c r="W950" s="79"/>
      <c r="Z950" s="130"/>
      <c r="AB950" s="106"/>
    </row>
    <row r="951">
      <c r="C951" s="79"/>
      <c r="D951" s="79"/>
      <c r="E951" s="79"/>
      <c r="M951" s="79"/>
      <c r="R951" s="79"/>
      <c r="S951" s="79"/>
      <c r="V951" s="79"/>
      <c r="W951" s="79"/>
      <c r="Z951" s="130"/>
      <c r="AB951" s="106"/>
    </row>
    <row r="952">
      <c r="C952" s="79"/>
      <c r="D952" s="79"/>
      <c r="E952" s="79"/>
      <c r="M952" s="79"/>
      <c r="R952" s="79"/>
      <c r="S952" s="79"/>
      <c r="V952" s="79"/>
      <c r="W952" s="79"/>
      <c r="Z952" s="130"/>
      <c r="AB952" s="106"/>
    </row>
    <row r="953">
      <c r="C953" s="79"/>
      <c r="D953" s="79"/>
      <c r="E953" s="79"/>
      <c r="M953" s="79"/>
      <c r="R953" s="79"/>
      <c r="S953" s="79"/>
      <c r="V953" s="79"/>
      <c r="W953" s="79"/>
      <c r="Z953" s="130"/>
      <c r="AB953" s="106"/>
    </row>
    <row r="954">
      <c r="C954" s="79"/>
      <c r="D954" s="79"/>
      <c r="E954" s="79"/>
      <c r="M954" s="79"/>
      <c r="R954" s="79"/>
      <c r="S954" s="79"/>
      <c r="V954" s="79"/>
      <c r="W954" s="79"/>
      <c r="Z954" s="130"/>
      <c r="AB954" s="106"/>
    </row>
    <row r="955">
      <c r="C955" s="79"/>
      <c r="D955" s="79"/>
      <c r="E955" s="79"/>
      <c r="M955" s="79"/>
      <c r="R955" s="79"/>
      <c r="S955" s="79"/>
      <c r="V955" s="79"/>
      <c r="W955" s="79"/>
      <c r="Z955" s="130"/>
      <c r="AB955" s="106"/>
    </row>
    <row r="956">
      <c r="C956" s="79"/>
      <c r="D956" s="79"/>
      <c r="E956" s="79"/>
      <c r="M956" s="79"/>
      <c r="R956" s="79"/>
      <c r="S956" s="79"/>
      <c r="V956" s="79"/>
      <c r="W956" s="79"/>
      <c r="Z956" s="130"/>
      <c r="AB956" s="106"/>
    </row>
    <row r="957">
      <c r="C957" s="79"/>
      <c r="D957" s="79"/>
      <c r="E957" s="79"/>
      <c r="M957" s="79"/>
      <c r="R957" s="79"/>
      <c r="S957" s="79"/>
      <c r="V957" s="79"/>
      <c r="W957" s="79"/>
      <c r="Z957" s="130"/>
      <c r="AB957" s="106"/>
    </row>
    <row r="958">
      <c r="C958" s="79"/>
      <c r="D958" s="79"/>
      <c r="E958" s="79"/>
      <c r="M958" s="79"/>
      <c r="R958" s="79"/>
      <c r="S958" s="79"/>
      <c r="V958" s="79"/>
      <c r="W958" s="79"/>
      <c r="Z958" s="130"/>
      <c r="AB958" s="106"/>
    </row>
    <row r="959">
      <c r="C959" s="79"/>
      <c r="D959" s="79"/>
      <c r="E959" s="79"/>
      <c r="M959" s="79"/>
      <c r="R959" s="79"/>
      <c r="S959" s="79"/>
      <c r="V959" s="79"/>
      <c r="W959" s="79"/>
      <c r="Z959" s="130"/>
      <c r="AB959" s="106"/>
    </row>
    <row r="960">
      <c r="C960" s="79"/>
      <c r="D960" s="79"/>
      <c r="E960" s="79"/>
      <c r="M960" s="79"/>
      <c r="R960" s="79"/>
      <c r="S960" s="79"/>
      <c r="V960" s="79"/>
      <c r="W960" s="79"/>
      <c r="Z960" s="130"/>
      <c r="AB960" s="106"/>
    </row>
    <row r="961">
      <c r="C961" s="79"/>
      <c r="D961" s="79"/>
      <c r="E961" s="79"/>
      <c r="M961" s="79"/>
      <c r="R961" s="79"/>
      <c r="S961" s="79"/>
      <c r="V961" s="79"/>
      <c r="W961" s="79"/>
      <c r="Z961" s="130"/>
      <c r="AB961" s="106"/>
    </row>
    <row r="962">
      <c r="C962" s="79"/>
      <c r="D962" s="79"/>
      <c r="E962" s="79"/>
      <c r="M962" s="79"/>
      <c r="R962" s="79"/>
      <c r="S962" s="79"/>
      <c r="V962" s="79"/>
      <c r="W962" s="79"/>
      <c r="Z962" s="130"/>
      <c r="AB962" s="106"/>
    </row>
    <row r="963">
      <c r="C963" s="79"/>
      <c r="D963" s="79"/>
      <c r="E963" s="79"/>
      <c r="M963" s="79"/>
      <c r="R963" s="79"/>
      <c r="S963" s="79"/>
      <c r="V963" s="79"/>
      <c r="W963" s="79"/>
      <c r="Z963" s="130"/>
      <c r="AB963" s="106"/>
    </row>
    <row r="964">
      <c r="C964" s="79"/>
      <c r="D964" s="79"/>
      <c r="E964" s="79"/>
      <c r="M964" s="79"/>
      <c r="R964" s="79"/>
      <c r="S964" s="79"/>
      <c r="V964" s="79"/>
      <c r="W964" s="79"/>
      <c r="Z964" s="130"/>
      <c r="AB964" s="106"/>
    </row>
    <row r="965">
      <c r="C965" s="79"/>
      <c r="D965" s="79"/>
      <c r="E965" s="79"/>
      <c r="M965" s="79"/>
      <c r="R965" s="79"/>
      <c r="S965" s="79"/>
      <c r="V965" s="79"/>
      <c r="W965" s="79"/>
      <c r="Z965" s="130"/>
      <c r="AB965" s="106"/>
    </row>
    <row r="966">
      <c r="C966" s="79"/>
      <c r="D966" s="79"/>
      <c r="E966" s="79"/>
      <c r="M966" s="79"/>
      <c r="R966" s="79"/>
      <c r="S966" s="79"/>
      <c r="V966" s="79"/>
      <c r="W966" s="79"/>
      <c r="Z966" s="130"/>
      <c r="AB966" s="106"/>
    </row>
    <row r="967">
      <c r="C967" s="79"/>
      <c r="D967" s="79"/>
      <c r="E967" s="79"/>
      <c r="M967" s="79"/>
      <c r="R967" s="79"/>
      <c r="S967" s="79"/>
      <c r="V967" s="79"/>
      <c r="W967" s="79"/>
      <c r="Z967" s="130"/>
      <c r="AB967" s="106"/>
    </row>
    <row r="968">
      <c r="C968" s="79"/>
      <c r="D968" s="79"/>
      <c r="E968" s="79"/>
      <c r="M968" s="79"/>
      <c r="R968" s="79"/>
      <c r="S968" s="79"/>
      <c r="V968" s="79"/>
      <c r="W968" s="79"/>
      <c r="Z968" s="130"/>
      <c r="AB968" s="106"/>
    </row>
    <row r="969">
      <c r="C969" s="79"/>
      <c r="D969" s="79"/>
      <c r="E969" s="79"/>
      <c r="M969" s="79"/>
      <c r="R969" s="79"/>
      <c r="S969" s="79"/>
      <c r="V969" s="79"/>
      <c r="W969" s="79"/>
      <c r="Z969" s="130"/>
      <c r="AB969" s="106"/>
    </row>
    <row r="970">
      <c r="C970" s="79"/>
      <c r="D970" s="79"/>
      <c r="E970" s="79"/>
      <c r="M970" s="79"/>
      <c r="R970" s="79"/>
      <c r="S970" s="79"/>
      <c r="V970" s="79"/>
      <c r="W970" s="79"/>
      <c r="Z970" s="130"/>
      <c r="AB970" s="106"/>
    </row>
    <row r="971">
      <c r="C971" s="79"/>
      <c r="D971" s="79"/>
      <c r="E971" s="79"/>
      <c r="M971" s="79"/>
      <c r="R971" s="79"/>
      <c r="S971" s="79"/>
      <c r="V971" s="79"/>
      <c r="W971" s="79"/>
      <c r="Z971" s="130"/>
      <c r="AB971" s="106"/>
    </row>
    <row r="972">
      <c r="C972" s="79"/>
      <c r="D972" s="79"/>
      <c r="E972" s="79"/>
      <c r="M972" s="79"/>
      <c r="R972" s="79"/>
      <c r="S972" s="79"/>
      <c r="V972" s="79"/>
      <c r="W972" s="79"/>
      <c r="Z972" s="130"/>
      <c r="AB972" s="106"/>
    </row>
    <row r="973">
      <c r="C973" s="79"/>
      <c r="D973" s="79"/>
      <c r="E973" s="79"/>
      <c r="M973" s="79"/>
      <c r="R973" s="79"/>
      <c r="S973" s="79"/>
      <c r="V973" s="79"/>
      <c r="W973" s="79"/>
      <c r="Z973" s="130"/>
      <c r="AB973" s="106"/>
    </row>
    <row r="974">
      <c r="C974" s="79"/>
      <c r="D974" s="79"/>
      <c r="E974" s="79"/>
      <c r="M974" s="79"/>
      <c r="R974" s="79"/>
      <c r="S974" s="79"/>
      <c r="V974" s="79"/>
      <c r="W974" s="79"/>
      <c r="Z974" s="130"/>
      <c r="AB974" s="106"/>
    </row>
    <row r="975">
      <c r="C975" s="79"/>
      <c r="D975" s="79"/>
      <c r="E975" s="79"/>
      <c r="M975" s="79"/>
      <c r="R975" s="79"/>
      <c r="S975" s="79"/>
      <c r="V975" s="79"/>
      <c r="W975" s="79"/>
      <c r="Z975" s="130"/>
      <c r="AB975" s="106"/>
    </row>
  </sheetData>
  <drawing r:id="rId2"/>
  <legacyDrawing r:id="rId3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5" max="5" width="13.5"/>
    <col customWidth="1" min="7" max="7" width="13.25"/>
    <col customWidth="1" min="24" max="24" width="14.63"/>
    <col customWidth="1" min="28" max="28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3</v>
      </c>
      <c r="G1" s="2" t="s">
        <v>203</v>
      </c>
      <c r="H1" s="2" t="s">
        <v>129</v>
      </c>
      <c r="I1" s="2" t="s">
        <v>5</v>
      </c>
      <c r="J1" s="2" t="s">
        <v>204</v>
      </c>
      <c r="K1" s="2" t="s">
        <v>6</v>
      </c>
      <c r="L1" s="2" t="s">
        <v>12</v>
      </c>
      <c r="M1" s="105" t="s">
        <v>40</v>
      </c>
      <c r="N1" s="2" t="s">
        <v>49</v>
      </c>
      <c r="O1" s="2" t="s">
        <v>42</v>
      </c>
      <c r="P1" s="2" t="s">
        <v>121</v>
      </c>
      <c r="Q1" s="2" t="s">
        <v>164</v>
      </c>
      <c r="R1" s="105" t="s">
        <v>9</v>
      </c>
      <c r="S1" s="105" t="s">
        <v>165</v>
      </c>
      <c r="T1" s="2" t="s">
        <v>37</v>
      </c>
      <c r="U1" s="2" t="s">
        <v>10</v>
      </c>
      <c r="V1" s="105" t="s">
        <v>11</v>
      </c>
      <c r="W1" s="105" t="s">
        <v>205</v>
      </c>
      <c r="X1" s="2" t="s">
        <v>206</v>
      </c>
      <c r="Y1" s="3" t="s">
        <v>13</v>
      </c>
      <c r="Z1" s="3" t="s">
        <v>14</v>
      </c>
      <c r="AA1" s="3" t="s">
        <v>15</v>
      </c>
      <c r="AB1" s="106"/>
    </row>
    <row r="2">
      <c r="A2" s="74">
        <v>45320.0</v>
      </c>
      <c r="B2" s="93">
        <f>1823.55-78.22-169.6-130.92-33.99-143-10.93-129.24</f>
        <v>1127.65</v>
      </c>
      <c r="C2" s="93"/>
      <c r="D2" s="193">
        <f>437.19-80.6-62.5</f>
        <v>294.09</v>
      </c>
      <c r="E2" s="93"/>
      <c r="F2" s="93"/>
      <c r="G2" s="93"/>
      <c r="H2" s="93"/>
      <c r="I2" s="180">
        <v>283.8</v>
      </c>
      <c r="J2" s="93"/>
      <c r="K2" s="93"/>
      <c r="L2" s="93"/>
      <c r="M2" s="93"/>
      <c r="N2" s="93">
        <v>168.0</v>
      </c>
      <c r="O2" s="180">
        <v>266.5</v>
      </c>
      <c r="P2" s="93"/>
      <c r="Q2" s="93"/>
      <c r="R2" s="93"/>
      <c r="S2" s="93"/>
      <c r="T2" s="72"/>
      <c r="U2" s="93"/>
      <c r="V2" s="93">
        <v>57.05</v>
      </c>
      <c r="W2" s="93"/>
      <c r="X2" s="5"/>
      <c r="Y2" s="107">
        <f t="shared" ref="Y2:Y8" si="1">SUM(B2:X2)</f>
        <v>2197.09</v>
      </c>
      <c r="Z2" s="158">
        <v>2011.0</v>
      </c>
      <c r="AA2" s="59">
        <f t="shared" ref="AA2:AA8" si="2">Y2/Z2</f>
        <v>1.092536052</v>
      </c>
      <c r="AB2" s="109">
        <f t="shared" ref="AB2:AB8" si="3">A2</f>
        <v>45320</v>
      </c>
    </row>
    <row r="3">
      <c r="A3" s="74">
        <v>45321.0</v>
      </c>
      <c r="B3" s="93">
        <f>389.24-218</f>
        <v>171.24</v>
      </c>
      <c r="C3" s="93">
        <f>650.51-163-30-29.5</f>
        <v>428.01</v>
      </c>
      <c r="D3" s="193">
        <f>628.85-130.15-202.5+29</f>
        <v>325.2</v>
      </c>
      <c r="E3" s="93"/>
      <c r="F3" s="93">
        <v>180.0</v>
      </c>
      <c r="G3" s="93"/>
      <c r="H3" s="93"/>
      <c r="I3" s="93">
        <v>283.8</v>
      </c>
      <c r="J3" s="93"/>
      <c r="K3" s="93"/>
      <c r="L3" s="93"/>
      <c r="M3" s="93"/>
      <c r="N3" s="93"/>
      <c r="O3" s="93"/>
      <c r="P3" s="93">
        <v>18.5</v>
      </c>
      <c r="Q3" s="93"/>
      <c r="R3" s="93"/>
      <c r="S3" s="93"/>
      <c r="T3" s="93"/>
      <c r="U3" s="93"/>
      <c r="V3" s="93"/>
      <c r="W3" s="93"/>
      <c r="X3" s="93"/>
      <c r="Y3" s="107">
        <f t="shared" si="1"/>
        <v>1406.75</v>
      </c>
      <c r="Z3" s="158">
        <v>3674.5</v>
      </c>
      <c r="AA3" s="59">
        <f t="shared" si="2"/>
        <v>0.3828412029</v>
      </c>
      <c r="AB3" s="109">
        <f t="shared" si="3"/>
        <v>45321</v>
      </c>
    </row>
    <row r="4">
      <c r="A4" s="74">
        <v>45322.0</v>
      </c>
      <c r="B4" s="93">
        <f>703.16-96.6-265.2-33.99-44.28-57.55</f>
        <v>205.54</v>
      </c>
      <c r="C4" s="93">
        <f>218.2-24.5-32</f>
        <v>161.7</v>
      </c>
      <c r="D4" s="93"/>
      <c r="E4" s="93"/>
      <c r="F4" s="93"/>
      <c r="G4" s="93"/>
      <c r="H4" s="93"/>
      <c r="I4" s="93">
        <f>629-247.5</f>
        <v>381.5</v>
      </c>
      <c r="J4" s="93"/>
      <c r="K4" s="93">
        <v>85.4</v>
      </c>
      <c r="L4" s="93"/>
      <c r="M4" s="93"/>
      <c r="N4" s="93"/>
      <c r="O4" s="93">
        <v>245.0</v>
      </c>
      <c r="P4" s="93">
        <v>18.5</v>
      </c>
      <c r="Q4" s="93"/>
      <c r="R4" s="93"/>
      <c r="S4" s="93"/>
      <c r="T4" s="160"/>
      <c r="U4" s="93"/>
      <c r="V4" s="93">
        <v>57.05</v>
      </c>
      <c r="W4" s="93"/>
      <c r="X4" s="6"/>
      <c r="Y4" s="107">
        <f t="shared" si="1"/>
        <v>1154.69</v>
      </c>
      <c r="Z4" s="97">
        <v>5143</v>
      </c>
      <c r="AA4" s="59">
        <f t="shared" si="2"/>
        <v>0.224516819</v>
      </c>
      <c r="AB4" s="109">
        <f t="shared" si="3"/>
        <v>45322</v>
      </c>
    </row>
    <row r="5">
      <c r="A5" s="74">
        <v>45323.0</v>
      </c>
      <c r="B5" s="93">
        <f>1526.15-99.12-25.37-46.32-349-22.16-28.28-65.91-55-34.81-238.46</f>
        <v>561.72</v>
      </c>
      <c r="C5" s="93">
        <f>410.57-28.02-55.5</f>
        <v>327.05</v>
      </c>
      <c r="D5" s="93">
        <v>175.19</v>
      </c>
      <c r="E5" s="93"/>
      <c r="F5" s="93">
        <v>180.0</v>
      </c>
      <c r="G5" s="160"/>
      <c r="H5" s="93"/>
      <c r="I5" s="93"/>
      <c r="J5" s="93"/>
      <c r="K5" s="93"/>
      <c r="L5" s="93"/>
      <c r="M5" s="93"/>
      <c r="N5" s="93"/>
      <c r="O5" s="93"/>
      <c r="P5" s="93">
        <v>18.5</v>
      </c>
      <c r="Q5" s="93"/>
      <c r="R5" s="93"/>
      <c r="S5" s="93"/>
      <c r="T5" s="93"/>
      <c r="U5" s="93"/>
      <c r="V5" s="101"/>
      <c r="W5" s="101"/>
      <c r="X5" s="6"/>
      <c r="Y5" s="7">
        <f t="shared" si="1"/>
        <v>1262.46</v>
      </c>
      <c r="Z5" s="97">
        <f>828.28+4340.03</f>
        <v>5168.31</v>
      </c>
      <c r="AA5" s="59">
        <f t="shared" si="2"/>
        <v>0.2442694033</v>
      </c>
      <c r="AB5" s="109">
        <f t="shared" si="3"/>
        <v>45323</v>
      </c>
    </row>
    <row r="6">
      <c r="A6" s="74">
        <v>45324.0</v>
      </c>
      <c r="B6" s="93">
        <f>1154.25-46.56-56.93-33.99-14.13-12.91+23.53</f>
        <v>1013.26</v>
      </c>
      <c r="C6" s="93"/>
      <c r="D6" s="93">
        <f>319.63-87.03-118</f>
        <v>114.6</v>
      </c>
      <c r="E6" s="93"/>
      <c r="F6" s="93"/>
      <c r="G6" s="93"/>
      <c r="H6" s="93">
        <v>122.04</v>
      </c>
      <c r="I6" s="93"/>
      <c r="J6" s="93"/>
      <c r="K6" s="93">
        <v>166.4</v>
      </c>
      <c r="L6" s="93"/>
      <c r="M6" s="162"/>
      <c r="N6" s="93"/>
      <c r="O6" s="93"/>
      <c r="P6" s="93"/>
      <c r="Q6" s="93"/>
      <c r="R6" s="93"/>
      <c r="S6" s="93"/>
      <c r="T6" s="93"/>
      <c r="U6" s="93"/>
      <c r="V6" s="93">
        <v>57.05</v>
      </c>
      <c r="W6" s="93"/>
      <c r="X6" s="5"/>
      <c r="Y6" s="7">
        <f t="shared" si="1"/>
        <v>1473.35</v>
      </c>
      <c r="Z6" s="97">
        <f>396.2+7199.96</f>
        <v>7596.16</v>
      </c>
      <c r="AA6" s="59">
        <f t="shared" si="2"/>
        <v>0.1939598429</v>
      </c>
      <c r="AB6" s="109">
        <f t="shared" si="3"/>
        <v>45324</v>
      </c>
    </row>
    <row r="7">
      <c r="A7" s="74">
        <v>45325.0</v>
      </c>
      <c r="B7" s="93">
        <f>1191.79-193.2</f>
        <v>998.59</v>
      </c>
      <c r="C7" s="93"/>
      <c r="D7" s="93">
        <v>502.15</v>
      </c>
      <c r="E7" s="93"/>
      <c r="F7" s="93"/>
      <c r="G7" s="93"/>
      <c r="H7" s="93">
        <v>98.16</v>
      </c>
      <c r="I7" s="93"/>
      <c r="J7" s="93"/>
      <c r="K7" s="93"/>
      <c r="L7" s="93">
        <v>61.63</v>
      </c>
      <c r="M7" s="93"/>
      <c r="N7" s="93"/>
      <c r="O7" s="93"/>
      <c r="P7" s="93"/>
      <c r="Q7" s="93"/>
      <c r="R7" s="93"/>
      <c r="S7" s="93"/>
      <c r="T7" s="101"/>
      <c r="U7" s="101"/>
      <c r="V7" s="101"/>
      <c r="W7" s="101"/>
      <c r="X7" s="5"/>
      <c r="Y7" s="7">
        <f t="shared" si="1"/>
        <v>1660.53</v>
      </c>
      <c r="Z7" s="97">
        <f>2205.9+10991</f>
        <v>13196.9</v>
      </c>
      <c r="AA7" s="59">
        <f t="shared" si="2"/>
        <v>0.1258272776</v>
      </c>
      <c r="AB7" s="109">
        <f t="shared" si="3"/>
        <v>45325</v>
      </c>
    </row>
    <row r="8">
      <c r="A8" s="74">
        <v>45326.0</v>
      </c>
      <c r="B8" s="180">
        <v>502.81</v>
      </c>
      <c r="C8" s="112" t="s">
        <v>21</v>
      </c>
      <c r="D8" s="180">
        <v>218.94</v>
      </c>
      <c r="E8" s="112" t="s">
        <v>21</v>
      </c>
      <c r="F8" s="112" t="s">
        <v>21</v>
      </c>
      <c r="G8" s="112" t="s">
        <v>21</v>
      </c>
      <c r="H8" s="112" t="s">
        <v>21</v>
      </c>
      <c r="I8" s="112" t="s">
        <v>21</v>
      </c>
      <c r="J8" s="112" t="s">
        <v>21</v>
      </c>
      <c r="K8" s="112" t="s">
        <v>21</v>
      </c>
      <c r="L8" s="112" t="s">
        <v>21</v>
      </c>
      <c r="M8" s="112" t="s">
        <v>21</v>
      </c>
      <c r="N8" s="112" t="s">
        <v>21</v>
      </c>
      <c r="O8" s="93"/>
      <c r="P8" s="112" t="s">
        <v>21</v>
      </c>
      <c r="Q8" s="112" t="s">
        <v>21</v>
      </c>
      <c r="R8" s="112" t="s">
        <v>21</v>
      </c>
      <c r="S8" s="112" t="s">
        <v>21</v>
      </c>
      <c r="T8" s="112" t="s">
        <v>21</v>
      </c>
      <c r="U8" s="112" t="s">
        <v>21</v>
      </c>
      <c r="V8" s="10" t="s">
        <v>21</v>
      </c>
      <c r="W8" s="10" t="s">
        <v>21</v>
      </c>
      <c r="X8" s="10" t="s">
        <v>21</v>
      </c>
      <c r="Y8" s="7">
        <f t="shared" si="1"/>
        <v>721.75</v>
      </c>
      <c r="Z8" s="97">
        <f>3107.9+3535.91</f>
        <v>6643.81</v>
      </c>
      <c r="AA8" s="59">
        <f t="shared" si="2"/>
        <v>0.1086349549</v>
      </c>
      <c r="AB8" s="109">
        <f t="shared" si="3"/>
        <v>45326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Z9" s="129"/>
      <c r="AB9" s="106"/>
    </row>
    <row r="10">
      <c r="A10" s="164" t="s">
        <v>193</v>
      </c>
      <c r="B10" s="78"/>
      <c r="C10" s="78"/>
      <c r="D10" s="78"/>
      <c r="E10" s="188"/>
      <c r="F10" s="188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Z10" s="129"/>
      <c r="AB10" s="106"/>
    </row>
    <row r="11">
      <c r="A11" s="165" t="s">
        <v>194</v>
      </c>
      <c r="B11" s="93">
        <f>33.99+218+33.99+44.28+57.55+46.32+34.81+14.13+12.91+193.2</f>
        <v>689.18</v>
      </c>
      <c r="C11" s="93">
        <f>163+30+29.5+24.5+32+55.5</f>
        <v>334.5</v>
      </c>
      <c r="D11" s="93">
        <f>202.5</f>
        <v>202.5</v>
      </c>
      <c r="E11" s="167"/>
      <c r="F11" s="168"/>
      <c r="G11" s="166"/>
      <c r="H11" s="166"/>
      <c r="I11" s="93"/>
      <c r="J11" s="168"/>
      <c r="K11" s="168"/>
      <c r="L11" s="168"/>
      <c r="M11" s="168"/>
      <c r="N11" s="166"/>
      <c r="O11" s="168"/>
      <c r="P11" s="1"/>
      <c r="Q11" s="1"/>
      <c r="R11" s="1"/>
      <c r="S11" s="1"/>
      <c r="T11" s="1"/>
      <c r="U11" s="1"/>
      <c r="V11" s="168"/>
      <c r="W11" s="168"/>
      <c r="X11" s="1"/>
      <c r="Y11" s="1"/>
      <c r="Z11" s="169"/>
      <c r="AA11" s="1"/>
      <c r="AB11" s="170"/>
    </row>
    <row r="12">
      <c r="A12" s="165" t="s">
        <v>195</v>
      </c>
      <c r="B12" s="93">
        <f>78.22+143+129.24+96.6+265.2+99.12+25.37+22.16+28.28+65.91+55+46.56+56.93+33.99+349</f>
        <v>1494.58</v>
      </c>
      <c r="C12" s="93">
        <v>28.02</v>
      </c>
      <c r="D12" s="93">
        <f>80.6+62.5+130.15+87.03+118</f>
        <v>478.28</v>
      </c>
      <c r="E12" s="93"/>
      <c r="F12" s="93"/>
      <c r="G12" s="93"/>
      <c r="H12" s="93"/>
      <c r="I12" s="93">
        <v>190.0</v>
      </c>
      <c r="J12" s="93"/>
      <c r="K12" s="93"/>
      <c r="L12" s="93"/>
      <c r="M12" s="93"/>
      <c r="N12" s="93">
        <f>300</f>
        <v>300</v>
      </c>
      <c r="O12" s="166"/>
      <c r="P12" s="1"/>
      <c r="Q12" s="1"/>
      <c r="R12" s="168"/>
      <c r="S12" s="168"/>
      <c r="T12" s="1"/>
      <c r="U12" s="96"/>
      <c r="V12" s="168"/>
      <c r="W12" s="168"/>
      <c r="X12" s="1"/>
      <c r="Y12" s="1"/>
      <c r="Z12" s="171"/>
      <c r="AA12" s="1"/>
      <c r="AB12" s="170"/>
    </row>
    <row r="13">
      <c r="A13" s="172" t="s">
        <v>236</v>
      </c>
      <c r="B13" s="93">
        <v>10.93</v>
      </c>
      <c r="C13" s="93"/>
      <c r="D13" s="93"/>
      <c r="E13" s="168"/>
      <c r="F13" s="166"/>
      <c r="G13" s="168"/>
      <c r="H13" s="168"/>
      <c r="I13" s="168"/>
      <c r="J13" s="168"/>
      <c r="K13" s="168"/>
      <c r="L13" s="168"/>
      <c r="M13" s="168"/>
      <c r="N13" s="166"/>
      <c r="O13" s="168"/>
      <c r="P13" s="1"/>
      <c r="Q13" s="1"/>
      <c r="R13" s="168"/>
      <c r="S13" s="168"/>
      <c r="T13" s="1"/>
      <c r="U13" s="96"/>
      <c r="V13" s="168"/>
      <c r="W13" s="168"/>
      <c r="X13" s="1"/>
      <c r="Y13" s="1"/>
      <c r="Z13" s="174"/>
      <c r="AA13" s="1"/>
      <c r="AB13" s="170"/>
    </row>
    <row r="14">
      <c r="A14" s="172" t="s">
        <v>197</v>
      </c>
      <c r="B14" s="93"/>
      <c r="C14" s="93"/>
      <c r="D14" s="93"/>
      <c r="E14" s="168"/>
      <c r="F14" s="166"/>
      <c r="G14" s="168"/>
      <c r="H14" s="168"/>
      <c r="I14" s="168"/>
      <c r="J14" s="168"/>
      <c r="K14" s="168"/>
      <c r="L14" s="168"/>
      <c r="M14" s="168"/>
      <c r="N14" s="166"/>
      <c r="O14" s="168"/>
      <c r="P14" s="1"/>
      <c r="Q14" s="1"/>
      <c r="R14" s="168"/>
      <c r="S14" s="168"/>
      <c r="T14" s="1"/>
      <c r="U14" s="96"/>
      <c r="V14" s="168"/>
      <c r="W14" s="168"/>
      <c r="X14" s="1"/>
      <c r="Y14" s="1"/>
      <c r="Z14" s="174"/>
      <c r="AA14" s="1"/>
      <c r="AB14" s="170"/>
    </row>
    <row r="15">
      <c r="A15" s="165" t="s">
        <v>198</v>
      </c>
      <c r="B15" s="93">
        <f>169.6+130.92</f>
        <v>300.52</v>
      </c>
      <c r="C15" s="93"/>
      <c r="D15" s="93"/>
      <c r="E15" s="168"/>
      <c r="F15" s="166"/>
      <c r="G15" s="168"/>
      <c r="H15" s="168"/>
      <c r="I15" s="168"/>
      <c r="J15" s="168"/>
      <c r="K15" s="168"/>
      <c r="L15" s="168"/>
      <c r="M15" s="168"/>
      <c r="N15" s="166"/>
      <c r="O15" s="168"/>
      <c r="P15" s="1"/>
      <c r="Q15" s="1"/>
      <c r="R15" s="168"/>
      <c r="S15" s="168"/>
      <c r="T15" s="1"/>
      <c r="U15" s="96"/>
      <c r="V15" s="168"/>
      <c r="W15" s="168"/>
      <c r="X15" s="1"/>
      <c r="Y15" s="1"/>
      <c r="Z15" s="174"/>
      <c r="AA15" s="1"/>
      <c r="AB15" s="170"/>
    </row>
    <row r="16">
      <c r="A16" s="91"/>
      <c r="B16" s="92"/>
      <c r="C16" s="79"/>
      <c r="D16" s="79"/>
      <c r="E16" s="79"/>
      <c r="F16" s="78"/>
      <c r="G16" s="78"/>
      <c r="H16" s="78"/>
      <c r="K16" s="79"/>
      <c r="L16" s="79"/>
      <c r="M16" s="78"/>
      <c r="N16" s="79"/>
      <c r="O16" s="79"/>
      <c r="R16" s="79"/>
      <c r="S16" s="79"/>
      <c r="V16" s="79"/>
      <c r="W16" s="79"/>
      <c r="Z16" s="131"/>
      <c r="AB16" s="106"/>
    </row>
    <row r="17">
      <c r="A17" s="91"/>
      <c r="B17" s="92"/>
      <c r="C17" s="78"/>
      <c r="D17" s="78"/>
      <c r="E17" s="78"/>
      <c r="F17" s="198"/>
      <c r="G17" s="204"/>
      <c r="H17" s="204"/>
      <c r="I17" s="198"/>
      <c r="J17" s="199"/>
      <c r="K17" s="199"/>
      <c r="L17" s="200"/>
      <c r="M17" s="201"/>
      <c r="N17" s="202"/>
      <c r="O17" s="198"/>
      <c r="P17" s="198"/>
      <c r="Q17" s="198"/>
      <c r="R17" s="198"/>
      <c r="S17" s="198"/>
      <c r="V17" s="79"/>
      <c r="W17" s="79"/>
      <c r="Z17" s="131"/>
      <c r="AB17" s="106"/>
    </row>
    <row r="18">
      <c r="A18" s="4" t="s">
        <v>22</v>
      </c>
      <c r="B18" s="11">
        <v>10000.0</v>
      </c>
      <c r="C18" s="79"/>
      <c r="D18" s="79"/>
      <c r="E18" s="79"/>
      <c r="F18" s="204"/>
      <c r="G18" s="201"/>
      <c r="H18" s="201"/>
      <c r="I18" s="201"/>
      <c r="J18" s="201"/>
      <c r="K18" s="201"/>
      <c r="L18" s="198"/>
      <c r="M18" s="201"/>
      <c r="N18" s="200"/>
      <c r="O18" s="203"/>
      <c r="P18" s="198"/>
      <c r="Q18" s="198"/>
      <c r="R18" s="198"/>
      <c r="S18" s="198"/>
      <c r="T18" s="204"/>
      <c r="V18" s="79"/>
      <c r="W18" s="79"/>
      <c r="Z18" s="131"/>
      <c r="AB18" s="106"/>
    </row>
    <row r="19">
      <c r="A19" s="4" t="s">
        <v>23</v>
      </c>
      <c r="B19" s="12">
        <f>SUM(B2:X8)</f>
        <v>9876.62</v>
      </c>
      <c r="C19" s="79"/>
      <c r="D19" s="177"/>
      <c r="E19" s="78"/>
      <c r="F19" s="213"/>
      <c r="G19" s="201"/>
      <c r="H19" s="201"/>
      <c r="I19" s="201"/>
      <c r="J19" s="191"/>
      <c r="K19" s="201"/>
      <c r="L19" s="198"/>
      <c r="M19" s="200"/>
      <c r="N19" s="201"/>
      <c r="O19" s="203"/>
      <c r="P19" s="198"/>
      <c r="Q19" s="198"/>
      <c r="R19" s="198"/>
      <c r="S19" s="198"/>
      <c r="T19" s="204"/>
      <c r="V19" s="79"/>
      <c r="W19" s="79"/>
      <c r="Z19" s="131"/>
      <c r="AB19" s="106"/>
    </row>
    <row r="20">
      <c r="A20" s="4" t="s">
        <v>24</v>
      </c>
      <c r="B20" s="12">
        <f> SUM(B18-B19)</f>
        <v>123.38</v>
      </c>
      <c r="C20" s="79"/>
      <c r="D20" s="79"/>
      <c r="E20" s="78"/>
      <c r="F20" s="201"/>
      <c r="G20" s="214"/>
      <c r="H20" s="203"/>
      <c r="I20" s="203"/>
      <c r="J20" s="218"/>
      <c r="K20" s="199"/>
      <c r="L20" s="198"/>
      <c r="M20" s="201"/>
      <c r="N20" s="200"/>
      <c r="O20" s="203"/>
      <c r="P20" s="198"/>
      <c r="Q20" s="198"/>
      <c r="R20" s="198"/>
      <c r="S20" s="198"/>
      <c r="T20" s="204"/>
      <c r="V20" s="79"/>
      <c r="W20" s="79"/>
      <c r="Z20" s="131"/>
      <c r="AB20" s="106"/>
    </row>
    <row r="21">
      <c r="C21" s="79"/>
      <c r="D21" s="79"/>
      <c r="E21" s="78"/>
      <c r="F21" s="213"/>
      <c r="G21" s="214"/>
      <c r="H21" s="203"/>
      <c r="I21" s="205"/>
      <c r="J21" s="203"/>
      <c r="K21" s="203"/>
      <c r="L21" s="198"/>
      <c r="M21" s="201"/>
      <c r="N21" s="198"/>
      <c r="O21" s="203"/>
      <c r="P21" s="198"/>
      <c r="Q21" s="206"/>
      <c r="R21" s="198"/>
      <c r="S21" s="198"/>
      <c r="T21" s="204"/>
      <c r="V21" s="79"/>
      <c r="W21" s="79"/>
      <c r="Z21" s="131"/>
      <c r="AB21" s="106"/>
    </row>
    <row r="22">
      <c r="A22" s="13" t="s">
        <v>25</v>
      </c>
      <c r="B22" s="14">
        <f>SUM(Z2:Z8)</f>
        <v>43433.68</v>
      </c>
      <c r="C22" s="79"/>
      <c r="D22" s="79"/>
      <c r="E22" s="78"/>
      <c r="F22" s="201"/>
      <c r="G22" s="201"/>
      <c r="H22" s="201"/>
      <c r="I22" s="203"/>
      <c r="J22" s="203"/>
      <c r="K22" s="203"/>
      <c r="L22" s="198"/>
      <c r="M22" s="201"/>
      <c r="N22" s="198"/>
      <c r="O22" s="203"/>
      <c r="P22" s="198"/>
      <c r="Q22" s="198"/>
      <c r="R22" s="198"/>
      <c r="S22" s="198"/>
      <c r="T22" s="204"/>
      <c r="V22" s="79"/>
      <c r="W22" s="79"/>
      <c r="Z22" s="181"/>
      <c r="AB22" s="106"/>
    </row>
    <row r="23">
      <c r="A23" s="13" t="s">
        <v>26</v>
      </c>
      <c r="B23" s="15">
        <f>B19/B22</f>
        <v>0.2273954222</v>
      </c>
      <c r="C23" s="79"/>
      <c r="D23" s="79"/>
      <c r="E23" s="78"/>
      <c r="F23" s="204"/>
      <c r="G23" s="204"/>
      <c r="H23" s="224"/>
      <c r="I23" s="203"/>
      <c r="J23" s="203"/>
      <c r="K23" s="203"/>
      <c r="L23" s="198"/>
      <c r="M23" s="200"/>
      <c r="N23" s="203"/>
      <c r="O23" s="203"/>
      <c r="P23" s="198"/>
      <c r="Q23" s="198"/>
      <c r="R23" s="198"/>
      <c r="S23" s="198"/>
      <c r="T23" s="204"/>
      <c r="V23" s="79"/>
      <c r="W23" s="79"/>
      <c r="Z23" s="130"/>
      <c r="AB23" s="106"/>
    </row>
    <row r="24">
      <c r="C24" s="79"/>
      <c r="D24" s="79"/>
      <c r="E24" s="78"/>
      <c r="F24" s="204"/>
      <c r="G24" s="204"/>
      <c r="H24" s="213"/>
      <c r="I24" s="203"/>
      <c r="J24" s="203"/>
      <c r="K24" s="203"/>
      <c r="L24" s="198"/>
      <c r="M24" s="198"/>
      <c r="N24" s="198"/>
      <c r="O24" s="198"/>
      <c r="P24" s="198"/>
      <c r="Q24" s="198"/>
      <c r="R24" s="198"/>
      <c r="S24" s="198"/>
      <c r="T24" s="204"/>
      <c r="V24" s="79"/>
      <c r="W24" s="79"/>
      <c r="Z24" s="182"/>
      <c r="AB24" s="106"/>
    </row>
    <row r="25">
      <c r="C25" s="79"/>
      <c r="D25" s="79"/>
      <c r="E25" s="79"/>
      <c r="F25" s="204"/>
      <c r="G25" s="204"/>
      <c r="H25" s="213"/>
      <c r="I25" s="203"/>
      <c r="J25" s="203"/>
      <c r="K25" s="203"/>
      <c r="L25" s="198"/>
      <c r="M25" s="201"/>
      <c r="N25" s="198"/>
      <c r="O25" s="198"/>
      <c r="P25" s="198"/>
      <c r="Q25" s="198"/>
      <c r="R25" s="198"/>
      <c r="S25" s="198"/>
      <c r="T25" s="204"/>
      <c r="V25" s="79"/>
      <c r="W25" s="79"/>
      <c r="Z25" s="130"/>
      <c r="AB25" s="106"/>
    </row>
    <row r="26">
      <c r="A26" s="16" t="s">
        <v>27</v>
      </c>
      <c r="B26" s="17"/>
      <c r="C26" s="114"/>
      <c r="D26" s="114"/>
      <c r="E26" s="115"/>
      <c r="F26" s="204"/>
      <c r="G26" s="204"/>
      <c r="H26" s="213"/>
      <c r="I26" s="203"/>
      <c r="J26" s="203"/>
      <c r="K26" s="213"/>
      <c r="L26" s="208"/>
      <c r="M26" s="208"/>
      <c r="N26" s="198"/>
      <c r="O26" s="200"/>
      <c r="P26" s="198"/>
      <c r="Q26" s="198"/>
      <c r="R26" s="198"/>
      <c r="S26" s="198"/>
      <c r="T26" s="204"/>
      <c r="V26" s="79"/>
      <c r="W26" s="79"/>
      <c r="Z26" s="130"/>
      <c r="AB26" s="106"/>
    </row>
    <row r="27">
      <c r="A27" s="19" t="s">
        <v>28</v>
      </c>
      <c r="B27" s="20"/>
      <c r="C27" s="116"/>
      <c r="D27" s="116"/>
      <c r="E27" s="117"/>
      <c r="F27" s="204"/>
      <c r="G27" s="204"/>
      <c r="H27" s="213"/>
      <c r="I27" s="203"/>
      <c r="J27" s="203"/>
      <c r="K27" s="203"/>
      <c r="L27" s="209"/>
      <c r="M27" s="209"/>
      <c r="N27" s="201"/>
      <c r="O27" s="198"/>
      <c r="P27" s="198"/>
      <c r="Q27" s="198"/>
      <c r="R27" s="198"/>
      <c r="S27" s="198"/>
      <c r="T27" s="204"/>
      <c r="V27" s="79"/>
      <c r="W27" s="79"/>
      <c r="Z27" s="130"/>
      <c r="AB27" s="106"/>
    </row>
    <row r="28">
      <c r="A28" s="183" t="s">
        <v>29</v>
      </c>
      <c r="B28" s="184" t="s">
        <v>30</v>
      </c>
      <c r="C28" s="183"/>
      <c r="D28" s="183" t="s">
        <v>170</v>
      </c>
      <c r="E28" s="219" t="s">
        <v>171</v>
      </c>
      <c r="F28" s="204"/>
      <c r="G28" s="204"/>
      <c r="H28" s="213"/>
      <c r="I28" s="203"/>
      <c r="J28" s="203"/>
      <c r="K28" s="201"/>
      <c r="L28" s="209"/>
      <c r="M28" s="209"/>
      <c r="N28" s="198"/>
      <c r="O28" s="198"/>
      <c r="P28" s="198"/>
      <c r="Q28" s="198"/>
      <c r="R28" s="198"/>
      <c r="S28" s="198"/>
      <c r="T28" s="204"/>
      <c r="V28" s="79"/>
      <c r="W28" s="79"/>
      <c r="Z28" s="130"/>
      <c r="AB28" s="106"/>
    </row>
    <row r="29">
      <c r="A29" s="166" t="s">
        <v>41</v>
      </c>
      <c r="B29" s="93">
        <f>1508.44-502.81</f>
        <v>1005.63</v>
      </c>
      <c r="C29" s="168"/>
      <c r="D29" s="168"/>
      <c r="E29" s="166" t="s">
        <v>237</v>
      </c>
      <c r="F29" s="204"/>
      <c r="G29" s="204"/>
      <c r="H29" s="213"/>
      <c r="I29" s="203"/>
      <c r="J29" s="217"/>
      <c r="K29" s="201"/>
      <c r="L29" s="198"/>
      <c r="M29" s="198"/>
      <c r="N29" s="198"/>
      <c r="O29" s="198"/>
      <c r="P29" s="198"/>
      <c r="Q29" s="198"/>
      <c r="R29" s="198"/>
      <c r="S29" s="198"/>
      <c r="T29" s="204"/>
      <c r="V29" s="79"/>
      <c r="W29" s="79"/>
      <c r="Z29" s="130"/>
      <c r="AB29" s="106"/>
    </row>
    <row r="30">
      <c r="A30" s="166" t="s">
        <v>238</v>
      </c>
      <c r="B30" s="93">
        <v>238.46</v>
      </c>
      <c r="C30" s="168"/>
      <c r="D30" s="168"/>
      <c r="E30" s="166" t="s">
        <v>237</v>
      </c>
      <c r="F30" s="204"/>
      <c r="G30" s="204"/>
      <c r="H30" s="213"/>
      <c r="I30" s="203"/>
      <c r="J30" s="217"/>
      <c r="K30" s="201"/>
      <c r="L30" s="198"/>
      <c r="M30" s="198"/>
      <c r="N30" s="198"/>
      <c r="O30" s="198"/>
      <c r="P30" s="198"/>
      <c r="Q30" s="198"/>
      <c r="R30" s="198"/>
      <c r="S30" s="198"/>
      <c r="T30" s="204"/>
      <c r="V30" s="79"/>
      <c r="W30" s="79"/>
      <c r="Z30" s="130"/>
      <c r="AB30" s="106"/>
    </row>
    <row r="31">
      <c r="A31" s="166" t="s">
        <v>233</v>
      </c>
      <c r="B31" s="93">
        <v>254.78</v>
      </c>
      <c r="C31" s="168"/>
      <c r="D31" s="168"/>
      <c r="E31" s="166" t="s">
        <v>239</v>
      </c>
      <c r="M31" s="79"/>
      <c r="R31" s="79"/>
      <c r="S31" s="79"/>
      <c r="V31" s="79"/>
      <c r="W31" s="79"/>
      <c r="Z31" s="130"/>
      <c r="AB31" s="106"/>
    </row>
    <row r="32">
      <c r="A32" s="166" t="s">
        <v>240</v>
      </c>
      <c r="B32" s="93">
        <v>108.7</v>
      </c>
      <c r="C32" s="168"/>
      <c r="D32" s="168"/>
      <c r="E32" s="166" t="s">
        <v>237</v>
      </c>
      <c r="M32" s="79"/>
      <c r="R32" s="79"/>
      <c r="S32" s="79"/>
      <c r="V32" s="79"/>
      <c r="W32" s="79"/>
      <c r="Z32" s="130"/>
      <c r="AB32" s="106"/>
    </row>
    <row r="33">
      <c r="A33" s="166" t="s">
        <v>241</v>
      </c>
      <c r="B33" s="93">
        <v>550.0</v>
      </c>
      <c r="C33" s="168"/>
      <c r="D33" s="168"/>
      <c r="E33" s="166" t="s">
        <v>237</v>
      </c>
      <c r="M33" s="79"/>
      <c r="R33" s="79"/>
      <c r="S33" s="79"/>
      <c r="V33" s="79"/>
      <c r="W33" s="79"/>
      <c r="Z33" s="130"/>
      <c r="AB33" s="106"/>
    </row>
    <row r="34">
      <c r="A34" s="166" t="s">
        <v>92</v>
      </c>
      <c r="B34" s="93">
        <v>247.5</v>
      </c>
      <c r="C34" s="168"/>
      <c r="D34" s="168"/>
      <c r="E34" s="166" t="s">
        <v>239</v>
      </c>
      <c r="M34" s="79"/>
      <c r="R34" s="79"/>
      <c r="S34" s="79"/>
      <c r="V34" s="79"/>
      <c r="W34" s="79"/>
      <c r="Z34" s="130"/>
      <c r="AB34" s="106"/>
    </row>
    <row r="35">
      <c r="C35" s="79"/>
      <c r="D35" s="79"/>
      <c r="E35" s="79"/>
      <c r="M35" s="79"/>
      <c r="R35" s="79"/>
      <c r="S35" s="79"/>
      <c r="V35" s="79"/>
      <c r="W35" s="79"/>
      <c r="Z35" s="130"/>
      <c r="AB35" s="106"/>
    </row>
    <row r="36">
      <c r="C36" s="79"/>
      <c r="D36" s="79"/>
      <c r="E36" s="79"/>
      <c r="M36" s="79"/>
      <c r="R36" s="79"/>
      <c r="S36" s="79"/>
      <c r="V36" s="79"/>
      <c r="W36" s="79"/>
      <c r="Z36" s="130"/>
      <c r="AB36" s="106"/>
    </row>
    <row r="37">
      <c r="C37" s="79"/>
      <c r="D37" s="79"/>
      <c r="E37" s="79"/>
      <c r="M37" s="79"/>
      <c r="R37" s="79"/>
      <c r="S37" s="79"/>
      <c r="V37" s="79"/>
      <c r="W37" s="79"/>
      <c r="Z37" s="130"/>
      <c r="AB37" s="106"/>
    </row>
    <row r="38">
      <c r="C38" s="79"/>
      <c r="D38" s="79"/>
      <c r="E38" s="79"/>
      <c r="M38" s="79"/>
      <c r="R38" s="79"/>
      <c r="S38" s="79"/>
      <c r="V38" s="79"/>
      <c r="W38" s="79"/>
      <c r="Z38" s="130"/>
      <c r="AB38" s="106"/>
    </row>
    <row r="39">
      <c r="C39" s="79"/>
      <c r="D39" s="79"/>
      <c r="E39" s="79"/>
      <c r="M39" s="79"/>
      <c r="R39" s="79"/>
      <c r="S39" s="79"/>
      <c r="V39" s="79"/>
      <c r="W39" s="79"/>
      <c r="Z39" s="130"/>
      <c r="AB39" s="106"/>
    </row>
    <row r="40">
      <c r="C40" s="79"/>
      <c r="D40" s="79"/>
      <c r="E40" s="79"/>
      <c r="M40" s="79"/>
      <c r="R40" s="79"/>
      <c r="S40" s="79"/>
      <c r="V40" s="79"/>
      <c r="W40" s="79"/>
      <c r="Z40" s="130"/>
      <c r="AB40" s="106"/>
    </row>
    <row r="41">
      <c r="C41" s="79"/>
      <c r="D41" s="79"/>
      <c r="E41" s="79"/>
      <c r="M41" s="79"/>
      <c r="R41" s="79"/>
      <c r="S41" s="79"/>
      <c r="V41" s="79"/>
      <c r="W41" s="79"/>
      <c r="Z41" s="130"/>
      <c r="AB41" s="106"/>
    </row>
    <row r="42">
      <c r="C42" s="79"/>
      <c r="D42" s="79"/>
      <c r="E42" s="79"/>
      <c r="M42" s="79"/>
      <c r="R42" s="79"/>
      <c r="S42" s="79"/>
      <c r="V42" s="79"/>
      <c r="W42" s="79"/>
      <c r="Z42" s="130"/>
      <c r="AB42" s="106"/>
    </row>
    <row r="43">
      <c r="C43" s="79"/>
      <c r="D43" s="79"/>
      <c r="E43" s="79"/>
      <c r="M43" s="79"/>
      <c r="R43" s="79"/>
      <c r="S43" s="79"/>
      <c r="V43" s="79"/>
      <c r="W43" s="79"/>
      <c r="Z43" s="130"/>
      <c r="AB43" s="106"/>
    </row>
    <row r="44">
      <c r="C44" s="79"/>
      <c r="D44" s="79"/>
      <c r="E44" s="79"/>
      <c r="M44" s="79"/>
      <c r="R44" s="79"/>
      <c r="S44" s="79"/>
      <c r="V44" s="79"/>
      <c r="W44" s="79"/>
      <c r="Z44" s="130"/>
      <c r="AB44" s="106"/>
    </row>
    <row r="45">
      <c r="C45" s="79"/>
      <c r="D45" s="79"/>
      <c r="E45" s="79"/>
      <c r="M45" s="79"/>
      <c r="R45" s="79"/>
      <c r="S45" s="79"/>
      <c r="V45" s="79"/>
      <c r="W45" s="79"/>
      <c r="Z45" s="130"/>
      <c r="AB45" s="106"/>
    </row>
    <row r="46">
      <c r="C46" s="79"/>
      <c r="D46" s="79"/>
      <c r="E46" s="79"/>
      <c r="M46" s="79"/>
      <c r="R46" s="79"/>
      <c r="S46" s="79"/>
      <c r="V46" s="79"/>
      <c r="W46" s="79"/>
      <c r="Z46" s="130"/>
      <c r="AB46" s="106"/>
    </row>
    <row r="47">
      <c r="C47" s="79"/>
      <c r="D47" s="79"/>
      <c r="E47" s="79"/>
      <c r="M47" s="79"/>
      <c r="R47" s="79"/>
      <c r="S47" s="79"/>
      <c r="V47" s="79"/>
      <c r="W47" s="79"/>
      <c r="Z47" s="130"/>
      <c r="AB47" s="106"/>
    </row>
    <row r="48">
      <c r="C48" s="79"/>
      <c r="D48" s="79"/>
      <c r="E48" s="79"/>
      <c r="M48" s="79"/>
      <c r="R48" s="79"/>
      <c r="S48" s="79"/>
      <c r="V48" s="79"/>
      <c r="W48" s="79"/>
      <c r="Z48" s="130"/>
      <c r="AB48" s="106"/>
    </row>
    <row r="49">
      <c r="C49" s="79"/>
      <c r="D49" s="79"/>
      <c r="E49" s="79"/>
      <c r="M49" s="79"/>
      <c r="R49" s="79"/>
      <c r="S49" s="79"/>
      <c r="V49" s="79"/>
      <c r="W49" s="79"/>
      <c r="Z49" s="130"/>
      <c r="AB49" s="106"/>
    </row>
    <row r="50">
      <c r="C50" s="79"/>
      <c r="D50" s="79"/>
      <c r="E50" s="79"/>
      <c r="M50" s="79"/>
      <c r="R50" s="79"/>
      <c r="S50" s="79"/>
      <c r="V50" s="79"/>
      <c r="W50" s="79"/>
      <c r="Z50" s="130"/>
      <c r="AB50" s="106"/>
    </row>
    <row r="51">
      <c r="C51" s="79"/>
      <c r="D51" s="79"/>
      <c r="E51" s="79"/>
      <c r="M51" s="79"/>
      <c r="R51" s="79"/>
      <c r="S51" s="79"/>
      <c r="V51" s="79"/>
      <c r="W51" s="79"/>
      <c r="Z51" s="130"/>
      <c r="AB51" s="106"/>
    </row>
    <row r="52">
      <c r="C52" s="79"/>
      <c r="D52" s="79"/>
      <c r="E52" s="79"/>
      <c r="M52" s="79"/>
      <c r="R52" s="79"/>
      <c r="S52" s="79"/>
      <c r="V52" s="79"/>
      <c r="W52" s="79"/>
      <c r="Z52" s="130"/>
      <c r="AB52" s="106"/>
    </row>
    <row r="53">
      <c r="C53" s="79"/>
      <c r="D53" s="79"/>
      <c r="E53" s="79"/>
      <c r="M53" s="79"/>
      <c r="R53" s="79"/>
      <c r="S53" s="79"/>
      <c r="V53" s="79"/>
      <c r="W53" s="79"/>
      <c r="Z53" s="130"/>
      <c r="AB53" s="106"/>
    </row>
    <row r="54">
      <c r="C54" s="79"/>
      <c r="D54" s="79"/>
      <c r="E54" s="79"/>
      <c r="M54" s="79"/>
      <c r="R54" s="79"/>
      <c r="S54" s="79"/>
      <c r="V54" s="79"/>
      <c r="W54" s="79"/>
      <c r="Z54" s="130"/>
      <c r="AB54" s="106"/>
    </row>
    <row r="55">
      <c r="C55" s="79"/>
      <c r="D55" s="79"/>
      <c r="E55" s="79"/>
      <c r="M55" s="79"/>
      <c r="R55" s="79"/>
      <c r="S55" s="79"/>
      <c r="V55" s="79"/>
      <c r="W55" s="79"/>
      <c r="Z55" s="130"/>
      <c r="AB55" s="106"/>
    </row>
    <row r="56">
      <c r="C56" s="79"/>
      <c r="D56" s="79"/>
      <c r="E56" s="79"/>
      <c r="M56" s="79"/>
      <c r="R56" s="79"/>
      <c r="S56" s="79"/>
      <c r="V56" s="79"/>
      <c r="W56" s="79"/>
      <c r="Z56" s="130"/>
      <c r="AB56" s="106"/>
    </row>
    <row r="57">
      <c r="C57" s="79"/>
      <c r="D57" s="79"/>
      <c r="E57" s="79"/>
      <c r="M57" s="79"/>
      <c r="R57" s="79"/>
      <c r="S57" s="79"/>
      <c r="V57" s="79"/>
      <c r="W57" s="79"/>
      <c r="Z57" s="130"/>
      <c r="AB57" s="106"/>
    </row>
    <row r="58">
      <c r="C58" s="79"/>
      <c r="D58" s="79"/>
      <c r="E58" s="79"/>
      <c r="M58" s="79"/>
      <c r="R58" s="79"/>
      <c r="S58" s="79"/>
      <c r="V58" s="79"/>
      <c r="W58" s="79"/>
      <c r="Z58" s="130"/>
      <c r="AB58" s="106"/>
    </row>
    <row r="59">
      <c r="C59" s="79"/>
      <c r="D59" s="79"/>
      <c r="E59" s="79"/>
      <c r="M59" s="79"/>
      <c r="R59" s="79"/>
      <c r="S59" s="79"/>
      <c r="V59" s="79"/>
      <c r="W59" s="79"/>
      <c r="Z59" s="130"/>
      <c r="AB59" s="106"/>
    </row>
    <row r="60">
      <c r="C60" s="79"/>
      <c r="D60" s="79"/>
      <c r="E60" s="79"/>
      <c r="M60" s="79"/>
      <c r="R60" s="79"/>
      <c r="S60" s="79"/>
      <c r="V60" s="79"/>
      <c r="W60" s="79"/>
      <c r="Z60" s="130"/>
      <c r="AB60" s="106"/>
    </row>
    <row r="61">
      <c r="C61" s="79"/>
      <c r="D61" s="79"/>
      <c r="E61" s="79"/>
      <c r="M61" s="79"/>
      <c r="R61" s="79"/>
      <c r="S61" s="79"/>
      <c r="V61" s="79"/>
      <c r="W61" s="79"/>
      <c r="Z61" s="130"/>
      <c r="AB61" s="106"/>
    </row>
    <row r="62">
      <c r="C62" s="79"/>
      <c r="D62" s="79"/>
      <c r="E62" s="79"/>
      <c r="M62" s="79"/>
      <c r="R62" s="79"/>
      <c r="S62" s="79"/>
      <c r="V62" s="79"/>
      <c r="W62" s="79"/>
      <c r="Z62" s="130"/>
      <c r="AB62" s="106"/>
    </row>
    <row r="63">
      <c r="C63" s="79"/>
      <c r="D63" s="79"/>
      <c r="E63" s="79"/>
      <c r="M63" s="79"/>
      <c r="R63" s="79"/>
      <c r="S63" s="79"/>
      <c r="V63" s="79"/>
      <c r="W63" s="79"/>
      <c r="Z63" s="130"/>
      <c r="AB63" s="106"/>
    </row>
    <row r="64">
      <c r="C64" s="79"/>
      <c r="D64" s="79"/>
      <c r="E64" s="79"/>
      <c r="M64" s="79"/>
      <c r="R64" s="79"/>
      <c r="S64" s="79"/>
      <c r="V64" s="79"/>
      <c r="W64" s="79"/>
      <c r="Z64" s="130"/>
      <c r="AB64" s="106"/>
    </row>
    <row r="65">
      <c r="C65" s="79"/>
      <c r="D65" s="79"/>
      <c r="E65" s="79"/>
      <c r="M65" s="79"/>
      <c r="R65" s="79"/>
      <c r="S65" s="79"/>
      <c r="V65" s="79"/>
      <c r="W65" s="79"/>
      <c r="Z65" s="130"/>
      <c r="AB65" s="106"/>
    </row>
    <row r="66">
      <c r="C66" s="79"/>
      <c r="D66" s="79"/>
      <c r="E66" s="79"/>
      <c r="M66" s="79"/>
      <c r="R66" s="79"/>
      <c r="S66" s="79"/>
      <c r="V66" s="79"/>
      <c r="W66" s="79"/>
      <c r="Z66" s="130"/>
      <c r="AB66" s="106"/>
    </row>
    <row r="67">
      <c r="C67" s="79"/>
      <c r="D67" s="79"/>
      <c r="E67" s="79"/>
      <c r="M67" s="79"/>
      <c r="R67" s="79"/>
      <c r="S67" s="79"/>
      <c r="V67" s="79"/>
      <c r="W67" s="79"/>
      <c r="Z67" s="130"/>
      <c r="AB67" s="106"/>
    </row>
    <row r="68">
      <c r="C68" s="79"/>
      <c r="D68" s="79"/>
      <c r="E68" s="79"/>
      <c r="M68" s="79"/>
      <c r="R68" s="79"/>
      <c r="S68" s="79"/>
      <c r="V68" s="79"/>
      <c r="W68" s="79"/>
      <c r="Z68" s="130"/>
      <c r="AB68" s="106"/>
    </row>
    <row r="69">
      <c r="C69" s="79"/>
      <c r="D69" s="79"/>
      <c r="E69" s="79"/>
      <c r="M69" s="79"/>
      <c r="R69" s="79"/>
      <c r="S69" s="79"/>
      <c r="V69" s="79"/>
      <c r="W69" s="79"/>
      <c r="Z69" s="130"/>
      <c r="AB69" s="106"/>
    </row>
    <row r="70">
      <c r="C70" s="79"/>
      <c r="D70" s="79"/>
      <c r="E70" s="79"/>
      <c r="M70" s="79"/>
      <c r="R70" s="79"/>
      <c r="S70" s="79"/>
      <c r="V70" s="79"/>
      <c r="W70" s="79"/>
      <c r="Z70" s="130"/>
      <c r="AB70" s="106"/>
    </row>
    <row r="71">
      <c r="C71" s="79"/>
      <c r="D71" s="79"/>
      <c r="E71" s="79"/>
      <c r="M71" s="79"/>
      <c r="R71" s="79"/>
      <c r="S71" s="79"/>
      <c r="V71" s="79"/>
      <c r="W71" s="79"/>
      <c r="Z71" s="130"/>
      <c r="AB71" s="106"/>
    </row>
    <row r="72">
      <c r="C72" s="79"/>
      <c r="D72" s="79"/>
      <c r="E72" s="79"/>
      <c r="M72" s="79"/>
      <c r="R72" s="79"/>
      <c r="S72" s="79"/>
      <c r="V72" s="79"/>
      <c r="W72" s="79"/>
      <c r="Z72" s="130"/>
      <c r="AB72" s="106"/>
    </row>
    <row r="73">
      <c r="C73" s="79"/>
      <c r="D73" s="79"/>
      <c r="E73" s="79"/>
      <c r="M73" s="79"/>
      <c r="R73" s="79"/>
      <c r="S73" s="79"/>
      <c r="V73" s="79"/>
      <c r="W73" s="79"/>
      <c r="Z73" s="130"/>
      <c r="AB73" s="106"/>
    </row>
    <row r="74">
      <c r="C74" s="79"/>
      <c r="D74" s="79"/>
      <c r="E74" s="79"/>
      <c r="M74" s="79"/>
      <c r="R74" s="79"/>
      <c r="S74" s="79"/>
      <c r="V74" s="79"/>
      <c r="W74" s="79"/>
      <c r="Z74" s="130"/>
      <c r="AB74" s="106"/>
    </row>
    <row r="75">
      <c r="C75" s="79"/>
      <c r="D75" s="79"/>
      <c r="E75" s="79"/>
      <c r="M75" s="79"/>
      <c r="R75" s="79"/>
      <c r="S75" s="79"/>
      <c r="V75" s="79"/>
      <c r="W75" s="79"/>
      <c r="Z75" s="130"/>
      <c r="AB75" s="106"/>
    </row>
    <row r="76">
      <c r="C76" s="79"/>
      <c r="D76" s="79"/>
      <c r="E76" s="79"/>
      <c r="M76" s="79"/>
      <c r="R76" s="79"/>
      <c r="S76" s="79"/>
      <c r="V76" s="79"/>
      <c r="W76" s="79"/>
      <c r="Z76" s="130"/>
      <c r="AB76" s="106"/>
    </row>
    <row r="77">
      <c r="C77" s="79"/>
      <c r="D77" s="79"/>
      <c r="E77" s="79"/>
      <c r="M77" s="79"/>
      <c r="R77" s="79"/>
      <c r="S77" s="79"/>
      <c r="V77" s="79"/>
      <c r="W77" s="79"/>
      <c r="Z77" s="130"/>
      <c r="AB77" s="106"/>
    </row>
    <row r="78">
      <c r="C78" s="79"/>
      <c r="D78" s="79"/>
      <c r="E78" s="79"/>
      <c r="M78" s="79"/>
      <c r="R78" s="79"/>
      <c r="S78" s="79"/>
      <c r="V78" s="79"/>
      <c r="W78" s="79"/>
      <c r="Z78" s="130"/>
      <c r="AB78" s="106"/>
    </row>
    <row r="79">
      <c r="C79" s="79"/>
      <c r="D79" s="79"/>
      <c r="E79" s="79"/>
      <c r="M79" s="79"/>
      <c r="R79" s="79"/>
      <c r="S79" s="79"/>
      <c r="V79" s="79"/>
      <c r="W79" s="79"/>
      <c r="Z79" s="130"/>
      <c r="AB79" s="106"/>
    </row>
    <row r="80">
      <c r="C80" s="79"/>
      <c r="D80" s="79"/>
      <c r="E80" s="79"/>
      <c r="M80" s="79"/>
      <c r="R80" s="79"/>
      <c r="S80" s="79"/>
      <c r="V80" s="79"/>
      <c r="W80" s="79"/>
      <c r="Z80" s="130"/>
      <c r="AB80" s="106"/>
    </row>
    <row r="81">
      <c r="C81" s="79"/>
      <c r="D81" s="79"/>
      <c r="E81" s="79"/>
      <c r="M81" s="79"/>
      <c r="R81" s="79"/>
      <c r="S81" s="79"/>
      <c r="V81" s="79"/>
      <c r="W81" s="79"/>
      <c r="Z81" s="130"/>
      <c r="AB81" s="106"/>
    </row>
    <row r="82">
      <c r="C82" s="79"/>
      <c r="D82" s="79"/>
      <c r="E82" s="79"/>
      <c r="M82" s="79"/>
      <c r="R82" s="79"/>
      <c r="S82" s="79"/>
      <c r="V82" s="79"/>
      <c r="W82" s="79"/>
      <c r="Z82" s="130"/>
      <c r="AB82" s="106"/>
    </row>
    <row r="83">
      <c r="C83" s="79"/>
      <c r="D83" s="79"/>
      <c r="E83" s="79"/>
      <c r="M83" s="79"/>
      <c r="R83" s="79"/>
      <c r="S83" s="79"/>
      <c r="V83" s="79"/>
      <c r="W83" s="79"/>
      <c r="Z83" s="130"/>
      <c r="AB83" s="106"/>
    </row>
    <row r="84">
      <c r="C84" s="79"/>
      <c r="D84" s="79"/>
      <c r="E84" s="79"/>
      <c r="M84" s="79"/>
      <c r="R84" s="79"/>
      <c r="S84" s="79"/>
      <c r="V84" s="79"/>
      <c r="W84" s="79"/>
      <c r="Z84" s="130"/>
      <c r="AB84" s="106"/>
    </row>
    <row r="85">
      <c r="C85" s="79"/>
      <c r="D85" s="79"/>
      <c r="E85" s="79"/>
      <c r="M85" s="79"/>
      <c r="R85" s="79"/>
      <c r="S85" s="79"/>
      <c r="V85" s="79"/>
      <c r="W85" s="79"/>
      <c r="Z85" s="130"/>
      <c r="AB85" s="106"/>
    </row>
    <row r="86">
      <c r="C86" s="79"/>
      <c r="D86" s="79"/>
      <c r="E86" s="79"/>
      <c r="M86" s="79"/>
      <c r="R86" s="79"/>
      <c r="S86" s="79"/>
      <c r="V86" s="79"/>
      <c r="W86" s="79"/>
      <c r="Z86" s="130"/>
      <c r="AB86" s="106"/>
    </row>
    <row r="87">
      <c r="C87" s="79"/>
      <c r="D87" s="79"/>
      <c r="E87" s="79"/>
      <c r="M87" s="79"/>
      <c r="R87" s="79"/>
      <c r="S87" s="79"/>
      <c r="V87" s="79"/>
      <c r="W87" s="79"/>
      <c r="Z87" s="130"/>
      <c r="AB87" s="106"/>
    </row>
    <row r="88">
      <c r="C88" s="79"/>
      <c r="D88" s="79"/>
      <c r="E88" s="79"/>
      <c r="M88" s="79"/>
      <c r="R88" s="79"/>
      <c r="S88" s="79"/>
      <c r="V88" s="79"/>
      <c r="W88" s="79"/>
      <c r="Z88" s="130"/>
      <c r="AB88" s="106"/>
    </row>
    <row r="89">
      <c r="C89" s="79"/>
      <c r="D89" s="79"/>
      <c r="E89" s="79"/>
      <c r="M89" s="79"/>
      <c r="R89" s="79"/>
      <c r="S89" s="79"/>
      <c r="V89" s="79"/>
      <c r="W89" s="79"/>
      <c r="Z89" s="130"/>
      <c r="AB89" s="106"/>
    </row>
    <row r="90">
      <c r="C90" s="79"/>
      <c r="D90" s="79"/>
      <c r="E90" s="79"/>
      <c r="M90" s="79"/>
      <c r="R90" s="79"/>
      <c r="S90" s="79"/>
      <c r="V90" s="79"/>
      <c r="W90" s="79"/>
      <c r="Z90" s="130"/>
      <c r="AB90" s="106"/>
    </row>
    <row r="91">
      <c r="C91" s="79"/>
      <c r="D91" s="79"/>
      <c r="E91" s="79"/>
      <c r="M91" s="79"/>
      <c r="R91" s="79"/>
      <c r="S91" s="79"/>
      <c r="V91" s="79"/>
      <c r="W91" s="79"/>
      <c r="Z91" s="130"/>
      <c r="AB91" s="106"/>
    </row>
    <row r="92">
      <c r="C92" s="79"/>
      <c r="D92" s="79"/>
      <c r="E92" s="79"/>
      <c r="M92" s="79"/>
      <c r="R92" s="79"/>
      <c r="S92" s="79"/>
      <c r="V92" s="79"/>
      <c r="W92" s="79"/>
      <c r="Z92" s="130"/>
      <c r="AB92" s="106"/>
    </row>
    <row r="93">
      <c r="C93" s="79"/>
      <c r="D93" s="79"/>
      <c r="E93" s="79"/>
      <c r="M93" s="79"/>
      <c r="R93" s="79"/>
      <c r="S93" s="79"/>
      <c r="V93" s="79"/>
      <c r="W93" s="79"/>
      <c r="Z93" s="130"/>
      <c r="AB93" s="106"/>
    </row>
    <row r="94">
      <c r="C94" s="79"/>
      <c r="D94" s="79"/>
      <c r="E94" s="79"/>
      <c r="M94" s="79"/>
      <c r="R94" s="79"/>
      <c r="S94" s="79"/>
      <c r="V94" s="79"/>
      <c r="W94" s="79"/>
      <c r="Z94" s="130"/>
      <c r="AB94" s="106"/>
    </row>
    <row r="95">
      <c r="C95" s="79"/>
      <c r="D95" s="79"/>
      <c r="E95" s="79"/>
      <c r="M95" s="79"/>
      <c r="R95" s="79"/>
      <c r="S95" s="79"/>
      <c r="V95" s="79"/>
      <c r="W95" s="79"/>
      <c r="Z95" s="130"/>
      <c r="AB95" s="106"/>
    </row>
    <row r="96">
      <c r="C96" s="79"/>
      <c r="D96" s="79"/>
      <c r="E96" s="79"/>
      <c r="M96" s="79"/>
      <c r="R96" s="79"/>
      <c r="S96" s="79"/>
      <c r="V96" s="79"/>
      <c r="W96" s="79"/>
      <c r="Z96" s="130"/>
      <c r="AB96" s="106"/>
    </row>
    <row r="97">
      <c r="C97" s="79"/>
      <c r="D97" s="79"/>
      <c r="E97" s="79"/>
      <c r="M97" s="79"/>
      <c r="R97" s="79"/>
      <c r="S97" s="79"/>
      <c r="V97" s="79"/>
      <c r="W97" s="79"/>
      <c r="Z97" s="130"/>
      <c r="AB97" s="106"/>
    </row>
    <row r="98">
      <c r="C98" s="79"/>
      <c r="D98" s="79"/>
      <c r="E98" s="79"/>
      <c r="M98" s="79"/>
      <c r="R98" s="79"/>
      <c r="S98" s="79"/>
      <c r="V98" s="79"/>
      <c r="W98" s="79"/>
      <c r="Z98" s="130"/>
      <c r="AB98" s="106"/>
    </row>
    <row r="99">
      <c r="C99" s="79"/>
      <c r="D99" s="79"/>
      <c r="E99" s="79"/>
      <c r="M99" s="79"/>
      <c r="R99" s="79"/>
      <c r="S99" s="79"/>
      <c r="V99" s="79"/>
      <c r="W99" s="79"/>
      <c r="Z99" s="130"/>
      <c r="AB99" s="106"/>
    </row>
    <row r="100">
      <c r="C100" s="79"/>
      <c r="D100" s="79"/>
      <c r="E100" s="79"/>
      <c r="M100" s="79"/>
      <c r="R100" s="79"/>
      <c r="S100" s="79"/>
      <c r="V100" s="79"/>
      <c r="W100" s="79"/>
      <c r="Z100" s="130"/>
      <c r="AB100" s="106"/>
    </row>
    <row r="101">
      <c r="C101" s="79"/>
      <c r="D101" s="79"/>
      <c r="E101" s="79"/>
      <c r="M101" s="79"/>
      <c r="R101" s="79"/>
      <c r="S101" s="79"/>
      <c r="V101" s="79"/>
      <c r="W101" s="79"/>
      <c r="Z101" s="130"/>
      <c r="AB101" s="106"/>
    </row>
    <row r="102">
      <c r="C102" s="79"/>
      <c r="D102" s="79"/>
      <c r="E102" s="79"/>
      <c r="M102" s="79"/>
      <c r="R102" s="79"/>
      <c r="S102" s="79"/>
      <c r="V102" s="79"/>
      <c r="W102" s="79"/>
      <c r="Z102" s="130"/>
      <c r="AB102" s="106"/>
    </row>
    <row r="103">
      <c r="C103" s="79"/>
      <c r="D103" s="79"/>
      <c r="E103" s="79"/>
      <c r="M103" s="79"/>
      <c r="R103" s="79"/>
      <c r="S103" s="79"/>
      <c r="V103" s="79"/>
      <c r="W103" s="79"/>
      <c r="Z103" s="130"/>
      <c r="AB103" s="106"/>
    </row>
    <row r="104">
      <c r="C104" s="79"/>
      <c r="D104" s="79"/>
      <c r="E104" s="79"/>
      <c r="M104" s="79"/>
      <c r="R104" s="79"/>
      <c r="S104" s="79"/>
      <c r="V104" s="79"/>
      <c r="W104" s="79"/>
      <c r="Z104" s="130"/>
      <c r="AB104" s="106"/>
    </row>
    <row r="105">
      <c r="C105" s="79"/>
      <c r="D105" s="79"/>
      <c r="E105" s="79"/>
      <c r="M105" s="79"/>
      <c r="R105" s="79"/>
      <c r="S105" s="79"/>
      <c r="V105" s="79"/>
      <c r="W105" s="79"/>
      <c r="Z105" s="130"/>
      <c r="AB105" s="106"/>
    </row>
    <row r="106">
      <c r="C106" s="79"/>
      <c r="D106" s="79"/>
      <c r="E106" s="79"/>
      <c r="M106" s="79"/>
      <c r="R106" s="79"/>
      <c r="S106" s="79"/>
      <c r="V106" s="79"/>
      <c r="W106" s="79"/>
      <c r="Z106" s="130"/>
      <c r="AB106" s="106"/>
    </row>
    <row r="107">
      <c r="C107" s="79"/>
      <c r="D107" s="79"/>
      <c r="E107" s="79"/>
      <c r="M107" s="79"/>
      <c r="R107" s="79"/>
      <c r="S107" s="79"/>
      <c r="V107" s="79"/>
      <c r="W107" s="79"/>
      <c r="Z107" s="130"/>
      <c r="AB107" s="106"/>
    </row>
    <row r="108">
      <c r="C108" s="79"/>
      <c r="D108" s="79"/>
      <c r="E108" s="79"/>
      <c r="M108" s="79"/>
      <c r="R108" s="79"/>
      <c r="S108" s="79"/>
      <c r="V108" s="79"/>
      <c r="W108" s="79"/>
      <c r="Z108" s="130"/>
      <c r="AB108" s="106"/>
    </row>
    <row r="109">
      <c r="C109" s="79"/>
      <c r="D109" s="79"/>
      <c r="E109" s="79"/>
      <c r="M109" s="79"/>
      <c r="R109" s="79"/>
      <c r="S109" s="79"/>
      <c r="V109" s="79"/>
      <c r="W109" s="79"/>
      <c r="Z109" s="130"/>
      <c r="AB109" s="106"/>
    </row>
    <row r="110">
      <c r="C110" s="79"/>
      <c r="D110" s="79"/>
      <c r="E110" s="79"/>
      <c r="M110" s="79"/>
      <c r="R110" s="79"/>
      <c r="S110" s="79"/>
      <c r="V110" s="79"/>
      <c r="W110" s="79"/>
      <c r="Z110" s="130"/>
      <c r="AB110" s="106"/>
    </row>
    <row r="111">
      <c r="C111" s="79"/>
      <c r="D111" s="79"/>
      <c r="E111" s="79"/>
      <c r="M111" s="79"/>
      <c r="R111" s="79"/>
      <c r="S111" s="79"/>
      <c r="V111" s="79"/>
      <c r="W111" s="79"/>
      <c r="Z111" s="130"/>
      <c r="AB111" s="106"/>
    </row>
    <row r="112">
      <c r="C112" s="79"/>
      <c r="D112" s="79"/>
      <c r="E112" s="79"/>
      <c r="M112" s="79"/>
      <c r="R112" s="79"/>
      <c r="S112" s="79"/>
      <c r="V112" s="79"/>
      <c r="W112" s="79"/>
      <c r="Z112" s="130"/>
      <c r="AB112" s="106"/>
    </row>
    <row r="113">
      <c r="C113" s="79"/>
      <c r="D113" s="79"/>
      <c r="E113" s="79"/>
      <c r="M113" s="79"/>
      <c r="R113" s="79"/>
      <c r="S113" s="79"/>
      <c r="V113" s="79"/>
      <c r="W113" s="79"/>
      <c r="Z113" s="130"/>
      <c r="AB113" s="106"/>
    </row>
    <row r="114">
      <c r="C114" s="79"/>
      <c r="D114" s="79"/>
      <c r="E114" s="79"/>
      <c r="M114" s="79"/>
      <c r="R114" s="79"/>
      <c r="S114" s="79"/>
      <c r="V114" s="79"/>
      <c r="W114" s="79"/>
      <c r="Z114" s="130"/>
      <c r="AB114" s="106"/>
    </row>
    <row r="115">
      <c r="C115" s="79"/>
      <c r="D115" s="79"/>
      <c r="E115" s="79"/>
      <c r="M115" s="79"/>
      <c r="R115" s="79"/>
      <c r="S115" s="79"/>
      <c r="V115" s="79"/>
      <c r="W115" s="79"/>
      <c r="Z115" s="130"/>
      <c r="AB115" s="106"/>
    </row>
    <row r="116">
      <c r="C116" s="79"/>
      <c r="D116" s="79"/>
      <c r="E116" s="79"/>
      <c r="M116" s="79"/>
      <c r="R116" s="79"/>
      <c r="S116" s="79"/>
      <c r="V116" s="79"/>
      <c r="W116" s="79"/>
      <c r="Z116" s="130"/>
      <c r="AB116" s="106"/>
    </row>
    <row r="117">
      <c r="C117" s="79"/>
      <c r="D117" s="79"/>
      <c r="E117" s="79"/>
      <c r="M117" s="79"/>
      <c r="R117" s="79"/>
      <c r="S117" s="79"/>
      <c r="V117" s="79"/>
      <c r="W117" s="79"/>
      <c r="Z117" s="130"/>
      <c r="AB117" s="106"/>
    </row>
    <row r="118">
      <c r="C118" s="79"/>
      <c r="D118" s="79"/>
      <c r="E118" s="79"/>
      <c r="M118" s="79"/>
      <c r="R118" s="79"/>
      <c r="S118" s="79"/>
      <c r="V118" s="79"/>
      <c r="W118" s="79"/>
      <c r="Z118" s="130"/>
      <c r="AB118" s="106"/>
    </row>
    <row r="119">
      <c r="C119" s="79"/>
      <c r="D119" s="79"/>
      <c r="E119" s="79"/>
      <c r="M119" s="79"/>
      <c r="R119" s="79"/>
      <c r="S119" s="79"/>
      <c r="V119" s="79"/>
      <c r="W119" s="79"/>
      <c r="Z119" s="130"/>
      <c r="AB119" s="106"/>
    </row>
    <row r="120">
      <c r="C120" s="79"/>
      <c r="D120" s="79"/>
      <c r="E120" s="79"/>
      <c r="M120" s="79"/>
      <c r="R120" s="79"/>
      <c r="S120" s="79"/>
      <c r="V120" s="79"/>
      <c r="W120" s="79"/>
      <c r="Z120" s="130"/>
      <c r="AB120" s="106"/>
    </row>
    <row r="121">
      <c r="C121" s="79"/>
      <c r="D121" s="79"/>
      <c r="E121" s="79"/>
      <c r="M121" s="79"/>
      <c r="R121" s="79"/>
      <c r="S121" s="79"/>
      <c r="V121" s="79"/>
      <c r="W121" s="79"/>
      <c r="Z121" s="130"/>
      <c r="AB121" s="106"/>
    </row>
    <row r="122">
      <c r="C122" s="79"/>
      <c r="D122" s="79"/>
      <c r="E122" s="79"/>
      <c r="M122" s="79"/>
      <c r="R122" s="79"/>
      <c r="S122" s="79"/>
      <c r="V122" s="79"/>
      <c r="W122" s="79"/>
      <c r="Z122" s="130"/>
      <c r="AB122" s="106"/>
    </row>
    <row r="123">
      <c r="C123" s="79"/>
      <c r="D123" s="79"/>
      <c r="E123" s="79"/>
      <c r="M123" s="79"/>
      <c r="R123" s="79"/>
      <c r="S123" s="79"/>
      <c r="V123" s="79"/>
      <c r="W123" s="79"/>
      <c r="Z123" s="130"/>
      <c r="AB123" s="106"/>
    </row>
    <row r="124">
      <c r="C124" s="79"/>
      <c r="D124" s="79"/>
      <c r="E124" s="79"/>
      <c r="M124" s="79"/>
      <c r="R124" s="79"/>
      <c r="S124" s="79"/>
      <c r="V124" s="79"/>
      <c r="W124" s="79"/>
      <c r="Z124" s="130"/>
      <c r="AB124" s="106"/>
    </row>
    <row r="125">
      <c r="C125" s="79"/>
      <c r="D125" s="79"/>
      <c r="E125" s="79"/>
      <c r="M125" s="79"/>
      <c r="R125" s="79"/>
      <c r="S125" s="79"/>
      <c r="V125" s="79"/>
      <c r="W125" s="79"/>
      <c r="Z125" s="130"/>
      <c r="AB125" s="106"/>
    </row>
    <row r="126">
      <c r="C126" s="79"/>
      <c r="D126" s="79"/>
      <c r="E126" s="79"/>
      <c r="M126" s="79"/>
      <c r="R126" s="79"/>
      <c r="S126" s="79"/>
      <c r="V126" s="79"/>
      <c r="W126" s="79"/>
      <c r="Z126" s="130"/>
      <c r="AB126" s="106"/>
    </row>
    <row r="127">
      <c r="C127" s="79"/>
      <c r="D127" s="79"/>
      <c r="E127" s="79"/>
      <c r="M127" s="79"/>
      <c r="R127" s="79"/>
      <c r="S127" s="79"/>
      <c r="V127" s="79"/>
      <c r="W127" s="79"/>
      <c r="Z127" s="130"/>
      <c r="AB127" s="106"/>
    </row>
    <row r="128">
      <c r="C128" s="79"/>
      <c r="D128" s="79"/>
      <c r="E128" s="79"/>
      <c r="M128" s="79"/>
      <c r="R128" s="79"/>
      <c r="S128" s="79"/>
      <c r="V128" s="79"/>
      <c r="W128" s="79"/>
      <c r="Z128" s="130"/>
      <c r="AB128" s="106"/>
    </row>
    <row r="129">
      <c r="C129" s="79"/>
      <c r="D129" s="79"/>
      <c r="E129" s="79"/>
      <c r="M129" s="79"/>
      <c r="R129" s="79"/>
      <c r="S129" s="79"/>
      <c r="V129" s="79"/>
      <c r="W129" s="79"/>
      <c r="Z129" s="130"/>
      <c r="AB129" s="106"/>
    </row>
    <row r="130">
      <c r="C130" s="79"/>
      <c r="D130" s="79"/>
      <c r="E130" s="79"/>
      <c r="M130" s="79"/>
      <c r="R130" s="79"/>
      <c r="S130" s="79"/>
      <c r="V130" s="79"/>
      <c r="W130" s="79"/>
      <c r="Z130" s="130"/>
      <c r="AB130" s="106"/>
    </row>
    <row r="131">
      <c r="C131" s="79"/>
      <c r="D131" s="79"/>
      <c r="E131" s="79"/>
      <c r="M131" s="79"/>
      <c r="R131" s="79"/>
      <c r="S131" s="79"/>
      <c r="V131" s="79"/>
      <c r="W131" s="79"/>
      <c r="Z131" s="130"/>
      <c r="AB131" s="106"/>
    </row>
    <row r="132">
      <c r="C132" s="79"/>
      <c r="D132" s="79"/>
      <c r="E132" s="79"/>
      <c r="M132" s="79"/>
      <c r="R132" s="79"/>
      <c r="S132" s="79"/>
      <c r="V132" s="79"/>
      <c r="W132" s="79"/>
      <c r="Z132" s="130"/>
      <c r="AB132" s="106"/>
    </row>
    <row r="133">
      <c r="C133" s="79"/>
      <c r="D133" s="79"/>
      <c r="E133" s="79"/>
      <c r="M133" s="79"/>
      <c r="R133" s="79"/>
      <c r="S133" s="79"/>
      <c r="V133" s="79"/>
      <c r="W133" s="79"/>
      <c r="Z133" s="130"/>
      <c r="AB133" s="106"/>
    </row>
    <row r="134">
      <c r="C134" s="79"/>
      <c r="D134" s="79"/>
      <c r="E134" s="79"/>
      <c r="M134" s="79"/>
      <c r="R134" s="79"/>
      <c r="S134" s="79"/>
      <c r="V134" s="79"/>
      <c r="W134" s="79"/>
      <c r="Z134" s="130"/>
      <c r="AB134" s="106"/>
    </row>
    <row r="135">
      <c r="C135" s="79"/>
      <c r="D135" s="79"/>
      <c r="E135" s="79"/>
      <c r="M135" s="79"/>
      <c r="R135" s="79"/>
      <c r="S135" s="79"/>
      <c r="V135" s="79"/>
      <c r="W135" s="79"/>
      <c r="Z135" s="130"/>
      <c r="AB135" s="106"/>
    </row>
    <row r="136">
      <c r="C136" s="79"/>
      <c r="D136" s="79"/>
      <c r="E136" s="79"/>
      <c r="M136" s="79"/>
      <c r="R136" s="79"/>
      <c r="S136" s="79"/>
      <c r="V136" s="79"/>
      <c r="W136" s="79"/>
      <c r="Z136" s="130"/>
      <c r="AB136" s="106"/>
    </row>
    <row r="137">
      <c r="C137" s="79"/>
      <c r="D137" s="79"/>
      <c r="E137" s="79"/>
      <c r="M137" s="79"/>
      <c r="R137" s="79"/>
      <c r="S137" s="79"/>
      <c r="V137" s="79"/>
      <c r="W137" s="79"/>
      <c r="Z137" s="130"/>
      <c r="AB137" s="106"/>
    </row>
    <row r="138">
      <c r="C138" s="79"/>
      <c r="D138" s="79"/>
      <c r="E138" s="79"/>
      <c r="M138" s="79"/>
      <c r="R138" s="79"/>
      <c r="S138" s="79"/>
      <c r="V138" s="79"/>
      <c r="W138" s="79"/>
      <c r="Z138" s="130"/>
      <c r="AB138" s="106"/>
    </row>
    <row r="139">
      <c r="C139" s="79"/>
      <c r="D139" s="79"/>
      <c r="E139" s="79"/>
      <c r="M139" s="79"/>
      <c r="R139" s="79"/>
      <c r="S139" s="79"/>
      <c r="V139" s="79"/>
      <c r="W139" s="79"/>
      <c r="Z139" s="130"/>
      <c r="AB139" s="106"/>
    </row>
    <row r="140">
      <c r="C140" s="79"/>
      <c r="D140" s="79"/>
      <c r="E140" s="79"/>
      <c r="M140" s="79"/>
      <c r="R140" s="79"/>
      <c r="S140" s="79"/>
      <c r="V140" s="79"/>
      <c r="W140" s="79"/>
      <c r="Z140" s="130"/>
      <c r="AB140" s="106"/>
    </row>
    <row r="141">
      <c r="C141" s="79"/>
      <c r="D141" s="79"/>
      <c r="E141" s="79"/>
      <c r="M141" s="79"/>
      <c r="R141" s="79"/>
      <c r="S141" s="79"/>
      <c r="V141" s="79"/>
      <c r="W141" s="79"/>
      <c r="Z141" s="130"/>
      <c r="AB141" s="106"/>
    </row>
    <row r="142">
      <c r="C142" s="79"/>
      <c r="D142" s="79"/>
      <c r="E142" s="79"/>
      <c r="M142" s="79"/>
      <c r="R142" s="79"/>
      <c r="S142" s="79"/>
      <c r="V142" s="79"/>
      <c r="W142" s="79"/>
      <c r="Z142" s="130"/>
      <c r="AB142" s="106"/>
    </row>
    <row r="143">
      <c r="C143" s="79"/>
      <c r="D143" s="79"/>
      <c r="E143" s="79"/>
      <c r="M143" s="79"/>
      <c r="R143" s="79"/>
      <c r="S143" s="79"/>
      <c r="V143" s="79"/>
      <c r="W143" s="79"/>
      <c r="Z143" s="130"/>
      <c r="AB143" s="106"/>
    </row>
    <row r="144">
      <c r="C144" s="79"/>
      <c r="D144" s="79"/>
      <c r="E144" s="79"/>
      <c r="M144" s="79"/>
      <c r="R144" s="79"/>
      <c r="S144" s="79"/>
      <c r="V144" s="79"/>
      <c r="W144" s="79"/>
      <c r="Z144" s="130"/>
      <c r="AB144" s="106"/>
    </row>
    <row r="145">
      <c r="C145" s="79"/>
      <c r="D145" s="79"/>
      <c r="E145" s="79"/>
      <c r="M145" s="79"/>
      <c r="R145" s="79"/>
      <c r="S145" s="79"/>
      <c r="V145" s="79"/>
      <c r="W145" s="79"/>
      <c r="Z145" s="130"/>
      <c r="AB145" s="106"/>
    </row>
    <row r="146">
      <c r="C146" s="79"/>
      <c r="D146" s="79"/>
      <c r="E146" s="79"/>
      <c r="M146" s="79"/>
      <c r="R146" s="79"/>
      <c r="S146" s="79"/>
      <c r="V146" s="79"/>
      <c r="W146" s="79"/>
      <c r="Z146" s="130"/>
      <c r="AB146" s="106"/>
    </row>
    <row r="147">
      <c r="C147" s="79"/>
      <c r="D147" s="79"/>
      <c r="E147" s="79"/>
      <c r="M147" s="79"/>
      <c r="R147" s="79"/>
      <c r="S147" s="79"/>
      <c r="V147" s="79"/>
      <c r="W147" s="79"/>
      <c r="Z147" s="130"/>
      <c r="AB147" s="106"/>
    </row>
    <row r="148">
      <c r="C148" s="79"/>
      <c r="D148" s="79"/>
      <c r="E148" s="79"/>
      <c r="M148" s="79"/>
      <c r="R148" s="79"/>
      <c r="S148" s="79"/>
      <c r="V148" s="79"/>
      <c r="W148" s="79"/>
      <c r="Z148" s="130"/>
      <c r="AB148" s="106"/>
    </row>
    <row r="149">
      <c r="C149" s="79"/>
      <c r="D149" s="79"/>
      <c r="E149" s="79"/>
      <c r="M149" s="79"/>
      <c r="R149" s="79"/>
      <c r="S149" s="79"/>
      <c r="V149" s="79"/>
      <c r="W149" s="79"/>
      <c r="Z149" s="130"/>
      <c r="AB149" s="106"/>
    </row>
    <row r="150">
      <c r="C150" s="79"/>
      <c r="D150" s="79"/>
      <c r="E150" s="79"/>
      <c r="M150" s="79"/>
      <c r="R150" s="79"/>
      <c r="S150" s="79"/>
      <c r="V150" s="79"/>
      <c r="W150" s="79"/>
      <c r="Z150" s="130"/>
      <c r="AB150" s="106"/>
    </row>
    <row r="151">
      <c r="C151" s="79"/>
      <c r="D151" s="79"/>
      <c r="E151" s="79"/>
      <c r="M151" s="79"/>
      <c r="R151" s="79"/>
      <c r="S151" s="79"/>
      <c r="V151" s="79"/>
      <c r="W151" s="79"/>
      <c r="Z151" s="130"/>
      <c r="AB151" s="106"/>
    </row>
    <row r="152">
      <c r="C152" s="79"/>
      <c r="D152" s="79"/>
      <c r="E152" s="79"/>
      <c r="M152" s="79"/>
      <c r="R152" s="79"/>
      <c r="S152" s="79"/>
      <c r="V152" s="79"/>
      <c r="W152" s="79"/>
      <c r="Z152" s="130"/>
      <c r="AB152" s="106"/>
    </row>
    <row r="153">
      <c r="C153" s="79"/>
      <c r="D153" s="79"/>
      <c r="E153" s="79"/>
      <c r="M153" s="79"/>
      <c r="R153" s="79"/>
      <c r="S153" s="79"/>
      <c r="V153" s="79"/>
      <c r="W153" s="79"/>
      <c r="Z153" s="130"/>
      <c r="AB153" s="106"/>
    </row>
    <row r="154">
      <c r="C154" s="79"/>
      <c r="D154" s="79"/>
      <c r="E154" s="79"/>
      <c r="M154" s="79"/>
      <c r="R154" s="79"/>
      <c r="S154" s="79"/>
      <c r="V154" s="79"/>
      <c r="W154" s="79"/>
      <c r="Z154" s="130"/>
      <c r="AB154" s="106"/>
    </row>
    <row r="155">
      <c r="C155" s="79"/>
      <c r="D155" s="79"/>
      <c r="E155" s="79"/>
      <c r="M155" s="79"/>
      <c r="R155" s="79"/>
      <c r="S155" s="79"/>
      <c r="V155" s="79"/>
      <c r="W155" s="79"/>
      <c r="Z155" s="130"/>
      <c r="AB155" s="106"/>
    </row>
    <row r="156">
      <c r="C156" s="79"/>
      <c r="D156" s="79"/>
      <c r="E156" s="79"/>
      <c r="M156" s="79"/>
      <c r="R156" s="79"/>
      <c r="S156" s="79"/>
      <c r="V156" s="79"/>
      <c r="W156" s="79"/>
      <c r="Z156" s="130"/>
      <c r="AB156" s="106"/>
    </row>
    <row r="157">
      <c r="C157" s="79"/>
      <c r="D157" s="79"/>
      <c r="E157" s="79"/>
      <c r="M157" s="79"/>
      <c r="R157" s="79"/>
      <c r="S157" s="79"/>
      <c r="V157" s="79"/>
      <c r="W157" s="79"/>
      <c r="Z157" s="130"/>
      <c r="AB157" s="106"/>
    </row>
    <row r="158">
      <c r="C158" s="79"/>
      <c r="D158" s="79"/>
      <c r="E158" s="79"/>
      <c r="M158" s="79"/>
      <c r="R158" s="79"/>
      <c r="S158" s="79"/>
      <c r="V158" s="79"/>
      <c r="W158" s="79"/>
      <c r="Z158" s="130"/>
      <c r="AB158" s="106"/>
    </row>
    <row r="159">
      <c r="C159" s="79"/>
      <c r="D159" s="79"/>
      <c r="E159" s="79"/>
      <c r="M159" s="79"/>
      <c r="R159" s="79"/>
      <c r="S159" s="79"/>
      <c r="V159" s="79"/>
      <c r="W159" s="79"/>
      <c r="Z159" s="130"/>
      <c r="AB159" s="106"/>
    </row>
    <row r="160">
      <c r="C160" s="79"/>
      <c r="D160" s="79"/>
      <c r="E160" s="79"/>
      <c r="M160" s="79"/>
      <c r="R160" s="79"/>
      <c r="S160" s="79"/>
      <c r="V160" s="79"/>
      <c r="W160" s="79"/>
      <c r="Z160" s="130"/>
      <c r="AB160" s="106"/>
    </row>
    <row r="161">
      <c r="C161" s="79"/>
      <c r="D161" s="79"/>
      <c r="E161" s="79"/>
      <c r="M161" s="79"/>
      <c r="R161" s="79"/>
      <c r="S161" s="79"/>
      <c r="V161" s="79"/>
      <c r="W161" s="79"/>
      <c r="Z161" s="130"/>
      <c r="AB161" s="106"/>
    </row>
    <row r="162">
      <c r="C162" s="79"/>
      <c r="D162" s="79"/>
      <c r="E162" s="79"/>
      <c r="M162" s="79"/>
      <c r="R162" s="79"/>
      <c r="S162" s="79"/>
      <c r="V162" s="79"/>
      <c r="W162" s="79"/>
      <c r="Z162" s="130"/>
      <c r="AB162" s="106"/>
    </row>
    <row r="163">
      <c r="C163" s="79"/>
      <c r="D163" s="79"/>
      <c r="E163" s="79"/>
      <c r="M163" s="79"/>
      <c r="R163" s="79"/>
      <c r="S163" s="79"/>
      <c r="V163" s="79"/>
      <c r="W163" s="79"/>
      <c r="Z163" s="130"/>
      <c r="AB163" s="106"/>
    </row>
    <row r="164">
      <c r="C164" s="79"/>
      <c r="D164" s="79"/>
      <c r="E164" s="79"/>
      <c r="M164" s="79"/>
      <c r="R164" s="79"/>
      <c r="S164" s="79"/>
      <c r="V164" s="79"/>
      <c r="W164" s="79"/>
      <c r="Z164" s="130"/>
      <c r="AB164" s="106"/>
    </row>
    <row r="165">
      <c r="C165" s="79"/>
      <c r="D165" s="79"/>
      <c r="E165" s="79"/>
      <c r="M165" s="79"/>
      <c r="R165" s="79"/>
      <c r="S165" s="79"/>
      <c r="V165" s="79"/>
      <c r="W165" s="79"/>
      <c r="Z165" s="130"/>
      <c r="AB165" s="106"/>
    </row>
    <row r="166">
      <c r="C166" s="79"/>
      <c r="D166" s="79"/>
      <c r="E166" s="79"/>
      <c r="M166" s="79"/>
      <c r="R166" s="79"/>
      <c r="S166" s="79"/>
      <c r="V166" s="79"/>
      <c r="W166" s="79"/>
      <c r="Z166" s="130"/>
      <c r="AB166" s="106"/>
    </row>
    <row r="167">
      <c r="C167" s="79"/>
      <c r="D167" s="79"/>
      <c r="E167" s="79"/>
      <c r="M167" s="79"/>
      <c r="R167" s="79"/>
      <c r="S167" s="79"/>
      <c r="V167" s="79"/>
      <c r="W167" s="79"/>
      <c r="Z167" s="130"/>
      <c r="AB167" s="106"/>
    </row>
    <row r="168">
      <c r="C168" s="79"/>
      <c r="D168" s="79"/>
      <c r="E168" s="79"/>
      <c r="M168" s="79"/>
      <c r="R168" s="79"/>
      <c r="S168" s="79"/>
      <c r="V168" s="79"/>
      <c r="W168" s="79"/>
      <c r="Z168" s="130"/>
      <c r="AB168" s="106"/>
    </row>
    <row r="169">
      <c r="C169" s="79"/>
      <c r="D169" s="79"/>
      <c r="E169" s="79"/>
      <c r="M169" s="79"/>
      <c r="R169" s="79"/>
      <c r="S169" s="79"/>
      <c r="V169" s="79"/>
      <c r="W169" s="79"/>
      <c r="Z169" s="130"/>
      <c r="AB169" s="106"/>
    </row>
    <row r="170">
      <c r="C170" s="79"/>
      <c r="D170" s="79"/>
      <c r="E170" s="79"/>
      <c r="M170" s="79"/>
      <c r="R170" s="79"/>
      <c r="S170" s="79"/>
      <c r="V170" s="79"/>
      <c r="W170" s="79"/>
      <c r="Z170" s="130"/>
      <c r="AB170" s="106"/>
    </row>
    <row r="171">
      <c r="C171" s="79"/>
      <c r="D171" s="79"/>
      <c r="E171" s="79"/>
      <c r="M171" s="79"/>
      <c r="R171" s="79"/>
      <c r="S171" s="79"/>
      <c r="V171" s="79"/>
      <c r="W171" s="79"/>
      <c r="Z171" s="130"/>
      <c r="AB171" s="106"/>
    </row>
    <row r="172">
      <c r="C172" s="79"/>
      <c r="D172" s="79"/>
      <c r="E172" s="79"/>
      <c r="M172" s="79"/>
      <c r="R172" s="79"/>
      <c r="S172" s="79"/>
      <c r="V172" s="79"/>
      <c r="W172" s="79"/>
      <c r="Z172" s="130"/>
      <c r="AB172" s="106"/>
    </row>
    <row r="173">
      <c r="C173" s="79"/>
      <c r="D173" s="79"/>
      <c r="E173" s="79"/>
      <c r="M173" s="79"/>
      <c r="R173" s="79"/>
      <c r="S173" s="79"/>
      <c r="V173" s="79"/>
      <c r="W173" s="79"/>
      <c r="Z173" s="130"/>
      <c r="AB173" s="106"/>
    </row>
    <row r="174">
      <c r="C174" s="79"/>
      <c r="D174" s="79"/>
      <c r="E174" s="79"/>
      <c r="M174" s="79"/>
      <c r="R174" s="79"/>
      <c r="S174" s="79"/>
      <c r="V174" s="79"/>
      <c r="W174" s="79"/>
      <c r="Z174" s="130"/>
      <c r="AB174" s="106"/>
    </row>
    <row r="175">
      <c r="C175" s="79"/>
      <c r="D175" s="79"/>
      <c r="E175" s="79"/>
      <c r="M175" s="79"/>
      <c r="R175" s="79"/>
      <c r="S175" s="79"/>
      <c r="V175" s="79"/>
      <c r="W175" s="79"/>
      <c r="Z175" s="130"/>
      <c r="AB175" s="106"/>
    </row>
    <row r="176">
      <c r="C176" s="79"/>
      <c r="D176" s="79"/>
      <c r="E176" s="79"/>
      <c r="M176" s="79"/>
      <c r="R176" s="79"/>
      <c r="S176" s="79"/>
      <c r="V176" s="79"/>
      <c r="W176" s="79"/>
      <c r="Z176" s="130"/>
      <c r="AB176" s="106"/>
    </row>
    <row r="177">
      <c r="C177" s="79"/>
      <c r="D177" s="79"/>
      <c r="E177" s="79"/>
      <c r="M177" s="79"/>
      <c r="R177" s="79"/>
      <c r="S177" s="79"/>
      <c r="V177" s="79"/>
      <c r="W177" s="79"/>
      <c r="Z177" s="130"/>
      <c r="AB177" s="106"/>
    </row>
    <row r="178">
      <c r="C178" s="79"/>
      <c r="D178" s="79"/>
      <c r="E178" s="79"/>
      <c r="M178" s="79"/>
      <c r="R178" s="79"/>
      <c r="S178" s="79"/>
      <c r="V178" s="79"/>
      <c r="W178" s="79"/>
      <c r="Z178" s="130"/>
      <c r="AB178" s="106"/>
    </row>
    <row r="179">
      <c r="C179" s="79"/>
      <c r="D179" s="79"/>
      <c r="E179" s="79"/>
      <c r="M179" s="79"/>
      <c r="R179" s="79"/>
      <c r="S179" s="79"/>
      <c r="V179" s="79"/>
      <c r="W179" s="79"/>
      <c r="Z179" s="130"/>
      <c r="AB179" s="106"/>
    </row>
    <row r="180">
      <c r="C180" s="79"/>
      <c r="D180" s="79"/>
      <c r="E180" s="79"/>
      <c r="M180" s="79"/>
      <c r="R180" s="79"/>
      <c r="S180" s="79"/>
      <c r="V180" s="79"/>
      <c r="W180" s="79"/>
      <c r="Z180" s="130"/>
      <c r="AB180" s="106"/>
    </row>
    <row r="181">
      <c r="C181" s="79"/>
      <c r="D181" s="79"/>
      <c r="E181" s="79"/>
      <c r="M181" s="79"/>
      <c r="R181" s="79"/>
      <c r="S181" s="79"/>
      <c r="V181" s="79"/>
      <c r="W181" s="79"/>
      <c r="Z181" s="130"/>
      <c r="AB181" s="106"/>
    </row>
    <row r="182">
      <c r="C182" s="79"/>
      <c r="D182" s="79"/>
      <c r="E182" s="79"/>
      <c r="M182" s="79"/>
      <c r="R182" s="79"/>
      <c r="S182" s="79"/>
      <c r="V182" s="79"/>
      <c r="W182" s="79"/>
      <c r="Z182" s="130"/>
      <c r="AB182" s="106"/>
    </row>
    <row r="183">
      <c r="C183" s="79"/>
      <c r="D183" s="79"/>
      <c r="E183" s="79"/>
      <c r="M183" s="79"/>
      <c r="R183" s="79"/>
      <c r="S183" s="79"/>
      <c r="V183" s="79"/>
      <c r="W183" s="79"/>
      <c r="Z183" s="130"/>
      <c r="AB183" s="106"/>
    </row>
    <row r="184">
      <c r="C184" s="79"/>
      <c r="D184" s="79"/>
      <c r="E184" s="79"/>
      <c r="M184" s="79"/>
      <c r="R184" s="79"/>
      <c r="S184" s="79"/>
      <c r="V184" s="79"/>
      <c r="W184" s="79"/>
      <c r="Z184" s="130"/>
      <c r="AB184" s="106"/>
    </row>
    <row r="185">
      <c r="C185" s="79"/>
      <c r="D185" s="79"/>
      <c r="E185" s="79"/>
      <c r="M185" s="79"/>
      <c r="R185" s="79"/>
      <c r="S185" s="79"/>
      <c r="V185" s="79"/>
      <c r="W185" s="79"/>
      <c r="Z185" s="130"/>
      <c r="AB185" s="106"/>
    </row>
    <row r="186">
      <c r="C186" s="79"/>
      <c r="D186" s="79"/>
      <c r="E186" s="79"/>
      <c r="M186" s="79"/>
      <c r="R186" s="79"/>
      <c r="S186" s="79"/>
      <c r="V186" s="79"/>
      <c r="W186" s="79"/>
      <c r="Z186" s="130"/>
      <c r="AB186" s="106"/>
    </row>
    <row r="187">
      <c r="C187" s="79"/>
      <c r="D187" s="79"/>
      <c r="E187" s="79"/>
      <c r="M187" s="79"/>
      <c r="R187" s="79"/>
      <c r="S187" s="79"/>
      <c r="V187" s="79"/>
      <c r="W187" s="79"/>
      <c r="Z187" s="130"/>
      <c r="AB187" s="106"/>
    </row>
    <row r="188">
      <c r="C188" s="79"/>
      <c r="D188" s="79"/>
      <c r="E188" s="79"/>
      <c r="M188" s="79"/>
      <c r="R188" s="79"/>
      <c r="S188" s="79"/>
      <c r="V188" s="79"/>
      <c r="W188" s="79"/>
      <c r="Z188" s="130"/>
      <c r="AB188" s="106"/>
    </row>
    <row r="189">
      <c r="C189" s="79"/>
      <c r="D189" s="79"/>
      <c r="E189" s="79"/>
      <c r="M189" s="79"/>
      <c r="R189" s="79"/>
      <c r="S189" s="79"/>
      <c r="V189" s="79"/>
      <c r="W189" s="79"/>
      <c r="Z189" s="130"/>
      <c r="AB189" s="106"/>
    </row>
    <row r="190">
      <c r="C190" s="79"/>
      <c r="D190" s="79"/>
      <c r="E190" s="79"/>
      <c r="M190" s="79"/>
      <c r="R190" s="79"/>
      <c r="S190" s="79"/>
      <c r="V190" s="79"/>
      <c r="W190" s="79"/>
      <c r="Z190" s="130"/>
      <c r="AB190" s="106"/>
    </row>
    <row r="191">
      <c r="C191" s="79"/>
      <c r="D191" s="79"/>
      <c r="E191" s="79"/>
      <c r="M191" s="79"/>
      <c r="R191" s="79"/>
      <c r="S191" s="79"/>
      <c r="V191" s="79"/>
      <c r="W191" s="79"/>
      <c r="Z191" s="130"/>
      <c r="AB191" s="106"/>
    </row>
    <row r="192">
      <c r="C192" s="79"/>
      <c r="D192" s="79"/>
      <c r="E192" s="79"/>
      <c r="M192" s="79"/>
      <c r="R192" s="79"/>
      <c r="S192" s="79"/>
      <c r="V192" s="79"/>
      <c r="W192" s="79"/>
      <c r="Z192" s="130"/>
      <c r="AB192" s="106"/>
    </row>
    <row r="193">
      <c r="C193" s="79"/>
      <c r="D193" s="79"/>
      <c r="E193" s="79"/>
      <c r="M193" s="79"/>
      <c r="R193" s="79"/>
      <c r="S193" s="79"/>
      <c r="V193" s="79"/>
      <c r="W193" s="79"/>
      <c r="Z193" s="130"/>
      <c r="AB193" s="106"/>
    </row>
    <row r="194">
      <c r="C194" s="79"/>
      <c r="D194" s="79"/>
      <c r="E194" s="79"/>
      <c r="M194" s="79"/>
      <c r="R194" s="79"/>
      <c r="S194" s="79"/>
      <c r="V194" s="79"/>
      <c r="W194" s="79"/>
      <c r="Z194" s="130"/>
      <c r="AB194" s="106"/>
    </row>
    <row r="195">
      <c r="C195" s="79"/>
      <c r="D195" s="79"/>
      <c r="E195" s="79"/>
      <c r="M195" s="79"/>
      <c r="R195" s="79"/>
      <c r="S195" s="79"/>
      <c r="V195" s="79"/>
      <c r="W195" s="79"/>
      <c r="Z195" s="130"/>
      <c r="AB195" s="106"/>
    </row>
    <row r="196">
      <c r="C196" s="79"/>
      <c r="D196" s="79"/>
      <c r="E196" s="79"/>
      <c r="M196" s="79"/>
      <c r="R196" s="79"/>
      <c r="S196" s="79"/>
      <c r="V196" s="79"/>
      <c r="W196" s="79"/>
      <c r="Z196" s="130"/>
      <c r="AB196" s="106"/>
    </row>
    <row r="197">
      <c r="C197" s="79"/>
      <c r="D197" s="79"/>
      <c r="E197" s="79"/>
      <c r="M197" s="79"/>
      <c r="R197" s="79"/>
      <c r="S197" s="79"/>
      <c r="V197" s="79"/>
      <c r="W197" s="79"/>
      <c r="Z197" s="130"/>
      <c r="AB197" s="106"/>
    </row>
    <row r="198">
      <c r="C198" s="79"/>
      <c r="D198" s="79"/>
      <c r="E198" s="79"/>
      <c r="M198" s="79"/>
      <c r="R198" s="79"/>
      <c r="S198" s="79"/>
      <c r="V198" s="79"/>
      <c r="W198" s="79"/>
      <c r="Z198" s="130"/>
      <c r="AB198" s="106"/>
    </row>
    <row r="199">
      <c r="C199" s="79"/>
      <c r="D199" s="79"/>
      <c r="E199" s="79"/>
      <c r="M199" s="79"/>
      <c r="R199" s="79"/>
      <c r="S199" s="79"/>
      <c r="V199" s="79"/>
      <c r="W199" s="79"/>
      <c r="Z199" s="130"/>
      <c r="AB199" s="106"/>
    </row>
    <row r="200">
      <c r="C200" s="79"/>
      <c r="D200" s="79"/>
      <c r="E200" s="79"/>
      <c r="M200" s="79"/>
      <c r="R200" s="79"/>
      <c r="S200" s="79"/>
      <c r="V200" s="79"/>
      <c r="W200" s="79"/>
      <c r="Z200" s="130"/>
      <c r="AB200" s="106"/>
    </row>
    <row r="201">
      <c r="C201" s="79"/>
      <c r="D201" s="79"/>
      <c r="E201" s="79"/>
      <c r="M201" s="79"/>
      <c r="R201" s="79"/>
      <c r="S201" s="79"/>
      <c r="V201" s="79"/>
      <c r="W201" s="79"/>
      <c r="Z201" s="130"/>
      <c r="AB201" s="106"/>
    </row>
    <row r="202">
      <c r="C202" s="79"/>
      <c r="D202" s="79"/>
      <c r="E202" s="79"/>
      <c r="M202" s="79"/>
      <c r="R202" s="79"/>
      <c r="S202" s="79"/>
      <c r="V202" s="79"/>
      <c r="W202" s="79"/>
      <c r="Z202" s="130"/>
      <c r="AB202" s="106"/>
    </row>
    <row r="203">
      <c r="C203" s="79"/>
      <c r="D203" s="79"/>
      <c r="E203" s="79"/>
      <c r="M203" s="79"/>
      <c r="R203" s="79"/>
      <c r="S203" s="79"/>
      <c r="V203" s="79"/>
      <c r="W203" s="79"/>
      <c r="Z203" s="130"/>
      <c r="AB203" s="106"/>
    </row>
    <row r="204">
      <c r="C204" s="79"/>
      <c r="D204" s="79"/>
      <c r="E204" s="79"/>
      <c r="M204" s="79"/>
      <c r="R204" s="79"/>
      <c r="S204" s="79"/>
      <c r="V204" s="79"/>
      <c r="W204" s="79"/>
      <c r="Z204" s="130"/>
      <c r="AB204" s="106"/>
    </row>
    <row r="205">
      <c r="C205" s="79"/>
      <c r="D205" s="79"/>
      <c r="E205" s="79"/>
      <c r="M205" s="79"/>
      <c r="R205" s="79"/>
      <c r="S205" s="79"/>
      <c r="V205" s="79"/>
      <c r="W205" s="79"/>
      <c r="Z205" s="130"/>
      <c r="AB205" s="106"/>
    </row>
    <row r="206">
      <c r="C206" s="79"/>
      <c r="D206" s="79"/>
      <c r="E206" s="79"/>
      <c r="M206" s="79"/>
      <c r="R206" s="79"/>
      <c r="S206" s="79"/>
      <c r="V206" s="79"/>
      <c r="W206" s="79"/>
      <c r="Z206" s="130"/>
      <c r="AB206" s="106"/>
    </row>
    <row r="207">
      <c r="C207" s="79"/>
      <c r="D207" s="79"/>
      <c r="E207" s="79"/>
      <c r="M207" s="79"/>
      <c r="R207" s="79"/>
      <c r="S207" s="79"/>
      <c r="V207" s="79"/>
      <c r="W207" s="79"/>
      <c r="Z207" s="130"/>
      <c r="AB207" s="106"/>
    </row>
    <row r="208">
      <c r="C208" s="79"/>
      <c r="D208" s="79"/>
      <c r="E208" s="79"/>
      <c r="M208" s="79"/>
      <c r="R208" s="79"/>
      <c r="S208" s="79"/>
      <c r="V208" s="79"/>
      <c r="W208" s="79"/>
      <c r="Z208" s="130"/>
      <c r="AB208" s="106"/>
    </row>
    <row r="209">
      <c r="C209" s="79"/>
      <c r="D209" s="79"/>
      <c r="E209" s="79"/>
      <c r="M209" s="79"/>
      <c r="R209" s="79"/>
      <c r="S209" s="79"/>
      <c r="V209" s="79"/>
      <c r="W209" s="79"/>
      <c r="Z209" s="130"/>
      <c r="AB209" s="106"/>
    </row>
    <row r="210">
      <c r="C210" s="79"/>
      <c r="D210" s="79"/>
      <c r="E210" s="79"/>
      <c r="M210" s="79"/>
      <c r="R210" s="79"/>
      <c r="S210" s="79"/>
      <c r="V210" s="79"/>
      <c r="W210" s="79"/>
      <c r="Z210" s="130"/>
      <c r="AB210" s="106"/>
    </row>
    <row r="211">
      <c r="C211" s="79"/>
      <c r="D211" s="79"/>
      <c r="E211" s="79"/>
      <c r="M211" s="79"/>
      <c r="R211" s="79"/>
      <c r="S211" s="79"/>
      <c r="V211" s="79"/>
      <c r="W211" s="79"/>
      <c r="Z211" s="130"/>
      <c r="AB211" s="106"/>
    </row>
    <row r="212">
      <c r="C212" s="79"/>
      <c r="D212" s="79"/>
      <c r="E212" s="79"/>
      <c r="M212" s="79"/>
      <c r="R212" s="79"/>
      <c r="S212" s="79"/>
      <c r="V212" s="79"/>
      <c r="W212" s="79"/>
      <c r="Z212" s="130"/>
      <c r="AB212" s="106"/>
    </row>
    <row r="213">
      <c r="C213" s="79"/>
      <c r="D213" s="79"/>
      <c r="E213" s="79"/>
      <c r="M213" s="79"/>
      <c r="R213" s="79"/>
      <c r="S213" s="79"/>
      <c r="V213" s="79"/>
      <c r="W213" s="79"/>
      <c r="Z213" s="130"/>
      <c r="AB213" s="106"/>
    </row>
    <row r="214">
      <c r="C214" s="79"/>
      <c r="D214" s="79"/>
      <c r="E214" s="79"/>
      <c r="M214" s="79"/>
      <c r="R214" s="79"/>
      <c r="S214" s="79"/>
      <c r="V214" s="79"/>
      <c r="W214" s="79"/>
      <c r="Z214" s="130"/>
      <c r="AB214" s="106"/>
    </row>
    <row r="215">
      <c r="C215" s="79"/>
      <c r="D215" s="79"/>
      <c r="E215" s="79"/>
      <c r="M215" s="79"/>
      <c r="R215" s="79"/>
      <c r="S215" s="79"/>
      <c r="V215" s="79"/>
      <c r="W215" s="79"/>
      <c r="Z215" s="130"/>
      <c r="AB215" s="106"/>
    </row>
    <row r="216">
      <c r="C216" s="79"/>
      <c r="D216" s="79"/>
      <c r="E216" s="79"/>
      <c r="M216" s="79"/>
      <c r="R216" s="79"/>
      <c r="S216" s="79"/>
      <c r="V216" s="79"/>
      <c r="W216" s="79"/>
      <c r="Z216" s="130"/>
      <c r="AB216" s="106"/>
    </row>
    <row r="217">
      <c r="C217" s="79"/>
      <c r="D217" s="79"/>
      <c r="E217" s="79"/>
      <c r="M217" s="79"/>
      <c r="R217" s="79"/>
      <c r="S217" s="79"/>
      <c r="V217" s="79"/>
      <c r="W217" s="79"/>
      <c r="Z217" s="130"/>
      <c r="AB217" s="106"/>
    </row>
    <row r="218">
      <c r="C218" s="79"/>
      <c r="D218" s="79"/>
      <c r="E218" s="79"/>
      <c r="M218" s="79"/>
      <c r="R218" s="79"/>
      <c r="S218" s="79"/>
      <c r="V218" s="79"/>
      <c r="W218" s="79"/>
      <c r="Z218" s="130"/>
      <c r="AB218" s="106"/>
    </row>
    <row r="219">
      <c r="C219" s="79"/>
      <c r="D219" s="79"/>
      <c r="E219" s="79"/>
      <c r="M219" s="79"/>
      <c r="R219" s="79"/>
      <c r="S219" s="79"/>
      <c r="V219" s="79"/>
      <c r="W219" s="79"/>
      <c r="Z219" s="130"/>
      <c r="AB219" s="106"/>
    </row>
    <row r="220">
      <c r="C220" s="79"/>
      <c r="D220" s="79"/>
      <c r="E220" s="79"/>
      <c r="M220" s="79"/>
      <c r="R220" s="79"/>
      <c r="S220" s="79"/>
      <c r="V220" s="79"/>
      <c r="W220" s="79"/>
      <c r="Z220" s="130"/>
      <c r="AB220" s="106"/>
    </row>
    <row r="221">
      <c r="C221" s="79"/>
      <c r="D221" s="79"/>
      <c r="E221" s="79"/>
      <c r="M221" s="79"/>
      <c r="R221" s="79"/>
      <c r="S221" s="79"/>
      <c r="V221" s="79"/>
      <c r="W221" s="79"/>
      <c r="Z221" s="130"/>
      <c r="AB221" s="106"/>
    </row>
    <row r="222">
      <c r="C222" s="79"/>
      <c r="D222" s="79"/>
      <c r="E222" s="79"/>
      <c r="M222" s="79"/>
      <c r="R222" s="79"/>
      <c r="S222" s="79"/>
      <c r="V222" s="79"/>
      <c r="W222" s="79"/>
      <c r="Z222" s="130"/>
      <c r="AB222" s="106"/>
    </row>
    <row r="223">
      <c r="C223" s="79"/>
      <c r="D223" s="79"/>
      <c r="E223" s="79"/>
      <c r="M223" s="79"/>
      <c r="R223" s="79"/>
      <c r="S223" s="79"/>
      <c r="V223" s="79"/>
      <c r="W223" s="79"/>
      <c r="Z223" s="130"/>
      <c r="AB223" s="106"/>
    </row>
    <row r="224">
      <c r="C224" s="79"/>
      <c r="D224" s="79"/>
      <c r="E224" s="79"/>
      <c r="M224" s="79"/>
      <c r="R224" s="79"/>
      <c r="S224" s="79"/>
      <c r="V224" s="79"/>
      <c r="W224" s="79"/>
      <c r="Z224" s="130"/>
      <c r="AB224" s="106"/>
    </row>
    <row r="225">
      <c r="C225" s="79"/>
      <c r="D225" s="79"/>
      <c r="E225" s="79"/>
      <c r="M225" s="79"/>
      <c r="R225" s="79"/>
      <c r="S225" s="79"/>
      <c r="V225" s="79"/>
      <c r="W225" s="79"/>
      <c r="Z225" s="130"/>
      <c r="AB225" s="106"/>
    </row>
    <row r="226">
      <c r="C226" s="79"/>
      <c r="D226" s="79"/>
      <c r="E226" s="79"/>
      <c r="M226" s="79"/>
      <c r="R226" s="79"/>
      <c r="S226" s="79"/>
      <c r="V226" s="79"/>
      <c r="W226" s="79"/>
      <c r="Z226" s="130"/>
      <c r="AB226" s="106"/>
    </row>
    <row r="227">
      <c r="C227" s="79"/>
      <c r="D227" s="79"/>
      <c r="E227" s="79"/>
      <c r="M227" s="79"/>
      <c r="R227" s="79"/>
      <c r="S227" s="79"/>
      <c r="V227" s="79"/>
      <c r="W227" s="79"/>
      <c r="Z227" s="130"/>
      <c r="AB227" s="106"/>
    </row>
    <row r="228">
      <c r="C228" s="79"/>
      <c r="D228" s="79"/>
      <c r="E228" s="79"/>
      <c r="M228" s="79"/>
      <c r="R228" s="79"/>
      <c r="S228" s="79"/>
      <c r="V228" s="79"/>
      <c r="W228" s="79"/>
      <c r="Z228" s="130"/>
      <c r="AB228" s="106"/>
    </row>
    <row r="229">
      <c r="C229" s="79"/>
      <c r="D229" s="79"/>
      <c r="E229" s="79"/>
      <c r="M229" s="79"/>
      <c r="R229" s="79"/>
      <c r="S229" s="79"/>
      <c r="V229" s="79"/>
      <c r="W229" s="79"/>
      <c r="Z229" s="130"/>
      <c r="AB229" s="106"/>
    </row>
    <row r="230">
      <c r="C230" s="79"/>
      <c r="D230" s="79"/>
      <c r="E230" s="79"/>
      <c r="M230" s="79"/>
      <c r="R230" s="79"/>
      <c r="S230" s="79"/>
      <c r="V230" s="79"/>
      <c r="W230" s="79"/>
      <c r="Z230" s="130"/>
      <c r="AB230" s="106"/>
    </row>
    <row r="231">
      <c r="C231" s="79"/>
      <c r="D231" s="79"/>
      <c r="E231" s="79"/>
      <c r="M231" s="79"/>
      <c r="R231" s="79"/>
      <c r="S231" s="79"/>
      <c r="V231" s="79"/>
      <c r="W231" s="79"/>
      <c r="Z231" s="130"/>
      <c r="AB231" s="106"/>
    </row>
    <row r="232">
      <c r="C232" s="79"/>
      <c r="D232" s="79"/>
      <c r="E232" s="79"/>
      <c r="M232" s="79"/>
      <c r="R232" s="79"/>
      <c r="S232" s="79"/>
      <c r="V232" s="79"/>
      <c r="W232" s="79"/>
      <c r="Z232" s="130"/>
      <c r="AB232" s="106"/>
    </row>
    <row r="233">
      <c r="C233" s="79"/>
      <c r="D233" s="79"/>
      <c r="E233" s="79"/>
      <c r="M233" s="79"/>
      <c r="R233" s="79"/>
      <c r="S233" s="79"/>
      <c r="V233" s="79"/>
      <c r="W233" s="79"/>
      <c r="Z233" s="130"/>
      <c r="AB233" s="106"/>
    </row>
    <row r="234">
      <c r="C234" s="79"/>
      <c r="D234" s="79"/>
      <c r="E234" s="79"/>
      <c r="M234" s="79"/>
      <c r="R234" s="79"/>
      <c r="S234" s="79"/>
      <c r="V234" s="79"/>
      <c r="W234" s="79"/>
      <c r="Z234" s="130"/>
      <c r="AB234" s="106"/>
    </row>
    <row r="235">
      <c r="C235" s="79"/>
      <c r="D235" s="79"/>
      <c r="E235" s="79"/>
      <c r="M235" s="79"/>
      <c r="R235" s="79"/>
      <c r="S235" s="79"/>
      <c r="V235" s="79"/>
      <c r="W235" s="79"/>
      <c r="Z235" s="130"/>
      <c r="AB235" s="106"/>
    </row>
    <row r="236">
      <c r="C236" s="79"/>
      <c r="D236" s="79"/>
      <c r="E236" s="79"/>
      <c r="M236" s="79"/>
      <c r="R236" s="79"/>
      <c r="S236" s="79"/>
      <c r="V236" s="79"/>
      <c r="W236" s="79"/>
      <c r="Z236" s="130"/>
      <c r="AB236" s="106"/>
    </row>
    <row r="237">
      <c r="C237" s="79"/>
      <c r="D237" s="79"/>
      <c r="E237" s="79"/>
      <c r="M237" s="79"/>
      <c r="R237" s="79"/>
      <c r="S237" s="79"/>
      <c r="V237" s="79"/>
      <c r="W237" s="79"/>
      <c r="Z237" s="130"/>
      <c r="AB237" s="106"/>
    </row>
    <row r="238">
      <c r="C238" s="79"/>
      <c r="D238" s="79"/>
      <c r="E238" s="79"/>
      <c r="M238" s="79"/>
      <c r="R238" s="79"/>
      <c r="S238" s="79"/>
      <c r="V238" s="79"/>
      <c r="W238" s="79"/>
      <c r="Z238" s="130"/>
      <c r="AB238" s="106"/>
    </row>
    <row r="239">
      <c r="C239" s="79"/>
      <c r="D239" s="79"/>
      <c r="E239" s="79"/>
      <c r="M239" s="79"/>
      <c r="R239" s="79"/>
      <c r="S239" s="79"/>
      <c r="V239" s="79"/>
      <c r="W239" s="79"/>
      <c r="Z239" s="130"/>
      <c r="AB239" s="106"/>
    </row>
    <row r="240">
      <c r="C240" s="79"/>
      <c r="D240" s="79"/>
      <c r="E240" s="79"/>
      <c r="M240" s="79"/>
      <c r="R240" s="79"/>
      <c r="S240" s="79"/>
      <c r="V240" s="79"/>
      <c r="W240" s="79"/>
      <c r="Z240" s="130"/>
      <c r="AB240" s="106"/>
    </row>
    <row r="241">
      <c r="C241" s="79"/>
      <c r="D241" s="79"/>
      <c r="E241" s="79"/>
      <c r="M241" s="79"/>
      <c r="R241" s="79"/>
      <c r="S241" s="79"/>
      <c r="V241" s="79"/>
      <c r="W241" s="79"/>
      <c r="Z241" s="130"/>
      <c r="AB241" s="106"/>
    </row>
    <row r="242">
      <c r="C242" s="79"/>
      <c r="D242" s="79"/>
      <c r="E242" s="79"/>
      <c r="M242" s="79"/>
      <c r="R242" s="79"/>
      <c r="S242" s="79"/>
      <c r="V242" s="79"/>
      <c r="W242" s="79"/>
      <c r="Z242" s="130"/>
      <c r="AB242" s="106"/>
    </row>
    <row r="243">
      <c r="C243" s="79"/>
      <c r="D243" s="79"/>
      <c r="E243" s="79"/>
      <c r="M243" s="79"/>
      <c r="R243" s="79"/>
      <c r="S243" s="79"/>
      <c r="V243" s="79"/>
      <c r="W243" s="79"/>
      <c r="Z243" s="130"/>
      <c r="AB243" s="106"/>
    </row>
    <row r="244">
      <c r="C244" s="79"/>
      <c r="D244" s="79"/>
      <c r="E244" s="79"/>
      <c r="M244" s="79"/>
      <c r="R244" s="79"/>
      <c r="S244" s="79"/>
      <c r="V244" s="79"/>
      <c r="W244" s="79"/>
      <c r="Z244" s="130"/>
      <c r="AB244" s="106"/>
    </row>
    <row r="245">
      <c r="C245" s="79"/>
      <c r="D245" s="79"/>
      <c r="E245" s="79"/>
      <c r="M245" s="79"/>
      <c r="R245" s="79"/>
      <c r="S245" s="79"/>
      <c r="V245" s="79"/>
      <c r="W245" s="79"/>
      <c r="Z245" s="130"/>
      <c r="AB245" s="106"/>
    </row>
    <row r="246">
      <c r="C246" s="79"/>
      <c r="D246" s="79"/>
      <c r="E246" s="79"/>
      <c r="M246" s="79"/>
      <c r="R246" s="79"/>
      <c r="S246" s="79"/>
      <c r="V246" s="79"/>
      <c r="W246" s="79"/>
      <c r="Z246" s="130"/>
      <c r="AB246" s="106"/>
    </row>
    <row r="247">
      <c r="C247" s="79"/>
      <c r="D247" s="79"/>
      <c r="E247" s="79"/>
      <c r="M247" s="79"/>
      <c r="R247" s="79"/>
      <c r="S247" s="79"/>
      <c r="V247" s="79"/>
      <c r="W247" s="79"/>
      <c r="Z247" s="130"/>
      <c r="AB247" s="106"/>
    </row>
    <row r="248">
      <c r="C248" s="79"/>
      <c r="D248" s="79"/>
      <c r="E248" s="79"/>
      <c r="M248" s="79"/>
      <c r="R248" s="79"/>
      <c r="S248" s="79"/>
      <c r="V248" s="79"/>
      <c r="W248" s="79"/>
      <c r="Z248" s="130"/>
      <c r="AB248" s="106"/>
    </row>
    <row r="249">
      <c r="C249" s="79"/>
      <c r="D249" s="79"/>
      <c r="E249" s="79"/>
      <c r="M249" s="79"/>
      <c r="R249" s="79"/>
      <c r="S249" s="79"/>
      <c r="V249" s="79"/>
      <c r="W249" s="79"/>
      <c r="Z249" s="130"/>
      <c r="AB249" s="106"/>
    </row>
    <row r="250">
      <c r="C250" s="79"/>
      <c r="D250" s="79"/>
      <c r="E250" s="79"/>
      <c r="M250" s="79"/>
      <c r="R250" s="79"/>
      <c r="S250" s="79"/>
      <c r="V250" s="79"/>
      <c r="W250" s="79"/>
      <c r="Z250" s="130"/>
      <c r="AB250" s="106"/>
    </row>
    <row r="251">
      <c r="C251" s="79"/>
      <c r="D251" s="79"/>
      <c r="E251" s="79"/>
      <c r="M251" s="79"/>
      <c r="R251" s="79"/>
      <c r="S251" s="79"/>
      <c r="V251" s="79"/>
      <c r="W251" s="79"/>
      <c r="Z251" s="130"/>
      <c r="AB251" s="106"/>
    </row>
    <row r="252">
      <c r="C252" s="79"/>
      <c r="D252" s="79"/>
      <c r="E252" s="79"/>
      <c r="M252" s="79"/>
      <c r="R252" s="79"/>
      <c r="S252" s="79"/>
      <c r="V252" s="79"/>
      <c r="W252" s="79"/>
      <c r="Z252" s="130"/>
      <c r="AB252" s="106"/>
    </row>
    <row r="253">
      <c r="C253" s="79"/>
      <c r="D253" s="79"/>
      <c r="E253" s="79"/>
      <c r="M253" s="79"/>
      <c r="R253" s="79"/>
      <c r="S253" s="79"/>
      <c r="V253" s="79"/>
      <c r="W253" s="79"/>
      <c r="Z253" s="130"/>
      <c r="AB253" s="106"/>
    </row>
    <row r="254">
      <c r="C254" s="79"/>
      <c r="D254" s="79"/>
      <c r="E254" s="79"/>
      <c r="M254" s="79"/>
      <c r="R254" s="79"/>
      <c r="S254" s="79"/>
      <c r="V254" s="79"/>
      <c r="W254" s="79"/>
      <c r="Z254" s="130"/>
      <c r="AB254" s="106"/>
    </row>
    <row r="255">
      <c r="C255" s="79"/>
      <c r="D255" s="79"/>
      <c r="E255" s="79"/>
      <c r="M255" s="79"/>
      <c r="R255" s="79"/>
      <c r="S255" s="79"/>
      <c r="V255" s="79"/>
      <c r="W255" s="79"/>
      <c r="Z255" s="130"/>
      <c r="AB255" s="106"/>
    </row>
    <row r="256">
      <c r="C256" s="79"/>
      <c r="D256" s="79"/>
      <c r="E256" s="79"/>
      <c r="M256" s="79"/>
      <c r="R256" s="79"/>
      <c r="S256" s="79"/>
      <c r="V256" s="79"/>
      <c r="W256" s="79"/>
      <c r="Z256" s="130"/>
      <c r="AB256" s="106"/>
    </row>
    <row r="257">
      <c r="C257" s="79"/>
      <c r="D257" s="79"/>
      <c r="E257" s="79"/>
      <c r="M257" s="79"/>
      <c r="R257" s="79"/>
      <c r="S257" s="79"/>
      <c r="V257" s="79"/>
      <c r="W257" s="79"/>
      <c r="Z257" s="130"/>
      <c r="AB257" s="106"/>
    </row>
    <row r="258">
      <c r="C258" s="79"/>
      <c r="D258" s="79"/>
      <c r="E258" s="79"/>
      <c r="M258" s="79"/>
      <c r="R258" s="79"/>
      <c r="S258" s="79"/>
      <c r="V258" s="79"/>
      <c r="W258" s="79"/>
      <c r="Z258" s="130"/>
      <c r="AB258" s="106"/>
    </row>
    <row r="259">
      <c r="C259" s="79"/>
      <c r="D259" s="79"/>
      <c r="E259" s="79"/>
      <c r="M259" s="79"/>
      <c r="R259" s="79"/>
      <c r="S259" s="79"/>
      <c r="V259" s="79"/>
      <c r="W259" s="79"/>
      <c r="Z259" s="130"/>
      <c r="AB259" s="106"/>
    </row>
    <row r="260">
      <c r="C260" s="79"/>
      <c r="D260" s="79"/>
      <c r="E260" s="79"/>
      <c r="M260" s="79"/>
      <c r="R260" s="79"/>
      <c r="S260" s="79"/>
      <c r="V260" s="79"/>
      <c r="W260" s="79"/>
      <c r="Z260" s="130"/>
      <c r="AB260" s="106"/>
    </row>
    <row r="261">
      <c r="C261" s="79"/>
      <c r="D261" s="79"/>
      <c r="E261" s="79"/>
      <c r="M261" s="79"/>
      <c r="R261" s="79"/>
      <c r="S261" s="79"/>
      <c r="V261" s="79"/>
      <c r="W261" s="79"/>
      <c r="Z261" s="130"/>
      <c r="AB261" s="106"/>
    </row>
    <row r="262">
      <c r="C262" s="79"/>
      <c r="D262" s="79"/>
      <c r="E262" s="79"/>
      <c r="M262" s="79"/>
      <c r="R262" s="79"/>
      <c r="S262" s="79"/>
      <c r="V262" s="79"/>
      <c r="W262" s="79"/>
      <c r="Z262" s="130"/>
      <c r="AB262" s="106"/>
    </row>
    <row r="263">
      <c r="C263" s="79"/>
      <c r="D263" s="79"/>
      <c r="E263" s="79"/>
      <c r="M263" s="79"/>
      <c r="R263" s="79"/>
      <c r="S263" s="79"/>
      <c r="V263" s="79"/>
      <c r="W263" s="79"/>
      <c r="Z263" s="130"/>
      <c r="AB263" s="106"/>
    </row>
    <row r="264">
      <c r="C264" s="79"/>
      <c r="D264" s="79"/>
      <c r="E264" s="79"/>
      <c r="M264" s="79"/>
      <c r="R264" s="79"/>
      <c r="S264" s="79"/>
      <c r="V264" s="79"/>
      <c r="W264" s="79"/>
      <c r="Z264" s="130"/>
      <c r="AB264" s="106"/>
    </row>
    <row r="265">
      <c r="C265" s="79"/>
      <c r="D265" s="79"/>
      <c r="E265" s="79"/>
      <c r="M265" s="79"/>
      <c r="R265" s="79"/>
      <c r="S265" s="79"/>
      <c r="V265" s="79"/>
      <c r="W265" s="79"/>
      <c r="Z265" s="130"/>
      <c r="AB265" s="106"/>
    </row>
    <row r="266">
      <c r="C266" s="79"/>
      <c r="D266" s="79"/>
      <c r="E266" s="79"/>
      <c r="M266" s="79"/>
      <c r="R266" s="79"/>
      <c r="S266" s="79"/>
      <c r="V266" s="79"/>
      <c r="W266" s="79"/>
      <c r="Z266" s="130"/>
      <c r="AB266" s="106"/>
    </row>
    <row r="267">
      <c r="C267" s="79"/>
      <c r="D267" s="79"/>
      <c r="E267" s="79"/>
      <c r="M267" s="79"/>
      <c r="R267" s="79"/>
      <c r="S267" s="79"/>
      <c r="V267" s="79"/>
      <c r="W267" s="79"/>
      <c r="Z267" s="130"/>
      <c r="AB267" s="106"/>
    </row>
    <row r="268">
      <c r="C268" s="79"/>
      <c r="D268" s="79"/>
      <c r="E268" s="79"/>
      <c r="M268" s="79"/>
      <c r="R268" s="79"/>
      <c r="S268" s="79"/>
      <c r="V268" s="79"/>
      <c r="W268" s="79"/>
      <c r="Z268" s="130"/>
      <c r="AB268" s="106"/>
    </row>
    <row r="269">
      <c r="C269" s="79"/>
      <c r="D269" s="79"/>
      <c r="E269" s="79"/>
      <c r="M269" s="79"/>
      <c r="R269" s="79"/>
      <c r="S269" s="79"/>
      <c r="V269" s="79"/>
      <c r="W269" s="79"/>
      <c r="Z269" s="130"/>
      <c r="AB269" s="106"/>
    </row>
    <row r="270">
      <c r="C270" s="79"/>
      <c r="D270" s="79"/>
      <c r="E270" s="79"/>
      <c r="M270" s="79"/>
      <c r="R270" s="79"/>
      <c r="S270" s="79"/>
      <c r="V270" s="79"/>
      <c r="W270" s="79"/>
      <c r="Z270" s="130"/>
      <c r="AB270" s="106"/>
    </row>
    <row r="271">
      <c r="C271" s="79"/>
      <c r="D271" s="79"/>
      <c r="E271" s="79"/>
      <c r="M271" s="79"/>
      <c r="R271" s="79"/>
      <c r="S271" s="79"/>
      <c r="V271" s="79"/>
      <c r="W271" s="79"/>
      <c r="Z271" s="130"/>
      <c r="AB271" s="106"/>
    </row>
    <row r="272">
      <c r="C272" s="79"/>
      <c r="D272" s="79"/>
      <c r="E272" s="79"/>
      <c r="M272" s="79"/>
      <c r="R272" s="79"/>
      <c r="S272" s="79"/>
      <c r="V272" s="79"/>
      <c r="W272" s="79"/>
      <c r="Z272" s="130"/>
      <c r="AB272" s="106"/>
    </row>
    <row r="273">
      <c r="C273" s="79"/>
      <c r="D273" s="79"/>
      <c r="E273" s="79"/>
      <c r="M273" s="79"/>
      <c r="R273" s="79"/>
      <c r="S273" s="79"/>
      <c r="V273" s="79"/>
      <c r="W273" s="79"/>
      <c r="Z273" s="130"/>
      <c r="AB273" s="106"/>
    </row>
    <row r="274">
      <c r="C274" s="79"/>
      <c r="D274" s="79"/>
      <c r="E274" s="79"/>
      <c r="M274" s="79"/>
      <c r="R274" s="79"/>
      <c r="S274" s="79"/>
      <c r="V274" s="79"/>
      <c r="W274" s="79"/>
      <c r="Z274" s="130"/>
      <c r="AB274" s="106"/>
    </row>
    <row r="275">
      <c r="C275" s="79"/>
      <c r="D275" s="79"/>
      <c r="E275" s="79"/>
      <c r="M275" s="79"/>
      <c r="R275" s="79"/>
      <c r="S275" s="79"/>
      <c r="V275" s="79"/>
      <c r="W275" s="79"/>
      <c r="Z275" s="130"/>
      <c r="AB275" s="106"/>
    </row>
    <row r="276">
      <c r="C276" s="79"/>
      <c r="D276" s="79"/>
      <c r="E276" s="79"/>
      <c r="M276" s="79"/>
      <c r="R276" s="79"/>
      <c r="S276" s="79"/>
      <c r="V276" s="79"/>
      <c r="W276" s="79"/>
      <c r="Z276" s="130"/>
      <c r="AB276" s="106"/>
    </row>
    <row r="277">
      <c r="C277" s="79"/>
      <c r="D277" s="79"/>
      <c r="E277" s="79"/>
      <c r="M277" s="79"/>
      <c r="R277" s="79"/>
      <c r="S277" s="79"/>
      <c r="V277" s="79"/>
      <c r="W277" s="79"/>
      <c r="Z277" s="130"/>
      <c r="AB277" s="106"/>
    </row>
    <row r="278">
      <c r="C278" s="79"/>
      <c r="D278" s="79"/>
      <c r="E278" s="79"/>
      <c r="M278" s="79"/>
      <c r="R278" s="79"/>
      <c r="S278" s="79"/>
      <c r="V278" s="79"/>
      <c r="W278" s="79"/>
      <c r="Z278" s="130"/>
      <c r="AB278" s="106"/>
    </row>
    <row r="279">
      <c r="C279" s="79"/>
      <c r="D279" s="79"/>
      <c r="E279" s="79"/>
      <c r="M279" s="79"/>
      <c r="R279" s="79"/>
      <c r="S279" s="79"/>
      <c r="V279" s="79"/>
      <c r="W279" s="79"/>
      <c r="Z279" s="130"/>
      <c r="AB279" s="106"/>
    </row>
    <row r="280">
      <c r="C280" s="79"/>
      <c r="D280" s="79"/>
      <c r="E280" s="79"/>
      <c r="M280" s="79"/>
      <c r="R280" s="79"/>
      <c r="S280" s="79"/>
      <c r="V280" s="79"/>
      <c r="W280" s="79"/>
      <c r="Z280" s="130"/>
      <c r="AB280" s="106"/>
    </row>
    <row r="281">
      <c r="C281" s="79"/>
      <c r="D281" s="79"/>
      <c r="E281" s="79"/>
      <c r="M281" s="79"/>
      <c r="R281" s="79"/>
      <c r="S281" s="79"/>
      <c r="V281" s="79"/>
      <c r="W281" s="79"/>
      <c r="Z281" s="130"/>
      <c r="AB281" s="106"/>
    </row>
    <row r="282">
      <c r="C282" s="79"/>
      <c r="D282" s="79"/>
      <c r="E282" s="79"/>
      <c r="M282" s="79"/>
      <c r="R282" s="79"/>
      <c r="S282" s="79"/>
      <c r="V282" s="79"/>
      <c r="W282" s="79"/>
      <c r="Z282" s="130"/>
      <c r="AB282" s="106"/>
    </row>
    <row r="283">
      <c r="C283" s="79"/>
      <c r="D283" s="79"/>
      <c r="E283" s="79"/>
      <c r="M283" s="79"/>
      <c r="R283" s="79"/>
      <c r="S283" s="79"/>
      <c r="V283" s="79"/>
      <c r="W283" s="79"/>
      <c r="Z283" s="130"/>
      <c r="AB283" s="106"/>
    </row>
    <row r="284">
      <c r="C284" s="79"/>
      <c r="D284" s="79"/>
      <c r="E284" s="79"/>
      <c r="M284" s="79"/>
      <c r="R284" s="79"/>
      <c r="S284" s="79"/>
      <c r="V284" s="79"/>
      <c r="W284" s="79"/>
      <c r="Z284" s="130"/>
      <c r="AB284" s="106"/>
    </row>
    <row r="285">
      <c r="C285" s="79"/>
      <c r="D285" s="79"/>
      <c r="E285" s="79"/>
      <c r="M285" s="79"/>
      <c r="R285" s="79"/>
      <c r="S285" s="79"/>
      <c r="V285" s="79"/>
      <c r="W285" s="79"/>
      <c r="Z285" s="130"/>
      <c r="AB285" s="106"/>
    </row>
    <row r="286">
      <c r="C286" s="79"/>
      <c r="D286" s="79"/>
      <c r="E286" s="79"/>
      <c r="M286" s="79"/>
      <c r="R286" s="79"/>
      <c r="S286" s="79"/>
      <c r="V286" s="79"/>
      <c r="W286" s="79"/>
      <c r="Z286" s="130"/>
      <c r="AB286" s="106"/>
    </row>
    <row r="287">
      <c r="C287" s="79"/>
      <c r="D287" s="79"/>
      <c r="E287" s="79"/>
      <c r="M287" s="79"/>
      <c r="R287" s="79"/>
      <c r="S287" s="79"/>
      <c r="V287" s="79"/>
      <c r="W287" s="79"/>
      <c r="Z287" s="130"/>
      <c r="AB287" s="106"/>
    </row>
    <row r="288">
      <c r="C288" s="79"/>
      <c r="D288" s="79"/>
      <c r="E288" s="79"/>
      <c r="M288" s="79"/>
      <c r="R288" s="79"/>
      <c r="S288" s="79"/>
      <c r="V288" s="79"/>
      <c r="W288" s="79"/>
      <c r="Z288" s="130"/>
      <c r="AB288" s="106"/>
    </row>
    <row r="289">
      <c r="C289" s="79"/>
      <c r="D289" s="79"/>
      <c r="E289" s="79"/>
      <c r="M289" s="79"/>
      <c r="R289" s="79"/>
      <c r="S289" s="79"/>
      <c r="V289" s="79"/>
      <c r="W289" s="79"/>
      <c r="Z289" s="130"/>
      <c r="AB289" s="106"/>
    </row>
    <row r="290">
      <c r="C290" s="79"/>
      <c r="D290" s="79"/>
      <c r="E290" s="79"/>
      <c r="M290" s="79"/>
      <c r="R290" s="79"/>
      <c r="S290" s="79"/>
      <c r="V290" s="79"/>
      <c r="W290" s="79"/>
      <c r="Z290" s="130"/>
      <c r="AB290" s="106"/>
    </row>
    <row r="291">
      <c r="C291" s="79"/>
      <c r="D291" s="79"/>
      <c r="E291" s="79"/>
      <c r="M291" s="79"/>
      <c r="R291" s="79"/>
      <c r="S291" s="79"/>
      <c r="V291" s="79"/>
      <c r="W291" s="79"/>
      <c r="Z291" s="130"/>
      <c r="AB291" s="106"/>
    </row>
    <row r="292">
      <c r="C292" s="79"/>
      <c r="D292" s="79"/>
      <c r="E292" s="79"/>
      <c r="M292" s="79"/>
      <c r="R292" s="79"/>
      <c r="S292" s="79"/>
      <c r="V292" s="79"/>
      <c r="W292" s="79"/>
      <c r="Z292" s="130"/>
      <c r="AB292" s="106"/>
    </row>
    <row r="293">
      <c r="C293" s="79"/>
      <c r="D293" s="79"/>
      <c r="E293" s="79"/>
      <c r="M293" s="79"/>
      <c r="R293" s="79"/>
      <c r="S293" s="79"/>
      <c r="V293" s="79"/>
      <c r="W293" s="79"/>
      <c r="Z293" s="130"/>
      <c r="AB293" s="106"/>
    </row>
    <row r="294">
      <c r="C294" s="79"/>
      <c r="D294" s="79"/>
      <c r="E294" s="79"/>
      <c r="M294" s="79"/>
      <c r="R294" s="79"/>
      <c r="S294" s="79"/>
      <c r="V294" s="79"/>
      <c r="W294" s="79"/>
      <c r="Z294" s="130"/>
      <c r="AB294" s="106"/>
    </row>
    <row r="295">
      <c r="C295" s="79"/>
      <c r="D295" s="79"/>
      <c r="E295" s="79"/>
      <c r="M295" s="79"/>
      <c r="R295" s="79"/>
      <c r="S295" s="79"/>
      <c r="V295" s="79"/>
      <c r="W295" s="79"/>
      <c r="Z295" s="130"/>
      <c r="AB295" s="106"/>
    </row>
    <row r="296">
      <c r="C296" s="79"/>
      <c r="D296" s="79"/>
      <c r="E296" s="79"/>
      <c r="M296" s="79"/>
      <c r="R296" s="79"/>
      <c r="S296" s="79"/>
      <c r="V296" s="79"/>
      <c r="W296" s="79"/>
      <c r="Z296" s="130"/>
      <c r="AB296" s="106"/>
    </row>
    <row r="297">
      <c r="C297" s="79"/>
      <c r="D297" s="79"/>
      <c r="E297" s="79"/>
      <c r="M297" s="79"/>
      <c r="R297" s="79"/>
      <c r="S297" s="79"/>
      <c r="V297" s="79"/>
      <c r="W297" s="79"/>
      <c r="Z297" s="130"/>
      <c r="AB297" s="106"/>
    </row>
    <row r="298">
      <c r="C298" s="79"/>
      <c r="D298" s="79"/>
      <c r="E298" s="79"/>
      <c r="M298" s="79"/>
      <c r="R298" s="79"/>
      <c r="S298" s="79"/>
      <c r="V298" s="79"/>
      <c r="W298" s="79"/>
      <c r="Z298" s="130"/>
      <c r="AB298" s="106"/>
    </row>
    <row r="299">
      <c r="C299" s="79"/>
      <c r="D299" s="79"/>
      <c r="E299" s="79"/>
      <c r="M299" s="79"/>
      <c r="R299" s="79"/>
      <c r="S299" s="79"/>
      <c r="V299" s="79"/>
      <c r="W299" s="79"/>
      <c r="Z299" s="130"/>
      <c r="AB299" s="106"/>
    </row>
    <row r="300">
      <c r="C300" s="79"/>
      <c r="D300" s="79"/>
      <c r="E300" s="79"/>
      <c r="M300" s="79"/>
      <c r="R300" s="79"/>
      <c r="S300" s="79"/>
      <c r="V300" s="79"/>
      <c r="W300" s="79"/>
      <c r="Z300" s="130"/>
      <c r="AB300" s="106"/>
    </row>
    <row r="301">
      <c r="C301" s="79"/>
      <c r="D301" s="79"/>
      <c r="E301" s="79"/>
      <c r="M301" s="79"/>
      <c r="R301" s="79"/>
      <c r="S301" s="79"/>
      <c r="V301" s="79"/>
      <c r="W301" s="79"/>
      <c r="Z301" s="130"/>
      <c r="AB301" s="106"/>
    </row>
    <row r="302">
      <c r="C302" s="79"/>
      <c r="D302" s="79"/>
      <c r="E302" s="79"/>
      <c r="M302" s="79"/>
      <c r="R302" s="79"/>
      <c r="S302" s="79"/>
      <c r="V302" s="79"/>
      <c r="W302" s="79"/>
      <c r="Z302" s="130"/>
      <c r="AB302" s="106"/>
    </row>
    <row r="303">
      <c r="C303" s="79"/>
      <c r="D303" s="79"/>
      <c r="E303" s="79"/>
      <c r="M303" s="79"/>
      <c r="R303" s="79"/>
      <c r="S303" s="79"/>
      <c r="V303" s="79"/>
      <c r="W303" s="79"/>
      <c r="Z303" s="130"/>
      <c r="AB303" s="106"/>
    </row>
    <row r="304">
      <c r="C304" s="79"/>
      <c r="D304" s="79"/>
      <c r="E304" s="79"/>
      <c r="M304" s="79"/>
      <c r="R304" s="79"/>
      <c r="S304" s="79"/>
      <c r="V304" s="79"/>
      <c r="W304" s="79"/>
      <c r="Z304" s="130"/>
      <c r="AB304" s="106"/>
    </row>
    <row r="305">
      <c r="C305" s="79"/>
      <c r="D305" s="79"/>
      <c r="E305" s="79"/>
      <c r="M305" s="79"/>
      <c r="R305" s="79"/>
      <c r="S305" s="79"/>
      <c r="V305" s="79"/>
      <c r="W305" s="79"/>
      <c r="Z305" s="130"/>
      <c r="AB305" s="106"/>
    </row>
    <row r="306">
      <c r="C306" s="79"/>
      <c r="D306" s="79"/>
      <c r="E306" s="79"/>
      <c r="M306" s="79"/>
      <c r="R306" s="79"/>
      <c r="S306" s="79"/>
      <c r="V306" s="79"/>
      <c r="W306" s="79"/>
      <c r="Z306" s="130"/>
      <c r="AB306" s="106"/>
    </row>
    <row r="307">
      <c r="C307" s="79"/>
      <c r="D307" s="79"/>
      <c r="E307" s="79"/>
      <c r="M307" s="79"/>
      <c r="R307" s="79"/>
      <c r="S307" s="79"/>
      <c r="V307" s="79"/>
      <c r="W307" s="79"/>
      <c r="Z307" s="130"/>
      <c r="AB307" s="106"/>
    </row>
    <row r="308">
      <c r="C308" s="79"/>
      <c r="D308" s="79"/>
      <c r="E308" s="79"/>
      <c r="M308" s="79"/>
      <c r="R308" s="79"/>
      <c r="S308" s="79"/>
      <c r="V308" s="79"/>
      <c r="W308" s="79"/>
      <c r="Z308" s="130"/>
      <c r="AB308" s="106"/>
    </row>
    <row r="309">
      <c r="C309" s="79"/>
      <c r="D309" s="79"/>
      <c r="E309" s="79"/>
      <c r="M309" s="79"/>
      <c r="R309" s="79"/>
      <c r="S309" s="79"/>
      <c r="V309" s="79"/>
      <c r="W309" s="79"/>
      <c r="Z309" s="130"/>
      <c r="AB309" s="106"/>
    </row>
    <row r="310">
      <c r="C310" s="79"/>
      <c r="D310" s="79"/>
      <c r="E310" s="79"/>
      <c r="M310" s="79"/>
      <c r="R310" s="79"/>
      <c r="S310" s="79"/>
      <c r="V310" s="79"/>
      <c r="W310" s="79"/>
      <c r="Z310" s="130"/>
      <c r="AB310" s="106"/>
    </row>
    <row r="311">
      <c r="C311" s="79"/>
      <c r="D311" s="79"/>
      <c r="E311" s="79"/>
      <c r="M311" s="79"/>
      <c r="R311" s="79"/>
      <c r="S311" s="79"/>
      <c r="V311" s="79"/>
      <c r="W311" s="79"/>
      <c r="Z311" s="130"/>
      <c r="AB311" s="106"/>
    </row>
    <row r="312">
      <c r="C312" s="79"/>
      <c r="D312" s="79"/>
      <c r="E312" s="79"/>
      <c r="M312" s="79"/>
      <c r="R312" s="79"/>
      <c r="S312" s="79"/>
      <c r="V312" s="79"/>
      <c r="W312" s="79"/>
      <c r="Z312" s="130"/>
      <c r="AB312" s="106"/>
    </row>
    <row r="313">
      <c r="C313" s="79"/>
      <c r="D313" s="79"/>
      <c r="E313" s="79"/>
      <c r="M313" s="79"/>
      <c r="R313" s="79"/>
      <c r="S313" s="79"/>
      <c r="V313" s="79"/>
      <c r="W313" s="79"/>
      <c r="Z313" s="130"/>
      <c r="AB313" s="106"/>
    </row>
    <row r="314">
      <c r="C314" s="79"/>
      <c r="D314" s="79"/>
      <c r="E314" s="79"/>
      <c r="M314" s="79"/>
      <c r="R314" s="79"/>
      <c r="S314" s="79"/>
      <c r="V314" s="79"/>
      <c r="W314" s="79"/>
      <c r="Z314" s="130"/>
      <c r="AB314" s="106"/>
    </row>
    <row r="315">
      <c r="C315" s="79"/>
      <c r="D315" s="79"/>
      <c r="E315" s="79"/>
      <c r="M315" s="79"/>
      <c r="R315" s="79"/>
      <c r="S315" s="79"/>
      <c r="V315" s="79"/>
      <c r="W315" s="79"/>
      <c r="Z315" s="130"/>
      <c r="AB315" s="106"/>
    </row>
    <row r="316">
      <c r="C316" s="79"/>
      <c r="D316" s="79"/>
      <c r="E316" s="79"/>
      <c r="M316" s="79"/>
      <c r="R316" s="79"/>
      <c r="S316" s="79"/>
      <c r="V316" s="79"/>
      <c r="W316" s="79"/>
      <c r="Z316" s="130"/>
      <c r="AB316" s="106"/>
    </row>
    <row r="317">
      <c r="C317" s="79"/>
      <c r="D317" s="79"/>
      <c r="E317" s="79"/>
      <c r="M317" s="79"/>
      <c r="R317" s="79"/>
      <c r="S317" s="79"/>
      <c r="V317" s="79"/>
      <c r="W317" s="79"/>
      <c r="Z317" s="130"/>
      <c r="AB317" s="106"/>
    </row>
    <row r="318">
      <c r="C318" s="79"/>
      <c r="D318" s="79"/>
      <c r="E318" s="79"/>
      <c r="M318" s="79"/>
      <c r="R318" s="79"/>
      <c r="S318" s="79"/>
      <c r="V318" s="79"/>
      <c r="W318" s="79"/>
      <c r="Z318" s="130"/>
      <c r="AB318" s="106"/>
    </row>
    <row r="319">
      <c r="C319" s="79"/>
      <c r="D319" s="79"/>
      <c r="E319" s="79"/>
      <c r="M319" s="79"/>
      <c r="R319" s="79"/>
      <c r="S319" s="79"/>
      <c r="V319" s="79"/>
      <c r="W319" s="79"/>
      <c r="Z319" s="130"/>
      <c r="AB319" s="106"/>
    </row>
    <row r="320">
      <c r="C320" s="79"/>
      <c r="D320" s="79"/>
      <c r="E320" s="79"/>
      <c r="M320" s="79"/>
      <c r="R320" s="79"/>
      <c r="S320" s="79"/>
      <c r="V320" s="79"/>
      <c r="W320" s="79"/>
      <c r="Z320" s="130"/>
      <c r="AB320" s="106"/>
    </row>
    <row r="321">
      <c r="C321" s="79"/>
      <c r="D321" s="79"/>
      <c r="E321" s="79"/>
      <c r="M321" s="79"/>
      <c r="R321" s="79"/>
      <c r="S321" s="79"/>
      <c r="V321" s="79"/>
      <c r="W321" s="79"/>
      <c r="Z321" s="130"/>
      <c r="AB321" s="106"/>
    </row>
    <row r="322">
      <c r="C322" s="79"/>
      <c r="D322" s="79"/>
      <c r="E322" s="79"/>
      <c r="M322" s="79"/>
      <c r="R322" s="79"/>
      <c r="S322" s="79"/>
      <c r="V322" s="79"/>
      <c r="W322" s="79"/>
      <c r="Z322" s="130"/>
      <c r="AB322" s="106"/>
    </row>
    <row r="323">
      <c r="C323" s="79"/>
      <c r="D323" s="79"/>
      <c r="E323" s="79"/>
      <c r="M323" s="79"/>
      <c r="R323" s="79"/>
      <c r="S323" s="79"/>
      <c r="V323" s="79"/>
      <c r="W323" s="79"/>
      <c r="Z323" s="130"/>
      <c r="AB323" s="106"/>
    </row>
    <row r="324">
      <c r="C324" s="79"/>
      <c r="D324" s="79"/>
      <c r="E324" s="79"/>
      <c r="M324" s="79"/>
      <c r="R324" s="79"/>
      <c r="S324" s="79"/>
      <c r="V324" s="79"/>
      <c r="W324" s="79"/>
      <c r="Z324" s="130"/>
      <c r="AB324" s="106"/>
    </row>
    <row r="325">
      <c r="C325" s="79"/>
      <c r="D325" s="79"/>
      <c r="E325" s="79"/>
      <c r="M325" s="79"/>
      <c r="R325" s="79"/>
      <c r="S325" s="79"/>
      <c r="V325" s="79"/>
      <c r="W325" s="79"/>
      <c r="Z325" s="130"/>
      <c r="AB325" s="106"/>
    </row>
    <row r="326">
      <c r="C326" s="79"/>
      <c r="D326" s="79"/>
      <c r="E326" s="79"/>
      <c r="M326" s="79"/>
      <c r="R326" s="79"/>
      <c r="S326" s="79"/>
      <c r="V326" s="79"/>
      <c r="W326" s="79"/>
      <c r="Z326" s="130"/>
      <c r="AB326" s="106"/>
    </row>
    <row r="327">
      <c r="C327" s="79"/>
      <c r="D327" s="79"/>
      <c r="E327" s="79"/>
      <c r="M327" s="79"/>
      <c r="R327" s="79"/>
      <c r="S327" s="79"/>
      <c r="V327" s="79"/>
      <c r="W327" s="79"/>
      <c r="Z327" s="130"/>
      <c r="AB327" s="106"/>
    </row>
    <row r="328">
      <c r="C328" s="79"/>
      <c r="D328" s="79"/>
      <c r="E328" s="79"/>
      <c r="M328" s="79"/>
      <c r="R328" s="79"/>
      <c r="S328" s="79"/>
      <c r="V328" s="79"/>
      <c r="W328" s="79"/>
      <c r="Z328" s="130"/>
      <c r="AB328" s="106"/>
    </row>
    <row r="329">
      <c r="C329" s="79"/>
      <c r="D329" s="79"/>
      <c r="E329" s="79"/>
      <c r="M329" s="79"/>
      <c r="R329" s="79"/>
      <c r="S329" s="79"/>
      <c r="V329" s="79"/>
      <c r="W329" s="79"/>
      <c r="Z329" s="130"/>
      <c r="AB329" s="106"/>
    </row>
    <row r="330">
      <c r="C330" s="79"/>
      <c r="D330" s="79"/>
      <c r="E330" s="79"/>
      <c r="M330" s="79"/>
      <c r="R330" s="79"/>
      <c r="S330" s="79"/>
      <c r="V330" s="79"/>
      <c r="W330" s="79"/>
      <c r="Z330" s="130"/>
      <c r="AB330" s="106"/>
    </row>
    <row r="331">
      <c r="C331" s="79"/>
      <c r="D331" s="79"/>
      <c r="E331" s="79"/>
      <c r="M331" s="79"/>
      <c r="R331" s="79"/>
      <c r="S331" s="79"/>
      <c r="V331" s="79"/>
      <c r="W331" s="79"/>
      <c r="Z331" s="130"/>
      <c r="AB331" s="106"/>
    </row>
    <row r="332">
      <c r="C332" s="79"/>
      <c r="D332" s="79"/>
      <c r="E332" s="79"/>
      <c r="M332" s="79"/>
      <c r="R332" s="79"/>
      <c r="S332" s="79"/>
      <c r="V332" s="79"/>
      <c r="W332" s="79"/>
      <c r="Z332" s="130"/>
      <c r="AB332" s="106"/>
    </row>
    <row r="333">
      <c r="C333" s="79"/>
      <c r="D333" s="79"/>
      <c r="E333" s="79"/>
      <c r="M333" s="79"/>
      <c r="R333" s="79"/>
      <c r="S333" s="79"/>
      <c r="V333" s="79"/>
      <c r="W333" s="79"/>
      <c r="Z333" s="130"/>
      <c r="AB333" s="106"/>
    </row>
    <row r="334">
      <c r="C334" s="79"/>
      <c r="D334" s="79"/>
      <c r="E334" s="79"/>
      <c r="M334" s="79"/>
      <c r="R334" s="79"/>
      <c r="S334" s="79"/>
      <c r="V334" s="79"/>
      <c r="W334" s="79"/>
      <c r="Z334" s="130"/>
      <c r="AB334" s="106"/>
    </row>
    <row r="335">
      <c r="C335" s="79"/>
      <c r="D335" s="79"/>
      <c r="E335" s="79"/>
      <c r="M335" s="79"/>
      <c r="R335" s="79"/>
      <c r="S335" s="79"/>
      <c r="V335" s="79"/>
      <c r="W335" s="79"/>
      <c r="Z335" s="130"/>
      <c r="AB335" s="106"/>
    </row>
    <row r="336">
      <c r="C336" s="79"/>
      <c r="D336" s="79"/>
      <c r="E336" s="79"/>
      <c r="M336" s="79"/>
      <c r="R336" s="79"/>
      <c r="S336" s="79"/>
      <c r="V336" s="79"/>
      <c r="W336" s="79"/>
      <c r="Z336" s="130"/>
      <c r="AB336" s="106"/>
    </row>
    <row r="337">
      <c r="C337" s="79"/>
      <c r="D337" s="79"/>
      <c r="E337" s="79"/>
      <c r="M337" s="79"/>
      <c r="R337" s="79"/>
      <c r="S337" s="79"/>
      <c r="V337" s="79"/>
      <c r="W337" s="79"/>
      <c r="Z337" s="130"/>
      <c r="AB337" s="106"/>
    </row>
    <row r="338">
      <c r="C338" s="79"/>
      <c r="D338" s="79"/>
      <c r="E338" s="79"/>
      <c r="M338" s="79"/>
      <c r="R338" s="79"/>
      <c r="S338" s="79"/>
      <c r="V338" s="79"/>
      <c r="W338" s="79"/>
      <c r="Z338" s="130"/>
      <c r="AB338" s="106"/>
    </row>
    <row r="339">
      <c r="C339" s="79"/>
      <c r="D339" s="79"/>
      <c r="E339" s="79"/>
      <c r="M339" s="79"/>
      <c r="R339" s="79"/>
      <c r="S339" s="79"/>
      <c r="V339" s="79"/>
      <c r="W339" s="79"/>
      <c r="Z339" s="130"/>
      <c r="AB339" s="106"/>
    </row>
    <row r="340">
      <c r="C340" s="79"/>
      <c r="D340" s="79"/>
      <c r="E340" s="79"/>
      <c r="M340" s="79"/>
      <c r="R340" s="79"/>
      <c r="S340" s="79"/>
      <c r="V340" s="79"/>
      <c r="W340" s="79"/>
      <c r="Z340" s="130"/>
      <c r="AB340" s="106"/>
    </row>
    <row r="341">
      <c r="C341" s="79"/>
      <c r="D341" s="79"/>
      <c r="E341" s="79"/>
      <c r="M341" s="79"/>
      <c r="R341" s="79"/>
      <c r="S341" s="79"/>
      <c r="V341" s="79"/>
      <c r="W341" s="79"/>
      <c r="Z341" s="130"/>
      <c r="AB341" s="106"/>
    </row>
    <row r="342">
      <c r="C342" s="79"/>
      <c r="D342" s="79"/>
      <c r="E342" s="79"/>
      <c r="M342" s="79"/>
      <c r="R342" s="79"/>
      <c r="S342" s="79"/>
      <c r="V342" s="79"/>
      <c r="W342" s="79"/>
      <c r="Z342" s="130"/>
      <c r="AB342" s="106"/>
    </row>
    <row r="343">
      <c r="C343" s="79"/>
      <c r="D343" s="79"/>
      <c r="E343" s="79"/>
      <c r="M343" s="79"/>
      <c r="R343" s="79"/>
      <c r="S343" s="79"/>
      <c r="V343" s="79"/>
      <c r="W343" s="79"/>
      <c r="Z343" s="130"/>
      <c r="AB343" s="106"/>
    </row>
    <row r="344">
      <c r="C344" s="79"/>
      <c r="D344" s="79"/>
      <c r="E344" s="79"/>
      <c r="M344" s="79"/>
      <c r="R344" s="79"/>
      <c r="S344" s="79"/>
      <c r="V344" s="79"/>
      <c r="W344" s="79"/>
      <c r="Z344" s="130"/>
      <c r="AB344" s="106"/>
    </row>
    <row r="345">
      <c r="C345" s="79"/>
      <c r="D345" s="79"/>
      <c r="E345" s="79"/>
      <c r="M345" s="79"/>
      <c r="R345" s="79"/>
      <c r="S345" s="79"/>
      <c r="V345" s="79"/>
      <c r="W345" s="79"/>
      <c r="Z345" s="130"/>
      <c r="AB345" s="106"/>
    </row>
    <row r="346">
      <c r="C346" s="79"/>
      <c r="D346" s="79"/>
      <c r="E346" s="79"/>
      <c r="M346" s="79"/>
      <c r="R346" s="79"/>
      <c r="S346" s="79"/>
      <c r="V346" s="79"/>
      <c r="W346" s="79"/>
      <c r="Z346" s="130"/>
      <c r="AB346" s="106"/>
    </row>
    <row r="347">
      <c r="C347" s="79"/>
      <c r="D347" s="79"/>
      <c r="E347" s="79"/>
      <c r="M347" s="79"/>
      <c r="R347" s="79"/>
      <c r="S347" s="79"/>
      <c r="V347" s="79"/>
      <c r="W347" s="79"/>
      <c r="Z347" s="130"/>
      <c r="AB347" s="106"/>
    </row>
    <row r="348">
      <c r="C348" s="79"/>
      <c r="D348" s="79"/>
      <c r="E348" s="79"/>
      <c r="M348" s="79"/>
      <c r="R348" s="79"/>
      <c r="S348" s="79"/>
      <c r="V348" s="79"/>
      <c r="W348" s="79"/>
      <c r="Z348" s="130"/>
      <c r="AB348" s="106"/>
    </row>
    <row r="349">
      <c r="C349" s="79"/>
      <c r="D349" s="79"/>
      <c r="E349" s="79"/>
      <c r="M349" s="79"/>
      <c r="R349" s="79"/>
      <c r="S349" s="79"/>
      <c r="V349" s="79"/>
      <c r="W349" s="79"/>
      <c r="Z349" s="130"/>
      <c r="AB349" s="106"/>
    </row>
    <row r="350">
      <c r="C350" s="79"/>
      <c r="D350" s="79"/>
      <c r="E350" s="79"/>
      <c r="M350" s="79"/>
      <c r="R350" s="79"/>
      <c r="S350" s="79"/>
      <c r="V350" s="79"/>
      <c r="W350" s="79"/>
      <c r="Z350" s="130"/>
      <c r="AB350" s="106"/>
    </row>
    <row r="351">
      <c r="C351" s="79"/>
      <c r="D351" s="79"/>
      <c r="E351" s="79"/>
      <c r="M351" s="79"/>
      <c r="R351" s="79"/>
      <c r="S351" s="79"/>
      <c r="V351" s="79"/>
      <c r="W351" s="79"/>
      <c r="Z351" s="130"/>
      <c r="AB351" s="106"/>
    </row>
    <row r="352">
      <c r="C352" s="79"/>
      <c r="D352" s="79"/>
      <c r="E352" s="79"/>
      <c r="M352" s="79"/>
      <c r="R352" s="79"/>
      <c r="S352" s="79"/>
      <c r="V352" s="79"/>
      <c r="W352" s="79"/>
      <c r="Z352" s="130"/>
      <c r="AB352" s="106"/>
    </row>
    <row r="353">
      <c r="C353" s="79"/>
      <c r="D353" s="79"/>
      <c r="E353" s="79"/>
      <c r="M353" s="79"/>
      <c r="R353" s="79"/>
      <c r="S353" s="79"/>
      <c r="V353" s="79"/>
      <c r="W353" s="79"/>
      <c r="Z353" s="130"/>
      <c r="AB353" s="106"/>
    </row>
    <row r="354">
      <c r="C354" s="79"/>
      <c r="D354" s="79"/>
      <c r="E354" s="79"/>
      <c r="M354" s="79"/>
      <c r="R354" s="79"/>
      <c r="S354" s="79"/>
      <c r="V354" s="79"/>
      <c r="W354" s="79"/>
      <c r="Z354" s="130"/>
      <c r="AB354" s="106"/>
    </row>
    <row r="355">
      <c r="C355" s="79"/>
      <c r="D355" s="79"/>
      <c r="E355" s="79"/>
      <c r="M355" s="79"/>
      <c r="R355" s="79"/>
      <c r="S355" s="79"/>
      <c r="V355" s="79"/>
      <c r="W355" s="79"/>
      <c r="Z355" s="130"/>
      <c r="AB355" s="106"/>
    </row>
    <row r="356">
      <c r="C356" s="79"/>
      <c r="D356" s="79"/>
      <c r="E356" s="79"/>
      <c r="M356" s="79"/>
      <c r="R356" s="79"/>
      <c r="S356" s="79"/>
      <c r="V356" s="79"/>
      <c r="W356" s="79"/>
      <c r="Z356" s="130"/>
      <c r="AB356" s="106"/>
    </row>
    <row r="357">
      <c r="C357" s="79"/>
      <c r="D357" s="79"/>
      <c r="E357" s="79"/>
      <c r="M357" s="79"/>
      <c r="R357" s="79"/>
      <c r="S357" s="79"/>
      <c r="V357" s="79"/>
      <c r="W357" s="79"/>
      <c r="Z357" s="130"/>
      <c r="AB357" s="106"/>
    </row>
    <row r="358">
      <c r="C358" s="79"/>
      <c r="D358" s="79"/>
      <c r="E358" s="79"/>
      <c r="M358" s="79"/>
      <c r="R358" s="79"/>
      <c r="S358" s="79"/>
      <c r="V358" s="79"/>
      <c r="W358" s="79"/>
      <c r="Z358" s="130"/>
      <c r="AB358" s="106"/>
    </row>
    <row r="359">
      <c r="C359" s="79"/>
      <c r="D359" s="79"/>
      <c r="E359" s="79"/>
      <c r="M359" s="79"/>
      <c r="R359" s="79"/>
      <c r="S359" s="79"/>
      <c r="V359" s="79"/>
      <c r="W359" s="79"/>
      <c r="Z359" s="130"/>
      <c r="AB359" s="106"/>
    </row>
    <row r="360">
      <c r="C360" s="79"/>
      <c r="D360" s="79"/>
      <c r="E360" s="79"/>
      <c r="M360" s="79"/>
      <c r="R360" s="79"/>
      <c r="S360" s="79"/>
      <c r="V360" s="79"/>
      <c r="W360" s="79"/>
      <c r="Z360" s="130"/>
      <c r="AB360" s="106"/>
    </row>
    <row r="361">
      <c r="C361" s="79"/>
      <c r="D361" s="79"/>
      <c r="E361" s="79"/>
      <c r="M361" s="79"/>
      <c r="R361" s="79"/>
      <c r="S361" s="79"/>
      <c r="V361" s="79"/>
      <c r="W361" s="79"/>
      <c r="Z361" s="130"/>
      <c r="AB361" s="106"/>
    </row>
    <row r="362">
      <c r="C362" s="79"/>
      <c r="D362" s="79"/>
      <c r="E362" s="79"/>
      <c r="M362" s="79"/>
      <c r="R362" s="79"/>
      <c r="S362" s="79"/>
      <c r="V362" s="79"/>
      <c r="W362" s="79"/>
      <c r="Z362" s="130"/>
      <c r="AB362" s="106"/>
    </row>
    <row r="363">
      <c r="C363" s="79"/>
      <c r="D363" s="79"/>
      <c r="E363" s="79"/>
      <c r="M363" s="79"/>
      <c r="R363" s="79"/>
      <c r="S363" s="79"/>
      <c r="V363" s="79"/>
      <c r="W363" s="79"/>
      <c r="Z363" s="130"/>
      <c r="AB363" s="106"/>
    </row>
    <row r="364">
      <c r="C364" s="79"/>
      <c r="D364" s="79"/>
      <c r="E364" s="79"/>
      <c r="M364" s="79"/>
      <c r="R364" s="79"/>
      <c r="S364" s="79"/>
      <c r="V364" s="79"/>
      <c r="W364" s="79"/>
      <c r="Z364" s="130"/>
      <c r="AB364" s="106"/>
    </row>
    <row r="365">
      <c r="C365" s="79"/>
      <c r="D365" s="79"/>
      <c r="E365" s="79"/>
      <c r="M365" s="79"/>
      <c r="R365" s="79"/>
      <c r="S365" s="79"/>
      <c r="V365" s="79"/>
      <c r="W365" s="79"/>
      <c r="Z365" s="130"/>
      <c r="AB365" s="106"/>
    </row>
    <row r="366">
      <c r="C366" s="79"/>
      <c r="D366" s="79"/>
      <c r="E366" s="79"/>
      <c r="M366" s="79"/>
      <c r="R366" s="79"/>
      <c r="S366" s="79"/>
      <c r="V366" s="79"/>
      <c r="W366" s="79"/>
      <c r="Z366" s="130"/>
      <c r="AB366" s="106"/>
    </row>
    <row r="367">
      <c r="C367" s="79"/>
      <c r="D367" s="79"/>
      <c r="E367" s="79"/>
      <c r="M367" s="79"/>
      <c r="R367" s="79"/>
      <c r="S367" s="79"/>
      <c r="V367" s="79"/>
      <c r="W367" s="79"/>
      <c r="Z367" s="130"/>
      <c r="AB367" s="106"/>
    </row>
    <row r="368">
      <c r="C368" s="79"/>
      <c r="D368" s="79"/>
      <c r="E368" s="79"/>
      <c r="M368" s="79"/>
      <c r="R368" s="79"/>
      <c r="S368" s="79"/>
      <c r="V368" s="79"/>
      <c r="W368" s="79"/>
      <c r="Z368" s="130"/>
      <c r="AB368" s="106"/>
    </row>
    <row r="369">
      <c r="C369" s="79"/>
      <c r="D369" s="79"/>
      <c r="E369" s="79"/>
      <c r="M369" s="79"/>
      <c r="R369" s="79"/>
      <c r="S369" s="79"/>
      <c r="V369" s="79"/>
      <c r="W369" s="79"/>
      <c r="Z369" s="130"/>
      <c r="AB369" s="106"/>
    </row>
    <row r="370">
      <c r="C370" s="79"/>
      <c r="D370" s="79"/>
      <c r="E370" s="79"/>
      <c r="M370" s="79"/>
      <c r="R370" s="79"/>
      <c r="S370" s="79"/>
      <c r="V370" s="79"/>
      <c r="W370" s="79"/>
      <c r="Z370" s="130"/>
      <c r="AB370" s="106"/>
    </row>
    <row r="371">
      <c r="C371" s="79"/>
      <c r="D371" s="79"/>
      <c r="E371" s="79"/>
      <c r="M371" s="79"/>
      <c r="R371" s="79"/>
      <c r="S371" s="79"/>
      <c r="V371" s="79"/>
      <c r="W371" s="79"/>
      <c r="Z371" s="130"/>
      <c r="AB371" s="106"/>
    </row>
    <row r="372">
      <c r="C372" s="79"/>
      <c r="D372" s="79"/>
      <c r="E372" s="79"/>
      <c r="M372" s="79"/>
      <c r="R372" s="79"/>
      <c r="S372" s="79"/>
      <c r="V372" s="79"/>
      <c r="W372" s="79"/>
      <c r="Z372" s="130"/>
      <c r="AB372" s="106"/>
    </row>
    <row r="373">
      <c r="C373" s="79"/>
      <c r="D373" s="79"/>
      <c r="E373" s="79"/>
      <c r="M373" s="79"/>
      <c r="R373" s="79"/>
      <c r="S373" s="79"/>
      <c r="V373" s="79"/>
      <c r="W373" s="79"/>
      <c r="Z373" s="130"/>
      <c r="AB373" s="106"/>
    </row>
    <row r="374">
      <c r="C374" s="79"/>
      <c r="D374" s="79"/>
      <c r="E374" s="79"/>
      <c r="M374" s="79"/>
      <c r="R374" s="79"/>
      <c r="S374" s="79"/>
      <c r="V374" s="79"/>
      <c r="W374" s="79"/>
      <c r="Z374" s="130"/>
      <c r="AB374" s="106"/>
    </row>
    <row r="375">
      <c r="C375" s="79"/>
      <c r="D375" s="79"/>
      <c r="E375" s="79"/>
      <c r="M375" s="79"/>
      <c r="R375" s="79"/>
      <c r="S375" s="79"/>
      <c r="V375" s="79"/>
      <c r="W375" s="79"/>
      <c r="Z375" s="130"/>
      <c r="AB375" s="106"/>
    </row>
    <row r="376">
      <c r="C376" s="79"/>
      <c r="D376" s="79"/>
      <c r="E376" s="79"/>
      <c r="M376" s="79"/>
      <c r="R376" s="79"/>
      <c r="S376" s="79"/>
      <c r="V376" s="79"/>
      <c r="W376" s="79"/>
      <c r="Z376" s="130"/>
      <c r="AB376" s="106"/>
    </row>
    <row r="377">
      <c r="C377" s="79"/>
      <c r="D377" s="79"/>
      <c r="E377" s="79"/>
      <c r="M377" s="79"/>
      <c r="R377" s="79"/>
      <c r="S377" s="79"/>
      <c r="V377" s="79"/>
      <c r="W377" s="79"/>
      <c r="Z377" s="130"/>
      <c r="AB377" s="106"/>
    </row>
    <row r="378">
      <c r="C378" s="79"/>
      <c r="D378" s="79"/>
      <c r="E378" s="79"/>
      <c r="M378" s="79"/>
      <c r="R378" s="79"/>
      <c r="S378" s="79"/>
      <c r="V378" s="79"/>
      <c r="W378" s="79"/>
      <c r="Z378" s="130"/>
      <c r="AB378" s="106"/>
    </row>
    <row r="379">
      <c r="C379" s="79"/>
      <c r="D379" s="79"/>
      <c r="E379" s="79"/>
      <c r="M379" s="79"/>
      <c r="R379" s="79"/>
      <c r="S379" s="79"/>
      <c r="V379" s="79"/>
      <c r="W379" s="79"/>
      <c r="Z379" s="130"/>
      <c r="AB379" s="106"/>
    </row>
    <row r="380">
      <c r="C380" s="79"/>
      <c r="D380" s="79"/>
      <c r="E380" s="79"/>
      <c r="M380" s="79"/>
      <c r="R380" s="79"/>
      <c r="S380" s="79"/>
      <c r="V380" s="79"/>
      <c r="W380" s="79"/>
      <c r="Z380" s="130"/>
      <c r="AB380" s="106"/>
    </row>
    <row r="381">
      <c r="C381" s="79"/>
      <c r="D381" s="79"/>
      <c r="E381" s="79"/>
      <c r="M381" s="79"/>
      <c r="R381" s="79"/>
      <c r="S381" s="79"/>
      <c r="V381" s="79"/>
      <c r="W381" s="79"/>
      <c r="Z381" s="130"/>
      <c r="AB381" s="106"/>
    </row>
    <row r="382">
      <c r="C382" s="79"/>
      <c r="D382" s="79"/>
      <c r="E382" s="79"/>
      <c r="M382" s="79"/>
      <c r="R382" s="79"/>
      <c r="S382" s="79"/>
      <c r="V382" s="79"/>
      <c r="W382" s="79"/>
      <c r="Z382" s="130"/>
      <c r="AB382" s="106"/>
    </row>
    <row r="383">
      <c r="C383" s="79"/>
      <c r="D383" s="79"/>
      <c r="E383" s="79"/>
      <c r="M383" s="79"/>
      <c r="R383" s="79"/>
      <c r="S383" s="79"/>
      <c r="V383" s="79"/>
      <c r="W383" s="79"/>
      <c r="Z383" s="130"/>
      <c r="AB383" s="106"/>
    </row>
    <row r="384">
      <c r="C384" s="79"/>
      <c r="D384" s="79"/>
      <c r="E384" s="79"/>
      <c r="M384" s="79"/>
      <c r="R384" s="79"/>
      <c r="S384" s="79"/>
      <c r="V384" s="79"/>
      <c r="W384" s="79"/>
      <c r="Z384" s="130"/>
      <c r="AB384" s="106"/>
    </row>
    <row r="385">
      <c r="C385" s="79"/>
      <c r="D385" s="79"/>
      <c r="E385" s="79"/>
      <c r="M385" s="79"/>
      <c r="R385" s="79"/>
      <c r="S385" s="79"/>
      <c r="V385" s="79"/>
      <c r="W385" s="79"/>
      <c r="Z385" s="130"/>
      <c r="AB385" s="106"/>
    </row>
    <row r="386">
      <c r="C386" s="79"/>
      <c r="D386" s="79"/>
      <c r="E386" s="79"/>
      <c r="M386" s="79"/>
      <c r="R386" s="79"/>
      <c r="S386" s="79"/>
      <c r="V386" s="79"/>
      <c r="W386" s="79"/>
      <c r="Z386" s="130"/>
      <c r="AB386" s="106"/>
    </row>
    <row r="387">
      <c r="C387" s="79"/>
      <c r="D387" s="79"/>
      <c r="E387" s="79"/>
      <c r="M387" s="79"/>
      <c r="R387" s="79"/>
      <c r="S387" s="79"/>
      <c r="V387" s="79"/>
      <c r="W387" s="79"/>
      <c r="Z387" s="130"/>
      <c r="AB387" s="106"/>
    </row>
    <row r="388">
      <c r="C388" s="79"/>
      <c r="D388" s="79"/>
      <c r="E388" s="79"/>
      <c r="M388" s="79"/>
      <c r="R388" s="79"/>
      <c r="S388" s="79"/>
      <c r="V388" s="79"/>
      <c r="W388" s="79"/>
      <c r="Z388" s="130"/>
      <c r="AB388" s="106"/>
    </row>
    <row r="389">
      <c r="C389" s="79"/>
      <c r="D389" s="79"/>
      <c r="E389" s="79"/>
      <c r="M389" s="79"/>
      <c r="R389" s="79"/>
      <c r="S389" s="79"/>
      <c r="V389" s="79"/>
      <c r="W389" s="79"/>
      <c r="Z389" s="130"/>
      <c r="AB389" s="106"/>
    </row>
    <row r="390">
      <c r="C390" s="79"/>
      <c r="D390" s="79"/>
      <c r="E390" s="79"/>
      <c r="M390" s="79"/>
      <c r="R390" s="79"/>
      <c r="S390" s="79"/>
      <c r="V390" s="79"/>
      <c r="W390" s="79"/>
      <c r="Z390" s="130"/>
      <c r="AB390" s="106"/>
    </row>
    <row r="391">
      <c r="C391" s="79"/>
      <c r="D391" s="79"/>
      <c r="E391" s="79"/>
      <c r="M391" s="79"/>
      <c r="R391" s="79"/>
      <c r="S391" s="79"/>
      <c r="V391" s="79"/>
      <c r="W391" s="79"/>
      <c r="Z391" s="130"/>
      <c r="AB391" s="106"/>
    </row>
    <row r="392">
      <c r="C392" s="79"/>
      <c r="D392" s="79"/>
      <c r="E392" s="79"/>
      <c r="M392" s="79"/>
      <c r="R392" s="79"/>
      <c r="S392" s="79"/>
      <c r="V392" s="79"/>
      <c r="W392" s="79"/>
      <c r="Z392" s="130"/>
      <c r="AB392" s="106"/>
    </row>
    <row r="393">
      <c r="C393" s="79"/>
      <c r="D393" s="79"/>
      <c r="E393" s="79"/>
      <c r="M393" s="79"/>
      <c r="R393" s="79"/>
      <c r="S393" s="79"/>
      <c r="V393" s="79"/>
      <c r="W393" s="79"/>
      <c r="Z393" s="130"/>
      <c r="AB393" s="106"/>
    </row>
    <row r="394">
      <c r="C394" s="79"/>
      <c r="D394" s="79"/>
      <c r="E394" s="79"/>
      <c r="M394" s="79"/>
      <c r="R394" s="79"/>
      <c r="S394" s="79"/>
      <c r="V394" s="79"/>
      <c r="W394" s="79"/>
      <c r="Z394" s="130"/>
      <c r="AB394" s="106"/>
    </row>
    <row r="395">
      <c r="C395" s="79"/>
      <c r="D395" s="79"/>
      <c r="E395" s="79"/>
      <c r="M395" s="79"/>
      <c r="R395" s="79"/>
      <c r="S395" s="79"/>
      <c r="V395" s="79"/>
      <c r="W395" s="79"/>
      <c r="Z395" s="130"/>
      <c r="AB395" s="106"/>
    </row>
    <row r="396">
      <c r="C396" s="79"/>
      <c r="D396" s="79"/>
      <c r="E396" s="79"/>
      <c r="M396" s="79"/>
      <c r="R396" s="79"/>
      <c r="S396" s="79"/>
      <c r="V396" s="79"/>
      <c r="W396" s="79"/>
      <c r="Z396" s="130"/>
      <c r="AB396" s="106"/>
    </row>
    <row r="397">
      <c r="C397" s="79"/>
      <c r="D397" s="79"/>
      <c r="E397" s="79"/>
      <c r="M397" s="79"/>
      <c r="R397" s="79"/>
      <c r="S397" s="79"/>
      <c r="V397" s="79"/>
      <c r="W397" s="79"/>
      <c r="Z397" s="130"/>
      <c r="AB397" s="106"/>
    </row>
    <row r="398">
      <c r="C398" s="79"/>
      <c r="D398" s="79"/>
      <c r="E398" s="79"/>
      <c r="M398" s="79"/>
      <c r="R398" s="79"/>
      <c r="S398" s="79"/>
      <c r="V398" s="79"/>
      <c r="W398" s="79"/>
      <c r="Z398" s="130"/>
      <c r="AB398" s="106"/>
    </row>
    <row r="399">
      <c r="C399" s="79"/>
      <c r="D399" s="79"/>
      <c r="E399" s="79"/>
      <c r="M399" s="79"/>
      <c r="R399" s="79"/>
      <c r="S399" s="79"/>
      <c r="V399" s="79"/>
      <c r="W399" s="79"/>
      <c r="Z399" s="130"/>
      <c r="AB399" s="106"/>
    </row>
    <row r="400">
      <c r="C400" s="79"/>
      <c r="D400" s="79"/>
      <c r="E400" s="79"/>
      <c r="M400" s="79"/>
      <c r="R400" s="79"/>
      <c r="S400" s="79"/>
      <c r="V400" s="79"/>
      <c r="W400" s="79"/>
      <c r="Z400" s="130"/>
      <c r="AB400" s="106"/>
    </row>
    <row r="401">
      <c r="C401" s="79"/>
      <c r="D401" s="79"/>
      <c r="E401" s="79"/>
      <c r="M401" s="79"/>
      <c r="R401" s="79"/>
      <c r="S401" s="79"/>
      <c r="V401" s="79"/>
      <c r="W401" s="79"/>
      <c r="Z401" s="130"/>
      <c r="AB401" s="106"/>
    </row>
    <row r="402">
      <c r="C402" s="79"/>
      <c r="D402" s="79"/>
      <c r="E402" s="79"/>
      <c r="M402" s="79"/>
      <c r="R402" s="79"/>
      <c r="S402" s="79"/>
      <c r="V402" s="79"/>
      <c r="W402" s="79"/>
      <c r="Z402" s="130"/>
      <c r="AB402" s="106"/>
    </row>
    <row r="403">
      <c r="C403" s="79"/>
      <c r="D403" s="79"/>
      <c r="E403" s="79"/>
      <c r="M403" s="79"/>
      <c r="R403" s="79"/>
      <c r="S403" s="79"/>
      <c r="V403" s="79"/>
      <c r="W403" s="79"/>
      <c r="Z403" s="130"/>
      <c r="AB403" s="106"/>
    </row>
    <row r="404">
      <c r="C404" s="79"/>
      <c r="D404" s="79"/>
      <c r="E404" s="79"/>
      <c r="M404" s="79"/>
      <c r="R404" s="79"/>
      <c r="S404" s="79"/>
      <c r="V404" s="79"/>
      <c r="W404" s="79"/>
      <c r="Z404" s="130"/>
      <c r="AB404" s="106"/>
    </row>
    <row r="405">
      <c r="C405" s="79"/>
      <c r="D405" s="79"/>
      <c r="E405" s="79"/>
      <c r="M405" s="79"/>
      <c r="R405" s="79"/>
      <c r="S405" s="79"/>
      <c r="V405" s="79"/>
      <c r="W405" s="79"/>
      <c r="Z405" s="130"/>
      <c r="AB405" s="106"/>
    </row>
    <row r="406">
      <c r="C406" s="79"/>
      <c r="D406" s="79"/>
      <c r="E406" s="79"/>
      <c r="M406" s="79"/>
      <c r="R406" s="79"/>
      <c r="S406" s="79"/>
      <c r="V406" s="79"/>
      <c r="W406" s="79"/>
      <c r="Z406" s="130"/>
      <c r="AB406" s="106"/>
    </row>
    <row r="407">
      <c r="C407" s="79"/>
      <c r="D407" s="79"/>
      <c r="E407" s="79"/>
      <c r="M407" s="79"/>
      <c r="R407" s="79"/>
      <c r="S407" s="79"/>
      <c r="V407" s="79"/>
      <c r="W407" s="79"/>
      <c r="Z407" s="130"/>
      <c r="AB407" s="106"/>
    </row>
    <row r="408">
      <c r="C408" s="79"/>
      <c r="D408" s="79"/>
      <c r="E408" s="79"/>
      <c r="M408" s="79"/>
      <c r="R408" s="79"/>
      <c r="S408" s="79"/>
      <c r="V408" s="79"/>
      <c r="W408" s="79"/>
      <c r="Z408" s="130"/>
      <c r="AB408" s="106"/>
    </row>
    <row r="409">
      <c r="C409" s="79"/>
      <c r="D409" s="79"/>
      <c r="E409" s="79"/>
      <c r="M409" s="79"/>
      <c r="R409" s="79"/>
      <c r="S409" s="79"/>
      <c r="V409" s="79"/>
      <c r="W409" s="79"/>
      <c r="Z409" s="130"/>
      <c r="AB409" s="106"/>
    </row>
    <row r="410">
      <c r="C410" s="79"/>
      <c r="D410" s="79"/>
      <c r="E410" s="79"/>
      <c r="M410" s="79"/>
      <c r="R410" s="79"/>
      <c r="S410" s="79"/>
      <c r="V410" s="79"/>
      <c r="W410" s="79"/>
      <c r="Z410" s="130"/>
      <c r="AB410" s="106"/>
    </row>
    <row r="411">
      <c r="C411" s="79"/>
      <c r="D411" s="79"/>
      <c r="E411" s="79"/>
      <c r="M411" s="79"/>
      <c r="R411" s="79"/>
      <c r="S411" s="79"/>
      <c r="V411" s="79"/>
      <c r="W411" s="79"/>
      <c r="Z411" s="130"/>
      <c r="AB411" s="106"/>
    </row>
    <row r="412">
      <c r="C412" s="79"/>
      <c r="D412" s="79"/>
      <c r="E412" s="79"/>
      <c r="M412" s="79"/>
      <c r="R412" s="79"/>
      <c r="S412" s="79"/>
      <c r="V412" s="79"/>
      <c r="W412" s="79"/>
      <c r="Z412" s="130"/>
      <c r="AB412" s="106"/>
    </row>
    <row r="413">
      <c r="C413" s="79"/>
      <c r="D413" s="79"/>
      <c r="E413" s="79"/>
      <c r="M413" s="79"/>
      <c r="R413" s="79"/>
      <c r="S413" s="79"/>
      <c r="V413" s="79"/>
      <c r="W413" s="79"/>
      <c r="Z413" s="130"/>
      <c r="AB413" s="106"/>
    </row>
    <row r="414">
      <c r="C414" s="79"/>
      <c r="D414" s="79"/>
      <c r="E414" s="79"/>
      <c r="M414" s="79"/>
      <c r="R414" s="79"/>
      <c r="S414" s="79"/>
      <c r="V414" s="79"/>
      <c r="W414" s="79"/>
      <c r="Z414" s="130"/>
      <c r="AB414" s="106"/>
    </row>
    <row r="415">
      <c r="C415" s="79"/>
      <c r="D415" s="79"/>
      <c r="E415" s="79"/>
      <c r="M415" s="79"/>
      <c r="R415" s="79"/>
      <c r="S415" s="79"/>
      <c r="V415" s="79"/>
      <c r="W415" s="79"/>
      <c r="Z415" s="130"/>
      <c r="AB415" s="106"/>
    </row>
    <row r="416">
      <c r="C416" s="79"/>
      <c r="D416" s="79"/>
      <c r="E416" s="79"/>
      <c r="M416" s="79"/>
      <c r="R416" s="79"/>
      <c r="S416" s="79"/>
      <c r="V416" s="79"/>
      <c r="W416" s="79"/>
      <c r="Z416" s="130"/>
      <c r="AB416" s="106"/>
    </row>
    <row r="417">
      <c r="C417" s="79"/>
      <c r="D417" s="79"/>
      <c r="E417" s="79"/>
      <c r="M417" s="79"/>
      <c r="R417" s="79"/>
      <c r="S417" s="79"/>
      <c r="V417" s="79"/>
      <c r="W417" s="79"/>
      <c r="Z417" s="130"/>
      <c r="AB417" s="106"/>
    </row>
    <row r="418">
      <c r="C418" s="79"/>
      <c r="D418" s="79"/>
      <c r="E418" s="79"/>
      <c r="M418" s="79"/>
      <c r="R418" s="79"/>
      <c r="S418" s="79"/>
      <c r="V418" s="79"/>
      <c r="W418" s="79"/>
      <c r="Z418" s="130"/>
      <c r="AB418" s="106"/>
    </row>
    <row r="419">
      <c r="C419" s="79"/>
      <c r="D419" s="79"/>
      <c r="E419" s="79"/>
      <c r="M419" s="79"/>
      <c r="R419" s="79"/>
      <c r="S419" s="79"/>
      <c r="V419" s="79"/>
      <c r="W419" s="79"/>
      <c r="Z419" s="130"/>
      <c r="AB419" s="106"/>
    </row>
    <row r="420">
      <c r="C420" s="79"/>
      <c r="D420" s="79"/>
      <c r="E420" s="79"/>
      <c r="M420" s="79"/>
      <c r="R420" s="79"/>
      <c r="S420" s="79"/>
      <c r="V420" s="79"/>
      <c r="W420" s="79"/>
      <c r="Z420" s="130"/>
      <c r="AB420" s="106"/>
    </row>
    <row r="421">
      <c r="C421" s="79"/>
      <c r="D421" s="79"/>
      <c r="E421" s="79"/>
      <c r="M421" s="79"/>
      <c r="R421" s="79"/>
      <c r="S421" s="79"/>
      <c r="V421" s="79"/>
      <c r="W421" s="79"/>
      <c r="Z421" s="130"/>
      <c r="AB421" s="106"/>
    </row>
    <row r="422">
      <c r="C422" s="79"/>
      <c r="D422" s="79"/>
      <c r="E422" s="79"/>
      <c r="M422" s="79"/>
      <c r="R422" s="79"/>
      <c r="S422" s="79"/>
      <c r="V422" s="79"/>
      <c r="W422" s="79"/>
      <c r="Z422" s="130"/>
      <c r="AB422" s="106"/>
    </row>
    <row r="423">
      <c r="C423" s="79"/>
      <c r="D423" s="79"/>
      <c r="E423" s="79"/>
      <c r="M423" s="79"/>
      <c r="R423" s="79"/>
      <c r="S423" s="79"/>
      <c r="V423" s="79"/>
      <c r="W423" s="79"/>
      <c r="Z423" s="130"/>
      <c r="AB423" s="106"/>
    </row>
    <row r="424">
      <c r="C424" s="79"/>
      <c r="D424" s="79"/>
      <c r="E424" s="79"/>
      <c r="M424" s="79"/>
      <c r="R424" s="79"/>
      <c r="S424" s="79"/>
      <c r="V424" s="79"/>
      <c r="W424" s="79"/>
      <c r="Z424" s="130"/>
      <c r="AB424" s="106"/>
    </row>
    <row r="425">
      <c r="C425" s="79"/>
      <c r="D425" s="79"/>
      <c r="E425" s="79"/>
      <c r="M425" s="79"/>
      <c r="R425" s="79"/>
      <c r="S425" s="79"/>
      <c r="V425" s="79"/>
      <c r="W425" s="79"/>
      <c r="Z425" s="130"/>
      <c r="AB425" s="106"/>
    </row>
    <row r="426">
      <c r="C426" s="79"/>
      <c r="D426" s="79"/>
      <c r="E426" s="79"/>
      <c r="M426" s="79"/>
      <c r="R426" s="79"/>
      <c r="S426" s="79"/>
      <c r="V426" s="79"/>
      <c r="W426" s="79"/>
      <c r="Z426" s="130"/>
      <c r="AB426" s="106"/>
    </row>
    <row r="427">
      <c r="C427" s="79"/>
      <c r="D427" s="79"/>
      <c r="E427" s="79"/>
      <c r="M427" s="79"/>
      <c r="R427" s="79"/>
      <c r="S427" s="79"/>
      <c r="V427" s="79"/>
      <c r="W427" s="79"/>
      <c r="Z427" s="130"/>
      <c r="AB427" s="106"/>
    </row>
    <row r="428">
      <c r="C428" s="79"/>
      <c r="D428" s="79"/>
      <c r="E428" s="79"/>
      <c r="M428" s="79"/>
      <c r="R428" s="79"/>
      <c r="S428" s="79"/>
      <c r="V428" s="79"/>
      <c r="W428" s="79"/>
      <c r="Z428" s="130"/>
      <c r="AB428" s="106"/>
    </row>
    <row r="429">
      <c r="C429" s="79"/>
      <c r="D429" s="79"/>
      <c r="E429" s="79"/>
      <c r="M429" s="79"/>
      <c r="R429" s="79"/>
      <c r="S429" s="79"/>
      <c r="V429" s="79"/>
      <c r="W429" s="79"/>
      <c r="Z429" s="130"/>
      <c r="AB429" s="106"/>
    </row>
    <row r="430">
      <c r="C430" s="79"/>
      <c r="D430" s="79"/>
      <c r="E430" s="79"/>
      <c r="M430" s="79"/>
      <c r="R430" s="79"/>
      <c r="S430" s="79"/>
      <c r="V430" s="79"/>
      <c r="W430" s="79"/>
      <c r="Z430" s="130"/>
      <c r="AB430" s="106"/>
    </row>
    <row r="431">
      <c r="C431" s="79"/>
      <c r="D431" s="79"/>
      <c r="E431" s="79"/>
      <c r="M431" s="79"/>
      <c r="R431" s="79"/>
      <c r="S431" s="79"/>
      <c r="V431" s="79"/>
      <c r="W431" s="79"/>
      <c r="Z431" s="130"/>
      <c r="AB431" s="106"/>
    </row>
    <row r="432">
      <c r="C432" s="79"/>
      <c r="D432" s="79"/>
      <c r="E432" s="79"/>
      <c r="M432" s="79"/>
      <c r="R432" s="79"/>
      <c r="S432" s="79"/>
      <c r="V432" s="79"/>
      <c r="W432" s="79"/>
      <c r="Z432" s="130"/>
      <c r="AB432" s="106"/>
    </row>
    <row r="433">
      <c r="C433" s="79"/>
      <c r="D433" s="79"/>
      <c r="E433" s="79"/>
      <c r="M433" s="79"/>
      <c r="R433" s="79"/>
      <c r="S433" s="79"/>
      <c r="V433" s="79"/>
      <c r="W433" s="79"/>
      <c r="Z433" s="130"/>
      <c r="AB433" s="106"/>
    </row>
    <row r="434">
      <c r="C434" s="79"/>
      <c r="D434" s="79"/>
      <c r="E434" s="79"/>
      <c r="M434" s="79"/>
      <c r="R434" s="79"/>
      <c r="S434" s="79"/>
      <c r="V434" s="79"/>
      <c r="W434" s="79"/>
      <c r="Z434" s="130"/>
      <c r="AB434" s="106"/>
    </row>
    <row r="435">
      <c r="C435" s="79"/>
      <c r="D435" s="79"/>
      <c r="E435" s="79"/>
      <c r="M435" s="79"/>
      <c r="R435" s="79"/>
      <c r="S435" s="79"/>
      <c r="V435" s="79"/>
      <c r="W435" s="79"/>
      <c r="Z435" s="130"/>
      <c r="AB435" s="106"/>
    </row>
    <row r="436">
      <c r="C436" s="79"/>
      <c r="D436" s="79"/>
      <c r="E436" s="79"/>
      <c r="M436" s="79"/>
      <c r="R436" s="79"/>
      <c r="S436" s="79"/>
      <c r="V436" s="79"/>
      <c r="W436" s="79"/>
      <c r="Z436" s="130"/>
      <c r="AB436" s="106"/>
    </row>
    <row r="437">
      <c r="C437" s="79"/>
      <c r="D437" s="79"/>
      <c r="E437" s="79"/>
      <c r="M437" s="79"/>
      <c r="R437" s="79"/>
      <c r="S437" s="79"/>
      <c r="V437" s="79"/>
      <c r="W437" s="79"/>
      <c r="Z437" s="130"/>
      <c r="AB437" s="106"/>
    </row>
    <row r="438">
      <c r="C438" s="79"/>
      <c r="D438" s="79"/>
      <c r="E438" s="79"/>
      <c r="M438" s="79"/>
      <c r="R438" s="79"/>
      <c r="S438" s="79"/>
      <c r="V438" s="79"/>
      <c r="W438" s="79"/>
      <c r="Z438" s="130"/>
      <c r="AB438" s="106"/>
    </row>
    <row r="439">
      <c r="C439" s="79"/>
      <c r="D439" s="79"/>
      <c r="E439" s="79"/>
      <c r="M439" s="79"/>
      <c r="R439" s="79"/>
      <c r="S439" s="79"/>
      <c r="V439" s="79"/>
      <c r="W439" s="79"/>
      <c r="Z439" s="130"/>
      <c r="AB439" s="106"/>
    </row>
    <row r="440">
      <c r="C440" s="79"/>
      <c r="D440" s="79"/>
      <c r="E440" s="79"/>
      <c r="M440" s="79"/>
      <c r="R440" s="79"/>
      <c r="S440" s="79"/>
      <c r="V440" s="79"/>
      <c r="W440" s="79"/>
      <c r="Z440" s="130"/>
      <c r="AB440" s="106"/>
    </row>
    <row r="441">
      <c r="C441" s="79"/>
      <c r="D441" s="79"/>
      <c r="E441" s="79"/>
      <c r="M441" s="79"/>
      <c r="R441" s="79"/>
      <c r="S441" s="79"/>
      <c r="V441" s="79"/>
      <c r="W441" s="79"/>
      <c r="Z441" s="130"/>
      <c r="AB441" s="106"/>
    </row>
    <row r="442">
      <c r="C442" s="79"/>
      <c r="D442" s="79"/>
      <c r="E442" s="79"/>
      <c r="M442" s="79"/>
      <c r="R442" s="79"/>
      <c r="S442" s="79"/>
      <c r="V442" s="79"/>
      <c r="W442" s="79"/>
      <c r="Z442" s="130"/>
      <c r="AB442" s="106"/>
    </row>
    <row r="443">
      <c r="C443" s="79"/>
      <c r="D443" s="79"/>
      <c r="E443" s="79"/>
      <c r="M443" s="79"/>
      <c r="R443" s="79"/>
      <c r="S443" s="79"/>
      <c r="V443" s="79"/>
      <c r="W443" s="79"/>
      <c r="Z443" s="130"/>
      <c r="AB443" s="106"/>
    </row>
    <row r="444">
      <c r="C444" s="79"/>
      <c r="D444" s="79"/>
      <c r="E444" s="79"/>
      <c r="M444" s="79"/>
      <c r="R444" s="79"/>
      <c r="S444" s="79"/>
      <c r="V444" s="79"/>
      <c r="W444" s="79"/>
      <c r="Z444" s="130"/>
      <c r="AB444" s="106"/>
    </row>
    <row r="445">
      <c r="C445" s="79"/>
      <c r="D445" s="79"/>
      <c r="E445" s="79"/>
      <c r="M445" s="79"/>
      <c r="R445" s="79"/>
      <c r="S445" s="79"/>
      <c r="V445" s="79"/>
      <c r="W445" s="79"/>
      <c r="Z445" s="130"/>
      <c r="AB445" s="106"/>
    </row>
    <row r="446">
      <c r="C446" s="79"/>
      <c r="D446" s="79"/>
      <c r="E446" s="79"/>
      <c r="M446" s="79"/>
      <c r="R446" s="79"/>
      <c r="S446" s="79"/>
      <c r="V446" s="79"/>
      <c r="W446" s="79"/>
      <c r="Z446" s="130"/>
      <c r="AB446" s="106"/>
    </row>
    <row r="447">
      <c r="C447" s="79"/>
      <c r="D447" s="79"/>
      <c r="E447" s="79"/>
      <c r="M447" s="79"/>
      <c r="R447" s="79"/>
      <c r="S447" s="79"/>
      <c r="V447" s="79"/>
      <c r="W447" s="79"/>
      <c r="Z447" s="130"/>
      <c r="AB447" s="106"/>
    </row>
    <row r="448">
      <c r="C448" s="79"/>
      <c r="D448" s="79"/>
      <c r="E448" s="79"/>
      <c r="M448" s="79"/>
      <c r="R448" s="79"/>
      <c r="S448" s="79"/>
      <c r="V448" s="79"/>
      <c r="W448" s="79"/>
      <c r="Z448" s="130"/>
      <c r="AB448" s="106"/>
    </row>
    <row r="449">
      <c r="C449" s="79"/>
      <c r="D449" s="79"/>
      <c r="E449" s="79"/>
      <c r="M449" s="79"/>
      <c r="R449" s="79"/>
      <c r="S449" s="79"/>
      <c r="V449" s="79"/>
      <c r="W449" s="79"/>
      <c r="Z449" s="130"/>
      <c r="AB449" s="106"/>
    </row>
    <row r="450">
      <c r="C450" s="79"/>
      <c r="D450" s="79"/>
      <c r="E450" s="79"/>
      <c r="M450" s="79"/>
      <c r="R450" s="79"/>
      <c r="S450" s="79"/>
      <c r="V450" s="79"/>
      <c r="W450" s="79"/>
      <c r="Z450" s="130"/>
      <c r="AB450" s="106"/>
    </row>
    <row r="451">
      <c r="C451" s="79"/>
      <c r="D451" s="79"/>
      <c r="E451" s="79"/>
      <c r="M451" s="79"/>
      <c r="R451" s="79"/>
      <c r="S451" s="79"/>
      <c r="V451" s="79"/>
      <c r="W451" s="79"/>
      <c r="Z451" s="130"/>
      <c r="AB451" s="106"/>
    </row>
    <row r="452">
      <c r="C452" s="79"/>
      <c r="D452" s="79"/>
      <c r="E452" s="79"/>
      <c r="M452" s="79"/>
      <c r="R452" s="79"/>
      <c r="S452" s="79"/>
      <c r="V452" s="79"/>
      <c r="W452" s="79"/>
      <c r="Z452" s="130"/>
      <c r="AB452" s="106"/>
    </row>
    <row r="453">
      <c r="C453" s="79"/>
      <c r="D453" s="79"/>
      <c r="E453" s="79"/>
      <c r="M453" s="79"/>
      <c r="R453" s="79"/>
      <c r="S453" s="79"/>
      <c r="V453" s="79"/>
      <c r="W453" s="79"/>
      <c r="Z453" s="130"/>
      <c r="AB453" s="106"/>
    </row>
    <row r="454">
      <c r="C454" s="79"/>
      <c r="D454" s="79"/>
      <c r="E454" s="79"/>
      <c r="M454" s="79"/>
      <c r="R454" s="79"/>
      <c r="S454" s="79"/>
      <c r="V454" s="79"/>
      <c r="W454" s="79"/>
      <c r="Z454" s="130"/>
      <c r="AB454" s="106"/>
    </row>
    <row r="455">
      <c r="C455" s="79"/>
      <c r="D455" s="79"/>
      <c r="E455" s="79"/>
      <c r="M455" s="79"/>
      <c r="R455" s="79"/>
      <c r="S455" s="79"/>
      <c r="V455" s="79"/>
      <c r="W455" s="79"/>
      <c r="Z455" s="130"/>
      <c r="AB455" s="106"/>
    </row>
    <row r="456">
      <c r="C456" s="79"/>
      <c r="D456" s="79"/>
      <c r="E456" s="79"/>
      <c r="M456" s="79"/>
      <c r="R456" s="79"/>
      <c r="S456" s="79"/>
      <c r="V456" s="79"/>
      <c r="W456" s="79"/>
      <c r="Z456" s="130"/>
      <c r="AB456" s="106"/>
    </row>
    <row r="457">
      <c r="C457" s="79"/>
      <c r="D457" s="79"/>
      <c r="E457" s="79"/>
      <c r="M457" s="79"/>
      <c r="R457" s="79"/>
      <c r="S457" s="79"/>
      <c r="V457" s="79"/>
      <c r="W457" s="79"/>
      <c r="Z457" s="130"/>
      <c r="AB457" s="106"/>
    </row>
    <row r="458">
      <c r="C458" s="79"/>
      <c r="D458" s="79"/>
      <c r="E458" s="79"/>
      <c r="M458" s="79"/>
      <c r="R458" s="79"/>
      <c r="S458" s="79"/>
      <c r="V458" s="79"/>
      <c r="W458" s="79"/>
      <c r="Z458" s="130"/>
      <c r="AB458" s="106"/>
    </row>
    <row r="459">
      <c r="C459" s="79"/>
      <c r="D459" s="79"/>
      <c r="E459" s="79"/>
      <c r="M459" s="79"/>
      <c r="R459" s="79"/>
      <c r="S459" s="79"/>
      <c r="V459" s="79"/>
      <c r="W459" s="79"/>
      <c r="Z459" s="130"/>
      <c r="AB459" s="106"/>
    </row>
    <row r="460">
      <c r="C460" s="79"/>
      <c r="D460" s="79"/>
      <c r="E460" s="79"/>
      <c r="M460" s="79"/>
      <c r="R460" s="79"/>
      <c r="S460" s="79"/>
      <c r="V460" s="79"/>
      <c r="W460" s="79"/>
      <c r="Z460" s="130"/>
      <c r="AB460" s="106"/>
    </row>
    <row r="461">
      <c r="C461" s="79"/>
      <c r="D461" s="79"/>
      <c r="E461" s="79"/>
      <c r="M461" s="79"/>
      <c r="R461" s="79"/>
      <c r="S461" s="79"/>
      <c r="V461" s="79"/>
      <c r="W461" s="79"/>
      <c r="Z461" s="130"/>
      <c r="AB461" s="106"/>
    </row>
    <row r="462">
      <c r="C462" s="79"/>
      <c r="D462" s="79"/>
      <c r="E462" s="79"/>
      <c r="M462" s="79"/>
      <c r="R462" s="79"/>
      <c r="S462" s="79"/>
      <c r="V462" s="79"/>
      <c r="W462" s="79"/>
      <c r="Z462" s="130"/>
      <c r="AB462" s="106"/>
    </row>
    <row r="463">
      <c r="C463" s="79"/>
      <c r="D463" s="79"/>
      <c r="E463" s="79"/>
      <c r="M463" s="79"/>
      <c r="R463" s="79"/>
      <c r="S463" s="79"/>
      <c r="V463" s="79"/>
      <c r="W463" s="79"/>
      <c r="Z463" s="130"/>
      <c r="AB463" s="106"/>
    </row>
    <row r="464">
      <c r="C464" s="79"/>
      <c r="D464" s="79"/>
      <c r="E464" s="79"/>
      <c r="M464" s="79"/>
      <c r="R464" s="79"/>
      <c r="S464" s="79"/>
      <c r="V464" s="79"/>
      <c r="W464" s="79"/>
      <c r="Z464" s="130"/>
      <c r="AB464" s="106"/>
    </row>
    <row r="465">
      <c r="C465" s="79"/>
      <c r="D465" s="79"/>
      <c r="E465" s="79"/>
      <c r="M465" s="79"/>
      <c r="R465" s="79"/>
      <c r="S465" s="79"/>
      <c r="V465" s="79"/>
      <c r="W465" s="79"/>
      <c r="Z465" s="130"/>
      <c r="AB465" s="106"/>
    </row>
    <row r="466">
      <c r="C466" s="79"/>
      <c r="D466" s="79"/>
      <c r="E466" s="79"/>
      <c r="M466" s="79"/>
      <c r="R466" s="79"/>
      <c r="S466" s="79"/>
      <c r="V466" s="79"/>
      <c r="W466" s="79"/>
      <c r="Z466" s="130"/>
      <c r="AB466" s="106"/>
    </row>
    <row r="467">
      <c r="C467" s="79"/>
      <c r="D467" s="79"/>
      <c r="E467" s="79"/>
      <c r="M467" s="79"/>
      <c r="R467" s="79"/>
      <c r="S467" s="79"/>
      <c r="V467" s="79"/>
      <c r="W467" s="79"/>
      <c r="Z467" s="130"/>
      <c r="AB467" s="106"/>
    </row>
    <row r="468">
      <c r="C468" s="79"/>
      <c r="D468" s="79"/>
      <c r="E468" s="79"/>
      <c r="M468" s="79"/>
      <c r="R468" s="79"/>
      <c r="S468" s="79"/>
      <c r="V468" s="79"/>
      <c r="W468" s="79"/>
      <c r="Z468" s="130"/>
      <c r="AB468" s="106"/>
    </row>
    <row r="469">
      <c r="C469" s="79"/>
      <c r="D469" s="79"/>
      <c r="E469" s="79"/>
      <c r="M469" s="79"/>
      <c r="R469" s="79"/>
      <c r="S469" s="79"/>
      <c r="V469" s="79"/>
      <c r="W469" s="79"/>
      <c r="Z469" s="130"/>
      <c r="AB469" s="106"/>
    </row>
    <row r="470">
      <c r="C470" s="79"/>
      <c r="D470" s="79"/>
      <c r="E470" s="79"/>
      <c r="M470" s="79"/>
      <c r="R470" s="79"/>
      <c r="S470" s="79"/>
      <c r="V470" s="79"/>
      <c r="W470" s="79"/>
      <c r="Z470" s="130"/>
      <c r="AB470" s="106"/>
    </row>
    <row r="471">
      <c r="C471" s="79"/>
      <c r="D471" s="79"/>
      <c r="E471" s="79"/>
      <c r="M471" s="79"/>
      <c r="R471" s="79"/>
      <c r="S471" s="79"/>
      <c r="V471" s="79"/>
      <c r="W471" s="79"/>
      <c r="Z471" s="130"/>
      <c r="AB471" s="106"/>
    </row>
    <row r="472">
      <c r="C472" s="79"/>
      <c r="D472" s="79"/>
      <c r="E472" s="79"/>
      <c r="M472" s="79"/>
      <c r="R472" s="79"/>
      <c r="S472" s="79"/>
      <c r="V472" s="79"/>
      <c r="W472" s="79"/>
      <c r="Z472" s="130"/>
      <c r="AB472" s="106"/>
    </row>
    <row r="473">
      <c r="C473" s="79"/>
      <c r="D473" s="79"/>
      <c r="E473" s="79"/>
      <c r="M473" s="79"/>
      <c r="R473" s="79"/>
      <c r="S473" s="79"/>
      <c r="V473" s="79"/>
      <c r="W473" s="79"/>
      <c r="Z473" s="130"/>
      <c r="AB473" s="106"/>
    </row>
    <row r="474">
      <c r="C474" s="79"/>
      <c r="D474" s="79"/>
      <c r="E474" s="79"/>
      <c r="M474" s="79"/>
      <c r="R474" s="79"/>
      <c r="S474" s="79"/>
      <c r="V474" s="79"/>
      <c r="W474" s="79"/>
      <c r="Z474" s="130"/>
      <c r="AB474" s="106"/>
    </row>
    <row r="475">
      <c r="C475" s="79"/>
      <c r="D475" s="79"/>
      <c r="E475" s="79"/>
      <c r="M475" s="79"/>
      <c r="R475" s="79"/>
      <c r="S475" s="79"/>
      <c r="V475" s="79"/>
      <c r="W475" s="79"/>
      <c r="Z475" s="130"/>
      <c r="AB475" s="106"/>
    </row>
    <row r="476">
      <c r="C476" s="79"/>
      <c r="D476" s="79"/>
      <c r="E476" s="79"/>
      <c r="M476" s="79"/>
      <c r="R476" s="79"/>
      <c r="S476" s="79"/>
      <c r="V476" s="79"/>
      <c r="W476" s="79"/>
      <c r="Z476" s="130"/>
      <c r="AB476" s="106"/>
    </row>
    <row r="477">
      <c r="C477" s="79"/>
      <c r="D477" s="79"/>
      <c r="E477" s="79"/>
      <c r="M477" s="79"/>
      <c r="R477" s="79"/>
      <c r="S477" s="79"/>
      <c r="V477" s="79"/>
      <c r="W477" s="79"/>
      <c r="Z477" s="130"/>
      <c r="AB477" s="106"/>
    </row>
    <row r="478">
      <c r="C478" s="79"/>
      <c r="D478" s="79"/>
      <c r="E478" s="79"/>
      <c r="M478" s="79"/>
      <c r="R478" s="79"/>
      <c r="S478" s="79"/>
      <c r="V478" s="79"/>
      <c r="W478" s="79"/>
      <c r="Z478" s="130"/>
      <c r="AB478" s="106"/>
    </row>
    <row r="479">
      <c r="C479" s="79"/>
      <c r="D479" s="79"/>
      <c r="E479" s="79"/>
      <c r="M479" s="79"/>
      <c r="R479" s="79"/>
      <c r="S479" s="79"/>
      <c r="V479" s="79"/>
      <c r="W479" s="79"/>
      <c r="Z479" s="130"/>
      <c r="AB479" s="106"/>
    </row>
    <row r="480">
      <c r="C480" s="79"/>
      <c r="D480" s="79"/>
      <c r="E480" s="79"/>
      <c r="M480" s="79"/>
      <c r="R480" s="79"/>
      <c r="S480" s="79"/>
      <c r="V480" s="79"/>
      <c r="W480" s="79"/>
      <c r="Z480" s="130"/>
      <c r="AB480" s="106"/>
    </row>
    <row r="481">
      <c r="C481" s="79"/>
      <c r="D481" s="79"/>
      <c r="E481" s="79"/>
      <c r="M481" s="79"/>
      <c r="R481" s="79"/>
      <c r="S481" s="79"/>
      <c r="V481" s="79"/>
      <c r="W481" s="79"/>
      <c r="Z481" s="130"/>
      <c r="AB481" s="106"/>
    </row>
    <row r="482">
      <c r="C482" s="79"/>
      <c r="D482" s="79"/>
      <c r="E482" s="79"/>
      <c r="M482" s="79"/>
      <c r="R482" s="79"/>
      <c r="S482" s="79"/>
      <c r="V482" s="79"/>
      <c r="W482" s="79"/>
      <c r="Z482" s="130"/>
      <c r="AB482" s="106"/>
    </row>
    <row r="483">
      <c r="C483" s="79"/>
      <c r="D483" s="79"/>
      <c r="E483" s="79"/>
      <c r="M483" s="79"/>
      <c r="R483" s="79"/>
      <c r="S483" s="79"/>
      <c r="V483" s="79"/>
      <c r="W483" s="79"/>
      <c r="Z483" s="130"/>
      <c r="AB483" s="106"/>
    </row>
    <row r="484">
      <c r="C484" s="79"/>
      <c r="D484" s="79"/>
      <c r="E484" s="79"/>
      <c r="M484" s="79"/>
      <c r="R484" s="79"/>
      <c r="S484" s="79"/>
      <c r="V484" s="79"/>
      <c r="W484" s="79"/>
      <c r="Z484" s="130"/>
      <c r="AB484" s="106"/>
    </row>
    <row r="485">
      <c r="C485" s="79"/>
      <c r="D485" s="79"/>
      <c r="E485" s="79"/>
      <c r="M485" s="79"/>
      <c r="R485" s="79"/>
      <c r="S485" s="79"/>
      <c r="V485" s="79"/>
      <c r="W485" s="79"/>
      <c r="Z485" s="130"/>
      <c r="AB485" s="106"/>
    </row>
    <row r="486">
      <c r="C486" s="79"/>
      <c r="D486" s="79"/>
      <c r="E486" s="79"/>
      <c r="M486" s="79"/>
      <c r="R486" s="79"/>
      <c r="S486" s="79"/>
      <c r="V486" s="79"/>
      <c r="W486" s="79"/>
      <c r="Z486" s="130"/>
      <c r="AB486" s="106"/>
    </row>
    <row r="487">
      <c r="C487" s="79"/>
      <c r="D487" s="79"/>
      <c r="E487" s="79"/>
      <c r="M487" s="79"/>
      <c r="R487" s="79"/>
      <c r="S487" s="79"/>
      <c r="V487" s="79"/>
      <c r="W487" s="79"/>
      <c r="Z487" s="130"/>
      <c r="AB487" s="106"/>
    </row>
    <row r="488">
      <c r="C488" s="79"/>
      <c r="D488" s="79"/>
      <c r="E488" s="79"/>
      <c r="M488" s="79"/>
      <c r="R488" s="79"/>
      <c r="S488" s="79"/>
      <c r="V488" s="79"/>
      <c r="W488" s="79"/>
      <c r="Z488" s="130"/>
      <c r="AB488" s="106"/>
    </row>
    <row r="489">
      <c r="C489" s="79"/>
      <c r="D489" s="79"/>
      <c r="E489" s="79"/>
      <c r="M489" s="79"/>
      <c r="R489" s="79"/>
      <c r="S489" s="79"/>
      <c r="V489" s="79"/>
      <c r="W489" s="79"/>
      <c r="Z489" s="130"/>
      <c r="AB489" s="106"/>
    </row>
    <row r="490">
      <c r="C490" s="79"/>
      <c r="D490" s="79"/>
      <c r="E490" s="79"/>
      <c r="M490" s="79"/>
      <c r="R490" s="79"/>
      <c r="S490" s="79"/>
      <c r="V490" s="79"/>
      <c r="W490" s="79"/>
      <c r="Z490" s="130"/>
      <c r="AB490" s="106"/>
    </row>
    <row r="491">
      <c r="C491" s="79"/>
      <c r="D491" s="79"/>
      <c r="E491" s="79"/>
      <c r="M491" s="79"/>
      <c r="R491" s="79"/>
      <c r="S491" s="79"/>
      <c r="V491" s="79"/>
      <c r="W491" s="79"/>
      <c r="Z491" s="130"/>
      <c r="AB491" s="106"/>
    </row>
    <row r="492">
      <c r="C492" s="79"/>
      <c r="D492" s="79"/>
      <c r="E492" s="79"/>
      <c r="M492" s="79"/>
      <c r="R492" s="79"/>
      <c r="S492" s="79"/>
      <c r="V492" s="79"/>
      <c r="W492" s="79"/>
      <c r="Z492" s="130"/>
      <c r="AB492" s="106"/>
    </row>
    <row r="493">
      <c r="C493" s="79"/>
      <c r="D493" s="79"/>
      <c r="E493" s="79"/>
      <c r="M493" s="79"/>
      <c r="R493" s="79"/>
      <c r="S493" s="79"/>
      <c r="V493" s="79"/>
      <c r="W493" s="79"/>
      <c r="Z493" s="130"/>
      <c r="AB493" s="106"/>
    </row>
    <row r="494">
      <c r="C494" s="79"/>
      <c r="D494" s="79"/>
      <c r="E494" s="79"/>
      <c r="M494" s="79"/>
      <c r="R494" s="79"/>
      <c r="S494" s="79"/>
      <c r="V494" s="79"/>
      <c r="W494" s="79"/>
      <c r="Z494" s="130"/>
      <c r="AB494" s="106"/>
    </row>
    <row r="495">
      <c r="C495" s="79"/>
      <c r="D495" s="79"/>
      <c r="E495" s="79"/>
      <c r="M495" s="79"/>
      <c r="R495" s="79"/>
      <c r="S495" s="79"/>
      <c r="V495" s="79"/>
      <c r="W495" s="79"/>
      <c r="Z495" s="130"/>
      <c r="AB495" s="106"/>
    </row>
    <row r="496">
      <c r="C496" s="79"/>
      <c r="D496" s="79"/>
      <c r="E496" s="79"/>
      <c r="M496" s="79"/>
      <c r="R496" s="79"/>
      <c r="S496" s="79"/>
      <c r="V496" s="79"/>
      <c r="W496" s="79"/>
      <c r="Z496" s="130"/>
      <c r="AB496" s="106"/>
    </row>
    <row r="497">
      <c r="C497" s="79"/>
      <c r="D497" s="79"/>
      <c r="E497" s="79"/>
      <c r="M497" s="79"/>
      <c r="R497" s="79"/>
      <c r="S497" s="79"/>
      <c r="V497" s="79"/>
      <c r="W497" s="79"/>
      <c r="Z497" s="130"/>
      <c r="AB497" s="106"/>
    </row>
    <row r="498">
      <c r="C498" s="79"/>
      <c r="D498" s="79"/>
      <c r="E498" s="79"/>
      <c r="M498" s="79"/>
      <c r="R498" s="79"/>
      <c r="S498" s="79"/>
      <c r="V498" s="79"/>
      <c r="W498" s="79"/>
      <c r="Z498" s="130"/>
      <c r="AB498" s="106"/>
    </row>
    <row r="499">
      <c r="C499" s="79"/>
      <c r="D499" s="79"/>
      <c r="E499" s="79"/>
      <c r="M499" s="79"/>
      <c r="R499" s="79"/>
      <c r="S499" s="79"/>
      <c r="V499" s="79"/>
      <c r="W499" s="79"/>
      <c r="Z499" s="130"/>
      <c r="AB499" s="106"/>
    </row>
    <row r="500">
      <c r="C500" s="79"/>
      <c r="D500" s="79"/>
      <c r="E500" s="79"/>
      <c r="M500" s="79"/>
      <c r="R500" s="79"/>
      <c r="S500" s="79"/>
      <c r="V500" s="79"/>
      <c r="W500" s="79"/>
      <c r="Z500" s="130"/>
      <c r="AB500" s="106"/>
    </row>
    <row r="501">
      <c r="C501" s="79"/>
      <c r="D501" s="79"/>
      <c r="E501" s="79"/>
      <c r="M501" s="79"/>
      <c r="R501" s="79"/>
      <c r="S501" s="79"/>
      <c r="V501" s="79"/>
      <c r="W501" s="79"/>
      <c r="Z501" s="130"/>
      <c r="AB501" s="106"/>
    </row>
    <row r="502">
      <c r="C502" s="79"/>
      <c r="D502" s="79"/>
      <c r="E502" s="79"/>
      <c r="M502" s="79"/>
      <c r="R502" s="79"/>
      <c r="S502" s="79"/>
      <c r="V502" s="79"/>
      <c r="W502" s="79"/>
      <c r="Z502" s="130"/>
      <c r="AB502" s="106"/>
    </row>
    <row r="503">
      <c r="C503" s="79"/>
      <c r="D503" s="79"/>
      <c r="E503" s="79"/>
      <c r="M503" s="79"/>
      <c r="R503" s="79"/>
      <c r="S503" s="79"/>
      <c r="V503" s="79"/>
      <c r="W503" s="79"/>
      <c r="Z503" s="130"/>
      <c r="AB503" s="106"/>
    </row>
    <row r="504">
      <c r="C504" s="79"/>
      <c r="D504" s="79"/>
      <c r="E504" s="79"/>
      <c r="M504" s="79"/>
      <c r="R504" s="79"/>
      <c r="S504" s="79"/>
      <c r="V504" s="79"/>
      <c r="W504" s="79"/>
      <c r="Z504" s="130"/>
      <c r="AB504" s="106"/>
    </row>
    <row r="505">
      <c r="C505" s="79"/>
      <c r="D505" s="79"/>
      <c r="E505" s="79"/>
      <c r="M505" s="79"/>
      <c r="R505" s="79"/>
      <c r="S505" s="79"/>
      <c r="V505" s="79"/>
      <c r="W505" s="79"/>
      <c r="Z505" s="130"/>
      <c r="AB505" s="106"/>
    </row>
    <row r="506">
      <c r="C506" s="79"/>
      <c r="D506" s="79"/>
      <c r="E506" s="79"/>
      <c r="M506" s="79"/>
      <c r="R506" s="79"/>
      <c r="S506" s="79"/>
      <c r="V506" s="79"/>
      <c r="W506" s="79"/>
      <c r="Z506" s="130"/>
      <c r="AB506" s="106"/>
    </row>
    <row r="507">
      <c r="C507" s="79"/>
      <c r="D507" s="79"/>
      <c r="E507" s="79"/>
      <c r="M507" s="79"/>
      <c r="R507" s="79"/>
      <c r="S507" s="79"/>
      <c r="V507" s="79"/>
      <c r="W507" s="79"/>
      <c r="Z507" s="130"/>
      <c r="AB507" s="106"/>
    </row>
    <row r="508">
      <c r="C508" s="79"/>
      <c r="D508" s="79"/>
      <c r="E508" s="79"/>
      <c r="M508" s="79"/>
      <c r="R508" s="79"/>
      <c r="S508" s="79"/>
      <c r="V508" s="79"/>
      <c r="W508" s="79"/>
      <c r="Z508" s="130"/>
      <c r="AB508" s="106"/>
    </row>
    <row r="509">
      <c r="C509" s="79"/>
      <c r="D509" s="79"/>
      <c r="E509" s="79"/>
      <c r="M509" s="79"/>
      <c r="R509" s="79"/>
      <c r="S509" s="79"/>
      <c r="V509" s="79"/>
      <c r="W509" s="79"/>
      <c r="Z509" s="130"/>
      <c r="AB509" s="106"/>
    </row>
    <row r="510">
      <c r="C510" s="79"/>
      <c r="D510" s="79"/>
      <c r="E510" s="79"/>
      <c r="M510" s="79"/>
      <c r="R510" s="79"/>
      <c r="S510" s="79"/>
      <c r="V510" s="79"/>
      <c r="W510" s="79"/>
      <c r="Z510" s="130"/>
      <c r="AB510" s="106"/>
    </row>
    <row r="511">
      <c r="C511" s="79"/>
      <c r="D511" s="79"/>
      <c r="E511" s="79"/>
      <c r="M511" s="79"/>
      <c r="R511" s="79"/>
      <c r="S511" s="79"/>
      <c r="V511" s="79"/>
      <c r="W511" s="79"/>
      <c r="Z511" s="130"/>
      <c r="AB511" s="106"/>
    </row>
    <row r="512">
      <c r="C512" s="79"/>
      <c r="D512" s="79"/>
      <c r="E512" s="79"/>
      <c r="M512" s="79"/>
      <c r="R512" s="79"/>
      <c r="S512" s="79"/>
      <c r="V512" s="79"/>
      <c r="W512" s="79"/>
      <c r="Z512" s="130"/>
      <c r="AB512" s="106"/>
    </row>
    <row r="513">
      <c r="C513" s="79"/>
      <c r="D513" s="79"/>
      <c r="E513" s="79"/>
      <c r="M513" s="79"/>
      <c r="R513" s="79"/>
      <c r="S513" s="79"/>
      <c r="V513" s="79"/>
      <c r="W513" s="79"/>
      <c r="Z513" s="130"/>
      <c r="AB513" s="106"/>
    </row>
    <row r="514">
      <c r="C514" s="79"/>
      <c r="D514" s="79"/>
      <c r="E514" s="79"/>
      <c r="M514" s="79"/>
      <c r="R514" s="79"/>
      <c r="S514" s="79"/>
      <c r="V514" s="79"/>
      <c r="W514" s="79"/>
      <c r="Z514" s="130"/>
      <c r="AB514" s="106"/>
    </row>
    <row r="515">
      <c r="C515" s="79"/>
      <c r="D515" s="79"/>
      <c r="E515" s="79"/>
      <c r="M515" s="79"/>
      <c r="R515" s="79"/>
      <c r="S515" s="79"/>
      <c r="V515" s="79"/>
      <c r="W515" s="79"/>
      <c r="Z515" s="130"/>
      <c r="AB515" s="106"/>
    </row>
    <row r="516">
      <c r="C516" s="79"/>
      <c r="D516" s="79"/>
      <c r="E516" s="79"/>
      <c r="M516" s="79"/>
      <c r="R516" s="79"/>
      <c r="S516" s="79"/>
      <c r="V516" s="79"/>
      <c r="W516" s="79"/>
      <c r="Z516" s="130"/>
      <c r="AB516" s="106"/>
    </row>
    <row r="517">
      <c r="C517" s="79"/>
      <c r="D517" s="79"/>
      <c r="E517" s="79"/>
      <c r="M517" s="79"/>
      <c r="R517" s="79"/>
      <c r="S517" s="79"/>
      <c r="V517" s="79"/>
      <c r="W517" s="79"/>
      <c r="Z517" s="130"/>
      <c r="AB517" s="106"/>
    </row>
    <row r="518">
      <c r="C518" s="79"/>
      <c r="D518" s="79"/>
      <c r="E518" s="79"/>
      <c r="M518" s="79"/>
      <c r="R518" s="79"/>
      <c r="S518" s="79"/>
      <c r="V518" s="79"/>
      <c r="W518" s="79"/>
      <c r="Z518" s="130"/>
      <c r="AB518" s="106"/>
    </row>
    <row r="519">
      <c r="C519" s="79"/>
      <c r="D519" s="79"/>
      <c r="E519" s="79"/>
      <c r="M519" s="79"/>
      <c r="R519" s="79"/>
      <c r="S519" s="79"/>
      <c r="V519" s="79"/>
      <c r="W519" s="79"/>
      <c r="Z519" s="130"/>
      <c r="AB519" s="106"/>
    </row>
    <row r="520">
      <c r="C520" s="79"/>
      <c r="D520" s="79"/>
      <c r="E520" s="79"/>
      <c r="M520" s="79"/>
      <c r="R520" s="79"/>
      <c r="S520" s="79"/>
      <c r="V520" s="79"/>
      <c r="W520" s="79"/>
      <c r="Z520" s="130"/>
      <c r="AB520" s="106"/>
    </row>
    <row r="521">
      <c r="C521" s="79"/>
      <c r="D521" s="79"/>
      <c r="E521" s="79"/>
      <c r="M521" s="79"/>
      <c r="R521" s="79"/>
      <c r="S521" s="79"/>
      <c r="V521" s="79"/>
      <c r="W521" s="79"/>
      <c r="Z521" s="130"/>
      <c r="AB521" s="106"/>
    </row>
    <row r="522">
      <c r="C522" s="79"/>
      <c r="D522" s="79"/>
      <c r="E522" s="79"/>
      <c r="M522" s="79"/>
      <c r="R522" s="79"/>
      <c r="S522" s="79"/>
      <c r="V522" s="79"/>
      <c r="W522" s="79"/>
      <c r="Z522" s="130"/>
      <c r="AB522" s="106"/>
    </row>
    <row r="523">
      <c r="C523" s="79"/>
      <c r="D523" s="79"/>
      <c r="E523" s="79"/>
      <c r="M523" s="79"/>
      <c r="R523" s="79"/>
      <c r="S523" s="79"/>
      <c r="V523" s="79"/>
      <c r="W523" s="79"/>
      <c r="Z523" s="130"/>
      <c r="AB523" s="106"/>
    </row>
    <row r="524">
      <c r="C524" s="79"/>
      <c r="D524" s="79"/>
      <c r="E524" s="79"/>
      <c r="M524" s="79"/>
      <c r="R524" s="79"/>
      <c r="S524" s="79"/>
      <c r="V524" s="79"/>
      <c r="W524" s="79"/>
      <c r="Z524" s="130"/>
      <c r="AB524" s="106"/>
    </row>
    <row r="525">
      <c r="C525" s="79"/>
      <c r="D525" s="79"/>
      <c r="E525" s="79"/>
      <c r="M525" s="79"/>
      <c r="R525" s="79"/>
      <c r="S525" s="79"/>
      <c r="V525" s="79"/>
      <c r="W525" s="79"/>
      <c r="Z525" s="130"/>
      <c r="AB525" s="106"/>
    </row>
    <row r="526">
      <c r="C526" s="79"/>
      <c r="D526" s="79"/>
      <c r="E526" s="79"/>
      <c r="M526" s="79"/>
      <c r="R526" s="79"/>
      <c r="S526" s="79"/>
      <c r="V526" s="79"/>
      <c r="W526" s="79"/>
      <c r="Z526" s="130"/>
      <c r="AB526" s="106"/>
    </row>
    <row r="527">
      <c r="C527" s="79"/>
      <c r="D527" s="79"/>
      <c r="E527" s="79"/>
      <c r="M527" s="79"/>
      <c r="R527" s="79"/>
      <c r="S527" s="79"/>
      <c r="V527" s="79"/>
      <c r="W527" s="79"/>
      <c r="Z527" s="130"/>
      <c r="AB527" s="106"/>
    </row>
    <row r="528">
      <c r="C528" s="79"/>
      <c r="D528" s="79"/>
      <c r="E528" s="79"/>
      <c r="M528" s="79"/>
      <c r="R528" s="79"/>
      <c r="S528" s="79"/>
      <c r="V528" s="79"/>
      <c r="W528" s="79"/>
      <c r="Z528" s="130"/>
      <c r="AB528" s="106"/>
    </row>
    <row r="529">
      <c r="C529" s="79"/>
      <c r="D529" s="79"/>
      <c r="E529" s="79"/>
      <c r="M529" s="79"/>
      <c r="R529" s="79"/>
      <c r="S529" s="79"/>
      <c r="V529" s="79"/>
      <c r="W529" s="79"/>
      <c r="Z529" s="130"/>
      <c r="AB529" s="106"/>
    </row>
    <row r="530">
      <c r="C530" s="79"/>
      <c r="D530" s="79"/>
      <c r="E530" s="79"/>
      <c r="M530" s="79"/>
      <c r="R530" s="79"/>
      <c r="S530" s="79"/>
      <c r="V530" s="79"/>
      <c r="W530" s="79"/>
      <c r="Z530" s="130"/>
      <c r="AB530" s="106"/>
    </row>
    <row r="531">
      <c r="C531" s="79"/>
      <c r="D531" s="79"/>
      <c r="E531" s="79"/>
      <c r="M531" s="79"/>
      <c r="R531" s="79"/>
      <c r="S531" s="79"/>
      <c r="V531" s="79"/>
      <c r="W531" s="79"/>
      <c r="Z531" s="130"/>
      <c r="AB531" s="106"/>
    </row>
    <row r="532">
      <c r="C532" s="79"/>
      <c r="D532" s="79"/>
      <c r="E532" s="79"/>
      <c r="M532" s="79"/>
      <c r="R532" s="79"/>
      <c r="S532" s="79"/>
      <c r="V532" s="79"/>
      <c r="W532" s="79"/>
      <c r="Z532" s="130"/>
      <c r="AB532" s="106"/>
    </row>
    <row r="533">
      <c r="C533" s="79"/>
      <c r="D533" s="79"/>
      <c r="E533" s="79"/>
      <c r="M533" s="79"/>
      <c r="R533" s="79"/>
      <c r="S533" s="79"/>
      <c r="V533" s="79"/>
      <c r="W533" s="79"/>
      <c r="Z533" s="130"/>
      <c r="AB533" s="106"/>
    </row>
    <row r="534">
      <c r="C534" s="79"/>
      <c r="D534" s="79"/>
      <c r="E534" s="79"/>
      <c r="M534" s="79"/>
      <c r="R534" s="79"/>
      <c r="S534" s="79"/>
      <c r="V534" s="79"/>
      <c r="W534" s="79"/>
      <c r="Z534" s="130"/>
      <c r="AB534" s="106"/>
    </row>
    <row r="535">
      <c r="C535" s="79"/>
      <c r="D535" s="79"/>
      <c r="E535" s="79"/>
      <c r="M535" s="79"/>
      <c r="R535" s="79"/>
      <c r="S535" s="79"/>
      <c r="V535" s="79"/>
      <c r="W535" s="79"/>
      <c r="Z535" s="130"/>
      <c r="AB535" s="106"/>
    </row>
    <row r="536">
      <c r="C536" s="79"/>
      <c r="D536" s="79"/>
      <c r="E536" s="79"/>
      <c r="M536" s="79"/>
      <c r="R536" s="79"/>
      <c r="S536" s="79"/>
      <c r="V536" s="79"/>
      <c r="W536" s="79"/>
      <c r="Z536" s="130"/>
      <c r="AB536" s="106"/>
    </row>
    <row r="537">
      <c r="C537" s="79"/>
      <c r="D537" s="79"/>
      <c r="E537" s="79"/>
      <c r="M537" s="79"/>
      <c r="R537" s="79"/>
      <c r="S537" s="79"/>
      <c r="V537" s="79"/>
      <c r="W537" s="79"/>
      <c r="Z537" s="130"/>
      <c r="AB537" s="106"/>
    </row>
    <row r="538">
      <c r="C538" s="79"/>
      <c r="D538" s="79"/>
      <c r="E538" s="79"/>
      <c r="M538" s="79"/>
      <c r="R538" s="79"/>
      <c r="S538" s="79"/>
      <c r="V538" s="79"/>
      <c r="W538" s="79"/>
      <c r="Z538" s="130"/>
      <c r="AB538" s="106"/>
    </row>
    <row r="539">
      <c r="C539" s="79"/>
      <c r="D539" s="79"/>
      <c r="E539" s="79"/>
      <c r="M539" s="79"/>
      <c r="R539" s="79"/>
      <c r="S539" s="79"/>
      <c r="V539" s="79"/>
      <c r="W539" s="79"/>
      <c r="Z539" s="130"/>
      <c r="AB539" s="106"/>
    </row>
    <row r="540">
      <c r="C540" s="79"/>
      <c r="D540" s="79"/>
      <c r="E540" s="79"/>
      <c r="M540" s="79"/>
      <c r="R540" s="79"/>
      <c r="S540" s="79"/>
      <c r="V540" s="79"/>
      <c r="W540" s="79"/>
      <c r="Z540" s="130"/>
      <c r="AB540" s="106"/>
    </row>
    <row r="541">
      <c r="C541" s="79"/>
      <c r="D541" s="79"/>
      <c r="E541" s="79"/>
      <c r="M541" s="79"/>
      <c r="R541" s="79"/>
      <c r="S541" s="79"/>
      <c r="V541" s="79"/>
      <c r="W541" s="79"/>
      <c r="Z541" s="130"/>
      <c r="AB541" s="106"/>
    </row>
    <row r="542">
      <c r="C542" s="79"/>
      <c r="D542" s="79"/>
      <c r="E542" s="79"/>
      <c r="M542" s="79"/>
      <c r="R542" s="79"/>
      <c r="S542" s="79"/>
      <c r="V542" s="79"/>
      <c r="W542" s="79"/>
      <c r="Z542" s="130"/>
      <c r="AB542" s="106"/>
    </row>
    <row r="543">
      <c r="C543" s="79"/>
      <c r="D543" s="79"/>
      <c r="E543" s="79"/>
      <c r="M543" s="79"/>
      <c r="R543" s="79"/>
      <c r="S543" s="79"/>
      <c r="V543" s="79"/>
      <c r="W543" s="79"/>
      <c r="Z543" s="130"/>
      <c r="AB543" s="106"/>
    </row>
    <row r="544">
      <c r="C544" s="79"/>
      <c r="D544" s="79"/>
      <c r="E544" s="79"/>
      <c r="M544" s="79"/>
      <c r="R544" s="79"/>
      <c r="S544" s="79"/>
      <c r="V544" s="79"/>
      <c r="W544" s="79"/>
      <c r="Z544" s="130"/>
      <c r="AB544" s="106"/>
    </row>
    <row r="545">
      <c r="C545" s="79"/>
      <c r="D545" s="79"/>
      <c r="E545" s="79"/>
      <c r="M545" s="79"/>
      <c r="R545" s="79"/>
      <c r="S545" s="79"/>
      <c r="V545" s="79"/>
      <c r="W545" s="79"/>
      <c r="Z545" s="130"/>
      <c r="AB545" s="106"/>
    </row>
    <row r="546">
      <c r="C546" s="79"/>
      <c r="D546" s="79"/>
      <c r="E546" s="79"/>
      <c r="M546" s="79"/>
      <c r="R546" s="79"/>
      <c r="S546" s="79"/>
      <c r="V546" s="79"/>
      <c r="W546" s="79"/>
      <c r="Z546" s="130"/>
      <c r="AB546" s="106"/>
    </row>
    <row r="547">
      <c r="C547" s="79"/>
      <c r="D547" s="79"/>
      <c r="E547" s="79"/>
      <c r="M547" s="79"/>
      <c r="R547" s="79"/>
      <c r="S547" s="79"/>
      <c r="V547" s="79"/>
      <c r="W547" s="79"/>
      <c r="Z547" s="130"/>
      <c r="AB547" s="106"/>
    </row>
    <row r="548">
      <c r="C548" s="79"/>
      <c r="D548" s="79"/>
      <c r="E548" s="79"/>
      <c r="M548" s="79"/>
      <c r="R548" s="79"/>
      <c r="S548" s="79"/>
      <c r="V548" s="79"/>
      <c r="W548" s="79"/>
      <c r="Z548" s="130"/>
      <c r="AB548" s="106"/>
    </row>
    <row r="549">
      <c r="C549" s="79"/>
      <c r="D549" s="79"/>
      <c r="E549" s="79"/>
      <c r="M549" s="79"/>
      <c r="R549" s="79"/>
      <c r="S549" s="79"/>
      <c r="V549" s="79"/>
      <c r="W549" s="79"/>
      <c r="Z549" s="130"/>
      <c r="AB549" s="106"/>
    </row>
    <row r="550">
      <c r="C550" s="79"/>
      <c r="D550" s="79"/>
      <c r="E550" s="79"/>
      <c r="M550" s="79"/>
      <c r="R550" s="79"/>
      <c r="S550" s="79"/>
      <c r="V550" s="79"/>
      <c r="W550" s="79"/>
      <c r="Z550" s="130"/>
      <c r="AB550" s="106"/>
    </row>
    <row r="551">
      <c r="C551" s="79"/>
      <c r="D551" s="79"/>
      <c r="E551" s="79"/>
      <c r="M551" s="79"/>
      <c r="R551" s="79"/>
      <c r="S551" s="79"/>
      <c r="V551" s="79"/>
      <c r="W551" s="79"/>
      <c r="Z551" s="130"/>
      <c r="AB551" s="106"/>
    </row>
    <row r="552">
      <c r="C552" s="79"/>
      <c r="D552" s="79"/>
      <c r="E552" s="79"/>
      <c r="M552" s="79"/>
      <c r="R552" s="79"/>
      <c r="S552" s="79"/>
      <c r="V552" s="79"/>
      <c r="W552" s="79"/>
      <c r="Z552" s="130"/>
      <c r="AB552" s="106"/>
    </row>
    <row r="553">
      <c r="C553" s="79"/>
      <c r="D553" s="79"/>
      <c r="E553" s="79"/>
      <c r="M553" s="79"/>
      <c r="R553" s="79"/>
      <c r="S553" s="79"/>
      <c r="V553" s="79"/>
      <c r="W553" s="79"/>
      <c r="Z553" s="130"/>
      <c r="AB553" s="106"/>
    </row>
    <row r="554">
      <c r="C554" s="79"/>
      <c r="D554" s="79"/>
      <c r="E554" s="79"/>
      <c r="M554" s="79"/>
      <c r="R554" s="79"/>
      <c r="S554" s="79"/>
      <c r="V554" s="79"/>
      <c r="W554" s="79"/>
      <c r="Z554" s="130"/>
      <c r="AB554" s="106"/>
    </row>
    <row r="555">
      <c r="C555" s="79"/>
      <c r="D555" s="79"/>
      <c r="E555" s="79"/>
      <c r="M555" s="79"/>
      <c r="R555" s="79"/>
      <c r="S555" s="79"/>
      <c r="V555" s="79"/>
      <c r="W555" s="79"/>
      <c r="Z555" s="130"/>
      <c r="AB555" s="106"/>
    </row>
    <row r="556">
      <c r="C556" s="79"/>
      <c r="D556" s="79"/>
      <c r="E556" s="79"/>
      <c r="M556" s="79"/>
      <c r="R556" s="79"/>
      <c r="S556" s="79"/>
      <c r="V556" s="79"/>
      <c r="W556" s="79"/>
      <c r="Z556" s="130"/>
      <c r="AB556" s="106"/>
    </row>
    <row r="557">
      <c r="C557" s="79"/>
      <c r="D557" s="79"/>
      <c r="E557" s="79"/>
      <c r="M557" s="79"/>
      <c r="R557" s="79"/>
      <c r="S557" s="79"/>
      <c r="V557" s="79"/>
      <c r="W557" s="79"/>
      <c r="Z557" s="130"/>
      <c r="AB557" s="106"/>
    </row>
    <row r="558">
      <c r="C558" s="79"/>
      <c r="D558" s="79"/>
      <c r="E558" s="79"/>
      <c r="M558" s="79"/>
      <c r="R558" s="79"/>
      <c r="S558" s="79"/>
      <c r="V558" s="79"/>
      <c r="W558" s="79"/>
      <c r="Z558" s="130"/>
      <c r="AB558" s="106"/>
    </row>
    <row r="559">
      <c r="C559" s="79"/>
      <c r="D559" s="79"/>
      <c r="E559" s="79"/>
      <c r="M559" s="79"/>
      <c r="R559" s="79"/>
      <c r="S559" s="79"/>
      <c r="V559" s="79"/>
      <c r="W559" s="79"/>
      <c r="Z559" s="130"/>
      <c r="AB559" s="106"/>
    </row>
    <row r="560">
      <c r="C560" s="79"/>
      <c r="D560" s="79"/>
      <c r="E560" s="79"/>
      <c r="M560" s="79"/>
      <c r="R560" s="79"/>
      <c r="S560" s="79"/>
      <c r="V560" s="79"/>
      <c r="W560" s="79"/>
      <c r="Z560" s="130"/>
      <c r="AB560" s="106"/>
    </row>
    <row r="561">
      <c r="C561" s="79"/>
      <c r="D561" s="79"/>
      <c r="E561" s="79"/>
      <c r="M561" s="79"/>
      <c r="R561" s="79"/>
      <c r="S561" s="79"/>
      <c r="V561" s="79"/>
      <c r="W561" s="79"/>
      <c r="Z561" s="130"/>
      <c r="AB561" s="106"/>
    </row>
    <row r="562">
      <c r="C562" s="79"/>
      <c r="D562" s="79"/>
      <c r="E562" s="79"/>
      <c r="M562" s="79"/>
      <c r="R562" s="79"/>
      <c r="S562" s="79"/>
      <c r="V562" s="79"/>
      <c r="W562" s="79"/>
      <c r="Z562" s="130"/>
      <c r="AB562" s="106"/>
    </row>
    <row r="563">
      <c r="C563" s="79"/>
      <c r="D563" s="79"/>
      <c r="E563" s="79"/>
      <c r="M563" s="79"/>
      <c r="R563" s="79"/>
      <c r="S563" s="79"/>
      <c r="V563" s="79"/>
      <c r="W563" s="79"/>
      <c r="Z563" s="130"/>
      <c r="AB563" s="106"/>
    </row>
    <row r="564">
      <c r="C564" s="79"/>
      <c r="D564" s="79"/>
      <c r="E564" s="79"/>
      <c r="M564" s="79"/>
      <c r="R564" s="79"/>
      <c r="S564" s="79"/>
      <c r="V564" s="79"/>
      <c r="W564" s="79"/>
      <c r="Z564" s="130"/>
      <c r="AB564" s="106"/>
    </row>
    <row r="565">
      <c r="C565" s="79"/>
      <c r="D565" s="79"/>
      <c r="E565" s="79"/>
      <c r="M565" s="79"/>
      <c r="R565" s="79"/>
      <c r="S565" s="79"/>
      <c r="V565" s="79"/>
      <c r="W565" s="79"/>
      <c r="Z565" s="130"/>
      <c r="AB565" s="106"/>
    </row>
    <row r="566">
      <c r="C566" s="79"/>
      <c r="D566" s="79"/>
      <c r="E566" s="79"/>
      <c r="M566" s="79"/>
      <c r="R566" s="79"/>
      <c r="S566" s="79"/>
      <c r="V566" s="79"/>
      <c r="W566" s="79"/>
      <c r="Z566" s="130"/>
      <c r="AB566" s="106"/>
    </row>
    <row r="567">
      <c r="C567" s="79"/>
      <c r="D567" s="79"/>
      <c r="E567" s="79"/>
      <c r="M567" s="79"/>
      <c r="R567" s="79"/>
      <c r="S567" s="79"/>
      <c r="V567" s="79"/>
      <c r="W567" s="79"/>
      <c r="Z567" s="130"/>
      <c r="AB567" s="106"/>
    </row>
    <row r="568">
      <c r="C568" s="79"/>
      <c r="D568" s="79"/>
      <c r="E568" s="79"/>
      <c r="M568" s="79"/>
      <c r="R568" s="79"/>
      <c r="S568" s="79"/>
      <c r="V568" s="79"/>
      <c r="W568" s="79"/>
      <c r="Z568" s="130"/>
      <c r="AB568" s="106"/>
    </row>
    <row r="569">
      <c r="C569" s="79"/>
      <c r="D569" s="79"/>
      <c r="E569" s="79"/>
      <c r="M569" s="79"/>
      <c r="R569" s="79"/>
      <c r="S569" s="79"/>
      <c r="V569" s="79"/>
      <c r="W569" s="79"/>
      <c r="Z569" s="130"/>
      <c r="AB569" s="106"/>
    </row>
    <row r="570">
      <c r="C570" s="79"/>
      <c r="D570" s="79"/>
      <c r="E570" s="79"/>
      <c r="M570" s="79"/>
      <c r="R570" s="79"/>
      <c r="S570" s="79"/>
      <c r="V570" s="79"/>
      <c r="W570" s="79"/>
      <c r="Z570" s="130"/>
      <c r="AB570" s="106"/>
    </row>
    <row r="571">
      <c r="C571" s="79"/>
      <c r="D571" s="79"/>
      <c r="E571" s="79"/>
      <c r="M571" s="79"/>
      <c r="R571" s="79"/>
      <c r="S571" s="79"/>
      <c r="V571" s="79"/>
      <c r="W571" s="79"/>
      <c r="Z571" s="130"/>
      <c r="AB571" s="106"/>
    </row>
    <row r="572">
      <c r="C572" s="79"/>
      <c r="D572" s="79"/>
      <c r="E572" s="79"/>
      <c r="M572" s="79"/>
      <c r="R572" s="79"/>
      <c r="S572" s="79"/>
      <c r="V572" s="79"/>
      <c r="W572" s="79"/>
      <c r="Z572" s="130"/>
      <c r="AB572" s="106"/>
    </row>
    <row r="573">
      <c r="C573" s="79"/>
      <c r="D573" s="79"/>
      <c r="E573" s="79"/>
      <c r="M573" s="79"/>
      <c r="R573" s="79"/>
      <c r="S573" s="79"/>
      <c r="V573" s="79"/>
      <c r="W573" s="79"/>
      <c r="Z573" s="130"/>
      <c r="AB573" s="106"/>
    </row>
    <row r="574">
      <c r="C574" s="79"/>
      <c r="D574" s="79"/>
      <c r="E574" s="79"/>
      <c r="M574" s="79"/>
      <c r="R574" s="79"/>
      <c r="S574" s="79"/>
      <c r="V574" s="79"/>
      <c r="W574" s="79"/>
      <c r="Z574" s="130"/>
      <c r="AB574" s="106"/>
    </row>
    <row r="575">
      <c r="C575" s="79"/>
      <c r="D575" s="79"/>
      <c r="E575" s="79"/>
      <c r="M575" s="79"/>
      <c r="R575" s="79"/>
      <c r="S575" s="79"/>
      <c r="V575" s="79"/>
      <c r="W575" s="79"/>
      <c r="Z575" s="130"/>
      <c r="AB575" s="106"/>
    </row>
    <row r="576">
      <c r="C576" s="79"/>
      <c r="D576" s="79"/>
      <c r="E576" s="79"/>
      <c r="M576" s="79"/>
      <c r="R576" s="79"/>
      <c r="S576" s="79"/>
      <c r="V576" s="79"/>
      <c r="W576" s="79"/>
      <c r="Z576" s="130"/>
      <c r="AB576" s="106"/>
    </row>
    <row r="577">
      <c r="C577" s="79"/>
      <c r="D577" s="79"/>
      <c r="E577" s="79"/>
      <c r="M577" s="79"/>
      <c r="R577" s="79"/>
      <c r="S577" s="79"/>
      <c r="V577" s="79"/>
      <c r="W577" s="79"/>
      <c r="Z577" s="130"/>
      <c r="AB577" s="106"/>
    </row>
    <row r="578">
      <c r="C578" s="79"/>
      <c r="D578" s="79"/>
      <c r="E578" s="79"/>
      <c r="M578" s="79"/>
      <c r="R578" s="79"/>
      <c r="S578" s="79"/>
      <c r="V578" s="79"/>
      <c r="W578" s="79"/>
      <c r="Z578" s="130"/>
      <c r="AB578" s="106"/>
    </row>
    <row r="579">
      <c r="C579" s="79"/>
      <c r="D579" s="79"/>
      <c r="E579" s="79"/>
      <c r="M579" s="79"/>
      <c r="R579" s="79"/>
      <c r="S579" s="79"/>
      <c r="V579" s="79"/>
      <c r="W579" s="79"/>
      <c r="Z579" s="130"/>
      <c r="AB579" s="106"/>
    </row>
    <row r="580">
      <c r="C580" s="79"/>
      <c r="D580" s="79"/>
      <c r="E580" s="79"/>
      <c r="M580" s="79"/>
      <c r="R580" s="79"/>
      <c r="S580" s="79"/>
      <c r="V580" s="79"/>
      <c r="W580" s="79"/>
      <c r="Z580" s="130"/>
      <c r="AB580" s="106"/>
    </row>
    <row r="581">
      <c r="C581" s="79"/>
      <c r="D581" s="79"/>
      <c r="E581" s="79"/>
      <c r="M581" s="79"/>
      <c r="R581" s="79"/>
      <c r="S581" s="79"/>
      <c r="V581" s="79"/>
      <c r="W581" s="79"/>
      <c r="Z581" s="130"/>
      <c r="AB581" s="106"/>
    </row>
    <row r="582">
      <c r="C582" s="79"/>
      <c r="D582" s="79"/>
      <c r="E582" s="79"/>
      <c r="M582" s="79"/>
      <c r="R582" s="79"/>
      <c r="S582" s="79"/>
      <c r="V582" s="79"/>
      <c r="W582" s="79"/>
      <c r="Z582" s="130"/>
      <c r="AB582" s="106"/>
    </row>
    <row r="583">
      <c r="C583" s="79"/>
      <c r="D583" s="79"/>
      <c r="E583" s="79"/>
      <c r="M583" s="79"/>
      <c r="R583" s="79"/>
      <c r="S583" s="79"/>
      <c r="V583" s="79"/>
      <c r="W583" s="79"/>
      <c r="Z583" s="130"/>
      <c r="AB583" s="106"/>
    </row>
    <row r="584">
      <c r="C584" s="79"/>
      <c r="D584" s="79"/>
      <c r="E584" s="79"/>
      <c r="M584" s="79"/>
      <c r="R584" s="79"/>
      <c r="S584" s="79"/>
      <c r="V584" s="79"/>
      <c r="W584" s="79"/>
      <c r="Z584" s="130"/>
      <c r="AB584" s="106"/>
    </row>
    <row r="585">
      <c r="C585" s="79"/>
      <c r="D585" s="79"/>
      <c r="E585" s="79"/>
      <c r="M585" s="79"/>
      <c r="R585" s="79"/>
      <c r="S585" s="79"/>
      <c r="V585" s="79"/>
      <c r="W585" s="79"/>
      <c r="Z585" s="130"/>
      <c r="AB585" s="106"/>
    </row>
    <row r="586">
      <c r="C586" s="79"/>
      <c r="D586" s="79"/>
      <c r="E586" s="79"/>
      <c r="M586" s="79"/>
      <c r="R586" s="79"/>
      <c r="S586" s="79"/>
      <c r="V586" s="79"/>
      <c r="W586" s="79"/>
      <c r="Z586" s="130"/>
      <c r="AB586" s="106"/>
    </row>
    <row r="587">
      <c r="C587" s="79"/>
      <c r="D587" s="79"/>
      <c r="E587" s="79"/>
      <c r="M587" s="79"/>
      <c r="R587" s="79"/>
      <c r="S587" s="79"/>
      <c r="V587" s="79"/>
      <c r="W587" s="79"/>
      <c r="Z587" s="130"/>
      <c r="AB587" s="106"/>
    </row>
    <row r="588">
      <c r="C588" s="79"/>
      <c r="D588" s="79"/>
      <c r="E588" s="79"/>
      <c r="M588" s="79"/>
      <c r="R588" s="79"/>
      <c r="S588" s="79"/>
      <c r="V588" s="79"/>
      <c r="W588" s="79"/>
      <c r="Z588" s="130"/>
      <c r="AB588" s="106"/>
    </row>
    <row r="589">
      <c r="C589" s="79"/>
      <c r="D589" s="79"/>
      <c r="E589" s="79"/>
      <c r="M589" s="79"/>
      <c r="R589" s="79"/>
      <c r="S589" s="79"/>
      <c r="V589" s="79"/>
      <c r="W589" s="79"/>
      <c r="Z589" s="130"/>
      <c r="AB589" s="106"/>
    </row>
    <row r="590">
      <c r="C590" s="79"/>
      <c r="D590" s="79"/>
      <c r="E590" s="79"/>
      <c r="M590" s="79"/>
      <c r="R590" s="79"/>
      <c r="S590" s="79"/>
      <c r="V590" s="79"/>
      <c r="W590" s="79"/>
      <c r="Z590" s="130"/>
      <c r="AB590" s="106"/>
    </row>
    <row r="591">
      <c r="C591" s="79"/>
      <c r="D591" s="79"/>
      <c r="E591" s="79"/>
      <c r="M591" s="79"/>
      <c r="R591" s="79"/>
      <c r="S591" s="79"/>
      <c r="V591" s="79"/>
      <c r="W591" s="79"/>
      <c r="Z591" s="130"/>
      <c r="AB591" s="106"/>
    </row>
    <row r="592">
      <c r="C592" s="79"/>
      <c r="D592" s="79"/>
      <c r="E592" s="79"/>
      <c r="M592" s="79"/>
      <c r="R592" s="79"/>
      <c r="S592" s="79"/>
      <c r="V592" s="79"/>
      <c r="W592" s="79"/>
      <c r="Z592" s="130"/>
      <c r="AB592" s="106"/>
    </row>
    <row r="593">
      <c r="C593" s="79"/>
      <c r="D593" s="79"/>
      <c r="E593" s="79"/>
      <c r="M593" s="79"/>
      <c r="R593" s="79"/>
      <c r="S593" s="79"/>
      <c r="V593" s="79"/>
      <c r="W593" s="79"/>
      <c r="Z593" s="130"/>
      <c r="AB593" s="106"/>
    </row>
    <row r="594">
      <c r="C594" s="79"/>
      <c r="D594" s="79"/>
      <c r="E594" s="79"/>
      <c r="M594" s="79"/>
      <c r="R594" s="79"/>
      <c r="S594" s="79"/>
      <c r="V594" s="79"/>
      <c r="W594" s="79"/>
      <c r="Z594" s="130"/>
      <c r="AB594" s="106"/>
    </row>
    <row r="595">
      <c r="C595" s="79"/>
      <c r="D595" s="79"/>
      <c r="E595" s="79"/>
      <c r="M595" s="79"/>
      <c r="R595" s="79"/>
      <c r="S595" s="79"/>
      <c r="V595" s="79"/>
      <c r="W595" s="79"/>
      <c r="Z595" s="130"/>
      <c r="AB595" s="106"/>
    </row>
    <row r="596">
      <c r="C596" s="79"/>
      <c r="D596" s="79"/>
      <c r="E596" s="79"/>
      <c r="M596" s="79"/>
      <c r="R596" s="79"/>
      <c r="S596" s="79"/>
      <c r="V596" s="79"/>
      <c r="W596" s="79"/>
      <c r="Z596" s="130"/>
      <c r="AB596" s="106"/>
    </row>
    <row r="597">
      <c r="C597" s="79"/>
      <c r="D597" s="79"/>
      <c r="E597" s="79"/>
      <c r="M597" s="79"/>
      <c r="R597" s="79"/>
      <c r="S597" s="79"/>
      <c r="V597" s="79"/>
      <c r="W597" s="79"/>
      <c r="Z597" s="130"/>
      <c r="AB597" s="106"/>
    </row>
    <row r="598">
      <c r="C598" s="79"/>
      <c r="D598" s="79"/>
      <c r="E598" s="79"/>
      <c r="M598" s="79"/>
      <c r="R598" s="79"/>
      <c r="S598" s="79"/>
      <c r="V598" s="79"/>
      <c r="W598" s="79"/>
      <c r="Z598" s="130"/>
      <c r="AB598" s="106"/>
    </row>
    <row r="599">
      <c r="C599" s="79"/>
      <c r="D599" s="79"/>
      <c r="E599" s="79"/>
      <c r="M599" s="79"/>
      <c r="R599" s="79"/>
      <c r="S599" s="79"/>
      <c r="V599" s="79"/>
      <c r="W599" s="79"/>
      <c r="Z599" s="130"/>
      <c r="AB599" s="106"/>
    </row>
    <row r="600">
      <c r="C600" s="79"/>
      <c r="D600" s="79"/>
      <c r="E600" s="79"/>
      <c r="M600" s="79"/>
      <c r="R600" s="79"/>
      <c r="S600" s="79"/>
      <c r="V600" s="79"/>
      <c r="W600" s="79"/>
      <c r="Z600" s="130"/>
      <c r="AB600" s="106"/>
    </row>
    <row r="601">
      <c r="C601" s="79"/>
      <c r="D601" s="79"/>
      <c r="E601" s="79"/>
      <c r="M601" s="79"/>
      <c r="R601" s="79"/>
      <c r="S601" s="79"/>
      <c r="V601" s="79"/>
      <c r="W601" s="79"/>
      <c r="Z601" s="130"/>
      <c r="AB601" s="106"/>
    </row>
    <row r="602">
      <c r="C602" s="79"/>
      <c r="D602" s="79"/>
      <c r="E602" s="79"/>
      <c r="M602" s="79"/>
      <c r="R602" s="79"/>
      <c r="S602" s="79"/>
      <c r="V602" s="79"/>
      <c r="W602" s="79"/>
      <c r="Z602" s="130"/>
      <c r="AB602" s="106"/>
    </row>
    <row r="603">
      <c r="C603" s="79"/>
      <c r="D603" s="79"/>
      <c r="E603" s="79"/>
      <c r="M603" s="79"/>
      <c r="R603" s="79"/>
      <c r="S603" s="79"/>
      <c r="V603" s="79"/>
      <c r="W603" s="79"/>
      <c r="Z603" s="130"/>
      <c r="AB603" s="106"/>
    </row>
    <row r="604">
      <c r="C604" s="79"/>
      <c r="D604" s="79"/>
      <c r="E604" s="79"/>
      <c r="M604" s="79"/>
      <c r="R604" s="79"/>
      <c r="S604" s="79"/>
      <c r="V604" s="79"/>
      <c r="W604" s="79"/>
      <c r="Z604" s="130"/>
      <c r="AB604" s="106"/>
    </row>
    <row r="605">
      <c r="C605" s="79"/>
      <c r="D605" s="79"/>
      <c r="E605" s="79"/>
      <c r="M605" s="79"/>
      <c r="R605" s="79"/>
      <c r="S605" s="79"/>
      <c r="V605" s="79"/>
      <c r="W605" s="79"/>
      <c r="Z605" s="130"/>
      <c r="AB605" s="106"/>
    </row>
    <row r="606">
      <c r="C606" s="79"/>
      <c r="D606" s="79"/>
      <c r="E606" s="79"/>
      <c r="M606" s="79"/>
      <c r="R606" s="79"/>
      <c r="S606" s="79"/>
      <c r="V606" s="79"/>
      <c r="W606" s="79"/>
      <c r="Z606" s="130"/>
      <c r="AB606" s="106"/>
    </row>
    <row r="607">
      <c r="C607" s="79"/>
      <c r="D607" s="79"/>
      <c r="E607" s="79"/>
      <c r="M607" s="79"/>
      <c r="R607" s="79"/>
      <c r="S607" s="79"/>
      <c r="V607" s="79"/>
      <c r="W607" s="79"/>
      <c r="Z607" s="130"/>
      <c r="AB607" s="106"/>
    </row>
    <row r="608">
      <c r="C608" s="79"/>
      <c r="D608" s="79"/>
      <c r="E608" s="79"/>
      <c r="M608" s="79"/>
      <c r="R608" s="79"/>
      <c r="S608" s="79"/>
      <c r="V608" s="79"/>
      <c r="W608" s="79"/>
      <c r="Z608" s="130"/>
      <c r="AB608" s="106"/>
    </row>
    <row r="609">
      <c r="C609" s="79"/>
      <c r="D609" s="79"/>
      <c r="E609" s="79"/>
      <c r="M609" s="79"/>
      <c r="R609" s="79"/>
      <c r="S609" s="79"/>
      <c r="V609" s="79"/>
      <c r="W609" s="79"/>
      <c r="Z609" s="130"/>
      <c r="AB609" s="106"/>
    </row>
    <row r="610">
      <c r="C610" s="79"/>
      <c r="D610" s="79"/>
      <c r="E610" s="79"/>
      <c r="M610" s="79"/>
      <c r="R610" s="79"/>
      <c r="S610" s="79"/>
      <c r="V610" s="79"/>
      <c r="W610" s="79"/>
      <c r="Z610" s="130"/>
      <c r="AB610" s="106"/>
    </row>
    <row r="611">
      <c r="C611" s="79"/>
      <c r="D611" s="79"/>
      <c r="E611" s="79"/>
      <c r="M611" s="79"/>
      <c r="R611" s="79"/>
      <c r="S611" s="79"/>
      <c r="V611" s="79"/>
      <c r="W611" s="79"/>
      <c r="Z611" s="130"/>
      <c r="AB611" s="106"/>
    </row>
    <row r="612">
      <c r="C612" s="79"/>
      <c r="D612" s="79"/>
      <c r="E612" s="79"/>
      <c r="M612" s="79"/>
      <c r="R612" s="79"/>
      <c r="S612" s="79"/>
      <c r="V612" s="79"/>
      <c r="W612" s="79"/>
      <c r="Z612" s="130"/>
      <c r="AB612" s="106"/>
    </row>
    <row r="613">
      <c r="C613" s="79"/>
      <c r="D613" s="79"/>
      <c r="E613" s="79"/>
      <c r="M613" s="79"/>
      <c r="R613" s="79"/>
      <c r="S613" s="79"/>
      <c r="V613" s="79"/>
      <c r="W613" s="79"/>
      <c r="Z613" s="130"/>
      <c r="AB613" s="106"/>
    </row>
    <row r="614">
      <c r="C614" s="79"/>
      <c r="D614" s="79"/>
      <c r="E614" s="79"/>
      <c r="M614" s="79"/>
      <c r="R614" s="79"/>
      <c r="S614" s="79"/>
      <c r="V614" s="79"/>
      <c r="W614" s="79"/>
      <c r="Z614" s="130"/>
      <c r="AB614" s="106"/>
    </row>
    <row r="615">
      <c r="C615" s="79"/>
      <c r="D615" s="79"/>
      <c r="E615" s="79"/>
      <c r="M615" s="79"/>
      <c r="R615" s="79"/>
      <c r="S615" s="79"/>
      <c r="V615" s="79"/>
      <c r="W615" s="79"/>
      <c r="Z615" s="130"/>
      <c r="AB615" s="106"/>
    </row>
    <row r="616">
      <c r="C616" s="79"/>
      <c r="D616" s="79"/>
      <c r="E616" s="79"/>
      <c r="M616" s="79"/>
      <c r="R616" s="79"/>
      <c r="S616" s="79"/>
      <c r="V616" s="79"/>
      <c r="W616" s="79"/>
      <c r="Z616" s="130"/>
      <c r="AB616" s="106"/>
    </row>
    <row r="617">
      <c r="C617" s="79"/>
      <c r="D617" s="79"/>
      <c r="E617" s="79"/>
      <c r="M617" s="79"/>
      <c r="R617" s="79"/>
      <c r="S617" s="79"/>
      <c r="V617" s="79"/>
      <c r="W617" s="79"/>
      <c r="Z617" s="130"/>
      <c r="AB617" s="106"/>
    </row>
    <row r="618">
      <c r="C618" s="79"/>
      <c r="D618" s="79"/>
      <c r="E618" s="79"/>
      <c r="M618" s="79"/>
      <c r="R618" s="79"/>
      <c r="S618" s="79"/>
      <c r="V618" s="79"/>
      <c r="W618" s="79"/>
      <c r="Z618" s="130"/>
      <c r="AB618" s="106"/>
    </row>
    <row r="619">
      <c r="C619" s="79"/>
      <c r="D619" s="79"/>
      <c r="E619" s="79"/>
      <c r="M619" s="79"/>
      <c r="R619" s="79"/>
      <c r="S619" s="79"/>
      <c r="V619" s="79"/>
      <c r="W619" s="79"/>
      <c r="Z619" s="130"/>
      <c r="AB619" s="106"/>
    </row>
    <row r="620">
      <c r="C620" s="79"/>
      <c r="D620" s="79"/>
      <c r="E620" s="79"/>
      <c r="M620" s="79"/>
      <c r="R620" s="79"/>
      <c r="S620" s="79"/>
      <c r="V620" s="79"/>
      <c r="W620" s="79"/>
      <c r="Z620" s="130"/>
      <c r="AB620" s="106"/>
    </row>
    <row r="621">
      <c r="C621" s="79"/>
      <c r="D621" s="79"/>
      <c r="E621" s="79"/>
      <c r="M621" s="79"/>
      <c r="R621" s="79"/>
      <c r="S621" s="79"/>
      <c r="V621" s="79"/>
      <c r="W621" s="79"/>
      <c r="Z621" s="130"/>
      <c r="AB621" s="106"/>
    </row>
    <row r="622">
      <c r="C622" s="79"/>
      <c r="D622" s="79"/>
      <c r="E622" s="79"/>
      <c r="M622" s="79"/>
      <c r="R622" s="79"/>
      <c r="S622" s="79"/>
      <c r="V622" s="79"/>
      <c r="W622" s="79"/>
      <c r="Z622" s="130"/>
      <c r="AB622" s="106"/>
    </row>
    <row r="623">
      <c r="C623" s="79"/>
      <c r="D623" s="79"/>
      <c r="E623" s="79"/>
      <c r="M623" s="79"/>
      <c r="R623" s="79"/>
      <c r="S623" s="79"/>
      <c r="V623" s="79"/>
      <c r="W623" s="79"/>
      <c r="Z623" s="130"/>
      <c r="AB623" s="106"/>
    </row>
    <row r="624">
      <c r="C624" s="79"/>
      <c r="D624" s="79"/>
      <c r="E624" s="79"/>
      <c r="M624" s="79"/>
      <c r="R624" s="79"/>
      <c r="S624" s="79"/>
      <c r="V624" s="79"/>
      <c r="W624" s="79"/>
      <c r="Z624" s="130"/>
      <c r="AB624" s="106"/>
    </row>
    <row r="625">
      <c r="C625" s="79"/>
      <c r="D625" s="79"/>
      <c r="E625" s="79"/>
      <c r="M625" s="79"/>
      <c r="R625" s="79"/>
      <c r="S625" s="79"/>
      <c r="V625" s="79"/>
      <c r="W625" s="79"/>
      <c r="Z625" s="130"/>
      <c r="AB625" s="106"/>
    </row>
    <row r="626">
      <c r="C626" s="79"/>
      <c r="D626" s="79"/>
      <c r="E626" s="79"/>
      <c r="M626" s="79"/>
      <c r="R626" s="79"/>
      <c r="S626" s="79"/>
      <c r="V626" s="79"/>
      <c r="W626" s="79"/>
      <c r="Z626" s="130"/>
      <c r="AB626" s="106"/>
    </row>
    <row r="627">
      <c r="C627" s="79"/>
      <c r="D627" s="79"/>
      <c r="E627" s="79"/>
      <c r="M627" s="79"/>
      <c r="R627" s="79"/>
      <c r="S627" s="79"/>
      <c r="V627" s="79"/>
      <c r="W627" s="79"/>
      <c r="Z627" s="130"/>
      <c r="AB627" s="106"/>
    </row>
    <row r="628">
      <c r="C628" s="79"/>
      <c r="D628" s="79"/>
      <c r="E628" s="79"/>
      <c r="M628" s="79"/>
      <c r="R628" s="79"/>
      <c r="S628" s="79"/>
      <c r="V628" s="79"/>
      <c r="W628" s="79"/>
      <c r="Z628" s="130"/>
      <c r="AB628" s="106"/>
    </row>
    <row r="629">
      <c r="C629" s="79"/>
      <c r="D629" s="79"/>
      <c r="E629" s="79"/>
      <c r="M629" s="79"/>
      <c r="R629" s="79"/>
      <c r="S629" s="79"/>
      <c r="V629" s="79"/>
      <c r="W629" s="79"/>
      <c r="Z629" s="130"/>
      <c r="AB629" s="106"/>
    </row>
    <row r="630">
      <c r="C630" s="79"/>
      <c r="D630" s="79"/>
      <c r="E630" s="79"/>
      <c r="M630" s="79"/>
      <c r="R630" s="79"/>
      <c r="S630" s="79"/>
      <c r="V630" s="79"/>
      <c r="W630" s="79"/>
      <c r="Z630" s="130"/>
      <c r="AB630" s="106"/>
    </row>
    <row r="631">
      <c r="C631" s="79"/>
      <c r="D631" s="79"/>
      <c r="E631" s="79"/>
      <c r="M631" s="79"/>
      <c r="R631" s="79"/>
      <c r="S631" s="79"/>
      <c r="V631" s="79"/>
      <c r="W631" s="79"/>
      <c r="Z631" s="130"/>
      <c r="AB631" s="106"/>
    </row>
    <row r="632">
      <c r="C632" s="79"/>
      <c r="D632" s="79"/>
      <c r="E632" s="79"/>
      <c r="M632" s="79"/>
      <c r="R632" s="79"/>
      <c r="S632" s="79"/>
      <c r="V632" s="79"/>
      <c r="W632" s="79"/>
      <c r="Z632" s="130"/>
      <c r="AB632" s="106"/>
    </row>
    <row r="633">
      <c r="C633" s="79"/>
      <c r="D633" s="79"/>
      <c r="E633" s="79"/>
      <c r="M633" s="79"/>
      <c r="R633" s="79"/>
      <c r="S633" s="79"/>
      <c r="V633" s="79"/>
      <c r="W633" s="79"/>
      <c r="Z633" s="130"/>
      <c r="AB633" s="106"/>
    </row>
    <row r="634">
      <c r="C634" s="79"/>
      <c r="D634" s="79"/>
      <c r="E634" s="79"/>
      <c r="M634" s="79"/>
      <c r="R634" s="79"/>
      <c r="S634" s="79"/>
      <c r="V634" s="79"/>
      <c r="W634" s="79"/>
      <c r="Z634" s="130"/>
      <c r="AB634" s="106"/>
    </row>
    <row r="635">
      <c r="C635" s="79"/>
      <c r="D635" s="79"/>
      <c r="E635" s="79"/>
      <c r="M635" s="79"/>
      <c r="R635" s="79"/>
      <c r="S635" s="79"/>
      <c r="V635" s="79"/>
      <c r="W635" s="79"/>
      <c r="Z635" s="130"/>
      <c r="AB635" s="106"/>
    </row>
    <row r="636">
      <c r="C636" s="79"/>
      <c r="D636" s="79"/>
      <c r="E636" s="79"/>
      <c r="M636" s="79"/>
      <c r="R636" s="79"/>
      <c r="S636" s="79"/>
      <c r="V636" s="79"/>
      <c r="W636" s="79"/>
      <c r="Z636" s="130"/>
      <c r="AB636" s="106"/>
    </row>
    <row r="637">
      <c r="C637" s="79"/>
      <c r="D637" s="79"/>
      <c r="E637" s="79"/>
      <c r="M637" s="79"/>
      <c r="R637" s="79"/>
      <c r="S637" s="79"/>
      <c r="V637" s="79"/>
      <c r="W637" s="79"/>
      <c r="Z637" s="130"/>
      <c r="AB637" s="106"/>
    </row>
    <row r="638">
      <c r="C638" s="79"/>
      <c r="D638" s="79"/>
      <c r="E638" s="79"/>
      <c r="M638" s="79"/>
      <c r="R638" s="79"/>
      <c r="S638" s="79"/>
      <c r="V638" s="79"/>
      <c r="W638" s="79"/>
      <c r="Z638" s="130"/>
      <c r="AB638" s="106"/>
    </row>
    <row r="639">
      <c r="C639" s="79"/>
      <c r="D639" s="79"/>
      <c r="E639" s="79"/>
      <c r="M639" s="79"/>
      <c r="R639" s="79"/>
      <c r="S639" s="79"/>
      <c r="V639" s="79"/>
      <c r="W639" s="79"/>
      <c r="Z639" s="130"/>
      <c r="AB639" s="106"/>
    </row>
    <row r="640">
      <c r="C640" s="79"/>
      <c r="D640" s="79"/>
      <c r="E640" s="79"/>
      <c r="M640" s="79"/>
      <c r="R640" s="79"/>
      <c r="S640" s="79"/>
      <c r="V640" s="79"/>
      <c r="W640" s="79"/>
      <c r="Z640" s="130"/>
      <c r="AB640" s="106"/>
    </row>
    <row r="641">
      <c r="C641" s="79"/>
      <c r="D641" s="79"/>
      <c r="E641" s="79"/>
      <c r="M641" s="79"/>
      <c r="R641" s="79"/>
      <c r="S641" s="79"/>
      <c r="V641" s="79"/>
      <c r="W641" s="79"/>
      <c r="Z641" s="130"/>
      <c r="AB641" s="106"/>
    </row>
    <row r="642">
      <c r="C642" s="79"/>
      <c r="D642" s="79"/>
      <c r="E642" s="79"/>
      <c r="M642" s="79"/>
      <c r="R642" s="79"/>
      <c r="S642" s="79"/>
      <c r="V642" s="79"/>
      <c r="W642" s="79"/>
      <c r="Z642" s="130"/>
      <c r="AB642" s="106"/>
    </row>
    <row r="643">
      <c r="C643" s="79"/>
      <c r="D643" s="79"/>
      <c r="E643" s="79"/>
      <c r="M643" s="79"/>
      <c r="R643" s="79"/>
      <c r="S643" s="79"/>
      <c r="V643" s="79"/>
      <c r="W643" s="79"/>
      <c r="Z643" s="130"/>
      <c r="AB643" s="106"/>
    </row>
    <row r="644">
      <c r="C644" s="79"/>
      <c r="D644" s="79"/>
      <c r="E644" s="79"/>
      <c r="M644" s="79"/>
      <c r="R644" s="79"/>
      <c r="S644" s="79"/>
      <c r="V644" s="79"/>
      <c r="W644" s="79"/>
      <c r="Z644" s="130"/>
      <c r="AB644" s="106"/>
    </row>
    <row r="645">
      <c r="C645" s="79"/>
      <c r="D645" s="79"/>
      <c r="E645" s="79"/>
      <c r="M645" s="79"/>
      <c r="R645" s="79"/>
      <c r="S645" s="79"/>
      <c r="V645" s="79"/>
      <c r="W645" s="79"/>
      <c r="Z645" s="130"/>
      <c r="AB645" s="106"/>
    </row>
    <row r="646">
      <c r="C646" s="79"/>
      <c r="D646" s="79"/>
      <c r="E646" s="79"/>
      <c r="M646" s="79"/>
      <c r="R646" s="79"/>
      <c r="S646" s="79"/>
      <c r="V646" s="79"/>
      <c r="W646" s="79"/>
      <c r="Z646" s="130"/>
      <c r="AB646" s="106"/>
    </row>
    <row r="647">
      <c r="C647" s="79"/>
      <c r="D647" s="79"/>
      <c r="E647" s="79"/>
      <c r="M647" s="79"/>
      <c r="R647" s="79"/>
      <c r="S647" s="79"/>
      <c r="V647" s="79"/>
      <c r="W647" s="79"/>
      <c r="Z647" s="130"/>
      <c r="AB647" s="106"/>
    </row>
    <row r="648">
      <c r="C648" s="79"/>
      <c r="D648" s="79"/>
      <c r="E648" s="79"/>
      <c r="M648" s="79"/>
      <c r="R648" s="79"/>
      <c r="S648" s="79"/>
      <c r="V648" s="79"/>
      <c r="W648" s="79"/>
      <c r="Z648" s="130"/>
      <c r="AB648" s="106"/>
    </row>
    <row r="649">
      <c r="C649" s="79"/>
      <c r="D649" s="79"/>
      <c r="E649" s="79"/>
      <c r="M649" s="79"/>
      <c r="R649" s="79"/>
      <c r="S649" s="79"/>
      <c r="V649" s="79"/>
      <c r="W649" s="79"/>
      <c r="Z649" s="130"/>
      <c r="AB649" s="106"/>
    </row>
    <row r="650">
      <c r="C650" s="79"/>
      <c r="D650" s="79"/>
      <c r="E650" s="79"/>
      <c r="M650" s="79"/>
      <c r="R650" s="79"/>
      <c r="S650" s="79"/>
      <c r="V650" s="79"/>
      <c r="W650" s="79"/>
      <c r="Z650" s="130"/>
      <c r="AB650" s="106"/>
    </row>
    <row r="651">
      <c r="C651" s="79"/>
      <c r="D651" s="79"/>
      <c r="E651" s="79"/>
      <c r="M651" s="79"/>
      <c r="R651" s="79"/>
      <c r="S651" s="79"/>
      <c r="V651" s="79"/>
      <c r="W651" s="79"/>
      <c r="Z651" s="130"/>
      <c r="AB651" s="106"/>
    </row>
    <row r="652">
      <c r="C652" s="79"/>
      <c r="D652" s="79"/>
      <c r="E652" s="79"/>
      <c r="M652" s="79"/>
      <c r="R652" s="79"/>
      <c r="S652" s="79"/>
      <c r="V652" s="79"/>
      <c r="W652" s="79"/>
      <c r="Z652" s="130"/>
      <c r="AB652" s="106"/>
    </row>
    <row r="653">
      <c r="C653" s="79"/>
      <c r="D653" s="79"/>
      <c r="E653" s="79"/>
      <c r="M653" s="79"/>
      <c r="R653" s="79"/>
      <c r="S653" s="79"/>
      <c r="V653" s="79"/>
      <c r="W653" s="79"/>
      <c r="Z653" s="130"/>
      <c r="AB653" s="106"/>
    </row>
    <row r="654">
      <c r="C654" s="79"/>
      <c r="D654" s="79"/>
      <c r="E654" s="79"/>
      <c r="M654" s="79"/>
      <c r="R654" s="79"/>
      <c r="S654" s="79"/>
      <c r="V654" s="79"/>
      <c r="W654" s="79"/>
      <c r="Z654" s="130"/>
      <c r="AB654" s="106"/>
    </row>
    <row r="655">
      <c r="C655" s="79"/>
      <c r="D655" s="79"/>
      <c r="E655" s="79"/>
      <c r="M655" s="79"/>
      <c r="R655" s="79"/>
      <c r="S655" s="79"/>
      <c r="V655" s="79"/>
      <c r="W655" s="79"/>
      <c r="Z655" s="130"/>
      <c r="AB655" s="106"/>
    </row>
    <row r="656">
      <c r="C656" s="79"/>
      <c r="D656" s="79"/>
      <c r="E656" s="79"/>
      <c r="M656" s="79"/>
      <c r="R656" s="79"/>
      <c r="S656" s="79"/>
      <c r="V656" s="79"/>
      <c r="W656" s="79"/>
      <c r="Z656" s="130"/>
      <c r="AB656" s="106"/>
    </row>
    <row r="657">
      <c r="C657" s="79"/>
      <c r="D657" s="79"/>
      <c r="E657" s="79"/>
      <c r="M657" s="79"/>
      <c r="R657" s="79"/>
      <c r="S657" s="79"/>
      <c r="V657" s="79"/>
      <c r="W657" s="79"/>
      <c r="Z657" s="130"/>
      <c r="AB657" s="106"/>
    </row>
    <row r="658">
      <c r="C658" s="79"/>
      <c r="D658" s="79"/>
      <c r="E658" s="79"/>
      <c r="M658" s="79"/>
      <c r="R658" s="79"/>
      <c r="S658" s="79"/>
      <c r="V658" s="79"/>
      <c r="W658" s="79"/>
      <c r="Z658" s="130"/>
      <c r="AB658" s="106"/>
    </row>
    <row r="659">
      <c r="C659" s="79"/>
      <c r="D659" s="79"/>
      <c r="E659" s="79"/>
      <c r="M659" s="79"/>
      <c r="R659" s="79"/>
      <c r="S659" s="79"/>
      <c r="V659" s="79"/>
      <c r="W659" s="79"/>
      <c r="Z659" s="130"/>
      <c r="AB659" s="106"/>
    </row>
    <row r="660">
      <c r="C660" s="79"/>
      <c r="D660" s="79"/>
      <c r="E660" s="79"/>
      <c r="M660" s="79"/>
      <c r="R660" s="79"/>
      <c r="S660" s="79"/>
      <c r="V660" s="79"/>
      <c r="W660" s="79"/>
      <c r="Z660" s="130"/>
      <c r="AB660" s="106"/>
    </row>
    <row r="661">
      <c r="C661" s="79"/>
      <c r="D661" s="79"/>
      <c r="E661" s="79"/>
      <c r="M661" s="79"/>
      <c r="R661" s="79"/>
      <c r="S661" s="79"/>
      <c r="V661" s="79"/>
      <c r="W661" s="79"/>
      <c r="Z661" s="130"/>
      <c r="AB661" s="106"/>
    </row>
    <row r="662">
      <c r="C662" s="79"/>
      <c r="D662" s="79"/>
      <c r="E662" s="79"/>
      <c r="M662" s="79"/>
      <c r="R662" s="79"/>
      <c r="S662" s="79"/>
      <c r="V662" s="79"/>
      <c r="W662" s="79"/>
      <c r="Z662" s="130"/>
      <c r="AB662" s="106"/>
    </row>
    <row r="663">
      <c r="C663" s="79"/>
      <c r="D663" s="79"/>
      <c r="E663" s="79"/>
      <c r="M663" s="79"/>
      <c r="R663" s="79"/>
      <c r="S663" s="79"/>
      <c r="V663" s="79"/>
      <c r="W663" s="79"/>
      <c r="Z663" s="130"/>
      <c r="AB663" s="106"/>
    </row>
    <row r="664">
      <c r="C664" s="79"/>
      <c r="D664" s="79"/>
      <c r="E664" s="79"/>
      <c r="M664" s="79"/>
      <c r="R664" s="79"/>
      <c r="S664" s="79"/>
      <c r="V664" s="79"/>
      <c r="W664" s="79"/>
      <c r="Z664" s="130"/>
      <c r="AB664" s="106"/>
    </row>
    <row r="665">
      <c r="C665" s="79"/>
      <c r="D665" s="79"/>
      <c r="E665" s="79"/>
      <c r="M665" s="79"/>
      <c r="R665" s="79"/>
      <c r="S665" s="79"/>
      <c r="V665" s="79"/>
      <c r="W665" s="79"/>
      <c r="Z665" s="130"/>
      <c r="AB665" s="106"/>
    </row>
    <row r="666">
      <c r="C666" s="79"/>
      <c r="D666" s="79"/>
      <c r="E666" s="79"/>
      <c r="M666" s="79"/>
      <c r="R666" s="79"/>
      <c r="S666" s="79"/>
      <c r="V666" s="79"/>
      <c r="W666" s="79"/>
      <c r="Z666" s="130"/>
      <c r="AB666" s="106"/>
    </row>
    <row r="667">
      <c r="C667" s="79"/>
      <c r="D667" s="79"/>
      <c r="E667" s="79"/>
      <c r="M667" s="79"/>
      <c r="R667" s="79"/>
      <c r="S667" s="79"/>
      <c r="V667" s="79"/>
      <c r="W667" s="79"/>
      <c r="Z667" s="130"/>
      <c r="AB667" s="106"/>
    </row>
    <row r="668">
      <c r="C668" s="79"/>
      <c r="D668" s="79"/>
      <c r="E668" s="79"/>
      <c r="M668" s="79"/>
      <c r="R668" s="79"/>
      <c r="S668" s="79"/>
      <c r="V668" s="79"/>
      <c r="W668" s="79"/>
      <c r="Z668" s="130"/>
      <c r="AB668" s="106"/>
    </row>
    <row r="669">
      <c r="C669" s="79"/>
      <c r="D669" s="79"/>
      <c r="E669" s="79"/>
      <c r="M669" s="79"/>
      <c r="R669" s="79"/>
      <c r="S669" s="79"/>
      <c r="V669" s="79"/>
      <c r="W669" s="79"/>
      <c r="Z669" s="130"/>
      <c r="AB669" s="106"/>
    </row>
    <row r="670">
      <c r="C670" s="79"/>
      <c r="D670" s="79"/>
      <c r="E670" s="79"/>
      <c r="M670" s="79"/>
      <c r="R670" s="79"/>
      <c r="S670" s="79"/>
      <c r="V670" s="79"/>
      <c r="W670" s="79"/>
      <c r="Z670" s="130"/>
      <c r="AB670" s="106"/>
    </row>
    <row r="671">
      <c r="C671" s="79"/>
      <c r="D671" s="79"/>
      <c r="E671" s="79"/>
      <c r="M671" s="79"/>
      <c r="R671" s="79"/>
      <c r="S671" s="79"/>
      <c r="V671" s="79"/>
      <c r="W671" s="79"/>
      <c r="Z671" s="130"/>
      <c r="AB671" s="106"/>
    </row>
    <row r="672">
      <c r="C672" s="79"/>
      <c r="D672" s="79"/>
      <c r="E672" s="79"/>
      <c r="M672" s="79"/>
      <c r="R672" s="79"/>
      <c r="S672" s="79"/>
      <c r="V672" s="79"/>
      <c r="W672" s="79"/>
      <c r="Z672" s="130"/>
      <c r="AB672" s="106"/>
    </row>
    <row r="673">
      <c r="C673" s="79"/>
      <c r="D673" s="79"/>
      <c r="E673" s="79"/>
      <c r="M673" s="79"/>
      <c r="R673" s="79"/>
      <c r="S673" s="79"/>
      <c r="V673" s="79"/>
      <c r="W673" s="79"/>
      <c r="Z673" s="130"/>
      <c r="AB673" s="106"/>
    </row>
    <row r="674">
      <c r="C674" s="79"/>
      <c r="D674" s="79"/>
      <c r="E674" s="79"/>
      <c r="M674" s="79"/>
      <c r="R674" s="79"/>
      <c r="S674" s="79"/>
      <c r="V674" s="79"/>
      <c r="W674" s="79"/>
      <c r="Z674" s="130"/>
      <c r="AB674" s="106"/>
    </row>
    <row r="675">
      <c r="C675" s="79"/>
      <c r="D675" s="79"/>
      <c r="E675" s="79"/>
      <c r="M675" s="79"/>
      <c r="R675" s="79"/>
      <c r="S675" s="79"/>
      <c r="V675" s="79"/>
      <c r="W675" s="79"/>
      <c r="Z675" s="130"/>
      <c r="AB675" s="106"/>
    </row>
    <row r="676">
      <c r="C676" s="79"/>
      <c r="D676" s="79"/>
      <c r="E676" s="79"/>
      <c r="M676" s="79"/>
      <c r="R676" s="79"/>
      <c r="S676" s="79"/>
      <c r="V676" s="79"/>
      <c r="W676" s="79"/>
      <c r="Z676" s="130"/>
      <c r="AB676" s="106"/>
    </row>
    <row r="677">
      <c r="C677" s="79"/>
      <c r="D677" s="79"/>
      <c r="E677" s="79"/>
      <c r="M677" s="79"/>
      <c r="R677" s="79"/>
      <c r="S677" s="79"/>
      <c r="V677" s="79"/>
      <c r="W677" s="79"/>
      <c r="Z677" s="130"/>
      <c r="AB677" s="106"/>
    </row>
    <row r="678">
      <c r="C678" s="79"/>
      <c r="D678" s="79"/>
      <c r="E678" s="79"/>
      <c r="M678" s="79"/>
      <c r="R678" s="79"/>
      <c r="S678" s="79"/>
      <c r="V678" s="79"/>
      <c r="W678" s="79"/>
      <c r="Z678" s="130"/>
      <c r="AB678" s="106"/>
    </row>
    <row r="679">
      <c r="C679" s="79"/>
      <c r="D679" s="79"/>
      <c r="E679" s="79"/>
      <c r="M679" s="79"/>
      <c r="R679" s="79"/>
      <c r="S679" s="79"/>
      <c r="V679" s="79"/>
      <c r="W679" s="79"/>
      <c r="Z679" s="130"/>
      <c r="AB679" s="106"/>
    </row>
    <row r="680">
      <c r="C680" s="79"/>
      <c r="D680" s="79"/>
      <c r="E680" s="79"/>
      <c r="M680" s="79"/>
      <c r="R680" s="79"/>
      <c r="S680" s="79"/>
      <c r="V680" s="79"/>
      <c r="W680" s="79"/>
      <c r="Z680" s="130"/>
      <c r="AB680" s="106"/>
    </row>
    <row r="681">
      <c r="C681" s="79"/>
      <c r="D681" s="79"/>
      <c r="E681" s="79"/>
      <c r="M681" s="79"/>
      <c r="R681" s="79"/>
      <c r="S681" s="79"/>
      <c r="V681" s="79"/>
      <c r="W681" s="79"/>
      <c r="Z681" s="130"/>
      <c r="AB681" s="106"/>
    </row>
    <row r="682">
      <c r="C682" s="79"/>
      <c r="D682" s="79"/>
      <c r="E682" s="79"/>
      <c r="M682" s="79"/>
      <c r="R682" s="79"/>
      <c r="S682" s="79"/>
      <c r="V682" s="79"/>
      <c r="W682" s="79"/>
      <c r="Z682" s="130"/>
      <c r="AB682" s="106"/>
    </row>
    <row r="683">
      <c r="C683" s="79"/>
      <c r="D683" s="79"/>
      <c r="E683" s="79"/>
      <c r="M683" s="79"/>
      <c r="R683" s="79"/>
      <c r="S683" s="79"/>
      <c r="V683" s="79"/>
      <c r="W683" s="79"/>
      <c r="Z683" s="130"/>
      <c r="AB683" s="106"/>
    </row>
    <row r="684">
      <c r="C684" s="79"/>
      <c r="D684" s="79"/>
      <c r="E684" s="79"/>
      <c r="M684" s="79"/>
      <c r="R684" s="79"/>
      <c r="S684" s="79"/>
      <c r="V684" s="79"/>
      <c r="W684" s="79"/>
      <c r="Z684" s="130"/>
      <c r="AB684" s="106"/>
    </row>
    <row r="685">
      <c r="C685" s="79"/>
      <c r="D685" s="79"/>
      <c r="E685" s="79"/>
      <c r="M685" s="79"/>
      <c r="R685" s="79"/>
      <c r="S685" s="79"/>
      <c r="V685" s="79"/>
      <c r="W685" s="79"/>
      <c r="Z685" s="130"/>
      <c r="AB685" s="106"/>
    </row>
    <row r="686">
      <c r="C686" s="79"/>
      <c r="D686" s="79"/>
      <c r="E686" s="79"/>
      <c r="M686" s="79"/>
      <c r="R686" s="79"/>
      <c r="S686" s="79"/>
      <c r="V686" s="79"/>
      <c r="W686" s="79"/>
      <c r="Z686" s="130"/>
      <c r="AB686" s="106"/>
    </row>
    <row r="687">
      <c r="C687" s="79"/>
      <c r="D687" s="79"/>
      <c r="E687" s="79"/>
      <c r="M687" s="79"/>
      <c r="R687" s="79"/>
      <c r="S687" s="79"/>
      <c r="V687" s="79"/>
      <c r="W687" s="79"/>
      <c r="Z687" s="130"/>
      <c r="AB687" s="106"/>
    </row>
    <row r="688">
      <c r="C688" s="79"/>
      <c r="D688" s="79"/>
      <c r="E688" s="79"/>
      <c r="M688" s="79"/>
      <c r="R688" s="79"/>
      <c r="S688" s="79"/>
      <c r="V688" s="79"/>
      <c r="W688" s="79"/>
      <c r="Z688" s="130"/>
      <c r="AB688" s="106"/>
    </row>
    <row r="689">
      <c r="C689" s="79"/>
      <c r="D689" s="79"/>
      <c r="E689" s="79"/>
      <c r="M689" s="79"/>
      <c r="R689" s="79"/>
      <c r="S689" s="79"/>
      <c r="V689" s="79"/>
      <c r="W689" s="79"/>
      <c r="Z689" s="130"/>
      <c r="AB689" s="106"/>
    </row>
    <row r="690">
      <c r="C690" s="79"/>
      <c r="D690" s="79"/>
      <c r="E690" s="79"/>
      <c r="M690" s="79"/>
      <c r="R690" s="79"/>
      <c r="S690" s="79"/>
      <c r="V690" s="79"/>
      <c r="W690" s="79"/>
      <c r="Z690" s="130"/>
      <c r="AB690" s="106"/>
    </row>
    <row r="691">
      <c r="C691" s="79"/>
      <c r="D691" s="79"/>
      <c r="E691" s="79"/>
      <c r="M691" s="79"/>
      <c r="R691" s="79"/>
      <c r="S691" s="79"/>
      <c r="V691" s="79"/>
      <c r="W691" s="79"/>
      <c r="Z691" s="130"/>
      <c r="AB691" s="106"/>
    </row>
    <row r="692">
      <c r="C692" s="79"/>
      <c r="D692" s="79"/>
      <c r="E692" s="79"/>
      <c r="M692" s="79"/>
      <c r="R692" s="79"/>
      <c r="S692" s="79"/>
      <c r="V692" s="79"/>
      <c r="W692" s="79"/>
      <c r="Z692" s="130"/>
      <c r="AB692" s="106"/>
    </row>
    <row r="693">
      <c r="C693" s="79"/>
      <c r="D693" s="79"/>
      <c r="E693" s="79"/>
      <c r="M693" s="79"/>
      <c r="R693" s="79"/>
      <c r="S693" s="79"/>
      <c r="V693" s="79"/>
      <c r="W693" s="79"/>
      <c r="Z693" s="130"/>
      <c r="AB693" s="106"/>
    </row>
    <row r="694">
      <c r="C694" s="79"/>
      <c r="D694" s="79"/>
      <c r="E694" s="79"/>
      <c r="M694" s="79"/>
      <c r="R694" s="79"/>
      <c r="S694" s="79"/>
      <c r="V694" s="79"/>
      <c r="W694" s="79"/>
      <c r="Z694" s="130"/>
      <c r="AB694" s="106"/>
    </row>
    <row r="695">
      <c r="C695" s="79"/>
      <c r="D695" s="79"/>
      <c r="E695" s="79"/>
      <c r="M695" s="79"/>
      <c r="R695" s="79"/>
      <c r="S695" s="79"/>
      <c r="V695" s="79"/>
      <c r="W695" s="79"/>
      <c r="Z695" s="130"/>
      <c r="AB695" s="106"/>
    </row>
    <row r="696">
      <c r="C696" s="79"/>
      <c r="D696" s="79"/>
      <c r="E696" s="79"/>
      <c r="M696" s="79"/>
      <c r="R696" s="79"/>
      <c r="S696" s="79"/>
      <c r="V696" s="79"/>
      <c r="W696" s="79"/>
      <c r="Z696" s="130"/>
      <c r="AB696" s="106"/>
    </row>
    <row r="697">
      <c r="C697" s="79"/>
      <c r="D697" s="79"/>
      <c r="E697" s="79"/>
      <c r="M697" s="79"/>
      <c r="R697" s="79"/>
      <c r="S697" s="79"/>
      <c r="V697" s="79"/>
      <c r="W697" s="79"/>
      <c r="Z697" s="130"/>
      <c r="AB697" s="106"/>
    </row>
    <row r="698">
      <c r="C698" s="79"/>
      <c r="D698" s="79"/>
      <c r="E698" s="79"/>
      <c r="M698" s="79"/>
      <c r="R698" s="79"/>
      <c r="S698" s="79"/>
      <c r="V698" s="79"/>
      <c r="W698" s="79"/>
      <c r="Z698" s="130"/>
      <c r="AB698" s="106"/>
    </row>
    <row r="699">
      <c r="C699" s="79"/>
      <c r="D699" s="79"/>
      <c r="E699" s="79"/>
      <c r="M699" s="79"/>
      <c r="R699" s="79"/>
      <c r="S699" s="79"/>
      <c r="V699" s="79"/>
      <c r="W699" s="79"/>
      <c r="Z699" s="130"/>
      <c r="AB699" s="106"/>
    </row>
    <row r="700">
      <c r="C700" s="79"/>
      <c r="D700" s="79"/>
      <c r="E700" s="79"/>
      <c r="M700" s="79"/>
      <c r="R700" s="79"/>
      <c r="S700" s="79"/>
      <c r="V700" s="79"/>
      <c r="W700" s="79"/>
      <c r="Z700" s="130"/>
      <c r="AB700" s="106"/>
    </row>
    <row r="701">
      <c r="C701" s="79"/>
      <c r="D701" s="79"/>
      <c r="E701" s="79"/>
      <c r="M701" s="79"/>
      <c r="R701" s="79"/>
      <c r="S701" s="79"/>
      <c r="V701" s="79"/>
      <c r="W701" s="79"/>
      <c r="Z701" s="130"/>
      <c r="AB701" s="106"/>
    </row>
    <row r="702">
      <c r="C702" s="79"/>
      <c r="D702" s="79"/>
      <c r="E702" s="79"/>
      <c r="M702" s="79"/>
      <c r="R702" s="79"/>
      <c r="S702" s="79"/>
      <c r="V702" s="79"/>
      <c r="W702" s="79"/>
      <c r="Z702" s="130"/>
      <c r="AB702" s="106"/>
    </row>
    <row r="703">
      <c r="C703" s="79"/>
      <c r="D703" s="79"/>
      <c r="E703" s="79"/>
      <c r="M703" s="79"/>
      <c r="R703" s="79"/>
      <c r="S703" s="79"/>
      <c r="V703" s="79"/>
      <c r="W703" s="79"/>
      <c r="Z703" s="130"/>
      <c r="AB703" s="106"/>
    </row>
    <row r="704">
      <c r="C704" s="79"/>
      <c r="D704" s="79"/>
      <c r="E704" s="79"/>
      <c r="M704" s="79"/>
      <c r="R704" s="79"/>
      <c r="S704" s="79"/>
      <c r="V704" s="79"/>
      <c r="W704" s="79"/>
      <c r="Z704" s="130"/>
      <c r="AB704" s="106"/>
    </row>
    <row r="705">
      <c r="C705" s="79"/>
      <c r="D705" s="79"/>
      <c r="E705" s="79"/>
      <c r="M705" s="79"/>
      <c r="R705" s="79"/>
      <c r="S705" s="79"/>
      <c r="V705" s="79"/>
      <c r="W705" s="79"/>
      <c r="Z705" s="130"/>
      <c r="AB705" s="106"/>
    </row>
    <row r="706">
      <c r="C706" s="79"/>
      <c r="D706" s="79"/>
      <c r="E706" s="79"/>
      <c r="M706" s="79"/>
      <c r="R706" s="79"/>
      <c r="S706" s="79"/>
      <c r="V706" s="79"/>
      <c r="W706" s="79"/>
      <c r="Z706" s="130"/>
      <c r="AB706" s="106"/>
    </row>
    <row r="707">
      <c r="C707" s="79"/>
      <c r="D707" s="79"/>
      <c r="E707" s="79"/>
      <c r="M707" s="79"/>
      <c r="R707" s="79"/>
      <c r="S707" s="79"/>
      <c r="V707" s="79"/>
      <c r="W707" s="79"/>
      <c r="Z707" s="130"/>
      <c r="AB707" s="106"/>
    </row>
    <row r="708">
      <c r="C708" s="79"/>
      <c r="D708" s="79"/>
      <c r="E708" s="79"/>
      <c r="M708" s="79"/>
      <c r="R708" s="79"/>
      <c r="S708" s="79"/>
      <c r="V708" s="79"/>
      <c r="W708" s="79"/>
      <c r="Z708" s="130"/>
      <c r="AB708" s="106"/>
    </row>
    <row r="709">
      <c r="C709" s="79"/>
      <c r="D709" s="79"/>
      <c r="E709" s="79"/>
      <c r="M709" s="79"/>
      <c r="R709" s="79"/>
      <c r="S709" s="79"/>
      <c r="V709" s="79"/>
      <c r="W709" s="79"/>
      <c r="Z709" s="130"/>
      <c r="AB709" s="106"/>
    </row>
    <row r="710">
      <c r="C710" s="79"/>
      <c r="D710" s="79"/>
      <c r="E710" s="79"/>
      <c r="M710" s="79"/>
      <c r="R710" s="79"/>
      <c r="S710" s="79"/>
      <c r="V710" s="79"/>
      <c r="W710" s="79"/>
      <c r="Z710" s="130"/>
      <c r="AB710" s="106"/>
    </row>
    <row r="711">
      <c r="C711" s="79"/>
      <c r="D711" s="79"/>
      <c r="E711" s="79"/>
      <c r="M711" s="79"/>
      <c r="R711" s="79"/>
      <c r="S711" s="79"/>
      <c r="V711" s="79"/>
      <c r="W711" s="79"/>
      <c r="Z711" s="130"/>
      <c r="AB711" s="106"/>
    </row>
    <row r="712">
      <c r="C712" s="79"/>
      <c r="D712" s="79"/>
      <c r="E712" s="79"/>
      <c r="M712" s="79"/>
      <c r="R712" s="79"/>
      <c r="S712" s="79"/>
      <c r="V712" s="79"/>
      <c r="W712" s="79"/>
      <c r="Z712" s="130"/>
      <c r="AB712" s="106"/>
    </row>
    <row r="713">
      <c r="C713" s="79"/>
      <c r="D713" s="79"/>
      <c r="E713" s="79"/>
      <c r="M713" s="79"/>
      <c r="R713" s="79"/>
      <c r="S713" s="79"/>
      <c r="V713" s="79"/>
      <c r="W713" s="79"/>
      <c r="Z713" s="130"/>
      <c r="AB713" s="106"/>
    </row>
    <row r="714">
      <c r="C714" s="79"/>
      <c r="D714" s="79"/>
      <c r="E714" s="79"/>
      <c r="M714" s="79"/>
      <c r="R714" s="79"/>
      <c r="S714" s="79"/>
      <c r="V714" s="79"/>
      <c r="W714" s="79"/>
      <c r="Z714" s="130"/>
      <c r="AB714" s="106"/>
    </row>
    <row r="715">
      <c r="C715" s="79"/>
      <c r="D715" s="79"/>
      <c r="E715" s="79"/>
      <c r="M715" s="79"/>
      <c r="R715" s="79"/>
      <c r="S715" s="79"/>
      <c r="V715" s="79"/>
      <c r="W715" s="79"/>
      <c r="Z715" s="130"/>
      <c r="AB715" s="106"/>
    </row>
    <row r="716">
      <c r="C716" s="79"/>
      <c r="D716" s="79"/>
      <c r="E716" s="79"/>
      <c r="M716" s="79"/>
      <c r="R716" s="79"/>
      <c r="S716" s="79"/>
      <c r="V716" s="79"/>
      <c r="W716" s="79"/>
      <c r="Z716" s="130"/>
      <c r="AB716" s="106"/>
    </row>
    <row r="717">
      <c r="C717" s="79"/>
      <c r="D717" s="79"/>
      <c r="E717" s="79"/>
      <c r="M717" s="79"/>
      <c r="R717" s="79"/>
      <c r="S717" s="79"/>
      <c r="V717" s="79"/>
      <c r="W717" s="79"/>
      <c r="Z717" s="130"/>
      <c r="AB717" s="106"/>
    </row>
    <row r="718">
      <c r="C718" s="79"/>
      <c r="D718" s="79"/>
      <c r="E718" s="79"/>
      <c r="M718" s="79"/>
      <c r="R718" s="79"/>
      <c r="S718" s="79"/>
      <c r="V718" s="79"/>
      <c r="W718" s="79"/>
      <c r="Z718" s="130"/>
      <c r="AB718" s="106"/>
    </row>
    <row r="719">
      <c r="C719" s="79"/>
      <c r="D719" s="79"/>
      <c r="E719" s="79"/>
      <c r="M719" s="79"/>
      <c r="R719" s="79"/>
      <c r="S719" s="79"/>
      <c r="V719" s="79"/>
      <c r="W719" s="79"/>
      <c r="Z719" s="130"/>
      <c r="AB719" s="106"/>
    </row>
    <row r="720">
      <c r="C720" s="79"/>
      <c r="D720" s="79"/>
      <c r="E720" s="79"/>
      <c r="M720" s="79"/>
      <c r="R720" s="79"/>
      <c r="S720" s="79"/>
      <c r="V720" s="79"/>
      <c r="W720" s="79"/>
      <c r="Z720" s="130"/>
      <c r="AB720" s="106"/>
    </row>
    <row r="721">
      <c r="C721" s="79"/>
      <c r="D721" s="79"/>
      <c r="E721" s="79"/>
      <c r="M721" s="79"/>
      <c r="R721" s="79"/>
      <c r="S721" s="79"/>
      <c r="V721" s="79"/>
      <c r="W721" s="79"/>
      <c r="Z721" s="130"/>
      <c r="AB721" s="106"/>
    </row>
    <row r="722">
      <c r="C722" s="79"/>
      <c r="D722" s="79"/>
      <c r="E722" s="79"/>
      <c r="M722" s="79"/>
      <c r="R722" s="79"/>
      <c r="S722" s="79"/>
      <c r="V722" s="79"/>
      <c r="W722" s="79"/>
      <c r="Z722" s="130"/>
      <c r="AB722" s="106"/>
    </row>
    <row r="723">
      <c r="C723" s="79"/>
      <c r="D723" s="79"/>
      <c r="E723" s="79"/>
      <c r="M723" s="79"/>
      <c r="R723" s="79"/>
      <c r="S723" s="79"/>
      <c r="V723" s="79"/>
      <c r="W723" s="79"/>
      <c r="Z723" s="130"/>
      <c r="AB723" s="106"/>
    </row>
    <row r="724">
      <c r="C724" s="79"/>
      <c r="D724" s="79"/>
      <c r="E724" s="79"/>
      <c r="M724" s="79"/>
      <c r="R724" s="79"/>
      <c r="S724" s="79"/>
      <c r="V724" s="79"/>
      <c r="W724" s="79"/>
      <c r="Z724" s="130"/>
      <c r="AB724" s="106"/>
    </row>
    <row r="725">
      <c r="C725" s="79"/>
      <c r="D725" s="79"/>
      <c r="E725" s="79"/>
      <c r="M725" s="79"/>
      <c r="R725" s="79"/>
      <c r="S725" s="79"/>
      <c r="V725" s="79"/>
      <c r="W725" s="79"/>
      <c r="Z725" s="130"/>
      <c r="AB725" s="106"/>
    </row>
    <row r="726">
      <c r="C726" s="79"/>
      <c r="D726" s="79"/>
      <c r="E726" s="79"/>
      <c r="M726" s="79"/>
      <c r="R726" s="79"/>
      <c r="S726" s="79"/>
      <c r="V726" s="79"/>
      <c r="W726" s="79"/>
      <c r="Z726" s="130"/>
      <c r="AB726" s="106"/>
    </row>
    <row r="727">
      <c r="C727" s="79"/>
      <c r="D727" s="79"/>
      <c r="E727" s="79"/>
      <c r="M727" s="79"/>
      <c r="R727" s="79"/>
      <c r="S727" s="79"/>
      <c r="V727" s="79"/>
      <c r="W727" s="79"/>
      <c r="Z727" s="130"/>
      <c r="AB727" s="106"/>
    </row>
    <row r="728">
      <c r="C728" s="79"/>
      <c r="D728" s="79"/>
      <c r="E728" s="79"/>
      <c r="M728" s="79"/>
      <c r="R728" s="79"/>
      <c r="S728" s="79"/>
      <c r="V728" s="79"/>
      <c r="W728" s="79"/>
      <c r="Z728" s="130"/>
      <c r="AB728" s="106"/>
    </row>
    <row r="729">
      <c r="C729" s="79"/>
      <c r="D729" s="79"/>
      <c r="E729" s="79"/>
      <c r="M729" s="79"/>
      <c r="R729" s="79"/>
      <c r="S729" s="79"/>
      <c r="V729" s="79"/>
      <c r="W729" s="79"/>
      <c r="Z729" s="130"/>
      <c r="AB729" s="106"/>
    </row>
    <row r="730">
      <c r="C730" s="79"/>
      <c r="D730" s="79"/>
      <c r="E730" s="79"/>
      <c r="M730" s="79"/>
      <c r="R730" s="79"/>
      <c r="S730" s="79"/>
      <c r="V730" s="79"/>
      <c r="W730" s="79"/>
      <c r="Z730" s="130"/>
      <c r="AB730" s="106"/>
    </row>
    <row r="731">
      <c r="C731" s="79"/>
      <c r="D731" s="79"/>
      <c r="E731" s="79"/>
      <c r="M731" s="79"/>
      <c r="R731" s="79"/>
      <c r="S731" s="79"/>
      <c r="V731" s="79"/>
      <c r="W731" s="79"/>
      <c r="Z731" s="130"/>
      <c r="AB731" s="106"/>
    </row>
    <row r="732">
      <c r="C732" s="79"/>
      <c r="D732" s="79"/>
      <c r="E732" s="79"/>
      <c r="M732" s="79"/>
      <c r="R732" s="79"/>
      <c r="S732" s="79"/>
      <c r="V732" s="79"/>
      <c r="W732" s="79"/>
      <c r="Z732" s="130"/>
      <c r="AB732" s="106"/>
    </row>
    <row r="733">
      <c r="C733" s="79"/>
      <c r="D733" s="79"/>
      <c r="E733" s="79"/>
      <c r="M733" s="79"/>
      <c r="R733" s="79"/>
      <c r="S733" s="79"/>
      <c r="V733" s="79"/>
      <c r="W733" s="79"/>
      <c r="Z733" s="130"/>
      <c r="AB733" s="106"/>
    </row>
    <row r="734">
      <c r="C734" s="79"/>
      <c r="D734" s="79"/>
      <c r="E734" s="79"/>
      <c r="M734" s="79"/>
      <c r="R734" s="79"/>
      <c r="S734" s="79"/>
      <c r="V734" s="79"/>
      <c r="W734" s="79"/>
      <c r="Z734" s="130"/>
      <c r="AB734" s="106"/>
    </row>
    <row r="735">
      <c r="C735" s="79"/>
      <c r="D735" s="79"/>
      <c r="E735" s="79"/>
      <c r="M735" s="79"/>
      <c r="R735" s="79"/>
      <c r="S735" s="79"/>
      <c r="V735" s="79"/>
      <c r="W735" s="79"/>
      <c r="Z735" s="130"/>
      <c r="AB735" s="106"/>
    </row>
    <row r="736">
      <c r="C736" s="79"/>
      <c r="D736" s="79"/>
      <c r="E736" s="79"/>
      <c r="M736" s="79"/>
      <c r="R736" s="79"/>
      <c r="S736" s="79"/>
      <c r="V736" s="79"/>
      <c r="W736" s="79"/>
      <c r="Z736" s="130"/>
      <c r="AB736" s="106"/>
    </row>
    <row r="737">
      <c r="C737" s="79"/>
      <c r="D737" s="79"/>
      <c r="E737" s="79"/>
      <c r="M737" s="79"/>
      <c r="R737" s="79"/>
      <c r="S737" s="79"/>
      <c r="V737" s="79"/>
      <c r="W737" s="79"/>
      <c r="Z737" s="130"/>
      <c r="AB737" s="106"/>
    </row>
    <row r="738">
      <c r="C738" s="79"/>
      <c r="D738" s="79"/>
      <c r="E738" s="79"/>
      <c r="M738" s="79"/>
      <c r="R738" s="79"/>
      <c r="S738" s="79"/>
      <c r="V738" s="79"/>
      <c r="W738" s="79"/>
      <c r="Z738" s="130"/>
      <c r="AB738" s="106"/>
    </row>
    <row r="739">
      <c r="C739" s="79"/>
      <c r="D739" s="79"/>
      <c r="E739" s="79"/>
      <c r="M739" s="79"/>
      <c r="R739" s="79"/>
      <c r="S739" s="79"/>
      <c r="V739" s="79"/>
      <c r="W739" s="79"/>
      <c r="Z739" s="130"/>
      <c r="AB739" s="106"/>
    </row>
    <row r="740">
      <c r="C740" s="79"/>
      <c r="D740" s="79"/>
      <c r="E740" s="79"/>
      <c r="M740" s="79"/>
      <c r="R740" s="79"/>
      <c r="S740" s="79"/>
      <c r="V740" s="79"/>
      <c r="W740" s="79"/>
      <c r="Z740" s="130"/>
      <c r="AB740" s="106"/>
    </row>
    <row r="741">
      <c r="C741" s="79"/>
      <c r="D741" s="79"/>
      <c r="E741" s="79"/>
      <c r="M741" s="79"/>
      <c r="R741" s="79"/>
      <c r="S741" s="79"/>
      <c r="V741" s="79"/>
      <c r="W741" s="79"/>
      <c r="Z741" s="130"/>
      <c r="AB741" s="106"/>
    </row>
    <row r="742">
      <c r="C742" s="79"/>
      <c r="D742" s="79"/>
      <c r="E742" s="79"/>
      <c r="M742" s="79"/>
      <c r="R742" s="79"/>
      <c r="S742" s="79"/>
      <c r="V742" s="79"/>
      <c r="W742" s="79"/>
      <c r="Z742" s="130"/>
      <c r="AB742" s="106"/>
    </row>
    <row r="743">
      <c r="C743" s="79"/>
      <c r="D743" s="79"/>
      <c r="E743" s="79"/>
      <c r="M743" s="79"/>
      <c r="R743" s="79"/>
      <c r="S743" s="79"/>
      <c r="V743" s="79"/>
      <c r="W743" s="79"/>
      <c r="Z743" s="130"/>
      <c r="AB743" s="106"/>
    </row>
    <row r="744">
      <c r="C744" s="79"/>
      <c r="D744" s="79"/>
      <c r="E744" s="79"/>
      <c r="M744" s="79"/>
      <c r="R744" s="79"/>
      <c r="S744" s="79"/>
      <c r="V744" s="79"/>
      <c r="W744" s="79"/>
      <c r="Z744" s="130"/>
      <c r="AB744" s="106"/>
    </row>
    <row r="745">
      <c r="C745" s="79"/>
      <c r="D745" s="79"/>
      <c r="E745" s="79"/>
      <c r="M745" s="79"/>
      <c r="R745" s="79"/>
      <c r="S745" s="79"/>
      <c r="V745" s="79"/>
      <c r="W745" s="79"/>
      <c r="Z745" s="130"/>
      <c r="AB745" s="106"/>
    </row>
    <row r="746">
      <c r="C746" s="79"/>
      <c r="D746" s="79"/>
      <c r="E746" s="79"/>
      <c r="M746" s="79"/>
      <c r="R746" s="79"/>
      <c r="S746" s="79"/>
      <c r="V746" s="79"/>
      <c r="W746" s="79"/>
      <c r="Z746" s="130"/>
      <c r="AB746" s="106"/>
    </row>
    <row r="747">
      <c r="C747" s="79"/>
      <c r="D747" s="79"/>
      <c r="E747" s="79"/>
      <c r="M747" s="79"/>
      <c r="R747" s="79"/>
      <c r="S747" s="79"/>
      <c r="V747" s="79"/>
      <c r="W747" s="79"/>
      <c r="Z747" s="130"/>
      <c r="AB747" s="106"/>
    </row>
    <row r="748">
      <c r="C748" s="79"/>
      <c r="D748" s="79"/>
      <c r="E748" s="79"/>
      <c r="M748" s="79"/>
      <c r="R748" s="79"/>
      <c r="S748" s="79"/>
      <c r="V748" s="79"/>
      <c r="W748" s="79"/>
      <c r="Z748" s="130"/>
      <c r="AB748" s="106"/>
    </row>
    <row r="749">
      <c r="C749" s="79"/>
      <c r="D749" s="79"/>
      <c r="E749" s="79"/>
      <c r="M749" s="79"/>
      <c r="R749" s="79"/>
      <c r="S749" s="79"/>
      <c r="V749" s="79"/>
      <c r="W749" s="79"/>
      <c r="Z749" s="130"/>
      <c r="AB749" s="106"/>
    </row>
    <row r="750">
      <c r="C750" s="79"/>
      <c r="D750" s="79"/>
      <c r="E750" s="79"/>
      <c r="M750" s="79"/>
      <c r="R750" s="79"/>
      <c r="S750" s="79"/>
      <c r="V750" s="79"/>
      <c r="W750" s="79"/>
      <c r="Z750" s="130"/>
      <c r="AB750" s="106"/>
    </row>
    <row r="751">
      <c r="C751" s="79"/>
      <c r="D751" s="79"/>
      <c r="E751" s="79"/>
      <c r="M751" s="79"/>
      <c r="R751" s="79"/>
      <c r="S751" s="79"/>
      <c r="V751" s="79"/>
      <c r="W751" s="79"/>
      <c r="Z751" s="130"/>
      <c r="AB751" s="106"/>
    </row>
    <row r="752">
      <c r="C752" s="79"/>
      <c r="D752" s="79"/>
      <c r="E752" s="79"/>
      <c r="M752" s="79"/>
      <c r="R752" s="79"/>
      <c r="S752" s="79"/>
      <c r="V752" s="79"/>
      <c r="W752" s="79"/>
      <c r="Z752" s="130"/>
      <c r="AB752" s="106"/>
    </row>
    <row r="753">
      <c r="C753" s="79"/>
      <c r="D753" s="79"/>
      <c r="E753" s="79"/>
      <c r="M753" s="79"/>
      <c r="R753" s="79"/>
      <c r="S753" s="79"/>
      <c r="V753" s="79"/>
      <c r="W753" s="79"/>
      <c r="Z753" s="130"/>
      <c r="AB753" s="106"/>
    </row>
    <row r="754">
      <c r="C754" s="79"/>
      <c r="D754" s="79"/>
      <c r="E754" s="79"/>
      <c r="M754" s="79"/>
      <c r="R754" s="79"/>
      <c r="S754" s="79"/>
      <c r="V754" s="79"/>
      <c r="W754" s="79"/>
      <c r="Z754" s="130"/>
      <c r="AB754" s="106"/>
    </row>
    <row r="755">
      <c r="C755" s="79"/>
      <c r="D755" s="79"/>
      <c r="E755" s="79"/>
      <c r="M755" s="79"/>
      <c r="R755" s="79"/>
      <c r="S755" s="79"/>
      <c r="V755" s="79"/>
      <c r="W755" s="79"/>
      <c r="Z755" s="130"/>
      <c r="AB755" s="106"/>
    </row>
    <row r="756">
      <c r="C756" s="79"/>
      <c r="D756" s="79"/>
      <c r="E756" s="79"/>
      <c r="M756" s="79"/>
      <c r="R756" s="79"/>
      <c r="S756" s="79"/>
      <c r="V756" s="79"/>
      <c r="W756" s="79"/>
      <c r="Z756" s="130"/>
      <c r="AB756" s="106"/>
    </row>
    <row r="757">
      <c r="C757" s="79"/>
      <c r="D757" s="79"/>
      <c r="E757" s="79"/>
      <c r="M757" s="79"/>
      <c r="R757" s="79"/>
      <c r="S757" s="79"/>
      <c r="V757" s="79"/>
      <c r="W757" s="79"/>
      <c r="Z757" s="130"/>
      <c r="AB757" s="106"/>
    </row>
    <row r="758">
      <c r="C758" s="79"/>
      <c r="D758" s="79"/>
      <c r="E758" s="79"/>
      <c r="M758" s="79"/>
      <c r="R758" s="79"/>
      <c r="S758" s="79"/>
      <c r="V758" s="79"/>
      <c r="W758" s="79"/>
      <c r="Z758" s="130"/>
      <c r="AB758" s="106"/>
    </row>
    <row r="759">
      <c r="C759" s="79"/>
      <c r="D759" s="79"/>
      <c r="E759" s="79"/>
      <c r="M759" s="79"/>
      <c r="R759" s="79"/>
      <c r="S759" s="79"/>
      <c r="V759" s="79"/>
      <c r="W759" s="79"/>
      <c r="Z759" s="130"/>
      <c r="AB759" s="106"/>
    </row>
    <row r="760">
      <c r="C760" s="79"/>
      <c r="D760" s="79"/>
      <c r="E760" s="79"/>
      <c r="M760" s="79"/>
      <c r="R760" s="79"/>
      <c r="S760" s="79"/>
      <c r="V760" s="79"/>
      <c r="W760" s="79"/>
      <c r="Z760" s="130"/>
      <c r="AB760" s="106"/>
    </row>
    <row r="761">
      <c r="C761" s="79"/>
      <c r="D761" s="79"/>
      <c r="E761" s="79"/>
      <c r="M761" s="79"/>
      <c r="R761" s="79"/>
      <c r="S761" s="79"/>
      <c r="V761" s="79"/>
      <c r="W761" s="79"/>
      <c r="Z761" s="130"/>
      <c r="AB761" s="106"/>
    </row>
    <row r="762">
      <c r="C762" s="79"/>
      <c r="D762" s="79"/>
      <c r="E762" s="79"/>
      <c r="M762" s="79"/>
      <c r="R762" s="79"/>
      <c r="S762" s="79"/>
      <c r="V762" s="79"/>
      <c r="W762" s="79"/>
      <c r="Z762" s="130"/>
      <c r="AB762" s="106"/>
    </row>
    <row r="763">
      <c r="C763" s="79"/>
      <c r="D763" s="79"/>
      <c r="E763" s="79"/>
      <c r="M763" s="79"/>
      <c r="R763" s="79"/>
      <c r="S763" s="79"/>
      <c r="V763" s="79"/>
      <c r="W763" s="79"/>
      <c r="Z763" s="130"/>
      <c r="AB763" s="106"/>
    </row>
    <row r="764">
      <c r="C764" s="79"/>
      <c r="D764" s="79"/>
      <c r="E764" s="79"/>
      <c r="M764" s="79"/>
      <c r="R764" s="79"/>
      <c r="S764" s="79"/>
      <c r="V764" s="79"/>
      <c r="W764" s="79"/>
      <c r="Z764" s="130"/>
      <c r="AB764" s="106"/>
    </row>
    <row r="765">
      <c r="C765" s="79"/>
      <c r="D765" s="79"/>
      <c r="E765" s="79"/>
      <c r="M765" s="79"/>
      <c r="R765" s="79"/>
      <c r="S765" s="79"/>
      <c r="V765" s="79"/>
      <c r="W765" s="79"/>
      <c r="Z765" s="130"/>
      <c r="AB765" s="106"/>
    </row>
    <row r="766">
      <c r="C766" s="79"/>
      <c r="D766" s="79"/>
      <c r="E766" s="79"/>
      <c r="M766" s="79"/>
      <c r="R766" s="79"/>
      <c r="S766" s="79"/>
      <c r="V766" s="79"/>
      <c r="W766" s="79"/>
      <c r="Z766" s="130"/>
      <c r="AB766" s="106"/>
    </row>
    <row r="767">
      <c r="C767" s="79"/>
      <c r="D767" s="79"/>
      <c r="E767" s="79"/>
      <c r="M767" s="79"/>
      <c r="R767" s="79"/>
      <c r="S767" s="79"/>
      <c r="V767" s="79"/>
      <c r="W767" s="79"/>
      <c r="Z767" s="130"/>
      <c r="AB767" s="106"/>
    </row>
    <row r="768">
      <c r="C768" s="79"/>
      <c r="D768" s="79"/>
      <c r="E768" s="79"/>
      <c r="M768" s="79"/>
      <c r="R768" s="79"/>
      <c r="S768" s="79"/>
      <c r="V768" s="79"/>
      <c r="W768" s="79"/>
      <c r="Z768" s="130"/>
      <c r="AB768" s="106"/>
    </row>
    <row r="769">
      <c r="C769" s="79"/>
      <c r="D769" s="79"/>
      <c r="E769" s="79"/>
      <c r="M769" s="79"/>
      <c r="R769" s="79"/>
      <c r="S769" s="79"/>
      <c r="V769" s="79"/>
      <c r="W769" s="79"/>
      <c r="Z769" s="130"/>
      <c r="AB769" s="106"/>
    </row>
    <row r="770">
      <c r="C770" s="79"/>
      <c r="D770" s="79"/>
      <c r="E770" s="79"/>
      <c r="M770" s="79"/>
      <c r="R770" s="79"/>
      <c r="S770" s="79"/>
      <c r="V770" s="79"/>
      <c r="W770" s="79"/>
      <c r="Z770" s="130"/>
      <c r="AB770" s="106"/>
    </row>
    <row r="771">
      <c r="C771" s="79"/>
      <c r="D771" s="79"/>
      <c r="E771" s="79"/>
      <c r="M771" s="79"/>
      <c r="R771" s="79"/>
      <c r="S771" s="79"/>
      <c r="V771" s="79"/>
      <c r="W771" s="79"/>
      <c r="Z771" s="130"/>
      <c r="AB771" s="106"/>
    </row>
    <row r="772">
      <c r="C772" s="79"/>
      <c r="D772" s="79"/>
      <c r="E772" s="79"/>
      <c r="M772" s="79"/>
      <c r="R772" s="79"/>
      <c r="S772" s="79"/>
      <c r="V772" s="79"/>
      <c r="W772" s="79"/>
      <c r="Z772" s="130"/>
      <c r="AB772" s="106"/>
    </row>
    <row r="773">
      <c r="C773" s="79"/>
      <c r="D773" s="79"/>
      <c r="E773" s="79"/>
      <c r="M773" s="79"/>
      <c r="R773" s="79"/>
      <c r="S773" s="79"/>
      <c r="V773" s="79"/>
      <c r="W773" s="79"/>
      <c r="Z773" s="130"/>
      <c r="AB773" s="106"/>
    </row>
    <row r="774">
      <c r="C774" s="79"/>
      <c r="D774" s="79"/>
      <c r="E774" s="79"/>
      <c r="M774" s="79"/>
      <c r="R774" s="79"/>
      <c r="S774" s="79"/>
      <c r="V774" s="79"/>
      <c r="W774" s="79"/>
      <c r="Z774" s="130"/>
      <c r="AB774" s="106"/>
    </row>
    <row r="775">
      <c r="C775" s="79"/>
      <c r="D775" s="79"/>
      <c r="E775" s="79"/>
      <c r="M775" s="79"/>
      <c r="R775" s="79"/>
      <c r="S775" s="79"/>
      <c r="V775" s="79"/>
      <c r="W775" s="79"/>
      <c r="Z775" s="130"/>
      <c r="AB775" s="106"/>
    </row>
    <row r="776">
      <c r="C776" s="79"/>
      <c r="D776" s="79"/>
      <c r="E776" s="79"/>
      <c r="M776" s="79"/>
      <c r="R776" s="79"/>
      <c r="S776" s="79"/>
      <c r="V776" s="79"/>
      <c r="W776" s="79"/>
      <c r="Z776" s="130"/>
      <c r="AB776" s="106"/>
    </row>
    <row r="777">
      <c r="C777" s="79"/>
      <c r="D777" s="79"/>
      <c r="E777" s="79"/>
      <c r="M777" s="79"/>
      <c r="R777" s="79"/>
      <c r="S777" s="79"/>
      <c r="V777" s="79"/>
      <c r="W777" s="79"/>
      <c r="Z777" s="130"/>
      <c r="AB777" s="106"/>
    </row>
    <row r="778">
      <c r="C778" s="79"/>
      <c r="D778" s="79"/>
      <c r="E778" s="79"/>
      <c r="M778" s="79"/>
      <c r="R778" s="79"/>
      <c r="S778" s="79"/>
      <c r="V778" s="79"/>
      <c r="W778" s="79"/>
      <c r="Z778" s="130"/>
      <c r="AB778" s="106"/>
    </row>
    <row r="779">
      <c r="C779" s="79"/>
      <c r="D779" s="79"/>
      <c r="E779" s="79"/>
      <c r="M779" s="79"/>
      <c r="R779" s="79"/>
      <c r="S779" s="79"/>
      <c r="V779" s="79"/>
      <c r="W779" s="79"/>
      <c r="Z779" s="130"/>
      <c r="AB779" s="106"/>
    </row>
    <row r="780">
      <c r="C780" s="79"/>
      <c r="D780" s="79"/>
      <c r="E780" s="79"/>
      <c r="M780" s="79"/>
      <c r="R780" s="79"/>
      <c r="S780" s="79"/>
      <c r="V780" s="79"/>
      <c r="W780" s="79"/>
      <c r="Z780" s="130"/>
      <c r="AB780" s="106"/>
    </row>
    <row r="781">
      <c r="C781" s="79"/>
      <c r="D781" s="79"/>
      <c r="E781" s="79"/>
      <c r="M781" s="79"/>
      <c r="R781" s="79"/>
      <c r="S781" s="79"/>
      <c r="V781" s="79"/>
      <c r="W781" s="79"/>
      <c r="Z781" s="130"/>
      <c r="AB781" s="106"/>
    </row>
    <row r="782">
      <c r="C782" s="79"/>
      <c r="D782" s="79"/>
      <c r="E782" s="79"/>
      <c r="M782" s="79"/>
      <c r="R782" s="79"/>
      <c r="S782" s="79"/>
      <c r="V782" s="79"/>
      <c r="W782" s="79"/>
      <c r="Z782" s="130"/>
      <c r="AB782" s="106"/>
    </row>
    <row r="783">
      <c r="C783" s="79"/>
      <c r="D783" s="79"/>
      <c r="E783" s="79"/>
      <c r="M783" s="79"/>
      <c r="R783" s="79"/>
      <c r="S783" s="79"/>
      <c r="V783" s="79"/>
      <c r="W783" s="79"/>
      <c r="Z783" s="130"/>
      <c r="AB783" s="106"/>
    </row>
    <row r="784">
      <c r="C784" s="79"/>
      <c r="D784" s="79"/>
      <c r="E784" s="79"/>
      <c r="M784" s="79"/>
      <c r="R784" s="79"/>
      <c r="S784" s="79"/>
      <c r="V784" s="79"/>
      <c r="W784" s="79"/>
      <c r="Z784" s="130"/>
      <c r="AB784" s="106"/>
    </row>
    <row r="785">
      <c r="C785" s="79"/>
      <c r="D785" s="79"/>
      <c r="E785" s="79"/>
      <c r="M785" s="79"/>
      <c r="R785" s="79"/>
      <c r="S785" s="79"/>
      <c r="V785" s="79"/>
      <c r="W785" s="79"/>
      <c r="Z785" s="130"/>
      <c r="AB785" s="106"/>
    </row>
    <row r="786">
      <c r="C786" s="79"/>
      <c r="D786" s="79"/>
      <c r="E786" s="79"/>
      <c r="M786" s="79"/>
      <c r="R786" s="79"/>
      <c r="S786" s="79"/>
      <c r="V786" s="79"/>
      <c r="W786" s="79"/>
      <c r="Z786" s="130"/>
      <c r="AB786" s="106"/>
    </row>
    <row r="787">
      <c r="C787" s="79"/>
      <c r="D787" s="79"/>
      <c r="E787" s="79"/>
      <c r="M787" s="79"/>
      <c r="R787" s="79"/>
      <c r="S787" s="79"/>
      <c r="V787" s="79"/>
      <c r="W787" s="79"/>
      <c r="Z787" s="130"/>
      <c r="AB787" s="106"/>
    </row>
    <row r="788">
      <c r="C788" s="79"/>
      <c r="D788" s="79"/>
      <c r="E788" s="79"/>
      <c r="M788" s="79"/>
      <c r="R788" s="79"/>
      <c r="S788" s="79"/>
      <c r="V788" s="79"/>
      <c r="W788" s="79"/>
      <c r="Z788" s="130"/>
      <c r="AB788" s="106"/>
    </row>
    <row r="789">
      <c r="C789" s="79"/>
      <c r="D789" s="79"/>
      <c r="E789" s="79"/>
      <c r="M789" s="79"/>
      <c r="R789" s="79"/>
      <c r="S789" s="79"/>
      <c r="V789" s="79"/>
      <c r="W789" s="79"/>
      <c r="Z789" s="130"/>
      <c r="AB789" s="106"/>
    </row>
    <row r="790">
      <c r="C790" s="79"/>
      <c r="D790" s="79"/>
      <c r="E790" s="79"/>
      <c r="M790" s="79"/>
      <c r="R790" s="79"/>
      <c r="S790" s="79"/>
      <c r="V790" s="79"/>
      <c r="W790" s="79"/>
      <c r="Z790" s="130"/>
      <c r="AB790" s="106"/>
    </row>
    <row r="791">
      <c r="C791" s="79"/>
      <c r="D791" s="79"/>
      <c r="E791" s="79"/>
      <c r="M791" s="79"/>
      <c r="R791" s="79"/>
      <c r="S791" s="79"/>
      <c r="V791" s="79"/>
      <c r="W791" s="79"/>
      <c r="Z791" s="130"/>
      <c r="AB791" s="106"/>
    </row>
    <row r="792">
      <c r="C792" s="79"/>
      <c r="D792" s="79"/>
      <c r="E792" s="79"/>
      <c r="M792" s="79"/>
      <c r="R792" s="79"/>
      <c r="S792" s="79"/>
      <c r="V792" s="79"/>
      <c r="W792" s="79"/>
      <c r="Z792" s="130"/>
      <c r="AB792" s="106"/>
    </row>
    <row r="793">
      <c r="C793" s="79"/>
      <c r="D793" s="79"/>
      <c r="E793" s="79"/>
      <c r="M793" s="79"/>
      <c r="R793" s="79"/>
      <c r="S793" s="79"/>
      <c r="V793" s="79"/>
      <c r="W793" s="79"/>
      <c r="Z793" s="130"/>
      <c r="AB793" s="106"/>
    </row>
    <row r="794">
      <c r="C794" s="79"/>
      <c r="D794" s="79"/>
      <c r="E794" s="79"/>
      <c r="M794" s="79"/>
      <c r="R794" s="79"/>
      <c r="S794" s="79"/>
      <c r="V794" s="79"/>
      <c r="W794" s="79"/>
      <c r="Z794" s="130"/>
      <c r="AB794" s="106"/>
    </row>
    <row r="795">
      <c r="C795" s="79"/>
      <c r="D795" s="79"/>
      <c r="E795" s="79"/>
      <c r="M795" s="79"/>
      <c r="R795" s="79"/>
      <c r="S795" s="79"/>
      <c r="V795" s="79"/>
      <c r="W795" s="79"/>
      <c r="Z795" s="130"/>
      <c r="AB795" s="106"/>
    </row>
    <row r="796">
      <c r="C796" s="79"/>
      <c r="D796" s="79"/>
      <c r="E796" s="79"/>
      <c r="M796" s="79"/>
      <c r="R796" s="79"/>
      <c r="S796" s="79"/>
      <c r="V796" s="79"/>
      <c r="W796" s="79"/>
      <c r="Z796" s="130"/>
      <c r="AB796" s="106"/>
    </row>
    <row r="797">
      <c r="C797" s="79"/>
      <c r="D797" s="79"/>
      <c r="E797" s="79"/>
      <c r="M797" s="79"/>
      <c r="R797" s="79"/>
      <c r="S797" s="79"/>
      <c r="V797" s="79"/>
      <c r="W797" s="79"/>
      <c r="Z797" s="130"/>
      <c r="AB797" s="106"/>
    </row>
    <row r="798">
      <c r="C798" s="79"/>
      <c r="D798" s="79"/>
      <c r="E798" s="79"/>
      <c r="M798" s="79"/>
      <c r="R798" s="79"/>
      <c r="S798" s="79"/>
      <c r="V798" s="79"/>
      <c r="W798" s="79"/>
      <c r="Z798" s="130"/>
      <c r="AB798" s="106"/>
    </row>
    <row r="799">
      <c r="C799" s="79"/>
      <c r="D799" s="79"/>
      <c r="E799" s="79"/>
      <c r="M799" s="79"/>
      <c r="R799" s="79"/>
      <c r="S799" s="79"/>
      <c r="V799" s="79"/>
      <c r="W799" s="79"/>
      <c r="Z799" s="130"/>
      <c r="AB799" s="106"/>
    </row>
    <row r="800">
      <c r="C800" s="79"/>
      <c r="D800" s="79"/>
      <c r="E800" s="79"/>
      <c r="M800" s="79"/>
      <c r="R800" s="79"/>
      <c r="S800" s="79"/>
      <c r="V800" s="79"/>
      <c r="W800" s="79"/>
      <c r="Z800" s="130"/>
      <c r="AB800" s="106"/>
    </row>
    <row r="801">
      <c r="C801" s="79"/>
      <c r="D801" s="79"/>
      <c r="E801" s="79"/>
      <c r="M801" s="79"/>
      <c r="R801" s="79"/>
      <c r="S801" s="79"/>
      <c r="V801" s="79"/>
      <c r="W801" s="79"/>
      <c r="Z801" s="130"/>
      <c r="AB801" s="106"/>
    </row>
    <row r="802">
      <c r="C802" s="79"/>
      <c r="D802" s="79"/>
      <c r="E802" s="79"/>
      <c r="M802" s="79"/>
      <c r="R802" s="79"/>
      <c r="S802" s="79"/>
      <c r="V802" s="79"/>
      <c r="W802" s="79"/>
      <c r="Z802" s="130"/>
      <c r="AB802" s="106"/>
    </row>
    <row r="803">
      <c r="C803" s="79"/>
      <c r="D803" s="79"/>
      <c r="E803" s="79"/>
      <c r="M803" s="79"/>
      <c r="R803" s="79"/>
      <c r="S803" s="79"/>
      <c r="V803" s="79"/>
      <c r="W803" s="79"/>
      <c r="Z803" s="130"/>
      <c r="AB803" s="106"/>
    </row>
    <row r="804">
      <c r="C804" s="79"/>
      <c r="D804" s="79"/>
      <c r="E804" s="79"/>
      <c r="M804" s="79"/>
      <c r="R804" s="79"/>
      <c r="S804" s="79"/>
      <c r="V804" s="79"/>
      <c r="W804" s="79"/>
      <c r="Z804" s="130"/>
      <c r="AB804" s="106"/>
    </row>
    <row r="805">
      <c r="C805" s="79"/>
      <c r="D805" s="79"/>
      <c r="E805" s="79"/>
      <c r="M805" s="79"/>
      <c r="R805" s="79"/>
      <c r="S805" s="79"/>
      <c r="V805" s="79"/>
      <c r="W805" s="79"/>
      <c r="Z805" s="130"/>
      <c r="AB805" s="106"/>
    </row>
    <row r="806">
      <c r="C806" s="79"/>
      <c r="D806" s="79"/>
      <c r="E806" s="79"/>
      <c r="M806" s="79"/>
      <c r="R806" s="79"/>
      <c r="S806" s="79"/>
      <c r="V806" s="79"/>
      <c r="W806" s="79"/>
      <c r="Z806" s="130"/>
      <c r="AB806" s="106"/>
    </row>
    <row r="807">
      <c r="C807" s="79"/>
      <c r="D807" s="79"/>
      <c r="E807" s="79"/>
      <c r="M807" s="79"/>
      <c r="R807" s="79"/>
      <c r="S807" s="79"/>
      <c r="V807" s="79"/>
      <c r="W807" s="79"/>
      <c r="Z807" s="130"/>
      <c r="AB807" s="106"/>
    </row>
    <row r="808">
      <c r="C808" s="79"/>
      <c r="D808" s="79"/>
      <c r="E808" s="79"/>
      <c r="M808" s="79"/>
      <c r="R808" s="79"/>
      <c r="S808" s="79"/>
      <c r="V808" s="79"/>
      <c r="W808" s="79"/>
      <c r="Z808" s="130"/>
      <c r="AB808" s="106"/>
    </row>
    <row r="809">
      <c r="C809" s="79"/>
      <c r="D809" s="79"/>
      <c r="E809" s="79"/>
      <c r="M809" s="79"/>
      <c r="R809" s="79"/>
      <c r="S809" s="79"/>
      <c r="V809" s="79"/>
      <c r="W809" s="79"/>
      <c r="Z809" s="130"/>
      <c r="AB809" s="106"/>
    </row>
    <row r="810">
      <c r="C810" s="79"/>
      <c r="D810" s="79"/>
      <c r="E810" s="79"/>
      <c r="M810" s="79"/>
      <c r="R810" s="79"/>
      <c r="S810" s="79"/>
      <c r="V810" s="79"/>
      <c r="W810" s="79"/>
      <c r="Z810" s="130"/>
      <c r="AB810" s="106"/>
    </row>
    <row r="811">
      <c r="C811" s="79"/>
      <c r="D811" s="79"/>
      <c r="E811" s="79"/>
      <c r="M811" s="79"/>
      <c r="R811" s="79"/>
      <c r="S811" s="79"/>
      <c r="V811" s="79"/>
      <c r="W811" s="79"/>
      <c r="Z811" s="130"/>
      <c r="AB811" s="106"/>
    </row>
    <row r="812">
      <c r="C812" s="79"/>
      <c r="D812" s="79"/>
      <c r="E812" s="79"/>
      <c r="M812" s="79"/>
      <c r="R812" s="79"/>
      <c r="S812" s="79"/>
      <c r="V812" s="79"/>
      <c r="W812" s="79"/>
      <c r="Z812" s="130"/>
      <c r="AB812" s="106"/>
    </row>
    <row r="813">
      <c r="C813" s="79"/>
      <c r="D813" s="79"/>
      <c r="E813" s="79"/>
      <c r="M813" s="79"/>
      <c r="R813" s="79"/>
      <c r="S813" s="79"/>
      <c r="V813" s="79"/>
      <c r="W813" s="79"/>
      <c r="Z813" s="130"/>
      <c r="AB813" s="106"/>
    </row>
    <row r="814">
      <c r="C814" s="79"/>
      <c r="D814" s="79"/>
      <c r="E814" s="79"/>
      <c r="M814" s="79"/>
      <c r="R814" s="79"/>
      <c r="S814" s="79"/>
      <c r="V814" s="79"/>
      <c r="W814" s="79"/>
      <c r="Z814" s="130"/>
      <c r="AB814" s="106"/>
    </row>
    <row r="815">
      <c r="C815" s="79"/>
      <c r="D815" s="79"/>
      <c r="E815" s="79"/>
      <c r="M815" s="79"/>
      <c r="R815" s="79"/>
      <c r="S815" s="79"/>
      <c r="V815" s="79"/>
      <c r="W815" s="79"/>
      <c r="Z815" s="130"/>
      <c r="AB815" s="106"/>
    </row>
    <row r="816">
      <c r="C816" s="79"/>
      <c r="D816" s="79"/>
      <c r="E816" s="79"/>
      <c r="M816" s="79"/>
      <c r="R816" s="79"/>
      <c r="S816" s="79"/>
      <c r="V816" s="79"/>
      <c r="W816" s="79"/>
      <c r="Z816" s="130"/>
      <c r="AB816" s="106"/>
    </row>
    <row r="817">
      <c r="C817" s="79"/>
      <c r="D817" s="79"/>
      <c r="E817" s="79"/>
      <c r="M817" s="79"/>
      <c r="R817" s="79"/>
      <c r="S817" s="79"/>
      <c r="V817" s="79"/>
      <c r="W817" s="79"/>
      <c r="Z817" s="130"/>
      <c r="AB817" s="106"/>
    </row>
    <row r="818">
      <c r="C818" s="79"/>
      <c r="D818" s="79"/>
      <c r="E818" s="79"/>
      <c r="M818" s="79"/>
      <c r="R818" s="79"/>
      <c r="S818" s="79"/>
      <c r="V818" s="79"/>
      <c r="W818" s="79"/>
      <c r="Z818" s="130"/>
      <c r="AB818" s="106"/>
    </row>
    <row r="819">
      <c r="C819" s="79"/>
      <c r="D819" s="79"/>
      <c r="E819" s="79"/>
      <c r="M819" s="79"/>
      <c r="R819" s="79"/>
      <c r="S819" s="79"/>
      <c r="V819" s="79"/>
      <c r="W819" s="79"/>
      <c r="Z819" s="130"/>
      <c r="AB819" s="106"/>
    </row>
    <row r="820">
      <c r="C820" s="79"/>
      <c r="D820" s="79"/>
      <c r="E820" s="79"/>
      <c r="M820" s="79"/>
      <c r="R820" s="79"/>
      <c r="S820" s="79"/>
      <c r="V820" s="79"/>
      <c r="W820" s="79"/>
      <c r="Z820" s="130"/>
      <c r="AB820" s="106"/>
    </row>
    <row r="821">
      <c r="C821" s="79"/>
      <c r="D821" s="79"/>
      <c r="E821" s="79"/>
      <c r="M821" s="79"/>
      <c r="R821" s="79"/>
      <c r="S821" s="79"/>
      <c r="V821" s="79"/>
      <c r="W821" s="79"/>
      <c r="Z821" s="130"/>
      <c r="AB821" s="106"/>
    </row>
    <row r="822">
      <c r="C822" s="79"/>
      <c r="D822" s="79"/>
      <c r="E822" s="79"/>
      <c r="M822" s="79"/>
      <c r="R822" s="79"/>
      <c r="S822" s="79"/>
      <c r="V822" s="79"/>
      <c r="W822" s="79"/>
      <c r="Z822" s="130"/>
      <c r="AB822" s="106"/>
    </row>
    <row r="823">
      <c r="C823" s="79"/>
      <c r="D823" s="79"/>
      <c r="E823" s="79"/>
      <c r="M823" s="79"/>
      <c r="R823" s="79"/>
      <c r="S823" s="79"/>
      <c r="V823" s="79"/>
      <c r="W823" s="79"/>
      <c r="Z823" s="130"/>
      <c r="AB823" s="106"/>
    </row>
    <row r="824">
      <c r="C824" s="79"/>
      <c r="D824" s="79"/>
      <c r="E824" s="79"/>
      <c r="M824" s="79"/>
      <c r="R824" s="79"/>
      <c r="S824" s="79"/>
      <c r="V824" s="79"/>
      <c r="W824" s="79"/>
      <c r="Z824" s="130"/>
      <c r="AB824" s="106"/>
    </row>
    <row r="825">
      <c r="C825" s="79"/>
      <c r="D825" s="79"/>
      <c r="E825" s="79"/>
      <c r="M825" s="79"/>
      <c r="R825" s="79"/>
      <c r="S825" s="79"/>
      <c r="V825" s="79"/>
      <c r="W825" s="79"/>
      <c r="Z825" s="130"/>
      <c r="AB825" s="106"/>
    </row>
    <row r="826">
      <c r="C826" s="79"/>
      <c r="D826" s="79"/>
      <c r="E826" s="79"/>
      <c r="M826" s="79"/>
      <c r="R826" s="79"/>
      <c r="S826" s="79"/>
      <c r="V826" s="79"/>
      <c r="W826" s="79"/>
      <c r="Z826" s="130"/>
      <c r="AB826" s="106"/>
    </row>
    <row r="827">
      <c r="C827" s="79"/>
      <c r="D827" s="79"/>
      <c r="E827" s="79"/>
      <c r="M827" s="79"/>
      <c r="R827" s="79"/>
      <c r="S827" s="79"/>
      <c r="V827" s="79"/>
      <c r="W827" s="79"/>
      <c r="Z827" s="130"/>
      <c r="AB827" s="106"/>
    </row>
    <row r="828">
      <c r="C828" s="79"/>
      <c r="D828" s="79"/>
      <c r="E828" s="79"/>
      <c r="M828" s="79"/>
      <c r="R828" s="79"/>
      <c r="S828" s="79"/>
      <c r="V828" s="79"/>
      <c r="W828" s="79"/>
      <c r="Z828" s="130"/>
      <c r="AB828" s="106"/>
    </row>
    <row r="829">
      <c r="C829" s="79"/>
      <c r="D829" s="79"/>
      <c r="E829" s="79"/>
      <c r="M829" s="79"/>
      <c r="R829" s="79"/>
      <c r="S829" s="79"/>
      <c r="V829" s="79"/>
      <c r="W829" s="79"/>
      <c r="Z829" s="130"/>
      <c r="AB829" s="106"/>
    </row>
    <row r="830">
      <c r="C830" s="79"/>
      <c r="D830" s="79"/>
      <c r="E830" s="79"/>
      <c r="M830" s="79"/>
      <c r="R830" s="79"/>
      <c r="S830" s="79"/>
      <c r="V830" s="79"/>
      <c r="W830" s="79"/>
      <c r="Z830" s="130"/>
      <c r="AB830" s="106"/>
    </row>
    <row r="831">
      <c r="C831" s="79"/>
      <c r="D831" s="79"/>
      <c r="E831" s="79"/>
      <c r="M831" s="79"/>
      <c r="R831" s="79"/>
      <c r="S831" s="79"/>
      <c r="V831" s="79"/>
      <c r="W831" s="79"/>
      <c r="Z831" s="130"/>
      <c r="AB831" s="106"/>
    </row>
    <row r="832">
      <c r="C832" s="79"/>
      <c r="D832" s="79"/>
      <c r="E832" s="79"/>
      <c r="M832" s="79"/>
      <c r="R832" s="79"/>
      <c r="S832" s="79"/>
      <c r="V832" s="79"/>
      <c r="W832" s="79"/>
      <c r="Z832" s="130"/>
      <c r="AB832" s="106"/>
    </row>
    <row r="833">
      <c r="C833" s="79"/>
      <c r="D833" s="79"/>
      <c r="E833" s="79"/>
      <c r="M833" s="79"/>
      <c r="R833" s="79"/>
      <c r="S833" s="79"/>
      <c r="V833" s="79"/>
      <c r="W833" s="79"/>
      <c r="Z833" s="130"/>
      <c r="AB833" s="106"/>
    </row>
    <row r="834">
      <c r="C834" s="79"/>
      <c r="D834" s="79"/>
      <c r="E834" s="79"/>
      <c r="M834" s="79"/>
      <c r="R834" s="79"/>
      <c r="S834" s="79"/>
      <c r="V834" s="79"/>
      <c r="W834" s="79"/>
      <c r="Z834" s="130"/>
      <c r="AB834" s="106"/>
    </row>
    <row r="835">
      <c r="C835" s="79"/>
      <c r="D835" s="79"/>
      <c r="E835" s="79"/>
      <c r="M835" s="79"/>
      <c r="R835" s="79"/>
      <c r="S835" s="79"/>
      <c r="V835" s="79"/>
      <c r="W835" s="79"/>
      <c r="Z835" s="130"/>
      <c r="AB835" s="106"/>
    </row>
    <row r="836">
      <c r="C836" s="79"/>
      <c r="D836" s="79"/>
      <c r="E836" s="79"/>
      <c r="M836" s="79"/>
      <c r="R836" s="79"/>
      <c r="S836" s="79"/>
      <c r="V836" s="79"/>
      <c r="W836" s="79"/>
      <c r="Z836" s="130"/>
      <c r="AB836" s="106"/>
    </row>
    <row r="837">
      <c r="C837" s="79"/>
      <c r="D837" s="79"/>
      <c r="E837" s="79"/>
      <c r="M837" s="79"/>
      <c r="R837" s="79"/>
      <c r="S837" s="79"/>
      <c r="V837" s="79"/>
      <c r="W837" s="79"/>
      <c r="Z837" s="130"/>
      <c r="AB837" s="106"/>
    </row>
    <row r="838">
      <c r="C838" s="79"/>
      <c r="D838" s="79"/>
      <c r="E838" s="79"/>
      <c r="M838" s="79"/>
      <c r="R838" s="79"/>
      <c r="S838" s="79"/>
      <c r="V838" s="79"/>
      <c r="W838" s="79"/>
      <c r="Z838" s="130"/>
      <c r="AB838" s="106"/>
    </row>
    <row r="839">
      <c r="C839" s="79"/>
      <c r="D839" s="79"/>
      <c r="E839" s="79"/>
      <c r="M839" s="79"/>
      <c r="R839" s="79"/>
      <c r="S839" s="79"/>
      <c r="V839" s="79"/>
      <c r="W839" s="79"/>
      <c r="Z839" s="130"/>
      <c r="AB839" s="106"/>
    </row>
    <row r="840">
      <c r="C840" s="79"/>
      <c r="D840" s="79"/>
      <c r="E840" s="79"/>
      <c r="M840" s="79"/>
      <c r="R840" s="79"/>
      <c r="S840" s="79"/>
      <c r="V840" s="79"/>
      <c r="W840" s="79"/>
      <c r="Z840" s="130"/>
      <c r="AB840" s="106"/>
    </row>
    <row r="841">
      <c r="C841" s="79"/>
      <c r="D841" s="79"/>
      <c r="E841" s="79"/>
      <c r="M841" s="79"/>
      <c r="R841" s="79"/>
      <c r="S841" s="79"/>
      <c r="V841" s="79"/>
      <c r="W841" s="79"/>
      <c r="Z841" s="130"/>
      <c r="AB841" s="106"/>
    </row>
    <row r="842">
      <c r="C842" s="79"/>
      <c r="D842" s="79"/>
      <c r="E842" s="79"/>
      <c r="M842" s="79"/>
      <c r="R842" s="79"/>
      <c r="S842" s="79"/>
      <c r="V842" s="79"/>
      <c r="W842" s="79"/>
      <c r="Z842" s="130"/>
      <c r="AB842" s="106"/>
    </row>
    <row r="843">
      <c r="C843" s="79"/>
      <c r="D843" s="79"/>
      <c r="E843" s="79"/>
      <c r="M843" s="79"/>
      <c r="R843" s="79"/>
      <c r="S843" s="79"/>
      <c r="V843" s="79"/>
      <c r="W843" s="79"/>
      <c r="Z843" s="130"/>
      <c r="AB843" s="106"/>
    </row>
    <row r="844">
      <c r="C844" s="79"/>
      <c r="D844" s="79"/>
      <c r="E844" s="79"/>
      <c r="M844" s="79"/>
      <c r="R844" s="79"/>
      <c r="S844" s="79"/>
      <c r="V844" s="79"/>
      <c r="W844" s="79"/>
      <c r="Z844" s="130"/>
      <c r="AB844" s="106"/>
    </row>
    <row r="845">
      <c r="C845" s="79"/>
      <c r="D845" s="79"/>
      <c r="E845" s="79"/>
      <c r="M845" s="79"/>
      <c r="R845" s="79"/>
      <c r="S845" s="79"/>
      <c r="V845" s="79"/>
      <c r="W845" s="79"/>
      <c r="Z845" s="130"/>
      <c r="AB845" s="106"/>
    </row>
    <row r="846">
      <c r="C846" s="79"/>
      <c r="D846" s="79"/>
      <c r="E846" s="79"/>
      <c r="M846" s="79"/>
      <c r="R846" s="79"/>
      <c r="S846" s="79"/>
      <c r="V846" s="79"/>
      <c r="W846" s="79"/>
      <c r="Z846" s="130"/>
      <c r="AB846" s="106"/>
    </row>
    <row r="847">
      <c r="C847" s="79"/>
      <c r="D847" s="79"/>
      <c r="E847" s="79"/>
      <c r="M847" s="79"/>
      <c r="R847" s="79"/>
      <c r="S847" s="79"/>
      <c r="V847" s="79"/>
      <c r="W847" s="79"/>
      <c r="Z847" s="130"/>
      <c r="AB847" s="106"/>
    </row>
    <row r="848">
      <c r="C848" s="79"/>
      <c r="D848" s="79"/>
      <c r="E848" s="79"/>
      <c r="M848" s="79"/>
      <c r="R848" s="79"/>
      <c r="S848" s="79"/>
      <c r="V848" s="79"/>
      <c r="W848" s="79"/>
      <c r="Z848" s="130"/>
      <c r="AB848" s="106"/>
    </row>
    <row r="849">
      <c r="C849" s="79"/>
      <c r="D849" s="79"/>
      <c r="E849" s="79"/>
      <c r="M849" s="79"/>
      <c r="R849" s="79"/>
      <c r="S849" s="79"/>
      <c r="V849" s="79"/>
      <c r="W849" s="79"/>
      <c r="Z849" s="130"/>
      <c r="AB849" s="106"/>
    </row>
    <row r="850">
      <c r="C850" s="79"/>
      <c r="D850" s="79"/>
      <c r="E850" s="79"/>
      <c r="M850" s="79"/>
      <c r="R850" s="79"/>
      <c r="S850" s="79"/>
      <c r="V850" s="79"/>
      <c r="W850" s="79"/>
      <c r="Z850" s="130"/>
      <c r="AB850" s="106"/>
    </row>
    <row r="851">
      <c r="C851" s="79"/>
      <c r="D851" s="79"/>
      <c r="E851" s="79"/>
      <c r="M851" s="79"/>
      <c r="R851" s="79"/>
      <c r="S851" s="79"/>
      <c r="V851" s="79"/>
      <c r="W851" s="79"/>
      <c r="Z851" s="130"/>
      <c r="AB851" s="106"/>
    </row>
    <row r="852">
      <c r="C852" s="79"/>
      <c r="D852" s="79"/>
      <c r="E852" s="79"/>
      <c r="M852" s="79"/>
      <c r="R852" s="79"/>
      <c r="S852" s="79"/>
      <c r="V852" s="79"/>
      <c r="W852" s="79"/>
      <c r="Z852" s="130"/>
      <c r="AB852" s="106"/>
    </row>
    <row r="853">
      <c r="C853" s="79"/>
      <c r="D853" s="79"/>
      <c r="E853" s="79"/>
      <c r="M853" s="79"/>
      <c r="R853" s="79"/>
      <c r="S853" s="79"/>
      <c r="V853" s="79"/>
      <c r="W853" s="79"/>
      <c r="Z853" s="130"/>
      <c r="AB853" s="106"/>
    </row>
    <row r="854">
      <c r="C854" s="79"/>
      <c r="D854" s="79"/>
      <c r="E854" s="79"/>
      <c r="M854" s="79"/>
      <c r="R854" s="79"/>
      <c r="S854" s="79"/>
      <c r="V854" s="79"/>
      <c r="W854" s="79"/>
      <c r="Z854" s="130"/>
      <c r="AB854" s="106"/>
    </row>
    <row r="855">
      <c r="C855" s="79"/>
      <c r="D855" s="79"/>
      <c r="E855" s="79"/>
      <c r="M855" s="79"/>
      <c r="R855" s="79"/>
      <c r="S855" s="79"/>
      <c r="V855" s="79"/>
      <c r="W855" s="79"/>
      <c r="Z855" s="130"/>
      <c r="AB855" s="106"/>
    </row>
    <row r="856">
      <c r="C856" s="79"/>
      <c r="D856" s="79"/>
      <c r="E856" s="79"/>
      <c r="M856" s="79"/>
      <c r="R856" s="79"/>
      <c r="S856" s="79"/>
      <c r="V856" s="79"/>
      <c r="W856" s="79"/>
      <c r="Z856" s="130"/>
      <c r="AB856" s="106"/>
    </row>
    <row r="857">
      <c r="C857" s="79"/>
      <c r="D857" s="79"/>
      <c r="E857" s="79"/>
      <c r="M857" s="79"/>
      <c r="R857" s="79"/>
      <c r="S857" s="79"/>
      <c r="V857" s="79"/>
      <c r="W857" s="79"/>
      <c r="Z857" s="130"/>
      <c r="AB857" s="106"/>
    </row>
    <row r="858">
      <c r="C858" s="79"/>
      <c r="D858" s="79"/>
      <c r="E858" s="79"/>
      <c r="M858" s="79"/>
      <c r="R858" s="79"/>
      <c r="S858" s="79"/>
      <c r="V858" s="79"/>
      <c r="W858" s="79"/>
      <c r="Z858" s="130"/>
      <c r="AB858" s="106"/>
    </row>
    <row r="859">
      <c r="C859" s="79"/>
      <c r="D859" s="79"/>
      <c r="E859" s="79"/>
      <c r="M859" s="79"/>
      <c r="R859" s="79"/>
      <c r="S859" s="79"/>
      <c r="V859" s="79"/>
      <c r="W859" s="79"/>
      <c r="Z859" s="130"/>
      <c r="AB859" s="106"/>
    </row>
    <row r="860">
      <c r="C860" s="79"/>
      <c r="D860" s="79"/>
      <c r="E860" s="79"/>
      <c r="M860" s="79"/>
      <c r="R860" s="79"/>
      <c r="S860" s="79"/>
      <c r="V860" s="79"/>
      <c r="W860" s="79"/>
      <c r="Z860" s="130"/>
      <c r="AB860" s="106"/>
    </row>
    <row r="861">
      <c r="C861" s="79"/>
      <c r="D861" s="79"/>
      <c r="E861" s="79"/>
      <c r="M861" s="79"/>
      <c r="R861" s="79"/>
      <c r="S861" s="79"/>
      <c r="V861" s="79"/>
      <c r="W861" s="79"/>
      <c r="Z861" s="130"/>
      <c r="AB861" s="106"/>
    </row>
    <row r="862">
      <c r="C862" s="79"/>
      <c r="D862" s="79"/>
      <c r="E862" s="79"/>
      <c r="M862" s="79"/>
      <c r="R862" s="79"/>
      <c r="S862" s="79"/>
      <c r="V862" s="79"/>
      <c r="W862" s="79"/>
      <c r="Z862" s="130"/>
      <c r="AB862" s="106"/>
    </row>
    <row r="863">
      <c r="C863" s="79"/>
      <c r="D863" s="79"/>
      <c r="E863" s="79"/>
      <c r="M863" s="79"/>
      <c r="R863" s="79"/>
      <c r="S863" s="79"/>
      <c r="V863" s="79"/>
      <c r="W863" s="79"/>
      <c r="Z863" s="130"/>
      <c r="AB863" s="106"/>
    </row>
    <row r="864">
      <c r="C864" s="79"/>
      <c r="D864" s="79"/>
      <c r="E864" s="79"/>
      <c r="M864" s="79"/>
      <c r="R864" s="79"/>
      <c r="S864" s="79"/>
      <c r="V864" s="79"/>
      <c r="W864" s="79"/>
      <c r="Z864" s="130"/>
      <c r="AB864" s="106"/>
    </row>
    <row r="865">
      <c r="C865" s="79"/>
      <c r="D865" s="79"/>
      <c r="E865" s="79"/>
      <c r="M865" s="79"/>
      <c r="R865" s="79"/>
      <c r="S865" s="79"/>
      <c r="V865" s="79"/>
      <c r="W865" s="79"/>
      <c r="Z865" s="130"/>
      <c r="AB865" s="106"/>
    </row>
    <row r="866">
      <c r="C866" s="79"/>
      <c r="D866" s="79"/>
      <c r="E866" s="79"/>
      <c r="M866" s="79"/>
      <c r="R866" s="79"/>
      <c r="S866" s="79"/>
      <c r="V866" s="79"/>
      <c r="W866" s="79"/>
      <c r="Z866" s="130"/>
      <c r="AB866" s="106"/>
    </row>
    <row r="867">
      <c r="C867" s="79"/>
      <c r="D867" s="79"/>
      <c r="E867" s="79"/>
      <c r="M867" s="79"/>
      <c r="R867" s="79"/>
      <c r="S867" s="79"/>
      <c r="V867" s="79"/>
      <c r="W867" s="79"/>
      <c r="Z867" s="130"/>
      <c r="AB867" s="106"/>
    </row>
    <row r="868">
      <c r="C868" s="79"/>
      <c r="D868" s="79"/>
      <c r="E868" s="79"/>
      <c r="M868" s="79"/>
      <c r="R868" s="79"/>
      <c r="S868" s="79"/>
      <c r="V868" s="79"/>
      <c r="W868" s="79"/>
      <c r="Z868" s="130"/>
      <c r="AB868" s="106"/>
    </row>
    <row r="869">
      <c r="C869" s="79"/>
      <c r="D869" s="79"/>
      <c r="E869" s="79"/>
      <c r="M869" s="79"/>
      <c r="R869" s="79"/>
      <c r="S869" s="79"/>
      <c r="V869" s="79"/>
      <c r="W869" s="79"/>
      <c r="Z869" s="130"/>
      <c r="AB869" s="106"/>
    </row>
    <row r="870">
      <c r="C870" s="79"/>
      <c r="D870" s="79"/>
      <c r="E870" s="79"/>
      <c r="M870" s="79"/>
      <c r="R870" s="79"/>
      <c r="S870" s="79"/>
      <c r="V870" s="79"/>
      <c r="W870" s="79"/>
      <c r="Z870" s="130"/>
      <c r="AB870" s="106"/>
    </row>
    <row r="871">
      <c r="C871" s="79"/>
      <c r="D871" s="79"/>
      <c r="E871" s="79"/>
      <c r="M871" s="79"/>
      <c r="R871" s="79"/>
      <c r="S871" s="79"/>
      <c r="V871" s="79"/>
      <c r="W871" s="79"/>
      <c r="Z871" s="130"/>
      <c r="AB871" s="106"/>
    </row>
    <row r="872">
      <c r="C872" s="79"/>
      <c r="D872" s="79"/>
      <c r="E872" s="79"/>
      <c r="M872" s="79"/>
      <c r="R872" s="79"/>
      <c r="S872" s="79"/>
      <c r="V872" s="79"/>
      <c r="W872" s="79"/>
      <c r="Z872" s="130"/>
      <c r="AB872" s="106"/>
    </row>
    <row r="873">
      <c r="C873" s="79"/>
      <c r="D873" s="79"/>
      <c r="E873" s="79"/>
      <c r="M873" s="79"/>
      <c r="R873" s="79"/>
      <c r="S873" s="79"/>
      <c r="V873" s="79"/>
      <c r="W873" s="79"/>
      <c r="Z873" s="130"/>
      <c r="AB873" s="106"/>
    </row>
    <row r="874">
      <c r="C874" s="79"/>
      <c r="D874" s="79"/>
      <c r="E874" s="79"/>
      <c r="M874" s="79"/>
      <c r="R874" s="79"/>
      <c r="S874" s="79"/>
      <c r="V874" s="79"/>
      <c r="W874" s="79"/>
      <c r="Z874" s="130"/>
      <c r="AB874" s="106"/>
    </row>
    <row r="875">
      <c r="C875" s="79"/>
      <c r="D875" s="79"/>
      <c r="E875" s="79"/>
      <c r="M875" s="79"/>
      <c r="R875" s="79"/>
      <c r="S875" s="79"/>
      <c r="V875" s="79"/>
      <c r="W875" s="79"/>
      <c r="Z875" s="130"/>
      <c r="AB875" s="106"/>
    </row>
    <row r="876">
      <c r="C876" s="79"/>
      <c r="D876" s="79"/>
      <c r="E876" s="79"/>
      <c r="M876" s="79"/>
      <c r="R876" s="79"/>
      <c r="S876" s="79"/>
      <c r="V876" s="79"/>
      <c r="W876" s="79"/>
      <c r="Z876" s="130"/>
      <c r="AB876" s="106"/>
    </row>
    <row r="877">
      <c r="C877" s="79"/>
      <c r="D877" s="79"/>
      <c r="E877" s="79"/>
      <c r="M877" s="79"/>
      <c r="R877" s="79"/>
      <c r="S877" s="79"/>
      <c r="V877" s="79"/>
      <c r="W877" s="79"/>
      <c r="Z877" s="130"/>
      <c r="AB877" s="106"/>
    </row>
    <row r="878">
      <c r="C878" s="79"/>
      <c r="D878" s="79"/>
      <c r="E878" s="79"/>
      <c r="M878" s="79"/>
      <c r="R878" s="79"/>
      <c r="S878" s="79"/>
      <c r="V878" s="79"/>
      <c r="W878" s="79"/>
      <c r="Z878" s="130"/>
      <c r="AB878" s="106"/>
    </row>
    <row r="879">
      <c r="C879" s="79"/>
      <c r="D879" s="79"/>
      <c r="E879" s="79"/>
      <c r="M879" s="79"/>
      <c r="R879" s="79"/>
      <c r="S879" s="79"/>
      <c r="V879" s="79"/>
      <c r="W879" s="79"/>
      <c r="Z879" s="130"/>
      <c r="AB879" s="106"/>
    </row>
    <row r="880">
      <c r="C880" s="79"/>
      <c r="D880" s="79"/>
      <c r="E880" s="79"/>
      <c r="M880" s="79"/>
      <c r="R880" s="79"/>
      <c r="S880" s="79"/>
      <c r="V880" s="79"/>
      <c r="W880" s="79"/>
      <c r="Z880" s="130"/>
      <c r="AB880" s="106"/>
    </row>
    <row r="881">
      <c r="C881" s="79"/>
      <c r="D881" s="79"/>
      <c r="E881" s="79"/>
      <c r="M881" s="79"/>
      <c r="R881" s="79"/>
      <c r="S881" s="79"/>
      <c r="V881" s="79"/>
      <c r="W881" s="79"/>
      <c r="Z881" s="130"/>
      <c r="AB881" s="106"/>
    </row>
    <row r="882">
      <c r="C882" s="79"/>
      <c r="D882" s="79"/>
      <c r="E882" s="79"/>
      <c r="M882" s="79"/>
      <c r="R882" s="79"/>
      <c r="S882" s="79"/>
      <c r="V882" s="79"/>
      <c r="W882" s="79"/>
      <c r="Z882" s="130"/>
      <c r="AB882" s="106"/>
    </row>
    <row r="883">
      <c r="C883" s="79"/>
      <c r="D883" s="79"/>
      <c r="E883" s="79"/>
      <c r="M883" s="79"/>
      <c r="R883" s="79"/>
      <c r="S883" s="79"/>
      <c r="V883" s="79"/>
      <c r="W883" s="79"/>
      <c r="Z883" s="130"/>
      <c r="AB883" s="106"/>
    </row>
    <row r="884">
      <c r="C884" s="79"/>
      <c r="D884" s="79"/>
      <c r="E884" s="79"/>
      <c r="M884" s="79"/>
      <c r="R884" s="79"/>
      <c r="S884" s="79"/>
      <c r="V884" s="79"/>
      <c r="W884" s="79"/>
      <c r="Z884" s="130"/>
      <c r="AB884" s="106"/>
    </row>
    <row r="885">
      <c r="C885" s="79"/>
      <c r="D885" s="79"/>
      <c r="E885" s="79"/>
      <c r="M885" s="79"/>
      <c r="R885" s="79"/>
      <c r="S885" s="79"/>
      <c r="V885" s="79"/>
      <c r="W885" s="79"/>
      <c r="Z885" s="130"/>
      <c r="AB885" s="106"/>
    </row>
    <row r="886">
      <c r="C886" s="79"/>
      <c r="D886" s="79"/>
      <c r="E886" s="79"/>
      <c r="M886" s="79"/>
      <c r="R886" s="79"/>
      <c r="S886" s="79"/>
      <c r="V886" s="79"/>
      <c r="W886" s="79"/>
      <c r="Z886" s="130"/>
      <c r="AB886" s="106"/>
    </row>
    <row r="887">
      <c r="C887" s="79"/>
      <c r="D887" s="79"/>
      <c r="E887" s="79"/>
      <c r="M887" s="79"/>
      <c r="R887" s="79"/>
      <c r="S887" s="79"/>
      <c r="V887" s="79"/>
      <c r="W887" s="79"/>
      <c r="Z887" s="130"/>
      <c r="AB887" s="106"/>
    </row>
    <row r="888">
      <c r="C888" s="79"/>
      <c r="D888" s="79"/>
      <c r="E888" s="79"/>
      <c r="M888" s="79"/>
      <c r="R888" s="79"/>
      <c r="S888" s="79"/>
      <c r="V888" s="79"/>
      <c r="W888" s="79"/>
      <c r="Z888" s="130"/>
      <c r="AB888" s="106"/>
    </row>
    <row r="889">
      <c r="C889" s="79"/>
      <c r="D889" s="79"/>
      <c r="E889" s="79"/>
      <c r="M889" s="79"/>
      <c r="R889" s="79"/>
      <c r="S889" s="79"/>
      <c r="V889" s="79"/>
      <c r="W889" s="79"/>
      <c r="Z889" s="130"/>
      <c r="AB889" s="106"/>
    </row>
    <row r="890">
      <c r="C890" s="79"/>
      <c r="D890" s="79"/>
      <c r="E890" s="79"/>
      <c r="M890" s="79"/>
      <c r="R890" s="79"/>
      <c r="S890" s="79"/>
      <c r="V890" s="79"/>
      <c r="W890" s="79"/>
      <c r="Z890" s="130"/>
      <c r="AB890" s="106"/>
    </row>
    <row r="891">
      <c r="C891" s="79"/>
      <c r="D891" s="79"/>
      <c r="E891" s="79"/>
      <c r="M891" s="79"/>
      <c r="R891" s="79"/>
      <c r="S891" s="79"/>
      <c r="V891" s="79"/>
      <c r="W891" s="79"/>
      <c r="Z891" s="130"/>
      <c r="AB891" s="106"/>
    </row>
    <row r="892">
      <c r="C892" s="79"/>
      <c r="D892" s="79"/>
      <c r="E892" s="79"/>
      <c r="M892" s="79"/>
      <c r="R892" s="79"/>
      <c r="S892" s="79"/>
      <c r="V892" s="79"/>
      <c r="W892" s="79"/>
      <c r="Z892" s="130"/>
      <c r="AB892" s="106"/>
    </row>
    <row r="893">
      <c r="C893" s="79"/>
      <c r="D893" s="79"/>
      <c r="E893" s="79"/>
      <c r="M893" s="79"/>
      <c r="R893" s="79"/>
      <c r="S893" s="79"/>
      <c r="V893" s="79"/>
      <c r="W893" s="79"/>
      <c r="Z893" s="130"/>
      <c r="AB893" s="106"/>
    </row>
    <row r="894">
      <c r="C894" s="79"/>
      <c r="D894" s="79"/>
      <c r="E894" s="79"/>
      <c r="M894" s="79"/>
      <c r="R894" s="79"/>
      <c r="S894" s="79"/>
      <c r="V894" s="79"/>
      <c r="W894" s="79"/>
      <c r="Z894" s="130"/>
      <c r="AB894" s="106"/>
    </row>
    <row r="895">
      <c r="C895" s="79"/>
      <c r="D895" s="79"/>
      <c r="E895" s="79"/>
      <c r="M895" s="79"/>
      <c r="R895" s="79"/>
      <c r="S895" s="79"/>
      <c r="V895" s="79"/>
      <c r="W895" s="79"/>
      <c r="Z895" s="130"/>
      <c r="AB895" s="106"/>
    </row>
    <row r="896">
      <c r="C896" s="79"/>
      <c r="D896" s="79"/>
      <c r="E896" s="79"/>
      <c r="M896" s="79"/>
      <c r="R896" s="79"/>
      <c r="S896" s="79"/>
      <c r="V896" s="79"/>
      <c r="W896" s="79"/>
      <c r="Z896" s="130"/>
      <c r="AB896" s="106"/>
    </row>
    <row r="897">
      <c r="C897" s="79"/>
      <c r="D897" s="79"/>
      <c r="E897" s="79"/>
      <c r="M897" s="79"/>
      <c r="R897" s="79"/>
      <c r="S897" s="79"/>
      <c r="V897" s="79"/>
      <c r="W897" s="79"/>
      <c r="Z897" s="130"/>
      <c r="AB897" s="106"/>
    </row>
    <row r="898">
      <c r="C898" s="79"/>
      <c r="D898" s="79"/>
      <c r="E898" s="79"/>
      <c r="M898" s="79"/>
      <c r="R898" s="79"/>
      <c r="S898" s="79"/>
      <c r="V898" s="79"/>
      <c r="W898" s="79"/>
      <c r="Z898" s="130"/>
      <c r="AB898" s="106"/>
    </row>
    <row r="899">
      <c r="C899" s="79"/>
      <c r="D899" s="79"/>
      <c r="E899" s="79"/>
      <c r="M899" s="79"/>
      <c r="R899" s="79"/>
      <c r="S899" s="79"/>
      <c r="V899" s="79"/>
      <c r="W899" s="79"/>
      <c r="Z899" s="130"/>
      <c r="AB899" s="106"/>
    </row>
    <row r="900">
      <c r="C900" s="79"/>
      <c r="D900" s="79"/>
      <c r="E900" s="79"/>
      <c r="M900" s="79"/>
      <c r="R900" s="79"/>
      <c r="S900" s="79"/>
      <c r="V900" s="79"/>
      <c r="W900" s="79"/>
      <c r="Z900" s="130"/>
      <c r="AB900" s="106"/>
    </row>
    <row r="901">
      <c r="C901" s="79"/>
      <c r="D901" s="79"/>
      <c r="E901" s="79"/>
      <c r="M901" s="79"/>
      <c r="R901" s="79"/>
      <c r="S901" s="79"/>
      <c r="V901" s="79"/>
      <c r="W901" s="79"/>
      <c r="Z901" s="130"/>
      <c r="AB901" s="106"/>
    </row>
    <row r="902">
      <c r="C902" s="79"/>
      <c r="D902" s="79"/>
      <c r="E902" s="79"/>
      <c r="M902" s="79"/>
      <c r="R902" s="79"/>
      <c r="S902" s="79"/>
      <c r="V902" s="79"/>
      <c r="W902" s="79"/>
      <c r="Z902" s="130"/>
      <c r="AB902" s="106"/>
    </row>
    <row r="903">
      <c r="C903" s="79"/>
      <c r="D903" s="79"/>
      <c r="E903" s="79"/>
      <c r="M903" s="79"/>
      <c r="R903" s="79"/>
      <c r="S903" s="79"/>
      <c r="V903" s="79"/>
      <c r="W903" s="79"/>
      <c r="Z903" s="130"/>
      <c r="AB903" s="106"/>
    </row>
    <row r="904">
      <c r="C904" s="79"/>
      <c r="D904" s="79"/>
      <c r="E904" s="79"/>
      <c r="M904" s="79"/>
      <c r="R904" s="79"/>
      <c r="S904" s="79"/>
      <c r="V904" s="79"/>
      <c r="W904" s="79"/>
      <c r="Z904" s="130"/>
      <c r="AB904" s="106"/>
    </row>
    <row r="905">
      <c r="C905" s="79"/>
      <c r="D905" s="79"/>
      <c r="E905" s="79"/>
      <c r="M905" s="79"/>
      <c r="R905" s="79"/>
      <c r="S905" s="79"/>
      <c r="V905" s="79"/>
      <c r="W905" s="79"/>
      <c r="Z905" s="130"/>
      <c r="AB905" s="106"/>
    </row>
    <row r="906">
      <c r="C906" s="79"/>
      <c r="D906" s="79"/>
      <c r="E906" s="79"/>
      <c r="M906" s="79"/>
      <c r="R906" s="79"/>
      <c r="S906" s="79"/>
      <c r="V906" s="79"/>
      <c r="W906" s="79"/>
      <c r="Z906" s="130"/>
      <c r="AB906" s="106"/>
    </row>
    <row r="907">
      <c r="C907" s="79"/>
      <c r="D907" s="79"/>
      <c r="E907" s="79"/>
      <c r="M907" s="79"/>
      <c r="R907" s="79"/>
      <c r="S907" s="79"/>
      <c r="V907" s="79"/>
      <c r="W907" s="79"/>
      <c r="Z907" s="130"/>
      <c r="AB907" s="106"/>
    </row>
    <row r="908">
      <c r="C908" s="79"/>
      <c r="D908" s="79"/>
      <c r="E908" s="79"/>
      <c r="M908" s="79"/>
      <c r="R908" s="79"/>
      <c r="S908" s="79"/>
      <c r="V908" s="79"/>
      <c r="W908" s="79"/>
      <c r="Z908" s="130"/>
      <c r="AB908" s="106"/>
    </row>
    <row r="909">
      <c r="C909" s="79"/>
      <c r="D909" s="79"/>
      <c r="E909" s="79"/>
      <c r="M909" s="79"/>
      <c r="R909" s="79"/>
      <c r="S909" s="79"/>
      <c r="V909" s="79"/>
      <c r="W909" s="79"/>
      <c r="Z909" s="130"/>
      <c r="AB909" s="106"/>
    </row>
    <row r="910">
      <c r="C910" s="79"/>
      <c r="D910" s="79"/>
      <c r="E910" s="79"/>
      <c r="M910" s="79"/>
      <c r="R910" s="79"/>
      <c r="S910" s="79"/>
      <c r="V910" s="79"/>
      <c r="W910" s="79"/>
      <c r="Z910" s="130"/>
      <c r="AB910" s="106"/>
    </row>
    <row r="911">
      <c r="C911" s="79"/>
      <c r="D911" s="79"/>
      <c r="E911" s="79"/>
      <c r="M911" s="79"/>
      <c r="R911" s="79"/>
      <c r="S911" s="79"/>
      <c r="V911" s="79"/>
      <c r="W911" s="79"/>
      <c r="Z911" s="130"/>
      <c r="AB911" s="106"/>
    </row>
    <row r="912">
      <c r="C912" s="79"/>
      <c r="D912" s="79"/>
      <c r="E912" s="79"/>
      <c r="M912" s="79"/>
      <c r="R912" s="79"/>
      <c r="S912" s="79"/>
      <c r="V912" s="79"/>
      <c r="W912" s="79"/>
      <c r="Z912" s="130"/>
      <c r="AB912" s="106"/>
    </row>
    <row r="913">
      <c r="C913" s="79"/>
      <c r="D913" s="79"/>
      <c r="E913" s="79"/>
      <c r="M913" s="79"/>
      <c r="R913" s="79"/>
      <c r="S913" s="79"/>
      <c r="V913" s="79"/>
      <c r="W913" s="79"/>
      <c r="Z913" s="130"/>
      <c r="AB913" s="106"/>
    </row>
    <row r="914">
      <c r="C914" s="79"/>
      <c r="D914" s="79"/>
      <c r="E914" s="79"/>
      <c r="M914" s="79"/>
      <c r="R914" s="79"/>
      <c r="S914" s="79"/>
      <c r="V914" s="79"/>
      <c r="W914" s="79"/>
      <c r="Z914" s="130"/>
      <c r="AB914" s="106"/>
    </row>
    <row r="915">
      <c r="C915" s="79"/>
      <c r="D915" s="79"/>
      <c r="E915" s="79"/>
      <c r="M915" s="79"/>
      <c r="R915" s="79"/>
      <c r="S915" s="79"/>
      <c r="V915" s="79"/>
      <c r="W915" s="79"/>
      <c r="Z915" s="130"/>
      <c r="AB915" s="106"/>
    </row>
    <row r="916">
      <c r="C916" s="79"/>
      <c r="D916" s="79"/>
      <c r="E916" s="79"/>
      <c r="M916" s="79"/>
      <c r="R916" s="79"/>
      <c r="S916" s="79"/>
      <c r="V916" s="79"/>
      <c r="W916" s="79"/>
      <c r="Z916" s="130"/>
      <c r="AB916" s="106"/>
    </row>
    <row r="917">
      <c r="C917" s="79"/>
      <c r="D917" s="79"/>
      <c r="E917" s="79"/>
      <c r="M917" s="79"/>
      <c r="R917" s="79"/>
      <c r="S917" s="79"/>
      <c r="V917" s="79"/>
      <c r="W917" s="79"/>
      <c r="Z917" s="130"/>
      <c r="AB917" s="106"/>
    </row>
    <row r="918">
      <c r="C918" s="79"/>
      <c r="D918" s="79"/>
      <c r="E918" s="79"/>
      <c r="M918" s="79"/>
      <c r="R918" s="79"/>
      <c r="S918" s="79"/>
      <c r="V918" s="79"/>
      <c r="W918" s="79"/>
      <c r="Z918" s="130"/>
      <c r="AB918" s="106"/>
    </row>
    <row r="919">
      <c r="C919" s="79"/>
      <c r="D919" s="79"/>
      <c r="E919" s="79"/>
      <c r="M919" s="79"/>
      <c r="R919" s="79"/>
      <c r="S919" s="79"/>
      <c r="V919" s="79"/>
      <c r="W919" s="79"/>
      <c r="Z919" s="130"/>
      <c r="AB919" s="106"/>
    </row>
    <row r="920">
      <c r="C920" s="79"/>
      <c r="D920" s="79"/>
      <c r="E920" s="79"/>
      <c r="M920" s="79"/>
      <c r="R920" s="79"/>
      <c r="S920" s="79"/>
      <c r="V920" s="79"/>
      <c r="W920" s="79"/>
      <c r="Z920" s="130"/>
      <c r="AB920" s="106"/>
    </row>
    <row r="921">
      <c r="C921" s="79"/>
      <c r="D921" s="79"/>
      <c r="E921" s="79"/>
      <c r="M921" s="79"/>
      <c r="R921" s="79"/>
      <c r="S921" s="79"/>
      <c r="V921" s="79"/>
      <c r="W921" s="79"/>
      <c r="Z921" s="130"/>
      <c r="AB921" s="106"/>
    </row>
    <row r="922">
      <c r="C922" s="79"/>
      <c r="D922" s="79"/>
      <c r="E922" s="79"/>
      <c r="M922" s="79"/>
      <c r="R922" s="79"/>
      <c r="S922" s="79"/>
      <c r="V922" s="79"/>
      <c r="W922" s="79"/>
      <c r="Z922" s="130"/>
      <c r="AB922" s="106"/>
    </row>
    <row r="923">
      <c r="C923" s="79"/>
      <c r="D923" s="79"/>
      <c r="E923" s="79"/>
      <c r="M923" s="79"/>
      <c r="R923" s="79"/>
      <c r="S923" s="79"/>
      <c r="V923" s="79"/>
      <c r="W923" s="79"/>
      <c r="Z923" s="130"/>
      <c r="AB923" s="106"/>
    </row>
    <row r="924">
      <c r="C924" s="79"/>
      <c r="D924" s="79"/>
      <c r="E924" s="79"/>
      <c r="M924" s="79"/>
      <c r="R924" s="79"/>
      <c r="S924" s="79"/>
      <c r="V924" s="79"/>
      <c r="W924" s="79"/>
      <c r="Z924" s="130"/>
      <c r="AB924" s="106"/>
    </row>
    <row r="925">
      <c r="C925" s="79"/>
      <c r="D925" s="79"/>
      <c r="E925" s="79"/>
      <c r="M925" s="79"/>
      <c r="R925" s="79"/>
      <c r="S925" s="79"/>
      <c r="V925" s="79"/>
      <c r="W925" s="79"/>
      <c r="Z925" s="130"/>
      <c r="AB925" s="106"/>
    </row>
    <row r="926">
      <c r="C926" s="79"/>
      <c r="D926" s="79"/>
      <c r="E926" s="79"/>
      <c r="M926" s="79"/>
      <c r="R926" s="79"/>
      <c r="S926" s="79"/>
      <c r="V926" s="79"/>
      <c r="W926" s="79"/>
      <c r="Z926" s="130"/>
      <c r="AB926" s="106"/>
    </row>
    <row r="927">
      <c r="C927" s="79"/>
      <c r="D927" s="79"/>
      <c r="E927" s="79"/>
      <c r="M927" s="79"/>
      <c r="R927" s="79"/>
      <c r="S927" s="79"/>
      <c r="V927" s="79"/>
      <c r="W927" s="79"/>
      <c r="Z927" s="130"/>
      <c r="AB927" s="106"/>
    </row>
    <row r="928">
      <c r="C928" s="79"/>
      <c r="D928" s="79"/>
      <c r="E928" s="79"/>
      <c r="M928" s="79"/>
      <c r="R928" s="79"/>
      <c r="S928" s="79"/>
      <c r="V928" s="79"/>
      <c r="W928" s="79"/>
      <c r="Z928" s="130"/>
      <c r="AB928" s="106"/>
    </row>
    <row r="929">
      <c r="C929" s="79"/>
      <c r="D929" s="79"/>
      <c r="E929" s="79"/>
      <c r="M929" s="79"/>
      <c r="R929" s="79"/>
      <c r="S929" s="79"/>
      <c r="V929" s="79"/>
      <c r="W929" s="79"/>
      <c r="Z929" s="130"/>
      <c r="AB929" s="106"/>
    </row>
    <row r="930">
      <c r="C930" s="79"/>
      <c r="D930" s="79"/>
      <c r="E930" s="79"/>
      <c r="M930" s="79"/>
      <c r="R930" s="79"/>
      <c r="S930" s="79"/>
      <c r="V930" s="79"/>
      <c r="W930" s="79"/>
      <c r="Z930" s="130"/>
      <c r="AB930" s="106"/>
    </row>
    <row r="931">
      <c r="C931" s="79"/>
      <c r="D931" s="79"/>
      <c r="E931" s="79"/>
      <c r="M931" s="79"/>
      <c r="R931" s="79"/>
      <c r="S931" s="79"/>
      <c r="V931" s="79"/>
      <c r="W931" s="79"/>
      <c r="Z931" s="130"/>
      <c r="AB931" s="106"/>
    </row>
    <row r="932">
      <c r="C932" s="79"/>
      <c r="D932" s="79"/>
      <c r="E932" s="79"/>
      <c r="M932" s="79"/>
      <c r="R932" s="79"/>
      <c r="S932" s="79"/>
      <c r="V932" s="79"/>
      <c r="W932" s="79"/>
      <c r="Z932" s="130"/>
      <c r="AB932" s="106"/>
    </row>
    <row r="933">
      <c r="C933" s="79"/>
      <c r="D933" s="79"/>
      <c r="E933" s="79"/>
      <c r="M933" s="79"/>
      <c r="R933" s="79"/>
      <c r="S933" s="79"/>
      <c r="V933" s="79"/>
      <c r="W933" s="79"/>
      <c r="Z933" s="130"/>
      <c r="AB933" s="106"/>
    </row>
    <row r="934">
      <c r="C934" s="79"/>
      <c r="D934" s="79"/>
      <c r="E934" s="79"/>
      <c r="M934" s="79"/>
      <c r="R934" s="79"/>
      <c r="S934" s="79"/>
      <c r="V934" s="79"/>
      <c r="W934" s="79"/>
      <c r="Z934" s="130"/>
      <c r="AB934" s="106"/>
    </row>
    <row r="935">
      <c r="C935" s="79"/>
      <c r="D935" s="79"/>
      <c r="E935" s="79"/>
      <c r="M935" s="79"/>
      <c r="R935" s="79"/>
      <c r="S935" s="79"/>
      <c r="V935" s="79"/>
      <c r="W935" s="79"/>
      <c r="Z935" s="130"/>
      <c r="AB935" s="106"/>
    </row>
    <row r="936">
      <c r="C936" s="79"/>
      <c r="D936" s="79"/>
      <c r="E936" s="79"/>
      <c r="M936" s="79"/>
      <c r="R936" s="79"/>
      <c r="S936" s="79"/>
      <c r="V936" s="79"/>
      <c r="W936" s="79"/>
      <c r="Z936" s="130"/>
      <c r="AB936" s="106"/>
    </row>
    <row r="937">
      <c r="C937" s="79"/>
      <c r="D937" s="79"/>
      <c r="E937" s="79"/>
      <c r="M937" s="79"/>
      <c r="R937" s="79"/>
      <c r="S937" s="79"/>
      <c r="V937" s="79"/>
      <c r="W937" s="79"/>
      <c r="Z937" s="130"/>
      <c r="AB937" s="106"/>
    </row>
    <row r="938">
      <c r="C938" s="79"/>
      <c r="D938" s="79"/>
      <c r="E938" s="79"/>
      <c r="M938" s="79"/>
      <c r="R938" s="79"/>
      <c r="S938" s="79"/>
      <c r="V938" s="79"/>
      <c r="W938" s="79"/>
      <c r="Z938" s="130"/>
      <c r="AB938" s="106"/>
    </row>
    <row r="939">
      <c r="C939" s="79"/>
      <c r="D939" s="79"/>
      <c r="E939" s="79"/>
      <c r="M939" s="79"/>
      <c r="R939" s="79"/>
      <c r="S939" s="79"/>
      <c r="V939" s="79"/>
      <c r="W939" s="79"/>
      <c r="Z939" s="130"/>
      <c r="AB939" s="106"/>
    </row>
    <row r="940">
      <c r="C940" s="79"/>
      <c r="D940" s="79"/>
      <c r="E940" s="79"/>
      <c r="M940" s="79"/>
      <c r="R940" s="79"/>
      <c r="S940" s="79"/>
      <c r="V940" s="79"/>
      <c r="W940" s="79"/>
      <c r="Z940" s="130"/>
      <c r="AB940" s="106"/>
    </row>
    <row r="941">
      <c r="C941" s="79"/>
      <c r="D941" s="79"/>
      <c r="E941" s="79"/>
      <c r="M941" s="79"/>
      <c r="R941" s="79"/>
      <c r="S941" s="79"/>
      <c r="V941" s="79"/>
      <c r="W941" s="79"/>
      <c r="Z941" s="130"/>
      <c r="AB941" s="106"/>
    </row>
    <row r="942">
      <c r="C942" s="79"/>
      <c r="D942" s="79"/>
      <c r="E942" s="79"/>
      <c r="M942" s="79"/>
      <c r="R942" s="79"/>
      <c r="S942" s="79"/>
      <c r="V942" s="79"/>
      <c r="W942" s="79"/>
      <c r="Z942" s="130"/>
      <c r="AB942" s="106"/>
    </row>
    <row r="943">
      <c r="C943" s="79"/>
      <c r="D943" s="79"/>
      <c r="E943" s="79"/>
      <c r="M943" s="79"/>
      <c r="R943" s="79"/>
      <c r="S943" s="79"/>
      <c r="V943" s="79"/>
      <c r="W943" s="79"/>
      <c r="Z943" s="130"/>
      <c r="AB943" s="106"/>
    </row>
    <row r="944">
      <c r="C944" s="79"/>
      <c r="D944" s="79"/>
      <c r="E944" s="79"/>
      <c r="M944" s="79"/>
      <c r="R944" s="79"/>
      <c r="S944" s="79"/>
      <c r="V944" s="79"/>
      <c r="W944" s="79"/>
      <c r="Z944" s="130"/>
      <c r="AB944" s="106"/>
    </row>
    <row r="945">
      <c r="C945" s="79"/>
      <c r="D945" s="79"/>
      <c r="E945" s="79"/>
      <c r="M945" s="79"/>
      <c r="R945" s="79"/>
      <c r="S945" s="79"/>
      <c r="V945" s="79"/>
      <c r="W945" s="79"/>
      <c r="Z945" s="130"/>
      <c r="AB945" s="106"/>
    </row>
    <row r="946">
      <c r="C946" s="79"/>
      <c r="D946" s="79"/>
      <c r="E946" s="79"/>
      <c r="M946" s="79"/>
      <c r="R946" s="79"/>
      <c r="S946" s="79"/>
      <c r="V946" s="79"/>
      <c r="W946" s="79"/>
      <c r="Z946" s="130"/>
      <c r="AB946" s="106"/>
    </row>
    <row r="947">
      <c r="C947" s="79"/>
      <c r="D947" s="79"/>
      <c r="E947" s="79"/>
      <c r="M947" s="79"/>
      <c r="R947" s="79"/>
      <c r="S947" s="79"/>
      <c r="V947" s="79"/>
      <c r="W947" s="79"/>
      <c r="Z947" s="130"/>
      <c r="AB947" s="106"/>
    </row>
    <row r="948">
      <c r="C948" s="79"/>
      <c r="D948" s="79"/>
      <c r="E948" s="79"/>
      <c r="M948" s="79"/>
      <c r="R948" s="79"/>
      <c r="S948" s="79"/>
      <c r="V948" s="79"/>
      <c r="W948" s="79"/>
      <c r="Z948" s="130"/>
      <c r="AB948" s="106"/>
    </row>
    <row r="949">
      <c r="C949" s="79"/>
      <c r="D949" s="79"/>
      <c r="E949" s="79"/>
      <c r="M949" s="79"/>
      <c r="R949" s="79"/>
      <c r="S949" s="79"/>
      <c r="V949" s="79"/>
      <c r="W949" s="79"/>
      <c r="Z949" s="130"/>
      <c r="AB949" s="106"/>
    </row>
    <row r="950">
      <c r="C950" s="79"/>
      <c r="D950" s="79"/>
      <c r="E950" s="79"/>
      <c r="M950" s="79"/>
      <c r="R950" s="79"/>
      <c r="S950" s="79"/>
      <c r="V950" s="79"/>
      <c r="W950" s="79"/>
      <c r="Z950" s="130"/>
      <c r="AB950" s="106"/>
    </row>
    <row r="951">
      <c r="C951" s="79"/>
      <c r="D951" s="79"/>
      <c r="E951" s="79"/>
      <c r="M951" s="79"/>
      <c r="R951" s="79"/>
      <c r="S951" s="79"/>
      <c r="V951" s="79"/>
      <c r="W951" s="79"/>
      <c r="Z951" s="130"/>
      <c r="AB951" s="106"/>
    </row>
    <row r="952">
      <c r="C952" s="79"/>
      <c r="D952" s="79"/>
      <c r="E952" s="79"/>
      <c r="M952" s="79"/>
      <c r="R952" s="79"/>
      <c r="S952" s="79"/>
      <c r="V952" s="79"/>
      <c r="W952" s="79"/>
      <c r="Z952" s="130"/>
      <c r="AB952" s="106"/>
    </row>
    <row r="953">
      <c r="C953" s="79"/>
      <c r="D953" s="79"/>
      <c r="E953" s="79"/>
      <c r="M953" s="79"/>
      <c r="R953" s="79"/>
      <c r="S953" s="79"/>
      <c r="V953" s="79"/>
      <c r="W953" s="79"/>
      <c r="Z953" s="130"/>
      <c r="AB953" s="106"/>
    </row>
    <row r="954">
      <c r="C954" s="79"/>
      <c r="D954" s="79"/>
      <c r="E954" s="79"/>
      <c r="M954" s="79"/>
      <c r="R954" s="79"/>
      <c r="S954" s="79"/>
      <c r="V954" s="79"/>
      <c r="W954" s="79"/>
      <c r="Z954" s="130"/>
      <c r="AB954" s="106"/>
    </row>
    <row r="955">
      <c r="C955" s="79"/>
      <c r="D955" s="79"/>
      <c r="E955" s="79"/>
      <c r="M955" s="79"/>
      <c r="R955" s="79"/>
      <c r="S955" s="79"/>
      <c r="V955" s="79"/>
      <c r="W955" s="79"/>
      <c r="Z955" s="130"/>
      <c r="AB955" s="106"/>
    </row>
    <row r="956">
      <c r="C956" s="79"/>
      <c r="D956" s="79"/>
      <c r="E956" s="79"/>
      <c r="M956" s="79"/>
      <c r="R956" s="79"/>
      <c r="S956" s="79"/>
      <c r="V956" s="79"/>
      <c r="W956" s="79"/>
      <c r="Z956" s="130"/>
      <c r="AB956" s="106"/>
    </row>
    <row r="957">
      <c r="C957" s="79"/>
      <c r="D957" s="79"/>
      <c r="E957" s="79"/>
      <c r="M957" s="79"/>
      <c r="R957" s="79"/>
      <c r="S957" s="79"/>
      <c r="V957" s="79"/>
      <c r="W957" s="79"/>
      <c r="Z957" s="130"/>
      <c r="AB957" s="106"/>
    </row>
    <row r="958">
      <c r="C958" s="79"/>
      <c r="D958" s="79"/>
      <c r="E958" s="79"/>
      <c r="M958" s="79"/>
      <c r="R958" s="79"/>
      <c r="S958" s="79"/>
      <c r="V958" s="79"/>
      <c r="W958" s="79"/>
      <c r="Z958" s="130"/>
      <c r="AB958" s="106"/>
    </row>
    <row r="959">
      <c r="C959" s="79"/>
      <c r="D959" s="79"/>
      <c r="E959" s="79"/>
      <c r="M959" s="79"/>
      <c r="R959" s="79"/>
      <c r="S959" s="79"/>
      <c r="V959" s="79"/>
      <c r="W959" s="79"/>
      <c r="Z959" s="130"/>
      <c r="AB959" s="106"/>
    </row>
    <row r="960">
      <c r="C960" s="79"/>
      <c r="D960" s="79"/>
      <c r="E960" s="79"/>
      <c r="M960" s="79"/>
      <c r="R960" s="79"/>
      <c r="S960" s="79"/>
      <c r="V960" s="79"/>
      <c r="W960" s="79"/>
      <c r="Z960" s="130"/>
      <c r="AB960" s="106"/>
    </row>
    <row r="961">
      <c r="C961" s="79"/>
      <c r="D961" s="79"/>
      <c r="E961" s="79"/>
      <c r="M961" s="79"/>
      <c r="R961" s="79"/>
      <c r="S961" s="79"/>
      <c r="V961" s="79"/>
      <c r="W961" s="79"/>
      <c r="Z961" s="130"/>
      <c r="AB961" s="106"/>
    </row>
    <row r="962">
      <c r="C962" s="79"/>
      <c r="D962" s="79"/>
      <c r="E962" s="79"/>
      <c r="M962" s="79"/>
      <c r="R962" s="79"/>
      <c r="S962" s="79"/>
      <c r="V962" s="79"/>
      <c r="W962" s="79"/>
      <c r="Z962" s="130"/>
      <c r="AB962" s="106"/>
    </row>
    <row r="963">
      <c r="C963" s="79"/>
      <c r="D963" s="79"/>
      <c r="E963" s="79"/>
      <c r="M963" s="79"/>
      <c r="R963" s="79"/>
      <c r="S963" s="79"/>
      <c r="V963" s="79"/>
      <c r="W963" s="79"/>
      <c r="Z963" s="130"/>
      <c r="AB963" s="106"/>
    </row>
    <row r="964">
      <c r="C964" s="79"/>
      <c r="D964" s="79"/>
      <c r="E964" s="79"/>
      <c r="M964" s="79"/>
      <c r="R964" s="79"/>
      <c r="S964" s="79"/>
      <c r="V964" s="79"/>
      <c r="W964" s="79"/>
      <c r="Z964" s="130"/>
      <c r="AB964" s="106"/>
    </row>
    <row r="965">
      <c r="C965" s="79"/>
      <c r="D965" s="79"/>
      <c r="E965" s="79"/>
      <c r="M965" s="79"/>
      <c r="R965" s="79"/>
      <c r="S965" s="79"/>
      <c r="V965" s="79"/>
      <c r="W965" s="79"/>
      <c r="Z965" s="130"/>
      <c r="AB965" s="106"/>
    </row>
    <row r="966">
      <c r="C966" s="79"/>
      <c r="D966" s="79"/>
      <c r="E966" s="79"/>
      <c r="M966" s="79"/>
      <c r="R966" s="79"/>
      <c r="S966" s="79"/>
      <c r="V966" s="79"/>
      <c r="W966" s="79"/>
      <c r="Z966" s="130"/>
      <c r="AB966" s="106"/>
    </row>
    <row r="967">
      <c r="C967" s="79"/>
      <c r="D967" s="79"/>
      <c r="E967" s="79"/>
      <c r="M967" s="79"/>
      <c r="R967" s="79"/>
      <c r="S967" s="79"/>
      <c r="V967" s="79"/>
      <c r="W967" s="79"/>
      <c r="Z967" s="130"/>
      <c r="AB967" s="106"/>
    </row>
    <row r="968">
      <c r="C968" s="79"/>
      <c r="D968" s="79"/>
      <c r="E968" s="79"/>
      <c r="M968" s="79"/>
      <c r="R968" s="79"/>
      <c r="S968" s="79"/>
      <c r="V968" s="79"/>
      <c r="W968" s="79"/>
      <c r="Z968" s="130"/>
      <c r="AB968" s="106"/>
    </row>
    <row r="969">
      <c r="C969" s="79"/>
      <c r="D969" s="79"/>
      <c r="E969" s="79"/>
      <c r="M969" s="79"/>
      <c r="R969" s="79"/>
      <c r="S969" s="79"/>
      <c r="V969" s="79"/>
      <c r="W969" s="79"/>
      <c r="Z969" s="130"/>
      <c r="AB969" s="106"/>
    </row>
    <row r="970">
      <c r="C970" s="79"/>
      <c r="D970" s="79"/>
      <c r="E970" s="79"/>
      <c r="M970" s="79"/>
      <c r="R970" s="79"/>
      <c r="S970" s="79"/>
      <c r="V970" s="79"/>
      <c r="W970" s="79"/>
      <c r="Z970" s="130"/>
      <c r="AB970" s="106"/>
    </row>
    <row r="971">
      <c r="C971" s="79"/>
      <c r="D971" s="79"/>
      <c r="E971" s="79"/>
      <c r="M971" s="79"/>
      <c r="R971" s="79"/>
      <c r="S971" s="79"/>
      <c r="V971" s="79"/>
      <c r="W971" s="79"/>
      <c r="Z971" s="130"/>
      <c r="AB971" s="106"/>
    </row>
    <row r="972">
      <c r="C972" s="79"/>
      <c r="D972" s="79"/>
      <c r="E972" s="79"/>
      <c r="M972" s="79"/>
      <c r="R972" s="79"/>
      <c r="S972" s="79"/>
      <c r="V972" s="79"/>
      <c r="W972" s="79"/>
      <c r="Z972" s="130"/>
      <c r="AB972" s="106"/>
    </row>
  </sheetData>
  <drawing r:id="rId2"/>
  <legacyDrawing r:id="rId3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5" max="5" width="13.5"/>
    <col customWidth="1" min="7" max="7" width="13.25"/>
    <col customWidth="1" min="24" max="24" width="14.63"/>
    <col customWidth="1" min="28" max="28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3</v>
      </c>
      <c r="G1" s="2" t="s">
        <v>203</v>
      </c>
      <c r="H1" s="2" t="s">
        <v>129</v>
      </c>
      <c r="I1" s="2" t="s">
        <v>5</v>
      </c>
      <c r="J1" s="2" t="s">
        <v>204</v>
      </c>
      <c r="K1" s="2" t="s">
        <v>6</v>
      </c>
      <c r="L1" s="2" t="s">
        <v>12</v>
      </c>
      <c r="M1" s="105" t="s">
        <v>40</v>
      </c>
      <c r="N1" s="2" t="s">
        <v>49</v>
      </c>
      <c r="O1" s="2" t="s">
        <v>42</v>
      </c>
      <c r="P1" s="2" t="s">
        <v>121</v>
      </c>
      <c r="Q1" s="2" t="s">
        <v>164</v>
      </c>
      <c r="R1" s="105" t="s">
        <v>9</v>
      </c>
      <c r="S1" s="105" t="s">
        <v>165</v>
      </c>
      <c r="T1" s="2" t="s">
        <v>37</v>
      </c>
      <c r="U1" s="2" t="s">
        <v>10</v>
      </c>
      <c r="V1" s="105" t="s">
        <v>11</v>
      </c>
      <c r="W1" s="105" t="s">
        <v>205</v>
      </c>
      <c r="X1" s="2" t="s">
        <v>206</v>
      </c>
      <c r="Y1" s="3" t="s">
        <v>13</v>
      </c>
      <c r="Z1" s="3" t="s">
        <v>14</v>
      </c>
      <c r="AA1" s="3" t="s">
        <v>15</v>
      </c>
      <c r="AB1" s="106"/>
    </row>
    <row r="2">
      <c r="A2" s="74">
        <v>45327.0</v>
      </c>
      <c r="B2" s="93">
        <f>1593.05-34.81-65.46-29.47+389.24-218-111.06-87.5-56.4</f>
        <v>1379.59</v>
      </c>
      <c r="C2" s="93"/>
      <c r="D2" s="193">
        <v>364.25</v>
      </c>
      <c r="E2" s="93"/>
      <c r="F2" s="93">
        <v>180.0</v>
      </c>
      <c r="G2" s="93"/>
      <c r="H2" s="93">
        <f>267.58-153.2+79.77</f>
        <v>194.15</v>
      </c>
      <c r="I2" s="93">
        <v>297.0</v>
      </c>
      <c r="J2" s="93"/>
      <c r="K2" s="93"/>
      <c r="L2" s="93"/>
      <c r="M2" s="93"/>
      <c r="N2" s="93">
        <v>144.0</v>
      </c>
      <c r="O2" s="93">
        <v>144.0</v>
      </c>
      <c r="P2" s="93"/>
      <c r="Q2" s="93"/>
      <c r="R2" s="93"/>
      <c r="S2" s="93"/>
      <c r="T2" s="72"/>
      <c r="U2" s="93"/>
      <c r="V2" s="93">
        <v>57.05</v>
      </c>
      <c r="W2" s="93"/>
      <c r="X2" s="5"/>
      <c r="Y2" s="107">
        <f t="shared" ref="Y2:Y8" si="1">SUM(B2:X2)</f>
        <v>2760.04</v>
      </c>
      <c r="Z2" s="158">
        <v>3367.8</v>
      </c>
      <c r="AA2" s="59">
        <f t="shared" ref="AA2:AA8" si="2">Y2/Z2</f>
        <v>0.8195379773</v>
      </c>
      <c r="AB2" s="109">
        <f t="shared" ref="AB2:AB8" si="3">A2</f>
        <v>45327</v>
      </c>
    </row>
    <row r="3">
      <c r="A3" s="74">
        <v>45328.0</v>
      </c>
      <c r="B3" s="93">
        <f>429.55-39.32</f>
        <v>390.23</v>
      </c>
      <c r="C3" s="93">
        <f>537.5-28.5-22.75-43.55</f>
        <v>442.7</v>
      </c>
      <c r="D3" s="1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107">
        <f t="shared" si="1"/>
        <v>832.93</v>
      </c>
      <c r="Z3" s="158">
        <v>3583.8</v>
      </c>
      <c r="AA3" s="59">
        <f t="shared" si="2"/>
        <v>0.2324153134</v>
      </c>
      <c r="AB3" s="109">
        <f t="shared" si="3"/>
        <v>45328</v>
      </c>
    </row>
    <row r="4">
      <c r="A4" s="74">
        <v>45329.0</v>
      </c>
      <c r="B4" s="93">
        <f>1025.52-349-28.28-24.39-35.6-44.88-57.55-64-46.32-23.28-24.91-14.11-34.65-15.06-39.32-76.11</f>
        <v>148.06</v>
      </c>
      <c r="C4" s="93">
        <v>98.6</v>
      </c>
      <c r="D4" s="93">
        <f>467.2-130.15-94.8</f>
        <v>242.25</v>
      </c>
      <c r="E4" s="93"/>
      <c r="F4" s="93">
        <v>180.0</v>
      </c>
      <c r="G4" s="93"/>
      <c r="H4" s="93"/>
      <c r="I4" s="93">
        <f>894.08-198-59.4</f>
        <v>636.68</v>
      </c>
      <c r="J4" s="93"/>
      <c r="K4" s="93">
        <v>85.4</v>
      </c>
      <c r="L4" s="93"/>
      <c r="M4" s="93"/>
      <c r="N4" s="93"/>
      <c r="O4" s="93"/>
      <c r="P4" s="93">
        <v>18.5</v>
      </c>
      <c r="Q4" s="93"/>
      <c r="R4" s="93"/>
      <c r="S4" s="93"/>
      <c r="T4" s="160"/>
      <c r="U4" s="93">
        <f>263+30</f>
        <v>293</v>
      </c>
      <c r="V4" s="93">
        <v>57.05</v>
      </c>
      <c r="W4" s="93"/>
      <c r="X4" s="6"/>
      <c r="Y4" s="107">
        <f t="shared" si="1"/>
        <v>1759.54</v>
      </c>
      <c r="Z4" s="97">
        <f>615+4369</f>
        <v>4984</v>
      </c>
      <c r="AA4" s="59">
        <f t="shared" si="2"/>
        <v>0.3530377207</v>
      </c>
      <c r="AB4" s="109">
        <f t="shared" si="3"/>
        <v>45329</v>
      </c>
    </row>
    <row r="5">
      <c r="A5" s="74">
        <v>45330.0</v>
      </c>
      <c r="B5" s="93">
        <f>1644.55-83.99-71.27-129.24-12.88-132.16-15.99-97.9-46.32-13.61-20.8-45.28-22.35-37.02-18.48-31.55-96.79</f>
        <v>768.92</v>
      </c>
      <c r="C5" s="93"/>
      <c r="D5" s="93">
        <f>279.02-135.42</f>
        <v>143.6</v>
      </c>
      <c r="E5" s="93"/>
      <c r="F5" s="93"/>
      <c r="G5" s="160"/>
      <c r="H5" s="93">
        <v>125.58</v>
      </c>
      <c r="I5" s="93"/>
      <c r="J5" s="93"/>
      <c r="K5" s="93"/>
      <c r="L5" s="93">
        <f>73.32-25.52</f>
        <v>47.8</v>
      </c>
      <c r="M5" s="93"/>
      <c r="N5" s="93"/>
      <c r="O5" s="93"/>
      <c r="P5" s="93">
        <v>18.5</v>
      </c>
      <c r="Q5" s="93"/>
      <c r="R5" s="93"/>
      <c r="S5" s="93"/>
      <c r="T5" s="93"/>
      <c r="U5" s="93"/>
      <c r="V5" s="101"/>
      <c r="W5" s="101"/>
      <c r="X5" s="6"/>
      <c r="Y5" s="7">
        <f t="shared" si="1"/>
        <v>1104.4</v>
      </c>
      <c r="Z5" s="97">
        <v>4887.6</v>
      </c>
      <c r="AA5" s="59">
        <f t="shared" si="2"/>
        <v>0.2259595712</v>
      </c>
      <c r="AB5" s="109">
        <f t="shared" si="3"/>
        <v>45330</v>
      </c>
    </row>
    <row r="6">
      <c r="A6" s="74">
        <v>45331.0</v>
      </c>
      <c r="B6" s="93">
        <f>1229.39-64.05-88.4-80.96-45.16-15.62-87.5-32-46.32-46.56-11.49</f>
        <v>711.33</v>
      </c>
      <c r="C6" s="93"/>
      <c r="D6" s="93">
        <f>453.15-118-130.15</f>
        <v>205</v>
      </c>
      <c r="E6" s="93"/>
      <c r="F6" s="93"/>
      <c r="G6" s="93"/>
      <c r="H6" s="93"/>
      <c r="I6" s="93">
        <f>789.97-190-174.83</f>
        <v>425.14</v>
      </c>
      <c r="J6" s="93">
        <v>198.72</v>
      </c>
      <c r="K6" s="93">
        <v>166.4</v>
      </c>
      <c r="L6" s="93"/>
      <c r="M6" s="162"/>
      <c r="N6" s="93"/>
      <c r="O6" s="93"/>
      <c r="P6" s="93">
        <v>18.5</v>
      </c>
      <c r="Q6" s="93"/>
      <c r="R6" s="93"/>
      <c r="S6" s="93"/>
      <c r="T6" s="93"/>
      <c r="U6" s="93"/>
      <c r="V6" s="93">
        <v>57.05</v>
      </c>
      <c r="W6" s="93"/>
      <c r="X6" s="5"/>
      <c r="Y6" s="7">
        <f t="shared" si="1"/>
        <v>1782.14</v>
      </c>
      <c r="Z6" s="97">
        <v>9427.44</v>
      </c>
      <c r="AA6" s="59">
        <f t="shared" si="2"/>
        <v>0.189037533</v>
      </c>
      <c r="AB6" s="109">
        <f t="shared" si="3"/>
        <v>45331</v>
      </c>
    </row>
    <row r="7">
      <c r="A7" s="74">
        <v>45332.0</v>
      </c>
      <c r="B7" s="93">
        <f>631.48-18.82-56.14-14.14-14.02-31.54</f>
        <v>496.82</v>
      </c>
      <c r="C7" s="93">
        <f>274.15</f>
        <v>274.15</v>
      </c>
      <c r="D7" s="93">
        <f>305.43-65.83</f>
        <v>239.6</v>
      </c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101"/>
      <c r="U7" s="101"/>
      <c r="V7" s="101"/>
      <c r="W7" s="101"/>
      <c r="X7" s="5"/>
      <c r="Y7" s="7">
        <f t="shared" si="1"/>
        <v>1010.57</v>
      </c>
      <c r="Z7" s="97">
        <f>1809+13678.73</f>
        <v>15487.73</v>
      </c>
      <c r="AA7" s="59">
        <f t="shared" si="2"/>
        <v>0.06524971703</v>
      </c>
      <c r="AB7" s="109">
        <f t="shared" si="3"/>
        <v>45332</v>
      </c>
    </row>
    <row r="8">
      <c r="A8" s="74">
        <v>45333.0</v>
      </c>
      <c r="B8" s="180">
        <f>238.46+108.7+502.82</f>
        <v>849.98</v>
      </c>
      <c r="C8" s="112"/>
      <c r="D8" s="180">
        <v>826.23</v>
      </c>
      <c r="E8" s="112" t="s">
        <v>21</v>
      </c>
      <c r="F8" s="112" t="s">
        <v>21</v>
      </c>
      <c r="G8" s="112" t="s">
        <v>21</v>
      </c>
      <c r="H8" s="112" t="s">
        <v>21</v>
      </c>
      <c r="I8" s="180">
        <f>254.78+247.5</f>
        <v>502.28</v>
      </c>
      <c r="J8" s="112" t="s">
        <v>21</v>
      </c>
      <c r="K8" s="112" t="s">
        <v>21</v>
      </c>
      <c r="L8" s="112" t="s">
        <v>21</v>
      </c>
      <c r="M8" s="112" t="s">
        <v>21</v>
      </c>
      <c r="N8" s="112" t="s">
        <v>21</v>
      </c>
      <c r="O8" s="180">
        <v>183.33</v>
      </c>
      <c r="P8" s="112" t="s">
        <v>21</v>
      </c>
      <c r="Q8" s="112" t="s">
        <v>21</v>
      </c>
      <c r="R8" s="112" t="s">
        <v>21</v>
      </c>
      <c r="S8" s="112" t="s">
        <v>21</v>
      </c>
      <c r="T8" s="112" t="s">
        <v>21</v>
      </c>
      <c r="U8" s="112" t="s">
        <v>21</v>
      </c>
      <c r="V8" s="10" t="s">
        <v>21</v>
      </c>
      <c r="W8" s="10" t="s">
        <v>21</v>
      </c>
      <c r="X8" s="10" t="s">
        <v>21</v>
      </c>
      <c r="Y8" s="7">
        <f t="shared" si="1"/>
        <v>2361.82</v>
      </c>
      <c r="Z8" s="97">
        <v>1783.0</v>
      </c>
      <c r="AA8" s="59">
        <f t="shared" si="2"/>
        <v>1.324632642</v>
      </c>
      <c r="AB8" s="109">
        <f t="shared" si="3"/>
        <v>45333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Z9" s="129"/>
      <c r="AB9" s="106"/>
    </row>
    <row r="10">
      <c r="A10" s="164" t="s">
        <v>193</v>
      </c>
      <c r="B10" s="78"/>
      <c r="C10" s="78"/>
      <c r="D10" s="78"/>
      <c r="E10" s="188"/>
      <c r="F10" s="188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Z10" s="129"/>
      <c r="AB10" s="106"/>
    </row>
    <row r="11">
      <c r="A11" s="165" t="s">
        <v>194</v>
      </c>
      <c r="B11" s="93">
        <f>34.81+29.47+218+39.32+57.55+46.32+24.91+14.11+34.65+15.06+31.55+96.79+55.53+45.16+15.62</f>
        <v>758.85</v>
      </c>
      <c r="C11" s="93"/>
      <c r="D11" s="93"/>
      <c r="E11" s="167"/>
      <c r="F11" s="168"/>
      <c r="G11" s="166"/>
      <c r="H11" s="166">
        <v>153.2</v>
      </c>
      <c r="I11" s="93"/>
      <c r="J11" s="168"/>
      <c r="K11" s="168"/>
      <c r="L11" s="166">
        <v>25.52</v>
      </c>
      <c r="M11" s="168"/>
      <c r="N11" s="166"/>
      <c r="O11" s="168"/>
      <c r="P11" s="1"/>
      <c r="Q11" s="1"/>
      <c r="R11" s="1"/>
      <c r="S11" s="1"/>
      <c r="T11" s="1"/>
      <c r="U11" s="1"/>
      <c r="V11" s="168"/>
      <c r="W11" s="168"/>
      <c r="X11" s="1"/>
      <c r="Y11" s="1"/>
      <c r="Z11" s="169"/>
      <c r="AA11" s="1"/>
      <c r="AB11" s="170"/>
    </row>
    <row r="12">
      <c r="A12" s="165" t="s">
        <v>195</v>
      </c>
      <c r="B12" s="93">
        <f>349+28.28+24.39+35.6+44.88+64+23.28+83.99+71.27+129.24+12.88+97.9+46.32+13.61+20.8+55.53+87.5+64.05+88.4+87.5+32+46.32+46.56+11.49-B13+18.82+56.14+14.14</f>
        <v>654.35</v>
      </c>
      <c r="C12" s="93">
        <v>28.5</v>
      </c>
      <c r="D12" s="93">
        <f>130.5+94.8+118+135.42-D13+130.15+65.83</f>
        <v>314.33</v>
      </c>
      <c r="E12" s="93"/>
      <c r="F12" s="93"/>
      <c r="G12" s="93"/>
      <c r="H12" s="93"/>
      <c r="I12" s="93">
        <f>198+59.4-I13+190</f>
        <v>388</v>
      </c>
      <c r="J12" s="93"/>
      <c r="K12" s="93"/>
      <c r="L12" s="93"/>
      <c r="M12" s="93"/>
      <c r="N12" s="93">
        <v>300.0</v>
      </c>
      <c r="O12" s="166"/>
      <c r="P12" s="1"/>
      <c r="Q12" s="1"/>
      <c r="R12" s="168"/>
      <c r="S12" s="168"/>
      <c r="T12" s="1"/>
      <c r="U12" s="96"/>
      <c r="V12" s="168"/>
      <c r="W12" s="168"/>
      <c r="X12" s="1"/>
      <c r="Y12" s="1"/>
      <c r="Z12" s="171"/>
      <c r="AA12" s="1"/>
      <c r="AB12" s="170"/>
    </row>
    <row r="13">
      <c r="A13" s="172" t="s">
        <v>242</v>
      </c>
      <c r="B13" s="93">
        <f>349+28.28+24.39+35.6+44.88+83.99+71.27+129.24+12.88+87.5+56.4+76.11</f>
        <v>999.54</v>
      </c>
      <c r="C13" s="93"/>
      <c r="D13" s="93">
        <f>94.8+130.15+135.42</f>
        <v>360.37</v>
      </c>
      <c r="E13" s="168"/>
      <c r="F13" s="166"/>
      <c r="G13" s="168"/>
      <c r="H13" s="168"/>
      <c r="I13" s="168">
        <f>59.4</f>
        <v>59.4</v>
      </c>
      <c r="J13" s="168"/>
      <c r="K13" s="168"/>
      <c r="L13" s="168"/>
      <c r="M13" s="168"/>
      <c r="N13" s="166"/>
      <c r="O13" s="168"/>
      <c r="P13" s="1"/>
      <c r="Q13" s="1"/>
      <c r="R13" s="168"/>
      <c r="S13" s="168"/>
      <c r="T13" s="1"/>
      <c r="U13" s="96"/>
      <c r="V13" s="168"/>
      <c r="W13" s="168"/>
      <c r="X13" s="1"/>
      <c r="Y13" s="1"/>
      <c r="Z13" s="174"/>
      <c r="AA13" s="1"/>
      <c r="AB13" s="170"/>
    </row>
    <row r="14">
      <c r="A14" s="172" t="s">
        <v>236</v>
      </c>
      <c r="B14" s="93">
        <f>132.16+45.28+22.35+37.02+18.48</f>
        <v>255.29</v>
      </c>
      <c r="C14" s="93"/>
      <c r="D14" s="93"/>
      <c r="E14" s="168"/>
      <c r="F14" s="166"/>
      <c r="G14" s="168"/>
      <c r="H14" s="168"/>
      <c r="I14" s="168"/>
      <c r="J14" s="168"/>
      <c r="K14" s="168"/>
      <c r="L14" s="168"/>
      <c r="M14" s="168"/>
      <c r="N14" s="166"/>
      <c r="O14" s="168"/>
      <c r="P14" s="1"/>
      <c r="Q14" s="1"/>
      <c r="R14" s="168"/>
      <c r="S14" s="168"/>
      <c r="T14" s="1"/>
      <c r="U14" s="96"/>
      <c r="V14" s="168"/>
      <c r="W14" s="168"/>
      <c r="X14" s="1"/>
      <c r="Y14" s="1"/>
      <c r="Z14" s="174"/>
      <c r="AA14" s="1"/>
      <c r="AB14" s="170"/>
    </row>
    <row r="15">
      <c r="A15" s="172" t="s">
        <v>197</v>
      </c>
      <c r="B15" s="93">
        <f>14.02+31.54</f>
        <v>45.56</v>
      </c>
      <c r="C15" s="93"/>
      <c r="D15" s="93"/>
      <c r="E15" s="168"/>
      <c r="F15" s="166"/>
      <c r="G15" s="168"/>
      <c r="H15" s="168"/>
      <c r="I15" s="168"/>
      <c r="J15" s="168"/>
      <c r="K15" s="168"/>
      <c r="L15" s="168"/>
      <c r="M15" s="168"/>
      <c r="N15" s="166"/>
      <c r="O15" s="168"/>
      <c r="P15" s="1"/>
      <c r="Q15" s="1"/>
      <c r="R15" s="168"/>
      <c r="S15" s="168"/>
      <c r="T15" s="1"/>
      <c r="U15" s="96"/>
      <c r="V15" s="168"/>
      <c r="W15" s="168"/>
      <c r="X15" s="1"/>
      <c r="Y15" s="1"/>
      <c r="Z15" s="174"/>
      <c r="AA15" s="1"/>
      <c r="AB15" s="170"/>
    </row>
    <row r="16">
      <c r="A16" s="165" t="s">
        <v>198</v>
      </c>
      <c r="B16" s="93">
        <f>65.46+39.32+15.99+80.96</f>
        <v>201.73</v>
      </c>
      <c r="C16" s="93">
        <f>22.75+43.55</f>
        <v>66.3</v>
      </c>
      <c r="D16" s="93"/>
      <c r="E16" s="168"/>
      <c r="F16" s="166"/>
      <c r="G16" s="168"/>
      <c r="H16" s="168"/>
      <c r="I16" s="168"/>
      <c r="J16" s="168"/>
      <c r="K16" s="168"/>
      <c r="L16" s="168"/>
      <c r="M16" s="168"/>
      <c r="N16" s="166"/>
      <c r="O16" s="168"/>
      <c r="P16" s="1"/>
      <c r="Q16" s="1"/>
      <c r="R16" s="168"/>
      <c r="S16" s="168"/>
      <c r="T16" s="1"/>
      <c r="U16" s="96"/>
      <c r="V16" s="168"/>
      <c r="W16" s="168"/>
      <c r="X16" s="1"/>
      <c r="Y16" s="1"/>
      <c r="Z16" s="174"/>
      <c r="AA16" s="1"/>
      <c r="AB16" s="170"/>
    </row>
    <row r="17">
      <c r="A17" s="91"/>
      <c r="B17" s="92"/>
      <c r="C17" s="79"/>
      <c r="D17" s="79"/>
      <c r="E17" s="79"/>
      <c r="F17" s="78"/>
      <c r="G17" s="78"/>
      <c r="H17" s="78"/>
      <c r="K17" s="79"/>
      <c r="L17" s="79"/>
      <c r="M17" s="78"/>
      <c r="N17" s="79"/>
      <c r="O17" s="79"/>
      <c r="R17" s="79"/>
      <c r="S17" s="79"/>
      <c r="V17" s="79"/>
      <c r="W17" s="79"/>
      <c r="Z17" s="131"/>
      <c r="AB17" s="106"/>
    </row>
    <row r="18">
      <c r="A18" s="91"/>
      <c r="B18" s="92"/>
      <c r="C18" s="78"/>
      <c r="D18" s="78"/>
      <c r="E18" s="78"/>
      <c r="F18" s="198"/>
      <c r="G18" s="204"/>
      <c r="H18" s="204"/>
      <c r="I18" s="198"/>
      <c r="J18" s="199"/>
      <c r="K18" s="199"/>
      <c r="L18" s="200"/>
      <c r="M18" s="201"/>
      <c r="N18" s="202"/>
      <c r="O18" s="198"/>
      <c r="P18" s="198"/>
      <c r="Q18" s="198"/>
      <c r="R18" s="198"/>
      <c r="S18" s="198"/>
      <c r="V18" s="79"/>
      <c r="W18" s="79"/>
      <c r="Z18" s="131"/>
      <c r="AB18" s="106"/>
    </row>
    <row r="19">
      <c r="A19" s="4" t="s">
        <v>22</v>
      </c>
      <c r="B19" s="11">
        <v>10000.0</v>
      </c>
      <c r="C19" s="79"/>
      <c r="D19" s="79"/>
      <c r="E19" s="79"/>
      <c r="F19" s="204"/>
      <c r="G19" s="201"/>
      <c r="H19" s="201"/>
      <c r="I19" s="201"/>
      <c r="J19" s="201"/>
      <c r="K19" s="201"/>
      <c r="L19" s="198"/>
      <c r="M19" s="201"/>
      <c r="N19" s="200"/>
      <c r="O19" s="203"/>
      <c r="P19" s="198"/>
      <c r="Q19" s="198"/>
      <c r="R19" s="198"/>
      <c r="S19" s="198"/>
      <c r="T19" s="204"/>
      <c r="V19" s="79"/>
      <c r="W19" s="79"/>
      <c r="Z19" s="131"/>
      <c r="AB19" s="106"/>
    </row>
    <row r="20">
      <c r="A20" s="4" t="s">
        <v>23</v>
      </c>
      <c r="B20" s="12">
        <f>SUM(B2:X8)</f>
        <v>11611.44</v>
      </c>
      <c r="C20" s="79"/>
      <c r="D20" s="177"/>
      <c r="E20" s="78"/>
      <c r="F20" s="213"/>
      <c r="G20" s="201"/>
      <c r="H20" s="201"/>
      <c r="I20" s="201"/>
      <c r="J20" s="191"/>
      <c r="K20" s="201"/>
      <c r="L20" s="198"/>
      <c r="M20" s="200"/>
      <c r="N20" s="201"/>
      <c r="O20" s="203"/>
      <c r="P20" s="198"/>
      <c r="Q20" s="198"/>
      <c r="R20" s="198"/>
      <c r="S20" s="198"/>
      <c r="T20" s="204"/>
      <c r="V20" s="79"/>
      <c r="W20" s="79"/>
      <c r="Z20" s="131"/>
      <c r="AB20" s="106"/>
    </row>
    <row r="21">
      <c r="A21" s="4" t="s">
        <v>24</v>
      </c>
      <c r="B21" s="12">
        <f> SUM(B19-B20)</f>
        <v>-1611.44</v>
      </c>
      <c r="C21" s="79"/>
      <c r="D21" s="79"/>
      <c r="E21" s="78"/>
      <c r="F21" s="201"/>
      <c r="G21" s="214"/>
      <c r="H21" s="203"/>
      <c r="I21" s="203"/>
      <c r="J21" s="218" t="s">
        <v>243</v>
      </c>
      <c r="K21" s="225">
        <f>4534+10530+2454+3680.5</f>
        <v>21198.5</v>
      </c>
      <c r="L21" s="218">
        <v>10350.0</v>
      </c>
      <c r="M21" s="201"/>
      <c r="N21" s="200"/>
      <c r="O21" s="203"/>
      <c r="P21" s="198"/>
      <c r="Q21" s="198"/>
      <c r="R21" s="198"/>
      <c r="S21" s="198"/>
      <c r="T21" s="204"/>
      <c r="V21" s="79"/>
      <c r="W21" s="79"/>
      <c r="Z21" s="131"/>
      <c r="AB21" s="106"/>
    </row>
    <row r="22">
      <c r="C22" s="79"/>
      <c r="D22" s="79"/>
      <c r="E22" s="78"/>
      <c r="F22" s="213"/>
      <c r="G22" s="214"/>
      <c r="H22" s="203"/>
      <c r="I22" s="205"/>
      <c r="J22" s="203"/>
      <c r="K22" s="218">
        <f>SUM(B12:N13)</f>
        <v>3104.49</v>
      </c>
      <c r="L22" s="226">
        <f>SUM(B13:J13)+150</f>
        <v>1569.31</v>
      </c>
      <c r="M22" s="201"/>
      <c r="N22" s="198"/>
      <c r="O22" s="203"/>
      <c r="P22" s="198"/>
      <c r="Q22" s="206"/>
      <c r="R22" s="198"/>
      <c r="S22" s="198"/>
      <c r="T22" s="204"/>
      <c r="V22" s="79"/>
      <c r="W22" s="79"/>
      <c r="Z22" s="131"/>
      <c r="AB22" s="106"/>
    </row>
    <row r="23">
      <c r="A23" s="13" t="s">
        <v>25</v>
      </c>
      <c r="B23" s="14">
        <f>SUM(Z2:Z8)</f>
        <v>43521.37</v>
      </c>
      <c r="C23" s="79"/>
      <c r="D23" s="79"/>
      <c r="E23" s="78"/>
      <c r="F23" s="201"/>
      <c r="G23" s="201"/>
      <c r="H23" s="201"/>
      <c r="I23" s="203"/>
      <c r="J23" s="203"/>
      <c r="K23" s="218">
        <v>4000.0</v>
      </c>
      <c r="L23" s="227">
        <f>L22/L21</f>
        <v>0.1516241546</v>
      </c>
      <c r="M23" s="201"/>
      <c r="N23" s="198"/>
      <c r="O23" s="203"/>
      <c r="P23" s="198"/>
      <c r="Q23" s="198"/>
      <c r="R23" s="198"/>
      <c r="S23" s="198"/>
      <c r="T23" s="204"/>
      <c r="V23" s="79"/>
      <c r="W23" s="79"/>
      <c r="Z23" s="181"/>
      <c r="AB23" s="106"/>
    </row>
    <row r="24">
      <c r="A24" s="13" t="s">
        <v>26</v>
      </c>
      <c r="B24" s="15">
        <f>B20/B23</f>
        <v>0.2667985865</v>
      </c>
      <c r="C24" s="79"/>
      <c r="D24" s="79"/>
      <c r="E24" s="78"/>
      <c r="F24" s="204"/>
      <c r="G24" s="213"/>
      <c r="H24" s="224"/>
      <c r="I24" s="203"/>
      <c r="J24" s="203"/>
      <c r="K24" s="218">
        <f>49.21+150</f>
        <v>199.21</v>
      </c>
      <c r="L24" s="228"/>
      <c r="M24" s="200"/>
      <c r="N24" s="203"/>
      <c r="O24" s="203"/>
      <c r="P24" s="198"/>
      <c r="Q24" s="198"/>
      <c r="R24" s="198"/>
      <c r="S24" s="198"/>
      <c r="T24" s="204"/>
      <c r="V24" s="79"/>
      <c r="W24" s="79"/>
      <c r="Z24" s="130"/>
      <c r="AB24" s="106"/>
    </row>
    <row r="25">
      <c r="C25" s="79"/>
      <c r="D25" s="79"/>
      <c r="E25" s="78"/>
      <c r="F25" s="204"/>
      <c r="G25" s="204"/>
      <c r="H25" s="213"/>
      <c r="I25" s="203"/>
      <c r="J25" s="203"/>
      <c r="K25" s="218">
        <f>SUM(K22:K24)</f>
        <v>7303.7</v>
      </c>
      <c r="L25" s="228"/>
      <c r="M25" s="198"/>
      <c r="N25" s="201"/>
      <c r="O25" s="198"/>
      <c r="P25" s="198"/>
      <c r="Q25" s="198"/>
      <c r="R25" s="198"/>
      <c r="S25" s="198"/>
      <c r="T25" s="204"/>
      <c r="V25" s="79"/>
      <c r="W25" s="79"/>
      <c r="Z25" s="182"/>
      <c r="AB25" s="106"/>
    </row>
    <row r="26">
      <c r="C26" s="79"/>
      <c r="D26" s="79"/>
      <c r="E26" s="79"/>
      <c r="F26" s="204"/>
      <c r="G26" s="204"/>
      <c r="H26" s="213"/>
      <c r="I26" s="203"/>
      <c r="J26" s="203"/>
      <c r="K26" s="218"/>
      <c r="L26" s="228"/>
      <c r="M26" s="201"/>
      <c r="N26" s="201"/>
      <c r="O26" s="198"/>
      <c r="P26" s="198"/>
      <c r="Q26" s="198"/>
      <c r="R26" s="198"/>
      <c r="S26" s="198"/>
      <c r="T26" s="204"/>
      <c r="V26" s="79"/>
      <c r="W26" s="79"/>
      <c r="Z26" s="130"/>
      <c r="AB26" s="106"/>
    </row>
    <row r="27">
      <c r="A27" s="16" t="s">
        <v>27</v>
      </c>
      <c r="B27" s="17"/>
      <c r="C27" s="114"/>
      <c r="D27" s="114"/>
      <c r="E27" s="115"/>
      <c r="F27" s="204"/>
      <c r="G27" s="204"/>
      <c r="H27" s="213"/>
      <c r="I27" s="203"/>
      <c r="J27" s="203"/>
      <c r="K27" s="229">
        <f>K25/K21</f>
        <v>0.3445385287</v>
      </c>
      <c r="L27" s="230"/>
      <c r="M27" s="208"/>
      <c r="N27" s="198"/>
      <c r="O27" s="200"/>
      <c r="P27" s="198"/>
      <c r="Q27" s="198"/>
      <c r="R27" s="198"/>
      <c r="S27" s="198"/>
      <c r="T27" s="204"/>
      <c r="V27" s="79"/>
      <c r="W27" s="79"/>
      <c r="Z27" s="130"/>
      <c r="AB27" s="106"/>
    </row>
    <row r="28">
      <c r="A28" s="19" t="s">
        <v>28</v>
      </c>
      <c r="B28" s="20"/>
      <c r="C28" s="116"/>
      <c r="D28" s="116"/>
      <c r="E28" s="117"/>
      <c r="F28" s="204"/>
      <c r="G28" s="204"/>
      <c r="H28" s="213"/>
      <c r="I28" s="203"/>
      <c r="J28" s="203"/>
      <c r="K28" s="218"/>
      <c r="L28" s="231"/>
      <c r="M28" s="209"/>
      <c r="N28" s="201"/>
      <c r="O28" s="198"/>
      <c r="P28" s="198"/>
      <c r="Q28" s="198"/>
      <c r="R28" s="198"/>
      <c r="S28" s="198"/>
      <c r="T28" s="204"/>
      <c r="V28" s="79"/>
      <c r="W28" s="79"/>
      <c r="Z28" s="130"/>
      <c r="AB28" s="106"/>
    </row>
    <row r="29">
      <c r="A29" s="183" t="s">
        <v>29</v>
      </c>
      <c r="B29" s="184" t="s">
        <v>30</v>
      </c>
      <c r="C29" s="183"/>
      <c r="D29" s="183" t="s">
        <v>170</v>
      </c>
      <c r="E29" s="219" t="s">
        <v>171</v>
      </c>
      <c r="F29" s="204"/>
      <c r="G29" s="204"/>
      <c r="H29" s="213"/>
      <c r="I29" s="203"/>
      <c r="J29" s="203"/>
      <c r="K29" s="232"/>
      <c r="L29" s="231"/>
      <c r="M29" s="209"/>
      <c r="N29" s="198"/>
      <c r="O29" s="198"/>
      <c r="P29" s="198"/>
      <c r="Q29" s="198"/>
      <c r="R29" s="198"/>
      <c r="S29" s="198"/>
      <c r="T29" s="204"/>
      <c r="V29" s="79"/>
      <c r="W29" s="79"/>
      <c r="Z29" s="130"/>
      <c r="AB29" s="106"/>
    </row>
    <row r="30">
      <c r="A30" s="166" t="s">
        <v>41</v>
      </c>
      <c r="B30" s="93">
        <f>1508.44-502.81-502.81</f>
        <v>502.82</v>
      </c>
      <c r="C30" s="168"/>
      <c r="D30" s="168"/>
      <c r="E30" s="166" t="s">
        <v>237</v>
      </c>
      <c r="F30" s="204"/>
      <c r="G30" s="204"/>
      <c r="H30" s="213"/>
      <c r="I30" s="203"/>
      <c r="J30" s="217"/>
      <c r="K30" s="232"/>
      <c r="L30" s="228"/>
      <c r="M30" s="198"/>
      <c r="N30" s="198"/>
      <c r="O30" s="198"/>
      <c r="P30" s="198"/>
      <c r="Q30" s="198"/>
      <c r="R30" s="198"/>
      <c r="S30" s="198"/>
      <c r="T30" s="204"/>
      <c r="V30" s="79"/>
      <c r="W30" s="79"/>
      <c r="Z30" s="130"/>
      <c r="AB30" s="106"/>
    </row>
    <row r="31">
      <c r="A31" s="166" t="s">
        <v>241</v>
      </c>
      <c r="B31" s="93">
        <f>550-183.33</f>
        <v>366.67</v>
      </c>
      <c r="C31" s="168"/>
      <c r="D31" s="168"/>
      <c r="E31" s="166" t="s">
        <v>237</v>
      </c>
      <c r="K31" s="233"/>
      <c r="L31" s="233"/>
      <c r="M31" s="79"/>
      <c r="R31" s="79"/>
      <c r="S31" s="79"/>
      <c r="V31" s="79"/>
      <c r="W31" s="79"/>
      <c r="Z31" s="130"/>
      <c r="AB31" s="106"/>
    </row>
    <row r="32">
      <c r="A32" s="234" t="s">
        <v>244</v>
      </c>
      <c r="B32" s="178">
        <v>350.04</v>
      </c>
      <c r="C32" s="235"/>
      <c r="D32" s="235"/>
      <c r="E32" s="234" t="s">
        <v>237</v>
      </c>
      <c r="M32" s="79"/>
      <c r="R32" s="79"/>
      <c r="S32" s="79"/>
      <c r="V32" s="79"/>
      <c r="W32" s="79"/>
      <c r="Z32" s="130"/>
      <c r="AB32" s="106"/>
    </row>
    <row r="33">
      <c r="A33" s="234" t="s">
        <v>103</v>
      </c>
      <c r="B33" s="178">
        <v>174.83</v>
      </c>
      <c r="C33" s="235"/>
      <c r="D33" s="235"/>
      <c r="E33" s="234" t="s">
        <v>237</v>
      </c>
      <c r="M33" s="79"/>
      <c r="R33" s="79"/>
      <c r="S33" s="79"/>
      <c r="V33" s="79"/>
      <c r="W33" s="79"/>
      <c r="Z33" s="130"/>
      <c r="AB33" s="106"/>
    </row>
    <row r="34">
      <c r="C34" s="79"/>
      <c r="D34" s="79"/>
      <c r="E34" s="79"/>
      <c r="M34" s="79"/>
      <c r="R34" s="79"/>
      <c r="S34" s="79"/>
      <c r="V34" s="79"/>
      <c r="W34" s="79"/>
      <c r="Z34" s="130"/>
      <c r="AB34" s="106"/>
    </row>
    <row r="35">
      <c r="C35" s="79"/>
      <c r="D35" s="79"/>
      <c r="E35" s="79"/>
      <c r="M35" s="79"/>
      <c r="R35" s="79"/>
      <c r="S35" s="79"/>
      <c r="V35" s="79"/>
      <c r="W35" s="79"/>
      <c r="Z35" s="130"/>
      <c r="AB35" s="106"/>
    </row>
    <row r="36">
      <c r="C36" s="79"/>
      <c r="D36" s="79"/>
      <c r="E36" s="79"/>
      <c r="M36" s="79"/>
      <c r="R36" s="79"/>
      <c r="S36" s="79"/>
      <c r="V36" s="79"/>
      <c r="W36" s="79"/>
      <c r="Z36" s="130"/>
      <c r="AB36" s="106"/>
    </row>
    <row r="37">
      <c r="C37" s="79"/>
      <c r="D37" s="79"/>
      <c r="E37" s="79"/>
      <c r="M37" s="79"/>
      <c r="R37" s="79"/>
      <c r="S37" s="79"/>
      <c r="V37" s="79"/>
      <c r="W37" s="79"/>
      <c r="Z37" s="130"/>
      <c r="AB37" s="106"/>
    </row>
    <row r="38">
      <c r="C38" s="79"/>
      <c r="D38" s="79"/>
      <c r="E38" s="79"/>
      <c r="M38" s="79"/>
      <c r="R38" s="79"/>
      <c r="S38" s="79"/>
      <c r="V38" s="79"/>
      <c r="W38" s="79"/>
      <c r="Z38" s="130"/>
      <c r="AB38" s="106"/>
    </row>
    <row r="39">
      <c r="C39" s="79"/>
      <c r="D39" s="79"/>
      <c r="E39" s="79"/>
      <c r="M39" s="79"/>
      <c r="R39" s="79"/>
      <c r="S39" s="79"/>
      <c r="V39" s="79"/>
      <c r="W39" s="79"/>
      <c r="Z39" s="130"/>
      <c r="AB39" s="106"/>
    </row>
    <row r="40">
      <c r="C40" s="79"/>
      <c r="D40" s="79"/>
      <c r="E40" s="79"/>
      <c r="M40" s="79"/>
      <c r="R40" s="79"/>
      <c r="S40" s="79"/>
      <c r="V40" s="79"/>
      <c r="W40" s="79"/>
      <c r="Z40" s="130"/>
      <c r="AB40" s="106"/>
    </row>
    <row r="41">
      <c r="C41" s="79"/>
      <c r="D41" s="79"/>
      <c r="E41" s="79"/>
      <c r="M41" s="79"/>
      <c r="R41" s="79"/>
      <c r="S41" s="79"/>
      <c r="V41" s="79"/>
      <c r="W41" s="79"/>
      <c r="Z41" s="130"/>
      <c r="AB41" s="106"/>
    </row>
    <row r="42">
      <c r="C42" s="79"/>
      <c r="D42" s="79"/>
      <c r="E42" s="79"/>
      <c r="M42" s="79"/>
      <c r="R42" s="79"/>
      <c r="S42" s="79"/>
      <c r="V42" s="79"/>
      <c r="W42" s="79"/>
      <c r="Z42" s="130"/>
      <c r="AB42" s="106"/>
    </row>
    <row r="43">
      <c r="C43" s="79"/>
      <c r="D43" s="79"/>
      <c r="E43" s="79"/>
      <c r="M43" s="79"/>
      <c r="R43" s="79"/>
      <c r="S43" s="79"/>
      <c r="V43" s="79"/>
      <c r="W43" s="79"/>
      <c r="Z43" s="130"/>
      <c r="AB43" s="106"/>
    </row>
    <row r="44">
      <c r="C44" s="79"/>
      <c r="D44" s="79"/>
      <c r="E44" s="79"/>
      <c r="M44" s="79"/>
      <c r="R44" s="79"/>
      <c r="S44" s="79"/>
      <c r="V44" s="79"/>
      <c r="W44" s="79"/>
      <c r="Z44" s="130"/>
      <c r="AB44" s="106"/>
    </row>
    <row r="45">
      <c r="C45" s="79"/>
      <c r="D45" s="79"/>
      <c r="E45" s="79"/>
      <c r="M45" s="79"/>
      <c r="R45" s="79"/>
      <c r="S45" s="79"/>
      <c r="V45" s="79"/>
      <c r="W45" s="79"/>
      <c r="Z45" s="130"/>
      <c r="AB45" s="106"/>
    </row>
    <row r="46">
      <c r="C46" s="79"/>
      <c r="D46" s="79"/>
      <c r="E46" s="79"/>
      <c r="M46" s="79"/>
      <c r="R46" s="79"/>
      <c r="S46" s="79"/>
      <c r="V46" s="79"/>
      <c r="W46" s="79"/>
      <c r="Z46" s="130"/>
      <c r="AB46" s="106"/>
    </row>
    <row r="47">
      <c r="C47" s="79"/>
      <c r="D47" s="79"/>
      <c r="E47" s="79"/>
      <c r="M47" s="79"/>
      <c r="R47" s="79"/>
      <c r="S47" s="79"/>
      <c r="V47" s="79"/>
      <c r="W47" s="79"/>
      <c r="Z47" s="130"/>
      <c r="AB47" s="106"/>
    </row>
    <row r="48">
      <c r="C48" s="79"/>
      <c r="D48" s="79"/>
      <c r="E48" s="79"/>
      <c r="M48" s="79"/>
      <c r="R48" s="79"/>
      <c r="S48" s="79"/>
      <c r="V48" s="79"/>
      <c r="W48" s="79"/>
      <c r="Z48" s="130"/>
      <c r="AB48" s="106"/>
    </row>
    <row r="49">
      <c r="C49" s="79"/>
      <c r="D49" s="79"/>
      <c r="E49" s="79"/>
      <c r="M49" s="79"/>
      <c r="R49" s="79"/>
      <c r="S49" s="79"/>
      <c r="V49" s="79"/>
      <c r="W49" s="79"/>
      <c r="Z49" s="130"/>
      <c r="AB49" s="106"/>
    </row>
    <row r="50">
      <c r="C50" s="79"/>
      <c r="D50" s="79"/>
      <c r="E50" s="79"/>
      <c r="M50" s="79"/>
      <c r="R50" s="79"/>
      <c r="S50" s="79"/>
      <c r="V50" s="79"/>
      <c r="W50" s="79"/>
      <c r="Z50" s="130"/>
      <c r="AB50" s="106"/>
    </row>
    <row r="51">
      <c r="C51" s="79"/>
      <c r="D51" s="79"/>
      <c r="E51" s="79"/>
      <c r="M51" s="79"/>
      <c r="R51" s="79"/>
      <c r="S51" s="79"/>
      <c r="V51" s="79"/>
      <c r="W51" s="79"/>
      <c r="Z51" s="130"/>
      <c r="AB51" s="106"/>
    </row>
    <row r="52">
      <c r="C52" s="79"/>
      <c r="D52" s="79"/>
      <c r="E52" s="79"/>
      <c r="M52" s="79"/>
      <c r="R52" s="79"/>
      <c r="S52" s="79"/>
      <c r="V52" s="79"/>
      <c r="W52" s="79"/>
      <c r="Z52" s="130"/>
      <c r="AB52" s="106"/>
    </row>
    <row r="53">
      <c r="C53" s="79"/>
      <c r="D53" s="79"/>
      <c r="E53" s="79"/>
      <c r="M53" s="79"/>
      <c r="R53" s="79"/>
      <c r="S53" s="79"/>
      <c r="V53" s="79"/>
      <c r="W53" s="79"/>
      <c r="Z53" s="130"/>
      <c r="AB53" s="106"/>
    </row>
    <row r="54">
      <c r="C54" s="79"/>
      <c r="D54" s="79"/>
      <c r="E54" s="79"/>
      <c r="M54" s="79"/>
      <c r="R54" s="79"/>
      <c r="S54" s="79"/>
      <c r="V54" s="79"/>
      <c r="W54" s="79"/>
      <c r="Z54" s="130"/>
      <c r="AB54" s="106"/>
    </row>
    <row r="55">
      <c r="C55" s="79"/>
      <c r="D55" s="79"/>
      <c r="E55" s="79"/>
      <c r="M55" s="79"/>
      <c r="R55" s="79"/>
      <c r="S55" s="79"/>
      <c r="V55" s="79"/>
      <c r="W55" s="79"/>
      <c r="Z55" s="130"/>
      <c r="AB55" s="106"/>
    </row>
    <row r="56">
      <c r="C56" s="79"/>
      <c r="D56" s="79"/>
      <c r="E56" s="79"/>
      <c r="M56" s="79"/>
      <c r="R56" s="79"/>
      <c r="S56" s="79"/>
      <c r="V56" s="79"/>
      <c r="W56" s="79"/>
      <c r="Z56" s="130"/>
      <c r="AB56" s="106"/>
    </row>
    <row r="57">
      <c r="C57" s="79"/>
      <c r="D57" s="79"/>
      <c r="E57" s="79"/>
      <c r="M57" s="79"/>
      <c r="R57" s="79"/>
      <c r="S57" s="79"/>
      <c r="V57" s="79"/>
      <c r="W57" s="79"/>
      <c r="Z57" s="130"/>
      <c r="AB57" s="106"/>
    </row>
    <row r="58">
      <c r="C58" s="79"/>
      <c r="D58" s="79"/>
      <c r="E58" s="79"/>
      <c r="M58" s="79"/>
      <c r="R58" s="79"/>
      <c r="S58" s="79"/>
      <c r="V58" s="79"/>
      <c r="W58" s="79"/>
      <c r="Z58" s="130"/>
      <c r="AB58" s="106"/>
    </row>
    <row r="59">
      <c r="C59" s="79"/>
      <c r="D59" s="79"/>
      <c r="E59" s="79"/>
      <c r="M59" s="79"/>
      <c r="R59" s="79"/>
      <c r="S59" s="79"/>
      <c r="V59" s="79"/>
      <c r="W59" s="79"/>
      <c r="Z59" s="130"/>
      <c r="AB59" s="106"/>
    </row>
    <row r="60">
      <c r="C60" s="79"/>
      <c r="D60" s="79"/>
      <c r="E60" s="79"/>
      <c r="M60" s="79"/>
      <c r="R60" s="79"/>
      <c r="S60" s="79"/>
      <c r="V60" s="79"/>
      <c r="W60" s="79"/>
      <c r="Z60" s="130"/>
      <c r="AB60" s="106"/>
    </row>
    <row r="61">
      <c r="C61" s="79"/>
      <c r="D61" s="79"/>
      <c r="E61" s="79"/>
      <c r="M61" s="79"/>
      <c r="R61" s="79"/>
      <c r="S61" s="79"/>
      <c r="V61" s="79"/>
      <c r="W61" s="79"/>
      <c r="Z61" s="130"/>
      <c r="AB61" s="106"/>
    </row>
    <row r="62">
      <c r="C62" s="79"/>
      <c r="D62" s="79"/>
      <c r="E62" s="79"/>
      <c r="M62" s="79"/>
      <c r="R62" s="79"/>
      <c r="S62" s="79"/>
      <c r="V62" s="79"/>
      <c r="W62" s="79"/>
      <c r="Z62" s="130"/>
      <c r="AB62" s="106"/>
    </row>
    <row r="63">
      <c r="C63" s="79"/>
      <c r="D63" s="79"/>
      <c r="E63" s="79"/>
      <c r="M63" s="79"/>
      <c r="R63" s="79"/>
      <c r="S63" s="79"/>
      <c r="V63" s="79"/>
      <c r="W63" s="79"/>
      <c r="Z63" s="130"/>
      <c r="AB63" s="106"/>
    </row>
    <row r="64">
      <c r="C64" s="79"/>
      <c r="D64" s="79"/>
      <c r="E64" s="79"/>
      <c r="M64" s="79"/>
      <c r="R64" s="79"/>
      <c r="S64" s="79"/>
      <c r="V64" s="79"/>
      <c r="W64" s="79"/>
      <c r="Z64" s="130"/>
      <c r="AB64" s="106"/>
    </row>
    <row r="65">
      <c r="C65" s="79"/>
      <c r="D65" s="79"/>
      <c r="E65" s="79"/>
      <c r="M65" s="79"/>
      <c r="R65" s="79"/>
      <c r="S65" s="79"/>
      <c r="V65" s="79"/>
      <c r="W65" s="79"/>
      <c r="Z65" s="130"/>
      <c r="AB65" s="106"/>
    </row>
    <row r="66">
      <c r="C66" s="79"/>
      <c r="D66" s="79"/>
      <c r="E66" s="79"/>
      <c r="M66" s="79"/>
      <c r="R66" s="79"/>
      <c r="S66" s="79"/>
      <c r="V66" s="79"/>
      <c r="W66" s="79"/>
      <c r="Z66" s="130"/>
      <c r="AB66" s="106"/>
    </row>
    <row r="67">
      <c r="C67" s="79"/>
      <c r="D67" s="79"/>
      <c r="E67" s="79"/>
      <c r="M67" s="79"/>
      <c r="R67" s="79"/>
      <c r="S67" s="79"/>
      <c r="V67" s="79"/>
      <c r="W67" s="79"/>
      <c r="Z67" s="130"/>
      <c r="AB67" s="106"/>
    </row>
    <row r="68">
      <c r="C68" s="79"/>
      <c r="D68" s="79"/>
      <c r="E68" s="79"/>
      <c r="M68" s="79"/>
      <c r="R68" s="79"/>
      <c r="S68" s="79"/>
      <c r="V68" s="79"/>
      <c r="W68" s="79"/>
      <c r="Z68" s="130"/>
      <c r="AB68" s="106"/>
    </row>
    <row r="69">
      <c r="C69" s="79"/>
      <c r="D69" s="79"/>
      <c r="E69" s="79"/>
      <c r="M69" s="79"/>
      <c r="R69" s="79"/>
      <c r="S69" s="79"/>
      <c r="V69" s="79"/>
      <c r="W69" s="79"/>
      <c r="Z69" s="130"/>
      <c r="AB69" s="106"/>
    </row>
    <row r="70">
      <c r="C70" s="79"/>
      <c r="D70" s="79"/>
      <c r="E70" s="79"/>
      <c r="M70" s="79"/>
      <c r="R70" s="79"/>
      <c r="S70" s="79"/>
      <c r="V70" s="79"/>
      <c r="W70" s="79"/>
      <c r="Z70" s="130"/>
      <c r="AB70" s="106"/>
    </row>
    <row r="71">
      <c r="C71" s="79"/>
      <c r="D71" s="79"/>
      <c r="E71" s="79"/>
      <c r="M71" s="79"/>
      <c r="R71" s="79"/>
      <c r="S71" s="79"/>
      <c r="V71" s="79"/>
      <c r="W71" s="79"/>
      <c r="Z71" s="130"/>
      <c r="AB71" s="106"/>
    </row>
    <row r="72">
      <c r="C72" s="79"/>
      <c r="D72" s="79"/>
      <c r="E72" s="79"/>
      <c r="M72" s="79"/>
      <c r="R72" s="79"/>
      <c r="S72" s="79"/>
      <c r="V72" s="79"/>
      <c r="W72" s="79"/>
      <c r="Z72" s="130"/>
      <c r="AB72" s="106"/>
    </row>
    <row r="73">
      <c r="C73" s="79"/>
      <c r="D73" s="79"/>
      <c r="E73" s="79"/>
      <c r="M73" s="79"/>
      <c r="R73" s="79"/>
      <c r="S73" s="79"/>
      <c r="V73" s="79"/>
      <c r="W73" s="79"/>
      <c r="Z73" s="130"/>
      <c r="AB73" s="106"/>
    </row>
    <row r="74">
      <c r="C74" s="79"/>
      <c r="D74" s="79"/>
      <c r="E74" s="79"/>
      <c r="M74" s="79"/>
      <c r="R74" s="79"/>
      <c r="S74" s="79"/>
      <c r="V74" s="79"/>
      <c r="W74" s="79"/>
      <c r="Z74" s="130"/>
      <c r="AB74" s="106"/>
    </row>
    <row r="75">
      <c r="C75" s="79"/>
      <c r="D75" s="79"/>
      <c r="E75" s="79"/>
      <c r="M75" s="79"/>
      <c r="R75" s="79"/>
      <c r="S75" s="79"/>
      <c r="V75" s="79"/>
      <c r="W75" s="79"/>
      <c r="Z75" s="130"/>
      <c r="AB75" s="106"/>
    </row>
    <row r="76">
      <c r="C76" s="79"/>
      <c r="D76" s="79"/>
      <c r="E76" s="79"/>
      <c r="M76" s="79"/>
      <c r="R76" s="79"/>
      <c r="S76" s="79"/>
      <c r="V76" s="79"/>
      <c r="W76" s="79"/>
      <c r="Z76" s="130"/>
      <c r="AB76" s="106"/>
    </row>
    <row r="77">
      <c r="C77" s="79"/>
      <c r="D77" s="79"/>
      <c r="E77" s="79"/>
      <c r="M77" s="79"/>
      <c r="R77" s="79"/>
      <c r="S77" s="79"/>
      <c r="V77" s="79"/>
      <c r="W77" s="79"/>
      <c r="Z77" s="130"/>
      <c r="AB77" s="106"/>
    </row>
    <row r="78">
      <c r="C78" s="79"/>
      <c r="D78" s="79"/>
      <c r="E78" s="79"/>
      <c r="M78" s="79"/>
      <c r="R78" s="79"/>
      <c r="S78" s="79"/>
      <c r="V78" s="79"/>
      <c r="W78" s="79"/>
      <c r="Z78" s="130"/>
      <c r="AB78" s="106"/>
    </row>
    <row r="79">
      <c r="C79" s="79"/>
      <c r="D79" s="79"/>
      <c r="E79" s="79"/>
      <c r="M79" s="79"/>
      <c r="R79" s="79"/>
      <c r="S79" s="79"/>
      <c r="V79" s="79"/>
      <c r="W79" s="79"/>
      <c r="Z79" s="130"/>
      <c r="AB79" s="106"/>
    </row>
    <row r="80">
      <c r="C80" s="79"/>
      <c r="D80" s="79"/>
      <c r="E80" s="79"/>
      <c r="M80" s="79"/>
      <c r="R80" s="79"/>
      <c r="S80" s="79"/>
      <c r="V80" s="79"/>
      <c r="W80" s="79"/>
      <c r="Z80" s="130"/>
      <c r="AB80" s="106"/>
    </row>
    <row r="81">
      <c r="C81" s="79"/>
      <c r="D81" s="79"/>
      <c r="E81" s="79"/>
      <c r="M81" s="79"/>
      <c r="R81" s="79"/>
      <c r="S81" s="79"/>
      <c r="V81" s="79"/>
      <c r="W81" s="79"/>
      <c r="Z81" s="130"/>
      <c r="AB81" s="106"/>
    </row>
    <row r="82">
      <c r="C82" s="79"/>
      <c r="D82" s="79"/>
      <c r="E82" s="79"/>
      <c r="M82" s="79"/>
      <c r="R82" s="79"/>
      <c r="S82" s="79"/>
      <c r="V82" s="79"/>
      <c r="W82" s="79"/>
      <c r="Z82" s="130"/>
      <c r="AB82" s="106"/>
    </row>
    <row r="83">
      <c r="C83" s="79"/>
      <c r="D83" s="79"/>
      <c r="E83" s="79"/>
      <c r="M83" s="79"/>
      <c r="R83" s="79"/>
      <c r="S83" s="79"/>
      <c r="V83" s="79"/>
      <c r="W83" s="79"/>
      <c r="Z83" s="130"/>
      <c r="AB83" s="106"/>
    </row>
    <row r="84">
      <c r="C84" s="79"/>
      <c r="D84" s="79"/>
      <c r="E84" s="79"/>
      <c r="M84" s="79"/>
      <c r="R84" s="79"/>
      <c r="S84" s="79"/>
      <c r="V84" s="79"/>
      <c r="W84" s="79"/>
      <c r="Z84" s="130"/>
      <c r="AB84" s="106"/>
    </row>
    <row r="85">
      <c r="C85" s="79"/>
      <c r="D85" s="79"/>
      <c r="E85" s="79"/>
      <c r="M85" s="79"/>
      <c r="R85" s="79"/>
      <c r="S85" s="79"/>
      <c r="V85" s="79"/>
      <c r="W85" s="79"/>
      <c r="Z85" s="130"/>
      <c r="AB85" s="106"/>
    </row>
    <row r="86">
      <c r="C86" s="79"/>
      <c r="D86" s="79"/>
      <c r="E86" s="79"/>
      <c r="M86" s="79"/>
      <c r="R86" s="79"/>
      <c r="S86" s="79"/>
      <c r="V86" s="79"/>
      <c r="W86" s="79"/>
      <c r="Z86" s="130"/>
      <c r="AB86" s="106"/>
    </row>
    <row r="87">
      <c r="C87" s="79"/>
      <c r="D87" s="79"/>
      <c r="E87" s="79"/>
      <c r="M87" s="79"/>
      <c r="R87" s="79"/>
      <c r="S87" s="79"/>
      <c r="V87" s="79"/>
      <c r="W87" s="79"/>
      <c r="Z87" s="130"/>
      <c r="AB87" s="106"/>
    </row>
    <row r="88">
      <c r="C88" s="79"/>
      <c r="D88" s="79"/>
      <c r="E88" s="79"/>
      <c r="M88" s="79"/>
      <c r="R88" s="79"/>
      <c r="S88" s="79"/>
      <c r="V88" s="79"/>
      <c r="W88" s="79"/>
      <c r="Z88" s="130"/>
      <c r="AB88" s="106"/>
    </row>
    <row r="89">
      <c r="C89" s="79"/>
      <c r="D89" s="79"/>
      <c r="E89" s="79"/>
      <c r="M89" s="79"/>
      <c r="R89" s="79"/>
      <c r="S89" s="79"/>
      <c r="V89" s="79"/>
      <c r="W89" s="79"/>
      <c r="Z89" s="130"/>
      <c r="AB89" s="106"/>
    </row>
    <row r="90">
      <c r="C90" s="79"/>
      <c r="D90" s="79"/>
      <c r="E90" s="79"/>
      <c r="M90" s="79"/>
      <c r="R90" s="79"/>
      <c r="S90" s="79"/>
      <c r="V90" s="79"/>
      <c r="W90" s="79"/>
      <c r="Z90" s="130"/>
      <c r="AB90" s="106"/>
    </row>
    <row r="91">
      <c r="C91" s="79"/>
      <c r="D91" s="79"/>
      <c r="E91" s="79"/>
      <c r="M91" s="79"/>
      <c r="R91" s="79"/>
      <c r="S91" s="79"/>
      <c r="V91" s="79"/>
      <c r="W91" s="79"/>
      <c r="Z91" s="130"/>
      <c r="AB91" s="106"/>
    </row>
    <row r="92">
      <c r="C92" s="79"/>
      <c r="D92" s="79"/>
      <c r="E92" s="79"/>
      <c r="M92" s="79"/>
      <c r="R92" s="79"/>
      <c r="S92" s="79"/>
      <c r="V92" s="79"/>
      <c r="W92" s="79"/>
      <c r="Z92" s="130"/>
      <c r="AB92" s="106"/>
    </row>
    <row r="93">
      <c r="C93" s="79"/>
      <c r="D93" s="79"/>
      <c r="E93" s="79"/>
      <c r="M93" s="79"/>
      <c r="R93" s="79"/>
      <c r="S93" s="79"/>
      <c r="V93" s="79"/>
      <c r="W93" s="79"/>
      <c r="Z93" s="130"/>
      <c r="AB93" s="106"/>
    </row>
    <row r="94">
      <c r="C94" s="79"/>
      <c r="D94" s="79"/>
      <c r="E94" s="79"/>
      <c r="M94" s="79"/>
      <c r="R94" s="79"/>
      <c r="S94" s="79"/>
      <c r="V94" s="79"/>
      <c r="W94" s="79"/>
      <c r="Z94" s="130"/>
      <c r="AB94" s="106"/>
    </row>
    <row r="95">
      <c r="C95" s="79"/>
      <c r="D95" s="79"/>
      <c r="E95" s="79"/>
      <c r="M95" s="79"/>
      <c r="R95" s="79"/>
      <c r="S95" s="79"/>
      <c r="V95" s="79"/>
      <c r="W95" s="79"/>
      <c r="Z95" s="130"/>
      <c r="AB95" s="106"/>
    </row>
    <row r="96">
      <c r="C96" s="79"/>
      <c r="D96" s="79"/>
      <c r="E96" s="79"/>
      <c r="M96" s="79"/>
      <c r="R96" s="79"/>
      <c r="S96" s="79"/>
      <c r="V96" s="79"/>
      <c r="W96" s="79"/>
      <c r="Z96" s="130"/>
      <c r="AB96" s="106"/>
    </row>
    <row r="97">
      <c r="C97" s="79"/>
      <c r="D97" s="79"/>
      <c r="E97" s="79"/>
      <c r="M97" s="79"/>
      <c r="R97" s="79"/>
      <c r="S97" s="79"/>
      <c r="V97" s="79"/>
      <c r="W97" s="79"/>
      <c r="Z97" s="130"/>
      <c r="AB97" s="106"/>
    </row>
    <row r="98">
      <c r="C98" s="79"/>
      <c r="D98" s="79"/>
      <c r="E98" s="79"/>
      <c r="M98" s="79"/>
      <c r="R98" s="79"/>
      <c r="S98" s="79"/>
      <c r="V98" s="79"/>
      <c r="W98" s="79"/>
      <c r="Z98" s="130"/>
      <c r="AB98" s="106"/>
    </row>
    <row r="99">
      <c r="C99" s="79"/>
      <c r="D99" s="79"/>
      <c r="E99" s="79"/>
      <c r="M99" s="79"/>
      <c r="R99" s="79"/>
      <c r="S99" s="79"/>
      <c r="V99" s="79"/>
      <c r="W99" s="79"/>
      <c r="Z99" s="130"/>
      <c r="AB99" s="106"/>
    </row>
    <row r="100">
      <c r="C100" s="79"/>
      <c r="D100" s="79"/>
      <c r="E100" s="79"/>
      <c r="M100" s="79"/>
      <c r="R100" s="79"/>
      <c r="S100" s="79"/>
      <c r="V100" s="79"/>
      <c r="W100" s="79"/>
      <c r="Z100" s="130"/>
      <c r="AB100" s="106"/>
    </row>
    <row r="101">
      <c r="C101" s="79"/>
      <c r="D101" s="79"/>
      <c r="E101" s="79"/>
      <c r="M101" s="79"/>
      <c r="R101" s="79"/>
      <c r="S101" s="79"/>
      <c r="V101" s="79"/>
      <c r="W101" s="79"/>
      <c r="Z101" s="130"/>
      <c r="AB101" s="106"/>
    </row>
    <row r="102">
      <c r="C102" s="79"/>
      <c r="D102" s="79"/>
      <c r="E102" s="79"/>
      <c r="M102" s="79"/>
      <c r="R102" s="79"/>
      <c r="S102" s="79"/>
      <c r="V102" s="79"/>
      <c r="W102" s="79"/>
      <c r="Z102" s="130"/>
      <c r="AB102" s="106"/>
    </row>
    <row r="103">
      <c r="C103" s="79"/>
      <c r="D103" s="79"/>
      <c r="E103" s="79"/>
      <c r="M103" s="79"/>
      <c r="R103" s="79"/>
      <c r="S103" s="79"/>
      <c r="V103" s="79"/>
      <c r="W103" s="79"/>
      <c r="Z103" s="130"/>
      <c r="AB103" s="106"/>
    </row>
    <row r="104">
      <c r="C104" s="79"/>
      <c r="D104" s="79"/>
      <c r="E104" s="79"/>
      <c r="M104" s="79"/>
      <c r="R104" s="79"/>
      <c r="S104" s="79"/>
      <c r="V104" s="79"/>
      <c r="W104" s="79"/>
      <c r="Z104" s="130"/>
      <c r="AB104" s="106"/>
    </row>
    <row r="105">
      <c r="C105" s="79"/>
      <c r="D105" s="79"/>
      <c r="E105" s="79"/>
      <c r="M105" s="79"/>
      <c r="R105" s="79"/>
      <c r="S105" s="79"/>
      <c r="V105" s="79"/>
      <c r="W105" s="79"/>
      <c r="Z105" s="130"/>
      <c r="AB105" s="106"/>
    </row>
    <row r="106">
      <c r="C106" s="79"/>
      <c r="D106" s="79"/>
      <c r="E106" s="79"/>
      <c r="M106" s="79"/>
      <c r="R106" s="79"/>
      <c r="S106" s="79"/>
      <c r="V106" s="79"/>
      <c r="W106" s="79"/>
      <c r="Z106" s="130"/>
      <c r="AB106" s="106"/>
    </row>
    <row r="107">
      <c r="C107" s="79"/>
      <c r="D107" s="79"/>
      <c r="E107" s="79"/>
      <c r="M107" s="79"/>
      <c r="R107" s="79"/>
      <c r="S107" s="79"/>
      <c r="V107" s="79"/>
      <c r="W107" s="79"/>
      <c r="Z107" s="130"/>
      <c r="AB107" s="106"/>
    </row>
    <row r="108">
      <c r="C108" s="79"/>
      <c r="D108" s="79"/>
      <c r="E108" s="79"/>
      <c r="M108" s="79"/>
      <c r="R108" s="79"/>
      <c r="S108" s="79"/>
      <c r="V108" s="79"/>
      <c r="W108" s="79"/>
      <c r="Z108" s="130"/>
      <c r="AB108" s="106"/>
    </row>
    <row r="109">
      <c r="C109" s="79"/>
      <c r="D109" s="79"/>
      <c r="E109" s="79"/>
      <c r="M109" s="79"/>
      <c r="R109" s="79"/>
      <c r="S109" s="79"/>
      <c r="V109" s="79"/>
      <c r="W109" s="79"/>
      <c r="Z109" s="130"/>
      <c r="AB109" s="106"/>
    </row>
    <row r="110">
      <c r="C110" s="79"/>
      <c r="D110" s="79"/>
      <c r="E110" s="79"/>
      <c r="M110" s="79"/>
      <c r="R110" s="79"/>
      <c r="S110" s="79"/>
      <c r="V110" s="79"/>
      <c r="W110" s="79"/>
      <c r="Z110" s="130"/>
      <c r="AB110" s="106"/>
    </row>
    <row r="111">
      <c r="C111" s="79"/>
      <c r="D111" s="79"/>
      <c r="E111" s="79"/>
      <c r="M111" s="79"/>
      <c r="R111" s="79"/>
      <c r="S111" s="79"/>
      <c r="V111" s="79"/>
      <c r="W111" s="79"/>
      <c r="Z111" s="130"/>
      <c r="AB111" s="106"/>
    </row>
    <row r="112">
      <c r="C112" s="79"/>
      <c r="D112" s="79"/>
      <c r="E112" s="79"/>
      <c r="M112" s="79"/>
      <c r="R112" s="79"/>
      <c r="S112" s="79"/>
      <c r="V112" s="79"/>
      <c r="W112" s="79"/>
      <c r="Z112" s="130"/>
      <c r="AB112" s="106"/>
    </row>
    <row r="113">
      <c r="C113" s="79"/>
      <c r="D113" s="79"/>
      <c r="E113" s="79"/>
      <c r="M113" s="79"/>
      <c r="R113" s="79"/>
      <c r="S113" s="79"/>
      <c r="V113" s="79"/>
      <c r="W113" s="79"/>
      <c r="Z113" s="130"/>
      <c r="AB113" s="106"/>
    </row>
    <row r="114">
      <c r="C114" s="79"/>
      <c r="D114" s="79"/>
      <c r="E114" s="79"/>
      <c r="M114" s="79"/>
      <c r="R114" s="79"/>
      <c r="S114" s="79"/>
      <c r="V114" s="79"/>
      <c r="W114" s="79"/>
      <c r="Z114" s="130"/>
      <c r="AB114" s="106"/>
    </row>
    <row r="115">
      <c r="C115" s="79"/>
      <c r="D115" s="79"/>
      <c r="E115" s="79"/>
      <c r="M115" s="79"/>
      <c r="R115" s="79"/>
      <c r="S115" s="79"/>
      <c r="V115" s="79"/>
      <c r="W115" s="79"/>
      <c r="Z115" s="130"/>
      <c r="AB115" s="106"/>
    </row>
    <row r="116">
      <c r="C116" s="79"/>
      <c r="D116" s="79"/>
      <c r="E116" s="79"/>
      <c r="M116" s="79"/>
      <c r="R116" s="79"/>
      <c r="S116" s="79"/>
      <c r="V116" s="79"/>
      <c r="W116" s="79"/>
      <c r="Z116" s="130"/>
      <c r="AB116" s="106"/>
    </row>
    <row r="117">
      <c r="C117" s="79"/>
      <c r="D117" s="79"/>
      <c r="E117" s="79"/>
      <c r="M117" s="79"/>
      <c r="R117" s="79"/>
      <c r="S117" s="79"/>
      <c r="V117" s="79"/>
      <c r="W117" s="79"/>
      <c r="Z117" s="130"/>
      <c r="AB117" s="106"/>
    </row>
    <row r="118">
      <c r="C118" s="79"/>
      <c r="D118" s="79"/>
      <c r="E118" s="79"/>
      <c r="M118" s="79"/>
      <c r="R118" s="79"/>
      <c r="S118" s="79"/>
      <c r="V118" s="79"/>
      <c r="W118" s="79"/>
      <c r="Z118" s="130"/>
      <c r="AB118" s="106"/>
    </row>
    <row r="119">
      <c r="C119" s="79"/>
      <c r="D119" s="79"/>
      <c r="E119" s="79"/>
      <c r="M119" s="79"/>
      <c r="R119" s="79"/>
      <c r="S119" s="79"/>
      <c r="V119" s="79"/>
      <c r="W119" s="79"/>
      <c r="Z119" s="130"/>
      <c r="AB119" s="106"/>
    </row>
    <row r="120">
      <c r="C120" s="79"/>
      <c r="D120" s="79"/>
      <c r="E120" s="79"/>
      <c r="M120" s="79"/>
      <c r="R120" s="79"/>
      <c r="S120" s="79"/>
      <c r="V120" s="79"/>
      <c r="W120" s="79"/>
      <c r="Z120" s="130"/>
      <c r="AB120" s="106"/>
    </row>
    <row r="121">
      <c r="C121" s="79"/>
      <c r="D121" s="79"/>
      <c r="E121" s="79"/>
      <c r="M121" s="79"/>
      <c r="R121" s="79"/>
      <c r="S121" s="79"/>
      <c r="V121" s="79"/>
      <c r="W121" s="79"/>
      <c r="Z121" s="130"/>
      <c r="AB121" s="106"/>
    </row>
    <row r="122">
      <c r="C122" s="79"/>
      <c r="D122" s="79"/>
      <c r="E122" s="79"/>
      <c r="M122" s="79"/>
      <c r="R122" s="79"/>
      <c r="S122" s="79"/>
      <c r="V122" s="79"/>
      <c r="W122" s="79"/>
      <c r="Z122" s="130"/>
      <c r="AB122" s="106"/>
    </row>
    <row r="123">
      <c r="C123" s="79"/>
      <c r="D123" s="79"/>
      <c r="E123" s="79"/>
      <c r="M123" s="79"/>
      <c r="R123" s="79"/>
      <c r="S123" s="79"/>
      <c r="V123" s="79"/>
      <c r="W123" s="79"/>
      <c r="Z123" s="130"/>
      <c r="AB123" s="106"/>
    </row>
    <row r="124">
      <c r="C124" s="79"/>
      <c r="D124" s="79"/>
      <c r="E124" s="79"/>
      <c r="M124" s="79"/>
      <c r="R124" s="79"/>
      <c r="S124" s="79"/>
      <c r="V124" s="79"/>
      <c r="W124" s="79"/>
      <c r="Z124" s="130"/>
      <c r="AB124" s="106"/>
    </row>
    <row r="125">
      <c r="C125" s="79"/>
      <c r="D125" s="79"/>
      <c r="E125" s="79"/>
      <c r="M125" s="79"/>
      <c r="R125" s="79"/>
      <c r="S125" s="79"/>
      <c r="V125" s="79"/>
      <c r="W125" s="79"/>
      <c r="Z125" s="130"/>
      <c r="AB125" s="106"/>
    </row>
    <row r="126">
      <c r="C126" s="79"/>
      <c r="D126" s="79"/>
      <c r="E126" s="79"/>
      <c r="M126" s="79"/>
      <c r="R126" s="79"/>
      <c r="S126" s="79"/>
      <c r="V126" s="79"/>
      <c r="W126" s="79"/>
      <c r="Z126" s="130"/>
      <c r="AB126" s="106"/>
    </row>
    <row r="127">
      <c r="C127" s="79"/>
      <c r="D127" s="79"/>
      <c r="E127" s="79"/>
      <c r="M127" s="79"/>
      <c r="R127" s="79"/>
      <c r="S127" s="79"/>
      <c r="V127" s="79"/>
      <c r="W127" s="79"/>
      <c r="Z127" s="130"/>
      <c r="AB127" s="106"/>
    </row>
    <row r="128">
      <c r="C128" s="79"/>
      <c r="D128" s="79"/>
      <c r="E128" s="79"/>
      <c r="M128" s="79"/>
      <c r="R128" s="79"/>
      <c r="S128" s="79"/>
      <c r="V128" s="79"/>
      <c r="W128" s="79"/>
      <c r="Z128" s="130"/>
      <c r="AB128" s="106"/>
    </row>
    <row r="129">
      <c r="C129" s="79"/>
      <c r="D129" s="79"/>
      <c r="E129" s="79"/>
      <c r="M129" s="79"/>
      <c r="R129" s="79"/>
      <c r="S129" s="79"/>
      <c r="V129" s="79"/>
      <c r="W129" s="79"/>
      <c r="Z129" s="130"/>
      <c r="AB129" s="106"/>
    </row>
    <row r="130">
      <c r="C130" s="79"/>
      <c r="D130" s="79"/>
      <c r="E130" s="79"/>
      <c r="M130" s="79"/>
      <c r="R130" s="79"/>
      <c r="S130" s="79"/>
      <c r="V130" s="79"/>
      <c r="W130" s="79"/>
      <c r="Z130" s="130"/>
      <c r="AB130" s="106"/>
    </row>
    <row r="131">
      <c r="C131" s="79"/>
      <c r="D131" s="79"/>
      <c r="E131" s="79"/>
      <c r="M131" s="79"/>
      <c r="R131" s="79"/>
      <c r="S131" s="79"/>
      <c r="V131" s="79"/>
      <c r="W131" s="79"/>
      <c r="Z131" s="130"/>
      <c r="AB131" s="106"/>
    </row>
    <row r="132">
      <c r="C132" s="79"/>
      <c r="D132" s="79"/>
      <c r="E132" s="79"/>
      <c r="M132" s="79"/>
      <c r="R132" s="79"/>
      <c r="S132" s="79"/>
      <c r="V132" s="79"/>
      <c r="W132" s="79"/>
      <c r="Z132" s="130"/>
      <c r="AB132" s="106"/>
    </row>
    <row r="133">
      <c r="C133" s="79"/>
      <c r="D133" s="79"/>
      <c r="E133" s="79"/>
      <c r="M133" s="79"/>
      <c r="R133" s="79"/>
      <c r="S133" s="79"/>
      <c r="V133" s="79"/>
      <c r="W133" s="79"/>
      <c r="Z133" s="130"/>
      <c r="AB133" s="106"/>
    </row>
    <row r="134">
      <c r="C134" s="79"/>
      <c r="D134" s="79"/>
      <c r="E134" s="79"/>
      <c r="M134" s="79"/>
      <c r="R134" s="79"/>
      <c r="S134" s="79"/>
      <c r="V134" s="79"/>
      <c r="W134" s="79"/>
      <c r="Z134" s="130"/>
      <c r="AB134" s="106"/>
    </row>
    <row r="135">
      <c r="C135" s="79"/>
      <c r="D135" s="79"/>
      <c r="E135" s="79"/>
      <c r="M135" s="79"/>
      <c r="R135" s="79"/>
      <c r="S135" s="79"/>
      <c r="V135" s="79"/>
      <c r="W135" s="79"/>
      <c r="Z135" s="130"/>
      <c r="AB135" s="106"/>
    </row>
    <row r="136">
      <c r="C136" s="79"/>
      <c r="D136" s="79"/>
      <c r="E136" s="79"/>
      <c r="M136" s="79"/>
      <c r="R136" s="79"/>
      <c r="S136" s="79"/>
      <c r="V136" s="79"/>
      <c r="W136" s="79"/>
      <c r="Z136" s="130"/>
      <c r="AB136" s="106"/>
    </row>
    <row r="137">
      <c r="C137" s="79"/>
      <c r="D137" s="79"/>
      <c r="E137" s="79"/>
      <c r="M137" s="79"/>
      <c r="R137" s="79"/>
      <c r="S137" s="79"/>
      <c r="V137" s="79"/>
      <c r="W137" s="79"/>
      <c r="Z137" s="130"/>
      <c r="AB137" s="106"/>
    </row>
    <row r="138">
      <c r="C138" s="79"/>
      <c r="D138" s="79"/>
      <c r="E138" s="79"/>
      <c r="M138" s="79"/>
      <c r="R138" s="79"/>
      <c r="S138" s="79"/>
      <c r="V138" s="79"/>
      <c r="W138" s="79"/>
      <c r="Z138" s="130"/>
      <c r="AB138" s="106"/>
    </row>
    <row r="139">
      <c r="C139" s="79"/>
      <c r="D139" s="79"/>
      <c r="E139" s="79"/>
      <c r="M139" s="79"/>
      <c r="R139" s="79"/>
      <c r="S139" s="79"/>
      <c r="V139" s="79"/>
      <c r="W139" s="79"/>
      <c r="Z139" s="130"/>
      <c r="AB139" s="106"/>
    </row>
    <row r="140">
      <c r="C140" s="79"/>
      <c r="D140" s="79"/>
      <c r="E140" s="79"/>
      <c r="M140" s="79"/>
      <c r="R140" s="79"/>
      <c r="S140" s="79"/>
      <c r="V140" s="79"/>
      <c r="W140" s="79"/>
      <c r="Z140" s="130"/>
      <c r="AB140" s="106"/>
    </row>
    <row r="141">
      <c r="C141" s="79"/>
      <c r="D141" s="79"/>
      <c r="E141" s="79"/>
      <c r="M141" s="79"/>
      <c r="R141" s="79"/>
      <c r="S141" s="79"/>
      <c r="V141" s="79"/>
      <c r="W141" s="79"/>
      <c r="Z141" s="130"/>
      <c r="AB141" s="106"/>
    </row>
    <row r="142">
      <c r="C142" s="79"/>
      <c r="D142" s="79"/>
      <c r="E142" s="79"/>
      <c r="M142" s="79"/>
      <c r="R142" s="79"/>
      <c r="S142" s="79"/>
      <c r="V142" s="79"/>
      <c r="W142" s="79"/>
      <c r="Z142" s="130"/>
      <c r="AB142" s="106"/>
    </row>
    <row r="143">
      <c r="C143" s="79"/>
      <c r="D143" s="79"/>
      <c r="E143" s="79"/>
      <c r="M143" s="79"/>
      <c r="R143" s="79"/>
      <c r="S143" s="79"/>
      <c r="V143" s="79"/>
      <c r="W143" s="79"/>
      <c r="Z143" s="130"/>
      <c r="AB143" s="106"/>
    </row>
    <row r="144">
      <c r="C144" s="79"/>
      <c r="D144" s="79"/>
      <c r="E144" s="79"/>
      <c r="M144" s="79"/>
      <c r="R144" s="79"/>
      <c r="S144" s="79"/>
      <c r="V144" s="79"/>
      <c r="W144" s="79"/>
      <c r="Z144" s="130"/>
      <c r="AB144" s="106"/>
    </row>
    <row r="145">
      <c r="C145" s="79"/>
      <c r="D145" s="79"/>
      <c r="E145" s="79"/>
      <c r="M145" s="79"/>
      <c r="R145" s="79"/>
      <c r="S145" s="79"/>
      <c r="V145" s="79"/>
      <c r="W145" s="79"/>
      <c r="Z145" s="130"/>
      <c r="AB145" s="106"/>
    </row>
    <row r="146">
      <c r="C146" s="79"/>
      <c r="D146" s="79"/>
      <c r="E146" s="79"/>
      <c r="M146" s="79"/>
      <c r="R146" s="79"/>
      <c r="S146" s="79"/>
      <c r="V146" s="79"/>
      <c r="W146" s="79"/>
      <c r="Z146" s="130"/>
      <c r="AB146" s="106"/>
    </row>
    <row r="147">
      <c r="C147" s="79"/>
      <c r="D147" s="79"/>
      <c r="E147" s="79"/>
      <c r="M147" s="79"/>
      <c r="R147" s="79"/>
      <c r="S147" s="79"/>
      <c r="V147" s="79"/>
      <c r="W147" s="79"/>
      <c r="Z147" s="130"/>
      <c r="AB147" s="106"/>
    </row>
    <row r="148">
      <c r="C148" s="79"/>
      <c r="D148" s="79"/>
      <c r="E148" s="79"/>
      <c r="M148" s="79"/>
      <c r="R148" s="79"/>
      <c r="S148" s="79"/>
      <c r="V148" s="79"/>
      <c r="W148" s="79"/>
      <c r="Z148" s="130"/>
      <c r="AB148" s="106"/>
    </row>
    <row r="149">
      <c r="C149" s="79"/>
      <c r="D149" s="79"/>
      <c r="E149" s="79"/>
      <c r="M149" s="79"/>
      <c r="R149" s="79"/>
      <c r="S149" s="79"/>
      <c r="V149" s="79"/>
      <c r="W149" s="79"/>
      <c r="Z149" s="130"/>
      <c r="AB149" s="106"/>
    </row>
    <row r="150">
      <c r="C150" s="79"/>
      <c r="D150" s="79"/>
      <c r="E150" s="79"/>
      <c r="M150" s="79"/>
      <c r="R150" s="79"/>
      <c r="S150" s="79"/>
      <c r="V150" s="79"/>
      <c r="W150" s="79"/>
      <c r="Z150" s="130"/>
      <c r="AB150" s="106"/>
    </row>
    <row r="151">
      <c r="C151" s="79"/>
      <c r="D151" s="79"/>
      <c r="E151" s="79"/>
      <c r="M151" s="79"/>
      <c r="R151" s="79"/>
      <c r="S151" s="79"/>
      <c r="V151" s="79"/>
      <c r="W151" s="79"/>
      <c r="Z151" s="130"/>
      <c r="AB151" s="106"/>
    </row>
    <row r="152">
      <c r="C152" s="79"/>
      <c r="D152" s="79"/>
      <c r="E152" s="79"/>
      <c r="M152" s="79"/>
      <c r="R152" s="79"/>
      <c r="S152" s="79"/>
      <c r="V152" s="79"/>
      <c r="W152" s="79"/>
      <c r="Z152" s="130"/>
      <c r="AB152" s="106"/>
    </row>
    <row r="153">
      <c r="C153" s="79"/>
      <c r="D153" s="79"/>
      <c r="E153" s="79"/>
      <c r="M153" s="79"/>
      <c r="R153" s="79"/>
      <c r="S153" s="79"/>
      <c r="V153" s="79"/>
      <c r="W153" s="79"/>
      <c r="Z153" s="130"/>
      <c r="AB153" s="106"/>
    </row>
    <row r="154">
      <c r="C154" s="79"/>
      <c r="D154" s="79"/>
      <c r="E154" s="79"/>
      <c r="M154" s="79"/>
      <c r="R154" s="79"/>
      <c r="S154" s="79"/>
      <c r="V154" s="79"/>
      <c r="W154" s="79"/>
      <c r="Z154" s="130"/>
      <c r="AB154" s="106"/>
    </row>
    <row r="155">
      <c r="C155" s="79"/>
      <c r="D155" s="79"/>
      <c r="E155" s="79"/>
      <c r="M155" s="79"/>
      <c r="R155" s="79"/>
      <c r="S155" s="79"/>
      <c r="V155" s="79"/>
      <c r="W155" s="79"/>
      <c r="Z155" s="130"/>
      <c r="AB155" s="106"/>
    </row>
    <row r="156">
      <c r="C156" s="79"/>
      <c r="D156" s="79"/>
      <c r="E156" s="79"/>
      <c r="M156" s="79"/>
      <c r="R156" s="79"/>
      <c r="S156" s="79"/>
      <c r="V156" s="79"/>
      <c r="W156" s="79"/>
      <c r="Z156" s="130"/>
      <c r="AB156" s="106"/>
    </row>
    <row r="157">
      <c r="C157" s="79"/>
      <c r="D157" s="79"/>
      <c r="E157" s="79"/>
      <c r="M157" s="79"/>
      <c r="R157" s="79"/>
      <c r="S157" s="79"/>
      <c r="V157" s="79"/>
      <c r="W157" s="79"/>
      <c r="Z157" s="130"/>
      <c r="AB157" s="106"/>
    </row>
    <row r="158">
      <c r="C158" s="79"/>
      <c r="D158" s="79"/>
      <c r="E158" s="79"/>
      <c r="M158" s="79"/>
      <c r="R158" s="79"/>
      <c r="S158" s="79"/>
      <c r="V158" s="79"/>
      <c r="W158" s="79"/>
      <c r="Z158" s="130"/>
      <c r="AB158" s="106"/>
    </row>
    <row r="159">
      <c r="C159" s="79"/>
      <c r="D159" s="79"/>
      <c r="E159" s="79"/>
      <c r="M159" s="79"/>
      <c r="R159" s="79"/>
      <c r="S159" s="79"/>
      <c r="V159" s="79"/>
      <c r="W159" s="79"/>
      <c r="Z159" s="130"/>
      <c r="AB159" s="106"/>
    </row>
    <row r="160">
      <c r="C160" s="79"/>
      <c r="D160" s="79"/>
      <c r="E160" s="79"/>
      <c r="M160" s="79"/>
      <c r="R160" s="79"/>
      <c r="S160" s="79"/>
      <c r="V160" s="79"/>
      <c r="W160" s="79"/>
      <c r="Z160" s="130"/>
      <c r="AB160" s="106"/>
    </row>
    <row r="161">
      <c r="C161" s="79"/>
      <c r="D161" s="79"/>
      <c r="E161" s="79"/>
      <c r="M161" s="79"/>
      <c r="R161" s="79"/>
      <c r="S161" s="79"/>
      <c r="V161" s="79"/>
      <c r="W161" s="79"/>
      <c r="Z161" s="130"/>
      <c r="AB161" s="106"/>
    </row>
    <row r="162">
      <c r="C162" s="79"/>
      <c r="D162" s="79"/>
      <c r="E162" s="79"/>
      <c r="M162" s="79"/>
      <c r="R162" s="79"/>
      <c r="S162" s="79"/>
      <c r="V162" s="79"/>
      <c r="W162" s="79"/>
      <c r="Z162" s="130"/>
      <c r="AB162" s="106"/>
    </row>
    <row r="163">
      <c r="C163" s="79"/>
      <c r="D163" s="79"/>
      <c r="E163" s="79"/>
      <c r="M163" s="79"/>
      <c r="R163" s="79"/>
      <c r="S163" s="79"/>
      <c r="V163" s="79"/>
      <c r="W163" s="79"/>
      <c r="Z163" s="130"/>
      <c r="AB163" s="106"/>
    </row>
    <row r="164">
      <c r="C164" s="79"/>
      <c r="D164" s="79"/>
      <c r="E164" s="79"/>
      <c r="M164" s="79"/>
      <c r="R164" s="79"/>
      <c r="S164" s="79"/>
      <c r="V164" s="79"/>
      <c r="W164" s="79"/>
      <c r="Z164" s="130"/>
      <c r="AB164" s="106"/>
    </row>
    <row r="165">
      <c r="C165" s="79"/>
      <c r="D165" s="79"/>
      <c r="E165" s="79"/>
      <c r="M165" s="79"/>
      <c r="R165" s="79"/>
      <c r="S165" s="79"/>
      <c r="V165" s="79"/>
      <c r="W165" s="79"/>
      <c r="Z165" s="130"/>
      <c r="AB165" s="106"/>
    </row>
    <row r="166">
      <c r="C166" s="79"/>
      <c r="D166" s="79"/>
      <c r="E166" s="79"/>
      <c r="M166" s="79"/>
      <c r="R166" s="79"/>
      <c r="S166" s="79"/>
      <c r="V166" s="79"/>
      <c r="W166" s="79"/>
      <c r="Z166" s="130"/>
      <c r="AB166" s="106"/>
    </row>
    <row r="167">
      <c r="C167" s="79"/>
      <c r="D167" s="79"/>
      <c r="E167" s="79"/>
      <c r="M167" s="79"/>
      <c r="R167" s="79"/>
      <c r="S167" s="79"/>
      <c r="V167" s="79"/>
      <c r="W167" s="79"/>
      <c r="Z167" s="130"/>
      <c r="AB167" s="106"/>
    </row>
    <row r="168">
      <c r="C168" s="79"/>
      <c r="D168" s="79"/>
      <c r="E168" s="79"/>
      <c r="M168" s="79"/>
      <c r="R168" s="79"/>
      <c r="S168" s="79"/>
      <c r="V168" s="79"/>
      <c r="W168" s="79"/>
      <c r="Z168" s="130"/>
      <c r="AB168" s="106"/>
    </row>
    <row r="169">
      <c r="C169" s="79"/>
      <c r="D169" s="79"/>
      <c r="E169" s="79"/>
      <c r="M169" s="79"/>
      <c r="R169" s="79"/>
      <c r="S169" s="79"/>
      <c r="V169" s="79"/>
      <c r="W169" s="79"/>
      <c r="Z169" s="130"/>
      <c r="AB169" s="106"/>
    </row>
    <row r="170">
      <c r="C170" s="79"/>
      <c r="D170" s="79"/>
      <c r="E170" s="79"/>
      <c r="M170" s="79"/>
      <c r="R170" s="79"/>
      <c r="S170" s="79"/>
      <c r="V170" s="79"/>
      <c r="W170" s="79"/>
      <c r="Z170" s="130"/>
      <c r="AB170" s="106"/>
    </row>
    <row r="171">
      <c r="C171" s="79"/>
      <c r="D171" s="79"/>
      <c r="E171" s="79"/>
      <c r="M171" s="79"/>
      <c r="R171" s="79"/>
      <c r="S171" s="79"/>
      <c r="V171" s="79"/>
      <c r="W171" s="79"/>
      <c r="Z171" s="130"/>
      <c r="AB171" s="106"/>
    </row>
    <row r="172">
      <c r="C172" s="79"/>
      <c r="D172" s="79"/>
      <c r="E172" s="79"/>
      <c r="M172" s="79"/>
      <c r="R172" s="79"/>
      <c r="S172" s="79"/>
      <c r="V172" s="79"/>
      <c r="W172" s="79"/>
      <c r="Z172" s="130"/>
      <c r="AB172" s="106"/>
    </row>
    <row r="173">
      <c r="C173" s="79"/>
      <c r="D173" s="79"/>
      <c r="E173" s="79"/>
      <c r="M173" s="79"/>
      <c r="R173" s="79"/>
      <c r="S173" s="79"/>
      <c r="V173" s="79"/>
      <c r="W173" s="79"/>
      <c r="Z173" s="130"/>
      <c r="AB173" s="106"/>
    </row>
    <row r="174">
      <c r="C174" s="79"/>
      <c r="D174" s="79"/>
      <c r="E174" s="79"/>
      <c r="M174" s="79"/>
      <c r="R174" s="79"/>
      <c r="S174" s="79"/>
      <c r="V174" s="79"/>
      <c r="W174" s="79"/>
      <c r="Z174" s="130"/>
      <c r="AB174" s="106"/>
    </row>
    <row r="175">
      <c r="C175" s="79"/>
      <c r="D175" s="79"/>
      <c r="E175" s="79"/>
      <c r="M175" s="79"/>
      <c r="R175" s="79"/>
      <c r="S175" s="79"/>
      <c r="V175" s="79"/>
      <c r="W175" s="79"/>
      <c r="Z175" s="130"/>
      <c r="AB175" s="106"/>
    </row>
    <row r="176">
      <c r="C176" s="79"/>
      <c r="D176" s="79"/>
      <c r="E176" s="79"/>
      <c r="M176" s="79"/>
      <c r="R176" s="79"/>
      <c r="S176" s="79"/>
      <c r="V176" s="79"/>
      <c r="W176" s="79"/>
      <c r="Z176" s="130"/>
      <c r="AB176" s="106"/>
    </row>
    <row r="177">
      <c r="C177" s="79"/>
      <c r="D177" s="79"/>
      <c r="E177" s="79"/>
      <c r="M177" s="79"/>
      <c r="R177" s="79"/>
      <c r="S177" s="79"/>
      <c r="V177" s="79"/>
      <c r="W177" s="79"/>
      <c r="Z177" s="130"/>
      <c r="AB177" s="106"/>
    </row>
    <row r="178">
      <c r="C178" s="79"/>
      <c r="D178" s="79"/>
      <c r="E178" s="79"/>
      <c r="M178" s="79"/>
      <c r="R178" s="79"/>
      <c r="S178" s="79"/>
      <c r="V178" s="79"/>
      <c r="W178" s="79"/>
      <c r="Z178" s="130"/>
      <c r="AB178" s="106"/>
    </row>
    <row r="179">
      <c r="C179" s="79"/>
      <c r="D179" s="79"/>
      <c r="E179" s="79"/>
      <c r="M179" s="79"/>
      <c r="R179" s="79"/>
      <c r="S179" s="79"/>
      <c r="V179" s="79"/>
      <c r="W179" s="79"/>
      <c r="Z179" s="130"/>
      <c r="AB179" s="106"/>
    </row>
    <row r="180">
      <c r="C180" s="79"/>
      <c r="D180" s="79"/>
      <c r="E180" s="79"/>
      <c r="M180" s="79"/>
      <c r="R180" s="79"/>
      <c r="S180" s="79"/>
      <c r="V180" s="79"/>
      <c r="W180" s="79"/>
      <c r="Z180" s="130"/>
      <c r="AB180" s="106"/>
    </row>
    <row r="181">
      <c r="C181" s="79"/>
      <c r="D181" s="79"/>
      <c r="E181" s="79"/>
      <c r="M181" s="79"/>
      <c r="R181" s="79"/>
      <c r="S181" s="79"/>
      <c r="V181" s="79"/>
      <c r="W181" s="79"/>
      <c r="Z181" s="130"/>
      <c r="AB181" s="106"/>
    </row>
    <row r="182">
      <c r="C182" s="79"/>
      <c r="D182" s="79"/>
      <c r="E182" s="79"/>
      <c r="M182" s="79"/>
      <c r="R182" s="79"/>
      <c r="S182" s="79"/>
      <c r="V182" s="79"/>
      <c r="W182" s="79"/>
      <c r="Z182" s="130"/>
      <c r="AB182" s="106"/>
    </row>
    <row r="183">
      <c r="C183" s="79"/>
      <c r="D183" s="79"/>
      <c r="E183" s="79"/>
      <c r="M183" s="79"/>
      <c r="R183" s="79"/>
      <c r="S183" s="79"/>
      <c r="V183" s="79"/>
      <c r="W183" s="79"/>
      <c r="Z183" s="130"/>
      <c r="AB183" s="106"/>
    </row>
    <row r="184">
      <c r="C184" s="79"/>
      <c r="D184" s="79"/>
      <c r="E184" s="79"/>
      <c r="M184" s="79"/>
      <c r="R184" s="79"/>
      <c r="S184" s="79"/>
      <c r="V184" s="79"/>
      <c r="W184" s="79"/>
      <c r="Z184" s="130"/>
      <c r="AB184" s="106"/>
    </row>
    <row r="185">
      <c r="C185" s="79"/>
      <c r="D185" s="79"/>
      <c r="E185" s="79"/>
      <c r="M185" s="79"/>
      <c r="R185" s="79"/>
      <c r="S185" s="79"/>
      <c r="V185" s="79"/>
      <c r="W185" s="79"/>
      <c r="Z185" s="130"/>
      <c r="AB185" s="106"/>
    </row>
    <row r="186">
      <c r="C186" s="79"/>
      <c r="D186" s="79"/>
      <c r="E186" s="79"/>
      <c r="M186" s="79"/>
      <c r="R186" s="79"/>
      <c r="S186" s="79"/>
      <c r="V186" s="79"/>
      <c r="W186" s="79"/>
      <c r="Z186" s="130"/>
      <c r="AB186" s="106"/>
    </row>
    <row r="187">
      <c r="C187" s="79"/>
      <c r="D187" s="79"/>
      <c r="E187" s="79"/>
      <c r="M187" s="79"/>
      <c r="R187" s="79"/>
      <c r="S187" s="79"/>
      <c r="V187" s="79"/>
      <c r="W187" s="79"/>
      <c r="Z187" s="130"/>
      <c r="AB187" s="106"/>
    </row>
    <row r="188">
      <c r="C188" s="79"/>
      <c r="D188" s="79"/>
      <c r="E188" s="79"/>
      <c r="M188" s="79"/>
      <c r="R188" s="79"/>
      <c r="S188" s="79"/>
      <c r="V188" s="79"/>
      <c r="W188" s="79"/>
      <c r="Z188" s="130"/>
      <c r="AB188" s="106"/>
    </row>
    <row r="189">
      <c r="C189" s="79"/>
      <c r="D189" s="79"/>
      <c r="E189" s="79"/>
      <c r="M189" s="79"/>
      <c r="R189" s="79"/>
      <c r="S189" s="79"/>
      <c r="V189" s="79"/>
      <c r="W189" s="79"/>
      <c r="Z189" s="130"/>
      <c r="AB189" s="106"/>
    </row>
    <row r="190">
      <c r="C190" s="79"/>
      <c r="D190" s="79"/>
      <c r="E190" s="79"/>
      <c r="M190" s="79"/>
      <c r="R190" s="79"/>
      <c r="S190" s="79"/>
      <c r="V190" s="79"/>
      <c r="W190" s="79"/>
      <c r="Z190" s="130"/>
      <c r="AB190" s="106"/>
    </row>
    <row r="191">
      <c r="C191" s="79"/>
      <c r="D191" s="79"/>
      <c r="E191" s="79"/>
      <c r="M191" s="79"/>
      <c r="R191" s="79"/>
      <c r="S191" s="79"/>
      <c r="V191" s="79"/>
      <c r="W191" s="79"/>
      <c r="Z191" s="130"/>
      <c r="AB191" s="106"/>
    </row>
    <row r="192">
      <c r="C192" s="79"/>
      <c r="D192" s="79"/>
      <c r="E192" s="79"/>
      <c r="M192" s="79"/>
      <c r="R192" s="79"/>
      <c r="S192" s="79"/>
      <c r="V192" s="79"/>
      <c r="W192" s="79"/>
      <c r="Z192" s="130"/>
      <c r="AB192" s="106"/>
    </row>
    <row r="193">
      <c r="C193" s="79"/>
      <c r="D193" s="79"/>
      <c r="E193" s="79"/>
      <c r="M193" s="79"/>
      <c r="R193" s="79"/>
      <c r="S193" s="79"/>
      <c r="V193" s="79"/>
      <c r="W193" s="79"/>
      <c r="Z193" s="130"/>
      <c r="AB193" s="106"/>
    </row>
    <row r="194">
      <c r="C194" s="79"/>
      <c r="D194" s="79"/>
      <c r="E194" s="79"/>
      <c r="M194" s="79"/>
      <c r="R194" s="79"/>
      <c r="S194" s="79"/>
      <c r="V194" s="79"/>
      <c r="W194" s="79"/>
      <c r="Z194" s="130"/>
      <c r="AB194" s="106"/>
    </row>
    <row r="195">
      <c r="C195" s="79"/>
      <c r="D195" s="79"/>
      <c r="E195" s="79"/>
      <c r="M195" s="79"/>
      <c r="R195" s="79"/>
      <c r="S195" s="79"/>
      <c r="V195" s="79"/>
      <c r="W195" s="79"/>
      <c r="Z195" s="130"/>
      <c r="AB195" s="106"/>
    </row>
    <row r="196">
      <c r="C196" s="79"/>
      <c r="D196" s="79"/>
      <c r="E196" s="79"/>
      <c r="M196" s="79"/>
      <c r="R196" s="79"/>
      <c r="S196" s="79"/>
      <c r="V196" s="79"/>
      <c r="W196" s="79"/>
      <c r="Z196" s="130"/>
      <c r="AB196" s="106"/>
    </row>
    <row r="197">
      <c r="C197" s="79"/>
      <c r="D197" s="79"/>
      <c r="E197" s="79"/>
      <c r="M197" s="79"/>
      <c r="R197" s="79"/>
      <c r="S197" s="79"/>
      <c r="V197" s="79"/>
      <c r="W197" s="79"/>
      <c r="Z197" s="130"/>
      <c r="AB197" s="106"/>
    </row>
    <row r="198">
      <c r="C198" s="79"/>
      <c r="D198" s="79"/>
      <c r="E198" s="79"/>
      <c r="M198" s="79"/>
      <c r="R198" s="79"/>
      <c r="S198" s="79"/>
      <c r="V198" s="79"/>
      <c r="W198" s="79"/>
      <c r="Z198" s="130"/>
      <c r="AB198" s="106"/>
    </row>
    <row r="199">
      <c r="C199" s="79"/>
      <c r="D199" s="79"/>
      <c r="E199" s="79"/>
      <c r="M199" s="79"/>
      <c r="R199" s="79"/>
      <c r="S199" s="79"/>
      <c r="V199" s="79"/>
      <c r="W199" s="79"/>
      <c r="Z199" s="130"/>
      <c r="AB199" s="106"/>
    </row>
    <row r="200">
      <c r="C200" s="79"/>
      <c r="D200" s="79"/>
      <c r="E200" s="79"/>
      <c r="M200" s="79"/>
      <c r="R200" s="79"/>
      <c r="S200" s="79"/>
      <c r="V200" s="79"/>
      <c r="W200" s="79"/>
      <c r="Z200" s="130"/>
      <c r="AB200" s="106"/>
    </row>
    <row r="201">
      <c r="C201" s="79"/>
      <c r="D201" s="79"/>
      <c r="E201" s="79"/>
      <c r="M201" s="79"/>
      <c r="R201" s="79"/>
      <c r="S201" s="79"/>
      <c r="V201" s="79"/>
      <c r="W201" s="79"/>
      <c r="Z201" s="130"/>
      <c r="AB201" s="106"/>
    </row>
    <row r="202">
      <c r="C202" s="79"/>
      <c r="D202" s="79"/>
      <c r="E202" s="79"/>
      <c r="M202" s="79"/>
      <c r="R202" s="79"/>
      <c r="S202" s="79"/>
      <c r="V202" s="79"/>
      <c r="W202" s="79"/>
      <c r="Z202" s="130"/>
      <c r="AB202" s="106"/>
    </row>
    <row r="203">
      <c r="C203" s="79"/>
      <c r="D203" s="79"/>
      <c r="E203" s="79"/>
      <c r="M203" s="79"/>
      <c r="R203" s="79"/>
      <c r="S203" s="79"/>
      <c r="V203" s="79"/>
      <c r="W203" s="79"/>
      <c r="Z203" s="130"/>
      <c r="AB203" s="106"/>
    </row>
    <row r="204">
      <c r="C204" s="79"/>
      <c r="D204" s="79"/>
      <c r="E204" s="79"/>
      <c r="M204" s="79"/>
      <c r="R204" s="79"/>
      <c r="S204" s="79"/>
      <c r="V204" s="79"/>
      <c r="W204" s="79"/>
      <c r="Z204" s="130"/>
      <c r="AB204" s="106"/>
    </row>
    <row r="205">
      <c r="C205" s="79"/>
      <c r="D205" s="79"/>
      <c r="E205" s="79"/>
      <c r="M205" s="79"/>
      <c r="R205" s="79"/>
      <c r="S205" s="79"/>
      <c r="V205" s="79"/>
      <c r="W205" s="79"/>
      <c r="Z205" s="130"/>
      <c r="AB205" s="106"/>
    </row>
    <row r="206">
      <c r="C206" s="79"/>
      <c r="D206" s="79"/>
      <c r="E206" s="79"/>
      <c r="M206" s="79"/>
      <c r="R206" s="79"/>
      <c r="S206" s="79"/>
      <c r="V206" s="79"/>
      <c r="W206" s="79"/>
      <c r="Z206" s="130"/>
      <c r="AB206" s="106"/>
    </row>
    <row r="207">
      <c r="C207" s="79"/>
      <c r="D207" s="79"/>
      <c r="E207" s="79"/>
      <c r="M207" s="79"/>
      <c r="R207" s="79"/>
      <c r="S207" s="79"/>
      <c r="V207" s="79"/>
      <c r="W207" s="79"/>
      <c r="Z207" s="130"/>
      <c r="AB207" s="106"/>
    </row>
    <row r="208">
      <c r="C208" s="79"/>
      <c r="D208" s="79"/>
      <c r="E208" s="79"/>
      <c r="M208" s="79"/>
      <c r="R208" s="79"/>
      <c r="S208" s="79"/>
      <c r="V208" s="79"/>
      <c r="W208" s="79"/>
      <c r="Z208" s="130"/>
      <c r="AB208" s="106"/>
    </row>
    <row r="209">
      <c r="C209" s="79"/>
      <c r="D209" s="79"/>
      <c r="E209" s="79"/>
      <c r="M209" s="79"/>
      <c r="R209" s="79"/>
      <c r="S209" s="79"/>
      <c r="V209" s="79"/>
      <c r="W209" s="79"/>
      <c r="Z209" s="130"/>
      <c r="AB209" s="106"/>
    </row>
    <row r="210">
      <c r="C210" s="79"/>
      <c r="D210" s="79"/>
      <c r="E210" s="79"/>
      <c r="M210" s="79"/>
      <c r="R210" s="79"/>
      <c r="S210" s="79"/>
      <c r="V210" s="79"/>
      <c r="W210" s="79"/>
      <c r="Z210" s="130"/>
      <c r="AB210" s="106"/>
    </row>
    <row r="211">
      <c r="C211" s="79"/>
      <c r="D211" s="79"/>
      <c r="E211" s="79"/>
      <c r="M211" s="79"/>
      <c r="R211" s="79"/>
      <c r="S211" s="79"/>
      <c r="V211" s="79"/>
      <c r="W211" s="79"/>
      <c r="Z211" s="130"/>
      <c r="AB211" s="106"/>
    </row>
    <row r="212">
      <c r="C212" s="79"/>
      <c r="D212" s="79"/>
      <c r="E212" s="79"/>
      <c r="M212" s="79"/>
      <c r="R212" s="79"/>
      <c r="S212" s="79"/>
      <c r="V212" s="79"/>
      <c r="W212" s="79"/>
      <c r="Z212" s="130"/>
      <c r="AB212" s="106"/>
    </row>
    <row r="213">
      <c r="C213" s="79"/>
      <c r="D213" s="79"/>
      <c r="E213" s="79"/>
      <c r="M213" s="79"/>
      <c r="R213" s="79"/>
      <c r="S213" s="79"/>
      <c r="V213" s="79"/>
      <c r="W213" s="79"/>
      <c r="Z213" s="130"/>
      <c r="AB213" s="106"/>
    </row>
    <row r="214">
      <c r="C214" s="79"/>
      <c r="D214" s="79"/>
      <c r="E214" s="79"/>
      <c r="M214" s="79"/>
      <c r="R214" s="79"/>
      <c r="S214" s="79"/>
      <c r="V214" s="79"/>
      <c r="W214" s="79"/>
      <c r="Z214" s="130"/>
      <c r="AB214" s="106"/>
    </row>
    <row r="215">
      <c r="C215" s="79"/>
      <c r="D215" s="79"/>
      <c r="E215" s="79"/>
      <c r="M215" s="79"/>
      <c r="R215" s="79"/>
      <c r="S215" s="79"/>
      <c r="V215" s="79"/>
      <c r="W215" s="79"/>
      <c r="Z215" s="130"/>
      <c r="AB215" s="106"/>
    </row>
    <row r="216">
      <c r="C216" s="79"/>
      <c r="D216" s="79"/>
      <c r="E216" s="79"/>
      <c r="M216" s="79"/>
      <c r="R216" s="79"/>
      <c r="S216" s="79"/>
      <c r="V216" s="79"/>
      <c r="W216" s="79"/>
      <c r="Z216" s="130"/>
      <c r="AB216" s="106"/>
    </row>
    <row r="217">
      <c r="C217" s="79"/>
      <c r="D217" s="79"/>
      <c r="E217" s="79"/>
      <c r="M217" s="79"/>
      <c r="R217" s="79"/>
      <c r="S217" s="79"/>
      <c r="V217" s="79"/>
      <c r="W217" s="79"/>
      <c r="Z217" s="130"/>
      <c r="AB217" s="106"/>
    </row>
    <row r="218">
      <c r="C218" s="79"/>
      <c r="D218" s="79"/>
      <c r="E218" s="79"/>
      <c r="M218" s="79"/>
      <c r="R218" s="79"/>
      <c r="S218" s="79"/>
      <c r="V218" s="79"/>
      <c r="W218" s="79"/>
      <c r="Z218" s="130"/>
      <c r="AB218" s="106"/>
    </row>
    <row r="219">
      <c r="C219" s="79"/>
      <c r="D219" s="79"/>
      <c r="E219" s="79"/>
      <c r="M219" s="79"/>
      <c r="R219" s="79"/>
      <c r="S219" s="79"/>
      <c r="V219" s="79"/>
      <c r="W219" s="79"/>
      <c r="Z219" s="130"/>
      <c r="AB219" s="106"/>
    </row>
    <row r="220">
      <c r="C220" s="79"/>
      <c r="D220" s="79"/>
      <c r="E220" s="79"/>
      <c r="M220" s="79"/>
      <c r="R220" s="79"/>
      <c r="S220" s="79"/>
      <c r="V220" s="79"/>
      <c r="W220" s="79"/>
      <c r="Z220" s="130"/>
      <c r="AB220" s="106"/>
    </row>
    <row r="221">
      <c r="C221" s="79"/>
      <c r="D221" s="79"/>
      <c r="E221" s="79"/>
      <c r="M221" s="79"/>
      <c r="R221" s="79"/>
      <c r="S221" s="79"/>
      <c r="V221" s="79"/>
      <c r="W221" s="79"/>
      <c r="Z221" s="130"/>
      <c r="AB221" s="106"/>
    </row>
    <row r="222">
      <c r="C222" s="79"/>
      <c r="D222" s="79"/>
      <c r="E222" s="79"/>
      <c r="M222" s="79"/>
      <c r="R222" s="79"/>
      <c r="S222" s="79"/>
      <c r="V222" s="79"/>
      <c r="W222" s="79"/>
      <c r="Z222" s="130"/>
      <c r="AB222" s="106"/>
    </row>
    <row r="223">
      <c r="C223" s="79"/>
      <c r="D223" s="79"/>
      <c r="E223" s="79"/>
      <c r="M223" s="79"/>
      <c r="R223" s="79"/>
      <c r="S223" s="79"/>
      <c r="V223" s="79"/>
      <c r="W223" s="79"/>
      <c r="Z223" s="130"/>
      <c r="AB223" s="106"/>
    </row>
    <row r="224">
      <c r="C224" s="79"/>
      <c r="D224" s="79"/>
      <c r="E224" s="79"/>
      <c r="M224" s="79"/>
      <c r="R224" s="79"/>
      <c r="S224" s="79"/>
      <c r="V224" s="79"/>
      <c r="W224" s="79"/>
      <c r="Z224" s="130"/>
      <c r="AB224" s="106"/>
    </row>
    <row r="225">
      <c r="C225" s="79"/>
      <c r="D225" s="79"/>
      <c r="E225" s="79"/>
      <c r="M225" s="79"/>
      <c r="R225" s="79"/>
      <c r="S225" s="79"/>
      <c r="V225" s="79"/>
      <c r="W225" s="79"/>
      <c r="Z225" s="130"/>
      <c r="AB225" s="106"/>
    </row>
    <row r="226">
      <c r="C226" s="79"/>
      <c r="D226" s="79"/>
      <c r="E226" s="79"/>
      <c r="M226" s="79"/>
      <c r="R226" s="79"/>
      <c r="S226" s="79"/>
      <c r="V226" s="79"/>
      <c r="W226" s="79"/>
      <c r="Z226" s="130"/>
      <c r="AB226" s="106"/>
    </row>
    <row r="227">
      <c r="C227" s="79"/>
      <c r="D227" s="79"/>
      <c r="E227" s="79"/>
      <c r="M227" s="79"/>
      <c r="R227" s="79"/>
      <c r="S227" s="79"/>
      <c r="V227" s="79"/>
      <c r="W227" s="79"/>
      <c r="Z227" s="130"/>
      <c r="AB227" s="106"/>
    </row>
    <row r="228">
      <c r="C228" s="79"/>
      <c r="D228" s="79"/>
      <c r="E228" s="79"/>
      <c r="M228" s="79"/>
      <c r="R228" s="79"/>
      <c r="S228" s="79"/>
      <c r="V228" s="79"/>
      <c r="W228" s="79"/>
      <c r="Z228" s="130"/>
      <c r="AB228" s="106"/>
    </row>
    <row r="229">
      <c r="C229" s="79"/>
      <c r="D229" s="79"/>
      <c r="E229" s="79"/>
      <c r="M229" s="79"/>
      <c r="R229" s="79"/>
      <c r="S229" s="79"/>
      <c r="V229" s="79"/>
      <c r="W229" s="79"/>
      <c r="Z229" s="130"/>
      <c r="AB229" s="106"/>
    </row>
    <row r="230">
      <c r="C230" s="79"/>
      <c r="D230" s="79"/>
      <c r="E230" s="79"/>
      <c r="M230" s="79"/>
      <c r="R230" s="79"/>
      <c r="S230" s="79"/>
      <c r="V230" s="79"/>
      <c r="W230" s="79"/>
      <c r="Z230" s="130"/>
      <c r="AB230" s="106"/>
    </row>
    <row r="231">
      <c r="C231" s="79"/>
      <c r="D231" s="79"/>
      <c r="E231" s="79"/>
      <c r="M231" s="79"/>
      <c r="R231" s="79"/>
      <c r="S231" s="79"/>
      <c r="V231" s="79"/>
      <c r="W231" s="79"/>
      <c r="Z231" s="130"/>
      <c r="AB231" s="106"/>
    </row>
    <row r="232">
      <c r="C232" s="79"/>
      <c r="D232" s="79"/>
      <c r="E232" s="79"/>
      <c r="M232" s="79"/>
      <c r="R232" s="79"/>
      <c r="S232" s="79"/>
      <c r="V232" s="79"/>
      <c r="W232" s="79"/>
      <c r="Z232" s="130"/>
      <c r="AB232" s="106"/>
    </row>
    <row r="233">
      <c r="C233" s="79"/>
      <c r="D233" s="79"/>
      <c r="E233" s="79"/>
      <c r="M233" s="79"/>
      <c r="R233" s="79"/>
      <c r="S233" s="79"/>
      <c r="V233" s="79"/>
      <c r="W233" s="79"/>
      <c r="Z233" s="130"/>
      <c r="AB233" s="106"/>
    </row>
    <row r="234">
      <c r="C234" s="79"/>
      <c r="D234" s="79"/>
      <c r="E234" s="79"/>
      <c r="M234" s="79"/>
      <c r="R234" s="79"/>
      <c r="S234" s="79"/>
      <c r="V234" s="79"/>
      <c r="W234" s="79"/>
      <c r="Z234" s="130"/>
      <c r="AB234" s="106"/>
    </row>
    <row r="235">
      <c r="C235" s="79"/>
      <c r="D235" s="79"/>
      <c r="E235" s="79"/>
      <c r="M235" s="79"/>
      <c r="R235" s="79"/>
      <c r="S235" s="79"/>
      <c r="V235" s="79"/>
      <c r="W235" s="79"/>
      <c r="Z235" s="130"/>
      <c r="AB235" s="106"/>
    </row>
    <row r="236">
      <c r="C236" s="79"/>
      <c r="D236" s="79"/>
      <c r="E236" s="79"/>
      <c r="M236" s="79"/>
      <c r="R236" s="79"/>
      <c r="S236" s="79"/>
      <c r="V236" s="79"/>
      <c r="W236" s="79"/>
      <c r="Z236" s="130"/>
      <c r="AB236" s="106"/>
    </row>
    <row r="237">
      <c r="C237" s="79"/>
      <c r="D237" s="79"/>
      <c r="E237" s="79"/>
      <c r="M237" s="79"/>
      <c r="R237" s="79"/>
      <c r="S237" s="79"/>
      <c r="V237" s="79"/>
      <c r="W237" s="79"/>
      <c r="Z237" s="130"/>
      <c r="AB237" s="106"/>
    </row>
    <row r="238">
      <c r="C238" s="79"/>
      <c r="D238" s="79"/>
      <c r="E238" s="79"/>
      <c r="M238" s="79"/>
      <c r="R238" s="79"/>
      <c r="S238" s="79"/>
      <c r="V238" s="79"/>
      <c r="W238" s="79"/>
      <c r="Z238" s="130"/>
      <c r="AB238" s="106"/>
    </row>
    <row r="239">
      <c r="C239" s="79"/>
      <c r="D239" s="79"/>
      <c r="E239" s="79"/>
      <c r="M239" s="79"/>
      <c r="R239" s="79"/>
      <c r="S239" s="79"/>
      <c r="V239" s="79"/>
      <c r="W239" s="79"/>
      <c r="Z239" s="130"/>
      <c r="AB239" s="106"/>
    </row>
    <row r="240">
      <c r="C240" s="79"/>
      <c r="D240" s="79"/>
      <c r="E240" s="79"/>
      <c r="M240" s="79"/>
      <c r="R240" s="79"/>
      <c r="S240" s="79"/>
      <c r="V240" s="79"/>
      <c r="W240" s="79"/>
      <c r="Z240" s="130"/>
      <c r="AB240" s="106"/>
    </row>
    <row r="241">
      <c r="C241" s="79"/>
      <c r="D241" s="79"/>
      <c r="E241" s="79"/>
      <c r="M241" s="79"/>
      <c r="R241" s="79"/>
      <c r="S241" s="79"/>
      <c r="V241" s="79"/>
      <c r="W241" s="79"/>
      <c r="Z241" s="130"/>
      <c r="AB241" s="106"/>
    </row>
    <row r="242">
      <c r="C242" s="79"/>
      <c r="D242" s="79"/>
      <c r="E242" s="79"/>
      <c r="M242" s="79"/>
      <c r="R242" s="79"/>
      <c r="S242" s="79"/>
      <c r="V242" s="79"/>
      <c r="W242" s="79"/>
      <c r="Z242" s="130"/>
      <c r="AB242" s="106"/>
    </row>
    <row r="243">
      <c r="C243" s="79"/>
      <c r="D243" s="79"/>
      <c r="E243" s="79"/>
      <c r="M243" s="79"/>
      <c r="R243" s="79"/>
      <c r="S243" s="79"/>
      <c r="V243" s="79"/>
      <c r="W243" s="79"/>
      <c r="Z243" s="130"/>
      <c r="AB243" s="106"/>
    </row>
    <row r="244">
      <c r="C244" s="79"/>
      <c r="D244" s="79"/>
      <c r="E244" s="79"/>
      <c r="M244" s="79"/>
      <c r="R244" s="79"/>
      <c r="S244" s="79"/>
      <c r="V244" s="79"/>
      <c r="W244" s="79"/>
      <c r="Z244" s="130"/>
      <c r="AB244" s="106"/>
    </row>
    <row r="245">
      <c r="C245" s="79"/>
      <c r="D245" s="79"/>
      <c r="E245" s="79"/>
      <c r="M245" s="79"/>
      <c r="R245" s="79"/>
      <c r="S245" s="79"/>
      <c r="V245" s="79"/>
      <c r="W245" s="79"/>
      <c r="Z245" s="130"/>
      <c r="AB245" s="106"/>
    </row>
    <row r="246">
      <c r="C246" s="79"/>
      <c r="D246" s="79"/>
      <c r="E246" s="79"/>
      <c r="M246" s="79"/>
      <c r="R246" s="79"/>
      <c r="S246" s="79"/>
      <c r="V246" s="79"/>
      <c r="W246" s="79"/>
      <c r="Z246" s="130"/>
      <c r="AB246" s="106"/>
    </row>
    <row r="247">
      <c r="C247" s="79"/>
      <c r="D247" s="79"/>
      <c r="E247" s="79"/>
      <c r="M247" s="79"/>
      <c r="R247" s="79"/>
      <c r="S247" s="79"/>
      <c r="V247" s="79"/>
      <c r="W247" s="79"/>
      <c r="Z247" s="130"/>
      <c r="AB247" s="106"/>
    </row>
    <row r="248">
      <c r="C248" s="79"/>
      <c r="D248" s="79"/>
      <c r="E248" s="79"/>
      <c r="M248" s="79"/>
      <c r="R248" s="79"/>
      <c r="S248" s="79"/>
      <c r="V248" s="79"/>
      <c r="W248" s="79"/>
      <c r="Z248" s="130"/>
      <c r="AB248" s="106"/>
    </row>
    <row r="249">
      <c r="C249" s="79"/>
      <c r="D249" s="79"/>
      <c r="E249" s="79"/>
      <c r="M249" s="79"/>
      <c r="R249" s="79"/>
      <c r="S249" s="79"/>
      <c r="V249" s="79"/>
      <c r="W249" s="79"/>
      <c r="Z249" s="130"/>
      <c r="AB249" s="106"/>
    </row>
    <row r="250">
      <c r="C250" s="79"/>
      <c r="D250" s="79"/>
      <c r="E250" s="79"/>
      <c r="M250" s="79"/>
      <c r="R250" s="79"/>
      <c r="S250" s="79"/>
      <c r="V250" s="79"/>
      <c r="W250" s="79"/>
      <c r="Z250" s="130"/>
      <c r="AB250" s="106"/>
    </row>
    <row r="251">
      <c r="C251" s="79"/>
      <c r="D251" s="79"/>
      <c r="E251" s="79"/>
      <c r="M251" s="79"/>
      <c r="R251" s="79"/>
      <c r="S251" s="79"/>
      <c r="V251" s="79"/>
      <c r="W251" s="79"/>
      <c r="Z251" s="130"/>
      <c r="AB251" s="106"/>
    </row>
    <row r="252">
      <c r="C252" s="79"/>
      <c r="D252" s="79"/>
      <c r="E252" s="79"/>
      <c r="M252" s="79"/>
      <c r="R252" s="79"/>
      <c r="S252" s="79"/>
      <c r="V252" s="79"/>
      <c r="W252" s="79"/>
      <c r="Z252" s="130"/>
      <c r="AB252" s="106"/>
    </row>
    <row r="253">
      <c r="C253" s="79"/>
      <c r="D253" s="79"/>
      <c r="E253" s="79"/>
      <c r="M253" s="79"/>
      <c r="R253" s="79"/>
      <c r="S253" s="79"/>
      <c r="V253" s="79"/>
      <c r="W253" s="79"/>
      <c r="Z253" s="130"/>
      <c r="AB253" s="106"/>
    </row>
    <row r="254">
      <c r="C254" s="79"/>
      <c r="D254" s="79"/>
      <c r="E254" s="79"/>
      <c r="M254" s="79"/>
      <c r="R254" s="79"/>
      <c r="S254" s="79"/>
      <c r="V254" s="79"/>
      <c r="W254" s="79"/>
      <c r="Z254" s="130"/>
      <c r="AB254" s="106"/>
    </row>
    <row r="255">
      <c r="C255" s="79"/>
      <c r="D255" s="79"/>
      <c r="E255" s="79"/>
      <c r="M255" s="79"/>
      <c r="R255" s="79"/>
      <c r="S255" s="79"/>
      <c r="V255" s="79"/>
      <c r="W255" s="79"/>
      <c r="Z255" s="130"/>
      <c r="AB255" s="106"/>
    </row>
    <row r="256">
      <c r="C256" s="79"/>
      <c r="D256" s="79"/>
      <c r="E256" s="79"/>
      <c r="M256" s="79"/>
      <c r="R256" s="79"/>
      <c r="S256" s="79"/>
      <c r="V256" s="79"/>
      <c r="W256" s="79"/>
      <c r="Z256" s="130"/>
      <c r="AB256" s="106"/>
    </row>
    <row r="257">
      <c r="C257" s="79"/>
      <c r="D257" s="79"/>
      <c r="E257" s="79"/>
      <c r="M257" s="79"/>
      <c r="R257" s="79"/>
      <c r="S257" s="79"/>
      <c r="V257" s="79"/>
      <c r="W257" s="79"/>
      <c r="Z257" s="130"/>
      <c r="AB257" s="106"/>
    </row>
    <row r="258">
      <c r="C258" s="79"/>
      <c r="D258" s="79"/>
      <c r="E258" s="79"/>
      <c r="M258" s="79"/>
      <c r="R258" s="79"/>
      <c r="S258" s="79"/>
      <c r="V258" s="79"/>
      <c r="W258" s="79"/>
      <c r="Z258" s="130"/>
      <c r="AB258" s="106"/>
    </row>
    <row r="259">
      <c r="C259" s="79"/>
      <c r="D259" s="79"/>
      <c r="E259" s="79"/>
      <c r="M259" s="79"/>
      <c r="R259" s="79"/>
      <c r="S259" s="79"/>
      <c r="V259" s="79"/>
      <c r="W259" s="79"/>
      <c r="Z259" s="130"/>
      <c r="AB259" s="106"/>
    </row>
    <row r="260">
      <c r="C260" s="79"/>
      <c r="D260" s="79"/>
      <c r="E260" s="79"/>
      <c r="M260" s="79"/>
      <c r="R260" s="79"/>
      <c r="S260" s="79"/>
      <c r="V260" s="79"/>
      <c r="W260" s="79"/>
      <c r="Z260" s="130"/>
      <c r="AB260" s="106"/>
    </row>
    <row r="261">
      <c r="C261" s="79"/>
      <c r="D261" s="79"/>
      <c r="E261" s="79"/>
      <c r="M261" s="79"/>
      <c r="R261" s="79"/>
      <c r="S261" s="79"/>
      <c r="V261" s="79"/>
      <c r="W261" s="79"/>
      <c r="Z261" s="130"/>
      <c r="AB261" s="106"/>
    </row>
    <row r="262">
      <c r="C262" s="79"/>
      <c r="D262" s="79"/>
      <c r="E262" s="79"/>
      <c r="M262" s="79"/>
      <c r="R262" s="79"/>
      <c r="S262" s="79"/>
      <c r="V262" s="79"/>
      <c r="W262" s="79"/>
      <c r="Z262" s="130"/>
      <c r="AB262" s="106"/>
    </row>
    <row r="263">
      <c r="C263" s="79"/>
      <c r="D263" s="79"/>
      <c r="E263" s="79"/>
      <c r="M263" s="79"/>
      <c r="R263" s="79"/>
      <c r="S263" s="79"/>
      <c r="V263" s="79"/>
      <c r="W263" s="79"/>
      <c r="Z263" s="130"/>
      <c r="AB263" s="106"/>
    </row>
    <row r="264">
      <c r="C264" s="79"/>
      <c r="D264" s="79"/>
      <c r="E264" s="79"/>
      <c r="M264" s="79"/>
      <c r="R264" s="79"/>
      <c r="S264" s="79"/>
      <c r="V264" s="79"/>
      <c r="W264" s="79"/>
      <c r="Z264" s="130"/>
      <c r="AB264" s="106"/>
    </row>
    <row r="265">
      <c r="C265" s="79"/>
      <c r="D265" s="79"/>
      <c r="E265" s="79"/>
      <c r="M265" s="79"/>
      <c r="R265" s="79"/>
      <c r="S265" s="79"/>
      <c r="V265" s="79"/>
      <c r="W265" s="79"/>
      <c r="Z265" s="130"/>
      <c r="AB265" s="106"/>
    </row>
    <row r="266">
      <c r="C266" s="79"/>
      <c r="D266" s="79"/>
      <c r="E266" s="79"/>
      <c r="M266" s="79"/>
      <c r="R266" s="79"/>
      <c r="S266" s="79"/>
      <c r="V266" s="79"/>
      <c r="W266" s="79"/>
      <c r="Z266" s="130"/>
      <c r="AB266" s="106"/>
    </row>
    <row r="267">
      <c r="C267" s="79"/>
      <c r="D267" s="79"/>
      <c r="E267" s="79"/>
      <c r="M267" s="79"/>
      <c r="R267" s="79"/>
      <c r="S267" s="79"/>
      <c r="V267" s="79"/>
      <c r="W267" s="79"/>
      <c r="Z267" s="130"/>
      <c r="AB267" s="106"/>
    </row>
    <row r="268">
      <c r="C268" s="79"/>
      <c r="D268" s="79"/>
      <c r="E268" s="79"/>
      <c r="M268" s="79"/>
      <c r="R268" s="79"/>
      <c r="S268" s="79"/>
      <c r="V268" s="79"/>
      <c r="W268" s="79"/>
      <c r="Z268" s="130"/>
      <c r="AB268" s="106"/>
    </row>
    <row r="269">
      <c r="C269" s="79"/>
      <c r="D269" s="79"/>
      <c r="E269" s="79"/>
      <c r="M269" s="79"/>
      <c r="R269" s="79"/>
      <c r="S269" s="79"/>
      <c r="V269" s="79"/>
      <c r="W269" s="79"/>
      <c r="Z269" s="130"/>
      <c r="AB269" s="106"/>
    </row>
    <row r="270">
      <c r="C270" s="79"/>
      <c r="D270" s="79"/>
      <c r="E270" s="79"/>
      <c r="M270" s="79"/>
      <c r="R270" s="79"/>
      <c r="S270" s="79"/>
      <c r="V270" s="79"/>
      <c r="W270" s="79"/>
      <c r="Z270" s="130"/>
      <c r="AB270" s="106"/>
    </row>
    <row r="271">
      <c r="C271" s="79"/>
      <c r="D271" s="79"/>
      <c r="E271" s="79"/>
      <c r="M271" s="79"/>
      <c r="R271" s="79"/>
      <c r="S271" s="79"/>
      <c r="V271" s="79"/>
      <c r="W271" s="79"/>
      <c r="Z271" s="130"/>
      <c r="AB271" s="106"/>
    </row>
    <row r="272">
      <c r="C272" s="79"/>
      <c r="D272" s="79"/>
      <c r="E272" s="79"/>
      <c r="M272" s="79"/>
      <c r="R272" s="79"/>
      <c r="S272" s="79"/>
      <c r="V272" s="79"/>
      <c r="W272" s="79"/>
      <c r="Z272" s="130"/>
      <c r="AB272" s="106"/>
    </row>
    <row r="273">
      <c r="C273" s="79"/>
      <c r="D273" s="79"/>
      <c r="E273" s="79"/>
      <c r="M273" s="79"/>
      <c r="R273" s="79"/>
      <c r="S273" s="79"/>
      <c r="V273" s="79"/>
      <c r="W273" s="79"/>
      <c r="Z273" s="130"/>
      <c r="AB273" s="106"/>
    </row>
    <row r="274">
      <c r="C274" s="79"/>
      <c r="D274" s="79"/>
      <c r="E274" s="79"/>
      <c r="M274" s="79"/>
      <c r="R274" s="79"/>
      <c r="S274" s="79"/>
      <c r="V274" s="79"/>
      <c r="W274" s="79"/>
      <c r="Z274" s="130"/>
      <c r="AB274" s="106"/>
    </row>
    <row r="275">
      <c r="C275" s="79"/>
      <c r="D275" s="79"/>
      <c r="E275" s="79"/>
      <c r="M275" s="79"/>
      <c r="R275" s="79"/>
      <c r="S275" s="79"/>
      <c r="V275" s="79"/>
      <c r="W275" s="79"/>
      <c r="Z275" s="130"/>
      <c r="AB275" s="106"/>
    </row>
    <row r="276">
      <c r="C276" s="79"/>
      <c r="D276" s="79"/>
      <c r="E276" s="79"/>
      <c r="M276" s="79"/>
      <c r="R276" s="79"/>
      <c r="S276" s="79"/>
      <c r="V276" s="79"/>
      <c r="W276" s="79"/>
      <c r="Z276" s="130"/>
      <c r="AB276" s="106"/>
    </row>
    <row r="277">
      <c r="C277" s="79"/>
      <c r="D277" s="79"/>
      <c r="E277" s="79"/>
      <c r="M277" s="79"/>
      <c r="R277" s="79"/>
      <c r="S277" s="79"/>
      <c r="V277" s="79"/>
      <c r="W277" s="79"/>
      <c r="Z277" s="130"/>
      <c r="AB277" s="106"/>
    </row>
    <row r="278">
      <c r="C278" s="79"/>
      <c r="D278" s="79"/>
      <c r="E278" s="79"/>
      <c r="M278" s="79"/>
      <c r="R278" s="79"/>
      <c r="S278" s="79"/>
      <c r="V278" s="79"/>
      <c r="W278" s="79"/>
      <c r="Z278" s="130"/>
      <c r="AB278" s="106"/>
    </row>
    <row r="279">
      <c r="C279" s="79"/>
      <c r="D279" s="79"/>
      <c r="E279" s="79"/>
      <c r="M279" s="79"/>
      <c r="R279" s="79"/>
      <c r="S279" s="79"/>
      <c r="V279" s="79"/>
      <c r="W279" s="79"/>
      <c r="Z279" s="130"/>
      <c r="AB279" s="106"/>
    </row>
    <row r="280">
      <c r="C280" s="79"/>
      <c r="D280" s="79"/>
      <c r="E280" s="79"/>
      <c r="M280" s="79"/>
      <c r="R280" s="79"/>
      <c r="S280" s="79"/>
      <c r="V280" s="79"/>
      <c r="W280" s="79"/>
      <c r="Z280" s="130"/>
      <c r="AB280" s="106"/>
    </row>
    <row r="281">
      <c r="C281" s="79"/>
      <c r="D281" s="79"/>
      <c r="E281" s="79"/>
      <c r="M281" s="79"/>
      <c r="R281" s="79"/>
      <c r="S281" s="79"/>
      <c r="V281" s="79"/>
      <c r="W281" s="79"/>
      <c r="Z281" s="130"/>
      <c r="AB281" s="106"/>
    </row>
    <row r="282">
      <c r="C282" s="79"/>
      <c r="D282" s="79"/>
      <c r="E282" s="79"/>
      <c r="M282" s="79"/>
      <c r="R282" s="79"/>
      <c r="S282" s="79"/>
      <c r="V282" s="79"/>
      <c r="W282" s="79"/>
      <c r="Z282" s="130"/>
      <c r="AB282" s="106"/>
    </row>
    <row r="283">
      <c r="C283" s="79"/>
      <c r="D283" s="79"/>
      <c r="E283" s="79"/>
      <c r="M283" s="79"/>
      <c r="R283" s="79"/>
      <c r="S283" s="79"/>
      <c r="V283" s="79"/>
      <c r="W283" s="79"/>
      <c r="Z283" s="130"/>
      <c r="AB283" s="106"/>
    </row>
    <row r="284">
      <c r="C284" s="79"/>
      <c r="D284" s="79"/>
      <c r="E284" s="79"/>
      <c r="M284" s="79"/>
      <c r="R284" s="79"/>
      <c r="S284" s="79"/>
      <c r="V284" s="79"/>
      <c r="W284" s="79"/>
      <c r="Z284" s="130"/>
      <c r="AB284" s="106"/>
    </row>
    <row r="285">
      <c r="C285" s="79"/>
      <c r="D285" s="79"/>
      <c r="E285" s="79"/>
      <c r="M285" s="79"/>
      <c r="R285" s="79"/>
      <c r="S285" s="79"/>
      <c r="V285" s="79"/>
      <c r="W285" s="79"/>
      <c r="Z285" s="130"/>
      <c r="AB285" s="106"/>
    </row>
    <row r="286">
      <c r="C286" s="79"/>
      <c r="D286" s="79"/>
      <c r="E286" s="79"/>
      <c r="M286" s="79"/>
      <c r="R286" s="79"/>
      <c r="S286" s="79"/>
      <c r="V286" s="79"/>
      <c r="W286" s="79"/>
      <c r="Z286" s="130"/>
      <c r="AB286" s="106"/>
    </row>
    <row r="287">
      <c r="C287" s="79"/>
      <c r="D287" s="79"/>
      <c r="E287" s="79"/>
      <c r="M287" s="79"/>
      <c r="R287" s="79"/>
      <c r="S287" s="79"/>
      <c r="V287" s="79"/>
      <c r="W287" s="79"/>
      <c r="Z287" s="130"/>
      <c r="AB287" s="106"/>
    </row>
    <row r="288">
      <c r="C288" s="79"/>
      <c r="D288" s="79"/>
      <c r="E288" s="79"/>
      <c r="M288" s="79"/>
      <c r="R288" s="79"/>
      <c r="S288" s="79"/>
      <c r="V288" s="79"/>
      <c r="W288" s="79"/>
      <c r="Z288" s="130"/>
      <c r="AB288" s="106"/>
    </row>
    <row r="289">
      <c r="C289" s="79"/>
      <c r="D289" s="79"/>
      <c r="E289" s="79"/>
      <c r="M289" s="79"/>
      <c r="R289" s="79"/>
      <c r="S289" s="79"/>
      <c r="V289" s="79"/>
      <c r="W289" s="79"/>
      <c r="Z289" s="130"/>
      <c r="AB289" s="106"/>
    </row>
    <row r="290">
      <c r="C290" s="79"/>
      <c r="D290" s="79"/>
      <c r="E290" s="79"/>
      <c r="M290" s="79"/>
      <c r="R290" s="79"/>
      <c r="S290" s="79"/>
      <c r="V290" s="79"/>
      <c r="W290" s="79"/>
      <c r="Z290" s="130"/>
      <c r="AB290" s="106"/>
    </row>
    <row r="291">
      <c r="C291" s="79"/>
      <c r="D291" s="79"/>
      <c r="E291" s="79"/>
      <c r="M291" s="79"/>
      <c r="R291" s="79"/>
      <c r="S291" s="79"/>
      <c r="V291" s="79"/>
      <c r="W291" s="79"/>
      <c r="Z291" s="130"/>
      <c r="AB291" s="106"/>
    </row>
    <row r="292">
      <c r="C292" s="79"/>
      <c r="D292" s="79"/>
      <c r="E292" s="79"/>
      <c r="M292" s="79"/>
      <c r="R292" s="79"/>
      <c r="S292" s="79"/>
      <c r="V292" s="79"/>
      <c r="W292" s="79"/>
      <c r="Z292" s="130"/>
      <c r="AB292" s="106"/>
    </row>
    <row r="293">
      <c r="C293" s="79"/>
      <c r="D293" s="79"/>
      <c r="E293" s="79"/>
      <c r="M293" s="79"/>
      <c r="R293" s="79"/>
      <c r="S293" s="79"/>
      <c r="V293" s="79"/>
      <c r="W293" s="79"/>
      <c r="Z293" s="130"/>
      <c r="AB293" s="106"/>
    </row>
    <row r="294">
      <c r="C294" s="79"/>
      <c r="D294" s="79"/>
      <c r="E294" s="79"/>
      <c r="M294" s="79"/>
      <c r="R294" s="79"/>
      <c r="S294" s="79"/>
      <c r="V294" s="79"/>
      <c r="W294" s="79"/>
      <c r="Z294" s="130"/>
      <c r="AB294" s="106"/>
    </row>
    <row r="295">
      <c r="C295" s="79"/>
      <c r="D295" s="79"/>
      <c r="E295" s="79"/>
      <c r="M295" s="79"/>
      <c r="R295" s="79"/>
      <c r="S295" s="79"/>
      <c r="V295" s="79"/>
      <c r="W295" s="79"/>
      <c r="Z295" s="130"/>
      <c r="AB295" s="106"/>
    </row>
    <row r="296">
      <c r="C296" s="79"/>
      <c r="D296" s="79"/>
      <c r="E296" s="79"/>
      <c r="M296" s="79"/>
      <c r="R296" s="79"/>
      <c r="S296" s="79"/>
      <c r="V296" s="79"/>
      <c r="W296" s="79"/>
      <c r="Z296" s="130"/>
      <c r="AB296" s="106"/>
    </row>
    <row r="297">
      <c r="C297" s="79"/>
      <c r="D297" s="79"/>
      <c r="E297" s="79"/>
      <c r="M297" s="79"/>
      <c r="R297" s="79"/>
      <c r="S297" s="79"/>
      <c r="V297" s="79"/>
      <c r="W297" s="79"/>
      <c r="Z297" s="130"/>
      <c r="AB297" s="106"/>
    </row>
    <row r="298">
      <c r="C298" s="79"/>
      <c r="D298" s="79"/>
      <c r="E298" s="79"/>
      <c r="M298" s="79"/>
      <c r="R298" s="79"/>
      <c r="S298" s="79"/>
      <c r="V298" s="79"/>
      <c r="W298" s="79"/>
      <c r="Z298" s="130"/>
      <c r="AB298" s="106"/>
    </row>
    <row r="299">
      <c r="C299" s="79"/>
      <c r="D299" s="79"/>
      <c r="E299" s="79"/>
      <c r="M299" s="79"/>
      <c r="R299" s="79"/>
      <c r="S299" s="79"/>
      <c r="V299" s="79"/>
      <c r="W299" s="79"/>
      <c r="Z299" s="130"/>
      <c r="AB299" s="106"/>
    </row>
    <row r="300">
      <c r="C300" s="79"/>
      <c r="D300" s="79"/>
      <c r="E300" s="79"/>
      <c r="M300" s="79"/>
      <c r="R300" s="79"/>
      <c r="S300" s="79"/>
      <c r="V300" s="79"/>
      <c r="W300" s="79"/>
      <c r="Z300" s="130"/>
      <c r="AB300" s="106"/>
    </row>
    <row r="301">
      <c r="C301" s="79"/>
      <c r="D301" s="79"/>
      <c r="E301" s="79"/>
      <c r="M301" s="79"/>
      <c r="R301" s="79"/>
      <c r="S301" s="79"/>
      <c r="V301" s="79"/>
      <c r="W301" s="79"/>
      <c r="Z301" s="130"/>
      <c r="AB301" s="106"/>
    </row>
    <row r="302">
      <c r="C302" s="79"/>
      <c r="D302" s="79"/>
      <c r="E302" s="79"/>
      <c r="M302" s="79"/>
      <c r="R302" s="79"/>
      <c r="S302" s="79"/>
      <c r="V302" s="79"/>
      <c r="W302" s="79"/>
      <c r="Z302" s="130"/>
      <c r="AB302" s="106"/>
    </row>
    <row r="303">
      <c r="C303" s="79"/>
      <c r="D303" s="79"/>
      <c r="E303" s="79"/>
      <c r="M303" s="79"/>
      <c r="R303" s="79"/>
      <c r="S303" s="79"/>
      <c r="V303" s="79"/>
      <c r="W303" s="79"/>
      <c r="Z303" s="130"/>
      <c r="AB303" s="106"/>
    </row>
    <row r="304">
      <c r="C304" s="79"/>
      <c r="D304" s="79"/>
      <c r="E304" s="79"/>
      <c r="M304" s="79"/>
      <c r="R304" s="79"/>
      <c r="S304" s="79"/>
      <c r="V304" s="79"/>
      <c r="W304" s="79"/>
      <c r="Z304" s="130"/>
      <c r="AB304" s="106"/>
    </row>
    <row r="305">
      <c r="C305" s="79"/>
      <c r="D305" s="79"/>
      <c r="E305" s="79"/>
      <c r="M305" s="79"/>
      <c r="R305" s="79"/>
      <c r="S305" s="79"/>
      <c r="V305" s="79"/>
      <c r="W305" s="79"/>
      <c r="Z305" s="130"/>
      <c r="AB305" s="106"/>
    </row>
    <row r="306">
      <c r="C306" s="79"/>
      <c r="D306" s="79"/>
      <c r="E306" s="79"/>
      <c r="M306" s="79"/>
      <c r="R306" s="79"/>
      <c r="S306" s="79"/>
      <c r="V306" s="79"/>
      <c r="W306" s="79"/>
      <c r="Z306" s="130"/>
      <c r="AB306" s="106"/>
    </row>
    <row r="307">
      <c r="C307" s="79"/>
      <c r="D307" s="79"/>
      <c r="E307" s="79"/>
      <c r="M307" s="79"/>
      <c r="R307" s="79"/>
      <c r="S307" s="79"/>
      <c r="V307" s="79"/>
      <c r="W307" s="79"/>
      <c r="Z307" s="130"/>
      <c r="AB307" s="106"/>
    </row>
    <row r="308">
      <c r="C308" s="79"/>
      <c r="D308" s="79"/>
      <c r="E308" s="79"/>
      <c r="M308" s="79"/>
      <c r="R308" s="79"/>
      <c r="S308" s="79"/>
      <c r="V308" s="79"/>
      <c r="W308" s="79"/>
      <c r="Z308" s="130"/>
      <c r="AB308" s="106"/>
    </row>
    <row r="309">
      <c r="C309" s="79"/>
      <c r="D309" s="79"/>
      <c r="E309" s="79"/>
      <c r="M309" s="79"/>
      <c r="R309" s="79"/>
      <c r="S309" s="79"/>
      <c r="V309" s="79"/>
      <c r="W309" s="79"/>
      <c r="Z309" s="130"/>
      <c r="AB309" s="106"/>
    </row>
    <row r="310">
      <c r="C310" s="79"/>
      <c r="D310" s="79"/>
      <c r="E310" s="79"/>
      <c r="M310" s="79"/>
      <c r="R310" s="79"/>
      <c r="S310" s="79"/>
      <c r="V310" s="79"/>
      <c r="W310" s="79"/>
      <c r="Z310" s="130"/>
      <c r="AB310" s="106"/>
    </row>
    <row r="311">
      <c r="C311" s="79"/>
      <c r="D311" s="79"/>
      <c r="E311" s="79"/>
      <c r="M311" s="79"/>
      <c r="R311" s="79"/>
      <c r="S311" s="79"/>
      <c r="V311" s="79"/>
      <c r="W311" s="79"/>
      <c r="Z311" s="130"/>
      <c r="AB311" s="106"/>
    </row>
    <row r="312">
      <c r="C312" s="79"/>
      <c r="D312" s="79"/>
      <c r="E312" s="79"/>
      <c r="M312" s="79"/>
      <c r="R312" s="79"/>
      <c r="S312" s="79"/>
      <c r="V312" s="79"/>
      <c r="W312" s="79"/>
      <c r="Z312" s="130"/>
      <c r="AB312" s="106"/>
    </row>
    <row r="313">
      <c r="C313" s="79"/>
      <c r="D313" s="79"/>
      <c r="E313" s="79"/>
      <c r="M313" s="79"/>
      <c r="R313" s="79"/>
      <c r="S313" s="79"/>
      <c r="V313" s="79"/>
      <c r="W313" s="79"/>
      <c r="Z313" s="130"/>
      <c r="AB313" s="106"/>
    </row>
    <row r="314">
      <c r="C314" s="79"/>
      <c r="D314" s="79"/>
      <c r="E314" s="79"/>
      <c r="M314" s="79"/>
      <c r="R314" s="79"/>
      <c r="S314" s="79"/>
      <c r="V314" s="79"/>
      <c r="W314" s="79"/>
      <c r="Z314" s="130"/>
      <c r="AB314" s="106"/>
    </row>
    <row r="315">
      <c r="C315" s="79"/>
      <c r="D315" s="79"/>
      <c r="E315" s="79"/>
      <c r="M315" s="79"/>
      <c r="R315" s="79"/>
      <c r="S315" s="79"/>
      <c r="V315" s="79"/>
      <c r="W315" s="79"/>
      <c r="Z315" s="130"/>
      <c r="AB315" s="106"/>
    </row>
    <row r="316">
      <c r="C316" s="79"/>
      <c r="D316" s="79"/>
      <c r="E316" s="79"/>
      <c r="M316" s="79"/>
      <c r="R316" s="79"/>
      <c r="S316" s="79"/>
      <c r="V316" s="79"/>
      <c r="W316" s="79"/>
      <c r="Z316" s="130"/>
      <c r="AB316" s="106"/>
    </row>
    <row r="317">
      <c r="C317" s="79"/>
      <c r="D317" s="79"/>
      <c r="E317" s="79"/>
      <c r="M317" s="79"/>
      <c r="R317" s="79"/>
      <c r="S317" s="79"/>
      <c r="V317" s="79"/>
      <c r="W317" s="79"/>
      <c r="Z317" s="130"/>
      <c r="AB317" s="106"/>
    </row>
    <row r="318">
      <c r="C318" s="79"/>
      <c r="D318" s="79"/>
      <c r="E318" s="79"/>
      <c r="M318" s="79"/>
      <c r="R318" s="79"/>
      <c r="S318" s="79"/>
      <c r="V318" s="79"/>
      <c r="W318" s="79"/>
      <c r="Z318" s="130"/>
      <c r="AB318" s="106"/>
    </row>
    <row r="319">
      <c r="C319" s="79"/>
      <c r="D319" s="79"/>
      <c r="E319" s="79"/>
      <c r="M319" s="79"/>
      <c r="R319" s="79"/>
      <c r="S319" s="79"/>
      <c r="V319" s="79"/>
      <c r="W319" s="79"/>
      <c r="Z319" s="130"/>
      <c r="AB319" s="106"/>
    </row>
    <row r="320">
      <c r="C320" s="79"/>
      <c r="D320" s="79"/>
      <c r="E320" s="79"/>
      <c r="M320" s="79"/>
      <c r="R320" s="79"/>
      <c r="S320" s="79"/>
      <c r="V320" s="79"/>
      <c r="W320" s="79"/>
      <c r="Z320" s="130"/>
      <c r="AB320" s="106"/>
    </row>
    <row r="321">
      <c r="C321" s="79"/>
      <c r="D321" s="79"/>
      <c r="E321" s="79"/>
      <c r="M321" s="79"/>
      <c r="R321" s="79"/>
      <c r="S321" s="79"/>
      <c r="V321" s="79"/>
      <c r="W321" s="79"/>
      <c r="Z321" s="130"/>
      <c r="AB321" s="106"/>
    </row>
    <row r="322">
      <c r="C322" s="79"/>
      <c r="D322" s="79"/>
      <c r="E322" s="79"/>
      <c r="M322" s="79"/>
      <c r="R322" s="79"/>
      <c r="S322" s="79"/>
      <c r="V322" s="79"/>
      <c r="W322" s="79"/>
      <c r="Z322" s="130"/>
      <c r="AB322" s="106"/>
    </row>
    <row r="323">
      <c r="C323" s="79"/>
      <c r="D323" s="79"/>
      <c r="E323" s="79"/>
      <c r="M323" s="79"/>
      <c r="R323" s="79"/>
      <c r="S323" s="79"/>
      <c r="V323" s="79"/>
      <c r="W323" s="79"/>
      <c r="Z323" s="130"/>
      <c r="AB323" s="106"/>
    </row>
    <row r="324">
      <c r="C324" s="79"/>
      <c r="D324" s="79"/>
      <c r="E324" s="79"/>
      <c r="M324" s="79"/>
      <c r="R324" s="79"/>
      <c r="S324" s="79"/>
      <c r="V324" s="79"/>
      <c r="W324" s="79"/>
      <c r="Z324" s="130"/>
      <c r="AB324" s="106"/>
    </row>
    <row r="325">
      <c r="C325" s="79"/>
      <c r="D325" s="79"/>
      <c r="E325" s="79"/>
      <c r="M325" s="79"/>
      <c r="R325" s="79"/>
      <c r="S325" s="79"/>
      <c r="V325" s="79"/>
      <c r="W325" s="79"/>
      <c r="Z325" s="130"/>
      <c r="AB325" s="106"/>
    </row>
    <row r="326">
      <c r="C326" s="79"/>
      <c r="D326" s="79"/>
      <c r="E326" s="79"/>
      <c r="M326" s="79"/>
      <c r="R326" s="79"/>
      <c r="S326" s="79"/>
      <c r="V326" s="79"/>
      <c r="W326" s="79"/>
      <c r="Z326" s="130"/>
      <c r="AB326" s="106"/>
    </row>
    <row r="327">
      <c r="C327" s="79"/>
      <c r="D327" s="79"/>
      <c r="E327" s="79"/>
      <c r="M327" s="79"/>
      <c r="R327" s="79"/>
      <c r="S327" s="79"/>
      <c r="V327" s="79"/>
      <c r="W327" s="79"/>
      <c r="Z327" s="130"/>
      <c r="AB327" s="106"/>
    </row>
    <row r="328">
      <c r="C328" s="79"/>
      <c r="D328" s="79"/>
      <c r="E328" s="79"/>
      <c r="M328" s="79"/>
      <c r="R328" s="79"/>
      <c r="S328" s="79"/>
      <c r="V328" s="79"/>
      <c r="W328" s="79"/>
      <c r="Z328" s="130"/>
      <c r="AB328" s="106"/>
    </row>
    <row r="329">
      <c r="C329" s="79"/>
      <c r="D329" s="79"/>
      <c r="E329" s="79"/>
      <c r="M329" s="79"/>
      <c r="R329" s="79"/>
      <c r="S329" s="79"/>
      <c r="V329" s="79"/>
      <c r="W329" s="79"/>
      <c r="Z329" s="130"/>
      <c r="AB329" s="106"/>
    </row>
    <row r="330">
      <c r="C330" s="79"/>
      <c r="D330" s="79"/>
      <c r="E330" s="79"/>
      <c r="M330" s="79"/>
      <c r="R330" s="79"/>
      <c r="S330" s="79"/>
      <c r="V330" s="79"/>
      <c r="W330" s="79"/>
      <c r="Z330" s="130"/>
      <c r="AB330" s="106"/>
    </row>
    <row r="331">
      <c r="C331" s="79"/>
      <c r="D331" s="79"/>
      <c r="E331" s="79"/>
      <c r="M331" s="79"/>
      <c r="R331" s="79"/>
      <c r="S331" s="79"/>
      <c r="V331" s="79"/>
      <c r="W331" s="79"/>
      <c r="Z331" s="130"/>
      <c r="AB331" s="106"/>
    </row>
    <row r="332">
      <c r="C332" s="79"/>
      <c r="D332" s="79"/>
      <c r="E332" s="79"/>
      <c r="M332" s="79"/>
      <c r="R332" s="79"/>
      <c r="S332" s="79"/>
      <c r="V332" s="79"/>
      <c r="W332" s="79"/>
      <c r="Z332" s="130"/>
      <c r="AB332" s="106"/>
    </row>
    <row r="333">
      <c r="C333" s="79"/>
      <c r="D333" s="79"/>
      <c r="E333" s="79"/>
      <c r="M333" s="79"/>
      <c r="R333" s="79"/>
      <c r="S333" s="79"/>
      <c r="V333" s="79"/>
      <c r="W333" s="79"/>
      <c r="Z333" s="130"/>
      <c r="AB333" s="106"/>
    </row>
    <row r="334">
      <c r="C334" s="79"/>
      <c r="D334" s="79"/>
      <c r="E334" s="79"/>
      <c r="M334" s="79"/>
      <c r="R334" s="79"/>
      <c r="S334" s="79"/>
      <c r="V334" s="79"/>
      <c r="W334" s="79"/>
      <c r="Z334" s="130"/>
      <c r="AB334" s="106"/>
    </row>
    <row r="335">
      <c r="C335" s="79"/>
      <c r="D335" s="79"/>
      <c r="E335" s="79"/>
      <c r="M335" s="79"/>
      <c r="R335" s="79"/>
      <c r="S335" s="79"/>
      <c r="V335" s="79"/>
      <c r="W335" s="79"/>
      <c r="Z335" s="130"/>
      <c r="AB335" s="106"/>
    </row>
    <row r="336">
      <c r="C336" s="79"/>
      <c r="D336" s="79"/>
      <c r="E336" s="79"/>
      <c r="M336" s="79"/>
      <c r="R336" s="79"/>
      <c r="S336" s="79"/>
      <c r="V336" s="79"/>
      <c r="W336" s="79"/>
      <c r="Z336" s="130"/>
      <c r="AB336" s="106"/>
    </row>
    <row r="337">
      <c r="C337" s="79"/>
      <c r="D337" s="79"/>
      <c r="E337" s="79"/>
      <c r="M337" s="79"/>
      <c r="R337" s="79"/>
      <c r="S337" s="79"/>
      <c r="V337" s="79"/>
      <c r="W337" s="79"/>
      <c r="Z337" s="130"/>
      <c r="AB337" s="106"/>
    </row>
    <row r="338">
      <c r="C338" s="79"/>
      <c r="D338" s="79"/>
      <c r="E338" s="79"/>
      <c r="M338" s="79"/>
      <c r="R338" s="79"/>
      <c r="S338" s="79"/>
      <c r="V338" s="79"/>
      <c r="W338" s="79"/>
      <c r="Z338" s="130"/>
      <c r="AB338" s="106"/>
    </row>
    <row r="339">
      <c r="C339" s="79"/>
      <c r="D339" s="79"/>
      <c r="E339" s="79"/>
      <c r="M339" s="79"/>
      <c r="R339" s="79"/>
      <c r="S339" s="79"/>
      <c r="V339" s="79"/>
      <c r="W339" s="79"/>
      <c r="Z339" s="130"/>
      <c r="AB339" s="106"/>
    </row>
    <row r="340">
      <c r="C340" s="79"/>
      <c r="D340" s="79"/>
      <c r="E340" s="79"/>
      <c r="M340" s="79"/>
      <c r="R340" s="79"/>
      <c r="S340" s="79"/>
      <c r="V340" s="79"/>
      <c r="W340" s="79"/>
      <c r="Z340" s="130"/>
      <c r="AB340" s="106"/>
    </row>
    <row r="341">
      <c r="C341" s="79"/>
      <c r="D341" s="79"/>
      <c r="E341" s="79"/>
      <c r="M341" s="79"/>
      <c r="R341" s="79"/>
      <c r="S341" s="79"/>
      <c r="V341" s="79"/>
      <c r="W341" s="79"/>
      <c r="Z341" s="130"/>
      <c r="AB341" s="106"/>
    </row>
    <row r="342">
      <c r="C342" s="79"/>
      <c r="D342" s="79"/>
      <c r="E342" s="79"/>
      <c r="M342" s="79"/>
      <c r="R342" s="79"/>
      <c r="S342" s="79"/>
      <c r="V342" s="79"/>
      <c r="W342" s="79"/>
      <c r="Z342" s="130"/>
      <c r="AB342" s="106"/>
    </row>
    <row r="343">
      <c r="C343" s="79"/>
      <c r="D343" s="79"/>
      <c r="E343" s="79"/>
      <c r="M343" s="79"/>
      <c r="R343" s="79"/>
      <c r="S343" s="79"/>
      <c r="V343" s="79"/>
      <c r="W343" s="79"/>
      <c r="Z343" s="130"/>
      <c r="AB343" s="106"/>
    </row>
    <row r="344">
      <c r="C344" s="79"/>
      <c r="D344" s="79"/>
      <c r="E344" s="79"/>
      <c r="M344" s="79"/>
      <c r="R344" s="79"/>
      <c r="S344" s="79"/>
      <c r="V344" s="79"/>
      <c r="W344" s="79"/>
      <c r="Z344" s="130"/>
      <c r="AB344" s="106"/>
    </row>
    <row r="345">
      <c r="C345" s="79"/>
      <c r="D345" s="79"/>
      <c r="E345" s="79"/>
      <c r="M345" s="79"/>
      <c r="R345" s="79"/>
      <c r="S345" s="79"/>
      <c r="V345" s="79"/>
      <c r="W345" s="79"/>
      <c r="Z345" s="130"/>
      <c r="AB345" s="106"/>
    </row>
    <row r="346">
      <c r="C346" s="79"/>
      <c r="D346" s="79"/>
      <c r="E346" s="79"/>
      <c r="M346" s="79"/>
      <c r="R346" s="79"/>
      <c r="S346" s="79"/>
      <c r="V346" s="79"/>
      <c r="W346" s="79"/>
      <c r="Z346" s="130"/>
      <c r="AB346" s="106"/>
    </row>
    <row r="347">
      <c r="C347" s="79"/>
      <c r="D347" s="79"/>
      <c r="E347" s="79"/>
      <c r="M347" s="79"/>
      <c r="R347" s="79"/>
      <c r="S347" s="79"/>
      <c r="V347" s="79"/>
      <c r="W347" s="79"/>
      <c r="Z347" s="130"/>
      <c r="AB347" s="106"/>
    </row>
    <row r="348">
      <c r="C348" s="79"/>
      <c r="D348" s="79"/>
      <c r="E348" s="79"/>
      <c r="M348" s="79"/>
      <c r="R348" s="79"/>
      <c r="S348" s="79"/>
      <c r="V348" s="79"/>
      <c r="W348" s="79"/>
      <c r="Z348" s="130"/>
      <c r="AB348" s="106"/>
    </row>
    <row r="349">
      <c r="C349" s="79"/>
      <c r="D349" s="79"/>
      <c r="E349" s="79"/>
      <c r="M349" s="79"/>
      <c r="R349" s="79"/>
      <c r="S349" s="79"/>
      <c r="V349" s="79"/>
      <c r="W349" s="79"/>
      <c r="Z349" s="130"/>
      <c r="AB349" s="106"/>
    </row>
    <row r="350">
      <c r="C350" s="79"/>
      <c r="D350" s="79"/>
      <c r="E350" s="79"/>
      <c r="M350" s="79"/>
      <c r="R350" s="79"/>
      <c r="S350" s="79"/>
      <c r="V350" s="79"/>
      <c r="W350" s="79"/>
      <c r="Z350" s="130"/>
      <c r="AB350" s="106"/>
    </row>
    <row r="351">
      <c r="C351" s="79"/>
      <c r="D351" s="79"/>
      <c r="E351" s="79"/>
      <c r="M351" s="79"/>
      <c r="R351" s="79"/>
      <c r="S351" s="79"/>
      <c r="V351" s="79"/>
      <c r="W351" s="79"/>
      <c r="Z351" s="130"/>
      <c r="AB351" s="106"/>
    </row>
    <row r="352">
      <c r="C352" s="79"/>
      <c r="D352" s="79"/>
      <c r="E352" s="79"/>
      <c r="M352" s="79"/>
      <c r="R352" s="79"/>
      <c r="S352" s="79"/>
      <c r="V352" s="79"/>
      <c r="W352" s="79"/>
      <c r="Z352" s="130"/>
      <c r="AB352" s="106"/>
    </row>
    <row r="353">
      <c r="C353" s="79"/>
      <c r="D353" s="79"/>
      <c r="E353" s="79"/>
      <c r="M353" s="79"/>
      <c r="R353" s="79"/>
      <c r="S353" s="79"/>
      <c r="V353" s="79"/>
      <c r="W353" s="79"/>
      <c r="Z353" s="130"/>
      <c r="AB353" s="106"/>
    </row>
    <row r="354">
      <c r="C354" s="79"/>
      <c r="D354" s="79"/>
      <c r="E354" s="79"/>
      <c r="M354" s="79"/>
      <c r="R354" s="79"/>
      <c r="S354" s="79"/>
      <c r="V354" s="79"/>
      <c r="W354" s="79"/>
      <c r="Z354" s="130"/>
      <c r="AB354" s="106"/>
    </row>
    <row r="355">
      <c r="C355" s="79"/>
      <c r="D355" s="79"/>
      <c r="E355" s="79"/>
      <c r="M355" s="79"/>
      <c r="R355" s="79"/>
      <c r="S355" s="79"/>
      <c r="V355" s="79"/>
      <c r="W355" s="79"/>
      <c r="Z355" s="130"/>
      <c r="AB355" s="106"/>
    </row>
    <row r="356">
      <c r="C356" s="79"/>
      <c r="D356" s="79"/>
      <c r="E356" s="79"/>
      <c r="M356" s="79"/>
      <c r="R356" s="79"/>
      <c r="S356" s="79"/>
      <c r="V356" s="79"/>
      <c r="W356" s="79"/>
      <c r="Z356" s="130"/>
      <c r="AB356" s="106"/>
    </row>
    <row r="357">
      <c r="C357" s="79"/>
      <c r="D357" s="79"/>
      <c r="E357" s="79"/>
      <c r="M357" s="79"/>
      <c r="R357" s="79"/>
      <c r="S357" s="79"/>
      <c r="V357" s="79"/>
      <c r="W357" s="79"/>
      <c r="Z357" s="130"/>
      <c r="AB357" s="106"/>
    </row>
    <row r="358">
      <c r="C358" s="79"/>
      <c r="D358" s="79"/>
      <c r="E358" s="79"/>
      <c r="M358" s="79"/>
      <c r="R358" s="79"/>
      <c r="S358" s="79"/>
      <c r="V358" s="79"/>
      <c r="W358" s="79"/>
      <c r="Z358" s="130"/>
      <c r="AB358" s="106"/>
    </row>
    <row r="359">
      <c r="C359" s="79"/>
      <c r="D359" s="79"/>
      <c r="E359" s="79"/>
      <c r="M359" s="79"/>
      <c r="R359" s="79"/>
      <c r="S359" s="79"/>
      <c r="V359" s="79"/>
      <c r="W359" s="79"/>
      <c r="Z359" s="130"/>
      <c r="AB359" s="106"/>
    </row>
    <row r="360">
      <c r="C360" s="79"/>
      <c r="D360" s="79"/>
      <c r="E360" s="79"/>
      <c r="M360" s="79"/>
      <c r="R360" s="79"/>
      <c r="S360" s="79"/>
      <c r="V360" s="79"/>
      <c r="W360" s="79"/>
      <c r="Z360" s="130"/>
      <c r="AB360" s="106"/>
    </row>
    <row r="361">
      <c r="C361" s="79"/>
      <c r="D361" s="79"/>
      <c r="E361" s="79"/>
      <c r="M361" s="79"/>
      <c r="R361" s="79"/>
      <c r="S361" s="79"/>
      <c r="V361" s="79"/>
      <c r="W361" s="79"/>
      <c r="Z361" s="130"/>
      <c r="AB361" s="106"/>
    </row>
    <row r="362">
      <c r="C362" s="79"/>
      <c r="D362" s="79"/>
      <c r="E362" s="79"/>
      <c r="M362" s="79"/>
      <c r="R362" s="79"/>
      <c r="S362" s="79"/>
      <c r="V362" s="79"/>
      <c r="W362" s="79"/>
      <c r="Z362" s="130"/>
      <c r="AB362" s="106"/>
    </row>
    <row r="363">
      <c r="C363" s="79"/>
      <c r="D363" s="79"/>
      <c r="E363" s="79"/>
      <c r="M363" s="79"/>
      <c r="R363" s="79"/>
      <c r="S363" s="79"/>
      <c r="V363" s="79"/>
      <c r="W363" s="79"/>
      <c r="Z363" s="130"/>
      <c r="AB363" s="106"/>
    </row>
    <row r="364">
      <c r="C364" s="79"/>
      <c r="D364" s="79"/>
      <c r="E364" s="79"/>
      <c r="M364" s="79"/>
      <c r="R364" s="79"/>
      <c r="S364" s="79"/>
      <c r="V364" s="79"/>
      <c r="W364" s="79"/>
      <c r="Z364" s="130"/>
      <c r="AB364" s="106"/>
    </row>
    <row r="365">
      <c r="C365" s="79"/>
      <c r="D365" s="79"/>
      <c r="E365" s="79"/>
      <c r="M365" s="79"/>
      <c r="R365" s="79"/>
      <c r="S365" s="79"/>
      <c r="V365" s="79"/>
      <c r="W365" s="79"/>
      <c r="Z365" s="130"/>
      <c r="AB365" s="106"/>
    </row>
    <row r="366">
      <c r="C366" s="79"/>
      <c r="D366" s="79"/>
      <c r="E366" s="79"/>
      <c r="M366" s="79"/>
      <c r="R366" s="79"/>
      <c r="S366" s="79"/>
      <c r="V366" s="79"/>
      <c r="W366" s="79"/>
      <c r="Z366" s="130"/>
      <c r="AB366" s="106"/>
    </row>
    <row r="367">
      <c r="C367" s="79"/>
      <c r="D367" s="79"/>
      <c r="E367" s="79"/>
      <c r="M367" s="79"/>
      <c r="R367" s="79"/>
      <c r="S367" s="79"/>
      <c r="V367" s="79"/>
      <c r="W367" s="79"/>
      <c r="Z367" s="130"/>
      <c r="AB367" s="106"/>
    </row>
    <row r="368">
      <c r="C368" s="79"/>
      <c r="D368" s="79"/>
      <c r="E368" s="79"/>
      <c r="M368" s="79"/>
      <c r="R368" s="79"/>
      <c r="S368" s="79"/>
      <c r="V368" s="79"/>
      <c r="W368" s="79"/>
      <c r="Z368" s="130"/>
      <c r="AB368" s="106"/>
    </row>
    <row r="369">
      <c r="C369" s="79"/>
      <c r="D369" s="79"/>
      <c r="E369" s="79"/>
      <c r="M369" s="79"/>
      <c r="R369" s="79"/>
      <c r="S369" s="79"/>
      <c r="V369" s="79"/>
      <c r="W369" s="79"/>
      <c r="Z369" s="130"/>
      <c r="AB369" s="106"/>
    </row>
    <row r="370">
      <c r="C370" s="79"/>
      <c r="D370" s="79"/>
      <c r="E370" s="79"/>
      <c r="M370" s="79"/>
      <c r="R370" s="79"/>
      <c r="S370" s="79"/>
      <c r="V370" s="79"/>
      <c r="W370" s="79"/>
      <c r="Z370" s="130"/>
      <c r="AB370" s="106"/>
    </row>
    <row r="371">
      <c r="C371" s="79"/>
      <c r="D371" s="79"/>
      <c r="E371" s="79"/>
      <c r="M371" s="79"/>
      <c r="R371" s="79"/>
      <c r="S371" s="79"/>
      <c r="V371" s="79"/>
      <c r="W371" s="79"/>
      <c r="Z371" s="130"/>
      <c r="AB371" s="106"/>
    </row>
    <row r="372">
      <c r="C372" s="79"/>
      <c r="D372" s="79"/>
      <c r="E372" s="79"/>
      <c r="M372" s="79"/>
      <c r="R372" s="79"/>
      <c r="S372" s="79"/>
      <c r="V372" s="79"/>
      <c r="W372" s="79"/>
      <c r="Z372" s="130"/>
      <c r="AB372" s="106"/>
    </row>
    <row r="373">
      <c r="C373" s="79"/>
      <c r="D373" s="79"/>
      <c r="E373" s="79"/>
      <c r="M373" s="79"/>
      <c r="R373" s="79"/>
      <c r="S373" s="79"/>
      <c r="V373" s="79"/>
      <c r="W373" s="79"/>
      <c r="Z373" s="130"/>
      <c r="AB373" s="106"/>
    </row>
    <row r="374">
      <c r="C374" s="79"/>
      <c r="D374" s="79"/>
      <c r="E374" s="79"/>
      <c r="M374" s="79"/>
      <c r="R374" s="79"/>
      <c r="S374" s="79"/>
      <c r="V374" s="79"/>
      <c r="W374" s="79"/>
      <c r="Z374" s="130"/>
      <c r="AB374" s="106"/>
    </row>
    <row r="375">
      <c r="C375" s="79"/>
      <c r="D375" s="79"/>
      <c r="E375" s="79"/>
      <c r="M375" s="79"/>
      <c r="R375" s="79"/>
      <c r="S375" s="79"/>
      <c r="V375" s="79"/>
      <c r="W375" s="79"/>
      <c r="Z375" s="130"/>
      <c r="AB375" s="106"/>
    </row>
    <row r="376">
      <c r="C376" s="79"/>
      <c r="D376" s="79"/>
      <c r="E376" s="79"/>
      <c r="M376" s="79"/>
      <c r="R376" s="79"/>
      <c r="S376" s="79"/>
      <c r="V376" s="79"/>
      <c r="W376" s="79"/>
      <c r="Z376" s="130"/>
      <c r="AB376" s="106"/>
    </row>
    <row r="377">
      <c r="C377" s="79"/>
      <c r="D377" s="79"/>
      <c r="E377" s="79"/>
      <c r="M377" s="79"/>
      <c r="R377" s="79"/>
      <c r="S377" s="79"/>
      <c r="V377" s="79"/>
      <c r="W377" s="79"/>
      <c r="Z377" s="130"/>
      <c r="AB377" s="106"/>
    </row>
    <row r="378">
      <c r="C378" s="79"/>
      <c r="D378" s="79"/>
      <c r="E378" s="79"/>
      <c r="M378" s="79"/>
      <c r="R378" s="79"/>
      <c r="S378" s="79"/>
      <c r="V378" s="79"/>
      <c r="W378" s="79"/>
      <c r="Z378" s="130"/>
      <c r="AB378" s="106"/>
    </row>
    <row r="379">
      <c r="C379" s="79"/>
      <c r="D379" s="79"/>
      <c r="E379" s="79"/>
      <c r="M379" s="79"/>
      <c r="R379" s="79"/>
      <c r="S379" s="79"/>
      <c r="V379" s="79"/>
      <c r="W379" s="79"/>
      <c r="Z379" s="130"/>
      <c r="AB379" s="106"/>
    </row>
    <row r="380">
      <c r="C380" s="79"/>
      <c r="D380" s="79"/>
      <c r="E380" s="79"/>
      <c r="M380" s="79"/>
      <c r="R380" s="79"/>
      <c r="S380" s="79"/>
      <c r="V380" s="79"/>
      <c r="W380" s="79"/>
      <c r="Z380" s="130"/>
      <c r="AB380" s="106"/>
    </row>
    <row r="381">
      <c r="C381" s="79"/>
      <c r="D381" s="79"/>
      <c r="E381" s="79"/>
      <c r="M381" s="79"/>
      <c r="R381" s="79"/>
      <c r="S381" s="79"/>
      <c r="V381" s="79"/>
      <c r="W381" s="79"/>
      <c r="Z381" s="130"/>
      <c r="AB381" s="106"/>
    </row>
    <row r="382">
      <c r="C382" s="79"/>
      <c r="D382" s="79"/>
      <c r="E382" s="79"/>
      <c r="M382" s="79"/>
      <c r="R382" s="79"/>
      <c r="S382" s="79"/>
      <c r="V382" s="79"/>
      <c r="W382" s="79"/>
      <c r="Z382" s="130"/>
      <c r="AB382" s="106"/>
    </row>
    <row r="383">
      <c r="C383" s="79"/>
      <c r="D383" s="79"/>
      <c r="E383" s="79"/>
      <c r="M383" s="79"/>
      <c r="R383" s="79"/>
      <c r="S383" s="79"/>
      <c r="V383" s="79"/>
      <c r="W383" s="79"/>
      <c r="Z383" s="130"/>
      <c r="AB383" s="106"/>
    </row>
    <row r="384">
      <c r="C384" s="79"/>
      <c r="D384" s="79"/>
      <c r="E384" s="79"/>
      <c r="M384" s="79"/>
      <c r="R384" s="79"/>
      <c r="S384" s="79"/>
      <c r="V384" s="79"/>
      <c r="W384" s="79"/>
      <c r="Z384" s="130"/>
      <c r="AB384" s="106"/>
    </row>
    <row r="385">
      <c r="C385" s="79"/>
      <c r="D385" s="79"/>
      <c r="E385" s="79"/>
      <c r="M385" s="79"/>
      <c r="R385" s="79"/>
      <c r="S385" s="79"/>
      <c r="V385" s="79"/>
      <c r="W385" s="79"/>
      <c r="Z385" s="130"/>
      <c r="AB385" s="106"/>
    </row>
    <row r="386">
      <c r="C386" s="79"/>
      <c r="D386" s="79"/>
      <c r="E386" s="79"/>
      <c r="M386" s="79"/>
      <c r="R386" s="79"/>
      <c r="S386" s="79"/>
      <c r="V386" s="79"/>
      <c r="W386" s="79"/>
      <c r="Z386" s="130"/>
      <c r="AB386" s="106"/>
    </row>
    <row r="387">
      <c r="C387" s="79"/>
      <c r="D387" s="79"/>
      <c r="E387" s="79"/>
      <c r="M387" s="79"/>
      <c r="R387" s="79"/>
      <c r="S387" s="79"/>
      <c r="V387" s="79"/>
      <c r="W387" s="79"/>
      <c r="Z387" s="130"/>
      <c r="AB387" s="106"/>
    </row>
    <row r="388">
      <c r="C388" s="79"/>
      <c r="D388" s="79"/>
      <c r="E388" s="79"/>
      <c r="M388" s="79"/>
      <c r="R388" s="79"/>
      <c r="S388" s="79"/>
      <c r="V388" s="79"/>
      <c r="W388" s="79"/>
      <c r="Z388" s="130"/>
      <c r="AB388" s="106"/>
    </row>
    <row r="389">
      <c r="C389" s="79"/>
      <c r="D389" s="79"/>
      <c r="E389" s="79"/>
      <c r="M389" s="79"/>
      <c r="R389" s="79"/>
      <c r="S389" s="79"/>
      <c r="V389" s="79"/>
      <c r="W389" s="79"/>
      <c r="Z389" s="130"/>
      <c r="AB389" s="106"/>
    </row>
    <row r="390">
      <c r="C390" s="79"/>
      <c r="D390" s="79"/>
      <c r="E390" s="79"/>
      <c r="M390" s="79"/>
      <c r="R390" s="79"/>
      <c r="S390" s="79"/>
      <c r="V390" s="79"/>
      <c r="W390" s="79"/>
      <c r="Z390" s="130"/>
      <c r="AB390" s="106"/>
    </row>
    <row r="391">
      <c r="C391" s="79"/>
      <c r="D391" s="79"/>
      <c r="E391" s="79"/>
      <c r="M391" s="79"/>
      <c r="R391" s="79"/>
      <c r="S391" s="79"/>
      <c r="V391" s="79"/>
      <c r="W391" s="79"/>
      <c r="Z391" s="130"/>
      <c r="AB391" s="106"/>
    </row>
    <row r="392">
      <c r="C392" s="79"/>
      <c r="D392" s="79"/>
      <c r="E392" s="79"/>
      <c r="M392" s="79"/>
      <c r="R392" s="79"/>
      <c r="S392" s="79"/>
      <c r="V392" s="79"/>
      <c r="W392" s="79"/>
      <c r="Z392" s="130"/>
      <c r="AB392" s="106"/>
    </row>
    <row r="393">
      <c r="C393" s="79"/>
      <c r="D393" s="79"/>
      <c r="E393" s="79"/>
      <c r="M393" s="79"/>
      <c r="R393" s="79"/>
      <c r="S393" s="79"/>
      <c r="V393" s="79"/>
      <c r="W393" s="79"/>
      <c r="Z393" s="130"/>
      <c r="AB393" s="106"/>
    </row>
    <row r="394">
      <c r="C394" s="79"/>
      <c r="D394" s="79"/>
      <c r="E394" s="79"/>
      <c r="M394" s="79"/>
      <c r="R394" s="79"/>
      <c r="S394" s="79"/>
      <c r="V394" s="79"/>
      <c r="W394" s="79"/>
      <c r="Z394" s="130"/>
      <c r="AB394" s="106"/>
    </row>
    <row r="395">
      <c r="C395" s="79"/>
      <c r="D395" s="79"/>
      <c r="E395" s="79"/>
      <c r="M395" s="79"/>
      <c r="R395" s="79"/>
      <c r="S395" s="79"/>
      <c r="V395" s="79"/>
      <c r="W395" s="79"/>
      <c r="Z395" s="130"/>
      <c r="AB395" s="106"/>
    </row>
    <row r="396">
      <c r="C396" s="79"/>
      <c r="D396" s="79"/>
      <c r="E396" s="79"/>
      <c r="M396" s="79"/>
      <c r="R396" s="79"/>
      <c r="S396" s="79"/>
      <c r="V396" s="79"/>
      <c r="W396" s="79"/>
      <c r="Z396" s="130"/>
      <c r="AB396" s="106"/>
    </row>
    <row r="397">
      <c r="C397" s="79"/>
      <c r="D397" s="79"/>
      <c r="E397" s="79"/>
      <c r="M397" s="79"/>
      <c r="R397" s="79"/>
      <c r="S397" s="79"/>
      <c r="V397" s="79"/>
      <c r="W397" s="79"/>
      <c r="Z397" s="130"/>
      <c r="AB397" s="106"/>
    </row>
    <row r="398">
      <c r="C398" s="79"/>
      <c r="D398" s="79"/>
      <c r="E398" s="79"/>
      <c r="M398" s="79"/>
      <c r="R398" s="79"/>
      <c r="S398" s="79"/>
      <c r="V398" s="79"/>
      <c r="W398" s="79"/>
      <c r="Z398" s="130"/>
      <c r="AB398" s="106"/>
    </row>
    <row r="399">
      <c r="C399" s="79"/>
      <c r="D399" s="79"/>
      <c r="E399" s="79"/>
      <c r="M399" s="79"/>
      <c r="R399" s="79"/>
      <c r="S399" s="79"/>
      <c r="V399" s="79"/>
      <c r="W399" s="79"/>
      <c r="Z399" s="130"/>
      <c r="AB399" s="106"/>
    </row>
    <row r="400">
      <c r="C400" s="79"/>
      <c r="D400" s="79"/>
      <c r="E400" s="79"/>
      <c r="M400" s="79"/>
      <c r="R400" s="79"/>
      <c r="S400" s="79"/>
      <c r="V400" s="79"/>
      <c r="W400" s="79"/>
      <c r="Z400" s="130"/>
      <c r="AB400" s="106"/>
    </row>
    <row r="401">
      <c r="C401" s="79"/>
      <c r="D401" s="79"/>
      <c r="E401" s="79"/>
      <c r="M401" s="79"/>
      <c r="R401" s="79"/>
      <c r="S401" s="79"/>
      <c r="V401" s="79"/>
      <c r="W401" s="79"/>
      <c r="Z401" s="130"/>
      <c r="AB401" s="106"/>
    </row>
    <row r="402">
      <c r="C402" s="79"/>
      <c r="D402" s="79"/>
      <c r="E402" s="79"/>
      <c r="M402" s="79"/>
      <c r="R402" s="79"/>
      <c r="S402" s="79"/>
      <c r="V402" s="79"/>
      <c r="W402" s="79"/>
      <c r="Z402" s="130"/>
      <c r="AB402" s="106"/>
    </row>
    <row r="403">
      <c r="C403" s="79"/>
      <c r="D403" s="79"/>
      <c r="E403" s="79"/>
      <c r="M403" s="79"/>
      <c r="R403" s="79"/>
      <c r="S403" s="79"/>
      <c r="V403" s="79"/>
      <c r="W403" s="79"/>
      <c r="Z403" s="130"/>
      <c r="AB403" s="106"/>
    </row>
    <row r="404">
      <c r="C404" s="79"/>
      <c r="D404" s="79"/>
      <c r="E404" s="79"/>
      <c r="M404" s="79"/>
      <c r="R404" s="79"/>
      <c r="S404" s="79"/>
      <c r="V404" s="79"/>
      <c r="W404" s="79"/>
      <c r="Z404" s="130"/>
      <c r="AB404" s="106"/>
    </row>
    <row r="405">
      <c r="C405" s="79"/>
      <c r="D405" s="79"/>
      <c r="E405" s="79"/>
      <c r="M405" s="79"/>
      <c r="R405" s="79"/>
      <c r="S405" s="79"/>
      <c r="V405" s="79"/>
      <c r="W405" s="79"/>
      <c r="Z405" s="130"/>
      <c r="AB405" s="106"/>
    </row>
    <row r="406">
      <c r="C406" s="79"/>
      <c r="D406" s="79"/>
      <c r="E406" s="79"/>
      <c r="M406" s="79"/>
      <c r="R406" s="79"/>
      <c r="S406" s="79"/>
      <c r="V406" s="79"/>
      <c r="W406" s="79"/>
      <c r="Z406" s="130"/>
      <c r="AB406" s="106"/>
    </row>
    <row r="407">
      <c r="C407" s="79"/>
      <c r="D407" s="79"/>
      <c r="E407" s="79"/>
      <c r="M407" s="79"/>
      <c r="R407" s="79"/>
      <c r="S407" s="79"/>
      <c r="V407" s="79"/>
      <c r="W407" s="79"/>
      <c r="Z407" s="130"/>
      <c r="AB407" s="106"/>
    </row>
    <row r="408">
      <c r="C408" s="79"/>
      <c r="D408" s="79"/>
      <c r="E408" s="79"/>
      <c r="M408" s="79"/>
      <c r="R408" s="79"/>
      <c r="S408" s="79"/>
      <c r="V408" s="79"/>
      <c r="W408" s="79"/>
      <c r="Z408" s="130"/>
      <c r="AB408" s="106"/>
    </row>
    <row r="409">
      <c r="C409" s="79"/>
      <c r="D409" s="79"/>
      <c r="E409" s="79"/>
      <c r="M409" s="79"/>
      <c r="R409" s="79"/>
      <c r="S409" s="79"/>
      <c r="V409" s="79"/>
      <c r="W409" s="79"/>
      <c r="Z409" s="130"/>
      <c r="AB409" s="106"/>
    </row>
    <row r="410">
      <c r="C410" s="79"/>
      <c r="D410" s="79"/>
      <c r="E410" s="79"/>
      <c r="M410" s="79"/>
      <c r="R410" s="79"/>
      <c r="S410" s="79"/>
      <c r="V410" s="79"/>
      <c r="W410" s="79"/>
      <c r="Z410" s="130"/>
      <c r="AB410" s="106"/>
    </row>
    <row r="411">
      <c r="C411" s="79"/>
      <c r="D411" s="79"/>
      <c r="E411" s="79"/>
      <c r="M411" s="79"/>
      <c r="R411" s="79"/>
      <c r="S411" s="79"/>
      <c r="V411" s="79"/>
      <c r="W411" s="79"/>
      <c r="Z411" s="130"/>
      <c r="AB411" s="106"/>
    </row>
    <row r="412">
      <c r="C412" s="79"/>
      <c r="D412" s="79"/>
      <c r="E412" s="79"/>
      <c r="M412" s="79"/>
      <c r="R412" s="79"/>
      <c r="S412" s="79"/>
      <c r="V412" s="79"/>
      <c r="W412" s="79"/>
      <c r="Z412" s="130"/>
      <c r="AB412" s="106"/>
    </row>
    <row r="413">
      <c r="C413" s="79"/>
      <c r="D413" s="79"/>
      <c r="E413" s="79"/>
      <c r="M413" s="79"/>
      <c r="R413" s="79"/>
      <c r="S413" s="79"/>
      <c r="V413" s="79"/>
      <c r="W413" s="79"/>
      <c r="Z413" s="130"/>
      <c r="AB413" s="106"/>
    </row>
    <row r="414">
      <c r="C414" s="79"/>
      <c r="D414" s="79"/>
      <c r="E414" s="79"/>
      <c r="M414" s="79"/>
      <c r="R414" s="79"/>
      <c r="S414" s="79"/>
      <c r="V414" s="79"/>
      <c r="W414" s="79"/>
      <c r="Z414" s="130"/>
      <c r="AB414" s="106"/>
    </row>
    <row r="415">
      <c r="C415" s="79"/>
      <c r="D415" s="79"/>
      <c r="E415" s="79"/>
      <c r="M415" s="79"/>
      <c r="R415" s="79"/>
      <c r="S415" s="79"/>
      <c r="V415" s="79"/>
      <c r="W415" s="79"/>
      <c r="Z415" s="130"/>
      <c r="AB415" s="106"/>
    </row>
    <row r="416">
      <c r="C416" s="79"/>
      <c r="D416" s="79"/>
      <c r="E416" s="79"/>
      <c r="M416" s="79"/>
      <c r="R416" s="79"/>
      <c r="S416" s="79"/>
      <c r="V416" s="79"/>
      <c r="W416" s="79"/>
      <c r="Z416" s="130"/>
      <c r="AB416" s="106"/>
    </row>
    <row r="417">
      <c r="C417" s="79"/>
      <c r="D417" s="79"/>
      <c r="E417" s="79"/>
      <c r="M417" s="79"/>
      <c r="R417" s="79"/>
      <c r="S417" s="79"/>
      <c r="V417" s="79"/>
      <c r="W417" s="79"/>
      <c r="Z417" s="130"/>
      <c r="AB417" s="106"/>
    </row>
    <row r="418">
      <c r="C418" s="79"/>
      <c r="D418" s="79"/>
      <c r="E418" s="79"/>
      <c r="M418" s="79"/>
      <c r="R418" s="79"/>
      <c r="S418" s="79"/>
      <c r="V418" s="79"/>
      <c r="W418" s="79"/>
      <c r="Z418" s="130"/>
      <c r="AB418" s="106"/>
    </row>
    <row r="419">
      <c r="C419" s="79"/>
      <c r="D419" s="79"/>
      <c r="E419" s="79"/>
      <c r="M419" s="79"/>
      <c r="R419" s="79"/>
      <c r="S419" s="79"/>
      <c r="V419" s="79"/>
      <c r="W419" s="79"/>
      <c r="Z419" s="130"/>
      <c r="AB419" s="106"/>
    </row>
    <row r="420">
      <c r="C420" s="79"/>
      <c r="D420" s="79"/>
      <c r="E420" s="79"/>
      <c r="M420" s="79"/>
      <c r="R420" s="79"/>
      <c r="S420" s="79"/>
      <c r="V420" s="79"/>
      <c r="W420" s="79"/>
      <c r="Z420" s="130"/>
      <c r="AB420" s="106"/>
    </row>
    <row r="421">
      <c r="C421" s="79"/>
      <c r="D421" s="79"/>
      <c r="E421" s="79"/>
      <c r="M421" s="79"/>
      <c r="R421" s="79"/>
      <c r="S421" s="79"/>
      <c r="V421" s="79"/>
      <c r="W421" s="79"/>
      <c r="Z421" s="130"/>
      <c r="AB421" s="106"/>
    </row>
    <row r="422">
      <c r="C422" s="79"/>
      <c r="D422" s="79"/>
      <c r="E422" s="79"/>
      <c r="M422" s="79"/>
      <c r="R422" s="79"/>
      <c r="S422" s="79"/>
      <c r="V422" s="79"/>
      <c r="W422" s="79"/>
      <c r="Z422" s="130"/>
      <c r="AB422" s="106"/>
    </row>
    <row r="423">
      <c r="C423" s="79"/>
      <c r="D423" s="79"/>
      <c r="E423" s="79"/>
      <c r="M423" s="79"/>
      <c r="R423" s="79"/>
      <c r="S423" s="79"/>
      <c r="V423" s="79"/>
      <c r="W423" s="79"/>
      <c r="Z423" s="130"/>
      <c r="AB423" s="106"/>
    </row>
    <row r="424">
      <c r="C424" s="79"/>
      <c r="D424" s="79"/>
      <c r="E424" s="79"/>
      <c r="M424" s="79"/>
      <c r="R424" s="79"/>
      <c r="S424" s="79"/>
      <c r="V424" s="79"/>
      <c r="W424" s="79"/>
      <c r="Z424" s="130"/>
      <c r="AB424" s="106"/>
    </row>
    <row r="425">
      <c r="C425" s="79"/>
      <c r="D425" s="79"/>
      <c r="E425" s="79"/>
      <c r="M425" s="79"/>
      <c r="R425" s="79"/>
      <c r="S425" s="79"/>
      <c r="V425" s="79"/>
      <c r="W425" s="79"/>
      <c r="Z425" s="130"/>
      <c r="AB425" s="106"/>
    </row>
    <row r="426">
      <c r="C426" s="79"/>
      <c r="D426" s="79"/>
      <c r="E426" s="79"/>
      <c r="M426" s="79"/>
      <c r="R426" s="79"/>
      <c r="S426" s="79"/>
      <c r="V426" s="79"/>
      <c r="W426" s="79"/>
      <c r="Z426" s="130"/>
      <c r="AB426" s="106"/>
    </row>
    <row r="427">
      <c r="C427" s="79"/>
      <c r="D427" s="79"/>
      <c r="E427" s="79"/>
      <c r="M427" s="79"/>
      <c r="R427" s="79"/>
      <c r="S427" s="79"/>
      <c r="V427" s="79"/>
      <c r="W427" s="79"/>
      <c r="Z427" s="130"/>
      <c r="AB427" s="106"/>
    </row>
    <row r="428">
      <c r="C428" s="79"/>
      <c r="D428" s="79"/>
      <c r="E428" s="79"/>
      <c r="M428" s="79"/>
      <c r="R428" s="79"/>
      <c r="S428" s="79"/>
      <c r="V428" s="79"/>
      <c r="W428" s="79"/>
      <c r="Z428" s="130"/>
      <c r="AB428" s="106"/>
    </row>
    <row r="429">
      <c r="C429" s="79"/>
      <c r="D429" s="79"/>
      <c r="E429" s="79"/>
      <c r="M429" s="79"/>
      <c r="R429" s="79"/>
      <c r="S429" s="79"/>
      <c r="V429" s="79"/>
      <c r="W429" s="79"/>
      <c r="Z429" s="130"/>
      <c r="AB429" s="106"/>
    </row>
    <row r="430">
      <c r="C430" s="79"/>
      <c r="D430" s="79"/>
      <c r="E430" s="79"/>
      <c r="M430" s="79"/>
      <c r="R430" s="79"/>
      <c r="S430" s="79"/>
      <c r="V430" s="79"/>
      <c r="W430" s="79"/>
      <c r="Z430" s="130"/>
      <c r="AB430" s="106"/>
    </row>
    <row r="431">
      <c r="C431" s="79"/>
      <c r="D431" s="79"/>
      <c r="E431" s="79"/>
      <c r="M431" s="79"/>
      <c r="R431" s="79"/>
      <c r="S431" s="79"/>
      <c r="V431" s="79"/>
      <c r="W431" s="79"/>
      <c r="Z431" s="130"/>
      <c r="AB431" s="106"/>
    </row>
    <row r="432">
      <c r="C432" s="79"/>
      <c r="D432" s="79"/>
      <c r="E432" s="79"/>
      <c r="M432" s="79"/>
      <c r="R432" s="79"/>
      <c r="S432" s="79"/>
      <c r="V432" s="79"/>
      <c r="W432" s="79"/>
      <c r="Z432" s="130"/>
      <c r="AB432" s="106"/>
    </row>
    <row r="433">
      <c r="C433" s="79"/>
      <c r="D433" s="79"/>
      <c r="E433" s="79"/>
      <c r="M433" s="79"/>
      <c r="R433" s="79"/>
      <c r="S433" s="79"/>
      <c r="V433" s="79"/>
      <c r="W433" s="79"/>
      <c r="Z433" s="130"/>
      <c r="AB433" s="106"/>
    </row>
    <row r="434">
      <c r="C434" s="79"/>
      <c r="D434" s="79"/>
      <c r="E434" s="79"/>
      <c r="M434" s="79"/>
      <c r="R434" s="79"/>
      <c r="S434" s="79"/>
      <c r="V434" s="79"/>
      <c r="W434" s="79"/>
      <c r="Z434" s="130"/>
      <c r="AB434" s="106"/>
    </row>
    <row r="435">
      <c r="C435" s="79"/>
      <c r="D435" s="79"/>
      <c r="E435" s="79"/>
      <c r="M435" s="79"/>
      <c r="R435" s="79"/>
      <c r="S435" s="79"/>
      <c r="V435" s="79"/>
      <c r="W435" s="79"/>
      <c r="Z435" s="130"/>
      <c r="AB435" s="106"/>
    </row>
    <row r="436">
      <c r="C436" s="79"/>
      <c r="D436" s="79"/>
      <c r="E436" s="79"/>
      <c r="M436" s="79"/>
      <c r="R436" s="79"/>
      <c r="S436" s="79"/>
      <c r="V436" s="79"/>
      <c r="W436" s="79"/>
      <c r="Z436" s="130"/>
      <c r="AB436" s="106"/>
    </row>
    <row r="437">
      <c r="C437" s="79"/>
      <c r="D437" s="79"/>
      <c r="E437" s="79"/>
      <c r="M437" s="79"/>
      <c r="R437" s="79"/>
      <c r="S437" s="79"/>
      <c r="V437" s="79"/>
      <c r="W437" s="79"/>
      <c r="Z437" s="130"/>
      <c r="AB437" s="106"/>
    </row>
    <row r="438">
      <c r="C438" s="79"/>
      <c r="D438" s="79"/>
      <c r="E438" s="79"/>
      <c r="M438" s="79"/>
      <c r="R438" s="79"/>
      <c r="S438" s="79"/>
      <c r="V438" s="79"/>
      <c r="W438" s="79"/>
      <c r="Z438" s="130"/>
      <c r="AB438" s="106"/>
    </row>
    <row r="439">
      <c r="C439" s="79"/>
      <c r="D439" s="79"/>
      <c r="E439" s="79"/>
      <c r="M439" s="79"/>
      <c r="R439" s="79"/>
      <c r="S439" s="79"/>
      <c r="V439" s="79"/>
      <c r="W439" s="79"/>
      <c r="Z439" s="130"/>
      <c r="AB439" s="106"/>
    </row>
    <row r="440">
      <c r="C440" s="79"/>
      <c r="D440" s="79"/>
      <c r="E440" s="79"/>
      <c r="M440" s="79"/>
      <c r="R440" s="79"/>
      <c r="S440" s="79"/>
      <c r="V440" s="79"/>
      <c r="W440" s="79"/>
      <c r="Z440" s="130"/>
      <c r="AB440" s="106"/>
    </row>
    <row r="441">
      <c r="C441" s="79"/>
      <c r="D441" s="79"/>
      <c r="E441" s="79"/>
      <c r="M441" s="79"/>
      <c r="R441" s="79"/>
      <c r="S441" s="79"/>
      <c r="V441" s="79"/>
      <c r="W441" s="79"/>
      <c r="Z441" s="130"/>
      <c r="AB441" s="106"/>
    </row>
    <row r="442">
      <c r="C442" s="79"/>
      <c r="D442" s="79"/>
      <c r="E442" s="79"/>
      <c r="M442" s="79"/>
      <c r="R442" s="79"/>
      <c r="S442" s="79"/>
      <c r="V442" s="79"/>
      <c r="W442" s="79"/>
      <c r="Z442" s="130"/>
      <c r="AB442" s="106"/>
    </row>
    <row r="443">
      <c r="C443" s="79"/>
      <c r="D443" s="79"/>
      <c r="E443" s="79"/>
      <c r="M443" s="79"/>
      <c r="R443" s="79"/>
      <c r="S443" s="79"/>
      <c r="V443" s="79"/>
      <c r="W443" s="79"/>
      <c r="Z443" s="130"/>
      <c r="AB443" s="106"/>
    </row>
    <row r="444">
      <c r="C444" s="79"/>
      <c r="D444" s="79"/>
      <c r="E444" s="79"/>
      <c r="M444" s="79"/>
      <c r="R444" s="79"/>
      <c r="S444" s="79"/>
      <c r="V444" s="79"/>
      <c r="W444" s="79"/>
      <c r="Z444" s="130"/>
      <c r="AB444" s="106"/>
    </row>
    <row r="445">
      <c r="C445" s="79"/>
      <c r="D445" s="79"/>
      <c r="E445" s="79"/>
      <c r="M445" s="79"/>
      <c r="R445" s="79"/>
      <c r="S445" s="79"/>
      <c r="V445" s="79"/>
      <c r="W445" s="79"/>
      <c r="Z445" s="130"/>
      <c r="AB445" s="106"/>
    </row>
    <row r="446">
      <c r="C446" s="79"/>
      <c r="D446" s="79"/>
      <c r="E446" s="79"/>
      <c r="M446" s="79"/>
      <c r="R446" s="79"/>
      <c r="S446" s="79"/>
      <c r="V446" s="79"/>
      <c r="W446" s="79"/>
      <c r="Z446" s="130"/>
      <c r="AB446" s="106"/>
    </row>
    <row r="447">
      <c r="C447" s="79"/>
      <c r="D447" s="79"/>
      <c r="E447" s="79"/>
      <c r="M447" s="79"/>
      <c r="R447" s="79"/>
      <c r="S447" s="79"/>
      <c r="V447" s="79"/>
      <c r="W447" s="79"/>
      <c r="Z447" s="130"/>
      <c r="AB447" s="106"/>
    </row>
    <row r="448">
      <c r="C448" s="79"/>
      <c r="D448" s="79"/>
      <c r="E448" s="79"/>
      <c r="M448" s="79"/>
      <c r="R448" s="79"/>
      <c r="S448" s="79"/>
      <c r="V448" s="79"/>
      <c r="W448" s="79"/>
      <c r="Z448" s="130"/>
      <c r="AB448" s="106"/>
    </row>
    <row r="449">
      <c r="C449" s="79"/>
      <c r="D449" s="79"/>
      <c r="E449" s="79"/>
      <c r="M449" s="79"/>
      <c r="R449" s="79"/>
      <c r="S449" s="79"/>
      <c r="V449" s="79"/>
      <c r="W449" s="79"/>
      <c r="Z449" s="130"/>
      <c r="AB449" s="106"/>
    </row>
    <row r="450">
      <c r="C450" s="79"/>
      <c r="D450" s="79"/>
      <c r="E450" s="79"/>
      <c r="M450" s="79"/>
      <c r="R450" s="79"/>
      <c r="S450" s="79"/>
      <c r="V450" s="79"/>
      <c r="W450" s="79"/>
      <c r="Z450" s="130"/>
      <c r="AB450" s="106"/>
    </row>
    <row r="451">
      <c r="C451" s="79"/>
      <c r="D451" s="79"/>
      <c r="E451" s="79"/>
      <c r="M451" s="79"/>
      <c r="R451" s="79"/>
      <c r="S451" s="79"/>
      <c r="V451" s="79"/>
      <c r="W451" s="79"/>
      <c r="Z451" s="130"/>
      <c r="AB451" s="106"/>
    </row>
    <row r="452">
      <c r="C452" s="79"/>
      <c r="D452" s="79"/>
      <c r="E452" s="79"/>
      <c r="M452" s="79"/>
      <c r="R452" s="79"/>
      <c r="S452" s="79"/>
      <c r="V452" s="79"/>
      <c r="W452" s="79"/>
      <c r="Z452" s="130"/>
      <c r="AB452" s="106"/>
    </row>
    <row r="453">
      <c r="C453" s="79"/>
      <c r="D453" s="79"/>
      <c r="E453" s="79"/>
      <c r="M453" s="79"/>
      <c r="R453" s="79"/>
      <c r="S453" s="79"/>
      <c r="V453" s="79"/>
      <c r="W453" s="79"/>
      <c r="Z453" s="130"/>
      <c r="AB453" s="106"/>
    </row>
    <row r="454">
      <c r="C454" s="79"/>
      <c r="D454" s="79"/>
      <c r="E454" s="79"/>
      <c r="M454" s="79"/>
      <c r="R454" s="79"/>
      <c r="S454" s="79"/>
      <c r="V454" s="79"/>
      <c r="W454" s="79"/>
      <c r="Z454" s="130"/>
      <c r="AB454" s="106"/>
    </row>
    <row r="455">
      <c r="C455" s="79"/>
      <c r="D455" s="79"/>
      <c r="E455" s="79"/>
      <c r="M455" s="79"/>
      <c r="R455" s="79"/>
      <c r="S455" s="79"/>
      <c r="V455" s="79"/>
      <c r="W455" s="79"/>
      <c r="Z455" s="130"/>
      <c r="AB455" s="106"/>
    </row>
    <row r="456">
      <c r="C456" s="79"/>
      <c r="D456" s="79"/>
      <c r="E456" s="79"/>
      <c r="M456" s="79"/>
      <c r="R456" s="79"/>
      <c r="S456" s="79"/>
      <c r="V456" s="79"/>
      <c r="W456" s="79"/>
      <c r="Z456" s="130"/>
      <c r="AB456" s="106"/>
    </row>
    <row r="457">
      <c r="C457" s="79"/>
      <c r="D457" s="79"/>
      <c r="E457" s="79"/>
      <c r="M457" s="79"/>
      <c r="R457" s="79"/>
      <c r="S457" s="79"/>
      <c r="V457" s="79"/>
      <c r="W457" s="79"/>
      <c r="Z457" s="130"/>
      <c r="AB457" s="106"/>
    </row>
    <row r="458">
      <c r="C458" s="79"/>
      <c r="D458" s="79"/>
      <c r="E458" s="79"/>
      <c r="M458" s="79"/>
      <c r="R458" s="79"/>
      <c r="S458" s="79"/>
      <c r="V458" s="79"/>
      <c r="W458" s="79"/>
      <c r="Z458" s="130"/>
      <c r="AB458" s="106"/>
    </row>
    <row r="459">
      <c r="C459" s="79"/>
      <c r="D459" s="79"/>
      <c r="E459" s="79"/>
      <c r="M459" s="79"/>
      <c r="R459" s="79"/>
      <c r="S459" s="79"/>
      <c r="V459" s="79"/>
      <c r="W459" s="79"/>
      <c r="Z459" s="130"/>
      <c r="AB459" s="106"/>
    </row>
    <row r="460">
      <c r="C460" s="79"/>
      <c r="D460" s="79"/>
      <c r="E460" s="79"/>
      <c r="M460" s="79"/>
      <c r="R460" s="79"/>
      <c r="S460" s="79"/>
      <c r="V460" s="79"/>
      <c r="W460" s="79"/>
      <c r="Z460" s="130"/>
      <c r="AB460" s="106"/>
    </row>
    <row r="461">
      <c r="C461" s="79"/>
      <c r="D461" s="79"/>
      <c r="E461" s="79"/>
      <c r="M461" s="79"/>
      <c r="R461" s="79"/>
      <c r="S461" s="79"/>
      <c r="V461" s="79"/>
      <c r="W461" s="79"/>
      <c r="Z461" s="130"/>
      <c r="AB461" s="106"/>
    </row>
    <row r="462">
      <c r="C462" s="79"/>
      <c r="D462" s="79"/>
      <c r="E462" s="79"/>
      <c r="M462" s="79"/>
      <c r="R462" s="79"/>
      <c r="S462" s="79"/>
      <c r="V462" s="79"/>
      <c r="W462" s="79"/>
      <c r="Z462" s="130"/>
      <c r="AB462" s="106"/>
    </row>
    <row r="463">
      <c r="C463" s="79"/>
      <c r="D463" s="79"/>
      <c r="E463" s="79"/>
      <c r="M463" s="79"/>
      <c r="R463" s="79"/>
      <c r="S463" s="79"/>
      <c r="V463" s="79"/>
      <c r="W463" s="79"/>
      <c r="Z463" s="130"/>
      <c r="AB463" s="106"/>
    </row>
    <row r="464">
      <c r="C464" s="79"/>
      <c r="D464" s="79"/>
      <c r="E464" s="79"/>
      <c r="M464" s="79"/>
      <c r="R464" s="79"/>
      <c r="S464" s="79"/>
      <c r="V464" s="79"/>
      <c r="W464" s="79"/>
      <c r="Z464" s="130"/>
      <c r="AB464" s="106"/>
    </row>
    <row r="465">
      <c r="C465" s="79"/>
      <c r="D465" s="79"/>
      <c r="E465" s="79"/>
      <c r="M465" s="79"/>
      <c r="R465" s="79"/>
      <c r="S465" s="79"/>
      <c r="V465" s="79"/>
      <c r="W465" s="79"/>
      <c r="Z465" s="130"/>
      <c r="AB465" s="106"/>
    </row>
    <row r="466">
      <c r="C466" s="79"/>
      <c r="D466" s="79"/>
      <c r="E466" s="79"/>
      <c r="M466" s="79"/>
      <c r="R466" s="79"/>
      <c r="S466" s="79"/>
      <c r="V466" s="79"/>
      <c r="W466" s="79"/>
      <c r="Z466" s="130"/>
      <c r="AB466" s="106"/>
    </row>
    <row r="467">
      <c r="C467" s="79"/>
      <c r="D467" s="79"/>
      <c r="E467" s="79"/>
      <c r="M467" s="79"/>
      <c r="R467" s="79"/>
      <c r="S467" s="79"/>
      <c r="V467" s="79"/>
      <c r="W467" s="79"/>
      <c r="Z467" s="130"/>
      <c r="AB467" s="106"/>
    </row>
    <row r="468">
      <c r="C468" s="79"/>
      <c r="D468" s="79"/>
      <c r="E468" s="79"/>
      <c r="M468" s="79"/>
      <c r="R468" s="79"/>
      <c r="S468" s="79"/>
      <c r="V468" s="79"/>
      <c r="W468" s="79"/>
      <c r="Z468" s="130"/>
      <c r="AB468" s="106"/>
    </row>
    <row r="469">
      <c r="C469" s="79"/>
      <c r="D469" s="79"/>
      <c r="E469" s="79"/>
      <c r="M469" s="79"/>
      <c r="R469" s="79"/>
      <c r="S469" s="79"/>
      <c r="V469" s="79"/>
      <c r="W469" s="79"/>
      <c r="Z469" s="130"/>
      <c r="AB469" s="106"/>
    </row>
    <row r="470">
      <c r="C470" s="79"/>
      <c r="D470" s="79"/>
      <c r="E470" s="79"/>
      <c r="M470" s="79"/>
      <c r="R470" s="79"/>
      <c r="S470" s="79"/>
      <c r="V470" s="79"/>
      <c r="W470" s="79"/>
      <c r="Z470" s="130"/>
      <c r="AB470" s="106"/>
    </row>
    <row r="471">
      <c r="C471" s="79"/>
      <c r="D471" s="79"/>
      <c r="E471" s="79"/>
      <c r="M471" s="79"/>
      <c r="R471" s="79"/>
      <c r="S471" s="79"/>
      <c r="V471" s="79"/>
      <c r="W471" s="79"/>
      <c r="Z471" s="130"/>
      <c r="AB471" s="106"/>
    </row>
    <row r="472">
      <c r="C472" s="79"/>
      <c r="D472" s="79"/>
      <c r="E472" s="79"/>
      <c r="M472" s="79"/>
      <c r="R472" s="79"/>
      <c r="S472" s="79"/>
      <c r="V472" s="79"/>
      <c r="W472" s="79"/>
      <c r="Z472" s="130"/>
      <c r="AB472" s="106"/>
    </row>
    <row r="473">
      <c r="C473" s="79"/>
      <c r="D473" s="79"/>
      <c r="E473" s="79"/>
      <c r="M473" s="79"/>
      <c r="R473" s="79"/>
      <c r="S473" s="79"/>
      <c r="V473" s="79"/>
      <c r="W473" s="79"/>
      <c r="Z473" s="130"/>
      <c r="AB473" s="106"/>
    </row>
    <row r="474">
      <c r="C474" s="79"/>
      <c r="D474" s="79"/>
      <c r="E474" s="79"/>
      <c r="M474" s="79"/>
      <c r="R474" s="79"/>
      <c r="S474" s="79"/>
      <c r="V474" s="79"/>
      <c r="W474" s="79"/>
      <c r="Z474" s="130"/>
      <c r="AB474" s="106"/>
    </row>
    <row r="475">
      <c r="C475" s="79"/>
      <c r="D475" s="79"/>
      <c r="E475" s="79"/>
      <c r="M475" s="79"/>
      <c r="R475" s="79"/>
      <c r="S475" s="79"/>
      <c r="V475" s="79"/>
      <c r="W475" s="79"/>
      <c r="Z475" s="130"/>
      <c r="AB475" s="106"/>
    </row>
    <row r="476">
      <c r="C476" s="79"/>
      <c r="D476" s="79"/>
      <c r="E476" s="79"/>
      <c r="M476" s="79"/>
      <c r="R476" s="79"/>
      <c r="S476" s="79"/>
      <c r="V476" s="79"/>
      <c r="W476" s="79"/>
      <c r="Z476" s="130"/>
      <c r="AB476" s="106"/>
    </row>
    <row r="477">
      <c r="C477" s="79"/>
      <c r="D477" s="79"/>
      <c r="E477" s="79"/>
      <c r="M477" s="79"/>
      <c r="R477" s="79"/>
      <c r="S477" s="79"/>
      <c r="V477" s="79"/>
      <c r="W477" s="79"/>
      <c r="Z477" s="130"/>
      <c r="AB477" s="106"/>
    </row>
    <row r="478">
      <c r="C478" s="79"/>
      <c r="D478" s="79"/>
      <c r="E478" s="79"/>
      <c r="M478" s="79"/>
      <c r="R478" s="79"/>
      <c r="S478" s="79"/>
      <c r="V478" s="79"/>
      <c r="W478" s="79"/>
      <c r="Z478" s="130"/>
      <c r="AB478" s="106"/>
    </row>
    <row r="479">
      <c r="C479" s="79"/>
      <c r="D479" s="79"/>
      <c r="E479" s="79"/>
      <c r="M479" s="79"/>
      <c r="R479" s="79"/>
      <c r="S479" s="79"/>
      <c r="V479" s="79"/>
      <c r="W479" s="79"/>
      <c r="Z479" s="130"/>
      <c r="AB479" s="106"/>
    </row>
    <row r="480">
      <c r="C480" s="79"/>
      <c r="D480" s="79"/>
      <c r="E480" s="79"/>
      <c r="M480" s="79"/>
      <c r="R480" s="79"/>
      <c r="S480" s="79"/>
      <c r="V480" s="79"/>
      <c r="W480" s="79"/>
      <c r="Z480" s="130"/>
      <c r="AB480" s="106"/>
    </row>
    <row r="481">
      <c r="C481" s="79"/>
      <c r="D481" s="79"/>
      <c r="E481" s="79"/>
      <c r="M481" s="79"/>
      <c r="R481" s="79"/>
      <c r="S481" s="79"/>
      <c r="V481" s="79"/>
      <c r="W481" s="79"/>
      <c r="Z481" s="130"/>
      <c r="AB481" s="106"/>
    </row>
    <row r="482">
      <c r="C482" s="79"/>
      <c r="D482" s="79"/>
      <c r="E482" s="79"/>
      <c r="M482" s="79"/>
      <c r="R482" s="79"/>
      <c r="S482" s="79"/>
      <c r="V482" s="79"/>
      <c r="W482" s="79"/>
      <c r="Z482" s="130"/>
      <c r="AB482" s="106"/>
    </row>
    <row r="483">
      <c r="C483" s="79"/>
      <c r="D483" s="79"/>
      <c r="E483" s="79"/>
      <c r="M483" s="79"/>
      <c r="R483" s="79"/>
      <c r="S483" s="79"/>
      <c r="V483" s="79"/>
      <c r="W483" s="79"/>
      <c r="Z483" s="130"/>
      <c r="AB483" s="106"/>
    </row>
    <row r="484">
      <c r="C484" s="79"/>
      <c r="D484" s="79"/>
      <c r="E484" s="79"/>
      <c r="M484" s="79"/>
      <c r="R484" s="79"/>
      <c r="S484" s="79"/>
      <c r="V484" s="79"/>
      <c r="W484" s="79"/>
      <c r="Z484" s="130"/>
      <c r="AB484" s="106"/>
    </row>
    <row r="485">
      <c r="C485" s="79"/>
      <c r="D485" s="79"/>
      <c r="E485" s="79"/>
      <c r="M485" s="79"/>
      <c r="R485" s="79"/>
      <c r="S485" s="79"/>
      <c r="V485" s="79"/>
      <c r="W485" s="79"/>
      <c r="Z485" s="130"/>
      <c r="AB485" s="106"/>
    </row>
    <row r="486">
      <c r="C486" s="79"/>
      <c r="D486" s="79"/>
      <c r="E486" s="79"/>
      <c r="M486" s="79"/>
      <c r="R486" s="79"/>
      <c r="S486" s="79"/>
      <c r="V486" s="79"/>
      <c r="W486" s="79"/>
      <c r="Z486" s="130"/>
      <c r="AB486" s="106"/>
    </row>
    <row r="487">
      <c r="C487" s="79"/>
      <c r="D487" s="79"/>
      <c r="E487" s="79"/>
      <c r="M487" s="79"/>
      <c r="R487" s="79"/>
      <c r="S487" s="79"/>
      <c r="V487" s="79"/>
      <c r="W487" s="79"/>
      <c r="Z487" s="130"/>
      <c r="AB487" s="106"/>
    </row>
    <row r="488">
      <c r="C488" s="79"/>
      <c r="D488" s="79"/>
      <c r="E488" s="79"/>
      <c r="M488" s="79"/>
      <c r="R488" s="79"/>
      <c r="S488" s="79"/>
      <c r="V488" s="79"/>
      <c r="W488" s="79"/>
      <c r="Z488" s="130"/>
      <c r="AB488" s="106"/>
    </row>
    <row r="489">
      <c r="C489" s="79"/>
      <c r="D489" s="79"/>
      <c r="E489" s="79"/>
      <c r="M489" s="79"/>
      <c r="R489" s="79"/>
      <c r="S489" s="79"/>
      <c r="V489" s="79"/>
      <c r="W489" s="79"/>
      <c r="Z489" s="130"/>
      <c r="AB489" s="106"/>
    </row>
    <row r="490">
      <c r="C490" s="79"/>
      <c r="D490" s="79"/>
      <c r="E490" s="79"/>
      <c r="M490" s="79"/>
      <c r="R490" s="79"/>
      <c r="S490" s="79"/>
      <c r="V490" s="79"/>
      <c r="W490" s="79"/>
      <c r="Z490" s="130"/>
      <c r="AB490" s="106"/>
    </row>
    <row r="491">
      <c r="C491" s="79"/>
      <c r="D491" s="79"/>
      <c r="E491" s="79"/>
      <c r="M491" s="79"/>
      <c r="R491" s="79"/>
      <c r="S491" s="79"/>
      <c r="V491" s="79"/>
      <c r="W491" s="79"/>
      <c r="Z491" s="130"/>
      <c r="AB491" s="106"/>
    </row>
    <row r="492">
      <c r="C492" s="79"/>
      <c r="D492" s="79"/>
      <c r="E492" s="79"/>
      <c r="M492" s="79"/>
      <c r="R492" s="79"/>
      <c r="S492" s="79"/>
      <c r="V492" s="79"/>
      <c r="W492" s="79"/>
      <c r="Z492" s="130"/>
      <c r="AB492" s="106"/>
    </row>
    <row r="493">
      <c r="C493" s="79"/>
      <c r="D493" s="79"/>
      <c r="E493" s="79"/>
      <c r="M493" s="79"/>
      <c r="R493" s="79"/>
      <c r="S493" s="79"/>
      <c r="V493" s="79"/>
      <c r="W493" s="79"/>
      <c r="Z493" s="130"/>
      <c r="AB493" s="106"/>
    </row>
    <row r="494">
      <c r="C494" s="79"/>
      <c r="D494" s="79"/>
      <c r="E494" s="79"/>
      <c r="M494" s="79"/>
      <c r="R494" s="79"/>
      <c r="S494" s="79"/>
      <c r="V494" s="79"/>
      <c r="W494" s="79"/>
      <c r="Z494" s="130"/>
      <c r="AB494" s="106"/>
    </row>
    <row r="495">
      <c r="C495" s="79"/>
      <c r="D495" s="79"/>
      <c r="E495" s="79"/>
      <c r="M495" s="79"/>
      <c r="R495" s="79"/>
      <c r="S495" s="79"/>
      <c r="V495" s="79"/>
      <c r="W495" s="79"/>
      <c r="Z495" s="130"/>
      <c r="AB495" s="106"/>
    </row>
    <row r="496">
      <c r="C496" s="79"/>
      <c r="D496" s="79"/>
      <c r="E496" s="79"/>
      <c r="M496" s="79"/>
      <c r="R496" s="79"/>
      <c r="S496" s="79"/>
      <c r="V496" s="79"/>
      <c r="W496" s="79"/>
      <c r="Z496" s="130"/>
      <c r="AB496" s="106"/>
    </row>
    <row r="497">
      <c r="C497" s="79"/>
      <c r="D497" s="79"/>
      <c r="E497" s="79"/>
      <c r="M497" s="79"/>
      <c r="R497" s="79"/>
      <c r="S497" s="79"/>
      <c r="V497" s="79"/>
      <c r="W497" s="79"/>
      <c r="Z497" s="130"/>
      <c r="AB497" s="106"/>
    </row>
    <row r="498">
      <c r="C498" s="79"/>
      <c r="D498" s="79"/>
      <c r="E498" s="79"/>
      <c r="M498" s="79"/>
      <c r="R498" s="79"/>
      <c r="S498" s="79"/>
      <c r="V498" s="79"/>
      <c r="W498" s="79"/>
      <c r="Z498" s="130"/>
      <c r="AB498" s="106"/>
    </row>
    <row r="499">
      <c r="C499" s="79"/>
      <c r="D499" s="79"/>
      <c r="E499" s="79"/>
      <c r="M499" s="79"/>
      <c r="R499" s="79"/>
      <c r="S499" s="79"/>
      <c r="V499" s="79"/>
      <c r="W499" s="79"/>
      <c r="Z499" s="130"/>
      <c r="AB499" s="106"/>
    </row>
    <row r="500">
      <c r="C500" s="79"/>
      <c r="D500" s="79"/>
      <c r="E500" s="79"/>
      <c r="M500" s="79"/>
      <c r="R500" s="79"/>
      <c r="S500" s="79"/>
      <c r="V500" s="79"/>
      <c r="W500" s="79"/>
      <c r="Z500" s="130"/>
      <c r="AB500" s="106"/>
    </row>
    <row r="501">
      <c r="C501" s="79"/>
      <c r="D501" s="79"/>
      <c r="E501" s="79"/>
      <c r="M501" s="79"/>
      <c r="R501" s="79"/>
      <c r="S501" s="79"/>
      <c r="V501" s="79"/>
      <c r="W501" s="79"/>
      <c r="Z501" s="130"/>
      <c r="AB501" s="106"/>
    </row>
    <row r="502">
      <c r="C502" s="79"/>
      <c r="D502" s="79"/>
      <c r="E502" s="79"/>
      <c r="M502" s="79"/>
      <c r="R502" s="79"/>
      <c r="S502" s="79"/>
      <c r="V502" s="79"/>
      <c r="W502" s="79"/>
      <c r="Z502" s="130"/>
      <c r="AB502" s="106"/>
    </row>
    <row r="503">
      <c r="C503" s="79"/>
      <c r="D503" s="79"/>
      <c r="E503" s="79"/>
      <c r="M503" s="79"/>
      <c r="R503" s="79"/>
      <c r="S503" s="79"/>
      <c r="V503" s="79"/>
      <c r="W503" s="79"/>
      <c r="Z503" s="130"/>
      <c r="AB503" s="106"/>
    </row>
    <row r="504">
      <c r="C504" s="79"/>
      <c r="D504" s="79"/>
      <c r="E504" s="79"/>
      <c r="M504" s="79"/>
      <c r="R504" s="79"/>
      <c r="S504" s="79"/>
      <c r="V504" s="79"/>
      <c r="W504" s="79"/>
      <c r="Z504" s="130"/>
      <c r="AB504" s="106"/>
    </row>
    <row r="505">
      <c r="C505" s="79"/>
      <c r="D505" s="79"/>
      <c r="E505" s="79"/>
      <c r="M505" s="79"/>
      <c r="R505" s="79"/>
      <c r="S505" s="79"/>
      <c r="V505" s="79"/>
      <c r="W505" s="79"/>
      <c r="Z505" s="130"/>
      <c r="AB505" s="106"/>
    </row>
    <row r="506">
      <c r="C506" s="79"/>
      <c r="D506" s="79"/>
      <c r="E506" s="79"/>
      <c r="M506" s="79"/>
      <c r="R506" s="79"/>
      <c r="S506" s="79"/>
      <c r="V506" s="79"/>
      <c r="W506" s="79"/>
      <c r="Z506" s="130"/>
      <c r="AB506" s="106"/>
    </row>
    <row r="507">
      <c r="C507" s="79"/>
      <c r="D507" s="79"/>
      <c r="E507" s="79"/>
      <c r="M507" s="79"/>
      <c r="R507" s="79"/>
      <c r="S507" s="79"/>
      <c r="V507" s="79"/>
      <c r="W507" s="79"/>
      <c r="Z507" s="130"/>
      <c r="AB507" s="106"/>
    </row>
    <row r="508">
      <c r="C508" s="79"/>
      <c r="D508" s="79"/>
      <c r="E508" s="79"/>
      <c r="M508" s="79"/>
      <c r="R508" s="79"/>
      <c r="S508" s="79"/>
      <c r="V508" s="79"/>
      <c r="W508" s="79"/>
      <c r="Z508" s="130"/>
      <c r="AB508" s="106"/>
    </row>
    <row r="509">
      <c r="C509" s="79"/>
      <c r="D509" s="79"/>
      <c r="E509" s="79"/>
      <c r="M509" s="79"/>
      <c r="R509" s="79"/>
      <c r="S509" s="79"/>
      <c r="V509" s="79"/>
      <c r="W509" s="79"/>
      <c r="Z509" s="130"/>
      <c r="AB509" s="106"/>
    </row>
    <row r="510">
      <c r="C510" s="79"/>
      <c r="D510" s="79"/>
      <c r="E510" s="79"/>
      <c r="M510" s="79"/>
      <c r="R510" s="79"/>
      <c r="S510" s="79"/>
      <c r="V510" s="79"/>
      <c r="W510" s="79"/>
      <c r="Z510" s="130"/>
      <c r="AB510" s="106"/>
    </row>
    <row r="511">
      <c r="C511" s="79"/>
      <c r="D511" s="79"/>
      <c r="E511" s="79"/>
      <c r="M511" s="79"/>
      <c r="R511" s="79"/>
      <c r="S511" s="79"/>
      <c r="V511" s="79"/>
      <c r="W511" s="79"/>
      <c r="Z511" s="130"/>
      <c r="AB511" s="106"/>
    </row>
    <row r="512">
      <c r="C512" s="79"/>
      <c r="D512" s="79"/>
      <c r="E512" s="79"/>
      <c r="M512" s="79"/>
      <c r="R512" s="79"/>
      <c r="S512" s="79"/>
      <c r="V512" s="79"/>
      <c r="W512" s="79"/>
      <c r="Z512" s="130"/>
      <c r="AB512" s="106"/>
    </row>
    <row r="513">
      <c r="C513" s="79"/>
      <c r="D513" s="79"/>
      <c r="E513" s="79"/>
      <c r="M513" s="79"/>
      <c r="R513" s="79"/>
      <c r="S513" s="79"/>
      <c r="V513" s="79"/>
      <c r="W513" s="79"/>
      <c r="Z513" s="130"/>
      <c r="AB513" s="106"/>
    </row>
    <row r="514">
      <c r="C514" s="79"/>
      <c r="D514" s="79"/>
      <c r="E514" s="79"/>
      <c r="M514" s="79"/>
      <c r="R514" s="79"/>
      <c r="S514" s="79"/>
      <c r="V514" s="79"/>
      <c r="W514" s="79"/>
      <c r="Z514" s="130"/>
      <c r="AB514" s="106"/>
    </row>
    <row r="515">
      <c r="C515" s="79"/>
      <c r="D515" s="79"/>
      <c r="E515" s="79"/>
      <c r="M515" s="79"/>
      <c r="R515" s="79"/>
      <c r="S515" s="79"/>
      <c r="V515" s="79"/>
      <c r="W515" s="79"/>
      <c r="Z515" s="130"/>
      <c r="AB515" s="106"/>
    </row>
    <row r="516">
      <c r="C516" s="79"/>
      <c r="D516" s="79"/>
      <c r="E516" s="79"/>
      <c r="M516" s="79"/>
      <c r="R516" s="79"/>
      <c r="S516" s="79"/>
      <c r="V516" s="79"/>
      <c r="W516" s="79"/>
      <c r="Z516" s="130"/>
      <c r="AB516" s="106"/>
    </row>
    <row r="517">
      <c r="C517" s="79"/>
      <c r="D517" s="79"/>
      <c r="E517" s="79"/>
      <c r="M517" s="79"/>
      <c r="R517" s="79"/>
      <c r="S517" s="79"/>
      <c r="V517" s="79"/>
      <c r="W517" s="79"/>
      <c r="Z517" s="130"/>
      <c r="AB517" s="106"/>
    </row>
    <row r="518">
      <c r="C518" s="79"/>
      <c r="D518" s="79"/>
      <c r="E518" s="79"/>
      <c r="M518" s="79"/>
      <c r="R518" s="79"/>
      <c r="S518" s="79"/>
      <c r="V518" s="79"/>
      <c r="W518" s="79"/>
      <c r="Z518" s="130"/>
      <c r="AB518" s="106"/>
    </row>
    <row r="519">
      <c r="C519" s="79"/>
      <c r="D519" s="79"/>
      <c r="E519" s="79"/>
      <c r="M519" s="79"/>
      <c r="R519" s="79"/>
      <c r="S519" s="79"/>
      <c r="V519" s="79"/>
      <c r="W519" s="79"/>
      <c r="Z519" s="130"/>
      <c r="AB519" s="106"/>
    </row>
    <row r="520">
      <c r="C520" s="79"/>
      <c r="D520" s="79"/>
      <c r="E520" s="79"/>
      <c r="M520" s="79"/>
      <c r="R520" s="79"/>
      <c r="S520" s="79"/>
      <c r="V520" s="79"/>
      <c r="W520" s="79"/>
      <c r="Z520" s="130"/>
      <c r="AB520" s="106"/>
    </row>
    <row r="521">
      <c r="C521" s="79"/>
      <c r="D521" s="79"/>
      <c r="E521" s="79"/>
      <c r="M521" s="79"/>
      <c r="R521" s="79"/>
      <c r="S521" s="79"/>
      <c r="V521" s="79"/>
      <c r="W521" s="79"/>
      <c r="Z521" s="130"/>
      <c r="AB521" s="106"/>
    </row>
    <row r="522">
      <c r="C522" s="79"/>
      <c r="D522" s="79"/>
      <c r="E522" s="79"/>
      <c r="M522" s="79"/>
      <c r="R522" s="79"/>
      <c r="S522" s="79"/>
      <c r="V522" s="79"/>
      <c r="W522" s="79"/>
      <c r="Z522" s="130"/>
      <c r="AB522" s="106"/>
    </row>
    <row r="523">
      <c r="C523" s="79"/>
      <c r="D523" s="79"/>
      <c r="E523" s="79"/>
      <c r="M523" s="79"/>
      <c r="R523" s="79"/>
      <c r="S523" s="79"/>
      <c r="V523" s="79"/>
      <c r="W523" s="79"/>
      <c r="Z523" s="130"/>
      <c r="AB523" s="106"/>
    </row>
    <row r="524">
      <c r="C524" s="79"/>
      <c r="D524" s="79"/>
      <c r="E524" s="79"/>
      <c r="M524" s="79"/>
      <c r="R524" s="79"/>
      <c r="S524" s="79"/>
      <c r="V524" s="79"/>
      <c r="W524" s="79"/>
      <c r="Z524" s="130"/>
      <c r="AB524" s="106"/>
    </row>
    <row r="525">
      <c r="C525" s="79"/>
      <c r="D525" s="79"/>
      <c r="E525" s="79"/>
      <c r="M525" s="79"/>
      <c r="R525" s="79"/>
      <c r="S525" s="79"/>
      <c r="V525" s="79"/>
      <c r="W525" s="79"/>
      <c r="Z525" s="130"/>
      <c r="AB525" s="106"/>
    </row>
    <row r="526">
      <c r="C526" s="79"/>
      <c r="D526" s="79"/>
      <c r="E526" s="79"/>
      <c r="M526" s="79"/>
      <c r="R526" s="79"/>
      <c r="S526" s="79"/>
      <c r="V526" s="79"/>
      <c r="W526" s="79"/>
      <c r="Z526" s="130"/>
      <c r="AB526" s="106"/>
    </row>
    <row r="527">
      <c r="C527" s="79"/>
      <c r="D527" s="79"/>
      <c r="E527" s="79"/>
      <c r="M527" s="79"/>
      <c r="R527" s="79"/>
      <c r="S527" s="79"/>
      <c r="V527" s="79"/>
      <c r="W527" s="79"/>
      <c r="Z527" s="130"/>
      <c r="AB527" s="106"/>
    </row>
    <row r="528">
      <c r="C528" s="79"/>
      <c r="D528" s="79"/>
      <c r="E528" s="79"/>
      <c r="M528" s="79"/>
      <c r="R528" s="79"/>
      <c r="S528" s="79"/>
      <c r="V528" s="79"/>
      <c r="W528" s="79"/>
      <c r="Z528" s="130"/>
      <c r="AB528" s="106"/>
    </row>
    <row r="529">
      <c r="C529" s="79"/>
      <c r="D529" s="79"/>
      <c r="E529" s="79"/>
      <c r="M529" s="79"/>
      <c r="R529" s="79"/>
      <c r="S529" s="79"/>
      <c r="V529" s="79"/>
      <c r="W529" s="79"/>
      <c r="Z529" s="130"/>
      <c r="AB529" s="106"/>
    </row>
    <row r="530">
      <c r="C530" s="79"/>
      <c r="D530" s="79"/>
      <c r="E530" s="79"/>
      <c r="M530" s="79"/>
      <c r="R530" s="79"/>
      <c r="S530" s="79"/>
      <c r="V530" s="79"/>
      <c r="W530" s="79"/>
      <c r="Z530" s="130"/>
      <c r="AB530" s="106"/>
    </row>
    <row r="531">
      <c r="C531" s="79"/>
      <c r="D531" s="79"/>
      <c r="E531" s="79"/>
      <c r="M531" s="79"/>
      <c r="R531" s="79"/>
      <c r="S531" s="79"/>
      <c r="V531" s="79"/>
      <c r="W531" s="79"/>
      <c r="Z531" s="130"/>
      <c r="AB531" s="106"/>
    </row>
    <row r="532">
      <c r="C532" s="79"/>
      <c r="D532" s="79"/>
      <c r="E532" s="79"/>
      <c r="M532" s="79"/>
      <c r="R532" s="79"/>
      <c r="S532" s="79"/>
      <c r="V532" s="79"/>
      <c r="W532" s="79"/>
      <c r="Z532" s="130"/>
      <c r="AB532" s="106"/>
    </row>
    <row r="533">
      <c r="C533" s="79"/>
      <c r="D533" s="79"/>
      <c r="E533" s="79"/>
      <c r="M533" s="79"/>
      <c r="R533" s="79"/>
      <c r="S533" s="79"/>
      <c r="V533" s="79"/>
      <c r="W533" s="79"/>
      <c r="Z533" s="130"/>
      <c r="AB533" s="106"/>
    </row>
    <row r="534">
      <c r="C534" s="79"/>
      <c r="D534" s="79"/>
      <c r="E534" s="79"/>
      <c r="M534" s="79"/>
      <c r="R534" s="79"/>
      <c r="S534" s="79"/>
      <c r="V534" s="79"/>
      <c r="W534" s="79"/>
      <c r="Z534" s="130"/>
      <c r="AB534" s="106"/>
    </row>
    <row r="535">
      <c r="C535" s="79"/>
      <c r="D535" s="79"/>
      <c r="E535" s="79"/>
      <c r="M535" s="79"/>
      <c r="R535" s="79"/>
      <c r="S535" s="79"/>
      <c r="V535" s="79"/>
      <c r="W535" s="79"/>
      <c r="Z535" s="130"/>
      <c r="AB535" s="106"/>
    </row>
    <row r="536">
      <c r="C536" s="79"/>
      <c r="D536" s="79"/>
      <c r="E536" s="79"/>
      <c r="M536" s="79"/>
      <c r="R536" s="79"/>
      <c r="S536" s="79"/>
      <c r="V536" s="79"/>
      <c r="W536" s="79"/>
      <c r="Z536" s="130"/>
      <c r="AB536" s="106"/>
    </row>
    <row r="537">
      <c r="C537" s="79"/>
      <c r="D537" s="79"/>
      <c r="E537" s="79"/>
      <c r="M537" s="79"/>
      <c r="R537" s="79"/>
      <c r="S537" s="79"/>
      <c r="V537" s="79"/>
      <c r="W537" s="79"/>
      <c r="Z537" s="130"/>
      <c r="AB537" s="106"/>
    </row>
    <row r="538">
      <c r="C538" s="79"/>
      <c r="D538" s="79"/>
      <c r="E538" s="79"/>
      <c r="M538" s="79"/>
      <c r="R538" s="79"/>
      <c r="S538" s="79"/>
      <c r="V538" s="79"/>
      <c r="W538" s="79"/>
      <c r="Z538" s="130"/>
      <c r="AB538" s="106"/>
    </row>
    <row r="539">
      <c r="C539" s="79"/>
      <c r="D539" s="79"/>
      <c r="E539" s="79"/>
      <c r="M539" s="79"/>
      <c r="R539" s="79"/>
      <c r="S539" s="79"/>
      <c r="V539" s="79"/>
      <c r="W539" s="79"/>
      <c r="Z539" s="130"/>
      <c r="AB539" s="106"/>
    </row>
    <row r="540">
      <c r="C540" s="79"/>
      <c r="D540" s="79"/>
      <c r="E540" s="79"/>
      <c r="M540" s="79"/>
      <c r="R540" s="79"/>
      <c r="S540" s="79"/>
      <c r="V540" s="79"/>
      <c r="W540" s="79"/>
      <c r="Z540" s="130"/>
      <c r="AB540" s="106"/>
    </row>
    <row r="541">
      <c r="C541" s="79"/>
      <c r="D541" s="79"/>
      <c r="E541" s="79"/>
      <c r="M541" s="79"/>
      <c r="R541" s="79"/>
      <c r="S541" s="79"/>
      <c r="V541" s="79"/>
      <c r="W541" s="79"/>
      <c r="Z541" s="130"/>
      <c r="AB541" s="106"/>
    </row>
    <row r="542">
      <c r="C542" s="79"/>
      <c r="D542" s="79"/>
      <c r="E542" s="79"/>
      <c r="M542" s="79"/>
      <c r="R542" s="79"/>
      <c r="S542" s="79"/>
      <c r="V542" s="79"/>
      <c r="W542" s="79"/>
      <c r="Z542" s="130"/>
      <c r="AB542" s="106"/>
    </row>
    <row r="543">
      <c r="C543" s="79"/>
      <c r="D543" s="79"/>
      <c r="E543" s="79"/>
      <c r="M543" s="79"/>
      <c r="R543" s="79"/>
      <c r="S543" s="79"/>
      <c r="V543" s="79"/>
      <c r="W543" s="79"/>
      <c r="Z543" s="130"/>
      <c r="AB543" s="106"/>
    </row>
    <row r="544">
      <c r="C544" s="79"/>
      <c r="D544" s="79"/>
      <c r="E544" s="79"/>
      <c r="M544" s="79"/>
      <c r="R544" s="79"/>
      <c r="S544" s="79"/>
      <c r="V544" s="79"/>
      <c r="W544" s="79"/>
      <c r="Z544" s="130"/>
      <c r="AB544" s="106"/>
    </row>
    <row r="545">
      <c r="C545" s="79"/>
      <c r="D545" s="79"/>
      <c r="E545" s="79"/>
      <c r="M545" s="79"/>
      <c r="R545" s="79"/>
      <c r="S545" s="79"/>
      <c r="V545" s="79"/>
      <c r="W545" s="79"/>
      <c r="Z545" s="130"/>
      <c r="AB545" s="106"/>
    </row>
    <row r="546">
      <c r="C546" s="79"/>
      <c r="D546" s="79"/>
      <c r="E546" s="79"/>
      <c r="M546" s="79"/>
      <c r="R546" s="79"/>
      <c r="S546" s="79"/>
      <c r="V546" s="79"/>
      <c r="W546" s="79"/>
      <c r="Z546" s="130"/>
      <c r="AB546" s="106"/>
    </row>
    <row r="547">
      <c r="C547" s="79"/>
      <c r="D547" s="79"/>
      <c r="E547" s="79"/>
      <c r="M547" s="79"/>
      <c r="R547" s="79"/>
      <c r="S547" s="79"/>
      <c r="V547" s="79"/>
      <c r="W547" s="79"/>
      <c r="Z547" s="130"/>
      <c r="AB547" s="106"/>
    </row>
    <row r="548">
      <c r="C548" s="79"/>
      <c r="D548" s="79"/>
      <c r="E548" s="79"/>
      <c r="M548" s="79"/>
      <c r="R548" s="79"/>
      <c r="S548" s="79"/>
      <c r="V548" s="79"/>
      <c r="W548" s="79"/>
      <c r="Z548" s="130"/>
      <c r="AB548" s="106"/>
    </row>
    <row r="549">
      <c r="C549" s="79"/>
      <c r="D549" s="79"/>
      <c r="E549" s="79"/>
      <c r="M549" s="79"/>
      <c r="R549" s="79"/>
      <c r="S549" s="79"/>
      <c r="V549" s="79"/>
      <c r="W549" s="79"/>
      <c r="Z549" s="130"/>
      <c r="AB549" s="106"/>
    </row>
    <row r="550">
      <c r="C550" s="79"/>
      <c r="D550" s="79"/>
      <c r="E550" s="79"/>
      <c r="M550" s="79"/>
      <c r="R550" s="79"/>
      <c r="S550" s="79"/>
      <c r="V550" s="79"/>
      <c r="W550" s="79"/>
      <c r="Z550" s="130"/>
      <c r="AB550" s="106"/>
    </row>
    <row r="551">
      <c r="C551" s="79"/>
      <c r="D551" s="79"/>
      <c r="E551" s="79"/>
      <c r="M551" s="79"/>
      <c r="R551" s="79"/>
      <c r="S551" s="79"/>
      <c r="V551" s="79"/>
      <c r="W551" s="79"/>
      <c r="Z551" s="130"/>
      <c r="AB551" s="106"/>
    </row>
    <row r="552">
      <c r="C552" s="79"/>
      <c r="D552" s="79"/>
      <c r="E552" s="79"/>
      <c r="M552" s="79"/>
      <c r="R552" s="79"/>
      <c r="S552" s="79"/>
      <c r="V552" s="79"/>
      <c r="W552" s="79"/>
      <c r="Z552" s="130"/>
      <c r="AB552" s="106"/>
    </row>
    <row r="553">
      <c r="C553" s="79"/>
      <c r="D553" s="79"/>
      <c r="E553" s="79"/>
      <c r="M553" s="79"/>
      <c r="R553" s="79"/>
      <c r="S553" s="79"/>
      <c r="V553" s="79"/>
      <c r="W553" s="79"/>
      <c r="Z553" s="130"/>
      <c r="AB553" s="106"/>
    </row>
    <row r="554">
      <c r="C554" s="79"/>
      <c r="D554" s="79"/>
      <c r="E554" s="79"/>
      <c r="M554" s="79"/>
      <c r="R554" s="79"/>
      <c r="S554" s="79"/>
      <c r="V554" s="79"/>
      <c r="W554" s="79"/>
      <c r="Z554" s="130"/>
      <c r="AB554" s="106"/>
    </row>
    <row r="555">
      <c r="C555" s="79"/>
      <c r="D555" s="79"/>
      <c r="E555" s="79"/>
      <c r="M555" s="79"/>
      <c r="R555" s="79"/>
      <c r="S555" s="79"/>
      <c r="V555" s="79"/>
      <c r="W555" s="79"/>
      <c r="Z555" s="130"/>
      <c r="AB555" s="106"/>
    </row>
    <row r="556">
      <c r="C556" s="79"/>
      <c r="D556" s="79"/>
      <c r="E556" s="79"/>
      <c r="M556" s="79"/>
      <c r="R556" s="79"/>
      <c r="S556" s="79"/>
      <c r="V556" s="79"/>
      <c r="W556" s="79"/>
      <c r="Z556" s="130"/>
      <c r="AB556" s="106"/>
    </row>
    <row r="557">
      <c r="C557" s="79"/>
      <c r="D557" s="79"/>
      <c r="E557" s="79"/>
      <c r="M557" s="79"/>
      <c r="R557" s="79"/>
      <c r="S557" s="79"/>
      <c r="V557" s="79"/>
      <c r="W557" s="79"/>
      <c r="Z557" s="130"/>
      <c r="AB557" s="106"/>
    </row>
    <row r="558">
      <c r="C558" s="79"/>
      <c r="D558" s="79"/>
      <c r="E558" s="79"/>
      <c r="M558" s="79"/>
      <c r="R558" s="79"/>
      <c r="S558" s="79"/>
      <c r="V558" s="79"/>
      <c r="W558" s="79"/>
      <c r="Z558" s="130"/>
      <c r="AB558" s="106"/>
    </row>
    <row r="559">
      <c r="C559" s="79"/>
      <c r="D559" s="79"/>
      <c r="E559" s="79"/>
      <c r="M559" s="79"/>
      <c r="R559" s="79"/>
      <c r="S559" s="79"/>
      <c r="V559" s="79"/>
      <c r="W559" s="79"/>
      <c r="Z559" s="130"/>
      <c r="AB559" s="106"/>
    </row>
    <row r="560">
      <c r="C560" s="79"/>
      <c r="D560" s="79"/>
      <c r="E560" s="79"/>
      <c r="M560" s="79"/>
      <c r="R560" s="79"/>
      <c r="S560" s="79"/>
      <c r="V560" s="79"/>
      <c r="W560" s="79"/>
      <c r="Z560" s="130"/>
      <c r="AB560" s="106"/>
    </row>
    <row r="561">
      <c r="C561" s="79"/>
      <c r="D561" s="79"/>
      <c r="E561" s="79"/>
      <c r="M561" s="79"/>
      <c r="R561" s="79"/>
      <c r="S561" s="79"/>
      <c r="V561" s="79"/>
      <c r="W561" s="79"/>
      <c r="Z561" s="130"/>
      <c r="AB561" s="106"/>
    </row>
    <row r="562">
      <c r="C562" s="79"/>
      <c r="D562" s="79"/>
      <c r="E562" s="79"/>
      <c r="M562" s="79"/>
      <c r="R562" s="79"/>
      <c r="S562" s="79"/>
      <c r="V562" s="79"/>
      <c r="W562" s="79"/>
      <c r="Z562" s="130"/>
      <c r="AB562" s="106"/>
    </row>
    <row r="563">
      <c r="C563" s="79"/>
      <c r="D563" s="79"/>
      <c r="E563" s="79"/>
      <c r="M563" s="79"/>
      <c r="R563" s="79"/>
      <c r="S563" s="79"/>
      <c r="V563" s="79"/>
      <c r="W563" s="79"/>
      <c r="Z563" s="130"/>
      <c r="AB563" s="106"/>
    </row>
    <row r="564">
      <c r="C564" s="79"/>
      <c r="D564" s="79"/>
      <c r="E564" s="79"/>
      <c r="M564" s="79"/>
      <c r="R564" s="79"/>
      <c r="S564" s="79"/>
      <c r="V564" s="79"/>
      <c r="W564" s="79"/>
      <c r="Z564" s="130"/>
      <c r="AB564" s="106"/>
    </row>
    <row r="565">
      <c r="C565" s="79"/>
      <c r="D565" s="79"/>
      <c r="E565" s="79"/>
      <c r="M565" s="79"/>
      <c r="R565" s="79"/>
      <c r="S565" s="79"/>
      <c r="V565" s="79"/>
      <c r="W565" s="79"/>
      <c r="Z565" s="130"/>
      <c r="AB565" s="106"/>
    </row>
    <row r="566">
      <c r="C566" s="79"/>
      <c r="D566" s="79"/>
      <c r="E566" s="79"/>
      <c r="M566" s="79"/>
      <c r="R566" s="79"/>
      <c r="S566" s="79"/>
      <c r="V566" s="79"/>
      <c r="W566" s="79"/>
      <c r="Z566" s="130"/>
      <c r="AB566" s="106"/>
    </row>
    <row r="567">
      <c r="C567" s="79"/>
      <c r="D567" s="79"/>
      <c r="E567" s="79"/>
      <c r="M567" s="79"/>
      <c r="R567" s="79"/>
      <c r="S567" s="79"/>
      <c r="V567" s="79"/>
      <c r="W567" s="79"/>
      <c r="Z567" s="130"/>
      <c r="AB567" s="106"/>
    </row>
    <row r="568">
      <c r="C568" s="79"/>
      <c r="D568" s="79"/>
      <c r="E568" s="79"/>
      <c r="M568" s="79"/>
      <c r="R568" s="79"/>
      <c r="S568" s="79"/>
      <c r="V568" s="79"/>
      <c r="W568" s="79"/>
      <c r="Z568" s="130"/>
      <c r="AB568" s="106"/>
    </row>
    <row r="569">
      <c r="C569" s="79"/>
      <c r="D569" s="79"/>
      <c r="E569" s="79"/>
      <c r="M569" s="79"/>
      <c r="R569" s="79"/>
      <c r="S569" s="79"/>
      <c r="V569" s="79"/>
      <c r="W569" s="79"/>
      <c r="Z569" s="130"/>
      <c r="AB569" s="106"/>
    </row>
    <row r="570">
      <c r="C570" s="79"/>
      <c r="D570" s="79"/>
      <c r="E570" s="79"/>
      <c r="M570" s="79"/>
      <c r="R570" s="79"/>
      <c r="S570" s="79"/>
      <c r="V570" s="79"/>
      <c r="W570" s="79"/>
      <c r="Z570" s="130"/>
      <c r="AB570" s="106"/>
    </row>
    <row r="571">
      <c r="C571" s="79"/>
      <c r="D571" s="79"/>
      <c r="E571" s="79"/>
      <c r="M571" s="79"/>
      <c r="R571" s="79"/>
      <c r="S571" s="79"/>
      <c r="V571" s="79"/>
      <c r="W571" s="79"/>
      <c r="Z571" s="130"/>
      <c r="AB571" s="106"/>
    </row>
    <row r="572">
      <c r="C572" s="79"/>
      <c r="D572" s="79"/>
      <c r="E572" s="79"/>
      <c r="M572" s="79"/>
      <c r="R572" s="79"/>
      <c r="S572" s="79"/>
      <c r="V572" s="79"/>
      <c r="W572" s="79"/>
      <c r="Z572" s="130"/>
      <c r="AB572" s="106"/>
    </row>
    <row r="573">
      <c r="C573" s="79"/>
      <c r="D573" s="79"/>
      <c r="E573" s="79"/>
      <c r="M573" s="79"/>
      <c r="R573" s="79"/>
      <c r="S573" s="79"/>
      <c r="V573" s="79"/>
      <c r="W573" s="79"/>
      <c r="Z573" s="130"/>
      <c r="AB573" s="106"/>
    </row>
    <row r="574">
      <c r="C574" s="79"/>
      <c r="D574" s="79"/>
      <c r="E574" s="79"/>
      <c r="M574" s="79"/>
      <c r="R574" s="79"/>
      <c r="S574" s="79"/>
      <c r="V574" s="79"/>
      <c r="W574" s="79"/>
      <c r="Z574" s="130"/>
      <c r="AB574" s="106"/>
    </row>
    <row r="575">
      <c r="C575" s="79"/>
      <c r="D575" s="79"/>
      <c r="E575" s="79"/>
      <c r="M575" s="79"/>
      <c r="R575" s="79"/>
      <c r="S575" s="79"/>
      <c r="V575" s="79"/>
      <c r="W575" s="79"/>
      <c r="Z575" s="130"/>
      <c r="AB575" s="106"/>
    </row>
    <row r="576">
      <c r="C576" s="79"/>
      <c r="D576" s="79"/>
      <c r="E576" s="79"/>
      <c r="M576" s="79"/>
      <c r="R576" s="79"/>
      <c r="S576" s="79"/>
      <c r="V576" s="79"/>
      <c r="W576" s="79"/>
      <c r="Z576" s="130"/>
      <c r="AB576" s="106"/>
    </row>
    <row r="577">
      <c r="C577" s="79"/>
      <c r="D577" s="79"/>
      <c r="E577" s="79"/>
      <c r="M577" s="79"/>
      <c r="R577" s="79"/>
      <c r="S577" s="79"/>
      <c r="V577" s="79"/>
      <c r="W577" s="79"/>
      <c r="Z577" s="130"/>
      <c r="AB577" s="106"/>
    </row>
    <row r="578">
      <c r="C578" s="79"/>
      <c r="D578" s="79"/>
      <c r="E578" s="79"/>
      <c r="M578" s="79"/>
      <c r="R578" s="79"/>
      <c r="S578" s="79"/>
      <c r="V578" s="79"/>
      <c r="W578" s="79"/>
      <c r="Z578" s="130"/>
      <c r="AB578" s="106"/>
    </row>
    <row r="579">
      <c r="C579" s="79"/>
      <c r="D579" s="79"/>
      <c r="E579" s="79"/>
      <c r="M579" s="79"/>
      <c r="R579" s="79"/>
      <c r="S579" s="79"/>
      <c r="V579" s="79"/>
      <c r="W579" s="79"/>
      <c r="Z579" s="130"/>
      <c r="AB579" s="106"/>
    </row>
    <row r="580">
      <c r="C580" s="79"/>
      <c r="D580" s="79"/>
      <c r="E580" s="79"/>
      <c r="M580" s="79"/>
      <c r="R580" s="79"/>
      <c r="S580" s="79"/>
      <c r="V580" s="79"/>
      <c r="W580" s="79"/>
      <c r="Z580" s="130"/>
      <c r="AB580" s="106"/>
    </row>
    <row r="581">
      <c r="C581" s="79"/>
      <c r="D581" s="79"/>
      <c r="E581" s="79"/>
      <c r="M581" s="79"/>
      <c r="R581" s="79"/>
      <c r="S581" s="79"/>
      <c r="V581" s="79"/>
      <c r="W581" s="79"/>
      <c r="Z581" s="130"/>
      <c r="AB581" s="106"/>
    </row>
    <row r="582">
      <c r="C582" s="79"/>
      <c r="D582" s="79"/>
      <c r="E582" s="79"/>
      <c r="M582" s="79"/>
      <c r="R582" s="79"/>
      <c r="S582" s="79"/>
      <c r="V582" s="79"/>
      <c r="W582" s="79"/>
      <c r="Z582" s="130"/>
      <c r="AB582" s="106"/>
    </row>
    <row r="583">
      <c r="C583" s="79"/>
      <c r="D583" s="79"/>
      <c r="E583" s="79"/>
      <c r="M583" s="79"/>
      <c r="R583" s="79"/>
      <c r="S583" s="79"/>
      <c r="V583" s="79"/>
      <c r="W583" s="79"/>
      <c r="Z583" s="130"/>
      <c r="AB583" s="106"/>
    </row>
    <row r="584">
      <c r="C584" s="79"/>
      <c r="D584" s="79"/>
      <c r="E584" s="79"/>
      <c r="M584" s="79"/>
      <c r="R584" s="79"/>
      <c r="S584" s="79"/>
      <c r="V584" s="79"/>
      <c r="W584" s="79"/>
      <c r="Z584" s="130"/>
      <c r="AB584" s="106"/>
    </row>
    <row r="585">
      <c r="C585" s="79"/>
      <c r="D585" s="79"/>
      <c r="E585" s="79"/>
      <c r="M585" s="79"/>
      <c r="R585" s="79"/>
      <c r="S585" s="79"/>
      <c r="V585" s="79"/>
      <c r="W585" s="79"/>
      <c r="Z585" s="130"/>
      <c r="AB585" s="106"/>
    </row>
    <row r="586">
      <c r="C586" s="79"/>
      <c r="D586" s="79"/>
      <c r="E586" s="79"/>
      <c r="M586" s="79"/>
      <c r="R586" s="79"/>
      <c r="S586" s="79"/>
      <c r="V586" s="79"/>
      <c r="W586" s="79"/>
      <c r="Z586" s="130"/>
      <c r="AB586" s="106"/>
    </row>
    <row r="587">
      <c r="C587" s="79"/>
      <c r="D587" s="79"/>
      <c r="E587" s="79"/>
      <c r="M587" s="79"/>
      <c r="R587" s="79"/>
      <c r="S587" s="79"/>
      <c r="V587" s="79"/>
      <c r="W587" s="79"/>
      <c r="Z587" s="130"/>
      <c r="AB587" s="106"/>
    </row>
    <row r="588">
      <c r="C588" s="79"/>
      <c r="D588" s="79"/>
      <c r="E588" s="79"/>
      <c r="M588" s="79"/>
      <c r="R588" s="79"/>
      <c r="S588" s="79"/>
      <c r="V588" s="79"/>
      <c r="W588" s="79"/>
      <c r="Z588" s="130"/>
      <c r="AB588" s="106"/>
    </row>
    <row r="589">
      <c r="C589" s="79"/>
      <c r="D589" s="79"/>
      <c r="E589" s="79"/>
      <c r="M589" s="79"/>
      <c r="R589" s="79"/>
      <c r="S589" s="79"/>
      <c r="V589" s="79"/>
      <c r="W589" s="79"/>
      <c r="Z589" s="130"/>
      <c r="AB589" s="106"/>
    </row>
    <row r="590">
      <c r="C590" s="79"/>
      <c r="D590" s="79"/>
      <c r="E590" s="79"/>
      <c r="M590" s="79"/>
      <c r="R590" s="79"/>
      <c r="S590" s="79"/>
      <c r="V590" s="79"/>
      <c r="W590" s="79"/>
      <c r="Z590" s="130"/>
      <c r="AB590" s="106"/>
    </row>
    <row r="591">
      <c r="C591" s="79"/>
      <c r="D591" s="79"/>
      <c r="E591" s="79"/>
      <c r="M591" s="79"/>
      <c r="R591" s="79"/>
      <c r="S591" s="79"/>
      <c r="V591" s="79"/>
      <c r="W591" s="79"/>
      <c r="Z591" s="130"/>
      <c r="AB591" s="106"/>
    </row>
    <row r="592">
      <c r="C592" s="79"/>
      <c r="D592" s="79"/>
      <c r="E592" s="79"/>
      <c r="M592" s="79"/>
      <c r="R592" s="79"/>
      <c r="S592" s="79"/>
      <c r="V592" s="79"/>
      <c r="W592" s="79"/>
      <c r="Z592" s="130"/>
      <c r="AB592" s="106"/>
    </row>
    <row r="593">
      <c r="C593" s="79"/>
      <c r="D593" s="79"/>
      <c r="E593" s="79"/>
      <c r="M593" s="79"/>
      <c r="R593" s="79"/>
      <c r="S593" s="79"/>
      <c r="V593" s="79"/>
      <c r="W593" s="79"/>
      <c r="Z593" s="130"/>
      <c r="AB593" s="106"/>
    </row>
    <row r="594">
      <c r="C594" s="79"/>
      <c r="D594" s="79"/>
      <c r="E594" s="79"/>
      <c r="M594" s="79"/>
      <c r="R594" s="79"/>
      <c r="S594" s="79"/>
      <c r="V594" s="79"/>
      <c r="W594" s="79"/>
      <c r="Z594" s="130"/>
      <c r="AB594" s="106"/>
    </row>
    <row r="595">
      <c r="C595" s="79"/>
      <c r="D595" s="79"/>
      <c r="E595" s="79"/>
      <c r="M595" s="79"/>
      <c r="R595" s="79"/>
      <c r="S595" s="79"/>
      <c r="V595" s="79"/>
      <c r="W595" s="79"/>
      <c r="Z595" s="130"/>
      <c r="AB595" s="106"/>
    </row>
    <row r="596">
      <c r="C596" s="79"/>
      <c r="D596" s="79"/>
      <c r="E596" s="79"/>
      <c r="M596" s="79"/>
      <c r="R596" s="79"/>
      <c r="S596" s="79"/>
      <c r="V596" s="79"/>
      <c r="W596" s="79"/>
      <c r="Z596" s="130"/>
      <c r="AB596" s="106"/>
    </row>
    <row r="597">
      <c r="C597" s="79"/>
      <c r="D597" s="79"/>
      <c r="E597" s="79"/>
      <c r="M597" s="79"/>
      <c r="R597" s="79"/>
      <c r="S597" s="79"/>
      <c r="V597" s="79"/>
      <c r="W597" s="79"/>
      <c r="Z597" s="130"/>
      <c r="AB597" s="106"/>
    </row>
    <row r="598">
      <c r="C598" s="79"/>
      <c r="D598" s="79"/>
      <c r="E598" s="79"/>
      <c r="M598" s="79"/>
      <c r="R598" s="79"/>
      <c r="S598" s="79"/>
      <c r="V598" s="79"/>
      <c r="W598" s="79"/>
      <c r="Z598" s="130"/>
      <c r="AB598" s="106"/>
    </row>
    <row r="599">
      <c r="C599" s="79"/>
      <c r="D599" s="79"/>
      <c r="E599" s="79"/>
      <c r="M599" s="79"/>
      <c r="R599" s="79"/>
      <c r="S599" s="79"/>
      <c r="V599" s="79"/>
      <c r="W599" s="79"/>
      <c r="Z599" s="130"/>
      <c r="AB599" s="106"/>
    </row>
    <row r="600">
      <c r="C600" s="79"/>
      <c r="D600" s="79"/>
      <c r="E600" s="79"/>
      <c r="M600" s="79"/>
      <c r="R600" s="79"/>
      <c r="S600" s="79"/>
      <c r="V600" s="79"/>
      <c r="W600" s="79"/>
      <c r="Z600" s="130"/>
      <c r="AB600" s="106"/>
    </row>
    <row r="601">
      <c r="C601" s="79"/>
      <c r="D601" s="79"/>
      <c r="E601" s="79"/>
      <c r="M601" s="79"/>
      <c r="R601" s="79"/>
      <c r="S601" s="79"/>
      <c r="V601" s="79"/>
      <c r="W601" s="79"/>
      <c r="Z601" s="130"/>
      <c r="AB601" s="106"/>
    </row>
    <row r="602">
      <c r="C602" s="79"/>
      <c r="D602" s="79"/>
      <c r="E602" s="79"/>
      <c r="M602" s="79"/>
      <c r="R602" s="79"/>
      <c r="S602" s="79"/>
      <c r="V602" s="79"/>
      <c r="W602" s="79"/>
      <c r="Z602" s="130"/>
      <c r="AB602" s="106"/>
    </row>
    <row r="603">
      <c r="C603" s="79"/>
      <c r="D603" s="79"/>
      <c r="E603" s="79"/>
      <c r="M603" s="79"/>
      <c r="R603" s="79"/>
      <c r="S603" s="79"/>
      <c r="V603" s="79"/>
      <c r="W603" s="79"/>
      <c r="Z603" s="130"/>
      <c r="AB603" s="106"/>
    </row>
    <row r="604">
      <c r="C604" s="79"/>
      <c r="D604" s="79"/>
      <c r="E604" s="79"/>
      <c r="M604" s="79"/>
      <c r="R604" s="79"/>
      <c r="S604" s="79"/>
      <c r="V604" s="79"/>
      <c r="W604" s="79"/>
      <c r="Z604" s="130"/>
      <c r="AB604" s="106"/>
    </row>
    <row r="605">
      <c r="C605" s="79"/>
      <c r="D605" s="79"/>
      <c r="E605" s="79"/>
      <c r="M605" s="79"/>
      <c r="R605" s="79"/>
      <c r="S605" s="79"/>
      <c r="V605" s="79"/>
      <c r="W605" s="79"/>
      <c r="Z605" s="130"/>
      <c r="AB605" s="106"/>
    </row>
    <row r="606">
      <c r="C606" s="79"/>
      <c r="D606" s="79"/>
      <c r="E606" s="79"/>
      <c r="M606" s="79"/>
      <c r="R606" s="79"/>
      <c r="S606" s="79"/>
      <c r="V606" s="79"/>
      <c r="W606" s="79"/>
      <c r="Z606" s="130"/>
      <c r="AB606" s="106"/>
    </row>
    <row r="607">
      <c r="C607" s="79"/>
      <c r="D607" s="79"/>
      <c r="E607" s="79"/>
      <c r="M607" s="79"/>
      <c r="R607" s="79"/>
      <c r="S607" s="79"/>
      <c r="V607" s="79"/>
      <c r="W607" s="79"/>
      <c r="Z607" s="130"/>
      <c r="AB607" s="106"/>
    </row>
    <row r="608">
      <c r="C608" s="79"/>
      <c r="D608" s="79"/>
      <c r="E608" s="79"/>
      <c r="M608" s="79"/>
      <c r="R608" s="79"/>
      <c r="S608" s="79"/>
      <c r="V608" s="79"/>
      <c r="W608" s="79"/>
      <c r="Z608" s="130"/>
      <c r="AB608" s="106"/>
    </row>
    <row r="609">
      <c r="C609" s="79"/>
      <c r="D609" s="79"/>
      <c r="E609" s="79"/>
      <c r="M609" s="79"/>
      <c r="R609" s="79"/>
      <c r="S609" s="79"/>
      <c r="V609" s="79"/>
      <c r="W609" s="79"/>
      <c r="Z609" s="130"/>
      <c r="AB609" s="106"/>
    </row>
    <row r="610">
      <c r="C610" s="79"/>
      <c r="D610" s="79"/>
      <c r="E610" s="79"/>
      <c r="M610" s="79"/>
      <c r="R610" s="79"/>
      <c r="S610" s="79"/>
      <c r="V610" s="79"/>
      <c r="W610" s="79"/>
      <c r="Z610" s="130"/>
      <c r="AB610" s="106"/>
    </row>
    <row r="611">
      <c r="C611" s="79"/>
      <c r="D611" s="79"/>
      <c r="E611" s="79"/>
      <c r="M611" s="79"/>
      <c r="R611" s="79"/>
      <c r="S611" s="79"/>
      <c r="V611" s="79"/>
      <c r="W611" s="79"/>
      <c r="Z611" s="130"/>
      <c r="AB611" s="106"/>
    </row>
    <row r="612">
      <c r="C612" s="79"/>
      <c r="D612" s="79"/>
      <c r="E612" s="79"/>
      <c r="M612" s="79"/>
      <c r="R612" s="79"/>
      <c r="S612" s="79"/>
      <c r="V612" s="79"/>
      <c r="W612" s="79"/>
      <c r="Z612" s="130"/>
      <c r="AB612" s="106"/>
    </row>
    <row r="613">
      <c r="C613" s="79"/>
      <c r="D613" s="79"/>
      <c r="E613" s="79"/>
      <c r="M613" s="79"/>
      <c r="R613" s="79"/>
      <c r="S613" s="79"/>
      <c r="V613" s="79"/>
      <c r="W613" s="79"/>
      <c r="Z613" s="130"/>
      <c r="AB613" s="106"/>
    </row>
    <row r="614">
      <c r="C614" s="79"/>
      <c r="D614" s="79"/>
      <c r="E614" s="79"/>
      <c r="M614" s="79"/>
      <c r="R614" s="79"/>
      <c r="S614" s="79"/>
      <c r="V614" s="79"/>
      <c r="W614" s="79"/>
      <c r="Z614" s="130"/>
      <c r="AB614" s="106"/>
    </row>
    <row r="615">
      <c r="C615" s="79"/>
      <c r="D615" s="79"/>
      <c r="E615" s="79"/>
      <c r="M615" s="79"/>
      <c r="R615" s="79"/>
      <c r="S615" s="79"/>
      <c r="V615" s="79"/>
      <c r="W615" s="79"/>
      <c r="Z615" s="130"/>
      <c r="AB615" s="106"/>
    </row>
    <row r="616">
      <c r="C616" s="79"/>
      <c r="D616" s="79"/>
      <c r="E616" s="79"/>
      <c r="M616" s="79"/>
      <c r="R616" s="79"/>
      <c r="S616" s="79"/>
      <c r="V616" s="79"/>
      <c r="W616" s="79"/>
      <c r="Z616" s="130"/>
      <c r="AB616" s="106"/>
    </row>
    <row r="617">
      <c r="C617" s="79"/>
      <c r="D617" s="79"/>
      <c r="E617" s="79"/>
      <c r="M617" s="79"/>
      <c r="R617" s="79"/>
      <c r="S617" s="79"/>
      <c r="V617" s="79"/>
      <c r="W617" s="79"/>
      <c r="Z617" s="130"/>
      <c r="AB617" s="106"/>
    </row>
    <row r="618">
      <c r="C618" s="79"/>
      <c r="D618" s="79"/>
      <c r="E618" s="79"/>
      <c r="M618" s="79"/>
      <c r="R618" s="79"/>
      <c r="S618" s="79"/>
      <c r="V618" s="79"/>
      <c r="W618" s="79"/>
      <c r="Z618" s="130"/>
      <c r="AB618" s="106"/>
    </row>
    <row r="619">
      <c r="C619" s="79"/>
      <c r="D619" s="79"/>
      <c r="E619" s="79"/>
      <c r="M619" s="79"/>
      <c r="R619" s="79"/>
      <c r="S619" s="79"/>
      <c r="V619" s="79"/>
      <c r="W619" s="79"/>
      <c r="Z619" s="130"/>
      <c r="AB619" s="106"/>
    </row>
    <row r="620">
      <c r="C620" s="79"/>
      <c r="D620" s="79"/>
      <c r="E620" s="79"/>
      <c r="M620" s="79"/>
      <c r="R620" s="79"/>
      <c r="S620" s="79"/>
      <c r="V620" s="79"/>
      <c r="W620" s="79"/>
      <c r="Z620" s="130"/>
      <c r="AB620" s="106"/>
    </row>
    <row r="621">
      <c r="C621" s="79"/>
      <c r="D621" s="79"/>
      <c r="E621" s="79"/>
      <c r="M621" s="79"/>
      <c r="R621" s="79"/>
      <c r="S621" s="79"/>
      <c r="V621" s="79"/>
      <c r="W621" s="79"/>
      <c r="Z621" s="130"/>
      <c r="AB621" s="106"/>
    </row>
    <row r="622">
      <c r="C622" s="79"/>
      <c r="D622" s="79"/>
      <c r="E622" s="79"/>
      <c r="M622" s="79"/>
      <c r="R622" s="79"/>
      <c r="S622" s="79"/>
      <c r="V622" s="79"/>
      <c r="W622" s="79"/>
      <c r="Z622" s="130"/>
      <c r="AB622" s="106"/>
    </row>
    <row r="623">
      <c r="C623" s="79"/>
      <c r="D623" s="79"/>
      <c r="E623" s="79"/>
      <c r="M623" s="79"/>
      <c r="R623" s="79"/>
      <c r="S623" s="79"/>
      <c r="V623" s="79"/>
      <c r="W623" s="79"/>
      <c r="Z623" s="130"/>
      <c r="AB623" s="106"/>
    </row>
    <row r="624">
      <c r="C624" s="79"/>
      <c r="D624" s="79"/>
      <c r="E624" s="79"/>
      <c r="M624" s="79"/>
      <c r="R624" s="79"/>
      <c r="S624" s="79"/>
      <c r="V624" s="79"/>
      <c r="W624" s="79"/>
      <c r="Z624" s="130"/>
      <c r="AB624" s="106"/>
    </row>
    <row r="625">
      <c r="C625" s="79"/>
      <c r="D625" s="79"/>
      <c r="E625" s="79"/>
      <c r="M625" s="79"/>
      <c r="R625" s="79"/>
      <c r="S625" s="79"/>
      <c r="V625" s="79"/>
      <c r="W625" s="79"/>
      <c r="Z625" s="130"/>
      <c r="AB625" s="106"/>
    </row>
    <row r="626">
      <c r="C626" s="79"/>
      <c r="D626" s="79"/>
      <c r="E626" s="79"/>
      <c r="M626" s="79"/>
      <c r="R626" s="79"/>
      <c r="S626" s="79"/>
      <c r="V626" s="79"/>
      <c r="W626" s="79"/>
      <c r="Z626" s="130"/>
      <c r="AB626" s="106"/>
    </row>
    <row r="627">
      <c r="C627" s="79"/>
      <c r="D627" s="79"/>
      <c r="E627" s="79"/>
      <c r="M627" s="79"/>
      <c r="R627" s="79"/>
      <c r="S627" s="79"/>
      <c r="V627" s="79"/>
      <c r="W627" s="79"/>
      <c r="Z627" s="130"/>
      <c r="AB627" s="106"/>
    </row>
    <row r="628">
      <c r="C628" s="79"/>
      <c r="D628" s="79"/>
      <c r="E628" s="79"/>
      <c r="M628" s="79"/>
      <c r="R628" s="79"/>
      <c r="S628" s="79"/>
      <c r="V628" s="79"/>
      <c r="W628" s="79"/>
      <c r="Z628" s="130"/>
      <c r="AB628" s="106"/>
    </row>
    <row r="629">
      <c r="C629" s="79"/>
      <c r="D629" s="79"/>
      <c r="E629" s="79"/>
      <c r="M629" s="79"/>
      <c r="R629" s="79"/>
      <c r="S629" s="79"/>
      <c r="V629" s="79"/>
      <c r="W629" s="79"/>
      <c r="Z629" s="130"/>
      <c r="AB629" s="106"/>
    </row>
    <row r="630">
      <c r="C630" s="79"/>
      <c r="D630" s="79"/>
      <c r="E630" s="79"/>
      <c r="M630" s="79"/>
      <c r="R630" s="79"/>
      <c r="S630" s="79"/>
      <c r="V630" s="79"/>
      <c r="W630" s="79"/>
      <c r="Z630" s="130"/>
      <c r="AB630" s="106"/>
    </row>
    <row r="631">
      <c r="C631" s="79"/>
      <c r="D631" s="79"/>
      <c r="E631" s="79"/>
      <c r="M631" s="79"/>
      <c r="R631" s="79"/>
      <c r="S631" s="79"/>
      <c r="V631" s="79"/>
      <c r="W631" s="79"/>
      <c r="Z631" s="130"/>
      <c r="AB631" s="106"/>
    </row>
    <row r="632">
      <c r="C632" s="79"/>
      <c r="D632" s="79"/>
      <c r="E632" s="79"/>
      <c r="M632" s="79"/>
      <c r="R632" s="79"/>
      <c r="S632" s="79"/>
      <c r="V632" s="79"/>
      <c r="W632" s="79"/>
      <c r="Z632" s="130"/>
      <c r="AB632" s="106"/>
    </row>
    <row r="633">
      <c r="C633" s="79"/>
      <c r="D633" s="79"/>
      <c r="E633" s="79"/>
      <c r="M633" s="79"/>
      <c r="R633" s="79"/>
      <c r="S633" s="79"/>
      <c r="V633" s="79"/>
      <c r="W633" s="79"/>
      <c r="Z633" s="130"/>
      <c r="AB633" s="106"/>
    </row>
    <row r="634">
      <c r="C634" s="79"/>
      <c r="D634" s="79"/>
      <c r="E634" s="79"/>
      <c r="M634" s="79"/>
      <c r="R634" s="79"/>
      <c r="S634" s="79"/>
      <c r="V634" s="79"/>
      <c r="W634" s="79"/>
      <c r="Z634" s="130"/>
      <c r="AB634" s="106"/>
    </row>
    <row r="635">
      <c r="C635" s="79"/>
      <c r="D635" s="79"/>
      <c r="E635" s="79"/>
      <c r="M635" s="79"/>
      <c r="R635" s="79"/>
      <c r="S635" s="79"/>
      <c r="V635" s="79"/>
      <c r="W635" s="79"/>
      <c r="Z635" s="130"/>
      <c r="AB635" s="106"/>
    </row>
    <row r="636">
      <c r="C636" s="79"/>
      <c r="D636" s="79"/>
      <c r="E636" s="79"/>
      <c r="M636" s="79"/>
      <c r="R636" s="79"/>
      <c r="S636" s="79"/>
      <c r="V636" s="79"/>
      <c r="W636" s="79"/>
      <c r="Z636" s="130"/>
      <c r="AB636" s="106"/>
    </row>
    <row r="637">
      <c r="C637" s="79"/>
      <c r="D637" s="79"/>
      <c r="E637" s="79"/>
      <c r="M637" s="79"/>
      <c r="R637" s="79"/>
      <c r="S637" s="79"/>
      <c r="V637" s="79"/>
      <c r="W637" s="79"/>
      <c r="Z637" s="130"/>
      <c r="AB637" s="106"/>
    </row>
    <row r="638">
      <c r="C638" s="79"/>
      <c r="D638" s="79"/>
      <c r="E638" s="79"/>
      <c r="M638" s="79"/>
      <c r="R638" s="79"/>
      <c r="S638" s="79"/>
      <c r="V638" s="79"/>
      <c r="W638" s="79"/>
      <c r="Z638" s="130"/>
      <c r="AB638" s="106"/>
    </row>
    <row r="639">
      <c r="C639" s="79"/>
      <c r="D639" s="79"/>
      <c r="E639" s="79"/>
      <c r="M639" s="79"/>
      <c r="R639" s="79"/>
      <c r="S639" s="79"/>
      <c r="V639" s="79"/>
      <c r="W639" s="79"/>
      <c r="Z639" s="130"/>
      <c r="AB639" s="106"/>
    </row>
    <row r="640">
      <c r="C640" s="79"/>
      <c r="D640" s="79"/>
      <c r="E640" s="79"/>
      <c r="M640" s="79"/>
      <c r="R640" s="79"/>
      <c r="S640" s="79"/>
      <c r="V640" s="79"/>
      <c r="W640" s="79"/>
      <c r="Z640" s="130"/>
      <c r="AB640" s="106"/>
    </row>
    <row r="641">
      <c r="C641" s="79"/>
      <c r="D641" s="79"/>
      <c r="E641" s="79"/>
      <c r="M641" s="79"/>
      <c r="R641" s="79"/>
      <c r="S641" s="79"/>
      <c r="V641" s="79"/>
      <c r="W641" s="79"/>
      <c r="Z641" s="130"/>
      <c r="AB641" s="106"/>
    </row>
    <row r="642">
      <c r="C642" s="79"/>
      <c r="D642" s="79"/>
      <c r="E642" s="79"/>
      <c r="M642" s="79"/>
      <c r="R642" s="79"/>
      <c r="S642" s="79"/>
      <c r="V642" s="79"/>
      <c r="W642" s="79"/>
      <c r="Z642" s="130"/>
      <c r="AB642" s="106"/>
    </row>
    <row r="643">
      <c r="C643" s="79"/>
      <c r="D643" s="79"/>
      <c r="E643" s="79"/>
      <c r="M643" s="79"/>
      <c r="R643" s="79"/>
      <c r="S643" s="79"/>
      <c r="V643" s="79"/>
      <c r="W643" s="79"/>
      <c r="Z643" s="130"/>
      <c r="AB643" s="106"/>
    </row>
    <row r="644">
      <c r="C644" s="79"/>
      <c r="D644" s="79"/>
      <c r="E644" s="79"/>
      <c r="M644" s="79"/>
      <c r="R644" s="79"/>
      <c r="S644" s="79"/>
      <c r="V644" s="79"/>
      <c r="W644" s="79"/>
      <c r="Z644" s="130"/>
      <c r="AB644" s="106"/>
    </row>
    <row r="645">
      <c r="C645" s="79"/>
      <c r="D645" s="79"/>
      <c r="E645" s="79"/>
      <c r="M645" s="79"/>
      <c r="R645" s="79"/>
      <c r="S645" s="79"/>
      <c r="V645" s="79"/>
      <c r="W645" s="79"/>
      <c r="Z645" s="130"/>
      <c r="AB645" s="106"/>
    </row>
    <row r="646">
      <c r="C646" s="79"/>
      <c r="D646" s="79"/>
      <c r="E646" s="79"/>
      <c r="M646" s="79"/>
      <c r="R646" s="79"/>
      <c r="S646" s="79"/>
      <c r="V646" s="79"/>
      <c r="W646" s="79"/>
      <c r="Z646" s="130"/>
      <c r="AB646" s="106"/>
    </row>
    <row r="647">
      <c r="C647" s="79"/>
      <c r="D647" s="79"/>
      <c r="E647" s="79"/>
      <c r="M647" s="79"/>
      <c r="R647" s="79"/>
      <c r="S647" s="79"/>
      <c r="V647" s="79"/>
      <c r="W647" s="79"/>
      <c r="Z647" s="130"/>
      <c r="AB647" s="106"/>
    </row>
    <row r="648">
      <c r="C648" s="79"/>
      <c r="D648" s="79"/>
      <c r="E648" s="79"/>
      <c r="M648" s="79"/>
      <c r="R648" s="79"/>
      <c r="S648" s="79"/>
      <c r="V648" s="79"/>
      <c r="W648" s="79"/>
      <c r="Z648" s="130"/>
      <c r="AB648" s="106"/>
    </row>
    <row r="649">
      <c r="C649" s="79"/>
      <c r="D649" s="79"/>
      <c r="E649" s="79"/>
      <c r="M649" s="79"/>
      <c r="R649" s="79"/>
      <c r="S649" s="79"/>
      <c r="V649" s="79"/>
      <c r="W649" s="79"/>
      <c r="Z649" s="130"/>
      <c r="AB649" s="106"/>
    </row>
    <row r="650">
      <c r="C650" s="79"/>
      <c r="D650" s="79"/>
      <c r="E650" s="79"/>
      <c r="M650" s="79"/>
      <c r="R650" s="79"/>
      <c r="S650" s="79"/>
      <c r="V650" s="79"/>
      <c r="W650" s="79"/>
      <c r="Z650" s="130"/>
      <c r="AB650" s="106"/>
    </row>
    <row r="651">
      <c r="C651" s="79"/>
      <c r="D651" s="79"/>
      <c r="E651" s="79"/>
      <c r="M651" s="79"/>
      <c r="R651" s="79"/>
      <c r="S651" s="79"/>
      <c r="V651" s="79"/>
      <c r="W651" s="79"/>
      <c r="Z651" s="130"/>
      <c r="AB651" s="106"/>
    </row>
    <row r="652">
      <c r="C652" s="79"/>
      <c r="D652" s="79"/>
      <c r="E652" s="79"/>
      <c r="M652" s="79"/>
      <c r="R652" s="79"/>
      <c r="S652" s="79"/>
      <c r="V652" s="79"/>
      <c r="W652" s="79"/>
      <c r="Z652" s="130"/>
      <c r="AB652" s="106"/>
    </row>
    <row r="653">
      <c r="C653" s="79"/>
      <c r="D653" s="79"/>
      <c r="E653" s="79"/>
      <c r="M653" s="79"/>
      <c r="R653" s="79"/>
      <c r="S653" s="79"/>
      <c r="V653" s="79"/>
      <c r="W653" s="79"/>
      <c r="Z653" s="130"/>
      <c r="AB653" s="106"/>
    </row>
    <row r="654">
      <c r="C654" s="79"/>
      <c r="D654" s="79"/>
      <c r="E654" s="79"/>
      <c r="M654" s="79"/>
      <c r="R654" s="79"/>
      <c r="S654" s="79"/>
      <c r="V654" s="79"/>
      <c r="W654" s="79"/>
      <c r="Z654" s="130"/>
      <c r="AB654" s="106"/>
    </row>
    <row r="655">
      <c r="C655" s="79"/>
      <c r="D655" s="79"/>
      <c r="E655" s="79"/>
      <c r="M655" s="79"/>
      <c r="R655" s="79"/>
      <c r="S655" s="79"/>
      <c r="V655" s="79"/>
      <c r="W655" s="79"/>
      <c r="Z655" s="130"/>
      <c r="AB655" s="106"/>
    </row>
    <row r="656">
      <c r="C656" s="79"/>
      <c r="D656" s="79"/>
      <c r="E656" s="79"/>
      <c r="M656" s="79"/>
      <c r="R656" s="79"/>
      <c r="S656" s="79"/>
      <c r="V656" s="79"/>
      <c r="W656" s="79"/>
      <c r="Z656" s="130"/>
      <c r="AB656" s="106"/>
    </row>
    <row r="657">
      <c r="C657" s="79"/>
      <c r="D657" s="79"/>
      <c r="E657" s="79"/>
      <c r="M657" s="79"/>
      <c r="R657" s="79"/>
      <c r="S657" s="79"/>
      <c r="V657" s="79"/>
      <c r="W657" s="79"/>
      <c r="Z657" s="130"/>
      <c r="AB657" s="106"/>
    </row>
    <row r="658">
      <c r="C658" s="79"/>
      <c r="D658" s="79"/>
      <c r="E658" s="79"/>
      <c r="M658" s="79"/>
      <c r="R658" s="79"/>
      <c r="S658" s="79"/>
      <c r="V658" s="79"/>
      <c r="W658" s="79"/>
      <c r="Z658" s="130"/>
      <c r="AB658" s="106"/>
    </row>
    <row r="659">
      <c r="C659" s="79"/>
      <c r="D659" s="79"/>
      <c r="E659" s="79"/>
      <c r="M659" s="79"/>
      <c r="R659" s="79"/>
      <c r="S659" s="79"/>
      <c r="V659" s="79"/>
      <c r="W659" s="79"/>
      <c r="Z659" s="130"/>
      <c r="AB659" s="106"/>
    </row>
    <row r="660">
      <c r="C660" s="79"/>
      <c r="D660" s="79"/>
      <c r="E660" s="79"/>
      <c r="M660" s="79"/>
      <c r="R660" s="79"/>
      <c r="S660" s="79"/>
      <c r="V660" s="79"/>
      <c r="W660" s="79"/>
      <c r="Z660" s="130"/>
      <c r="AB660" s="106"/>
    </row>
    <row r="661">
      <c r="C661" s="79"/>
      <c r="D661" s="79"/>
      <c r="E661" s="79"/>
      <c r="M661" s="79"/>
      <c r="R661" s="79"/>
      <c r="S661" s="79"/>
      <c r="V661" s="79"/>
      <c r="W661" s="79"/>
      <c r="Z661" s="130"/>
      <c r="AB661" s="106"/>
    </row>
    <row r="662">
      <c r="C662" s="79"/>
      <c r="D662" s="79"/>
      <c r="E662" s="79"/>
      <c r="M662" s="79"/>
      <c r="R662" s="79"/>
      <c r="S662" s="79"/>
      <c r="V662" s="79"/>
      <c r="W662" s="79"/>
      <c r="Z662" s="130"/>
      <c r="AB662" s="106"/>
    </row>
    <row r="663">
      <c r="C663" s="79"/>
      <c r="D663" s="79"/>
      <c r="E663" s="79"/>
      <c r="M663" s="79"/>
      <c r="R663" s="79"/>
      <c r="S663" s="79"/>
      <c r="V663" s="79"/>
      <c r="W663" s="79"/>
      <c r="Z663" s="130"/>
      <c r="AB663" s="106"/>
    </row>
    <row r="664">
      <c r="C664" s="79"/>
      <c r="D664" s="79"/>
      <c r="E664" s="79"/>
      <c r="M664" s="79"/>
      <c r="R664" s="79"/>
      <c r="S664" s="79"/>
      <c r="V664" s="79"/>
      <c r="W664" s="79"/>
      <c r="Z664" s="130"/>
      <c r="AB664" s="106"/>
    </row>
    <row r="665">
      <c r="C665" s="79"/>
      <c r="D665" s="79"/>
      <c r="E665" s="79"/>
      <c r="M665" s="79"/>
      <c r="R665" s="79"/>
      <c r="S665" s="79"/>
      <c r="V665" s="79"/>
      <c r="W665" s="79"/>
      <c r="Z665" s="130"/>
      <c r="AB665" s="106"/>
    </row>
    <row r="666">
      <c r="C666" s="79"/>
      <c r="D666" s="79"/>
      <c r="E666" s="79"/>
      <c r="M666" s="79"/>
      <c r="R666" s="79"/>
      <c r="S666" s="79"/>
      <c r="V666" s="79"/>
      <c r="W666" s="79"/>
      <c r="Z666" s="130"/>
      <c r="AB666" s="106"/>
    </row>
    <row r="667">
      <c r="C667" s="79"/>
      <c r="D667" s="79"/>
      <c r="E667" s="79"/>
      <c r="M667" s="79"/>
      <c r="R667" s="79"/>
      <c r="S667" s="79"/>
      <c r="V667" s="79"/>
      <c r="W667" s="79"/>
      <c r="Z667" s="130"/>
      <c r="AB667" s="106"/>
    </row>
    <row r="668">
      <c r="C668" s="79"/>
      <c r="D668" s="79"/>
      <c r="E668" s="79"/>
      <c r="M668" s="79"/>
      <c r="R668" s="79"/>
      <c r="S668" s="79"/>
      <c r="V668" s="79"/>
      <c r="W668" s="79"/>
      <c r="Z668" s="130"/>
      <c r="AB668" s="106"/>
    </row>
    <row r="669">
      <c r="C669" s="79"/>
      <c r="D669" s="79"/>
      <c r="E669" s="79"/>
      <c r="M669" s="79"/>
      <c r="R669" s="79"/>
      <c r="S669" s="79"/>
      <c r="V669" s="79"/>
      <c r="W669" s="79"/>
      <c r="Z669" s="130"/>
      <c r="AB669" s="106"/>
    </row>
    <row r="670">
      <c r="C670" s="79"/>
      <c r="D670" s="79"/>
      <c r="E670" s="79"/>
      <c r="M670" s="79"/>
      <c r="R670" s="79"/>
      <c r="S670" s="79"/>
      <c r="V670" s="79"/>
      <c r="W670" s="79"/>
      <c r="Z670" s="130"/>
      <c r="AB670" s="106"/>
    </row>
    <row r="671">
      <c r="C671" s="79"/>
      <c r="D671" s="79"/>
      <c r="E671" s="79"/>
      <c r="M671" s="79"/>
      <c r="R671" s="79"/>
      <c r="S671" s="79"/>
      <c r="V671" s="79"/>
      <c r="W671" s="79"/>
      <c r="Z671" s="130"/>
      <c r="AB671" s="106"/>
    </row>
    <row r="672">
      <c r="C672" s="79"/>
      <c r="D672" s="79"/>
      <c r="E672" s="79"/>
      <c r="M672" s="79"/>
      <c r="R672" s="79"/>
      <c r="S672" s="79"/>
      <c r="V672" s="79"/>
      <c r="W672" s="79"/>
      <c r="Z672" s="130"/>
      <c r="AB672" s="106"/>
    </row>
    <row r="673">
      <c r="C673" s="79"/>
      <c r="D673" s="79"/>
      <c r="E673" s="79"/>
      <c r="M673" s="79"/>
      <c r="R673" s="79"/>
      <c r="S673" s="79"/>
      <c r="V673" s="79"/>
      <c r="W673" s="79"/>
      <c r="Z673" s="130"/>
      <c r="AB673" s="106"/>
    </row>
    <row r="674">
      <c r="C674" s="79"/>
      <c r="D674" s="79"/>
      <c r="E674" s="79"/>
      <c r="M674" s="79"/>
      <c r="R674" s="79"/>
      <c r="S674" s="79"/>
      <c r="V674" s="79"/>
      <c r="W674" s="79"/>
      <c r="Z674" s="130"/>
      <c r="AB674" s="106"/>
    </row>
    <row r="675">
      <c r="C675" s="79"/>
      <c r="D675" s="79"/>
      <c r="E675" s="79"/>
      <c r="M675" s="79"/>
      <c r="R675" s="79"/>
      <c r="S675" s="79"/>
      <c r="V675" s="79"/>
      <c r="W675" s="79"/>
      <c r="Z675" s="130"/>
      <c r="AB675" s="106"/>
    </row>
    <row r="676">
      <c r="C676" s="79"/>
      <c r="D676" s="79"/>
      <c r="E676" s="79"/>
      <c r="M676" s="79"/>
      <c r="R676" s="79"/>
      <c r="S676" s="79"/>
      <c r="V676" s="79"/>
      <c r="W676" s="79"/>
      <c r="Z676" s="130"/>
      <c r="AB676" s="106"/>
    </row>
    <row r="677">
      <c r="C677" s="79"/>
      <c r="D677" s="79"/>
      <c r="E677" s="79"/>
      <c r="M677" s="79"/>
      <c r="R677" s="79"/>
      <c r="S677" s="79"/>
      <c r="V677" s="79"/>
      <c r="W677" s="79"/>
      <c r="Z677" s="130"/>
      <c r="AB677" s="106"/>
    </row>
    <row r="678">
      <c r="C678" s="79"/>
      <c r="D678" s="79"/>
      <c r="E678" s="79"/>
      <c r="M678" s="79"/>
      <c r="R678" s="79"/>
      <c r="S678" s="79"/>
      <c r="V678" s="79"/>
      <c r="W678" s="79"/>
      <c r="Z678" s="130"/>
      <c r="AB678" s="106"/>
    </row>
    <row r="679">
      <c r="C679" s="79"/>
      <c r="D679" s="79"/>
      <c r="E679" s="79"/>
      <c r="M679" s="79"/>
      <c r="R679" s="79"/>
      <c r="S679" s="79"/>
      <c r="V679" s="79"/>
      <c r="W679" s="79"/>
      <c r="Z679" s="130"/>
      <c r="AB679" s="106"/>
    </row>
    <row r="680">
      <c r="C680" s="79"/>
      <c r="D680" s="79"/>
      <c r="E680" s="79"/>
      <c r="M680" s="79"/>
      <c r="R680" s="79"/>
      <c r="S680" s="79"/>
      <c r="V680" s="79"/>
      <c r="W680" s="79"/>
      <c r="Z680" s="130"/>
      <c r="AB680" s="106"/>
    </row>
    <row r="681">
      <c r="C681" s="79"/>
      <c r="D681" s="79"/>
      <c r="E681" s="79"/>
      <c r="M681" s="79"/>
      <c r="R681" s="79"/>
      <c r="S681" s="79"/>
      <c r="V681" s="79"/>
      <c r="W681" s="79"/>
      <c r="Z681" s="130"/>
      <c r="AB681" s="106"/>
    </row>
    <row r="682">
      <c r="C682" s="79"/>
      <c r="D682" s="79"/>
      <c r="E682" s="79"/>
      <c r="M682" s="79"/>
      <c r="R682" s="79"/>
      <c r="S682" s="79"/>
      <c r="V682" s="79"/>
      <c r="W682" s="79"/>
      <c r="Z682" s="130"/>
      <c r="AB682" s="106"/>
    </row>
    <row r="683">
      <c r="C683" s="79"/>
      <c r="D683" s="79"/>
      <c r="E683" s="79"/>
      <c r="M683" s="79"/>
      <c r="R683" s="79"/>
      <c r="S683" s="79"/>
      <c r="V683" s="79"/>
      <c r="W683" s="79"/>
      <c r="Z683" s="130"/>
      <c r="AB683" s="106"/>
    </row>
    <row r="684">
      <c r="C684" s="79"/>
      <c r="D684" s="79"/>
      <c r="E684" s="79"/>
      <c r="M684" s="79"/>
      <c r="R684" s="79"/>
      <c r="S684" s="79"/>
      <c r="V684" s="79"/>
      <c r="W684" s="79"/>
      <c r="Z684" s="130"/>
      <c r="AB684" s="106"/>
    </row>
    <row r="685">
      <c r="C685" s="79"/>
      <c r="D685" s="79"/>
      <c r="E685" s="79"/>
      <c r="M685" s="79"/>
      <c r="R685" s="79"/>
      <c r="S685" s="79"/>
      <c r="V685" s="79"/>
      <c r="W685" s="79"/>
      <c r="Z685" s="130"/>
      <c r="AB685" s="106"/>
    </row>
    <row r="686">
      <c r="C686" s="79"/>
      <c r="D686" s="79"/>
      <c r="E686" s="79"/>
      <c r="M686" s="79"/>
      <c r="R686" s="79"/>
      <c r="S686" s="79"/>
      <c r="V686" s="79"/>
      <c r="W686" s="79"/>
      <c r="Z686" s="130"/>
      <c r="AB686" s="106"/>
    </row>
    <row r="687">
      <c r="C687" s="79"/>
      <c r="D687" s="79"/>
      <c r="E687" s="79"/>
      <c r="M687" s="79"/>
      <c r="R687" s="79"/>
      <c r="S687" s="79"/>
      <c r="V687" s="79"/>
      <c r="W687" s="79"/>
      <c r="Z687" s="130"/>
      <c r="AB687" s="106"/>
    </row>
    <row r="688">
      <c r="C688" s="79"/>
      <c r="D688" s="79"/>
      <c r="E688" s="79"/>
      <c r="M688" s="79"/>
      <c r="R688" s="79"/>
      <c r="S688" s="79"/>
      <c r="V688" s="79"/>
      <c r="W688" s="79"/>
      <c r="Z688" s="130"/>
      <c r="AB688" s="106"/>
    </row>
    <row r="689">
      <c r="C689" s="79"/>
      <c r="D689" s="79"/>
      <c r="E689" s="79"/>
      <c r="M689" s="79"/>
      <c r="R689" s="79"/>
      <c r="S689" s="79"/>
      <c r="V689" s="79"/>
      <c r="W689" s="79"/>
      <c r="Z689" s="130"/>
      <c r="AB689" s="106"/>
    </row>
    <row r="690">
      <c r="C690" s="79"/>
      <c r="D690" s="79"/>
      <c r="E690" s="79"/>
      <c r="M690" s="79"/>
      <c r="R690" s="79"/>
      <c r="S690" s="79"/>
      <c r="V690" s="79"/>
      <c r="W690" s="79"/>
      <c r="Z690" s="130"/>
      <c r="AB690" s="106"/>
    </row>
    <row r="691">
      <c r="C691" s="79"/>
      <c r="D691" s="79"/>
      <c r="E691" s="79"/>
      <c r="M691" s="79"/>
      <c r="R691" s="79"/>
      <c r="S691" s="79"/>
      <c r="V691" s="79"/>
      <c r="W691" s="79"/>
      <c r="Z691" s="130"/>
      <c r="AB691" s="106"/>
    </row>
    <row r="692">
      <c r="C692" s="79"/>
      <c r="D692" s="79"/>
      <c r="E692" s="79"/>
      <c r="M692" s="79"/>
      <c r="R692" s="79"/>
      <c r="S692" s="79"/>
      <c r="V692" s="79"/>
      <c r="W692" s="79"/>
      <c r="Z692" s="130"/>
      <c r="AB692" s="106"/>
    </row>
    <row r="693">
      <c r="C693" s="79"/>
      <c r="D693" s="79"/>
      <c r="E693" s="79"/>
      <c r="M693" s="79"/>
      <c r="R693" s="79"/>
      <c r="S693" s="79"/>
      <c r="V693" s="79"/>
      <c r="W693" s="79"/>
      <c r="Z693" s="130"/>
      <c r="AB693" s="106"/>
    </row>
    <row r="694">
      <c r="C694" s="79"/>
      <c r="D694" s="79"/>
      <c r="E694" s="79"/>
      <c r="M694" s="79"/>
      <c r="R694" s="79"/>
      <c r="S694" s="79"/>
      <c r="V694" s="79"/>
      <c r="W694" s="79"/>
      <c r="Z694" s="130"/>
      <c r="AB694" s="106"/>
    </row>
    <row r="695">
      <c r="C695" s="79"/>
      <c r="D695" s="79"/>
      <c r="E695" s="79"/>
      <c r="M695" s="79"/>
      <c r="R695" s="79"/>
      <c r="S695" s="79"/>
      <c r="V695" s="79"/>
      <c r="W695" s="79"/>
      <c r="Z695" s="130"/>
      <c r="AB695" s="106"/>
    </row>
    <row r="696">
      <c r="C696" s="79"/>
      <c r="D696" s="79"/>
      <c r="E696" s="79"/>
      <c r="M696" s="79"/>
      <c r="R696" s="79"/>
      <c r="S696" s="79"/>
      <c r="V696" s="79"/>
      <c r="W696" s="79"/>
      <c r="Z696" s="130"/>
      <c r="AB696" s="106"/>
    </row>
    <row r="697">
      <c r="C697" s="79"/>
      <c r="D697" s="79"/>
      <c r="E697" s="79"/>
      <c r="M697" s="79"/>
      <c r="R697" s="79"/>
      <c r="S697" s="79"/>
      <c r="V697" s="79"/>
      <c r="W697" s="79"/>
      <c r="Z697" s="130"/>
      <c r="AB697" s="106"/>
    </row>
    <row r="698">
      <c r="C698" s="79"/>
      <c r="D698" s="79"/>
      <c r="E698" s="79"/>
      <c r="M698" s="79"/>
      <c r="R698" s="79"/>
      <c r="S698" s="79"/>
      <c r="V698" s="79"/>
      <c r="W698" s="79"/>
      <c r="Z698" s="130"/>
      <c r="AB698" s="106"/>
    </row>
    <row r="699">
      <c r="C699" s="79"/>
      <c r="D699" s="79"/>
      <c r="E699" s="79"/>
      <c r="M699" s="79"/>
      <c r="R699" s="79"/>
      <c r="S699" s="79"/>
      <c r="V699" s="79"/>
      <c r="W699" s="79"/>
      <c r="Z699" s="130"/>
      <c r="AB699" s="106"/>
    </row>
    <row r="700">
      <c r="C700" s="79"/>
      <c r="D700" s="79"/>
      <c r="E700" s="79"/>
      <c r="M700" s="79"/>
      <c r="R700" s="79"/>
      <c r="S700" s="79"/>
      <c r="V700" s="79"/>
      <c r="W700" s="79"/>
      <c r="Z700" s="130"/>
      <c r="AB700" s="106"/>
    </row>
    <row r="701">
      <c r="C701" s="79"/>
      <c r="D701" s="79"/>
      <c r="E701" s="79"/>
      <c r="M701" s="79"/>
      <c r="R701" s="79"/>
      <c r="S701" s="79"/>
      <c r="V701" s="79"/>
      <c r="W701" s="79"/>
      <c r="Z701" s="130"/>
      <c r="AB701" s="106"/>
    </row>
    <row r="702">
      <c r="C702" s="79"/>
      <c r="D702" s="79"/>
      <c r="E702" s="79"/>
      <c r="M702" s="79"/>
      <c r="R702" s="79"/>
      <c r="S702" s="79"/>
      <c r="V702" s="79"/>
      <c r="W702" s="79"/>
      <c r="Z702" s="130"/>
      <c r="AB702" s="106"/>
    </row>
    <row r="703">
      <c r="C703" s="79"/>
      <c r="D703" s="79"/>
      <c r="E703" s="79"/>
      <c r="M703" s="79"/>
      <c r="R703" s="79"/>
      <c r="S703" s="79"/>
      <c r="V703" s="79"/>
      <c r="W703" s="79"/>
      <c r="Z703" s="130"/>
      <c r="AB703" s="106"/>
    </row>
    <row r="704">
      <c r="C704" s="79"/>
      <c r="D704" s="79"/>
      <c r="E704" s="79"/>
      <c r="M704" s="79"/>
      <c r="R704" s="79"/>
      <c r="S704" s="79"/>
      <c r="V704" s="79"/>
      <c r="W704" s="79"/>
      <c r="Z704" s="130"/>
      <c r="AB704" s="106"/>
    </row>
    <row r="705">
      <c r="C705" s="79"/>
      <c r="D705" s="79"/>
      <c r="E705" s="79"/>
      <c r="M705" s="79"/>
      <c r="R705" s="79"/>
      <c r="S705" s="79"/>
      <c r="V705" s="79"/>
      <c r="W705" s="79"/>
      <c r="Z705" s="130"/>
      <c r="AB705" s="106"/>
    </row>
    <row r="706">
      <c r="C706" s="79"/>
      <c r="D706" s="79"/>
      <c r="E706" s="79"/>
      <c r="M706" s="79"/>
      <c r="R706" s="79"/>
      <c r="S706" s="79"/>
      <c r="V706" s="79"/>
      <c r="W706" s="79"/>
      <c r="Z706" s="130"/>
      <c r="AB706" s="106"/>
    </row>
    <row r="707">
      <c r="C707" s="79"/>
      <c r="D707" s="79"/>
      <c r="E707" s="79"/>
      <c r="M707" s="79"/>
      <c r="R707" s="79"/>
      <c r="S707" s="79"/>
      <c r="V707" s="79"/>
      <c r="W707" s="79"/>
      <c r="Z707" s="130"/>
      <c r="AB707" s="106"/>
    </row>
    <row r="708">
      <c r="C708" s="79"/>
      <c r="D708" s="79"/>
      <c r="E708" s="79"/>
      <c r="M708" s="79"/>
      <c r="R708" s="79"/>
      <c r="S708" s="79"/>
      <c r="V708" s="79"/>
      <c r="W708" s="79"/>
      <c r="Z708" s="130"/>
      <c r="AB708" s="106"/>
    </row>
    <row r="709">
      <c r="C709" s="79"/>
      <c r="D709" s="79"/>
      <c r="E709" s="79"/>
      <c r="M709" s="79"/>
      <c r="R709" s="79"/>
      <c r="S709" s="79"/>
      <c r="V709" s="79"/>
      <c r="W709" s="79"/>
      <c r="Z709" s="130"/>
      <c r="AB709" s="106"/>
    </row>
    <row r="710">
      <c r="C710" s="79"/>
      <c r="D710" s="79"/>
      <c r="E710" s="79"/>
      <c r="M710" s="79"/>
      <c r="R710" s="79"/>
      <c r="S710" s="79"/>
      <c r="V710" s="79"/>
      <c r="W710" s="79"/>
      <c r="Z710" s="130"/>
      <c r="AB710" s="106"/>
    </row>
    <row r="711">
      <c r="C711" s="79"/>
      <c r="D711" s="79"/>
      <c r="E711" s="79"/>
      <c r="M711" s="79"/>
      <c r="R711" s="79"/>
      <c r="S711" s="79"/>
      <c r="V711" s="79"/>
      <c r="W711" s="79"/>
      <c r="Z711" s="130"/>
      <c r="AB711" s="106"/>
    </row>
    <row r="712">
      <c r="C712" s="79"/>
      <c r="D712" s="79"/>
      <c r="E712" s="79"/>
      <c r="M712" s="79"/>
      <c r="R712" s="79"/>
      <c r="S712" s="79"/>
      <c r="V712" s="79"/>
      <c r="W712" s="79"/>
      <c r="Z712" s="130"/>
      <c r="AB712" s="106"/>
    </row>
    <row r="713">
      <c r="C713" s="79"/>
      <c r="D713" s="79"/>
      <c r="E713" s="79"/>
      <c r="M713" s="79"/>
      <c r="R713" s="79"/>
      <c r="S713" s="79"/>
      <c r="V713" s="79"/>
      <c r="W713" s="79"/>
      <c r="Z713" s="130"/>
      <c r="AB713" s="106"/>
    </row>
    <row r="714">
      <c r="C714" s="79"/>
      <c r="D714" s="79"/>
      <c r="E714" s="79"/>
      <c r="M714" s="79"/>
      <c r="R714" s="79"/>
      <c r="S714" s="79"/>
      <c r="V714" s="79"/>
      <c r="W714" s="79"/>
      <c r="Z714" s="130"/>
      <c r="AB714" s="106"/>
    </row>
    <row r="715">
      <c r="C715" s="79"/>
      <c r="D715" s="79"/>
      <c r="E715" s="79"/>
      <c r="M715" s="79"/>
      <c r="R715" s="79"/>
      <c r="S715" s="79"/>
      <c r="V715" s="79"/>
      <c r="W715" s="79"/>
      <c r="Z715" s="130"/>
      <c r="AB715" s="106"/>
    </row>
    <row r="716">
      <c r="C716" s="79"/>
      <c r="D716" s="79"/>
      <c r="E716" s="79"/>
      <c r="M716" s="79"/>
      <c r="R716" s="79"/>
      <c r="S716" s="79"/>
      <c r="V716" s="79"/>
      <c r="W716" s="79"/>
      <c r="Z716" s="130"/>
      <c r="AB716" s="106"/>
    </row>
    <row r="717">
      <c r="C717" s="79"/>
      <c r="D717" s="79"/>
      <c r="E717" s="79"/>
      <c r="M717" s="79"/>
      <c r="R717" s="79"/>
      <c r="S717" s="79"/>
      <c r="V717" s="79"/>
      <c r="W717" s="79"/>
      <c r="Z717" s="130"/>
      <c r="AB717" s="106"/>
    </row>
    <row r="718">
      <c r="C718" s="79"/>
      <c r="D718" s="79"/>
      <c r="E718" s="79"/>
      <c r="M718" s="79"/>
      <c r="R718" s="79"/>
      <c r="S718" s="79"/>
      <c r="V718" s="79"/>
      <c r="W718" s="79"/>
      <c r="Z718" s="130"/>
      <c r="AB718" s="106"/>
    </row>
    <row r="719">
      <c r="C719" s="79"/>
      <c r="D719" s="79"/>
      <c r="E719" s="79"/>
      <c r="M719" s="79"/>
      <c r="R719" s="79"/>
      <c r="S719" s="79"/>
      <c r="V719" s="79"/>
      <c r="W719" s="79"/>
      <c r="Z719" s="130"/>
      <c r="AB719" s="106"/>
    </row>
    <row r="720">
      <c r="C720" s="79"/>
      <c r="D720" s="79"/>
      <c r="E720" s="79"/>
      <c r="M720" s="79"/>
      <c r="R720" s="79"/>
      <c r="S720" s="79"/>
      <c r="V720" s="79"/>
      <c r="W720" s="79"/>
      <c r="Z720" s="130"/>
      <c r="AB720" s="106"/>
    </row>
    <row r="721">
      <c r="C721" s="79"/>
      <c r="D721" s="79"/>
      <c r="E721" s="79"/>
      <c r="M721" s="79"/>
      <c r="R721" s="79"/>
      <c r="S721" s="79"/>
      <c r="V721" s="79"/>
      <c r="W721" s="79"/>
      <c r="Z721" s="130"/>
      <c r="AB721" s="106"/>
    </row>
    <row r="722">
      <c r="C722" s="79"/>
      <c r="D722" s="79"/>
      <c r="E722" s="79"/>
      <c r="M722" s="79"/>
      <c r="R722" s="79"/>
      <c r="S722" s="79"/>
      <c r="V722" s="79"/>
      <c r="W722" s="79"/>
      <c r="Z722" s="130"/>
      <c r="AB722" s="106"/>
    </row>
    <row r="723">
      <c r="C723" s="79"/>
      <c r="D723" s="79"/>
      <c r="E723" s="79"/>
      <c r="M723" s="79"/>
      <c r="R723" s="79"/>
      <c r="S723" s="79"/>
      <c r="V723" s="79"/>
      <c r="W723" s="79"/>
      <c r="Z723" s="130"/>
      <c r="AB723" s="106"/>
    </row>
    <row r="724">
      <c r="C724" s="79"/>
      <c r="D724" s="79"/>
      <c r="E724" s="79"/>
      <c r="M724" s="79"/>
      <c r="R724" s="79"/>
      <c r="S724" s="79"/>
      <c r="V724" s="79"/>
      <c r="W724" s="79"/>
      <c r="Z724" s="130"/>
      <c r="AB724" s="106"/>
    </row>
    <row r="725">
      <c r="C725" s="79"/>
      <c r="D725" s="79"/>
      <c r="E725" s="79"/>
      <c r="M725" s="79"/>
      <c r="R725" s="79"/>
      <c r="S725" s="79"/>
      <c r="V725" s="79"/>
      <c r="W725" s="79"/>
      <c r="Z725" s="130"/>
      <c r="AB725" s="106"/>
    </row>
    <row r="726">
      <c r="C726" s="79"/>
      <c r="D726" s="79"/>
      <c r="E726" s="79"/>
      <c r="M726" s="79"/>
      <c r="R726" s="79"/>
      <c r="S726" s="79"/>
      <c r="V726" s="79"/>
      <c r="W726" s="79"/>
      <c r="Z726" s="130"/>
      <c r="AB726" s="106"/>
    </row>
    <row r="727">
      <c r="C727" s="79"/>
      <c r="D727" s="79"/>
      <c r="E727" s="79"/>
      <c r="M727" s="79"/>
      <c r="R727" s="79"/>
      <c r="S727" s="79"/>
      <c r="V727" s="79"/>
      <c r="W727" s="79"/>
      <c r="Z727" s="130"/>
      <c r="AB727" s="106"/>
    </row>
    <row r="728">
      <c r="C728" s="79"/>
      <c r="D728" s="79"/>
      <c r="E728" s="79"/>
      <c r="M728" s="79"/>
      <c r="R728" s="79"/>
      <c r="S728" s="79"/>
      <c r="V728" s="79"/>
      <c r="W728" s="79"/>
      <c r="Z728" s="130"/>
      <c r="AB728" s="106"/>
    </row>
    <row r="729">
      <c r="C729" s="79"/>
      <c r="D729" s="79"/>
      <c r="E729" s="79"/>
      <c r="M729" s="79"/>
      <c r="R729" s="79"/>
      <c r="S729" s="79"/>
      <c r="V729" s="79"/>
      <c r="W729" s="79"/>
      <c r="Z729" s="130"/>
      <c r="AB729" s="106"/>
    </row>
    <row r="730">
      <c r="C730" s="79"/>
      <c r="D730" s="79"/>
      <c r="E730" s="79"/>
      <c r="M730" s="79"/>
      <c r="R730" s="79"/>
      <c r="S730" s="79"/>
      <c r="V730" s="79"/>
      <c r="W730" s="79"/>
      <c r="Z730" s="130"/>
      <c r="AB730" s="106"/>
    </row>
    <row r="731">
      <c r="C731" s="79"/>
      <c r="D731" s="79"/>
      <c r="E731" s="79"/>
      <c r="M731" s="79"/>
      <c r="R731" s="79"/>
      <c r="S731" s="79"/>
      <c r="V731" s="79"/>
      <c r="W731" s="79"/>
      <c r="Z731" s="130"/>
      <c r="AB731" s="106"/>
    </row>
    <row r="732">
      <c r="C732" s="79"/>
      <c r="D732" s="79"/>
      <c r="E732" s="79"/>
      <c r="M732" s="79"/>
      <c r="R732" s="79"/>
      <c r="S732" s="79"/>
      <c r="V732" s="79"/>
      <c r="W732" s="79"/>
      <c r="Z732" s="130"/>
      <c r="AB732" s="106"/>
    </row>
    <row r="733">
      <c r="C733" s="79"/>
      <c r="D733" s="79"/>
      <c r="E733" s="79"/>
      <c r="M733" s="79"/>
      <c r="R733" s="79"/>
      <c r="S733" s="79"/>
      <c r="V733" s="79"/>
      <c r="W733" s="79"/>
      <c r="Z733" s="130"/>
      <c r="AB733" s="106"/>
    </row>
    <row r="734">
      <c r="C734" s="79"/>
      <c r="D734" s="79"/>
      <c r="E734" s="79"/>
      <c r="M734" s="79"/>
      <c r="R734" s="79"/>
      <c r="S734" s="79"/>
      <c r="V734" s="79"/>
      <c r="W734" s="79"/>
      <c r="Z734" s="130"/>
      <c r="AB734" s="106"/>
    </row>
    <row r="735">
      <c r="C735" s="79"/>
      <c r="D735" s="79"/>
      <c r="E735" s="79"/>
      <c r="M735" s="79"/>
      <c r="R735" s="79"/>
      <c r="S735" s="79"/>
      <c r="V735" s="79"/>
      <c r="W735" s="79"/>
      <c r="Z735" s="130"/>
      <c r="AB735" s="106"/>
    </row>
    <row r="736">
      <c r="C736" s="79"/>
      <c r="D736" s="79"/>
      <c r="E736" s="79"/>
      <c r="M736" s="79"/>
      <c r="R736" s="79"/>
      <c r="S736" s="79"/>
      <c r="V736" s="79"/>
      <c r="W736" s="79"/>
      <c r="Z736" s="130"/>
      <c r="AB736" s="106"/>
    </row>
    <row r="737">
      <c r="C737" s="79"/>
      <c r="D737" s="79"/>
      <c r="E737" s="79"/>
      <c r="M737" s="79"/>
      <c r="R737" s="79"/>
      <c r="S737" s="79"/>
      <c r="V737" s="79"/>
      <c r="W737" s="79"/>
      <c r="Z737" s="130"/>
      <c r="AB737" s="106"/>
    </row>
    <row r="738">
      <c r="C738" s="79"/>
      <c r="D738" s="79"/>
      <c r="E738" s="79"/>
      <c r="M738" s="79"/>
      <c r="R738" s="79"/>
      <c r="S738" s="79"/>
      <c r="V738" s="79"/>
      <c r="W738" s="79"/>
      <c r="Z738" s="130"/>
      <c r="AB738" s="106"/>
    </row>
    <row r="739">
      <c r="C739" s="79"/>
      <c r="D739" s="79"/>
      <c r="E739" s="79"/>
      <c r="M739" s="79"/>
      <c r="R739" s="79"/>
      <c r="S739" s="79"/>
      <c r="V739" s="79"/>
      <c r="W739" s="79"/>
      <c r="Z739" s="130"/>
      <c r="AB739" s="106"/>
    </row>
    <row r="740">
      <c r="C740" s="79"/>
      <c r="D740" s="79"/>
      <c r="E740" s="79"/>
      <c r="M740" s="79"/>
      <c r="R740" s="79"/>
      <c r="S740" s="79"/>
      <c r="V740" s="79"/>
      <c r="W740" s="79"/>
      <c r="Z740" s="130"/>
      <c r="AB740" s="106"/>
    </row>
    <row r="741">
      <c r="C741" s="79"/>
      <c r="D741" s="79"/>
      <c r="E741" s="79"/>
      <c r="M741" s="79"/>
      <c r="R741" s="79"/>
      <c r="S741" s="79"/>
      <c r="V741" s="79"/>
      <c r="W741" s="79"/>
      <c r="Z741" s="130"/>
      <c r="AB741" s="106"/>
    </row>
    <row r="742">
      <c r="C742" s="79"/>
      <c r="D742" s="79"/>
      <c r="E742" s="79"/>
      <c r="M742" s="79"/>
      <c r="R742" s="79"/>
      <c r="S742" s="79"/>
      <c r="V742" s="79"/>
      <c r="W742" s="79"/>
      <c r="Z742" s="130"/>
      <c r="AB742" s="106"/>
    </row>
    <row r="743">
      <c r="C743" s="79"/>
      <c r="D743" s="79"/>
      <c r="E743" s="79"/>
      <c r="M743" s="79"/>
      <c r="R743" s="79"/>
      <c r="S743" s="79"/>
      <c r="V743" s="79"/>
      <c r="W743" s="79"/>
      <c r="Z743" s="130"/>
      <c r="AB743" s="106"/>
    </row>
    <row r="744">
      <c r="C744" s="79"/>
      <c r="D744" s="79"/>
      <c r="E744" s="79"/>
      <c r="M744" s="79"/>
      <c r="R744" s="79"/>
      <c r="S744" s="79"/>
      <c r="V744" s="79"/>
      <c r="W744" s="79"/>
      <c r="Z744" s="130"/>
      <c r="AB744" s="106"/>
    </row>
    <row r="745">
      <c r="C745" s="79"/>
      <c r="D745" s="79"/>
      <c r="E745" s="79"/>
      <c r="M745" s="79"/>
      <c r="R745" s="79"/>
      <c r="S745" s="79"/>
      <c r="V745" s="79"/>
      <c r="W745" s="79"/>
      <c r="Z745" s="130"/>
      <c r="AB745" s="106"/>
    </row>
    <row r="746">
      <c r="C746" s="79"/>
      <c r="D746" s="79"/>
      <c r="E746" s="79"/>
      <c r="M746" s="79"/>
      <c r="R746" s="79"/>
      <c r="S746" s="79"/>
      <c r="V746" s="79"/>
      <c r="W746" s="79"/>
      <c r="Z746" s="130"/>
      <c r="AB746" s="106"/>
    </row>
    <row r="747">
      <c r="C747" s="79"/>
      <c r="D747" s="79"/>
      <c r="E747" s="79"/>
      <c r="M747" s="79"/>
      <c r="R747" s="79"/>
      <c r="S747" s="79"/>
      <c r="V747" s="79"/>
      <c r="W747" s="79"/>
      <c r="Z747" s="130"/>
      <c r="AB747" s="106"/>
    </row>
    <row r="748">
      <c r="C748" s="79"/>
      <c r="D748" s="79"/>
      <c r="E748" s="79"/>
      <c r="M748" s="79"/>
      <c r="R748" s="79"/>
      <c r="S748" s="79"/>
      <c r="V748" s="79"/>
      <c r="W748" s="79"/>
      <c r="Z748" s="130"/>
      <c r="AB748" s="106"/>
    </row>
    <row r="749">
      <c r="C749" s="79"/>
      <c r="D749" s="79"/>
      <c r="E749" s="79"/>
      <c r="M749" s="79"/>
      <c r="R749" s="79"/>
      <c r="S749" s="79"/>
      <c r="V749" s="79"/>
      <c r="W749" s="79"/>
      <c r="Z749" s="130"/>
      <c r="AB749" s="106"/>
    </row>
    <row r="750">
      <c r="C750" s="79"/>
      <c r="D750" s="79"/>
      <c r="E750" s="79"/>
      <c r="M750" s="79"/>
      <c r="R750" s="79"/>
      <c r="S750" s="79"/>
      <c r="V750" s="79"/>
      <c r="W750" s="79"/>
      <c r="Z750" s="130"/>
      <c r="AB750" s="106"/>
    </row>
    <row r="751">
      <c r="C751" s="79"/>
      <c r="D751" s="79"/>
      <c r="E751" s="79"/>
      <c r="M751" s="79"/>
      <c r="R751" s="79"/>
      <c r="S751" s="79"/>
      <c r="V751" s="79"/>
      <c r="W751" s="79"/>
      <c r="Z751" s="130"/>
      <c r="AB751" s="106"/>
    </row>
    <row r="752">
      <c r="C752" s="79"/>
      <c r="D752" s="79"/>
      <c r="E752" s="79"/>
      <c r="M752" s="79"/>
      <c r="R752" s="79"/>
      <c r="S752" s="79"/>
      <c r="V752" s="79"/>
      <c r="W752" s="79"/>
      <c r="Z752" s="130"/>
      <c r="AB752" s="106"/>
    </row>
    <row r="753">
      <c r="C753" s="79"/>
      <c r="D753" s="79"/>
      <c r="E753" s="79"/>
      <c r="M753" s="79"/>
      <c r="R753" s="79"/>
      <c r="S753" s="79"/>
      <c r="V753" s="79"/>
      <c r="W753" s="79"/>
      <c r="Z753" s="130"/>
      <c r="AB753" s="106"/>
    </row>
    <row r="754">
      <c r="C754" s="79"/>
      <c r="D754" s="79"/>
      <c r="E754" s="79"/>
      <c r="M754" s="79"/>
      <c r="R754" s="79"/>
      <c r="S754" s="79"/>
      <c r="V754" s="79"/>
      <c r="W754" s="79"/>
      <c r="Z754" s="130"/>
      <c r="AB754" s="106"/>
    </row>
    <row r="755">
      <c r="C755" s="79"/>
      <c r="D755" s="79"/>
      <c r="E755" s="79"/>
      <c r="M755" s="79"/>
      <c r="R755" s="79"/>
      <c r="S755" s="79"/>
      <c r="V755" s="79"/>
      <c r="W755" s="79"/>
      <c r="Z755" s="130"/>
      <c r="AB755" s="106"/>
    </row>
    <row r="756">
      <c r="C756" s="79"/>
      <c r="D756" s="79"/>
      <c r="E756" s="79"/>
      <c r="M756" s="79"/>
      <c r="R756" s="79"/>
      <c r="S756" s="79"/>
      <c r="V756" s="79"/>
      <c r="W756" s="79"/>
      <c r="Z756" s="130"/>
      <c r="AB756" s="106"/>
    </row>
    <row r="757">
      <c r="C757" s="79"/>
      <c r="D757" s="79"/>
      <c r="E757" s="79"/>
      <c r="M757" s="79"/>
      <c r="R757" s="79"/>
      <c r="S757" s="79"/>
      <c r="V757" s="79"/>
      <c r="W757" s="79"/>
      <c r="Z757" s="130"/>
      <c r="AB757" s="106"/>
    </row>
    <row r="758">
      <c r="C758" s="79"/>
      <c r="D758" s="79"/>
      <c r="E758" s="79"/>
      <c r="M758" s="79"/>
      <c r="R758" s="79"/>
      <c r="S758" s="79"/>
      <c r="V758" s="79"/>
      <c r="W758" s="79"/>
      <c r="Z758" s="130"/>
      <c r="AB758" s="106"/>
    </row>
    <row r="759">
      <c r="C759" s="79"/>
      <c r="D759" s="79"/>
      <c r="E759" s="79"/>
      <c r="M759" s="79"/>
      <c r="R759" s="79"/>
      <c r="S759" s="79"/>
      <c r="V759" s="79"/>
      <c r="W759" s="79"/>
      <c r="Z759" s="130"/>
      <c r="AB759" s="106"/>
    </row>
    <row r="760">
      <c r="C760" s="79"/>
      <c r="D760" s="79"/>
      <c r="E760" s="79"/>
      <c r="M760" s="79"/>
      <c r="R760" s="79"/>
      <c r="S760" s="79"/>
      <c r="V760" s="79"/>
      <c r="W760" s="79"/>
      <c r="Z760" s="130"/>
      <c r="AB760" s="106"/>
    </row>
    <row r="761">
      <c r="C761" s="79"/>
      <c r="D761" s="79"/>
      <c r="E761" s="79"/>
      <c r="M761" s="79"/>
      <c r="R761" s="79"/>
      <c r="S761" s="79"/>
      <c r="V761" s="79"/>
      <c r="W761" s="79"/>
      <c r="Z761" s="130"/>
      <c r="AB761" s="106"/>
    </row>
    <row r="762">
      <c r="C762" s="79"/>
      <c r="D762" s="79"/>
      <c r="E762" s="79"/>
      <c r="M762" s="79"/>
      <c r="R762" s="79"/>
      <c r="S762" s="79"/>
      <c r="V762" s="79"/>
      <c r="W762" s="79"/>
      <c r="Z762" s="130"/>
      <c r="AB762" s="106"/>
    </row>
    <row r="763">
      <c r="C763" s="79"/>
      <c r="D763" s="79"/>
      <c r="E763" s="79"/>
      <c r="M763" s="79"/>
      <c r="R763" s="79"/>
      <c r="S763" s="79"/>
      <c r="V763" s="79"/>
      <c r="W763" s="79"/>
      <c r="Z763" s="130"/>
      <c r="AB763" s="106"/>
    </row>
    <row r="764">
      <c r="C764" s="79"/>
      <c r="D764" s="79"/>
      <c r="E764" s="79"/>
      <c r="M764" s="79"/>
      <c r="R764" s="79"/>
      <c r="S764" s="79"/>
      <c r="V764" s="79"/>
      <c r="W764" s="79"/>
      <c r="Z764" s="130"/>
      <c r="AB764" s="106"/>
    </row>
    <row r="765">
      <c r="C765" s="79"/>
      <c r="D765" s="79"/>
      <c r="E765" s="79"/>
      <c r="M765" s="79"/>
      <c r="R765" s="79"/>
      <c r="S765" s="79"/>
      <c r="V765" s="79"/>
      <c r="W765" s="79"/>
      <c r="Z765" s="130"/>
      <c r="AB765" s="106"/>
    </row>
    <row r="766">
      <c r="C766" s="79"/>
      <c r="D766" s="79"/>
      <c r="E766" s="79"/>
      <c r="M766" s="79"/>
      <c r="R766" s="79"/>
      <c r="S766" s="79"/>
      <c r="V766" s="79"/>
      <c r="W766" s="79"/>
      <c r="Z766" s="130"/>
      <c r="AB766" s="106"/>
    </row>
    <row r="767">
      <c r="C767" s="79"/>
      <c r="D767" s="79"/>
      <c r="E767" s="79"/>
      <c r="M767" s="79"/>
      <c r="R767" s="79"/>
      <c r="S767" s="79"/>
      <c r="V767" s="79"/>
      <c r="W767" s="79"/>
      <c r="Z767" s="130"/>
      <c r="AB767" s="106"/>
    </row>
    <row r="768">
      <c r="C768" s="79"/>
      <c r="D768" s="79"/>
      <c r="E768" s="79"/>
      <c r="M768" s="79"/>
      <c r="R768" s="79"/>
      <c r="S768" s="79"/>
      <c r="V768" s="79"/>
      <c r="W768" s="79"/>
      <c r="Z768" s="130"/>
      <c r="AB768" s="106"/>
    </row>
    <row r="769">
      <c r="C769" s="79"/>
      <c r="D769" s="79"/>
      <c r="E769" s="79"/>
      <c r="M769" s="79"/>
      <c r="R769" s="79"/>
      <c r="S769" s="79"/>
      <c r="V769" s="79"/>
      <c r="W769" s="79"/>
      <c r="Z769" s="130"/>
      <c r="AB769" s="106"/>
    </row>
    <row r="770">
      <c r="C770" s="79"/>
      <c r="D770" s="79"/>
      <c r="E770" s="79"/>
      <c r="M770" s="79"/>
      <c r="R770" s="79"/>
      <c r="S770" s="79"/>
      <c r="V770" s="79"/>
      <c r="W770" s="79"/>
      <c r="Z770" s="130"/>
      <c r="AB770" s="106"/>
    </row>
    <row r="771">
      <c r="C771" s="79"/>
      <c r="D771" s="79"/>
      <c r="E771" s="79"/>
      <c r="M771" s="79"/>
      <c r="R771" s="79"/>
      <c r="S771" s="79"/>
      <c r="V771" s="79"/>
      <c r="W771" s="79"/>
      <c r="Z771" s="130"/>
      <c r="AB771" s="106"/>
    </row>
    <row r="772">
      <c r="C772" s="79"/>
      <c r="D772" s="79"/>
      <c r="E772" s="79"/>
      <c r="M772" s="79"/>
      <c r="R772" s="79"/>
      <c r="S772" s="79"/>
      <c r="V772" s="79"/>
      <c r="W772" s="79"/>
      <c r="Z772" s="130"/>
      <c r="AB772" s="106"/>
    </row>
    <row r="773">
      <c r="C773" s="79"/>
      <c r="D773" s="79"/>
      <c r="E773" s="79"/>
      <c r="M773" s="79"/>
      <c r="R773" s="79"/>
      <c r="S773" s="79"/>
      <c r="V773" s="79"/>
      <c r="W773" s="79"/>
      <c r="Z773" s="130"/>
      <c r="AB773" s="106"/>
    </row>
    <row r="774">
      <c r="C774" s="79"/>
      <c r="D774" s="79"/>
      <c r="E774" s="79"/>
      <c r="M774" s="79"/>
      <c r="R774" s="79"/>
      <c r="S774" s="79"/>
      <c r="V774" s="79"/>
      <c r="W774" s="79"/>
      <c r="Z774" s="130"/>
      <c r="AB774" s="106"/>
    </row>
    <row r="775">
      <c r="C775" s="79"/>
      <c r="D775" s="79"/>
      <c r="E775" s="79"/>
      <c r="M775" s="79"/>
      <c r="R775" s="79"/>
      <c r="S775" s="79"/>
      <c r="V775" s="79"/>
      <c r="W775" s="79"/>
      <c r="Z775" s="130"/>
      <c r="AB775" s="106"/>
    </row>
    <row r="776">
      <c r="C776" s="79"/>
      <c r="D776" s="79"/>
      <c r="E776" s="79"/>
      <c r="M776" s="79"/>
      <c r="R776" s="79"/>
      <c r="S776" s="79"/>
      <c r="V776" s="79"/>
      <c r="W776" s="79"/>
      <c r="Z776" s="130"/>
      <c r="AB776" s="106"/>
    </row>
    <row r="777">
      <c r="C777" s="79"/>
      <c r="D777" s="79"/>
      <c r="E777" s="79"/>
      <c r="M777" s="79"/>
      <c r="R777" s="79"/>
      <c r="S777" s="79"/>
      <c r="V777" s="79"/>
      <c r="W777" s="79"/>
      <c r="Z777" s="130"/>
      <c r="AB777" s="106"/>
    </row>
    <row r="778">
      <c r="C778" s="79"/>
      <c r="D778" s="79"/>
      <c r="E778" s="79"/>
      <c r="M778" s="79"/>
      <c r="R778" s="79"/>
      <c r="S778" s="79"/>
      <c r="V778" s="79"/>
      <c r="W778" s="79"/>
      <c r="Z778" s="130"/>
      <c r="AB778" s="106"/>
    </row>
    <row r="779">
      <c r="C779" s="79"/>
      <c r="D779" s="79"/>
      <c r="E779" s="79"/>
      <c r="M779" s="79"/>
      <c r="R779" s="79"/>
      <c r="S779" s="79"/>
      <c r="V779" s="79"/>
      <c r="W779" s="79"/>
      <c r="Z779" s="130"/>
      <c r="AB779" s="106"/>
    </row>
    <row r="780">
      <c r="C780" s="79"/>
      <c r="D780" s="79"/>
      <c r="E780" s="79"/>
      <c r="M780" s="79"/>
      <c r="R780" s="79"/>
      <c r="S780" s="79"/>
      <c r="V780" s="79"/>
      <c r="W780" s="79"/>
      <c r="Z780" s="130"/>
      <c r="AB780" s="106"/>
    </row>
    <row r="781">
      <c r="C781" s="79"/>
      <c r="D781" s="79"/>
      <c r="E781" s="79"/>
      <c r="M781" s="79"/>
      <c r="R781" s="79"/>
      <c r="S781" s="79"/>
      <c r="V781" s="79"/>
      <c r="W781" s="79"/>
      <c r="Z781" s="130"/>
      <c r="AB781" s="106"/>
    </row>
    <row r="782">
      <c r="C782" s="79"/>
      <c r="D782" s="79"/>
      <c r="E782" s="79"/>
      <c r="M782" s="79"/>
      <c r="R782" s="79"/>
      <c r="S782" s="79"/>
      <c r="V782" s="79"/>
      <c r="W782" s="79"/>
      <c r="Z782" s="130"/>
      <c r="AB782" s="106"/>
    </row>
    <row r="783">
      <c r="C783" s="79"/>
      <c r="D783" s="79"/>
      <c r="E783" s="79"/>
      <c r="M783" s="79"/>
      <c r="R783" s="79"/>
      <c r="S783" s="79"/>
      <c r="V783" s="79"/>
      <c r="W783" s="79"/>
      <c r="Z783" s="130"/>
      <c r="AB783" s="106"/>
    </row>
    <row r="784">
      <c r="C784" s="79"/>
      <c r="D784" s="79"/>
      <c r="E784" s="79"/>
      <c r="M784" s="79"/>
      <c r="R784" s="79"/>
      <c r="S784" s="79"/>
      <c r="V784" s="79"/>
      <c r="W784" s="79"/>
      <c r="Z784" s="130"/>
      <c r="AB784" s="106"/>
    </row>
    <row r="785">
      <c r="C785" s="79"/>
      <c r="D785" s="79"/>
      <c r="E785" s="79"/>
      <c r="M785" s="79"/>
      <c r="R785" s="79"/>
      <c r="S785" s="79"/>
      <c r="V785" s="79"/>
      <c r="W785" s="79"/>
      <c r="Z785" s="130"/>
      <c r="AB785" s="106"/>
    </row>
    <row r="786">
      <c r="C786" s="79"/>
      <c r="D786" s="79"/>
      <c r="E786" s="79"/>
      <c r="M786" s="79"/>
      <c r="R786" s="79"/>
      <c r="S786" s="79"/>
      <c r="V786" s="79"/>
      <c r="W786" s="79"/>
      <c r="Z786" s="130"/>
      <c r="AB786" s="106"/>
    </row>
    <row r="787">
      <c r="C787" s="79"/>
      <c r="D787" s="79"/>
      <c r="E787" s="79"/>
      <c r="M787" s="79"/>
      <c r="R787" s="79"/>
      <c r="S787" s="79"/>
      <c r="V787" s="79"/>
      <c r="W787" s="79"/>
      <c r="Z787" s="130"/>
      <c r="AB787" s="106"/>
    </row>
    <row r="788">
      <c r="C788" s="79"/>
      <c r="D788" s="79"/>
      <c r="E788" s="79"/>
      <c r="M788" s="79"/>
      <c r="R788" s="79"/>
      <c r="S788" s="79"/>
      <c r="V788" s="79"/>
      <c r="W788" s="79"/>
      <c r="Z788" s="130"/>
      <c r="AB788" s="106"/>
    </row>
    <row r="789">
      <c r="C789" s="79"/>
      <c r="D789" s="79"/>
      <c r="E789" s="79"/>
      <c r="M789" s="79"/>
      <c r="R789" s="79"/>
      <c r="S789" s="79"/>
      <c r="V789" s="79"/>
      <c r="W789" s="79"/>
      <c r="Z789" s="130"/>
      <c r="AB789" s="106"/>
    </row>
    <row r="790">
      <c r="C790" s="79"/>
      <c r="D790" s="79"/>
      <c r="E790" s="79"/>
      <c r="M790" s="79"/>
      <c r="R790" s="79"/>
      <c r="S790" s="79"/>
      <c r="V790" s="79"/>
      <c r="W790" s="79"/>
      <c r="Z790" s="130"/>
      <c r="AB790" s="106"/>
    </row>
    <row r="791">
      <c r="C791" s="79"/>
      <c r="D791" s="79"/>
      <c r="E791" s="79"/>
      <c r="M791" s="79"/>
      <c r="R791" s="79"/>
      <c r="S791" s="79"/>
      <c r="V791" s="79"/>
      <c r="W791" s="79"/>
      <c r="Z791" s="130"/>
      <c r="AB791" s="106"/>
    </row>
    <row r="792">
      <c r="C792" s="79"/>
      <c r="D792" s="79"/>
      <c r="E792" s="79"/>
      <c r="M792" s="79"/>
      <c r="R792" s="79"/>
      <c r="S792" s="79"/>
      <c r="V792" s="79"/>
      <c r="W792" s="79"/>
      <c r="Z792" s="130"/>
      <c r="AB792" s="106"/>
    </row>
    <row r="793">
      <c r="C793" s="79"/>
      <c r="D793" s="79"/>
      <c r="E793" s="79"/>
      <c r="M793" s="79"/>
      <c r="R793" s="79"/>
      <c r="S793" s="79"/>
      <c r="V793" s="79"/>
      <c r="W793" s="79"/>
      <c r="Z793" s="130"/>
      <c r="AB793" s="106"/>
    </row>
    <row r="794">
      <c r="C794" s="79"/>
      <c r="D794" s="79"/>
      <c r="E794" s="79"/>
      <c r="M794" s="79"/>
      <c r="R794" s="79"/>
      <c r="S794" s="79"/>
      <c r="V794" s="79"/>
      <c r="W794" s="79"/>
      <c r="Z794" s="130"/>
      <c r="AB794" s="106"/>
    </row>
    <row r="795">
      <c r="C795" s="79"/>
      <c r="D795" s="79"/>
      <c r="E795" s="79"/>
      <c r="M795" s="79"/>
      <c r="R795" s="79"/>
      <c r="S795" s="79"/>
      <c r="V795" s="79"/>
      <c r="W795" s="79"/>
      <c r="Z795" s="130"/>
      <c r="AB795" s="106"/>
    </row>
    <row r="796">
      <c r="C796" s="79"/>
      <c r="D796" s="79"/>
      <c r="E796" s="79"/>
      <c r="M796" s="79"/>
      <c r="R796" s="79"/>
      <c r="S796" s="79"/>
      <c r="V796" s="79"/>
      <c r="W796" s="79"/>
      <c r="Z796" s="130"/>
      <c r="AB796" s="106"/>
    </row>
    <row r="797">
      <c r="C797" s="79"/>
      <c r="D797" s="79"/>
      <c r="E797" s="79"/>
      <c r="M797" s="79"/>
      <c r="R797" s="79"/>
      <c r="S797" s="79"/>
      <c r="V797" s="79"/>
      <c r="W797" s="79"/>
      <c r="Z797" s="130"/>
      <c r="AB797" s="106"/>
    </row>
    <row r="798">
      <c r="C798" s="79"/>
      <c r="D798" s="79"/>
      <c r="E798" s="79"/>
      <c r="M798" s="79"/>
      <c r="R798" s="79"/>
      <c r="S798" s="79"/>
      <c r="V798" s="79"/>
      <c r="W798" s="79"/>
      <c r="Z798" s="130"/>
      <c r="AB798" s="106"/>
    </row>
    <row r="799">
      <c r="C799" s="79"/>
      <c r="D799" s="79"/>
      <c r="E799" s="79"/>
      <c r="M799" s="79"/>
      <c r="R799" s="79"/>
      <c r="S799" s="79"/>
      <c r="V799" s="79"/>
      <c r="W799" s="79"/>
      <c r="Z799" s="130"/>
      <c r="AB799" s="106"/>
    </row>
    <row r="800">
      <c r="C800" s="79"/>
      <c r="D800" s="79"/>
      <c r="E800" s="79"/>
      <c r="M800" s="79"/>
      <c r="R800" s="79"/>
      <c r="S800" s="79"/>
      <c r="V800" s="79"/>
      <c r="W800" s="79"/>
      <c r="Z800" s="130"/>
      <c r="AB800" s="106"/>
    </row>
    <row r="801">
      <c r="C801" s="79"/>
      <c r="D801" s="79"/>
      <c r="E801" s="79"/>
      <c r="M801" s="79"/>
      <c r="R801" s="79"/>
      <c r="S801" s="79"/>
      <c r="V801" s="79"/>
      <c r="W801" s="79"/>
      <c r="Z801" s="130"/>
      <c r="AB801" s="106"/>
    </row>
    <row r="802">
      <c r="C802" s="79"/>
      <c r="D802" s="79"/>
      <c r="E802" s="79"/>
      <c r="M802" s="79"/>
      <c r="R802" s="79"/>
      <c r="S802" s="79"/>
      <c r="V802" s="79"/>
      <c r="W802" s="79"/>
      <c r="Z802" s="130"/>
      <c r="AB802" s="106"/>
    </row>
    <row r="803">
      <c r="C803" s="79"/>
      <c r="D803" s="79"/>
      <c r="E803" s="79"/>
      <c r="M803" s="79"/>
      <c r="R803" s="79"/>
      <c r="S803" s="79"/>
      <c r="V803" s="79"/>
      <c r="W803" s="79"/>
      <c r="Z803" s="130"/>
      <c r="AB803" s="106"/>
    </row>
    <row r="804">
      <c r="C804" s="79"/>
      <c r="D804" s="79"/>
      <c r="E804" s="79"/>
      <c r="M804" s="79"/>
      <c r="R804" s="79"/>
      <c r="S804" s="79"/>
      <c r="V804" s="79"/>
      <c r="W804" s="79"/>
      <c r="Z804" s="130"/>
      <c r="AB804" s="106"/>
    </row>
    <row r="805">
      <c r="C805" s="79"/>
      <c r="D805" s="79"/>
      <c r="E805" s="79"/>
      <c r="M805" s="79"/>
      <c r="R805" s="79"/>
      <c r="S805" s="79"/>
      <c r="V805" s="79"/>
      <c r="W805" s="79"/>
      <c r="Z805" s="130"/>
      <c r="AB805" s="106"/>
    </row>
    <row r="806">
      <c r="C806" s="79"/>
      <c r="D806" s="79"/>
      <c r="E806" s="79"/>
      <c r="M806" s="79"/>
      <c r="R806" s="79"/>
      <c r="S806" s="79"/>
      <c r="V806" s="79"/>
      <c r="W806" s="79"/>
      <c r="Z806" s="130"/>
      <c r="AB806" s="106"/>
    </row>
    <row r="807">
      <c r="C807" s="79"/>
      <c r="D807" s="79"/>
      <c r="E807" s="79"/>
      <c r="M807" s="79"/>
      <c r="R807" s="79"/>
      <c r="S807" s="79"/>
      <c r="V807" s="79"/>
      <c r="W807" s="79"/>
      <c r="Z807" s="130"/>
      <c r="AB807" s="106"/>
    </row>
    <row r="808">
      <c r="C808" s="79"/>
      <c r="D808" s="79"/>
      <c r="E808" s="79"/>
      <c r="M808" s="79"/>
      <c r="R808" s="79"/>
      <c r="S808" s="79"/>
      <c r="V808" s="79"/>
      <c r="W808" s="79"/>
      <c r="Z808" s="130"/>
      <c r="AB808" s="106"/>
    </row>
    <row r="809">
      <c r="C809" s="79"/>
      <c r="D809" s="79"/>
      <c r="E809" s="79"/>
      <c r="M809" s="79"/>
      <c r="R809" s="79"/>
      <c r="S809" s="79"/>
      <c r="V809" s="79"/>
      <c r="W809" s="79"/>
      <c r="Z809" s="130"/>
      <c r="AB809" s="106"/>
    </row>
    <row r="810">
      <c r="C810" s="79"/>
      <c r="D810" s="79"/>
      <c r="E810" s="79"/>
      <c r="M810" s="79"/>
      <c r="R810" s="79"/>
      <c r="S810" s="79"/>
      <c r="V810" s="79"/>
      <c r="W810" s="79"/>
      <c r="Z810" s="130"/>
      <c r="AB810" s="106"/>
    </row>
    <row r="811">
      <c r="C811" s="79"/>
      <c r="D811" s="79"/>
      <c r="E811" s="79"/>
      <c r="M811" s="79"/>
      <c r="R811" s="79"/>
      <c r="S811" s="79"/>
      <c r="V811" s="79"/>
      <c r="W811" s="79"/>
      <c r="Z811" s="130"/>
      <c r="AB811" s="106"/>
    </row>
    <row r="812">
      <c r="C812" s="79"/>
      <c r="D812" s="79"/>
      <c r="E812" s="79"/>
      <c r="M812" s="79"/>
      <c r="R812" s="79"/>
      <c r="S812" s="79"/>
      <c r="V812" s="79"/>
      <c r="W812" s="79"/>
      <c r="Z812" s="130"/>
      <c r="AB812" s="106"/>
    </row>
    <row r="813">
      <c r="C813" s="79"/>
      <c r="D813" s="79"/>
      <c r="E813" s="79"/>
      <c r="M813" s="79"/>
      <c r="R813" s="79"/>
      <c r="S813" s="79"/>
      <c r="V813" s="79"/>
      <c r="W813" s="79"/>
      <c r="Z813" s="130"/>
      <c r="AB813" s="106"/>
    </row>
    <row r="814">
      <c r="C814" s="79"/>
      <c r="D814" s="79"/>
      <c r="E814" s="79"/>
      <c r="M814" s="79"/>
      <c r="R814" s="79"/>
      <c r="S814" s="79"/>
      <c r="V814" s="79"/>
      <c r="W814" s="79"/>
      <c r="Z814" s="130"/>
      <c r="AB814" s="106"/>
    </row>
    <row r="815">
      <c r="C815" s="79"/>
      <c r="D815" s="79"/>
      <c r="E815" s="79"/>
      <c r="M815" s="79"/>
      <c r="R815" s="79"/>
      <c r="S815" s="79"/>
      <c r="V815" s="79"/>
      <c r="W815" s="79"/>
      <c r="Z815" s="130"/>
      <c r="AB815" s="106"/>
    </row>
    <row r="816">
      <c r="C816" s="79"/>
      <c r="D816" s="79"/>
      <c r="E816" s="79"/>
      <c r="M816" s="79"/>
      <c r="R816" s="79"/>
      <c r="S816" s="79"/>
      <c r="V816" s="79"/>
      <c r="W816" s="79"/>
      <c r="Z816" s="130"/>
      <c r="AB816" s="106"/>
    </row>
    <row r="817">
      <c r="C817" s="79"/>
      <c r="D817" s="79"/>
      <c r="E817" s="79"/>
      <c r="M817" s="79"/>
      <c r="R817" s="79"/>
      <c r="S817" s="79"/>
      <c r="V817" s="79"/>
      <c r="W817" s="79"/>
      <c r="Z817" s="130"/>
      <c r="AB817" s="106"/>
    </row>
    <row r="818">
      <c r="C818" s="79"/>
      <c r="D818" s="79"/>
      <c r="E818" s="79"/>
      <c r="M818" s="79"/>
      <c r="R818" s="79"/>
      <c r="S818" s="79"/>
      <c r="V818" s="79"/>
      <c r="W818" s="79"/>
      <c r="Z818" s="130"/>
      <c r="AB818" s="106"/>
    </row>
    <row r="819">
      <c r="C819" s="79"/>
      <c r="D819" s="79"/>
      <c r="E819" s="79"/>
      <c r="M819" s="79"/>
      <c r="R819" s="79"/>
      <c r="S819" s="79"/>
      <c r="V819" s="79"/>
      <c r="W819" s="79"/>
      <c r="Z819" s="130"/>
      <c r="AB819" s="106"/>
    </row>
    <row r="820">
      <c r="C820" s="79"/>
      <c r="D820" s="79"/>
      <c r="E820" s="79"/>
      <c r="M820" s="79"/>
      <c r="R820" s="79"/>
      <c r="S820" s="79"/>
      <c r="V820" s="79"/>
      <c r="W820" s="79"/>
      <c r="Z820" s="130"/>
      <c r="AB820" s="106"/>
    </row>
    <row r="821">
      <c r="C821" s="79"/>
      <c r="D821" s="79"/>
      <c r="E821" s="79"/>
      <c r="M821" s="79"/>
      <c r="R821" s="79"/>
      <c r="S821" s="79"/>
      <c r="V821" s="79"/>
      <c r="W821" s="79"/>
      <c r="Z821" s="130"/>
      <c r="AB821" s="106"/>
    </row>
    <row r="822">
      <c r="C822" s="79"/>
      <c r="D822" s="79"/>
      <c r="E822" s="79"/>
      <c r="M822" s="79"/>
      <c r="R822" s="79"/>
      <c r="S822" s="79"/>
      <c r="V822" s="79"/>
      <c r="W822" s="79"/>
      <c r="Z822" s="130"/>
      <c r="AB822" s="106"/>
    </row>
    <row r="823">
      <c r="C823" s="79"/>
      <c r="D823" s="79"/>
      <c r="E823" s="79"/>
      <c r="M823" s="79"/>
      <c r="R823" s="79"/>
      <c r="S823" s="79"/>
      <c r="V823" s="79"/>
      <c r="W823" s="79"/>
      <c r="Z823" s="130"/>
      <c r="AB823" s="106"/>
    </row>
    <row r="824">
      <c r="C824" s="79"/>
      <c r="D824" s="79"/>
      <c r="E824" s="79"/>
      <c r="M824" s="79"/>
      <c r="R824" s="79"/>
      <c r="S824" s="79"/>
      <c r="V824" s="79"/>
      <c r="W824" s="79"/>
      <c r="Z824" s="130"/>
      <c r="AB824" s="106"/>
    </row>
    <row r="825">
      <c r="C825" s="79"/>
      <c r="D825" s="79"/>
      <c r="E825" s="79"/>
      <c r="M825" s="79"/>
      <c r="R825" s="79"/>
      <c r="S825" s="79"/>
      <c r="V825" s="79"/>
      <c r="W825" s="79"/>
      <c r="Z825" s="130"/>
      <c r="AB825" s="106"/>
    </row>
    <row r="826">
      <c r="C826" s="79"/>
      <c r="D826" s="79"/>
      <c r="E826" s="79"/>
      <c r="M826" s="79"/>
      <c r="R826" s="79"/>
      <c r="S826" s="79"/>
      <c r="V826" s="79"/>
      <c r="W826" s="79"/>
      <c r="Z826" s="130"/>
      <c r="AB826" s="106"/>
    </row>
    <row r="827">
      <c r="C827" s="79"/>
      <c r="D827" s="79"/>
      <c r="E827" s="79"/>
      <c r="M827" s="79"/>
      <c r="R827" s="79"/>
      <c r="S827" s="79"/>
      <c r="V827" s="79"/>
      <c r="W827" s="79"/>
      <c r="Z827" s="130"/>
      <c r="AB827" s="106"/>
    </row>
    <row r="828">
      <c r="C828" s="79"/>
      <c r="D828" s="79"/>
      <c r="E828" s="79"/>
      <c r="M828" s="79"/>
      <c r="R828" s="79"/>
      <c r="S828" s="79"/>
      <c r="V828" s="79"/>
      <c r="W828" s="79"/>
      <c r="Z828" s="130"/>
      <c r="AB828" s="106"/>
    </row>
    <row r="829">
      <c r="C829" s="79"/>
      <c r="D829" s="79"/>
      <c r="E829" s="79"/>
      <c r="M829" s="79"/>
      <c r="R829" s="79"/>
      <c r="S829" s="79"/>
      <c r="V829" s="79"/>
      <c r="W829" s="79"/>
      <c r="Z829" s="130"/>
      <c r="AB829" s="106"/>
    </row>
    <row r="830">
      <c r="C830" s="79"/>
      <c r="D830" s="79"/>
      <c r="E830" s="79"/>
      <c r="M830" s="79"/>
      <c r="R830" s="79"/>
      <c r="S830" s="79"/>
      <c r="V830" s="79"/>
      <c r="W830" s="79"/>
      <c r="Z830" s="130"/>
      <c r="AB830" s="106"/>
    </row>
    <row r="831">
      <c r="C831" s="79"/>
      <c r="D831" s="79"/>
      <c r="E831" s="79"/>
      <c r="M831" s="79"/>
      <c r="R831" s="79"/>
      <c r="S831" s="79"/>
      <c r="V831" s="79"/>
      <c r="W831" s="79"/>
      <c r="Z831" s="130"/>
      <c r="AB831" s="106"/>
    </row>
    <row r="832">
      <c r="C832" s="79"/>
      <c r="D832" s="79"/>
      <c r="E832" s="79"/>
      <c r="M832" s="79"/>
      <c r="R832" s="79"/>
      <c r="S832" s="79"/>
      <c r="V832" s="79"/>
      <c r="W832" s="79"/>
      <c r="Z832" s="130"/>
      <c r="AB832" s="106"/>
    </row>
    <row r="833">
      <c r="C833" s="79"/>
      <c r="D833" s="79"/>
      <c r="E833" s="79"/>
      <c r="M833" s="79"/>
      <c r="R833" s="79"/>
      <c r="S833" s="79"/>
      <c r="V833" s="79"/>
      <c r="W833" s="79"/>
      <c r="Z833" s="130"/>
      <c r="AB833" s="106"/>
    </row>
    <row r="834">
      <c r="C834" s="79"/>
      <c r="D834" s="79"/>
      <c r="E834" s="79"/>
      <c r="M834" s="79"/>
      <c r="R834" s="79"/>
      <c r="S834" s="79"/>
      <c r="V834" s="79"/>
      <c r="W834" s="79"/>
      <c r="Z834" s="130"/>
      <c r="AB834" s="106"/>
    </row>
    <row r="835">
      <c r="C835" s="79"/>
      <c r="D835" s="79"/>
      <c r="E835" s="79"/>
      <c r="M835" s="79"/>
      <c r="R835" s="79"/>
      <c r="S835" s="79"/>
      <c r="V835" s="79"/>
      <c r="W835" s="79"/>
      <c r="Z835" s="130"/>
      <c r="AB835" s="106"/>
    </row>
    <row r="836">
      <c r="C836" s="79"/>
      <c r="D836" s="79"/>
      <c r="E836" s="79"/>
      <c r="M836" s="79"/>
      <c r="R836" s="79"/>
      <c r="S836" s="79"/>
      <c r="V836" s="79"/>
      <c r="W836" s="79"/>
      <c r="Z836" s="130"/>
      <c r="AB836" s="106"/>
    </row>
    <row r="837">
      <c r="C837" s="79"/>
      <c r="D837" s="79"/>
      <c r="E837" s="79"/>
      <c r="M837" s="79"/>
      <c r="R837" s="79"/>
      <c r="S837" s="79"/>
      <c r="V837" s="79"/>
      <c r="W837" s="79"/>
      <c r="Z837" s="130"/>
      <c r="AB837" s="106"/>
    </row>
    <row r="838">
      <c r="C838" s="79"/>
      <c r="D838" s="79"/>
      <c r="E838" s="79"/>
      <c r="M838" s="79"/>
      <c r="R838" s="79"/>
      <c r="S838" s="79"/>
      <c r="V838" s="79"/>
      <c r="W838" s="79"/>
      <c r="Z838" s="130"/>
      <c r="AB838" s="106"/>
    </row>
    <row r="839">
      <c r="C839" s="79"/>
      <c r="D839" s="79"/>
      <c r="E839" s="79"/>
      <c r="M839" s="79"/>
      <c r="R839" s="79"/>
      <c r="S839" s="79"/>
      <c r="V839" s="79"/>
      <c r="W839" s="79"/>
      <c r="Z839" s="130"/>
      <c r="AB839" s="106"/>
    </row>
    <row r="840">
      <c r="C840" s="79"/>
      <c r="D840" s="79"/>
      <c r="E840" s="79"/>
      <c r="M840" s="79"/>
      <c r="R840" s="79"/>
      <c r="S840" s="79"/>
      <c r="V840" s="79"/>
      <c r="W840" s="79"/>
      <c r="Z840" s="130"/>
      <c r="AB840" s="106"/>
    </row>
    <row r="841">
      <c r="C841" s="79"/>
      <c r="D841" s="79"/>
      <c r="E841" s="79"/>
      <c r="M841" s="79"/>
      <c r="R841" s="79"/>
      <c r="S841" s="79"/>
      <c r="V841" s="79"/>
      <c r="W841" s="79"/>
      <c r="Z841" s="130"/>
      <c r="AB841" s="106"/>
    </row>
    <row r="842">
      <c r="C842" s="79"/>
      <c r="D842" s="79"/>
      <c r="E842" s="79"/>
      <c r="M842" s="79"/>
      <c r="R842" s="79"/>
      <c r="S842" s="79"/>
      <c r="V842" s="79"/>
      <c r="W842" s="79"/>
      <c r="Z842" s="130"/>
      <c r="AB842" s="106"/>
    </row>
    <row r="843">
      <c r="C843" s="79"/>
      <c r="D843" s="79"/>
      <c r="E843" s="79"/>
      <c r="M843" s="79"/>
      <c r="R843" s="79"/>
      <c r="S843" s="79"/>
      <c r="V843" s="79"/>
      <c r="W843" s="79"/>
      <c r="Z843" s="130"/>
      <c r="AB843" s="106"/>
    </row>
    <row r="844">
      <c r="C844" s="79"/>
      <c r="D844" s="79"/>
      <c r="E844" s="79"/>
      <c r="M844" s="79"/>
      <c r="R844" s="79"/>
      <c r="S844" s="79"/>
      <c r="V844" s="79"/>
      <c r="W844" s="79"/>
      <c r="Z844" s="130"/>
      <c r="AB844" s="106"/>
    </row>
    <row r="845">
      <c r="C845" s="79"/>
      <c r="D845" s="79"/>
      <c r="E845" s="79"/>
      <c r="M845" s="79"/>
      <c r="R845" s="79"/>
      <c r="S845" s="79"/>
      <c r="V845" s="79"/>
      <c r="W845" s="79"/>
      <c r="Z845" s="130"/>
      <c r="AB845" s="106"/>
    </row>
    <row r="846">
      <c r="C846" s="79"/>
      <c r="D846" s="79"/>
      <c r="E846" s="79"/>
      <c r="M846" s="79"/>
      <c r="R846" s="79"/>
      <c r="S846" s="79"/>
      <c r="V846" s="79"/>
      <c r="W846" s="79"/>
      <c r="Z846" s="130"/>
      <c r="AB846" s="106"/>
    </row>
    <row r="847">
      <c r="C847" s="79"/>
      <c r="D847" s="79"/>
      <c r="E847" s="79"/>
      <c r="M847" s="79"/>
      <c r="R847" s="79"/>
      <c r="S847" s="79"/>
      <c r="V847" s="79"/>
      <c r="W847" s="79"/>
      <c r="Z847" s="130"/>
      <c r="AB847" s="106"/>
    </row>
    <row r="848">
      <c r="C848" s="79"/>
      <c r="D848" s="79"/>
      <c r="E848" s="79"/>
      <c r="M848" s="79"/>
      <c r="R848" s="79"/>
      <c r="S848" s="79"/>
      <c r="V848" s="79"/>
      <c r="W848" s="79"/>
      <c r="Z848" s="130"/>
      <c r="AB848" s="106"/>
    </row>
    <row r="849">
      <c r="C849" s="79"/>
      <c r="D849" s="79"/>
      <c r="E849" s="79"/>
      <c r="M849" s="79"/>
      <c r="R849" s="79"/>
      <c r="S849" s="79"/>
      <c r="V849" s="79"/>
      <c r="W849" s="79"/>
      <c r="Z849" s="130"/>
      <c r="AB849" s="106"/>
    </row>
    <row r="850">
      <c r="C850" s="79"/>
      <c r="D850" s="79"/>
      <c r="E850" s="79"/>
      <c r="M850" s="79"/>
      <c r="R850" s="79"/>
      <c r="S850" s="79"/>
      <c r="V850" s="79"/>
      <c r="W850" s="79"/>
      <c r="Z850" s="130"/>
      <c r="AB850" s="106"/>
    </row>
    <row r="851">
      <c r="C851" s="79"/>
      <c r="D851" s="79"/>
      <c r="E851" s="79"/>
      <c r="M851" s="79"/>
      <c r="R851" s="79"/>
      <c r="S851" s="79"/>
      <c r="V851" s="79"/>
      <c r="W851" s="79"/>
      <c r="Z851" s="130"/>
      <c r="AB851" s="106"/>
    </row>
    <row r="852">
      <c r="C852" s="79"/>
      <c r="D852" s="79"/>
      <c r="E852" s="79"/>
      <c r="M852" s="79"/>
      <c r="R852" s="79"/>
      <c r="S852" s="79"/>
      <c r="V852" s="79"/>
      <c r="W852" s="79"/>
      <c r="Z852" s="130"/>
      <c r="AB852" s="106"/>
    </row>
    <row r="853">
      <c r="C853" s="79"/>
      <c r="D853" s="79"/>
      <c r="E853" s="79"/>
      <c r="M853" s="79"/>
      <c r="R853" s="79"/>
      <c r="S853" s="79"/>
      <c r="V853" s="79"/>
      <c r="W853" s="79"/>
      <c r="Z853" s="130"/>
      <c r="AB853" s="106"/>
    </row>
    <row r="854">
      <c r="C854" s="79"/>
      <c r="D854" s="79"/>
      <c r="E854" s="79"/>
      <c r="M854" s="79"/>
      <c r="R854" s="79"/>
      <c r="S854" s="79"/>
      <c r="V854" s="79"/>
      <c r="W854" s="79"/>
      <c r="Z854" s="130"/>
      <c r="AB854" s="106"/>
    </row>
    <row r="855">
      <c r="C855" s="79"/>
      <c r="D855" s="79"/>
      <c r="E855" s="79"/>
      <c r="M855" s="79"/>
      <c r="R855" s="79"/>
      <c r="S855" s="79"/>
      <c r="V855" s="79"/>
      <c r="W855" s="79"/>
      <c r="Z855" s="130"/>
      <c r="AB855" s="106"/>
    </row>
    <row r="856">
      <c r="C856" s="79"/>
      <c r="D856" s="79"/>
      <c r="E856" s="79"/>
      <c r="M856" s="79"/>
      <c r="R856" s="79"/>
      <c r="S856" s="79"/>
      <c r="V856" s="79"/>
      <c r="W856" s="79"/>
      <c r="Z856" s="130"/>
      <c r="AB856" s="106"/>
    </row>
    <row r="857">
      <c r="C857" s="79"/>
      <c r="D857" s="79"/>
      <c r="E857" s="79"/>
      <c r="M857" s="79"/>
      <c r="R857" s="79"/>
      <c r="S857" s="79"/>
      <c r="V857" s="79"/>
      <c r="W857" s="79"/>
      <c r="Z857" s="130"/>
      <c r="AB857" s="106"/>
    </row>
    <row r="858">
      <c r="C858" s="79"/>
      <c r="D858" s="79"/>
      <c r="E858" s="79"/>
      <c r="M858" s="79"/>
      <c r="R858" s="79"/>
      <c r="S858" s="79"/>
      <c r="V858" s="79"/>
      <c r="W858" s="79"/>
      <c r="Z858" s="130"/>
      <c r="AB858" s="106"/>
    </row>
    <row r="859">
      <c r="C859" s="79"/>
      <c r="D859" s="79"/>
      <c r="E859" s="79"/>
      <c r="M859" s="79"/>
      <c r="R859" s="79"/>
      <c r="S859" s="79"/>
      <c r="V859" s="79"/>
      <c r="W859" s="79"/>
      <c r="Z859" s="130"/>
      <c r="AB859" s="106"/>
    </row>
    <row r="860">
      <c r="C860" s="79"/>
      <c r="D860" s="79"/>
      <c r="E860" s="79"/>
      <c r="M860" s="79"/>
      <c r="R860" s="79"/>
      <c r="S860" s="79"/>
      <c r="V860" s="79"/>
      <c r="W860" s="79"/>
      <c r="Z860" s="130"/>
      <c r="AB860" s="106"/>
    </row>
    <row r="861">
      <c r="C861" s="79"/>
      <c r="D861" s="79"/>
      <c r="E861" s="79"/>
      <c r="M861" s="79"/>
      <c r="R861" s="79"/>
      <c r="S861" s="79"/>
      <c r="V861" s="79"/>
      <c r="W861" s="79"/>
      <c r="Z861" s="130"/>
      <c r="AB861" s="106"/>
    </row>
    <row r="862">
      <c r="C862" s="79"/>
      <c r="D862" s="79"/>
      <c r="E862" s="79"/>
      <c r="M862" s="79"/>
      <c r="R862" s="79"/>
      <c r="S862" s="79"/>
      <c r="V862" s="79"/>
      <c r="W862" s="79"/>
      <c r="Z862" s="130"/>
      <c r="AB862" s="106"/>
    </row>
    <row r="863">
      <c r="C863" s="79"/>
      <c r="D863" s="79"/>
      <c r="E863" s="79"/>
      <c r="M863" s="79"/>
      <c r="R863" s="79"/>
      <c r="S863" s="79"/>
      <c r="V863" s="79"/>
      <c r="W863" s="79"/>
      <c r="Z863" s="130"/>
      <c r="AB863" s="106"/>
    </row>
    <row r="864">
      <c r="C864" s="79"/>
      <c r="D864" s="79"/>
      <c r="E864" s="79"/>
      <c r="M864" s="79"/>
      <c r="R864" s="79"/>
      <c r="S864" s="79"/>
      <c r="V864" s="79"/>
      <c r="W864" s="79"/>
      <c r="Z864" s="130"/>
      <c r="AB864" s="106"/>
    </row>
    <row r="865">
      <c r="C865" s="79"/>
      <c r="D865" s="79"/>
      <c r="E865" s="79"/>
      <c r="M865" s="79"/>
      <c r="R865" s="79"/>
      <c r="S865" s="79"/>
      <c r="V865" s="79"/>
      <c r="W865" s="79"/>
      <c r="Z865" s="130"/>
      <c r="AB865" s="106"/>
    </row>
    <row r="866">
      <c r="C866" s="79"/>
      <c r="D866" s="79"/>
      <c r="E866" s="79"/>
      <c r="M866" s="79"/>
      <c r="R866" s="79"/>
      <c r="S866" s="79"/>
      <c r="V866" s="79"/>
      <c r="W866" s="79"/>
      <c r="Z866" s="130"/>
      <c r="AB866" s="106"/>
    </row>
    <row r="867">
      <c r="C867" s="79"/>
      <c r="D867" s="79"/>
      <c r="E867" s="79"/>
      <c r="M867" s="79"/>
      <c r="R867" s="79"/>
      <c r="S867" s="79"/>
      <c r="V867" s="79"/>
      <c r="W867" s="79"/>
      <c r="Z867" s="130"/>
      <c r="AB867" s="106"/>
    </row>
    <row r="868">
      <c r="C868" s="79"/>
      <c r="D868" s="79"/>
      <c r="E868" s="79"/>
      <c r="M868" s="79"/>
      <c r="R868" s="79"/>
      <c r="S868" s="79"/>
      <c r="V868" s="79"/>
      <c r="W868" s="79"/>
      <c r="Z868" s="130"/>
      <c r="AB868" s="106"/>
    </row>
    <row r="869">
      <c r="C869" s="79"/>
      <c r="D869" s="79"/>
      <c r="E869" s="79"/>
      <c r="M869" s="79"/>
      <c r="R869" s="79"/>
      <c r="S869" s="79"/>
      <c r="V869" s="79"/>
      <c r="W869" s="79"/>
      <c r="Z869" s="130"/>
      <c r="AB869" s="106"/>
    </row>
    <row r="870">
      <c r="C870" s="79"/>
      <c r="D870" s="79"/>
      <c r="E870" s="79"/>
      <c r="M870" s="79"/>
      <c r="R870" s="79"/>
      <c r="S870" s="79"/>
      <c r="V870" s="79"/>
      <c r="W870" s="79"/>
      <c r="Z870" s="130"/>
      <c r="AB870" s="106"/>
    </row>
    <row r="871">
      <c r="C871" s="79"/>
      <c r="D871" s="79"/>
      <c r="E871" s="79"/>
      <c r="M871" s="79"/>
      <c r="R871" s="79"/>
      <c r="S871" s="79"/>
      <c r="V871" s="79"/>
      <c r="W871" s="79"/>
      <c r="Z871" s="130"/>
      <c r="AB871" s="106"/>
    </row>
    <row r="872">
      <c r="C872" s="79"/>
      <c r="D872" s="79"/>
      <c r="E872" s="79"/>
      <c r="M872" s="79"/>
      <c r="R872" s="79"/>
      <c r="S872" s="79"/>
      <c r="V872" s="79"/>
      <c r="W872" s="79"/>
      <c r="Z872" s="130"/>
      <c r="AB872" s="106"/>
    </row>
    <row r="873">
      <c r="C873" s="79"/>
      <c r="D873" s="79"/>
      <c r="E873" s="79"/>
      <c r="M873" s="79"/>
      <c r="R873" s="79"/>
      <c r="S873" s="79"/>
      <c r="V873" s="79"/>
      <c r="W873" s="79"/>
      <c r="Z873" s="130"/>
      <c r="AB873" s="106"/>
    </row>
    <row r="874">
      <c r="C874" s="79"/>
      <c r="D874" s="79"/>
      <c r="E874" s="79"/>
      <c r="M874" s="79"/>
      <c r="R874" s="79"/>
      <c r="S874" s="79"/>
      <c r="V874" s="79"/>
      <c r="W874" s="79"/>
      <c r="Z874" s="130"/>
      <c r="AB874" s="106"/>
    </row>
    <row r="875">
      <c r="C875" s="79"/>
      <c r="D875" s="79"/>
      <c r="E875" s="79"/>
      <c r="M875" s="79"/>
      <c r="R875" s="79"/>
      <c r="S875" s="79"/>
      <c r="V875" s="79"/>
      <c r="W875" s="79"/>
      <c r="Z875" s="130"/>
      <c r="AB875" s="106"/>
    </row>
    <row r="876">
      <c r="C876" s="79"/>
      <c r="D876" s="79"/>
      <c r="E876" s="79"/>
      <c r="M876" s="79"/>
      <c r="R876" s="79"/>
      <c r="S876" s="79"/>
      <c r="V876" s="79"/>
      <c r="W876" s="79"/>
      <c r="Z876" s="130"/>
      <c r="AB876" s="106"/>
    </row>
    <row r="877">
      <c r="C877" s="79"/>
      <c r="D877" s="79"/>
      <c r="E877" s="79"/>
      <c r="M877" s="79"/>
      <c r="R877" s="79"/>
      <c r="S877" s="79"/>
      <c r="V877" s="79"/>
      <c r="W877" s="79"/>
      <c r="Z877" s="130"/>
      <c r="AB877" s="106"/>
    </row>
    <row r="878">
      <c r="C878" s="79"/>
      <c r="D878" s="79"/>
      <c r="E878" s="79"/>
      <c r="M878" s="79"/>
      <c r="R878" s="79"/>
      <c r="S878" s="79"/>
      <c r="V878" s="79"/>
      <c r="W878" s="79"/>
      <c r="Z878" s="130"/>
      <c r="AB878" s="106"/>
    </row>
    <row r="879">
      <c r="C879" s="79"/>
      <c r="D879" s="79"/>
      <c r="E879" s="79"/>
      <c r="M879" s="79"/>
      <c r="R879" s="79"/>
      <c r="S879" s="79"/>
      <c r="V879" s="79"/>
      <c r="W879" s="79"/>
      <c r="Z879" s="130"/>
      <c r="AB879" s="106"/>
    </row>
    <row r="880">
      <c r="C880" s="79"/>
      <c r="D880" s="79"/>
      <c r="E880" s="79"/>
      <c r="M880" s="79"/>
      <c r="R880" s="79"/>
      <c r="S880" s="79"/>
      <c r="V880" s="79"/>
      <c r="W880" s="79"/>
      <c r="Z880" s="130"/>
      <c r="AB880" s="106"/>
    </row>
    <row r="881">
      <c r="C881" s="79"/>
      <c r="D881" s="79"/>
      <c r="E881" s="79"/>
      <c r="M881" s="79"/>
      <c r="R881" s="79"/>
      <c r="S881" s="79"/>
      <c r="V881" s="79"/>
      <c r="W881" s="79"/>
      <c r="Z881" s="130"/>
      <c r="AB881" s="106"/>
    </row>
    <row r="882">
      <c r="C882" s="79"/>
      <c r="D882" s="79"/>
      <c r="E882" s="79"/>
      <c r="M882" s="79"/>
      <c r="R882" s="79"/>
      <c r="S882" s="79"/>
      <c r="V882" s="79"/>
      <c r="W882" s="79"/>
      <c r="Z882" s="130"/>
      <c r="AB882" s="106"/>
    </row>
    <row r="883">
      <c r="C883" s="79"/>
      <c r="D883" s="79"/>
      <c r="E883" s="79"/>
      <c r="M883" s="79"/>
      <c r="R883" s="79"/>
      <c r="S883" s="79"/>
      <c r="V883" s="79"/>
      <c r="W883" s="79"/>
      <c r="Z883" s="130"/>
      <c r="AB883" s="106"/>
    </row>
    <row r="884">
      <c r="C884" s="79"/>
      <c r="D884" s="79"/>
      <c r="E884" s="79"/>
      <c r="M884" s="79"/>
      <c r="R884" s="79"/>
      <c r="S884" s="79"/>
      <c r="V884" s="79"/>
      <c r="W884" s="79"/>
      <c r="Z884" s="130"/>
      <c r="AB884" s="106"/>
    </row>
    <row r="885">
      <c r="C885" s="79"/>
      <c r="D885" s="79"/>
      <c r="E885" s="79"/>
      <c r="M885" s="79"/>
      <c r="R885" s="79"/>
      <c r="S885" s="79"/>
      <c r="V885" s="79"/>
      <c r="W885" s="79"/>
      <c r="Z885" s="130"/>
      <c r="AB885" s="106"/>
    </row>
    <row r="886">
      <c r="C886" s="79"/>
      <c r="D886" s="79"/>
      <c r="E886" s="79"/>
      <c r="M886" s="79"/>
      <c r="R886" s="79"/>
      <c r="S886" s="79"/>
      <c r="V886" s="79"/>
      <c r="W886" s="79"/>
      <c r="Z886" s="130"/>
      <c r="AB886" s="106"/>
    </row>
    <row r="887">
      <c r="C887" s="79"/>
      <c r="D887" s="79"/>
      <c r="E887" s="79"/>
      <c r="M887" s="79"/>
      <c r="R887" s="79"/>
      <c r="S887" s="79"/>
      <c r="V887" s="79"/>
      <c r="W887" s="79"/>
      <c r="Z887" s="130"/>
      <c r="AB887" s="106"/>
    </row>
    <row r="888">
      <c r="C888" s="79"/>
      <c r="D888" s="79"/>
      <c r="E888" s="79"/>
      <c r="M888" s="79"/>
      <c r="R888" s="79"/>
      <c r="S888" s="79"/>
      <c r="V888" s="79"/>
      <c r="W888" s="79"/>
      <c r="Z888" s="130"/>
      <c r="AB888" s="106"/>
    </row>
    <row r="889">
      <c r="C889" s="79"/>
      <c r="D889" s="79"/>
      <c r="E889" s="79"/>
      <c r="M889" s="79"/>
      <c r="R889" s="79"/>
      <c r="S889" s="79"/>
      <c r="V889" s="79"/>
      <c r="W889" s="79"/>
      <c r="Z889" s="130"/>
      <c r="AB889" s="106"/>
    </row>
    <row r="890">
      <c r="C890" s="79"/>
      <c r="D890" s="79"/>
      <c r="E890" s="79"/>
      <c r="M890" s="79"/>
      <c r="R890" s="79"/>
      <c r="S890" s="79"/>
      <c r="V890" s="79"/>
      <c r="W890" s="79"/>
      <c r="Z890" s="130"/>
      <c r="AB890" s="106"/>
    </row>
    <row r="891">
      <c r="C891" s="79"/>
      <c r="D891" s="79"/>
      <c r="E891" s="79"/>
      <c r="M891" s="79"/>
      <c r="R891" s="79"/>
      <c r="S891" s="79"/>
      <c r="V891" s="79"/>
      <c r="W891" s="79"/>
      <c r="Z891" s="130"/>
      <c r="AB891" s="106"/>
    </row>
    <row r="892">
      <c r="C892" s="79"/>
      <c r="D892" s="79"/>
      <c r="E892" s="79"/>
      <c r="M892" s="79"/>
      <c r="R892" s="79"/>
      <c r="S892" s="79"/>
      <c r="V892" s="79"/>
      <c r="W892" s="79"/>
      <c r="Z892" s="130"/>
      <c r="AB892" s="106"/>
    </row>
    <row r="893">
      <c r="C893" s="79"/>
      <c r="D893" s="79"/>
      <c r="E893" s="79"/>
      <c r="M893" s="79"/>
      <c r="R893" s="79"/>
      <c r="S893" s="79"/>
      <c r="V893" s="79"/>
      <c r="W893" s="79"/>
      <c r="Z893" s="130"/>
      <c r="AB893" s="106"/>
    </row>
    <row r="894">
      <c r="C894" s="79"/>
      <c r="D894" s="79"/>
      <c r="E894" s="79"/>
      <c r="M894" s="79"/>
      <c r="R894" s="79"/>
      <c r="S894" s="79"/>
      <c r="V894" s="79"/>
      <c r="W894" s="79"/>
      <c r="Z894" s="130"/>
      <c r="AB894" s="106"/>
    </row>
    <row r="895">
      <c r="C895" s="79"/>
      <c r="D895" s="79"/>
      <c r="E895" s="79"/>
      <c r="M895" s="79"/>
      <c r="R895" s="79"/>
      <c r="S895" s="79"/>
      <c r="V895" s="79"/>
      <c r="W895" s="79"/>
      <c r="Z895" s="130"/>
      <c r="AB895" s="106"/>
    </row>
    <row r="896">
      <c r="C896" s="79"/>
      <c r="D896" s="79"/>
      <c r="E896" s="79"/>
      <c r="M896" s="79"/>
      <c r="R896" s="79"/>
      <c r="S896" s="79"/>
      <c r="V896" s="79"/>
      <c r="W896" s="79"/>
      <c r="Z896" s="130"/>
      <c r="AB896" s="106"/>
    </row>
    <row r="897">
      <c r="C897" s="79"/>
      <c r="D897" s="79"/>
      <c r="E897" s="79"/>
      <c r="M897" s="79"/>
      <c r="R897" s="79"/>
      <c r="S897" s="79"/>
      <c r="V897" s="79"/>
      <c r="W897" s="79"/>
      <c r="Z897" s="130"/>
      <c r="AB897" s="106"/>
    </row>
    <row r="898">
      <c r="C898" s="79"/>
      <c r="D898" s="79"/>
      <c r="E898" s="79"/>
      <c r="M898" s="79"/>
      <c r="R898" s="79"/>
      <c r="S898" s="79"/>
      <c r="V898" s="79"/>
      <c r="W898" s="79"/>
      <c r="Z898" s="130"/>
      <c r="AB898" s="106"/>
    </row>
    <row r="899">
      <c r="C899" s="79"/>
      <c r="D899" s="79"/>
      <c r="E899" s="79"/>
      <c r="M899" s="79"/>
      <c r="R899" s="79"/>
      <c r="S899" s="79"/>
      <c r="V899" s="79"/>
      <c r="W899" s="79"/>
      <c r="Z899" s="130"/>
      <c r="AB899" s="106"/>
    </row>
    <row r="900">
      <c r="C900" s="79"/>
      <c r="D900" s="79"/>
      <c r="E900" s="79"/>
      <c r="M900" s="79"/>
      <c r="R900" s="79"/>
      <c r="S900" s="79"/>
      <c r="V900" s="79"/>
      <c r="W900" s="79"/>
      <c r="Z900" s="130"/>
      <c r="AB900" s="106"/>
    </row>
    <row r="901">
      <c r="C901" s="79"/>
      <c r="D901" s="79"/>
      <c r="E901" s="79"/>
      <c r="M901" s="79"/>
      <c r="R901" s="79"/>
      <c r="S901" s="79"/>
      <c r="V901" s="79"/>
      <c r="W901" s="79"/>
      <c r="Z901" s="130"/>
      <c r="AB901" s="106"/>
    </row>
    <row r="902">
      <c r="C902" s="79"/>
      <c r="D902" s="79"/>
      <c r="E902" s="79"/>
      <c r="M902" s="79"/>
      <c r="R902" s="79"/>
      <c r="S902" s="79"/>
      <c r="V902" s="79"/>
      <c r="W902" s="79"/>
      <c r="Z902" s="130"/>
      <c r="AB902" s="106"/>
    </row>
    <row r="903">
      <c r="C903" s="79"/>
      <c r="D903" s="79"/>
      <c r="E903" s="79"/>
      <c r="M903" s="79"/>
      <c r="R903" s="79"/>
      <c r="S903" s="79"/>
      <c r="V903" s="79"/>
      <c r="W903" s="79"/>
      <c r="Z903" s="130"/>
      <c r="AB903" s="106"/>
    </row>
    <row r="904">
      <c r="C904" s="79"/>
      <c r="D904" s="79"/>
      <c r="E904" s="79"/>
      <c r="M904" s="79"/>
      <c r="R904" s="79"/>
      <c r="S904" s="79"/>
      <c r="V904" s="79"/>
      <c r="W904" s="79"/>
      <c r="Z904" s="130"/>
      <c r="AB904" s="106"/>
    </row>
    <row r="905">
      <c r="C905" s="79"/>
      <c r="D905" s="79"/>
      <c r="E905" s="79"/>
      <c r="M905" s="79"/>
      <c r="R905" s="79"/>
      <c r="S905" s="79"/>
      <c r="V905" s="79"/>
      <c r="W905" s="79"/>
      <c r="Z905" s="130"/>
      <c r="AB905" s="106"/>
    </row>
    <row r="906">
      <c r="C906" s="79"/>
      <c r="D906" s="79"/>
      <c r="E906" s="79"/>
      <c r="M906" s="79"/>
      <c r="R906" s="79"/>
      <c r="S906" s="79"/>
      <c r="V906" s="79"/>
      <c r="W906" s="79"/>
      <c r="Z906" s="130"/>
      <c r="AB906" s="106"/>
    </row>
    <row r="907">
      <c r="C907" s="79"/>
      <c r="D907" s="79"/>
      <c r="E907" s="79"/>
      <c r="M907" s="79"/>
      <c r="R907" s="79"/>
      <c r="S907" s="79"/>
      <c r="V907" s="79"/>
      <c r="W907" s="79"/>
      <c r="Z907" s="130"/>
      <c r="AB907" s="106"/>
    </row>
    <row r="908">
      <c r="C908" s="79"/>
      <c r="D908" s="79"/>
      <c r="E908" s="79"/>
      <c r="M908" s="79"/>
      <c r="R908" s="79"/>
      <c r="S908" s="79"/>
      <c r="V908" s="79"/>
      <c r="W908" s="79"/>
      <c r="Z908" s="130"/>
      <c r="AB908" s="106"/>
    </row>
    <row r="909">
      <c r="C909" s="79"/>
      <c r="D909" s="79"/>
      <c r="E909" s="79"/>
      <c r="M909" s="79"/>
      <c r="R909" s="79"/>
      <c r="S909" s="79"/>
      <c r="V909" s="79"/>
      <c r="W909" s="79"/>
      <c r="Z909" s="130"/>
      <c r="AB909" s="106"/>
    </row>
    <row r="910">
      <c r="C910" s="79"/>
      <c r="D910" s="79"/>
      <c r="E910" s="79"/>
      <c r="M910" s="79"/>
      <c r="R910" s="79"/>
      <c r="S910" s="79"/>
      <c r="V910" s="79"/>
      <c r="W910" s="79"/>
      <c r="Z910" s="130"/>
      <c r="AB910" s="106"/>
    </row>
    <row r="911">
      <c r="C911" s="79"/>
      <c r="D911" s="79"/>
      <c r="E911" s="79"/>
      <c r="M911" s="79"/>
      <c r="R911" s="79"/>
      <c r="S911" s="79"/>
      <c r="V911" s="79"/>
      <c r="W911" s="79"/>
      <c r="Z911" s="130"/>
      <c r="AB911" s="106"/>
    </row>
    <row r="912">
      <c r="C912" s="79"/>
      <c r="D912" s="79"/>
      <c r="E912" s="79"/>
      <c r="M912" s="79"/>
      <c r="R912" s="79"/>
      <c r="S912" s="79"/>
      <c r="V912" s="79"/>
      <c r="W912" s="79"/>
      <c r="Z912" s="130"/>
      <c r="AB912" s="106"/>
    </row>
    <row r="913">
      <c r="C913" s="79"/>
      <c r="D913" s="79"/>
      <c r="E913" s="79"/>
      <c r="M913" s="79"/>
      <c r="R913" s="79"/>
      <c r="S913" s="79"/>
      <c r="V913" s="79"/>
      <c r="W913" s="79"/>
      <c r="Z913" s="130"/>
      <c r="AB913" s="106"/>
    </row>
    <row r="914">
      <c r="C914" s="79"/>
      <c r="D914" s="79"/>
      <c r="E914" s="79"/>
      <c r="M914" s="79"/>
      <c r="R914" s="79"/>
      <c r="S914" s="79"/>
      <c r="V914" s="79"/>
      <c r="W914" s="79"/>
      <c r="Z914" s="130"/>
      <c r="AB914" s="106"/>
    </row>
    <row r="915">
      <c r="C915" s="79"/>
      <c r="D915" s="79"/>
      <c r="E915" s="79"/>
      <c r="M915" s="79"/>
      <c r="R915" s="79"/>
      <c r="S915" s="79"/>
      <c r="V915" s="79"/>
      <c r="W915" s="79"/>
      <c r="Z915" s="130"/>
      <c r="AB915" s="106"/>
    </row>
    <row r="916">
      <c r="C916" s="79"/>
      <c r="D916" s="79"/>
      <c r="E916" s="79"/>
      <c r="M916" s="79"/>
      <c r="R916" s="79"/>
      <c r="S916" s="79"/>
      <c r="V916" s="79"/>
      <c r="W916" s="79"/>
      <c r="Z916" s="130"/>
      <c r="AB916" s="106"/>
    </row>
    <row r="917">
      <c r="C917" s="79"/>
      <c r="D917" s="79"/>
      <c r="E917" s="79"/>
      <c r="M917" s="79"/>
      <c r="R917" s="79"/>
      <c r="S917" s="79"/>
      <c r="V917" s="79"/>
      <c r="W917" s="79"/>
      <c r="Z917" s="130"/>
      <c r="AB917" s="106"/>
    </row>
    <row r="918">
      <c r="C918" s="79"/>
      <c r="D918" s="79"/>
      <c r="E918" s="79"/>
      <c r="M918" s="79"/>
      <c r="R918" s="79"/>
      <c r="S918" s="79"/>
      <c r="V918" s="79"/>
      <c r="W918" s="79"/>
      <c r="Z918" s="130"/>
      <c r="AB918" s="106"/>
    </row>
    <row r="919">
      <c r="C919" s="79"/>
      <c r="D919" s="79"/>
      <c r="E919" s="79"/>
      <c r="M919" s="79"/>
      <c r="R919" s="79"/>
      <c r="S919" s="79"/>
      <c r="V919" s="79"/>
      <c r="W919" s="79"/>
      <c r="Z919" s="130"/>
      <c r="AB919" s="106"/>
    </row>
    <row r="920">
      <c r="C920" s="79"/>
      <c r="D920" s="79"/>
      <c r="E920" s="79"/>
      <c r="M920" s="79"/>
      <c r="R920" s="79"/>
      <c r="S920" s="79"/>
      <c r="V920" s="79"/>
      <c r="W920" s="79"/>
      <c r="Z920" s="130"/>
      <c r="AB920" s="106"/>
    </row>
    <row r="921">
      <c r="C921" s="79"/>
      <c r="D921" s="79"/>
      <c r="E921" s="79"/>
      <c r="M921" s="79"/>
      <c r="R921" s="79"/>
      <c r="S921" s="79"/>
      <c r="V921" s="79"/>
      <c r="W921" s="79"/>
      <c r="Z921" s="130"/>
      <c r="AB921" s="106"/>
    </row>
    <row r="922">
      <c r="C922" s="79"/>
      <c r="D922" s="79"/>
      <c r="E922" s="79"/>
      <c r="M922" s="79"/>
      <c r="R922" s="79"/>
      <c r="S922" s="79"/>
      <c r="V922" s="79"/>
      <c r="W922" s="79"/>
      <c r="Z922" s="130"/>
      <c r="AB922" s="106"/>
    </row>
    <row r="923">
      <c r="C923" s="79"/>
      <c r="D923" s="79"/>
      <c r="E923" s="79"/>
      <c r="M923" s="79"/>
      <c r="R923" s="79"/>
      <c r="S923" s="79"/>
      <c r="V923" s="79"/>
      <c r="W923" s="79"/>
      <c r="Z923" s="130"/>
      <c r="AB923" s="106"/>
    </row>
    <row r="924">
      <c r="C924" s="79"/>
      <c r="D924" s="79"/>
      <c r="E924" s="79"/>
      <c r="M924" s="79"/>
      <c r="R924" s="79"/>
      <c r="S924" s="79"/>
      <c r="V924" s="79"/>
      <c r="W924" s="79"/>
      <c r="Z924" s="130"/>
      <c r="AB924" s="106"/>
    </row>
    <row r="925">
      <c r="C925" s="79"/>
      <c r="D925" s="79"/>
      <c r="E925" s="79"/>
      <c r="M925" s="79"/>
      <c r="R925" s="79"/>
      <c r="S925" s="79"/>
      <c r="V925" s="79"/>
      <c r="W925" s="79"/>
      <c r="Z925" s="130"/>
      <c r="AB925" s="106"/>
    </row>
    <row r="926">
      <c r="C926" s="79"/>
      <c r="D926" s="79"/>
      <c r="E926" s="79"/>
      <c r="M926" s="79"/>
      <c r="R926" s="79"/>
      <c r="S926" s="79"/>
      <c r="V926" s="79"/>
      <c r="W926" s="79"/>
      <c r="Z926" s="130"/>
      <c r="AB926" s="106"/>
    </row>
    <row r="927">
      <c r="C927" s="79"/>
      <c r="D927" s="79"/>
      <c r="E927" s="79"/>
      <c r="M927" s="79"/>
      <c r="R927" s="79"/>
      <c r="S927" s="79"/>
      <c r="V927" s="79"/>
      <c r="W927" s="79"/>
      <c r="Z927" s="130"/>
      <c r="AB927" s="106"/>
    </row>
    <row r="928">
      <c r="C928" s="79"/>
      <c r="D928" s="79"/>
      <c r="E928" s="79"/>
      <c r="M928" s="79"/>
      <c r="R928" s="79"/>
      <c r="S928" s="79"/>
      <c r="V928" s="79"/>
      <c r="W928" s="79"/>
      <c r="Z928" s="130"/>
      <c r="AB928" s="106"/>
    </row>
    <row r="929">
      <c r="C929" s="79"/>
      <c r="D929" s="79"/>
      <c r="E929" s="79"/>
      <c r="M929" s="79"/>
      <c r="R929" s="79"/>
      <c r="S929" s="79"/>
      <c r="V929" s="79"/>
      <c r="W929" s="79"/>
      <c r="Z929" s="130"/>
      <c r="AB929" s="106"/>
    </row>
    <row r="930">
      <c r="C930" s="79"/>
      <c r="D930" s="79"/>
      <c r="E930" s="79"/>
      <c r="M930" s="79"/>
      <c r="R930" s="79"/>
      <c r="S930" s="79"/>
      <c r="V930" s="79"/>
      <c r="W930" s="79"/>
      <c r="Z930" s="130"/>
      <c r="AB930" s="106"/>
    </row>
    <row r="931">
      <c r="C931" s="79"/>
      <c r="D931" s="79"/>
      <c r="E931" s="79"/>
      <c r="M931" s="79"/>
      <c r="R931" s="79"/>
      <c r="S931" s="79"/>
      <c r="V931" s="79"/>
      <c r="W931" s="79"/>
      <c r="Z931" s="130"/>
      <c r="AB931" s="106"/>
    </row>
    <row r="932">
      <c r="C932" s="79"/>
      <c r="D932" s="79"/>
      <c r="E932" s="79"/>
      <c r="M932" s="79"/>
      <c r="R932" s="79"/>
      <c r="S932" s="79"/>
      <c r="V932" s="79"/>
      <c r="W932" s="79"/>
      <c r="Z932" s="130"/>
      <c r="AB932" s="106"/>
    </row>
    <row r="933">
      <c r="C933" s="79"/>
      <c r="D933" s="79"/>
      <c r="E933" s="79"/>
      <c r="M933" s="79"/>
      <c r="R933" s="79"/>
      <c r="S933" s="79"/>
      <c r="V933" s="79"/>
      <c r="W933" s="79"/>
      <c r="Z933" s="130"/>
      <c r="AB933" s="106"/>
    </row>
    <row r="934">
      <c r="C934" s="79"/>
      <c r="D934" s="79"/>
      <c r="E934" s="79"/>
      <c r="M934" s="79"/>
      <c r="R934" s="79"/>
      <c r="S934" s="79"/>
      <c r="V934" s="79"/>
      <c r="W934" s="79"/>
      <c r="Z934" s="130"/>
      <c r="AB934" s="106"/>
    </row>
    <row r="935">
      <c r="C935" s="79"/>
      <c r="D935" s="79"/>
      <c r="E935" s="79"/>
      <c r="M935" s="79"/>
      <c r="R935" s="79"/>
      <c r="S935" s="79"/>
      <c r="V935" s="79"/>
      <c r="W935" s="79"/>
      <c r="Z935" s="130"/>
      <c r="AB935" s="106"/>
    </row>
    <row r="936">
      <c r="C936" s="79"/>
      <c r="D936" s="79"/>
      <c r="E936" s="79"/>
      <c r="M936" s="79"/>
      <c r="R936" s="79"/>
      <c r="S936" s="79"/>
      <c r="V936" s="79"/>
      <c r="W936" s="79"/>
      <c r="Z936" s="130"/>
      <c r="AB936" s="106"/>
    </row>
    <row r="937">
      <c r="C937" s="79"/>
      <c r="D937" s="79"/>
      <c r="E937" s="79"/>
      <c r="M937" s="79"/>
      <c r="R937" s="79"/>
      <c r="S937" s="79"/>
      <c r="V937" s="79"/>
      <c r="W937" s="79"/>
      <c r="Z937" s="130"/>
      <c r="AB937" s="106"/>
    </row>
    <row r="938">
      <c r="C938" s="79"/>
      <c r="D938" s="79"/>
      <c r="E938" s="79"/>
      <c r="M938" s="79"/>
      <c r="R938" s="79"/>
      <c r="S938" s="79"/>
      <c r="V938" s="79"/>
      <c r="W938" s="79"/>
      <c r="Z938" s="130"/>
      <c r="AB938" s="106"/>
    </row>
    <row r="939">
      <c r="C939" s="79"/>
      <c r="D939" s="79"/>
      <c r="E939" s="79"/>
      <c r="M939" s="79"/>
      <c r="R939" s="79"/>
      <c r="S939" s="79"/>
      <c r="V939" s="79"/>
      <c r="W939" s="79"/>
      <c r="Z939" s="130"/>
      <c r="AB939" s="106"/>
    </row>
    <row r="940">
      <c r="C940" s="79"/>
      <c r="D940" s="79"/>
      <c r="E940" s="79"/>
      <c r="M940" s="79"/>
      <c r="R940" s="79"/>
      <c r="S940" s="79"/>
      <c r="V940" s="79"/>
      <c r="W940" s="79"/>
      <c r="Z940" s="130"/>
      <c r="AB940" s="106"/>
    </row>
    <row r="941">
      <c r="C941" s="79"/>
      <c r="D941" s="79"/>
      <c r="E941" s="79"/>
      <c r="M941" s="79"/>
      <c r="R941" s="79"/>
      <c r="S941" s="79"/>
      <c r="V941" s="79"/>
      <c r="W941" s="79"/>
      <c r="Z941" s="130"/>
      <c r="AB941" s="106"/>
    </row>
    <row r="942">
      <c r="C942" s="79"/>
      <c r="D942" s="79"/>
      <c r="E942" s="79"/>
      <c r="M942" s="79"/>
      <c r="R942" s="79"/>
      <c r="S942" s="79"/>
      <c r="V942" s="79"/>
      <c r="W942" s="79"/>
      <c r="Z942" s="130"/>
      <c r="AB942" s="106"/>
    </row>
    <row r="943">
      <c r="C943" s="79"/>
      <c r="D943" s="79"/>
      <c r="E943" s="79"/>
      <c r="M943" s="79"/>
      <c r="R943" s="79"/>
      <c r="S943" s="79"/>
      <c r="V943" s="79"/>
      <c r="W943" s="79"/>
      <c r="Z943" s="130"/>
      <c r="AB943" s="106"/>
    </row>
    <row r="944">
      <c r="C944" s="79"/>
      <c r="D944" s="79"/>
      <c r="E944" s="79"/>
      <c r="M944" s="79"/>
      <c r="R944" s="79"/>
      <c r="S944" s="79"/>
      <c r="V944" s="79"/>
      <c r="W944" s="79"/>
      <c r="Z944" s="130"/>
      <c r="AB944" s="106"/>
    </row>
    <row r="945">
      <c r="C945" s="79"/>
      <c r="D945" s="79"/>
      <c r="E945" s="79"/>
      <c r="M945" s="79"/>
      <c r="R945" s="79"/>
      <c r="S945" s="79"/>
      <c r="V945" s="79"/>
      <c r="W945" s="79"/>
      <c r="Z945" s="130"/>
      <c r="AB945" s="106"/>
    </row>
    <row r="946">
      <c r="C946" s="79"/>
      <c r="D946" s="79"/>
      <c r="E946" s="79"/>
      <c r="M946" s="79"/>
      <c r="R946" s="79"/>
      <c r="S946" s="79"/>
      <c r="V946" s="79"/>
      <c r="W946" s="79"/>
      <c r="Z946" s="130"/>
      <c r="AB946" s="106"/>
    </row>
    <row r="947">
      <c r="C947" s="79"/>
      <c r="D947" s="79"/>
      <c r="E947" s="79"/>
      <c r="M947" s="79"/>
      <c r="R947" s="79"/>
      <c r="S947" s="79"/>
      <c r="V947" s="79"/>
      <c r="W947" s="79"/>
      <c r="Z947" s="130"/>
      <c r="AB947" s="106"/>
    </row>
    <row r="948">
      <c r="C948" s="79"/>
      <c r="D948" s="79"/>
      <c r="E948" s="79"/>
      <c r="M948" s="79"/>
      <c r="R948" s="79"/>
      <c r="S948" s="79"/>
      <c r="V948" s="79"/>
      <c r="W948" s="79"/>
      <c r="Z948" s="130"/>
      <c r="AB948" s="106"/>
    </row>
    <row r="949">
      <c r="C949" s="79"/>
      <c r="D949" s="79"/>
      <c r="E949" s="79"/>
      <c r="M949" s="79"/>
      <c r="R949" s="79"/>
      <c r="S949" s="79"/>
      <c r="V949" s="79"/>
      <c r="W949" s="79"/>
      <c r="Z949" s="130"/>
      <c r="AB949" s="106"/>
    </row>
    <row r="950">
      <c r="C950" s="79"/>
      <c r="D950" s="79"/>
      <c r="E950" s="79"/>
      <c r="M950" s="79"/>
      <c r="R950" s="79"/>
      <c r="S950" s="79"/>
      <c r="V950" s="79"/>
      <c r="W950" s="79"/>
      <c r="Z950" s="130"/>
      <c r="AB950" s="106"/>
    </row>
    <row r="951">
      <c r="C951" s="79"/>
      <c r="D951" s="79"/>
      <c r="E951" s="79"/>
      <c r="M951" s="79"/>
      <c r="R951" s="79"/>
      <c r="S951" s="79"/>
      <c r="V951" s="79"/>
      <c r="W951" s="79"/>
      <c r="Z951" s="130"/>
      <c r="AB951" s="106"/>
    </row>
    <row r="952">
      <c r="C952" s="79"/>
      <c r="D952" s="79"/>
      <c r="E952" s="79"/>
      <c r="M952" s="79"/>
      <c r="R952" s="79"/>
      <c r="S952" s="79"/>
      <c r="V952" s="79"/>
      <c r="W952" s="79"/>
      <c r="Z952" s="130"/>
      <c r="AB952" s="106"/>
    </row>
    <row r="953">
      <c r="C953" s="79"/>
      <c r="D953" s="79"/>
      <c r="E953" s="79"/>
      <c r="M953" s="79"/>
      <c r="R953" s="79"/>
      <c r="S953" s="79"/>
      <c r="V953" s="79"/>
      <c r="W953" s="79"/>
      <c r="Z953" s="130"/>
      <c r="AB953" s="106"/>
    </row>
    <row r="954">
      <c r="C954" s="79"/>
      <c r="D954" s="79"/>
      <c r="E954" s="79"/>
      <c r="M954" s="79"/>
      <c r="R954" s="79"/>
      <c r="S954" s="79"/>
      <c r="V954" s="79"/>
      <c r="W954" s="79"/>
      <c r="Z954" s="130"/>
      <c r="AB954" s="106"/>
    </row>
    <row r="955">
      <c r="C955" s="79"/>
      <c r="D955" s="79"/>
      <c r="E955" s="79"/>
      <c r="M955" s="79"/>
      <c r="R955" s="79"/>
      <c r="S955" s="79"/>
      <c r="V955" s="79"/>
      <c r="W955" s="79"/>
      <c r="Z955" s="130"/>
      <c r="AB955" s="106"/>
    </row>
    <row r="956">
      <c r="C956" s="79"/>
      <c r="D956" s="79"/>
      <c r="E956" s="79"/>
      <c r="M956" s="79"/>
      <c r="R956" s="79"/>
      <c r="S956" s="79"/>
      <c r="V956" s="79"/>
      <c r="W956" s="79"/>
      <c r="Z956" s="130"/>
      <c r="AB956" s="106"/>
    </row>
    <row r="957">
      <c r="C957" s="79"/>
      <c r="D957" s="79"/>
      <c r="E957" s="79"/>
      <c r="M957" s="79"/>
      <c r="R957" s="79"/>
      <c r="S957" s="79"/>
      <c r="V957" s="79"/>
      <c r="W957" s="79"/>
      <c r="Z957" s="130"/>
      <c r="AB957" s="106"/>
    </row>
    <row r="958">
      <c r="C958" s="79"/>
      <c r="D958" s="79"/>
      <c r="E958" s="79"/>
      <c r="M958" s="79"/>
      <c r="R958" s="79"/>
      <c r="S958" s="79"/>
      <c r="V958" s="79"/>
      <c r="W958" s="79"/>
      <c r="Z958" s="130"/>
      <c r="AB958" s="106"/>
    </row>
    <row r="959">
      <c r="C959" s="79"/>
      <c r="D959" s="79"/>
      <c r="E959" s="79"/>
      <c r="M959" s="79"/>
      <c r="R959" s="79"/>
      <c r="S959" s="79"/>
      <c r="V959" s="79"/>
      <c r="W959" s="79"/>
      <c r="Z959" s="130"/>
      <c r="AB959" s="106"/>
    </row>
    <row r="960">
      <c r="C960" s="79"/>
      <c r="D960" s="79"/>
      <c r="E960" s="79"/>
      <c r="M960" s="79"/>
      <c r="R960" s="79"/>
      <c r="S960" s="79"/>
      <c r="V960" s="79"/>
      <c r="W960" s="79"/>
      <c r="Z960" s="130"/>
      <c r="AB960" s="106"/>
    </row>
    <row r="961">
      <c r="C961" s="79"/>
      <c r="D961" s="79"/>
      <c r="E961" s="79"/>
      <c r="M961" s="79"/>
      <c r="R961" s="79"/>
      <c r="S961" s="79"/>
      <c r="V961" s="79"/>
      <c r="W961" s="79"/>
      <c r="Z961" s="130"/>
      <c r="AB961" s="106"/>
    </row>
    <row r="962">
      <c r="C962" s="79"/>
      <c r="D962" s="79"/>
      <c r="E962" s="79"/>
      <c r="M962" s="79"/>
      <c r="R962" s="79"/>
      <c r="S962" s="79"/>
      <c r="V962" s="79"/>
      <c r="W962" s="79"/>
      <c r="Z962" s="130"/>
      <c r="AB962" s="106"/>
    </row>
    <row r="963">
      <c r="C963" s="79"/>
      <c r="D963" s="79"/>
      <c r="E963" s="79"/>
      <c r="M963" s="79"/>
      <c r="R963" s="79"/>
      <c r="S963" s="79"/>
      <c r="V963" s="79"/>
      <c r="W963" s="79"/>
      <c r="Z963" s="130"/>
      <c r="AB963" s="106"/>
    </row>
    <row r="964">
      <c r="C964" s="79"/>
      <c r="D964" s="79"/>
      <c r="E964" s="79"/>
      <c r="M964" s="79"/>
      <c r="R964" s="79"/>
      <c r="S964" s="79"/>
      <c r="V964" s="79"/>
      <c r="W964" s="79"/>
      <c r="Z964" s="130"/>
      <c r="AB964" s="106"/>
    </row>
    <row r="965">
      <c r="C965" s="79"/>
      <c r="D965" s="79"/>
      <c r="E965" s="79"/>
      <c r="M965" s="79"/>
      <c r="R965" s="79"/>
      <c r="S965" s="79"/>
      <c r="V965" s="79"/>
      <c r="W965" s="79"/>
      <c r="Z965" s="130"/>
      <c r="AB965" s="106"/>
    </row>
    <row r="966">
      <c r="C966" s="79"/>
      <c r="D966" s="79"/>
      <c r="E966" s="79"/>
      <c r="M966" s="79"/>
      <c r="R966" s="79"/>
      <c r="S966" s="79"/>
      <c r="V966" s="79"/>
      <c r="W966" s="79"/>
      <c r="Z966" s="130"/>
      <c r="AB966" s="106"/>
    </row>
    <row r="967">
      <c r="C967" s="79"/>
      <c r="D967" s="79"/>
      <c r="E967" s="79"/>
      <c r="M967" s="79"/>
      <c r="R967" s="79"/>
      <c r="S967" s="79"/>
      <c r="V967" s="79"/>
      <c r="W967" s="79"/>
      <c r="Z967" s="130"/>
      <c r="AB967" s="106"/>
    </row>
    <row r="968">
      <c r="C968" s="79"/>
      <c r="D968" s="79"/>
      <c r="E968" s="79"/>
      <c r="M968" s="79"/>
      <c r="R968" s="79"/>
      <c r="S968" s="79"/>
      <c r="V968" s="79"/>
      <c r="W968" s="79"/>
      <c r="Z968" s="130"/>
      <c r="AB968" s="106"/>
    </row>
    <row r="969">
      <c r="C969" s="79"/>
      <c r="D969" s="79"/>
      <c r="E969" s="79"/>
      <c r="M969" s="79"/>
      <c r="R969" s="79"/>
      <c r="S969" s="79"/>
      <c r="V969" s="79"/>
      <c r="W969" s="79"/>
      <c r="Z969" s="130"/>
      <c r="AB969" s="106"/>
    </row>
  </sheetData>
  <drawing r:id="rId2"/>
  <legacyDrawing r:id="rId3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5" max="5" width="13.5"/>
    <col customWidth="1" min="7" max="7" width="13.25"/>
    <col customWidth="1" min="24" max="24" width="14.63"/>
    <col customWidth="1" min="28" max="28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3</v>
      </c>
      <c r="G1" s="2" t="s">
        <v>203</v>
      </c>
      <c r="H1" s="2" t="s">
        <v>129</v>
      </c>
      <c r="I1" s="2" t="s">
        <v>5</v>
      </c>
      <c r="J1" s="2" t="s">
        <v>204</v>
      </c>
      <c r="K1" s="2" t="s">
        <v>6</v>
      </c>
      <c r="L1" s="2" t="s">
        <v>12</v>
      </c>
      <c r="M1" s="105" t="s">
        <v>40</v>
      </c>
      <c r="N1" s="2" t="s">
        <v>49</v>
      </c>
      <c r="O1" s="2" t="s">
        <v>42</v>
      </c>
      <c r="P1" s="2" t="s">
        <v>121</v>
      </c>
      <c r="Q1" s="2" t="s">
        <v>164</v>
      </c>
      <c r="R1" s="105" t="s">
        <v>9</v>
      </c>
      <c r="S1" s="105" t="s">
        <v>165</v>
      </c>
      <c r="T1" s="2" t="s">
        <v>37</v>
      </c>
      <c r="U1" s="2" t="s">
        <v>10</v>
      </c>
      <c r="V1" s="105" t="s">
        <v>11</v>
      </c>
      <c r="W1" s="105" t="s">
        <v>205</v>
      </c>
      <c r="X1" s="2" t="s">
        <v>206</v>
      </c>
      <c r="Y1" s="3" t="s">
        <v>13</v>
      </c>
      <c r="Z1" s="3" t="s">
        <v>14</v>
      </c>
      <c r="AA1" s="3" t="s">
        <v>15</v>
      </c>
      <c r="AB1" s="106"/>
    </row>
    <row r="2">
      <c r="A2" s="74">
        <v>45334.0</v>
      </c>
      <c r="B2" s="93">
        <f>1231.1-79.64-34.77-129.24-34.82-29.26-16.76-55-28.94-98.43-19.11</f>
        <v>705.13</v>
      </c>
      <c r="C2" s="93"/>
      <c r="D2" s="193"/>
      <c r="E2" s="93"/>
      <c r="F2" s="93">
        <v>180.0</v>
      </c>
      <c r="G2" s="93"/>
      <c r="H2" s="93">
        <v>205.18</v>
      </c>
      <c r="I2" s="180">
        <v>174.83</v>
      </c>
      <c r="J2" s="93"/>
      <c r="K2" s="93"/>
      <c r="L2" s="93"/>
      <c r="M2" s="93"/>
      <c r="N2" s="93">
        <v>444.0</v>
      </c>
      <c r="O2" s="93"/>
      <c r="P2" s="93"/>
      <c r="Q2" s="93"/>
      <c r="R2" s="93"/>
      <c r="S2" s="93"/>
      <c r="T2" s="72"/>
      <c r="U2" s="93"/>
      <c r="V2" s="93">
        <v>57.05</v>
      </c>
      <c r="W2" s="93"/>
      <c r="X2" s="5"/>
      <c r="Y2" s="107">
        <f t="shared" ref="Y2:Y8" si="1">SUM(B2:X2)</f>
        <v>1766.19</v>
      </c>
      <c r="Z2" s="158">
        <v>6262.0</v>
      </c>
      <c r="AA2" s="59">
        <f t="shared" ref="AA2:AA8" si="2">Y2/Z2</f>
        <v>0.2820488662</v>
      </c>
      <c r="AB2" s="109">
        <f t="shared" ref="AB2:AB8" si="3">A2</f>
        <v>45334</v>
      </c>
    </row>
    <row r="3">
      <c r="A3" s="74">
        <v>45335.0</v>
      </c>
      <c r="B3" s="93">
        <f>670.3+240</f>
        <v>910.3</v>
      </c>
      <c r="C3" s="93"/>
      <c r="D3" s="193">
        <f>847.7-130.15</f>
        <v>717.55</v>
      </c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107">
        <f t="shared" si="1"/>
        <v>1627.85</v>
      </c>
      <c r="Z3" s="158">
        <v>5821.0</v>
      </c>
      <c r="AA3" s="59">
        <f t="shared" si="2"/>
        <v>0.2796512627</v>
      </c>
      <c r="AB3" s="109">
        <f t="shared" si="3"/>
        <v>45335</v>
      </c>
    </row>
    <row r="4">
      <c r="A4" s="74">
        <v>45336.0</v>
      </c>
      <c r="B4" s="93">
        <f>2081.96-196.86-56.14-61.39-55-26.86-46.32-397.8-7.37-25.58-43.62-29.26-26.62-33.99-50.74</f>
        <v>1024.41</v>
      </c>
      <c r="C4" s="93">
        <f>555.6-54</f>
        <v>501.6</v>
      </c>
      <c r="D4" s="93">
        <v>511.7</v>
      </c>
      <c r="E4" s="93"/>
      <c r="F4" s="93"/>
      <c r="G4" s="93"/>
      <c r="H4" s="93"/>
      <c r="I4" s="93">
        <f>771.9-198-190</f>
        <v>383.9</v>
      </c>
      <c r="J4" s="93"/>
      <c r="K4" s="93">
        <f>85.4-43.4</f>
        <v>42</v>
      </c>
      <c r="L4" s="93"/>
      <c r="M4" s="93"/>
      <c r="N4" s="93"/>
      <c r="O4" s="93"/>
      <c r="P4" s="93">
        <v>18.5</v>
      </c>
      <c r="Q4" s="93"/>
      <c r="R4" s="93"/>
      <c r="S4" s="93"/>
      <c r="T4" s="160"/>
      <c r="U4" s="93">
        <v>117.85</v>
      </c>
      <c r="V4" s="93">
        <v>57.05</v>
      </c>
      <c r="W4" s="93"/>
      <c r="X4" s="6"/>
      <c r="Y4" s="107">
        <f t="shared" si="1"/>
        <v>2657.01</v>
      </c>
      <c r="Z4" s="97">
        <f>666+15660</f>
        <v>16326</v>
      </c>
      <c r="AA4" s="59">
        <f t="shared" si="2"/>
        <v>0.1627471518</v>
      </c>
      <c r="AB4" s="109">
        <f t="shared" si="3"/>
        <v>45336</v>
      </c>
    </row>
    <row r="5">
      <c r="A5" s="74">
        <v>45337.0</v>
      </c>
      <c r="B5" s="93">
        <f>2102.13-66.44-79.64-66.08-28.28-698-88.31-26.16-57.36-33.99-25.37-34.81</f>
        <v>897.69</v>
      </c>
      <c r="C5" s="93"/>
      <c r="D5" s="93">
        <f>207.68-60.18</f>
        <v>147.5</v>
      </c>
      <c r="E5" s="93"/>
      <c r="F5" s="93">
        <v>180.0</v>
      </c>
      <c r="G5" s="160"/>
      <c r="H5" s="93">
        <v>94.63</v>
      </c>
      <c r="I5" s="93"/>
      <c r="J5" s="93"/>
      <c r="K5" s="93"/>
      <c r="L5" s="93">
        <v>71.7</v>
      </c>
      <c r="M5" s="93"/>
      <c r="N5" s="93">
        <v>150.0</v>
      </c>
      <c r="O5" s="93"/>
      <c r="P5" s="93">
        <v>18.5</v>
      </c>
      <c r="Q5" s="93"/>
      <c r="R5" s="93"/>
      <c r="S5" s="93"/>
      <c r="T5" s="93"/>
      <c r="U5" s="93">
        <v>208.0</v>
      </c>
      <c r="V5" s="101"/>
      <c r="W5" s="101"/>
      <c r="X5" s="6"/>
      <c r="Y5" s="7">
        <f t="shared" si="1"/>
        <v>1768.02</v>
      </c>
      <c r="Z5" s="97">
        <f>738.2+5150.27</f>
        <v>5888.47</v>
      </c>
      <c r="AA5" s="59">
        <f t="shared" si="2"/>
        <v>0.3002511688</v>
      </c>
      <c r="AB5" s="109">
        <f t="shared" si="3"/>
        <v>45337</v>
      </c>
    </row>
    <row r="6">
      <c r="A6" s="74">
        <v>45338.0</v>
      </c>
      <c r="B6" s="93">
        <f>869.03-57.55-12.26-25.77-96.6-2.36</f>
        <v>674.49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162"/>
      <c r="N6" s="93"/>
      <c r="O6" s="93">
        <v>288.0</v>
      </c>
      <c r="P6" s="93">
        <v>18.5</v>
      </c>
      <c r="Q6" s="93"/>
      <c r="R6" s="93"/>
      <c r="S6" s="93"/>
      <c r="T6" s="93"/>
      <c r="U6" s="93"/>
      <c r="V6" s="93">
        <v>57.05</v>
      </c>
      <c r="W6" s="93"/>
      <c r="X6" s="5"/>
      <c r="Y6" s="7">
        <f t="shared" si="1"/>
        <v>1038.04</v>
      </c>
      <c r="Z6" s="97">
        <v>8076.4</v>
      </c>
      <c r="AA6" s="59">
        <f t="shared" si="2"/>
        <v>0.1285275618</v>
      </c>
      <c r="AB6" s="109">
        <f t="shared" si="3"/>
        <v>45338</v>
      </c>
    </row>
    <row r="7">
      <c r="A7" s="74">
        <v>45339.0</v>
      </c>
      <c r="B7" s="93">
        <f>1480.91-89.89-110.4-65.43-11.46</f>
        <v>1203.73</v>
      </c>
      <c r="C7" s="93">
        <v>457.0</v>
      </c>
      <c r="D7" s="93">
        <f>525.05-161.2+200.2</f>
        <v>564.05</v>
      </c>
      <c r="E7" s="93"/>
      <c r="F7" s="93"/>
      <c r="G7" s="93"/>
      <c r="H7" s="93">
        <v>210.43</v>
      </c>
      <c r="I7" s="93"/>
      <c r="J7" s="93"/>
      <c r="K7" s="93"/>
      <c r="L7" s="93"/>
      <c r="M7" s="93"/>
      <c r="N7" s="93">
        <v>84.0</v>
      </c>
      <c r="O7" s="93"/>
      <c r="P7" s="93"/>
      <c r="Q7" s="93"/>
      <c r="R7" s="93"/>
      <c r="S7" s="93"/>
      <c r="T7" s="101"/>
      <c r="U7" s="101"/>
      <c r="V7" s="101"/>
      <c r="W7" s="101"/>
      <c r="X7" s="5"/>
      <c r="Y7" s="7">
        <f t="shared" si="1"/>
        <v>2519.21</v>
      </c>
      <c r="Z7" s="97">
        <v>16143.51</v>
      </c>
      <c r="AA7" s="59">
        <f t="shared" si="2"/>
        <v>0.1560509456</v>
      </c>
      <c r="AB7" s="109">
        <f t="shared" si="3"/>
        <v>45339</v>
      </c>
    </row>
    <row r="8">
      <c r="A8" s="74">
        <v>45340.0</v>
      </c>
      <c r="B8" s="180">
        <f>350.04</f>
        <v>350.04</v>
      </c>
      <c r="C8" s="93"/>
      <c r="D8" s="180">
        <v>846.27</v>
      </c>
      <c r="E8" s="112" t="s">
        <v>21</v>
      </c>
      <c r="F8" s="112" t="s">
        <v>21</v>
      </c>
      <c r="G8" s="112" t="s">
        <v>21</v>
      </c>
      <c r="H8" s="112" t="s">
        <v>21</v>
      </c>
      <c r="I8" s="93"/>
      <c r="J8" s="112" t="s">
        <v>21</v>
      </c>
      <c r="K8" s="112" t="s">
        <v>21</v>
      </c>
      <c r="L8" s="112" t="s">
        <v>21</v>
      </c>
      <c r="M8" s="112" t="s">
        <v>21</v>
      </c>
      <c r="N8" s="112" t="s">
        <v>21</v>
      </c>
      <c r="O8" s="93"/>
      <c r="P8" s="112" t="s">
        <v>21</v>
      </c>
      <c r="Q8" s="112" t="s">
        <v>21</v>
      </c>
      <c r="R8" s="112" t="s">
        <v>21</v>
      </c>
      <c r="S8" s="112" t="s">
        <v>21</v>
      </c>
      <c r="T8" s="112" t="s">
        <v>21</v>
      </c>
      <c r="U8" s="112" t="s">
        <v>21</v>
      </c>
      <c r="V8" s="10" t="s">
        <v>21</v>
      </c>
      <c r="W8" s="10" t="s">
        <v>21</v>
      </c>
      <c r="X8" s="10" t="s">
        <v>21</v>
      </c>
      <c r="Y8" s="7">
        <f t="shared" si="1"/>
        <v>1196.31</v>
      </c>
      <c r="Z8" s="97">
        <f>2755+6726.35</f>
        <v>9481.35</v>
      </c>
      <c r="AA8" s="59">
        <f t="shared" si="2"/>
        <v>0.12617507</v>
      </c>
      <c r="AB8" s="109">
        <f t="shared" si="3"/>
        <v>45340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Z9" s="129"/>
      <c r="AB9" s="106"/>
    </row>
    <row r="10">
      <c r="A10" s="164" t="s">
        <v>193</v>
      </c>
      <c r="B10" s="78"/>
      <c r="C10" s="78"/>
      <c r="D10" s="78"/>
      <c r="E10" s="188"/>
      <c r="F10" s="188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Z10" s="129"/>
      <c r="AB10" s="106"/>
    </row>
    <row r="11">
      <c r="A11" s="165" t="s">
        <v>194</v>
      </c>
      <c r="B11" s="93">
        <f>46.32+43.62+29.26+33.99+25.37+66.44+79.64+66.05+28.28+26.16+57.36+33.99+25.37+34.81+57.55+12.26+25.77+96.6+2.36+89.89+110.4</f>
        <v>991.49</v>
      </c>
      <c r="C11" s="93"/>
      <c r="D11" s="93"/>
      <c r="E11" s="167"/>
      <c r="F11" s="168"/>
      <c r="G11" s="166"/>
      <c r="H11" s="166"/>
      <c r="I11" s="93"/>
      <c r="J11" s="168"/>
      <c r="K11" s="93">
        <v>43.4</v>
      </c>
      <c r="L11" s="166"/>
      <c r="M11" s="168"/>
      <c r="N11" s="166"/>
      <c r="O11" s="168"/>
      <c r="P11" s="1"/>
      <c r="Q11" s="1"/>
      <c r="R11" s="1"/>
      <c r="S11" s="1"/>
      <c r="T11" s="1"/>
      <c r="U11" s="1"/>
      <c r="V11" s="168"/>
      <c r="W11" s="168"/>
      <c r="X11" s="1"/>
      <c r="Y11" s="1"/>
      <c r="Z11" s="169"/>
      <c r="AA11" s="1"/>
      <c r="AB11" s="170"/>
    </row>
    <row r="12">
      <c r="A12" s="165" t="s">
        <v>195</v>
      </c>
      <c r="B12" s="93">
        <f>79.64+129.24+55+56.14+61.39+55+26.86+397.8+26.62+25.37+698</f>
        <v>1611.06</v>
      </c>
      <c r="C12" s="93">
        <v>54.0</v>
      </c>
      <c r="D12" s="93">
        <v>60.18</v>
      </c>
      <c r="E12" s="93"/>
      <c r="F12" s="93"/>
      <c r="G12" s="93"/>
      <c r="H12" s="93"/>
      <c r="I12" s="93">
        <f>190+198</f>
        <v>388</v>
      </c>
      <c r="J12" s="93"/>
      <c r="K12" s="93"/>
      <c r="L12" s="93"/>
      <c r="M12" s="93"/>
      <c r="N12" s="93"/>
      <c r="O12" s="166"/>
      <c r="P12" s="1"/>
      <c r="Q12" s="1"/>
      <c r="R12" s="168"/>
      <c r="S12" s="168"/>
      <c r="T12" s="1"/>
      <c r="U12" s="96"/>
      <c r="V12" s="168"/>
      <c r="W12" s="168"/>
      <c r="X12" s="1"/>
      <c r="Y12" s="1"/>
      <c r="Z12" s="171"/>
      <c r="AA12" s="1"/>
      <c r="AB12" s="170"/>
    </row>
    <row r="13">
      <c r="A13" s="172" t="s">
        <v>245</v>
      </c>
      <c r="B13" s="93">
        <f>34.77+34.82+29.26+16.76+28.94+98.43+19.11+196.86</f>
        <v>458.95</v>
      </c>
      <c r="C13" s="93"/>
      <c r="D13" s="93"/>
      <c r="E13" s="168"/>
      <c r="F13" s="166"/>
      <c r="G13" s="168"/>
      <c r="H13" s="168"/>
      <c r="I13" s="168"/>
      <c r="J13" s="168"/>
      <c r="K13" s="168"/>
      <c r="L13" s="168"/>
      <c r="M13" s="168"/>
      <c r="N13" s="166"/>
      <c r="O13" s="168"/>
      <c r="P13" s="1"/>
      <c r="Q13" s="1"/>
      <c r="R13" s="168"/>
      <c r="S13" s="168"/>
      <c r="T13" s="1"/>
      <c r="U13" s="96"/>
      <c r="V13" s="168"/>
      <c r="W13" s="168"/>
      <c r="X13" s="1"/>
      <c r="Y13" s="1"/>
      <c r="Z13" s="174"/>
      <c r="AA13" s="1"/>
      <c r="AB13" s="170"/>
    </row>
    <row r="14">
      <c r="A14" s="165" t="s">
        <v>198</v>
      </c>
      <c r="B14" s="93">
        <f>240+7.37+25.58+88.31+65.43+11.46</f>
        <v>438.15</v>
      </c>
      <c r="C14" s="93"/>
      <c r="D14" s="93"/>
      <c r="E14" s="168"/>
      <c r="F14" s="166"/>
      <c r="G14" s="168"/>
      <c r="H14" s="168"/>
      <c r="I14" s="168"/>
      <c r="J14" s="168"/>
      <c r="K14" s="168"/>
      <c r="L14" s="168"/>
      <c r="M14" s="168"/>
      <c r="N14" s="166"/>
      <c r="O14" s="168"/>
      <c r="P14" s="1"/>
      <c r="Q14" s="1"/>
      <c r="R14" s="168"/>
      <c r="S14" s="168"/>
      <c r="T14" s="1"/>
      <c r="U14" s="96"/>
      <c r="V14" s="168"/>
      <c r="W14" s="168"/>
      <c r="X14" s="1"/>
      <c r="Y14" s="1"/>
      <c r="Z14" s="174"/>
      <c r="AA14" s="1"/>
      <c r="AB14" s="170"/>
    </row>
    <row r="15">
      <c r="A15" s="91"/>
      <c r="B15" s="92"/>
      <c r="C15" s="79"/>
      <c r="D15" s="79"/>
      <c r="E15" s="79"/>
      <c r="F15" s="78"/>
      <c r="G15" s="78"/>
      <c r="H15" s="78"/>
      <c r="K15" s="79"/>
      <c r="L15" s="79"/>
      <c r="M15" s="78"/>
      <c r="N15" s="79"/>
      <c r="O15" s="79"/>
      <c r="R15" s="79"/>
      <c r="S15" s="79"/>
      <c r="V15" s="79"/>
      <c r="W15" s="79"/>
      <c r="Z15" s="131"/>
      <c r="AB15" s="106"/>
    </row>
    <row r="16">
      <c r="A16" s="91"/>
      <c r="B16" s="92"/>
      <c r="C16" s="78"/>
      <c r="D16" s="78"/>
      <c r="E16" s="78"/>
      <c r="F16" s="198"/>
      <c r="G16" s="204"/>
      <c r="H16" s="204"/>
      <c r="I16" s="198"/>
      <c r="J16" s="199"/>
      <c r="K16" s="199"/>
      <c r="L16" s="200"/>
      <c r="M16" s="201"/>
      <c r="N16" s="202"/>
      <c r="O16" s="198"/>
      <c r="P16" s="198"/>
      <c r="Q16" s="198"/>
      <c r="R16" s="198"/>
      <c r="S16" s="198"/>
      <c r="V16" s="79"/>
      <c r="W16" s="79"/>
      <c r="Z16" s="131"/>
      <c r="AB16" s="106"/>
    </row>
    <row r="17">
      <c r="A17" s="4" t="s">
        <v>22</v>
      </c>
      <c r="B17" s="11">
        <v>10000.0</v>
      </c>
      <c r="C17" s="79"/>
      <c r="D17" s="79"/>
      <c r="E17" s="79"/>
      <c r="F17" s="204"/>
      <c r="G17" s="201"/>
      <c r="H17" s="201"/>
      <c r="I17" s="201"/>
      <c r="J17" s="201"/>
      <c r="K17" s="201"/>
      <c r="L17" s="198"/>
      <c r="M17" s="201"/>
      <c r="N17" s="200"/>
      <c r="O17" s="203"/>
      <c r="P17" s="198"/>
      <c r="Q17" s="198"/>
      <c r="R17" s="198"/>
      <c r="S17" s="198"/>
      <c r="T17" s="204"/>
      <c r="V17" s="79"/>
      <c r="W17" s="79"/>
      <c r="Z17" s="131"/>
      <c r="AB17" s="106"/>
    </row>
    <row r="18">
      <c r="A18" s="4" t="s">
        <v>23</v>
      </c>
      <c r="B18" s="12">
        <f>SUM(B2:X8)</f>
        <v>12572.63</v>
      </c>
      <c r="C18" s="79"/>
      <c r="D18" s="177"/>
      <c r="E18" s="78"/>
      <c r="F18" s="213"/>
      <c r="G18" s="201"/>
      <c r="H18" s="201"/>
      <c r="I18" s="201"/>
      <c r="J18" s="191"/>
      <c r="K18" s="201"/>
      <c r="L18" s="198"/>
      <c r="M18" s="200"/>
      <c r="N18" s="201"/>
      <c r="O18" s="203"/>
      <c r="P18" s="198"/>
      <c r="Q18" s="198"/>
      <c r="R18" s="198"/>
      <c r="S18" s="198"/>
      <c r="T18" s="204"/>
      <c r="V18" s="79"/>
      <c r="W18" s="79"/>
      <c r="Z18" s="131"/>
      <c r="AB18" s="106"/>
    </row>
    <row r="19">
      <c r="A19" s="4" t="s">
        <v>24</v>
      </c>
      <c r="B19" s="12">
        <f> SUM(B17-B18)</f>
        <v>-2572.63</v>
      </c>
      <c r="C19" s="79"/>
      <c r="D19" s="79"/>
      <c r="E19" s="78"/>
      <c r="F19" s="201"/>
      <c r="G19" s="214"/>
      <c r="H19" s="203"/>
      <c r="I19" s="203"/>
      <c r="J19" s="218"/>
      <c r="K19" s="199"/>
      <c r="L19" s="203"/>
      <c r="M19" s="201"/>
      <c r="N19" s="200"/>
      <c r="O19" s="203"/>
      <c r="P19" s="198"/>
      <c r="Q19" s="198"/>
      <c r="R19" s="198"/>
      <c r="S19" s="198"/>
      <c r="T19" s="204"/>
      <c r="V19" s="79"/>
      <c r="W19" s="79"/>
      <c r="Z19" s="131"/>
      <c r="AB19" s="106"/>
    </row>
    <row r="20">
      <c r="C20" s="79"/>
      <c r="D20" s="79"/>
      <c r="E20" s="78"/>
      <c r="F20" s="213"/>
      <c r="G20" s="214"/>
      <c r="H20" s="203"/>
      <c r="I20" s="205"/>
      <c r="J20" s="203"/>
      <c r="K20" s="203"/>
      <c r="L20" s="201"/>
      <c r="M20" s="201"/>
      <c r="N20" s="198"/>
      <c r="O20" s="203"/>
      <c r="P20" s="198"/>
      <c r="Q20" s="206"/>
      <c r="R20" s="198"/>
      <c r="S20" s="198"/>
      <c r="T20" s="204"/>
      <c r="V20" s="79"/>
      <c r="W20" s="79"/>
      <c r="Z20" s="131"/>
      <c r="AB20" s="106"/>
    </row>
    <row r="21">
      <c r="A21" s="13" t="s">
        <v>25</v>
      </c>
      <c r="B21" s="14">
        <f>SUM(Z2:Z8)</f>
        <v>67998.73</v>
      </c>
      <c r="C21" s="79"/>
      <c r="D21" s="79"/>
      <c r="E21" s="78"/>
      <c r="F21" s="201"/>
      <c r="G21" s="201"/>
      <c r="H21" s="201"/>
      <c r="I21" s="203"/>
      <c r="J21" s="203"/>
      <c r="K21" s="203"/>
      <c r="L21" s="206"/>
      <c r="M21" s="201"/>
      <c r="N21" s="198"/>
      <c r="O21" s="203"/>
      <c r="P21" s="198"/>
      <c r="Q21" s="198"/>
      <c r="R21" s="198"/>
      <c r="S21" s="198"/>
      <c r="T21" s="204"/>
      <c r="V21" s="79"/>
      <c r="W21" s="79"/>
      <c r="Z21" s="181"/>
      <c r="AB21" s="106"/>
    </row>
    <row r="22">
      <c r="A22" s="13" t="s">
        <v>26</v>
      </c>
      <c r="B22" s="15">
        <f>B18/B21</f>
        <v>0.1848950708</v>
      </c>
      <c r="C22" s="79"/>
      <c r="D22" s="79"/>
      <c r="E22" s="78"/>
      <c r="F22" s="204"/>
      <c r="G22" s="213"/>
      <c r="H22" s="224"/>
      <c r="I22" s="203"/>
      <c r="J22" s="203"/>
      <c r="K22" s="203"/>
      <c r="L22" s="198"/>
      <c r="M22" s="200"/>
      <c r="N22" s="203"/>
      <c r="O22" s="203"/>
      <c r="P22" s="198"/>
      <c r="Q22" s="198"/>
      <c r="R22" s="198"/>
      <c r="S22" s="198"/>
      <c r="T22" s="204"/>
      <c r="V22" s="79"/>
      <c r="W22" s="79"/>
      <c r="Z22" s="130"/>
      <c r="AB22" s="106"/>
    </row>
    <row r="23">
      <c r="C23" s="79"/>
      <c r="D23" s="79"/>
      <c r="E23" s="78"/>
      <c r="F23" s="204"/>
      <c r="G23" s="204"/>
      <c r="H23" s="213"/>
      <c r="I23" s="203"/>
      <c r="J23" s="203"/>
      <c r="K23" s="203"/>
      <c r="L23" s="198"/>
      <c r="M23" s="198"/>
      <c r="N23" s="201"/>
      <c r="O23" s="198"/>
      <c r="P23" s="198"/>
      <c r="Q23" s="198"/>
      <c r="R23" s="198"/>
      <c r="S23" s="198"/>
      <c r="T23" s="204"/>
      <c r="V23" s="79"/>
      <c r="W23" s="79"/>
      <c r="Z23" s="182"/>
      <c r="AB23" s="106"/>
    </row>
    <row r="24">
      <c r="C24" s="79"/>
      <c r="D24" s="79"/>
      <c r="E24" s="79"/>
      <c r="F24" s="204"/>
      <c r="G24" s="213"/>
      <c r="H24" s="213"/>
      <c r="I24" s="203"/>
      <c r="J24" s="203"/>
      <c r="K24" s="203"/>
      <c r="L24" s="198"/>
      <c r="M24" s="201"/>
      <c r="N24" s="201"/>
      <c r="O24" s="198"/>
      <c r="P24" s="198"/>
      <c r="Q24" s="198"/>
      <c r="R24" s="198"/>
      <c r="S24" s="198"/>
      <c r="T24" s="204"/>
      <c r="V24" s="79"/>
      <c r="W24" s="79"/>
      <c r="Z24" s="130"/>
      <c r="AB24" s="106"/>
    </row>
    <row r="25">
      <c r="A25" s="16" t="s">
        <v>27</v>
      </c>
      <c r="B25" s="17"/>
      <c r="C25" s="114"/>
      <c r="D25" s="114"/>
      <c r="E25" s="115"/>
      <c r="F25" s="204"/>
      <c r="G25" s="204"/>
      <c r="H25" s="213"/>
      <c r="I25" s="203"/>
      <c r="J25" s="203"/>
      <c r="K25" s="236"/>
      <c r="L25" s="208"/>
      <c r="M25" s="208"/>
      <c r="N25" s="198"/>
      <c r="O25" s="200"/>
      <c r="P25" s="198"/>
      <c r="Q25" s="198"/>
      <c r="R25" s="198"/>
      <c r="S25" s="198"/>
      <c r="T25" s="204"/>
      <c r="V25" s="79"/>
      <c r="W25" s="79"/>
      <c r="Z25" s="130"/>
      <c r="AB25" s="106"/>
    </row>
    <row r="26">
      <c r="A26" s="19" t="s">
        <v>28</v>
      </c>
      <c r="B26" s="20"/>
      <c r="C26" s="116"/>
      <c r="D26" s="116"/>
      <c r="E26" s="117"/>
      <c r="F26" s="204"/>
      <c r="G26" s="204"/>
      <c r="H26" s="213"/>
      <c r="I26" s="203"/>
      <c r="J26" s="203"/>
      <c r="K26" s="203"/>
      <c r="L26" s="209"/>
      <c r="M26" s="209"/>
      <c r="N26" s="201"/>
      <c r="O26" s="198"/>
      <c r="P26" s="198"/>
      <c r="Q26" s="198"/>
      <c r="R26" s="198"/>
      <c r="S26" s="198"/>
      <c r="T26" s="204"/>
      <c r="V26" s="79"/>
      <c r="W26" s="79"/>
      <c r="Z26" s="130"/>
      <c r="AB26" s="106"/>
    </row>
    <row r="27">
      <c r="A27" s="183" t="s">
        <v>29</v>
      </c>
      <c r="B27" s="184" t="s">
        <v>30</v>
      </c>
      <c r="C27" s="183"/>
      <c r="D27" s="183" t="s">
        <v>170</v>
      </c>
      <c r="E27" s="219" t="s">
        <v>171</v>
      </c>
      <c r="F27" s="204"/>
      <c r="G27" s="204"/>
      <c r="H27" s="213"/>
      <c r="I27" s="203"/>
      <c r="J27" s="203"/>
      <c r="K27" s="201"/>
      <c r="L27" s="209"/>
      <c r="M27" s="209"/>
      <c r="N27" s="198"/>
      <c r="O27" s="198"/>
      <c r="P27" s="198"/>
      <c r="Q27" s="198"/>
      <c r="R27" s="198"/>
      <c r="S27" s="198"/>
      <c r="T27" s="204"/>
      <c r="V27" s="79"/>
      <c r="W27" s="79"/>
      <c r="Z27" s="130"/>
      <c r="AB27" s="106"/>
    </row>
    <row r="28">
      <c r="A28" s="221" t="s">
        <v>41</v>
      </c>
      <c r="B28" s="222">
        <v>1352.07</v>
      </c>
      <c r="C28" s="223"/>
      <c r="D28" s="223"/>
      <c r="E28" s="221"/>
      <c r="K28" s="204"/>
      <c r="L28" s="204"/>
      <c r="M28" s="198"/>
      <c r="R28" s="79"/>
      <c r="S28" s="79"/>
      <c r="V28" s="79"/>
      <c r="W28" s="79"/>
      <c r="Z28" s="130"/>
      <c r="AB28" s="106"/>
    </row>
    <row r="29">
      <c r="A29" s="221" t="s">
        <v>241</v>
      </c>
      <c r="B29" s="222">
        <v>550.0</v>
      </c>
      <c r="C29" s="223"/>
      <c r="D29" s="223"/>
      <c r="E29" s="221"/>
      <c r="F29" s="204"/>
      <c r="G29" s="204"/>
      <c r="H29" s="213"/>
      <c r="I29" s="203"/>
      <c r="J29" s="217"/>
      <c r="K29" s="201"/>
      <c r="L29" s="198"/>
      <c r="M29" s="198"/>
      <c r="N29" s="198"/>
      <c r="O29" s="198"/>
      <c r="P29" s="198"/>
      <c r="Q29" s="198"/>
      <c r="R29" s="198"/>
      <c r="S29" s="198"/>
      <c r="T29" s="204"/>
      <c r="V29" s="79"/>
      <c r="W29" s="79"/>
      <c r="Z29" s="130"/>
      <c r="AB29" s="106"/>
    </row>
    <row r="30">
      <c r="F30" s="204"/>
      <c r="G30" s="204"/>
      <c r="H30" s="213"/>
      <c r="I30" s="203"/>
      <c r="J30" s="217"/>
      <c r="K30" s="201"/>
      <c r="L30" s="198"/>
      <c r="M30" s="198"/>
      <c r="N30" s="198"/>
      <c r="O30" s="198"/>
      <c r="P30" s="198"/>
      <c r="Q30" s="198"/>
      <c r="R30" s="198"/>
      <c r="S30" s="198"/>
      <c r="T30" s="204"/>
      <c r="V30" s="79"/>
      <c r="W30" s="79"/>
      <c r="Z30" s="130"/>
      <c r="AB30" s="106"/>
    </row>
    <row r="31">
      <c r="C31" s="79"/>
      <c r="D31" s="79"/>
      <c r="E31" s="79"/>
      <c r="M31" s="79"/>
      <c r="R31" s="79"/>
      <c r="S31" s="79"/>
      <c r="V31" s="79"/>
      <c r="W31" s="79"/>
      <c r="Z31" s="130"/>
      <c r="AB31" s="106"/>
    </row>
    <row r="32">
      <c r="C32" s="79"/>
      <c r="D32" s="79"/>
      <c r="E32" s="79"/>
      <c r="I32" s="195"/>
      <c r="M32" s="79"/>
      <c r="R32" s="79"/>
      <c r="S32" s="79"/>
      <c r="V32" s="79"/>
      <c r="W32" s="79"/>
      <c r="Z32" s="130"/>
      <c r="AB32" s="106"/>
    </row>
    <row r="33">
      <c r="C33" s="79"/>
      <c r="D33" s="79"/>
      <c r="E33" s="79"/>
      <c r="M33" s="79"/>
      <c r="R33" s="79"/>
      <c r="S33" s="79"/>
      <c r="V33" s="79"/>
      <c r="W33" s="79"/>
      <c r="Z33" s="130"/>
      <c r="AB33" s="106"/>
    </row>
    <row r="34">
      <c r="C34" s="79"/>
      <c r="D34" s="79"/>
      <c r="E34" s="79"/>
      <c r="M34" s="79"/>
      <c r="R34" s="79"/>
      <c r="S34" s="79"/>
      <c r="V34" s="79"/>
      <c r="W34" s="79"/>
      <c r="Z34" s="130"/>
      <c r="AB34" s="106"/>
    </row>
    <row r="35">
      <c r="C35" s="79"/>
      <c r="D35" s="79"/>
      <c r="E35" s="79"/>
      <c r="M35" s="79"/>
      <c r="R35" s="79"/>
      <c r="S35" s="79"/>
      <c r="V35" s="79"/>
      <c r="W35" s="79"/>
      <c r="Z35" s="130"/>
      <c r="AB35" s="106"/>
    </row>
    <row r="36">
      <c r="C36" s="79"/>
      <c r="D36" s="79"/>
      <c r="E36" s="79"/>
      <c r="M36" s="79"/>
      <c r="R36" s="79"/>
      <c r="S36" s="79"/>
      <c r="V36" s="79"/>
      <c r="W36" s="79"/>
      <c r="Z36" s="130"/>
      <c r="AB36" s="106"/>
    </row>
    <row r="37">
      <c r="C37" s="79"/>
      <c r="D37" s="79"/>
      <c r="E37" s="79"/>
      <c r="M37" s="79"/>
      <c r="R37" s="79"/>
      <c r="S37" s="79"/>
      <c r="V37" s="79"/>
      <c r="W37" s="79"/>
      <c r="Z37" s="130"/>
      <c r="AB37" s="106"/>
    </row>
    <row r="38">
      <c r="C38" s="79"/>
      <c r="D38" s="79"/>
      <c r="E38" s="79"/>
      <c r="M38" s="79"/>
      <c r="R38" s="79"/>
      <c r="S38" s="79"/>
      <c r="V38" s="79"/>
      <c r="W38" s="79"/>
      <c r="Z38" s="130"/>
      <c r="AB38" s="106"/>
    </row>
    <row r="39">
      <c r="C39" s="79"/>
      <c r="D39" s="79"/>
      <c r="E39" s="79"/>
      <c r="M39" s="79"/>
      <c r="R39" s="79"/>
      <c r="S39" s="79"/>
      <c r="V39" s="79"/>
      <c r="W39" s="79"/>
      <c r="Z39" s="130"/>
      <c r="AB39" s="106"/>
    </row>
    <row r="40">
      <c r="C40" s="79"/>
      <c r="D40" s="79"/>
      <c r="E40" s="79"/>
      <c r="M40" s="79"/>
      <c r="R40" s="79"/>
      <c r="S40" s="79"/>
      <c r="V40" s="79"/>
      <c r="W40" s="79"/>
      <c r="Z40" s="130"/>
      <c r="AB40" s="106"/>
    </row>
    <row r="41">
      <c r="C41" s="79"/>
      <c r="D41" s="79"/>
      <c r="E41" s="79"/>
      <c r="M41" s="79"/>
      <c r="R41" s="79"/>
      <c r="S41" s="79"/>
      <c r="V41" s="79"/>
      <c r="W41" s="79"/>
      <c r="Z41" s="130"/>
      <c r="AB41" s="106"/>
    </row>
    <row r="42">
      <c r="C42" s="79"/>
      <c r="D42" s="79"/>
      <c r="E42" s="79"/>
      <c r="M42" s="79"/>
      <c r="R42" s="79"/>
      <c r="S42" s="79"/>
      <c r="V42" s="79"/>
      <c r="W42" s="79"/>
      <c r="Z42" s="130"/>
      <c r="AB42" s="106"/>
    </row>
    <row r="43">
      <c r="C43" s="79"/>
      <c r="D43" s="79"/>
      <c r="E43" s="79"/>
      <c r="M43" s="79"/>
      <c r="R43" s="79"/>
      <c r="S43" s="79"/>
      <c r="V43" s="79"/>
      <c r="W43" s="79"/>
      <c r="Z43" s="130"/>
      <c r="AB43" s="106"/>
    </row>
    <row r="44">
      <c r="C44" s="79"/>
      <c r="D44" s="79"/>
      <c r="E44" s="79"/>
      <c r="M44" s="79"/>
      <c r="R44" s="79"/>
      <c r="S44" s="79"/>
      <c r="V44" s="79"/>
      <c r="W44" s="79"/>
      <c r="Z44" s="130"/>
      <c r="AB44" s="106"/>
    </row>
    <row r="45">
      <c r="C45" s="79"/>
      <c r="D45" s="79"/>
      <c r="E45" s="79"/>
      <c r="M45" s="79"/>
      <c r="R45" s="79"/>
      <c r="S45" s="79"/>
      <c r="V45" s="79"/>
      <c r="W45" s="79"/>
      <c r="Z45" s="130"/>
      <c r="AB45" s="106"/>
    </row>
    <row r="46">
      <c r="C46" s="79"/>
      <c r="D46" s="79"/>
      <c r="E46" s="79"/>
      <c r="M46" s="79"/>
      <c r="R46" s="79"/>
      <c r="S46" s="79"/>
      <c r="V46" s="79"/>
      <c r="W46" s="79"/>
      <c r="Z46" s="130"/>
      <c r="AB46" s="106"/>
    </row>
    <row r="47">
      <c r="C47" s="79"/>
      <c r="D47" s="79"/>
      <c r="E47" s="79"/>
      <c r="M47" s="79"/>
      <c r="R47" s="79"/>
      <c r="S47" s="79"/>
      <c r="V47" s="79"/>
      <c r="W47" s="79"/>
      <c r="Z47" s="130"/>
      <c r="AB47" s="106"/>
    </row>
    <row r="48">
      <c r="C48" s="79"/>
      <c r="D48" s="79"/>
      <c r="E48" s="79"/>
      <c r="M48" s="79"/>
      <c r="R48" s="79"/>
      <c r="S48" s="79"/>
      <c r="V48" s="79"/>
      <c r="W48" s="79"/>
      <c r="Z48" s="130"/>
      <c r="AB48" s="106"/>
    </row>
    <row r="49">
      <c r="C49" s="79"/>
      <c r="D49" s="79"/>
      <c r="E49" s="79"/>
      <c r="M49" s="79"/>
      <c r="R49" s="79"/>
      <c r="S49" s="79"/>
      <c r="V49" s="79"/>
      <c r="W49" s="79"/>
      <c r="Z49" s="130"/>
      <c r="AB49" s="106"/>
    </row>
    <row r="50">
      <c r="C50" s="79"/>
      <c r="D50" s="79"/>
      <c r="E50" s="79"/>
      <c r="M50" s="79"/>
      <c r="R50" s="79"/>
      <c r="S50" s="79"/>
      <c r="V50" s="79"/>
      <c r="W50" s="79"/>
      <c r="Z50" s="130"/>
      <c r="AB50" s="106"/>
    </row>
    <row r="51">
      <c r="C51" s="79"/>
      <c r="D51" s="79"/>
      <c r="E51" s="79"/>
      <c r="M51" s="79"/>
      <c r="R51" s="79"/>
      <c r="S51" s="79"/>
      <c r="V51" s="79"/>
      <c r="W51" s="79"/>
      <c r="Z51" s="130"/>
      <c r="AB51" s="106"/>
    </row>
    <row r="52">
      <c r="C52" s="79"/>
      <c r="D52" s="79"/>
      <c r="E52" s="79"/>
      <c r="M52" s="79"/>
      <c r="R52" s="79"/>
      <c r="S52" s="79"/>
      <c r="V52" s="79"/>
      <c r="W52" s="79"/>
      <c r="Z52" s="130"/>
      <c r="AB52" s="106"/>
    </row>
    <row r="53">
      <c r="C53" s="79"/>
      <c r="D53" s="79"/>
      <c r="E53" s="79"/>
      <c r="M53" s="79"/>
      <c r="R53" s="79"/>
      <c r="S53" s="79"/>
      <c r="V53" s="79"/>
      <c r="W53" s="79"/>
      <c r="Z53" s="130"/>
      <c r="AB53" s="106"/>
    </row>
    <row r="54">
      <c r="C54" s="79"/>
      <c r="D54" s="79"/>
      <c r="E54" s="79"/>
      <c r="M54" s="79"/>
      <c r="R54" s="79"/>
      <c r="S54" s="79"/>
      <c r="V54" s="79"/>
      <c r="W54" s="79"/>
      <c r="Z54" s="130"/>
      <c r="AB54" s="106"/>
    </row>
    <row r="55">
      <c r="C55" s="79"/>
      <c r="D55" s="79"/>
      <c r="E55" s="79"/>
      <c r="M55" s="79"/>
      <c r="R55" s="79"/>
      <c r="S55" s="79"/>
      <c r="V55" s="79"/>
      <c r="W55" s="79"/>
      <c r="Z55" s="130"/>
      <c r="AB55" s="106"/>
    </row>
    <row r="56">
      <c r="C56" s="79"/>
      <c r="D56" s="79"/>
      <c r="E56" s="79"/>
      <c r="M56" s="79"/>
      <c r="R56" s="79"/>
      <c r="S56" s="79"/>
      <c r="V56" s="79"/>
      <c r="W56" s="79"/>
      <c r="Z56" s="130"/>
      <c r="AB56" s="106"/>
    </row>
    <row r="57">
      <c r="C57" s="79"/>
      <c r="D57" s="79"/>
      <c r="E57" s="79"/>
      <c r="M57" s="79"/>
      <c r="R57" s="79"/>
      <c r="S57" s="79"/>
      <c r="V57" s="79"/>
      <c r="W57" s="79"/>
      <c r="Z57" s="130"/>
      <c r="AB57" s="106"/>
    </row>
    <row r="58">
      <c r="C58" s="79"/>
      <c r="D58" s="79"/>
      <c r="E58" s="79"/>
      <c r="M58" s="79"/>
      <c r="R58" s="79"/>
      <c r="S58" s="79"/>
      <c r="V58" s="79"/>
      <c r="W58" s="79"/>
      <c r="Z58" s="130"/>
      <c r="AB58" s="106"/>
    </row>
    <row r="59">
      <c r="C59" s="79"/>
      <c r="D59" s="79"/>
      <c r="E59" s="79"/>
      <c r="M59" s="79"/>
      <c r="R59" s="79"/>
      <c r="S59" s="79"/>
      <c r="V59" s="79"/>
      <c r="W59" s="79"/>
      <c r="Z59" s="130"/>
      <c r="AB59" s="106"/>
    </row>
    <row r="60">
      <c r="C60" s="79"/>
      <c r="D60" s="79"/>
      <c r="E60" s="79"/>
      <c r="M60" s="79"/>
      <c r="R60" s="79"/>
      <c r="S60" s="79"/>
      <c r="V60" s="79"/>
      <c r="W60" s="79"/>
      <c r="Z60" s="130"/>
      <c r="AB60" s="106"/>
    </row>
    <row r="61">
      <c r="C61" s="79"/>
      <c r="D61" s="79"/>
      <c r="E61" s="79"/>
      <c r="M61" s="79"/>
      <c r="R61" s="79"/>
      <c r="S61" s="79"/>
      <c r="V61" s="79"/>
      <c r="W61" s="79"/>
      <c r="Z61" s="130"/>
      <c r="AB61" s="106"/>
    </row>
    <row r="62">
      <c r="C62" s="79"/>
      <c r="D62" s="79"/>
      <c r="E62" s="79"/>
      <c r="M62" s="79"/>
      <c r="R62" s="79"/>
      <c r="S62" s="79"/>
      <c r="V62" s="79"/>
      <c r="W62" s="79"/>
      <c r="Z62" s="130"/>
      <c r="AB62" s="106"/>
    </row>
    <row r="63">
      <c r="C63" s="79"/>
      <c r="D63" s="79"/>
      <c r="E63" s="79"/>
      <c r="M63" s="79"/>
      <c r="R63" s="79"/>
      <c r="S63" s="79"/>
      <c r="V63" s="79"/>
      <c r="W63" s="79"/>
      <c r="Z63" s="130"/>
      <c r="AB63" s="106"/>
    </row>
    <row r="64">
      <c r="C64" s="79"/>
      <c r="D64" s="79"/>
      <c r="E64" s="79"/>
      <c r="M64" s="79"/>
      <c r="R64" s="79"/>
      <c r="S64" s="79"/>
      <c r="V64" s="79"/>
      <c r="W64" s="79"/>
      <c r="Z64" s="130"/>
      <c r="AB64" s="106"/>
    </row>
    <row r="65">
      <c r="C65" s="79"/>
      <c r="D65" s="79"/>
      <c r="E65" s="79"/>
      <c r="M65" s="79"/>
      <c r="R65" s="79"/>
      <c r="S65" s="79"/>
      <c r="V65" s="79"/>
      <c r="W65" s="79"/>
      <c r="Z65" s="130"/>
      <c r="AB65" s="106"/>
    </row>
    <row r="66">
      <c r="C66" s="79"/>
      <c r="D66" s="79"/>
      <c r="E66" s="79"/>
      <c r="M66" s="79"/>
      <c r="R66" s="79"/>
      <c r="S66" s="79"/>
      <c r="V66" s="79"/>
      <c r="W66" s="79"/>
      <c r="Z66" s="130"/>
      <c r="AB66" s="106"/>
    </row>
    <row r="67">
      <c r="C67" s="79"/>
      <c r="D67" s="79"/>
      <c r="E67" s="79"/>
      <c r="M67" s="79"/>
      <c r="R67" s="79"/>
      <c r="S67" s="79"/>
      <c r="V67" s="79"/>
      <c r="W67" s="79"/>
      <c r="Z67" s="130"/>
      <c r="AB67" s="106"/>
    </row>
    <row r="68">
      <c r="C68" s="79"/>
      <c r="D68" s="79"/>
      <c r="E68" s="79"/>
      <c r="M68" s="79"/>
      <c r="R68" s="79"/>
      <c r="S68" s="79"/>
      <c r="V68" s="79"/>
      <c r="W68" s="79"/>
      <c r="Z68" s="130"/>
      <c r="AB68" s="106"/>
    </row>
    <row r="69">
      <c r="C69" s="79"/>
      <c r="D69" s="79"/>
      <c r="E69" s="79"/>
      <c r="M69" s="79"/>
      <c r="R69" s="79"/>
      <c r="S69" s="79"/>
      <c r="V69" s="79"/>
      <c r="W69" s="79"/>
      <c r="Z69" s="130"/>
      <c r="AB69" s="106"/>
    </row>
    <row r="70">
      <c r="C70" s="79"/>
      <c r="D70" s="79"/>
      <c r="E70" s="79"/>
      <c r="M70" s="79"/>
      <c r="R70" s="79"/>
      <c r="S70" s="79"/>
      <c r="V70" s="79"/>
      <c r="W70" s="79"/>
      <c r="Z70" s="130"/>
      <c r="AB70" s="106"/>
    </row>
    <row r="71">
      <c r="C71" s="79"/>
      <c r="D71" s="79"/>
      <c r="E71" s="79"/>
      <c r="M71" s="79"/>
      <c r="R71" s="79"/>
      <c r="S71" s="79"/>
      <c r="V71" s="79"/>
      <c r="W71" s="79"/>
      <c r="Z71" s="130"/>
      <c r="AB71" s="106"/>
    </row>
    <row r="72">
      <c r="C72" s="79"/>
      <c r="D72" s="79"/>
      <c r="E72" s="79"/>
      <c r="M72" s="79"/>
      <c r="R72" s="79"/>
      <c r="S72" s="79"/>
      <c r="V72" s="79"/>
      <c r="W72" s="79"/>
      <c r="Z72" s="130"/>
      <c r="AB72" s="106"/>
    </row>
    <row r="73">
      <c r="C73" s="79"/>
      <c r="D73" s="79"/>
      <c r="E73" s="79"/>
      <c r="M73" s="79"/>
      <c r="R73" s="79"/>
      <c r="S73" s="79"/>
      <c r="V73" s="79"/>
      <c r="W73" s="79"/>
      <c r="Z73" s="130"/>
      <c r="AB73" s="106"/>
    </row>
    <row r="74">
      <c r="C74" s="79"/>
      <c r="D74" s="79"/>
      <c r="E74" s="79"/>
      <c r="M74" s="79"/>
      <c r="R74" s="79"/>
      <c r="S74" s="79"/>
      <c r="V74" s="79"/>
      <c r="W74" s="79"/>
      <c r="Z74" s="130"/>
      <c r="AB74" s="106"/>
    </row>
    <row r="75">
      <c r="C75" s="79"/>
      <c r="D75" s="79"/>
      <c r="E75" s="79"/>
      <c r="M75" s="79"/>
      <c r="R75" s="79"/>
      <c r="S75" s="79"/>
      <c r="V75" s="79"/>
      <c r="W75" s="79"/>
      <c r="Z75" s="130"/>
      <c r="AB75" s="106"/>
    </row>
    <row r="76">
      <c r="C76" s="79"/>
      <c r="D76" s="79"/>
      <c r="E76" s="79"/>
      <c r="M76" s="79"/>
      <c r="R76" s="79"/>
      <c r="S76" s="79"/>
      <c r="V76" s="79"/>
      <c r="W76" s="79"/>
      <c r="Z76" s="130"/>
      <c r="AB76" s="106"/>
    </row>
    <row r="77">
      <c r="C77" s="79"/>
      <c r="D77" s="79"/>
      <c r="E77" s="79"/>
      <c r="M77" s="79"/>
      <c r="R77" s="79"/>
      <c r="S77" s="79"/>
      <c r="V77" s="79"/>
      <c r="W77" s="79"/>
      <c r="Z77" s="130"/>
      <c r="AB77" s="106"/>
    </row>
    <row r="78">
      <c r="C78" s="79"/>
      <c r="D78" s="79"/>
      <c r="E78" s="79"/>
      <c r="M78" s="79"/>
      <c r="R78" s="79"/>
      <c r="S78" s="79"/>
      <c r="V78" s="79"/>
      <c r="W78" s="79"/>
      <c r="Z78" s="130"/>
      <c r="AB78" s="106"/>
    </row>
    <row r="79">
      <c r="C79" s="79"/>
      <c r="D79" s="79"/>
      <c r="E79" s="79"/>
      <c r="M79" s="79"/>
      <c r="R79" s="79"/>
      <c r="S79" s="79"/>
      <c r="V79" s="79"/>
      <c r="W79" s="79"/>
      <c r="Z79" s="130"/>
      <c r="AB79" s="106"/>
    </row>
    <row r="80">
      <c r="C80" s="79"/>
      <c r="D80" s="79"/>
      <c r="E80" s="79"/>
      <c r="M80" s="79"/>
      <c r="R80" s="79"/>
      <c r="S80" s="79"/>
      <c r="V80" s="79"/>
      <c r="W80" s="79"/>
      <c r="Z80" s="130"/>
      <c r="AB80" s="106"/>
    </row>
    <row r="81">
      <c r="C81" s="79"/>
      <c r="D81" s="79"/>
      <c r="E81" s="79"/>
      <c r="M81" s="79"/>
      <c r="R81" s="79"/>
      <c r="S81" s="79"/>
      <c r="V81" s="79"/>
      <c r="W81" s="79"/>
      <c r="Z81" s="130"/>
      <c r="AB81" s="106"/>
    </row>
    <row r="82">
      <c r="C82" s="79"/>
      <c r="D82" s="79"/>
      <c r="E82" s="79"/>
      <c r="M82" s="79"/>
      <c r="R82" s="79"/>
      <c r="S82" s="79"/>
      <c r="V82" s="79"/>
      <c r="W82" s="79"/>
      <c r="Z82" s="130"/>
      <c r="AB82" s="106"/>
    </row>
    <row r="83">
      <c r="C83" s="79"/>
      <c r="D83" s="79"/>
      <c r="E83" s="79"/>
      <c r="M83" s="79"/>
      <c r="R83" s="79"/>
      <c r="S83" s="79"/>
      <c r="V83" s="79"/>
      <c r="W83" s="79"/>
      <c r="Z83" s="130"/>
      <c r="AB83" s="106"/>
    </row>
    <row r="84">
      <c r="C84" s="79"/>
      <c r="D84" s="79"/>
      <c r="E84" s="79"/>
      <c r="M84" s="79"/>
      <c r="R84" s="79"/>
      <c r="S84" s="79"/>
      <c r="V84" s="79"/>
      <c r="W84" s="79"/>
      <c r="Z84" s="130"/>
      <c r="AB84" s="106"/>
    </row>
    <row r="85">
      <c r="C85" s="79"/>
      <c r="D85" s="79"/>
      <c r="E85" s="79"/>
      <c r="M85" s="79"/>
      <c r="R85" s="79"/>
      <c r="S85" s="79"/>
      <c r="V85" s="79"/>
      <c r="W85" s="79"/>
      <c r="Z85" s="130"/>
      <c r="AB85" s="106"/>
    </row>
    <row r="86">
      <c r="C86" s="79"/>
      <c r="D86" s="79"/>
      <c r="E86" s="79"/>
      <c r="M86" s="79"/>
      <c r="R86" s="79"/>
      <c r="S86" s="79"/>
      <c r="V86" s="79"/>
      <c r="W86" s="79"/>
      <c r="Z86" s="130"/>
      <c r="AB86" s="106"/>
    </row>
    <row r="87">
      <c r="C87" s="79"/>
      <c r="D87" s="79"/>
      <c r="E87" s="79"/>
      <c r="M87" s="79"/>
      <c r="R87" s="79"/>
      <c r="S87" s="79"/>
      <c r="V87" s="79"/>
      <c r="W87" s="79"/>
      <c r="Z87" s="130"/>
      <c r="AB87" s="106"/>
    </row>
    <row r="88">
      <c r="C88" s="79"/>
      <c r="D88" s="79"/>
      <c r="E88" s="79"/>
      <c r="M88" s="79"/>
      <c r="R88" s="79"/>
      <c r="S88" s="79"/>
      <c r="V88" s="79"/>
      <c r="W88" s="79"/>
      <c r="Z88" s="130"/>
      <c r="AB88" s="106"/>
    </row>
    <row r="89">
      <c r="C89" s="79"/>
      <c r="D89" s="79"/>
      <c r="E89" s="79"/>
      <c r="M89" s="79"/>
      <c r="R89" s="79"/>
      <c r="S89" s="79"/>
      <c r="V89" s="79"/>
      <c r="W89" s="79"/>
      <c r="Z89" s="130"/>
      <c r="AB89" s="106"/>
    </row>
    <row r="90">
      <c r="C90" s="79"/>
      <c r="D90" s="79"/>
      <c r="E90" s="79"/>
      <c r="M90" s="79"/>
      <c r="R90" s="79"/>
      <c r="S90" s="79"/>
      <c r="V90" s="79"/>
      <c r="W90" s="79"/>
      <c r="Z90" s="130"/>
      <c r="AB90" s="106"/>
    </row>
    <row r="91">
      <c r="C91" s="79"/>
      <c r="D91" s="79"/>
      <c r="E91" s="79"/>
      <c r="M91" s="79"/>
      <c r="R91" s="79"/>
      <c r="S91" s="79"/>
      <c r="V91" s="79"/>
      <c r="W91" s="79"/>
      <c r="Z91" s="130"/>
      <c r="AB91" s="106"/>
    </row>
    <row r="92">
      <c r="C92" s="79"/>
      <c r="D92" s="79"/>
      <c r="E92" s="79"/>
      <c r="M92" s="79"/>
      <c r="R92" s="79"/>
      <c r="S92" s="79"/>
      <c r="V92" s="79"/>
      <c r="W92" s="79"/>
      <c r="Z92" s="130"/>
      <c r="AB92" s="106"/>
    </row>
    <row r="93">
      <c r="C93" s="79"/>
      <c r="D93" s="79"/>
      <c r="E93" s="79"/>
      <c r="M93" s="79"/>
      <c r="R93" s="79"/>
      <c r="S93" s="79"/>
      <c r="V93" s="79"/>
      <c r="W93" s="79"/>
      <c r="Z93" s="130"/>
      <c r="AB93" s="106"/>
    </row>
    <row r="94">
      <c r="C94" s="79"/>
      <c r="D94" s="79"/>
      <c r="E94" s="79"/>
      <c r="M94" s="79"/>
      <c r="R94" s="79"/>
      <c r="S94" s="79"/>
      <c r="V94" s="79"/>
      <c r="W94" s="79"/>
      <c r="Z94" s="130"/>
      <c r="AB94" s="106"/>
    </row>
    <row r="95">
      <c r="C95" s="79"/>
      <c r="D95" s="79"/>
      <c r="E95" s="79"/>
      <c r="M95" s="79"/>
      <c r="R95" s="79"/>
      <c r="S95" s="79"/>
      <c r="V95" s="79"/>
      <c r="W95" s="79"/>
      <c r="Z95" s="130"/>
      <c r="AB95" s="106"/>
    </row>
    <row r="96">
      <c r="C96" s="79"/>
      <c r="D96" s="79"/>
      <c r="E96" s="79"/>
      <c r="M96" s="79"/>
      <c r="R96" s="79"/>
      <c r="S96" s="79"/>
      <c r="V96" s="79"/>
      <c r="W96" s="79"/>
      <c r="Z96" s="130"/>
      <c r="AB96" s="106"/>
    </row>
    <row r="97">
      <c r="C97" s="79"/>
      <c r="D97" s="79"/>
      <c r="E97" s="79"/>
      <c r="M97" s="79"/>
      <c r="R97" s="79"/>
      <c r="S97" s="79"/>
      <c r="V97" s="79"/>
      <c r="W97" s="79"/>
      <c r="Z97" s="130"/>
      <c r="AB97" s="106"/>
    </row>
    <row r="98">
      <c r="C98" s="79"/>
      <c r="D98" s="79"/>
      <c r="E98" s="79"/>
      <c r="M98" s="79"/>
      <c r="R98" s="79"/>
      <c r="S98" s="79"/>
      <c r="V98" s="79"/>
      <c r="W98" s="79"/>
      <c r="Z98" s="130"/>
      <c r="AB98" s="106"/>
    </row>
    <row r="99">
      <c r="C99" s="79"/>
      <c r="D99" s="79"/>
      <c r="E99" s="79"/>
      <c r="M99" s="79"/>
      <c r="R99" s="79"/>
      <c r="S99" s="79"/>
      <c r="V99" s="79"/>
      <c r="W99" s="79"/>
      <c r="Z99" s="130"/>
      <c r="AB99" s="106"/>
    </row>
    <row r="100">
      <c r="C100" s="79"/>
      <c r="D100" s="79"/>
      <c r="E100" s="79"/>
      <c r="M100" s="79"/>
      <c r="R100" s="79"/>
      <c r="S100" s="79"/>
      <c r="V100" s="79"/>
      <c r="W100" s="79"/>
      <c r="Z100" s="130"/>
      <c r="AB100" s="106"/>
    </row>
    <row r="101">
      <c r="C101" s="79"/>
      <c r="D101" s="79"/>
      <c r="E101" s="79"/>
      <c r="M101" s="79"/>
      <c r="R101" s="79"/>
      <c r="S101" s="79"/>
      <c r="V101" s="79"/>
      <c r="W101" s="79"/>
      <c r="Z101" s="130"/>
      <c r="AB101" s="106"/>
    </row>
    <row r="102">
      <c r="C102" s="79"/>
      <c r="D102" s="79"/>
      <c r="E102" s="79"/>
      <c r="M102" s="79"/>
      <c r="R102" s="79"/>
      <c r="S102" s="79"/>
      <c r="V102" s="79"/>
      <c r="W102" s="79"/>
      <c r="Z102" s="130"/>
      <c r="AB102" s="106"/>
    </row>
    <row r="103">
      <c r="C103" s="79"/>
      <c r="D103" s="79"/>
      <c r="E103" s="79"/>
      <c r="M103" s="79"/>
      <c r="R103" s="79"/>
      <c r="S103" s="79"/>
      <c r="V103" s="79"/>
      <c r="W103" s="79"/>
      <c r="Z103" s="130"/>
      <c r="AB103" s="106"/>
    </row>
    <row r="104">
      <c r="C104" s="79"/>
      <c r="D104" s="79"/>
      <c r="E104" s="79"/>
      <c r="M104" s="79"/>
      <c r="R104" s="79"/>
      <c r="S104" s="79"/>
      <c r="V104" s="79"/>
      <c r="W104" s="79"/>
      <c r="Z104" s="130"/>
      <c r="AB104" s="106"/>
    </row>
    <row r="105">
      <c r="C105" s="79"/>
      <c r="D105" s="79"/>
      <c r="E105" s="79"/>
      <c r="M105" s="79"/>
      <c r="R105" s="79"/>
      <c r="S105" s="79"/>
      <c r="V105" s="79"/>
      <c r="W105" s="79"/>
      <c r="Z105" s="130"/>
      <c r="AB105" s="106"/>
    </row>
    <row r="106">
      <c r="C106" s="79"/>
      <c r="D106" s="79"/>
      <c r="E106" s="79"/>
      <c r="M106" s="79"/>
      <c r="R106" s="79"/>
      <c r="S106" s="79"/>
      <c r="V106" s="79"/>
      <c r="W106" s="79"/>
      <c r="Z106" s="130"/>
      <c r="AB106" s="106"/>
    </row>
    <row r="107">
      <c r="C107" s="79"/>
      <c r="D107" s="79"/>
      <c r="E107" s="79"/>
      <c r="M107" s="79"/>
      <c r="R107" s="79"/>
      <c r="S107" s="79"/>
      <c r="V107" s="79"/>
      <c r="W107" s="79"/>
      <c r="Z107" s="130"/>
      <c r="AB107" s="106"/>
    </row>
    <row r="108">
      <c r="C108" s="79"/>
      <c r="D108" s="79"/>
      <c r="E108" s="79"/>
      <c r="M108" s="79"/>
      <c r="R108" s="79"/>
      <c r="S108" s="79"/>
      <c r="V108" s="79"/>
      <c r="W108" s="79"/>
      <c r="Z108" s="130"/>
      <c r="AB108" s="106"/>
    </row>
    <row r="109">
      <c r="C109" s="79"/>
      <c r="D109" s="79"/>
      <c r="E109" s="79"/>
      <c r="M109" s="79"/>
      <c r="R109" s="79"/>
      <c r="S109" s="79"/>
      <c r="V109" s="79"/>
      <c r="W109" s="79"/>
      <c r="Z109" s="130"/>
      <c r="AB109" s="106"/>
    </row>
    <row r="110">
      <c r="C110" s="79"/>
      <c r="D110" s="79"/>
      <c r="E110" s="79"/>
      <c r="M110" s="79"/>
      <c r="R110" s="79"/>
      <c r="S110" s="79"/>
      <c r="V110" s="79"/>
      <c r="W110" s="79"/>
      <c r="Z110" s="130"/>
      <c r="AB110" s="106"/>
    </row>
    <row r="111">
      <c r="C111" s="79"/>
      <c r="D111" s="79"/>
      <c r="E111" s="79"/>
      <c r="M111" s="79"/>
      <c r="R111" s="79"/>
      <c r="S111" s="79"/>
      <c r="V111" s="79"/>
      <c r="W111" s="79"/>
      <c r="Z111" s="130"/>
      <c r="AB111" s="106"/>
    </row>
    <row r="112">
      <c r="C112" s="79"/>
      <c r="D112" s="79"/>
      <c r="E112" s="79"/>
      <c r="M112" s="79"/>
      <c r="R112" s="79"/>
      <c r="S112" s="79"/>
      <c r="V112" s="79"/>
      <c r="W112" s="79"/>
      <c r="Z112" s="130"/>
      <c r="AB112" s="106"/>
    </row>
    <row r="113">
      <c r="C113" s="79"/>
      <c r="D113" s="79"/>
      <c r="E113" s="79"/>
      <c r="M113" s="79"/>
      <c r="R113" s="79"/>
      <c r="S113" s="79"/>
      <c r="V113" s="79"/>
      <c r="W113" s="79"/>
      <c r="Z113" s="130"/>
      <c r="AB113" s="106"/>
    </row>
    <row r="114">
      <c r="C114" s="79"/>
      <c r="D114" s="79"/>
      <c r="E114" s="79"/>
      <c r="M114" s="79"/>
      <c r="R114" s="79"/>
      <c r="S114" s="79"/>
      <c r="V114" s="79"/>
      <c r="W114" s="79"/>
      <c r="Z114" s="130"/>
      <c r="AB114" s="106"/>
    </row>
    <row r="115">
      <c r="C115" s="79"/>
      <c r="D115" s="79"/>
      <c r="E115" s="79"/>
      <c r="M115" s="79"/>
      <c r="R115" s="79"/>
      <c r="S115" s="79"/>
      <c r="V115" s="79"/>
      <c r="W115" s="79"/>
      <c r="Z115" s="130"/>
      <c r="AB115" s="106"/>
    </row>
    <row r="116">
      <c r="C116" s="79"/>
      <c r="D116" s="79"/>
      <c r="E116" s="79"/>
      <c r="M116" s="79"/>
      <c r="R116" s="79"/>
      <c r="S116" s="79"/>
      <c r="V116" s="79"/>
      <c r="W116" s="79"/>
      <c r="Z116" s="130"/>
      <c r="AB116" s="106"/>
    </row>
    <row r="117">
      <c r="C117" s="79"/>
      <c r="D117" s="79"/>
      <c r="E117" s="79"/>
      <c r="M117" s="79"/>
      <c r="R117" s="79"/>
      <c r="S117" s="79"/>
      <c r="V117" s="79"/>
      <c r="W117" s="79"/>
      <c r="Z117" s="130"/>
      <c r="AB117" s="106"/>
    </row>
    <row r="118">
      <c r="C118" s="79"/>
      <c r="D118" s="79"/>
      <c r="E118" s="79"/>
      <c r="M118" s="79"/>
      <c r="R118" s="79"/>
      <c r="S118" s="79"/>
      <c r="V118" s="79"/>
      <c r="W118" s="79"/>
      <c r="Z118" s="130"/>
      <c r="AB118" s="106"/>
    </row>
    <row r="119">
      <c r="C119" s="79"/>
      <c r="D119" s="79"/>
      <c r="E119" s="79"/>
      <c r="M119" s="79"/>
      <c r="R119" s="79"/>
      <c r="S119" s="79"/>
      <c r="V119" s="79"/>
      <c r="W119" s="79"/>
      <c r="Z119" s="130"/>
      <c r="AB119" s="106"/>
    </row>
    <row r="120">
      <c r="C120" s="79"/>
      <c r="D120" s="79"/>
      <c r="E120" s="79"/>
      <c r="M120" s="79"/>
      <c r="R120" s="79"/>
      <c r="S120" s="79"/>
      <c r="V120" s="79"/>
      <c r="W120" s="79"/>
      <c r="Z120" s="130"/>
      <c r="AB120" s="106"/>
    </row>
    <row r="121">
      <c r="C121" s="79"/>
      <c r="D121" s="79"/>
      <c r="E121" s="79"/>
      <c r="M121" s="79"/>
      <c r="R121" s="79"/>
      <c r="S121" s="79"/>
      <c r="V121" s="79"/>
      <c r="W121" s="79"/>
      <c r="Z121" s="130"/>
      <c r="AB121" s="106"/>
    </row>
    <row r="122">
      <c r="C122" s="79"/>
      <c r="D122" s="79"/>
      <c r="E122" s="79"/>
      <c r="M122" s="79"/>
      <c r="R122" s="79"/>
      <c r="S122" s="79"/>
      <c r="V122" s="79"/>
      <c r="W122" s="79"/>
      <c r="Z122" s="130"/>
      <c r="AB122" s="106"/>
    </row>
    <row r="123">
      <c r="C123" s="79"/>
      <c r="D123" s="79"/>
      <c r="E123" s="79"/>
      <c r="M123" s="79"/>
      <c r="R123" s="79"/>
      <c r="S123" s="79"/>
      <c r="V123" s="79"/>
      <c r="W123" s="79"/>
      <c r="Z123" s="130"/>
      <c r="AB123" s="106"/>
    </row>
    <row r="124">
      <c r="C124" s="79"/>
      <c r="D124" s="79"/>
      <c r="E124" s="79"/>
      <c r="M124" s="79"/>
      <c r="R124" s="79"/>
      <c r="S124" s="79"/>
      <c r="V124" s="79"/>
      <c r="W124" s="79"/>
      <c r="Z124" s="130"/>
      <c r="AB124" s="106"/>
    </row>
    <row r="125">
      <c r="C125" s="79"/>
      <c r="D125" s="79"/>
      <c r="E125" s="79"/>
      <c r="M125" s="79"/>
      <c r="R125" s="79"/>
      <c r="S125" s="79"/>
      <c r="V125" s="79"/>
      <c r="W125" s="79"/>
      <c r="Z125" s="130"/>
      <c r="AB125" s="106"/>
    </row>
    <row r="126">
      <c r="C126" s="79"/>
      <c r="D126" s="79"/>
      <c r="E126" s="79"/>
      <c r="M126" s="79"/>
      <c r="R126" s="79"/>
      <c r="S126" s="79"/>
      <c r="V126" s="79"/>
      <c r="W126" s="79"/>
      <c r="Z126" s="130"/>
      <c r="AB126" s="106"/>
    </row>
    <row r="127">
      <c r="C127" s="79"/>
      <c r="D127" s="79"/>
      <c r="E127" s="79"/>
      <c r="M127" s="79"/>
      <c r="R127" s="79"/>
      <c r="S127" s="79"/>
      <c r="V127" s="79"/>
      <c r="W127" s="79"/>
      <c r="Z127" s="130"/>
      <c r="AB127" s="106"/>
    </row>
    <row r="128">
      <c r="C128" s="79"/>
      <c r="D128" s="79"/>
      <c r="E128" s="79"/>
      <c r="M128" s="79"/>
      <c r="R128" s="79"/>
      <c r="S128" s="79"/>
      <c r="V128" s="79"/>
      <c r="W128" s="79"/>
      <c r="Z128" s="130"/>
      <c r="AB128" s="106"/>
    </row>
    <row r="129">
      <c r="C129" s="79"/>
      <c r="D129" s="79"/>
      <c r="E129" s="79"/>
      <c r="M129" s="79"/>
      <c r="R129" s="79"/>
      <c r="S129" s="79"/>
      <c r="V129" s="79"/>
      <c r="W129" s="79"/>
      <c r="Z129" s="130"/>
      <c r="AB129" s="106"/>
    </row>
    <row r="130">
      <c r="C130" s="79"/>
      <c r="D130" s="79"/>
      <c r="E130" s="79"/>
      <c r="M130" s="79"/>
      <c r="R130" s="79"/>
      <c r="S130" s="79"/>
      <c r="V130" s="79"/>
      <c r="W130" s="79"/>
      <c r="Z130" s="130"/>
      <c r="AB130" s="106"/>
    </row>
    <row r="131">
      <c r="C131" s="79"/>
      <c r="D131" s="79"/>
      <c r="E131" s="79"/>
      <c r="M131" s="79"/>
      <c r="R131" s="79"/>
      <c r="S131" s="79"/>
      <c r="V131" s="79"/>
      <c r="W131" s="79"/>
      <c r="Z131" s="130"/>
      <c r="AB131" s="106"/>
    </row>
    <row r="132">
      <c r="C132" s="79"/>
      <c r="D132" s="79"/>
      <c r="E132" s="79"/>
      <c r="M132" s="79"/>
      <c r="R132" s="79"/>
      <c r="S132" s="79"/>
      <c r="V132" s="79"/>
      <c r="W132" s="79"/>
      <c r="Z132" s="130"/>
      <c r="AB132" s="106"/>
    </row>
    <row r="133">
      <c r="C133" s="79"/>
      <c r="D133" s="79"/>
      <c r="E133" s="79"/>
      <c r="M133" s="79"/>
      <c r="R133" s="79"/>
      <c r="S133" s="79"/>
      <c r="V133" s="79"/>
      <c r="W133" s="79"/>
      <c r="Z133" s="130"/>
      <c r="AB133" s="106"/>
    </row>
    <row r="134">
      <c r="C134" s="79"/>
      <c r="D134" s="79"/>
      <c r="E134" s="79"/>
      <c r="M134" s="79"/>
      <c r="R134" s="79"/>
      <c r="S134" s="79"/>
      <c r="V134" s="79"/>
      <c r="W134" s="79"/>
      <c r="Z134" s="130"/>
      <c r="AB134" s="106"/>
    </row>
    <row r="135">
      <c r="C135" s="79"/>
      <c r="D135" s="79"/>
      <c r="E135" s="79"/>
      <c r="M135" s="79"/>
      <c r="R135" s="79"/>
      <c r="S135" s="79"/>
      <c r="V135" s="79"/>
      <c r="W135" s="79"/>
      <c r="Z135" s="130"/>
      <c r="AB135" s="106"/>
    </row>
    <row r="136">
      <c r="C136" s="79"/>
      <c r="D136" s="79"/>
      <c r="E136" s="79"/>
      <c r="M136" s="79"/>
      <c r="R136" s="79"/>
      <c r="S136" s="79"/>
      <c r="V136" s="79"/>
      <c r="W136" s="79"/>
      <c r="Z136" s="130"/>
      <c r="AB136" s="106"/>
    </row>
    <row r="137">
      <c r="C137" s="79"/>
      <c r="D137" s="79"/>
      <c r="E137" s="79"/>
      <c r="M137" s="79"/>
      <c r="R137" s="79"/>
      <c r="S137" s="79"/>
      <c r="V137" s="79"/>
      <c r="W137" s="79"/>
      <c r="Z137" s="130"/>
      <c r="AB137" s="106"/>
    </row>
    <row r="138">
      <c r="C138" s="79"/>
      <c r="D138" s="79"/>
      <c r="E138" s="79"/>
      <c r="M138" s="79"/>
      <c r="R138" s="79"/>
      <c r="S138" s="79"/>
      <c r="V138" s="79"/>
      <c r="W138" s="79"/>
      <c r="Z138" s="130"/>
      <c r="AB138" s="106"/>
    </row>
    <row r="139">
      <c r="C139" s="79"/>
      <c r="D139" s="79"/>
      <c r="E139" s="79"/>
      <c r="M139" s="79"/>
      <c r="R139" s="79"/>
      <c r="S139" s="79"/>
      <c r="V139" s="79"/>
      <c r="W139" s="79"/>
      <c r="Z139" s="130"/>
      <c r="AB139" s="106"/>
    </row>
    <row r="140">
      <c r="C140" s="79"/>
      <c r="D140" s="79"/>
      <c r="E140" s="79"/>
      <c r="M140" s="79"/>
      <c r="R140" s="79"/>
      <c r="S140" s="79"/>
      <c r="V140" s="79"/>
      <c r="W140" s="79"/>
      <c r="Z140" s="130"/>
      <c r="AB140" s="106"/>
    </row>
    <row r="141">
      <c r="C141" s="79"/>
      <c r="D141" s="79"/>
      <c r="E141" s="79"/>
      <c r="M141" s="79"/>
      <c r="R141" s="79"/>
      <c r="S141" s="79"/>
      <c r="V141" s="79"/>
      <c r="W141" s="79"/>
      <c r="Z141" s="130"/>
      <c r="AB141" s="106"/>
    </row>
    <row r="142">
      <c r="C142" s="79"/>
      <c r="D142" s="79"/>
      <c r="E142" s="79"/>
      <c r="M142" s="79"/>
      <c r="R142" s="79"/>
      <c r="S142" s="79"/>
      <c r="V142" s="79"/>
      <c r="W142" s="79"/>
      <c r="Z142" s="130"/>
      <c r="AB142" s="106"/>
    </row>
    <row r="143">
      <c r="C143" s="79"/>
      <c r="D143" s="79"/>
      <c r="E143" s="79"/>
      <c r="M143" s="79"/>
      <c r="R143" s="79"/>
      <c r="S143" s="79"/>
      <c r="V143" s="79"/>
      <c r="W143" s="79"/>
      <c r="Z143" s="130"/>
      <c r="AB143" s="106"/>
    </row>
    <row r="144">
      <c r="C144" s="79"/>
      <c r="D144" s="79"/>
      <c r="E144" s="79"/>
      <c r="M144" s="79"/>
      <c r="R144" s="79"/>
      <c r="S144" s="79"/>
      <c r="V144" s="79"/>
      <c r="W144" s="79"/>
      <c r="Z144" s="130"/>
      <c r="AB144" s="106"/>
    </row>
    <row r="145">
      <c r="C145" s="79"/>
      <c r="D145" s="79"/>
      <c r="E145" s="79"/>
      <c r="M145" s="79"/>
      <c r="R145" s="79"/>
      <c r="S145" s="79"/>
      <c r="V145" s="79"/>
      <c r="W145" s="79"/>
      <c r="Z145" s="130"/>
      <c r="AB145" s="106"/>
    </row>
    <row r="146">
      <c r="C146" s="79"/>
      <c r="D146" s="79"/>
      <c r="E146" s="79"/>
      <c r="M146" s="79"/>
      <c r="R146" s="79"/>
      <c r="S146" s="79"/>
      <c r="V146" s="79"/>
      <c r="W146" s="79"/>
      <c r="Z146" s="130"/>
      <c r="AB146" s="106"/>
    </row>
    <row r="147">
      <c r="C147" s="79"/>
      <c r="D147" s="79"/>
      <c r="E147" s="79"/>
      <c r="M147" s="79"/>
      <c r="R147" s="79"/>
      <c r="S147" s="79"/>
      <c r="V147" s="79"/>
      <c r="W147" s="79"/>
      <c r="Z147" s="130"/>
      <c r="AB147" s="106"/>
    </row>
    <row r="148">
      <c r="C148" s="79"/>
      <c r="D148" s="79"/>
      <c r="E148" s="79"/>
      <c r="M148" s="79"/>
      <c r="R148" s="79"/>
      <c r="S148" s="79"/>
      <c r="V148" s="79"/>
      <c r="W148" s="79"/>
      <c r="Z148" s="130"/>
      <c r="AB148" s="106"/>
    </row>
    <row r="149">
      <c r="C149" s="79"/>
      <c r="D149" s="79"/>
      <c r="E149" s="79"/>
      <c r="M149" s="79"/>
      <c r="R149" s="79"/>
      <c r="S149" s="79"/>
      <c r="V149" s="79"/>
      <c r="W149" s="79"/>
      <c r="Z149" s="130"/>
      <c r="AB149" s="106"/>
    </row>
    <row r="150">
      <c r="C150" s="79"/>
      <c r="D150" s="79"/>
      <c r="E150" s="79"/>
      <c r="M150" s="79"/>
      <c r="R150" s="79"/>
      <c r="S150" s="79"/>
      <c r="V150" s="79"/>
      <c r="W150" s="79"/>
      <c r="Z150" s="130"/>
      <c r="AB150" s="106"/>
    </row>
    <row r="151">
      <c r="C151" s="79"/>
      <c r="D151" s="79"/>
      <c r="E151" s="79"/>
      <c r="M151" s="79"/>
      <c r="R151" s="79"/>
      <c r="S151" s="79"/>
      <c r="V151" s="79"/>
      <c r="W151" s="79"/>
      <c r="Z151" s="130"/>
      <c r="AB151" s="106"/>
    </row>
    <row r="152">
      <c r="C152" s="79"/>
      <c r="D152" s="79"/>
      <c r="E152" s="79"/>
      <c r="M152" s="79"/>
      <c r="R152" s="79"/>
      <c r="S152" s="79"/>
      <c r="V152" s="79"/>
      <c r="W152" s="79"/>
      <c r="Z152" s="130"/>
      <c r="AB152" s="106"/>
    </row>
    <row r="153">
      <c r="C153" s="79"/>
      <c r="D153" s="79"/>
      <c r="E153" s="79"/>
      <c r="M153" s="79"/>
      <c r="R153" s="79"/>
      <c r="S153" s="79"/>
      <c r="V153" s="79"/>
      <c r="W153" s="79"/>
      <c r="Z153" s="130"/>
      <c r="AB153" s="106"/>
    </row>
    <row r="154">
      <c r="C154" s="79"/>
      <c r="D154" s="79"/>
      <c r="E154" s="79"/>
      <c r="M154" s="79"/>
      <c r="R154" s="79"/>
      <c r="S154" s="79"/>
      <c r="V154" s="79"/>
      <c r="W154" s="79"/>
      <c r="Z154" s="130"/>
      <c r="AB154" s="106"/>
    </row>
    <row r="155">
      <c r="C155" s="79"/>
      <c r="D155" s="79"/>
      <c r="E155" s="79"/>
      <c r="M155" s="79"/>
      <c r="R155" s="79"/>
      <c r="S155" s="79"/>
      <c r="V155" s="79"/>
      <c r="W155" s="79"/>
      <c r="Z155" s="130"/>
      <c r="AB155" s="106"/>
    </row>
    <row r="156">
      <c r="C156" s="79"/>
      <c r="D156" s="79"/>
      <c r="E156" s="79"/>
      <c r="M156" s="79"/>
      <c r="R156" s="79"/>
      <c r="S156" s="79"/>
      <c r="V156" s="79"/>
      <c r="W156" s="79"/>
      <c r="Z156" s="130"/>
      <c r="AB156" s="106"/>
    </row>
    <row r="157">
      <c r="C157" s="79"/>
      <c r="D157" s="79"/>
      <c r="E157" s="79"/>
      <c r="M157" s="79"/>
      <c r="R157" s="79"/>
      <c r="S157" s="79"/>
      <c r="V157" s="79"/>
      <c r="W157" s="79"/>
      <c r="Z157" s="130"/>
      <c r="AB157" s="106"/>
    </row>
    <row r="158">
      <c r="C158" s="79"/>
      <c r="D158" s="79"/>
      <c r="E158" s="79"/>
      <c r="M158" s="79"/>
      <c r="R158" s="79"/>
      <c r="S158" s="79"/>
      <c r="V158" s="79"/>
      <c r="W158" s="79"/>
      <c r="Z158" s="130"/>
      <c r="AB158" s="106"/>
    </row>
    <row r="159">
      <c r="C159" s="79"/>
      <c r="D159" s="79"/>
      <c r="E159" s="79"/>
      <c r="M159" s="79"/>
      <c r="R159" s="79"/>
      <c r="S159" s="79"/>
      <c r="V159" s="79"/>
      <c r="W159" s="79"/>
      <c r="Z159" s="130"/>
      <c r="AB159" s="106"/>
    </row>
    <row r="160">
      <c r="C160" s="79"/>
      <c r="D160" s="79"/>
      <c r="E160" s="79"/>
      <c r="M160" s="79"/>
      <c r="R160" s="79"/>
      <c r="S160" s="79"/>
      <c r="V160" s="79"/>
      <c r="W160" s="79"/>
      <c r="Z160" s="130"/>
      <c r="AB160" s="106"/>
    </row>
    <row r="161">
      <c r="C161" s="79"/>
      <c r="D161" s="79"/>
      <c r="E161" s="79"/>
      <c r="M161" s="79"/>
      <c r="R161" s="79"/>
      <c r="S161" s="79"/>
      <c r="V161" s="79"/>
      <c r="W161" s="79"/>
      <c r="Z161" s="130"/>
      <c r="AB161" s="106"/>
    </row>
    <row r="162">
      <c r="C162" s="79"/>
      <c r="D162" s="79"/>
      <c r="E162" s="79"/>
      <c r="M162" s="79"/>
      <c r="R162" s="79"/>
      <c r="S162" s="79"/>
      <c r="V162" s="79"/>
      <c r="W162" s="79"/>
      <c r="Z162" s="130"/>
      <c r="AB162" s="106"/>
    </row>
    <row r="163">
      <c r="C163" s="79"/>
      <c r="D163" s="79"/>
      <c r="E163" s="79"/>
      <c r="M163" s="79"/>
      <c r="R163" s="79"/>
      <c r="S163" s="79"/>
      <c r="V163" s="79"/>
      <c r="W163" s="79"/>
      <c r="Z163" s="130"/>
      <c r="AB163" s="106"/>
    </row>
    <row r="164">
      <c r="C164" s="79"/>
      <c r="D164" s="79"/>
      <c r="E164" s="79"/>
      <c r="M164" s="79"/>
      <c r="R164" s="79"/>
      <c r="S164" s="79"/>
      <c r="V164" s="79"/>
      <c r="W164" s="79"/>
      <c r="Z164" s="130"/>
      <c r="AB164" s="106"/>
    </row>
    <row r="165">
      <c r="C165" s="79"/>
      <c r="D165" s="79"/>
      <c r="E165" s="79"/>
      <c r="M165" s="79"/>
      <c r="R165" s="79"/>
      <c r="S165" s="79"/>
      <c r="V165" s="79"/>
      <c r="W165" s="79"/>
      <c r="Z165" s="130"/>
      <c r="AB165" s="106"/>
    </row>
    <row r="166">
      <c r="C166" s="79"/>
      <c r="D166" s="79"/>
      <c r="E166" s="79"/>
      <c r="M166" s="79"/>
      <c r="R166" s="79"/>
      <c r="S166" s="79"/>
      <c r="V166" s="79"/>
      <c r="W166" s="79"/>
      <c r="Z166" s="130"/>
      <c r="AB166" s="106"/>
    </row>
    <row r="167">
      <c r="C167" s="79"/>
      <c r="D167" s="79"/>
      <c r="E167" s="79"/>
      <c r="M167" s="79"/>
      <c r="R167" s="79"/>
      <c r="S167" s="79"/>
      <c r="V167" s="79"/>
      <c r="W167" s="79"/>
      <c r="Z167" s="130"/>
      <c r="AB167" s="106"/>
    </row>
    <row r="168">
      <c r="C168" s="79"/>
      <c r="D168" s="79"/>
      <c r="E168" s="79"/>
      <c r="M168" s="79"/>
      <c r="R168" s="79"/>
      <c r="S168" s="79"/>
      <c r="V168" s="79"/>
      <c r="W168" s="79"/>
      <c r="Z168" s="130"/>
      <c r="AB168" s="106"/>
    </row>
    <row r="169">
      <c r="C169" s="79"/>
      <c r="D169" s="79"/>
      <c r="E169" s="79"/>
      <c r="M169" s="79"/>
      <c r="R169" s="79"/>
      <c r="S169" s="79"/>
      <c r="V169" s="79"/>
      <c r="W169" s="79"/>
      <c r="Z169" s="130"/>
      <c r="AB169" s="106"/>
    </row>
    <row r="170">
      <c r="C170" s="79"/>
      <c r="D170" s="79"/>
      <c r="E170" s="79"/>
      <c r="M170" s="79"/>
      <c r="R170" s="79"/>
      <c r="S170" s="79"/>
      <c r="V170" s="79"/>
      <c r="W170" s="79"/>
      <c r="Z170" s="130"/>
      <c r="AB170" s="106"/>
    </row>
    <row r="171">
      <c r="C171" s="79"/>
      <c r="D171" s="79"/>
      <c r="E171" s="79"/>
      <c r="M171" s="79"/>
      <c r="R171" s="79"/>
      <c r="S171" s="79"/>
      <c r="V171" s="79"/>
      <c r="W171" s="79"/>
      <c r="Z171" s="130"/>
      <c r="AB171" s="106"/>
    </row>
    <row r="172">
      <c r="C172" s="79"/>
      <c r="D172" s="79"/>
      <c r="E172" s="79"/>
      <c r="M172" s="79"/>
      <c r="R172" s="79"/>
      <c r="S172" s="79"/>
      <c r="V172" s="79"/>
      <c r="W172" s="79"/>
      <c r="Z172" s="130"/>
      <c r="AB172" s="106"/>
    </row>
    <row r="173">
      <c r="C173" s="79"/>
      <c r="D173" s="79"/>
      <c r="E173" s="79"/>
      <c r="M173" s="79"/>
      <c r="R173" s="79"/>
      <c r="S173" s="79"/>
      <c r="V173" s="79"/>
      <c r="W173" s="79"/>
      <c r="Z173" s="130"/>
      <c r="AB173" s="106"/>
    </row>
    <row r="174">
      <c r="C174" s="79"/>
      <c r="D174" s="79"/>
      <c r="E174" s="79"/>
      <c r="M174" s="79"/>
      <c r="R174" s="79"/>
      <c r="S174" s="79"/>
      <c r="V174" s="79"/>
      <c r="W174" s="79"/>
      <c r="Z174" s="130"/>
      <c r="AB174" s="106"/>
    </row>
    <row r="175">
      <c r="C175" s="79"/>
      <c r="D175" s="79"/>
      <c r="E175" s="79"/>
      <c r="M175" s="79"/>
      <c r="R175" s="79"/>
      <c r="S175" s="79"/>
      <c r="V175" s="79"/>
      <c r="W175" s="79"/>
      <c r="Z175" s="130"/>
      <c r="AB175" s="106"/>
    </row>
    <row r="176">
      <c r="C176" s="79"/>
      <c r="D176" s="79"/>
      <c r="E176" s="79"/>
      <c r="M176" s="79"/>
      <c r="R176" s="79"/>
      <c r="S176" s="79"/>
      <c r="V176" s="79"/>
      <c r="W176" s="79"/>
      <c r="Z176" s="130"/>
      <c r="AB176" s="106"/>
    </row>
    <row r="177">
      <c r="C177" s="79"/>
      <c r="D177" s="79"/>
      <c r="E177" s="79"/>
      <c r="M177" s="79"/>
      <c r="R177" s="79"/>
      <c r="S177" s="79"/>
      <c r="V177" s="79"/>
      <c r="W177" s="79"/>
      <c r="Z177" s="130"/>
      <c r="AB177" s="106"/>
    </row>
    <row r="178">
      <c r="C178" s="79"/>
      <c r="D178" s="79"/>
      <c r="E178" s="79"/>
      <c r="M178" s="79"/>
      <c r="R178" s="79"/>
      <c r="S178" s="79"/>
      <c r="V178" s="79"/>
      <c r="W178" s="79"/>
      <c r="Z178" s="130"/>
      <c r="AB178" s="106"/>
    </row>
    <row r="179">
      <c r="C179" s="79"/>
      <c r="D179" s="79"/>
      <c r="E179" s="79"/>
      <c r="M179" s="79"/>
      <c r="R179" s="79"/>
      <c r="S179" s="79"/>
      <c r="V179" s="79"/>
      <c r="W179" s="79"/>
      <c r="Z179" s="130"/>
      <c r="AB179" s="106"/>
    </row>
    <row r="180">
      <c r="C180" s="79"/>
      <c r="D180" s="79"/>
      <c r="E180" s="79"/>
      <c r="M180" s="79"/>
      <c r="R180" s="79"/>
      <c r="S180" s="79"/>
      <c r="V180" s="79"/>
      <c r="W180" s="79"/>
      <c r="Z180" s="130"/>
      <c r="AB180" s="106"/>
    </row>
    <row r="181">
      <c r="C181" s="79"/>
      <c r="D181" s="79"/>
      <c r="E181" s="79"/>
      <c r="M181" s="79"/>
      <c r="R181" s="79"/>
      <c r="S181" s="79"/>
      <c r="V181" s="79"/>
      <c r="W181" s="79"/>
      <c r="Z181" s="130"/>
      <c r="AB181" s="106"/>
    </row>
    <row r="182">
      <c r="C182" s="79"/>
      <c r="D182" s="79"/>
      <c r="E182" s="79"/>
      <c r="M182" s="79"/>
      <c r="R182" s="79"/>
      <c r="S182" s="79"/>
      <c r="V182" s="79"/>
      <c r="W182" s="79"/>
      <c r="Z182" s="130"/>
      <c r="AB182" s="106"/>
    </row>
    <row r="183">
      <c r="C183" s="79"/>
      <c r="D183" s="79"/>
      <c r="E183" s="79"/>
      <c r="M183" s="79"/>
      <c r="R183" s="79"/>
      <c r="S183" s="79"/>
      <c r="V183" s="79"/>
      <c r="W183" s="79"/>
      <c r="Z183" s="130"/>
      <c r="AB183" s="106"/>
    </row>
    <row r="184">
      <c r="C184" s="79"/>
      <c r="D184" s="79"/>
      <c r="E184" s="79"/>
      <c r="M184" s="79"/>
      <c r="R184" s="79"/>
      <c r="S184" s="79"/>
      <c r="V184" s="79"/>
      <c r="W184" s="79"/>
      <c r="Z184" s="130"/>
      <c r="AB184" s="106"/>
    </row>
    <row r="185">
      <c r="C185" s="79"/>
      <c r="D185" s="79"/>
      <c r="E185" s="79"/>
      <c r="M185" s="79"/>
      <c r="R185" s="79"/>
      <c r="S185" s="79"/>
      <c r="V185" s="79"/>
      <c r="W185" s="79"/>
      <c r="Z185" s="130"/>
      <c r="AB185" s="106"/>
    </row>
    <row r="186">
      <c r="C186" s="79"/>
      <c r="D186" s="79"/>
      <c r="E186" s="79"/>
      <c r="M186" s="79"/>
      <c r="R186" s="79"/>
      <c r="S186" s="79"/>
      <c r="V186" s="79"/>
      <c r="W186" s="79"/>
      <c r="Z186" s="130"/>
      <c r="AB186" s="106"/>
    </row>
    <row r="187">
      <c r="C187" s="79"/>
      <c r="D187" s="79"/>
      <c r="E187" s="79"/>
      <c r="M187" s="79"/>
      <c r="R187" s="79"/>
      <c r="S187" s="79"/>
      <c r="V187" s="79"/>
      <c r="W187" s="79"/>
      <c r="Z187" s="130"/>
      <c r="AB187" s="106"/>
    </row>
    <row r="188">
      <c r="C188" s="79"/>
      <c r="D188" s="79"/>
      <c r="E188" s="79"/>
      <c r="M188" s="79"/>
      <c r="R188" s="79"/>
      <c r="S188" s="79"/>
      <c r="V188" s="79"/>
      <c r="W188" s="79"/>
      <c r="Z188" s="130"/>
      <c r="AB188" s="106"/>
    </row>
    <row r="189">
      <c r="C189" s="79"/>
      <c r="D189" s="79"/>
      <c r="E189" s="79"/>
      <c r="M189" s="79"/>
      <c r="R189" s="79"/>
      <c r="S189" s="79"/>
      <c r="V189" s="79"/>
      <c r="W189" s="79"/>
      <c r="Z189" s="130"/>
      <c r="AB189" s="106"/>
    </row>
    <row r="190">
      <c r="C190" s="79"/>
      <c r="D190" s="79"/>
      <c r="E190" s="79"/>
      <c r="M190" s="79"/>
      <c r="R190" s="79"/>
      <c r="S190" s="79"/>
      <c r="V190" s="79"/>
      <c r="W190" s="79"/>
      <c r="Z190" s="130"/>
      <c r="AB190" s="106"/>
    </row>
    <row r="191">
      <c r="C191" s="79"/>
      <c r="D191" s="79"/>
      <c r="E191" s="79"/>
      <c r="M191" s="79"/>
      <c r="R191" s="79"/>
      <c r="S191" s="79"/>
      <c r="V191" s="79"/>
      <c r="W191" s="79"/>
      <c r="Z191" s="130"/>
      <c r="AB191" s="106"/>
    </row>
    <row r="192">
      <c r="C192" s="79"/>
      <c r="D192" s="79"/>
      <c r="E192" s="79"/>
      <c r="M192" s="79"/>
      <c r="R192" s="79"/>
      <c r="S192" s="79"/>
      <c r="V192" s="79"/>
      <c r="W192" s="79"/>
      <c r="Z192" s="130"/>
      <c r="AB192" s="106"/>
    </row>
    <row r="193">
      <c r="C193" s="79"/>
      <c r="D193" s="79"/>
      <c r="E193" s="79"/>
      <c r="M193" s="79"/>
      <c r="R193" s="79"/>
      <c r="S193" s="79"/>
      <c r="V193" s="79"/>
      <c r="W193" s="79"/>
      <c r="Z193" s="130"/>
      <c r="AB193" s="106"/>
    </row>
    <row r="194">
      <c r="C194" s="79"/>
      <c r="D194" s="79"/>
      <c r="E194" s="79"/>
      <c r="M194" s="79"/>
      <c r="R194" s="79"/>
      <c r="S194" s="79"/>
      <c r="V194" s="79"/>
      <c r="W194" s="79"/>
      <c r="Z194" s="130"/>
      <c r="AB194" s="106"/>
    </row>
    <row r="195">
      <c r="C195" s="79"/>
      <c r="D195" s="79"/>
      <c r="E195" s="79"/>
      <c r="M195" s="79"/>
      <c r="R195" s="79"/>
      <c r="S195" s="79"/>
      <c r="V195" s="79"/>
      <c r="W195" s="79"/>
      <c r="Z195" s="130"/>
      <c r="AB195" s="106"/>
    </row>
    <row r="196">
      <c r="C196" s="79"/>
      <c r="D196" s="79"/>
      <c r="E196" s="79"/>
      <c r="M196" s="79"/>
      <c r="R196" s="79"/>
      <c r="S196" s="79"/>
      <c r="V196" s="79"/>
      <c r="W196" s="79"/>
      <c r="Z196" s="130"/>
      <c r="AB196" s="106"/>
    </row>
    <row r="197">
      <c r="C197" s="79"/>
      <c r="D197" s="79"/>
      <c r="E197" s="79"/>
      <c r="M197" s="79"/>
      <c r="R197" s="79"/>
      <c r="S197" s="79"/>
      <c r="V197" s="79"/>
      <c r="W197" s="79"/>
      <c r="Z197" s="130"/>
      <c r="AB197" s="106"/>
    </row>
    <row r="198">
      <c r="C198" s="79"/>
      <c r="D198" s="79"/>
      <c r="E198" s="79"/>
      <c r="M198" s="79"/>
      <c r="R198" s="79"/>
      <c r="S198" s="79"/>
      <c r="V198" s="79"/>
      <c r="W198" s="79"/>
      <c r="Z198" s="130"/>
      <c r="AB198" s="106"/>
    </row>
    <row r="199">
      <c r="C199" s="79"/>
      <c r="D199" s="79"/>
      <c r="E199" s="79"/>
      <c r="M199" s="79"/>
      <c r="R199" s="79"/>
      <c r="S199" s="79"/>
      <c r="V199" s="79"/>
      <c r="W199" s="79"/>
      <c r="Z199" s="130"/>
      <c r="AB199" s="106"/>
    </row>
    <row r="200">
      <c r="C200" s="79"/>
      <c r="D200" s="79"/>
      <c r="E200" s="79"/>
      <c r="M200" s="79"/>
      <c r="R200" s="79"/>
      <c r="S200" s="79"/>
      <c r="V200" s="79"/>
      <c r="W200" s="79"/>
      <c r="Z200" s="130"/>
      <c r="AB200" s="106"/>
    </row>
    <row r="201">
      <c r="C201" s="79"/>
      <c r="D201" s="79"/>
      <c r="E201" s="79"/>
      <c r="M201" s="79"/>
      <c r="R201" s="79"/>
      <c r="S201" s="79"/>
      <c r="V201" s="79"/>
      <c r="W201" s="79"/>
      <c r="Z201" s="130"/>
      <c r="AB201" s="106"/>
    </row>
    <row r="202">
      <c r="C202" s="79"/>
      <c r="D202" s="79"/>
      <c r="E202" s="79"/>
      <c r="M202" s="79"/>
      <c r="R202" s="79"/>
      <c r="S202" s="79"/>
      <c r="V202" s="79"/>
      <c r="W202" s="79"/>
      <c r="Z202" s="130"/>
      <c r="AB202" s="106"/>
    </row>
    <row r="203">
      <c r="C203" s="79"/>
      <c r="D203" s="79"/>
      <c r="E203" s="79"/>
      <c r="M203" s="79"/>
      <c r="R203" s="79"/>
      <c r="S203" s="79"/>
      <c r="V203" s="79"/>
      <c r="W203" s="79"/>
      <c r="Z203" s="130"/>
      <c r="AB203" s="106"/>
    </row>
    <row r="204">
      <c r="C204" s="79"/>
      <c r="D204" s="79"/>
      <c r="E204" s="79"/>
      <c r="M204" s="79"/>
      <c r="R204" s="79"/>
      <c r="S204" s="79"/>
      <c r="V204" s="79"/>
      <c r="W204" s="79"/>
      <c r="Z204" s="130"/>
      <c r="AB204" s="106"/>
    </row>
    <row r="205">
      <c r="C205" s="79"/>
      <c r="D205" s="79"/>
      <c r="E205" s="79"/>
      <c r="M205" s="79"/>
      <c r="R205" s="79"/>
      <c r="S205" s="79"/>
      <c r="V205" s="79"/>
      <c r="W205" s="79"/>
      <c r="Z205" s="130"/>
      <c r="AB205" s="106"/>
    </row>
    <row r="206">
      <c r="C206" s="79"/>
      <c r="D206" s="79"/>
      <c r="E206" s="79"/>
      <c r="M206" s="79"/>
      <c r="R206" s="79"/>
      <c r="S206" s="79"/>
      <c r="V206" s="79"/>
      <c r="W206" s="79"/>
      <c r="Z206" s="130"/>
      <c r="AB206" s="106"/>
    </row>
    <row r="207">
      <c r="C207" s="79"/>
      <c r="D207" s="79"/>
      <c r="E207" s="79"/>
      <c r="M207" s="79"/>
      <c r="R207" s="79"/>
      <c r="S207" s="79"/>
      <c r="V207" s="79"/>
      <c r="W207" s="79"/>
      <c r="Z207" s="130"/>
      <c r="AB207" s="106"/>
    </row>
    <row r="208">
      <c r="C208" s="79"/>
      <c r="D208" s="79"/>
      <c r="E208" s="79"/>
      <c r="M208" s="79"/>
      <c r="R208" s="79"/>
      <c r="S208" s="79"/>
      <c r="V208" s="79"/>
      <c r="W208" s="79"/>
      <c r="Z208" s="130"/>
      <c r="AB208" s="106"/>
    </row>
    <row r="209">
      <c r="C209" s="79"/>
      <c r="D209" s="79"/>
      <c r="E209" s="79"/>
      <c r="M209" s="79"/>
      <c r="R209" s="79"/>
      <c r="S209" s="79"/>
      <c r="V209" s="79"/>
      <c r="W209" s="79"/>
      <c r="Z209" s="130"/>
      <c r="AB209" s="106"/>
    </row>
    <row r="210">
      <c r="C210" s="79"/>
      <c r="D210" s="79"/>
      <c r="E210" s="79"/>
      <c r="M210" s="79"/>
      <c r="R210" s="79"/>
      <c r="S210" s="79"/>
      <c r="V210" s="79"/>
      <c r="W210" s="79"/>
      <c r="Z210" s="130"/>
      <c r="AB210" s="106"/>
    </row>
    <row r="211">
      <c r="C211" s="79"/>
      <c r="D211" s="79"/>
      <c r="E211" s="79"/>
      <c r="M211" s="79"/>
      <c r="R211" s="79"/>
      <c r="S211" s="79"/>
      <c r="V211" s="79"/>
      <c r="W211" s="79"/>
      <c r="Z211" s="130"/>
      <c r="AB211" s="106"/>
    </row>
    <row r="212">
      <c r="C212" s="79"/>
      <c r="D212" s="79"/>
      <c r="E212" s="79"/>
      <c r="M212" s="79"/>
      <c r="R212" s="79"/>
      <c r="S212" s="79"/>
      <c r="V212" s="79"/>
      <c r="W212" s="79"/>
      <c r="Z212" s="130"/>
      <c r="AB212" s="106"/>
    </row>
    <row r="213">
      <c r="C213" s="79"/>
      <c r="D213" s="79"/>
      <c r="E213" s="79"/>
      <c r="M213" s="79"/>
      <c r="R213" s="79"/>
      <c r="S213" s="79"/>
      <c r="V213" s="79"/>
      <c r="W213" s="79"/>
      <c r="Z213" s="130"/>
      <c r="AB213" s="106"/>
    </row>
    <row r="214">
      <c r="C214" s="79"/>
      <c r="D214" s="79"/>
      <c r="E214" s="79"/>
      <c r="M214" s="79"/>
      <c r="R214" s="79"/>
      <c r="S214" s="79"/>
      <c r="V214" s="79"/>
      <c r="W214" s="79"/>
      <c r="Z214" s="130"/>
      <c r="AB214" s="106"/>
    </row>
    <row r="215">
      <c r="C215" s="79"/>
      <c r="D215" s="79"/>
      <c r="E215" s="79"/>
      <c r="M215" s="79"/>
      <c r="R215" s="79"/>
      <c r="S215" s="79"/>
      <c r="V215" s="79"/>
      <c r="W215" s="79"/>
      <c r="Z215" s="130"/>
      <c r="AB215" s="106"/>
    </row>
    <row r="216">
      <c r="C216" s="79"/>
      <c r="D216" s="79"/>
      <c r="E216" s="79"/>
      <c r="M216" s="79"/>
      <c r="R216" s="79"/>
      <c r="S216" s="79"/>
      <c r="V216" s="79"/>
      <c r="W216" s="79"/>
      <c r="Z216" s="130"/>
      <c r="AB216" s="106"/>
    </row>
    <row r="217">
      <c r="C217" s="79"/>
      <c r="D217" s="79"/>
      <c r="E217" s="79"/>
      <c r="M217" s="79"/>
      <c r="R217" s="79"/>
      <c r="S217" s="79"/>
      <c r="V217" s="79"/>
      <c r="W217" s="79"/>
      <c r="Z217" s="130"/>
      <c r="AB217" s="106"/>
    </row>
    <row r="218">
      <c r="C218" s="79"/>
      <c r="D218" s="79"/>
      <c r="E218" s="79"/>
      <c r="M218" s="79"/>
      <c r="R218" s="79"/>
      <c r="S218" s="79"/>
      <c r="V218" s="79"/>
      <c r="W218" s="79"/>
      <c r="Z218" s="130"/>
      <c r="AB218" s="106"/>
    </row>
    <row r="219">
      <c r="C219" s="79"/>
      <c r="D219" s="79"/>
      <c r="E219" s="79"/>
      <c r="M219" s="79"/>
      <c r="R219" s="79"/>
      <c r="S219" s="79"/>
      <c r="V219" s="79"/>
      <c r="W219" s="79"/>
      <c r="Z219" s="130"/>
      <c r="AB219" s="106"/>
    </row>
    <row r="220">
      <c r="C220" s="79"/>
      <c r="D220" s="79"/>
      <c r="E220" s="79"/>
      <c r="M220" s="79"/>
      <c r="R220" s="79"/>
      <c r="S220" s="79"/>
      <c r="V220" s="79"/>
      <c r="W220" s="79"/>
      <c r="Z220" s="130"/>
      <c r="AB220" s="106"/>
    </row>
    <row r="221">
      <c r="C221" s="79"/>
      <c r="D221" s="79"/>
      <c r="E221" s="79"/>
      <c r="M221" s="79"/>
      <c r="R221" s="79"/>
      <c r="S221" s="79"/>
      <c r="V221" s="79"/>
      <c r="W221" s="79"/>
      <c r="Z221" s="130"/>
      <c r="AB221" s="106"/>
    </row>
    <row r="222">
      <c r="C222" s="79"/>
      <c r="D222" s="79"/>
      <c r="E222" s="79"/>
      <c r="M222" s="79"/>
      <c r="R222" s="79"/>
      <c r="S222" s="79"/>
      <c r="V222" s="79"/>
      <c r="W222" s="79"/>
      <c r="Z222" s="130"/>
      <c r="AB222" s="106"/>
    </row>
    <row r="223">
      <c r="C223" s="79"/>
      <c r="D223" s="79"/>
      <c r="E223" s="79"/>
      <c r="M223" s="79"/>
      <c r="R223" s="79"/>
      <c r="S223" s="79"/>
      <c r="V223" s="79"/>
      <c r="W223" s="79"/>
      <c r="Z223" s="130"/>
      <c r="AB223" s="106"/>
    </row>
    <row r="224">
      <c r="C224" s="79"/>
      <c r="D224" s="79"/>
      <c r="E224" s="79"/>
      <c r="M224" s="79"/>
      <c r="R224" s="79"/>
      <c r="S224" s="79"/>
      <c r="V224" s="79"/>
      <c r="W224" s="79"/>
      <c r="Z224" s="130"/>
      <c r="AB224" s="106"/>
    </row>
    <row r="225">
      <c r="C225" s="79"/>
      <c r="D225" s="79"/>
      <c r="E225" s="79"/>
      <c r="M225" s="79"/>
      <c r="R225" s="79"/>
      <c r="S225" s="79"/>
      <c r="V225" s="79"/>
      <c r="W225" s="79"/>
      <c r="Z225" s="130"/>
      <c r="AB225" s="106"/>
    </row>
    <row r="226">
      <c r="C226" s="79"/>
      <c r="D226" s="79"/>
      <c r="E226" s="79"/>
      <c r="M226" s="79"/>
      <c r="R226" s="79"/>
      <c r="S226" s="79"/>
      <c r="V226" s="79"/>
      <c r="W226" s="79"/>
      <c r="Z226" s="130"/>
      <c r="AB226" s="106"/>
    </row>
    <row r="227">
      <c r="C227" s="79"/>
      <c r="D227" s="79"/>
      <c r="E227" s="79"/>
      <c r="M227" s="79"/>
      <c r="R227" s="79"/>
      <c r="S227" s="79"/>
      <c r="V227" s="79"/>
      <c r="W227" s="79"/>
      <c r="Z227" s="130"/>
      <c r="AB227" s="106"/>
    </row>
    <row r="228">
      <c r="C228" s="79"/>
      <c r="D228" s="79"/>
      <c r="E228" s="79"/>
      <c r="M228" s="79"/>
      <c r="R228" s="79"/>
      <c r="S228" s="79"/>
      <c r="V228" s="79"/>
      <c r="W228" s="79"/>
      <c r="Z228" s="130"/>
      <c r="AB228" s="106"/>
    </row>
    <row r="229">
      <c r="C229" s="79"/>
      <c r="D229" s="79"/>
      <c r="E229" s="79"/>
      <c r="M229" s="79"/>
      <c r="R229" s="79"/>
      <c r="S229" s="79"/>
      <c r="V229" s="79"/>
      <c r="W229" s="79"/>
      <c r="Z229" s="130"/>
      <c r="AB229" s="106"/>
    </row>
    <row r="230">
      <c r="C230" s="79"/>
      <c r="D230" s="79"/>
      <c r="E230" s="79"/>
      <c r="M230" s="79"/>
      <c r="R230" s="79"/>
      <c r="S230" s="79"/>
      <c r="V230" s="79"/>
      <c r="W230" s="79"/>
      <c r="Z230" s="130"/>
      <c r="AB230" s="106"/>
    </row>
    <row r="231">
      <c r="C231" s="79"/>
      <c r="D231" s="79"/>
      <c r="E231" s="79"/>
      <c r="M231" s="79"/>
      <c r="R231" s="79"/>
      <c r="S231" s="79"/>
      <c r="V231" s="79"/>
      <c r="W231" s="79"/>
      <c r="Z231" s="130"/>
      <c r="AB231" s="106"/>
    </row>
    <row r="232">
      <c r="C232" s="79"/>
      <c r="D232" s="79"/>
      <c r="E232" s="79"/>
      <c r="M232" s="79"/>
      <c r="R232" s="79"/>
      <c r="S232" s="79"/>
      <c r="V232" s="79"/>
      <c r="W232" s="79"/>
      <c r="Z232" s="130"/>
      <c r="AB232" s="106"/>
    </row>
    <row r="233">
      <c r="C233" s="79"/>
      <c r="D233" s="79"/>
      <c r="E233" s="79"/>
      <c r="M233" s="79"/>
      <c r="R233" s="79"/>
      <c r="S233" s="79"/>
      <c r="V233" s="79"/>
      <c r="W233" s="79"/>
      <c r="Z233" s="130"/>
      <c r="AB233" s="106"/>
    </row>
    <row r="234">
      <c r="C234" s="79"/>
      <c r="D234" s="79"/>
      <c r="E234" s="79"/>
      <c r="M234" s="79"/>
      <c r="R234" s="79"/>
      <c r="S234" s="79"/>
      <c r="V234" s="79"/>
      <c r="W234" s="79"/>
      <c r="Z234" s="130"/>
      <c r="AB234" s="106"/>
    </row>
    <row r="235">
      <c r="C235" s="79"/>
      <c r="D235" s="79"/>
      <c r="E235" s="79"/>
      <c r="M235" s="79"/>
      <c r="R235" s="79"/>
      <c r="S235" s="79"/>
      <c r="V235" s="79"/>
      <c r="W235" s="79"/>
      <c r="Z235" s="130"/>
      <c r="AB235" s="106"/>
    </row>
    <row r="236">
      <c r="C236" s="79"/>
      <c r="D236" s="79"/>
      <c r="E236" s="79"/>
      <c r="M236" s="79"/>
      <c r="R236" s="79"/>
      <c r="S236" s="79"/>
      <c r="V236" s="79"/>
      <c r="W236" s="79"/>
      <c r="Z236" s="130"/>
      <c r="AB236" s="106"/>
    </row>
    <row r="237">
      <c r="C237" s="79"/>
      <c r="D237" s="79"/>
      <c r="E237" s="79"/>
      <c r="M237" s="79"/>
      <c r="R237" s="79"/>
      <c r="S237" s="79"/>
      <c r="V237" s="79"/>
      <c r="W237" s="79"/>
      <c r="Z237" s="130"/>
      <c r="AB237" s="106"/>
    </row>
    <row r="238">
      <c r="C238" s="79"/>
      <c r="D238" s="79"/>
      <c r="E238" s="79"/>
      <c r="M238" s="79"/>
      <c r="R238" s="79"/>
      <c r="S238" s="79"/>
      <c r="V238" s="79"/>
      <c r="W238" s="79"/>
      <c r="Z238" s="130"/>
      <c r="AB238" s="106"/>
    </row>
    <row r="239">
      <c r="C239" s="79"/>
      <c r="D239" s="79"/>
      <c r="E239" s="79"/>
      <c r="M239" s="79"/>
      <c r="R239" s="79"/>
      <c r="S239" s="79"/>
      <c r="V239" s="79"/>
      <c r="W239" s="79"/>
      <c r="Z239" s="130"/>
      <c r="AB239" s="106"/>
    </row>
    <row r="240">
      <c r="C240" s="79"/>
      <c r="D240" s="79"/>
      <c r="E240" s="79"/>
      <c r="M240" s="79"/>
      <c r="R240" s="79"/>
      <c r="S240" s="79"/>
      <c r="V240" s="79"/>
      <c r="W240" s="79"/>
      <c r="Z240" s="130"/>
      <c r="AB240" s="106"/>
    </row>
    <row r="241">
      <c r="C241" s="79"/>
      <c r="D241" s="79"/>
      <c r="E241" s="79"/>
      <c r="M241" s="79"/>
      <c r="R241" s="79"/>
      <c r="S241" s="79"/>
      <c r="V241" s="79"/>
      <c r="W241" s="79"/>
      <c r="Z241" s="130"/>
      <c r="AB241" s="106"/>
    </row>
    <row r="242">
      <c r="C242" s="79"/>
      <c r="D242" s="79"/>
      <c r="E242" s="79"/>
      <c r="M242" s="79"/>
      <c r="R242" s="79"/>
      <c r="S242" s="79"/>
      <c r="V242" s="79"/>
      <c r="W242" s="79"/>
      <c r="Z242" s="130"/>
      <c r="AB242" s="106"/>
    </row>
    <row r="243">
      <c r="C243" s="79"/>
      <c r="D243" s="79"/>
      <c r="E243" s="79"/>
      <c r="M243" s="79"/>
      <c r="R243" s="79"/>
      <c r="S243" s="79"/>
      <c r="V243" s="79"/>
      <c r="W243" s="79"/>
      <c r="Z243" s="130"/>
      <c r="AB243" s="106"/>
    </row>
    <row r="244">
      <c r="C244" s="79"/>
      <c r="D244" s="79"/>
      <c r="E244" s="79"/>
      <c r="M244" s="79"/>
      <c r="R244" s="79"/>
      <c r="S244" s="79"/>
      <c r="V244" s="79"/>
      <c r="W244" s="79"/>
      <c r="Z244" s="130"/>
      <c r="AB244" s="106"/>
    </row>
    <row r="245">
      <c r="C245" s="79"/>
      <c r="D245" s="79"/>
      <c r="E245" s="79"/>
      <c r="M245" s="79"/>
      <c r="R245" s="79"/>
      <c r="S245" s="79"/>
      <c r="V245" s="79"/>
      <c r="W245" s="79"/>
      <c r="Z245" s="130"/>
      <c r="AB245" s="106"/>
    </row>
    <row r="246">
      <c r="C246" s="79"/>
      <c r="D246" s="79"/>
      <c r="E246" s="79"/>
      <c r="M246" s="79"/>
      <c r="R246" s="79"/>
      <c r="S246" s="79"/>
      <c r="V246" s="79"/>
      <c r="W246" s="79"/>
      <c r="Z246" s="130"/>
      <c r="AB246" s="106"/>
    </row>
    <row r="247">
      <c r="C247" s="79"/>
      <c r="D247" s="79"/>
      <c r="E247" s="79"/>
      <c r="M247" s="79"/>
      <c r="R247" s="79"/>
      <c r="S247" s="79"/>
      <c r="V247" s="79"/>
      <c r="W247" s="79"/>
      <c r="Z247" s="130"/>
      <c r="AB247" s="106"/>
    </row>
    <row r="248">
      <c r="C248" s="79"/>
      <c r="D248" s="79"/>
      <c r="E248" s="79"/>
      <c r="M248" s="79"/>
      <c r="R248" s="79"/>
      <c r="S248" s="79"/>
      <c r="V248" s="79"/>
      <c r="W248" s="79"/>
      <c r="Z248" s="130"/>
      <c r="AB248" s="106"/>
    </row>
    <row r="249">
      <c r="C249" s="79"/>
      <c r="D249" s="79"/>
      <c r="E249" s="79"/>
      <c r="M249" s="79"/>
      <c r="R249" s="79"/>
      <c r="S249" s="79"/>
      <c r="V249" s="79"/>
      <c r="W249" s="79"/>
      <c r="Z249" s="130"/>
      <c r="AB249" s="106"/>
    </row>
    <row r="250">
      <c r="C250" s="79"/>
      <c r="D250" s="79"/>
      <c r="E250" s="79"/>
      <c r="M250" s="79"/>
      <c r="R250" s="79"/>
      <c r="S250" s="79"/>
      <c r="V250" s="79"/>
      <c r="W250" s="79"/>
      <c r="Z250" s="130"/>
      <c r="AB250" s="106"/>
    </row>
    <row r="251">
      <c r="C251" s="79"/>
      <c r="D251" s="79"/>
      <c r="E251" s="79"/>
      <c r="M251" s="79"/>
      <c r="R251" s="79"/>
      <c r="S251" s="79"/>
      <c r="V251" s="79"/>
      <c r="W251" s="79"/>
      <c r="Z251" s="130"/>
      <c r="AB251" s="106"/>
    </row>
    <row r="252">
      <c r="C252" s="79"/>
      <c r="D252" s="79"/>
      <c r="E252" s="79"/>
      <c r="M252" s="79"/>
      <c r="R252" s="79"/>
      <c r="S252" s="79"/>
      <c r="V252" s="79"/>
      <c r="W252" s="79"/>
      <c r="Z252" s="130"/>
      <c r="AB252" s="106"/>
    </row>
    <row r="253">
      <c r="C253" s="79"/>
      <c r="D253" s="79"/>
      <c r="E253" s="79"/>
      <c r="M253" s="79"/>
      <c r="R253" s="79"/>
      <c r="S253" s="79"/>
      <c r="V253" s="79"/>
      <c r="W253" s="79"/>
      <c r="Z253" s="130"/>
      <c r="AB253" s="106"/>
    </row>
    <row r="254">
      <c r="C254" s="79"/>
      <c r="D254" s="79"/>
      <c r="E254" s="79"/>
      <c r="M254" s="79"/>
      <c r="R254" s="79"/>
      <c r="S254" s="79"/>
      <c r="V254" s="79"/>
      <c r="W254" s="79"/>
      <c r="Z254" s="130"/>
      <c r="AB254" s="106"/>
    </row>
    <row r="255">
      <c r="C255" s="79"/>
      <c r="D255" s="79"/>
      <c r="E255" s="79"/>
      <c r="M255" s="79"/>
      <c r="R255" s="79"/>
      <c r="S255" s="79"/>
      <c r="V255" s="79"/>
      <c r="W255" s="79"/>
      <c r="Z255" s="130"/>
      <c r="AB255" s="106"/>
    </row>
    <row r="256">
      <c r="C256" s="79"/>
      <c r="D256" s="79"/>
      <c r="E256" s="79"/>
      <c r="M256" s="79"/>
      <c r="R256" s="79"/>
      <c r="S256" s="79"/>
      <c r="V256" s="79"/>
      <c r="W256" s="79"/>
      <c r="Z256" s="130"/>
      <c r="AB256" s="106"/>
    </row>
    <row r="257">
      <c r="C257" s="79"/>
      <c r="D257" s="79"/>
      <c r="E257" s="79"/>
      <c r="M257" s="79"/>
      <c r="R257" s="79"/>
      <c r="S257" s="79"/>
      <c r="V257" s="79"/>
      <c r="W257" s="79"/>
      <c r="Z257" s="130"/>
      <c r="AB257" s="106"/>
    </row>
    <row r="258">
      <c r="C258" s="79"/>
      <c r="D258" s="79"/>
      <c r="E258" s="79"/>
      <c r="M258" s="79"/>
      <c r="R258" s="79"/>
      <c r="S258" s="79"/>
      <c r="V258" s="79"/>
      <c r="W258" s="79"/>
      <c r="Z258" s="130"/>
      <c r="AB258" s="106"/>
    </row>
    <row r="259">
      <c r="C259" s="79"/>
      <c r="D259" s="79"/>
      <c r="E259" s="79"/>
      <c r="M259" s="79"/>
      <c r="R259" s="79"/>
      <c r="S259" s="79"/>
      <c r="V259" s="79"/>
      <c r="W259" s="79"/>
      <c r="Z259" s="130"/>
      <c r="AB259" s="106"/>
    </row>
    <row r="260">
      <c r="C260" s="79"/>
      <c r="D260" s="79"/>
      <c r="E260" s="79"/>
      <c r="M260" s="79"/>
      <c r="R260" s="79"/>
      <c r="S260" s="79"/>
      <c r="V260" s="79"/>
      <c r="W260" s="79"/>
      <c r="Z260" s="130"/>
      <c r="AB260" s="106"/>
    </row>
    <row r="261">
      <c r="C261" s="79"/>
      <c r="D261" s="79"/>
      <c r="E261" s="79"/>
      <c r="M261" s="79"/>
      <c r="R261" s="79"/>
      <c r="S261" s="79"/>
      <c r="V261" s="79"/>
      <c r="W261" s="79"/>
      <c r="Z261" s="130"/>
      <c r="AB261" s="106"/>
    </row>
    <row r="262">
      <c r="C262" s="79"/>
      <c r="D262" s="79"/>
      <c r="E262" s="79"/>
      <c r="M262" s="79"/>
      <c r="R262" s="79"/>
      <c r="S262" s="79"/>
      <c r="V262" s="79"/>
      <c r="W262" s="79"/>
      <c r="Z262" s="130"/>
      <c r="AB262" s="106"/>
    </row>
    <row r="263">
      <c r="C263" s="79"/>
      <c r="D263" s="79"/>
      <c r="E263" s="79"/>
      <c r="M263" s="79"/>
      <c r="R263" s="79"/>
      <c r="S263" s="79"/>
      <c r="V263" s="79"/>
      <c r="W263" s="79"/>
      <c r="Z263" s="130"/>
      <c r="AB263" s="106"/>
    </row>
    <row r="264">
      <c r="C264" s="79"/>
      <c r="D264" s="79"/>
      <c r="E264" s="79"/>
      <c r="M264" s="79"/>
      <c r="R264" s="79"/>
      <c r="S264" s="79"/>
      <c r="V264" s="79"/>
      <c r="W264" s="79"/>
      <c r="Z264" s="130"/>
      <c r="AB264" s="106"/>
    </row>
    <row r="265">
      <c r="C265" s="79"/>
      <c r="D265" s="79"/>
      <c r="E265" s="79"/>
      <c r="M265" s="79"/>
      <c r="R265" s="79"/>
      <c r="S265" s="79"/>
      <c r="V265" s="79"/>
      <c r="W265" s="79"/>
      <c r="Z265" s="130"/>
      <c r="AB265" s="106"/>
    </row>
    <row r="266">
      <c r="C266" s="79"/>
      <c r="D266" s="79"/>
      <c r="E266" s="79"/>
      <c r="M266" s="79"/>
      <c r="R266" s="79"/>
      <c r="S266" s="79"/>
      <c r="V266" s="79"/>
      <c r="W266" s="79"/>
      <c r="Z266" s="130"/>
      <c r="AB266" s="106"/>
    </row>
    <row r="267">
      <c r="C267" s="79"/>
      <c r="D267" s="79"/>
      <c r="E267" s="79"/>
      <c r="M267" s="79"/>
      <c r="R267" s="79"/>
      <c r="S267" s="79"/>
      <c r="V267" s="79"/>
      <c r="W267" s="79"/>
      <c r="Z267" s="130"/>
      <c r="AB267" s="106"/>
    </row>
    <row r="268">
      <c r="C268" s="79"/>
      <c r="D268" s="79"/>
      <c r="E268" s="79"/>
      <c r="M268" s="79"/>
      <c r="R268" s="79"/>
      <c r="S268" s="79"/>
      <c r="V268" s="79"/>
      <c r="W268" s="79"/>
      <c r="Z268" s="130"/>
      <c r="AB268" s="106"/>
    </row>
    <row r="269">
      <c r="C269" s="79"/>
      <c r="D269" s="79"/>
      <c r="E269" s="79"/>
      <c r="M269" s="79"/>
      <c r="R269" s="79"/>
      <c r="S269" s="79"/>
      <c r="V269" s="79"/>
      <c r="W269" s="79"/>
      <c r="Z269" s="130"/>
      <c r="AB269" s="106"/>
    </row>
    <row r="270">
      <c r="C270" s="79"/>
      <c r="D270" s="79"/>
      <c r="E270" s="79"/>
      <c r="M270" s="79"/>
      <c r="R270" s="79"/>
      <c r="S270" s="79"/>
      <c r="V270" s="79"/>
      <c r="W270" s="79"/>
      <c r="Z270" s="130"/>
      <c r="AB270" s="106"/>
    </row>
    <row r="271">
      <c r="C271" s="79"/>
      <c r="D271" s="79"/>
      <c r="E271" s="79"/>
      <c r="M271" s="79"/>
      <c r="R271" s="79"/>
      <c r="S271" s="79"/>
      <c r="V271" s="79"/>
      <c r="W271" s="79"/>
      <c r="Z271" s="130"/>
      <c r="AB271" s="106"/>
    </row>
    <row r="272">
      <c r="C272" s="79"/>
      <c r="D272" s="79"/>
      <c r="E272" s="79"/>
      <c r="M272" s="79"/>
      <c r="R272" s="79"/>
      <c r="S272" s="79"/>
      <c r="V272" s="79"/>
      <c r="W272" s="79"/>
      <c r="Z272" s="130"/>
      <c r="AB272" s="106"/>
    </row>
    <row r="273">
      <c r="C273" s="79"/>
      <c r="D273" s="79"/>
      <c r="E273" s="79"/>
      <c r="M273" s="79"/>
      <c r="R273" s="79"/>
      <c r="S273" s="79"/>
      <c r="V273" s="79"/>
      <c r="W273" s="79"/>
      <c r="Z273" s="130"/>
      <c r="AB273" s="106"/>
    </row>
    <row r="274">
      <c r="C274" s="79"/>
      <c r="D274" s="79"/>
      <c r="E274" s="79"/>
      <c r="M274" s="79"/>
      <c r="R274" s="79"/>
      <c r="S274" s="79"/>
      <c r="V274" s="79"/>
      <c r="W274" s="79"/>
      <c r="Z274" s="130"/>
      <c r="AB274" s="106"/>
    </row>
    <row r="275">
      <c r="C275" s="79"/>
      <c r="D275" s="79"/>
      <c r="E275" s="79"/>
      <c r="M275" s="79"/>
      <c r="R275" s="79"/>
      <c r="S275" s="79"/>
      <c r="V275" s="79"/>
      <c r="W275" s="79"/>
      <c r="Z275" s="130"/>
      <c r="AB275" s="106"/>
    </row>
    <row r="276">
      <c r="C276" s="79"/>
      <c r="D276" s="79"/>
      <c r="E276" s="79"/>
      <c r="M276" s="79"/>
      <c r="R276" s="79"/>
      <c r="S276" s="79"/>
      <c r="V276" s="79"/>
      <c r="W276" s="79"/>
      <c r="Z276" s="130"/>
      <c r="AB276" s="106"/>
    </row>
    <row r="277">
      <c r="C277" s="79"/>
      <c r="D277" s="79"/>
      <c r="E277" s="79"/>
      <c r="M277" s="79"/>
      <c r="R277" s="79"/>
      <c r="S277" s="79"/>
      <c r="V277" s="79"/>
      <c r="W277" s="79"/>
      <c r="Z277" s="130"/>
      <c r="AB277" s="106"/>
    </row>
    <row r="278">
      <c r="C278" s="79"/>
      <c r="D278" s="79"/>
      <c r="E278" s="79"/>
      <c r="M278" s="79"/>
      <c r="R278" s="79"/>
      <c r="S278" s="79"/>
      <c r="V278" s="79"/>
      <c r="W278" s="79"/>
      <c r="Z278" s="130"/>
      <c r="AB278" s="106"/>
    </row>
    <row r="279">
      <c r="C279" s="79"/>
      <c r="D279" s="79"/>
      <c r="E279" s="79"/>
      <c r="M279" s="79"/>
      <c r="R279" s="79"/>
      <c r="S279" s="79"/>
      <c r="V279" s="79"/>
      <c r="W279" s="79"/>
      <c r="Z279" s="130"/>
      <c r="AB279" s="106"/>
    </row>
    <row r="280">
      <c r="C280" s="79"/>
      <c r="D280" s="79"/>
      <c r="E280" s="79"/>
      <c r="M280" s="79"/>
      <c r="R280" s="79"/>
      <c r="S280" s="79"/>
      <c r="V280" s="79"/>
      <c r="W280" s="79"/>
      <c r="Z280" s="130"/>
      <c r="AB280" s="106"/>
    </row>
    <row r="281">
      <c r="C281" s="79"/>
      <c r="D281" s="79"/>
      <c r="E281" s="79"/>
      <c r="M281" s="79"/>
      <c r="R281" s="79"/>
      <c r="S281" s="79"/>
      <c r="V281" s="79"/>
      <c r="W281" s="79"/>
      <c r="Z281" s="130"/>
      <c r="AB281" s="106"/>
    </row>
    <row r="282">
      <c r="C282" s="79"/>
      <c r="D282" s="79"/>
      <c r="E282" s="79"/>
      <c r="M282" s="79"/>
      <c r="R282" s="79"/>
      <c r="S282" s="79"/>
      <c r="V282" s="79"/>
      <c r="W282" s="79"/>
      <c r="Z282" s="130"/>
      <c r="AB282" s="106"/>
    </row>
    <row r="283">
      <c r="C283" s="79"/>
      <c r="D283" s="79"/>
      <c r="E283" s="79"/>
      <c r="M283" s="79"/>
      <c r="R283" s="79"/>
      <c r="S283" s="79"/>
      <c r="V283" s="79"/>
      <c r="W283" s="79"/>
      <c r="Z283" s="130"/>
      <c r="AB283" s="106"/>
    </row>
    <row r="284">
      <c r="C284" s="79"/>
      <c r="D284" s="79"/>
      <c r="E284" s="79"/>
      <c r="M284" s="79"/>
      <c r="R284" s="79"/>
      <c r="S284" s="79"/>
      <c r="V284" s="79"/>
      <c r="W284" s="79"/>
      <c r="Z284" s="130"/>
      <c r="AB284" s="106"/>
    </row>
    <row r="285">
      <c r="C285" s="79"/>
      <c r="D285" s="79"/>
      <c r="E285" s="79"/>
      <c r="M285" s="79"/>
      <c r="R285" s="79"/>
      <c r="S285" s="79"/>
      <c r="V285" s="79"/>
      <c r="W285" s="79"/>
      <c r="Z285" s="130"/>
      <c r="AB285" s="106"/>
    </row>
    <row r="286">
      <c r="C286" s="79"/>
      <c r="D286" s="79"/>
      <c r="E286" s="79"/>
      <c r="M286" s="79"/>
      <c r="R286" s="79"/>
      <c r="S286" s="79"/>
      <c r="V286" s="79"/>
      <c r="W286" s="79"/>
      <c r="Z286" s="130"/>
      <c r="AB286" s="106"/>
    </row>
    <row r="287">
      <c r="C287" s="79"/>
      <c r="D287" s="79"/>
      <c r="E287" s="79"/>
      <c r="M287" s="79"/>
      <c r="R287" s="79"/>
      <c r="S287" s="79"/>
      <c r="V287" s="79"/>
      <c r="W287" s="79"/>
      <c r="Z287" s="130"/>
      <c r="AB287" s="106"/>
    </row>
    <row r="288">
      <c r="C288" s="79"/>
      <c r="D288" s="79"/>
      <c r="E288" s="79"/>
      <c r="M288" s="79"/>
      <c r="R288" s="79"/>
      <c r="S288" s="79"/>
      <c r="V288" s="79"/>
      <c r="W288" s="79"/>
      <c r="Z288" s="130"/>
      <c r="AB288" s="106"/>
    </row>
    <row r="289">
      <c r="C289" s="79"/>
      <c r="D289" s="79"/>
      <c r="E289" s="79"/>
      <c r="M289" s="79"/>
      <c r="R289" s="79"/>
      <c r="S289" s="79"/>
      <c r="V289" s="79"/>
      <c r="W289" s="79"/>
      <c r="Z289" s="130"/>
      <c r="AB289" s="106"/>
    </row>
    <row r="290">
      <c r="C290" s="79"/>
      <c r="D290" s="79"/>
      <c r="E290" s="79"/>
      <c r="M290" s="79"/>
      <c r="R290" s="79"/>
      <c r="S290" s="79"/>
      <c r="V290" s="79"/>
      <c r="W290" s="79"/>
      <c r="Z290" s="130"/>
      <c r="AB290" s="106"/>
    </row>
    <row r="291">
      <c r="C291" s="79"/>
      <c r="D291" s="79"/>
      <c r="E291" s="79"/>
      <c r="M291" s="79"/>
      <c r="R291" s="79"/>
      <c r="S291" s="79"/>
      <c r="V291" s="79"/>
      <c r="W291" s="79"/>
      <c r="Z291" s="130"/>
      <c r="AB291" s="106"/>
    </row>
    <row r="292">
      <c r="C292" s="79"/>
      <c r="D292" s="79"/>
      <c r="E292" s="79"/>
      <c r="M292" s="79"/>
      <c r="R292" s="79"/>
      <c r="S292" s="79"/>
      <c r="V292" s="79"/>
      <c r="W292" s="79"/>
      <c r="Z292" s="130"/>
      <c r="AB292" s="106"/>
    </row>
    <row r="293">
      <c r="C293" s="79"/>
      <c r="D293" s="79"/>
      <c r="E293" s="79"/>
      <c r="M293" s="79"/>
      <c r="R293" s="79"/>
      <c r="S293" s="79"/>
      <c r="V293" s="79"/>
      <c r="W293" s="79"/>
      <c r="Z293" s="130"/>
      <c r="AB293" s="106"/>
    </row>
    <row r="294">
      <c r="C294" s="79"/>
      <c r="D294" s="79"/>
      <c r="E294" s="79"/>
      <c r="M294" s="79"/>
      <c r="R294" s="79"/>
      <c r="S294" s="79"/>
      <c r="V294" s="79"/>
      <c r="W294" s="79"/>
      <c r="Z294" s="130"/>
      <c r="AB294" s="106"/>
    </row>
    <row r="295">
      <c r="C295" s="79"/>
      <c r="D295" s="79"/>
      <c r="E295" s="79"/>
      <c r="M295" s="79"/>
      <c r="R295" s="79"/>
      <c r="S295" s="79"/>
      <c r="V295" s="79"/>
      <c r="W295" s="79"/>
      <c r="Z295" s="130"/>
      <c r="AB295" s="106"/>
    </row>
    <row r="296">
      <c r="C296" s="79"/>
      <c r="D296" s="79"/>
      <c r="E296" s="79"/>
      <c r="M296" s="79"/>
      <c r="R296" s="79"/>
      <c r="S296" s="79"/>
      <c r="V296" s="79"/>
      <c r="W296" s="79"/>
      <c r="Z296" s="130"/>
      <c r="AB296" s="106"/>
    </row>
    <row r="297">
      <c r="C297" s="79"/>
      <c r="D297" s="79"/>
      <c r="E297" s="79"/>
      <c r="M297" s="79"/>
      <c r="R297" s="79"/>
      <c r="S297" s="79"/>
      <c r="V297" s="79"/>
      <c r="W297" s="79"/>
      <c r="Z297" s="130"/>
      <c r="AB297" s="106"/>
    </row>
    <row r="298">
      <c r="C298" s="79"/>
      <c r="D298" s="79"/>
      <c r="E298" s="79"/>
      <c r="M298" s="79"/>
      <c r="R298" s="79"/>
      <c r="S298" s="79"/>
      <c r="V298" s="79"/>
      <c r="W298" s="79"/>
      <c r="Z298" s="130"/>
      <c r="AB298" s="106"/>
    </row>
    <row r="299">
      <c r="C299" s="79"/>
      <c r="D299" s="79"/>
      <c r="E299" s="79"/>
      <c r="M299" s="79"/>
      <c r="R299" s="79"/>
      <c r="S299" s="79"/>
      <c r="V299" s="79"/>
      <c r="W299" s="79"/>
      <c r="Z299" s="130"/>
      <c r="AB299" s="106"/>
    </row>
    <row r="300">
      <c r="C300" s="79"/>
      <c r="D300" s="79"/>
      <c r="E300" s="79"/>
      <c r="M300" s="79"/>
      <c r="R300" s="79"/>
      <c r="S300" s="79"/>
      <c r="V300" s="79"/>
      <c r="W300" s="79"/>
      <c r="Z300" s="130"/>
      <c r="AB300" s="106"/>
    </row>
    <row r="301">
      <c r="C301" s="79"/>
      <c r="D301" s="79"/>
      <c r="E301" s="79"/>
      <c r="M301" s="79"/>
      <c r="R301" s="79"/>
      <c r="S301" s="79"/>
      <c r="V301" s="79"/>
      <c r="W301" s="79"/>
      <c r="Z301" s="130"/>
      <c r="AB301" s="106"/>
    </row>
    <row r="302">
      <c r="C302" s="79"/>
      <c r="D302" s="79"/>
      <c r="E302" s="79"/>
      <c r="M302" s="79"/>
      <c r="R302" s="79"/>
      <c r="S302" s="79"/>
      <c r="V302" s="79"/>
      <c r="W302" s="79"/>
      <c r="Z302" s="130"/>
      <c r="AB302" s="106"/>
    </row>
    <row r="303">
      <c r="C303" s="79"/>
      <c r="D303" s="79"/>
      <c r="E303" s="79"/>
      <c r="M303" s="79"/>
      <c r="R303" s="79"/>
      <c r="S303" s="79"/>
      <c r="V303" s="79"/>
      <c r="W303" s="79"/>
      <c r="Z303" s="130"/>
      <c r="AB303" s="106"/>
    </row>
    <row r="304">
      <c r="C304" s="79"/>
      <c r="D304" s="79"/>
      <c r="E304" s="79"/>
      <c r="M304" s="79"/>
      <c r="R304" s="79"/>
      <c r="S304" s="79"/>
      <c r="V304" s="79"/>
      <c r="W304" s="79"/>
      <c r="Z304" s="130"/>
      <c r="AB304" s="106"/>
    </row>
    <row r="305">
      <c r="C305" s="79"/>
      <c r="D305" s="79"/>
      <c r="E305" s="79"/>
      <c r="M305" s="79"/>
      <c r="R305" s="79"/>
      <c r="S305" s="79"/>
      <c r="V305" s="79"/>
      <c r="W305" s="79"/>
      <c r="Z305" s="130"/>
      <c r="AB305" s="106"/>
    </row>
    <row r="306">
      <c r="C306" s="79"/>
      <c r="D306" s="79"/>
      <c r="E306" s="79"/>
      <c r="M306" s="79"/>
      <c r="R306" s="79"/>
      <c r="S306" s="79"/>
      <c r="V306" s="79"/>
      <c r="W306" s="79"/>
      <c r="Z306" s="130"/>
      <c r="AB306" s="106"/>
    </row>
    <row r="307">
      <c r="C307" s="79"/>
      <c r="D307" s="79"/>
      <c r="E307" s="79"/>
      <c r="M307" s="79"/>
      <c r="R307" s="79"/>
      <c r="S307" s="79"/>
      <c r="V307" s="79"/>
      <c r="W307" s="79"/>
      <c r="Z307" s="130"/>
      <c r="AB307" s="106"/>
    </row>
    <row r="308">
      <c r="C308" s="79"/>
      <c r="D308" s="79"/>
      <c r="E308" s="79"/>
      <c r="M308" s="79"/>
      <c r="R308" s="79"/>
      <c r="S308" s="79"/>
      <c r="V308" s="79"/>
      <c r="W308" s="79"/>
      <c r="Z308" s="130"/>
      <c r="AB308" s="106"/>
    </row>
    <row r="309">
      <c r="C309" s="79"/>
      <c r="D309" s="79"/>
      <c r="E309" s="79"/>
      <c r="M309" s="79"/>
      <c r="R309" s="79"/>
      <c r="S309" s="79"/>
      <c r="V309" s="79"/>
      <c r="W309" s="79"/>
      <c r="Z309" s="130"/>
      <c r="AB309" s="106"/>
    </row>
    <row r="310">
      <c r="C310" s="79"/>
      <c r="D310" s="79"/>
      <c r="E310" s="79"/>
      <c r="M310" s="79"/>
      <c r="R310" s="79"/>
      <c r="S310" s="79"/>
      <c r="V310" s="79"/>
      <c r="W310" s="79"/>
      <c r="Z310" s="130"/>
      <c r="AB310" s="106"/>
    </row>
    <row r="311">
      <c r="C311" s="79"/>
      <c r="D311" s="79"/>
      <c r="E311" s="79"/>
      <c r="M311" s="79"/>
      <c r="R311" s="79"/>
      <c r="S311" s="79"/>
      <c r="V311" s="79"/>
      <c r="W311" s="79"/>
      <c r="Z311" s="130"/>
      <c r="AB311" s="106"/>
    </row>
    <row r="312">
      <c r="C312" s="79"/>
      <c r="D312" s="79"/>
      <c r="E312" s="79"/>
      <c r="M312" s="79"/>
      <c r="R312" s="79"/>
      <c r="S312" s="79"/>
      <c r="V312" s="79"/>
      <c r="W312" s="79"/>
      <c r="Z312" s="130"/>
      <c r="AB312" s="106"/>
    </row>
    <row r="313">
      <c r="C313" s="79"/>
      <c r="D313" s="79"/>
      <c r="E313" s="79"/>
      <c r="M313" s="79"/>
      <c r="R313" s="79"/>
      <c r="S313" s="79"/>
      <c r="V313" s="79"/>
      <c r="W313" s="79"/>
      <c r="Z313" s="130"/>
      <c r="AB313" s="106"/>
    </row>
    <row r="314">
      <c r="C314" s="79"/>
      <c r="D314" s="79"/>
      <c r="E314" s="79"/>
      <c r="M314" s="79"/>
      <c r="R314" s="79"/>
      <c r="S314" s="79"/>
      <c r="V314" s="79"/>
      <c r="W314" s="79"/>
      <c r="Z314" s="130"/>
      <c r="AB314" s="106"/>
    </row>
    <row r="315">
      <c r="C315" s="79"/>
      <c r="D315" s="79"/>
      <c r="E315" s="79"/>
      <c r="M315" s="79"/>
      <c r="R315" s="79"/>
      <c r="S315" s="79"/>
      <c r="V315" s="79"/>
      <c r="W315" s="79"/>
      <c r="Z315" s="130"/>
      <c r="AB315" s="106"/>
    </row>
    <row r="316">
      <c r="C316" s="79"/>
      <c r="D316" s="79"/>
      <c r="E316" s="79"/>
      <c r="M316" s="79"/>
      <c r="R316" s="79"/>
      <c r="S316" s="79"/>
      <c r="V316" s="79"/>
      <c r="W316" s="79"/>
      <c r="Z316" s="130"/>
      <c r="AB316" s="106"/>
    </row>
    <row r="317">
      <c r="C317" s="79"/>
      <c r="D317" s="79"/>
      <c r="E317" s="79"/>
      <c r="M317" s="79"/>
      <c r="R317" s="79"/>
      <c r="S317" s="79"/>
      <c r="V317" s="79"/>
      <c r="W317" s="79"/>
      <c r="Z317" s="130"/>
      <c r="AB317" s="106"/>
    </row>
    <row r="318">
      <c r="C318" s="79"/>
      <c r="D318" s="79"/>
      <c r="E318" s="79"/>
      <c r="M318" s="79"/>
      <c r="R318" s="79"/>
      <c r="S318" s="79"/>
      <c r="V318" s="79"/>
      <c r="W318" s="79"/>
      <c r="Z318" s="130"/>
      <c r="AB318" s="106"/>
    </row>
    <row r="319">
      <c r="C319" s="79"/>
      <c r="D319" s="79"/>
      <c r="E319" s="79"/>
      <c r="M319" s="79"/>
      <c r="R319" s="79"/>
      <c r="S319" s="79"/>
      <c r="V319" s="79"/>
      <c r="W319" s="79"/>
      <c r="Z319" s="130"/>
      <c r="AB319" s="106"/>
    </row>
    <row r="320">
      <c r="C320" s="79"/>
      <c r="D320" s="79"/>
      <c r="E320" s="79"/>
      <c r="M320" s="79"/>
      <c r="R320" s="79"/>
      <c r="S320" s="79"/>
      <c r="V320" s="79"/>
      <c r="W320" s="79"/>
      <c r="Z320" s="130"/>
      <c r="AB320" s="106"/>
    </row>
    <row r="321">
      <c r="C321" s="79"/>
      <c r="D321" s="79"/>
      <c r="E321" s="79"/>
      <c r="M321" s="79"/>
      <c r="R321" s="79"/>
      <c r="S321" s="79"/>
      <c r="V321" s="79"/>
      <c r="W321" s="79"/>
      <c r="Z321" s="130"/>
      <c r="AB321" s="106"/>
    </row>
    <row r="322">
      <c r="C322" s="79"/>
      <c r="D322" s="79"/>
      <c r="E322" s="79"/>
      <c r="M322" s="79"/>
      <c r="R322" s="79"/>
      <c r="S322" s="79"/>
      <c r="V322" s="79"/>
      <c r="W322" s="79"/>
      <c r="Z322" s="130"/>
      <c r="AB322" s="106"/>
    </row>
    <row r="323">
      <c r="C323" s="79"/>
      <c r="D323" s="79"/>
      <c r="E323" s="79"/>
      <c r="M323" s="79"/>
      <c r="R323" s="79"/>
      <c r="S323" s="79"/>
      <c r="V323" s="79"/>
      <c r="W323" s="79"/>
      <c r="Z323" s="130"/>
      <c r="AB323" s="106"/>
    </row>
    <row r="324">
      <c r="C324" s="79"/>
      <c r="D324" s="79"/>
      <c r="E324" s="79"/>
      <c r="M324" s="79"/>
      <c r="R324" s="79"/>
      <c r="S324" s="79"/>
      <c r="V324" s="79"/>
      <c r="W324" s="79"/>
      <c r="Z324" s="130"/>
      <c r="AB324" s="106"/>
    </row>
    <row r="325">
      <c r="C325" s="79"/>
      <c r="D325" s="79"/>
      <c r="E325" s="79"/>
      <c r="M325" s="79"/>
      <c r="R325" s="79"/>
      <c r="S325" s="79"/>
      <c r="V325" s="79"/>
      <c r="W325" s="79"/>
      <c r="Z325" s="130"/>
      <c r="AB325" s="106"/>
    </row>
    <row r="326">
      <c r="C326" s="79"/>
      <c r="D326" s="79"/>
      <c r="E326" s="79"/>
      <c r="M326" s="79"/>
      <c r="R326" s="79"/>
      <c r="S326" s="79"/>
      <c r="V326" s="79"/>
      <c r="W326" s="79"/>
      <c r="Z326" s="130"/>
      <c r="AB326" s="106"/>
    </row>
    <row r="327">
      <c r="C327" s="79"/>
      <c r="D327" s="79"/>
      <c r="E327" s="79"/>
      <c r="M327" s="79"/>
      <c r="R327" s="79"/>
      <c r="S327" s="79"/>
      <c r="V327" s="79"/>
      <c r="W327" s="79"/>
      <c r="Z327" s="130"/>
      <c r="AB327" s="106"/>
    </row>
    <row r="328">
      <c r="C328" s="79"/>
      <c r="D328" s="79"/>
      <c r="E328" s="79"/>
      <c r="M328" s="79"/>
      <c r="R328" s="79"/>
      <c r="S328" s="79"/>
      <c r="V328" s="79"/>
      <c r="W328" s="79"/>
      <c r="Z328" s="130"/>
      <c r="AB328" s="106"/>
    </row>
    <row r="329">
      <c r="C329" s="79"/>
      <c r="D329" s="79"/>
      <c r="E329" s="79"/>
      <c r="M329" s="79"/>
      <c r="R329" s="79"/>
      <c r="S329" s="79"/>
      <c r="V329" s="79"/>
      <c r="W329" s="79"/>
      <c r="Z329" s="130"/>
      <c r="AB329" s="106"/>
    </row>
    <row r="330">
      <c r="C330" s="79"/>
      <c r="D330" s="79"/>
      <c r="E330" s="79"/>
      <c r="M330" s="79"/>
      <c r="R330" s="79"/>
      <c r="S330" s="79"/>
      <c r="V330" s="79"/>
      <c r="W330" s="79"/>
      <c r="Z330" s="130"/>
      <c r="AB330" s="106"/>
    </row>
    <row r="331">
      <c r="C331" s="79"/>
      <c r="D331" s="79"/>
      <c r="E331" s="79"/>
      <c r="M331" s="79"/>
      <c r="R331" s="79"/>
      <c r="S331" s="79"/>
      <c r="V331" s="79"/>
      <c r="W331" s="79"/>
      <c r="Z331" s="130"/>
      <c r="AB331" s="106"/>
    </row>
    <row r="332">
      <c r="C332" s="79"/>
      <c r="D332" s="79"/>
      <c r="E332" s="79"/>
      <c r="M332" s="79"/>
      <c r="R332" s="79"/>
      <c r="S332" s="79"/>
      <c r="V332" s="79"/>
      <c r="W332" s="79"/>
      <c r="Z332" s="130"/>
      <c r="AB332" s="106"/>
    </row>
    <row r="333">
      <c r="C333" s="79"/>
      <c r="D333" s="79"/>
      <c r="E333" s="79"/>
      <c r="M333" s="79"/>
      <c r="R333" s="79"/>
      <c r="S333" s="79"/>
      <c r="V333" s="79"/>
      <c r="W333" s="79"/>
      <c r="Z333" s="130"/>
      <c r="AB333" s="106"/>
    </row>
    <row r="334">
      <c r="C334" s="79"/>
      <c r="D334" s="79"/>
      <c r="E334" s="79"/>
      <c r="M334" s="79"/>
      <c r="R334" s="79"/>
      <c r="S334" s="79"/>
      <c r="V334" s="79"/>
      <c r="W334" s="79"/>
      <c r="Z334" s="130"/>
      <c r="AB334" s="106"/>
    </row>
    <row r="335">
      <c r="C335" s="79"/>
      <c r="D335" s="79"/>
      <c r="E335" s="79"/>
      <c r="M335" s="79"/>
      <c r="R335" s="79"/>
      <c r="S335" s="79"/>
      <c r="V335" s="79"/>
      <c r="W335" s="79"/>
      <c r="Z335" s="130"/>
      <c r="AB335" s="106"/>
    </row>
    <row r="336">
      <c r="C336" s="79"/>
      <c r="D336" s="79"/>
      <c r="E336" s="79"/>
      <c r="M336" s="79"/>
      <c r="R336" s="79"/>
      <c r="S336" s="79"/>
      <c r="V336" s="79"/>
      <c r="W336" s="79"/>
      <c r="Z336" s="130"/>
      <c r="AB336" s="106"/>
    </row>
    <row r="337">
      <c r="C337" s="79"/>
      <c r="D337" s="79"/>
      <c r="E337" s="79"/>
      <c r="M337" s="79"/>
      <c r="R337" s="79"/>
      <c r="S337" s="79"/>
      <c r="V337" s="79"/>
      <c r="W337" s="79"/>
      <c r="Z337" s="130"/>
      <c r="AB337" s="106"/>
    </row>
    <row r="338">
      <c r="C338" s="79"/>
      <c r="D338" s="79"/>
      <c r="E338" s="79"/>
      <c r="M338" s="79"/>
      <c r="R338" s="79"/>
      <c r="S338" s="79"/>
      <c r="V338" s="79"/>
      <c r="W338" s="79"/>
      <c r="Z338" s="130"/>
      <c r="AB338" s="106"/>
    </row>
    <row r="339">
      <c r="C339" s="79"/>
      <c r="D339" s="79"/>
      <c r="E339" s="79"/>
      <c r="M339" s="79"/>
      <c r="R339" s="79"/>
      <c r="S339" s="79"/>
      <c r="V339" s="79"/>
      <c r="W339" s="79"/>
      <c r="Z339" s="130"/>
      <c r="AB339" s="106"/>
    </row>
    <row r="340">
      <c r="C340" s="79"/>
      <c r="D340" s="79"/>
      <c r="E340" s="79"/>
      <c r="M340" s="79"/>
      <c r="R340" s="79"/>
      <c r="S340" s="79"/>
      <c r="V340" s="79"/>
      <c r="W340" s="79"/>
      <c r="Z340" s="130"/>
      <c r="AB340" s="106"/>
    </row>
    <row r="341">
      <c r="C341" s="79"/>
      <c r="D341" s="79"/>
      <c r="E341" s="79"/>
      <c r="M341" s="79"/>
      <c r="R341" s="79"/>
      <c r="S341" s="79"/>
      <c r="V341" s="79"/>
      <c r="W341" s="79"/>
      <c r="Z341" s="130"/>
      <c r="AB341" s="106"/>
    </row>
    <row r="342">
      <c r="C342" s="79"/>
      <c r="D342" s="79"/>
      <c r="E342" s="79"/>
      <c r="M342" s="79"/>
      <c r="R342" s="79"/>
      <c r="S342" s="79"/>
      <c r="V342" s="79"/>
      <c r="W342" s="79"/>
      <c r="Z342" s="130"/>
      <c r="AB342" s="106"/>
    </row>
    <row r="343">
      <c r="C343" s="79"/>
      <c r="D343" s="79"/>
      <c r="E343" s="79"/>
      <c r="M343" s="79"/>
      <c r="R343" s="79"/>
      <c r="S343" s="79"/>
      <c r="V343" s="79"/>
      <c r="W343" s="79"/>
      <c r="Z343" s="130"/>
      <c r="AB343" s="106"/>
    </row>
    <row r="344">
      <c r="C344" s="79"/>
      <c r="D344" s="79"/>
      <c r="E344" s="79"/>
      <c r="M344" s="79"/>
      <c r="R344" s="79"/>
      <c r="S344" s="79"/>
      <c r="V344" s="79"/>
      <c r="W344" s="79"/>
      <c r="Z344" s="130"/>
      <c r="AB344" s="106"/>
    </row>
    <row r="345">
      <c r="C345" s="79"/>
      <c r="D345" s="79"/>
      <c r="E345" s="79"/>
      <c r="M345" s="79"/>
      <c r="R345" s="79"/>
      <c r="S345" s="79"/>
      <c r="V345" s="79"/>
      <c r="W345" s="79"/>
      <c r="Z345" s="130"/>
      <c r="AB345" s="106"/>
    </row>
    <row r="346">
      <c r="C346" s="79"/>
      <c r="D346" s="79"/>
      <c r="E346" s="79"/>
      <c r="M346" s="79"/>
      <c r="R346" s="79"/>
      <c r="S346" s="79"/>
      <c r="V346" s="79"/>
      <c r="W346" s="79"/>
      <c r="Z346" s="130"/>
      <c r="AB346" s="106"/>
    </row>
    <row r="347">
      <c r="C347" s="79"/>
      <c r="D347" s="79"/>
      <c r="E347" s="79"/>
      <c r="M347" s="79"/>
      <c r="R347" s="79"/>
      <c r="S347" s="79"/>
      <c r="V347" s="79"/>
      <c r="W347" s="79"/>
      <c r="Z347" s="130"/>
      <c r="AB347" s="106"/>
    </row>
    <row r="348">
      <c r="C348" s="79"/>
      <c r="D348" s="79"/>
      <c r="E348" s="79"/>
      <c r="M348" s="79"/>
      <c r="R348" s="79"/>
      <c r="S348" s="79"/>
      <c r="V348" s="79"/>
      <c r="W348" s="79"/>
      <c r="Z348" s="130"/>
      <c r="AB348" s="106"/>
    </row>
    <row r="349">
      <c r="C349" s="79"/>
      <c r="D349" s="79"/>
      <c r="E349" s="79"/>
      <c r="M349" s="79"/>
      <c r="R349" s="79"/>
      <c r="S349" s="79"/>
      <c r="V349" s="79"/>
      <c r="W349" s="79"/>
      <c r="Z349" s="130"/>
      <c r="AB349" s="106"/>
    </row>
    <row r="350">
      <c r="C350" s="79"/>
      <c r="D350" s="79"/>
      <c r="E350" s="79"/>
      <c r="M350" s="79"/>
      <c r="R350" s="79"/>
      <c r="S350" s="79"/>
      <c r="V350" s="79"/>
      <c r="W350" s="79"/>
      <c r="Z350" s="130"/>
      <c r="AB350" s="106"/>
    </row>
    <row r="351">
      <c r="C351" s="79"/>
      <c r="D351" s="79"/>
      <c r="E351" s="79"/>
      <c r="M351" s="79"/>
      <c r="R351" s="79"/>
      <c r="S351" s="79"/>
      <c r="V351" s="79"/>
      <c r="W351" s="79"/>
      <c r="Z351" s="130"/>
      <c r="AB351" s="106"/>
    </row>
    <row r="352">
      <c r="C352" s="79"/>
      <c r="D352" s="79"/>
      <c r="E352" s="79"/>
      <c r="M352" s="79"/>
      <c r="R352" s="79"/>
      <c r="S352" s="79"/>
      <c r="V352" s="79"/>
      <c r="W352" s="79"/>
      <c r="Z352" s="130"/>
      <c r="AB352" s="106"/>
    </row>
    <row r="353">
      <c r="C353" s="79"/>
      <c r="D353" s="79"/>
      <c r="E353" s="79"/>
      <c r="M353" s="79"/>
      <c r="R353" s="79"/>
      <c r="S353" s="79"/>
      <c r="V353" s="79"/>
      <c r="W353" s="79"/>
      <c r="Z353" s="130"/>
      <c r="AB353" s="106"/>
    </row>
    <row r="354">
      <c r="C354" s="79"/>
      <c r="D354" s="79"/>
      <c r="E354" s="79"/>
      <c r="M354" s="79"/>
      <c r="R354" s="79"/>
      <c r="S354" s="79"/>
      <c r="V354" s="79"/>
      <c r="W354" s="79"/>
      <c r="Z354" s="130"/>
      <c r="AB354" s="106"/>
    </row>
    <row r="355">
      <c r="C355" s="79"/>
      <c r="D355" s="79"/>
      <c r="E355" s="79"/>
      <c r="M355" s="79"/>
      <c r="R355" s="79"/>
      <c r="S355" s="79"/>
      <c r="V355" s="79"/>
      <c r="W355" s="79"/>
      <c r="Z355" s="130"/>
      <c r="AB355" s="106"/>
    </row>
    <row r="356">
      <c r="C356" s="79"/>
      <c r="D356" s="79"/>
      <c r="E356" s="79"/>
      <c r="M356" s="79"/>
      <c r="R356" s="79"/>
      <c r="S356" s="79"/>
      <c r="V356" s="79"/>
      <c r="W356" s="79"/>
      <c r="Z356" s="130"/>
      <c r="AB356" s="106"/>
    </row>
    <row r="357">
      <c r="C357" s="79"/>
      <c r="D357" s="79"/>
      <c r="E357" s="79"/>
      <c r="M357" s="79"/>
      <c r="R357" s="79"/>
      <c r="S357" s="79"/>
      <c r="V357" s="79"/>
      <c r="W357" s="79"/>
      <c r="Z357" s="130"/>
      <c r="AB357" s="106"/>
    </row>
    <row r="358">
      <c r="C358" s="79"/>
      <c r="D358" s="79"/>
      <c r="E358" s="79"/>
      <c r="M358" s="79"/>
      <c r="R358" s="79"/>
      <c r="S358" s="79"/>
      <c r="V358" s="79"/>
      <c r="W358" s="79"/>
      <c r="Z358" s="130"/>
      <c r="AB358" s="106"/>
    </row>
    <row r="359">
      <c r="C359" s="79"/>
      <c r="D359" s="79"/>
      <c r="E359" s="79"/>
      <c r="M359" s="79"/>
      <c r="R359" s="79"/>
      <c r="S359" s="79"/>
      <c r="V359" s="79"/>
      <c r="W359" s="79"/>
      <c r="Z359" s="130"/>
      <c r="AB359" s="106"/>
    </row>
    <row r="360">
      <c r="C360" s="79"/>
      <c r="D360" s="79"/>
      <c r="E360" s="79"/>
      <c r="M360" s="79"/>
      <c r="R360" s="79"/>
      <c r="S360" s="79"/>
      <c r="V360" s="79"/>
      <c r="W360" s="79"/>
      <c r="Z360" s="130"/>
      <c r="AB360" s="106"/>
    </row>
    <row r="361">
      <c r="C361" s="79"/>
      <c r="D361" s="79"/>
      <c r="E361" s="79"/>
      <c r="M361" s="79"/>
      <c r="R361" s="79"/>
      <c r="S361" s="79"/>
      <c r="V361" s="79"/>
      <c r="W361" s="79"/>
      <c r="Z361" s="130"/>
      <c r="AB361" s="106"/>
    </row>
    <row r="362">
      <c r="C362" s="79"/>
      <c r="D362" s="79"/>
      <c r="E362" s="79"/>
      <c r="M362" s="79"/>
      <c r="R362" s="79"/>
      <c r="S362" s="79"/>
      <c r="V362" s="79"/>
      <c r="W362" s="79"/>
      <c r="Z362" s="130"/>
      <c r="AB362" s="106"/>
    </row>
    <row r="363">
      <c r="C363" s="79"/>
      <c r="D363" s="79"/>
      <c r="E363" s="79"/>
      <c r="M363" s="79"/>
      <c r="R363" s="79"/>
      <c r="S363" s="79"/>
      <c r="V363" s="79"/>
      <c r="W363" s="79"/>
      <c r="Z363" s="130"/>
      <c r="AB363" s="106"/>
    </row>
    <row r="364">
      <c r="C364" s="79"/>
      <c r="D364" s="79"/>
      <c r="E364" s="79"/>
      <c r="M364" s="79"/>
      <c r="R364" s="79"/>
      <c r="S364" s="79"/>
      <c r="V364" s="79"/>
      <c r="W364" s="79"/>
      <c r="Z364" s="130"/>
      <c r="AB364" s="106"/>
    </row>
    <row r="365">
      <c r="C365" s="79"/>
      <c r="D365" s="79"/>
      <c r="E365" s="79"/>
      <c r="M365" s="79"/>
      <c r="R365" s="79"/>
      <c r="S365" s="79"/>
      <c r="V365" s="79"/>
      <c r="W365" s="79"/>
      <c r="Z365" s="130"/>
      <c r="AB365" s="106"/>
    </row>
    <row r="366">
      <c r="C366" s="79"/>
      <c r="D366" s="79"/>
      <c r="E366" s="79"/>
      <c r="M366" s="79"/>
      <c r="R366" s="79"/>
      <c r="S366" s="79"/>
      <c r="V366" s="79"/>
      <c r="W366" s="79"/>
      <c r="Z366" s="130"/>
      <c r="AB366" s="106"/>
    </row>
    <row r="367">
      <c r="C367" s="79"/>
      <c r="D367" s="79"/>
      <c r="E367" s="79"/>
      <c r="M367" s="79"/>
      <c r="R367" s="79"/>
      <c r="S367" s="79"/>
      <c r="V367" s="79"/>
      <c r="W367" s="79"/>
      <c r="Z367" s="130"/>
      <c r="AB367" s="106"/>
    </row>
    <row r="368">
      <c r="C368" s="79"/>
      <c r="D368" s="79"/>
      <c r="E368" s="79"/>
      <c r="M368" s="79"/>
      <c r="R368" s="79"/>
      <c r="S368" s="79"/>
      <c r="V368" s="79"/>
      <c r="W368" s="79"/>
      <c r="Z368" s="130"/>
      <c r="AB368" s="106"/>
    </row>
    <row r="369">
      <c r="C369" s="79"/>
      <c r="D369" s="79"/>
      <c r="E369" s="79"/>
      <c r="M369" s="79"/>
      <c r="R369" s="79"/>
      <c r="S369" s="79"/>
      <c r="V369" s="79"/>
      <c r="W369" s="79"/>
      <c r="Z369" s="130"/>
      <c r="AB369" s="106"/>
    </row>
    <row r="370">
      <c r="C370" s="79"/>
      <c r="D370" s="79"/>
      <c r="E370" s="79"/>
      <c r="M370" s="79"/>
      <c r="R370" s="79"/>
      <c r="S370" s="79"/>
      <c r="V370" s="79"/>
      <c r="W370" s="79"/>
      <c r="Z370" s="130"/>
      <c r="AB370" s="106"/>
    </row>
    <row r="371">
      <c r="C371" s="79"/>
      <c r="D371" s="79"/>
      <c r="E371" s="79"/>
      <c r="M371" s="79"/>
      <c r="R371" s="79"/>
      <c r="S371" s="79"/>
      <c r="V371" s="79"/>
      <c r="W371" s="79"/>
      <c r="Z371" s="130"/>
      <c r="AB371" s="106"/>
    </row>
    <row r="372">
      <c r="C372" s="79"/>
      <c r="D372" s="79"/>
      <c r="E372" s="79"/>
      <c r="M372" s="79"/>
      <c r="R372" s="79"/>
      <c r="S372" s="79"/>
      <c r="V372" s="79"/>
      <c r="W372" s="79"/>
      <c r="Z372" s="130"/>
      <c r="AB372" s="106"/>
    </row>
    <row r="373">
      <c r="C373" s="79"/>
      <c r="D373" s="79"/>
      <c r="E373" s="79"/>
      <c r="M373" s="79"/>
      <c r="R373" s="79"/>
      <c r="S373" s="79"/>
      <c r="V373" s="79"/>
      <c r="W373" s="79"/>
      <c r="Z373" s="130"/>
      <c r="AB373" s="106"/>
    </row>
    <row r="374">
      <c r="C374" s="79"/>
      <c r="D374" s="79"/>
      <c r="E374" s="79"/>
      <c r="M374" s="79"/>
      <c r="R374" s="79"/>
      <c r="S374" s="79"/>
      <c r="V374" s="79"/>
      <c r="W374" s="79"/>
      <c r="Z374" s="130"/>
      <c r="AB374" s="106"/>
    </row>
    <row r="375">
      <c r="C375" s="79"/>
      <c r="D375" s="79"/>
      <c r="E375" s="79"/>
      <c r="M375" s="79"/>
      <c r="R375" s="79"/>
      <c r="S375" s="79"/>
      <c r="V375" s="79"/>
      <c r="W375" s="79"/>
      <c r="Z375" s="130"/>
      <c r="AB375" s="106"/>
    </row>
    <row r="376">
      <c r="C376" s="79"/>
      <c r="D376" s="79"/>
      <c r="E376" s="79"/>
      <c r="M376" s="79"/>
      <c r="R376" s="79"/>
      <c r="S376" s="79"/>
      <c r="V376" s="79"/>
      <c r="W376" s="79"/>
      <c r="Z376" s="130"/>
      <c r="AB376" s="106"/>
    </row>
    <row r="377">
      <c r="C377" s="79"/>
      <c r="D377" s="79"/>
      <c r="E377" s="79"/>
      <c r="M377" s="79"/>
      <c r="R377" s="79"/>
      <c r="S377" s="79"/>
      <c r="V377" s="79"/>
      <c r="W377" s="79"/>
      <c r="Z377" s="130"/>
      <c r="AB377" s="106"/>
    </row>
    <row r="378">
      <c r="C378" s="79"/>
      <c r="D378" s="79"/>
      <c r="E378" s="79"/>
      <c r="M378" s="79"/>
      <c r="R378" s="79"/>
      <c r="S378" s="79"/>
      <c r="V378" s="79"/>
      <c r="W378" s="79"/>
      <c r="Z378" s="130"/>
      <c r="AB378" s="106"/>
    </row>
    <row r="379">
      <c r="C379" s="79"/>
      <c r="D379" s="79"/>
      <c r="E379" s="79"/>
      <c r="M379" s="79"/>
      <c r="R379" s="79"/>
      <c r="S379" s="79"/>
      <c r="V379" s="79"/>
      <c r="W379" s="79"/>
      <c r="Z379" s="130"/>
      <c r="AB379" s="106"/>
    </row>
    <row r="380">
      <c r="C380" s="79"/>
      <c r="D380" s="79"/>
      <c r="E380" s="79"/>
      <c r="M380" s="79"/>
      <c r="R380" s="79"/>
      <c r="S380" s="79"/>
      <c r="V380" s="79"/>
      <c r="W380" s="79"/>
      <c r="Z380" s="130"/>
      <c r="AB380" s="106"/>
    </row>
    <row r="381">
      <c r="C381" s="79"/>
      <c r="D381" s="79"/>
      <c r="E381" s="79"/>
      <c r="M381" s="79"/>
      <c r="R381" s="79"/>
      <c r="S381" s="79"/>
      <c r="V381" s="79"/>
      <c r="W381" s="79"/>
      <c r="Z381" s="130"/>
      <c r="AB381" s="106"/>
    </row>
    <row r="382">
      <c r="C382" s="79"/>
      <c r="D382" s="79"/>
      <c r="E382" s="79"/>
      <c r="M382" s="79"/>
      <c r="R382" s="79"/>
      <c r="S382" s="79"/>
      <c r="V382" s="79"/>
      <c r="W382" s="79"/>
      <c r="Z382" s="130"/>
      <c r="AB382" s="106"/>
    </row>
    <row r="383">
      <c r="C383" s="79"/>
      <c r="D383" s="79"/>
      <c r="E383" s="79"/>
      <c r="M383" s="79"/>
      <c r="R383" s="79"/>
      <c r="S383" s="79"/>
      <c r="V383" s="79"/>
      <c r="W383" s="79"/>
      <c r="Z383" s="130"/>
      <c r="AB383" s="106"/>
    </row>
    <row r="384">
      <c r="C384" s="79"/>
      <c r="D384" s="79"/>
      <c r="E384" s="79"/>
      <c r="M384" s="79"/>
      <c r="R384" s="79"/>
      <c r="S384" s="79"/>
      <c r="V384" s="79"/>
      <c r="W384" s="79"/>
      <c r="Z384" s="130"/>
      <c r="AB384" s="106"/>
    </row>
    <row r="385">
      <c r="C385" s="79"/>
      <c r="D385" s="79"/>
      <c r="E385" s="79"/>
      <c r="M385" s="79"/>
      <c r="R385" s="79"/>
      <c r="S385" s="79"/>
      <c r="V385" s="79"/>
      <c r="W385" s="79"/>
      <c r="Z385" s="130"/>
      <c r="AB385" s="106"/>
    </row>
    <row r="386">
      <c r="C386" s="79"/>
      <c r="D386" s="79"/>
      <c r="E386" s="79"/>
      <c r="M386" s="79"/>
      <c r="R386" s="79"/>
      <c r="S386" s="79"/>
      <c r="V386" s="79"/>
      <c r="W386" s="79"/>
      <c r="Z386" s="130"/>
      <c r="AB386" s="106"/>
    </row>
    <row r="387">
      <c r="C387" s="79"/>
      <c r="D387" s="79"/>
      <c r="E387" s="79"/>
      <c r="M387" s="79"/>
      <c r="R387" s="79"/>
      <c r="S387" s="79"/>
      <c r="V387" s="79"/>
      <c r="W387" s="79"/>
      <c r="Z387" s="130"/>
      <c r="AB387" s="106"/>
    </row>
    <row r="388">
      <c r="C388" s="79"/>
      <c r="D388" s="79"/>
      <c r="E388" s="79"/>
      <c r="M388" s="79"/>
      <c r="R388" s="79"/>
      <c r="S388" s="79"/>
      <c r="V388" s="79"/>
      <c r="W388" s="79"/>
      <c r="Z388" s="130"/>
      <c r="AB388" s="106"/>
    </row>
    <row r="389">
      <c r="C389" s="79"/>
      <c r="D389" s="79"/>
      <c r="E389" s="79"/>
      <c r="M389" s="79"/>
      <c r="R389" s="79"/>
      <c r="S389" s="79"/>
      <c r="V389" s="79"/>
      <c r="W389" s="79"/>
      <c r="Z389" s="130"/>
      <c r="AB389" s="106"/>
    </row>
    <row r="390">
      <c r="C390" s="79"/>
      <c r="D390" s="79"/>
      <c r="E390" s="79"/>
      <c r="M390" s="79"/>
      <c r="R390" s="79"/>
      <c r="S390" s="79"/>
      <c r="V390" s="79"/>
      <c r="W390" s="79"/>
      <c r="Z390" s="130"/>
      <c r="AB390" s="106"/>
    </row>
    <row r="391">
      <c r="C391" s="79"/>
      <c r="D391" s="79"/>
      <c r="E391" s="79"/>
      <c r="M391" s="79"/>
      <c r="R391" s="79"/>
      <c r="S391" s="79"/>
      <c r="V391" s="79"/>
      <c r="W391" s="79"/>
      <c r="Z391" s="130"/>
      <c r="AB391" s="106"/>
    </row>
    <row r="392">
      <c r="C392" s="79"/>
      <c r="D392" s="79"/>
      <c r="E392" s="79"/>
      <c r="M392" s="79"/>
      <c r="R392" s="79"/>
      <c r="S392" s="79"/>
      <c r="V392" s="79"/>
      <c r="W392" s="79"/>
      <c r="Z392" s="130"/>
      <c r="AB392" s="106"/>
    </row>
    <row r="393">
      <c r="C393" s="79"/>
      <c r="D393" s="79"/>
      <c r="E393" s="79"/>
      <c r="M393" s="79"/>
      <c r="R393" s="79"/>
      <c r="S393" s="79"/>
      <c r="V393" s="79"/>
      <c r="W393" s="79"/>
      <c r="Z393" s="130"/>
      <c r="AB393" s="106"/>
    </row>
    <row r="394">
      <c r="C394" s="79"/>
      <c r="D394" s="79"/>
      <c r="E394" s="79"/>
      <c r="M394" s="79"/>
      <c r="R394" s="79"/>
      <c r="S394" s="79"/>
      <c r="V394" s="79"/>
      <c r="W394" s="79"/>
      <c r="Z394" s="130"/>
      <c r="AB394" s="106"/>
    </row>
    <row r="395">
      <c r="C395" s="79"/>
      <c r="D395" s="79"/>
      <c r="E395" s="79"/>
      <c r="M395" s="79"/>
      <c r="R395" s="79"/>
      <c r="S395" s="79"/>
      <c r="V395" s="79"/>
      <c r="W395" s="79"/>
      <c r="Z395" s="130"/>
      <c r="AB395" s="106"/>
    </row>
    <row r="396">
      <c r="C396" s="79"/>
      <c r="D396" s="79"/>
      <c r="E396" s="79"/>
      <c r="M396" s="79"/>
      <c r="R396" s="79"/>
      <c r="S396" s="79"/>
      <c r="V396" s="79"/>
      <c r="W396" s="79"/>
      <c r="Z396" s="130"/>
      <c r="AB396" s="106"/>
    </row>
    <row r="397">
      <c r="C397" s="79"/>
      <c r="D397" s="79"/>
      <c r="E397" s="79"/>
      <c r="M397" s="79"/>
      <c r="R397" s="79"/>
      <c r="S397" s="79"/>
      <c r="V397" s="79"/>
      <c r="W397" s="79"/>
      <c r="Z397" s="130"/>
      <c r="AB397" s="106"/>
    </row>
    <row r="398">
      <c r="C398" s="79"/>
      <c r="D398" s="79"/>
      <c r="E398" s="79"/>
      <c r="M398" s="79"/>
      <c r="R398" s="79"/>
      <c r="S398" s="79"/>
      <c r="V398" s="79"/>
      <c r="W398" s="79"/>
      <c r="Z398" s="130"/>
      <c r="AB398" s="106"/>
    </row>
    <row r="399">
      <c r="C399" s="79"/>
      <c r="D399" s="79"/>
      <c r="E399" s="79"/>
      <c r="M399" s="79"/>
      <c r="R399" s="79"/>
      <c r="S399" s="79"/>
      <c r="V399" s="79"/>
      <c r="W399" s="79"/>
      <c r="Z399" s="130"/>
      <c r="AB399" s="106"/>
    </row>
    <row r="400">
      <c r="C400" s="79"/>
      <c r="D400" s="79"/>
      <c r="E400" s="79"/>
      <c r="M400" s="79"/>
      <c r="R400" s="79"/>
      <c r="S400" s="79"/>
      <c r="V400" s="79"/>
      <c r="W400" s="79"/>
      <c r="Z400" s="130"/>
      <c r="AB400" s="106"/>
    </row>
    <row r="401">
      <c r="C401" s="79"/>
      <c r="D401" s="79"/>
      <c r="E401" s="79"/>
      <c r="M401" s="79"/>
      <c r="R401" s="79"/>
      <c r="S401" s="79"/>
      <c r="V401" s="79"/>
      <c r="W401" s="79"/>
      <c r="Z401" s="130"/>
      <c r="AB401" s="106"/>
    </row>
    <row r="402">
      <c r="C402" s="79"/>
      <c r="D402" s="79"/>
      <c r="E402" s="79"/>
      <c r="M402" s="79"/>
      <c r="R402" s="79"/>
      <c r="S402" s="79"/>
      <c r="V402" s="79"/>
      <c r="W402" s="79"/>
      <c r="Z402" s="130"/>
      <c r="AB402" s="106"/>
    </row>
    <row r="403">
      <c r="C403" s="79"/>
      <c r="D403" s="79"/>
      <c r="E403" s="79"/>
      <c r="M403" s="79"/>
      <c r="R403" s="79"/>
      <c r="S403" s="79"/>
      <c r="V403" s="79"/>
      <c r="W403" s="79"/>
      <c r="Z403" s="130"/>
      <c r="AB403" s="106"/>
    </row>
    <row r="404">
      <c r="C404" s="79"/>
      <c r="D404" s="79"/>
      <c r="E404" s="79"/>
      <c r="M404" s="79"/>
      <c r="R404" s="79"/>
      <c r="S404" s="79"/>
      <c r="V404" s="79"/>
      <c r="W404" s="79"/>
      <c r="Z404" s="130"/>
      <c r="AB404" s="106"/>
    </row>
    <row r="405">
      <c r="C405" s="79"/>
      <c r="D405" s="79"/>
      <c r="E405" s="79"/>
      <c r="M405" s="79"/>
      <c r="R405" s="79"/>
      <c r="S405" s="79"/>
      <c r="V405" s="79"/>
      <c r="W405" s="79"/>
      <c r="Z405" s="130"/>
      <c r="AB405" s="106"/>
    </row>
    <row r="406">
      <c r="C406" s="79"/>
      <c r="D406" s="79"/>
      <c r="E406" s="79"/>
      <c r="M406" s="79"/>
      <c r="R406" s="79"/>
      <c r="S406" s="79"/>
      <c r="V406" s="79"/>
      <c r="W406" s="79"/>
      <c r="Z406" s="130"/>
      <c r="AB406" s="106"/>
    </row>
    <row r="407">
      <c r="C407" s="79"/>
      <c r="D407" s="79"/>
      <c r="E407" s="79"/>
      <c r="M407" s="79"/>
      <c r="R407" s="79"/>
      <c r="S407" s="79"/>
      <c r="V407" s="79"/>
      <c r="W407" s="79"/>
      <c r="Z407" s="130"/>
      <c r="AB407" s="106"/>
    </row>
    <row r="408">
      <c r="C408" s="79"/>
      <c r="D408" s="79"/>
      <c r="E408" s="79"/>
      <c r="M408" s="79"/>
      <c r="R408" s="79"/>
      <c r="S408" s="79"/>
      <c r="V408" s="79"/>
      <c r="W408" s="79"/>
      <c r="Z408" s="130"/>
      <c r="AB408" s="106"/>
    </row>
    <row r="409">
      <c r="C409" s="79"/>
      <c r="D409" s="79"/>
      <c r="E409" s="79"/>
      <c r="M409" s="79"/>
      <c r="R409" s="79"/>
      <c r="S409" s="79"/>
      <c r="V409" s="79"/>
      <c r="W409" s="79"/>
      <c r="Z409" s="130"/>
      <c r="AB409" s="106"/>
    </row>
    <row r="410">
      <c r="C410" s="79"/>
      <c r="D410" s="79"/>
      <c r="E410" s="79"/>
      <c r="M410" s="79"/>
      <c r="R410" s="79"/>
      <c r="S410" s="79"/>
      <c r="V410" s="79"/>
      <c r="W410" s="79"/>
      <c r="Z410" s="130"/>
      <c r="AB410" s="106"/>
    </row>
    <row r="411">
      <c r="C411" s="79"/>
      <c r="D411" s="79"/>
      <c r="E411" s="79"/>
      <c r="M411" s="79"/>
      <c r="R411" s="79"/>
      <c r="S411" s="79"/>
      <c r="V411" s="79"/>
      <c r="W411" s="79"/>
      <c r="Z411" s="130"/>
      <c r="AB411" s="106"/>
    </row>
    <row r="412">
      <c r="C412" s="79"/>
      <c r="D412" s="79"/>
      <c r="E412" s="79"/>
      <c r="M412" s="79"/>
      <c r="R412" s="79"/>
      <c r="S412" s="79"/>
      <c r="V412" s="79"/>
      <c r="W412" s="79"/>
      <c r="Z412" s="130"/>
      <c r="AB412" s="106"/>
    </row>
    <row r="413">
      <c r="C413" s="79"/>
      <c r="D413" s="79"/>
      <c r="E413" s="79"/>
      <c r="M413" s="79"/>
      <c r="R413" s="79"/>
      <c r="S413" s="79"/>
      <c r="V413" s="79"/>
      <c r="W413" s="79"/>
      <c r="Z413" s="130"/>
      <c r="AB413" s="106"/>
    </row>
    <row r="414">
      <c r="C414" s="79"/>
      <c r="D414" s="79"/>
      <c r="E414" s="79"/>
      <c r="M414" s="79"/>
      <c r="R414" s="79"/>
      <c r="S414" s="79"/>
      <c r="V414" s="79"/>
      <c r="W414" s="79"/>
      <c r="Z414" s="130"/>
      <c r="AB414" s="106"/>
    </row>
    <row r="415">
      <c r="C415" s="79"/>
      <c r="D415" s="79"/>
      <c r="E415" s="79"/>
      <c r="M415" s="79"/>
      <c r="R415" s="79"/>
      <c r="S415" s="79"/>
      <c r="V415" s="79"/>
      <c r="W415" s="79"/>
      <c r="Z415" s="130"/>
      <c r="AB415" s="106"/>
    </row>
    <row r="416">
      <c r="C416" s="79"/>
      <c r="D416" s="79"/>
      <c r="E416" s="79"/>
      <c r="M416" s="79"/>
      <c r="R416" s="79"/>
      <c r="S416" s="79"/>
      <c r="V416" s="79"/>
      <c r="W416" s="79"/>
      <c r="Z416" s="130"/>
      <c r="AB416" s="106"/>
    </row>
    <row r="417">
      <c r="C417" s="79"/>
      <c r="D417" s="79"/>
      <c r="E417" s="79"/>
      <c r="M417" s="79"/>
      <c r="R417" s="79"/>
      <c r="S417" s="79"/>
      <c r="V417" s="79"/>
      <c r="W417" s="79"/>
      <c r="Z417" s="130"/>
      <c r="AB417" s="106"/>
    </row>
    <row r="418">
      <c r="C418" s="79"/>
      <c r="D418" s="79"/>
      <c r="E418" s="79"/>
      <c r="M418" s="79"/>
      <c r="R418" s="79"/>
      <c r="S418" s="79"/>
      <c r="V418" s="79"/>
      <c r="W418" s="79"/>
      <c r="Z418" s="130"/>
      <c r="AB418" s="106"/>
    </row>
    <row r="419">
      <c r="C419" s="79"/>
      <c r="D419" s="79"/>
      <c r="E419" s="79"/>
      <c r="M419" s="79"/>
      <c r="R419" s="79"/>
      <c r="S419" s="79"/>
      <c r="V419" s="79"/>
      <c r="W419" s="79"/>
      <c r="Z419" s="130"/>
      <c r="AB419" s="106"/>
    </row>
    <row r="420">
      <c r="C420" s="79"/>
      <c r="D420" s="79"/>
      <c r="E420" s="79"/>
      <c r="M420" s="79"/>
      <c r="R420" s="79"/>
      <c r="S420" s="79"/>
      <c r="V420" s="79"/>
      <c r="W420" s="79"/>
      <c r="Z420" s="130"/>
      <c r="AB420" s="106"/>
    </row>
    <row r="421">
      <c r="C421" s="79"/>
      <c r="D421" s="79"/>
      <c r="E421" s="79"/>
      <c r="M421" s="79"/>
      <c r="R421" s="79"/>
      <c r="S421" s="79"/>
      <c r="V421" s="79"/>
      <c r="W421" s="79"/>
      <c r="Z421" s="130"/>
      <c r="AB421" s="106"/>
    </row>
    <row r="422">
      <c r="C422" s="79"/>
      <c r="D422" s="79"/>
      <c r="E422" s="79"/>
      <c r="M422" s="79"/>
      <c r="R422" s="79"/>
      <c r="S422" s="79"/>
      <c r="V422" s="79"/>
      <c r="W422" s="79"/>
      <c r="Z422" s="130"/>
      <c r="AB422" s="106"/>
    </row>
    <row r="423">
      <c r="C423" s="79"/>
      <c r="D423" s="79"/>
      <c r="E423" s="79"/>
      <c r="M423" s="79"/>
      <c r="R423" s="79"/>
      <c r="S423" s="79"/>
      <c r="V423" s="79"/>
      <c r="W423" s="79"/>
      <c r="Z423" s="130"/>
      <c r="AB423" s="106"/>
    </row>
    <row r="424">
      <c r="C424" s="79"/>
      <c r="D424" s="79"/>
      <c r="E424" s="79"/>
      <c r="M424" s="79"/>
      <c r="R424" s="79"/>
      <c r="S424" s="79"/>
      <c r="V424" s="79"/>
      <c r="W424" s="79"/>
      <c r="Z424" s="130"/>
      <c r="AB424" s="106"/>
    </row>
    <row r="425">
      <c r="C425" s="79"/>
      <c r="D425" s="79"/>
      <c r="E425" s="79"/>
      <c r="M425" s="79"/>
      <c r="R425" s="79"/>
      <c r="S425" s="79"/>
      <c r="V425" s="79"/>
      <c r="W425" s="79"/>
      <c r="Z425" s="130"/>
      <c r="AB425" s="106"/>
    </row>
    <row r="426">
      <c r="C426" s="79"/>
      <c r="D426" s="79"/>
      <c r="E426" s="79"/>
      <c r="M426" s="79"/>
      <c r="R426" s="79"/>
      <c r="S426" s="79"/>
      <c r="V426" s="79"/>
      <c r="W426" s="79"/>
      <c r="Z426" s="130"/>
      <c r="AB426" s="106"/>
    </row>
    <row r="427">
      <c r="C427" s="79"/>
      <c r="D427" s="79"/>
      <c r="E427" s="79"/>
      <c r="M427" s="79"/>
      <c r="R427" s="79"/>
      <c r="S427" s="79"/>
      <c r="V427" s="79"/>
      <c r="W427" s="79"/>
      <c r="Z427" s="130"/>
      <c r="AB427" s="106"/>
    </row>
    <row r="428">
      <c r="C428" s="79"/>
      <c r="D428" s="79"/>
      <c r="E428" s="79"/>
      <c r="M428" s="79"/>
      <c r="R428" s="79"/>
      <c r="S428" s="79"/>
      <c r="V428" s="79"/>
      <c r="W428" s="79"/>
      <c r="Z428" s="130"/>
      <c r="AB428" s="106"/>
    </row>
    <row r="429">
      <c r="C429" s="79"/>
      <c r="D429" s="79"/>
      <c r="E429" s="79"/>
      <c r="M429" s="79"/>
      <c r="R429" s="79"/>
      <c r="S429" s="79"/>
      <c r="V429" s="79"/>
      <c r="W429" s="79"/>
      <c r="Z429" s="130"/>
      <c r="AB429" s="106"/>
    </row>
    <row r="430">
      <c r="C430" s="79"/>
      <c r="D430" s="79"/>
      <c r="E430" s="79"/>
      <c r="M430" s="79"/>
      <c r="R430" s="79"/>
      <c r="S430" s="79"/>
      <c r="V430" s="79"/>
      <c r="W430" s="79"/>
      <c r="Z430" s="130"/>
      <c r="AB430" s="106"/>
    </row>
    <row r="431">
      <c r="C431" s="79"/>
      <c r="D431" s="79"/>
      <c r="E431" s="79"/>
      <c r="M431" s="79"/>
      <c r="R431" s="79"/>
      <c r="S431" s="79"/>
      <c r="V431" s="79"/>
      <c r="W431" s="79"/>
      <c r="Z431" s="130"/>
      <c r="AB431" s="106"/>
    </row>
    <row r="432">
      <c r="C432" s="79"/>
      <c r="D432" s="79"/>
      <c r="E432" s="79"/>
      <c r="M432" s="79"/>
      <c r="R432" s="79"/>
      <c r="S432" s="79"/>
      <c r="V432" s="79"/>
      <c r="W432" s="79"/>
      <c r="Z432" s="130"/>
      <c r="AB432" s="106"/>
    </row>
    <row r="433">
      <c r="C433" s="79"/>
      <c r="D433" s="79"/>
      <c r="E433" s="79"/>
      <c r="M433" s="79"/>
      <c r="R433" s="79"/>
      <c r="S433" s="79"/>
      <c r="V433" s="79"/>
      <c r="W433" s="79"/>
      <c r="Z433" s="130"/>
      <c r="AB433" s="106"/>
    </row>
    <row r="434">
      <c r="C434" s="79"/>
      <c r="D434" s="79"/>
      <c r="E434" s="79"/>
      <c r="M434" s="79"/>
      <c r="R434" s="79"/>
      <c r="S434" s="79"/>
      <c r="V434" s="79"/>
      <c r="W434" s="79"/>
      <c r="Z434" s="130"/>
      <c r="AB434" s="106"/>
    </row>
    <row r="435">
      <c r="C435" s="79"/>
      <c r="D435" s="79"/>
      <c r="E435" s="79"/>
      <c r="M435" s="79"/>
      <c r="R435" s="79"/>
      <c r="S435" s="79"/>
      <c r="V435" s="79"/>
      <c r="W435" s="79"/>
      <c r="Z435" s="130"/>
      <c r="AB435" s="106"/>
    </row>
    <row r="436">
      <c r="C436" s="79"/>
      <c r="D436" s="79"/>
      <c r="E436" s="79"/>
      <c r="M436" s="79"/>
      <c r="R436" s="79"/>
      <c r="S436" s="79"/>
      <c r="V436" s="79"/>
      <c r="W436" s="79"/>
      <c r="Z436" s="130"/>
      <c r="AB436" s="106"/>
    </row>
    <row r="437">
      <c r="C437" s="79"/>
      <c r="D437" s="79"/>
      <c r="E437" s="79"/>
      <c r="M437" s="79"/>
      <c r="R437" s="79"/>
      <c r="S437" s="79"/>
      <c r="V437" s="79"/>
      <c r="W437" s="79"/>
      <c r="Z437" s="130"/>
      <c r="AB437" s="106"/>
    </row>
    <row r="438">
      <c r="C438" s="79"/>
      <c r="D438" s="79"/>
      <c r="E438" s="79"/>
      <c r="M438" s="79"/>
      <c r="R438" s="79"/>
      <c r="S438" s="79"/>
      <c r="V438" s="79"/>
      <c r="W438" s="79"/>
      <c r="Z438" s="130"/>
      <c r="AB438" s="106"/>
    </row>
    <row r="439">
      <c r="C439" s="79"/>
      <c r="D439" s="79"/>
      <c r="E439" s="79"/>
      <c r="M439" s="79"/>
      <c r="R439" s="79"/>
      <c r="S439" s="79"/>
      <c r="V439" s="79"/>
      <c r="W439" s="79"/>
      <c r="Z439" s="130"/>
      <c r="AB439" s="106"/>
    </row>
    <row r="440">
      <c r="C440" s="79"/>
      <c r="D440" s="79"/>
      <c r="E440" s="79"/>
      <c r="M440" s="79"/>
      <c r="R440" s="79"/>
      <c r="S440" s="79"/>
      <c r="V440" s="79"/>
      <c r="W440" s="79"/>
      <c r="Z440" s="130"/>
      <c r="AB440" s="106"/>
    </row>
    <row r="441">
      <c r="C441" s="79"/>
      <c r="D441" s="79"/>
      <c r="E441" s="79"/>
      <c r="M441" s="79"/>
      <c r="R441" s="79"/>
      <c r="S441" s="79"/>
      <c r="V441" s="79"/>
      <c r="W441" s="79"/>
      <c r="Z441" s="130"/>
      <c r="AB441" s="106"/>
    </row>
    <row r="442">
      <c r="C442" s="79"/>
      <c r="D442" s="79"/>
      <c r="E442" s="79"/>
      <c r="M442" s="79"/>
      <c r="R442" s="79"/>
      <c r="S442" s="79"/>
      <c r="V442" s="79"/>
      <c r="W442" s="79"/>
      <c r="Z442" s="130"/>
      <c r="AB442" s="106"/>
    </row>
    <row r="443">
      <c r="C443" s="79"/>
      <c r="D443" s="79"/>
      <c r="E443" s="79"/>
      <c r="M443" s="79"/>
      <c r="R443" s="79"/>
      <c r="S443" s="79"/>
      <c r="V443" s="79"/>
      <c r="W443" s="79"/>
      <c r="Z443" s="130"/>
      <c r="AB443" s="106"/>
    </row>
    <row r="444">
      <c r="C444" s="79"/>
      <c r="D444" s="79"/>
      <c r="E444" s="79"/>
      <c r="M444" s="79"/>
      <c r="R444" s="79"/>
      <c r="S444" s="79"/>
      <c r="V444" s="79"/>
      <c r="W444" s="79"/>
      <c r="Z444" s="130"/>
      <c r="AB444" s="106"/>
    </row>
    <row r="445">
      <c r="C445" s="79"/>
      <c r="D445" s="79"/>
      <c r="E445" s="79"/>
      <c r="M445" s="79"/>
      <c r="R445" s="79"/>
      <c r="S445" s="79"/>
      <c r="V445" s="79"/>
      <c r="W445" s="79"/>
      <c r="Z445" s="130"/>
      <c r="AB445" s="106"/>
    </row>
    <row r="446">
      <c r="C446" s="79"/>
      <c r="D446" s="79"/>
      <c r="E446" s="79"/>
      <c r="M446" s="79"/>
      <c r="R446" s="79"/>
      <c r="S446" s="79"/>
      <c r="V446" s="79"/>
      <c r="W446" s="79"/>
      <c r="Z446" s="130"/>
      <c r="AB446" s="106"/>
    </row>
    <row r="447">
      <c r="C447" s="79"/>
      <c r="D447" s="79"/>
      <c r="E447" s="79"/>
      <c r="M447" s="79"/>
      <c r="R447" s="79"/>
      <c r="S447" s="79"/>
      <c r="V447" s="79"/>
      <c r="W447" s="79"/>
      <c r="Z447" s="130"/>
      <c r="AB447" s="106"/>
    </row>
    <row r="448">
      <c r="C448" s="79"/>
      <c r="D448" s="79"/>
      <c r="E448" s="79"/>
      <c r="M448" s="79"/>
      <c r="R448" s="79"/>
      <c r="S448" s="79"/>
      <c r="V448" s="79"/>
      <c r="W448" s="79"/>
      <c r="Z448" s="130"/>
      <c r="AB448" s="106"/>
    </row>
    <row r="449">
      <c r="C449" s="79"/>
      <c r="D449" s="79"/>
      <c r="E449" s="79"/>
      <c r="M449" s="79"/>
      <c r="R449" s="79"/>
      <c r="S449" s="79"/>
      <c r="V449" s="79"/>
      <c r="W449" s="79"/>
      <c r="Z449" s="130"/>
      <c r="AB449" s="106"/>
    </row>
    <row r="450">
      <c r="C450" s="79"/>
      <c r="D450" s="79"/>
      <c r="E450" s="79"/>
      <c r="M450" s="79"/>
      <c r="R450" s="79"/>
      <c r="S450" s="79"/>
      <c r="V450" s="79"/>
      <c r="W450" s="79"/>
      <c r="Z450" s="130"/>
      <c r="AB450" s="106"/>
    </row>
    <row r="451">
      <c r="C451" s="79"/>
      <c r="D451" s="79"/>
      <c r="E451" s="79"/>
      <c r="M451" s="79"/>
      <c r="R451" s="79"/>
      <c r="S451" s="79"/>
      <c r="V451" s="79"/>
      <c r="W451" s="79"/>
      <c r="Z451" s="130"/>
      <c r="AB451" s="106"/>
    </row>
    <row r="452">
      <c r="C452" s="79"/>
      <c r="D452" s="79"/>
      <c r="E452" s="79"/>
      <c r="M452" s="79"/>
      <c r="R452" s="79"/>
      <c r="S452" s="79"/>
      <c r="V452" s="79"/>
      <c r="W452" s="79"/>
      <c r="Z452" s="130"/>
      <c r="AB452" s="106"/>
    </row>
    <row r="453">
      <c r="C453" s="79"/>
      <c r="D453" s="79"/>
      <c r="E453" s="79"/>
      <c r="M453" s="79"/>
      <c r="R453" s="79"/>
      <c r="S453" s="79"/>
      <c r="V453" s="79"/>
      <c r="W453" s="79"/>
      <c r="Z453" s="130"/>
      <c r="AB453" s="106"/>
    </row>
    <row r="454">
      <c r="C454" s="79"/>
      <c r="D454" s="79"/>
      <c r="E454" s="79"/>
      <c r="M454" s="79"/>
      <c r="R454" s="79"/>
      <c r="S454" s="79"/>
      <c r="V454" s="79"/>
      <c r="W454" s="79"/>
      <c r="Z454" s="130"/>
      <c r="AB454" s="106"/>
    </row>
    <row r="455">
      <c r="C455" s="79"/>
      <c r="D455" s="79"/>
      <c r="E455" s="79"/>
      <c r="M455" s="79"/>
      <c r="R455" s="79"/>
      <c r="S455" s="79"/>
      <c r="V455" s="79"/>
      <c r="W455" s="79"/>
      <c r="Z455" s="130"/>
      <c r="AB455" s="106"/>
    </row>
    <row r="456">
      <c r="C456" s="79"/>
      <c r="D456" s="79"/>
      <c r="E456" s="79"/>
      <c r="M456" s="79"/>
      <c r="R456" s="79"/>
      <c r="S456" s="79"/>
      <c r="V456" s="79"/>
      <c r="W456" s="79"/>
      <c r="Z456" s="130"/>
      <c r="AB456" s="106"/>
    </row>
    <row r="457">
      <c r="C457" s="79"/>
      <c r="D457" s="79"/>
      <c r="E457" s="79"/>
      <c r="M457" s="79"/>
      <c r="R457" s="79"/>
      <c r="S457" s="79"/>
      <c r="V457" s="79"/>
      <c r="W457" s="79"/>
      <c r="Z457" s="130"/>
      <c r="AB457" s="106"/>
    </row>
    <row r="458">
      <c r="C458" s="79"/>
      <c r="D458" s="79"/>
      <c r="E458" s="79"/>
      <c r="M458" s="79"/>
      <c r="R458" s="79"/>
      <c r="S458" s="79"/>
      <c r="V458" s="79"/>
      <c r="W458" s="79"/>
      <c r="Z458" s="130"/>
      <c r="AB458" s="106"/>
    </row>
    <row r="459">
      <c r="C459" s="79"/>
      <c r="D459" s="79"/>
      <c r="E459" s="79"/>
      <c r="M459" s="79"/>
      <c r="R459" s="79"/>
      <c r="S459" s="79"/>
      <c r="V459" s="79"/>
      <c r="W459" s="79"/>
      <c r="Z459" s="130"/>
      <c r="AB459" s="106"/>
    </row>
    <row r="460">
      <c r="C460" s="79"/>
      <c r="D460" s="79"/>
      <c r="E460" s="79"/>
      <c r="M460" s="79"/>
      <c r="R460" s="79"/>
      <c r="S460" s="79"/>
      <c r="V460" s="79"/>
      <c r="W460" s="79"/>
      <c r="Z460" s="130"/>
      <c r="AB460" s="106"/>
    </row>
    <row r="461">
      <c r="C461" s="79"/>
      <c r="D461" s="79"/>
      <c r="E461" s="79"/>
      <c r="M461" s="79"/>
      <c r="R461" s="79"/>
      <c r="S461" s="79"/>
      <c r="V461" s="79"/>
      <c r="W461" s="79"/>
      <c r="Z461" s="130"/>
      <c r="AB461" s="106"/>
    </row>
    <row r="462">
      <c r="C462" s="79"/>
      <c r="D462" s="79"/>
      <c r="E462" s="79"/>
      <c r="M462" s="79"/>
      <c r="R462" s="79"/>
      <c r="S462" s="79"/>
      <c r="V462" s="79"/>
      <c r="W462" s="79"/>
      <c r="Z462" s="130"/>
      <c r="AB462" s="106"/>
    </row>
    <row r="463">
      <c r="C463" s="79"/>
      <c r="D463" s="79"/>
      <c r="E463" s="79"/>
      <c r="M463" s="79"/>
      <c r="R463" s="79"/>
      <c r="S463" s="79"/>
      <c r="V463" s="79"/>
      <c r="W463" s="79"/>
      <c r="Z463" s="130"/>
      <c r="AB463" s="106"/>
    </row>
    <row r="464">
      <c r="C464" s="79"/>
      <c r="D464" s="79"/>
      <c r="E464" s="79"/>
      <c r="M464" s="79"/>
      <c r="R464" s="79"/>
      <c r="S464" s="79"/>
      <c r="V464" s="79"/>
      <c r="W464" s="79"/>
      <c r="Z464" s="130"/>
      <c r="AB464" s="106"/>
    </row>
    <row r="465">
      <c r="C465" s="79"/>
      <c r="D465" s="79"/>
      <c r="E465" s="79"/>
      <c r="M465" s="79"/>
      <c r="R465" s="79"/>
      <c r="S465" s="79"/>
      <c r="V465" s="79"/>
      <c r="W465" s="79"/>
      <c r="Z465" s="130"/>
      <c r="AB465" s="106"/>
    </row>
    <row r="466">
      <c r="C466" s="79"/>
      <c r="D466" s="79"/>
      <c r="E466" s="79"/>
      <c r="M466" s="79"/>
      <c r="R466" s="79"/>
      <c r="S466" s="79"/>
      <c r="V466" s="79"/>
      <c r="W466" s="79"/>
      <c r="Z466" s="130"/>
      <c r="AB466" s="106"/>
    </row>
    <row r="467">
      <c r="C467" s="79"/>
      <c r="D467" s="79"/>
      <c r="E467" s="79"/>
      <c r="M467" s="79"/>
      <c r="R467" s="79"/>
      <c r="S467" s="79"/>
      <c r="V467" s="79"/>
      <c r="W467" s="79"/>
      <c r="Z467" s="130"/>
      <c r="AB467" s="106"/>
    </row>
    <row r="468">
      <c r="C468" s="79"/>
      <c r="D468" s="79"/>
      <c r="E468" s="79"/>
      <c r="M468" s="79"/>
      <c r="R468" s="79"/>
      <c r="S468" s="79"/>
      <c r="V468" s="79"/>
      <c r="W468" s="79"/>
      <c r="Z468" s="130"/>
      <c r="AB468" s="106"/>
    </row>
    <row r="469">
      <c r="C469" s="79"/>
      <c r="D469" s="79"/>
      <c r="E469" s="79"/>
      <c r="M469" s="79"/>
      <c r="R469" s="79"/>
      <c r="S469" s="79"/>
      <c r="V469" s="79"/>
      <c r="W469" s="79"/>
      <c r="Z469" s="130"/>
      <c r="AB469" s="106"/>
    </row>
    <row r="470">
      <c r="C470" s="79"/>
      <c r="D470" s="79"/>
      <c r="E470" s="79"/>
      <c r="M470" s="79"/>
      <c r="R470" s="79"/>
      <c r="S470" s="79"/>
      <c r="V470" s="79"/>
      <c r="W470" s="79"/>
      <c r="Z470" s="130"/>
      <c r="AB470" s="106"/>
    </row>
    <row r="471">
      <c r="C471" s="79"/>
      <c r="D471" s="79"/>
      <c r="E471" s="79"/>
      <c r="M471" s="79"/>
      <c r="R471" s="79"/>
      <c r="S471" s="79"/>
      <c r="V471" s="79"/>
      <c r="W471" s="79"/>
      <c r="Z471" s="130"/>
      <c r="AB471" s="106"/>
    </row>
    <row r="472">
      <c r="C472" s="79"/>
      <c r="D472" s="79"/>
      <c r="E472" s="79"/>
      <c r="M472" s="79"/>
      <c r="R472" s="79"/>
      <c r="S472" s="79"/>
      <c r="V472" s="79"/>
      <c r="W472" s="79"/>
      <c r="Z472" s="130"/>
      <c r="AB472" s="106"/>
    </row>
    <row r="473">
      <c r="C473" s="79"/>
      <c r="D473" s="79"/>
      <c r="E473" s="79"/>
      <c r="M473" s="79"/>
      <c r="R473" s="79"/>
      <c r="S473" s="79"/>
      <c r="V473" s="79"/>
      <c r="W473" s="79"/>
      <c r="Z473" s="130"/>
      <c r="AB473" s="106"/>
    </row>
    <row r="474">
      <c r="C474" s="79"/>
      <c r="D474" s="79"/>
      <c r="E474" s="79"/>
      <c r="M474" s="79"/>
      <c r="R474" s="79"/>
      <c r="S474" s="79"/>
      <c r="V474" s="79"/>
      <c r="W474" s="79"/>
      <c r="Z474" s="130"/>
      <c r="AB474" s="106"/>
    </row>
    <row r="475">
      <c r="C475" s="79"/>
      <c r="D475" s="79"/>
      <c r="E475" s="79"/>
      <c r="M475" s="79"/>
      <c r="R475" s="79"/>
      <c r="S475" s="79"/>
      <c r="V475" s="79"/>
      <c r="W475" s="79"/>
      <c r="Z475" s="130"/>
      <c r="AB475" s="106"/>
    </row>
    <row r="476">
      <c r="C476" s="79"/>
      <c r="D476" s="79"/>
      <c r="E476" s="79"/>
      <c r="M476" s="79"/>
      <c r="R476" s="79"/>
      <c r="S476" s="79"/>
      <c r="V476" s="79"/>
      <c r="W476" s="79"/>
      <c r="Z476" s="130"/>
      <c r="AB476" s="106"/>
    </row>
    <row r="477">
      <c r="C477" s="79"/>
      <c r="D477" s="79"/>
      <c r="E477" s="79"/>
      <c r="M477" s="79"/>
      <c r="R477" s="79"/>
      <c r="S477" s="79"/>
      <c r="V477" s="79"/>
      <c r="W477" s="79"/>
      <c r="Z477" s="130"/>
      <c r="AB477" s="106"/>
    </row>
    <row r="478">
      <c r="C478" s="79"/>
      <c r="D478" s="79"/>
      <c r="E478" s="79"/>
      <c r="M478" s="79"/>
      <c r="R478" s="79"/>
      <c r="S478" s="79"/>
      <c r="V478" s="79"/>
      <c r="W478" s="79"/>
      <c r="Z478" s="130"/>
      <c r="AB478" s="106"/>
    </row>
    <row r="479">
      <c r="C479" s="79"/>
      <c r="D479" s="79"/>
      <c r="E479" s="79"/>
      <c r="M479" s="79"/>
      <c r="R479" s="79"/>
      <c r="S479" s="79"/>
      <c r="V479" s="79"/>
      <c r="W479" s="79"/>
      <c r="Z479" s="130"/>
      <c r="AB479" s="106"/>
    </row>
    <row r="480">
      <c r="C480" s="79"/>
      <c r="D480" s="79"/>
      <c r="E480" s="79"/>
      <c r="M480" s="79"/>
      <c r="R480" s="79"/>
      <c r="S480" s="79"/>
      <c r="V480" s="79"/>
      <c r="W480" s="79"/>
      <c r="Z480" s="130"/>
      <c r="AB480" s="106"/>
    </row>
    <row r="481">
      <c r="C481" s="79"/>
      <c r="D481" s="79"/>
      <c r="E481" s="79"/>
      <c r="M481" s="79"/>
      <c r="R481" s="79"/>
      <c r="S481" s="79"/>
      <c r="V481" s="79"/>
      <c r="W481" s="79"/>
      <c r="Z481" s="130"/>
      <c r="AB481" s="106"/>
    </row>
    <row r="482">
      <c r="C482" s="79"/>
      <c r="D482" s="79"/>
      <c r="E482" s="79"/>
      <c r="M482" s="79"/>
      <c r="R482" s="79"/>
      <c r="S482" s="79"/>
      <c r="V482" s="79"/>
      <c r="W482" s="79"/>
      <c r="Z482" s="130"/>
      <c r="AB482" s="106"/>
    </row>
    <row r="483">
      <c r="C483" s="79"/>
      <c r="D483" s="79"/>
      <c r="E483" s="79"/>
      <c r="M483" s="79"/>
      <c r="R483" s="79"/>
      <c r="S483" s="79"/>
      <c r="V483" s="79"/>
      <c r="W483" s="79"/>
      <c r="Z483" s="130"/>
      <c r="AB483" s="106"/>
    </row>
    <row r="484">
      <c r="C484" s="79"/>
      <c r="D484" s="79"/>
      <c r="E484" s="79"/>
      <c r="M484" s="79"/>
      <c r="R484" s="79"/>
      <c r="S484" s="79"/>
      <c r="V484" s="79"/>
      <c r="W484" s="79"/>
      <c r="Z484" s="130"/>
      <c r="AB484" s="106"/>
    </row>
    <row r="485">
      <c r="C485" s="79"/>
      <c r="D485" s="79"/>
      <c r="E485" s="79"/>
      <c r="M485" s="79"/>
      <c r="R485" s="79"/>
      <c r="S485" s="79"/>
      <c r="V485" s="79"/>
      <c r="W485" s="79"/>
      <c r="Z485" s="130"/>
      <c r="AB485" s="106"/>
    </row>
    <row r="486">
      <c r="C486" s="79"/>
      <c r="D486" s="79"/>
      <c r="E486" s="79"/>
      <c r="M486" s="79"/>
      <c r="R486" s="79"/>
      <c r="S486" s="79"/>
      <c r="V486" s="79"/>
      <c r="W486" s="79"/>
      <c r="Z486" s="130"/>
      <c r="AB486" s="106"/>
    </row>
    <row r="487">
      <c r="C487" s="79"/>
      <c r="D487" s="79"/>
      <c r="E487" s="79"/>
      <c r="M487" s="79"/>
      <c r="R487" s="79"/>
      <c r="S487" s="79"/>
      <c r="V487" s="79"/>
      <c r="W487" s="79"/>
      <c r="Z487" s="130"/>
      <c r="AB487" s="106"/>
    </row>
    <row r="488">
      <c r="C488" s="79"/>
      <c r="D488" s="79"/>
      <c r="E488" s="79"/>
      <c r="M488" s="79"/>
      <c r="R488" s="79"/>
      <c r="S488" s="79"/>
      <c r="V488" s="79"/>
      <c r="W488" s="79"/>
      <c r="Z488" s="130"/>
      <c r="AB488" s="106"/>
    </row>
    <row r="489">
      <c r="C489" s="79"/>
      <c r="D489" s="79"/>
      <c r="E489" s="79"/>
      <c r="M489" s="79"/>
      <c r="R489" s="79"/>
      <c r="S489" s="79"/>
      <c r="V489" s="79"/>
      <c r="W489" s="79"/>
      <c r="Z489" s="130"/>
      <c r="AB489" s="106"/>
    </row>
    <row r="490">
      <c r="C490" s="79"/>
      <c r="D490" s="79"/>
      <c r="E490" s="79"/>
      <c r="M490" s="79"/>
      <c r="R490" s="79"/>
      <c r="S490" s="79"/>
      <c r="V490" s="79"/>
      <c r="W490" s="79"/>
      <c r="Z490" s="130"/>
      <c r="AB490" s="106"/>
    </row>
    <row r="491">
      <c r="C491" s="79"/>
      <c r="D491" s="79"/>
      <c r="E491" s="79"/>
      <c r="M491" s="79"/>
      <c r="R491" s="79"/>
      <c r="S491" s="79"/>
      <c r="V491" s="79"/>
      <c r="W491" s="79"/>
      <c r="Z491" s="130"/>
      <c r="AB491" s="106"/>
    </row>
    <row r="492">
      <c r="C492" s="79"/>
      <c r="D492" s="79"/>
      <c r="E492" s="79"/>
      <c r="M492" s="79"/>
      <c r="R492" s="79"/>
      <c r="S492" s="79"/>
      <c r="V492" s="79"/>
      <c r="W492" s="79"/>
      <c r="Z492" s="130"/>
      <c r="AB492" s="106"/>
    </row>
    <row r="493">
      <c r="C493" s="79"/>
      <c r="D493" s="79"/>
      <c r="E493" s="79"/>
      <c r="M493" s="79"/>
      <c r="R493" s="79"/>
      <c r="S493" s="79"/>
      <c r="V493" s="79"/>
      <c r="W493" s="79"/>
      <c r="Z493" s="130"/>
      <c r="AB493" s="106"/>
    </row>
    <row r="494">
      <c r="C494" s="79"/>
      <c r="D494" s="79"/>
      <c r="E494" s="79"/>
      <c r="M494" s="79"/>
      <c r="R494" s="79"/>
      <c r="S494" s="79"/>
      <c r="V494" s="79"/>
      <c r="W494" s="79"/>
      <c r="Z494" s="130"/>
      <c r="AB494" s="106"/>
    </row>
    <row r="495">
      <c r="C495" s="79"/>
      <c r="D495" s="79"/>
      <c r="E495" s="79"/>
      <c r="M495" s="79"/>
      <c r="R495" s="79"/>
      <c r="S495" s="79"/>
      <c r="V495" s="79"/>
      <c r="W495" s="79"/>
      <c r="Z495" s="130"/>
      <c r="AB495" s="106"/>
    </row>
    <row r="496">
      <c r="C496" s="79"/>
      <c r="D496" s="79"/>
      <c r="E496" s="79"/>
      <c r="M496" s="79"/>
      <c r="R496" s="79"/>
      <c r="S496" s="79"/>
      <c r="V496" s="79"/>
      <c r="W496" s="79"/>
      <c r="Z496" s="130"/>
      <c r="AB496" s="106"/>
    </row>
    <row r="497">
      <c r="C497" s="79"/>
      <c r="D497" s="79"/>
      <c r="E497" s="79"/>
      <c r="M497" s="79"/>
      <c r="R497" s="79"/>
      <c r="S497" s="79"/>
      <c r="V497" s="79"/>
      <c r="W497" s="79"/>
      <c r="Z497" s="130"/>
      <c r="AB497" s="106"/>
    </row>
    <row r="498">
      <c r="C498" s="79"/>
      <c r="D498" s="79"/>
      <c r="E498" s="79"/>
      <c r="M498" s="79"/>
      <c r="R498" s="79"/>
      <c r="S498" s="79"/>
      <c r="V498" s="79"/>
      <c r="W498" s="79"/>
      <c r="Z498" s="130"/>
      <c r="AB498" s="106"/>
    </row>
    <row r="499">
      <c r="C499" s="79"/>
      <c r="D499" s="79"/>
      <c r="E499" s="79"/>
      <c r="M499" s="79"/>
      <c r="R499" s="79"/>
      <c r="S499" s="79"/>
      <c r="V499" s="79"/>
      <c r="W499" s="79"/>
      <c r="Z499" s="130"/>
      <c r="AB499" s="106"/>
    </row>
    <row r="500">
      <c r="C500" s="79"/>
      <c r="D500" s="79"/>
      <c r="E500" s="79"/>
      <c r="M500" s="79"/>
      <c r="R500" s="79"/>
      <c r="S500" s="79"/>
      <c r="V500" s="79"/>
      <c r="W500" s="79"/>
      <c r="Z500" s="130"/>
      <c r="AB500" s="106"/>
    </row>
    <row r="501">
      <c r="C501" s="79"/>
      <c r="D501" s="79"/>
      <c r="E501" s="79"/>
      <c r="M501" s="79"/>
      <c r="R501" s="79"/>
      <c r="S501" s="79"/>
      <c r="V501" s="79"/>
      <c r="W501" s="79"/>
      <c r="Z501" s="130"/>
      <c r="AB501" s="106"/>
    </row>
    <row r="502">
      <c r="C502" s="79"/>
      <c r="D502" s="79"/>
      <c r="E502" s="79"/>
      <c r="M502" s="79"/>
      <c r="R502" s="79"/>
      <c r="S502" s="79"/>
      <c r="V502" s="79"/>
      <c r="W502" s="79"/>
      <c r="Z502" s="130"/>
      <c r="AB502" s="106"/>
    </row>
    <row r="503">
      <c r="C503" s="79"/>
      <c r="D503" s="79"/>
      <c r="E503" s="79"/>
      <c r="M503" s="79"/>
      <c r="R503" s="79"/>
      <c r="S503" s="79"/>
      <c r="V503" s="79"/>
      <c r="W503" s="79"/>
      <c r="Z503" s="130"/>
      <c r="AB503" s="106"/>
    </row>
    <row r="504">
      <c r="C504" s="79"/>
      <c r="D504" s="79"/>
      <c r="E504" s="79"/>
      <c r="M504" s="79"/>
      <c r="R504" s="79"/>
      <c r="S504" s="79"/>
      <c r="V504" s="79"/>
      <c r="W504" s="79"/>
      <c r="Z504" s="130"/>
      <c r="AB504" s="106"/>
    </row>
    <row r="505">
      <c r="C505" s="79"/>
      <c r="D505" s="79"/>
      <c r="E505" s="79"/>
      <c r="M505" s="79"/>
      <c r="R505" s="79"/>
      <c r="S505" s="79"/>
      <c r="V505" s="79"/>
      <c r="W505" s="79"/>
      <c r="Z505" s="130"/>
      <c r="AB505" s="106"/>
    </row>
    <row r="506">
      <c r="C506" s="79"/>
      <c r="D506" s="79"/>
      <c r="E506" s="79"/>
      <c r="M506" s="79"/>
      <c r="R506" s="79"/>
      <c r="S506" s="79"/>
      <c r="V506" s="79"/>
      <c r="W506" s="79"/>
      <c r="Z506" s="130"/>
      <c r="AB506" s="106"/>
    </row>
    <row r="507">
      <c r="C507" s="79"/>
      <c r="D507" s="79"/>
      <c r="E507" s="79"/>
      <c r="M507" s="79"/>
      <c r="R507" s="79"/>
      <c r="S507" s="79"/>
      <c r="V507" s="79"/>
      <c r="W507" s="79"/>
      <c r="Z507" s="130"/>
      <c r="AB507" s="106"/>
    </row>
    <row r="508">
      <c r="C508" s="79"/>
      <c r="D508" s="79"/>
      <c r="E508" s="79"/>
      <c r="M508" s="79"/>
      <c r="R508" s="79"/>
      <c r="S508" s="79"/>
      <c r="V508" s="79"/>
      <c r="W508" s="79"/>
      <c r="Z508" s="130"/>
      <c r="AB508" s="106"/>
    </row>
    <row r="509">
      <c r="C509" s="79"/>
      <c r="D509" s="79"/>
      <c r="E509" s="79"/>
      <c r="M509" s="79"/>
      <c r="R509" s="79"/>
      <c r="S509" s="79"/>
      <c r="V509" s="79"/>
      <c r="W509" s="79"/>
      <c r="Z509" s="130"/>
      <c r="AB509" s="106"/>
    </row>
    <row r="510">
      <c r="C510" s="79"/>
      <c r="D510" s="79"/>
      <c r="E510" s="79"/>
      <c r="M510" s="79"/>
      <c r="R510" s="79"/>
      <c r="S510" s="79"/>
      <c r="V510" s="79"/>
      <c r="W510" s="79"/>
      <c r="Z510" s="130"/>
      <c r="AB510" s="106"/>
    </row>
    <row r="511">
      <c r="C511" s="79"/>
      <c r="D511" s="79"/>
      <c r="E511" s="79"/>
      <c r="M511" s="79"/>
      <c r="R511" s="79"/>
      <c r="S511" s="79"/>
      <c r="V511" s="79"/>
      <c r="W511" s="79"/>
      <c r="Z511" s="130"/>
      <c r="AB511" s="106"/>
    </row>
    <row r="512">
      <c r="C512" s="79"/>
      <c r="D512" s="79"/>
      <c r="E512" s="79"/>
      <c r="M512" s="79"/>
      <c r="R512" s="79"/>
      <c r="S512" s="79"/>
      <c r="V512" s="79"/>
      <c r="W512" s="79"/>
      <c r="Z512" s="130"/>
      <c r="AB512" s="106"/>
    </row>
    <row r="513">
      <c r="C513" s="79"/>
      <c r="D513" s="79"/>
      <c r="E513" s="79"/>
      <c r="M513" s="79"/>
      <c r="R513" s="79"/>
      <c r="S513" s="79"/>
      <c r="V513" s="79"/>
      <c r="W513" s="79"/>
      <c r="Z513" s="130"/>
      <c r="AB513" s="106"/>
    </row>
    <row r="514">
      <c r="C514" s="79"/>
      <c r="D514" s="79"/>
      <c r="E514" s="79"/>
      <c r="M514" s="79"/>
      <c r="R514" s="79"/>
      <c r="S514" s="79"/>
      <c r="V514" s="79"/>
      <c r="W514" s="79"/>
      <c r="Z514" s="130"/>
      <c r="AB514" s="106"/>
    </row>
    <row r="515">
      <c r="C515" s="79"/>
      <c r="D515" s="79"/>
      <c r="E515" s="79"/>
      <c r="M515" s="79"/>
      <c r="R515" s="79"/>
      <c r="S515" s="79"/>
      <c r="V515" s="79"/>
      <c r="W515" s="79"/>
      <c r="Z515" s="130"/>
      <c r="AB515" s="106"/>
    </row>
    <row r="516">
      <c r="C516" s="79"/>
      <c r="D516" s="79"/>
      <c r="E516" s="79"/>
      <c r="M516" s="79"/>
      <c r="R516" s="79"/>
      <c r="S516" s="79"/>
      <c r="V516" s="79"/>
      <c r="W516" s="79"/>
      <c r="Z516" s="130"/>
      <c r="AB516" s="106"/>
    </row>
    <row r="517">
      <c r="C517" s="79"/>
      <c r="D517" s="79"/>
      <c r="E517" s="79"/>
      <c r="M517" s="79"/>
      <c r="R517" s="79"/>
      <c r="S517" s="79"/>
      <c r="V517" s="79"/>
      <c r="W517" s="79"/>
      <c r="Z517" s="130"/>
      <c r="AB517" s="106"/>
    </row>
    <row r="518">
      <c r="C518" s="79"/>
      <c r="D518" s="79"/>
      <c r="E518" s="79"/>
      <c r="M518" s="79"/>
      <c r="R518" s="79"/>
      <c r="S518" s="79"/>
      <c r="V518" s="79"/>
      <c r="W518" s="79"/>
      <c r="Z518" s="130"/>
      <c r="AB518" s="106"/>
    </row>
    <row r="519">
      <c r="C519" s="79"/>
      <c r="D519" s="79"/>
      <c r="E519" s="79"/>
      <c r="M519" s="79"/>
      <c r="R519" s="79"/>
      <c r="S519" s="79"/>
      <c r="V519" s="79"/>
      <c r="W519" s="79"/>
      <c r="Z519" s="130"/>
      <c r="AB519" s="106"/>
    </row>
    <row r="520">
      <c r="C520" s="79"/>
      <c r="D520" s="79"/>
      <c r="E520" s="79"/>
      <c r="M520" s="79"/>
      <c r="R520" s="79"/>
      <c r="S520" s="79"/>
      <c r="V520" s="79"/>
      <c r="W520" s="79"/>
      <c r="Z520" s="130"/>
      <c r="AB520" s="106"/>
    </row>
    <row r="521">
      <c r="C521" s="79"/>
      <c r="D521" s="79"/>
      <c r="E521" s="79"/>
      <c r="M521" s="79"/>
      <c r="R521" s="79"/>
      <c r="S521" s="79"/>
      <c r="V521" s="79"/>
      <c r="W521" s="79"/>
      <c r="Z521" s="130"/>
      <c r="AB521" s="106"/>
    </row>
    <row r="522">
      <c r="C522" s="79"/>
      <c r="D522" s="79"/>
      <c r="E522" s="79"/>
      <c r="M522" s="79"/>
      <c r="R522" s="79"/>
      <c r="S522" s="79"/>
      <c r="V522" s="79"/>
      <c r="W522" s="79"/>
      <c r="Z522" s="130"/>
      <c r="AB522" s="106"/>
    </row>
    <row r="523">
      <c r="C523" s="79"/>
      <c r="D523" s="79"/>
      <c r="E523" s="79"/>
      <c r="M523" s="79"/>
      <c r="R523" s="79"/>
      <c r="S523" s="79"/>
      <c r="V523" s="79"/>
      <c r="W523" s="79"/>
      <c r="Z523" s="130"/>
      <c r="AB523" s="106"/>
    </row>
    <row r="524">
      <c r="C524" s="79"/>
      <c r="D524" s="79"/>
      <c r="E524" s="79"/>
      <c r="M524" s="79"/>
      <c r="R524" s="79"/>
      <c r="S524" s="79"/>
      <c r="V524" s="79"/>
      <c r="W524" s="79"/>
      <c r="Z524" s="130"/>
      <c r="AB524" s="106"/>
    </row>
    <row r="525">
      <c r="C525" s="79"/>
      <c r="D525" s="79"/>
      <c r="E525" s="79"/>
      <c r="M525" s="79"/>
      <c r="R525" s="79"/>
      <c r="S525" s="79"/>
      <c r="V525" s="79"/>
      <c r="W525" s="79"/>
      <c r="Z525" s="130"/>
      <c r="AB525" s="106"/>
    </row>
    <row r="526">
      <c r="C526" s="79"/>
      <c r="D526" s="79"/>
      <c r="E526" s="79"/>
      <c r="M526" s="79"/>
      <c r="R526" s="79"/>
      <c r="S526" s="79"/>
      <c r="V526" s="79"/>
      <c r="W526" s="79"/>
      <c r="Z526" s="130"/>
      <c r="AB526" s="106"/>
    </row>
    <row r="527">
      <c r="C527" s="79"/>
      <c r="D527" s="79"/>
      <c r="E527" s="79"/>
      <c r="M527" s="79"/>
      <c r="R527" s="79"/>
      <c r="S527" s="79"/>
      <c r="V527" s="79"/>
      <c r="W527" s="79"/>
      <c r="Z527" s="130"/>
      <c r="AB527" s="106"/>
    </row>
    <row r="528">
      <c r="C528" s="79"/>
      <c r="D528" s="79"/>
      <c r="E528" s="79"/>
      <c r="M528" s="79"/>
      <c r="R528" s="79"/>
      <c r="S528" s="79"/>
      <c r="V528" s="79"/>
      <c r="W528" s="79"/>
      <c r="Z528" s="130"/>
      <c r="AB528" s="106"/>
    </row>
    <row r="529">
      <c r="C529" s="79"/>
      <c r="D529" s="79"/>
      <c r="E529" s="79"/>
      <c r="M529" s="79"/>
      <c r="R529" s="79"/>
      <c r="S529" s="79"/>
      <c r="V529" s="79"/>
      <c r="W529" s="79"/>
      <c r="Z529" s="130"/>
      <c r="AB529" s="106"/>
    </row>
    <row r="530">
      <c r="C530" s="79"/>
      <c r="D530" s="79"/>
      <c r="E530" s="79"/>
      <c r="M530" s="79"/>
      <c r="R530" s="79"/>
      <c r="S530" s="79"/>
      <c r="V530" s="79"/>
      <c r="W530" s="79"/>
      <c r="Z530" s="130"/>
      <c r="AB530" s="106"/>
    </row>
    <row r="531">
      <c r="C531" s="79"/>
      <c r="D531" s="79"/>
      <c r="E531" s="79"/>
      <c r="M531" s="79"/>
      <c r="R531" s="79"/>
      <c r="S531" s="79"/>
      <c r="V531" s="79"/>
      <c r="W531" s="79"/>
      <c r="Z531" s="130"/>
      <c r="AB531" s="106"/>
    </row>
    <row r="532">
      <c r="C532" s="79"/>
      <c r="D532" s="79"/>
      <c r="E532" s="79"/>
      <c r="M532" s="79"/>
      <c r="R532" s="79"/>
      <c r="S532" s="79"/>
      <c r="V532" s="79"/>
      <c r="W532" s="79"/>
      <c r="Z532" s="130"/>
      <c r="AB532" s="106"/>
    </row>
    <row r="533">
      <c r="C533" s="79"/>
      <c r="D533" s="79"/>
      <c r="E533" s="79"/>
      <c r="M533" s="79"/>
      <c r="R533" s="79"/>
      <c r="S533" s="79"/>
      <c r="V533" s="79"/>
      <c r="W533" s="79"/>
      <c r="Z533" s="130"/>
      <c r="AB533" s="106"/>
    </row>
    <row r="534">
      <c r="C534" s="79"/>
      <c r="D534" s="79"/>
      <c r="E534" s="79"/>
      <c r="M534" s="79"/>
      <c r="R534" s="79"/>
      <c r="S534" s="79"/>
      <c r="V534" s="79"/>
      <c r="W534" s="79"/>
      <c r="Z534" s="130"/>
      <c r="AB534" s="106"/>
    </row>
    <row r="535">
      <c r="C535" s="79"/>
      <c r="D535" s="79"/>
      <c r="E535" s="79"/>
      <c r="M535" s="79"/>
      <c r="R535" s="79"/>
      <c r="S535" s="79"/>
      <c r="V535" s="79"/>
      <c r="W535" s="79"/>
      <c r="Z535" s="130"/>
      <c r="AB535" s="106"/>
    </row>
    <row r="536">
      <c r="C536" s="79"/>
      <c r="D536" s="79"/>
      <c r="E536" s="79"/>
      <c r="M536" s="79"/>
      <c r="R536" s="79"/>
      <c r="S536" s="79"/>
      <c r="V536" s="79"/>
      <c r="W536" s="79"/>
      <c r="Z536" s="130"/>
      <c r="AB536" s="106"/>
    </row>
    <row r="537">
      <c r="C537" s="79"/>
      <c r="D537" s="79"/>
      <c r="E537" s="79"/>
      <c r="M537" s="79"/>
      <c r="R537" s="79"/>
      <c r="S537" s="79"/>
      <c r="V537" s="79"/>
      <c r="W537" s="79"/>
      <c r="Z537" s="130"/>
      <c r="AB537" s="106"/>
    </row>
    <row r="538">
      <c r="C538" s="79"/>
      <c r="D538" s="79"/>
      <c r="E538" s="79"/>
      <c r="M538" s="79"/>
      <c r="R538" s="79"/>
      <c r="S538" s="79"/>
      <c r="V538" s="79"/>
      <c r="W538" s="79"/>
      <c r="Z538" s="130"/>
      <c r="AB538" s="106"/>
    </row>
    <row r="539">
      <c r="C539" s="79"/>
      <c r="D539" s="79"/>
      <c r="E539" s="79"/>
      <c r="M539" s="79"/>
      <c r="R539" s="79"/>
      <c r="S539" s="79"/>
      <c r="V539" s="79"/>
      <c r="W539" s="79"/>
      <c r="Z539" s="130"/>
      <c r="AB539" s="106"/>
    </row>
    <row r="540">
      <c r="C540" s="79"/>
      <c r="D540" s="79"/>
      <c r="E540" s="79"/>
      <c r="M540" s="79"/>
      <c r="R540" s="79"/>
      <c r="S540" s="79"/>
      <c r="V540" s="79"/>
      <c r="W540" s="79"/>
      <c r="Z540" s="130"/>
      <c r="AB540" s="106"/>
    </row>
    <row r="541">
      <c r="C541" s="79"/>
      <c r="D541" s="79"/>
      <c r="E541" s="79"/>
      <c r="M541" s="79"/>
      <c r="R541" s="79"/>
      <c r="S541" s="79"/>
      <c r="V541" s="79"/>
      <c r="W541" s="79"/>
      <c r="Z541" s="130"/>
      <c r="AB541" s="106"/>
    </row>
    <row r="542">
      <c r="C542" s="79"/>
      <c r="D542" s="79"/>
      <c r="E542" s="79"/>
      <c r="M542" s="79"/>
      <c r="R542" s="79"/>
      <c r="S542" s="79"/>
      <c r="V542" s="79"/>
      <c r="W542" s="79"/>
      <c r="Z542" s="130"/>
      <c r="AB542" s="106"/>
    </row>
    <row r="543">
      <c r="C543" s="79"/>
      <c r="D543" s="79"/>
      <c r="E543" s="79"/>
      <c r="M543" s="79"/>
      <c r="R543" s="79"/>
      <c r="S543" s="79"/>
      <c r="V543" s="79"/>
      <c r="W543" s="79"/>
      <c r="Z543" s="130"/>
      <c r="AB543" s="106"/>
    </row>
    <row r="544">
      <c r="C544" s="79"/>
      <c r="D544" s="79"/>
      <c r="E544" s="79"/>
      <c r="M544" s="79"/>
      <c r="R544" s="79"/>
      <c r="S544" s="79"/>
      <c r="V544" s="79"/>
      <c r="W544" s="79"/>
      <c r="Z544" s="130"/>
      <c r="AB544" s="106"/>
    </row>
    <row r="545">
      <c r="C545" s="79"/>
      <c r="D545" s="79"/>
      <c r="E545" s="79"/>
      <c r="M545" s="79"/>
      <c r="R545" s="79"/>
      <c r="S545" s="79"/>
      <c r="V545" s="79"/>
      <c r="W545" s="79"/>
      <c r="Z545" s="130"/>
      <c r="AB545" s="106"/>
    </row>
    <row r="546">
      <c r="C546" s="79"/>
      <c r="D546" s="79"/>
      <c r="E546" s="79"/>
      <c r="M546" s="79"/>
      <c r="R546" s="79"/>
      <c r="S546" s="79"/>
      <c r="V546" s="79"/>
      <c r="W546" s="79"/>
      <c r="Z546" s="130"/>
      <c r="AB546" s="106"/>
    </row>
    <row r="547">
      <c r="C547" s="79"/>
      <c r="D547" s="79"/>
      <c r="E547" s="79"/>
      <c r="M547" s="79"/>
      <c r="R547" s="79"/>
      <c r="S547" s="79"/>
      <c r="V547" s="79"/>
      <c r="W547" s="79"/>
      <c r="Z547" s="130"/>
      <c r="AB547" s="106"/>
    </row>
    <row r="548">
      <c r="C548" s="79"/>
      <c r="D548" s="79"/>
      <c r="E548" s="79"/>
      <c r="M548" s="79"/>
      <c r="R548" s="79"/>
      <c r="S548" s="79"/>
      <c r="V548" s="79"/>
      <c r="W548" s="79"/>
      <c r="Z548" s="130"/>
      <c r="AB548" s="106"/>
    </row>
    <row r="549">
      <c r="C549" s="79"/>
      <c r="D549" s="79"/>
      <c r="E549" s="79"/>
      <c r="M549" s="79"/>
      <c r="R549" s="79"/>
      <c r="S549" s="79"/>
      <c r="V549" s="79"/>
      <c r="W549" s="79"/>
      <c r="Z549" s="130"/>
      <c r="AB549" s="106"/>
    </row>
    <row r="550">
      <c r="C550" s="79"/>
      <c r="D550" s="79"/>
      <c r="E550" s="79"/>
      <c r="M550" s="79"/>
      <c r="R550" s="79"/>
      <c r="S550" s="79"/>
      <c r="V550" s="79"/>
      <c r="W550" s="79"/>
      <c r="Z550" s="130"/>
      <c r="AB550" s="106"/>
    </row>
    <row r="551">
      <c r="C551" s="79"/>
      <c r="D551" s="79"/>
      <c r="E551" s="79"/>
      <c r="M551" s="79"/>
      <c r="R551" s="79"/>
      <c r="S551" s="79"/>
      <c r="V551" s="79"/>
      <c r="W551" s="79"/>
      <c r="Z551" s="130"/>
      <c r="AB551" s="106"/>
    </row>
    <row r="552">
      <c r="C552" s="79"/>
      <c r="D552" s="79"/>
      <c r="E552" s="79"/>
      <c r="M552" s="79"/>
      <c r="R552" s="79"/>
      <c r="S552" s="79"/>
      <c r="V552" s="79"/>
      <c r="W552" s="79"/>
      <c r="Z552" s="130"/>
      <c r="AB552" s="106"/>
    </row>
    <row r="553">
      <c r="C553" s="79"/>
      <c r="D553" s="79"/>
      <c r="E553" s="79"/>
      <c r="M553" s="79"/>
      <c r="R553" s="79"/>
      <c r="S553" s="79"/>
      <c r="V553" s="79"/>
      <c r="W553" s="79"/>
      <c r="Z553" s="130"/>
      <c r="AB553" s="106"/>
    </row>
    <row r="554">
      <c r="C554" s="79"/>
      <c r="D554" s="79"/>
      <c r="E554" s="79"/>
      <c r="M554" s="79"/>
      <c r="R554" s="79"/>
      <c r="S554" s="79"/>
      <c r="V554" s="79"/>
      <c r="W554" s="79"/>
      <c r="Z554" s="130"/>
      <c r="AB554" s="106"/>
    </row>
    <row r="555">
      <c r="C555" s="79"/>
      <c r="D555" s="79"/>
      <c r="E555" s="79"/>
      <c r="M555" s="79"/>
      <c r="R555" s="79"/>
      <c r="S555" s="79"/>
      <c r="V555" s="79"/>
      <c r="W555" s="79"/>
      <c r="Z555" s="130"/>
      <c r="AB555" s="106"/>
    </row>
    <row r="556">
      <c r="C556" s="79"/>
      <c r="D556" s="79"/>
      <c r="E556" s="79"/>
      <c r="M556" s="79"/>
      <c r="R556" s="79"/>
      <c r="S556" s="79"/>
      <c r="V556" s="79"/>
      <c r="W556" s="79"/>
      <c r="Z556" s="130"/>
      <c r="AB556" s="106"/>
    </row>
    <row r="557">
      <c r="C557" s="79"/>
      <c r="D557" s="79"/>
      <c r="E557" s="79"/>
      <c r="M557" s="79"/>
      <c r="R557" s="79"/>
      <c r="S557" s="79"/>
      <c r="V557" s="79"/>
      <c r="W557" s="79"/>
      <c r="Z557" s="130"/>
      <c r="AB557" s="106"/>
    </row>
    <row r="558">
      <c r="C558" s="79"/>
      <c r="D558" s="79"/>
      <c r="E558" s="79"/>
      <c r="M558" s="79"/>
      <c r="R558" s="79"/>
      <c r="S558" s="79"/>
      <c r="V558" s="79"/>
      <c r="W558" s="79"/>
      <c r="Z558" s="130"/>
      <c r="AB558" s="106"/>
    </row>
    <row r="559">
      <c r="C559" s="79"/>
      <c r="D559" s="79"/>
      <c r="E559" s="79"/>
      <c r="M559" s="79"/>
      <c r="R559" s="79"/>
      <c r="S559" s="79"/>
      <c r="V559" s="79"/>
      <c r="W559" s="79"/>
      <c r="Z559" s="130"/>
      <c r="AB559" s="106"/>
    </row>
    <row r="560">
      <c r="C560" s="79"/>
      <c r="D560" s="79"/>
      <c r="E560" s="79"/>
      <c r="M560" s="79"/>
      <c r="R560" s="79"/>
      <c r="S560" s="79"/>
      <c r="V560" s="79"/>
      <c r="W560" s="79"/>
      <c r="Z560" s="130"/>
      <c r="AB560" s="106"/>
    </row>
    <row r="561">
      <c r="C561" s="79"/>
      <c r="D561" s="79"/>
      <c r="E561" s="79"/>
      <c r="M561" s="79"/>
      <c r="R561" s="79"/>
      <c r="S561" s="79"/>
      <c r="V561" s="79"/>
      <c r="W561" s="79"/>
      <c r="Z561" s="130"/>
      <c r="AB561" s="106"/>
    </row>
    <row r="562">
      <c r="C562" s="79"/>
      <c r="D562" s="79"/>
      <c r="E562" s="79"/>
      <c r="M562" s="79"/>
      <c r="R562" s="79"/>
      <c r="S562" s="79"/>
      <c r="V562" s="79"/>
      <c r="W562" s="79"/>
      <c r="Z562" s="130"/>
      <c r="AB562" s="106"/>
    </row>
    <row r="563">
      <c r="C563" s="79"/>
      <c r="D563" s="79"/>
      <c r="E563" s="79"/>
      <c r="M563" s="79"/>
      <c r="R563" s="79"/>
      <c r="S563" s="79"/>
      <c r="V563" s="79"/>
      <c r="W563" s="79"/>
      <c r="Z563" s="130"/>
      <c r="AB563" s="106"/>
    </row>
    <row r="564">
      <c r="C564" s="79"/>
      <c r="D564" s="79"/>
      <c r="E564" s="79"/>
      <c r="M564" s="79"/>
      <c r="R564" s="79"/>
      <c r="S564" s="79"/>
      <c r="V564" s="79"/>
      <c r="W564" s="79"/>
      <c r="Z564" s="130"/>
      <c r="AB564" s="106"/>
    </row>
    <row r="565">
      <c r="C565" s="79"/>
      <c r="D565" s="79"/>
      <c r="E565" s="79"/>
      <c r="M565" s="79"/>
      <c r="R565" s="79"/>
      <c r="S565" s="79"/>
      <c r="V565" s="79"/>
      <c r="W565" s="79"/>
      <c r="Z565" s="130"/>
      <c r="AB565" s="106"/>
    </row>
    <row r="566">
      <c r="C566" s="79"/>
      <c r="D566" s="79"/>
      <c r="E566" s="79"/>
      <c r="M566" s="79"/>
      <c r="R566" s="79"/>
      <c r="S566" s="79"/>
      <c r="V566" s="79"/>
      <c r="W566" s="79"/>
      <c r="Z566" s="130"/>
      <c r="AB566" s="106"/>
    </row>
    <row r="567">
      <c r="C567" s="79"/>
      <c r="D567" s="79"/>
      <c r="E567" s="79"/>
      <c r="M567" s="79"/>
      <c r="R567" s="79"/>
      <c r="S567" s="79"/>
      <c r="V567" s="79"/>
      <c r="W567" s="79"/>
      <c r="Z567" s="130"/>
      <c r="AB567" s="106"/>
    </row>
    <row r="568">
      <c r="C568" s="79"/>
      <c r="D568" s="79"/>
      <c r="E568" s="79"/>
      <c r="M568" s="79"/>
      <c r="R568" s="79"/>
      <c r="S568" s="79"/>
      <c r="V568" s="79"/>
      <c r="W568" s="79"/>
      <c r="Z568" s="130"/>
      <c r="AB568" s="106"/>
    </row>
    <row r="569">
      <c r="C569" s="79"/>
      <c r="D569" s="79"/>
      <c r="E569" s="79"/>
      <c r="M569" s="79"/>
      <c r="R569" s="79"/>
      <c r="S569" s="79"/>
      <c r="V569" s="79"/>
      <c r="W569" s="79"/>
      <c r="Z569" s="130"/>
      <c r="AB569" s="106"/>
    </row>
    <row r="570">
      <c r="C570" s="79"/>
      <c r="D570" s="79"/>
      <c r="E570" s="79"/>
      <c r="M570" s="79"/>
      <c r="R570" s="79"/>
      <c r="S570" s="79"/>
      <c r="V570" s="79"/>
      <c r="W570" s="79"/>
      <c r="Z570" s="130"/>
      <c r="AB570" s="106"/>
    </row>
    <row r="571">
      <c r="C571" s="79"/>
      <c r="D571" s="79"/>
      <c r="E571" s="79"/>
      <c r="M571" s="79"/>
      <c r="R571" s="79"/>
      <c r="S571" s="79"/>
      <c r="V571" s="79"/>
      <c r="W571" s="79"/>
      <c r="Z571" s="130"/>
      <c r="AB571" s="106"/>
    </row>
    <row r="572">
      <c r="C572" s="79"/>
      <c r="D572" s="79"/>
      <c r="E572" s="79"/>
      <c r="M572" s="79"/>
      <c r="R572" s="79"/>
      <c r="S572" s="79"/>
      <c r="V572" s="79"/>
      <c r="W572" s="79"/>
      <c r="Z572" s="130"/>
      <c r="AB572" s="106"/>
    </row>
    <row r="573">
      <c r="C573" s="79"/>
      <c r="D573" s="79"/>
      <c r="E573" s="79"/>
      <c r="M573" s="79"/>
      <c r="R573" s="79"/>
      <c r="S573" s="79"/>
      <c r="V573" s="79"/>
      <c r="W573" s="79"/>
      <c r="Z573" s="130"/>
      <c r="AB573" s="106"/>
    </row>
    <row r="574">
      <c r="C574" s="79"/>
      <c r="D574" s="79"/>
      <c r="E574" s="79"/>
      <c r="M574" s="79"/>
      <c r="R574" s="79"/>
      <c r="S574" s="79"/>
      <c r="V574" s="79"/>
      <c r="W574" s="79"/>
      <c r="Z574" s="130"/>
      <c r="AB574" s="106"/>
    </row>
    <row r="575">
      <c r="C575" s="79"/>
      <c r="D575" s="79"/>
      <c r="E575" s="79"/>
      <c r="M575" s="79"/>
      <c r="R575" s="79"/>
      <c r="S575" s="79"/>
      <c r="V575" s="79"/>
      <c r="W575" s="79"/>
      <c r="Z575" s="130"/>
      <c r="AB575" s="106"/>
    </row>
    <row r="576">
      <c r="C576" s="79"/>
      <c r="D576" s="79"/>
      <c r="E576" s="79"/>
      <c r="M576" s="79"/>
      <c r="R576" s="79"/>
      <c r="S576" s="79"/>
      <c r="V576" s="79"/>
      <c r="W576" s="79"/>
      <c r="Z576" s="130"/>
      <c r="AB576" s="106"/>
    </row>
    <row r="577">
      <c r="C577" s="79"/>
      <c r="D577" s="79"/>
      <c r="E577" s="79"/>
      <c r="M577" s="79"/>
      <c r="R577" s="79"/>
      <c r="S577" s="79"/>
      <c r="V577" s="79"/>
      <c r="W577" s="79"/>
      <c r="Z577" s="130"/>
      <c r="AB577" s="106"/>
    </row>
    <row r="578">
      <c r="C578" s="79"/>
      <c r="D578" s="79"/>
      <c r="E578" s="79"/>
      <c r="M578" s="79"/>
      <c r="R578" s="79"/>
      <c r="S578" s="79"/>
      <c r="V578" s="79"/>
      <c r="W578" s="79"/>
      <c r="Z578" s="130"/>
      <c r="AB578" s="106"/>
    </row>
    <row r="579">
      <c r="C579" s="79"/>
      <c r="D579" s="79"/>
      <c r="E579" s="79"/>
      <c r="M579" s="79"/>
      <c r="R579" s="79"/>
      <c r="S579" s="79"/>
      <c r="V579" s="79"/>
      <c r="W579" s="79"/>
      <c r="Z579" s="130"/>
      <c r="AB579" s="106"/>
    </row>
    <row r="580">
      <c r="C580" s="79"/>
      <c r="D580" s="79"/>
      <c r="E580" s="79"/>
      <c r="M580" s="79"/>
      <c r="R580" s="79"/>
      <c r="S580" s="79"/>
      <c r="V580" s="79"/>
      <c r="W580" s="79"/>
      <c r="Z580" s="130"/>
      <c r="AB580" s="106"/>
    </row>
    <row r="581">
      <c r="C581" s="79"/>
      <c r="D581" s="79"/>
      <c r="E581" s="79"/>
      <c r="M581" s="79"/>
      <c r="R581" s="79"/>
      <c r="S581" s="79"/>
      <c r="V581" s="79"/>
      <c r="W581" s="79"/>
      <c r="Z581" s="130"/>
      <c r="AB581" s="106"/>
    </row>
    <row r="582">
      <c r="C582" s="79"/>
      <c r="D582" s="79"/>
      <c r="E582" s="79"/>
      <c r="M582" s="79"/>
      <c r="R582" s="79"/>
      <c r="S582" s="79"/>
      <c r="V582" s="79"/>
      <c r="W582" s="79"/>
      <c r="Z582" s="130"/>
      <c r="AB582" s="106"/>
    </row>
    <row r="583">
      <c r="C583" s="79"/>
      <c r="D583" s="79"/>
      <c r="E583" s="79"/>
      <c r="M583" s="79"/>
      <c r="R583" s="79"/>
      <c r="S583" s="79"/>
      <c r="V583" s="79"/>
      <c r="W583" s="79"/>
      <c r="Z583" s="130"/>
      <c r="AB583" s="106"/>
    </row>
    <row r="584">
      <c r="C584" s="79"/>
      <c r="D584" s="79"/>
      <c r="E584" s="79"/>
      <c r="M584" s="79"/>
      <c r="R584" s="79"/>
      <c r="S584" s="79"/>
      <c r="V584" s="79"/>
      <c r="W584" s="79"/>
      <c r="Z584" s="130"/>
      <c r="AB584" s="106"/>
    </row>
    <row r="585">
      <c r="C585" s="79"/>
      <c r="D585" s="79"/>
      <c r="E585" s="79"/>
      <c r="M585" s="79"/>
      <c r="R585" s="79"/>
      <c r="S585" s="79"/>
      <c r="V585" s="79"/>
      <c r="W585" s="79"/>
      <c r="Z585" s="130"/>
      <c r="AB585" s="106"/>
    </row>
    <row r="586">
      <c r="C586" s="79"/>
      <c r="D586" s="79"/>
      <c r="E586" s="79"/>
      <c r="M586" s="79"/>
      <c r="R586" s="79"/>
      <c r="S586" s="79"/>
      <c r="V586" s="79"/>
      <c r="W586" s="79"/>
      <c r="Z586" s="130"/>
      <c r="AB586" s="106"/>
    </row>
    <row r="587">
      <c r="C587" s="79"/>
      <c r="D587" s="79"/>
      <c r="E587" s="79"/>
      <c r="M587" s="79"/>
      <c r="R587" s="79"/>
      <c r="S587" s="79"/>
      <c r="V587" s="79"/>
      <c r="W587" s="79"/>
      <c r="Z587" s="130"/>
      <c r="AB587" s="106"/>
    </row>
    <row r="588">
      <c r="C588" s="79"/>
      <c r="D588" s="79"/>
      <c r="E588" s="79"/>
      <c r="M588" s="79"/>
      <c r="R588" s="79"/>
      <c r="S588" s="79"/>
      <c r="V588" s="79"/>
      <c r="W588" s="79"/>
      <c r="Z588" s="130"/>
      <c r="AB588" s="106"/>
    </row>
    <row r="589">
      <c r="C589" s="79"/>
      <c r="D589" s="79"/>
      <c r="E589" s="79"/>
      <c r="M589" s="79"/>
      <c r="R589" s="79"/>
      <c r="S589" s="79"/>
      <c r="V589" s="79"/>
      <c r="W589" s="79"/>
      <c r="Z589" s="130"/>
      <c r="AB589" s="106"/>
    </row>
    <row r="590">
      <c r="C590" s="79"/>
      <c r="D590" s="79"/>
      <c r="E590" s="79"/>
      <c r="M590" s="79"/>
      <c r="R590" s="79"/>
      <c r="S590" s="79"/>
      <c r="V590" s="79"/>
      <c r="W590" s="79"/>
      <c r="Z590" s="130"/>
      <c r="AB590" s="106"/>
    </row>
    <row r="591">
      <c r="C591" s="79"/>
      <c r="D591" s="79"/>
      <c r="E591" s="79"/>
      <c r="M591" s="79"/>
      <c r="R591" s="79"/>
      <c r="S591" s="79"/>
      <c r="V591" s="79"/>
      <c r="W591" s="79"/>
      <c r="Z591" s="130"/>
      <c r="AB591" s="106"/>
    </row>
    <row r="592">
      <c r="C592" s="79"/>
      <c r="D592" s="79"/>
      <c r="E592" s="79"/>
      <c r="M592" s="79"/>
      <c r="R592" s="79"/>
      <c r="S592" s="79"/>
      <c r="V592" s="79"/>
      <c r="W592" s="79"/>
      <c r="Z592" s="130"/>
      <c r="AB592" s="106"/>
    </row>
    <row r="593">
      <c r="C593" s="79"/>
      <c r="D593" s="79"/>
      <c r="E593" s="79"/>
      <c r="M593" s="79"/>
      <c r="R593" s="79"/>
      <c r="S593" s="79"/>
      <c r="V593" s="79"/>
      <c r="W593" s="79"/>
      <c r="Z593" s="130"/>
      <c r="AB593" s="106"/>
    </row>
    <row r="594">
      <c r="C594" s="79"/>
      <c r="D594" s="79"/>
      <c r="E594" s="79"/>
      <c r="M594" s="79"/>
      <c r="R594" s="79"/>
      <c r="S594" s="79"/>
      <c r="V594" s="79"/>
      <c r="W594" s="79"/>
      <c r="Z594" s="130"/>
      <c r="AB594" s="106"/>
    </row>
    <row r="595">
      <c r="C595" s="79"/>
      <c r="D595" s="79"/>
      <c r="E595" s="79"/>
      <c r="M595" s="79"/>
      <c r="R595" s="79"/>
      <c r="S595" s="79"/>
      <c r="V595" s="79"/>
      <c r="W595" s="79"/>
      <c r="Z595" s="130"/>
      <c r="AB595" s="106"/>
    </row>
    <row r="596">
      <c r="C596" s="79"/>
      <c r="D596" s="79"/>
      <c r="E596" s="79"/>
      <c r="M596" s="79"/>
      <c r="R596" s="79"/>
      <c r="S596" s="79"/>
      <c r="V596" s="79"/>
      <c r="W596" s="79"/>
      <c r="Z596" s="130"/>
      <c r="AB596" s="106"/>
    </row>
    <row r="597">
      <c r="C597" s="79"/>
      <c r="D597" s="79"/>
      <c r="E597" s="79"/>
      <c r="M597" s="79"/>
      <c r="R597" s="79"/>
      <c r="S597" s="79"/>
      <c r="V597" s="79"/>
      <c r="W597" s="79"/>
      <c r="Z597" s="130"/>
      <c r="AB597" s="106"/>
    </row>
    <row r="598">
      <c r="C598" s="79"/>
      <c r="D598" s="79"/>
      <c r="E598" s="79"/>
      <c r="M598" s="79"/>
      <c r="R598" s="79"/>
      <c r="S598" s="79"/>
      <c r="V598" s="79"/>
      <c r="W598" s="79"/>
      <c r="Z598" s="130"/>
      <c r="AB598" s="106"/>
    </row>
    <row r="599">
      <c r="C599" s="79"/>
      <c r="D599" s="79"/>
      <c r="E599" s="79"/>
      <c r="M599" s="79"/>
      <c r="R599" s="79"/>
      <c r="S599" s="79"/>
      <c r="V599" s="79"/>
      <c r="W599" s="79"/>
      <c r="Z599" s="130"/>
      <c r="AB599" s="106"/>
    </row>
    <row r="600">
      <c r="C600" s="79"/>
      <c r="D600" s="79"/>
      <c r="E600" s="79"/>
      <c r="M600" s="79"/>
      <c r="R600" s="79"/>
      <c r="S600" s="79"/>
      <c r="V600" s="79"/>
      <c r="W600" s="79"/>
      <c r="Z600" s="130"/>
      <c r="AB600" s="106"/>
    </row>
    <row r="601">
      <c r="C601" s="79"/>
      <c r="D601" s="79"/>
      <c r="E601" s="79"/>
      <c r="M601" s="79"/>
      <c r="R601" s="79"/>
      <c r="S601" s="79"/>
      <c r="V601" s="79"/>
      <c r="W601" s="79"/>
      <c r="Z601" s="130"/>
      <c r="AB601" s="106"/>
    </row>
    <row r="602">
      <c r="C602" s="79"/>
      <c r="D602" s="79"/>
      <c r="E602" s="79"/>
      <c r="M602" s="79"/>
      <c r="R602" s="79"/>
      <c r="S602" s="79"/>
      <c r="V602" s="79"/>
      <c r="W602" s="79"/>
      <c r="Z602" s="130"/>
      <c r="AB602" s="106"/>
    </row>
    <row r="603">
      <c r="C603" s="79"/>
      <c r="D603" s="79"/>
      <c r="E603" s="79"/>
      <c r="M603" s="79"/>
      <c r="R603" s="79"/>
      <c r="S603" s="79"/>
      <c r="V603" s="79"/>
      <c r="W603" s="79"/>
      <c r="Z603" s="130"/>
      <c r="AB603" s="106"/>
    </row>
    <row r="604">
      <c r="C604" s="79"/>
      <c r="D604" s="79"/>
      <c r="E604" s="79"/>
      <c r="M604" s="79"/>
      <c r="R604" s="79"/>
      <c r="S604" s="79"/>
      <c r="V604" s="79"/>
      <c r="W604" s="79"/>
      <c r="Z604" s="130"/>
      <c r="AB604" s="106"/>
    </row>
    <row r="605">
      <c r="C605" s="79"/>
      <c r="D605" s="79"/>
      <c r="E605" s="79"/>
      <c r="M605" s="79"/>
      <c r="R605" s="79"/>
      <c r="S605" s="79"/>
      <c r="V605" s="79"/>
      <c r="W605" s="79"/>
      <c r="Z605" s="130"/>
      <c r="AB605" s="106"/>
    </row>
    <row r="606">
      <c r="C606" s="79"/>
      <c r="D606" s="79"/>
      <c r="E606" s="79"/>
      <c r="M606" s="79"/>
      <c r="R606" s="79"/>
      <c r="S606" s="79"/>
      <c r="V606" s="79"/>
      <c r="W606" s="79"/>
      <c r="Z606" s="130"/>
      <c r="AB606" s="106"/>
    </row>
    <row r="607">
      <c r="C607" s="79"/>
      <c r="D607" s="79"/>
      <c r="E607" s="79"/>
      <c r="M607" s="79"/>
      <c r="R607" s="79"/>
      <c r="S607" s="79"/>
      <c r="V607" s="79"/>
      <c r="W607" s="79"/>
      <c r="Z607" s="130"/>
      <c r="AB607" s="106"/>
    </row>
    <row r="608">
      <c r="C608" s="79"/>
      <c r="D608" s="79"/>
      <c r="E608" s="79"/>
      <c r="M608" s="79"/>
      <c r="R608" s="79"/>
      <c r="S608" s="79"/>
      <c r="V608" s="79"/>
      <c r="W608" s="79"/>
      <c r="Z608" s="130"/>
      <c r="AB608" s="106"/>
    </row>
    <row r="609">
      <c r="C609" s="79"/>
      <c r="D609" s="79"/>
      <c r="E609" s="79"/>
      <c r="M609" s="79"/>
      <c r="R609" s="79"/>
      <c r="S609" s="79"/>
      <c r="V609" s="79"/>
      <c r="W609" s="79"/>
      <c r="Z609" s="130"/>
      <c r="AB609" s="106"/>
    </row>
    <row r="610">
      <c r="C610" s="79"/>
      <c r="D610" s="79"/>
      <c r="E610" s="79"/>
      <c r="M610" s="79"/>
      <c r="R610" s="79"/>
      <c r="S610" s="79"/>
      <c r="V610" s="79"/>
      <c r="W610" s="79"/>
      <c r="Z610" s="130"/>
      <c r="AB610" s="106"/>
    </row>
    <row r="611">
      <c r="C611" s="79"/>
      <c r="D611" s="79"/>
      <c r="E611" s="79"/>
      <c r="M611" s="79"/>
      <c r="R611" s="79"/>
      <c r="S611" s="79"/>
      <c r="V611" s="79"/>
      <c r="W611" s="79"/>
      <c r="Z611" s="130"/>
      <c r="AB611" s="106"/>
    </row>
    <row r="612">
      <c r="C612" s="79"/>
      <c r="D612" s="79"/>
      <c r="E612" s="79"/>
      <c r="M612" s="79"/>
      <c r="R612" s="79"/>
      <c r="S612" s="79"/>
      <c r="V612" s="79"/>
      <c r="W612" s="79"/>
      <c r="Z612" s="130"/>
      <c r="AB612" s="106"/>
    </row>
    <row r="613">
      <c r="C613" s="79"/>
      <c r="D613" s="79"/>
      <c r="E613" s="79"/>
      <c r="M613" s="79"/>
      <c r="R613" s="79"/>
      <c r="S613" s="79"/>
      <c r="V613" s="79"/>
      <c r="W613" s="79"/>
      <c r="Z613" s="130"/>
      <c r="AB613" s="106"/>
    </row>
    <row r="614">
      <c r="C614" s="79"/>
      <c r="D614" s="79"/>
      <c r="E614" s="79"/>
      <c r="M614" s="79"/>
      <c r="R614" s="79"/>
      <c r="S614" s="79"/>
      <c r="V614" s="79"/>
      <c r="W614" s="79"/>
      <c r="Z614" s="130"/>
      <c r="AB614" s="106"/>
    </row>
    <row r="615">
      <c r="C615" s="79"/>
      <c r="D615" s="79"/>
      <c r="E615" s="79"/>
      <c r="M615" s="79"/>
      <c r="R615" s="79"/>
      <c r="S615" s="79"/>
      <c r="V615" s="79"/>
      <c r="W615" s="79"/>
      <c r="Z615" s="130"/>
      <c r="AB615" s="106"/>
    </row>
    <row r="616">
      <c r="C616" s="79"/>
      <c r="D616" s="79"/>
      <c r="E616" s="79"/>
      <c r="M616" s="79"/>
      <c r="R616" s="79"/>
      <c r="S616" s="79"/>
      <c r="V616" s="79"/>
      <c r="W616" s="79"/>
      <c r="Z616" s="130"/>
      <c r="AB616" s="106"/>
    </row>
    <row r="617">
      <c r="C617" s="79"/>
      <c r="D617" s="79"/>
      <c r="E617" s="79"/>
      <c r="M617" s="79"/>
      <c r="R617" s="79"/>
      <c r="S617" s="79"/>
      <c r="V617" s="79"/>
      <c r="W617" s="79"/>
      <c r="Z617" s="130"/>
      <c r="AB617" s="106"/>
    </row>
    <row r="618">
      <c r="C618" s="79"/>
      <c r="D618" s="79"/>
      <c r="E618" s="79"/>
      <c r="M618" s="79"/>
      <c r="R618" s="79"/>
      <c r="S618" s="79"/>
      <c r="V618" s="79"/>
      <c r="W618" s="79"/>
      <c r="Z618" s="130"/>
      <c r="AB618" s="106"/>
    </row>
    <row r="619">
      <c r="C619" s="79"/>
      <c r="D619" s="79"/>
      <c r="E619" s="79"/>
      <c r="M619" s="79"/>
      <c r="R619" s="79"/>
      <c r="S619" s="79"/>
      <c r="V619" s="79"/>
      <c r="W619" s="79"/>
      <c r="Z619" s="130"/>
      <c r="AB619" s="106"/>
    </row>
    <row r="620">
      <c r="C620" s="79"/>
      <c r="D620" s="79"/>
      <c r="E620" s="79"/>
      <c r="M620" s="79"/>
      <c r="R620" s="79"/>
      <c r="S620" s="79"/>
      <c r="V620" s="79"/>
      <c r="W620" s="79"/>
      <c r="Z620" s="130"/>
      <c r="AB620" s="106"/>
    </row>
    <row r="621">
      <c r="C621" s="79"/>
      <c r="D621" s="79"/>
      <c r="E621" s="79"/>
      <c r="M621" s="79"/>
      <c r="R621" s="79"/>
      <c r="S621" s="79"/>
      <c r="V621" s="79"/>
      <c r="W621" s="79"/>
      <c r="Z621" s="130"/>
      <c r="AB621" s="106"/>
    </row>
    <row r="622">
      <c r="C622" s="79"/>
      <c r="D622" s="79"/>
      <c r="E622" s="79"/>
      <c r="M622" s="79"/>
      <c r="R622" s="79"/>
      <c r="S622" s="79"/>
      <c r="V622" s="79"/>
      <c r="W622" s="79"/>
      <c r="Z622" s="130"/>
      <c r="AB622" s="106"/>
    </row>
    <row r="623">
      <c r="C623" s="79"/>
      <c r="D623" s="79"/>
      <c r="E623" s="79"/>
      <c r="M623" s="79"/>
      <c r="R623" s="79"/>
      <c r="S623" s="79"/>
      <c r="V623" s="79"/>
      <c r="W623" s="79"/>
      <c r="Z623" s="130"/>
      <c r="AB623" s="106"/>
    </row>
    <row r="624">
      <c r="C624" s="79"/>
      <c r="D624" s="79"/>
      <c r="E624" s="79"/>
      <c r="M624" s="79"/>
      <c r="R624" s="79"/>
      <c r="S624" s="79"/>
      <c r="V624" s="79"/>
      <c r="W624" s="79"/>
      <c r="Z624" s="130"/>
      <c r="AB624" s="106"/>
    </row>
    <row r="625">
      <c r="C625" s="79"/>
      <c r="D625" s="79"/>
      <c r="E625" s="79"/>
      <c r="M625" s="79"/>
      <c r="R625" s="79"/>
      <c r="S625" s="79"/>
      <c r="V625" s="79"/>
      <c r="W625" s="79"/>
      <c r="Z625" s="130"/>
      <c r="AB625" s="106"/>
    </row>
    <row r="626">
      <c r="C626" s="79"/>
      <c r="D626" s="79"/>
      <c r="E626" s="79"/>
      <c r="M626" s="79"/>
      <c r="R626" s="79"/>
      <c r="S626" s="79"/>
      <c r="V626" s="79"/>
      <c r="W626" s="79"/>
      <c r="Z626" s="130"/>
      <c r="AB626" s="106"/>
    </row>
    <row r="627">
      <c r="C627" s="79"/>
      <c r="D627" s="79"/>
      <c r="E627" s="79"/>
      <c r="M627" s="79"/>
      <c r="R627" s="79"/>
      <c r="S627" s="79"/>
      <c r="V627" s="79"/>
      <c r="W627" s="79"/>
      <c r="Z627" s="130"/>
      <c r="AB627" s="106"/>
    </row>
    <row r="628">
      <c r="C628" s="79"/>
      <c r="D628" s="79"/>
      <c r="E628" s="79"/>
      <c r="M628" s="79"/>
      <c r="R628" s="79"/>
      <c r="S628" s="79"/>
      <c r="V628" s="79"/>
      <c r="W628" s="79"/>
      <c r="Z628" s="130"/>
      <c r="AB628" s="106"/>
    </row>
    <row r="629">
      <c r="C629" s="79"/>
      <c r="D629" s="79"/>
      <c r="E629" s="79"/>
      <c r="M629" s="79"/>
      <c r="R629" s="79"/>
      <c r="S629" s="79"/>
      <c r="V629" s="79"/>
      <c r="W629" s="79"/>
      <c r="Z629" s="130"/>
      <c r="AB629" s="106"/>
    </row>
    <row r="630">
      <c r="C630" s="79"/>
      <c r="D630" s="79"/>
      <c r="E630" s="79"/>
      <c r="M630" s="79"/>
      <c r="R630" s="79"/>
      <c r="S630" s="79"/>
      <c r="V630" s="79"/>
      <c r="W630" s="79"/>
      <c r="Z630" s="130"/>
      <c r="AB630" s="106"/>
    </row>
    <row r="631">
      <c r="C631" s="79"/>
      <c r="D631" s="79"/>
      <c r="E631" s="79"/>
      <c r="M631" s="79"/>
      <c r="R631" s="79"/>
      <c r="S631" s="79"/>
      <c r="V631" s="79"/>
      <c r="W631" s="79"/>
      <c r="Z631" s="130"/>
      <c r="AB631" s="106"/>
    </row>
    <row r="632">
      <c r="C632" s="79"/>
      <c r="D632" s="79"/>
      <c r="E632" s="79"/>
      <c r="M632" s="79"/>
      <c r="R632" s="79"/>
      <c r="S632" s="79"/>
      <c r="V632" s="79"/>
      <c r="W632" s="79"/>
      <c r="Z632" s="130"/>
      <c r="AB632" s="106"/>
    </row>
    <row r="633">
      <c r="C633" s="79"/>
      <c r="D633" s="79"/>
      <c r="E633" s="79"/>
      <c r="M633" s="79"/>
      <c r="R633" s="79"/>
      <c r="S633" s="79"/>
      <c r="V633" s="79"/>
      <c r="W633" s="79"/>
      <c r="Z633" s="130"/>
      <c r="AB633" s="106"/>
    </row>
    <row r="634">
      <c r="C634" s="79"/>
      <c r="D634" s="79"/>
      <c r="E634" s="79"/>
      <c r="M634" s="79"/>
      <c r="R634" s="79"/>
      <c r="S634" s="79"/>
      <c r="V634" s="79"/>
      <c r="W634" s="79"/>
      <c r="Z634" s="130"/>
      <c r="AB634" s="106"/>
    </row>
    <row r="635">
      <c r="C635" s="79"/>
      <c r="D635" s="79"/>
      <c r="E635" s="79"/>
      <c r="M635" s="79"/>
      <c r="R635" s="79"/>
      <c r="S635" s="79"/>
      <c r="V635" s="79"/>
      <c r="W635" s="79"/>
      <c r="Z635" s="130"/>
      <c r="AB635" s="106"/>
    </row>
    <row r="636">
      <c r="C636" s="79"/>
      <c r="D636" s="79"/>
      <c r="E636" s="79"/>
      <c r="M636" s="79"/>
      <c r="R636" s="79"/>
      <c r="S636" s="79"/>
      <c r="V636" s="79"/>
      <c r="W636" s="79"/>
      <c r="Z636" s="130"/>
      <c r="AB636" s="106"/>
    </row>
    <row r="637">
      <c r="C637" s="79"/>
      <c r="D637" s="79"/>
      <c r="E637" s="79"/>
      <c r="M637" s="79"/>
      <c r="R637" s="79"/>
      <c r="S637" s="79"/>
      <c r="V637" s="79"/>
      <c r="W637" s="79"/>
      <c r="Z637" s="130"/>
      <c r="AB637" s="106"/>
    </row>
    <row r="638">
      <c r="C638" s="79"/>
      <c r="D638" s="79"/>
      <c r="E638" s="79"/>
      <c r="M638" s="79"/>
      <c r="R638" s="79"/>
      <c r="S638" s="79"/>
      <c r="V638" s="79"/>
      <c r="W638" s="79"/>
      <c r="Z638" s="130"/>
      <c r="AB638" s="106"/>
    </row>
    <row r="639">
      <c r="C639" s="79"/>
      <c r="D639" s="79"/>
      <c r="E639" s="79"/>
      <c r="M639" s="79"/>
      <c r="R639" s="79"/>
      <c r="S639" s="79"/>
      <c r="V639" s="79"/>
      <c r="W639" s="79"/>
      <c r="Z639" s="130"/>
      <c r="AB639" s="106"/>
    </row>
    <row r="640">
      <c r="C640" s="79"/>
      <c r="D640" s="79"/>
      <c r="E640" s="79"/>
      <c r="M640" s="79"/>
      <c r="R640" s="79"/>
      <c r="S640" s="79"/>
      <c r="V640" s="79"/>
      <c r="W640" s="79"/>
      <c r="Z640" s="130"/>
      <c r="AB640" s="106"/>
    </row>
    <row r="641">
      <c r="C641" s="79"/>
      <c r="D641" s="79"/>
      <c r="E641" s="79"/>
      <c r="M641" s="79"/>
      <c r="R641" s="79"/>
      <c r="S641" s="79"/>
      <c r="V641" s="79"/>
      <c r="W641" s="79"/>
      <c r="Z641" s="130"/>
      <c r="AB641" s="106"/>
    </row>
    <row r="642">
      <c r="C642" s="79"/>
      <c r="D642" s="79"/>
      <c r="E642" s="79"/>
      <c r="M642" s="79"/>
      <c r="R642" s="79"/>
      <c r="S642" s="79"/>
      <c r="V642" s="79"/>
      <c r="W642" s="79"/>
      <c r="Z642" s="130"/>
      <c r="AB642" s="106"/>
    </row>
    <row r="643">
      <c r="C643" s="79"/>
      <c r="D643" s="79"/>
      <c r="E643" s="79"/>
      <c r="M643" s="79"/>
      <c r="R643" s="79"/>
      <c r="S643" s="79"/>
      <c r="V643" s="79"/>
      <c r="W643" s="79"/>
      <c r="Z643" s="130"/>
      <c r="AB643" s="106"/>
    </row>
    <row r="644">
      <c r="C644" s="79"/>
      <c r="D644" s="79"/>
      <c r="E644" s="79"/>
      <c r="M644" s="79"/>
      <c r="R644" s="79"/>
      <c r="S644" s="79"/>
      <c r="V644" s="79"/>
      <c r="W644" s="79"/>
      <c r="Z644" s="130"/>
      <c r="AB644" s="106"/>
    </row>
    <row r="645">
      <c r="C645" s="79"/>
      <c r="D645" s="79"/>
      <c r="E645" s="79"/>
      <c r="M645" s="79"/>
      <c r="R645" s="79"/>
      <c r="S645" s="79"/>
      <c r="V645" s="79"/>
      <c r="W645" s="79"/>
      <c r="Z645" s="130"/>
      <c r="AB645" s="106"/>
    </row>
    <row r="646">
      <c r="C646" s="79"/>
      <c r="D646" s="79"/>
      <c r="E646" s="79"/>
      <c r="M646" s="79"/>
      <c r="R646" s="79"/>
      <c r="S646" s="79"/>
      <c r="V646" s="79"/>
      <c r="W646" s="79"/>
      <c r="Z646" s="130"/>
      <c r="AB646" s="106"/>
    </row>
    <row r="647">
      <c r="C647" s="79"/>
      <c r="D647" s="79"/>
      <c r="E647" s="79"/>
      <c r="M647" s="79"/>
      <c r="R647" s="79"/>
      <c r="S647" s="79"/>
      <c r="V647" s="79"/>
      <c r="W647" s="79"/>
      <c r="Z647" s="130"/>
      <c r="AB647" s="106"/>
    </row>
    <row r="648">
      <c r="C648" s="79"/>
      <c r="D648" s="79"/>
      <c r="E648" s="79"/>
      <c r="M648" s="79"/>
      <c r="R648" s="79"/>
      <c r="S648" s="79"/>
      <c r="V648" s="79"/>
      <c r="W648" s="79"/>
      <c r="Z648" s="130"/>
      <c r="AB648" s="106"/>
    </row>
    <row r="649">
      <c r="C649" s="79"/>
      <c r="D649" s="79"/>
      <c r="E649" s="79"/>
      <c r="M649" s="79"/>
      <c r="R649" s="79"/>
      <c r="S649" s="79"/>
      <c r="V649" s="79"/>
      <c r="W649" s="79"/>
      <c r="Z649" s="130"/>
      <c r="AB649" s="106"/>
    </row>
    <row r="650">
      <c r="C650" s="79"/>
      <c r="D650" s="79"/>
      <c r="E650" s="79"/>
      <c r="M650" s="79"/>
      <c r="R650" s="79"/>
      <c r="S650" s="79"/>
      <c r="V650" s="79"/>
      <c r="W650" s="79"/>
      <c r="Z650" s="130"/>
      <c r="AB650" s="106"/>
    </row>
    <row r="651">
      <c r="C651" s="79"/>
      <c r="D651" s="79"/>
      <c r="E651" s="79"/>
      <c r="M651" s="79"/>
      <c r="R651" s="79"/>
      <c r="S651" s="79"/>
      <c r="V651" s="79"/>
      <c r="W651" s="79"/>
      <c r="Z651" s="130"/>
      <c r="AB651" s="106"/>
    </row>
    <row r="652">
      <c r="C652" s="79"/>
      <c r="D652" s="79"/>
      <c r="E652" s="79"/>
      <c r="M652" s="79"/>
      <c r="R652" s="79"/>
      <c r="S652" s="79"/>
      <c r="V652" s="79"/>
      <c r="W652" s="79"/>
      <c r="Z652" s="130"/>
      <c r="AB652" s="106"/>
    </row>
    <row r="653">
      <c r="C653" s="79"/>
      <c r="D653" s="79"/>
      <c r="E653" s="79"/>
      <c r="M653" s="79"/>
      <c r="R653" s="79"/>
      <c r="S653" s="79"/>
      <c r="V653" s="79"/>
      <c r="W653" s="79"/>
      <c r="Z653" s="130"/>
      <c r="AB653" s="106"/>
    </row>
    <row r="654">
      <c r="C654" s="79"/>
      <c r="D654" s="79"/>
      <c r="E654" s="79"/>
      <c r="M654" s="79"/>
      <c r="R654" s="79"/>
      <c r="S654" s="79"/>
      <c r="V654" s="79"/>
      <c r="W654" s="79"/>
      <c r="Z654" s="130"/>
      <c r="AB654" s="106"/>
    </row>
    <row r="655">
      <c r="C655" s="79"/>
      <c r="D655" s="79"/>
      <c r="E655" s="79"/>
      <c r="M655" s="79"/>
      <c r="R655" s="79"/>
      <c r="S655" s="79"/>
      <c r="V655" s="79"/>
      <c r="W655" s="79"/>
      <c r="Z655" s="130"/>
      <c r="AB655" s="106"/>
    </row>
    <row r="656">
      <c r="C656" s="79"/>
      <c r="D656" s="79"/>
      <c r="E656" s="79"/>
      <c r="M656" s="79"/>
      <c r="R656" s="79"/>
      <c r="S656" s="79"/>
      <c r="V656" s="79"/>
      <c r="W656" s="79"/>
      <c r="Z656" s="130"/>
      <c r="AB656" s="106"/>
    </row>
    <row r="657">
      <c r="C657" s="79"/>
      <c r="D657" s="79"/>
      <c r="E657" s="79"/>
      <c r="M657" s="79"/>
      <c r="R657" s="79"/>
      <c r="S657" s="79"/>
      <c r="V657" s="79"/>
      <c r="W657" s="79"/>
      <c r="Z657" s="130"/>
      <c r="AB657" s="106"/>
    </row>
    <row r="658">
      <c r="C658" s="79"/>
      <c r="D658" s="79"/>
      <c r="E658" s="79"/>
      <c r="M658" s="79"/>
      <c r="R658" s="79"/>
      <c r="S658" s="79"/>
      <c r="V658" s="79"/>
      <c r="W658" s="79"/>
      <c r="Z658" s="130"/>
      <c r="AB658" s="106"/>
    </row>
    <row r="659">
      <c r="C659" s="79"/>
      <c r="D659" s="79"/>
      <c r="E659" s="79"/>
      <c r="M659" s="79"/>
      <c r="R659" s="79"/>
      <c r="S659" s="79"/>
      <c r="V659" s="79"/>
      <c r="W659" s="79"/>
      <c r="Z659" s="130"/>
      <c r="AB659" s="106"/>
    </row>
    <row r="660">
      <c r="C660" s="79"/>
      <c r="D660" s="79"/>
      <c r="E660" s="79"/>
      <c r="M660" s="79"/>
      <c r="R660" s="79"/>
      <c r="S660" s="79"/>
      <c r="V660" s="79"/>
      <c r="W660" s="79"/>
      <c r="Z660" s="130"/>
      <c r="AB660" s="106"/>
    </row>
    <row r="661">
      <c r="C661" s="79"/>
      <c r="D661" s="79"/>
      <c r="E661" s="79"/>
      <c r="M661" s="79"/>
      <c r="R661" s="79"/>
      <c r="S661" s="79"/>
      <c r="V661" s="79"/>
      <c r="W661" s="79"/>
      <c r="Z661" s="130"/>
      <c r="AB661" s="106"/>
    </row>
    <row r="662">
      <c r="C662" s="79"/>
      <c r="D662" s="79"/>
      <c r="E662" s="79"/>
      <c r="M662" s="79"/>
      <c r="R662" s="79"/>
      <c r="S662" s="79"/>
      <c r="V662" s="79"/>
      <c r="W662" s="79"/>
      <c r="Z662" s="130"/>
      <c r="AB662" s="106"/>
    </row>
    <row r="663">
      <c r="C663" s="79"/>
      <c r="D663" s="79"/>
      <c r="E663" s="79"/>
      <c r="M663" s="79"/>
      <c r="R663" s="79"/>
      <c r="S663" s="79"/>
      <c r="V663" s="79"/>
      <c r="W663" s="79"/>
      <c r="Z663" s="130"/>
      <c r="AB663" s="106"/>
    </row>
    <row r="664">
      <c r="C664" s="79"/>
      <c r="D664" s="79"/>
      <c r="E664" s="79"/>
      <c r="M664" s="79"/>
      <c r="R664" s="79"/>
      <c r="S664" s="79"/>
      <c r="V664" s="79"/>
      <c r="W664" s="79"/>
      <c r="Z664" s="130"/>
      <c r="AB664" s="106"/>
    </row>
    <row r="665">
      <c r="C665" s="79"/>
      <c r="D665" s="79"/>
      <c r="E665" s="79"/>
      <c r="M665" s="79"/>
      <c r="R665" s="79"/>
      <c r="S665" s="79"/>
      <c r="V665" s="79"/>
      <c r="W665" s="79"/>
      <c r="Z665" s="130"/>
      <c r="AB665" s="106"/>
    </row>
    <row r="666">
      <c r="C666" s="79"/>
      <c r="D666" s="79"/>
      <c r="E666" s="79"/>
      <c r="M666" s="79"/>
      <c r="R666" s="79"/>
      <c r="S666" s="79"/>
      <c r="V666" s="79"/>
      <c r="W666" s="79"/>
      <c r="Z666" s="130"/>
      <c r="AB666" s="106"/>
    </row>
    <row r="667">
      <c r="C667" s="79"/>
      <c r="D667" s="79"/>
      <c r="E667" s="79"/>
      <c r="M667" s="79"/>
      <c r="R667" s="79"/>
      <c r="S667" s="79"/>
      <c r="V667" s="79"/>
      <c r="W667" s="79"/>
      <c r="Z667" s="130"/>
      <c r="AB667" s="106"/>
    </row>
    <row r="668">
      <c r="C668" s="79"/>
      <c r="D668" s="79"/>
      <c r="E668" s="79"/>
      <c r="M668" s="79"/>
      <c r="R668" s="79"/>
      <c r="S668" s="79"/>
      <c r="V668" s="79"/>
      <c r="W668" s="79"/>
      <c r="Z668" s="130"/>
      <c r="AB668" s="106"/>
    </row>
    <row r="669">
      <c r="C669" s="79"/>
      <c r="D669" s="79"/>
      <c r="E669" s="79"/>
      <c r="M669" s="79"/>
      <c r="R669" s="79"/>
      <c r="S669" s="79"/>
      <c r="V669" s="79"/>
      <c r="W669" s="79"/>
      <c r="Z669" s="130"/>
      <c r="AB669" s="106"/>
    </row>
    <row r="670">
      <c r="C670" s="79"/>
      <c r="D670" s="79"/>
      <c r="E670" s="79"/>
      <c r="M670" s="79"/>
      <c r="R670" s="79"/>
      <c r="S670" s="79"/>
      <c r="V670" s="79"/>
      <c r="W670" s="79"/>
      <c r="Z670" s="130"/>
      <c r="AB670" s="106"/>
    </row>
    <row r="671">
      <c r="C671" s="79"/>
      <c r="D671" s="79"/>
      <c r="E671" s="79"/>
      <c r="M671" s="79"/>
      <c r="R671" s="79"/>
      <c r="S671" s="79"/>
      <c r="V671" s="79"/>
      <c r="W671" s="79"/>
      <c r="Z671" s="130"/>
      <c r="AB671" s="106"/>
    </row>
    <row r="672">
      <c r="C672" s="79"/>
      <c r="D672" s="79"/>
      <c r="E672" s="79"/>
      <c r="M672" s="79"/>
      <c r="R672" s="79"/>
      <c r="S672" s="79"/>
      <c r="V672" s="79"/>
      <c r="W672" s="79"/>
      <c r="Z672" s="130"/>
      <c r="AB672" s="106"/>
    </row>
    <row r="673">
      <c r="C673" s="79"/>
      <c r="D673" s="79"/>
      <c r="E673" s="79"/>
      <c r="M673" s="79"/>
      <c r="R673" s="79"/>
      <c r="S673" s="79"/>
      <c r="V673" s="79"/>
      <c r="W673" s="79"/>
      <c r="Z673" s="130"/>
      <c r="AB673" s="106"/>
    </row>
    <row r="674">
      <c r="C674" s="79"/>
      <c r="D674" s="79"/>
      <c r="E674" s="79"/>
      <c r="M674" s="79"/>
      <c r="R674" s="79"/>
      <c r="S674" s="79"/>
      <c r="V674" s="79"/>
      <c r="W674" s="79"/>
      <c r="Z674" s="130"/>
      <c r="AB674" s="106"/>
    </row>
    <row r="675">
      <c r="C675" s="79"/>
      <c r="D675" s="79"/>
      <c r="E675" s="79"/>
      <c r="M675" s="79"/>
      <c r="R675" s="79"/>
      <c r="S675" s="79"/>
      <c r="V675" s="79"/>
      <c r="W675" s="79"/>
      <c r="Z675" s="130"/>
      <c r="AB675" s="106"/>
    </row>
    <row r="676">
      <c r="C676" s="79"/>
      <c r="D676" s="79"/>
      <c r="E676" s="79"/>
      <c r="M676" s="79"/>
      <c r="R676" s="79"/>
      <c r="S676" s="79"/>
      <c r="V676" s="79"/>
      <c r="W676" s="79"/>
      <c r="Z676" s="130"/>
      <c r="AB676" s="106"/>
    </row>
    <row r="677">
      <c r="C677" s="79"/>
      <c r="D677" s="79"/>
      <c r="E677" s="79"/>
      <c r="M677" s="79"/>
      <c r="R677" s="79"/>
      <c r="S677" s="79"/>
      <c r="V677" s="79"/>
      <c r="W677" s="79"/>
      <c r="Z677" s="130"/>
      <c r="AB677" s="106"/>
    </row>
    <row r="678">
      <c r="C678" s="79"/>
      <c r="D678" s="79"/>
      <c r="E678" s="79"/>
      <c r="M678" s="79"/>
      <c r="R678" s="79"/>
      <c r="S678" s="79"/>
      <c r="V678" s="79"/>
      <c r="W678" s="79"/>
      <c r="Z678" s="130"/>
      <c r="AB678" s="106"/>
    </row>
    <row r="679">
      <c r="C679" s="79"/>
      <c r="D679" s="79"/>
      <c r="E679" s="79"/>
      <c r="M679" s="79"/>
      <c r="R679" s="79"/>
      <c r="S679" s="79"/>
      <c r="V679" s="79"/>
      <c r="W679" s="79"/>
      <c r="Z679" s="130"/>
      <c r="AB679" s="106"/>
    </row>
    <row r="680">
      <c r="C680" s="79"/>
      <c r="D680" s="79"/>
      <c r="E680" s="79"/>
      <c r="M680" s="79"/>
      <c r="R680" s="79"/>
      <c r="S680" s="79"/>
      <c r="V680" s="79"/>
      <c r="W680" s="79"/>
      <c r="Z680" s="130"/>
      <c r="AB680" s="106"/>
    </row>
    <row r="681">
      <c r="C681" s="79"/>
      <c r="D681" s="79"/>
      <c r="E681" s="79"/>
      <c r="M681" s="79"/>
      <c r="R681" s="79"/>
      <c r="S681" s="79"/>
      <c r="V681" s="79"/>
      <c r="W681" s="79"/>
      <c r="Z681" s="130"/>
      <c r="AB681" s="106"/>
    </row>
    <row r="682">
      <c r="C682" s="79"/>
      <c r="D682" s="79"/>
      <c r="E682" s="79"/>
      <c r="M682" s="79"/>
      <c r="R682" s="79"/>
      <c r="S682" s="79"/>
      <c r="V682" s="79"/>
      <c r="W682" s="79"/>
      <c r="Z682" s="130"/>
      <c r="AB682" s="106"/>
    </row>
    <row r="683">
      <c r="C683" s="79"/>
      <c r="D683" s="79"/>
      <c r="E683" s="79"/>
      <c r="M683" s="79"/>
      <c r="R683" s="79"/>
      <c r="S683" s="79"/>
      <c r="V683" s="79"/>
      <c r="W683" s="79"/>
      <c r="Z683" s="130"/>
      <c r="AB683" s="106"/>
    </row>
    <row r="684">
      <c r="C684" s="79"/>
      <c r="D684" s="79"/>
      <c r="E684" s="79"/>
      <c r="M684" s="79"/>
      <c r="R684" s="79"/>
      <c r="S684" s="79"/>
      <c r="V684" s="79"/>
      <c r="W684" s="79"/>
      <c r="Z684" s="130"/>
      <c r="AB684" s="106"/>
    </row>
    <row r="685">
      <c r="C685" s="79"/>
      <c r="D685" s="79"/>
      <c r="E685" s="79"/>
      <c r="M685" s="79"/>
      <c r="R685" s="79"/>
      <c r="S685" s="79"/>
      <c r="V685" s="79"/>
      <c r="W685" s="79"/>
      <c r="Z685" s="130"/>
      <c r="AB685" s="106"/>
    </row>
    <row r="686">
      <c r="C686" s="79"/>
      <c r="D686" s="79"/>
      <c r="E686" s="79"/>
      <c r="M686" s="79"/>
      <c r="R686" s="79"/>
      <c r="S686" s="79"/>
      <c r="V686" s="79"/>
      <c r="W686" s="79"/>
      <c r="Z686" s="130"/>
      <c r="AB686" s="106"/>
    </row>
    <row r="687">
      <c r="C687" s="79"/>
      <c r="D687" s="79"/>
      <c r="E687" s="79"/>
      <c r="M687" s="79"/>
      <c r="R687" s="79"/>
      <c r="S687" s="79"/>
      <c r="V687" s="79"/>
      <c r="W687" s="79"/>
      <c r="Z687" s="130"/>
      <c r="AB687" s="106"/>
    </row>
    <row r="688">
      <c r="C688" s="79"/>
      <c r="D688" s="79"/>
      <c r="E688" s="79"/>
      <c r="M688" s="79"/>
      <c r="R688" s="79"/>
      <c r="S688" s="79"/>
      <c r="V688" s="79"/>
      <c r="W688" s="79"/>
      <c r="Z688" s="130"/>
      <c r="AB688" s="106"/>
    </row>
    <row r="689">
      <c r="C689" s="79"/>
      <c r="D689" s="79"/>
      <c r="E689" s="79"/>
      <c r="M689" s="79"/>
      <c r="R689" s="79"/>
      <c r="S689" s="79"/>
      <c r="V689" s="79"/>
      <c r="W689" s="79"/>
      <c r="Z689" s="130"/>
      <c r="AB689" s="106"/>
    </row>
    <row r="690">
      <c r="C690" s="79"/>
      <c r="D690" s="79"/>
      <c r="E690" s="79"/>
      <c r="M690" s="79"/>
      <c r="R690" s="79"/>
      <c r="S690" s="79"/>
      <c r="V690" s="79"/>
      <c r="W690" s="79"/>
      <c r="Z690" s="130"/>
      <c r="AB690" s="106"/>
    </row>
    <row r="691">
      <c r="C691" s="79"/>
      <c r="D691" s="79"/>
      <c r="E691" s="79"/>
      <c r="M691" s="79"/>
      <c r="R691" s="79"/>
      <c r="S691" s="79"/>
      <c r="V691" s="79"/>
      <c r="W691" s="79"/>
      <c r="Z691" s="130"/>
      <c r="AB691" s="106"/>
    </row>
    <row r="692">
      <c r="C692" s="79"/>
      <c r="D692" s="79"/>
      <c r="E692" s="79"/>
      <c r="M692" s="79"/>
      <c r="R692" s="79"/>
      <c r="S692" s="79"/>
      <c r="V692" s="79"/>
      <c r="W692" s="79"/>
      <c r="Z692" s="130"/>
      <c r="AB692" s="106"/>
    </row>
    <row r="693">
      <c r="C693" s="79"/>
      <c r="D693" s="79"/>
      <c r="E693" s="79"/>
      <c r="M693" s="79"/>
      <c r="R693" s="79"/>
      <c r="S693" s="79"/>
      <c r="V693" s="79"/>
      <c r="W693" s="79"/>
      <c r="Z693" s="130"/>
      <c r="AB693" s="106"/>
    </row>
    <row r="694">
      <c r="C694" s="79"/>
      <c r="D694" s="79"/>
      <c r="E694" s="79"/>
      <c r="M694" s="79"/>
      <c r="R694" s="79"/>
      <c r="S694" s="79"/>
      <c r="V694" s="79"/>
      <c r="W694" s="79"/>
      <c r="Z694" s="130"/>
      <c r="AB694" s="106"/>
    </row>
    <row r="695">
      <c r="C695" s="79"/>
      <c r="D695" s="79"/>
      <c r="E695" s="79"/>
      <c r="M695" s="79"/>
      <c r="R695" s="79"/>
      <c r="S695" s="79"/>
      <c r="V695" s="79"/>
      <c r="W695" s="79"/>
      <c r="Z695" s="130"/>
      <c r="AB695" s="106"/>
    </row>
    <row r="696">
      <c r="C696" s="79"/>
      <c r="D696" s="79"/>
      <c r="E696" s="79"/>
      <c r="M696" s="79"/>
      <c r="R696" s="79"/>
      <c r="S696" s="79"/>
      <c r="V696" s="79"/>
      <c r="W696" s="79"/>
      <c r="Z696" s="130"/>
      <c r="AB696" s="106"/>
    </row>
    <row r="697">
      <c r="C697" s="79"/>
      <c r="D697" s="79"/>
      <c r="E697" s="79"/>
      <c r="M697" s="79"/>
      <c r="R697" s="79"/>
      <c r="S697" s="79"/>
      <c r="V697" s="79"/>
      <c r="W697" s="79"/>
      <c r="Z697" s="130"/>
      <c r="AB697" s="106"/>
    </row>
    <row r="698">
      <c r="C698" s="79"/>
      <c r="D698" s="79"/>
      <c r="E698" s="79"/>
      <c r="M698" s="79"/>
      <c r="R698" s="79"/>
      <c r="S698" s="79"/>
      <c r="V698" s="79"/>
      <c r="W698" s="79"/>
      <c r="Z698" s="130"/>
      <c r="AB698" s="106"/>
    </row>
    <row r="699">
      <c r="C699" s="79"/>
      <c r="D699" s="79"/>
      <c r="E699" s="79"/>
      <c r="M699" s="79"/>
      <c r="R699" s="79"/>
      <c r="S699" s="79"/>
      <c r="V699" s="79"/>
      <c r="W699" s="79"/>
      <c r="Z699" s="130"/>
      <c r="AB699" s="106"/>
    </row>
    <row r="700">
      <c r="C700" s="79"/>
      <c r="D700" s="79"/>
      <c r="E700" s="79"/>
      <c r="M700" s="79"/>
      <c r="R700" s="79"/>
      <c r="S700" s="79"/>
      <c r="V700" s="79"/>
      <c r="W700" s="79"/>
      <c r="Z700" s="130"/>
      <c r="AB700" s="106"/>
    </row>
    <row r="701">
      <c r="C701" s="79"/>
      <c r="D701" s="79"/>
      <c r="E701" s="79"/>
      <c r="M701" s="79"/>
      <c r="R701" s="79"/>
      <c r="S701" s="79"/>
      <c r="V701" s="79"/>
      <c r="W701" s="79"/>
      <c r="Z701" s="130"/>
      <c r="AB701" s="106"/>
    </row>
    <row r="702">
      <c r="C702" s="79"/>
      <c r="D702" s="79"/>
      <c r="E702" s="79"/>
      <c r="M702" s="79"/>
      <c r="R702" s="79"/>
      <c r="S702" s="79"/>
      <c r="V702" s="79"/>
      <c r="W702" s="79"/>
      <c r="Z702" s="130"/>
      <c r="AB702" s="106"/>
    </row>
    <row r="703">
      <c r="C703" s="79"/>
      <c r="D703" s="79"/>
      <c r="E703" s="79"/>
      <c r="M703" s="79"/>
      <c r="R703" s="79"/>
      <c r="S703" s="79"/>
      <c r="V703" s="79"/>
      <c r="W703" s="79"/>
      <c r="Z703" s="130"/>
      <c r="AB703" s="106"/>
    </row>
    <row r="704">
      <c r="C704" s="79"/>
      <c r="D704" s="79"/>
      <c r="E704" s="79"/>
      <c r="M704" s="79"/>
      <c r="R704" s="79"/>
      <c r="S704" s="79"/>
      <c r="V704" s="79"/>
      <c r="W704" s="79"/>
      <c r="Z704" s="130"/>
      <c r="AB704" s="106"/>
    </row>
    <row r="705">
      <c r="C705" s="79"/>
      <c r="D705" s="79"/>
      <c r="E705" s="79"/>
      <c r="M705" s="79"/>
      <c r="R705" s="79"/>
      <c r="S705" s="79"/>
      <c r="V705" s="79"/>
      <c r="W705" s="79"/>
      <c r="Z705" s="130"/>
      <c r="AB705" s="106"/>
    </row>
    <row r="706">
      <c r="C706" s="79"/>
      <c r="D706" s="79"/>
      <c r="E706" s="79"/>
      <c r="M706" s="79"/>
      <c r="R706" s="79"/>
      <c r="S706" s="79"/>
      <c r="V706" s="79"/>
      <c r="W706" s="79"/>
      <c r="Z706" s="130"/>
      <c r="AB706" s="106"/>
    </row>
    <row r="707">
      <c r="C707" s="79"/>
      <c r="D707" s="79"/>
      <c r="E707" s="79"/>
      <c r="M707" s="79"/>
      <c r="R707" s="79"/>
      <c r="S707" s="79"/>
      <c r="V707" s="79"/>
      <c r="W707" s="79"/>
      <c r="Z707" s="130"/>
      <c r="AB707" s="106"/>
    </row>
    <row r="708">
      <c r="C708" s="79"/>
      <c r="D708" s="79"/>
      <c r="E708" s="79"/>
      <c r="M708" s="79"/>
      <c r="R708" s="79"/>
      <c r="S708" s="79"/>
      <c r="V708" s="79"/>
      <c r="W708" s="79"/>
      <c r="Z708" s="130"/>
      <c r="AB708" s="106"/>
    </row>
    <row r="709">
      <c r="C709" s="79"/>
      <c r="D709" s="79"/>
      <c r="E709" s="79"/>
      <c r="M709" s="79"/>
      <c r="R709" s="79"/>
      <c r="S709" s="79"/>
      <c r="V709" s="79"/>
      <c r="W709" s="79"/>
      <c r="Z709" s="130"/>
      <c r="AB709" s="106"/>
    </row>
    <row r="710">
      <c r="C710" s="79"/>
      <c r="D710" s="79"/>
      <c r="E710" s="79"/>
      <c r="M710" s="79"/>
      <c r="R710" s="79"/>
      <c r="S710" s="79"/>
      <c r="V710" s="79"/>
      <c r="W710" s="79"/>
      <c r="Z710" s="130"/>
      <c r="AB710" s="106"/>
    </row>
    <row r="711">
      <c r="C711" s="79"/>
      <c r="D711" s="79"/>
      <c r="E711" s="79"/>
      <c r="M711" s="79"/>
      <c r="R711" s="79"/>
      <c r="S711" s="79"/>
      <c r="V711" s="79"/>
      <c r="W711" s="79"/>
      <c r="Z711" s="130"/>
      <c r="AB711" s="106"/>
    </row>
    <row r="712">
      <c r="C712" s="79"/>
      <c r="D712" s="79"/>
      <c r="E712" s="79"/>
      <c r="M712" s="79"/>
      <c r="R712" s="79"/>
      <c r="S712" s="79"/>
      <c r="V712" s="79"/>
      <c r="W712" s="79"/>
      <c r="Z712" s="130"/>
      <c r="AB712" s="106"/>
    </row>
    <row r="713">
      <c r="C713" s="79"/>
      <c r="D713" s="79"/>
      <c r="E713" s="79"/>
      <c r="M713" s="79"/>
      <c r="R713" s="79"/>
      <c r="S713" s="79"/>
      <c r="V713" s="79"/>
      <c r="W713" s="79"/>
      <c r="Z713" s="130"/>
      <c r="AB713" s="106"/>
    </row>
    <row r="714">
      <c r="C714" s="79"/>
      <c r="D714" s="79"/>
      <c r="E714" s="79"/>
      <c r="M714" s="79"/>
      <c r="R714" s="79"/>
      <c r="S714" s="79"/>
      <c r="V714" s="79"/>
      <c r="W714" s="79"/>
      <c r="Z714" s="130"/>
      <c r="AB714" s="106"/>
    </row>
    <row r="715">
      <c r="C715" s="79"/>
      <c r="D715" s="79"/>
      <c r="E715" s="79"/>
      <c r="M715" s="79"/>
      <c r="R715" s="79"/>
      <c r="S715" s="79"/>
      <c r="V715" s="79"/>
      <c r="W715" s="79"/>
      <c r="Z715" s="130"/>
      <c r="AB715" s="106"/>
    </row>
    <row r="716">
      <c r="C716" s="79"/>
      <c r="D716" s="79"/>
      <c r="E716" s="79"/>
      <c r="M716" s="79"/>
      <c r="R716" s="79"/>
      <c r="S716" s="79"/>
      <c r="V716" s="79"/>
      <c r="W716" s="79"/>
      <c r="Z716" s="130"/>
      <c r="AB716" s="106"/>
    </row>
    <row r="717">
      <c r="C717" s="79"/>
      <c r="D717" s="79"/>
      <c r="E717" s="79"/>
      <c r="M717" s="79"/>
      <c r="R717" s="79"/>
      <c r="S717" s="79"/>
      <c r="V717" s="79"/>
      <c r="W717" s="79"/>
      <c r="Z717" s="130"/>
      <c r="AB717" s="106"/>
    </row>
    <row r="718">
      <c r="C718" s="79"/>
      <c r="D718" s="79"/>
      <c r="E718" s="79"/>
      <c r="M718" s="79"/>
      <c r="R718" s="79"/>
      <c r="S718" s="79"/>
      <c r="V718" s="79"/>
      <c r="W718" s="79"/>
      <c r="Z718" s="130"/>
      <c r="AB718" s="106"/>
    </row>
    <row r="719">
      <c r="C719" s="79"/>
      <c r="D719" s="79"/>
      <c r="E719" s="79"/>
      <c r="M719" s="79"/>
      <c r="R719" s="79"/>
      <c r="S719" s="79"/>
      <c r="V719" s="79"/>
      <c r="W719" s="79"/>
      <c r="Z719" s="130"/>
      <c r="AB719" s="106"/>
    </row>
    <row r="720">
      <c r="C720" s="79"/>
      <c r="D720" s="79"/>
      <c r="E720" s="79"/>
      <c r="M720" s="79"/>
      <c r="R720" s="79"/>
      <c r="S720" s="79"/>
      <c r="V720" s="79"/>
      <c r="W720" s="79"/>
      <c r="Z720" s="130"/>
      <c r="AB720" s="106"/>
    </row>
    <row r="721">
      <c r="C721" s="79"/>
      <c r="D721" s="79"/>
      <c r="E721" s="79"/>
      <c r="M721" s="79"/>
      <c r="R721" s="79"/>
      <c r="S721" s="79"/>
      <c r="V721" s="79"/>
      <c r="W721" s="79"/>
      <c r="Z721" s="130"/>
      <c r="AB721" s="106"/>
    </row>
    <row r="722">
      <c r="C722" s="79"/>
      <c r="D722" s="79"/>
      <c r="E722" s="79"/>
      <c r="M722" s="79"/>
      <c r="R722" s="79"/>
      <c r="S722" s="79"/>
      <c r="V722" s="79"/>
      <c r="W722" s="79"/>
      <c r="Z722" s="130"/>
      <c r="AB722" s="106"/>
    </row>
    <row r="723">
      <c r="C723" s="79"/>
      <c r="D723" s="79"/>
      <c r="E723" s="79"/>
      <c r="M723" s="79"/>
      <c r="R723" s="79"/>
      <c r="S723" s="79"/>
      <c r="V723" s="79"/>
      <c r="W723" s="79"/>
      <c r="Z723" s="130"/>
      <c r="AB723" s="106"/>
    </row>
    <row r="724">
      <c r="C724" s="79"/>
      <c r="D724" s="79"/>
      <c r="E724" s="79"/>
      <c r="M724" s="79"/>
      <c r="R724" s="79"/>
      <c r="S724" s="79"/>
      <c r="V724" s="79"/>
      <c r="W724" s="79"/>
      <c r="Z724" s="130"/>
      <c r="AB724" s="106"/>
    </row>
    <row r="725">
      <c r="C725" s="79"/>
      <c r="D725" s="79"/>
      <c r="E725" s="79"/>
      <c r="M725" s="79"/>
      <c r="R725" s="79"/>
      <c r="S725" s="79"/>
      <c r="V725" s="79"/>
      <c r="W725" s="79"/>
      <c r="Z725" s="130"/>
      <c r="AB725" s="106"/>
    </row>
    <row r="726">
      <c r="C726" s="79"/>
      <c r="D726" s="79"/>
      <c r="E726" s="79"/>
      <c r="M726" s="79"/>
      <c r="R726" s="79"/>
      <c r="S726" s="79"/>
      <c r="V726" s="79"/>
      <c r="W726" s="79"/>
      <c r="Z726" s="130"/>
      <c r="AB726" s="106"/>
    </row>
    <row r="727">
      <c r="C727" s="79"/>
      <c r="D727" s="79"/>
      <c r="E727" s="79"/>
      <c r="M727" s="79"/>
      <c r="R727" s="79"/>
      <c r="S727" s="79"/>
      <c r="V727" s="79"/>
      <c r="W727" s="79"/>
      <c r="Z727" s="130"/>
      <c r="AB727" s="106"/>
    </row>
    <row r="728">
      <c r="C728" s="79"/>
      <c r="D728" s="79"/>
      <c r="E728" s="79"/>
      <c r="M728" s="79"/>
      <c r="R728" s="79"/>
      <c r="S728" s="79"/>
      <c r="V728" s="79"/>
      <c r="W728" s="79"/>
      <c r="Z728" s="130"/>
      <c r="AB728" s="106"/>
    </row>
    <row r="729">
      <c r="C729" s="79"/>
      <c r="D729" s="79"/>
      <c r="E729" s="79"/>
      <c r="M729" s="79"/>
      <c r="R729" s="79"/>
      <c r="S729" s="79"/>
      <c r="V729" s="79"/>
      <c r="W729" s="79"/>
      <c r="Z729" s="130"/>
      <c r="AB729" s="106"/>
    </row>
    <row r="730">
      <c r="C730" s="79"/>
      <c r="D730" s="79"/>
      <c r="E730" s="79"/>
      <c r="M730" s="79"/>
      <c r="R730" s="79"/>
      <c r="S730" s="79"/>
      <c r="V730" s="79"/>
      <c r="W730" s="79"/>
      <c r="Z730" s="130"/>
      <c r="AB730" s="106"/>
    </row>
    <row r="731">
      <c r="C731" s="79"/>
      <c r="D731" s="79"/>
      <c r="E731" s="79"/>
      <c r="M731" s="79"/>
      <c r="R731" s="79"/>
      <c r="S731" s="79"/>
      <c r="V731" s="79"/>
      <c r="W731" s="79"/>
      <c r="Z731" s="130"/>
      <c r="AB731" s="106"/>
    </row>
    <row r="732">
      <c r="C732" s="79"/>
      <c r="D732" s="79"/>
      <c r="E732" s="79"/>
      <c r="M732" s="79"/>
      <c r="R732" s="79"/>
      <c r="S732" s="79"/>
      <c r="V732" s="79"/>
      <c r="W732" s="79"/>
      <c r="Z732" s="130"/>
      <c r="AB732" s="106"/>
    </row>
    <row r="733">
      <c r="C733" s="79"/>
      <c r="D733" s="79"/>
      <c r="E733" s="79"/>
      <c r="M733" s="79"/>
      <c r="R733" s="79"/>
      <c r="S733" s="79"/>
      <c r="V733" s="79"/>
      <c r="W733" s="79"/>
      <c r="Z733" s="130"/>
      <c r="AB733" s="106"/>
    </row>
    <row r="734">
      <c r="C734" s="79"/>
      <c r="D734" s="79"/>
      <c r="E734" s="79"/>
      <c r="M734" s="79"/>
      <c r="R734" s="79"/>
      <c r="S734" s="79"/>
      <c r="V734" s="79"/>
      <c r="W734" s="79"/>
      <c r="Z734" s="130"/>
      <c r="AB734" s="106"/>
    </row>
    <row r="735">
      <c r="C735" s="79"/>
      <c r="D735" s="79"/>
      <c r="E735" s="79"/>
      <c r="M735" s="79"/>
      <c r="R735" s="79"/>
      <c r="S735" s="79"/>
      <c r="V735" s="79"/>
      <c r="W735" s="79"/>
      <c r="Z735" s="130"/>
      <c r="AB735" s="106"/>
    </row>
    <row r="736">
      <c r="C736" s="79"/>
      <c r="D736" s="79"/>
      <c r="E736" s="79"/>
      <c r="M736" s="79"/>
      <c r="R736" s="79"/>
      <c r="S736" s="79"/>
      <c r="V736" s="79"/>
      <c r="W736" s="79"/>
      <c r="Z736" s="130"/>
      <c r="AB736" s="106"/>
    </row>
    <row r="737">
      <c r="C737" s="79"/>
      <c r="D737" s="79"/>
      <c r="E737" s="79"/>
      <c r="M737" s="79"/>
      <c r="R737" s="79"/>
      <c r="S737" s="79"/>
      <c r="V737" s="79"/>
      <c r="W737" s="79"/>
      <c r="Z737" s="130"/>
      <c r="AB737" s="106"/>
    </row>
    <row r="738">
      <c r="C738" s="79"/>
      <c r="D738" s="79"/>
      <c r="E738" s="79"/>
      <c r="M738" s="79"/>
      <c r="R738" s="79"/>
      <c r="S738" s="79"/>
      <c r="V738" s="79"/>
      <c r="W738" s="79"/>
      <c r="Z738" s="130"/>
      <c r="AB738" s="106"/>
    </row>
    <row r="739">
      <c r="C739" s="79"/>
      <c r="D739" s="79"/>
      <c r="E739" s="79"/>
      <c r="M739" s="79"/>
      <c r="R739" s="79"/>
      <c r="S739" s="79"/>
      <c r="V739" s="79"/>
      <c r="W739" s="79"/>
      <c r="Z739" s="130"/>
      <c r="AB739" s="106"/>
    </row>
    <row r="740">
      <c r="C740" s="79"/>
      <c r="D740" s="79"/>
      <c r="E740" s="79"/>
      <c r="M740" s="79"/>
      <c r="R740" s="79"/>
      <c r="S740" s="79"/>
      <c r="V740" s="79"/>
      <c r="W740" s="79"/>
      <c r="Z740" s="130"/>
      <c r="AB740" s="106"/>
    </row>
    <row r="741">
      <c r="C741" s="79"/>
      <c r="D741" s="79"/>
      <c r="E741" s="79"/>
      <c r="M741" s="79"/>
      <c r="R741" s="79"/>
      <c r="S741" s="79"/>
      <c r="V741" s="79"/>
      <c r="W741" s="79"/>
      <c r="Z741" s="130"/>
      <c r="AB741" s="106"/>
    </row>
    <row r="742">
      <c r="C742" s="79"/>
      <c r="D742" s="79"/>
      <c r="E742" s="79"/>
      <c r="M742" s="79"/>
      <c r="R742" s="79"/>
      <c r="S742" s="79"/>
      <c r="V742" s="79"/>
      <c r="W742" s="79"/>
      <c r="Z742" s="130"/>
      <c r="AB742" s="106"/>
    </row>
    <row r="743">
      <c r="C743" s="79"/>
      <c r="D743" s="79"/>
      <c r="E743" s="79"/>
      <c r="M743" s="79"/>
      <c r="R743" s="79"/>
      <c r="S743" s="79"/>
      <c r="V743" s="79"/>
      <c r="W743" s="79"/>
      <c r="Z743" s="130"/>
      <c r="AB743" s="106"/>
    </row>
    <row r="744">
      <c r="C744" s="79"/>
      <c r="D744" s="79"/>
      <c r="E744" s="79"/>
      <c r="M744" s="79"/>
      <c r="R744" s="79"/>
      <c r="S744" s="79"/>
      <c r="V744" s="79"/>
      <c r="W744" s="79"/>
      <c r="Z744" s="130"/>
      <c r="AB744" s="106"/>
    </row>
    <row r="745">
      <c r="C745" s="79"/>
      <c r="D745" s="79"/>
      <c r="E745" s="79"/>
      <c r="M745" s="79"/>
      <c r="R745" s="79"/>
      <c r="S745" s="79"/>
      <c r="V745" s="79"/>
      <c r="W745" s="79"/>
      <c r="Z745" s="130"/>
      <c r="AB745" s="106"/>
    </row>
    <row r="746">
      <c r="C746" s="79"/>
      <c r="D746" s="79"/>
      <c r="E746" s="79"/>
      <c r="M746" s="79"/>
      <c r="R746" s="79"/>
      <c r="S746" s="79"/>
      <c r="V746" s="79"/>
      <c r="W746" s="79"/>
      <c r="Z746" s="130"/>
      <c r="AB746" s="106"/>
    </row>
    <row r="747">
      <c r="C747" s="79"/>
      <c r="D747" s="79"/>
      <c r="E747" s="79"/>
      <c r="M747" s="79"/>
      <c r="R747" s="79"/>
      <c r="S747" s="79"/>
      <c r="V747" s="79"/>
      <c r="W747" s="79"/>
      <c r="Z747" s="130"/>
      <c r="AB747" s="106"/>
    </row>
    <row r="748">
      <c r="C748" s="79"/>
      <c r="D748" s="79"/>
      <c r="E748" s="79"/>
      <c r="M748" s="79"/>
      <c r="R748" s="79"/>
      <c r="S748" s="79"/>
      <c r="V748" s="79"/>
      <c r="W748" s="79"/>
      <c r="Z748" s="130"/>
      <c r="AB748" s="106"/>
    </row>
    <row r="749">
      <c r="C749" s="79"/>
      <c r="D749" s="79"/>
      <c r="E749" s="79"/>
      <c r="M749" s="79"/>
      <c r="R749" s="79"/>
      <c r="S749" s="79"/>
      <c r="V749" s="79"/>
      <c r="W749" s="79"/>
      <c r="Z749" s="130"/>
      <c r="AB749" s="106"/>
    </row>
    <row r="750">
      <c r="C750" s="79"/>
      <c r="D750" s="79"/>
      <c r="E750" s="79"/>
      <c r="M750" s="79"/>
      <c r="R750" s="79"/>
      <c r="S750" s="79"/>
      <c r="V750" s="79"/>
      <c r="W750" s="79"/>
      <c r="Z750" s="130"/>
      <c r="AB750" s="106"/>
    </row>
    <row r="751">
      <c r="C751" s="79"/>
      <c r="D751" s="79"/>
      <c r="E751" s="79"/>
      <c r="M751" s="79"/>
      <c r="R751" s="79"/>
      <c r="S751" s="79"/>
      <c r="V751" s="79"/>
      <c r="W751" s="79"/>
      <c r="Z751" s="130"/>
      <c r="AB751" s="106"/>
    </row>
    <row r="752">
      <c r="C752" s="79"/>
      <c r="D752" s="79"/>
      <c r="E752" s="79"/>
      <c r="M752" s="79"/>
      <c r="R752" s="79"/>
      <c r="S752" s="79"/>
      <c r="V752" s="79"/>
      <c r="W752" s="79"/>
      <c r="Z752" s="130"/>
      <c r="AB752" s="106"/>
    </row>
    <row r="753">
      <c r="C753" s="79"/>
      <c r="D753" s="79"/>
      <c r="E753" s="79"/>
      <c r="M753" s="79"/>
      <c r="R753" s="79"/>
      <c r="S753" s="79"/>
      <c r="V753" s="79"/>
      <c r="W753" s="79"/>
      <c r="Z753" s="130"/>
      <c r="AB753" s="106"/>
    </row>
    <row r="754">
      <c r="C754" s="79"/>
      <c r="D754" s="79"/>
      <c r="E754" s="79"/>
      <c r="M754" s="79"/>
      <c r="R754" s="79"/>
      <c r="S754" s="79"/>
      <c r="V754" s="79"/>
      <c r="W754" s="79"/>
      <c r="Z754" s="130"/>
      <c r="AB754" s="106"/>
    </row>
    <row r="755">
      <c r="C755" s="79"/>
      <c r="D755" s="79"/>
      <c r="E755" s="79"/>
      <c r="M755" s="79"/>
      <c r="R755" s="79"/>
      <c r="S755" s="79"/>
      <c r="V755" s="79"/>
      <c r="W755" s="79"/>
      <c r="Z755" s="130"/>
      <c r="AB755" s="106"/>
    </row>
    <row r="756">
      <c r="C756" s="79"/>
      <c r="D756" s="79"/>
      <c r="E756" s="79"/>
      <c r="M756" s="79"/>
      <c r="R756" s="79"/>
      <c r="S756" s="79"/>
      <c r="V756" s="79"/>
      <c r="W756" s="79"/>
      <c r="Z756" s="130"/>
      <c r="AB756" s="106"/>
    </row>
    <row r="757">
      <c r="C757" s="79"/>
      <c r="D757" s="79"/>
      <c r="E757" s="79"/>
      <c r="M757" s="79"/>
      <c r="R757" s="79"/>
      <c r="S757" s="79"/>
      <c r="V757" s="79"/>
      <c r="W757" s="79"/>
      <c r="Z757" s="130"/>
      <c r="AB757" s="106"/>
    </row>
    <row r="758">
      <c r="C758" s="79"/>
      <c r="D758" s="79"/>
      <c r="E758" s="79"/>
      <c r="M758" s="79"/>
      <c r="R758" s="79"/>
      <c r="S758" s="79"/>
      <c r="V758" s="79"/>
      <c r="W758" s="79"/>
      <c r="Z758" s="130"/>
      <c r="AB758" s="106"/>
    </row>
    <row r="759">
      <c r="C759" s="79"/>
      <c r="D759" s="79"/>
      <c r="E759" s="79"/>
      <c r="M759" s="79"/>
      <c r="R759" s="79"/>
      <c r="S759" s="79"/>
      <c r="V759" s="79"/>
      <c r="W759" s="79"/>
      <c r="Z759" s="130"/>
      <c r="AB759" s="106"/>
    </row>
    <row r="760">
      <c r="C760" s="79"/>
      <c r="D760" s="79"/>
      <c r="E760" s="79"/>
      <c r="M760" s="79"/>
      <c r="R760" s="79"/>
      <c r="S760" s="79"/>
      <c r="V760" s="79"/>
      <c r="W760" s="79"/>
      <c r="Z760" s="130"/>
      <c r="AB760" s="106"/>
    </row>
    <row r="761">
      <c r="C761" s="79"/>
      <c r="D761" s="79"/>
      <c r="E761" s="79"/>
      <c r="M761" s="79"/>
      <c r="R761" s="79"/>
      <c r="S761" s="79"/>
      <c r="V761" s="79"/>
      <c r="W761" s="79"/>
      <c r="Z761" s="130"/>
      <c r="AB761" s="106"/>
    </row>
    <row r="762">
      <c r="C762" s="79"/>
      <c r="D762" s="79"/>
      <c r="E762" s="79"/>
      <c r="M762" s="79"/>
      <c r="R762" s="79"/>
      <c r="S762" s="79"/>
      <c r="V762" s="79"/>
      <c r="W762" s="79"/>
      <c r="Z762" s="130"/>
      <c r="AB762" s="106"/>
    </row>
    <row r="763">
      <c r="C763" s="79"/>
      <c r="D763" s="79"/>
      <c r="E763" s="79"/>
      <c r="M763" s="79"/>
      <c r="R763" s="79"/>
      <c r="S763" s="79"/>
      <c r="V763" s="79"/>
      <c r="W763" s="79"/>
      <c r="Z763" s="130"/>
      <c r="AB763" s="106"/>
    </row>
    <row r="764">
      <c r="C764" s="79"/>
      <c r="D764" s="79"/>
      <c r="E764" s="79"/>
      <c r="M764" s="79"/>
      <c r="R764" s="79"/>
      <c r="S764" s="79"/>
      <c r="V764" s="79"/>
      <c r="W764" s="79"/>
      <c r="Z764" s="130"/>
      <c r="AB764" s="106"/>
    </row>
    <row r="765">
      <c r="C765" s="79"/>
      <c r="D765" s="79"/>
      <c r="E765" s="79"/>
      <c r="M765" s="79"/>
      <c r="R765" s="79"/>
      <c r="S765" s="79"/>
      <c r="V765" s="79"/>
      <c r="W765" s="79"/>
      <c r="Z765" s="130"/>
      <c r="AB765" s="106"/>
    </row>
    <row r="766">
      <c r="C766" s="79"/>
      <c r="D766" s="79"/>
      <c r="E766" s="79"/>
      <c r="M766" s="79"/>
      <c r="R766" s="79"/>
      <c r="S766" s="79"/>
      <c r="V766" s="79"/>
      <c r="W766" s="79"/>
      <c r="Z766" s="130"/>
      <c r="AB766" s="106"/>
    </row>
    <row r="767">
      <c r="C767" s="79"/>
      <c r="D767" s="79"/>
      <c r="E767" s="79"/>
      <c r="M767" s="79"/>
      <c r="R767" s="79"/>
      <c r="S767" s="79"/>
      <c r="V767" s="79"/>
      <c r="W767" s="79"/>
      <c r="Z767" s="130"/>
      <c r="AB767" s="106"/>
    </row>
    <row r="768">
      <c r="C768" s="79"/>
      <c r="D768" s="79"/>
      <c r="E768" s="79"/>
      <c r="M768" s="79"/>
      <c r="R768" s="79"/>
      <c r="S768" s="79"/>
      <c r="V768" s="79"/>
      <c r="W768" s="79"/>
      <c r="Z768" s="130"/>
      <c r="AB768" s="106"/>
    </row>
    <row r="769">
      <c r="C769" s="79"/>
      <c r="D769" s="79"/>
      <c r="E769" s="79"/>
      <c r="M769" s="79"/>
      <c r="R769" s="79"/>
      <c r="S769" s="79"/>
      <c r="V769" s="79"/>
      <c r="W769" s="79"/>
      <c r="Z769" s="130"/>
      <c r="AB769" s="106"/>
    </row>
    <row r="770">
      <c r="C770" s="79"/>
      <c r="D770" s="79"/>
      <c r="E770" s="79"/>
      <c r="M770" s="79"/>
      <c r="R770" s="79"/>
      <c r="S770" s="79"/>
      <c r="V770" s="79"/>
      <c r="W770" s="79"/>
      <c r="Z770" s="130"/>
      <c r="AB770" s="106"/>
    </row>
    <row r="771">
      <c r="C771" s="79"/>
      <c r="D771" s="79"/>
      <c r="E771" s="79"/>
      <c r="M771" s="79"/>
      <c r="R771" s="79"/>
      <c r="S771" s="79"/>
      <c r="V771" s="79"/>
      <c r="W771" s="79"/>
      <c r="Z771" s="130"/>
      <c r="AB771" s="106"/>
    </row>
    <row r="772">
      <c r="C772" s="79"/>
      <c r="D772" s="79"/>
      <c r="E772" s="79"/>
      <c r="M772" s="79"/>
      <c r="R772" s="79"/>
      <c r="S772" s="79"/>
      <c r="V772" s="79"/>
      <c r="W772" s="79"/>
      <c r="Z772" s="130"/>
      <c r="AB772" s="106"/>
    </row>
    <row r="773">
      <c r="C773" s="79"/>
      <c r="D773" s="79"/>
      <c r="E773" s="79"/>
      <c r="M773" s="79"/>
      <c r="R773" s="79"/>
      <c r="S773" s="79"/>
      <c r="V773" s="79"/>
      <c r="W773" s="79"/>
      <c r="Z773" s="130"/>
      <c r="AB773" s="106"/>
    </row>
    <row r="774">
      <c r="C774" s="79"/>
      <c r="D774" s="79"/>
      <c r="E774" s="79"/>
      <c r="M774" s="79"/>
      <c r="R774" s="79"/>
      <c r="S774" s="79"/>
      <c r="V774" s="79"/>
      <c r="W774" s="79"/>
      <c r="Z774" s="130"/>
      <c r="AB774" s="106"/>
    </row>
    <row r="775">
      <c r="C775" s="79"/>
      <c r="D775" s="79"/>
      <c r="E775" s="79"/>
      <c r="M775" s="79"/>
      <c r="R775" s="79"/>
      <c r="S775" s="79"/>
      <c r="V775" s="79"/>
      <c r="W775" s="79"/>
      <c r="Z775" s="130"/>
      <c r="AB775" s="106"/>
    </row>
    <row r="776">
      <c r="C776" s="79"/>
      <c r="D776" s="79"/>
      <c r="E776" s="79"/>
      <c r="M776" s="79"/>
      <c r="R776" s="79"/>
      <c r="S776" s="79"/>
      <c r="V776" s="79"/>
      <c r="W776" s="79"/>
      <c r="Z776" s="130"/>
      <c r="AB776" s="106"/>
    </row>
    <row r="777">
      <c r="C777" s="79"/>
      <c r="D777" s="79"/>
      <c r="E777" s="79"/>
      <c r="M777" s="79"/>
      <c r="R777" s="79"/>
      <c r="S777" s="79"/>
      <c r="V777" s="79"/>
      <c r="W777" s="79"/>
      <c r="Z777" s="130"/>
      <c r="AB777" s="106"/>
    </row>
    <row r="778">
      <c r="C778" s="79"/>
      <c r="D778" s="79"/>
      <c r="E778" s="79"/>
      <c r="M778" s="79"/>
      <c r="R778" s="79"/>
      <c r="S778" s="79"/>
      <c r="V778" s="79"/>
      <c r="W778" s="79"/>
      <c r="Z778" s="130"/>
      <c r="AB778" s="106"/>
    </row>
    <row r="779">
      <c r="C779" s="79"/>
      <c r="D779" s="79"/>
      <c r="E779" s="79"/>
      <c r="M779" s="79"/>
      <c r="R779" s="79"/>
      <c r="S779" s="79"/>
      <c r="V779" s="79"/>
      <c r="W779" s="79"/>
      <c r="Z779" s="130"/>
      <c r="AB779" s="106"/>
    </row>
    <row r="780">
      <c r="C780" s="79"/>
      <c r="D780" s="79"/>
      <c r="E780" s="79"/>
      <c r="M780" s="79"/>
      <c r="R780" s="79"/>
      <c r="S780" s="79"/>
      <c r="V780" s="79"/>
      <c r="W780" s="79"/>
      <c r="Z780" s="130"/>
      <c r="AB780" s="106"/>
    </row>
    <row r="781">
      <c r="C781" s="79"/>
      <c r="D781" s="79"/>
      <c r="E781" s="79"/>
      <c r="M781" s="79"/>
      <c r="R781" s="79"/>
      <c r="S781" s="79"/>
      <c r="V781" s="79"/>
      <c r="W781" s="79"/>
      <c r="Z781" s="130"/>
      <c r="AB781" s="106"/>
    </row>
    <row r="782">
      <c r="C782" s="79"/>
      <c r="D782" s="79"/>
      <c r="E782" s="79"/>
      <c r="M782" s="79"/>
      <c r="R782" s="79"/>
      <c r="S782" s="79"/>
      <c r="V782" s="79"/>
      <c r="W782" s="79"/>
      <c r="Z782" s="130"/>
      <c r="AB782" s="106"/>
    </row>
    <row r="783">
      <c r="C783" s="79"/>
      <c r="D783" s="79"/>
      <c r="E783" s="79"/>
      <c r="M783" s="79"/>
      <c r="R783" s="79"/>
      <c r="S783" s="79"/>
      <c r="V783" s="79"/>
      <c r="W783" s="79"/>
      <c r="Z783" s="130"/>
      <c r="AB783" s="106"/>
    </row>
    <row r="784">
      <c r="C784" s="79"/>
      <c r="D784" s="79"/>
      <c r="E784" s="79"/>
      <c r="M784" s="79"/>
      <c r="R784" s="79"/>
      <c r="S784" s="79"/>
      <c r="V784" s="79"/>
      <c r="W784" s="79"/>
      <c r="Z784" s="130"/>
      <c r="AB784" s="106"/>
    </row>
    <row r="785">
      <c r="C785" s="79"/>
      <c r="D785" s="79"/>
      <c r="E785" s="79"/>
      <c r="M785" s="79"/>
      <c r="R785" s="79"/>
      <c r="S785" s="79"/>
      <c r="V785" s="79"/>
      <c r="W785" s="79"/>
      <c r="Z785" s="130"/>
      <c r="AB785" s="106"/>
    </row>
    <row r="786">
      <c r="C786" s="79"/>
      <c r="D786" s="79"/>
      <c r="E786" s="79"/>
      <c r="M786" s="79"/>
      <c r="R786" s="79"/>
      <c r="S786" s="79"/>
      <c r="V786" s="79"/>
      <c r="W786" s="79"/>
      <c r="Z786" s="130"/>
      <c r="AB786" s="106"/>
    </row>
    <row r="787">
      <c r="C787" s="79"/>
      <c r="D787" s="79"/>
      <c r="E787" s="79"/>
      <c r="M787" s="79"/>
      <c r="R787" s="79"/>
      <c r="S787" s="79"/>
      <c r="V787" s="79"/>
      <c r="W787" s="79"/>
      <c r="Z787" s="130"/>
      <c r="AB787" s="106"/>
    </row>
    <row r="788">
      <c r="C788" s="79"/>
      <c r="D788" s="79"/>
      <c r="E788" s="79"/>
      <c r="M788" s="79"/>
      <c r="R788" s="79"/>
      <c r="S788" s="79"/>
      <c r="V788" s="79"/>
      <c r="W788" s="79"/>
      <c r="Z788" s="130"/>
      <c r="AB788" s="106"/>
    </row>
    <row r="789">
      <c r="C789" s="79"/>
      <c r="D789" s="79"/>
      <c r="E789" s="79"/>
      <c r="M789" s="79"/>
      <c r="R789" s="79"/>
      <c r="S789" s="79"/>
      <c r="V789" s="79"/>
      <c r="W789" s="79"/>
      <c r="Z789" s="130"/>
      <c r="AB789" s="106"/>
    </row>
    <row r="790">
      <c r="C790" s="79"/>
      <c r="D790" s="79"/>
      <c r="E790" s="79"/>
      <c r="M790" s="79"/>
      <c r="R790" s="79"/>
      <c r="S790" s="79"/>
      <c r="V790" s="79"/>
      <c r="W790" s="79"/>
      <c r="Z790" s="130"/>
      <c r="AB790" s="106"/>
    </row>
    <row r="791">
      <c r="C791" s="79"/>
      <c r="D791" s="79"/>
      <c r="E791" s="79"/>
      <c r="M791" s="79"/>
      <c r="R791" s="79"/>
      <c r="S791" s="79"/>
      <c r="V791" s="79"/>
      <c r="W791" s="79"/>
      <c r="Z791" s="130"/>
      <c r="AB791" s="106"/>
    </row>
    <row r="792">
      <c r="C792" s="79"/>
      <c r="D792" s="79"/>
      <c r="E792" s="79"/>
      <c r="M792" s="79"/>
      <c r="R792" s="79"/>
      <c r="S792" s="79"/>
      <c r="V792" s="79"/>
      <c r="W792" s="79"/>
      <c r="Z792" s="130"/>
      <c r="AB792" s="106"/>
    </row>
    <row r="793">
      <c r="C793" s="79"/>
      <c r="D793" s="79"/>
      <c r="E793" s="79"/>
      <c r="M793" s="79"/>
      <c r="R793" s="79"/>
      <c r="S793" s="79"/>
      <c r="V793" s="79"/>
      <c r="W793" s="79"/>
      <c r="Z793" s="130"/>
      <c r="AB793" s="106"/>
    </row>
    <row r="794">
      <c r="C794" s="79"/>
      <c r="D794" s="79"/>
      <c r="E794" s="79"/>
      <c r="M794" s="79"/>
      <c r="R794" s="79"/>
      <c r="S794" s="79"/>
      <c r="V794" s="79"/>
      <c r="W794" s="79"/>
      <c r="Z794" s="130"/>
      <c r="AB794" s="106"/>
    </row>
    <row r="795">
      <c r="C795" s="79"/>
      <c r="D795" s="79"/>
      <c r="E795" s="79"/>
      <c r="M795" s="79"/>
      <c r="R795" s="79"/>
      <c r="S795" s="79"/>
      <c r="V795" s="79"/>
      <c r="W795" s="79"/>
      <c r="Z795" s="130"/>
      <c r="AB795" s="106"/>
    </row>
    <row r="796">
      <c r="C796" s="79"/>
      <c r="D796" s="79"/>
      <c r="E796" s="79"/>
      <c r="M796" s="79"/>
      <c r="R796" s="79"/>
      <c r="S796" s="79"/>
      <c r="V796" s="79"/>
      <c r="W796" s="79"/>
      <c r="Z796" s="130"/>
      <c r="AB796" s="106"/>
    </row>
    <row r="797">
      <c r="C797" s="79"/>
      <c r="D797" s="79"/>
      <c r="E797" s="79"/>
      <c r="M797" s="79"/>
      <c r="R797" s="79"/>
      <c r="S797" s="79"/>
      <c r="V797" s="79"/>
      <c r="W797" s="79"/>
      <c r="Z797" s="130"/>
      <c r="AB797" s="106"/>
    </row>
    <row r="798">
      <c r="C798" s="79"/>
      <c r="D798" s="79"/>
      <c r="E798" s="79"/>
      <c r="M798" s="79"/>
      <c r="R798" s="79"/>
      <c r="S798" s="79"/>
      <c r="V798" s="79"/>
      <c r="W798" s="79"/>
      <c r="Z798" s="130"/>
      <c r="AB798" s="106"/>
    </row>
    <row r="799">
      <c r="C799" s="79"/>
      <c r="D799" s="79"/>
      <c r="E799" s="79"/>
      <c r="M799" s="79"/>
      <c r="R799" s="79"/>
      <c r="S799" s="79"/>
      <c r="V799" s="79"/>
      <c r="W799" s="79"/>
      <c r="Z799" s="130"/>
      <c r="AB799" s="106"/>
    </row>
    <row r="800">
      <c r="C800" s="79"/>
      <c r="D800" s="79"/>
      <c r="E800" s="79"/>
      <c r="M800" s="79"/>
      <c r="R800" s="79"/>
      <c r="S800" s="79"/>
      <c r="V800" s="79"/>
      <c r="W800" s="79"/>
      <c r="Z800" s="130"/>
      <c r="AB800" s="106"/>
    </row>
    <row r="801">
      <c r="C801" s="79"/>
      <c r="D801" s="79"/>
      <c r="E801" s="79"/>
      <c r="M801" s="79"/>
      <c r="R801" s="79"/>
      <c r="S801" s="79"/>
      <c r="V801" s="79"/>
      <c r="W801" s="79"/>
      <c r="Z801" s="130"/>
      <c r="AB801" s="106"/>
    </row>
    <row r="802">
      <c r="C802" s="79"/>
      <c r="D802" s="79"/>
      <c r="E802" s="79"/>
      <c r="M802" s="79"/>
      <c r="R802" s="79"/>
      <c r="S802" s="79"/>
      <c r="V802" s="79"/>
      <c r="W802" s="79"/>
      <c r="Z802" s="130"/>
      <c r="AB802" s="106"/>
    </row>
    <row r="803">
      <c r="C803" s="79"/>
      <c r="D803" s="79"/>
      <c r="E803" s="79"/>
      <c r="M803" s="79"/>
      <c r="R803" s="79"/>
      <c r="S803" s="79"/>
      <c r="V803" s="79"/>
      <c r="W803" s="79"/>
      <c r="Z803" s="130"/>
      <c r="AB803" s="106"/>
    </row>
    <row r="804">
      <c r="C804" s="79"/>
      <c r="D804" s="79"/>
      <c r="E804" s="79"/>
      <c r="M804" s="79"/>
      <c r="R804" s="79"/>
      <c r="S804" s="79"/>
      <c r="V804" s="79"/>
      <c r="W804" s="79"/>
      <c r="Z804" s="130"/>
      <c r="AB804" s="106"/>
    </row>
    <row r="805">
      <c r="C805" s="79"/>
      <c r="D805" s="79"/>
      <c r="E805" s="79"/>
      <c r="M805" s="79"/>
      <c r="R805" s="79"/>
      <c r="S805" s="79"/>
      <c r="V805" s="79"/>
      <c r="W805" s="79"/>
      <c r="Z805" s="130"/>
      <c r="AB805" s="106"/>
    </row>
    <row r="806">
      <c r="C806" s="79"/>
      <c r="D806" s="79"/>
      <c r="E806" s="79"/>
      <c r="M806" s="79"/>
      <c r="R806" s="79"/>
      <c r="S806" s="79"/>
      <c r="V806" s="79"/>
      <c r="W806" s="79"/>
      <c r="Z806" s="130"/>
      <c r="AB806" s="106"/>
    </row>
    <row r="807">
      <c r="C807" s="79"/>
      <c r="D807" s="79"/>
      <c r="E807" s="79"/>
      <c r="M807" s="79"/>
      <c r="R807" s="79"/>
      <c r="S807" s="79"/>
      <c r="V807" s="79"/>
      <c r="W807" s="79"/>
      <c r="Z807" s="130"/>
      <c r="AB807" s="106"/>
    </row>
    <row r="808">
      <c r="C808" s="79"/>
      <c r="D808" s="79"/>
      <c r="E808" s="79"/>
      <c r="M808" s="79"/>
      <c r="R808" s="79"/>
      <c r="S808" s="79"/>
      <c r="V808" s="79"/>
      <c r="W808" s="79"/>
      <c r="Z808" s="130"/>
      <c r="AB808" s="106"/>
    </row>
    <row r="809">
      <c r="C809" s="79"/>
      <c r="D809" s="79"/>
      <c r="E809" s="79"/>
      <c r="M809" s="79"/>
      <c r="R809" s="79"/>
      <c r="S809" s="79"/>
      <c r="V809" s="79"/>
      <c r="W809" s="79"/>
      <c r="Z809" s="130"/>
      <c r="AB809" s="106"/>
    </row>
    <row r="810">
      <c r="C810" s="79"/>
      <c r="D810" s="79"/>
      <c r="E810" s="79"/>
      <c r="M810" s="79"/>
      <c r="R810" s="79"/>
      <c r="S810" s="79"/>
      <c r="V810" s="79"/>
      <c r="W810" s="79"/>
      <c r="Z810" s="130"/>
      <c r="AB810" s="106"/>
    </row>
    <row r="811">
      <c r="C811" s="79"/>
      <c r="D811" s="79"/>
      <c r="E811" s="79"/>
      <c r="M811" s="79"/>
      <c r="R811" s="79"/>
      <c r="S811" s="79"/>
      <c r="V811" s="79"/>
      <c r="W811" s="79"/>
      <c r="Z811" s="130"/>
      <c r="AB811" s="106"/>
    </row>
    <row r="812">
      <c r="C812" s="79"/>
      <c r="D812" s="79"/>
      <c r="E812" s="79"/>
      <c r="M812" s="79"/>
      <c r="R812" s="79"/>
      <c r="S812" s="79"/>
      <c r="V812" s="79"/>
      <c r="W812" s="79"/>
      <c r="Z812" s="130"/>
      <c r="AB812" s="106"/>
    </row>
    <row r="813">
      <c r="C813" s="79"/>
      <c r="D813" s="79"/>
      <c r="E813" s="79"/>
      <c r="M813" s="79"/>
      <c r="R813" s="79"/>
      <c r="S813" s="79"/>
      <c r="V813" s="79"/>
      <c r="W813" s="79"/>
      <c r="Z813" s="130"/>
      <c r="AB813" s="106"/>
    </row>
    <row r="814">
      <c r="C814" s="79"/>
      <c r="D814" s="79"/>
      <c r="E814" s="79"/>
      <c r="M814" s="79"/>
      <c r="R814" s="79"/>
      <c r="S814" s="79"/>
      <c r="V814" s="79"/>
      <c r="W814" s="79"/>
      <c r="Z814" s="130"/>
      <c r="AB814" s="106"/>
    </row>
    <row r="815">
      <c r="C815" s="79"/>
      <c r="D815" s="79"/>
      <c r="E815" s="79"/>
      <c r="M815" s="79"/>
      <c r="R815" s="79"/>
      <c r="S815" s="79"/>
      <c r="V815" s="79"/>
      <c r="W815" s="79"/>
      <c r="Z815" s="130"/>
      <c r="AB815" s="106"/>
    </row>
    <row r="816">
      <c r="C816" s="79"/>
      <c r="D816" s="79"/>
      <c r="E816" s="79"/>
      <c r="M816" s="79"/>
      <c r="R816" s="79"/>
      <c r="S816" s="79"/>
      <c r="V816" s="79"/>
      <c r="W816" s="79"/>
      <c r="Z816" s="130"/>
      <c r="AB816" s="106"/>
    </row>
    <row r="817">
      <c r="C817" s="79"/>
      <c r="D817" s="79"/>
      <c r="E817" s="79"/>
      <c r="M817" s="79"/>
      <c r="R817" s="79"/>
      <c r="S817" s="79"/>
      <c r="V817" s="79"/>
      <c r="W817" s="79"/>
      <c r="Z817" s="130"/>
      <c r="AB817" s="106"/>
    </row>
    <row r="818">
      <c r="C818" s="79"/>
      <c r="D818" s="79"/>
      <c r="E818" s="79"/>
      <c r="M818" s="79"/>
      <c r="R818" s="79"/>
      <c r="S818" s="79"/>
      <c r="V818" s="79"/>
      <c r="W818" s="79"/>
      <c r="Z818" s="130"/>
      <c r="AB818" s="106"/>
    </row>
    <row r="819">
      <c r="C819" s="79"/>
      <c r="D819" s="79"/>
      <c r="E819" s="79"/>
      <c r="M819" s="79"/>
      <c r="R819" s="79"/>
      <c r="S819" s="79"/>
      <c r="V819" s="79"/>
      <c r="W819" s="79"/>
      <c r="Z819" s="130"/>
      <c r="AB819" s="106"/>
    </row>
    <row r="820">
      <c r="C820" s="79"/>
      <c r="D820" s="79"/>
      <c r="E820" s="79"/>
      <c r="M820" s="79"/>
      <c r="R820" s="79"/>
      <c r="S820" s="79"/>
      <c r="V820" s="79"/>
      <c r="W820" s="79"/>
      <c r="Z820" s="130"/>
      <c r="AB820" s="106"/>
    </row>
    <row r="821">
      <c r="C821" s="79"/>
      <c r="D821" s="79"/>
      <c r="E821" s="79"/>
      <c r="M821" s="79"/>
      <c r="R821" s="79"/>
      <c r="S821" s="79"/>
      <c r="V821" s="79"/>
      <c r="W821" s="79"/>
      <c r="Z821" s="130"/>
      <c r="AB821" s="106"/>
    </row>
    <row r="822">
      <c r="C822" s="79"/>
      <c r="D822" s="79"/>
      <c r="E822" s="79"/>
      <c r="M822" s="79"/>
      <c r="R822" s="79"/>
      <c r="S822" s="79"/>
      <c r="V822" s="79"/>
      <c r="W822" s="79"/>
      <c r="Z822" s="130"/>
      <c r="AB822" s="106"/>
    </row>
    <row r="823">
      <c r="C823" s="79"/>
      <c r="D823" s="79"/>
      <c r="E823" s="79"/>
      <c r="M823" s="79"/>
      <c r="R823" s="79"/>
      <c r="S823" s="79"/>
      <c r="V823" s="79"/>
      <c r="W823" s="79"/>
      <c r="Z823" s="130"/>
      <c r="AB823" s="106"/>
    </row>
    <row r="824">
      <c r="C824" s="79"/>
      <c r="D824" s="79"/>
      <c r="E824" s="79"/>
      <c r="M824" s="79"/>
      <c r="R824" s="79"/>
      <c r="S824" s="79"/>
      <c r="V824" s="79"/>
      <c r="W824" s="79"/>
      <c r="Z824" s="130"/>
      <c r="AB824" s="106"/>
    </row>
    <row r="825">
      <c r="C825" s="79"/>
      <c r="D825" s="79"/>
      <c r="E825" s="79"/>
      <c r="M825" s="79"/>
      <c r="R825" s="79"/>
      <c r="S825" s="79"/>
      <c r="V825" s="79"/>
      <c r="W825" s="79"/>
      <c r="Z825" s="130"/>
      <c r="AB825" s="106"/>
    </row>
    <row r="826">
      <c r="C826" s="79"/>
      <c r="D826" s="79"/>
      <c r="E826" s="79"/>
      <c r="M826" s="79"/>
      <c r="R826" s="79"/>
      <c r="S826" s="79"/>
      <c r="V826" s="79"/>
      <c r="W826" s="79"/>
      <c r="Z826" s="130"/>
      <c r="AB826" s="106"/>
    </row>
    <row r="827">
      <c r="C827" s="79"/>
      <c r="D827" s="79"/>
      <c r="E827" s="79"/>
      <c r="M827" s="79"/>
      <c r="R827" s="79"/>
      <c r="S827" s="79"/>
      <c r="V827" s="79"/>
      <c r="W827" s="79"/>
      <c r="Z827" s="130"/>
      <c r="AB827" s="106"/>
    </row>
    <row r="828">
      <c r="C828" s="79"/>
      <c r="D828" s="79"/>
      <c r="E828" s="79"/>
      <c r="M828" s="79"/>
      <c r="R828" s="79"/>
      <c r="S828" s="79"/>
      <c r="V828" s="79"/>
      <c r="W828" s="79"/>
      <c r="Z828" s="130"/>
      <c r="AB828" s="106"/>
    </row>
    <row r="829">
      <c r="C829" s="79"/>
      <c r="D829" s="79"/>
      <c r="E829" s="79"/>
      <c r="M829" s="79"/>
      <c r="R829" s="79"/>
      <c r="S829" s="79"/>
      <c r="V829" s="79"/>
      <c r="W829" s="79"/>
      <c r="Z829" s="130"/>
      <c r="AB829" s="106"/>
    </row>
    <row r="830">
      <c r="C830" s="79"/>
      <c r="D830" s="79"/>
      <c r="E830" s="79"/>
      <c r="M830" s="79"/>
      <c r="R830" s="79"/>
      <c r="S830" s="79"/>
      <c r="V830" s="79"/>
      <c r="W830" s="79"/>
      <c r="Z830" s="130"/>
      <c r="AB830" s="106"/>
    </row>
    <row r="831">
      <c r="C831" s="79"/>
      <c r="D831" s="79"/>
      <c r="E831" s="79"/>
      <c r="M831" s="79"/>
      <c r="R831" s="79"/>
      <c r="S831" s="79"/>
      <c r="V831" s="79"/>
      <c r="W831" s="79"/>
      <c r="Z831" s="130"/>
      <c r="AB831" s="106"/>
    </row>
    <row r="832">
      <c r="C832" s="79"/>
      <c r="D832" s="79"/>
      <c r="E832" s="79"/>
      <c r="M832" s="79"/>
      <c r="R832" s="79"/>
      <c r="S832" s="79"/>
      <c r="V832" s="79"/>
      <c r="W832" s="79"/>
      <c r="Z832" s="130"/>
      <c r="AB832" s="106"/>
    </row>
    <row r="833">
      <c r="C833" s="79"/>
      <c r="D833" s="79"/>
      <c r="E833" s="79"/>
      <c r="M833" s="79"/>
      <c r="R833" s="79"/>
      <c r="S833" s="79"/>
      <c r="V833" s="79"/>
      <c r="W833" s="79"/>
      <c r="Z833" s="130"/>
      <c r="AB833" s="106"/>
    </row>
    <row r="834">
      <c r="C834" s="79"/>
      <c r="D834" s="79"/>
      <c r="E834" s="79"/>
      <c r="M834" s="79"/>
      <c r="R834" s="79"/>
      <c r="S834" s="79"/>
      <c r="V834" s="79"/>
      <c r="W834" s="79"/>
      <c r="Z834" s="130"/>
      <c r="AB834" s="106"/>
    </row>
    <row r="835">
      <c r="C835" s="79"/>
      <c r="D835" s="79"/>
      <c r="E835" s="79"/>
      <c r="M835" s="79"/>
      <c r="R835" s="79"/>
      <c r="S835" s="79"/>
      <c r="V835" s="79"/>
      <c r="W835" s="79"/>
      <c r="Z835" s="130"/>
      <c r="AB835" s="106"/>
    </row>
    <row r="836">
      <c r="C836" s="79"/>
      <c r="D836" s="79"/>
      <c r="E836" s="79"/>
      <c r="M836" s="79"/>
      <c r="R836" s="79"/>
      <c r="S836" s="79"/>
      <c r="V836" s="79"/>
      <c r="W836" s="79"/>
      <c r="Z836" s="130"/>
      <c r="AB836" s="106"/>
    </row>
    <row r="837">
      <c r="C837" s="79"/>
      <c r="D837" s="79"/>
      <c r="E837" s="79"/>
      <c r="M837" s="79"/>
      <c r="R837" s="79"/>
      <c r="S837" s="79"/>
      <c r="V837" s="79"/>
      <c r="W837" s="79"/>
      <c r="Z837" s="130"/>
      <c r="AB837" s="106"/>
    </row>
    <row r="838">
      <c r="C838" s="79"/>
      <c r="D838" s="79"/>
      <c r="E838" s="79"/>
      <c r="M838" s="79"/>
      <c r="R838" s="79"/>
      <c r="S838" s="79"/>
      <c r="V838" s="79"/>
      <c r="W838" s="79"/>
      <c r="Z838" s="130"/>
      <c r="AB838" s="106"/>
    </row>
    <row r="839">
      <c r="C839" s="79"/>
      <c r="D839" s="79"/>
      <c r="E839" s="79"/>
      <c r="M839" s="79"/>
      <c r="R839" s="79"/>
      <c r="S839" s="79"/>
      <c r="V839" s="79"/>
      <c r="W839" s="79"/>
      <c r="Z839" s="130"/>
      <c r="AB839" s="106"/>
    </row>
    <row r="840">
      <c r="C840" s="79"/>
      <c r="D840" s="79"/>
      <c r="E840" s="79"/>
      <c r="M840" s="79"/>
      <c r="R840" s="79"/>
      <c r="S840" s="79"/>
      <c r="V840" s="79"/>
      <c r="W840" s="79"/>
      <c r="Z840" s="130"/>
      <c r="AB840" s="106"/>
    </row>
    <row r="841">
      <c r="C841" s="79"/>
      <c r="D841" s="79"/>
      <c r="E841" s="79"/>
      <c r="M841" s="79"/>
      <c r="R841" s="79"/>
      <c r="S841" s="79"/>
      <c r="V841" s="79"/>
      <c r="W841" s="79"/>
      <c r="Z841" s="130"/>
      <c r="AB841" s="106"/>
    </row>
    <row r="842">
      <c r="C842" s="79"/>
      <c r="D842" s="79"/>
      <c r="E842" s="79"/>
      <c r="M842" s="79"/>
      <c r="R842" s="79"/>
      <c r="S842" s="79"/>
      <c r="V842" s="79"/>
      <c r="W842" s="79"/>
      <c r="Z842" s="130"/>
      <c r="AB842" s="106"/>
    </row>
    <row r="843">
      <c r="C843" s="79"/>
      <c r="D843" s="79"/>
      <c r="E843" s="79"/>
      <c r="M843" s="79"/>
      <c r="R843" s="79"/>
      <c r="S843" s="79"/>
      <c r="V843" s="79"/>
      <c r="W843" s="79"/>
      <c r="Z843" s="130"/>
      <c r="AB843" s="106"/>
    </row>
    <row r="844">
      <c r="C844" s="79"/>
      <c r="D844" s="79"/>
      <c r="E844" s="79"/>
      <c r="M844" s="79"/>
      <c r="R844" s="79"/>
      <c r="S844" s="79"/>
      <c r="V844" s="79"/>
      <c r="W844" s="79"/>
      <c r="Z844" s="130"/>
      <c r="AB844" s="106"/>
    </row>
    <row r="845">
      <c r="C845" s="79"/>
      <c r="D845" s="79"/>
      <c r="E845" s="79"/>
      <c r="M845" s="79"/>
      <c r="R845" s="79"/>
      <c r="S845" s="79"/>
      <c r="V845" s="79"/>
      <c r="W845" s="79"/>
      <c r="Z845" s="130"/>
      <c r="AB845" s="106"/>
    </row>
    <row r="846">
      <c r="C846" s="79"/>
      <c r="D846" s="79"/>
      <c r="E846" s="79"/>
      <c r="M846" s="79"/>
      <c r="R846" s="79"/>
      <c r="S846" s="79"/>
      <c r="V846" s="79"/>
      <c r="W846" s="79"/>
      <c r="Z846" s="130"/>
      <c r="AB846" s="106"/>
    </row>
    <row r="847">
      <c r="C847" s="79"/>
      <c r="D847" s="79"/>
      <c r="E847" s="79"/>
      <c r="M847" s="79"/>
      <c r="R847" s="79"/>
      <c r="S847" s="79"/>
      <c r="V847" s="79"/>
      <c r="W847" s="79"/>
      <c r="Z847" s="130"/>
      <c r="AB847" s="106"/>
    </row>
    <row r="848">
      <c r="C848" s="79"/>
      <c r="D848" s="79"/>
      <c r="E848" s="79"/>
      <c r="M848" s="79"/>
      <c r="R848" s="79"/>
      <c r="S848" s="79"/>
      <c r="V848" s="79"/>
      <c r="W848" s="79"/>
      <c r="Z848" s="130"/>
      <c r="AB848" s="106"/>
    </row>
    <row r="849">
      <c r="C849" s="79"/>
      <c r="D849" s="79"/>
      <c r="E849" s="79"/>
      <c r="M849" s="79"/>
      <c r="R849" s="79"/>
      <c r="S849" s="79"/>
      <c r="V849" s="79"/>
      <c r="W849" s="79"/>
      <c r="Z849" s="130"/>
      <c r="AB849" s="106"/>
    </row>
    <row r="850">
      <c r="C850" s="79"/>
      <c r="D850" s="79"/>
      <c r="E850" s="79"/>
      <c r="M850" s="79"/>
      <c r="R850" s="79"/>
      <c r="S850" s="79"/>
      <c r="V850" s="79"/>
      <c r="W850" s="79"/>
      <c r="Z850" s="130"/>
      <c r="AB850" s="106"/>
    </row>
    <row r="851">
      <c r="C851" s="79"/>
      <c r="D851" s="79"/>
      <c r="E851" s="79"/>
      <c r="M851" s="79"/>
      <c r="R851" s="79"/>
      <c r="S851" s="79"/>
      <c r="V851" s="79"/>
      <c r="W851" s="79"/>
      <c r="Z851" s="130"/>
      <c r="AB851" s="106"/>
    </row>
    <row r="852">
      <c r="C852" s="79"/>
      <c r="D852" s="79"/>
      <c r="E852" s="79"/>
      <c r="M852" s="79"/>
      <c r="R852" s="79"/>
      <c r="S852" s="79"/>
      <c r="V852" s="79"/>
      <c r="W852" s="79"/>
      <c r="Z852" s="130"/>
      <c r="AB852" s="106"/>
    </row>
    <row r="853">
      <c r="C853" s="79"/>
      <c r="D853" s="79"/>
      <c r="E853" s="79"/>
      <c r="M853" s="79"/>
      <c r="R853" s="79"/>
      <c r="S853" s="79"/>
      <c r="V853" s="79"/>
      <c r="W853" s="79"/>
      <c r="Z853" s="130"/>
      <c r="AB853" s="106"/>
    </row>
    <row r="854">
      <c r="C854" s="79"/>
      <c r="D854" s="79"/>
      <c r="E854" s="79"/>
      <c r="M854" s="79"/>
      <c r="R854" s="79"/>
      <c r="S854" s="79"/>
      <c r="V854" s="79"/>
      <c r="W854" s="79"/>
      <c r="Z854" s="130"/>
      <c r="AB854" s="106"/>
    </row>
    <row r="855">
      <c r="C855" s="79"/>
      <c r="D855" s="79"/>
      <c r="E855" s="79"/>
      <c r="M855" s="79"/>
      <c r="R855" s="79"/>
      <c r="S855" s="79"/>
      <c r="V855" s="79"/>
      <c r="W855" s="79"/>
      <c r="Z855" s="130"/>
      <c r="AB855" s="106"/>
    </row>
    <row r="856">
      <c r="C856" s="79"/>
      <c r="D856" s="79"/>
      <c r="E856" s="79"/>
      <c r="M856" s="79"/>
      <c r="R856" s="79"/>
      <c r="S856" s="79"/>
      <c r="V856" s="79"/>
      <c r="W856" s="79"/>
      <c r="Z856" s="130"/>
      <c r="AB856" s="106"/>
    </row>
    <row r="857">
      <c r="C857" s="79"/>
      <c r="D857" s="79"/>
      <c r="E857" s="79"/>
      <c r="M857" s="79"/>
      <c r="R857" s="79"/>
      <c r="S857" s="79"/>
      <c r="V857" s="79"/>
      <c r="W857" s="79"/>
      <c r="Z857" s="130"/>
      <c r="AB857" s="106"/>
    </row>
    <row r="858">
      <c r="C858" s="79"/>
      <c r="D858" s="79"/>
      <c r="E858" s="79"/>
      <c r="M858" s="79"/>
      <c r="R858" s="79"/>
      <c r="S858" s="79"/>
      <c r="V858" s="79"/>
      <c r="W858" s="79"/>
      <c r="Z858" s="130"/>
      <c r="AB858" s="106"/>
    </row>
    <row r="859">
      <c r="C859" s="79"/>
      <c r="D859" s="79"/>
      <c r="E859" s="79"/>
      <c r="M859" s="79"/>
      <c r="R859" s="79"/>
      <c r="S859" s="79"/>
      <c r="V859" s="79"/>
      <c r="W859" s="79"/>
      <c r="Z859" s="130"/>
      <c r="AB859" s="106"/>
    </row>
    <row r="860">
      <c r="C860" s="79"/>
      <c r="D860" s="79"/>
      <c r="E860" s="79"/>
      <c r="M860" s="79"/>
      <c r="R860" s="79"/>
      <c r="S860" s="79"/>
      <c r="V860" s="79"/>
      <c r="W860" s="79"/>
      <c r="Z860" s="130"/>
      <c r="AB860" s="106"/>
    </row>
    <row r="861">
      <c r="C861" s="79"/>
      <c r="D861" s="79"/>
      <c r="E861" s="79"/>
      <c r="M861" s="79"/>
      <c r="R861" s="79"/>
      <c r="S861" s="79"/>
      <c r="V861" s="79"/>
      <c r="W861" s="79"/>
      <c r="Z861" s="130"/>
      <c r="AB861" s="106"/>
    </row>
    <row r="862">
      <c r="C862" s="79"/>
      <c r="D862" s="79"/>
      <c r="E862" s="79"/>
      <c r="M862" s="79"/>
      <c r="R862" s="79"/>
      <c r="S862" s="79"/>
      <c r="V862" s="79"/>
      <c r="W862" s="79"/>
      <c r="Z862" s="130"/>
      <c r="AB862" s="106"/>
    </row>
    <row r="863">
      <c r="C863" s="79"/>
      <c r="D863" s="79"/>
      <c r="E863" s="79"/>
      <c r="M863" s="79"/>
      <c r="R863" s="79"/>
      <c r="S863" s="79"/>
      <c r="V863" s="79"/>
      <c r="W863" s="79"/>
      <c r="Z863" s="130"/>
      <c r="AB863" s="106"/>
    </row>
    <row r="864">
      <c r="C864" s="79"/>
      <c r="D864" s="79"/>
      <c r="E864" s="79"/>
      <c r="M864" s="79"/>
      <c r="R864" s="79"/>
      <c r="S864" s="79"/>
      <c r="V864" s="79"/>
      <c r="W864" s="79"/>
      <c r="Z864" s="130"/>
      <c r="AB864" s="106"/>
    </row>
    <row r="865">
      <c r="C865" s="79"/>
      <c r="D865" s="79"/>
      <c r="E865" s="79"/>
      <c r="M865" s="79"/>
      <c r="R865" s="79"/>
      <c r="S865" s="79"/>
      <c r="V865" s="79"/>
      <c r="W865" s="79"/>
      <c r="Z865" s="130"/>
      <c r="AB865" s="106"/>
    </row>
    <row r="866">
      <c r="C866" s="79"/>
      <c r="D866" s="79"/>
      <c r="E866" s="79"/>
      <c r="M866" s="79"/>
      <c r="R866" s="79"/>
      <c r="S866" s="79"/>
      <c r="V866" s="79"/>
      <c r="W866" s="79"/>
      <c r="Z866" s="130"/>
      <c r="AB866" s="106"/>
    </row>
    <row r="867">
      <c r="C867" s="79"/>
      <c r="D867" s="79"/>
      <c r="E867" s="79"/>
      <c r="M867" s="79"/>
      <c r="R867" s="79"/>
      <c r="S867" s="79"/>
      <c r="V867" s="79"/>
      <c r="W867" s="79"/>
      <c r="Z867" s="130"/>
      <c r="AB867" s="106"/>
    </row>
    <row r="868">
      <c r="C868" s="79"/>
      <c r="D868" s="79"/>
      <c r="E868" s="79"/>
      <c r="M868" s="79"/>
      <c r="R868" s="79"/>
      <c r="S868" s="79"/>
      <c r="V868" s="79"/>
      <c r="W868" s="79"/>
      <c r="Z868" s="130"/>
      <c r="AB868" s="106"/>
    </row>
    <row r="869">
      <c r="C869" s="79"/>
      <c r="D869" s="79"/>
      <c r="E869" s="79"/>
      <c r="M869" s="79"/>
      <c r="R869" s="79"/>
      <c r="S869" s="79"/>
      <c r="V869" s="79"/>
      <c r="W869" s="79"/>
      <c r="Z869" s="130"/>
      <c r="AB869" s="106"/>
    </row>
    <row r="870">
      <c r="C870" s="79"/>
      <c r="D870" s="79"/>
      <c r="E870" s="79"/>
      <c r="M870" s="79"/>
      <c r="R870" s="79"/>
      <c r="S870" s="79"/>
      <c r="V870" s="79"/>
      <c r="W870" s="79"/>
      <c r="Z870" s="130"/>
      <c r="AB870" s="106"/>
    </row>
    <row r="871">
      <c r="C871" s="79"/>
      <c r="D871" s="79"/>
      <c r="E871" s="79"/>
      <c r="M871" s="79"/>
      <c r="R871" s="79"/>
      <c r="S871" s="79"/>
      <c r="V871" s="79"/>
      <c r="W871" s="79"/>
      <c r="Z871" s="130"/>
      <c r="AB871" s="106"/>
    </row>
    <row r="872">
      <c r="C872" s="79"/>
      <c r="D872" s="79"/>
      <c r="E872" s="79"/>
      <c r="M872" s="79"/>
      <c r="R872" s="79"/>
      <c r="S872" s="79"/>
      <c r="V872" s="79"/>
      <c r="W872" s="79"/>
      <c r="Z872" s="130"/>
      <c r="AB872" s="106"/>
    </row>
    <row r="873">
      <c r="C873" s="79"/>
      <c r="D873" s="79"/>
      <c r="E873" s="79"/>
      <c r="M873" s="79"/>
      <c r="R873" s="79"/>
      <c r="S873" s="79"/>
      <c r="V873" s="79"/>
      <c r="W873" s="79"/>
      <c r="Z873" s="130"/>
      <c r="AB873" s="106"/>
    </row>
    <row r="874">
      <c r="C874" s="79"/>
      <c r="D874" s="79"/>
      <c r="E874" s="79"/>
      <c r="M874" s="79"/>
      <c r="R874" s="79"/>
      <c r="S874" s="79"/>
      <c r="V874" s="79"/>
      <c r="W874" s="79"/>
      <c r="Z874" s="130"/>
      <c r="AB874" s="106"/>
    </row>
    <row r="875">
      <c r="C875" s="79"/>
      <c r="D875" s="79"/>
      <c r="E875" s="79"/>
      <c r="M875" s="79"/>
      <c r="R875" s="79"/>
      <c r="S875" s="79"/>
      <c r="V875" s="79"/>
      <c r="W875" s="79"/>
      <c r="Z875" s="130"/>
      <c r="AB875" s="106"/>
    </row>
    <row r="876">
      <c r="C876" s="79"/>
      <c r="D876" s="79"/>
      <c r="E876" s="79"/>
      <c r="M876" s="79"/>
      <c r="R876" s="79"/>
      <c r="S876" s="79"/>
      <c r="V876" s="79"/>
      <c r="W876" s="79"/>
      <c r="Z876" s="130"/>
      <c r="AB876" s="106"/>
    </row>
    <row r="877">
      <c r="C877" s="79"/>
      <c r="D877" s="79"/>
      <c r="E877" s="79"/>
      <c r="M877" s="79"/>
      <c r="R877" s="79"/>
      <c r="S877" s="79"/>
      <c r="V877" s="79"/>
      <c r="W877" s="79"/>
      <c r="Z877" s="130"/>
      <c r="AB877" s="106"/>
    </row>
    <row r="878">
      <c r="C878" s="79"/>
      <c r="D878" s="79"/>
      <c r="E878" s="79"/>
      <c r="M878" s="79"/>
      <c r="R878" s="79"/>
      <c r="S878" s="79"/>
      <c r="V878" s="79"/>
      <c r="W878" s="79"/>
      <c r="Z878" s="130"/>
      <c r="AB878" s="106"/>
    </row>
    <row r="879">
      <c r="C879" s="79"/>
      <c r="D879" s="79"/>
      <c r="E879" s="79"/>
      <c r="M879" s="79"/>
      <c r="R879" s="79"/>
      <c r="S879" s="79"/>
      <c r="V879" s="79"/>
      <c r="W879" s="79"/>
      <c r="Z879" s="130"/>
      <c r="AB879" s="106"/>
    </row>
    <row r="880">
      <c r="C880" s="79"/>
      <c r="D880" s="79"/>
      <c r="E880" s="79"/>
      <c r="M880" s="79"/>
      <c r="R880" s="79"/>
      <c r="S880" s="79"/>
      <c r="V880" s="79"/>
      <c r="W880" s="79"/>
      <c r="Z880" s="130"/>
      <c r="AB880" s="106"/>
    </row>
    <row r="881">
      <c r="C881" s="79"/>
      <c r="D881" s="79"/>
      <c r="E881" s="79"/>
      <c r="M881" s="79"/>
      <c r="R881" s="79"/>
      <c r="S881" s="79"/>
      <c r="V881" s="79"/>
      <c r="W881" s="79"/>
      <c r="Z881" s="130"/>
      <c r="AB881" s="106"/>
    </row>
    <row r="882">
      <c r="C882" s="79"/>
      <c r="D882" s="79"/>
      <c r="E882" s="79"/>
      <c r="M882" s="79"/>
      <c r="R882" s="79"/>
      <c r="S882" s="79"/>
      <c r="V882" s="79"/>
      <c r="W882" s="79"/>
      <c r="Z882" s="130"/>
      <c r="AB882" s="106"/>
    </row>
    <row r="883">
      <c r="C883" s="79"/>
      <c r="D883" s="79"/>
      <c r="E883" s="79"/>
      <c r="M883" s="79"/>
      <c r="R883" s="79"/>
      <c r="S883" s="79"/>
      <c r="V883" s="79"/>
      <c r="W883" s="79"/>
      <c r="Z883" s="130"/>
      <c r="AB883" s="106"/>
    </row>
    <row r="884">
      <c r="C884" s="79"/>
      <c r="D884" s="79"/>
      <c r="E884" s="79"/>
      <c r="M884" s="79"/>
      <c r="R884" s="79"/>
      <c r="S884" s="79"/>
      <c r="V884" s="79"/>
      <c r="W884" s="79"/>
      <c r="Z884" s="130"/>
      <c r="AB884" s="106"/>
    </row>
    <row r="885">
      <c r="C885" s="79"/>
      <c r="D885" s="79"/>
      <c r="E885" s="79"/>
      <c r="M885" s="79"/>
      <c r="R885" s="79"/>
      <c r="S885" s="79"/>
      <c r="V885" s="79"/>
      <c r="W885" s="79"/>
      <c r="Z885" s="130"/>
      <c r="AB885" s="106"/>
    </row>
    <row r="886">
      <c r="C886" s="79"/>
      <c r="D886" s="79"/>
      <c r="E886" s="79"/>
      <c r="M886" s="79"/>
      <c r="R886" s="79"/>
      <c r="S886" s="79"/>
      <c r="V886" s="79"/>
      <c r="W886" s="79"/>
      <c r="Z886" s="130"/>
      <c r="AB886" s="106"/>
    </row>
    <row r="887">
      <c r="C887" s="79"/>
      <c r="D887" s="79"/>
      <c r="E887" s="79"/>
      <c r="M887" s="79"/>
      <c r="R887" s="79"/>
      <c r="S887" s="79"/>
      <c r="V887" s="79"/>
      <c r="W887" s="79"/>
      <c r="Z887" s="130"/>
      <c r="AB887" s="106"/>
    </row>
    <row r="888">
      <c r="C888" s="79"/>
      <c r="D888" s="79"/>
      <c r="E888" s="79"/>
      <c r="M888" s="79"/>
      <c r="R888" s="79"/>
      <c r="S888" s="79"/>
      <c r="V888" s="79"/>
      <c r="W888" s="79"/>
      <c r="Z888" s="130"/>
      <c r="AB888" s="106"/>
    </row>
    <row r="889">
      <c r="C889" s="79"/>
      <c r="D889" s="79"/>
      <c r="E889" s="79"/>
      <c r="M889" s="79"/>
      <c r="R889" s="79"/>
      <c r="S889" s="79"/>
      <c r="V889" s="79"/>
      <c r="W889" s="79"/>
      <c r="Z889" s="130"/>
      <c r="AB889" s="106"/>
    </row>
    <row r="890">
      <c r="C890" s="79"/>
      <c r="D890" s="79"/>
      <c r="E890" s="79"/>
      <c r="M890" s="79"/>
      <c r="R890" s="79"/>
      <c r="S890" s="79"/>
      <c r="V890" s="79"/>
      <c r="W890" s="79"/>
      <c r="Z890" s="130"/>
      <c r="AB890" s="106"/>
    </row>
    <row r="891">
      <c r="C891" s="79"/>
      <c r="D891" s="79"/>
      <c r="E891" s="79"/>
      <c r="M891" s="79"/>
      <c r="R891" s="79"/>
      <c r="S891" s="79"/>
      <c r="V891" s="79"/>
      <c r="W891" s="79"/>
      <c r="Z891" s="130"/>
      <c r="AB891" s="106"/>
    </row>
    <row r="892">
      <c r="C892" s="79"/>
      <c r="D892" s="79"/>
      <c r="E892" s="79"/>
      <c r="M892" s="79"/>
      <c r="R892" s="79"/>
      <c r="S892" s="79"/>
      <c r="V892" s="79"/>
      <c r="W892" s="79"/>
      <c r="Z892" s="130"/>
      <c r="AB892" s="106"/>
    </row>
    <row r="893">
      <c r="C893" s="79"/>
      <c r="D893" s="79"/>
      <c r="E893" s="79"/>
      <c r="M893" s="79"/>
      <c r="R893" s="79"/>
      <c r="S893" s="79"/>
      <c r="V893" s="79"/>
      <c r="W893" s="79"/>
      <c r="Z893" s="130"/>
      <c r="AB893" s="106"/>
    </row>
    <row r="894">
      <c r="C894" s="79"/>
      <c r="D894" s="79"/>
      <c r="E894" s="79"/>
      <c r="M894" s="79"/>
      <c r="R894" s="79"/>
      <c r="S894" s="79"/>
      <c r="V894" s="79"/>
      <c r="W894" s="79"/>
      <c r="Z894" s="130"/>
      <c r="AB894" s="106"/>
    </row>
    <row r="895">
      <c r="C895" s="79"/>
      <c r="D895" s="79"/>
      <c r="E895" s="79"/>
      <c r="M895" s="79"/>
      <c r="R895" s="79"/>
      <c r="S895" s="79"/>
      <c r="V895" s="79"/>
      <c r="W895" s="79"/>
      <c r="Z895" s="130"/>
      <c r="AB895" s="106"/>
    </row>
    <row r="896">
      <c r="C896" s="79"/>
      <c r="D896" s="79"/>
      <c r="E896" s="79"/>
      <c r="M896" s="79"/>
      <c r="R896" s="79"/>
      <c r="S896" s="79"/>
      <c r="V896" s="79"/>
      <c r="W896" s="79"/>
      <c r="Z896" s="130"/>
      <c r="AB896" s="106"/>
    </row>
    <row r="897">
      <c r="C897" s="79"/>
      <c r="D897" s="79"/>
      <c r="E897" s="79"/>
      <c r="M897" s="79"/>
      <c r="R897" s="79"/>
      <c r="S897" s="79"/>
      <c r="V897" s="79"/>
      <c r="W897" s="79"/>
      <c r="Z897" s="130"/>
      <c r="AB897" s="106"/>
    </row>
    <row r="898">
      <c r="C898" s="79"/>
      <c r="D898" s="79"/>
      <c r="E898" s="79"/>
      <c r="M898" s="79"/>
      <c r="R898" s="79"/>
      <c r="S898" s="79"/>
      <c r="V898" s="79"/>
      <c r="W898" s="79"/>
      <c r="Z898" s="130"/>
      <c r="AB898" s="106"/>
    </row>
    <row r="899">
      <c r="C899" s="79"/>
      <c r="D899" s="79"/>
      <c r="E899" s="79"/>
      <c r="M899" s="79"/>
      <c r="R899" s="79"/>
      <c r="S899" s="79"/>
      <c r="V899" s="79"/>
      <c r="W899" s="79"/>
      <c r="Z899" s="130"/>
      <c r="AB899" s="106"/>
    </row>
    <row r="900">
      <c r="C900" s="79"/>
      <c r="D900" s="79"/>
      <c r="E900" s="79"/>
      <c r="M900" s="79"/>
      <c r="R900" s="79"/>
      <c r="S900" s="79"/>
      <c r="V900" s="79"/>
      <c r="W900" s="79"/>
      <c r="Z900" s="130"/>
      <c r="AB900" s="106"/>
    </row>
    <row r="901">
      <c r="C901" s="79"/>
      <c r="D901" s="79"/>
      <c r="E901" s="79"/>
      <c r="M901" s="79"/>
      <c r="R901" s="79"/>
      <c r="S901" s="79"/>
      <c r="V901" s="79"/>
      <c r="W901" s="79"/>
      <c r="Z901" s="130"/>
      <c r="AB901" s="106"/>
    </row>
    <row r="902">
      <c r="C902" s="79"/>
      <c r="D902" s="79"/>
      <c r="E902" s="79"/>
      <c r="M902" s="79"/>
      <c r="R902" s="79"/>
      <c r="S902" s="79"/>
      <c r="V902" s="79"/>
      <c r="W902" s="79"/>
      <c r="Z902" s="130"/>
      <c r="AB902" s="106"/>
    </row>
    <row r="903">
      <c r="C903" s="79"/>
      <c r="D903" s="79"/>
      <c r="E903" s="79"/>
      <c r="M903" s="79"/>
      <c r="R903" s="79"/>
      <c r="S903" s="79"/>
      <c r="V903" s="79"/>
      <c r="W903" s="79"/>
      <c r="Z903" s="130"/>
      <c r="AB903" s="106"/>
    </row>
    <row r="904">
      <c r="C904" s="79"/>
      <c r="D904" s="79"/>
      <c r="E904" s="79"/>
      <c r="M904" s="79"/>
      <c r="R904" s="79"/>
      <c r="S904" s="79"/>
      <c r="V904" s="79"/>
      <c r="W904" s="79"/>
      <c r="Z904" s="130"/>
      <c r="AB904" s="106"/>
    </row>
    <row r="905">
      <c r="C905" s="79"/>
      <c r="D905" s="79"/>
      <c r="E905" s="79"/>
      <c r="M905" s="79"/>
      <c r="R905" s="79"/>
      <c r="S905" s="79"/>
      <c r="V905" s="79"/>
      <c r="W905" s="79"/>
      <c r="Z905" s="130"/>
      <c r="AB905" s="106"/>
    </row>
    <row r="906">
      <c r="C906" s="79"/>
      <c r="D906" s="79"/>
      <c r="E906" s="79"/>
      <c r="M906" s="79"/>
      <c r="R906" s="79"/>
      <c r="S906" s="79"/>
      <c r="V906" s="79"/>
      <c r="W906" s="79"/>
      <c r="Z906" s="130"/>
      <c r="AB906" s="106"/>
    </row>
    <row r="907">
      <c r="C907" s="79"/>
      <c r="D907" s="79"/>
      <c r="E907" s="79"/>
      <c r="M907" s="79"/>
      <c r="R907" s="79"/>
      <c r="S907" s="79"/>
      <c r="V907" s="79"/>
      <c r="W907" s="79"/>
      <c r="Z907" s="130"/>
      <c r="AB907" s="106"/>
    </row>
    <row r="908">
      <c r="C908" s="79"/>
      <c r="D908" s="79"/>
      <c r="E908" s="79"/>
      <c r="M908" s="79"/>
      <c r="R908" s="79"/>
      <c r="S908" s="79"/>
      <c r="V908" s="79"/>
      <c r="W908" s="79"/>
      <c r="Z908" s="130"/>
      <c r="AB908" s="106"/>
    </row>
    <row r="909">
      <c r="C909" s="79"/>
      <c r="D909" s="79"/>
      <c r="E909" s="79"/>
      <c r="M909" s="79"/>
      <c r="R909" s="79"/>
      <c r="S909" s="79"/>
      <c r="V909" s="79"/>
      <c r="W909" s="79"/>
      <c r="Z909" s="130"/>
      <c r="AB909" s="106"/>
    </row>
    <row r="910">
      <c r="C910" s="79"/>
      <c r="D910" s="79"/>
      <c r="E910" s="79"/>
      <c r="M910" s="79"/>
      <c r="R910" s="79"/>
      <c r="S910" s="79"/>
      <c r="V910" s="79"/>
      <c r="W910" s="79"/>
      <c r="Z910" s="130"/>
      <c r="AB910" s="106"/>
    </row>
    <row r="911">
      <c r="C911" s="79"/>
      <c r="D911" s="79"/>
      <c r="E911" s="79"/>
      <c r="M911" s="79"/>
      <c r="R911" s="79"/>
      <c r="S911" s="79"/>
      <c r="V911" s="79"/>
      <c r="W911" s="79"/>
      <c r="Z911" s="130"/>
      <c r="AB911" s="106"/>
    </row>
    <row r="912">
      <c r="C912" s="79"/>
      <c r="D912" s="79"/>
      <c r="E912" s="79"/>
      <c r="M912" s="79"/>
      <c r="R912" s="79"/>
      <c r="S912" s="79"/>
      <c r="V912" s="79"/>
      <c r="W912" s="79"/>
      <c r="Z912" s="130"/>
      <c r="AB912" s="106"/>
    </row>
    <row r="913">
      <c r="C913" s="79"/>
      <c r="D913" s="79"/>
      <c r="E913" s="79"/>
      <c r="M913" s="79"/>
      <c r="R913" s="79"/>
      <c r="S913" s="79"/>
      <c r="V913" s="79"/>
      <c r="W913" s="79"/>
      <c r="Z913" s="130"/>
      <c r="AB913" s="106"/>
    </row>
    <row r="914">
      <c r="C914" s="79"/>
      <c r="D914" s="79"/>
      <c r="E914" s="79"/>
      <c r="M914" s="79"/>
      <c r="R914" s="79"/>
      <c r="S914" s="79"/>
      <c r="V914" s="79"/>
      <c r="W914" s="79"/>
      <c r="Z914" s="130"/>
      <c r="AB914" s="106"/>
    </row>
    <row r="915">
      <c r="C915" s="79"/>
      <c r="D915" s="79"/>
      <c r="E915" s="79"/>
      <c r="M915" s="79"/>
      <c r="R915" s="79"/>
      <c r="S915" s="79"/>
      <c r="V915" s="79"/>
      <c r="W915" s="79"/>
      <c r="Z915" s="130"/>
      <c r="AB915" s="106"/>
    </row>
    <row r="916">
      <c r="C916" s="79"/>
      <c r="D916" s="79"/>
      <c r="E916" s="79"/>
      <c r="M916" s="79"/>
      <c r="R916" s="79"/>
      <c r="S916" s="79"/>
      <c r="V916" s="79"/>
      <c r="W916" s="79"/>
      <c r="Z916" s="130"/>
      <c r="AB916" s="106"/>
    </row>
    <row r="917">
      <c r="C917" s="79"/>
      <c r="D917" s="79"/>
      <c r="E917" s="79"/>
      <c r="M917" s="79"/>
      <c r="R917" s="79"/>
      <c r="S917" s="79"/>
      <c r="V917" s="79"/>
      <c r="W917" s="79"/>
      <c r="Z917" s="130"/>
      <c r="AB917" s="106"/>
    </row>
    <row r="918">
      <c r="C918" s="79"/>
      <c r="D918" s="79"/>
      <c r="E918" s="79"/>
      <c r="M918" s="79"/>
      <c r="R918" s="79"/>
      <c r="S918" s="79"/>
      <c r="V918" s="79"/>
      <c r="W918" s="79"/>
      <c r="Z918" s="130"/>
      <c r="AB918" s="106"/>
    </row>
    <row r="919">
      <c r="C919" s="79"/>
      <c r="D919" s="79"/>
      <c r="E919" s="79"/>
      <c r="M919" s="79"/>
      <c r="R919" s="79"/>
      <c r="S919" s="79"/>
      <c r="V919" s="79"/>
      <c r="W919" s="79"/>
      <c r="Z919" s="130"/>
      <c r="AB919" s="106"/>
    </row>
    <row r="920">
      <c r="C920" s="79"/>
      <c r="D920" s="79"/>
      <c r="E920" s="79"/>
      <c r="M920" s="79"/>
      <c r="R920" s="79"/>
      <c r="S920" s="79"/>
      <c r="V920" s="79"/>
      <c r="W920" s="79"/>
      <c r="Z920" s="130"/>
      <c r="AB920" s="106"/>
    </row>
    <row r="921">
      <c r="C921" s="79"/>
      <c r="D921" s="79"/>
      <c r="E921" s="79"/>
      <c r="M921" s="79"/>
      <c r="R921" s="79"/>
      <c r="S921" s="79"/>
      <c r="V921" s="79"/>
      <c r="W921" s="79"/>
      <c r="Z921" s="130"/>
      <c r="AB921" s="106"/>
    </row>
    <row r="922">
      <c r="C922" s="79"/>
      <c r="D922" s="79"/>
      <c r="E922" s="79"/>
      <c r="M922" s="79"/>
      <c r="R922" s="79"/>
      <c r="S922" s="79"/>
      <c r="V922" s="79"/>
      <c r="W922" s="79"/>
      <c r="Z922" s="130"/>
      <c r="AB922" s="106"/>
    </row>
    <row r="923">
      <c r="C923" s="79"/>
      <c r="D923" s="79"/>
      <c r="E923" s="79"/>
      <c r="M923" s="79"/>
      <c r="R923" s="79"/>
      <c r="S923" s="79"/>
      <c r="V923" s="79"/>
      <c r="W923" s="79"/>
      <c r="Z923" s="130"/>
      <c r="AB923" s="106"/>
    </row>
    <row r="924">
      <c r="C924" s="79"/>
      <c r="D924" s="79"/>
      <c r="E924" s="79"/>
      <c r="M924" s="79"/>
      <c r="R924" s="79"/>
      <c r="S924" s="79"/>
      <c r="V924" s="79"/>
      <c r="W924" s="79"/>
      <c r="Z924" s="130"/>
      <c r="AB924" s="106"/>
    </row>
    <row r="925">
      <c r="C925" s="79"/>
      <c r="D925" s="79"/>
      <c r="E925" s="79"/>
      <c r="M925" s="79"/>
      <c r="R925" s="79"/>
      <c r="S925" s="79"/>
      <c r="V925" s="79"/>
      <c r="W925" s="79"/>
      <c r="Z925" s="130"/>
      <c r="AB925" s="106"/>
    </row>
    <row r="926">
      <c r="C926" s="79"/>
      <c r="D926" s="79"/>
      <c r="E926" s="79"/>
      <c r="M926" s="79"/>
      <c r="R926" s="79"/>
      <c r="S926" s="79"/>
      <c r="V926" s="79"/>
      <c r="W926" s="79"/>
      <c r="Z926" s="130"/>
      <c r="AB926" s="106"/>
    </row>
    <row r="927">
      <c r="C927" s="79"/>
      <c r="D927" s="79"/>
      <c r="E927" s="79"/>
      <c r="M927" s="79"/>
      <c r="R927" s="79"/>
      <c r="S927" s="79"/>
      <c r="V927" s="79"/>
      <c r="W927" s="79"/>
      <c r="Z927" s="130"/>
      <c r="AB927" s="106"/>
    </row>
    <row r="928">
      <c r="C928" s="79"/>
      <c r="D928" s="79"/>
      <c r="E928" s="79"/>
      <c r="M928" s="79"/>
      <c r="R928" s="79"/>
      <c r="S928" s="79"/>
      <c r="V928" s="79"/>
      <c r="W928" s="79"/>
      <c r="Z928" s="130"/>
      <c r="AB928" s="106"/>
    </row>
    <row r="929">
      <c r="C929" s="79"/>
      <c r="D929" s="79"/>
      <c r="E929" s="79"/>
      <c r="M929" s="79"/>
      <c r="R929" s="79"/>
      <c r="S929" s="79"/>
      <c r="V929" s="79"/>
      <c r="W929" s="79"/>
      <c r="Z929" s="130"/>
      <c r="AB929" s="106"/>
    </row>
    <row r="930">
      <c r="C930" s="79"/>
      <c r="D930" s="79"/>
      <c r="E930" s="79"/>
      <c r="M930" s="79"/>
      <c r="R930" s="79"/>
      <c r="S930" s="79"/>
      <c r="V930" s="79"/>
      <c r="W930" s="79"/>
      <c r="Z930" s="130"/>
      <c r="AB930" s="106"/>
    </row>
    <row r="931">
      <c r="C931" s="79"/>
      <c r="D931" s="79"/>
      <c r="E931" s="79"/>
      <c r="M931" s="79"/>
      <c r="R931" s="79"/>
      <c r="S931" s="79"/>
      <c r="V931" s="79"/>
      <c r="W931" s="79"/>
      <c r="Z931" s="130"/>
      <c r="AB931" s="106"/>
    </row>
    <row r="932">
      <c r="C932" s="79"/>
      <c r="D932" s="79"/>
      <c r="E932" s="79"/>
      <c r="M932" s="79"/>
      <c r="R932" s="79"/>
      <c r="S932" s="79"/>
      <c r="V932" s="79"/>
      <c r="W932" s="79"/>
      <c r="Z932" s="130"/>
      <c r="AB932" s="106"/>
    </row>
    <row r="933">
      <c r="C933" s="79"/>
      <c r="D933" s="79"/>
      <c r="E933" s="79"/>
      <c r="M933" s="79"/>
      <c r="R933" s="79"/>
      <c r="S933" s="79"/>
      <c r="V933" s="79"/>
      <c r="W933" s="79"/>
      <c r="Z933" s="130"/>
      <c r="AB933" s="106"/>
    </row>
    <row r="934">
      <c r="C934" s="79"/>
      <c r="D934" s="79"/>
      <c r="E934" s="79"/>
      <c r="M934" s="79"/>
      <c r="R934" s="79"/>
      <c r="S934" s="79"/>
      <c r="V934" s="79"/>
      <c r="W934" s="79"/>
      <c r="Z934" s="130"/>
      <c r="AB934" s="106"/>
    </row>
    <row r="935">
      <c r="C935" s="79"/>
      <c r="D935" s="79"/>
      <c r="E935" s="79"/>
      <c r="M935" s="79"/>
      <c r="R935" s="79"/>
      <c r="S935" s="79"/>
      <c r="V935" s="79"/>
      <c r="W935" s="79"/>
      <c r="Z935" s="130"/>
      <c r="AB935" s="106"/>
    </row>
    <row r="936">
      <c r="C936" s="79"/>
      <c r="D936" s="79"/>
      <c r="E936" s="79"/>
      <c r="M936" s="79"/>
      <c r="R936" s="79"/>
      <c r="S936" s="79"/>
      <c r="V936" s="79"/>
      <c r="W936" s="79"/>
      <c r="Z936" s="130"/>
      <c r="AB936" s="106"/>
    </row>
    <row r="937">
      <c r="C937" s="79"/>
      <c r="D937" s="79"/>
      <c r="E937" s="79"/>
      <c r="M937" s="79"/>
      <c r="R937" s="79"/>
      <c r="S937" s="79"/>
      <c r="V937" s="79"/>
      <c r="W937" s="79"/>
      <c r="Z937" s="130"/>
      <c r="AB937" s="106"/>
    </row>
    <row r="938">
      <c r="C938" s="79"/>
      <c r="D938" s="79"/>
      <c r="E938" s="79"/>
      <c r="M938" s="79"/>
      <c r="R938" s="79"/>
      <c r="S938" s="79"/>
      <c r="V938" s="79"/>
      <c r="W938" s="79"/>
      <c r="Z938" s="130"/>
      <c r="AB938" s="106"/>
    </row>
    <row r="939">
      <c r="C939" s="79"/>
      <c r="D939" s="79"/>
      <c r="E939" s="79"/>
      <c r="M939" s="79"/>
      <c r="R939" s="79"/>
      <c r="S939" s="79"/>
      <c r="V939" s="79"/>
      <c r="W939" s="79"/>
      <c r="Z939" s="130"/>
      <c r="AB939" s="106"/>
    </row>
    <row r="940">
      <c r="C940" s="79"/>
      <c r="D940" s="79"/>
      <c r="E940" s="79"/>
      <c r="M940" s="79"/>
      <c r="R940" s="79"/>
      <c r="S940" s="79"/>
      <c r="V940" s="79"/>
      <c r="W940" s="79"/>
      <c r="Z940" s="130"/>
      <c r="AB940" s="106"/>
    </row>
    <row r="941">
      <c r="C941" s="79"/>
      <c r="D941" s="79"/>
      <c r="E941" s="79"/>
      <c r="M941" s="79"/>
      <c r="R941" s="79"/>
      <c r="S941" s="79"/>
      <c r="V941" s="79"/>
      <c r="W941" s="79"/>
      <c r="Z941" s="130"/>
      <c r="AB941" s="106"/>
    </row>
    <row r="942">
      <c r="C942" s="79"/>
      <c r="D942" s="79"/>
      <c r="E942" s="79"/>
      <c r="M942" s="79"/>
      <c r="R942" s="79"/>
      <c r="S942" s="79"/>
      <c r="V942" s="79"/>
      <c r="W942" s="79"/>
      <c r="Z942" s="130"/>
      <c r="AB942" s="106"/>
    </row>
    <row r="943">
      <c r="C943" s="79"/>
      <c r="D943" s="79"/>
      <c r="E943" s="79"/>
      <c r="M943" s="79"/>
      <c r="R943" s="79"/>
      <c r="S943" s="79"/>
      <c r="V943" s="79"/>
      <c r="W943" s="79"/>
      <c r="Z943" s="130"/>
      <c r="AB943" s="106"/>
    </row>
    <row r="944">
      <c r="C944" s="79"/>
      <c r="D944" s="79"/>
      <c r="E944" s="79"/>
      <c r="M944" s="79"/>
      <c r="R944" s="79"/>
      <c r="S944" s="79"/>
      <c r="V944" s="79"/>
      <c r="W944" s="79"/>
      <c r="Z944" s="130"/>
      <c r="AB944" s="106"/>
    </row>
    <row r="945">
      <c r="C945" s="79"/>
      <c r="D945" s="79"/>
      <c r="E945" s="79"/>
      <c r="M945" s="79"/>
      <c r="R945" s="79"/>
      <c r="S945" s="79"/>
      <c r="V945" s="79"/>
      <c r="W945" s="79"/>
      <c r="Z945" s="130"/>
      <c r="AB945" s="106"/>
    </row>
    <row r="946">
      <c r="C946" s="79"/>
      <c r="D946" s="79"/>
      <c r="E946" s="79"/>
      <c r="M946" s="79"/>
      <c r="R946" s="79"/>
      <c r="S946" s="79"/>
      <c r="V946" s="79"/>
      <c r="W946" s="79"/>
      <c r="Z946" s="130"/>
      <c r="AB946" s="106"/>
    </row>
    <row r="947">
      <c r="C947" s="79"/>
      <c r="D947" s="79"/>
      <c r="E947" s="79"/>
      <c r="M947" s="79"/>
      <c r="R947" s="79"/>
      <c r="S947" s="79"/>
      <c r="V947" s="79"/>
      <c r="W947" s="79"/>
      <c r="Z947" s="130"/>
      <c r="AB947" s="106"/>
    </row>
    <row r="948">
      <c r="C948" s="79"/>
      <c r="D948" s="79"/>
      <c r="E948" s="79"/>
      <c r="M948" s="79"/>
      <c r="R948" s="79"/>
      <c r="S948" s="79"/>
      <c r="V948" s="79"/>
      <c r="W948" s="79"/>
      <c r="Z948" s="130"/>
      <c r="AB948" s="106"/>
    </row>
    <row r="949">
      <c r="C949" s="79"/>
      <c r="D949" s="79"/>
      <c r="E949" s="79"/>
      <c r="M949" s="79"/>
      <c r="R949" s="79"/>
      <c r="S949" s="79"/>
      <c r="V949" s="79"/>
      <c r="W949" s="79"/>
      <c r="Z949" s="130"/>
      <c r="AB949" s="106"/>
    </row>
    <row r="950">
      <c r="C950" s="79"/>
      <c r="D950" s="79"/>
      <c r="E950" s="79"/>
      <c r="M950" s="79"/>
      <c r="R950" s="79"/>
      <c r="S950" s="79"/>
      <c r="V950" s="79"/>
      <c r="W950" s="79"/>
      <c r="Z950" s="130"/>
      <c r="AB950" s="106"/>
    </row>
    <row r="951">
      <c r="C951" s="79"/>
      <c r="D951" s="79"/>
      <c r="E951" s="79"/>
      <c r="M951" s="79"/>
      <c r="R951" s="79"/>
      <c r="S951" s="79"/>
      <c r="V951" s="79"/>
      <c r="W951" s="79"/>
      <c r="Z951" s="130"/>
      <c r="AB951" s="106"/>
    </row>
    <row r="952">
      <c r="C952" s="79"/>
      <c r="D952" s="79"/>
      <c r="E952" s="79"/>
      <c r="M952" s="79"/>
      <c r="R952" s="79"/>
      <c r="S952" s="79"/>
      <c r="V952" s="79"/>
      <c r="W952" s="79"/>
      <c r="Z952" s="130"/>
      <c r="AB952" s="106"/>
    </row>
    <row r="953">
      <c r="C953" s="79"/>
      <c r="D953" s="79"/>
      <c r="E953" s="79"/>
      <c r="M953" s="79"/>
      <c r="R953" s="79"/>
      <c r="S953" s="79"/>
      <c r="V953" s="79"/>
      <c r="W953" s="79"/>
      <c r="Z953" s="130"/>
      <c r="AB953" s="106"/>
    </row>
    <row r="954">
      <c r="C954" s="79"/>
      <c r="D954" s="79"/>
      <c r="E954" s="79"/>
      <c r="M954" s="79"/>
      <c r="R954" s="79"/>
      <c r="S954" s="79"/>
      <c r="V954" s="79"/>
      <c r="W954" s="79"/>
      <c r="Z954" s="130"/>
      <c r="AB954" s="106"/>
    </row>
    <row r="955">
      <c r="C955" s="79"/>
      <c r="D955" s="79"/>
      <c r="E955" s="79"/>
      <c r="M955" s="79"/>
      <c r="R955" s="79"/>
      <c r="S955" s="79"/>
      <c r="V955" s="79"/>
      <c r="W955" s="79"/>
      <c r="Z955" s="130"/>
      <c r="AB955" s="106"/>
    </row>
    <row r="956">
      <c r="C956" s="79"/>
      <c r="D956" s="79"/>
      <c r="E956" s="79"/>
      <c r="M956" s="79"/>
      <c r="R956" s="79"/>
      <c r="S956" s="79"/>
      <c r="V956" s="79"/>
      <c r="W956" s="79"/>
      <c r="Z956" s="130"/>
      <c r="AB956" s="106"/>
    </row>
    <row r="957">
      <c r="C957" s="79"/>
      <c r="D957" s="79"/>
      <c r="E957" s="79"/>
      <c r="M957" s="79"/>
      <c r="R957" s="79"/>
      <c r="S957" s="79"/>
      <c r="V957" s="79"/>
      <c r="W957" s="79"/>
      <c r="Z957" s="130"/>
      <c r="AB957" s="106"/>
    </row>
    <row r="958">
      <c r="C958" s="79"/>
      <c r="D958" s="79"/>
      <c r="E958" s="79"/>
      <c r="M958" s="79"/>
      <c r="R958" s="79"/>
      <c r="S958" s="79"/>
      <c r="V958" s="79"/>
      <c r="W958" s="79"/>
      <c r="Z958" s="130"/>
      <c r="AB958" s="106"/>
    </row>
    <row r="959">
      <c r="C959" s="79"/>
      <c r="D959" s="79"/>
      <c r="E959" s="79"/>
      <c r="M959" s="79"/>
      <c r="R959" s="79"/>
      <c r="S959" s="79"/>
      <c r="V959" s="79"/>
      <c r="W959" s="79"/>
      <c r="Z959" s="130"/>
      <c r="AB959" s="106"/>
    </row>
    <row r="960">
      <c r="C960" s="79"/>
      <c r="D960" s="79"/>
      <c r="E960" s="79"/>
      <c r="M960" s="79"/>
      <c r="R960" s="79"/>
      <c r="S960" s="79"/>
      <c r="V960" s="79"/>
      <c r="W960" s="79"/>
      <c r="Z960" s="130"/>
      <c r="AB960" s="106"/>
    </row>
    <row r="961">
      <c r="C961" s="79"/>
      <c r="D961" s="79"/>
      <c r="E961" s="79"/>
      <c r="M961" s="79"/>
      <c r="R961" s="79"/>
      <c r="S961" s="79"/>
      <c r="V961" s="79"/>
      <c r="W961" s="79"/>
      <c r="Z961" s="130"/>
      <c r="AB961" s="106"/>
    </row>
    <row r="962">
      <c r="C962" s="79"/>
      <c r="D962" s="79"/>
      <c r="E962" s="79"/>
      <c r="M962" s="79"/>
      <c r="R962" s="79"/>
      <c r="S962" s="79"/>
      <c r="V962" s="79"/>
      <c r="W962" s="79"/>
      <c r="Z962" s="130"/>
      <c r="AB962" s="106"/>
    </row>
    <row r="963">
      <c r="C963" s="79"/>
      <c r="D963" s="79"/>
      <c r="E963" s="79"/>
      <c r="M963" s="79"/>
      <c r="R963" s="79"/>
      <c r="S963" s="79"/>
      <c r="V963" s="79"/>
      <c r="W963" s="79"/>
      <c r="Z963" s="130"/>
      <c r="AB963" s="106"/>
    </row>
  </sheetData>
  <drawing r:id="rId2"/>
  <legacyDrawing r:id="rId3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5" max="5" width="13.5"/>
    <col customWidth="1" min="7" max="7" width="13.25"/>
    <col customWidth="1" min="24" max="24" width="14.63"/>
    <col customWidth="1" min="28" max="28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3</v>
      </c>
      <c r="G1" s="2" t="s">
        <v>203</v>
      </c>
      <c r="H1" s="2" t="s">
        <v>129</v>
      </c>
      <c r="I1" s="2" t="s">
        <v>5</v>
      </c>
      <c r="J1" s="2" t="s">
        <v>204</v>
      </c>
      <c r="K1" s="2" t="s">
        <v>6</v>
      </c>
      <c r="L1" s="2" t="s">
        <v>12</v>
      </c>
      <c r="M1" s="105" t="s">
        <v>40</v>
      </c>
      <c r="N1" s="2" t="s">
        <v>49</v>
      </c>
      <c r="O1" s="2" t="s">
        <v>42</v>
      </c>
      <c r="P1" s="2" t="s">
        <v>121</v>
      </c>
      <c r="Q1" s="2" t="s">
        <v>164</v>
      </c>
      <c r="R1" s="105" t="s">
        <v>9</v>
      </c>
      <c r="S1" s="105" t="s">
        <v>165</v>
      </c>
      <c r="T1" s="2" t="s">
        <v>37</v>
      </c>
      <c r="U1" s="2" t="s">
        <v>10</v>
      </c>
      <c r="V1" s="105" t="s">
        <v>11</v>
      </c>
      <c r="W1" s="105" t="s">
        <v>205</v>
      </c>
      <c r="X1" s="2" t="s">
        <v>206</v>
      </c>
      <c r="Y1" s="3" t="s">
        <v>13</v>
      </c>
      <c r="Z1" s="3" t="s">
        <v>14</v>
      </c>
      <c r="AA1" s="3" t="s">
        <v>15</v>
      </c>
      <c r="AB1" s="106"/>
    </row>
    <row r="2">
      <c r="A2" s="74">
        <v>45341.0</v>
      </c>
      <c r="B2" s="93">
        <f>1173.57-50.74-33.99-27.83-265.2-38.1+284.24-188.8</f>
        <v>853.15</v>
      </c>
      <c r="C2" s="93"/>
      <c r="D2" s="193">
        <f>327.91-161.2</f>
        <v>166.71</v>
      </c>
      <c r="E2" s="93"/>
      <c r="F2" s="93">
        <v>180.0</v>
      </c>
      <c r="G2" s="93"/>
      <c r="H2" s="93">
        <v>205.18</v>
      </c>
      <c r="I2" s="93"/>
      <c r="J2" s="93"/>
      <c r="K2" s="93"/>
      <c r="L2" s="93"/>
      <c r="M2" s="93"/>
      <c r="N2" s="93">
        <v>168.0</v>
      </c>
      <c r="O2" s="93"/>
      <c r="P2" s="93"/>
      <c r="Q2" s="93"/>
      <c r="R2" s="93"/>
      <c r="S2" s="93"/>
      <c r="T2" s="72"/>
      <c r="U2" s="93"/>
      <c r="V2" s="93">
        <v>57.05</v>
      </c>
      <c r="W2" s="93"/>
      <c r="X2" s="5"/>
      <c r="Y2" s="107">
        <f t="shared" ref="Y2:Y8" si="1">SUM(B2:X2)</f>
        <v>1630.09</v>
      </c>
      <c r="Z2" s="158">
        <f>2909.01</f>
        <v>2909.01</v>
      </c>
      <c r="AA2" s="59">
        <f t="shared" ref="AA2:AA8" si="2">Y2/Z2</f>
        <v>0.5603590225</v>
      </c>
      <c r="AB2" s="109">
        <f t="shared" ref="AB2:AB8" si="3">A2</f>
        <v>45341</v>
      </c>
    </row>
    <row r="3">
      <c r="A3" s="74">
        <v>45342.0</v>
      </c>
      <c r="B3" s="93">
        <f>112.83+1326.82-225.8-46.04-40.85-83.03-12.88</f>
        <v>1031.05</v>
      </c>
      <c r="C3" s="93">
        <v>394.11</v>
      </c>
      <c r="D3" s="193">
        <f>366.3</f>
        <v>366.3</v>
      </c>
      <c r="E3" s="93"/>
      <c r="F3" s="93"/>
      <c r="G3" s="93"/>
      <c r="H3" s="93"/>
      <c r="I3" s="93">
        <v>174.83</v>
      </c>
      <c r="J3" s="93"/>
      <c r="K3" s="93"/>
      <c r="L3" s="93">
        <v>79.7</v>
      </c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>
        <v>126.0</v>
      </c>
      <c r="Y3" s="107">
        <f t="shared" si="1"/>
        <v>2171.99</v>
      </c>
      <c r="Z3" s="158">
        <v>7431.05</v>
      </c>
      <c r="AA3" s="59">
        <f t="shared" si="2"/>
        <v>0.292285747</v>
      </c>
      <c r="AB3" s="109">
        <f t="shared" si="3"/>
        <v>45342</v>
      </c>
    </row>
    <row r="4">
      <c r="A4" s="74">
        <v>45343.0</v>
      </c>
      <c r="B4" s="93">
        <f>1159.8-69.84-8.25-42.07-65.91-46.32-100.9-17.34-69.47-54.78-12.78-88.81-38.1-47.28</f>
        <v>497.95</v>
      </c>
      <c r="C4" s="93">
        <f>549.07-77.76</f>
        <v>471.31</v>
      </c>
      <c r="D4" s="93">
        <f>705.11-270-70.28+105.1</f>
        <v>469.93</v>
      </c>
      <c r="E4" s="93"/>
      <c r="F4" s="93"/>
      <c r="G4" s="93"/>
      <c r="H4" s="93"/>
      <c r="I4" s="93">
        <f>1034.65-190-198-349.65</f>
        <v>297</v>
      </c>
      <c r="J4" s="93"/>
      <c r="K4" s="93">
        <v>85.4</v>
      </c>
      <c r="L4" s="93"/>
      <c r="M4" s="93"/>
      <c r="N4" s="93"/>
      <c r="O4" s="93"/>
      <c r="P4" s="93">
        <v>18.5</v>
      </c>
      <c r="Q4" s="93"/>
      <c r="R4" s="93">
        <v>315.8</v>
      </c>
      <c r="S4" s="93"/>
      <c r="T4" s="160"/>
      <c r="U4" s="93"/>
      <c r="V4" s="93">
        <v>57.05</v>
      </c>
      <c r="W4" s="93"/>
      <c r="X4" s="6"/>
      <c r="Y4" s="107">
        <f t="shared" si="1"/>
        <v>2212.94</v>
      </c>
      <c r="Z4" s="97">
        <f>896+5077</f>
        <v>5973</v>
      </c>
      <c r="AA4" s="59">
        <f t="shared" si="2"/>
        <v>0.3704905408</v>
      </c>
      <c r="AB4" s="109">
        <f t="shared" si="3"/>
        <v>45343</v>
      </c>
    </row>
    <row r="5">
      <c r="A5" s="74">
        <v>45344.0</v>
      </c>
      <c r="B5" s="93">
        <f>757.76-56.19-84.8-99.12-42.16-96.6-16.48-39.8</f>
        <v>322.61</v>
      </c>
      <c r="C5" s="93">
        <v>223.3</v>
      </c>
      <c r="D5" s="93">
        <v>320.2</v>
      </c>
      <c r="E5" s="93"/>
      <c r="F5" s="93">
        <v>180.0</v>
      </c>
      <c r="G5" s="160"/>
      <c r="H5" s="93">
        <v>172.9</v>
      </c>
      <c r="I5" s="93"/>
      <c r="J5" s="93"/>
      <c r="K5" s="93"/>
      <c r="L5" s="93"/>
      <c r="M5" s="93"/>
      <c r="N5" s="93">
        <v>168.0</v>
      </c>
      <c r="O5" s="93"/>
      <c r="P5" s="93">
        <v>18.5</v>
      </c>
      <c r="Q5" s="93"/>
      <c r="R5" s="93"/>
      <c r="S5" s="93"/>
      <c r="T5" s="93"/>
      <c r="U5" s="93"/>
      <c r="V5" s="101"/>
      <c r="W5" s="101"/>
      <c r="X5" s="6"/>
      <c r="Y5" s="7">
        <f t="shared" si="1"/>
        <v>1405.51</v>
      </c>
      <c r="Z5" s="97">
        <f>461+5908.49</f>
        <v>6369.49</v>
      </c>
      <c r="AA5" s="59">
        <f t="shared" si="2"/>
        <v>0.2206628788</v>
      </c>
      <c r="AB5" s="109">
        <f t="shared" si="3"/>
        <v>45344</v>
      </c>
    </row>
    <row r="6">
      <c r="A6" s="74">
        <v>45345.0</v>
      </c>
      <c r="B6" s="93">
        <f>1482.84-51.25-88.71-129.24-28.28-7.05-17.17-96.6-36.67</f>
        <v>1027.87</v>
      </c>
      <c r="C6" s="93"/>
      <c r="D6" s="93">
        <f>329.81-100.05-118</f>
        <v>111.76</v>
      </c>
      <c r="E6" s="93"/>
      <c r="F6" s="93"/>
      <c r="G6" s="93"/>
      <c r="H6" s="93"/>
      <c r="I6" s="93">
        <f>704.83-174.83-134</f>
        <v>396</v>
      </c>
      <c r="J6" s="93"/>
      <c r="K6" s="93">
        <f>185.15-43.4</f>
        <v>141.75</v>
      </c>
      <c r="L6" s="93">
        <v>38.24</v>
      </c>
      <c r="M6" s="162"/>
      <c r="N6" s="93"/>
      <c r="O6" s="93"/>
      <c r="P6" s="93">
        <v>18.5</v>
      </c>
      <c r="Q6" s="93"/>
      <c r="R6" s="93"/>
      <c r="S6" s="93"/>
      <c r="T6" s="93"/>
      <c r="U6" s="93"/>
      <c r="V6" s="93">
        <v>57.05</v>
      </c>
      <c r="W6" s="93"/>
      <c r="X6" s="5"/>
      <c r="Y6" s="7">
        <f t="shared" si="1"/>
        <v>1791.17</v>
      </c>
      <c r="Z6" s="97">
        <v>8895.5</v>
      </c>
      <c r="AA6" s="59">
        <f t="shared" si="2"/>
        <v>0.2013568658</v>
      </c>
      <c r="AB6" s="109">
        <f t="shared" si="3"/>
        <v>45345</v>
      </c>
    </row>
    <row r="7">
      <c r="A7" s="74">
        <v>45346.0</v>
      </c>
      <c r="B7" s="93">
        <v>440.16</v>
      </c>
      <c r="C7" s="93"/>
      <c r="D7" s="93">
        <f>513.19+52.19</f>
        <v>565.38</v>
      </c>
      <c r="E7" s="93"/>
      <c r="F7" s="93"/>
      <c r="G7" s="93"/>
      <c r="H7" s="93">
        <v>90.2</v>
      </c>
      <c r="I7" s="93"/>
      <c r="J7" s="93"/>
      <c r="K7" s="93"/>
      <c r="L7" s="93"/>
      <c r="M7" s="93"/>
      <c r="N7" s="93"/>
      <c r="O7" s="93">
        <v>144.0</v>
      </c>
      <c r="P7" s="93"/>
      <c r="Q7" s="93"/>
      <c r="R7" s="93"/>
      <c r="S7" s="93"/>
      <c r="T7" s="101"/>
      <c r="U7" s="101"/>
      <c r="V7" s="101"/>
      <c r="W7" s="101"/>
      <c r="X7" s="5"/>
      <c r="Y7" s="7">
        <f t="shared" si="1"/>
        <v>1239.74</v>
      </c>
      <c r="Z7" s="97">
        <v>10700.71</v>
      </c>
      <c r="AA7" s="59">
        <f t="shared" si="2"/>
        <v>0.1158558638</v>
      </c>
      <c r="AB7" s="109">
        <f t="shared" si="3"/>
        <v>45346</v>
      </c>
    </row>
    <row r="8">
      <c r="A8" s="74">
        <v>45347.0</v>
      </c>
      <c r="B8" s="93"/>
      <c r="C8" s="93"/>
      <c r="D8" s="180">
        <v>817.75</v>
      </c>
      <c r="E8" s="112" t="s">
        <v>21</v>
      </c>
      <c r="F8" s="112" t="s">
        <v>21</v>
      </c>
      <c r="G8" s="112" t="s">
        <v>21</v>
      </c>
      <c r="H8" s="112" t="s">
        <v>21</v>
      </c>
      <c r="I8" s="93"/>
      <c r="J8" s="112" t="s">
        <v>21</v>
      </c>
      <c r="K8" s="112" t="s">
        <v>21</v>
      </c>
      <c r="L8" s="112" t="s">
        <v>21</v>
      </c>
      <c r="M8" s="112" t="s">
        <v>21</v>
      </c>
      <c r="N8" s="112" t="s">
        <v>21</v>
      </c>
      <c r="O8" s="93"/>
      <c r="P8" s="112" t="s">
        <v>21</v>
      </c>
      <c r="Q8" s="112" t="s">
        <v>21</v>
      </c>
      <c r="R8" s="112" t="s">
        <v>21</v>
      </c>
      <c r="S8" s="112" t="s">
        <v>21</v>
      </c>
      <c r="T8" s="112" t="s">
        <v>21</v>
      </c>
      <c r="U8" s="112" t="s">
        <v>21</v>
      </c>
      <c r="V8" s="10" t="s">
        <v>21</v>
      </c>
      <c r="W8" s="10" t="s">
        <v>21</v>
      </c>
      <c r="X8" s="10" t="s">
        <v>21</v>
      </c>
      <c r="Y8" s="7">
        <f t="shared" si="1"/>
        <v>817.75</v>
      </c>
      <c r="Z8" s="97">
        <v>4977.24</v>
      </c>
      <c r="AA8" s="59">
        <f t="shared" si="2"/>
        <v>0.164297884</v>
      </c>
      <c r="AB8" s="109">
        <f t="shared" si="3"/>
        <v>45347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Z9" s="129"/>
      <c r="AB9" s="106"/>
    </row>
    <row r="10">
      <c r="A10" s="164" t="s">
        <v>193</v>
      </c>
      <c r="B10" s="78"/>
      <c r="C10" s="78"/>
      <c r="D10" s="78"/>
      <c r="E10" s="188"/>
      <c r="F10" s="188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Z10" s="129"/>
      <c r="AB10" s="106"/>
    </row>
    <row r="11">
      <c r="A11" s="165" t="s">
        <v>194</v>
      </c>
      <c r="B11" s="93">
        <f>33.99+27.83+38.1+188.8+46.04+12.88+46.32+100.9+17.34+69.47+54.78+12.78+88.71+47.48+42.16+96.6+16.48+7.05+17.17+96.6+36.67</f>
        <v>1098.15</v>
      </c>
      <c r="C11" s="93"/>
      <c r="D11" s="93">
        <v>270.0</v>
      </c>
      <c r="E11" s="167"/>
      <c r="F11" s="168"/>
      <c r="G11" s="166"/>
      <c r="H11" s="166"/>
      <c r="I11" s="93"/>
      <c r="J11" s="168"/>
      <c r="K11" s="93">
        <v>43.4</v>
      </c>
      <c r="L11" s="166"/>
      <c r="M11" s="168"/>
      <c r="N11" s="166"/>
      <c r="O11" s="168"/>
      <c r="P11" s="1"/>
      <c r="Q11" s="1"/>
      <c r="R11" s="1"/>
      <c r="S11" s="1"/>
      <c r="T11" s="1"/>
      <c r="U11" s="1"/>
      <c r="V11" s="168"/>
      <c r="W11" s="168"/>
      <c r="X11" s="1"/>
      <c r="Y11" s="1"/>
      <c r="Z11" s="169"/>
      <c r="AA11" s="1"/>
      <c r="AB11" s="170"/>
    </row>
    <row r="12">
      <c r="A12" s="165" t="s">
        <v>195</v>
      </c>
      <c r="B12" s="93">
        <f>50.74+265.2+69.84+8.25+42.07+65.91+38.1+56.19+99.12+39.8+51.25+88.71+129.24+28.28</f>
        <v>1032.7</v>
      </c>
      <c r="C12" s="93">
        <v>77.76</v>
      </c>
      <c r="D12" s="93">
        <f>70.28+100.05+118</f>
        <v>288.33</v>
      </c>
      <c r="E12" s="93"/>
      <c r="F12" s="93"/>
      <c r="G12" s="93"/>
      <c r="H12" s="93"/>
      <c r="I12" s="93">
        <f>198+190</f>
        <v>388</v>
      </c>
      <c r="J12" s="93"/>
      <c r="K12" s="93"/>
      <c r="L12" s="93"/>
      <c r="M12" s="93"/>
      <c r="N12" s="93">
        <v>300.0</v>
      </c>
      <c r="O12" s="166"/>
      <c r="P12" s="1"/>
      <c r="Q12" s="1"/>
      <c r="R12" s="168"/>
      <c r="S12" s="168"/>
      <c r="T12" s="1"/>
      <c r="U12" s="96"/>
      <c r="V12" s="168"/>
      <c r="W12" s="168"/>
      <c r="X12" s="1"/>
      <c r="Y12" s="1"/>
      <c r="Z12" s="171"/>
      <c r="AA12" s="1"/>
      <c r="AB12" s="170"/>
    </row>
    <row r="13">
      <c r="A13" s="172" t="s">
        <v>245</v>
      </c>
      <c r="B13" s="93"/>
      <c r="C13" s="93"/>
      <c r="D13" s="93"/>
      <c r="E13" s="168"/>
      <c r="F13" s="166"/>
      <c r="G13" s="168"/>
      <c r="H13" s="168"/>
      <c r="I13" s="168"/>
      <c r="J13" s="168"/>
      <c r="K13" s="168"/>
      <c r="L13" s="168"/>
      <c r="M13" s="168"/>
      <c r="N13" s="166"/>
      <c r="O13" s="168"/>
      <c r="P13" s="1"/>
      <c r="Q13" s="1"/>
      <c r="R13" s="168"/>
      <c r="S13" s="168"/>
      <c r="T13" s="1"/>
      <c r="U13" s="96"/>
      <c r="V13" s="168"/>
      <c r="W13" s="168"/>
      <c r="X13" s="1"/>
      <c r="Y13" s="1"/>
      <c r="Z13" s="174"/>
      <c r="AA13" s="1"/>
      <c r="AB13" s="170"/>
    </row>
    <row r="14">
      <c r="A14" s="165" t="s">
        <v>198</v>
      </c>
      <c r="B14" s="93">
        <f>40.85+83.03+84.8</f>
        <v>208.68</v>
      </c>
      <c r="C14" s="93"/>
      <c r="D14" s="93">
        <v>161.2</v>
      </c>
      <c r="E14" s="168"/>
      <c r="F14" s="166"/>
      <c r="G14" s="168"/>
      <c r="H14" s="168"/>
      <c r="I14" s="168"/>
      <c r="J14" s="168"/>
      <c r="K14" s="168"/>
      <c r="L14" s="168"/>
      <c r="M14" s="168"/>
      <c r="N14" s="166"/>
      <c r="O14" s="168"/>
      <c r="P14" s="1"/>
      <c r="Q14" s="1"/>
      <c r="R14" s="168"/>
      <c r="S14" s="168"/>
      <c r="T14" s="1"/>
      <c r="U14" s="96"/>
      <c r="V14" s="168"/>
      <c r="W14" s="168"/>
      <c r="X14" s="1"/>
      <c r="Y14" s="1"/>
      <c r="Z14" s="174"/>
      <c r="AA14" s="1"/>
      <c r="AB14" s="170"/>
    </row>
    <row r="15">
      <c r="A15" s="91"/>
      <c r="B15" s="92"/>
      <c r="C15" s="79"/>
      <c r="D15" s="79"/>
      <c r="E15" s="79"/>
      <c r="F15" s="78"/>
      <c r="G15" s="78"/>
      <c r="H15" s="78"/>
      <c r="K15" s="79"/>
      <c r="L15" s="79"/>
      <c r="M15" s="78"/>
      <c r="N15" s="79"/>
      <c r="O15" s="79"/>
      <c r="R15" s="79"/>
      <c r="S15" s="79"/>
      <c r="V15" s="79"/>
      <c r="W15" s="79"/>
      <c r="Z15" s="131"/>
      <c r="AB15" s="106"/>
    </row>
    <row r="16">
      <c r="A16" s="91"/>
      <c r="B16" s="92"/>
      <c r="C16" s="78"/>
      <c r="D16" s="78"/>
      <c r="E16" s="78"/>
      <c r="F16" s="198"/>
      <c r="G16" s="204"/>
      <c r="H16" s="204"/>
      <c r="I16" s="198"/>
      <c r="J16" s="199"/>
      <c r="K16" s="199"/>
      <c r="L16" s="200"/>
      <c r="M16" s="201"/>
      <c r="N16" s="202"/>
      <c r="O16" s="198"/>
      <c r="P16" s="198"/>
      <c r="Q16" s="198"/>
      <c r="R16" s="198"/>
      <c r="S16" s="198"/>
      <c r="V16" s="79"/>
      <c r="W16" s="79"/>
      <c r="Z16" s="131"/>
      <c r="AB16" s="106"/>
    </row>
    <row r="17">
      <c r="A17" s="4" t="s">
        <v>22</v>
      </c>
      <c r="B17" s="11">
        <v>10000.0</v>
      </c>
      <c r="C17" s="79"/>
      <c r="D17" s="79"/>
      <c r="E17" s="79"/>
      <c r="F17" s="204"/>
      <c r="G17" s="201"/>
      <c r="H17" s="201"/>
      <c r="I17" s="201"/>
      <c r="J17" s="201"/>
      <c r="K17" s="201"/>
      <c r="L17" s="198"/>
      <c r="M17" s="201"/>
      <c r="N17" s="200"/>
      <c r="O17" s="203"/>
      <c r="P17" s="198"/>
      <c r="Q17" s="198"/>
      <c r="R17" s="198"/>
      <c r="S17" s="198"/>
      <c r="T17" s="204"/>
      <c r="V17" s="79"/>
      <c r="W17" s="79"/>
      <c r="Z17" s="131"/>
      <c r="AB17" s="106"/>
    </row>
    <row r="18">
      <c r="A18" s="4" t="s">
        <v>23</v>
      </c>
      <c r="B18" s="12">
        <f>SUM(B2:X8)</f>
        <v>11269.19</v>
      </c>
      <c r="C18" s="79"/>
      <c r="D18" s="177"/>
      <c r="E18" s="78"/>
      <c r="F18" s="213"/>
      <c r="G18" s="201"/>
      <c r="H18" s="201"/>
      <c r="I18" s="201"/>
      <c r="J18" s="191"/>
      <c r="K18" s="201"/>
      <c r="L18" s="198"/>
      <c r="M18" s="200"/>
      <c r="N18" s="201"/>
      <c r="O18" s="203"/>
      <c r="P18" s="198"/>
      <c r="Q18" s="198"/>
      <c r="R18" s="198"/>
      <c r="S18" s="198"/>
      <c r="T18" s="204"/>
      <c r="V18" s="79"/>
      <c r="W18" s="79"/>
      <c r="Z18" s="131"/>
      <c r="AB18" s="106"/>
    </row>
    <row r="19">
      <c r="A19" s="4" t="s">
        <v>24</v>
      </c>
      <c r="B19" s="12">
        <f> SUM(B17-B18)</f>
        <v>-1269.19</v>
      </c>
      <c r="C19" s="79"/>
      <c r="D19" s="79"/>
      <c r="E19" s="78"/>
      <c r="F19" s="201"/>
      <c r="G19" s="214"/>
      <c r="H19" s="203"/>
      <c r="I19" s="203"/>
      <c r="J19" s="218"/>
      <c r="K19" s="199"/>
      <c r="L19" s="203"/>
      <c r="M19" s="201"/>
      <c r="N19" s="200"/>
      <c r="O19" s="203"/>
      <c r="P19" s="198"/>
      <c r="Q19" s="198"/>
      <c r="R19" s="198"/>
      <c r="S19" s="198"/>
      <c r="T19" s="204"/>
      <c r="V19" s="79"/>
      <c r="W19" s="79"/>
      <c r="Z19" s="131"/>
      <c r="AB19" s="106"/>
    </row>
    <row r="20">
      <c r="C20" s="79"/>
      <c r="D20" s="79"/>
      <c r="E20" s="78"/>
      <c r="F20" s="213"/>
      <c r="G20" s="214"/>
      <c r="H20" s="203"/>
      <c r="I20" s="203"/>
      <c r="J20" s="203"/>
      <c r="K20" s="203"/>
      <c r="L20" s="201"/>
      <c r="M20" s="201"/>
      <c r="N20" s="198"/>
      <c r="O20" s="203"/>
      <c r="P20" s="198"/>
      <c r="Q20" s="206"/>
      <c r="R20" s="198"/>
      <c r="S20" s="198"/>
      <c r="T20" s="204"/>
      <c r="V20" s="79"/>
      <c r="W20" s="79"/>
      <c r="Z20" s="131"/>
      <c r="AB20" s="106"/>
    </row>
    <row r="21">
      <c r="A21" s="13" t="s">
        <v>25</v>
      </c>
      <c r="B21" s="14">
        <f>SUM(Z2:Z8)</f>
        <v>47256</v>
      </c>
      <c r="C21" s="79"/>
      <c r="D21" s="79"/>
      <c r="E21" s="78"/>
      <c r="F21" s="201"/>
      <c r="G21" s="201"/>
      <c r="H21" s="201"/>
      <c r="I21" s="203"/>
      <c r="J21" s="203"/>
      <c r="K21" s="203"/>
      <c r="L21" s="206"/>
      <c r="M21" s="201"/>
      <c r="N21" s="198"/>
      <c r="O21" s="203"/>
      <c r="P21" s="198"/>
      <c r="Q21" s="198"/>
      <c r="R21" s="198"/>
      <c r="S21" s="198"/>
      <c r="T21" s="204"/>
      <c r="V21" s="79"/>
      <c r="W21" s="79"/>
      <c r="Z21" s="181"/>
      <c r="AB21" s="106"/>
    </row>
    <row r="22">
      <c r="A22" s="13" t="s">
        <v>26</v>
      </c>
      <c r="B22" s="15">
        <f>B18/B21</f>
        <v>0.2384710936</v>
      </c>
      <c r="C22" s="79"/>
      <c r="D22" s="79"/>
      <c r="E22" s="78"/>
      <c r="F22" s="204"/>
      <c r="G22" s="213"/>
      <c r="H22" s="224"/>
      <c r="I22" s="203"/>
      <c r="J22" s="203"/>
      <c r="K22" s="203"/>
      <c r="L22" s="198"/>
      <c r="M22" s="200"/>
      <c r="N22" s="203"/>
      <c r="O22" s="203"/>
      <c r="P22" s="198"/>
      <c r="Q22" s="198"/>
      <c r="R22" s="198"/>
      <c r="S22" s="198"/>
      <c r="T22" s="204"/>
      <c r="V22" s="79"/>
      <c r="W22" s="79"/>
      <c r="Z22" s="130"/>
      <c r="AB22" s="106"/>
    </row>
    <row r="23">
      <c r="C23" s="79"/>
      <c r="D23" s="79"/>
      <c r="E23" s="78"/>
      <c r="F23" s="204"/>
      <c r="G23" s="204"/>
      <c r="H23" s="213"/>
      <c r="I23" s="203"/>
      <c r="J23" s="203"/>
      <c r="K23" s="203"/>
      <c r="L23" s="198"/>
      <c r="M23" s="198"/>
      <c r="N23" s="201"/>
      <c r="O23" s="198"/>
      <c r="P23" s="198"/>
      <c r="Q23" s="198"/>
      <c r="R23" s="198"/>
      <c r="S23" s="198"/>
      <c r="T23" s="204"/>
      <c r="V23" s="79"/>
      <c r="W23" s="79"/>
      <c r="Z23" s="182"/>
      <c r="AB23" s="106"/>
    </row>
    <row r="24">
      <c r="C24" s="79"/>
      <c r="D24" s="79"/>
      <c r="E24" s="79"/>
      <c r="F24" s="204"/>
      <c r="G24" s="213"/>
      <c r="H24" s="213"/>
      <c r="I24" s="203"/>
      <c r="J24" s="203"/>
      <c r="K24" s="203"/>
      <c r="L24" s="198"/>
      <c r="M24" s="201"/>
      <c r="N24" s="201"/>
      <c r="O24" s="198"/>
      <c r="P24" s="198"/>
      <c r="Q24" s="198"/>
      <c r="R24" s="198"/>
      <c r="S24" s="198"/>
      <c r="T24" s="204"/>
      <c r="V24" s="79"/>
      <c r="W24" s="79"/>
      <c r="Z24" s="130"/>
      <c r="AB24" s="106"/>
    </row>
    <row r="25">
      <c r="A25" s="16" t="s">
        <v>27</v>
      </c>
      <c r="B25" s="17"/>
      <c r="C25" s="114"/>
      <c r="D25" s="114"/>
      <c r="E25" s="115"/>
      <c r="F25" s="204"/>
      <c r="G25" s="204"/>
      <c r="H25" s="213"/>
      <c r="I25" s="203"/>
      <c r="J25" s="203"/>
      <c r="K25" s="236"/>
      <c r="L25" s="208"/>
      <c r="M25" s="208"/>
      <c r="N25" s="198"/>
      <c r="O25" s="200"/>
      <c r="P25" s="198"/>
      <c r="Q25" s="198"/>
      <c r="R25" s="198"/>
      <c r="S25" s="198"/>
      <c r="T25" s="204"/>
      <c r="V25" s="79"/>
      <c r="W25" s="79"/>
      <c r="Z25" s="130"/>
      <c r="AB25" s="106"/>
    </row>
    <row r="26">
      <c r="A26" s="19" t="s">
        <v>28</v>
      </c>
      <c r="B26" s="20"/>
      <c r="C26" s="116"/>
      <c r="D26" s="116"/>
      <c r="E26" s="117"/>
      <c r="F26" s="204"/>
      <c r="G26" s="204"/>
      <c r="H26" s="213"/>
      <c r="I26" s="203"/>
      <c r="J26" s="203"/>
      <c r="K26" s="203"/>
      <c r="L26" s="209"/>
      <c r="M26" s="209"/>
      <c r="N26" s="201"/>
      <c r="O26" s="198"/>
      <c r="P26" s="198"/>
      <c r="Q26" s="198"/>
      <c r="R26" s="198"/>
      <c r="S26" s="198"/>
      <c r="T26" s="204"/>
      <c r="V26" s="79"/>
      <c r="W26" s="79"/>
      <c r="Z26" s="130"/>
      <c r="AB26" s="106"/>
    </row>
    <row r="27">
      <c r="A27" s="183" t="s">
        <v>29</v>
      </c>
      <c r="B27" s="184" t="s">
        <v>30</v>
      </c>
      <c r="C27" s="183"/>
      <c r="D27" s="183" t="s">
        <v>170</v>
      </c>
      <c r="E27" s="219" t="s">
        <v>171</v>
      </c>
      <c r="F27" s="204"/>
      <c r="G27" s="204"/>
      <c r="H27" s="213"/>
      <c r="I27" s="203"/>
      <c r="J27" s="203"/>
      <c r="K27" s="201"/>
      <c r="L27" s="209"/>
      <c r="M27" s="209"/>
      <c r="N27" s="198"/>
      <c r="O27" s="198"/>
      <c r="P27" s="198"/>
      <c r="Q27" s="198"/>
      <c r="R27" s="198"/>
      <c r="S27" s="198"/>
      <c r="T27" s="204"/>
      <c r="V27" s="79"/>
      <c r="W27" s="79"/>
      <c r="Z27" s="130"/>
      <c r="AB27" s="106"/>
    </row>
    <row r="28">
      <c r="A28" s="221" t="s">
        <v>41</v>
      </c>
      <c r="B28" s="222">
        <f>1352.07</f>
        <v>1352.07</v>
      </c>
      <c r="C28" s="223"/>
      <c r="D28" s="223"/>
      <c r="E28" s="221" t="s">
        <v>246</v>
      </c>
      <c r="I28" s="195"/>
      <c r="K28" s="204"/>
      <c r="L28" s="204"/>
      <c r="M28" s="198"/>
      <c r="R28" s="79"/>
      <c r="S28" s="79"/>
      <c r="V28" s="79"/>
      <c r="W28" s="79"/>
      <c r="Z28" s="130"/>
      <c r="AB28" s="106"/>
    </row>
    <row r="29">
      <c r="A29" s="221" t="s">
        <v>241</v>
      </c>
      <c r="B29" s="222">
        <v>550.0</v>
      </c>
      <c r="C29" s="223"/>
      <c r="D29" s="223"/>
      <c r="E29" s="221" t="s">
        <v>246</v>
      </c>
      <c r="F29" s="204"/>
      <c r="G29" s="204"/>
      <c r="H29" s="213"/>
      <c r="I29" s="203"/>
      <c r="J29" s="217"/>
      <c r="K29" s="201"/>
      <c r="L29" s="198"/>
      <c r="M29" s="198"/>
      <c r="N29" s="198"/>
      <c r="O29" s="198"/>
      <c r="P29" s="198"/>
      <c r="Q29" s="198"/>
      <c r="R29" s="198"/>
      <c r="S29" s="198"/>
      <c r="T29" s="204"/>
      <c r="V29" s="79"/>
      <c r="W29" s="79"/>
      <c r="Z29" s="130"/>
      <c r="AB29" s="106"/>
    </row>
    <row r="30">
      <c r="A30" s="237" t="s">
        <v>41</v>
      </c>
      <c r="B30" s="238">
        <v>2346.34</v>
      </c>
      <c r="C30" s="239"/>
      <c r="D30" s="239"/>
      <c r="E30" s="237" t="s">
        <v>247</v>
      </c>
      <c r="K30" s="204"/>
      <c r="L30" s="204"/>
      <c r="M30" s="198"/>
      <c r="R30" s="79"/>
      <c r="S30" s="79"/>
      <c r="V30" s="79"/>
      <c r="W30" s="79"/>
      <c r="Z30" s="130"/>
      <c r="AB30" s="106"/>
    </row>
    <row r="31">
      <c r="A31" s="237" t="s">
        <v>238</v>
      </c>
      <c r="B31" s="238">
        <v>225.8</v>
      </c>
      <c r="C31" s="239"/>
      <c r="D31" s="239"/>
      <c r="E31" s="237" t="s">
        <v>248</v>
      </c>
      <c r="K31" s="204"/>
      <c r="L31" s="204"/>
      <c r="M31" s="198"/>
      <c r="R31" s="79"/>
      <c r="S31" s="79"/>
      <c r="V31" s="79"/>
      <c r="W31" s="79"/>
      <c r="Z31" s="130"/>
      <c r="AB31" s="106"/>
    </row>
    <row r="32">
      <c r="A32" s="237" t="s">
        <v>249</v>
      </c>
      <c r="B32" s="238">
        <f>159+195.9</f>
        <v>354.9</v>
      </c>
      <c r="C32" s="239"/>
      <c r="D32" s="239"/>
      <c r="E32" s="237" t="s">
        <v>248</v>
      </c>
      <c r="K32" s="204"/>
      <c r="L32" s="204"/>
      <c r="M32" s="198"/>
      <c r="R32" s="79"/>
      <c r="S32" s="79"/>
      <c r="V32" s="79"/>
      <c r="W32" s="79"/>
      <c r="Z32" s="130"/>
      <c r="AB32" s="106"/>
    </row>
    <row r="33">
      <c r="A33" s="237" t="s">
        <v>250</v>
      </c>
      <c r="B33" s="238">
        <f>174+134+349.65</f>
        <v>657.65</v>
      </c>
      <c r="C33" s="239"/>
      <c r="D33" s="239"/>
      <c r="E33" s="237" t="s">
        <v>248</v>
      </c>
      <c r="K33" s="204"/>
      <c r="L33" s="204"/>
      <c r="M33" s="198"/>
      <c r="R33" s="79"/>
      <c r="S33" s="79"/>
      <c r="V33" s="79"/>
      <c r="W33" s="79"/>
      <c r="Z33" s="130"/>
      <c r="AB33" s="106"/>
    </row>
    <row r="34">
      <c r="C34" s="79"/>
      <c r="D34" s="79"/>
      <c r="E34" s="79"/>
      <c r="M34" s="79"/>
      <c r="R34" s="79"/>
      <c r="S34" s="79"/>
      <c r="V34" s="79"/>
      <c r="W34" s="79"/>
      <c r="Z34" s="130"/>
      <c r="AB34" s="106"/>
    </row>
    <row r="35">
      <c r="C35" s="79"/>
      <c r="D35" s="79"/>
      <c r="E35" s="79"/>
      <c r="M35" s="79"/>
      <c r="R35" s="79"/>
      <c r="S35" s="79"/>
      <c r="V35" s="79"/>
      <c r="W35" s="79"/>
      <c r="Z35" s="130"/>
      <c r="AB35" s="106"/>
    </row>
    <row r="36">
      <c r="C36" s="79"/>
      <c r="D36" s="79"/>
      <c r="E36" s="79"/>
      <c r="M36" s="79"/>
      <c r="R36" s="79"/>
      <c r="S36" s="79"/>
      <c r="V36" s="79"/>
      <c r="W36" s="79"/>
      <c r="Z36" s="130"/>
      <c r="AB36" s="106"/>
    </row>
    <row r="37">
      <c r="C37" s="79"/>
      <c r="D37" s="79"/>
      <c r="E37" s="79"/>
      <c r="M37" s="79"/>
      <c r="R37" s="79"/>
      <c r="S37" s="79"/>
      <c r="V37" s="79"/>
      <c r="W37" s="79"/>
      <c r="Z37" s="130"/>
      <c r="AB37" s="106"/>
    </row>
    <row r="38">
      <c r="C38" s="79"/>
      <c r="D38" s="79"/>
      <c r="E38" s="79"/>
      <c r="M38" s="79"/>
      <c r="R38" s="79"/>
      <c r="S38" s="79"/>
      <c r="V38" s="79"/>
      <c r="W38" s="79"/>
      <c r="Z38" s="130"/>
      <c r="AB38" s="106"/>
    </row>
    <row r="39">
      <c r="C39" s="79"/>
      <c r="D39" s="79"/>
      <c r="E39" s="79"/>
      <c r="M39" s="79"/>
      <c r="R39" s="79"/>
      <c r="S39" s="79"/>
      <c r="V39" s="79"/>
      <c r="W39" s="79"/>
      <c r="Z39" s="130"/>
      <c r="AB39" s="106"/>
    </row>
    <row r="40">
      <c r="C40" s="79"/>
      <c r="D40" s="79"/>
      <c r="E40" s="79"/>
      <c r="M40" s="79"/>
      <c r="R40" s="79"/>
      <c r="S40" s="79"/>
      <c r="V40" s="79"/>
      <c r="W40" s="79"/>
      <c r="Z40" s="130"/>
      <c r="AB40" s="106"/>
    </row>
    <row r="41">
      <c r="C41" s="79"/>
      <c r="D41" s="79"/>
      <c r="E41" s="79"/>
      <c r="M41" s="79"/>
      <c r="R41" s="79"/>
      <c r="S41" s="79"/>
      <c r="V41" s="79"/>
      <c r="W41" s="79"/>
      <c r="Z41" s="130"/>
      <c r="AB41" s="106"/>
    </row>
    <row r="42">
      <c r="C42" s="79"/>
      <c r="D42" s="79"/>
      <c r="E42" s="79"/>
      <c r="M42" s="79"/>
      <c r="R42" s="79"/>
      <c r="S42" s="79"/>
      <c r="V42" s="79"/>
      <c r="W42" s="79"/>
      <c r="Z42" s="130"/>
      <c r="AB42" s="106"/>
    </row>
    <row r="43">
      <c r="C43" s="79"/>
      <c r="D43" s="79"/>
      <c r="E43" s="79"/>
      <c r="M43" s="79"/>
      <c r="R43" s="79"/>
      <c r="S43" s="79"/>
      <c r="V43" s="79"/>
      <c r="W43" s="79"/>
      <c r="Z43" s="130"/>
      <c r="AB43" s="106"/>
    </row>
    <row r="44">
      <c r="C44" s="79"/>
      <c r="D44" s="79"/>
      <c r="E44" s="79"/>
      <c r="M44" s="79"/>
      <c r="R44" s="79"/>
      <c r="S44" s="79"/>
      <c r="V44" s="79"/>
      <c r="W44" s="79"/>
      <c r="Z44" s="130"/>
      <c r="AB44" s="106"/>
    </row>
    <row r="45">
      <c r="C45" s="79"/>
      <c r="D45" s="79"/>
      <c r="E45" s="79"/>
      <c r="M45" s="79"/>
      <c r="R45" s="79"/>
      <c r="S45" s="79"/>
      <c r="V45" s="79"/>
      <c r="W45" s="79"/>
      <c r="Z45" s="130"/>
      <c r="AB45" s="106"/>
    </row>
    <row r="46">
      <c r="C46" s="79"/>
      <c r="D46" s="79"/>
      <c r="E46" s="79"/>
      <c r="M46" s="79"/>
      <c r="R46" s="79"/>
      <c r="S46" s="79"/>
      <c r="V46" s="79"/>
      <c r="W46" s="79"/>
      <c r="Z46" s="130"/>
      <c r="AB46" s="106"/>
    </row>
    <row r="47">
      <c r="C47" s="79"/>
      <c r="D47" s="79"/>
      <c r="E47" s="79"/>
      <c r="M47" s="79"/>
      <c r="R47" s="79"/>
      <c r="S47" s="79"/>
      <c r="V47" s="79"/>
      <c r="W47" s="79"/>
      <c r="Z47" s="130"/>
      <c r="AB47" s="106"/>
    </row>
    <row r="48">
      <c r="C48" s="79"/>
      <c r="D48" s="79"/>
      <c r="E48" s="79"/>
      <c r="M48" s="79"/>
      <c r="R48" s="79"/>
      <c r="S48" s="79"/>
      <c r="V48" s="79"/>
      <c r="W48" s="79"/>
      <c r="Z48" s="130"/>
      <c r="AB48" s="106"/>
    </row>
    <row r="49">
      <c r="C49" s="79"/>
      <c r="D49" s="79"/>
      <c r="E49" s="79"/>
      <c r="M49" s="79"/>
      <c r="R49" s="79"/>
      <c r="S49" s="79"/>
      <c r="V49" s="79"/>
      <c r="W49" s="79"/>
      <c r="Z49" s="130"/>
      <c r="AB49" s="106"/>
    </row>
    <row r="50">
      <c r="C50" s="79"/>
      <c r="D50" s="79"/>
      <c r="E50" s="79"/>
      <c r="M50" s="79"/>
      <c r="R50" s="79"/>
      <c r="S50" s="79"/>
      <c r="V50" s="79"/>
      <c r="W50" s="79"/>
      <c r="Z50" s="130"/>
      <c r="AB50" s="106"/>
    </row>
    <row r="51">
      <c r="C51" s="79"/>
      <c r="D51" s="79"/>
      <c r="E51" s="79"/>
      <c r="M51" s="79"/>
      <c r="R51" s="79"/>
      <c r="S51" s="79"/>
      <c r="V51" s="79"/>
      <c r="W51" s="79"/>
      <c r="Z51" s="130"/>
      <c r="AB51" s="106"/>
    </row>
    <row r="52">
      <c r="C52" s="79"/>
      <c r="D52" s="79"/>
      <c r="E52" s="79"/>
      <c r="M52" s="79"/>
      <c r="R52" s="79"/>
      <c r="S52" s="79"/>
      <c r="V52" s="79"/>
      <c r="W52" s="79"/>
      <c r="Z52" s="130"/>
      <c r="AB52" s="106"/>
    </row>
    <row r="53">
      <c r="C53" s="79"/>
      <c r="D53" s="79"/>
      <c r="E53" s="79"/>
      <c r="M53" s="79"/>
      <c r="R53" s="79"/>
      <c r="S53" s="79"/>
      <c r="V53" s="79"/>
      <c r="W53" s="79"/>
      <c r="Z53" s="130"/>
      <c r="AB53" s="106"/>
    </row>
    <row r="54">
      <c r="C54" s="79"/>
      <c r="D54" s="79"/>
      <c r="E54" s="79"/>
      <c r="M54" s="79"/>
      <c r="R54" s="79"/>
      <c r="S54" s="79"/>
      <c r="V54" s="79"/>
      <c r="W54" s="79"/>
      <c r="Z54" s="130"/>
      <c r="AB54" s="106"/>
    </row>
    <row r="55">
      <c r="C55" s="79"/>
      <c r="D55" s="79"/>
      <c r="E55" s="79"/>
      <c r="M55" s="79"/>
      <c r="R55" s="79"/>
      <c r="S55" s="79"/>
      <c r="V55" s="79"/>
      <c r="W55" s="79"/>
      <c r="Z55" s="130"/>
      <c r="AB55" s="106"/>
    </row>
    <row r="56">
      <c r="C56" s="79"/>
      <c r="D56" s="79"/>
      <c r="E56" s="79"/>
      <c r="M56" s="79"/>
      <c r="R56" s="79"/>
      <c r="S56" s="79"/>
      <c r="V56" s="79"/>
      <c r="W56" s="79"/>
      <c r="Z56" s="130"/>
      <c r="AB56" s="106"/>
    </row>
    <row r="57">
      <c r="C57" s="79"/>
      <c r="D57" s="79"/>
      <c r="E57" s="79"/>
      <c r="M57" s="79"/>
      <c r="R57" s="79"/>
      <c r="S57" s="79"/>
      <c r="V57" s="79"/>
      <c r="W57" s="79"/>
      <c r="Z57" s="130"/>
      <c r="AB57" s="106"/>
    </row>
    <row r="58">
      <c r="C58" s="79"/>
      <c r="D58" s="79"/>
      <c r="E58" s="79"/>
      <c r="M58" s="79"/>
      <c r="R58" s="79"/>
      <c r="S58" s="79"/>
      <c r="V58" s="79"/>
      <c r="W58" s="79"/>
      <c r="Z58" s="130"/>
      <c r="AB58" s="106"/>
    </row>
    <row r="59">
      <c r="C59" s="79"/>
      <c r="D59" s="79"/>
      <c r="E59" s="79"/>
      <c r="M59" s="79"/>
      <c r="R59" s="79"/>
      <c r="S59" s="79"/>
      <c r="V59" s="79"/>
      <c r="W59" s="79"/>
      <c r="Z59" s="130"/>
      <c r="AB59" s="106"/>
    </row>
    <row r="60">
      <c r="C60" s="79"/>
      <c r="D60" s="79"/>
      <c r="E60" s="79"/>
      <c r="M60" s="79"/>
      <c r="R60" s="79"/>
      <c r="S60" s="79"/>
      <c r="V60" s="79"/>
      <c r="W60" s="79"/>
      <c r="Z60" s="130"/>
      <c r="AB60" s="106"/>
    </row>
    <row r="61">
      <c r="C61" s="79"/>
      <c r="D61" s="79"/>
      <c r="E61" s="79"/>
      <c r="M61" s="79"/>
      <c r="R61" s="79"/>
      <c r="S61" s="79"/>
      <c r="V61" s="79"/>
      <c r="W61" s="79"/>
      <c r="Z61" s="130"/>
      <c r="AB61" s="106"/>
    </row>
    <row r="62">
      <c r="C62" s="79"/>
      <c r="D62" s="79"/>
      <c r="E62" s="79"/>
      <c r="M62" s="79"/>
      <c r="R62" s="79"/>
      <c r="S62" s="79"/>
      <c r="V62" s="79"/>
      <c r="W62" s="79"/>
      <c r="Z62" s="130"/>
      <c r="AB62" s="106"/>
    </row>
    <row r="63">
      <c r="C63" s="79"/>
      <c r="D63" s="79"/>
      <c r="E63" s="79"/>
      <c r="M63" s="79"/>
      <c r="R63" s="79"/>
      <c r="S63" s="79"/>
      <c r="V63" s="79"/>
      <c r="W63" s="79"/>
      <c r="Z63" s="130"/>
      <c r="AB63" s="106"/>
    </row>
    <row r="64">
      <c r="C64" s="79"/>
      <c r="D64" s="79"/>
      <c r="E64" s="79"/>
      <c r="M64" s="79"/>
      <c r="R64" s="79"/>
      <c r="S64" s="79"/>
      <c r="V64" s="79"/>
      <c r="W64" s="79"/>
      <c r="Z64" s="130"/>
      <c r="AB64" s="106"/>
    </row>
    <row r="65">
      <c r="C65" s="79"/>
      <c r="D65" s="79"/>
      <c r="E65" s="79"/>
      <c r="M65" s="79"/>
      <c r="R65" s="79"/>
      <c r="S65" s="79"/>
      <c r="V65" s="79"/>
      <c r="W65" s="79"/>
      <c r="Z65" s="130"/>
      <c r="AB65" s="106"/>
    </row>
    <row r="66">
      <c r="C66" s="79"/>
      <c r="D66" s="79"/>
      <c r="E66" s="79"/>
      <c r="M66" s="79"/>
      <c r="R66" s="79"/>
      <c r="S66" s="79"/>
      <c r="V66" s="79"/>
      <c r="W66" s="79"/>
      <c r="Z66" s="130"/>
      <c r="AB66" s="106"/>
    </row>
    <row r="67">
      <c r="C67" s="79"/>
      <c r="D67" s="79"/>
      <c r="E67" s="79"/>
      <c r="M67" s="79"/>
      <c r="R67" s="79"/>
      <c r="S67" s="79"/>
      <c r="V67" s="79"/>
      <c r="W67" s="79"/>
      <c r="Z67" s="130"/>
      <c r="AB67" s="106"/>
    </row>
    <row r="68">
      <c r="C68" s="79"/>
      <c r="D68" s="79"/>
      <c r="E68" s="79"/>
      <c r="M68" s="79"/>
      <c r="R68" s="79"/>
      <c r="S68" s="79"/>
      <c r="V68" s="79"/>
      <c r="W68" s="79"/>
      <c r="Z68" s="130"/>
      <c r="AB68" s="106"/>
    </row>
    <row r="69">
      <c r="C69" s="79"/>
      <c r="D69" s="79"/>
      <c r="E69" s="79"/>
      <c r="M69" s="79"/>
      <c r="R69" s="79"/>
      <c r="S69" s="79"/>
      <c r="V69" s="79"/>
      <c r="W69" s="79"/>
      <c r="Z69" s="130"/>
      <c r="AB69" s="106"/>
    </row>
    <row r="70">
      <c r="C70" s="79"/>
      <c r="D70" s="79"/>
      <c r="E70" s="79"/>
      <c r="M70" s="79"/>
      <c r="R70" s="79"/>
      <c r="S70" s="79"/>
      <c r="V70" s="79"/>
      <c r="W70" s="79"/>
      <c r="Z70" s="130"/>
      <c r="AB70" s="106"/>
    </row>
    <row r="71">
      <c r="C71" s="79"/>
      <c r="D71" s="79"/>
      <c r="E71" s="79"/>
      <c r="M71" s="79"/>
      <c r="R71" s="79"/>
      <c r="S71" s="79"/>
      <c r="V71" s="79"/>
      <c r="W71" s="79"/>
      <c r="Z71" s="130"/>
      <c r="AB71" s="106"/>
    </row>
    <row r="72">
      <c r="C72" s="79"/>
      <c r="D72" s="79"/>
      <c r="E72" s="79"/>
      <c r="M72" s="79"/>
      <c r="R72" s="79"/>
      <c r="S72" s="79"/>
      <c r="V72" s="79"/>
      <c r="W72" s="79"/>
      <c r="Z72" s="130"/>
      <c r="AB72" s="106"/>
    </row>
    <row r="73">
      <c r="C73" s="79"/>
      <c r="D73" s="79"/>
      <c r="E73" s="79"/>
      <c r="M73" s="79"/>
      <c r="R73" s="79"/>
      <c r="S73" s="79"/>
      <c r="V73" s="79"/>
      <c r="W73" s="79"/>
      <c r="Z73" s="130"/>
      <c r="AB73" s="106"/>
    </row>
    <row r="74">
      <c r="C74" s="79"/>
      <c r="D74" s="79"/>
      <c r="E74" s="79"/>
      <c r="M74" s="79"/>
      <c r="R74" s="79"/>
      <c r="S74" s="79"/>
      <c r="V74" s="79"/>
      <c r="W74" s="79"/>
      <c r="Z74" s="130"/>
      <c r="AB74" s="106"/>
    </row>
    <row r="75">
      <c r="C75" s="79"/>
      <c r="D75" s="79"/>
      <c r="E75" s="79"/>
      <c r="M75" s="79"/>
      <c r="R75" s="79"/>
      <c r="S75" s="79"/>
      <c r="V75" s="79"/>
      <c r="W75" s="79"/>
      <c r="Z75" s="130"/>
      <c r="AB75" s="106"/>
    </row>
    <row r="76">
      <c r="C76" s="79"/>
      <c r="D76" s="79"/>
      <c r="E76" s="79"/>
      <c r="M76" s="79"/>
      <c r="R76" s="79"/>
      <c r="S76" s="79"/>
      <c r="V76" s="79"/>
      <c r="W76" s="79"/>
      <c r="Z76" s="130"/>
      <c r="AB76" s="106"/>
    </row>
    <row r="77">
      <c r="C77" s="79"/>
      <c r="D77" s="79"/>
      <c r="E77" s="79"/>
      <c r="M77" s="79"/>
      <c r="R77" s="79"/>
      <c r="S77" s="79"/>
      <c r="V77" s="79"/>
      <c r="W77" s="79"/>
      <c r="Z77" s="130"/>
      <c r="AB77" s="106"/>
    </row>
    <row r="78">
      <c r="C78" s="79"/>
      <c r="D78" s="79"/>
      <c r="E78" s="79"/>
      <c r="M78" s="79"/>
      <c r="R78" s="79"/>
      <c r="S78" s="79"/>
      <c r="V78" s="79"/>
      <c r="W78" s="79"/>
      <c r="Z78" s="130"/>
      <c r="AB78" s="106"/>
    </row>
    <row r="79">
      <c r="C79" s="79"/>
      <c r="D79" s="79"/>
      <c r="E79" s="79"/>
      <c r="M79" s="79"/>
      <c r="R79" s="79"/>
      <c r="S79" s="79"/>
      <c r="V79" s="79"/>
      <c r="W79" s="79"/>
      <c r="Z79" s="130"/>
      <c r="AB79" s="106"/>
    </row>
    <row r="80">
      <c r="C80" s="79"/>
      <c r="D80" s="79"/>
      <c r="E80" s="79"/>
      <c r="M80" s="79"/>
      <c r="R80" s="79"/>
      <c r="S80" s="79"/>
      <c r="V80" s="79"/>
      <c r="W80" s="79"/>
      <c r="Z80" s="130"/>
      <c r="AB80" s="106"/>
    </row>
    <row r="81">
      <c r="C81" s="79"/>
      <c r="D81" s="79"/>
      <c r="E81" s="79"/>
      <c r="M81" s="79"/>
      <c r="R81" s="79"/>
      <c r="S81" s="79"/>
      <c r="V81" s="79"/>
      <c r="W81" s="79"/>
      <c r="Z81" s="130"/>
      <c r="AB81" s="106"/>
    </row>
    <row r="82">
      <c r="C82" s="79"/>
      <c r="D82" s="79"/>
      <c r="E82" s="79"/>
      <c r="M82" s="79"/>
      <c r="R82" s="79"/>
      <c r="S82" s="79"/>
      <c r="V82" s="79"/>
      <c r="W82" s="79"/>
      <c r="Z82" s="130"/>
      <c r="AB82" s="106"/>
    </row>
    <row r="83">
      <c r="C83" s="79"/>
      <c r="D83" s="79"/>
      <c r="E83" s="79"/>
      <c r="M83" s="79"/>
      <c r="R83" s="79"/>
      <c r="S83" s="79"/>
      <c r="V83" s="79"/>
      <c r="W83" s="79"/>
      <c r="Z83" s="130"/>
      <c r="AB83" s="106"/>
    </row>
    <row r="84">
      <c r="C84" s="79"/>
      <c r="D84" s="79"/>
      <c r="E84" s="79"/>
      <c r="M84" s="79"/>
      <c r="R84" s="79"/>
      <c r="S84" s="79"/>
      <c r="V84" s="79"/>
      <c r="W84" s="79"/>
      <c r="Z84" s="130"/>
      <c r="AB84" s="106"/>
    </row>
    <row r="85">
      <c r="C85" s="79"/>
      <c r="D85" s="79"/>
      <c r="E85" s="79"/>
      <c r="M85" s="79"/>
      <c r="R85" s="79"/>
      <c r="S85" s="79"/>
      <c r="V85" s="79"/>
      <c r="W85" s="79"/>
      <c r="Z85" s="130"/>
      <c r="AB85" s="106"/>
    </row>
    <row r="86">
      <c r="C86" s="79"/>
      <c r="D86" s="79"/>
      <c r="E86" s="79"/>
      <c r="M86" s="79"/>
      <c r="R86" s="79"/>
      <c r="S86" s="79"/>
      <c r="V86" s="79"/>
      <c r="W86" s="79"/>
      <c r="Z86" s="130"/>
      <c r="AB86" s="106"/>
    </row>
    <row r="87">
      <c r="C87" s="79"/>
      <c r="D87" s="79"/>
      <c r="E87" s="79"/>
      <c r="M87" s="79"/>
      <c r="R87" s="79"/>
      <c r="S87" s="79"/>
      <c r="V87" s="79"/>
      <c r="W87" s="79"/>
      <c r="Z87" s="130"/>
      <c r="AB87" s="106"/>
    </row>
    <row r="88">
      <c r="C88" s="79"/>
      <c r="D88" s="79"/>
      <c r="E88" s="79"/>
      <c r="M88" s="79"/>
      <c r="R88" s="79"/>
      <c r="S88" s="79"/>
      <c r="V88" s="79"/>
      <c r="W88" s="79"/>
      <c r="Z88" s="130"/>
      <c r="AB88" s="106"/>
    </row>
    <row r="89">
      <c r="C89" s="79"/>
      <c r="D89" s="79"/>
      <c r="E89" s="79"/>
      <c r="M89" s="79"/>
      <c r="R89" s="79"/>
      <c r="S89" s="79"/>
      <c r="V89" s="79"/>
      <c r="W89" s="79"/>
      <c r="Z89" s="130"/>
      <c r="AB89" s="106"/>
    </row>
    <row r="90">
      <c r="C90" s="79"/>
      <c r="D90" s="79"/>
      <c r="E90" s="79"/>
      <c r="M90" s="79"/>
      <c r="R90" s="79"/>
      <c r="S90" s="79"/>
      <c r="V90" s="79"/>
      <c r="W90" s="79"/>
      <c r="Z90" s="130"/>
      <c r="AB90" s="106"/>
    </row>
    <row r="91">
      <c r="C91" s="79"/>
      <c r="D91" s="79"/>
      <c r="E91" s="79"/>
      <c r="M91" s="79"/>
      <c r="R91" s="79"/>
      <c r="S91" s="79"/>
      <c r="V91" s="79"/>
      <c r="W91" s="79"/>
      <c r="Z91" s="130"/>
      <c r="AB91" s="106"/>
    </row>
    <row r="92">
      <c r="C92" s="79"/>
      <c r="D92" s="79"/>
      <c r="E92" s="79"/>
      <c r="M92" s="79"/>
      <c r="R92" s="79"/>
      <c r="S92" s="79"/>
      <c r="V92" s="79"/>
      <c r="W92" s="79"/>
      <c r="Z92" s="130"/>
      <c r="AB92" s="106"/>
    </row>
    <row r="93">
      <c r="C93" s="79"/>
      <c r="D93" s="79"/>
      <c r="E93" s="79"/>
      <c r="M93" s="79"/>
      <c r="R93" s="79"/>
      <c r="S93" s="79"/>
      <c r="V93" s="79"/>
      <c r="W93" s="79"/>
      <c r="Z93" s="130"/>
      <c r="AB93" s="106"/>
    </row>
    <row r="94">
      <c r="C94" s="79"/>
      <c r="D94" s="79"/>
      <c r="E94" s="79"/>
      <c r="M94" s="79"/>
      <c r="R94" s="79"/>
      <c r="S94" s="79"/>
      <c r="V94" s="79"/>
      <c r="W94" s="79"/>
      <c r="Z94" s="130"/>
      <c r="AB94" s="106"/>
    </row>
    <row r="95">
      <c r="C95" s="79"/>
      <c r="D95" s="79"/>
      <c r="E95" s="79"/>
      <c r="M95" s="79"/>
      <c r="R95" s="79"/>
      <c r="S95" s="79"/>
      <c r="V95" s="79"/>
      <c r="W95" s="79"/>
      <c r="Z95" s="130"/>
      <c r="AB95" s="106"/>
    </row>
    <row r="96">
      <c r="C96" s="79"/>
      <c r="D96" s="79"/>
      <c r="E96" s="79"/>
      <c r="M96" s="79"/>
      <c r="R96" s="79"/>
      <c r="S96" s="79"/>
      <c r="V96" s="79"/>
      <c r="W96" s="79"/>
      <c r="Z96" s="130"/>
      <c r="AB96" s="106"/>
    </row>
    <row r="97">
      <c r="C97" s="79"/>
      <c r="D97" s="79"/>
      <c r="E97" s="79"/>
      <c r="M97" s="79"/>
      <c r="R97" s="79"/>
      <c r="S97" s="79"/>
      <c r="V97" s="79"/>
      <c r="W97" s="79"/>
      <c r="Z97" s="130"/>
      <c r="AB97" s="106"/>
    </row>
    <row r="98">
      <c r="C98" s="79"/>
      <c r="D98" s="79"/>
      <c r="E98" s="79"/>
      <c r="M98" s="79"/>
      <c r="R98" s="79"/>
      <c r="S98" s="79"/>
      <c r="V98" s="79"/>
      <c r="W98" s="79"/>
      <c r="Z98" s="130"/>
      <c r="AB98" s="106"/>
    </row>
    <row r="99">
      <c r="C99" s="79"/>
      <c r="D99" s="79"/>
      <c r="E99" s="79"/>
      <c r="M99" s="79"/>
      <c r="R99" s="79"/>
      <c r="S99" s="79"/>
      <c r="V99" s="79"/>
      <c r="W99" s="79"/>
      <c r="Z99" s="130"/>
      <c r="AB99" s="106"/>
    </row>
    <row r="100">
      <c r="C100" s="79"/>
      <c r="D100" s="79"/>
      <c r="E100" s="79"/>
      <c r="M100" s="79"/>
      <c r="R100" s="79"/>
      <c r="S100" s="79"/>
      <c r="V100" s="79"/>
      <c r="W100" s="79"/>
      <c r="Z100" s="130"/>
      <c r="AB100" s="106"/>
    </row>
    <row r="101">
      <c r="C101" s="79"/>
      <c r="D101" s="79"/>
      <c r="E101" s="79"/>
      <c r="M101" s="79"/>
      <c r="R101" s="79"/>
      <c r="S101" s="79"/>
      <c r="V101" s="79"/>
      <c r="W101" s="79"/>
      <c r="Z101" s="130"/>
      <c r="AB101" s="106"/>
    </row>
    <row r="102">
      <c r="C102" s="79"/>
      <c r="D102" s="79"/>
      <c r="E102" s="79"/>
      <c r="M102" s="79"/>
      <c r="R102" s="79"/>
      <c r="S102" s="79"/>
      <c r="V102" s="79"/>
      <c r="W102" s="79"/>
      <c r="Z102" s="130"/>
      <c r="AB102" s="106"/>
    </row>
    <row r="103">
      <c r="C103" s="79"/>
      <c r="D103" s="79"/>
      <c r="E103" s="79"/>
      <c r="M103" s="79"/>
      <c r="R103" s="79"/>
      <c r="S103" s="79"/>
      <c r="V103" s="79"/>
      <c r="W103" s="79"/>
      <c r="Z103" s="130"/>
      <c r="AB103" s="106"/>
    </row>
    <row r="104">
      <c r="C104" s="79"/>
      <c r="D104" s="79"/>
      <c r="E104" s="79"/>
      <c r="M104" s="79"/>
      <c r="R104" s="79"/>
      <c r="S104" s="79"/>
      <c r="V104" s="79"/>
      <c r="W104" s="79"/>
      <c r="Z104" s="130"/>
      <c r="AB104" s="106"/>
    </row>
    <row r="105">
      <c r="C105" s="79"/>
      <c r="D105" s="79"/>
      <c r="E105" s="79"/>
      <c r="M105" s="79"/>
      <c r="R105" s="79"/>
      <c r="S105" s="79"/>
      <c r="V105" s="79"/>
      <c r="W105" s="79"/>
      <c r="Z105" s="130"/>
      <c r="AB105" s="106"/>
    </row>
    <row r="106">
      <c r="C106" s="79"/>
      <c r="D106" s="79"/>
      <c r="E106" s="79"/>
      <c r="M106" s="79"/>
      <c r="R106" s="79"/>
      <c r="S106" s="79"/>
      <c r="V106" s="79"/>
      <c r="W106" s="79"/>
      <c r="Z106" s="130"/>
      <c r="AB106" s="106"/>
    </row>
    <row r="107">
      <c r="C107" s="79"/>
      <c r="D107" s="79"/>
      <c r="E107" s="79"/>
      <c r="M107" s="79"/>
      <c r="R107" s="79"/>
      <c r="S107" s="79"/>
      <c r="V107" s="79"/>
      <c r="W107" s="79"/>
      <c r="Z107" s="130"/>
      <c r="AB107" s="106"/>
    </row>
    <row r="108">
      <c r="C108" s="79"/>
      <c r="D108" s="79"/>
      <c r="E108" s="79"/>
      <c r="M108" s="79"/>
      <c r="R108" s="79"/>
      <c r="S108" s="79"/>
      <c r="V108" s="79"/>
      <c r="W108" s="79"/>
      <c r="Z108" s="130"/>
      <c r="AB108" s="106"/>
    </row>
    <row r="109">
      <c r="C109" s="79"/>
      <c r="D109" s="79"/>
      <c r="E109" s="79"/>
      <c r="M109" s="79"/>
      <c r="R109" s="79"/>
      <c r="S109" s="79"/>
      <c r="V109" s="79"/>
      <c r="W109" s="79"/>
      <c r="Z109" s="130"/>
      <c r="AB109" s="106"/>
    </row>
    <row r="110">
      <c r="C110" s="79"/>
      <c r="D110" s="79"/>
      <c r="E110" s="79"/>
      <c r="M110" s="79"/>
      <c r="R110" s="79"/>
      <c r="S110" s="79"/>
      <c r="V110" s="79"/>
      <c r="W110" s="79"/>
      <c r="Z110" s="130"/>
      <c r="AB110" s="106"/>
    </row>
    <row r="111">
      <c r="C111" s="79"/>
      <c r="D111" s="79"/>
      <c r="E111" s="79"/>
      <c r="M111" s="79"/>
      <c r="R111" s="79"/>
      <c r="S111" s="79"/>
      <c r="V111" s="79"/>
      <c r="W111" s="79"/>
      <c r="Z111" s="130"/>
      <c r="AB111" s="106"/>
    </row>
    <row r="112">
      <c r="C112" s="79"/>
      <c r="D112" s="79"/>
      <c r="E112" s="79"/>
      <c r="M112" s="79"/>
      <c r="R112" s="79"/>
      <c r="S112" s="79"/>
      <c r="V112" s="79"/>
      <c r="W112" s="79"/>
      <c r="Z112" s="130"/>
      <c r="AB112" s="106"/>
    </row>
    <row r="113">
      <c r="C113" s="79"/>
      <c r="D113" s="79"/>
      <c r="E113" s="79"/>
      <c r="M113" s="79"/>
      <c r="R113" s="79"/>
      <c r="S113" s="79"/>
      <c r="V113" s="79"/>
      <c r="W113" s="79"/>
      <c r="Z113" s="130"/>
      <c r="AB113" s="106"/>
    </row>
    <row r="114">
      <c r="C114" s="79"/>
      <c r="D114" s="79"/>
      <c r="E114" s="79"/>
      <c r="M114" s="79"/>
      <c r="R114" s="79"/>
      <c r="S114" s="79"/>
      <c r="V114" s="79"/>
      <c r="W114" s="79"/>
      <c r="Z114" s="130"/>
      <c r="AB114" s="106"/>
    </row>
    <row r="115">
      <c r="C115" s="79"/>
      <c r="D115" s="79"/>
      <c r="E115" s="79"/>
      <c r="M115" s="79"/>
      <c r="R115" s="79"/>
      <c r="S115" s="79"/>
      <c r="V115" s="79"/>
      <c r="W115" s="79"/>
      <c r="Z115" s="130"/>
      <c r="AB115" s="106"/>
    </row>
    <row r="116">
      <c r="C116" s="79"/>
      <c r="D116" s="79"/>
      <c r="E116" s="79"/>
      <c r="M116" s="79"/>
      <c r="R116" s="79"/>
      <c r="S116" s="79"/>
      <c r="V116" s="79"/>
      <c r="W116" s="79"/>
      <c r="Z116" s="130"/>
      <c r="AB116" s="106"/>
    </row>
    <row r="117">
      <c r="C117" s="79"/>
      <c r="D117" s="79"/>
      <c r="E117" s="79"/>
      <c r="M117" s="79"/>
      <c r="R117" s="79"/>
      <c r="S117" s="79"/>
      <c r="V117" s="79"/>
      <c r="W117" s="79"/>
      <c r="Z117" s="130"/>
      <c r="AB117" s="106"/>
    </row>
    <row r="118">
      <c r="C118" s="79"/>
      <c r="D118" s="79"/>
      <c r="E118" s="79"/>
      <c r="M118" s="79"/>
      <c r="R118" s="79"/>
      <c r="S118" s="79"/>
      <c r="V118" s="79"/>
      <c r="W118" s="79"/>
      <c r="Z118" s="130"/>
      <c r="AB118" s="106"/>
    </row>
    <row r="119">
      <c r="C119" s="79"/>
      <c r="D119" s="79"/>
      <c r="E119" s="79"/>
      <c r="M119" s="79"/>
      <c r="R119" s="79"/>
      <c r="S119" s="79"/>
      <c r="V119" s="79"/>
      <c r="W119" s="79"/>
      <c r="Z119" s="130"/>
      <c r="AB119" s="106"/>
    </row>
    <row r="120">
      <c r="C120" s="79"/>
      <c r="D120" s="79"/>
      <c r="E120" s="79"/>
      <c r="M120" s="79"/>
      <c r="R120" s="79"/>
      <c r="S120" s="79"/>
      <c r="V120" s="79"/>
      <c r="W120" s="79"/>
      <c r="Z120" s="130"/>
      <c r="AB120" s="106"/>
    </row>
    <row r="121">
      <c r="C121" s="79"/>
      <c r="D121" s="79"/>
      <c r="E121" s="79"/>
      <c r="M121" s="79"/>
      <c r="R121" s="79"/>
      <c r="S121" s="79"/>
      <c r="V121" s="79"/>
      <c r="W121" s="79"/>
      <c r="Z121" s="130"/>
      <c r="AB121" s="106"/>
    </row>
    <row r="122">
      <c r="C122" s="79"/>
      <c r="D122" s="79"/>
      <c r="E122" s="79"/>
      <c r="M122" s="79"/>
      <c r="R122" s="79"/>
      <c r="S122" s="79"/>
      <c r="V122" s="79"/>
      <c r="W122" s="79"/>
      <c r="Z122" s="130"/>
      <c r="AB122" s="106"/>
    </row>
    <row r="123">
      <c r="C123" s="79"/>
      <c r="D123" s="79"/>
      <c r="E123" s="79"/>
      <c r="M123" s="79"/>
      <c r="R123" s="79"/>
      <c r="S123" s="79"/>
      <c r="V123" s="79"/>
      <c r="W123" s="79"/>
      <c r="Z123" s="130"/>
      <c r="AB123" s="106"/>
    </row>
    <row r="124">
      <c r="C124" s="79"/>
      <c r="D124" s="79"/>
      <c r="E124" s="79"/>
      <c r="M124" s="79"/>
      <c r="R124" s="79"/>
      <c r="S124" s="79"/>
      <c r="V124" s="79"/>
      <c r="W124" s="79"/>
      <c r="Z124" s="130"/>
      <c r="AB124" s="106"/>
    </row>
    <row r="125">
      <c r="C125" s="79"/>
      <c r="D125" s="79"/>
      <c r="E125" s="79"/>
      <c r="M125" s="79"/>
      <c r="R125" s="79"/>
      <c r="S125" s="79"/>
      <c r="V125" s="79"/>
      <c r="W125" s="79"/>
      <c r="Z125" s="130"/>
      <c r="AB125" s="106"/>
    </row>
    <row r="126">
      <c r="C126" s="79"/>
      <c r="D126" s="79"/>
      <c r="E126" s="79"/>
      <c r="M126" s="79"/>
      <c r="R126" s="79"/>
      <c r="S126" s="79"/>
      <c r="V126" s="79"/>
      <c r="W126" s="79"/>
      <c r="Z126" s="130"/>
      <c r="AB126" s="106"/>
    </row>
    <row r="127">
      <c r="C127" s="79"/>
      <c r="D127" s="79"/>
      <c r="E127" s="79"/>
      <c r="M127" s="79"/>
      <c r="R127" s="79"/>
      <c r="S127" s="79"/>
      <c r="V127" s="79"/>
      <c r="W127" s="79"/>
      <c r="Z127" s="130"/>
      <c r="AB127" s="106"/>
    </row>
    <row r="128">
      <c r="C128" s="79"/>
      <c r="D128" s="79"/>
      <c r="E128" s="79"/>
      <c r="M128" s="79"/>
      <c r="R128" s="79"/>
      <c r="S128" s="79"/>
      <c r="V128" s="79"/>
      <c r="W128" s="79"/>
      <c r="Z128" s="130"/>
      <c r="AB128" s="106"/>
    </row>
    <row r="129">
      <c r="C129" s="79"/>
      <c r="D129" s="79"/>
      <c r="E129" s="79"/>
      <c r="M129" s="79"/>
      <c r="R129" s="79"/>
      <c r="S129" s="79"/>
      <c r="V129" s="79"/>
      <c r="W129" s="79"/>
      <c r="Z129" s="130"/>
      <c r="AB129" s="106"/>
    </row>
    <row r="130">
      <c r="C130" s="79"/>
      <c r="D130" s="79"/>
      <c r="E130" s="79"/>
      <c r="M130" s="79"/>
      <c r="R130" s="79"/>
      <c r="S130" s="79"/>
      <c r="V130" s="79"/>
      <c r="W130" s="79"/>
      <c r="Z130" s="130"/>
      <c r="AB130" s="106"/>
    </row>
    <row r="131">
      <c r="C131" s="79"/>
      <c r="D131" s="79"/>
      <c r="E131" s="79"/>
      <c r="M131" s="79"/>
      <c r="R131" s="79"/>
      <c r="S131" s="79"/>
      <c r="V131" s="79"/>
      <c r="W131" s="79"/>
      <c r="Z131" s="130"/>
      <c r="AB131" s="106"/>
    </row>
    <row r="132">
      <c r="C132" s="79"/>
      <c r="D132" s="79"/>
      <c r="E132" s="79"/>
      <c r="M132" s="79"/>
      <c r="R132" s="79"/>
      <c r="S132" s="79"/>
      <c r="V132" s="79"/>
      <c r="W132" s="79"/>
      <c r="Z132" s="130"/>
      <c r="AB132" s="106"/>
    </row>
    <row r="133">
      <c r="C133" s="79"/>
      <c r="D133" s="79"/>
      <c r="E133" s="79"/>
      <c r="M133" s="79"/>
      <c r="R133" s="79"/>
      <c r="S133" s="79"/>
      <c r="V133" s="79"/>
      <c r="W133" s="79"/>
      <c r="Z133" s="130"/>
      <c r="AB133" s="106"/>
    </row>
    <row r="134">
      <c r="C134" s="79"/>
      <c r="D134" s="79"/>
      <c r="E134" s="79"/>
      <c r="M134" s="79"/>
      <c r="R134" s="79"/>
      <c r="S134" s="79"/>
      <c r="V134" s="79"/>
      <c r="W134" s="79"/>
      <c r="Z134" s="130"/>
      <c r="AB134" s="106"/>
    </row>
    <row r="135">
      <c r="C135" s="79"/>
      <c r="D135" s="79"/>
      <c r="E135" s="79"/>
      <c r="M135" s="79"/>
      <c r="R135" s="79"/>
      <c r="S135" s="79"/>
      <c r="V135" s="79"/>
      <c r="W135" s="79"/>
      <c r="Z135" s="130"/>
      <c r="AB135" s="106"/>
    </row>
    <row r="136">
      <c r="C136" s="79"/>
      <c r="D136" s="79"/>
      <c r="E136" s="79"/>
      <c r="M136" s="79"/>
      <c r="R136" s="79"/>
      <c r="S136" s="79"/>
      <c r="V136" s="79"/>
      <c r="W136" s="79"/>
      <c r="Z136" s="130"/>
      <c r="AB136" s="106"/>
    </row>
    <row r="137">
      <c r="C137" s="79"/>
      <c r="D137" s="79"/>
      <c r="E137" s="79"/>
      <c r="M137" s="79"/>
      <c r="R137" s="79"/>
      <c r="S137" s="79"/>
      <c r="V137" s="79"/>
      <c r="W137" s="79"/>
      <c r="Z137" s="130"/>
      <c r="AB137" s="106"/>
    </row>
    <row r="138">
      <c r="C138" s="79"/>
      <c r="D138" s="79"/>
      <c r="E138" s="79"/>
      <c r="M138" s="79"/>
      <c r="R138" s="79"/>
      <c r="S138" s="79"/>
      <c r="V138" s="79"/>
      <c r="W138" s="79"/>
      <c r="Z138" s="130"/>
      <c r="AB138" s="106"/>
    </row>
    <row r="139">
      <c r="C139" s="79"/>
      <c r="D139" s="79"/>
      <c r="E139" s="79"/>
      <c r="M139" s="79"/>
      <c r="R139" s="79"/>
      <c r="S139" s="79"/>
      <c r="V139" s="79"/>
      <c r="W139" s="79"/>
      <c r="Z139" s="130"/>
      <c r="AB139" s="106"/>
    </row>
    <row r="140">
      <c r="C140" s="79"/>
      <c r="D140" s="79"/>
      <c r="E140" s="79"/>
      <c r="M140" s="79"/>
      <c r="R140" s="79"/>
      <c r="S140" s="79"/>
      <c r="V140" s="79"/>
      <c r="W140" s="79"/>
      <c r="Z140" s="130"/>
      <c r="AB140" s="106"/>
    </row>
    <row r="141">
      <c r="C141" s="79"/>
      <c r="D141" s="79"/>
      <c r="E141" s="79"/>
      <c r="M141" s="79"/>
      <c r="R141" s="79"/>
      <c r="S141" s="79"/>
      <c r="V141" s="79"/>
      <c r="W141" s="79"/>
      <c r="Z141" s="130"/>
      <c r="AB141" s="106"/>
    </row>
    <row r="142">
      <c r="C142" s="79"/>
      <c r="D142" s="79"/>
      <c r="E142" s="79"/>
      <c r="M142" s="79"/>
      <c r="R142" s="79"/>
      <c r="S142" s="79"/>
      <c r="V142" s="79"/>
      <c r="W142" s="79"/>
      <c r="Z142" s="130"/>
      <c r="AB142" s="106"/>
    </row>
    <row r="143">
      <c r="C143" s="79"/>
      <c r="D143" s="79"/>
      <c r="E143" s="79"/>
      <c r="M143" s="79"/>
      <c r="R143" s="79"/>
      <c r="S143" s="79"/>
      <c r="V143" s="79"/>
      <c r="W143" s="79"/>
      <c r="Z143" s="130"/>
      <c r="AB143" s="106"/>
    </row>
    <row r="144">
      <c r="C144" s="79"/>
      <c r="D144" s="79"/>
      <c r="E144" s="79"/>
      <c r="M144" s="79"/>
      <c r="R144" s="79"/>
      <c r="S144" s="79"/>
      <c r="V144" s="79"/>
      <c r="W144" s="79"/>
      <c r="Z144" s="130"/>
      <c r="AB144" s="106"/>
    </row>
    <row r="145">
      <c r="C145" s="79"/>
      <c r="D145" s="79"/>
      <c r="E145" s="79"/>
      <c r="M145" s="79"/>
      <c r="R145" s="79"/>
      <c r="S145" s="79"/>
      <c r="V145" s="79"/>
      <c r="W145" s="79"/>
      <c r="Z145" s="130"/>
      <c r="AB145" s="106"/>
    </row>
    <row r="146">
      <c r="C146" s="79"/>
      <c r="D146" s="79"/>
      <c r="E146" s="79"/>
      <c r="M146" s="79"/>
      <c r="R146" s="79"/>
      <c r="S146" s="79"/>
      <c r="V146" s="79"/>
      <c r="W146" s="79"/>
      <c r="Z146" s="130"/>
      <c r="AB146" s="106"/>
    </row>
    <row r="147">
      <c r="C147" s="79"/>
      <c r="D147" s="79"/>
      <c r="E147" s="79"/>
      <c r="M147" s="79"/>
      <c r="R147" s="79"/>
      <c r="S147" s="79"/>
      <c r="V147" s="79"/>
      <c r="W147" s="79"/>
      <c r="Z147" s="130"/>
      <c r="AB147" s="106"/>
    </row>
    <row r="148">
      <c r="C148" s="79"/>
      <c r="D148" s="79"/>
      <c r="E148" s="79"/>
      <c r="M148" s="79"/>
      <c r="R148" s="79"/>
      <c r="S148" s="79"/>
      <c r="V148" s="79"/>
      <c r="W148" s="79"/>
      <c r="Z148" s="130"/>
      <c r="AB148" s="106"/>
    </row>
    <row r="149">
      <c r="C149" s="79"/>
      <c r="D149" s="79"/>
      <c r="E149" s="79"/>
      <c r="M149" s="79"/>
      <c r="R149" s="79"/>
      <c r="S149" s="79"/>
      <c r="V149" s="79"/>
      <c r="W149" s="79"/>
      <c r="Z149" s="130"/>
      <c r="AB149" s="106"/>
    </row>
    <row r="150">
      <c r="C150" s="79"/>
      <c r="D150" s="79"/>
      <c r="E150" s="79"/>
      <c r="M150" s="79"/>
      <c r="R150" s="79"/>
      <c r="S150" s="79"/>
      <c r="V150" s="79"/>
      <c r="W150" s="79"/>
      <c r="Z150" s="130"/>
      <c r="AB150" s="106"/>
    </row>
    <row r="151">
      <c r="C151" s="79"/>
      <c r="D151" s="79"/>
      <c r="E151" s="79"/>
      <c r="M151" s="79"/>
      <c r="R151" s="79"/>
      <c r="S151" s="79"/>
      <c r="V151" s="79"/>
      <c r="W151" s="79"/>
      <c r="Z151" s="130"/>
      <c r="AB151" s="106"/>
    </row>
    <row r="152">
      <c r="C152" s="79"/>
      <c r="D152" s="79"/>
      <c r="E152" s="79"/>
      <c r="M152" s="79"/>
      <c r="R152" s="79"/>
      <c r="S152" s="79"/>
      <c r="V152" s="79"/>
      <c r="W152" s="79"/>
      <c r="Z152" s="130"/>
      <c r="AB152" s="106"/>
    </row>
    <row r="153">
      <c r="C153" s="79"/>
      <c r="D153" s="79"/>
      <c r="E153" s="79"/>
      <c r="M153" s="79"/>
      <c r="R153" s="79"/>
      <c r="S153" s="79"/>
      <c r="V153" s="79"/>
      <c r="W153" s="79"/>
      <c r="Z153" s="130"/>
      <c r="AB153" s="106"/>
    </row>
    <row r="154">
      <c r="C154" s="79"/>
      <c r="D154" s="79"/>
      <c r="E154" s="79"/>
      <c r="M154" s="79"/>
      <c r="R154" s="79"/>
      <c r="S154" s="79"/>
      <c r="V154" s="79"/>
      <c r="W154" s="79"/>
      <c r="Z154" s="130"/>
      <c r="AB154" s="106"/>
    </row>
    <row r="155">
      <c r="C155" s="79"/>
      <c r="D155" s="79"/>
      <c r="E155" s="79"/>
      <c r="M155" s="79"/>
      <c r="R155" s="79"/>
      <c r="S155" s="79"/>
      <c r="V155" s="79"/>
      <c r="W155" s="79"/>
      <c r="Z155" s="130"/>
      <c r="AB155" s="106"/>
    </row>
    <row r="156">
      <c r="C156" s="79"/>
      <c r="D156" s="79"/>
      <c r="E156" s="79"/>
      <c r="M156" s="79"/>
      <c r="R156" s="79"/>
      <c r="S156" s="79"/>
      <c r="V156" s="79"/>
      <c r="W156" s="79"/>
      <c r="Z156" s="130"/>
      <c r="AB156" s="106"/>
    </row>
    <row r="157">
      <c r="C157" s="79"/>
      <c r="D157" s="79"/>
      <c r="E157" s="79"/>
      <c r="M157" s="79"/>
      <c r="R157" s="79"/>
      <c r="S157" s="79"/>
      <c r="V157" s="79"/>
      <c r="W157" s="79"/>
      <c r="Z157" s="130"/>
      <c r="AB157" s="106"/>
    </row>
    <row r="158">
      <c r="C158" s="79"/>
      <c r="D158" s="79"/>
      <c r="E158" s="79"/>
      <c r="M158" s="79"/>
      <c r="R158" s="79"/>
      <c r="S158" s="79"/>
      <c r="V158" s="79"/>
      <c r="W158" s="79"/>
      <c r="Z158" s="130"/>
      <c r="AB158" s="106"/>
    </row>
    <row r="159">
      <c r="C159" s="79"/>
      <c r="D159" s="79"/>
      <c r="E159" s="79"/>
      <c r="M159" s="79"/>
      <c r="R159" s="79"/>
      <c r="S159" s="79"/>
      <c r="V159" s="79"/>
      <c r="W159" s="79"/>
      <c r="Z159" s="130"/>
      <c r="AB159" s="106"/>
    </row>
    <row r="160">
      <c r="C160" s="79"/>
      <c r="D160" s="79"/>
      <c r="E160" s="79"/>
      <c r="M160" s="79"/>
      <c r="R160" s="79"/>
      <c r="S160" s="79"/>
      <c r="V160" s="79"/>
      <c r="W160" s="79"/>
      <c r="Z160" s="130"/>
      <c r="AB160" s="106"/>
    </row>
    <row r="161">
      <c r="C161" s="79"/>
      <c r="D161" s="79"/>
      <c r="E161" s="79"/>
      <c r="M161" s="79"/>
      <c r="R161" s="79"/>
      <c r="S161" s="79"/>
      <c r="V161" s="79"/>
      <c r="W161" s="79"/>
      <c r="Z161" s="130"/>
      <c r="AB161" s="106"/>
    </row>
    <row r="162">
      <c r="C162" s="79"/>
      <c r="D162" s="79"/>
      <c r="E162" s="79"/>
      <c r="M162" s="79"/>
      <c r="R162" s="79"/>
      <c r="S162" s="79"/>
      <c r="V162" s="79"/>
      <c r="W162" s="79"/>
      <c r="Z162" s="130"/>
      <c r="AB162" s="106"/>
    </row>
    <row r="163">
      <c r="C163" s="79"/>
      <c r="D163" s="79"/>
      <c r="E163" s="79"/>
      <c r="M163" s="79"/>
      <c r="R163" s="79"/>
      <c r="S163" s="79"/>
      <c r="V163" s="79"/>
      <c r="W163" s="79"/>
      <c r="Z163" s="130"/>
      <c r="AB163" s="106"/>
    </row>
    <row r="164">
      <c r="C164" s="79"/>
      <c r="D164" s="79"/>
      <c r="E164" s="79"/>
      <c r="M164" s="79"/>
      <c r="R164" s="79"/>
      <c r="S164" s="79"/>
      <c r="V164" s="79"/>
      <c r="W164" s="79"/>
      <c r="Z164" s="130"/>
      <c r="AB164" s="106"/>
    </row>
    <row r="165">
      <c r="C165" s="79"/>
      <c r="D165" s="79"/>
      <c r="E165" s="79"/>
      <c r="M165" s="79"/>
      <c r="R165" s="79"/>
      <c r="S165" s="79"/>
      <c r="V165" s="79"/>
      <c r="W165" s="79"/>
      <c r="Z165" s="130"/>
      <c r="AB165" s="106"/>
    </row>
    <row r="166">
      <c r="C166" s="79"/>
      <c r="D166" s="79"/>
      <c r="E166" s="79"/>
      <c r="M166" s="79"/>
      <c r="R166" s="79"/>
      <c r="S166" s="79"/>
      <c r="V166" s="79"/>
      <c r="W166" s="79"/>
      <c r="Z166" s="130"/>
      <c r="AB166" s="106"/>
    </row>
    <row r="167">
      <c r="C167" s="79"/>
      <c r="D167" s="79"/>
      <c r="E167" s="79"/>
      <c r="M167" s="79"/>
      <c r="R167" s="79"/>
      <c r="S167" s="79"/>
      <c r="V167" s="79"/>
      <c r="W167" s="79"/>
      <c r="Z167" s="130"/>
      <c r="AB167" s="106"/>
    </row>
    <row r="168">
      <c r="C168" s="79"/>
      <c r="D168" s="79"/>
      <c r="E168" s="79"/>
      <c r="M168" s="79"/>
      <c r="R168" s="79"/>
      <c r="S168" s="79"/>
      <c r="V168" s="79"/>
      <c r="W168" s="79"/>
      <c r="Z168" s="130"/>
      <c r="AB168" s="106"/>
    </row>
    <row r="169">
      <c r="C169" s="79"/>
      <c r="D169" s="79"/>
      <c r="E169" s="79"/>
      <c r="M169" s="79"/>
      <c r="R169" s="79"/>
      <c r="S169" s="79"/>
      <c r="V169" s="79"/>
      <c r="W169" s="79"/>
      <c r="Z169" s="130"/>
      <c r="AB169" s="106"/>
    </row>
    <row r="170">
      <c r="C170" s="79"/>
      <c r="D170" s="79"/>
      <c r="E170" s="79"/>
      <c r="M170" s="79"/>
      <c r="R170" s="79"/>
      <c r="S170" s="79"/>
      <c r="V170" s="79"/>
      <c r="W170" s="79"/>
      <c r="Z170" s="130"/>
      <c r="AB170" s="106"/>
    </row>
    <row r="171">
      <c r="C171" s="79"/>
      <c r="D171" s="79"/>
      <c r="E171" s="79"/>
      <c r="M171" s="79"/>
      <c r="R171" s="79"/>
      <c r="S171" s="79"/>
      <c r="V171" s="79"/>
      <c r="W171" s="79"/>
      <c r="Z171" s="130"/>
      <c r="AB171" s="106"/>
    </row>
    <row r="172">
      <c r="C172" s="79"/>
      <c r="D172" s="79"/>
      <c r="E172" s="79"/>
      <c r="M172" s="79"/>
      <c r="R172" s="79"/>
      <c r="S172" s="79"/>
      <c r="V172" s="79"/>
      <c r="W172" s="79"/>
      <c r="Z172" s="130"/>
      <c r="AB172" s="106"/>
    </row>
    <row r="173">
      <c r="C173" s="79"/>
      <c r="D173" s="79"/>
      <c r="E173" s="79"/>
      <c r="M173" s="79"/>
      <c r="R173" s="79"/>
      <c r="S173" s="79"/>
      <c r="V173" s="79"/>
      <c r="W173" s="79"/>
      <c r="Z173" s="130"/>
      <c r="AB173" s="106"/>
    </row>
    <row r="174">
      <c r="C174" s="79"/>
      <c r="D174" s="79"/>
      <c r="E174" s="79"/>
      <c r="M174" s="79"/>
      <c r="R174" s="79"/>
      <c r="S174" s="79"/>
      <c r="V174" s="79"/>
      <c r="W174" s="79"/>
      <c r="Z174" s="130"/>
      <c r="AB174" s="106"/>
    </row>
    <row r="175">
      <c r="C175" s="79"/>
      <c r="D175" s="79"/>
      <c r="E175" s="79"/>
      <c r="M175" s="79"/>
      <c r="R175" s="79"/>
      <c r="S175" s="79"/>
      <c r="V175" s="79"/>
      <c r="W175" s="79"/>
      <c r="Z175" s="130"/>
      <c r="AB175" s="106"/>
    </row>
    <row r="176">
      <c r="C176" s="79"/>
      <c r="D176" s="79"/>
      <c r="E176" s="79"/>
      <c r="M176" s="79"/>
      <c r="R176" s="79"/>
      <c r="S176" s="79"/>
      <c r="V176" s="79"/>
      <c r="W176" s="79"/>
      <c r="Z176" s="130"/>
      <c r="AB176" s="106"/>
    </row>
    <row r="177">
      <c r="C177" s="79"/>
      <c r="D177" s="79"/>
      <c r="E177" s="79"/>
      <c r="M177" s="79"/>
      <c r="R177" s="79"/>
      <c r="S177" s="79"/>
      <c r="V177" s="79"/>
      <c r="W177" s="79"/>
      <c r="Z177" s="130"/>
      <c r="AB177" s="106"/>
    </row>
    <row r="178">
      <c r="C178" s="79"/>
      <c r="D178" s="79"/>
      <c r="E178" s="79"/>
      <c r="M178" s="79"/>
      <c r="R178" s="79"/>
      <c r="S178" s="79"/>
      <c r="V178" s="79"/>
      <c r="W178" s="79"/>
      <c r="Z178" s="130"/>
      <c r="AB178" s="106"/>
    </row>
    <row r="179">
      <c r="C179" s="79"/>
      <c r="D179" s="79"/>
      <c r="E179" s="79"/>
      <c r="M179" s="79"/>
      <c r="R179" s="79"/>
      <c r="S179" s="79"/>
      <c r="V179" s="79"/>
      <c r="W179" s="79"/>
      <c r="Z179" s="130"/>
      <c r="AB179" s="106"/>
    </row>
    <row r="180">
      <c r="C180" s="79"/>
      <c r="D180" s="79"/>
      <c r="E180" s="79"/>
      <c r="M180" s="79"/>
      <c r="R180" s="79"/>
      <c r="S180" s="79"/>
      <c r="V180" s="79"/>
      <c r="W180" s="79"/>
      <c r="Z180" s="130"/>
      <c r="AB180" s="106"/>
    </row>
    <row r="181">
      <c r="C181" s="79"/>
      <c r="D181" s="79"/>
      <c r="E181" s="79"/>
      <c r="M181" s="79"/>
      <c r="R181" s="79"/>
      <c r="S181" s="79"/>
      <c r="V181" s="79"/>
      <c r="W181" s="79"/>
      <c r="Z181" s="130"/>
      <c r="AB181" s="106"/>
    </row>
    <row r="182">
      <c r="C182" s="79"/>
      <c r="D182" s="79"/>
      <c r="E182" s="79"/>
      <c r="M182" s="79"/>
      <c r="R182" s="79"/>
      <c r="S182" s="79"/>
      <c r="V182" s="79"/>
      <c r="W182" s="79"/>
      <c r="Z182" s="130"/>
      <c r="AB182" s="106"/>
    </row>
    <row r="183">
      <c r="C183" s="79"/>
      <c r="D183" s="79"/>
      <c r="E183" s="79"/>
      <c r="M183" s="79"/>
      <c r="R183" s="79"/>
      <c r="S183" s="79"/>
      <c r="V183" s="79"/>
      <c r="W183" s="79"/>
      <c r="Z183" s="130"/>
      <c r="AB183" s="106"/>
    </row>
    <row r="184">
      <c r="C184" s="79"/>
      <c r="D184" s="79"/>
      <c r="E184" s="79"/>
      <c r="M184" s="79"/>
      <c r="R184" s="79"/>
      <c r="S184" s="79"/>
      <c r="V184" s="79"/>
      <c r="W184" s="79"/>
      <c r="Z184" s="130"/>
      <c r="AB184" s="106"/>
    </row>
    <row r="185">
      <c r="C185" s="79"/>
      <c r="D185" s="79"/>
      <c r="E185" s="79"/>
      <c r="M185" s="79"/>
      <c r="R185" s="79"/>
      <c r="S185" s="79"/>
      <c r="V185" s="79"/>
      <c r="W185" s="79"/>
      <c r="Z185" s="130"/>
      <c r="AB185" s="106"/>
    </row>
    <row r="186">
      <c r="C186" s="79"/>
      <c r="D186" s="79"/>
      <c r="E186" s="79"/>
      <c r="M186" s="79"/>
      <c r="R186" s="79"/>
      <c r="S186" s="79"/>
      <c r="V186" s="79"/>
      <c r="W186" s="79"/>
      <c r="Z186" s="130"/>
      <c r="AB186" s="106"/>
    </row>
    <row r="187">
      <c r="C187" s="79"/>
      <c r="D187" s="79"/>
      <c r="E187" s="79"/>
      <c r="M187" s="79"/>
      <c r="R187" s="79"/>
      <c r="S187" s="79"/>
      <c r="V187" s="79"/>
      <c r="W187" s="79"/>
      <c r="Z187" s="130"/>
      <c r="AB187" s="106"/>
    </row>
    <row r="188">
      <c r="C188" s="79"/>
      <c r="D188" s="79"/>
      <c r="E188" s="79"/>
      <c r="M188" s="79"/>
      <c r="R188" s="79"/>
      <c r="S188" s="79"/>
      <c r="V188" s="79"/>
      <c r="W188" s="79"/>
      <c r="Z188" s="130"/>
      <c r="AB188" s="106"/>
    </row>
    <row r="189">
      <c r="C189" s="79"/>
      <c r="D189" s="79"/>
      <c r="E189" s="79"/>
      <c r="M189" s="79"/>
      <c r="R189" s="79"/>
      <c r="S189" s="79"/>
      <c r="V189" s="79"/>
      <c r="W189" s="79"/>
      <c r="Z189" s="130"/>
      <c r="AB189" s="106"/>
    </row>
    <row r="190">
      <c r="C190" s="79"/>
      <c r="D190" s="79"/>
      <c r="E190" s="79"/>
      <c r="M190" s="79"/>
      <c r="R190" s="79"/>
      <c r="S190" s="79"/>
      <c r="V190" s="79"/>
      <c r="W190" s="79"/>
      <c r="Z190" s="130"/>
      <c r="AB190" s="106"/>
    </row>
    <row r="191">
      <c r="C191" s="79"/>
      <c r="D191" s="79"/>
      <c r="E191" s="79"/>
      <c r="M191" s="79"/>
      <c r="R191" s="79"/>
      <c r="S191" s="79"/>
      <c r="V191" s="79"/>
      <c r="W191" s="79"/>
      <c r="Z191" s="130"/>
      <c r="AB191" s="106"/>
    </row>
    <row r="192">
      <c r="C192" s="79"/>
      <c r="D192" s="79"/>
      <c r="E192" s="79"/>
      <c r="M192" s="79"/>
      <c r="R192" s="79"/>
      <c r="S192" s="79"/>
      <c r="V192" s="79"/>
      <c r="W192" s="79"/>
      <c r="Z192" s="130"/>
      <c r="AB192" s="106"/>
    </row>
    <row r="193">
      <c r="C193" s="79"/>
      <c r="D193" s="79"/>
      <c r="E193" s="79"/>
      <c r="M193" s="79"/>
      <c r="R193" s="79"/>
      <c r="S193" s="79"/>
      <c r="V193" s="79"/>
      <c r="W193" s="79"/>
      <c r="Z193" s="130"/>
      <c r="AB193" s="106"/>
    </row>
    <row r="194">
      <c r="C194" s="79"/>
      <c r="D194" s="79"/>
      <c r="E194" s="79"/>
      <c r="M194" s="79"/>
      <c r="R194" s="79"/>
      <c r="S194" s="79"/>
      <c r="V194" s="79"/>
      <c r="W194" s="79"/>
      <c r="Z194" s="130"/>
      <c r="AB194" s="106"/>
    </row>
    <row r="195">
      <c r="C195" s="79"/>
      <c r="D195" s="79"/>
      <c r="E195" s="79"/>
      <c r="M195" s="79"/>
      <c r="R195" s="79"/>
      <c r="S195" s="79"/>
      <c r="V195" s="79"/>
      <c r="W195" s="79"/>
      <c r="Z195" s="130"/>
      <c r="AB195" s="106"/>
    </row>
    <row r="196">
      <c r="C196" s="79"/>
      <c r="D196" s="79"/>
      <c r="E196" s="79"/>
      <c r="M196" s="79"/>
      <c r="R196" s="79"/>
      <c r="S196" s="79"/>
      <c r="V196" s="79"/>
      <c r="W196" s="79"/>
      <c r="Z196" s="130"/>
      <c r="AB196" s="106"/>
    </row>
    <row r="197">
      <c r="C197" s="79"/>
      <c r="D197" s="79"/>
      <c r="E197" s="79"/>
      <c r="M197" s="79"/>
      <c r="R197" s="79"/>
      <c r="S197" s="79"/>
      <c r="V197" s="79"/>
      <c r="W197" s="79"/>
      <c r="Z197" s="130"/>
      <c r="AB197" s="106"/>
    </row>
    <row r="198">
      <c r="C198" s="79"/>
      <c r="D198" s="79"/>
      <c r="E198" s="79"/>
      <c r="M198" s="79"/>
      <c r="R198" s="79"/>
      <c r="S198" s="79"/>
      <c r="V198" s="79"/>
      <c r="W198" s="79"/>
      <c r="Z198" s="130"/>
      <c r="AB198" s="106"/>
    </row>
    <row r="199">
      <c r="C199" s="79"/>
      <c r="D199" s="79"/>
      <c r="E199" s="79"/>
      <c r="M199" s="79"/>
      <c r="R199" s="79"/>
      <c r="S199" s="79"/>
      <c r="V199" s="79"/>
      <c r="W199" s="79"/>
      <c r="Z199" s="130"/>
      <c r="AB199" s="106"/>
    </row>
    <row r="200">
      <c r="C200" s="79"/>
      <c r="D200" s="79"/>
      <c r="E200" s="79"/>
      <c r="M200" s="79"/>
      <c r="R200" s="79"/>
      <c r="S200" s="79"/>
      <c r="V200" s="79"/>
      <c r="W200" s="79"/>
      <c r="Z200" s="130"/>
      <c r="AB200" s="106"/>
    </row>
    <row r="201">
      <c r="C201" s="79"/>
      <c r="D201" s="79"/>
      <c r="E201" s="79"/>
      <c r="M201" s="79"/>
      <c r="R201" s="79"/>
      <c r="S201" s="79"/>
      <c r="V201" s="79"/>
      <c r="W201" s="79"/>
      <c r="Z201" s="130"/>
      <c r="AB201" s="106"/>
    </row>
    <row r="202">
      <c r="C202" s="79"/>
      <c r="D202" s="79"/>
      <c r="E202" s="79"/>
      <c r="M202" s="79"/>
      <c r="R202" s="79"/>
      <c r="S202" s="79"/>
      <c r="V202" s="79"/>
      <c r="W202" s="79"/>
      <c r="Z202" s="130"/>
      <c r="AB202" s="106"/>
    </row>
    <row r="203">
      <c r="C203" s="79"/>
      <c r="D203" s="79"/>
      <c r="E203" s="79"/>
      <c r="M203" s="79"/>
      <c r="R203" s="79"/>
      <c r="S203" s="79"/>
      <c r="V203" s="79"/>
      <c r="W203" s="79"/>
      <c r="Z203" s="130"/>
      <c r="AB203" s="106"/>
    </row>
    <row r="204">
      <c r="C204" s="79"/>
      <c r="D204" s="79"/>
      <c r="E204" s="79"/>
      <c r="M204" s="79"/>
      <c r="R204" s="79"/>
      <c r="S204" s="79"/>
      <c r="V204" s="79"/>
      <c r="W204" s="79"/>
      <c r="Z204" s="130"/>
      <c r="AB204" s="106"/>
    </row>
    <row r="205">
      <c r="C205" s="79"/>
      <c r="D205" s="79"/>
      <c r="E205" s="79"/>
      <c r="M205" s="79"/>
      <c r="R205" s="79"/>
      <c r="S205" s="79"/>
      <c r="V205" s="79"/>
      <c r="W205" s="79"/>
      <c r="Z205" s="130"/>
      <c r="AB205" s="106"/>
    </row>
    <row r="206">
      <c r="C206" s="79"/>
      <c r="D206" s="79"/>
      <c r="E206" s="79"/>
      <c r="M206" s="79"/>
      <c r="R206" s="79"/>
      <c r="S206" s="79"/>
      <c r="V206" s="79"/>
      <c r="W206" s="79"/>
      <c r="Z206" s="130"/>
      <c r="AB206" s="106"/>
    </row>
    <row r="207">
      <c r="C207" s="79"/>
      <c r="D207" s="79"/>
      <c r="E207" s="79"/>
      <c r="M207" s="79"/>
      <c r="R207" s="79"/>
      <c r="S207" s="79"/>
      <c r="V207" s="79"/>
      <c r="W207" s="79"/>
      <c r="Z207" s="130"/>
      <c r="AB207" s="106"/>
    </row>
    <row r="208">
      <c r="C208" s="79"/>
      <c r="D208" s="79"/>
      <c r="E208" s="79"/>
      <c r="M208" s="79"/>
      <c r="R208" s="79"/>
      <c r="S208" s="79"/>
      <c r="V208" s="79"/>
      <c r="W208" s="79"/>
      <c r="Z208" s="130"/>
      <c r="AB208" s="106"/>
    </row>
    <row r="209">
      <c r="C209" s="79"/>
      <c r="D209" s="79"/>
      <c r="E209" s="79"/>
      <c r="M209" s="79"/>
      <c r="R209" s="79"/>
      <c r="S209" s="79"/>
      <c r="V209" s="79"/>
      <c r="W209" s="79"/>
      <c r="Z209" s="130"/>
      <c r="AB209" s="106"/>
    </row>
    <row r="210">
      <c r="C210" s="79"/>
      <c r="D210" s="79"/>
      <c r="E210" s="79"/>
      <c r="M210" s="79"/>
      <c r="R210" s="79"/>
      <c r="S210" s="79"/>
      <c r="V210" s="79"/>
      <c r="W210" s="79"/>
      <c r="Z210" s="130"/>
      <c r="AB210" s="106"/>
    </row>
    <row r="211">
      <c r="C211" s="79"/>
      <c r="D211" s="79"/>
      <c r="E211" s="79"/>
      <c r="M211" s="79"/>
      <c r="R211" s="79"/>
      <c r="S211" s="79"/>
      <c r="V211" s="79"/>
      <c r="W211" s="79"/>
      <c r="Z211" s="130"/>
      <c r="AB211" s="106"/>
    </row>
    <row r="212">
      <c r="C212" s="79"/>
      <c r="D212" s="79"/>
      <c r="E212" s="79"/>
      <c r="M212" s="79"/>
      <c r="R212" s="79"/>
      <c r="S212" s="79"/>
      <c r="V212" s="79"/>
      <c r="W212" s="79"/>
      <c r="Z212" s="130"/>
      <c r="AB212" s="106"/>
    </row>
    <row r="213">
      <c r="C213" s="79"/>
      <c r="D213" s="79"/>
      <c r="E213" s="79"/>
      <c r="M213" s="79"/>
      <c r="R213" s="79"/>
      <c r="S213" s="79"/>
      <c r="V213" s="79"/>
      <c r="W213" s="79"/>
      <c r="Z213" s="130"/>
      <c r="AB213" s="106"/>
    </row>
    <row r="214">
      <c r="C214" s="79"/>
      <c r="D214" s="79"/>
      <c r="E214" s="79"/>
      <c r="M214" s="79"/>
      <c r="R214" s="79"/>
      <c r="S214" s="79"/>
      <c r="V214" s="79"/>
      <c r="W214" s="79"/>
      <c r="Z214" s="130"/>
      <c r="AB214" s="106"/>
    </row>
    <row r="215">
      <c r="C215" s="79"/>
      <c r="D215" s="79"/>
      <c r="E215" s="79"/>
      <c r="M215" s="79"/>
      <c r="R215" s="79"/>
      <c r="S215" s="79"/>
      <c r="V215" s="79"/>
      <c r="W215" s="79"/>
      <c r="Z215" s="130"/>
      <c r="AB215" s="106"/>
    </row>
    <row r="216">
      <c r="C216" s="79"/>
      <c r="D216" s="79"/>
      <c r="E216" s="79"/>
      <c r="M216" s="79"/>
      <c r="R216" s="79"/>
      <c r="S216" s="79"/>
      <c r="V216" s="79"/>
      <c r="W216" s="79"/>
      <c r="Z216" s="130"/>
      <c r="AB216" s="106"/>
    </row>
    <row r="217">
      <c r="C217" s="79"/>
      <c r="D217" s="79"/>
      <c r="E217" s="79"/>
      <c r="M217" s="79"/>
      <c r="R217" s="79"/>
      <c r="S217" s="79"/>
      <c r="V217" s="79"/>
      <c r="W217" s="79"/>
      <c r="Z217" s="130"/>
      <c r="AB217" s="106"/>
    </row>
    <row r="218">
      <c r="C218" s="79"/>
      <c r="D218" s="79"/>
      <c r="E218" s="79"/>
      <c r="M218" s="79"/>
      <c r="R218" s="79"/>
      <c r="S218" s="79"/>
      <c r="V218" s="79"/>
      <c r="W218" s="79"/>
      <c r="Z218" s="130"/>
      <c r="AB218" s="106"/>
    </row>
    <row r="219">
      <c r="C219" s="79"/>
      <c r="D219" s="79"/>
      <c r="E219" s="79"/>
      <c r="M219" s="79"/>
      <c r="R219" s="79"/>
      <c r="S219" s="79"/>
      <c r="V219" s="79"/>
      <c r="W219" s="79"/>
      <c r="Z219" s="130"/>
      <c r="AB219" s="106"/>
    </row>
    <row r="220">
      <c r="C220" s="79"/>
      <c r="D220" s="79"/>
      <c r="E220" s="79"/>
      <c r="M220" s="79"/>
      <c r="R220" s="79"/>
      <c r="S220" s="79"/>
      <c r="V220" s="79"/>
      <c r="W220" s="79"/>
      <c r="Z220" s="130"/>
      <c r="AB220" s="106"/>
    </row>
    <row r="221">
      <c r="C221" s="79"/>
      <c r="D221" s="79"/>
      <c r="E221" s="79"/>
      <c r="M221" s="79"/>
      <c r="R221" s="79"/>
      <c r="S221" s="79"/>
      <c r="V221" s="79"/>
      <c r="W221" s="79"/>
      <c r="Z221" s="130"/>
      <c r="AB221" s="106"/>
    </row>
    <row r="222">
      <c r="C222" s="79"/>
      <c r="D222" s="79"/>
      <c r="E222" s="79"/>
      <c r="M222" s="79"/>
      <c r="R222" s="79"/>
      <c r="S222" s="79"/>
      <c r="V222" s="79"/>
      <c r="W222" s="79"/>
      <c r="Z222" s="130"/>
      <c r="AB222" s="106"/>
    </row>
    <row r="223">
      <c r="C223" s="79"/>
      <c r="D223" s="79"/>
      <c r="E223" s="79"/>
      <c r="M223" s="79"/>
      <c r="R223" s="79"/>
      <c r="S223" s="79"/>
      <c r="V223" s="79"/>
      <c r="W223" s="79"/>
      <c r="Z223" s="130"/>
      <c r="AB223" s="106"/>
    </row>
    <row r="224">
      <c r="C224" s="79"/>
      <c r="D224" s="79"/>
      <c r="E224" s="79"/>
      <c r="M224" s="79"/>
      <c r="R224" s="79"/>
      <c r="S224" s="79"/>
      <c r="V224" s="79"/>
      <c r="W224" s="79"/>
      <c r="Z224" s="130"/>
      <c r="AB224" s="106"/>
    </row>
    <row r="225">
      <c r="C225" s="79"/>
      <c r="D225" s="79"/>
      <c r="E225" s="79"/>
      <c r="M225" s="79"/>
      <c r="R225" s="79"/>
      <c r="S225" s="79"/>
      <c r="V225" s="79"/>
      <c r="W225" s="79"/>
      <c r="Z225" s="130"/>
      <c r="AB225" s="106"/>
    </row>
    <row r="226">
      <c r="C226" s="79"/>
      <c r="D226" s="79"/>
      <c r="E226" s="79"/>
      <c r="M226" s="79"/>
      <c r="R226" s="79"/>
      <c r="S226" s="79"/>
      <c r="V226" s="79"/>
      <c r="W226" s="79"/>
      <c r="Z226" s="130"/>
      <c r="AB226" s="106"/>
    </row>
    <row r="227">
      <c r="C227" s="79"/>
      <c r="D227" s="79"/>
      <c r="E227" s="79"/>
      <c r="M227" s="79"/>
      <c r="R227" s="79"/>
      <c r="S227" s="79"/>
      <c r="V227" s="79"/>
      <c r="W227" s="79"/>
      <c r="Z227" s="130"/>
      <c r="AB227" s="106"/>
    </row>
    <row r="228">
      <c r="C228" s="79"/>
      <c r="D228" s="79"/>
      <c r="E228" s="79"/>
      <c r="M228" s="79"/>
      <c r="R228" s="79"/>
      <c r="S228" s="79"/>
      <c r="V228" s="79"/>
      <c r="W228" s="79"/>
      <c r="Z228" s="130"/>
      <c r="AB228" s="106"/>
    </row>
    <row r="229">
      <c r="C229" s="79"/>
      <c r="D229" s="79"/>
      <c r="E229" s="79"/>
      <c r="M229" s="79"/>
      <c r="R229" s="79"/>
      <c r="S229" s="79"/>
      <c r="V229" s="79"/>
      <c r="W229" s="79"/>
      <c r="Z229" s="130"/>
      <c r="AB229" s="106"/>
    </row>
    <row r="230">
      <c r="C230" s="79"/>
      <c r="D230" s="79"/>
      <c r="E230" s="79"/>
      <c r="M230" s="79"/>
      <c r="R230" s="79"/>
      <c r="S230" s="79"/>
      <c r="V230" s="79"/>
      <c r="W230" s="79"/>
      <c r="Z230" s="130"/>
      <c r="AB230" s="106"/>
    </row>
    <row r="231">
      <c r="C231" s="79"/>
      <c r="D231" s="79"/>
      <c r="E231" s="79"/>
      <c r="M231" s="79"/>
      <c r="R231" s="79"/>
      <c r="S231" s="79"/>
      <c r="V231" s="79"/>
      <c r="W231" s="79"/>
      <c r="Z231" s="130"/>
      <c r="AB231" s="106"/>
    </row>
    <row r="232">
      <c r="C232" s="79"/>
      <c r="D232" s="79"/>
      <c r="E232" s="79"/>
      <c r="M232" s="79"/>
      <c r="R232" s="79"/>
      <c r="S232" s="79"/>
      <c r="V232" s="79"/>
      <c r="W232" s="79"/>
      <c r="Z232" s="130"/>
      <c r="AB232" s="106"/>
    </row>
    <row r="233">
      <c r="C233" s="79"/>
      <c r="D233" s="79"/>
      <c r="E233" s="79"/>
      <c r="M233" s="79"/>
      <c r="R233" s="79"/>
      <c r="S233" s="79"/>
      <c r="V233" s="79"/>
      <c r="W233" s="79"/>
      <c r="Z233" s="130"/>
      <c r="AB233" s="106"/>
    </row>
    <row r="234">
      <c r="C234" s="79"/>
      <c r="D234" s="79"/>
      <c r="E234" s="79"/>
      <c r="M234" s="79"/>
      <c r="R234" s="79"/>
      <c r="S234" s="79"/>
      <c r="V234" s="79"/>
      <c r="W234" s="79"/>
      <c r="Z234" s="130"/>
      <c r="AB234" s="106"/>
    </row>
    <row r="235">
      <c r="C235" s="79"/>
      <c r="D235" s="79"/>
      <c r="E235" s="79"/>
      <c r="M235" s="79"/>
      <c r="R235" s="79"/>
      <c r="S235" s="79"/>
      <c r="V235" s="79"/>
      <c r="W235" s="79"/>
      <c r="Z235" s="130"/>
      <c r="AB235" s="106"/>
    </row>
    <row r="236">
      <c r="C236" s="79"/>
      <c r="D236" s="79"/>
      <c r="E236" s="79"/>
      <c r="M236" s="79"/>
      <c r="R236" s="79"/>
      <c r="S236" s="79"/>
      <c r="V236" s="79"/>
      <c r="W236" s="79"/>
      <c r="Z236" s="130"/>
      <c r="AB236" s="106"/>
    </row>
    <row r="237">
      <c r="C237" s="79"/>
      <c r="D237" s="79"/>
      <c r="E237" s="79"/>
      <c r="M237" s="79"/>
      <c r="R237" s="79"/>
      <c r="S237" s="79"/>
      <c r="V237" s="79"/>
      <c r="W237" s="79"/>
      <c r="Z237" s="130"/>
      <c r="AB237" s="106"/>
    </row>
    <row r="238">
      <c r="C238" s="79"/>
      <c r="D238" s="79"/>
      <c r="E238" s="79"/>
      <c r="M238" s="79"/>
      <c r="R238" s="79"/>
      <c r="S238" s="79"/>
      <c r="V238" s="79"/>
      <c r="W238" s="79"/>
      <c r="Z238" s="130"/>
      <c r="AB238" s="106"/>
    </row>
    <row r="239">
      <c r="C239" s="79"/>
      <c r="D239" s="79"/>
      <c r="E239" s="79"/>
      <c r="M239" s="79"/>
      <c r="R239" s="79"/>
      <c r="S239" s="79"/>
      <c r="V239" s="79"/>
      <c r="W239" s="79"/>
      <c r="Z239" s="130"/>
      <c r="AB239" s="106"/>
    </row>
    <row r="240">
      <c r="C240" s="79"/>
      <c r="D240" s="79"/>
      <c r="E240" s="79"/>
      <c r="M240" s="79"/>
      <c r="R240" s="79"/>
      <c r="S240" s="79"/>
      <c r="V240" s="79"/>
      <c r="W240" s="79"/>
      <c r="Z240" s="130"/>
      <c r="AB240" s="106"/>
    </row>
    <row r="241">
      <c r="C241" s="79"/>
      <c r="D241" s="79"/>
      <c r="E241" s="79"/>
      <c r="M241" s="79"/>
      <c r="R241" s="79"/>
      <c r="S241" s="79"/>
      <c r="V241" s="79"/>
      <c r="W241" s="79"/>
      <c r="Z241" s="130"/>
      <c r="AB241" s="106"/>
    </row>
    <row r="242">
      <c r="C242" s="79"/>
      <c r="D242" s="79"/>
      <c r="E242" s="79"/>
      <c r="M242" s="79"/>
      <c r="R242" s="79"/>
      <c r="S242" s="79"/>
      <c r="V242" s="79"/>
      <c r="W242" s="79"/>
      <c r="Z242" s="130"/>
      <c r="AB242" s="106"/>
    </row>
    <row r="243">
      <c r="C243" s="79"/>
      <c r="D243" s="79"/>
      <c r="E243" s="79"/>
      <c r="M243" s="79"/>
      <c r="R243" s="79"/>
      <c r="S243" s="79"/>
      <c r="V243" s="79"/>
      <c r="W243" s="79"/>
      <c r="Z243" s="130"/>
      <c r="AB243" s="106"/>
    </row>
    <row r="244">
      <c r="C244" s="79"/>
      <c r="D244" s="79"/>
      <c r="E244" s="79"/>
      <c r="M244" s="79"/>
      <c r="R244" s="79"/>
      <c r="S244" s="79"/>
      <c r="V244" s="79"/>
      <c r="W244" s="79"/>
      <c r="Z244" s="130"/>
      <c r="AB244" s="106"/>
    </row>
    <row r="245">
      <c r="C245" s="79"/>
      <c r="D245" s="79"/>
      <c r="E245" s="79"/>
      <c r="M245" s="79"/>
      <c r="R245" s="79"/>
      <c r="S245" s="79"/>
      <c r="V245" s="79"/>
      <c r="W245" s="79"/>
      <c r="Z245" s="130"/>
      <c r="AB245" s="106"/>
    </row>
    <row r="246">
      <c r="C246" s="79"/>
      <c r="D246" s="79"/>
      <c r="E246" s="79"/>
      <c r="M246" s="79"/>
      <c r="R246" s="79"/>
      <c r="S246" s="79"/>
      <c r="V246" s="79"/>
      <c r="W246" s="79"/>
      <c r="Z246" s="130"/>
      <c r="AB246" s="106"/>
    </row>
    <row r="247">
      <c r="C247" s="79"/>
      <c r="D247" s="79"/>
      <c r="E247" s="79"/>
      <c r="M247" s="79"/>
      <c r="R247" s="79"/>
      <c r="S247" s="79"/>
      <c r="V247" s="79"/>
      <c r="W247" s="79"/>
      <c r="Z247" s="130"/>
      <c r="AB247" s="106"/>
    </row>
    <row r="248">
      <c r="C248" s="79"/>
      <c r="D248" s="79"/>
      <c r="E248" s="79"/>
      <c r="M248" s="79"/>
      <c r="R248" s="79"/>
      <c r="S248" s="79"/>
      <c r="V248" s="79"/>
      <c r="W248" s="79"/>
      <c r="Z248" s="130"/>
      <c r="AB248" s="106"/>
    </row>
    <row r="249">
      <c r="C249" s="79"/>
      <c r="D249" s="79"/>
      <c r="E249" s="79"/>
      <c r="M249" s="79"/>
      <c r="R249" s="79"/>
      <c r="S249" s="79"/>
      <c r="V249" s="79"/>
      <c r="W249" s="79"/>
      <c r="Z249" s="130"/>
      <c r="AB249" s="106"/>
    </row>
    <row r="250">
      <c r="C250" s="79"/>
      <c r="D250" s="79"/>
      <c r="E250" s="79"/>
      <c r="M250" s="79"/>
      <c r="R250" s="79"/>
      <c r="S250" s="79"/>
      <c r="V250" s="79"/>
      <c r="W250" s="79"/>
      <c r="Z250" s="130"/>
      <c r="AB250" s="106"/>
    </row>
    <row r="251">
      <c r="C251" s="79"/>
      <c r="D251" s="79"/>
      <c r="E251" s="79"/>
      <c r="M251" s="79"/>
      <c r="R251" s="79"/>
      <c r="S251" s="79"/>
      <c r="V251" s="79"/>
      <c r="W251" s="79"/>
      <c r="Z251" s="130"/>
      <c r="AB251" s="106"/>
    </row>
    <row r="252">
      <c r="C252" s="79"/>
      <c r="D252" s="79"/>
      <c r="E252" s="79"/>
      <c r="M252" s="79"/>
      <c r="R252" s="79"/>
      <c r="S252" s="79"/>
      <c r="V252" s="79"/>
      <c r="W252" s="79"/>
      <c r="Z252" s="130"/>
      <c r="AB252" s="106"/>
    </row>
    <row r="253">
      <c r="C253" s="79"/>
      <c r="D253" s="79"/>
      <c r="E253" s="79"/>
      <c r="M253" s="79"/>
      <c r="R253" s="79"/>
      <c r="S253" s="79"/>
      <c r="V253" s="79"/>
      <c r="W253" s="79"/>
      <c r="Z253" s="130"/>
      <c r="AB253" s="106"/>
    </row>
    <row r="254">
      <c r="C254" s="79"/>
      <c r="D254" s="79"/>
      <c r="E254" s="79"/>
      <c r="M254" s="79"/>
      <c r="R254" s="79"/>
      <c r="S254" s="79"/>
      <c r="V254" s="79"/>
      <c r="W254" s="79"/>
      <c r="Z254" s="130"/>
      <c r="AB254" s="106"/>
    </row>
    <row r="255">
      <c r="C255" s="79"/>
      <c r="D255" s="79"/>
      <c r="E255" s="79"/>
      <c r="M255" s="79"/>
      <c r="R255" s="79"/>
      <c r="S255" s="79"/>
      <c r="V255" s="79"/>
      <c r="W255" s="79"/>
      <c r="Z255" s="130"/>
      <c r="AB255" s="106"/>
    </row>
    <row r="256">
      <c r="C256" s="79"/>
      <c r="D256" s="79"/>
      <c r="E256" s="79"/>
      <c r="M256" s="79"/>
      <c r="R256" s="79"/>
      <c r="S256" s="79"/>
      <c r="V256" s="79"/>
      <c r="W256" s="79"/>
      <c r="Z256" s="130"/>
      <c r="AB256" s="106"/>
    </row>
    <row r="257">
      <c r="C257" s="79"/>
      <c r="D257" s="79"/>
      <c r="E257" s="79"/>
      <c r="M257" s="79"/>
      <c r="R257" s="79"/>
      <c r="S257" s="79"/>
      <c r="V257" s="79"/>
      <c r="W257" s="79"/>
      <c r="Z257" s="130"/>
      <c r="AB257" s="106"/>
    </row>
    <row r="258">
      <c r="C258" s="79"/>
      <c r="D258" s="79"/>
      <c r="E258" s="79"/>
      <c r="M258" s="79"/>
      <c r="R258" s="79"/>
      <c r="S258" s="79"/>
      <c r="V258" s="79"/>
      <c r="W258" s="79"/>
      <c r="Z258" s="130"/>
      <c r="AB258" s="106"/>
    </row>
    <row r="259">
      <c r="C259" s="79"/>
      <c r="D259" s="79"/>
      <c r="E259" s="79"/>
      <c r="M259" s="79"/>
      <c r="R259" s="79"/>
      <c r="S259" s="79"/>
      <c r="V259" s="79"/>
      <c r="W259" s="79"/>
      <c r="Z259" s="130"/>
      <c r="AB259" s="106"/>
    </row>
    <row r="260">
      <c r="C260" s="79"/>
      <c r="D260" s="79"/>
      <c r="E260" s="79"/>
      <c r="M260" s="79"/>
      <c r="R260" s="79"/>
      <c r="S260" s="79"/>
      <c r="V260" s="79"/>
      <c r="W260" s="79"/>
      <c r="Z260" s="130"/>
      <c r="AB260" s="106"/>
    </row>
    <row r="261">
      <c r="C261" s="79"/>
      <c r="D261" s="79"/>
      <c r="E261" s="79"/>
      <c r="M261" s="79"/>
      <c r="R261" s="79"/>
      <c r="S261" s="79"/>
      <c r="V261" s="79"/>
      <c r="W261" s="79"/>
      <c r="Z261" s="130"/>
      <c r="AB261" s="106"/>
    </row>
    <row r="262">
      <c r="C262" s="79"/>
      <c r="D262" s="79"/>
      <c r="E262" s="79"/>
      <c r="M262" s="79"/>
      <c r="R262" s="79"/>
      <c r="S262" s="79"/>
      <c r="V262" s="79"/>
      <c r="W262" s="79"/>
      <c r="Z262" s="130"/>
      <c r="AB262" s="106"/>
    </row>
    <row r="263">
      <c r="C263" s="79"/>
      <c r="D263" s="79"/>
      <c r="E263" s="79"/>
      <c r="M263" s="79"/>
      <c r="R263" s="79"/>
      <c r="S263" s="79"/>
      <c r="V263" s="79"/>
      <c r="W263" s="79"/>
      <c r="Z263" s="130"/>
      <c r="AB263" s="106"/>
    </row>
    <row r="264">
      <c r="C264" s="79"/>
      <c r="D264" s="79"/>
      <c r="E264" s="79"/>
      <c r="M264" s="79"/>
      <c r="R264" s="79"/>
      <c r="S264" s="79"/>
      <c r="V264" s="79"/>
      <c r="W264" s="79"/>
      <c r="Z264" s="130"/>
      <c r="AB264" s="106"/>
    </row>
    <row r="265">
      <c r="C265" s="79"/>
      <c r="D265" s="79"/>
      <c r="E265" s="79"/>
      <c r="M265" s="79"/>
      <c r="R265" s="79"/>
      <c r="S265" s="79"/>
      <c r="V265" s="79"/>
      <c r="W265" s="79"/>
      <c r="Z265" s="130"/>
      <c r="AB265" s="106"/>
    </row>
    <row r="266">
      <c r="C266" s="79"/>
      <c r="D266" s="79"/>
      <c r="E266" s="79"/>
      <c r="M266" s="79"/>
      <c r="R266" s="79"/>
      <c r="S266" s="79"/>
      <c r="V266" s="79"/>
      <c r="W266" s="79"/>
      <c r="Z266" s="130"/>
      <c r="AB266" s="106"/>
    </row>
    <row r="267">
      <c r="C267" s="79"/>
      <c r="D267" s="79"/>
      <c r="E267" s="79"/>
      <c r="M267" s="79"/>
      <c r="R267" s="79"/>
      <c r="S267" s="79"/>
      <c r="V267" s="79"/>
      <c r="W267" s="79"/>
      <c r="Z267" s="130"/>
      <c r="AB267" s="106"/>
    </row>
    <row r="268">
      <c r="C268" s="79"/>
      <c r="D268" s="79"/>
      <c r="E268" s="79"/>
      <c r="M268" s="79"/>
      <c r="R268" s="79"/>
      <c r="S268" s="79"/>
      <c r="V268" s="79"/>
      <c r="W268" s="79"/>
      <c r="Z268" s="130"/>
      <c r="AB268" s="106"/>
    </row>
    <row r="269">
      <c r="C269" s="79"/>
      <c r="D269" s="79"/>
      <c r="E269" s="79"/>
      <c r="M269" s="79"/>
      <c r="R269" s="79"/>
      <c r="S269" s="79"/>
      <c r="V269" s="79"/>
      <c r="W269" s="79"/>
      <c r="Z269" s="130"/>
      <c r="AB269" s="106"/>
    </row>
    <row r="270">
      <c r="C270" s="79"/>
      <c r="D270" s="79"/>
      <c r="E270" s="79"/>
      <c r="M270" s="79"/>
      <c r="R270" s="79"/>
      <c r="S270" s="79"/>
      <c r="V270" s="79"/>
      <c r="W270" s="79"/>
      <c r="Z270" s="130"/>
      <c r="AB270" s="106"/>
    </row>
    <row r="271">
      <c r="C271" s="79"/>
      <c r="D271" s="79"/>
      <c r="E271" s="79"/>
      <c r="M271" s="79"/>
      <c r="R271" s="79"/>
      <c r="S271" s="79"/>
      <c r="V271" s="79"/>
      <c r="W271" s="79"/>
      <c r="Z271" s="130"/>
      <c r="AB271" s="106"/>
    </row>
    <row r="272">
      <c r="C272" s="79"/>
      <c r="D272" s="79"/>
      <c r="E272" s="79"/>
      <c r="M272" s="79"/>
      <c r="R272" s="79"/>
      <c r="S272" s="79"/>
      <c r="V272" s="79"/>
      <c r="W272" s="79"/>
      <c r="Z272" s="130"/>
      <c r="AB272" s="106"/>
    </row>
    <row r="273">
      <c r="C273" s="79"/>
      <c r="D273" s="79"/>
      <c r="E273" s="79"/>
      <c r="M273" s="79"/>
      <c r="R273" s="79"/>
      <c r="S273" s="79"/>
      <c r="V273" s="79"/>
      <c r="W273" s="79"/>
      <c r="Z273" s="130"/>
      <c r="AB273" s="106"/>
    </row>
    <row r="274">
      <c r="C274" s="79"/>
      <c r="D274" s="79"/>
      <c r="E274" s="79"/>
      <c r="M274" s="79"/>
      <c r="R274" s="79"/>
      <c r="S274" s="79"/>
      <c r="V274" s="79"/>
      <c r="W274" s="79"/>
      <c r="Z274" s="130"/>
      <c r="AB274" s="106"/>
    </row>
    <row r="275">
      <c r="C275" s="79"/>
      <c r="D275" s="79"/>
      <c r="E275" s="79"/>
      <c r="M275" s="79"/>
      <c r="R275" s="79"/>
      <c r="S275" s="79"/>
      <c r="V275" s="79"/>
      <c r="W275" s="79"/>
      <c r="Z275" s="130"/>
      <c r="AB275" s="106"/>
    </row>
    <row r="276">
      <c r="C276" s="79"/>
      <c r="D276" s="79"/>
      <c r="E276" s="79"/>
      <c r="M276" s="79"/>
      <c r="R276" s="79"/>
      <c r="S276" s="79"/>
      <c r="V276" s="79"/>
      <c r="W276" s="79"/>
      <c r="Z276" s="130"/>
      <c r="AB276" s="106"/>
    </row>
    <row r="277">
      <c r="C277" s="79"/>
      <c r="D277" s="79"/>
      <c r="E277" s="79"/>
      <c r="M277" s="79"/>
      <c r="R277" s="79"/>
      <c r="S277" s="79"/>
      <c r="V277" s="79"/>
      <c r="W277" s="79"/>
      <c r="Z277" s="130"/>
      <c r="AB277" s="106"/>
    </row>
    <row r="278">
      <c r="C278" s="79"/>
      <c r="D278" s="79"/>
      <c r="E278" s="79"/>
      <c r="M278" s="79"/>
      <c r="R278" s="79"/>
      <c r="S278" s="79"/>
      <c r="V278" s="79"/>
      <c r="W278" s="79"/>
      <c r="Z278" s="130"/>
      <c r="AB278" s="106"/>
    </row>
    <row r="279">
      <c r="C279" s="79"/>
      <c r="D279" s="79"/>
      <c r="E279" s="79"/>
      <c r="M279" s="79"/>
      <c r="R279" s="79"/>
      <c r="S279" s="79"/>
      <c r="V279" s="79"/>
      <c r="W279" s="79"/>
      <c r="Z279" s="130"/>
      <c r="AB279" s="106"/>
    </row>
    <row r="280">
      <c r="C280" s="79"/>
      <c r="D280" s="79"/>
      <c r="E280" s="79"/>
      <c r="M280" s="79"/>
      <c r="R280" s="79"/>
      <c r="S280" s="79"/>
      <c r="V280" s="79"/>
      <c r="W280" s="79"/>
      <c r="Z280" s="130"/>
      <c r="AB280" s="106"/>
    </row>
    <row r="281">
      <c r="C281" s="79"/>
      <c r="D281" s="79"/>
      <c r="E281" s="79"/>
      <c r="M281" s="79"/>
      <c r="R281" s="79"/>
      <c r="S281" s="79"/>
      <c r="V281" s="79"/>
      <c r="W281" s="79"/>
      <c r="Z281" s="130"/>
      <c r="AB281" s="106"/>
    </row>
    <row r="282">
      <c r="C282" s="79"/>
      <c r="D282" s="79"/>
      <c r="E282" s="79"/>
      <c r="M282" s="79"/>
      <c r="R282" s="79"/>
      <c r="S282" s="79"/>
      <c r="V282" s="79"/>
      <c r="W282" s="79"/>
      <c r="Z282" s="130"/>
      <c r="AB282" s="106"/>
    </row>
    <row r="283">
      <c r="C283" s="79"/>
      <c r="D283" s="79"/>
      <c r="E283" s="79"/>
      <c r="M283" s="79"/>
      <c r="R283" s="79"/>
      <c r="S283" s="79"/>
      <c r="V283" s="79"/>
      <c r="W283" s="79"/>
      <c r="Z283" s="130"/>
      <c r="AB283" s="106"/>
    </row>
    <row r="284">
      <c r="C284" s="79"/>
      <c r="D284" s="79"/>
      <c r="E284" s="79"/>
      <c r="M284" s="79"/>
      <c r="R284" s="79"/>
      <c r="S284" s="79"/>
      <c r="V284" s="79"/>
      <c r="W284" s="79"/>
      <c r="Z284" s="130"/>
      <c r="AB284" s="106"/>
    </row>
    <row r="285">
      <c r="C285" s="79"/>
      <c r="D285" s="79"/>
      <c r="E285" s="79"/>
      <c r="M285" s="79"/>
      <c r="R285" s="79"/>
      <c r="S285" s="79"/>
      <c r="V285" s="79"/>
      <c r="W285" s="79"/>
      <c r="Z285" s="130"/>
      <c r="AB285" s="106"/>
    </row>
    <row r="286">
      <c r="C286" s="79"/>
      <c r="D286" s="79"/>
      <c r="E286" s="79"/>
      <c r="M286" s="79"/>
      <c r="R286" s="79"/>
      <c r="S286" s="79"/>
      <c r="V286" s="79"/>
      <c r="W286" s="79"/>
      <c r="Z286" s="130"/>
      <c r="AB286" s="106"/>
    </row>
    <row r="287">
      <c r="C287" s="79"/>
      <c r="D287" s="79"/>
      <c r="E287" s="79"/>
      <c r="M287" s="79"/>
      <c r="R287" s="79"/>
      <c r="S287" s="79"/>
      <c r="V287" s="79"/>
      <c r="W287" s="79"/>
      <c r="Z287" s="130"/>
      <c r="AB287" s="106"/>
    </row>
    <row r="288">
      <c r="C288" s="79"/>
      <c r="D288" s="79"/>
      <c r="E288" s="79"/>
      <c r="M288" s="79"/>
      <c r="R288" s="79"/>
      <c r="S288" s="79"/>
      <c r="V288" s="79"/>
      <c r="W288" s="79"/>
      <c r="Z288" s="130"/>
      <c r="AB288" s="106"/>
    </row>
    <row r="289">
      <c r="C289" s="79"/>
      <c r="D289" s="79"/>
      <c r="E289" s="79"/>
      <c r="M289" s="79"/>
      <c r="R289" s="79"/>
      <c r="S289" s="79"/>
      <c r="V289" s="79"/>
      <c r="W289" s="79"/>
      <c r="Z289" s="130"/>
      <c r="AB289" s="106"/>
    </row>
    <row r="290">
      <c r="C290" s="79"/>
      <c r="D290" s="79"/>
      <c r="E290" s="79"/>
      <c r="M290" s="79"/>
      <c r="R290" s="79"/>
      <c r="S290" s="79"/>
      <c r="V290" s="79"/>
      <c r="W290" s="79"/>
      <c r="Z290" s="130"/>
      <c r="AB290" s="106"/>
    </row>
    <row r="291">
      <c r="C291" s="79"/>
      <c r="D291" s="79"/>
      <c r="E291" s="79"/>
      <c r="M291" s="79"/>
      <c r="R291" s="79"/>
      <c r="S291" s="79"/>
      <c r="V291" s="79"/>
      <c r="W291" s="79"/>
      <c r="Z291" s="130"/>
      <c r="AB291" s="106"/>
    </row>
    <row r="292">
      <c r="C292" s="79"/>
      <c r="D292" s="79"/>
      <c r="E292" s="79"/>
      <c r="M292" s="79"/>
      <c r="R292" s="79"/>
      <c r="S292" s="79"/>
      <c r="V292" s="79"/>
      <c r="W292" s="79"/>
      <c r="Z292" s="130"/>
      <c r="AB292" s="106"/>
    </row>
    <row r="293">
      <c r="C293" s="79"/>
      <c r="D293" s="79"/>
      <c r="E293" s="79"/>
      <c r="M293" s="79"/>
      <c r="R293" s="79"/>
      <c r="S293" s="79"/>
      <c r="V293" s="79"/>
      <c r="W293" s="79"/>
      <c r="Z293" s="130"/>
      <c r="AB293" s="106"/>
    </row>
    <row r="294">
      <c r="C294" s="79"/>
      <c r="D294" s="79"/>
      <c r="E294" s="79"/>
      <c r="M294" s="79"/>
      <c r="R294" s="79"/>
      <c r="S294" s="79"/>
      <c r="V294" s="79"/>
      <c r="W294" s="79"/>
      <c r="Z294" s="130"/>
      <c r="AB294" s="106"/>
    </row>
    <row r="295">
      <c r="C295" s="79"/>
      <c r="D295" s="79"/>
      <c r="E295" s="79"/>
      <c r="M295" s="79"/>
      <c r="R295" s="79"/>
      <c r="S295" s="79"/>
      <c r="V295" s="79"/>
      <c r="W295" s="79"/>
      <c r="Z295" s="130"/>
      <c r="AB295" s="106"/>
    </row>
    <row r="296">
      <c r="C296" s="79"/>
      <c r="D296" s="79"/>
      <c r="E296" s="79"/>
      <c r="M296" s="79"/>
      <c r="R296" s="79"/>
      <c r="S296" s="79"/>
      <c r="V296" s="79"/>
      <c r="W296" s="79"/>
      <c r="Z296" s="130"/>
      <c r="AB296" s="106"/>
    </row>
    <row r="297">
      <c r="C297" s="79"/>
      <c r="D297" s="79"/>
      <c r="E297" s="79"/>
      <c r="M297" s="79"/>
      <c r="R297" s="79"/>
      <c r="S297" s="79"/>
      <c r="V297" s="79"/>
      <c r="W297" s="79"/>
      <c r="Z297" s="130"/>
      <c r="AB297" s="106"/>
    </row>
    <row r="298">
      <c r="C298" s="79"/>
      <c r="D298" s="79"/>
      <c r="E298" s="79"/>
      <c r="M298" s="79"/>
      <c r="R298" s="79"/>
      <c r="S298" s="79"/>
      <c r="V298" s="79"/>
      <c r="W298" s="79"/>
      <c r="Z298" s="130"/>
      <c r="AB298" s="106"/>
    </row>
    <row r="299">
      <c r="C299" s="79"/>
      <c r="D299" s="79"/>
      <c r="E299" s="79"/>
      <c r="M299" s="79"/>
      <c r="R299" s="79"/>
      <c r="S299" s="79"/>
      <c r="V299" s="79"/>
      <c r="W299" s="79"/>
      <c r="Z299" s="130"/>
      <c r="AB299" s="106"/>
    </row>
    <row r="300">
      <c r="C300" s="79"/>
      <c r="D300" s="79"/>
      <c r="E300" s="79"/>
      <c r="M300" s="79"/>
      <c r="R300" s="79"/>
      <c r="S300" s="79"/>
      <c r="V300" s="79"/>
      <c r="W300" s="79"/>
      <c r="Z300" s="130"/>
      <c r="AB300" s="106"/>
    </row>
    <row r="301">
      <c r="C301" s="79"/>
      <c r="D301" s="79"/>
      <c r="E301" s="79"/>
      <c r="M301" s="79"/>
      <c r="R301" s="79"/>
      <c r="S301" s="79"/>
      <c r="V301" s="79"/>
      <c r="W301" s="79"/>
      <c r="Z301" s="130"/>
      <c r="AB301" s="106"/>
    </row>
    <row r="302">
      <c r="C302" s="79"/>
      <c r="D302" s="79"/>
      <c r="E302" s="79"/>
      <c r="M302" s="79"/>
      <c r="R302" s="79"/>
      <c r="S302" s="79"/>
      <c r="V302" s="79"/>
      <c r="W302" s="79"/>
      <c r="Z302" s="130"/>
      <c r="AB302" s="106"/>
    </row>
    <row r="303">
      <c r="C303" s="79"/>
      <c r="D303" s="79"/>
      <c r="E303" s="79"/>
      <c r="M303" s="79"/>
      <c r="R303" s="79"/>
      <c r="S303" s="79"/>
      <c r="V303" s="79"/>
      <c r="W303" s="79"/>
      <c r="Z303" s="130"/>
      <c r="AB303" s="106"/>
    </row>
    <row r="304">
      <c r="C304" s="79"/>
      <c r="D304" s="79"/>
      <c r="E304" s="79"/>
      <c r="M304" s="79"/>
      <c r="R304" s="79"/>
      <c r="S304" s="79"/>
      <c r="V304" s="79"/>
      <c r="W304" s="79"/>
      <c r="Z304" s="130"/>
      <c r="AB304" s="106"/>
    </row>
    <row r="305">
      <c r="C305" s="79"/>
      <c r="D305" s="79"/>
      <c r="E305" s="79"/>
      <c r="M305" s="79"/>
      <c r="R305" s="79"/>
      <c r="S305" s="79"/>
      <c r="V305" s="79"/>
      <c r="W305" s="79"/>
      <c r="Z305" s="130"/>
      <c r="AB305" s="106"/>
    </row>
    <row r="306">
      <c r="C306" s="79"/>
      <c r="D306" s="79"/>
      <c r="E306" s="79"/>
      <c r="M306" s="79"/>
      <c r="R306" s="79"/>
      <c r="S306" s="79"/>
      <c r="V306" s="79"/>
      <c r="W306" s="79"/>
      <c r="Z306" s="130"/>
      <c r="AB306" s="106"/>
    </row>
    <row r="307">
      <c r="C307" s="79"/>
      <c r="D307" s="79"/>
      <c r="E307" s="79"/>
      <c r="M307" s="79"/>
      <c r="R307" s="79"/>
      <c r="S307" s="79"/>
      <c r="V307" s="79"/>
      <c r="W307" s="79"/>
      <c r="Z307" s="130"/>
      <c r="AB307" s="106"/>
    </row>
    <row r="308">
      <c r="C308" s="79"/>
      <c r="D308" s="79"/>
      <c r="E308" s="79"/>
      <c r="M308" s="79"/>
      <c r="R308" s="79"/>
      <c r="S308" s="79"/>
      <c r="V308" s="79"/>
      <c r="W308" s="79"/>
      <c r="Z308" s="130"/>
      <c r="AB308" s="106"/>
    </row>
    <row r="309">
      <c r="C309" s="79"/>
      <c r="D309" s="79"/>
      <c r="E309" s="79"/>
      <c r="M309" s="79"/>
      <c r="R309" s="79"/>
      <c r="S309" s="79"/>
      <c r="V309" s="79"/>
      <c r="W309" s="79"/>
      <c r="Z309" s="130"/>
      <c r="AB309" s="106"/>
    </row>
    <row r="310">
      <c r="C310" s="79"/>
      <c r="D310" s="79"/>
      <c r="E310" s="79"/>
      <c r="M310" s="79"/>
      <c r="R310" s="79"/>
      <c r="S310" s="79"/>
      <c r="V310" s="79"/>
      <c r="W310" s="79"/>
      <c r="Z310" s="130"/>
      <c r="AB310" s="106"/>
    </row>
    <row r="311">
      <c r="C311" s="79"/>
      <c r="D311" s="79"/>
      <c r="E311" s="79"/>
      <c r="M311" s="79"/>
      <c r="R311" s="79"/>
      <c r="S311" s="79"/>
      <c r="V311" s="79"/>
      <c r="W311" s="79"/>
      <c r="Z311" s="130"/>
      <c r="AB311" s="106"/>
    </row>
    <row r="312">
      <c r="C312" s="79"/>
      <c r="D312" s="79"/>
      <c r="E312" s="79"/>
      <c r="M312" s="79"/>
      <c r="R312" s="79"/>
      <c r="S312" s="79"/>
      <c r="V312" s="79"/>
      <c r="W312" s="79"/>
      <c r="Z312" s="130"/>
      <c r="AB312" s="106"/>
    </row>
    <row r="313">
      <c r="C313" s="79"/>
      <c r="D313" s="79"/>
      <c r="E313" s="79"/>
      <c r="M313" s="79"/>
      <c r="R313" s="79"/>
      <c r="S313" s="79"/>
      <c r="V313" s="79"/>
      <c r="W313" s="79"/>
      <c r="Z313" s="130"/>
      <c r="AB313" s="106"/>
    </row>
    <row r="314">
      <c r="C314" s="79"/>
      <c r="D314" s="79"/>
      <c r="E314" s="79"/>
      <c r="M314" s="79"/>
      <c r="R314" s="79"/>
      <c r="S314" s="79"/>
      <c r="V314" s="79"/>
      <c r="W314" s="79"/>
      <c r="Z314" s="130"/>
      <c r="AB314" s="106"/>
    </row>
    <row r="315">
      <c r="C315" s="79"/>
      <c r="D315" s="79"/>
      <c r="E315" s="79"/>
      <c r="M315" s="79"/>
      <c r="R315" s="79"/>
      <c r="S315" s="79"/>
      <c r="V315" s="79"/>
      <c r="W315" s="79"/>
      <c r="Z315" s="130"/>
      <c r="AB315" s="106"/>
    </row>
    <row r="316">
      <c r="C316" s="79"/>
      <c r="D316" s="79"/>
      <c r="E316" s="79"/>
      <c r="M316" s="79"/>
      <c r="R316" s="79"/>
      <c r="S316" s="79"/>
      <c r="V316" s="79"/>
      <c r="W316" s="79"/>
      <c r="Z316" s="130"/>
      <c r="AB316" s="106"/>
    </row>
    <row r="317">
      <c r="C317" s="79"/>
      <c r="D317" s="79"/>
      <c r="E317" s="79"/>
      <c r="M317" s="79"/>
      <c r="R317" s="79"/>
      <c r="S317" s="79"/>
      <c r="V317" s="79"/>
      <c r="W317" s="79"/>
      <c r="Z317" s="130"/>
      <c r="AB317" s="106"/>
    </row>
    <row r="318">
      <c r="C318" s="79"/>
      <c r="D318" s="79"/>
      <c r="E318" s="79"/>
      <c r="M318" s="79"/>
      <c r="R318" s="79"/>
      <c r="S318" s="79"/>
      <c r="V318" s="79"/>
      <c r="W318" s="79"/>
      <c r="Z318" s="130"/>
      <c r="AB318" s="106"/>
    </row>
    <row r="319">
      <c r="C319" s="79"/>
      <c r="D319" s="79"/>
      <c r="E319" s="79"/>
      <c r="M319" s="79"/>
      <c r="R319" s="79"/>
      <c r="S319" s="79"/>
      <c r="V319" s="79"/>
      <c r="W319" s="79"/>
      <c r="Z319" s="130"/>
      <c r="AB319" s="106"/>
    </row>
    <row r="320">
      <c r="C320" s="79"/>
      <c r="D320" s="79"/>
      <c r="E320" s="79"/>
      <c r="M320" s="79"/>
      <c r="R320" s="79"/>
      <c r="S320" s="79"/>
      <c r="V320" s="79"/>
      <c r="W320" s="79"/>
      <c r="Z320" s="130"/>
      <c r="AB320" s="106"/>
    </row>
    <row r="321">
      <c r="C321" s="79"/>
      <c r="D321" s="79"/>
      <c r="E321" s="79"/>
      <c r="M321" s="79"/>
      <c r="R321" s="79"/>
      <c r="S321" s="79"/>
      <c r="V321" s="79"/>
      <c r="W321" s="79"/>
      <c r="Z321" s="130"/>
      <c r="AB321" s="106"/>
    </row>
    <row r="322">
      <c r="C322" s="79"/>
      <c r="D322" s="79"/>
      <c r="E322" s="79"/>
      <c r="M322" s="79"/>
      <c r="R322" s="79"/>
      <c r="S322" s="79"/>
      <c r="V322" s="79"/>
      <c r="W322" s="79"/>
      <c r="Z322" s="130"/>
      <c r="AB322" s="106"/>
    </row>
    <row r="323">
      <c r="C323" s="79"/>
      <c r="D323" s="79"/>
      <c r="E323" s="79"/>
      <c r="M323" s="79"/>
      <c r="R323" s="79"/>
      <c r="S323" s="79"/>
      <c r="V323" s="79"/>
      <c r="W323" s="79"/>
      <c r="Z323" s="130"/>
      <c r="AB323" s="106"/>
    </row>
    <row r="324">
      <c r="C324" s="79"/>
      <c r="D324" s="79"/>
      <c r="E324" s="79"/>
      <c r="M324" s="79"/>
      <c r="R324" s="79"/>
      <c r="S324" s="79"/>
      <c r="V324" s="79"/>
      <c r="W324" s="79"/>
      <c r="Z324" s="130"/>
      <c r="AB324" s="106"/>
    </row>
    <row r="325">
      <c r="C325" s="79"/>
      <c r="D325" s="79"/>
      <c r="E325" s="79"/>
      <c r="M325" s="79"/>
      <c r="R325" s="79"/>
      <c r="S325" s="79"/>
      <c r="V325" s="79"/>
      <c r="W325" s="79"/>
      <c r="Z325" s="130"/>
      <c r="AB325" s="106"/>
    </row>
    <row r="326">
      <c r="C326" s="79"/>
      <c r="D326" s="79"/>
      <c r="E326" s="79"/>
      <c r="M326" s="79"/>
      <c r="R326" s="79"/>
      <c r="S326" s="79"/>
      <c r="V326" s="79"/>
      <c r="W326" s="79"/>
      <c r="Z326" s="130"/>
      <c r="AB326" s="106"/>
    </row>
    <row r="327">
      <c r="C327" s="79"/>
      <c r="D327" s="79"/>
      <c r="E327" s="79"/>
      <c r="M327" s="79"/>
      <c r="R327" s="79"/>
      <c r="S327" s="79"/>
      <c r="V327" s="79"/>
      <c r="W327" s="79"/>
      <c r="Z327" s="130"/>
      <c r="AB327" s="106"/>
    </row>
    <row r="328">
      <c r="C328" s="79"/>
      <c r="D328" s="79"/>
      <c r="E328" s="79"/>
      <c r="M328" s="79"/>
      <c r="R328" s="79"/>
      <c r="S328" s="79"/>
      <c r="V328" s="79"/>
      <c r="W328" s="79"/>
      <c r="Z328" s="130"/>
      <c r="AB328" s="106"/>
    </row>
    <row r="329">
      <c r="C329" s="79"/>
      <c r="D329" s="79"/>
      <c r="E329" s="79"/>
      <c r="M329" s="79"/>
      <c r="R329" s="79"/>
      <c r="S329" s="79"/>
      <c r="V329" s="79"/>
      <c r="W329" s="79"/>
      <c r="Z329" s="130"/>
      <c r="AB329" s="106"/>
    </row>
    <row r="330">
      <c r="C330" s="79"/>
      <c r="D330" s="79"/>
      <c r="E330" s="79"/>
      <c r="M330" s="79"/>
      <c r="R330" s="79"/>
      <c r="S330" s="79"/>
      <c r="V330" s="79"/>
      <c r="W330" s="79"/>
      <c r="Z330" s="130"/>
      <c r="AB330" s="106"/>
    </row>
    <row r="331">
      <c r="C331" s="79"/>
      <c r="D331" s="79"/>
      <c r="E331" s="79"/>
      <c r="M331" s="79"/>
      <c r="R331" s="79"/>
      <c r="S331" s="79"/>
      <c r="V331" s="79"/>
      <c r="W331" s="79"/>
      <c r="Z331" s="130"/>
      <c r="AB331" s="106"/>
    </row>
    <row r="332">
      <c r="C332" s="79"/>
      <c r="D332" s="79"/>
      <c r="E332" s="79"/>
      <c r="M332" s="79"/>
      <c r="R332" s="79"/>
      <c r="S332" s="79"/>
      <c r="V332" s="79"/>
      <c r="W332" s="79"/>
      <c r="Z332" s="130"/>
      <c r="AB332" s="106"/>
    </row>
    <row r="333">
      <c r="C333" s="79"/>
      <c r="D333" s="79"/>
      <c r="E333" s="79"/>
      <c r="M333" s="79"/>
      <c r="R333" s="79"/>
      <c r="S333" s="79"/>
      <c r="V333" s="79"/>
      <c r="W333" s="79"/>
      <c r="Z333" s="130"/>
      <c r="AB333" s="106"/>
    </row>
    <row r="334">
      <c r="C334" s="79"/>
      <c r="D334" s="79"/>
      <c r="E334" s="79"/>
      <c r="M334" s="79"/>
      <c r="R334" s="79"/>
      <c r="S334" s="79"/>
      <c r="V334" s="79"/>
      <c r="W334" s="79"/>
      <c r="Z334" s="130"/>
      <c r="AB334" s="106"/>
    </row>
    <row r="335">
      <c r="C335" s="79"/>
      <c r="D335" s="79"/>
      <c r="E335" s="79"/>
      <c r="M335" s="79"/>
      <c r="R335" s="79"/>
      <c r="S335" s="79"/>
      <c r="V335" s="79"/>
      <c r="W335" s="79"/>
      <c r="Z335" s="130"/>
      <c r="AB335" s="106"/>
    </row>
    <row r="336">
      <c r="C336" s="79"/>
      <c r="D336" s="79"/>
      <c r="E336" s="79"/>
      <c r="M336" s="79"/>
      <c r="R336" s="79"/>
      <c r="S336" s="79"/>
      <c r="V336" s="79"/>
      <c r="W336" s="79"/>
      <c r="Z336" s="130"/>
      <c r="AB336" s="106"/>
    </row>
    <row r="337">
      <c r="C337" s="79"/>
      <c r="D337" s="79"/>
      <c r="E337" s="79"/>
      <c r="M337" s="79"/>
      <c r="R337" s="79"/>
      <c r="S337" s="79"/>
      <c r="V337" s="79"/>
      <c r="W337" s="79"/>
      <c r="Z337" s="130"/>
      <c r="AB337" s="106"/>
    </row>
    <row r="338">
      <c r="C338" s="79"/>
      <c r="D338" s="79"/>
      <c r="E338" s="79"/>
      <c r="M338" s="79"/>
      <c r="R338" s="79"/>
      <c r="S338" s="79"/>
      <c r="V338" s="79"/>
      <c r="W338" s="79"/>
      <c r="Z338" s="130"/>
      <c r="AB338" s="106"/>
    </row>
    <row r="339">
      <c r="C339" s="79"/>
      <c r="D339" s="79"/>
      <c r="E339" s="79"/>
      <c r="M339" s="79"/>
      <c r="R339" s="79"/>
      <c r="S339" s="79"/>
      <c r="V339" s="79"/>
      <c r="W339" s="79"/>
      <c r="Z339" s="130"/>
      <c r="AB339" s="106"/>
    </row>
    <row r="340">
      <c r="C340" s="79"/>
      <c r="D340" s="79"/>
      <c r="E340" s="79"/>
      <c r="M340" s="79"/>
      <c r="R340" s="79"/>
      <c r="S340" s="79"/>
      <c r="V340" s="79"/>
      <c r="W340" s="79"/>
      <c r="Z340" s="130"/>
      <c r="AB340" s="106"/>
    </row>
    <row r="341">
      <c r="C341" s="79"/>
      <c r="D341" s="79"/>
      <c r="E341" s="79"/>
      <c r="M341" s="79"/>
      <c r="R341" s="79"/>
      <c r="S341" s="79"/>
      <c r="V341" s="79"/>
      <c r="W341" s="79"/>
      <c r="Z341" s="130"/>
      <c r="AB341" s="106"/>
    </row>
    <row r="342">
      <c r="C342" s="79"/>
      <c r="D342" s="79"/>
      <c r="E342" s="79"/>
      <c r="M342" s="79"/>
      <c r="R342" s="79"/>
      <c r="S342" s="79"/>
      <c r="V342" s="79"/>
      <c r="W342" s="79"/>
      <c r="Z342" s="130"/>
      <c r="AB342" s="106"/>
    </row>
    <row r="343">
      <c r="C343" s="79"/>
      <c r="D343" s="79"/>
      <c r="E343" s="79"/>
      <c r="M343" s="79"/>
      <c r="R343" s="79"/>
      <c r="S343" s="79"/>
      <c r="V343" s="79"/>
      <c r="W343" s="79"/>
      <c r="Z343" s="130"/>
      <c r="AB343" s="106"/>
    </row>
    <row r="344">
      <c r="C344" s="79"/>
      <c r="D344" s="79"/>
      <c r="E344" s="79"/>
      <c r="M344" s="79"/>
      <c r="R344" s="79"/>
      <c r="S344" s="79"/>
      <c r="V344" s="79"/>
      <c r="W344" s="79"/>
      <c r="Z344" s="130"/>
      <c r="AB344" s="106"/>
    </row>
    <row r="345">
      <c r="C345" s="79"/>
      <c r="D345" s="79"/>
      <c r="E345" s="79"/>
      <c r="M345" s="79"/>
      <c r="R345" s="79"/>
      <c r="S345" s="79"/>
      <c r="V345" s="79"/>
      <c r="W345" s="79"/>
      <c r="Z345" s="130"/>
      <c r="AB345" s="106"/>
    </row>
    <row r="346">
      <c r="C346" s="79"/>
      <c r="D346" s="79"/>
      <c r="E346" s="79"/>
      <c r="M346" s="79"/>
      <c r="R346" s="79"/>
      <c r="S346" s="79"/>
      <c r="V346" s="79"/>
      <c r="W346" s="79"/>
      <c r="Z346" s="130"/>
      <c r="AB346" s="106"/>
    </row>
    <row r="347">
      <c r="C347" s="79"/>
      <c r="D347" s="79"/>
      <c r="E347" s="79"/>
      <c r="M347" s="79"/>
      <c r="R347" s="79"/>
      <c r="S347" s="79"/>
      <c r="V347" s="79"/>
      <c r="W347" s="79"/>
      <c r="Z347" s="130"/>
      <c r="AB347" s="106"/>
    </row>
    <row r="348">
      <c r="C348" s="79"/>
      <c r="D348" s="79"/>
      <c r="E348" s="79"/>
      <c r="M348" s="79"/>
      <c r="R348" s="79"/>
      <c r="S348" s="79"/>
      <c r="V348" s="79"/>
      <c r="W348" s="79"/>
      <c r="Z348" s="130"/>
      <c r="AB348" s="106"/>
    </row>
    <row r="349">
      <c r="C349" s="79"/>
      <c r="D349" s="79"/>
      <c r="E349" s="79"/>
      <c r="M349" s="79"/>
      <c r="R349" s="79"/>
      <c r="S349" s="79"/>
      <c r="V349" s="79"/>
      <c r="W349" s="79"/>
      <c r="Z349" s="130"/>
      <c r="AB349" s="106"/>
    </row>
    <row r="350">
      <c r="C350" s="79"/>
      <c r="D350" s="79"/>
      <c r="E350" s="79"/>
      <c r="M350" s="79"/>
      <c r="R350" s="79"/>
      <c r="S350" s="79"/>
      <c r="V350" s="79"/>
      <c r="W350" s="79"/>
      <c r="Z350" s="130"/>
      <c r="AB350" s="106"/>
    </row>
    <row r="351">
      <c r="C351" s="79"/>
      <c r="D351" s="79"/>
      <c r="E351" s="79"/>
      <c r="M351" s="79"/>
      <c r="R351" s="79"/>
      <c r="S351" s="79"/>
      <c r="V351" s="79"/>
      <c r="W351" s="79"/>
      <c r="Z351" s="130"/>
      <c r="AB351" s="106"/>
    </row>
    <row r="352">
      <c r="C352" s="79"/>
      <c r="D352" s="79"/>
      <c r="E352" s="79"/>
      <c r="M352" s="79"/>
      <c r="R352" s="79"/>
      <c r="S352" s="79"/>
      <c r="V352" s="79"/>
      <c r="W352" s="79"/>
      <c r="Z352" s="130"/>
      <c r="AB352" s="106"/>
    </row>
    <row r="353">
      <c r="C353" s="79"/>
      <c r="D353" s="79"/>
      <c r="E353" s="79"/>
      <c r="M353" s="79"/>
      <c r="R353" s="79"/>
      <c r="S353" s="79"/>
      <c r="V353" s="79"/>
      <c r="W353" s="79"/>
      <c r="Z353" s="130"/>
      <c r="AB353" s="106"/>
    </row>
    <row r="354">
      <c r="C354" s="79"/>
      <c r="D354" s="79"/>
      <c r="E354" s="79"/>
      <c r="M354" s="79"/>
      <c r="R354" s="79"/>
      <c r="S354" s="79"/>
      <c r="V354" s="79"/>
      <c r="W354" s="79"/>
      <c r="Z354" s="130"/>
      <c r="AB354" s="106"/>
    </row>
    <row r="355">
      <c r="C355" s="79"/>
      <c r="D355" s="79"/>
      <c r="E355" s="79"/>
      <c r="M355" s="79"/>
      <c r="R355" s="79"/>
      <c r="S355" s="79"/>
      <c r="V355" s="79"/>
      <c r="W355" s="79"/>
      <c r="Z355" s="130"/>
      <c r="AB355" s="106"/>
    </row>
    <row r="356">
      <c r="C356" s="79"/>
      <c r="D356" s="79"/>
      <c r="E356" s="79"/>
      <c r="M356" s="79"/>
      <c r="R356" s="79"/>
      <c r="S356" s="79"/>
      <c r="V356" s="79"/>
      <c r="W356" s="79"/>
      <c r="Z356" s="130"/>
      <c r="AB356" s="106"/>
    </row>
    <row r="357">
      <c r="C357" s="79"/>
      <c r="D357" s="79"/>
      <c r="E357" s="79"/>
      <c r="M357" s="79"/>
      <c r="R357" s="79"/>
      <c r="S357" s="79"/>
      <c r="V357" s="79"/>
      <c r="W357" s="79"/>
      <c r="Z357" s="130"/>
      <c r="AB357" s="106"/>
    </row>
    <row r="358">
      <c r="C358" s="79"/>
      <c r="D358" s="79"/>
      <c r="E358" s="79"/>
      <c r="M358" s="79"/>
      <c r="R358" s="79"/>
      <c r="S358" s="79"/>
      <c r="V358" s="79"/>
      <c r="W358" s="79"/>
      <c r="Z358" s="130"/>
      <c r="AB358" s="106"/>
    </row>
    <row r="359">
      <c r="C359" s="79"/>
      <c r="D359" s="79"/>
      <c r="E359" s="79"/>
      <c r="M359" s="79"/>
      <c r="R359" s="79"/>
      <c r="S359" s="79"/>
      <c r="V359" s="79"/>
      <c r="W359" s="79"/>
      <c r="Z359" s="130"/>
      <c r="AB359" s="106"/>
    </row>
    <row r="360">
      <c r="C360" s="79"/>
      <c r="D360" s="79"/>
      <c r="E360" s="79"/>
      <c r="M360" s="79"/>
      <c r="R360" s="79"/>
      <c r="S360" s="79"/>
      <c r="V360" s="79"/>
      <c r="W360" s="79"/>
      <c r="Z360" s="130"/>
      <c r="AB360" s="106"/>
    </row>
    <row r="361">
      <c r="C361" s="79"/>
      <c r="D361" s="79"/>
      <c r="E361" s="79"/>
      <c r="M361" s="79"/>
      <c r="R361" s="79"/>
      <c r="S361" s="79"/>
      <c r="V361" s="79"/>
      <c r="W361" s="79"/>
      <c r="Z361" s="130"/>
      <c r="AB361" s="106"/>
    </row>
    <row r="362">
      <c r="C362" s="79"/>
      <c r="D362" s="79"/>
      <c r="E362" s="79"/>
      <c r="M362" s="79"/>
      <c r="R362" s="79"/>
      <c r="S362" s="79"/>
      <c r="V362" s="79"/>
      <c r="W362" s="79"/>
      <c r="Z362" s="130"/>
      <c r="AB362" s="106"/>
    </row>
    <row r="363">
      <c r="C363" s="79"/>
      <c r="D363" s="79"/>
      <c r="E363" s="79"/>
      <c r="M363" s="79"/>
      <c r="R363" s="79"/>
      <c r="S363" s="79"/>
      <c r="V363" s="79"/>
      <c r="W363" s="79"/>
      <c r="Z363" s="130"/>
      <c r="AB363" s="106"/>
    </row>
    <row r="364">
      <c r="C364" s="79"/>
      <c r="D364" s="79"/>
      <c r="E364" s="79"/>
      <c r="M364" s="79"/>
      <c r="R364" s="79"/>
      <c r="S364" s="79"/>
      <c r="V364" s="79"/>
      <c r="W364" s="79"/>
      <c r="Z364" s="130"/>
      <c r="AB364" s="106"/>
    </row>
    <row r="365">
      <c r="C365" s="79"/>
      <c r="D365" s="79"/>
      <c r="E365" s="79"/>
      <c r="M365" s="79"/>
      <c r="R365" s="79"/>
      <c r="S365" s="79"/>
      <c r="V365" s="79"/>
      <c r="W365" s="79"/>
      <c r="Z365" s="130"/>
      <c r="AB365" s="106"/>
    </row>
    <row r="366">
      <c r="C366" s="79"/>
      <c r="D366" s="79"/>
      <c r="E366" s="79"/>
      <c r="M366" s="79"/>
      <c r="R366" s="79"/>
      <c r="S366" s="79"/>
      <c r="V366" s="79"/>
      <c r="W366" s="79"/>
      <c r="Z366" s="130"/>
      <c r="AB366" s="106"/>
    </row>
    <row r="367">
      <c r="C367" s="79"/>
      <c r="D367" s="79"/>
      <c r="E367" s="79"/>
      <c r="M367" s="79"/>
      <c r="R367" s="79"/>
      <c r="S367" s="79"/>
      <c r="V367" s="79"/>
      <c r="W367" s="79"/>
      <c r="Z367" s="130"/>
      <c r="AB367" s="106"/>
    </row>
    <row r="368">
      <c r="C368" s="79"/>
      <c r="D368" s="79"/>
      <c r="E368" s="79"/>
      <c r="M368" s="79"/>
      <c r="R368" s="79"/>
      <c r="S368" s="79"/>
      <c r="V368" s="79"/>
      <c r="W368" s="79"/>
      <c r="Z368" s="130"/>
      <c r="AB368" s="106"/>
    </row>
    <row r="369">
      <c r="C369" s="79"/>
      <c r="D369" s="79"/>
      <c r="E369" s="79"/>
      <c r="M369" s="79"/>
      <c r="R369" s="79"/>
      <c r="S369" s="79"/>
      <c r="V369" s="79"/>
      <c r="W369" s="79"/>
      <c r="Z369" s="130"/>
      <c r="AB369" s="106"/>
    </row>
    <row r="370">
      <c r="C370" s="79"/>
      <c r="D370" s="79"/>
      <c r="E370" s="79"/>
      <c r="M370" s="79"/>
      <c r="R370" s="79"/>
      <c r="S370" s="79"/>
      <c r="V370" s="79"/>
      <c r="W370" s="79"/>
      <c r="Z370" s="130"/>
      <c r="AB370" s="106"/>
    </row>
    <row r="371">
      <c r="C371" s="79"/>
      <c r="D371" s="79"/>
      <c r="E371" s="79"/>
      <c r="M371" s="79"/>
      <c r="R371" s="79"/>
      <c r="S371" s="79"/>
      <c r="V371" s="79"/>
      <c r="W371" s="79"/>
      <c r="Z371" s="130"/>
      <c r="AB371" s="106"/>
    </row>
    <row r="372">
      <c r="C372" s="79"/>
      <c r="D372" s="79"/>
      <c r="E372" s="79"/>
      <c r="M372" s="79"/>
      <c r="R372" s="79"/>
      <c r="S372" s="79"/>
      <c r="V372" s="79"/>
      <c r="W372" s="79"/>
      <c r="Z372" s="130"/>
      <c r="AB372" s="106"/>
    </row>
    <row r="373">
      <c r="C373" s="79"/>
      <c r="D373" s="79"/>
      <c r="E373" s="79"/>
      <c r="M373" s="79"/>
      <c r="R373" s="79"/>
      <c r="S373" s="79"/>
      <c r="V373" s="79"/>
      <c r="W373" s="79"/>
      <c r="Z373" s="130"/>
      <c r="AB373" s="106"/>
    </row>
    <row r="374">
      <c r="C374" s="79"/>
      <c r="D374" s="79"/>
      <c r="E374" s="79"/>
      <c r="M374" s="79"/>
      <c r="R374" s="79"/>
      <c r="S374" s="79"/>
      <c r="V374" s="79"/>
      <c r="W374" s="79"/>
      <c r="Z374" s="130"/>
      <c r="AB374" s="106"/>
    </row>
    <row r="375">
      <c r="C375" s="79"/>
      <c r="D375" s="79"/>
      <c r="E375" s="79"/>
      <c r="M375" s="79"/>
      <c r="R375" s="79"/>
      <c r="S375" s="79"/>
      <c r="V375" s="79"/>
      <c r="W375" s="79"/>
      <c r="Z375" s="130"/>
      <c r="AB375" s="106"/>
    </row>
    <row r="376">
      <c r="C376" s="79"/>
      <c r="D376" s="79"/>
      <c r="E376" s="79"/>
      <c r="M376" s="79"/>
      <c r="R376" s="79"/>
      <c r="S376" s="79"/>
      <c r="V376" s="79"/>
      <c r="W376" s="79"/>
      <c r="Z376" s="130"/>
      <c r="AB376" s="106"/>
    </row>
    <row r="377">
      <c r="C377" s="79"/>
      <c r="D377" s="79"/>
      <c r="E377" s="79"/>
      <c r="M377" s="79"/>
      <c r="R377" s="79"/>
      <c r="S377" s="79"/>
      <c r="V377" s="79"/>
      <c r="W377" s="79"/>
      <c r="Z377" s="130"/>
      <c r="AB377" s="106"/>
    </row>
    <row r="378">
      <c r="C378" s="79"/>
      <c r="D378" s="79"/>
      <c r="E378" s="79"/>
      <c r="M378" s="79"/>
      <c r="R378" s="79"/>
      <c r="S378" s="79"/>
      <c r="V378" s="79"/>
      <c r="W378" s="79"/>
      <c r="Z378" s="130"/>
      <c r="AB378" s="106"/>
    </row>
    <row r="379">
      <c r="C379" s="79"/>
      <c r="D379" s="79"/>
      <c r="E379" s="79"/>
      <c r="M379" s="79"/>
      <c r="R379" s="79"/>
      <c r="S379" s="79"/>
      <c r="V379" s="79"/>
      <c r="W379" s="79"/>
      <c r="Z379" s="130"/>
      <c r="AB379" s="106"/>
    </row>
    <row r="380">
      <c r="C380" s="79"/>
      <c r="D380" s="79"/>
      <c r="E380" s="79"/>
      <c r="M380" s="79"/>
      <c r="R380" s="79"/>
      <c r="S380" s="79"/>
      <c r="V380" s="79"/>
      <c r="W380" s="79"/>
      <c r="Z380" s="130"/>
      <c r="AB380" s="106"/>
    </row>
    <row r="381">
      <c r="C381" s="79"/>
      <c r="D381" s="79"/>
      <c r="E381" s="79"/>
      <c r="M381" s="79"/>
      <c r="R381" s="79"/>
      <c r="S381" s="79"/>
      <c r="V381" s="79"/>
      <c r="W381" s="79"/>
      <c r="Z381" s="130"/>
      <c r="AB381" s="106"/>
    </row>
    <row r="382">
      <c r="C382" s="79"/>
      <c r="D382" s="79"/>
      <c r="E382" s="79"/>
      <c r="M382" s="79"/>
      <c r="R382" s="79"/>
      <c r="S382" s="79"/>
      <c r="V382" s="79"/>
      <c r="W382" s="79"/>
      <c r="Z382" s="130"/>
      <c r="AB382" s="106"/>
    </row>
    <row r="383">
      <c r="C383" s="79"/>
      <c r="D383" s="79"/>
      <c r="E383" s="79"/>
      <c r="M383" s="79"/>
      <c r="R383" s="79"/>
      <c r="S383" s="79"/>
      <c r="V383" s="79"/>
      <c r="W383" s="79"/>
      <c r="Z383" s="130"/>
      <c r="AB383" s="106"/>
    </row>
    <row r="384">
      <c r="C384" s="79"/>
      <c r="D384" s="79"/>
      <c r="E384" s="79"/>
      <c r="M384" s="79"/>
      <c r="R384" s="79"/>
      <c r="S384" s="79"/>
      <c r="V384" s="79"/>
      <c r="W384" s="79"/>
      <c r="Z384" s="130"/>
      <c r="AB384" s="106"/>
    </row>
    <row r="385">
      <c r="C385" s="79"/>
      <c r="D385" s="79"/>
      <c r="E385" s="79"/>
      <c r="M385" s="79"/>
      <c r="R385" s="79"/>
      <c r="S385" s="79"/>
      <c r="V385" s="79"/>
      <c r="W385" s="79"/>
      <c r="Z385" s="130"/>
      <c r="AB385" s="106"/>
    </row>
    <row r="386">
      <c r="C386" s="79"/>
      <c r="D386" s="79"/>
      <c r="E386" s="79"/>
      <c r="M386" s="79"/>
      <c r="R386" s="79"/>
      <c r="S386" s="79"/>
      <c r="V386" s="79"/>
      <c r="W386" s="79"/>
      <c r="Z386" s="130"/>
      <c r="AB386" s="106"/>
    </row>
    <row r="387">
      <c r="C387" s="79"/>
      <c r="D387" s="79"/>
      <c r="E387" s="79"/>
      <c r="M387" s="79"/>
      <c r="R387" s="79"/>
      <c r="S387" s="79"/>
      <c r="V387" s="79"/>
      <c r="W387" s="79"/>
      <c r="Z387" s="130"/>
      <c r="AB387" s="106"/>
    </row>
    <row r="388">
      <c r="C388" s="79"/>
      <c r="D388" s="79"/>
      <c r="E388" s="79"/>
      <c r="M388" s="79"/>
      <c r="R388" s="79"/>
      <c r="S388" s="79"/>
      <c r="V388" s="79"/>
      <c r="W388" s="79"/>
      <c r="Z388" s="130"/>
      <c r="AB388" s="106"/>
    </row>
    <row r="389">
      <c r="C389" s="79"/>
      <c r="D389" s="79"/>
      <c r="E389" s="79"/>
      <c r="M389" s="79"/>
      <c r="R389" s="79"/>
      <c r="S389" s="79"/>
      <c r="V389" s="79"/>
      <c r="W389" s="79"/>
      <c r="Z389" s="130"/>
      <c r="AB389" s="106"/>
    </row>
    <row r="390">
      <c r="C390" s="79"/>
      <c r="D390" s="79"/>
      <c r="E390" s="79"/>
      <c r="M390" s="79"/>
      <c r="R390" s="79"/>
      <c r="S390" s="79"/>
      <c r="V390" s="79"/>
      <c r="W390" s="79"/>
      <c r="Z390" s="130"/>
      <c r="AB390" s="106"/>
    </row>
    <row r="391">
      <c r="C391" s="79"/>
      <c r="D391" s="79"/>
      <c r="E391" s="79"/>
      <c r="M391" s="79"/>
      <c r="R391" s="79"/>
      <c r="S391" s="79"/>
      <c r="V391" s="79"/>
      <c r="W391" s="79"/>
      <c r="Z391" s="130"/>
      <c r="AB391" s="106"/>
    </row>
    <row r="392">
      <c r="C392" s="79"/>
      <c r="D392" s="79"/>
      <c r="E392" s="79"/>
      <c r="M392" s="79"/>
      <c r="R392" s="79"/>
      <c r="S392" s="79"/>
      <c r="V392" s="79"/>
      <c r="W392" s="79"/>
      <c r="Z392" s="130"/>
      <c r="AB392" s="106"/>
    </row>
    <row r="393">
      <c r="C393" s="79"/>
      <c r="D393" s="79"/>
      <c r="E393" s="79"/>
      <c r="M393" s="79"/>
      <c r="R393" s="79"/>
      <c r="S393" s="79"/>
      <c r="V393" s="79"/>
      <c r="W393" s="79"/>
      <c r="Z393" s="130"/>
      <c r="AB393" s="106"/>
    </row>
    <row r="394">
      <c r="C394" s="79"/>
      <c r="D394" s="79"/>
      <c r="E394" s="79"/>
      <c r="M394" s="79"/>
      <c r="R394" s="79"/>
      <c r="S394" s="79"/>
      <c r="V394" s="79"/>
      <c r="W394" s="79"/>
      <c r="Z394" s="130"/>
      <c r="AB394" s="106"/>
    </row>
    <row r="395">
      <c r="C395" s="79"/>
      <c r="D395" s="79"/>
      <c r="E395" s="79"/>
      <c r="M395" s="79"/>
      <c r="R395" s="79"/>
      <c r="S395" s="79"/>
      <c r="V395" s="79"/>
      <c r="W395" s="79"/>
      <c r="Z395" s="130"/>
      <c r="AB395" s="106"/>
    </row>
    <row r="396">
      <c r="C396" s="79"/>
      <c r="D396" s="79"/>
      <c r="E396" s="79"/>
      <c r="M396" s="79"/>
      <c r="R396" s="79"/>
      <c r="S396" s="79"/>
      <c r="V396" s="79"/>
      <c r="W396" s="79"/>
      <c r="Z396" s="130"/>
      <c r="AB396" s="106"/>
    </row>
    <row r="397">
      <c r="C397" s="79"/>
      <c r="D397" s="79"/>
      <c r="E397" s="79"/>
      <c r="M397" s="79"/>
      <c r="R397" s="79"/>
      <c r="S397" s="79"/>
      <c r="V397" s="79"/>
      <c r="W397" s="79"/>
      <c r="Z397" s="130"/>
      <c r="AB397" s="106"/>
    </row>
    <row r="398">
      <c r="C398" s="79"/>
      <c r="D398" s="79"/>
      <c r="E398" s="79"/>
      <c r="M398" s="79"/>
      <c r="R398" s="79"/>
      <c r="S398" s="79"/>
      <c r="V398" s="79"/>
      <c r="W398" s="79"/>
      <c r="Z398" s="130"/>
      <c r="AB398" s="106"/>
    </row>
    <row r="399">
      <c r="C399" s="79"/>
      <c r="D399" s="79"/>
      <c r="E399" s="79"/>
      <c r="M399" s="79"/>
      <c r="R399" s="79"/>
      <c r="S399" s="79"/>
      <c r="V399" s="79"/>
      <c r="W399" s="79"/>
      <c r="Z399" s="130"/>
      <c r="AB399" s="106"/>
    </row>
    <row r="400">
      <c r="C400" s="79"/>
      <c r="D400" s="79"/>
      <c r="E400" s="79"/>
      <c r="M400" s="79"/>
      <c r="R400" s="79"/>
      <c r="S400" s="79"/>
      <c r="V400" s="79"/>
      <c r="W400" s="79"/>
      <c r="Z400" s="130"/>
      <c r="AB400" s="106"/>
    </row>
    <row r="401">
      <c r="C401" s="79"/>
      <c r="D401" s="79"/>
      <c r="E401" s="79"/>
      <c r="M401" s="79"/>
      <c r="R401" s="79"/>
      <c r="S401" s="79"/>
      <c r="V401" s="79"/>
      <c r="W401" s="79"/>
      <c r="Z401" s="130"/>
      <c r="AB401" s="106"/>
    </row>
    <row r="402">
      <c r="C402" s="79"/>
      <c r="D402" s="79"/>
      <c r="E402" s="79"/>
      <c r="M402" s="79"/>
      <c r="R402" s="79"/>
      <c r="S402" s="79"/>
      <c r="V402" s="79"/>
      <c r="W402" s="79"/>
      <c r="Z402" s="130"/>
      <c r="AB402" s="106"/>
    </row>
    <row r="403">
      <c r="C403" s="79"/>
      <c r="D403" s="79"/>
      <c r="E403" s="79"/>
      <c r="M403" s="79"/>
      <c r="R403" s="79"/>
      <c r="S403" s="79"/>
      <c r="V403" s="79"/>
      <c r="W403" s="79"/>
      <c r="Z403" s="130"/>
      <c r="AB403" s="106"/>
    </row>
    <row r="404">
      <c r="C404" s="79"/>
      <c r="D404" s="79"/>
      <c r="E404" s="79"/>
      <c r="M404" s="79"/>
      <c r="R404" s="79"/>
      <c r="S404" s="79"/>
      <c r="V404" s="79"/>
      <c r="W404" s="79"/>
      <c r="Z404" s="130"/>
      <c r="AB404" s="106"/>
    </row>
    <row r="405">
      <c r="C405" s="79"/>
      <c r="D405" s="79"/>
      <c r="E405" s="79"/>
      <c r="M405" s="79"/>
      <c r="R405" s="79"/>
      <c r="S405" s="79"/>
      <c r="V405" s="79"/>
      <c r="W405" s="79"/>
      <c r="Z405" s="130"/>
      <c r="AB405" s="106"/>
    </row>
    <row r="406">
      <c r="C406" s="79"/>
      <c r="D406" s="79"/>
      <c r="E406" s="79"/>
      <c r="M406" s="79"/>
      <c r="R406" s="79"/>
      <c r="S406" s="79"/>
      <c r="V406" s="79"/>
      <c r="W406" s="79"/>
      <c r="Z406" s="130"/>
      <c r="AB406" s="106"/>
    </row>
    <row r="407">
      <c r="C407" s="79"/>
      <c r="D407" s="79"/>
      <c r="E407" s="79"/>
      <c r="M407" s="79"/>
      <c r="R407" s="79"/>
      <c r="S407" s="79"/>
      <c r="V407" s="79"/>
      <c r="W407" s="79"/>
      <c r="Z407" s="130"/>
      <c r="AB407" s="106"/>
    </row>
    <row r="408">
      <c r="C408" s="79"/>
      <c r="D408" s="79"/>
      <c r="E408" s="79"/>
      <c r="M408" s="79"/>
      <c r="R408" s="79"/>
      <c r="S408" s="79"/>
      <c r="V408" s="79"/>
      <c r="W408" s="79"/>
      <c r="Z408" s="130"/>
      <c r="AB408" s="106"/>
    </row>
    <row r="409">
      <c r="C409" s="79"/>
      <c r="D409" s="79"/>
      <c r="E409" s="79"/>
      <c r="M409" s="79"/>
      <c r="R409" s="79"/>
      <c r="S409" s="79"/>
      <c r="V409" s="79"/>
      <c r="W409" s="79"/>
      <c r="Z409" s="130"/>
      <c r="AB409" s="106"/>
    </row>
    <row r="410">
      <c r="C410" s="79"/>
      <c r="D410" s="79"/>
      <c r="E410" s="79"/>
      <c r="M410" s="79"/>
      <c r="R410" s="79"/>
      <c r="S410" s="79"/>
      <c r="V410" s="79"/>
      <c r="W410" s="79"/>
      <c r="Z410" s="130"/>
      <c r="AB410" s="106"/>
    </row>
    <row r="411">
      <c r="C411" s="79"/>
      <c r="D411" s="79"/>
      <c r="E411" s="79"/>
      <c r="M411" s="79"/>
      <c r="R411" s="79"/>
      <c r="S411" s="79"/>
      <c r="V411" s="79"/>
      <c r="W411" s="79"/>
      <c r="Z411" s="130"/>
      <c r="AB411" s="106"/>
    </row>
    <row r="412">
      <c r="C412" s="79"/>
      <c r="D412" s="79"/>
      <c r="E412" s="79"/>
      <c r="M412" s="79"/>
      <c r="R412" s="79"/>
      <c r="S412" s="79"/>
      <c r="V412" s="79"/>
      <c r="W412" s="79"/>
      <c r="Z412" s="130"/>
      <c r="AB412" s="106"/>
    </row>
    <row r="413">
      <c r="C413" s="79"/>
      <c r="D413" s="79"/>
      <c r="E413" s="79"/>
      <c r="M413" s="79"/>
      <c r="R413" s="79"/>
      <c r="S413" s="79"/>
      <c r="V413" s="79"/>
      <c r="W413" s="79"/>
      <c r="Z413" s="130"/>
      <c r="AB413" s="106"/>
    </row>
    <row r="414">
      <c r="C414" s="79"/>
      <c r="D414" s="79"/>
      <c r="E414" s="79"/>
      <c r="M414" s="79"/>
      <c r="R414" s="79"/>
      <c r="S414" s="79"/>
      <c r="V414" s="79"/>
      <c r="W414" s="79"/>
      <c r="Z414" s="130"/>
      <c r="AB414" s="106"/>
    </row>
    <row r="415">
      <c r="C415" s="79"/>
      <c r="D415" s="79"/>
      <c r="E415" s="79"/>
      <c r="M415" s="79"/>
      <c r="R415" s="79"/>
      <c r="S415" s="79"/>
      <c r="V415" s="79"/>
      <c r="W415" s="79"/>
      <c r="Z415" s="130"/>
      <c r="AB415" s="106"/>
    </row>
    <row r="416">
      <c r="C416" s="79"/>
      <c r="D416" s="79"/>
      <c r="E416" s="79"/>
      <c r="M416" s="79"/>
      <c r="R416" s="79"/>
      <c r="S416" s="79"/>
      <c r="V416" s="79"/>
      <c r="W416" s="79"/>
      <c r="Z416" s="130"/>
      <c r="AB416" s="106"/>
    </row>
    <row r="417">
      <c r="C417" s="79"/>
      <c r="D417" s="79"/>
      <c r="E417" s="79"/>
      <c r="M417" s="79"/>
      <c r="R417" s="79"/>
      <c r="S417" s="79"/>
      <c r="V417" s="79"/>
      <c r="W417" s="79"/>
      <c r="Z417" s="130"/>
      <c r="AB417" s="106"/>
    </row>
    <row r="418">
      <c r="C418" s="79"/>
      <c r="D418" s="79"/>
      <c r="E418" s="79"/>
      <c r="M418" s="79"/>
      <c r="R418" s="79"/>
      <c r="S418" s="79"/>
      <c r="V418" s="79"/>
      <c r="W418" s="79"/>
      <c r="Z418" s="130"/>
      <c r="AB418" s="106"/>
    </row>
    <row r="419">
      <c r="C419" s="79"/>
      <c r="D419" s="79"/>
      <c r="E419" s="79"/>
      <c r="M419" s="79"/>
      <c r="R419" s="79"/>
      <c r="S419" s="79"/>
      <c r="V419" s="79"/>
      <c r="W419" s="79"/>
      <c r="Z419" s="130"/>
      <c r="AB419" s="106"/>
    </row>
    <row r="420">
      <c r="C420" s="79"/>
      <c r="D420" s="79"/>
      <c r="E420" s="79"/>
      <c r="M420" s="79"/>
      <c r="R420" s="79"/>
      <c r="S420" s="79"/>
      <c r="V420" s="79"/>
      <c r="W420" s="79"/>
      <c r="Z420" s="130"/>
      <c r="AB420" s="106"/>
    </row>
    <row r="421">
      <c r="C421" s="79"/>
      <c r="D421" s="79"/>
      <c r="E421" s="79"/>
      <c r="M421" s="79"/>
      <c r="R421" s="79"/>
      <c r="S421" s="79"/>
      <c r="V421" s="79"/>
      <c r="W421" s="79"/>
      <c r="Z421" s="130"/>
      <c r="AB421" s="106"/>
    </row>
    <row r="422">
      <c r="C422" s="79"/>
      <c r="D422" s="79"/>
      <c r="E422" s="79"/>
      <c r="M422" s="79"/>
      <c r="R422" s="79"/>
      <c r="S422" s="79"/>
      <c r="V422" s="79"/>
      <c r="W422" s="79"/>
      <c r="Z422" s="130"/>
      <c r="AB422" s="106"/>
    </row>
    <row r="423">
      <c r="C423" s="79"/>
      <c r="D423" s="79"/>
      <c r="E423" s="79"/>
      <c r="M423" s="79"/>
      <c r="R423" s="79"/>
      <c r="S423" s="79"/>
      <c r="V423" s="79"/>
      <c r="W423" s="79"/>
      <c r="Z423" s="130"/>
      <c r="AB423" s="106"/>
    </row>
    <row r="424">
      <c r="C424" s="79"/>
      <c r="D424" s="79"/>
      <c r="E424" s="79"/>
      <c r="M424" s="79"/>
      <c r="R424" s="79"/>
      <c r="S424" s="79"/>
      <c r="V424" s="79"/>
      <c r="W424" s="79"/>
      <c r="Z424" s="130"/>
      <c r="AB424" s="106"/>
    </row>
    <row r="425">
      <c r="C425" s="79"/>
      <c r="D425" s="79"/>
      <c r="E425" s="79"/>
      <c r="M425" s="79"/>
      <c r="R425" s="79"/>
      <c r="S425" s="79"/>
      <c r="V425" s="79"/>
      <c r="W425" s="79"/>
      <c r="Z425" s="130"/>
      <c r="AB425" s="106"/>
    </row>
    <row r="426">
      <c r="C426" s="79"/>
      <c r="D426" s="79"/>
      <c r="E426" s="79"/>
      <c r="M426" s="79"/>
      <c r="R426" s="79"/>
      <c r="S426" s="79"/>
      <c r="V426" s="79"/>
      <c r="W426" s="79"/>
      <c r="Z426" s="130"/>
      <c r="AB426" s="106"/>
    </row>
    <row r="427">
      <c r="C427" s="79"/>
      <c r="D427" s="79"/>
      <c r="E427" s="79"/>
      <c r="M427" s="79"/>
      <c r="R427" s="79"/>
      <c r="S427" s="79"/>
      <c r="V427" s="79"/>
      <c r="W427" s="79"/>
      <c r="Z427" s="130"/>
      <c r="AB427" s="106"/>
    </row>
    <row r="428">
      <c r="C428" s="79"/>
      <c r="D428" s="79"/>
      <c r="E428" s="79"/>
      <c r="M428" s="79"/>
      <c r="R428" s="79"/>
      <c r="S428" s="79"/>
      <c r="V428" s="79"/>
      <c r="W428" s="79"/>
      <c r="Z428" s="130"/>
      <c r="AB428" s="106"/>
    </row>
    <row r="429">
      <c r="C429" s="79"/>
      <c r="D429" s="79"/>
      <c r="E429" s="79"/>
      <c r="M429" s="79"/>
      <c r="R429" s="79"/>
      <c r="S429" s="79"/>
      <c r="V429" s="79"/>
      <c r="W429" s="79"/>
      <c r="Z429" s="130"/>
      <c r="AB429" s="106"/>
    </row>
    <row r="430">
      <c r="C430" s="79"/>
      <c r="D430" s="79"/>
      <c r="E430" s="79"/>
      <c r="M430" s="79"/>
      <c r="R430" s="79"/>
      <c r="S430" s="79"/>
      <c r="V430" s="79"/>
      <c r="W430" s="79"/>
      <c r="Z430" s="130"/>
      <c r="AB430" s="106"/>
    </row>
    <row r="431">
      <c r="C431" s="79"/>
      <c r="D431" s="79"/>
      <c r="E431" s="79"/>
      <c r="M431" s="79"/>
      <c r="R431" s="79"/>
      <c r="S431" s="79"/>
      <c r="V431" s="79"/>
      <c r="W431" s="79"/>
      <c r="Z431" s="130"/>
      <c r="AB431" s="106"/>
    </row>
    <row r="432">
      <c r="C432" s="79"/>
      <c r="D432" s="79"/>
      <c r="E432" s="79"/>
      <c r="M432" s="79"/>
      <c r="R432" s="79"/>
      <c r="S432" s="79"/>
      <c r="V432" s="79"/>
      <c r="W432" s="79"/>
      <c r="Z432" s="130"/>
      <c r="AB432" s="106"/>
    </row>
    <row r="433">
      <c r="C433" s="79"/>
      <c r="D433" s="79"/>
      <c r="E433" s="79"/>
      <c r="M433" s="79"/>
      <c r="R433" s="79"/>
      <c r="S433" s="79"/>
      <c r="V433" s="79"/>
      <c r="W433" s="79"/>
      <c r="Z433" s="130"/>
      <c r="AB433" s="106"/>
    </row>
    <row r="434">
      <c r="C434" s="79"/>
      <c r="D434" s="79"/>
      <c r="E434" s="79"/>
      <c r="M434" s="79"/>
      <c r="R434" s="79"/>
      <c r="S434" s="79"/>
      <c r="V434" s="79"/>
      <c r="W434" s="79"/>
      <c r="Z434" s="130"/>
      <c r="AB434" s="106"/>
    </row>
    <row r="435">
      <c r="C435" s="79"/>
      <c r="D435" s="79"/>
      <c r="E435" s="79"/>
      <c r="M435" s="79"/>
      <c r="R435" s="79"/>
      <c r="S435" s="79"/>
      <c r="V435" s="79"/>
      <c r="W435" s="79"/>
      <c r="Z435" s="130"/>
      <c r="AB435" s="106"/>
    </row>
    <row r="436">
      <c r="C436" s="79"/>
      <c r="D436" s="79"/>
      <c r="E436" s="79"/>
      <c r="M436" s="79"/>
      <c r="R436" s="79"/>
      <c r="S436" s="79"/>
      <c r="V436" s="79"/>
      <c r="W436" s="79"/>
      <c r="Z436" s="130"/>
      <c r="AB436" s="106"/>
    </row>
    <row r="437">
      <c r="C437" s="79"/>
      <c r="D437" s="79"/>
      <c r="E437" s="79"/>
      <c r="M437" s="79"/>
      <c r="R437" s="79"/>
      <c r="S437" s="79"/>
      <c r="V437" s="79"/>
      <c r="W437" s="79"/>
      <c r="Z437" s="130"/>
      <c r="AB437" s="106"/>
    </row>
    <row r="438">
      <c r="C438" s="79"/>
      <c r="D438" s="79"/>
      <c r="E438" s="79"/>
      <c r="M438" s="79"/>
      <c r="R438" s="79"/>
      <c r="S438" s="79"/>
      <c r="V438" s="79"/>
      <c r="W438" s="79"/>
      <c r="Z438" s="130"/>
      <c r="AB438" s="106"/>
    </row>
    <row r="439">
      <c r="C439" s="79"/>
      <c r="D439" s="79"/>
      <c r="E439" s="79"/>
      <c r="M439" s="79"/>
      <c r="R439" s="79"/>
      <c r="S439" s="79"/>
      <c r="V439" s="79"/>
      <c r="W439" s="79"/>
      <c r="Z439" s="130"/>
      <c r="AB439" s="106"/>
    </row>
    <row r="440">
      <c r="C440" s="79"/>
      <c r="D440" s="79"/>
      <c r="E440" s="79"/>
      <c r="M440" s="79"/>
      <c r="R440" s="79"/>
      <c r="S440" s="79"/>
      <c r="V440" s="79"/>
      <c r="W440" s="79"/>
      <c r="Z440" s="130"/>
      <c r="AB440" s="106"/>
    </row>
    <row r="441">
      <c r="C441" s="79"/>
      <c r="D441" s="79"/>
      <c r="E441" s="79"/>
      <c r="M441" s="79"/>
      <c r="R441" s="79"/>
      <c r="S441" s="79"/>
      <c r="V441" s="79"/>
      <c r="W441" s="79"/>
      <c r="Z441" s="130"/>
      <c r="AB441" s="106"/>
    </row>
    <row r="442">
      <c r="C442" s="79"/>
      <c r="D442" s="79"/>
      <c r="E442" s="79"/>
      <c r="M442" s="79"/>
      <c r="R442" s="79"/>
      <c r="S442" s="79"/>
      <c r="V442" s="79"/>
      <c r="W442" s="79"/>
      <c r="Z442" s="130"/>
      <c r="AB442" s="106"/>
    </row>
    <row r="443">
      <c r="C443" s="79"/>
      <c r="D443" s="79"/>
      <c r="E443" s="79"/>
      <c r="M443" s="79"/>
      <c r="R443" s="79"/>
      <c r="S443" s="79"/>
      <c r="V443" s="79"/>
      <c r="W443" s="79"/>
      <c r="Z443" s="130"/>
      <c r="AB443" s="106"/>
    </row>
    <row r="444">
      <c r="C444" s="79"/>
      <c r="D444" s="79"/>
      <c r="E444" s="79"/>
      <c r="M444" s="79"/>
      <c r="R444" s="79"/>
      <c r="S444" s="79"/>
      <c r="V444" s="79"/>
      <c r="W444" s="79"/>
      <c r="Z444" s="130"/>
      <c r="AB444" s="106"/>
    </row>
    <row r="445">
      <c r="C445" s="79"/>
      <c r="D445" s="79"/>
      <c r="E445" s="79"/>
      <c r="M445" s="79"/>
      <c r="R445" s="79"/>
      <c r="S445" s="79"/>
      <c r="V445" s="79"/>
      <c r="W445" s="79"/>
      <c r="Z445" s="130"/>
      <c r="AB445" s="106"/>
    </row>
    <row r="446">
      <c r="C446" s="79"/>
      <c r="D446" s="79"/>
      <c r="E446" s="79"/>
      <c r="M446" s="79"/>
      <c r="R446" s="79"/>
      <c r="S446" s="79"/>
      <c r="V446" s="79"/>
      <c r="W446" s="79"/>
      <c r="Z446" s="130"/>
      <c r="AB446" s="106"/>
    </row>
    <row r="447">
      <c r="C447" s="79"/>
      <c r="D447" s="79"/>
      <c r="E447" s="79"/>
      <c r="M447" s="79"/>
      <c r="R447" s="79"/>
      <c r="S447" s="79"/>
      <c r="V447" s="79"/>
      <c r="W447" s="79"/>
      <c r="Z447" s="130"/>
      <c r="AB447" s="106"/>
    </row>
    <row r="448">
      <c r="C448" s="79"/>
      <c r="D448" s="79"/>
      <c r="E448" s="79"/>
      <c r="M448" s="79"/>
      <c r="R448" s="79"/>
      <c r="S448" s="79"/>
      <c r="V448" s="79"/>
      <c r="W448" s="79"/>
      <c r="Z448" s="130"/>
      <c r="AB448" s="106"/>
    </row>
    <row r="449">
      <c r="C449" s="79"/>
      <c r="D449" s="79"/>
      <c r="E449" s="79"/>
      <c r="M449" s="79"/>
      <c r="R449" s="79"/>
      <c r="S449" s="79"/>
      <c r="V449" s="79"/>
      <c r="W449" s="79"/>
      <c r="Z449" s="130"/>
      <c r="AB449" s="106"/>
    </row>
    <row r="450">
      <c r="C450" s="79"/>
      <c r="D450" s="79"/>
      <c r="E450" s="79"/>
      <c r="M450" s="79"/>
      <c r="R450" s="79"/>
      <c r="S450" s="79"/>
      <c r="V450" s="79"/>
      <c r="W450" s="79"/>
      <c r="Z450" s="130"/>
      <c r="AB450" s="106"/>
    </row>
    <row r="451">
      <c r="C451" s="79"/>
      <c r="D451" s="79"/>
      <c r="E451" s="79"/>
      <c r="M451" s="79"/>
      <c r="R451" s="79"/>
      <c r="S451" s="79"/>
      <c r="V451" s="79"/>
      <c r="W451" s="79"/>
      <c r="Z451" s="130"/>
      <c r="AB451" s="106"/>
    </row>
    <row r="452">
      <c r="C452" s="79"/>
      <c r="D452" s="79"/>
      <c r="E452" s="79"/>
      <c r="M452" s="79"/>
      <c r="R452" s="79"/>
      <c r="S452" s="79"/>
      <c r="V452" s="79"/>
      <c r="W452" s="79"/>
      <c r="Z452" s="130"/>
      <c r="AB452" s="106"/>
    </row>
    <row r="453">
      <c r="C453" s="79"/>
      <c r="D453" s="79"/>
      <c r="E453" s="79"/>
      <c r="M453" s="79"/>
      <c r="R453" s="79"/>
      <c r="S453" s="79"/>
      <c r="V453" s="79"/>
      <c r="W453" s="79"/>
      <c r="Z453" s="130"/>
      <c r="AB453" s="106"/>
    </row>
    <row r="454">
      <c r="C454" s="79"/>
      <c r="D454" s="79"/>
      <c r="E454" s="79"/>
      <c r="M454" s="79"/>
      <c r="R454" s="79"/>
      <c r="S454" s="79"/>
      <c r="V454" s="79"/>
      <c r="W454" s="79"/>
      <c r="Z454" s="130"/>
      <c r="AB454" s="106"/>
    </row>
    <row r="455">
      <c r="C455" s="79"/>
      <c r="D455" s="79"/>
      <c r="E455" s="79"/>
      <c r="M455" s="79"/>
      <c r="R455" s="79"/>
      <c r="S455" s="79"/>
      <c r="V455" s="79"/>
      <c r="W455" s="79"/>
      <c r="Z455" s="130"/>
      <c r="AB455" s="106"/>
    </row>
    <row r="456">
      <c r="C456" s="79"/>
      <c r="D456" s="79"/>
      <c r="E456" s="79"/>
      <c r="M456" s="79"/>
      <c r="R456" s="79"/>
      <c r="S456" s="79"/>
      <c r="V456" s="79"/>
      <c r="W456" s="79"/>
      <c r="Z456" s="130"/>
      <c r="AB456" s="106"/>
    </row>
    <row r="457">
      <c r="C457" s="79"/>
      <c r="D457" s="79"/>
      <c r="E457" s="79"/>
      <c r="M457" s="79"/>
      <c r="R457" s="79"/>
      <c r="S457" s="79"/>
      <c r="V457" s="79"/>
      <c r="W457" s="79"/>
      <c r="Z457" s="130"/>
      <c r="AB457" s="106"/>
    </row>
    <row r="458">
      <c r="C458" s="79"/>
      <c r="D458" s="79"/>
      <c r="E458" s="79"/>
      <c r="M458" s="79"/>
      <c r="R458" s="79"/>
      <c r="S458" s="79"/>
      <c r="V458" s="79"/>
      <c r="W458" s="79"/>
      <c r="Z458" s="130"/>
      <c r="AB458" s="106"/>
    </row>
    <row r="459">
      <c r="C459" s="79"/>
      <c r="D459" s="79"/>
      <c r="E459" s="79"/>
      <c r="M459" s="79"/>
      <c r="R459" s="79"/>
      <c r="S459" s="79"/>
      <c r="V459" s="79"/>
      <c r="W459" s="79"/>
      <c r="Z459" s="130"/>
      <c r="AB459" s="106"/>
    </row>
    <row r="460">
      <c r="C460" s="79"/>
      <c r="D460" s="79"/>
      <c r="E460" s="79"/>
      <c r="M460" s="79"/>
      <c r="R460" s="79"/>
      <c r="S460" s="79"/>
      <c r="V460" s="79"/>
      <c r="W460" s="79"/>
      <c r="Z460" s="130"/>
      <c r="AB460" s="106"/>
    </row>
    <row r="461">
      <c r="C461" s="79"/>
      <c r="D461" s="79"/>
      <c r="E461" s="79"/>
      <c r="M461" s="79"/>
      <c r="R461" s="79"/>
      <c r="S461" s="79"/>
      <c r="V461" s="79"/>
      <c r="W461" s="79"/>
      <c r="Z461" s="130"/>
      <c r="AB461" s="106"/>
    </row>
    <row r="462">
      <c r="C462" s="79"/>
      <c r="D462" s="79"/>
      <c r="E462" s="79"/>
      <c r="M462" s="79"/>
      <c r="R462" s="79"/>
      <c r="S462" s="79"/>
      <c r="V462" s="79"/>
      <c r="W462" s="79"/>
      <c r="Z462" s="130"/>
      <c r="AB462" s="106"/>
    </row>
    <row r="463">
      <c r="C463" s="79"/>
      <c r="D463" s="79"/>
      <c r="E463" s="79"/>
      <c r="M463" s="79"/>
      <c r="R463" s="79"/>
      <c r="S463" s="79"/>
      <c r="V463" s="79"/>
      <c r="W463" s="79"/>
      <c r="Z463" s="130"/>
      <c r="AB463" s="106"/>
    </row>
    <row r="464">
      <c r="C464" s="79"/>
      <c r="D464" s="79"/>
      <c r="E464" s="79"/>
      <c r="M464" s="79"/>
      <c r="R464" s="79"/>
      <c r="S464" s="79"/>
      <c r="V464" s="79"/>
      <c r="W464" s="79"/>
      <c r="Z464" s="130"/>
      <c r="AB464" s="106"/>
    </row>
    <row r="465">
      <c r="C465" s="79"/>
      <c r="D465" s="79"/>
      <c r="E465" s="79"/>
      <c r="M465" s="79"/>
      <c r="R465" s="79"/>
      <c r="S465" s="79"/>
      <c r="V465" s="79"/>
      <c r="W465" s="79"/>
      <c r="Z465" s="130"/>
      <c r="AB465" s="106"/>
    </row>
    <row r="466">
      <c r="C466" s="79"/>
      <c r="D466" s="79"/>
      <c r="E466" s="79"/>
      <c r="M466" s="79"/>
      <c r="R466" s="79"/>
      <c r="S466" s="79"/>
      <c r="V466" s="79"/>
      <c r="W466" s="79"/>
      <c r="Z466" s="130"/>
      <c r="AB466" s="106"/>
    </row>
    <row r="467">
      <c r="C467" s="79"/>
      <c r="D467" s="79"/>
      <c r="E467" s="79"/>
      <c r="M467" s="79"/>
      <c r="R467" s="79"/>
      <c r="S467" s="79"/>
      <c r="V467" s="79"/>
      <c r="W467" s="79"/>
      <c r="Z467" s="130"/>
      <c r="AB467" s="106"/>
    </row>
    <row r="468">
      <c r="C468" s="79"/>
      <c r="D468" s="79"/>
      <c r="E468" s="79"/>
      <c r="M468" s="79"/>
      <c r="R468" s="79"/>
      <c r="S468" s="79"/>
      <c r="V468" s="79"/>
      <c r="W468" s="79"/>
      <c r="Z468" s="130"/>
      <c r="AB468" s="106"/>
    </row>
    <row r="469">
      <c r="C469" s="79"/>
      <c r="D469" s="79"/>
      <c r="E469" s="79"/>
      <c r="M469" s="79"/>
      <c r="R469" s="79"/>
      <c r="S469" s="79"/>
      <c r="V469" s="79"/>
      <c r="W469" s="79"/>
      <c r="Z469" s="130"/>
      <c r="AB469" s="106"/>
    </row>
    <row r="470">
      <c r="C470" s="79"/>
      <c r="D470" s="79"/>
      <c r="E470" s="79"/>
      <c r="M470" s="79"/>
      <c r="R470" s="79"/>
      <c r="S470" s="79"/>
      <c r="V470" s="79"/>
      <c r="W470" s="79"/>
      <c r="Z470" s="130"/>
      <c r="AB470" s="106"/>
    </row>
    <row r="471">
      <c r="C471" s="79"/>
      <c r="D471" s="79"/>
      <c r="E471" s="79"/>
      <c r="M471" s="79"/>
      <c r="R471" s="79"/>
      <c r="S471" s="79"/>
      <c r="V471" s="79"/>
      <c r="W471" s="79"/>
      <c r="Z471" s="130"/>
      <c r="AB471" s="106"/>
    </row>
    <row r="472">
      <c r="C472" s="79"/>
      <c r="D472" s="79"/>
      <c r="E472" s="79"/>
      <c r="M472" s="79"/>
      <c r="R472" s="79"/>
      <c r="S472" s="79"/>
      <c r="V472" s="79"/>
      <c r="W472" s="79"/>
      <c r="Z472" s="130"/>
      <c r="AB472" s="106"/>
    </row>
    <row r="473">
      <c r="C473" s="79"/>
      <c r="D473" s="79"/>
      <c r="E473" s="79"/>
      <c r="M473" s="79"/>
      <c r="R473" s="79"/>
      <c r="S473" s="79"/>
      <c r="V473" s="79"/>
      <c r="W473" s="79"/>
      <c r="Z473" s="130"/>
      <c r="AB473" s="106"/>
    </row>
    <row r="474">
      <c r="C474" s="79"/>
      <c r="D474" s="79"/>
      <c r="E474" s="79"/>
      <c r="M474" s="79"/>
      <c r="R474" s="79"/>
      <c r="S474" s="79"/>
      <c r="V474" s="79"/>
      <c r="W474" s="79"/>
      <c r="Z474" s="130"/>
      <c r="AB474" s="106"/>
    </row>
    <row r="475">
      <c r="C475" s="79"/>
      <c r="D475" s="79"/>
      <c r="E475" s="79"/>
      <c r="M475" s="79"/>
      <c r="R475" s="79"/>
      <c r="S475" s="79"/>
      <c r="V475" s="79"/>
      <c r="W475" s="79"/>
      <c r="Z475" s="130"/>
      <c r="AB475" s="106"/>
    </row>
    <row r="476">
      <c r="C476" s="79"/>
      <c r="D476" s="79"/>
      <c r="E476" s="79"/>
      <c r="M476" s="79"/>
      <c r="R476" s="79"/>
      <c r="S476" s="79"/>
      <c r="V476" s="79"/>
      <c r="W476" s="79"/>
      <c r="Z476" s="130"/>
      <c r="AB476" s="106"/>
    </row>
    <row r="477">
      <c r="C477" s="79"/>
      <c r="D477" s="79"/>
      <c r="E477" s="79"/>
      <c r="M477" s="79"/>
      <c r="R477" s="79"/>
      <c r="S477" s="79"/>
      <c r="V477" s="79"/>
      <c r="W477" s="79"/>
      <c r="Z477" s="130"/>
      <c r="AB477" s="106"/>
    </row>
    <row r="478">
      <c r="C478" s="79"/>
      <c r="D478" s="79"/>
      <c r="E478" s="79"/>
      <c r="M478" s="79"/>
      <c r="R478" s="79"/>
      <c r="S478" s="79"/>
      <c r="V478" s="79"/>
      <c r="W478" s="79"/>
      <c r="Z478" s="130"/>
      <c r="AB478" s="106"/>
    </row>
    <row r="479">
      <c r="C479" s="79"/>
      <c r="D479" s="79"/>
      <c r="E479" s="79"/>
      <c r="M479" s="79"/>
      <c r="R479" s="79"/>
      <c r="S479" s="79"/>
      <c r="V479" s="79"/>
      <c r="W479" s="79"/>
      <c r="Z479" s="130"/>
      <c r="AB479" s="106"/>
    </row>
    <row r="480">
      <c r="C480" s="79"/>
      <c r="D480" s="79"/>
      <c r="E480" s="79"/>
      <c r="M480" s="79"/>
      <c r="R480" s="79"/>
      <c r="S480" s="79"/>
      <c r="V480" s="79"/>
      <c r="W480" s="79"/>
      <c r="Z480" s="130"/>
      <c r="AB480" s="106"/>
    </row>
    <row r="481">
      <c r="C481" s="79"/>
      <c r="D481" s="79"/>
      <c r="E481" s="79"/>
      <c r="M481" s="79"/>
      <c r="R481" s="79"/>
      <c r="S481" s="79"/>
      <c r="V481" s="79"/>
      <c r="W481" s="79"/>
      <c r="Z481" s="130"/>
      <c r="AB481" s="106"/>
    </row>
    <row r="482">
      <c r="C482" s="79"/>
      <c r="D482" s="79"/>
      <c r="E482" s="79"/>
      <c r="M482" s="79"/>
      <c r="R482" s="79"/>
      <c r="S482" s="79"/>
      <c r="V482" s="79"/>
      <c r="W482" s="79"/>
      <c r="Z482" s="130"/>
      <c r="AB482" s="106"/>
    </row>
    <row r="483">
      <c r="C483" s="79"/>
      <c r="D483" s="79"/>
      <c r="E483" s="79"/>
      <c r="M483" s="79"/>
      <c r="R483" s="79"/>
      <c r="S483" s="79"/>
      <c r="V483" s="79"/>
      <c r="W483" s="79"/>
      <c r="Z483" s="130"/>
      <c r="AB483" s="106"/>
    </row>
    <row r="484">
      <c r="C484" s="79"/>
      <c r="D484" s="79"/>
      <c r="E484" s="79"/>
      <c r="M484" s="79"/>
      <c r="R484" s="79"/>
      <c r="S484" s="79"/>
      <c r="V484" s="79"/>
      <c r="W484" s="79"/>
      <c r="Z484" s="130"/>
      <c r="AB484" s="106"/>
    </row>
    <row r="485">
      <c r="C485" s="79"/>
      <c r="D485" s="79"/>
      <c r="E485" s="79"/>
      <c r="M485" s="79"/>
      <c r="R485" s="79"/>
      <c r="S485" s="79"/>
      <c r="V485" s="79"/>
      <c r="W485" s="79"/>
      <c r="Z485" s="130"/>
      <c r="AB485" s="106"/>
    </row>
    <row r="486">
      <c r="C486" s="79"/>
      <c r="D486" s="79"/>
      <c r="E486" s="79"/>
      <c r="M486" s="79"/>
      <c r="R486" s="79"/>
      <c r="S486" s="79"/>
      <c r="V486" s="79"/>
      <c r="W486" s="79"/>
      <c r="Z486" s="130"/>
      <c r="AB486" s="106"/>
    </row>
    <row r="487">
      <c r="C487" s="79"/>
      <c r="D487" s="79"/>
      <c r="E487" s="79"/>
      <c r="M487" s="79"/>
      <c r="R487" s="79"/>
      <c r="S487" s="79"/>
      <c r="V487" s="79"/>
      <c r="W487" s="79"/>
      <c r="Z487" s="130"/>
      <c r="AB487" s="106"/>
    </row>
    <row r="488">
      <c r="C488" s="79"/>
      <c r="D488" s="79"/>
      <c r="E488" s="79"/>
      <c r="M488" s="79"/>
      <c r="R488" s="79"/>
      <c r="S488" s="79"/>
      <c r="V488" s="79"/>
      <c r="W488" s="79"/>
      <c r="Z488" s="130"/>
      <c r="AB488" s="106"/>
    </row>
    <row r="489">
      <c r="C489" s="79"/>
      <c r="D489" s="79"/>
      <c r="E489" s="79"/>
      <c r="M489" s="79"/>
      <c r="R489" s="79"/>
      <c r="S489" s="79"/>
      <c r="V489" s="79"/>
      <c r="W489" s="79"/>
      <c r="Z489" s="130"/>
      <c r="AB489" s="106"/>
    </row>
    <row r="490">
      <c r="C490" s="79"/>
      <c r="D490" s="79"/>
      <c r="E490" s="79"/>
      <c r="M490" s="79"/>
      <c r="R490" s="79"/>
      <c r="S490" s="79"/>
      <c r="V490" s="79"/>
      <c r="W490" s="79"/>
      <c r="Z490" s="130"/>
      <c r="AB490" s="106"/>
    </row>
    <row r="491">
      <c r="C491" s="79"/>
      <c r="D491" s="79"/>
      <c r="E491" s="79"/>
      <c r="M491" s="79"/>
      <c r="R491" s="79"/>
      <c r="S491" s="79"/>
      <c r="V491" s="79"/>
      <c r="W491" s="79"/>
      <c r="Z491" s="130"/>
      <c r="AB491" s="106"/>
    </row>
    <row r="492">
      <c r="C492" s="79"/>
      <c r="D492" s="79"/>
      <c r="E492" s="79"/>
      <c r="M492" s="79"/>
      <c r="R492" s="79"/>
      <c r="S492" s="79"/>
      <c r="V492" s="79"/>
      <c r="W492" s="79"/>
      <c r="Z492" s="130"/>
      <c r="AB492" s="106"/>
    </row>
    <row r="493">
      <c r="C493" s="79"/>
      <c r="D493" s="79"/>
      <c r="E493" s="79"/>
      <c r="M493" s="79"/>
      <c r="R493" s="79"/>
      <c r="S493" s="79"/>
      <c r="V493" s="79"/>
      <c r="W493" s="79"/>
      <c r="Z493" s="130"/>
      <c r="AB493" s="106"/>
    </row>
    <row r="494">
      <c r="C494" s="79"/>
      <c r="D494" s="79"/>
      <c r="E494" s="79"/>
      <c r="M494" s="79"/>
      <c r="R494" s="79"/>
      <c r="S494" s="79"/>
      <c r="V494" s="79"/>
      <c r="W494" s="79"/>
      <c r="Z494" s="130"/>
      <c r="AB494" s="106"/>
    </row>
    <row r="495">
      <c r="C495" s="79"/>
      <c r="D495" s="79"/>
      <c r="E495" s="79"/>
      <c r="M495" s="79"/>
      <c r="R495" s="79"/>
      <c r="S495" s="79"/>
      <c r="V495" s="79"/>
      <c r="W495" s="79"/>
      <c r="Z495" s="130"/>
      <c r="AB495" s="106"/>
    </row>
    <row r="496">
      <c r="C496" s="79"/>
      <c r="D496" s="79"/>
      <c r="E496" s="79"/>
      <c r="M496" s="79"/>
      <c r="R496" s="79"/>
      <c r="S496" s="79"/>
      <c r="V496" s="79"/>
      <c r="W496" s="79"/>
      <c r="Z496" s="130"/>
      <c r="AB496" s="106"/>
    </row>
    <row r="497">
      <c r="C497" s="79"/>
      <c r="D497" s="79"/>
      <c r="E497" s="79"/>
      <c r="M497" s="79"/>
      <c r="R497" s="79"/>
      <c r="S497" s="79"/>
      <c r="V497" s="79"/>
      <c r="W497" s="79"/>
      <c r="Z497" s="130"/>
      <c r="AB497" s="106"/>
    </row>
    <row r="498">
      <c r="C498" s="79"/>
      <c r="D498" s="79"/>
      <c r="E498" s="79"/>
      <c r="M498" s="79"/>
      <c r="R498" s="79"/>
      <c r="S498" s="79"/>
      <c r="V498" s="79"/>
      <c r="W498" s="79"/>
      <c r="Z498" s="130"/>
      <c r="AB498" s="106"/>
    </row>
    <row r="499">
      <c r="C499" s="79"/>
      <c r="D499" s="79"/>
      <c r="E499" s="79"/>
      <c r="M499" s="79"/>
      <c r="R499" s="79"/>
      <c r="S499" s="79"/>
      <c r="V499" s="79"/>
      <c r="W499" s="79"/>
      <c r="Z499" s="130"/>
      <c r="AB499" s="106"/>
    </row>
    <row r="500">
      <c r="C500" s="79"/>
      <c r="D500" s="79"/>
      <c r="E500" s="79"/>
      <c r="M500" s="79"/>
      <c r="R500" s="79"/>
      <c r="S500" s="79"/>
      <c r="V500" s="79"/>
      <c r="W500" s="79"/>
      <c r="Z500" s="130"/>
      <c r="AB500" s="106"/>
    </row>
    <row r="501">
      <c r="C501" s="79"/>
      <c r="D501" s="79"/>
      <c r="E501" s="79"/>
      <c r="M501" s="79"/>
      <c r="R501" s="79"/>
      <c r="S501" s="79"/>
      <c r="V501" s="79"/>
      <c r="W501" s="79"/>
      <c r="Z501" s="130"/>
      <c r="AB501" s="106"/>
    </row>
    <row r="502">
      <c r="C502" s="79"/>
      <c r="D502" s="79"/>
      <c r="E502" s="79"/>
      <c r="M502" s="79"/>
      <c r="R502" s="79"/>
      <c r="S502" s="79"/>
      <c r="V502" s="79"/>
      <c r="W502" s="79"/>
      <c r="Z502" s="130"/>
      <c r="AB502" s="106"/>
    </row>
    <row r="503">
      <c r="C503" s="79"/>
      <c r="D503" s="79"/>
      <c r="E503" s="79"/>
      <c r="M503" s="79"/>
      <c r="R503" s="79"/>
      <c r="S503" s="79"/>
      <c r="V503" s="79"/>
      <c r="W503" s="79"/>
      <c r="Z503" s="130"/>
      <c r="AB503" s="106"/>
    </row>
    <row r="504">
      <c r="C504" s="79"/>
      <c r="D504" s="79"/>
      <c r="E504" s="79"/>
      <c r="M504" s="79"/>
      <c r="R504" s="79"/>
      <c r="S504" s="79"/>
      <c r="V504" s="79"/>
      <c r="W504" s="79"/>
      <c r="Z504" s="130"/>
      <c r="AB504" s="106"/>
    </row>
    <row r="505">
      <c r="C505" s="79"/>
      <c r="D505" s="79"/>
      <c r="E505" s="79"/>
      <c r="M505" s="79"/>
      <c r="R505" s="79"/>
      <c r="S505" s="79"/>
      <c r="V505" s="79"/>
      <c r="W505" s="79"/>
      <c r="Z505" s="130"/>
      <c r="AB505" s="106"/>
    </row>
    <row r="506">
      <c r="C506" s="79"/>
      <c r="D506" s="79"/>
      <c r="E506" s="79"/>
      <c r="M506" s="79"/>
      <c r="R506" s="79"/>
      <c r="S506" s="79"/>
      <c r="V506" s="79"/>
      <c r="W506" s="79"/>
      <c r="Z506" s="130"/>
      <c r="AB506" s="106"/>
    </row>
    <row r="507">
      <c r="C507" s="79"/>
      <c r="D507" s="79"/>
      <c r="E507" s="79"/>
      <c r="M507" s="79"/>
      <c r="R507" s="79"/>
      <c r="S507" s="79"/>
      <c r="V507" s="79"/>
      <c r="W507" s="79"/>
      <c r="Z507" s="130"/>
      <c r="AB507" s="106"/>
    </row>
    <row r="508">
      <c r="C508" s="79"/>
      <c r="D508" s="79"/>
      <c r="E508" s="79"/>
      <c r="M508" s="79"/>
      <c r="R508" s="79"/>
      <c r="S508" s="79"/>
      <c r="V508" s="79"/>
      <c r="W508" s="79"/>
      <c r="Z508" s="130"/>
      <c r="AB508" s="106"/>
    </row>
    <row r="509">
      <c r="C509" s="79"/>
      <c r="D509" s="79"/>
      <c r="E509" s="79"/>
      <c r="M509" s="79"/>
      <c r="R509" s="79"/>
      <c r="S509" s="79"/>
      <c r="V509" s="79"/>
      <c r="W509" s="79"/>
      <c r="Z509" s="130"/>
      <c r="AB509" s="106"/>
    </row>
    <row r="510">
      <c r="C510" s="79"/>
      <c r="D510" s="79"/>
      <c r="E510" s="79"/>
      <c r="M510" s="79"/>
      <c r="R510" s="79"/>
      <c r="S510" s="79"/>
      <c r="V510" s="79"/>
      <c r="W510" s="79"/>
      <c r="Z510" s="130"/>
      <c r="AB510" s="106"/>
    </row>
    <row r="511">
      <c r="C511" s="79"/>
      <c r="D511" s="79"/>
      <c r="E511" s="79"/>
      <c r="M511" s="79"/>
      <c r="R511" s="79"/>
      <c r="S511" s="79"/>
      <c r="V511" s="79"/>
      <c r="W511" s="79"/>
      <c r="Z511" s="130"/>
      <c r="AB511" s="106"/>
    </row>
    <row r="512">
      <c r="C512" s="79"/>
      <c r="D512" s="79"/>
      <c r="E512" s="79"/>
      <c r="M512" s="79"/>
      <c r="R512" s="79"/>
      <c r="S512" s="79"/>
      <c r="V512" s="79"/>
      <c r="W512" s="79"/>
      <c r="Z512" s="130"/>
      <c r="AB512" s="106"/>
    </row>
    <row r="513">
      <c r="C513" s="79"/>
      <c r="D513" s="79"/>
      <c r="E513" s="79"/>
      <c r="M513" s="79"/>
      <c r="R513" s="79"/>
      <c r="S513" s="79"/>
      <c r="V513" s="79"/>
      <c r="W513" s="79"/>
      <c r="Z513" s="130"/>
      <c r="AB513" s="106"/>
    </row>
    <row r="514">
      <c r="C514" s="79"/>
      <c r="D514" s="79"/>
      <c r="E514" s="79"/>
      <c r="M514" s="79"/>
      <c r="R514" s="79"/>
      <c r="S514" s="79"/>
      <c r="V514" s="79"/>
      <c r="W514" s="79"/>
      <c r="Z514" s="130"/>
      <c r="AB514" s="106"/>
    </row>
    <row r="515">
      <c r="C515" s="79"/>
      <c r="D515" s="79"/>
      <c r="E515" s="79"/>
      <c r="M515" s="79"/>
      <c r="R515" s="79"/>
      <c r="S515" s="79"/>
      <c r="V515" s="79"/>
      <c r="W515" s="79"/>
      <c r="Z515" s="130"/>
      <c r="AB515" s="106"/>
    </row>
    <row r="516">
      <c r="C516" s="79"/>
      <c r="D516" s="79"/>
      <c r="E516" s="79"/>
      <c r="M516" s="79"/>
      <c r="R516" s="79"/>
      <c r="S516" s="79"/>
      <c r="V516" s="79"/>
      <c r="W516" s="79"/>
      <c r="Z516" s="130"/>
      <c r="AB516" s="106"/>
    </row>
    <row r="517">
      <c r="C517" s="79"/>
      <c r="D517" s="79"/>
      <c r="E517" s="79"/>
      <c r="M517" s="79"/>
      <c r="R517" s="79"/>
      <c r="S517" s="79"/>
      <c r="V517" s="79"/>
      <c r="W517" s="79"/>
      <c r="Z517" s="130"/>
      <c r="AB517" s="106"/>
    </row>
    <row r="518">
      <c r="C518" s="79"/>
      <c r="D518" s="79"/>
      <c r="E518" s="79"/>
      <c r="M518" s="79"/>
      <c r="R518" s="79"/>
      <c r="S518" s="79"/>
      <c r="V518" s="79"/>
      <c r="W518" s="79"/>
      <c r="Z518" s="130"/>
      <c r="AB518" s="106"/>
    </row>
    <row r="519">
      <c r="C519" s="79"/>
      <c r="D519" s="79"/>
      <c r="E519" s="79"/>
      <c r="M519" s="79"/>
      <c r="R519" s="79"/>
      <c r="S519" s="79"/>
      <c r="V519" s="79"/>
      <c r="W519" s="79"/>
      <c r="Z519" s="130"/>
      <c r="AB519" s="106"/>
    </row>
    <row r="520">
      <c r="C520" s="79"/>
      <c r="D520" s="79"/>
      <c r="E520" s="79"/>
      <c r="M520" s="79"/>
      <c r="R520" s="79"/>
      <c r="S520" s="79"/>
      <c r="V520" s="79"/>
      <c r="W520" s="79"/>
      <c r="Z520" s="130"/>
      <c r="AB520" s="106"/>
    </row>
    <row r="521">
      <c r="C521" s="79"/>
      <c r="D521" s="79"/>
      <c r="E521" s="79"/>
      <c r="M521" s="79"/>
      <c r="R521" s="79"/>
      <c r="S521" s="79"/>
      <c r="V521" s="79"/>
      <c r="W521" s="79"/>
      <c r="Z521" s="130"/>
      <c r="AB521" s="106"/>
    </row>
    <row r="522">
      <c r="C522" s="79"/>
      <c r="D522" s="79"/>
      <c r="E522" s="79"/>
      <c r="M522" s="79"/>
      <c r="R522" s="79"/>
      <c r="S522" s="79"/>
      <c r="V522" s="79"/>
      <c r="W522" s="79"/>
      <c r="Z522" s="130"/>
      <c r="AB522" s="106"/>
    </row>
    <row r="523">
      <c r="C523" s="79"/>
      <c r="D523" s="79"/>
      <c r="E523" s="79"/>
      <c r="M523" s="79"/>
      <c r="R523" s="79"/>
      <c r="S523" s="79"/>
      <c r="V523" s="79"/>
      <c r="W523" s="79"/>
      <c r="Z523" s="130"/>
      <c r="AB523" s="106"/>
    </row>
    <row r="524">
      <c r="C524" s="79"/>
      <c r="D524" s="79"/>
      <c r="E524" s="79"/>
      <c r="M524" s="79"/>
      <c r="R524" s="79"/>
      <c r="S524" s="79"/>
      <c r="V524" s="79"/>
      <c r="W524" s="79"/>
      <c r="Z524" s="130"/>
      <c r="AB524" s="106"/>
    </row>
    <row r="525">
      <c r="C525" s="79"/>
      <c r="D525" s="79"/>
      <c r="E525" s="79"/>
      <c r="M525" s="79"/>
      <c r="R525" s="79"/>
      <c r="S525" s="79"/>
      <c r="V525" s="79"/>
      <c r="W525" s="79"/>
      <c r="Z525" s="130"/>
      <c r="AB525" s="106"/>
    </row>
    <row r="526">
      <c r="C526" s="79"/>
      <c r="D526" s="79"/>
      <c r="E526" s="79"/>
      <c r="M526" s="79"/>
      <c r="R526" s="79"/>
      <c r="S526" s="79"/>
      <c r="V526" s="79"/>
      <c r="W526" s="79"/>
      <c r="Z526" s="130"/>
      <c r="AB526" s="106"/>
    </row>
    <row r="527">
      <c r="C527" s="79"/>
      <c r="D527" s="79"/>
      <c r="E527" s="79"/>
      <c r="M527" s="79"/>
      <c r="R527" s="79"/>
      <c r="S527" s="79"/>
      <c r="V527" s="79"/>
      <c r="W527" s="79"/>
      <c r="Z527" s="130"/>
      <c r="AB527" s="106"/>
    </row>
    <row r="528">
      <c r="C528" s="79"/>
      <c r="D528" s="79"/>
      <c r="E528" s="79"/>
      <c r="M528" s="79"/>
      <c r="R528" s="79"/>
      <c r="S528" s="79"/>
      <c r="V528" s="79"/>
      <c r="W528" s="79"/>
      <c r="Z528" s="130"/>
      <c r="AB528" s="106"/>
    </row>
    <row r="529">
      <c r="C529" s="79"/>
      <c r="D529" s="79"/>
      <c r="E529" s="79"/>
      <c r="M529" s="79"/>
      <c r="R529" s="79"/>
      <c r="S529" s="79"/>
      <c r="V529" s="79"/>
      <c r="W529" s="79"/>
      <c r="Z529" s="130"/>
      <c r="AB529" s="106"/>
    </row>
    <row r="530">
      <c r="C530" s="79"/>
      <c r="D530" s="79"/>
      <c r="E530" s="79"/>
      <c r="M530" s="79"/>
      <c r="R530" s="79"/>
      <c r="S530" s="79"/>
      <c r="V530" s="79"/>
      <c r="W530" s="79"/>
      <c r="Z530" s="130"/>
      <c r="AB530" s="106"/>
    </row>
    <row r="531">
      <c r="C531" s="79"/>
      <c r="D531" s="79"/>
      <c r="E531" s="79"/>
      <c r="M531" s="79"/>
      <c r="R531" s="79"/>
      <c r="S531" s="79"/>
      <c r="V531" s="79"/>
      <c r="W531" s="79"/>
      <c r="Z531" s="130"/>
      <c r="AB531" s="106"/>
    </row>
    <row r="532">
      <c r="C532" s="79"/>
      <c r="D532" s="79"/>
      <c r="E532" s="79"/>
      <c r="M532" s="79"/>
      <c r="R532" s="79"/>
      <c r="S532" s="79"/>
      <c r="V532" s="79"/>
      <c r="W532" s="79"/>
      <c r="Z532" s="130"/>
      <c r="AB532" s="106"/>
    </row>
    <row r="533">
      <c r="C533" s="79"/>
      <c r="D533" s="79"/>
      <c r="E533" s="79"/>
      <c r="M533" s="79"/>
      <c r="R533" s="79"/>
      <c r="S533" s="79"/>
      <c r="V533" s="79"/>
      <c r="W533" s="79"/>
      <c r="Z533" s="130"/>
      <c r="AB533" s="106"/>
    </row>
    <row r="534">
      <c r="C534" s="79"/>
      <c r="D534" s="79"/>
      <c r="E534" s="79"/>
      <c r="M534" s="79"/>
      <c r="R534" s="79"/>
      <c r="S534" s="79"/>
      <c r="V534" s="79"/>
      <c r="W534" s="79"/>
      <c r="Z534" s="130"/>
      <c r="AB534" s="106"/>
    </row>
    <row r="535">
      <c r="C535" s="79"/>
      <c r="D535" s="79"/>
      <c r="E535" s="79"/>
      <c r="M535" s="79"/>
      <c r="R535" s="79"/>
      <c r="S535" s="79"/>
      <c r="V535" s="79"/>
      <c r="W535" s="79"/>
      <c r="Z535" s="130"/>
      <c r="AB535" s="106"/>
    </row>
    <row r="536">
      <c r="C536" s="79"/>
      <c r="D536" s="79"/>
      <c r="E536" s="79"/>
      <c r="M536" s="79"/>
      <c r="R536" s="79"/>
      <c r="S536" s="79"/>
      <c r="V536" s="79"/>
      <c r="W536" s="79"/>
      <c r="Z536" s="130"/>
      <c r="AB536" s="106"/>
    </row>
    <row r="537">
      <c r="C537" s="79"/>
      <c r="D537" s="79"/>
      <c r="E537" s="79"/>
      <c r="M537" s="79"/>
      <c r="R537" s="79"/>
      <c r="S537" s="79"/>
      <c r="V537" s="79"/>
      <c r="W537" s="79"/>
      <c r="Z537" s="130"/>
      <c r="AB537" s="106"/>
    </row>
    <row r="538">
      <c r="C538" s="79"/>
      <c r="D538" s="79"/>
      <c r="E538" s="79"/>
      <c r="M538" s="79"/>
      <c r="R538" s="79"/>
      <c r="S538" s="79"/>
      <c r="V538" s="79"/>
      <c r="W538" s="79"/>
      <c r="Z538" s="130"/>
      <c r="AB538" s="106"/>
    </row>
    <row r="539">
      <c r="C539" s="79"/>
      <c r="D539" s="79"/>
      <c r="E539" s="79"/>
      <c r="M539" s="79"/>
      <c r="R539" s="79"/>
      <c r="S539" s="79"/>
      <c r="V539" s="79"/>
      <c r="W539" s="79"/>
      <c r="Z539" s="130"/>
      <c r="AB539" s="106"/>
    </row>
    <row r="540">
      <c r="C540" s="79"/>
      <c r="D540" s="79"/>
      <c r="E540" s="79"/>
      <c r="M540" s="79"/>
      <c r="R540" s="79"/>
      <c r="S540" s="79"/>
      <c r="V540" s="79"/>
      <c r="W540" s="79"/>
      <c r="Z540" s="130"/>
      <c r="AB540" s="106"/>
    </row>
    <row r="541">
      <c r="C541" s="79"/>
      <c r="D541" s="79"/>
      <c r="E541" s="79"/>
      <c r="M541" s="79"/>
      <c r="R541" s="79"/>
      <c r="S541" s="79"/>
      <c r="V541" s="79"/>
      <c r="W541" s="79"/>
      <c r="Z541" s="130"/>
      <c r="AB541" s="106"/>
    </row>
    <row r="542">
      <c r="C542" s="79"/>
      <c r="D542" s="79"/>
      <c r="E542" s="79"/>
      <c r="M542" s="79"/>
      <c r="R542" s="79"/>
      <c r="S542" s="79"/>
      <c r="V542" s="79"/>
      <c r="W542" s="79"/>
      <c r="Z542" s="130"/>
      <c r="AB542" s="106"/>
    </row>
    <row r="543">
      <c r="C543" s="79"/>
      <c r="D543" s="79"/>
      <c r="E543" s="79"/>
      <c r="M543" s="79"/>
      <c r="R543" s="79"/>
      <c r="S543" s="79"/>
      <c r="V543" s="79"/>
      <c r="W543" s="79"/>
      <c r="Z543" s="130"/>
      <c r="AB543" s="106"/>
    </row>
    <row r="544">
      <c r="C544" s="79"/>
      <c r="D544" s="79"/>
      <c r="E544" s="79"/>
      <c r="M544" s="79"/>
      <c r="R544" s="79"/>
      <c r="S544" s="79"/>
      <c r="V544" s="79"/>
      <c r="W544" s="79"/>
      <c r="Z544" s="130"/>
      <c r="AB544" s="106"/>
    </row>
    <row r="545">
      <c r="C545" s="79"/>
      <c r="D545" s="79"/>
      <c r="E545" s="79"/>
      <c r="M545" s="79"/>
      <c r="R545" s="79"/>
      <c r="S545" s="79"/>
      <c r="V545" s="79"/>
      <c r="W545" s="79"/>
      <c r="Z545" s="130"/>
      <c r="AB545" s="106"/>
    </row>
    <row r="546">
      <c r="C546" s="79"/>
      <c r="D546" s="79"/>
      <c r="E546" s="79"/>
      <c r="M546" s="79"/>
      <c r="R546" s="79"/>
      <c r="S546" s="79"/>
      <c r="V546" s="79"/>
      <c r="W546" s="79"/>
      <c r="Z546" s="130"/>
      <c r="AB546" s="106"/>
    </row>
    <row r="547">
      <c r="C547" s="79"/>
      <c r="D547" s="79"/>
      <c r="E547" s="79"/>
      <c r="M547" s="79"/>
      <c r="R547" s="79"/>
      <c r="S547" s="79"/>
      <c r="V547" s="79"/>
      <c r="W547" s="79"/>
      <c r="Z547" s="130"/>
      <c r="AB547" s="106"/>
    </row>
    <row r="548">
      <c r="C548" s="79"/>
      <c r="D548" s="79"/>
      <c r="E548" s="79"/>
      <c r="M548" s="79"/>
      <c r="R548" s="79"/>
      <c r="S548" s="79"/>
      <c r="V548" s="79"/>
      <c r="W548" s="79"/>
      <c r="Z548" s="130"/>
      <c r="AB548" s="106"/>
    </row>
    <row r="549">
      <c r="C549" s="79"/>
      <c r="D549" s="79"/>
      <c r="E549" s="79"/>
      <c r="M549" s="79"/>
      <c r="R549" s="79"/>
      <c r="S549" s="79"/>
      <c r="V549" s="79"/>
      <c r="W549" s="79"/>
      <c r="Z549" s="130"/>
      <c r="AB549" s="106"/>
    </row>
    <row r="550">
      <c r="C550" s="79"/>
      <c r="D550" s="79"/>
      <c r="E550" s="79"/>
      <c r="M550" s="79"/>
      <c r="R550" s="79"/>
      <c r="S550" s="79"/>
      <c r="V550" s="79"/>
      <c r="W550" s="79"/>
      <c r="Z550" s="130"/>
      <c r="AB550" s="106"/>
    </row>
    <row r="551">
      <c r="C551" s="79"/>
      <c r="D551" s="79"/>
      <c r="E551" s="79"/>
      <c r="M551" s="79"/>
      <c r="R551" s="79"/>
      <c r="S551" s="79"/>
      <c r="V551" s="79"/>
      <c r="W551" s="79"/>
      <c r="Z551" s="130"/>
      <c r="AB551" s="106"/>
    </row>
    <row r="552">
      <c r="C552" s="79"/>
      <c r="D552" s="79"/>
      <c r="E552" s="79"/>
      <c r="M552" s="79"/>
      <c r="R552" s="79"/>
      <c r="S552" s="79"/>
      <c r="V552" s="79"/>
      <c r="W552" s="79"/>
      <c r="Z552" s="130"/>
      <c r="AB552" s="106"/>
    </row>
    <row r="553">
      <c r="C553" s="79"/>
      <c r="D553" s="79"/>
      <c r="E553" s="79"/>
      <c r="M553" s="79"/>
      <c r="R553" s="79"/>
      <c r="S553" s="79"/>
      <c r="V553" s="79"/>
      <c r="W553" s="79"/>
      <c r="Z553" s="130"/>
      <c r="AB553" s="106"/>
    </row>
    <row r="554">
      <c r="C554" s="79"/>
      <c r="D554" s="79"/>
      <c r="E554" s="79"/>
      <c r="M554" s="79"/>
      <c r="R554" s="79"/>
      <c r="S554" s="79"/>
      <c r="V554" s="79"/>
      <c r="W554" s="79"/>
      <c r="Z554" s="130"/>
      <c r="AB554" s="106"/>
    </row>
    <row r="555">
      <c r="C555" s="79"/>
      <c r="D555" s="79"/>
      <c r="E555" s="79"/>
      <c r="M555" s="79"/>
      <c r="R555" s="79"/>
      <c r="S555" s="79"/>
      <c r="V555" s="79"/>
      <c r="W555" s="79"/>
      <c r="Z555" s="130"/>
      <c r="AB555" s="106"/>
    </row>
    <row r="556">
      <c r="C556" s="79"/>
      <c r="D556" s="79"/>
      <c r="E556" s="79"/>
      <c r="M556" s="79"/>
      <c r="R556" s="79"/>
      <c r="S556" s="79"/>
      <c r="V556" s="79"/>
      <c r="W556" s="79"/>
      <c r="Z556" s="130"/>
      <c r="AB556" s="106"/>
    </row>
    <row r="557">
      <c r="C557" s="79"/>
      <c r="D557" s="79"/>
      <c r="E557" s="79"/>
      <c r="M557" s="79"/>
      <c r="R557" s="79"/>
      <c r="S557" s="79"/>
      <c r="V557" s="79"/>
      <c r="W557" s="79"/>
      <c r="Z557" s="130"/>
      <c r="AB557" s="106"/>
    </row>
    <row r="558">
      <c r="C558" s="79"/>
      <c r="D558" s="79"/>
      <c r="E558" s="79"/>
      <c r="M558" s="79"/>
      <c r="R558" s="79"/>
      <c r="S558" s="79"/>
      <c r="V558" s="79"/>
      <c r="W558" s="79"/>
      <c r="Z558" s="130"/>
      <c r="AB558" s="106"/>
    </row>
    <row r="559">
      <c r="C559" s="79"/>
      <c r="D559" s="79"/>
      <c r="E559" s="79"/>
      <c r="M559" s="79"/>
      <c r="R559" s="79"/>
      <c r="S559" s="79"/>
      <c r="V559" s="79"/>
      <c r="W559" s="79"/>
      <c r="Z559" s="130"/>
      <c r="AB559" s="106"/>
    </row>
    <row r="560">
      <c r="C560" s="79"/>
      <c r="D560" s="79"/>
      <c r="E560" s="79"/>
      <c r="M560" s="79"/>
      <c r="R560" s="79"/>
      <c r="S560" s="79"/>
      <c r="V560" s="79"/>
      <c r="W560" s="79"/>
      <c r="Z560" s="130"/>
      <c r="AB560" s="106"/>
    </row>
    <row r="561">
      <c r="C561" s="79"/>
      <c r="D561" s="79"/>
      <c r="E561" s="79"/>
      <c r="M561" s="79"/>
      <c r="R561" s="79"/>
      <c r="S561" s="79"/>
      <c r="V561" s="79"/>
      <c r="W561" s="79"/>
      <c r="Z561" s="130"/>
      <c r="AB561" s="106"/>
    </row>
    <row r="562">
      <c r="C562" s="79"/>
      <c r="D562" s="79"/>
      <c r="E562" s="79"/>
      <c r="M562" s="79"/>
      <c r="R562" s="79"/>
      <c r="S562" s="79"/>
      <c r="V562" s="79"/>
      <c r="W562" s="79"/>
      <c r="Z562" s="130"/>
      <c r="AB562" s="106"/>
    </row>
    <row r="563">
      <c r="C563" s="79"/>
      <c r="D563" s="79"/>
      <c r="E563" s="79"/>
      <c r="M563" s="79"/>
      <c r="R563" s="79"/>
      <c r="S563" s="79"/>
      <c r="V563" s="79"/>
      <c r="W563" s="79"/>
      <c r="Z563" s="130"/>
      <c r="AB563" s="106"/>
    </row>
    <row r="564">
      <c r="C564" s="79"/>
      <c r="D564" s="79"/>
      <c r="E564" s="79"/>
      <c r="M564" s="79"/>
      <c r="R564" s="79"/>
      <c r="S564" s="79"/>
      <c r="V564" s="79"/>
      <c r="W564" s="79"/>
      <c r="Z564" s="130"/>
      <c r="AB564" s="106"/>
    </row>
    <row r="565">
      <c r="C565" s="79"/>
      <c r="D565" s="79"/>
      <c r="E565" s="79"/>
      <c r="M565" s="79"/>
      <c r="R565" s="79"/>
      <c r="S565" s="79"/>
      <c r="V565" s="79"/>
      <c r="W565" s="79"/>
      <c r="Z565" s="130"/>
      <c r="AB565" s="106"/>
    </row>
    <row r="566">
      <c r="C566" s="79"/>
      <c r="D566" s="79"/>
      <c r="E566" s="79"/>
      <c r="M566" s="79"/>
      <c r="R566" s="79"/>
      <c r="S566" s="79"/>
      <c r="V566" s="79"/>
      <c r="W566" s="79"/>
      <c r="Z566" s="130"/>
      <c r="AB566" s="106"/>
    </row>
    <row r="567">
      <c r="C567" s="79"/>
      <c r="D567" s="79"/>
      <c r="E567" s="79"/>
      <c r="M567" s="79"/>
      <c r="R567" s="79"/>
      <c r="S567" s="79"/>
      <c r="V567" s="79"/>
      <c r="W567" s="79"/>
      <c r="Z567" s="130"/>
      <c r="AB567" s="106"/>
    </row>
    <row r="568">
      <c r="C568" s="79"/>
      <c r="D568" s="79"/>
      <c r="E568" s="79"/>
      <c r="M568" s="79"/>
      <c r="R568" s="79"/>
      <c r="S568" s="79"/>
      <c r="V568" s="79"/>
      <c r="W568" s="79"/>
      <c r="Z568" s="130"/>
      <c r="AB568" s="106"/>
    </row>
    <row r="569">
      <c r="C569" s="79"/>
      <c r="D569" s="79"/>
      <c r="E569" s="79"/>
      <c r="M569" s="79"/>
      <c r="R569" s="79"/>
      <c r="S569" s="79"/>
      <c r="V569" s="79"/>
      <c r="W569" s="79"/>
      <c r="Z569" s="130"/>
      <c r="AB569" s="106"/>
    </row>
    <row r="570">
      <c r="C570" s="79"/>
      <c r="D570" s="79"/>
      <c r="E570" s="79"/>
      <c r="M570" s="79"/>
      <c r="R570" s="79"/>
      <c r="S570" s="79"/>
      <c r="V570" s="79"/>
      <c r="W570" s="79"/>
      <c r="Z570" s="130"/>
      <c r="AB570" s="106"/>
    </row>
    <row r="571">
      <c r="C571" s="79"/>
      <c r="D571" s="79"/>
      <c r="E571" s="79"/>
      <c r="M571" s="79"/>
      <c r="R571" s="79"/>
      <c r="S571" s="79"/>
      <c r="V571" s="79"/>
      <c r="W571" s="79"/>
      <c r="Z571" s="130"/>
      <c r="AB571" s="106"/>
    </row>
    <row r="572">
      <c r="C572" s="79"/>
      <c r="D572" s="79"/>
      <c r="E572" s="79"/>
      <c r="M572" s="79"/>
      <c r="R572" s="79"/>
      <c r="S572" s="79"/>
      <c r="V572" s="79"/>
      <c r="W572" s="79"/>
      <c r="Z572" s="130"/>
      <c r="AB572" s="106"/>
    </row>
    <row r="573">
      <c r="C573" s="79"/>
      <c r="D573" s="79"/>
      <c r="E573" s="79"/>
      <c r="M573" s="79"/>
      <c r="R573" s="79"/>
      <c r="S573" s="79"/>
      <c r="V573" s="79"/>
      <c r="W573" s="79"/>
      <c r="Z573" s="130"/>
      <c r="AB573" s="106"/>
    </row>
    <row r="574">
      <c r="C574" s="79"/>
      <c r="D574" s="79"/>
      <c r="E574" s="79"/>
      <c r="M574" s="79"/>
      <c r="R574" s="79"/>
      <c r="S574" s="79"/>
      <c r="V574" s="79"/>
      <c r="W574" s="79"/>
      <c r="Z574" s="130"/>
      <c r="AB574" s="106"/>
    </row>
    <row r="575">
      <c r="C575" s="79"/>
      <c r="D575" s="79"/>
      <c r="E575" s="79"/>
      <c r="M575" s="79"/>
      <c r="R575" s="79"/>
      <c r="S575" s="79"/>
      <c r="V575" s="79"/>
      <c r="W575" s="79"/>
      <c r="Z575" s="130"/>
      <c r="AB575" s="106"/>
    </row>
    <row r="576">
      <c r="C576" s="79"/>
      <c r="D576" s="79"/>
      <c r="E576" s="79"/>
      <c r="M576" s="79"/>
      <c r="R576" s="79"/>
      <c r="S576" s="79"/>
      <c r="V576" s="79"/>
      <c r="W576" s="79"/>
      <c r="Z576" s="130"/>
      <c r="AB576" s="106"/>
    </row>
    <row r="577">
      <c r="C577" s="79"/>
      <c r="D577" s="79"/>
      <c r="E577" s="79"/>
      <c r="M577" s="79"/>
      <c r="R577" s="79"/>
      <c r="S577" s="79"/>
      <c r="V577" s="79"/>
      <c r="W577" s="79"/>
      <c r="Z577" s="130"/>
      <c r="AB577" s="106"/>
    </row>
    <row r="578">
      <c r="C578" s="79"/>
      <c r="D578" s="79"/>
      <c r="E578" s="79"/>
      <c r="M578" s="79"/>
      <c r="R578" s="79"/>
      <c r="S578" s="79"/>
      <c r="V578" s="79"/>
      <c r="W578" s="79"/>
      <c r="Z578" s="130"/>
      <c r="AB578" s="106"/>
    </row>
    <row r="579">
      <c r="C579" s="79"/>
      <c r="D579" s="79"/>
      <c r="E579" s="79"/>
      <c r="M579" s="79"/>
      <c r="R579" s="79"/>
      <c r="S579" s="79"/>
      <c r="V579" s="79"/>
      <c r="W579" s="79"/>
      <c r="Z579" s="130"/>
      <c r="AB579" s="106"/>
    </row>
    <row r="580">
      <c r="C580" s="79"/>
      <c r="D580" s="79"/>
      <c r="E580" s="79"/>
      <c r="M580" s="79"/>
      <c r="R580" s="79"/>
      <c r="S580" s="79"/>
      <c r="V580" s="79"/>
      <c r="W580" s="79"/>
      <c r="Z580" s="130"/>
      <c r="AB580" s="106"/>
    </row>
    <row r="581">
      <c r="C581" s="79"/>
      <c r="D581" s="79"/>
      <c r="E581" s="79"/>
      <c r="M581" s="79"/>
      <c r="R581" s="79"/>
      <c r="S581" s="79"/>
      <c r="V581" s="79"/>
      <c r="W581" s="79"/>
      <c r="Z581" s="130"/>
      <c r="AB581" s="106"/>
    </row>
    <row r="582">
      <c r="C582" s="79"/>
      <c r="D582" s="79"/>
      <c r="E582" s="79"/>
      <c r="M582" s="79"/>
      <c r="R582" s="79"/>
      <c r="S582" s="79"/>
      <c r="V582" s="79"/>
      <c r="W582" s="79"/>
      <c r="Z582" s="130"/>
      <c r="AB582" s="106"/>
    </row>
    <row r="583">
      <c r="C583" s="79"/>
      <c r="D583" s="79"/>
      <c r="E583" s="79"/>
      <c r="M583" s="79"/>
      <c r="R583" s="79"/>
      <c r="S583" s="79"/>
      <c r="V583" s="79"/>
      <c r="W583" s="79"/>
      <c r="Z583" s="130"/>
      <c r="AB583" s="106"/>
    </row>
    <row r="584">
      <c r="C584" s="79"/>
      <c r="D584" s="79"/>
      <c r="E584" s="79"/>
      <c r="M584" s="79"/>
      <c r="R584" s="79"/>
      <c r="S584" s="79"/>
      <c r="V584" s="79"/>
      <c r="W584" s="79"/>
      <c r="Z584" s="130"/>
      <c r="AB584" s="106"/>
    </row>
    <row r="585">
      <c r="C585" s="79"/>
      <c r="D585" s="79"/>
      <c r="E585" s="79"/>
      <c r="M585" s="79"/>
      <c r="R585" s="79"/>
      <c r="S585" s="79"/>
      <c r="V585" s="79"/>
      <c r="W585" s="79"/>
      <c r="Z585" s="130"/>
      <c r="AB585" s="106"/>
    </row>
    <row r="586">
      <c r="C586" s="79"/>
      <c r="D586" s="79"/>
      <c r="E586" s="79"/>
      <c r="M586" s="79"/>
      <c r="R586" s="79"/>
      <c r="S586" s="79"/>
      <c r="V586" s="79"/>
      <c r="W586" s="79"/>
      <c r="Z586" s="130"/>
      <c r="AB586" s="106"/>
    </row>
    <row r="587">
      <c r="C587" s="79"/>
      <c r="D587" s="79"/>
      <c r="E587" s="79"/>
      <c r="M587" s="79"/>
      <c r="R587" s="79"/>
      <c r="S587" s="79"/>
      <c r="V587" s="79"/>
      <c r="W587" s="79"/>
      <c r="Z587" s="130"/>
      <c r="AB587" s="106"/>
    </row>
    <row r="588">
      <c r="C588" s="79"/>
      <c r="D588" s="79"/>
      <c r="E588" s="79"/>
      <c r="M588" s="79"/>
      <c r="R588" s="79"/>
      <c r="S588" s="79"/>
      <c r="V588" s="79"/>
      <c r="W588" s="79"/>
      <c r="Z588" s="130"/>
      <c r="AB588" s="106"/>
    </row>
    <row r="589">
      <c r="C589" s="79"/>
      <c r="D589" s="79"/>
      <c r="E589" s="79"/>
      <c r="M589" s="79"/>
      <c r="R589" s="79"/>
      <c r="S589" s="79"/>
      <c r="V589" s="79"/>
      <c r="W589" s="79"/>
      <c r="Z589" s="130"/>
      <c r="AB589" s="106"/>
    </row>
    <row r="590">
      <c r="C590" s="79"/>
      <c r="D590" s="79"/>
      <c r="E590" s="79"/>
      <c r="M590" s="79"/>
      <c r="R590" s="79"/>
      <c r="S590" s="79"/>
      <c r="V590" s="79"/>
      <c r="W590" s="79"/>
      <c r="Z590" s="130"/>
      <c r="AB590" s="106"/>
    </row>
    <row r="591">
      <c r="C591" s="79"/>
      <c r="D591" s="79"/>
      <c r="E591" s="79"/>
      <c r="M591" s="79"/>
      <c r="R591" s="79"/>
      <c r="S591" s="79"/>
      <c r="V591" s="79"/>
      <c r="W591" s="79"/>
      <c r="Z591" s="130"/>
      <c r="AB591" s="106"/>
    </row>
    <row r="592">
      <c r="C592" s="79"/>
      <c r="D592" s="79"/>
      <c r="E592" s="79"/>
      <c r="M592" s="79"/>
      <c r="R592" s="79"/>
      <c r="S592" s="79"/>
      <c r="V592" s="79"/>
      <c r="W592" s="79"/>
      <c r="Z592" s="130"/>
      <c r="AB592" s="106"/>
    </row>
    <row r="593">
      <c r="C593" s="79"/>
      <c r="D593" s="79"/>
      <c r="E593" s="79"/>
      <c r="M593" s="79"/>
      <c r="R593" s="79"/>
      <c r="S593" s="79"/>
      <c r="V593" s="79"/>
      <c r="W593" s="79"/>
      <c r="Z593" s="130"/>
      <c r="AB593" s="106"/>
    </row>
    <row r="594">
      <c r="C594" s="79"/>
      <c r="D594" s="79"/>
      <c r="E594" s="79"/>
      <c r="M594" s="79"/>
      <c r="R594" s="79"/>
      <c r="S594" s="79"/>
      <c r="V594" s="79"/>
      <c r="W594" s="79"/>
      <c r="Z594" s="130"/>
      <c r="AB594" s="106"/>
    </row>
    <row r="595">
      <c r="C595" s="79"/>
      <c r="D595" s="79"/>
      <c r="E595" s="79"/>
      <c r="M595" s="79"/>
      <c r="R595" s="79"/>
      <c r="S595" s="79"/>
      <c r="V595" s="79"/>
      <c r="W595" s="79"/>
      <c r="Z595" s="130"/>
      <c r="AB595" s="106"/>
    </row>
    <row r="596">
      <c r="C596" s="79"/>
      <c r="D596" s="79"/>
      <c r="E596" s="79"/>
      <c r="M596" s="79"/>
      <c r="R596" s="79"/>
      <c r="S596" s="79"/>
      <c r="V596" s="79"/>
      <c r="W596" s="79"/>
      <c r="Z596" s="130"/>
      <c r="AB596" s="106"/>
    </row>
    <row r="597">
      <c r="C597" s="79"/>
      <c r="D597" s="79"/>
      <c r="E597" s="79"/>
      <c r="M597" s="79"/>
      <c r="R597" s="79"/>
      <c r="S597" s="79"/>
      <c r="V597" s="79"/>
      <c r="W597" s="79"/>
      <c r="Z597" s="130"/>
      <c r="AB597" s="106"/>
    </row>
    <row r="598">
      <c r="C598" s="79"/>
      <c r="D598" s="79"/>
      <c r="E598" s="79"/>
      <c r="M598" s="79"/>
      <c r="R598" s="79"/>
      <c r="S598" s="79"/>
      <c r="V598" s="79"/>
      <c r="W598" s="79"/>
      <c r="Z598" s="130"/>
      <c r="AB598" s="106"/>
    </row>
    <row r="599">
      <c r="C599" s="79"/>
      <c r="D599" s="79"/>
      <c r="E599" s="79"/>
      <c r="M599" s="79"/>
      <c r="R599" s="79"/>
      <c r="S599" s="79"/>
      <c r="V599" s="79"/>
      <c r="W599" s="79"/>
      <c r="Z599" s="130"/>
      <c r="AB599" s="106"/>
    </row>
    <row r="600">
      <c r="C600" s="79"/>
      <c r="D600" s="79"/>
      <c r="E600" s="79"/>
      <c r="M600" s="79"/>
      <c r="R600" s="79"/>
      <c r="S600" s="79"/>
      <c r="V600" s="79"/>
      <c r="W600" s="79"/>
      <c r="Z600" s="130"/>
      <c r="AB600" s="106"/>
    </row>
    <row r="601">
      <c r="C601" s="79"/>
      <c r="D601" s="79"/>
      <c r="E601" s="79"/>
      <c r="M601" s="79"/>
      <c r="R601" s="79"/>
      <c r="S601" s="79"/>
      <c r="V601" s="79"/>
      <c r="W601" s="79"/>
      <c r="Z601" s="130"/>
      <c r="AB601" s="106"/>
    </row>
    <row r="602">
      <c r="C602" s="79"/>
      <c r="D602" s="79"/>
      <c r="E602" s="79"/>
      <c r="M602" s="79"/>
      <c r="R602" s="79"/>
      <c r="S602" s="79"/>
      <c r="V602" s="79"/>
      <c r="W602" s="79"/>
      <c r="Z602" s="130"/>
      <c r="AB602" s="106"/>
    </row>
    <row r="603">
      <c r="C603" s="79"/>
      <c r="D603" s="79"/>
      <c r="E603" s="79"/>
      <c r="M603" s="79"/>
      <c r="R603" s="79"/>
      <c r="S603" s="79"/>
      <c r="V603" s="79"/>
      <c r="W603" s="79"/>
      <c r="Z603" s="130"/>
      <c r="AB603" s="106"/>
    </row>
    <row r="604">
      <c r="C604" s="79"/>
      <c r="D604" s="79"/>
      <c r="E604" s="79"/>
      <c r="M604" s="79"/>
      <c r="R604" s="79"/>
      <c r="S604" s="79"/>
      <c r="V604" s="79"/>
      <c r="W604" s="79"/>
      <c r="Z604" s="130"/>
      <c r="AB604" s="106"/>
    </row>
    <row r="605">
      <c r="C605" s="79"/>
      <c r="D605" s="79"/>
      <c r="E605" s="79"/>
      <c r="M605" s="79"/>
      <c r="R605" s="79"/>
      <c r="S605" s="79"/>
      <c r="V605" s="79"/>
      <c r="W605" s="79"/>
      <c r="Z605" s="130"/>
      <c r="AB605" s="106"/>
    </row>
    <row r="606">
      <c r="C606" s="79"/>
      <c r="D606" s="79"/>
      <c r="E606" s="79"/>
      <c r="M606" s="79"/>
      <c r="R606" s="79"/>
      <c r="S606" s="79"/>
      <c r="V606" s="79"/>
      <c r="W606" s="79"/>
      <c r="Z606" s="130"/>
      <c r="AB606" s="106"/>
    </row>
    <row r="607">
      <c r="C607" s="79"/>
      <c r="D607" s="79"/>
      <c r="E607" s="79"/>
      <c r="M607" s="79"/>
      <c r="R607" s="79"/>
      <c r="S607" s="79"/>
      <c r="V607" s="79"/>
      <c r="W607" s="79"/>
      <c r="Z607" s="130"/>
      <c r="AB607" s="106"/>
    </row>
    <row r="608">
      <c r="C608" s="79"/>
      <c r="D608" s="79"/>
      <c r="E608" s="79"/>
      <c r="M608" s="79"/>
      <c r="R608" s="79"/>
      <c r="S608" s="79"/>
      <c r="V608" s="79"/>
      <c r="W608" s="79"/>
      <c r="Z608" s="130"/>
      <c r="AB608" s="106"/>
    </row>
    <row r="609">
      <c r="C609" s="79"/>
      <c r="D609" s="79"/>
      <c r="E609" s="79"/>
      <c r="M609" s="79"/>
      <c r="R609" s="79"/>
      <c r="S609" s="79"/>
      <c r="V609" s="79"/>
      <c r="W609" s="79"/>
      <c r="Z609" s="130"/>
      <c r="AB609" s="106"/>
    </row>
    <row r="610">
      <c r="C610" s="79"/>
      <c r="D610" s="79"/>
      <c r="E610" s="79"/>
      <c r="M610" s="79"/>
      <c r="R610" s="79"/>
      <c r="S610" s="79"/>
      <c r="V610" s="79"/>
      <c r="W610" s="79"/>
      <c r="Z610" s="130"/>
      <c r="AB610" s="106"/>
    </row>
    <row r="611">
      <c r="C611" s="79"/>
      <c r="D611" s="79"/>
      <c r="E611" s="79"/>
      <c r="M611" s="79"/>
      <c r="R611" s="79"/>
      <c r="S611" s="79"/>
      <c r="V611" s="79"/>
      <c r="W611" s="79"/>
      <c r="Z611" s="130"/>
      <c r="AB611" s="106"/>
    </row>
    <row r="612">
      <c r="C612" s="79"/>
      <c r="D612" s="79"/>
      <c r="E612" s="79"/>
      <c r="M612" s="79"/>
      <c r="R612" s="79"/>
      <c r="S612" s="79"/>
      <c r="V612" s="79"/>
      <c r="W612" s="79"/>
      <c r="Z612" s="130"/>
      <c r="AB612" s="106"/>
    </row>
    <row r="613">
      <c r="C613" s="79"/>
      <c r="D613" s="79"/>
      <c r="E613" s="79"/>
      <c r="M613" s="79"/>
      <c r="R613" s="79"/>
      <c r="S613" s="79"/>
      <c r="V613" s="79"/>
      <c r="W613" s="79"/>
      <c r="Z613" s="130"/>
      <c r="AB613" s="106"/>
    </row>
    <row r="614">
      <c r="C614" s="79"/>
      <c r="D614" s="79"/>
      <c r="E614" s="79"/>
      <c r="M614" s="79"/>
      <c r="R614" s="79"/>
      <c r="S614" s="79"/>
      <c r="V614" s="79"/>
      <c r="W614" s="79"/>
      <c r="Z614" s="130"/>
      <c r="AB614" s="106"/>
    </row>
    <row r="615">
      <c r="C615" s="79"/>
      <c r="D615" s="79"/>
      <c r="E615" s="79"/>
      <c r="M615" s="79"/>
      <c r="R615" s="79"/>
      <c r="S615" s="79"/>
      <c r="V615" s="79"/>
      <c r="W615" s="79"/>
      <c r="Z615" s="130"/>
      <c r="AB615" s="106"/>
    </row>
    <row r="616">
      <c r="C616" s="79"/>
      <c r="D616" s="79"/>
      <c r="E616" s="79"/>
      <c r="M616" s="79"/>
      <c r="R616" s="79"/>
      <c r="S616" s="79"/>
      <c r="V616" s="79"/>
      <c r="W616" s="79"/>
      <c r="Z616" s="130"/>
      <c r="AB616" s="106"/>
    </row>
    <row r="617">
      <c r="C617" s="79"/>
      <c r="D617" s="79"/>
      <c r="E617" s="79"/>
      <c r="M617" s="79"/>
      <c r="R617" s="79"/>
      <c r="S617" s="79"/>
      <c r="V617" s="79"/>
      <c r="W617" s="79"/>
      <c r="Z617" s="130"/>
      <c r="AB617" s="106"/>
    </row>
    <row r="618">
      <c r="C618" s="79"/>
      <c r="D618" s="79"/>
      <c r="E618" s="79"/>
      <c r="M618" s="79"/>
      <c r="R618" s="79"/>
      <c r="S618" s="79"/>
      <c r="V618" s="79"/>
      <c r="W618" s="79"/>
      <c r="Z618" s="130"/>
      <c r="AB618" s="106"/>
    </row>
    <row r="619">
      <c r="C619" s="79"/>
      <c r="D619" s="79"/>
      <c r="E619" s="79"/>
      <c r="M619" s="79"/>
      <c r="R619" s="79"/>
      <c r="S619" s="79"/>
      <c r="V619" s="79"/>
      <c r="W619" s="79"/>
      <c r="Z619" s="130"/>
      <c r="AB619" s="106"/>
    </row>
    <row r="620">
      <c r="C620" s="79"/>
      <c r="D620" s="79"/>
      <c r="E620" s="79"/>
      <c r="M620" s="79"/>
      <c r="R620" s="79"/>
      <c r="S620" s="79"/>
      <c r="V620" s="79"/>
      <c r="W620" s="79"/>
      <c r="Z620" s="130"/>
      <c r="AB620" s="106"/>
    </row>
    <row r="621">
      <c r="C621" s="79"/>
      <c r="D621" s="79"/>
      <c r="E621" s="79"/>
      <c r="M621" s="79"/>
      <c r="R621" s="79"/>
      <c r="S621" s="79"/>
      <c r="V621" s="79"/>
      <c r="W621" s="79"/>
      <c r="Z621" s="130"/>
      <c r="AB621" s="106"/>
    </row>
    <row r="622">
      <c r="C622" s="79"/>
      <c r="D622" s="79"/>
      <c r="E622" s="79"/>
      <c r="M622" s="79"/>
      <c r="R622" s="79"/>
      <c r="S622" s="79"/>
      <c r="V622" s="79"/>
      <c r="W622" s="79"/>
      <c r="Z622" s="130"/>
      <c r="AB622" s="106"/>
    </row>
    <row r="623">
      <c r="C623" s="79"/>
      <c r="D623" s="79"/>
      <c r="E623" s="79"/>
      <c r="M623" s="79"/>
      <c r="R623" s="79"/>
      <c r="S623" s="79"/>
      <c r="V623" s="79"/>
      <c r="W623" s="79"/>
      <c r="Z623" s="130"/>
      <c r="AB623" s="106"/>
    </row>
    <row r="624">
      <c r="C624" s="79"/>
      <c r="D624" s="79"/>
      <c r="E624" s="79"/>
      <c r="M624" s="79"/>
      <c r="R624" s="79"/>
      <c r="S624" s="79"/>
      <c r="V624" s="79"/>
      <c r="W624" s="79"/>
      <c r="Z624" s="130"/>
      <c r="AB624" s="106"/>
    </row>
    <row r="625">
      <c r="C625" s="79"/>
      <c r="D625" s="79"/>
      <c r="E625" s="79"/>
      <c r="M625" s="79"/>
      <c r="R625" s="79"/>
      <c r="S625" s="79"/>
      <c r="V625" s="79"/>
      <c r="W625" s="79"/>
      <c r="Z625" s="130"/>
      <c r="AB625" s="106"/>
    </row>
    <row r="626">
      <c r="C626" s="79"/>
      <c r="D626" s="79"/>
      <c r="E626" s="79"/>
      <c r="M626" s="79"/>
      <c r="R626" s="79"/>
      <c r="S626" s="79"/>
      <c r="V626" s="79"/>
      <c r="W626" s="79"/>
      <c r="Z626" s="130"/>
      <c r="AB626" s="106"/>
    </row>
    <row r="627">
      <c r="C627" s="79"/>
      <c r="D627" s="79"/>
      <c r="E627" s="79"/>
      <c r="M627" s="79"/>
      <c r="R627" s="79"/>
      <c r="S627" s="79"/>
      <c r="V627" s="79"/>
      <c r="W627" s="79"/>
      <c r="Z627" s="130"/>
      <c r="AB627" s="106"/>
    </row>
    <row r="628">
      <c r="C628" s="79"/>
      <c r="D628" s="79"/>
      <c r="E628" s="79"/>
      <c r="M628" s="79"/>
      <c r="R628" s="79"/>
      <c r="S628" s="79"/>
      <c r="V628" s="79"/>
      <c r="W628" s="79"/>
      <c r="Z628" s="130"/>
      <c r="AB628" s="106"/>
    </row>
    <row r="629">
      <c r="C629" s="79"/>
      <c r="D629" s="79"/>
      <c r="E629" s="79"/>
      <c r="M629" s="79"/>
      <c r="R629" s="79"/>
      <c r="S629" s="79"/>
      <c r="V629" s="79"/>
      <c r="W629" s="79"/>
      <c r="Z629" s="130"/>
      <c r="AB629" s="106"/>
    </row>
    <row r="630">
      <c r="C630" s="79"/>
      <c r="D630" s="79"/>
      <c r="E630" s="79"/>
      <c r="M630" s="79"/>
      <c r="R630" s="79"/>
      <c r="S630" s="79"/>
      <c r="V630" s="79"/>
      <c r="W630" s="79"/>
      <c r="Z630" s="130"/>
      <c r="AB630" s="106"/>
    </row>
    <row r="631">
      <c r="C631" s="79"/>
      <c r="D631" s="79"/>
      <c r="E631" s="79"/>
      <c r="M631" s="79"/>
      <c r="R631" s="79"/>
      <c r="S631" s="79"/>
      <c r="V631" s="79"/>
      <c r="W631" s="79"/>
      <c r="Z631" s="130"/>
      <c r="AB631" s="106"/>
    </row>
    <row r="632">
      <c r="C632" s="79"/>
      <c r="D632" s="79"/>
      <c r="E632" s="79"/>
      <c r="M632" s="79"/>
      <c r="R632" s="79"/>
      <c r="S632" s="79"/>
      <c r="V632" s="79"/>
      <c r="W632" s="79"/>
      <c r="Z632" s="130"/>
      <c r="AB632" s="106"/>
    </row>
    <row r="633">
      <c r="C633" s="79"/>
      <c r="D633" s="79"/>
      <c r="E633" s="79"/>
      <c r="M633" s="79"/>
      <c r="R633" s="79"/>
      <c r="S633" s="79"/>
      <c r="V633" s="79"/>
      <c r="W633" s="79"/>
      <c r="Z633" s="130"/>
      <c r="AB633" s="106"/>
    </row>
    <row r="634">
      <c r="C634" s="79"/>
      <c r="D634" s="79"/>
      <c r="E634" s="79"/>
      <c r="M634" s="79"/>
      <c r="R634" s="79"/>
      <c r="S634" s="79"/>
      <c r="V634" s="79"/>
      <c r="W634" s="79"/>
      <c r="Z634" s="130"/>
      <c r="AB634" s="106"/>
    </row>
    <row r="635">
      <c r="C635" s="79"/>
      <c r="D635" s="79"/>
      <c r="E635" s="79"/>
      <c r="M635" s="79"/>
      <c r="R635" s="79"/>
      <c r="S635" s="79"/>
      <c r="V635" s="79"/>
      <c r="W635" s="79"/>
      <c r="Z635" s="130"/>
      <c r="AB635" s="106"/>
    </row>
    <row r="636">
      <c r="C636" s="79"/>
      <c r="D636" s="79"/>
      <c r="E636" s="79"/>
      <c r="M636" s="79"/>
      <c r="R636" s="79"/>
      <c r="S636" s="79"/>
      <c r="V636" s="79"/>
      <c r="W636" s="79"/>
      <c r="Z636" s="130"/>
      <c r="AB636" s="106"/>
    </row>
    <row r="637">
      <c r="C637" s="79"/>
      <c r="D637" s="79"/>
      <c r="E637" s="79"/>
      <c r="M637" s="79"/>
      <c r="R637" s="79"/>
      <c r="S637" s="79"/>
      <c r="V637" s="79"/>
      <c r="W637" s="79"/>
      <c r="Z637" s="130"/>
      <c r="AB637" s="106"/>
    </row>
    <row r="638">
      <c r="C638" s="79"/>
      <c r="D638" s="79"/>
      <c r="E638" s="79"/>
      <c r="M638" s="79"/>
      <c r="R638" s="79"/>
      <c r="S638" s="79"/>
      <c r="V638" s="79"/>
      <c r="W638" s="79"/>
      <c r="Z638" s="130"/>
      <c r="AB638" s="106"/>
    </row>
    <row r="639">
      <c r="C639" s="79"/>
      <c r="D639" s="79"/>
      <c r="E639" s="79"/>
      <c r="M639" s="79"/>
      <c r="R639" s="79"/>
      <c r="S639" s="79"/>
      <c r="V639" s="79"/>
      <c r="W639" s="79"/>
      <c r="Z639" s="130"/>
      <c r="AB639" s="106"/>
    </row>
    <row r="640">
      <c r="C640" s="79"/>
      <c r="D640" s="79"/>
      <c r="E640" s="79"/>
      <c r="M640" s="79"/>
      <c r="R640" s="79"/>
      <c r="S640" s="79"/>
      <c r="V640" s="79"/>
      <c r="W640" s="79"/>
      <c r="Z640" s="130"/>
      <c r="AB640" s="106"/>
    </row>
    <row r="641">
      <c r="C641" s="79"/>
      <c r="D641" s="79"/>
      <c r="E641" s="79"/>
      <c r="M641" s="79"/>
      <c r="R641" s="79"/>
      <c r="S641" s="79"/>
      <c r="V641" s="79"/>
      <c r="W641" s="79"/>
      <c r="Z641" s="130"/>
      <c r="AB641" s="106"/>
    </row>
    <row r="642">
      <c r="C642" s="79"/>
      <c r="D642" s="79"/>
      <c r="E642" s="79"/>
      <c r="M642" s="79"/>
      <c r="R642" s="79"/>
      <c r="S642" s="79"/>
      <c r="V642" s="79"/>
      <c r="W642" s="79"/>
      <c r="Z642" s="130"/>
      <c r="AB642" s="106"/>
    </row>
    <row r="643">
      <c r="C643" s="79"/>
      <c r="D643" s="79"/>
      <c r="E643" s="79"/>
      <c r="M643" s="79"/>
      <c r="R643" s="79"/>
      <c r="S643" s="79"/>
      <c r="V643" s="79"/>
      <c r="W643" s="79"/>
      <c r="Z643" s="130"/>
      <c r="AB643" s="106"/>
    </row>
    <row r="644">
      <c r="C644" s="79"/>
      <c r="D644" s="79"/>
      <c r="E644" s="79"/>
      <c r="M644" s="79"/>
      <c r="R644" s="79"/>
      <c r="S644" s="79"/>
      <c r="V644" s="79"/>
      <c r="W644" s="79"/>
      <c r="Z644" s="130"/>
      <c r="AB644" s="106"/>
    </row>
    <row r="645">
      <c r="C645" s="79"/>
      <c r="D645" s="79"/>
      <c r="E645" s="79"/>
      <c r="M645" s="79"/>
      <c r="R645" s="79"/>
      <c r="S645" s="79"/>
      <c r="V645" s="79"/>
      <c r="W645" s="79"/>
      <c r="Z645" s="130"/>
      <c r="AB645" s="106"/>
    </row>
    <row r="646">
      <c r="C646" s="79"/>
      <c r="D646" s="79"/>
      <c r="E646" s="79"/>
      <c r="M646" s="79"/>
      <c r="R646" s="79"/>
      <c r="S646" s="79"/>
      <c r="V646" s="79"/>
      <c r="W646" s="79"/>
      <c r="Z646" s="130"/>
      <c r="AB646" s="106"/>
    </row>
    <row r="647">
      <c r="C647" s="79"/>
      <c r="D647" s="79"/>
      <c r="E647" s="79"/>
      <c r="M647" s="79"/>
      <c r="R647" s="79"/>
      <c r="S647" s="79"/>
      <c r="V647" s="79"/>
      <c r="W647" s="79"/>
      <c r="Z647" s="130"/>
      <c r="AB647" s="106"/>
    </row>
    <row r="648">
      <c r="C648" s="79"/>
      <c r="D648" s="79"/>
      <c r="E648" s="79"/>
      <c r="M648" s="79"/>
      <c r="R648" s="79"/>
      <c r="S648" s="79"/>
      <c r="V648" s="79"/>
      <c r="W648" s="79"/>
      <c r="Z648" s="130"/>
      <c r="AB648" s="106"/>
    </row>
    <row r="649">
      <c r="C649" s="79"/>
      <c r="D649" s="79"/>
      <c r="E649" s="79"/>
      <c r="M649" s="79"/>
      <c r="R649" s="79"/>
      <c r="S649" s="79"/>
      <c r="V649" s="79"/>
      <c r="W649" s="79"/>
      <c r="Z649" s="130"/>
      <c r="AB649" s="106"/>
    </row>
    <row r="650">
      <c r="C650" s="79"/>
      <c r="D650" s="79"/>
      <c r="E650" s="79"/>
      <c r="M650" s="79"/>
      <c r="R650" s="79"/>
      <c r="S650" s="79"/>
      <c r="V650" s="79"/>
      <c r="W650" s="79"/>
      <c r="Z650" s="130"/>
      <c r="AB650" s="106"/>
    </row>
    <row r="651">
      <c r="C651" s="79"/>
      <c r="D651" s="79"/>
      <c r="E651" s="79"/>
      <c r="M651" s="79"/>
      <c r="R651" s="79"/>
      <c r="S651" s="79"/>
      <c r="V651" s="79"/>
      <c r="W651" s="79"/>
      <c r="Z651" s="130"/>
      <c r="AB651" s="106"/>
    </row>
    <row r="652">
      <c r="C652" s="79"/>
      <c r="D652" s="79"/>
      <c r="E652" s="79"/>
      <c r="M652" s="79"/>
      <c r="R652" s="79"/>
      <c r="S652" s="79"/>
      <c r="V652" s="79"/>
      <c r="W652" s="79"/>
      <c r="Z652" s="130"/>
      <c r="AB652" s="106"/>
    </row>
    <row r="653">
      <c r="C653" s="79"/>
      <c r="D653" s="79"/>
      <c r="E653" s="79"/>
      <c r="M653" s="79"/>
      <c r="R653" s="79"/>
      <c r="S653" s="79"/>
      <c r="V653" s="79"/>
      <c r="W653" s="79"/>
      <c r="Z653" s="130"/>
      <c r="AB653" s="106"/>
    </row>
    <row r="654">
      <c r="C654" s="79"/>
      <c r="D654" s="79"/>
      <c r="E654" s="79"/>
      <c r="M654" s="79"/>
      <c r="R654" s="79"/>
      <c r="S654" s="79"/>
      <c r="V654" s="79"/>
      <c r="W654" s="79"/>
      <c r="Z654" s="130"/>
      <c r="AB654" s="106"/>
    </row>
    <row r="655">
      <c r="C655" s="79"/>
      <c r="D655" s="79"/>
      <c r="E655" s="79"/>
      <c r="M655" s="79"/>
      <c r="R655" s="79"/>
      <c r="S655" s="79"/>
      <c r="V655" s="79"/>
      <c r="W655" s="79"/>
      <c r="Z655" s="130"/>
      <c r="AB655" s="106"/>
    </row>
    <row r="656">
      <c r="C656" s="79"/>
      <c r="D656" s="79"/>
      <c r="E656" s="79"/>
      <c r="M656" s="79"/>
      <c r="R656" s="79"/>
      <c r="S656" s="79"/>
      <c r="V656" s="79"/>
      <c r="W656" s="79"/>
      <c r="Z656" s="130"/>
      <c r="AB656" s="106"/>
    </row>
    <row r="657">
      <c r="C657" s="79"/>
      <c r="D657" s="79"/>
      <c r="E657" s="79"/>
      <c r="M657" s="79"/>
      <c r="R657" s="79"/>
      <c r="S657" s="79"/>
      <c r="V657" s="79"/>
      <c r="W657" s="79"/>
      <c r="Z657" s="130"/>
      <c r="AB657" s="106"/>
    </row>
    <row r="658">
      <c r="C658" s="79"/>
      <c r="D658" s="79"/>
      <c r="E658" s="79"/>
      <c r="M658" s="79"/>
      <c r="R658" s="79"/>
      <c r="S658" s="79"/>
      <c r="V658" s="79"/>
      <c r="W658" s="79"/>
      <c r="Z658" s="130"/>
      <c r="AB658" s="106"/>
    </row>
    <row r="659">
      <c r="C659" s="79"/>
      <c r="D659" s="79"/>
      <c r="E659" s="79"/>
      <c r="M659" s="79"/>
      <c r="R659" s="79"/>
      <c r="S659" s="79"/>
      <c r="V659" s="79"/>
      <c r="W659" s="79"/>
      <c r="Z659" s="130"/>
      <c r="AB659" s="106"/>
    </row>
    <row r="660">
      <c r="C660" s="79"/>
      <c r="D660" s="79"/>
      <c r="E660" s="79"/>
      <c r="M660" s="79"/>
      <c r="R660" s="79"/>
      <c r="S660" s="79"/>
      <c r="V660" s="79"/>
      <c r="W660" s="79"/>
      <c r="Z660" s="130"/>
      <c r="AB660" s="106"/>
    </row>
    <row r="661">
      <c r="C661" s="79"/>
      <c r="D661" s="79"/>
      <c r="E661" s="79"/>
      <c r="M661" s="79"/>
      <c r="R661" s="79"/>
      <c r="S661" s="79"/>
      <c r="V661" s="79"/>
      <c r="W661" s="79"/>
      <c r="Z661" s="130"/>
      <c r="AB661" s="106"/>
    </row>
    <row r="662">
      <c r="C662" s="79"/>
      <c r="D662" s="79"/>
      <c r="E662" s="79"/>
      <c r="M662" s="79"/>
      <c r="R662" s="79"/>
      <c r="S662" s="79"/>
      <c r="V662" s="79"/>
      <c r="W662" s="79"/>
      <c r="Z662" s="130"/>
      <c r="AB662" s="106"/>
    </row>
    <row r="663">
      <c r="C663" s="79"/>
      <c r="D663" s="79"/>
      <c r="E663" s="79"/>
      <c r="M663" s="79"/>
      <c r="R663" s="79"/>
      <c r="S663" s="79"/>
      <c r="V663" s="79"/>
      <c r="W663" s="79"/>
      <c r="Z663" s="130"/>
      <c r="AB663" s="106"/>
    </row>
    <row r="664">
      <c r="C664" s="79"/>
      <c r="D664" s="79"/>
      <c r="E664" s="79"/>
      <c r="M664" s="79"/>
      <c r="R664" s="79"/>
      <c r="S664" s="79"/>
      <c r="V664" s="79"/>
      <c r="W664" s="79"/>
      <c r="Z664" s="130"/>
      <c r="AB664" s="106"/>
    </row>
    <row r="665">
      <c r="C665" s="79"/>
      <c r="D665" s="79"/>
      <c r="E665" s="79"/>
      <c r="M665" s="79"/>
      <c r="R665" s="79"/>
      <c r="S665" s="79"/>
      <c r="V665" s="79"/>
      <c r="W665" s="79"/>
      <c r="Z665" s="130"/>
      <c r="AB665" s="106"/>
    </row>
    <row r="666">
      <c r="C666" s="79"/>
      <c r="D666" s="79"/>
      <c r="E666" s="79"/>
      <c r="M666" s="79"/>
      <c r="R666" s="79"/>
      <c r="S666" s="79"/>
      <c r="V666" s="79"/>
      <c r="W666" s="79"/>
      <c r="Z666" s="130"/>
      <c r="AB666" s="106"/>
    </row>
    <row r="667">
      <c r="C667" s="79"/>
      <c r="D667" s="79"/>
      <c r="E667" s="79"/>
      <c r="M667" s="79"/>
      <c r="R667" s="79"/>
      <c r="S667" s="79"/>
      <c r="V667" s="79"/>
      <c r="W667" s="79"/>
      <c r="Z667" s="130"/>
      <c r="AB667" s="106"/>
    </row>
    <row r="668">
      <c r="C668" s="79"/>
      <c r="D668" s="79"/>
      <c r="E668" s="79"/>
      <c r="M668" s="79"/>
      <c r="R668" s="79"/>
      <c r="S668" s="79"/>
      <c r="V668" s="79"/>
      <c r="W668" s="79"/>
      <c r="Z668" s="130"/>
      <c r="AB668" s="106"/>
    </row>
    <row r="669">
      <c r="C669" s="79"/>
      <c r="D669" s="79"/>
      <c r="E669" s="79"/>
      <c r="M669" s="79"/>
      <c r="R669" s="79"/>
      <c r="S669" s="79"/>
      <c r="V669" s="79"/>
      <c r="W669" s="79"/>
      <c r="Z669" s="130"/>
      <c r="AB669" s="106"/>
    </row>
    <row r="670">
      <c r="C670" s="79"/>
      <c r="D670" s="79"/>
      <c r="E670" s="79"/>
      <c r="M670" s="79"/>
      <c r="R670" s="79"/>
      <c r="S670" s="79"/>
      <c r="V670" s="79"/>
      <c r="W670" s="79"/>
      <c r="Z670" s="130"/>
      <c r="AB670" s="106"/>
    </row>
    <row r="671">
      <c r="C671" s="79"/>
      <c r="D671" s="79"/>
      <c r="E671" s="79"/>
      <c r="M671" s="79"/>
      <c r="R671" s="79"/>
      <c r="S671" s="79"/>
      <c r="V671" s="79"/>
      <c r="W671" s="79"/>
      <c r="Z671" s="130"/>
      <c r="AB671" s="106"/>
    </row>
    <row r="672">
      <c r="C672" s="79"/>
      <c r="D672" s="79"/>
      <c r="E672" s="79"/>
      <c r="M672" s="79"/>
      <c r="R672" s="79"/>
      <c r="S672" s="79"/>
      <c r="V672" s="79"/>
      <c r="W672" s="79"/>
      <c r="Z672" s="130"/>
      <c r="AB672" s="106"/>
    </row>
    <row r="673">
      <c r="C673" s="79"/>
      <c r="D673" s="79"/>
      <c r="E673" s="79"/>
      <c r="M673" s="79"/>
      <c r="R673" s="79"/>
      <c r="S673" s="79"/>
      <c r="V673" s="79"/>
      <c r="W673" s="79"/>
      <c r="Z673" s="130"/>
      <c r="AB673" s="106"/>
    </row>
    <row r="674">
      <c r="C674" s="79"/>
      <c r="D674" s="79"/>
      <c r="E674" s="79"/>
      <c r="M674" s="79"/>
      <c r="R674" s="79"/>
      <c r="S674" s="79"/>
      <c r="V674" s="79"/>
      <c r="W674" s="79"/>
      <c r="Z674" s="130"/>
      <c r="AB674" s="106"/>
    </row>
    <row r="675">
      <c r="C675" s="79"/>
      <c r="D675" s="79"/>
      <c r="E675" s="79"/>
      <c r="M675" s="79"/>
      <c r="R675" s="79"/>
      <c r="S675" s="79"/>
      <c r="V675" s="79"/>
      <c r="W675" s="79"/>
      <c r="Z675" s="130"/>
      <c r="AB675" s="106"/>
    </row>
    <row r="676">
      <c r="C676" s="79"/>
      <c r="D676" s="79"/>
      <c r="E676" s="79"/>
      <c r="M676" s="79"/>
      <c r="R676" s="79"/>
      <c r="S676" s="79"/>
      <c r="V676" s="79"/>
      <c r="W676" s="79"/>
      <c r="Z676" s="130"/>
      <c r="AB676" s="106"/>
    </row>
    <row r="677">
      <c r="C677" s="79"/>
      <c r="D677" s="79"/>
      <c r="E677" s="79"/>
      <c r="M677" s="79"/>
      <c r="R677" s="79"/>
      <c r="S677" s="79"/>
      <c r="V677" s="79"/>
      <c r="W677" s="79"/>
      <c r="Z677" s="130"/>
      <c r="AB677" s="106"/>
    </row>
    <row r="678">
      <c r="C678" s="79"/>
      <c r="D678" s="79"/>
      <c r="E678" s="79"/>
      <c r="M678" s="79"/>
      <c r="R678" s="79"/>
      <c r="S678" s="79"/>
      <c r="V678" s="79"/>
      <c r="W678" s="79"/>
      <c r="Z678" s="130"/>
      <c r="AB678" s="106"/>
    </row>
    <row r="679">
      <c r="C679" s="79"/>
      <c r="D679" s="79"/>
      <c r="E679" s="79"/>
      <c r="M679" s="79"/>
      <c r="R679" s="79"/>
      <c r="S679" s="79"/>
      <c r="V679" s="79"/>
      <c r="W679" s="79"/>
      <c r="Z679" s="130"/>
      <c r="AB679" s="106"/>
    </row>
    <row r="680">
      <c r="C680" s="79"/>
      <c r="D680" s="79"/>
      <c r="E680" s="79"/>
      <c r="M680" s="79"/>
      <c r="R680" s="79"/>
      <c r="S680" s="79"/>
      <c r="V680" s="79"/>
      <c r="W680" s="79"/>
      <c r="Z680" s="130"/>
      <c r="AB680" s="106"/>
    </row>
    <row r="681">
      <c r="C681" s="79"/>
      <c r="D681" s="79"/>
      <c r="E681" s="79"/>
      <c r="M681" s="79"/>
      <c r="R681" s="79"/>
      <c r="S681" s="79"/>
      <c r="V681" s="79"/>
      <c r="W681" s="79"/>
      <c r="Z681" s="130"/>
      <c r="AB681" s="106"/>
    </row>
    <row r="682">
      <c r="C682" s="79"/>
      <c r="D682" s="79"/>
      <c r="E682" s="79"/>
      <c r="M682" s="79"/>
      <c r="R682" s="79"/>
      <c r="S682" s="79"/>
      <c r="V682" s="79"/>
      <c r="W682" s="79"/>
      <c r="Z682" s="130"/>
      <c r="AB682" s="106"/>
    </row>
    <row r="683">
      <c r="C683" s="79"/>
      <c r="D683" s="79"/>
      <c r="E683" s="79"/>
      <c r="M683" s="79"/>
      <c r="R683" s="79"/>
      <c r="S683" s="79"/>
      <c r="V683" s="79"/>
      <c r="W683" s="79"/>
      <c r="Z683" s="130"/>
      <c r="AB683" s="106"/>
    </row>
    <row r="684">
      <c r="C684" s="79"/>
      <c r="D684" s="79"/>
      <c r="E684" s="79"/>
      <c r="M684" s="79"/>
      <c r="R684" s="79"/>
      <c r="S684" s="79"/>
      <c r="V684" s="79"/>
      <c r="W684" s="79"/>
      <c r="Z684" s="130"/>
      <c r="AB684" s="106"/>
    </row>
    <row r="685">
      <c r="C685" s="79"/>
      <c r="D685" s="79"/>
      <c r="E685" s="79"/>
      <c r="M685" s="79"/>
      <c r="R685" s="79"/>
      <c r="S685" s="79"/>
      <c r="V685" s="79"/>
      <c r="W685" s="79"/>
      <c r="Z685" s="130"/>
      <c r="AB685" s="106"/>
    </row>
    <row r="686">
      <c r="C686" s="79"/>
      <c r="D686" s="79"/>
      <c r="E686" s="79"/>
      <c r="M686" s="79"/>
      <c r="R686" s="79"/>
      <c r="S686" s="79"/>
      <c r="V686" s="79"/>
      <c r="W686" s="79"/>
      <c r="Z686" s="130"/>
      <c r="AB686" s="106"/>
    </row>
    <row r="687">
      <c r="C687" s="79"/>
      <c r="D687" s="79"/>
      <c r="E687" s="79"/>
      <c r="M687" s="79"/>
      <c r="R687" s="79"/>
      <c r="S687" s="79"/>
      <c r="V687" s="79"/>
      <c r="W687" s="79"/>
      <c r="Z687" s="130"/>
      <c r="AB687" s="106"/>
    </row>
    <row r="688">
      <c r="C688" s="79"/>
      <c r="D688" s="79"/>
      <c r="E688" s="79"/>
      <c r="M688" s="79"/>
      <c r="R688" s="79"/>
      <c r="S688" s="79"/>
      <c r="V688" s="79"/>
      <c r="W688" s="79"/>
      <c r="Z688" s="130"/>
      <c r="AB688" s="106"/>
    </row>
    <row r="689">
      <c r="C689" s="79"/>
      <c r="D689" s="79"/>
      <c r="E689" s="79"/>
      <c r="M689" s="79"/>
      <c r="R689" s="79"/>
      <c r="S689" s="79"/>
      <c r="V689" s="79"/>
      <c r="W689" s="79"/>
      <c r="Z689" s="130"/>
      <c r="AB689" s="106"/>
    </row>
    <row r="690">
      <c r="C690" s="79"/>
      <c r="D690" s="79"/>
      <c r="E690" s="79"/>
      <c r="M690" s="79"/>
      <c r="R690" s="79"/>
      <c r="S690" s="79"/>
      <c r="V690" s="79"/>
      <c r="W690" s="79"/>
      <c r="Z690" s="130"/>
      <c r="AB690" s="106"/>
    </row>
    <row r="691">
      <c r="C691" s="79"/>
      <c r="D691" s="79"/>
      <c r="E691" s="79"/>
      <c r="M691" s="79"/>
      <c r="R691" s="79"/>
      <c r="S691" s="79"/>
      <c r="V691" s="79"/>
      <c r="W691" s="79"/>
      <c r="Z691" s="130"/>
      <c r="AB691" s="106"/>
    </row>
    <row r="692">
      <c r="C692" s="79"/>
      <c r="D692" s="79"/>
      <c r="E692" s="79"/>
      <c r="M692" s="79"/>
      <c r="R692" s="79"/>
      <c r="S692" s="79"/>
      <c r="V692" s="79"/>
      <c r="W692" s="79"/>
      <c r="Z692" s="130"/>
      <c r="AB692" s="106"/>
    </row>
    <row r="693">
      <c r="C693" s="79"/>
      <c r="D693" s="79"/>
      <c r="E693" s="79"/>
      <c r="M693" s="79"/>
      <c r="R693" s="79"/>
      <c r="S693" s="79"/>
      <c r="V693" s="79"/>
      <c r="W693" s="79"/>
      <c r="Z693" s="130"/>
      <c r="AB693" s="106"/>
    </row>
    <row r="694">
      <c r="C694" s="79"/>
      <c r="D694" s="79"/>
      <c r="E694" s="79"/>
      <c r="M694" s="79"/>
      <c r="R694" s="79"/>
      <c r="S694" s="79"/>
      <c r="V694" s="79"/>
      <c r="W694" s="79"/>
      <c r="Z694" s="130"/>
      <c r="AB694" s="106"/>
    </row>
    <row r="695">
      <c r="C695" s="79"/>
      <c r="D695" s="79"/>
      <c r="E695" s="79"/>
      <c r="M695" s="79"/>
      <c r="R695" s="79"/>
      <c r="S695" s="79"/>
      <c r="V695" s="79"/>
      <c r="W695" s="79"/>
      <c r="Z695" s="130"/>
      <c r="AB695" s="106"/>
    </row>
    <row r="696">
      <c r="C696" s="79"/>
      <c r="D696" s="79"/>
      <c r="E696" s="79"/>
      <c r="M696" s="79"/>
      <c r="R696" s="79"/>
      <c r="S696" s="79"/>
      <c r="V696" s="79"/>
      <c r="W696" s="79"/>
      <c r="Z696" s="130"/>
      <c r="AB696" s="106"/>
    </row>
    <row r="697">
      <c r="C697" s="79"/>
      <c r="D697" s="79"/>
      <c r="E697" s="79"/>
      <c r="M697" s="79"/>
      <c r="R697" s="79"/>
      <c r="S697" s="79"/>
      <c r="V697" s="79"/>
      <c r="W697" s="79"/>
      <c r="Z697" s="130"/>
      <c r="AB697" s="106"/>
    </row>
    <row r="698">
      <c r="C698" s="79"/>
      <c r="D698" s="79"/>
      <c r="E698" s="79"/>
      <c r="M698" s="79"/>
      <c r="R698" s="79"/>
      <c r="S698" s="79"/>
      <c r="V698" s="79"/>
      <c r="W698" s="79"/>
      <c r="Z698" s="130"/>
      <c r="AB698" s="106"/>
    </row>
    <row r="699">
      <c r="C699" s="79"/>
      <c r="D699" s="79"/>
      <c r="E699" s="79"/>
      <c r="M699" s="79"/>
      <c r="R699" s="79"/>
      <c r="S699" s="79"/>
      <c r="V699" s="79"/>
      <c r="W699" s="79"/>
      <c r="Z699" s="130"/>
      <c r="AB699" s="106"/>
    </row>
    <row r="700">
      <c r="C700" s="79"/>
      <c r="D700" s="79"/>
      <c r="E700" s="79"/>
      <c r="M700" s="79"/>
      <c r="R700" s="79"/>
      <c r="S700" s="79"/>
      <c r="V700" s="79"/>
      <c r="W700" s="79"/>
      <c r="Z700" s="130"/>
      <c r="AB700" s="106"/>
    </row>
    <row r="701">
      <c r="C701" s="79"/>
      <c r="D701" s="79"/>
      <c r="E701" s="79"/>
      <c r="M701" s="79"/>
      <c r="R701" s="79"/>
      <c r="S701" s="79"/>
      <c r="V701" s="79"/>
      <c r="W701" s="79"/>
      <c r="Z701" s="130"/>
      <c r="AB701" s="106"/>
    </row>
    <row r="702">
      <c r="C702" s="79"/>
      <c r="D702" s="79"/>
      <c r="E702" s="79"/>
      <c r="M702" s="79"/>
      <c r="R702" s="79"/>
      <c r="S702" s="79"/>
      <c r="V702" s="79"/>
      <c r="W702" s="79"/>
      <c r="Z702" s="130"/>
      <c r="AB702" s="106"/>
    </row>
    <row r="703">
      <c r="C703" s="79"/>
      <c r="D703" s="79"/>
      <c r="E703" s="79"/>
      <c r="M703" s="79"/>
      <c r="R703" s="79"/>
      <c r="S703" s="79"/>
      <c r="V703" s="79"/>
      <c r="W703" s="79"/>
      <c r="Z703" s="130"/>
      <c r="AB703" s="106"/>
    </row>
    <row r="704">
      <c r="C704" s="79"/>
      <c r="D704" s="79"/>
      <c r="E704" s="79"/>
      <c r="M704" s="79"/>
      <c r="R704" s="79"/>
      <c r="S704" s="79"/>
      <c r="V704" s="79"/>
      <c r="W704" s="79"/>
      <c r="Z704" s="130"/>
      <c r="AB704" s="106"/>
    </row>
    <row r="705">
      <c r="C705" s="79"/>
      <c r="D705" s="79"/>
      <c r="E705" s="79"/>
      <c r="M705" s="79"/>
      <c r="R705" s="79"/>
      <c r="S705" s="79"/>
      <c r="V705" s="79"/>
      <c r="W705" s="79"/>
      <c r="Z705" s="130"/>
      <c r="AB705" s="106"/>
    </row>
    <row r="706">
      <c r="C706" s="79"/>
      <c r="D706" s="79"/>
      <c r="E706" s="79"/>
      <c r="M706" s="79"/>
      <c r="R706" s="79"/>
      <c r="S706" s="79"/>
      <c r="V706" s="79"/>
      <c r="W706" s="79"/>
      <c r="Z706" s="130"/>
      <c r="AB706" s="106"/>
    </row>
    <row r="707">
      <c r="C707" s="79"/>
      <c r="D707" s="79"/>
      <c r="E707" s="79"/>
      <c r="M707" s="79"/>
      <c r="R707" s="79"/>
      <c r="S707" s="79"/>
      <c r="V707" s="79"/>
      <c r="W707" s="79"/>
      <c r="Z707" s="130"/>
      <c r="AB707" s="106"/>
    </row>
    <row r="708">
      <c r="C708" s="79"/>
      <c r="D708" s="79"/>
      <c r="E708" s="79"/>
      <c r="M708" s="79"/>
      <c r="R708" s="79"/>
      <c r="S708" s="79"/>
      <c r="V708" s="79"/>
      <c r="W708" s="79"/>
      <c r="Z708" s="130"/>
      <c r="AB708" s="106"/>
    </row>
    <row r="709">
      <c r="C709" s="79"/>
      <c r="D709" s="79"/>
      <c r="E709" s="79"/>
      <c r="M709" s="79"/>
      <c r="R709" s="79"/>
      <c r="S709" s="79"/>
      <c r="V709" s="79"/>
      <c r="W709" s="79"/>
      <c r="Z709" s="130"/>
      <c r="AB709" s="106"/>
    </row>
    <row r="710">
      <c r="C710" s="79"/>
      <c r="D710" s="79"/>
      <c r="E710" s="79"/>
      <c r="M710" s="79"/>
      <c r="R710" s="79"/>
      <c r="S710" s="79"/>
      <c r="V710" s="79"/>
      <c r="W710" s="79"/>
      <c r="Z710" s="130"/>
      <c r="AB710" s="106"/>
    </row>
    <row r="711">
      <c r="C711" s="79"/>
      <c r="D711" s="79"/>
      <c r="E711" s="79"/>
      <c r="M711" s="79"/>
      <c r="R711" s="79"/>
      <c r="S711" s="79"/>
      <c r="V711" s="79"/>
      <c r="W711" s="79"/>
      <c r="Z711" s="130"/>
      <c r="AB711" s="106"/>
    </row>
    <row r="712">
      <c r="C712" s="79"/>
      <c r="D712" s="79"/>
      <c r="E712" s="79"/>
      <c r="M712" s="79"/>
      <c r="R712" s="79"/>
      <c r="S712" s="79"/>
      <c r="V712" s="79"/>
      <c r="W712" s="79"/>
      <c r="Z712" s="130"/>
      <c r="AB712" s="106"/>
    </row>
    <row r="713">
      <c r="C713" s="79"/>
      <c r="D713" s="79"/>
      <c r="E713" s="79"/>
      <c r="M713" s="79"/>
      <c r="R713" s="79"/>
      <c r="S713" s="79"/>
      <c r="V713" s="79"/>
      <c r="W713" s="79"/>
      <c r="Z713" s="130"/>
      <c r="AB713" s="106"/>
    </row>
    <row r="714">
      <c r="C714" s="79"/>
      <c r="D714" s="79"/>
      <c r="E714" s="79"/>
      <c r="M714" s="79"/>
      <c r="R714" s="79"/>
      <c r="S714" s="79"/>
      <c r="V714" s="79"/>
      <c r="W714" s="79"/>
      <c r="Z714" s="130"/>
      <c r="AB714" s="106"/>
    </row>
    <row r="715">
      <c r="C715" s="79"/>
      <c r="D715" s="79"/>
      <c r="E715" s="79"/>
      <c r="M715" s="79"/>
      <c r="R715" s="79"/>
      <c r="S715" s="79"/>
      <c r="V715" s="79"/>
      <c r="W715" s="79"/>
      <c r="Z715" s="130"/>
      <c r="AB715" s="106"/>
    </row>
    <row r="716">
      <c r="C716" s="79"/>
      <c r="D716" s="79"/>
      <c r="E716" s="79"/>
      <c r="M716" s="79"/>
      <c r="R716" s="79"/>
      <c r="S716" s="79"/>
      <c r="V716" s="79"/>
      <c r="W716" s="79"/>
      <c r="Z716" s="130"/>
      <c r="AB716" s="106"/>
    </row>
    <row r="717">
      <c r="C717" s="79"/>
      <c r="D717" s="79"/>
      <c r="E717" s="79"/>
      <c r="M717" s="79"/>
      <c r="R717" s="79"/>
      <c r="S717" s="79"/>
      <c r="V717" s="79"/>
      <c r="W717" s="79"/>
      <c r="Z717" s="130"/>
      <c r="AB717" s="106"/>
    </row>
    <row r="718">
      <c r="C718" s="79"/>
      <c r="D718" s="79"/>
      <c r="E718" s="79"/>
      <c r="M718" s="79"/>
      <c r="R718" s="79"/>
      <c r="S718" s="79"/>
      <c r="V718" s="79"/>
      <c r="W718" s="79"/>
      <c r="Z718" s="130"/>
      <c r="AB718" s="106"/>
    </row>
    <row r="719">
      <c r="C719" s="79"/>
      <c r="D719" s="79"/>
      <c r="E719" s="79"/>
      <c r="M719" s="79"/>
      <c r="R719" s="79"/>
      <c r="S719" s="79"/>
      <c r="V719" s="79"/>
      <c r="W719" s="79"/>
      <c r="Z719" s="130"/>
      <c r="AB719" s="106"/>
    </row>
    <row r="720">
      <c r="C720" s="79"/>
      <c r="D720" s="79"/>
      <c r="E720" s="79"/>
      <c r="M720" s="79"/>
      <c r="R720" s="79"/>
      <c r="S720" s="79"/>
      <c r="V720" s="79"/>
      <c r="W720" s="79"/>
      <c r="Z720" s="130"/>
      <c r="AB720" s="106"/>
    </row>
    <row r="721">
      <c r="C721" s="79"/>
      <c r="D721" s="79"/>
      <c r="E721" s="79"/>
      <c r="M721" s="79"/>
      <c r="R721" s="79"/>
      <c r="S721" s="79"/>
      <c r="V721" s="79"/>
      <c r="W721" s="79"/>
      <c r="Z721" s="130"/>
      <c r="AB721" s="106"/>
    </row>
    <row r="722">
      <c r="C722" s="79"/>
      <c r="D722" s="79"/>
      <c r="E722" s="79"/>
      <c r="M722" s="79"/>
      <c r="R722" s="79"/>
      <c r="S722" s="79"/>
      <c r="V722" s="79"/>
      <c r="W722" s="79"/>
      <c r="Z722" s="130"/>
      <c r="AB722" s="106"/>
    </row>
    <row r="723">
      <c r="C723" s="79"/>
      <c r="D723" s="79"/>
      <c r="E723" s="79"/>
      <c r="M723" s="79"/>
      <c r="R723" s="79"/>
      <c r="S723" s="79"/>
      <c r="V723" s="79"/>
      <c r="W723" s="79"/>
      <c r="Z723" s="130"/>
      <c r="AB723" s="106"/>
    </row>
    <row r="724">
      <c r="C724" s="79"/>
      <c r="D724" s="79"/>
      <c r="E724" s="79"/>
      <c r="M724" s="79"/>
      <c r="R724" s="79"/>
      <c r="S724" s="79"/>
      <c r="V724" s="79"/>
      <c r="W724" s="79"/>
      <c r="Z724" s="130"/>
      <c r="AB724" s="106"/>
    </row>
    <row r="725">
      <c r="C725" s="79"/>
      <c r="D725" s="79"/>
      <c r="E725" s="79"/>
      <c r="M725" s="79"/>
      <c r="R725" s="79"/>
      <c r="S725" s="79"/>
      <c r="V725" s="79"/>
      <c r="W725" s="79"/>
      <c r="Z725" s="130"/>
      <c r="AB725" s="106"/>
    </row>
    <row r="726">
      <c r="C726" s="79"/>
      <c r="D726" s="79"/>
      <c r="E726" s="79"/>
      <c r="M726" s="79"/>
      <c r="R726" s="79"/>
      <c r="S726" s="79"/>
      <c r="V726" s="79"/>
      <c r="W726" s="79"/>
      <c r="Z726" s="130"/>
      <c r="AB726" s="106"/>
    </row>
    <row r="727">
      <c r="C727" s="79"/>
      <c r="D727" s="79"/>
      <c r="E727" s="79"/>
      <c r="M727" s="79"/>
      <c r="R727" s="79"/>
      <c r="S727" s="79"/>
      <c r="V727" s="79"/>
      <c r="W727" s="79"/>
      <c r="Z727" s="130"/>
      <c r="AB727" s="106"/>
    </row>
    <row r="728">
      <c r="C728" s="79"/>
      <c r="D728" s="79"/>
      <c r="E728" s="79"/>
      <c r="M728" s="79"/>
      <c r="R728" s="79"/>
      <c r="S728" s="79"/>
      <c r="V728" s="79"/>
      <c r="W728" s="79"/>
      <c r="Z728" s="130"/>
      <c r="AB728" s="106"/>
    </row>
    <row r="729">
      <c r="C729" s="79"/>
      <c r="D729" s="79"/>
      <c r="E729" s="79"/>
      <c r="M729" s="79"/>
      <c r="R729" s="79"/>
      <c r="S729" s="79"/>
      <c r="V729" s="79"/>
      <c r="W729" s="79"/>
      <c r="Z729" s="130"/>
      <c r="AB729" s="106"/>
    </row>
    <row r="730">
      <c r="C730" s="79"/>
      <c r="D730" s="79"/>
      <c r="E730" s="79"/>
      <c r="M730" s="79"/>
      <c r="R730" s="79"/>
      <c r="S730" s="79"/>
      <c r="V730" s="79"/>
      <c r="W730" s="79"/>
      <c r="Z730" s="130"/>
      <c r="AB730" s="106"/>
    </row>
    <row r="731">
      <c r="C731" s="79"/>
      <c r="D731" s="79"/>
      <c r="E731" s="79"/>
      <c r="M731" s="79"/>
      <c r="R731" s="79"/>
      <c r="S731" s="79"/>
      <c r="V731" s="79"/>
      <c r="W731" s="79"/>
      <c r="Z731" s="130"/>
      <c r="AB731" s="106"/>
    </row>
    <row r="732">
      <c r="C732" s="79"/>
      <c r="D732" s="79"/>
      <c r="E732" s="79"/>
      <c r="M732" s="79"/>
      <c r="R732" s="79"/>
      <c r="S732" s="79"/>
      <c r="V732" s="79"/>
      <c r="W732" s="79"/>
      <c r="Z732" s="130"/>
      <c r="AB732" s="106"/>
    </row>
    <row r="733">
      <c r="C733" s="79"/>
      <c r="D733" s="79"/>
      <c r="E733" s="79"/>
      <c r="M733" s="79"/>
      <c r="R733" s="79"/>
      <c r="S733" s="79"/>
      <c r="V733" s="79"/>
      <c r="W733" s="79"/>
      <c r="Z733" s="130"/>
      <c r="AB733" s="106"/>
    </row>
    <row r="734">
      <c r="C734" s="79"/>
      <c r="D734" s="79"/>
      <c r="E734" s="79"/>
      <c r="M734" s="79"/>
      <c r="R734" s="79"/>
      <c r="S734" s="79"/>
      <c r="V734" s="79"/>
      <c r="W734" s="79"/>
      <c r="Z734" s="130"/>
      <c r="AB734" s="106"/>
    </row>
    <row r="735">
      <c r="C735" s="79"/>
      <c r="D735" s="79"/>
      <c r="E735" s="79"/>
      <c r="M735" s="79"/>
      <c r="R735" s="79"/>
      <c r="S735" s="79"/>
      <c r="V735" s="79"/>
      <c r="W735" s="79"/>
      <c r="Z735" s="130"/>
      <c r="AB735" s="106"/>
    </row>
    <row r="736">
      <c r="C736" s="79"/>
      <c r="D736" s="79"/>
      <c r="E736" s="79"/>
      <c r="M736" s="79"/>
      <c r="R736" s="79"/>
      <c r="S736" s="79"/>
      <c r="V736" s="79"/>
      <c r="W736" s="79"/>
      <c r="Z736" s="130"/>
      <c r="AB736" s="106"/>
    </row>
    <row r="737">
      <c r="C737" s="79"/>
      <c r="D737" s="79"/>
      <c r="E737" s="79"/>
      <c r="M737" s="79"/>
      <c r="R737" s="79"/>
      <c r="S737" s="79"/>
      <c r="V737" s="79"/>
      <c r="W737" s="79"/>
      <c r="Z737" s="130"/>
      <c r="AB737" s="106"/>
    </row>
    <row r="738">
      <c r="C738" s="79"/>
      <c r="D738" s="79"/>
      <c r="E738" s="79"/>
      <c r="M738" s="79"/>
      <c r="R738" s="79"/>
      <c r="S738" s="79"/>
      <c r="V738" s="79"/>
      <c r="W738" s="79"/>
      <c r="Z738" s="130"/>
      <c r="AB738" s="106"/>
    </row>
    <row r="739">
      <c r="C739" s="79"/>
      <c r="D739" s="79"/>
      <c r="E739" s="79"/>
      <c r="M739" s="79"/>
      <c r="R739" s="79"/>
      <c r="S739" s="79"/>
      <c r="V739" s="79"/>
      <c r="W739" s="79"/>
      <c r="Z739" s="130"/>
      <c r="AB739" s="106"/>
    </row>
    <row r="740">
      <c r="C740" s="79"/>
      <c r="D740" s="79"/>
      <c r="E740" s="79"/>
      <c r="M740" s="79"/>
      <c r="R740" s="79"/>
      <c r="S740" s="79"/>
      <c r="V740" s="79"/>
      <c r="W740" s="79"/>
      <c r="Z740" s="130"/>
      <c r="AB740" s="106"/>
    </row>
    <row r="741">
      <c r="C741" s="79"/>
      <c r="D741" s="79"/>
      <c r="E741" s="79"/>
      <c r="M741" s="79"/>
      <c r="R741" s="79"/>
      <c r="S741" s="79"/>
      <c r="V741" s="79"/>
      <c r="W741" s="79"/>
      <c r="Z741" s="130"/>
      <c r="AB741" s="106"/>
    </row>
    <row r="742">
      <c r="C742" s="79"/>
      <c r="D742" s="79"/>
      <c r="E742" s="79"/>
      <c r="M742" s="79"/>
      <c r="R742" s="79"/>
      <c r="S742" s="79"/>
      <c r="V742" s="79"/>
      <c r="W742" s="79"/>
      <c r="Z742" s="130"/>
      <c r="AB742" s="106"/>
    </row>
    <row r="743">
      <c r="C743" s="79"/>
      <c r="D743" s="79"/>
      <c r="E743" s="79"/>
      <c r="M743" s="79"/>
      <c r="R743" s="79"/>
      <c r="S743" s="79"/>
      <c r="V743" s="79"/>
      <c r="W743" s="79"/>
      <c r="Z743" s="130"/>
      <c r="AB743" s="106"/>
    </row>
    <row r="744">
      <c r="C744" s="79"/>
      <c r="D744" s="79"/>
      <c r="E744" s="79"/>
      <c r="M744" s="79"/>
      <c r="R744" s="79"/>
      <c r="S744" s="79"/>
      <c r="V744" s="79"/>
      <c r="W744" s="79"/>
      <c r="Z744" s="130"/>
      <c r="AB744" s="106"/>
    </row>
    <row r="745">
      <c r="C745" s="79"/>
      <c r="D745" s="79"/>
      <c r="E745" s="79"/>
      <c r="M745" s="79"/>
      <c r="R745" s="79"/>
      <c r="S745" s="79"/>
      <c r="V745" s="79"/>
      <c r="W745" s="79"/>
      <c r="Z745" s="130"/>
      <c r="AB745" s="106"/>
    </row>
    <row r="746">
      <c r="C746" s="79"/>
      <c r="D746" s="79"/>
      <c r="E746" s="79"/>
      <c r="M746" s="79"/>
      <c r="R746" s="79"/>
      <c r="S746" s="79"/>
      <c r="V746" s="79"/>
      <c r="W746" s="79"/>
      <c r="Z746" s="130"/>
      <c r="AB746" s="106"/>
    </row>
    <row r="747">
      <c r="C747" s="79"/>
      <c r="D747" s="79"/>
      <c r="E747" s="79"/>
      <c r="M747" s="79"/>
      <c r="R747" s="79"/>
      <c r="S747" s="79"/>
      <c r="V747" s="79"/>
      <c r="W747" s="79"/>
      <c r="Z747" s="130"/>
      <c r="AB747" s="106"/>
    </row>
    <row r="748">
      <c r="C748" s="79"/>
      <c r="D748" s="79"/>
      <c r="E748" s="79"/>
      <c r="M748" s="79"/>
      <c r="R748" s="79"/>
      <c r="S748" s="79"/>
      <c r="V748" s="79"/>
      <c r="W748" s="79"/>
      <c r="Z748" s="130"/>
      <c r="AB748" s="106"/>
    </row>
    <row r="749">
      <c r="C749" s="79"/>
      <c r="D749" s="79"/>
      <c r="E749" s="79"/>
      <c r="M749" s="79"/>
      <c r="R749" s="79"/>
      <c r="S749" s="79"/>
      <c r="V749" s="79"/>
      <c r="W749" s="79"/>
      <c r="Z749" s="130"/>
      <c r="AB749" s="106"/>
    </row>
    <row r="750">
      <c r="C750" s="79"/>
      <c r="D750" s="79"/>
      <c r="E750" s="79"/>
      <c r="M750" s="79"/>
      <c r="R750" s="79"/>
      <c r="S750" s="79"/>
      <c r="V750" s="79"/>
      <c r="W750" s="79"/>
      <c r="Z750" s="130"/>
      <c r="AB750" s="106"/>
    </row>
    <row r="751">
      <c r="C751" s="79"/>
      <c r="D751" s="79"/>
      <c r="E751" s="79"/>
      <c r="M751" s="79"/>
      <c r="R751" s="79"/>
      <c r="S751" s="79"/>
      <c r="V751" s="79"/>
      <c r="W751" s="79"/>
      <c r="Z751" s="130"/>
      <c r="AB751" s="106"/>
    </row>
    <row r="752">
      <c r="C752" s="79"/>
      <c r="D752" s="79"/>
      <c r="E752" s="79"/>
      <c r="M752" s="79"/>
      <c r="R752" s="79"/>
      <c r="S752" s="79"/>
      <c r="V752" s="79"/>
      <c r="W752" s="79"/>
      <c r="Z752" s="130"/>
      <c r="AB752" s="106"/>
    </row>
    <row r="753">
      <c r="C753" s="79"/>
      <c r="D753" s="79"/>
      <c r="E753" s="79"/>
      <c r="M753" s="79"/>
      <c r="R753" s="79"/>
      <c r="S753" s="79"/>
      <c r="V753" s="79"/>
      <c r="W753" s="79"/>
      <c r="Z753" s="130"/>
      <c r="AB753" s="106"/>
    </row>
    <row r="754">
      <c r="C754" s="79"/>
      <c r="D754" s="79"/>
      <c r="E754" s="79"/>
      <c r="M754" s="79"/>
      <c r="R754" s="79"/>
      <c r="S754" s="79"/>
      <c r="V754" s="79"/>
      <c r="W754" s="79"/>
      <c r="Z754" s="130"/>
      <c r="AB754" s="106"/>
    </row>
    <row r="755">
      <c r="C755" s="79"/>
      <c r="D755" s="79"/>
      <c r="E755" s="79"/>
      <c r="M755" s="79"/>
      <c r="R755" s="79"/>
      <c r="S755" s="79"/>
      <c r="V755" s="79"/>
      <c r="W755" s="79"/>
      <c r="Z755" s="130"/>
      <c r="AB755" s="106"/>
    </row>
    <row r="756">
      <c r="C756" s="79"/>
      <c r="D756" s="79"/>
      <c r="E756" s="79"/>
      <c r="M756" s="79"/>
      <c r="R756" s="79"/>
      <c r="S756" s="79"/>
      <c r="V756" s="79"/>
      <c r="W756" s="79"/>
      <c r="Z756" s="130"/>
      <c r="AB756" s="106"/>
    </row>
    <row r="757">
      <c r="C757" s="79"/>
      <c r="D757" s="79"/>
      <c r="E757" s="79"/>
      <c r="M757" s="79"/>
      <c r="R757" s="79"/>
      <c r="S757" s="79"/>
      <c r="V757" s="79"/>
      <c r="W757" s="79"/>
      <c r="Z757" s="130"/>
      <c r="AB757" s="106"/>
    </row>
    <row r="758">
      <c r="C758" s="79"/>
      <c r="D758" s="79"/>
      <c r="E758" s="79"/>
      <c r="M758" s="79"/>
      <c r="R758" s="79"/>
      <c r="S758" s="79"/>
      <c r="V758" s="79"/>
      <c r="W758" s="79"/>
      <c r="Z758" s="130"/>
      <c r="AB758" s="106"/>
    </row>
    <row r="759">
      <c r="C759" s="79"/>
      <c r="D759" s="79"/>
      <c r="E759" s="79"/>
      <c r="M759" s="79"/>
      <c r="R759" s="79"/>
      <c r="S759" s="79"/>
      <c r="V759" s="79"/>
      <c r="W759" s="79"/>
      <c r="Z759" s="130"/>
      <c r="AB759" s="106"/>
    </row>
    <row r="760">
      <c r="C760" s="79"/>
      <c r="D760" s="79"/>
      <c r="E760" s="79"/>
      <c r="M760" s="79"/>
      <c r="R760" s="79"/>
      <c r="S760" s="79"/>
      <c r="V760" s="79"/>
      <c r="W760" s="79"/>
      <c r="Z760" s="130"/>
      <c r="AB760" s="106"/>
    </row>
    <row r="761">
      <c r="C761" s="79"/>
      <c r="D761" s="79"/>
      <c r="E761" s="79"/>
      <c r="M761" s="79"/>
      <c r="R761" s="79"/>
      <c r="S761" s="79"/>
      <c r="V761" s="79"/>
      <c r="W761" s="79"/>
      <c r="Z761" s="130"/>
      <c r="AB761" s="106"/>
    </row>
    <row r="762">
      <c r="C762" s="79"/>
      <c r="D762" s="79"/>
      <c r="E762" s="79"/>
      <c r="M762" s="79"/>
      <c r="R762" s="79"/>
      <c r="S762" s="79"/>
      <c r="V762" s="79"/>
      <c r="W762" s="79"/>
      <c r="Z762" s="130"/>
      <c r="AB762" s="106"/>
    </row>
    <row r="763">
      <c r="C763" s="79"/>
      <c r="D763" s="79"/>
      <c r="E763" s="79"/>
      <c r="M763" s="79"/>
      <c r="R763" s="79"/>
      <c r="S763" s="79"/>
      <c r="V763" s="79"/>
      <c r="W763" s="79"/>
      <c r="Z763" s="130"/>
      <c r="AB763" s="106"/>
    </row>
    <row r="764">
      <c r="C764" s="79"/>
      <c r="D764" s="79"/>
      <c r="E764" s="79"/>
      <c r="M764" s="79"/>
      <c r="R764" s="79"/>
      <c r="S764" s="79"/>
      <c r="V764" s="79"/>
      <c r="W764" s="79"/>
      <c r="Z764" s="130"/>
      <c r="AB764" s="106"/>
    </row>
    <row r="765">
      <c r="C765" s="79"/>
      <c r="D765" s="79"/>
      <c r="E765" s="79"/>
      <c r="M765" s="79"/>
      <c r="R765" s="79"/>
      <c r="S765" s="79"/>
      <c r="V765" s="79"/>
      <c r="W765" s="79"/>
      <c r="Z765" s="130"/>
      <c r="AB765" s="106"/>
    </row>
    <row r="766">
      <c r="C766" s="79"/>
      <c r="D766" s="79"/>
      <c r="E766" s="79"/>
      <c r="M766" s="79"/>
      <c r="R766" s="79"/>
      <c r="S766" s="79"/>
      <c r="V766" s="79"/>
      <c r="W766" s="79"/>
      <c r="Z766" s="130"/>
      <c r="AB766" s="106"/>
    </row>
    <row r="767">
      <c r="C767" s="79"/>
      <c r="D767" s="79"/>
      <c r="E767" s="79"/>
      <c r="M767" s="79"/>
      <c r="R767" s="79"/>
      <c r="S767" s="79"/>
      <c r="V767" s="79"/>
      <c r="W767" s="79"/>
      <c r="Z767" s="130"/>
      <c r="AB767" s="106"/>
    </row>
    <row r="768">
      <c r="C768" s="79"/>
      <c r="D768" s="79"/>
      <c r="E768" s="79"/>
      <c r="M768" s="79"/>
      <c r="R768" s="79"/>
      <c r="S768" s="79"/>
      <c r="V768" s="79"/>
      <c r="W768" s="79"/>
      <c r="Z768" s="130"/>
      <c r="AB768" s="106"/>
    </row>
    <row r="769">
      <c r="C769" s="79"/>
      <c r="D769" s="79"/>
      <c r="E769" s="79"/>
      <c r="M769" s="79"/>
      <c r="R769" s="79"/>
      <c r="S769" s="79"/>
      <c r="V769" s="79"/>
      <c r="W769" s="79"/>
      <c r="Z769" s="130"/>
      <c r="AB769" s="106"/>
    </row>
    <row r="770">
      <c r="C770" s="79"/>
      <c r="D770" s="79"/>
      <c r="E770" s="79"/>
      <c r="M770" s="79"/>
      <c r="R770" s="79"/>
      <c r="S770" s="79"/>
      <c r="V770" s="79"/>
      <c r="W770" s="79"/>
      <c r="Z770" s="130"/>
      <c r="AB770" s="106"/>
    </row>
    <row r="771">
      <c r="C771" s="79"/>
      <c r="D771" s="79"/>
      <c r="E771" s="79"/>
      <c r="M771" s="79"/>
      <c r="R771" s="79"/>
      <c r="S771" s="79"/>
      <c r="V771" s="79"/>
      <c r="W771" s="79"/>
      <c r="Z771" s="130"/>
      <c r="AB771" s="106"/>
    </row>
    <row r="772">
      <c r="C772" s="79"/>
      <c r="D772" s="79"/>
      <c r="E772" s="79"/>
      <c r="M772" s="79"/>
      <c r="R772" s="79"/>
      <c r="S772" s="79"/>
      <c r="V772" s="79"/>
      <c r="W772" s="79"/>
      <c r="Z772" s="130"/>
      <c r="AB772" s="106"/>
    </row>
    <row r="773">
      <c r="C773" s="79"/>
      <c r="D773" s="79"/>
      <c r="E773" s="79"/>
      <c r="M773" s="79"/>
      <c r="R773" s="79"/>
      <c r="S773" s="79"/>
      <c r="V773" s="79"/>
      <c r="W773" s="79"/>
      <c r="Z773" s="130"/>
      <c r="AB773" s="106"/>
    </row>
    <row r="774">
      <c r="C774" s="79"/>
      <c r="D774" s="79"/>
      <c r="E774" s="79"/>
      <c r="M774" s="79"/>
      <c r="R774" s="79"/>
      <c r="S774" s="79"/>
      <c r="V774" s="79"/>
      <c r="W774" s="79"/>
      <c r="Z774" s="130"/>
      <c r="AB774" s="106"/>
    </row>
    <row r="775">
      <c r="C775" s="79"/>
      <c r="D775" s="79"/>
      <c r="E775" s="79"/>
      <c r="M775" s="79"/>
      <c r="R775" s="79"/>
      <c r="S775" s="79"/>
      <c r="V775" s="79"/>
      <c r="W775" s="79"/>
      <c r="Z775" s="130"/>
      <c r="AB775" s="106"/>
    </row>
    <row r="776">
      <c r="C776" s="79"/>
      <c r="D776" s="79"/>
      <c r="E776" s="79"/>
      <c r="M776" s="79"/>
      <c r="R776" s="79"/>
      <c r="S776" s="79"/>
      <c r="V776" s="79"/>
      <c r="W776" s="79"/>
      <c r="Z776" s="130"/>
      <c r="AB776" s="106"/>
    </row>
    <row r="777">
      <c r="C777" s="79"/>
      <c r="D777" s="79"/>
      <c r="E777" s="79"/>
      <c r="M777" s="79"/>
      <c r="R777" s="79"/>
      <c r="S777" s="79"/>
      <c r="V777" s="79"/>
      <c r="W777" s="79"/>
      <c r="Z777" s="130"/>
      <c r="AB777" s="106"/>
    </row>
    <row r="778">
      <c r="C778" s="79"/>
      <c r="D778" s="79"/>
      <c r="E778" s="79"/>
      <c r="M778" s="79"/>
      <c r="R778" s="79"/>
      <c r="S778" s="79"/>
      <c r="V778" s="79"/>
      <c r="W778" s="79"/>
      <c r="Z778" s="130"/>
      <c r="AB778" s="106"/>
    </row>
    <row r="779">
      <c r="C779" s="79"/>
      <c r="D779" s="79"/>
      <c r="E779" s="79"/>
      <c r="M779" s="79"/>
      <c r="R779" s="79"/>
      <c r="S779" s="79"/>
      <c r="V779" s="79"/>
      <c r="W779" s="79"/>
      <c r="Z779" s="130"/>
      <c r="AB779" s="106"/>
    </row>
    <row r="780">
      <c r="C780" s="79"/>
      <c r="D780" s="79"/>
      <c r="E780" s="79"/>
      <c r="M780" s="79"/>
      <c r="R780" s="79"/>
      <c r="S780" s="79"/>
      <c r="V780" s="79"/>
      <c r="W780" s="79"/>
      <c r="Z780" s="130"/>
      <c r="AB780" s="106"/>
    </row>
    <row r="781">
      <c r="C781" s="79"/>
      <c r="D781" s="79"/>
      <c r="E781" s="79"/>
      <c r="M781" s="79"/>
      <c r="R781" s="79"/>
      <c r="S781" s="79"/>
      <c r="V781" s="79"/>
      <c r="W781" s="79"/>
      <c r="Z781" s="130"/>
      <c r="AB781" s="106"/>
    </row>
    <row r="782">
      <c r="C782" s="79"/>
      <c r="D782" s="79"/>
      <c r="E782" s="79"/>
      <c r="M782" s="79"/>
      <c r="R782" s="79"/>
      <c r="S782" s="79"/>
      <c r="V782" s="79"/>
      <c r="W782" s="79"/>
      <c r="Z782" s="130"/>
      <c r="AB782" s="106"/>
    </row>
    <row r="783">
      <c r="C783" s="79"/>
      <c r="D783" s="79"/>
      <c r="E783" s="79"/>
      <c r="M783" s="79"/>
      <c r="R783" s="79"/>
      <c r="S783" s="79"/>
      <c r="V783" s="79"/>
      <c r="W783" s="79"/>
      <c r="Z783" s="130"/>
      <c r="AB783" s="106"/>
    </row>
    <row r="784">
      <c r="C784" s="79"/>
      <c r="D784" s="79"/>
      <c r="E784" s="79"/>
      <c r="M784" s="79"/>
      <c r="R784" s="79"/>
      <c r="S784" s="79"/>
      <c r="V784" s="79"/>
      <c r="W784" s="79"/>
      <c r="Z784" s="130"/>
      <c r="AB784" s="106"/>
    </row>
    <row r="785">
      <c r="C785" s="79"/>
      <c r="D785" s="79"/>
      <c r="E785" s="79"/>
      <c r="M785" s="79"/>
      <c r="R785" s="79"/>
      <c r="S785" s="79"/>
      <c r="V785" s="79"/>
      <c r="W785" s="79"/>
      <c r="Z785" s="130"/>
      <c r="AB785" s="106"/>
    </row>
    <row r="786">
      <c r="C786" s="79"/>
      <c r="D786" s="79"/>
      <c r="E786" s="79"/>
      <c r="M786" s="79"/>
      <c r="R786" s="79"/>
      <c r="S786" s="79"/>
      <c r="V786" s="79"/>
      <c r="W786" s="79"/>
      <c r="Z786" s="130"/>
      <c r="AB786" s="106"/>
    </row>
    <row r="787">
      <c r="C787" s="79"/>
      <c r="D787" s="79"/>
      <c r="E787" s="79"/>
      <c r="M787" s="79"/>
      <c r="R787" s="79"/>
      <c r="S787" s="79"/>
      <c r="V787" s="79"/>
      <c r="W787" s="79"/>
      <c r="Z787" s="130"/>
      <c r="AB787" s="106"/>
    </row>
    <row r="788">
      <c r="C788" s="79"/>
      <c r="D788" s="79"/>
      <c r="E788" s="79"/>
      <c r="M788" s="79"/>
      <c r="R788" s="79"/>
      <c r="S788" s="79"/>
      <c r="V788" s="79"/>
      <c r="W788" s="79"/>
      <c r="Z788" s="130"/>
      <c r="AB788" s="106"/>
    </row>
    <row r="789">
      <c r="C789" s="79"/>
      <c r="D789" s="79"/>
      <c r="E789" s="79"/>
      <c r="M789" s="79"/>
      <c r="R789" s="79"/>
      <c r="S789" s="79"/>
      <c r="V789" s="79"/>
      <c r="W789" s="79"/>
      <c r="Z789" s="130"/>
      <c r="AB789" s="106"/>
    </row>
    <row r="790">
      <c r="C790" s="79"/>
      <c r="D790" s="79"/>
      <c r="E790" s="79"/>
      <c r="M790" s="79"/>
      <c r="R790" s="79"/>
      <c r="S790" s="79"/>
      <c r="V790" s="79"/>
      <c r="W790" s="79"/>
      <c r="Z790" s="130"/>
      <c r="AB790" s="106"/>
    </row>
    <row r="791">
      <c r="C791" s="79"/>
      <c r="D791" s="79"/>
      <c r="E791" s="79"/>
      <c r="M791" s="79"/>
      <c r="R791" s="79"/>
      <c r="S791" s="79"/>
      <c r="V791" s="79"/>
      <c r="W791" s="79"/>
      <c r="Z791" s="130"/>
      <c r="AB791" s="106"/>
    </row>
    <row r="792">
      <c r="C792" s="79"/>
      <c r="D792" s="79"/>
      <c r="E792" s="79"/>
      <c r="M792" s="79"/>
      <c r="R792" s="79"/>
      <c r="S792" s="79"/>
      <c r="V792" s="79"/>
      <c r="W792" s="79"/>
      <c r="Z792" s="130"/>
      <c r="AB792" s="106"/>
    </row>
    <row r="793">
      <c r="C793" s="79"/>
      <c r="D793" s="79"/>
      <c r="E793" s="79"/>
      <c r="M793" s="79"/>
      <c r="R793" s="79"/>
      <c r="S793" s="79"/>
      <c r="V793" s="79"/>
      <c r="W793" s="79"/>
      <c r="Z793" s="130"/>
      <c r="AB793" s="106"/>
    </row>
    <row r="794">
      <c r="C794" s="79"/>
      <c r="D794" s="79"/>
      <c r="E794" s="79"/>
      <c r="M794" s="79"/>
      <c r="R794" s="79"/>
      <c r="S794" s="79"/>
      <c r="V794" s="79"/>
      <c r="W794" s="79"/>
      <c r="Z794" s="130"/>
      <c r="AB794" s="106"/>
    </row>
    <row r="795">
      <c r="C795" s="79"/>
      <c r="D795" s="79"/>
      <c r="E795" s="79"/>
      <c r="M795" s="79"/>
      <c r="R795" s="79"/>
      <c r="S795" s="79"/>
      <c r="V795" s="79"/>
      <c r="W795" s="79"/>
      <c r="Z795" s="130"/>
      <c r="AB795" s="106"/>
    </row>
    <row r="796">
      <c r="C796" s="79"/>
      <c r="D796" s="79"/>
      <c r="E796" s="79"/>
      <c r="M796" s="79"/>
      <c r="R796" s="79"/>
      <c r="S796" s="79"/>
      <c r="V796" s="79"/>
      <c r="W796" s="79"/>
      <c r="Z796" s="130"/>
      <c r="AB796" s="106"/>
    </row>
    <row r="797">
      <c r="C797" s="79"/>
      <c r="D797" s="79"/>
      <c r="E797" s="79"/>
      <c r="M797" s="79"/>
      <c r="R797" s="79"/>
      <c r="S797" s="79"/>
      <c r="V797" s="79"/>
      <c r="W797" s="79"/>
      <c r="Z797" s="130"/>
      <c r="AB797" s="106"/>
    </row>
    <row r="798">
      <c r="C798" s="79"/>
      <c r="D798" s="79"/>
      <c r="E798" s="79"/>
      <c r="M798" s="79"/>
      <c r="R798" s="79"/>
      <c r="S798" s="79"/>
      <c r="V798" s="79"/>
      <c r="W798" s="79"/>
      <c r="Z798" s="130"/>
      <c r="AB798" s="106"/>
    </row>
    <row r="799">
      <c r="C799" s="79"/>
      <c r="D799" s="79"/>
      <c r="E799" s="79"/>
      <c r="M799" s="79"/>
      <c r="R799" s="79"/>
      <c r="S799" s="79"/>
      <c r="V799" s="79"/>
      <c r="W799" s="79"/>
      <c r="Z799" s="130"/>
      <c r="AB799" s="106"/>
    </row>
    <row r="800">
      <c r="C800" s="79"/>
      <c r="D800" s="79"/>
      <c r="E800" s="79"/>
      <c r="M800" s="79"/>
      <c r="R800" s="79"/>
      <c r="S800" s="79"/>
      <c r="V800" s="79"/>
      <c r="W800" s="79"/>
      <c r="Z800" s="130"/>
      <c r="AB800" s="106"/>
    </row>
    <row r="801">
      <c r="C801" s="79"/>
      <c r="D801" s="79"/>
      <c r="E801" s="79"/>
      <c r="M801" s="79"/>
      <c r="R801" s="79"/>
      <c r="S801" s="79"/>
      <c r="V801" s="79"/>
      <c r="W801" s="79"/>
      <c r="Z801" s="130"/>
      <c r="AB801" s="106"/>
    </row>
    <row r="802">
      <c r="C802" s="79"/>
      <c r="D802" s="79"/>
      <c r="E802" s="79"/>
      <c r="M802" s="79"/>
      <c r="R802" s="79"/>
      <c r="S802" s="79"/>
      <c r="V802" s="79"/>
      <c r="W802" s="79"/>
      <c r="Z802" s="130"/>
      <c r="AB802" s="106"/>
    </row>
    <row r="803">
      <c r="C803" s="79"/>
      <c r="D803" s="79"/>
      <c r="E803" s="79"/>
      <c r="M803" s="79"/>
      <c r="R803" s="79"/>
      <c r="S803" s="79"/>
      <c r="V803" s="79"/>
      <c r="W803" s="79"/>
      <c r="Z803" s="130"/>
      <c r="AB803" s="106"/>
    </row>
    <row r="804">
      <c r="C804" s="79"/>
      <c r="D804" s="79"/>
      <c r="E804" s="79"/>
      <c r="M804" s="79"/>
      <c r="R804" s="79"/>
      <c r="S804" s="79"/>
      <c r="V804" s="79"/>
      <c r="W804" s="79"/>
      <c r="Z804" s="130"/>
      <c r="AB804" s="106"/>
    </row>
    <row r="805">
      <c r="C805" s="79"/>
      <c r="D805" s="79"/>
      <c r="E805" s="79"/>
      <c r="M805" s="79"/>
      <c r="R805" s="79"/>
      <c r="S805" s="79"/>
      <c r="V805" s="79"/>
      <c r="W805" s="79"/>
      <c r="Z805" s="130"/>
      <c r="AB805" s="106"/>
    </row>
    <row r="806">
      <c r="C806" s="79"/>
      <c r="D806" s="79"/>
      <c r="E806" s="79"/>
      <c r="M806" s="79"/>
      <c r="R806" s="79"/>
      <c r="S806" s="79"/>
      <c r="V806" s="79"/>
      <c r="W806" s="79"/>
      <c r="Z806" s="130"/>
      <c r="AB806" s="106"/>
    </row>
    <row r="807">
      <c r="C807" s="79"/>
      <c r="D807" s="79"/>
      <c r="E807" s="79"/>
      <c r="M807" s="79"/>
      <c r="R807" s="79"/>
      <c r="S807" s="79"/>
      <c r="V807" s="79"/>
      <c r="W807" s="79"/>
      <c r="Z807" s="130"/>
      <c r="AB807" s="106"/>
    </row>
    <row r="808">
      <c r="C808" s="79"/>
      <c r="D808" s="79"/>
      <c r="E808" s="79"/>
      <c r="M808" s="79"/>
      <c r="R808" s="79"/>
      <c r="S808" s="79"/>
      <c r="V808" s="79"/>
      <c r="W808" s="79"/>
      <c r="Z808" s="130"/>
      <c r="AB808" s="106"/>
    </row>
    <row r="809">
      <c r="C809" s="79"/>
      <c r="D809" s="79"/>
      <c r="E809" s="79"/>
      <c r="M809" s="79"/>
      <c r="R809" s="79"/>
      <c r="S809" s="79"/>
      <c r="V809" s="79"/>
      <c r="W809" s="79"/>
      <c r="Z809" s="130"/>
      <c r="AB809" s="106"/>
    </row>
    <row r="810">
      <c r="C810" s="79"/>
      <c r="D810" s="79"/>
      <c r="E810" s="79"/>
      <c r="M810" s="79"/>
      <c r="R810" s="79"/>
      <c r="S810" s="79"/>
      <c r="V810" s="79"/>
      <c r="W810" s="79"/>
      <c r="Z810" s="130"/>
      <c r="AB810" s="106"/>
    </row>
    <row r="811">
      <c r="C811" s="79"/>
      <c r="D811" s="79"/>
      <c r="E811" s="79"/>
      <c r="M811" s="79"/>
      <c r="R811" s="79"/>
      <c r="S811" s="79"/>
      <c r="V811" s="79"/>
      <c r="W811" s="79"/>
      <c r="Z811" s="130"/>
      <c r="AB811" s="106"/>
    </row>
    <row r="812">
      <c r="C812" s="79"/>
      <c r="D812" s="79"/>
      <c r="E812" s="79"/>
      <c r="M812" s="79"/>
      <c r="R812" s="79"/>
      <c r="S812" s="79"/>
      <c r="V812" s="79"/>
      <c r="W812" s="79"/>
      <c r="Z812" s="130"/>
      <c r="AB812" s="106"/>
    </row>
    <row r="813">
      <c r="C813" s="79"/>
      <c r="D813" s="79"/>
      <c r="E813" s="79"/>
      <c r="M813" s="79"/>
      <c r="R813" s="79"/>
      <c r="S813" s="79"/>
      <c r="V813" s="79"/>
      <c r="W813" s="79"/>
      <c r="Z813" s="130"/>
      <c r="AB813" s="106"/>
    </row>
    <row r="814">
      <c r="C814" s="79"/>
      <c r="D814" s="79"/>
      <c r="E814" s="79"/>
      <c r="M814" s="79"/>
      <c r="R814" s="79"/>
      <c r="S814" s="79"/>
      <c r="V814" s="79"/>
      <c r="W814" s="79"/>
      <c r="Z814" s="130"/>
      <c r="AB814" s="106"/>
    </row>
    <row r="815">
      <c r="C815" s="79"/>
      <c r="D815" s="79"/>
      <c r="E815" s="79"/>
      <c r="M815" s="79"/>
      <c r="R815" s="79"/>
      <c r="S815" s="79"/>
      <c r="V815" s="79"/>
      <c r="W815" s="79"/>
      <c r="Z815" s="130"/>
      <c r="AB815" s="106"/>
    </row>
    <row r="816">
      <c r="C816" s="79"/>
      <c r="D816" s="79"/>
      <c r="E816" s="79"/>
      <c r="M816" s="79"/>
      <c r="R816" s="79"/>
      <c r="S816" s="79"/>
      <c r="V816" s="79"/>
      <c r="W816" s="79"/>
      <c r="Z816" s="130"/>
      <c r="AB816" s="106"/>
    </row>
    <row r="817">
      <c r="C817" s="79"/>
      <c r="D817" s="79"/>
      <c r="E817" s="79"/>
      <c r="M817" s="79"/>
      <c r="R817" s="79"/>
      <c r="S817" s="79"/>
      <c r="V817" s="79"/>
      <c r="W817" s="79"/>
      <c r="Z817" s="130"/>
      <c r="AB817" s="106"/>
    </row>
    <row r="818">
      <c r="C818" s="79"/>
      <c r="D818" s="79"/>
      <c r="E818" s="79"/>
      <c r="M818" s="79"/>
      <c r="R818" s="79"/>
      <c r="S818" s="79"/>
      <c r="V818" s="79"/>
      <c r="W818" s="79"/>
      <c r="Z818" s="130"/>
      <c r="AB818" s="106"/>
    </row>
    <row r="819">
      <c r="C819" s="79"/>
      <c r="D819" s="79"/>
      <c r="E819" s="79"/>
      <c r="M819" s="79"/>
      <c r="R819" s="79"/>
      <c r="S819" s="79"/>
      <c r="V819" s="79"/>
      <c r="W819" s="79"/>
      <c r="Z819" s="130"/>
      <c r="AB819" s="106"/>
    </row>
    <row r="820">
      <c r="C820" s="79"/>
      <c r="D820" s="79"/>
      <c r="E820" s="79"/>
      <c r="M820" s="79"/>
      <c r="R820" s="79"/>
      <c r="S820" s="79"/>
      <c r="V820" s="79"/>
      <c r="W820" s="79"/>
      <c r="Z820" s="130"/>
      <c r="AB820" s="106"/>
    </row>
    <row r="821">
      <c r="C821" s="79"/>
      <c r="D821" s="79"/>
      <c r="E821" s="79"/>
      <c r="M821" s="79"/>
      <c r="R821" s="79"/>
      <c r="S821" s="79"/>
      <c r="V821" s="79"/>
      <c r="W821" s="79"/>
      <c r="Z821" s="130"/>
      <c r="AB821" s="106"/>
    </row>
    <row r="822">
      <c r="C822" s="79"/>
      <c r="D822" s="79"/>
      <c r="E822" s="79"/>
      <c r="M822" s="79"/>
      <c r="R822" s="79"/>
      <c r="S822" s="79"/>
      <c r="V822" s="79"/>
      <c r="W822" s="79"/>
      <c r="Z822" s="130"/>
      <c r="AB822" s="106"/>
    </row>
    <row r="823">
      <c r="C823" s="79"/>
      <c r="D823" s="79"/>
      <c r="E823" s="79"/>
      <c r="M823" s="79"/>
      <c r="R823" s="79"/>
      <c r="S823" s="79"/>
      <c r="V823" s="79"/>
      <c r="W823" s="79"/>
      <c r="Z823" s="130"/>
      <c r="AB823" s="106"/>
    </row>
    <row r="824">
      <c r="C824" s="79"/>
      <c r="D824" s="79"/>
      <c r="E824" s="79"/>
      <c r="M824" s="79"/>
      <c r="R824" s="79"/>
      <c r="S824" s="79"/>
      <c r="V824" s="79"/>
      <c r="W824" s="79"/>
      <c r="Z824" s="130"/>
      <c r="AB824" s="106"/>
    </row>
    <row r="825">
      <c r="C825" s="79"/>
      <c r="D825" s="79"/>
      <c r="E825" s="79"/>
      <c r="M825" s="79"/>
      <c r="R825" s="79"/>
      <c r="S825" s="79"/>
      <c r="V825" s="79"/>
      <c r="W825" s="79"/>
      <c r="Z825" s="130"/>
      <c r="AB825" s="106"/>
    </row>
    <row r="826">
      <c r="C826" s="79"/>
      <c r="D826" s="79"/>
      <c r="E826" s="79"/>
      <c r="M826" s="79"/>
      <c r="R826" s="79"/>
      <c r="S826" s="79"/>
      <c r="V826" s="79"/>
      <c r="W826" s="79"/>
      <c r="Z826" s="130"/>
      <c r="AB826" s="106"/>
    </row>
    <row r="827">
      <c r="C827" s="79"/>
      <c r="D827" s="79"/>
      <c r="E827" s="79"/>
      <c r="M827" s="79"/>
      <c r="R827" s="79"/>
      <c r="S827" s="79"/>
      <c r="V827" s="79"/>
      <c r="W827" s="79"/>
      <c r="Z827" s="130"/>
      <c r="AB827" s="106"/>
    </row>
    <row r="828">
      <c r="C828" s="79"/>
      <c r="D828" s="79"/>
      <c r="E828" s="79"/>
      <c r="M828" s="79"/>
      <c r="R828" s="79"/>
      <c r="S828" s="79"/>
      <c r="V828" s="79"/>
      <c r="W828" s="79"/>
      <c r="Z828" s="130"/>
      <c r="AB828" s="106"/>
    </row>
    <row r="829">
      <c r="C829" s="79"/>
      <c r="D829" s="79"/>
      <c r="E829" s="79"/>
      <c r="M829" s="79"/>
      <c r="R829" s="79"/>
      <c r="S829" s="79"/>
      <c r="V829" s="79"/>
      <c r="W829" s="79"/>
      <c r="Z829" s="130"/>
      <c r="AB829" s="106"/>
    </row>
    <row r="830">
      <c r="C830" s="79"/>
      <c r="D830" s="79"/>
      <c r="E830" s="79"/>
      <c r="M830" s="79"/>
      <c r="R830" s="79"/>
      <c r="S830" s="79"/>
      <c r="V830" s="79"/>
      <c r="W830" s="79"/>
      <c r="Z830" s="130"/>
      <c r="AB830" s="106"/>
    </row>
    <row r="831">
      <c r="C831" s="79"/>
      <c r="D831" s="79"/>
      <c r="E831" s="79"/>
      <c r="M831" s="79"/>
      <c r="R831" s="79"/>
      <c r="S831" s="79"/>
      <c r="V831" s="79"/>
      <c r="W831" s="79"/>
      <c r="Z831" s="130"/>
      <c r="AB831" s="106"/>
    </row>
    <row r="832">
      <c r="C832" s="79"/>
      <c r="D832" s="79"/>
      <c r="E832" s="79"/>
      <c r="M832" s="79"/>
      <c r="R832" s="79"/>
      <c r="S832" s="79"/>
      <c r="V832" s="79"/>
      <c r="W832" s="79"/>
      <c r="Z832" s="130"/>
      <c r="AB832" s="106"/>
    </row>
    <row r="833">
      <c r="C833" s="79"/>
      <c r="D833" s="79"/>
      <c r="E833" s="79"/>
      <c r="M833" s="79"/>
      <c r="R833" s="79"/>
      <c r="S833" s="79"/>
      <c r="V833" s="79"/>
      <c r="W833" s="79"/>
      <c r="Z833" s="130"/>
      <c r="AB833" s="106"/>
    </row>
    <row r="834">
      <c r="C834" s="79"/>
      <c r="D834" s="79"/>
      <c r="E834" s="79"/>
      <c r="M834" s="79"/>
      <c r="R834" s="79"/>
      <c r="S834" s="79"/>
      <c r="V834" s="79"/>
      <c r="W834" s="79"/>
      <c r="Z834" s="130"/>
      <c r="AB834" s="106"/>
    </row>
    <row r="835">
      <c r="C835" s="79"/>
      <c r="D835" s="79"/>
      <c r="E835" s="79"/>
      <c r="M835" s="79"/>
      <c r="R835" s="79"/>
      <c r="S835" s="79"/>
      <c r="V835" s="79"/>
      <c r="W835" s="79"/>
      <c r="Z835" s="130"/>
      <c r="AB835" s="106"/>
    </row>
    <row r="836">
      <c r="C836" s="79"/>
      <c r="D836" s="79"/>
      <c r="E836" s="79"/>
      <c r="M836" s="79"/>
      <c r="R836" s="79"/>
      <c r="S836" s="79"/>
      <c r="V836" s="79"/>
      <c r="W836" s="79"/>
      <c r="Z836" s="130"/>
      <c r="AB836" s="106"/>
    </row>
    <row r="837">
      <c r="C837" s="79"/>
      <c r="D837" s="79"/>
      <c r="E837" s="79"/>
      <c r="M837" s="79"/>
      <c r="R837" s="79"/>
      <c r="S837" s="79"/>
      <c r="V837" s="79"/>
      <c r="W837" s="79"/>
      <c r="Z837" s="130"/>
      <c r="AB837" s="106"/>
    </row>
    <row r="838">
      <c r="C838" s="79"/>
      <c r="D838" s="79"/>
      <c r="E838" s="79"/>
      <c r="M838" s="79"/>
      <c r="R838" s="79"/>
      <c r="S838" s="79"/>
      <c r="V838" s="79"/>
      <c r="W838" s="79"/>
      <c r="Z838" s="130"/>
      <c r="AB838" s="106"/>
    </row>
    <row r="839">
      <c r="C839" s="79"/>
      <c r="D839" s="79"/>
      <c r="E839" s="79"/>
      <c r="M839" s="79"/>
      <c r="R839" s="79"/>
      <c r="S839" s="79"/>
      <c r="V839" s="79"/>
      <c r="W839" s="79"/>
      <c r="Z839" s="130"/>
      <c r="AB839" s="106"/>
    </row>
    <row r="840">
      <c r="C840" s="79"/>
      <c r="D840" s="79"/>
      <c r="E840" s="79"/>
      <c r="M840" s="79"/>
      <c r="R840" s="79"/>
      <c r="S840" s="79"/>
      <c r="V840" s="79"/>
      <c r="W840" s="79"/>
      <c r="Z840" s="130"/>
      <c r="AB840" s="106"/>
    </row>
    <row r="841">
      <c r="C841" s="79"/>
      <c r="D841" s="79"/>
      <c r="E841" s="79"/>
      <c r="M841" s="79"/>
      <c r="R841" s="79"/>
      <c r="S841" s="79"/>
      <c r="V841" s="79"/>
      <c r="W841" s="79"/>
      <c r="Z841" s="130"/>
      <c r="AB841" s="106"/>
    </row>
    <row r="842">
      <c r="C842" s="79"/>
      <c r="D842" s="79"/>
      <c r="E842" s="79"/>
      <c r="M842" s="79"/>
      <c r="R842" s="79"/>
      <c r="S842" s="79"/>
      <c r="V842" s="79"/>
      <c r="W842" s="79"/>
      <c r="Z842" s="130"/>
      <c r="AB842" s="106"/>
    </row>
    <row r="843">
      <c r="C843" s="79"/>
      <c r="D843" s="79"/>
      <c r="E843" s="79"/>
      <c r="M843" s="79"/>
      <c r="R843" s="79"/>
      <c r="S843" s="79"/>
      <c r="V843" s="79"/>
      <c r="W843" s="79"/>
      <c r="Z843" s="130"/>
      <c r="AB843" s="106"/>
    </row>
    <row r="844">
      <c r="C844" s="79"/>
      <c r="D844" s="79"/>
      <c r="E844" s="79"/>
      <c r="M844" s="79"/>
      <c r="R844" s="79"/>
      <c r="S844" s="79"/>
      <c r="V844" s="79"/>
      <c r="W844" s="79"/>
      <c r="Z844" s="130"/>
      <c r="AB844" s="106"/>
    </row>
    <row r="845">
      <c r="C845" s="79"/>
      <c r="D845" s="79"/>
      <c r="E845" s="79"/>
      <c r="M845" s="79"/>
      <c r="R845" s="79"/>
      <c r="S845" s="79"/>
      <c r="V845" s="79"/>
      <c r="W845" s="79"/>
      <c r="Z845" s="130"/>
      <c r="AB845" s="106"/>
    </row>
    <row r="846">
      <c r="C846" s="79"/>
      <c r="D846" s="79"/>
      <c r="E846" s="79"/>
      <c r="M846" s="79"/>
      <c r="R846" s="79"/>
      <c r="S846" s="79"/>
      <c r="V846" s="79"/>
      <c r="W846" s="79"/>
      <c r="Z846" s="130"/>
      <c r="AB846" s="106"/>
    </row>
    <row r="847">
      <c r="C847" s="79"/>
      <c r="D847" s="79"/>
      <c r="E847" s="79"/>
      <c r="M847" s="79"/>
      <c r="R847" s="79"/>
      <c r="S847" s="79"/>
      <c r="V847" s="79"/>
      <c r="W847" s="79"/>
      <c r="Z847" s="130"/>
      <c r="AB847" s="106"/>
    </row>
    <row r="848">
      <c r="C848" s="79"/>
      <c r="D848" s="79"/>
      <c r="E848" s="79"/>
      <c r="M848" s="79"/>
      <c r="R848" s="79"/>
      <c r="S848" s="79"/>
      <c r="V848" s="79"/>
      <c r="W848" s="79"/>
      <c r="Z848" s="130"/>
      <c r="AB848" s="106"/>
    </row>
    <row r="849">
      <c r="C849" s="79"/>
      <c r="D849" s="79"/>
      <c r="E849" s="79"/>
      <c r="M849" s="79"/>
      <c r="R849" s="79"/>
      <c r="S849" s="79"/>
      <c r="V849" s="79"/>
      <c r="W849" s="79"/>
      <c r="Z849" s="130"/>
      <c r="AB849" s="106"/>
    </row>
    <row r="850">
      <c r="C850" s="79"/>
      <c r="D850" s="79"/>
      <c r="E850" s="79"/>
      <c r="M850" s="79"/>
      <c r="R850" s="79"/>
      <c r="S850" s="79"/>
      <c r="V850" s="79"/>
      <c r="W850" s="79"/>
      <c r="Z850" s="130"/>
      <c r="AB850" s="106"/>
    </row>
    <row r="851">
      <c r="C851" s="79"/>
      <c r="D851" s="79"/>
      <c r="E851" s="79"/>
      <c r="M851" s="79"/>
      <c r="R851" s="79"/>
      <c r="S851" s="79"/>
      <c r="V851" s="79"/>
      <c r="W851" s="79"/>
      <c r="Z851" s="130"/>
      <c r="AB851" s="106"/>
    </row>
    <row r="852">
      <c r="C852" s="79"/>
      <c r="D852" s="79"/>
      <c r="E852" s="79"/>
      <c r="M852" s="79"/>
      <c r="R852" s="79"/>
      <c r="S852" s="79"/>
      <c r="V852" s="79"/>
      <c r="W852" s="79"/>
      <c r="Z852" s="130"/>
      <c r="AB852" s="106"/>
    </row>
    <row r="853">
      <c r="C853" s="79"/>
      <c r="D853" s="79"/>
      <c r="E853" s="79"/>
      <c r="M853" s="79"/>
      <c r="R853" s="79"/>
      <c r="S853" s="79"/>
      <c r="V853" s="79"/>
      <c r="W853" s="79"/>
      <c r="Z853" s="130"/>
      <c r="AB853" s="106"/>
    </row>
    <row r="854">
      <c r="C854" s="79"/>
      <c r="D854" s="79"/>
      <c r="E854" s="79"/>
      <c r="M854" s="79"/>
      <c r="R854" s="79"/>
      <c r="S854" s="79"/>
      <c r="V854" s="79"/>
      <c r="W854" s="79"/>
      <c r="Z854" s="130"/>
      <c r="AB854" s="106"/>
    </row>
    <row r="855">
      <c r="C855" s="79"/>
      <c r="D855" s="79"/>
      <c r="E855" s="79"/>
      <c r="M855" s="79"/>
      <c r="R855" s="79"/>
      <c r="S855" s="79"/>
      <c r="V855" s="79"/>
      <c r="W855" s="79"/>
      <c r="Z855" s="130"/>
      <c r="AB855" s="106"/>
    </row>
    <row r="856">
      <c r="C856" s="79"/>
      <c r="D856" s="79"/>
      <c r="E856" s="79"/>
      <c r="M856" s="79"/>
      <c r="R856" s="79"/>
      <c r="S856" s="79"/>
      <c r="V856" s="79"/>
      <c r="W856" s="79"/>
      <c r="Z856" s="130"/>
      <c r="AB856" s="106"/>
    </row>
    <row r="857">
      <c r="C857" s="79"/>
      <c r="D857" s="79"/>
      <c r="E857" s="79"/>
      <c r="M857" s="79"/>
      <c r="R857" s="79"/>
      <c r="S857" s="79"/>
      <c r="V857" s="79"/>
      <c r="W857" s="79"/>
      <c r="Z857" s="130"/>
      <c r="AB857" s="106"/>
    </row>
    <row r="858">
      <c r="C858" s="79"/>
      <c r="D858" s="79"/>
      <c r="E858" s="79"/>
      <c r="M858" s="79"/>
      <c r="R858" s="79"/>
      <c r="S858" s="79"/>
      <c r="V858" s="79"/>
      <c r="W858" s="79"/>
      <c r="Z858" s="130"/>
      <c r="AB858" s="106"/>
    </row>
    <row r="859">
      <c r="C859" s="79"/>
      <c r="D859" s="79"/>
      <c r="E859" s="79"/>
      <c r="M859" s="79"/>
      <c r="R859" s="79"/>
      <c r="S859" s="79"/>
      <c r="V859" s="79"/>
      <c r="W859" s="79"/>
      <c r="Z859" s="130"/>
      <c r="AB859" s="106"/>
    </row>
    <row r="860">
      <c r="C860" s="79"/>
      <c r="D860" s="79"/>
      <c r="E860" s="79"/>
      <c r="M860" s="79"/>
      <c r="R860" s="79"/>
      <c r="S860" s="79"/>
      <c r="V860" s="79"/>
      <c r="W860" s="79"/>
      <c r="Z860" s="130"/>
      <c r="AB860" s="106"/>
    </row>
    <row r="861">
      <c r="C861" s="79"/>
      <c r="D861" s="79"/>
      <c r="E861" s="79"/>
      <c r="M861" s="79"/>
      <c r="R861" s="79"/>
      <c r="S861" s="79"/>
      <c r="V861" s="79"/>
      <c r="W861" s="79"/>
      <c r="Z861" s="130"/>
      <c r="AB861" s="106"/>
    </row>
    <row r="862">
      <c r="C862" s="79"/>
      <c r="D862" s="79"/>
      <c r="E862" s="79"/>
      <c r="M862" s="79"/>
      <c r="R862" s="79"/>
      <c r="S862" s="79"/>
      <c r="V862" s="79"/>
      <c r="W862" s="79"/>
      <c r="Z862" s="130"/>
      <c r="AB862" s="106"/>
    </row>
    <row r="863">
      <c r="C863" s="79"/>
      <c r="D863" s="79"/>
      <c r="E863" s="79"/>
      <c r="M863" s="79"/>
      <c r="R863" s="79"/>
      <c r="S863" s="79"/>
      <c r="V863" s="79"/>
      <c r="W863" s="79"/>
      <c r="Z863" s="130"/>
      <c r="AB863" s="106"/>
    </row>
    <row r="864">
      <c r="C864" s="79"/>
      <c r="D864" s="79"/>
      <c r="E864" s="79"/>
      <c r="M864" s="79"/>
      <c r="R864" s="79"/>
      <c r="S864" s="79"/>
      <c r="V864" s="79"/>
      <c r="W864" s="79"/>
      <c r="Z864" s="130"/>
      <c r="AB864" s="106"/>
    </row>
    <row r="865">
      <c r="C865" s="79"/>
      <c r="D865" s="79"/>
      <c r="E865" s="79"/>
      <c r="M865" s="79"/>
      <c r="R865" s="79"/>
      <c r="S865" s="79"/>
      <c r="V865" s="79"/>
      <c r="W865" s="79"/>
      <c r="Z865" s="130"/>
      <c r="AB865" s="106"/>
    </row>
    <row r="866">
      <c r="C866" s="79"/>
      <c r="D866" s="79"/>
      <c r="E866" s="79"/>
      <c r="M866" s="79"/>
      <c r="R866" s="79"/>
      <c r="S866" s="79"/>
      <c r="V866" s="79"/>
      <c r="W866" s="79"/>
      <c r="Z866" s="130"/>
      <c r="AB866" s="106"/>
    </row>
    <row r="867">
      <c r="C867" s="79"/>
      <c r="D867" s="79"/>
      <c r="E867" s="79"/>
      <c r="M867" s="79"/>
      <c r="R867" s="79"/>
      <c r="S867" s="79"/>
      <c r="V867" s="79"/>
      <c r="W867" s="79"/>
      <c r="Z867" s="130"/>
      <c r="AB867" s="106"/>
    </row>
    <row r="868">
      <c r="C868" s="79"/>
      <c r="D868" s="79"/>
      <c r="E868" s="79"/>
      <c r="M868" s="79"/>
      <c r="R868" s="79"/>
      <c r="S868" s="79"/>
      <c r="V868" s="79"/>
      <c r="W868" s="79"/>
      <c r="Z868" s="130"/>
      <c r="AB868" s="106"/>
    </row>
    <row r="869">
      <c r="C869" s="79"/>
      <c r="D869" s="79"/>
      <c r="E869" s="79"/>
      <c r="M869" s="79"/>
      <c r="R869" s="79"/>
      <c r="S869" s="79"/>
      <c r="V869" s="79"/>
      <c r="W869" s="79"/>
      <c r="Z869" s="130"/>
      <c r="AB869" s="106"/>
    </row>
    <row r="870">
      <c r="C870" s="79"/>
      <c r="D870" s="79"/>
      <c r="E870" s="79"/>
      <c r="M870" s="79"/>
      <c r="R870" s="79"/>
      <c r="S870" s="79"/>
      <c r="V870" s="79"/>
      <c r="W870" s="79"/>
      <c r="Z870" s="130"/>
      <c r="AB870" s="106"/>
    </row>
    <row r="871">
      <c r="C871" s="79"/>
      <c r="D871" s="79"/>
      <c r="E871" s="79"/>
      <c r="M871" s="79"/>
      <c r="R871" s="79"/>
      <c r="S871" s="79"/>
      <c r="V871" s="79"/>
      <c r="W871" s="79"/>
      <c r="Z871" s="130"/>
      <c r="AB871" s="106"/>
    </row>
    <row r="872">
      <c r="C872" s="79"/>
      <c r="D872" s="79"/>
      <c r="E872" s="79"/>
      <c r="M872" s="79"/>
      <c r="R872" s="79"/>
      <c r="S872" s="79"/>
      <c r="V872" s="79"/>
      <c r="W872" s="79"/>
      <c r="Z872" s="130"/>
      <c r="AB872" s="106"/>
    </row>
    <row r="873">
      <c r="C873" s="79"/>
      <c r="D873" s="79"/>
      <c r="E873" s="79"/>
      <c r="M873" s="79"/>
      <c r="R873" s="79"/>
      <c r="S873" s="79"/>
      <c r="V873" s="79"/>
      <c r="W873" s="79"/>
      <c r="Z873" s="130"/>
      <c r="AB873" s="106"/>
    </row>
    <row r="874">
      <c r="C874" s="79"/>
      <c r="D874" s="79"/>
      <c r="E874" s="79"/>
      <c r="M874" s="79"/>
      <c r="R874" s="79"/>
      <c r="S874" s="79"/>
      <c r="V874" s="79"/>
      <c r="W874" s="79"/>
      <c r="Z874" s="130"/>
      <c r="AB874" s="106"/>
    </row>
    <row r="875">
      <c r="C875" s="79"/>
      <c r="D875" s="79"/>
      <c r="E875" s="79"/>
      <c r="M875" s="79"/>
      <c r="R875" s="79"/>
      <c r="S875" s="79"/>
      <c r="V875" s="79"/>
      <c r="W875" s="79"/>
      <c r="Z875" s="130"/>
      <c r="AB875" s="106"/>
    </row>
    <row r="876">
      <c r="C876" s="79"/>
      <c r="D876" s="79"/>
      <c r="E876" s="79"/>
      <c r="M876" s="79"/>
      <c r="R876" s="79"/>
      <c r="S876" s="79"/>
      <c r="V876" s="79"/>
      <c r="W876" s="79"/>
      <c r="Z876" s="130"/>
      <c r="AB876" s="106"/>
    </row>
    <row r="877">
      <c r="C877" s="79"/>
      <c r="D877" s="79"/>
      <c r="E877" s="79"/>
      <c r="M877" s="79"/>
      <c r="R877" s="79"/>
      <c r="S877" s="79"/>
      <c r="V877" s="79"/>
      <c r="W877" s="79"/>
      <c r="Z877" s="130"/>
      <c r="AB877" s="106"/>
    </row>
    <row r="878">
      <c r="C878" s="79"/>
      <c r="D878" s="79"/>
      <c r="E878" s="79"/>
      <c r="M878" s="79"/>
      <c r="R878" s="79"/>
      <c r="S878" s="79"/>
      <c r="V878" s="79"/>
      <c r="W878" s="79"/>
      <c r="Z878" s="130"/>
      <c r="AB878" s="106"/>
    </row>
    <row r="879">
      <c r="C879" s="79"/>
      <c r="D879" s="79"/>
      <c r="E879" s="79"/>
      <c r="M879" s="79"/>
      <c r="R879" s="79"/>
      <c r="S879" s="79"/>
      <c r="V879" s="79"/>
      <c r="W879" s="79"/>
      <c r="Z879" s="130"/>
      <c r="AB879" s="106"/>
    </row>
    <row r="880">
      <c r="C880" s="79"/>
      <c r="D880" s="79"/>
      <c r="E880" s="79"/>
      <c r="M880" s="79"/>
      <c r="R880" s="79"/>
      <c r="S880" s="79"/>
      <c r="V880" s="79"/>
      <c r="W880" s="79"/>
      <c r="Z880" s="130"/>
      <c r="AB880" s="106"/>
    </row>
    <row r="881">
      <c r="C881" s="79"/>
      <c r="D881" s="79"/>
      <c r="E881" s="79"/>
      <c r="M881" s="79"/>
      <c r="R881" s="79"/>
      <c r="S881" s="79"/>
      <c r="V881" s="79"/>
      <c r="W881" s="79"/>
      <c r="Z881" s="130"/>
      <c r="AB881" s="106"/>
    </row>
    <row r="882">
      <c r="C882" s="79"/>
      <c r="D882" s="79"/>
      <c r="E882" s="79"/>
      <c r="M882" s="79"/>
      <c r="R882" s="79"/>
      <c r="S882" s="79"/>
      <c r="V882" s="79"/>
      <c r="W882" s="79"/>
      <c r="Z882" s="130"/>
      <c r="AB882" s="106"/>
    </row>
    <row r="883">
      <c r="C883" s="79"/>
      <c r="D883" s="79"/>
      <c r="E883" s="79"/>
      <c r="M883" s="79"/>
      <c r="R883" s="79"/>
      <c r="S883" s="79"/>
      <c r="V883" s="79"/>
      <c r="W883" s="79"/>
      <c r="Z883" s="130"/>
      <c r="AB883" s="106"/>
    </row>
    <row r="884">
      <c r="C884" s="79"/>
      <c r="D884" s="79"/>
      <c r="E884" s="79"/>
      <c r="M884" s="79"/>
      <c r="R884" s="79"/>
      <c r="S884" s="79"/>
      <c r="V884" s="79"/>
      <c r="W884" s="79"/>
      <c r="Z884" s="130"/>
      <c r="AB884" s="106"/>
    </row>
    <row r="885">
      <c r="C885" s="79"/>
      <c r="D885" s="79"/>
      <c r="E885" s="79"/>
      <c r="M885" s="79"/>
      <c r="R885" s="79"/>
      <c r="S885" s="79"/>
      <c r="V885" s="79"/>
      <c r="W885" s="79"/>
      <c r="Z885" s="130"/>
      <c r="AB885" s="106"/>
    </row>
    <row r="886">
      <c r="C886" s="79"/>
      <c r="D886" s="79"/>
      <c r="E886" s="79"/>
      <c r="M886" s="79"/>
      <c r="R886" s="79"/>
      <c r="S886" s="79"/>
      <c r="V886" s="79"/>
      <c r="W886" s="79"/>
      <c r="Z886" s="130"/>
      <c r="AB886" s="106"/>
    </row>
    <row r="887">
      <c r="C887" s="79"/>
      <c r="D887" s="79"/>
      <c r="E887" s="79"/>
      <c r="M887" s="79"/>
      <c r="R887" s="79"/>
      <c r="S887" s="79"/>
      <c r="V887" s="79"/>
      <c r="W887" s="79"/>
      <c r="Z887" s="130"/>
      <c r="AB887" s="106"/>
    </row>
    <row r="888">
      <c r="C888" s="79"/>
      <c r="D888" s="79"/>
      <c r="E888" s="79"/>
      <c r="M888" s="79"/>
      <c r="R888" s="79"/>
      <c r="S888" s="79"/>
      <c r="V888" s="79"/>
      <c r="W888" s="79"/>
      <c r="Z888" s="130"/>
      <c r="AB888" s="106"/>
    </row>
    <row r="889">
      <c r="C889" s="79"/>
      <c r="D889" s="79"/>
      <c r="E889" s="79"/>
      <c r="M889" s="79"/>
      <c r="R889" s="79"/>
      <c r="S889" s="79"/>
      <c r="V889" s="79"/>
      <c r="W889" s="79"/>
      <c r="Z889" s="130"/>
      <c r="AB889" s="106"/>
    </row>
    <row r="890">
      <c r="C890" s="79"/>
      <c r="D890" s="79"/>
      <c r="E890" s="79"/>
      <c r="M890" s="79"/>
      <c r="R890" s="79"/>
      <c r="S890" s="79"/>
      <c r="V890" s="79"/>
      <c r="W890" s="79"/>
      <c r="Z890" s="130"/>
      <c r="AB890" s="106"/>
    </row>
    <row r="891">
      <c r="C891" s="79"/>
      <c r="D891" s="79"/>
      <c r="E891" s="79"/>
      <c r="M891" s="79"/>
      <c r="R891" s="79"/>
      <c r="S891" s="79"/>
      <c r="V891" s="79"/>
      <c r="W891" s="79"/>
      <c r="Z891" s="130"/>
      <c r="AB891" s="106"/>
    </row>
    <row r="892">
      <c r="C892" s="79"/>
      <c r="D892" s="79"/>
      <c r="E892" s="79"/>
      <c r="M892" s="79"/>
      <c r="R892" s="79"/>
      <c r="S892" s="79"/>
      <c r="V892" s="79"/>
      <c r="W892" s="79"/>
      <c r="Z892" s="130"/>
      <c r="AB892" s="106"/>
    </row>
    <row r="893">
      <c r="C893" s="79"/>
      <c r="D893" s="79"/>
      <c r="E893" s="79"/>
      <c r="M893" s="79"/>
      <c r="R893" s="79"/>
      <c r="S893" s="79"/>
      <c r="V893" s="79"/>
      <c r="W893" s="79"/>
      <c r="Z893" s="130"/>
      <c r="AB893" s="106"/>
    </row>
    <row r="894">
      <c r="C894" s="79"/>
      <c r="D894" s="79"/>
      <c r="E894" s="79"/>
      <c r="M894" s="79"/>
      <c r="R894" s="79"/>
      <c r="S894" s="79"/>
      <c r="V894" s="79"/>
      <c r="W894" s="79"/>
      <c r="Z894" s="130"/>
      <c r="AB894" s="106"/>
    </row>
    <row r="895">
      <c r="C895" s="79"/>
      <c r="D895" s="79"/>
      <c r="E895" s="79"/>
      <c r="M895" s="79"/>
      <c r="R895" s="79"/>
      <c r="S895" s="79"/>
      <c r="V895" s="79"/>
      <c r="W895" s="79"/>
      <c r="Z895" s="130"/>
      <c r="AB895" s="106"/>
    </row>
    <row r="896">
      <c r="C896" s="79"/>
      <c r="D896" s="79"/>
      <c r="E896" s="79"/>
      <c r="M896" s="79"/>
      <c r="R896" s="79"/>
      <c r="S896" s="79"/>
      <c r="V896" s="79"/>
      <c r="W896" s="79"/>
      <c r="Z896" s="130"/>
      <c r="AB896" s="106"/>
    </row>
    <row r="897">
      <c r="C897" s="79"/>
      <c r="D897" s="79"/>
      <c r="E897" s="79"/>
      <c r="M897" s="79"/>
      <c r="R897" s="79"/>
      <c r="S897" s="79"/>
      <c r="V897" s="79"/>
      <c r="W897" s="79"/>
      <c r="Z897" s="130"/>
      <c r="AB897" s="106"/>
    </row>
    <row r="898">
      <c r="C898" s="79"/>
      <c r="D898" s="79"/>
      <c r="E898" s="79"/>
      <c r="M898" s="79"/>
      <c r="R898" s="79"/>
      <c r="S898" s="79"/>
      <c r="V898" s="79"/>
      <c r="W898" s="79"/>
      <c r="Z898" s="130"/>
      <c r="AB898" s="106"/>
    </row>
    <row r="899">
      <c r="C899" s="79"/>
      <c r="D899" s="79"/>
      <c r="E899" s="79"/>
      <c r="M899" s="79"/>
      <c r="R899" s="79"/>
      <c r="S899" s="79"/>
      <c r="V899" s="79"/>
      <c r="W899" s="79"/>
      <c r="Z899" s="130"/>
      <c r="AB899" s="106"/>
    </row>
    <row r="900">
      <c r="C900" s="79"/>
      <c r="D900" s="79"/>
      <c r="E900" s="79"/>
      <c r="M900" s="79"/>
      <c r="R900" s="79"/>
      <c r="S900" s="79"/>
      <c r="V900" s="79"/>
      <c r="W900" s="79"/>
      <c r="Z900" s="130"/>
      <c r="AB900" s="106"/>
    </row>
    <row r="901">
      <c r="C901" s="79"/>
      <c r="D901" s="79"/>
      <c r="E901" s="79"/>
      <c r="M901" s="79"/>
      <c r="R901" s="79"/>
      <c r="S901" s="79"/>
      <c r="V901" s="79"/>
      <c r="W901" s="79"/>
      <c r="Z901" s="130"/>
      <c r="AB901" s="106"/>
    </row>
    <row r="902">
      <c r="C902" s="79"/>
      <c r="D902" s="79"/>
      <c r="E902" s="79"/>
      <c r="M902" s="79"/>
      <c r="R902" s="79"/>
      <c r="S902" s="79"/>
      <c r="V902" s="79"/>
      <c r="W902" s="79"/>
      <c r="Z902" s="130"/>
      <c r="AB902" s="106"/>
    </row>
    <row r="903">
      <c r="C903" s="79"/>
      <c r="D903" s="79"/>
      <c r="E903" s="79"/>
      <c r="M903" s="79"/>
      <c r="R903" s="79"/>
      <c r="S903" s="79"/>
      <c r="V903" s="79"/>
      <c r="W903" s="79"/>
      <c r="Z903" s="130"/>
      <c r="AB903" s="106"/>
    </row>
    <row r="904">
      <c r="C904" s="79"/>
      <c r="D904" s="79"/>
      <c r="E904" s="79"/>
      <c r="M904" s="79"/>
      <c r="R904" s="79"/>
      <c r="S904" s="79"/>
      <c r="V904" s="79"/>
      <c r="W904" s="79"/>
      <c r="Z904" s="130"/>
      <c r="AB904" s="106"/>
    </row>
    <row r="905">
      <c r="C905" s="79"/>
      <c r="D905" s="79"/>
      <c r="E905" s="79"/>
      <c r="M905" s="79"/>
      <c r="R905" s="79"/>
      <c r="S905" s="79"/>
      <c r="V905" s="79"/>
      <c r="W905" s="79"/>
      <c r="Z905" s="130"/>
      <c r="AB905" s="106"/>
    </row>
    <row r="906">
      <c r="C906" s="79"/>
      <c r="D906" s="79"/>
      <c r="E906" s="79"/>
      <c r="M906" s="79"/>
      <c r="R906" s="79"/>
      <c r="S906" s="79"/>
      <c r="V906" s="79"/>
      <c r="W906" s="79"/>
      <c r="Z906" s="130"/>
      <c r="AB906" s="106"/>
    </row>
    <row r="907">
      <c r="C907" s="79"/>
      <c r="D907" s="79"/>
      <c r="E907" s="79"/>
      <c r="M907" s="79"/>
      <c r="R907" s="79"/>
      <c r="S907" s="79"/>
      <c r="V907" s="79"/>
      <c r="W907" s="79"/>
      <c r="Z907" s="130"/>
      <c r="AB907" s="106"/>
    </row>
    <row r="908">
      <c r="C908" s="79"/>
      <c r="D908" s="79"/>
      <c r="E908" s="79"/>
      <c r="M908" s="79"/>
      <c r="R908" s="79"/>
      <c r="S908" s="79"/>
      <c r="V908" s="79"/>
      <c r="W908" s="79"/>
      <c r="Z908" s="130"/>
      <c r="AB908" s="106"/>
    </row>
    <row r="909">
      <c r="C909" s="79"/>
      <c r="D909" s="79"/>
      <c r="E909" s="79"/>
      <c r="M909" s="79"/>
      <c r="R909" s="79"/>
      <c r="S909" s="79"/>
      <c r="V909" s="79"/>
      <c r="W909" s="79"/>
      <c r="Z909" s="130"/>
      <c r="AB909" s="106"/>
    </row>
    <row r="910">
      <c r="C910" s="79"/>
      <c r="D910" s="79"/>
      <c r="E910" s="79"/>
      <c r="M910" s="79"/>
      <c r="R910" s="79"/>
      <c r="S910" s="79"/>
      <c r="V910" s="79"/>
      <c r="W910" s="79"/>
      <c r="Z910" s="130"/>
      <c r="AB910" s="106"/>
    </row>
    <row r="911">
      <c r="C911" s="79"/>
      <c r="D911" s="79"/>
      <c r="E911" s="79"/>
      <c r="M911" s="79"/>
      <c r="R911" s="79"/>
      <c r="S911" s="79"/>
      <c r="V911" s="79"/>
      <c r="W911" s="79"/>
      <c r="Z911" s="130"/>
      <c r="AB911" s="106"/>
    </row>
    <row r="912">
      <c r="C912" s="79"/>
      <c r="D912" s="79"/>
      <c r="E912" s="79"/>
      <c r="M912" s="79"/>
      <c r="R912" s="79"/>
      <c r="S912" s="79"/>
      <c r="V912" s="79"/>
      <c r="W912" s="79"/>
      <c r="Z912" s="130"/>
      <c r="AB912" s="106"/>
    </row>
    <row r="913">
      <c r="C913" s="79"/>
      <c r="D913" s="79"/>
      <c r="E913" s="79"/>
      <c r="M913" s="79"/>
      <c r="R913" s="79"/>
      <c r="S913" s="79"/>
      <c r="V913" s="79"/>
      <c r="W913" s="79"/>
      <c r="Z913" s="130"/>
      <c r="AB913" s="106"/>
    </row>
    <row r="914">
      <c r="C914" s="79"/>
      <c r="D914" s="79"/>
      <c r="E914" s="79"/>
      <c r="M914" s="79"/>
      <c r="R914" s="79"/>
      <c r="S914" s="79"/>
      <c r="V914" s="79"/>
      <c r="W914" s="79"/>
      <c r="Z914" s="130"/>
      <c r="AB914" s="106"/>
    </row>
    <row r="915">
      <c r="C915" s="79"/>
      <c r="D915" s="79"/>
      <c r="E915" s="79"/>
      <c r="M915" s="79"/>
      <c r="R915" s="79"/>
      <c r="S915" s="79"/>
      <c r="V915" s="79"/>
      <c r="W915" s="79"/>
      <c r="Z915" s="130"/>
      <c r="AB915" s="106"/>
    </row>
    <row r="916">
      <c r="C916" s="79"/>
      <c r="D916" s="79"/>
      <c r="E916" s="79"/>
      <c r="M916" s="79"/>
      <c r="R916" s="79"/>
      <c r="S916" s="79"/>
      <c r="V916" s="79"/>
      <c r="W916" s="79"/>
      <c r="Z916" s="130"/>
      <c r="AB916" s="106"/>
    </row>
    <row r="917">
      <c r="C917" s="79"/>
      <c r="D917" s="79"/>
      <c r="E917" s="79"/>
      <c r="M917" s="79"/>
      <c r="R917" s="79"/>
      <c r="S917" s="79"/>
      <c r="V917" s="79"/>
      <c r="W917" s="79"/>
      <c r="Z917" s="130"/>
      <c r="AB917" s="106"/>
    </row>
    <row r="918">
      <c r="C918" s="79"/>
      <c r="D918" s="79"/>
      <c r="E918" s="79"/>
      <c r="M918" s="79"/>
      <c r="R918" s="79"/>
      <c r="S918" s="79"/>
      <c r="V918" s="79"/>
      <c r="W918" s="79"/>
      <c r="Z918" s="130"/>
      <c r="AB918" s="106"/>
    </row>
    <row r="919">
      <c r="C919" s="79"/>
      <c r="D919" s="79"/>
      <c r="E919" s="79"/>
      <c r="M919" s="79"/>
      <c r="R919" s="79"/>
      <c r="S919" s="79"/>
      <c r="V919" s="79"/>
      <c r="W919" s="79"/>
      <c r="Z919" s="130"/>
      <c r="AB919" s="106"/>
    </row>
    <row r="920">
      <c r="C920" s="79"/>
      <c r="D920" s="79"/>
      <c r="E920" s="79"/>
      <c r="M920" s="79"/>
      <c r="R920" s="79"/>
      <c r="S920" s="79"/>
      <c r="V920" s="79"/>
      <c r="W920" s="79"/>
      <c r="Z920" s="130"/>
      <c r="AB920" s="106"/>
    </row>
    <row r="921">
      <c r="C921" s="79"/>
      <c r="D921" s="79"/>
      <c r="E921" s="79"/>
      <c r="M921" s="79"/>
      <c r="R921" s="79"/>
      <c r="S921" s="79"/>
      <c r="V921" s="79"/>
      <c r="W921" s="79"/>
      <c r="Z921" s="130"/>
      <c r="AB921" s="106"/>
    </row>
    <row r="922">
      <c r="C922" s="79"/>
      <c r="D922" s="79"/>
      <c r="E922" s="79"/>
      <c r="M922" s="79"/>
      <c r="R922" s="79"/>
      <c r="S922" s="79"/>
      <c r="V922" s="79"/>
      <c r="W922" s="79"/>
      <c r="Z922" s="130"/>
      <c r="AB922" s="106"/>
    </row>
    <row r="923">
      <c r="C923" s="79"/>
      <c r="D923" s="79"/>
      <c r="E923" s="79"/>
      <c r="M923" s="79"/>
      <c r="R923" s="79"/>
      <c r="S923" s="79"/>
      <c r="V923" s="79"/>
      <c r="W923" s="79"/>
      <c r="Z923" s="130"/>
      <c r="AB923" s="106"/>
    </row>
    <row r="924">
      <c r="C924" s="79"/>
      <c r="D924" s="79"/>
      <c r="E924" s="79"/>
      <c r="M924" s="79"/>
      <c r="R924" s="79"/>
      <c r="S924" s="79"/>
      <c r="V924" s="79"/>
      <c r="W924" s="79"/>
      <c r="Z924" s="130"/>
      <c r="AB924" s="106"/>
    </row>
    <row r="925">
      <c r="C925" s="79"/>
      <c r="D925" s="79"/>
      <c r="E925" s="79"/>
      <c r="M925" s="79"/>
      <c r="R925" s="79"/>
      <c r="S925" s="79"/>
      <c r="V925" s="79"/>
      <c r="W925" s="79"/>
      <c r="Z925" s="130"/>
      <c r="AB925" s="106"/>
    </row>
    <row r="926">
      <c r="C926" s="79"/>
      <c r="D926" s="79"/>
      <c r="E926" s="79"/>
      <c r="M926" s="79"/>
      <c r="R926" s="79"/>
      <c r="S926" s="79"/>
      <c r="V926" s="79"/>
      <c r="W926" s="79"/>
      <c r="Z926" s="130"/>
      <c r="AB926" s="106"/>
    </row>
    <row r="927">
      <c r="C927" s="79"/>
      <c r="D927" s="79"/>
      <c r="E927" s="79"/>
      <c r="M927" s="79"/>
      <c r="R927" s="79"/>
      <c r="S927" s="79"/>
      <c r="V927" s="79"/>
      <c r="W927" s="79"/>
      <c r="Z927" s="130"/>
      <c r="AB927" s="106"/>
    </row>
    <row r="928">
      <c r="C928" s="79"/>
      <c r="D928" s="79"/>
      <c r="E928" s="79"/>
      <c r="M928" s="79"/>
      <c r="R928" s="79"/>
      <c r="S928" s="79"/>
      <c r="V928" s="79"/>
      <c r="W928" s="79"/>
      <c r="Z928" s="130"/>
      <c r="AB928" s="106"/>
    </row>
    <row r="929">
      <c r="C929" s="79"/>
      <c r="D929" s="79"/>
      <c r="E929" s="79"/>
      <c r="M929" s="79"/>
      <c r="R929" s="79"/>
      <c r="S929" s="79"/>
      <c r="V929" s="79"/>
      <c r="W929" s="79"/>
      <c r="Z929" s="130"/>
      <c r="AB929" s="106"/>
    </row>
    <row r="930">
      <c r="C930" s="79"/>
      <c r="D930" s="79"/>
      <c r="E930" s="79"/>
      <c r="M930" s="79"/>
      <c r="R930" s="79"/>
      <c r="S930" s="79"/>
      <c r="V930" s="79"/>
      <c r="W930" s="79"/>
      <c r="Z930" s="130"/>
      <c r="AB930" s="106"/>
    </row>
    <row r="931">
      <c r="C931" s="79"/>
      <c r="D931" s="79"/>
      <c r="E931" s="79"/>
      <c r="M931" s="79"/>
      <c r="R931" s="79"/>
      <c r="S931" s="79"/>
      <c r="V931" s="79"/>
      <c r="W931" s="79"/>
      <c r="Z931" s="130"/>
      <c r="AB931" s="106"/>
    </row>
    <row r="932">
      <c r="C932" s="79"/>
      <c r="D932" s="79"/>
      <c r="E932" s="79"/>
      <c r="M932" s="79"/>
      <c r="R932" s="79"/>
      <c r="S932" s="79"/>
      <c r="V932" s="79"/>
      <c r="W932" s="79"/>
      <c r="Z932" s="130"/>
      <c r="AB932" s="106"/>
    </row>
    <row r="933">
      <c r="C933" s="79"/>
      <c r="D933" s="79"/>
      <c r="E933" s="79"/>
      <c r="M933" s="79"/>
      <c r="R933" s="79"/>
      <c r="S933" s="79"/>
      <c r="V933" s="79"/>
      <c r="W933" s="79"/>
      <c r="Z933" s="130"/>
      <c r="AB933" s="106"/>
    </row>
    <row r="934">
      <c r="C934" s="79"/>
      <c r="D934" s="79"/>
      <c r="E934" s="79"/>
      <c r="M934" s="79"/>
      <c r="R934" s="79"/>
      <c r="S934" s="79"/>
      <c r="V934" s="79"/>
      <c r="W934" s="79"/>
      <c r="Z934" s="130"/>
      <c r="AB934" s="106"/>
    </row>
    <row r="935">
      <c r="C935" s="79"/>
      <c r="D935" s="79"/>
      <c r="E935" s="79"/>
      <c r="M935" s="79"/>
      <c r="R935" s="79"/>
      <c r="S935" s="79"/>
      <c r="V935" s="79"/>
      <c r="W935" s="79"/>
      <c r="Z935" s="130"/>
      <c r="AB935" s="106"/>
    </row>
    <row r="936">
      <c r="C936" s="79"/>
      <c r="D936" s="79"/>
      <c r="E936" s="79"/>
      <c r="M936" s="79"/>
      <c r="R936" s="79"/>
      <c r="S936" s="79"/>
      <c r="V936" s="79"/>
      <c r="W936" s="79"/>
      <c r="Z936" s="130"/>
      <c r="AB936" s="106"/>
    </row>
    <row r="937">
      <c r="C937" s="79"/>
      <c r="D937" s="79"/>
      <c r="E937" s="79"/>
      <c r="M937" s="79"/>
      <c r="R937" s="79"/>
      <c r="S937" s="79"/>
      <c r="V937" s="79"/>
      <c r="W937" s="79"/>
      <c r="Z937" s="130"/>
      <c r="AB937" s="106"/>
    </row>
    <row r="938">
      <c r="C938" s="79"/>
      <c r="D938" s="79"/>
      <c r="E938" s="79"/>
      <c r="M938" s="79"/>
      <c r="R938" s="79"/>
      <c r="S938" s="79"/>
      <c r="V938" s="79"/>
      <c r="W938" s="79"/>
      <c r="Z938" s="130"/>
      <c r="AB938" s="106"/>
    </row>
    <row r="939">
      <c r="C939" s="79"/>
      <c r="D939" s="79"/>
      <c r="E939" s="79"/>
      <c r="M939" s="79"/>
      <c r="R939" s="79"/>
      <c r="S939" s="79"/>
      <c r="V939" s="79"/>
      <c r="W939" s="79"/>
      <c r="Z939" s="130"/>
      <c r="AB939" s="106"/>
    </row>
    <row r="940">
      <c r="C940" s="79"/>
      <c r="D940" s="79"/>
      <c r="E940" s="79"/>
      <c r="M940" s="79"/>
      <c r="R940" s="79"/>
      <c r="S940" s="79"/>
      <c r="V940" s="79"/>
      <c r="W940" s="79"/>
      <c r="Z940" s="130"/>
      <c r="AB940" s="106"/>
    </row>
    <row r="941">
      <c r="C941" s="79"/>
      <c r="D941" s="79"/>
      <c r="E941" s="79"/>
      <c r="M941" s="79"/>
      <c r="R941" s="79"/>
      <c r="S941" s="79"/>
      <c r="V941" s="79"/>
      <c r="W941" s="79"/>
      <c r="Z941" s="130"/>
      <c r="AB941" s="106"/>
    </row>
    <row r="942">
      <c r="C942" s="79"/>
      <c r="D942" s="79"/>
      <c r="E942" s="79"/>
      <c r="M942" s="79"/>
      <c r="R942" s="79"/>
      <c r="S942" s="79"/>
      <c r="V942" s="79"/>
      <c r="W942" s="79"/>
      <c r="Z942" s="130"/>
      <c r="AB942" s="106"/>
    </row>
    <row r="943">
      <c r="C943" s="79"/>
      <c r="D943" s="79"/>
      <c r="E943" s="79"/>
      <c r="M943" s="79"/>
      <c r="R943" s="79"/>
      <c r="S943" s="79"/>
      <c r="V943" s="79"/>
      <c r="W943" s="79"/>
      <c r="Z943" s="130"/>
      <c r="AB943" s="106"/>
    </row>
    <row r="944">
      <c r="C944" s="79"/>
      <c r="D944" s="79"/>
      <c r="E944" s="79"/>
      <c r="M944" s="79"/>
      <c r="R944" s="79"/>
      <c r="S944" s="79"/>
      <c r="V944" s="79"/>
      <c r="W944" s="79"/>
      <c r="Z944" s="130"/>
      <c r="AB944" s="106"/>
    </row>
    <row r="945">
      <c r="C945" s="79"/>
      <c r="D945" s="79"/>
      <c r="E945" s="79"/>
      <c r="M945" s="79"/>
      <c r="R945" s="79"/>
      <c r="S945" s="79"/>
      <c r="V945" s="79"/>
      <c r="W945" s="79"/>
      <c r="Z945" s="130"/>
      <c r="AB945" s="106"/>
    </row>
    <row r="946">
      <c r="C946" s="79"/>
      <c r="D946" s="79"/>
      <c r="E946" s="79"/>
      <c r="M946" s="79"/>
      <c r="R946" s="79"/>
      <c r="S946" s="79"/>
      <c r="V946" s="79"/>
      <c r="W946" s="79"/>
      <c r="Z946" s="130"/>
      <c r="AB946" s="106"/>
    </row>
    <row r="947">
      <c r="C947" s="79"/>
      <c r="D947" s="79"/>
      <c r="E947" s="79"/>
      <c r="M947" s="79"/>
      <c r="R947" s="79"/>
      <c r="S947" s="79"/>
      <c r="V947" s="79"/>
      <c r="W947" s="79"/>
      <c r="Z947" s="130"/>
      <c r="AB947" s="106"/>
    </row>
    <row r="948">
      <c r="C948" s="79"/>
      <c r="D948" s="79"/>
      <c r="E948" s="79"/>
      <c r="M948" s="79"/>
      <c r="R948" s="79"/>
      <c r="S948" s="79"/>
      <c r="V948" s="79"/>
      <c r="W948" s="79"/>
      <c r="Z948" s="130"/>
      <c r="AB948" s="106"/>
    </row>
    <row r="949">
      <c r="C949" s="79"/>
      <c r="D949" s="79"/>
      <c r="E949" s="79"/>
      <c r="M949" s="79"/>
      <c r="R949" s="79"/>
      <c r="S949" s="79"/>
      <c r="V949" s="79"/>
      <c r="W949" s="79"/>
      <c r="Z949" s="130"/>
      <c r="AB949" s="106"/>
    </row>
    <row r="950">
      <c r="C950" s="79"/>
      <c r="D950" s="79"/>
      <c r="E950" s="79"/>
      <c r="M950" s="79"/>
      <c r="R950" s="79"/>
      <c r="S950" s="79"/>
      <c r="V950" s="79"/>
      <c r="W950" s="79"/>
      <c r="Z950" s="130"/>
      <c r="AB950" s="106"/>
    </row>
    <row r="951">
      <c r="C951" s="79"/>
      <c r="D951" s="79"/>
      <c r="E951" s="79"/>
      <c r="M951" s="79"/>
      <c r="R951" s="79"/>
      <c r="S951" s="79"/>
      <c r="V951" s="79"/>
      <c r="W951" s="79"/>
      <c r="Z951" s="130"/>
      <c r="AB951" s="106"/>
    </row>
    <row r="952">
      <c r="C952" s="79"/>
      <c r="D952" s="79"/>
      <c r="E952" s="79"/>
      <c r="M952" s="79"/>
      <c r="R952" s="79"/>
      <c r="S952" s="79"/>
      <c r="V952" s="79"/>
      <c r="W952" s="79"/>
      <c r="Z952" s="130"/>
      <c r="AB952" s="106"/>
    </row>
    <row r="953">
      <c r="C953" s="79"/>
      <c r="D953" s="79"/>
      <c r="E953" s="79"/>
      <c r="M953" s="79"/>
      <c r="R953" s="79"/>
      <c r="S953" s="79"/>
      <c r="V953" s="79"/>
      <c r="W953" s="79"/>
      <c r="Z953" s="130"/>
      <c r="AB953" s="106"/>
    </row>
    <row r="954">
      <c r="C954" s="79"/>
      <c r="D954" s="79"/>
      <c r="E954" s="79"/>
      <c r="M954" s="79"/>
      <c r="R954" s="79"/>
      <c r="S954" s="79"/>
      <c r="V954" s="79"/>
      <c r="W954" s="79"/>
      <c r="Z954" s="130"/>
      <c r="AB954" s="106"/>
    </row>
    <row r="955">
      <c r="C955" s="79"/>
      <c r="D955" s="79"/>
      <c r="E955" s="79"/>
      <c r="M955" s="79"/>
      <c r="R955" s="79"/>
      <c r="S955" s="79"/>
      <c r="V955" s="79"/>
      <c r="W955" s="79"/>
      <c r="Z955" s="130"/>
      <c r="AB955" s="106"/>
    </row>
    <row r="956">
      <c r="C956" s="79"/>
      <c r="D956" s="79"/>
      <c r="E956" s="79"/>
      <c r="M956" s="79"/>
      <c r="R956" s="79"/>
      <c r="S956" s="79"/>
      <c r="V956" s="79"/>
      <c r="W956" s="79"/>
      <c r="Z956" s="130"/>
      <c r="AB956" s="106"/>
    </row>
    <row r="957">
      <c r="C957" s="79"/>
      <c r="D957" s="79"/>
      <c r="E957" s="79"/>
      <c r="M957" s="79"/>
      <c r="R957" s="79"/>
      <c r="S957" s="79"/>
      <c r="V957" s="79"/>
      <c r="W957" s="79"/>
      <c r="Z957" s="130"/>
      <c r="AB957" s="106"/>
    </row>
    <row r="958">
      <c r="C958" s="79"/>
      <c r="D958" s="79"/>
      <c r="E958" s="79"/>
      <c r="M958" s="79"/>
      <c r="R958" s="79"/>
      <c r="S958" s="79"/>
      <c r="V958" s="79"/>
      <c r="W958" s="79"/>
      <c r="Z958" s="130"/>
      <c r="AB958" s="106"/>
    </row>
    <row r="959">
      <c r="C959" s="79"/>
      <c r="D959" s="79"/>
      <c r="E959" s="79"/>
      <c r="M959" s="79"/>
      <c r="R959" s="79"/>
      <c r="S959" s="79"/>
      <c r="V959" s="79"/>
      <c r="W959" s="79"/>
      <c r="Z959" s="130"/>
      <c r="AB959" s="106"/>
    </row>
    <row r="960">
      <c r="C960" s="79"/>
      <c r="D960" s="79"/>
      <c r="E960" s="79"/>
      <c r="M960" s="79"/>
      <c r="R960" s="79"/>
      <c r="S960" s="79"/>
      <c r="V960" s="79"/>
      <c r="W960" s="79"/>
      <c r="Z960" s="130"/>
      <c r="AB960" s="106"/>
    </row>
    <row r="961">
      <c r="C961" s="79"/>
      <c r="D961" s="79"/>
      <c r="E961" s="79"/>
      <c r="M961" s="79"/>
      <c r="R961" s="79"/>
      <c r="S961" s="79"/>
      <c r="V961" s="79"/>
      <c r="W961" s="79"/>
      <c r="Z961" s="130"/>
      <c r="AB961" s="106"/>
    </row>
    <row r="962">
      <c r="C962" s="79"/>
      <c r="D962" s="79"/>
      <c r="E962" s="79"/>
      <c r="M962" s="79"/>
      <c r="R962" s="79"/>
      <c r="S962" s="79"/>
      <c r="V962" s="79"/>
      <c r="W962" s="79"/>
      <c r="Z962" s="130"/>
      <c r="AB962" s="106"/>
    </row>
    <row r="963">
      <c r="C963" s="79"/>
      <c r="D963" s="79"/>
      <c r="E963" s="79"/>
      <c r="M963" s="79"/>
      <c r="R963" s="79"/>
      <c r="S963" s="79"/>
      <c r="V963" s="79"/>
      <c r="W963" s="79"/>
      <c r="Z963" s="130"/>
      <c r="AB963" s="106"/>
    </row>
  </sheetData>
  <drawing r:id="rId2"/>
  <legacyDrawing r:id="rId3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5" max="5" width="13.5"/>
    <col customWidth="1" min="7" max="7" width="13.25"/>
    <col customWidth="1" min="24" max="24" width="14.63"/>
    <col customWidth="1" min="28" max="28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3</v>
      </c>
      <c r="G1" s="2" t="s">
        <v>203</v>
      </c>
      <c r="H1" s="2" t="s">
        <v>129</v>
      </c>
      <c r="I1" s="2" t="s">
        <v>5</v>
      </c>
      <c r="J1" s="2" t="s">
        <v>204</v>
      </c>
      <c r="K1" s="2" t="s">
        <v>6</v>
      </c>
      <c r="L1" s="2" t="s">
        <v>12</v>
      </c>
      <c r="M1" s="105" t="s">
        <v>40</v>
      </c>
      <c r="N1" s="2" t="s">
        <v>49</v>
      </c>
      <c r="O1" s="2" t="s">
        <v>42</v>
      </c>
      <c r="P1" s="2" t="s">
        <v>121</v>
      </c>
      <c r="Q1" s="2" t="s">
        <v>164</v>
      </c>
      <c r="R1" s="105" t="s">
        <v>9</v>
      </c>
      <c r="S1" s="105" t="s">
        <v>165</v>
      </c>
      <c r="T1" s="2" t="s">
        <v>37</v>
      </c>
      <c r="U1" s="2" t="s">
        <v>10</v>
      </c>
      <c r="V1" s="105" t="s">
        <v>11</v>
      </c>
      <c r="W1" s="105" t="s">
        <v>205</v>
      </c>
      <c r="X1" s="2" t="s">
        <v>206</v>
      </c>
      <c r="Y1" s="3" t="s">
        <v>13</v>
      </c>
      <c r="Z1" s="3" t="s">
        <v>14</v>
      </c>
      <c r="AA1" s="3" t="s">
        <v>15</v>
      </c>
      <c r="AB1" s="106"/>
    </row>
    <row r="2">
      <c r="A2" s="74">
        <v>45348.0</v>
      </c>
      <c r="B2" s="93">
        <f>404.43-231.6+1661.9-42.1-309.4-95.74-46.32</f>
        <v>1341.17</v>
      </c>
      <c r="C2" s="93"/>
      <c r="D2" s="193"/>
      <c r="E2" s="93"/>
      <c r="F2" s="93">
        <v>180.0</v>
      </c>
      <c r="G2" s="93"/>
      <c r="H2" s="93"/>
      <c r="I2" s="93"/>
      <c r="J2" s="93"/>
      <c r="K2" s="93"/>
      <c r="L2" s="93"/>
      <c r="M2" s="93"/>
      <c r="N2" s="93">
        <v>144.0</v>
      </c>
      <c r="O2" s="93"/>
      <c r="P2" s="93"/>
      <c r="Q2" s="93"/>
      <c r="R2" s="93"/>
      <c r="S2" s="93"/>
      <c r="T2" s="72"/>
      <c r="U2" s="93"/>
      <c r="V2" s="93">
        <v>57.05</v>
      </c>
      <c r="W2" s="93"/>
      <c r="X2" s="5"/>
      <c r="Y2" s="107">
        <f t="shared" ref="Y2:Y8" si="1">SUM(B2:X2)</f>
        <v>1722.22</v>
      </c>
      <c r="Z2" s="158">
        <v>3073.0</v>
      </c>
      <c r="AA2" s="59">
        <f t="shared" ref="AA2:AA8" si="2">Y2/Z2</f>
        <v>0.560436056</v>
      </c>
      <c r="AB2" s="109">
        <f t="shared" ref="AB2:AB8" si="3">A2</f>
        <v>45348</v>
      </c>
    </row>
    <row r="3">
      <c r="A3" s="74">
        <v>45349.0</v>
      </c>
      <c r="B3" s="93">
        <f>79.73-4.24-9.77</f>
        <v>65.72</v>
      </c>
      <c r="C3" s="93"/>
      <c r="D3" s="193"/>
      <c r="E3" s="93"/>
      <c r="F3" s="93"/>
      <c r="G3" s="93"/>
      <c r="H3" s="93">
        <f>40.44</f>
        <v>40.44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107">
        <f t="shared" si="1"/>
        <v>106.16</v>
      </c>
      <c r="Z3" s="158">
        <v>3528.0</v>
      </c>
      <c r="AA3" s="59">
        <f t="shared" si="2"/>
        <v>0.03009070295</v>
      </c>
      <c r="AB3" s="109">
        <f t="shared" si="3"/>
        <v>45349</v>
      </c>
    </row>
    <row r="4">
      <c r="A4" s="74">
        <v>45350.0</v>
      </c>
      <c r="B4" s="93">
        <f>1336-11.68-698-55-10.33-21.15-70.39-32.42-46.32-26.16-39.09</f>
        <v>325.46</v>
      </c>
      <c r="C4" s="93">
        <f>652.65-39-35.85</f>
        <v>577.8</v>
      </c>
      <c r="D4" s="93">
        <f>390.01-76</f>
        <v>314.01</v>
      </c>
      <c r="E4" s="93"/>
      <c r="F4" s="93"/>
      <c r="G4" s="93"/>
      <c r="H4" s="93"/>
      <c r="I4" s="93">
        <f>495-198</f>
        <v>297</v>
      </c>
      <c r="J4" s="93"/>
      <c r="K4" s="93">
        <v>104.5</v>
      </c>
      <c r="L4" s="93"/>
      <c r="M4" s="93"/>
      <c r="N4" s="93"/>
      <c r="O4" s="93"/>
      <c r="P4" s="93">
        <v>18.5</v>
      </c>
      <c r="Q4" s="93"/>
      <c r="R4" s="93"/>
      <c r="S4" s="93"/>
      <c r="T4" s="160"/>
      <c r="U4" s="93"/>
      <c r="V4" s="93">
        <v>57.05</v>
      </c>
      <c r="W4" s="93"/>
      <c r="X4" s="6"/>
      <c r="Y4" s="107">
        <f t="shared" si="1"/>
        <v>1694.32</v>
      </c>
      <c r="Z4" s="97">
        <v>3040</v>
      </c>
      <c r="AA4" s="59">
        <f t="shared" si="2"/>
        <v>0.5573421053</v>
      </c>
      <c r="AB4" s="109">
        <f t="shared" si="3"/>
        <v>45350</v>
      </c>
    </row>
    <row r="5">
      <c r="A5" s="74">
        <v>45351.0</v>
      </c>
      <c r="B5" s="93">
        <f>674.58-79.64-35.27-137.16-57.55-66.08-28.28-46.56</f>
        <v>224.04</v>
      </c>
      <c r="C5" s="93">
        <f>409.71-9.1</f>
        <v>400.61</v>
      </c>
      <c r="D5" s="93">
        <f>562.25-200.16</f>
        <v>362.09</v>
      </c>
      <c r="E5" s="93"/>
      <c r="F5" s="93">
        <v>180.0</v>
      </c>
      <c r="G5" s="160"/>
      <c r="H5" s="93">
        <v>178.65</v>
      </c>
      <c r="I5" s="93"/>
      <c r="J5" s="93"/>
      <c r="K5" s="93"/>
      <c r="L5" s="93"/>
      <c r="M5" s="93"/>
      <c r="N5" s="93"/>
      <c r="O5" s="93"/>
      <c r="P5" s="93">
        <v>18.5</v>
      </c>
      <c r="Q5" s="93"/>
      <c r="R5" s="93"/>
      <c r="S5" s="93"/>
      <c r="T5" s="93"/>
      <c r="U5" s="93"/>
      <c r="V5" s="101"/>
      <c r="W5" s="101"/>
      <c r="X5" s="6"/>
      <c r="Y5" s="7">
        <f t="shared" si="1"/>
        <v>1363.89</v>
      </c>
      <c r="Z5" s="97">
        <f>993.6+2887.93</f>
        <v>3881.53</v>
      </c>
      <c r="AA5" s="59">
        <f t="shared" si="2"/>
        <v>0.3513794818</v>
      </c>
      <c r="AB5" s="109">
        <f t="shared" si="3"/>
        <v>45351</v>
      </c>
    </row>
    <row r="6">
      <c r="A6" s="74">
        <v>45352.0</v>
      </c>
      <c r="B6" s="93">
        <v>583.27</v>
      </c>
      <c r="C6" s="93">
        <f>476.2-187.5</f>
        <v>288.7</v>
      </c>
      <c r="D6" s="93">
        <f>352.88-60.53-157.2</f>
        <v>135.15</v>
      </c>
      <c r="E6" s="93"/>
      <c r="F6" s="93"/>
      <c r="G6" s="93"/>
      <c r="H6" s="93"/>
      <c r="I6" s="93"/>
      <c r="J6" s="93"/>
      <c r="K6" s="93">
        <v>132.5</v>
      </c>
      <c r="L6" s="93">
        <f>112.75-10.2-36.92-11.3-11.3</f>
        <v>43.03</v>
      </c>
      <c r="M6" s="162"/>
      <c r="N6" s="93"/>
      <c r="O6" s="93">
        <v>30.0</v>
      </c>
      <c r="P6" s="93">
        <v>18.5</v>
      </c>
      <c r="Q6" s="93"/>
      <c r="R6" s="93"/>
      <c r="S6" s="93"/>
      <c r="T6" s="93"/>
      <c r="U6" s="93"/>
      <c r="V6" s="93">
        <v>57.05</v>
      </c>
      <c r="W6" s="93"/>
      <c r="X6" s="5"/>
      <c r="Y6" s="7">
        <f t="shared" si="1"/>
        <v>1288.2</v>
      </c>
      <c r="Z6" s="97">
        <v>7254</v>
      </c>
      <c r="AA6" s="59">
        <f t="shared" si="2"/>
        <v>0.1775847808</v>
      </c>
      <c r="AB6" s="109">
        <f t="shared" si="3"/>
        <v>45352</v>
      </c>
    </row>
    <row r="7">
      <c r="A7" s="74">
        <v>45353.0</v>
      </c>
      <c r="B7" s="93">
        <f>1201.52-37.43-74.17-27.39-348.24</f>
        <v>714.29</v>
      </c>
      <c r="C7" s="93"/>
      <c r="D7" s="93">
        <v>239.7</v>
      </c>
      <c r="E7" s="93"/>
      <c r="F7" s="93"/>
      <c r="G7" s="93"/>
      <c r="H7" s="93">
        <v>168.92</v>
      </c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101"/>
      <c r="U7" s="180">
        <f>159+195.9</f>
        <v>354.9</v>
      </c>
      <c r="V7" s="101"/>
      <c r="W7" s="101"/>
      <c r="X7" s="5"/>
      <c r="Y7" s="7">
        <f t="shared" si="1"/>
        <v>1477.81</v>
      </c>
      <c r="Z7" s="97">
        <f>2906+9767</f>
        <v>12673</v>
      </c>
      <c r="AA7" s="59">
        <f t="shared" si="2"/>
        <v>0.1166109051</v>
      </c>
      <c r="AB7" s="109">
        <f t="shared" si="3"/>
        <v>45353</v>
      </c>
    </row>
    <row r="8">
      <c r="A8" s="74">
        <v>45354.0</v>
      </c>
      <c r="B8" s="180">
        <f>225.8+450.69</f>
        <v>676.49</v>
      </c>
      <c r="C8" s="93"/>
      <c r="D8" s="93"/>
      <c r="E8" s="112" t="s">
        <v>21</v>
      </c>
      <c r="F8" s="112" t="s">
        <v>21</v>
      </c>
      <c r="G8" s="112" t="s">
        <v>21</v>
      </c>
      <c r="H8" s="112" t="s">
        <v>21</v>
      </c>
      <c r="I8" s="180">
        <f>657.65</f>
        <v>657.65</v>
      </c>
      <c r="J8" s="112" t="s">
        <v>21</v>
      </c>
      <c r="K8" s="112" t="s">
        <v>21</v>
      </c>
      <c r="L8" s="112" t="s">
        <v>21</v>
      </c>
      <c r="M8" s="112" t="s">
        <v>21</v>
      </c>
      <c r="N8" s="112" t="s">
        <v>21</v>
      </c>
      <c r="O8" s="180">
        <v>275.0</v>
      </c>
      <c r="P8" s="112" t="s">
        <v>21</v>
      </c>
      <c r="Q8" s="112" t="s">
        <v>21</v>
      </c>
      <c r="R8" s="112" t="s">
        <v>21</v>
      </c>
      <c r="S8" s="112" t="s">
        <v>21</v>
      </c>
      <c r="T8" s="112" t="s">
        <v>21</v>
      </c>
      <c r="U8" s="112" t="s">
        <v>21</v>
      </c>
      <c r="V8" s="10" t="s">
        <v>21</v>
      </c>
      <c r="W8" s="10" t="s">
        <v>21</v>
      </c>
      <c r="X8" s="10" t="s">
        <v>21</v>
      </c>
      <c r="Y8" s="7">
        <f t="shared" si="1"/>
        <v>1609.14</v>
      </c>
      <c r="Z8" s="97">
        <f>2473+2831</f>
        <v>5304</v>
      </c>
      <c r="AA8" s="59">
        <f t="shared" si="2"/>
        <v>0.3033823529</v>
      </c>
      <c r="AB8" s="109">
        <f t="shared" si="3"/>
        <v>45354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Z9" s="129"/>
      <c r="AB9" s="106"/>
    </row>
    <row r="10">
      <c r="A10" s="164" t="s">
        <v>193</v>
      </c>
      <c r="B10" s="78"/>
      <c r="C10" s="78"/>
      <c r="D10" s="78"/>
      <c r="E10" s="188"/>
      <c r="F10" s="188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Z10" s="129"/>
      <c r="AB10" s="106"/>
    </row>
    <row r="11">
      <c r="A11" s="165" t="s">
        <v>194</v>
      </c>
      <c r="B11" s="93">
        <f>+231.6+95.74+46.32+4.24+9.77+11.68+10.33+46.32+26.16+39.09+79.64+35.27+57.55+66.08</f>
        <v>759.79</v>
      </c>
      <c r="C11" s="93">
        <f>39+35.85</f>
        <v>74.85</v>
      </c>
      <c r="D11" s="93">
        <f>200.16+60.53+157.2</f>
        <v>417.89</v>
      </c>
      <c r="E11" s="167"/>
      <c r="F11" s="168"/>
      <c r="G11" s="166"/>
      <c r="H11" s="166"/>
      <c r="I11" s="93"/>
      <c r="J11" s="168"/>
      <c r="K11" s="93"/>
      <c r="L11" s="166">
        <f>10.2+36.92+11.3+11.3</f>
        <v>69.72</v>
      </c>
      <c r="M11" s="168"/>
      <c r="N11" s="166"/>
      <c r="O11" s="168"/>
      <c r="P11" s="1"/>
      <c r="Q11" s="1"/>
      <c r="R11" s="1"/>
      <c r="S11" s="1"/>
      <c r="T11" s="1"/>
      <c r="U11" s="1"/>
      <c r="V11" s="168"/>
      <c r="W11" s="168"/>
      <c r="X11" s="1"/>
      <c r="Y11" s="1"/>
      <c r="Z11" s="169"/>
      <c r="AA11" s="1"/>
      <c r="AB11" s="170"/>
    </row>
    <row r="12">
      <c r="A12" s="165" t="s">
        <v>195</v>
      </c>
      <c r="B12" s="93">
        <f>42.1+309.4+698+55+21.15+70.39+32.42+137.16+28.28+46.56</f>
        <v>1440.46</v>
      </c>
      <c r="C12" s="93"/>
      <c r="D12" s="93">
        <v>76.0</v>
      </c>
      <c r="E12" s="93"/>
      <c r="F12" s="93"/>
      <c r="G12" s="93"/>
      <c r="H12" s="93"/>
      <c r="I12" s="93">
        <v>198.0</v>
      </c>
      <c r="J12" s="93"/>
      <c r="K12" s="93"/>
      <c r="L12" s="93"/>
      <c r="M12" s="93"/>
      <c r="N12" s="166">
        <v>300.0</v>
      </c>
      <c r="O12" s="166"/>
      <c r="P12" s="1"/>
      <c r="Q12" s="1"/>
      <c r="R12" s="168"/>
      <c r="S12" s="168"/>
      <c r="T12" s="1"/>
      <c r="U12" s="96"/>
      <c r="V12" s="168"/>
      <c r="W12" s="168"/>
      <c r="X12" s="1"/>
      <c r="Y12" s="1"/>
      <c r="Z12" s="171"/>
      <c r="AA12" s="1"/>
      <c r="AB12" s="170"/>
    </row>
    <row r="13">
      <c r="A13" s="172" t="s">
        <v>245</v>
      </c>
      <c r="B13" s="93"/>
      <c r="C13" s="93"/>
      <c r="D13" s="93"/>
      <c r="E13" s="168"/>
      <c r="F13" s="166"/>
      <c r="G13" s="168"/>
      <c r="H13" s="168"/>
      <c r="I13" s="168"/>
      <c r="J13" s="168"/>
      <c r="K13" s="168"/>
      <c r="L13" s="168"/>
      <c r="M13" s="168"/>
      <c r="N13" s="166"/>
      <c r="O13" s="168"/>
      <c r="P13" s="1"/>
      <c r="Q13" s="1"/>
      <c r="R13" s="168"/>
      <c r="S13" s="168"/>
      <c r="T13" s="1"/>
      <c r="U13" s="96"/>
      <c r="V13" s="168"/>
      <c r="W13" s="168"/>
      <c r="X13" s="1"/>
      <c r="Y13" s="1"/>
      <c r="Z13" s="174"/>
      <c r="AA13" s="1"/>
      <c r="AB13" s="170"/>
    </row>
    <row r="14">
      <c r="A14" s="165" t="s">
        <v>198</v>
      </c>
      <c r="B14" s="93">
        <f>37.43+74.17+27.39</f>
        <v>138.99</v>
      </c>
      <c r="C14" s="93">
        <v>9.1</v>
      </c>
      <c r="D14" s="93"/>
      <c r="E14" s="168"/>
      <c r="F14" s="166"/>
      <c r="G14" s="168"/>
      <c r="H14" s="168"/>
      <c r="I14" s="168"/>
      <c r="J14" s="168"/>
      <c r="K14" s="168"/>
      <c r="L14" s="168"/>
      <c r="M14" s="168"/>
      <c r="N14" s="166"/>
      <c r="O14" s="168"/>
      <c r="P14" s="1"/>
      <c r="Q14" s="1"/>
      <c r="R14" s="168"/>
      <c r="S14" s="168"/>
      <c r="T14" s="1"/>
      <c r="U14" s="96"/>
      <c r="V14" s="168"/>
      <c r="W14" s="168"/>
      <c r="X14" s="1"/>
      <c r="Y14" s="1"/>
      <c r="Z14" s="174"/>
      <c r="AA14" s="1"/>
      <c r="AB14" s="170"/>
    </row>
    <row r="15">
      <c r="A15" s="91"/>
      <c r="B15" s="92"/>
      <c r="C15" s="79"/>
      <c r="D15" s="79"/>
      <c r="E15" s="79"/>
      <c r="F15" s="78"/>
      <c r="G15" s="78"/>
      <c r="H15" s="78"/>
      <c r="K15" s="79"/>
      <c r="L15" s="79"/>
      <c r="M15" s="78"/>
      <c r="N15" s="79"/>
      <c r="O15" s="79"/>
      <c r="R15" s="79"/>
      <c r="S15" s="79"/>
      <c r="V15" s="79"/>
      <c r="W15" s="79"/>
      <c r="Z15" s="131"/>
      <c r="AB15" s="106"/>
    </row>
    <row r="16">
      <c r="A16" s="91"/>
      <c r="B16" s="92"/>
      <c r="C16" s="78"/>
      <c r="D16" s="78"/>
      <c r="E16" s="78"/>
      <c r="F16" s="198"/>
      <c r="G16" s="204"/>
      <c r="H16" s="198"/>
      <c r="I16" s="201"/>
      <c r="J16" s="199"/>
      <c r="K16" s="199"/>
      <c r="L16" s="200"/>
      <c r="M16" s="201"/>
      <c r="N16" s="202"/>
      <c r="O16" s="198"/>
      <c r="P16" s="198"/>
      <c r="Q16" s="198"/>
      <c r="R16" s="198"/>
      <c r="S16" s="198"/>
      <c r="V16" s="79"/>
      <c r="W16" s="79"/>
      <c r="Z16" s="131"/>
      <c r="AB16" s="106"/>
    </row>
    <row r="17">
      <c r="A17" s="4" t="s">
        <v>22</v>
      </c>
      <c r="B17" s="11">
        <v>10000.0</v>
      </c>
      <c r="C17" s="79"/>
      <c r="D17" s="79"/>
      <c r="E17" s="79"/>
      <c r="F17" s="240"/>
      <c r="G17" s="201"/>
      <c r="H17" s="201"/>
      <c r="I17" s="203"/>
      <c r="J17" s="201"/>
      <c r="K17" s="201"/>
      <c r="L17" s="198"/>
      <c r="M17" s="201"/>
      <c r="N17" s="200"/>
      <c r="O17" s="203"/>
      <c r="P17" s="198"/>
      <c r="Q17" s="198"/>
      <c r="R17" s="198"/>
      <c r="S17" s="198"/>
      <c r="T17" s="204"/>
      <c r="V17" s="79"/>
      <c r="W17" s="79"/>
      <c r="Z17" s="131"/>
      <c r="AB17" s="106"/>
    </row>
    <row r="18">
      <c r="A18" s="4" t="s">
        <v>23</v>
      </c>
      <c r="B18" s="12">
        <f>SUM(B2:X8)</f>
        <v>9261.74</v>
      </c>
      <c r="C18" s="79"/>
      <c r="D18" s="177"/>
      <c r="E18" s="78"/>
      <c r="F18" s="213"/>
      <c r="G18" s="201"/>
      <c r="H18" s="201"/>
      <c r="I18" s="203"/>
      <c r="J18" s="191"/>
      <c r="K18" s="201"/>
      <c r="L18" s="201"/>
      <c r="M18" s="200"/>
      <c r="N18" s="201"/>
      <c r="O18" s="203"/>
      <c r="P18" s="198"/>
      <c r="Q18" s="198"/>
      <c r="R18" s="198"/>
      <c r="S18" s="198"/>
      <c r="T18" s="204"/>
      <c r="V18" s="79"/>
      <c r="W18" s="79"/>
      <c r="Z18" s="131"/>
      <c r="AB18" s="106"/>
    </row>
    <row r="19">
      <c r="A19" s="4" t="s">
        <v>24</v>
      </c>
      <c r="B19" s="12">
        <f> SUM(B17-B18)</f>
        <v>738.26</v>
      </c>
      <c r="C19" s="79"/>
      <c r="D19" s="79"/>
      <c r="E19" s="78"/>
      <c r="F19" s="201"/>
      <c r="G19" s="214"/>
      <c r="H19" s="203"/>
      <c r="I19" s="203"/>
      <c r="J19" s="203"/>
      <c r="K19" s="199"/>
      <c r="L19" s="203"/>
      <c r="M19" s="201"/>
      <c r="N19" s="200"/>
      <c r="O19" s="203"/>
      <c r="P19" s="198"/>
      <c r="Q19" s="198"/>
      <c r="R19" s="198"/>
      <c r="S19" s="198"/>
      <c r="T19" s="204"/>
      <c r="V19" s="79"/>
      <c r="W19" s="79"/>
      <c r="Z19" s="131"/>
      <c r="AB19" s="106"/>
    </row>
    <row r="20">
      <c r="C20" s="79"/>
      <c r="D20" s="79"/>
      <c r="E20" s="78"/>
      <c r="F20" s="213"/>
      <c r="G20" s="214"/>
      <c r="H20" s="203"/>
      <c r="I20" s="203"/>
      <c r="J20" s="203"/>
      <c r="K20" s="203"/>
      <c r="L20" s="201"/>
      <c r="M20" s="201"/>
      <c r="N20" s="198"/>
      <c r="O20" s="203"/>
      <c r="P20" s="198"/>
      <c r="Q20" s="206"/>
      <c r="R20" s="198"/>
      <c r="S20" s="198"/>
      <c r="T20" s="204"/>
      <c r="V20" s="79"/>
      <c r="W20" s="79"/>
      <c r="Z20" s="131"/>
      <c r="AB20" s="106"/>
    </row>
    <row r="21">
      <c r="A21" s="13" t="s">
        <v>25</v>
      </c>
      <c r="B21" s="14">
        <f>SUM(Z2:Z8)</f>
        <v>38753.53</v>
      </c>
      <c r="C21" s="79"/>
      <c r="D21" s="79"/>
      <c r="E21" s="78"/>
      <c r="F21" s="201"/>
      <c r="G21" s="201"/>
      <c r="H21" s="201"/>
      <c r="I21" s="189"/>
      <c r="J21" s="203"/>
      <c r="K21" s="203"/>
      <c r="L21" s="206"/>
      <c r="M21" s="201"/>
      <c r="N21" s="198"/>
      <c r="O21" s="203"/>
      <c r="P21" s="198"/>
      <c r="Q21" s="198"/>
      <c r="R21" s="198"/>
      <c r="S21" s="198"/>
      <c r="T21" s="204"/>
      <c r="V21" s="79"/>
      <c r="W21" s="79"/>
      <c r="Z21" s="181"/>
      <c r="AB21" s="106"/>
    </row>
    <row r="22">
      <c r="A22" s="13" t="s">
        <v>26</v>
      </c>
      <c r="B22" s="15">
        <f>B18/B21</f>
        <v>0.2389908739</v>
      </c>
      <c r="C22" s="79"/>
      <c r="D22" s="79"/>
      <c r="E22" s="78"/>
      <c r="F22" s="204"/>
      <c r="G22" s="213"/>
      <c r="H22" s="203"/>
      <c r="I22" s="189"/>
      <c r="J22" s="203"/>
      <c r="K22" s="203"/>
      <c r="L22" s="198"/>
      <c r="M22" s="200"/>
      <c r="N22" s="203"/>
      <c r="O22" s="203"/>
      <c r="P22" s="198"/>
      <c r="Q22" s="198"/>
      <c r="R22" s="198"/>
      <c r="S22" s="198"/>
      <c r="T22" s="204"/>
      <c r="V22" s="79"/>
      <c r="W22" s="79"/>
      <c r="Z22" s="130"/>
      <c r="AB22" s="106"/>
    </row>
    <row r="23">
      <c r="C23" s="79"/>
      <c r="D23" s="79"/>
      <c r="E23" s="78"/>
      <c r="F23" s="204"/>
      <c r="G23" s="204"/>
      <c r="H23" s="201"/>
      <c r="I23" s="203"/>
      <c r="J23" s="203"/>
      <c r="K23" s="203"/>
      <c r="L23" s="198"/>
      <c r="M23" s="198"/>
      <c r="N23" s="201"/>
      <c r="O23" s="198"/>
      <c r="P23" s="198"/>
      <c r="Q23" s="198"/>
      <c r="R23" s="198"/>
      <c r="S23" s="198"/>
      <c r="T23" s="204"/>
      <c r="V23" s="79"/>
      <c r="W23" s="79"/>
      <c r="Z23" s="182"/>
      <c r="AB23" s="106"/>
    </row>
    <row r="24">
      <c r="C24" s="79"/>
      <c r="D24" s="79"/>
      <c r="E24" s="79"/>
      <c r="F24" s="204"/>
      <c r="G24" s="213"/>
      <c r="H24" s="201"/>
      <c r="I24" s="203"/>
      <c r="J24" s="203"/>
      <c r="K24" s="203"/>
      <c r="L24" s="198"/>
      <c r="M24" s="201"/>
      <c r="N24" s="201"/>
      <c r="O24" s="198"/>
      <c r="P24" s="198"/>
      <c r="Q24" s="198"/>
      <c r="R24" s="198"/>
      <c r="S24" s="198"/>
      <c r="T24" s="204"/>
      <c r="V24" s="79"/>
      <c r="W24" s="79"/>
      <c r="Z24" s="130"/>
      <c r="AB24" s="106"/>
    </row>
    <row r="25">
      <c r="A25" s="16" t="s">
        <v>27</v>
      </c>
      <c r="B25" s="17"/>
      <c r="C25" s="114"/>
      <c r="D25" s="114"/>
      <c r="E25" s="115"/>
      <c r="F25" s="204"/>
      <c r="G25" s="204"/>
      <c r="H25" s="201"/>
      <c r="I25" s="203"/>
      <c r="J25" s="203"/>
      <c r="K25" s="217"/>
      <c r="L25" s="208"/>
      <c r="M25" s="208"/>
      <c r="N25" s="198"/>
      <c r="O25" s="200"/>
      <c r="P25" s="198"/>
      <c r="Q25" s="198"/>
      <c r="R25" s="198"/>
      <c r="S25" s="198"/>
      <c r="T25" s="204"/>
      <c r="V25" s="79"/>
      <c r="W25" s="79"/>
      <c r="Z25" s="130"/>
      <c r="AB25" s="106"/>
    </row>
    <row r="26">
      <c r="A26" s="19" t="s">
        <v>28</v>
      </c>
      <c r="B26" s="20"/>
      <c r="C26" s="116"/>
      <c r="D26" s="116"/>
      <c r="E26" s="117"/>
      <c r="F26" s="204"/>
      <c r="G26" s="204"/>
      <c r="H26" s="213"/>
      <c r="I26" s="203"/>
      <c r="J26" s="203"/>
      <c r="K26" s="203"/>
      <c r="L26" s="209"/>
      <c r="M26" s="209"/>
      <c r="N26" s="201"/>
      <c r="O26" s="198"/>
      <c r="P26" s="198"/>
      <c r="Q26" s="198"/>
      <c r="R26" s="198"/>
      <c r="S26" s="198"/>
      <c r="T26" s="204"/>
      <c r="V26" s="79"/>
      <c r="W26" s="79"/>
      <c r="Z26" s="130"/>
      <c r="AB26" s="106"/>
    </row>
    <row r="27">
      <c r="A27" s="183" t="s">
        <v>29</v>
      </c>
      <c r="B27" s="184" t="s">
        <v>30</v>
      </c>
      <c r="C27" s="183"/>
      <c r="D27" s="183" t="s">
        <v>170</v>
      </c>
      <c r="E27" s="219" t="s">
        <v>171</v>
      </c>
      <c r="F27" s="204"/>
      <c r="G27" s="204"/>
      <c r="H27" s="213"/>
      <c r="I27" s="203"/>
      <c r="J27" s="203"/>
      <c r="K27" s="201"/>
      <c r="L27" s="209"/>
      <c r="M27" s="209"/>
      <c r="N27" s="198"/>
      <c r="O27" s="198"/>
      <c r="P27" s="198"/>
      <c r="Q27" s="198"/>
      <c r="R27" s="198"/>
      <c r="S27" s="198"/>
      <c r="T27" s="204"/>
      <c r="V27" s="79"/>
      <c r="W27" s="79"/>
      <c r="Z27" s="130"/>
      <c r="AB27" s="106"/>
    </row>
    <row r="28">
      <c r="A28" s="221" t="s">
        <v>41</v>
      </c>
      <c r="B28" s="222">
        <f>1352.07-450.69</f>
        <v>901.38</v>
      </c>
      <c r="C28" s="223"/>
      <c r="D28" s="223"/>
      <c r="E28" s="221" t="s">
        <v>246</v>
      </c>
      <c r="I28" s="195"/>
      <c r="K28" s="204"/>
      <c r="L28" s="204"/>
      <c r="M28" s="198"/>
      <c r="R28" s="79"/>
      <c r="S28" s="79"/>
      <c r="V28" s="79"/>
      <c r="W28" s="79"/>
      <c r="Z28" s="130"/>
      <c r="AB28" s="106"/>
    </row>
    <row r="29">
      <c r="A29" s="221" t="s">
        <v>241</v>
      </c>
      <c r="B29" s="222">
        <v>275.0</v>
      </c>
      <c r="C29" s="223"/>
      <c r="D29" s="223"/>
      <c r="E29" s="221" t="s">
        <v>246</v>
      </c>
      <c r="F29" s="204"/>
      <c r="G29" s="204"/>
      <c r="H29" s="213"/>
      <c r="I29" s="203"/>
      <c r="J29" s="217"/>
      <c r="K29" s="201"/>
      <c r="L29" s="198"/>
      <c r="M29" s="198"/>
      <c r="N29" s="198"/>
      <c r="O29" s="198"/>
      <c r="P29" s="198"/>
      <c r="Q29" s="198"/>
      <c r="R29" s="198"/>
      <c r="S29" s="198"/>
      <c r="T29" s="204"/>
      <c r="V29" s="79"/>
      <c r="W29" s="79"/>
      <c r="Z29" s="130"/>
      <c r="AB29" s="106"/>
    </row>
    <row r="30">
      <c r="A30" s="173" t="s">
        <v>41</v>
      </c>
      <c r="B30" s="180">
        <v>2346.34</v>
      </c>
      <c r="C30" s="241"/>
      <c r="D30" s="241"/>
      <c r="E30" s="173" t="s">
        <v>247</v>
      </c>
      <c r="K30" s="204"/>
      <c r="L30" s="204"/>
      <c r="M30" s="198"/>
      <c r="R30" s="79"/>
      <c r="S30" s="79"/>
      <c r="V30" s="79"/>
      <c r="W30" s="79"/>
      <c r="Z30" s="130"/>
      <c r="AB30" s="106"/>
    </row>
    <row r="31">
      <c r="A31" s="237" t="s">
        <v>251</v>
      </c>
      <c r="B31" s="238">
        <v>661.83</v>
      </c>
      <c r="C31" s="239"/>
      <c r="D31" s="239"/>
      <c r="E31" s="237" t="s">
        <v>252</v>
      </c>
      <c r="K31" s="204"/>
      <c r="L31" s="204"/>
      <c r="M31" s="198"/>
      <c r="R31" s="79"/>
      <c r="S31" s="79"/>
      <c r="V31" s="79"/>
      <c r="W31" s="79"/>
      <c r="Z31" s="130"/>
      <c r="AB31" s="106"/>
    </row>
    <row r="32">
      <c r="A32" s="237" t="s">
        <v>253</v>
      </c>
      <c r="B32" s="238">
        <v>187.5</v>
      </c>
      <c r="C32" s="239"/>
      <c r="D32" s="239"/>
      <c r="E32" s="237" t="s">
        <v>252</v>
      </c>
      <c r="K32" s="204"/>
      <c r="L32" s="204"/>
      <c r="M32" s="198"/>
      <c r="R32" s="79"/>
      <c r="S32" s="79"/>
      <c r="V32" s="79"/>
      <c r="W32" s="79"/>
      <c r="Z32" s="130"/>
      <c r="AB32" s="106"/>
    </row>
    <row r="33">
      <c r="A33" s="237" t="s">
        <v>254</v>
      </c>
      <c r="B33" s="238">
        <v>348.24</v>
      </c>
      <c r="C33" s="239"/>
      <c r="D33" s="239"/>
      <c r="E33" s="237" t="s">
        <v>252</v>
      </c>
      <c r="K33" s="204"/>
      <c r="L33" s="204"/>
      <c r="M33" s="198"/>
      <c r="R33" s="79"/>
      <c r="S33" s="79"/>
      <c r="V33" s="79"/>
      <c r="W33" s="79"/>
      <c r="Z33" s="130"/>
      <c r="AB33" s="106"/>
    </row>
    <row r="34">
      <c r="C34" s="79"/>
      <c r="D34" s="79"/>
      <c r="E34" s="79"/>
      <c r="M34" s="79"/>
      <c r="R34" s="79"/>
      <c r="S34" s="79"/>
      <c r="V34" s="79"/>
      <c r="W34" s="79"/>
      <c r="Z34" s="130"/>
      <c r="AB34" s="106"/>
    </row>
    <row r="35">
      <c r="C35" s="79"/>
      <c r="D35" s="79"/>
      <c r="E35" s="79"/>
      <c r="M35" s="79"/>
      <c r="R35" s="79"/>
      <c r="S35" s="79"/>
      <c r="V35" s="79"/>
      <c r="W35" s="79"/>
      <c r="Z35" s="130"/>
      <c r="AB35" s="106"/>
    </row>
    <row r="36">
      <c r="C36" s="79"/>
      <c r="D36" s="79"/>
      <c r="E36" s="79"/>
      <c r="M36" s="79"/>
      <c r="R36" s="79"/>
      <c r="S36" s="79"/>
      <c r="V36" s="79"/>
      <c r="W36" s="79"/>
      <c r="Z36" s="130"/>
      <c r="AB36" s="106"/>
    </row>
    <row r="37">
      <c r="C37" s="79"/>
      <c r="D37" s="79"/>
      <c r="E37" s="79"/>
      <c r="M37" s="79"/>
      <c r="R37" s="79"/>
      <c r="S37" s="79"/>
      <c r="V37" s="79"/>
      <c r="W37" s="79"/>
      <c r="Z37" s="130"/>
      <c r="AB37" s="106"/>
    </row>
    <row r="38">
      <c r="C38" s="79"/>
      <c r="D38" s="79"/>
      <c r="E38" s="79"/>
      <c r="M38" s="79"/>
      <c r="R38" s="79"/>
      <c r="S38" s="79"/>
      <c r="V38" s="79"/>
      <c r="W38" s="79"/>
      <c r="Z38" s="130"/>
      <c r="AB38" s="106"/>
    </row>
    <row r="39">
      <c r="C39" s="79"/>
      <c r="D39" s="79"/>
      <c r="E39" s="79"/>
      <c r="M39" s="79"/>
      <c r="R39" s="79"/>
      <c r="S39" s="79"/>
      <c r="V39" s="79"/>
      <c r="W39" s="79"/>
      <c r="Z39" s="130"/>
      <c r="AB39" s="106"/>
    </row>
    <row r="40">
      <c r="C40" s="79"/>
      <c r="D40" s="79"/>
      <c r="E40" s="79"/>
      <c r="M40" s="79"/>
      <c r="R40" s="79"/>
      <c r="S40" s="79"/>
      <c r="V40" s="79"/>
      <c r="W40" s="79"/>
      <c r="Z40" s="130"/>
      <c r="AB40" s="106"/>
    </row>
    <row r="41">
      <c r="C41" s="79"/>
      <c r="D41" s="79"/>
      <c r="E41" s="79"/>
      <c r="M41" s="79"/>
      <c r="R41" s="79"/>
      <c r="S41" s="79"/>
      <c r="V41" s="79"/>
      <c r="W41" s="79"/>
      <c r="Z41" s="130"/>
      <c r="AB41" s="106"/>
    </row>
    <row r="42">
      <c r="C42" s="79"/>
      <c r="D42" s="79"/>
      <c r="E42" s="79"/>
      <c r="M42" s="79"/>
      <c r="R42" s="79"/>
      <c r="S42" s="79"/>
      <c r="V42" s="79"/>
      <c r="W42" s="79"/>
      <c r="Z42" s="130"/>
      <c r="AB42" s="106"/>
    </row>
    <row r="43">
      <c r="C43" s="79"/>
      <c r="D43" s="79"/>
      <c r="E43" s="79"/>
      <c r="M43" s="79"/>
      <c r="R43" s="79"/>
      <c r="S43" s="79"/>
      <c r="V43" s="79"/>
      <c r="W43" s="79"/>
      <c r="Z43" s="130"/>
      <c r="AB43" s="106"/>
    </row>
    <row r="44">
      <c r="C44" s="79"/>
      <c r="D44" s="79"/>
      <c r="E44" s="79"/>
      <c r="M44" s="79"/>
      <c r="R44" s="79"/>
      <c r="S44" s="79"/>
      <c r="V44" s="79"/>
      <c r="W44" s="79"/>
      <c r="Z44" s="130"/>
      <c r="AB44" s="106"/>
    </row>
    <row r="45">
      <c r="C45" s="79"/>
      <c r="D45" s="79"/>
      <c r="E45" s="79"/>
      <c r="M45" s="79"/>
      <c r="R45" s="79"/>
      <c r="S45" s="79"/>
      <c r="V45" s="79"/>
      <c r="W45" s="79"/>
      <c r="Z45" s="130"/>
      <c r="AB45" s="106"/>
    </row>
    <row r="46">
      <c r="C46" s="79"/>
      <c r="D46" s="79"/>
      <c r="E46" s="79"/>
      <c r="M46" s="79"/>
      <c r="R46" s="79"/>
      <c r="S46" s="79"/>
      <c r="V46" s="79"/>
      <c r="W46" s="79"/>
      <c r="Z46" s="130"/>
      <c r="AB46" s="106"/>
    </row>
    <row r="47">
      <c r="C47" s="79"/>
      <c r="D47" s="79"/>
      <c r="E47" s="79"/>
      <c r="M47" s="79"/>
      <c r="R47" s="79"/>
      <c r="S47" s="79"/>
      <c r="V47" s="79"/>
      <c r="W47" s="79"/>
      <c r="Z47" s="130"/>
      <c r="AB47" s="106"/>
    </row>
    <row r="48">
      <c r="C48" s="79"/>
      <c r="D48" s="79"/>
      <c r="E48" s="79"/>
      <c r="M48" s="79"/>
      <c r="R48" s="79"/>
      <c r="S48" s="79"/>
      <c r="V48" s="79"/>
      <c r="W48" s="79"/>
      <c r="Z48" s="130"/>
      <c r="AB48" s="106"/>
    </row>
    <row r="49">
      <c r="C49" s="79"/>
      <c r="D49" s="79"/>
      <c r="E49" s="79"/>
      <c r="M49" s="79"/>
      <c r="R49" s="79"/>
      <c r="S49" s="79"/>
      <c r="V49" s="79"/>
      <c r="W49" s="79"/>
      <c r="Z49" s="130"/>
      <c r="AB49" s="106"/>
    </row>
    <row r="50">
      <c r="C50" s="79"/>
      <c r="D50" s="79"/>
      <c r="E50" s="79"/>
      <c r="M50" s="79"/>
      <c r="R50" s="79"/>
      <c r="S50" s="79"/>
      <c r="V50" s="79"/>
      <c r="W50" s="79"/>
      <c r="Z50" s="130"/>
      <c r="AB50" s="106"/>
    </row>
    <row r="51">
      <c r="C51" s="79"/>
      <c r="D51" s="79"/>
      <c r="E51" s="79"/>
      <c r="M51" s="79"/>
      <c r="R51" s="79"/>
      <c r="S51" s="79"/>
      <c r="V51" s="79"/>
      <c r="W51" s="79"/>
      <c r="Z51" s="130"/>
      <c r="AB51" s="106"/>
    </row>
    <row r="52">
      <c r="C52" s="79"/>
      <c r="D52" s="79"/>
      <c r="E52" s="79"/>
      <c r="M52" s="79"/>
      <c r="R52" s="79"/>
      <c r="S52" s="79"/>
      <c r="V52" s="79"/>
      <c r="W52" s="79"/>
      <c r="Z52" s="130"/>
      <c r="AB52" s="106"/>
    </row>
    <row r="53">
      <c r="C53" s="79"/>
      <c r="D53" s="79"/>
      <c r="E53" s="79"/>
      <c r="M53" s="79"/>
      <c r="R53" s="79"/>
      <c r="S53" s="79"/>
      <c r="V53" s="79"/>
      <c r="W53" s="79"/>
      <c r="Z53" s="130"/>
      <c r="AB53" s="106"/>
    </row>
    <row r="54">
      <c r="C54" s="79"/>
      <c r="D54" s="79"/>
      <c r="E54" s="79"/>
      <c r="M54" s="79"/>
      <c r="R54" s="79"/>
      <c r="S54" s="79"/>
      <c r="V54" s="79"/>
      <c r="W54" s="79"/>
      <c r="Z54" s="130"/>
      <c r="AB54" s="106"/>
    </row>
    <row r="55">
      <c r="C55" s="79"/>
      <c r="D55" s="79"/>
      <c r="E55" s="79"/>
      <c r="M55" s="79"/>
      <c r="R55" s="79"/>
      <c r="S55" s="79"/>
      <c r="V55" s="79"/>
      <c r="W55" s="79"/>
      <c r="Z55" s="130"/>
      <c r="AB55" s="106"/>
    </row>
    <row r="56">
      <c r="C56" s="79"/>
      <c r="D56" s="79"/>
      <c r="E56" s="79"/>
      <c r="M56" s="79"/>
      <c r="R56" s="79"/>
      <c r="S56" s="79"/>
      <c r="V56" s="79"/>
      <c r="W56" s="79"/>
      <c r="Z56" s="130"/>
      <c r="AB56" s="106"/>
    </row>
    <row r="57">
      <c r="C57" s="79"/>
      <c r="D57" s="79"/>
      <c r="E57" s="79"/>
      <c r="M57" s="79"/>
      <c r="R57" s="79"/>
      <c r="S57" s="79"/>
      <c r="V57" s="79"/>
      <c r="W57" s="79"/>
      <c r="Z57" s="130"/>
      <c r="AB57" s="106"/>
    </row>
    <row r="58">
      <c r="C58" s="79"/>
      <c r="D58" s="79"/>
      <c r="E58" s="79"/>
      <c r="M58" s="79"/>
      <c r="R58" s="79"/>
      <c r="S58" s="79"/>
      <c r="V58" s="79"/>
      <c r="W58" s="79"/>
      <c r="Z58" s="130"/>
      <c r="AB58" s="106"/>
    </row>
    <row r="59">
      <c r="C59" s="79"/>
      <c r="D59" s="79"/>
      <c r="E59" s="79"/>
      <c r="M59" s="79"/>
      <c r="R59" s="79"/>
      <c r="S59" s="79"/>
      <c r="V59" s="79"/>
      <c r="W59" s="79"/>
      <c r="Z59" s="130"/>
      <c r="AB59" s="106"/>
    </row>
    <row r="60">
      <c r="C60" s="79"/>
      <c r="D60" s="79"/>
      <c r="E60" s="79"/>
      <c r="M60" s="79"/>
      <c r="R60" s="79"/>
      <c r="S60" s="79"/>
      <c r="V60" s="79"/>
      <c r="W60" s="79"/>
      <c r="Z60" s="130"/>
      <c r="AB60" s="106"/>
    </row>
    <row r="61">
      <c r="C61" s="79"/>
      <c r="D61" s="79"/>
      <c r="E61" s="79"/>
      <c r="M61" s="79"/>
      <c r="R61" s="79"/>
      <c r="S61" s="79"/>
      <c r="V61" s="79"/>
      <c r="W61" s="79"/>
      <c r="Z61" s="130"/>
      <c r="AB61" s="106"/>
    </row>
    <row r="62">
      <c r="C62" s="79"/>
      <c r="D62" s="79"/>
      <c r="E62" s="79"/>
      <c r="M62" s="79"/>
      <c r="R62" s="79"/>
      <c r="S62" s="79"/>
      <c r="V62" s="79"/>
      <c r="W62" s="79"/>
      <c r="Z62" s="130"/>
      <c r="AB62" s="106"/>
    </row>
    <row r="63">
      <c r="C63" s="79"/>
      <c r="D63" s="79"/>
      <c r="E63" s="79"/>
      <c r="M63" s="79"/>
      <c r="R63" s="79"/>
      <c r="S63" s="79"/>
      <c r="V63" s="79"/>
      <c r="W63" s="79"/>
      <c r="Z63" s="130"/>
      <c r="AB63" s="106"/>
    </row>
    <row r="64">
      <c r="C64" s="79"/>
      <c r="D64" s="79"/>
      <c r="E64" s="79"/>
      <c r="M64" s="79"/>
      <c r="R64" s="79"/>
      <c r="S64" s="79"/>
      <c r="V64" s="79"/>
      <c r="W64" s="79"/>
      <c r="Z64" s="130"/>
      <c r="AB64" s="106"/>
    </row>
    <row r="65">
      <c r="C65" s="79"/>
      <c r="D65" s="79"/>
      <c r="E65" s="79"/>
      <c r="M65" s="79"/>
      <c r="R65" s="79"/>
      <c r="S65" s="79"/>
      <c r="V65" s="79"/>
      <c r="W65" s="79"/>
      <c r="Z65" s="130"/>
      <c r="AB65" s="106"/>
    </row>
    <row r="66">
      <c r="C66" s="79"/>
      <c r="D66" s="79"/>
      <c r="E66" s="79"/>
      <c r="M66" s="79"/>
      <c r="R66" s="79"/>
      <c r="S66" s="79"/>
      <c r="V66" s="79"/>
      <c r="W66" s="79"/>
      <c r="Z66" s="130"/>
      <c r="AB66" s="106"/>
    </row>
    <row r="67">
      <c r="C67" s="79"/>
      <c r="D67" s="79"/>
      <c r="E67" s="79"/>
      <c r="M67" s="79"/>
      <c r="R67" s="79"/>
      <c r="S67" s="79"/>
      <c r="V67" s="79"/>
      <c r="W67" s="79"/>
      <c r="Z67" s="130"/>
      <c r="AB67" s="106"/>
    </row>
    <row r="68">
      <c r="C68" s="79"/>
      <c r="D68" s="79"/>
      <c r="E68" s="79"/>
      <c r="M68" s="79"/>
      <c r="R68" s="79"/>
      <c r="S68" s="79"/>
      <c r="V68" s="79"/>
      <c r="W68" s="79"/>
      <c r="Z68" s="130"/>
      <c r="AB68" s="106"/>
    </row>
    <row r="69">
      <c r="C69" s="79"/>
      <c r="D69" s="79"/>
      <c r="E69" s="79"/>
      <c r="M69" s="79"/>
      <c r="R69" s="79"/>
      <c r="S69" s="79"/>
      <c r="V69" s="79"/>
      <c r="W69" s="79"/>
      <c r="Z69" s="130"/>
      <c r="AB69" s="106"/>
    </row>
    <row r="70">
      <c r="C70" s="79"/>
      <c r="D70" s="79"/>
      <c r="E70" s="79"/>
      <c r="M70" s="79"/>
      <c r="R70" s="79"/>
      <c r="S70" s="79"/>
      <c r="V70" s="79"/>
      <c r="W70" s="79"/>
      <c r="Z70" s="130"/>
      <c r="AB70" s="106"/>
    </row>
    <row r="71">
      <c r="C71" s="79"/>
      <c r="D71" s="79"/>
      <c r="E71" s="79"/>
      <c r="M71" s="79"/>
      <c r="R71" s="79"/>
      <c r="S71" s="79"/>
      <c r="V71" s="79"/>
      <c r="W71" s="79"/>
      <c r="Z71" s="130"/>
      <c r="AB71" s="106"/>
    </row>
    <row r="72">
      <c r="C72" s="79"/>
      <c r="D72" s="79"/>
      <c r="E72" s="79"/>
      <c r="M72" s="79"/>
      <c r="R72" s="79"/>
      <c r="S72" s="79"/>
      <c r="V72" s="79"/>
      <c r="W72" s="79"/>
      <c r="Z72" s="130"/>
      <c r="AB72" s="106"/>
    </row>
    <row r="73">
      <c r="C73" s="79"/>
      <c r="D73" s="79"/>
      <c r="E73" s="79"/>
      <c r="M73" s="79"/>
      <c r="R73" s="79"/>
      <c r="S73" s="79"/>
      <c r="V73" s="79"/>
      <c r="W73" s="79"/>
      <c r="Z73" s="130"/>
      <c r="AB73" s="106"/>
    </row>
    <row r="74">
      <c r="C74" s="79"/>
      <c r="D74" s="79"/>
      <c r="E74" s="79"/>
      <c r="M74" s="79"/>
      <c r="R74" s="79"/>
      <c r="S74" s="79"/>
      <c r="V74" s="79"/>
      <c r="W74" s="79"/>
      <c r="Z74" s="130"/>
      <c r="AB74" s="106"/>
    </row>
    <row r="75">
      <c r="C75" s="79"/>
      <c r="D75" s="79"/>
      <c r="E75" s="79"/>
      <c r="M75" s="79"/>
      <c r="R75" s="79"/>
      <c r="S75" s="79"/>
      <c r="V75" s="79"/>
      <c r="W75" s="79"/>
      <c r="Z75" s="130"/>
      <c r="AB75" s="106"/>
    </row>
    <row r="76">
      <c r="C76" s="79"/>
      <c r="D76" s="79"/>
      <c r="E76" s="79"/>
      <c r="M76" s="79"/>
      <c r="R76" s="79"/>
      <c r="S76" s="79"/>
      <c r="V76" s="79"/>
      <c r="W76" s="79"/>
      <c r="Z76" s="130"/>
      <c r="AB76" s="106"/>
    </row>
    <row r="77">
      <c r="C77" s="79"/>
      <c r="D77" s="79"/>
      <c r="E77" s="79"/>
      <c r="M77" s="79"/>
      <c r="R77" s="79"/>
      <c r="S77" s="79"/>
      <c r="V77" s="79"/>
      <c r="W77" s="79"/>
      <c r="Z77" s="130"/>
      <c r="AB77" s="106"/>
    </row>
    <row r="78">
      <c r="C78" s="79"/>
      <c r="D78" s="79"/>
      <c r="E78" s="79"/>
      <c r="M78" s="79"/>
      <c r="R78" s="79"/>
      <c r="S78" s="79"/>
      <c r="V78" s="79"/>
      <c r="W78" s="79"/>
      <c r="Z78" s="130"/>
      <c r="AB78" s="106"/>
    </row>
    <row r="79">
      <c r="C79" s="79"/>
      <c r="D79" s="79"/>
      <c r="E79" s="79"/>
      <c r="M79" s="79"/>
      <c r="R79" s="79"/>
      <c r="S79" s="79"/>
      <c r="V79" s="79"/>
      <c r="W79" s="79"/>
      <c r="Z79" s="130"/>
      <c r="AB79" s="106"/>
    </row>
    <row r="80">
      <c r="C80" s="79"/>
      <c r="D80" s="79"/>
      <c r="E80" s="79"/>
      <c r="M80" s="79"/>
      <c r="R80" s="79"/>
      <c r="S80" s="79"/>
      <c r="V80" s="79"/>
      <c r="W80" s="79"/>
      <c r="Z80" s="130"/>
      <c r="AB80" s="106"/>
    </row>
    <row r="81">
      <c r="C81" s="79"/>
      <c r="D81" s="79"/>
      <c r="E81" s="79"/>
      <c r="M81" s="79"/>
      <c r="R81" s="79"/>
      <c r="S81" s="79"/>
      <c r="V81" s="79"/>
      <c r="W81" s="79"/>
      <c r="Z81" s="130"/>
      <c r="AB81" s="106"/>
    </row>
    <row r="82">
      <c r="C82" s="79"/>
      <c r="D82" s="79"/>
      <c r="E82" s="79"/>
      <c r="M82" s="79"/>
      <c r="R82" s="79"/>
      <c r="S82" s="79"/>
      <c r="V82" s="79"/>
      <c r="W82" s="79"/>
      <c r="Z82" s="130"/>
      <c r="AB82" s="106"/>
    </row>
    <row r="83">
      <c r="C83" s="79"/>
      <c r="D83" s="79"/>
      <c r="E83" s="79"/>
      <c r="M83" s="79"/>
      <c r="R83" s="79"/>
      <c r="S83" s="79"/>
      <c r="V83" s="79"/>
      <c r="W83" s="79"/>
      <c r="Z83" s="130"/>
      <c r="AB83" s="106"/>
    </row>
    <row r="84">
      <c r="C84" s="79"/>
      <c r="D84" s="79"/>
      <c r="E84" s="79"/>
      <c r="M84" s="79"/>
      <c r="R84" s="79"/>
      <c r="S84" s="79"/>
      <c r="V84" s="79"/>
      <c r="W84" s="79"/>
      <c r="Z84" s="130"/>
      <c r="AB84" s="106"/>
    </row>
    <row r="85">
      <c r="C85" s="79"/>
      <c r="D85" s="79"/>
      <c r="E85" s="79"/>
      <c r="M85" s="79"/>
      <c r="R85" s="79"/>
      <c r="S85" s="79"/>
      <c r="V85" s="79"/>
      <c r="W85" s="79"/>
      <c r="Z85" s="130"/>
      <c r="AB85" s="106"/>
    </row>
    <row r="86">
      <c r="C86" s="79"/>
      <c r="D86" s="79"/>
      <c r="E86" s="79"/>
      <c r="M86" s="79"/>
      <c r="R86" s="79"/>
      <c r="S86" s="79"/>
      <c r="V86" s="79"/>
      <c r="W86" s="79"/>
      <c r="Z86" s="130"/>
      <c r="AB86" s="106"/>
    </row>
    <row r="87">
      <c r="C87" s="79"/>
      <c r="D87" s="79"/>
      <c r="E87" s="79"/>
      <c r="M87" s="79"/>
      <c r="R87" s="79"/>
      <c r="S87" s="79"/>
      <c r="V87" s="79"/>
      <c r="W87" s="79"/>
      <c r="Z87" s="130"/>
      <c r="AB87" s="106"/>
    </row>
    <row r="88">
      <c r="C88" s="79"/>
      <c r="D88" s="79"/>
      <c r="E88" s="79"/>
      <c r="M88" s="79"/>
      <c r="R88" s="79"/>
      <c r="S88" s="79"/>
      <c r="V88" s="79"/>
      <c r="W88" s="79"/>
      <c r="Z88" s="130"/>
      <c r="AB88" s="106"/>
    </row>
    <row r="89">
      <c r="C89" s="79"/>
      <c r="D89" s="79"/>
      <c r="E89" s="79"/>
      <c r="M89" s="79"/>
      <c r="R89" s="79"/>
      <c r="S89" s="79"/>
      <c r="V89" s="79"/>
      <c r="W89" s="79"/>
      <c r="Z89" s="130"/>
      <c r="AB89" s="106"/>
    </row>
    <row r="90">
      <c r="C90" s="79"/>
      <c r="D90" s="79"/>
      <c r="E90" s="79"/>
      <c r="M90" s="79"/>
      <c r="R90" s="79"/>
      <c r="S90" s="79"/>
      <c r="V90" s="79"/>
      <c r="W90" s="79"/>
      <c r="Z90" s="130"/>
      <c r="AB90" s="106"/>
    </row>
    <row r="91">
      <c r="C91" s="79"/>
      <c r="D91" s="79"/>
      <c r="E91" s="79"/>
      <c r="M91" s="79"/>
      <c r="R91" s="79"/>
      <c r="S91" s="79"/>
      <c r="V91" s="79"/>
      <c r="W91" s="79"/>
      <c r="Z91" s="130"/>
      <c r="AB91" s="106"/>
    </row>
    <row r="92">
      <c r="C92" s="79"/>
      <c r="D92" s="79"/>
      <c r="E92" s="79"/>
      <c r="M92" s="79"/>
      <c r="R92" s="79"/>
      <c r="S92" s="79"/>
      <c r="V92" s="79"/>
      <c r="W92" s="79"/>
      <c r="Z92" s="130"/>
      <c r="AB92" s="106"/>
    </row>
    <row r="93">
      <c r="C93" s="79"/>
      <c r="D93" s="79"/>
      <c r="E93" s="79"/>
      <c r="M93" s="79"/>
      <c r="R93" s="79"/>
      <c r="S93" s="79"/>
      <c r="V93" s="79"/>
      <c r="W93" s="79"/>
      <c r="Z93" s="130"/>
      <c r="AB93" s="106"/>
    </row>
    <row r="94">
      <c r="C94" s="79"/>
      <c r="D94" s="79"/>
      <c r="E94" s="79"/>
      <c r="M94" s="79"/>
      <c r="R94" s="79"/>
      <c r="S94" s="79"/>
      <c r="V94" s="79"/>
      <c r="W94" s="79"/>
      <c r="Z94" s="130"/>
      <c r="AB94" s="106"/>
    </row>
    <row r="95">
      <c r="C95" s="79"/>
      <c r="D95" s="79"/>
      <c r="E95" s="79"/>
      <c r="M95" s="79"/>
      <c r="R95" s="79"/>
      <c r="S95" s="79"/>
      <c r="V95" s="79"/>
      <c r="W95" s="79"/>
      <c r="Z95" s="130"/>
      <c r="AB95" s="106"/>
    </row>
    <row r="96">
      <c r="C96" s="79"/>
      <c r="D96" s="79"/>
      <c r="E96" s="79"/>
      <c r="M96" s="79"/>
      <c r="R96" s="79"/>
      <c r="S96" s="79"/>
      <c r="V96" s="79"/>
      <c r="W96" s="79"/>
      <c r="Z96" s="130"/>
      <c r="AB96" s="106"/>
    </row>
    <row r="97">
      <c r="C97" s="79"/>
      <c r="D97" s="79"/>
      <c r="E97" s="79"/>
      <c r="M97" s="79"/>
      <c r="R97" s="79"/>
      <c r="S97" s="79"/>
      <c r="V97" s="79"/>
      <c r="W97" s="79"/>
      <c r="Z97" s="130"/>
      <c r="AB97" s="106"/>
    </row>
    <row r="98">
      <c r="C98" s="79"/>
      <c r="D98" s="79"/>
      <c r="E98" s="79"/>
      <c r="M98" s="79"/>
      <c r="R98" s="79"/>
      <c r="S98" s="79"/>
      <c r="V98" s="79"/>
      <c r="W98" s="79"/>
      <c r="Z98" s="130"/>
      <c r="AB98" s="106"/>
    </row>
    <row r="99">
      <c r="C99" s="79"/>
      <c r="D99" s="79"/>
      <c r="E99" s="79"/>
      <c r="M99" s="79"/>
      <c r="R99" s="79"/>
      <c r="S99" s="79"/>
      <c r="V99" s="79"/>
      <c r="W99" s="79"/>
      <c r="Z99" s="130"/>
      <c r="AB99" s="106"/>
    </row>
    <row r="100">
      <c r="C100" s="79"/>
      <c r="D100" s="79"/>
      <c r="E100" s="79"/>
      <c r="M100" s="79"/>
      <c r="R100" s="79"/>
      <c r="S100" s="79"/>
      <c r="V100" s="79"/>
      <c r="W100" s="79"/>
      <c r="Z100" s="130"/>
      <c r="AB100" s="106"/>
    </row>
    <row r="101">
      <c r="C101" s="79"/>
      <c r="D101" s="79"/>
      <c r="E101" s="79"/>
      <c r="M101" s="79"/>
      <c r="R101" s="79"/>
      <c r="S101" s="79"/>
      <c r="V101" s="79"/>
      <c r="W101" s="79"/>
      <c r="Z101" s="130"/>
      <c r="AB101" s="106"/>
    </row>
    <row r="102">
      <c r="C102" s="79"/>
      <c r="D102" s="79"/>
      <c r="E102" s="79"/>
      <c r="M102" s="79"/>
      <c r="R102" s="79"/>
      <c r="S102" s="79"/>
      <c r="V102" s="79"/>
      <c r="W102" s="79"/>
      <c r="Z102" s="130"/>
      <c r="AB102" s="106"/>
    </row>
    <row r="103">
      <c r="C103" s="79"/>
      <c r="D103" s="79"/>
      <c r="E103" s="79"/>
      <c r="M103" s="79"/>
      <c r="R103" s="79"/>
      <c r="S103" s="79"/>
      <c r="V103" s="79"/>
      <c r="W103" s="79"/>
      <c r="Z103" s="130"/>
      <c r="AB103" s="106"/>
    </row>
    <row r="104">
      <c r="C104" s="79"/>
      <c r="D104" s="79"/>
      <c r="E104" s="79"/>
      <c r="M104" s="79"/>
      <c r="R104" s="79"/>
      <c r="S104" s="79"/>
      <c r="V104" s="79"/>
      <c r="W104" s="79"/>
      <c r="Z104" s="130"/>
      <c r="AB104" s="106"/>
    </row>
    <row r="105">
      <c r="C105" s="79"/>
      <c r="D105" s="79"/>
      <c r="E105" s="79"/>
      <c r="M105" s="79"/>
      <c r="R105" s="79"/>
      <c r="S105" s="79"/>
      <c r="V105" s="79"/>
      <c r="W105" s="79"/>
      <c r="Z105" s="130"/>
      <c r="AB105" s="106"/>
    </row>
    <row r="106">
      <c r="C106" s="79"/>
      <c r="D106" s="79"/>
      <c r="E106" s="79"/>
      <c r="M106" s="79"/>
      <c r="R106" s="79"/>
      <c r="S106" s="79"/>
      <c r="V106" s="79"/>
      <c r="W106" s="79"/>
      <c r="Z106" s="130"/>
      <c r="AB106" s="106"/>
    </row>
    <row r="107">
      <c r="C107" s="79"/>
      <c r="D107" s="79"/>
      <c r="E107" s="79"/>
      <c r="M107" s="79"/>
      <c r="R107" s="79"/>
      <c r="S107" s="79"/>
      <c r="V107" s="79"/>
      <c r="W107" s="79"/>
      <c r="Z107" s="130"/>
      <c r="AB107" s="106"/>
    </row>
    <row r="108">
      <c r="C108" s="79"/>
      <c r="D108" s="79"/>
      <c r="E108" s="79"/>
      <c r="M108" s="79"/>
      <c r="R108" s="79"/>
      <c r="S108" s="79"/>
      <c r="V108" s="79"/>
      <c r="W108" s="79"/>
      <c r="Z108" s="130"/>
      <c r="AB108" s="106"/>
    </row>
    <row r="109">
      <c r="C109" s="79"/>
      <c r="D109" s="79"/>
      <c r="E109" s="79"/>
      <c r="M109" s="79"/>
      <c r="R109" s="79"/>
      <c r="S109" s="79"/>
      <c r="V109" s="79"/>
      <c r="W109" s="79"/>
      <c r="Z109" s="130"/>
      <c r="AB109" s="106"/>
    </row>
    <row r="110">
      <c r="C110" s="79"/>
      <c r="D110" s="79"/>
      <c r="E110" s="79"/>
      <c r="M110" s="79"/>
      <c r="R110" s="79"/>
      <c r="S110" s="79"/>
      <c r="V110" s="79"/>
      <c r="W110" s="79"/>
      <c r="Z110" s="130"/>
      <c r="AB110" s="106"/>
    </row>
    <row r="111">
      <c r="C111" s="79"/>
      <c r="D111" s="79"/>
      <c r="E111" s="79"/>
      <c r="M111" s="79"/>
      <c r="R111" s="79"/>
      <c r="S111" s="79"/>
      <c r="V111" s="79"/>
      <c r="W111" s="79"/>
      <c r="Z111" s="130"/>
      <c r="AB111" s="106"/>
    </row>
    <row r="112">
      <c r="C112" s="79"/>
      <c r="D112" s="79"/>
      <c r="E112" s="79"/>
      <c r="M112" s="79"/>
      <c r="R112" s="79"/>
      <c r="S112" s="79"/>
      <c r="V112" s="79"/>
      <c r="W112" s="79"/>
      <c r="Z112" s="130"/>
      <c r="AB112" s="106"/>
    </row>
    <row r="113">
      <c r="C113" s="79"/>
      <c r="D113" s="79"/>
      <c r="E113" s="79"/>
      <c r="M113" s="79"/>
      <c r="R113" s="79"/>
      <c r="S113" s="79"/>
      <c r="V113" s="79"/>
      <c r="W113" s="79"/>
      <c r="Z113" s="130"/>
      <c r="AB113" s="106"/>
    </row>
    <row r="114">
      <c r="C114" s="79"/>
      <c r="D114" s="79"/>
      <c r="E114" s="79"/>
      <c r="M114" s="79"/>
      <c r="R114" s="79"/>
      <c r="S114" s="79"/>
      <c r="V114" s="79"/>
      <c r="W114" s="79"/>
      <c r="Z114" s="130"/>
      <c r="AB114" s="106"/>
    </row>
    <row r="115">
      <c r="C115" s="79"/>
      <c r="D115" s="79"/>
      <c r="E115" s="79"/>
      <c r="M115" s="79"/>
      <c r="R115" s="79"/>
      <c r="S115" s="79"/>
      <c r="V115" s="79"/>
      <c r="W115" s="79"/>
      <c r="Z115" s="130"/>
      <c r="AB115" s="106"/>
    </row>
    <row r="116">
      <c r="C116" s="79"/>
      <c r="D116" s="79"/>
      <c r="E116" s="79"/>
      <c r="M116" s="79"/>
      <c r="R116" s="79"/>
      <c r="S116" s="79"/>
      <c r="V116" s="79"/>
      <c r="W116" s="79"/>
      <c r="Z116" s="130"/>
      <c r="AB116" s="106"/>
    </row>
    <row r="117">
      <c r="C117" s="79"/>
      <c r="D117" s="79"/>
      <c r="E117" s="79"/>
      <c r="M117" s="79"/>
      <c r="R117" s="79"/>
      <c r="S117" s="79"/>
      <c r="V117" s="79"/>
      <c r="W117" s="79"/>
      <c r="Z117" s="130"/>
      <c r="AB117" s="106"/>
    </row>
    <row r="118">
      <c r="C118" s="79"/>
      <c r="D118" s="79"/>
      <c r="E118" s="79"/>
      <c r="M118" s="79"/>
      <c r="R118" s="79"/>
      <c r="S118" s="79"/>
      <c r="V118" s="79"/>
      <c r="W118" s="79"/>
      <c r="Z118" s="130"/>
      <c r="AB118" s="106"/>
    </row>
    <row r="119">
      <c r="C119" s="79"/>
      <c r="D119" s="79"/>
      <c r="E119" s="79"/>
      <c r="M119" s="79"/>
      <c r="R119" s="79"/>
      <c r="S119" s="79"/>
      <c r="V119" s="79"/>
      <c r="W119" s="79"/>
      <c r="Z119" s="130"/>
      <c r="AB119" s="106"/>
    </row>
    <row r="120">
      <c r="C120" s="79"/>
      <c r="D120" s="79"/>
      <c r="E120" s="79"/>
      <c r="M120" s="79"/>
      <c r="R120" s="79"/>
      <c r="S120" s="79"/>
      <c r="V120" s="79"/>
      <c r="W120" s="79"/>
      <c r="Z120" s="130"/>
      <c r="AB120" s="106"/>
    </row>
    <row r="121">
      <c r="C121" s="79"/>
      <c r="D121" s="79"/>
      <c r="E121" s="79"/>
      <c r="M121" s="79"/>
      <c r="R121" s="79"/>
      <c r="S121" s="79"/>
      <c r="V121" s="79"/>
      <c r="W121" s="79"/>
      <c r="Z121" s="130"/>
      <c r="AB121" s="106"/>
    </row>
    <row r="122">
      <c r="C122" s="79"/>
      <c r="D122" s="79"/>
      <c r="E122" s="79"/>
      <c r="M122" s="79"/>
      <c r="R122" s="79"/>
      <c r="S122" s="79"/>
      <c r="V122" s="79"/>
      <c r="W122" s="79"/>
      <c r="Z122" s="130"/>
      <c r="AB122" s="106"/>
    </row>
    <row r="123">
      <c r="C123" s="79"/>
      <c r="D123" s="79"/>
      <c r="E123" s="79"/>
      <c r="M123" s="79"/>
      <c r="R123" s="79"/>
      <c r="S123" s="79"/>
      <c r="V123" s="79"/>
      <c r="W123" s="79"/>
      <c r="Z123" s="130"/>
      <c r="AB123" s="106"/>
    </row>
    <row r="124">
      <c r="C124" s="79"/>
      <c r="D124" s="79"/>
      <c r="E124" s="79"/>
      <c r="M124" s="79"/>
      <c r="R124" s="79"/>
      <c r="S124" s="79"/>
      <c r="V124" s="79"/>
      <c r="W124" s="79"/>
      <c r="Z124" s="130"/>
      <c r="AB124" s="106"/>
    </row>
    <row r="125">
      <c r="C125" s="79"/>
      <c r="D125" s="79"/>
      <c r="E125" s="79"/>
      <c r="M125" s="79"/>
      <c r="R125" s="79"/>
      <c r="S125" s="79"/>
      <c r="V125" s="79"/>
      <c r="W125" s="79"/>
      <c r="Z125" s="130"/>
      <c r="AB125" s="106"/>
    </row>
    <row r="126">
      <c r="C126" s="79"/>
      <c r="D126" s="79"/>
      <c r="E126" s="79"/>
      <c r="M126" s="79"/>
      <c r="R126" s="79"/>
      <c r="S126" s="79"/>
      <c r="V126" s="79"/>
      <c r="W126" s="79"/>
      <c r="Z126" s="130"/>
      <c r="AB126" s="106"/>
    </row>
    <row r="127">
      <c r="C127" s="79"/>
      <c r="D127" s="79"/>
      <c r="E127" s="79"/>
      <c r="M127" s="79"/>
      <c r="R127" s="79"/>
      <c r="S127" s="79"/>
      <c r="V127" s="79"/>
      <c r="W127" s="79"/>
      <c r="Z127" s="130"/>
      <c r="AB127" s="106"/>
    </row>
    <row r="128">
      <c r="C128" s="79"/>
      <c r="D128" s="79"/>
      <c r="E128" s="79"/>
      <c r="M128" s="79"/>
      <c r="R128" s="79"/>
      <c r="S128" s="79"/>
      <c r="V128" s="79"/>
      <c r="W128" s="79"/>
      <c r="Z128" s="130"/>
      <c r="AB128" s="106"/>
    </row>
    <row r="129">
      <c r="C129" s="79"/>
      <c r="D129" s="79"/>
      <c r="E129" s="79"/>
      <c r="M129" s="79"/>
      <c r="R129" s="79"/>
      <c r="S129" s="79"/>
      <c r="V129" s="79"/>
      <c r="W129" s="79"/>
      <c r="Z129" s="130"/>
      <c r="AB129" s="106"/>
    </row>
    <row r="130">
      <c r="C130" s="79"/>
      <c r="D130" s="79"/>
      <c r="E130" s="79"/>
      <c r="M130" s="79"/>
      <c r="R130" s="79"/>
      <c r="S130" s="79"/>
      <c r="V130" s="79"/>
      <c r="W130" s="79"/>
      <c r="Z130" s="130"/>
      <c r="AB130" s="106"/>
    </row>
    <row r="131">
      <c r="C131" s="79"/>
      <c r="D131" s="79"/>
      <c r="E131" s="79"/>
      <c r="M131" s="79"/>
      <c r="R131" s="79"/>
      <c r="S131" s="79"/>
      <c r="V131" s="79"/>
      <c r="W131" s="79"/>
      <c r="Z131" s="130"/>
      <c r="AB131" s="106"/>
    </row>
    <row r="132">
      <c r="C132" s="79"/>
      <c r="D132" s="79"/>
      <c r="E132" s="79"/>
      <c r="M132" s="79"/>
      <c r="R132" s="79"/>
      <c r="S132" s="79"/>
      <c r="V132" s="79"/>
      <c r="W132" s="79"/>
      <c r="Z132" s="130"/>
      <c r="AB132" s="106"/>
    </row>
    <row r="133">
      <c r="C133" s="79"/>
      <c r="D133" s="79"/>
      <c r="E133" s="79"/>
      <c r="M133" s="79"/>
      <c r="R133" s="79"/>
      <c r="S133" s="79"/>
      <c r="V133" s="79"/>
      <c r="W133" s="79"/>
      <c r="Z133" s="130"/>
      <c r="AB133" s="106"/>
    </row>
    <row r="134">
      <c r="C134" s="79"/>
      <c r="D134" s="79"/>
      <c r="E134" s="79"/>
      <c r="M134" s="79"/>
      <c r="R134" s="79"/>
      <c r="S134" s="79"/>
      <c r="V134" s="79"/>
      <c r="W134" s="79"/>
      <c r="Z134" s="130"/>
      <c r="AB134" s="106"/>
    </row>
    <row r="135">
      <c r="C135" s="79"/>
      <c r="D135" s="79"/>
      <c r="E135" s="79"/>
      <c r="M135" s="79"/>
      <c r="R135" s="79"/>
      <c r="S135" s="79"/>
      <c r="V135" s="79"/>
      <c r="W135" s="79"/>
      <c r="Z135" s="130"/>
      <c r="AB135" s="106"/>
    </row>
    <row r="136">
      <c r="C136" s="79"/>
      <c r="D136" s="79"/>
      <c r="E136" s="79"/>
      <c r="M136" s="79"/>
      <c r="R136" s="79"/>
      <c r="S136" s="79"/>
      <c r="V136" s="79"/>
      <c r="W136" s="79"/>
      <c r="Z136" s="130"/>
      <c r="AB136" s="106"/>
    </row>
    <row r="137">
      <c r="C137" s="79"/>
      <c r="D137" s="79"/>
      <c r="E137" s="79"/>
      <c r="M137" s="79"/>
      <c r="R137" s="79"/>
      <c r="S137" s="79"/>
      <c r="V137" s="79"/>
      <c r="W137" s="79"/>
      <c r="Z137" s="130"/>
      <c r="AB137" s="106"/>
    </row>
    <row r="138">
      <c r="C138" s="79"/>
      <c r="D138" s="79"/>
      <c r="E138" s="79"/>
      <c r="M138" s="79"/>
      <c r="R138" s="79"/>
      <c r="S138" s="79"/>
      <c r="V138" s="79"/>
      <c r="W138" s="79"/>
      <c r="Z138" s="130"/>
      <c r="AB138" s="106"/>
    </row>
    <row r="139">
      <c r="C139" s="79"/>
      <c r="D139" s="79"/>
      <c r="E139" s="79"/>
      <c r="M139" s="79"/>
      <c r="R139" s="79"/>
      <c r="S139" s="79"/>
      <c r="V139" s="79"/>
      <c r="W139" s="79"/>
      <c r="Z139" s="130"/>
      <c r="AB139" s="106"/>
    </row>
    <row r="140">
      <c r="C140" s="79"/>
      <c r="D140" s="79"/>
      <c r="E140" s="79"/>
      <c r="M140" s="79"/>
      <c r="R140" s="79"/>
      <c r="S140" s="79"/>
      <c r="V140" s="79"/>
      <c r="W140" s="79"/>
      <c r="Z140" s="130"/>
      <c r="AB140" s="106"/>
    </row>
    <row r="141">
      <c r="C141" s="79"/>
      <c r="D141" s="79"/>
      <c r="E141" s="79"/>
      <c r="M141" s="79"/>
      <c r="R141" s="79"/>
      <c r="S141" s="79"/>
      <c r="V141" s="79"/>
      <c r="W141" s="79"/>
      <c r="Z141" s="130"/>
      <c r="AB141" s="106"/>
    </row>
    <row r="142">
      <c r="C142" s="79"/>
      <c r="D142" s="79"/>
      <c r="E142" s="79"/>
      <c r="M142" s="79"/>
      <c r="R142" s="79"/>
      <c r="S142" s="79"/>
      <c r="V142" s="79"/>
      <c r="W142" s="79"/>
      <c r="Z142" s="130"/>
      <c r="AB142" s="106"/>
    </row>
    <row r="143">
      <c r="C143" s="79"/>
      <c r="D143" s="79"/>
      <c r="E143" s="79"/>
      <c r="M143" s="79"/>
      <c r="R143" s="79"/>
      <c r="S143" s="79"/>
      <c r="V143" s="79"/>
      <c r="W143" s="79"/>
      <c r="Z143" s="130"/>
      <c r="AB143" s="106"/>
    </row>
    <row r="144">
      <c r="C144" s="79"/>
      <c r="D144" s="79"/>
      <c r="E144" s="79"/>
      <c r="M144" s="79"/>
      <c r="R144" s="79"/>
      <c r="S144" s="79"/>
      <c r="V144" s="79"/>
      <c r="W144" s="79"/>
      <c r="Z144" s="130"/>
      <c r="AB144" s="106"/>
    </row>
    <row r="145">
      <c r="C145" s="79"/>
      <c r="D145" s="79"/>
      <c r="E145" s="79"/>
      <c r="M145" s="79"/>
      <c r="R145" s="79"/>
      <c r="S145" s="79"/>
      <c r="V145" s="79"/>
      <c r="W145" s="79"/>
      <c r="Z145" s="130"/>
      <c r="AB145" s="106"/>
    </row>
    <row r="146">
      <c r="C146" s="79"/>
      <c r="D146" s="79"/>
      <c r="E146" s="79"/>
      <c r="M146" s="79"/>
      <c r="R146" s="79"/>
      <c r="S146" s="79"/>
      <c r="V146" s="79"/>
      <c r="W146" s="79"/>
      <c r="Z146" s="130"/>
      <c r="AB146" s="106"/>
    </row>
    <row r="147">
      <c r="C147" s="79"/>
      <c r="D147" s="79"/>
      <c r="E147" s="79"/>
      <c r="M147" s="79"/>
      <c r="R147" s="79"/>
      <c r="S147" s="79"/>
      <c r="V147" s="79"/>
      <c r="W147" s="79"/>
      <c r="Z147" s="130"/>
      <c r="AB147" s="106"/>
    </row>
    <row r="148">
      <c r="C148" s="79"/>
      <c r="D148" s="79"/>
      <c r="E148" s="79"/>
      <c r="M148" s="79"/>
      <c r="R148" s="79"/>
      <c r="S148" s="79"/>
      <c r="V148" s="79"/>
      <c r="W148" s="79"/>
      <c r="Z148" s="130"/>
      <c r="AB148" s="106"/>
    </row>
    <row r="149">
      <c r="C149" s="79"/>
      <c r="D149" s="79"/>
      <c r="E149" s="79"/>
      <c r="M149" s="79"/>
      <c r="R149" s="79"/>
      <c r="S149" s="79"/>
      <c r="V149" s="79"/>
      <c r="W149" s="79"/>
      <c r="Z149" s="130"/>
      <c r="AB149" s="106"/>
    </row>
    <row r="150">
      <c r="C150" s="79"/>
      <c r="D150" s="79"/>
      <c r="E150" s="79"/>
      <c r="M150" s="79"/>
      <c r="R150" s="79"/>
      <c r="S150" s="79"/>
      <c r="V150" s="79"/>
      <c r="W150" s="79"/>
      <c r="Z150" s="130"/>
      <c r="AB150" s="106"/>
    </row>
    <row r="151">
      <c r="C151" s="79"/>
      <c r="D151" s="79"/>
      <c r="E151" s="79"/>
      <c r="M151" s="79"/>
      <c r="R151" s="79"/>
      <c r="S151" s="79"/>
      <c r="V151" s="79"/>
      <c r="W151" s="79"/>
      <c r="Z151" s="130"/>
      <c r="AB151" s="106"/>
    </row>
    <row r="152">
      <c r="C152" s="79"/>
      <c r="D152" s="79"/>
      <c r="E152" s="79"/>
      <c r="M152" s="79"/>
      <c r="R152" s="79"/>
      <c r="S152" s="79"/>
      <c r="V152" s="79"/>
      <c r="W152" s="79"/>
      <c r="Z152" s="130"/>
      <c r="AB152" s="106"/>
    </row>
    <row r="153">
      <c r="C153" s="79"/>
      <c r="D153" s="79"/>
      <c r="E153" s="79"/>
      <c r="M153" s="79"/>
      <c r="R153" s="79"/>
      <c r="S153" s="79"/>
      <c r="V153" s="79"/>
      <c r="W153" s="79"/>
      <c r="Z153" s="130"/>
      <c r="AB153" s="106"/>
    </row>
    <row r="154">
      <c r="C154" s="79"/>
      <c r="D154" s="79"/>
      <c r="E154" s="79"/>
      <c r="M154" s="79"/>
      <c r="R154" s="79"/>
      <c r="S154" s="79"/>
      <c r="V154" s="79"/>
      <c r="W154" s="79"/>
      <c r="Z154" s="130"/>
      <c r="AB154" s="106"/>
    </row>
    <row r="155">
      <c r="C155" s="79"/>
      <c r="D155" s="79"/>
      <c r="E155" s="79"/>
      <c r="M155" s="79"/>
      <c r="R155" s="79"/>
      <c r="S155" s="79"/>
      <c r="V155" s="79"/>
      <c r="W155" s="79"/>
      <c r="Z155" s="130"/>
      <c r="AB155" s="106"/>
    </row>
    <row r="156">
      <c r="C156" s="79"/>
      <c r="D156" s="79"/>
      <c r="E156" s="79"/>
      <c r="M156" s="79"/>
      <c r="R156" s="79"/>
      <c r="S156" s="79"/>
      <c r="V156" s="79"/>
      <c r="W156" s="79"/>
      <c r="Z156" s="130"/>
      <c r="AB156" s="106"/>
    </row>
    <row r="157">
      <c r="C157" s="79"/>
      <c r="D157" s="79"/>
      <c r="E157" s="79"/>
      <c r="M157" s="79"/>
      <c r="R157" s="79"/>
      <c r="S157" s="79"/>
      <c r="V157" s="79"/>
      <c r="W157" s="79"/>
      <c r="Z157" s="130"/>
      <c r="AB157" s="106"/>
    </row>
    <row r="158">
      <c r="C158" s="79"/>
      <c r="D158" s="79"/>
      <c r="E158" s="79"/>
      <c r="M158" s="79"/>
      <c r="R158" s="79"/>
      <c r="S158" s="79"/>
      <c r="V158" s="79"/>
      <c r="W158" s="79"/>
      <c r="Z158" s="130"/>
      <c r="AB158" s="106"/>
    </row>
    <row r="159">
      <c r="C159" s="79"/>
      <c r="D159" s="79"/>
      <c r="E159" s="79"/>
      <c r="M159" s="79"/>
      <c r="R159" s="79"/>
      <c r="S159" s="79"/>
      <c r="V159" s="79"/>
      <c r="W159" s="79"/>
      <c r="Z159" s="130"/>
      <c r="AB159" s="106"/>
    </row>
    <row r="160">
      <c r="C160" s="79"/>
      <c r="D160" s="79"/>
      <c r="E160" s="79"/>
      <c r="M160" s="79"/>
      <c r="R160" s="79"/>
      <c r="S160" s="79"/>
      <c r="V160" s="79"/>
      <c r="W160" s="79"/>
      <c r="Z160" s="130"/>
      <c r="AB160" s="106"/>
    </row>
    <row r="161">
      <c r="C161" s="79"/>
      <c r="D161" s="79"/>
      <c r="E161" s="79"/>
      <c r="M161" s="79"/>
      <c r="R161" s="79"/>
      <c r="S161" s="79"/>
      <c r="V161" s="79"/>
      <c r="W161" s="79"/>
      <c r="Z161" s="130"/>
      <c r="AB161" s="106"/>
    </row>
    <row r="162">
      <c r="C162" s="79"/>
      <c r="D162" s="79"/>
      <c r="E162" s="79"/>
      <c r="M162" s="79"/>
      <c r="R162" s="79"/>
      <c r="S162" s="79"/>
      <c r="V162" s="79"/>
      <c r="W162" s="79"/>
      <c r="Z162" s="130"/>
      <c r="AB162" s="106"/>
    </row>
    <row r="163">
      <c r="C163" s="79"/>
      <c r="D163" s="79"/>
      <c r="E163" s="79"/>
      <c r="M163" s="79"/>
      <c r="R163" s="79"/>
      <c r="S163" s="79"/>
      <c r="V163" s="79"/>
      <c r="W163" s="79"/>
      <c r="Z163" s="130"/>
      <c r="AB163" s="106"/>
    </row>
    <row r="164">
      <c r="C164" s="79"/>
      <c r="D164" s="79"/>
      <c r="E164" s="79"/>
      <c r="M164" s="79"/>
      <c r="R164" s="79"/>
      <c r="S164" s="79"/>
      <c r="V164" s="79"/>
      <c r="W164" s="79"/>
      <c r="Z164" s="130"/>
      <c r="AB164" s="106"/>
    </row>
    <row r="165">
      <c r="C165" s="79"/>
      <c r="D165" s="79"/>
      <c r="E165" s="79"/>
      <c r="M165" s="79"/>
      <c r="R165" s="79"/>
      <c r="S165" s="79"/>
      <c r="V165" s="79"/>
      <c r="W165" s="79"/>
      <c r="Z165" s="130"/>
      <c r="AB165" s="106"/>
    </row>
    <row r="166">
      <c r="C166" s="79"/>
      <c r="D166" s="79"/>
      <c r="E166" s="79"/>
      <c r="M166" s="79"/>
      <c r="R166" s="79"/>
      <c r="S166" s="79"/>
      <c r="V166" s="79"/>
      <c r="W166" s="79"/>
      <c r="Z166" s="130"/>
      <c r="AB166" s="106"/>
    </row>
    <row r="167">
      <c r="C167" s="79"/>
      <c r="D167" s="79"/>
      <c r="E167" s="79"/>
      <c r="M167" s="79"/>
      <c r="R167" s="79"/>
      <c r="S167" s="79"/>
      <c r="V167" s="79"/>
      <c r="W167" s="79"/>
      <c r="Z167" s="130"/>
      <c r="AB167" s="106"/>
    </row>
    <row r="168">
      <c r="C168" s="79"/>
      <c r="D168" s="79"/>
      <c r="E168" s="79"/>
      <c r="M168" s="79"/>
      <c r="R168" s="79"/>
      <c r="S168" s="79"/>
      <c r="V168" s="79"/>
      <c r="W168" s="79"/>
      <c r="Z168" s="130"/>
      <c r="AB168" s="106"/>
    </row>
    <row r="169">
      <c r="C169" s="79"/>
      <c r="D169" s="79"/>
      <c r="E169" s="79"/>
      <c r="M169" s="79"/>
      <c r="R169" s="79"/>
      <c r="S169" s="79"/>
      <c r="V169" s="79"/>
      <c r="W169" s="79"/>
      <c r="Z169" s="130"/>
      <c r="AB169" s="106"/>
    </row>
    <row r="170">
      <c r="C170" s="79"/>
      <c r="D170" s="79"/>
      <c r="E170" s="79"/>
      <c r="M170" s="79"/>
      <c r="R170" s="79"/>
      <c r="S170" s="79"/>
      <c r="V170" s="79"/>
      <c r="W170" s="79"/>
      <c r="Z170" s="130"/>
      <c r="AB170" s="106"/>
    </row>
    <row r="171">
      <c r="C171" s="79"/>
      <c r="D171" s="79"/>
      <c r="E171" s="79"/>
      <c r="M171" s="79"/>
      <c r="R171" s="79"/>
      <c r="S171" s="79"/>
      <c r="V171" s="79"/>
      <c r="W171" s="79"/>
      <c r="Z171" s="130"/>
      <c r="AB171" s="106"/>
    </row>
    <row r="172">
      <c r="C172" s="79"/>
      <c r="D172" s="79"/>
      <c r="E172" s="79"/>
      <c r="M172" s="79"/>
      <c r="R172" s="79"/>
      <c r="S172" s="79"/>
      <c r="V172" s="79"/>
      <c r="W172" s="79"/>
      <c r="Z172" s="130"/>
      <c r="AB172" s="106"/>
    </row>
    <row r="173">
      <c r="C173" s="79"/>
      <c r="D173" s="79"/>
      <c r="E173" s="79"/>
      <c r="M173" s="79"/>
      <c r="R173" s="79"/>
      <c r="S173" s="79"/>
      <c r="V173" s="79"/>
      <c r="W173" s="79"/>
      <c r="Z173" s="130"/>
      <c r="AB173" s="106"/>
    </row>
    <row r="174">
      <c r="C174" s="79"/>
      <c r="D174" s="79"/>
      <c r="E174" s="79"/>
      <c r="M174" s="79"/>
      <c r="R174" s="79"/>
      <c r="S174" s="79"/>
      <c r="V174" s="79"/>
      <c r="W174" s="79"/>
      <c r="Z174" s="130"/>
      <c r="AB174" s="106"/>
    </row>
    <row r="175">
      <c r="C175" s="79"/>
      <c r="D175" s="79"/>
      <c r="E175" s="79"/>
      <c r="M175" s="79"/>
      <c r="R175" s="79"/>
      <c r="S175" s="79"/>
      <c r="V175" s="79"/>
      <c r="W175" s="79"/>
      <c r="Z175" s="130"/>
      <c r="AB175" s="106"/>
    </row>
    <row r="176">
      <c r="C176" s="79"/>
      <c r="D176" s="79"/>
      <c r="E176" s="79"/>
      <c r="M176" s="79"/>
      <c r="R176" s="79"/>
      <c r="S176" s="79"/>
      <c r="V176" s="79"/>
      <c r="W176" s="79"/>
      <c r="Z176" s="130"/>
      <c r="AB176" s="106"/>
    </row>
    <row r="177">
      <c r="C177" s="79"/>
      <c r="D177" s="79"/>
      <c r="E177" s="79"/>
      <c r="M177" s="79"/>
      <c r="R177" s="79"/>
      <c r="S177" s="79"/>
      <c r="V177" s="79"/>
      <c r="W177" s="79"/>
      <c r="Z177" s="130"/>
      <c r="AB177" s="106"/>
    </row>
    <row r="178">
      <c r="C178" s="79"/>
      <c r="D178" s="79"/>
      <c r="E178" s="79"/>
      <c r="M178" s="79"/>
      <c r="R178" s="79"/>
      <c r="S178" s="79"/>
      <c r="V178" s="79"/>
      <c r="W178" s="79"/>
      <c r="Z178" s="130"/>
      <c r="AB178" s="106"/>
    </row>
    <row r="179">
      <c r="C179" s="79"/>
      <c r="D179" s="79"/>
      <c r="E179" s="79"/>
      <c r="M179" s="79"/>
      <c r="R179" s="79"/>
      <c r="S179" s="79"/>
      <c r="V179" s="79"/>
      <c r="W179" s="79"/>
      <c r="Z179" s="130"/>
      <c r="AB179" s="106"/>
    </row>
    <row r="180">
      <c r="C180" s="79"/>
      <c r="D180" s="79"/>
      <c r="E180" s="79"/>
      <c r="M180" s="79"/>
      <c r="R180" s="79"/>
      <c r="S180" s="79"/>
      <c r="V180" s="79"/>
      <c r="W180" s="79"/>
      <c r="Z180" s="130"/>
      <c r="AB180" s="106"/>
    </row>
    <row r="181">
      <c r="C181" s="79"/>
      <c r="D181" s="79"/>
      <c r="E181" s="79"/>
      <c r="M181" s="79"/>
      <c r="R181" s="79"/>
      <c r="S181" s="79"/>
      <c r="V181" s="79"/>
      <c r="W181" s="79"/>
      <c r="Z181" s="130"/>
      <c r="AB181" s="106"/>
    </row>
    <row r="182">
      <c r="C182" s="79"/>
      <c r="D182" s="79"/>
      <c r="E182" s="79"/>
      <c r="M182" s="79"/>
      <c r="R182" s="79"/>
      <c r="S182" s="79"/>
      <c r="V182" s="79"/>
      <c r="W182" s="79"/>
      <c r="Z182" s="130"/>
      <c r="AB182" s="106"/>
    </row>
    <row r="183">
      <c r="C183" s="79"/>
      <c r="D183" s="79"/>
      <c r="E183" s="79"/>
      <c r="M183" s="79"/>
      <c r="R183" s="79"/>
      <c r="S183" s="79"/>
      <c r="V183" s="79"/>
      <c r="W183" s="79"/>
      <c r="Z183" s="130"/>
      <c r="AB183" s="106"/>
    </row>
    <row r="184">
      <c r="C184" s="79"/>
      <c r="D184" s="79"/>
      <c r="E184" s="79"/>
      <c r="M184" s="79"/>
      <c r="R184" s="79"/>
      <c r="S184" s="79"/>
      <c r="V184" s="79"/>
      <c r="W184" s="79"/>
      <c r="Z184" s="130"/>
      <c r="AB184" s="106"/>
    </row>
    <row r="185">
      <c r="C185" s="79"/>
      <c r="D185" s="79"/>
      <c r="E185" s="79"/>
      <c r="M185" s="79"/>
      <c r="R185" s="79"/>
      <c r="S185" s="79"/>
      <c r="V185" s="79"/>
      <c r="W185" s="79"/>
      <c r="Z185" s="130"/>
      <c r="AB185" s="106"/>
    </row>
    <row r="186">
      <c r="C186" s="79"/>
      <c r="D186" s="79"/>
      <c r="E186" s="79"/>
      <c r="M186" s="79"/>
      <c r="R186" s="79"/>
      <c r="S186" s="79"/>
      <c r="V186" s="79"/>
      <c r="W186" s="79"/>
      <c r="Z186" s="130"/>
      <c r="AB186" s="106"/>
    </row>
    <row r="187">
      <c r="C187" s="79"/>
      <c r="D187" s="79"/>
      <c r="E187" s="79"/>
      <c r="M187" s="79"/>
      <c r="R187" s="79"/>
      <c r="S187" s="79"/>
      <c r="V187" s="79"/>
      <c r="W187" s="79"/>
      <c r="Z187" s="130"/>
      <c r="AB187" s="106"/>
    </row>
    <row r="188">
      <c r="C188" s="79"/>
      <c r="D188" s="79"/>
      <c r="E188" s="79"/>
      <c r="M188" s="79"/>
      <c r="R188" s="79"/>
      <c r="S188" s="79"/>
      <c r="V188" s="79"/>
      <c r="W188" s="79"/>
      <c r="Z188" s="130"/>
      <c r="AB188" s="106"/>
    </row>
    <row r="189">
      <c r="C189" s="79"/>
      <c r="D189" s="79"/>
      <c r="E189" s="79"/>
      <c r="M189" s="79"/>
      <c r="R189" s="79"/>
      <c r="S189" s="79"/>
      <c r="V189" s="79"/>
      <c r="W189" s="79"/>
      <c r="Z189" s="130"/>
      <c r="AB189" s="106"/>
    </row>
    <row r="190">
      <c r="C190" s="79"/>
      <c r="D190" s="79"/>
      <c r="E190" s="79"/>
      <c r="M190" s="79"/>
      <c r="R190" s="79"/>
      <c r="S190" s="79"/>
      <c r="V190" s="79"/>
      <c r="W190" s="79"/>
      <c r="Z190" s="130"/>
      <c r="AB190" s="106"/>
    </row>
    <row r="191">
      <c r="C191" s="79"/>
      <c r="D191" s="79"/>
      <c r="E191" s="79"/>
      <c r="M191" s="79"/>
      <c r="R191" s="79"/>
      <c r="S191" s="79"/>
      <c r="V191" s="79"/>
      <c r="W191" s="79"/>
      <c r="Z191" s="130"/>
      <c r="AB191" s="106"/>
    </row>
    <row r="192">
      <c r="C192" s="79"/>
      <c r="D192" s="79"/>
      <c r="E192" s="79"/>
      <c r="M192" s="79"/>
      <c r="R192" s="79"/>
      <c r="S192" s="79"/>
      <c r="V192" s="79"/>
      <c r="W192" s="79"/>
      <c r="Z192" s="130"/>
      <c r="AB192" s="106"/>
    </row>
    <row r="193">
      <c r="C193" s="79"/>
      <c r="D193" s="79"/>
      <c r="E193" s="79"/>
      <c r="M193" s="79"/>
      <c r="R193" s="79"/>
      <c r="S193" s="79"/>
      <c r="V193" s="79"/>
      <c r="W193" s="79"/>
      <c r="Z193" s="130"/>
      <c r="AB193" s="106"/>
    </row>
    <row r="194">
      <c r="C194" s="79"/>
      <c r="D194" s="79"/>
      <c r="E194" s="79"/>
      <c r="M194" s="79"/>
      <c r="R194" s="79"/>
      <c r="S194" s="79"/>
      <c r="V194" s="79"/>
      <c r="W194" s="79"/>
      <c r="Z194" s="130"/>
      <c r="AB194" s="106"/>
    </row>
    <row r="195">
      <c r="C195" s="79"/>
      <c r="D195" s="79"/>
      <c r="E195" s="79"/>
      <c r="M195" s="79"/>
      <c r="R195" s="79"/>
      <c r="S195" s="79"/>
      <c r="V195" s="79"/>
      <c r="W195" s="79"/>
      <c r="Z195" s="130"/>
      <c r="AB195" s="106"/>
    </row>
    <row r="196">
      <c r="C196" s="79"/>
      <c r="D196" s="79"/>
      <c r="E196" s="79"/>
      <c r="M196" s="79"/>
      <c r="R196" s="79"/>
      <c r="S196" s="79"/>
      <c r="V196" s="79"/>
      <c r="W196" s="79"/>
      <c r="Z196" s="130"/>
      <c r="AB196" s="106"/>
    </row>
    <row r="197">
      <c r="C197" s="79"/>
      <c r="D197" s="79"/>
      <c r="E197" s="79"/>
      <c r="M197" s="79"/>
      <c r="R197" s="79"/>
      <c r="S197" s="79"/>
      <c r="V197" s="79"/>
      <c r="W197" s="79"/>
      <c r="Z197" s="130"/>
      <c r="AB197" s="106"/>
    </row>
    <row r="198">
      <c r="C198" s="79"/>
      <c r="D198" s="79"/>
      <c r="E198" s="79"/>
      <c r="M198" s="79"/>
      <c r="R198" s="79"/>
      <c r="S198" s="79"/>
      <c r="V198" s="79"/>
      <c r="W198" s="79"/>
      <c r="Z198" s="130"/>
      <c r="AB198" s="106"/>
    </row>
    <row r="199">
      <c r="C199" s="79"/>
      <c r="D199" s="79"/>
      <c r="E199" s="79"/>
      <c r="M199" s="79"/>
      <c r="R199" s="79"/>
      <c r="S199" s="79"/>
      <c r="V199" s="79"/>
      <c r="W199" s="79"/>
      <c r="Z199" s="130"/>
      <c r="AB199" s="106"/>
    </row>
    <row r="200">
      <c r="C200" s="79"/>
      <c r="D200" s="79"/>
      <c r="E200" s="79"/>
      <c r="M200" s="79"/>
      <c r="R200" s="79"/>
      <c r="S200" s="79"/>
      <c r="V200" s="79"/>
      <c r="W200" s="79"/>
      <c r="Z200" s="130"/>
      <c r="AB200" s="106"/>
    </row>
    <row r="201">
      <c r="C201" s="79"/>
      <c r="D201" s="79"/>
      <c r="E201" s="79"/>
      <c r="M201" s="79"/>
      <c r="R201" s="79"/>
      <c r="S201" s="79"/>
      <c r="V201" s="79"/>
      <c r="W201" s="79"/>
      <c r="Z201" s="130"/>
      <c r="AB201" s="106"/>
    </row>
    <row r="202">
      <c r="C202" s="79"/>
      <c r="D202" s="79"/>
      <c r="E202" s="79"/>
      <c r="M202" s="79"/>
      <c r="R202" s="79"/>
      <c r="S202" s="79"/>
      <c r="V202" s="79"/>
      <c r="W202" s="79"/>
      <c r="Z202" s="130"/>
      <c r="AB202" s="106"/>
    </row>
    <row r="203">
      <c r="C203" s="79"/>
      <c r="D203" s="79"/>
      <c r="E203" s="79"/>
      <c r="M203" s="79"/>
      <c r="R203" s="79"/>
      <c r="S203" s="79"/>
      <c r="V203" s="79"/>
      <c r="W203" s="79"/>
      <c r="Z203" s="130"/>
      <c r="AB203" s="106"/>
    </row>
    <row r="204">
      <c r="C204" s="79"/>
      <c r="D204" s="79"/>
      <c r="E204" s="79"/>
      <c r="M204" s="79"/>
      <c r="R204" s="79"/>
      <c r="S204" s="79"/>
      <c r="V204" s="79"/>
      <c r="W204" s="79"/>
      <c r="Z204" s="130"/>
      <c r="AB204" s="106"/>
    </row>
    <row r="205">
      <c r="C205" s="79"/>
      <c r="D205" s="79"/>
      <c r="E205" s="79"/>
      <c r="M205" s="79"/>
      <c r="R205" s="79"/>
      <c r="S205" s="79"/>
      <c r="V205" s="79"/>
      <c r="W205" s="79"/>
      <c r="Z205" s="130"/>
      <c r="AB205" s="106"/>
    </row>
    <row r="206">
      <c r="C206" s="79"/>
      <c r="D206" s="79"/>
      <c r="E206" s="79"/>
      <c r="M206" s="79"/>
      <c r="R206" s="79"/>
      <c r="S206" s="79"/>
      <c r="V206" s="79"/>
      <c r="W206" s="79"/>
      <c r="Z206" s="130"/>
      <c r="AB206" s="106"/>
    </row>
    <row r="207">
      <c r="C207" s="79"/>
      <c r="D207" s="79"/>
      <c r="E207" s="79"/>
      <c r="M207" s="79"/>
      <c r="R207" s="79"/>
      <c r="S207" s="79"/>
      <c r="V207" s="79"/>
      <c r="W207" s="79"/>
      <c r="Z207" s="130"/>
      <c r="AB207" s="106"/>
    </row>
    <row r="208">
      <c r="C208" s="79"/>
      <c r="D208" s="79"/>
      <c r="E208" s="79"/>
      <c r="M208" s="79"/>
      <c r="R208" s="79"/>
      <c r="S208" s="79"/>
      <c r="V208" s="79"/>
      <c r="W208" s="79"/>
      <c r="Z208" s="130"/>
      <c r="AB208" s="106"/>
    </row>
    <row r="209">
      <c r="C209" s="79"/>
      <c r="D209" s="79"/>
      <c r="E209" s="79"/>
      <c r="M209" s="79"/>
      <c r="R209" s="79"/>
      <c r="S209" s="79"/>
      <c r="V209" s="79"/>
      <c r="W209" s="79"/>
      <c r="Z209" s="130"/>
      <c r="AB209" s="106"/>
    </row>
    <row r="210">
      <c r="C210" s="79"/>
      <c r="D210" s="79"/>
      <c r="E210" s="79"/>
      <c r="M210" s="79"/>
      <c r="R210" s="79"/>
      <c r="S210" s="79"/>
      <c r="V210" s="79"/>
      <c r="W210" s="79"/>
      <c r="Z210" s="130"/>
      <c r="AB210" s="106"/>
    </row>
    <row r="211">
      <c r="C211" s="79"/>
      <c r="D211" s="79"/>
      <c r="E211" s="79"/>
      <c r="M211" s="79"/>
      <c r="R211" s="79"/>
      <c r="S211" s="79"/>
      <c r="V211" s="79"/>
      <c r="W211" s="79"/>
      <c r="Z211" s="130"/>
      <c r="AB211" s="106"/>
    </row>
    <row r="212">
      <c r="C212" s="79"/>
      <c r="D212" s="79"/>
      <c r="E212" s="79"/>
      <c r="M212" s="79"/>
      <c r="R212" s="79"/>
      <c r="S212" s="79"/>
      <c r="V212" s="79"/>
      <c r="W212" s="79"/>
      <c r="Z212" s="130"/>
      <c r="AB212" s="106"/>
    </row>
    <row r="213">
      <c r="C213" s="79"/>
      <c r="D213" s="79"/>
      <c r="E213" s="79"/>
      <c r="M213" s="79"/>
      <c r="R213" s="79"/>
      <c r="S213" s="79"/>
      <c r="V213" s="79"/>
      <c r="W213" s="79"/>
      <c r="Z213" s="130"/>
      <c r="AB213" s="106"/>
    </row>
    <row r="214">
      <c r="C214" s="79"/>
      <c r="D214" s="79"/>
      <c r="E214" s="79"/>
      <c r="M214" s="79"/>
      <c r="R214" s="79"/>
      <c r="S214" s="79"/>
      <c r="V214" s="79"/>
      <c r="W214" s="79"/>
      <c r="Z214" s="130"/>
      <c r="AB214" s="106"/>
    </row>
    <row r="215">
      <c r="C215" s="79"/>
      <c r="D215" s="79"/>
      <c r="E215" s="79"/>
      <c r="M215" s="79"/>
      <c r="R215" s="79"/>
      <c r="S215" s="79"/>
      <c r="V215" s="79"/>
      <c r="W215" s="79"/>
      <c r="Z215" s="130"/>
      <c r="AB215" s="106"/>
    </row>
    <row r="216">
      <c r="C216" s="79"/>
      <c r="D216" s="79"/>
      <c r="E216" s="79"/>
      <c r="M216" s="79"/>
      <c r="R216" s="79"/>
      <c r="S216" s="79"/>
      <c r="V216" s="79"/>
      <c r="W216" s="79"/>
      <c r="Z216" s="130"/>
      <c r="AB216" s="106"/>
    </row>
    <row r="217">
      <c r="C217" s="79"/>
      <c r="D217" s="79"/>
      <c r="E217" s="79"/>
      <c r="M217" s="79"/>
      <c r="R217" s="79"/>
      <c r="S217" s="79"/>
      <c r="V217" s="79"/>
      <c r="W217" s="79"/>
      <c r="Z217" s="130"/>
      <c r="AB217" s="106"/>
    </row>
    <row r="218">
      <c r="C218" s="79"/>
      <c r="D218" s="79"/>
      <c r="E218" s="79"/>
      <c r="M218" s="79"/>
      <c r="R218" s="79"/>
      <c r="S218" s="79"/>
      <c r="V218" s="79"/>
      <c r="W218" s="79"/>
      <c r="Z218" s="130"/>
      <c r="AB218" s="106"/>
    </row>
    <row r="219">
      <c r="C219" s="79"/>
      <c r="D219" s="79"/>
      <c r="E219" s="79"/>
      <c r="M219" s="79"/>
      <c r="R219" s="79"/>
      <c r="S219" s="79"/>
      <c r="V219" s="79"/>
      <c r="W219" s="79"/>
      <c r="Z219" s="130"/>
      <c r="AB219" s="106"/>
    </row>
    <row r="220">
      <c r="C220" s="79"/>
      <c r="D220" s="79"/>
      <c r="E220" s="79"/>
      <c r="M220" s="79"/>
      <c r="R220" s="79"/>
      <c r="S220" s="79"/>
      <c r="V220" s="79"/>
      <c r="W220" s="79"/>
      <c r="Z220" s="130"/>
      <c r="AB220" s="106"/>
    </row>
    <row r="221">
      <c r="C221" s="79"/>
      <c r="D221" s="79"/>
      <c r="E221" s="79"/>
      <c r="M221" s="79"/>
      <c r="R221" s="79"/>
      <c r="S221" s="79"/>
      <c r="V221" s="79"/>
      <c r="W221" s="79"/>
      <c r="Z221" s="130"/>
      <c r="AB221" s="106"/>
    </row>
    <row r="222">
      <c r="C222" s="79"/>
      <c r="D222" s="79"/>
      <c r="E222" s="79"/>
      <c r="M222" s="79"/>
      <c r="R222" s="79"/>
      <c r="S222" s="79"/>
      <c r="V222" s="79"/>
      <c r="W222" s="79"/>
      <c r="Z222" s="130"/>
      <c r="AB222" s="106"/>
    </row>
    <row r="223">
      <c r="C223" s="79"/>
      <c r="D223" s="79"/>
      <c r="E223" s="79"/>
      <c r="M223" s="79"/>
      <c r="R223" s="79"/>
      <c r="S223" s="79"/>
      <c r="V223" s="79"/>
      <c r="W223" s="79"/>
      <c r="Z223" s="130"/>
      <c r="AB223" s="106"/>
    </row>
    <row r="224">
      <c r="C224" s="79"/>
      <c r="D224" s="79"/>
      <c r="E224" s="79"/>
      <c r="M224" s="79"/>
      <c r="R224" s="79"/>
      <c r="S224" s="79"/>
      <c r="V224" s="79"/>
      <c r="W224" s="79"/>
      <c r="Z224" s="130"/>
      <c r="AB224" s="106"/>
    </row>
    <row r="225">
      <c r="C225" s="79"/>
      <c r="D225" s="79"/>
      <c r="E225" s="79"/>
      <c r="M225" s="79"/>
      <c r="R225" s="79"/>
      <c r="S225" s="79"/>
      <c r="V225" s="79"/>
      <c r="W225" s="79"/>
      <c r="Z225" s="130"/>
      <c r="AB225" s="106"/>
    </row>
    <row r="226">
      <c r="C226" s="79"/>
      <c r="D226" s="79"/>
      <c r="E226" s="79"/>
      <c r="M226" s="79"/>
      <c r="R226" s="79"/>
      <c r="S226" s="79"/>
      <c r="V226" s="79"/>
      <c r="W226" s="79"/>
      <c r="Z226" s="130"/>
      <c r="AB226" s="106"/>
    </row>
    <row r="227">
      <c r="C227" s="79"/>
      <c r="D227" s="79"/>
      <c r="E227" s="79"/>
      <c r="M227" s="79"/>
      <c r="R227" s="79"/>
      <c r="S227" s="79"/>
      <c r="V227" s="79"/>
      <c r="W227" s="79"/>
      <c r="Z227" s="130"/>
      <c r="AB227" s="106"/>
    </row>
    <row r="228">
      <c r="C228" s="79"/>
      <c r="D228" s="79"/>
      <c r="E228" s="79"/>
      <c r="M228" s="79"/>
      <c r="R228" s="79"/>
      <c r="S228" s="79"/>
      <c r="V228" s="79"/>
      <c r="W228" s="79"/>
      <c r="Z228" s="130"/>
      <c r="AB228" s="106"/>
    </row>
    <row r="229">
      <c r="C229" s="79"/>
      <c r="D229" s="79"/>
      <c r="E229" s="79"/>
      <c r="M229" s="79"/>
      <c r="R229" s="79"/>
      <c r="S229" s="79"/>
      <c r="V229" s="79"/>
      <c r="W229" s="79"/>
      <c r="Z229" s="130"/>
      <c r="AB229" s="106"/>
    </row>
    <row r="230">
      <c r="C230" s="79"/>
      <c r="D230" s="79"/>
      <c r="E230" s="79"/>
      <c r="M230" s="79"/>
      <c r="R230" s="79"/>
      <c r="S230" s="79"/>
      <c r="V230" s="79"/>
      <c r="W230" s="79"/>
      <c r="Z230" s="130"/>
      <c r="AB230" s="106"/>
    </row>
    <row r="231">
      <c r="C231" s="79"/>
      <c r="D231" s="79"/>
      <c r="E231" s="79"/>
      <c r="M231" s="79"/>
      <c r="R231" s="79"/>
      <c r="S231" s="79"/>
      <c r="V231" s="79"/>
      <c r="W231" s="79"/>
      <c r="Z231" s="130"/>
      <c r="AB231" s="106"/>
    </row>
    <row r="232">
      <c r="C232" s="79"/>
      <c r="D232" s="79"/>
      <c r="E232" s="79"/>
      <c r="M232" s="79"/>
      <c r="R232" s="79"/>
      <c r="S232" s="79"/>
      <c r="V232" s="79"/>
      <c r="W232" s="79"/>
      <c r="Z232" s="130"/>
      <c r="AB232" s="106"/>
    </row>
    <row r="233">
      <c r="C233" s="79"/>
      <c r="D233" s="79"/>
      <c r="E233" s="79"/>
      <c r="M233" s="79"/>
      <c r="R233" s="79"/>
      <c r="S233" s="79"/>
      <c r="V233" s="79"/>
      <c r="W233" s="79"/>
      <c r="Z233" s="130"/>
      <c r="AB233" s="106"/>
    </row>
    <row r="234">
      <c r="C234" s="79"/>
      <c r="D234" s="79"/>
      <c r="E234" s="79"/>
      <c r="M234" s="79"/>
      <c r="R234" s="79"/>
      <c r="S234" s="79"/>
      <c r="V234" s="79"/>
      <c r="W234" s="79"/>
      <c r="Z234" s="130"/>
      <c r="AB234" s="106"/>
    </row>
    <row r="235">
      <c r="C235" s="79"/>
      <c r="D235" s="79"/>
      <c r="E235" s="79"/>
      <c r="M235" s="79"/>
      <c r="R235" s="79"/>
      <c r="S235" s="79"/>
      <c r="V235" s="79"/>
      <c r="W235" s="79"/>
      <c r="Z235" s="130"/>
      <c r="AB235" s="106"/>
    </row>
    <row r="236">
      <c r="C236" s="79"/>
      <c r="D236" s="79"/>
      <c r="E236" s="79"/>
      <c r="M236" s="79"/>
      <c r="R236" s="79"/>
      <c r="S236" s="79"/>
      <c r="V236" s="79"/>
      <c r="W236" s="79"/>
      <c r="Z236" s="130"/>
      <c r="AB236" s="106"/>
    </row>
    <row r="237">
      <c r="C237" s="79"/>
      <c r="D237" s="79"/>
      <c r="E237" s="79"/>
      <c r="M237" s="79"/>
      <c r="R237" s="79"/>
      <c r="S237" s="79"/>
      <c r="V237" s="79"/>
      <c r="W237" s="79"/>
      <c r="Z237" s="130"/>
      <c r="AB237" s="106"/>
    </row>
    <row r="238">
      <c r="C238" s="79"/>
      <c r="D238" s="79"/>
      <c r="E238" s="79"/>
      <c r="M238" s="79"/>
      <c r="R238" s="79"/>
      <c r="S238" s="79"/>
      <c r="V238" s="79"/>
      <c r="W238" s="79"/>
      <c r="Z238" s="130"/>
      <c r="AB238" s="106"/>
    </row>
    <row r="239">
      <c r="C239" s="79"/>
      <c r="D239" s="79"/>
      <c r="E239" s="79"/>
      <c r="M239" s="79"/>
      <c r="R239" s="79"/>
      <c r="S239" s="79"/>
      <c r="V239" s="79"/>
      <c r="W239" s="79"/>
      <c r="Z239" s="130"/>
      <c r="AB239" s="106"/>
    </row>
    <row r="240">
      <c r="C240" s="79"/>
      <c r="D240" s="79"/>
      <c r="E240" s="79"/>
      <c r="M240" s="79"/>
      <c r="R240" s="79"/>
      <c r="S240" s="79"/>
      <c r="V240" s="79"/>
      <c r="W240" s="79"/>
      <c r="Z240" s="130"/>
      <c r="AB240" s="106"/>
    </row>
    <row r="241">
      <c r="C241" s="79"/>
      <c r="D241" s="79"/>
      <c r="E241" s="79"/>
      <c r="M241" s="79"/>
      <c r="R241" s="79"/>
      <c r="S241" s="79"/>
      <c r="V241" s="79"/>
      <c r="W241" s="79"/>
      <c r="Z241" s="130"/>
      <c r="AB241" s="106"/>
    </row>
    <row r="242">
      <c r="C242" s="79"/>
      <c r="D242" s="79"/>
      <c r="E242" s="79"/>
      <c r="M242" s="79"/>
      <c r="R242" s="79"/>
      <c r="S242" s="79"/>
      <c r="V242" s="79"/>
      <c r="W242" s="79"/>
      <c r="Z242" s="130"/>
      <c r="AB242" s="106"/>
    </row>
    <row r="243">
      <c r="C243" s="79"/>
      <c r="D243" s="79"/>
      <c r="E243" s="79"/>
      <c r="M243" s="79"/>
      <c r="R243" s="79"/>
      <c r="S243" s="79"/>
      <c r="V243" s="79"/>
      <c r="W243" s="79"/>
      <c r="Z243" s="130"/>
      <c r="AB243" s="106"/>
    </row>
    <row r="244">
      <c r="C244" s="79"/>
      <c r="D244" s="79"/>
      <c r="E244" s="79"/>
      <c r="M244" s="79"/>
      <c r="R244" s="79"/>
      <c r="S244" s="79"/>
      <c r="V244" s="79"/>
      <c r="W244" s="79"/>
      <c r="Z244" s="130"/>
      <c r="AB244" s="106"/>
    </row>
    <row r="245">
      <c r="C245" s="79"/>
      <c r="D245" s="79"/>
      <c r="E245" s="79"/>
      <c r="M245" s="79"/>
      <c r="R245" s="79"/>
      <c r="S245" s="79"/>
      <c r="V245" s="79"/>
      <c r="W245" s="79"/>
      <c r="Z245" s="130"/>
      <c r="AB245" s="106"/>
    </row>
    <row r="246">
      <c r="C246" s="79"/>
      <c r="D246" s="79"/>
      <c r="E246" s="79"/>
      <c r="M246" s="79"/>
      <c r="R246" s="79"/>
      <c r="S246" s="79"/>
      <c r="V246" s="79"/>
      <c r="W246" s="79"/>
      <c r="Z246" s="130"/>
      <c r="AB246" s="106"/>
    </row>
    <row r="247">
      <c r="C247" s="79"/>
      <c r="D247" s="79"/>
      <c r="E247" s="79"/>
      <c r="M247" s="79"/>
      <c r="R247" s="79"/>
      <c r="S247" s="79"/>
      <c r="V247" s="79"/>
      <c r="W247" s="79"/>
      <c r="Z247" s="130"/>
      <c r="AB247" s="106"/>
    </row>
    <row r="248">
      <c r="C248" s="79"/>
      <c r="D248" s="79"/>
      <c r="E248" s="79"/>
      <c r="M248" s="79"/>
      <c r="R248" s="79"/>
      <c r="S248" s="79"/>
      <c r="V248" s="79"/>
      <c r="W248" s="79"/>
      <c r="Z248" s="130"/>
      <c r="AB248" s="106"/>
    </row>
    <row r="249">
      <c r="C249" s="79"/>
      <c r="D249" s="79"/>
      <c r="E249" s="79"/>
      <c r="M249" s="79"/>
      <c r="R249" s="79"/>
      <c r="S249" s="79"/>
      <c r="V249" s="79"/>
      <c r="W249" s="79"/>
      <c r="Z249" s="130"/>
      <c r="AB249" s="106"/>
    </row>
    <row r="250">
      <c r="C250" s="79"/>
      <c r="D250" s="79"/>
      <c r="E250" s="79"/>
      <c r="M250" s="79"/>
      <c r="R250" s="79"/>
      <c r="S250" s="79"/>
      <c r="V250" s="79"/>
      <c r="W250" s="79"/>
      <c r="Z250" s="130"/>
      <c r="AB250" s="106"/>
    </row>
    <row r="251">
      <c r="C251" s="79"/>
      <c r="D251" s="79"/>
      <c r="E251" s="79"/>
      <c r="M251" s="79"/>
      <c r="R251" s="79"/>
      <c r="S251" s="79"/>
      <c r="V251" s="79"/>
      <c r="W251" s="79"/>
      <c r="Z251" s="130"/>
      <c r="AB251" s="106"/>
    </row>
    <row r="252">
      <c r="C252" s="79"/>
      <c r="D252" s="79"/>
      <c r="E252" s="79"/>
      <c r="M252" s="79"/>
      <c r="R252" s="79"/>
      <c r="S252" s="79"/>
      <c r="V252" s="79"/>
      <c r="W252" s="79"/>
      <c r="Z252" s="130"/>
      <c r="AB252" s="106"/>
    </row>
    <row r="253">
      <c r="C253" s="79"/>
      <c r="D253" s="79"/>
      <c r="E253" s="79"/>
      <c r="M253" s="79"/>
      <c r="R253" s="79"/>
      <c r="S253" s="79"/>
      <c r="V253" s="79"/>
      <c r="W253" s="79"/>
      <c r="Z253" s="130"/>
      <c r="AB253" s="106"/>
    </row>
    <row r="254">
      <c r="C254" s="79"/>
      <c r="D254" s="79"/>
      <c r="E254" s="79"/>
      <c r="M254" s="79"/>
      <c r="R254" s="79"/>
      <c r="S254" s="79"/>
      <c r="V254" s="79"/>
      <c r="W254" s="79"/>
      <c r="Z254" s="130"/>
      <c r="AB254" s="106"/>
    </row>
    <row r="255">
      <c r="C255" s="79"/>
      <c r="D255" s="79"/>
      <c r="E255" s="79"/>
      <c r="M255" s="79"/>
      <c r="R255" s="79"/>
      <c r="S255" s="79"/>
      <c r="V255" s="79"/>
      <c r="W255" s="79"/>
      <c r="Z255" s="130"/>
      <c r="AB255" s="106"/>
    </row>
    <row r="256">
      <c r="C256" s="79"/>
      <c r="D256" s="79"/>
      <c r="E256" s="79"/>
      <c r="M256" s="79"/>
      <c r="R256" s="79"/>
      <c r="S256" s="79"/>
      <c r="V256" s="79"/>
      <c r="W256" s="79"/>
      <c r="Z256" s="130"/>
      <c r="AB256" s="106"/>
    </row>
    <row r="257">
      <c r="C257" s="79"/>
      <c r="D257" s="79"/>
      <c r="E257" s="79"/>
      <c r="M257" s="79"/>
      <c r="R257" s="79"/>
      <c r="S257" s="79"/>
      <c r="V257" s="79"/>
      <c r="W257" s="79"/>
      <c r="Z257" s="130"/>
      <c r="AB257" s="106"/>
    </row>
    <row r="258">
      <c r="C258" s="79"/>
      <c r="D258" s="79"/>
      <c r="E258" s="79"/>
      <c r="M258" s="79"/>
      <c r="R258" s="79"/>
      <c r="S258" s="79"/>
      <c r="V258" s="79"/>
      <c r="W258" s="79"/>
      <c r="Z258" s="130"/>
      <c r="AB258" s="106"/>
    </row>
    <row r="259">
      <c r="C259" s="79"/>
      <c r="D259" s="79"/>
      <c r="E259" s="79"/>
      <c r="M259" s="79"/>
      <c r="R259" s="79"/>
      <c r="S259" s="79"/>
      <c r="V259" s="79"/>
      <c r="W259" s="79"/>
      <c r="Z259" s="130"/>
      <c r="AB259" s="106"/>
    </row>
    <row r="260">
      <c r="C260" s="79"/>
      <c r="D260" s="79"/>
      <c r="E260" s="79"/>
      <c r="M260" s="79"/>
      <c r="R260" s="79"/>
      <c r="S260" s="79"/>
      <c r="V260" s="79"/>
      <c r="W260" s="79"/>
      <c r="Z260" s="130"/>
      <c r="AB260" s="106"/>
    </row>
    <row r="261">
      <c r="C261" s="79"/>
      <c r="D261" s="79"/>
      <c r="E261" s="79"/>
      <c r="M261" s="79"/>
      <c r="R261" s="79"/>
      <c r="S261" s="79"/>
      <c r="V261" s="79"/>
      <c r="W261" s="79"/>
      <c r="Z261" s="130"/>
      <c r="AB261" s="106"/>
    </row>
    <row r="262">
      <c r="C262" s="79"/>
      <c r="D262" s="79"/>
      <c r="E262" s="79"/>
      <c r="M262" s="79"/>
      <c r="R262" s="79"/>
      <c r="S262" s="79"/>
      <c r="V262" s="79"/>
      <c r="W262" s="79"/>
      <c r="Z262" s="130"/>
      <c r="AB262" s="106"/>
    </row>
    <row r="263">
      <c r="C263" s="79"/>
      <c r="D263" s="79"/>
      <c r="E263" s="79"/>
      <c r="M263" s="79"/>
      <c r="R263" s="79"/>
      <c r="S263" s="79"/>
      <c r="V263" s="79"/>
      <c r="W263" s="79"/>
      <c r="Z263" s="130"/>
      <c r="AB263" s="106"/>
    </row>
    <row r="264">
      <c r="C264" s="79"/>
      <c r="D264" s="79"/>
      <c r="E264" s="79"/>
      <c r="M264" s="79"/>
      <c r="R264" s="79"/>
      <c r="S264" s="79"/>
      <c r="V264" s="79"/>
      <c r="W264" s="79"/>
      <c r="Z264" s="130"/>
      <c r="AB264" s="106"/>
    </row>
    <row r="265">
      <c r="C265" s="79"/>
      <c r="D265" s="79"/>
      <c r="E265" s="79"/>
      <c r="M265" s="79"/>
      <c r="R265" s="79"/>
      <c r="S265" s="79"/>
      <c r="V265" s="79"/>
      <c r="W265" s="79"/>
      <c r="Z265" s="130"/>
      <c r="AB265" s="106"/>
    </row>
    <row r="266">
      <c r="C266" s="79"/>
      <c r="D266" s="79"/>
      <c r="E266" s="79"/>
      <c r="M266" s="79"/>
      <c r="R266" s="79"/>
      <c r="S266" s="79"/>
      <c r="V266" s="79"/>
      <c r="W266" s="79"/>
      <c r="Z266" s="130"/>
      <c r="AB266" s="106"/>
    </row>
    <row r="267">
      <c r="C267" s="79"/>
      <c r="D267" s="79"/>
      <c r="E267" s="79"/>
      <c r="M267" s="79"/>
      <c r="R267" s="79"/>
      <c r="S267" s="79"/>
      <c r="V267" s="79"/>
      <c r="W267" s="79"/>
      <c r="Z267" s="130"/>
      <c r="AB267" s="106"/>
    </row>
    <row r="268">
      <c r="C268" s="79"/>
      <c r="D268" s="79"/>
      <c r="E268" s="79"/>
      <c r="M268" s="79"/>
      <c r="R268" s="79"/>
      <c r="S268" s="79"/>
      <c r="V268" s="79"/>
      <c r="W268" s="79"/>
      <c r="Z268" s="130"/>
      <c r="AB268" s="106"/>
    </row>
    <row r="269">
      <c r="C269" s="79"/>
      <c r="D269" s="79"/>
      <c r="E269" s="79"/>
      <c r="M269" s="79"/>
      <c r="R269" s="79"/>
      <c r="S269" s="79"/>
      <c r="V269" s="79"/>
      <c r="W269" s="79"/>
      <c r="Z269" s="130"/>
      <c r="AB269" s="106"/>
    </row>
    <row r="270">
      <c r="C270" s="79"/>
      <c r="D270" s="79"/>
      <c r="E270" s="79"/>
      <c r="M270" s="79"/>
      <c r="R270" s="79"/>
      <c r="S270" s="79"/>
      <c r="V270" s="79"/>
      <c r="W270" s="79"/>
      <c r="Z270" s="130"/>
      <c r="AB270" s="106"/>
    </row>
    <row r="271">
      <c r="C271" s="79"/>
      <c r="D271" s="79"/>
      <c r="E271" s="79"/>
      <c r="M271" s="79"/>
      <c r="R271" s="79"/>
      <c r="S271" s="79"/>
      <c r="V271" s="79"/>
      <c r="W271" s="79"/>
      <c r="Z271" s="130"/>
      <c r="AB271" s="106"/>
    </row>
    <row r="272">
      <c r="C272" s="79"/>
      <c r="D272" s="79"/>
      <c r="E272" s="79"/>
      <c r="M272" s="79"/>
      <c r="R272" s="79"/>
      <c r="S272" s="79"/>
      <c r="V272" s="79"/>
      <c r="W272" s="79"/>
      <c r="Z272" s="130"/>
      <c r="AB272" s="106"/>
    </row>
    <row r="273">
      <c r="C273" s="79"/>
      <c r="D273" s="79"/>
      <c r="E273" s="79"/>
      <c r="M273" s="79"/>
      <c r="R273" s="79"/>
      <c r="S273" s="79"/>
      <c r="V273" s="79"/>
      <c r="W273" s="79"/>
      <c r="Z273" s="130"/>
      <c r="AB273" s="106"/>
    </row>
    <row r="274">
      <c r="C274" s="79"/>
      <c r="D274" s="79"/>
      <c r="E274" s="79"/>
      <c r="M274" s="79"/>
      <c r="R274" s="79"/>
      <c r="S274" s="79"/>
      <c r="V274" s="79"/>
      <c r="W274" s="79"/>
      <c r="Z274" s="130"/>
      <c r="AB274" s="106"/>
    </row>
    <row r="275">
      <c r="C275" s="79"/>
      <c r="D275" s="79"/>
      <c r="E275" s="79"/>
      <c r="M275" s="79"/>
      <c r="R275" s="79"/>
      <c r="S275" s="79"/>
      <c r="V275" s="79"/>
      <c r="W275" s="79"/>
      <c r="Z275" s="130"/>
      <c r="AB275" s="106"/>
    </row>
    <row r="276">
      <c r="C276" s="79"/>
      <c r="D276" s="79"/>
      <c r="E276" s="79"/>
      <c r="M276" s="79"/>
      <c r="R276" s="79"/>
      <c r="S276" s="79"/>
      <c r="V276" s="79"/>
      <c r="W276" s="79"/>
      <c r="Z276" s="130"/>
      <c r="AB276" s="106"/>
    </row>
    <row r="277">
      <c r="C277" s="79"/>
      <c r="D277" s="79"/>
      <c r="E277" s="79"/>
      <c r="M277" s="79"/>
      <c r="R277" s="79"/>
      <c r="S277" s="79"/>
      <c r="V277" s="79"/>
      <c r="W277" s="79"/>
      <c r="Z277" s="130"/>
      <c r="AB277" s="106"/>
    </row>
    <row r="278">
      <c r="C278" s="79"/>
      <c r="D278" s="79"/>
      <c r="E278" s="79"/>
      <c r="M278" s="79"/>
      <c r="R278" s="79"/>
      <c r="S278" s="79"/>
      <c r="V278" s="79"/>
      <c r="W278" s="79"/>
      <c r="Z278" s="130"/>
      <c r="AB278" s="106"/>
    </row>
    <row r="279">
      <c r="C279" s="79"/>
      <c r="D279" s="79"/>
      <c r="E279" s="79"/>
      <c r="M279" s="79"/>
      <c r="R279" s="79"/>
      <c r="S279" s="79"/>
      <c r="V279" s="79"/>
      <c r="W279" s="79"/>
      <c r="Z279" s="130"/>
      <c r="AB279" s="106"/>
    </row>
    <row r="280">
      <c r="C280" s="79"/>
      <c r="D280" s="79"/>
      <c r="E280" s="79"/>
      <c r="M280" s="79"/>
      <c r="R280" s="79"/>
      <c r="S280" s="79"/>
      <c r="V280" s="79"/>
      <c r="W280" s="79"/>
      <c r="Z280" s="130"/>
      <c r="AB280" s="106"/>
    </row>
    <row r="281">
      <c r="C281" s="79"/>
      <c r="D281" s="79"/>
      <c r="E281" s="79"/>
      <c r="M281" s="79"/>
      <c r="R281" s="79"/>
      <c r="S281" s="79"/>
      <c r="V281" s="79"/>
      <c r="W281" s="79"/>
      <c r="Z281" s="130"/>
      <c r="AB281" s="106"/>
    </row>
    <row r="282">
      <c r="C282" s="79"/>
      <c r="D282" s="79"/>
      <c r="E282" s="79"/>
      <c r="M282" s="79"/>
      <c r="R282" s="79"/>
      <c r="S282" s="79"/>
      <c r="V282" s="79"/>
      <c r="W282" s="79"/>
      <c r="Z282" s="130"/>
      <c r="AB282" s="106"/>
    </row>
    <row r="283">
      <c r="C283" s="79"/>
      <c r="D283" s="79"/>
      <c r="E283" s="79"/>
      <c r="M283" s="79"/>
      <c r="R283" s="79"/>
      <c r="S283" s="79"/>
      <c r="V283" s="79"/>
      <c r="W283" s="79"/>
      <c r="Z283" s="130"/>
      <c r="AB283" s="106"/>
    </row>
    <row r="284">
      <c r="C284" s="79"/>
      <c r="D284" s="79"/>
      <c r="E284" s="79"/>
      <c r="M284" s="79"/>
      <c r="R284" s="79"/>
      <c r="S284" s="79"/>
      <c r="V284" s="79"/>
      <c r="W284" s="79"/>
      <c r="Z284" s="130"/>
      <c r="AB284" s="106"/>
    </row>
    <row r="285">
      <c r="C285" s="79"/>
      <c r="D285" s="79"/>
      <c r="E285" s="79"/>
      <c r="M285" s="79"/>
      <c r="R285" s="79"/>
      <c r="S285" s="79"/>
      <c r="V285" s="79"/>
      <c r="W285" s="79"/>
      <c r="Z285" s="130"/>
      <c r="AB285" s="106"/>
    </row>
    <row r="286">
      <c r="C286" s="79"/>
      <c r="D286" s="79"/>
      <c r="E286" s="79"/>
      <c r="M286" s="79"/>
      <c r="R286" s="79"/>
      <c r="S286" s="79"/>
      <c r="V286" s="79"/>
      <c r="W286" s="79"/>
      <c r="Z286" s="130"/>
      <c r="AB286" s="106"/>
    </row>
    <row r="287">
      <c r="C287" s="79"/>
      <c r="D287" s="79"/>
      <c r="E287" s="79"/>
      <c r="M287" s="79"/>
      <c r="R287" s="79"/>
      <c r="S287" s="79"/>
      <c r="V287" s="79"/>
      <c r="W287" s="79"/>
      <c r="Z287" s="130"/>
      <c r="AB287" s="106"/>
    </row>
    <row r="288">
      <c r="C288" s="79"/>
      <c r="D288" s="79"/>
      <c r="E288" s="79"/>
      <c r="M288" s="79"/>
      <c r="R288" s="79"/>
      <c r="S288" s="79"/>
      <c r="V288" s="79"/>
      <c r="W288" s="79"/>
      <c r="Z288" s="130"/>
      <c r="AB288" s="106"/>
    </row>
    <row r="289">
      <c r="C289" s="79"/>
      <c r="D289" s="79"/>
      <c r="E289" s="79"/>
      <c r="M289" s="79"/>
      <c r="R289" s="79"/>
      <c r="S289" s="79"/>
      <c r="V289" s="79"/>
      <c r="W289" s="79"/>
      <c r="Z289" s="130"/>
      <c r="AB289" s="106"/>
    </row>
    <row r="290">
      <c r="C290" s="79"/>
      <c r="D290" s="79"/>
      <c r="E290" s="79"/>
      <c r="M290" s="79"/>
      <c r="R290" s="79"/>
      <c r="S290" s="79"/>
      <c r="V290" s="79"/>
      <c r="W290" s="79"/>
      <c r="Z290" s="130"/>
      <c r="AB290" s="106"/>
    </row>
    <row r="291">
      <c r="C291" s="79"/>
      <c r="D291" s="79"/>
      <c r="E291" s="79"/>
      <c r="M291" s="79"/>
      <c r="R291" s="79"/>
      <c r="S291" s="79"/>
      <c r="V291" s="79"/>
      <c r="W291" s="79"/>
      <c r="Z291" s="130"/>
      <c r="AB291" s="106"/>
    </row>
    <row r="292">
      <c r="C292" s="79"/>
      <c r="D292" s="79"/>
      <c r="E292" s="79"/>
      <c r="M292" s="79"/>
      <c r="R292" s="79"/>
      <c r="S292" s="79"/>
      <c r="V292" s="79"/>
      <c r="W292" s="79"/>
      <c r="Z292" s="130"/>
      <c r="AB292" s="106"/>
    </row>
    <row r="293">
      <c r="C293" s="79"/>
      <c r="D293" s="79"/>
      <c r="E293" s="79"/>
      <c r="M293" s="79"/>
      <c r="R293" s="79"/>
      <c r="S293" s="79"/>
      <c r="V293" s="79"/>
      <c r="W293" s="79"/>
      <c r="Z293" s="130"/>
      <c r="AB293" s="106"/>
    </row>
    <row r="294">
      <c r="C294" s="79"/>
      <c r="D294" s="79"/>
      <c r="E294" s="79"/>
      <c r="M294" s="79"/>
      <c r="R294" s="79"/>
      <c r="S294" s="79"/>
      <c r="V294" s="79"/>
      <c r="W294" s="79"/>
      <c r="Z294" s="130"/>
      <c r="AB294" s="106"/>
    </row>
    <row r="295">
      <c r="C295" s="79"/>
      <c r="D295" s="79"/>
      <c r="E295" s="79"/>
      <c r="M295" s="79"/>
      <c r="R295" s="79"/>
      <c r="S295" s="79"/>
      <c r="V295" s="79"/>
      <c r="W295" s="79"/>
      <c r="Z295" s="130"/>
      <c r="AB295" s="106"/>
    </row>
    <row r="296">
      <c r="C296" s="79"/>
      <c r="D296" s="79"/>
      <c r="E296" s="79"/>
      <c r="M296" s="79"/>
      <c r="R296" s="79"/>
      <c r="S296" s="79"/>
      <c r="V296" s="79"/>
      <c r="W296" s="79"/>
      <c r="Z296" s="130"/>
      <c r="AB296" s="106"/>
    </row>
    <row r="297">
      <c r="C297" s="79"/>
      <c r="D297" s="79"/>
      <c r="E297" s="79"/>
      <c r="M297" s="79"/>
      <c r="R297" s="79"/>
      <c r="S297" s="79"/>
      <c r="V297" s="79"/>
      <c r="W297" s="79"/>
      <c r="Z297" s="130"/>
      <c r="AB297" s="106"/>
    </row>
    <row r="298">
      <c r="C298" s="79"/>
      <c r="D298" s="79"/>
      <c r="E298" s="79"/>
      <c r="M298" s="79"/>
      <c r="R298" s="79"/>
      <c r="S298" s="79"/>
      <c r="V298" s="79"/>
      <c r="W298" s="79"/>
      <c r="Z298" s="130"/>
      <c r="AB298" s="106"/>
    </row>
    <row r="299">
      <c r="C299" s="79"/>
      <c r="D299" s="79"/>
      <c r="E299" s="79"/>
      <c r="M299" s="79"/>
      <c r="R299" s="79"/>
      <c r="S299" s="79"/>
      <c r="V299" s="79"/>
      <c r="W299" s="79"/>
      <c r="Z299" s="130"/>
      <c r="AB299" s="106"/>
    </row>
    <row r="300">
      <c r="C300" s="79"/>
      <c r="D300" s="79"/>
      <c r="E300" s="79"/>
      <c r="M300" s="79"/>
      <c r="R300" s="79"/>
      <c r="S300" s="79"/>
      <c r="V300" s="79"/>
      <c r="W300" s="79"/>
      <c r="Z300" s="130"/>
      <c r="AB300" s="106"/>
    </row>
    <row r="301">
      <c r="C301" s="79"/>
      <c r="D301" s="79"/>
      <c r="E301" s="79"/>
      <c r="M301" s="79"/>
      <c r="R301" s="79"/>
      <c r="S301" s="79"/>
      <c r="V301" s="79"/>
      <c r="W301" s="79"/>
      <c r="Z301" s="130"/>
      <c r="AB301" s="106"/>
    </row>
    <row r="302">
      <c r="C302" s="79"/>
      <c r="D302" s="79"/>
      <c r="E302" s="79"/>
      <c r="M302" s="79"/>
      <c r="R302" s="79"/>
      <c r="S302" s="79"/>
      <c r="V302" s="79"/>
      <c r="W302" s="79"/>
      <c r="Z302" s="130"/>
      <c r="AB302" s="106"/>
    </row>
    <row r="303">
      <c r="C303" s="79"/>
      <c r="D303" s="79"/>
      <c r="E303" s="79"/>
      <c r="M303" s="79"/>
      <c r="R303" s="79"/>
      <c r="S303" s="79"/>
      <c r="V303" s="79"/>
      <c r="W303" s="79"/>
      <c r="Z303" s="130"/>
      <c r="AB303" s="106"/>
    </row>
    <row r="304">
      <c r="C304" s="79"/>
      <c r="D304" s="79"/>
      <c r="E304" s="79"/>
      <c r="M304" s="79"/>
      <c r="R304" s="79"/>
      <c r="S304" s="79"/>
      <c r="V304" s="79"/>
      <c r="W304" s="79"/>
      <c r="Z304" s="130"/>
      <c r="AB304" s="106"/>
    </row>
    <row r="305">
      <c r="C305" s="79"/>
      <c r="D305" s="79"/>
      <c r="E305" s="79"/>
      <c r="M305" s="79"/>
      <c r="R305" s="79"/>
      <c r="S305" s="79"/>
      <c r="V305" s="79"/>
      <c r="W305" s="79"/>
      <c r="Z305" s="130"/>
      <c r="AB305" s="106"/>
    </row>
    <row r="306">
      <c r="C306" s="79"/>
      <c r="D306" s="79"/>
      <c r="E306" s="79"/>
      <c r="M306" s="79"/>
      <c r="R306" s="79"/>
      <c r="S306" s="79"/>
      <c r="V306" s="79"/>
      <c r="W306" s="79"/>
      <c r="Z306" s="130"/>
      <c r="AB306" s="106"/>
    </row>
    <row r="307">
      <c r="C307" s="79"/>
      <c r="D307" s="79"/>
      <c r="E307" s="79"/>
      <c r="M307" s="79"/>
      <c r="R307" s="79"/>
      <c r="S307" s="79"/>
      <c r="V307" s="79"/>
      <c r="W307" s="79"/>
      <c r="Z307" s="130"/>
      <c r="AB307" s="106"/>
    </row>
    <row r="308">
      <c r="C308" s="79"/>
      <c r="D308" s="79"/>
      <c r="E308" s="79"/>
      <c r="M308" s="79"/>
      <c r="R308" s="79"/>
      <c r="S308" s="79"/>
      <c r="V308" s="79"/>
      <c r="W308" s="79"/>
      <c r="Z308" s="130"/>
      <c r="AB308" s="106"/>
    </row>
    <row r="309">
      <c r="C309" s="79"/>
      <c r="D309" s="79"/>
      <c r="E309" s="79"/>
      <c r="M309" s="79"/>
      <c r="R309" s="79"/>
      <c r="S309" s="79"/>
      <c r="V309" s="79"/>
      <c r="W309" s="79"/>
      <c r="Z309" s="130"/>
      <c r="AB309" s="106"/>
    </row>
    <row r="310">
      <c r="C310" s="79"/>
      <c r="D310" s="79"/>
      <c r="E310" s="79"/>
      <c r="M310" s="79"/>
      <c r="R310" s="79"/>
      <c r="S310" s="79"/>
      <c r="V310" s="79"/>
      <c r="W310" s="79"/>
      <c r="Z310" s="130"/>
      <c r="AB310" s="106"/>
    </row>
    <row r="311">
      <c r="C311" s="79"/>
      <c r="D311" s="79"/>
      <c r="E311" s="79"/>
      <c r="M311" s="79"/>
      <c r="R311" s="79"/>
      <c r="S311" s="79"/>
      <c r="V311" s="79"/>
      <c r="W311" s="79"/>
      <c r="Z311" s="130"/>
      <c r="AB311" s="106"/>
    </row>
    <row r="312">
      <c r="C312" s="79"/>
      <c r="D312" s="79"/>
      <c r="E312" s="79"/>
      <c r="M312" s="79"/>
      <c r="R312" s="79"/>
      <c r="S312" s="79"/>
      <c r="V312" s="79"/>
      <c r="W312" s="79"/>
      <c r="Z312" s="130"/>
      <c r="AB312" s="106"/>
    </row>
    <row r="313">
      <c r="C313" s="79"/>
      <c r="D313" s="79"/>
      <c r="E313" s="79"/>
      <c r="M313" s="79"/>
      <c r="R313" s="79"/>
      <c r="S313" s="79"/>
      <c r="V313" s="79"/>
      <c r="W313" s="79"/>
      <c r="Z313" s="130"/>
      <c r="AB313" s="106"/>
    </row>
    <row r="314">
      <c r="C314" s="79"/>
      <c r="D314" s="79"/>
      <c r="E314" s="79"/>
      <c r="M314" s="79"/>
      <c r="R314" s="79"/>
      <c r="S314" s="79"/>
      <c r="V314" s="79"/>
      <c r="W314" s="79"/>
      <c r="Z314" s="130"/>
      <c r="AB314" s="106"/>
    </row>
    <row r="315">
      <c r="C315" s="79"/>
      <c r="D315" s="79"/>
      <c r="E315" s="79"/>
      <c r="M315" s="79"/>
      <c r="R315" s="79"/>
      <c r="S315" s="79"/>
      <c r="V315" s="79"/>
      <c r="W315" s="79"/>
      <c r="Z315" s="130"/>
      <c r="AB315" s="106"/>
    </row>
    <row r="316">
      <c r="C316" s="79"/>
      <c r="D316" s="79"/>
      <c r="E316" s="79"/>
      <c r="M316" s="79"/>
      <c r="R316" s="79"/>
      <c r="S316" s="79"/>
      <c r="V316" s="79"/>
      <c r="W316" s="79"/>
      <c r="Z316" s="130"/>
      <c r="AB316" s="106"/>
    </row>
    <row r="317">
      <c r="C317" s="79"/>
      <c r="D317" s="79"/>
      <c r="E317" s="79"/>
      <c r="M317" s="79"/>
      <c r="R317" s="79"/>
      <c r="S317" s="79"/>
      <c r="V317" s="79"/>
      <c r="W317" s="79"/>
      <c r="Z317" s="130"/>
      <c r="AB317" s="106"/>
    </row>
    <row r="318">
      <c r="C318" s="79"/>
      <c r="D318" s="79"/>
      <c r="E318" s="79"/>
      <c r="M318" s="79"/>
      <c r="R318" s="79"/>
      <c r="S318" s="79"/>
      <c r="V318" s="79"/>
      <c r="W318" s="79"/>
      <c r="Z318" s="130"/>
      <c r="AB318" s="106"/>
    </row>
    <row r="319">
      <c r="C319" s="79"/>
      <c r="D319" s="79"/>
      <c r="E319" s="79"/>
      <c r="M319" s="79"/>
      <c r="R319" s="79"/>
      <c r="S319" s="79"/>
      <c r="V319" s="79"/>
      <c r="W319" s="79"/>
      <c r="Z319" s="130"/>
      <c r="AB319" s="106"/>
    </row>
    <row r="320">
      <c r="C320" s="79"/>
      <c r="D320" s="79"/>
      <c r="E320" s="79"/>
      <c r="M320" s="79"/>
      <c r="R320" s="79"/>
      <c r="S320" s="79"/>
      <c r="V320" s="79"/>
      <c r="W320" s="79"/>
      <c r="Z320" s="130"/>
      <c r="AB320" s="106"/>
    </row>
    <row r="321">
      <c r="C321" s="79"/>
      <c r="D321" s="79"/>
      <c r="E321" s="79"/>
      <c r="M321" s="79"/>
      <c r="R321" s="79"/>
      <c r="S321" s="79"/>
      <c r="V321" s="79"/>
      <c r="W321" s="79"/>
      <c r="Z321" s="130"/>
      <c r="AB321" s="106"/>
    </row>
    <row r="322">
      <c r="C322" s="79"/>
      <c r="D322" s="79"/>
      <c r="E322" s="79"/>
      <c r="M322" s="79"/>
      <c r="R322" s="79"/>
      <c r="S322" s="79"/>
      <c r="V322" s="79"/>
      <c r="W322" s="79"/>
      <c r="Z322" s="130"/>
      <c r="AB322" s="106"/>
    </row>
    <row r="323">
      <c r="C323" s="79"/>
      <c r="D323" s="79"/>
      <c r="E323" s="79"/>
      <c r="M323" s="79"/>
      <c r="R323" s="79"/>
      <c r="S323" s="79"/>
      <c r="V323" s="79"/>
      <c r="W323" s="79"/>
      <c r="Z323" s="130"/>
      <c r="AB323" s="106"/>
    </row>
    <row r="324">
      <c r="C324" s="79"/>
      <c r="D324" s="79"/>
      <c r="E324" s="79"/>
      <c r="M324" s="79"/>
      <c r="R324" s="79"/>
      <c r="S324" s="79"/>
      <c r="V324" s="79"/>
      <c r="W324" s="79"/>
      <c r="Z324" s="130"/>
      <c r="AB324" s="106"/>
    </row>
    <row r="325">
      <c r="C325" s="79"/>
      <c r="D325" s="79"/>
      <c r="E325" s="79"/>
      <c r="M325" s="79"/>
      <c r="R325" s="79"/>
      <c r="S325" s="79"/>
      <c r="V325" s="79"/>
      <c r="W325" s="79"/>
      <c r="Z325" s="130"/>
      <c r="AB325" s="106"/>
    </row>
    <row r="326">
      <c r="C326" s="79"/>
      <c r="D326" s="79"/>
      <c r="E326" s="79"/>
      <c r="M326" s="79"/>
      <c r="R326" s="79"/>
      <c r="S326" s="79"/>
      <c r="V326" s="79"/>
      <c r="W326" s="79"/>
      <c r="Z326" s="130"/>
      <c r="AB326" s="106"/>
    </row>
    <row r="327">
      <c r="C327" s="79"/>
      <c r="D327" s="79"/>
      <c r="E327" s="79"/>
      <c r="M327" s="79"/>
      <c r="R327" s="79"/>
      <c r="S327" s="79"/>
      <c r="V327" s="79"/>
      <c r="W327" s="79"/>
      <c r="Z327" s="130"/>
      <c r="AB327" s="106"/>
    </row>
    <row r="328">
      <c r="C328" s="79"/>
      <c r="D328" s="79"/>
      <c r="E328" s="79"/>
      <c r="M328" s="79"/>
      <c r="R328" s="79"/>
      <c r="S328" s="79"/>
      <c r="V328" s="79"/>
      <c r="W328" s="79"/>
      <c r="Z328" s="130"/>
      <c r="AB328" s="106"/>
    </row>
    <row r="329">
      <c r="C329" s="79"/>
      <c r="D329" s="79"/>
      <c r="E329" s="79"/>
      <c r="M329" s="79"/>
      <c r="R329" s="79"/>
      <c r="S329" s="79"/>
      <c r="V329" s="79"/>
      <c r="W329" s="79"/>
      <c r="Z329" s="130"/>
      <c r="AB329" s="106"/>
    </row>
    <row r="330">
      <c r="C330" s="79"/>
      <c r="D330" s="79"/>
      <c r="E330" s="79"/>
      <c r="M330" s="79"/>
      <c r="R330" s="79"/>
      <c r="S330" s="79"/>
      <c r="V330" s="79"/>
      <c r="W330" s="79"/>
      <c r="Z330" s="130"/>
      <c r="AB330" s="106"/>
    </row>
    <row r="331">
      <c r="C331" s="79"/>
      <c r="D331" s="79"/>
      <c r="E331" s="79"/>
      <c r="M331" s="79"/>
      <c r="R331" s="79"/>
      <c r="S331" s="79"/>
      <c r="V331" s="79"/>
      <c r="W331" s="79"/>
      <c r="Z331" s="130"/>
      <c r="AB331" s="106"/>
    </row>
    <row r="332">
      <c r="C332" s="79"/>
      <c r="D332" s="79"/>
      <c r="E332" s="79"/>
      <c r="M332" s="79"/>
      <c r="R332" s="79"/>
      <c r="S332" s="79"/>
      <c r="V332" s="79"/>
      <c r="W332" s="79"/>
      <c r="Z332" s="130"/>
      <c r="AB332" s="106"/>
    </row>
    <row r="333">
      <c r="C333" s="79"/>
      <c r="D333" s="79"/>
      <c r="E333" s="79"/>
      <c r="M333" s="79"/>
      <c r="R333" s="79"/>
      <c r="S333" s="79"/>
      <c r="V333" s="79"/>
      <c r="W333" s="79"/>
      <c r="Z333" s="130"/>
      <c r="AB333" s="106"/>
    </row>
    <row r="334">
      <c r="C334" s="79"/>
      <c r="D334" s="79"/>
      <c r="E334" s="79"/>
      <c r="M334" s="79"/>
      <c r="R334" s="79"/>
      <c r="S334" s="79"/>
      <c r="V334" s="79"/>
      <c r="W334" s="79"/>
      <c r="Z334" s="130"/>
      <c r="AB334" s="106"/>
    </row>
    <row r="335">
      <c r="C335" s="79"/>
      <c r="D335" s="79"/>
      <c r="E335" s="79"/>
      <c r="M335" s="79"/>
      <c r="R335" s="79"/>
      <c r="S335" s="79"/>
      <c r="V335" s="79"/>
      <c r="W335" s="79"/>
      <c r="Z335" s="130"/>
      <c r="AB335" s="106"/>
    </row>
    <row r="336">
      <c r="C336" s="79"/>
      <c r="D336" s="79"/>
      <c r="E336" s="79"/>
      <c r="M336" s="79"/>
      <c r="R336" s="79"/>
      <c r="S336" s="79"/>
      <c r="V336" s="79"/>
      <c r="W336" s="79"/>
      <c r="Z336" s="130"/>
      <c r="AB336" s="106"/>
    </row>
    <row r="337">
      <c r="C337" s="79"/>
      <c r="D337" s="79"/>
      <c r="E337" s="79"/>
      <c r="M337" s="79"/>
      <c r="R337" s="79"/>
      <c r="S337" s="79"/>
      <c r="V337" s="79"/>
      <c r="W337" s="79"/>
      <c r="Z337" s="130"/>
      <c r="AB337" s="106"/>
    </row>
    <row r="338">
      <c r="C338" s="79"/>
      <c r="D338" s="79"/>
      <c r="E338" s="79"/>
      <c r="M338" s="79"/>
      <c r="R338" s="79"/>
      <c r="S338" s="79"/>
      <c r="V338" s="79"/>
      <c r="W338" s="79"/>
      <c r="Z338" s="130"/>
      <c r="AB338" s="106"/>
    </row>
    <row r="339">
      <c r="C339" s="79"/>
      <c r="D339" s="79"/>
      <c r="E339" s="79"/>
      <c r="M339" s="79"/>
      <c r="R339" s="79"/>
      <c r="S339" s="79"/>
      <c r="V339" s="79"/>
      <c r="W339" s="79"/>
      <c r="Z339" s="130"/>
      <c r="AB339" s="106"/>
    </row>
    <row r="340">
      <c r="C340" s="79"/>
      <c r="D340" s="79"/>
      <c r="E340" s="79"/>
      <c r="M340" s="79"/>
      <c r="R340" s="79"/>
      <c r="S340" s="79"/>
      <c r="V340" s="79"/>
      <c r="W340" s="79"/>
      <c r="Z340" s="130"/>
      <c r="AB340" s="106"/>
    </row>
    <row r="341">
      <c r="C341" s="79"/>
      <c r="D341" s="79"/>
      <c r="E341" s="79"/>
      <c r="M341" s="79"/>
      <c r="R341" s="79"/>
      <c r="S341" s="79"/>
      <c r="V341" s="79"/>
      <c r="W341" s="79"/>
      <c r="Z341" s="130"/>
      <c r="AB341" s="106"/>
    </row>
    <row r="342">
      <c r="C342" s="79"/>
      <c r="D342" s="79"/>
      <c r="E342" s="79"/>
      <c r="M342" s="79"/>
      <c r="R342" s="79"/>
      <c r="S342" s="79"/>
      <c r="V342" s="79"/>
      <c r="W342" s="79"/>
      <c r="Z342" s="130"/>
      <c r="AB342" s="106"/>
    </row>
    <row r="343">
      <c r="C343" s="79"/>
      <c r="D343" s="79"/>
      <c r="E343" s="79"/>
      <c r="M343" s="79"/>
      <c r="R343" s="79"/>
      <c r="S343" s="79"/>
      <c r="V343" s="79"/>
      <c r="W343" s="79"/>
      <c r="Z343" s="130"/>
      <c r="AB343" s="106"/>
    </row>
    <row r="344">
      <c r="C344" s="79"/>
      <c r="D344" s="79"/>
      <c r="E344" s="79"/>
      <c r="M344" s="79"/>
      <c r="R344" s="79"/>
      <c r="S344" s="79"/>
      <c r="V344" s="79"/>
      <c r="W344" s="79"/>
      <c r="Z344" s="130"/>
      <c r="AB344" s="106"/>
    </row>
    <row r="345">
      <c r="C345" s="79"/>
      <c r="D345" s="79"/>
      <c r="E345" s="79"/>
      <c r="M345" s="79"/>
      <c r="R345" s="79"/>
      <c r="S345" s="79"/>
      <c r="V345" s="79"/>
      <c r="W345" s="79"/>
      <c r="Z345" s="130"/>
      <c r="AB345" s="106"/>
    </row>
    <row r="346">
      <c r="C346" s="79"/>
      <c r="D346" s="79"/>
      <c r="E346" s="79"/>
      <c r="M346" s="79"/>
      <c r="R346" s="79"/>
      <c r="S346" s="79"/>
      <c r="V346" s="79"/>
      <c r="W346" s="79"/>
      <c r="Z346" s="130"/>
      <c r="AB346" s="106"/>
    </row>
    <row r="347">
      <c r="C347" s="79"/>
      <c r="D347" s="79"/>
      <c r="E347" s="79"/>
      <c r="M347" s="79"/>
      <c r="R347" s="79"/>
      <c r="S347" s="79"/>
      <c r="V347" s="79"/>
      <c r="W347" s="79"/>
      <c r="Z347" s="130"/>
      <c r="AB347" s="106"/>
    </row>
    <row r="348">
      <c r="C348" s="79"/>
      <c r="D348" s="79"/>
      <c r="E348" s="79"/>
      <c r="M348" s="79"/>
      <c r="R348" s="79"/>
      <c r="S348" s="79"/>
      <c r="V348" s="79"/>
      <c r="W348" s="79"/>
      <c r="Z348" s="130"/>
      <c r="AB348" s="106"/>
    </row>
    <row r="349">
      <c r="C349" s="79"/>
      <c r="D349" s="79"/>
      <c r="E349" s="79"/>
      <c r="M349" s="79"/>
      <c r="R349" s="79"/>
      <c r="S349" s="79"/>
      <c r="V349" s="79"/>
      <c r="W349" s="79"/>
      <c r="Z349" s="130"/>
      <c r="AB349" s="106"/>
    </row>
    <row r="350">
      <c r="C350" s="79"/>
      <c r="D350" s="79"/>
      <c r="E350" s="79"/>
      <c r="M350" s="79"/>
      <c r="R350" s="79"/>
      <c r="S350" s="79"/>
      <c r="V350" s="79"/>
      <c r="W350" s="79"/>
      <c r="Z350" s="130"/>
      <c r="AB350" s="106"/>
    </row>
    <row r="351">
      <c r="C351" s="79"/>
      <c r="D351" s="79"/>
      <c r="E351" s="79"/>
      <c r="M351" s="79"/>
      <c r="R351" s="79"/>
      <c r="S351" s="79"/>
      <c r="V351" s="79"/>
      <c r="W351" s="79"/>
      <c r="Z351" s="130"/>
      <c r="AB351" s="106"/>
    </row>
    <row r="352">
      <c r="C352" s="79"/>
      <c r="D352" s="79"/>
      <c r="E352" s="79"/>
      <c r="M352" s="79"/>
      <c r="R352" s="79"/>
      <c r="S352" s="79"/>
      <c r="V352" s="79"/>
      <c r="W352" s="79"/>
      <c r="Z352" s="130"/>
      <c r="AB352" s="106"/>
    </row>
    <row r="353">
      <c r="C353" s="79"/>
      <c r="D353" s="79"/>
      <c r="E353" s="79"/>
      <c r="M353" s="79"/>
      <c r="R353" s="79"/>
      <c r="S353" s="79"/>
      <c r="V353" s="79"/>
      <c r="W353" s="79"/>
      <c r="Z353" s="130"/>
      <c r="AB353" s="106"/>
    </row>
    <row r="354">
      <c r="C354" s="79"/>
      <c r="D354" s="79"/>
      <c r="E354" s="79"/>
      <c r="M354" s="79"/>
      <c r="R354" s="79"/>
      <c r="S354" s="79"/>
      <c r="V354" s="79"/>
      <c r="W354" s="79"/>
      <c r="Z354" s="130"/>
      <c r="AB354" s="106"/>
    </row>
    <row r="355">
      <c r="C355" s="79"/>
      <c r="D355" s="79"/>
      <c r="E355" s="79"/>
      <c r="M355" s="79"/>
      <c r="R355" s="79"/>
      <c r="S355" s="79"/>
      <c r="V355" s="79"/>
      <c r="W355" s="79"/>
      <c r="Z355" s="130"/>
      <c r="AB355" s="106"/>
    </row>
    <row r="356">
      <c r="C356" s="79"/>
      <c r="D356" s="79"/>
      <c r="E356" s="79"/>
      <c r="M356" s="79"/>
      <c r="R356" s="79"/>
      <c r="S356" s="79"/>
      <c r="V356" s="79"/>
      <c r="W356" s="79"/>
      <c r="Z356" s="130"/>
      <c r="AB356" s="106"/>
    </row>
    <row r="357">
      <c r="C357" s="79"/>
      <c r="D357" s="79"/>
      <c r="E357" s="79"/>
      <c r="M357" s="79"/>
      <c r="R357" s="79"/>
      <c r="S357" s="79"/>
      <c r="V357" s="79"/>
      <c r="W357" s="79"/>
      <c r="Z357" s="130"/>
      <c r="AB357" s="106"/>
    </row>
    <row r="358">
      <c r="C358" s="79"/>
      <c r="D358" s="79"/>
      <c r="E358" s="79"/>
      <c r="M358" s="79"/>
      <c r="R358" s="79"/>
      <c r="S358" s="79"/>
      <c r="V358" s="79"/>
      <c r="W358" s="79"/>
      <c r="Z358" s="130"/>
      <c r="AB358" s="106"/>
    </row>
    <row r="359">
      <c r="C359" s="79"/>
      <c r="D359" s="79"/>
      <c r="E359" s="79"/>
      <c r="M359" s="79"/>
      <c r="R359" s="79"/>
      <c r="S359" s="79"/>
      <c r="V359" s="79"/>
      <c r="W359" s="79"/>
      <c r="Z359" s="130"/>
      <c r="AB359" s="106"/>
    </row>
    <row r="360">
      <c r="C360" s="79"/>
      <c r="D360" s="79"/>
      <c r="E360" s="79"/>
      <c r="M360" s="79"/>
      <c r="R360" s="79"/>
      <c r="S360" s="79"/>
      <c r="V360" s="79"/>
      <c r="W360" s="79"/>
      <c r="Z360" s="130"/>
      <c r="AB360" s="106"/>
    </row>
    <row r="361">
      <c r="C361" s="79"/>
      <c r="D361" s="79"/>
      <c r="E361" s="79"/>
      <c r="M361" s="79"/>
      <c r="R361" s="79"/>
      <c r="S361" s="79"/>
      <c r="V361" s="79"/>
      <c r="W361" s="79"/>
      <c r="Z361" s="130"/>
      <c r="AB361" s="106"/>
    </row>
    <row r="362">
      <c r="C362" s="79"/>
      <c r="D362" s="79"/>
      <c r="E362" s="79"/>
      <c r="M362" s="79"/>
      <c r="R362" s="79"/>
      <c r="S362" s="79"/>
      <c r="V362" s="79"/>
      <c r="W362" s="79"/>
      <c r="Z362" s="130"/>
      <c r="AB362" s="106"/>
    </row>
    <row r="363">
      <c r="C363" s="79"/>
      <c r="D363" s="79"/>
      <c r="E363" s="79"/>
      <c r="M363" s="79"/>
      <c r="R363" s="79"/>
      <c r="S363" s="79"/>
      <c r="V363" s="79"/>
      <c r="W363" s="79"/>
      <c r="Z363" s="130"/>
      <c r="AB363" s="106"/>
    </row>
    <row r="364">
      <c r="C364" s="79"/>
      <c r="D364" s="79"/>
      <c r="E364" s="79"/>
      <c r="M364" s="79"/>
      <c r="R364" s="79"/>
      <c r="S364" s="79"/>
      <c r="V364" s="79"/>
      <c r="W364" s="79"/>
      <c r="Z364" s="130"/>
      <c r="AB364" s="106"/>
    </row>
    <row r="365">
      <c r="C365" s="79"/>
      <c r="D365" s="79"/>
      <c r="E365" s="79"/>
      <c r="M365" s="79"/>
      <c r="R365" s="79"/>
      <c r="S365" s="79"/>
      <c r="V365" s="79"/>
      <c r="W365" s="79"/>
      <c r="Z365" s="130"/>
      <c r="AB365" s="106"/>
    </row>
    <row r="366">
      <c r="C366" s="79"/>
      <c r="D366" s="79"/>
      <c r="E366" s="79"/>
      <c r="M366" s="79"/>
      <c r="R366" s="79"/>
      <c r="S366" s="79"/>
      <c r="V366" s="79"/>
      <c r="W366" s="79"/>
      <c r="Z366" s="130"/>
      <c r="AB366" s="106"/>
    </row>
    <row r="367">
      <c r="C367" s="79"/>
      <c r="D367" s="79"/>
      <c r="E367" s="79"/>
      <c r="M367" s="79"/>
      <c r="R367" s="79"/>
      <c r="S367" s="79"/>
      <c r="V367" s="79"/>
      <c r="W367" s="79"/>
      <c r="Z367" s="130"/>
      <c r="AB367" s="106"/>
    </row>
    <row r="368">
      <c r="C368" s="79"/>
      <c r="D368" s="79"/>
      <c r="E368" s="79"/>
      <c r="M368" s="79"/>
      <c r="R368" s="79"/>
      <c r="S368" s="79"/>
      <c r="V368" s="79"/>
      <c r="W368" s="79"/>
      <c r="Z368" s="130"/>
      <c r="AB368" s="106"/>
    </row>
    <row r="369">
      <c r="C369" s="79"/>
      <c r="D369" s="79"/>
      <c r="E369" s="79"/>
      <c r="M369" s="79"/>
      <c r="R369" s="79"/>
      <c r="S369" s="79"/>
      <c r="V369" s="79"/>
      <c r="W369" s="79"/>
      <c r="Z369" s="130"/>
      <c r="AB369" s="106"/>
    </row>
    <row r="370">
      <c r="C370" s="79"/>
      <c r="D370" s="79"/>
      <c r="E370" s="79"/>
      <c r="M370" s="79"/>
      <c r="R370" s="79"/>
      <c r="S370" s="79"/>
      <c r="V370" s="79"/>
      <c r="W370" s="79"/>
      <c r="Z370" s="130"/>
      <c r="AB370" s="106"/>
    </row>
    <row r="371">
      <c r="C371" s="79"/>
      <c r="D371" s="79"/>
      <c r="E371" s="79"/>
      <c r="M371" s="79"/>
      <c r="R371" s="79"/>
      <c r="S371" s="79"/>
      <c r="V371" s="79"/>
      <c r="W371" s="79"/>
      <c r="Z371" s="130"/>
      <c r="AB371" s="106"/>
    </row>
    <row r="372">
      <c r="C372" s="79"/>
      <c r="D372" s="79"/>
      <c r="E372" s="79"/>
      <c r="M372" s="79"/>
      <c r="R372" s="79"/>
      <c r="S372" s="79"/>
      <c r="V372" s="79"/>
      <c r="W372" s="79"/>
      <c r="Z372" s="130"/>
      <c r="AB372" s="106"/>
    </row>
    <row r="373">
      <c r="C373" s="79"/>
      <c r="D373" s="79"/>
      <c r="E373" s="79"/>
      <c r="M373" s="79"/>
      <c r="R373" s="79"/>
      <c r="S373" s="79"/>
      <c r="V373" s="79"/>
      <c r="W373" s="79"/>
      <c r="Z373" s="130"/>
      <c r="AB373" s="106"/>
    </row>
    <row r="374">
      <c r="C374" s="79"/>
      <c r="D374" s="79"/>
      <c r="E374" s="79"/>
      <c r="M374" s="79"/>
      <c r="R374" s="79"/>
      <c r="S374" s="79"/>
      <c r="V374" s="79"/>
      <c r="W374" s="79"/>
      <c r="Z374" s="130"/>
      <c r="AB374" s="106"/>
    </row>
    <row r="375">
      <c r="C375" s="79"/>
      <c r="D375" s="79"/>
      <c r="E375" s="79"/>
      <c r="M375" s="79"/>
      <c r="R375" s="79"/>
      <c r="S375" s="79"/>
      <c r="V375" s="79"/>
      <c r="W375" s="79"/>
      <c r="Z375" s="130"/>
      <c r="AB375" s="106"/>
    </row>
    <row r="376">
      <c r="C376" s="79"/>
      <c r="D376" s="79"/>
      <c r="E376" s="79"/>
      <c r="M376" s="79"/>
      <c r="R376" s="79"/>
      <c r="S376" s="79"/>
      <c r="V376" s="79"/>
      <c r="W376" s="79"/>
      <c r="Z376" s="130"/>
      <c r="AB376" s="106"/>
    </row>
    <row r="377">
      <c r="C377" s="79"/>
      <c r="D377" s="79"/>
      <c r="E377" s="79"/>
      <c r="M377" s="79"/>
      <c r="R377" s="79"/>
      <c r="S377" s="79"/>
      <c r="V377" s="79"/>
      <c r="W377" s="79"/>
      <c r="Z377" s="130"/>
      <c r="AB377" s="106"/>
    </row>
    <row r="378">
      <c r="C378" s="79"/>
      <c r="D378" s="79"/>
      <c r="E378" s="79"/>
      <c r="M378" s="79"/>
      <c r="R378" s="79"/>
      <c r="S378" s="79"/>
      <c r="V378" s="79"/>
      <c r="W378" s="79"/>
      <c r="Z378" s="130"/>
      <c r="AB378" s="106"/>
    </row>
    <row r="379">
      <c r="C379" s="79"/>
      <c r="D379" s="79"/>
      <c r="E379" s="79"/>
      <c r="M379" s="79"/>
      <c r="R379" s="79"/>
      <c r="S379" s="79"/>
      <c r="V379" s="79"/>
      <c r="W379" s="79"/>
      <c r="Z379" s="130"/>
      <c r="AB379" s="106"/>
    </row>
    <row r="380">
      <c r="C380" s="79"/>
      <c r="D380" s="79"/>
      <c r="E380" s="79"/>
      <c r="M380" s="79"/>
      <c r="R380" s="79"/>
      <c r="S380" s="79"/>
      <c r="V380" s="79"/>
      <c r="W380" s="79"/>
      <c r="Z380" s="130"/>
      <c r="AB380" s="106"/>
    </row>
    <row r="381">
      <c r="C381" s="79"/>
      <c r="D381" s="79"/>
      <c r="E381" s="79"/>
      <c r="M381" s="79"/>
      <c r="R381" s="79"/>
      <c r="S381" s="79"/>
      <c r="V381" s="79"/>
      <c r="W381" s="79"/>
      <c r="Z381" s="130"/>
      <c r="AB381" s="106"/>
    </row>
    <row r="382">
      <c r="C382" s="79"/>
      <c r="D382" s="79"/>
      <c r="E382" s="79"/>
      <c r="M382" s="79"/>
      <c r="R382" s="79"/>
      <c r="S382" s="79"/>
      <c r="V382" s="79"/>
      <c r="W382" s="79"/>
      <c r="Z382" s="130"/>
      <c r="AB382" s="106"/>
    </row>
    <row r="383">
      <c r="C383" s="79"/>
      <c r="D383" s="79"/>
      <c r="E383" s="79"/>
      <c r="M383" s="79"/>
      <c r="R383" s="79"/>
      <c r="S383" s="79"/>
      <c r="V383" s="79"/>
      <c r="W383" s="79"/>
      <c r="Z383" s="130"/>
      <c r="AB383" s="106"/>
    </row>
    <row r="384">
      <c r="C384" s="79"/>
      <c r="D384" s="79"/>
      <c r="E384" s="79"/>
      <c r="M384" s="79"/>
      <c r="R384" s="79"/>
      <c r="S384" s="79"/>
      <c r="V384" s="79"/>
      <c r="W384" s="79"/>
      <c r="Z384" s="130"/>
      <c r="AB384" s="106"/>
    </row>
    <row r="385">
      <c r="C385" s="79"/>
      <c r="D385" s="79"/>
      <c r="E385" s="79"/>
      <c r="M385" s="79"/>
      <c r="R385" s="79"/>
      <c r="S385" s="79"/>
      <c r="V385" s="79"/>
      <c r="W385" s="79"/>
      <c r="Z385" s="130"/>
      <c r="AB385" s="106"/>
    </row>
    <row r="386">
      <c r="C386" s="79"/>
      <c r="D386" s="79"/>
      <c r="E386" s="79"/>
      <c r="M386" s="79"/>
      <c r="R386" s="79"/>
      <c r="S386" s="79"/>
      <c r="V386" s="79"/>
      <c r="W386" s="79"/>
      <c r="Z386" s="130"/>
      <c r="AB386" s="106"/>
    </row>
    <row r="387">
      <c r="C387" s="79"/>
      <c r="D387" s="79"/>
      <c r="E387" s="79"/>
      <c r="M387" s="79"/>
      <c r="R387" s="79"/>
      <c r="S387" s="79"/>
      <c r="V387" s="79"/>
      <c r="W387" s="79"/>
      <c r="Z387" s="130"/>
      <c r="AB387" s="106"/>
    </row>
    <row r="388">
      <c r="C388" s="79"/>
      <c r="D388" s="79"/>
      <c r="E388" s="79"/>
      <c r="M388" s="79"/>
      <c r="R388" s="79"/>
      <c r="S388" s="79"/>
      <c r="V388" s="79"/>
      <c r="W388" s="79"/>
      <c r="Z388" s="130"/>
      <c r="AB388" s="106"/>
    </row>
    <row r="389">
      <c r="C389" s="79"/>
      <c r="D389" s="79"/>
      <c r="E389" s="79"/>
      <c r="M389" s="79"/>
      <c r="R389" s="79"/>
      <c r="S389" s="79"/>
      <c r="V389" s="79"/>
      <c r="W389" s="79"/>
      <c r="Z389" s="130"/>
      <c r="AB389" s="106"/>
    </row>
    <row r="390">
      <c r="C390" s="79"/>
      <c r="D390" s="79"/>
      <c r="E390" s="79"/>
      <c r="M390" s="79"/>
      <c r="R390" s="79"/>
      <c r="S390" s="79"/>
      <c r="V390" s="79"/>
      <c r="W390" s="79"/>
      <c r="Z390" s="130"/>
      <c r="AB390" s="106"/>
    </row>
    <row r="391">
      <c r="C391" s="79"/>
      <c r="D391" s="79"/>
      <c r="E391" s="79"/>
      <c r="M391" s="79"/>
      <c r="R391" s="79"/>
      <c r="S391" s="79"/>
      <c r="V391" s="79"/>
      <c r="W391" s="79"/>
      <c r="Z391" s="130"/>
      <c r="AB391" s="106"/>
    </row>
    <row r="392">
      <c r="C392" s="79"/>
      <c r="D392" s="79"/>
      <c r="E392" s="79"/>
      <c r="M392" s="79"/>
      <c r="R392" s="79"/>
      <c r="S392" s="79"/>
      <c r="V392" s="79"/>
      <c r="W392" s="79"/>
      <c r="Z392" s="130"/>
      <c r="AB392" s="106"/>
    </row>
    <row r="393">
      <c r="C393" s="79"/>
      <c r="D393" s="79"/>
      <c r="E393" s="79"/>
      <c r="M393" s="79"/>
      <c r="R393" s="79"/>
      <c r="S393" s="79"/>
      <c r="V393" s="79"/>
      <c r="W393" s="79"/>
      <c r="Z393" s="130"/>
      <c r="AB393" s="106"/>
    </row>
    <row r="394">
      <c r="C394" s="79"/>
      <c r="D394" s="79"/>
      <c r="E394" s="79"/>
      <c r="M394" s="79"/>
      <c r="R394" s="79"/>
      <c r="S394" s="79"/>
      <c r="V394" s="79"/>
      <c r="W394" s="79"/>
      <c r="Z394" s="130"/>
      <c r="AB394" s="106"/>
    </row>
    <row r="395">
      <c r="C395" s="79"/>
      <c r="D395" s="79"/>
      <c r="E395" s="79"/>
      <c r="M395" s="79"/>
      <c r="R395" s="79"/>
      <c r="S395" s="79"/>
      <c r="V395" s="79"/>
      <c r="W395" s="79"/>
      <c r="Z395" s="130"/>
      <c r="AB395" s="106"/>
    </row>
    <row r="396">
      <c r="C396" s="79"/>
      <c r="D396" s="79"/>
      <c r="E396" s="79"/>
      <c r="M396" s="79"/>
      <c r="R396" s="79"/>
      <c r="S396" s="79"/>
      <c r="V396" s="79"/>
      <c r="W396" s="79"/>
      <c r="Z396" s="130"/>
      <c r="AB396" s="106"/>
    </row>
    <row r="397">
      <c r="C397" s="79"/>
      <c r="D397" s="79"/>
      <c r="E397" s="79"/>
      <c r="M397" s="79"/>
      <c r="R397" s="79"/>
      <c r="S397" s="79"/>
      <c r="V397" s="79"/>
      <c r="W397" s="79"/>
      <c r="Z397" s="130"/>
      <c r="AB397" s="106"/>
    </row>
    <row r="398">
      <c r="C398" s="79"/>
      <c r="D398" s="79"/>
      <c r="E398" s="79"/>
      <c r="M398" s="79"/>
      <c r="R398" s="79"/>
      <c r="S398" s="79"/>
      <c r="V398" s="79"/>
      <c r="W398" s="79"/>
      <c r="Z398" s="130"/>
      <c r="AB398" s="106"/>
    </row>
    <row r="399">
      <c r="C399" s="79"/>
      <c r="D399" s="79"/>
      <c r="E399" s="79"/>
      <c r="M399" s="79"/>
      <c r="R399" s="79"/>
      <c r="S399" s="79"/>
      <c r="V399" s="79"/>
      <c r="W399" s="79"/>
      <c r="Z399" s="130"/>
      <c r="AB399" s="106"/>
    </row>
    <row r="400">
      <c r="C400" s="79"/>
      <c r="D400" s="79"/>
      <c r="E400" s="79"/>
      <c r="M400" s="79"/>
      <c r="R400" s="79"/>
      <c r="S400" s="79"/>
      <c r="V400" s="79"/>
      <c r="W400" s="79"/>
      <c r="Z400" s="130"/>
      <c r="AB400" s="106"/>
    </row>
    <row r="401">
      <c r="C401" s="79"/>
      <c r="D401" s="79"/>
      <c r="E401" s="79"/>
      <c r="M401" s="79"/>
      <c r="R401" s="79"/>
      <c r="S401" s="79"/>
      <c r="V401" s="79"/>
      <c r="W401" s="79"/>
      <c r="Z401" s="130"/>
      <c r="AB401" s="106"/>
    </row>
    <row r="402">
      <c r="C402" s="79"/>
      <c r="D402" s="79"/>
      <c r="E402" s="79"/>
      <c r="M402" s="79"/>
      <c r="R402" s="79"/>
      <c r="S402" s="79"/>
      <c r="V402" s="79"/>
      <c r="W402" s="79"/>
      <c r="Z402" s="130"/>
      <c r="AB402" s="106"/>
    </row>
    <row r="403">
      <c r="C403" s="79"/>
      <c r="D403" s="79"/>
      <c r="E403" s="79"/>
      <c r="M403" s="79"/>
      <c r="R403" s="79"/>
      <c r="S403" s="79"/>
      <c r="V403" s="79"/>
      <c r="W403" s="79"/>
      <c r="Z403" s="130"/>
      <c r="AB403" s="106"/>
    </row>
    <row r="404">
      <c r="C404" s="79"/>
      <c r="D404" s="79"/>
      <c r="E404" s="79"/>
      <c r="M404" s="79"/>
      <c r="R404" s="79"/>
      <c r="S404" s="79"/>
      <c r="V404" s="79"/>
      <c r="W404" s="79"/>
      <c r="Z404" s="130"/>
      <c r="AB404" s="106"/>
    </row>
    <row r="405">
      <c r="C405" s="79"/>
      <c r="D405" s="79"/>
      <c r="E405" s="79"/>
      <c r="M405" s="79"/>
      <c r="R405" s="79"/>
      <c r="S405" s="79"/>
      <c r="V405" s="79"/>
      <c r="W405" s="79"/>
      <c r="Z405" s="130"/>
      <c r="AB405" s="106"/>
    </row>
    <row r="406">
      <c r="C406" s="79"/>
      <c r="D406" s="79"/>
      <c r="E406" s="79"/>
      <c r="M406" s="79"/>
      <c r="R406" s="79"/>
      <c r="S406" s="79"/>
      <c r="V406" s="79"/>
      <c r="W406" s="79"/>
      <c r="Z406" s="130"/>
      <c r="AB406" s="106"/>
    </row>
    <row r="407">
      <c r="C407" s="79"/>
      <c r="D407" s="79"/>
      <c r="E407" s="79"/>
      <c r="M407" s="79"/>
      <c r="R407" s="79"/>
      <c r="S407" s="79"/>
      <c r="V407" s="79"/>
      <c r="W407" s="79"/>
      <c r="Z407" s="130"/>
      <c r="AB407" s="106"/>
    </row>
    <row r="408">
      <c r="C408" s="79"/>
      <c r="D408" s="79"/>
      <c r="E408" s="79"/>
      <c r="M408" s="79"/>
      <c r="R408" s="79"/>
      <c r="S408" s="79"/>
      <c r="V408" s="79"/>
      <c r="W408" s="79"/>
      <c r="Z408" s="130"/>
      <c r="AB408" s="106"/>
    </row>
    <row r="409">
      <c r="C409" s="79"/>
      <c r="D409" s="79"/>
      <c r="E409" s="79"/>
      <c r="M409" s="79"/>
      <c r="R409" s="79"/>
      <c r="S409" s="79"/>
      <c r="V409" s="79"/>
      <c r="W409" s="79"/>
      <c r="Z409" s="130"/>
      <c r="AB409" s="106"/>
    </row>
    <row r="410">
      <c r="C410" s="79"/>
      <c r="D410" s="79"/>
      <c r="E410" s="79"/>
      <c r="M410" s="79"/>
      <c r="R410" s="79"/>
      <c r="S410" s="79"/>
      <c r="V410" s="79"/>
      <c r="W410" s="79"/>
      <c r="Z410" s="130"/>
      <c r="AB410" s="106"/>
    </row>
    <row r="411">
      <c r="C411" s="79"/>
      <c r="D411" s="79"/>
      <c r="E411" s="79"/>
      <c r="M411" s="79"/>
      <c r="R411" s="79"/>
      <c r="S411" s="79"/>
      <c r="V411" s="79"/>
      <c r="W411" s="79"/>
      <c r="Z411" s="130"/>
      <c r="AB411" s="106"/>
    </row>
    <row r="412">
      <c r="C412" s="79"/>
      <c r="D412" s="79"/>
      <c r="E412" s="79"/>
      <c r="M412" s="79"/>
      <c r="R412" s="79"/>
      <c r="S412" s="79"/>
      <c r="V412" s="79"/>
      <c r="W412" s="79"/>
      <c r="Z412" s="130"/>
      <c r="AB412" s="106"/>
    </row>
    <row r="413">
      <c r="C413" s="79"/>
      <c r="D413" s="79"/>
      <c r="E413" s="79"/>
      <c r="M413" s="79"/>
      <c r="R413" s="79"/>
      <c r="S413" s="79"/>
      <c r="V413" s="79"/>
      <c r="W413" s="79"/>
      <c r="Z413" s="130"/>
      <c r="AB413" s="106"/>
    </row>
    <row r="414">
      <c r="C414" s="79"/>
      <c r="D414" s="79"/>
      <c r="E414" s="79"/>
      <c r="M414" s="79"/>
      <c r="R414" s="79"/>
      <c r="S414" s="79"/>
      <c r="V414" s="79"/>
      <c r="W414" s="79"/>
      <c r="Z414" s="130"/>
      <c r="AB414" s="106"/>
    </row>
    <row r="415">
      <c r="C415" s="79"/>
      <c r="D415" s="79"/>
      <c r="E415" s="79"/>
      <c r="M415" s="79"/>
      <c r="R415" s="79"/>
      <c r="S415" s="79"/>
      <c r="V415" s="79"/>
      <c r="W415" s="79"/>
      <c r="Z415" s="130"/>
      <c r="AB415" s="106"/>
    </row>
    <row r="416">
      <c r="C416" s="79"/>
      <c r="D416" s="79"/>
      <c r="E416" s="79"/>
      <c r="M416" s="79"/>
      <c r="R416" s="79"/>
      <c r="S416" s="79"/>
      <c r="V416" s="79"/>
      <c r="W416" s="79"/>
      <c r="Z416" s="130"/>
      <c r="AB416" s="106"/>
    </row>
    <row r="417">
      <c r="C417" s="79"/>
      <c r="D417" s="79"/>
      <c r="E417" s="79"/>
      <c r="M417" s="79"/>
      <c r="R417" s="79"/>
      <c r="S417" s="79"/>
      <c r="V417" s="79"/>
      <c r="W417" s="79"/>
      <c r="Z417" s="130"/>
      <c r="AB417" s="106"/>
    </row>
    <row r="418">
      <c r="C418" s="79"/>
      <c r="D418" s="79"/>
      <c r="E418" s="79"/>
      <c r="M418" s="79"/>
      <c r="R418" s="79"/>
      <c r="S418" s="79"/>
      <c r="V418" s="79"/>
      <c r="W418" s="79"/>
      <c r="Z418" s="130"/>
      <c r="AB418" s="106"/>
    </row>
    <row r="419">
      <c r="C419" s="79"/>
      <c r="D419" s="79"/>
      <c r="E419" s="79"/>
      <c r="M419" s="79"/>
      <c r="R419" s="79"/>
      <c r="S419" s="79"/>
      <c r="V419" s="79"/>
      <c r="W419" s="79"/>
      <c r="Z419" s="130"/>
      <c r="AB419" s="106"/>
    </row>
    <row r="420">
      <c r="C420" s="79"/>
      <c r="D420" s="79"/>
      <c r="E420" s="79"/>
      <c r="M420" s="79"/>
      <c r="R420" s="79"/>
      <c r="S420" s="79"/>
      <c r="V420" s="79"/>
      <c r="W420" s="79"/>
      <c r="Z420" s="130"/>
      <c r="AB420" s="106"/>
    </row>
    <row r="421">
      <c r="C421" s="79"/>
      <c r="D421" s="79"/>
      <c r="E421" s="79"/>
      <c r="M421" s="79"/>
      <c r="R421" s="79"/>
      <c r="S421" s="79"/>
      <c r="V421" s="79"/>
      <c r="W421" s="79"/>
      <c r="Z421" s="130"/>
      <c r="AB421" s="106"/>
    </row>
    <row r="422">
      <c r="C422" s="79"/>
      <c r="D422" s="79"/>
      <c r="E422" s="79"/>
      <c r="M422" s="79"/>
      <c r="R422" s="79"/>
      <c r="S422" s="79"/>
      <c r="V422" s="79"/>
      <c r="W422" s="79"/>
      <c r="Z422" s="130"/>
      <c r="AB422" s="106"/>
    </row>
    <row r="423">
      <c r="C423" s="79"/>
      <c r="D423" s="79"/>
      <c r="E423" s="79"/>
      <c r="M423" s="79"/>
      <c r="R423" s="79"/>
      <c r="S423" s="79"/>
      <c r="V423" s="79"/>
      <c r="W423" s="79"/>
      <c r="Z423" s="130"/>
      <c r="AB423" s="106"/>
    </row>
    <row r="424">
      <c r="C424" s="79"/>
      <c r="D424" s="79"/>
      <c r="E424" s="79"/>
      <c r="M424" s="79"/>
      <c r="R424" s="79"/>
      <c r="S424" s="79"/>
      <c r="V424" s="79"/>
      <c r="W424" s="79"/>
      <c r="Z424" s="130"/>
      <c r="AB424" s="106"/>
    </row>
    <row r="425">
      <c r="C425" s="79"/>
      <c r="D425" s="79"/>
      <c r="E425" s="79"/>
      <c r="M425" s="79"/>
      <c r="R425" s="79"/>
      <c r="S425" s="79"/>
      <c r="V425" s="79"/>
      <c r="W425" s="79"/>
      <c r="Z425" s="130"/>
      <c r="AB425" s="106"/>
    </row>
    <row r="426">
      <c r="C426" s="79"/>
      <c r="D426" s="79"/>
      <c r="E426" s="79"/>
      <c r="M426" s="79"/>
      <c r="R426" s="79"/>
      <c r="S426" s="79"/>
      <c r="V426" s="79"/>
      <c r="W426" s="79"/>
      <c r="Z426" s="130"/>
      <c r="AB426" s="106"/>
    </row>
    <row r="427">
      <c r="C427" s="79"/>
      <c r="D427" s="79"/>
      <c r="E427" s="79"/>
      <c r="M427" s="79"/>
      <c r="R427" s="79"/>
      <c r="S427" s="79"/>
      <c r="V427" s="79"/>
      <c r="W427" s="79"/>
      <c r="Z427" s="130"/>
      <c r="AB427" s="106"/>
    </row>
    <row r="428">
      <c r="C428" s="79"/>
      <c r="D428" s="79"/>
      <c r="E428" s="79"/>
      <c r="M428" s="79"/>
      <c r="R428" s="79"/>
      <c r="S428" s="79"/>
      <c r="V428" s="79"/>
      <c r="W428" s="79"/>
      <c r="Z428" s="130"/>
      <c r="AB428" s="106"/>
    </row>
    <row r="429">
      <c r="C429" s="79"/>
      <c r="D429" s="79"/>
      <c r="E429" s="79"/>
      <c r="M429" s="79"/>
      <c r="R429" s="79"/>
      <c r="S429" s="79"/>
      <c r="V429" s="79"/>
      <c r="W429" s="79"/>
      <c r="Z429" s="130"/>
      <c r="AB429" s="106"/>
    </row>
    <row r="430">
      <c r="C430" s="79"/>
      <c r="D430" s="79"/>
      <c r="E430" s="79"/>
      <c r="M430" s="79"/>
      <c r="R430" s="79"/>
      <c r="S430" s="79"/>
      <c r="V430" s="79"/>
      <c r="W430" s="79"/>
      <c r="Z430" s="130"/>
      <c r="AB430" s="106"/>
    </row>
    <row r="431">
      <c r="C431" s="79"/>
      <c r="D431" s="79"/>
      <c r="E431" s="79"/>
      <c r="M431" s="79"/>
      <c r="R431" s="79"/>
      <c r="S431" s="79"/>
      <c r="V431" s="79"/>
      <c r="W431" s="79"/>
      <c r="Z431" s="130"/>
      <c r="AB431" s="106"/>
    </row>
    <row r="432">
      <c r="C432" s="79"/>
      <c r="D432" s="79"/>
      <c r="E432" s="79"/>
      <c r="M432" s="79"/>
      <c r="R432" s="79"/>
      <c r="S432" s="79"/>
      <c r="V432" s="79"/>
      <c r="W432" s="79"/>
      <c r="Z432" s="130"/>
      <c r="AB432" s="106"/>
    </row>
    <row r="433">
      <c r="C433" s="79"/>
      <c r="D433" s="79"/>
      <c r="E433" s="79"/>
      <c r="M433" s="79"/>
      <c r="R433" s="79"/>
      <c r="S433" s="79"/>
      <c r="V433" s="79"/>
      <c r="W433" s="79"/>
      <c r="Z433" s="130"/>
      <c r="AB433" s="106"/>
    </row>
    <row r="434">
      <c r="C434" s="79"/>
      <c r="D434" s="79"/>
      <c r="E434" s="79"/>
      <c r="M434" s="79"/>
      <c r="R434" s="79"/>
      <c r="S434" s="79"/>
      <c r="V434" s="79"/>
      <c r="W434" s="79"/>
      <c r="Z434" s="130"/>
      <c r="AB434" s="106"/>
    </row>
    <row r="435">
      <c r="C435" s="79"/>
      <c r="D435" s="79"/>
      <c r="E435" s="79"/>
      <c r="M435" s="79"/>
      <c r="R435" s="79"/>
      <c r="S435" s="79"/>
      <c r="V435" s="79"/>
      <c r="W435" s="79"/>
      <c r="Z435" s="130"/>
      <c r="AB435" s="106"/>
    </row>
    <row r="436">
      <c r="C436" s="79"/>
      <c r="D436" s="79"/>
      <c r="E436" s="79"/>
      <c r="M436" s="79"/>
      <c r="R436" s="79"/>
      <c r="S436" s="79"/>
      <c r="V436" s="79"/>
      <c r="W436" s="79"/>
      <c r="Z436" s="130"/>
      <c r="AB436" s="106"/>
    </row>
    <row r="437">
      <c r="C437" s="79"/>
      <c r="D437" s="79"/>
      <c r="E437" s="79"/>
      <c r="M437" s="79"/>
      <c r="R437" s="79"/>
      <c r="S437" s="79"/>
      <c r="V437" s="79"/>
      <c r="W437" s="79"/>
      <c r="Z437" s="130"/>
      <c r="AB437" s="106"/>
    </row>
    <row r="438">
      <c r="C438" s="79"/>
      <c r="D438" s="79"/>
      <c r="E438" s="79"/>
      <c r="M438" s="79"/>
      <c r="R438" s="79"/>
      <c r="S438" s="79"/>
      <c r="V438" s="79"/>
      <c r="W438" s="79"/>
      <c r="Z438" s="130"/>
      <c r="AB438" s="106"/>
    </row>
    <row r="439">
      <c r="C439" s="79"/>
      <c r="D439" s="79"/>
      <c r="E439" s="79"/>
      <c r="M439" s="79"/>
      <c r="R439" s="79"/>
      <c r="S439" s="79"/>
      <c r="V439" s="79"/>
      <c r="W439" s="79"/>
      <c r="Z439" s="130"/>
      <c r="AB439" s="106"/>
    </row>
    <row r="440">
      <c r="C440" s="79"/>
      <c r="D440" s="79"/>
      <c r="E440" s="79"/>
      <c r="M440" s="79"/>
      <c r="R440" s="79"/>
      <c r="S440" s="79"/>
      <c r="V440" s="79"/>
      <c r="W440" s="79"/>
      <c r="Z440" s="130"/>
      <c r="AB440" s="106"/>
    </row>
    <row r="441">
      <c r="C441" s="79"/>
      <c r="D441" s="79"/>
      <c r="E441" s="79"/>
      <c r="M441" s="79"/>
      <c r="R441" s="79"/>
      <c r="S441" s="79"/>
      <c r="V441" s="79"/>
      <c r="W441" s="79"/>
      <c r="Z441" s="130"/>
      <c r="AB441" s="106"/>
    </row>
    <row r="442">
      <c r="C442" s="79"/>
      <c r="D442" s="79"/>
      <c r="E442" s="79"/>
      <c r="M442" s="79"/>
      <c r="R442" s="79"/>
      <c r="S442" s="79"/>
      <c r="V442" s="79"/>
      <c r="W442" s="79"/>
      <c r="Z442" s="130"/>
      <c r="AB442" s="106"/>
    </row>
    <row r="443">
      <c r="C443" s="79"/>
      <c r="D443" s="79"/>
      <c r="E443" s="79"/>
      <c r="M443" s="79"/>
      <c r="R443" s="79"/>
      <c r="S443" s="79"/>
      <c r="V443" s="79"/>
      <c r="W443" s="79"/>
      <c r="Z443" s="130"/>
      <c r="AB443" s="106"/>
    </row>
    <row r="444">
      <c r="C444" s="79"/>
      <c r="D444" s="79"/>
      <c r="E444" s="79"/>
      <c r="M444" s="79"/>
      <c r="R444" s="79"/>
      <c r="S444" s="79"/>
      <c r="V444" s="79"/>
      <c r="W444" s="79"/>
      <c r="Z444" s="130"/>
      <c r="AB444" s="106"/>
    </row>
    <row r="445">
      <c r="C445" s="79"/>
      <c r="D445" s="79"/>
      <c r="E445" s="79"/>
      <c r="M445" s="79"/>
      <c r="R445" s="79"/>
      <c r="S445" s="79"/>
      <c r="V445" s="79"/>
      <c r="W445" s="79"/>
      <c r="Z445" s="130"/>
      <c r="AB445" s="106"/>
    </row>
    <row r="446">
      <c r="C446" s="79"/>
      <c r="D446" s="79"/>
      <c r="E446" s="79"/>
      <c r="M446" s="79"/>
      <c r="R446" s="79"/>
      <c r="S446" s="79"/>
      <c r="V446" s="79"/>
      <c r="W446" s="79"/>
      <c r="Z446" s="130"/>
      <c r="AB446" s="106"/>
    </row>
    <row r="447">
      <c r="C447" s="79"/>
      <c r="D447" s="79"/>
      <c r="E447" s="79"/>
      <c r="M447" s="79"/>
      <c r="R447" s="79"/>
      <c r="S447" s="79"/>
      <c r="V447" s="79"/>
      <c r="W447" s="79"/>
      <c r="Z447" s="130"/>
      <c r="AB447" s="106"/>
    </row>
    <row r="448">
      <c r="C448" s="79"/>
      <c r="D448" s="79"/>
      <c r="E448" s="79"/>
      <c r="M448" s="79"/>
      <c r="R448" s="79"/>
      <c r="S448" s="79"/>
      <c r="V448" s="79"/>
      <c r="W448" s="79"/>
      <c r="Z448" s="130"/>
      <c r="AB448" s="106"/>
    </row>
    <row r="449">
      <c r="C449" s="79"/>
      <c r="D449" s="79"/>
      <c r="E449" s="79"/>
      <c r="M449" s="79"/>
      <c r="R449" s="79"/>
      <c r="S449" s="79"/>
      <c r="V449" s="79"/>
      <c r="W449" s="79"/>
      <c r="Z449" s="130"/>
      <c r="AB449" s="106"/>
    </row>
    <row r="450">
      <c r="C450" s="79"/>
      <c r="D450" s="79"/>
      <c r="E450" s="79"/>
      <c r="M450" s="79"/>
      <c r="R450" s="79"/>
      <c r="S450" s="79"/>
      <c r="V450" s="79"/>
      <c r="W450" s="79"/>
      <c r="Z450" s="130"/>
      <c r="AB450" s="106"/>
    </row>
    <row r="451">
      <c r="C451" s="79"/>
      <c r="D451" s="79"/>
      <c r="E451" s="79"/>
      <c r="M451" s="79"/>
      <c r="R451" s="79"/>
      <c r="S451" s="79"/>
      <c r="V451" s="79"/>
      <c r="W451" s="79"/>
      <c r="Z451" s="130"/>
      <c r="AB451" s="106"/>
    </row>
    <row r="452">
      <c r="C452" s="79"/>
      <c r="D452" s="79"/>
      <c r="E452" s="79"/>
      <c r="M452" s="79"/>
      <c r="R452" s="79"/>
      <c r="S452" s="79"/>
      <c r="V452" s="79"/>
      <c r="W452" s="79"/>
      <c r="Z452" s="130"/>
      <c r="AB452" s="106"/>
    </row>
    <row r="453">
      <c r="C453" s="79"/>
      <c r="D453" s="79"/>
      <c r="E453" s="79"/>
      <c r="M453" s="79"/>
      <c r="R453" s="79"/>
      <c r="S453" s="79"/>
      <c r="V453" s="79"/>
      <c r="W453" s="79"/>
      <c r="Z453" s="130"/>
      <c r="AB453" s="106"/>
    </row>
    <row r="454">
      <c r="C454" s="79"/>
      <c r="D454" s="79"/>
      <c r="E454" s="79"/>
      <c r="M454" s="79"/>
      <c r="R454" s="79"/>
      <c r="S454" s="79"/>
      <c r="V454" s="79"/>
      <c r="W454" s="79"/>
      <c r="Z454" s="130"/>
      <c r="AB454" s="106"/>
    </row>
    <row r="455">
      <c r="C455" s="79"/>
      <c r="D455" s="79"/>
      <c r="E455" s="79"/>
      <c r="M455" s="79"/>
      <c r="R455" s="79"/>
      <c r="S455" s="79"/>
      <c r="V455" s="79"/>
      <c r="W455" s="79"/>
      <c r="Z455" s="130"/>
      <c r="AB455" s="106"/>
    </row>
    <row r="456">
      <c r="C456" s="79"/>
      <c r="D456" s="79"/>
      <c r="E456" s="79"/>
      <c r="M456" s="79"/>
      <c r="R456" s="79"/>
      <c r="S456" s="79"/>
      <c r="V456" s="79"/>
      <c r="W456" s="79"/>
      <c r="Z456" s="130"/>
      <c r="AB456" s="106"/>
    </row>
    <row r="457">
      <c r="C457" s="79"/>
      <c r="D457" s="79"/>
      <c r="E457" s="79"/>
      <c r="M457" s="79"/>
      <c r="R457" s="79"/>
      <c r="S457" s="79"/>
      <c r="V457" s="79"/>
      <c r="W457" s="79"/>
      <c r="Z457" s="130"/>
      <c r="AB457" s="106"/>
    </row>
    <row r="458">
      <c r="C458" s="79"/>
      <c r="D458" s="79"/>
      <c r="E458" s="79"/>
      <c r="M458" s="79"/>
      <c r="R458" s="79"/>
      <c r="S458" s="79"/>
      <c r="V458" s="79"/>
      <c r="W458" s="79"/>
      <c r="Z458" s="130"/>
      <c r="AB458" s="106"/>
    </row>
    <row r="459">
      <c r="C459" s="79"/>
      <c r="D459" s="79"/>
      <c r="E459" s="79"/>
      <c r="M459" s="79"/>
      <c r="R459" s="79"/>
      <c r="S459" s="79"/>
      <c r="V459" s="79"/>
      <c r="W459" s="79"/>
      <c r="Z459" s="130"/>
      <c r="AB459" s="106"/>
    </row>
    <row r="460">
      <c r="C460" s="79"/>
      <c r="D460" s="79"/>
      <c r="E460" s="79"/>
      <c r="M460" s="79"/>
      <c r="R460" s="79"/>
      <c r="S460" s="79"/>
      <c r="V460" s="79"/>
      <c r="W460" s="79"/>
      <c r="Z460" s="130"/>
      <c r="AB460" s="106"/>
    </row>
    <row r="461">
      <c r="C461" s="79"/>
      <c r="D461" s="79"/>
      <c r="E461" s="79"/>
      <c r="M461" s="79"/>
      <c r="R461" s="79"/>
      <c r="S461" s="79"/>
      <c r="V461" s="79"/>
      <c r="W461" s="79"/>
      <c r="Z461" s="130"/>
      <c r="AB461" s="106"/>
    </row>
    <row r="462">
      <c r="C462" s="79"/>
      <c r="D462" s="79"/>
      <c r="E462" s="79"/>
      <c r="M462" s="79"/>
      <c r="R462" s="79"/>
      <c r="S462" s="79"/>
      <c r="V462" s="79"/>
      <c r="W462" s="79"/>
      <c r="Z462" s="130"/>
      <c r="AB462" s="106"/>
    </row>
    <row r="463">
      <c r="C463" s="79"/>
      <c r="D463" s="79"/>
      <c r="E463" s="79"/>
      <c r="M463" s="79"/>
      <c r="R463" s="79"/>
      <c r="S463" s="79"/>
      <c r="V463" s="79"/>
      <c r="W463" s="79"/>
      <c r="Z463" s="130"/>
      <c r="AB463" s="106"/>
    </row>
    <row r="464">
      <c r="C464" s="79"/>
      <c r="D464" s="79"/>
      <c r="E464" s="79"/>
      <c r="M464" s="79"/>
      <c r="R464" s="79"/>
      <c r="S464" s="79"/>
      <c r="V464" s="79"/>
      <c r="W464" s="79"/>
      <c r="Z464" s="130"/>
      <c r="AB464" s="106"/>
    </row>
    <row r="465">
      <c r="C465" s="79"/>
      <c r="D465" s="79"/>
      <c r="E465" s="79"/>
      <c r="M465" s="79"/>
      <c r="R465" s="79"/>
      <c r="S465" s="79"/>
      <c r="V465" s="79"/>
      <c r="W465" s="79"/>
      <c r="Z465" s="130"/>
      <c r="AB465" s="106"/>
    </row>
    <row r="466">
      <c r="C466" s="79"/>
      <c r="D466" s="79"/>
      <c r="E466" s="79"/>
      <c r="M466" s="79"/>
      <c r="R466" s="79"/>
      <c r="S466" s="79"/>
      <c r="V466" s="79"/>
      <c r="W466" s="79"/>
      <c r="Z466" s="130"/>
      <c r="AB466" s="106"/>
    </row>
    <row r="467">
      <c r="C467" s="79"/>
      <c r="D467" s="79"/>
      <c r="E467" s="79"/>
      <c r="M467" s="79"/>
      <c r="R467" s="79"/>
      <c r="S467" s="79"/>
      <c r="V467" s="79"/>
      <c r="W467" s="79"/>
      <c r="Z467" s="130"/>
      <c r="AB467" s="106"/>
    </row>
    <row r="468">
      <c r="C468" s="79"/>
      <c r="D468" s="79"/>
      <c r="E468" s="79"/>
      <c r="M468" s="79"/>
      <c r="R468" s="79"/>
      <c r="S468" s="79"/>
      <c r="V468" s="79"/>
      <c r="W468" s="79"/>
      <c r="Z468" s="130"/>
      <c r="AB468" s="106"/>
    </row>
    <row r="469">
      <c r="C469" s="79"/>
      <c r="D469" s="79"/>
      <c r="E469" s="79"/>
      <c r="M469" s="79"/>
      <c r="R469" s="79"/>
      <c r="S469" s="79"/>
      <c r="V469" s="79"/>
      <c r="W469" s="79"/>
      <c r="Z469" s="130"/>
      <c r="AB469" s="106"/>
    </row>
    <row r="470">
      <c r="C470" s="79"/>
      <c r="D470" s="79"/>
      <c r="E470" s="79"/>
      <c r="M470" s="79"/>
      <c r="R470" s="79"/>
      <c r="S470" s="79"/>
      <c r="V470" s="79"/>
      <c r="W470" s="79"/>
      <c r="Z470" s="130"/>
      <c r="AB470" s="106"/>
    </row>
    <row r="471">
      <c r="C471" s="79"/>
      <c r="D471" s="79"/>
      <c r="E471" s="79"/>
      <c r="M471" s="79"/>
      <c r="R471" s="79"/>
      <c r="S471" s="79"/>
      <c r="V471" s="79"/>
      <c r="W471" s="79"/>
      <c r="Z471" s="130"/>
      <c r="AB471" s="106"/>
    </row>
    <row r="472">
      <c r="C472" s="79"/>
      <c r="D472" s="79"/>
      <c r="E472" s="79"/>
      <c r="M472" s="79"/>
      <c r="R472" s="79"/>
      <c r="S472" s="79"/>
      <c r="V472" s="79"/>
      <c r="W472" s="79"/>
      <c r="Z472" s="130"/>
      <c r="AB472" s="106"/>
    </row>
    <row r="473">
      <c r="C473" s="79"/>
      <c r="D473" s="79"/>
      <c r="E473" s="79"/>
      <c r="M473" s="79"/>
      <c r="R473" s="79"/>
      <c r="S473" s="79"/>
      <c r="V473" s="79"/>
      <c r="W473" s="79"/>
      <c r="Z473" s="130"/>
      <c r="AB473" s="106"/>
    </row>
    <row r="474">
      <c r="C474" s="79"/>
      <c r="D474" s="79"/>
      <c r="E474" s="79"/>
      <c r="M474" s="79"/>
      <c r="R474" s="79"/>
      <c r="S474" s="79"/>
      <c r="V474" s="79"/>
      <c r="W474" s="79"/>
      <c r="Z474" s="130"/>
      <c r="AB474" s="106"/>
    </row>
    <row r="475">
      <c r="C475" s="79"/>
      <c r="D475" s="79"/>
      <c r="E475" s="79"/>
      <c r="M475" s="79"/>
      <c r="R475" s="79"/>
      <c r="S475" s="79"/>
      <c r="V475" s="79"/>
      <c r="W475" s="79"/>
      <c r="Z475" s="130"/>
      <c r="AB475" s="106"/>
    </row>
    <row r="476">
      <c r="C476" s="79"/>
      <c r="D476" s="79"/>
      <c r="E476" s="79"/>
      <c r="M476" s="79"/>
      <c r="R476" s="79"/>
      <c r="S476" s="79"/>
      <c r="V476" s="79"/>
      <c r="W476" s="79"/>
      <c r="Z476" s="130"/>
      <c r="AB476" s="106"/>
    </row>
    <row r="477">
      <c r="C477" s="79"/>
      <c r="D477" s="79"/>
      <c r="E477" s="79"/>
      <c r="M477" s="79"/>
      <c r="R477" s="79"/>
      <c r="S477" s="79"/>
      <c r="V477" s="79"/>
      <c r="W477" s="79"/>
      <c r="Z477" s="130"/>
      <c r="AB477" s="106"/>
    </row>
    <row r="478">
      <c r="C478" s="79"/>
      <c r="D478" s="79"/>
      <c r="E478" s="79"/>
      <c r="M478" s="79"/>
      <c r="R478" s="79"/>
      <c r="S478" s="79"/>
      <c r="V478" s="79"/>
      <c r="W478" s="79"/>
      <c r="Z478" s="130"/>
      <c r="AB478" s="106"/>
    </row>
    <row r="479">
      <c r="C479" s="79"/>
      <c r="D479" s="79"/>
      <c r="E479" s="79"/>
      <c r="M479" s="79"/>
      <c r="R479" s="79"/>
      <c r="S479" s="79"/>
      <c r="V479" s="79"/>
      <c r="W479" s="79"/>
      <c r="Z479" s="130"/>
      <c r="AB479" s="106"/>
    </row>
    <row r="480">
      <c r="C480" s="79"/>
      <c r="D480" s="79"/>
      <c r="E480" s="79"/>
      <c r="M480" s="79"/>
      <c r="R480" s="79"/>
      <c r="S480" s="79"/>
      <c r="V480" s="79"/>
      <c r="W480" s="79"/>
      <c r="Z480" s="130"/>
      <c r="AB480" s="106"/>
    </row>
    <row r="481">
      <c r="C481" s="79"/>
      <c r="D481" s="79"/>
      <c r="E481" s="79"/>
      <c r="M481" s="79"/>
      <c r="R481" s="79"/>
      <c r="S481" s="79"/>
      <c r="V481" s="79"/>
      <c r="W481" s="79"/>
      <c r="Z481" s="130"/>
      <c r="AB481" s="106"/>
    </row>
    <row r="482">
      <c r="C482" s="79"/>
      <c r="D482" s="79"/>
      <c r="E482" s="79"/>
      <c r="M482" s="79"/>
      <c r="R482" s="79"/>
      <c r="S482" s="79"/>
      <c r="V482" s="79"/>
      <c r="W482" s="79"/>
      <c r="Z482" s="130"/>
      <c r="AB482" s="106"/>
    </row>
    <row r="483">
      <c r="C483" s="79"/>
      <c r="D483" s="79"/>
      <c r="E483" s="79"/>
      <c r="M483" s="79"/>
      <c r="R483" s="79"/>
      <c r="S483" s="79"/>
      <c r="V483" s="79"/>
      <c r="W483" s="79"/>
      <c r="Z483" s="130"/>
      <c r="AB483" s="106"/>
    </row>
    <row r="484">
      <c r="C484" s="79"/>
      <c r="D484" s="79"/>
      <c r="E484" s="79"/>
      <c r="M484" s="79"/>
      <c r="R484" s="79"/>
      <c r="S484" s="79"/>
      <c r="V484" s="79"/>
      <c r="W484" s="79"/>
      <c r="Z484" s="130"/>
      <c r="AB484" s="106"/>
    </row>
    <row r="485">
      <c r="C485" s="79"/>
      <c r="D485" s="79"/>
      <c r="E485" s="79"/>
      <c r="M485" s="79"/>
      <c r="R485" s="79"/>
      <c r="S485" s="79"/>
      <c r="V485" s="79"/>
      <c r="W485" s="79"/>
      <c r="Z485" s="130"/>
      <c r="AB485" s="106"/>
    </row>
    <row r="486">
      <c r="C486" s="79"/>
      <c r="D486" s="79"/>
      <c r="E486" s="79"/>
      <c r="M486" s="79"/>
      <c r="R486" s="79"/>
      <c r="S486" s="79"/>
      <c r="V486" s="79"/>
      <c r="W486" s="79"/>
      <c r="Z486" s="130"/>
      <c r="AB486" s="106"/>
    </row>
    <row r="487">
      <c r="C487" s="79"/>
      <c r="D487" s="79"/>
      <c r="E487" s="79"/>
      <c r="M487" s="79"/>
      <c r="R487" s="79"/>
      <c r="S487" s="79"/>
      <c r="V487" s="79"/>
      <c r="W487" s="79"/>
      <c r="Z487" s="130"/>
      <c r="AB487" s="106"/>
    </row>
    <row r="488">
      <c r="C488" s="79"/>
      <c r="D488" s="79"/>
      <c r="E488" s="79"/>
      <c r="M488" s="79"/>
      <c r="R488" s="79"/>
      <c r="S488" s="79"/>
      <c r="V488" s="79"/>
      <c r="W488" s="79"/>
      <c r="Z488" s="130"/>
      <c r="AB488" s="106"/>
    </row>
    <row r="489">
      <c r="C489" s="79"/>
      <c r="D489" s="79"/>
      <c r="E489" s="79"/>
      <c r="M489" s="79"/>
      <c r="R489" s="79"/>
      <c r="S489" s="79"/>
      <c r="V489" s="79"/>
      <c r="W489" s="79"/>
      <c r="Z489" s="130"/>
      <c r="AB489" s="106"/>
    </row>
    <row r="490">
      <c r="C490" s="79"/>
      <c r="D490" s="79"/>
      <c r="E490" s="79"/>
      <c r="M490" s="79"/>
      <c r="R490" s="79"/>
      <c r="S490" s="79"/>
      <c r="V490" s="79"/>
      <c r="W490" s="79"/>
      <c r="Z490" s="130"/>
      <c r="AB490" s="106"/>
    </row>
    <row r="491">
      <c r="C491" s="79"/>
      <c r="D491" s="79"/>
      <c r="E491" s="79"/>
      <c r="M491" s="79"/>
      <c r="R491" s="79"/>
      <c r="S491" s="79"/>
      <c r="V491" s="79"/>
      <c r="W491" s="79"/>
      <c r="Z491" s="130"/>
      <c r="AB491" s="106"/>
    </row>
    <row r="492">
      <c r="C492" s="79"/>
      <c r="D492" s="79"/>
      <c r="E492" s="79"/>
      <c r="M492" s="79"/>
      <c r="R492" s="79"/>
      <c r="S492" s="79"/>
      <c r="V492" s="79"/>
      <c r="W492" s="79"/>
      <c r="Z492" s="130"/>
      <c r="AB492" s="106"/>
    </row>
    <row r="493">
      <c r="C493" s="79"/>
      <c r="D493" s="79"/>
      <c r="E493" s="79"/>
      <c r="M493" s="79"/>
      <c r="R493" s="79"/>
      <c r="S493" s="79"/>
      <c r="V493" s="79"/>
      <c r="W493" s="79"/>
      <c r="Z493" s="130"/>
      <c r="AB493" s="106"/>
    </row>
    <row r="494">
      <c r="C494" s="79"/>
      <c r="D494" s="79"/>
      <c r="E494" s="79"/>
      <c r="M494" s="79"/>
      <c r="R494" s="79"/>
      <c r="S494" s="79"/>
      <c r="V494" s="79"/>
      <c r="W494" s="79"/>
      <c r="Z494" s="130"/>
      <c r="AB494" s="106"/>
    </row>
    <row r="495">
      <c r="C495" s="79"/>
      <c r="D495" s="79"/>
      <c r="E495" s="79"/>
      <c r="M495" s="79"/>
      <c r="R495" s="79"/>
      <c r="S495" s="79"/>
      <c r="V495" s="79"/>
      <c r="W495" s="79"/>
      <c r="Z495" s="130"/>
      <c r="AB495" s="106"/>
    </row>
    <row r="496">
      <c r="C496" s="79"/>
      <c r="D496" s="79"/>
      <c r="E496" s="79"/>
      <c r="M496" s="79"/>
      <c r="R496" s="79"/>
      <c r="S496" s="79"/>
      <c r="V496" s="79"/>
      <c r="W496" s="79"/>
      <c r="Z496" s="130"/>
      <c r="AB496" s="106"/>
    </row>
    <row r="497">
      <c r="C497" s="79"/>
      <c r="D497" s="79"/>
      <c r="E497" s="79"/>
      <c r="M497" s="79"/>
      <c r="R497" s="79"/>
      <c r="S497" s="79"/>
      <c r="V497" s="79"/>
      <c r="W497" s="79"/>
      <c r="Z497" s="130"/>
      <c r="AB497" s="106"/>
    </row>
    <row r="498">
      <c r="C498" s="79"/>
      <c r="D498" s="79"/>
      <c r="E498" s="79"/>
      <c r="M498" s="79"/>
      <c r="R498" s="79"/>
      <c r="S498" s="79"/>
      <c r="V498" s="79"/>
      <c r="W498" s="79"/>
      <c r="Z498" s="130"/>
      <c r="AB498" s="106"/>
    </row>
    <row r="499">
      <c r="C499" s="79"/>
      <c r="D499" s="79"/>
      <c r="E499" s="79"/>
      <c r="M499" s="79"/>
      <c r="R499" s="79"/>
      <c r="S499" s="79"/>
      <c r="V499" s="79"/>
      <c r="W499" s="79"/>
      <c r="Z499" s="130"/>
      <c r="AB499" s="106"/>
    </row>
    <row r="500">
      <c r="C500" s="79"/>
      <c r="D500" s="79"/>
      <c r="E500" s="79"/>
      <c r="M500" s="79"/>
      <c r="R500" s="79"/>
      <c r="S500" s="79"/>
      <c r="V500" s="79"/>
      <c r="W500" s="79"/>
      <c r="Z500" s="130"/>
      <c r="AB500" s="106"/>
    </row>
    <row r="501">
      <c r="C501" s="79"/>
      <c r="D501" s="79"/>
      <c r="E501" s="79"/>
      <c r="M501" s="79"/>
      <c r="R501" s="79"/>
      <c r="S501" s="79"/>
      <c r="V501" s="79"/>
      <c r="W501" s="79"/>
      <c r="Z501" s="130"/>
      <c r="AB501" s="106"/>
    </row>
    <row r="502">
      <c r="C502" s="79"/>
      <c r="D502" s="79"/>
      <c r="E502" s="79"/>
      <c r="M502" s="79"/>
      <c r="R502" s="79"/>
      <c r="S502" s="79"/>
      <c r="V502" s="79"/>
      <c r="W502" s="79"/>
      <c r="Z502" s="130"/>
      <c r="AB502" s="106"/>
    </row>
    <row r="503">
      <c r="C503" s="79"/>
      <c r="D503" s="79"/>
      <c r="E503" s="79"/>
      <c r="M503" s="79"/>
      <c r="R503" s="79"/>
      <c r="S503" s="79"/>
      <c r="V503" s="79"/>
      <c r="W503" s="79"/>
      <c r="Z503" s="130"/>
      <c r="AB503" s="106"/>
    </row>
    <row r="504">
      <c r="C504" s="79"/>
      <c r="D504" s="79"/>
      <c r="E504" s="79"/>
      <c r="M504" s="79"/>
      <c r="R504" s="79"/>
      <c r="S504" s="79"/>
      <c r="V504" s="79"/>
      <c r="W504" s="79"/>
      <c r="Z504" s="130"/>
      <c r="AB504" s="106"/>
    </row>
    <row r="505">
      <c r="C505" s="79"/>
      <c r="D505" s="79"/>
      <c r="E505" s="79"/>
      <c r="M505" s="79"/>
      <c r="R505" s="79"/>
      <c r="S505" s="79"/>
      <c r="V505" s="79"/>
      <c r="W505" s="79"/>
      <c r="Z505" s="130"/>
      <c r="AB505" s="106"/>
    </row>
    <row r="506">
      <c r="C506" s="79"/>
      <c r="D506" s="79"/>
      <c r="E506" s="79"/>
      <c r="M506" s="79"/>
      <c r="R506" s="79"/>
      <c r="S506" s="79"/>
      <c r="V506" s="79"/>
      <c r="W506" s="79"/>
      <c r="Z506" s="130"/>
      <c r="AB506" s="106"/>
    </row>
    <row r="507">
      <c r="C507" s="79"/>
      <c r="D507" s="79"/>
      <c r="E507" s="79"/>
      <c r="M507" s="79"/>
      <c r="R507" s="79"/>
      <c r="S507" s="79"/>
      <c r="V507" s="79"/>
      <c r="W507" s="79"/>
      <c r="Z507" s="130"/>
      <c r="AB507" s="106"/>
    </row>
    <row r="508">
      <c r="C508" s="79"/>
      <c r="D508" s="79"/>
      <c r="E508" s="79"/>
      <c r="M508" s="79"/>
      <c r="R508" s="79"/>
      <c r="S508" s="79"/>
      <c r="V508" s="79"/>
      <c r="W508" s="79"/>
      <c r="Z508" s="130"/>
      <c r="AB508" s="106"/>
    </row>
    <row r="509">
      <c r="C509" s="79"/>
      <c r="D509" s="79"/>
      <c r="E509" s="79"/>
      <c r="M509" s="79"/>
      <c r="R509" s="79"/>
      <c r="S509" s="79"/>
      <c r="V509" s="79"/>
      <c r="W509" s="79"/>
      <c r="Z509" s="130"/>
      <c r="AB509" s="106"/>
    </row>
    <row r="510">
      <c r="C510" s="79"/>
      <c r="D510" s="79"/>
      <c r="E510" s="79"/>
      <c r="M510" s="79"/>
      <c r="R510" s="79"/>
      <c r="S510" s="79"/>
      <c r="V510" s="79"/>
      <c r="W510" s="79"/>
      <c r="Z510" s="130"/>
      <c r="AB510" s="106"/>
    </row>
    <row r="511">
      <c r="C511" s="79"/>
      <c r="D511" s="79"/>
      <c r="E511" s="79"/>
      <c r="M511" s="79"/>
      <c r="R511" s="79"/>
      <c r="S511" s="79"/>
      <c r="V511" s="79"/>
      <c r="W511" s="79"/>
      <c r="Z511" s="130"/>
      <c r="AB511" s="106"/>
    </row>
    <row r="512">
      <c r="C512" s="79"/>
      <c r="D512" s="79"/>
      <c r="E512" s="79"/>
      <c r="M512" s="79"/>
      <c r="R512" s="79"/>
      <c r="S512" s="79"/>
      <c r="V512" s="79"/>
      <c r="W512" s="79"/>
      <c r="Z512" s="130"/>
      <c r="AB512" s="106"/>
    </row>
    <row r="513">
      <c r="C513" s="79"/>
      <c r="D513" s="79"/>
      <c r="E513" s="79"/>
      <c r="M513" s="79"/>
      <c r="R513" s="79"/>
      <c r="S513" s="79"/>
      <c r="V513" s="79"/>
      <c r="W513" s="79"/>
      <c r="Z513" s="130"/>
      <c r="AB513" s="106"/>
    </row>
    <row r="514">
      <c r="C514" s="79"/>
      <c r="D514" s="79"/>
      <c r="E514" s="79"/>
      <c r="M514" s="79"/>
      <c r="R514" s="79"/>
      <c r="S514" s="79"/>
      <c r="V514" s="79"/>
      <c r="W514" s="79"/>
      <c r="Z514" s="130"/>
      <c r="AB514" s="106"/>
    </row>
    <row r="515">
      <c r="C515" s="79"/>
      <c r="D515" s="79"/>
      <c r="E515" s="79"/>
      <c r="M515" s="79"/>
      <c r="R515" s="79"/>
      <c r="S515" s="79"/>
      <c r="V515" s="79"/>
      <c r="W515" s="79"/>
      <c r="Z515" s="130"/>
      <c r="AB515" s="106"/>
    </row>
    <row r="516">
      <c r="C516" s="79"/>
      <c r="D516" s="79"/>
      <c r="E516" s="79"/>
      <c r="M516" s="79"/>
      <c r="R516" s="79"/>
      <c r="S516" s="79"/>
      <c r="V516" s="79"/>
      <c r="W516" s="79"/>
      <c r="Z516" s="130"/>
      <c r="AB516" s="106"/>
    </row>
    <row r="517">
      <c r="C517" s="79"/>
      <c r="D517" s="79"/>
      <c r="E517" s="79"/>
      <c r="M517" s="79"/>
      <c r="R517" s="79"/>
      <c r="S517" s="79"/>
      <c r="V517" s="79"/>
      <c r="W517" s="79"/>
      <c r="Z517" s="130"/>
      <c r="AB517" s="106"/>
    </row>
    <row r="518">
      <c r="C518" s="79"/>
      <c r="D518" s="79"/>
      <c r="E518" s="79"/>
      <c r="M518" s="79"/>
      <c r="R518" s="79"/>
      <c r="S518" s="79"/>
      <c r="V518" s="79"/>
      <c r="W518" s="79"/>
      <c r="Z518" s="130"/>
      <c r="AB518" s="106"/>
    </row>
    <row r="519">
      <c r="C519" s="79"/>
      <c r="D519" s="79"/>
      <c r="E519" s="79"/>
      <c r="M519" s="79"/>
      <c r="R519" s="79"/>
      <c r="S519" s="79"/>
      <c r="V519" s="79"/>
      <c r="W519" s="79"/>
      <c r="Z519" s="130"/>
      <c r="AB519" s="106"/>
    </row>
    <row r="520">
      <c r="C520" s="79"/>
      <c r="D520" s="79"/>
      <c r="E520" s="79"/>
      <c r="M520" s="79"/>
      <c r="R520" s="79"/>
      <c r="S520" s="79"/>
      <c r="V520" s="79"/>
      <c r="W520" s="79"/>
      <c r="Z520" s="130"/>
      <c r="AB520" s="106"/>
    </row>
    <row r="521">
      <c r="C521" s="79"/>
      <c r="D521" s="79"/>
      <c r="E521" s="79"/>
      <c r="M521" s="79"/>
      <c r="R521" s="79"/>
      <c r="S521" s="79"/>
      <c r="V521" s="79"/>
      <c r="W521" s="79"/>
      <c r="Z521" s="130"/>
      <c r="AB521" s="106"/>
    </row>
    <row r="522">
      <c r="C522" s="79"/>
      <c r="D522" s="79"/>
      <c r="E522" s="79"/>
      <c r="M522" s="79"/>
      <c r="R522" s="79"/>
      <c r="S522" s="79"/>
      <c r="V522" s="79"/>
      <c r="W522" s="79"/>
      <c r="Z522" s="130"/>
      <c r="AB522" s="106"/>
    </row>
    <row r="523">
      <c r="C523" s="79"/>
      <c r="D523" s="79"/>
      <c r="E523" s="79"/>
      <c r="M523" s="79"/>
      <c r="R523" s="79"/>
      <c r="S523" s="79"/>
      <c r="V523" s="79"/>
      <c r="W523" s="79"/>
      <c r="Z523" s="130"/>
      <c r="AB523" s="106"/>
    </row>
    <row r="524">
      <c r="C524" s="79"/>
      <c r="D524" s="79"/>
      <c r="E524" s="79"/>
      <c r="M524" s="79"/>
      <c r="R524" s="79"/>
      <c r="S524" s="79"/>
      <c r="V524" s="79"/>
      <c r="W524" s="79"/>
      <c r="Z524" s="130"/>
      <c r="AB524" s="106"/>
    </row>
    <row r="525">
      <c r="C525" s="79"/>
      <c r="D525" s="79"/>
      <c r="E525" s="79"/>
      <c r="M525" s="79"/>
      <c r="R525" s="79"/>
      <c r="S525" s="79"/>
      <c r="V525" s="79"/>
      <c r="W525" s="79"/>
      <c r="Z525" s="130"/>
      <c r="AB525" s="106"/>
    </row>
    <row r="526">
      <c r="C526" s="79"/>
      <c r="D526" s="79"/>
      <c r="E526" s="79"/>
      <c r="M526" s="79"/>
      <c r="R526" s="79"/>
      <c r="S526" s="79"/>
      <c r="V526" s="79"/>
      <c r="W526" s="79"/>
      <c r="Z526" s="130"/>
      <c r="AB526" s="106"/>
    </row>
    <row r="527">
      <c r="C527" s="79"/>
      <c r="D527" s="79"/>
      <c r="E527" s="79"/>
      <c r="M527" s="79"/>
      <c r="R527" s="79"/>
      <c r="S527" s="79"/>
      <c r="V527" s="79"/>
      <c r="W527" s="79"/>
      <c r="Z527" s="130"/>
      <c r="AB527" s="106"/>
    </row>
    <row r="528">
      <c r="C528" s="79"/>
      <c r="D528" s="79"/>
      <c r="E528" s="79"/>
      <c r="M528" s="79"/>
      <c r="R528" s="79"/>
      <c r="S528" s="79"/>
      <c r="V528" s="79"/>
      <c r="W528" s="79"/>
      <c r="Z528" s="130"/>
      <c r="AB528" s="106"/>
    </row>
    <row r="529">
      <c r="C529" s="79"/>
      <c r="D529" s="79"/>
      <c r="E529" s="79"/>
      <c r="M529" s="79"/>
      <c r="R529" s="79"/>
      <c r="S529" s="79"/>
      <c r="V529" s="79"/>
      <c r="W529" s="79"/>
      <c r="Z529" s="130"/>
      <c r="AB529" s="106"/>
    </row>
    <row r="530">
      <c r="C530" s="79"/>
      <c r="D530" s="79"/>
      <c r="E530" s="79"/>
      <c r="M530" s="79"/>
      <c r="R530" s="79"/>
      <c r="S530" s="79"/>
      <c r="V530" s="79"/>
      <c r="W530" s="79"/>
      <c r="Z530" s="130"/>
      <c r="AB530" s="106"/>
    </row>
    <row r="531">
      <c r="C531" s="79"/>
      <c r="D531" s="79"/>
      <c r="E531" s="79"/>
      <c r="M531" s="79"/>
      <c r="R531" s="79"/>
      <c r="S531" s="79"/>
      <c r="V531" s="79"/>
      <c r="W531" s="79"/>
      <c r="Z531" s="130"/>
      <c r="AB531" s="106"/>
    </row>
    <row r="532">
      <c r="C532" s="79"/>
      <c r="D532" s="79"/>
      <c r="E532" s="79"/>
      <c r="M532" s="79"/>
      <c r="R532" s="79"/>
      <c r="S532" s="79"/>
      <c r="V532" s="79"/>
      <c r="W532" s="79"/>
      <c r="Z532" s="130"/>
      <c r="AB532" s="106"/>
    </row>
    <row r="533">
      <c r="C533" s="79"/>
      <c r="D533" s="79"/>
      <c r="E533" s="79"/>
      <c r="M533" s="79"/>
      <c r="R533" s="79"/>
      <c r="S533" s="79"/>
      <c r="V533" s="79"/>
      <c r="W533" s="79"/>
      <c r="Z533" s="130"/>
      <c r="AB533" s="106"/>
    </row>
    <row r="534">
      <c r="C534" s="79"/>
      <c r="D534" s="79"/>
      <c r="E534" s="79"/>
      <c r="M534" s="79"/>
      <c r="R534" s="79"/>
      <c r="S534" s="79"/>
      <c r="V534" s="79"/>
      <c r="W534" s="79"/>
      <c r="Z534" s="130"/>
      <c r="AB534" s="106"/>
    </row>
    <row r="535">
      <c r="C535" s="79"/>
      <c r="D535" s="79"/>
      <c r="E535" s="79"/>
      <c r="M535" s="79"/>
      <c r="R535" s="79"/>
      <c r="S535" s="79"/>
      <c r="V535" s="79"/>
      <c r="W535" s="79"/>
      <c r="Z535" s="130"/>
      <c r="AB535" s="106"/>
    </row>
    <row r="536">
      <c r="C536" s="79"/>
      <c r="D536" s="79"/>
      <c r="E536" s="79"/>
      <c r="M536" s="79"/>
      <c r="R536" s="79"/>
      <c r="S536" s="79"/>
      <c r="V536" s="79"/>
      <c r="W536" s="79"/>
      <c r="Z536" s="130"/>
      <c r="AB536" s="106"/>
    </row>
    <row r="537">
      <c r="C537" s="79"/>
      <c r="D537" s="79"/>
      <c r="E537" s="79"/>
      <c r="M537" s="79"/>
      <c r="R537" s="79"/>
      <c r="S537" s="79"/>
      <c r="V537" s="79"/>
      <c r="W537" s="79"/>
      <c r="Z537" s="130"/>
      <c r="AB537" s="106"/>
    </row>
    <row r="538">
      <c r="C538" s="79"/>
      <c r="D538" s="79"/>
      <c r="E538" s="79"/>
      <c r="M538" s="79"/>
      <c r="R538" s="79"/>
      <c r="S538" s="79"/>
      <c r="V538" s="79"/>
      <c r="W538" s="79"/>
      <c r="Z538" s="130"/>
      <c r="AB538" s="106"/>
    </row>
    <row r="539">
      <c r="C539" s="79"/>
      <c r="D539" s="79"/>
      <c r="E539" s="79"/>
      <c r="M539" s="79"/>
      <c r="R539" s="79"/>
      <c r="S539" s="79"/>
      <c r="V539" s="79"/>
      <c r="W539" s="79"/>
      <c r="Z539" s="130"/>
      <c r="AB539" s="106"/>
    </row>
    <row r="540">
      <c r="C540" s="79"/>
      <c r="D540" s="79"/>
      <c r="E540" s="79"/>
      <c r="M540" s="79"/>
      <c r="R540" s="79"/>
      <c r="S540" s="79"/>
      <c r="V540" s="79"/>
      <c r="W540" s="79"/>
      <c r="Z540" s="130"/>
      <c r="AB540" s="106"/>
    </row>
    <row r="541">
      <c r="C541" s="79"/>
      <c r="D541" s="79"/>
      <c r="E541" s="79"/>
      <c r="M541" s="79"/>
      <c r="R541" s="79"/>
      <c r="S541" s="79"/>
      <c r="V541" s="79"/>
      <c r="W541" s="79"/>
      <c r="Z541" s="130"/>
      <c r="AB541" s="106"/>
    </row>
    <row r="542">
      <c r="C542" s="79"/>
      <c r="D542" s="79"/>
      <c r="E542" s="79"/>
      <c r="M542" s="79"/>
      <c r="R542" s="79"/>
      <c r="S542" s="79"/>
      <c r="V542" s="79"/>
      <c r="W542" s="79"/>
      <c r="Z542" s="130"/>
      <c r="AB542" s="106"/>
    </row>
    <row r="543">
      <c r="C543" s="79"/>
      <c r="D543" s="79"/>
      <c r="E543" s="79"/>
      <c r="M543" s="79"/>
      <c r="R543" s="79"/>
      <c r="S543" s="79"/>
      <c r="V543" s="79"/>
      <c r="W543" s="79"/>
      <c r="Z543" s="130"/>
      <c r="AB543" s="106"/>
    </row>
    <row r="544">
      <c r="C544" s="79"/>
      <c r="D544" s="79"/>
      <c r="E544" s="79"/>
      <c r="M544" s="79"/>
      <c r="R544" s="79"/>
      <c r="S544" s="79"/>
      <c r="V544" s="79"/>
      <c r="W544" s="79"/>
      <c r="Z544" s="130"/>
      <c r="AB544" s="106"/>
    </row>
    <row r="545">
      <c r="C545" s="79"/>
      <c r="D545" s="79"/>
      <c r="E545" s="79"/>
      <c r="M545" s="79"/>
      <c r="R545" s="79"/>
      <c r="S545" s="79"/>
      <c r="V545" s="79"/>
      <c r="W545" s="79"/>
      <c r="Z545" s="130"/>
      <c r="AB545" s="106"/>
    </row>
    <row r="546">
      <c r="C546" s="79"/>
      <c r="D546" s="79"/>
      <c r="E546" s="79"/>
      <c r="M546" s="79"/>
      <c r="R546" s="79"/>
      <c r="S546" s="79"/>
      <c r="V546" s="79"/>
      <c r="W546" s="79"/>
      <c r="Z546" s="130"/>
      <c r="AB546" s="106"/>
    </row>
    <row r="547">
      <c r="C547" s="79"/>
      <c r="D547" s="79"/>
      <c r="E547" s="79"/>
      <c r="M547" s="79"/>
      <c r="R547" s="79"/>
      <c r="S547" s="79"/>
      <c r="V547" s="79"/>
      <c r="W547" s="79"/>
      <c r="Z547" s="130"/>
      <c r="AB547" s="106"/>
    </row>
    <row r="548">
      <c r="C548" s="79"/>
      <c r="D548" s="79"/>
      <c r="E548" s="79"/>
      <c r="M548" s="79"/>
      <c r="R548" s="79"/>
      <c r="S548" s="79"/>
      <c r="V548" s="79"/>
      <c r="W548" s="79"/>
      <c r="Z548" s="130"/>
      <c r="AB548" s="106"/>
    </row>
    <row r="549">
      <c r="C549" s="79"/>
      <c r="D549" s="79"/>
      <c r="E549" s="79"/>
      <c r="M549" s="79"/>
      <c r="R549" s="79"/>
      <c r="S549" s="79"/>
      <c r="V549" s="79"/>
      <c r="W549" s="79"/>
      <c r="Z549" s="130"/>
      <c r="AB549" s="106"/>
    </row>
    <row r="550">
      <c r="C550" s="79"/>
      <c r="D550" s="79"/>
      <c r="E550" s="79"/>
      <c r="M550" s="79"/>
      <c r="R550" s="79"/>
      <c r="S550" s="79"/>
      <c r="V550" s="79"/>
      <c r="W550" s="79"/>
      <c r="Z550" s="130"/>
      <c r="AB550" s="106"/>
    </row>
    <row r="551">
      <c r="C551" s="79"/>
      <c r="D551" s="79"/>
      <c r="E551" s="79"/>
      <c r="M551" s="79"/>
      <c r="R551" s="79"/>
      <c r="S551" s="79"/>
      <c r="V551" s="79"/>
      <c r="W551" s="79"/>
      <c r="Z551" s="130"/>
      <c r="AB551" s="106"/>
    </row>
    <row r="552">
      <c r="C552" s="79"/>
      <c r="D552" s="79"/>
      <c r="E552" s="79"/>
      <c r="M552" s="79"/>
      <c r="R552" s="79"/>
      <c r="S552" s="79"/>
      <c r="V552" s="79"/>
      <c r="W552" s="79"/>
      <c r="Z552" s="130"/>
      <c r="AB552" s="106"/>
    </row>
    <row r="553">
      <c r="C553" s="79"/>
      <c r="D553" s="79"/>
      <c r="E553" s="79"/>
      <c r="M553" s="79"/>
      <c r="R553" s="79"/>
      <c r="S553" s="79"/>
      <c r="V553" s="79"/>
      <c r="W553" s="79"/>
      <c r="Z553" s="130"/>
      <c r="AB553" s="106"/>
    </row>
    <row r="554">
      <c r="C554" s="79"/>
      <c r="D554" s="79"/>
      <c r="E554" s="79"/>
      <c r="M554" s="79"/>
      <c r="R554" s="79"/>
      <c r="S554" s="79"/>
      <c r="V554" s="79"/>
      <c r="W554" s="79"/>
      <c r="Z554" s="130"/>
      <c r="AB554" s="106"/>
    </row>
    <row r="555">
      <c r="C555" s="79"/>
      <c r="D555" s="79"/>
      <c r="E555" s="79"/>
      <c r="M555" s="79"/>
      <c r="R555" s="79"/>
      <c r="S555" s="79"/>
      <c r="V555" s="79"/>
      <c r="W555" s="79"/>
      <c r="Z555" s="130"/>
      <c r="AB555" s="106"/>
    </row>
    <row r="556">
      <c r="C556" s="79"/>
      <c r="D556" s="79"/>
      <c r="E556" s="79"/>
      <c r="M556" s="79"/>
      <c r="R556" s="79"/>
      <c r="S556" s="79"/>
      <c r="V556" s="79"/>
      <c r="W556" s="79"/>
      <c r="Z556" s="130"/>
      <c r="AB556" s="106"/>
    </row>
    <row r="557">
      <c r="C557" s="79"/>
      <c r="D557" s="79"/>
      <c r="E557" s="79"/>
      <c r="M557" s="79"/>
      <c r="R557" s="79"/>
      <c r="S557" s="79"/>
      <c r="V557" s="79"/>
      <c r="W557" s="79"/>
      <c r="Z557" s="130"/>
      <c r="AB557" s="106"/>
    </row>
    <row r="558">
      <c r="C558" s="79"/>
      <c r="D558" s="79"/>
      <c r="E558" s="79"/>
      <c r="M558" s="79"/>
      <c r="R558" s="79"/>
      <c r="S558" s="79"/>
      <c r="V558" s="79"/>
      <c r="W558" s="79"/>
      <c r="Z558" s="130"/>
      <c r="AB558" s="106"/>
    </row>
    <row r="559">
      <c r="C559" s="79"/>
      <c r="D559" s="79"/>
      <c r="E559" s="79"/>
      <c r="M559" s="79"/>
      <c r="R559" s="79"/>
      <c r="S559" s="79"/>
      <c r="V559" s="79"/>
      <c r="W559" s="79"/>
      <c r="Z559" s="130"/>
      <c r="AB559" s="106"/>
    </row>
    <row r="560">
      <c r="C560" s="79"/>
      <c r="D560" s="79"/>
      <c r="E560" s="79"/>
      <c r="M560" s="79"/>
      <c r="R560" s="79"/>
      <c r="S560" s="79"/>
      <c r="V560" s="79"/>
      <c r="W560" s="79"/>
      <c r="Z560" s="130"/>
      <c r="AB560" s="106"/>
    </row>
    <row r="561">
      <c r="C561" s="79"/>
      <c r="D561" s="79"/>
      <c r="E561" s="79"/>
      <c r="M561" s="79"/>
      <c r="R561" s="79"/>
      <c r="S561" s="79"/>
      <c r="V561" s="79"/>
      <c r="W561" s="79"/>
      <c r="Z561" s="130"/>
      <c r="AB561" s="106"/>
    </row>
    <row r="562">
      <c r="C562" s="79"/>
      <c r="D562" s="79"/>
      <c r="E562" s="79"/>
      <c r="M562" s="79"/>
      <c r="R562" s="79"/>
      <c r="S562" s="79"/>
      <c r="V562" s="79"/>
      <c r="W562" s="79"/>
      <c r="Z562" s="130"/>
      <c r="AB562" s="106"/>
    </row>
    <row r="563">
      <c r="C563" s="79"/>
      <c r="D563" s="79"/>
      <c r="E563" s="79"/>
      <c r="M563" s="79"/>
      <c r="R563" s="79"/>
      <c r="S563" s="79"/>
      <c r="V563" s="79"/>
      <c r="W563" s="79"/>
      <c r="Z563" s="130"/>
      <c r="AB563" s="106"/>
    </row>
    <row r="564">
      <c r="C564" s="79"/>
      <c r="D564" s="79"/>
      <c r="E564" s="79"/>
      <c r="M564" s="79"/>
      <c r="R564" s="79"/>
      <c r="S564" s="79"/>
      <c r="V564" s="79"/>
      <c r="W564" s="79"/>
      <c r="Z564" s="130"/>
      <c r="AB564" s="106"/>
    </row>
    <row r="565">
      <c r="C565" s="79"/>
      <c r="D565" s="79"/>
      <c r="E565" s="79"/>
      <c r="M565" s="79"/>
      <c r="R565" s="79"/>
      <c r="S565" s="79"/>
      <c r="V565" s="79"/>
      <c r="W565" s="79"/>
      <c r="Z565" s="130"/>
      <c r="AB565" s="106"/>
    </row>
    <row r="566">
      <c r="C566" s="79"/>
      <c r="D566" s="79"/>
      <c r="E566" s="79"/>
      <c r="M566" s="79"/>
      <c r="R566" s="79"/>
      <c r="S566" s="79"/>
      <c r="V566" s="79"/>
      <c r="W566" s="79"/>
      <c r="Z566" s="130"/>
      <c r="AB566" s="106"/>
    </row>
    <row r="567">
      <c r="C567" s="79"/>
      <c r="D567" s="79"/>
      <c r="E567" s="79"/>
      <c r="M567" s="79"/>
      <c r="R567" s="79"/>
      <c r="S567" s="79"/>
      <c r="V567" s="79"/>
      <c r="W567" s="79"/>
      <c r="Z567" s="130"/>
      <c r="AB567" s="106"/>
    </row>
    <row r="568">
      <c r="C568" s="79"/>
      <c r="D568" s="79"/>
      <c r="E568" s="79"/>
      <c r="M568" s="79"/>
      <c r="R568" s="79"/>
      <c r="S568" s="79"/>
      <c r="V568" s="79"/>
      <c r="W568" s="79"/>
      <c r="Z568" s="130"/>
      <c r="AB568" s="106"/>
    </row>
    <row r="569">
      <c r="C569" s="79"/>
      <c r="D569" s="79"/>
      <c r="E569" s="79"/>
      <c r="M569" s="79"/>
      <c r="R569" s="79"/>
      <c r="S569" s="79"/>
      <c r="V569" s="79"/>
      <c r="W569" s="79"/>
      <c r="Z569" s="130"/>
      <c r="AB569" s="106"/>
    </row>
    <row r="570">
      <c r="C570" s="79"/>
      <c r="D570" s="79"/>
      <c r="E570" s="79"/>
      <c r="M570" s="79"/>
      <c r="R570" s="79"/>
      <c r="S570" s="79"/>
      <c r="V570" s="79"/>
      <c r="W570" s="79"/>
      <c r="Z570" s="130"/>
      <c r="AB570" s="106"/>
    </row>
    <row r="571">
      <c r="C571" s="79"/>
      <c r="D571" s="79"/>
      <c r="E571" s="79"/>
      <c r="M571" s="79"/>
      <c r="R571" s="79"/>
      <c r="S571" s="79"/>
      <c r="V571" s="79"/>
      <c r="W571" s="79"/>
      <c r="Z571" s="130"/>
      <c r="AB571" s="106"/>
    </row>
    <row r="572">
      <c r="C572" s="79"/>
      <c r="D572" s="79"/>
      <c r="E572" s="79"/>
      <c r="M572" s="79"/>
      <c r="R572" s="79"/>
      <c r="S572" s="79"/>
      <c r="V572" s="79"/>
      <c r="W572" s="79"/>
      <c r="Z572" s="130"/>
      <c r="AB572" s="106"/>
    </row>
    <row r="573">
      <c r="C573" s="79"/>
      <c r="D573" s="79"/>
      <c r="E573" s="79"/>
      <c r="M573" s="79"/>
      <c r="R573" s="79"/>
      <c r="S573" s="79"/>
      <c r="V573" s="79"/>
      <c r="W573" s="79"/>
      <c r="Z573" s="130"/>
      <c r="AB573" s="106"/>
    </row>
    <row r="574">
      <c r="C574" s="79"/>
      <c r="D574" s="79"/>
      <c r="E574" s="79"/>
      <c r="M574" s="79"/>
      <c r="R574" s="79"/>
      <c r="S574" s="79"/>
      <c r="V574" s="79"/>
      <c r="W574" s="79"/>
      <c r="Z574" s="130"/>
      <c r="AB574" s="106"/>
    </row>
    <row r="575">
      <c r="C575" s="79"/>
      <c r="D575" s="79"/>
      <c r="E575" s="79"/>
      <c r="M575" s="79"/>
      <c r="R575" s="79"/>
      <c r="S575" s="79"/>
      <c r="V575" s="79"/>
      <c r="W575" s="79"/>
      <c r="Z575" s="130"/>
      <c r="AB575" s="106"/>
    </row>
    <row r="576">
      <c r="C576" s="79"/>
      <c r="D576" s="79"/>
      <c r="E576" s="79"/>
      <c r="M576" s="79"/>
      <c r="R576" s="79"/>
      <c r="S576" s="79"/>
      <c r="V576" s="79"/>
      <c r="W576" s="79"/>
      <c r="Z576" s="130"/>
      <c r="AB576" s="106"/>
    </row>
    <row r="577">
      <c r="C577" s="79"/>
      <c r="D577" s="79"/>
      <c r="E577" s="79"/>
      <c r="M577" s="79"/>
      <c r="R577" s="79"/>
      <c r="S577" s="79"/>
      <c r="V577" s="79"/>
      <c r="W577" s="79"/>
      <c r="Z577" s="130"/>
      <c r="AB577" s="106"/>
    </row>
    <row r="578">
      <c r="C578" s="79"/>
      <c r="D578" s="79"/>
      <c r="E578" s="79"/>
      <c r="M578" s="79"/>
      <c r="R578" s="79"/>
      <c r="S578" s="79"/>
      <c r="V578" s="79"/>
      <c r="W578" s="79"/>
      <c r="Z578" s="130"/>
      <c r="AB578" s="106"/>
    </row>
    <row r="579">
      <c r="C579" s="79"/>
      <c r="D579" s="79"/>
      <c r="E579" s="79"/>
      <c r="M579" s="79"/>
      <c r="R579" s="79"/>
      <c r="S579" s="79"/>
      <c r="V579" s="79"/>
      <c r="W579" s="79"/>
      <c r="Z579" s="130"/>
      <c r="AB579" s="106"/>
    </row>
    <row r="580">
      <c r="C580" s="79"/>
      <c r="D580" s="79"/>
      <c r="E580" s="79"/>
      <c r="M580" s="79"/>
      <c r="R580" s="79"/>
      <c r="S580" s="79"/>
      <c r="V580" s="79"/>
      <c r="W580" s="79"/>
      <c r="Z580" s="130"/>
      <c r="AB580" s="106"/>
    </row>
    <row r="581">
      <c r="C581" s="79"/>
      <c r="D581" s="79"/>
      <c r="E581" s="79"/>
      <c r="M581" s="79"/>
      <c r="R581" s="79"/>
      <c r="S581" s="79"/>
      <c r="V581" s="79"/>
      <c r="W581" s="79"/>
      <c r="Z581" s="130"/>
      <c r="AB581" s="106"/>
    </row>
    <row r="582">
      <c r="C582" s="79"/>
      <c r="D582" s="79"/>
      <c r="E582" s="79"/>
      <c r="M582" s="79"/>
      <c r="R582" s="79"/>
      <c r="S582" s="79"/>
      <c r="V582" s="79"/>
      <c r="W582" s="79"/>
      <c r="Z582" s="130"/>
      <c r="AB582" s="106"/>
    </row>
    <row r="583">
      <c r="C583" s="79"/>
      <c r="D583" s="79"/>
      <c r="E583" s="79"/>
      <c r="M583" s="79"/>
      <c r="R583" s="79"/>
      <c r="S583" s="79"/>
      <c r="V583" s="79"/>
      <c r="W583" s="79"/>
      <c r="Z583" s="130"/>
      <c r="AB583" s="106"/>
    </row>
    <row r="584">
      <c r="C584" s="79"/>
      <c r="D584" s="79"/>
      <c r="E584" s="79"/>
      <c r="M584" s="79"/>
      <c r="R584" s="79"/>
      <c r="S584" s="79"/>
      <c r="V584" s="79"/>
      <c r="W584" s="79"/>
      <c r="Z584" s="130"/>
      <c r="AB584" s="106"/>
    </row>
    <row r="585">
      <c r="C585" s="79"/>
      <c r="D585" s="79"/>
      <c r="E585" s="79"/>
      <c r="M585" s="79"/>
      <c r="R585" s="79"/>
      <c r="S585" s="79"/>
      <c r="V585" s="79"/>
      <c r="W585" s="79"/>
      <c r="Z585" s="130"/>
      <c r="AB585" s="106"/>
    </row>
    <row r="586">
      <c r="C586" s="79"/>
      <c r="D586" s="79"/>
      <c r="E586" s="79"/>
      <c r="M586" s="79"/>
      <c r="R586" s="79"/>
      <c r="S586" s="79"/>
      <c r="V586" s="79"/>
      <c r="W586" s="79"/>
      <c r="Z586" s="130"/>
      <c r="AB586" s="106"/>
    </row>
    <row r="587">
      <c r="C587" s="79"/>
      <c r="D587" s="79"/>
      <c r="E587" s="79"/>
      <c r="M587" s="79"/>
      <c r="R587" s="79"/>
      <c r="S587" s="79"/>
      <c r="V587" s="79"/>
      <c r="W587" s="79"/>
      <c r="Z587" s="130"/>
      <c r="AB587" s="106"/>
    </row>
    <row r="588">
      <c r="C588" s="79"/>
      <c r="D588" s="79"/>
      <c r="E588" s="79"/>
      <c r="M588" s="79"/>
      <c r="R588" s="79"/>
      <c r="S588" s="79"/>
      <c r="V588" s="79"/>
      <c r="W588" s="79"/>
      <c r="Z588" s="130"/>
      <c r="AB588" s="106"/>
    </row>
    <row r="589">
      <c r="C589" s="79"/>
      <c r="D589" s="79"/>
      <c r="E589" s="79"/>
      <c r="M589" s="79"/>
      <c r="R589" s="79"/>
      <c r="S589" s="79"/>
      <c r="V589" s="79"/>
      <c r="W589" s="79"/>
      <c r="Z589" s="130"/>
      <c r="AB589" s="106"/>
    </row>
    <row r="590">
      <c r="C590" s="79"/>
      <c r="D590" s="79"/>
      <c r="E590" s="79"/>
      <c r="M590" s="79"/>
      <c r="R590" s="79"/>
      <c r="S590" s="79"/>
      <c r="V590" s="79"/>
      <c r="W590" s="79"/>
      <c r="Z590" s="130"/>
      <c r="AB590" s="106"/>
    </row>
    <row r="591">
      <c r="C591" s="79"/>
      <c r="D591" s="79"/>
      <c r="E591" s="79"/>
      <c r="M591" s="79"/>
      <c r="R591" s="79"/>
      <c r="S591" s="79"/>
      <c r="V591" s="79"/>
      <c r="W591" s="79"/>
      <c r="Z591" s="130"/>
      <c r="AB591" s="106"/>
    </row>
    <row r="592">
      <c r="C592" s="79"/>
      <c r="D592" s="79"/>
      <c r="E592" s="79"/>
      <c r="M592" s="79"/>
      <c r="R592" s="79"/>
      <c r="S592" s="79"/>
      <c r="V592" s="79"/>
      <c r="W592" s="79"/>
      <c r="Z592" s="130"/>
      <c r="AB592" s="106"/>
    </row>
    <row r="593">
      <c r="C593" s="79"/>
      <c r="D593" s="79"/>
      <c r="E593" s="79"/>
      <c r="M593" s="79"/>
      <c r="R593" s="79"/>
      <c r="S593" s="79"/>
      <c r="V593" s="79"/>
      <c r="W593" s="79"/>
      <c r="Z593" s="130"/>
      <c r="AB593" s="106"/>
    </row>
    <row r="594">
      <c r="C594" s="79"/>
      <c r="D594" s="79"/>
      <c r="E594" s="79"/>
      <c r="M594" s="79"/>
      <c r="R594" s="79"/>
      <c r="S594" s="79"/>
      <c r="V594" s="79"/>
      <c r="W594" s="79"/>
      <c r="Z594" s="130"/>
      <c r="AB594" s="106"/>
    </row>
    <row r="595">
      <c r="C595" s="79"/>
      <c r="D595" s="79"/>
      <c r="E595" s="79"/>
      <c r="M595" s="79"/>
      <c r="R595" s="79"/>
      <c r="S595" s="79"/>
      <c r="V595" s="79"/>
      <c r="W595" s="79"/>
      <c r="Z595" s="130"/>
      <c r="AB595" s="106"/>
    </row>
    <row r="596">
      <c r="C596" s="79"/>
      <c r="D596" s="79"/>
      <c r="E596" s="79"/>
      <c r="M596" s="79"/>
      <c r="R596" s="79"/>
      <c r="S596" s="79"/>
      <c r="V596" s="79"/>
      <c r="W596" s="79"/>
      <c r="Z596" s="130"/>
      <c r="AB596" s="106"/>
    </row>
    <row r="597">
      <c r="C597" s="79"/>
      <c r="D597" s="79"/>
      <c r="E597" s="79"/>
      <c r="M597" s="79"/>
      <c r="R597" s="79"/>
      <c r="S597" s="79"/>
      <c r="V597" s="79"/>
      <c r="W597" s="79"/>
      <c r="Z597" s="130"/>
      <c r="AB597" s="106"/>
    </row>
    <row r="598">
      <c r="C598" s="79"/>
      <c r="D598" s="79"/>
      <c r="E598" s="79"/>
      <c r="M598" s="79"/>
      <c r="R598" s="79"/>
      <c r="S598" s="79"/>
      <c r="V598" s="79"/>
      <c r="W598" s="79"/>
      <c r="Z598" s="130"/>
      <c r="AB598" s="106"/>
    </row>
    <row r="599">
      <c r="C599" s="79"/>
      <c r="D599" s="79"/>
      <c r="E599" s="79"/>
      <c r="M599" s="79"/>
      <c r="R599" s="79"/>
      <c r="S599" s="79"/>
      <c r="V599" s="79"/>
      <c r="W599" s="79"/>
      <c r="Z599" s="130"/>
      <c r="AB599" s="106"/>
    </row>
    <row r="600">
      <c r="C600" s="79"/>
      <c r="D600" s="79"/>
      <c r="E600" s="79"/>
      <c r="M600" s="79"/>
      <c r="R600" s="79"/>
      <c r="S600" s="79"/>
      <c r="V600" s="79"/>
      <c r="W600" s="79"/>
      <c r="Z600" s="130"/>
      <c r="AB600" s="106"/>
    </row>
    <row r="601">
      <c r="C601" s="79"/>
      <c r="D601" s="79"/>
      <c r="E601" s="79"/>
      <c r="M601" s="79"/>
      <c r="R601" s="79"/>
      <c r="S601" s="79"/>
      <c r="V601" s="79"/>
      <c r="W601" s="79"/>
      <c r="Z601" s="130"/>
      <c r="AB601" s="106"/>
    </row>
    <row r="602">
      <c r="C602" s="79"/>
      <c r="D602" s="79"/>
      <c r="E602" s="79"/>
      <c r="M602" s="79"/>
      <c r="R602" s="79"/>
      <c r="S602" s="79"/>
      <c r="V602" s="79"/>
      <c r="W602" s="79"/>
      <c r="Z602" s="130"/>
      <c r="AB602" s="106"/>
    </row>
    <row r="603">
      <c r="C603" s="79"/>
      <c r="D603" s="79"/>
      <c r="E603" s="79"/>
      <c r="M603" s="79"/>
      <c r="R603" s="79"/>
      <c r="S603" s="79"/>
      <c r="V603" s="79"/>
      <c r="W603" s="79"/>
      <c r="Z603" s="130"/>
      <c r="AB603" s="106"/>
    </row>
    <row r="604">
      <c r="C604" s="79"/>
      <c r="D604" s="79"/>
      <c r="E604" s="79"/>
      <c r="M604" s="79"/>
      <c r="R604" s="79"/>
      <c r="S604" s="79"/>
      <c r="V604" s="79"/>
      <c r="W604" s="79"/>
      <c r="Z604" s="130"/>
      <c r="AB604" s="106"/>
    </row>
    <row r="605">
      <c r="C605" s="79"/>
      <c r="D605" s="79"/>
      <c r="E605" s="79"/>
      <c r="M605" s="79"/>
      <c r="R605" s="79"/>
      <c r="S605" s="79"/>
      <c r="V605" s="79"/>
      <c r="W605" s="79"/>
      <c r="Z605" s="130"/>
      <c r="AB605" s="106"/>
    </row>
    <row r="606">
      <c r="C606" s="79"/>
      <c r="D606" s="79"/>
      <c r="E606" s="79"/>
      <c r="M606" s="79"/>
      <c r="R606" s="79"/>
      <c r="S606" s="79"/>
      <c r="V606" s="79"/>
      <c r="W606" s="79"/>
      <c r="Z606" s="130"/>
      <c r="AB606" s="106"/>
    </row>
    <row r="607">
      <c r="C607" s="79"/>
      <c r="D607" s="79"/>
      <c r="E607" s="79"/>
      <c r="M607" s="79"/>
      <c r="R607" s="79"/>
      <c r="S607" s="79"/>
      <c r="V607" s="79"/>
      <c r="W607" s="79"/>
      <c r="Z607" s="130"/>
      <c r="AB607" s="106"/>
    </row>
    <row r="608">
      <c r="C608" s="79"/>
      <c r="D608" s="79"/>
      <c r="E608" s="79"/>
      <c r="M608" s="79"/>
      <c r="R608" s="79"/>
      <c r="S608" s="79"/>
      <c r="V608" s="79"/>
      <c r="W608" s="79"/>
      <c r="Z608" s="130"/>
      <c r="AB608" s="106"/>
    </row>
    <row r="609">
      <c r="C609" s="79"/>
      <c r="D609" s="79"/>
      <c r="E609" s="79"/>
      <c r="M609" s="79"/>
      <c r="R609" s="79"/>
      <c r="S609" s="79"/>
      <c r="V609" s="79"/>
      <c r="W609" s="79"/>
      <c r="Z609" s="130"/>
      <c r="AB609" s="106"/>
    </row>
    <row r="610">
      <c r="C610" s="79"/>
      <c r="D610" s="79"/>
      <c r="E610" s="79"/>
      <c r="M610" s="79"/>
      <c r="R610" s="79"/>
      <c r="S610" s="79"/>
      <c r="V610" s="79"/>
      <c r="W610" s="79"/>
      <c r="Z610" s="130"/>
      <c r="AB610" s="106"/>
    </row>
    <row r="611">
      <c r="C611" s="79"/>
      <c r="D611" s="79"/>
      <c r="E611" s="79"/>
      <c r="M611" s="79"/>
      <c r="R611" s="79"/>
      <c r="S611" s="79"/>
      <c r="V611" s="79"/>
      <c r="W611" s="79"/>
      <c r="Z611" s="130"/>
      <c r="AB611" s="106"/>
    </row>
    <row r="612">
      <c r="C612" s="79"/>
      <c r="D612" s="79"/>
      <c r="E612" s="79"/>
      <c r="M612" s="79"/>
      <c r="R612" s="79"/>
      <c r="S612" s="79"/>
      <c r="V612" s="79"/>
      <c r="W612" s="79"/>
      <c r="Z612" s="130"/>
      <c r="AB612" s="106"/>
    </row>
    <row r="613">
      <c r="C613" s="79"/>
      <c r="D613" s="79"/>
      <c r="E613" s="79"/>
      <c r="M613" s="79"/>
      <c r="R613" s="79"/>
      <c r="S613" s="79"/>
      <c r="V613" s="79"/>
      <c r="W613" s="79"/>
      <c r="Z613" s="130"/>
      <c r="AB613" s="106"/>
    </row>
    <row r="614">
      <c r="C614" s="79"/>
      <c r="D614" s="79"/>
      <c r="E614" s="79"/>
      <c r="M614" s="79"/>
      <c r="R614" s="79"/>
      <c r="S614" s="79"/>
      <c r="V614" s="79"/>
      <c r="W614" s="79"/>
      <c r="Z614" s="130"/>
      <c r="AB614" s="106"/>
    </row>
    <row r="615">
      <c r="C615" s="79"/>
      <c r="D615" s="79"/>
      <c r="E615" s="79"/>
      <c r="M615" s="79"/>
      <c r="R615" s="79"/>
      <c r="S615" s="79"/>
      <c r="V615" s="79"/>
      <c r="W615" s="79"/>
      <c r="Z615" s="130"/>
      <c r="AB615" s="106"/>
    </row>
    <row r="616">
      <c r="C616" s="79"/>
      <c r="D616" s="79"/>
      <c r="E616" s="79"/>
      <c r="M616" s="79"/>
      <c r="R616" s="79"/>
      <c r="S616" s="79"/>
      <c r="V616" s="79"/>
      <c r="W616" s="79"/>
      <c r="Z616" s="130"/>
      <c r="AB616" s="106"/>
    </row>
    <row r="617">
      <c r="C617" s="79"/>
      <c r="D617" s="79"/>
      <c r="E617" s="79"/>
      <c r="M617" s="79"/>
      <c r="R617" s="79"/>
      <c r="S617" s="79"/>
      <c r="V617" s="79"/>
      <c r="W617" s="79"/>
      <c r="Z617" s="130"/>
      <c r="AB617" s="106"/>
    </row>
    <row r="618">
      <c r="C618" s="79"/>
      <c r="D618" s="79"/>
      <c r="E618" s="79"/>
      <c r="M618" s="79"/>
      <c r="R618" s="79"/>
      <c r="S618" s="79"/>
      <c r="V618" s="79"/>
      <c r="W618" s="79"/>
      <c r="Z618" s="130"/>
      <c r="AB618" s="106"/>
    </row>
    <row r="619">
      <c r="C619" s="79"/>
      <c r="D619" s="79"/>
      <c r="E619" s="79"/>
      <c r="M619" s="79"/>
      <c r="R619" s="79"/>
      <c r="S619" s="79"/>
      <c r="V619" s="79"/>
      <c r="W619" s="79"/>
      <c r="Z619" s="130"/>
      <c r="AB619" s="106"/>
    </row>
    <row r="620">
      <c r="C620" s="79"/>
      <c r="D620" s="79"/>
      <c r="E620" s="79"/>
      <c r="M620" s="79"/>
      <c r="R620" s="79"/>
      <c r="S620" s="79"/>
      <c r="V620" s="79"/>
      <c r="W620" s="79"/>
      <c r="Z620" s="130"/>
      <c r="AB620" s="106"/>
    </row>
    <row r="621">
      <c r="C621" s="79"/>
      <c r="D621" s="79"/>
      <c r="E621" s="79"/>
      <c r="M621" s="79"/>
      <c r="R621" s="79"/>
      <c r="S621" s="79"/>
      <c r="V621" s="79"/>
      <c r="W621" s="79"/>
      <c r="Z621" s="130"/>
      <c r="AB621" s="106"/>
    </row>
    <row r="622">
      <c r="C622" s="79"/>
      <c r="D622" s="79"/>
      <c r="E622" s="79"/>
      <c r="M622" s="79"/>
      <c r="R622" s="79"/>
      <c r="S622" s="79"/>
      <c r="V622" s="79"/>
      <c r="W622" s="79"/>
      <c r="Z622" s="130"/>
      <c r="AB622" s="106"/>
    </row>
    <row r="623">
      <c r="C623" s="79"/>
      <c r="D623" s="79"/>
      <c r="E623" s="79"/>
      <c r="M623" s="79"/>
      <c r="R623" s="79"/>
      <c r="S623" s="79"/>
      <c r="V623" s="79"/>
      <c r="W623" s="79"/>
      <c r="Z623" s="130"/>
      <c r="AB623" s="106"/>
    </row>
    <row r="624">
      <c r="C624" s="79"/>
      <c r="D624" s="79"/>
      <c r="E624" s="79"/>
      <c r="M624" s="79"/>
      <c r="R624" s="79"/>
      <c r="S624" s="79"/>
      <c r="V624" s="79"/>
      <c r="W624" s="79"/>
      <c r="Z624" s="130"/>
      <c r="AB624" s="106"/>
    </row>
    <row r="625">
      <c r="C625" s="79"/>
      <c r="D625" s="79"/>
      <c r="E625" s="79"/>
      <c r="M625" s="79"/>
      <c r="R625" s="79"/>
      <c r="S625" s="79"/>
      <c r="V625" s="79"/>
      <c r="W625" s="79"/>
      <c r="Z625" s="130"/>
      <c r="AB625" s="106"/>
    </row>
    <row r="626">
      <c r="C626" s="79"/>
      <c r="D626" s="79"/>
      <c r="E626" s="79"/>
      <c r="M626" s="79"/>
      <c r="R626" s="79"/>
      <c r="S626" s="79"/>
      <c r="V626" s="79"/>
      <c r="W626" s="79"/>
      <c r="Z626" s="130"/>
      <c r="AB626" s="106"/>
    </row>
    <row r="627">
      <c r="C627" s="79"/>
      <c r="D627" s="79"/>
      <c r="E627" s="79"/>
      <c r="M627" s="79"/>
      <c r="R627" s="79"/>
      <c r="S627" s="79"/>
      <c r="V627" s="79"/>
      <c r="W627" s="79"/>
      <c r="Z627" s="130"/>
      <c r="AB627" s="106"/>
    </row>
    <row r="628">
      <c r="C628" s="79"/>
      <c r="D628" s="79"/>
      <c r="E628" s="79"/>
      <c r="M628" s="79"/>
      <c r="R628" s="79"/>
      <c r="S628" s="79"/>
      <c r="V628" s="79"/>
      <c r="W628" s="79"/>
      <c r="Z628" s="130"/>
      <c r="AB628" s="106"/>
    </row>
    <row r="629">
      <c r="C629" s="79"/>
      <c r="D629" s="79"/>
      <c r="E629" s="79"/>
      <c r="M629" s="79"/>
      <c r="R629" s="79"/>
      <c r="S629" s="79"/>
      <c r="V629" s="79"/>
      <c r="W629" s="79"/>
      <c r="Z629" s="130"/>
      <c r="AB629" s="106"/>
    </row>
    <row r="630">
      <c r="C630" s="79"/>
      <c r="D630" s="79"/>
      <c r="E630" s="79"/>
      <c r="M630" s="79"/>
      <c r="R630" s="79"/>
      <c r="S630" s="79"/>
      <c r="V630" s="79"/>
      <c r="W630" s="79"/>
      <c r="Z630" s="130"/>
      <c r="AB630" s="106"/>
    </row>
    <row r="631">
      <c r="C631" s="79"/>
      <c r="D631" s="79"/>
      <c r="E631" s="79"/>
      <c r="M631" s="79"/>
      <c r="R631" s="79"/>
      <c r="S631" s="79"/>
      <c r="V631" s="79"/>
      <c r="W631" s="79"/>
      <c r="Z631" s="130"/>
      <c r="AB631" s="106"/>
    </row>
    <row r="632">
      <c r="C632" s="79"/>
      <c r="D632" s="79"/>
      <c r="E632" s="79"/>
      <c r="M632" s="79"/>
      <c r="R632" s="79"/>
      <c r="S632" s="79"/>
      <c r="V632" s="79"/>
      <c r="W632" s="79"/>
      <c r="Z632" s="130"/>
      <c r="AB632" s="106"/>
    </row>
    <row r="633">
      <c r="C633" s="79"/>
      <c r="D633" s="79"/>
      <c r="E633" s="79"/>
      <c r="M633" s="79"/>
      <c r="R633" s="79"/>
      <c r="S633" s="79"/>
      <c r="V633" s="79"/>
      <c r="W633" s="79"/>
      <c r="Z633" s="130"/>
      <c r="AB633" s="106"/>
    </row>
    <row r="634">
      <c r="C634" s="79"/>
      <c r="D634" s="79"/>
      <c r="E634" s="79"/>
      <c r="M634" s="79"/>
      <c r="R634" s="79"/>
      <c r="S634" s="79"/>
      <c r="V634" s="79"/>
      <c r="W634" s="79"/>
      <c r="Z634" s="130"/>
      <c r="AB634" s="106"/>
    </row>
    <row r="635">
      <c r="C635" s="79"/>
      <c r="D635" s="79"/>
      <c r="E635" s="79"/>
      <c r="M635" s="79"/>
      <c r="R635" s="79"/>
      <c r="S635" s="79"/>
      <c r="V635" s="79"/>
      <c r="W635" s="79"/>
      <c r="Z635" s="130"/>
      <c r="AB635" s="106"/>
    </row>
    <row r="636">
      <c r="C636" s="79"/>
      <c r="D636" s="79"/>
      <c r="E636" s="79"/>
      <c r="M636" s="79"/>
      <c r="R636" s="79"/>
      <c r="S636" s="79"/>
      <c r="V636" s="79"/>
      <c r="W636" s="79"/>
      <c r="Z636" s="130"/>
      <c r="AB636" s="106"/>
    </row>
    <row r="637">
      <c r="C637" s="79"/>
      <c r="D637" s="79"/>
      <c r="E637" s="79"/>
      <c r="M637" s="79"/>
      <c r="R637" s="79"/>
      <c r="S637" s="79"/>
      <c r="V637" s="79"/>
      <c r="W637" s="79"/>
      <c r="Z637" s="130"/>
      <c r="AB637" s="106"/>
    </row>
    <row r="638">
      <c r="C638" s="79"/>
      <c r="D638" s="79"/>
      <c r="E638" s="79"/>
      <c r="M638" s="79"/>
      <c r="R638" s="79"/>
      <c r="S638" s="79"/>
      <c r="V638" s="79"/>
      <c r="W638" s="79"/>
      <c r="Z638" s="130"/>
      <c r="AB638" s="106"/>
    </row>
    <row r="639">
      <c r="C639" s="79"/>
      <c r="D639" s="79"/>
      <c r="E639" s="79"/>
      <c r="M639" s="79"/>
      <c r="R639" s="79"/>
      <c r="S639" s="79"/>
      <c r="V639" s="79"/>
      <c r="W639" s="79"/>
      <c r="Z639" s="130"/>
      <c r="AB639" s="106"/>
    </row>
    <row r="640">
      <c r="C640" s="79"/>
      <c r="D640" s="79"/>
      <c r="E640" s="79"/>
      <c r="M640" s="79"/>
      <c r="R640" s="79"/>
      <c r="S640" s="79"/>
      <c r="V640" s="79"/>
      <c r="W640" s="79"/>
      <c r="Z640" s="130"/>
      <c r="AB640" s="106"/>
    </row>
    <row r="641">
      <c r="C641" s="79"/>
      <c r="D641" s="79"/>
      <c r="E641" s="79"/>
      <c r="M641" s="79"/>
      <c r="R641" s="79"/>
      <c r="S641" s="79"/>
      <c r="V641" s="79"/>
      <c r="W641" s="79"/>
      <c r="Z641" s="130"/>
      <c r="AB641" s="106"/>
    </row>
    <row r="642">
      <c r="C642" s="79"/>
      <c r="D642" s="79"/>
      <c r="E642" s="79"/>
      <c r="M642" s="79"/>
      <c r="R642" s="79"/>
      <c r="S642" s="79"/>
      <c r="V642" s="79"/>
      <c r="W642" s="79"/>
      <c r="Z642" s="130"/>
      <c r="AB642" s="106"/>
    </row>
    <row r="643">
      <c r="C643" s="79"/>
      <c r="D643" s="79"/>
      <c r="E643" s="79"/>
      <c r="M643" s="79"/>
      <c r="R643" s="79"/>
      <c r="S643" s="79"/>
      <c r="V643" s="79"/>
      <c r="W643" s="79"/>
      <c r="Z643" s="130"/>
      <c r="AB643" s="106"/>
    </row>
    <row r="644">
      <c r="C644" s="79"/>
      <c r="D644" s="79"/>
      <c r="E644" s="79"/>
      <c r="M644" s="79"/>
      <c r="R644" s="79"/>
      <c r="S644" s="79"/>
      <c r="V644" s="79"/>
      <c r="W644" s="79"/>
      <c r="Z644" s="130"/>
      <c r="AB644" s="106"/>
    </row>
    <row r="645">
      <c r="C645" s="79"/>
      <c r="D645" s="79"/>
      <c r="E645" s="79"/>
      <c r="M645" s="79"/>
      <c r="R645" s="79"/>
      <c r="S645" s="79"/>
      <c r="V645" s="79"/>
      <c r="W645" s="79"/>
      <c r="Z645" s="130"/>
      <c r="AB645" s="106"/>
    </row>
    <row r="646">
      <c r="C646" s="79"/>
      <c r="D646" s="79"/>
      <c r="E646" s="79"/>
      <c r="M646" s="79"/>
      <c r="R646" s="79"/>
      <c r="S646" s="79"/>
      <c r="V646" s="79"/>
      <c r="W646" s="79"/>
      <c r="Z646" s="130"/>
      <c r="AB646" s="106"/>
    </row>
    <row r="647">
      <c r="C647" s="79"/>
      <c r="D647" s="79"/>
      <c r="E647" s="79"/>
      <c r="M647" s="79"/>
      <c r="R647" s="79"/>
      <c r="S647" s="79"/>
      <c r="V647" s="79"/>
      <c r="W647" s="79"/>
      <c r="Z647" s="130"/>
      <c r="AB647" s="106"/>
    </row>
    <row r="648">
      <c r="C648" s="79"/>
      <c r="D648" s="79"/>
      <c r="E648" s="79"/>
      <c r="M648" s="79"/>
      <c r="R648" s="79"/>
      <c r="S648" s="79"/>
      <c r="V648" s="79"/>
      <c r="W648" s="79"/>
      <c r="Z648" s="130"/>
      <c r="AB648" s="106"/>
    </row>
    <row r="649">
      <c r="C649" s="79"/>
      <c r="D649" s="79"/>
      <c r="E649" s="79"/>
      <c r="M649" s="79"/>
      <c r="R649" s="79"/>
      <c r="S649" s="79"/>
      <c r="V649" s="79"/>
      <c r="W649" s="79"/>
      <c r="Z649" s="130"/>
      <c r="AB649" s="106"/>
    </row>
    <row r="650">
      <c r="C650" s="79"/>
      <c r="D650" s="79"/>
      <c r="E650" s="79"/>
      <c r="M650" s="79"/>
      <c r="R650" s="79"/>
      <c r="S650" s="79"/>
      <c r="V650" s="79"/>
      <c r="W650" s="79"/>
      <c r="Z650" s="130"/>
      <c r="AB650" s="106"/>
    </row>
    <row r="651">
      <c r="C651" s="79"/>
      <c r="D651" s="79"/>
      <c r="E651" s="79"/>
      <c r="M651" s="79"/>
      <c r="R651" s="79"/>
      <c r="S651" s="79"/>
      <c r="V651" s="79"/>
      <c r="W651" s="79"/>
      <c r="Z651" s="130"/>
      <c r="AB651" s="106"/>
    </row>
    <row r="652">
      <c r="C652" s="79"/>
      <c r="D652" s="79"/>
      <c r="E652" s="79"/>
      <c r="M652" s="79"/>
      <c r="R652" s="79"/>
      <c r="S652" s="79"/>
      <c r="V652" s="79"/>
      <c r="W652" s="79"/>
      <c r="Z652" s="130"/>
      <c r="AB652" s="106"/>
    </row>
    <row r="653">
      <c r="C653" s="79"/>
      <c r="D653" s="79"/>
      <c r="E653" s="79"/>
      <c r="M653" s="79"/>
      <c r="R653" s="79"/>
      <c r="S653" s="79"/>
      <c r="V653" s="79"/>
      <c r="W653" s="79"/>
      <c r="Z653" s="130"/>
      <c r="AB653" s="106"/>
    </row>
    <row r="654">
      <c r="C654" s="79"/>
      <c r="D654" s="79"/>
      <c r="E654" s="79"/>
      <c r="M654" s="79"/>
      <c r="R654" s="79"/>
      <c r="S654" s="79"/>
      <c r="V654" s="79"/>
      <c r="W654" s="79"/>
      <c r="Z654" s="130"/>
      <c r="AB654" s="106"/>
    </row>
    <row r="655">
      <c r="C655" s="79"/>
      <c r="D655" s="79"/>
      <c r="E655" s="79"/>
      <c r="M655" s="79"/>
      <c r="R655" s="79"/>
      <c r="S655" s="79"/>
      <c r="V655" s="79"/>
      <c r="W655" s="79"/>
      <c r="Z655" s="130"/>
      <c r="AB655" s="106"/>
    </row>
    <row r="656">
      <c r="C656" s="79"/>
      <c r="D656" s="79"/>
      <c r="E656" s="79"/>
      <c r="M656" s="79"/>
      <c r="R656" s="79"/>
      <c r="S656" s="79"/>
      <c r="V656" s="79"/>
      <c r="W656" s="79"/>
      <c r="Z656" s="130"/>
      <c r="AB656" s="106"/>
    </row>
    <row r="657">
      <c r="C657" s="79"/>
      <c r="D657" s="79"/>
      <c r="E657" s="79"/>
      <c r="M657" s="79"/>
      <c r="R657" s="79"/>
      <c r="S657" s="79"/>
      <c r="V657" s="79"/>
      <c r="W657" s="79"/>
      <c r="Z657" s="130"/>
      <c r="AB657" s="106"/>
    </row>
    <row r="658">
      <c r="C658" s="79"/>
      <c r="D658" s="79"/>
      <c r="E658" s="79"/>
      <c r="M658" s="79"/>
      <c r="R658" s="79"/>
      <c r="S658" s="79"/>
      <c r="V658" s="79"/>
      <c r="W658" s="79"/>
      <c r="Z658" s="130"/>
      <c r="AB658" s="106"/>
    </row>
    <row r="659">
      <c r="C659" s="79"/>
      <c r="D659" s="79"/>
      <c r="E659" s="79"/>
      <c r="M659" s="79"/>
      <c r="R659" s="79"/>
      <c r="S659" s="79"/>
      <c r="V659" s="79"/>
      <c r="W659" s="79"/>
      <c r="Z659" s="130"/>
      <c r="AB659" s="106"/>
    </row>
    <row r="660">
      <c r="C660" s="79"/>
      <c r="D660" s="79"/>
      <c r="E660" s="79"/>
      <c r="M660" s="79"/>
      <c r="R660" s="79"/>
      <c r="S660" s="79"/>
      <c r="V660" s="79"/>
      <c r="W660" s="79"/>
      <c r="Z660" s="130"/>
      <c r="AB660" s="106"/>
    </row>
    <row r="661">
      <c r="C661" s="79"/>
      <c r="D661" s="79"/>
      <c r="E661" s="79"/>
      <c r="M661" s="79"/>
      <c r="R661" s="79"/>
      <c r="S661" s="79"/>
      <c r="V661" s="79"/>
      <c r="W661" s="79"/>
      <c r="Z661" s="130"/>
      <c r="AB661" s="106"/>
    </row>
    <row r="662">
      <c r="C662" s="79"/>
      <c r="D662" s="79"/>
      <c r="E662" s="79"/>
      <c r="M662" s="79"/>
      <c r="R662" s="79"/>
      <c r="S662" s="79"/>
      <c r="V662" s="79"/>
      <c r="W662" s="79"/>
      <c r="Z662" s="130"/>
      <c r="AB662" s="106"/>
    </row>
    <row r="663">
      <c r="C663" s="79"/>
      <c r="D663" s="79"/>
      <c r="E663" s="79"/>
      <c r="M663" s="79"/>
      <c r="R663" s="79"/>
      <c r="S663" s="79"/>
      <c r="V663" s="79"/>
      <c r="W663" s="79"/>
      <c r="Z663" s="130"/>
      <c r="AB663" s="106"/>
    </row>
    <row r="664">
      <c r="C664" s="79"/>
      <c r="D664" s="79"/>
      <c r="E664" s="79"/>
      <c r="M664" s="79"/>
      <c r="R664" s="79"/>
      <c r="S664" s="79"/>
      <c r="V664" s="79"/>
      <c r="W664" s="79"/>
      <c r="Z664" s="130"/>
      <c r="AB664" s="106"/>
    </row>
    <row r="665">
      <c r="C665" s="79"/>
      <c r="D665" s="79"/>
      <c r="E665" s="79"/>
      <c r="M665" s="79"/>
      <c r="R665" s="79"/>
      <c r="S665" s="79"/>
      <c r="V665" s="79"/>
      <c r="W665" s="79"/>
      <c r="Z665" s="130"/>
      <c r="AB665" s="106"/>
    </row>
    <row r="666">
      <c r="C666" s="79"/>
      <c r="D666" s="79"/>
      <c r="E666" s="79"/>
      <c r="M666" s="79"/>
      <c r="R666" s="79"/>
      <c r="S666" s="79"/>
      <c r="V666" s="79"/>
      <c r="W666" s="79"/>
      <c r="Z666" s="130"/>
      <c r="AB666" s="106"/>
    </row>
    <row r="667">
      <c r="C667" s="79"/>
      <c r="D667" s="79"/>
      <c r="E667" s="79"/>
      <c r="M667" s="79"/>
      <c r="R667" s="79"/>
      <c r="S667" s="79"/>
      <c r="V667" s="79"/>
      <c r="W667" s="79"/>
      <c r="Z667" s="130"/>
      <c r="AB667" s="106"/>
    </row>
    <row r="668">
      <c r="C668" s="79"/>
      <c r="D668" s="79"/>
      <c r="E668" s="79"/>
      <c r="M668" s="79"/>
      <c r="R668" s="79"/>
      <c r="S668" s="79"/>
      <c r="V668" s="79"/>
      <c r="W668" s="79"/>
      <c r="Z668" s="130"/>
      <c r="AB668" s="106"/>
    </row>
    <row r="669">
      <c r="C669" s="79"/>
      <c r="D669" s="79"/>
      <c r="E669" s="79"/>
      <c r="M669" s="79"/>
      <c r="R669" s="79"/>
      <c r="S669" s="79"/>
      <c r="V669" s="79"/>
      <c r="W669" s="79"/>
      <c r="Z669" s="130"/>
      <c r="AB669" s="106"/>
    </row>
    <row r="670">
      <c r="C670" s="79"/>
      <c r="D670" s="79"/>
      <c r="E670" s="79"/>
      <c r="M670" s="79"/>
      <c r="R670" s="79"/>
      <c r="S670" s="79"/>
      <c r="V670" s="79"/>
      <c r="W670" s="79"/>
      <c r="Z670" s="130"/>
      <c r="AB670" s="106"/>
    </row>
    <row r="671">
      <c r="C671" s="79"/>
      <c r="D671" s="79"/>
      <c r="E671" s="79"/>
      <c r="M671" s="79"/>
      <c r="R671" s="79"/>
      <c r="S671" s="79"/>
      <c r="V671" s="79"/>
      <c r="W671" s="79"/>
      <c r="Z671" s="130"/>
      <c r="AB671" s="106"/>
    </row>
    <row r="672">
      <c r="C672" s="79"/>
      <c r="D672" s="79"/>
      <c r="E672" s="79"/>
      <c r="M672" s="79"/>
      <c r="R672" s="79"/>
      <c r="S672" s="79"/>
      <c r="V672" s="79"/>
      <c r="W672" s="79"/>
      <c r="Z672" s="130"/>
      <c r="AB672" s="106"/>
    </row>
    <row r="673">
      <c r="C673" s="79"/>
      <c r="D673" s="79"/>
      <c r="E673" s="79"/>
      <c r="M673" s="79"/>
      <c r="R673" s="79"/>
      <c r="S673" s="79"/>
      <c r="V673" s="79"/>
      <c r="W673" s="79"/>
      <c r="Z673" s="130"/>
      <c r="AB673" s="106"/>
    </row>
    <row r="674">
      <c r="C674" s="79"/>
      <c r="D674" s="79"/>
      <c r="E674" s="79"/>
      <c r="M674" s="79"/>
      <c r="R674" s="79"/>
      <c r="S674" s="79"/>
      <c r="V674" s="79"/>
      <c r="W674" s="79"/>
      <c r="Z674" s="130"/>
      <c r="AB674" s="106"/>
    </row>
    <row r="675">
      <c r="C675" s="79"/>
      <c r="D675" s="79"/>
      <c r="E675" s="79"/>
      <c r="M675" s="79"/>
      <c r="R675" s="79"/>
      <c r="S675" s="79"/>
      <c r="V675" s="79"/>
      <c r="W675" s="79"/>
      <c r="Z675" s="130"/>
      <c r="AB675" s="106"/>
    </row>
    <row r="676">
      <c r="C676" s="79"/>
      <c r="D676" s="79"/>
      <c r="E676" s="79"/>
      <c r="M676" s="79"/>
      <c r="R676" s="79"/>
      <c r="S676" s="79"/>
      <c r="V676" s="79"/>
      <c r="W676" s="79"/>
      <c r="Z676" s="130"/>
      <c r="AB676" s="106"/>
    </row>
    <row r="677">
      <c r="C677" s="79"/>
      <c r="D677" s="79"/>
      <c r="E677" s="79"/>
      <c r="M677" s="79"/>
      <c r="R677" s="79"/>
      <c r="S677" s="79"/>
      <c r="V677" s="79"/>
      <c r="W677" s="79"/>
      <c r="Z677" s="130"/>
      <c r="AB677" s="106"/>
    </row>
    <row r="678">
      <c r="C678" s="79"/>
      <c r="D678" s="79"/>
      <c r="E678" s="79"/>
      <c r="M678" s="79"/>
      <c r="R678" s="79"/>
      <c r="S678" s="79"/>
      <c r="V678" s="79"/>
      <c r="W678" s="79"/>
      <c r="Z678" s="130"/>
      <c r="AB678" s="106"/>
    </row>
    <row r="679">
      <c r="C679" s="79"/>
      <c r="D679" s="79"/>
      <c r="E679" s="79"/>
      <c r="M679" s="79"/>
      <c r="R679" s="79"/>
      <c r="S679" s="79"/>
      <c r="V679" s="79"/>
      <c r="W679" s="79"/>
      <c r="Z679" s="130"/>
      <c r="AB679" s="106"/>
    </row>
    <row r="680">
      <c r="C680" s="79"/>
      <c r="D680" s="79"/>
      <c r="E680" s="79"/>
      <c r="M680" s="79"/>
      <c r="R680" s="79"/>
      <c r="S680" s="79"/>
      <c r="V680" s="79"/>
      <c r="W680" s="79"/>
      <c r="Z680" s="130"/>
      <c r="AB680" s="106"/>
    </row>
    <row r="681">
      <c r="C681" s="79"/>
      <c r="D681" s="79"/>
      <c r="E681" s="79"/>
      <c r="M681" s="79"/>
      <c r="R681" s="79"/>
      <c r="S681" s="79"/>
      <c r="V681" s="79"/>
      <c r="W681" s="79"/>
      <c r="Z681" s="130"/>
      <c r="AB681" s="106"/>
    </row>
    <row r="682">
      <c r="C682" s="79"/>
      <c r="D682" s="79"/>
      <c r="E682" s="79"/>
      <c r="M682" s="79"/>
      <c r="R682" s="79"/>
      <c r="S682" s="79"/>
      <c r="V682" s="79"/>
      <c r="W682" s="79"/>
      <c r="Z682" s="130"/>
      <c r="AB682" s="106"/>
    </row>
    <row r="683">
      <c r="C683" s="79"/>
      <c r="D683" s="79"/>
      <c r="E683" s="79"/>
      <c r="M683" s="79"/>
      <c r="R683" s="79"/>
      <c r="S683" s="79"/>
      <c r="V683" s="79"/>
      <c r="W683" s="79"/>
      <c r="Z683" s="130"/>
      <c r="AB683" s="106"/>
    </row>
    <row r="684">
      <c r="C684" s="79"/>
      <c r="D684" s="79"/>
      <c r="E684" s="79"/>
      <c r="M684" s="79"/>
      <c r="R684" s="79"/>
      <c r="S684" s="79"/>
      <c r="V684" s="79"/>
      <c r="W684" s="79"/>
      <c r="Z684" s="130"/>
      <c r="AB684" s="106"/>
    </row>
    <row r="685">
      <c r="C685" s="79"/>
      <c r="D685" s="79"/>
      <c r="E685" s="79"/>
      <c r="M685" s="79"/>
      <c r="R685" s="79"/>
      <c r="S685" s="79"/>
      <c r="V685" s="79"/>
      <c r="W685" s="79"/>
      <c r="Z685" s="130"/>
      <c r="AB685" s="106"/>
    </row>
    <row r="686">
      <c r="C686" s="79"/>
      <c r="D686" s="79"/>
      <c r="E686" s="79"/>
      <c r="M686" s="79"/>
      <c r="R686" s="79"/>
      <c r="S686" s="79"/>
      <c r="V686" s="79"/>
      <c r="W686" s="79"/>
      <c r="Z686" s="130"/>
      <c r="AB686" s="106"/>
    </row>
    <row r="687">
      <c r="C687" s="79"/>
      <c r="D687" s="79"/>
      <c r="E687" s="79"/>
      <c r="M687" s="79"/>
      <c r="R687" s="79"/>
      <c r="S687" s="79"/>
      <c r="V687" s="79"/>
      <c r="W687" s="79"/>
      <c r="Z687" s="130"/>
      <c r="AB687" s="106"/>
    </row>
    <row r="688">
      <c r="C688" s="79"/>
      <c r="D688" s="79"/>
      <c r="E688" s="79"/>
      <c r="M688" s="79"/>
      <c r="R688" s="79"/>
      <c r="S688" s="79"/>
      <c r="V688" s="79"/>
      <c r="W688" s="79"/>
      <c r="Z688" s="130"/>
      <c r="AB688" s="106"/>
    </row>
    <row r="689">
      <c r="C689" s="79"/>
      <c r="D689" s="79"/>
      <c r="E689" s="79"/>
      <c r="M689" s="79"/>
      <c r="R689" s="79"/>
      <c r="S689" s="79"/>
      <c r="V689" s="79"/>
      <c r="W689" s="79"/>
      <c r="Z689" s="130"/>
      <c r="AB689" s="106"/>
    </row>
    <row r="690">
      <c r="C690" s="79"/>
      <c r="D690" s="79"/>
      <c r="E690" s="79"/>
      <c r="M690" s="79"/>
      <c r="R690" s="79"/>
      <c r="S690" s="79"/>
      <c r="V690" s="79"/>
      <c r="W690" s="79"/>
      <c r="Z690" s="130"/>
      <c r="AB690" s="106"/>
    </row>
    <row r="691">
      <c r="C691" s="79"/>
      <c r="D691" s="79"/>
      <c r="E691" s="79"/>
      <c r="M691" s="79"/>
      <c r="R691" s="79"/>
      <c r="S691" s="79"/>
      <c r="V691" s="79"/>
      <c r="W691" s="79"/>
      <c r="Z691" s="130"/>
      <c r="AB691" s="106"/>
    </row>
    <row r="692">
      <c r="C692" s="79"/>
      <c r="D692" s="79"/>
      <c r="E692" s="79"/>
      <c r="M692" s="79"/>
      <c r="R692" s="79"/>
      <c r="S692" s="79"/>
      <c r="V692" s="79"/>
      <c r="W692" s="79"/>
      <c r="Z692" s="130"/>
      <c r="AB692" s="106"/>
    </row>
    <row r="693">
      <c r="C693" s="79"/>
      <c r="D693" s="79"/>
      <c r="E693" s="79"/>
      <c r="M693" s="79"/>
      <c r="R693" s="79"/>
      <c r="S693" s="79"/>
      <c r="V693" s="79"/>
      <c r="W693" s="79"/>
      <c r="Z693" s="130"/>
      <c r="AB693" s="106"/>
    </row>
    <row r="694">
      <c r="C694" s="79"/>
      <c r="D694" s="79"/>
      <c r="E694" s="79"/>
      <c r="M694" s="79"/>
      <c r="R694" s="79"/>
      <c r="S694" s="79"/>
      <c r="V694" s="79"/>
      <c r="W694" s="79"/>
      <c r="Z694" s="130"/>
      <c r="AB694" s="106"/>
    </row>
    <row r="695">
      <c r="C695" s="79"/>
      <c r="D695" s="79"/>
      <c r="E695" s="79"/>
      <c r="M695" s="79"/>
      <c r="R695" s="79"/>
      <c r="S695" s="79"/>
      <c r="V695" s="79"/>
      <c r="W695" s="79"/>
      <c r="Z695" s="130"/>
      <c r="AB695" s="106"/>
    </row>
    <row r="696">
      <c r="C696" s="79"/>
      <c r="D696" s="79"/>
      <c r="E696" s="79"/>
      <c r="M696" s="79"/>
      <c r="R696" s="79"/>
      <c r="S696" s="79"/>
      <c r="V696" s="79"/>
      <c r="W696" s="79"/>
      <c r="Z696" s="130"/>
      <c r="AB696" s="106"/>
    </row>
    <row r="697">
      <c r="C697" s="79"/>
      <c r="D697" s="79"/>
      <c r="E697" s="79"/>
      <c r="M697" s="79"/>
      <c r="R697" s="79"/>
      <c r="S697" s="79"/>
      <c r="V697" s="79"/>
      <c r="W697" s="79"/>
      <c r="Z697" s="130"/>
      <c r="AB697" s="106"/>
    </row>
    <row r="698">
      <c r="C698" s="79"/>
      <c r="D698" s="79"/>
      <c r="E698" s="79"/>
      <c r="M698" s="79"/>
      <c r="R698" s="79"/>
      <c r="S698" s="79"/>
      <c r="V698" s="79"/>
      <c r="W698" s="79"/>
      <c r="Z698" s="130"/>
      <c r="AB698" s="106"/>
    </row>
    <row r="699">
      <c r="C699" s="79"/>
      <c r="D699" s="79"/>
      <c r="E699" s="79"/>
      <c r="M699" s="79"/>
      <c r="R699" s="79"/>
      <c r="S699" s="79"/>
      <c r="V699" s="79"/>
      <c r="W699" s="79"/>
      <c r="Z699" s="130"/>
      <c r="AB699" s="106"/>
    </row>
    <row r="700">
      <c r="C700" s="79"/>
      <c r="D700" s="79"/>
      <c r="E700" s="79"/>
      <c r="M700" s="79"/>
      <c r="R700" s="79"/>
      <c r="S700" s="79"/>
      <c r="V700" s="79"/>
      <c r="W700" s="79"/>
      <c r="Z700" s="130"/>
      <c r="AB700" s="106"/>
    </row>
    <row r="701">
      <c r="C701" s="79"/>
      <c r="D701" s="79"/>
      <c r="E701" s="79"/>
      <c r="M701" s="79"/>
      <c r="R701" s="79"/>
      <c r="S701" s="79"/>
      <c r="V701" s="79"/>
      <c r="W701" s="79"/>
      <c r="Z701" s="130"/>
      <c r="AB701" s="106"/>
    </row>
    <row r="702">
      <c r="C702" s="79"/>
      <c r="D702" s="79"/>
      <c r="E702" s="79"/>
      <c r="M702" s="79"/>
      <c r="R702" s="79"/>
      <c r="S702" s="79"/>
      <c r="V702" s="79"/>
      <c r="W702" s="79"/>
      <c r="Z702" s="130"/>
      <c r="AB702" s="106"/>
    </row>
    <row r="703">
      <c r="C703" s="79"/>
      <c r="D703" s="79"/>
      <c r="E703" s="79"/>
      <c r="M703" s="79"/>
      <c r="R703" s="79"/>
      <c r="S703" s="79"/>
      <c r="V703" s="79"/>
      <c r="W703" s="79"/>
      <c r="Z703" s="130"/>
      <c r="AB703" s="106"/>
    </row>
    <row r="704">
      <c r="C704" s="79"/>
      <c r="D704" s="79"/>
      <c r="E704" s="79"/>
      <c r="M704" s="79"/>
      <c r="R704" s="79"/>
      <c r="S704" s="79"/>
      <c r="V704" s="79"/>
      <c r="W704" s="79"/>
      <c r="Z704" s="130"/>
      <c r="AB704" s="106"/>
    </row>
    <row r="705">
      <c r="C705" s="79"/>
      <c r="D705" s="79"/>
      <c r="E705" s="79"/>
      <c r="M705" s="79"/>
      <c r="R705" s="79"/>
      <c r="S705" s="79"/>
      <c r="V705" s="79"/>
      <c r="W705" s="79"/>
      <c r="Z705" s="130"/>
      <c r="AB705" s="106"/>
    </row>
    <row r="706">
      <c r="C706" s="79"/>
      <c r="D706" s="79"/>
      <c r="E706" s="79"/>
      <c r="M706" s="79"/>
      <c r="R706" s="79"/>
      <c r="S706" s="79"/>
      <c r="V706" s="79"/>
      <c r="W706" s="79"/>
      <c r="Z706" s="130"/>
      <c r="AB706" s="106"/>
    </row>
    <row r="707">
      <c r="C707" s="79"/>
      <c r="D707" s="79"/>
      <c r="E707" s="79"/>
      <c r="M707" s="79"/>
      <c r="R707" s="79"/>
      <c r="S707" s="79"/>
      <c r="V707" s="79"/>
      <c r="W707" s="79"/>
      <c r="Z707" s="130"/>
      <c r="AB707" s="106"/>
    </row>
    <row r="708">
      <c r="C708" s="79"/>
      <c r="D708" s="79"/>
      <c r="E708" s="79"/>
      <c r="M708" s="79"/>
      <c r="R708" s="79"/>
      <c r="S708" s="79"/>
      <c r="V708" s="79"/>
      <c r="W708" s="79"/>
      <c r="Z708" s="130"/>
      <c r="AB708" s="106"/>
    </row>
    <row r="709">
      <c r="C709" s="79"/>
      <c r="D709" s="79"/>
      <c r="E709" s="79"/>
      <c r="M709" s="79"/>
      <c r="R709" s="79"/>
      <c r="S709" s="79"/>
      <c r="V709" s="79"/>
      <c r="W709" s="79"/>
      <c r="Z709" s="130"/>
      <c r="AB709" s="106"/>
    </row>
    <row r="710">
      <c r="C710" s="79"/>
      <c r="D710" s="79"/>
      <c r="E710" s="79"/>
      <c r="M710" s="79"/>
      <c r="R710" s="79"/>
      <c r="S710" s="79"/>
      <c r="V710" s="79"/>
      <c r="W710" s="79"/>
      <c r="Z710" s="130"/>
      <c r="AB710" s="106"/>
    </row>
    <row r="711">
      <c r="C711" s="79"/>
      <c r="D711" s="79"/>
      <c r="E711" s="79"/>
      <c r="M711" s="79"/>
      <c r="R711" s="79"/>
      <c r="S711" s="79"/>
      <c r="V711" s="79"/>
      <c r="W711" s="79"/>
      <c r="Z711" s="130"/>
      <c r="AB711" s="106"/>
    </row>
    <row r="712">
      <c r="C712" s="79"/>
      <c r="D712" s="79"/>
      <c r="E712" s="79"/>
      <c r="M712" s="79"/>
      <c r="R712" s="79"/>
      <c r="S712" s="79"/>
      <c r="V712" s="79"/>
      <c r="W712" s="79"/>
      <c r="Z712" s="130"/>
      <c r="AB712" s="106"/>
    </row>
    <row r="713">
      <c r="C713" s="79"/>
      <c r="D713" s="79"/>
      <c r="E713" s="79"/>
      <c r="M713" s="79"/>
      <c r="R713" s="79"/>
      <c r="S713" s="79"/>
      <c r="V713" s="79"/>
      <c r="W713" s="79"/>
      <c r="Z713" s="130"/>
      <c r="AB713" s="106"/>
    </row>
    <row r="714">
      <c r="C714" s="79"/>
      <c r="D714" s="79"/>
      <c r="E714" s="79"/>
      <c r="M714" s="79"/>
      <c r="R714" s="79"/>
      <c r="S714" s="79"/>
      <c r="V714" s="79"/>
      <c r="W714" s="79"/>
      <c r="Z714" s="130"/>
      <c r="AB714" s="106"/>
    </row>
    <row r="715">
      <c r="C715" s="79"/>
      <c r="D715" s="79"/>
      <c r="E715" s="79"/>
      <c r="M715" s="79"/>
      <c r="R715" s="79"/>
      <c r="S715" s="79"/>
      <c r="V715" s="79"/>
      <c r="W715" s="79"/>
      <c r="Z715" s="130"/>
      <c r="AB715" s="106"/>
    </row>
    <row r="716">
      <c r="C716" s="79"/>
      <c r="D716" s="79"/>
      <c r="E716" s="79"/>
      <c r="M716" s="79"/>
      <c r="R716" s="79"/>
      <c r="S716" s="79"/>
      <c r="V716" s="79"/>
      <c r="W716" s="79"/>
      <c r="Z716" s="130"/>
      <c r="AB716" s="106"/>
    </row>
    <row r="717">
      <c r="C717" s="79"/>
      <c r="D717" s="79"/>
      <c r="E717" s="79"/>
      <c r="M717" s="79"/>
      <c r="R717" s="79"/>
      <c r="S717" s="79"/>
      <c r="V717" s="79"/>
      <c r="W717" s="79"/>
      <c r="Z717" s="130"/>
      <c r="AB717" s="106"/>
    </row>
    <row r="718">
      <c r="C718" s="79"/>
      <c r="D718" s="79"/>
      <c r="E718" s="79"/>
      <c r="M718" s="79"/>
      <c r="R718" s="79"/>
      <c r="S718" s="79"/>
      <c r="V718" s="79"/>
      <c r="W718" s="79"/>
      <c r="Z718" s="130"/>
      <c r="AB718" s="106"/>
    </row>
    <row r="719">
      <c r="C719" s="79"/>
      <c r="D719" s="79"/>
      <c r="E719" s="79"/>
      <c r="M719" s="79"/>
      <c r="R719" s="79"/>
      <c r="S719" s="79"/>
      <c r="V719" s="79"/>
      <c r="W719" s="79"/>
      <c r="Z719" s="130"/>
      <c r="AB719" s="106"/>
    </row>
    <row r="720">
      <c r="C720" s="79"/>
      <c r="D720" s="79"/>
      <c r="E720" s="79"/>
      <c r="M720" s="79"/>
      <c r="R720" s="79"/>
      <c r="S720" s="79"/>
      <c r="V720" s="79"/>
      <c r="W720" s="79"/>
      <c r="Z720" s="130"/>
      <c r="AB720" s="106"/>
    </row>
    <row r="721">
      <c r="C721" s="79"/>
      <c r="D721" s="79"/>
      <c r="E721" s="79"/>
      <c r="M721" s="79"/>
      <c r="R721" s="79"/>
      <c r="S721" s="79"/>
      <c r="V721" s="79"/>
      <c r="W721" s="79"/>
      <c r="Z721" s="130"/>
      <c r="AB721" s="106"/>
    </row>
    <row r="722">
      <c r="C722" s="79"/>
      <c r="D722" s="79"/>
      <c r="E722" s="79"/>
      <c r="M722" s="79"/>
      <c r="R722" s="79"/>
      <c r="S722" s="79"/>
      <c r="V722" s="79"/>
      <c r="W722" s="79"/>
      <c r="Z722" s="130"/>
      <c r="AB722" s="106"/>
    </row>
    <row r="723">
      <c r="C723" s="79"/>
      <c r="D723" s="79"/>
      <c r="E723" s="79"/>
      <c r="M723" s="79"/>
      <c r="R723" s="79"/>
      <c r="S723" s="79"/>
      <c r="V723" s="79"/>
      <c r="W723" s="79"/>
      <c r="Z723" s="130"/>
      <c r="AB723" s="106"/>
    </row>
    <row r="724">
      <c r="C724" s="79"/>
      <c r="D724" s="79"/>
      <c r="E724" s="79"/>
      <c r="M724" s="79"/>
      <c r="R724" s="79"/>
      <c r="S724" s="79"/>
      <c r="V724" s="79"/>
      <c r="W724" s="79"/>
      <c r="Z724" s="130"/>
      <c r="AB724" s="106"/>
    </row>
    <row r="725">
      <c r="C725" s="79"/>
      <c r="D725" s="79"/>
      <c r="E725" s="79"/>
      <c r="M725" s="79"/>
      <c r="R725" s="79"/>
      <c r="S725" s="79"/>
      <c r="V725" s="79"/>
      <c r="W725" s="79"/>
      <c r="Z725" s="130"/>
      <c r="AB725" s="106"/>
    </row>
    <row r="726">
      <c r="C726" s="79"/>
      <c r="D726" s="79"/>
      <c r="E726" s="79"/>
      <c r="M726" s="79"/>
      <c r="R726" s="79"/>
      <c r="S726" s="79"/>
      <c r="V726" s="79"/>
      <c r="W726" s="79"/>
      <c r="Z726" s="130"/>
      <c r="AB726" s="106"/>
    </row>
    <row r="727">
      <c r="C727" s="79"/>
      <c r="D727" s="79"/>
      <c r="E727" s="79"/>
      <c r="M727" s="79"/>
      <c r="R727" s="79"/>
      <c r="S727" s="79"/>
      <c r="V727" s="79"/>
      <c r="W727" s="79"/>
      <c r="Z727" s="130"/>
      <c r="AB727" s="106"/>
    </row>
    <row r="728">
      <c r="C728" s="79"/>
      <c r="D728" s="79"/>
      <c r="E728" s="79"/>
      <c r="M728" s="79"/>
      <c r="R728" s="79"/>
      <c r="S728" s="79"/>
      <c r="V728" s="79"/>
      <c r="W728" s="79"/>
      <c r="Z728" s="130"/>
      <c r="AB728" s="106"/>
    </row>
    <row r="729">
      <c r="C729" s="79"/>
      <c r="D729" s="79"/>
      <c r="E729" s="79"/>
      <c r="M729" s="79"/>
      <c r="R729" s="79"/>
      <c r="S729" s="79"/>
      <c r="V729" s="79"/>
      <c r="W729" s="79"/>
      <c r="Z729" s="130"/>
      <c r="AB729" s="106"/>
    </row>
    <row r="730">
      <c r="C730" s="79"/>
      <c r="D730" s="79"/>
      <c r="E730" s="79"/>
      <c r="M730" s="79"/>
      <c r="R730" s="79"/>
      <c r="S730" s="79"/>
      <c r="V730" s="79"/>
      <c r="W730" s="79"/>
      <c r="Z730" s="130"/>
      <c r="AB730" s="106"/>
    </row>
    <row r="731">
      <c r="C731" s="79"/>
      <c r="D731" s="79"/>
      <c r="E731" s="79"/>
      <c r="M731" s="79"/>
      <c r="R731" s="79"/>
      <c r="S731" s="79"/>
      <c r="V731" s="79"/>
      <c r="W731" s="79"/>
      <c r="Z731" s="130"/>
      <c r="AB731" s="106"/>
    </row>
    <row r="732">
      <c r="C732" s="79"/>
      <c r="D732" s="79"/>
      <c r="E732" s="79"/>
      <c r="M732" s="79"/>
      <c r="R732" s="79"/>
      <c r="S732" s="79"/>
      <c r="V732" s="79"/>
      <c r="W732" s="79"/>
      <c r="Z732" s="130"/>
      <c r="AB732" s="106"/>
    </row>
    <row r="733">
      <c r="C733" s="79"/>
      <c r="D733" s="79"/>
      <c r="E733" s="79"/>
      <c r="M733" s="79"/>
      <c r="R733" s="79"/>
      <c r="S733" s="79"/>
      <c r="V733" s="79"/>
      <c r="W733" s="79"/>
      <c r="Z733" s="130"/>
      <c r="AB733" s="106"/>
    </row>
    <row r="734">
      <c r="C734" s="79"/>
      <c r="D734" s="79"/>
      <c r="E734" s="79"/>
      <c r="M734" s="79"/>
      <c r="R734" s="79"/>
      <c r="S734" s="79"/>
      <c r="V734" s="79"/>
      <c r="W734" s="79"/>
      <c r="Z734" s="130"/>
      <c r="AB734" s="106"/>
    </row>
    <row r="735">
      <c r="C735" s="79"/>
      <c r="D735" s="79"/>
      <c r="E735" s="79"/>
      <c r="M735" s="79"/>
      <c r="R735" s="79"/>
      <c r="S735" s="79"/>
      <c r="V735" s="79"/>
      <c r="W735" s="79"/>
      <c r="Z735" s="130"/>
      <c r="AB735" s="106"/>
    </row>
    <row r="736">
      <c r="C736" s="79"/>
      <c r="D736" s="79"/>
      <c r="E736" s="79"/>
      <c r="M736" s="79"/>
      <c r="R736" s="79"/>
      <c r="S736" s="79"/>
      <c r="V736" s="79"/>
      <c r="W736" s="79"/>
      <c r="Z736" s="130"/>
      <c r="AB736" s="106"/>
    </row>
    <row r="737">
      <c r="C737" s="79"/>
      <c r="D737" s="79"/>
      <c r="E737" s="79"/>
      <c r="M737" s="79"/>
      <c r="R737" s="79"/>
      <c r="S737" s="79"/>
      <c r="V737" s="79"/>
      <c r="W737" s="79"/>
      <c r="Z737" s="130"/>
      <c r="AB737" s="106"/>
    </row>
    <row r="738">
      <c r="C738" s="79"/>
      <c r="D738" s="79"/>
      <c r="E738" s="79"/>
      <c r="M738" s="79"/>
      <c r="R738" s="79"/>
      <c r="S738" s="79"/>
      <c r="V738" s="79"/>
      <c r="W738" s="79"/>
      <c r="Z738" s="130"/>
      <c r="AB738" s="106"/>
    </row>
    <row r="739">
      <c r="C739" s="79"/>
      <c r="D739" s="79"/>
      <c r="E739" s="79"/>
      <c r="M739" s="79"/>
      <c r="R739" s="79"/>
      <c r="S739" s="79"/>
      <c r="V739" s="79"/>
      <c r="W739" s="79"/>
      <c r="Z739" s="130"/>
      <c r="AB739" s="106"/>
    </row>
    <row r="740">
      <c r="C740" s="79"/>
      <c r="D740" s="79"/>
      <c r="E740" s="79"/>
      <c r="M740" s="79"/>
      <c r="R740" s="79"/>
      <c r="S740" s="79"/>
      <c r="V740" s="79"/>
      <c r="W740" s="79"/>
      <c r="Z740" s="130"/>
      <c r="AB740" s="106"/>
    </row>
    <row r="741">
      <c r="C741" s="79"/>
      <c r="D741" s="79"/>
      <c r="E741" s="79"/>
      <c r="M741" s="79"/>
      <c r="R741" s="79"/>
      <c r="S741" s="79"/>
      <c r="V741" s="79"/>
      <c r="W741" s="79"/>
      <c r="Z741" s="130"/>
      <c r="AB741" s="106"/>
    </row>
    <row r="742">
      <c r="C742" s="79"/>
      <c r="D742" s="79"/>
      <c r="E742" s="79"/>
      <c r="M742" s="79"/>
      <c r="R742" s="79"/>
      <c r="S742" s="79"/>
      <c r="V742" s="79"/>
      <c r="W742" s="79"/>
      <c r="Z742" s="130"/>
      <c r="AB742" s="106"/>
    </row>
    <row r="743">
      <c r="C743" s="79"/>
      <c r="D743" s="79"/>
      <c r="E743" s="79"/>
      <c r="M743" s="79"/>
      <c r="R743" s="79"/>
      <c r="S743" s="79"/>
      <c r="V743" s="79"/>
      <c r="W743" s="79"/>
      <c r="Z743" s="130"/>
      <c r="AB743" s="106"/>
    </row>
    <row r="744">
      <c r="C744" s="79"/>
      <c r="D744" s="79"/>
      <c r="E744" s="79"/>
      <c r="M744" s="79"/>
      <c r="R744" s="79"/>
      <c r="S744" s="79"/>
      <c r="V744" s="79"/>
      <c r="W744" s="79"/>
      <c r="Z744" s="130"/>
      <c r="AB744" s="106"/>
    </row>
    <row r="745">
      <c r="C745" s="79"/>
      <c r="D745" s="79"/>
      <c r="E745" s="79"/>
      <c r="M745" s="79"/>
      <c r="R745" s="79"/>
      <c r="S745" s="79"/>
      <c r="V745" s="79"/>
      <c r="W745" s="79"/>
      <c r="Z745" s="130"/>
      <c r="AB745" s="106"/>
    </row>
    <row r="746">
      <c r="C746" s="79"/>
      <c r="D746" s="79"/>
      <c r="E746" s="79"/>
      <c r="M746" s="79"/>
      <c r="R746" s="79"/>
      <c r="S746" s="79"/>
      <c r="V746" s="79"/>
      <c r="W746" s="79"/>
      <c r="Z746" s="130"/>
      <c r="AB746" s="106"/>
    </row>
    <row r="747">
      <c r="C747" s="79"/>
      <c r="D747" s="79"/>
      <c r="E747" s="79"/>
      <c r="M747" s="79"/>
      <c r="R747" s="79"/>
      <c r="S747" s="79"/>
      <c r="V747" s="79"/>
      <c r="W747" s="79"/>
      <c r="Z747" s="130"/>
      <c r="AB747" s="106"/>
    </row>
    <row r="748">
      <c r="C748" s="79"/>
      <c r="D748" s="79"/>
      <c r="E748" s="79"/>
      <c r="M748" s="79"/>
      <c r="R748" s="79"/>
      <c r="S748" s="79"/>
      <c r="V748" s="79"/>
      <c r="W748" s="79"/>
      <c r="Z748" s="130"/>
      <c r="AB748" s="106"/>
    </row>
    <row r="749">
      <c r="C749" s="79"/>
      <c r="D749" s="79"/>
      <c r="E749" s="79"/>
      <c r="M749" s="79"/>
      <c r="R749" s="79"/>
      <c r="S749" s="79"/>
      <c r="V749" s="79"/>
      <c r="W749" s="79"/>
      <c r="Z749" s="130"/>
      <c r="AB749" s="106"/>
    </row>
    <row r="750">
      <c r="C750" s="79"/>
      <c r="D750" s="79"/>
      <c r="E750" s="79"/>
      <c r="M750" s="79"/>
      <c r="R750" s="79"/>
      <c r="S750" s="79"/>
      <c r="V750" s="79"/>
      <c r="W750" s="79"/>
      <c r="Z750" s="130"/>
      <c r="AB750" s="106"/>
    </row>
    <row r="751">
      <c r="C751" s="79"/>
      <c r="D751" s="79"/>
      <c r="E751" s="79"/>
      <c r="M751" s="79"/>
      <c r="R751" s="79"/>
      <c r="S751" s="79"/>
      <c r="V751" s="79"/>
      <c r="W751" s="79"/>
      <c r="Z751" s="130"/>
      <c r="AB751" s="106"/>
    </row>
    <row r="752">
      <c r="C752" s="79"/>
      <c r="D752" s="79"/>
      <c r="E752" s="79"/>
      <c r="M752" s="79"/>
      <c r="R752" s="79"/>
      <c r="S752" s="79"/>
      <c r="V752" s="79"/>
      <c r="W752" s="79"/>
      <c r="Z752" s="130"/>
      <c r="AB752" s="106"/>
    </row>
    <row r="753">
      <c r="C753" s="79"/>
      <c r="D753" s="79"/>
      <c r="E753" s="79"/>
      <c r="M753" s="79"/>
      <c r="R753" s="79"/>
      <c r="S753" s="79"/>
      <c r="V753" s="79"/>
      <c r="W753" s="79"/>
      <c r="Z753" s="130"/>
      <c r="AB753" s="106"/>
    </row>
    <row r="754">
      <c r="C754" s="79"/>
      <c r="D754" s="79"/>
      <c r="E754" s="79"/>
      <c r="M754" s="79"/>
      <c r="R754" s="79"/>
      <c r="S754" s="79"/>
      <c r="V754" s="79"/>
      <c r="W754" s="79"/>
      <c r="Z754" s="130"/>
      <c r="AB754" s="106"/>
    </row>
    <row r="755">
      <c r="C755" s="79"/>
      <c r="D755" s="79"/>
      <c r="E755" s="79"/>
      <c r="M755" s="79"/>
      <c r="R755" s="79"/>
      <c r="S755" s="79"/>
      <c r="V755" s="79"/>
      <c r="W755" s="79"/>
      <c r="Z755" s="130"/>
      <c r="AB755" s="106"/>
    </row>
    <row r="756">
      <c r="C756" s="79"/>
      <c r="D756" s="79"/>
      <c r="E756" s="79"/>
      <c r="M756" s="79"/>
      <c r="R756" s="79"/>
      <c r="S756" s="79"/>
      <c r="V756" s="79"/>
      <c r="W756" s="79"/>
      <c r="Z756" s="130"/>
      <c r="AB756" s="106"/>
    </row>
    <row r="757">
      <c r="C757" s="79"/>
      <c r="D757" s="79"/>
      <c r="E757" s="79"/>
      <c r="M757" s="79"/>
      <c r="R757" s="79"/>
      <c r="S757" s="79"/>
      <c r="V757" s="79"/>
      <c r="W757" s="79"/>
      <c r="Z757" s="130"/>
      <c r="AB757" s="106"/>
    </row>
    <row r="758">
      <c r="C758" s="79"/>
      <c r="D758" s="79"/>
      <c r="E758" s="79"/>
      <c r="M758" s="79"/>
      <c r="R758" s="79"/>
      <c r="S758" s="79"/>
      <c r="V758" s="79"/>
      <c r="W758" s="79"/>
      <c r="Z758" s="130"/>
      <c r="AB758" s="106"/>
    </row>
    <row r="759">
      <c r="C759" s="79"/>
      <c r="D759" s="79"/>
      <c r="E759" s="79"/>
      <c r="M759" s="79"/>
      <c r="R759" s="79"/>
      <c r="S759" s="79"/>
      <c r="V759" s="79"/>
      <c r="W759" s="79"/>
      <c r="Z759" s="130"/>
      <c r="AB759" s="106"/>
    </row>
    <row r="760">
      <c r="C760" s="79"/>
      <c r="D760" s="79"/>
      <c r="E760" s="79"/>
      <c r="M760" s="79"/>
      <c r="R760" s="79"/>
      <c r="S760" s="79"/>
      <c r="V760" s="79"/>
      <c r="W760" s="79"/>
      <c r="Z760" s="130"/>
      <c r="AB760" s="106"/>
    </row>
    <row r="761">
      <c r="C761" s="79"/>
      <c r="D761" s="79"/>
      <c r="E761" s="79"/>
      <c r="M761" s="79"/>
      <c r="R761" s="79"/>
      <c r="S761" s="79"/>
      <c r="V761" s="79"/>
      <c r="W761" s="79"/>
      <c r="Z761" s="130"/>
      <c r="AB761" s="106"/>
    </row>
    <row r="762">
      <c r="C762" s="79"/>
      <c r="D762" s="79"/>
      <c r="E762" s="79"/>
      <c r="M762" s="79"/>
      <c r="R762" s="79"/>
      <c r="S762" s="79"/>
      <c r="V762" s="79"/>
      <c r="W762" s="79"/>
      <c r="Z762" s="130"/>
      <c r="AB762" s="106"/>
    </row>
    <row r="763">
      <c r="C763" s="79"/>
      <c r="D763" s="79"/>
      <c r="E763" s="79"/>
      <c r="M763" s="79"/>
      <c r="R763" s="79"/>
      <c r="S763" s="79"/>
      <c r="V763" s="79"/>
      <c r="W763" s="79"/>
      <c r="Z763" s="130"/>
      <c r="AB763" s="106"/>
    </row>
    <row r="764">
      <c r="C764" s="79"/>
      <c r="D764" s="79"/>
      <c r="E764" s="79"/>
      <c r="M764" s="79"/>
      <c r="R764" s="79"/>
      <c r="S764" s="79"/>
      <c r="V764" s="79"/>
      <c r="W764" s="79"/>
      <c r="Z764" s="130"/>
      <c r="AB764" s="106"/>
    </row>
    <row r="765">
      <c r="C765" s="79"/>
      <c r="D765" s="79"/>
      <c r="E765" s="79"/>
      <c r="M765" s="79"/>
      <c r="R765" s="79"/>
      <c r="S765" s="79"/>
      <c r="V765" s="79"/>
      <c r="W765" s="79"/>
      <c r="Z765" s="130"/>
      <c r="AB765" s="106"/>
    </row>
    <row r="766">
      <c r="C766" s="79"/>
      <c r="D766" s="79"/>
      <c r="E766" s="79"/>
      <c r="M766" s="79"/>
      <c r="R766" s="79"/>
      <c r="S766" s="79"/>
      <c r="V766" s="79"/>
      <c r="W766" s="79"/>
      <c r="Z766" s="130"/>
      <c r="AB766" s="106"/>
    </row>
    <row r="767">
      <c r="C767" s="79"/>
      <c r="D767" s="79"/>
      <c r="E767" s="79"/>
      <c r="M767" s="79"/>
      <c r="R767" s="79"/>
      <c r="S767" s="79"/>
      <c r="V767" s="79"/>
      <c r="W767" s="79"/>
      <c r="Z767" s="130"/>
      <c r="AB767" s="106"/>
    </row>
    <row r="768">
      <c r="C768" s="79"/>
      <c r="D768" s="79"/>
      <c r="E768" s="79"/>
      <c r="M768" s="79"/>
      <c r="R768" s="79"/>
      <c r="S768" s="79"/>
      <c r="V768" s="79"/>
      <c r="W768" s="79"/>
      <c r="Z768" s="130"/>
      <c r="AB768" s="106"/>
    </row>
    <row r="769">
      <c r="C769" s="79"/>
      <c r="D769" s="79"/>
      <c r="E769" s="79"/>
      <c r="M769" s="79"/>
      <c r="R769" s="79"/>
      <c r="S769" s="79"/>
      <c r="V769" s="79"/>
      <c r="W769" s="79"/>
      <c r="Z769" s="130"/>
      <c r="AB769" s="106"/>
    </row>
    <row r="770">
      <c r="C770" s="79"/>
      <c r="D770" s="79"/>
      <c r="E770" s="79"/>
      <c r="M770" s="79"/>
      <c r="R770" s="79"/>
      <c r="S770" s="79"/>
      <c r="V770" s="79"/>
      <c r="W770" s="79"/>
      <c r="Z770" s="130"/>
      <c r="AB770" s="106"/>
    </row>
    <row r="771">
      <c r="C771" s="79"/>
      <c r="D771" s="79"/>
      <c r="E771" s="79"/>
      <c r="M771" s="79"/>
      <c r="R771" s="79"/>
      <c r="S771" s="79"/>
      <c r="V771" s="79"/>
      <c r="W771" s="79"/>
      <c r="Z771" s="130"/>
      <c r="AB771" s="106"/>
    </row>
    <row r="772">
      <c r="C772" s="79"/>
      <c r="D772" s="79"/>
      <c r="E772" s="79"/>
      <c r="M772" s="79"/>
      <c r="R772" s="79"/>
      <c r="S772" s="79"/>
      <c r="V772" s="79"/>
      <c r="W772" s="79"/>
      <c r="Z772" s="130"/>
      <c r="AB772" s="106"/>
    </row>
    <row r="773">
      <c r="C773" s="79"/>
      <c r="D773" s="79"/>
      <c r="E773" s="79"/>
      <c r="M773" s="79"/>
      <c r="R773" s="79"/>
      <c r="S773" s="79"/>
      <c r="V773" s="79"/>
      <c r="W773" s="79"/>
      <c r="Z773" s="130"/>
      <c r="AB773" s="106"/>
    </row>
    <row r="774">
      <c r="C774" s="79"/>
      <c r="D774" s="79"/>
      <c r="E774" s="79"/>
      <c r="M774" s="79"/>
      <c r="R774" s="79"/>
      <c r="S774" s="79"/>
      <c r="V774" s="79"/>
      <c r="W774" s="79"/>
      <c r="Z774" s="130"/>
      <c r="AB774" s="106"/>
    </row>
    <row r="775">
      <c r="C775" s="79"/>
      <c r="D775" s="79"/>
      <c r="E775" s="79"/>
      <c r="M775" s="79"/>
      <c r="R775" s="79"/>
      <c r="S775" s="79"/>
      <c r="V775" s="79"/>
      <c r="W775" s="79"/>
      <c r="Z775" s="130"/>
      <c r="AB775" s="106"/>
    </row>
    <row r="776">
      <c r="C776" s="79"/>
      <c r="D776" s="79"/>
      <c r="E776" s="79"/>
      <c r="M776" s="79"/>
      <c r="R776" s="79"/>
      <c r="S776" s="79"/>
      <c r="V776" s="79"/>
      <c r="W776" s="79"/>
      <c r="Z776" s="130"/>
      <c r="AB776" s="106"/>
    </row>
    <row r="777">
      <c r="C777" s="79"/>
      <c r="D777" s="79"/>
      <c r="E777" s="79"/>
      <c r="M777" s="79"/>
      <c r="R777" s="79"/>
      <c r="S777" s="79"/>
      <c r="V777" s="79"/>
      <c r="W777" s="79"/>
      <c r="Z777" s="130"/>
      <c r="AB777" s="106"/>
    </row>
    <row r="778">
      <c r="C778" s="79"/>
      <c r="D778" s="79"/>
      <c r="E778" s="79"/>
      <c r="M778" s="79"/>
      <c r="R778" s="79"/>
      <c r="S778" s="79"/>
      <c r="V778" s="79"/>
      <c r="W778" s="79"/>
      <c r="Z778" s="130"/>
      <c r="AB778" s="106"/>
    </row>
    <row r="779">
      <c r="C779" s="79"/>
      <c r="D779" s="79"/>
      <c r="E779" s="79"/>
      <c r="M779" s="79"/>
      <c r="R779" s="79"/>
      <c r="S779" s="79"/>
      <c r="V779" s="79"/>
      <c r="W779" s="79"/>
      <c r="Z779" s="130"/>
      <c r="AB779" s="106"/>
    </row>
    <row r="780">
      <c r="C780" s="79"/>
      <c r="D780" s="79"/>
      <c r="E780" s="79"/>
      <c r="M780" s="79"/>
      <c r="R780" s="79"/>
      <c r="S780" s="79"/>
      <c r="V780" s="79"/>
      <c r="W780" s="79"/>
      <c r="Z780" s="130"/>
      <c r="AB780" s="106"/>
    </row>
    <row r="781">
      <c r="C781" s="79"/>
      <c r="D781" s="79"/>
      <c r="E781" s="79"/>
      <c r="M781" s="79"/>
      <c r="R781" s="79"/>
      <c r="S781" s="79"/>
      <c r="V781" s="79"/>
      <c r="W781" s="79"/>
      <c r="Z781" s="130"/>
      <c r="AB781" s="106"/>
    </row>
    <row r="782">
      <c r="C782" s="79"/>
      <c r="D782" s="79"/>
      <c r="E782" s="79"/>
      <c r="M782" s="79"/>
      <c r="R782" s="79"/>
      <c r="S782" s="79"/>
      <c r="V782" s="79"/>
      <c r="W782" s="79"/>
      <c r="Z782" s="130"/>
      <c r="AB782" s="106"/>
    </row>
    <row r="783">
      <c r="C783" s="79"/>
      <c r="D783" s="79"/>
      <c r="E783" s="79"/>
      <c r="M783" s="79"/>
      <c r="R783" s="79"/>
      <c r="S783" s="79"/>
      <c r="V783" s="79"/>
      <c r="W783" s="79"/>
      <c r="Z783" s="130"/>
      <c r="AB783" s="106"/>
    </row>
    <row r="784">
      <c r="C784" s="79"/>
      <c r="D784" s="79"/>
      <c r="E784" s="79"/>
      <c r="M784" s="79"/>
      <c r="R784" s="79"/>
      <c r="S784" s="79"/>
      <c r="V784" s="79"/>
      <c r="W784" s="79"/>
      <c r="Z784" s="130"/>
      <c r="AB784" s="106"/>
    </row>
    <row r="785">
      <c r="C785" s="79"/>
      <c r="D785" s="79"/>
      <c r="E785" s="79"/>
      <c r="M785" s="79"/>
      <c r="R785" s="79"/>
      <c r="S785" s="79"/>
      <c r="V785" s="79"/>
      <c r="W785" s="79"/>
      <c r="Z785" s="130"/>
      <c r="AB785" s="106"/>
    </row>
    <row r="786">
      <c r="C786" s="79"/>
      <c r="D786" s="79"/>
      <c r="E786" s="79"/>
      <c r="M786" s="79"/>
      <c r="R786" s="79"/>
      <c r="S786" s="79"/>
      <c r="V786" s="79"/>
      <c r="W786" s="79"/>
      <c r="Z786" s="130"/>
      <c r="AB786" s="106"/>
    </row>
    <row r="787">
      <c r="C787" s="79"/>
      <c r="D787" s="79"/>
      <c r="E787" s="79"/>
      <c r="M787" s="79"/>
      <c r="R787" s="79"/>
      <c r="S787" s="79"/>
      <c r="V787" s="79"/>
      <c r="W787" s="79"/>
      <c r="Z787" s="130"/>
      <c r="AB787" s="106"/>
    </row>
    <row r="788">
      <c r="C788" s="79"/>
      <c r="D788" s="79"/>
      <c r="E788" s="79"/>
      <c r="M788" s="79"/>
      <c r="R788" s="79"/>
      <c r="S788" s="79"/>
      <c r="V788" s="79"/>
      <c r="W788" s="79"/>
      <c r="Z788" s="130"/>
      <c r="AB788" s="106"/>
    </row>
    <row r="789">
      <c r="C789" s="79"/>
      <c r="D789" s="79"/>
      <c r="E789" s="79"/>
      <c r="M789" s="79"/>
      <c r="R789" s="79"/>
      <c r="S789" s="79"/>
      <c r="V789" s="79"/>
      <c r="W789" s="79"/>
      <c r="Z789" s="130"/>
      <c r="AB789" s="106"/>
    </row>
    <row r="790">
      <c r="C790" s="79"/>
      <c r="D790" s="79"/>
      <c r="E790" s="79"/>
      <c r="M790" s="79"/>
      <c r="R790" s="79"/>
      <c r="S790" s="79"/>
      <c r="V790" s="79"/>
      <c r="W790" s="79"/>
      <c r="Z790" s="130"/>
      <c r="AB790" s="106"/>
    </row>
    <row r="791">
      <c r="C791" s="79"/>
      <c r="D791" s="79"/>
      <c r="E791" s="79"/>
      <c r="M791" s="79"/>
      <c r="R791" s="79"/>
      <c r="S791" s="79"/>
      <c r="V791" s="79"/>
      <c r="W791" s="79"/>
      <c r="Z791" s="130"/>
      <c r="AB791" s="106"/>
    </row>
    <row r="792">
      <c r="C792" s="79"/>
      <c r="D792" s="79"/>
      <c r="E792" s="79"/>
      <c r="M792" s="79"/>
      <c r="R792" s="79"/>
      <c r="S792" s="79"/>
      <c r="V792" s="79"/>
      <c r="W792" s="79"/>
      <c r="Z792" s="130"/>
      <c r="AB792" s="106"/>
    </row>
    <row r="793">
      <c r="C793" s="79"/>
      <c r="D793" s="79"/>
      <c r="E793" s="79"/>
      <c r="M793" s="79"/>
      <c r="R793" s="79"/>
      <c r="S793" s="79"/>
      <c r="V793" s="79"/>
      <c r="W793" s="79"/>
      <c r="Z793" s="130"/>
      <c r="AB793" s="106"/>
    </row>
    <row r="794">
      <c r="C794" s="79"/>
      <c r="D794" s="79"/>
      <c r="E794" s="79"/>
      <c r="M794" s="79"/>
      <c r="R794" s="79"/>
      <c r="S794" s="79"/>
      <c r="V794" s="79"/>
      <c r="W794" s="79"/>
      <c r="Z794" s="130"/>
      <c r="AB794" s="106"/>
    </row>
    <row r="795">
      <c r="C795" s="79"/>
      <c r="D795" s="79"/>
      <c r="E795" s="79"/>
      <c r="M795" s="79"/>
      <c r="R795" s="79"/>
      <c r="S795" s="79"/>
      <c r="V795" s="79"/>
      <c r="W795" s="79"/>
      <c r="Z795" s="130"/>
      <c r="AB795" s="106"/>
    </row>
    <row r="796">
      <c r="C796" s="79"/>
      <c r="D796" s="79"/>
      <c r="E796" s="79"/>
      <c r="M796" s="79"/>
      <c r="R796" s="79"/>
      <c r="S796" s="79"/>
      <c r="V796" s="79"/>
      <c r="W796" s="79"/>
      <c r="Z796" s="130"/>
      <c r="AB796" s="106"/>
    </row>
    <row r="797">
      <c r="C797" s="79"/>
      <c r="D797" s="79"/>
      <c r="E797" s="79"/>
      <c r="M797" s="79"/>
      <c r="R797" s="79"/>
      <c r="S797" s="79"/>
      <c r="V797" s="79"/>
      <c r="W797" s="79"/>
      <c r="Z797" s="130"/>
      <c r="AB797" s="106"/>
    </row>
    <row r="798">
      <c r="C798" s="79"/>
      <c r="D798" s="79"/>
      <c r="E798" s="79"/>
      <c r="M798" s="79"/>
      <c r="R798" s="79"/>
      <c r="S798" s="79"/>
      <c r="V798" s="79"/>
      <c r="W798" s="79"/>
      <c r="Z798" s="130"/>
      <c r="AB798" s="106"/>
    </row>
    <row r="799">
      <c r="C799" s="79"/>
      <c r="D799" s="79"/>
      <c r="E799" s="79"/>
      <c r="M799" s="79"/>
      <c r="R799" s="79"/>
      <c r="S799" s="79"/>
      <c r="V799" s="79"/>
      <c r="W799" s="79"/>
      <c r="Z799" s="130"/>
      <c r="AB799" s="106"/>
    </row>
    <row r="800">
      <c r="C800" s="79"/>
      <c r="D800" s="79"/>
      <c r="E800" s="79"/>
      <c r="M800" s="79"/>
      <c r="R800" s="79"/>
      <c r="S800" s="79"/>
      <c r="V800" s="79"/>
      <c r="W800" s="79"/>
      <c r="Z800" s="130"/>
      <c r="AB800" s="106"/>
    </row>
    <row r="801">
      <c r="C801" s="79"/>
      <c r="D801" s="79"/>
      <c r="E801" s="79"/>
      <c r="M801" s="79"/>
      <c r="R801" s="79"/>
      <c r="S801" s="79"/>
      <c r="V801" s="79"/>
      <c r="W801" s="79"/>
      <c r="Z801" s="130"/>
      <c r="AB801" s="106"/>
    </row>
    <row r="802">
      <c r="C802" s="79"/>
      <c r="D802" s="79"/>
      <c r="E802" s="79"/>
      <c r="M802" s="79"/>
      <c r="R802" s="79"/>
      <c r="S802" s="79"/>
      <c r="V802" s="79"/>
      <c r="W802" s="79"/>
      <c r="Z802" s="130"/>
      <c r="AB802" s="106"/>
    </row>
    <row r="803">
      <c r="C803" s="79"/>
      <c r="D803" s="79"/>
      <c r="E803" s="79"/>
      <c r="M803" s="79"/>
      <c r="R803" s="79"/>
      <c r="S803" s="79"/>
      <c r="V803" s="79"/>
      <c r="W803" s="79"/>
      <c r="Z803" s="130"/>
      <c r="AB803" s="106"/>
    </row>
    <row r="804">
      <c r="C804" s="79"/>
      <c r="D804" s="79"/>
      <c r="E804" s="79"/>
      <c r="M804" s="79"/>
      <c r="R804" s="79"/>
      <c r="S804" s="79"/>
      <c r="V804" s="79"/>
      <c r="W804" s="79"/>
      <c r="Z804" s="130"/>
      <c r="AB804" s="106"/>
    </row>
    <row r="805">
      <c r="C805" s="79"/>
      <c r="D805" s="79"/>
      <c r="E805" s="79"/>
      <c r="M805" s="79"/>
      <c r="R805" s="79"/>
      <c r="S805" s="79"/>
      <c r="V805" s="79"/>
      <c r="W805" s="79"/>
      <c r="Z805" s="130"/>
      <c r="AB805" s="106"/>
    </row>
    <row r="806">
      <c r="C806" s="79"/>
      <c r="D806" s="79"/>
      <c r="E806" s="79"/>
      <c r="M806" s="79"/>
      <c r="R806" s="79"/>
      <c r="S806" s="79"/>
      <c r="V806" s="79"/>
      <c r="W806" s="79"/>
      <c r="Z806" s="130"/>
      <c r="AB806" s="106"/>
    </row>
    <row r="807">
      <c r="C807" s="79"/>
      <c r="D807" s="79"/>
      <c r="E807" s="79"/>
      <c r="M807" s="79"/>
      <c r="R807" s="79"/>
      <c r="S807" s="79"/>
      <c r="V807" s="79"/>
      <c r="W807" s="79"/>
      <c r="Z807" s="130"/>
      <c r="AB807" s="106"/>
    </row>
    <row r="808">
      <c r="C808" s="79"/>
      <c r="D808" s="79"/>
      <c r="E808" s="79"/>
      <c r="M808" s="79"/>
      <c r="R808" s="79"/>
      <c r="S808" s="79"/>
      <c r="V808" s="79"/>
      <c r="W808" s="79"/>
      <c r="Z808" s="130"/>
      <c r="AB808" s="106"/>
    </row>
    <row r="809">
      <c r="C809" s="79"/>
      <c r="D809" s="79"/>
      <c r="E809" s="79"/>
      <c r="M809" s="79"/>
      <c r="R809" s="79"/>
      <c r="S809" s="79"/>
      <c r="V809" s="79"/>
      <c r="W809" s="79"/>
      <c r="Z809" s="130"/>
      <c r="AB809" s="106"/>
    </row>
    <row r="810">
      <c r="C810" s="79"/>
      <c r="D810" s="79"/>
      <c r="E810" s="79"/>
      <c r="M810" s="79"/>
      <c r="R810" s="79"/>
      <c r="S810" s="79"/>
      <c r="V810" s="79"/>
      <c r="W810" s="79"/>
      <c r="Z810" s="130"/>
      <c r="AB810" s="106"/>
    </row>
    <row r="811">
      <c r="C811" s="79"/>
      <c r="D811" s="79"/>
      <c r="E811" s="79"/>
      <c r="M811" s="79"/>
      <c r="R811" s="79"/>
      <c r="S811" s="79"/>
      <c r="V811" s="79"/>
      <c r="W811" s="79"/>
      <c r="Z811" s="130"/>
      <c r="AB811" s="106"/>
    </row>
    <row r="812">
      <c r="C812" s="79"/>
      <c r="D812" s="79"/>
      <c r="E812" s="79"/>
      <c r="M812" s="79"/>
      <c r="R812" s="79"/>
      <c r="S812" s="79"/>
      <c r="V812" s="79"/>
      <c r="W812" s="79"/>
      <c r="Z812" s="130"/>
      <c r="AB812" s="106"/>
    </row>
    <row r="813">
      <c r="C813" s="79"/>
      <c r="D813" s="79"/>
      <c r="E813" s="79"/>
      <c r="M813" s="79"/>
      <c r="R813" s="79"/>
      <c r="S813" s="79"/>
      <c r="V813" s="79"/>
      <c r="W813" s="79"/>
      <c r="Z813" s="130"/>
      <c r="AB813" s="106"/>
    </row>
    <row r="814">
      <c r="C814" s="79"/>
      <c r="D814" s="79"/>
      <c r="E814" s="79"/>
      <c r="M814" s="79"/>
      <c r="R814" s="79"/>
      <c r="S814" s="79"/>
      <c r="V814" s="79"/>
      <c r="W814" s="79"/>
      <c r="Z814" s="130"/>
      <c r="AB814" s="106"/>
    </row>
    <row r="815">
      <c r="C815" s="79"/>
      <c r="D815" s="79"/>
      <c r="E815" s="79"/>
      <c r="M815" s="79"/>
      <c r="R815" s="79"/>
      <c r="S815" s="79"/>
      <c r="V815" s="79"/>
      <c r="W815" s="79"/>
      <c r="Z815" s="130"/>
      <c r="AB815" s="106"/>
    </row>
    <row r="816">
      <c r="C816" s="79"/>
      <c r="D816" s="79"/>
      <c r="E816" s="79"/>
      <c r="M816" s="79"/>
      <c r="R816" s="79"/>
      <c r="S816" s="79"/>
      <c r="V816" s="79"/>
      <c r="W816" s="79"/>
      <c r="Z816" s="130"/>
      <c r="AB816" s="106"/>
    </row>
    <row r="817">
      <c r="C817" s="79"/>
      <c r="D817" s="79"/>
      <c r="E817" s="79"/>
      <c r="M817" s="79"/>
      <c r="R817" s="79"/>
      <c r="S817" s="79"/>
      <c r="V817" s="79"/>
      <c r="W817" s="79"/>
      <c r="Z817" s="130"/>
      <c r="AB817" s="106"/>
    </row>
    <row r="818">
      <c r="C818" s="79"/>
      <c r="D818" s="79"/>
      <c r="E818" s="79"/>
      <c r="M818" s="79"/>
      <c r="R818" s="79"/>
      <c r="S818" s="79"/>
      <c r="V818" s="79"/>
      <c r="W818" s="79"/>
      <c r="Z818" s="130"/>
      <c r="AB818" s="106"/>
    </row>
    <row r="819">
      <c r="C819" s="79"/>
      <c r="D819" s="79"/>
      <c r="E819" s="79"/>
      <c r="M819" s="79"/>
      <c r="R819" s="79"/>
      <c r="S819" s="79"/>
      <c r="V819" s="79"/>
      <c r="W819" s="79"/>
      <c r="Z819" s="130"/>
      <c r="AB819" s="106"/>
    </row>
    <row r="820">
      <c r="C820" s="79"/>
      <c r="D820" s="79"/>
      <c r="E820" s="79"/>
      <c r="M820" s="79"/>
      <c r="R820" s="79"/>
      <c r="S820" s="79"/>
      <c r="V820" s="79"/>
      <c r="W820" s="79"/>
      <c r="Z820" s="130"/>
      <c r="AB820" s="106"/>
    </row>
    <row r="821">
      <c r="C821" s="79"/>
      <c r="D821" s="79"/>
      <c r="E821" s="79"/>
      <c r="M821" s="79"/>
      <c r="R821" s="79"/>
      <c r="S821" s="79"/>
      <c r="V821" s="79"/>
      <c r="W821" s="79"/>
      <c r="Z821" s="130"/>
      <c r="AB821" s="106"/>
    </row>
    <row r="822">
      <c r="C822" s="79"/>
      <c r="D822" s="79"/>
      <c r="E822" s="79"/>
      <c r="M822" s="79"/>
      <c r="R822" s="79"/>
      <c r="S822" s="79"/>
      <c r="V822" s="79"/>
      <c r="W822" s="79"/>
      <c r="Z822" s="130"/>
      <c r="AB822" s="106"/>
    </row>
    <row r="823">
      <c r="C823" s="79"/>
      <c r="D823" s="79"/>
      <c r="E823" s="79"/>
      <c r="M823" s="79"/>
      <c r="R823" s="79"/>
      <c r="S823" s="79"/>
      <c r="V823" s="79"/>
      <c r="W823" s="79"/>
      <c r="Z823" s="130"/>
      <c r="AB823" s="106"/>
    </row>
    <row r="824">
      <c r="C824" s="79"/>
      <c r="D824" s="79"/>
      <c r="E824" s="79"/>
      <c r="M824" s="79"/>
      <c r="R824" s="79"/>
      <c r="S824" s="79"/>
      <c r="V824" s="79"/>
      <c r="W824" s="79"/>
      <c r="Z824" s="130"/>
      <c r="AB824" s="106"/>
    </row>
    <row r="825">
      <c r="C825" s="79"/>
      <c r="D825" s="79"/>
      <c r="E825" s="79"/>
      <c r="M825" s="79"/>
      <c r="R825" s="79"/>
      <c r="S825" s="79"/>
      <c r="V825" s="79"/>
      <c r="W825" s="79"/>
      <c r="Z825" s="130"/>
      <c r="AB825" s="106"/>
    </row>
    <row r="826">
      <c r="C826" s="79"/>
      <c r="D826" s="79"/>
      <c r="E826" s="79"/>
      <c r="M826" s="79"/>
      <c r="R826" s="79"/>
      <c r="S826" s="79"/>
      <c r="V826" s="79"/>
      <c r="W826" s="79"/>
      <c r="Z826" s="130"/>
      <c r="AB826" s="106"/>
    </row>
    <row r="827">
      <c r="C827" s="79"/>
      <c r="D827" s="79"/>
      <c r="E827" s="79"/>
      <c r="M827" s="79"/>
      <c r="R827" s="79"/>
      <c r="S827" s="79"/>
      <c r="V827" s="79"/>
      <c r="W827" s="79"/>
      <c r="Z827" s="130"/>
      <c r="AB827" s="106"/>
    </row>
    <row r="828">
      <c r="C828" s="79"/>
      <c r="D828" s="79"/>
      <c r="E828" s="79"/>
      <c r="M828" s="79"/>
      <c r="R828" s="79"/>
      <c r="S828" s="79"/>
      <c r="V828" s="79"/>
      <c r="W828" s="79"/>
      <c r="Z828" s="130"/>
      <c r="AB828" s="106"/>
    </row>
    <row r="829">
      <c r="C829" s="79"/>
      <c r="D829" s="79"/>
      <c r="E829" s="79"/>
      <c r="M829" s="79"/>
      <c r="R829" s="79"/>
      <c r="S829" s="79"/>
      <c r="V829" s="79"/>
      <c r="W829" s="79"/>
      <c r="Z829" s="130"/>
      <c r="AB829" s="106"/>
    </row>
    <row r="830">
      <c r="C830" s="79"/>
      <c r="D830" s="79"/>
      <c r="E830" s="79"/>
      <c r="M830" s="79"/>
      <c r="R830" s="79"/>
      <c r="S830" s="79"/>
      <c r="V830" s="79"/>
      <c r="W830" s="79"/>
      <c r="Z830" s="130"/>
      <c r="AB830" s="106"/>
    </row>
    <row r="831">
      <c r="C831" s="79"/>
      <c r="D831" s="79"/>
      <c r="E831" s="79"/>
      <c r="M831" s="79"/>
      <c r="R831" s="79"/>
      <c r="S831" s="79"/>
      <c r="V831" s="79"/>
      <c r="W831" s="79"/>
      <c r="Z831" s="130"/>
      <c r="AB831" s="106"/>
    </row>
    <row r="832">
      <c r="C832" s="79"/>
      <c r="D832" s="79"/>
      <c r="E832" s="79"/>
      <c r="M832" s="79"/>
      <c r="R832" s="79"/>
      <c r="S832" s="79"/>
      <c r="V832" s="79"/>
      <c r="W832" s="79"/>
      <c r="Z832" s="130"/>
      <c r="AB832" s="106"/>
    </row>
    <row r="833">
      <c r="C833" s="79"/>
      <c r="D833" s="79"/>
      <c r="E833" s="79"/>
      <c r="M833" s="79"/>
      <c r="R833" s="79"/>
      <c r="S833" s="79"/>
      <c r="V833" s="79"/>
      <c r="W833" s="79"/>
      <c r="Z833" s="130"/>
      <c r="AB833" s="106"/>
    </row>
    <row r="834">
      <c r="C834" s="79"/>
      <c r="D834" s="79"/>
      <c r="E834" s="79"/>
      <c r="M834" s="79"/>
      <c r="R834" s="79"/>
      <c r="S834" s="79"/>
      <c r="V834" s="79"/>
      <c r="W834" s="79"/>
      <c r="Z834" s="130"/>
      <c r="AB834" s="106"/>
    </row>
    <row r="835">
      <c r="C835" s="79"/>
      <c r="D835" s="79"/>
      <c r="E835" s="79"/>
      <c r="M835" s="79"/>
      <c r="R835" s="79"/>
      <c r="S835" s="79"/>
      <c r="V835" s="79"/>
      <c r="W835" s="79"/>
      <c r="Z835" s="130"/>
      <c r="AB835" s="106"/>
    </row>
    <row r="836">
      <c r="C836" s="79"/>
      <c r="D836" s="79"/>
      <c r="E836" s="79"/>
      <c r="M836" s="79"/>
      <c r="R836" s="79"/>
      <c r="S836" s="79"/>
      <c r="V836" s="79"/>
      <c r="W836" s="79"/>
      <c r="Z836" s="130"/>
      <c r="AB836" s="106"/>
    </row>
    <row r="837">
      <c r="C837" s="79"/>
      <c r="D837" s="79"/>
      <c r="E837" s="79"/>
      <c r="M837" s="79"/>
      <c r="R837" s="79"/>
      <c r="S837" s="79"/>
      <c r="V837" s="79"/>
      <c r="W837" s="79"/>
      <c r="Z837" s="130"/>
      <c r="AB837" s="106"/>
    </row>
    <row r="838">
      <c r="C838" s="79"/>
      <c r="D838" s="79"/>
      <c r="E838" s="79"/>
      <c r="M838" s="79"/>
      <c r="R838" s="79"/>
      <c r="S838" s="79"/>
      <c r="V838" s="79"/>
      <c r="W838" s="79"/>
      <c r="Z838" s="130"/>
      <c r="AB838" s="106"/>
    </row>
    <row r="839">
      <c r="C839" s="79"/>
      <c r="D839" s="79"/>
      <c r="E839" s="79"/>
      <c r="M839" s="79"/>
      <c r="R839" s="79"/>
      <c r="S839" s="79"/>
      <c r="V839" s="79"/>
      <c r="W839" s="79"/>
      <c r="Z839" s="130"/>
      <c r="AB839" s="106"/>
    </row>
    <row r="840">
      <c r="C840" s="79"/>
      <c r="D840" s="79"/>
      <c r="E840" s="79"/>
      <c r="M840" s="79"/>
      <c r="R840" s="79"/>
      <c r="S840" s="79"/>
      <c r="V840" s="79"/>
      <c r="W840" s="79"/>
      <c r="Z840" s="130"/>
      <c r="AB840" s="106"/>
    </row>
    <row r="841">
      <c r="C841" s="79"/>
      <c r="D841" s="79"/>
      <c r="E841" s="79"/>
      <c r="M841" s="79"/>
      <c r="R841" s="79"/>
      <c r="S841" s="79"/>
      <c r="V841" s="79"/>
      <c r="W841" s="79"/>
      <c r="Z841" s="130"/>
      <c r="AB841" s="106"/>
    </row>
    <row r="842">
      <c r="C842" s="79"/>
      <c r="D842" s="79"/>
      <c r="E842" s="79"/>
      <c r="M842" s="79"/>
      <c r="R842" s="79"/>
      <c r="S842" s="79"/>
      <c r="V842" s="79"/>
      <c r="W842" s="79"/>
      <c r="Z842" s="130"/>
      <c r="AB842" s="106"/>
    </row>
    <row r="843">
      <c r="C843" s="79"/>
      <c r="D843" s="79"/>
      <c r="E843" s="79"/>
      <c r="M843" s="79"/>
      <c r="R843" s="79"/>
      <c r="S843" s="79"/>
      <c r="V843" s="79"/>
      <c r="W843" s="79"/>
      <c r="Z843" s="130"/>
      <c r="AB843" s="106"/>
    </row>
    <row r="844">
      <c r="C844" s="79"/>
      <c r="D844" s="79"/>
      <c r="E844" s="79"/>
      <c r="M844" s="79"/>
      <c r="R844" s="79"/>
      <c r="S844" s="79"/>
      <c r="V844" s="79"/>
      <c r="W844" s="79"/>
      <c r="Z844" s="130"/>
      <c r="AB844" s="106"/>
    </row>
    <row r="845">
      <c r="C845" s="79"/>
      <c r="D845" s="79"/>
      <c r="E845" s="79"/>
      <c r="M845" s="79"/>
      <c r="R845" s="79"/>
      <c r="S845" s="79"/>
      <c r="V845" s="79"/>
      <c r="W845" s="79"/>
      <c r="Z845" s="130"/>
      <c r="AB845" s="106"/>
    </row>
    <row r="846">
      <c r="C846" s="79"/>
      <c r="D846" s="79"/>
      <c r="E846" s="79"/>
      <c r="M846" s="79"/>
      <c r="R846" s="79"/>
      <c r="S846" s="79"/>
      <c r="V846" s="79"/>
      <c r="W846" s="79"/>
      <c r="Z846" s="130"/>
      <c r="AB846" s="106"/>
    </row>
    <row r="847">
      <c r="C847" s="79"/>
      <c r="D847" s="79"/>
      <c r="E847" s="79"/>
      <c r="M847" s="79"/>
      <c r="R847" s="79"/>
      <c r="S847" s="79"/>
      <c r="V847" s="79"/>
      <c r="W847" s="79"/>
      <c r="Z847" s="130"/>
      <c r="AB847" s="106"/>
    </row>
    <row r="848">
      <c r="C848" s="79"/>
      <c r="D848" s="79"/>
      <c r="E848" s="79"/>
      <c r="M848" s="79"/>
      <c r="R848" s="79"/>
      <c r="S848" s="79"/>
      <c r="V848" s="79"/>
      <c r="W848" s="79"/>
      <c r="Z848" s="130"/>
      <c r="AB848" s="106"/>
    </row>
    <row r="849">
      <c r="C849" s="79"/>
      <c r="D849" s="79"/>
      <c r="E849" s="79"/>
      <c r="M849" s="79"/>
      <c r="R849" s="79"/>
      <c r="S849" s="79"/>
      <c r="V849" s="79"/>
      <c r="W849" s="79"/>
      <c r="Z849" s="130"/>
      <c r="AB849" s="106"/>
    </row>
    <row r="850">
      <c r="C850" s="79"/>
      <c r="D850" s="79"/>
      <c r="E850" s="79"/>
      <c r="M850" s="79"/>
      <c r="R850" s="79"/>
      <c r="S850" s="79"/>
      <c r="V850" s="79"/>
      <c r="W850" s="79"/>
      <c r="Z850" s="130"/>
      <c r="AB850" s="106"/>
    </row>
    <row r="851">
      <c r="C851" s="79"/>
      <c r="D851" s="79"/>
      <c r="E851" s="79"/>
      <c r="M851" s="79"/>
      <c r="R851" s="79"/>
      <c r="S851" s="79"/>
      <c r="V851" s="79"/>
      <c r="W851" s="79"/>
      <c r="Z851" s="130"/>
      <c r="AB851" s="106"/>
    </row>
    <row r="852">
      <c r="C852" s="79"/>
      <c r="D852" s="79"/>
      <c r="E852" s="79"/>
      <c r="M852" s="79"/>
      <c r="R852" s="79"/>
      <c r="S852" s="79"/>
      <c r="V852" s="79"/>
      <c r="W852" s="79"/>
      <c r="Z852" s="130"/>
      <c r="AB852" s="106"/>
    </row>
    <row r="853">
      <c r="C853" s="79"/>
      <c r="D853" s="79"/>
      <c r="E853" s="79"/>
      <c r="M853" s="79"/>
      <c r="R853" s="79"/>
      <c r="S853" s="79"/>
      <c r="V853" s="79"/>
      <c r="W853" s="79"/>
      <c r="Z853" s="130"/>
      <c r="AB853" s="106"/>
    </row>
    <row r="854">
      <c r="C854" s="79"/>
      <c r="D854" s="79"/>
      <c r="E854" s="79"/>
      <c r="M854" s="79"/>
      <c r="R854" s="79"/>
      <c r="S854" s="79"/>
      <c r="V854" s="79"/>
      <c r="W854" s="79"/>
      <c r="Z854" s="130"/>
      <c r="AB854" s="106"/>
    </row>
    <row r="855">
      <c r="C855" s="79"/>
      <c r="D855" s="79"/>
      <c r="E855" s="79"/>
      <c r="M855" s="79"/>
      <c r="R855" s="79"/>
      <c r="S855" s="79"/>
      <c r="V855" s="79"/>
      <c r="W855" s="79"/>
      <c r="Z855" s="130"/>
      <c r="AB855" s="106"/>
    </row>
    <row r="856">
      <c r="C856" s="79"/>
      <c r="D856" s="79"/>
      <c r="E856" s="79"/>
      <c r="M856" s="79"/>
      <c r="R856" s="79"/>
      <c r="S856" s="79"/>
      <c r="V856" s="79"/>
      <c r="W856" s="79"/>
      <c r="Z856" s="130"/>
      <c r="AB856" s="106"/>
    </row>
    <row r="857">
      <c r="C857" s="79"/>
      <c r="D857" s="79"/>
      <c r="E857" s="79"/>
      <c r="M857" s="79"/>
      <c r="R857" s="79"/>
      <c r="S857" s="79"/>
      <c r="V857" s="79"/>
      <c r="W857" s="79"/>
      <c r="Z857" s="130"/>
      <c r="AB857" s="106"/>
    </row>
    <row r="858">
      <c r="C858" s="79"/>
      <c r="D858" s="79"/>
      <c r="E858" s="79"/>
      <c r="M858" s="79"/>
      <c r="R858" s="79"/>
      <c r="S858" s="79"/>
      <c r="V858" s="79"/>
      <c r="W858" s="79"/>
      <c r="Z858" s="130"/>
      <c r="AB858" s="106"/>
    </row>
    <row r="859">
      <c r="C859" s="79"/>
      <c r="D859" s="79"/>
      <c r="E859" s="79"/>
      <c r="M859" s="79"/>
      <c r="R859" s="79"/>
      <c r="S859" s="79"/>
      <c r="V859" s="79"/>
      <c r="W859" s="79"/>
      <c r="Z859" s="130"/>
      <c r="AB859" s="106"/>
    </row>
    <row r="860">
      <c r="C860" s="79"/>
      <c r="D860" s="79"/>
      <c r="E860" s="79"/>
      <c r="M860" s="79"/>
      <c r="R860" s="79"/>
      <c r="S860" s="79"/>
      <c r="V860" s="79"/>
      <c r="W860" s="79"/>
      <c r="Z860" s="130"/>
      <c r="AB860" s="106"/>
    </row>
    <row r="861">
      <c r="C861" s="79"/>
      <c r="D861" s="79"/>
      <c r="E861" s="79"/>
      <c r="M861" s="79"/>
      <c r="R861" s="79"/>
      <c r="S861" s="79"/>
      <c r="V861" s="79"/>
      <c r="W861" s="79"/>
      <c r="Z861" s="130"/>
      <c r="AB861" s="106"/>
    </row>
    <row r="862">
      <c r="C862" s="79"/>
      <c r="D862" s="79"/>
      <c r="E862" s="79"/>
      <c r="M862" s="79"/>
      <c r="R862" s="79"/>
      <c r="S862" s="79"/>
      <c r="V862" s="79"/>
      <c r="W862" s="79"/>
      <c r="Z862" s="130"/>
      <c r="AB862" s="106"/>
    </row>
    <row r="863">
      <c r="C863" s="79"/>
      <c r="D863" s="79"/>
      <c r="E863" s="79"/>
      <c r="M863" s="79"/>
      <c r="R863" s="79"/>
      <c r="S863" s="79"/>
      <c r="V863" s="79"/>
      <c r="W863" s="79"/>
      <c r="Z863" s="130"/>
      <c r="AB863" s="106"/>
    </row>
    <row r="864">
      <c r="C864" s="79"/>
      <c r="D864" s="79"/>
      <c r="E864" s="79"/>
      <c r="M864" s="79"/>
      <c r="R864" s="79"/>
      <c r="S864" s="79"/>
      <c r="V864" s="79"/>
      <c r="W864" s="79"/>
      <c r="Z864" s="130"/>
      <c r="AB864" s="106"/>
    </row>
    <row r="865">
      <c r="C865" s="79"/>
      <c r="D865" s="79"/>
      <c r="E865" s="79"/>
      <c r="M865" s="79"/>
      <c r="R865" s="79"/>
      <c r="S865" s="79"/>
      <c r="V865" s="79"/>
      <c r="W865" s="79"/>
      <c r="Z865" s="130"/>
      <c r="AB865" s="106"/>
    </row>
    <row r="866">
      <c r="C866" s="79"/>
      <c r="D866" s="79"/>
      <c r="E866" s="79"/>
      <c r="M866" s="79"/>
      <c r="R866" s="79"/>
      <c r="S866" s="79"/>
      <c r="V866" s="79"/>
      <c r="W866" s="79"/>
      <c r="Z866" s="130"/>
      <c r="AB866" s="106"/>
    </row>
    <row r="867">
      <c r="C867" s="79"/>
      <c r="D867" s="79"/>
      <c r="E867" s="79"/>
      <c r="M867" s="79"/>
      <c r="R867" s="79"/>
      <c r="S867" s="79"/>
      <c r="V867" s="79"/>
      <c r="W867" s="79"/>
      <c r="Z867" s="130"/>
      <c r="AB867" s="106"/>
    </row>
    <row r="868">
      <c r="C868" s="79"/>
      <c r="D868" s="79"/>
      <c r="E868" s="79"/>
      <c r="M868" s="79"/>
      <c r="R868" s="79"/>
      <c r="S868" s="79"/>
      <c r="V868" s="79"/>
      <c r="W868" s="79"/>
      <c r="Z868" s="130"/>
      <c r="AB868" s="106"/>
    </row>
    <row r="869">
      <c r="C869" s="79"/>
      <c r="D869" s="79"/>
      <c r="E869" s="79"/>
      <c r="M869" s="79"/>
      <c r="R869" s="79"/>
      <c r="S869" s="79"/>
      <c r="V869" s="79"/>
      <c r="W869" s="79"/>
      <c r="Z869" s="130"/>
      <c r="AB869" s="106"/>
    </row>
    <row r="870">
      <c r="C870" s="79"/>
      <c r="D870" s="79"/>
      <c r="E870" s="79"/>
      <c r="M870" s="79"/>
      <c r="R870" s="79"/>
      <c r="S870" s="79"/>
      <c r="V870" s="79"/>
      <c r="W870" s="79"/>
      <c r="Z870" s="130"/>
      <c r="AB870" s="106"/>
    </row>
    <row r="871">
      <c r="C871" s="79"/>
      <c r="D871" s="79"/>
      <c r="E871" s="79"/>
      <c r="M871" s="79"/>
      <c r="R871" s="79"/>
      <c r="S871" s="79"/>
      <c r="V871" s="79"/>
      <c r="W871" s="79"/>
      <c r="Z871" s="130"/>
      <c r="AB871" s="106"/>
    </row>
    <row r="872">
      <c r="C872" s="79"/>
      <c r="D872" s="79"/>
      <c r="E872" s="79"/>
      <c r="M872" s="79"/>
      <c r="R872" s="79"/>
      <c r="S872" s="79"/>
      <c r="V872" s="79"/>
      <c r="W872" s="79"/>
      <c r="Z872" s="130"/>
      <c r="AB872" s="106"/>
    </row>
    <row r="873">
      <c r="C873" s="79"/>
      <c r="D873" s="79"/>
      <c r="E873" s="79"/>
      <c r="M873" s="79"/>
      <c r="R873" s="79"/>
      <c r="S873" s="79"/>
      <c r="V873" s="79"/>
      <c r="W873" s="79"/>
      <c r="Z873" s="130"/>
      <c r="AB873" s="106"/>
    </row>
    <row r="874">
      <c r="C874" s="79"/>
      <c r="D874" s="79"/>
      <c r="E874" s="79"/>
      <c r="M874" s="79"/>
      <c r="R874" s="79"/>
      <c r="S874" s="79"/>
      <c r="V874" s="79"/>
      <c r="W874" s="79"/>
      <c r="Z874" s="130"/>
      <c r="AB874" s="106"/>
    </row>
    <row r="875">
      <c r="C875" s="79"/>
      <c r="D875" s="79"/>
      <c r="E875" s="79"/>
      <c r="M875" s="79"/>
      <c r="R875" s="79"/>
      <c r="S875" s="79"/>
      <c r="V875" s="79"/>
      <c r="W875" s="79"/>
      <c r="Z875" s="130"/>
      <c r="AB875" s="106"/>
    </row>
    <row r="876">
      <c r="C876" s="79"/>
      <c r="D876" s="79"/>
      <c r="E876" s="79"/>
      <c r="M876" s="79"/>
      <c r="R876" s="79"/>
      <c r="S876" s="79"/>
      <c r="V876" s="79"/>
      <c r="W876" s="79"/>
      <c r="Z876" s="130"/>
      <c r="AB876" s="106"/>
    </row>
    <row r="877">
      <c r="C877" s="79"/>
      <c r="D877" s="79"/>
      <c r="E877" s="79"/>
      <c r="M877" s="79"/>
      <c r="R877" s="79"/>
      <c r="S877" s="79"/>
      <c r="V877" s="79"/>
      <c r="W877" s="79"/>
      <c r="Z877" s="130"/>
      <c r="AB877" s="106"/>
    </row>
    <row r="878">
      <c r="C878" s="79"/>
      <c r="D878" s="79"/>
      <c r="E878" s="79"/>
      <c r="M878" s="79"/>
      <c r="R878" s="79"/>
      <c r="S878" s="79"/>
      <c r="V878" s="79"/>
      <c r="W878" s="79"/>
      <c r="Z878" s="130"/>
      <c r="AB878" s="106"/>
    </row>
    <row r="879">
      <c r="C879" s="79"/>
      <c r="D879" s="79"/>
      <c r="E879" s="79"/>
      <c r="M879" s="79"/>
      <c r="R879" s="79"/>
      <c r="S879" s="79"/>
      <c r="V879" s="79"/>
      <c r="W879" s="79"/>
      <c r="Z879" s="130"/>
      <c r="AB879" s="106"/>
    </row>
    <row r="880">
      <c r="C880" s="79"/>
      <c r="D880" s="79"/>
      <c r="E880" s="79"/>
      <c r="M880" s="79"/>
      <c r="R880" s="79"/>
      <c r="S880" s="79"/>
      <c r="V880" s="79"/>
      <c r="W880" s="79"/>
      <c r="Z880" s="130"/>
      <c r="AB880" s="106"/>
    </row>
    <row r="881">
      <c r="C881" s="79"/>
      <c r="D881" s="79"/>
      <c r="E881" s="79"/>
      <c r="M881" s="79"/>
      <c r="R881" s="79"/>
      <c r="S881" s="79"/>
      <c r="V881" s="79"/>
      <c r="W881" s="79"/>
      <c r="Z881" s="130"/>
      <c r="AB881" s="106"/>
    </row>
    <row r="882">
      <c r="C882" s="79"/>
      <c r="D882" s="79"/>
      <c r="E882" s="79"/>
      <c r="M882" s="79"/>
      <c r="R882" s="79"/>
      <c r="S882" s="79"/>
      <c r="V882" s="79"/>
      <c r="W882" s="79"/>
      <c r="Z882" s="130"/>
      <c r="AB882" s="106"/>
    </row>
    <row r="883">
      <c r="C883" s="79"/>
      <c r="D883" s="79"/>
      <c r="E883" s="79"/>
      <c r="M883" s="79"/>
      <c r="R883" s="79"/>
      <c r="S883" s="79"/>
      <c r="V883" s="79"/>
      <c r="W883" s="79"/>
      <c r="Z883" s="130"/>
      <c r="AB883" s="106"/>
    </row>
    <row r="884">
      <c r="C884" s="79"/>
      <c r="D884" s="79"/>
      <c r="E884" s="79"/>
      <c r="M884" s="79"/>
      <c r="R884" s="79"/>
      <c r="S884" s="79"/>
      <c r="V884" s="79"/>
      <c r="W884" s="79"/>
      <c r="Z884" s="130"/>
      <c r="AB884" s="106"/>
    </row>
    <row r="885">
      <c r="C885" s="79"/>
      <c r="D885" s="79"/>
      <c r="E885" s="79"/>
      <c r="M885" s="79"/>
      <c r="R885" s="79"/>
      <c r="S885" s="79"/>
      <c r="V885" s="79"/>
      <c r="W885" s="79"/>
      <c r="Z885" s="130"/>
      <c r="AB885" s="106"/>
    </row>
    <row r="886">
      <c r="C886" s="79"/>
      <c r="D886" s="79"/>
      <c r="E886" s="79"/>
      <c r="M886" s="79"/>
      <c r="R886" s="79"/>
      <c r="S886" s="79"/>
      <c r="V886" s="79"/>
      <c r="W886" s="79"/>
      <c r="Z886" s="130"/>
      <c r="AB886" s="106"/>
    </row>
    <row r="887">
      <c r="C887" s="79"/>
      <c r="D887" s="79"/>
      <c r="E887" s="79"/>
      <c r="M887" s="79"/>
      <c r="R887" s="79"/>
      <c r="S887" s="79"/>
      <c r="V887" s="79"/>
      <c r="W887" s="79"/>
      <c r="Z887" s="130"/>
      <c r="AB887" s="106"/>
    </row>
    <row r="888">
      <c r="C888" s="79"/>
      <c r="D888" s="79"/>
      <c r="E888" s="79"/>
      <c r="M888" s="79"/>
      <c r="R888" s="79"/>
      <c r="S888" s="79"/>
      <c r="V888" s="79"/>
      <c r="W888" s="79"/>
      <c r="Z888" s="130"/>
      <c r="AB888" s="106"/>
    </row>
    <row r="889">
      <c r="C889" s="79"/>
      <c r="D889" s="79"/>
      <c r="E889" s="79"/>
      <c r="M889" s="79"/>
      <c r="R889" s="79"/>
      <c r="S889" s="79"/>
      <c r="V889" s="79"/>
      <c r="W889" s="79"/>
      <c r="Z889" s="130"/>
      <c r="AB889" s="106"/>
    </row>
    <row r="890">
      <c r="C890" s="79"/>
      <c r="D890" s="79"/>
      <c r="E890" s="79"/>
      <c r="M890" s="79"/>
      <c r="R890" s="79"/>
      <c r="S890" s="79"/>
      <c r="V890" s="79"/>
      <c r="W890" s="79"/>
      <c r="Z890" s="130"/>
      <c r="AB890" s="106"/>
    </row>
    <row r="891">
      <c r="C891" s="79"/>
      <c r="D891" s="79"/>
      <c r="E891" s="79"/>
      <c r="M891" s="79"/>
      <c r="R891" s="79"/>
      <c r="S891" s="79"/>
      <c r="V891" s="79"/>
      <c r="W891" s="79"/>
      <c r="Z891" s="130"/>
      <c r="AB891" s="106"/>
    </row>
    <row r="892">
      <c r="C892" s="79"/>
      <c r="D892" s="79"/>
      <c r="E892" s="79"/>
      <c r="M892" s="79"/>
      <c r="R892" s="79"/>
      <c r="S892" s="79"/>
      <c r="V892" s="79"/>
      <c r="W892" s="79"/>
      <c r="Z892" s="130"/>
      <c r="AB892" s="106"/>
    </row>
    <row r="893">
      <c r="C893" s="79"/>
      <c r="D893" s="79"/>
      <c r="E893" s="79"/>
      <c r="M893" s="79"/>
      <c r="R893" s="79"/>
      <c r="S893" s="79"/>
      <c r="V893" s="79"/>
      <c r="W893" s="79"/>
      <c r="Z893" s="130"/>
      <c r="AB893" s="106"/>
    </row>
    <row r="894">
      <c r="C894" s="79"/>
      <c r="D894" s="79"/>
      <c r="E894" s="79"/>
      <c r="M894" s="79"/>
      <c r="R894" s="79"/>
      <c r="S894" s="79"/>
      <c r="V894" s="79"/>
      <c r="W894" s="79"/>
      <c r="Z894" s="130"/>
      <c r="AB894" s="106"/>
    </row>
    <row r="895">
      <c r="C895" s="79"/>
      <c r="D895" s="79"/>
      <c r="E895" s="79"/>
      <c r="M895" s="79"/>
      <c r="R895" s="79"/>
      <c r="S895" s="79"/>
      <c r="V895" s="79"/>
      <c r="W895" s="79"/>
      <c r="Z895" s="130"/>
      <c r="AB895" s="106"/>
    </row>
    <row r="896">
      <c r="C896" s="79"/>
      <c r="D896" s="79"/>
      <c r="E896" s="79"/>
      <c r="M896" s="79"/>
      <c r="R896" s="79"/>
      <c r="S896" s="79"/>
      <c r="V896" s="79"/>
      <c r="W896" s="79"/>
      <c r="Z896" s="130"/>
      <c r="AB896" s="106"/>
    </row>
    <row r="897">
      <c r="C897" s="79"/>
      <c r="D897" s="79"/>
      <c r="E897" s="79"/>
      <c r="M897" s="79"/>
      <c r="R897" s="79"/>
      <c r="S897" s="79"/>
      <c r="V897" s="79"/>
      <c r="W897" s="79"/>
      <c r="Z897" s="130"/>
      <c r="AB897" s="106"/>
    </row>
    <row r="898">
      <c r="C898" s="79"/>
      <c r="D898" s="79"/>
      <c r="E898" s="79"/>
      <c r="M898" s="79"/>
      <c r="R898" s="79"/>
      <c r="S898" s="79"/>
      <c r="V898" s="79"/>
      <c r="W898" s="79"/>
      <c r="Z898" s="130"/>
      <c r="AB898" s="106"/>
    </row>
    <row r="899">
      <c r="C899" s="79"/>
      <c r="D899" s="79"/>
      <c r="E899" s="79"/>
      <c r="M899" s="79"/>
      <c r="R899" s="79"/>
      <c r="S899" s="79"/>
      <c r="V899" s="79"/>
      <c r="W899" s="79"/>
      <c r="Z899" s="130"/>
      <c r="AB899" s="106"/>
    </row>
    <row r="900">
      <c r="C900" s="79"/>
      <c r="D900" s="79"/>
      <c r="E900" s="79"/>
      <c r="M900" s="79"/>
      <c r="R900" s="79"/>
      <c r="S900" s="79"/>
      <c r="V900" s="79"/>
      <c r="W900" s="79"/>
      <c r="Z900" s="130"/>
      <c r="AB900" s="106"/>
    </row>
    <row r="901">
      <c r="C901" s="79"/>
      <c r="D901" s="79"/>
      <c r="E901" s="79"/>
      <c r="M901" s="79"/>
      <c r="R901" s="79"/>
      <c r="S901" s="79"/>
      <c r="V901" s="79"/>
      <c r="W901" s="79"/>
      <c r="Z901" s="130"/>
      <c r="AB901" s="106"/>
    </row>
    <row r="902">
      <c r="C902" s="79"/>
      <c r="D902" s="79"/>
      <c r="E902" s="79"/>
      <c r="M902" s="79"/>
      <c r="R902" s="79"/>
      <c r="S902" s="79"/>
      <c r="V902" s="79"/>
      <c r="W902" s="79"/>
      <c r="Z902" s="130"/>
      <c r="AB902" s="106"/>
    </row>
    <row r="903">
      <c r="C903" s="79"/>
      <c r="D903" s="79"/>
      <c r="E903" s="79"/>
      <c r="M903" s="79"/>
      <c r="R903" s="79"/>
      <c r="S903" s="79"/>
      <c r="V903" s="79"/>
      <c r="W903" s="79"/>
      <c r="Z903" s="130"/>
      <c r="AB903" s="106"/>
    </row>
    <row r="904">
      <c r="C904" s="79"/>
      <c r="D904" s="79"/>
      <c r="E904" s="79"/>
      <c r="M904" s="79"/>
      <c r="R904" s="79"/>
      <c r="S904" s="79"/>
      <c r="V904" s="79"/>
      <c r="W904" s="79"/>
      <c r="Z904" s="130"/>
      <c r="AB904" s="106"/>
    </row>
    <row r="905">
      <c r="C905" s="79"/>
      <c r="D905" s="79"/>
      <c r="E905" s="79"/>
      <c r="M905" s="79"/>
      <c r="R905" s="79"/>
      <c r="S905" s="79"/>
      <c r="V905" s="79"/>
      <c r="W905" s="79"/>
      <c r="Z905" s="130"/>
      <c r="AB905" s="106"/>
    </row>
    <row r="906">
      <c r="C906" s="79"/>
      <c r="D906" s="79"/>
      <c r="E906" s="79"/>
      <c r="M906" s="79"/>
      <c r="R906" s="79"/>
      <c r="S906" s="79"/>
      <c r="V906" s="79"/>
      <c r="W906" s="79"/>
      <c r="Z906" s="130"/>
      <c r="AB906" s="106"/>
    </row>
    <row r="907">
      <c r="C907" s="79"/>
      <c r="D907" s="79"/>
      <c r="E907" s="79"/>
      <c r="M907" s="79"/>
      <c r="R907" s="79"/>
      <c r="S907" s="79"/>
      <c r="V907" s="79"/>
      <c r="W907" s="79"/>
      <c r="Z907" s="130"/>
      <c r="AB907" s="106"/>
    </row>
    <row r="908">
      <c r="C908" s="79"/>
      <c r="D908" s="79"/>
      <c r="E908" s="79"/>
      <c r="M908" s="79"/>
      <c r="R908" s="79"/>
      <c r="S908" s="79"/>
      <c r="V908" s="79"/>
      <c r="W908" s="79"/>
      <c r="Z908" s="130"/>
      <c r="AB908" s="106"/>
    </row>
    <row r="909">
      <c r="C909" s="79"/>
      <c r="D909" s="79"/>
      <c r="E909" s="79"/>
      <c r="M909" s="79"/>
      <c r="R909" s="79"/>
      <c r="S909" s="79"/>
      <c r="V909" s="79"/>
      <c r="W909" s="79"/>
      <c r="Z909" s="130"/>
      <c r="AB909" s="106"/>
    </row>
    <row r="910">
      <c r="C910" s="79"/>
      <c r="D910" s="79"/>
      <c r="E910" s="79"/>
      <c r="M910" s="79"/>
      <c r="R910" s="79"/>
      <c r="S910" s="79"/>
      <c r="V910" s="79"/>
      <c r="W910" s="79"/>
      <c r="Z910" s="130"/>
      <c r="AB910" s="106"/>
    </row>
    <row r="911">
      <c r="C911" s="79"/>
      <c r="D911" s="79"/>
      <c r="E911" s="79"/>
      <c r="M911" s="79"/>
      <c r="R911" s="79"/>
      <c r="S911" s="79"/>
      <c r="V911" s="79"/>
      <c r="W911" s="79"/>
      <c r="Z911" s="130"/>
      <c r="AB911" s="106"/>
    </row>
    <row r="912">
      <c r="C912" s="79"/>
      <c r="D912" s="79"/>
      <c r="E912" s="79"/>
      <c r="M912" s="79"/>
      <c r="R912" s="79"/>
      <c r="S912" s="79"/>
      <c r="V912" s="79"/>
      <c r="W912" s="79"/>
      <c r="Z912" s="130"/>
      <c r="AB912" s="106"/>
    </row>
    <row r="913">
      <c r="C913" s="79"/>
      <c r="D913" s="79"/>
      <c r="E913" s="79"/>
      <c r="M913" s="79"/>
      <c r="R913" s="79"/>
      <c r="S913" s="79"/>
      <c r="V913" s="79"/>
      <c r="W913" s="79"/>
      <c r="Z913" s="130"/>
      <c r="AB913" s="106"/>
    </row>
    <row r="914">
      <c r="C914" s="79"/>
      <c r="D914" s="79"/>
      <c r="E914" s="79"/>
      <c r="M914" s="79"/>
      <c r="R914" s="79"/>
      <c r="S914" s="79"/>
      <c r="V914" s="79"/>
      <c r="W914" s="79"/>
      <c r="Z914" s="130"/>
      <c r="AB914" s="106"/>
    </row>
    <row r="915">
      <c r="C915" s="79"/>
      <c r="D915" s="79"/>
      <c r="E915" s="79"/>
      <c r="M915" s="79"/>
      <c r="R915" s="79"/>
      <c r="S915" s="79"/>
      <c r="V915" s="79"/>
      <c r="W915" s="79"/>
      <c r="Z915" s="130"/>
      <c r="AB915" s="106"/>
    </row>
    <row r="916">
      <c r="C916" s="79"/>
      <c r="D916" s="79"/>
      <c r="E916" s="79"/>
      <c r="M916" s="79"/>
      <c r="R916" s="79"/>
      <c r="S916" s="79"/>
      <c r="V916" s="79"/>
      <c r="W916" s="79"/>
      <c r="Z916" s="130"/>
      <c r="AB916" s="106"/>
    </row>
    <row r="917">
      <c r="C917" s="79"/>
      <c r="D917" s="79"/>
      <c r="E917" s="79"/>
      <c r="M917" s="79"/>
      <c r="R917" s="79"/>
      <c r="S917" s="79"/>
      <c r="V917" s="79"/>
      <c r="W917" s="79"/>
      <c r="Z917" s="130"/>
      <c r="AB917" s="106"/>
    </row>
    <row r="918">
      <c r="C918" s="79"/>
      <c r="D918" s="79"/>
      <c r="E918" s="79"/>
      <c r="M918" s="79"/>
      <c r="R918" s="79"/>
      <c r="S918" s="79"/>
      <c r="V918" s="79"/>
      <c r="W918" s="79"/>
      <c r="Z918" s="130"/>
      <c r="AB918" s="106"/>
    </row>
    <row r="919">
      <c r="C919" s="79"/>
      <c r="D919" s="79"/>
      <c r="E919" s="79"/>
      <c r="M919" s="79"/>
      <c r="R919" s="79"/>
      <c r="S919" s="79"/>
      <c r="V919" s="79"/>
      <c r="W919" s="79"/>
      <c r="Z919" s="130"/>
      <c r="AB919" s="106"/>
    </row>
    <row r="920">
      <c r="C920" s="79"/>
      <c r="D920" s="79"/>
      <c r="E920" s="79"/>
      <c r="M920" s="79"/>
      <c r="R920" s="79"/>
      <c r="S920" s="79"/>
      <c r="V920" s="79"/>
      <c r="W920" s="79"/>
      <c r="Z920" s="130"/>
      <c r="AB920" s="106"/>
    </row>
    <row r="921">
      <c r="C921" s="79"/>
      <c r="D921" s="79"/>
      <c r="E921" s="79"/>
      <c r="M921" s="79"/>
      <c r="R921" s="79"/>
      <c r="S921" s="79"/>
      <c r="V921" s="79"/>
      <c r="W921" s="79"/>
      <c r="Z921" s="130"/>
      <c r="AB921" s="106"/>
    </row>
    <row r="922">
      <c r="C922" s="79"/>
      <c r="D922" s="79"/>
      <c r="E922" s="79"/>
      <c r="M922" s="79"/>
      <c r="R922" s="79"/>
      <c r="S922" s="79"/>
      <c r="V922" s="79"/>
      <c r="W922" s="79"/>
      <c r="Z922" s="130"/>
      <c r="AB922" s="106"/>
    </row>
    <row r="923">
      <c r="C923" s="79"/>
      <c r="D923" s="79"/>
      <c r="E923" s="79"/>
      <c r="M923" s="79"/>
      <c r="R923" s="79"/>
      <c r="S923" s="79"/>
      <c r="V923" s="79"/>
      <c r="W923" s="79"/>
      <c r="Z923" s="130"/>
      <c r="AB923" s="106"/>
    </row>
    <row r="924">
      <c r="C924" s="79"/>
      <c r="D924" s="79"/>
      <c r="E924" s="79"/>
      <c r="M924" s="79"/>
      <c r="R924" s="79"/>
      <c r="S924" s="79"/>
      <c r="V924" s="79"/>
      <c r="W924" s="79"/>
      <c r="Z924" s="130"/>
      <c r="AB924" s="106"/>
    </row>
    <row r="925">
      <c r="C925" s="79"/>
      <c r="D925" s="79"/>
      <c r="E925" s="79"/>
      <c r="M925" s="79"/>
      <c r="R925" s="79"/>
      <c r="S925" s="79"/>
      <c r="V925" s="79"/>
      <c r="W925" s="79"/>
      <c r="Z925" s="130"/>
      <c r="AB925" s="106"/>
    </row>
    <row r="926">
      <c r="C926" s="79"/>
      <c r="D926" s="79"/>
      <c r="E926" s="79"/>
      <c r="M926" s="79"/>
      <c r="R926" s="79"/>
      <c r="S926" s="79"/>
      <c r="V926" s="79"/>
      <c r="W926" s="79"/>
      <c r="Z926" s="130"/>
      <c r="AB926" s="106"/>
    </row>
    <row r="927">
      <c r="C927" s="79"/>
      <c r="D927" s="79"/>
      <c r="E927" s="79"/>
      <c r="M927" s="79"/>
      <c r="R927" s="79"/>
      <c r="S927" s="79"/>
      <c r="V927" s="79"/>
      <c r="W927" s="79"/>
      <c r="Z927" s="130"/>
      <c r="AB927" s="106"/>
    </row>
    <row r="928">
      <c r="C928" s="79"/>
      <c r="D928" s="79"/>
      <c r="E928" s="79"/>
      <c r="M928" s="79"/>
      <c r="R928" s="79"/>
      <c r="S928" s="79"/>
      <c r="V928" s="79"/>
      <c r="W928" s="79"/>
      <c r="Z928" s="130"/>
      <c r="AB928" s="106"/>
    </row>
    <row r="929">
      <c r="C929" s="79"/>
      <c r="D929" s="79"/>
      <c r="E929" s="79"/>
      <c r="M929" s="79"/>
      <c r="R929" s="79"/>
      <c r="S929" s="79"/>
      <c r="V929" s="79"/>
      <c r="W929" s="79"/>
      <c r="Z929" s="130"/>
      <c r="AB929" s="106"/>
    </row>
    <row r="930">
      <c r="C930" s="79"/>
      <c r="D930" s="79"/>
      <c r="E930" s="79"/>
      <c r="M930" s="79"/>
      <c r="R930" s="79"/>
      <c r="S930" s="79"/>
      <c r="V930" s="79"/>
      <c r="W930" s="79"/>
      <c r="Z930" s="130"/>
      <c r="AB930" s="106"/>
    </row>
    <row r="931">
      <c r="C931" s="79"/>
      <c r="D931" s="79"/>
      <c r="E931" s="79"/>
      <c r="M931" s="79"/>
      <c r="R931" s="79"/>
      <c r="S931" s="79"/>
      <c r="V931" s="79"/>
      <c r="W931" s="79"/>
      <c r="Z931" s="130"/>
      <c r="AB931" s="106"/>
    </row>
    <row r="932">
      <c r="C932" s="79"/>
      <c r="D932" s="79"/>
      <c r="E932" s="79"/>
      <c r="M932" s="79"/>
      <c r="R932" s="79"/>
      <c r="S932" s="79"/>
      <c r="V932" s="79"/>
      <c r="W932" s="79"/>
      <c r="Z932" s="130"/>
      <c r="AB932" s="106"/>
    </row>
    <row r="933">
      <c r="C933" s="79"/>
      <c r="D933" s="79"/>
      <c r="E933" s="79"/>
      <c r="M933" s="79"/>
      <c r="R933" s="79"/>
      <c r="S933" s="79"/>
      <c r="V933" s="79"/>
      <c r="W933" s="79"/>
      <c r="Z933" s="130"/>
      <c r="AB933" s="106"/>
    </row>
    <row r="934">
      <c r="C934" s="79"/>
      <c r="D934" s="79"/>
      <c r="E934" s="79"/>
      <c r="M934" s="79"/>
      <c r="R934" s="79"/>
      <c r="S934" s="79"/>
      <c r="V934" s="79"/>
      <c r="W934" s="79"/>
      <c r="Z934" s="130"/>
      <c r="AB934" s="106"/>
    </row>
    <row r="935">
      <c r="C935" s="79"/>
      <c r="D935" s="79"/>
      <c r="E935" s="79"/>
      <c r="M935" s="79"/>
      <c r="R935" s="79"/>
      <c r="S935" s="79"/>
      <c r="V935" s="79"/>
      <c r="W935" s="79"/>
      <c r="Z935" s="130"/>
      <c r="AB935" s="106"/>
    </row>
    <row r="936">
      <c r="C936" s="79"/>
      <c r="D936" s="79"/>
      <c r="E936" s="79"/>
      <c r="M936" s="79"/>
      <c r="R936" s="79"/>
      <c r="S936" s="79"/>
      <c r="V936" s="79"/>
      <c r="W936" s="79"/>
      <c r="Z936" s="130"/>
      <c r="AB936" s="106"/>
    </row>
    <row r="937">
      <c r="C937" s="79"/>
      <c r="D937" s="79"/>
      <c r="E937" s="79"/>
      <c r="M937" s="79"/>
      <c r="R937" s="79"/>
      <c r="S937" s="79"/>
      <c r="V937" s="79"/>
      <c r="W937" s="79"/>
      <c r="Z937" s="130"/>
      <c r="AB937" s="106"/>
    </row>
    <row r="938">
      <c r="C938" s="79"/>
      <c r="D938" s="79"/>
      <c r="E938" s="79"/>
      <c r="M938" s="79"/>
      <c r="R938" s="79"/>
      <c r="S938" s="79"/>
      <c r="V938" s="79"/>
      <c r="W938" s="79"/>
      <c r="Z938" s="130"/>
      <c r="AB938" s="106"/>
    </row>
    <row r="939">
      <c r="C939" s="79"/>
      <c r="D939" s="79"/>
      <c r="E939" s="79"/>
      <c r="M939" s="79"/>
      <c r="R939" s="79"/>
      <c r="S939" s="79"/>
      <c r="V939" s="79"/>
      <c r="W939" s="79"/>
      <c r="Z939" s="130"/>
      <c r="AB939" s="106"/>
    </row>
    <row r="940">
      <c r="C940" s="79"/>
      <c r="D940" s="79"/>
      <c r="E940" s="79"/>
      <c r="M940" s="79"/>
      <c r="R940" s="79"/>
      <c r="S940" s="79"/>
      <c r="V940" s="79"/>
      <c r="W940" s="79"/>
      <c r="Z940" s="130"/>
      <c r="AB940" s="106"/>
    </row>
    <row r="941">
      <c r="C941" s="79"/>
      <c r="D941" s="79"/>
      <c r="E941" s="79"/>
      <c r="M941" s="79"/>
      <c r="R941" s="79"/>
      <c r="S941" s="79"/>
      <c r="V941" s="79"/>
      <c r="W941" s="79"/>
      <c r="Z941" s="130"/>
      <c r="AB941" s="106"/>
    </row>
    <row r="942">
      <c r="C942" s="79"/>
      <c r="D942" s="79"/>
      <c r="E942" s="79"/>
      <c r="M942" s="79"/>
      <c r="R942" s="79"/>
      <c r="S942" s="79"/>
      <c r="V942" s="79"/>
      <c r="W942" s="79"/>
      <c r="Z942" s="130"/>
      <c r="AB942" s="106"/>
    </row>
    <row r="943">
      <c r="C943" s="79"/>
      <c r="D943" s="79"/>
      <c r="E943" s="79"/>
      <c r="M943" s="79"/>
      <c r="R943" s="79"/>
      <c r="S943" s="79"/>
      <c r="V943" s="79"/>
      <c r="W943" s="79"/>
      <c r="Z943" s="130"/>
      <c r="AB943" s="106"/>
    </row>
    <row r="944">
      <c r="C944" s="79"/>
      <c r="D944" s="79"/>
      <c r="E944" s="79"/>
      <c r="M944" s="79"/>
      <c r="R944" s="79"/>
      <c r="S944" s="79"/>
      <c r="V944" s="79"/>
      <c r="W944" s="79"/>
      <c r="Z944" s="130"/>
      <c r="AB944" s="106"/>
    </row>
    <row r="945">
      <c r="C945" s="79"/>
      <c r="D945" s="79"/>
      <c r="E945" s="79"/>
      <c r="M945" s="79"/>
      <c r="R945" s="79"/>
      <c r="S945" s="79"/>
      <c r="V945" s="79"/>
      <c r="W945" s="79"/>
      <c r="Z945" s="130"/>
      <c r="AB945" s="106"/>
    </row>
    <row r="946">
      <c r="C946" s="79"/>
      <c r="D946" s="79"/>
      <c r="E946" s="79"/>
      <c r="M946" s="79"/>
      <c r="R946" s="79"/>
      <c r="S946" s="79"/>
      <c r="V946" s="79"/>
      <c r="W946" s="79"/>
      <c r="Z946" s="130"/>
      <c r="AB946" s="106"/>
    </row>
    <row r="947">
      <c r="C947" s="79"/>
      <c r="D947" s="79"/>
      <c r="E947" s="79"/>
      <c r="M947" s="79"/>
      <c r="R947" s="79"/>
      <c r="S947" s="79"/>
      <c r="V947" s="79"/>
      <c r="W947" s="79"/>
      <c r="Z947" s="130"/>
      <c r="AB947" s="106"/>
    </row>
    <row r="948">
      <c r="C948" s="79"/>
      <c r="D948" s="79"/>
      <c r="E948" s="79"/>
      <c r="M948" s="79"/>
      <c r="R948" s="79"/>
      <c r="S948" s="79"/>
      <c r="V948" s="79"/>
      <c r="W948" s="79"/>
      <c r="Z948" s="130"/>
      <c r="AB948" s="106"/>
    </row>
    <row r="949">
      <c r="C949" s="79"/>
      <c r="D949" s="79"/>
      <c r="E949" s="79"/>
      <c r="M949" s="79"/>
      <c r="R949" s="79"/>
      <c r="S949" s="79"/>
      <c r="V949" s="79"/>
      <c r="W949" s="79"/>
      <c r="Z949" s="130"/>
      <c r="AB949" s="106"/>
    </row>
    <row r="950">
      <c r="C950" s="79"/>
      <c r="D950" s="79"/>
      <c r="E950" s="79"/>
      <c r="M950" s="79"/>
      <c r="R950" s="79"/>
      <c r="S950" s="79"/>
      <c r="V950" s="79"/>
      <c r="W950" s="79"/>
      <c r="Z950" s="130"/>
      <c r="AB950" s="106"/>
    </row>
    <row r="951">
      <c r="C951" s="79"/>
      <c r="D951" s="79"/>
      <c r="E951" s="79"/>
      <c r="M951" s="79"/>
      <c r="R951" s="79"/>
      <c r="S951" s="79"/>
      <c r="V951" s="79"/>
      <c r="W951" s="79"/>
      <c r="Z951" s="130"/>
      <c r="AB951" s="106"/>
    </row>
    <row r="952">
      <c r="C952" s="79"/>
      <c r="D952" s="79"/>
      <c r="E952" s="79"/>
      <c r="M952" s="79"/>
      <c r="R952" s="79"/>
      <c r="S952" s="79"/>
      <c r="V952" s="79"/>
      <c r="W952" s="79"/>
      <c r="Z952" s="130"/>
      <c r="AB952" s="106"/>
    </row>
    <row r="953">
      <c r="C953" s="79"/>
      <c r="D953" s="79"/>
      <c r="E953" s="79"/>
      <c r="M953" s="79"/>
      <c r="R953" s="79"/>
      <c r="S953" s="79"/>
      <c r="V953" s="79"/>
      <c r="W953" s="79"/>
      <c r="Z953" s="130"/>
      <c r="AB953" s="106"/>
    </row>
    <row r="954">
      <c r="C954" s="79"/>
      <c r="D954" s="79"/>
      <c r="E954" s="79"/>
      <c r="M954" s="79"/>
      <c r="R954" s="79"/>
      <c r="S954" s="79"/>
      <c r="V954" s="79"/>
      <c r="W954" s="79"/>
      <c r="Z954" s="130"/>
      <c r="AB954" s="106"/>
    </row>
    <row r="955">
      <c r="C955" s="79"/>
      <c r="D955" s="79"/>
      <c r="E955" s="79"/>
      <c r="M955" s="79"/>
      <c r="R955" s="79"/>
      <c r="S955" s="79"/>
      <c r="V955" s="79"/>
      <c r="W955" s="79"/>
      <c r="Z955" s="130"/>
      <c r="AB955" s="106"/>
    </row>
    <row r="956">
      <c r="C956" s="79"/>
      <c r="D956" s="79"/>
      <c r="E956" s="79"/>
      <c r="M956" s="79"/>
      <c r="R956" s="79"/>
      <c r="S956" s="79"/>
      <c r="V956" s="79"/>
      <c r="W956" s="79"/>
      <c r="Z956" s="130"/>
      <c r="AB956" s="106"/>
    </row>
    <row r="957">
      <c r="C957" s="79"/>
      <c r="D957" s="79"/>
      <c r="E957" s="79"/>
      <c r="M957" s="79"/>
      <c r="R957" s="79"/>
      <c r="S957" s="79"/>
      <c r="V957" s="79"/>
      <c r="W957" s="79"/>
      <c r="Z957" s="130"/>
      <c r="AB957" s="106"/>
    </row>
    <row r="958">
      <c r="C958" s="79"/>
      <c r="D958" s="79"/>
      <c r="E958" s="79"/>
      <c r="M958" s="79"/>
      <c r="R958" s="79"/>
      <c r="S958" s="79"/>
      <c r="V958" s="79"/>
      <c r="W958" s="79"/>
      <c r="Z958" s="130"/>
      <c r="AB958" s="106"/>
    </row>
    <row r="959">
      <c r="C959" s="79"/>
      <c r="D959" s="79"/>
      <c r="E959" s="79"/>
      <c r="M959" s="79"/>
      <c r="R959" s="79"/>
      <c r="S959" s="79"/>
      <c r="V959" s="79"/>
      <c r="W959" s="79"/>
      <c r="Z959" s="130"/>
      <c r="AB959" s="106"/>
    </row>
    <row r="960">
      <c r="C960" s="79"/>
      <c r="D960" s="79"/>
      <c r="E960" s="79"/>
      <c r="M960" s="79"/>
      <c r="R960" s="79"/>
      <c r="S960" s="79"/>
      <c r="V960" s="79"/>
      <c r="W960" s="79"/>
      <c r="Z960" s="130"/>
      <c r="AB960" s="106"/>
    </row>
  </sheetData>
  <drawing r:id="rId2"/>
  <legacyDrawing r:id="rId3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5" max="5" width="13.5"/>
    <col customWidth="1" min="7" max="7" width="13.25"/>
    <col customWidth="1" min="24" max="24" width="14.63"/>
    <col customWidth="1" min="28" max="28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3</v>
      </c>
      <c r="G1" s="2" t="s">
        <v>203</v>
      </c>
      <c r="H1" s="2" t="s">
        <v>129</v>
      </c>
      <c r="I1" s="2" t="s">
        <v>5</v>
      </c>
      <c r="J1" s="2" t="s">
        <v>204</v>
      </c>
      <c r="K1" s="2" t="s">
        <v>6</v>
      </c>
      <c r="L1" s="2" t="s">
        <v>12</v>
      </c>
      <c r="M1" s="105" t="s">
        <v>40</v>
      </c>
      <c r="N1" s="2" t="s">
        <v>49</v>
      </c>
      <c r="O1" s="2" t="s">
        <v>42</v>
      </c>
      <c r="P1" s="2" t="s">
        <v>121</v>
      </c>
      <c r="Q1" s="2" t="s">
        <v>164</v>
      </c>
      <c r="R1" s="105" t="s">
        <v>9</v>
      </c>
      <c r="S1" s="105" t="s">
        <v>165</v>
      </c>
      <c r="T1" s="2" t="s">
        <v>37</v>
      </c>
      <c r="U1" s="2" t="s">
        <v>10</v>
      </c>
      <c r="V1" s="105" t="s">
        <v>11</v>
      </c>
      <c r="W1" s="105" t="s">
        <v>205</v>
      </c>
      <c r="X1" s="2" t="s">
        <v>206</v>
      </c>
      <c r="Y1" s="3" t="s">
        <v>13</v>
      </c>
      <c r="Z1" s="3" t="s">
        <v>14</v>
      </c>
      <c r="AA1" s="3" t="s">
        <v>15</v>
      </c>
      <c r="AB1" s="106"/>
    </row>
    <row r="2">
      <c r="A2" s="74">
        <v>45355.0</v>
      </c>
      <c r="B2" s="93">
        <f>1616.35-265.2-46.25-32.42-55.36-39.09-137.16+302.37-194.12-12.88-88.71</f>
        <v>1047.53</v>
      </c>
      <c r="C2" s="93"/>
      <c r="D2" s="193"/>
      <c r="E2" s="93"/>
      <c r="F2" s="93">
        <v>180.0</v>
      </c>
      <c r="G2" s="93"/>
      <c r="H2" s="93"/>
      <c r="I2" s="93"/>
      <c r="J2" s="93"/>
      <c r="K2" s="93"/>
      <c r="L2" s="93"/>
      <c r="M2" s="93"/>
      <c r="N2" s="93">
        <v>168.0</v>
      </c>
      <c r="O2" s="93"/>
      <c r="P2" s="93"/>
      <c r="Q2" s="93"/>
      <c r="R2" s="93"/>
      <c r="S2" s="93"/>
      <c r="T2" s="72"/>
      <c r="U2" s="93"/>
      <c r="V2" s="93">
        <v>57.05</v>
      </c>
      <c r="W2" s="93"/>
      <c r="X2" s="5"/>
      <c r="Y2" s="107">
        <f t="shared" ref="Y2:Y8" si="1">SUM(B2:X2)</f>
        <v>1452.58</v>
      </c>
      <c r="Z2" s="158">
        <v>2077.4</v>
      </c>
      <c r="AA2" s="59">
        <f t="shared" ref="AA2:AA8" si="2">Y2/Z2</f>
        <v>0.6992298065</v>
      </c>
      <c r="AB2" s="109">
        <f t="shared" ref="AB2:AB8" si="3">A2</f>
        <v>45355</v>
      </c>
    </row>
    <row r="3">
      <c r="A3" s="74">
        <v>45356.0</v>
      </c>
      <c r="B3" s="93">
        <f>354.55-18.64-21.8+117.96-16.52</f>
        <v>415.55</v>
      </c>
      <c r="C3" s="93">
        <f>491.56-28.35</f>
        <v>463.21</v>
      </c>
      <c r="D3" s="193">
        <f>574.94-118.5-267.3</f>
        <v>189.14</v>
      </c>
      <c r="E3" s="93"/>
      <c r="F3" s="93"/>
      <c r="G3" s="93"/>
      <c r="H3" s="93">
        <f>229.45-198.96</f>
        <v>30.49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107">
        <f t="shared" si="1"/>
        <v>1098.39</v>
      </c>
      <c r="Z3" s="158">
        <v>3436.0</v>
      </c>
      <c r="AA3" s="59">
        <f t="shared" si="2"/>
        <v>0.3196711292</v>
      </c>
      <c r="AB3" s="109">
        <f t="shared" si="3"/>
        <v>45356</v>
      </c>
    </row>
    <row r="4">
      <c r="A4" s="74">
        <v>45357.0</v>
      </c>
      <c r="B4" s="93">
        <f>1503.16-12.07-55-69.84-32.84-61.37-42.1-17.17-39.36-24.91-7.05+189.81-47.28</f>
        <v>1283.98</v>
      </c>
      <c r="C4" s="93">
        <f>422.55-29.75</f>
        <v>392.8</v>
      </c>
      <c r="D4" s="93">
        <f>499.67-56.92-128.06</f>
        <v>314.69</v>
      </c>
      <c r="E4" s="93"/>
      <c r="F4" s="93"/>
      <c r="G4" s="93"/>
      <c r="H4" s="93">
        <f>229.39-69.94-128.95</f>
        <v>30.5</v>
      </c>
      <c r="I4" s="93">
        <v>279.4</v>
      </c>
      <c r="J4" s="93"/>
      <c r="K4" s="93">
        <v>84.85</v>
      </c>
      <c r="L4" s="93"/>
      <c r="M4" s="93"/>
      <c r="N4" s="93"/>
      <c r="O4" s="93"/>
      <c r="P4" s="93"/>
      <c r="Q4" s="93"/>
      <c r="R4" s="93"/>
      <c r="S4" s="93"/>
      <c r="T4" s="160"/>
      <c r="U4" s="93"/>
      <c r="V4" s="93">
        <v>57.05</v>
      </c>
      <c r="W4" s="93"/>
      <c r="X4" s="6"/>
      <c r="Y4" s="107">
        <f t="shared" si="1"/>
        <v>2443.27</v>
      </c>
      <c r="Z4" s="97">
        <f>505+5319.3</f>
        <v>5824.3</v>
      </c>
      <c r="AA4" s="59">
        <f t="shared" si="2"/>
        <v>0.4194959051</v>
      </c>
      <c r="AB4" s="109">
        <f t="shared" si="3"/>
        <v>45357</v>
      </c>
    </row>
    <row r="5">
      <c r="A5" s="74">
        <v>45358.0</v>
      </c>
      <c r="B5" s="93">
        <f>1494.25-50.95-51.4-33.04-46.32-349-28.28-24.7+84.85-22.72-31.24-15.5</f>
        <v>925.95</v>
      </c>
      <c r="C5" s="93"/>
      <c r="D5" s="93">
        <f>455.72-384.5</f>
        <v>71.22</v>
      </c>
      <c r="E5" s="93"/>
      <c r="F5" s="93">
        <v>180.0</v>
      </c>
      <c r="G5" s="160"/>
      <c r="H5" s="93">
        <v>179.53</v>
      </c>
      <c r="I5" s="93"/>
      <c r="J5" s="93"/>
      <c r="K5" s="93"/>
      <c r="L5" s="93">
        <v>47.8</v>
      </c>
      <c r="M5" s="93"/>
      <c r="N5" s="93"/>
      <c r="O5" s="93"/>
      <c r="P5" s="93"/>
      <c r="Q5" s="93"/>
      <c r="R5" s="93"/>
      <c r="S5" s="93"/>
      <c r="T5" s="93"/>
      <c r="U5" s="93">
        <v>109.9</v>
      </c>
      <c r="V5" s="101"/>
      <c r="W5" s="101"/>
      <c r="X5" s="6"/>
      <c r="Y5" s="7">
        <f t="shared" si="1"/>
        <v>1514.4</v>
      </c>
      <c r="Z5" s="97">
        <v>4607.14</v>
      </c>
      <c r="AA5" s="59">
        <f t="shared" si="2"/>
        <v>0.3287071806</v>
      </c>
      <c r="AB5" s="109">
        <f t="shared" si="3"/>
        <v>45358</v>
      </c>
    </row>
    <row r="6">
      <c r="A6" s="74">
        <v>45359.0</v>
      </c>
      <c r="B6" s="93">
        <f>493.9-31.12-28.28-37.43</f>
        <v>397.07</v>
      </c>
      <c r="C6" s="93"/>
      <c r="D6" s="93">
        <f>50+380.2</f>
        <v>430.2</v>
      </c>
      <c r="E6" s="93"/>
      <c r="F6" s="93"/>
      <c r="G6" s="93"/>
      <c r="H6" s="93">
        <f>172.78-90.77</f>
        <v>82.01</v>
      </c>
      <c r="I6" s="93"/>
      <c r="J6" s="93"/>
      <c r="K6" s="93">
        <v>166.4</v>
      </c>
      <c r="L6" s="93"/>
      <c r="M6" s="162"/>
      <c r="N6" s="93"/>
      <c r="O6" s="93"/>
      <c r="P6" s="93"/>
      <c r="Q6" s="93"/>
      <c r="R6" s="93"/>
      <c r="S6" s="93"/>
      <c r="T6" s="93"/>
      <c r="U6" s="93"/>
      <c r="V6" s="93">
        <v>114.1</v>
      </c>
      <c r="W6" s="93"/>
      <c r="X6" s="5"/>
      <c r="Y6" s="7">
        <f t="shared" si="1"/>
        <v>1189.78</v>
      </c>
      <c r="Z6" s="97">
        <f>729+7682</f>
        <v>8411</v>
      </c>
      <c r="AA6" s="59">
        <f t="shared" si="2"/>
        <v>0.1414552372</v>
      </c>
      <c r="AB6" s="109">
        <f t="shared" si="3"/>
        <v>45359</v>
      </c>
    </row>
    <row r="7">
      <c r="A7" s="74">
        <v>45360.0</v>
      </c>
      <c r="B7" s="93">
        <f>1220.36-59.88-5.49-34.82-11.36-46.25-27.83-9.32-132.6</f>
        <v>892.81</v>
      </c>
      <c r="C7" s="93"/>
      <c r="D7" s="93">
        <f>540.1-260.3-63.6</f>
        <v>216.2</v>
      </c>
      <c r="E7" s="93"/>
      <c r="F7" s="93"/>
      <c r="G7" s="93"/>
      <c r="H7" s="93"/>
      <c r="I7" s="93">
        <v>398.0</v>
      </c>
      <c r="J7" s="93"/>
      <c r="K7" s="93"/>
      <c r="L7" s="93"/>
      <c r="M7" s="93"/>
      <c r="N7" s="93"/>
      <c r="O7" s="93">
        <v>144.0</v>
      </c>
      <c r="P7" s="93"/>
      <c r="Q7" s="93">
        <v>15.0</v>
      </c>
      <c r="R7" s="93"/>
      <c r="S7" s="93"/>
      <c r="T7" s="101"/>
      <c r="U7" s="93"/>
      <c r="V7" s="101"/>
      <c r="W7" s="101"/>
      <c r="X7" s="5"/>
      <c r="Y7" s="7">
        <f t="shared" si="1"/>
        <v>1666.01</v>
      </c>
      <c r="Z7" s="97">
        <f>2521+9797</f>
        <v>12318</v>
      </c>
      <c r="AA7" s="59">
        <f t="shared" si="2"/>
        <v>0.1352500406</v>
      </c>
      <c r="AB7" s="109">
        <f t="shared" si="3"/>
        <v>45360</v>
      </c>
    </row>
    <row r="8">
      <c r="A8" s="74">
        <v>45361.0</v>
      </c>
      <c r="B8" s="180">
        <f>187.5+450.69</f>
        <v>638.19</v>
      </c>
      <c r="C8" s="93"/>
      <c r="D8" s="93"/>
      <c r="E8" s="112" t="s">
        <v>21</v>
      </c>
      <c r="F8" s="112" t="s">
        <v>21</v>
      </c>
      <c r="G8" s="112" t="s">
        <v>21</v>
      </c>
      <c r="H8" s="112" t="s">
        <v>21</v>
      </c>
      <c r="I8" s="180">
        <v>661.83</v>
      </c>
      <c r="J8" s="112" t="s">
        <v>21</v>
      </c>
      <c r="K8" s="112" t="s">
        <v>21</v>
      </c>
      <c r="L8" s="112" t="s">
        <v>21</v>
      </c>
      <c r="M8" s="112" t="s">
        <v>21</v>
      </c>
      <c r="N8" s="112" t="s">
        <v>21</v>
      </c>
      <c r="O8" s="180">
        <v>275.0</v>
      </c>
      <c r="P8" s="112" t="s">
        <v>21</v>
      </c>
      <c r="Q8" s="112" t="s">
        <v>21</v>
      </c>
      <c r="R8" s="112" t="s">
        <v>21</v>
      </c>
      <c r="S8" s="112" t="s">
        <v>21</v>
      </c>
      <c r="T8" s="112" t="s">
        <v>21</v>
      </c>
      <c r="U8" s="112" t="s">
        <v>21</v>
      </c>
      <c r="V8" s="10" t="s">
        <v>21</v>
      </c>
      <c r="W8" s="10" t="s">
        <v>21</v>
      </c>
      <c r="X8" s="10" t="s">
        <v>21</v>
      </c>
      <c r="Y8" s="7">
        <f t="shared" si="1"/>
        <v>1575.02</v>
      </c>
      <c r="Z8" s="97">
        <v>7351.4</v>
      </c>
      <c r="AA8" s="59">
        <f t="shared" si="2"/>
        <v>0.2142476263</v>
      </c>
      <c r="AB8" s="109">
        <f t="shared" si="3"/>
        <v>45361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Z9" s="129"/>
      <c r="AB9" s="106"/>
    </row>
    <row r="10">
      <c r="A10" s="164" t="s">
        <v>193</v>
      </c>
      <c r="B10" s="78"/>
      <c r="C10" s="78"/>
      <c r="D10" s="78"/>
      <c r="E10" s="188"/>
      <c r="F10" s="188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Z10" s="129"/>
      <c r="AB10" s="106"/>
    </row>
    <row r="11">
      <c r="A11" s="165" t="s">
        <v>194</v>
      </c>
      <c r="B11" s="93">
        <f>46.25+39.09+12.07+17.17+39.36+24.91+7.05+50.95+46.32+12.88+88.71+16.52+47.28+22.72+31.24+15.5+31.12+59.88+5.49+34.82+11.36+46.25+27.83</f>
        <v>734.77</v>
      </c>
      <c r="C11" s="93"/>
      <c r="D11" s="93">
        <v>118.5</v>
      </c>
      <c r="E11" s="167"/>
      <c r="F11" s="168"/>
      <c r="G11" s="166"/>
      <c r="H11" s="166">
        <v>198.96</v>
      </c>
      <c r="I11" s="93"/>
      <c r="J11" s="168"/>
      <c r="K11" s="93"/>
      <c r="L11" s="166"/>
      <c r="M11" s="168"/>
      <c r="N11" s="166"/>
      <c r="O11" s="168"/>
      <c r="P11" s="1"/>
      <c r="Q11" s="1"/>
      <c r="R11" s="1"/>
      <c r="S11" s="1"/>
      <c r="T11" s="1"/>
      <c r="U11" s="1"/>
      <c r="V11" s="168"/>
      <c r="W11" s="168"/>
      <c r="X11" s="1"/>
      <c r="Y11" s="1"/>
      <c r="Z11" s="169"/>
      <c r="AA11" s="1"/>
      <c r="AB11" s="170"/>
    </row>
    <row r="12">
      <c r="A12" s="165" t="s">
        <v>195</v>
      </c>
      <c r="B12" s="93">
        <f>265.2+32.42+137.16+18.64+21.8+55+69.84+32.84+61.37+42.1+33.04+349+24.7+28.28+9.32+132.6</f>
        <v>1313.31</v>
      </c>
      <c r="C12" s="93">
        <v>29.75</v>
      </c>
      <c r="D12" s="93">
        <f>56.92+128.06+63.6+260.3</f>
        <v>508.88</v>
      </c>
      <c r="E12" s="93"/>
      <c r="F12" s="93"/>
      <c r="G12" s="93"/>
      <c r="H12" s="93"/>
      <c r="I12" s="93"/>
      <c r="J12" s="93"/>
      <c r="K12" s="93"/>
      <c r="L12" s="93"/>
      <c r="M12" s="93"/>
      <c r="N12" s="166">
        <v>300.0</v>
      </c>
      <c r="O12" s="166"/>
      <c r="P12" s="1"/>
      <c r="Q12" s="1"/>
      <c r="R12" s="168"/>
      <c r="S12" s="168"/>
      <c r="T12" s="1"/>
      <c r="U12" s="96"/>
      <c r="V12" s="168"/>
      <c r="W12" s="168"/>
      <c r="X12" s="1"/>
      <c r="Y12" s="1"/>
      <c r="Z12" s="171"/>
      <c r="AA12" s="1"/>
      <c r="AB12" s="170"/>
    </row>
    <row r="13">
      <c r="A13" s="172" t="s">
        <v>245</v>
      </c>
      <c r="B13" s="93"/>
      <c r="C13" s="93"/>
      <c r="D13" s="93"/>
      <c r="E13" s="168"/>
      <c r="F13" s="166"/>
      <c r="G13" s="168"/>
      <c r="H13" s="168"/>
      <c r="I13" s="168"/>
      <c r="J13" s="168"/>
      <c r="K13" s="168"/>
      <c r="L13" s="168"/>
      <c r="M13" s="168"/>
      <c r="N13" s="166"/>
      <c r="O13" s="168"/>
      <c r="P13" s="1"/>
      <c r="Q13" s="1"/>
      <c r="R13" s="168"/>
      <c r="S13" s="168"/>
      <c r="T13" s="1"/>
      <c r="U13" s="96"/>
      <c r="V13" s="168"/>
      <c r="W13" s="168"/>
      <c r="X13" s="1"/>
      <c r="Y13" s="1"/>
      <c r="Z13" s="174"/>
      <c r="AA13" s="1"/>
      <c r="AB13" s="170"/>
    </row>
    <row r="14">
      <c r="A14" s="165" t="s">
        <v>198</v>
      </c>
      <c r="B14" s="93">
        <f>55.36+51.4+28.28+37.43</f>
        <v>172.47</v>
      </c>
      <c r="C14" s="93"/>
      <c r="D14" s="93"/>
      <c r="E14" s="168"/>
      <c r="F14" s="166"/>
      <c r="G14" s="168"/>
      <c r="H14" s="168"/>
      <c r="I14" s="168"/>
      <c r="J14" s="168"/>
      <c r="K14" s="168"/>
      <c r="L14" s="168"/>
      <c r="M14" s="168"/>
      <c r="N14" s="166"/>
      <c r="O14" s="168"/>
      <c r="P14" s="1"/>
      <c r="Q14" s="1"/>
      <c r="R14" s="168"/>
      <c r="S14" s="168"/>
      <c r="T14" s="1"/>
      <c r="U14" s="96"/>
      <c r="V14" s="168"/>
      <c r="W14" s="168"/>
      <c r="X14" s="1"/>
      <c r="Y14" s="1"/>
      <c r="Z14" s="174"/>
      <c r="AA14" s="1"/>
      <c r="AB14" s="170"/>
    </row>
    <row r="15">
      <c r="A15" s="91"/>
      <c r="B15" s="92"/>
      <c r="C15" s="79"/>
      <c r="D15" s="79"/>
      <c r="E15" s="79"/>
      <c r="F15" s="78"/>
      <c r="G15" s="78"/>
      <c r="H15" s="78"/>
      <c r="K15" s="79"/>
      <c r="L15" s="79"/>
      <c r="M15" s="78"/>
      <c r="N15" s="79"/>
      <c r="O15" s="79"/>
      <c r="R15" s="79"/>
      <c r="S15" s="79"/>
      <c r="V15" s="79"/>
      <c r="W15" s="79"/>
      <c r="Z15" s="131"/>
      <c r="AB15" s="106"/>
    </row>
    <row r="16">
      <c r="A16" s="91"/>
      <c r="B16" s="92"/>
      <c r="C16" s="78"/>
      <c r="D16" s="78"/>
      <c r="E16" s="78"/>
      <c r="F16" s="198"/>
      <c r="G16" s="204"/>
      <c r="H16" s="198"/>
      <c r="I16" s="201"/>
      <c r="J16" s="199"/>
      <c r="K16" s="199"/>
      <c r="L16" s="200"/>
      <c r="M16" s="201"/>
      <c r="N16" s="202"/>
      <c r="O16" s="198"/>
      <c r="P16" s="198"/>
      <c r="Q16" s="198"/>
      <c r="R16" s="198"/>
      <c r="S16" s="198"/>
      <c r="V16" s="79"/>
      <c r="W16" s="79"/>
      <c r="Z16" s="131"/>
      <c r="AB16" s="106"/>
    </row>
    <row r="17">
      <c r="A17" s="4" t="s">
        <v>22</v>
      </c>
      <c r="B17" s="11">
        <v>10000.0</v>
      </c>
      <c r="C17" s="79"/>
      <c r="D17" s="79"/>
      <c r="E17" s="79"/>
      <c r="F17" s="240"/>
      <c r="G17" s="201"/>
      <c r="H17" s="201"/>
      <c r="I17" s="203"/>
      <c r="J17" s="201"/>
      <c r="K17" s="201"/>
      <c r="L17" s="198"/>
      <c r="M17" s="201"/>
      <c r="N17" s="200"/>
      <c r="O17" s="203"/>
      <c r="P17" s="198"/>
      <c r="Q17" s="198"/>
      <c r="R17" s="198"/>
      <c r="S17" s="198"/>
      <c r="T17" s="204"/>
      <c r="V17" s="79"/>
      <c r="W17" s="79"/>
      <c r="Z17" s="131"/>
      <c r="AB17" s="106"/>
    </row>
    <row r="18">
      <c r="A18" s="4" t="s">
        <v>23</v>
      </c>
      <c r="B18" s="12">
        <f>SUM(B2:X8)</f>
        <v>10939.45</v>
      </c>
      <c r="C18" s="79"/>
      <c r="D18" s="177"/>
      <c r="E18" s="78">
        <v>11228.0</v>
      </c>
      <c r="F18" s="213"/>
      <c r="G18" s="201"/>
      <c r="H18" s="201"/>
      <c r="I18" s="203"/>
      <c r="J18" s="191"/>
      <c r="K18" s="201"/>
      <c r="L18" s="201"/>
      <c r="M18" s="200"/>
      <c r="N18" s="201"/>
      <c r="O18" s="203"/>
      <c r="P18" s="198"/>
      <c r="Q18" s="198"/>
      <c r="R18" s="198"/>
      <c r="S18" s="198"/>
      <c r="T18" s="204"/>
      <c r="V18" s="79"/>
      <c r="W18" s="79"/>
      <c r="Z18" s="131"/>
      <c r="AB18" s="106"/>
    </row>
    <row r="19">
      <c r="A19" s="4" t="s">
        <v>24</v>
      </c>
      <c r="B19" s="12">
        <f> SUM(B17-B18)</f>
        <v>-939.45</v>
      </c>
      <c r="C19" s="79"/>
      <c r="D19" s="79"/>
      <c r="E19" s="192">
        <f>E18-B18</f>
        <v>288.55</v>
      </c>
      <c r="F19" s="201"/>
      <c r="G19" s="214"/>
      <c r="H19" s="203"/>
      <c r="I19" s="203"/>
      <c r="J19" s="203"/>
      <c r="K19" s="199"/>
      <c r="L19" s="203"/>
      <c r="M19" s="201"/>
      <c r="N19" s="200"/>
      <c r="O19" s="203"/>
      <c r="P19" s="198"/>
      <c r="Q19" s="198"/>
      <c r="R19" s="198"/>
      <c r="S19" s="198"/>
      <c r="T19" s="204"/>
      <c r="V19" s="79"/>
      <c r="W19" s="79"/>
      <c r="Z19" s="131"/>
      <c r="AB19" s="106"/>
    </row>
    <row r="20">
      <c r="C20" s="79"/>
      <c r="D20" s="79"/>
      <c r="E20" s="78"/>
      <c r="F20" s="213"/>
      <c r="G20" s="214"/>
      <c r="H20" s="203"/>
      <c r="I20" s="203"/>
      <c r="J20" s="203"/>
      <c r="K20" s="203"/>
      <c r="L20" s="201"/>
      <c r="M20" s="201"/>
      <c r="N20" s="198"/>
      <c r="O20" s="203"/>
      <c r="P20" s="198"/>
      <c r="Q20" s="206"/>
      <c r="R20" s="198"/>
      <c r="S20" s="198"/>
      <c r="T20" s="204"/>
      <c r="V20" s="79"/>
      <c r="W20" s="79"/>
      <c r="Z20" s="131"/>
      <c r="AB20" s="106"/>
    </row>
    <row r="21">
      <c r="A21" s="13" t="s">
        <v>25</v>
      </c>
      <c r="B21" s="14">
        <f>SUM(Z2:Z8)</f>
        <v>44025.24</v>
      </c>
      <c r="C21" s="79"/>
      <c r="D21" s="242">
        <v>44025.24</v>
      </c>
      <c r="E21" s="78"/>
      <c r="F21" s="201"/>
      <c r="G21" s="201"/>
      <c r="H21" s="201"/>
      <c r="I21" s="189"/>
      <c r="J21" s="203"/>
      <c r="K21" s="203"/>
      <c r="L21" s="206"/>
      <c r="M21" s="201"/>
      <c r="N21" s="198"/>
      <c r="O21" s="203"/>
      <c r="P21" s="198"/>
      <c r="Q21" s="198"/>
      <c r="R21" s="198"/>
      <c r="S21" s="198"/>
      <c r="T21" s="204"/>
      <c r="V21" s="79"/>
      <c r="W21" s="79"/>
      <c r="Z21" s="181"/>
      <c r="AB21" s="106"/>
    </row>
    <row r="22">
      <c r="A22" s="13" t="s">
        <v>26</v>
      </c>
      <c r="B22" s="15">
        <f>B18/B21</f>
        <v>0.2484813257</v>
      </c>
      <c r="C22" s="79"/>
      <c r="D22" s="79"/>
      <c r="E22" s="78"/>
      <c r="F22" s="204"/>
      <c r="G22" s="213"/>
      <c r="H22" s="203"/>
      <c r="I22" s="189"/>
      <c r="J22" s="203"/>
      <c r="K22" s="203"/>
      <c r="L22" s="198"/>
      <c r="M22" s="200"/>
      <c r="N22" s="203"/>
      <c r="O22" s="203"/>
      <c r="P22" s="198"/>
      <c r="Q22" s="198"/>
      <c r="R22" s="198"/>
      <c r="S22" s="198"/>
      <c r="T22" s="204"/>
      <c r="V22" s="79"/>
      <c r="W22" s="79"/>
      <c r="Z22" s="130"/>
      <c r="AB22" s="106"/>
    </row>
    <row r="23">
      <c r="C23" s="79"/>
      <c r="D23" s="79"/>
      <c r="E23" s="78"/>
      <c r="F23" s="204"/>
      <c r="G23" s="204"/>
      <c r="H23" s="201"/>
      <c r="I23" s="203"/>
      <c r="J23" s="203"/>
      <c r="K23" s="203"/>
      <c r="L23" s="198"/>
      <c r="M23" s="198"/>
      <c r="N23" s="201"/>
      <c r="O23" s="198"/>
      <c r="P23" s="198"/>
      <c r="Q23" s="198"/>
      <c r="R23" s="198"/>
      <c r="S23" s="198"/>
      <c r="T23" s="204"/>
      <c r="V23" s="79"/>
      <c r="W23" s="79"/>
      <c r="Z23" s="182"/>
      <c r="AB23" s="106"/>
    </row>
    <row r="24">
      <c r="C24" s="79"/>
      <c r="D24" s="79"/>
      <c r="E24" s="79"/>
      <c r="F24" s="204"/>
      <c r="G24" s="213"/>
      <c r="H24" s="201"/>
      <c r="I24" s="203"/>
      <c r="J24" s="203"/>
      <c r="K24" s="203"/>
      <c r="L24" s="198"/>
      <c r="M24" s="201"/>
      <c r="N24" s="201"/>
      <c r="O24" s="198"/>
      <c r="P24" s="198"/>
      <c r="Q24" s="198"/>
      <c r="R24" s="198"/>
      <c r="S24" s="198"/>
      <c r="T24" s="204"/>
      <c r="V24" s="79"/>
      <c r="W24" s="79"/>
      <c r="Z24" s="130"/>
      <c r="AB24" s="106"/>
    </row>
    <row r="25">
      <c r="A25" s="16" t="s">
        <v>27</v>
      </c>
      <c r="B25" s="17"/>
      <c r="C25" s="114"/>
      <c r="D25" s="114"/>
      <c r="E25" s="115"/>
      <c r="F25" s="204"/>
      <c r="G25" s="204"/>
      <c r="H25" s="201"/>
      <c r="I25" s="203"/>
      <c r="J25" s="203"/>
      <c r="K25" s="217"/>
      <c r="L25" s="208"/>
      <c r="M25" s="208"/>
      <c r="N25" s="198"/>
      <c r="O25" s="200"/>
      <c r="P25" s="198"/>
      <c r="Q25" s="198"/>
      <c r="R25" s="198"/>
      <c r="S25" s="198"/>
      <c r="T25" s="204"/>
      <c r="V25" s="79"/>
      <c r="W25" s="79"/>
      <c r="Z25" s="130"/>
      <c r="AB25" s="106"/>
    </row>
    <row r="26">
      <c r="A26" s="19" t="s">
        <v>28</v>
      </c>
      <c r="B26" s="20"/>
      <c r="C26" s="116"/>
      <c r="D26" s="116"/>
      <c r="E26" s="117"/>
      <c r="F26" s="204"/>
      <c r="G26" s="204"/>
      <c r="H26" s="213"/>
      <c r="I26" s="203"/>
      <c r="J26" s="203"/>
      <c r="K26" s="203"/>
      <c r="L26" s="209"/>
      <c r="M26" s="209"/>
      <c r="N26" s="201"/>
      <c r="O26" s="198"/>
      <c r="P26" s="198"/>
      <c r="Q26" s="198"/>
      <c r="R26" s="198"/>
      <c r="S26" s="198"/>
      <c r="T26" s="204"/>
      <c r="V26" s="79"/>
      <c r="W26" s="79"/>
      <c r="Z26" s="130"/>
      <c r="AB26" s="106"/>
    </row>
    <row r="27">
      <c r="A27" s="183" t="s">
        <v>29</v>
      </c>
      <c r="B27" s="184" t="s">
        <v>30</v>
      </c>
      <c r="C27" s="183"/>
      <c r="D27" s="183" t="s">
        <v>170</v>
      </c>
      <c r="E27" s="219" t="s">
        <v>171</v>
      </c>
      <c r="F27" s="204"/>
      <c r="G27" s="204"/>
      <c r="H27" s="243"/>
      <c r="I27" s="203"/>
      <c r="J27" s="203"/>
      <c r="K27" s="201"/>
      <c r="L27" s="209"/>
      <c r="M27" s="209"/>
      <c r="N27" s="198"/>
      <c r="O27" s="198"/>
      <c r="P27" s="198"/>
      <c r="Q27" s="198"/>
      <c r="R27" s="198"/>
      <c r="S27" s="198"/>
      <c r="T27" s="204"/>
      <c r="V27" s="79"/>
      <c r="W27" s="79"/>
      <c r="Z27" s="130"/>
      <c r="AB27" s="106"/>
    </row>
    <row r="28">
      <c r="A28" s="221" t="s">
        <v>41</v>
      </c>
      <c r="B28" s="222">
        <f>1352.07-450.69-450.69</f>
        <v>450.69</v>
      </c>
      <c r="C28" s="223"/>
      <c r="D28" s="223"/>
      <c r="E28" s="221" t="s">
        <v>255</v>
      </c>
      <c r="H28" s="244"/>
      <c r="I28" s="195"/>
      <c r="K28" s="204"/>
      <c r="L28" s="204"/>
      <c r="M28" s="198"/>
      <c r="R28" s="79"/>
      <c r="S28" s="79"/>
      <c r="V28" s="79"/>
      <c r="W28" s="79"/>
      <c r="Z28" s="130"/>
      <c r="AB28" s="106"/>
    </row>
    <row r="29">
      <c r="A29" s="173" t="s">
        <v>41</v>
      </c>
      <c r="B29" s="180">
        <v>2346.34</v>
      </c>
      <c r="C29" s="241"/>
      <c r="D29" s="241"/>
      <c r="E29" s="173" t="s">
        <v>256</v>
      </c>
      <c r="K29" s="204"/>
      <c r="L29" s="204"/>
      <c r="M29" s="198"/>
      <c r="R29" s="79"/>
      <c r="S29" s="79"/>
      <c r="V29" s="79"/>
      <c r="W29" s="79"/>
      <c r="Z29" s="130"/>
      <c r="AB29" s="106"/>
    </row>
    <row r="30">
      <c r="A30" s="237" t="s">
        <v>254</v>
      </c>
      <c r="B30" s="238">
        <v>348.24</v>
      </c>
      <c r="C30" s="239"/>
      <c r="D30" s="239"/>
      <c r="E30" s="237" t="s">
        <v>257</v>
      </c>
      <c r="K30" s="204"/>
      <c r="L30" s="204"/>
      <c r="M30" s="198"/>
      <c r="R30" s="79"/>
      <c r="S30" s="79"/>
      <c r="V30" s="79"/>
      <c r="W30" s="79"/>
      <c r="Z30" s="130"/>
      <c r="AB30" s="106"/>
    </row>
    <row r="31">
      <c r="A31" s="245" t="s">
        <v>258</v>
      </c>
      <c r="B31" s="246">
        <f>384.5+167.67</f>
        <v>552.17</v>
      </c>
      <c r="C31" s="247"/>
      <c r="D31" s="247"/>
      <c r="E31" s="245" t="s">
        <v>257</v>
      </c>
      <c r="K31" s="204"/>
      <c r="L31" s="204"/>
      <c r="M31" s="198"/>
      <c r="R31" s="79"/>
      <c r="S31" s="79"/>
      <c r="V31" s="79"/>
      <c r="W31" s="79"/>
      <c r="Z31" s="130"/>
      <c r="AB31" s="106"/>
    </row>
    <row r="32">
      <c r="A32" s="245" t="s">
        <v>131</v>
      </c>
      <c r="B32" s="246">
        <v>267.3</v>
      </c>
      <c r="C32" s="247"/>
      <c r="D32" s="247"/>
      <c r="E32" s="245" t="s">
        <v>257</v>
      </c>
      <c r="K32" s="204"/>
      <c r="L32" s="204"/>
      <c r="M32" s="198"/>
      <c r="R32" s="79"/>
      <c r="S32" s="79"/>
      <c r="V32" s="79"/>
      <c r="W32" s="79"/>
      <c r="Z32" s="130"/>
      <c r="AB32" s="106"/>
    </row>
    <row r="33">
      <c r="A33" s="245" t="s">
        <v>164</v>
      </c>
      <c r="B33" s="246">
        <v>252.0</v>
      </c>
      <c r="C33" s="247"/>
      <c r="D33" s="247"/>
      <c r="E33" s="245" t="s">
        <v>257</v>
      </c>
      <c r="K33" s="204"/>
      <c r="L33" s="204"/>
      <c r="M33" s="198"/>
      <c r="R33" s="79"/>
      <c r="S33" s="79"/>
      <c r="V33" s="79"/>
      <c r="W33" s="79"/>
      <c r="Z33" s="130"/>
      <c r="AB33" s="106"/>
    </row>
    <row r="34">
      <c r="C34" s="79"/>
      <c r="D34" s="79"/>
      <c r="E34" s="79"/>
      <c r="M34" s="79"/>
      <c r="R34" s="79"/>
      <c r="S34" s="79"/>
      <c r="V34" s="79"/>
      <c r="W34" s="79"/>
      <c r="Z34" s="130"/>
      <c r="AB34" s="106"/>
    </row>
    <row r="35">
      <c r="C35" s="79"/>
      <c r="D35" s="79"/>
      <c r="E35" s="79"/>
      <c r="M35" s="79"/>
      <c r="R35" s="79"/>
      <c r="S35" s="79"/>
      <c r="V35" s="79"/>
      <c r="W35" s="79"/>
      <c r="Z35" s="130"/>
      <c r="AB35" s="106"/>
    </row>
    <row r="36">
      <c r="C36" s="79"/>
      <c r="D36" s="79"/>
      <c r="E36" s="79"/>
      <c r="M36" s="79"/>
      <c r="R36" s="79"/>
      <c r="S36" s="79"/>
      <c r="V36" s="79"/>
      <c r="W36" s="79"/>
      <c r="Z36" s="130"/>
      <c r="AB36" s="106"/>
    </row>
    <row r="37">
      <c r="C37" s="79"/>
      <c r="D37" s="79"/>
      <c r="E37" s="79"/>
      <c r="M37" s="79"/>
      <c r="R37" s="79"/>
      <c r="S37" s="79"/>
      <c r="V37" s="79"/>
      <c r="W37" s="79"/>
      <c r="Z37" s="130"/>
      <c r="AB37" s="106"/>
    </row>
    <row r="38">
      <c r="C38" s="79"/>
      <c r="D38" s="79"/>
      <c r="E38" s="79"/>
      <c r="M38" s="79"/>
      <c r="R38" s="79"/>
      <c r="S38" s="79"/>
      <c r="V38" s="79"/>
      <c r="W38" s="79"/>
      <c r="Z38" s="130"/>
      <c r="AB38" s="106"/>
    </row>
    <row r="39">
      <c r="C39" s="79"/>
      <c r="D39" s="79"/>
      <c r="E39" s="79"/>
      <c r="M39" s="79"/>
      <c r="R39" s="79"/>
      <c r="S39" s="79"/>
      <c r="V39" s="79"/>
      <c r="W39" s="79"/>
      <c r="Z39" s="130"/>
      <c r="AB39" s="106"/>
    </row>
    <row r="40">
      <c r="C40" s="79"/>
      <c r="D40" s="79"/>
      <c r="E40" s="79"/>
      <c r="M40" s="79"/>
      <c r="R40" s="79"/>
      <c r="S40" s="79"/>
      <c r="V40" s="79"/>
      <c r="W40" s="79"/>
      <c r="Z40" s="130"/>
      <c r="AB40" s="106"/>
    </row>
    <row r="41">
      <c r="C41" s="79"/>
      <c r="D41" s="79"/>
      <c r="E41" s="79"/>
      <c r="M41" s="79"/>
      <c r="R41" s="79"/>
      <c r="S41" s="79"/>
      <c r="V41" s="79"/>
      <c r="W41" s="79"/>
      <c r="Z41" s="130"/>
      <c r="AB41" s="106"/>
    </row>
    <row r="42">
      <c r="C42" s="79"/>
      <c r="D42" s="79"/>
      <c r="E42" s="79"/>
      <c r="M42" s="79"/>
      <c r="R42" s="79"/>
      <c r="S42" s="79"/>
      <c r="V42" s="79"/>
      <c r="W42" s="79"/>
      <c r="Z42" s="130"/>
      <c r="AB42" s="106"/>
    </row>
    <row r="43">
      <c r="C43" s="79"/>
      <c r="D43" s="79"/>
      <c r="E43" s="79"/>
      <c r="M43" s="79"/>
      <c r="R43" s="79"/>
      <c r="S43" s="79"/>
      <c r="V43" s="79"/>
      <c r="W43" s="79"/>
      <c r="Z43" s="130"/>
      <c r="AB43" s="106"/>
    </row>
    <row r="44">
      <c r="C44" s="79"/>
      <c r="D44" s="79"/>
      <c r="E44" s="79"/>
      <c r="M44" s="79"/>
      <c r="R44" s="79"/>
      <c r="S44" s="79"/>
      <c r="V44" s="79"/>
      <c r="W44" s="79"/>
      <c r="Z44" s="130"/>
      <c r="AB44" s="106"/>
    </row>
    <row r="45">
      <c r="C45" s="79"/>
      <c r="D45" s="79"/>
      <c r="E45" s="79"/>
      <c r="M45" s="79"/>
      <c r="R45" s="79"/>
      <c r="S45" s="79"/>
      <c r="V45" s="79"/>
      <c r="W45" s="79"/>
      <c r="Z45" s="130"/>
      <c r="AB45" s="106"/>
    </row>
    <row r="46">
      <c r="C46" s="79"/>
      <c r="D46" s="79"/>
      <c r="E46" s="79"/>
      <c r="M46" s="79"/>
      <c r="R46" s="79"/>
      <c r="S46" s="79"/>
      <c r="V46" s="79"/>
      <c r="W46" s="79"/>
      <c r="Z46" s="130"/>
      <c r="AB46" s="106"/>
    </row>
    <row r="47">
      <c r="C47" s="79"/>
      <c r="D47" s="79"/>
      <c r="E47" s="79"/>
      <c r="M47" s="79"/>
      <c r="R47" s="79"/>
      <c r="S47" s="79"/>
      <c r="V47" s="79"/>
      <c r="W47" s="79"/>
      <c r="Z47" s="130"/>
      <c r="AB47" s="106"/>
    </row>
    <row r="48">
      <c r="C48" s="79"/>
      <c r="D48" s="79"/>
      <c r="E48" s="79"/>
      <c r="M48" s="79"/>
      <c r="R48" s="79"/>
      <c r="S48" s="79"/>
      <c r="V48" s="79"/>
      <c r="W48" s="79"/>
      <c r="Z48" s="130"/>
      <c r="AB48" s="106"/>
    </row>
    <row r="49">
      <c r="C49" s="79"/>
      <c r="D49" s="79"/>
      <c r="E49" s="79"/>
      <c r="M49" s="79"/>
      <c r="R49" s="79"/>
      <c r="S49" s="79"/>
      <c r="V49" s="79"/>
      <c r="W49" s="79"/>
      <c r="Z49" s="130"/>
      <c r="AB49" s="106"/>
    </row>
    <row r="50">
      <c r="C50" s="79"/>
      <c r="D50" s="79"/>
      <c r="E50" s="79"/>
      <c r="M50" s="79"/>
      <c r="R50" s="79"/>
      <c r="S50" s="79"/>
      <c r="V50" s="79"/>
      <c r="W50" s="79"/>
      <c r="Z50" s="130"/>
      <c r="AB50" s="106"/>
    </row>
    <row r="51">
      <c r="C51" s="79"/>
      <c r="D51" s="79"/>
      <c r="E51" s="79"/>
      <c r="M51" s="79"/>
      <c r="R51" s="79"/>
      <c r="S51" s="79"/>
      <c r="V51" s="79"/>
      <c r="W51" s="79"/>
      <c r="Z51" s="130"/>
      <c r="AB51" s="106"/>
    </row>
    <row r="52">
      <c r="C52" s="79"/>
      <c r="D52" s="79"/>
      <c r="E52" s="79"/>
      <c r="M52" s="79"/>
      <c r="R52" s="79"/>
      <c r="S52" s="79"/>
      <c r="V52" s="79"/>
      <c r="W52" s="79"/>
      <c r="Z52" s="130"/>
      <c r="AB52" s="106"/>
    </row>
    <row r="53">
      <c r="C53" s="79"/>
      <c r="D53" s="79"/>
      <c r="E53" s="79"/>
      <c r="M53" s="79"/>
      <c r="R53" s="79"/>
      <c r="S53" s="79"/>
      <c r="V53" s="79"/>
      <c r="W53" s="79"/>
      <c r="Z53" s="130"/>
      <c r="AB53" s="106"/>
    </row>
    <row r="54">
      <c r="C54" s="79"/>
      <c r="D54" s="79"/>
      <c r="E54" s="79"/>
      <c r="M54" s="79"/>
      <c r="R54" s="79"/>
      <c r="S54" s="79"/>
      <c r="V54" s="79"/>
      <c r="W54" s="79"/>
      <c r="Z54" s="130"/>
      <c r="AB54" s="106"/>
    </row>
    <row r="55">
      <c r="C55" s="79"/>
      <c r="D55" s="79"/>
      <c r="E55" s="79"/>
      <c r="M55" s="79"/>
      <c r="R55" s="79"/>
      <c r="S55" s="79"/>
      <c r="V55" s="79"/>
      <c r="W55" s="79"/>
      <c r="Z55" s="130"/>
      <c r="AB55" s="106"/>
    </row>
    <row r="56">
      <c r="C56" s="79"/>
      <c r="D56" s="79"/>
      <c r="E56" s="79"/>
      <c r="M56" s="79"/>
      <c r="R56" s="79"/>
      <c r="S56" s="79"/>
      <c r="V56" s="79"/>
      <c r="W56" s="79"/>
      <c r="Z56" s="130"/>
      <c r="AB56" s="106"/>
    </row>
    <row r="57">
      <c r="C57" s="79"/>
      <c r="D57" s="79"/>
      <c r="E57" s="79"/>
      <c r="M57" s="79"/>
      <c r="R57" s="79"/>
      <c r="S57" s="79"/>
      <c r="V57" s="79"/>
      <c r="W57" s="79"/>
      <c r="Z57" s="130"/>
      <c r="AB57" s="106"/>
    </row>
    <row r="58">
      <c r="C58" s="79"/>
      <c r="D58" s="79"/>
      <c r="E58" s="79"/>
      <c r="M58" s="79"/>
      <c r="R58" s="79"/>
      <c r="S58" s="79"/>
      <c r="V58" s="79"/>
      <c r="W58" s="79"/>
      <c r="Z58" s="130"/>
      <c r="AB58" s="106"/>
    </row>
    <row r="59">
      <c r="C59" s="79"/>
      <c r="D59" s="79"/>
      <c r="E59" s="79"/>
      <c r="M59" s="79"/>
      <c r="R59" s="79"/>
      <c r="S59" s="79"/>
      <c r="V59" s="79"/>
      <c r="W59" s="79"/>
      <c r="Z59" s="130"/>
      <c r="AB59" s="106"/>
    </row>
    <row r="60">
      <c r="C60" s="79"/>
      <c r="D60" s="79"/>
      <c r="E60" s="79"/>
      <c r="M60" s="79"/>
      <c r="R60" s="79"/>
      <c r="S60" s="79"/>
      <c r="V60" s="79"/>
      <c r="W60" s="79"/>
      <c r="Z60" s="130"/>
      <c r="AB60" s="106"/>
    </row>
    <row r="61">
      <c r="C61" s="79"/>
      <c r="D61" s="79"/>
      <c r="E61" s="79"/>
      <c r="M61" s="79"/>
      <c r="R61" s="79"/>
      <c r="S61" s="79"/>
      <c r="V61" s="79"/>
      <c r="W61" s="79"/>
      <c r="Z61" s="130"/>
      <c r="AB61" s="106"/>
    </row>
    <row r="62">
      <c r="C62" s="79"/>
      <c r="D62" s="79"/>
      <c r="E62" s="79"/>
      <c r="M62" s="79"/>
      <c r="R62" s="79"/>
      <c r="S62" s="79"/>
      <c r="V62" s="79"/>
      <c r="W62" s="79"/>
      <c r="Z62" s="130"/>
      <c r="AB62" s="106"/>
    </row>
    <row r="63">
      <c r="C63" s="79"/>
      <c r="D63" s="79"/>
      <c r="E63" s="79"/>
      <c r="M63" s="79"/>
      <c r="R63" s="79"/>
      <c r="S63" s="79"/>
      <c r="V63" s="79"/>
      <c r="W63" s="79"/>
      <c r="Z63" s="130"/>
      <c r="AB63" s="106"/>
    </row>
    <row r="64">
      <c r="C64" s="79"/>
      <c r="D64" s="79"/>
      <c r="E64" s="79"/>
      <c r="M64" s="79"/>
      <c r="R64" s="79"/>
      <c r="S64" s="79"/>
      <c r="V64" s="79"/>
      <c r="W64" s="79"/>
      <c r="Z64" s="130"/>
      <c r="AB64" s="106"/>
    </row>
    <row r="65">
      <c r="C65" s="79"/>
      <c r="D65" s="79"/>
      <c r="E65" s="79"/>
      <c r="M65" s="79"/>
      <c r="R65" s="79"/>
      <c r="S65" s="79"/>
      <c r="V65" s="79"/>
      <c r="W65" s="79"/>
      <c r="Z65" s="130"/>
      <c r="AB65" s="106"/>
    </row>
    <row r="66">
      <c r="C66" s="79"/>
      <c r="D66" s="79"/>
      <c r="E66" s="79"/>
      <c r="M66" s="79"/>
      <c r="R66" s="79"/>
      <c r="S66" s="79"/>
      <c r="V66" s="79"/>
      <c r="W66" s="79"/>
      <c r="Z66" s="130"/>
      <c r="AB66" s="106"/>
    </row>
    <row r="67">
      <c r="C67" s="79"/>
      <c r="D67" s="79"/>
      <c r="E67" s="79"/>
      <c r="M67" s="79"/>
      <c r="R67" s="79"/>
      <c r="S67" s="79"/>
      <c r="V67" s="79"/>
      <c r="W67" s="79"/>
      <c r="Z67" s="130"/>
      <c r="AB67" s="106"/>
    </row>
    <row r="68">
      <c r="C68" s="79"/>
      <c r="D68" s="79"/>
      <c r="E68" s="79"/>
      <c r="M68" s="79"/>
      <c r="R68" s="79"/>
      <c r="S68" s="79"/>
      <c r="V68" s="79"/>
      <c r="W68" s="79"/>
      <c r="Z68" s="130"/>
      <c r="AB68" s="106"/>
    </row>
    <row r="69">
      <c r="C69" s="79"/>
      <c r="D69" s="79"/>
      <c r="E69" s="79"/>
      <c r="M69" s="79"/>
      <c r="R69" s="79"/>
      <c r="S69" s="79"/>
      <c r="V69" s="79"/>
      <c r="W69" s="79"/>
      <c r="Z69" s="130"/>
      <c r="AB69" s="106"/>
    </row>
    <row r="70">
      <c r="C70" s="79"/>
      <c r="D70" s="79"/>
      <c r="E70" s="79"/>
      <c r="M70" s="79"/>
      <c r="R70" s="79"/>
      <c r="S70" s="79"/>
      <c r="V70" s="79"/>
      <c r="W70" s="79"/>
      <c r="Z70" s="130"/>
      <c r="AB70" s="106"/>
    </row>
    <row r="71">
      <c r="C71" s="79"/>
      <c r="D71" s="79"/>
      <c r="E71" s="79"/>
      <c r="M71" s="79"/>
      <c r="R71" s="79"/>
      <c r="S71" s="79"/>
      <c r="V71" s="79"/>
      <c r="W71" s="79"/>
      <c r="Z71" s="130"/>
      <c r="AB71" s="106"/>
    </row>
    <row r="72">
      <c r="C72" s="79"/>
      <c r="D72" s="79"/>
      <c r="E72" s="79"/>
      <c r="M72" s="79"/>
      <c r="R72" s="79"/>
      <c r="S72" s="79"/>
      <c r="V72" s="79"/>
      <c r="W72" s="79"/>
      <c r="Z72" s="130"/>
      <c r="AB72" s="106"/>
    </row>
    <row r="73">
      <c r="C73" s="79"/>
      <c r="D73" s="79"/>
      <c r="E73" s="79"/>
      <c r="M73" s="79"/>
      <c r="R73" s="79"/>
      <c r="S73" s="79"/>
      <c r="V73" s="79"/>
      <c r="W73" s="79"/>
      <c r="Z73" s="130"/>
      <c r="AB73" s="106"/>
    </row>
    <row r="74">
      <c r="C74" s="79"/>
      <c r="D74" s="79"/>
      <c r="E74" s="79"/>
      <c r="M74" s="79"/>
      <c r="R74" s="79"/>
      <c r="S74" s="79"/>
      <c r="V74" s="79"/>
      <c r="W74" s="79"/>
      <c r="Z74" s="130"/>
      <c r="AB74" s="106"/>
    </row>
    <row r="75">
      <c r="C75" s="79"/>
      <c r="D75" s="79"/>
      <c r="E75" s="79"/>
      <c r="M75" s="79"/>
      <c r="R75" s="79"/>
      <c r="S75" s="79"/>
      <c r="V75" s="79"/>
      <c r="W75" s="79"/>
      <c r="Z75" s="130"/>
      <c r="AB75" s="106"/>
    </row>
    <row r="76">
      <c r="C76" s="79"/>
      <c r="D76" s="79"/>
      <c r="E76" s="79"/>
      <c r="M76" s="79"/>
      <c r="R76" s="79"/>
      <c r="S76" s="79"/>
      <c r="V76" s="79"/>
      <c r="W76" s="79"/>
      <c r="Z76" s="130"/>
      <c r="AB76" s="106"/>
    </row>
    <row r="77">
      <c r="C77" s="79"/>
      <c r="D77" s="79"/>
      <c r="E77" s="79"/>
      <c r="M77" s="79"/>
      <c r="R77" s="79"/>
      <c r="S77" s="79"/>
      <c r="V77" s="79"/>
      <c r="W77" s="79"/>
      <c r="Z77" s="130"/>
      <c r="AB77" s="106"/>
    </row>
    <row r="78">
      <c r="C78" s="79"/>
      <c r="D78" s="79"/>
      <c r="E78" s="79"/>
      <c r="M78" s="79"/>
      <c r="R78" s="79"/>
      <c r="S78" s="79"/>
      <c r="V78" s="79"/>
      <c r="W78" s="79"/>
      <c r="Z78" s="130"/>
      <c r="AB78" s="106"/>
    </row>
    <row r="79">
      <c r="C79" s="79"/>
      <c r="D79" s="79"/>
      <c r="E79" s="79"/>
      <c r="M79" s="79"/>
      <c r="R79" s="79"/>
      <c r="S79" s="79"/>
      <c r="V79" s="79"/>
      <c r="W79" s="79"/>
      <c r="Z79" s="130"/>
      <c r="AB79" s="106"/>
    </row>
    <row r="80">
      <c r="C80" s="79"/>
      <c r="D80" s="79"/>
      <c r="E80" s="79"/>
      <c r="M80" s="79"/>
      <c r="R80" s="79"/>
      <c r="S80" s="79"/>
      <c r="V80" s="79"/>
      <c r="W80" s="79"/>
      <c r="Z80" s="130"/>
      <c r="AB80" s="106"/>
    </row>
    <row r="81">
      <c r="C81" s="79"/>
      <c r="D81" s="79"/>
      <c r="E81" s="79"/>
      <c r="M81" s="79"/>
      <c r="R81" s="79"/>
      <c r="S81" s="79"/>
      <c r="V81" s="79"/>
      <c r="W81" s="79"/>
      <c r="Z81" s="130"/>
      <c r="AB81" s="106"/>
    </row>
    <row r="82">
      <c r="C82" s="79"/>
      <c r="D82" s="79"/>
      <c r="E82" s="79"/>
      <c r="M82" s="79"/>
      <c r="R82" s="79"/>
      <c r="S82" s="79"/>
      <c r="V82" s="79"/>
      <c r="W82" s="79"/>
      <c r="Z82" s="130"/>
      <c r="AB82" s="106"/>
    </row>
    <row r="83">
      <c r="C83" s="79"/>
      <c r="D83" s="79"/>
      <c r="E83" s="79"/>
      <c r="M83" s="79"/>
      <c r="R83" s="79"/>
      <c r="S83" s="79"/>
      <c r="V83" s="79"/>
      <c r="W83" s="79"/>
      <c r="Z83" s="130"/>
      <c r="AB83" s="106"/>
    </row>
    <row r="84">
      <c r="C84" s="79"/>
      <c r="D84" s="79"/>
      <c r="E84" s="79"/>
      <c r="M84" s="79"/>
      <c r="R84" s="79"/>
      <c r="S84" s="79"/>
      <c r="V84" s="79"/>
      <c r="W84" s="79"/>
      <c r="Z84" s="130"/>
      <c r="AB84" s="106"/>
    </row>
    <row r="85">
      <c r="C85" s="79"/>
      <c r="D85" s="79"/>
      <c r="E85" s="79"/>
      <c r="M85" s="79"/>
      <c r="R85" s="79"/>
      <c r="S85" s="79"/>
      <c r="V85" s="79"/>
      <c r="W85" s="79"/>
      <c r="Z85" s="130"/>
      <c r="AB85" s="106"/>
    </row>
    <row r="86">
      <c r="C86" s="79"/>
      <c r="D86" s="79"/>
      <c r="E86" s="79"/>
      <c r="M86" s="79"/>
      <c r="R86" s="79"/>
      <c r="S86" s="79"/>
      <c r="V86" s="79"/>
      <c r="W86" s="79"/>
      <c r="Z86" s="130"/>
      <c r="AB86" s="106"/>
    </row>
    <row r="87">
      <c r="C87" s="79"/>
      <c r="D87" s="79"/>
      <c r="E87" s="79"/>
      <c r="M87" s="79"/>
      <c r="R87" s="79"/>
      <c r="S87" s="79"/>
      <c r="V87" s="79"/>
      <c r="W87" s="79"/>
      <c r="Z87" s="130"/>
      <c r="AB87" s="106"/>
    </row>
    <row r="88">
      <c r="C88" s="79"/>
      <c r="D88" s="79"/>
      <c r="E88" s="79"/>
      <c r="M88" s="79"/>
      <c r="R88" s="79"/>
      <c r="S88" s="79"/>
      <c r="V88" s="79"/>
      <c r="W88" s="79"/>
      <c r="Z88" s="130"/>
      <c r="AB88" s="106"/>
    </row>
    <row r="89">
      <c r="C89" s="79"/>
      <c r="D89" s="79"/>
      <c r="E89" s="79"/>
      <c r="M89" s="79"/>
      <c r="R89" s="79"/>
      <c r="S89" s="79"/>
      <c r="V89" s="79"/>
      <c r="W89" s="79"/>
      <c r="Z89" s="130"/>
      <c r="AB89" s="106"/>
    </row>
    <row r="90">
      <c r="C90" s="79"/>
      <c r="D90" s="79"/>
      <c r="E90" s="79"/>
      <c r="M90" s="79"/>
      <c r="R90" s="79"/>
      <c r="S90" s="79"/>
      <c r="V90" s="79"/>
      <c r="W90" s="79"/>
      <c r="Z90" s="130"/>
      <c r="AB90" s="106"/>
    </row>
    <row r="91">
      <c r="C91" s="79"/>
      <c r="D91" s="79"/>
      <c r="E91" s="79"/>
      <c r="M91" s="79"/>
      <c r="R91" s="79"/>
      <c r="S91" s="79"/>
      <c r="V91" s="79"/>
      <c r="W91" s="79"/>
      <c r="Z91" s="130"/>
      <c r="AB91" s="106"/>
    </row>
    <row r="92">
      <c r="C92" s="79"/>
      <c r="D92" s="79"/>
      <c r="E92" s="79"/>
      <c r="M92" s="79"/>
      <c r="R92" s="79"/>
      <c r="S92" s="79"/>
      <c r="V92" s="79"/>
      <c r="W92" s="79"/>
      <c r="Z92" s="130"/>
      <c r="AB92" s="106"/>
    </row>
    <row r="93">
      <c r="C93" s="79"/>
      <c r="D93" s="79"/>
      <c r="E93" s="79"/>
      <c r="M93" s="79"/>
      <c r="R93" s="79"/>
      <c r="S93" s="79"/>
      <c r="V93" s="79"/>
      <c r="W93" s="79"/>
      <c r="Z93" s="130"/>
      <c r="AB93" s="106"/>
    </row>
    <row r="94">
      <c r="C94" s="79"/>
      <c r="D94" s="79"/>
      <c r="E94" s="79"/>
      <c r="M94" s="79"/>
      <c r="R94" s="79"/>
      <c r="S94" s="79"/>
      <c r="V94" s="79"/>
      <c r="W94" s="79"/>
      <c r="Z94" s="130"/>
      <c r="AB94" s="106"/>
    </row>
    <row r="95">
      <c r="C95" s="79"/>
      <c r="D95" s="79"/>
      <c r="E95" s="79"/>
      <c r="M95" s="79"/>
      <c r="R95" s="79"/>
      <c r="S95" s="79"/>
      <c r="V95" s="79"/>
      <c r="W95" s="79"/>
      <c r="Z95" s="130"/>
      <c r="AB95" s="106"/>
    </row>
    <row r="96">
      <c r="C96" s="79"/>
      <c r="D96" s="79"/>
      <c r="E96" s="79"/>
      <c r="M96" s="79"/>
      <c r="R96" s="79"/>
      <c r="S96" s="79"/>
      <c r="V96" s="79"/>
      <c r="W96" s="79"/>
      <c r="Z96" s="130"/>
      <c r="AB96" s="106"/>
    </row>
    <row r="97">
      <c r="C97" s="79"/>
      <c r="D97" s="79"/>
      <c r="E97" s="79"/>
      <c r="M97" s="79"/>
      <c r="R97" s="79"/>
      <c r="S97" s="79"/>
      <c r="V97" s="79"/>
      <c r="W97" s="79"/>
      <c r="Z97" s="130"/>
      <c r="AB97" s="106"/>
    </row>
    <row r="98">
      <c r="C98" s="79"/>
      <c r="D98" s="79"/>
      <c r="E98" s="79"/>
      <c r="M98" s="79"/>
      <c r="R98" s="79"/>
      <c r="S98" s="79"/>
      <c r="V98" s="79"/>
      <c r="W98" s="79"/>
      <c r="Z98" s="130"/>
      <c r="AB98" s="106"/>
    </row>
    <row r="99">
      <c r="C99" s="79"/>
      <c r="D99" s="79"/>
      <c r="E99" s="79"/>
      <c r="M99" s="79"/>
      <c r="R99" s="79"/>
      <c r="S99" s="79"/>
      <c r="V99" s="79"/>
      <c r="W99" s="79"/>
      <c r="Z99" s="130"/>
      <c r="AB99" s="106"/>
    </row>
    <row r="100">
      <c r="C100" s="79"/>
      <c r="D100" s="79"/>
      <c r="E100" s="79"/>
      <c r="M100" s="79"/>
      <c r="R100" s="79"/>
      <c r="S100" s="79"/>
      <c r="V100" s="79"/>
      <c r="W100" s="79"/>
      <c r="Z100" s="130"/>
      <c r="AB100" s="106"/>
    </row>
    <row r="101">
      <c r="C101" s="79"/>
      <c r="D101" s="79"/>
      <c r="E101" s="79"/>
      <c r="M101" s="79"/>
      <c r="R101" s="79"/>
      <c r="S101" s="79"/>
      <c r="V101" s="79"/>
      <c r="W101" s="79"/>
      <c r="Z101" s="130"/>
      <c r="AB101" s="106"/>
    </row>
    <row r="102">
      <c r="C102" s="79"/>
      <c r="D102" s="79"/>
      <c r="E102" s="79"/>
      <c r="M102" s="79"/>
      <c r="R102" s="79"/>
      <c r="S102" s="79"/>
      <c r="V102" s="79"/>
      <c r="W102" s="79"/>
      <c r="Z102" s="130"/>
      <c r="AB102" s="106"/>
    </row>
    <row r="103">
      <c r="C103" s="79"/>
      <c r="D103" s="79"/>
      <c r="E103" s="79"/>
      <c r="M103" s="79"/>
      <c r="R103" s="79"/>
      <c r="S103" s="79"/>
      <c r="V103" s="79"/>
      <c r="W103" s="79"/>
      <c r="Z103" s="130"/>
      <c r="AB103" s="106"/>
    </row>
    <row r="104">
      <c r="C104" s="79"/>
      <c r="D104" s="79"/>
      <c r="E104" s="79"/>
      <c r="M104" s="79"/>
      <c r="R104" s="79"/>
      <c r="S104" s="79"/>
      <c r="V104" s="79"/>
      <c r="W104" s="79"/>
      <c r="Z104" s="130"/>
      <c r="AB104" s="106"/>
    </row>
    <row r="105">
      <c r="C105" s="79"/>
      <c r="D105" s="79"/>
      <c r="E105" s="79"/>
      <c r="M105" s="79"/>
      <c r="R105" s="79"/>
      <c r="S105" s="79"/>
      <c r="V105" s="79"/>
      <c r="W105" s="79"/>
      <c r="Z105" s="130"/>
      <c r="AB105" s="106"/>
    </row>
    <row r="106">
      <c r="C106" s="79"/>
      <c r="D106" s="79"/>
      <c r="E106" s="79"/>
      <c r="M106" s="79"/>
      <c r="R106" s="79"/>
      <c r="S106" s="79"/>
      <c r="V106" s="79"/>
      <c r="W106" s="79"/>
      <c r="Z106" s="130"/>
      <c r="AB106" s="106"/>
    </row>
    <row r="107">
      <c r="C107" s="79"/>
      <c r="D107" s="79"/>
      <c r="E107" s="79"/>
      <c r="M107" s="79"/>
      <c r="R107" s="79"/>
      <c r="S107" s="79"/>
      <c r="V107" s="79"/>
      <c r="W107" s="79"/>
      <c r="Z107" s="130"/>
      <c r="AB107" s="106"/>
    </row>
    <row r="108">
      <c r="C108" s="79"/>
      <c r="D108" s="79"/>
      <c r="E108" s="79"/>
      <c r="M108" s="79"/>
      <c r="R108" s="79"/>
      <c r="S108" s="79"/>
      <c r="V108" s="79"/>
      <c r="W108" s="79"/>
      <c r="Z108" s="130"/>
      <c r="AB108" s="106"/>
    </row>
    <row r="109">
      <c r="C109" s="79"/>
      <c r="D109" s="79"/>
      <c r="E109" s="79"/>
      <c r="M109" s="79"/>
      <c r="R109" s="79"/>
      <c r="S109" s="79"/>
      <c r="V109" s="79"/>
      <c r="W109" s="79"/>
      <c r="Z109" s="130"/>
      <c r="AB109" s="106"/>
    </row>
    <row r="110">
      <c r="C110" s="79"/>
      <c r="D110" s="79"/>
      <c r="E110" s="79"/>
      <c r="M110" s="79"/>
      <c r="R110" s="79"/>
      <c r="S110" s="79"/>
      <c r="V110" s="79"/>
      <c r="W110" s="79"/>
      <c r="Z110" s="130"/>
      <c r="AB110" s="106"/>
    </row>
    <row r="111">
      <c r="C111" s="79"/>
      <c r="D111" s="79"/>
      <c r="E111" s="79"/>
      <c r="M111" s="79"/>
      <c r="R111" s="79"/>
      <c r="S111" s="79"/>
      <c r="V111" s="79"/>
      <c r="W111" s="79"/>
      <c r="Z111" s="130"/>
      <c r="AB111" s="106"/>
    </row>
    <row r="112">
      <c r="C112" s="79"/>
      <c r="D112" s="79"/>
      <c r="E112" s="79"/>
      <c r="M112" s="79"/>
      <c r="R112" s="79"/>
      <c r="S112" s="79"/>
      <c r="V112" s="79"/>
      <c r="W112" s="79"/>
      <c r="Z112" s="130"/>
      <c r="AB112" s="106"/>
    </row>
    <row r="113">
      <c r="C113" s="79"/>
      <c r="D113" s="79"/>
      <c r="E113" s="79"/>
      <c r="M113" s="79"/>
      <c r="R113" s="79"/>
      <c r="S113" s="79"/>
      <c r="V113" s="79"/>
      <c r="W113" s="79"/>
      <c r="Z113" s="130"/>
      <c r="AB113" s="106"/>
    </row>
    <row r="114">
      <c r="C114" s="79"/>
      <c r="D114" s="79"/>
      <c r="E114" s="79"/>
      <c r="M114" s="79"/>
      <c r="R114" s="79"/>
      <c r="S114" s="79"/>
      <c r="V114" s="79"/>
      <c r="W114" s="79"/>
      <c r="Z114" s="130"/>
      <c r="AB114" s="106"/>
    </row>
    <row r="115">
      <c r="C115" s="79"/>
      <c r="D115" s="79"/>
      <c r="E115" s="79"/>
      <c r="M115" s="79"/>
      <c r="R115" s="79"/>
      <c r="S115" s="79"/>
      <c r="V115" s="79"/>
      <c r="W115" s="79"/>
      <c r="Z115" s="130"/>
      <c r="AB115" s="106"/>
    </row>
    <row r="116">
      <c r="C116" s="79"/>
      <c r="D116" s="79"/>
      <c r="E116" s="79"/>
      <c r="M116" s="79"/>
      <c r="R116" s="79"/>
      <c r="S116" s="79"/>
      <c r="V116" s="79"/>
      <c r="W116" s="79"/>
      <c r="Z116" s="130"/>
      <c r="AB116" s="106"/>
    </row>
    <row r="117">
      <c r="C117" s="79"/>
      <c r="D117" s="79"/>
      <c r="E117" s="79"/>
      <c r="M117" s="79"/>
      <c r="R117" s="79"/>
      <c r="S117" s="79"/>
      <c r="V117" s="79"/>
      <c r="W117" s="79"/>
      <c r="Z117" s="130"/>
      <c r="AB117" s="106"/>
    </row>
    <row r="118">
      <c r="C118" s="79"/>
      <c r="D118" s="79"/>
      <c r="E118" s="79"/>
      <c r="M118" s="79"/>
      <c r="R118" s="79"/>
      <c r="S118" s="79"/>
      <c r="V118" s="79"/>
      <c r="W118" s="79"/>
      <c r="Z118" s="130"/>
      <c r="AB118" s="106"/>
    </row>
    <row r="119">
      <c r="C119" s="79"/>
      <c r="D119" s="79"/>
      <c r="E119" s="79"/>
      <c r="M119" s="79"/>
      <c r="R119" s="79"/>
      <c r="S119" s="79"/>
      <c r="V119" s="79"/>
      <c r="W119" s="79"/>
      <c r="Z119" s="130"/>
      <c r="AB119" s="106"/>
    </row>
    <row r="120">
      <c r="C120" s="79"/>
      <c r="D120" s="79"/>
      <c r="E120" s="79"/>
      <c r="M120" s="79"/>
      <c r="R120" s="79"/>
      <c r="S120" s="79"/>
      <c r="V120" s="79"/>
      <c r="W120" s="79"/>
      <c r="Z120" s="130"/>
      <c r="AB120" s="106"/>
    </row>
    <row r="121">
      <c r="C121" s="79"/>
      <c r="D121" s="79"/>
      <c r="E121" s="79"/>
      <c r="M121" s="79"/>
      <c r="R121" s="79"/>
      <c r="S121" s="79"/>
      <c r="V121" s="79"/>
      <c r="W121" s="79"/>
      <c r="Z121" s="130"/>
      <c r="AB121" s="106"/>
    </row>
    <row r="122">
      <c r="C122" s="79"/>
      <c r="D122" s="79"/>
      <c r="E122" s="79"/>
      <c r="M122" s="79"/>
      <c r="R122" s="79"/>
      <c r="S122" s="79"/>
      <c r="V122" s="79"/>
      <c r="W122" s="79"/>
      <c r="Z122" s="130"/>
      <c r="AB122" s="106"/>
    </row>
    <row r="123">
      <c r="C123" s="79"/>
      <c r="D123" s="79"/>
      <c r="E123" s="79"/>
      <c r="M123" s="79"/>
      <c r="R123" s="79"/>
      <c r="S123" s="79"/>
      <c r="V123" s="79"/>
      <c r="W123" s="79"/>
      <c r="Z123" s="130"/>
      <c r="AB123" s="106"/>
    </row>
    <row r="124">
      <c r="C124" s="79"/>
      <c r="D124" s="79"/>
      <c r="E124" s="79"/>
      <c r="M124" s="79"/>
      <c r="R124" s="79"/>
      <c r="S124" s="79"/>
      <c r="V124" s="79"/>
      <c r="W124" s="79"/>
      <c r="Z124" s="130"/>
      <c r="AB124" s="106"/>
    </row>
    <row r="125">
      <c r="C125" s="79"/>
      <c r="D125" s="79"/>
      <c r="E125" s="79"/>
      <c r="M125" s="79"/>
      <c r="R125" s="79"/>
      <c r="S125" s="79"/>
      <c r="V125" s="79"/>
      <c r="W125" s="79"/>
      <c r="Z125" s="130"/>
      <c r="AB125" s="106"/>
    </row>
    <row r="126">
      <c r="C126" s="79"/>
      <c r="D126" s="79"/>
      <c r="E126" s="79"/>
      <c r="M126" s="79"/>
      <c r="R126" s="79"/>
      <c r="S126" s="79"/>
      <c r="V126" s="79"/>
      <c r="W126" s="79"/>
      <c r="Z126" s="130"/>
      <c r="AB126" s="106"/>
    </row>
    <row r="127">
      <c r="C127" s="79"/>
      <c r="D127" s="79"/>
      <c r="E127" s="79"/>
      <c r="M127" s="79"/>
      <c r="R127" s="79"/>
      <c r="S127" s="79"/>
      <c r="V127" s="79"/>
      <c r="W127" s="79"/>
      <c r="Z127" s="130"/>
      <c r="AB127" s="106"/>
    </row>
    <row r="128">
      <c r="C128" s="79"/>
      <c r="D128" s="79"/>
      <c r="E128" s="79"/>
      <c r="M128" s="79"/>
      <c r="R128" s="79"/>
      <c r="S128" s="79"/>
      <c r="V128" s="79"/>
      <c r="W128" s="79"/>
      <c r="Z128" s="130"/>
      <c r="AB128" s="106"/>
    </row>
    <row r="129">
      <c r="C129" s="79"/>
      <c r="D129" s="79"/>
      <c r="E129" s="79"/>
      <c r="M129" s="79"/>
      <c r="R129" s="79"/>
      <c r="S129" s="79"/>
      <c r="V129" s="79"/>
      <c r="W129" s="79"/>
      <c r="Z129" s="130"/>
      <c r="AB129" s="106"/>
    </row>
    <row r="130">
      <c r="C130" s="79"/>
      <c r="D130" s="79"/>
      <c r="E130" s="79"/>
      <c r="M130" s="79"/>
      <c r="R130" s="79"/>
      <c r="S130" s="79"/>
      <c r="V130" s="79"/>
      <c r="W130" s="79"/>
      <c r="Z130" s="130"/>
      <c r="AB130" s="106"/>
    </row>
    <row r="131">
      <c r="C131" s="79"/>
      <c r="D131" s="79"/>
      <c r="E131" s="79"/>
      <c r="M131" s="79"/>
      <c r="R131" s="79"/>
      <c r="S131" s="79"/>
      <c r="V131" s="79"/>
      <c r="W131" s="79"/>
      <c r="Z131" s="130"/>
      <c r="AB131" s="106"/>
    </row>
    <row r="132">
      <c r="C132" s="79"/>
      <c r="D132" s="79"/>
      <c r="E132" s="79"/>
      <c r="M132" s="79"/>
      <c r="R132" s="79"/>
      <c r="S132" s="79"/>
      <c r="V132" s="79"/>
      <c r="W132" s="79"/>
      <c r="Z132" s="130"/>
      <c r="AB132" s="106"/>
    </row>
    <row r="133">
      <c r="C133" s="79"/>
      <c r="D133" s="79"/>
      <c r="E133" s="79"/>
      <c r="M133" s="79"/>
      <c r="R133" s="79"/>
      <c r="S133" s="79"/>
      <c r="V133" s="79"/>
      <c r="W133" s="79"/>
      <c r="Z133" s="130"/>
      <c r="AB133" s="106"/>
    </row>
    <row r="134">
      <c r="C134" s="79"/>
      <c r="D134" s="79"/>
      <c r="E134" s="79"/>
      <c r="M134" s="79"/>
      <c r="R134" s="79"/>
      <c r="S134" s="79"/>
      <c r="V134" s="79"/>
      <c r="W134" s="79"/>
      <c r="Z134" s="130"/>
      <c r="AB134" s="106"/>
    </row>
    <row r="135">
      <c r="C135" s="79"/>
      <c r="D135" s="79"/>
      <c r="E135" s="79"/>
      <c r="M135" s="79"/>
      <c r="R135" s="79"/>
      <c r="S135" s="79"/>
      <c r="V135" s="79"/>
      <c r="W135" s="79"/>
      <c r="Z135" s="130"/>
      <c r="AB135" s="106"/>
    </row>
    <row r="136">
      <c r="C136" s="79"/>
      <c r="D136" s="79"/>
      <c r="E136" s="79"/>
      <c r="M136" s="79"/>
      <c r="R136" s="79"/>
      <c r="S136" s="79"/>
      <c r="V136" s="79"/>
      <c r="W136" s="79"/>
      <c r="Z136" s="130"/>
      <c r="AB136" s="106"/>
    </row>
    <row r="137">
      <c r="C137" s="79"/>
      <c r="D137" s="79"/>
      <c r="E137" s="79"/>
      <c r="M137" s="79"/>
      <c r="R137" s="79"/>
      <c r="S137" s="79"/>
      <c r="V137" s="79"/>
      <c r="W137" s="79"/>
      <c r="Z137" s="130"/>
      <c r="AB137" s="106"/>
    </row>
    <row r="138">
      <c r="C138" s="79"/>
      <c r="D138" s="79"/>
      <c r="E138" s="79"/>
      <c r="M138" s="79"/>
      <c r="R138" s="79"/>
      <c r="S138" s="79"/>
      <c r="V138" s="79"/>
      <c r="W138" s="79"/>
      <c r="Z138" s="130"/>
      <c r="AB138" s="106"/>
    </row>
    <row r="139">
      <c r="C139" s="79"/>
      <c r="D139" s="79"/>
      <c r="E139" s="79"/>
      <c r="M139" s="79"/>
      <c r="R139" s="79"/>
      <c r="S139" s="79"/>
      <c r="V139" s="79"/>
      <c r="W139" s="79"/>
      <c r="Z139" s="130"/>
      <c r="AB139" s="106"/>
    </row>
    <row r="140">
      <c r="C140" s="79"/>
      <c r="D140" s="79"/>
      <c r="E140" s="79"/>
      <c r="M140" s="79"/>
      <c r="R140" s="79"/>
      <c r="S140" s="79"/>
      <c r="V140" s="79"/>
      <c r="W140" s="79"/>
      <c r="Z140" s="130"/>
      <c r="AB140" s="106"/>
    </row>
    <row r="141">
      <c r="C141" s="79"/>
      <c r="D141" s="79"/>
      <c r="E141" s="79"/>
      <c r="M141" s="79"/>
      <c r="R141" s="79"/>
      <c r="S141" s="79"/>
      <c r="V141" s="79"/>
      <c r="W141" s="79"/>
      <c r="Z141" s="130"/>
      <c r="AB141" s="106"/>
    </row>
    <row r="142">
      <c r="C142" s="79"/>
      <c r="D142" s="79"/>
      <c r="E142" s="79"/>
      <c r="M142" s="79"/>
      <c r="R142" s="79"/>
      <c r="S142" s="79"/>
      <c r="V142" s="79"/>
      <c r="W142" s="79"/>
      <c r="Z142" s="130"/>
      <c r="AB142" s="106"/>
    </row>
    <row r="143">
      <c r="C143" s="79"/>
      <c r="D143" s="79"/>
      <c r="E143" s="79"/>
      <c r="M143" s="79"/>
      <c r="R143" s="79"/>
      <c r="S143" s="79"/>
      <c r="V143" s="79"/>
      <c r="W143" s="79"/>
      <c r="Z143" s="130"/>
      <c r="AB143" s="106"/>
    </row>
    <row r="144">
      <c r="C144" s="79"/>
      <c r="D144" s="79"/>
      <c r="E144" s="79"/>
      <c r="M144" s="79"/>
      <c r="R144" s="79"/>
      <c r="S144" s="79"/>
      <c r="V144" s="79"/>
      <c r="W144" s="79"/>
      <c r="Z144" s="130"/>
      <c r="AB144" s="106"/>
    </row>
    <row r="145">
      <c r="C145" s="79"/>
      <c r="D145" s="79"/>
      <c r="E145" s="79"/>
      <c r="M145" s="79"/>
      <c r="R145" s="79"/>
      <c r="S145" s="79"/>
      <c r="V145" s="79"/>
      <c r="W145" s="79"/>
      <c r="Z145" s="130"/>
      <c r="AB145" s="106"/>
    </row>
    <row r="146">
      <c r="C146" s="79"/>
      <c r="D146" s="79"/>
      <c r="E146" s="79"/>
      <c r="M146" s="79"/>
      <c r="R146" s="79"/>
      <c r="S146" s="79"/>
      <c r="V146" s="79"/>
      <c r="W146" s="79"/>
      <c r="Z146" s="130"/>
      <c r="AB146" s="106"/>
    </row>
    <row r="147">
      <c r="C147" s="79"/>
      <c r="D147" s="79"/>
      <c r="E147" s="79"/>
      <c r="M147" s="79"/>
      <c r="R147" s="79"/>
      <c r="S147" s="79"/>
      <c r="V147" s="79"/>
      <c r="W147" s="79"/>
      <c r="Z147" s="130"/>
      <c r="AB147" s="106"/>
    </row>
    <row r="148">
      <c r="C148" s="79"/>
      <c r="D148" s="79"/>
      <c r="E148" s="79"/>
      <c r="M148" s="79"/>
      <c r="R148" s="79"/>
      <c r="S148" s="79"/>
      <c r="V148" s="79"/>
      <c r="W148" s="79"/>
      <c r="Z148" s="130"/>
      <c r="AB148" s="106"/>
    </row>
    <row r="149">
      <c r="C149" s="79"/>
      <c r="D149" s="79"/>
      <c r="E149" s="79"/>
      <c r="M149" s="79"/>
      <c r="R149" s="79"/>
      <c r="S149" s="79"/>
      <c r="V149" s="79"/>
      <c r="W149" s="79"/>
      <c r="Z149" s="130"/>
      <c r="AB149" s="106"/>
    </row>
    <row r="150">
      <c r="C150" s="79"/>
      <c r="D150" s="79"/>
      <c r="E150" s="79"/>
      <c r="M150" s="79"/>
      <c r="R150" s="79"/>
      <c r="S150" s="79"/>
      <c r="V150" s="79"/>
      <c r="W150" s="79"/>
      <c r="Z150" s="130"/>
      <c r="AB150" s="106"/>
    </row>
    <row r="151">
      <c r="C151" s="79"/>
      <c r="D151" s="79"/>
      <c r="E151" s="79"/>
      <c r="M151" s="79"/>
      <c r="R151" s="79"/>
      <c r="S151" s="79"/>
      <c r="V151" s="79"/>
      <c r="W151" s="79"/>
      <c r="Z151" s="130"/>
      <c r="AB151" s="106"/>
    </row>
    <row r="152">
      <c r="C152" s="79"/>
      <c r="D152" s="79"/>
      <c r="E152" s="79"/>
      <c r="M152" s="79"/>
      <c r="R152" s="79"/>
      <c r="S152" s="79"/>
      <c r="V152" s="79"/>
      <c r="W152" s="79"/>
      <c r="Z152" s="130"/>
      <c r="AB152" s="106"/>
    </row>
    <row r="153">
      <c r="C153" s="79"/>
      <c r="D153" s="79"/>
      <c r="E153" s="79"/>
      <c r="M153" s="79"/>
      <c r="R153" s="79"/>
      <c r="S153" s="79"/>
      <c r="V153" s="79"/>
      <c r="W153" s="79"/>
      <c r="Z153" s="130"/>
      <c r="AB153" s="106"/>
    </row>
    <row r="154">
      <c r="C154" s="79"/>
      <c r="D154" s="79"/>
      <c r="E154" s="79"/>
      <c r="M154" s="79"/>
      <c r="R154" s="79"/>
      <c r="S154" s="79"/>
      <c r="V154" s="79"/>
      <c r="W154" s="79"/>
      <c r="Z154" s="130"/>
      <c r="AB154" s="106"/>
    </row>
    <row r="155">
      <c r="C155" s="79"/>
      <c r="D155" s="79"/>
      <c r="E155" s="79"/>
      <c r="M155" s="79"/>
      <c r="R155" s="79"/>
      <c r="S155" s="79"/>
      <c r="V155" s="79"/>
      <c r="W155" s="79"/>
      <c r="Z155" s="130"/>
      <c r="AB155" s="106"/>
    </row>
    <row r="156">
      <c r="C156" s="79"/>
      <c r="D156" s="79"/>
      <c r="E156" s="79"/>
      <c r="M156" s="79"/>
      <c r="R156" s="79"/>
      <c r="S156" s="79"/>
      <c r="V156" s="79"/>
      <c r="W156" s="79"/>
      <c r="Z156" s="130"/>
      <c r="AB156" s="106"/>
    </row>
    <row r="157">
      <c r="C157" s="79"/>
      <c r="D157" s="79"/>
      <c r="E157" s="79"/>
      <c r="M157" s="79"/>
      <c r="R157" s="79"/>
      <c r="S157" s="79"/>
      <c r="V157" s="79"/>
      <c r="W157" s="79"/>
      <c r="Z157" s="130"/>
      <c r="AB157" s="106"/>
    </row>
    <row r="158">
      <c r="C158" s="79"/>
      <c r="D158" s="79"/>
      <c r="E158" s="79"/>
      <c r="M158" s="79"/>
      <c r="R158" s="79"/>
      <c r="S158" s="79"/>
      <c r="V158" s="79"/>
      <c r="W158" s="79"/>
      <c r="Z158" s="130"/>
      <c r="AB158" s="106"/>
    </row>
    <row r="159">
      <c r="C159" s="79"/>
      <c r="D159" s="79"/>
      <c r="E159" s="79"/>
      <c r="M159" s="79"/>
      <c r="R159" s="79"/>
      <c r="S159" s="79"/>
      <c r="V159" s="79"/>
      <c r="W159" s="79"/>
      <c r="Z159" s="130"/>
      <c r="AB159" s="106"/>
    </row>
    <row r="160">
      <c r="C160" s="79"/>
      <c r="D160" s="79"/>
      <c r="E160" s="79"/>
      <c r="M160" s="79"/>
      <c r="R160" s="79"/>
      <c r="S160" s="79"/>
      <c r="V160" s="79"/>
      <c r="W160" s="79"/>
      <c r="Z160" s="130"/>
      <c r="AB160" s="106"/>
    </row>
    <row r="161">
      <c r="C161" s="79"/>
      <c r="D161" s="79"/>
      <c r="E161" s="79"/>
      <c r="M161" s="79"/>
      <c r="R161" s="79"/>
      <c r="S161" s="79"/>
      <c r="V161" s="79"/>
      <c r="W161" s="79"/>
      <c r="Z161" s="130"/>
      <c r="AB161" s="106"/>
    </row>
    <row r="162">
      <c r="C162" s="79"/>
      <c r="D162" s="79"/>
      <c r="E162" s="79"/>
      <c r="M162" s="79"/>
      <c r="R162" s="79"/>
      <c r="S162" s="79"/>
      <c r="V162" s="79"/>
      <c r="W162" s="79"/>
      <c r="Z162" s="130"/>
      <c r="AB162" s="106"/>
    </row>
    <row r="163">
      <c r="C163" s="79"/>
      <c r="D163" s="79"/>
      <c r="E163" s="79"/>
      <c r="M163" s="79"/>
      <c r="R163" s="79"/>
      <c r="S163" s="79"/>
      <c r="V163" s="79"/>
      <c r="W163" s="79"/>
      <c r="Z163" s="130"/>
      <c r="AB163" s="106"/>
    </row>
    <row r="164">
      <c r="C164" s="79"/>
      <c r="D164" s="79"/>
      <c r="E164" s="79"/>
      <c r="M164" s="79"/>
      <c r="R164" s="79"/>
      <c r="S164" s="79"/>
      <c r="V164" s="79"/>
      <c r="W164" s="79"/>
      <c r="Z164" s="130"/>
      <c r="AB164" s="106"/>
    </row>
    <row r="165">
      <c r="C165" s="79"/>
      <c r="D165" s="79"/>
      <c r="E165" s="79"/>
      <c r="M165" s="79"/>
      <c r="R165" s="79"/>
      <c r="S165" s="79"/>
      <c r="V165" s="79"/>
      <c r="W165" s="79"/>
      <c r="Z165" s="130"/>
      <c r="AB165" s="106"/>
    </row>
    <row r="166">
      <c r="C166" s="79"/>
      <c r="D166" s="79"/>
      <c r="E166" s="79"/>
      <c r="M166" s="79"/>
      <c r="R166" s="79"/>
      <c r="S166" s="79"/>
      <c r="V166" s="79"/>
      <c r="W166" s="79"/>
      <c r="Z166" s="130"/>
      <c r="AB166" s="106"/>
    </row>
    <row r="167">
      <c r="C167" s="79"/>
      <c r="D167" s="79"/>
      <c r="E167" s="79"/>
      <c r="M167" s="79"/>
      <c r="R167" s="79"/>
      <c r="S167" s="79"/>
      <c r="V167" s="79"/>
      <c r="W167" s="79"/>
      <c r="Z167" s="130"/>
      <c r="AB167" s="106"/>
    </row>
    <row r="168">
      <c r="C168" s="79"/>
      <c r="D168" s="79"/>
      <c r="E168" s="79"/>
      <c r="M168" s="79"/>
      <c r="R168" s="79"/>
      <c r="S168" s="79"/>
      <c r="V168" s="79"/>
      <c r="W168" s="79"/>
      <c r="Z168" s="130"/>
      <c r="AB168" s="106"/>
    </row>
    <row r="169">
      <c r="C169" s="79"/>
      <c r="D169" s="79"/>
      <c r="E169" s="79"/>
      <c r="M169" s="79"/>
      <c r="R169" s="79"/>
      <c r="S169" s="79"/>
      <c r="V169" s="79"/>
      <c r="W169" s="79"/>
      <c r="Z169" s="130"/>
      <c r="AB169" s="106"/>
    </row>
    <row r="170">
      <c r="C170" s="79"/>
      <c r="D170" s="79"/>
      <c r="E170" s="79"/>
      <c r="M170" s="79"/>
      <c r="R170" s="79"/>
      <c r="S170" s="79"/>
      <c r="V170" s="79"/>
      <c r="W170" s="79"/>
      <c r="Z170" s="130"/>
      <c r="AB170" s="106"/>
    </row>
    <row r="171">
      <c r="C171" s="79"/>
      <c r="D171" s="79"/>
      <c r="E171" s="79"/>
      <c r="M171" s="79"/>
      <c r="R171" s="79"/>
      <c r="S171" s="79"/>
      <c r="V171" s="79"/>
      <c r="W171" s="79"/>
      <c r="Z171" s="130"/>
      <c r="AB171" s="106"/>
    </row>
    <row r="172">
      <c r="C172" s="79"/>
      <c r="D172" s="79"/>
      <c r="E172" s="79"/>
      <c r="M172" s="79"/>
      <c r="R172" s="79"/>
      <c r="S172" s="79"/>
      <c r="V172" s="79"/>
      <c r="W172" s="79"/>
      <c r="Z172" s="130"/>
      <c r="AB172" s="106"/>
    </row>
    <row r="173">
      <c r="C173" s="79"/>
      <c r="D173" s="79"/>
      <c r="E173" s="79"/>
      <c r="M173" s="79"/>
      <c r="R173" s="79"/>
      <c r="S173" s="79"/>
      <c r="V173" s="79"/>
      <c r="W173" s="79"/>
      <c r="Z173" s="130"/>
      <c r="AB173" s="106"/>
    </row>
    <row r="174">
      <c r="C174" s="79"/>
      <c r="D174" s="79"/>
      <c r="E174" s="79"/>
      <c r="M174" s="79"/>
      <c r="R174" s="79"/>
      <c r="S174" s="79"/>
      <c r="V174" s="79"/>
      <c r="W174" s="79"/>
      <c r="Z174" s="130"/>
      <c r="AB174" s="106"/>
    </row>
    <row r="175">
      <c r="C175" s="79"/>
      <c r="D175" s="79"/>
      <c r="E175" s="79"/>
      <c r="M175" s="79"/>
      <c r="R175" s="79"/>
      <c r="S175" s="79"/>
      <c r="V175" s="79"/>
      <c r="W175" s="79"/>
      <c r="Z175" s="130"/>
      <c r="AB175" s="106"/>
    </row>
    <row r="176">
      <c r="C176" s="79"/>
      <c r="D176" s="79"/>
      <c r="E176" s="79"/>
      <c r="M176" s="79"/>
      <c r="R176" s="79"/>
      <c r="S176" s="79"/>
      <c r="V176" s="79"/>
      <c r="W176" s="79"/>
      <c r="Z176" s="130"/>
      <c r="AB176" s="106"/>
    </row>
    <row r="177">
      <c r="C177" s="79"/>
      <c r="D177" s="79"/>
      <c r="E177" s="79"/>
      <c r="M177" s="79"/>
      <c r="R177" s="79"/>
      <c r="S177" s="79"/>
      <c r="V177" s="79"/>
      <c r="W177" s="79"/>
      <c r="Z177" s="130"/>
      <c r="AB177" s="106"/>
    </row>
    <row r="178">
      <c r="C178" s="79"/>
      <c r="D178" s="79"/>
      <c r="E178" s="79"/>
      <c r="M178" s="79"/>
      <c r="R178" s="79"/>
      <c r="S178" s="79"/>
      <c r="V178" s="79"/>
      <c r="W178" s="79"/>
      <c r="Z178" s="130"/>
      <c r="AB178" s="106"/>
    </row>
    <row r="179">
      <c r="C179" s="79"/>
      <c r="D179" s="79"/>
      <c r="E179" s="79"/>
      <c r="M179" s="79"/>
      <c r="R179" s="79"/>
      <c r="S179" s="79"/>
      <c r="V179" s="79"/>
      <c r="W179" s="79"/>
      <c r="Z179" s="130"/>
      <c r="AB179" s="106"/>
    </row>
    <row r="180">
      <c r="C180" s="79"/>
      <c r="D180" s="79"/>
      <c r="E180" s="79"/>
      <c r="M180" s="79"/>
      <c r="R180" s="79"/>
      <c r="S180" s="79"/>
      <c r="V180" s="79"/>
      <c r="W180" s="79"/>
      <c r="Z180" s="130"/>
      <c r="AB180" s="106"/>
    </row>
    <row r="181">
      <c r="C181" s="79"/>
      <c r="D181" s="79"/>
      <c r="E181" s="79"/>
      <c r="M181" s="79"/>
      <c r="R181" s="79"/>
      <c r="S181" s="79"/>
      <c r="V181" s="79"/>
      <c r="W181" s="79"/>
      <c r="Z181" s="130"/>
      <c r="AB181" s="106"/>
    </row>
    <row r="182">
      <c r="C182" s="79"/>
      <c r="D182" s="79"/>
      <c r="E182" s="79"/>
      <c r="M182" s="79"/>
      <c r="R182" s="79"/>
      <c r="S182" s="79"/>
      <c r="V182" s="79"/>
      <c r="W182" s="79"/>
      <c r="Z182" s="130"/>
      <c r="AB182" s="106"/>
    </row>
    <row r="183">
      <c r="C183" s="79"/>
      <c r="D183" s="79"/>
      <c r="E183" s="79"/>
      <c r="M183" s="79"/>
      <c r="R183" s="79"/>
      <c r="S183" s="79"/>
      <c r="V183" s="79"/>
      <c r="W183" s="79"/>
      <c r="Z183" s="130"/>
      <c r="AB183" s="106"/>
    </row>
    <row r="184">
      <c r="C184" s="79"/>
      <c r="D184" s="79"/>
      <c r="E184" s="79"/>
      <c r="M184" s="79"/>
      <c r="R184" s="79"/>
      <c r="S184" s="79"/>
      <c r="V184" s="79"/>
      <c r="W184" s="79"/>
      <c r="Z184" s="130"/>
      <c r="AB184" s="106"/>
    </row>
    <row r="185">
      <c r="C185" s="79"/>
      <c r="D185" s="79"/>
      <c r="E185" s="79"/>
      <c r="M185" s="79"/>
      <c r="R185" s="79"/>
      <c r="S185" s="79"/>
      <c r="V185" s="79"/>
      <c r="W185" s="79"/>
      <c r="Z185" s="130"/>
      <c r="AB185" s="106"/>
    </row>
    <row r="186">
      <c r="C186" s="79"/>
      <c r="D186" s="79"/>
      <c r="E186" s="79"/>
      <c r="M186" s="79"/>
      <c r="R186" s="79"/>
      <c r="S186" s="79"/>
      <c r="V186" s="79"/>
      <c r="W186" s="79"/>
      <c r="Z186" s="130"/>
      <c r="AB186" s="106"/>
    </row>
    <row r="187">
      <c r="C187" s="79"/>
      <c r="D187" s="79"/>
      <c r="E187" s="79"/>
      <c r="M187" s="79"/>
      <c r="R187" s="79"/>
      <c r="S187" s="79"/>
      <c r="V187" s="79"/>
      <c r="W187" s="79"/>
      <c r="Z187" s="130"/>
      <c r="AB187" s="106"/>
    </row>
    <row r="188">
      <c r="C188" s="79"/>
      <c r="D188" s="79"/>
      <c r="E188" s="79"/>
      <c r="M188" s="79"/>
      <c r="R188" s="79"/>
      <c r="S188" s="79"/>
      <c r="V188" s="79"/>
      <c r="W188" s="79"/>
      <c r="Z188" s="130"/>
      <c r="AB188" s="106"/>
    </row>
    <row r="189">
      <c r="C189" s="79"/>
      <c r="D189" s="79"/>
      <c r="E189" s="79"/>
      <c r="M189" s="79"/>
      <c r="R189" s="79"/>
      <c r="S189" s="79"/>
      <c r="V189" s="79"/>
      <c r="W189" s="79"/>
      <c r="Z189" s="130"/>
      <c r="AB189" s="106"/>
    </row>
    <row r="190">
      <c r="C190" s="79"/>
      <c r="D190" s="79"/>
      <c r="E190" s="79"/>
      <c r="M190" s="79"/>
      <c r="R190" s="79"/>
      <c r="S190" s="79"/>
      <c r="V190" s="79"/>
      <c r="W190" s="79"/>
      <c r="Z190" s="130"/>
      <c r="AB190" s="106"/>
    </row>
    <row r="191">
      <c r="C191" s="79"/>
      <c r="D191" s="79"/>
      <c r="E191" s="79"/>
      <c r="M191" s="79"/>
      <c r="R191" s="79"/>
      <c r="S191" s="79"/>
      <c r="V191" s="79"/>
      <c r="W191" s="79"/>
      <c r="Z191" s="130"/>
      <c r="AB191" s="106"/>
    </row>
    <row r="192">
      <c r="C192" s="79"/>
      <c r="D192" s="79"/>
      <c r="E192" s="79"/>
      <c r="M192" s="79"/>
      <c r="R192" s="79"/>
      <c r="S192" s="79"/>
      <c r="V192" s="79"/>
      <c r="W192" s="79"/>
      <c r="Z192" s="130"/>
      <c r="AB192" s="106"/>
    </row>
    <row r="193">
      <c r="C193" s="79"/>
      <c r="D193" s="79"/>
      <c r="E193" s="79"/>
      <c r="M193" s="79"/>
      <c r="R193" s="79"/>
      <c r="S193" s="79"/>
      <c r="V193" s="79"/>
      <c r="W193" s="79"/>
      <c r="Z193" s="130"/>
      <c r="AB193" s="106"/>
    </row>
    <row r="194">
      <c r="C194" s="79"/>
      <c r="D194" s="79"/>
      <c r="E194" s="79"/>
      <c r="M194" s="79"/>
      <c r="R194" s="79"/>
      <c r="S194" s="79"/>
      <c r="V194" s="79"/>
      <c r="W194" s="79"/>
      <c r="Z194" s="130"/>
      <c r="AB194" s="106"/>
    </row>
    <row r="195">
      <c r="C195" s="79"/>
      <c r="D195" s="79"/>
      <c r="E195" s="79"/>
      <c r="M195" s="79"/>
      <c r="R195" s="79"/>
      <c r="S195" s="79"/>
      <c r="V195" s="79"/>
      <c r="W195" s="79"/>
      <c r="Z195" s="130"/>
      <c r="AB195" s="106"/>
    </row>
    <row r="196">
      <c r="C196" s="79"/>
      <c r="D196" s="79"/>
      <c r="E196" s="79"/>
      <c r="M196" s="79"/>
      <c r="R196" s="79"/>
      <c r="S196" s="79"/>
      <c r="V196" s="79"/>
      <c r="W196" s="79"/>
      <c r="Z196" s="130"/>
      <c r="AB196" s="106"/>
    </row>
    <row r="197">
      <c r="C197" s="79"/>
      <c r="D197" s="79"/>
      <c r="E197" s="79"/>
      <c r="M197" s="79"/>
      <c r="R197" s="79"/>
      <c r="S197" s="79"/>
      <c r="V197" s="79"/>
      <c r="W197" s="79"/>
      <c r="Z197" s="130"/>
      <c r="AB197" s="106"/>
    </row>
    <row r="198">
      <c r="C198" s="79"/>
      <c r="D198" s="79"/>
      <c r="E198" s="79"/>
      <c r="M198" s="79"/>
      <c r="R198" s="79"/>
      <c r="S198" s="79"/>
      <c r="V198" s="79"/>
      <c r="W198" s="79"/>
      <c r="Z198" s="130"/>
      <c r="AB198" s="106"/>
    </row>
    <row r="199">
      <c r="C199" s="79"/>
      <c r="D199" s="79"/>
      <c r="E199" s="79"/>
      <c r="M199" s="79"/>
      <c r="R199" s="79"/>
      <c r="S199" s="79"/>
      <c r="V199" s="79"/>
      <c r="W199" s="79"/>
      <c r="Z199" s="130"/>
      <c r="AB199" s="106"/>
    </row>
    <row r="200">
      <c r="C200" s="79"/>
      <c r="D200" s="79"/>
      <c r="E200" s="79"/>
      <c r="M200" s="79"/>
      <c r="R200" s="79"/>
      <c r="S200" s="79"/>
      <c r="V200" s="79"/>
      <c r="W200" s="79"/>
      <c r="Z200" s="130"/>
      <c r="AB200" s="106"/>
    </row>
    <row r="201">
      <c r="C201" s="79"/>
      <c r="D201" s="79"/>
      <c r="E201" s="79"/>
      <c r="M201" s="79"/>
      <c r="R201" s="79"/>
      <c r="S201" s="79"/>
      <c r="V201" s="79"/>
      <c r="W201" s="79"/>
      <c r="Z201" s="130"/>
      <c r="AB201" s="106"/>
    </row>
    <row r="202">
      <c r="C202" s="79"/>
      <c r="D202" s="79"/>
      <c r="E202" s="79"/>
      <c r="M202" s="79"/>
      <c r="R202" s="79"/>
      <c r="S202" s="79"/>
      <c r="V202" s="79"/>
      <c r="W202" s="79"/>
      <c r="Z202" s="130"/>
      <c r="AB202" s="106"/>
    </row>
    <row r="203">
      <c r="C203" s="79"/>
      <c r="D203" s="79"/>
      <c r="E203" s="79"/>
      <c r="M203" s="79"/>
      <c r="R203" s="79"/>
      <c r="S203" s="79"/>
      <c r="V203" s="79"/>
      <c r="W203" s="79"/>
      <c r="Z203" s="130"/>
      <c r="AB203" s="106"/>
    </row>
    <row r="204">
      <c r="C204" s="79"/>
      <c r="D204" s="79"/>
      <c r="E204" s="79"/>
      <c r="M204" s="79"/>
      <c r="R204" s="79"/>
      <c r="S204" s="79"/>
      <c r="V204" s="79"/>
      <c r="W204" s="79"/>
      <c r="Z204" s="130"/>
      <c r="AB204" s="106"/>
    </row>
    <row r="205">
      <c r="C205" s="79"/>
      <c r="D205" s="79"/>
      <c r="E205" s="79"/>
      <c r="M205" s="79"/>
      <c r="R205" s="79"/>
      <c r="S205" s="79"/>
      <c r="V205" s="79"/>
      <c r="W205" s="79"/>
      <c r="Z205" s="130"/>
      <c r="AB205" s="106"/>
    </row>
    <row r="206">
      <c r="C206" s="79"/>
      <c r="D206" s="79"/>
      <c r="E206" s="79"/>
      <c r="M206" s="79"/>
      <c r="R206" s="79"/>
      <c r="S206" s="79"/>
      <c r="V206" s="79"/>
      <c r="W206" s="79"/>
      <c r="Z206" s="130"/>
      <c r="AB206" s="106"/>
    </row>
    <row r="207">
      <c r="C207" s="79"/>
      <c r="D207" s="79"/>
      <c r="E207" s="79"/>
      <c r="M207" s="79"/>
      <c r="R207" s="79"/>
      <c r="S207" s="79"/>
      <c r="V207" s="79"/>
      <c r="W207" s="79"/>
      <c r="Z207" s="130"/>
      <c r="AB207" s="106"/>
    </row>
    <row r="208">
      <c r="C208" s="79"/>
      <c r="D208" s="79"/>
      <c r="E208" s="79"/>
      <c r="M208" s="79"/>
      <c r="R208" s="79"/>
      <c r="S208" s="79"/>
      <c r="V208" s="79"/>
      <c r="W208" s="79"/>
      <c r="Z208" s="130"/>
      <c r="AB208" s="106"/>
    </row>
    <row r="209">
      <c r="C209" s="79"/>
      <c r="D209" s="79"/>
      <c r="E209" s="79"/>
      <c r="M209" s="79"/>
      <c r="R209" s="79"/>
      <c r="S209" s="79"/>
      <c r="V209" s="79"/>
      <c r="W209" s="79"/>
      <c r="Z209" s="130"/>
      <c r="AB209" s="106"/>
    </row>
    <row r="210">
      <c r="C210" s="79"/>
      <c r="D210" s="79"/>
      <c r="E210" s="79"/>
      <c r="M210" s="79"/>
      <c r="R210" s="79"/>
      <c r="S210" s="79"/>
      <c r="V210" s="79"/>
      <c r="W210" s="79"/>
      <c r="Z210" s="130"/>
      <c r="AB210" s="106"/>
    </row>
    <row r="211">
      <c r="C211" s="79"/>
      <c r="D211" s="79"/>
      <c r="E211" s="79"/>
      <c r="M211" s="79"/>
      <c r="R211" s="79"/>
      <c r="S211" s="79"/>
      <c r="V211" s="79"/>
      <c r="W211" s="79"/>
      <c r="Z211" s="130"/>
      <c r="AB211" s="106"/>
    </row>
    <row r="212">
      <c r="C212" s="79"/>
      <c r="D212" s="79"/>
      <c r="E212" s="79"/>
      <c r="M212" s="79"/>
      <c r="R212" s="79"/>
      <c r="S212" s="79"/>
      <c r="V212" s="79"/>
      <c r="W212" s="79"/>
      <c r="Z212" s="130"/>
      <c r="AB212" s="106"/>
    </row>
    <row r="213">
      <c r="C213" s="79"/>
      <c r="D213" s="79"/>
      <c r="E213" s="79"/>
      <c r="M213" s="79"/>
      <c r="R213" s="79"/>
      <c r="S213" s="79"/>
      <c r="V213" s="79"/>
      <c r="W213" s="79"/>
      <c r="Z213" s="130"/>
      <c r="AB213" s="106"/>
    </row>
    <row r="214">
      <c r="C214" s="79"/>
      <c r="D214" s="79"/>
      <c r="E214" s="79"/>
      <c r="M214" s="79"/>
      <c r="R214" s="79"/>
      <c r="S214" s="79"/>
      <c r="V214" s="79"/>
      <c r="W214" s="79"/>
      <c r="Z214" s="130"/>
      <c r="AB214" s="106"/>
    </row>
    <row r="215">
      <c r="C215" s="79"/>
      <c r="D215" s="79"/>
      <c r="E215" s="79"/>
      <c r="M215" s="79"/>
      <c r="R215" s="79"/>
      <c r="S215" s="79"/>
      <c r="V215" s="79"/>
      <c r="W215" s="79"/>
      <c r="Z215" s="130"/>
      <c r="AB215" s="106"/>
    </row>
    <row r="216">
      <c r="C216" s="79"/>
      <c r="D216" s="79"/>
      <c r="E216" s="79"/>
      <c r="M216" s="79"/>
      <c r="R216" s="79"/>
      <c r="S216" s="79"/>
      <c r="V216" s="79"/>
      <c r="W216" s="79"/>
      <c r="Z216" s="130"/>
      <c r="AB216" s="106"/>
    </row>
    <row r="217">
      <c r="C217" s="79"/>
      <c r="D217" s="79"/>
      <c r="E217" s="79"/>
      <c r="M217" s="79"/>
      <c r="R217" s="79"/>
      <c r="S217" s="79"/>
      <c r="V217" s="79"/>
      <c r="W217" s="79"/>
      <c r="Z217" s="130"/>
      <c r="AB217" s="106"/>
    </row>
    <row r="218">
      <c r="C218" s="79"/>
      <c r="D218" s="79"/>
      <c r="E218" s="79"/>
      <c r="M218" s="79"/>
      <c r="R218" s="79"/>
      <c r="S218" s="79"/>
      <c r="V218" s="79"/>
      <c r="W218" s="79"/>
      <c r="Z218" s="130"/>
      <c r="AB218" s="106"/>
    </row>
    <row r="219">
      <c r="C219" s="79"/>
      <c r="D219" s="79"/>
      <c r="E219" s="79"/>
      <c r="M219" s="79"/>
      <c r="R219" s="79"/>
      <c r="S219" s="79"/>
      <c r="V219" s="79"/>
      <c r="W219" s="79"/>
      <c r="Z219" s="130"/>
      <c r="AB219" s="106"/>
    </row>
    <row r="220">
      <c r="C220" s="79"/>
      <c r="D220" s="79"/>
      <c r="E220" s="79"/>
      <c r="M220" s="79"/>
      <c r="R220" s="79"/>
      <c r="S220" s="79"/>
      <c r="V220" s="79"/>
      <c r="W220" s="79"/>
      <c r="Z220" s="130"/>
      <c r="AB220" s="106"/>
    </row>
    <row r="221">
      <c r="C221" s="79"/>
      <c r="D221" s="79"/>
      <c r="E221" s="79"/>
      <c r="M221" s="79"/>
      <c r="R221" s="79"/>
      <c r="S221" s="79"/>
      <c r="V221" s="79"/>
      <c r="W221" s="79"/>
      <c r="Z221" s="130"/>
      <c r="AB221" s="106"/>
    </row>
    <row r="222">
      <c r="C222" s="79"/>
      <c r="D222" s="79"/>
      <c r="E222" s="79"/>
      <c r="M222" s="79"/>
      <c r="R222" s="79"/>
      <c r="S222" s="79"/>
      <c r="V222" s="79"/>
      <c r="W222" s="79"/>
      <c r="Z222" s="130"/>
      <c r="AB222" s="106"/>
    </row>
    <row r="223">
      <c r="C223" s="79"/>
      <c r="D223" s="79"/>
      <c r="E223" s="79"/>
      <c r="M223" s="79"/>
      <c r="R223" s="79"/>
      <c r="S223" s="79"/>
      <c r="V223" s="79"/>
      <c r="W223" s="79"/>
      <c r="Z223" s="130"/>
      <c r="AB223" s="106"/>
    </row>
    <row r="224">
      <c r="C224" s="79"/>
      <c r="D224" s="79"/>
      <c r="E224" s="79"/>
      <c r="M224" s="79"/>
      <c r="R224" s="79"/>
      <c r="S224" s="79"/>
      <c r="V224" s="79"/>
      <c r="W224" s="79"/>
      <c r="Z224" s="130"/>
      <c r="AB224" s="106"/>
    </row>
    <row r="225">
      <c r="C225" s="79"/>
      <c r="D225" s="79"/>
      <c r="E225" s="79"/>
      <c r="M225" s="79"/>
      <c r="R225" s="79"/>
      <c r="S225" s="79"/>
      <c r="V225" s="79"/>
      <c r="W225" s="79"/>
      <c r="Z225" s="130"/>
      <c r="AB225" s="106"/>
    </row>
    <row r="226">
      <c r="C226" s="79"/>
      <c r="D226" s="79"/>
      <c r="E226" s="79"/>
      <c r="M226" s="79"/>
      <c r="R226" s="79"/>
      <c r="S226" s="79"/>
      <c r="V226" s="79"/>
      <c r="W226" s="79"/>
      <c r="Z226" s="130"/>
      <c r="AB226" s="106"/>
    </row>
    <row r="227">
      <c r="C227" s="79"/>
      <c r="D227" s="79"/>
      <c r="E227" s="79"/>
      <c r="M227" s="79"/>
      <c r="R227" s="79"/>
      <c r="S227" s="79"/>
      <c r="V227" s="79"/>
      <c r="W227" s="79"/>
      <c r="Z227" s="130"/>
      <c r="AB227" s="106"/>
    </row>
    <row r="228">
      <c r="C228" s="79"/>
      <c r="D228" s="79"/>
      <c r="E228" s="79"/>
      <c r="M228" s="79"/>
      <c r="R228" s="79"/>
      <c r="S228" s="79"/>
      <c r="V228" s="79"/>
      <c r="W228" s="79"/>
      <c r="Z228" s="130"/>
      <c r="AB228" s="106"/>
    </row>
    <row r="229">
      <c r="C229" s="79"/>
      <c r="D229" s="79"/>
      <c r="E229" s="79"/>
      <c r="M229" s="79"/>
      <c r="R229" s="79"/>
      <c r="S229" s="79"/>
      <c r="V229" s="79"/>
      <c r="W229" s="79"/>
      <c r="Z229" s="130"/>
      <c r="AB229" s="106"/>
    </row>
    <row r="230">
      <c r="C230" s="79"/>
      <c r="D230" s="79"/>
      <c r="E230" s="79"/>
      <c r="M230" s="79"/>
      <c r="R230" s="79"/>
      <c r="S230" s="79"/>
      <c r="V230" s="79"/>
      <c r="W230" s="79"/>
      <c r="Z230" s="130"/>
      <c r="AB230" s="106"/>
    </row>
    <row r="231">
      <c r="C231" s="79"/>
      <c r="D231" s="79"/>
      <c r="E231" s="79"/>
      <c r="M231" s="79"/>
      <c r="R231" s="79"/>
      <c r="S231" s="79"/>
      <c r="V231" s="79"/>
      <c r="W231" s="79"/>
      <c r="Z231" s="130"/>
      <c r="AB231" s="106"/>
    </row>
    <row r="232">
      <c r="C232" s="79"/>
      <c r="D232" s="79"/>
      <c r="E232" s="79"/>
      <c r="M232" s="79"/>
      <c r="R232" s="79"/>
      <c r="S232" s="79"/>
      <c r="V232" s="79"/>
      <c r="W232" s="79"/>
      <c r="Z232" s="130"/>
      <c r="AB232" s="106"/>
    </row>
    <row r="233">
      <c r="C233" s="79"/>
      <c r="D233" s="79"/>
      <c r="E233" s="79"/>
      <c r="M233" s="79"/>
      <c r="R233" s="79"/>
      <c r="S233" s="79"/>
      <c r="V233" s="79"/>
      <c r="W233" s="79"/>
      <c r="Z233" s="130"/>
      <c r="AB233" s="106"/>
    </row>
    <row r="234">
      <c r="C234" s="79"/>
      <c r="D234" s="79"/>
      <c r="E234" s="79"/>
      <c r="M234" s="79"/>
      <c r="R234" s="79"/>
      <c r="S234" s="79"/>
      <c r="V234" s="79"/>
      <c r="W234" s="79"/>
      <c r="Z234" s="130"/>
      <c r="AB234" s="106"/>
    </row>
    <row r="235">
      <c r="C235" s="79"/>
      <c r="D235" s="79"/>
      <c r="E235" s="79"/>
      <c r="M235" s="79"/>
      <c r="R235" s="79"/>
      <c r="S235" s="79"/>
      <c r="V235" s="79"/>
      <c r="W235" s="79"/>
      <c r="Z235" s="130"/>
      <c r="AB235" s="106"/>
    </row>
    <row r="236">
      <c r="C236" s="79"/>
      <c r="D236" s="79"/>
      <c r="E236" s="79"/>
      <c r="M236" s="79"/>
      <c r="R236" s="79"/>
      <c r="S236" s="79"/>
      <c r="V236" s="79"/>
      <c r="W236" s="79"/>
      <c r="Z236" s="130"/>
      <c r="AB236" s="106"/>
    </row>
    <row r="237">
      <c r="C237" s="79"/>
      <c r="D237" s="79"/>
      <c r="E237" s="79"/>
      <c r="M237" s="79"/>
      <c r="R237" s="79"/>
      <c r="S237" s="79"/>
      <c r="V237" s="79"/>
      <c r="W237" s="79"/>
      <c r="Z237" s="130"/>
      <c r="AB237" s="106"/>
    </row>
    <row r="238">
      <c r="C238" s="79"/>
      <c r="D238" s="79"/>
      <c r="E238" s="79"/>
      <c r="M238" s="79"/>
      <c r="R238" s="79"/>
      <c r="S238" s="79"/>
      <c r="V238" s="79"/>
      <c r="W238" s="79"/>
      <c r="Z238" s="130"/>
      <c r="AB238" s="106"/>
    </row>
    <row r="239">
      <c r="C239" s="79"/>
      <c r="D239" s="79"/>
      <c r="E239" s="79"/>
      <c r="M239" s="79"/>
      <c r="R239" s="79"/>
      <c r="S239" s="79"/>
      <c r="V239" s="79"/>
      <c r="W239" s="79"/>
      <c r="Z239" s="130"/>
      <c r="AB239" s="106"/>
    </row>
    <row r="240">
      <c r="C240" s="79"/>
      <c r="D240" s="79"/>
      <c r="E240" s="79"/>
      <c r="M240" s="79"/>
      <c r="R240" s="79"/>
      <c r="S240" s="79"/>
      <c r="V240" s="79"/>
      <c r="W240" s="79"/>
      <c r="Z240" s="130"/>
      <c r="AB240" s="106"/>
    </row>
    <row r="241">
      <c r="C241" s="79"/>
      <c r="D241" s="79"/>
      <c r="E241" s="79"/>
      <c r="M241" s="79"/>
      <c r="R241" s="79"/>
      <c r="S241" s="79"/>
      <c r="V241" s="79"/>
      <c r="W241" s="79"/>
      <c r="Z241" s="130"/>
      <c r="AB241" s="106"/>
    </row>
    <row r="242">
      <c r="C242" s="79"/>
      <c r="D242" s="79"/>
      <c r="E242" s="79"/>
      <c r="M242" s="79"/>
      <c r="R242" s="79"/>
      <c r="S242" s="79"/>
      <c r="V242" s="79"/>
      <c r="W242" s="79"/>
      <c r="Z242" s="130"/>
      <c r="AB242" s="106"/>
    </row>
    <row r="243">
      <c r="C243" s="79"/>
      <c r="D243" s="79"/>
      <c r="E243" s="79"/>
      <c r="M243" s="79"/>
      <c r="R243" s="79"/>
      <c r="S243" s="79"/>
      <c r="V243" s="79"/>
      <c r="W243" s="79"/>
      <c r="Z243" s="130"/>
      <c r="AB243" s="106"/>
    </row>
    <row r="244">
      <c r="C244" s="79"/>
      <c r="D244" s="79"/>
      <c r="E244" s="79"/>
      <c r="M244" s="79"/>
      <c r="R244" s="79"/>
      <c r="S244" s="79"/>
      <c r="V244" s="79"/>
      <c r="W244" s="79"/>
      <c r="Z244" s="130"/>
      <c r="AB244" s="106"/>
    </row>
    <row r="245">
      <c r="C245" s="79"/>
      <c r="D245" s="79"/>
      <c r="E245" s="79"/>
      <c r="M245" s="79"/>
      <c r="R245" s="79"/>
      <c r="S245" s="79"/>
      <c r="V245" s="79"/>
      <c r="W245" s="79"/>
      <c r="Z245" s="130"/>
      <c r="AB245" s="106"/>
    </row>
    <row r="246">
      <c r="C246" s="79"/>
      <c r="D246" s="79"/>
      <c r="E246" s="79"/>
      <c r="M246" s="79"/>
      <c r="R246" s="79"/>
      <c r="S246" s="79"/>
      <c r="V246" s="79"/>
      <c r="W246" s="79"/>
      <c r="Z246" s="130"/>
      <c r="AB246" s="106"/>
    </row>
    <row r="247">
      <c r="C247" s="79"/>
      <c r="D247" s="79"/>
      <c r="E247" s="79"/>
      <c r="M247" s="79"/>
      <c r="R247" s="79"/>
      <c r="S247" s="79"/>
      <c r="V247" s="79"/>
      <c r="W247" s="79"/>
      <c r="Z247" s="130"/>
      <c r="AB247" s="106"/>
    </row>
    <row r="248">
      <c r="C248" s="79"/>
      <c r="D248" s="79"/>
      <c r="E248" s="79"/>
      <c r="M248" s="79"/>
      <c r="R248" s="79"/>
      <c r="S248" s="79"/>
      <c r="V248" s="79"/>
      <c r="W248" s="79"/>
      <c r="Z248" s="130"/>
      <c r="AB248" s="106"/>
    </row>
    <row r="249">
      <c r="C249" s="79"/>
      <c r="D249" s="79"/>
      <c r="E249" s="79"/>
      <c r="M249" s="79"/>
      <c r="R249" s="79"/>
      <c r="S249" s="79"/>
      <c r="V249" s="79"/>
      <c r="W249" s="79"/>
      <c r="Z249" s="130"/>
      <c r="AB249" s="106"/>
    </row>
    <row r="250">
      <c r="C250" s="79"/>
      <c r="D250" s="79"/>
      <c r="E250" s="79"/>
      <c r="M250" s="79"/>
      <c r="R250" s="79"/>
      <c r="S250" s="79"/>
      <c r="V250" s="79"/>
      <c r="W250" s="79"/>
      <c r="Z250" s="130"/>
      <c r="AB250" s="106"/>
    </row>
    <row r="251">
      <c r="C251" s="79"/>
      <c r="D251" s="79"/>
      <c r="E251" s="79"/>
      <c r="M251" s="79"/>
      <c r="R251" s="79"/>
      <c r="S251" s="79"/>
      <c r="V251" s="79"/>
      <c r="W251" s="79"/>
      <c r="Z251" s="130"/>
      <c r="AB251" s="106"/>
    </row>
    <row r="252">
      <c r="C252" s="79"/>
      <c r="D252" s="79"/>
      <c r="E252" s="79"/>
      <c r="M252" s="79"/>
      <c r="R252" s="79"/>
      <c r="S252" s="79"/>
      <c r="V252" s="79"/>
      <c r="W252" s="79"/>
      <c r="Z252" s="130"/>
      <c r="AB252" s="106"/>
    </row>
    <row r="253">
      <c r="C253" s="79"/>
      <c r="D253" s="79"/>
      <c r="E253" s="79"/>
      <c r="M253" s="79"/>
      <c r="R253" s="79"/>
      <c r="S253" s="79"/>
      <c r="V253" s="79"/>
      <c r="W253" s="79"/>
      <c r="Z253" s="130"/>
      <c r="AB253" s="106"/>
    </row>
    <row r="254">
      <c r="C254" s="79"/>
      <c r="D254" s="79"/>
      <c r="E254" s="79"/>
      <c r="M254" s="79"/>
      <c r="R254" s="79"/>
      <c r="S254" s="79"/>
      <c r="V254" s="79"/>
      <c r="W254" s="79"/>
      <c r="Z254" s="130"/>
      <c r="AB254" s="106"/>
    </row>
    <row r="255">
      <c r="C255" s="79"/>
      <c r="D255" s="79"/>
      <c r="E255" s="79"/>
      <c r="M255" s="79"/>
      <c r="R255" s="79"/>
      <c r="S255" s="79"/>
      <c r="V255" s="79"/>
      <c r="W255" s="79"/>
      <c r="Z255" s="130"/>
      <c r="AB255" s="106"/>
    </row>
    <row r="256">
      <c r="C256" s="79"/>
      <c r="D256" s="79"/>
      <c r="E256" s="79"/>
      <c r="M256" s="79"/>
      <c r="R256" s="79"/>
      <c r="S256" s="79"/>
      <c r="V256" s="79"/>
      <c r="W256" s="79"/>
      <c r="Z256" s="130"/>
      <c r="AB256" s="106"/>
    </row>
    <row r="257">
      <c r="C257" s="79"/>
      <c r="D257" s="79"/>
      <c r="E257" s="79"/>
      <c r="M257" s="79"/>
      <c r="R257" s="79"/>
      <c r="S257" s="79"/>
      <c r="V257" s="79"/>
      <c r="W257" s="79"/>
      <c r="Z257" s="130"/>
      <c r="AB257" s="106"/>
    </row>
    <row r="258">
      <c r="C258" s="79"/>
      <c r="D258" s="79"/>
      <c r="E258" s="79"/>
      <c r="M258" s="79"/>
      <c r="R258" s="79"/>
      <c r="S258" s="79"/>
      <c r="V258" s="79"/>
      <c r="W258" s="79"/>
      <c r="Z258" s="130"/>
      <c r="AB258" s="106"/>
    </row>
    <row r="259">
      <c r="C259" s="79"/>
      <c r="D259" s="79"/>
      <c r="E259" s="79"/>
      <c r="M259" s="79"/>
      <c r="R259" s="79"/>
      <c r="S259" s="79"/>
      <c r="V259" s="79"/>
      <c r="W259" s="79"/>
      <c r="Z259" s="130"/>
      <c r="AB259" s="106"/>
    </row>
    <row r="260">
      <c r="C260" s="79"/>
      <c r="D260" s="79"/>
      <c r="E260" s="79"/>
      <c r="M260" s="79"/>
      <c r="R260" s="79"/>
      <c r="S260" s="79"/>
      <c r="V260" s="79"/>
      <c r="W260" s="79"/>
      <c r="Z260" s="130"/>
      <c r="AB260" s="106"/>
    </row>
    <row r="261">
      <c r="C261" s="79"/>
      <c r="D261" s="79"/>
      <c r="E261" s="79"/>
      <c r="M261" s="79"/>
      <c r="R261" s="79"/>
      <c r="S261" s="79"/>
      <c r="V261" s="79"/>
      <c r="W261" s="79"/>
      <c r="Z261" s="130"/>
      <c r="AB261" s="106"/>
    </row>
    <row r="262">
      <c r="C262" s="79"/>
      <c r="D262" s="79"/>
      <c r="E262" s="79"/>
      <c r="M262" s="79"/>
      <c r="R262" s="79"/>
      <c r="S262" s="79"/>
      <c r="V262" s="79"/>
      <c r="W262" s="79"/>
      <c r="Z262" s="130"/>
      <c r="AB262" s="106"/>
    </row>
    <row r="263">
      <c r="C263" s="79"/>
      <c r="D263" s="79"/>
      <c r="E263" s="79"/>
      <c r="M263" s="79"/>
      <c r="R263" s="79"/>
      <c r="S263" s="79"/>
      <c r="V263" s="79"/>
      <c r="W263" s="79"/>
      <c r="Z263" s="130"/>
      <c r="AB263" s="106"/>
    </row>
    <row r="264">
      <c r="C264" s="79"/>
      <c r="D264" s="79"/>
      <c r="E264" s="79"/>
      <c r="M264" s="79"/>
      <c r="R264" s="79"/>
      <c r="S264" s="79"/>
      <c r="V264" s="79"/>
      <c r="W264" s="79"/>
      <c r="Z264" s="130"/>
      <c r="AB264" s="106"/>
    </row>
    <row r="265">
      <c r="C265" s="79"/>
      <c r="D265" s="79"/>
      <c r="E265" s="79"/>
      <c r="M265" s="79"/>
      <c r="R265" s="79"/>
      <c r="S265" s="79"/>
      <c r="V265" s="79"/>
      <c r="W265" s="79"/>
      <c r="Z265" s="130"/>
      <c r="AB265" s="106"/>
    </row>
    <row r="266">
      <c r="C266" s="79"/>
      <c r="D266" s="79"/>
      <c r="E266" s="79"/>
      <c r="M266" s="79"/>
      <c r="R266" s="79"/>
      <c r="S266" s="79"/>
      <c r="V266" s="79"/>
      <c r="W266" s="79"/>
      <c r="Z266" s="130"/>
      <c r="AB266" s="106"/>
    </row>
    <row r="267">
      <c r="C267" s="79"/>
      <c r="D267" s="79"/>
      <c r="E267" s="79"/>
      <c r="M267" s="79"/>
      <c r="R267" s="79"/>
      <c r="S267" s="79"/>
      <c r="V267" s="79"/>
      <c r="W267" s="79"/>
      <c r="Z267" s="130"/>
      <c r="AB267" s="106"/>
    </row>
    <row r="268">
      <c r="C268" s="79"/>
      <c r="D268" s="79"/>
      <c r="E268" s="79"/>
      <c r="M268" s="79"/>
      <c r="R268" s="79"/>
      <c r="S268" s="79"/>
      <c r="V268" s="79"/>
      <c r="W268" s="79"/>
      <c r="Z268" s="130"/>
      <c r="AB268" s="106"/>
    </row>
    <row r="269">
      <c r="C269" s="79"/>
      <c r="D269" s="79"/>
      <c r="E269" s="79"/>
      <c r="M269" s="79"/>
      <c r="R269" s="79"/>
      <c r="S269" s="79"/>
      <c r="V269" s="79"/>
      <c r="W269" s="79"/>
      <c r="Z269" s="130"/>
      <c r="AB269" s="106"/>
    </row>
    <row r="270">
      <c r="C270" s="79"/>
      <c r="D270" s="79"/>
      <c r="E270" s="79"/>
      <c r="M270" s="79"/>
      <c r="R270" s="79"/>
      <c r="S270" s="79"/>
      <c r="V270" s="79"/>
      <c r="W270" s="79"/>
      <c r="Z270" s="130"/>
      <c r="AB270" s="106"/>
    </row>
    <row r="271">
      <c r="C271" s="79"/>
      <c r="D271" s="79"/>
      <c r="E271" s="79"/>
      <c r="M271" s="79"/>
      <c r="R271" s="79"/>
      <c r="S271" s="79"/>
      <c r="V271" s="79"/>
      <c r="W271" s="79"/>
      <c r="Z271" s="130"/>
      <c r="AB271" s="106"/>
    </row>
    <row r="272">
      <c r="C272" s="79"/>
      <c r="D272" s="79"/>
      <c r="E272" s="79"/>
      <c r="M272" s="79"/>
      <c r="R272" s="79"/>
      <c r="S272" s="79"/>
      <c r="V272" s="79"/>
      <c r="W272" s="79"/>
      <c r="Z272" s="130"/>
      <c r="AB272" s="106"/>
    </row>
    <row r="273">
      <c r="C273" s="79"/>
      <c r="D273" s="79"/>
      <c r="E273" s="79"/>
      <c r="M273" s="79"/>
      <c r="R273" s="79"/>
      <c r="S273" s="79"/>
      <c r="V273" s="79"/>
      <c r="W273" s="79"/>
      <c r="Z273" s="130"/>
      <c r="AB273" s="106"/>
    </row>
    <row r="274">
      <c r="C274" s="79"/>
      <c r="D274" s="79"/>
      <c r="E274" s="79"/>
      <c r="M274" s="79"/>
      <c r="R274" s="79"/>
      <c r="S274" s="79"/>
      <c r="V274" s="79"/>
      <c r="W274" s="79"/>
      <c r="Z274" s="130"/>
      <c r="AB274" s="106"/>
    </row>
    <row r="275">
      <c r="C275" s="79"/>
      <c r="D275" s="79"/>
      <c r="E275" s="79"/>
      <c r="M275" s="79"/>
      <c r="R275" s="79"/>
      <c r="S275" s="79"/>
      <c r="V275" s="79"/>
      <c r="W275" s="79"/>
      <c r="Z275" s="130"/>
      <c r="AB275" s="106"/>
    </row>
    <row r="276">
      <c r="C276" s="79"/>
      <c r="D276" s="79"/>
      <c r="E276" s="79"/>
      <c r="M276" s="79"/>
      <c r="R276" s="79"/>
      <c r="S276" s="79"/>
      <c r="V276" s="79"/>
      <c r="W276" s="79"/>
      <c r="Z276" s="130"/>
      <c r="AB276" s="106"/>
    </row>
    <row r="277">
      <c r="C277" s="79"/>
      <c r="D277" s="79"/>
      <c r="E277" s="79"/>
      <c r="M277" s="79"/>
      <c r="R277" s="79"/>
      <c r="S277" s="79"/>
      <c r="V277" s="79"/>
      <c r="W277" s="79"/>
      <c r="Z277" s="130"/>
      <c r="AB277" s="106"/>
    </row>
    <row r="278">
      <c r="C278" s="79"/>
      <c r="D278" s="79"/>
      <c r="E278" s="79"/>
      <c r="M278" s="79"/>
      <c r="R278" s="79"/>
      <c r="S278" s="79"/>
      <c r="V278" s="79"/>
      <c r="W278" s="79"/>
      <c r="Z278" s="130"/>
      <c r="AB278" s="106"/>
    </row>
    <row r="279">
      <c r="C279" s="79"/>
      <c r="D279" s="79"/>
      <c r="E279" s="79"/>
      <c r="M279" s="79"/>
      <c r="R279" s="79"/>
      <c r="S279" s="79"/>
      <c r="V279" s="79"/>
      <c r="W279" s="79"/>
      <c r="Z279" s="130"/>
      <c r="AB279" s="106"/>
    </row>
    <row r="280">
      <c r="C280" s="79"/>
      <c r="D280" s="79"/>
      <c r="E280" s="79"/>
      <c r="M280" s="79"/>
      <c r="R280" s="79"/>
      <c r="S280" s="79"/>
      <c r="V280" s="79"/>
      <c r="W280" s="79"/>
      <c r="Z280" s="130"/>
      <c r="AB280" s="106"/>
    </row>
    <row r="281">
      <c r="C281" s="79"/>
      <c r="D281" s="79"/>
      <c r="E281" s="79"/>
      <c r="M281" s="79"/>
      <c r="R281" s="79"/>
      <c r="S281" s="79"/>
      <c r="V281" s="79"/>
      <c r="W281" s="79"/>
      <c r="Z281" s="130"/>
      <c r="AB281" s="106"/>
    </row>
    <row r="282">
      <c r="C282" s="79"/>
      <c r="D282" s="79"/>
      <c r="E282" s="79"/>
      <c r="M282" s="79"/>
      <c r="R282" s="79"/>
      <c r="S282" s="79"/>
      <c r="V282" s="79"/>
      <c r="W282" s="79"/>
      <c r="Z282" s="130"/>
      <c r="AB282" s="106"/>
    </row>
    <row r="283">
      <c r="C283" s="79"/>
      <c r="D283" s="79"/>
      <c r="E283" s="79"/>
      <c r="M283" s="79"/>
      <c r="R283" s="79"/>
      <c r="S283" s="79"/>
      <c r="V283" s="79"/>
      <c r="W283" s="79"/>
      <c r="Z283" s="130"/>
      <c r="AB283" s="106"/>
    </row>
    <row r="284">
      <c r="C284" s="79"/>
      <c r="D284" s="79"/>
      <c r="E284" s="79"/>
      <c r="M284" s="79"/>
      <c r="R284" s="79"/>
      <c r="S284" s="79"/>
      <c r="V284" s="79"/>
      <c r="W284" s="79"/>
      <c r="Z284" s="130"/>
      <c r="AB284" s="106"/>
    </row>
    <row r="285">
      <c r="C285" s="79"/>
      <c r="D285" s="79"/>
      <c r="E285" s="79"/>
      <c r="M285" s="79"/>
      <c r="R285" s="79"/>
      <c r="S285" s="79"/>
      <c r="V285" s="79"/>
      <c r="W285" s="79"/>
      <c r="Z285" s="130"/>
      <c r="AB285" s="106"/>
    </row>
    <row r="286">
      <c r="C286" s="79"/>
      <c r="D286" s="79"/>
      <c r="E286" s="79"/>
      <c r="M286" s="79"/>
      <c r="R286" s="79"/>
      <c r="S286" s="79"/>
      <c r="V286" s="79"/>
      <c r="W286" s="79"/>
      <c r="Z286" s="130"/>
      <c r="AB286" s="106"/>
    </row>
    <row r="287">
      <c r="C287" s="79"/>
      <c r="D287" s="79"/>
      <c r="E287" s="79"/>
      <c r="M287" s="79"/>
      <c r="R287" s="79"/>
      <c r="S287" s="79"/>
      <c r="V287" s="79"/>
      <c r="W287" s="79"/>
      <c r="Z287" s="130"/>
      <c r="AB287" s="106"/>
    </row>
    <row r="288">
      <c r="C288" s="79"/>
      <c r="D288" s="79"/>
      <c r="E288" s="79"/>
      <c r="M288" s="79"/>
      <c r="R288" s="79"/>
      <c r="S288" s="79"/>
      <c r="V288" s="79"/>
      <c r="W288" s="79"/>
      <c r="Z288" s="130"/>
      <c r="AB288" s="106"/>
    </row>
    <row r="289">
      <c r="C289" s="79"/>
      <c r="D289" s="79"/>
      <c r="E289" s="79"/>
      <c r="M289" s="79"/>
      <c r="R289" s="79"/>
      <c r="S289" s="79"/>
      <c r="V289" s="79"/>
      <c r="W289" s="79"/>
      <c r="Z289" s="130"/>
      <c r="AB289" s="106"/>
    </row>
    <row r="290">
      <c r="C290" s="79"/>
      <c r="D290" s="79"/>
      <c r="E290" s="79"/>
      <c r="M290" s="79"/>
      <c r="R290" s="79"/>
      <c r="S290" s="79"/>
      <c r="V290" s="79"/>
      <c r="W290" s="79"/>
      <c r="Z290" s="130"/>
      <c r="AB290" s="106"/>
    </row>
    <row r="291">
      <c r="C291" s="79"/>
      <c r="D291" s="79"/>
      <c r="E291" s="79"/>
      <c r="M291" s="79"/>
      <c r="R291" s="79"/>
      <c r="S291" s="79"/>
      <c r="V291" s="79"/>
      <c r="W291" s="79"/>
      <c r="Z291" s="130"/>
      <c r="AB291" s="106"/>
    </row>
    <row r="292">
      <c r="C292" s="79"/>
      <c r="D292" s="79"/>
      <c r="E292" s="79"/>
      <c r="M292" s="79"/>
      <c r="R292" s="79"/>
      <c r="S292" s="79"/>
      <c r="V292" s="79"/>
      <c r="W292" s="79"/>
      <c r="Z292" s="130"/>
      <c r="AB292" s="106"/>
    </row>
    <row r="293">
      <c r="C293" s="79"/>
      <c r="D293" s="79"/>
      <c r="E293" s="79"/>
      <c r="M293" s="79"/>
      <c r="R293" s="79"/>
      <c r="S293" s="79"/>
      <c r="V293" s="79"/>
      <c r="W293" s="79"/>
      <c r="Z293" s="130"/>
      <c r="AB293" s="106"/>
    </row>
    <row r="294">
      <c r="C294" s="79"/>
      <c r="D294" s="79"/>
      <c r="E294" s="79"/>
      <c r="M294" s="79"/>
      <c r="R294" s="79"/>
      <c r="S294" s="79"/>
      <c r="V294" s="79"/>
      <c r="W294" s="79"/>
      <c r="Z294" s="130"/>
      <c r="AB294" s="106"/>
    </row>
    <row r="295">
      <c r="C295" s="79"/>
      <c r="D295" s="79"/>
      <c r="E295" s="79"/>
      <c r="M295" s="79"/>
      <c r="R295" s="79"/>
      <c r="S295" s="79"/>
      <c r="V295" s="79"/>
      <c r="W295" s="79"/>
      <c r="Z295" s="130"/>
      <c r="AB295" s="106"/>
    </row>
    <row r="296">
      <c r="C296" s="79"/>
      <c r="D296" s="79"/>
      <c r="E296" s="79"/>
      <c r="M296" s="79"/>
      <c r="R296" s="79"/>
      <c r="S296" s="79"/>
      <c r="V296" s="79"/>
      <c r="W296" s="79"/>
      <c r="Z296" s="130"/>
      <c r="AB296" s="106"/>
    </row>
    <row r="297">
      <c r="C297" s="79"/>
      <c r="D297" s="79"/>
      <c r="E297" s="79"/>
      <c r="M297" s="79"/>
      <c r="R297" s="79"/>
      <c r="S297" s="79"/>
      <c r="V297" s="79"/>
      <c r="W297" s="79"/>
      <c r="Z297" s="130"/>
      <c r="AB297" s="106"/>
    </row>
    <row r="298">
      <c r="C298" s="79"/>
      <c r="D298" s="79"/>
      <c r="E298" s="79"/>
      <c r="M298" s="79"/>
      <c r="R298" s="79"/>
      <c r="S298" s="79"/>
      <c r="V298" s="79"/>
      <c r="W298" s="79"/>
      <c r="Z298" s="130"/>
      <c r="AB298" s="106"/>
    </row>
    <row r="299">
      <c r="C299" s="79"/>
      <c r="D299" s="79"/>
      <c r="E299" s="79"/>
      <c r="M299" s="79"/>
      <c r="R299" s="79"/>
      <c r="S299" s="79"/>
      <c r="V299" s="79"/>
      <c r="W299" s="79"/>
      <c r="Z299" s="130"/>
      <c r="AB299" s="106"/>
    </row>
    <row r="300">
      <c r="C300" s="79"/>
      <c r="D300" s="79"/>
      <c r="E300" s="79"/>
      <c r="M300" s="79"/>
      <c r="R300" s="79"/>
      <c r="S300" s="79"/>
      <c r="V300" s="79"/>
      <c r="W300" s="79"/>
      <c r="Z300" s="130"/>
      <c r="AB300" s="106"/>
    </row>
    <row r="301">
      <c r="C301" s="79"/>
      <c r="D301" s="79"/>
      <c r="E301" s="79"/>
      <c r="M301" s="79"/>
      <c r="R301" s="79"/>
      <c r="S301" s="79"/>
      <c r="V301" s="79"/>
      <c r="W301" s="79"/>
      <c r="Z301" s="130"/>
      <c r="AB301" s="106"/>
    </row>
    <row r="302">
      <c r="C302" s="79"/>
      <c r="D302" s="79"/>
      <c r="E302" s="79"/>
      <c r="M302" s="79"/>
      <c r="R302" s="79"/>
      <c r="S302" s="79"/>
      <c r="V302" s="79"/>
      <c r="W302" s="79"/>
      <c r="Z302" s="130"/>
      <c r="AB302" s="106"/>
    </row>
    <row r="303">
      <c r="C303" s="79"/>
      <c r="D303" s="79"/>
      <c r="E303" s="79"/>
      <c r="M303" s="79"/>
      <c r="R303" s="79"/>
      <c r="S303" s="79"/>
      <c r="V303" s="79"/>
      <c r="W303" s="79"/>
      <c r="Z303" s="130"/>
      <c r="AB303" s="106"/>
    </row>
    <row r="304">
      <c r="C304" s="79"/>
      <c r="D304" s="79"/>
      <c r="E304" s="79"/>
      <c r="M304" s="79"/>
      <c r="R304" s="79"/>
      <c r="S304" s="79"/>
      <c r="V304" s="79"/>
      <c r="W304" s="79"/>
      <c r="Z304" s="130"/>
      <c r="AB304" s="106"/>
    </row>
    <row r="305">
      <c r="C305" s="79"/>
      <c r="D305" s="79"/>
      <c r="E305" s="79"/>
      <c r="M305" s="79"/>
      <c r="R305" s="79"/>
      <c r="S305" s="79"/>
      <c r="V305" s="79"/>
      <c r="W305" s="79"/>
      <c r="Z305" s="130"/>
      <c r="AB305" s="106"/>
    </row>
    <row r="306">
      <c r="C306" s="79"/>
      <c r="D306" s="79"/>
      <c r="E306" s="79"/>
      <c r="M306" s="79"/>
      <c r="R306" s="79"/>
      <c r="S306" s="79"/>
      <c r="V306" s="79"/>
      <c r="W306" s="79"/>
      <c r="Z306" s="130"/>
      <c r="AB306" s="106"/>
    </row>
    <row r="307">
      <c r="C307" s="79"/>
      <c r="D307" s="79"/>
      <c r="E307" s="79"/>
      <c r="M307" s="79"/>
      <c r="R307" s="79"/>
      <c r="S307" s="79"/>
      <c r="V307" s="79"/>
      <c r="W307" s="79"/>
      <c r="Z307" s="130"/>
      <c r="AB307" s="106"/>
    </row>
    <row r="308">
      <c r="C308" s="79"/>
      <c r="D308" s="79"/>
      <c r="E308" s="79"/>
      <c r="M308" s="79"/>
      <c r="R308" s="79"/>
      <c r="S308" s="79"/>
      <c r="V308" s="79"/>
      <c r="W308" s="79"/>
      <c r="Z308" s="130"/>
      <c r="AB308" s="106"/>
    </row>
    <row r="309">
      <c r="C309" s="79"/>
      <c r="D309" s="79"/>
      <c r="E309" s="79"/>
      <c r="M309" s="79"/>
      <c r="R309" s="79"/>
      <c r="S309" s="79"/>
      <c r="V309" s="79"/>
      <c r="W309" s="79"/>
      <c r="Z309" s="130"/>
      <c r="AB309" s="106"/>
    </row>
    <row r="310">
      <c r="C310" s="79"/>
      <c r="D310" s="79"/>
      <c r="E310" s="79"/>
      <c r="M310" s="79"/>
      <c r="R310" s="79"/>
      <c r="S310" s="79"/>
      <c r="V310" s="79"/>
      <c r="W310" s="79"/>
      <c r="Z310" s="130"/>
      <c r="AB310" s="106"/>
    </row>
    <row r="311">
      <c r="C311" s="79"/>
      <c r="D311" s="79"/>
      <c r="E311" s="79"/>
      <c r="M311" s="79"/>
      <c r="R311" s="79"/>
      <c r="S311" s="79"/>
      <c r="V311" s="79"/>
      <c r="W311" s="79"/>
      <c r="Z311" s="130"/>
      <c r="AB311" s="106"/>
    </row>
    <row r="312">
      <c r="C312" s="79"/>
      <c r="D312" s="79"/>
      <c r="E312" s="79"/>
      <c r="M312" s="79"/>
      <c r="R312" s="79"/>
      <c r="S312" s="79"/>
      <c r="V312" s="79"/>
      <c r="W312" s="79"/>
      <c r="Z312" s="130"/>
      <c r="AB312" s="106"/>
    </row>
    <row r="313">
      <c r="C313" s="79"/>
      <c r="D313" s="79"/>
      <c r="E313" s="79"/>
      <c r="M313" s="79"/>
      <c r="R313" s="79"/>
      <c r="S313" s="79"/>
      <c r="V313" s="79"/>
      <c r="W313" s="79"/>
      <c r="Z313" s="130"/>
      <c r="AB313" s="106"/>
    </row>
    <row r="314">
      <c r="C314" s="79"/>
      <c r="D314" s="79"/>
      <c r="E314" s="79"/>
      <c r="M314" s="79"/>
      <c r="R314" s="79"/>
      <c r="S314" s="79"/>
      <c r="V314" s="79"/>
      <c r="W314" s="79"/>
      <c r="Z314" s="130"/>
      <c r="AB314" s="106"/>
    </row>
    <row r="315">
      <c r="C315" s="79"/>
      <c r="D315" s="79"/>
      <c r="E315" s="79"/>
      <c r="M315" s="79"/>
      <c r="R315" s="79"/>
      <c r="S315" s="79"/>
      <c r="V315" s="79"/>
      <c r="W315" s="79"/>
      <c r="Z315" s="130"/>
      <c r="AB315" s="106"/>
    </row>
    <row r="316">
      <c r="C316" s="79"/>
      <c r="D316" s="79"/>
      <c r="E316" s="79"/>
      <c r="M316" s="79"/>
      <c r="R316" s="79"/>
      <c r="S316" s="79"/>
      <c r="V316" s="79"/>
      <c r="W316" s="79"/>
      <c r="Z316" s="130"/>
      <c r="AB316" s="106"/>
    </row>
    <row r="317">
      <c r="C317" s="79"/>
      <c r="D317" s="79"/>
      <c r="E317" s="79"/>
      <c r="M317" s="79"/>
      <c r="R317" s="79"/>
      <c r="S317" s="79"/>
      <c r="V317" s="79"/>
      <c r="W317" s="79"/>
      <c r="Z317" s="130"/>
      <c r="AB317" s="106"/>
    </row>
    <row r="318">
      <c r="C318" s="79"/>
      <c r="D318" s="79"/>
      <c r="E318" s="79"/>
      <c r="M318" s="79"/>
      <c r="R318" s="79"/>
      <c r="S318" s="79"/>
      <c r="V318" s="79"/>
      <c r="W318" s="79"/>
      <c r="Z318" s="130"/>
      <c r="AB318" s="106"/>
    </row>
    <row r="319">
      <c r="C319" s="79"/>
      <c r="D319" s="79"/>
      <c r="E319" s="79"/>
      <c r="M319" s="79"/>
      <c r="R319" s="79"/>
      <c r="S319" s="79"/>
      <c r="V319" s="79"/>
      <c r="W319" s="79"/>
      <c r="Z319" s="130"/>
      <c r="AB319" s="106"/>
    </row>
    <row r="320">
      <c r="C320" s="79"/>
      <c r="D320" s="79"/>
      <c r="E320" s="79"/>
      <c r="M320" s="79"/>
      <c r="R320" s="79"/>
      <c r="S320" s="79"/>
      <c r="V320" s="79"/>
      <c r="W320" s="79"/>
      <c r="Z320" s="130"/>
      <c r="AB320" s="106"/>
    </row>
    <row r="321">
      <c r="C321" s="79"/>
      <c r="D321" s="79"/>
      <c r="E321" s="79"/>
      <c r="M321" s="79"/>
      <c r="R321" s="79"/>
      <c r="S321" s="79"/>
      <c r="V321" s="79"/>
      <c r="W321" s="79"/>
      <c r="Z321" s="130"/>
      <c r="AB321" s="106"/>
    </row>
    <row r="322">
      <c r="C322" s="79"/>
      <c r="D322" s="79"/>
      <c r="E322" s="79"/>
      <c r="M322" s="79"/>
      <c r="R322" s="79"/>
      <c r="S322" s="79"/>
      <c r="V322" s="79"/>
      <c r="W322" s="79"/>
      <c r="Z322" s="130"/>
      <c r="AB322" s="106"/>
    </row>
    <row r="323">
      <c r="C323" s="79"/>
      <c r="D323" s="79"/>
      <c r="E323" s="79"/>
      <c r="M323" s="79"/>
      <c r="R323" s="79"/>
      <c r="S323" s="79"/>
      <c r="V323" s="79"/>
      <c r="W323" s="79"/>
      <c r="Z323" s="130"/>
      <c r="AB323" s="106"/>
    </row>
    <row r="324">
      <c r="C324" s="79"/>
      <c r="D324" s="79"/>
      <c r="E324" s="79"/>
      <c r="M324" s="79"/>
      <c r="R324" s="79"/>
      <c r="S324" s="79"/>
      <c r="V324" s="79"/>
      <c r="W324" s="79"/>
      <c r="Z324" s="130"/>
      <c r="AB324" s="106"/>
    </row>
    <row r="325">
      <c r="C325" s="79"/>
      <c r="D325" s="79"/>
      <c r="E325" s="79"/>
      <c r="M325" s="79"/>
      <c r="R325" s="79"/>
      <c r="S325" s="79"/>
      <c r="V325" s="79"/>
      <c r="W325" s="79"/>
      <c r="Z325" s="130"/>
      <c r="AB325" s="106"/>
    </row>
    <row r="326">
      <c r="C326" s="79"/>
      <c r="D326" s="79"/>
      <c r="E326" s="79"/>
      <c r="M326" s="79"/>
      <c r="R326" s="79"/>
      <c r="S326" s="79"/>
      <c r="V326" s="79"/>
      <c r="W326" s="79"/>
      <c r="Z326" s="130"/>
      <c r="AB326" s="106"/>
    </row>
    <row r="327">
      <c r="C327" s="79"/>
      <c r="D327" s="79"/>
      <c r="E327" s="79"/>
      <c r="M327" s="79"/>
      <c r="R327" s="79"/>
      <c r="S327" s="79"/>
      <c r="V327" s="79"/>
      <c r="W327" s="79"/>
      <c r="Z327" s="130"/>
      <c r="AB327" s="106"/>
    </row>
    <row r="328">
      <c r="C328" s="79"/>
      <c r="D328" s="79"/>
      <c r="E328" s="79"/>
      <c r="M328" s="79"/>
      <c r="R328" s="79"/>
      <c r="S328" s="79"/>
      <c r="V328" s="79"/>
      <c r="W328" s="79"/>
      <c r="Z328" s="130"/>
      <c r="AB328" s="106"/>
    </row>
    <row r="329">
      <c r="C329" s="79"/>
      <c r="D329" s="79"/>
      <c r="E329" s="79"/>
      <c r="M329" s="79"/>
      <c r="R329" s="79"/>
      <c r="S329" s="79"/>
      <c r="V329" s="79"/>
      <c r="W329" s="79"/>
      <c r="Z329" s="130"/>
      <c r="AB329" s="106"/>
    </row>
    <row r="330">
      <c r="C330" s="79"/>
      <c r="D330" s="79"/>
      <c r="E330" s="79"/>
      <c r="M330" s="79"/>
      <c r="R330" s="79"/>
      <c r="S330" s="79"/>
      <c r="V330" s="79"/>
      <c r="W330" s="79"/>
      <c r="Z330" s="130"/>
      <c r="AB330" s="106"/>
    </row>
    <row r="331">
      <c r="C331" s="79"/>
      <c r="D331" s="79"/>
      <c r="E331" s="79"/>
      <c r="M331" s="79"/>
      <c r="R331" s="79"/>
      <c r="S331" s="79"/>
      <c r="V331" s="79"/>
      <c r="W331" s="79"/>
      <c r="Z331" s="130"/>
      <c r="AB331" s="106"/>
    </row>
    <row r="332">
      <c r="C332" s="79"/>
      <c r="D332" s="79"/>
      <c r="E332" s="79"/>
      <c r="M332" s="79"/>
      <c r="R332" s="79"/>
      <c r="S332" s="79"/>
      <c r="V332" s="79"/>
      <c r="W332" s="79"/>
      <c r="Z332" s="130"/>
      <c r="AB332" s="106"/>
    </row>
    <row r="333">
      <c r="C333" s="79"/>
      <c r="D333" s="79"/>
      <c r="E333" s="79"/>
      <c r="M333" s="79"/>
      <c r="R333" s="79"/>
      <c r="S333" s="79"/>
      <c r="V333" s="79"/>
      <c r="W333" s="79"/>
      <c r="Z333" s="130"/>
      <c r="AB333" s="106"/>
    </row>
    <row r="334">
      <c r="C334" s="79"/>
      <c r="D334" s="79"/>
      <c r="E334" s="79"/>
      <c r="M334" s="79"/>
      <c r="R334" s="79"/>
      <c r="S334" s="79"/>
      <c r="V334" s="79"/>
      <c r="W334" s="79"/>
      <c r="Z334" s="130"/>
      <c r="AB334" s="106"/>
    </row>
    <row r="335">
      <c r="C335" s="79"/>
      <c r="D335" s="79"/>
      <c r="E335" s="79"/>
      <c r="M335" s="79"/>
      <c r="R335" s="79"/>
      <c r="S335" s="79"/>
      <c r="V335" s="79"/>
      <c r="W335" s="79"/>
      <c r="Z335" s="130"/>
      <c r="AB335" s="106"/>
    </row>
    <row r="336">
      <c r="C336" s="79"/>
      <c r="D336" s="79"/>
      <c r="E336" s="79"/>
      <c r="M336" s="79"/>
      <c r="R336" s="79"/>
      <c r="S336" s="79"/>
      <c r="V336" s="79"/>
      <c r="W336" s="79"/>
      <c r="Z336" s="130"/>
      <c r="AB336" s="106"/>
    </row>
    <row r="337">
      <c r="C337" s="79"/>
      <c r="D337" s="79"/>
      <c r="E337" s="79"/>
      <c r="M337" s="79"/>
      <c r="R337" s="79"/>
      <c r="S337" s="79"/>
      <c r="V337" s="79"/>
      <c r="W337" s="79"/>
      <c r="Z337" s="130"/>
      <c r="AB337" s="106"/>
    </row>
    <row r="338">
      <c r="C338" s="79"/>
      <c r="D338" s="79"/>
      <c r="E338" s="79"/>
      <c r="M338" s="79"/>
      <c r="R338" s="79"/>
      <c r="S338" s="79"/>
      <c r="V338" s="79"/>
      <c r="W338" s="79"/>
      <c r="Z338" s="130"/>
      <c r="AB338" s="106"/>
    </row>
    <row r="339">
      <c r="C339" s="79"/>
      <c r="D339" s="79"/>
      <c r="E339" s="79"/>
      <c r="M339" s="79"/>
      <c r="R339" s="79"/>
      <c r="S339" s="79"/>
      <c r="V339" s="79"/>
      <c r="W339" s="79"/>
      <c r="Z339" s="130"/>
      <c r="AB339" s="106"/>
    </row>
    <row r="340">
      <c r="C340" s="79"/>
      <c r="D340" s="79"/>
      <c r="E340" s="79"/>
      <c r="M340" s="79"/>
      <c r="R340" s="79"/>
      <c r="S340" s="79"/>
      <c r="V340" s="79"/>
      <c r="W340" s="79"/>
      <c r="Z340" s="130"/>
      <c r="AB340" s="106"/>
    </row>
    <row r="341">
      <c r="C341" s="79"/>
      <c r="D341" s="79"/>
      <c r="E341" s="79"/>
      <c r="M341" s="79"/>
      <c r="R341" s="79"/>
      <c r="S341" s="79"/>
      <c r="V341" s="79"/>
      <c r="W341" s="79"/>
      <c r="Z341" s="130"/>
      <c r="AB341" s="106"/>
    </row>
    <row r="342">
      <c r="C342" s="79"/>
      <c r="D342" s="79"/>
      <c r="E342" s="79"/>
      <c r="M342" s="79"/>
      <c r="R342" s="79"/>
      <c r="S342" s="79"/>
      <c r="V342" s="79"/>
      <c r="W342" s="79"/>
      <c r="Z342" s="130"/>
      <c r="AB342" s="106"/>
    </row>
    <row r="343">
      <c r="C343" s="79"/>
      <c r="D343" s="79"/>
      <c r="E343" s="79"/>
      <c r="M343" s="79"/>
      <c r="R343" s="79"/>
      <c r="S343" s="79"/>
      <c r="V343" s="79"/>
      <c r="W343" s="79"/>
      <c r="Z343" s="130"/>
      <c r="AB343" s="106"/>
    </row>
    <row r="344">
      <c r="C344" s="79"/>
      <c r="D344" s="79"/>
      <c r="E344" s="79"/>
      <c r="M344" s="79"/>
      <c r="R344" s="79"/>
      <c r="S344" s="79"/>
      <c r="V344" s="79"/>
      <c r="W344" s="79"/>
      <c r="Z344" s="130"/>
      <c r="AB344" s="106"/>
    </row>
    <row r="345">
      <c r="C345" s="79"/>
      <c r="D345" s="79"/>
      <c r="E345" s="79"/>
      <c r="M345" s="79"/>
      <c r="R345" s="79"/>
      <c r="S345" s="79"/>
      <c r="V345" s="79"/>
      <c r="W345" s="79"/>
      <c r="Z345" s="130"/>
      <c r="AB345" s="106"/>
    </row>
    <row r="346">
      <c r="C346" s="79"/>
      <c r="D346" s="79"/>
      <c r="E346" s="79"/>
      <c r="M346" s="79"/>
      <c r="R346" s="79"/>
      <c r="S346" s="79"/>
      <c r="V346" s="79"/>
      <c r="W346" s="79"/>
      <c r="Z346" s="130"/>
      <c r="AB346" s="106"/>
    </row>
    <row r="347">
      <c r="C347" s="79"/>
      <c r="D347" s="79"/>
      <c r="E347" s="79"/>
      <c r="M347" s="79"/>
      <c r="R347" s="79"/>
      <c r="S347" s="79"/>
      <c r="V347" s="79"/>
      <c r="W347" s="79"/>
      <c r="Z347" s="130"/>
      <c r="AB347" s="106"/>
    </row>
    <row r="348">
      <c r="C348" s="79"/>
      <c r="D348" s="79"/>
      <c r="E348" s="79"/>
      <c r="M348" s="79"/>
      <c r="R348" s="79"/>
      <c r="S348" s="79"/>
      <c r="V348" s="79"/>
      <c r="W348" s="79"/>
      <c r="Z348" s="130"/>
      <c r="AB348" s="106"/>
    </row>
    <row r="349">
      <c r="C349" s="79"/>
      <c r="D349" s="79"/>
      <c r="E349" s="79"/>
      <c r="M349" s="79"/>
      <c r="R349" s="79"/>
      <c r="S349" s="79"/>
      <c r="V349" s="79"/>
      <c r="W349" s="79"/>
      <c r="Z349" s="130"/>
      <c r="AB349" s="106"/>
    </row>
    <row r="350">
      <c r="C350" s="79"/>
      <c r="D350" s="79"/>
      <c r="E350" s="79"/>
      <c r="M350" s="79"/>
      <c r="R350" s="79"/>
      <c r="S350" s="79"/>
      <c r="V350" s="79"/>
      <c r="W350" s="79"/>
      <c r="Z350" s="130"/>
      <c r="AB350" s="106"/>
    </row>
    <row r="351">
      <c r="C351" s="79"/>
      <c r="D351" s="79"/>
      <c r="E351" s="79"/>
      <c r="M351" s="79"/>
      <c r="R351" s="79"/>
      <c r="S351" s="79"/>
      <c r="V351" s="79"/>
      <c r="W351" s="79"/>
      <c r="Z351" s="130"/>
      <c r="AB351" s="106"/>
    </row>
    <row r="352">
      <c r="C352" s="79"/>
      <c r="D352" s="79"/>
      <c r="E352" s="79"/>
      <c r="M352" s="79"/>
      <c r="R352" s="79"/>
      <c r="S352" s="79"/>
      <c r="V352" s="79"/>
      <c r="W352" s="79"/>
      <c r="Z352" s="130"/>
      <c r="AB352" s="106"/>
    </row>
    <row r="353">
      <c r="C353" s="79"/>
      <c r="D353" s="79"/>
      <c r="E353" s="79"/>
      <c r="M353" s="79"/>
      <c r="R353" s="79"/>
      <c r="S353" s="79"/>
      <c r="V353" s="79"/>
      <c r="W353" s="79"/>
      <c r="Z353" s="130"/>
      <c r="AB353" s="106"/>
    </row>
    <row r="354">
      <c r="C354" s="79"/>
      <c r="D354" s="79"/>
      <c r="E354" s="79"/>
      <c r="M354" s="79"/>
      <c r="R354" s="79"/>
      <c r="S354" s="79"/>
      <c r="V354" s="79"/>
      <c r="W354" s="79"/>
      <c r="Z354" s="130"/>
      <c r="AB354" s="106"/>
    </row>
    <row r="355">
      <c r="C355" s="79"/>
      <c r="D355" s="79"/>
      <c r="E355" s="79"/>
      <c r="M355" s="79"/>
      <c r="R355" s="79"/>
      <c r="S355" s="79"/>
      <c r="V355" s="79"/>
      <c r="W355" s="79"/>
      <c r="Z355" s="130"/>
      <c r="AB355" s="106"/>
    </row>
    <row r="356">
      <c r="C356" s="79"/>
      <c r="D356" s="79"/>
      <c r="E356" s="79"/>
      <c r="M356" s="79"/>
      <c r="R356" s="79"/>
      <c r="S356" s="79"/>
      <c r="V356" s="79"/>
      <c r="W356" s="79"/>
      <c r="Z356" s="130"/>
      <c r="AB356" s="106"/>
    </row>
    <row r="357">
      <c r="C357" s="79"/>
      <c r="D357" s="79"/>
      <c r="E357" s="79"/>
      <c r="M357" s="79"/>
      <c r="R357" s="79"/>
      <c r="S357" s="79"/>
      <c r="V357" s="79"/>
      <c r="W357" s="79"/>
      <c r="Z357" s="130"/>
      <c r="AB357" s="106"/>
    </row>
    <row r="358">
      <c r="C358" s="79"/>
      <c r="D358" s="79"/>
      <c r="E358" s="79"/>
      <c r="M358" s="79"/>
      <c r="R358" s="79"/>
      <c r="S358" s="79"/>
      <c r="V358" s="79"/>
      <c r="W358" s="79"/>
      <c r="Z358" s="130"/>
      <c r="AB358" s="106"/>
    </row>
    <row r="359">
      <c r="C359" s="79"/>
      <c r="D359" s="79"/>
      <c r="E359" s="79"/>
      <c r="M359" s="79"/>
      <c r="R359" s="79"/>
      <c r="S359" s="79"/>
      <c r="V359" s="79"/>
      <c r="W359" s="79"/>
      <c r="Z359" s="130"/>
      <c r="AB359" s="106"/>
    </row>
    <row r="360">
      <c r="C360" s="79"/>
      <c r="D360" s="79"/>
      <c r="E360" s="79"/>
      <c r="M360" s="79"/>
      <c r="R360" s="79"/>
      <c r="S360" s="79"/>
      <c r="V360" s="79"/>
      <c r="W360" s="79"/>
      <c r="Z360" s="130"/>
      <c r="AB360" s="106"/>
    </row>
    <row r="361">
      <c r="C361" s="79"/>
      <c r="D361" s="79"/>
      <c r="E361" s="79"/>
      <c r="M361" s="79"/>
      <c r="R361" s="79"/>
      <c r="S361" s="79"/>
      <c r="V361" s="79"/>
      <c r="W361" s="79"/>
      <c r="Z361" s="130"/>
      <c r="AB361" s="106"/>
    </row>
    <row r="362">
      <c r="C362" s="79"/>
      <c r="D362" s="79"/>
      <c r="E362" s="79"/>
      <c r="M362" s="79"/>
      <c r="R362" s="79"/>
      <c r="S362" s="79"/>
      <c r="V362" s="79"/>
      <c r="W362" s="79"/>
      <c r="Z362" s="130"/>
      <c r="AB362" s="106"/>
    </row>
    <row r="363">
      <c r="C363" s="79"/>
      <c r="D363" s="79"/>
      <c r="E363" s="79"/>
      <c r="M363" s="79"/>
      <c r="R363" s="79"/>
      <c r="S363" s="79"/>
      <c r="V363" s="79"/>
      <c r="W363" s="79"/>
      <c r="Z363" s="130"/>
      <c r="AB363" s="106"/>
    </row>
    <row r="364">
      <c r="C364" s="79"/>
      <c r="D364" s="79"/>
      <c r="E364" s="79"/>
      <c r="M364" s="79"/>
      <c r="R364" s="79"/>
      <c r="S364" s="79"/>
      <c r="V364" s="79"/>
      <c r="W364" s="79"/>
      <c r="Z364" s="130"/>
      <c r="AB364" s="106"/>
    </row>
    <row r="365">
      <c r="C365" s="79"/>
      <c r="D365" s="79"/>
      <c r="E365" s="79"/>
      <c r="M365" s="79"/>
      <c r="R365" s="79"/>
      <c r="S365" s="79"/>
      <c r="V365" s="79"/>
      <c r="W365" s="79"/>
      <c r="Z365" s="130"/>
      <c r="AB365" s="106"/>
    </row>
    <row r="366">
      <c r="C366" s="79"/>
      <c r="D366" s="79"/>
      <c r="E366" s="79"/>
      <c r="M366" s="79"/>
      <c r="R366" s="79"/>
      <c r="S366" s="79"/>
      <c r="V366" s="79"/>
      <c r="W366" s="79"/>
      <c r="Z366" s="130"/>
      <c r="AB366" s="106"/>
    </row>
    <row r="367">
      <c r="C367" s="79"/>
      <c r="D367" s="79"/>
      <c r="E367" s="79"/>
      <c r="M367" s="79"/>
      <c r="R367" s="79"/>
      <c r="S367" s="79"/>
      <c r="V367" s="79"/>
      <c r="W367" s="79"/>
      <c r="Z367" s="130"/>
      <c r="AB367" s="106"/>
    </row>
    <row r="368">
      <c r="C368" s="79"/>
      <c r="D368" s="79"/>
      <c r="E368" s="79"/>
      <c r="M368" s="79"/>
      <c r="R368" s="79"/>
      <c r="S368" s="79"/>
      <c r="V368" s="79"/>
      <c r="W368" s="79"/>
      <c r="Z368" s="130"/>
      <c r="AB368" s="106"/>
    </row>
    <row r="369">
      <c r="C369" s="79"/>
      <c r="D369" s="79"/>
      <c r="E369" s="79"/>
      <c r="M369" s="79"/>
      <c r="R369" s="79"/>
      <c r="S369" s="79"/>
      <c r="V369" s="79"/>
      <c r="W369" s="79"/>
      <c r="Z369" s="130"/>
      <c r="AB369" s="106"/>
    </row>
    <row r="370">
      <c r="C370" s="79"/>
      <c r="D370" s="79"/>
      <c r="E370" s="79"/>
      <c r="M370" s="79"/>
      <c r="R370" s="79"/>
      <c r="S370" s="79"/>
      <c r="V370" s="79"/>
      <c r="W370" s="79"/>
      <c r="Z370" s="130"/>
      <c r="AB370" s="106"/>
    </row>
    <row r="371">
      <c r="C371" s="79"/>
      <c r="D371" s="79"/>
      <c r="E371" s="79"/>
      <c r="M371" s="79"/>
      <c r="R371" s="79"/>
      <c r="S371" s="79"/>
      <c r="V371" s="79"/>
      <c r="W371" s="79"/>
      <c r="Z371" s="130"/>
      <c r="AB371" s="106"/>
    </row>
    <row r="372">
      <c r="C372" s="79"/>
      <c r="D372" s="79"/>
      <c r="E372" s="79"/>
      <c r="M372" s="79"/>
      <c r="R372" s="79"/>
      <c r="S372" s="79"/>
      <c r="V372" s="79"/>
      <c r="W372" s="79"/>
      <c r="Z372" s="130"/>
      <c r="AB372" s="106"/>
    </row>
    <row r="373">
      <c r="C373" s="79"/>
      <c r="D373" s="79"/>
      <c r="E373" s="79"/>
      <c r="M373" s="79"/>
      <c r="R373" s="79"/>
      <c r="S373" s="79"/>
      <c r="V373" s="79"/>
      <c r="W373" s="79"/>
      <c r="Z373" s="130"/>
      <c r="AB373" s="106"/>
    </row>
    <row r="374">
      <c r="C374" s="79"/>
      <c r="D374" s="79"/>
      <c r="E374" s="79"/>
      <c r="M374" s="79"/>
      <c r="R374" s="79"/>
      <c r="S374" s="79"/>
      <c r="V374" s="79"/>
      <c r="W374" s="79"/>
      <c r="Z374" s="130"/>
      <c r="AB374" s="106"/>
    </row>
    <row r="375">
      <c r="C375" s="79"/>
      <c r="D375" s="79"/>
      <c r="E375" s="79"/>
      <c r="M375" s="79"/>
      <c r="R375" s="79"/>
      <c r="S375" s="79"/>
      <c r="V375" s="79"/>
      <c r="W375" s="79"/>
      <c r="Z375" s="130"/>
      <c r="AB375" s="106"/>
    </row>
    <row r="376">
      <c r="C376" s="79"/>
      <c r="D376" s="79"/>
      <c r="E376" s="79"/>
      <c r="M376" s="79"/>
      <c r="R376" s="79"/>
      <c r="S376" s="79"/>
      <c r="V376" s="79"/>
      <c r="W376" s="79"/>
      <c r="Z376" s="130"/>
      <c r="AB376" s="106"/>
    </row>
    <row r="377">
      <c r="C377" s="79"/>
      <c r="D377" s="79"/>
      <c r="E377" s="79"/>
      <c r="M377" s="79"/>
      <c r="R377" s="79"/>
      <c r="S377" s="79"/>
      <c r="V377" s="79"/>
      <c r="W377" s="79"/>
      <c r="Z377" s="130"/>
      <c r="AB377" s="106"/>
    </row>
    <row r="378">
      <c r="C378" s="79"/>
      <c r="D378" s="79"/>
      <c r="E378" s="79"/>
      <c r="M378" s="79"/>
      <c r="R378" s="79"/>
      <c r="S378" s="79"/>
      <c r="V378" s="79"/>
      <c r="W378" s="79"/>
      <c r="Z378" s="130"/>
      <c r="AB378" s="106"/>
    </row>
    <row r="379">
      <c r="C379" s="79"/>
      <c r="D379" s="79"/>
      <c r="E379" s="79"/>
      <c r="M379" s="79"/>
      <c r="R379" s="79"/>
      <c r="S379" s="79"/>
      <c r="V379" s="79"/>
      <c r="W379" s="79"/>
      <c r="Z379" s="130"/>
      <c r="AB379" s="106"/>
    </row>
    <row r="380">
      <c r="C380" s="79"/>
      <c r="D380" s="79"/>
      <c r="E380" s="79"/>
      <c r="M380" s="79"/>
      <c r="R380" s="79"/>
      <c r="S380" s="79"/>
      <c r="V380" s="79"/>
      <c r="W380" s="79"/>
      <c r="Z380" s="130"/>
      <c r="AB380" s="106"/>
    </row>
    <row r="381">
      <c r="C381" s="79"/>
      <c r="D381" s="79"/>
      <c r="E381" s="79"/>
      <c r="M381" s="79"/>
      <c r="R381" s="79"/>
      <c r="S381" s="79"/>
      <c r="V381" s="79"/>
      <c r="W381" s="79"/>
      <c r="Z381" s="130"/>
      <c r="AB381" s="106"/>
    </row>
    <row r="382">
      <c r="C382" s="79"/>
      <c r="D382" s="79"/>
      <c r="E382" s="79"/>
      <c r="M382" s="79"/>
      <c r="R382" s="79"/>
      <c r="S382" s="79"/>
      <c r="V382" s="79"/>
      <c r="W382" s="79"/>
      <c r="Z382" s="130"/>
      <c r="AB382" s="106"/>
    </row>
    <row r="383">
      <c r="C383" s="79"/>
      <c r="D383" s="79"/>
      <c r="E383" s="79"/>
      <c r="M383" s="79"/>
      <c r="R383" s="79"/>
      <c r="S383" s="79"/>
      <c r="V383" s="79"/>
      <c r="W383" s="79"/>
      <c r="Z383" s="130"/>
      <c r="AB383" s="106"/>
    </row>
    <row r="384">
      <c r="C384" s="79"/>
      <c r="D384" s="79"/>
      <c r="E384" s="79"/>
      <c r="M384" s="79"/>
      <c r="R384" s="79"/>
      <c r="S384" s="79"/>
      <c r="V384" s="79"/>
      <c r="W384" s="79"/>
      <c r="Z384" s="130"/>
      <c r="AB384" s="106"/>
    </row>
    <row r="385">
      <c r="C385" s="79"/>
      <c r="D385" s="79"/>
      <c r="E385" s="79"/>
      <c r="M385" s="79"/>
      <c r="R385" s="79"/>
      <c r="S385" s="79"/>
      <c r="V385" s="79"/>
      <c r="W385" s="79"/>
      <c r="Z385" s="130"/>
      <c r="AB385" s="106"/>
    </row>
    <row r="386">
      <c r="C386" s="79"/>
      <c r="D386" s="79"/>
      <c r="E386" s="79"/>
      <c r="M386" s="79"/>
      <c r="R386" s="79"/>
      <c r="S386" s="79"/>
      <c r="V386" s="79"/>
      <c r="W386" s="79"/>
      <c r="Z386" s="130"/>
      <c r="AB386" s="106"/>
    </row>
    <row r="387">
      <c r="C387" s="79"/>
      <c r="D387" s="79"/>
      <c r="E387" s="79"/>
      <c r="M387" s="79"/>
      <c r="R387" s="79"/>
      <c r="S387" s="79"/>
      <c r="V387" s="79"/>
      <c r="W387" s="79"/>
      <c r="Z387" s="130"/>
      <c r="AB387" s="106"/>
    </row>
    <row r="388">
      <c r="C388" s="79"/>
      <c r="D388" s="79"/>
      <c r="E388" s="79"/>
      <c r="M388" s="79"/>
      <c r="R388" s="79"/>
      <c r="S388" s="79"/>
      <c r="V388" s="79"/>
      <c r="W388" s="79"/>
      <c r="Z388" s="130"/>
      <c r="AB388" s="106"/>
    </row>
    <row r="389">
      <c r="C389" s="79"/>
      <c r="D389" s="79"/>
      <c r="E389" s="79"/>
      <c r="M389" s="79"/>
      <c r="R389" s="79"/>
      <c r="S389" s="79"/>
      <c r="V389" s="79"/>
      <c r="W389" s="79"/>
      <c r="Z389" s="130"/>
      <c r="AB389" s="106"/>
    </row>
    <row r="390">
      <c r="C390" s="79"/>
      <c r="D390" s="79"/>
      <c r="E390" s="79"/>
      <c r="M390" s="79"/>
      <c r="R390" s="79"/>
      <c r="S390" s="79"/>
      <c r="V390" s="79"/>
      <c r="W390" s="79"/>
      <c r="Z390" s="130"/>
      <c r="AB390" s="106"/>
    </row>
    <row r="391">
      <c r="C391" s="79"/>
      <c r="D391" s="79"/>
      <c r="E391" s="79"/>
      <c r="M391" s="79"/>
      <c r="R391" s="79"/>
      <c r="S391" s="79"/>
      <c r="V391" s="79"/>
      <c r="W391" s="79"/>
      <c r="Z391" s="130"/>
      <c r="AB391" s="106"/>
    </row>
    <row r="392">
      <c r="C392" s="79"/>
      <c r="D392" s="79"/>
      <c r="E392" s="79"/>
      <c r="M392" s="79"/>
      <c r="R392" s="79"/>
      <c r="S392" s="79"/>
      <c r="V392" s="79"/>
      <c r="W392" s="79"/>
      <c r="Z392" s="130"/>
      <c r="AB392" s="106"/>
    </row>
    <row r="393">
      <c r="C393" s="79"/>
      <c r="D393" s="79"/>
      <c r="E393" s="79"/>
      <c r="M393" s="79"/>
      <c r="R393" s="79"/>
      <c r="S393" s="79"/>
      <c r="V393" s="79"/>
      <c r="W393" s="79"/>
      <c r="Z393" s="130"/>
      <c r="AB393" s="106"/>
    </row>
    <row r="394">
      <c r="C394" s="79"/>
      <c r="D394" s="79"/>
      <c r="E394" s="79"/>
      <c r="M394" s="79"/>
      <c r="R394" s="79"/>
      <c r="S394" s="79"/>
      <c r="V394" s="79"/>
      <c r="W394" s="79"/>
      <c r="Z394" s="130"/>
      <c r="AB394" s="106"/>
    </row>
    <row r="395">
      <c r="C395" s="79"/>
      <c r="D395" s="79"/>
      <c r="E395" s="79"/>
      <c r="M395" s="79"/>
      <c r="R395" s="79"/>
      <c r="S395" s="79"/>
      <c r="V395" s="79"/>
      <c r="W395" s="79"/>
      <c r="Z395" s="130"/>
      <c r="AB395" s="106"/>
    </row>
    <row r="396">
      <c r="C396" s="79"/>
      <c r="D396" s="79"/>
      <c r="E396" s="79"/>
      <c r="M396" s="79"/>
      <c r="R396" s="79"/>
      <c r="S396" s="79"/>
      <c r="V396" s="79"/>
      <c r="W396" s="79"/>
      <c r="Z396" s="130"/>
      <c r="AB396" s="106"/>
    </row>
    <row r="397">
      <c r="C397" s="79"/>
      <c r="D397" s="79"/>
      <c r="E397" s="79"/>
      <c r="M397" s="79"/>
      <c r="R397" s="79"/>
      <c r="S397" s="79"/>
      <c r="V397" s="79"/>
      <c r="W397" s="79"/>
      <c r="Z397" s="130"/>
      <c r="AB397" s="106"/>
    </row>
    <row r="398">
      <c r="C398" s="79"/>
      <c r="D398" s="79"/>
      <c r="E398" s="79"/>
      <c r="M398" s="79"/>
      <c r="R398" s="79"/>
      <c r="S398" s="79"/>
      <c r="V398" s="79"/>
      <c r="W398" s="79"/>
      <c r="Z398" s="130"/>
      <c r="AB398" s="106"/>
    </row>
    <row r="399">
      <c r="C399" s="79"/>
      <c r="D399" s="79"/>
      <c r="E399" s="79"/>
      <c r="M399" s="79"/>
      <c r="R399" s="79"/>
      <c r="S399" s="79"/>
      <c r="V399" s="79"/>
      <c r="W399" s="79"/>
      <c r="Z399" s="130"/>
      <c r="AB399" s="106"/>
    </row>
    <row r="400">
      <c r="C400" s="79"/>
      <c r="D400" s="79"/>
      <c r="E400" s="79"/>
      <c r="M400" s="79"/>
      <c r="R400" s="79"/>
      <c r="S400" s="79"/>
      <c r="V400" s="79"/>
      <c r="W400" s="79"/>
      <c r="Z400" s="130"/>
      <c r="AB400" s="106"/>
    </row>
    <row r="401">
      <c r="C401" s="79"/>
      <c r="D401" s="79"/>
      <c r="E401" s="79"/>
      <c r="M401" s="79"/>
      <c r="R401" s="79"/>
      <c r="S401" s="79"/>
      <c r="V401" s="79"/>
      <c r="W401" s="79"/>
      <c r="Z401" s="130"/>
      <c r="AB401" s="106"/>
    </row>
    <row r="402">
      <c r="C402" s="79"/>
      <c r="D402" s="79"/>
      <c r="E402" s="79"/>
      <c r="M402" s="79"/>
      <c r="R402" s="79"/>
      <c r="S402" s="79"/>
      <c r="V402" s="79"/>
      <c r="W402" s="79"/>
      <c r="Z402" s="130"/>
      <c r="AB402" s="106"/>
    </row>
    <row r="403">
      <c r="C403" s="79"/>
      <c r="D403" s="79"/>
      <c r="E403" s="79"/>
      <c r="M403" s="79"/>
      <c r="R403" s="79"/>
      <c r="S403" s="79"/>
      <c r="V403" s="79"/>
      <c r="W403" s="79"/>
      <c r="Z403" s="130"/>
      <c r="AB403" s="106"/>
    </row>
    <row r="404">
      <c r="C404" s="79"/>
      <c r="D404" s="79"/>
      <c r="E404" s="79"/>
      <c r="M404" s="79"/>
      <c r="R404" s="79"/>
      <c r="S404" s="79"/>
      <c r="V404" s="79"/>
      <c r="W404" s="79"/>
      <c r="Z404" s="130"/>
      <c r="AB404" s="106"/>
    </row>
    <row r="405">
      <c r="C405" s="79"/>
      <c r="D405" s="79"/>
      <c r="E405" s="79"/>
      <c r="M405" s="79"/>
      <c r="R405" s="79"/>
      <c r="S405" s="79"/>
      <c r="V405" s="79"/>
      <c r="W405" s="79"/>
      <c r="Z405" s="130"/>
      <c r="AB405" s="106"/>
    </row>
    <row r="406">
      <c r="C406" s="79"/>
      <c r="D406" s="79"/>
      <c r="E406" s="79"/>
      <c r="M406" s="79"/>
      <c r="R406" s="79"/>
      <c r="S406" s="79"/>
      <c r="V406" s="79"/>
      <c r="W406" s="79"/>
      <c r="Z406" s="130"/>
      <c r="AB406" s="106"/>
    </row>
    <row r="407">
      <c r="C407" s="79"/>
      <c r="D407" s="79"/>
      <c r="E407" s="79"/>
      <c r="M407" s="79"/>
      <c r="R407" s="79"/>
      <c r="S407" s="79"/>
      <c r="V407" s="79"/>
      <c r="W407" s="79"/>
      <c r="Z407" s="130"/>
      <c r="AB407" s="106"/>
    </row>
    <row r="408">
      <c r="C408" s="79"/>
      <c r="D408" s="79"/>
      <c r="E408" s="79"/>
      <c r="M408" s="79"/>
      <c r="R408" s="79"/>
      <c r="S408" s="79"/>
      <c r="V408" s="79"/>
      <c r="W408" s="79"/>
      <c r="Z408" s="130"/>
      <c r="AB408" s="106"/>
    </row>
    <row r="409">
      <c r="C409" s="79"/>
      <c r="D409" s="79"/>
      <c r="E409" s="79"/>
      <c r="M409" s="79"/>
      <c r="R409" s="79"/>
      <c r="S409" s="79"/>
      <c r="V409" s="79"/>
      <c r="W409" s="79"/>
      <c r="Z409" s="130"/>
      <c r="AB409" s="106"/>
    </row>
    <row r="410">
      <c r="C410" s="79"/>
      <c r="D410" s="79"/>
      <c r="E410" s="79"/>
      <c r="M410" s="79"/>
      <c r="R410" s="79"/>
      <c r="S410" s="79"/>
      <c r="V410" s="79"/>
      <c r="W410" s="79"/>
      <c r="Z410" s="130"/>
      <c r="AB410" s="106"/>
    </row>
    <row r="411">
      <c r="C411" s="79"/>
      <c r="D411" s="79"/>
      <c r="E411" s="79"/>
      <c r="M411" s="79"/>
      <c r="R411" s="79"/>
      <c r="S411" s="79"/>
      <c r="V411" s="79"/>
      <c r="W411" s="79"/>
      <c r="Z411" s="130"/>
      <c r="AB411" s="106"/>
    </row>
    <row r="412">
      <c r="C412" s="79"/>
      <c r="D412" s="79"/>
      <c r="E412" s="79"/>
      <c r="M412" s="79"/>
      <c r="R412" s="79"/>
      <c r="S412" s="79"/>
      <c r="V412" s="79"/>
      <c r="W412" s="79"/>
      <c r="Z412" s="130"/>
      <c r="AB412" s="106"/>
    </row>
    <row r="413">
      <c r="C413" s="79"/>
      <c r="D413" s="79"/>
      <c r="E413" s="79"/>
      <c r="M413" s="79"/>
      <c r="R413" s="79"/>
      <c r="S413" s="79"/>
      <c r="V413" s="79"/>
      <c r="W413" s="79"/>
      <c r="Z413" s="130"/>
      <c r="AB413" s="106"/>
    </row>
    <row r="414">
      <c r="C414" s="79"/>
      <c r="D414" s="79"/>
      <c r="E414" s="79"/>
      <c r="M414" s="79"/>
      <c r="R414" s="79"/>
      <c r="S414" s="79"/>
      <c r="V414" s="79"/>
      <c r="W414" s="79"/>
      <c r="Z414" s="130"/>
      <c r="AB414" s="106"/>
    </row>
    <row r="415">
      <c r="C415" s="79"/>
      <c r="D415" s="79"/>
      <c r="E415" s="79"/>
      <c r="M415" s="79"/>
      <c r="R415" s="79"/>
      <c r="S415" s="79"/>
      <c r="V415" s="79"/>
      <c r="W415" s="79"/>
      <c r="Z415" s="130"/>
      <c r="AB415" s="106"/>
    </row>
    <row r="416">
      <c r="C416" s="79"/>
      <c r="D416" s="79"/>
      <c r="E416" s="79"/>
      <c r="M416" s="79"/>
      <c r="R416" s="79"/>
      <c r="S416" s="79"/>
      <c r="V416" s="79"/>
      <c r="W416" s="79"/>
      <c r="Z416" s="130"/>
      <c r="AB416" s="106"/>
    </row>
    <row r="417">
      <c r="C417" s="79"/>
      <c r="D417" s="79"/>
      <c r="E417" s="79"/>
      <c r="M417" s="79"/>
      <c r="R417" s="79"/>
      <c r="S417" s="79"/>
      <c r="V417" s="79"/>
      <c r="W417" s="79"/>
      <c r="Z417" s="130"/>
      <c r="AB417" s="106"/>
    </row>
    <row r="418">
      <c r="C418" s="79"/>
      <c r="D418" s="79"/>
      <c r="E418" s="79"/>
      <c r="M418" s="79"/>
      <c r="R418" s="79"/>
      <c r="S418" s="79"/>
      <c r="V418" s="79"/>
      <c r="W418" s="79"/>
      <c r="Z418" s="130"/>
      <c r="AB418" s="106"/>
    </row>
    <row r="419">
      <c r="C419" s="79"/>
      <c r="D419" s="79"/>
      <c r="E419" s="79"/>
      <c r="M419" s="79"/>
      <c r="R419" s="79"/>
      <c r="S419" s="79"/>
      <c r="V419" s="79"/>
      <c r="W419" s="79"/>
      <c r="Z419" s="130"/>
      <c r="AB419" s="106"/>
    </row>
    <row r="420">
      <c r="C420" s="79"/>
      <c r="D420" s="79"/>
      <c r="E420" s="79"/>
      <c r="M420" s="79"/>
      <c r="R420" s="79"/>
      <c r="S420" s="79"/>
      <c r="V420" s="79"/>
      <c r="W420" s="79"/>
      <c r="Z420" s="130"/>
      <c r="AB420" s="106"/>
    </row>
    <row r="421">
      <c r="C421" s="79"/>
      <c r="D421" s="79"/>
      <c r="E421" s="79"/>
      <c r="M421" s="79"/>
      <c r="R421" s="79"/>
      <c r="S421" s="79"/>
      <c r="V421" s="79"/>
      <c r="W421" s="79"/>
      <c r="Z421" s="130"/>
      <c r="AB421" s="106"/>
    </row>
    <row r="422">
      <c r="C422" s="79"/>
      <c r="D422" s="79"/>
      <c r="E422" s="79"/>
      <c r="M422" s="79"/>
      <c r="R422" s="79"/>
      <c r="S422" s="79"/>
      <c r="V422" s="79"/>
      <c r="W422" s="79"/>
      <c r="Z422" s="130"/>
      <c r="AB422" s="106"/>
    </row>
    <row r="423">
      <c r="C423" s="79"/>
      <c r="D423" s="79"/>
      <c r="E423" s="79"/>
      <c r="M423" s="79"/>
      <c r="R423" s="79"/>
      <c r="S423" s="79"/>
      <c r="V423" s="79"/>
      <c r="W423" s="79"/>
      <c r="Z423" s="130"/>
      <c r="AB423" s="106"/>
    </row>
    <row r="424">
      <c r="C424" s="79"/>
      <c r="D424" s="79"/>
      <c r="E424" s="79"/>
      <c r="M424" s="79"/>
      <c r="R424" s="79"/>
      <c r="S424" s="79"/>
      <c r="V424" s="79"/>
      <c r="W424" s="79"/>
      <c r="Z424" s="130"/>
      <c r="AB424" s="106"/>
    </row>
    <row r="425">
      <c r="C425" s="79"/>
      <c r="D425" s="79"/>
      <c r="E425" s="79"/>
      <c r="M425" s="79"/>
      <c r="R425" s="79"/>
      <c r="S425" s="79"/>
      <c r="V425" s="79"/>
      <c r="W425" s="79"/>
      <c r="Z425" s="130"/>
      <c r="AB425" s="106"/>
    </row>
    <row r="426">
      <c r="C426" s="79"/>
      <c r="D426" s="79"/>
      <c r="E426" s="79"/>
      <c r="M426" s="79"/>
      <c r="R426" s="79"/>
      <c r="S426" s="79"/>
      <c r="V426" s="79"/>
      <c r="W426" s="79"/>
      <c r="Z426" s="130"/>
      <c r="AB426" s="106"/>
    </row>
    <row r="427">
      <c r="C427" s="79"/>
      <c r="D427" s="79"/>
      <c r="E427" s="79"/>
      <c r="M427" s="79"/>
      <c r="R427" s="79"/>
      <c r="S427" s="79"/>
      <c r="V427" s="79"/>
      <c r="W427" s="79"/>
      <c r="Z427" s="130"/>
      <c r="AB427" s="106"/>
    </row>
    <row r="428">
      <c r="C428" s="79"/>
      <c r="D428" s="79"/>
      <c r="E428" s="79"/>
      <c r="M428" s="79"/>
      <c r="R428" s="79"/>
      <c r="S428" s="79"/>
      <c r="V428" s="79"/>
      <c r="W428" s="79"/>
      <c r="Z428" s="130"/>
      <c r="AB428" s="106"/>
    </row>
    <row r="429">
      <c r="C429" s="79"/>
      <c r="D429" s="79"/>
      <c r="E429" s="79"/>
      <c r="M429" s="79"/>
      <c r="R429" s="79"/>
      <c r="S429" s="79"/>
      <c r="V429" s="79"/>
      <c r="W429" s="79"/>
      <c r="Z429" s="130"/>
      <c r="AB429" s="106"/>
    </row>
    <row r="430">
      <c r="C430" s="79"/>
      <c r="D430" s="79"/>
      <c r="E430" s="79"/>
      <c r="M430" s="79"/>
      <c r="R430" s="79"/>
      <c r="S430" s="79"/>
      <c r="V430" s="79"/>
      <c r="W430" s="79"/>
      <c r="Z430" s="130"/>
      <c r="AB430" s="106"/>
    </row>
    <row r="431">
      <c r="C431" s="79"/>
      <c r="D431" s="79"/>
      <c r="E431" s="79"/>
      <c r="M431" s="79"/>
      <c r="R431" s="79"/>
      <c r="S431" s="79"/>
      <c r="V431" s="79"/>
      <c r="W431" s="79"/>
      <c r="Z431" s="130"/>
      <c r="AB431" s="106"/>
    </row>
    <row r="432">
      <c r="C432" s="79"/>
      <c r="D432" s="79"/>
      <c r="E432" s="79"/>
      <c r="M432" s="79"/>
      <c r="R432" s="79"/>
      <c r="S432" s="79"/>
      <c r="V432" s="79"/>
      <c r="W432" s="79"/>
      <c r="Z432" s="130"/>
      <c r="AB432" s="106"/>
    </row>
    <row r="433">
      <c r="C433" s="79"/>
      <c r="D433" s="79"/>
      <c r="E433" s="79"/>
      <c r="M433" s="79"/>
      <c r="R433" s="79"/>
      <c r="S433" s="79"/>
      <c r="V433" s="79"/>
      <c r="W433" s="79"/>
      <c r="Z433" s="130"/>
      <c r="AB433" s="106"/>
    </row>
    <row r="434">
      <c r="C434" s="79"/>
      <c r="D434" s="79"/>
      <c r="E434" s="79"/>
      <c r="M434" s="79"/>
      <c r="R434" s="79"/>
      <c r="S434" s="79"/>
      <c r="V434" s="79"/>
      <c r="W434" s="79"/>
      <c r="Z434" s="130"/>
      <c r="AB434" s="106"/>
    </row>
    <row r="435">
      <c r="C435" s="79"/>
      <c r="D435" s="79"/>
      <c r="E435" s="79"/>
      <c r="M435" s="79"/>
      <c r="R435" s="79"/>
      <c r="S435" s="79"/>
      <c r="V435" s="79"/>
      <c r="W435" s="79"/>
      <c r="Z435" s="130"/>
      <c r="AB435" s="106"/>
    </row>
    <row r="436">
      <c r="C436" s="79"/>
      <c r="D436" s="79"/>
      <c r="E436" s="79"/>
      <c r="M436" s="79"/>
      <c r="R436" s="79"/>
      <c r="S436" s="79"/>
      <c r="V436" s="79"/>
      <c r="W436" s="79"/>
      <c r="Z436" s="130"/>
      <c r="AB436" s="106"/>
    </row>
    <row r="437">
      <c r="C437" s="79"/>
      <c r="D437" s="79"/>
      <c r="E437" s="79"/>
      <c r="M437" s="79"/>
      <c r="R437" s="79"/>
      <c r="S437" s="79"/>
      <c r="V437" s="79"/>
      <c r="W437" s="79"/>
      <c r="Z437" s="130"/>
      <c r="AB437" s="106"/>
    </row>
    <row r="438">
      <c r="C438" s="79"/>
      <c r="D438" s="79"/>
      <c r="E438" s="79"/>
      <c r="M438" s="79"/>
      <c r="R438" s="79"/>
      <c r="S438" s="79"/>
      <c r="V438" s="79"/>
      <c r="W438" s="79"/>
      <c r="Z438" s="130"/>
      <c r="AB438" s="106"/>
    </row>
    <row r="439">
      <c r="C439" s="79"/>
      <c r="D439" s="79"/>
      <c r="E439" s="79"/>
      <c r="M439" s="79"/>
      <c r="R439" s="79"/>
      <c r="S439" s="79"/>
      <c r="V439" s="79"/>
      <c r="W439" s="79"/>
      <c r="Z439" s="130"/>
      <c r="AB439" s="106"/>
    </row>
    <row r="440">
      <c r="C440" s="79"/>
      <c r="D440" s="79"/>
      <c r="E440" s="79"/>
      <c r="M440" s="79"/>
      <c r="R440" s="79"/>
      <c r="S440" s="79"/>
      <c r="V440" s="79"/>
      <c r="W440" s="79"/>
      <c r="Z440" s="130"/>
      <c r="AB440" s="106"/>
    </row>
    <row r="441">
      <c r="C441" s="79"/>
      <c r="D441" s="79"/>
      <c r="E441" s="79"/>
      <c r="M441" s="79"/>
      <c r="R441" s="79"/>
      <c r="S441" s="79"/>
      <c r="V441" s="79"/>
      <c r="W441" s="79"/>
      <c r="Z441" s="130"/>
      <c r="AB441" s="106"/>
    </row>
    <row r="442">
      <c r="C442" s="79"/>
      <c r="D442" s="79"/>
      <c r="E442" s="79"/>
      <c r="M442" s="79"/>
      <c r="R442" s="79"/>
      <c r="S442" s="79"/>
      <c r="V442" s="79"/>
      <c r="W442" s="79"/>
      <c r="Z442" s="130"/>
      <c r="AB442" s="106"/>
    </row>
    <row r="443">
      <c r="C443" s="79"/>
      <c r="D443" s="79"/>
      <c r="E443" s="79"/>
      <c r="M443" s="79"/>
      <c r="R443" s="79"/>
      <c r="S443" s="79"/>
      <c r="V443" s="79"/>
      <c r="W443" s="79"/>
      <c r="Z443" s="130"/>
      <c r="AB443" s="106"/>
    </row>
    <row r="444">
      <c r="C444" s="79"/>
      <c r="D444" s="79"/>
      <c r="E444" s="79"/>
      <c r="M444" s="79"/>
      <c r="R444" s="79"/>
      <c r="S444" s="79"/>
      <c r="V444" s="79"/>
      <c r="W444" s="79"/>
      <c r="Z444" s="130"/>
      <c r="AB444" s="106"/>
    </row>
    <row r="445">
      <c r="C445" s="79"/>
      <c r="D445" s="79"/>
      <c r="E445" s="79"/>
      <c r="M445" s="79"/>
      <c r="R445" s="79"/>
      <c r="S445" s="79"/>
      <c r="V445" s="79"/>
      <c r="W445" s="79"/>
      <c r="Z445" s="130"/>
      <c r="AB445" s="106"/>
    </row>
    <row r="446">
      <c r="C446" s="79"/>
      <c r="D446" s="79"/>
      <c r="E446" s="79"/>
      <c r="M446" s="79"/>
      <c r="R446" s="79"/>
      <c r="S446" s="79"/>
      <c r="V446" s="79"/>
      <c r="W446" s="79"/>
      <c r="Z446" s="130"/>
      <c r="AB446" s="106"/>
    </row>
    <row r="447">
      <c r="C447" s="79"/>
      <c r="D447" s="79"/>
      <c r="E447" s="79"/>
      <c r="M447" s="79"/>
      <c r="R447" s="79"/>
      <c r="S447" s="79"/>
      <c r="V447" s="79"/>
      <c r="W447" s="79"/>
      <c r="Z447" s="130"/>
      <c r="AB447" s="106"/>
    </row>
    <row r="448">
      <c r="C448" s="79"/>
      <c r="D448" s="79"/>
      <c r="E448" s="79"/>
      <c r="M448" s="79"/>
      <c r="R448" s="79"/>
      <c r="S448" s="79"/>
      <c r="V448" s="79"/>
      <c r="W448" s="79"/>
      <c r="Z448" s="130"/>
      <c r="AB448" s="106"/>
    </row>
    <row r="449">
      <c r="C449" s="79"/>
      <c r="D449" s="79"/>
      <c r="E449" s="79"/>
      <c r="M449" s="79"/>
      <c r="R449" s="79"/>
      <c r="S449" s="79"/>
      <c r="V449" s="79"/>
      <c r="W449" s="79"/>
      <c r="Z449" s="130"/>
      <c r="AB449" s="106"/>
    </row>
    <row r="450">
      <c r="C450" s="79"/>
      <c r="D450" s="79"/>
      <c r="E450" s="79"/>
      <c r="M450" s="79"/>
      <c r="R450" s="79"/>
      <c r="S450" s="79"/>
      <c r="V450" s="79"/>
      <c r="W450" s="79"/>
      <c r="Z450" s="130"/>
      <c r="AB450" s="106"/>
    </row>
    <row r="451">
      <c r="C451" s="79"/>
      <c r="D451" s="79"/>
      <c r="E451" s="79"/>
      <c r="M451" s="79"/>
      <c r="R451" s="79"/>
      <c r="S451" s="79"/>
      <c r="V451" s="79"/>
      <c r="W451" s="79"/>
      <c r="Z451" s="130"/>
      <c r="AB451" s="106"/>
    </row>
    <row r="452">
      <c r="C452" s="79"/>
      <c r="D452" s="79"/>
      <c r="E452" s="79"/>
      <c r="M452" s="79"/>
      <c r="R452" s="79"/>
      <c r="S452" s="79"/>
      <c r="V452" s="79"/>
      <c r="W452" s="79"/>
      <c r="Z452" s="130"/>
      <c r="AB452" s="106"/>
    </row>
    <row r="453">
      <c r="C453" s="79"/>
      <c r="D453" s="79"/>
      <c r="E453" s="79"/>
      <c r="M453" s="79"/>
      <c r="R453" s="79"/>
      <c r="S453" s="79"/>
      <c r="V453" s="79"/>
      <c r="W453" s="79"/>
      <c r="Z453" s="130"/>
      <c r="AB453" s="106"/>
    </row>
    <row r="454">
      <c r="C454" s="79"/>
      <c r="D454" s="79"/>
      <c r="E454" s="79"/>
      <c r="M454" s="79"/>
      <c r="R454" s="79"/>
      <c r="S454" s="79"/>
      <c r="V454" s="79"/>
      <c r="W454" s="79"/>
      <c r="Z454" s="130"/>
      <c r="AB454" s="106"/>
    </row>
    <row r="455">
      <c r="C455" s="79"/>
      <c r="D455" s="79"/>
      <c r="E455" s="79"/>
      <c r="M455" s="79"/>
      <c r="R455" s="79"/>
      <c r="S455" s="79"/>
      <c r="V455" s="79"/>
      <c r="W455" s="79"/>
      <c r="Z455" s="130"/>
      <c r="AB455" s="106"/>
    </row>
    <row r="456">
      <c r="C456" s="79"/>
      <c r="D456" s="79"/>
      <c r="E456" s="79"/>
      <c r="M456" s="79"/>
      <c r="R456" s="79"/>
      <c r="S456" s="79"/>
      <c r="V456" s="79"/>
      <c r="W456" s="79"/>
      <c r="Z456" s="130"/>
      <c r="AB456" s="106"/>
    </row>
    <row r="457">
      <c r="C457" s="79"/>
      <c r="D457" s="79"/>
      <c r="E457" s="79"/>
      <c r="M457" s="79"/>
      <c r="R457" s="79"/>
      <c r="S457" s="79"/>
      <c r="V457" s="79"/>
      <c r="W457" s="79"/>
      <c r="Z457" s="130"/>
      <c r="AB457" s="106"/>
    </row>
    <row r="458">
      <c r="C458" s="79"/>
      <c r="D458" s="79"/>
      <c r="E458" s="79"/>
      <c r="M458" s="79"/>
      <c r="R458" s="79"/>
      <c r="S458" s="79"/>
      <c r="V458" s="79"/>
      <c r="W458" s="79"/>
      <c r="Z458" s="130"/>
      <c r="AB458" s="106"/>
    </row>
    <row r="459">
      <c r="C459" s="79"/>
      <c r="D459" s="79"/>
      <c r="E459" s="79"/>
      <c r="M459" s="79"/>
      <c r="R459" s="79"/>
      <c r="S459" s="79"/>
      <c r="V459" s="79"/>
      <c r="W459" s="79"/>
      <c r="Z459" s="130"/>
      <c r="AB459" s="106"/>
    </row>
    <row r="460">
      <c r="C460" s="79"/>
      <c r="D460" s="79"/>
      <c r="E460" s="79"/>
      <c r="M460" s="79"/>
      <c r="R460" s="79"/>
      <c r="S460" s="79"/>
      <c r="V460" s="79"/>
      <c r="W460" s="79"/>
      <c r="Z460" s="130"/>
      <c r="AB460" s="106"/>
    </row>
    <row r="461">
      <c r="C461" s="79"/>
      <c r="D461" s="79"/>
      <c r="E461" s="79"/>
      <c r="M461" s="79"/>
      <c r="R461" s="79"/>
      <c r="S461" s="79"/>
      <c r="V461" s="79"/>
      <c r="W461" s="79"/>
      <c r="Z461" s="130"/>
      <c r="AB461" s="106"/>
    </row>
    <row r="462">
      <c r="C462" s="79"/>
      <c r="D462" s="79"/>
      <c r="E462" s="79"/>
      <c r="M462" s="79"/>
      <c r="R462" s="79"/>
      <c r="S462" s="79"/>
      <c r="V462" s="79"/>
      <c r="W462" s="79"/>
      <c r="Z462" s="130"/>
      <c r="AB462" s="106"/>
    </row>
    <row r="463">
      <c r="C463" s="79"/>
      <c r="D463" s="79"/>
      <c r="E463" s="79"/>
      <c r="M463" s="79"/>
      <c r="R463" s="79"/>
      <c r="S463" s="79"/>
      <c r="V463" s="79"/>
      <c r="W463" s="79"/>
      <c r="Z463" s="130"/>
      <c r="AB463" s="106"/>
    </row>
    <row r="464">
      <c r="C464" s="79"/>
      <c r="D464" s="79"/>
      <c r="E464" s="79"/>
      <c r="M464" s="79"/>
      <c r="R464" s="79"/>
      <c r="S464" s="79"/>
      <c r="V464" s="79"/>
      <c r="W464" s="79"/>
      <c r="Z464" s="130"/>
      <c r="AB464" s="106"/>
    </row>
    <row r="465">
      <c r="C465" s="79"/>
      <c r="D465" s="79"/>
      <c r="E465" s="79"/>
      <c r="M465" s="79"/>
      <c r="R465" s="79"/>
      <c r="S465" s="79"/>
      <c r="V465" s="79"/>
      <c r="W465" s="79"/>
      <c r="Z465" s="130"/>
      <c r="AB465" s="106"/>
    </row>
    <row r="466">
      <c r="C466" s="79"/>
      <c r="D466" s="79"/>
      <c r="E466" s="79"/>
      <c r="M466" s="79"/>
      <c r="R466" s="79"/>
      <c r="S466" s="79"/>
      <c r="V466" s="79"/>
      <c r="W466" s="79"/>
      <c r="Z466" s="130"/>
      <c r="AB466" s="106"/>
    </row>
    <row r="467">
      <c r="C467" s="79"/>
      <c r="D467" s="79"/>
      <c r="E467" s="79"/>
      <c r="M467" s="79"/>
      <c r="R467" s="79"/>
      <c r="S467" s="79"/>
      <c r="V467" s="79"/>
      <c r="W467" s="79"/>
      <c r="Z467" s="130"/>
      <c r="AB467" s="106"/>
    </row>
    <row r="468">
      <c r="C468" s="79"/>
      <c r="D468" s="79"/>
      <c r="E468" s="79"/>
      <c r="M468" s="79"/>
      <c r="R468" s="79"/>
      <c r="S468" s="79"/>
      <c r="V468" s="79"/>
      <c r="W468" s="79"/>
      <c r="Z468" s="130"/>
      <c r="AB468" s="106"/>
    </row>
    <row r="469">
      <c r="C469" s="79"/>
      <c r="D469" s="79"/>
      <c r="E469" s="79"/>
      <c r="M469" s="79"/>
      <c r="R469" s="79"/>
      <c r="S469" s="79"/>
      <c r="V469" s="79"/>
      <c r="W469" s="79"/>
      <c r="Z469" s="130"/>
      <c r="AB469" s="106"/>
    </row>
    <row r="470">
      <c r="C470" s="79"/>
      <c r="D470" s="79"/>
      <c r="E470" s="79"/>
      <c r="M470" s="79"/>
      <c r="R470" s="79"/>
      <c r="S470" s="79"/>
      <c r="V470" s="79"/>
      <c r="W470" s="79"/>
      <c r="Z470" s="130"/>
      <c r="AB470" s="106"/>
    </row>
    <row r="471">
      <c r="C471" s="79"/>
      <c r="D471" s="79"/>
      <c r="E471" s="79"/>
      <c r="M471" s="79"/>
      <c r="R471" s="79"/>
      <c r="S471" s="79"/>
      <c r="V471" s="79"/>
      <c r="W471" s="79"/>
      <c r="Z471" s="130"/>
      <c r="AB471" s="106"/>
    </row>
    <row r="472">
      <c r="C472" s="79"/>
      <c r="D472" s="79"/>
      <c r="E472" s="79"/>
      <c r="M472" s="79"/>
      <c r="R472" s="79"/>
      <c r="S472" s="79"/>
      <c r="V472" s="79"/>
      <c r="W472" s="79"/>
      <c r="Z472" s="130"/>
      <c r="AB472" s="106"/>
    </row>
    <row r="473">
      <c r="C473" s="79"/>
      <c r="D473" s="79"/>
      <c r="E473" s="79"/>
      <c r="M473" s="79"/>
      <c r="R473" s="79"/>
      <c r="S473" s="79"/>
      <c r="V473" s="79"/>
      <c r="W473" s="79"/>
      <c r="Z473" s="130"/>
      <c r="AB473" s="106"/>
    </row>
    <row r="474">
      <c r="C474" s="79"/>
      <c r="D474" s="79"/>
      <c r="E474" s="79"/>
      <c r="M474" s="79"/>
      <c r="R474" s="79"/>
      <c r="S474" s="79"/>
      <c r="V474" s="79"/>
      <c r="W474" s="79"/>
      <c r="Z474" s="130"/>
      <c r="AB474" s="106"/>
    </row>
    <row r="475">
      <c r="C475" s="79"/>
      <c r="D475" s="79"/>
      <c r="E475" s="79"/>
      <c r="M475" s="79"/>
      <c r="R475" s="79"/>
      <c r="S475" s="79"/>
      <c r="V475" s="79"/>
      <c r="W475" s="79"/>
      <c r="Z475" s="130"/>
      <c r="AB475" s="106"/>
    </row>
    <row r="476">
      <c r="C476" s="79"/>
      <c r="D476" s="79"/>
      <c r="E476" s="79"/>
      <c r="M476" s="79"/>
      <c r="R476" s="79"/>
      <c r="S476" s="79"/>
      <c r="V476" s="79"/>
      <c r="W476" s="79"/>
      <c r="Z476" s="130"/>
      <c r="AB476" s="106"/>
    </row>
    <row r="477">
      <c r="C477" s="79"/>
      <c r="D477" s="79"/>
      <c r="E477" s="79"/>
      <c r="M477" s="79"/>
      <c r="R477" s="79"/>
      <c r="S477" s="79"/>
      <c r="V477" s="79"/>
      <c r="W477" s="79"/>
      <c r="Z477" s="130"/>
      <c r="AB477" s="106"/>
    </row>
    <row r="478">
      <c r="C478" s="79"/>
      <c r="D478" s="79"/>
      <c r="E478" s="79"/>
      <c r="M478" s="79"/>
      <c r="R478" s="79"/>
      <c r="S478" s="79"/>
      <c r="V478" s="79"/>
      <c r="W478" s="79"/>
      <c r="Z478" s="130"/>
      <c r="AB478" s="106"/>
    </row>
    <row r="479">
      <c r="C479" s="79"/>
      <c r="D479" s="79"/>
      <c r="E479" s="79"/>
      <c r="M479" s="79"/>
      <c r="R479" s="79"/>
      <c r="S479" s="79"/>
      <c r="V479" s="79"/>
      <c r="W479" s="79"/>
      <c r="Z479" s="130"/>
      <c r="AB479" s="106"/>
    </row>
    <row r="480">
      <c r="C480" s="79"/>
      <c r="D480" s="79"/>
      <c r="E480" s="79"/>
      <c r="M480" s="79"/>
      <c r="R480" s="79"/>
      <c r="S480" s="79"/>
      <c r="V480" s="79"/>
      <c r="W480" s="79"/>
      <c r="Z480" s="130"/>
      <c r="AB480" s="106"/>
    </row>
    <row r="481">
      <c r="C481" s="79"/>
      <c r="D481" s="79"/>
      <c r="E481" s="79"/>
      <c r="M481" s="79"/>
      <c r="R481" s="79"/>
      <c r="S481" s="79"/>
      <c r="V481" s="79"/>
      <c r="W481" s="79"/>
      <c r="Z481" s="130"/>
      <c r="AB481" s="106"/>
    </row>
    <row r="482">
      <c r="C482" s="79"/>
      <c r="D482" s="79"/>
      <c r="E482" s="79"/>
      <c r="M482" s="79"/>
      <c r="R482" s="79"/>
      <c r="S482" s="79"/>
      <c r="V482" s="79"/>
      <c r="W482" s="79"/>
      <c r="Z482" s="130"/>
      <c r="AB482" s="106"/>
    </row>
    <row r="483">
      <c r="C483" s="79"/>
      <c r="D483" s="79"/>
      <c r="E483" s="79"/>
      <c r="M483" s="79"/>
      <c r="R483" s="79"/>
      <c r="S483" s="79"/>
      <c r="V483" s="79"/>
      <c r="W483" s="79"/>
      <c r="Z483" s="130"/>
      <c r="AB483" s="106"/>
    </row>
    <row r="484">
      <c r="C484" s="79"/>
      <c r="D484" s="79"/>
      <c r="E484" s="79"/>
      <c r="M484" s="79"/>
      <c r="R484" s="79"/>
      <c r="S484" s="79"/>
      <c r="V484" s="79"/>
      <c r="W484" s="79"/>
      <c r="Z484" s="130"/>
      <c r="AB484" s="106"/>
    </row>
    <row r="485">
      <c r="C485" s="79"/>
      <c r="D485" s="79"/>
      <c r="E485" s="79"/>
      <c r="M485" s="79"/>
      <c r="R485" s="79"/>
      <c r="S485" s="79"/>
      <c r="V485" s="79"/>
      <c r="W485" s="79"/>
      <c r="Z485" s="130"/>
      <c r="AB485" s="106"/>
    </row>
    <row r="486">
      <c r="C486" s="79"/>
      <c r="D486" s="79"/>
      <c r="E486" s="79"/>
      <c r="M486" s="79"/>
      <c r="R486" s="79"/>
      <c r="S486" s="79"/>
      <c r="V486" s="79"/>
      <c r="W486" s="79"/>
      <c r="Z486" s="130"/>
      <c r="AB486" s="106"/>
    </row>
    <row r="487">
      <c r="C487" s="79"/>
      <c r="D487" s="79"/>
      <c r="E487" s="79"/>
      <c r="M487" s="79"/>
      <c r="R487" s="79"/>
      <c r="S487" s="79"/>
      <c r="V487" s="79"/>
      <c r="W487" s="79"/>
      <c r="Z487" s="130"/>
      <c r="AB487" s="106"/>
    </row>
    <row r="488">
      <c r="C488" s="79"/>
      <c r="D488" s="79"/>
      <c r="E488" s="79"/>
      <c r="M488" s="79"/>
      <c r="R488" s="79"/>
      <c r="S488" s="79"/>
      <c r="V488" s="79"/>
      <c r="W488" s="79"/>
      <c r="Z488" s="130"/>
      <c r="AB488" s="106"/>
    </row>
    <row r="489">
      <c r="C489" s="79"/>
      <c r="D489" s="79"/>
      <c r="E489" s="79"/>
      <c r="M489" s="79"/>
      <c r="R489" s="79"/>
      <c r="S489" s="79"/>
      <c r="V489" s="79"/>
      <c r="W489" s="79"/>
      <c r="Z489" s="130"/>
      <c r="AB489" s="106"/>
    </row>
    <row r="490">
      <c r="C490" s="79"/>
      <c r="D490" s="79"/>
      <c r="E490" s="79"/>
      <c r="M490" s="79"/>
      <c r="R490" s="79"/>
      <c r="S490" s="79"/>
      <c r="V490" s="79"/>
      <c r="W490" s="79"/>
      <c r="Z490" s="130"/>
      <c r="AB490" s="106"/>
    </row>
    <row r="491">
      <c r="C491" s="79"/>
      <c r="D491" s="79"/>
      <c r="E491" s="79"/>
      <c r="M491" s="79"/>
      <c r="R491" s="79"/>
      <c r="S491" s="79"/>
      <c r="V491" s="79"/>
      <c r="W491" s="79"/>
      <c r="Z491" s="130"/>
      <c r="AB491" s="106"/>
    </row>
    <row r="492">
      <c r="C492" s="79"/>
      <c r="D492" s="79"/>
      <c r="E492" s="79"/>
      <c r="M492" s="79"/>
      <c r="R492" s="79"/>
      <c r="S492" s="79"/>
      <c r="V492" s="79"/>
      <c r="W492" s="79"/>
      <c r="Z492" s="130"/>
      <c r="AB492" s="106"/>
    </row>
    <row r="493">
      <c r="C493" s="79"/>
      <c r="D493" s="79"/>
      <c r="E493" s="79"/>
      <c r="M493" s="79"/>
      <c r="R493" s="79"/>
      <c r="S493" s="79"/>
      <c r="V493" s="79"/>
      <c r="W493" s="79"/>
      <c r="Z493" s="130"/>
      <c r="AB493" s="106"/>
    </row>
    <row r="494">
      <c r="C494" s="79"/>
      <c r="D494" s="79"/>
      <c r="E494" s="79"/>
      <c r="M494" s="79"/>
      <c r="R494" s="79"/>
      <c r="S494" s="79"/>
      <c r="V494" s="79"/>
      <c r="W494" s="79"/>
      <c r="Z494" s="130"/>
      <c r="AB494" s="106"/>
    </row>
    <row r="495">
      <c r="C495" s="79"/>
      <c r="D495" s="79"/>
      <c r="E495" s="79"/>
      <c r="M495" s="79"/>
      <c r="R495" s="79"/>
      <c r="S495" s="79"/>
      <c r="V495" s="79"/>
      <c r="W495" s="79"/>
      <c r="Z495" s="130"/>
      <c r="AB495" s="106"/>
    </row>
    <row r="496">
      <c r="C496" s="79"/>
      <c r="D496" s="79"/>
      <c r="E496" s="79"/>
      <c r="M496" s="79"/>
      <c r="R496" s="79"/>
      <c r="S496" s="79"/>
      <c r="V496" s="79"/>
      <c r="W496" s="79"/>
      <c r="Z496" s="130"/>
      <c r="AB496" s="106"/>
    </row>
    <row r="497">
      <c r="C497" s="79"/>
      <c r="D497" s="79"/>
      <c r="E497" s="79"/>
      <c r="M497" s="79"/>
      <c r="R497" s="79"/>
      <c r="S497" s="79"/>
      <c r="V497" s="79"/>
      <c r="W497" s="79"/>
      <c r="Z497" s="130"/>
      <c r="AB497" s="106"/>
    </row>
    <row r="498">
      <c r="C498" s="79"/>
      <c r="D498" s="79"/>
      <c r="E498" s="79"/>
      <c r="M498" s="79"/>
      <c r="R498" s="79"/>
      <c r="S498" s="79"/>
      <c r="V498" s="79"/>
      <c r="W498" s="79"/>
      <c r="Z498" s="130"/>
      <c r="AB498" s="106"/>
    </row>
    <row r="499">
      <c r="C499" s="79"/>
      <c r="D499" s="79"/>
      <c r="E499" s="79"/>
      <c r="M499" s="79"/>
      <c r="R499" s="79"/>
      <c r="S499" s="79"/>
      <c r="V499" s="79"/>
      <c r="W499" s="79"/>
      <c r="Z499" s="130"/>
      <c r="AB499" s="106"/>
    </row>
    <row r="500">
      <c r="C500" s="79"/>
      <c r="D500" s="79"/>
      <c r="E500" s="79"/>
      <c r="M500" s="79"/>
      <c r="R500" s="79"/>
      <c r="S500" s="79"/>
      <c r="V500" s="79"/>
      <c r="W500" s="79"/>
      <c r="Z500" s="130"/>
      <c r="AB500" s="106"/>
    </row>
    <row r="501">
      <c r="C501" s="79"/>
      <c r="D501" s="79"/>
      <c r="E501" s="79"/>
      <c r="M501" s="79"/>
      <c r="R501" s="79"/>
      <c r="S501" s="79"/>
      <c r="V501" s="79"/>
      <c r="W501" s="79"/>
      <c r="Z501" s="130"/>
      <c r="AB501" s="106"/>
    </row>
    <row r="502">
      <c r="C502" s="79"/>
      <c r="D502" s="79"/>
      <c r="E502" s="79"/>
      <c r="M502" s="79"/>
      <c r="R502" s="79"/>
      <c r="S502" s="79"/>
      <c r="V502" s="79"/>
      <c r="W502" s="79"/>
      <c r="Z502" s="130"/>
      <c r="AB502" s="106"/>
    </row>
    <row r="503">
      <c r="C503" s="79"/>
      <c r="D503" s="79"/>
      <c r="E503" s="79"/>
      <c r="M503" s="79"/>
      <c r="R503" s="79"/>
      <c r="S503" s="79"/>
      <c r="V503" s="79"/>
      <c r="W503" s="79"/>
      <c r="Z503" s="130"/>
      <c r="AB503" s="106"/>
    </row>
    <row r="504">
      <c r="C504" s="79"/>
      <c r="D504" s="79"/>
      <c r="E504" s="79"/>
      <c r="M504" s="79"/>
      <c r="R504" s="79"/>
      <c r="S504" s="79"/>
      <c r="V504" s="79"/>
      <c r="W504" s="79"/>
      <c r="Z504" s="130"/>
      <c r="AB504" s="106"/>
    </row>
    <row r="505">
      <c r="C505" s="79"/>
      <c r="D505" s="79"/>
      <c r="E505" s="79"/>
      <c r="M505" s="79"/>
      <c r="R505" s="79"/>
      <c r="S505" s="79"/>
      <c r="V505" s="79"/>
      <c r="W505" s="79"/>
      <c r="Z505" s="130"/>
      <c r="AB505" s="106"/>
    </row>
    <row r="506">
      <c r="C506" s="79"/>
      <c r="D506" s="79"/>
      <c r="E506" s="79"/>
      <c r="M506" s="79"/>
      <c r="R506" s="79"/>
      <c r="S506" s="79"/>
      <c r="V506" s="79"/>
      <c r="W506" s="79"/>
      <c r="Z506" s="130"/>
      <c r="AB506" s="106"/>
    </row>
    <row r="507">
      <c r="C507" s="79"/>
      <c r="D507" s="79"/>
      <c r="E507" s="79"/>
      <c r="M507" s="79"/>
      <c r="R507" s="79"/>
      <c r="S507" s="79"/>
      <c r="V507" s="79"/>
      <c r="W507" s="79"/>
      <c r="Z507" s="130"/>
      <c r="AB507" s="106"/>
    </row>
    <row r="508">
      <c r="C508" s="79"/>
      <c r="D508" s="79"/>
      <c r="E508" s="79"/>
      <c r="M508" s="79"/>
      <c r="R508" s="79"/>
      <c r="S508" s="79"/>
      <c r="V508" s="79"/>
      <c r="W508" s="79"/>
      <c r="Z508" s="130"/>
      <c r="AB508" s="106"/>
    </row>
    <row r="509">
      <c r="C509" s="79"/>
      <c r="D509" s="79"/>
      <c r="E509" s="79"/>
      <c r="M509" s="79"/>
      <c r="R509" s="79"/>
      <c r="S509" s="79"/>
      <c r="V509" s="79"/>
      <c r="W509" s="79"/>
      <c r="Z509" s="130"/>
      <c r="AB509" s="106"/>
    </row>
    <row r="510">
      <c r="C510" s="79"/>
      <c r="D510" s="79"/>
      <c r="E510" s="79"/>
      <c r="M510" s="79"/>
      <c r="R510" s="79"/>
      <c r="S510" s="79"/>
      <c r="V510" s="79"/>
      <c r="W510" s="79"/>
      <c r="Z510" s="130"/>
      <c r="AB510" s="106"/>
    </row>
    <row r="511">
      <c r="C511" s="79"/>
      <c r="D511" s="79"/>
      <c r="E511" s="79"/>
      <c r="M511" s="79"/>
      <c r="R511" s="79"/>
      <c r="S511" s="79"/>
      <c r="V511" s="79"/>
      <c r="W511" s="79"/>
      <c r="Z511" s="130"/>
      <c r="AB511" s="106"/>
    </row>
    <row r="512">
      <c r="C512" s="79"/>
      <c r="D512" s="79"/>
      <c r="E512" s="79"/>
      <c r="M512" s="79"/>
      <c r="R512" s="79"/>
      <c r="S512" s="79"/>
      <c r="V512" s="79"/>
      <c r="W512" s="79"/>
      <c r="Z512" s="130"/>
      <c r="AB512" s="106"/>
    </row>
    <row r="513">
      <c r="C513" s="79"/>
      <c r="D513" s="79"/>
      <c r="E513" s="79"/>
      <c r="M513" s="79"/>
      <c r="R513" s="79"/>
      <c r="S513" s="79"/>
      <c r="V513" s="79"/>
      <c r="W513" s="79"/>
      <c r="Z513" s="130"/>
      <c r="AB513" s="106"/>
    </row>
    <row r="514">
      <c r="C514" s="79"/>
      <c r="D514" s="79"/>
      <c r="E514" s="79"/>
      <c r="M514" s="79"/>
      <c r="R514" s="79"/>
      <c r="S514" s="79"/>
      <c r="V514" s="79"/>
      <c r="W514" s="79"/>
      <c r="Z514" s="130"/>
      <c r="AB514" s="106"/>
    </row>
    <row r="515">
      <c r="C515" s="79"/>
      <c r="D515" s="79"/>
      <c r="E515" s="79"/>
      <c r="M515" s="79"/>
      <c r="R515" s="79"/>
      <c r="S515" s="79"/>
      <c r="V515" s="79"/>
      <c r="W515" s="79"/>
      <c r="Z515" s="130"/>
      <c r="AB515" s="106"/>
    </row>
    <row r="516">
      <c r="C516" s="79"/>
      <c r="D516" s="79"/>
      <c r="E516" s="79"/>
      <c r="M516" s="79"/>
      <c r="R516" s="79"/>
      <c r="S516" s="79"/>
      <c r="V516" s="79"/>
      <c r="W516" s="79"/>
      <c r="Z516" s="130"/>
      <c r="AB516" s="106"/>
    </row>
    <row r="517">
      <c r="C517" s="79"/>
      <c r="D517" s="79"/>
      <c r="E517" s="79"/>
      <c r="M517" s="79"/>
      <c r="R517" s="79"/>
      <c r="S517" s="79"/>
      <c r="V517" s="79"/>
      <c r="W517" s="79"/>
      <c r="Z517" s="130"/>
      <c r="AB517" s="106"/>
    </row>
    <row r="518">
      <c r="C518" s="79"/>
      <c r="D518" s="79"/>
      <c r="E518" s="79"/>
      <c r="M518" s="79"/>
      <c r="R518" s="79"/>
      <c r="S518" s="79"/>
      <c r="V518" s="79"/>
      <c r="W518" s="79"/>
      <c r="Z518" s="130"/>
      <c r="AB518" s="106"/>
    </row>
    <row r="519">
      <c r="C519" s="79"/>
      <c r="D519" s="79"/>
      <c r="E519" s="79"/>
      <c r="M519" s="79"/>
      <c r="R519" s="79"/>
      <c r="S519" s="79"/>
      <c r="V519" s="79"/>
      <c r="W519" s="79"/>
      <c r="Z519" s="130"/>
      <c r="AB519" s="106"/>
    </row>
    <row r="520">
      <c r="C520" s="79"/>
      <c r="D520" s="79"/>
      <c r="E520" s="79"/>
      <c r="M520" s="79"/>
      <c r="R520" s="79"/>
      <c r="S520" s="79"/>
      <c r="V520" s="79"/>
      <c r="W520" s="79"/>
      <c r="Z520" s="130"/>
      <c r="AB520" s="106"/>
    </row>
    <row r="521">
      <c r="C521" s="79"/>
      <c r="D521" s="79"/>
      <c r="E521" s="79"/>
      <c r="M521" s="79"/>
      <c r="R521" s="79"/>
      <c r="S521" s="79"/>
      <c r="V521" s="79"/>
      <c r="W521" s="79"/>
      <c r="Z521" s="130"/>
      <c r="AB521" s="106"/>
    </row>
    <row r="522">
      <c r="C522" s="79"/>
      <c r="D522" s="79"/>
      <c r="E522" s="79"/>
      <c r="M522" s="79"/>
      <c r="R522" s="79"/>
      <c r="S522" s="79"/>
      <c r="V522" s="79"/>
      <c r="W522" s="79"/>
      <c r="Z522" s="130"/>
      <c r="AB522" s="106"/>
    </row>
    <row r="523">
      <c r="C523" s="79"/>
      <c r="D523" s="79"/>
      <c r="E523" s="79"/>
      <c r="M523" s="79"/>
      <c r="R523" s="79"/>
      <c r="S523" s="79"/>
      <c r="V523" s="79"/>
      <c r="W523" s="79"/>
      <c r="Z523" s="130"/>
      <c r="AB523" s="106"/>
    </row>
    <row r="524">
      <c r="C524" s="79"/>
      <c r="D524" s="79"/>
      <c r="E524" s="79"/>
      <c r="M524" s="79"/>
      <c r="R524" s="79"/>
      <c r="S524" s="79"/>
      <c r="V524" s="79"/>
      <c r="W524" s="79"/>
      <c r="Z524" s="130"/>
      <c r="AB524" s="106"/>
    </row>
    <row r="525">
      <c r="C525" s="79"/>
      <c r="D525" s="79"/>
      <c r="E525" s="79"/>
      <c r="M525" s="79"/>
      <c r="R525" s="79"/>
      <c r="S525" s="79"/>
      <c r="V525" s="79"/>
      <c r="W525" s="79"/>
      <c r="Z525" s="130"/>
      <c r="AB525" s="106"/>
    </row>
    <row r="526">
      <c r="C526" s="79"/>
      <c r="D526" s="79"/>
      <c r="E526" s="79"/>
      <c r="M526" s="79"/>
      <c r="R526" s="79"/>
      <c r="S526" s="79"/>
      <c r="V526" s="79"/>
      <c r="W526" s="79"/>
      <c r="Z526" s="130"/>
      <c r="AB526" s="106"/>
    </row>
    <row r="527">
      <c r="C527" s="79"/>
      <c r="D527" s="79"/>
      <c r="E527" s="79"/>
      <c r="M527" s="79"/>
      <c r="R527" s="79"/>
      <c r="S527" s="79"/>
      <c r="V527" s="79"/>
      <c r="W527" s="79"/>
      <c r="Z527" s="130"/>
      <c r="AB527" s="106"/>
    </row>
    <row r="528">
      <c r="C528" s="79"/>
      <c r="D528" s="79"/>
      <c r="E528" s="79"/>
      <c r="M528" s="79"/>
      <c r="R528" s="79"/>
      <c r="S528" s="79"/>
      <c r="V528" s="79"/>
      <c r="W528" s="79"/>
      <c r="Z528" s="130"/>
      <c r="AB528" s="106"/>
    </row>
    <row r="529">
      <c r="C529" s="79"/>
      <c r="D529" s="79"/>
      <c r="E529" s="79"/>
      <c r="M529" s="79"/>
      <c r="R529" s="79"/>
      <c r="S529" s="79"/>
      <c r="V529" s="79"/>
      <c r="W529" s="79"/>
      <c r="Z529" s="130"/>
      <c r="AB529" s="106"/>
    </row>
    <row r="530">
      <c r="C530" s="79"/>
      <c r="D530" s="79"/>
      <c r="E530" s="79"/>
      <c r="M530" s="79"/>
      <c r="R530" s="79"/>
      <c r="S530" s="79"/>
      <c r="V530" s="79"/>
      <c r="W530" s="79"/>
      <c r="Z530" s="130"/>
      <c r="AB530" s="106"/>
    </row>
    <row r="531">
      <c r="C531" s="79"/>
      <c r="D531" s="79"/>
      <c r="E531" s="79"/>
      <c r="M531" s="79"/>
      <c r="R531" s="79"/>
      <c r="S531" s="79"/>
      <c r="V531" s="79"/>
      <c r="W531" s="79"/>
      <c r="Z531" s="130"/>
      <c r="AB531" s="106"/>
    </row>
    <row r="532">
      <c r="C532" s="79"/>
      <c r="D532" s="79"/>
      <c r="E532" s="79"/>
      <c r="M532" s="79"/>
      <c r="R532" s="79"/>
      <c r="S532" s="79"/>
      <c r="V532" s="79"/>
      <c r="W532" s="79"/>
      <c r="Z532" s="130"/>
      <c r="AB532" s="106"/>
    </row>
    <row r="533">
      <c r="C533" s="79"/>
      <c r="D533" s="79"/>
      <c r="E533" s="79"/>
      <c r="M533" s="79"/>
      <c r="R533" s="79"/>
      <c r="S533" s="79"/>
      <c r="V533" s="79"/>
      <c r="W533" s="79"/>
      <c r="Z533" s="130"/>
      <c r="AB533" s="106"/>
    </row>
    <row r="534">
      <c r="C534" s="79"/>
      <c r="D534" s="79"/>
      <c r="E534" s="79"/>
      <c r="M534" s="79"/>
      <c r="R534" s="79"/>
      <c r="S534" s="79"/>
      <c r="V534" s="79"/>
      <c r="W534" s="79"/>
      <c r="Z534" s="130"/>
      <c r="AB534" s="106"/>
    </row>
    <row r="535">
      <c r="C535" s="79"/>
      <c r="D535" s="79"/>
      <c r="E535" s="79"/>
      <c r="M535" s="79"/>
      <c r="R535" s="79"/>
      <c r="S535" s="79"/>
      <c r="V535" s="79"/>
      <c r="W535" s="79"/>
      <c r="Z535" s="130"/>
      <c r="AB535" s="106"/>
    </row>
    <row r="536">
      <c r="C536" s="79"/>
      <c r="D536" s="79"/>
      <c r="E536" s="79"/>
      <c r="M536" s="79"/>
      <c r="R536" s="79"/>
      <c r="S536" s="79"/>
      <c r="V536" s="79"/>
      <c r="W536" s="79"/>
      <c r="Z536" s="130"/>
      <c r="AB536" s="106"/>
    </row>
    <row r="537">
      <c r="C537" s="79"/>
      <c r="D537" s="79"/>
      <c r="E537" s="79"/>
      <c r="M537" s="79"/>
      <c r="R537" s="79"/>
      <c r="S537" s="79"/>
      <c r="V537" s="79"/>
      <c r="W537" s="79"/>
      <c r="Z537" s="130"/>
      <c r="AB537" s="106"/>
    </row>
    <row r="538">
      <c r="C538" s="79"/>
      <c r="D538" s="79"/>
      <c r="E538" s="79"/>
      <c r="M538" s="79"/>
      <c r="R538" s="79"/>
      <c r="S538" s="79"/>
      <c r="V538" s="79"/>
      <c r="W538" s="79"/>
      <c r="Z538" s="130"/>
      <c r="AB538" s="106"/>
    </row>
    <row r="539">
      <c r="C539" s="79"/>
      <c r="D539" s="79"/>
      <c r="E539" s="79"/>
      <c r="M539" s="79"/>
      <c r="R539" s="79"/>
      <c r="S539" s="79"/>
      <c r="V539" s="79"/>
      <c r="W539" s="79"/>
      <c r="Z539" s="130"/>
      <c r="AB539" s="106"/>
    </row>
    <row r="540">
      <c r="C540" s="79"/>
      <c r="D540" s="79"/>
      <c r="E540" s="79"/>
      <c r="M540" s="79"/>
      <c r="R540" s="79"/>
      <c r="S540" s="79"/>
      <c r="V540" s="79"/>
      <c r="W540" s="79"/>
      <c r="Z540" s="130"/>
      <c r="AB540" s="106"/>
    </row>
    <row r="541">
      <c r="C541" s="79"/>
      <c r="D541" s="79"/>
      <c r="E541" s="79"/>
      <c r="M541" s="79"/>
      <c r="R541" s="79"/>
      <c r="S541" s="79"/>
      <c r="V541" s="79"/>
      <c r="W541" s="79"/>
      <c r="Z541" s="130"/>
      <c r="AB541" s="106"/>
    </row>
    <row r="542">
      <c r="C542" s="79"/>
      <c r="D542" s="79"/>
      <c r="E542" s="79"/>
      <c r="M542" s="79"/>
      <c r="R542" s="79"/>
      <c r="S542" s="79"/>
      <c r="V542" s="79"/>
      <c r="W542" s="79"/>
      <c r="Z542" s="130"/>
      <c r="AB542" s="106"/>
    </row>
    <row r="543">
      <c r="C543" s="79"/>
      <c r="D543" s="79"/>
      <c r="E543" s="79"/>
      <c r="M543" s="79"/>
      <c r="R543" s="79"/>
      <c r="S543" s="79"/>
      <c r="V543" s="79"/>
      <c r="W543" s="79"/>
      <c r="Z543" s="130"/>
      <c r="AB543" s="106"/>
    </row>
    <row r="544">
      <c r="C544" s="79"/>
      <c r="D544" s="79"/>
      <c r="E544" s="79"/>
      <c r="M544" s="79"/>
      <c r="R544" s="79"/>
      <c r="S544" s="79"/>
      <c r="V544" s="79"/>
      <c r="W544" s="79"/>
      <c r="Z544" s="130"/>
      <c r="AB544" s="106"/>
    </row>
    <row r="545">
      <c r="C545" s="79"/>
      <c r="D545" s="79"/>
      <c r="E545" s="79"/>
      <c r="M545" s="79"/>
      <c r="R545" s="79"/>
      <c r="S545" s="79"/>
      <c r="V545" s="79"/>
      <c r="W545" s="79"/>
      <c r="Z545" s="130"/>
      <c r="AB545" s="106"/>
    </row>
    <row r="546">
      <c r="C546" s="79"/>
      <c r="D546" s="79"/>
      <c r="E546" s="79"/>
      <c r="M546" s="79"/>
      <c r="R546" s="79"/>
      <c r="S546" s="79"/>
      <c r="V546" s="79"/>
      <c r="W546" s="79"/>
      <c r="Z546" s="130"/>
      <c r="AB546" s="106"/>
    </row>
    <row r="547">
      <c r="C547" s="79"/>
      <c r="D547" s="79"/>
      <c r="E547" s="79"/>
      <c r="M547" s="79"/>
      <c r="R547" s="79"/>
      <c r="S547" s="79"/>
      <c r="V547" s="79"/>
      <c r="W547" s="79"/>
      <c r="Z547" s="130"/>
      <c r="AB547" s="106"/>
    </row>
    <row r="548">
      <c r="C548" s="79"/>
      <c r="D548" s="79"/>
      <c r="E548" s="79"/>
      <c r="M548" s="79"/>
      <c r="R548" s="79"/>
      <c r="S548" s="79"/>
      <c r="V548" s="79"/>
      <c r="W548" s="79"/>
      <c r="Z548" s="130"/>
      <c r="AB548" s="106"/>
    </row>
    <row r="549">
      <c r="C549" s="79"/>
      <c r="D549" s="79"/>
      <c r="E549" s="79"/>
      <c r="M549" s="79"/>
      <c r="R549" s="79"/>
      <c r="S549" s="79"/>
      <c r="V549" s="79"/>
      <c r="W549" s="79"/>
      <c r="Z549" s="130"/>
      <c r="AB549" s="106"/>
    </row>
    <row r="550">
      <c r="C550" s="79"/>
      <c r="D550" s="79"/>
      <c r="E550" s="79"/>
      <c r="M550" s="79"/>
      <c r="R550" s="79"/>
      <c r="S550" s="79"/>
      <c r="V550" s="79"/>
      <c r="W550" s="79"/>
      <c r="Z550" s="130"/>
      <c r="AB550" s="106"/>
    </row>
    <row r="551">
      <c r="C551" s="79"/>
      <c r="D551" s="79"/>
      <c r="E551" s="79"/>
      <c r="M551" s="79"/>
      <c r="R551" s="79"/>
      <c r="S551" s="79"/>
      <c r="V551" s="79"/>
      <c r="W551" s="79"/>
      <c r="Z551" s="130"/>
      <c r="AB551" s="106"/>
    </row>
    <row r="552">
      <c r="C552" s="79"/>
      <c r="D552" s="79"/>
      <c r="E552" s="79"/>
      <c r="M552" s="79"/>
      <c r="R552" s="79"/>
      <c r="S552" s="79"/>
      <c r="V552" s="79"/>
      <c r="W552" s="79"/>
      <c r="Z552" s="130"/>
      <c r="AB552" s="106"/>
    </row>
    <row r="553">
      <c r="C553" s="79"/>
      <c r="D553" s="79"/>
      <c r="E553" s="79"/>
      <c r="M553" s="79"/>
      <c r="R553" s="79"/>
      <c r="S553" s="79"/>
      <c r="V553" s="79"/>
      <c r="W553" s="79"/>
      <c r="Z553" s="130"/>
      <c r="AB553" s="106"/>
    </row>
    <row r="554">
      <c r="C554" s="79"/>
      <c r="D554" s="79"/>
      <c r="E554" s="79"/>
      <c r="M554" s="79"/>
      <c r="R554" s="79"/>
      <c r="S554" s="79"/>
      <c r="V554" s="79"/>
      <c r="W554" s="79"/>
      <c r="Z554" s="130"/>
      <c r="AB554" s="106"/>
    </row>
    <row r="555">
      <c r="C555" s="79"/>
      <c r="D555" s="79"/>
      <c r="E555" s="79"/>
      <c r="M555" s="79"/>
      <c r="R555" s="79"/>
      <c r="S555" s="79"/>
      <c r="V555" s="79"/>
      <c r="W555" s="79"/>
      <c r="Z555" s="130"/>
      <c r="AB555" s="106"/>
    </row>
    <row r="556">
      <c r="C556" s="79"/>
      <c r="D556" s="79"/>
      <c r="E556" s="79"/>
      <c r="M556" s="79"/>
      <c r="R556" s="79"/>
      <c r="S556" s="79"/>
      <c r="V556" s="79"/>
      <c r="W556" s="79"/>
      <c r="Z556" s="130"/>
      <c r="AB556" s="106"/>
    </row>
    <row r="557">
      <c r="C557" s="79"/>
      <c r="D557" s="79"/>
      <c r="E557" s="79"/>
      <c r="M557" s="79"/>
      <c r="R557" s="79"/>
      <c r="S557" s="79"/>
      <c r="V557" s="79"/>
      <c r="W557" s="79"/>
      <c r="Z557" s="130"/>
      <c r="AB557" s="106"/>
    </row>
    <row r="558">
      <c r="C558" s="79"/>
      <c r="D558" s="79"/>
      <c r="E558" s="79"/>
      <c r="M558" s="79"/>
      <c r="R558" s="79"/>
      <c r="S558" s="79"/>
      <c r="V558" s="79"/>
      <c r="W558" s="79"/>
      <c r="Z558" s="130"/>
      <c r="AB558" s="106"/>
    </row>
    <row r="559">
      <c r="C559" s="79"/>
      <c r="D559" s="79"/>
      <c r="E559" s="79"/>
      <c r="M559" s="79"/>
      <c r="R559" s="79"/>
      <c r="S559" s="79"/>
      <c r="V559" s="79"/>
      <c r="W559" s="79"/>
      <c r="Z559" s="130"/>
      <c r="AB559" s="106"/>
    </row>
    <row r="560">
      <c r="C560" s="79"/>
      <c r="D560" s="79"/>
      <c r="E560" s="79"/>
      <c r="M560" s="79"/>
      <c r="R560" s="79"/>
      <c r="S560" s="79"/>
      <c r="V560" s="79"/>
      <c r="W560" s="79"/>
      <c r="Z560" s="130"/>
      <c r="AB560" s="106"/>
    </row>
    <row r="561">
      <c r="C561" s="79"/>
      <c r="D561" s="79"/>
      <c r="E561" s="79"/>
      <c r="M561" s="79"/>
      <c r="R561" s="79"/>
      <c r="S561" s="79"/>
      <c r="V561" s="79"/>
      <c r="W561" s="79"/>
      <c r="Z561" s="130"/>
      <c r="AB561" s="106"/>
    </row>
    <row r="562">
      <c r="C562" s="79"/>
      <c r="D562" s="79"/>
      <c r="E562" s="79"/>
      <c r="M562" s="79"/>
      <c r="R562" s="79"/>
      <c r="S562" s="79"/>
      <c r="V562" s="79"/>
      <c r="W562" s="79"/>
      <c r="Z562" s="130"/>
      <c r="AB562" s="106"/>
    </row>
    <row r="563">
      <c r="C563" s="79"/>
      <c r="D563" s="79"/>
      <c r="E563" s="79"/>
      <c r="M563" s="79"/>
      <c r="R563" s="79"/>
      <c r="S563" s="79"/>
      <c r="V563" s="79"/>
      <c r="W563" s="79"/>
      <c r="Z563" s="130"/>
      <c r="AB563" s="106"/>
    </row>
    <row r="564">
      <c r="C564" s="79"/>
      <c r="D564" s="79"/>
      <c r="E564" s="79"/>
      <c r="M564" s="79"/>
      <c r="R564" s="79"/>
      <c r="S564" s="79"/>
      <c r="V564" s="79"/>
      <c r="W564" s="79"/>
      <c r="Z564" s="130"/>
      <c r="AB564" s="106"/>
    </row>
    <row r="565">
      <c r="C565" s="79"/>
      <c r="D565" s="79"/>
      <c r="E565" s="79"/>
      <c r="M565" s="79"/>
      <c r="R565" s="79"/>
      <c r="S565" s="79"/>
      <c r="V565" s="79"/>
      <c r="W565" s="79"/>
      <c r="Z565" s="130"/>
      <c r="AB565" s="106"/>
    </row>
    <row r="566">
      <c r="C566" s="79"/>
      <c r="D566" s="79"/>
      <c r="E566" s="79"/>
      <c r="M566" s="79"/>
      <c r="R566" s="79"/>
      <c r="S566" s="79"/>
      <c r="V566" s="79"/>
      <c r="W566" s="79"/>
      <c r="Z566" s="130"/>
      <c r="AB566" s="106"/>
    </row>
    <row r="567">
      <c r="C567" s="79"/>
      <c r="D567" s="79"/>
      <c r="E567" s="79"/>
      <c r="M567" s="79"/>
      <c r="R567" s="79"/>
      <c r="S567" s="79"/>
      <c r="V567" s="79"/>
      <c r="W567" s="79"/>
      <c r="Z567" s="130"/>
      <c r="AB567" s="106"/>
    </row>
    <row r="568">
      <c r="C568" s="79"/>
      <c r="D568" s="79"/>
      <c r="E568" s="79"/>
      <c r="M568" s="79"/>
      <c r="R568" s="79"/>
      <c r="S568" s="79"/>
      <c r="V568" s="79"/>
      <c r="W568" s="79"/>
      <c r="Z568" s="130"/>
      <c r="AB568" s="106"/>
    </row>
    <row r="569">
      <c r="C569" s="79"/>
      <c r="D569" s="79"/>
      <c r="E569" s="79"/>
      <c r="M569" s="79"/>
      <c r="R569" s="79"/>
      <c r="S569" s="79"/>
      <c r="V569" s="79"/>
      <c r="W569" s="79"/>
      <c r="Z569" s="130"/>
      <c r="AB569" s="106"/>
    </row>
    <row r="570">
      <c r="C570" s="79"/>
      <c r="D570" s="79"/>
      <c r="E570" s="79"/>
      <c r="M570" s="79"/>
      <c r="R570" s="79"/>
      <c r="S570" s="79"/>
      <c r="V570" s="79"/>
      <c r="W570" s="79"/>
      <c r="Z570" s="130"/>
      <c r="AB570" s="106"/>
    </row>
    <row r="571">
      <c r="C571" s="79"/>
      <c r="D571" s="79"/>
      <c r="E571" s="79"/>
      <c r="M571" s="79"/>
      <c r="R571" s="79"/>
      <c r="S571" s="79"/>
      <c r="V571" s="79"/>
      <c r="W571" s="79"/>
      <c r="Z571" s="130"/>
      <c r="AB571" s="106"/>
    </row>
    <row r="572">
      <c r="C572" s="79"/>
      <c r="D572" s="79"/>
      <c r="E572" s="79"/>
      <c r="M572" s="79"/>
      <c r="R572" s="79"/>
      <c r="S572" s="79"/>
      <c r="V572" s="79"/>
      <c r="W572" s="79"/>
      <c r="Z572" s="130"/>
      <c r="AB572" s="106"/>
    </row>
    <row r="573">
      <c r="C573" s="79"/>
      <c r="D573" s="79"/>
      <c r="E573" s="79"/>
      <c r="M573" s="79"/>
      <c r="R573" s="79"/>
      <c r="S573" s="79"/>
      <c r="V573" s="79"/>
      <c r="W573" s="79"/>
      <c r="Z573" s="130"/>
      <c r="AB573" s="106"/>
    </row>
    <row r="574">
      <c r="C574" s="79"/>
      <c r="D574" s="79"/>
      <c r="E574" s="79"/>
      <c r="M574" s="79"/>
      <c r="R574" s="79"/>
      <c r="S574" s="79"/>
      <c r="V574" s="79"/>
      <c r="W574" s="79"/>
      <c r="Z574" s="130"/>
      <c r="AB574" s="106"/>
    </row>
    <row r="575">
      <c r="C575" s="79"/>
      <c r="D575" s="79"/>
      <c r="E575" s="79"/>
      <c r="M575" s="79"/>
      <c r="R575" s="79"/>
      <c r="S575" s="79"/>
      <c r="V575" s="79"/>
      <c r="W575" s="79"/>
      <c r="Z575" s="130"/>
      <c r="AB575" s="106"/>
    </row>
    <row r="576">
      <c r="C576" s="79"/>
      <c r="D576" s="79"/>
      <c r="E576" s="79"/>
      <c r="M576" s="79"/>
      <c r="R576" s="79"/>
      <c r="S576" s="79"/>
      <c r="V576" s="79"/>
      <c r="W576" s="79"/>
      <c r="Z576" s="130"/>
      <c r="AB576" s="106"/>
    </row>
    <row r="577">
      <c r="C577" s="79"/>
      <c r="D577" s="79"/>
      <c r="E577" s="79"/>
      <c r="M577" s="79"/>
      <c r="R577" s="79"/>
      <c r="S577" s="79"/>
      <c r="V577" s="79"/>
      <c r="W577" s="79"/>
      <c r="Z577" s="130"/>
      <c r="AB577" s="106"/>
    </row>
    <row r="578">
      <c r="C578" s="79"/>
      <c r="D578" s="79"/>
      <c r="E578" s="79"/>
      <c r="M578" s="79"/>
      <c r="R578" s="79"/>
      <c r="S578" s="79"/>
      <c r="V578" s="79"/>
      <c r="W578" s="79"/>
      <c r="Z578" s="130"/>
      <c r="AB578" s="106"/>
    </row>
    <row r="579">
      <c r="C579" s="79"/>
      <c r="D579" s="79"/>
      <c r="E579" s="79"/>
      <c r="M579" s="79"/>
      <c r="R579" s="79"/>
      <c r="S579" s="79"/>
      <c r="V579" s="79"/>
      <c r="W579" s="79"/>
      <c r="Z579" s="130"/>
      <c r="AB579" s="106"/>
    </row>
    <row r="580">
      <c r="C580" s="79"/>
      <c r="D580" s="79"/>
      <c r="E580" s="79"/>
      <c r="M580" s="79"/>
      <c r="R580" s="79"/>
      <c r="S580" s="79"/>
      <c r="V580" s="79"/>
      <c r="W580" s="79"/>
      <c r="Z580" s="130"/>
      <c r="AB580" s="106"/>
    </row>
    <row r="581">
      <c r="C581" s="79"/>
      <c r="D581" s="79"/>
      <c r="E581" s="79"/>
      <c r="M581" s="79"/>
      <c r="R581" s="79"/>
      <c r="S581" s="79"/>
      <c r="V581" s="79"/>
      <c r="W581" s="79"/>
      <c r="Z581" s="130"/>
      <c r="AB581" s="106"/>
    </row>
    <row r="582">
      <c r="C582" s="79"/>
      <c r="D582" s="79"/>
      <c r="E582" s="79"/>
      <c r="M582" s="79"/>
      <c r="R582" s="79"/>
      <c r="S582" s="79"/>
      <c r="V582" s="79"/>
      <c r="W582" s="79"/>
      <c r="Z582" s="130"/>
      <c r="AB582" s="106"/>
    </row>
    <row r="583">
      <c r="C583" s="79"/>
      <c r="D583" s="79"/>
      <c r="E583" s="79"/>
      <c r="M583" s="79"/>
      <c r="R583" s="79"/>
      <c r="S583" s="79"/>
      <c r="V583" s="79"/>
      <c r="W583" s="79"/>
      <c r="Z583" s="130"/>
      <c r="AB583" s="106"/>
    </row>
    <row r="584">
      <c r="C584" s="79"/>
      <c r="D584" s="79"/>
      <c r="E584" s="79"/>
      <c r="M584" s="79"/>
      <c r="R584" s="79"/>
      <c r="S584" s="79"/>
      <c r="V584" s="79"/>
      <c r="W584" s="79"/>
      <c r="Z584" s="130"/>
      <c r="AB584" s="106"/>
    </row>
    <row r="585">
      <c r="C585" s="79"/>
      <c r="D585" s="79"/>
      <c r="E585" s="79"/>
      <c r="M585" s="79"/>
      <c r="R585" s="79"/>
      <c r="S585" s="79"/>
      <c r="V585" s="79"/>
      <c r="W585" s="79"/>
      <c r="Z585" s="130"/>
      <c r="AB585" s="106"/>
    </row>
    <row r="586">
      <c r="C586" s="79"/>
      <c r="D586" s="79"/>
      <c r="E586" s="79"/>
      <c r="M586" s="79"/>
      <c r="R586" s="79"/>
      <c r="S586" s="79"/>
      <c r="V586" s="79"/>
      <c r="W586" s="79"/>
      <c r="Z586" s="130"/>
      <c r="AB586" s="106"/>
    </row>
    <row r="587">
      <c r="C587" s="79"/>
      <c r="D587" s="79"/>
      <c r="E587" s="79"/>
      <c r="M587" s="79"/>
      <c r="R587" s="79"/>
      <c r="S587" s="79"/>
      <c r="V587" s="79"/>
      <c r="W587" s="79"/>
      <c r="Z587" s="130"/>
      <c r="AB587" s="106"/>
    </row>
    <row r="588">
      <c r="C588" s="79"/>
      <c r="D588" s="79"/>
      <c r="E588" s="79"/>
      <c r="M588" s="79"/>
      <c r="R588" s="79"/>
      <c r="S588" s="79"/>
      <c r="V588" s="79"/>
      <c r="W588" s="79"/>
      <c r="Z588" s="130"/>
      <c r="AB588" s="106"/>
    </row>
    <row r="589">
      <c r="C589" s="79"/>
      <c r="D589" s="79"/>
      <c r="E589" s="79"/>
      <c r="M589" s="79"/>
      <c r="R589" s="79"/>
      <c r="S589" s="79"/>
      <c r="V589" s="79"/>
      <c r="W589" s="79"/>
      <c r="Z589" s="130"/>
      <c r="AB589" s="106"/>
    </row>
    <row r="590">
      <c r="C590" s="79"/>
      <c r="D590" s="79"/>
      <c r="E590" s="79"/>
      <c r="M590" s="79"/>
      <c r="R590" s="79"/>
      <c r="S590" s="79"/>
      <c r="V590" s="79"/>
      <c r="W590" s="79"/>
      <c r="Z590" s="130"/>
      <c r="AB590" s="106"/>
    </row>
    <row r="591">
      <c r="C591" s="79"/>
      <c r="D591" s="79"/>
      <c r="E591" s="79"/>
      <c r="M591" s="79"/>
      <c r="R591" s="79"/>
      <c r="S591" s="79"/>
      <c r="V591" s="79"/>
      <c r="W591" s="79"/>
      <c r="Z591" s="130"/>
      <c r="AB591" s="106"/>
    </row>
    <row r="592">
      <c r="C592" s="79"/>
      <c r="D592" s="79"/>
      <c r="E592" s="79"/>
      <c r="M592" s="79"/>
      <c r="R592" s="79"/>
      <c r="S592" s="79"/>
      <c r="V592" s="79"/>
      <c r="W592" s="79"/>
      <c r="Z592" s="130"/>
      <c r="AB592" s="106"/>
    </row>
    <row r="593">
      <c r="C593" s="79"/>
      <c r="D593" s="79"/>
      <c r="E593" s="79"/>
      <c r="M593" s="79"/>
      <c r="R593" s="79"/>
      <c r="S593" s="79"/>
      <c r="V593" s="79"/>
      <c r="W593" s="79"/>
      <c r="Z593" s="130"/>
      <c r="AB593" s="106"/>
    </row>
    <row r="594">
      <c r="C594" s="79"/>
      <c r="D594" s="79"/>
      <c r="E594" s="79"/>
      <c r="M594" s="79"/>
      <c r="R594" s="79"/>
      <c r="S594" s="79"/>
      <c r="V594" s="79"/>
      <c r="W594" s="79"/>
      <c r="Z594" s="130"/>
      <c r="AB594" s="106"/>
    </row>
    <row r="595">
      <c r="C595" s="79"/>
      <c r="D595" s="79"/>
      <c r="E595" s="79"/>
      <c r="M595" s="79"/>
      <c r="R595" s="79"/>
      <c r="S595" s="79"/>
      <c r="V595" s="79"/>
      <c r="W595" s="79"/>
      <c r="Z595" s="130"/>
      <c r="AB595" s="106"/>
    </row>
    <row r="596">
      <c r="C596" s="79"/>
      <c r="D596" s="79"/>
      <c r="E596" s="79"/>
      <c r="M596" s="79"/>
      <c r="R596" s="79"/>
      <c r="S596" s="79"/>
      <c r="V596" s="79"/>
      <c r="W596" s="79"/>
      <c r="Z596" s="130"/>
      <c r="AB596" s="106"/>
    </row>
    <row r="597">
      <c r="C597" s="79"/>
      <c r="D597" s="79"/>
      <c r="E597" s="79"/>
      <c r="M597" s="79"/>
      <c r="R597" s="79"/>
      <c r="S597" s="79"/>
      <c r="V597" s="79"/>
      <c r="W597" s="79"/>
      <c r="Z597" s="130"/>
      <c r="AB597" s="106"/>
    </row>
    <row r="598">
      <c r="C598" s="79"/>
      <c r="D598" s="79"/>
      <c r="E598" s="79"/>
      <c r="M598" s="79"/>
      <c r="R598" s="79"/>
      <c r="S598" s="79"/>
      <c r="V598" s="79"/>
      <c r="W598" s="79"/>
      <c r="Z598" s="130"/>
      <c r="AB598" s="106"/>
    </row>
    <row r="599">
      <c r="C599" s="79"/>
      <c r="D599" s="79"/>
      <c r="E599" s="79"/>
      <c r="M599" s="79"/>
      <c r="R599" s="79"/>
      <c r="S599" s="79"/>
      <c r="V599" s="79"/>
      <c r="W599" s="79"/>
      <c r="Z599" s="130"/>
      <c r="AB599" s="106"/>
    </row>
    <row r="600">
      <c r="C600" s="79"/>
      <c r="D600" s="79"/>
      <c r="E600" s="79"/>
      <c r="M600" s="79"/>
      <c r="R600" s="79"/>
      <c r="S600" s="79"/>
      <c r="V600" s="79"/>
      <c r="W600" s="79"/>
      <c r="Z600" s="130"/>
      <c r="AB600" s="106"/>
    </row>
    <row r="601">
      <c r="C601" s="79"/>
      <c r="D601" s="79"/>
      <c r="E601" s="79"/>
      <c r="M601" s="79"/>
      <c r="R601" s="79"/>
      <c r="S601" s="79"/>
      <c r="V601" s="79"/>
      <c r="W601" s="79"/>
      <c r="Z601" s="130"/>
      <c r="AB601" s="106"/>
    </row>
    <row r="602">
      <c r="C602" s="79"/>
      <c r="D602" s="79"/>
      <c r="E602" s="79"/>
      <c r="M602" s="79"/>
      <c r="R602" s="79"/>
      <c r="S602" s="79"/>
      <c r="V602" s="79"/>
      <c r="W602" s="79"/>
      <c r="Z602" s="130"/>
      <c r="AB602" s="106"/>
    </row>
    <row r="603">
      <c r="C603" s="79"/>
      <c r="D603" s="79"/>
      <c r="E603" s="79"/>
      <c r="M603" s="79"/>
      <c r="R603" s="79"/>
      <c r="S603" s="79"/>
      <c r="V603" s="79"/>
      <c r="W603" s="79"/>
      <c r="Z603" s="130"/>
      <c r="AB603" s="106"/>
    </row>
    <row r="604">
      <c r="C604" s="79"/>
      <c r="D604" s="79"/>
      <c r="E604" s="79"/>
      <c r="M604" s="79"/>
      <c r="R604" s="79"/>
      <c r="S604" s="79"/>
      <c r="V604" s="79"/>
      <c r="W604" s="79"/>
      <c r="Z604" s="130"/>
      <c r="AB604" s="106"/>
    </row>
    <row r="605">
      <c r="C605" s="79"/>
      <c r="D605" s="79"/>
      <c r="E605" s="79"/>
      <c r="M605" s="79"/>
      <c r="R605" s="79"/>
      <c r="S605" s="79"/>
      <c r="V605" s="79"/>
      <c r="W605" s="79"/>
      <c r="Z605" s="130"/>
      <c r="AB605" s="106"/>
    </row>
    <row r="606">
      <c r="C606" s="79"/>
      <c r="D606" s="79"/>
      <c r="E606" s="79"/>
      <c r="M606" s="79"/>
      <c r="R606" s="79"/>
      <c r="S606" s="79"/>
      <c r="V606" s="79"/>
      <c r="W606" s="79"/>
      <c r="Z606" s="130"/>
      <c r="AB606" s="106"/>
    </row>
    <row r="607">
      <c r="C607" s="79"/>
      <c r="D607" s="79"/>
      <c r="E607" s="79"/>
      <c r="M607" s="79"/>
      <c r="R607" s="79"/>
      <c r="S607" s="79"/>
      <c r="V607" s="79"/>
      <c r="W607" s="79"/>
      <c r="Z607" s="130"/>
      <c r="AB607" s="106"/>
    </row>
    <row r="608">
      <c r="C608" s="79"/>
      <c r="D608" s="79"/>
      <c r="E608" s="79"/>
      <c r="M608" s="79"/>
      <c r="R608" s="79"/>
      <c r="S608" s="79"/>
      <c r="V608" s="79"/>
      <c r="W608" s="79"/>
      <c r="Z608" s="130"/>
      <c r="AB608" s="106"/>
    </row>
    <row r="609">
      <c r="C609" s="79"/>
      <c r="D609" s="79"/>
      <c r="E609" s="79"/>
      <c r="M609" s="79"/>
      <c r="R609" s="79"/>
      <c r="S609" s="79"/>
      <c r="V609" s="79"/>
      <c r="W609" s="79"/>
      <c r="Z609" s="130"/>
      <c r="AB609" s="106"/>
    </row>
    <row r="610">
      <c r="C610" s="79"/>
      <c r="D610" s="79"/>
      <c r="E610" s="79"/>
      <c r="M610" s="79"/>
      <c r="R610" s="79"/>
      <c r="S610" s="79"/>
      <c r="V610" s="79"/>
      <c r="W610" s="79"/>
      <c r="Z610" s="130"/>
      <c r="AB610" s="106"/>
    </row>
    <row r="611">
      <c r="C611" s="79"/>
      <c r="D611" s="79"/>
      <c r="E611" s="79"/>
      <c r="M611" s="79"/>
      <c r="R611" s="79"/>
      <c r="S611" s="79"/>
      <c r="V611" s="79"/>
      <c r="W611" s="79"/>
      <c r="Z611" s="130"/>
      <c r="AB611" s="106"/>
    </row>
    <row r="612">
      <c r="C612" s="79"/>
      <c r="D612" s="79"/>
      <c r="E612" s="79"/>
      <c r="M612" s="79"/>
      <c r="R612" s="79"/>
      <c r="S612" s="79"/>
      <c r="V612" s="79"/>
      <c r="W612" s="79"/>
      <c r="Z612" s="130"/>
      <c r="AB612" s="106"/>
    </row>
    <row r="613">
      <c r="C613" s="79"/>
      <c r="D613" s="79"/>
      <c r="E613" s="79"/>
      <c r="M613" s="79"/>
      <c r="R613" s="79"/>
      <c r="S613" s="79"/>
      <c r="V613" s="79"/>
      <c r="W613" s="79"/>
      <c r="Z613" s="130"/>
      <c r="AB613" s="106"/>
    </row>
    <row r="614">
      <c r="C614" s="79"/>
      <c r="D614" s="79"/>
      <c r="E614" s="79"/>
      <c r="M614" s="79"/>
      <c r="R614" s="79"/>
      <c r="S614" s="79"/>
      <c r="V614" s="79"/>
      <c r="W614" s="79"/>
      <c r="Z614" s="130"/>
      <c r="AB614" s="106"/>
    </row>
    <row r="615">
      <c r="C615" s="79"/>
      <c r="D615" s="79"/>
      <c r="E615" s="79"/>
      <c r="M615" s="79"/>
      <c r="R615" s="79"/>
      <c r="S615" s="79"/>
      <c r="V615" s="79"/>
      <c r="W615" s="79"/>
      <c r="Z615" s="130"/>
      <c r="AB615" s="106"/>
    </row>
    <row r="616">
      <c r="C616" s="79"/>
      <c r="D616" s="79"/>
      <c r="E616" s="79"/>
      <c r="M616" s="79"/>
      <c r="R616" s="79"/>
      <c r="S616" s="79"/>
      <c r="V616" s="79"/>
      <c r="W616" s="79"/>
      <c r="Z616" s="130"/>
      <c r="AB616" s="106"/>
    </row>
    <row r="617">
      <c r="C617" s="79"/>
      <c r="D617" s="79"/>
      <c r="E617" s="79"/>
      <c r="M617" s="79"/>
      <c r="R617" s="79"/>
      <c r="S617" s="79"/>
      <c r="V617" s="79"/>
      <c r="W617" s="79"/>
      <c r="Z617" s="130"/>
      <c r="AB617" s="106"/>
    </row>
    <row r="618">
      <c r="C618" s="79"/>
      <c r="D618" s="79"/>
      <c r="E618" s="79"/>
      <c r="M618" s="79"/>
      <c r="R618" s="79"/>
      <c r="S618" s="79"/>
      <c r="V618" s="79"/>
      <c r="W618" s="79"/>
      <c r="Z618" s="130"/>
      <c r="AB618" s="106"/>
    </row>
    <row r="619">
      <c r="C619" s="79"/>
      <c r="D619" s="79"/>
      <c r="E619" s="79"/>
      <c r="M619" s="79"/>
      <c r="R619" s="79"/>
      <c r="S619" s="79"/>
      <c r="V619" s="79"/>
      <c r="W619" s="79"/>
      <c r="Z619" s="130"/>
      <c r="AB619" s="106"/>
    </row>
    <row r="620">
      <c r="C620" s="79"/>
      <c r="D620" s="79"/>
      <c r="E620" s="79"/>
      <c r="M620" s="79"/>
      <c r="R620" s="79"/>
      <c r="S620" s="79"/>
      <c r="V620" s="79"/>
      <c r="W620" s="79"/>
      <c r="Z620" s="130"/>
      <c r="AB620" s="106"/>
    </row>
    <row r="621">
      <c r="C621" s="79"/>
      <c r="D621" s="79"/>
      <c r="E621" s="79"/>
      <c r="M621" s="79"/>
      <c r="R621" s="79"/>
      <c r="S621" s="79"/>
      <c r="V621" s="79"/>
      <c r="W621" s="79"/>
      <c r="Z621" s="130"/>
      <c r="AB621" s="106"/>
    </row>
    <row r="622">
      <c r="C622" s="79"/>
      <c r="D622" s="79"/>
      <c r="E622" s="79"/>
      <c r="M622" s="79"/>
      <c r="R622" s="79"/>
      <c r="S622" s="79"/>
      <c r="V622" s="79"/>
      <c r="W622" s="79"/>
      <c r="Z622" s="130"/>
      <c r="AB622" s="106"/>
    </row>
    <row r="623">
      <c r="C623" s="79"/>
      <c r="D623" s="79"/>
      <c r="E623" s="79"/>
      <c r="M623" s="79"/>
      <c r="R623" s="79"/>
      <c r="S623" s="79"/>
      <c r="V623" s="79"/>
      <c r="W623" s="79"/>
      <c r="Z623" s="130"/>
      <c r="AB623" s="106"/>
    </row>
    <row r="624">
      <c r="C624" s="79"/>
      <c r="D624" s="79"/>
      <c r="E624" s="79"/>
      <c r="M624" s="79"/>
      <c r="R624" s="79"/>
      <c r="S624" s="79"/>
      <c r="V624" s="79"/>
      <c r="W624" s="79"/>
      <c r="Z624" s="130"/>
      <c r="AB624" s="106"/>
    </row>
    <row r="625">
      <c r="C625" s="79"/>
      <c r="D625" s="79"/>
      <c r="E625" s="79"/>
      <c r="M625" s="79"/>
      <c r="R625" s="79"/>
      <c r="S625" s="79"/>
      <c r="V625" s="79"/>
      <c r="W625" s="79"/>
      <c r="Z625" s="130"/>
      <c r="AB625" s="106"/>
    </row>
    <row r="626">
      <c r="C626" s="79"/>
      <c r="D626" s="79"/>
      <c r="E626" s="79"/>
      <c r="M626" s="79"/>
      <c r="R626" s="79"/>
      <c r="S626" s="79"/>
      <c r="V626" s="79"/>
      <c r="W626" s="79"/>
      <c r="Z626" s="130"/>
      <c r="AB626" s="106"/>
    </row>
    <row r="627">
      <c r="C627" s="79"/>
      <c r="D627" s="79"/>
      <c r="E627" s="79"/>
      <c r="M627" s="79"/>
      <c r="R627" s="79"/>
      <c r="S627" s="79"/>
      <c r="V627" s="79"/>
      <c r="W627" s="79"/>
      <c r="Z627" s="130"/>
      <c r="AB627" s="106"/>
    </row>
    <row r="628">
      <c r="C628" s="79"/>
      <c r="D628" s="79"/>
      <c r="E628" s="79"/>
      <c r="M628" s="79"/>
      <c r="R628" s="79"/>
      <c r="S628" s="79"/>
      <c r="V628" s="79"/>
      <c r="W628" s="79"/>
      <c r="Z628" s="130"/>
      <c r="AB628" s="106"/>
    </row>
    <row r="629">
      <c r="C629" s="79"/>
      <c r="D629" s="79"/>
      <c r="E629" s="79"/>
      <c r="M629" s="79"/>
      <c r="R629" s="79"/>
      <c r="S629" s="79"/>
      <c r="V629" s="79"/>
      <c r="W629" s="79"/>
      <c r="Z629" s="130"/>
      <c r="AB629" s="106"/>
    </row>
    <row r="630">
      <c r="C630" s="79"/>
      <c r="D630" s="79"/>
      <c r="E630" s="79"/>
      <c r="M630" s="79"/>
      <c r="R630" s="79"/>
      <c r="S630" s="79"/>
      <c r="V630" s="79"/>
      <c r="W630" s="79"/>
      <c r="Z630" s="130"/>
      <c r="AB630" s="106"/>
    </row>
    <row r="631">
      <c r="C631" s="79"/>
      <c r="D631" s="79"/>
      <c r="E631" s="79"/>
      <c r="M631" s="79"/>
      <c r="R631" s="79"/>
      <c r="S631" s="79"/>
      <c r="V631" s="79"/>
      <c r="W631" s="79"/>
      <c r="Z631" s="130"/>
      <c r="AB631" s="106"/>
    </row>
    <row r="632">
      <c r="C632" s="79"/>
      <c r="D632" s="79"/>
      <c r="E632" s="79"/>
      <c r="M632" s="79"/>
      <c r="R632" s="79"/>
      <c r="S632" s="79"/>
      <c r="V632" s="79"/>
      <c r="W632" s="79"/>
      <c r="Z632" s="130"/>
      <c r="AB632" s="106"/>
    </row>
    <row r="633">
      <c r="C633" s="79"/>
      <c r="D633" s="79"/>
      <c r="E633" s="79"/>
      <c r="M633" s="79"/>
      <c r="R633" s="79"/>
      <c r="S633" s="79"/>
      <c r="V633" s="79"/>
      <c r="W633" s="79"/>
      <c r="Z633" s="130"/>
      <c r="AB633" s="106"/>
    </row>
    <row r="634">
      <c r="C634" s="79"/>
      <c r="D634" s="79"/>
      <c r="E634" s="79"/>
      <c r="M634" s="79"/>
      <c r="R634" s="79"/>
      <c r="S634" s="79"/>
      <c r="V634" s="79"/>
      <c r="W634" s="79"/>
      <c r="Z634" s="130"/>
      <c r="AB634" s="106"/>
    </row>
    <row r="635">
      <c r="C635" s="79"/>
      <c r="D635" s="79"/>
      <c r="E635" s="79"/>
      <c r="M635" s="79"/>
      <c r="R635" s="79"/>
      <c r="S635" s="79"/>
      <c r="V635" s="79"/>
      <c r="W635" s="79"/>
      <c r="Z635" s="130"/>
      <c r="AB635" s="106"/>
    </row>
    <row r="636">
      <c r="C636" s="79"/>
      <c r="D636" s="79"/>
      <c r="E636" s="79"/>
      <c r="M636" s="79"/>
      <c r="R636" s="79"/>
      <c r="S636" s="79"/>
      <c r="V636" s="79"/>
      <c r="W636" s="79"/>
      <c r="Z636" s="130"/>
      <c r="AB636" s="106"/>
    </row>
    <row r="637">
      <c r="C637" s="79"/>
      <c r="D637" s="79"/>
      <c r="E637" s="79"/>
      <c r="M637" s="79"/>
      <c r="R637" s="79"/>
      <c r="S637" s="79"/>
      <c r="V637" s="79"/>
      <c r="W637" s="79"/>
      <c r="Z637" s="130"/>
      <c r="AB637" s="106"/>
    </row>
    <row r="638">
      <c r="C638" s="79"/>
      <c r="D638" s="79"/>
      <c r="E638" s="79"/>
      <c r="M638" s="79"/>
      <c r="R638" s="79"/>
      <c r="S638" s="79"/>
      <c r="V638" s="79"/>
      <c r="W638" s="79"/>
      <c r="Z638" s="130"/>
      <c r="AB638" s="106"/>
    </row>
    <row r="639">
      <c r="C639" s="79"/>
      <c r="D639" s="79"/>
      <c r="E639" s="79"/>
      <c r="M639" s="79"/>
      <c r="R639" s="79"/>
      <c r="S639" s="79"/>
      <c r="V639" s="79"/>
      <c r="W639" s="79"/>
      <c r="Z639" s="130"/>
      <c r="AB639" s="106"/>
    </row>
    <row r="640">
      <c r="C640" s="79"/>
      <c r="D640" s="79"/>
      <c r="E640" s="79"/>
      <c r="M640" s="79"/>
      <c r="R640" s="79"/>
      <c r="S640" s="79"/>
      <c r="V640" s="79"/>
      <c r="W640" s="79"/>
      <c r="Z640" s="130"/>
      <c r="AB640" s="106"/>
    </row>
    <row r="641">
      <c r="C641" s="79"/>
      <c r="D641" s="79"/>
      <c r="E641" s="79"/>
      <c r="M641" s="79"/>
      <c r="R641" s="79"/>
      <c r="S641" s="79"/>
      <c r="V641" s="79"/>
      <c r="W641" s="79"/>
      <c r="Z641" s="130"/>
      <c r="AB641" s="106"/>
    </row>
    <row r="642">
      <c r="C642" s="79"/>
      <c r="D642" s="79"/>
      <c r="E642" s="79"/>
      <c r="M642" s="79"/>
      <c r="R642" s="79"/>
      <c r="S642" s="79"/>
      <c r="V642" s="79"/>
      <c r="W642" s="79"/>
      <c r="Z642" s="130"/>
      <c r="AB642" s="106"/>
    </row>
    <row r="643">
      <c r="C643" s="79"/>
      <c r="D643" s="79"/>
      <c r="E643" s="79"/>
      <c r="M643" s="79"/>
      <c r="R643" s="79"/>
      <c r="S643" s="79"/>
      <c r="V643" s="79"/>
      <c r="W643" s="79"/>
      <c r="Z643" s="130"/>
      <c r="AB643" s="106"/>
    </row>
    <row r="644">
      <c r="C644" s="79"/>
      <c r="D644" s="79"/>
      <c r="E644" s="79"/>
      <c r="M644" s="79"/>
      <c r="R644" s="79"/>
      <c r="S644" s="79"/>
      <c r="V644" s="79"/>
      <c r="W644" s="79"/>
      <c r="Z644" s="130"/>
      <c r="AB644" s="106"/>
    </row>
    <row r="645">
      <c r="C645" s="79"/>
      <c r="D645" s="79"/>
      <c r="E645" s="79"/>
      <c r="M645" s="79"/>
      <c r="R645" s="79"/>
      <c r="S645" s="79"/>
      <c r="V645" s="79"/>
      <c r="W645" s="79"/>
      <c r="Z645" s="130"/>
      <c r="AB645" s="106"/>
    </row>
    <row r="646">
      <c r="C646" s="79"/>
      <c r="D646" s="79"/>
      <c r="E646" s="79"/>
      <c r="M646" s="79"/>
      <c r="R646" s="79"/>
      <c r="S646" s="79"/>
      <c r="V646" s="79"/>
      <c r="W646" s="79"/>
      <c r="Z646" s="130"/>
      <c r="AB646" s="106"/>
    </row>
    <row r="647">
      <c r="C647" s="79"/>
      <c r="D647" s="79"/>
      <c r="E647" s="79"/>
      <c r="M647" s="79"/>
      <c r="R647" s="79"/>
      <c r="S647" s="79"/>
      <c r="V647" s="79"/>
      <c r="W647" s="79"/>
      <c r="Z647" s="130"/>
      <c r="AB647" s="106"/>
    </row>
    <row r="648">
      <c r="C648" s="79"/>
      <c r="D648" s="79"/>
      <c r="E648" s="79"/>
      <c r="M648" s="79"/>
      <c r="R648" s="79"/>
      <c r="S648" s="79"/>
      <c r="V648" s="79"/>
      <c r="W648" s="79"/>
      <c r="Z648" s="130"/>
      <c r="AB648" s="106"/>
    </row>
    <row r="649">
      <c r="C649" s="79"/>
      <c r="D649" s="79"/>
      <c r="E649" s="79"/>
      <c r="M649" s="79"/>
      <c r="R649" s="79"/>
      <c r="S649" s="79"/>
      <c r="V649" s="79"/>
      <c r="W649" s="79"/>
      <c r="Z649" s="130"/>
      <c r="AB649" s="106"/>
    </row>
    <row r="650">
      <c r="C650" s="79"/>
      <c r="D650" s="79"/>
      <c r="E650" s="79"/>
      <c r="M650" s="79"/>
      <c r="R650" s="79"/>
      <c r="S650" s="79"/>
      <c r="V650" s="79"/>
      <c r="W650" s="79"/>
      <c r="Z650" s="130"/>
      <c r="AB650" s="106"/>
    </row>
    <row r="651">
      <c r="C651" s="79"/>
      <c r="D651" s="79"/>
      <c r="E651" s="79"/>
      <c r="M651" s="79"/>
      <c r="R651" s="79"/>
      <c r="S651" s="79"/>
      <c r="V651" s="79"/>
      <c r="W651" s="79"/>
      <c r="Z651" s="130"/>
      <c r="AB651" s="106"/>
    </row>
    <row r="652">
      <c r="C652" s="79"/>
      <c r="D652" s="79"/>
      <c r="E652" s="79"/>
      <c r="M652" s="79"/>
      <c r="R652" s="79"/>
      <c r="S652" s="79"/>
      <c r="V652" s="79"/>
      <c r="W652" s="79"/>
      <c r="Z652" s="130"/>
      <c r="AB652" s="106"/>
    </row>
    <row r="653">
      <c r="C653" s="79"/>
      <c r="D653" s="79"/>
      <c r="E653" s="79"/>
      <c r="M653" s="79"/>
      <c r="R653" s="79"/>
      <c r="S653" s="79"/>
      <c r="V653" s="79"/>
      <c r="W653" s="79"/>
      <c r="Z653" s="130"/>
      <c r="AB653" s="106"/>
    </row>
    <row r="654">
      <c r="C654" s="79"/>
      <c r="D654" s="79"/>
      <c r="E654" s="79"/>
      <c r="M654" s="79"/>
      <c r="R654" s="79"/>
      <c r="S654" s="79"/>
      <c r="V654" s="79"/>
      <c r="W654" s="79"/>
      <c r="Z654" s="130"/>
      <c r="AB654" s="106"/>
    </row>
    <row r="655">
      <c r="C655" s="79"/>
      <c r="D655" s="79"/>
      <c r="E655" s="79"/>
      <c r="M655" s="79"/>
      <c r="R655" s="79"/>
      <c r="S655" s="79"/>
      <c r="V655" s="79"/>
      <c r="W655" s="79"/>
      <c r="Z655" s="130"/>
      <c r="AB655" s="106"/>
    </row>
    <row r="656">
      <c r="C656" s="79"/>
      <c r="D656" s="79"/>
      <c r="E656" s="79"/>
      <c r="M656" s="79"/>
      <c r="R656" s="79"/>
      <c r="S656" s="79"/>
      <c r="V656" s="79"/>
      <c r="W656" s="79"/>
      <c r="Z656" s="130"/>
      <c r="AB656" s="106"/>
    </row>
    <row r="657">
      <c r="C657" s="79"/>
      <c r="D657" s="79"/>
      <c r="E657" s="79"/>
      <c r="M657" s="79"/>
      <c r="R657" s="79"/>
      <c r="S657" s="79"/>
      <c r="V657" s="79"/>
      <c r="W657" s="79"/>
      <c r="Z657" s="130"/>
      <c r="AB657" s="106"/>
    </row>
    <row r="658">
      <c r="C658" s="79"/>
      <c r="D658" s="79"/>
      <c r="E658" s="79"/>
      <c r="M658" s="79"/>
      <c r="R658" s="79"/>
      <c r="S658" s="79"/>
      <c r="V658" s="79"/>
      <c r="W658" s="79"/>
      <c r="Z658" s="130"/>
      <c r="AB658" s="106"/>
    </row>
    <row r="659">
      <c r="C659" s="79"/>
      <c r="D659" s="79"/>
      <c r="E659" s="79"/>
      <c r="M659" s="79"/>
      <c r="R659" s="79"/>
      <c r="S659" s="79"/>
      <c r="V659" s="79"/>
      <c r="W659" s="79"/>
      <c r="Z659" s="130"/>
      <c r="AB659" s="106"/>
    </row>
    <row r="660">
      <c r="C660" s="79"/>
      <c r="D660" s="79"/>
      <c r="E660" s="79"/>
      <c r="M660" s="79"/>
      <c r="R660" s="79"/>
      <c r="S660" s="79"/>
      <c r="V660" s="79"/>
      <c r="W660" s="79"/>
      <c r="Z660" s="130"/>
      <c r="AB660" s="106"/>
    </row>
    <row r="661">
      <c r="C661" s="79"/>
      <c r="D661" s="79"/>
      <c r="E661" s="79"/>
      <c r="M661" s="79"/>
      <c r="R661" s="79"/>
      <c r="S661" s="79"/>
      <c r="V661" s="79"/>
      <c r="W661" s="79"/>
      <c r="Z661" s="130"/>
      <c r="AB661" s="106"/>
    </row>
    <row r="662">
      <c r="C662" s="79"/>
      <c r="D662" s="79"/>
      <c r="E662" s="79"/>
      <c r="M662" s="79"/>
      <c r="R662" s="79"/>
      <c r="S662" s="79"/>
      <c r="V662" s="79"/>
      <c r="W662" s="79"/>
      <c r="Z662" s="130"/>
      <c r="AB662" s="106"/>
    </row>
    <row r="663">
      <c r="C663" s="79"/>
      <c r="D663" s="79"/>
      <c r="E663" s="79"/>
      <c r="M663" s="79"/>
      <c r="R663" s="79"/>
      <c r="S663" s="79"/>
      <c r="V663" s="79"/>
      <c r="W663" s="79"/>
      <c r="Z663" s="130"/>
      <c r="AB663" s="106"/>
    </row>
    <row r="664">
      <c r="C664" s="79"/>
      <c r="D664" s="79"/>
      <c r="E664" s="79"/>
      <c r="M664" s="79"/>
      <c r="R664" s="79"/>
      <c r="S664" s="79"/>
      <c r="V664" s="79"/>
      <c r="W664" s="79"/>
      <c r="Z664" s="130"/>
      <c r="AB664" s="106"/>
    </row>
    <row r="665">
      <c r="C665" s="79"/>
      <c r="D665" s="79"/>
      <c r="E665" s="79"/>
      <c r="M665" s="79"/>
      <c r="R665" s="79"/>
      <c r="S665" s="79"/>
      <c r="V665" s="79"/>
      <c r="W665" s="79"/>
      <c r="Z665" s="130"/>
      <c r="AB665" s="106"/>
    </row>
    <row r="666">
      <c r="C666" s="79"/>
      <c r="D666" s="79"/>
      <c r="E666" s="79"/>
      <c r="M666" s="79"/>
      <c r="R666" s="79"/>
      <c r="S666" s="79"/>
      <c r="V666" s="79"/>
      <c r="W666" s="79"/>
      <c r="Z666" s="130"/>
      <c r="AB666" s="106"/>
    </row>
    <row r="667">
      <c r="C667" s="79"/>
      <c r="D667" s="79"/>
      <c r="E667" s="79"/>
      <c r="M667" s="79"/>
      <c r="R667" s="79"/>
      <c r="S667" s="79"/>
      <c r="V667" s="79"/>
      <c r="W667" s="79"/>
      <c r="Z667" s="130"/>
      <c r="AB667" s="106"/>
    </row>
    <row r="668">
      <c r="C668" s="79"/>
      <c r="D668" s="79"/>
      <c r="E668" s="79"/>
      <c r="M668" s="79"/>
      <c r="R668" s="79"/>
      <c r="S668" s="79"/>
      <c r="V668" s="79"/>
      <c r="W668" s="79"/>
      <c r="Z668" s="130"/>
      <c r="AB668" s="106"/>
    </row>
    <row r="669">
      <c r="C669" s="79"/>
      <c r="D669" s="79"/>
      <c r="E669" s="79"/>
      <c r="M669" s="79"/>
      <c r="R669" s="79"/>
      <c r="S669" s="79"/>
      <c r="V669" s="79"/>
      <c r="W669" s="79"/>
      <c r="Z669" s="130"/>
      <c r="AB669" s="106"/>
    </row>
    <row r="670">
      <c r="C670" s="79"/>
      <c r="D670" s="79"/>
      <c r="E670" s="79"/>
      <c r="M670" s="79"/>
      <c r="R670" s="79"/>
      <c r="S670" s="79"/>
      <c r="V670" s="79"/>
      <c r="W670" s="79"/>
      <c r="Z670" s="130"/>
      <c r="AB670" s="106"/>
    </row>
    <row r="671">
      <c r="C671" s="79"/>
      <c r="D671" s="79"/>
      <c r="E671" s="79"/>
      <c r="M671" s="79"/>
      <c r="R671" s="79"/>
      <c r="S671" s="79"/>
      <c r="V671" s="79"/>
      <c r="W671" s="79"/>
      <c r="Z671" s="130"/>
      <c r="AB671" s="106"/>
    </row>
    <row r="672">
      <c r="C672" s="79"/>
      <c r="D672" s="79"/>
      <c r="E672" s="79"/>
      <c r="M672" s="79"/>
      <c r="R672" s="79"/>
      <c r="S672" s="79"/>
      <c r="V672" s="79"/>
      <c r="W672" s="79"/>
      <c r="Z672" s="130"/>
      <c r="AB672" s="106"/>
    </row>
    <row r="673">
      <c r="C673" s="79"/>
      <c r="D673" s="79"/>
      <c r="E673" s="79"/>
      <c r="M673" s="79"/>
      <c r="R673" s="79"/>
      <c r="S673" s="79"/>
      <c r="V673" s="79"/>
      <c r="W673" s="79"/>
      <c r="Z673" s="130"/>
      <c r="AB673" s="106"/>
    </row>
    <row r="674">
      <c r="C674" s="79"/>
      <c r="D674" s="79"/>
      <c r="E674" s="79"/>
      <c r="M674" s="79"/>
      <c r="R674" s="79"/>
      <c r="S674" s="79"/>
      <c r="V674" s="79"/>
      <c r="W674" s="79"/>
      <c r="Z674" s="130"/>
      <c r="AB674" s="106"/>
    </row>
    <row r="675">
      <c r="C675" s="79"/>
      <c r="D675" s="79"/>
      <c r="E675" s="79"/>
      <c r="M675" s="79"/>
      <c r="R675" s="79"/>
      <c r="S675" s="79"/>
      <c r="V675" s="79"/>
      <c r="W675" s="79"/>
      <c r="Z675" s="130"/>
      <c r="AB675" s="106"/>
    </row>
    <row r="676">
      <c r="C676" s="79"/>
      <c r="D676" s="79"/>
      <c r="E676" s="79"/>
      <c r="M676" s="79"/>
      <c r="R676" s="79"/>
      <c r="S676" s="79"/>
      <c r="V676" s="79"/>
      <c r="W676" s="79"/>
      <c r="Z676" s="130"/>
      <c r="AB676" s="106"/>
    </row>
    <row r="677">
      <c r="C677" s="79"/>
      <c r="D677" s="79"/>
      <c r="E677" s="79"/>
      <c r="M677" s="79"/>
      <c r="R677" s="79"/>
      <c r="S677" s="79"/>
      <c r="V677" s="79"/>
      <c r="W677" s="79"/>
      <c r="Z677" s="130"/>
      <c r="AB677" s="106"/>
    </row>
    <row r="678">
      <c r="C678" s="79"/>
      <c r="D678" s="79"/>
      <c r="E678" s="79"/>
      <c r="M678" s="79"/>
      <c r="R678" s="79"/>
      <c r="S678" s="79"/>
      <c r="V678" s="79"/>
      <c r="W678" s="79"/>
      <c r="Z678" s="130"/>
      <c r="AB678" s="106"/>
    </row>
    <row r="679">
      <c r="C679" s="79"/>
      <c r="D679" s="79"/>
      <c r="E679" s="79"/>
      <c r="M679" s="79"/>
      <c r="R679" s="79"/>
      <c r="S679" s="79"/>
      <c r="V679" s="79"/>
      <c r="W679" s="79"/>
      <c r="Z679" s="130"/>
      <c r="AB679" s="106"/>
    </row>
    <row r="680">
      <c r="C680" s="79"/>
      <c r="D680" s="79"/>
      <c r="E680" s="79"/>
      <c r="M680" s="79"/>
      <c r="R680" s="79"/>
      <c r="S680" s="79"/>
      <c r="V680" s="79"/>
      <c r="W680" s="79"/>
      <c r="Z680" s="130"/>
      <c r="AB680" s="106"/>
    </row>
    <row r="681">
      <c r="C681" s="79"/>
      <c r="D681" s="79"/>
      <c r="E681" s="79"/>
      <c r="M681" s="79"/>
      <c r="R681" s="79"/>
      <c r="S681" s="79"/>
      <c r="V681" s="79"/>
      <c r="W681" s="79"/>
      <c r="Z681" s="130"/>
      <c r="AB681" s="106"/>
    </row>
    <row r="682">
      <c r="C682" s="79"/>
      <c r="D682" s="79"/>
      <c r="E682" s="79"/>
      <c r="M682" s="79"/>
      <c r="R682" s="79"/>
      <c r="S682" s="79"/>
      <c r="V682" s="79"/>
      <c r="W682" s="79"/>
      <c r="Z682" s="130"/>
      <c r="AB682" s="106"/>
    </row>
    <row r="683">
      <c r="C683" s="79"/>
      <c r="D683" s="79"/>
      <c r="E683" s="79"/>
      <c r="M683" s="79"/>
      <c r="R683" s="79"/>
      <c r="S683" s="79"/>
      <c r="V683" s="79"/>
      <c r="W683" s="79"/>
      <c r="Z683" s="130"/>
      <c r="AB683" s="106"/>
    </row>
    <row r="684">
      <c r="C684" s="79"/>
      <c r="D684" s="79"/>
      <c r="E684" s="79"/>
      <c r="M684" s="79"/>
      <c r="R684" s="79"/>
      <c r="S684" s="79"/>
      <c r="V684" s="79"/>
      <c r="W684" s="79"/>
      <c r="Z684" s="130"/>
      <c r="AB684" s="106"/>
    </row>
    <row r="685">
      <c r="C685" s="79"/>
      <c r="D685" s="79"/>
      <c r="E685" s="79"/>
      <c r="M685" s="79"/>
      <c r="R685" s="79"/>
      <c r="S685" s="79"/>
      <c r="V685" s="79"/>
      <c r="W685" s="79"/>
      <c r="Z685" s="130"/>
      <c r="AB685" s="106"/>
    </row>
    <row r="686">
      <c r="C686" s="79"/>
      <c r="D686" s="79"/>
      <c r="E686" s="79"/>
      <c r="M686" s="79"/>
      <c r="R686" s="79"/>
      <c r="S686" s="79"/>
      <c r="V686" s="79"/>
      <c r="W686" s="79"/>
      <c r="Z686" s="130"/>
      <c r="AB686" s="106"/>
    </row>
    <row r="687">
      <c r="C687" s="79"/>
      <c r="D687" s="79"/>
      <c r="E687" s="79"/>
      <c r="M687" s="79"/>
      <c r="R687" s="79"/>
      <c r="S687" s="79"/>
      <c r="V687" s="79"/>
      <c r="W687" s="79"/>
      <c r="Z687" s="130"/>
      <c r="AB687" s="106"/>
    </row>
    <row r="688">
      <c r="C688" s="79"/>
      <c r="D688" s="79"/>
      <c r="E688" s="79"/>
      <c r="M688" s="79"/>
      <c r="R688" s="79"/>
      <c r="S688" s="79"/>
      <c r="V688" s="79"/>
      <c r="W688" s="79"/>
      <c r="Z688" s="130"/>
      <c r="AB688" s="106"/>
    </row>
    <row r="689">
      <c r="C689" s="79"/>
      <c r="D689" s="79"/>
      <c r="E689" s="79"/>
      <c r="M689" s="79"/>
      <c r="R689" s="79"/>
      <c r="S689" s="79"/>
      <c r="V689" s="79"/>
      <c r="W689" s="79"/>
      <c r="Z689" s="130"/>
      <c r="AB689" s="106"/>
    </row>
    <row r="690">
      <c r="C690" s="79"/>
      <c r="D690" s="79"/>
      <c r="E690" s="79"/>
      <c r="M690" s="79"/>
      <c r="R690" s="79"/>
      <c r="S690" s="79"/>
      <c r="V690" s="79"/>
      <c r="W690" s="79"/>
      <c r="Z690" s="130"/>
      <c r="AB690" s="106"/>
    </row>
    <row r="691">
      <c r="C691" s="79"/>
      <c r="D691" s="79"/>
      <c r="E691" s="79"/>
      <c r="M691" s="79"/>
      <c r="R691" s="79"/>
      <c r="S691" s="79"/>
      <c r="V691" s="79"/>
      <c r="W691" s="79"/>
      <c r="Z691" s="130"/>
      <c r="AB691" s="106"/>
    </row>
    <row r="692">
      <c r="C692" s="79"/>
      <c r="D692" s="79"/>
      <c r="E692" s="79"/>
      <c r="M692" s="79"/>
      <c r="R692" s="79"/>
      <c r="S692" s="79"/>
      <c r="V692" s="79"/>
      <c r="W692" s="79"/>
      <c r="Z692" s="130"/>
      <c r="AB692" s="106"/>
    </row>
    <row r="693">
      <c r="C693" s="79"/>
      <c r="D693" s="79"/>
      <c r="E693" s="79"/>
      <c r="M693" s="79"/>
      <c r="R693" s="79"/>
      <c r="S693" s="79"/>
      <c r="V693" s="79"/>
      <c r="W693" s="79"/>
      <c r="Z693" s="130"/>
      <c r="AB693" s="106"/>
    </row>
    <row r="694">
      <c r="C694" s="79"/>
      <c r="D694" s="79"/>
      <c r="E694" s="79"/>
      <c r="M694" s="79"/>
      <c r="R694" s="79"/>
      <c r="S694" s="79"/>
      <c r="V694" s="79"/>
      <c r="W694" s="79"/>
      <c r="Z694" s="130"/>
      <c r="AB694" s="106"/>
    </row>
    <row r="695">
      <c r="C695" s="79"/>
      <c r="D695" s="79"/>
      <c r="E695" s="79"/>
      <c r="M695" s="79"/>
      <c r="R695" s="79"/>
      <c r="S695" s="79"/>
      <c r="V695" s="79"/>
      <c r="W695" s="79"/>
      <c r="Z695" s="130"/>
      <c r="AB695" s="106"/>
    </row>
    <row r="696">
      <c r="C696" s="79"/>
      <c r="D696" s="79"/>
      <c r="E696" s="79"/>
      <c r="M696" s="79"/>
      <c r="R696" s="79"/>
      <c r="S696" s="79"/>
      <c r="V696" s="79"/>
      <c r="W696" s="79"/>
      <c r="Z696" s="130"/>
      <c r="AB696" s="106"/>
    </row>
    <row r="697">
      <c r="C697" s="79"/>
      <c r="D697" s="79"/>
      <c r="E697" s="79"/>
      <c r="M697" s="79"/>
      <c r="R697" s="79"/>
      <c r="S697" s="79"/>
      <c r="V697" s="79"/>
      <c r="W697" s="79"/>
      <c r="Z697" s="130"/>
      <c r="AB697" s="106"/>
    </row>
    <row r="698">
      <c r="C698" s="79"/>
      <c r="D698" s="79"/>
      <c r="E698" s="79"/>
      <c r="M698" s="79"/>
      <c r="R698" s="79"/>
      <c r="S698" s="79"/>
      <c r="V698" s="79"/>
      <c r="W698" s="79"/>
      <c r="Z698" s="130"/>
      <c r="AB698" s="106"/>
    </row>
    <row r="699">
      <c r="C699" s="79"/>
      <c r="D699" s="79"/>
      <c r="E699" s="79"/>
      <c r="M699" s="79"/>
      <c r="R699" s="79"/>
      <c r="S699" s="79"/>
      <c r="V699" s="79"/>
      <c r="W699" s="79"/>
      <c r="Z699" s="130"/>
      <c r="AB699" s="106"/>
    </row>
    <row r="700">
      <c r="C700" s="79"/>
      <c r="D700" s="79"/>
      <c r="E700" s="79"/>
      <c r="M700" s="79"/>
      <c r="R700" s="79"/>
      <c r="S700" s="79"/>
      <c r="V700" s="79"/>
      <c r="W700" s="79"/>
      <c r="Z700" s="130"/>
      <c r="AB700" s="106"/>
    </row>
    <row r="701">
      <c r="C701" s="79"/>
      <c r="D701" s="79"/>
      <c r="E701" s="79"/>
      <c r="M701" s="79"/>
      <c r="R701" s="79"/>
      <c r="S701" s="79"/>
      <c r="V701" s="79"/>
      <c r="W701" s="79"/>
      <c r="Z701" s="130"/>
      <c r="AB701" s="106"/>
    </row>
    <row r="702">
      <c r="C702" s="79"/>
      <c r="D702" s="79"/>
      <c r="E702" s="79"/>
      <c r="M702" s="79"/>
      <c r="R702" s="79"/>
      <c r="S702" s="79"/>
      <c r="V702" s="79"/>
      <c r="W702" s="79"/>
      <c r="Z702" s="130"/>
      <c r="AB702" s="106"/>
    </row>
    <row r="703">
      <c r="C703" s="79"/>
      <c r="D703" s="79"/>
      <c r="E703" s="79"/>
      <c r="M703" s="79"/>
      <c r="R703" s="79"/>
      <c r="S703" s="79"/>
      <c r="V703" s="79"/>
      <c r="W703" s="79"/>
      <c r="Z703" s="130"/>
      <c r="AB703" s="106"/>
    </row>
    <row r="704">
      <c r="C704" s="79"/>
      <c r="D704" s="79"/>
      <c r="E704" s="79"/>
      <c r="M704" s="79"/>
      <c r="R704" s="79"/>
      <c r="S704" s="79"/>
      <c r="V704" s="79"/>
      <c r="W704" s="79"/>
      <c r="Z704" s="130"/>
      <c r="AB704" s="106"/>
    </row>
    <row r="705">
      <c r="C705" s="79"/>
      <c r="D705" s="79"/>
      <c r="E705" s="79"/>
      <c r="M705" s="79"/>
      <c r="R705" s="79"/>
      <c r="S705" s="79"/>
      <c r="V705" s="79"/>
      <c r="W705" s="79"/>
      <c r="Z705" s="130"/>
      <c r="AB705" s="106"/>
    </row>
    <row r="706">
      <c r="C706" s="79"/>
      <c r="D706" s="79"/>
      <c r="E706" s="79"/>
      <c r="M706" s="79"/>
      <c r="R706" s="79"/>
      <c r="S706" s="79"/>
      <c r="V706" s="79"/>
      <c r="W706" s="79"/>
      <c r="Z706" s="130"/>
      <c r="AB706" s="106"/>
    </row>
    <row r="707">
      <c r="C707" s="79"/>
      <c r="D707" s="79"/>
      <c r="E707" s="79"/>
      <c r="M707" s="79"/>
      <c r="R707" s="79"/>
      <c r="S707" s="79"/>
      <c r="V707" s="79"/>
      <c r="W707" s="79"/>
      <c r="Z707" s="130"/>
      <c r="AB707" s="106"/>
    </row>
    <row r="708">
      <c r="C708" s="79"/>
      <c r="D708" s="79"/>
      <c r="E708" s="79"/>
      <c r="M708" s="79"/>
      <c r="R708" s="79"/>
      <c r="S708" s="79"/>
      <c r="V708" s="79"/>
      <c r="W708" s="79"/>
      <c r="Z708" s="130"/>
      <c r="AB708" s="106"/>
    </row>
    <row r="709">
      <c r="C709" s="79"/>
      <c r="D709" s="79"/>
      <c r="E709" s="79"/>
      <c r="M709" s="79"/>
      <c r="R709" s="79"/>
      <c r="S709" s="79"/>
      <c r="V709" s="79"/>
      <c r="W709" s="79"/>
      <c r="Z709" s="130"/>
      <c r="AB709" s="106"/>
    </row>
    <row r="710">
      <c r="C710" s="79"/>
      <c r="D710" s="79"/>
      <c r="E710" s="79"/>
      <c r="M710" s="79"/>
      <c r="R710" s="79"/>
      <c r="S710" s="79"/>
      <c r="V710" s="79"/>
      <c r="W710" s="79"/>
      <c r="Z710" s="130"/>
      <c r="AB710" s="106"/>
    </row>
    <row r="711">
      <c r="C711" s="79"/>
      <c r="D711" s="79"/>
      <c r="E711" s="79"/>
      <c r="M711" s="79"/>
      <c r="R711" s="79"/>
      <c r="S711" s="79"/>
      <c r="V711" s="79"/>
      <c r="W711" s="79"/>
      <c r="Z711" s="130"/>
      <c r="AB711" s="106"/>
    </row>
    <row r="712">
      <c r="C712" s="79"/>
      <c r="D712" s="79"/>
      <c r="E712" s="79"/>
      <c r="M712" s="79"/>
      <c r="R712" s="79"/>
      <c r="S712" s="79"/>
      <c r="V712" s="79"/>
      <c r="W712" s="79"/>
      <c r="Z712" s="130"/>
      <c r="AB712" s="106"/>
    </row>
    <row r="713">
      <c r="C713" s="79"/>
      <c r="D713" s="79"/>
      <c r="E713" s="79"/>
      <c r="M713" s="79"/>
      <c r="R713" s="79"/>
      <c r="S713" s="79"/>
      <c r="V713" s="79"/>
      <c r="W713" s="79"/>
      <c r="Z713" s="130"/>
      <c r="AB713" s="106"/>
    </row>
    <row r="714">
      <c r="C714" s="79"/>
      <c r="D714" s="79"/>
      <c r="E714" s="79"/>
      <c r="M714" s="79"/>
      <c r="R714" s="79"/>
      <c r="S714" s="79"/>
      <c r="V714" s="79"/>
      <c r="W714" s="79"/>
      <c r="Z714" s="130"/>
      <c r="AB714" s="106"/>
    </row>
    <row r="715">
      <c r="C715" s="79"/>
      <c r="D715" s="79"/>
      <c r="E715" s="79"/>
      <c r="M715" s="79"/>
      <c r="R715" s="79"/>
      <c r="S715" s="79"/>
      <c r="V715" s="79"/>
      <c r="W715" s="79"/>
      <c r="Z715" s="130"/>
      <c r="AB715" s="106"/>
    </row>
    <row r="716">
      <c r="C716" s="79"/>
      <c r="D716" s="79"/>
      <c r="E716" s="79"/>
      <c r="M716" s="79"/>
      <c r="R716" s="79"/>
      <c r="S716" s="79"/>
      <c r="V716" s="79"/>
      <c r="W716" s="79"/>
      <c r="Z716" s="130"/>
      <c r="AB716" s="106"/>
    </row>
    <row r="717">
      <c r="C717" s="79"/>
      <c r="D717" s="79"/>
      <c r="E717" s="79"/>
      <c r="M717" s="79"/>
      <c r="R717" s="79"/>
      <c r="S717" s="79"/>
      <c r="V717" s="79"/>
      <c r="W717" s="79"/>
      <c r="Z717" s="130"/>
      <c r="AB717" s="106"/>
    </row>
    <row r="718">
      <c r="C718" s="79"/>
      <c r="D718" s="79"/>
      <c r="E718" s="79"/>
      <c r="M718" s="79"/>
      <c r="R718" s="79"/>
      <c r="S718" s="79"/>
      <c r="V718" s="79"/>
      <c r="W718" s="79"/>
      <c r="Z718" s="130"/>
      <c r="AB718" s="106"/>
    </row>
    <row r="719">
      <c r="C719" s="79"/>
      <c r="D719" s="79"/>
      <c r="E719" s="79"/>
      <c r="M719" s="79"/>
      <c r="R719" s="79"/>
      <c r="S719" s="79"/>
      <c r="V719" s="79"/>
      <c r="W719" s="79"/>
      <c r="Z719" s="130"/>
      <c r="AB719" s="106"/>
    </row>
    <row r="720">
      <c r="C720" s="79"/>
      <c r="D720" s="79"/>
      <c r="E720" s="79"/>
      <c r="M720" s="79"/>
      <c r="R720" s="79"/>
      <c r="S720" s="79"/>
      <c r="V720" s="79"/>
      <c r="W720" s="79"/>
      <c r="Z720" s="130"/>
      <c r="AB720" s="106"/>
    </row>
    <row r="721">
      <c r="C721" s="79"/>
      <c r="D721" s="79"/>
      <c r="E721" s="79"/>
      <c r="M721" s="79"/>
      <c r="R721" s="79"/>
      <c r="S721" s="79"/>
      <c r="V721" s="79"/>
      <c r="W721" s="79"/>
      <c r="Z721" s="130"/>
      <c r="AB721" s="106"/>
    </row>
    <row r="722">
      <c r="C722" s="79"/>
      <c r="D722" s="79"/>
      <c r="E722" s="79"/>
      <c r="M722" s="79"/>
      <c r="R722" s="79"/>
      <c r="S722" s="79"/>
      <c r="V722" s="79"/>
      <c r="W722" s="79"/>
      <c r="Z722" s="130"/>
      <c r="AB722" s="106"/>
    </row>
    <row r="723">
      <c r="C723" s="79"/>
      <c r="D723" s="79"/>
      <c r="E723" s="79"/>
      <c r="M723" s="79"/>
      <c r="R723" s="79"/>
      <c r="S723" s="79"/>
      <c r="V723" s="79"/>
      <c r="W723" s="79"/>
      <c r="Z723" s="130"/>
      <c r="AB723" s="106"/>
    </row>
    <row r="724">
      <c r="C724" s="79"/>
      <c r="D724" s="79"/>
      <c r="E724" s="79"/>
      <c r="M724" s="79"/>
      <c r="R724" s="79"/>
      <c r="S724" s="79"/>
      <c r="V724" s="79"/>
      <c r="W724" s="79"/>
      <c r="Z724" s="130"/>
      <c r="AB724" s="106"/>
    </row>
    <row r="725">
      <c r="C725" s="79"/>
      <c r="D725" s="79"/>
      <c r="E725" s="79"/>
      <c r="M725" s="79"/>
      <c r="R725" s="79"/>
      <c r="S725" s="79"/>
      <c r="V725" s="79"/>
      <c r="W725" s="79"/>
      <c r="Z725" s="130"/>
      <c r="AB725" s="106"/>
    </row>
    <row r="726">
      <c r="C726" s="79"/>
      <c r="D726" s="79"/>
      <c r="E726" s="79"/>
      <c r="M726" s="79"/>
      <c r="R726" s="79"/>
      <c r="S726" s="79"/>
      <c r="V726" s="79"/>
      <c r="W726" s="79"/>
      <c r="Z726" s="130"/>
      <c r="AB726" s="106"/>
    </row>
    <row r="727">
      <c r="C727" s="79"/>
      <c r="D727" s="79"/>
      <c r="E727" s="79"/>
      <c r="M727" s="79"/>
      <c r="R727" s="79"/>
      <c r="S727" s="79"/>
      <c r="V727" s="79"/>
      <c r="W727" s="79"/>
      <c r="Z727" s="130"/>
      <c r="AB727" s="106"/>
    </row>
    <row r="728">
      <c r="C728" s="79"/>
      <c r="D728" s="79"/>
      <c r="E728" s="79"/>
      <c r="M728" s="79"/>
      <c r="R728" s="79"/>
      <c r="S728" s="79"/>
      <c r="V728" s="79"/>
      <c r="W728" s="79"/>
      <c r="Z728" s="130"/>
      <c r="AB728" s="106"/>
    </row>
    <row r="729">
      <c r="C729" s="79"/>
      <c r="D729" s="79"/>
      <c r="E729" s="79"/>
      <c r="M729" s="79"/>
      <c r="R729" s="79"/>
      <c r="S729" s="79"/>
      <c r="V729" s="79"/>
      <c r="W729" s="79"/>
      <c r="Z729" s="130"/>
      <c r="AB729" s="106"/>
    </row>
    <row r="730">
      <c r="C730" s="79"/>
      <c r="D730" s="79"/>
      <c r="E730" s="79"/>
      <c r="M730" s="79"/>
      <c r="R730" s="79"/>
      <c r="S730" s="79"/>
      <c r="V730" s="79"/>
      <c r="W730" s="79"/>
      <c r="Z730" s="130"/>
      <c r="AB730" s="106"/>
    </row>
    <row r="731">
      <c r="C731" s="79"/>
      <c r="D731" s="79"/>
      <c r="E731" s="79"/>
      <c r="M731" s="79"/>
      <c r="R731" s="79"/>
      <c r="S731" s="79"/>
      <c r="V731" s="79"/>
      <c r="W731" s="79"/>
      <c r="Z731" s="130"/>
      <c r="AB731" s="106"/>
    </row>
    <row r="732">
      <c r="C732" s="79"/>
      <c r="D732" s="79"/>
      <c r="E732" s="79"/>
      <c r="M732" s="79"/>
      <c r="R732" s="79"/>
      <c r="S732" s="79"/>
      <c r="V732" s="79"/>
      <c r="W732" s="79"/>
      <c r="Z732" s="130"/>
      <c r="AB732" s="106"/>
    </row>
    <row r="733">
      <c r="C733" s="79"/>
      <c r="D733" s="79"/>
      <c r="E733" s="79"/>
      <c r="M733" s="79"/>
      <c r="R733" s="79"/>
      <c r="S733" s="79"/>
      <c r="V733" s="79"/>
      <c r="W733" s="79"/>
      <c r="Z733" s="130"/>
      <c r="AB733" s="106"/>
    </row>
    <row r="734">
      <c r="C734" s="79"/>
      <c r="D734" s="79"/>
      <c r="E734" s="79"/>
      <c r="M734" s="79"/>
      <c r="R734" s="79"/>
      <c r="S734" s="79"/>
      <c r="V734" s="79"/>
      <c r="W734" s="79"/>
      <c r="Z734" s="130"/>
      <c r="AB734" s="106"/>
    </row>
    <row r="735">
      <c r="C735" s="79"/>
      <c r="D735" s="79"/>
      <c r="E735" s="79"/>
      <c r="M735" s="79"/>
      <c r="R735" s="79"/>
      <c r="S735" s="79"/>
      <c r="V735" s="79"/>
      <c r="W735" s="79"/>
      <c r="Z735" s="130"/>
      <c r="AB735" s="106"/>
    </row>
    <row r="736">
      <c r="C736" s="79"/>
      <c r="D736" s="79"/>
      <c r="E736" s="79"/>
      <c r="M736" s="79"/>
      <c r="R736" s="79"/>
      <c r="S736" s="79"/>
      <c r="V736" s="79"/>
      <c r="W736" s="79"/>
      <c r="Z736" s="130"/>
      <c r="AB736" s="106"/>
    </row>
    <row r="737">
      <c r="C737" s="79"/>
      <c r="D737" s="79"/>
      <c r="E737" s="79"/>
      <c r="M737" s="79"/>
      <c r="R737" s="79"/>
      <c r="S737" s="79"/>
      <c r="V737" s="79"/>
      <c r="W737" s="79"/>
      <c r="Z737" s="130"/>
      <c r="AB737" s="106"/>
    </row>
    <row r="738">
      <c r="C738" s="79"/>
      <c r="D738" s="79"/>
      <c r="E738" s="79"/>
      <c r="M738" s="79"/>
      <c r="R738" s="79"/>
      <c r="S738" s="79"/>
      <c r="V738" s="79"/>
      <c r="W738" s="79"/>
      <c r="Z738" s="130"/>
      <c r="AB738" s="106"/>
    </row>
    <row r="739">
      <c r="C739" s="79"/>
      <c r="D739" s="79"/>
      <c r="E739" s="79"/>
      <c r="M739" s="79"/>
      <c r="R739" s="79"/>
      <c r="S739" s="79"/>
      <c r="V739" s="79"/>
      <c r="W739" s="79"/>
      <c r="Z739" s="130"/>
      <c r="AB739" s="106"/>
    </row>
    <row r="740">
      <c r="C740" s="79"/>
      <c r="D740" s="79"/>
      <c r="E740" s="79"/>
      <c r="M740" s="79"/>
      <c r="R740" s="79"/>
      <c r="S740" s="79"/>
      <c r="V740" s="79"/>
      <c r="W740" s="79"/>
      <c r="Z740" s="130"/>
      <c r="AB740" s="106"/>
    </row>
    <row r="741">
      <c r="C741" s="79"/>
      <c r="D741" s="79"/>
      <c r="E741" s="79"/>
      <c r="M741" s="79"/>
      <c r="R741" s="79"/>
      <c r="S741" s="79"/>
      <c r="V741" s="79"/>
      <c r="W741" s="79"/>
      <c r="Z741" s="130"/>
      <c r="AB741" s="106"/>
    </row>
    <row r="742">
      <c r="C742" s="79"/>
      <c r="D742" s="79"/>
      <c r="E742" s="79"/>
      <c r="M742" s="79"/>
      <c r="R742" s="79"/>
      <c r="S742" s="79"/>
      <c r="V742" s="79"/>
      <c r="W742" s="79"/>
      <c r="Z742" s="130"/>
      <c r="AB742" s="106"/>
    </row>
    <row r="743">
      <c r="C743" s="79"/>
      <c r="D743" s="79"/>
      <c r="E743" s="79"/>
      <c r="M743" s="79"/>
      <c r="R743" s="79"/>
      <c r="S743" s="79"/>
      <c r="V743" s="79"/>
      <c r="W743" s="79"/>
      <c r="Z743" s="130"/>
      <c r="AB743" s="106"/>
    </row>
    <row r="744">
      <c r="C744" s="79"/>
      <c r="D744" s="79"/>
      <c r="E744" s="79"/>
      <c r="M744" s="79"/>
      <c r="R744" s="79"/>
      <c r="S744" s="79"/>
      <c r="V744" s="79"/>
      <c r="W744" s="79"/>
      <c r="Z744" s="130"/>
      <c r="AB744" s="106"/>
    </row>
    <row r="745">
      <c r="C745" s="79"/>
      <c r="D745" s="79"/>
      <c r="E745" s="79"/>
      <c r="M745" s="79"/>
      <c r="R745" s="79"/>
      <c r="S745" s="79"/>
      <c r="V745" s="79"/>
      <c r="W745" s="79"/>
      <c r="Z745" s="130"/>
      <c r="AB745" s="106"/>
    </row>
    <row r="746">
      <c r="C746" s="79"/>
      <c r="D746" s="79"/>
      <c r="E746" s="79"/>
      <c r="M746" s="79"/>
      <c r="R746" s="79"/>
      <c r="S746" s="79"/>
      <c r="V746" s="79"/>
      <c r="W746" s="79"/>
      <c r="Z746" s="130"/>
      <c r="AB746" s="106"/>
    </row>
    <row r="747">
      <c r="C747" s="79"/>
      <c r="D747" s="79"/>
      <c r="E747" s="79"/>
      <c r="M747" s="79"/>
      <c r="R747" s="79"/>
      <c r="S747" s="79"/>
      <c r="V747" s="79"/>
      <c r="W747" s="79"/>
      <c r="Z747" s="130"/>
      <c r="AB747" s="106"/>
    </row>
    <row r="748">
      <c r="C748" s="79"/>
      <c r="D748" s="79"/>
      <c r="E748" s="79"/>
      <c r="M748" s="79"/>
      <c r="R748" s="79"/>
      <c r="S748" s="79"/>
      <c r="V748" s="79"/>
      <c r="W748" s="79"/>
      <c r="Z748" s="130"/>
      <c r="AB748" s="106"/>
    </row>
    <row r="749">
      <c r="C749" s="79"/>
      <c r="D749" s="79"/>
      <c r="E749" s="79"/>
      <c r="M749" s="79"/>
      <c r="R749" s="79"/>
      <c r="S749" s="79"/>
      <c r="V749" s="79"/>
      <c r="W749" s="79"/>
      <c r="Z749" s="130"/>
      <c r="AB749" s="106"/>
    </row>
    <row r="750">
      <c r="C750" s="79"/>
      <c r="D750" s="79"/>
      <c r="E750" s="79"/>
      <c r="M750" s="79"/>
      <c r="R750" s="79"/>
      <c r="S750" s="79"/>
      <c r="V750" s="79"/>
      <c r="W750" s="79"/>
      <c r="Z750" s="130"/>
      <c r="AB750" s="106"/>
    </row>
    <row r="751">
      <c r="C751" s="79"/>
      <c r="D751" s="79"/>
      <c r="E751" s="79"/>
      <c r="M751" s="79"/>
      <c r="R751" s="79"/>
      <c r="S751" s="79"/>
      <c r="V751" s="79"/>
      <c r="W751" s="79"/>
      <c r="Z751" s="130"/>
      <c r="AB751" s="106"/>
    </row>
    <row r="752">
      <c r="C752" s="79"/>
      <c r="D752" s="79"/>
      <c r="E752" s="79"/>
      <c r="M752" s="79"/>
      <c r="R752" s="79"/>
      <c r="S752" s="79"/>
      <c r="V752" s="79"/>
      <c r="W752" s="79"/>
      <c r="Z752" s="130"/>
      <c r="AB752" s="106"/>
    </row>
    <row r="753">
      <c r="C753" s="79"/>
      <c r="D753" s="79"/>
      <c r="E753" s="79"/>
      <c r="M753" s="79"/>
      <c r="R753" s="79"/>
      <c r="S753" s="79"/>
      <c r="V753" s="79"/>
      <c r="W753" s="79"/>
      <c r="Z753" s="130"/>
      <c r="AB753" s="106"/>
    </row>
    <row r="754">
      <c r="C754" s="79"/>
      <c r="D754" s="79"/>
      <c r="E754" s="79"/>
      <c r="M754" s="79"/>
      <c r="R754" s="79"/>
      <c r="S754" s="79"/>
      <c r="V754" s="79"/>
      <c r="W754" s="79"/>
      <c r="Z754" s="130"/>
      <c r="AB754" s="106"/>
    </row>
    <row r="755">
      <c r="C755" s="79"/>
      <c r="D755" s="79"/>
      <c r="E755" s="79"/>
      <c r="M755" s="79"/>
      <c r="R755" s="79"/>
      <c r="S755" s="79"/>
      <c r="V755" s="79"/>
      <c r="W755" s="79"/>
      <c r="Z755" s="130"/>
      <c r="AB755" s="106"/>
    </row>
    <row r="756">
      <c r="C756" s="79"/>
      <c r="D756" s="79"/>
      <c r="E756" s="79"/>
      <c r="M756" s="79"/>
      <c r="R756" s="79"/>
      <c r="S756" s="79"/>
      <c r="V756" s="79"/>
      <c r="W756" s="79"/>
      <c r="Z756" s="130"/>
      <c r="AB756" s="106"/>
    </row>
    <row r="757">
      <c r="C757" s="79"/>
      <c r="D757" s="79"/>
      <c r="E757" s="79"/>
      <c r="M757" s="79"/>
      <c r="R757" s="79"/>
      <c r="S757" s="79"/>
      <c r="V757" s="79"/>
      <c r="W757" s="79"/>
      <c r="Z757" s="130"/>
      <c r="AB757" s="106"/>
    </row>
    <row r="758">
      <c r="C758" s="79"/>
      <c r="D758" s="79"/>
      <c r="E758" s="79"/>
      <c r="M758" s="79"/>
      <c r="R758" s="79"/>
      <c r="S758" s="79"/>
      <c r="V758" s="79"/>
      <c r="W758" s="79"/>
      <c r="Z758" s="130"/>
      <c r="AB758" s="106"/>
    </row>
    <row r="759">
      <c r="C759" s="79"/>
      <c r="D759" s="79"/>
      <c r="E759" s="79"/>
      <c r="M759" s="79"/>
      <c r="R759" s="79"/>
      <c r="S759" s="79"/>
      <c r="V759" s="79"/>
      <c r="W759" s="79"/>
      <c r="Z759" s="130"/>
      <c r="AB759" s="106"/>
    </row>
    <row r="760">
      <c r="C760" s="79"/>
      <c r="D760" s="79"/>
      <c r="E760" s="79"/>
      <c r="M760" s="79"/>
      <c r="R760" s="79"/>
      <c r="S760" s="79"/>
      <c r="V760" s="79"/>
      <c r="W760" s="79"/>
      <c r="Z760" s="130"/>
      <c r="AB760" s="106"/>
    </row>
    <row r="761">
      <c r="C761" s="79"/>
      <c r="D761" s="79"/>
      <c r="E761" s="79"/>
      <c r="M761" s="79"/>
      <c r="R761" s="79"/>
      <c r="S761" s="79"/>
      <c r="V761" s="79"/>
      <c r="W761" s="79"/>
      <c r="Z761" s="130"/>
      <c r="AB761" s="106"/>
    </row>
    <row r="762">
      <c r="C762" s="79"/>
      <c r="D762" s="79"/>
      <c r="E762" s="79"/>
      <c r="M762" s="79"/>
      <c r="R762" s="79"/>
      <c r="S762" s="79"/>
      <c r="V762" s="79"/>
      <c r="W762" s="79"/>
      <c r="Z762" s="130"/>
      <c r="AB762" s="106"/>
    </row>
    <row r="763">
      <c r="C763" s="79"/>
      <c r="D763" s="79"/>
      <c r="E763" s="79"/>
      <c r="M763" s="79"/>
      <c r="R763" s="79"/>
      <c r="S763" s="79"/>
      <c r="V763" s="79"/>
      <c r="W763" s="79"/>
      <c r="Z763" s="130"/>
      <c r="AB763" s="106"/>
    </row>
    <row r="764">
      <c r="C764" s="79"/>
      <c r="D764" s="79"/>
      <c r="E764" s="79"/>
      <c r="M764" s="79"/>
      <c r="R764" s="79"/>
      <c r="S764" s="79"/>
      <c r="V764" s="79"/>
      <c r="W764" s="79"/>
      <c r="Z764" s="130"/>
      <c r="AB764" s="106"/>
    </row>
    <row r="765">
      <c r="C765" s="79"/>
      <c r="D765" s="79"/>
      <c r="E765" s="79"/>
      <c r="M765" s="79"/>
      <c r="R765" s="79"/>
      <c r="S765" s="79"/>
      <c r="V765" s="79"/>
      <c r="W765" s="79"/>
      <c r="Z765" s="130"/>
      <c r="AB765" s="106"/>
    </row>
    <row r="766">
      <c r="C766" s="79"/>
      <c r="D766" s="79"/>
      <c r="E766" s="79"/>
      <c r="M766" s="79"/>
      <c r="R766" s="79"/>
      <c r="S766" s="79"/>
      <c r="V766" s="79"/>
      <c r="W766" s="79"/>
      <c r="Z766" s="130"/>
      <c r="AB766" s="106"/>
    </row>
    <row r="767">
      <c r="C767" s="79"/>
      <c r="D767" s="79"/>
      <c r="E767" s="79"/>
      <c r="M767" s="79"/>
      <c r="R767" s="79"/>
      <c r="S767" s="79"/>
      <c r="V767" s="79"/>
      <c r="W767" s="79"/>
      <c r="Z767" s="130"/>
      <c r="AB767" s="106"/>
    </row>
    <row r="768">
      <c r="C768" s="79"/>
      <c r="D768" s="79"/>
      <c r="E768" s="79"/>
      <c r="M768" s="79"/>
      <c r="R768" s="79"/>
      <c r="S768" s="79"/>
      <c r="V768" s="79"/>
      <c r="W768" s="79"/>
      <c r="Z768" s="130"/>
      <c r="AB768" s="106"/>
    </row>
    <row r="769">
      <c r="C769" s="79"/>
      <c r="D769" s="79"/>
      <c r="E769" s="79"/>
      <c r="M769" s="79"/>
      <c r="R769" s="79"/>
      <c r="S769" s="79"/>
      <c r="V769" s="79"/>
      <c r="W769" s="79"/>
      <c r="Z769" s="130"/>
      <c r="AB769" s="106"/>
    </row>
    <row r="770">
      <c r="C770" s="79"/>
      <c r="D770" s="79"/>
      <c r="E770" s="79"/>
      <c r="M770" s="79"/>
      <c r="R770" s="79"/>
      <c r="S770" s="79"/>
      <c r="V770" s="79"/>
      <c r="W770" s="79"/>
      <c r="Z770" s="130"/>
      <c r="AB770" s="106"/>
    </row>
    <row r="771">
      <c r="C771" s="79"/>
      <c r="D771" s="79"/>
      <c r="E771" s="79"/>
      <c r="M771" s="79"/>
      <c r="R771" s="79"/>
      <c r="S771" s="79"/>
      <c r="V771" s="79"/>
      <c r="W771" s="79"/>
      <c r="Z771" s="130"/>
      <c r="AB771" s="106"/>
    </row>
    <row r="772">
      <c r="C772" s="79"/>
      <c r="D772" s="79"/>
      <c r="E772" s="79"/>
      <c r="M772" s="79"/>
      <c r="R772" s="79"/>
      <c r="S772" s="79"/>
      <c r="V772" s="79"/>
      <c r="W772" s="79"/>
      <c r="Z772" s="130"/>
      <c r="AB772" s="106"/>
    </row>
    <row r="773">
      <c r="C773" s="79"/>
      <c r="D773" s="79"/>
      <c r="E773" s="79"/>
      <c r="M773" s="79"/>
      <c r="R773" s="79"/>
      <c r="S773" s="79"/>
      <c r="V773" s="79"/>
      <c r="W773" s="79"/>
      <c r="Z773" s="130"/>
      <c r="AB773" s="106"/>
    </row>
    <row r="774">
      <c r="C774" s="79"/>
      <c r="D774" s="79"/>
      <c r="E774" s="79"/>
      <c r="M774" s="79"/>
      <c r="R774" s="79"/>
      <c r="S774" s="79"/>
      <c r="V774" s="79"/>
      <c r="W774" s="79"/>
      <c r="Z774" s="130"/>
      <c r="AB774" s="106"/>
    </row>
    <row r="775">
      <c r="C775" s="79"/>
      <c r="D775" s="79"/>
      <c r="E775" s="79"/>
      <c r="M775" s="79"/>
      <c r="R775" s="79"/>
      <c r="S775" s="79"/>
      <c r="V775" s="79"/>
      <c r="W775" s="79"/>
      <c r="Z775" s="130"/>
      <c r="AB775" s="106"/>
    </row>
    <row r="776">
      <c r="C776" s="79"/>
      <c r="D776" s="79"/>
      <c r="E776" s="79"/>
      <c r="M776" s="79"/>
      <c r="R776" s="79"/>
      <c r="S776" s="79"/>
      <c r="V776" s="79"/>
      <c r="W776" s="79"/>
      <c r="Z776" s="130"/>
      <c r="AB776" s="106"/>
    </row>
    <row r="777">
      <c r="C777" s="79"/>
      <c r="D777" s="79"/>
      <c r="E777" s="79"/>
      <c r="M777" s="79"/>
      <c r="R777" s="79"/>
      <c r="S777" s="79"/>
      <c r="V777" s="79"/>
      <c r="W777" s="79"/>
      <c r="Z777" s="130"/>
      <c r="AB777" s="106"/>
    </row>
    <row r="778">
      <c r="C778" s="79"/>
      <c r="D778" s="79"/>
      <c r="E778" s="79"/>
      <c r="M778" s="79"/>
      <c r="R778" s="79"/>
      <c r="S778" s="79"/>
      <c r="V778" s="79"/>
      <c r="W778" s="79"/>
      <c r="Z778" s="130"/>
      <c r="AB778" s="106"/>
    </row>
    <row r="779">
      <c r="C779" s="79"/>
      <c r="D779" s="79"/>
      <c r="E779" s="79"/>
      <c r="M779" s="79"/>
      <c r="R779" s="79"/>
      <c r="S779" s="79"/>
      <c r="V779" s="79"/>
      <c r="W779" s="79"/>
      <c r="Z779" s="130"/>
      <c r="AB779" s="106"/>
    </row>
    <row r="780">
      <c r="C780" s="79"/>
      <c r="D780" s="79"/>
      <c r="E780" s="79"/>
      <c r="M780" s="79"/>
      <c r="R780" s="79"/>
      <c r="S780" s="79"/>
      <c r="V780" s="79"/>
      <c r="W780" s="79"/>
      <c r="Z780" s="130"/>
      <c r="AB780" s="106"/>
    </row>
    <row r="781">
      <c r="C781" s="79"/>
      <c r="D781" s="79"/>
      <c r="E781" s="79"/>
      <c r="M781" s="79"/>
      <c r="R781" s="79"/>
      <c r="S781" s="79"/>
      <c r="V781" s="79"/>
      <c r="W781" s="79"/>
      <c r="Z781" s="130"/>
      <c r="AB781" s="106"/>
    </row>
    <row r="782">
      <c r="C782" s="79"/>
      <c r="D782" s="79"/>
      <c r="E782" s="79"/>
      <c r="M782" s="79"/>
      <c r="R782" s="79"/>
      <c r="S782" s="79"/>
      <c r="V782" s="79"/>
      <c r="W782" s="79"/>
      <c r="Z782" s="130"/>
      <c r="AB782" s="106"/>
    </row>
    <row r="783">
      <c r="C783" s="79"/>
      <c r="D783" s="79"/>
      <c r="E783" s="79"/>
      <c r="M783" s="79"/>
      <c r="R783" s="79"/>
      <c r="S783" s="79"/>
      <c r="V783" s="79"/>
      <c r="W783" s="79"/>
      <c r="Z783" s="130"/>
      <c r="AB783" s="106"/>
    </row>
    <row r="784">
      <c r="C784" s="79"/>
      <c r="D784" s="79"/>
      <c r="E784" s="79"/>
      <c r="M784" s="79"/>
      <c r="R784" s="79"/>
      <c r="S784" s="79"/>
      <c r="V784" s="79"/>
      <c r="W784" s="79"/>
      <c r="Z784" s="130"/>
      <c r="AB784" s="106"/>
    </row>
    <row r="785">
      <c r="C785" s="79"/>
      <c r="D785" s="79"/>
      <c r="E785" s="79"/>
      <c r="M785" s="79"/>
      <c r="R785" s="79"/>
      <c r="S785" s="79"/>
      <c r="V785" s="79"/>
      <c r="W785" s="79"/>
      <c r="Z785" s="130"/>
      <c r="AB785" s="106"/>
    </row>
    <row r="786">
      <c r="C786" s="79"/>
      <c r="D786" s="79"/>
      <c r="E786" s="79"/>
      <c r="M786" s="79"/>
      <c r="R786" s="79"/>
      <c r="S786" s="79"/>
      <c r="V786" s="79"/>
      <c r="W786" s="79"/>
      <c r="Z786" s="130"/>
      <c r="AB786" s="106"/>
    </row>
    <row r="787">
      <c r="C787" s="79"/>
      <c r="D787" s="79"/>
      <c r="E787" s="79"/>
      <c r="M787" s="79"/>
      <c r="R787" s="79"/>
      <c r="S787" s="79"/>
      <c r="V787" s="79"/>
      <c r="W787" s="79"/>
      <c r="Z787" s="130"/>
      <c r="AB787" s="106"/>
    </row>
    <row r="788">
      <c r="C788" s="79"/>
      <c r="D788" s="79"/>
      <c r="E788" s="79"/>
      <c r="M788" s="79"/>
      <c r="R788" s="79"/>
      <c r="S788" s="79"/>
      <c r="V788" s="79"/>
      <c r="W788" s="79"/>
      <c r="Z788" s="130"/>
      <c r="AB788" s="106"/>
    </row>
    <row r="789">
      <c r="C789" s="79"/>
      <c r="D789" s="79"/>
      <c r="E789" s="79"/>
      <c r="M789" s="79"/>
      <c r="R789" s="79"/>
      <c r="S789" s="79"/>
      <c r="V789" s="79"/>
      <c r="W789" s="79"/>
      <c r="Z789" s="130"/>
      <c r="AB789" s="106"/>
    </row>
    <row r="790">
      <c r="C790" s="79"/>
      <c r="D790" s="79"/>
      <c r="E790" s="79"/>
      <c r="M790" s="79"/>
      <c r="R790" s="79"/>
      <c r="S790" s="79"/>
      <c r="V790" s="79"/>
      <c r="W790" s="79"/>
      <c r="Z790" s="130"/>
      <c r="AB790" s="106"/>
    </row>
    <row r="791">
      <c r="C791" s="79"/>
      <c r="D791" s="79"/>
      <c r="E791" s="79"/>
      <c r="M791" s="79"/>
      <c r="R791" s="79"/>
      <c r="S791" s="79"/>
      <c r="V791" s="79"/>
      <c r="W791" s="79"/>
      <c r="Z791" s="130"/>
      <c r="AB791" s="106"/>
    </row>
    <row r="792">
      <c r="C792" s="79"/>
      <c r="D792" s="79"/>
      <c r="E792" s="79"/>
      <c r="M792" s="79"/>
      <c r="R792" s="79"/>
      <c r="S792" s="79"/>
      <c r="V792" s="79"/>
      <c r="W792" s="79"/>
      <c r="Z792" s="130"/>
      <c r="AB792" s="106"/>
    </row>
    <row r="793">
      <c r="C793" s="79"/>
      <c r="D793" s="79"/>
      <c r="E793" s="79"/>
      <c r="M793" s="79"/>
      <c r="R793" s="79"/>
      <c r="S793" s="79"/>
      <c r="V793" s="79"/>
      <c r="W793" s="79"/>
      <c r="Z793" s="130"/>
      <c r="AB793" s="106"/>
    </row>
    <row r="794">
      <c r="C794" s="79"/>
      <c r="D794" s="79"/>
      <c r="E794" s="79"/>
      <c r="M794" s="79"/>
      <c r="R794" s="79"/>
      <c r="S794" s="79"/>
      <c r="V794" s="79"/>
      <c r="W794" s="79"/>
      <c r="Z794" s="130"/>
      <c r="AB794" s="106"/>
    </row>
    <row r="795">
      <c r="C795" s="79"/>
      <c r="D795" s="79"/>
      <c r="E795" s="79"/>
      <c r="M795" s="79"/>
      <c r="R795" s="79"/>
      <c r="S795" s="79"/>
      <c r="V795" s="79"/>
      <c r="W795" s="79"/>
      <c r="Z795" s="130"/>
      <c r="AB795" s="106"/>
    </row>
    <row r="796">
      <c r="C796" s="79"/>
      <c r="D796" s="79"/>
      <c r="E796" s="79"/>
      <c r="M796" s="79"/>
      <c r="R796" s="79"/>
      <c r="S796" s="79"/>
      <c r="V796" s="79"/>
      <c r="W796" s="79"/>
      <c r="Z796" s="130"/>
      <c r="AB796" s="106"/>
    </row>
    <row r="797">
      <c r="C797" s="79"/>
      <c r="D797" s="79"/>
      <c r="E797" s="79"/>
      <c r="M797" s="79"/>
      <c r="R797" s="79"/>
      <c r="S797" s="79"/>
      <c r="V797" s="79"/>
      <c r="W797" s="79"/>
      <c r="Z797" s="130"/>
      <c r="AB797" s="106"/>
    </row>
    <row r="798">
      <c r="C798" s="79"/>
      <c r="D798" s="79"/>
      <c r="E798" s="79"/>
      <c r="M798" s="79"/>
      <c r="R798" s="79"/>
      <c r="S798" s="79"/>
      <c r="V798" s="79"/>
      <c r="W798" s="79"/>
      <c r="Z798" s="130"/>
      <c r="AB798" s="106"/>
    </row>
    <row r="799">
      <c r="C799" s="79"/>
      <c r="D799" s="79"/>
      <c r="E799" s="79"/>
      <c r="M799" s="79"/>
      <c r="R799" s="79"/>
      <c r="S799" s="79"/>
      <c r="V799" s="79"/>
      <c r="W799" s="79"/>
      <c r="Z799" s="130"/>
      <c r="AB799" s="106"/>
    </row>
    <row r="800">
      <c r="C800" s="79"/>
      <c r="D800" s="79"/>
      <c r="E800" s="79"/>
      <c r="M800" s="79"/>
      <c r="R800" s="79"/>
      <c r="S800" s="79"/>
      <c r="V800" s="79"/>
      <c r="W800" s="79"/>
      <c r="Z800" s="130"/>
      <c r="AB800" s="106"/>
    </row>
    <row r="801">
      <c r="C801" s="79"/>
      <c r="D801" s="79"/>
      <c r="E801" s="79"/>
      <c r="M801" s="79"/>
      <c r="R801" s="79"/>
      <c r="S801" s="79"/>
      <c r="V801" s="79"/>
      <c r="W801" s="79"/>
      <c r="Z801" s="130"/>
      <c r="AB801" s="106"/>
    </row>
    <row r="802">
      <c r="C802" s="79"/>
      <c r="D802" s="79"/>
      <c r="E802" s="79"/>
      <c r="M802" s="79"/>
      <c r="R802" s="79"/>
      <c r="S802" s="79"/>
      <c r="V802" s="79"/>
      <c r="W802" s="79"/>
      <c r="Z802" s="130"/>
      <c r="AB802" s="106"/>
    </row>
    <row r="803">
      <c r="C803" s="79"/>
      <c r="D803" s="79"/>
      <c r="E803" s="79"/>
      <c r="M803" s="79"/>
      <c r="R803" s="79"/>
      <c r="S803" s="79"/>
      <c r="V803" s="79"/>
      <c r="W803" s="79"/>
      <c r="Z803" s="130"/>
      <c r="AB803" s="106"/>
    </row>
    <row r="804">
      <c r="C804" s="79"/>
      <c r="D804" s="79"/>
      <c r="E804" s="79"/>
      <c r="M804" s="79"/>
      <c r="R804" s="79"/>
      <c r="S804" s="79"/>
      <c r="V804" s="79"/>
      <c r="W804" s="79"/>
      <c r="Z804" s="130"/>
      <c r="AB804" s="106"/>
    </row>
    <row r="805">
      <c r="C805" s="79"/>
      <c r="D805" s="79"/>
      <c r="E805" s="79"/>
      <c r="M805" s="79"/>
      <c r="R805" s="79"/>
      <c r="S805" s="79"/>
      <c r="V805" s="79"/>
      <c r="W805" s="79"/>
      <c r="Z805" s="130"/>
      <c r="AB805" s="106"/>
    </row>
    <row r="806">
      <c r="C806" s="79"/>
      <c r="D806" s="79"/>
      <c r="E806" s="79"/>
      <c r="M806" s="79"/>
      <c r="R806" s="79"/>
      <c r="S806" s="79"/>
      <c r="V806" s="79"/>
      <c r="W806" s="79"/>
      <c r="Z806" s="130"/>
      <c r="AB806" s="106"/>
    </row>
    <row r="807">
      <c r="C807" s="79"/>
      <c r="D807" s="79"/>
      <c r="E807" s="79"/>
      <c r="M807" s="79"/>
      <c r="R807" s="79"/>
      <c r="S807" s="79"/>
      <c r="V807" s="79"/>
      <c r="W807" s="79"/>
      <c r="Z807" s="130"/>
      <c r="AB807" s="106"/>
    </row>
    <row r="808">
      <c r="C808" s="79"/>
      <c r="D808" s="79"/>
      <c r="E808" s="79"/>
      <c r="M808" s="79"/>
      <c r="R808" s="79"/>
      <c r="S808" s="79"/>
      <c r="V808" s="79"/>
      <c r="W808" s="79"/>
      <c r="Z808" s="130"/>
      <c r="AB808" s="106"/>
    </row>
    <row r="809">
      <c r="C809" s="79"/>
      <c r="D809" s="79"/>
      <c r="E809" s="79"/>
      <c r="M809" s="79"/>
      <c r="R809" s="79"/>
      <c r="S809" s="79"/>
      <c r="V809" s="79"/>
      <c r="W809" s="79"/>
      <c r="Z809" s="130"/>
      <c r="AB809" s="106"/>
    </row>
    <row r="810">
      <c r="C810" s="79"/>
      <c r="D810" s="79"/>
      <c r="E810" s="79"/>
      <c r="M810" s="79"/>
      <c r="R810" s="79"/>
      <c r="S810" s="79"/>
      <c r="V810" s="79"/>
      <c r="W810" s="79"/>
      <c r="Z810" s="130"/>
      <c r="AB810" s="106"/>
    </row>
    <row r="811">
      <c r="C811" s="79"/>
      <c r="D811" s="79"/>
      <c r="E811" s="79"/>
      <c r="M811" s="79"/>
      <c r="R811" s="79"/>
      <c r="S811" s="79"/>
      <c r="V811" s="79"/>
      <c r="W811" s="79"/>
      <c r="Z811" s="130"/>
      <c r="AB811" s="106"/>
    </row>
    <row r="812">
      <c r="C812" s="79"/>
      <c r="D812" s="79"/>
      <c r="E812" s="79"/>
      <c r="M812" s="79"/>
      <c r="R812" s="79"/>
      <c r="S812" s="79"/>
      <c r="V812" s="79"/>
      <c r="W812" s="79"/>
      <c r="Z812" s="130"/>
      <c r="AB812" s="106"/>
    </row>
    <row r="813">
      <c r="C813" s="79"/>
      <c r="D813" s="79"/>
      <c r="E813" s="79"/>
      <c r="M813" s="79"/>
      <c r="R813" s="79"/>
      <c r="S813" s="79"/>
      <c r="V813" s="79"/>
      <c r="W813" s="79"/>
      <c r="Z813" s="130"/>
      <c r="AB813" s="106"/>
    </row>
    <row r="814">
      <c r="C814" s="79"/>
      <c r="D814" s="79"/>
      <c r="E814" s="79"/>
      <c r="M814" s="79"/>
      <c r="R814" s="79"/>
      <c r="S814" s="79"/>
      <c r="V814" s="79"/>
      <c r="W814" s="79"/>
      <c r="Z814" s="130"/>
      <c r="AB814" s="106"/>
    </row>
    <row r="815">
      <c r="C815" s="79"/>
      <c r="D815" s="79"/>
      <c r="E815" s="79"/>
      <c r="M815" s="79"/>
      <c r="R815" s="79"/>
      <c r="S815" s="79"/>
      <c r="V815" s="79"/>
      <c r="W815" s="79"/>
      <c r="Z815" s="130"/>
      <c r="AB815" s="106"/>
    </row>
    <row r="816">
      <c r="C816" s="79"/>
      <c r="D816" s="79"/>
      <c r="E816" s="79"/>
      <c r="M816" s="79"/>
      <c r="R816" s="79"/>
      <c r="S816" s="79"/>
      <c r="V816" s="79"/>
      <c r="W816" s="79"/>
      <c r="Z816" s="130"/>
      <c r="AB816" s="106"/>
    </row>
    <row r="817">
      <c r="C817" s="79"/>
      <c r="D817" s="79"/>
      <c r="E817" s="79"/>
      <c r="M817" s="79"/>
      <c r="R817" s="79"/>
      <c r="S817" s="79"/>
      <c r="V817" s="79"/>
      <c r="W817" s="79"/>
      <c r="Z817" s="130"/>
      <c r="AB817" s="106"/>
    </row>
    <row r="818">
      <c r="C818" s="79"/>
      <c r="D818" s="79"/>
      <c r="E818" s="79"/>
      <c r="M818" s="79"/>
      <c r="R818" s="79"/>
      <c r="S818" s="79"/>
      <c r="V818" s="79"/>
      <c r="W818" s="79"/>
      <c r="Z818" s="130"/>
      <c r="AB818" s="106"/>
    </row>
    <row r="819">
      <c r="C819" s="79"/>
      <c r="D819" s="79"/>
      <c r="E819" s="79"/>
      <c r="M819" s="79"/>
      <c r="R819" s="79"/>
      <c r="S819" s="79"/>
      <c r="V819" s="79"/>
      <c r="W819" s="79"/>
      <c r="Z819" s="130"/>
      <c r="AB819" s="106"/>
    </row>
    <row r="820">
      <c r="C820" s="79"/>
      <c r="D820" s="79"/>
      <c r="E820" s="79"/>
      <c r="M820" s="79"/>
      <c r="R820" s="79"/>
      <c r="S820" s="79"/>
      <c r="V820" s="79"/>
      <c r="W820" s="79"/>
      <c r="Z820" s="130"/>
      <c r="AB820" s="106"/>
    </row>
    <row r="821">
      <c r="C821" s="79"/>
      <c r="D821" s="79"/>
      <c r="E821" s="79"/>
      <c r="M821" s="79"/>
      <c r="R821" s="79"/>
      <c r="S821" s="79"/>
      <c r="V821" s="79"/>
      <c r="W821" s="79"/>
      <c r="Z821" s="130"/>
      <c r="AB821" s="106"/>
    </row>
    <row r="822">
      <c r="C822" s="79"/>
      <c r="D822" s="79"/>
      <c r="E822" s="79"/>
      <c r="M822" s="79"/>
      <c r="R822" s="79"/>
      <c r="S822" s="79"/>
      <c r="V822" s="79"/>
      <c r="W822" s="79"/>
      <c r="Z822" s="130"/>
      <c r="AB822" s="106"/>
    </row>
    <row r="823">
      <c r="C823" s="79"/>
      <c r="D823" s="79"/>
      <c r="E823" s="79"/>
      <c r="M823" s="79"/>
      <c r="R823" s="79"/>
      <c r="S823" s="79"/>
      <c r="V823" s="79"/>
      <c r="W823" s="79"/>
      <c r="Z823" s="130"/>
      <c r="AB823" s="106"/>
    </row>
    <row r="824">
      <c r="C824" s="79"/>
      <c r="D824" s="79"/>
      <c r="E824" s="79"/>
      <c r="M824" s="79"/>
      <c r="R824" s="79"/>
      <c r="S824" s="79"/>
      <c r="V824" s="79"/>
      <c r="W824" s="79"/>
      <c r="Z824" s="130"/>
      <c r="AB824" s="106"/>
    </row>
    <row r="825">
      <c r="C825" s="79"/>
      <c r="D825" s="79"/>
      <c r="E825" s="79"/>
      <c r="M825" s="79"/>
      <c r="R825" s="79"/>
      <c r="S825" s="79"/>
      <c r="V825" s="79"/>
      <c r="W825" s="79"/>
      <c r="Z825" s="130"/>
      <c r="AB825" s="106"/>
    </row>
    <row r="826">
      <c r="C826" s="79"/>
      <c r="D826" s="79"/>
      <c r="E826" s="79"/>
      <c r="M826" s="79"/>
      <c r="R826" s="79"/>
      <c r="S826" s="79"/>
      <c r="V826" s="79"/>
      <c r="W826" s="79"/>
      <c r="Z826" s="130"/>
      <c r="AB826" s="106"/>
    </row>
    <row r="827">
      <c r="C827" s="79"/>
      <c r="D827" s="79"/>
      <c r="E827" s="79"/>
      <c r="M827" s="79"/>
      <c r="R827" s="79"/>
      <c r="S827" s="79"/>
      <c r="V827" s="79"/>
      <c r="W827" s="79"/>
      <c r="Z827" s="130"/>
      <c r="AB827" s="106"/>
    </row>
    <row r="828">
      <c r="C828" s="79"/>
      <c r="D828" s="79"/>
      <c r="E828" s="79"/>
      <c r="M828" s="79"/>
      <c r="R828" s="79"/>
      <c r="S828" s="79"/>
      <c r="V828" s="79"/>
      <c r="W828" s="79"/>
      <c r="Z828" s="130"/>
      <c r="AB828" s="106"/>
    </row>
    <row r="829">
      <c r="C829" s="79"/>
      <c r="D829" s="79"/>
      <c r="E829" s="79"/>
      <c r="M829" s="79"/>
      <c r="R829" s="79"/>
      <c r="S829" s="79"/>
      <c r="V829" s="79"/>
      <c r="W829" s="79"/>
      <c r="Z829" s="130"/>
      <c r="AB829" s="106"/>
    </row>
    <row r="830">
      <c r="C830" s="79"/>
      <c r="D830" s="79"/>
      <c r="E830" s="79"/>
      <c r="M830" s="79"/>
      <c r="R830" s="79"/>
      <c r="S830" s="79"/>
      <c r="V830" s="79"/>
      <c r="W830" s="79"/>
      <c r="Z830" s="130"/>
      <c r="AB830" s="106"/>
    </row>
    <row r="831">
      <c r="C831" s="79"/>
      <c r="D831" s="79"/>
      <c r="E831" s="79"/>
      <c r="M831" s="79"/>
      <c r="R831" s="79"/>
      <c r="S831" s="79"/>
      <c r="V831" s="79"/>
      <c r="W831" s="79"/>
      <c r="Z831" s="130"/>
      <c r="AB831" s="106"/>
    </row>
    <row r="832">
      <c r="C832" s="79"/>
      <c r="D832" s="79"/>
      <c r="E832" s="79"/>
      <c r="M832" s="79"/>
      <c r="R832" s="79"/>
      <c r="S832" s="79"/>
      <c r="V832" s="79"/>
      <c r="W832" s="79"/>
      <c r="Z832" s="130"/>
      <c r="AB832" s="106"/>
    </row>
    <row r="833">
      <c r="C833" s="79"/>
      <c r="D833" s="79"/>
      <c r="E833" s="79"/>
      <c r="M833" s="79"/>
      <c r="R833" s="79"/>
      <c r="S833" s="79"/>
      <c r="V833" s="79"/>
      <c r="W833" s="79"/>
      <c r="Z833" s="130"/>
      <c r="AB833" s="106"/>
    </row>
    <row r="834">
      <c r="C834" s="79"/>
      <c r="D834" s="79"/>
      <c r="E834" s="79"/>
      <c r="M834" s="79"/>
      <c r="R834" s="79"/>
      <c r="S834" s="79"/>
      <c r="V834" s="79"/>
      <c r="W834" s="79"/>
      <c r="Z834" s="130"/>
      <c r="AB834" s="106"/>
    </row>
    <row r="835">
      <c r="C835" s="79"/>
      <c r="D835" s="79"/>
      <c r="E835" s="79"/>
      <c r="M835" s="79"/>
      <c r="R835" s="79"/>
      <c r="S835" s="79"/>
      <c r="V835" s="79"/>
      <c r="W835" s="79"/>
      <c r="Z835" s="130"/>
      <c r="AB835" s="106"/>
    </row>
    <row r="836">
      <c r="C836" s="79"/>
      <c r="D836" s="79"/>
      <c r="E836" s="79"/>
      <c r="M836" s="79"/>
      <c r="R836" s="79"/>
      <c r="S836" s="79"/>
      <c r="V836" s="79"/>
      <c r="W836" s="79"/>
      <c r="Z836" s="130"/>
      <c r="AB836" s="106"/>
    </row>
    <row r="837">
      <c r="C837" s="79"/>
      <c r="D837" s="79"/>
      <c r="E837" s="79"/>
      <c r="M837" s="79"/>
      <c r="R837" s="79"/>
      <c r="S837" s="79"/>
      <c r="V837" s="79"/>
      <c r="W837" s="79"/>
      <c r="Z837" s="130"/>
      <c r="AB837" s="106"/>
    </row>
    <row r="838">
      <c r="C838" s="79"/>
      <c r="D838" s="79"/>
      <c r="E838" s="79"/>
      <c r="M838" s="79"/>
      <c r="R838" s="79"/>
      <c r="S838" s="79"/>
      <c r="V838" s="79"/>
      <c r="W838" s="79"/>
      <c r="Z838" s="130"/>
      <c r="AB838" s="106"/>
    </row>
    <row r="839">
      <c r="C839" s="79"/>
      <c r="D839" s="79"/>
      <c r="E839" s="79"/>
      <c r="M839" s="79"/>
      <c r="R839" s="79"/>
      <c r="S839" s="79"/>
      <c r="V839" s="79"/>
      <c r="W839" s="79"/>
      <c r="Z839" s="130"/>
      <c r="AB839" s="106"/>
    </row>
    <row r="840">
      <c r="C840" s="79"/>
      <c r="D840" s="79"/>
      <c r="E840" s="79"/>
      <c r="M840" s="79"/>
      <c r="R840" s="79"/>
      <c r="S840" s="79"/>
      <c r="V840" s="79"/>
      <c r="W840" s="79"/>
      <c r="Z840" s="130"/>
      <c r="AB840" s="106"/>
    </row>
    <row r="841">
      <c r="C841" s="79"/>
      <c r="D841" s="79"/>
      <c r="E841" s="79"/>
      <c r="M841" s="79"/>
      <c r="R841" s="79"/>
      <c r="S841" s="79"/>
      <c r="V841" s="79"/>
      <c r="W841" s="79"/>
      <c r="Z841" s="130"/>
      <c r="AB841" s="106"/>
    </row>
    <row r="842">
      <c r="C842" s="79"/>
      <c r="D842" s="79"/>
      <c r="E842" s="79"/>
      <c r="M842" s="79"/>
      <c r="R842" s="79"/>
      <c r="S842" s="79"/>
      <c r="V842" s="79"/>
      <c r="W842" s="79"/>
      <c r="Z842" s="130"/>
      <c r="AB842" s="106"/>
    </row>
    <row r="843">
      <c r="C843" s="79"/>
      <c r="D843" s="79"/>
      <c r="E843" s="79"/>
      <c r="M843" s="79"/>
      <c r="R843" s="79"/>
      <c r="S843" s="79"/>
      <c r="V843" s="79"/>
      <c r="W843" s="79"/>
      <c r="Z843" s="130"/>
      <c r="AB843" s="106"/>
    </row>
    <row r="844">
      <c r="C844" s="79"/>
      <c r="D844" s="79"/>
      <c r="E844" s="79"/>
      <c r="M844" s="79"/>
      <c r="R844" s="79"/>
      <c r="S844" s="79"/>
      <c r="V844" s="79"/>
      <c r="W844" s="79"/>
      <c r="Z844" s="130"/>
      <c r="AB844" s="106"/>
    </row>
    <row r="845">
      <c r="C845" s="79"/>
      <c r="D845" s="79"/>
      <c r="E845" s="79"/>
      <c r="M845" s="79"/>
      <c r="R845" s="79"/>
      <c r="S845" s="79"/>
      <c r="V845" s="79"/>
      <c r="W845" s="79"/>
      <c r="Z845" s="130"/>
      <c r="AB845" s="106"/>
    </row>
    <row r="846">
      <c r="C846" s="79"/>
      <c r="D846" s="79"/>
      <c r="E846" s="79"/>
      <c r="M846" s="79"/>
      <c r="R846" s="79"/>
      <c r="S846" s="79"/>
      <c r="V846" s="79"/>
      <c r="W846" s="79"/>
      <c r="Z846" s="130"/>
      <c r="AB846" s="106"/>
    </row>
    <row r="847">
      <c r="C847" s="79"/>
      <c r="D847" s="79"/>
      <c r="E847" s="79"/>
      <c r="M847" s="79"/>
      <c r="R847" s="79"/>
      <c r="S847" s="79"/>
      <c r="V847" s="79"/>
      <c r="W847" s="79"/>
      <c r="Z847" s="130"/>
      <c r="AB847" s="106"/>
    </row>
    <row r="848">
      <c r="C848" s="79"/>
      <c r="D848" s="79"/>
      <c r="E848" s="79"/>
      <c r="M848" s="79"/>
      <c r="R848" s="79"/>
      <c r="S848" s="79"/>
      <c r="V848" s="79"/>
      <c r="W848" s="79"/>
      <c r="Z848" s="130"/>
      <c r="AB848" s="106"/>
    </row>
    <row r="849">
      <c r="C849" s="79"/>
      <c r="D849" s="79"/>
      <c r="E849" s="79"/>
      <c r="M849" s="79"/>
      <c r="R849" s="79"/>
      <c r="S849" s="79"/>
      <c r="V849" s="79"/>
      <c r="W849" s="79"/>
      <c r="Z849" s="130"/>
      <c r="AB849" s="106"/>
    </row>
    <row r="850">
      <c r="C850" s="79"/>
      <c r="D850" s="79"/>
      <c r="E850" s="79"/>
      <c r="M850" s="79"/>
      <c r="R850" s="79"/>
      <c r="S850" s="79"/>
      <c r="V850" s="79"/>
      <c r="W850" s="79"/>
      <c r="Z850" s="130"/>
      <c r="AB850" s="106"/>
    </row>
    <row r="851">
      <c r="C851" s="79"/>
      <c r="D851" s="79"/>
      <c r="E851" s="79"/>
      <c r="M851" s="79"/>
      <c r="R851" s="79"/>
      <c r="S851" s="79"/>
      <c r="V851" s="79"/>
      <c r="W851" s="79"/>
      <c r="Z851" s="130"/>
      <c r="AB851" s="106"/>
    </row>
    <row r="852">
      <c r="C852" s="79"/>
      <c r="D852" s="79"/>
      <c r="E852" s="79"/>
      <c r="M852" s="79"/>
      <c r="R852" s="79"/>
      <c r="S852" s="79"/>
      <c r="V852" s="79"/>
      <c r="W852" s="79"/>
      <c r="Z852" s="130"/>
      <c r="AB852" s="106"/>
    </row>
    <row r="853">
      <c r="C853" s="79"/>
      <c r="D853" s="79"/>
      <c r="E853" s="79"/>
      <c r="M853" s="79"/>
      <c r="R853" s="79"/>
      <c r="S853" s="79"/>
      <c r="V853" s="79"/>
      <c r="W853" s="79"/>
      <c r="Z853" s="130"/>
      <c r="AB853" s="106"/>
    </row>
    <row r="854">
      <c r="C854" s="79"/>
      <c r="D854" s="79"/>
      <c r="E854" s="79"/>
      <c r="M854" s="79"/>
      <c r="R854" s="79"/>
      <c r="S854" s="79"/>
      <c r="V854" s="79"/>
      <c r="W854" s="79"/>
      <c r="Z854" s="130"/>
      <c r="AB854" s="106"/>
    </row>
    <row r="855">
      <c r="C855" s="79"/>
      <c r="D855" s="79"/>
      <c r="E855" s="79"/>
      <c r="M855" s="79"/>
      <c r="R855" s="79"/>
      <c r="S855" s="79"/>
      <c r="V855" s="79"/>
      <c r="W855" s="79"/>
      <c r="Z855" s="130"/>
      <c r="AB855" s="106"/>
    </row>
    <row r="856">
      <c r="C856" s="79"/>
      <c r="D856" s="79"/>
      <c r="E856" s="79"/>
      <c r="M856" s="79"/>
      <c r="R856" s="79"/>
      <c r="S856" s="79"/>
      <c r="V856" s="79"/>
      <c r="W856" s="79"/>
      <c r="Z856" s="130"/>
      <c r="AB856" s="106"/>
    </row>
    <row r="857">
      <c r="C857" s="79"/>
      <c r="D857" s="79"/>
      <c r="E857" s="79"/>
      <c r="M857" s="79"/>
      <c r="R857" s="79"/>
      <c r="S857" s="79"/>
      <c r="V857" s="79"/>
      <c r="W857" s="79"/>
      <c r="Z857" s="130"/>
      <c r="AB857" s="106"/>
    </row>
    <row r="858">
      <c r="C858" s="79"/>
      <c r="D858" s="79"/>
      <c r="E858" s="79"/>
      <c r="M858" s="79"/>
      <c r="R858" s="79"/>
      <c r="S858" s="79"/>
      <c r="V858" s="79"/>
      <c r="W858" s="79"/>
      <c r="Z858" s="130"/>
      <c r="AB858" s="106"/>
    </row>
    <row r="859">
      <c r="C859" s="79"/>
      <c r="D859" s="79"/>
      <c r="E859" s="79"/>
      <c r="M859" s="79"/>
      <c r="R859" s="79"/>
      <c r="S859" s="79"/>
      <c r="V859" s="79"/>
      <c r="W859" s="79"/>
      <c r="Z859" s="130"/>
      <c r="AB859" s="106"/>
    </row>
    <row r="860">
      <c r="C860" s="79"/>
      <c r="D860" s="79"/>
      <c r="E860" s="79"/>
      <c r="M860" s="79"/>
      <c r="R860" s="79"/>
      <c r="S860" s="79"/>
      <c r="V860" s="79"/>
      <c r="W860" s="79"/>
      <c r="Z860" s="130"/>
      <c r="AB860" s="106"/>
    </row>
    <row r="861">
      <c r="C861" s="79"/>
      <c r="D861" s="79"/>
      <c r="E861" s="79"/>
      <c r="M861" s="79"/>
      <c r="R861" s="79"/>
      <c r="S861" s="79"/>
      <c r="V861" s="79"/>
      <c r="W861" s="79"/>
      <c r="Z861" s="130"/>
      <c r="AB861" s="106"/>
    </row>
    <row r="862">
      <c r="C862" s="79"/>
      <c r="D862" s="79"/>
      <c r="E862" s="79"/>
      <c r="M862" s="79"/>
      <c r="R862" s="79"/>
      <c r="S862" s="79"/>
      <c r="V862" s="79"/>
      <c r="W862" s="79"/>
      <c r="Z862" s="130"/>
      <c r="AB862" s="106"/>
    </row>
    <row r="863">
      <c r="C863" s="79"/>
      <c r="D863" s="79"/>
      <c r="E863" s="79"/>
      <c r="M863" s="79"/>
      <c r="R863" s="79"/>
      <c r="S863" s="79"/>
      <c r="V863" s="79"/>
      <c r="W863" s="79"/>
      <c r="Z863" s="130"/>
      <c r="AB863" s="106"/>
    </row>
    <row r="864">
      <c r="C864" s="79"/>
      <c r="D864" s="79"/>
      <c r="E864" s="79"/>
      <c r="M864" s="79"/>
      <c r="R864" s="79"/>
      <c r="S864" s="79"/>
      <c r="V864" s="79"/>
      <c r="W864" s="79"/>
      <c r="Z864" s="130"/>
      <c r="AB864" s="106"/>
    </row>
    <row r="865">
      <c r="C865" s="79"/>
      <c r="D865" s="79"/>
      <c r="E865" s="79"/>
      <c r="M865" s="79"/>
      <c r="R865" s="79"/>
      <c r="S865" s="79"/>
      <c r="V865" s="79"/>
      <c r="W865" s="79"/>
      <c r="Z865" s="130"/>
      <c r="AB865" s="106"/>
    </row>
    <row r="866">
      <c r="C866" s="79"/>
      <c r="D866" s="79"/>
      <c r="E866" s="79"/>
      <c r="M866" s="79"/>
      <c r="R866" s="79"/>
      <c r="S866" s="79"/>
      <c r="V866" s="79"/>
      <c r="W866" s="79"/>
      <c r="Z866" s="130"/>
      <c r="AB866" s="106"/>
    </row>
    <row r="867">
      <c r="C867" s="79"/>
      <c r="D867" s="79"/>
      <c r="E867" s="79"/>
      <c r="M867" s="79"/>
      <c r="R867" s="79"/>
      <c r="S867" s="79"/>
      <c r="V867" s="79"/>
      <c r="W867" s="79"/>
      <c r="Z867" s="130"/>
      <c r="AB867" s="106"/>
    </row>
    <row r="868">
      <c r="C868" s="79"/>
      <c r="D868" s="79"/>
      <c r="E868" s="79"/>
      <c r="M868" s="79"/>
      <c r="R868" s="79"/>
      <c r="S868" s="79"/>
      <c r="V868" s="79"/>
      <c r="W868" s="79"/>
      <c r="Z868" s="130"/>
      <c r="AB868" s="106"/>
    </row>
    <row r="869">
      <c r="C869" s="79"/>
      <c r="D869" s="79"/>
      <c r="E869" s="79"/>
      <c r="M869" s="79"/>
      <c r="R869" s="79"/>
      <c r="S869" s="79"/>
      <c r="V869" s="79"/>
      <c r="W869" s="79"/>
      <c r="Z869" s="130"/>
      <c r="AB869" s="106"/>
    </row>
    <row r="870">
      <c r="C870" s="79"/>
      <c r="D870" s="79"/>
      <c r="E870" s="79"/>
      <c r="M870" s="79"/>
      <c r="R870" s="79"/>
      <c r="S870" s="79"/>
      <c r="V870" s="79"/>
      <c r="W870" s="79"/>
      <c r="Z870" s="130"/>
      <c r="AB870" s="106"/>
    </row>
    <row r="871">
      <c r="C871" s="79"/>
      <c r="D871" s="79"/>
      <c r="E871" s="79"/>
      <c r="M871" s="79"/>
      <c r="R871" s="79"/>
      <c r="S871" s="79"/>
      <c r="V871" s="79"/>
      <c r="W871" s="79"/>
      <c r="Z871" s="130"/>
      <c r="AB871" s="106"/>
    </row>
    <row r="872">
      <c r="C872" s="79"/>
      <c r="D872" s="79"/>
      <c r="E872" s="79"/>
      <c r="M872" s="79"/>
      <c r="R872" s="79"/>
      <c r="S872" s="79"/>
      <c r="V872" s="79"/>
      <c r="W872" s="79"/>
      <c r="Z872" s="130"/>
      <c r="AB872" s="106"/>
    </row>
    <row r="873">
      <c r="C873" s="79"/>
      <c r="D873" s="79"/>
      <c r="E873" s="79"/>
      <c r="M873" s="79"/>
      <c r="R873" s="79"/>
      <c r="S873" s="79"/>
      <c r="V873" s="79"/>
      <c r="W873" s="79"/>
      <c r="Z873" s="130"/>
      <c r="AB873" s="106"/>
    </row>
    <row r="874">
      <c r="C874" s="79"/>
      <c r="D874" s="79"/>
      <c r="E874" s="79"/>
      <c r="M874" s="79"/>
      <c r="R874" s="79"/>
      <c r="S874" s="79"/>
      <c r="V874" s="79"/>
      <c r="W874" s="79"/>
      <c r="Z874" s="130"/>
      <c r="AB874" s="106"/>
    </row>
    <row r="875">
      <c r="C875" s="79"/>
      <c r="D875" s="79"/>
      <c r="E875" s="79"/>
      <c r="M875" s="79"/>
      <c r="R875" s="79"/>
      <c r="S875" s="79"/>
      <c r="V875" s="79"/>
      <c r="W875" s="79"/>
      <c r="Z875" s="130"/>
      <c r="AB875" s="106"/>
    </row>
    <row r="876">
      <c r="C876" s="79"/>
      <c r="D876" s="79"/>
      <c r="E876" s="79"/>
      <c r="M876" s="79"/>
      <c r="R876" s="79"/>
      <c r="S876" s="79"/>
      <c r="V876" s="79"/>
      <c r="W876" s="79"/>
      <c r="Z876" s="130"/>
      <c r="AB876" s="106"/>
    </row>
    <row r="877">
      <c r="C877" s="79"/>
      <c r="D877" s="79"/>
      <c r="E877" s="79"/>
      <c r="M877" s="79"/>
      <c r="R877" s="79"/>
      <c r="S877" s="79"/>
      <c r="V877" s="79"/>
      <c r="W877" s="79"/>
      <c r="Z877" s="130"/>
      <c r="AB877" s="106"/>
    </row>
    <row r="878">
      <c r="C878" s="79"/>
      <c r="D878" s="79"/>
      <c r="E878" s="79"/>
      <c r="M878" s="79"/>
      <c r="R878" s="79"/>
      <c r="S878" s="79"/>
      <c r="V878" s="79"/>
      <c r="W878" s="79"/>
      <c r="Z878" s="130"/>
      <c r="AB878" s="106"/>
    </row>
    <row r="879">
      <c r="C879" s="79"/>
      <c r="D879" s="79"/>
      <c r="E879" s="79"/>
      <c r="M879" s="79"/>
      <c r="R879" s="79"/>
      <c r="S879" s="79"/>
      <c r="V879" s="79"/>
      <c r="W879" s="79"/>
      <c r="Z879" s="130"/>
      <c r="AB879" s="106"/>
    </row>
    <row r="880">
      <c r="C880" s="79"/>
      <c r="D880" s="79"/>
      <c r="E880" s="79"/>
      <c r="M880" s="79"/>
      <c r="R880" s="79"/>
      <c r="S880" s="79"/>
      <c r="V880" s="79"/>
      <c r="W880" s="79"/>
      <c r="Z880" s="130"/>
      <c r="AB880" s="106"/>
    </row>
    <row r="881">
      <c r="C881" s="79"/>
      <c r="D881" s="79"/>
      <c r="E881" s="79"/>
      <c r="M881" s="79"/>
      <c r="R881" s="79"/>
      <c r="S881" s="79"/>
      <c r="V881" s="79"/>
      <c r="W881" s="79"/>
      <c r="Z881" s="130"/>
      <c r="AB881" s="106"/>
    </row>
    <row r="882">
      <c r="C882" s="79"/>
      <c r="D882" s="79"/>
      <c r="E882" s="79"/>
      <c r="M882" s="79"/>
      <c r="R882" s="79"/>
      <c r="S882" s="79"/>
      <c r="V882" s="79"/>
      <c r="W882" s="79"/>
      <c r="Z882" s="130"/>
      <c r="AB882" s="106"/>
    </row>
    <row r="883">
      <c r="C883" s="79"/>
      <c r="D883" s="79"/>
      <c r="E883" s="79"/>
      <c r="M883" s="79"/>
      <c r="R883" s="79"/>
      <c r="S883" s="79"/>
      <c r="V883" s="79"/>
      <c r="W883" s="79"/>
      <c r="Z883" s="130"/>
      <c r="AB883" s="106"/>
    </row>
    <row r="884">
      <c r="C884" s="79"/>
      <c r="D884" s="79"/>
      <c r="E884" s="79"/>
      <c r="M884" s="79"/>
      <c r="R884" s="79"/>
      <c r="S884" s="79"/>
      <c r="V884" s="79"/>
      <c r="W884" s="79"/>
      <c r="Z884" s="130"/>
      <c r="AB884" s="106"/>
    </row>
    <row r="885">
      <c r="C885" s="79"/>
      <c r="D885" s="79"/>
      <c r="E885" s="79"/>
      <c r="M885" s="79"/>
      <c r="R885" s="79"/>
      <c r="S885" s="79"/>
      <c r="V885" s="79"/>
      <c r="W885" s="79"/>
      <c r="Z885" s="130"/>
      <c r="AB885" s="106"/>
    </row>
    <row r="886">
      <c r="C886" s="79"/>
      <c r="D886" s="79"/>
      <c r="E886" s="79"/>
      <c r="M886" s="79"/>
      <c r="R886" s="79"/>
      <c r="S886" s="79"/>
      <c r="V886" s="79"/>
      <c r="W886" s="79"/>
      <c r="Z886" s="130"/>
      <c r="AB886" s="106"/>
    </row>
    <row r="887">
      <c r="C887" s="79"/>
      <c r="D887" s="79"/>
      <c r="E887" s="79"/>
      <c r="M887" s="79"/>
      <c r="R887" s="79"/>
      <c r="S887" s="79"/>
      <c r="V887" s="79"/>
      <c r="W887" s="79"/>
      <c r="Z887" s="130"/>
      <c r="AB887" s="106"/>
    </row>
    <row r="888">
      <c r="C888" s="79"/>
      <c r="D888" s="79"/>
      <c r="E888" s="79"/>
      <c r="M888" s="79"/>
      <c r="R888" s="79"/>
      <c r="S888" s="79"/>
      <c r="V888" s="79"/>
      <c r="W888" s="79"/>
      <c r="Z888" s="130"/>
      <c r="AB888" s="106"/>
    </row>
    <row r="889">
      <c r="C889" s="79"/>
      <c r="D889" s="79"/>
      <c r="E889" s="79"/>
      <c r="M889" s="79"/>
      <c r="R889" s="79"/>
      <c r="S889" s="79"/>
      <c r="V889" s="79"/>
      <c r="W889" s="79"/>
      <c r="Z889" s="130"/>
      <c r="AB889" s="106"/>
    </row>
    <row r="890">
      <c r="C890" s="79"/>
      <c r="D890" s="79"/>
      <c r="E890" s="79"/>
      <c r="M890" s="79"/>
      <c r="R890" s="79"/>
      <c r="S890" s="79"/>
      <c r="V890" s="79"/>
      <c r="W890" s="79"/>
      <c r="Z890" s="130"/>
      <c r="AB890" s="106"/>
    </row>
    <row r="891">
      <c r="C891" s="79"/>
      <c r="D891" s="79"/>
      <c r="E891" s="79"/>
      <c r="M891" s="79"/>
      <c r="R891" s="79"/>
      <c r="S891" s="79"/>
      <c r="V891" s="79"/>
      <c r="W891" s="79"/>
      <c r="Z891" s="130"/>
      <c r="AB891" s="106"/>
    </row>
    <row r="892">
      <c r="C892" s="79"/>
      <c r="D892" s="79"/>
      <c r="E892" s="79"/>
      <c r="M892" s="79"/>
      <c r="R892" s="79"/>
      <c r="S892" s="79"/>
      <c r="V892" s="79"/>
      <c r="W892" s="79"/>
      <c r="Z892" s="130"/>
      <c r="AB892" s="106"/>
    </row>
    <row r="893">
      <c r="C893" s="79"/>
      <c r="D893" s="79"/>
      <c r="E893" s="79"/>
      <c r="M893" s="79"/>
      <c r="R893" s="79"/>
      <c r="S893" s="79"/>
      <c r="V893" s="79"/>
      <c r="W893" s="79"/>
      <c r="Z893" s="130"/>
      <c r="AB893" s="106"/>
    </row>
    <row r="894">
      <c r="C894" s="79"/>
      <c r="D894" s="79"/>
      <c r="E894" s="79"/>
      <c r="M894" s="79"/>
      <c r="R894" s="79"/>
      <c r="S894" s="79"/>
      <c r="V894" s="79"/>
      <c r="W894" s="79"/>
      <c r="Z894" s="130"/>
      <c r="AB894" s="106"/>
    </row>
    <row r="895">
      <c r="C895" s="79"/>
      <c r="D895" s="79"/>
      <c r="E895" s="79"/>
      <c r="M895" s="79"/>
      <c r="R895" s="79"/>
      <c r="S895" s="79"/>
      <c r="V895" s="79"/>
      <c r="W895" s="79"/>
      <c r="Z895" s="130"/>
      <c r="AB895" s="106"/>
    </row>
    <row r="896">
      <c r="C896" s="79"/>
      <c r="D896" s="79"/>
      <c r="E896" s="79"/>
      <c r="M896" s="79"/>
      <c r="R896" s="79"/>
      <c r="S896" s="79"/>
      <c r="V896" s="79"/>
      <c r="W896" s="79"/>
      <c r="Z896" s="130"/>
      <c r="AB896" s="106"/>
    </row>
    <row r="897">
      <c r="C897" s="79"/>
      <c r="D897" s="79"/>
      <c r="E897" s="79"/>
      <c r="M897" s="79"/>
      <c r="R897" s="79"/>
      <c r="S897" s="79"/>
      <c r="V897" s="79"/>
      <c r="W897" s="79"/>
      <c r="Z897" s="130"/>
      <c r="AB897" s="106"/>
    </row>
    <row r="898">
      <c r="C898" s="79"/>
      <c r="D898" s="79"/>
      <c r="E898" s="79"/>
      <c r="M898" s="79"/>
      <c r="R898" s="79"/>
      <c r="S898" s="79"/>
      <c r="V898" s="79"/>
      <c r="W898" s="79"/>
      <c r="Z898" s="130"/>
      <c r="AB898" s="106"/>
    </row>
    <row r="899">
      <c r="C899" s="79"/>
      <c r="D899" s="79"/>
      <c r="E899" s="79"/>
      <c r="M899" s="79"/>
      <c r="R899" s="79"/>
      <c r="S899" s="79"/>
      <c r="V899" s="79"/>
      <c r="W899" s="79"/>
      <c r="Z899" s="130"/>
      <c r="AB899" s="106"/>
    </row>
    <row r="900">
      <c r="C900" s="79"/>
      <c r="D900" s="79"/>
      <c r="E900" s="79"/>
      <c r="M900" s="79"/>
      <c r="R900" s="79"/>
      <c r="S900" s="79"/>
      <c r="V900" s="79"/>
      <c r="W900" s="79"/>
      <c r="Z900" s="130"/>
      <c r="AB900" s="106"/>
    </row>
    <row r="901">
      <c r="C901" s="79"/>
      <c r="D901" s="79"/>
      <c r="E901" s="79"/>
      <c r="M901" s="79"/>
      <c r="R901" s="79"/>
      <c r="S901" s="79"/>
      <c r="V901" s="79"/>
      <c r="W901" s="79"/>
      <c r="Z901" s="130"/>
      <c r="AB901" s="106"/>
    </row>
    <row r="902">
      <c r="C902" s="79"/>
      <c r="D902" s="79"/>
      <c r="E902" s="79"/>
      <c r="M902" s="79"/>
      <c r="R902" s="79"/>
      <c r="S902" s="79"/>
      <c r="V902" s="79"/>
      <c r="W902" s="79"/>
      <c r="Z902" s="130"/>
      <c r="AB902" s="106"/>
    </row>
    <row r="903">
      <c r="C903" s="79"/>
      <c r="D903" s="79"/>
      <c r="E903" s="79"/>
      <c r="M903" s="79"/>
      <c r="R903" s="79"/>
      <c r="S903" s="79"/>
      <c r="V903" s="79"/>
      <c r="W903" s="79"/>
      <c r="Z903" s="130"/>
      <c r="AB903" s="106"/>
    </row>
    <row r="904">
      <c r="C904" s="79"/>
      <c r="D904" s="79"/>
      <c r="E904" s="79"/>
      <c r="M904" s="79"/>
      <c r="R904" s="79"/>
      <c r="S904" s="79"/>
      <c r="V904" s="79"/>
      <c r="W904" s="79"/>
      <c r="Z904" s="130"/>
      <c r="AB904" s="106"/>
    </row>
    <row r="905">
      <c r="C905" s="79"/>
      <c r="D905" s="79"/>
      <c r="E905" s="79"/>
      <c r="M905" s="79"/>
      <c r="R905" s="79"/>
      <c r="S905" s="79"/>
      <c r="V905" s="79"/>
      <c r="W905" s="79"/>
      <c r="Z905" s="130"/>
      <c r="AB905" s="106"/>
    </row>
    <row r="906">
      <c r="C906" s="79"/>
      <c r="D906" s="79"/>
      <c r="E906" s="79"/>
      <c r="M906" s="79"/>
      <c r="R906" s="79"/>
      <c r="S906" s="79"/>
      <c r="V906" s="79"/>
      <c r="W906" s="79"/>
      <c r="Z906" s="130"/>
      <c r="AB906" s="106"/>
    </row>
    <row r="907">
      <c r="C907" s="79"/>
      <c r="D907" s="79"/>
      <c r="E907" s="79"/>
      <c r="M907" s="79"/>
      <c r="R907" s="79"/>
      <c r="S907" s="79"/>
      <c r="V907" s="79"/>
      <c r="W907" s="79"/>
      <c r="Z907" s="130"/>
      <c r="AB907" s="106"/>
    </row>
    <row r="908">
      <c r="C908" s="79"/>
      <c r="D908" s="79"/>
      <c r="E908" s="79"/>
      <c r="M908" s="79"/>
      <c r="R908" s="79"/>
      <c r="S908" s="79"/>
      <c r="V908" s="79"/>
      <c r="W908" s="79"/>
      <c r="Z908" s="130"/>
      <c r="AB908" s="106"/>
    </row>
    <row r="909">
      <c r="C909" s="79"/>
      <c r="D909" s="79"/>
      <c r="E909" s="79"/>
      <c r="M909" s="79"/>
      <c r="R909" s="79"/>
      <c r="S909" s="79"/>
      <c r="V909" s="79"/>
      <c r="W909" s="79"/>
      <c r="Z909" s="130"/>
      <c r="AB909" s="106"/>
    </row>
    <row r="910">
      <c r="C910" s="79"/>
      <c r="D910" s="79"/>
      <c r="E910" s="79"/>
      <c r="M910" s="79"/>
      <c r="R910" s="79"/>
      <c r="S910" s="79"/>
      <c r="V910" s="79"/>
      <c r="W910" s="79"/>
      <c r="Z910" s="130"/>
      <c r="AB910" s="106"/>
    </row>
    <row r="911">
      <c r="C911" s="79"/>
      <c r="D911" s="79"/>
      <c r="E911" s="79"/>
      <c r="M911" s="79"/>
      <c r="R911" s="79"/>
      <c r="S911" s="79"/>
      <c r="V911" s="79"/>
      <c r="W911" s="79"/>
      <c r="Z911" s="130"/>
      <c r="AB911" s="106"/>
    </row>
    <row r="912">
      <c r="C912" s="79"/>
      <c r="D912" s="79"/>
      <c r="E912" s="79"/>
      <c r="M912" s="79"/>
      <c r="R912" s="79"/>
      <c r="S912" s="79"/>
      <c r="V912" s="79"/>
      <c r="W912" s="79"/>
      <c r="Z912" s="130"/>
      <c r="AB912" s="106"/>
    </row>
    <row r="913">
      <c r="C913" s="79"/>
      <c r="D913" s="79"/>
      <c r="E913" s="79"/>
      <c r="M913" s="79"/>
      <c r="R913" s="79"/>
      <c r="S913" s="79"/>
      <c r="V913" s="79"/>
      <c r="W913" s="79"/>
      <c r="Z913" s="130"/>
      <c r="AB913" s="106"/>
    </row>
    <row r="914">
      <c r="C914" s="79"/>
      <c r="D914" s="79"/>
      <c r="E914" s="79"/>
      <c r="M914" s="79"/>
      <c r="R914" s="79"/>
      <c r="S914" s="79"/>
      <c r="V914" s="79"/>
      <c r="W914" s="79"/>
      <c r="Z914" s="130"/>
      <c r="AB914" s="106"/>
    </row>
    <row r="915">
      <c r="C915" s="79"/>
      <c r="D915" s="79"/>
      <c r="E915" s="79"/>
      <c r="M915" s="79"/>
      <c r="R915" s="79"/>
      <c r="S915" s="79"/>
      <c r="V915" s="79"/>
      <c r="W915" s="79"/>
      <c r="Z915" s="130"/>
      <c r="AB915" s="106"/>
    </row>
    <row r="916">
      <c r="C916" s="79"/>
      <c r="D916" s="79"/>
      <c r="E916" s="79"/>
      <c r="M916" s="79"/>
      <c r="R916" s="79"/>
      <c r="S916" s="79"/>
      <c r="V916" s="79"/>
      <c r="W916" s="79"/>
      <c r="Z916" s="130"/>
      <c r="AB916" s="106"/>
    </row>
    <row r="917">
      <c r="C917" s="79"/>
      <c r="D917" s="79"/>
      <c r="E917" s="79"/>
      <c r="M917" s="79"/>
      <c r="R917" s="79"/>
      <c r="S917" s="79"/>
      <c r="V917" s="79"/>
      <c r="W917" s="79"/>
      <c r="Z917" s="130"/>
      <c r="AB917" s="106"/>
    </row>
    <row r="918">
      <c r="C918" s="79"/>
      <c r="D918" s="79"/>
      <c r="E918" s="79"/>
      <c r="M918" s="79"/>
      <c r="R918" s="79"/>
      <c r="S918" s="79"/>
      <c r="V918" s="79"/>
      <c r="W918" s="79"/>
      <c r="Z918" s="130"/>
      <c r="AB918" s="106"/>
    </row>
    <row r="919">
      <c r="C919" s="79"/>
      <c r="D919" s="79"/>
      <c r="E919" s="79"/>
      <c r="M919" s="79"/>
      <c r="R919" s="79"/>
      <c r="S919" s="79"/>
      <c r="V919" s="79"/>
      <c r="W919" s="79"/>
      <c r="Z919" s="130"/>
      <c r="AB919" s="106"/>
    </row>
    <row r="920">
      <c r="C920" s="79"/>
      <c r="D920" s="79"/>
      <c r="E920" s="79"/>
      <c r="M920" s="79"/>
      <c r="R920" s="79"/>
      <c r="S920" s="79"/>
      <c r="V920" s="79"/>
      <c r="W920" s="79"/>
      <c r="Z920" s="130"/>
      <c r="AB920" s="106"/>
    </row>
    <row r="921">
      <c r="C921" s="79"/>
      <c r="D921" s="79"/>
      <c r="E921" s="79"/>
      <c r="M921" s="79"/>
      <c r="R921" s="79"/>
      <c r="S921" s="79"/>
      <c r="V921" s="79"/>
      <c r="W921" s="79"/>
      <c r="Z921" s="130"/>
      <c r="AB921" s="106"/>
    </row>
    <row r="922">
      <c r="C922" s="79"/>
      <c r="D922" s="79"/>
      <c r="E922" s="79"/>
      <c r="M922" s="79"/>
      <c r="R922" s="79"/>
      <c r="S922" s="79"/>
      <c r="V922" s="79"/>
      <c r="W922" s="79"/>
      <c r="Z922" s="130"/>
      <c r="AB922" s="106"/>
    </row>
    <row r="923">
      <c r="C923" s="79"/>
      <c r="D923" s="79"/>
      <c r="E923" s="79"/>
      <c r="M923" s="79"/>
      <c r="R923" s="79"/>
      <c r="S923" s="79"/>
      <c r="V923" s="79"/>
      <c r="W923" s="79"/>
      <c r="Z923" s="130"/>
      <c r="AB923" s="106"/>
    </row>
    <row r="924">
      <c r="C924" s="79"/>
      <c r="D924" s="79"/>
      <c r="E924" s="79"/>
      <c r="M924" s="79"/>
      <c r="R924" s="79"/>
      <c r="S924" s="79"/>
      <c r="V924" s="79"/>
      <c r="W924" s="79"/>
      <c r="Z924" s="130"/>
      <c r="AB924" s="106"/>
    </row>
    <row r="925">
      <c r="C925" s="79"/>
      <c r="D925" s="79"/>
      <c r="E925" s="79"/>
      <c r="M925" s="79"/>
      <c r="R925" s="79"/>
      <c r="S925" s="79"/>
      <c r="V925" s="79"/>
      <c r="W925" s="79"/>
      <c r="Z925" s="130"/>
      <c r="AB925" s="106"/>
    </row>
    <row r="926">
      <c r="C926" s="79"/>
      <c r="D926" s="79"/>
      <c r="E926" s="79"/>
      <c r="M926" s="79"/>
      <c r="R926" s="79"/>
      <c r="S926" s="79"/>
      <c r="V926" s="79"/>
      <c r="W926" s="79"/>
      <c r="Z926" s="130"/>
      <c r="AB926" s="106"/>
    </row>
    <row r="927">
      <c r="C927" s="79"/>
      <c r="D927" s="79"/>
      <c r="E927" s="79"/>
      <c r="M927" s="79"/>
      <c r="R927" s="79"/>
      <c r="S927" s="79"/>
      <c r="V927" s="79"/>
      <c r="W927" s="79"/>
      <c r="Z927" s="130"/>
      <c r="AB927" s="106"/>
    </row>
    <row r="928">
      <c r="C928" s="79"/>
      <c r="D928" s="79"/>
      <c r="E928" s="79"/>
      <c r="M928" s="79"/>
      <c r="R928" s="79"/>
      <c r="S928" s="79"/>
      <c r="V928" s="79"/>
      <c r="W928" s="79"/>
      <c r="Z928" s="130"/>
      <c r="AB928" s="106"/>
    </row>
    <row r="929">
      <c r="C929" s="79"/>
      <c r="D929" s="79"/>
      <c r="E929" s="79"/>
      <c r="M929" s="79"/>
      <c r="R929" s="79"/>
      <c r="S929" s="79"/>
      <c r="V929" s="79"/>
      <c r="W929" s="79"/>
      <c r="Z929" s="130"/>
      <c r="AB929" s="106"/>
    </row>
    <row r="930">
      <c r="C930" s="79"/>
      <c r="D930" s="79"/>
      <c r="E930" s="79"/>
      <c r="M930" s="79"/>
      <c r="R930" s="79"/>
      <c r="S930" s="79"/>
      <c r="V930" s="79"/>
      <c r="W930" s="79"/>
      <c r="Z930" s="130"/>
      <c r="AB930" s="106"/>
    </row>
    <row r="931">
      <c r="C931" s="79"/>
      <c r="D931" s="79"/>
      <c r="E931" s="79"/>
      <c r="M931" s="79"/>
      <c r="R931" s="79"/>
      <c r="S931" s="79"/>
      <c r="V931" s="79"/>
      <c r="W931" s="79"/>
      <c r="Z931" s="130"/>
      <c r="AB931" s="106"/>
    </row>
    <row r="932">
      <c r="C932" s="79"/>
      <c r="D932" s="79"/>
      <c r="E932" s="79"/>
      <c r="M932" s="79"/>
      <c r="R932" s="79"/>
      <c r="S932" s="79"/>
      <c r="V932" s="79"/>
      <c r="W932" s="79"/>
      <c r="Z932" s="130"/>
      <c r="AB932" s="106"/>
    </row>
    <row r="933">
      <c r="C933" s="79"/>
      <c r="D933" s="79"/>
      <c r="E933" s="79"/>
      <c r="M933" s="79"/>
      <c r="R933" s="79"/>
      <c r="S933" s="79"/>
      <c r="V933" s="79"/>
      <c r="W933" s="79"/>
      <c r="Z933" s="130"/>
      <c r="AB933" s="106"/>
    </row>
    <row r="934">
      <c r="C934" s="79"/>
      <c r="D934" s="79"/>
      <c r="E934" s="79"/>
      <c r="M934" s="79"/>
      <c r="R934" s="79"/>
      <c r="S934" s="79"/>
      <c r="V934" s="79"/>
      <c r="W934" s="79"/>
      <c r="Z934" s="130"/>
      <c r="AB934" s="106"/>
    </row>
    <row r="935">
      <c r="C935" s="79"/>
      <c r="D935" s="79"/>
      <c r="E935" s="79"/>
      <c r="M935" s="79"/>
      <c r="R935" s="79"/>
      <c r="S935" s="79"/>
      <c r="V935" s="79"/>
      <c r="W935" s="79"/>
      <c r="Z935" s="130"/>
      <c r="AB935" s="106"/>
    </row>
    <row r="936">
      <c r="C936" s="79"/>
      <c r="D936" s="79"/>
      <c r="E936" s="79"/>
      <c r="M936" s="79"/>
      <c r="R936" s="79"/>
      <c r="S936" s="79"/>
      <c r="V936" s="79"/>
      <c r="W936" s="79"/>
      <c r="Z936" s="130"/>
      <c r="AB936" s="106"/>
    </row>
    <row r="937">
      <c r="C937" s="79"/>
      <c r="D937" s="79"/>
      <c r="E937" s="79"/>
      <c r="M937" s="79"/>
      <c r="R937" s="79"/>
      <c r="S937" s="79"/>
      <c r="V937" s="79"/>
      <c r="W937" s="79"/>
      <c r="Z937" s="130"/>
      <c r="AB937" s="106"/>
    </row>
    <row r="938">
      <c r="C938" s="79"/>
      <c r="D938" s="79"/>
      <c r="E938" s="79"/>
      <c r="M938" s="79"/>
      <c r="R938" s="79"/>
      <c r="S938" s="79"/>
      <c r="V938" s="79"/>
      <c r="W938" s="79"/>
      <c r="Z938" s="130"/>
      <c r="AB938" s="106"/>
    </row>
    <row r="939">
      <c r="C939" s="79"/>
      <c r="D939" s="79"/>
      <c r="E939" s="79"/>
      <c r="M939" s="79"/>
      <c r="R939" s="79"/>
      <c r="S939" s="79"/>
      <c r="V939" s="79"/>
      <c r="W939" s="79"/>
      <c r="Z939" s="130"/>
      <c r="AB939" s="106"/>
    </row>
    <row r="940">
      <c r="C940" s="79"/>
      <c r="D940" s="79"/>
      <c r="E940" s="79"/>
      <c r="M940" s="79"/>
      <c r="R940" s="79"/>
      <c r="S940" s="79"/>
      <c r="V940" s="79"/>
      <c r="W940" s="79"/>
      <c r="Z940" s="130"/>
      <c r="AB940" s="106"/>
    </row>
    <row r="941">
      <c r="C941" s="79"/>
      <c r="D941" s="79"/>
      <c r="E941" s="79"/>
      <c r="M941" s="79"/>
      <c r="R941" s="79"/>
      <c r="S941" s="79"/>
      <c r="V941" s="79"/>
      <c r="W941" s="79"/>
      <c r="Z941" s="130"/>
      <c r="AB941" s="106"/>
    </row>
    <row r="942">
      <c r="C942" s="79"/>
      <c r="D942" s="79"/>
      <c r="E942" s="79"/>
      <c r="M942" s="79"/>
      <c r="R942" s="79"/>
      <c r="S942" s="79"/>
      <c r="V942" s="79"/>
      <c r="W942" s="79"/>
      <c r="Z942" s="130"/>
      <c r="AB942" s="106"/>
    </row>
    <row r="943">
      <c r="C943" s="79"/>
      <c r="D943" s="79"/>
      <c r="E943" s="79"/>
      <c r="M943" s="79"/>
      <c r="R943" s="79"/>
      <c r="S943" s="79"/>
      <c r="V943" s="79"/>
      <c r="W943" s="79"/>
      <c r="Z943" s="130"/>
      <c r="AB943" s="106"/>
    </row>
    <row r="944">
      <c r="C944" s="79"/>
      <c r="D944" s="79"/>
      <c r="E944" s="79"/>
      <c r="M944" s="79"/>
      <c r="R944" s="79"/>
      <c r="S944" s="79"/>
      <c r="V944" s="79"/>
      <c r="W944" s="79"/>
      <c r="Z944" s="130"/>
      <c r="AB944" s="106"/>
    </row>
    <row r="945">
      <c r="C945" s="79"/>
      <c r="D945" s="79"/>
      <c r="E945" s="79"/>
      <c r="M945" s="79"/>
      <c r="R945" s="79"/>
      <c r="S945" s="79"/>
      <c r="V945" s="79"/>
      <c r="W945" s="79"/>
      <c r="Z945" s="130"/>
      <c r="AB945" s="106"/>
    </row>
    <row r="946">
      <c r="C946" s="79"/>
      <c r="D946" s="79"/>
      <c r="E946" s="79"/>
      <c r="M946" s="79"/>
      <c r="R946" s="79"/>
      <c r="S946" s="79"/>
      <c r="V946" s="79"/>
      <c r="W946" s="79"/>
      <c r="Z946" s="130"/>
      <c r="AB946" s="106"/>
    </row>
    <row r="947">
      <c r="C947" s="79"/>
      <c r="D947" s="79"/>
      <c r="E947" s="79"/>
      <c r="M947" s="79"/>
      <c r="R947" s="79"/>
      <c r="S947" s="79"/>
      <c r="V947" s="79"/>
      <c r="W947" s="79"/>
      <c r="Z947" s="130"/>
      <c r="AB947" s="106"/>
    </row>
    <row r="948">
      <c r="C948" s="79"/>
      <c r="D948" s="79"/>
      <c r="E948" s="79"/>
      <c r="M948" s="79"/>
      <c r="R948" s="79"/>
      <c r="S948" s="79"/>
      <c r="V948" s="79"/>
      <c r="W948" s="79"/>
      <c r="Z948" s="130"/>
      <c r="AB948" s="106"/>
    </row>
    <row r="949">
      <c r="C949" s="79"/>
      <c r="D949" s="79"/>
      <c r="E949" s="79"/>
      <c r="M949" s="79"/>
      <c r="R949" s="79"/>
      <c r="S949" s="79"/>
      <c r="V949" s="79"/>
      <c r="W949" s="79"/>
      <c r="Z949" s="130"/>
      <c r="AB949" s="106"/>
    </row>
    <row r="950">
      <c r="C950" s="79"/>
      <c r="D950" s="79"/>
      <c r="E950" s="79"/>
      <c r="M950" s="79"/>
      <c r="R950" s="79"/>
      <c r="S950" s="79"/>
      <c r="V950" s="79"/>
      <c r="W950" s="79"/>
      <c r="Z950" s="130"/>
      <c r="AB950" s="106"/>
    </row>
    <row r="951">
      <c r="C951" s="79"/>
      <c r="D951" s="79"/>
      <c r="E951" s="79"/>
      <c r="M951" s="79"/>
      <c r="R951" s="79"/>
      <c r="S951" s="79"/>
      <c r="V951" s="79"/>
      <c r="W951" s="79"/>
      <c r="Z951" s="130"/>
      <c r="AB951" s="106"/>
    </row>
    <row r="952">
      <c r="C952" s="79"/>
      <c r="D952" s="79"/>
      <c r="E952" s="79"/>
      <c r="M952" s="79"/>
      <c r="R952" s="79"/>
      <c r="S952" s="79"/>
      <c r="V952" s="79"/>
      <c r="W952" s="79"/>
      <c r="Z952" s="130"/>
      <c r="AB952" s="106"/>
    </row>
    <row r="953">
      <c r="C953" s="79"/>
      <c r="D953" s="79"/>
      <c r="E953" s="79"/>
      <c r="M953" s="79"/>
      <c r="R953" s="79"/>
      <c r="S953" s="79"/>
      <c r="V953" s="79"/>
      <c r="W953" s="79"/>
      <c r="Z953" s="130"/>
      <c r="AB953" s="106"/>
    </row>
    <row r="954">
      <c r="C954" s="79"/>
      <c r="D954" s="79"/>
      <c r="E954" s="79"/>
      <c r="M954" s="79"/>
      <c r="R954" s="79"/>
      <c r="S954" s="79"/>
      <c r="V954" s="79"/>
      <c r="W954" s="79"/>
      <c r="Z954" s="130"/>
      <c r="AB954" s="106"/>
    </row>
    <row r="955">
      <c r="C955" s="79"/>
      <c r="D955" s="79"/>
      <c r="E955" s="79"/>
      <c r="M955" s="79"/>
      <c r="R955" s="79"/>
      <c r="S955" s="79"/>
      <c r="V955" s="79"/>
      <c r="W955" s="79"/>
      <c r="Z955" s="130"/>
      <c r="AB955" s="106"/>
    </row>
  </sheetData>
  <drawing r:id="rId2"/>
  <legacyDrawing r:id="rId3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5" max="5" width="13.5"/>
    <col customWidth="1" min="7" max="7" width="13.25"/>
    <col customWidth="1" min="24" max="24" width="14.63"/>
    <col customWidth="1" min="28" max="28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3</v>
      </c>
      <c r="G1" s="2" t="s">
        <v>203</v>
      </c>
      <c r="H1" s="2" t="s">
        <v>129</v>
      </c>
      <c r="I1" s="2" t="s">
        <v>5</v>
      </c>
      <c r="J1" s="2" t="s">
        <v>204</v>
      </c>
      <c r="K1" s="2" t="s">
        <v>6</v>
      </c>
      <c r="L1" s="2" t="s">
        <v>12</v>
      </c>
      <c r="M1" s="105" t="s">
        <v>40</v>
      </c>
      <c r="N1" s="2" t="s">
        <v>49</v>
      </c>
      <c r="O1" s="2" t="s">
        <v>42</v>
      </c>
      <c r="P1" s="2" t="s">
        <v>121</v>
      </c>
      <c r="Q1" s="2" t="s">
        <v>164</v>
      </c>
      <c r="R1" s="105" t="s">
        <v>9</v>
      </c>
      <c r="S1" s="105" t="s">
        <v>165</v>
      </c>
      <c r="T1" s="2" t="s">
        <v>37</v>
      </c>
      <c r="U1" s="2" t="s">
        <v>10</v>
      </c>
      <c r="V1" s="105" t="s">
        <v>11</v>
      </c>
      <c r="W1" s="105" t="s">
        <v>205</v>
      </c>
      <c r="X1" s="2" t="s">
        <v>206</v>
      </c>
      <c r="Y1" s="3" t="s">
        <v>13</v>
      </c>
      <c r="Z1" s="3" t="s">
        <v>14</v>
      </c>
      <c r="AA1" s="3" t="s">
        <v>15</v>
      </c>
      <c r="AB1" s="106"/>
    </row>
    <row r="2">
      <c r="A2" s="74">
        <v>45362.0</v>
      </c>
      <c r="B2" s="93">
        <f>412.38-231.6+864.61-39.76-42.46-38.48-137.16-35.66</f>
        <v>751.87</v>
      </c>
      <c r="C2" s="93">
        <v>503.05</v>
      </c>
      <c r="D2" s="193">
        <f>861.48-200.2-270</f>
        <v>391.28</v>
      </c>
      <c r="E2" s="93"/>
      <c r="F2" s="93">
        <v>180.0</v>
      </c>
      <c r="G2" s="93"/>
      <c r="H2" s="93">
        <v>169.36</v>
      </c>
      <c r="I2" s="93"/>
      <c r="J2" s="93"/>
      <c r="K2" s="93"/>
      <c r="L2" s="93"/>
      <c r="M2" s="93"/>
      <c r="N2" s="93">
        <v>168.0</v>
      </c>
      <c r="O2" s="93"/>
      <c r="P2" s="93"/>
      <c r="Q2" s="93"/>
      <c r="R2" s="93"/>
      <c r="S2" s="93"/>
      <c r="T2" s="72"/>
      <c r="U2" s="93"/>
      <c r="V2" s="93">
        <v>57.05</v>
      </c>
      <c r="W2" s="93"/>
      <c r="X2" s="5"/>
      <c r="Y2" s="107">
        <f t="shared" ref="Y2:Y8" si="1">SUM(B2:X2)</f>
        <v>2220.61</v>
      </c>
      <c r="Z2" s="158">
        <v>2408.29</v>
      </c>
      <c r="AA2" s="59">
        <f t="shared" ref="AA2:AA8" si="2">Y2/Z2</f>
        <v>0.922069186</v>
      </c>
      <c r="AB2" s="109">
        <f t="shared" ref="AB2:AB8" si="3">A2</f>
        <v>45362</v>
      </c>
    </row>
    <row r="3">
      <c r="A3" s="74">
        <v>45363.0</v>
      </c>
      <c r="B3" s="93">
        <f>547.77-17.34-19.62-16.52-12.93-56.51-46.32</f>
        <v>378.53</v>
      </c>
      <c r="C3" s="93">
        <v>464.62</v>
      </c>
      <c r="D3" s="193"/>
      <c r="E3" s="93"/>
      <c r="F3" s="93"/>
      <c r="G3" s="93"/>
      <c r="H3" s="93"/>
      <c r="I3" s="93">
        <v>774.4</v>
      </c>
      <c r="J3" s="93"/>
      <c r="K3" s="93"/>
      <c r="L3" s="93">
        <v>86.04</v>
      </c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107">
        <f t="shared" si="1"/>
        <v>1703.59</v>
      </c>
      <c r="Z3" s="158">
        <v>4144.0</v>
      </c>
      <c r="AA3" s="59">
        <f t="shared" si="2"/>
        <v>0.411097973</v>
      </c>
      <c r="AB3" s="109">
        <f t="shared" si="3"/>
        <v>45363</v>
      </c>
    </row>
    <row r="4">
      <c r="A4" s="74">
        <v>45364.0</v>
      </c>
      <c r="B4" s="93">
        <f>714.67-49.4-46.32-26.14-79.64-32.42-33.04</f>
        <v>447.71</v>
      </c>
      <c r="C4" s="93">
        <f>511.45-47-225</f>
        <v>239.45</v>
      </c>
      <c r="D4" s="93">
        <f>197.98-81.4</f>
        <v>116.58</v>
      </c>
      <c r="E4" s="93"/>
      <c r="F4" s="93"/>
      <c r="G4" s="93"/>
      <c r="H4" s="93">
        <v>228.27</v>
      </c>
      <c r="I4" s="93"/>
      <c r="J4" s="93"/>
      <c r="K4" s="93">
        <v>42.0</v>
      </c>
      <c r="L4" s="93"/>
      <c r="M4" s="93"/>
      <c r="N4" s="93"/>
      <c r="O4" s="93"/>
      <c r="P4" s="93"/>
      <c r="Q4" s="93"/>
      <c r="R4" s="93"/>
      <c r="S4" s="93"/>
      <c r="T4" s="160"/>
      <c r="U4" s="93"/>
      <c r="V4" s="93">
        <v>57.05</v>
      </c>
      <c r="W4" s="93"/>
      <c r="X4" s="6"/>
      <c r="Y4" s="107">
        <f t="shared" si="1"/>
        <v>1131.06</v>
      </c>
      <c r="Z4" s="97">
        <f>398+5393</f>
        <v>5791</v>
      </c>
      <c r="AA4" s="59">
        <f t="shared" si="2"/>
        <v>0.1953134174</v>
      </c>
      <c r="AB4" s="109">
        <f t="shared" si="3"/>
        <v>45364</v>
      </c>
    </row>
    <row r="5">
      <c r="A5" s="74">
        <v>45365.0</v>
      </c>
      <c r="B5" s="93">
        <f>1054.22-49.4-30.56-16.52-27.04-61.39-56.58</f>
        <v>812.73</v>
      </c>
      <c r="C5" s="93">
        <f>703.36-33.8-9.55-24.4-77.76-82</f>
        <v>475.85</v>
      </c>
      <c r="D5" s="93">
        <f>328.21-191.28</f>
        <v>136.93</v>
      </c>
      <c r="E5" s="93"/>
      <c r="F5" s="93">
        <v>180.0</v>
      </c>
      <c r="G5" s="160"/>
      <c r="H5" s="93">
        <f>169.6-135.96</f>
        <v>33.64</v>
      </c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101"/>
      <c r="W5" s="101"/>
      <c r="X5" s="6"/>
      <c r="Y5" s="7">
        <f t="shared" si="1"/>
        <v>1639.15</v>
      </c>
      <c r="Z5" s="97">
        <v>4640.54</v>
      </c>
      <c r="AA5" s="59">
        <f t="shared" si="2"/>
        <v>0.3532239782</v>
      </c>
      <c r="AB5" s="109">
        <f t="shared" si="3"/>
        <v>45365</v>
      </c>
    </row>
    <row r="6">
      <c r="A6" s="74">
        <v>45366.0</v>
      </c>
      <c r="B6" s="93">
        <f>1804.94-33.16-12.26-20.62-15.68-81-41.97-5.86-175.28-65.91-42.1-48.17-30.1-25.46</f>
        <v>1207.37</v>
      </c>
      <c r="C6" s="93"/>
      <c r="D6" s="93">
        <v>263.25</v>
      </c>
      <c r="E6" s="93"/>
      <c r="F6" s="93"/>
      <c r="G6" s="93"/>
      <c r="H6" s="93">
        <v>311.85</v>
      </c>
      <c r="I6" s="93"/>
      <c r="J6" s="93"/>
      <c r="K6" s="93">
        <v>166.4</v>
      </c>
      <c r="L6" s="93"/>
      <c r="M6" s="162"/>
      <c r="N6" s="93"/>
      <c r="O6" s="93"/>
      <c r="P6" s="93"/>
      <c r="Q6" s="93"/>
      <c r="R6" s="93"/>
      <c r="S6" s="93"/>
      <c r="T6" s="93"/>
      <c r="U6" s="93">
        <v>92.85</v>
      </c>
      <c r="V6" s="93">
        <v>57.05</v>
      </c>
      <c r="W6" s="93"/>
      <c r="X6" s="5"/>
      <c r="Y6" s="7">
        <f t="shared" si="1"/>
        <v>2098.77</v>
      </c>
      <c r="Z6" s="97">
        <v>8687</v>
      </c>
      <c r="AA6" s="59">
        <f t="shared" si="2"/>
        <v>0.2415989409</v>
      </c>
      <c r="AB6" s="109">
        <f t="shared" si="3"/>
        <v>45366</v>
      </c>
    </row>
    <row r="7">
      <c r="A7" s="74">
        <v>45367.0</v>
      </c>
      <c r="B7" s="93">
        <f>2761.06-30.56-45.68-137.16-114.84-107.56-42.07-17.19-24.02-28.82-46.3-27.83-35.34-98.43-158.4-28.41-1396</f>
        <v>422.45</v>
      </c>
      <c r="C7" s="93">
        <v>466.55</v>
      </c>
      <c r="D7" s="93">
        <f>52.8+216.71-159.72</f>
        <v>109.79</v>
      </c>
      <c r="E7" s="93"/>
      <c r="F7" s="93"/>
      <c r="G7" s="93"/>
      <c r="H7" s="93"/>
      <c r="I7" s="93"/>
      <c r="J7" s="93"/>
      <c r="K7" s="93"/>
      <c r="L7" s="93"/>
      <c r="M7" s="93"/>
      <c r="N7" s="93">
        <v>168.0</v>
      </c>
      <c r="O7" s="93"/>
      <c r="P7" s="93"/>
      <c r="Q7" s="93"/>
      <c r="R7" s="93"/>
      <c r="S7" s="93"/>
      <c r="T7" s="101"/>
      <c r="U7" s="93"/>
      <c r="V7" s="101"/>
      <c r="W7" s="101"/>
      <c r="X7" s="5"/>
      <c r="Y7" s="7">
        <f t="shared" si="1"/>
        <v>1166.79</v>
      </c>
      <c r="Z7" s="97">
        <f>2535.5+8136.9</f>
        <v>10672.4</v>
      </c>
      <c r="AA7" s="59">
        <f t="shared" si="2"/>
        <v>0.1093277988</v>
      </c>
      <c r="AB7" s="109">
        <f t="shared" si="3"/>
        <v>45367</v>
      </c>
    </row>
    <row r="8">
      <c r="A8" s="74">
        <v>45368.0</v>
      </c>
      <c r="B8" s="180">
        <f>450.69+348.24</f>
        <v>798.93</v>
      </c>
      <c r="C8" s="93"/>
      <c r="D8" s="93"/>
      <c r="E8" s="112" t="s">
        <v>21</v>
      </c>
      <c r="F8" s="112" t="s">
        <v>21</v>
      </c>
      <c r="G8" s="112" t="s">
        <v>21</v>
      </c>
      <c r="H8" s="112" t="s">
        <v>21</v>
      </c>
      <c r="I8" s="93"/>
      <c r="J8" s="112" t="s">
        <v>21</v>
      </c>
      <c r="K8" s="112" t="s">
        <v>21</v>
      </c>
      <c r="L8" s="112" t="s">
        <v>21</v>
      </c>
      <c r="M8" s="112" t="s">
        <v>21</v>
      </c>
      <c r="N8" s="112" t="s">
        <v>21</v>
      </c>
      <c r="O8" s="93"/>
      <c r="P8" s="112" t="s">
        <v>21</v>
      </c>
      <c r="Q8" s="112" t="s">
        <v>21</v>
      </c>
      <c r="R8" s="112" t="s">
        <v>21</v>
      </c>
      <c r="S8" s="112" t="s">
        <v>21</v>
      </c>
      <c r="T8" s="112" t="s">
        <v>21</v>
      </c>
      <c r="U8" s="112" t="s">
        <v>21</v>
      </c>
      <c r="V8" s="10" t="s">
        <v>21</v>
      </c>
      <c r="W8" s="10" t="s">
        <v>21</v>
      </c>
      <c r="X8" s="10" t="s">
        <v>21</v>
      </c>
      <c r="Y8" s="7">
        <f t="shared" si="1"/>
        <v>798.93</v>
      </c>
      <c r="Z8" s="97">
        <f>3305+2014</f>
        <v>5319</v>
      </c>
      <c r="AA8" s="59">
        <f t="shared" si="2"/>
        <v>0.1502030457</v>
      </c>
      <c r="AB8" s="109">
        <f t="shared" si="3"/>
        <v>45368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Z9" s="129"/>
      <c r="AB9" s="106"/>
    </row>
    <row r="10">
      <c r="A10" s="164" t="s">
        <v>193</v>
      </c>
      <c r="B10" s="78"/>
      <c r="C10" s="78"/>
      <c r="D10" s="78"/>
      <c r="E10" s="188"/>
      <c r="F10" s="188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Z10" s="129"/>
      <c r="AB10" s="106"/>
    </row>
    <row r="11">
      <c r="A11" s="165" t="s">
        <v>194</v>
      </c>
      <c r="B11" s="93">
        <f>231.6+39.76+42.46+38.48+35.66+17.34+19.62+16.52+12.93+56.51+46.32+33.16+12.26+20.62+15.68+41.97+5.86+30.1+25.46+114.84</f>
        <v>857.15</v>
      </c>
      <c r="C11" s="93">
        <v>47.0</v>
      </c>
      <c r="D11" s="93">
        <f>270+81.4</f>
        <v>351.4</v>
      </c>
      <c r="E11" s="167"/>
      <c r="F11" s="168"/>
      <c r="G11" s="166"/>
      <c r="H11" s="166"/>
      <c r="I11" s="93"/>
      <c r="J11" s="168"/>
      <c r="K11" s="93"/>
      <c r="L11" s="166"/>
      <c r="M11" s="168"/>
      <c r="N11" s="166"/>
      <c r="O11" s="168"/>
      <c r="P11" s="1"/>
      <c r="Q11" s="1"/>
      <c r="R11" s="1"/>
      <c r="S11" s="1"/>
      <c r="T11" s="1"/>
      <c r="U11" s="1"/>
      <c r="V11" s="168"/>
      <c r="W11" s="168"/>
      <c r="X11" s="1"/>
      <c r="Y11" s="1"/>
      <c r="Z11" s="169"/>
      <c r="AA11" s="1"/>
      <c r="AB11" s="170"/>
    </row>
    <row r="12">
      <c r="A12" s="165" t="s">
        <v>195</v>
      </c>
      <c r="B12" s="93">
        <f>137.16+49.4+46.32+26.14+79.64+32.42+33.04+49.4+30.56+16.52+27.04+61.39+56.58+65.91+42.1+48.17+30.56+42.07+349</f>
        <v>1223.42</v>
      </c>
      <c r="C12" s="93">
        <f>225+33.8+9.55+24.4+77.76+82</f>
        <v>452.51</v>
      </c>
      <c r="D12" s="93">
        <f>200.2+191.28</f>
        <v>391.48</v>
      </c>
      <c r="E12" s="93"/>
      <c r="F12" s="93"/>
      <c r="G12" s="93"/>
      <c r="H12" s="93">
        <v>135.96</v>
      </c>
      <c r="I12" s="93"/>
      <c r="J12" s="93"/>
      <c r="K12" s="93"/>
      <c r="L12" s="93"/>
      <c r="M12" s="93"/>
      <c r="N12" s="166">
        <v>300.0</v>
      </c>
      <c r="O12" s="166"/>
      <c r="P12" s="1"/>
      <c r="Q12" s="1"/>
      <c r="R12" s="168"/>
      <c r="S12" s="168"/>
      <c r="T12" s="1"/>
      <c r="U12" s="96"/>
      <c r="V12" s="168"/>
      <c r="W12" s="168"/>
      <c r="X12" s="1"/>
      <c r="Y12" s="1"/>
      <c r="Z12" s="171"/>
      <c r="AA12" s="1"/>
      <c r="AB12" s="170"/>
    </row>
    <row r="13">
      <c r="A13" s="172" t="s">
        <v>245</v>
      </c>
      <c r="B13" s="93"/>
      <c r="C13" s="93"/>
      <c r="D13" s="93"/>
      <c r="E13" s="168"/>
      <c r="F13" s="166"/>
      <c r="G13" s="168"/>
      <c r="H13" s="168"/>
      <c r="I13" s="168"/>
      <c r="J13" s="168"/>
      <c r="K13" s="168"/>
      <c r="L13" s="168"/>
      <c r="M13" s="168"/>
      <c r="N13" s="166"/>
      <c r="O13" s="168"/>
      <c r="P13" s="1"/>
      <c r="Q13" s="1"/>
      <c r="R13" s="168"/>
      <c r="S13" s="168"/>
      <c r="T13" s="1"/>
      <c r="U13" s="96"/>
      <c r="V13" s="168"/>
      <c r="W13" s="168"/>
      <c r="X13" s="1"/>
      <c r="Y13" s="1"/>
      <c r="Z13" s="174"/>
      <c r="AA13" s="1"/>
      <c r="AB13" s="170"/>
    </row>
    <row r="14">
      <c r="A14" s="165" t="s">
        <v>198</v>
      </c>
      <c r="B14" s="93">
        <f>81+175.28</f>
        <v>256.28</v>
      </c>
      <c r="C14" s="93"/>
      <c r="D14" s="93"/>
      <c r="E14" s="168"/>
      <c r="F14" s="166"/>
      <c r="G14" s="168"/>
      <c r="H14" s="168"/>
      <c r="I14" s="168"/>
      <c r="J14" s="168"/>
      <c r="K14" s="168"/>
      <c r="L14" s="168"/>
      <c r="M14" s="168"/>
      <c r="N14" s="166"/>
      <c r="O14" s="168"/>
      <c r="P14" s="1"/>
      <c r="Q14" s="1"/>
      <c r="R14" s="168"/>
      <c r="S14" s="168"/>
      <c r="T14" s="1"/>
      <c r="U14" s="96"/>
      <c r="V14" s="168"/>
      <c r="W14" s="168"/>
      <c r="X14" s="1"/>
      <c r="Y14" s="1"/>
      <c r="Z14" s="174"/>
      <c r="AA14" s="1"/>
      <c r="AB14" s="170"/>
    </row>
    <row r="15">
      <c r="A15" s="91"/>
      <c r="B15" s="92"/>
      <c r="C15" s="79"/>
      <c r="D15" s="79"/>
      <c r="E15" s="79"/>
      <c r="F15" s="78"/>
      <c r="G15" s="78"/>
      <c r="H15" s="78"/>
      <c r="K15" s="79"/>
      <c r="L15" s="79"/>
      <c r="M15" s="78"/>
      <c r="N15" s="79"/>
      <c r="O15" s="79"/>
      <c r="R15" s="79"/>
      <c r="S15" s="79"/>
      <c r="V15" s="79"/>
      <c r="W15" s="79"/>
      <c r="Z15" s="131"/>
      <c r="AB15" s="106"/>
    </row>
    <row r="16">
      <c r="A16" s="91"/>
      <c r="B16" s="92"/>
      <c r="C16" s="78"/>
      <c r="D16" s="78"/>
      <c r="E16" s="78"/>
      <c r="F16" s="198"/>
      <c r="G16" s="204"/>
      <c r="H16" s="198"/>
      <c r="I16" s="201"/>
      <c r="J16" s="199"/>
      <c r="K16" s="199"/>
      <c r="L16" s="200"/>
      <c r="M16" s="201"/>
      <c r="N16" s="202"/>
      <c r="O16" s="198"/>
      <c r="P16" s="198"/>
      <c r="Q16" s="198"/>
      <c r="R16" s="198"/>
      <c r="S16" s="198"/>
      <c r="V16" s="79"/>
      <c r="W16" s="79"/>
      <c r="Z16" s="131"/>
      <c r="AB16" s="106"/>
    </row>
    <row r="17">
      <c r="A17" s="4" t="s">
        <v>22</v>
      </c>
      <c r="B17" s="11">
        <v>10000.0</v>
      </c>
      <c r="C17" s="79"/>
      <c r="D17" s="79"/>
      <c r="E17" s="79"/>
      <c r="F17" s="240"/>
      <c r="G17" s="201"/>
      <c r="H17" s="201"/>
      <c r="I17" s="203"/>
      <c r="J17" s="201"/>
      <c r="K17" s="201"/>
      <c r="L17" s="198"/>
      <c r="M17" s="201"/>
      <c r="N17" s="200"/>
      <c r="O17" s="203"/>
      <c r="P17" s="198"/>
      <c r="Q17" s="198"/>
      <c r="R17" s="198"/>
      <c r="S17" s="198"/>
      <c r="T17" s="204"/>
      <c r="V17" s="79"/>
      <c r="W17" s="79"/>
      <c r="Z17" s="131"/>
      <c r="AB17" s="106"/>
    </row>
    <row r="18">
      <c r="A18" s="4" t="s">
        <v>23</v>
      </c>
      <c r="B18" s="12">
        <f>SUM(B2:X8)</f>
        <v>10758.9</v>
      </c>
      <c r="C18" s="192"/>
      <c r="D18" s="177"/>
      <c r="E18" s="78"/>
      <c r="F18" s="213"/>
      <c r="G18" s="201"/>
      <c r="H18" s="201"/>
      <c r="I18" s="203"/>
      <c r="J18" s="191"/>
      <c r="K18" s="201"/>
      <c r="L18" s="201"/>
      <c r="M18" s="200"/>
      <c r="N18" s="201"/>
      <c r="O18" s="203"/>
      <c r="P18" s="198"/>
      <c r="Q18" s="198"/>
      <c r="R18" s="198"/>
      <c r="S18" s="198"/>
      <c r="T18" s="204"/>
      <c r="V18" s="79"/>
      <c r="W18" s="79"/>
      <c r="Z18" s="131"/>
      <c r="AB18" s="106"/>
    </row>
    <row r="19">
      <c r="A19" s="4" t="s">
        <v>24</v>
      </c>
      <c r="B19" s="12">
        <f> SUM(B17-B18)</f>
        <v>-758.9</v>
      </c>
      <c r="C19" s="79"/>
      <c r="D19" s="79"/>
      <c r="E19" s="78"/>
      <c r="F19" s="201"/>
      <c r="G19" s="214"/>
      <c r="H19" s="203"/>
      <c r="I19" s="203"/>
      <c r="J19" s="203"/>
      <c r="K19" s="199"/>
      <c r="L19" s="203"/>
      <c r="M19" s="201"/>
      <c r="N19" s="200"/>
      <c r="O19" s="203"/>
      <c r="P19" s="198"/>
      <c r="Q19" s="198"/>
      <c r="R19" s="198"/>
      <c r="S19" s="198"/>
      <c r="T19" s="204"/>
      <c r="V19" s="79"/>
      <c r="W19" s="79"/>
      <c r="Z19" s="131"/>
      <c r="AB19" s="106"/>
    </row>
    <row r="20">
      <c r="C20" s="79"/>
      <c r="D20" s="79"/>
      <c r="E20" s="78"/>
      <c r="F20" s="213"/>
      <c r="G20" s="214"/>
      <c r="H20" s="203"/>
      <c r="I20" s="203"/>
      <c r="J20" s="203"/>
      <c r="K20" s="203"/>
      <c r="L20" s="201"/>
      <c r="M20" s="201"/>
      <c r="N20" s="198"/>
      <c r="O20" s="203"/>
      <c r="P20" s="198"/>
      <c r="Q20" s="206"/>
      <c r="R20" s="198"/>
      <c r="S20" s="198"/>
      <c r="T20" s="204"/>
      <c r="V20" s="79"/>
      <c r="W20" s="79"/>
      <c r="Z20" s="131"/>
      <c r="AB20" s="106"/>
    </row>
    <row r="21">
      <c r="A21" s="13" t="s">
        <v>25</v>
      </c>
      <c r="B21" s="14">
        <f>SUM(Z2:Z8)</f>
        <v>41662.23</v>
      </c>
      <c r="C21" s="79"/>
      <c r="D21" s="79"/>
      <c r="E21" s="78"/>
      <c r="F21" s="201"/>
      <c r="G21" s="201"/>
      <c r="H21" s="201"/>
      <c r="I21" s="189"/>
      <c r="J21" s="203"/>
      <c r="K21" s="203"/>
      <c r="L21" s="206"/>
      <c r="M21" s="201"/>
      <c r="N21" s="198"/>
      <c r="O21" s="203"/>
      <c r="P21" s="198"/>
      <c r="Q21" s="198"/>
      <c r="R21" s="198"/>
      <c r="S21" s="198"/>
      <c r="T21" s="204"/>
      <c r="V21" s="79"/>
      <c r="W21" s="79"/>
      <c r="Z21" s="181"/>
      <c r="AB21" s="106"/>
    </row>
    <row r="22">
      <c r="A22" s="13" t="s">
        <v>26</v>
      </c>
      <c r="B22" s="15">
        <f>B18/B21</f>
        <v>0.2582410975</v>
      </c>
      <c r="C22" s="79"/>
      <c r="D22" s="79"/>
      <c r="E22" s="78"/>
      <c r="F22" s="204"/>
      <c r="G22" s="213"/>
      <c r="H22" s="203"/>
      <c r="I22" s="189"/>
      <c r="J22" s="203"/>
      <c r="K22" s="203"/>
      <c r="L22" s="198"/>
      <c r="M22" s="200"/>
      <c r="N22" s="203"/>
      <c r="O22" s="203"/>
      <c r="P22" s="198"/>
      <c r="Q22" s="198"/>
      <c r="R22" s="198"/>
      <c r="S22" s="198"/>
      <c r="T22" s="204"/>
      <c r="V22" s="79"/>
      <c r="W22" s="79"/>
      <c r="Z22" s="130"/>
      <c r="AB22" s="106"/>
    </row>
    <row r="23">
      <c r="C23" s="79"/>
      <c r="D23" s="79"/>
      <c r="E23" s="78"/>
      <c r="F23" s="204"/>
      <c r="G23" s="204"/>
      <c r="H23" s="201"/>
      <c r="I23" s="203"/>
      <c r="J23" s="203"/>
      <c r="K23" s="203"/>
      <c r="L23" s="198"/>
      <c r="M23" s="198"/>
      <c r="N23" s="201"/>
      <c r="O23" s="198"/>
      <c r="P23" s="198"/>
      <c r="Q23" s="198"/>
      <c r="R23" s="198"/>
      <c r="S23" s="198"/>
      <c r="T23" s="204"/>
      <c r="V23" s="79"/>
      <c r="W23" s="79"/>
      <c r="Z23" s="182"/>
      <c r="AB23" s="106"/>
    </row>
    <row r="24">
      <c r="C24" s="79"/>
      <c r="D24" s="79"/>
      <c r="E24" s="79"/>
      <c r="F24" s="204"/>
      <c r="G24" s="213"/>
      <c r="H24" s="201"/>
      <c r="I24" s="203"/>
      <c r="J24" s="203"/>
      <c r="K24" s="203"/>
      <c r="L24" s="198"/>
      <c r="M24" s="201" t="s">
        <v>259</v>
      </c>
      <c r="N24" s="201"/>
      <c r="O24" s="198"/>
      <c r="P24" s="198"/>
      <c r="Q24" s="198"/>
      <c r="R24" s="198"/>
      <c r="S24" s="198"/>
      <c r="T24" s="204"/>
      <c r="V24" s="79"/>
      <c r="W24" s="79"/>
      <c r="Z24" s="130"/>
      <c r="AB24" s="106"/>
    </row>
    <row r="25">
      <c r="A25" s="16" t="s">
        <v>27</v>
      </c>
      <c r="B25" s="17"/>
      <c r="C25" s="114"/>
      <c r="D25" s="114"/>
      <c r="E25" s="115"/>
      <c r="F25" s="204"/>
      <c r="G25" s="204"/>
      <c r="H25" s="201"/>
      <c r="I25" s="203"/>
      <c r="J25" s="203"/>
      <c r="K25" s="217"/>
      <c r="L25" s="208"/>
      <c r="M25" s="208">
        <f>706.99-35.35</f>
        <v>671.64</v>
      </c>
      <c r="N25" s="198"/>
      <c r="O25" s="200"/>
      <c r="P25" s="198"/>
      <c r="Q25" s="198"/>
      <c r="R25" s="198"/>
      <c r="S25" s="198"/>
      <c r="T25" s="204"/>
      <c r="V25" s="79"/>
      <c r="W25" s="79"/>
      <c r="Z25" s="130"/>
      <c r="AB25" s="106"/>
    </row>
    <row r="26">
      <c r="A26" s="19" t="s">
        <v>28</v>
      </c>
      <c r="B26" s="20"/>
      <c r="C26" s="116"/>
      <c r="D26" s="116"/>
      <c r="E26" s="117"/>
      <c r="F26" s="204"/>
      <c r="G26" s="204"/>
      <c r="H26" s="213"/>
      <c r="I26" s="203"/>
      <c r="J26" s="203"/>
      <c r="K26" s="203"/>
      <c r="L26" s="209"/>
      <c r="M26" s="209">
        <f>45.68+137.16+107.56+349+349+349+17.19+24.02+28.82+46.3+35.34+98.43+158.4+28.41+27.83</f>
        <v>1802.14</v>
      </c>
      <c r="N26" s="201"/>
      <c r="O26" s="198"/>
      <c r="P26" s="198"/>
      <c r="Q26" s="198"/>
      <c r="R26" s="198"/>
      <c r="S26" s="198"/>
      <c r="T26" s="204"/>
      <c r="V26" s="79"/>
      <c r="W26" s="79"/>
      <c r="Z26" s="130"/>
      <c r="AB26" s="106"/>
    </row>
    <row r="27">
      <c r="A27" s="183" t="s">
        <v>29</v>
      </c>
      <c r="B27" s="184" t="s">
        <v>30</v>
      </c>
      <c r="C27" s="183"/>
      <c r="D27" s="183" t="s">
        <v>170</v>
      </c>
      <c r="E27" s="219" t="s">
        <v>171</v>
      </c>
      <c r="F27" s="204"/>
      <c r="G27" s="204"/>
      <c r="H27" s="243"/>
      <c r="I27" s="203"/>
      <c r="J27" s="203"/>
      <c r="K27" s="201"/>
      <c r="L27" s="209"/>
      <c r="M27" s="209"/>
      <c r="N27" s="198"/>
      <c r="O27" s="198"/>
      <c r="P27" s="198"/>
      <c r="Q27" s="198"/>
      <c r="R27" s="198"/>
      <c r="S27" s="198"/>
      <c r="T27" s="204"/>
      <c r="V27" s="79"/>
      <c r="W27" s="79"/>
      <c r="Z27" s="130"/>
      <c r="AB27" s="106"/>
    </row>
    <row r="28">
      <c r="A28" s="173" t="s">
        <v>41</v>
      </c>
      <c r="B28" s="180">
        <v>2346.34</v>
      </c>
      <c r="C28" s="241"/>
      <c r="D28" s="241"/>
      <c r="E28" s="173" t="s">
        <v>256</v>
      </c>
      <c r="K28" s="204"/>
      <c r="L28" s="204"/>
      <c r="M28" s="198"/>
      <c r="R28" s="79"/>
      <c r="S28" s="79"/>
      <c r="V28" s="79"/>
      <c r="W28" s="79"/>
      <c r="Z28" s="130"/>
      <c r="AB28" s="106"/>
    </row>
    <row r="29">
      <c r="A29" s="245" t="s">
        <v>258</v>
      </c>
      <c r="B29" s="246">
        <f>384.5+167.67</f>
        <v>552.17</v>
      </c>
      <c r="C29" s="247"/>
      <c r="D29" s="247"/>
      <c r="E29" s="245" t="s">
        <v>257</v>
      </c>
      <c r="K29" s="204"/>
      <c r="L29" s="204"/>
      <c r="M29" s="198"/>
      <c r="R29" s="79"/>
      <c r="S29" s="79"/>
      <c r="V29" s="79"/>
      <c r="W29" s="79"/>
      <c r="Z29" s="130"/>
      <c r="AB29" s="106"/>
    </row>
    <row r="30">
      <c r="A30" s="245" t="s">
        <v>131</v>
      </c>
      <c r="B30" s="246">
        <v>267.3</v>
      </c>
      <c r="C30" s="247"/>
      <c r="D30" s="247"/>
      <c r="E30" s="245" t="s">
        <v>257</v>
      </c>
      <c r="K30" s="204"/>
      <c r="L30" s="204"/>
      <c r="M30" s="198"/>
      <c r="R30" s="79"/>
      <c r="S30" s="79"/>
      <c r="V30" s="79"/>
      <c r="W30" s="79"/>
      <c r="Z30" s="130"/>
      <c r="AB30" s="106"/>
    </row>
    <row r="31">
      <c r="A31" s="245" t="s">
        <v>164</v>
      </c>
      <c r="B31" s="246">
        <v>252.0</v>
      </c>
      <c r="C31" s="247"/>
      <c r="D31" s="247"/>
      <c r="E31" s="245" t="s">
        <v>257</v>
      </c>
      <c r="K31" s="204"/>
      <c r="L31" s="204"/>
      <c r="M31" s="198"/>
      <c r="R31" s="79"/>
      <c r="S31" s="79"/>
      <c r="V31" s="79"/>
      <c r="W31" s="79"/>
      <c r="Z31" s="130"/>
      <c r="AB31" s="106"/>
    </row>
    <row r="32">
      <c r="A32" s="221" t="s">
        <v>92</v>
      </c>
      <c r="B32" s="222">
        <v>396.0</v>
      </c>
      <c r="C32" s="223"/>
      <c r="D32" s="223"/>
      <c r="E32" s="223" t="s">
        <v>257</v>
      </c>
      <c r="K32" s="204"/>
      <c r="L32" s="204"/>
      <c r="M32" s="198"/>
      <c r="R32" s="79"/>
      <c r="S32" s="79"/>
      <c r="V32" s="79"/>
      <c r="W32" s="79"/>
      <c r="Z32" s="130"/>
      <c r="AB32" s="106"/>
    </row>
    <row r="33">
      <c r="A33" s="221" t="s">
        <v>260</v>
      </c>
      <c r="B33" s="222">
        <v>159.72</v>
      </c>
      <c r="C33" s="223"/>
      <c r="D33" s="223"/>
      <c r="E33" s="223" t="s">
        <v>257</v>
      </c>
      <c r="K33" s="204"/>
      <c r="L33" s="204"/>
      <c r="M33" s="198"/>
      <c r="R33" s="79"/>
      <c r="S33" s="79"/>
      <c r="V33" s="79"/>
      <c r="W33" s="79"/>
      <c r="Z33" s="130"/>
      <c r="AB33" s="106"/>
    </row>
    <row r="34">
      <c r="C34" s="79"/>
      <c r="D34" s="79"/>
      <c r="E34" s="79"/>
      <c r="M34" s="79"/>
      <c r="R34" s="79"/>
      <c r="S34" s="79"/>
      <c r="V34" s="79"/>
      <c r="W34" s="79"/>
      <c r="Z34" s="130"/>
      <c r="AB34" s="106"/>
    </row>
    <row r="35">
      <c r="C35" s="79"/>
      <c r="D35" s="79"/>
      <c r="E35" s="79"/>
      <c r="M35" s="79"/>
      <c r="R35" s="79"/>
      <c r="S35" s="79"/>
      <c r="V35" s="79"/>
      <c r="W35" s="79"/>
      <c r="Z35" s="130"/>
      <c r="AB35" s="106"/>
    </row>
    <row r="36">
      <c r="C36" s="79"/>
      <c r="D36" s="79"/>
      <c r="E36" s="79"/>
      <c r="M36" s="79"/>
      <c r="R36" s="79"/>
      <c r="S36" s="79"/>
      <c r="V36" s="79"/>
      <c r="W36" s="79"/>
      <c r="Z36" s="130"/>
      <c r="AB36" s="106"/>
    </row>
    <row r="37">
      <c r="C37" s="79"/>
      <c r="D37" s="79"/>
      <c r="E37" s="79"/>
      <c r="M37" s="79"/>
      <c r="R37" s="79"/>
      <c r="S37" s="79"/>
      <c r="V37" s="79"/>
      <c r="W37" s="79"/>
      <c r="Z37" s="130"/>
      <c r="AB37" s="106"/>
    </row>
    <row r="38">
      <c r="C38" s="79"/>
      <c r="D38" s="79"/>
      <c r="E38" s="79"/>
      <c r="M38" s="79"/>
      <c r="R38" s="79"/>
      <c r="S38" s="79"/>
      <c r="V38" s="79"/>
      <c r="W38" s="79"/>
      <c r="Z38" s="130"/>
      <c r="AB38" s="106"/>
    </row>
    <row r="39">
      <c r="C39" s="79"/>
      <c r="D39" s="79"/>
      <c r="E39" s="79"/>
      <c r="M39" s="79"/>
      <c r="R39" s="79"/>
      <c r="S39" s="79"/>
      <c r="V39" s="79"/>
      <c r="W39" s="79"/>
      <c r="Z39" s="130"/>
      <c r="AB39" s="106"/>
    </row>
    <row r="40">
      <c r="C40" s="79"/>
      <c r="D40" s="79"/>
      <c r="E40" s="79"/>
      <c r="M40" s="79"/>
      <c r="R40" s="79"/>
      <c r="S40" s="79"/>
      <c r="V40" s="79"/>
      <c r="W40" s="79"/>
      <c r="Z40" s="130"/>
      <c r="AB40" s="106"/>
    </row>
    <row r="41">
      <c r="C41" s="79"/>
      <c r="D41" s="79"/>
      <c r="E41" s="79"/>
      <c r="M41" s="79"/>
      <c r="R41" s="79"/>
      <c r="S41" s="79"/>
      <c r="V41" s="79"/>
      <c r="W41" s="79"/>
      <c r="Z41" s="130"/>
      <c r="AB41" s="106"/>
    </row>
    <row r="42">
      <c r="C42" s="79"/>
      <c r="D42" s="79"/>
      <c r="E42" s="79"/>
      <c r="M42" s="79"/>
      <c r="R42" s="79"/>
      <c r="S42" s="79"/>
      <c r="V42" s="79"/>
      <c r="W42" s="79"/>
      <c r="Z42" s="130"/>
      <c r="AB42" s="106"/>
    </row>
    <row r="43">
      <c r="C43" s="79"/>
      <c r="D43" s="79"/>
      <c r="E43" s="79"/>
      <c r="M43" s="79"/>
      <c r="R43" s="79"/>
      <c r="S43" s="79"/>
      <c r="V43" s="79"/>
      <c r="W43" s="79"/>
      <c r="Z43" s="130"/>
      <c r="AB43" s="106"/>
    </row>
    <row r="44">
      <c r="C44" s="79"/>
      <c r="D44" s="79"/>
      <c r="E44" s="79"/>
      <c r="M44" s="79"/>
      <c r="R44" s="79"/>
      <c r="S44" s="79"/>
      <c r="V44" s="79"/>
      <c r="W44" s="79"/>
      <c r="Z44" s="130"/>
      <c r="AB44" s="106"/>
    </row>
    <row r="45">
      <c r="C45" s="79"/>
      <c r="D45" s="79"/>
      <c r="E45" s="79"/>
      <c r="M45" s="79"/>
      <c r="R45" s="79"/>
      <c r="S45" s="79"/>
      <c r="V45" s="79"/>
      <c r="W45" s="79"/>
      <c r="Z45" s="130"/>
      <c r="AB45" s="106"/>
    </row>
    <row r="46">
      <c r="C46" s="79"/>
      <c r="D46" s="79"/>
      <c r="E46" s="79"/>
      <c r="M46" s="79"/>
      <c r="R46" s="79"/>
      <c r="S46" s="79"/>
      <c r="V46" s="79"/>
      <c r="W46" s="79"/>
      <c r="Z46" s="130"/>
      <c r="AB46" s="106"/>
    </row>
    <row r="47">
      <c r="C47" s="79"/>
      <c r="D47" s="79"/>
      <c r="E47" s="79"/>
      <c r="M47" s="79"/>
      <c r="R47" s="79"/>
      <c r="S47" s="79"/>
      <c r="V47" s="79"/>
      <c r="W47" s="79"/>
      <c r="Z47" s="130"/>
      <c r="AB47" s="106"/>
    </row>
    <row r="48">
      <c r="C48" s="79"/>
      <c r="D48" s="79"/>
      <c r="E48" s="79"/>
      <c r="M48" s="79"/>
      <c r="R48" s="79"/>
      <c r="S48" s="79"/>
      <c r="V48" s="79"/>
      <c r="W48" s="79"/>
      <c r="Z48" s="130"/>
      <c r="AB48" s="106"/>
    </row>
    <row r="49">
      <c r="C49" s="79"/>
      <c r="D49" s="79"/>
      <c r="E49" s="79"/>
      <c r="M49" s="79"/>
      <c r="R49" s="79"/>
      <c r="S49" s="79"/>
      <c r="V49" s="79"/>
      <c r="W49" s="79"/>
      <c r="Z49" s="130"/>
      <c r="AB49" s="106"/>
    </row>
    <row r="50">
      <c r="C50" s="79"/>
      <c r="D50" s="79"/>
      <c r="E50" s="79"/>
      <c r="M50" s="79"/>
      <c r="R50" s="79"/>
      <c r="S50" s="79"/>
      <c r="V50" s="79"/>
      <c r="W50" s="79"/>
      <c r="Z50" s="130"/>
      <c r="AB50" s="106"/>
    </row>
    <row r="51">
      <c r="C51" s="79"/>
      <c r="D51" s="79"/>
      <c r="E51" s="79"/>
      <c r="M51" s="79"/>
      <c r="R51" s="79"/>
      <c r="S51" s="79"/>
      <c r="V51" s="79"/>
      <c r="W51" s="79"/>
      <c r="Z51" s="130"/>
      <c r="AB51" s="106"/>
    </row>
    <row r="52">
      <c r="C52" s="79"/>
      <c r="D52" s="79"/>
      <c r="E52" s="79"/>
      <c r="M52" s="79"/>
      <c r="R52" s="79"/>
      <c r="S52" s="79"/>
      <c r="V52" s="79"/>
      <c r="W52" s="79"/>
      <c r="Z52" s="130"/>
      <c r="AB52" s="106"/>
    </row>
    <row r="53">
      <c r="C53" s="79"/>
      <c r="D53" s="79"/>
      <c r="E53" s="79"/>
      <c r="M53" s="79"/>
      <c r="R53" s="79"/>
      <c r="S53" s="79"/>
      <c r="V53" s="79"/>
      <c r="W53" s="79"/>
      <c r="Z53" s="130"/>
      <c r="AB53" s="106"/>
    </row>
    <row r="54">
      <c r="C54" s="79"/>
      <c r="D54" s="79"/>
      <c r="E54" s="79"/>
      <c r="M54" s="79"/>
      <c r="R54" s="79"/>
      <c r="S54" s="79"/>
      <c r="V54" s="79"/>
      <c r="W54" s="79"/>
      <c r="Z54" s="130"/>
      <c r="AB54" s="106"/>
    </row>
    <row r="55">
      <c r="C55" s="79"/>
      <c r="D55" s="79"/>
      <c r="E55" s="79"/>
      <c r="M55" s="79"/>
      <c r="R55" s="79"/>
      <c r="S55" s="79"/>
      <c r="V55" s="79"/>
      <c r="W55" s="79"/>
      <c r="Z55" s="130"/>
      <c r="AB55" s="106"/>
    </row>
    <row r="56">
      <c r="C56" s="79"/>
      <c r="D56" s="79"/>
      <c r="E56" s="79"/>
      <c r="M56" s="79"/>
      <c r="R56" s="79"/>
      <c r="S56" s="79"/>
      <c r="V56" s="79"/>
      <c r="W56" s="79"/>
      <c r="Z56" s="130"/>
      <c r="AB56" s="106"/>
    </row>
    <row r="57">
      <c r="C57" s="79"/>
      <c r="D57" s="79"/>
      <c r="E57" s="79"/>
      <c r="M57" s="79"/>
      <c r="R57" s="79"/>
      <c r="S57" s="79"/>
      <c r="V57" s="79"/>
      <c r="W57" s="79"/>
      <c r="Z57" s="130"/>
      <c r="AB57" s="106"/>
    </row>
    <row r="58">
      <c r="C58" s="79"/>
      <c r="D58" s="79"/>
      <c r="E58" s="79"/>
      <c r="M58" s="79"/>
      <c r="R58" s="79"/>
      <c r="S58" s="79"/>
      <c r="V58" s="79"/>
      <c r="W58" s="79"/>
      <c r="Z58" s="130"/>
      <c r="AB58" s="106"/>
    </row>
    <row r="59">
      <c r="C59" s="79"/>
      <c r="D59" s="79"/>
      <c r="E59" s="79"/>
      <c r="M59" s="79"/>
      <c r="R59" s="79"/>
      <c r="S59" s="79"/>
      <c r="V59" s="79"/>
      <c r="W59" s="79"/>
      <c r="Z59" s="130"/>
      <c r="AB59" s="106"/>
    </row>
    <row r="60">
      <c r="C60" s="79"/>
      <c r="D60" s="79"/>
      <c r="E60" s="79"/>
      <c r="M60" s="79"/>
      <c r="R60" s="79"/>
      <c r="S60" s="79"/>
      <c r="V60" s="79"/>
      <c r="W60" s="79"/>
      <c r="Z60" s="130"/>
      <c r="AB60" s="106"/>
    </row>
    <row r="61">
      <c r="C61" s="79"/>
      <c r="D61" s="79"/>
      <c r="E61" s="79"/>
      <c r="M61" s="79"/>
      <c r="R61" s="79"/>
      <c r="S61" s="79"/>
      <c r="V61" s="79"/>
      <c r="W61" s="79"/>
      <c r="Z61" s="130"/>
      <c r="AB61" s="106"/>
    </row>
    <row r="62">
      <c r="C62" s="79"/>
      <c r="D62" s="79"/>
      <c r="E62" s="79"/>
      <c r="M62" s="79"/>
      <c r="R62" s="79"/>
      <c r="S62" s="79"/>
      <c r="V62" s="79"/>
      <c r="W62" s="79"/>
      <c r="Z62" s="130"/>
      <c r="AB62" s="106"/>
    </row>
    <row r="63">
      <c r="C63" s="79"/>
      <c r="D63" s="79"/>
      <c r="E63" s="79"/>
      <c r="M63" s="79"/>
      <c r="R63" s="79"/>
      <c r="S63" s="79"/>
      <c r="V63" s="79"/>
      <c r="W63" s="79"/>
      <c r="Z63" s="130"/>
      <c r="AB63" s="106"/>
    </row>
    <row r="64">
      <c r="C64" s="79"/>
      <c r="D64" s="79"/>
      <c r="E64" s="79"/>
      <c r="M64" s="79"/>
      <c r="R64" s="79"/>
      <c r="S64" s="79"/>
      <c r="V64" s="79"/>
      <c r="W64" s="79"/>
      <c r="Z64" s="130"/>
      <c r="AB64" s="106"/>
    </row>
    <row r="65">
      <c r="C65" s="79"/>
      <c r="D65" s="79"/>
      <c r="E65" s="79"/>
      <c r="M65" s="79"/>
      <c r="R65" s="79"/>
      <c r="S65" s="79"/>
      <c r="V65" s="79"/>
      <c r="W65" s="79"/>
      <c r="Z65" s="130"/>
      <c r="AB65" s="106"/>
    </row>
    <row r="66">
      <c r="C66" s="79"/>
      <c r="D66" s="79"/>
      <c r="E66" s="79"/>
      <c r="M66" s="79"/>
      <c r="R66" s="79"/>
      <c r="S66" s="79"/>
      <c r="V66" s="79"/>
      <c r="W66" s="79"/>
      <c r="Z66" s="130"/>
      <c r="AB66" s="106"/>
    </row>
    <row r="67">
      <c r="C67" s="79"/>
      <c r="D67" s="79"/>
      <c r="E67" s="79"/>
      <c r="M67" s="79"/>
      <c r="R67" s="79"/>
      <c r="S67" s="79"/>
      <c r="V67" s="79"/>
      <c r="W67" s="79"/>
      <c r="Z67" s="130"/>
      <c r="AB67" s="106"/>
    </row>
    <row r="68">
      <c r="C68" s="79"/>
      <c r="D68" s="79"/>
      <c r="E68" s="79"/>
      <c r="M68" s="79"/>
      <c r="R68" s="79"/>
      <c r="S68" s="79"/>
      <c r="V68" s="79"/>
      <c r="W68" s="79"/>
      <c r="Z68" s="130"/>
      <c r="AB68" s="106"/>
    </row>
    <row r="69">
      <c r="C69" s="79"/>
      <c r="D69" s="79"/>
      <c r="E69" s="79"/>
      <c r="M69" s="79"/>
      <c r="R69" s="79"/>
      <c r="S69" s="79"/>
      <c r="V69" s="79"/>
      <c r="W69" s="79"/>
      <c r="Z69" s="130"/>
      <c r="AB69" s="106"/>
    </row>
    <row r="70">
      <c r="C70" s="79"/>
      <c r="D70" s="79"/>
      <c r="E70" s="79"/>
      <c r="M70" s="79"/>
      <c r="R70" s="79"/>
      <c r="S70" s="79"/>
      <c r="V70" s="79"/>
      <c r="W70" s="79"/>
      <c r="Z70" s="130"/>
      <c r="AB70" s="106"/>
    </row>
    <row r="71">
      <c r="C71" s="79"/>
      <c r="D71" s="79"/>
      <c r="E71" s="79"/>
      <c r="M71" s="79"/>
      <c r="R71" s="79"/>
      <c r="S71" s="79"/>
      <c r="V71" s="79"/>
      <c r="W71" s="79"/>
      <c r="Z71" s="130"/>
      <c r="AB71" s="106"/>
    </row>
    <row r="72">
      <c r="C72" s="79"/>
      <c r="D72" s="79"/>
      <c r="E72" s="79"/>
      <c r="M72" s="79"/>
      <c r="R72" s="79"/>
      <c r="S72" s="79"/>
      <c r="V72" s="79"/>
      <c r="W72" s="79"/>
      <c r="Z72" s="130"/>
      <c r="AB72" s="106"/>
    </row>
    <row r="73">
      <c r="C73" s="79"/>
      <c r="D73" s="79"/>
      <c r="E73" s="79"/>
      <c r="M73" s="79"/>
      <c r="R73" s="79"/>
      <c r="S73" s="79"/>
      <c r="V73" s="79"/>
      <c r="W73" s="79"/>
      <c r="Z73" s="130"/>
      <c r="AB73" s="106"/>
    </row>
    <row r="74">
      <c r="C74" s="79"/>
      <c r="D74" s="79"/>
      <c r="E74" s="79"/>
      <c r="M74" s="79"/>
      <c r="R74" s="79"/>
      <c r="S74" s="79"/>
      <c r="V74" s="79"/>
      <c r="W74" s="79"/>
      <c r="Z74" s="130"/>
      <c r="AB74" s="106"/>
    </row>
    <row r="75">
      <c r="C75" s="79"/>
      <c r="D75" s="79"/>
      <c r="E75" s="79"/>
      <c r="M75" s="79"/>
      <c r="R75" s="79"/>
      <c r="S75" s="79"/>
      <c r="V75" s="79"/>
      <c r="W75" s="79"/>
      <c r="Z75" s="130"/>
      <c r="AB75" s="106"/>
    </row>
    <row r="76">
      <c r="C76" s="79"/>
      <c r="D76" s="79"/>
      <c r="E76" s="79"/>
      <c r="M76" s="79"/>
      <c r="R76" s="79"/>
      <c r="S76" s="79"/>
      <c r="V76" s="79"/>
      <c r="W76" s="79"/>
      <c r="Z76" s="130"/>
      <c r="AB76" s="106"/>
    </row>
    <row r="77">
      <c r="C77" s="79"/>
      <c r="D77" s="79"/>
      <c r="E77" s="79"/>
      <c r="M77" s="79"/>
      <c r="R77" s="79"/>
      <c r="S77" s="79"/>
      <c r="V77" s="79"/>
      <c r="W77" s="79"/>
      <c r="Z77" s="130"/>
      <c r="AB77" s="106"/>
    </row>
    <row r="78">
      <c r="C78" s="79"/>
      <c r="D78" s="79"/>
      <c r="E78" s="79"/>
      <c r="M78" s="79"/>
      <c r="R78" s="79"/>
      <c r="S78" s="79"/>
      <c r="V78" s="79"/>
      <c r="W78" s="79"/>
      <c r="Z78" s="130"/>
      <c r="AB78" s="106"/>
    </row>
    <row r="79">
      <c r="C79" s="79"/>
      <c r="D79" s="79"/>
      <c r="E79" s="79"/>
      <c r="M79" s="79"/>
      <c r="R79" s="79"/>
      <c r="S79" s="79"/>
      <c r="V79" s="79"/>
      <c r="W79" s="79"/>
      <c r="Z79" s="130"/>
      <c r="AB79" s="106"/>
    </row>
    <row r="80">
      <c r="C80" s="79"/>
      <c r="D80" s="79"/>
      <c r="E80" s="79"/>
      <c r="M80" s="79"/>
      <c r="R80" s="79"/>
      <c r="S80" s="79"/>
      <c r="V80" s="79"/>
      <c r="W80" s="79"/>
      <c r="Z80" s="130"/>
      <c r="AB80" s="106"/>
    </row>
    <row r="81">
      <c r="C81" s="79"/>
      <c r="D81" s="79"/>
      <c r="E81" s="79"/>
      <c r="M81" s="79"/>
      <c r="R81" s="79"/>
      <c r="S81" s="79"/>
      <c r="V81" s="79"/>
      <c r="W81" s="79"/>
      <c r="Z81" s="130"/>
      <c r="AB81" s="106"/>
    </row>
    <row r="82">
      <c r="C82" s="79"/>
      <c r="D82" s="79"/>
      <c r="E82" s="79"/>
      <c r="M82" s="79"/>
      <c r="R82" s="79"/>
      <c r="S82" s="79"/>
      <c r="V82" s="79"/>
      <c r="W82" s="79"/>
      <c r="Z82" s="130"/>
      <c r="AB82" s="106"/>
    </row>
    <row r="83">
      <c r="C83" s="79"/>
      <c r="D83" s="79"/>
      <c r="E83" s="79"/>
      <c r="M83" s="79"/>
      <c r="R83" s="79"/>
      <c r="S83" s="79"/>
      <c r="V83" s="79"/>
      <c r="W83" s="79"/>
      <c r="Z83" s="130"/>
      <c r="AB83" s="106"/>
    </row>
    <row r="84">
      <c r="C84" s="79"/>
      <c r="D84" s="79"/>
      <c r="E84" s="79"/>
      <c r="M84" s="79"/>
      <c r="R84" s="79"/>
      <c r="S84" s="79"/>
      <c r="V84" s="79"/>
      <c r="W84" s="79"/>
      <c r="Z84" s="130"/>
      <c r="AB84" s="106"/>
    </row>
    <row r="85">
      <c r="C85" s="79"/>
      <c r="D85" s="79"/>
      <c r="E85" s="79"/>
      <c r="M85" s="79"/>
      <c r="R85" s="79"/>
      <c r="S85" s="79"/>
      <c r="V85" s="79"/>
      <c r="W85" s="79"/>
      <c r="Z85" s="130"/>
      <c r="AB85" s="106"/>
    </row>
    <row r="86">
      <c r="C86" s="79"/>
      <c r="D86" s="79"/>
      <c r="E86" s="79"/>
      <c r="M86" s="79"/>
      <c r="R86" s="79"/>
      <c r="S86" s="79"/>
      <c r="V86" s="79"/>
      <c r="W86" s="79"/>
      <c r="Z86" s="130"/>
      <c r="AB86" s="106"/>
    </row>
    <row r="87">
      <c r="C87" s="79"/>
      <c r="D87" s="79"/>
      <c r="E87" s="79"/>
      <c r="M87" s="79"/>
      <c r="R87" s="79"/>
      <c r="S87" s="79"/>
      <c r="V87" s="79"/>
      <c r="W87" s="79"/>
      <c r="Z87" s="130"/>
      <c r="AB87" s="106"/>
    </row>
    <row r="88">
      <c r="C88" s="79"/>
      <c r="D88" s="79"/>
      <c r="E88" s="79"/>
      <c r="M88" s="79"/>
      <c r="R88" s="79"/>
      <c r="S88" s="79"/>
      <c r="V88" s="79"/>
      <c r="W88" s="79"/>
      <c r="Z88" s="130"/>
      <c r="AB88" s="106"/>
    </row>
    <row r="89">
      <c r="C89" s="79"/>
      <c r="D89" s="79"/>
      <c r="E89" s="79"/>
      <c r="M89" s="79"/>
      <c r="R89" s="79"/>
      <c r="S89" s="79"/>
      <c r="V89" s="79"/>
      <c r="W89" s="79"/>
      <c r="Z89" s="130"/>
      <c r="AB89" s="106"/>
    </row>
    <row r="90">
      <c r="C90" s="79"/>
      <c r="D90" s="79"/>
      <c r="E90" s="79"/>
      <c r="M90" s="79"/>
      <c r="R90" s="79"/>
      <c r="S90" s="79"/>
      <c r="V90" s="79"/>
      <c r="W90" s="79"/>
      <c r="Z90" s="130"/>
      <c r="AB90" s="106"/>
    </row>
    <row r="91">
      <c r="C91" s="79"/>
      <c r="D91" s="79"/>
      <c r="E91" s="79"/>
      <c r="M91" s="79"/>
      <c r="R91" s="79"/>
      <c r="S91" s="79"/>
      <c r="V91" s="79"/>
      <c r="W91" s="79"/>
      <c r="Z91" s="130"/>
      <c r="AB91" s="106"/>
    </row>
    <row r="92">
      <c r="C92" s="79"/>
      <c r="D92" s="79"/>
      <c r="E92" s="79"/>
      <c r="M92" s="79"/>
      <c r="R92" s="79"/>
      <c r="S92" s="79"/>
      <c r="V92" s="79"/>
      <c r="W92" s="79"/>
      <c r="Z92" s="130"/>
      <c r="AB92" s="106"/>
    </row>
    <row r="93">
      <c r="C93" s="79"/>
      <c r="D93" s="79"/>
      <c r="E93" s="79"/>
      <c r="M93" s="79"/>
      <c r="R93" s="79"/>
      <c r="S93" s="79"/>
      <c r="V93" s="79"/>
      <c r="W93" s="79"/>
      <c r="Z93" s="130"/>
      <c r="AB93" s="106"/>
    </row>
    <row r="94">
      <c r="C94" s="79"/>
      <c r="D94" s="79"/>
      <c r="E94" s="79"/>
      <c r="M94" s="79"/>
      <c r="R94" s="79"/>
      <c r="S94" s="79"/>
      <c r="V94" s="79"/>
      <c r="W94" s="79"/>
      <c r="Z94" s="130"/>
      <c r="AB94" s="106"/>
    </row>
    <row r="95">
      <c r="C95" s="79"/>
      <c r="D95" s="79"/>
      <c r="E95" s="79"/>
      <c r="M95" s="79"/>
      <c r="R95" s="79"/>
      <c r="S95" s="79"/>
      <c r="V95" s="79"/>
      <c r="W95" s="79"/>
      <c r="Z95" s="130"/>
      <c r="AB95" s="106"/>
    </row>
    <row r="96">
      <c r="C96" s="79"/>
      <c r="D96" s="79"/>
      <c r="E96" s="79"/>
      <c r="M96" s="79"/>
      <c r="R96" s="79"/>
      <c r="S96" s="79"/>
      <c r="V96" s="79"/>
      <c r="W96" s="79"/>
      <c r="Z96" s="130"/>
      <c r="AB96" s="106"/>
    </row>
    <row r="97">
      <c r="C97" s="79"/>
      <c r="D97" s="79"/>
      <c r="E97" s="79"/>
      <c r="M97" s="79"/>
      <c r="R97" s="79"/>
      <c r="S97" s="79"/>
      <c r="V97" s="79"/>
      <c r="W97" s="79"/>
      <c r="Z97" s="130"/>
      <c r="AB97" s="106"/>
    </row>
    <row r="98">
      <c r="C98" s="79"/>
      <c r="D98" s="79"/>
      <c r="E98" s="79"/>
      <c r="M98" s="79"/>
      <c r="R98" s="79"/>
      <c r="S98" s="79"/>
      <c r="V98" s="79"/>
      <c r="W98" s="79"/>
      <c r="Z98" s="130"/>
      <c r="AB98" s="106"/>
    </row>
    <row r="99">
      <c r="C99" s="79"/>
      <c r="D99" s="79"/>
      <c r="E99" s="79"/>
      <c r="M99" s="79"/>
      <c r="R99" s="79"/>
      <c r="S99" s="79"/>
      <c r="V99" s="79"/>
      <c r="W99" s="79"/>
      <c r="Z99" s="130"/>
      <c r="AB99" s="106"/>
    </row>
    <row r="100">
      <c r="C100" s="79"/>
      <c r="D100" s="79"/>
      <c r="E100" s="79"/>
      <c r="M100" s="79"/>
      <c r="R100" s="79"/>
      <c r="S100" s="79"/>
      <c r="V100" s="79"/>
      <c r="W100" s="79"/>
      <c r="Z100" s="130"/>
      <c r="AB100" s="106"/>
    </row>
    <row r="101">
      <c r="C101" s="79"/>
      <c r="D101" s="79"/>
      <c r="E101" s="79"/>
      <c r="M101" s="79"/>
      <c r="R101" s="79"/>
      <c r="S101" s="79"/>
      <c r="V101" s="79"/>
      <c r="W101" s="79"/>
      <c r="Z101" s="130"/>
      <c r="AB101" s="106"/>
    </row>
    <row r="102">
      <c r="C102" s="79"/>
      <c r="D102" s="79"/>
      <c r="E102" s="79"/>
      <c r="M102" s="79"/>
      <c r="R102" s="79"/>
      <c r="S102" s="79"/>
      <c r="V102" s="79"/>
      <c r="W102" s="79"/>
      <c r="Z102" s="130"/>
      <c r="AB102" s="106"/>
    </row>
    <row r="103">
      <c r="C103" s="79"/>
      <c r="D103" s="79"/>
      <c r="E103" s="79"/>
      <c r="M103" s="79"/>
      <c r="R103" s="79"/>
      <c r="S103" s="79"/>
      <c r="V103" s="79"/>
      <c r="W103" s="79"/>
      <c r="Z103" s="130"/>
      <c r="AB103" s="106"/>
    </row>
    <row r="104">
      <c r="C104" s="79"/>
      <c r="D104" s="79"/>
      <c r="E104" s="79"/>
      <c r="M104" s="79"/>
      <c r="R104" s="79"/>
      <c r="S104" s="79"/>
      <c r="V104" s="79"/>
      <c r="W104" s="79"/>
      <c r="Z104" s="130"/>
      <c r="AB104" s="106"/>
    </row>
    <row r="105">
      <c r="C105" s="79"/>
      <c r="D105" s="79"/>
      <c r="E105" s="79"/>
      <c r="M105" s="79"/>
      <c r="R105" s="79"/>
      <c r="S105" s="79"/>
      <c r="V105" s="79"/>
      <c r="W105" s="79"/>
      <c r="Z105" s="130"/>
      <c r="AB105" s="106"/>
    </row>
    <row r="106">
      <c r="C106" s="79"/>
      <c r="D106" s="79"/>
      <c r="E106" s="79"/>
      <c r="M106" s="79"/>
      <c r="R106" s="79"/>
      <c r="S106" s="79"/>
      <c r="V106" s="79"/>
      <c r="W106" s="79"/>
      <c r="Z106" s="130"/>
      <c r="AB106" s="106"/>
    </row>
    <row r="107">
      <c r="C107" s="79"/>
      <c r="D107" s="79"/>
      <c r="E107" s="79"/>
      <c r="M107" s="79"/>
      <c r="R107" s="79"/>
      <c r="S107" s="79"/>
      <c r="V107" s="79"/>
      <c r="W107" s="79"/>
      <c r="Z107" s="130"/>
      <c r="AB107" s="106"/>
    </row>
    <row r="108">
      <c r="C108" s="79"/>
      <c r="D108" s="79"/>
      <c r="E108" s="79"/>
      <c r="M108" s="79"/>
      <c r="R108" s="79"/>
      <c r="S108" s="79"/>
      <c r="V108" s="79"/>
      <c r="W108" s="79"/>
      <c r="Z108" s="130"/>
      <c r="AB108" s="106"/>
    </row>
    <row r="109">
      <c r="C109" s="79"/>
      <c r="D109" s="79"/>
      <c r="E109" s="79"/>
      <c r="M109" s="79"/>
      <c r="R109" s="79"/>
      <c r="S109" s="79"/>
      <c r="V109" s="79"/>
      <c r="W109" s="79"/>
      <c r="Z109" s="130"/>
      <c r="AB109" s="106"/>
    </row>
    <row r="110">
      <c r="C110" s="79"/>
      <c r="D110" s="79"/>
      <c r="E110" s="79"/>
      <c r="M110" s="79"/>
      <c r="R110" s="79"/>
      <c r="S110" s="79"/>
      <c r="V110" s="79"/>
      <c r="W110" s="79"/>
      <c r="Z110" s="130"/>
      <c r="AB110" s="106"/>
    </row>
    <row r="111">
      <c r="C111" s="79"/>
      <c r="D111" s="79"/>
      <c r="E111" s="79"/>
      <c r="M111" s="79"/>
      <c r="R111" s="79"/>
      <c r="S111" s="79"/>
      <c r="V111" s="79"/>
      <c r="W111" s="79"/>
      <c r="Z111" s="130"/>
      <c r="AB111" s="106"/>
    </row>
    <row r="112">
      <c r="C112" s="79"/>
      <c r="D112" s="79"/>
      <c r="E112" s="79"/>
      <c r="M112" s="79"/>
      <c r="R112" s="79"/>
      <c r="S112" s="79"/>
      <c r="V112" s="79"/>
      <c r="W112" s="79"/>
      <c r="Z112" s="130"/>
      <c r="AB112" s="106"/>
    </row>
    <row r="113">
      <c r="C113" s="79"/>
      <c r="D113" s="79"/>
      <c r="E113" s="79"/>
      <c r="M113" s="79"/>
      <c r="R113" s="79"/>
      <c r="S113" s="79"/>
      <c r="V113" s="79"/>
      <c r="W113" s="79"/>
      <c r="Z113" s="130"/>
      <c r="AB113" s="106"/>
    </row>
    <row r="114">
      <c r="C114" s="79"/>
      <c r="D114" s="79"/>
      <c r="E114" s="79"/>
      <c r="M114" s="79"/>
      <c r="R114" s="79"/>
      <c r="S114" s="79"/>
      <c r="V114" s="79"/>
      <c r="W114" s="79"/>
      <c r="Z114" s="130"/>
      <c r="AB114" s="106"/>
    </row>
    <row r="115">
      <c r="C115" s="79"/>
      <c r="D115" s="79"/>
      <c r="E115" s="79"/>
      <c r="M115" s="79"/>
      <c r="R115" s="79"/>
      <c r="S115" s="79"/>
      <c r="V115" s="79"/>
      <c r="W115" s="79"/>
      <c r="Z115" s="130"/>
      <c r="AB115" s="106"/>
    </row>
    <row r="116">
      <c r="C116" s="79"/>
      <c r="D116" s="79"/>
      <c r="E116" s="79"/>
      <c r="M116" s="79"/>
      <c r="R116" s="79"/>
      <c r="S116" s="79"/>
      <c r="V116" s="79"/>
      <c r="W116" s="79"/>
      <c r="Z116" s="130"/>
      <c r="AB116" s="106"/>
    </row>
    <row r="117">
      <c r="C117" s="79"/>
      <c r="D117" s="79"/>
      <c r="E117" s="79"/>
      <c r="M117" s="79"/>
      <c r="R117" s="79"/>
      <c r="S117" s="79"/>
      <c r="V117" s="79"/>
      <c r="W117" s="79"/>
      <c r="Z117" s="130"/>
      <c r="AB117" s="106"/>
    </row>
    <row r="118">
      <c r="C118" s="79"/>
      <c r="D118" s="79"/>
      <c r="E118" s="79"/>
      <c r="M118" s="79"/>
      <c r="R118" s="79"/>
      <c r="S118" s="79"/>
      <c r="V118" s="79"/>
      <c r="W118" s="79"/>
      <c r="Z118" s="130"/>
      <c r="AB118" s="106"/>
    </row>
    <row r="119">
      <c r="C119" s="79"/>
      <c r="D119" s="79"/>
      <c r="E119" s="79"/>
      <c r="M119" s="79"/>
      <c r="R119" s="79"/>
      <c r="S119" s="79"/>
      <c r="V119" s="79"/>
      <c r="W119" s="79"/>
      <c r="Z119" s="130"/>
      <c r="AB119" s="106"/>
    </row>
    <row r="120">
      <c r="C120" s="79"/>
      <c r="D120" s="79"/>
      <c r="E120" s="79"/>
      <c r="M120" s="79"/>
      <c r="R120" s="79"/>
      <c r="S120" s="79"/>
      <c r="V120" s="79"/>
      <c r="W120" s="79"/>
      <c r="Z120" s="130"/>
      <c r="AB120" s="106"/>
    </row>
    <row r="121">
      <c r="C121" s="79"/>
      <c r="D121" s="79"/>
      <c r="E121" s="79"/>
      <c r="M121" s="79"/>
      <c r="R121" s="79"/>
      <c r="S121" s="79"/>
      <c r="V121" s="79"/>
      <c r="W121" s="79"/>
      <c r="Z121" s="130"/>
      <c r="AB121" s="106"/>
    </row>
    <row r="122">
      <c r="C122" s="79"/>
      <c r="D122" s="79"/>
      <c r="E122" s="79"/>
      <c r="M122" s="79"/>
      <c r="R122" s="79"/>
      <c r="S122" s="79"/>
      <c r="V122" s="79"/>
      <c r="W122" s="79"/>
      <c r="Z122" s="130"/>
      <c r="AB122" s="106"/>
    </row>
    <row r="123">
      <c r="C123" s="79"/>
      <c r="D123" s="79"/>
      <c r="E123" s="79"/>
      <c r="M123" s="79"/>
      <c r="R123" s="79"/>
      <c r="S123" s="79"/>
      <c r="V123" s="79"/>
      <c r="W123" s="79"/>
      <c r="Z123" s="130"/>
      <c r="AB123" s="106"/>
    </row>
    <row r="124">
      <c r="C124" s="79"/>
      <c r="D124" s="79"/>
      <c r="E124" s="79"/>
      <c r="M124" s="79"/>
      <c r="R124" s="79"/>
      <c r="S124" s="79"/>
      <c r="V124" s="79"/>
      <c r="W124" s="79"/>
      <c r="Z124" s="130"/>
      <c r="AB124" s="106"/>
    </row>
    <row r="125">
      <c r="C125" s="79"/>
      <c r="D125" s="79"/>
      <c r="E125" s="79"/>
      <c r="M125" s="79"/>
      <c r="R125" s="79"/>
      <c r="S125" s="79"/>
      <c r="V125" s="79"/>
      <c r="W125" s="79"/>
      <c r="Z125" s="130"/>
      <c r="AB125" s="106"/>
    </row>
    <row r="126">
      <c r="C126" s="79"/>
      <c r="D126" s="79"/>
      <c r="E126" s="79"/>
      <c r="M126" s="79"/>
      <c r="R126" s="79"/>
      <c r="S126" s="79"/>
      <c r="V126" s="79"/>
      <c r="W126" s="79"/>
      <c r="Z126" s="130"/>
      <c r="AB126" s="106"/>
    </row>
    <row r="127">
      <c r="C127" s="79"/>
      <c r="D127" s="79"/>
      <c r="E127" s="79"/>
      <c r="M127" s="79"/>
      <c r="R127" s="79"/>
      <c r="S127" s="79"/>
      <c r="V127" s="79"/>
      <c r="W127" s="79"/>
      <c r="Z127" s="130"/>
      <c r="AB127" s="106"/>
    </row>
    <row r="128">
      <c r="C128" s="79"/>
      <c r="D128" s="79"/>
      <c r="E128" s="79"/>
      <c r="M128" s="79"/>
      <c r="R128" s="79"/>
      <c r="S128" s="79"/>
      <c r="V128" s="79"/>
      <c r="W128" s="79"/>
      <c r="Z128" s="130"/>
      <c r="AB128" s="106"/>
    </row>
    <row r="129">
      <c r="C129" s="79"/>
      <c r="D129" s="79"/>
      <c r="E129" s="79"/>
      <c r="M129" s="79"/>
      <c r="R129" s="79"/>
      <c r="S129" s="79"/>
      <c r="V129" s="79"/>
      <c r="W129" s="79"/>
      <c r="Z129" s="130"/>
      <c r="AB129" s="106"/>
    </row>
    <row r="130">
      <c r="C130" s="79"/>
      <c r="D130" s="79"/>
      <c r="E130" s="79"/>
      <c r="M130" s="79"/>
      <c r="R130" s="79"/>
      <c r="S130" s="79"/>
      <c r="V130" s="79"/>
      <c r="W130" s="79"/>
      <c r="Z130" s="130"/>
      <c r="AB130" s="106"/>
    </row>
    <row r="131">
      <c r="C131" s="79"/>
      <c r="D131" s="79"/>
      <c r="E131" s="79"/>
      <c r="M131" s="79"/>
      <c r="R131" s="79"/>
      <c r="S131" s="79"/>
      <c r="V131" s="79"/>
      <c r="W131" s="79"/>
      <c r="Z131" s="130"/>
      <c r="AB131" s="106"/>
    </row>
    <row r="132">
      <c r="C132" s="79"/>
      <c r="D132" s="79"/>
      <c r="E132" s="79"/>
      <c r="M132" s="79"/>
      <c r="R132" s="79"/>
      <c r="S132" s="79"/>
      <c r="V132" s="79"/>
      <c r="W132" s="79"/>
      <c r="Z132" s="130"/>
      <c r="AB132" s="106"/>
    </row>
    <row r="133">
      <c r="C133" s="79"/>
      <c r="D133" s="79"/>
      <c r="E133" s="79"/>
      <c r="M133" s="79"/>
      <c r="R133" s="79"/>
      <c r="S133" s="79"/>
      <c r="V133" s="79"/>
      <c r="W133" s="79"/>
      <c r="Z133" s="130"/>
      <c r="AB133" s="106"/>
    </row>
    <row r="134">
      <c r="C134" s="79"/>
      <c r="D134" s="79"/>
      <c r="E134" s="79"/>
      <c r="M134" s="79"/>
      <c r="R134" s="79"/>
      <c r="S134" s="79"/>
      <c r="V134" s="79"/>
      <c r="W134" s="79"/>
      <c r="Z134" s="130"/>
      <c r="AB134" s="106"/>
    </row>
    <row r="135">
      <c r="C135" s="79"/>
      <c r="D135" s="79"/>
      <c r="E135" s="79"/>
      <c r="M135" s="79"/>
      <c r="R135" s="79"/>
      <c r="S135" s="79"/>
      <c r="V135" s="79"/>
      <c r="W135" s="79"/>
      <c r="Z135" s="130"/>
      <c r="AB135" s="106"/>
    </row>
    <row r="136">
      <c r="C136" s="79"/>
      <c r="D136" s="79"/>
      <c r="E136" s="79"/>
      <c r="M136" s="79"/>
      <c r="R136" s="79"/>
      <c r="S136" s="79"/>
      <c r="V136" s="79"/>
      <c r="W136" s="79"/>
      <c r="Z136" s="130"/>
      <c r="AB136" s="106"/>
    </row>
    <row r="137">
      <c r="C137" s="79"/>
      <c r="D137" s="79"/>
      <c r="E137" s="79"/>
      <c r="M137" s="79"/>
      <c r="R137" s="79"/>
      <c r="S137" s="79"/>
      <c r="V137" s="79"/>
      <c r="W137" s="79"/>
      <c r="Z137" s="130"/>
      <c r="AB137" s="106"/>
    </row>
    <row r="138">
      <c r="C138" s="79"/>
      <c r="D138" s="79"/>
      <c r="E138" s="79"/>
      <c r="M138" s="79"/>
      <c r="R138" s="79"/>
      <c r="S138" s="79"/>
      <c r="V138" s="79"/>
      <c r="W138" s="79"/>
      <c r="Z138" s="130"/>
      <c r="AB138" s="106"/>
    </row>
    <row r="139">
      <c r="C139" s="79"/>
      <c r="D139" s="79"/>
      <c r="E139" s="79"/>
      <c r="M139" s="79"/>
      <c r="R139" s="79"/>
      <c r="S139" s="79"/>
      <c r="V139" s="79"/>
      <c r="W139" s="79"/>
      <c r="Z139" s="130"/>
      <c r="AB139" s="106"/>
    </row>
    <row r="140">
      <c r="C140" s="79"/>
      <c r="D140" s="79"/>
      <c r="E140" s="79"/>
      <c r="M140" s="79"/>
      <c r="R140" s="79"/>
      <c r="S140" s="79"/>
      <c r="V140" s="79"/>
      <c r="W140" s="79"/>
      <c r="Z140" s="130"/>
      <c r="AB140" s="106"/>
    </row>
    <row r="141">
      <c r="C141" s="79"/>
      <c r="D141" s="79"/>
      <c r="E141" s="79"/>
      <c r="M141" s="79"/>
      <c r="R141" s="79"/>
      <c r="S141" s="79"/>
      <c r="V141" s="79"/>
      <c r="W141" s="79"/>
      <c r="Z141" s="130"/>
      <c r="AB141" s="106"/>
    </row>
    <row r="142">
      <c r="C142" s="79"/>
      <c r="D142" s="79"/>
      <c r="E142" s="79"/>
      <c r="M142" s="79"/>
      <c r="R142" s="79"/>
      <c r="S142" s="79"/>
      <c r="V142" s="79"/>
      <c r="W142" s="79"/>
      <c r="Z142" s="130"/>
      <c r="AB142" s="106"/>
    </row>
    <row r="143">
      <c r="C143" s="79"/>
      <c r="D143" s="79"/>
      <c r="E143" s="79"/>
      <c r="M143" s="79"/>
      <c r="R143" s="79"/>
      <c r="S143" s="79"/>
      <c r="V143" s="79"/>
      <c r="W143" s="79"/>
      <c r="Z143" s="130"/>
      <c r="AB143" s="106"/>
    </row>
    <row r="144">
      <c r="C144" s="79"/>
      <c r="D144" s="79"/>
      <c r="E144" s="79"/>
      <c r="M144" s="79"/>
      <c r="R144" s="79"/>
      <c r="S144" s="79"/>
      <c r="V144" s="79"/>
      <c r="W144" s="79"/>
      <c r="Z144" s="130"/>
      <c r="AB144" s="106"/>
    </row>
    <row r="145">
      <c r="C145" s="79"/>
      <c r="D145" s="79"/>
      <c r="E145" s="79"/>
      <c r="M145" s="79"/>
      <c r="R145" s="79"/>
      <c r="S145" s="79"/>
      <c r="V145" s="79"/>
      <c r="W145" s="79"/>
      <c r="Z145" s="130"/>
      <c r="AB145" s="106"/>
    </row>
    <row r="146">
      <c r="C146" s="79"/>
      <c r="D146" s="79"/>
      <c r="E146" s="79"/>
      <c r="M146" s="79"/>
      <c r="R146" s="79"/>
      <c r="S146" s="79"/>
      <c r="V146" s="79"/>
      <c r="W146" s="79"/>
      <c r="Z146" s="130"/>
      <c r="AB146" s="106"/>
    </row>
    <row r="147">
      <c r="C147" s="79"/>
      <c r="D147" s="79"/>
      <c r="E147" s="79"/>
      <c r="M147" s="79"/>
      <c r="R147" s="79"/>
      <c r="S147" s="79"/>
      <c r="V147" s="79"/>
      <c r="W147" s="79"/>
      <c r="Z147" s="130"/>
      <c r="AB147" s="106"/>
    </row>
    <row r="148">
      <c r="C148" s="79"/>
      <c r="D148" s="79"/>
      <c r="E148" s="79"/>
      <c r="M148" s="79"/>
      <c r="R148" s="79"/>
      <c r="S148" s="79"/>
      <c r="V148" s="79"/>
      <c r="W148" s="79"/>
      <c r="Z148" s="130"/>
      <c r="AB148" s="106"/>
    </row>
    <row r="149">
      <c r="C149" s="79"/>
      <c r="D149" s="79"/>
      <c r="E149" s="79"/>
      <c r="M149" s="79"/>
      <c r="R149" s="79"/>
      <c r="S149" s="79"/>
      <c r="V149" s="79"/>
      <c r="W149" s="79"/>
      <c r="Z149" s="130"/>
      <c r="AB149" s="106"/>
    </row>
    <row r="150">
      <c r="C150" s="79"/>
      <c r="D150" s="79"/>
      <c r="E150" s="79"/>
      <c r="M150" s="79"/>
      <c r="R150" s="79"/>
      <c r="S150" s="79"/>
      <c r="V150" s="79"/>
      <c r="W150" s="79"/>
      <c r="Z150" s="130"/>
      <c r="AB150" s="106"/>
    </row>
    <row r="151">
      <c r="C151" s="79"/>
      <c r="D151" s="79"/>
      <c r="E151" s="79"/>
      <c r="M151" s="79"/>
      <c r="R151" s="79"/>
      <c r="S151" s="79"/>
      <c r="V151" s="79"/>
      <c r="W151" s="79"/>
      <c r="Z151" s="130"/>
      <c r="AB151" s="106"/>
    </row>
    <row r="152">
      <c r="C152" s="79"/>
      <c r="D152" s="79"/>
      <c r="E152" s="79"/>
      <c r="M152" s="79"/>
      <c r="R152" s="79"/>
      <c r="S152" s="79"/>
      <c r="V152" s="79"/>
      <c r="W152" s="79"/>
      <c r="Z152" s="130"/>
      <c r="AB152" s="106"/>
    </row>
    <row r="153">
      <c r="C153" s="79"/>
      <c r="D153" s="79"/>
      <c r="E153" s="79"/>
      <c r="M153" s="79"/>
      <c r="R153" s="79"/>
      <c r="S153" s="79"/>
      <c r="V153" s="79"/>
      <c r="W153" s="79"/>
      <c r="Z153" s="130"/>
      <c r="AB153" s="106"/>
    </row>
    <row r="154">
      <c r="C154" s="79"/>
      <c r="D154" s="79"/>
      <c r="E154" s="79"/>
      <c r="M154" s="79"/>
      <c r="R154" s="79"/>
      <c r="S154" s="79"/>
      <c r="V154" s="79"/>
      <c r="W154" s="79"/>
      <c r="Z154" s="130"/>
      <c r="AB154" s="106"/>
    </row>
    <row r="155">
      <c r="C155" s="79"/>
      <c r="D155" s="79"/>
      <c r="E155" s="79"/>
      <c r="M155" s="79"/>
      <c r="R155" s="79"/>
      <c r="S155" s="79"/>
      <c r="V155" s="79"/>
      <c r="W155" s="79"/>
      <c r="Z155" s="130"/>
      <c r="AB155" s="106"/>
    </row>
    <row r="156">
      <c r="C156" s="79"/>
      <c r="D156" s="79"/>
      <c r="E156" s="79"/>
      <c r="M156" s="79"/>
      <c r="R156" s="79"/>
      <c r="S156" s="79"/>
      <c r="V156" s="79"/>
      <c r="W156" s="79"/>
      <c r="Z156" s="130"/>
      <c r="AB156" s="106"/>
    </row>
    <row r="157">
      <c r="C157" s="79"/>
      <c r="D157" s="79"/>
      <c r="E157" s="79"/>
      <c r="M157" s="79"/>
      <c r="R157" s="79"/>
      <c r="S157" s="79"/>
      <c r="V157" s="79"/>
      <c r="W157" s="79"/>
      <c r="Z157" s="130"/>
      <c r="AB157" s="106"/>
    </row>
    <row r="158">
      <c r="C158" s="79"/>
      <c r="D158" s="79"/>
      <c r="E158" s="79"/>
      <c r="M158" s="79"/>
      <c r="R158" s="79"/>
      <c r="S158" s="79"/>
      <c r="V158" s="79"/>
      <c r="W158" s="79"/>
      <c r="Z158" s="130"/>
      <c r="AB158" s="106"/>
    </row>
    <row r="159">
      <c r="C159" s="79"/>
      <c r="D159" s="79"/>
      <c r="E159" s="79"/>
      <c r="M159" s="79"/>
      <c r="R159" s="79"/>
      <c r="S159" s="79"/>
      <c r="V159" s="79"/>
      <c r="W159" s="79"/>
      <c r="Z159" s="130"/>
      <c r="AB159" s="106"/>
    </row>
    <row r="160">
      <c r="C160" s="79"/>
      <c r="D160" s="79"/>
      <c r="E160" s="79"/>
      <c r="M160" s="79"/>
      <c r="R160" s="79"/>
      <c r="S160" s="79"/>
      <c r="V160" s="79"/>
      <c r="W160" s="79"/>
      <c r="Z160" s="130"/>
      <c r="AB160" s="106"/>
    </row>
    <row r="161">
      <c r="C161" s="79"/>
      <c r="D161" s="79"/>
      <c r="E161" s="79"/>
      <c r="M161" s="79"/>
      <c r="R161" s="79"/>
      <c r="S161" s="79"/>
      <c r="V161" s="79"/>
      <c r="W161" s="79"/>
      <c r="Z161" s="130"/>
      <c r="AB161" s="106"/>
    </row>
    <row r="162">
      <c r="C162" s="79"/>
      <c r="D162" s="79"/>
      <c r="E162" s="79"/>
      <c r="M162" s="79"/>
      <c r="R162" s="79"/>
      <c r="S162" s="79"/>
      <c r="V162" s="79"/>
      <c r="W162" s="79"/>
      <c r="Z162" s="130"/>
      <c r="AB162" s="106"/>
    </row>
    <row r="163">
      <c r="C163" s="79"/>
      <c r="D163" s="79"/>
      <c r="E163" s="79"/>
      <c r="M163" s="79"/>
      <c r="R163" s="79"/>
      <c r="S163" s="79"/>
      <c r="V163" s="79"/>
      <c r="W163" s="79"/>
      <c r="Z163" s="130"/>
      <c r="AB163" s="106"/>
    </row>
    <row r="164">
      <c r="C164" s="79"/>
      <c r="D164" s="79"/>
      <c r="E164" s="79"/>
      <c r="M164" s="79"/>
      <c r="R164" s="79"/>
      <c r="S164" s="79"/>
      <c r="V164" s="79"/>
      <c r="W164" s="79"/>
      <c r="Z164" s="130"/>
      <c r="AB164" s="106"/>
    </row>
    <row r="165">
      <c r="C165" s="79"/>
      <c r="D165" s="79"/>
      <c r="E165" s="79"/>
      <c r="M165" s="79"/>
      <c r="R165" s="79"/>
      <c r="S165" s="79"/>
      <c r="V165" s="79"/>
      <c r="W165" s="79"/>
      <c r="Z165" s="130"/>
      <c r="AB165" s="106"/>
    </row>
    <row r="166">
      <c r="C166" s="79"/>
      <c r="D166" s="79"/>
      <c r="E166" s="79"/>
      <c r="M166" s="79"/>
      <c r="R166" s="79"/>
      <c r="S166" s="79"/>
      <c r="V166" s="79"/>
      <c r="W166" s="79"/>
      <c r="Z166" s="130"/>
      <c r="AB166" s="106"/>
    </row>
    <row r="167">
      <c r="C167" s="79"/>
      <c r="D167" s="79"/>
      <c r="E167" s="79"/>
      <c r="M167" s="79"/>
      <c r="R167" s="79"/>
      <c r="S167" s="79"/>
      <c r="V167" s="79"/>
      <c r="W167" s="79"/>
      <c r="Z167" s="130"/>
      <c r="AB167" s="106"/>
    </row>
    <row r="168">
      <c r="C168" s="79"/>
      <c r="D168" s="79"/>
      <c r="E168" s="79"/>
      <c r="M168" s="79"/>
      <c r="R168" s="79"/>
      <c r="S168" s="79"/>
      <c r="V168" s="79"/>
      <c r="W168" s="79"/>
      <c r="Z168" s="130"/>
      <c r="AB168" s="106"/>
    </row>
    <row r="169">
      <c r="C169" s="79"/>
      <c r="D169" s="79"/>
      <c r="E169" s="79"/>
      <c r="M169" s="79"/>
      <c r="R169" s="79"/>
      <c r="S169" s="79"/>
      <c r="V169" s="79"/>
      <c r="W169" s="79"/>
      <c r="Z169" s="130"/>
      <c r="AB169" s="106"/>
    </row>
    <row r="170">
      <c r="C170" s="79"/>
      <c r="D170" s="79"/>
      <c r="E170" s="79"/>
      <c r="M170" s="79"/>
      <c r="R170" s="79"/>
      <c r="S170" s="79"/>
      <c r="V170" s="79"/>
      <c r="W170" s="79"/>
      <c r="Z170" s="130"/>
      <c r="AB170" s="106"/>
    </row>
    <row r="171">
      <c r="C171" s="79"/>
      <c r="D171" s="79"/>
      <c r="E171" s="79"/>
      <c r="M171" s="79"/>
      <c r="R171" s="79"/>
      <c r="S171" s="79"/>
      <c r="V171" s="79"/>
      <c r="W171" s="79"/>
      <c r="Z171" s="130"/>
      <c r="AB171" s="106"/>
    </row>
    <row r="172">
      <c r="C172" s="79"/>
      <c r="D172" s="79"/>
      <c r="E172" s="79"/>
      <c r="M172" s="79"/>
      <c r="R172" s="79"/>
      <c r="S172" s="79"/>
      <c r="V172" s="79"/>
      <c r="W172" s="79"/>
      <c r="Z172" s="130"/>
      <c r="AB172" s="106"/>
    </row>
    <row r="173">
      <c r="C173" s="79"/>
      <c r="D173" s="79"/>
      <c r="E173" s="79"/>
      <c r="M173" s="79"/>
      <c r="R173" s="79"/>
      <c r="S173" s="79"/>
      <c r="V173" s="79"/>
      <c r="W173" s="79"/>
      <c r="Z173" s="130"/>
      <c r="AB173" s="106"/>
    </row>
    <row r="174">
      <c r="C174" s="79"/>
      <c r="D174" s="79"/>
      <c r="E174" s="79"/>
      <c r="M174" s="79"/>
      <c r="R174" s="79"/>
      <c r="S174" s="79"/>
      <c r="V174" s="79"/>
      <c r="W174" s="79"/>
      <c r="Z174" s="130"/>
      <c r="AB174" s="106"/>
    </row>
    <row r="175">
      <c r="C175" s="79"/>
      <c r="D175" s="79"/>
      <c r="E175" s="79"/>
      <c r="M175" s="79"/>
      <c r="R175" s="79"/>
      <c r="S175" s="79"/>
      <c r="V175" s="79"/>
      <c r="W175" s="79"/>
      <c r="Z175" s="130"/>
      <c r="AB175" s="106"/>
    </row>
    <row r="176">
      <c r="C176" s="79"/>
      <c r="D176" s="79"/>
      <c r="E176" s="79"/>
      <c r="M176" s="79"/>
      <c r="R176" s="79"/>
      <c r="S176" s="79"/>
      <c r="V176" s="79"/>
      <c r="W176" s="79"/>
      <c r="Z176" s="130"/>
      <c r="AB176" s="106"/>
    </row>
    <row r="177">
      <c r="C177" s="79"/>
      <c r="D177" s="79"/>
      <c r="E177" s="79"/>
      <c r="M177" s="79"/>
      <c r="R177" s="79"/>
      <c r="S177" s="79"/>
      <c r="V177" s="79"/>
      <c r="W177" s="79"/>
      <c r="Z177" s="130"/>
      <c r="AB177" s="106"/>
    </row>
    <row r="178">
      <c r="C178" s="79"/>
      <c r="D178" s="79"/>
      <c r="E178" s="79"/>
      <c r="M178" s="79"/>
      <c r="R178" s="79"/>
      <c r="S178" s="79"/>
      <c r="V178" s="79"/>
      <c r="W178" s="79"/>
      <c r="Z178" s="130"/>
      <c r="AB178" s="106"/>
    </row>
    <row r="179">
      <c r="C179" s="79"/>
      <c r="D179" s="79"/>
      <c r="E179" s="79"/>
      <c r="M179" s="79"/>
      <c r="R179" s="79"/>
      <c r="S179" s="79"/>
      <c r="V179" s="79"/>
      <c r="W179" s="79"/>
      <c r="Z179" s="130"/>
      <c r="AB179" s="106"/>
    </row>
    <row r="180">
      <c r="C180" s="79"/>
      <c r="D180" s="79"/>
      <c r="E180" s="79"/>
      <c r="M180" s="79"/>
      <c r="R180" s="79"/>
      <c r="S180" s="79"/>
      <c r="V180" s="79"/>
      <c r="W180" s="79"/>
      <c r="Z180" s="130"/>
      <c r="AB180" s="106"/>
    </row>
    <row r="181">
      <c r="C181" s="79"/>
      <c r="D181" s="79"/>
      <c r="E181" s="79"/>
      <c r="M181" s="79"/>
      <c r="R181" s="79"/>
      <c r="S181" s="79"/>
      <c r="V181" s="79"/>
      <c r="W181" s="79"/>
      <c r="Z181" s="130"/>
      <c r="AB181" s="106"/>
    </row>
    <row r="182">
      <c r="C182" s="79"/>
      <c r="D182" s="79"/>
      <c r="E182" s="79"/>
      <c r="M182" s="79"/>
      <c r="R182" s="79"/>
      <c r="S182" s="79"/>
      <c r="V182" s="79"/>
      <c r="W182" s="79"/>
      <c r="Z182" s="130"/>
      <c r="AB182" s="106"/>
    </row>
    <row r="183">
      <c r="C183" s="79"/>
      <c r="D183" s="79"/>
      <c r="E183" s="79"/>
      <c r="M183" s="79"/>
      <c r="R183" s="79"/>
      <c r="S183" s="79"/>
      <c r="V183" s="79"/>
      <c r="W183" s="79"/>
      <c r="Z183" s="130"/>
      <c r="AB183" s="106"/>
    </row>
    <row r="184">
      <c r="C184" s="79"/>
      <c r="D184" s="79"/>
      <c r="E184" s="79"/>
      <c r="M184" s="79"/>
      <c r="R184" s="79"/>
      <c r="S184" s="79"/>
      <c r="V184" s="79"/>
      <c r="W184" s="79"/>
      <c r="Z184" s="130"/>
      <c r="AB184" s="106"/>
    </row>
    <row r="185">
      <c r="C185" s="79"/>
      <c r="D185" s="79"/>
      <c r="E185" s="79"/>
      <c r="M185" s="79"/>
      <c r="R185" s="79"/>
      <c r="S185" s="79"/>
      <c r="V185" s="79"/>
      <c r="W185" s="79"/>
      <c r="Z185" s="130"/>
      <c r="AB185" s="106"/>
    </row>
    <row r="186">
      <c r="C186" s="79"/>
      <c r="D186" s="79"/>
      <c r="E186" s="79"/>
      <c r="M186" s="79"/>
      <c r="R186" s="79"/>
      <c r="S186" s="79"/>
      <c r="V186" s="79"/>
      <c r="W186" s="79"/>
      <c r="Z186" s="130"/>
      <c r="AB186" s="106"/>
    </row>
    <row r="187">
      <c r="C187" s="79"/>
      <c r="D187" s="79"/>
      <c r="E187" s="79"/>
      <c r="M187" s="79"/>
      <c r="R187" s="79"/>
      <c r="S187" s="79"/>
      <c r="V187" s="79"/>
      <c r="W187" s="79"/>
      <c r="Z187" s="130"/>
      <c r="AB187" s="106"/>
    </row>
    <row r="188">
      <c r="C188" s="79"/>
      <c r="D188" s="79"/>
      <c r="E188" s="79"/>
      <c r="M188" s="79"/>
      <c r="R188" s="79"/>
      <c r="S188" s="79"/>
      <c r="V188" s="79"/>
      <c r="W188" s="79"/>
      <c r="Z188" s="130"/>
      <c r="AB188" s="106"/>
    </row>
    <row r="189">
      <c r="C189" s="79"/>
      <c r="D189" s="79"/>
      <c r="E189" s="79"/>
      <c r="M189" s="79"/>
      <c r="R189" s="79"/>
      <c r="S189" s="79"/>
      <c r="V189" s="79"/>
      <c r="W189" s="79"/>
      <c r="Z189" s="130"/>
      <c r="AB189" s="106"/>
    </row>
    <row r="190">
      <c r="C190" s="79"/>
      <c r="D190" s="79"/>
      <c r="E190" s="79"/>
      <c r="M190" s="79"/>
      <c r="R190" s="79"/>
      <c r="S190" s="79"/>
      <c r="V190" s="79"/>
      <c r="W190" s="79"/>
      <c r="Z190" s="130"/>
      <c r="AB190" s="106"/>
    </row>
    <row r="191">
      <c r="C191" s="79"/>
      <c r="D191" s="79"/>
      <c r="E191" s="79"/>
      <c r="M191" s="79"/>
      <c r="R191" s="79"/>
      <c r="S191" s="79"/>
      <c r="V191" s="79"/>
      <c r="W191" s="79"/>
      <c r="Z191" s="130"/>
      <c r="AB191" s="106"/>
    </row>
    <row r="192">
      <c r="C192" s="79"/>
      <c r="D192" s="79"/>
      <c r="E192" s="79"/>
      <c r="M192" s="79"/>
      <c r="R192" s="79"/>
      <c r="S192" s="79"/>
      <c r="V192" s="79"/>
      <c r="W192" s="79"/>
      <c r="Z192" s="130"/>
      <c r="AB192" s="106"/>
    </row>
    <row r="193">
      <c r="C193" s="79"/>
      <c r="D193" s="79"/>
      <c r="E193" s="79"/>
      <c r="M193" s="79"/>
      <c r="R193" s="79"/>
      <c r="S193" s="79"/>
      <c r="V193" s="79"/>
      <c r="W193" s="79"/>
      <c r="Z193" s="130"/>
      <c r="AB193" s="106"/>
    </row>
    <row r="194">
      <c r="C194" s="79"/>
      <c r="D194" s="79"/>
      <c r="E194" s="79"/>
      <c r="M194" s="79"/>
      <c r="R194" s="79"/>
      <c r="S194" s="79"/>
      <c r="V194" s="79"/>
      <c r="W194" s="79"/>
      <c r="Z194" s="130"/>
      <c r="AB194" s="106"/>
    </row>
    <row r="195">
      <c r="C195" s="79"/>
      <c r="D195" s="79"/>
      <c r="E195" s="79"/>
      <c r="M195" s="79"/>
      <c r="R195" s="79"/>
      <c r="S195" s="79"/>
      <c r="V195" s="79"/>
      <c r="W195" s="79"/>
      <c r="Z195" s="130"/>
      <c r="AB195" s="106"/>
    </row>
    <row r="196">
      <c r="C196" s="79"/>
      <c r="D196" s="79"/>
      <c r="E196" s="79"/>
      <c r="M196" s="79"/>
      <c r="R196" s="79"/>
      <c r="S196" s="79"/>
      <c r="V196" s="79"/>
      <c r="W196" s="79"/>
      <c r="Z196" s="130"/>
      <c r="AB196" s="106"/>
    </row>
    <row r="197">
      <c r="C197" s="79"/>
      <c r="D197" s="79"/>
      <c r="E197" s="79"/>
      <c r="M197" s="79"/>
      <c r="R197" s="79"/>
      <c r="S197" s="79"/>
      <c r="V197" s="79"/>
      <c r="W197" s="79"/>
      <c r="Z197" s="130"/>
      <c r="AB197" s="106"/>
    </row>
    <row r="198">
      <c r="C198" s="79"/>
      <c r="D198" s="79"/>
      <c r="E198" s="79"/>
      <c r="M198" s="79"/>
      <c r="R198" s="79"/>
      <c r="S198" s="79"/>
      <c r="V198" s="79"/>
      <c r="W198" s="79"/>
      <c r="Z198" s="130"/>
      <c r="AB198" s="106"/>
    </row>
    <row r="199">
      <c r="C199" s="79"/>
      <c r="D199" s="79"/>
      <c r="E199" s="79"/>
      <c r="M199" s="79"/>
      <c r="R199" s="79"/>
      <c r="S199" s="79"/>
      <c r="V199" s="79"/>
      <c r="W199" s="79"/>
      <c r="Z199" s="130"/>
      <c r="AB199" s="106"/>
    </row>
    <row r="200">
      <c r="C200" s="79"/>
      <c r="D200" s="79"/>
      <c r="E200" s="79"/>
      <c r="M200" s="79"/>
      <c r="R200" s="79"/>
      <c r="S200" s="79"/>
      <c r="V200" s="79"/>
      <c r="W200" s="79"/>
      <c r="Z200" s="130"/>
      <c r="AB200" s="106"/>
    </row>
    <row r="201">
      <c r="C201" s="79"/>
      <c r="D201" s="79"/>
      <c r="E201" s="79"/>
      <c r="M201" s="79"/>
      <c r="R201" s="79"/>
      <c r="S201" s="79"/>
      <c r="V201" s="79"/>
      <c r="W201" s="79"/>
      <c r="Z201" s="130"/>
      <c r="AB201" s="106"/>
    </row>
    <row r="202">
      <c r="C202" s="79"/>
      <c r="D202" s="79"/>
      <c r="E202" s="79"/>
      <c r="M202" s="79"/>
      <c r="R202" s="79"/>
      <c r="S202" s="79"/>
      <c r="V202" s="79"/>
      <c r="W202" s="79"/>
      <c r="Z202" s="130"/>
      <c r="AB202" s="106"/>
    </row>
    <row r="203">
      <c r="C203" s="79"/>
      <c r="D203" s="79"/>
      <c r="E203" s="79"/>
      <c r="M203" s="79"/>
      <c r="R203" s="79"/>
      <c r="S203" s="79"/>
      <c r="V203" s="79"/>
      <c r="W203" s="79"/>
      <c r="Z203" s="130"/>
      <c r="AB203" s="106"/>
    </row>
    <row r="204">
      <c r="C204" s="79"/>
      <c r="D204" s="79"/>
      <c r="E204" s="79"/>
      <c r="M204" s="79"/>
      <c r="R204" s="79"/>
      <c r="S204" s="79"/>
      <c r="V204" s="79"/>
      <c r="W204" s="79"/>
      <c r="Z204" s="130"/>
      <c r="AB204" s="106"/>
    </row>
    <row r="205">
      <c r="C205" s="79"/>
      <c r="D205" s="79"/>
      <c r="E205" s="79"/>
      <c r="M205" s="79"/>
      <c r="R205" s="79"/>
      <c r="S205" s="79"/>
      <c r="V205" s="79"/>
      <c r="W205" s="79"/>
      <c r="Z205" s="130"/>
      <c r="AB205" s="106"/>
    </row>
    <row r="206">
      <c r="C206" s="79"/>
      <c r="D206" s="79"/>
      <c r="E206" s="79"/>
      <c r="M206" s="79"/>
      <c r="R206" s="79"/>
      <c r="S206" s="79"/>
      <c r="V206" s="79"/>
      <c r="W206" s="79"/>
      <c r="Z206" s="130"/>
      <c r="AB206" s="106"/>
    </row>
    <row r="207">
      <c r="C207" s="79"/>
      <c r="D207" s="79"/>
      <c r="E207" s="79"/>
      <c r="M207" s="79"/>
      <c r="R207" s="79"/>
      <c r="S207" s="79"/>
      <c r="V207" s="79"/>
      <c r="W207" s="79"/>
      <c r="Z207" s="130"/>
      <c r="AB207" s="106"/>
    </row>
    <row r="208">
      <c r="C208" s="79"/>
      <c r="D208" s="79"/>
      <c r="E208" s="79"/>
      <c r="M208" s="79"/>
      <c r="R208" s="79"/>
      <c r="S208" s="79"/>
      <c r="V208" s="79"/>
      <c r="W208" s="79"/>
      <c r="Z208" s="130"/>
      <c r="AB208" s="106"/>
    </row>
    <row r="209">
      <c r="C209" s="79"/>
      <c r="D209" s="79"/>
      <c r="E209" s="79"/>
      <c r="M209" s="79"/>
      <c r="R209" s="79"/>
      <c r="S209" s="79"/>
      <c r="V209" s="79"/>
      <c r="W209" s="79"/>
      <c r="Z209" s="130"/>
      <c r="AB209" s="106"/>
    </row>
    <row r="210">
      <c r="C210" s="79"/>
      <c r="D210" s="79"/>
      <c r="E210" s="79"/>
      <c r="M210" s="79"/>
      <c r="R210" s="79"/>
      <c r="S210" s="79"/>
      <c r="V210" s="79"/>
      <c r="W210" s="79"/>
      <c r="Z210" s="130"/>
      <c r="AB210" s="106"/>
    </row>
    <row r="211">
      <c r="C211" s="79"/>
      <c r="D211" s="79"/>
      <c r="E211" s="79"/>
      <c r="M211" s="79"/>
      <c r="R211" s="79"/>
      <c r="S211" s="79"/>
      <c r="V211" s="79"/>
      <c r="W211" s="79"/>
      <c r="Z211" s="130"/>
      <c r="AB211" s="106"/>
    </row>
    <row r="212">
      <c r="C212" s="79"/>
      <c r="D212" s="79"/>
      <c r="E212" s="79"/>
      <c r="M212" s="79"/>
      <c r="R212" s="79"/>
      <c r="S212" s="79"/>
      <c r="V212" s="79"/>
      <c r="W212" s="79"/>
      <c r="Z212" s="130"/>
      <c r="AB212" s="106"/>
    </row>
    <row r="213">
      <c r="C213" s="79"/>
      <c r="D213" s="79"/>
      <c r="E213" s="79"/>
      <c r="M213" s="79"/>
      <c r="R213" s="79"/>
      <c r="S213" s="79"/>
      <c r="V213" s="79"/>
      <c r="W213" s="79"/>
      <c r="Z213" s="130"/>
      <c r="AB213" s="106"/>
    </row>
    <row r="214">
      <c r="C214" s="79"/>
      <c r="D214" s="79"/>
      <c r="E214" s="79"/>
      <c r="M214" s="79"/>
      <c r="R214" s="79"/>
      <c r="S214" s="79"/>
      <c r="V214" s="79"/>
      <c r="W214" s="79"/>
      <c r="Z214" s="130"/>
      <c r="AB214" s="106"/>
    </row>
    <row r="215">
      <c r="C215" s="79"/>
      <c r="D215" s="79"/>
      <c r="E215" s="79"/>
      <c r="M215" s="79"/>
      <c r="R215" s="79"/>
      <c r="S215" s="79"/>
      <c r="V215" s="79"/>
      <c r="W215" s="79"/>
      <c r="Z215" s="130"/>
      <c r="AB215" s="106"/>
    </row>
    <row r="216">
      <c r="C216" s="79"/>
      <c r="D216" s="79"/>
      <c r="E216" s="79"/>
      <c r="M216" s="79"/>
      <c r="R216" s="79"/>
      <c r="S216" s="79"/>
      <c r="V216" s="79"/>
      <c r="W216" s="79"/>
      <c r="Z216" s="130"/>
      <c r="AB216" s="106"/>
    </row>
    <row r="217">
      <c r="C217" s="79"/>
      <c r="D217" s="79"/>
      <c r="E217" s="79"/>
      <c r="M217" s="79"/>
      <c r="R217" s="79"/>
      <c r="S217" s="79"/>
      <c r="V217" s="79"/>
      <c r="W217" s="79"/>
      <c r="Z217" s="130"/>
      <c r="AB217" s="106"/>
    </row>
    <row r="218">
      <c r="C218" s="79"/>
      <c r="D218" s="79"/>
      <c r="E218" s="79"/>
      <c r="M218" s="79"/>
      <c r="R218" s="79"/>
      <c r="S218" s="79"/>
      <c r="V218" s="79"/>
      <c r="W218" s="79"/>
      <c r="Z218" s="130"/>
      <c r="AB218" s="106"/>
    </row>
    <row r="219">
      <c r="C219" s="79"/>
      <c r="D219" s="79"/>
      <c r="E219" s="79"/>
      <c r="M219" s="79"/>
      <c r="R219" s="79"/>
      <c r="S219" s="79"/>
      <c r="V219" s="79"/>
      <c r="W219" s="79"/>
      <c r="Z219" s="130"/>
      <c r="AB219" s="106"/>
    </row>
    <row r="220">
      <c r="C220" s="79"/>
      <c r="D220" s="79"/>
      <c r="E220" s="79"/>
      <c r="M220" s="79"/>
      <c r="R220" s="79"/>
      <c r="S220" s="79"/>
      <c r="V220" s="79"/>
      <c r="W220" s="79"/>
      <c r="Z220" s="130"/>
      <c r="AB220" s="106"/>
    </row>
    <row r="221">
      <c r="C221" s="79"/>
      <c r="D221" s="79"/>
      <c r="E221" s="79"/>
      <c r="M221" s="79"/>
      <c r="R221" s="79"/>
      <c r="S221" s="79"/>
      <c r="V221" s="79"/>
      <c r="W221" s="79"/>
      <c r="Z221" s="130"/>
      <c r="AB221" s="106"/>
    </row>
    <row r="222">
      <c r="C222" s="79"/>
      <c r="D222" s="79"/>
      <c r="E222" s="79"/>
      <c r="M222" s="79"/>
      <c r="R222" s="79"/>
      <c r="S222" s="79"/>
      <c r="V222" s="79"/>
      <c r="W222" s="79"/>
      <c r="Z222" s="130"/>
      <c r="AB222" s="106"/>
    </row>
    <row r="223">
      <c r="C223" s="79"/>
      <c r="D223" s="79"/>
      <c r="E223" s="79"/>
      <c r="M223" s="79"/>
      <c r="R223" s="79"/>
      <c r="S223" s="79"/>
      <c r="V223" s="79"/>
      <c r="W223" s="79"/>
      <c r="Z223" s="130"/>
      <c r="AB223" s="106"/>
    </row>
    <row r="224">
      <c r="C224" s="79"/>
      <c r="D224" s="79"/>
      <c r="E224" s="79"/>
      <c r="M224" s="79"/>
      <c r="R224" s="79"/>
      <c r="S224" s="79"/>
      <c r="V224" s="79"/>
      <c r="W224" s="79"/>
      <c r="Z224" s="130"/>
      <c r="AB224" s="106"/>
    </row>
    <row r="225">
      <c r="C225" s="79"/>
      <c r="D225" s="79"/>
      <c r="E225" s="79"/>
      <c r="M225" s="79"/>
      <c r="R225" s="79"/>
      <c r="S225" s="79"/>
      <c r="V225" s="79"/>
      <c r="W225" s="79"/>
      <c r="Z225" s="130"/>
      <c r="AB225" s="106"/>
    </row>
    <row r="226">
      <c r="C226" s="79"/>
      <c r="D226" s="79"/>
      <c r="E226" s="79"/>
      <c r="M226" s="79"/>
      <c r="R226" s="79"/>
      <c r="S226" s="79"/>
      <c r="V226" s="79"/>
      <c r="W226" s="79"/>
      <c r="Z226" s="130"/>
      <c r="AB226" s="106"/>
    </row>
    <row r="227">
      <c r="C227" s="79"/>
      <c r="D227" s="79"/>
      <c r="E227" s="79"/>
      <c r="M227" s="79"/>
      <c r="R227" s="79"/>
      <c r="S227" s="79"/>
      <c r="V227" s="79"/>
      <c r="W227" s="79"/>
      <c r="Z227" s="130"/>
      <c r="AB227" s="106"/>
    </row>
    <row r="228">
      <c r="C228" s="79"/>
      <c r="D228" s="79"/>
      <c r="E228" s="79"/>
      <c r="M228" s="79"/>
      <c r="R228" s="79"/>
      <c r="S228" s="79"/>
      <c r="V228" s="79"/>
      <c r="W228" s="79"/>
      <c r="Z228" s="130"/>
      <c r="AB228" s="106"/>
    </row>
    <row r="229">
      <c r="C229" s="79"/>
      <c r="D229" s="79"/>
      <c r="E229" s="79"/>
      <c r="M229" s="79"/>
      <c r="R229" s="79"/>
      <c r="S229" s="79"/>
      <c r="V229" s="79"/>
      <c r="W229" s="79"/>
      <c r="Z229" s="130"/>
      <c r="AB229" s="106"/>
    </row>
    <row r="230">
      <c r="C230" s="79"/>
      <c r="D230" s="79"/>
      <c r="E230" s="79"/>
      <c r="M230" s="79"/>
      <c r="R230" s="79"/>
      <c r="S230" s="79"/>
      <c r="V230" s="79"/>
      <c r="W230" s="79"/>
      <c r="Z230" s="130"/>
      <c r="AB230" s="106"/>
    </row>
    <row r="231">
      <c r="C231" s="79"/>
      <c r="D231" s="79"/>
      <c r="E231" s="79"/>
      <c r="M231" s="79"/>
      <c r="R231" s="79"/>
      <c r="S231" s="79"/>
      <c r="V231" s="79"/>
      <c r="W231" s="79"/>
      <c r="Z231" s="130"/>
      <c r="AB231" s="106"/>
    </row>
    <row r="232">
      <c r="C232" s="79"/>
      <c r="D232" s="79"/>
      <c r="E232" s="79"/>
      <c r="M232" s="79"/>
      <c r="R232" s="79"/>
      <c r="S232" s="79"/>
      <c r="V232" s="79"/>
      <c r="W232" s="79"/>
      <c r="Z232" s="130"/>
      <c r="AB232" s="106"/>
    </row>
    <row r="233">
      <c r="C233" s="79"/>
      <c r="D233" s="79"/>
      <c r="E233" s="79"/>
      <c r="M233" s="79"/>
      <c r="R233" s="79"/>
      <c r="S233" s="79"/>
      <c r="V233" s="79"/>
      <c r="W233" s="79"/>
      <c r="Z233" s="130"/>
      <c r="AB233" s="106"/>
    </row>
    <row r="234">
      <c r="C234" s="79"/>
      <c r="D234" s="79"/>
      <c r="E234" s="79"/>
      <c r="M234" s="79"/>
      <c r="R234" s="79"/>
      <c r="S234" s="79"/>
      <c r="V234" s="79"/>
      <c r="W234" s="79"/>
      <c r="Z234" s="130"/>
      <c r="AB234" s="106"/>
    </row>
    <row r="235">
      <c r="C235" s="79"/>
      <c r="D235" s="79"/>
      <c r="E235" s="79"/>
      <c r="M235" s="79"/>
      <c r="R235" s="79"/>
      <c r="S235" s="79"/>
      <c r="V235" s="79"/>
      <c r="W235" s="79"/>
      <c r="Z235" s="130"/>
      <c r="AB235" s="106"/>
    </row>
    <row r="236">
      <c r="C236" s="79"/>
      <c r="D236" s="79"/>
      <c r="E236" s="79"/>
      <c r="M236" s="79"/>
      <c r="R236" s="79"/>
      <c r="S236" s="79"/>
      <c r="V236" s="79"/>
      <c r="W236" s="79"/>
      <c r="Z236" s="130"/>
      <c r="AB236" s="106"/>
    </row>
    <row r="237">
      <c r="C237" s="79"/>
      <c r="D237" s="79"/>
      <c r="E237" s="79"/>
      <c r="M237" s="79"/>
      <c r="R237" s="79"/>
      <c r="S237" s="79"/>
      <c r="V237" s="79"/>
      <c r="W237" s="79"/>
      <c r="Z237" s="130"/>
      <c r="AB237" s="106"/>
    </row>
    <row r="238">
      <c r="C238" s="79"/>
      <c r="D238" s="79"/>
      <c r="E238" s="79"/>
      <c r="M238" s="79"/>
      <c r="R238" s="79"/>
      <c r="S238" s="79"/>
      <c r="V238" s="79"/>
      <c r="W238" s="79"/>
      <c r="Z238" s="130"/>
      <c r="AB238" s="106"/>
    </row>
    <row r="239">
      <c r="C239" s="79"/>
      <c r="D239" s="79"/>
      <c r="E239" s="79"/>
      <c r="M239" s="79"/>
      <c r="R239" s="79"/>
      <c r="S239" s="79"/>
      <c r="V239" s="79"/>
      <c r="W239" s="79"/>
      <c r="Z239" s="130"/>
      <c r="AB239" s="106"/>
    </row>
    <row r="240">
      <c r="C240" s="79"/>
      <c r="D240" s="79"/>
      <c r="E240" s="79"/>
      <c r="M240" s="79"/>
      <c r="R240" s="79"/>
      <c r="S240" s="79"/>
      <c r="V240" s="79"/>
      <c r="W240" s="79"/>
      <c r="Z240" s="130"/>
      <c r="AB240" s="106"/>
    </row>
    <row r="241">
      <c r="C241" s="79"/>
      <c r="D241" s="79"/>
      <c r="E241" s="79"/>
      <c r="M241" s="79"/>
      <c r="R241" s="79"/>
      <c r="S241" s="79"/>
      <c r="V241" s="79"/>
      <c r="W241" s="79"/>
      <c r="Z241" s="130"/>
      <c r="AB241" s="106"/>
    </row>
    <row r="242">
      <c r="C242" s="79"/>
      <c r="D242" s="79"/>
      <c r="E242" s="79"/>
      <c r="M242" s="79"/>
      <c r="R242" s="79"/>
      <c r="S242" s="79"/>
      <c r="V242" s="79"/>
      <c r="W242" s="79"/>
      <c r="Z242" s="130"/>
      <c r="AB242" s="106"/>
    </row>
    <row r="243">
      <c r="C243" s="79"/>
      <c r="D243" s="79"/>
      <c r="E243" s="79"/>
      <c r="M243" s="79"/>
      <c r="R243" s="79"/>
      <c r="S243" s="79"/>
      <c r="V243" s="79"/>
      <c r="W243" s="79"/>
      <c r="Z243" s="130"/>
      <c r="AB243" s="106"/>
    </row>
    <row r="244">
      <c r="C244" s="79"/>
      <c r="D244" s="79"/>
      <c r="E244" s="79"/>
      <c r="M244" s="79"/>
      <c r="R244" s="79"/>
      <c r="S244" s="79"/>
      <c r="V244" s="79"/>
      <c r="W244" s="79"/>
      <c r="Z244" s="130"/>
      <c r="AB244" s="106"/>
    </row>
    <row r="245">
      <c r="C245" s="79"/>
      <c r="D245" s="79"/>
      <c r="E245" s="79"/>
      <c r="M245" s="79"/>
      <c r="R245" s="79"/>
      <c r="S245" s="79"/>
      <c r="V245" s="79"/>
      <c r="W245" s="79"/>
      <c r="Z245" s="130"/>
      <c r="AB245" s="106"/>
    </row>
    <row r="246">
      <c r="C246" s="79"/>
      <c r="D246" s="79"/>
      <c r="E246" s="79"/>
      <c r="M246" s="79"/>
      <c r="R246" s="79"/>
      <c r="S246" s="79"/>
      <c r="V246" s="79"/>
      <c r="W246" s="79"/>
      <c r="Z246" s="130"/>
      <c r="AB246" s="106"/>
    </row>
    <row r="247">
      <c r="C247" s="79"/>
      <c r="D247" s="79"/>
      <c r="E247" s="79"/>
      <c r="M247" s="79"/>
      <c r="R247" s="79"/>
      <c r="S247" s="79"/>
      <c r="V247" s="79"/>
      <c r="W247" s="79"/>
      <c r="Z247" s="130"/>
      <c r="AB247" s="106"/>
    </row>
    <row r="248">
      <c r="C248" s="79"/>
      <c r="D248" s="79"/>
      <c r="E248" s="79"/>
      <c r="M248" s="79"/>
      <c r="R248" s="79"/>
      <c r="S248" s="79"/>
      <c r="V248" s="79"/>
      <c r="W248" s="79"/>
      <c r="Z248" s="130"/>
      <c r="AB248" s="106"/>
    </row>
    <row r="249">
      <c r="C249" s="79"/>
      <c r="D249" s="79"/>
      <c r="E249" s="79"/>
      <c r="M249" s="79"/>
      <c r="R249" s="79"/>
      <c r="S249" s="79"/>
      <c r="V249" s="79"/>
      <c r="W249" s="79"/>
      <c r="Z249" s="130"/>
      <c r="AB249" s="106"/>
    </row>
    <row r="250">
      <c r="C250" s="79"/>
      <c r="D250" s="79"/>
      <c r="E250" s="79"/>
      <c r="M250" s="79"/>
      <c r="R250" s="79"/>
      <c r="S250" s="79"/>
      <c r="V250" s="79"/>
      <c r="W250" s="79"/>
      <c r="Z250" s="130"/>
      <c r="AB250" s="106"/>
    </row>
    <row r="251">
      <c r="C251" s="79"/>
      <c r="D251" s="79"/>
      <c r="E251" s="79"/>
      <c r="M251" s="79"/>
      <c r="R251" s="79"/>
      <c r="S251" s="79"/>
      <c r="V251" s="79"/>
      <c r="W251" s="79"/>
      <c r="Z251" s="130"/>
      <c r="AB251" s="106"/>
    </row>
    <row r="252">
      <c r="C252" s="79"/>
      <c r="D252" s="79"/>
      <c r="E252" s="79"/>
      <c r="M252" s="79"/>
      <c r="R252" s="79"/>
      <c r="S252" s="79"/>
      <c r="V252" s="79"/>
      <c r="W252" s="79"/>
      <c r="Z252" s="130"/>
      <c r="AB252" s="106"/>
    </row>
    <row r="253">
      <c r="C253" s="79"/>
      <c r="D253" s="79"/>
      <c r="E253" s="79"/>
      <c r="M253" s="79"/>
      <c r="R253" s="79"/>
      <c r="S253" s="79"/>
      <c r="V253" s="79"/>
      <c r="W253" s="79"/>
      <c r="Z253" s="130"/>
      <c r="AB253" s="106"/>
    </row>
    <row r="254">
      <c r="C254" s="79"/>
      <c r="D254" s="79"/>
      <c r="E254" s="79"/>
      <c r="M254" s="79"/>
      <c r="R254" s="79"/>
      <c r="S254" s="79"/>
      <c r="V254" s="79"/>
      <c r="W254" s="79"/>
      <c r="Z254" s="130"/>
      <c r="AB254" s="106"/>
    </row>
    <row r="255">
      <c r="C255" s="79"/>
      <c r="D255" s="79"/>
      <c r="E255" s="79"/>
      <c r="M255" s="79"/>
      <c r="R255" s="79"/>
      <c r="S255" s="79"/>
      <c r="V255" s="79"/>
      <c r="W255" s="79"/>
      <c r="Z255" s="130"/>
      <c r="AB255" s="106"/>
    </row>
    <row r="256">
      <c r="C256" s="79"/>
      <c r="D256" s="79"/>
      <c r="E256" s="79"/>
      <c r="M256" s="79"/>
      <c r="R256" s="79"/>
      <c r="S256" s="79"/>
      <c r="V256" s="79"/>
      <c r="W256" s="79"/>
      <c r="Z256" s="130"/>
      <c r="AB256" s="106"/>
    </row>
    <row r="257">
      <c r="C257" s="79"/>
      <c r="D257" s="79"/>
      <c r="E257" s="79"/>
      <c r="M257" s="79"/>
      <c r="R257" s="79"/>
      <c r="S257" s="79"/>
      <c r="V257" s="79"/>
      <c r="W257" s="79"/>
      <c r="Z257" s="130"/>
      <c r="AB257" s="106"/>
    </row>
    <row r="258">
      <c r="C258" s="79"/>
      <c r="D258" s="79"/>
      <c r="E258" s="79"/>
      <c r="M258" s="79"/>
      <c r="R258" s="79"/>
      <c r="S258" s="79"/>
      <c r="V258" s="79"/>
      <c r="W258" s="79"/>
      <c r="Z258" s="130"/>
      <c r="AB258" s="106"/>
    </row>
    <row r="259">
      <c r="C259" s="79"/>
      <c r="D259" s="79"/>
      <c r="E259" s="79"/>
      <c r="M259" s="79"/>
      <c r="R259" s="79"/>
      <c r="S259" s="79"/>
      <c r="V259" s="79"/>
      <c r="W259" s="79"/>
      <c r="Z259" s="130"/>
      <c r="AB259" s="106"/>
    </row>
    <row r="260">
      <c r="C260" s="79"/>
      <c r="D260" s="79"/>
      <c r="E260" s="79"/>
      <c r="M260" s="79"/>
      <c r="R260" s="79"/>
      <c r="S260" s="79"/>
      <c r="V260" s="79"/>
      <c r="W260" s="79"/>
      <c r="Z260" s="130"/>
      <c r="AB260" s="106"/>
    </row>
    <row r="261">
      <c r="C261" s="79"/>
      <c r="D261" s="79"/>
      <c r="E261" s="79"/>
      <c r="M261" s="79"/>
      <c r="R261" s="79"/>
      <c r="S261" s="79"/>
      <c r="V261" s="79"/>
      <c r="W261" s="79"/>
      <c r="Z261" s="130"/>
      <c r="AB261" s="106"/>
    </row>
    <row r="262">
      <c r="C262" s="79"/>
      <c r="D262" s="79"/>
      <c r="E262" s="79"/>
      <c r="M262" s="79"/>
      <c r="R262" s="79"/>
      <c r="S262" s="79"/>
      <c r="V262" s="79"/>
      <c r="W262" s="79"/>
      <c r="Z262" s="130"/>
      <c r="AB262" s="106"/>
    </row>
    <row r="263">
      <c r="C263" s="79"/>
      <c r="D263" s="79"/>
      <c r="E263" s="79"/>
      <c r="M263" s="79"/>
      <c r="R263" s="79"/>
      <c r="S263" s="79"/>
      <c r="V263" s="79"/>
      <c r="W263" s="79"/>
      <c r="Z263" s="130"/>
      <c r="AB263" s="106"/>
    </row>
    <row r="264">
      <c r="C264" s="79"/>
      <c r="D264" s="79"/>
      <c r="E264" s="79"/>
      <c r="M264" s="79"/>
      <c r="R264" s="79"/>
      <c r="S264" s="79"/>
      <c r="V264" s="79"/>
      <c r="W264" s="79"/>
      <c r="Z264" s="130"/>
      <c r="AB264" s="106"/>
    </row>
    <row r="265">
      <c r="C265" s="79"/>
      <c r="D265" s="79"/>
      <c r="E265" s="79"/>
      <c r="M265" s="79"/>
      <c r="R265" s="79"/>
      <c r="S265" s="79"/>
      <c r="V265" s="79"/>
      <c r="W265" s="79"/>
      <c r="Z265" s="130"/>
      <c r="AB265" s="106"/>
    </row>
    <row r="266">
      <c r="C266" s="79"/>
      <c r="D266" s="79"/>
      <c r="E266" s="79"/>
      <c r="M266" s="79"/>
      <c r="R266" s="79"/>
      <c r="S266" s="79"/>
      <c r="V266" s="79"/>
      <c r="W266" s="79"/>
      <c r="Z266" s="130"/>
      <c r="AB266" s="106"/>
    </row>
    <row r="267">
      <c r="C267" s="79"/>
      <c r="D267" s="79"/>
      <c r="E267" s="79"/>
      <c r="M267" s="79"/>
      <c r="R267" s="79"/>
      <c r="S267" s="79"/>
      <c r="V267" s="79"/>
      <c r="W267" s="79"/>
      <c r="Z267" s="130"/>
      <c r="AB267" s="106"/>
    </row>
    <row r="268">
      <c r="C268" s="79"/>
      <c r="D268" s="79"/>
      <c r="E268" s="79"/>
      <c r="M268" s="79"/>
      <c r="R268" s="79"/>
      <c r="S268" s="79"/>
      <c r="V268" s="79"/>
      <c r="W268" s="79"/>
      <c r="Z268" s="130"/>
      <c r="AB268" s="106"/>
    </row>
    <row r="269">
      <c r="C269" s="79"/>
      <c r="D269" s="79"/>
      <c r="E269" s="79"/>
      <c r="M269" s="79"/>
      <c r="R269" s="79"/>
      <c r="S269" s="79"/>
      <c r="V269" s="79"/>
      <c r="W269" s="79"/>
      <c r="Z269" s="130"/>
      <c r="AB269" s="106"/>
    </row>
    <row r="270">
      <c r="C270" s="79"/>
      <c r="D270" s="79"/>
      <c r="E270" s="79"/>
      <c r="M270" s="79"/>
      <c r="R270" s="79"/>
      <c r="S270" s="79"/>
      <c r="V270" s="79"/>
      <c r="W270" s="79"/>
      <c r="Z270" s="130"/>
      <c r="AB270" s="106"/>
    </row>
    <row r="271">
      <c r="C271" s="79"/>
      <c r="D271" s="79"/>
      <c r="E271" s="79"/>
      <c r="M271" s="79"/>
      <c r="R271" s="79"/>
      <c r="S271" s="79"/>
      <c r="V271" s="79"/>
      <c r="W271" s="79"/>
      <c r="Z271" s="130"/>
      <c r="AB271" s="106"/>
    </row>
    <row r="272">
      <c r="C272" s="79"/>
      <c r="D272" s="79"/>
      <c r="E272" s="79"/>
      <c r="M272" s="79"/>
      <c r="R272" s="79"/>
      <c r="S272" s="79"/>
      <c r="V272" s="79"/>
      <c r="W272" s="79"/>
      <c r="Z272" s="130"/>
      <c r="AB272" s="106"/>
    </row>
    <row r="273">
      <c r="C273" s="79"/>
      <c r="D273" s="79"/>
      <c r="E273" s="79"/>
      <c r="M273" s="79"/>
      <c r="R273" s="79"/>
      <c r="S273" s="79"/>
      <c r="V273" s="79"/>
      <c r="W273" s="79"/>
      <c r="Z273" s="130"/>
      <c r="AB273" s="106"/>
    </row>
    <row r="274">
      <c r="C274" s="79"/>
      <c r="D274" s="79"/>
      <c r="E274" s="79"/>
      <c r="M274" s="79"/>
      <c r="R274" s="79"/>
      <c r="S274" s="79"/>
      <c r="V274" s="79"/>
      <c r="W274" s="79"/>
      <c r="Z274" s="130"/>
      <c r="AB274" s="106"/>
    </row>
    <row r="275">
      <c r="C275" s="79"/>
      <c r="D275" s="79"/>
      <c r="E275" s="79"/>
      <c r="M275" s="79"/>
      <c r="R275" s="79"/>
      <c r="S275" s="79"/>
      <c r="V275" s="79"/>
      <c r="W275" s="79"/>
      <c r="Z275" s="130"/>
      <c r="AB275" s="106"/>
    </row>
    <row r="276">
      <c r="C276" s="79"/>
      <c r="D276" s="79"/>
      <c r="E276" s="79"/>
      <c r="M276" s="79"/>
      <c r="R276" s="79"/>
      <c r="S276" s="79"/>
      <c r="V276" s="79"/>
      <c r="W276" s="79"/>
      <c r="Z276" s="130"/>
      <c r="AB276" s="106"/>
    </row>
    <row r="277">
      <c r="C277" s="79"/>
      <c r="D277" s="79"/>
      <c r="E277" s="79"/>
      <c r="M277" s="79"/>
      <c r="R277" s="79"/>
      <c r="S277" s="79"/>
      <c r="V277" s="79"/>
      <c r="W277" s="79"/>
      <c r="Z277" s="130"/>
      <c r="AB277" s="106"/>
    </row>
    <row r="278">
      <c r="C278" s="79"/>
      <c r="D278" s="79"/>
      <c r="E278" s="79"/>
      <c r="M278" s="79"/>
      <c r="R278" s="79"/>
      <c r="S278" s="79"/>
      <c r="V278" s="79"/>
      <c r="W278" s="79"/>
      <c r="Z278" s="130"/>
      <c r="AB278" s="106"/>
    </row>
    <row r="279">
      <c r="C279" s="79"/>
      <c r="D279" s="79"/>
      <c r="E279" s="79"/>
      <c r="M279" s="79"/>
      <c r="R279" s="79"/>
      <c r="S279" s="79"/>
      <c r="V279" s="79"/>
      <c r="W279" s="79"/>
      <c r="Z279" s="130"/>
      <c r="AB279" s="106"/>
    </row>
    <row r="280">
      <c r="C280" s="79"/>
      <c r="D280" s="79"/>
      <c r="E280" s="79"/>
      <c r="M280" s="79"/>
      <c r="R280" s="79"/>
      <c r="S280" s="79"/>
      <c r="V280" s="79"/>
      <c r="W280" s="79"/>
      <c r="Z280" s="130"/>
      <c r="AB280" s="106"/>
    </row>
    <row r="281">
      <c r="C281" s="79"/>
      <c r="D281" s="79"/>
      <c r="E281" s="79"/>
      <c r="M281" s="79"/>
      <c r="R281" s="79"/>
      <c r="S281" s="79"/>
      <c r="V281" s="79"/>
      <c r="W281" s="79"/>
      <c r="Z281" s="130"/>
      <c r="AB281" s="106"/>
    </row>
    <row r="282">
      <c r="C282" s="79"/>
      <c r="D282" s="79"/>
      <c r="E282" s="79"/>
      <c r="M282" s="79"/>
      <c r="R282" s="79"/>
      <c r="S282" s="79"/>
      <c r="V282" s="79"/>
      <c r="W282" s="79"/>
      <c r="Z282" s="130"/>
      <c r="AB282" s="106"/>
    </row>
    <row r="283">
      <c r="C283" s="79"/>
      <c r="D283" s="79"/>
      <c r="E283" s="79"/>
      <c r="M283" s="79"/>
      <c r="R283" s="79"/>
      <c r="S283" s="79"/>
      <c r="V283" s="79"/>
      <c r="W283" s="79"/>
      <c r="Z283" s="130"/>
      <c r="AB283" s="106"/>
    </row>
    <row r="284">
      <c r="C284" s="79"/>
      <c r="D284" s="79"/>
      <c r="E284" s="79"/>
      <c r="M284" s="79"/>
      <c r="R284" s="79"/>
      <c r="S284" s="79"/>
      <c r="V284" s="79"/>
      <c r="W284" s="79"/>
      <c r="Z284" s="130"/>
      <c r="AB284" s="106"/>
    </row>
    <row r="285">
      <c r="C285" s="79"/>
      <c r="D285" s="79"/>
      <c r="E285" s="79"/>
      <c r="M285" s="79"/>
      <c r="R285" s="79"/>
      <c r="S285" s="79"/>
      <c r="V285" s="79"/>
      <c r="W285" s="79"/>
      <c r="Z285" s="130"/>
      <c r="AB285" s="106"/>
    </row>
    <row r="286">
      <c r="C286" s="79"/>
      <c r="D286" s="79"/>
      <c r="E286" s="79"/>
      <c r="M286" s="79"/>
      <c r="R286" s="79"/>
      <c r="S286" s="79"/>
      <c r="V286" s="79"/>
      <c r="W286" s="79"/>
      <c r="Z286" s="130"/>
      <c r="AB286" s="106"/>
    </row>
    <row r="287">
      <c r="C287" s="79"/>
      <c r="D287" s="79"/>
      <c r="E287" s="79"/>
      <c r="M287" s="79"/>
      <c r="R287" s="79"/>
      <c r="S287" s="79"/>
      <c r="V287" s="79"/>
      <c r="W287" s="79"/>
      <c r="Z287" s="130"/>
      <c r="AB287" s="106"/>
    </row>
    <row r="288">
      <c r="C288" s="79"/>
      <c r="D288" s="79"/>
      <c r="E288" s="79"/>
      <c r="M288" s="79"/>
      <c r="R288" s="79"/>
      <c r="S288" s="79"/>
      <c r="V288" s="79"/>
      <c r="W288" s="79"/>
      <c r="Z288" s="130"/>
      <c r="AB288" s="106"/>
    </row>
    <row r="289">
      <c r="C289" s="79"/>
      <c r="D289" s="79"/>
      <c r="E289" s="79"/>
      <c r="M289" s="79"/>
      <c r="R289" s="79"/>
      <c r="S289" s="79"/>
      <c r="V289" s="79"/>
      <c r="W289" s="79"/>
      <c r="Z289" s="130"/>
      <c r="AB289" s="106"/>
    </row>
    <row r="290">
      <c r="C290" s="79"/>
      <c r="D290" s="79"/>
      <c r="E290" s="79"/>
      <c r="M290" s="79"/>
      <c r="R290" s="79"/>
      <c r="S290" s="79"/>
      <c r="V290" s="79"/>
      <c r="W290" s="79"/>
      <c r="Z290" s="130"/>
      <c r="AB290" s="106"/>
    </row>
    <row r="291">
      <c r="C291" s="79"/>
      <c r="D291" s="79"/>
      <c r="E291" s="79"/>
      <c r="M291" s="79"/>
      <c r="R291" s="79"/>
      <c r="S291" s="79"/>
      <c r="V291" s="79"/>
      <c r="W291" s="79"/>
      <c r="Z291" s="130"/>
      <c r="AB291" s="106"/>
    </row>
    <row r="292">
      <c r="C292" s="79"/>
      <c r="D292" s="79"/>
      <c r="E292" s="79"/>
      <c r="M292" s="79"/>
      <c r="R292" s="79"/>
      <c r="S292" s="79"/>
      <c r="V292" s="79"/>
      <c r="W292" s="79"/>
      <c r="Z292" s="130"/>
      <c r="AB292" s="106"/>
    </row>
    <row r="293">
      <c r="C293" s="79"/>
      <c r="D293" s="79"/>
      <c r="E293" s="79"/>
      <c r="M293" s="79"/>
      <c r="R293" s="79"/>
      <c r="S293" s="79"/>
      <c r="V293" s="79"/>
      <c r="W293" s="79"/>
      <c r="Z293" s="130"/>
      <c r="AB293" s="106"/>
    </row>
    <row r="294">
      <c r="C294" s="79"/>
      <c r="D294" s="79"/>
      <c r="E294" s="79"/>
      <c r="M294" s="79"/>
      <c r="R294" s="79"/>
      <c r="S294" s="79"/>
      <c r="V294" s="79"/>
      <c r="W294" s="79"/>
      <c r="Z294" s="130"/>
      <c r="AB294" s="106"/>
    </row>
    <row r="295">
      <c r="C295" s="79"/>
      <c r="D295" s="79"/>
      <c r="E295" s="79"/>
      <c r="M295" s="79"/>
      <c r="R295" s="79"/>
      <c r="S295" s="79"/>
      <c r="V295" s="79"/>
      <c r="W295" s="79"/>
      <c r="Z295" s="130"/>
      <c r="AB295" s="106"/>
    </row>
    <row r="296">
      <c r="C296" s="79"/>
      <c r="D296" s="79"/>
      <c r="E296" s="79"/>
      <c r="M296" s="79"/>
      <c r="R296" s="79"/>
      <c r="S296" s="79"/>
      <c r="V296" s="79"/>
      <c r="W296" s="79"/>
      <c r="Z296" s="130"/>
      <c r="AB296" s="106"/>
    </row>
    <row r="297">
      <c r="C297" s="79"/>
      <c r="D297" s="79"/>
      <c r="E297" s="79"/>
      <c r="M297" s="79"/>
      <c r="R297" s="79"/>
      <c r="S297" s="79"/>
      <c r="V297" s="79"/>
      <c r="W297" s="79"/>
      <c r="Z297" s="130"/>
      <c r="AB297" s="106"/>
    </row>
    <row r="298">
      <c r="C298" s="79"/>
      <c r="D298" s="79"/>
      <c r="E298" s="79"/>
      <c r="M298" s="79"/>
      <c r="R298" s="79"/>
      <c r="S298" s="79"/>
      <c r="V298" s="79"/>
      <c r="W298" s="79"/>
      <c r="Z298" s="130"/>
      <c r="AB298" s="106"/>
    </row>
    <row r="299">
      <c r="C299" s="79"/>
      <c r="D299" s="79"/>
      <c r="E299" s="79"/>
      <c r="M299" s="79"/>
      <c r="R299" s="79"/>
      <c r="S299" s="79"/>
      <c r="V299" s="79"/>
      <c r="W299" s="79"/>
      <c r="Z299" s="130"/>
      <c r="AB299" s="106"/>
    </row>
    <row r="300">
      <c r="C300" s="79"/>
      <c r="D300" s="79"/>
      <c r="E300" s="79"/>
      <c r="M300" s="79"/>
      <c r="R300" s="79"/>
      <c r="S300" s="79"/>
      <c r="V300" s="79"/>
      <c r="W300" s="79"/>
      <c r="Z300" s="130"/>
      <c r="AB300" s="106"/>
    </row>
    <row r="301">
      <c r="C301" s="79"/>
      <c r="D301" s="79"/>
      <c r="E301" s="79"/>
      <c r="M301" s="79"/>
      <c r="R301" s="79"/>
      <c r="S301" s="79"/>
      <c r="V301" s="79"/>
      <c r="W301" s="79"/>
      <c r="Z301" s="130"/>
      <c r="AB301" s="106"/>
    </row>
    <row r="302">
      <c r="C302" s="79"/>
      <c r="D302" s="79"/>
      <c r="E302" s="79"/>
      <c r="M302" s="79"/>
      <c r="R302" s="79"/>
      <c r="S302" s="79"/>
      <c r="V302" s="79"/>
      <c r="W302" s="79"/>
      <c r="Z302" s="130"/>
      <c r="AB302" s="106"/>
    </row>
    <row r="303">
      <c r="C303" s="79"/>
      <c r="D303" s="79"/>
      <c r="E303" s="79"/>
      <c r="M303" s="79"/>
      <c r="R303" s="79"/>
      <c r="S303" s="79"/>
      <c r="V303" s="79"/>
      <c r="W303" s="79"/>
      <c r="Z303" s="130"/>
      <c r="AB303" s="106"/>
    </row>
    <row r="304">
      <c r="C304" s="79"/>
      <c r="D304" s="79"/>
      <c r="E304" s="79"/>
      <c r="M304" s="79"/>
      <c r="R304" s="79"/>
      <c r="S304" s="79"/>
      <c r="V304" s="79"/>
      <c r="W304" s="79"/>
      <c r="Z304" s="130"/>
      <c r="AB304" s="106"/>
    </row>
    <row r="305">
      <c r="C305" s="79"/>
      <c r="D305" s="79"/>
      <c r="E305" s="79"/>
      <c r="M305" s="79"/>
      <c r="R305" s="79"/>
      <c r="S305" s="79"/>
      <c r="V305" s="79"/>
      <c r="W305" s="79"/>
      <c r="Z305" s="130"/>
      <c r="AB305" s="106"/>
    </row>
    <row r="306">
      <c r="C306" s="79"/>
      <c r="D306" s="79"/>
      <c r="E306" s="79"/>
      <c r="M306" s="79"/>
      <c r="R306" s="79"/>
      <c r="S306" s="79"/>
      <c r="V306" s="79"/>
      <c r="W306" s="79"/>
      <c r="Z306" s="130"/>
      <c r="AB306" s="106"/>
    </row>
    <row r="307">
      <c r="C307" s="79"/>
      <c r="D307" s="79"/>
      <c r="E307" s="79"/>
      <c r="M307" s="79"/>
      <c r="R307" s="79"/>
      <c r="S307" s="79"/>
      <c r="V307" s="79"/>
      <c r="W307" s="79"/>
      <c r="Z307" s="130"/>
      <c r="AB307" s="106"/>
    </row>
    <row r="308">
      <c r="C308" s="79"/>
      <c r="D308" s="79"/>
      <c r="E308" s="79"/>
      <c r="M308" s="79"/>
      <c r="R308" s="79"/>
      <c r="S308" s="79"/>
      <c r="V308" s="79"/>
      <c r="W308" s="79"/>
      <c r="Z308" s="130"/>
      <c r="AB308" s="106"/>
    </row>
    <row r="309">
      <c r="C309" s="79"/>
      <c r="D309" s="79"/>
      <c r="E309" s="79"/>
      <c r="M309" s="79"/>
      <c r="R309" s="79"/>
      <c r="S309" s="79"/>
      <c r="V309" s="79"/>
      <c r="W309" s="79"/>
      <c r="Z309" s="130"/>
      <c r="AB309" s="106"/>
    </row>
    <row r="310">
      <c r="C310" s="79"/>
      <c r="D310" s="79"/>
      <c r="E310" s="79"/>
      <c r="M310" s="79"/>
      <c r="R310" s="79"/>
      <c r="S310" s="79"/>
      <c r="V310" s="79"/>
      <c r="W310" s="79"/>
      <c r="Z310" s="130"/>
      <c r="AB310" s="106"/>
    </row>
    <row r="311">
      <c r="C311" s="79"/>
      <c r="D311" s="79"/>
      <c r="E311" s="79"/>
      <c r="M311" s="79"/>
      <c r="R311" s="79"/>
      <c r="S311" s="79"/>
      <c r="V311" s="79"/>
      <c r="W311" s="79"/>
      <c r="Z311" s="130"/>
      <c r="AB311" s="106"/>
    </row>
    <row r="312">
      <c r="C312" s="79"/>
      <c r="D312" s="79"/>
      <c r="E312" s="79"/>
      <c r="M312" s="79"/>
      <c r="R312" s="79"/>
      <c r="S312" s="79"/>
      <c r="V312" s="79"/>
      <c r="W312" s="79"/>
      <c r="Z312" s="130"/>
      <c r="AB312" s="106"/>
    </row>
    <row r="313">
      <c r="C313" s="79"/>
      <c r="D313" s="79"/>
      <c r="E313" s="79"/>
      <c r="M313" s="79"/>
      <c r="R313" s="79"/>
      <c r="S313" s="79"/>
      <c r="V313" s="79"/>
      <c r="W313" s="79"/>
      <c r="Z313" s="130"/>
      <c r="AB313" s="106"/>
    </row>
    <row r="314">
      <c r="C314" s="79"/>
      <c r="D314" s="79"/>
      <c r="E314" s="79"/>
      <c r="M314" s="79"/>
      <c r="R314" s="79"/>
      <c r="S314" s="79"/>
      <c r="V314" s="79"/>
      <c r="W314" s="79"/>
      <c r="Z314" s="130"/>
      <c r="AB314" s="106"/>
    </row>
    <row r="315">
      <c r="C315" s="79"/>
      <c r="D315" s="79"/>
      <c r="E315" s="79"/>
      <c r="M315" s="79"/>
      <c r="R315" s="79"/>
      <c r="S315" s="79"/>
      <c r="V315" s="79"/>
      <c r="W315" s="79"/>
      <c r="Z315" s="130"/>
      <c r="AB315" s="106"/>
    </row>
    <row r="316">
      <c r="C316" s="79"/>
      <c r="D316" s="79"/>
      <c r="E316" s="79"/>
      <c r="M316" s="79"/>
      <c r="R316" s="79"/>
      <c r="S316" s="79"/>
      <c r="V316" s="79"/>
      <c r="W316" s="79"/>
      <c r="Z316" s="130"/>
      <c r="AB316" s="106"/>
    </row>
    <row r="317">
      <c r="C317" s="79"/>
      <c r="D317" s="79"/>
      <c r="E317" s="79"/>
      <c r="M317" s="79"/>
      <c r="R317" s="79"/>
      <c r="S317" s="79"/>
      <c r="V317" s="79"/>
      <c r="W317" s="79"/>
      <c r="Z317" s="130"/>
      <c r="AB317" s="106"/>
    </row>
    <row r="318">
      <c r="C318" s="79"/>
      <c r="D318" s="79"/>
      <c r="E318" s="79"/>
      <c r="M318" s="79"/>
      <c r="R318" s="79"/>
      <c r="S318" s="79"/>
      <c r="V318" s="79"/>
      <c r="W318" s="79"/>
      <c r="Z318" s="130"/>
      <c r="AB318" s="106"/>
    </row>
    <row r="319">
      <c r="C319" s="79"/>
      <c r="D319" s="79"/>
      <c r="E319" s="79"/>
      <c r="M319" s="79"/>
      <c r="R319" s="79"/>
      <c r="S319" s="79"/>
      <c r="V319" s="79"/>
      <c r="W319" s="79"/>
      <c r="Z319" s="130"/>
      <c r="AB319" s="106"/>
    </row>
    <row r="320">
      <c r="C320" s="79"/>
      <c r="D320" s="79"/>
      <c r="E320" s="79"/>
      <c r="M320" s="79"/>
      <c r="R320" s="79"/>
      <c r="S320" s="79"/>
      <c r="V320" s="79"/>
      <c r="W320" s="79"/>
      <c r="Z320" s="130"/>
      <c r="AB320" s="106"/>
    </row>
    <row r="321">
      <c r="C321" s="79"/>
      <c r="D321" s="79"/>
      <c r="E321" s="79"/>
      <c r="M321" s="79"/>
      <c r="R321" s="79"/>
      <c r="S321" s="79"/>
      <c r="V321" s="79"/>
      <c r="W321" s="79"/>
      <c r="Z321" s="130"/>
      <c r="AB321" s="106"/>
    </row>
    <row r="322">
      <c r="C322" s="79"/>
      <c r="D322" s="79"/>
      <c r="E322" s="79"/>
      <c r="M322" s="79"/>
      <c r="R322" s="79"/>
      <c r="S322" s="79"/>
      <c r="V322" s="79"/>
      <c r="W322" s="79"/>
      <c r="Z322" s="130"/>
      <c r="AB322" s="106"/>
    </row>
    <row r="323">
      <c r="C323" s="79"/>
      <c r="D323" s="79"/>
      <c r="E323" s="79"/>
      <c r="M323" s="79"/>
      <c r="R323" s="79"/>
      <c r="S323" s="79"/>
      <c r="V323" s="79"/>
      <c r="W323" s="79"/>
      <c r="Z323" s="130"/>
      <c r="AB323" s="106"/>
    </row>
    <row r="324">
      <c r="C324" s="79"/>
      <c r="D324" s="79"/>
      <c r="E324" s="79"/>
      <c r="M324" s="79"/>
      <c r="R324" s="79"/>
      <c r="S324" s="79"/>
      <c r="V324" s="79"/>
      <c r="W324" s="79"/>
      <c r="Z324" s="130"/>
      <c r="AB324" s="106"/>
    </row>
    <row r="325">
      <c r="C325" s="79"/>
      <c r="D325" s="79"/>
      <c r="E325" s="79"/>
      <c r="M325" s="79"/>
      <c r="R325" s="79"/>
      <c r="S325" s="79"/>
      <c r="V325" s="79"/>
      <c r="W325" s="79"/>
      <c r="Z325" s="130"/>
      <c r="AB325" s="106"/>
    </row>
    <row r="326">
      <c r="C326" s="79"/>
      <c r="D326" s="79"/>
      <c r="E326" s="79"/>
      <c r="M326" s="79"/>
      <c r="R326" s="79"/>
      <c r="S326" s="79"/>
      <c r="V326" s="79"/>
      <c r="W326" s="79"/>
      <c r="Z326" s="130"/>
      <c r="AB326" s="106"/>
    </row>
    <row r="327">
      <c r="C327" s="79"/>
      <c r="D327" s="79"/>
      <c r="E327" s="79"/>
      <c r="M327" s="79"/>
      <c r="R327" s="79"/>
      <c r="S327" s="79"/>
      <c r="V327" s="79"/>
      <c r="W327" s="79"/>
      <c r="Z327" s="130"/>
      <c r="AB327" s="106"/>
    </row>
    <row r="328">
      <c r="C328" s="79"/>
      <c r="D328" s="79"/>
      <c r="E328" s="79"/>
      <c r="M328" s="79"/>
      <c r="R328" s="79"/>
      <c r="S328" s="79"/>
      <c r="V328" s="79"/>
      <c r="W328" s="79"/>
      <c r="Z328" s="130"/>
      <c r="AB328" s="106"/>
    </row>
    <row r="329">
      <c r="C329" s="79"/>
      <c r="D329" s="79"/>
      <c r="E329" s="79"/>
      <c r="M329" s="79"/>
      <c r="R329" s="79"/>
      <c r="S329" s="79"/>
      <c r="V329" s="79"/>
      <c r="W329" s="79"/>
      <c r="Z329" s="130"/>
      <c r="AB329" s="106"/>
    </row>
    <row r="330">
      <c r="C330" s="79"/>
      <c r="D330" s="79"/>
      <c r="E330" s="79"/>
      <c r="M330" s="79"/>
      <c r="R330" s="79"/>
      <c r="S330" s="79"/>
      <c r="V330" s="79"/>
      <c r="W330" s="79"/>
      <c r="Z330" s="130"/>
      <c r="AB330" s="106"/>
    </row>
    <row r="331">
      <c r="C331" s="79"/>
      <c r="D331" s="79"/>
      <c r="E331" s="79"/>
      <c r="M331" s="79"/>
      <c r="R331" s="79"/>
      <c r="S331" s="79"/>
      <c r="V331" s="79"/>
      <c r="W331" s="79"/>
      <c r="Z331" s="130"/>
      <c r="AB331" s="106"/>
    </row>
    <row r="332">
      <c r="C332" s="79"/>
      <c r="D332" s="79"/>
      <c r="E332" s="79"/>
      <c r="M332" s="79"/>
      <c r="R332" s="79"/>
      <c r="S332" s="79"/>
      <c r="V332" s="79"/>
      <c r="W332" s="79"/>
      <c r="Z332" s="130"/>
      <c r="AB332" s="106"/>
    </row>
    <row r="333">
      <c r="C333" s="79"/>
      <c r="D333" s="79"/>
      <c r="E333" s="79"/>
      <c r="M333" s="79"/>
      <c r="R333" s="79"/>
      <c r="S333" s="79"/>
      <c r="V333" s="79"/>
      <c r="W333" s="79"/>
      <c r="Z333" s="130"/>
      <c r="AB333" s="106"/>
    </row>
    <row r="334">
      <c r="C334" s="79"/>
      <c r="D334" s="79"/>
      <c r="E334" s="79"/>
      <c r="M334" s="79"/>
      <c r="R334" s="79"/>
      <c r="S334" s="79"/>
      <c r="V334" s="79"/>
      <c r="W334" s="79"/>
      <c r="Z334" s="130"/>
      <c r="AB334" s="106"/>
    </row>
    <row r="335">
      <c r="C335" s="79"/>
      <c r="D335" s="79"/>
      <c r="E335" s="79"/>
      <c r="M335" s="79"/>
      <c r="R335" s="79"/>
      <c r="S335" s="79"/>
      <c r="V335" s="79"/>
      <c r="W335" s="79"/>
      <c r="Z335" s="130"/>
      <c r="AB335" s="106"/>
    </row>
    <row r="336">
      <c r="C336" s="79"/>
      <c r="D336" s="79"/>
      <c r="E336" s="79"/>
      <c r="M336" s="79"/>
      <c r="R336" s="79"/>
      <c r="S336" s="79"/>
      <c r="V336" s="79"/>
      <c r="W336" s="79"/>
      <c r="Z336" s="130"/>
      <c r="AB336" s="106"/>
    </row>
    <row r="337">
      <c r="C337" s="79"/>
      <c r="D337" s="79"/>
      <c r="E337" s="79"/>
      <c r="M337" s="79"/>
      <c r="R337" s="79"/>
      <c r="S337" s="79"/>
      <c r="V337" s="79"/>
      <c r="W337" s="79"/>
      <c r="Z337" s="130"/>
      <c r="AB337" s="106"/>
    </row>
    <row r="338">
      <c r="C338" s="79"/>
      <c r="D338" s="79"/>
      <c r="E338" s="79"/>
      <c r="M338" s="79"/>
      <c r="R338" s="79"/>
      <c r="S338" s="79"/>
      <c r="V338" s="79"/>
      <c r="W338" s="79"/>
      <c r="Z338" s="130"/>
      <c r="AB338" s="106"/>
    </row>
    <row r="339">
      <c r="C339" s="79"/>
      <c r="D339" s="79"/>
      <c r="E339" s="79"/>
      <c r="M339" s="79"/>
      <c r="R339" s="79"/>
      <c r="S339" s="79"/>
      <c r="V339" s="79"/>
      <c r="W339" s="79"/>
      <c r="Z339" s="130"/>
      <c r="AB339" s="106"/>
    </row>
    <row r="340">
      <c r="C340" s="79"/>
      <c r="D340" s="79"/>
      <c r="E340" s="79"/>
      <c r="M340" s="79"/>
      <c r="R340" s="79"/>
      <c r="S340" s="79"/>
      <c r="V340" s="79"/>
      <c r="W340" s="79"/>
      <c r="Z340" s="130"/>
      <c r="AB340" s="106"/>
    </row>
    <row r="341">
      <c r="C341" s="79"/>
      <c r="D341" s="79"/>
      <c r="E341" s="79"/>
      <c r="M341" s="79"/>
      <c r="R341" s="79"/>
      <c r="S341" s="79"/>
      <c r="V341" s="79"/>
      <c r="W341" s="79"/>
      <c r="Z341" s="130"/>
      <c r="AB341" s="106"/>
    </row>
    <row r="342">
      <c r="C342" s="79"/>
      <c r="D342" s="79"/>
      <c r="E342" s="79"/>
      <c r="M342" s="79"/>
      <c r="R342" s="79"/>
      <c r="S342" s="79"/>
      <c r="V342" s="79"/>
      <c r="W342" s="79"/>
      <c r="Z342" s="130"/>
      <c r="AB342" s="106"/>
    </row>
    <row r="343">
      <c r="C343" s="79"/>
      <c r="D343" s="79"/>
      <c r="E343" s="79"/>
      <c r="M343" s="79"/>
      <c r="R343" s="79"/>
      <c r="S343" s="79"/>
      <c r="V343" s="79"/>
      <c r="W343" s="79"/>
      <c r="Z343" s="130"/>
      <c r="AB343" s="106"/>
    </row>
    <row r="344">
      <c r="C344" s="79"/>
      <c r="D344" s="79"/>
      <c r="E344" s="79"/>
      <c r="M344" s="79"/>
      <c r="R344" s="79"/>
      <c r="S344" s="79"/>
      <c r="V344" s="79"/>
      <c r="W344" s="79"/>
      <c r="Z344" s="130"/>
      <c r="AB344" s="106"/>
    </row>
    <row r="345">
      <c r="C345" s="79"/>
      <c r="D345" s="79"/>
      <c r="E345" s="79"/>
      <c r="M345" s="79"/>
      <c r="R345" s="79"/>
      <c r="S345" s="79"/>
      <c r="V345" s="79"/>
      <c r="W345" s="79"/>
      <c r="Z345" s="130"/>
      <c r="AB345" s="106"/>
    </row>
    <row r="346">
      <c r="C346" s="79"/>
      <c r="D346" s="79"/>
      <c r="E346" s="79"/>
      <c r="M346" s="79"/>
      <c r="R346" s="79"/>
      <c r="S346" s="79"/>
      <c r="V346" s="79"/>
      <c r="W346" s="79"/>
      <c r="Z346" s="130"/>
      <c r="AB346" s="106"/>
    </row>
    <row r="347">
      <c r="C347" s="79"/>
      <c r="D347" s="79"/>
      <c r="E347" s="79"/>
      <c r="M347" s="79"/>
      <c r="R347" s="79"/>
      <c r="S347" s="79"/>
      <c r="V347" s="79"/>
      <c r="W347" s="79"/>
      <c r="Z347" s="130"/>
      <c r="AB347" s="106"/>
    </row>
    <row r="348">
      <c r="C348" s="79"/>
      <c r="D348" s="79"/>
      <c r="E348" s="79"/>
      <c r="M348" s="79"/>
      <c r="R348" s="79"/>
      <c r="S348" s="79"/>
      <c r="V348" s="79"/>
      <c r="W348" s="79"/>
      <c r="Z348" s="130"/>
      <c r="AB348" s="106"/>
    </row>
    <row r="349">
      <c r="C349" s="79"/>
      <c r="D349" s="79"/>
      <c r="E349" s="79"/>
      <c r="M349" s="79"/>
      <c r="R349" s="79"/>
      <c r="S349" s="79"/>
      <c r="V349" s="79"/>
      <c r="W349" s="79"/>
      <c r="Z349" s="130"/>
      <c r="AB349" s="106"/>
    </row>
    <row r="350">
      <c r="C350" s="79"/>
      <c r="D350" s="79"/>
      <c r="E350" s="79"/>
      <c r="M350" s="79"/>
      <c r="R350" s="79"/>
      <c r="S350" s="79"/>
      <c r="V350" s="79"/>
      <c r="W350" s="79"/>
      <c r="Z350" s="130"/>
      <c r="AB350" s="106"/>
    </row>
    <row r="351">
      <c r="C351" s="79"/>
      <c r="D351" s="79"/>
      <c r="E351" s="79"/>
      <c r="M351" s="79"/>
      <c r="R351" s="79"/>
      <c r="S351" s="79"/>
      <c r="V351" s="79"/>
      <c r="W351" s="79"/>
      <c r="Z351" s="130"/>
      <c r="AB351" s="106"/>
    </row>
    <row r="352">
      <c r="C352" s="79"/>
      <c r="D352" s="79"/>
      <c r="E352" s="79"/>
      <c r="M352" s="79"/>
      <c r="R352" s="79"/>
      <c r="S352" s="79"/>
      <c r="V352" s="79"/>
      <c r="W352" s="79"/>
      <c r="Z352" s="130"/>
      <c r="AB352" s="106"/>
    </row>
    <row r="353">
      <c r="C353" s="79"/>
      <c r="D353" s="79"/>
      <c r="E353" s="79"/>
      <c r="M353" s="79"/>
      <c r="R353" s="79"/>
      <c r="S353" s="79"/>
      <c r="V353" s="79"/>
      <c r="W353" s="79"/>
      <c r="Z353" s="130"/>
      <c r="AB353" s="106"/>
    </row>
    <row r="354">
      <c r="C354" s="79"/>
      <c r="D354" s="79"/>
      <c r="E354" s="79"/>
      <c r="M354" s="79"/>
      <c r="R354" s="79"/>
      <c r="S354" s="79"/>
      <c r="V354" s="79"/>
      <c r="W354" s="79"/>
      <c r="Z354" s="130"/>
      <c r="AB354" s="106"/>
    </row>
    <row r="355">
      <c r="C355" s="79"/>
      <c r="D355" s="79"/>
      <c r="E355" s="79"/>
      <c r="M355" s="79"/>
      <c r="R355" s="79"/>
      <c r="S355" s="79"/>
      <c r="V355" s="79"/>
      <c r="W355" s="79"/>
      <c r="Z355" s="130"/>
      <c r="AB355" s="106"/>
    </row>
    <row r="356">
      <c r="C356" s="79"/>
      <c r="D356" s="79"/>
      <c r="E356" s="79"/>
      <c r="M356" s="79"/>
      <c r="R356" s="79"/>
      <c r="S356" s="79"/>
      <c r="V356" s="79"/>
      <c r="W356" s="79"/>
      <c r="Z356" s="130"/>
      <c r="AB356" s="106"/>
    </row>
    <row r="357">
      <c r="C357" s="79"/>
      <c r="D357" s="79"/>
      <c r="E357" s="79"/>
      <c r="M357" s="79"/>
      <c r="R357" s="79"/>
      <c r="S357" s="79"/>
      <c r="V357" s="79"/>
      <c r="W357" s="79"/>
      <c r="Z357" s="130"/>
      <c r="AB357" s="106"/>
    </row>
    <row r="358">
      <c r="C358" s="79"/>
      <c r="D358" s="79"/>
      <c r="E358" s="79"/>
      <c r="M358" s="79"/>
      <c r="R358" s="79"/>
      <c r="S358" s="79"/>
      <c r="V358" s="79"/>
      <c r="W358" s="79"/>
      <c r="Z358" s="130"/>
      <c r="AB358" s="106"/>
    </row>
    <row r="359">
      <c r="C359" s="79"/>
      <c r="D359" s="79"/>
      <c r="E359" s="79"/>
      <c r="M359" s="79"/>
      <c r="R359" s="79"/>
      <c r="S359" s="79"/>
      <c r="V359" s="79"/>
      <c r="W359" s="79"/>
      <c r="Z359" s="130"/>
      <c r="AB359" s="106"/>
    </row>
    <row r="360">
      <c r="C360" s="79"/>
      <c r="D360" s="79"/>
      <c r="E360" s="79"/>
      <c r="M360" s="79"/>
      <c r="R360" s="79"/>
      <c r="S360" s="79"/>
      <c r="V360" s="79"/>
      <c r="W360" s="79"/>
      <c r="Z360" s="130"/>
      <c r="AB360" s="106"/>
    </row>
    <row r="361">
      <c r="C361" s="79"/>
      <c r="D361" s="79"/>
      <c r="E361" s="79"/>
      <c r="M361" s="79"/>
      <c r="R361" s="79"/>
      <c r="S361" s="79"/>
      <c r="V361" s="79"/>
      <c r="W361" s="79"/>
      <c r="Z361" s="130"/>
      <c r="AB361" s="106"/>
    </row>
    <row r="362">
      <c r="C362" s="79"/>
      <c r="D362" s="79"/>
      <c r="E362" s="79"/>
      <c r="M362" s="79"/>
      <c r="R362" s="79"/>
      <c r="S362" s="79"/>
      <c r="V362" s="79"/>
      <c r="W362" s="79"/>
      <c r="Z362" s="130"/>
      <c r="AB362" s="106"/>
    </row>
    <row r="363">
      <c r="C363" s="79"/>
      <c r="D363" s="79"/>
      <c r="E363" s="79"/>
      <c r="M363" s="79"/>
      <c r="R363" s="79"/>
      <c r="S363" s="79"/>
      <c r="V363" s="79"/>
      <c r="W363" s="79"/>
      <c r="Z363" s="130"/>
      <c r="AB363" s="106"/>
    </row>
    <row r="364">
      <c r="C364" s="79"/>
      <c r="D364" s="79"/>
      <c r="E364" s="79"/>
      <c r="M364" s="79"/>
      <c r="R364" s="79"/>
      <c r="S364" s="79"/>
      <c r="V364" s="79"/>
      <c r="W364" s="79"/>
      <c r="Z364" s="130"/>
      <c r="AB364" s="106"/>
    </row>
    <row r="365">
      <c r="C365" s="79"/>
      <c r="D365" s="79"/>
      <c r="E365" s="79"/>
      <c r="M365" s="79"/>
      <c r="R365" s="79"/>
      <c r="S365" s="79"/>
      <c r="V365" s="79"/>
      <c r="W365" s="79"/>
      <c r="Z365" s="130"/>
      <c r="AB365" s="106"/>
    </row>
    <row r="366">
      <c r="C366" s="79"/>
      <c r="D366" s="79"/>
      <c r="E366" s="79"/>
      <c r="M366" s="79"/>
      <c r="R366" s="79"/>
      <c r="S366" s="79"/>
      <c r="V366" s="79"/>
      <c r="W366" s="79"/>
      <c r="Z366" s="130"/>
      <c r="AB366" s="106"/>
    </row>
    <row r="367">
      <c r="C367" s="79"/>
      <c r="D367" s="79"/>
      <c r="E367" s="79"/>
      <c r="M367" s="79"/>
      <c r="R367" s="79"/>
      <c r="S367" s="79"/>
      <c r="V367" s="79"/>
      <c r="W367" s="79"/>
      <c r="Z367" s="130"/>
      <c r="AB367" s="106"/>
    </row>
    <row r="368">
      <c r="C368" s="79"/>
      <c r="D368" s="79"/>
      <c r="E368" s="79"/>
      <c r="M368" s="79"/>
      <c r="R368" s="79"/>
      <c r="S368" s="79"/>
      <c r="V368" s="79"/>
      <c r="W368" s="79"/>
      <c r="Z368" s="130"/>
      <c r="AB368" s="106"/>
    </row>
    <row r="369">
      <c r="C369" s="79"/>
      <c r="D369" s="79"/>
      <c r="E369" s="79"/>
      <c r="M369" s="79"/>
      <c r="R369" s="79"/>
      <c r="S369" s="79"/>
      <c r="V369" s="79"/>
      <c r="W369" s="79"/>
      <c r="Z369" s="130"/>
      <c r="AB369" s="106"/>
    </row>
    <row r="370">
      <c r="C370" s="79"/>
      <c r="D370" s="79"/>
      <c r="E370" s="79"/>
      <c r="M370" s="79"/>
      <c r="R370" s="79"/>
      <c r="S370" s="79"/>
      <c r="V370" s="79"/>
      <c r="W370" s="79"/>
      <c r="Z370" s="130"/>
      <c r="AB370" s="106"/>
    </row>
    <row r="371">
      <c r="C371" s="79"/>
      <c r="D371" s="79"/>
      <c r="E371" s="79"/>
      <c r="M371" s="79"/>
      <c r="R371" s="79"/>
      <c r="S371" s="79"/>
      <c r="V371" s="79"/>
      <c r="W371" s="79"/>
      <c r="Z371" s="130"/>
      <c r="AB371" s="106"/>
    </row>
    <row r="372">
      <c r="C372" s="79"/>
      <c r="D372" s="79"/>
      <c r="E372" s="79"/>
      <c r="M372" s="79"/>
      <c r="R372" s="79"/>
      <c r="S372" s="79"/>
      <c r="V372" s="79"/>
      <c r="W372" s="79"/>
      <c r="Z372" s="130"/>
      <c r="AB372" s="106"/>
    </row>
    <row r="373">
      <c r="C373" s="79"/>
      <c r="D373" s="79"/>
      <c r="E373" s="79"/>
      <c r="M373" s="79"/>
      <c r="R373" s="79"/>
      <c r="S373" s="79"/>
      <c r="V373" s="79"/>
      <c r="W373" s="79"/>
      <c r="Z373" s="130"/>
      <c r="AB373" s="106"/>
    </row>
    <row r="374">
      <c r="C374" s="79"/>
      <c r="D374" s="79"/>
      <c r="E374" s="79"/>
      <c r="M374" s="79"/>
      <c r="R374" s="79"/>
      <c r="S374" s="79"/>
      <c r="V374" s="79"/>
      <c r="W374" s="79"/>
      <c r="Z374" s="130"/>
      <c r="AB374" s="106"/>
    </row>
    <row r="375">
      <c r="C375" s="79"/>
      <c r="D375" s="79"/>
      <c r="E375" s="79"/>
      <c r="M375" s="79"/>
      <c r="R375" s="79"/>
      <c r="S375" s="79"/>
      <c r="V375" s="79"/>
      <c r="W375" s="79"/>
      <c r="Z375" s="130"/>
      <c r="AB375" s="106"/>
    </row>
    <row r="376">
      <c r="C376" s="79"/>
      <c r="D376" s="79"/>
      <c r="E376" s="79"/>
      <c r="M376" s="79"/>
      <c r="R376" s="79"/>
      <c r="S376" s="79"/>
      <c r="V376" s="79"/>
      <c r="W376" s="79"/>
      <c r="Z376" s="130"/>
      <c r="AB376" s="106"/>
    </row>
    <row r="377">
      <c r="C377" s="79"/>
      <c r="D377" s="79"/>
      <c r="E377" s="79"/>
      <c r="M377" s="79"/>
      <c r="R377" s="79"/>
      <c r="S377" s="79"/>
      <c r="V377" s="79"/>
      <c r="W377" s="79"/>
      <c r="Z377" s="130"/>
      <c r="AB377" s="106"/>
    </row>
    <row r="378">
      <c r="C378" s="79"/>
      <c r="D378" s="79"/>
      <c r="E378" s="79"/>
      <c r="M378" s="79"/>
      <c r="R378" s="79"/>
      <c r="S378" s="79"/>
      <c r="V378" s="79"/>
      <c r="W378" s="79"/>
      <c r="Z378" s="130"/>
      <c r="AB378" s="106"/>
    </row>
    <row r="379">
      <c r="C379" s="79"/>
      <c r="D379" s="79"/>
      <c r="E379" s="79"/>
      <c r="M379" s="79"/>
      <c r="R379" s="79"/>
      <c r="S379" s="79"/>
      <c r="V379" s="79"/>
      <c r="W379" s="79"/>
      <c r="Z379" s="130"/>
      <c r="AB379" s="106"/>
    </row>
    <row r="380">
      <c r="C380" s="79"/>
      <c r="D380" s="79"/>
      <c r="E380" s="79"/>
      <c r="M380" s="79"/>
      <c r="R380" s="79"/>
      <c r="S380" s="79"/>
      <c r="V380" s="79"/>
      <c r="W380" s="79"/>
      <c r="Z380" s="130"/>
      <c r="AB380" s="106"/>
    </row>
    <row r="381">
      <c r="C381" s="79"/>
      <c r="D381" s="79"/>
      <c r="E381" s="79"/>
      <c r="M381" s="79"/>
      <c r="R381" s="79"/>
      <c r="S381" s="79"/>
      <c r="V381" s="79"/>
      <c r="W381" s="79"/>
      <c r="Z381" s="130"/>
      <c r="AB381" s="106"/>
    </row>
    <row r="382">
      <c r="C382" s="79"/>
      <c r="D382" s="79"/>
      <c r="E382" s="79"/>
      <c r="M382" s="79"/>
      <c r="R382" s="79"/>
      <c r="S382" s="79"/>
      <c r="V382" s="79"/>
      <c r="W382" s="79"/>
      <c r="Z382" s="130"/>
      <c r="AB382" s="106"/>
    </row>
    <row r="383">
      <c r="C383" s="79"/>
      <c r="D383" s="79"/>
      <c r="E383" s="79"/>
      <c r="M383" s="79"/>
      <c r="R383" s="79"/>
      <c r="S383" s="79"/>
      <c r="V383" s="79"/>
      <c r="W383" s="79"/>
      <c r="Z383" s="130"/>
      <c r="AB383" s="106"/>
    </row>
    <row r="384">
      <c r="C384" s="79"/>
      <c r="D384" s="79"/>
      <c r="E384" s="79"/>
      <c r="M384" s="79"/>
      <c r="R384" s="79"/>
      <c r="S384" s="79"/>
      <c r="V384" s="79"/>
      <c r="W384" s="79"/>
      <c r="Z384" s="130"/>
      <c r="AB384" s="106"/>
    </row>
    <row r="385">
      <c r="C385" s="79"/>
      <c r="D385" s="79"/>
      <c r="E385" s="79"/>
      <c r="M385" s="79"/>
      <c r="R385" s="79"/>
      <c r="S385" s="79"/>
      <c r="V385" s="79"/>
      <c r="W385" s="79"/>
      <c r="Z385" s="130"/>
      <c r="AB385" s="106"/>
    </row>
    <row r="386">
      <c r="C386" s="79"/>
      <c r="D386" s="79"/>
      <c r="E386" s="79"/>
      <c r="M386" s="79"/>
      <c r="R386" s="79"/>
      <c r="S386" s="79"/>
      <c r="V386" s="79"/>
      <c r="W386" s="79"/>
      <c r="Z386" s="130"/>
      <c r="AB386" s="106"/>
    </row>
    <row r="387">
      <c r="C387" s="79"/>
      <c r="D387" s="79"/>
      <c r="E387" s="79"/>
      <c r="M387" s="79"/>
      <c r="R387" s="79"/>
      <c r="S387" s="79"/>
      <c r="V387" s="79"/>
      <c r="W387" s="79"/>
      <c r="Z387" s="130"/>
      <c r="AB387" s="106"/>
    </row>
    <row r="388">
      <c r="C388" s="79"/>
      <c r="D388" s="79"/>
      <c r="E388" s="79"/>
      <c r="M388" s="79"/>
      <c r="R388" s="79"/>
      <c r="S388" s="79"/>
      <c r="V388" s="79"/>
      <c r="W388" s="79"/>
      <c r="Z388" s="130"/>
      <c r="AB388" s="106"/>
    </row>
    <row r="389">
      <c r="C389" s="79"/>
      <c r="D389" s="79"/>
      <c r="E389" s="79"/>
      <c r="M389" s="79"/>
      <c r="R389" s="79"/>
      <c r="S389" s="79"/>
      <c r="V389" s="79"/>
      <c r="W389" s="79"/>
      <c r="Z389" s="130"/>
      <c r="AB389" s="106"/>
    </row>
    <row r="390">
      <c r="C390" s="79"/>
      <c r="D390" s="79"/>
      <c r="E390" s="79"/>
      <c r="M390" s="79"/>
      <c r="R390" s="79"/>
      <c r="S390" s="79"/>
      <c r="V390" s="79"/>
      <c r="W390" s="79"/>
      <c r="Z390" s="130"/>
      <c r="AB390" s="106"/>
    </row>
    <row r="391">
      <c r="C391" s="79"/>
      <c r="D391" s="79"/>
      <c r="E391" s="79"/>
      <c r="M391" s="79"/>
      <c r="R391" s="79"/>
      <c r="S391" s="79"/>
      <c r="V391" s="79"/>
      <c r="W391" s="79"/>
      <c r="Z391" s="130"/>
      <c r="AB391" s="106"/>
    </row>
    <row r="392">
      <c r="C392" s="79"/>
      <c r="D392" s="79"/>
      <c r="E392" s="79"/>
      <c r="M392" s="79"/>
      <c r="R392" s="79"/>
      <c r="S392" s="79"/>
      <c r="V392" s="79"/>
      <c r="W392" s="79"/>
      <c r="Z392" s="130"/>
      <c r="AB392" s="106"/>
    </row>
    <row r="393">
      <c r="C393" s="79"/>
      <c r="D393" s="79"/>
      <c r="E393" s="79"/>
      <c r="M393" s="79"/>
      <c r="R393" s="79"/>
      <c r="S393" s="79"/>
      <c r="V393" s="79"/>
      <c r="W393" s="79"/>
      <c r="Z393" s="130"/>
      <c r="AB393" s="106"/>
    </row>
    <row r="394">
      <c r="C394" s="79"/>
      <c r="D394" s="79"/>
      <c r="E394" s="79"/>
      <c r="M394" s="79"/>
      <c r="R394" s="79"/>
      <c r="S394" s="79"/>
      <c r="V394" s="79"/>
      <c r="W394" s="79"/>
      <c r="Z394" s="130"/>
      <c r="AB394" s="106"/>
    </row>
    <row r="395">
      <c r="C395" s="79"/>
      <c r="D395" s="79"/>
      <c r="E395" s="79"/>
      <c r="M395" s="79"/>
      <c r="R395" s="79"/>
      <c r="S395" s="79"/>
      <c r="V395" s="79"/>
      <c r="W395" s="79"/>
      <c r="Z395" s="130"/>
      <c r="AB395" s="106"/>
    </row>
    <row r="396">
      <c r="C396" s="79"/>
      <c r="D396" s="79"/>
      <c r="E396" s="79"/>
      <c r="M396" s="79"/>
      <c r="R396" s="79"/>
      <c r="S396" s="79"/>
      <c r="V396" s="79"/>
      <c r="W396" s="79"/>
      <c r="Z396" s="130"/>
      <c r="AB396" s="106"/>
    </row>
    <row r="397">
      <c r="C397" s="79"/>
      <c r="D397" s="79"/>
      <c r="E397" s="79"/>
      <c r="M397" s="79"/>
      <c r="R397" s="79"/>
      <c r="S397" s="79"/>
      <c r="V397" s="79"/>
      <c r="W397" s="79"/>
      <c r="Z397" s="130"/>
      <c r="AB397" s="106"/>
    </row>
    <row r="398">
      <c r="C398" s="79"/>
      <c r="D398" s="79"/>
      <c r="E398" s="79"/>
      <c r="M398" s="79"/>
      <c r="R398" s="79"/>
      <c r="S398" s="79"/>
      <c r="V398" s="79"/>
      <c r="W398" s="79"/>
      <c r="Z398" s="130"/>
      <c r="AB398" s="106"/>
    </row>
    <row r="399">
      <c r="C399" s="79"/>
      <c r="D399" s="79"/>
      <c r="E399" s="79"/>
      <c r="M399" s="79"/>
      <c r="R399" s="79"/>
      <c r="S399" s="79"/>
      <c r="V399" s="79"/>
      <c r="W399" s="79"/>
      <c r="Z399" s="130"/>
      <c r="AB399" s="106"/>
    </row>
    <row r="400">
      <c r="C400" s="79"/>
      <c r="D400" s="79"/>
      <c r="E400" s="79"/>
      <c r="M400" s="79"/>
      <c r="R400" s="79"/>
      <c r="S400" s="79"/>
      <c r="V400" s="79"/>
      <c r="W400" s="79"/>
      <c r="Z400" s="130"/>
      <c r="AB400" s="106"/>
    </row>
    <row r="401">
      <c r="C401" s="79"/>
      <c r="D401" s="79"/>
      <c r="E401" s="79"/>
      <c r="M401" s="79"/>
      <c r="R401" s="79"/>
      <c r="S401" s="79"/>
      <c r="V401" s="79"/>
      <c r="W401" s="79"/>
      <c r="Z401" s="130"/>
      <c r="AB401" s="106"/>
    </row>
    <row r="402">
      <c r="C402" s="79"/>
      <c r="D402" s="79"/>
      <c r="E402" s="79"/>
      <c r="M402" s="79"/>
      <c r="R402" s="79"/>
      <c r="S402" s="79"/>
      <c r="V402" s="79"/>
      <c r="W402" s="79"/>
      <c r="Z402" s="130"/>
      <c r="AB402" s="106"/>
    </row>
    <row r="403">
      <c r="C403" s="79"/>
      <c r="D403" s="79"/>
      <c r="E403" s="79"/>
      <c r="M403" s="79"/>
      <c r="R403" s="79"/>
      <c r="S403" s="79"/>
      <c r="V403" s="79"/>
      <c r="W403" s="79"/>
      <c r="Z403" s="130"/>
      <c r="AB403" s="106"/>
    </row>
    <row r="404">
      <c r="C404" s="79"/>
      <c r="D404" s="79"/>
      <c r="E404" s="79"/>
      <c r="M404" s="79"/>
      <c r="R404" s="79"/>
      <c r="S404" s="79"/>
      <c r="V404" s="79"/>
      <c r="W404" s="79"/>
      <c r="Z404" s="130"/>
      <c r="AB404" s="106"/>
    </row>
    <row r="405">
      <c r="C405" s="79"/>
      <c r="D405" s="79"/>
      <c r="E405" s="79"/>
      <c r="M405" s="79"/>
      <c r="R405" s="79"/>
      <c r="S405" s="79"/>
      <c r="V405" s="79"/>
      <c r="W405" s="79"/>
      <c r="Z405" s="130"/>
      <c r="AB405" s="106"/>
    </row>
    <row r="406">
      <c r="C406" s="79"/>
      <c r="D406" s="79"/>
      <c r="E406" s="79"/>
      <c r="M406" s="79"/>
      <c r="R406" s="79"/>
      <c r="S406" s="79"/>
      <c r="V406" s="79"/>
      <c r="W406" s="79"/>
      <c r="Z406" s="130"/>
      <c r="AB406" s="106"/>
    </row>
    <row r="407">
      <c r="C407" s="79"/>
      <c r="D407" s="79"/>
      <c r="E407" s="79"/>
      <c r="M407" s="79"/>
      <c r="R407" s="79"/>
      <c r="S407" s="79"/>
      <c r="V407" s="79"/>
      <c r="W407" s="79"/>
      <c r="Z407" s="130"/>
      <c r="AB407" s="106"/>
    </row>
    <row r="408">
      <c r="C408" s="79"/>
      <c r="D408" s="79"/>
      <c r="E408" s="79"/>
      <c r="M408" s="79"/>
      <c r="R408" s="79"/>
      <c r="S408" s="79"/>
      <c r="V408" s="79"/>
      <c r="W408" s="79"/>
      <c r="Z408" s="130"/>
      <c r="AB408" s="106"/>
    </row>
    <row r="409">
      <c r="C409" s="79"/>
      <c r="D409" s="79"/>
      <c r="E409" s="79"/>
      <c r="M409" s="79"/>
      <c r="R409" s="79"/>
      <c r="S409" s="79"/>
      <c r="V409" s="79"/>
      <c r="W409" s="79"/>
      <c r="Z409" s="130"/>
      <c r="AB409" s="106"/>
    </row>
    <row r="410">
      <c r="C410" s="79"/>
      <c r="D410" s="79"/>
      <c r="E410" s="79"/>
      <c r="M410" s="79"/>
      <c r="R410" s="79"/>
      <c r="S410" s="79"/>
      <c r="V410" s="79"/>
      <c r="W410" s="79"/>
      <c r="Z410" s="130"/>
      <c r="AB410" s="106"/>
    </row>
    <row r="411">
      <c r="C411" s="79"/>
      <c r="D411" s="79"/>
      <c r="E411" s="79"/>
      <c r="M411" s="79"/>
      <c r="R411" s="79"/>
      <c r="S411" s="79"/>
      <c r="V411" s="79"/>
      <c r="W411" s="79"/>
      <c r="Z411" s="130"/>
      <c r="AB411" s="106"/>
    </row>
    <row r="412">
      <c r="C412" s="79"/>
      <c r="D412" s="79"/>
      <c r="E412" s="79"/>
      <c r="M412" s="79"/>
      <c r="R412" s="79"/>
      <c r="S412" s="79"/>
      <c r="V412" s="79"/>
      <c r="W412" s="79"/>
      <c r="Z412" s="130"/>
      <c r="AB412" s="106"/>
    </row>
    <row r="413">
      <c r="C413" s="79"/>
      <c r="D413" s="79"/>
      <c r="E413" s="79"/>
      <c r="M413" s="79"/>
      <c r="R413" s="79"/>
      <c r="S413" s="79"/>
      <c r="V413" s="79"/>
      <c r="W413" s="79"/>
      <c r="Z413" s="130"/>
      <c r="AB413" s="106"/>
    </row>
    <row r="414">
      <c r="C414" s="79"/>
      <c r="D414" s="79"/>
      <c r="E414" s="79"/>
      <c r="M414" s="79"/>
      <c r="R414" s="79"/>
      <c r="S414" s="79"/>
      <c r="V414" s="79"/>
      <c r="W414" s="79"/>
      <c r="Z414" s="130"/>
      <c r="AB414" s="106"/>
    </row>
    <row r="415">
      <c r="C415" s="79"/>
      <c r="D415" s="79"/>
      <c r="E415" s="79"/>
      <c r="M415" s="79"/>
      <c r="R415" s="79"/>
      <c r="S415" s="79"/>
      <c r="V415" s="79"/>
      <c r="W415" s="79"/>
      <c r="Z415" s="130"/>
      <c r="AB415" s="106"/>
    </row>
    <row r="416">
      <c r="C416" s="79"/>
      <c r="D416" s="79"/>
      <c r="E416" s="79"/>
      <c r="M416" s="79"/>
      <c r="R416" s="79"/>
      <c r="S416" s="79"/>
      <c r="V416" s="79"/>
      <c r="W416" s="79"/>
      <c r="Z416" s="130"/>
      <c r="AB416" s="106"/>
    </row>
    <row r="417">
      <c r="C417" s="79"/>
      <c r="D417" s="79"/>
      <c r="E417" s="79"/>
      <c r="M417" s="79"/>
      <c r="R417" s="79"/>
      <c r="S417" s="79"/>
      <c r="V417" s="79"/>
      <c r="W417" s="79"/>
      <c r="Z417" s="130"/>
      <c r="AB417" s="106"/>
    </row>
    <row r="418">
      <c r="C418" s="79"/>
      <c r="D418" s="79"/>
      <c r="E418" s="79"/>
      <c r="M418" s="79"/>
      <c r="R418" s="79"/>
      <c r="S418" s="79"/>
      <c r="V418" s="79"/>
      <c r="W418" s="79"/>
      <c r="Z418" s="130"/>
      <c r="AB418" s="106"/>
    </row>
    <row r="419">
      <c r="C419" s="79"/>
      <c r="D419" s="79"/>
      <c r="E419" s="79"/>
      <c r="M419" s="79"/>
      <c r="R419" s="79"/>
      <c r="S419" s="79"/>
      <c r="V419" s="79"/>
      <c r="W419" s="79"/>
      <c r="Z419" s="130"/>
      <c r="AB419" s="106"/>
    </row>
    <row r="420">
      <c r="C420" s="79"/>
      <c r="D420" s="79"/>
      <c r="E420" s="79"/>
      <c r="M420" s="79"/>
      <c r="R420" s="79"/>
      <c r="S420" s="79"/>
      <c r="V420" s="79"/>
      <c r="W420" s="79"/>
      <c r="Z420" s="130"/>
      <c r="AB420" s="106"/>
    </row>
    <row r="421">
      <c r="C421" s="79"/>
      <c r="D421" s="79"/>
      <c r="E421" s="79"/>
      <c r="M421" s="79"/>
      <c r="R421" s="79"/>
      <c r="S421" s="79"/>
      <c r="V421" s="79"/>
      <c r="W421" s="79"/>
      <c r="Z421" s="130"/>
      <c r="AB421" s="106"/>
    </row>
    <row r="422">
      <c r="C422" s="79"/>
      <c r="D422" s="79"/>
      <c r="E422" s="79"/>
      <c r="M422" s="79"/>
      <c r="R422" s="79"/>
      <c r="S422" s="79"/>
      <c r="V422" s="79"/>
      <c r="W422" s="79"/>
      <c r="Z422" s="130"/>
      <c r="AB422" s="106"/>
    </row>
    <row r="423">
      <c r="C423" s="79"/>
      <c r="D423" s="79"/>
      <c r="E423" s="79"/>
      <c r="M423" s="79"/>
      <c r="R423" s="79"/>
      <c r="S423" s="79"/>
      <c r="V423" s="79"/>
      <c r="W423" s="79"/>
      <c r="Z423" s="130"/>
      <c r="AB423" s="106"/>
    </row>
    <row r="424">
      <c r="C424" s="79"/>
      <c r="D424" s="79"/>
      <c r="E424" s="79"/>
      <c r="M424" s="79"/>
      <c r="R424" s="79"/>
      <c r="S424" s="79"/>
      <c r="V424" s="79"/>
      <c r="W424" s="79"/>
      <c r="Z424" s="130"/>
      <c r="AB424" s="106"/>
    </row>
    <row r="425">
      <c r="C425" s="79"/>
      <c r="D425" s="79"/>
      <c r="E425" s="79"/>
      <c r="M425" s="79"/>
      <c r="R425" s="79"/>
      <c r="S425" s="79"/>
      <c r="V425" s="79"/>
      <c r="W425" s="79"/>
      <c r="Z425" s="130"/>
      <c r="AB425" s="106"/>
    </row>
    <row r="426">
      <c r="C426" s="79"/>
      <c r="D426" s="79"/>
      <c r="E426" s="79"/>
      <c r="M426" s="79"/>
      <c r="R426" s="79"/>
      <c r="S426" s="79"/>
      <c r="V426" s="79"/>
      <c r="W426" s="79"/>
      <c r="Z426" s="130"/>
      <c r="AB426" s="106"/>
    </row>
    <row r="427">
      <c r="C427" s="79"/>
      <c r="D427" s="79"/>
      <c r="E427" s="79"/>
      <c r="M427" s="79"/>
      <c r="R427" s="79"/>
      <c r="S427" s="79"/>
      <c r="V427" s="79"/>
      <c r="W427" s="79"/>
      <c r="Z427" s="130"/>
      <c r="AB427" s="106"/>
    </row>
    <row r="428">
      <c r="C428" s="79"/>
      <c r="D428" s="79"/>
      <c r="E428" s="79"/>
      <c r="M428" s="79"/>
      <c r="R428" s="79"/>
      <c r="S428" s="79"/>
      <c r="V428" s="79"/>
      <c r="W428" s="79"/>
      <c r="Z428" s="130"/>
      <c r="AB428" s="106"/>
    </row>
    <row r="429">
      <c r="C429" s="79"/>
      <c r="D429" s="79"/>
      <c r="E429" s="79"/>
      <c r="M429" s="79"/>
      <c r="R429" s="79"/>
      <c r="S429" s="79"/>
      <c r="V429" s="79"/>
      <c r="W429" s="79"/>
      <c r="Z429" s="130"/>
      <c r="AB429" s="106"/>
    </row>
    <row r="430">
      <c r="C430" s="79"/>
      <c r="D430" s="79"/>
      <c r="E430" s="79"/>
      <c r="M430" s="79"/>
      <c r="R430" s="79"/>
      <c r="S430" s="79"/>
      <c r="V430" s="79"/>
      <c r="W430" s="79"/>
      <c r="Z430" s="130"/>
      <c r="AB430" s="106"/>
    </row>
    <row r="431">
      <c r="C431" s="79"/>
      <c r="D431" s="79"/>
      <c r="E431" s="79"/>
      <c r="M431" s="79"/>
      <c r="R431" s="79"/>
      <c r="S431" s="79"/>
      <c r="V431" s="79"/>
      <c r="W431" s="79"/>
      <c r="Z431" s="130"/>
      <c r="AB431" s="106"/>
    </row>
    <row r="432">
      <c r="C432" s="79"/>
      <c r="D432" s="79"/>
      <c r="E432" s="79"/>
      <c r="M432" s="79"/>
      <c r="R432" s="79"/>
      <c r="S432" s="79"/>
      <c r="V432" s="79"/>
      <c r="W432" s="79"/>
      <c r="Z432" s="130"/>
      <c r="AB432" s="106"/>
    </row>
    <row r="433">
      <c r="C433" s="79"/>
      <c r="D433" s="79"/>
      <c r="E433" s="79"/>
      <c r="M433" s="79"/>
      <c r="R433" s="79"/>
      <c r="S433" s="79"/>
      <c r="V433" s="79"/>
      <c r="W433" s="79"/>
      <c r="Z433" s="130"/>
      <c r="AB433" s="106"/>
    </row>
    <row r="434">
      <c r="C434" s="79"/>
      <c r="D434" s="79"/>
      <c r="E434" s="79"/>
      <c r="M434" s="79"/>
      <c r="R434" s="79"/>
      <c r="S434" s="79"/>
      <c r="V434" s="79"/>
      <c r="W434" s="79"/>
      <c r="Z434" s="130"/>
      <c r="AB434" s="106"/>
    </row>
    <row r="435">
      <c r="C435" s="79"/>
      <c r="D435" s="79"/>
      <c r="E435" s="79"/>
      <c r="M435" s="79"/>
      <c r="R435" s="79"/>
      <c r="S435" s="79"/>
      <c r="V435" s="79"/>
      <c r="W435" s="79"/>
      <c r="Z435" s="130"/>
      <c r="AB435" s="106"/>
    </row>
    <row r="436">
      <c r="C436" s="79"/>
      <c r="D436" s="79"/>
      <c r="E436" s="79"/>
      <c r="M436" s="79"/>
      <c r="R436" s="79"/>
      <c r="S436" s="79"/>
      <c r="V436" s="79"/>
      <c r="W436" s="79"/>
      <c r="Z436" s="130"/>
      <c r="AB436" s="106"/>
    </row>
    <row r="437">
      <c r="C437" s="79"/>
      <c r="D437" s="79"/>
      <c r="E437" s="79"/>
      <c r="M437" s="79"/>
      <c r="R437" s="79"/>
      <c r="S437" s="79"/>
      <c r="V437" s="79"/>
      <c r="W437" s="79"/>
      <c r="Z437" s="130"/>
      <c r="AB437" s="106"/>
    </row>
    <row r="438">
      <c r="C438" s="79"/>
      <c r="D438" s="79"/>
      <c r="E438" s="79"/>
      <c r="M438" s="79"/>
      <c r="R438" s="79"/>
      <c r="S438" s="79"/>
      <c r="V438" s="79"/>
      <c r="W438" s="79"/>
      <c r="Z438" s="130"/>
      <c r="AB438" s="106"/>
    </row>
    <row r="439">
      <c r="C439" s="79"/>
      <c r="D439" s="79"/>
      <c r="E439" s="79"/>
      <c r="M439" s="79"/>
      <c r="R439" s="79"/>
      <c r="S439" s="79"/>
      <c r="V439" s="79"/>
      <c r="W439" s="79"/>
      <c r="Z439" s="130"/>
      <c r="AB439" s="106"/>
    </row>
    <row r="440">
      <c r="C440" s="79"/>
      <c r="D440" s="79"/>
      <c r="E440" s="79"/>
      <c r="M440" s="79"/>
      <c r="R440" s="79"/>
      <c r="S440" s="79"/>
      <c r="V440" s="79"/>
      <c r="W440" s="79"/>
      <c r="Z440" s="130"/>
      <c r="AB440" s="106"/>
    </row>
    <row r="441">
      <c r="C441" s="79"/>
      <c r="D441" s="79"/>
      <c r="E441" s="79"/>
      <c r="M441" s="79"/>
      <c r="R441" s="79"/>
      <c r="S441" s="79"/>
      <c r="V441" s="79"/>
      <c r="W441" s="79"/>
      <c r="Z441" s="130"/>
      <c r="AB441" s="106"/>
    </row>
    <row r="442">
      <c r="C442" s="79"/>
      <c r="D442" s="79"/>
      <c r="E442" s="79"/>
      <c r="M442" s="79"/>
      <c r="R442" s="79"/>
      <c r="S442" s="79"/>
      <c r="V442" s="79"/>
      <c r="W442" s="79"/>
      <c r="Z442" s="130"/>
      <c r="AB442" s="106"/>
    </row>
    <row r="443">
      <c r="C443" s="79"/>
      <c r="D443" s="79"/>
      <c r="E443" s="79"/>
      <c r="M443" s="79"/>
      <c r="R443" s="79"/>
      <c r="S443" s="79"/>
      <c r="V443" s="79"/>
      <c r="W443" s="79"/>
      <c r="Z443" s="130"/>
      <c r="AB443" s="106"/>
    </row>
    <row r="444">
      <c r="C444" s="79"/>
      <c r="D444" s="79"/>
      <c r="E444" s="79"/>
      <c r="M444" s="79"/>
      <c r="R444" s="79"/>
      <c r="S444" s="79"/>
      <c r="V444" s="79"/>
      <c r="W444" s="79"/>
      <c r="Z444" s="130"/>
      <c r="AB444" s="106"/>
    </row>
    <row r="445">
      <c r="C445" s="79"/>
      <c r="D445" s="79"/>
      <c r="E445" s="79"/>
      <c r="M445" s="79"/>
      <c r="R445" s="79"/>
      <c r="S445" s="79"/>
      <c r="V445" s="79"/>
      <c r="W445" s="79"/>
      <c r="Z445" s="130"/>
      <c r="AB445" s="106"/>
    </row>
    <row r="446">
      <c r="C446" s="79"/>
      <c r="D446" s="79"/>
      <c r="E446" s="79"/>
      <c r="M446" s="79"/>
      <c r="R446" s="79"/>
      <c r="S446" s="79"/>
      <c r="V446" s="79"/>
      <c r="W446" s="79"/>
      <c r="Z446" s="130"/>
      <c r="AB446" s="106"/>
    </row>
    <row r="447">
      <c r="C447" s="79"/>
      <c r="D447" s="79"/>
      <c r="E447" s="79"/>
      <c r="M447" s="79"/>
      <c r="R447" s="79"/>
      <c r="S447" s="79"/>
      <c r="V447" s="79"/>
      <c r="W447" s="79"/>
      <c r="Z447" s="130"/>
      <c r="AB447" s="106"/>
    </row>
    <row r="448">
      <c r="C448" s="79"/>
      <c r="D448" s="79"/>
      <c r="E448" s="79"/>
      <c r="M448" s="79"/>
      <c r="R448" s="79"/>
      <c r="S448" s="79"/>
      <c r="V448" s="79"/>
      <c r="W448" s="79"/>
      <c r="Z448" s="130"/>
      <c r="AB448" s="106"/>
    </row>
    <row r="449">
      <c r="C449" s="79"/>
      <c r="D449" s="79"/>
      <c r="E449" s="79"/>
      <c r="M449" s="79"/>
      <c r="R449" s="79"/>
      <c r="S449" s="79"/>
      <c r="V449" s="79"/>
      <c r="W449" s="79"/>
      <c r="Z449" s="130"/>
      <c r="AB449" s="106"/>
    </row>
    <row r="450">
      <c r="C450" s="79"/>
      <c r="D450" s="79"/>
      <c r="E450" s="79"/>
      <c r="M450" s="79"/>
      <c r="R450" s="79"/>
      <c r="S450" s="79"/>
      <c r="V450" s="79"/>
      <c r="W450" s="79"/>
      <c r="Z450" s="130"/>
      <c r="AB450" s="106"/>
    </row>
    <row r="451">
      <c r="C451" s="79"/>
      <c r="D451" s="79"/>
      <c r="E451" s="79"/>
      <c r="M451" s="79"/>
      <c r="R451" s="79"/>
      <c r="S451" s="79"/>
      <c r="V451" s="79"/>
      <c r="W451" s="79"/>
      <c r="Z451" s="130"/>
      <c r="AB451" s="106"/>
    </row>
    <row r="452">
      <c r="C452" s="79"/>
      <c r="D452" s="79"/>
      <c r="E452" s="79"/>
      <c r="M452" s="79"/>
      <c r="R452" s="79"/>
      <c r="S452" s="79"/>
      <c r="V452" s="79"/>
      <c r="W452" s="79"/>
      <c r="Z452" s="130"/>
      <c r="AB452" s="106"/>
    </row>
    <row r="453">
      <c r="C453" s="79"/>
      <c r="D453" s="79"/>
      <c r="E453" s="79"/>
      <c r="M453" s="79"/>
      <c r="R453" s="79"/>
      <c r="S453" s="79"/>
      <c r="V453" s="79"/>
      <c r="W453" s="79"/>
      <c r="Z453" s="130"/>
      <c r="AB453" s="106"/>
    </row>
    <row r="454">
      <c r="C454" s="79"/>
      <c r="D454" s="79"/>
      <c r="E454" s="79"/>
      <c r="M454" s="79"/>
      <c r="R454" s="79"/>
      <c r="S454" s="79"/>
      <c r="V454" s="79"/>
      <c r="W454" s="79"/>
      <c r="Z454" s="130"/>
      <c r="AB454" s="106"/>
    </row>
    <row r="455">
      <c r="C455" s="79"/>
      <c r="D455" s="79"/>
      <c r="E455" s="79"/>
      <c r="M455" s="79"/>
      <c r="R455" s="79"/>
      <c r="S455" s="79"/>
      <c r="V455" s="79"/>
      <c r="W455" s="79"/>
      <c r="Z455" s="130"/>
      <c r="AB455" s="106"/>
    </row>
    <row r="456">
      <c r="C456" s="79"/>
      <c r="D456" s="79"/>
      <c r="E456" s="79"/>
      <c r="M456" s="79"/>
      <c r="R456" s="79"/>
      <c r="S456" s="79"/>
      <c r="V456" s="79"/>
      <c r="W456" s="79"/>
      <c r="Z456" s="130"/>
      <c r="AB456" s="106"/>
    </row>
    <row r="457">
      <c r="C457" s="79"/>
      <c r="D457" s="79"/>
      <c r="E457" s="79"/>
      <c r="M457" s="79"/>
      <c r="R457" s="79"/>
      <c r="S457" s="79"/>
      <c r="V457" s="79"/>
      <c r="W457" s="79"/>
      <c r="Z457" s="130"/>
      <c r="AB457" s="106"/>
    </row>
    <row r="458">
      <c r="C458" s="79"/>
      <c r="D458" s="79"/>
      <c r="E458" s="79"/>
      <c r="M458" s="79"/>
      <c r="R458" s="79"/>
      <c r="S458" s="79"/>
      <c r="V458" s="79"/>
      <c r="W458" s="79"/>
      <c r="Z458" s="130"/>
      <c r="AB458" s="106"/>
    </row>
    <row r="459">
      <c r="C459" s="79"/>
      <c r="D459" s="79"/>
      <c r="E459" s="79"/>
      <c r="M459" s="79"/>
      <c r="R459" s="79"/>
      <c r="S459" s="79"/>
      <c r="V459" s="79"/>
      <c r="W459" s="79"/>
      <c r="Z459" s="130"/>
      <c r="AB459" s="106"/>
    </row>
    <row r="460">
      <c r="C460" s="79"/>
      <c r="D460" s="79"/>
      <c r="E460" s="79"/>
      <c r="M460" s="79"/>
      <c r="R460" s="79"/>
      <c r="S460" s="79"/>
      <c r="V460" s="79"/>
      <c r="W460" s="79"/>
      <c r="Z460" s="130"/>
      <c r="AB460" s="106"/>
    </row>
    <row r="461">
      <c r="C461" s="79"/>
      <c r="D461" s="79"/>
      <c r="E461" s="79"/>
      <c r="M461" s="79"/>
      <c r="R461" s="79"/>
      <c r="S461" s="79"/>
      <c r="V461" s="79"/>
      <c r="W461" s="79"/>
      <c r="Z461" s="130"/>
      <c r="AB461" s="106"/>
    </row>
    <row r="462">
      <c r="C462" s="79"/>
      <c r="D462" s="79"/>
      <c r="E462" s="79"/>
      <c r="M462" s="79"/>
      <c r="R462" s="79"/>
      <c r="S462" s="79"/>
      <c r="V462" s="79"/>
      <c r="W462" s="79"/>
      <c r="Z462" s="130"/>
      <c r="AB462" s="106"/>
    </row>
    <row r="463">
      <c r="C463" s="79"/>
      <c r="D463" s="79"/>
      <c r="E463" s="79"/>
      <c r="M463" s="79"/>
      <c r="R463" s="79"/>
      <c r="S463" s="79"/>
      <c r="V463" s="79"/>
      <c r="W463" s="79"/>
      <c r="Z463" s="130"/>
      <c r="AB463" s="106"/>
    </row>
    <row r="464">
      <c r="C464" s="79"/>
      <c r="D464" s="79"/>
      <c r="E464" s="79"/>
      <c r="M464" s="79"/>
      <c r="R464" s="79"/>
      <c r="S464" s="79"/>
      <c r="V464" s="79"/>
      <c r="W464" s="79"/>
      <c r="Z464" s="130"/>
      <c r="AB464" s="106"/>
    </row>
    <row r="465">
      <c r="C465" s="79"/>
      <c r="D465" s="79"/>
      <c r="E465" s="79"/>
      <c r="M465" s="79"/>
      <c r="R465" s="79"/>
      <c r="S465" s="79"/>
      <c r="V465" s="79"/>
      <c r="W465" s="79"/>
      <c r="Z465" s="130"/>
      <c r="AB465" s="106"/>
    </row>
    <row r="466">
      <c r="C466" s="79"/>
      <c r="D466" s="79"/>
      <c r="E466" s="79"/>
      <c r="M466" s="79"/>
      <c r="R466" s="79"/>
      <c r="S466" s="79"/>
      <c r="V466" s="79"/>
      <c r="W466" s="79"/>
      <c r="Z466" s="130"/>
      <c r="AB466" s="106"/>
    </row>
    <row r="467">
      <c r="C467" s="79"/>
      <c r="D467" s="79"/>
      <c r="E467" s="79"/>
      <c r="M467" s="79"/>
      <c r="R467" s="79"/>
      <c r="S467" s="79"/>
      <c r="V467" s="79"/>
      <c r="W467" s="79"/>
      <c r="Z467" s="130"/>
      <c r="AB467" s="106"/>
    </row>
    <row r="468">
      <c r="C468" s="79"/>
      <c r="D468" s="79"/>
      <c r="E468" s="79"/>
      <c r="M468" s="79"/>
      <c r="R468" s="79"/>
      <c r="S468" s="79"/>
      <c r="V468" s="79"/>
      <c r="W468" s="79"/>
      <c r="Z468" s="130"/>
      <c r="AB468" s="106"/>
    </row>
    <row r="469">
      <c r="C469" s="79"/>
      <c r="D469" s="79"/>
      <c r="E469" s="79"/>
      <c r="M469" s="79"/>
      <c r="R469" s="79"/>
      <c r="S469" s="79"/>
      <c r="V469" s="79"/>
      <c r="W469" s="79"/>
      <c r="Z469" s="130"/>
      <c r="AB469" s="106"/>
    </row>
    <row r="470">
      <c r="C470" s="79"/>
      <c r="D470" s="79"/>
      <c r="E470" s="79"/>
      <c r="M470" s="79"/>
      <c r="R470" s="79"/>
      <c r="S470" s="79"/>
      <c r="V470" s="79"/>
      <c r="W470" s="79"/>
      <c r="Z470" s="130"/>
      <c r="AB470" s="106"/>
    </row>
    <row r="471">
      <c r="C471" s="79"/>
      <c r="D471" s="79"/>
      <c r="E471" s="79"/>
      <c r="M471" s="79"/>
      <c r="R471" s="79"/>
      <c r="S471" s="79"/>
      <c r="V471" s="79"/>
      <c r="W471" s="79"/>
      <c r="Z471" s="130"/>
      <c r="AB471" s="106"/>
    </row>
    <row r="472">
      <c r="C472" s="79"/>
      <c r="D472" s="79"/>
      <c r="E472" s="79"/>
      <c r="M472" s="79"/>
      <c r="R472" s="79"/>
      <c r="S472" s="79"/>
      <c r="V472" s="79"/>
      <c r="W472" s="79"/>
      <c r="Z472" s="130"/>
      <c r="AB472" s="106"/>
    </row>
    <row r="473">
      <c r="C473" s="79"/>
      <c r="D473" s="79"/>
      <c r="E473" s="79"/>
      <c r="M473" s="79"/>
      <c r="R473" s="79"/>
      <c r="S473" s="79"/>
      <c r="V473" s="79"/>
      <c r="W473" s="79"/>
      <c r="Z473" s="130"/>
      <c r="AB473" s="106"/>
    </row>
    <row r="474">
      <c r="C474" s="79"/>
      <c r="D474" s="79"/>
      <c r="E474" s="79"/>
      <c r="M474" s="79"/>
      <c r="R474" s="79"/>
      <c r="S474" s="79"/>
      <c r="V474" s="79"/>
      <c r="W474" s="79"/>
      <c r="Z474" s="130"/>
      <c r="AB474" s="106"/>
    </row>
    <row r="475">
      <c r="C475" s="79"/>
      <c r="D475" s="79"/>
      <c r="E475" s="79"/>
      <c r="M475" s="79"/>
      <c r="R475" s="79"/>
      <c r="S475" s="79"/>
      <c r="V475" s="79"/>
      <c r="W475" s="79"/>
      <c r="Z475" s="130"/>
      <c r="AB475" s="106"/>
    </row>
    <row r="476">
      <c r="C476" s="79"/>
      <c r="D476" s="79"/>
      <c r="E476" s="79"/>
      <c r="M476" s="79"/>
      <c r="R476" s="79"/>
      <c r="S476" s="79"/>
      <c r="V476" s="79"/>
      <c r="W476" s="79"/>
      <c r="Z476" s="130"/>
      <c r="AB476" s="106"/>
    </row>
    <row r="477">
      <c r="C477" s="79"/>
      <c r="D477" s="79"/>
      <c r="E477" s="79"/>
      <c r="M477" s="79"/>
      <c r="R477" s="79"/>
      <c r="S477" s="79"/>
      <c r="V477" s="79"/>
      <c r="W477" s="79"/>
      <c r="Z477" s="130"/>
      <c r="AB477" s="106"/>
    </row>
    <row r="478">
      <c r="C478" s="79"/>
      <c r="D478" s="79"/>
      <c r="E478" s="79"/>
      <c r="M478" s="79"/>
      <c r="R478" s="79"/>
      <c r="S478" s="79"/>
      <c r="V478" s="79"/>
      <c r="W478" s="79"/>
      <c r="Z478" s="130"/>
      <c r="AB478" s="106"/>
    </row>
    <row r="479">
      <c r="C479" s="79"/>
      <c r="D479" s="79"/>
      <c r="E479" s="79"/>
      <c r="M479" s="79"/>
      <c r="R479" s="79"/>
      <c r="S479" s="79"/>
      <c r="V479" s="79"/>
      <c r="W479" s="79"/>
      <c r="Z479" s="130"/>
      <c r="AB479" s="106"/>
    </row>
    <row r="480">
      <c r="C480" s="79"/>
      <c r="D480" s="79"/>
      <c r="E480" s="79"/>
      <c r="M480" s="79"/>
      <c r="R480" s="79"/>
      <c r="S480" s="79"/>
      <c r="V480" s="79"/>
      <c r="W480" s="79"/>
      <c r="Z480" s="130"/>
      <c r="AB480" s="106"/>
    </row>
    <row r="481">
      <c r="C481" s="79"/>
      <c r="D481" s="79"/>
      <c r="E481" s="79"/>
      <c r="M481" s="79"/>
      <c r="R481" s="79"/>
      <c r="S481" s="79"/>
      <c r="V481" s="79"/>
      <c r="W481" s="79"/>
      <c r="Z481" s="130"/>
      <c r="AB481" s="106"/>
    </row>
    <row r="482">
      <c r="C482" s="79"/>
      <c r="D482" s="79"/>
      <c r="E482" s="79"/>
      <c r="M482" s="79"/>
      <c r="R482" s="79"/>
      <c r="S482" s="79"/>
      <c r="V482" s="79"/>
      <c r="W482" s="79"/>
      <c r="Z482" s="130"/>
      <c r="AB482" s="106"/>
    </row>
    <row r="483">
      <c r="C483" s="79"/>
      <c r="D483" s="79"/>
      <c r="E483" s="79"/>
      <c r="M483" s="79"/>
      <c r="R483" s="79"/>
      <c r="S483" s="79"/>
      <c r="V483" s="79"/>
      <c r="W483" s="79"/>
      <c r="Z483" s="130"/>
      <c r="AB483" s="106"/>
    </row>
    <row r="484">
      <c r="C484" s="79"/>
      <c r="D484" s="79"/>
      <c r="E484" s="79"/>
      <c r="M484" s="79"/>
      <c r="R484" s="79"/>
      <c r="S484" s="79"/>
      <c r="V484" s="79"/>
      <c r="W484" s="79"/>
      <c r="Z484" s="130"/>
      <c r="AB484" s="106"/>
    </row>
    <row r="485">
      <c r="C485" s="79"/>
      <c r="D485" s="79"/>
      <c r="E485" s="79"/>
      <c r="M485" s="79"/>
      <c r="R485" s="79"/>
      <c r="S485" s="79"/>
      <c r="V485" s="79"/>
      <c r="W485" s="79"/>
      <c r="Z485" s="130"/>
      <c r="AB485" s="106"/>
    </row>
    <row r="486">
      <c r="C486" s="79"/>
      <c r="D486" s="79"/>
      <c r="E486" s="79"/>
      <c r="M486" s="79"/>
      <c r="R486" s="79"/>
      <c r="S486" s="79"/>
      <c r="V486" s="79"/>
      <c r="W486" s="79"/>
      <c r="Z486" s="130"/>
      <c r="AB486" s="106"/>
    </row>
    <row r="487">
      <c r="C487" s="79"/>
      <c r="D487" s="79"/>
      <c r="E487" s="79"/>
      <c r="M487" s="79"/>
      <c r="R487" s="79"/>
      <c r="S487" s="79"/>
      <c r="V487" s="79"/>
      <c r="W487" s="79"/>
      <c r="Z487" s="130"/>
      <c r="AB487" s="106"/>
    </row>
    <row r="488">
      <c r="C488" s="79"/>
      <c r="D488" s="79"/>
      <c r="E488" s="79"/>
      <c r="M488" s="79"/>
      <c r="R488" s="79"/>
      <c r="S488" s="79"/>
      <c r="V488" s="79"/>
      <c r="W488" s="79"/>
      <c r="Z488" s="130"/>
      <c r="AB488" s="106"/>
    </row>
    <row r="489">
      <c r="C489" s="79"/>
      <c r="D489" s="79"/>
      <c r="E489" s="79"/>
      <c r="M489" s="79"/>
      <c r="R489" s="79"/>
      <c r="S489" s="79"/>
      <c r="V489" s="79"/>
      <c r="W489" s="79"/>
      <c r="Z489" s="130"/>
      <c r="AB489" s="106"/>
    </row>
    <row r="490">
      <c r="C490" s="79"/>
      <c r="D490" s="79"/>
      <c r="E490" s="79"/>
      <c r="M490" s="79"/>
      <c r="R490" s="79"/>
      <c r="S490" s="79"/>
      <c r="V490" s="79"/>
      <c r="W490" s="79"/>
      <c r="Z490" s="130"/>
      <c r="AB490" s="106"/>
    </row>
    <row r="491">
      <c r="C491" s="79"/>
      <c r="D491" s="79"/>
      <c r="E491" s="79"/>
      <c r="M491" s="79"/>
      <c r="R491" s="79"/>
      <c r="S491" s="79"/>
      <c r="V491" s="79"/>
      <c r="W491" s="79"/>
      <c r="Z491" s="130"/>
      <c r="AB491" s="106"/>
    </row>
    <row r="492">
      <c r="C492" s="79"/>
      <c r="D492" s="79"/>
      <c r="E492" s="79"/>
      <c r="M492" s="79"/>
      <c r="R492" s="79"/>
      <c r="S492" s="79"/>
      <c r="V492" s="79"/>
      <c r="W492" s="79"/>
      <c r="Z492" s="130"/>
      <c r="AB492" s="106"/>
    </row>
    <row r="493">
      <c r="C493" s="79"/>
      <c r="D493" s="79"/>
      <c r="E493" s="79"/>
      <c r="M493" s="79"/>
      <c r="R493" s="79"/>
      <c r="S493" s="79"/>
      <c r="V493" s="79"/>
      <c r="W493" s="79"/>
      <c r="Z493" s="130"/>
      <c r="AB493" s="106"/>
    </row>
    <row r="494">
      <c r="C494" s="79"/>
      <c r="D494" s="79"/>
      <c r="E494" s="79"/>
      <c r="M494" s="79"/>
      <c r="R494" s="79"/>
      <c r="S494" s="79"/>
      <c r="V494" s="79"/>
      <c r="W494" s="79"/>
      <c r="Z494" s="130"/>
      <c r="AB494" s="106"/>
    </row>
    <row r="495">
      <c r="C495" s="79"/>
      <c r="D495" s="79"/>
      <c r="E495" s="79"/>
      <c r="M495" s="79"/>
      <c r="R495" s="79"/>
      <c r="S495" s="79"/>
      <c r="V495" s="79"/>
      <c r="W495" s="79"/>
      <c r="Z495" s="130"/>
      <c r="AB495" s="106"/>
    </row>
    <row r="496">
      <c r="C496" s="79"/>
      <c r="D496" s="79"/>
      <c r="E496" s="79"/>
      <c r="M496" s="79"/>
      <c r="R496" s="79"/>
      <c r="S496" s="79"/>
      <c r="V496" s="79"/>
      <c r="W496" s="79"/>
      <c r="Z496" s="130"/>
      <c r="AB496" s="106"/>
    </row>
    <row r="497">
      <c r="C497" s="79"/>
      <c r="D497" s="79"/>
      <c r="E497" s="79"/>
      <c r="M497" s="79"/>
      <c r="R497" s="79"/>
      <c r="S497" s="79"/>
      <c r="V497" s="79"/>
      <c r="W497" s="79"/>
      <c r="Z497" s="130"/>
      <c r="AB497" s="106"/>
    </row>
    <row r="498">
      <c r="C498" s="79"/>
      <c r="D498" s="79"/>
      <c r="E498" s="79"/>
      <c r="M498" s="79"/>
      <c r="R498" s="79"/>
      <c r="S498" s="79"/>
      <c r="V498" s="79"/>
      <c r="W498" s="79"/>
      <c r="Z498" s="130"/>
      <c r="AB498" s="106"/>
    </row>
    <row r="499">
      <c r="C499" s="79"/>
      <c r="D499" s="79"/>
      <c r="E499" s="79"/>
      <c r="M499" s="79"/>
      <c r="R499" s="79"/>
      <c r="S499" s="79"/>
      <c r="V499" s="79"/>
      <c r="W499" s="79"/>
      <c r="Z499" s="130"/>
      <c r="AB499" s="106"/>
    </row>
    <row r="500">
      <c r="C500" s="79"/>
      <c r="D500" s="79"/>
      <c r="E500" s="79"/>
      <c r="M500" s="79"/>
      <c r="R500" s="79"/>
      <c r="S500" s="79"/>
      <c r="V500" s="79"/>
      <c r="W500" s="79"/>
      <c r="Z500" s="130"/>
      <c r="AB500" s="106"/>
    </row>
    <row r="501">
      <c r="C501" s="79"/>
      <c r="D501" s="79"/>
      <c r="E501" s="79"/>
      <c r="M501" s="79"/>
      <c r="R501" s="79"/>
      <c r="S501" s="79"/>
      <c r="V501" s="79"/>
      <c r="W501" s="79"/>
      <c r="Z501" s="130"/>
      <c r="AB501" s="106"/>
    </row>
    <row r="502">
      <c r="C502" s="79"/>
      <c r="D502" s="79"/>
      <c r="E502" s="79"/>
      <c r="M502" s="79"/>
      <c r="R502" s="79"/>
      <c r="S502" s="79"/>
      <c r="V502" s="79"/>
      <c r="W502" s="79"/>
      <c r="Z502" s="130"/>
      <c r="AB502" s="106"/>
    </row>
    <row r="503">
      <c r="C503" s="79"/>
      <c r="D503" s="79"/>
      <c r="E503" s="79"/>
      <c r="M503" s="79"/>
      <c r="R503" s="79"/>
      <c r="S503" s="79"/>
      <c r="V503" s="79"/>
      <c r="W503" s="79"/>
      <c r="Z503" s="130"/>
      <c r="AB503" s="106"/>
    </row>
    <row r="504">
      <c r="C504" s="79"/>
      <c r="D504" s="79"/>
      <c r="E504" s="79"/>
      <c r="M504" s="79"/>
      <c r="R504" s="79"/>
      <c r="S504" s="79"/>
      <c r="V504" s="79"/>
      <c r="W504" s="79"/>
      <c r="Z504" s="130"/>
      <c r="AB504" s="106"/>
    </row>
    <row r="505">
      <c r="C505" s="79"/>
      <c r="D505" s="79"/>
      <c r="E505" s="79"/>
      <c r="M505" s="79"/>
      <c r="R505" s="79"/>
      <c r="S505" s="79"/>
      <c r="V505" s="79"/>
      <c r="W505" s="79"/>
      <c r="Z505" s="130"/>
      <c r="AB505" s="106"/>
    </row>
    <row r="506">
      <c r="C506" s="79"/>
      <c r="D506" s="79"/>
      <c r="E506" s="79"/>
      <c r="M506" s="79"/>
      <c r="R506" s="79"/>
      <c r="S506" s="79"/>
      <c r="V506" s="79"/>
      <c r="W506" s="79"/>
      <c r="Z506" s="130"/>
      <c r="AB506" s="106"/>
    </row>
    <row r="507">
      <c r="C507" s="79"/>
      <c r="D507" s="79"/>
      <c r="E507" s="79"/>
      <c r="M507" s="79"/>
      <c r="R507" s="79"/>
      <c r="S507" s="79"/>
      <c r="V507" s="79"/>
      <c r="W507" s="79"/>
      <c r="Z507" s="130"/>
      <c r="AB507" s="106"/>
    </row>
    <row r="508">
      <c r="C508" s="79"/>
      <c r="D508" s="79"/>
      <c r="E508" s="79"/>
      <c r="M508" s="79"/>
      <c r="R508" s="79"/>
      <c r="S508" s="79"/>
      <c r="V508" s="79"/>
      <c r="W508" s="79"/>
      <c r="Z508" s="130"/>
      <c r="AB508" s="106"/>
    </row>
    <row r="509">
      <c r="C509" s="79"/>
      <c r="D509" s="79"/>
      <c r="E509" s="79"/>
      <c r="M509" s="79"/>
      <c r="R509" s="79"/>
      <c r="S509" s="79"/>
      <c r="V509" s="79"/>
      <c r="W509" s="79"/>
      <c r="Z509" s="130"/>
      <c r="AB509" s="106"/>
    </row>
    <row r="510">
      <c r="C510" s="79"/>
      <c r="D510" s="79"/>
      <c r="E510" s="79"/>
      <c r="M510" s="79"/>
      <c r="R510" s="79"/>
      <c r="S510" s="79"/>
      <c r="V510" s="79"/>
      <c r="W510" s="79"/>
      <c r="Z510" s="130"/>
      <c r="AB510" s="106"/>
    </row>
    <row r="511">
      <c r="C511" s="79"/>
      <c r="D511" s="79"/>
      <c r="E511" s="79"/>
      <c r="M511" s="79"/>
      <c r="R511" s="79"/>
      <c r="S511" s="79"/>
      <c r="V511" s="79"/>
      <c r="W511" s="79"/>
      <c r="Z511" s="130"/>
      <c r="AB511" s="106"/>
    </row>
    <row r="512">
      <c r="C512" s="79"/>
      <c r="D512" s="79"/>
      <c r="E512" s="79"/>
      <c r="M512" s="79"/>
      <c r="R512" s="79"/>
      <c r="S512" s="79"/>
      <c r="V512" s="79"/>
      <c r="W512" s="79"/>
      <c r="Z512" s="130"/>
      <c r="AB512" s="106"/>
    </row>
    <row r="513">
      <c r="C513" s="79"/>
      <c r="D513" s="79"/>
      <c r="E513" s="79"/>
      <c r="M513" s="79"/>
      <c r="R513" s="79"/>
      <c r="S513" s="79"/>
      <c r="V513" s="79"/>
      <c r="W513" s="79"/>
      <c r="Z513" s="130"/>
      <c r="AB513" s="106"/>
    </row>
    <row r="514">
      <c r="C514" s="79"/>
      <c r="D514" s="79"/>
      <c r="E514" s="79"/>
      <c r="M514" s="79"/>
      <c r="R514" s="79"/>
      <c r="S514" s="79"/>
      <c r="V514" s="79"/>
      <c r="W514" s="79"/>
      <c r="Z514" s="130"/>
      <c r="AB514" s="106"/>
    </row>
    <row r="515">
      <c r="C515" s="79"/>
      <c r="D515" s="79"/>
      <c r="E515" s="79"/>
      <c r="M515" s="79"/>
      <c r="R515" s="79"/>
      <c r="S515" s="79"/>
      <c r="V515" s="79"/>
      <c r="W515" s="79"/>
      <c r="Z515" s="130"/>
      <c r="AB515" s="106"/>
    </row>
    <row r="516">
      <c r="C516" s="79"/>
      <c r="D516" s="79"/>
      <c r="E516" s="79"/>
      <c r="M516" s="79"/>
      <c r="R516" s="79"/>
      <c r="S516" s="79"/>
      <c r="V516" s="79"/>
      <c r="W516" s="79"/>
      <c r="Z516" s="130"/>
      <c r="AB516" s="106"/>
    </row>
    <row r="517">
      <c r="C517" s="79"/>
      <c r="D517" s="79"/>
      <c r="E517" s="79"/>
      <c r="M517" s="79"/>
      <c r="R517" s="79"/>
      <c r="S517" s="79"/>
      <c r="V517" s="79"/>
      <c r="W517" s="79"/>
      <c r="Z517" s="130"/>
      <c r="AB517" s="106"/>
    </row>
    <row r="518">
      <c r="C518" s="79"/>
      <c r="D518" s="79"/>
      <c r="E518" s="79"/>
      <c r="M518" s="79"/>
      <c r="R518" s="79"/>
      <c r="S518" s="79"/>
      <c r="V518" s="79"/>
      <c r="W518" s="79"/>
      <c r="Z518" s="130"/>
      <c r="AB518" s="106"/>
    </row>
    <row r="519">
      <c r="C519" s="79"/>
      <c r="D519" s="79"/>
      <c r="E519" s="79"/>
      <c r="M519" s="79"/>
      <c r="R519" s="79"/>
      <c r="S519" s="79"/>
      <c r="V519" s="79"/>
      <c r="W519" s="79"/>
      <c r="Z519" s="130"/>
      <c r="AB519" s="106"/>
    </row>
    <row r="520">
      <c r="C520" s="79"/>
      <c r="D520" s="79"/>
      <c r="E520" s="79"/>
      <c r="M520" s="79"/>
      <c r="R520" s="79"/>
      <c r="S520" s="79"/>
      <c r="V520" s="79"/>
      <c r="W520" s="79"/>
      <c r="Z520" s="130"/>
      <c r="AB520" s="106"/>
    </row>
    <row r="521">
      <c r="C521" s="79"/>
      <c r="D521" s="79"/>
      <c r="E521" s="79"/>
      <c r="M521" s="79"/>
      <c r="R521" s="79"/>
      <c r="S521" s="79"/>
      <c r="V521" s="79"/>
      <c r="W521" s="79"/>
      <c r="Z521" s="130"/>
      <c r="AB521" s="106"/>
    </row>
    <row r="522">
      <c r="C522" s="79"/>
      <c r="D522" s="79"/>
      <c r="E522" s="79"/>
      <c r="M522" s="79"/>
      <c r="R522" s="79"/>
      <c r="S522" s="79"/>
      <c r="V522" s="79"/>
      <c r="W522" s="79"/>
      <c r="Z522" s="130"/>
      <c r="AB522" s="106"/>
    </row>
    <row r="523">
      <c r="C523" s="79"/>
      <c r="D523" s="79"/>
      <c r="E523" s="79"/>
      <c r="M523" s="79"/>
      <c r="R523" s="79"/>
      <c r="S523" s="79"/>
      <c r="V523" s="79"/>
      <c r="W523" s="79"/>
      <c r="Z523" s="130"/>
      <c r="AB523" s="106"/>
    </row>
    <row r="524">
      <c r="C524" s="79"/>
      <c r="D524" s="79"/>
      <c r="E524" s="79"/>
      <c r="M524" s="79"/>
      <c r="R524" s="79"/>
      <c r="S524" s="79"/>
      <c r="V524" s="79"/>
      <c r="W524" s="79"/>
      <c r="Z524" s="130"/>
      <c r="AB524" s="106"/>
    </row>
    <row r="525">
      <c r="C525" s="79"/>
      <c r="D525" s="79"/>
      <c r="E525" s="79"/>
      <c r="M525" s="79"/>
      <c r="R525" s="79"/>
      <c r="S525" s="79"/>
      <c r="V525" s="79"/>
      <c r="W525" s="79"/>
      <c r="Z525" s="130"/>
      <c r="AB525" s="106"/>
    </row>
    <row r="526">
      <c r="C526" s="79"/>
      <c r="D526" s="79"/>
      <c r="E526" s="79"/>
      <c r="M526" s="79"/>
      <c r="R526" s="79"/>
      <c r="S526" s="79"/>
      <c r="V526" s="79"/>
      <c r="W526" s="79"/>
      <c r="Z526" s="130"/>
      <c r="AB526" s="106"/>
    </row>
    <row r="527">
      <c r="C527" s="79"/>
      <c r="D527" s="79"/>
      <c r="E527" s="79"/>
      <c r="M527" s="79"/>
      <c r="R527" s="79"/>
      <c r="S527" s="79"/>
      <c r="V527" s="79"/>
      <c r="W527" s="79"/>
      <c r="Z527" s="130"/>
      <c r="AB527" s="106"/>
    </row>
    <row r="528">
      <c r="C528" s="79"/>
      <c r="D528" s="79"/>
      <c r="E528" s="79"/>
      <c r="M528" s="79"/>
      <c r="R528" s="79"/>
      <c r="S528" s="79"/>
      <c r="V528" s="79"/>
      <c r="W528" s="79"/>
      <c r="Z528" s="130"/>
      <c r="AB528" s="106"/>
    </row>
    <row r="529">
      <c r="C529" s="79"/>
      <c r="D529" s="79"/>
      <c r="E529" s="79"/>
      <c r="M529" s="79"/>
      <c r="R529" s="79"/>
      <c r="S529" s="79"/>
      <c r="V529" s="79"/>
      <c r="W529" s="79"/>
      <c r="Z529" s="130"/>
      <c r="AB529" s="106"/>
    </row>
    <row r="530">
      <c r="C530" s="79"/>
      <c r="D530" s="79"/>
      <c r="E530" s="79"/>
      <c r="M530" s="79"/>
      <c r="R530" s="79"/>
      <c r="S530" s="79"/>
      <c r="V530" s="79"/>
      <c r="W530" s="79"/>
      <c r="Z530" s="130"/>
      <c r="AB530" s="106"/>
    </row>
    <row r="531">
      <c r="C531" s="79"/>
      <c r="D531" s="79"/>
      <c r="E531" s="79"/>
      <c r="M531" s="79"/>
      <c r="R531" s="79"/>
      <c r="S531" s="79"/>
      <c r="V531" s="79"/>
      <c r="W531" s="79"/>
      <c r="Z531" s="130"/>
      <c r="AB531" s="106"/>
    </row>
    <row r="532">
      <c r="C532" s="79"/>
      <c r="D532" s="79"/>
      <c r="E532" s="79"/>
      <c r="M532" s="79"/>
      <c r="R532" s="79"/>
      <c r="S532" s="79"/>
      <c r="V532" s="79"/>
      <c r="W532" s="79"/>
      <c r="Z532" s="130"/>
      <c r="AB532" s="106"/>
    </row>
    <row r="533">
      <c r="C533" s="79"/>
      <c r="D533" s="79"/>
      <c r="E533" s="79"/>
      <c r="M533" s="79"/>
      <c r="R533" s="79"/>
      <c r="S533" s="79"/>
      <c r="V533" s="79"/>
      <c r="W533" s="79"/>
      <c r="Z533" s="130"/>
      <c r="AB533" s="106"/>
    </row>
    <row r="534">
      <c r="C534" s="79"/>
      <c r="D534" s="79"/>
      <c r="E534" s="79"/>
      <c r="M534" s="79"/>
      <c r="R534" s="79"/>
      <c r="S534" s="79"/>
      <c r="V534" s="79"/>
      <c r="W534" s="79"/>
      <c r="Z534" s="130"/>
      <c r="AB534" s="106"/>
    </row>
    <row r="535">
      <c r="C535" s="79"/>
      <c r="D535" s="79"/>
      <c r="E535" s="79"/>
      <c r="M535" s="79"/>
      <c r="R535" s="79"/>
      <c r="S535" s="79"/>
      <c r="V535" s="79"/>
      <c r="W535" s="79"/>
      <c r="Z535" s="130"/>
      <c r="AB535" s="106"/>
    </row>
    <row r="536">
      <c r="C536" s="79"/>
      <c r="D536" s="79"/>
      <c r="E536" s="79"/>
      <c r="M536" s="79"/>
      <c r="R536" s="79"/>
      <c r="S536" s="79"/>
      <c r="V536" s="79"/>
      <c r="W536" s="79"/>
      <c r="Z536" s="130"/>
      <c r="AB536" s="106"/>
    </row>
    <row r="537">
      <c r="C537" s="79"/>
      <c r="D537" s="79"/>
      <c r="E537" s="79"/>
      <c r="M537" s="79"/>
      <c r="R537" s="79"/>
      <c r="S537" s="79"/>
      <c r="V537" s="79"/>
      <c r="W537" s="79"/>
      <c r="Z537" s="130"/>
      <c r="AB537" s="106"/>
    </row>
    <row r="538">
      <c r="C538" s="79"/>
      <c r="D538" s="79"/>
      <c r="E538" s="79"/>
      <c r="M538" s="79"/>
      <c r="R538" s="79"/>
      <c r="S538" s="79"/>
      <c r="V538" s="79"/>
      <c r="W538" s="79"/>
      <c r="Z538" s="130"/>
      <c r="AB538" s="106"/>
    </row>
    <row r="539">
      <c r="C539" s="79"/>
      <c r="D539" s="79"/>
      <c r="E539" s="79"/>
      <c r="M539" s="79"/>
      <c r="R539" s="79"/>
      <c r="S539" s="79"/>
      <c r="V539" s="79"/>
      <c r="W539" s="79"/>
      <c r="Z539" s="130"/>
      <c r="AB539" s="106"/>
    </row>
    <row r="540">
      <c r="C540" s="79"/>
      <c r="D540" s="79"/>
      <c r="E540" s="79"/>
      <c r="M540" s="79"/>
      <c r="R540" s="79"/>
      <c r="S540" s="79"/>
      <c r="V540" s="79"/>
      <c r="W540" s="79"/>
      <c r="Z540" s="130"/>
      <c r="AB540" s="106"/>
    </row>
    <row r="541">
      <c r="C541" s="79"/>
      <c r="D541" s="79"/>
      <c r="E541" s="79"/>
      <c r="M541" s="79"/>
      <c r="R541" s="79"/>
      <c r="S541" s="79"/>
      <c r="V541" s="79"/>
      <c r="W541" s="79"/>
      <c r="Z541" s="130"/>
      <c r="AB541" s="106"/>
    </row>
    <row r="542">
      <c r="C542" s="79"/>
      <c r="D542" s="79"/>
      <c r="E542" s="79"/>
      <c r="M542" s="79"/>
      <c r="R542" s="79"/>
      <c r="S542" s="79"/>
      <c r="V542" s="79"/>
      <c r="W542" s="79"/>
      <c r="Z542" s="130"/>
      <c r="AB542" s="106"/>
    </row>
    <row r="543">
      <c r="C543" s="79"/>
      <c r="D543" s="79"/>
      <c r="E543" s="79"/>
      <c r="M543" s="79"/>
      <c r="R543" s="79"/>
      <c r="S543" s="79"/>
      <c r="V543" s="79"/>
      <c r="W543" s="79"/>
      <c r="Z543" s="130"/>
      <c r="AB543" s="106"/>
    </row>
    <row r="544">
      <c r="C544" s="79"/>
      <c r="D544" s="79"/>
      <c r="E544" s="79"/>
      <c r="M544" s="79"/>
      <c r="R544" s="79"/>
      <c r="S544" s="79"/>
      <c r="V544" s="79"/>
      <c r="W544" s="79"/>
      <c r="Z544" s="130"/>
      <c r="AB544" s="106"/>
    </row>
    <row r="545">
      <c r="C545" s="79"/>
      <c r="D545" s="79"/>
      <c r="E545" s="79"/>
      <c r="M545" s="79"/>
      <c r="R545" s="79"/>
      <c r="S545" s="79"/>
      <c r="V545" s="79"/>
      <c r="W545" s="79"/>
      <c r="Z545" s="130"/>
      <c r="AB545" s="106"/>
    </row>
    <row r="546">
      <c r="C546" s="79"/>
      <c r="D546" s="79"/>
      <c r="E546" s="79"/>
      <c r="M546" s="79"/>
      <c r="R546" s="79"/>
      <c r="S546" s="79"/>
      <c r="V546" s="79"/>
      <c r="W546" s="79"/>
      <c r="Z546" s="130"/>
      <c r="AB546" s="106"/>
    </row>
    <row r="547">
      <c r="C547" s="79"/>
      <c r="D547" s="79"/>
      <c r="E547" s="79"/>
      <c r="M547" s="79"/>
      <c r="R547" s="79"/>
      <c r="S547" s="79"/>
      <c r="V547" s="79"/>
      <c r="W547" s="79"/>
      <c r="Z547" s="130"/>
      <c r="AB547" s="106"/>
    </row>
    <row r="548">
      <c r="C548" s="79"/>
      <c r="D548" s="79"/>
      <c r="E548" s="79"/>
      <c r="M548" s="79"/>
      <c r="R548" s="79"/>
      <c r="S548" s="79"/>
      <c r="V548" s="79"/>
      <c r="W548" s="79"/>
      <c r="Z548" s="130"/>
      <c r="AB548" s="106"/>
    </row>
    <row r="549">
      <c r="C549" s="79"/>
      <c r="D549" s="79"/>
      <c r="E549" s="79"/>
      <c r="M549" s="79"/>
      <c r="R549" s="79"/>
      <c r="S549" s="79"/>
      <c r="V549" s="79"/>
      <c r="W549" s="79"/>
      <c r="Z549" s="130"/>
      <c r="AB549" s="106"/>
    </row>
    <row r="550">
      <c r="C550" s="79"/>
      <c r="D550" s="79"/>
      <c r="E550" s="79"/>
      <c r="M550" s="79"/>
      <c r="R550" s="79"/>
      <c r="S550" s="79"/>
      <c r="V550" s="79"/>
      <c r="W550" s="79"/>
      <c r="Z550" s="130"/>
      <c r="AB550" s="106"/>
    </row>
    <row r="551">
      <c r="C551" s="79"/>
      <c r="D551" s="79"/>
      <c r="E551" s="79"/>
      <c r="M551" s="79"/>
      <c r="R551" s="79"/>
      <c r="S551" s="79"/>
      <c r="V551" s="79"/>
      <c r="W551" s="79"/>
      <c r="Z551" s="130"/>
      <c r="AB551" s="106"/>
    </row>
    <row r="552">
      <c r="C552" s="79"/>
      <c r="D552" s="79"/>
      <c r="E552" s="79"/>
      <c r="M552" s="79"/>
      <c r="R552" s="79"/>
      <c r="S552" s="79"/>
      <c r="V552" s="79"/>
      <c r="W552" s="79"/>
      <c r="Z552" s="130"/>
      <c r="AB552" s="106"/>
    </row>
    <row r="553">
      <c r="C553" s="79"/>
      <c r="D553" s="79"/>
      <c r="E553" s="79"/>
      <c r="M553" s="79"/>
      <c r="R553" s="79"/>
      <c r="S553" s="79"/>
      <c r="V553" s="79"/>
      <c r="W553" s="79"/>
      <c r="Z553" s="130"/>
      <c r="AB553" s="106"/>
    </row>
    <row r="554">
      <c r="C554" s="79"/>
      <c r="D554" s="79"/>
      <c r="E554" s="79"/>
      <c r="M554" s="79"/>
      <c r="R554" s="79"/>
      <c r="S554" s="79"/>
      <c r="V554" s="79"/>
      <c r="W554" s="79"/>
      <c r="Z554" s="130"/>
      <c r="AB554" s="106"/>
    </row>
    <row r="555">
      <c r="C555" s="79"/>
      <c r="D555" s="79"/>
      <c r="E555" s="79"/>
      <c r="M555" s="79"/>
      <c r="R555" s="79"/>
      <c r="S555" s="79"/>
      <c r="V555" s="79"/>
      <c r="W555" s="79"/>
      <c r="Z555" s="130"/>
      <c r="AB555" s="106"/>
    </row>
    <row r="556">
      <c r="C556" s="79"/>
      <c r="D556" s="79"/>
      <c r="E556" s="79"/>
      <c r="M556" s="79"/>
      <c r="R556" s="79"/>
      <c r="S556" s="79"/>
      <c r="V556" s="79"/>
      <c r="W556" s="79"/>
      <c r="Z556" s="130"/>
      <c r="AB556" s="106"/>
    </row>
    <row r="557">
      <c r="C557" s="79"/>
      <c r="D557" s="79"/>
      <c r="E557" s="79"/>
      <c r="M557" s="79"/>
      <c r="R557" s="79"/>
      <c r="S557" s="79"/>
      <c r="V557" s="79"/>
      <c r="W557" s="79"/>
      <c r="Z557" s="130"/>
      <c r="AB557" s="106"/>
    </row>
    <row r="558">
      <c r="C558" s="79"/>
      <c r="D558" s="79"/>
      <c r="E558" s="79"/>
      <c r="M558" s="79"/>
      <c r="R558" s="79"/>
      <c r="S558" s="79"/>
      <c r="V558" s="79"/>
      <c r="W558" s="79"/>
      <c r="Z558" s="130"/>
      <c r="AB558" s="106"/>
    </row>
    <row r="559">
      <c r="C559" s="79"/>
      <c r="D559" s="79"/>
      <c r="E559" s="79"/>
      <c r="M559" s="79"/>
      <c r="R559" s="79"/>
      <c r="S559" s="79"/>
      <c r="V559" s="79"/>
      <c r="W559" s="79"/>
      <c r="Z559" s="130"/>
      <c r="AB559" s="106"/>
    </row>
    <row r="560">
      <c r="C560" s="79"/>
      <c r="D560" s="79"/>
      <c r="E560" s="79"/>
      <c r="M560" s="79"/>
      <c r="R560" s="79"/>
      <c r="S560" s="79"/>
      <c r="V560" s="79"/>
      <c r="W560" s="79"/>
      <c r="Z560" s="130"/>
      <c r="AB560" s="106"/>
    </row>
    <row r="561">
      <c r="C561" s="79"/>
      <c r="D561" s="79"/>
      <c r="E561" s="79"/>
      <c r="M561" s="79"/>
      <c r="R561" s="79"/>
      <c r="S561" s="79"/>
      <c r="V561" s="79"/>
      <c r="W561" s="79"/>
      <c r="Z561" s="130"/>
      <c r="AB561" s="106"/>
    </row>
    <row r="562">
      <c r="C562" s="79"/>
      <c r="D562" s="79"/>
      <c r="E562" s="79"/>
      <c r="M562" s="79"/>
      <c r="R562" s="79"/>
      <c r="S562" s="79"/>
      <c r="V562" s="79"/>
      <c r="W562" s="79"/>
      <c r="Z562" s="130"/>
      <c r="AB562" s="106"/>
    </row>
    <row r="563">
      <c r="C563" s="79"/>
      <c r="D563" s="79"/>
      <c r="E563" s="79"/>
      <c r="M563" s="79"/>
      <c r="R563" s="79"/>
      <c r="S563" s="79"/>
      <c r="V563" s="79"/>
      <c r="W563" s="79"/>
      <c r="Z563" s="130"/>
      <c r="AB563" s="106"/>
    </row>
    <row r="564">
      <c r="C564" s="79"/>
      <c r="D564" s="79"/>
      <c r="E564" s="79"/>
      <c r="M564" s="79"/>
      <c r="R564" s="79"/>
      <c r="S564" s="79"/>
      <c r="V564" s="79"/>
      <c r="W564" s="79"/>
      <c r="Z564" s="130"/>
      <c r="AB564" s="106"/>
    </row>
    <row r="565">
      <c r="C565" s="79"/>
      <c r="D565" s="79"/>
      <c r="E565" s="79"/>
      <c r="M565" s="79"/>
      <c r="R565" s="79"/>
      <c r="S565" s="79"/>
      <c r="V565" s="79"/>
      <c r="W565" s="79"/>
      <c r="Z565" s="130"/>
      <c r="AB565" s="106"/>
    </row>
    <row r="566">
      <c r="C566" s="79"/>
      <c r="D566" s="79"/>
      <c r="E566" s="79"/>
      <c r="M566" s="79"/>
      <c r="R566" s="79"/>
      <c r="S566" s="79"/>
      <c r="V566" s="79"/>
      <c r="W566" s="79"/>
      <c r="Z566" s="130"/>
      <c r="AB566" s="106"/>
    </row>
    <row r="567">
      <c r="C567" s="79"/>
      <c r="D567" s="79"/>
      <c r="E567" s="79"/>
      <c r="M567" s="79"/>
      <c r="R567" s="79"/>
      <c r="S567" s="79"/>
      <c r="V567" s="79"/>
      <c r="W567" s="79"/>
      <c r="Z567" s="130"/>
      <c r="AB567" s="106"/>
    </row>
    <row r="568">
      <c r="C568" s="79"/>
      <c r="D568" s="79"/>
      <c r="E568" s="79"/>
      <c r="M568" s="79"/>
      <c r="R568" s="79"/>
      <c r="S568" s="79"/>
      <c r="V568" s="79"/>
      <c r="W568" s="79"/>
      <c r="Z568" s="130"/>
      <c r="AB568" s="106"/>
    </row>
    <row r="569">
      <c r="C569" s="79"/>
      <c r="D569" s="79"/>
      <c r="E569" s="79"/>
      <c r="M569" s="79"/>
      <c r="R569" s="79"/>
      <c r="S569" s="79"/>
      <c r="V569" s="79"/>
      <c r="W569" s="79"/>
      <c r="Z569" s="130"/>
      <c r="AB569" s="106"/>
    </row>
    <row r="570">
      <c r="C570" s="79"/>
      <c r="D570" s="79"/>
      <c r="E570" s="79"/>
      <c r="M570" s="79"/>
      <c r="R570" s="79"/>
      <c r="S570" s="79"/>
      <c r="V570" s="79"/>
      <c r="W570" s="79"/>
      <c r="Z570" s="130"/>
      <c r="AB570" s="106"/>
    </row>
    <row r="571">
      <c r="C571" s="79"/>
      <c r="D571" s="79"/>
      <c r="E571" s="79"/>
      <c r="M571" s="79"/>
      <c r="R571" s="79"/>
      <c r="S571" s="79"/>
      <c r="V571" s="79"/>
      <c r="W571" s="79"/>
      <c r="Z571" s="130"/>
      <c r="AB571" s="106"/>
    </row>
    <row r="572">
      <c r="C572" s="79"/>
      <c r="D572" s="79"/>
      <c r="E572" s="79"/>
      <c r="M572" s="79"/>
      <c r="R572" s="79"/>
      <c r="S572" s="79"/>
      <c r="V572" s="79"/>
      <c r="W572" s="79"/>
      <c r="Z572" s="130"/>
      <c r="AB572" s="106"/>
    </row>
    <row r="573">
      <c r="C573" s="79"/>
      <c r="D573" s="79"/>
      <c r="E573" s="79"/>
      <c r="M573" s="79"/>
      <c r="R573" s="79"/>
      <c r="S573" s="79"/>
      <c r="V573" s="79"/>
      <c r="W573" s="79"/>
      <c r="Z573" s="130"/>
      <c r="AB573" s="106"/>
    </row>
    <row r="574">
      <c r="C574" s="79"/>
      <c r="D574" s="79"/>
      <c r="E574" s="79"/>
      <c r="M574" s="79"/>
      <c r="R574" s="79"/>
      <c r="S574" s="79"/>
      <c r="V574" s="79"/>
      <c r="W574" s="79"/>
      <c r="Z574" s="130"/>
      <c r="AB574" s="106"/>
    </row>
    <row r="575">
      <c r="C575" s="79"/>
      <c r="D575" s="79"/>
      <c r="E575" s="79"/>
      <c r="M575" s="79"/>
      <c r="R575" s="79"/>
      <c r="S575" s="79"/>
      <c r="V575" s="79"/>
      <c r="W575" s="79"/>
      <c r="Z575" s="130"/>
      <c r="AB575" s="106"/>
    </row>
    <row r="576">
      <c r="C576" s="79"/>
      <c r="D576" s="79"/>
      <c r="E576" s="79"/>
      <c r="M576" s="79"/>
      <c r="R576" s="79"/>
      <c r="S576" s="79"/>
      <c r="V576" s="79"/>
      <c r="W576" s="79"/>
      <c r="Z576" s="130"/>
      <c r="AB576" s="106"/>
    </row>
    <row r="577">
      <c r="C577" s="79"/>
      <c r="D577" s="79"/>
      <c r="E577" s="79"/>
      <c r="M577" s="79"/>
      <c r="R577" s="79"/>
      <c r="S577" s="79"/>
      <c r="V577" s="79"/>
      <c r="W577" s="79"/>
      <c r="Z577" s="130"/>
      <c r="AB577" s="106"/>
    </row>
    <row r="578">
      <c r="C578" s="79"/>
      <c r="D578" s="79"/>
      <c r="E578" s="79"/>
      <c r="M578" s="79"/>
      <c r="R578" s="79"/>
      <c r="S578" s="79"/>
      <c r="V578" s="79"/>
      <c r="W578" s="79"/>
      <c r="Z578" s="130"/>
      <c r="AB578" s="106"/>
    </row>
    <row r="579">
      <c r="C579" s="79"/>
      <c r="D579" s="79"/>
      <c r="E579" s="79"/>
      <c r="M579" s="79"/>
      <c r="R579" s="79"/>
      <c r="S579" s="79"/>
      <c r="V579" s="79"/>
      <c r="W579" s="79"/>
      <c r="Z579" s="130"/>
      <c r="AB579" s="106"/>
    </row>
    <row r="580">
      <c r="C580" s="79"/>
      <c r="D580" s="79"/>
      <c r="E580" s="79"/>
      <c r="M580" s="79"/>
      <c r="R580" s="79"/>
      <c r="S580" s="79"/>
      <c r="V580" s="79"/>
      <c r="W580" s="79"/>
      <c r="Z580" s="130"/>
      <c r="AB580" s="106"/>
    </row>
    <row r="581">
      <c r="C581" s="79"/>
      <c r="D581" s="79"/>
      <c r="E581" s="79"/>
      <c r="M581" s="79"/>
      <c r="R581" s="79"/>
      <c r="S581" s="79"/>
      <c r="V581" s="79"/>
      <c r="W581" s="79"/>
      <c r="Z581" s="130"/>
      <c r="AB581" s="106"/>
    </row>
    <row r="582">
      <c r="C582" s="79"/>
      <c r="D582" s="79"/>
      <c r="E582" s="79"/>
      <c r="M582" s="79"/>
      <c r="R582" s="79"/>
      <c r="S582" s="79"/>
      <c r="V582" s="79"/>
      <c r="W582" s="79"/>
      <c r="Z582" s="130"/>
      <c r="AB582" s="106"/>
    </row>
    <row r="583">
      <c r="C583" s="79"/>
      <c r="D583" s="79"/>
      <c r="E583" s="79"/>
      <c r="M583" s="79"/>
      <c r="R583" s="79"/>
      <c r="S583" s="79"/>
      <c r="V583" s="79"/>
      <c r="W583" s="79"/>
      <c r="Z583" s="130"/>
      <c r="AB583" s="106"/>
    </row>
    <row r="584">
      <c r="C584" s="79"/>
      <c r="D584" s="79"/>
      <c r="E584" s="79"/>
      <c r="M584" s="79"/>
      <c r="R584" s="79"/>
      <c r="S584" s="79"/>
      <c r="V584" s="79"/>
      <c r="W584" s="79"/>
      <c r="Z584" s="130"/>
      <c r="AB584" s="106"/>
    </row>
    <row r="585">
      <c r="C585" s="79"/>
      <c r="D585" s="79"/>
      <c r="E585" s="79"/>
      <c r="M585" s="79"/>
      <c r="R585" s="79"/>
      <c r="S585" s="79"/>
      <c r="V585" s="79"/>
      <c r="W585" s="79"/>
      <c r="Z585" s="130"/>
      <c r="AB585" s="106"/>
    </row>
    <row r="586">
      <c r="C586" s="79"/>
      <c r="D586" s="79"/>
      <c r="E586" s="79"/>
      <c r="M586" s="79"/>
      <c r="R586" s="79"/>
      <c r="S586" s="79"/>
      <c r="V586" s="79"/>
      <c r="W586" s="79"/>
      <c r="Z586" s="130"/>
      <c r="AB586" s="106"/>
    </row>
    <row r="587">
      <c r="C587" s="79"/>
      <c r="D587" s="79"/>
      <c r="E587" s="79"/>
      <c r="M587" s="79"/>
      <c r="R587" s="79"/>
      <c r="S587" s="79"/>
      <c r="V587" s="79"/>
      <c r="W587" s="79"/>
      <c r="Z587" s="130"/>
      <c r="AB587" s="106"/>
    </row>
    <row r="588">
      <c r="C588" s="79"/>
      <c r="D588" s="79"/>
      <c r="E588" s="79"/>
      <c r="M588" s="79"/>
      <c r="R588" s="79"/>
      <c r="S588" s="79"/>
      <c r="V588" s="79"/>
      <c r="W588" s="79"/>
      <c r="Z588" s="130"/>
      <c r="AB588" s="106"/>
    </row>
    <row r="589">
      <c r="C589" s="79"/>
      <c r="D589" s="79"/>
      <c r="E589" s="79"/>
      <c r="M589" s="79"/>
      <c r="R589" s="79"/>
      <c r="S589" s="79"/>
      <c r="V589" s="79"/>
      <c r="W589" s="79"/>
      <c r="Z589" s="130"/>
      <c r="AB589" s="106"/>
    </row>
    <row r="590">
      <c r="C590" s="79"/>
      <c r="D590" s="79"/>
      <c r="E590" s="79"/>
      <c r="M590" s="79"/>
      <c r="R590" s="79"/>
      <c r="S590" s="79"/>
      <c r="V590" s="79"/>
      <c r="W590" s="79"/>
      <c r="Z590" s="130"/>
      <c r="AB590" s="106"/>
    </row>
    <row r="591">
      <c r="C591" s="79"/>
      <c r="D591" s="79"/>
      <c r="E591" s="79"/>
      <c r="M591" s="79"/>
      <c r="R591" s="79"/>
      <c r="S591" s="79"/>
      <c r="V591" s="79"/>
      <c r="W591" s="79"/>
      <c r="Z591" s="130"/>
      <c r="AB591" s="106"/>
    </row>
    <row r="592">
      <c r="C592" s="79"/>
      <c r="D592" s="79"/>
      <c r="E592" s="79"/>
      <c r="M592" s="79"/>
      <c r="R592" s="79"/>
      <c r="S592" s="79"/>
      <c r="V592" s="79"/>
      <c r="W592" s="79"/>
      <c r="Z592" s="130"/>
      <c r="AB592" s="106"/>
    </row>
    <row r="593">
      <c r="C593" s="79"/>
      <c r="D593" s="79"/>
      <c r="E593" s="79"/>
      <c r="M593" s="79"/>
      <c r="R593" s="79"/>
      <c r="S593" s="79"/>
      <c r="V593" s="79"/>
      <c r="W593" s="79"/>
      <c r="Z593" s="130"/>
      <c r="AB593" s="106"/>
    </row>
    <row r="594">
      <c r="C594" s="79"/>
      <c r="D594" s="79"/>
      <c r="E594" s="79"/>
      <c r="M594" s="79"/>
      <c r="R594" s="79"/>
      <c r="S594" s="79"/>
      <c r="V594" s="79"/>
      <c r="W594" s="79"/>
      <c r="Z594" s="130"/>
      <c r="AB594" s="106"/>
    </row>
    <row r="595">
      <c r="C595" s="79"/>
      <c r="D595" s="79"/>
      <c r="E595" s="79"/>
      <c r="M595" s="79"/>
      <c r="R595" s="79"/>
      <c r="S595" s="79"/>
      <c r="V595" s="79"/>
      <c r="W595" s="79"/>
      <c r="Z595" s="130"/>
      <c r="AB595" s="106"/>
    </row>
    <row r="596">
      <c r="C596" s="79"/>
      <c r="D596" s="79"/>
      <c r="E596" s="79"/>
      <c r="M596" s="79"/>
      <c r="R596" s="79"/>
      <c r="S596" s="79"/>
      <c r="V596" s="79"/>
      <c r="W596" s="79"/>
      <c r="Z596" s="130"/>
      <c r="AB596" s="106"/>
    </row>
    <row r="597">
      <c r="C597" s="79"/>
      <c r="D597" s="79"/>
      <c r="E597" s="79"/>
      <c r="M597" s="79"/>
      <c r="R597" s="79"/>
      <c r="S597" s="79"/>
      <c r="V597" s="79"/>
      <c r="W597" s="79"/>
      <c r="Z597" s="130"/>
      <c r="AB597" s="106"/>
    </row>
    <row r="598">
      <c r="C598" s="79"/>
      <c r="D598" s="79"/>
      <c r="E598" s="79"/>
      <c r="M598" s="79"/>
      <c r="R598" s="79"/>
      <c r="S598" s="79"/>
      <c r="V598" s="79"/>
      <c r="W598" s="79"/>
      <c r="Z598" s="130"/>
      <c r="AB598" s="106"/>
    </row>
    <row r="599">
      <c r="C599" s="79"/>
      <c r="D599" s="79"/>
      <c r="E599" s="79"/>
      <c r="M599" s="79"/>
      <c r="R599" s="79"/>
      <c r="S599" s="79"/>
      <c r="V599" s="79"/>
      <c r="W599" s="79"/>
      <c r="Z599" s="130"/>
      <c r="AB599" s="106"/>
    </row>
    <row r="600">
      <c r="C600" s="79"/>
      <c r="D600" s="79"/>
      <c r="E600" s="79"/>
      <c r="M600" s="79"/>
      <c r="R600" s="79"/>
      <c r="S600" s="79"/>
      <c r="V600" s="79"/>
      <c r="W600" s="79"/>
      <c r="Z600" s="130"/>
      <c r="AB600" s="106"/>
    </row>
    <row r="601">
      <c r="C601" s="79"/>
      <c r="D601" s="79"/>
      <c r="E601" s="79"/>
      <c r="M601" s="79"/>
      <c r="R601" s="79"/>
      <c r="S601" s="79"/>
      <c r="V601" s="79"/>
      <c r="W601" s="79"/>
      <c r="Z601" s="130"/>
      <c r="AB601" s="106"/>
    </row>
    <row r="602">
      <c r="C602" s="79"/>
      <c r="D602" s="79"/>
      <c r="E602" s="79"/>
      <c r="M602" s="79"/>
      <c r="R602" s="79"/>
      <c r="S602" s="79"/>
      <c r="V602" s="79"/>
      <c r="W602" s="79"/>
      <c r="Z602" s="130"/>
      <c r="AB602" s="106"/>
    </row>
    <row r="603">
      <c r="C603" s="79"/>
      <c r="D603" s="79"/>
      <c r="E603" s="79"/>
      <c r="M603" s="79"/>
      <c r="R603" s="79"/>
      <c r="S603" s="79"/>
      <c r="V603" s="79"/>
      <c r="W603" s="79"/>
      <c r="Z603" s="130"/>
      <c r="AB603" s="106"/>
    </row>
    <row r="604">
      <c r="C604" s="79"/>
      <c r="D604" s="79"/>
      <c r="E604" s="79"/>
      <c r="M604" s="79"/>
      <c r="R604" s="79"/>
      <c r="S604" s="79"/>
      <c r="V604" s="79"/>
      <c r="W604" s="79"/>
      <c r="Z604" s="130"/>
      <c r="AB604" s="106"/>
    </row>
    <row r="605">
      <c r="C605" s="79"/>
      <c r="D605" s="79"/>
      <c r="E605" s="79"/>
      <c r="M605" s="79"/>
      <c r="R605" s="79"/>
      <c r="S605" s="79"/>
      <c r="V605" s="79"/>
      <c r="W605" s="79"/>
      <c r="Z605" s="130"/>
      <c r="AB605" s="106"/>
    </row>
    <row r="606">
      <c r="C606" s="79"/>
      <c r="D606" s="79"/>
      <c r="E606" s="79"/>
      <c r="M606" s="79"/>
      <c r="R606" s="79"/>
      <c r="S606" s="79"/>
      <c r="V606" s="79"/>
      <c r="W606" s="79"/>
      <c r="Z606" s="130"/>
      <c r="AB606" s="106"/>
    </row>
    <row r="607">
      <c r="C607" s="79"/>
      <c r="D607" s="79"/>
      <c r="E607" s="79"/>
      <c r="M607" s="79"/>
      <c r="R607" s="79"/>
      <c r="S607" s="79"/>
      <c r="V607" s="79"/>
      <c r="W607" s="79"/>
      <c r="Z607" s="130"/>
      <c r="AB607" s="106"/>
    </row>
    <row r="608">
      <c r="C608" s="79"/>
      <c r="D608" s="79"/>
      <c r="E608" s="79"/>
      <c r="M608" s="79"/>
      <c r="R608" s="79"/>
      <c r="S608" s="79"/>
      <c r="V608" s="79"/>
      <c r="W608" s="79"/>
      <c r="Z608" s="130"/>
      <c r="AB608" s="106"/>
    </row>
    <row r="609">
      <c r="C609" s="79"/>
      <c r="D609" s="79"/>
      <c r="E609" s="79"/>
      <c r="M609" s="79"/>
      <c r="R609" s="79"/>
      <c r="S609" s="79"/>
      <c r="V609" s="79"/>
      <c r="W609" s="79"/>
      <c r="Z609" s="130"/>
      <c r="AB609" s="106"/>
    </row>
    <row r="610">
      <c r="C610" s="79"/>
      <c r="D610" s="79"/>
      <c r="E610" s="79"/>
      <c r="M610" s="79"/>
      <c r="R610" s="79"/>
      <c r="S610" s="79"/>
      <c r="V610" s="79"/>
      <c r="W610" s="79"/>
      <c r="Z610" s="130"/>
      <c r="AB610" s="106"/>
    </row>
    <row r="611">
      <c r="C611" s="79"/>
      <c r="D611" s="79"/>
      <c r="E611" s="79"/>
      <c r="M611" s="79"/>
      <c r="R611" s="79"/>
      <c r="S611" s="79"/>
      <c r="V611" s="79"/>
      <c r="W611" s="79"/>
      <c r="Z611" s="130"/>
      <c r="AB611" s="106"/>
    </row>
    <row r="612">
      <c r="C612" s="79"/>
      <c r="D612" s="79"/>
      <c r="E612" s="79"/>
      <c r="M612" s="79"/>
      <c r="R612" s="79"/>
      <c r="S612" s="79"/>
      <c r="V612" s="79"/>
      <c r="W612" s="79"/>
      <c r="Z612" s="130"/>
      <c r="AB612" s="106"/>
    </row>
    <row r="613">
      <c r="C613" s="79"/>
      <c r="D613" s="79"/>
      <c r="E613" s="79"/>
      <c r="M613" s="79"/>
      <c r="R613" s="79"/>
      <c r="S613" s="79"/>
      <c r="V613" s="79"/>
      <c r="W613" s="79"/>
      <c r="Z613" s="130"/>
      <c r="AB613" s="106"/>
    </row>
    <row r="614">
      <c r="C614" s="79"/>
      <c r="D614" s="79"/>
      <c r="E614" s="79"/>
      <c r="M614" s="79"/>
      <c r="R614" s="79"/>
      <c r="S614" s="79"/>
      <c r="V614" s="79"/>
      <c r="W614" s="79"/>
      <c r="Z614" s="130"/>
      <c r="AB614" s="106"/>
    </row>
    <row r="615">
      <c r="C615" s="79"/>
      <c r="D615" s="79"/>
      <c r="E615" s="79"/>
      <c r="M615" s="79"/>
      <c r="R615" s="79"/>
      <c r="S615" s="79"/>
      <c r="V615" s="79"/>
      <c r="W615" s="79"/>
      <c r="Z615" s="130"/>
      <c r="AB615" s="106"/>
    </row>
    <row r="616">
      <c r="C616" s="79"/>
      <c r="D616" s="79"/>
      <c r="E616" s="79"/>
      <c r="M616" s="79"/>
      <c r="R616" s="79"/>
      <c r="S616" s="79"/>
      <c r="V616" s="79"/>
      <c r="W616" s="79"/>
      <c r="Z616" s="130"/>
      <c r="AB616" s="106"/>
    </row>
    <row r="617">
      <c r="C617" s="79"/>
      <c r="D617" s="79"/>
      <c r="E617" s="79"/>
      <c r="M617" s="79"/>
      <c r="R617" s="79"/>
      <c r="S617" s="79"/>
      <c r="V617" s="79"/>
      <c r="W617" s="79"/>
      <c r="Z617" s="130"/>
      <c r="AB617" s="106"/>
    </row>
    <row r="618">
      <c r="C618" s="79"/>
      <c r="D618" s="79"/>
      <c r="E618" s="79"/>
      <c r="M618" s="79"/>
      <c r="R618" s="79"/>
      <c r="S618" s="79"/>
      <c r="V618" s="79"/>
      <c r="W618" s="79"/>
      <c r="Z618" s="130"/>
      <c r="AB618" s="106"/>
    </row>
    <row r="619">
      <c r="C619" s="79"/>
      <c r="D619" s="79"/>
      <c r="E619" s="79"/>
      <c r="M619" s="79"/>
      <c r="R619" s="79"/>
      <c r="S619" s="79"/>
      <c r="V619" s="79"/>
      <c r="W619" s="79"/>
      <c r="Z619" s="130"/>
      <c r="AB619" s="106"/>
    </row>
    <row r="620">
      <c r="C620" s="79"/>
      <c r="D620" s="79"/>
      <c r="E620" s="79"/>
      <c r="M620" s="79"/>
      <c r="R620" s="79"/>
      <c r="S620" s="79"/>
      <c r="V620" s="79"/>
      <c r="W620" s="79"/>
      <c r="Z620" s="130"/>
      <c r="AB620" s="106"/>
    </row>
    <row r="621">
      <c r="C621" s="79"/>
      <c r="D621" s="79"/>
      <c r="E621" s="79"/>
      <c r="M621" s="79"/>
      <c r="R621" s="79"/>
      <c r="S621" s="79"/>
      <c r="V621" s="79"/>
      <c r="W621" s="79"/>
      <c r="Z621" s="130"/>
      <c r="AB621" s="106"/>
    </row>
    <row r="622">
      <c r="C622" s="79"/>
      <c r="D622" s="79"/>
      <c r="E622" s="79"/>
      <c r="M622" s="79"/>
      <c r="R622" s="79"/>
      <c r="S622" s="79"/>
      <c r="V622" s="79"/>
      <c r="W622" s="79"/>
      <c r="Z622" s="130"/>
      <c r="AB622" s="106"/>
    </row>
    <row r="623">
      <c r="C623" s="79"/>
      <c r="D623" s="79"/>
      <c r="E623" s="79"/>
      <c r="M623" s="79"/>
      <c r="R623" s="79"/>
      <c r="S623" s="79"/>
      <c r="V623" s="79"/>
      <c r="W623" s="79"/>
      <c r="Z623" s="130"/>
      <c r="AB623" s="106"/>
    </row>
    <row r="624">
      <c r="C624" s="79"/>
      <c r="D624" s="79"/>
      <c r="E624" s="79"/>
      <c r="M624" s="79"/>
      <c r="R624" s="79"/>
      <c r="S624" s="79"/>
      <c r="V624" s="79"/>
      <c r="W624" s="79"/>
      <c r="Z624" s="130"/>
      <c r="AB624" s="106"/>
    </row>
    <row r="625">
      <c r="C625" s="79"/>
      <c r="D625" s="79"/>
      <c r="E625" s="79"/>
      <c r="M625" s="79"/>
      <c r="R625" s="79"/>
      <c r="S625" s="79"/>
      <c r="V625" s="79"/>
      <c r="W625" s="79"/>
      <c r="Z625" s="130"/>
      <c r="AB625" s="106"/>
    </row>
    <row r="626">
      <c r="C626" s="79"/>
      <c r="D626" s="79"/>
      <c r="E626" s="79"/>
      <c r="M626" s="79"/>
      <c r="R626" s="79"/>
      <c r="S626" s="79"/>
      <c r="V626" s="79"/>
      <c r="W626" s="79"/>
      <c r="Z626" s="130"/>
      <c r="AB626" s="106"/>
    </row>
    <row r="627">
      <c r="C627" s="79"/>
      <c r="D627" s="79"/>
      <c r="E627" s="79"/>
      <c r="M627" s="79"/>
      <c r="R627" s="79"/>
      <c r="S627" s="79"/>
      <c r="V627" s="79"/>
      <c r="W627" s="79"/>
      <c r="Z627" s="130"/>
      <c r="AB627" s="106"/>
    </row>
    <row r="628">
      <c r="C628" s="79"/>
      <c r="D628" s="79"/>
      <c r="E628" s="79"/>
      <c r="M628" s="79"/>
      <c r="R628" s="79"/>
      <c r="S628" s="79"/>
      <c r="V628" s="79"/>
      <c r="W628" s="79"/>
      <c r="Z628" s="130"/>
      <c r="AB628" s="106"/>
    </row>
    <row r="629">
      <c r="C629" s="79"/>
      <c r="D629" s="79"/>
      <c r="E629" s="79"/>
      <c r="M629" s="79"/>
      <c r="R629" s="79"/>
      <c r="S629" s="79"/>
      <c r="V629" s="79"/>
      <c r="W629" s="79"/>
      <c r="Z629" s="130"/>
      <c r="AB629" s="106"/>
    </row>
    <row r="630">
      <c r="C630" s="79"/>
      <c r="D630" s="79"/>
      <c r="E630" s="79"/>
      <c r="M630" s="79"/>
      <c r="R630" s="79"/>
      <c r="S630" s="79"/>
      <c r="V630" s="79"/>
      <c r="W630" s="79"/>
      <c r="Z630" s="130"/>
      <c r="AB630" s="106"/>
    </row>
    <row r="631">
      <c r="C631" s="79"/>
      <c r="D631" s="79"/>
      <c r="E631" s="79"/>
      <c r="M631" s="79"/>
      <c r="R631" s="79"/>
      <c r="S631" s="79"/>
      <c r="V631" s="79"/>
      <c r="W631" s="79"/>
      <c r="Z631" s="130"/>
      <c r="AB631" s="106"/>
    </row>
    <row r="632">
      <c r="C632" s="79"/>
      <c r="D632" s="79"/>
      <c r="E632" s="79"/>
      <c r="M632" s="79"/>
      <c r="R632" s="79"/>
      <c r="S632" s="79"/>
      <c r="V632" s="79"/>
      <c r="W632" s="79"/>
      <c r="Z632" s="130"/>
      <c r="AB632" s="106"/>
    </row>
    <row r="633">
      <c r="C633" s="79"/>
      <c r="D633" s="79"/>
      <c r="E633" s="79"/>
      <c r="M633" s="79"/>
      <c r="R633" s="79"/>
      <c r="S633" s="79"/>
      <c r="V633" s="79"/>
      <c r="W633" s="79"/>
      <c r="Z633" s="130"/>
      <c r="AB633" s="106"/>
    </row>
    <row r="634">
      <c r="C634" s="79"/>
      <c r="D634" s="79"/>
      <c r="E634" s="79"/>
      <c r="M634" s="79"/>
      <c r="R634" s="79"/>
      <c r="S634" s="79"/>
      <c r="V634" s="79"/>
      <c r="W634" s="79"/>
      <c r="Z634" s="130"/>
      <c r="AB634" s="106"/>
    </row>
    <row r="635">
      <c r="C635" s="79"/>
      <c r="D635" s="79"/>
      <c r="E635" s="79"/>
      <c r="M635" s="79"/>
      <c r="R635" s="79"/>
      <c r="S635" s="79"/>
      <c r="V635" s="79"/>
      <c r="W635" s="79"/>
      <c r="Z635" s="130"/>
      <c r="AB635" s="106"/>
    </row>
    <row r="636">
      <c r="C636" s="79"/>
      <c r="D636" s="79"/>
      <c r="E636" s="79"/>
      <c r="M636" s="79"/>
      <c r="R636" s="79"/>
      <c r="S636" s="79"/>
      <c r="V636" s="79"/>
      <c r="W636" s="79"/>
      <c r="Z636" s="130"/>
      <c r="AB636" s="106"/>
    </row>
    <row r="637">
      <c r="C637" s="79"/>
      <c r="D637" s="79"/>
      <c r="E637" s="79"/>
      <c r="M637" s="79"/>
      <c r="R637" s="79"/>
      <c r="S637" s="79"/>
      <c r="V637" s="79"/>
      <c r="W637" s="79"/>
      <c r="Z637" s="130"/>
      <c r="AB637" s="106"/>
    </row>
    <row r="638">
      <c r="C638" s="79"/>
      <c r="D638" s="79"/>
      <c r="E638" s="79"/>
      <c r="M638" s="79"/>
      <c r="R638" s="79"/>
      <c r="S638" s="79"/>
      <c r="V638" s="79"/>
      <c r="W638" s="79"/>
      <c r="Z638" s="130"/>
      <c r="AB638" s="106"/>
    </row>
    <row r="639">
      <c r="C639" s="79"/>
      <c r="D639" s="79"/>
      <c r="E639" s="79"/>
      <c r="M639" s="79"/>
      <c r="R639" s="79"/>
      <c r="S639" s="79"/>
      <c r="V639" s="79"/>
      <c r="W639" s="79"/>
      <c r="Z639" s="130"/>
      <c r="AB639" s="106"/>
    </row>
    <row r="640">
      <c r="C640" s="79"/>
      <c r="D640" s="79"/>
      <c r="E640" s="79"/>
      <c r="M640" s="79"/>
      <c r="R640" s="79"/>
      <c r="S640" s="79"/>
      <c r="V640" s="79"/>
      <c r="W640" s="79"/>
      <c r="Z640" s="130"/>
      <c r="AB640" s="106"/>
    </row>
    <row r="641">
      <c r="C641" s="79"/>
      <c r="D641" s="79"/>
      <c r="E641" s="79"/>
      <c r="M641" s="79"/>
      <c r="R641" s="79"/>
      <c r="S641" s="79"/>
      <c r="V641" s="79"/>
      <c r="W641" s="79"/>
      <c r="Z641" s="130"/>
      <c r="AB641" s="106"/>
    </row>
    <row r="642">
      <c r="C642" s="79"/>
      <c r="D642" s="79"/>
      <c r="E642" s="79"/>
      <c r="M642" s="79"/>
      <c r="R642" s="79"/>
      <c r="S642" s="79"/>
      <c r="V642" s="79"/>
      <c r="W642" s="79"/>
      <c r="Z642" s="130"/>
      <c r="AB642" s="106"/>
    </row>
    <row r="643">
      <c r="C643" s="79"/>
      <c r="D643" s="79"/>
      <c r="E643" s="79"/>
      <c r="M643" s="79"/>
      <c r="R643" s="79"/>
      <c r="S643" s="79"/>
      <c r="V643" s="79"/>
      <c r="W643" s="79"/>
      <c r="Z643" s="130"/>
      <c r="AB643" s="106"/>
    </row>
    <row r="644">
      <c r="C644" s="79"/>
      <c r="D644" s="79"/>
      <c r="E644" s="79"/>
      <c r="M644" s="79"/>
      <c r="R644" s="79"/>
      <c r="S644" s="79"/>
      <c r="V644" s="79"/>
      <c r="W644" s="79"/>
      <c r="Z644" s="130"/>
      <c r="AB644" s="106"/>
    </row>
    <row r="645">
      <c r="C645" s="79"/>
      <c r="D645" s="79"/>
      <c r="E645" s="79"/>
      <c r="M645" s="79"/>
      <c r="R645" s="79"/>
      <c r="S645" s="79"/>
      <c r="V645" s="79"/>
      <c r="W645" s="79"/>
      <c r="Z645" s="130"/>
      <c r="AB645" s="106"/>
    </row>
    <row r="646">
      <c r="C646" s="79"/>
      <c r="D646" s="79"/>
      <c r="E646" s="79"/>
      <c r="M646" s="79"/>
      <c r="R646" s="79"/>
      <c r="S646" s="79"/>
      <c r="V646" s="79"/>
      <c r="W646" s="79"/>
      <c r="Z646" s="130"/>
      <c r="AB646" s="106"/>
    </row>
    <row r="647">
      <c r="C647" s="79"/>
      <c r="D647" s="79"/>
      <c r="E647" s="79"/>
      <c r="M647" s="79"/>
      <c r="R647" s="79"/>
      <c r="S647" s="79"/>
      <c r="V647" s="79"/>
      <c r="W647" s="79"/>
      <c r="Z647" s="130"/>
      <c r="AB647" s="106"/>
    </row>
    <row r="648">
      <c r="C648" s="79"/>
      <c r="D648" s="79"/>
      <c r="E648" s="79"/>
      <c r="M648" s="79"/>
      <c r="R648" s="79"/>
      <c r="S648" s="79"/>
      <c r="V648" s="79"/>
      <c r="W648" s="79"/>
      <c r="Z648" s="130"/>
      <c r="AB648" s="106"/>
    </row>
    <row r="649">
      <c r="C649" s="79"/>
      <c r="D649" s="79"/>
      <c r="E649" s="79"/>
      <c r="M649" s="79"/>
      <c r="R649" s="79"/>
      <c r="S649" s="79"/>
      <c r="V649" s="79"/>
      <c r="W649" s="79"/>
      <c r="Z649" s="130"/>
      <c r="AB649" s="106"/>
    </row>
    <row r="650">
      <c r="C650" s="79"/>
      <c r="D650" s="79"/>
      <c r="E650" s="79"/>
      <c r="M650" s="79"/>
      <c r="R650" s="79"/>
      <c r="S650" s="79"/>
      <c r="V650" s="79"/>
      <c r="W650" s="79"/>
      <c r="Z650" s="130"/>
      <c r="AB650" s="106"/>
    </row>
    <row r="651">
      <c r="C651" s="79"/>
      <c r="D651" s="79"/>
      <c r="E651" s="79"/>
      <c r="M651" s="79"/>
      <c r="R651" s="79"/>
      <c r="S651" s="79"/>
      <c r="V651" s="79"/>
      <c r="W651" s="79"/>
      <c r="Z651" s="130"/>
      <c r="AB651" s="106"/>
    </row>
    <row r="652">
      <c r="C652" s="79"/>
      <c r="D652" s="79"/>
      <c r="E652" s="79"/>
      <c r="M652" s="79"/>
      <c r="R652" s="79"/>
      <c r="S652" s="79"/>
      <c r="V652" s="79"/>
      <c r="W652" s="79"/>
      <c r="Z652" s="130"/>
      <c r="AB652" s="106"/>
    </row>
    <row r="653">
      <c r="C653" s="79"/>
      <c r="D653" s="79"/>
      <c r="E653" s="79"/>
      <c r="M653" s="79"/>
      <c r="R653" s="79"/>
      <c r="S653" s="79"/>
      <c r="V653" s="79"/>
      <c r="W653" s="79"/>
      <c r="Z653" s="130"/>
      <c r="AB653" s="106"/>
    </row>
    <row r="654">
      <c r="C654" s="79"/>
      <c r="D654" s="79"/>
      <c r="E654" s="79"/>
      <c r="M654" s="79"/>
      <c r="R654" s="79"/>
      <c r="S654" s="79"/>
      <c r="V654" s="79"/>
      <c r="W654" s="79"/>
      <c r="Z654" s="130"/>
      <c r="AB654" s="106"/>
    </row>
    <row r="655">
      <c r="C655" s="79"/>
      <c r="D655" s="79"/>
      <c r="E655" s="79"/>
      <c r="M655" s="79"/>
      <c r="R655" s="79"/>
      <c r="S655" s="79"/>
      <c r="V655" s="79"/>
      <c r="W655" s="79"/>
      <c r="Z655" s="130"/>
      <c r="AB655" s="106"/>
    </row>
    <row r="656">
      <c r="C656" s="79"/>
      <c r="D656" s="79"/>
      <c r="E656" s="79"/>
      <c r="M656" s="79"/>
      <c r="R656" s="79"/>
      <c r="S656" s="79"/>
      <c r="V656" s="79"/>
      <c r="W656" s="79"/>
      <c r="Z656" s="130"/>
      <c r="AB656" s="106"/>
    </row>
    <row r="657">
      <c r="C657" s="79"/>
      <c r="D657" s="79"/>
      <c r="E657" s="79"/>
      <c r="M657" s="79"/>
      <c r="R657" s="79"/>
      <c r="S657" s="79"/>
      <c r="V657" s="79"/>
      <c r="W657" s="79"/>
      <c r="Z657" s="130"/>
      <c r="AB657" s="106"/>
    </row>
    <row r="658">
      <c r="C658" s="79"/>
      <c r="D658" s="79"/>
      <c r="E658" s="79"/>
      <c r="M658" s="79"/>
      <c r="R658" s="79"/>
      <c r="S658" s="79"/>
      <c r="V658" s="79"/>
      <c r="W658" s="79"/>
      <c r="Z658" s="130"/>
      <c r="AB658" s="106"/>
    </row>
    <row r="659">
      <c r="C659" s="79"/>
      <c r="D659" s="79"/>
      <c r="E659" s="79"/>
      <c r="M659" s="79"/>
      <c r="R659" s="79"/>
      <c r="S659" s="79"/>
      <c r="V659" s="79"/>
      <c r="W659" s="79"/>
      <c r="Z659" s="130"/>
      <c r="AB659" s="106"/>
    </row>
    <row r="660">
      <c r="C660" s="79"/>
      <c r="D660" s="79"/>
      <c r="E660" s="79"/>
      <c r="M660" s="79"/>
      <c r="R660" s="79"/>
      <c r="S660" s="79"/>
      <c r="V660" s="79"/>
      <c r="W660" s="79"/>
      <c r="Z660" s="130"/>
      <c r="AB660" s="106"/>
    </row>
    <row r="661">
      <c r="C661" s="79"/>
      <c r="D661" s="79"/>
      <c r="E661" s="79"/>
      <c r="M661" s="79"/>
      <c r="R661" s="79"/>
      <c r="S661" s="79"/>
      <c r="V661" s="79"/>
      <c r="W661" s="79"/>
      <c r="Z661" s="130"/>
      <c r="AB661" s="106"/>
    </row>
    <row r="662">
      <c r="C662" s="79"/>
      <c r="D662" s="79"/>
      <c r="E662" s="79"/>
      <c r="M662" s="79"/>
      <c r="R662" s="79"/>
      <c r="S662" s="79"/>
      <c r="V662" s="79"/>
      <c r="W662" s="79"/>
      <c r="Z662" s="130"/>
      <c r="AB662" s="106"/>
    </row>
    <row r="663">
      <c r="C663" s="79"/>
      <c r="D663" s="79"/>
      <c r="E663" s="79"/>
      <c r="M663" s="79"/>
      <c r="R663" s="79"/>
      <c r="S663" s="79"/>
      <c r="V663" s="79"/>
      <c r="W663" s="79"/>
      <c r="Z663" s="130"/>
      <c r="AB663" s="106"/>
    </row>
    <row r="664">
      <c r="C664" s="79"/>
      <c r="D664" s="79"/>
      <c r="E664" s="79"/>
      <c r="M664" s="79"/>
      <c r="R664" s="79"/>
      <c r="S664" s="79"/>
      <c r="V664" s="79"/>
      <c r="W664" s="79"/>
      <c r="Z664" s="130"/>
      <c r="AB664" s="106"/>
    </row>
    <row r="665">
      <c r="C665" s="79"/>
      <c r="D665" s="79"/>
      <c r="E665" s="79"/>
      <c r="M665" s="79"/>
      <c r="R665" s="79"/>
      <c r="S665" s="79"/>
      <c r="V665" s="79"/>
      <c r="W665" s="79"/>
      <c r="Z665" s="130"/>
      <c r="AB665" s="106"/>
    </row>
    <row r="666">
      <c r="C666" s="79"/>
      <c r="D666" s="79"/>
      <c r="E666" s="79"/>
      <c r="M666" s="79"/>
      <c r="R666" s="79"/>
      <c r="S666" s="79"/>
      <c r="V666" s="79"/>
      <c r="W666" s="79"/>
      <c r="Z666" s="130"/>
      <c r="AB666" s="106"/>
    </row>
    <row r="667">
      <c r="C667" s="79"/>
      <c r="D667" s="79"/>
      <c r="E667" s="79"/>
      <c r="M667" s="79"/>
      <c r="R667" s="79"/>
      <c r="S667" s="79"/>
      <c r="V667" s="79"/>
      <c r="W667" s="79"/>
      <c r="Z667" s="130"/>
      <c r="AB667" s="106"/>
    </row>
    <row r="668">
      <c r="C668" s="79"/>
      <c r="D668" s="79"/>
      <c r="E668" s="79"/>
      <c r="M668" s="79"/>
      <c r="R668" s="79"/>
      <c r="S668" s="79"/>
      <c r="V668" s="79"/>
      <c r="W668" s="79"/>
      <c r="Z668" s="130"/>
      <c r="AB668" s="106"/>
    </row>
    <row r="669">
      <c r="C669" s="79"/>
      <c r="D669" s="79"/>
      <c r="E669" s="79"/>
      <c r="M669" s="79"/>
      <c r="R669" s="79"/>
      <c r="S669" s="79"/>
      <c r="V669" s="79"/>
      <c r="W669" s="79"/>
      <c r="Z669" s="130"/>
      <c r="AB669" s="106"/>
    </row>
    <row r="670">
      <c r="C670" s="79"/>
      <c r="D670" s="79"/>
      <c r="E670" s="79"/>
      <c r="M670" s="79"/>
      <c r="R670" s="79"/>
      <c r="S670" s="79"/>
      <c r="V670" s="79"/>
      <c r="W670" s="79"/>
      <c r="Z670" s="130"/>
      <c r="AB670" s="106"/>
    </row>
    <row r="671">
      <c r="C671" s="79"/>
      <c r="D671" s="79"/>
      <c r="E671" s="79"/>
      <c r="M671" s="79"/>
      <c r="R671" s="79"/>
      <c r="S671" s="79"/>
      <c r="V671" s="79"/>
      <c r="W671" s="79"/>
      <c r="Z671" s="130"/>
      <c r="AB671" s="106"/>
    </row>
    <row r="672">
      <c r="C672" s="79"/>
      <c r="D672" s="79"/>
      <c r="E672" s="79"/>
      <c r="M672" s="79"/>
      <c r="R672" s="79"/>
      <c r="S672" s="79"/>
      <c r="V672" s="79"/>
      <c r="W672" s="79"/>
      <c r="Z672" s="130"/>
      <c r="AB672" s="106"/>
    </row>
    <row r="673">
      <c r="C673" s="79"/>
      <c r="D673" s="79"/>
      <c r="E673" s="79"/>
      <c r="M673" s="79"/>
      <c r="R673" s="79"/>
      <c r="S673" s="79"/>
      <c r="V673" s="79"/>
      <c r="W673" s="79"/>
      <c r="Z673" s="130"/>
      <c r="AB673" s="106"/>
    </row>
    <row r="674">
      <c r="C674" s="79"/>
      <c r="D674" s="79"/>
      <c r="E674" s="79"/>
      <c r="M674" s="79"/>
      <c r="R674" s="79"/>
      <c r="S674" s="79"/>
      <c r="V674" s="79"/>
      <c r="W674" s="79"/>
      <c r="Z674" s="130"/>
      <c r="AB674" s="106"/>
    </row>
    <row r="675">
      <c r="C675" s="79"/>
      <c r="D675" s="79"/>
      <c r="E675" s="79"/>
      <c r="M675" s="79"/>
      <c r="R675" s="79"/>
      <c r="S675" s="79"/>
      <c r="V675" s="79"/>
      <c r="W675" s="79"/>
      <c r="Z675" s="130"/>
      <c r="AB675" s="106"/>
    </row>
    <row r="676">
      <c r="C676" s="79"/>
      <c r="D676" s="79"/>
      <c r="E676" s="79"/>
      <c r="M676" s="79"/>
      <c r="R676" s="79"/>
      <c r="S676" s="79"/>
      <c r="V676" s="79"/>
      <c r="W676" s="79"/>
      <c r="Z676" s="130"/>
      <c r="AB676" s="106"/>
    </row>
    <row r="677">
      <c r="C677" s="79"/>
      <c r="D677" s="79"/>
      <c r="E677" s="79"/>
      <c r="M677" s="79"/>
      <c r="R677" s="79"/>
      <c r="S677" s="79"/>
      <c r="V677" s="79"/>
      <c r="W677" s="79"/>
      <c r="Z677" s="130"/>
      <c r="AB677" s="106"/>
    </row>
    <row r="678">
      <c r="C678" s="79"/>
      <c r="D678" s="79"/>
      <c r="E678" s="79"/>
      <c r="M678" s="79"/>
      <c r="R678" s="79"/>
      <c r="S678" s="79"/>
      <c r="V678" s="79"/>
      <c r="W678" s="79"/>
      <c r="Z678" s="130"/>
      <c r="AB678" s="106"/>
    </row>
    <row r="679">
      <c r="C679" s="79"/>
      <c r="D679" s="79"/>
      <c r="E679" s="79"/>
      <c r="M679" s="79"/>
      <c r="R679" s="79"/>
      <c r="S679" s="79"/>
      <c r="V679" s="79"/>
      <c r="W679" s="79"/>
      <c r="Z679" s="130"/>
      <c r="AB679" s="106"/>
    </row>
    <row r="680">
      <c r="C680" s="79"/>
      <c r="D680" s="79"/>
      <c r="E680" s="79"/>
      <c r="M680" s="79"/>
      <c r="R680" s="79"/>
      <c r="S680" s="79"/>
      <c r="V680" s="79"/>
      <c r="W680" s="79"/>
      <c r="Z680" s="130"/>
      <c r="AB680" s="106"/>
    </row>
    <row r="681">
      <c r="C681" s="79"/>
      <c r="D681" s="79"/>
      <c r="E681" s="79"/>
      <c r="M681" s="79"/>
      <c r="R681" s="79"/>
      <c r="S681" s="79"/>
      <c r="V681" s="79"/>
      <c r="W681" s="79"/>
      <c r="Z681" s="130"/>
      <c r="AB681" s="106"/>
    </row>
    <row r="682">
      <c r="C682" s="79"/>
      <c r="D682" s="79"/>
      <c r="E682" s="79"/>
      <c r="M682" s="79"/>
      <c r="R682" s="79"/>
      <c r="S682" s="79"/>
      <c r="V682" s="79"/>
      <c r="W682" s="79"/>
      <c r="Z682" s="130"/>
      <c r="AB682" s="106"/>
    </row>
    <row r="683">
      <c r="C683" s="79"/>
      <c r="D683" s="79"/>
      <c r="E683" s="79"/>
      <c r="M683" s="79"/>
      <c r="R683" s="79"/>
      <c r="S683" s="79"/>
      <c r="V683" s="79"/>
      <c r="W683" s="79"/>
      <c r="Z683" s="130"/>
      <c r="AB683" s="106"/>
    </row>
    <row r="684">
      <c r="C684" s="79"/>
      <c r="D684" s="79"/>
      <c r="E684" s="79"/>
      <c r="M684" s="79"/>
      <c r="R684" s="79"/>
      <c r="S684" s="79"/>
      <c r="V684" s="79"/>
      <c r="W684" s="79"/>
      <c r="Z684" s="130"/>
      <c r="AB684" s="106"/>
    </row>
    <row r="685">
      <c r="C685" s="79"/>
      <c r="D685" s="79"/>
      <c r="E685" s="79"/>
      <c r="M685" s="79"/>
      <c r="R685" s="79"/>
      <c r="S685" s="79"/>
      <c r="V685" s="79"/>
      <c r="W685" s="79"/>
      <c r="Z685" s="130"/>
      <c r="AB685" s="106"/>
    </row>
    <row r="686">
      <c r="C686" s="79"/>
      <c r="D686" s="79"/>
      <c r="E686" s="79"/>
      <c r="M686" s="79"/>
      <c r="R686" s="79"/>
      <c r="S686" s="79"/>
      <c r="V686" s="79"/>
      <c r="W686" s="79"/>
      <c r="Z686" s="130"/>
      <c r="AB686" s="106"/>
    </row>
    <row r="687">
      <c r="C687" s="79"/>
      <c r="D687" s="79"/>
      <c r="E687" s="79"/>
      <c r="M687" s="79"/>
      <c r="R687" s="79"/>
      <c r="S687" s="79"/>
      <c r="V687" s="79"/>
      <c r="W687" s="79"/>
      <c r="Z687" s="130"/>
      <c r="AB687" s="106"/>
    </row>
    <row r="688">
      <c r="C688" s="79"/>
      <c r="D688" s="79"/>
      <c r="E688" s="79"/>
      <c r="M688" s="79"/>
      <c r="R688" s="79"/>
      <c r="S688" s="79"/>
      <c r="V688" s="79"/>
      <c r="W688" s="79"/>
      <c r="Z688" s="130"/>
      <c r="AB688" s="106"/>
    </row>
    <row r="689">
      <c r="C689" s="79"/>
      <c r="D689" s="79"/>
      <c r="E689" s="79"/>
      <c r="M689" s="79"/>
      <c r="R689" s="79"/>
      <c r="S689" s="79"/>
      <c r="V689" s="79"/>
      <c r="W689" s="79"/>
      <c r="Z689" s="130"/>
      <c r="AB689" s="106"/>
    </row>
    <row r="690">
      <c r="C690" s="79"/>
      <c r="D690" s="79"/>
      <c r="E690" s="79"/>
      <c r="M690" s="79"/>
      <c r="R690" s="79"/>
      <c r="S690" s="79"/>
      <c r="V690" s="79"/>
      <c r="W690" s="79"/>
      <c r="Z690" s="130"/>
      <c r="AB690" s="106"/>
    </row>
    <row r="691">
      <c r="C691" s="79"/>
      <c r="D691" s="79"/>
      <c r="E691" s="79"/>
      <c r="M691" s="79"/>
      <c r="R691" s="79"/>
      <c r="S691" s="79"/>
      <c r="V691" s="79"/>
      <c r="W691" s="79"/>
      <c r="Z691" s="130"/>
      <c r="AB691" s="106"/>
    </row>
    <row r="692">
      <c r="C692" s="79"/>
      <c r="D692" s="79"/>
      <c r="E692" s="79"/>
      <c r="M692" s="79"/>
      <c r="R692" s="79"/>
      <c r="S692" s="79"/>
      <c r="V692" s="79"/>
      <c r="W692" s="79"/>
      <c r="Z692" s="130"/>
      <c r="AB692" s="106"/>
    </row>
    <row r="693">
      <c r="C693" s="79"/>
      <c r="D693" s="79"/>
      <c r="E693" s="79"/>
      <c r="M693" s="79"/>
      <c r="R693" s="79"/>
      <c r="S693" s="79"/>
      <c r="V693" s="79"/>
      <c r="W693" s="79"/>
      <c r="Z693" s="130"/>
      <c r="AB693" s="106"/>
    </row>
    <row r="694">
      <c r="C694" s="79"/>
      <c r="D694" s="79"/>
      <c r="E694" s="79"/>
      <c r="M694" s="79"/>
      <c r="R694" s="79"/>
      <c r="S694" s="79"/>
      <c r="V694" s="79"/>
      <c r="W694" s="79"/>
      <c r="Z694" s="130"/>
      <c r="AB694" s="106"/>
    </row>
    <row r="695">
      <c r="C695" s="79"/>
      <c r="D695" s="79"/>
      <c r="E695" s="79"/>
      <c r="M695" s="79"/>
      <c r="R695" s="79"/>
      <c r="S695" s="79"/>
      <c r="V695" s="79"/>
      <c r="W695" s="79"/>
      <c r="Z695" s="130"/>
      <c r="AB695" s="106"/>
    </row>
    <row r="696">
      <c r="C696" s="79"/>
      <c r="D696" s="79"/>
      <c r="E696" s="79"/>
      <c r="M696" s="79"/>
      <c r="R696" s="79"/>
      <c r="S696" s="79"/>
      <c r="V696" s="79"/>
      <c r="W696" s="79"/>
      <c r="Z696" s="130"/>
      <c r="AB696" s="106"/>
    </row>
    <row r="697">
      <c r="C697" s="79"/>
      <c r="D697" s="79"/>
      <c r="E697" s="79"/>
      <c r="M697" s="79"/>
      <c r="R697" s="79"/>
      <c r="S697" s="79"/>
      <c r="V697" s="79"/>
      <c r="W697" s="79"/>
      <c r="Z697" s="130"/>
      <c r="AB697" s="106"/>
    </row>
    <row r="698">
      <c r="C698" s="79"/>
      <c r="D698" s="79"/>
      <c r="E698" s="79"/>
      <c r="M698" s="79"/>
      <c r="R698" s="79"/>
      <c r="S698" s="79"/>
      <c r="V698" s="79"/>
      <c r="W698" s="79"/>
      <c r="Z698" s="130"/>
      <c r="AB698" s="106"/>
    </row>
    <row r="699">
      <c r="C699" s="79"/>
      <c r="D699" s="79"/>
      <c r="E699" s="79"/>
      <c r="M699" s="79"/>
      <c r="R699" s="79"/>
      <c r="S699" s="79"/>
      <c r="V699" s="79"/>
      <c r="W699" s="79"/>
      <c r="Z699" s="130"/>
      <c r="AB699" s="106"/>
    </row>
    <row r="700">
      <c r="C700" s="79"/>
      <c r="D700" s="79"/>
      <c r="E700" s="79"/>
      <c r="M700" s="79"/>
      <c r="R700" s="79"/>
      <c r="S700" s="79"/>
      <c r="V700" s="79"/>
      <c r="W700" s="79"/>
      <c r="Z700" s="130"/>
      <c r="AB700" s="106"/>
    </row>
    <row r="701">
      <c r="C701" s="79"/>
      <c r="D701" s="79"/>
      <c r="E701" s="79"/>
      <c r="M701" s="79"/>
      <c r="R701" s="79"/>
      <c r="S701" s="79"/>
      <c r="V701" s="79"/>
      <c r="W701" s="79"/>
      <c r="Z701" s="130"/>
      <c r="AB701" s="106"/>
    </row>
    <row r="702">
      <c r="C702" s="79"/>
      <c r="D702" s="79"/>
      <c r="E702" s="79"/>
      <c r="M702" s="79"/>
      <c r="R702" s="79"/>
      <c r="S702" s="79"/>
      <c r="V702" s="79"/>
      <c r="W702" s="79"/>
      <c r="Z702" s="130"/>
      <c r="AB702" s="106"/>
    </row>
    <row r="703">
      <c r="C703" s="79"/>
      <c r="D703" s="79"/>
      <c r="E703" s="79"/>
      <c r="M703" s="79"/>
      <c r="R703" s="79"/>
      <c r="S703" s="79"/>
      <c r="V703" s="79"/>
      <c r="W703" s="79"/>
      <c r="Z703" s="130"/>
      <c r="AB703" s="106"/>
    </row>
    <row r="704">
      <c r="C704" s="79"/>
      <c r="D704" s="79"/>
      <c r="E704" s="79"/>
      <c r="M704" s="79"/>
      <c r="R704" s="79"/>
      <c r="S704" s="79"/>
      <c r="V704" s="79"/>
      <c r="W704" s="79"/>
      <c r="Z704" s="130"/>
      <c r="AB704" s="106"/>
    </row>
    <row r="705">
      <c r="C705" s="79"/>
      <c r="D705" s="79"/>
      <c r="E705" s="79"/>
      <c r="M705" s="79"/>
      <c r="R705" s="79"/>
      <c r="S705" s="79"/>
      <c r="V705" s="79"/>
      <c r="W705" s="79"/>
      <c r="Z705" s="130"/>
      <c r="AB705" s="106"/>
    </row>
    <row r="706">
      <c r="C706" s="79"/>
      <c r="D706" s="79"/>
      <c r="E706" s="79"/>
      <c r="M706" s="79"/>
      <c r="R706" s="79"/>
      <c r="S706" s="79"/>
      <c r="V706" s="79"/>
      <c r="W706" s="79"/>
      <c r="Z706" s="130"/>
      <c r="AB706" s="106"/>
    </row>
    <row r="707">
      <c r="C707" s="79"/>
      <c r="D707" s="79"/>
      <c r="E707" s="79"/>
      <c r="M707" s="79"/>
      <c r="R707" s="79"/>
      <c r="S707" s="79"/>
      <c r="V707" s="79"/>
      <c r="W707" s="79"/>
      <c r="Z707" s="130"/>
      <c r="AB707" s="106"/>
    </row>
    <row r="708">
      <c r="C708" s="79"/>
      <c r="D708" s="79"/>
      <c r="E708" s="79"/>
      <c r="M708" s="79"/>
      <c r="R708" s="79"/>
      <c r="S708" s="79"/>
      <c r="V708" s="79"/>
      <c r="W708" s="79"/>
      <c r="Z708" s="130"/>
      <c r="AB708" s="106"/>
    </row>
    <row r="709">
      <c r="C709" s="79"/>
      <c r="D709" s="79"/>
      <c r="E709" s="79"/>
      <c r="M709" s="79"/>
      <c r="R709" s="79"/>
      <c r="S709" s="79"/>
      <c r="V709" s="79"/>
      <c r="W709" s="79"/>
      <c r="Z709" s="130"/>
      <c r="AB709" s="106"/>
    </row>
    <row r="710">
      <c r="C710" s="79"/>
      <c r="D710" s="79"/>
      <c r="E710" s="79"/>
      <c r="M710" s="79"/>
      <c r="R710" s="79"/>
      <c r="S710" s="79"/>
      <c r="V710" s="79"/>
      <c r="W710" s="79"/>
      <c r="Z710" s="130"/>
      <c r="AB710" s="106"/>
    </row>
    <row r="711">
      <c r="C711" s="79"/>
      <c r="D711" s="79"/>
      <c r="E711" s="79"/>
      <c r="M711" s="79"/>
      <c r="R711" s="79"/>
      <c r="S711" s="79"/>
      <c r="V711" s="79"/>
      <c r="W711" s="79"/>
      <c r="Z711" s="130"/>
      <c r="AB711" s="106"/>
    </row>
    <row r="712">
      <c r="C712" s="79"/>
      <c r="D712" s="79"/>
      <c r="E712" s="79"/>
      <c r="M712" s="79"/>
      <c r="R712" s="79"/>
      <c r="S712" s="79"/>
      <c r="V712" s="79"/>
      <c r="W712" s="79"/>
      <c r="Z712" s="130"/>
      <c r="AB712" s="106"/>
    </row>
    <row r="713">
      <c r="C713" s="79"/>
      <c r="D713" s="79"/>
      <c r="E713" s="79"/>
      <c r="M713" s="79"/>
      <c r="R713" s="79"/>
      <c r="S713" s="79"/>
      <c r="V713" s="79"/>
      <c r="W713" s="79"/>
      <c r="Z713" s="130"/>
      <c r="AB713" s="106"/>
    </row>
    <row r="714">
      <c r="C714" s="79"/>
      <c r="D714" s="79"/>
      <c r="E714" s="79"/>
      <c r="M714" s="79"/>
      <c r="R714" s="79"/>
      <c r="S714" s="79"/>
      <c r="V714" s="79"/>
      <c r="W714" s="79"/>
      <c r="Z714" s="130"/>
      <c r="AB714" s="106"/>
    </row>
    <row r="715">
      <c r="C715" s="79"/>
      <c r="D715" s="79"/>
      <c r="E715" s="79"/>
      <c r="M715" s="79"/>
      <c r="R715" s="79"/>
      <c r="S715" s="79"/>
      <c r="V715" s="79"/>
      <c r="W715" s="79"/>
      <c r="Z715" s="130"/>
      <c r="AB715" s="106"/>
    </row>
    <row r="716">
      <c r="C716" s="79"/>
      <c r="D716" s="79"/>
      <c r="E716" s="79"/>
      <c r="M716" s="79"/>
      <c r="R716" s="79"/>
      <c r="S716" s="79"/>
      <c r="V716" s="79"/>
      <c r="W716" s="79"/>
      <c r="Z716" s="130"/>
      <c r="AB716" s="106"/>
    </row>
    <row r="717">
      <c r="C717" s="79"/>
      <c r="D717" s="79"/>
      <c r="E717" s="79"/>
      <c r="M717" s="79"/>
      <c r="R717" s="79"/>
      <c r="S717" s="79"/>
      <c r="V717" s="79"/>
      <c r="W717" s="79"/>
      <c r="Z717" s="130"/>
      <c r="AB717" s="106"/>
    </row>
    <row r="718">
      <c r="C718" s="79"/>
      <c r="D718" s="79"/>
      <c r="E718" s="79"/>
      <c r="M718" s="79"/>
      <c r="R718" s="79"/>
      <c r="S718" s="79"/>
      <c r="V718" s="79"/>
      <c r="W718" s="79"/>
      <c r="Z718" s="130"/>
      <c r="AB718" s="106"/>
    </row>
    <row r="719">
      <c r="C719" s="79"/>
      <c r="D719" s="79"/>
      <c r="E719" s="79"/>
      <c r="M719" s="79"/>
      <c r="R719" s="79"/>
      <c r="S719" s="79"/>
      <c r="V719" s="79"/>
      <c r="W719" s="79"/>
      <c r="Z719" s="130"/>
      <c r="AB719" s="106"/>
    </row>
    <row r="720">
      <c r="C720" s="79"/>
      <c r="D720" s="79"/>
      <c r="E720" s="79"/>
      <c r="M720" s="79"/>
      <c r="R720" s="79"/>
      <c r="S720" s="79"/>
      <c r="V720" s="79"/>
      <c r="W720" s="79"/>
      <c r="Z720" s="130"/>
      <c r="AB720" s="106"/>
    </row>
    <row r="721">
      <c r="C721" s="79"/>
      <c r="D721" s="79"/>
      <c r="E721" s="79"/>
      <c r="M721" s="79"/>
      <c r="R721" s="79"/>
      <c r="S721" s="79"/>
      <c r="V721" s="79"/>
      <c r="W721" s="79"/>
      <c r="Z721" s="130"/>
      <c r="AB721" s="106"/>
    </row>
    <row r="722">
      <c r="C722" s="79"/>
      <c r="D722" s="79"/>
      <c r="E722" s="79"/>
      <c r="M722" s="79"/>
      <c r="R722" s="79"/>
      <c r="S722" s="79"/>
      <c r="V722" s="79"/>
      <c r="W722" s="79"/>
      <c r="Z722" s="130"/>
      <c r="AB722" s="106"/>
    </row>
    <row r="723">
      <c r="C723" s="79"/>
      <c r="D723" s="79"/>
      <c r="E723" s="79"/>
      <c r="M723" s="79"/>
      <c r="R723" s="79"/>
      <c r="S723" s="79"/>
      <c r="V723" s="79"/>
      <c r="W723" s="79"/>
      <c r="Z723" s="130"/>
      <c r="AB723" s="106"/>
    </row>
    <row r="724">
      <c r="C724" s="79"/>
      <c r="D724" s="79"/>
      <c r="E724" s="79"/>
      <c r="M724" s="79"/>
      <c r="R724" s="79"/>
      <c r="S724" s="79"/>
      <c r="V724" s="79"/>
      <c r="W724" s="79"/>
      <c r="Z724" s="130"/>
      <c r="AB724" s="106"/>
    </row>
    <row r="725">
      <c r="C725" s="79"/>
      <c r="D725" s="79"/>
      <c r="E725" s="79"/>
      <c r="M725" s="79"/>
      <c r="R725" s="79"/>
      <c r="S725" s="79"/>
      <c r="V725" s="79"/>
      <c r="W725" s="79"/>
      <c r="Z725" s="130"/>
      <c r="AB725" s="106"/>
    </row>
    <row r="726">
      <c r="C726" s="79"/>
      <c r="D726" s="79"/>
      <c r="E726" s="79"/>
      <c r="M726" s="79"/>
      <c r="R726" s="79"/>
      <c r="S726" s="79"/>
      <c r="V726" s="79"/>
      <c r="W726" s="79"/>
      <c r="Z726" s="130"/>
      <c r="AB726" s="106"/>
    </row>
    <row r="727">
      <c r="C727" s="79"/>
      <c r="D727" s="79"/>
      <c r="E727" s="79"/>
      <c r="M727" s="79"/>
      <c r="R727" s="79"/>
      <c r="S727" s="79"/>
      <c r="V727" s="79"/>
      <c r="W727" s="79"/>
      <c r="Z727" s="130"/>
      <c r="AB727" s="106"/>
    </row>
    <row r="728">
      <c r="C728" s="79"/>
      <c r="D728" s="79"/>
      <c r="E728" s="79"/>
      <c r="M728" s="79"/>
      <c r="R728" s="79"/>
      <c r="S728" s="79"/>
      <c r="V728" s="79"/>
      <c r="W728" s="79"/>
      <c r="Z728" s="130"/>
      <c r="AB728" s="106"/>
    </row>
    <row r="729">
      <c r="C729" s="79"/>
      <c r="D729" s="79"/>
      <c r="E729" s="79"/>
      <c r="M729" s="79"/>
      <c r="R729" s="79"/>
      <c r="S729" s="79"/>
      <c r="V729" s="79"/>
      <c r="W729" s="79"/>
      <c r="Z729" s="130"/>
      <c r="AB729" s="106"/>
    </row>
    <row r="730">
      <c r="C730" s="79"/>
      <c r="D730" s="79"/>
      <c r="E730" s="79"/>
      <c r="M730" s="79"/>
      <c r="R730" s="79"/>
      <c r="S730" s="79"/>
      <c r="V730" s="79"/>
      <c r="W730" s="79"/>
      <c r="Z730" s="130"/>
      <c r="AB730" s="106"/>
    </row>
    <row r="731">
      <c r="C731" s="79"/>
      <c r="D731" s="79"/>
      <c r="E731" s="79"/>
      <c r="M731" s="79"/>
      <c r="R731" s="79"/>
      <c r="S731" s="79"/>
      <c r="V731" s="79"/>
      <c r="W731" s="79"/>
      <c r="Z731" s="130"/>
      <c r="AB731" s="106"/>
    </row>
    <row r="732">
      <c r="C732" s="79"/>
      <c r="D732" s="79"/>
      <c r="E732" s="79"/>
      <c r="M732" s="79"/>
      <c r="R732" s="79"/>
      <c r="S732" s="79"/>
      <c r="V732" s="79"/>
      <c r="W732" s="79"/>
      <c r="Z732" s="130"/>
      <c r="AB732" s="106"/>
    </row>
    <row r="733">
      <c r="C733" s="79"/>
      <c r="D733" s="79"/>
      <c r="E733" s="79"/>
      <c r="M733" s="79"/>
      <c r="R733" s="79"/>
      <c r="S733" s="79"/>
      <c r="V733" s="79"/>
      <c r="W733" s="79"/>
      <c r="Z733" s="130"/>
      <c r="AB733" s="106"/>
    </row>
    <row r="734">
      <c r="C734" s="79"/>
      <c r="D734" s="79"/>
      <c r="E734" s="79"/>
      <c r="M734" s="79"/>
      <c r="R734" s="79"/>
      <c r="S734" s="79"/>
      <c r="V734" s="79"/>
      <c r="W734" s="79"/>
      <c r="Z734" s="130"/>
      <c r="AB734" s="106"/>
    </row>
    <row r="735">
      <c r="C735" s="79"/>
      <c r="D735" s="79"/>
      <c r="E735" s="79"/>
      <c r="M735" s="79"/>
      <c r="R735" s="79"/>
      <c r="S735" s="79"/>
      <c r="V735" s="79"/>
      <c r="W735" s="79"/>
      <c r="Z735" s="130"/>
      <c r="AB735" s="106"/>
    </row>
    <row r="736">
      <c r="C736" s="79"/>
      <c r="D736" s="79"/>
      <c r="E736" s="79"/>
      <c r="M736" s="79"/>
      <c r="R736" s="79"/>
      <c r="S736" s="79"/>
      <c r="V736" s="79"/>
      <c r="W736" s="79"/>
      <c r="Z736" s="130"/>
      <c r="AB736" s="106"/>
    </row>
    <row r="737">
      <c r="C737" s="79"/>
      <c r="D737" s="79"/>
      <c r="E737" s="79"/>
      <c r="M737" s="79"/>
      <c r="R737" s="79"/>
      <c r="S737" s="79"/>
      <c r="V737" s="79"/>
      <c r="W737" s="79"/>
      <c r="Z737" s="130"/>
      <c r="AB737" s="106"/>
    </row>
    <row r="738">
      <c r="C738" s="79"/>
      <c r="D738" s="79"/>
      <c r="E738" s="79"/>
      <c r="M738" s="79"/>
      <c r="R738" s="79"/>
      <c r="S738" s="79"/>
      <c r="V738" s="79"/>
      <c r="W738" s="79"/>
      <c r="Z738" s="130"/>
      <c r="AB738" s="106"/>
    </row>
    <row r="739">
      <c r="C739" s="79"/>
      <c r="D739" s="79"/>
      <c r="E739" s="79"/>
      <c r="M739" s="79"/>
      <c r="R739" s="79"/>
      <c r="S739" s="79"/>
      <c r="V739" s="79"/>
      <c r="W739" s="79"/>
      <c r="Z739" s="130"/>
      <c r="AB739" s="106"/>
    </row>
    <row r="740">
      <c r="C740" s="79"/>
      <c r="D740" s="79"/>
      <c r="E740" s="79"/>
      <c r="M740" s="79"/>
      <c r="R740" s="79"/>
      <c r="S740" s="79"/>
      <c r="V740" s="79"/>
      <c r="W740" s="79"/>
      <c r="Z740" s="130"/>
      <c r="AB740" s="106"/>
    </row>
    <row r="741">
      <c r="C741" s="79"/>
      <c r="D741" s="79"/>
      <c r="E741" s="79"/>
      <c r="M741" s="79"/>
      <c r="R741" s="79"/>
      <c r="S741" s="79"/>
      <c r="V741" s="79"/>
      <c r="W741" s="79"/>
      <c r="Z741" s="130"/>
      <c r="AB741" s="106"/>
    </row>
    <row r="742">
      <c r="C742" s="79"/>
      <c r="D742" s="79"/>
      <c r="E742" s="79"/>
      <c r="M742" s="79"/>
      <c r="R742" s="79"/>
      <c r="S742" s="79"/>
      <c r="V742" s="79"/>
      <c r="W742" s="79"/>
      <c r="Z742" s="130"/>
      <c r="AB742" s="106"/>
    </row>
    <row r="743">
      <c r="C743" s="79"/>
      <c r="D743" s="79"/>
      <c r="E743" s="79"/>
      <c r="M743" s="79"/>
      <c r="R743" s="79"/>
      <c r="S743" s="79"/>
      <c r="V743" s="79"/>
      <c r="W743" s="79"/>
      <c r="Z743" s="130"/>
      <c r="AB743" s="106"/>
    </row>
    <row r="744">
      <c r="C744" s="79"/>
      <c r="D744" s="79"/>
      <c r="E744" s="79"/>
      <c r="M744" s="79"/>
      <c r="R744" s="79"/>
      <c r="S744" s="79"/>
      <c r="V744" s="79"/>
      <c r="W744" s="79"/>
      <c r="Z744" s="130"/>
      <c r="AB744" s="106"/>
    </row>
    <row r="745">
      <c r="C745" s="79"/>
      <c r="D745" s="79"/>
      <c r="E745" s="79"/>
      <c r="M745" s="79"/>
      <c r="R745" s="79"/>
      <c r="S745" s="79"/>
      <c r="V745" s="79"/>
      <c r="W745" s="79"/>
      <c r="Z745" s="130"/>
      <c r="AB745" s="106"/>
    </row>
    <row r="746">
      <c r="C746" s="79"/>
      <c r="D746" s="79"/>
      <c r="E746" s="79"/>
      <c r="M746" s="79"/>
      <c r="R746" s="79"/>
      <c r="S746" s="79"/>
      <c r="V746" s="79"/>
      <c r="W746" s="79"/>
      <c r="Z746" s="130"/>
      <c r="AB746" s="106"/>
    </row>
    <row r="747">
      <c r="C747" s="79"/>
      <c r="D747" s="79"/>
      <c r="E747" s="79"/>
      <c r="M747" s="79"/>
      <c r="R747" s="79"/>
      <c r="S747" s="79"/>
      <c r="V747" s="79"/>
      <c r="W747" s="79"/>
      <c r="Z747" s="130"/>
      <c r="AB747" s="106"/>
    </row>
    <row r="748">
      <c r="C748" s="79"/>
      <c r="D748" s="79"/>
      <c r="E748" s="79"/>
      <c r="M748" s="79"/>
      <c r="R748" s="79"/>
      <c r="S748" s="79"/>
      <c r="V748" s="79"/>
      <c r="W748" s="79"/>
      <c r="Z748" s="130"/>
      <c r="AB748" s="106"/>
    </row>
    <row r="749">
      <c r="C749" s="79"/>
      <c r="D749" s="79"/>
      <c r="E749" s="79"/>
      <c r="M749" s="79"/>
      <c r="R749" s="79"/>
      <c r="S749" s="79"/>
      <c r="V749" s="79"/>
      <c r="W749" s="79"/>
      <c r="Z749" s="130"/>
      <c r="AB749" s="106"/>
    </row>
    <row r="750">
      <c r="C750" s="79"/>
      <c r="D750" s="79"/>
      <c r="E750" s="79"/>
      <c r="M750" s="79"/>
      <c r="R750" s="79"/>
      <c r="S750" s="79"/>
      <c r="V750" s="79"/>
      <c r="W750" s="79"/>
      <c r="Z750" s="130"/>
      <c r="AB750" s="106"/>
    </row>
    <row r="751">
      <c r="C751" s="79"/>
      <c r="D751" s="79"/>
      <c r="E751" s="79"/>
      <c r="M751" s="79"/>
      <c r="R751" s="79"/>
      <c r="S751" s="79"/>
      <c r="V751" s="79"/>
      <c r="W751" s="79"/>
      <c r="Z751" s="130"/>
      <c r="AB751" s="106"/>
    </row>
    <row r="752">
      <c r="C752" s="79"/>
      <c r="D752" s="79"/>
      <c r="E752" s="79"/>
      <c r="M752" s="79"/>
      <c r="R752" s="79"/>
      <c r="S752" s="79"/>
      <c r="V752" s="79"/>
      <c r="W752" s="79"/>
      <c r="Z752" s="130"/>
      <c r="AB752" s="106"/>
    </row>
    <row r="753">
      <c r="C753" s="79"/>
      <c r="D753" s="79"/>
      <c r="E753" s="79"/>
      <c r="M753" s="79"/>
      <c r="R753" s="79"/>
      <c r="S753" s="79"/>
      <c r="V753" s="79"/>
      <c r="W753" s="79"/>
      <c r="Z753" s="130"/>
      <c r="AB753" s="106"/>
    </row>
    <row r="754">
      <c r="C754" s="79"/>
      <c r="D754" s="79"/>
      <c r="E754" s="79"/>
      <c r="M754" s="79"/>
      <c r="R754" s="79"/>
      <c r="S754" s="79"/>
      <c r="V754" s="79"/>
      <c r="W754" s="79"/>
      <c r="Z754" s="130"/>
      <c r="AB754" s="106"/>
    </row>
    <row r="755">
      <c r="C755" s="79"/>
      <c r="D755" s="79"/>
      <c r="E755" s="79"/>
      <c r="M755" s="79"/>
      <c r="R755" s="79"/>
      <c r="S755" s="79"/>
      <c r="V755" s="79"/>
      <c r="W755" s="79"/>
      <c r="Z755" s="130"/>
      <c r="AB755" s="106"/>
    </row>
    <row r="756">
      <c r="C756" s="79"/>
      <c r="D756" s="79"/>
      <c r="E756" s="79"/>
      <c r="M756" s="79"/>
      <c r="R756" s="79"/>
      <c r="S756" s="79"/>
      <c r="V756" s="79"/>
      <c r="W756" s="79"/>
      <c r="Z756" s="130"/>
      <c r="AB756" s="106"/>
    </row>
    <row r="757">
      <c r="C757" s="79"/>
      <c r="D757" s="79"/>
      <c r="E757" s="79"/>
      <c r="M757" s="79"/>
      <c r="R757" s="79"/>
      <c r="S757" s="79"/>
      <c r="V757" s="79"/>
      <c r="W757" s="79"/>
      <c r="Z757" s="130"/>
      <c r="AB757" s="106"/>
    </row>
    <row r="758">
      <c r="C758" s="79"/>
      <c r="D758" s="79"/>
      <c r="E758" s="79"/>
      <c r="M758" s="79"/>
      <c r="R758" s="79"/>
      <c r="S758" s="79"/>
      <c r="V758" s="79"/>
      <c r="W758" s="79"/>
      <c r="Z758" s="130"/>
      <c r="AB758" s="106"/>
    </row>
    <row r="759">
      <c r="C759" s="79"/>
      <c r="D759" s="79"/>
      <c r="E759" s="79"/>
      <c r="M759" s="79"/>
      <c r="R759" s="79"/>
      <c r="S759" s="79"/>
      <c r="V759" s="79"/>
      <c r="W759" s="79"/>
      <c r="Z759" s="130"/>
      <c r="AB759" s="106"/>
    </row>
    <row r="760">
      <c r="C760" s="79"/>
      <c r="D760" s="79"/>
      <c r="E760" s="79"/>
      <c r="M760" s="79"/>
      <c r="R760" s="79"/>
      <c r="S760" s="79"/>
      <c r="V760" s="79"/>
      <c r="W760" s="79"/>
      <c r="Z760" s="130"/>
      <c r="AB760" s="106"/>
    </row>
    <row r="761">
      <c r="C761" s="79"/>
      <c r="D761" s="79"/>
      <c r="E761" s="79"/>
      <c r="M761" s="79"/>
      <c r="R761" s="79"/>
      <c r="S761" s="79"/>
      <c r="V761" s="79"/>
      <c r="W761" s="79"/>
      <c r="Z761" s="130"/>
      <c r="AB761" s="106"/>
    </row>
    <row r="762">
      <c r="C762" s="79"/>
      <c r="D762" s="79"/>
      <c r="E762" s="79"/>
      <c r="M762" s="79"/>
      <c r="R762" s="79"/>
      <c r="S762" s="79"/>
      <c r="V762" s="79"/>
      <c r="W762" s="79"/>
      <c r="Z762" s="130"/>
      <c r="AB762" s="106"/>
    </row>
    <row r="763">
      <c r="C763" s="79"/>
      <c r="D763" s="79"/>
      <c r="E763" s="79"/>
      <c r="M763" s="79"/>
      <c r="R763" s="79"/>
      <c r="S763" s="79"/>
      <c r="V763" s="79"/>
      <c r="W763" s="79"/>
      <c r="Z763" s="130"/>
      <c r="AB763" s="106"/>
    </row>
    <row r="764">
      <c r="C764" s="79"/>
      <c r="D764" s="79"/>
      <c r="E764" s="79"/>
      <c r="M764" s="79"/>
      <c r="R764" s="79"/>
      <c r="S764" s="79"/>
      <c r="V764" s="79"/>
      <c r="W764" s="79"/>
      <c r="Z764" s="130"/>
      <c r="AB764" s="106"/>
    </row>
    <row r="765">
      <c r="C765" s="79"/>
      <c r="D765" s="79"/>
      <c r="E765" s="79"/>
      <c r="M765" s="79"/>
      <c r="R765" s="79"/>
      <c r="S765" s="79"/>
      <c r="V765" s="79"/>
      <c r="W765" s="79"/>
      <c r="Z765" s="130"/>
      <c r="AB765" s="106"/>
    </row>
    <row r="766">
      <c r="C766" s="79"/>
      <c r="D766" s="79"/>
      <c r="E766" s="79"/>
      <c r="M766" s="79"/>
      <c r="R766" s="79"/>
      <c r="S766" s="79"/>
      <c r="V766" s="79"/>
      <c r="W766" s="79"/>
      <c r="Z766" s="130"/>
      <c r="AB766" s="106"/>
    </row>
    <row r="767">
      <c r="C767" s="79"/>
      <c r="D767" s="79"/>
      <c r="E767" s="79"/>
      <c r="M767" s="79"/>
      <c r="R767" s="79"/>
      <c r="S767" s="79"/>
      <c r="V767" s="79"/>
      <c r="W767" s="79"/>
      <c r="Z767" s="130"/>
      <c r="AB767" s="106"/>
    </row>
    <row r="768">
      <c r="C768" s="79"/>
      <c r="D768" s="79"/>
      <c r="E768" s="79"/>
      <c r="M768" s="79"/>
      <c r="R768" s="79"/>
      <c r="S768" s="79"/>
      <c r="V768" s="79"/>
      <c r="W768" s="79"/>
      <c r="Z768" s="130"/>
      <c r="AB768" s="106"/>
    </row>
    <row r="769">
      <c r="C769" s="79"/>
      <c r="D769" s="79"/>
      <c r="E769" s="79"/>
      <c r="M769" s="79"/>
      <c r="R769" s="79"/>
      <c r="S769" s="79"/>
      <c r="V769" s="79"/>
      <c r="W769" s="79"/>
      <c r="Z769" s="130"/>
      <c r="AB769" s="106"/>
    </row>
    <row r="770">
      <c r="C770" s="79"/>
      <c r="D770" s="79"/>
      <c r="E770" s="79"/>
      <c r="M770" s="79"/>
      <c r="R770" s="79"/>
      <c r="S770" s="79"/>
      <c r="V770" s="79"/>
      <c r="W770" s="79"/>
      <c r="Z770" s="130"/>
      <c r="AB770" s="106"/>
    </row>
    <row r="771">
      <c r="C771" s="79"/>
      <c r="D771" s="79"/>
      <c r="E771" s="79"/>
      <c r="M771" s="79"/>
      <c r="R771" s="79"/>
      <c r="S771" s="79"/>
      <c r="V771" s="79"/>
      <c r="W771" s="79"/>
      <c r="Z771" s="130"/>
      <c r="AB771" s="106"/>
    </row>
    <row r="772">
      <c r="C772" s="79"/>
      <c r="D772" s="79"/>
      <c r="E772" s="79"/>
      <c r="M772" s="79"/>
      <c r="R772" s="79"/>
      <c r="S772" s="79"/>
      <c r="V772" s="79"/>
      <c r="W772" s="79"/>
      <c r="Z772" s="130"/>
      <c r="AB772" s="106"/>
    </row>
    <row r="773">
      <c r="C773" s="79"/>
      <c r="D773" s="79"/>
      <c r="E773" s="79"/>
      <c r="M773" s="79"/>
      <c r="R773" s="79"/>
      <c r="S773" s="79"/>
      <c r="V773" s="79"/>
      <c r="W773" s="79"/>
      <c r="Z773" s="130"/>
      <c r="AB773" s="106"/>
    </row>
    <row r="774">
      <c r="C774" s="79"/>
      <c r="D774" s="79"/>
      <c r="E774" s="79"/>
      <c r="M774" s="79"/>
      <c r="R774" s="79"/>
      <c r="S774" s="79"/>
      <c r="V774" s="79"/>
      <c r="W774" s="79"/>
      <c r="Z774" s="130"/>
      <c r="AB774" s="106"/>
    </row>
    <row r="775">
      <c r="C775" s="79"/>
      <c r="D775" s="79"/>
      <c r="E775" s="79"/>
      <c r="M775" s="79"/>
      <c r="R775" s="79"/>
      <c r="S775" s="79"/>
      <c r="V775" s="79"/>
      <c r="W775" s="79"/>
      <c r="Z775" s="130"/>
      <c r="AB775" s="106"/>
    </row>
    <row r="776">
      <c r="C776" s="79"/>
      <c r="D776" s="79"/>
      <c r="E776" s="79"/>
      <c r="M776" s="79"/>
      <c r="R776" s="79"/>
      <c r="S776" s="79"/>
      <c r="V776" s="79"/>
      <c r="W776" s="79"/>
      <c r="Z776" s="130"/>
      <c r="AB776" s="106"/>
    </row>
    <row r="777">
      <c r="C777" s="79"/>
      <c r="D777" s="79"/>
      <c r="E777" s="79"/>
      <c r="M777" s="79"/>
      <c r="R777" s="79"/>
      <c r="S777" s="79"/>
      <c r="V777" s="79"/>
      <c r="W777" s="79"/>
      <c r="Z777" s="130"/>
      <c r="AB777" s="106"/>
    </row>
    <row r="778">
      <c r="C778" s="79"/>
      <c r="D778" s="79"/>
      <c r="E778" s="79"/>
      <c r="M778" s="79"/>
      <c r="R778" s="79"/>
      <c r="S778" s="79"/>
      <c r="V778" s="79"/>
      <c r="W778" s="79"/>
      <c r="Z778" s="130"/>
      <c r="AB778" s="106"/>
    </row>
    <row r="779">
      <c r="C779" s="79"/>
      <c r="D779" s="79"/>
      <c r="E779" s="79"/>
      <c r="M779" s="79"/>
      <c r="R779" s="79"/>
      <c r="S779" s="79"/>
      <c r="V779" s="79"/>
      <c r="W779" s="79"/>
      <c r="Z779" s="130"/>
      <c r="AB779" s="106"/>
    </row>
    <row r="780">
      <c r="C780" s="79"/>
      <c r="D780" s="79"/>
      <c r="E780" s="79"/>
      <c r="M780" s="79"/>
      <c r="R780" s="79"/>
      <c r="S780" s="79"/>
      <c r="V780" s="79"/>
      <c r="W780" s="79"/>
      <c r="Z780" s="130"/>
      <c r="AB780" s="106"/>
    </row>
    <row r="781">
      <c r="C781" s="79"/>
      <c r="D781" s="79"/>
      <c r="E781" s="79"/>
      <c r="M781" s="79"/>
      <c r="R781" s="79"/>
      <c r="S781" s="79"/>
      <c r="V781" s="79"/>
      <c r="W781" s="79"/>
      <c r="Z781" s="130"/>
      <c r="AB781" s="106"/>
    </row>
    <row r="782">
      <c r="C782" s="79"/>
      <c r="D782" s="79"/>
      <c r="E782" s="79"/>
      <c r="M782" s="79"/>
      <c r="R782" s="79"/>
      <c r="S782" s="79"/>
      <c r="V782" s="79"/>
      <c r="W782" s="79"/>
      <c r="Z782" s="130"/>
      <c r="AB782" s="106"/>
    </row>
    <row r="783">
      <c r="C783" s="79"/>
      <c r="D783" s="79"/>
      <c r="E783" s="79"/>
      <c r="M783" s="79"/>
      <c r="R783" s="79"/>
      <c r="S783" s="79"/>
      <c r="V783" s="79"/>
      <c r="W783" s="79"/>
      <c r="Z783" s="130"/>
      <c r="AB783" s="106"/>
    </row>
    <row r="784">
      <c r="C784" s="79"/>
      <c r="D784" s="79"/>
      <c r="E784" s="79"/>
      <c r="M784" s="79"/>
      <c r="R784" s="79"/>
      <c r="S784" s="79"/>
      <c r="V784" s="79"/>
      <c r="W784" s="79"/>
      <c r="Z784" s="130"/>
      <c r="AB784" s="106"/>
    </row>
    <row r="785">
      <c r="C785" s="79"/>
      <c r="D785" s="79"/>
      <c r="E785" s="79"/>
      <c r="M785" s="79"/>
      <c r="R785" s="79"/>
      <c r="S785" s="79"/>
      <c r="V785" s="79"/>
      <c r="W785" s="79"/>
      <c r="Z785" s="130"/>
      <c r="AB785" s="106"/>
    </row>
    <row r="786">
      <c r="C786" s="79"/>
      <c r="D786" s="79"/>
      <c r="E786" s="79"/>
      <c r="M786" s="79"/>
      <c r="R786" s="79"/>
      <c r="S786" s="79"/>
      <c r="V786" s="79"/>
      <c r="W786" s="79"/>
      <c r="Z786" s="130"/>
      <c r="AB786" s="106"/>
    </row>
    <row r="787">
      <c r="C787" s="79"/>
      <c r="D787" s="79"/>
      <c r="E787" s="79"/>
      <c r="M787" s="79"/>
      <c r="R787" s="79"/>
      <c r="S787" s="79"/>
      <c r="V787" s="79"/>
      <c r="W787" s="79"/>
      <c r="Z787" s="130"/>
      <c r="AB787" s="106"/>
    </row>
    <row r="788">
      <c r="C788" s="79"/>
      <c r="D788" s="79"/>
      <c r="E788" s="79"/>
      <c r="M788" s="79"/>
      <c r="R788" s="79"/>
      <c r="S788" s="79"/>
      <c r="V788" s="79"/>
      <c r="W788" s="79"/>
      <c r="Z788" s="130"/>
      <c r="AB788" s="106"/>
    </row>
    <row r="789">
      <c r="C789" s="79"/>
      <c r="D789" s="79"/>
      <c r="E789" s="79"/>
      <c r="M789" s="79"/>
      <c r="R789" s="79"/>
      <c r="S789" s="79"/>
      <c r="V789" s="79"/>
      <c r="W789" s="79"/>
      <c r="Z789" s="130"/>
      <c r="AB789" s="106"/>
    </row>
    <row r="790">
      <c r="C790" s="79"/>
      <c r="D790" s="79"/>
      <c r="E790" s="79"/>
      <c r="M790" s="79"/>
      <c r="R790" s="79"/>
      <c r="S790" s="79"/>
      <c r="V790" s="79"/>
      <c r="W790" s="79"/>
      <c r="Z790" s="130"/>
      <c r="AB790" s="106"/>
    </row>
    <row r="791">
      <c r="C791" s="79"/>
      <c r="D791" s="79"/>
      <c r="E791" s="79"/>
      <c r="M791" s="79"/>
      <c r="R791" s="79"/>
      <c r="S791" s="79"/>
      <c r="V791" s="79"/>
      <c r="W791" s="79"/>
      <c r="Z791" s="130"/>
      <c r="AB791" s="106"/>
    </row>
    <row r="792">
      <c r="C792" s="79"/>
      <c r="D792" s="79"/>
      <c r="E792" s="79"/>
      <c r="M792" s="79"/>
      <c r="R792" s="79"/>
      <c r="S792" s="79"/>
      <c r="V792" s="79"/>
      <c r="W792" s="79"/>
      <c r="Z792" s="130"/>
      <c r="AB792" s="106"/>
    </row>
    <row r="793">
      <c r="C793" s="79"/>
      <c r="D793" s="79"/>
      <c r="E793" s="79"/>
      <c r="M793" s="79"/>
      <c r="R793" s="79"/>
      <c r="S793" s="79"/>
      <c r="V793" s="79"/>
      <c r="W793" s="79"/>
      <c r="Z793" s="130"/>
      <c r="AB793" s="106"/>
    </row>
    <row r="794">
      <c r="C794" s="79"/>
      <c r="D794" s="79"/>
      <c r="E794" s="79"/>
      <c r="M794" s="79"/>
      <c r="R794" s="79"/>
      <c r="S794" s="79"/>
      <c r="V794" s="79"/>
      <c r="W794" s="79"/>
      <c r="Z794" s="130"/>
      <c r="AB794" s="106"/>
    </row>
    <row r="795">
      <c r="C795" s="79"/>
      <c r="D795" s="79"/>
      <c r="E795" s="79"/>
      <c r="M795" s="79"/>
      <c r="R795" s="79"/>
      <c r="S795" s="79"/>
      <c r="V795" s="79"/>
      <c r="W795" s="79"/>
      <c r="Z795" s="130"/>
      <c r="AB795" s="106"/>
    </row>
    <row r="796">
      <c r="C796" s="79"/>
      <c r="D796" s="79"/>
      <c r="E796" s="79"/>
      <c r="M796" s="79"/>
      <c r="R796" s="79"/>
      <c r="S796" s="79"/>
      <c r="V796" s="79"/>
      <c r="W796" s="79"/>
      <c r="Z796" s="130"/>
      <c r="AB796" s="106"/>
    </row>
    <row r="797">
      <c r="C797" s="79"/>
      <c r="D797" s="79"/>
      <c r="E797" s="79"/>
      <c r="M797" s="79"/>
      <c r="R797" s="79"/>
      <c r="S797" s="79"/>
      <c r="V797" s="79"/>
      <c r="W797" s="79"/>
      <c r="Z797" s="130"/>
      <c r="AB797" s="106"/>
    </row>
    <row r="798">
      <c r="C798" s="79"/>
      <c r="D798" s="79"/>
      <c r="E798" s="79"/>
      <c r="M798" s="79"/>
      <c r="R798" s="79"/>
      <c r="S798" s="79"/>
      <c r="V798" s="79"/>
      <c r="W798" s="79"/>
      <c r="Z798" s="130"/>
      <c r="AB798" s="106"/>
    </row>
    <row r="799">
      <c r="C799" s="79"/>
      <c r="D799" s="79"/>
      <c r="E799" s="79"/>
      <c r="M799" s="79"/>
      <c r="R799" s="79"/>
      <c r="S799" s="79"/>
      <c r="V799" s="79"/>
      <c r="W799" s="79"/>
      <c r="Z799" s="130"/>
      <c r="AB799" s="106"/>
    </row>
    <row r="800">
      <c r="C800" s="79"/>
      <c r="D800" s="79"/>
      <c r="E800" s="79"/>
      <c r="M800" s="79"/>
      <c r="R800" s="79"/>
      <c r="S800" s="79"/>
      <c r="V800" s="79"/>
      <c r="W800" s="79"/>
      <c r="Z800" s="130"/>
      <c r="AB800" s="106"/>
    </row>
    <row r="801">
      <c r="C801" s="79"/>
      <c r="D801" s="79"/>
      <c r="E801" s="79"/>
      <c r="M801" s="79"/>
      <c r="R801" s="79"/>
      <c r="S801" s="79"/>
      <c r="V801" s="79"/>
      <c r="W801" s="79"/>
      <c r="Z801" s="130"/>
      <c r="AB801" s="106"/>
    </row>
    <row r="802">
      <c r="C802" s="79"/>
      <c r="D802" s="79"/>
      <c r="E802" s="79"/>
      <c r="M802" s="79"/>
      <c r="R802" s="79"/>
      <c r="S802" s="79"/>
      <c r="V802" s="79"/>
      <c r="W802" s="79"/>
      <c r="Z802" s="130"/>
      <c r="AB802" s="106"/>
    </row>
    <row r="803">
      <c r="C803" s="79"/>
      <c r="D803" s="79"/>
      <c r="E803" s="79"/>
      <c r="M803" s="79"/>
      <c r="R803" s="79"/>
      <c r="S803" s="79"/>
      <c r="V803" s="79"/>
      <c r="W803" s="79"/>
      <c r="Z803" s="130"/>
      <c r="AB803" s="106"/>
    </row>
    <row r="804">
      <c r="C804" s="79"/>
      <c r="D804" s="79"/>
      <c r="E804" s="79"/>
      <c r="M804" s="79"/>
      <c r="R804" s="79"/>
      <c r="S804" s="79"/>
      <c r="V804" s="79"/>
      <c r="W804" s="79"/>
      <c r="Z804" s="130"/>
      <c r="AB804" s="106"/>
    </row>
    <row r="805">
      <c r="C805" s="79"/>
      <c r="D805" s="79"/>
      <c r="E805" s="79"/>
      <c r="M805" s="79"/>
      <c r="R805" s="79"/>
      <c r="S805" s="79"/>
      <c r="V805" s="79"/>
      <c r="W805" s="79"/>
      <c r="Z805" s="130"/>
      <c r="AB805" s="106"/>
    </row>
    <row r="806">
      <c r="C806" s="79"/>
      <c r="D806" s="79"/>
      <c r="E806" s="79"/>
      <c r="M806" s="79"/>
      <c r="R806" s="79"/>
      <c r="S806" s="79"/>
      <c r="V806" s="79"/>
      <c r="W806" s="79"/>
      <c r="Z806" s="130"/>
      <c r="AB806" s="106"/>
    </row>
    <row r="807">
      <c r="C807" s="79"/>
      <c r="D807" s="79"/>
      <c r="E807" s="79"/>
      <c r="M807" s="79"/>
      <c r="R807" s="79"/>
      <c r="S807" s="79"/>
      <c r="V807" s="79"/>
      <c r="W807" s="79"/>
      <c r="Z807" s="130"/>
      <c r="AB807" s="106"/>
    </row>
    <row r="808">
      <c r="C808" s="79"/>
      <c r="D808" s="79"/>
      <c r="E808" s="79"/>
      <c r="M808" s="79"/>
      <c r="R808" s="79"/>
      <c r="S808" s="79"/>
      <c r="V808" s="79"/>
      <c r="W808" s="79"/>
      <c r="Z808" s="130"/>
      <c r="AB808" s="106"/>
    </row>
    <row r="809">
      <c r="C809" s="79"/>
      <c r="D809" s="79"/>
      <c r="E809" s="79"/>
      <c r="M809" s="79"/>
      <c r="R809" s="79"/>
      <c r="S809" s="79"/>
      <c r="V809" s="79"/>
      <c r="W809" s="79"/>
      <c r="Z809" s="130"/>
      <c r="AB809" s="106"/>
    </row>
    <row r="810">
      <c r="C810" s="79"/>
      <c r="D810" s="79"/>
      <c r="E810" s="79"/>
      <c r="M810" s="79"/>
      <c r="R810" s="79"/>
      <c r="S810" s="79"/>
      <c r="V810" s="79"/>
      <c r="W810" s="79"/>
      <c r="Z810" s="130"/>
      <c r="AB810" s="106"/>
    </row>
    <row r="811">
      <c r="C811" s="79"/>
      <c r="D811" s="79"/>
      <c r="E811" s="79"/>
      <c r="M811" s="79"/>
      <c r="R811" s="79"/>
      <c r="S811" s="79"/>
      <c r="V811" s="79"/>
      <c r="W811" s="79"/>
      <c r="Z811" s="130"/>
      <c r="AB811" s="106"/>
    </row>
    <row r="812">
      <c r="C812" s="79"/>
      <c r="D812" s="79"/>
      <c r="E812" s="79"/>
      <c r="M812" s="79"/>
      <c r="R812" s="79"/>
      <c r="S812" s="79"/>
      <c r="V812" s="79"/>
      <c r="W812" s="79"/>
      <c r="Z812" s="130"/>
      <c r="AB812" s="106"/>
    </row>
    <row r="813">
      <c r="C813" s="79"/>
      <c r="D813" s="79"/>
      <c r="E813" s="79"/>
      <c r="M813" s="79"/>
      <c r="R813" s="79"/>
      <c r="S813" s="79"/>
      <c r="V813" s="79"/>
      <c r="W813" s="79"/>
      <c r="Z813" s="130"/>
      <c r="AB813" s="106"/>
    </row>
    <row r="814">
      <c r="C814" s="79"/>
      <c r="D814" s="79"/>
      <c r="E814" s="79"/>
      <c r="M814" s="79"/>
      <c r="R814" s="79"/>
      <c r="S814" s="79"/>
      <c r="V814" s="79"/>
      <c r="W814" s="79"/>
      <c r="Z814" s="130"/>
      <c r="AB814" s="106"/>
    </row>
    <row r="815">
      <c r="C815" s="79"/>
      <c r="D815" s="79"/>
      <c r="E815" s="79"/>
      <c r="M815" s="79"/>
      <c r="R815" s="79"/>
      <c r="S815" s="79"/>
      <c r="V815" s="79"/>
      <c r="W815" s="79"/>
      <c r="Z815" s="130"/>
      <c r="AB815" s="106"/>
    </row>
    <row r="816">
      <c r="C816" s="79"/>
      <c r="D816" s="79"/>
      <c r="E816" s="79"/>
      <c r="M816" s="79"/>
      <c r="R816" s="79"/>
      <c r="S816" s="79"/>
      <c r="V816" s="79"/>
      <c r="W816" s="79"/>
      <c r="Z816" s="130"/>
      <c r="AB816" s="106"/>
    </row>
    <row r="817">
      <c r="C817" s="79"/>
      <c r="D817" s="79"/>
      <c r="E817" s="79"/>
      <c r="M817" s="79"/>
      <c r="R817" s="79"/>
      <c r="S817" s="79"/>
      <c r="V817" s="79"/>
      <c r="W817" s="79"/>
      <c r="Z817" s="130"/>
      <c r="AB817" s="106"/>
    </row>
    <row r="818">
      <c r="C818" s="79"/>
      <c r="D818" s="79"/>
      <c r="E818" s="79"/>
      <c r="M818" s="79"/>
      <c r="R818" s="79"/>
      <c r="S818" s="79"/>
      <c r="V818" s="79"/>
      <c r="W818" s="79"/>
      <c r="Z818" s="130"/>
      <c r="AB818" s="106"/>
    </row>
    <row r="819">
      <c r="C819" s="79"/>
      <c r="D819" s="79"/>
      <c r="E819" s="79"/>
      <c r="M819" s="79"/>
      <c r="R819" s="79"/>
      <c r="S819" s="79"/>
      <c r="V819" s="79"/>
      <c r="W819" s="79"/>
      <c r="Z819" s="130"/>
      <c r="AB819" s="106"/>
    </row>
    <row r="820">
      <c r="C820" s="79"/>
      <c r="D820" s="79"/>
      <c r="E820" s="79"/>
      <c r="M820" s="79"/>
      <c r="R820" s="79"/>
      <c r="S820" s="79"/>
      <c r="V820" s="79"/>
      <c r="W820" s="79"/>
      <c r="Z820" s="130"/>
      <c r="AB820" s="106"/>
    </row>
    <row r="821">
      <c r="C821" s="79"/>
      <c r="D821" s="79"/>
      <c r="E821" s="79"/>
      <c r="M821" s="79"/>
      <c r="R821" s="79"/>
      <c r="S821" s="79"/>
      <c r="V821" s="79"/>
      <c r="W821" s="79"/>
      <c r="Z821" s="130"/>
      <c r="AB821" s="106"/>
    </row>
    <row r="822">
      <c r="C822" s="79"/>
      <c r="D822" s="79"/>
      <c r="E822" s="79"/>
      <c r="M822" s="79"/>
      <c r="R822" s="79"/>
      <c r="S822" s="79"/>
      <c r="V822" s="79"/>
      <c r="W822" s="79"/>
      <c r="Z822" s="130"/>
      <c r="AB822" s="106"/>
    </row>
    <row r="823">
      <c r="C823" s="79"/>
      <c r="D823" s="79"/>
      <c r="E823" s="79"/>
      <c r="M823" s="79"/>
      <c r="R823" s="79"/>
      <c r="S823" s="79"/>
      <c r="V823" s="79"/>
      <c r="W823" s="79"/>
      <c r="Z823" s="130"/>
      <c r="AB823" s="106"/>
    </row>
    <row r="824">
      <c r="C824" s="79"/>
      <c r="D824" s="79"/>
      <c r="E824" s="79"/>
      <c r="M824" s="79"/>
      <c r="R824" s="79"/>
      <c r="S824" s="79"/>
      <c r="V824" s="79"/>
      <c r="W824" s="79"/>
      <c r="Z824" s="130"/>
      <c r="AB824" s="106"/>
    </row>
    <row r="825">
      <c r="C825" s="79"/>
      <c r="D825" s="79"/>
      <c r="E825" s="79"/>
      <c r="M825" s="79"/>
      <c r="R825" s="79"/>
      <c r="S825" s="79"/>
      <c r="V825" s="79"/>
      <c r="W825" s="79"/>
      <c r="Z825" s="130"/>
      <c r="AB825" s="106"/>
    </row>
    <row r="826">
      <c r="C826" s="79"/>
      <c r="D826" s="79"/>
      <c r="E826" s="79"/>
      <c r="M826" s="79"/>
      <c r="R826" s="79"/>
      <c r="S826" s="79"/>
      <c r="V826" s="79"/>
      <c r="W826" s="79"/>
      <c r="Z826" s="130"/>
      <c r="AB826" s="106"/>
    </row>
    <row r="827">
      <c r="C827" s="79"/>
      <c r="D827" s="79"/>
      <c r="E827" s="79"/>
      <c r="M827" s="79"/>
      <c r="R827" s="79"/>
      <c r="S827" s="79"/>
      <c r="V827" s="79"/>
      <c r="W827" s="79"/>
      <c r="Z827" s="130"/>
      <c r="AB827" s="106"/>
    </row>
    <row r="828">
      <c r="C828" s="79"/>
      <c r="D828" s="79"/>
      <c r="E828" s="79"/>
      <c r="M828" s="79"/>
      <c r="R828" s="79"/>
      <c r="S828" s="79"/>
      <c r="V828" s="79"/>
      <c r="W828" s="79"/>
      <c r="Z828" s="130"/>
      <c r="AB828" s="106"/>
    </row>
    <row r="829">
      <c r="C829" s="79"/>
      <c r="D829" s="79"/>
      <c r="E829" s="79"/>
      <c r="M829" s="79"/>
      <c r="R829" s="79"/>
      <c r="S829" s="79"/>
      <c r="V829" s="79"/>
      <c r="W829" s="79"/>
      <c r="Z829" s="130"/>
      <c r="AB829" s="106"/>
    </row>
    <row r="830">
      <c r="C830" s="79"/>
      <c r="D830" s="79"/>
      <c r="E830" s="79"/>
      <c r="M830" s="79"/>
      <c r="R830" s="79"/>
      <c r="S830" s="79"/>
      <c r="V830" s="79"/>
      <c r="W830" s="79"/>
      <c r="Z830" s="130"/>
      <c r="AB830" s="106"/>
    </row>
    <row r="831">
      <c r="C831" s="79"/>
      <c r="D831" s="79"/>
      <c r="E831" s="79"/>
      <c r="M831" s="79"/>
      <c r="R831" s="79"/>
      <c r="S831" s="79"/>
      <c r="V831" s="79"/>
      <c r="W831" s="79"/>
      <c r="Z831" s="130"/>
      <c r="AB831" s="106"/>
    </row>
    <row r="832">
      <c r="C832" s="79"/>
      <c r="D832" s="79"/>
      <c r="E832" s="79"/>
      <c r="M832" s="79"/>
      <c r="R832" s="79"/>
      <c r="S832" s="79"/>
      <c r="V832" s="79"/>
      <c r="W832" s="79"/>
      <c r="Z832" s="130"/>
      <c r="AB832" s="106"/>
    </row>
    <row r="833">
      <c r="C833" s="79"/>
      <c r="D833" s="79"/>
      <c r="E833" s="79"/>
      <c r="M833" s="79"/>
      <c r="R833" s="79"/>
      <c r="S833" s="79"/>
      <c r="V833" s="79"/>
      <c r="W833" s="79"/>
      <c r="Z833" s="130"/>
      <c r="AB833" s="106"/>
    </row>
    <row r="834">
      <c r="C834" s="79"/>
      <c r="D834" s="79"/>
      <c r="E834" s="79"/>
      <c r="M834" s="79"/>
      <c r="R834" s="79"/>
      <c r="S834" s="79"/>
      <c r="V834" s="79"/>
      <c r="W834" s="79"/>
      <c r="Z834" s="130"/>
      <c r="AB834" s="106"/>
    </row>
    <row r="835">
      <c r="C835" s="79"/>
      <c r="D835" s="79"/>
      <c r="E835" s="79"/>
      <c r="M835" s="79"/>
      <c r="R835" s="79"/>
      <c r="S835" s="79"/>
      <c r="V835" s="79"/>
      <c r="W835" s="79"/>
      <c r="Z835" s="130"/>
      <c r="AB835" s="106"/>
    </row>
    <row r="836">
      <c r="C836" s="79"/>
      <c r="D836" s="79"/>
      <c r="E836" s="79"/>
      <c r="M836" s="79"/>
      <c r="R836" s="79"/>
      <c r="S836" s="79"/>
      <c r="V836" s="79"/>
      <c r="W836" s="79"/>
      <c r="Z836" s="130"/>
      <c r="AB836" s="106"/>
    </row>
    <row r="837">
      <c r="C837" s="79"/>
      <c r="D837" s="79"/>
      <c r="E837" s="79"/>
      <c r="M837" s="79"/>
      <c r="R837" s="79"/>
      <c r="S837" s="79"/>
      <c r="V837" s="79"/>
      <c r="W837" s="79"/>
      <c r="Z837" s="130"/>
      <c r="AB837" s="106"/>
    </row>
    <row r="838">
      <c r="C838" s="79"/>
      <c r="D838" s="79"/>
      <c r="E838" s="79"/>
      <c r="M838" s="79"/>
      <c r="R838" s="79"/>
      <c r="S838" s="79"/>
      <c r="V838" s="79"/>
      <c r="W838" s="79"/>
      <c r="Z838" s="130"/>
      <c r="AB838" s="106"/>
    </row>
    <row r="839">
      <c r="C839" s="79"/>
      <c r="D839" s="79"/>
      <c r="E839" s="79"/>
      <c r="M839" s="79"/>
      <c r="R839" s="79"/>
      <c r="S839" s="79"/>
      <c r="V839" s="79"/>
      <c r="W839" s="79"/>
      <c r="Z839" s="130"/>
      <c r="AB839" s="106"/>
    </row>
    <row r="840">
      <c r="C840" s="79"/>
      <c r="D840" s="79"/>
      <c r="E840" s="79"/>
      <c r="M840" s="79"/>
      <c r="R840" s="79"/>
      <c r="S840" s="79"/>
      <c r="V840" s="79"/>
      <c r="W840" s="79"/>
      <c r="Z840" s="130"/>
      <c r="AB840" s="106"/>
    </row>
    <row r="841">
      <c r="C841" s="79"/>
      <c r="D841" s="79"/>
      <c r="E841" s="79"/>
      <c r="M841" s="79"/>
      <c r="R841" s="79"/>
      <c r="S841" s="79"/>
      <c r="V841" s="79"/>
      <c r="W841" s="79"/>
      <c r="Z841" s="130"/>
      <c r="AB841" s="106"/>
    </row>
    <row r="842">
      <c r="C842" s="79"/>
      <c r="D842" s="79"/>
      <c r="E842" s="79"/>
      <c r="M842" s="79"/>
      <c r="R842" s="79"/>
      <c r="S842" s="79"/>
      <c r="V842" s="79"/>
      <c r="W842" s="79"/>
      <c r="Z842" s="130"/>
      <c r="AB842" s="106"/>
    </row>
    <row r="843">
      <c r="C843" s="79"/>
      <c r="D843" s="79"/>
      <c r="E843" s="79"/>
      <c r="M843" s="79"/>
      <c r="R843" s="79"/>
      <c r="S843" s="79"/>
      <c r="V843" s="79"/>
      <c r="W843" s="79"/>
      <c r="Z843" s="130"/>
      <c r="AB843" s="106"/>
    </row>
    <row r="844">
      <c r="C844" s="79"/>
      <c r="D844" s="79"/>
      <c r="E844" s="79"/>
      <c r="M844" s="79"/>
      <c r="R844" s="79"/>
      <c r="S844" s="79"/>
      <c r="V844" s="79"/>
      <c r="W844" s="79"/>
      <c r="Z844" s="130"/>
      <c r="AB844" s="106"/>
    </row>
    <row r="845">
      <c r="C845" s="79"/>
      <c r="D845" s="79"/>
      <c r="E845" s="79"/>
      <c r="M845" s="79"/>
      <c r="R845" s="79"/>
      <c r="S845" s="79"/>
      <c r="V845" s="79"/>
      <c r="W845" s="79"/>
      <c r="Z845" s="130"/>
      <c r="AB845" s="106"/>
    </row>
    <row r="846">
      <c r="C846" s="79"/>
      <c r="D846" s="79"/>
      <c r="E846" s="79"/>
      <c r="M846" s="79"/>
      <c r="R846" s="79"/>
      <c r="S846" s="79"/>
      <c r="V846" s="79"/>
      <c r="W846" s="79"/>
      <c r="Z846" s="130"/>
      <c r="AB846" s="106"/>
    </row>
    <row r="847">
      <c r="C847" s="79"/>
      <c r="D847" s="79"/>
      <c r="E847" s="79"/>
      <c r="M847" s="79"/>
      <c r="R847" s="79"/>
      <c r="S847" s="79"/>
      <c r="V847" s="79"/>
      <c r="W847" s="79"/>
      <c r="Z847" s="130"/>
      <c r="AB847" s="106"/>
    </row>
    <row r="848">
      <c r="C848" s="79"/>
      <c r="D848" s="79"/>
      <c r="E848" s="79"/>
      <c r="M848" s="79"/>
      <c r="R848" s="79"/>
      <c r="S848" s="79"/>
      <c r="V848" s="79"/>
      <c r="W848" s="79"/>
      <c r="Z848" s="130"/>
      <c r="AB848" s="106"/>
    </row>
    <row r="849">
      <c r="C849" s="79"/>
      <c r="D849" s="79"/>
      <c r="E849" s="79"/>
      <c r="M849" s="79"/>
      <c r="R849" s="79"/>
      <c r="S849" s="79"/>
      <c r="V849" s="79"/>
      <c r="W849" s="79"/>
      <c r="Z849" s="130"/>
      <c r="AB849" s="106"/>
    </row>
    <row r="850">
      <c r="C850" s="79"/>
      <c r="D850" s="79"/>
      <c r="E850" s="79"/>
      <c r="M850" s="79"/>
      <c r="R850" s="79"/>
      <c r="S850" s="79"/>
      <c r="V850" s="79"/>
      <c r="W850" s="79"/>
      <c r="Z850" s="130"/>
      <c r="AB850" s="106"/>
    </row>
    <row r="851">
      <c r="C851" s="79"/>
      <c r="D851" s="79"/>
      <c r="E851" s="79"/>
      <c r="M851" s="79"/>
      <c r="R851" s="79"/>
      <c r="S851" s="79"/>
      <c r="V851" s="79"/>
      <c r="W851" s="79"/>
      <c r="Z851" s="130"/>
      <c r="AB851" s="106"/>
    </row>
    <row r="852">
      <c r="C852" s="79"/>
      <c r="D852" s="79"/>
      <c r="E852" s="79"/>
      <c r="M852" s="79"/>
      <c r="R852" s="79"/>
      <c r="S852" s="79"/>
      <c r="V852" s="79"/>
      <c r="W852" s="79"/>
      <c r="Z852" s="130"/>
      <c r="AB852" s="106"/>
    </row>
    <row r="853">
      <c r="C853" s="79"/>
      <c r="D853" s="79"/>
      <c r="E853" s="79"/>
      <c r="M853" s="79"/>
      <c r="R853" s="79"/>
      <c r="S853" s="79"/>
      <c r="V853" s="79"/>
      <c r="W853" s="79"/>
      <c r="Z853" s="130"/>
      <c r="AB853" s="106"/>
    </row>
    <row r="854">
      <c r="C854" s="79"/>
      <c r="D854" s="79"/>
      <c r="E854" s="79"/>
      <c r="M854" s="79"/>
      <c r="R854" s="79"/>
      <c r="S854" s="79"/>
      <c r="V854" s="79"/>
      <c r="W854" s="79"/>
      <c r="Z854" s="130"/>
      <c r="AB854" s="106"/>
    </row>
    <row r="855">
      <c r="C855" s="79"/>
      <c r="D855" s="79"/>
      <c r="E855" s="79"/>
      <c r="M855" s="79"/>
      <c r="R855" s="79"/>
      <c r="S855" s="79"/>
      <c r="V855" s="79"/>
      <c r="W855" s="79"/>
      <c r="Z855" s="130"/>
      <c r="AB855" s="106"/>
    </row>
    <row r="856">
      <c r="C856" s="79"/>
      <c r="D856" s="79"/>
      <c r="E856" s="79"/>
      <c r="M856" s="79"/>
      <c r="R856" s="79"/>
      <c r="S856" s="79"/>
      <c r="V856" s="79"/>
      <c r="W856" s="79"/>
      <c r="Z856" s="130"/>
      <c r="AB856" s="106"/>
    </row>
    <row r="857">
      <c r="C857" s="79"/>
      <c r="D857" s="79"/>
      <c r="E857" s="79"/>
      <c r="M857" s="79"/>
      <c r="R857" s="79"/>
      <c r="S857" s="79"/>
      <c r="V857" s="79"/>
      <c r="W857" s="79"/>
      <c r="Z857" s="130"/>
      <c r="AB857" s="106"/>
    </row>
    <row r="858">
      <c r="C858" s="79"/>
      <c r="D858" s="79"/>
      <c r="E858" s="79"/>
      <c r="M858" s="79"/>
      <c r="R858" s="79"/>
      <c r="S858" s="79"/>
      <c r="V858" s="79"/>
      <c r="W858" s="79"/>
      <c r="Z858" s="130"/>
      <c r="AB858" s="106"/>
    </row>
    <row r="859">
      <c r="C859" s="79"/>
      <c r="D859" s="79"/>
      <c r="E859" s="79"/>
      <c r="M859" s="79"/>
      <c r="R859" s="79"/>
      <c r="S859" s="79"/>
      <c r="V859" s="79"/>
      <c r="W859" s="79"/>
      <c r="Z859" s="130"/>
      <c r="AB859" s="106"/>
    </row>
    <row r="860">
      <c r="C860" s="79"/>
      <c r="D860" s="79"/>
      <c r="E860" s="79"/>
      <c r="M860" s="79"/>
      <c r="R860" s="79"/>
      <c r="S860" s="79"/>
      <c r="V860" s="79"/>
      <c r="W860" s="79"/>
      <c r="Z860" s="130"/>
      <c r="AB860" s="106"/>
    </row>
    <row r="861">
      <c r="C861" s="79"/>
      <c r="D861" s="79"/>
      <c r="E861" s="79"/>
      <c r="M861" s="79"/>
      <c r="R861" s="79"/>
      <c r="S861" s="79"/>
      <c r="V861" s="79"/>
      <c r="W861" s="79"/>
      <c r="Z861" s="130"/>
      <c r="AB861" s="106"/>
    </row>
    <row r="862">
      <c r="C862" s="79"/>
      <c r="D862" s="79"/>
      <c r="E862" s="79"/>
      <c r="M862" s="79"/>
      <c r="R862" s="79"/>
      <c r="S862" s="79"/>
      <c r="V862" s="79"/>
      <c r="W862" s="79"/>
      <c r="Z862" s="130"/>
      <c r="AB862" s="106"/>
    </row>
    <row r="863">
      <c r="C863" s="79"/>
      <c r="D863" s="79"/>
      <c r="E863" s="79"/>
      <c r="M863" s="79"/>
      <c r="R863" s="79"/>
      <c r="S863" s="79"/>
      <c r="V863" s="79"/>
      <c r="W863" s="79"/>
      <c r="Z863" s="130"/>
      <c r="AB863" s="106"/>
    </row>
    <row r="864">
      <c r="C864" s="79"/>
      <c r="D864" s="79"/>
      <c r="E864" s="79"/>
      <c r="M864" s="79"/>
      <c r="R864" s="79"/>
      <c r="S864" s="79"/>
      <c r="V864" s="79"/>
      <c r="W864" s="79"/>
      <c r="Z864" s="130"/>
      <c r="AB864" s="106"/>
    </row>
    <row r="865">
      <c r="C865" s="79"/>
      <c r="D865" s="79"/>
      <c r="E865" s="79"/>
      <c r="M865" s="79"/>
      <c r="R865" s="79"/>
      <c r="S865" s="79"/>
      <c r="V865" s="79"/>
      <c r="W865" s="79"/>
      <c r="Z865" s="130"/>
      <c r="AB865" s="106"/>
    </row>
    <row r="866">
      <c r="C866" s="79"/>
      <c r="D866" s="79"/>
      <c r="E866" s="79"/>
      <c r="M866" s="79"/>
      <c r="R866" s="79"/>
      <c r="S866" s="79"/>
      <c r="V866" s="79"/>
      <c r="W866" s="79"/>
      <c r="Z866" s="130"/>
      <c r="AB866" s="106"/>
    </row>
    <row r="867">
      <c r="C867" s="79"/>
      <c r="D867" s="79"/>
      <c r="E867" s="79"/>
      <c r="M867" s="79"/>
      <c r="R867" s="79"/>
      <c r="S867" s="79"/>
      <c r="V867" s="79"/>
      <c r="W867" s="79"/>
      <c r="Z867" s="130"/>
      <c r="AB867" s="106"/>
    </row>
    <row r="868">
      <c r="C868" s="79"/>
      <c r="D868" s="79"/>
      <c r="E868" s="79"/>
      <c r="M868" s="79"/>
      <c r="R868" s="79"/>
      <c r="S868" s="79"/>
      <c r="V868" s="79"/>
      <c r="W868" s="79"/>
      <c r="Z868" s="130"/>
      <c r="AB868" s="106"/>
    </row>
    <row r="869">
      <c r="C869" s="79"/>
      <c r="D869" s="79"/>
      <c r="E869" s="79"/>
      <c r="M869" s="79"/>
      <c r="R869" s="79"/>
      <c r="S869" s="79"/>
      <c r="V869" s="79"/>
      <c r="W869" s="79"/>
      <c r="Z869" s="130"/>
      <c r="AB869" s="106"/>
    </row>
    <row r="870">
      <c r="C870" s="79"/>
      <c r="D870" s="79"/>
      <c r="E870" s="79"/>
      <c r="M870" s="79"/>
      <c r="R870" s="79"/>
      <c r="S870" s="79"/>
      <c r="V870" s="79"/>
      <c r="W870" s="79"/>
      <c r="Z870" s="130"/>
      <c r="AB870" s="106"/>
    </row>
    <row r="871">
      <c r="C871" s="79"/>
      <c r="D871" s="79"/>
      <c r="E871" s="79"/>
      <c r="M871" s="79"/>
      <c r="R871" s="79"/>
      <c r="S871" s="79"/>
      <c r="V871" s="79"/>
      <c r="W871" s="79"/>
      <c r="Z871" s="130"/>
      <c r="AB871" s="106"/>
    </row>
    <row r="872">
      <c r="C872" s="79"/>
      <c r="D872" s="79"/>
      <c r="E872" s="79"/>
      <c r="M872" s="79"/>
      <c r="R872" s="79"/>
      <c r="S872" s="79"/>
      <c r="V872" s="79"/>
      <c r="W872" s="79"/>
      <c r="Z872" s="130"/>
      <c r="AB872" s="106"/>
    </row>
    <row r="873">
      <c r="C873" s="79"/>
      <c r="D873" s="79"/>
      <c r="E873" s="79"/>
      <c r="M873" s="79"/>
      <c r="R873" s="79"/>
      <c r="S873" s="79"/>
      <c r="V873" s="79"/>
      <c r="W873" s="79"/>
      <c r="Z873" s="130"/>
      <c r="AB873" s="106"/>
    </row>
    <row r="874">
      <c r="C874" s="79"/>
      <c r="D874" s="79"/>
      <c r="E874" s="79"/>
      <c r="M874" s="79"/>
      <c r="R874" s="79"/>
      <c r="S874" s="79"/>
      <c r="V874" s="79"/>
      <c r="W874" s="79"/>
      <c r="Z874" s="130"/>
      <c r="AB874" s="106"/>
    </row>
    <row r="875">
      <c r="C875" s="79"/>
      <c r="D875" s="79"/>
      <c r="E875" s="79"/>
      <c r="M875" s="79"/>
      <c r="R875" s="79"/>
      <c r="S875" s="79"/>
      <c r="V875" s="79"/>
      <c r="W875" s="79"/>
      <c r="Z875" s="130"/>
      <c r="AB875" s="106"/>
    </row>
    <row r="876">
      <c r="C876" s="79"/>
      <c r="D876" s="79"/>
      <c r="E876" s="79"/>
      <c r="M876" s="79"/>
      <c r="R876" s="79"/>
      <c r="S876" s="79"/>
      <c r="V876" s="79"/>
      <c r="W876" s="79"/>
      <c r="Z876" s="130"/>
      <c r="AB876" s="106"/>
    </row>
    <row r="877">
      <c r="C877" s="79"/>
      <c r="D877" s="79"/>
      <c r="E877" s="79"/>
      <c r="M877" s="79"/>
      <c r="R877" s="79"/>
      <c r="S877" s="79"/>
      <c r="V877" s="79"/>
      <c r="W877" s="79"/>
      <c r="Z877" s="130"/>
      <c r="AB877" s="106"/>
    </row>
    <row r="878">
      <c r="C878" s="79"/>
      <c r="D878" s="79"/>
      <c r="E878" s="79"/>
      <c r="M878" s="79"/>
      <c r="R878" s="79"/>
      <c r="S878" s="79"/>
      <c r="V878" s="79"/>
      <c r="W878" s="79"/>
      <c r="Z878" s="130"/>
      <c r="AB878" s="106"/>
    </row>
    <row r="879">
      <c r="C879" s="79"/>
      <c r="D879" s="79"/>
      <c r="E879" s="79"/>
      <c r="M879" s="79"/>
      <c r="R879" s="79"/>
      <c r="S879" s="79"/>
      <c r="V879" s="79"/>
      <c r="W879" s="79"/>
      <c r="Z879" s="130"/>
      <c r="AB879" s="106"/>
    </row>
    <row r="880">
      <c r="C880" s="79"/>
      <c r="D880" s="79"/>
      <c r="E880" s="79"/>
      <c r="M880" s="79"/>
      <c r="R880" s="79"/>
      <c r="S880" s="79"/>
      <c r="V880" s="79"/>
      <c r="W880" s="79"/>
      <c r="Z880" s="130"/>
      <c r="AB880" s="106"/>
    </row>
    <row r="881">
      <c r="C881" s="79"/>
      <c r="D881" s="79"/>
      <c r="E881" s="79"/>
      <c r="M881" s="79"/>
      <c r="R881" s="79"/>
      <c r="S881" s="79"/>
      <c r="V881" s="79"/>
      <c r="W881" s="79"/>
      <c r="Z881" s="130"/>
      <c r="AB881" s="106"/>
    </row>
    <row r="882">
      <c r="C882" s="79"/>
      <c r="D882" s="79"/>
      <c r="E882" s="79"/>
      <c r="M882" s="79"/>
      <c r="R882" s="79"/>
      <c r="S882" s="79"/>
      <c r="V882" s="79"/>
      <c r="W882" s="79"/>
      <c r="Z882" s="130"/>
      <c r="AB882" s="106"/>
    </row>
    <row r="883">
      <c r="C883" s="79"/>
      <c r="D883" s="79"/>
      <c r="E883" s="79"/>
      <c r="M883" s="79"/>
      <c r="R883" s="79"/>
      <c r="S883" s="79"/>
      <c r="V883" s="79"/>
      <c r="W883" s="79"/>
      <c r="Z883" s="130"/>
      <c r="AB883" s="106"/>
    </row>
    <row r="884">
      <c r="C884" s="79"/>
      <c r="D884" s="79"/>
      <c r="E884" s="79"/>
      <c r="M884" s="79"/>
      <c r="R884" s="79"/>
      <c r="S884" s="79"/>
      <c r="V884" s="79"/>
      <c r="W884" s="79"/>
      <c r="Z884" s="130"/>
      <c r="AB884" s="106"/>
    </row>
    <row r="885">
      <c r="C885" s="79"/>
      <c r="D885" s="79"/>
      <c r="E885" s="79"/>
      <c r="M885" s="79"/>
      <c r="R885" s="79"/>
      <c r="S885" s="79"/>
      <c r="V885" s="79"/>
      <c r="W885" s="79"/>
      <c r="Z885" s="130"/>
      <c r="AB885" s="106"/>
    </row>
    <row r="886">
      <c r="C886" s="79"/>
      <c r="D886" s="79"/>
      <c r="E886" s="79"/>
      <c r="M886" s="79"/>
      <c r="R886" s="79"/>
      <c r="S886" s="79"/>
      <c r="V886" s="79"/>
      <c r="W886" s="79"/>
      <c r="Z886" s="130"/>
      <c r="AB886" s="106"/>
    </row>
    <row r="887">
      <c r="C887" s="79"/>
      <c r="D887" s="79"/>
      <c r="E887" s="79"/>
      <c r="M887" s="79"/>
      <c r="R887" s="79"/>
      <c r="S887" s="79"/>
      <c r="V887" s="79"/>
      <c r="W887" s="79"/>
      <c r="Z887" s="130"/>
      <c r="AB887" s="106"/>
    </row>
    <row r="888">
      <c r="C888" s="79"/>
      <c r="D888" s="79"/>
      <c r="E888" s="79"/>
      <c r="M888" s="79"/>
      <c r="R888" s="79"/>
      <c r="S888" s="79"/>
      <c r="V888" s="79"/>
      <c r="W888" s="79"/>
      <c r="Z888" s="130"/>
      <c r="AB888" s="106"/>
    </row>
    <row r="889">
      <c r="C889" s="79"/>
      <c r="D889" s="79"/>
      <c r="E889" s="79"/>
      <c r="M889" s="79"/>
      <c r="R889" s="79"/>
      <c r="S889" s="79"/>
      <c r="V889" s="79"/>
      <c r="W889" s="79"/>
      <c r="Z889" s="130"/>
      <c r="AB889" s="106"/>
    </row>
    <row r="890">
      <c r="C890" s="79"/>
      <c r="D890" s="79"/>
      <c r="E890" s="79"/>
      <c r="M890" s="79"/>
      <c r="R890" s="79"/>
      <c r="S890" s="79"/>
      <c r="V890" s="79"/>
      <c r="W890" s="79"/>
      <c r="Z890" s="130"/>
      <c r="AB890" s="106"/>
    </row>
    <row r="891">
      <c r="C891" s="79"/>
      <c r="D891" s="79"/>
      <c r="E891" s="79"/>
      <c r="M891" s="79"/>
      <c r="R891" s="79"/>
      <c r="S891" s="79"/>
      <c r="V891" s="79"/>
      <c r="W891" s="79"/>
      <c r="Z891" s="130"/>
      <c r="AB891" s="106"/>
    </row>
    <row r="892">
      <c r="C892" s="79"/>
      <c r="D892" s="79"/>
      <c r="E892" s="79"/>
      <c r="M892" s="79"/>
      <c r="R892" s="79"/>
      <c r="S892" s="79"/>
      <c r="V892" s="79"/>
      <c r="W892" s="79"/>
      <c r="Z892" s="130"/>
      <c r="AB892" s="106"/>
    </row>
    <row r="893">
      <c r="C893" s="79"/>
      <c r="D893" s="79"/>
      <c r="E893" s="79"/>
      <c r="M893" s="79"/>
      <c r="R893" s="79"/>
      <c r="S893" s="79"/>
      <c r="V893" s="79"/>
      <c r="W893" s="79"/>
      <c r="Z893" s="130"/>
      <c r="AB893" s="106"/>
    </row>
    <row r="894">
      <c r="C894" s="79"/>
      <c r="D894" s="79"/>
      <c r="E894" s="79"/>
      <c r="M894" s="79"/>
      <c r="R894" s="79"/>
      <c r="S894" s="79"/>
      <c r="V894" s="79"/>
      <c r="W894" s="79"/>
      <c r="Z894" s="130"/>
      <c r="AB894" s="106"/>
    </row>
    <row r="895">
      <c r="C895" s="79"/>
      <c r="D895" s="79"/>
      <c r="E895" s="79"/>
      <c r="M895" s="79"/>
      <c r="R895" s="79"/>
      <c r="S895" s="79"/>
      <c r="V895" s="79"/>
      <c r="W895" s="79"/>
      <c r="Z895" s="130"/>
      <c r="AB895" s="106"/>
    </row>
    <row r="896">
      <c r="C896" s="79"/>
      <c r="D896" s="79"/>
      <c r="E896" s="79"/>
      <c r="M896" s="79"/>
      <c r="R896" s="79"/>
      <c r="S896" s="79"/>
      <c r="V896" s="79"/>
      <c r="W896" s="79"/>
      <c r="Z896" s="130"/>
      <c r="AB896" s="106"/>
    </row>
    <row r="897">
      <c r="C897" s="79"/>
      <c r="D897" s="79"/>
      <c r="E897" s="79"/>
      <c r="M897" s="79"/>
      <c r="R897" s="79"/>
      <c r="S897" s="79"/>
      <c r="V897" s="79"/>
      <c r="W897" s="79"/>
      <c r="Z897" s="130"/>
      <c r="AB897" s="106"/>
    </row>
    <row r="898">
      <c r="C898" s="79"/>
      <c r="D898" s="79"/>
      <c r="E898" s="79"/>
      <c r="M898" s="79"/>
      <c r="R898" s="79"/>
      <c r="S898" s="79"/>
      <c r="V898" s="79"/>
      <c r="W898" s="79"/>
      <c r="Z898" s="130"/>
      <c r="AB898" s="106"/>
    </row>
    <row r="899">
      <c r="C899" s="79"/>
      <c r="D899" s="79"/>
      <c r="E899" s="79"/>
      <c r="M899" s="79"/>
      <c r="R899" s="79"/>
      <c r="S899" s="79"/>
      <c r="V899" s="79"/>
      <c r="W899" s="79"/>
      <c r="Z899" s="130"/>
      <c r="AB899" s="106"/>
    </row>
    <row r="900">
      <c r="C900" s="79"/>
      <c r="D900" s="79"/>
      <c r="E900" s="79"/>
      <c r="M900" s="79"/>
      <c r="R900" s="79"/>
      <c r="S900" s="79"/>
      <c r="V900" s="79"/>
      <c r="W900" s="79"/>
      <c r="Z900" s="130"/>
      <c r="AB900" s="106"/>
    </row>
    <row r="901">
      <c r="C901" s="79"/>
      <c r="D901" s="79"/>
      <c r="E901" s="79"/>
      <c r="M901" s="79"/>
      <c r="R901" s="79"/>
      <c r="S901" s="79"/>
      <c r="V901" s="79"/>
      <c r="W901" s="79"/>
      <c r="Z901" s="130"/>
      <c r="AB901" s="106"/>
    </row>
    <row r="902">
      <c r="C902" s="79"/>
      <c r="D902" s="79"/>
      <c r="E902" s="79"/>
      <c r="M902" s="79"/>
      <c r="R902" s="79"/>
      <c r="S902" s="79"/>
      <c r="V902" s="79"/>
      <c r="W902" s="79"/>
      <c r="Z902" s="130"/>
      <c r="AB902" s="106"/>
    </row>
    <row r="903">
      <c r="C903" s="79"/>
      <c r="D903" s="79"/>
      <c r="E903" s="79"/>
      <c r="M903" s="79"/>
      <c r="R903" s="79"/>
      <c r="S903" s="79"/>
      <c r="V903" s="79"/>
      <c r="W903" s="79"/>
      <c r="Z903" s="130"/>
      <c r="AB903" s="106"/>
    </row>
    <row r="904">
      <c r="C904" s="79"/>
      <c r="D904" s="79"/>
      <c r="E904" s="79"/>
      <c r="M904" s="79"/>
      <c r="R904" s="79"/>
      <c r="S904" s="79"/>
      <c r="V904" s="79"/>
      <c r="W904" s="79"/>
      <c r="Z904" s="130"/>
      <c r="AB904" s="106"/>
    </row>
    <row r="905">
      <c r="C905" s="79"/>
      <c r="D905" s="79"/>
      <c r="E905" s="79"/>
      <c r="M905" s="79"/>
      <c r="R905" s="79"/>
      <c r="S905" s="79"/>
      <c r="V905" s="79"/>
      <c r="W905" s="79"/>
      <c r="Z905" s="130"/>
      <c r="AB905" s="106"/>
    </row>
    <row r="906">
      <c r="C906" s="79"/>
      <c r="D906" s="79"/>
      <c r="E906" s="79"/>
      <c r="M906" s="79"/>
      <c r="R906" s="79"/>
      <c r="S906" s="79"/>
      <c r="V906" s="79"/>
      <c r="W906" s="79"/>
      <c r="Z906" s="130"/>
      <c r="AB906" s="106"/>
    </row>
    <row r="907">
      <c r="C907" s="79"/>
      <c r="D907" s="79"/>
      <c r="E907" s="79"/>
      <c r="M907" s="79"/>
      <c r="R907" s="79"/>
      <c r="S907" s="79"/>
      <c r="V907" s="79"/>
      <c r="W907" s="79"/>
      <c r="Z907" s="130"/>
      <c r="AB907" s="106"/>
    </row>
    <row r="908">
      <c r="C908" s="79"/>
      <c r="D908" s="79"/>
      <c r="E908" s="79"/>
      <c r="M908" s="79"/>
      <c r="R908" s="79"/>
      <c r="S908" s="79"/>
      <c r="V908" s="79"/>
      <c r="W908" s="79"/>
      <c r="Z908" s="130"/>
      <c r="AB908" s="106"/>
    </row>
    <row r="909">
      <c r="C909" s="79"/>
      <c r="D909" s="79"/>
      <c r="E909" s="79"/>
      <c r="M909" s="79"/>
      <c r="R909" s="79"/>
      <c r="S909" s="79"/>
      <c r="V909" s="79"/>
      <c r="W909" s="79"/>
      <c r="Z909" s="130"/>
      <c r="AB909" s="106"/>
    </row>
    <row r="910">
      <c r="C910" s="79"/>
      <c r="D910" s="79"/>
      <c r="E910" s="79"/>
      <c r="M910" s="79"/>
      <c r="R910" s="79"/>
      <c r="S910" s="79"/>
      <c r="V910" s="79"/>
      <c r="W910" s="79"/>
      <c r="Z910" s="130"/>
      <c r="AB910" s="106"/>
    </row>
    <row r="911">
      <c r="C911" s="79"/>
      <c r="D911" s="79"/>
      <c r="E911" s="79"/>
      <c r="M911" s="79"/>
      <c r="R911" s="79"/>
      <c r="S911" s="79"/>
      <c r="V911" s="79"/>
      <c r="W911" s="79"/>
      <c r="Z911" s="130"/>
      <c r="AB911" s="106"/>
    </row>
    <row r="912">
      <c r="C912" s="79"/>
      <c r="D912" s="79"/>
      <c r="E912" s="79"/>
      <c r="M912" s="79"/>
      <c r="R912" s="79"/>
      <c r="S912" s="79"/>
      <c r="V912" s="79"/>
      <c r="W912" s="79"/>
      <c r="Z912" s="130"/>
      <c r="AB912" s="106"/>
    </row>
    <row r="913">
      <c r="C913" s="79"/>
      <c r="D913" s="79"/>
      <c r="E913" s="79"/>
      <c r="M913" s="79"/>
      <c r="R913" s="79"/>
      <c r="S913" s="79"/>
      <c r="V913" s="79"/>
      <c r="W913" s="79"/>
      <c r="Z913" s="130"/>
      <c r="AB913" s="106"/>
    </row>
    <row r="914">
      <c r="C914" s="79"/>
      <c r="D914" s="79"/>
      <c r="E914" s="79"/>
      <c r="M914" s="79"/>
      <c r="R914" s="79"/>
      <c r="S914" s="79"/>
      <c r="V914" s="79"/>
      <c r="W914" s="79"/>
      <c r="Z914" s="130"/>
      <c r="AB914" s="106"/>
    </row>
    <row r="915">
      <c r="C915" s="79"/>
      <c r="D915" s="79"/>
      <c r="E915" s="79"/>
      <c r="M915" s="79"/>
      <c r="R915" s="79"/>
      <c r="S915" s="79"/>
      <c r="V915" s="79"/>
      <c r="W915" s="79"/>
      <c r="Z915" s="130"/>
      <c r="AB915" s="106"/>
    </row>
    <row r="916">
      <c r="C916" s="79"/>
      <c r="D916" s="79"/>
      <c r="E916" s="79"/>
      <c r="M916" s="79"/>
      <c r="R916" s="79"/>
      <c r="S916" s="79"/>
      <c r="V916" s="79"/>
      <c r="W916" s="79"/>
      <c r="Z916" s="130"/>
      <c r="AB916" s="106"/>
    </row>
    <row r="917">
      <c r="C917" s="79"/>
      <c r="D917" s="79"/>
      <c r="E917" s="79"/>
      <c r="M917" s="79"/>
      <c r="R917" s="79"/>
      <c r="S917" s="79"/>
      <c r="V917" s="79"/>
      <c r="W917" s="79"/>
      <c r="Z917" s="130"/>
      <c r="AB917" s="106"/>
    </row>
    <row r="918">
      <c r="C918" s="79"/>
      <c r="D918" s="79"/>
      <c r="E918" s="79"/>
      <c r="M918" s="79"/>
      <c r="R918" s="79"/>
      <c r="S918" s="79"/>
      <c r="V918" s="79"/>
      <c r="W918" s="79"/>
      <c r="Z918" s="130"/>
      <c r="AB918" s="106"/>
    </row>
    <row r="919">
      <c r="C919" s="79"/>
      <c r="D919" s="79"/>
      <c r="E919" s="79"/>
      <c r="M919" s="79"/>
      <c r="R919" s="79"/>
      <c r="S919" s="79"/>
      <c r="V919" s="79"/>
      <c r="W919" s="79"/>
      <c r="Z919" s="130"/>
      <c r="AB919" s="106"/>
    </row>
    <row r="920">
      <c r="C920" s="79"/>
      <c r="D920" s="79"/>
      <c r="E920" s="79"/>
      <c r="M920" s="79"/>
      <c r="R920" s="79"/>
      <c r="S920" s="79"/>
      <c r="V920" s="79"/>
      <c r="W920" s="79"/>
      <c r="Z920" s="130"/>
      <c r="AB920" s="106"/>
    </row>
    <row r="921">
      <c r="C921" s="79"/>
      <c r="D921" s="79"/>
      <c r="E921" s="79"/>
      <c r="M921" s="79"/>
      <c r="R921" s="79"/>
      <c r="S921" s="79"/>
      <c r="V921" s="79"/>
      <c r="W921" s="79"/>
      <c r="Z921" s="130"/>
      <c r="AB921" s="106"/>
    </row>
    <row r="922">
      <c r="C922" s="79"/>
      <c r="D922" s="79"/>
      <c r="E922" s="79"/>
      <c r="M922" s="79"/>
      <c r="R922" s="79"/>
      <c r="S922" s="79"/>
      <c r="V922" s="79"/>
      <c r="W922" s="79"/>
      <c r="Z922" s="130"/>
      <c r="AB922" s="106"/>
    </row>
    <row r="923">
      <c r="C923" s="79"/>
      <c r="D923" s="79"/>
      <c r="E923" s="79"/>
      <c r="M923" s="79"/>
      <c r="R923" s="79"/>
      <c r="S923" s="79"/>
      <c r="V923" s="79"/>
      <c r="W923" s="79"/>
      <c r="Z923" s="130"/>
      <c r="AB923" s="106"/>
    </row>
    <row r="924">
      <c r="C924" s="79"/>
      <c r="D924" s="79"/>
      <c r="E924" s="79"/>
      <c r="M924" s="79"/>
      <c r="R924" s="79"/>
      <c r="S924" s="79"/>
      <c r="V924" s="79"/>
      <c r="W924" s="79"/>
      <c r="Z924" s="130"/>
      <c r="AB924" s="106"/>
    </row>
    <row r="925">
      <c r="C925" s="79"/>
      <c r="D925" s="79"/>
      <c r="E925" s="79"/>
      <c r="M925" s="79"/>
      <c r="R925" s="79"/>
      <c r="S925" s="79"/>
      <c r="V925" s="79"/>
      <c r="W925" s="79"/>
      <c r="Z925" s="130"/>
      <c r="AB925" s="106"/>
    </row>
    <row r="926">
      <c r="C926" s="79"/>
      <c r="D926" s="79"/>
      <c r="E926" s="79"/>
      <c r="M926" s="79"/>
      <c r="R926" s="79"/>
      <c r="S926" s="79"/>
      <c r="V926" s="79"/>
      <c r="W926" s="79"/>
      <c r="Z926" s="130"/>
      <c r="AB926" s="106"/>
    </row>
    <row r="927">
      <c r="C927" s="79"/>
      <c r="D927" s="79"/>
      <c r="E927" s="79"/>
      <c r="M927" s="79"/>
      <c r="R927" s="79"/>
      <c r="S927" s="79"/>
      <c r="V927" s="79"/>
      <c r="W927" s="79"/>
      <c r="Z927" s="130"/>
      <c r="AB927" s="106"/>
    </row>
    <row r="928">
      <c r="C928" s="79"/>
      <c r="D928" s="79"/>
      <c r="E928" s="79"/>
      <c r="M928" s="79"/>
      <c r="R928" s="79"/>
      <c r="S928" s="79"/>
      <c r="V928" s="79"/>
      <c r="W928" s="79"/>
      <c r="Z928" s="130"/>
      <c r="AB928" s="106"/>
    </row>
    <row r="929">
      <c r="C929" s="79"/>
      <c r="D929" s="79"/>
      <c r="E929" s="79"/>
      <c r="M929" s="79"/>
      <c r="R929" s="79"/>
      <c r="S929" s="79"/>
      <c r="V929" s="79"/>
      <c r="W929" s="79"/>
      <c r="Z929" s="130"/>
      <c r="AB929" s="106"/>
    </row>
    <row r="930">
      <c r="C930" s="79"/>
      <c r="D930" s="79"/>
      <c r="E930" s="79"/>
      <c r="M930" s="79"/>
      <c r="R930" s="79"/>
      <c r="S930" s="79"/>
      <c r="V930" s="79"/>
      <c r="W930" s="79"/>
      <c r="Z930" s="130"/>
      <c r="AB930" s="106"/>
    </row>
    <row r="931">
      <c r="C931" s="79"/>
      <c r="D931" s="79"/>
      <c r="E931" s="79"/>
      <c r="M931" s="79"/>
      <c r="R931" s="79"/>
      <c r="S931" s="79"/>
      <c r="V931" s="79"/>
      <c r="W931" s="79"/>
      <c r="Z931" s="130"/>
      <c r="AB931" s="106"/>
    </row>
    <row r="932">
      <c r="C932" s="79"/>
      <c r="D932" s="79"/>
      <c r="E932" s="79"/>
      <c r="M932" s="79"/>
      <c r="R932" s="79"/>
      <c r="S932" s="79"/>
      <c r="V932" s="79"/>
      <c r="W932" s="79"/>
      <c r="Z932" s="130"/>
      <c r="AB932" s="106"/>
    </row>
    <row r="933">
      <c r="C933" s="79"/>
      <c r="D933" s="79"/>
      <c r="E933" s="79"/>
      <c r="M933" s="79"/>
      <c r="R933" s="79"/>
      <c r="S933" s="79"/>
      <c r="V933" s="79"/>
      <c r="W933" s="79"/>
      <c r="Z933" s="130"/>
      <c r="AB933" s="106"/>
    </row>
    <row r="934">
      <c r="C934" s="79"/>
      <c r="D934" s="79"/>
      <c r="E934" s="79"/>
      <c r="M934" s="79"/>
      <c r="R934" s="79"/>
      <c r="S934" s="79"/>
      <c r="V934" s="79"/>
      <c r="W934" s="79"/>
      <c r="Z934" s="130"/>
      <c r="AB934" s="106"/>
    </row>
    <row r="935">
      <c r="C935" s="79"/>
      <c r="D935" s="79"/>
      <c r="E935" s="79"/>
      <c r="M935" s="79"/>
      <c r="R935" s="79"/>
      <c r="S935" s="79"/>
      <c r="V935" s="79"/>
      <c r="W935" s="79"/>
      <c r="Z935" s="130"/>
      <c r="AB935" s="106"/>
    </row>
    <row r="936">
      <c r="C936" s="79"/>
      <c r="D936" s="79"/>
      <c r="E936" s="79"/>
      <c r="M936" s="79"/>
      <c r="R936" s="79"/>
      <c r="S936" s="79"/>
      <c r="V936" s="79"/>
      <c r="W936" s="79"/>
      <c r="Z936" s="130"/>
      <c r="AB936" s="106"/>
    </row>
    <row r="937">
      <c r="C937" s="79"/>
      <c r="D937" s="79"/>
      <c r="E937" s="79"/>
      <c r="M937" s="79"/>
      <c r="R937" s="79"/>
      <c r="S937" s="79"/>
      <c r="V937" s="79"/>
      <c r="W937" s="79"/>
      <c r="Z937" s="130"/>
      <c r="AB937" s="106"/>
    </row>
    <row r="938">
      <c r="C938" s="79"/>
      <c r="D938" s="79"/>
      <c r="E938" s="79"/>
      <c r="M938" s="79"/>
      <c r="R938" s="79"/>
      <c r="S938" s="79"/>
      <c r="V938" s="79"/>
      <c r="W938" s="79"/>
      <c r="Z938" s="130"/>
      <c r="AB938" s="106"/>
    </row>
    <row r="939">
      <c r="C939" s="79"/>
      <c r="D939" s="79"/>
      <c r="E939" s="79"/>
      <c r="M939" s="79"/>
      <c r="R939" s="79"/>
      <c r="S939" s="79"/>
      <c r="V939" s="79"/>
      <c r="W939" s="79"/>
      <c r="Z939" s="130"/>
      <c r="AB939" s="106"/>
    </row>
    <row r="940">
      <c r="C940" s="79"/>
      <c r="D940" s="79"/>
      <c r="E940" s="79"/>
      <c r="M940" s="79"/>
      <c r="R940" s="79"/>
      <c r="S940" s="79"/>
      <c r="V940" s="79"/>
      <c r="W940" s="79"/>
      <c r="Z940" s="130"/>
      <c r="AB940" s="106"/>
    </row>
    <row r="941">
      <c r="C941" s="79"/>
      <c r="D941" s="79"/>
      <c r="E941" s="79"/>
      <c r="M941" s="79"/>
      <c r="R941" s="79"/>
      <c r="S941" s="79"/>
      <c r="V941" s="79"/>
      <c r="W941" s="79"/>
      <c r="Z941" s="130"/>
      <c r="AB941" s="106"/>
    </row>
    <row r="942">
      <c r="C942" s="79"/>
      <c r="D942" s="79"/>
      <c r="E942" s="79"/>
      <c r="M942" s="79"/>
      <c r="R942" s="79"/>
      <c r="S942" s="79"/>
      <c r="V942" s="79"/>
      <c r="W942" s="79"/>
      <c r="Z942" s="130"/>
      <c r="AB942" s="106"/>
    </row>
    <row r="943">
      <c r="C943" s="79"/>
      <c r="D943" s="79"/>
      <c r="E943" s="79"/>
      <c r="M943" s="79"/>
      <c r="R943" s="79"/>
      <c r="S943" s="79"/>
      <c r="V943" s="79"/>
      <c r="W943" s="79"/>
      <c r="Z943" s="130"/>
      <c r="AB943" s="106"/>
    </row>
    <row r="944">
      <c r="C944" s="79"/>
      <c r="D944" s="79"/>
      <c r="E944" s="79"/>
      <c r="M944" s="79"/>
      <c r="R944" s="79"/>
      <c r="S944" s="79"/>
      <c r="V944" s="79"/>
      <c r="W944" s="79"/>
      <c r="Z944" s="130"/>
      <c r="AB944" s="106"/>
    </row>
    <row r="945">
      <c r="C945" s="79"/>
      <c r="D945" s="79"/>
      <c r="E945" s="79"/>
      <c r="M945" s="79"/>
      <c r="R945" s="79"/>
      <c r="S945" s="79"/>
      <c r="V945" s="79"/>
      <c r="W945" s="79"/>
      <c r="Z945" s="130"/>
      <c r="AB945" s="106"/>
    </row>
    <row r="946">
      <c r="C946" s="79"/>
      <c r="D946" s="79"/>
      <c r="E946" s="79"/>
      <c r="M946" s="79"/>
      <c r="R946" s="79"/>
      <c r="S946" s="79"/>
      <c r="V946" s="79"/>
      <c r="W946" s="79"/>
      <c r="Z946" s="130"/>
      <c r="AB946" s="106"/>
    </row>
    <row r="947">
      <c r="C947" s="79"/>
      <c r="D947" s="79"/>
      <c r="E947" s="79"/>
      <c r="M947" s="79"/>
      <c r="R947" s="79"/>
      <c r="S947" s="79"/>
      <c r="V947" s="79"/>
      <c r="W947" s="79"/>
      <c r="Z947" s="130"/>
      <c r="AB947" s="106"/>
    </row>
    <row r="948">
      <c r="C948" s="79"/>
      <c r="D948" s="79"/>
      <c r="E948" s="79"/>
      <c r="M948" s="79"/>
      <c r="R948" s="79"/>
      <c r="S948" s="79"/>
      <c r="V948" s="79"/>
      <c r="W948" s="79"/>
      <c r="Z948" s="130"/>
      <c r="AB948" s="106"/>
    </row>
    <row r="949">
      <c r="C949" s="79"/>
      <c r="D949" s="79"/>
      <c r="E949" s="79"/>
      <c r="M949" s="79"/>
      <c r="R949" s="79"/>
      <c r="S949" s="79"/>
      <c r="V949" s="79"/>
      <c r="W949" s="79"/>
      <c r="Z949" s="130"/>
      <c r="AB949" s="106"/>
    </row>
    <row r="950">
      <c r="C950" s="79"/>
      <c r="D950" s="79"/>
      <c r="E950" s="79"/>
      <c r="M950" s="79"/>
      <c r="R950" s="79"/>
      <c r="S950" s="79"/>
      <c r="V950" s="79"/>
      <c r="W950" s="79"/>
      <c r="Z950" s="130"/>
      <c r="AB950" s="106"/>
    </row>
    <row r="951">
      <c r="C951" s="79"/>
      <c r="D951" s="79"/>
      <c r="E951" s="79"/>
      <c r="M951" s="79"/>
      <c r="R951" s="79"/>
      <c r="S951" s="79"/>
      <c r="V951" s="79"/>
      <c r="W951" s="79"/>
      <c r="Z951" s="130"/>
      <c r="AB951" s="106"/>
    </row>
    <row r="952">
      <c r="C952" s="79"/>
      <c r="D952" s="79"/>
      <c r="E952" s="79"/>
      <c r="M952" s="79"/>
      <c r="R952" s="79"/>
      <c r="S952" s="79"/>
      <c r="V952" s="79"/>
      <c r="W952" s="79"/>
      <c r="Z952" s="130"/>
      <c r="AB952" s="106"/>
    </row>
    <row r="953">
      <c r="C953" s="79"/>
      <c r="D953" s="79"/>
      <c r="E953" s="79"/>
      <c r="M953" s="79"/>
      <c r="R953" s="79"/>
      <c r="S953" s="79"/>
      <c r="V953" s="79"/>
      <c r="W953" s="79"/>
      <c r="Z953" s="130"/>
      <c r="AB953" s="106"/>
    </row>
  </sheetData>
  <drawing r:id="rId2"/>
  <legacyDrawing r:id="rId3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5" max="5" width="13.5"/>
    <col customWidth="1" min="7" max="7" width="13.25"/>
    <col customWidth="1" min="24" max="24" width="14.63"/>
    <col customWidth="1" min="28" max="28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3</v>
      </c>
      <c r="G1" s="2" t="s">
        <v>203</v>
      </c>
      <c r="H1" s="2" t="s">
        <v>129</v>
      </c>
      <c r="I1" s="2" t="s">
        <v>5</v>
      </c>
      <c r="J1" s="2" t="s">
        <v>204</v>
      </c>
      <c r="K1" s="2" t="s">
        <v>6</v>
      </c>
      <c r="L1" s="2" t="s">
        <v>12</v>
      </c>
      <c r="M1" s="105" t="s">
        <v>40</v>
      </c>
      <c r="N1" s="2" t="s">
        <v>49</v>
      </c>
      <c r="O1" s="2" t="s">
        <v>42</v>
      </c>
      <c r="P1" s="2" t="s">
        <v>121</v>
      </c>
      <c r="Q1" s="2" t="s">
        <v>164</v>
      </c>
      <c r="R1" s="105" t="s">
        <v>9</v>
      </c>
      <c r="S1" s="105" t="s">
        <v>165</v>
      </c>
      <c r="T1" s="2" t="s">
        <v>37</v>
      </c>
      <c r="U1" s="2" t="s">
        <v>10</v>
      </c>
      <c r="V1" s="105" t="s">
        <v>11</v>
      </c>
      <c r="W1" s="105" t="s">
        <v>205</v>
      </c>
      <c r="X1" s="2" t="s">
        <v>206</v>
      </c>
      <c r="Y1" s="3" t="s">
        <v>13</v>
      </c>
      <c r="Z1" s="3" t="s">
        <v>14</v>
      </c>
      <c r="AA1" s="3" t="s">
        <v>15</v>
      </c>
      <c r="AB1" s="106"/>
    </row>
    <row r="2">
      <c r="A2" s="74">
        <v>45369.0</v>
      </c>
      <c r="B2" s="93">
        <f>960.91-141.84-49+419.08-240.8</f>
        <v>948.35</v>
      </c>
      <c r="C2" s="93">
        <f>541.25-30.45-22-16.75-262.5</f>
        <v>209.55</v>
      </c>
      <c r="D2" s="193">
        <f>178.08+781.19-268.09-94.8-45</f>
        <v>551.38</v>
      </c>
      <c r="E2" s="93"/>
      <c r="F2" s="93">
        <v>180.0</v>
      </c>
      <c r="G2" s="93"/>
      <c r="H2" s="93">
        <v>256.48</v>
      </c>
      <c r="I2" s="93"/>
      <c r="J2" s="93"/>
      <c r="K2" s="93"/>
      <c r="L2" s="93"/>
      <c r="M2" s="93"/>
      <c r="N2" s="93">
        <v>168.0</v>
      </c>
      <c r="O2" s="93"/>
      <c r="P2" s="93"/>
      <c r="Q2" s="93"/>
      <c r="R2" s="93"/>
      <c r="S2" s="93"/>
      <c r="T2" s="72"/>
      <c r="U2" s="93"/>
      <c r="V2" s="93">
        <v>57.05</v>
      </c>
      <c r="W2" s="93"/>
      <c r="X2" s="5"/>
      <c r="Y2" s="107">
        <f t="shared" ref="Y2:Y8" si="1">SUM(B2:X2)</f>
        <v>2370.81</v>
      </c>
      <c r="Z2" s="158">
        <v>2537.2</v>
      </c>
      <c r="AA2" s="59">
        <f t="shared" ref="AA2:AA8" si="2">Y2/Z2</f>
        <v>0.9344198329</v>
      </c>
      <c r="AB2" s="109">
        <f t="shared" ref="AB2:AB8" si="3">A2</f>
        <v>45369</v>
      </c>
    </row>
    <row r="3">
      <c r="A3" s="74">
        <v>45370.0</v>
      </c>
      <c r="B3" s="93">
        <f>459.9-32.45-24.02-98.43</f>
        <v>305</v>
      </c>
      <c r="C3" s="93"/>
      <c r="D3" s="1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107">
        <f t="shared" si="1"/>
        <v>305</v>
      </c>
      <c r="Z3" s="158">
        <v>7130.0</v>
      </c>
      <c r="AA3" s="59">
        <f t="shared" si="2"/>
        <v>0.0427769986</v>
      </c>
      <c r="AB3" s="109">
        <f t="shared" si="3"/>
        <v>45370</v>
      </c>
    </row>
    <row r="4">
      <c r="A4" s="74">
        <v>45371.0</v>
      </c>
      <c r="B4" s="93"/>
      <c r="C4" s="93">
        <f>815.9-29-42.3-51-36.85+43.3</f>
        <v>700.05</v>
      </c>
      <c r="D4" s="93">
        <f>431.79-130.15-91.04-115-66.6</f>
        <v>29</v>
      </c>
      <c r="E4" s="93"/>
      <c r="F4" s="93"/>
      <c r="G4" s="93"/>
      <c r="H4" s="93"/>
      <c r="I4" s="93"/>
      <c r="J4" s="93"/>
      <c r="K4" s="93">
        <v>42.0</v>
      </c>
      <c r="L4" s="93"/>
      <c r="M4" s="93"/>
      <c r="N4" s="93"/>
      <c r="O4" s="93"/>
      <c r="P4" s="93"/>
      <c r="Q4" s="93"/>
      <c r="R4" s="93"/>
      <c r="S4" s="93"/>
      <c r="T4" s="160"/>
      <c r="U4" s="93"/>
      <c r="V4" s="93">
        <v>57.05</v>
      </c>
      <c r="W4" s="93"/>
      <c r="X4" s="6"/>
      <c r="Y4" s="107">
        <f t="shared" si="1"/>
        <v>828.1</v>
      </c>
      <c r="Z4" s="97">
        <f>836+5034</f>
        <v>5870</v>
      </c>
      <c r="AA4" s="59">
        <f t="shared" si="2"/>
        <v>0.1410732538</v>
      </c>
      <c r="AB4" s="109">
        <f t="shared" si="3"/>
        <v>45371</v>
      </c>
    </row>
    <row r="5">
      <c r="A5" s="74">
        <v>45372.0</v>
      </c>
      <c r="B5" s="93">
        <f>905.15-46.32-51.25-66.08-64.84-27.83</f>
        <v>648.83</v>
      </c>
      <c r="C5" s="93"/>
      <c r="D5" s="93">
        <f>281.15-118.5</f>
        <v>162.65</v>
      </c>
      <c r="E5" s="93"/>
      <c r="F5" s="93">
        <v>180.0</v>
      </c>
      <c r="G5" s="160"/>
      <c r="H5" s="93"/>
      <c r="I5" s="93">
        <v>279.4</v>
      </c>
      <c r="J5" s="93"/>
      <c r="K5" s="93"/>
      <c r="L5" s="93">
        <v>77.2</v>
      </c>
      <c r="M5" s="93"/>
      <c r="N5" s="93"/>
      <c r="O5" s="93"/>
      <c r="P5" s="93"/>
      <c r="Q5" s="93"/>
      <c r="R5" s="93"/>
      <c r="S5" s="93"/>
      <c r="T5" s="93"/>
      <c r="U5" s="93">
        <v>106.9</v>
      </c>
      <c r="V5" s="101"/>
      <c r="W5" s="101"/>
      <c r="X5" s="6"/>
      <c r="Y5" s="7">
        <f t="shared" si="1"/>
        <v>1454.98</v>
      </c>
      <c r="Z5" s="97">
        <f>538+2271</f>
        <v>2809</v>
      </c>
      <c r="AA5" s="59">
        <f t="shared" si="2"/>
        <v>0.5179708081</v>
      </c>
      <c r="AB5" s="109">
        <f t="shared" si="3"/>
        <v>45372</v>
      </c>
    </row>
    <row r="6">
      <c r="A6" s="74">
        <v>45373.0</v>
      </c>
      <c r="B6" s="93">
        <f>37.03+1514.91-26.86-64.69-58.62-243.54-39.32-43.45-77.44-16.54-11.73</f>
        <v>969.75</v>
      </c>
      <c r="C6" s="93">
        <f>259.3-112.5</f>
        <v>146.8</v>
      </c>
      <c r="D6" s="180">
        <v>863.0</v>
      </c>
      <c r="E6" s="93">
        <v>17.5</v>
      </c>
      <c r="F6" s="93"/>
      <c r="G6" s="93"/>
      <c r="H6" s="93"/>
      <c r="I6" s="93"/>
      <c r="J6" s="93"/>
      <c r="K6" s="93">
        <v>166.4</v>
      </c>
      <c r="L6" s="93"/>
      <c r="M6" s="162"/>
      <c r="N6" s="93"/>
      <c r="O6" s="93"/>
      <c r="P6" s="93"/>
      <c r="Q6" s="93"/>
      <c r="R6" s="93"/>
      <c r="S6" s="93"/>
      <c r="T6" s="93"/>
      <c r="U6" s="93"/>
      <c r="V6" s="93">
        <v>57.05</v>
      </c>
      <c r="W6" s="93"/>
      <c r="X6" s="5"/>
      <c r="Y6" s="7">
        <f t="shared" si="1"/>
        <v>2220.5</v>
      </c>
      <c r="Z6" s="97">
        <f>542.02+4312.98</f>
        <v>4855</v>
      </c>
      <c r="AA6" s="59">
        <f t="shared" si="2"/>
        <v>0.4573635427</v>
      </c>
      <c r="AB6" s="109">
        <f t="shared" si="3"/>
        <v>45373</v>
      </c>
    </row>
    <row r="7">
      <c r="A7" s="74">
        <v>45374.0</v>
      </c>
      <c r="B7" s="93">
        <f>1646.38-15.28-69.84-24.09-64.69-31.15-23.11-8.82-157.12</f>
        <v>1252.28</v>
      </c>
      <c r="C7" s="93"/>
      <c r="D7" s="93">
        <f>114.6+733.47-278.07-200.2</f>
        <v>369.8</v>
      </c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101"/>
      <c r="U7" s="93"/>
      <c r="V7" s="101"/>
      <c r="W7" s="101"/>
      <c r="X7" s="5"/>
      <c r="Y7" s="7">
        <f t="shared" si="1"/>
        <v>1622.08</v>
      </c>
      <c r="Z7" s="97">
        <f>2199.8+10693.6</f>
        <v>12893.4</v>
      </c>
      <c r="AA7" s="59">
        <f t="shared" si="2"/>
        <v>0.125807002</v>
      </c>
      <c r="AB7" s="109">
        <f t="shared" si="3"/>
        <v>45374</v>
      </c>
    </row>
    <row r="8">
      <c r="A8" s="74">
        <v>45375.0</v>
      </c>
      <c r="B8" s="180">
        <v>586.59</v>
      </c>
      <c r="C8" s="93"/>
      <c r="D8" s="180">
        <f>159.72+267.3+552.17</f>
        <v>979.19</v>
      </c>
      <c r="E8" s="112" t="s">
        <v>21</v>
      </c>
      <c r="F8" s="112" t="s">
        <v>21</v>
      </c>
      <c r="G8" s="112" t="s">
        <v>21</v>
      </c>
      <c r="H8" s="112" t="s">
        <v>21</v>
      </c>
      <c r="I8" s="180">
        <v>396.0</v>
      </c>
      <c r="J8" s="112" t="s">
        <v>21</v>
      </c>
      <c r="K8" s="112" t="s">
        <v>21</v>
      </c>
      <c r="L8" s="112" t="s">
        <v>21</v>
      </c>
      <c r="M8" s="112" t="s">
        <v>21</v>
      </c>
      <c r="N8" s="112" t="s">
        <v>21</v>
      </c>
      <c r="O8" s="93"/>
      <c r="P8" s="112" t="s">
        <v>21</v>
      </c>
      <c r="Q8" s="93"/>
      <c r="R8" s="112" t="s">
        <v>21</v>
      </c>
      <c r="S8" s="112" t="s">
        <v>21</v>
      </c>
      <c r="T8" s="112" t="s">
        <v>21</v>
      </c>
      <c r="U8" s="112" t="s">
        <v>21</v>
      </c>
      <c r="V8" s="10" t="s">
        <v>21</v>
      </c>
      <c r="W8" s="10" t="s">
        <v>21</v>
      </c>
      <c r="X8" s="10" t="s">
        <v>21</v>
      </c>
      <c r="Y8" s="7">
        <f t="shared" si="1"/>
        <v>1961.78</v>
      </c>
      <c r="Z8" s="97">
        <f>2693+3810</f>
        <v>6503</v>
      </c>
      <c r="AA8" s="59">
        <f t="shared" si="2"/>
        <v>0.301673074</v>
      </c>
      <c r="AB8" s="109">
        <f t="shared" si="3"/>
        <v>45375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Z9" s="129"/>
      <c r="AB9" s="106"/>
    </row>
    <row r="10">
      <c r="A10" s="164" t="s">
        <v>193</v>
      </c>
      <c r="B10" s="78"/>
      <c r="C10" s="78"/>
      <c r="D10" s="78"/>
      <c r="E10" s="188"/>
      <c r="F10" s="188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Z10" s="129"/>
      <c r="AB10" s="106"/>
    </row>
    <row r="11">
      <c r="A11" s="165" t="s">
        <v>194</v>
      </c>
      <c r="B11" s="93">
        <f>240.8+46.32+51.25+27.83+39.32+31.15+23.11+8.82</f>
        <v>468.6</v>
      </c>
      <c r="C11" s="93">
        <f>30.45+22+16.75+29+42.3+36.85</f>
        <v>177.35</v>
      </c>
      <c r="D11" s="93">
        <f>118.5+278.07</f>
        <v>396.57</v>
      </c>
      <c r="E11" s="167"/>
      <c r="F11" s="168"/>
      <c r="G11" s="166"/>
      <c r="H11" s="166"/>
      <c r="I11" s="93"/>
      <c r="J11" s="168"/>
      <c r="K11" s="93"/>
      <c r="L11" s="166"/>
      <c r="M11" s="168"/>
      <c r="N11" s="166"/>
      <c r="O11" s="168"/>
      <c r="P11" s="1"/>
      <c r="Q11" s="1"/>
      <c r="R11" s="1"/>
      <c r="S11" s="1"/>
      <c r="T11" s="1"/>
      <c r="U11" s="1"/>
      <c r="V11" s="168"/>
      <c r="W11" s="168"/>
      <c r="X11" s="1"/>
      <c r="Y11" s="1"/>
      <c r="Z11" s="169"/>
      <c r="AA11" s="1"/>
      <c r="AB11" s="170"/>
    </row>
    <row r="12">
      <c r="A12" s="165" t="s">
        <v>195</v>
      </c>
      <c r="B12" s="93">
        <f>141.84+66.08+64.84+26.86+64.69+58.62+43.45+16.54+15.28+69.84+24.09+64.69</f>
        <v>656.82</v>
      </c>
      <c r="C12" s="93">
        <f>262.5+51+112.5</f>
        <v>426</v>
      </c>
      <c r="D12" s="93">
        <f>130.15+91.04+115+66.6+200.2</f>
        <v>602.99</v>
      </c>
      <c r="E12" s="93"/>
      <c r="F12" s="93"/>
      <c r="G12" s="93"/>
      <c r="H12" s="93"/>
      <c r="I12" s="93"/>
      <c r="J12" s="93"/>
      <c r="K12" s="93"/>
      <c r="L12" s="93"/>
      <c r="M12" s="93"/>
      <c r="N12" s="166">
        <v>144.0</v>
      </c>
      <c r="O12" s="166"/>
      <c r="P12" s="1"/>
      <c r="Q12" s="1"/>
      <c r="R12" s="168"/>
      <c r="S12" s="168"/>
      <c r="T12" s="1"/>
      <c r="U12" s="96"/>
      <c r="V12" s="168"/>
      <c r="W12" s="168"/>
      <c r="X12" s="1"/>
      <c r="Y12" s="1"/>
      <c r="Z12" s="171"/>
      <c r="AA12" s="1"/>
      <c r="AB12" s="170"/>
    </row>
    <row r="13">
      <c r="A13" s="172" t="s">
        <v>261</v>
      </c>
      <c r="B13" s="93">
        <f>49+32.45+24.02+27.06+98.43</f>
        <v>230.96</v>
      </c>
      <c r="C13" s="93"/>
      <c r="D13" s="93">
        <f>268.08+94.8+45</f>
        <v>407.88</v>
      </c>
      <c r="E13" s="168"/>
      <c r="F13" s="166"/>
      <c r="G13" s="168"/>
      <c r="H13" s="168"/>
      <c r="I13" s="168"/>
      <c r="J13" s="168"/>
      <c r="K13" s="168"/>
      <c r="L13" s="168"/>
      <c r="M13" s="168"/>
      <c r="N13" s="166">
        <v>168.0</v>
      </c>
      <c r="O13" s="168"/>
      <c r="P13" s="1"/>
      <c r="Q13" s="1"/>
      <c r="R13" s="168"/>
      <c r="S13" s="168"/>
      <c r="T13" s="1"/>
      <c r="U13" s="96"/>
      <c r="V13" s="168"/>
      <c r="W13" s="168"/>
      <c r="X13" s="1"/>
      <c r="Y13" s="1"/>
      <c r="Z13" s="174"/>
      <c r="AA13" s="1"/>
      <c r="AB13" s="170"/>
    </row>
    <row r="14">
      <c r="A14" s="165" t="s">
        <v>198</v>
      </c>
      <c r="B14" s="93">
        <f>243.54+77.44+11.73+157.12</f>
        <v>489.83</v>
      </c>
      <c r="C14" s="93"/>
      <c r="D14" s="93"/>
      <c r="E14" s="168"/>
      <c r="F14" s="166"/>
      <c r="G14" s="168"/>
      <c r="H14" s="168"/>
      <c r="I14" s="168"/>
      <c r="J14" s="168"/>
      <c r="K14" s="168"/>
      <c r="L14" s="168"/>
      <c r="M14" s="168"/>
      <c r="N14" s="166"/>
      <c r="O14" s="168"/>
      <c r="P14" s="1"/>
      <c r="Q14" s="1"/>
      <c r="R14" s="168"/>
      <c r="S14" s="168"/>
      <c r="T14" s="1"/>
      <c r="U14" s="96"/>
      <c r="V14" s="168"/>
      <c r="W14" s="168"/>
      <c r="X14" s="1"/>
      <c r="Y14" s="1"/>
      <c r="Z14" s="174"/>
      <c r="AA14" s="1"/>
      <c r="AB14" s="170"/>
    </row>
    <row r="15">
      <c r="A15" s="91"/>
      <c r="B15" s="92"/>
      <c r="C15" s="79"/>
      <c r="D15" s="79"/>
      <c r="E15" s="79"/>
      <c r="F15" s="78"/>
      <c r="G15" s="78"/>
      <c r="H15" s="78"/>
      <c r="K15" s="79"/>
      <c r="L15" s="79"/>
      <c r="M15" s="78"/>
      <c r="N15" s="79"/>
      <c r="O15" s="79"/>
      <c r="R15" s="79"/>
      <c r="S15" s="79"/>
      <c r="V15" s="79"/>
      <c r="W15" s="79"/>
      <c r="Z15" s="131"/>
      <c r="AB15" s="106"/>
    </row>
    <row r="16">
      <c r="A16" s="91"/>
      <c r="B16" s="92"/>
      <c r="C16" s="78"/>
      <c r="D16" s="78"/>
      <c r="E16" s="78"/>
      <c r="F16" s="198"/>
      <c r="G16" s="204"/>
      <c r="H16" s="198"/>
      <c r="I16" s="201"/>
      <c r="J16" s="199"/>
      <c r="K16" s="199"/>
      <c r="L16" s="200"/>
      <c r="M16" s="201"/>
      <c r="N16" s="202"/>
      <c r="O16" s="198"/>
      <c r="P16" s="198"/>
      <c r="Q16" s="198"/>
      <c r="R16" s="198"/>
      <c r="S16" s="198"/>
      <c r="V16" s="79"/>
      <c r="W16" s="79"/>
      <c r="Z16" s="131"/>
      <c r="AB16" s="106"/>
    </row>
    <row r="17">
      <c r="A17" s="4" t="s">
        <v>22</v>
      </c>
      <c r="B17" s="11">
        <v>10000.0</v>
      </c>
      <c r="C17" s="79"/>
      <c r="D17" s="79"/>
      <c r="E17" s="79"/>
      <c r="F17" s="240"/>
      <c r="G17" s="201"/>
      <c r="H17" s="201"/>
      <c r="I17" s="203"/>
      <c r="J17" s="201"/>
      <c r="K17" s="201"/>
      <c r="L17" s="198"/>
      <c r="M17" s="201"/>
      <c r="N17" s="200"/>
      <c r="O17" s="203"/>
      <c r="P17" s="198"/>
      <c r="Q17" s="198"/>
      <c r="R17" s="198"/>
      <c r="S17" s="198"/>
      <c r="T17" s="204"/>
      <c r="V17" s="79"/>
      <c r="W17" s="79"/>
      <c r="Z17" s="131"/>
      <c r="AB17" s="106"/>
    </row>
    <row r="18">
      <c r="A18" s="4" t="s">
        <v>23</v>
      </c>
      <c r="B18" s="12">
        <f>SUM(B2:X8)</f>
        <v>10763.25</v>
      </c>
      <c r="C18" s="192"/>
      <c r="D18" s="177"/>
      <c r="E18" s="78"/>
      <c r="F18" s="213"/>
      <c r="G18" s="201"/>
      <c r="H18" s="201"/>
      <c r="I18" s="203"/>
      <c r="J18" s="191"/>
      <c r="K18" s="201"/>
      <c r="L18" s="201"/>
      <c r="M18" s="200"/>
      <c r="N18" s="201"/>
      <c r="O18" s="203"/>
      <c r="P18" s="198"/>
      <c r="Q18" s="198"/>
      <c r="R18" s="198"/>
      <c r="S18" s="198"/>
      <c r="T18" s="204"/>
      <c r="V18" s="79"/>
      <c r="W18" s="79"/>
      <c r="Z18" s="131"/>
      <c r="AB18" s="106"/>
    </row>
    <row r="19">
      <c r="A19" s="4" t="s">
        <v>24</v>
      </c>
      <c r="B19" s="12">
        <f> SUM(B17-B18)</f>
        <v>-763.25</v>
      </c>
      <c r="C19" s="79"/>
      <c r="D19" s="79"/>
      <c r="E19" s="78"/>
      <c r="F19" s="201"/>
      <c r="G19" s="214"/>
      <c r="H19" s="203"/>
      <c r="I19" s="203"/>
      <c r="J19" s="203"/>
      <c r="K19" s="199"/>
      <c r="L19" s="203"/>
      <c r="M19" s="201"/>
      <c r="N19" s="200"/>
      <c r="O19" s="203"/>
      <c r="P19" s="198"/>
      <c r="Q19" s="198"/>
      <c r="R19" s="198"/>
      <c r="S19" s="198"/>
      <c r="T19" s="204"/>
      <c r="V19" s="79"/>
      <c r="W19" s="79"/>
      <c r="Z19" s="131"/>
      <c r="AB19" s="106"/>
    </row>
    <row r="20">
      <c r="C20" s="79"/>
      <c r="D20" s="79"/>
      <c r="E20" s="78"/>
      <c r="F20" s="213"/>
      <c r="G20" s="214"/>
      <c r="H20" s="203"/>
      <c r="I20" s="203"/>
      <c r="J20" s="203"/>
      <c r="K20" s="203"/>
      <c r="L20" s="201"/>
      <c r="M20" s="201"/>
      <c r="N20" s="198"/>
      <c r="O20" s="203"/>
      <c r="P20" s="198"/>
      <c r="Q20" s="206"/>
      <c r="R20" s="198"/>
      <c r="S20" s="198"/>
      <c r="T20" s="204"/>
      <c r="V20" s="79"/>
      <c r="W20" s="79"/>
      <c r="Z20" s="131"/>
      <c r="AB20" s="106"/>
    </row>
    <row r="21">
      <c r="A21" s="13" t="s">
        <v>25</v>
      </c>
      <c r="B21" s="14">
        <f>SUM(Z2:Z8)</f>
        <v>42597.6</v>
      </c>
      <c r="C21" s="79"/>
      <c r="D21" s="79"/>
      <c r="E21" s="78"/>
      <c r="F21" s="201"/>
      <c r="G21" s="201"/>
      <c r="H21" s="201"/>
      <c r="I21" s="189"/>
      <c r="J21" s="203"/>
      <c r="K21" s="203"/>
      <c r="L21" s="206"/>
      <c r="M21" s="201"/>
      <c r="N21" s="198"/>
      <c r="O21" s="203"/>
      <c r="P21" s="198"/>
      <c r="Q21" s="198"/>
      <c r="R21" s="198"/>
      <c r="S21" s="198"/>
      <c r="T21" s="204"/>
      <c r="V21" s="79"/>
      <c r="W21" s="79"/>
      <c r="Z21" s="181"/>
      <c r="AB21" s="106"/>
    </row>
    <row r="22">
      <c r="A22" s="13" t="s">
        <v>26</v>
      </c>
      <c r="B22" s="15">
        <f>B18/B21</f>
        <v>0.2526726858</v>
      </c>
      <c r="C22" s="79"/>
      <c r="D22" s="79"/>
      <c r="E22" s="78"/>
      <c r="F22" s="204"/>
      <c r="G22" s="213"/>
      <c r="H22" s="203"/>
      <c r="I22" s="189"/>
      <c r="J22" s="203"/>
      <c r="K22" s="203"/>
      <c r="L22" s="198"/>
      <c r="M22" s="200"/>
      <c r="N22" s="203"/>
      <c r="O22" s="203"/>
      <c r="P22" s="198"/>
      <c r="Q22" s="198"/>
      <c r="R22" s="198"/>
      <c r="S22" s="198"/>
      <c r="T22" s="204"/>
      <c r="V22" s="79"/>
      <c r="W22" s="79"/>
      <c r="Z22" s="130"/>
      <c r="AB22" s="106"/>
    </row>
    <row r="23">
      <c r="C23" s="79"/>
      <c r="D23" s="79"/>
      <c r="E23" s="78"/>
      <c r="F23" s="204"/>
      <c r="G23" s="204"/>
      <c r="H23" s="201"/>
      <c r="I23" s="203"/>
      <c r="J23" s="203"/>
      <c r="K23" s="203"/>
      <c r="L23" s="198"/>
      <c r="M23" s="198"/>
      <c r="N23" s="201"/>
      <c r="O23" s="198"/>
      <c r="P23" s="198"/>
      <c r="Q23" s="198"/>
      <c r="R23" s="198"/>
      <c r="S23" s="198"/>
      <c r="T23" s="204"/>
      <c r="V23" s="79"/>
      <c r="W23" s="79"/>
      <c r="Z23" s="182"/>
      <c r="AB23" s="106"/>
    </row>
    <row r="24">
      <c r="C24" s="79"/>
      <c r="D24" s="79"/>
      <c r="E24" s="79"/>
      <c r="F24" s="204"/>
      <c r="G24" s="213"/>
      <c r="H24" s="201"/>
      <c r="I24" s="203"/>
      <c r="J24" s="203"/>
      <c r="K24" s="203"/>
      <c r="L24" s="198"/>
      <c r="M24" s="201"/>
      <c r="N24" s="201"/>
      <c r="O24" s="198"/>
      <c r="P24" s="198"/>
      <c r="Q24" s="198"/>
      <c r="R24" s="198"/>
      <c r="S24" s="198"/>
      <c r="T24" s="204"/>
      <c r="V24" s="79"/>
      <c r="W24" s="79"/>
      <c r="Z24" s="130"/>
      <c r="AB24" s="106"/>
    </row>
    <row r="25">
      <c r="A25" s="16" t="s">
        <v>27</v>
      </c>
      <c r="B25" s="17"/>
      <c r="C25" s="114"/>
      <c r="D25" s="114"/>
      <c r="E25" s="115"/>
      <c r="F25" s="204"/>
      <c r="G25" s="204"/>
      <c r="H25" s="201"/>
      <c r="I25" s="203"/>
      <c r="J25" s="203"/>
      <c r="K25" s="217"/>
      <c r="L25" s="208"/>
      <c r="M25" s="208"/>
      <c r="N25" s="198"/>
      <c r="O25" s="200"/>
      <c r="P25" s="198"/>
      <c r="Q25" s="198"/>
      <c r="R25" s="198"/>
      <c r="S25" s="198"/>
      <c r="T25" s="204"/>
      <c r="V25" s="79"/>
      <c r="W25" s="79"/>
      <c r="Z25" s="130"/>
      <c r="AB25" s="106"/>
    </row>
    <row r="26">
      <c r="A26" s="19" t="s">
        <v>28</v>
      </c>
      <c r="B26" s="20"/>
      <c r="C26" s="116"/>
      <c r="D26" s="116"/>
      <c r="E26" s="117"/>
      <c r="F26" s="204"/>
      <c r="G26" s="204"/>
      <c r="H26" s="213"/>
      <c r="I26" s="203"/>
      <c r="J26" s="203"/>
      <c r="K26" s="203"/>
      <c r="L26" s="209"/>
      <c r="M26" s="209"/>
      <c r="N26" s="201"/>
      <c r="O26" s="198"/>
      <c r="P26" s="198"/>
      <c r="Q26" s="198"/>
      <c r="R26" s="198"/>
      <c r="S26" s="198"/>
      <c r="T26" s="204"/>
      <c r="V26" s="79"/>
      <c r="W26" s="79"/>
      <c r="Z26" s="130"/>
      <c r="AB26" s="106"/>
    </row>
    <row r="27">
      <c r="A27" s="183" t="s">
        <v>29</v>
      </c>
      <c r="B27" s="184" t="s">
        <v>30</v>
      </c>
      <c r="C27" s="183"/>
      <c r="D27" s="183" t="s">
        <v>170</v>
      </c>
      <c r="E27" s="219" t="s">
        <v>171</v>
      </c>
      <c r="F27" s="204"/>
      <c r="G27" s="204"/>
      <c r="H27" s="243"/>
      <c r="I27" s="203"/>
      <c r="J27" s="203"/>
      <c r="K27" s="201"/>
      <c r="L27" s="209"/>
      <c r="M27" s="209"/>
      <c r="N27" s="198"/>
      <c r="O27" s="198"/>
      <c r="P27" s="198"/>
      <c r="Q27" s="198"/>
      <c r="R27" s="198"/>
      <c r="S27" s="198"/>
      <c r="T27" s="204"/>
      <c r="V27" s="79"/>
      <c r="W27" s="79"/>
      <c r="Z27" s="130"/>
      <c r="AB27" s="106"/>
    </row>
    <row r="28">
      <c r="A28" s="173" t="s">
        <v>41</v>
      </c>
      <c r="B28" s="180">
        <f>2346.34-586.59</f>
        <v>1759.75</v>
      </c>
      <c r="C28" s="241"/>
      <c r="D28" s="241"/>
      <c r="E28" s="173">
        <v>11542.0</v>
      </c>
      <c r="K28" s="204"/>
      <c r="L28" s="204"/>
      <c r="M28" s="198"/>
      <c r="R28" s="79"/>
      <c r="S28" s="79"/>
      <c r="V28" s="79"/>
      <c r="W28" s="79"/>
      <c r="Z28" s="130"/>
      <c r="AB28" s="106"/>
    </row>
    <row r="29">
      <c r="A29" s="173" t="s">
        <v>164</v>
      </c>
      <c r="B29" s="180">
        <v>252.0</v>
      </c>
      <c r="C29" s="241"/>
      <c r="D29" s="241"/>
      <c r="E29" s="173" t="s">
        <v>256</v>
      </c>
      <c r="K29" s="204"/>
      <c r="L29" s="204"/>
      <c r="M29" s="198"/>
      <c r="R29" s="79"/>
      <c r="S29" s="79"/>
      <c r="V29" s="79"/>
      <c r="W29" s="79"/>
      <c r="Z29" s="130"/>
      <c r="AB29" s="106"/>
    </row>
    <row r="30">
      <c r="C30" s="79"/>
      <c r="D30" s="79"/>
      <c r="E30" s="79"/>
      <c r="M30" s="79"/>
      <c r="R30" s="79"/>
      <c r="S30" s="79"/>
      <c r="V30" s="79"/>
      <c r="W30" s="79"/>
      <c r="Z30" s="130"/>
      <c r="AB30" s="106"/>
    </row>
    <row r="31">
      <c r="C31" s="79"/>
      <c r="D31" s="79"/>
      <c r="E31" s="79"/>
      <c r="M31" s="79"/>
      <c r="R31" s="79"/>
      <c r="S31" s="79"/>
      <c r="V31" s="79"/>
      <c r="W31" s="79"/>
      <c r="Z31" s="130"/>
      <c r="AB31" s="106"/>
    </row>
    <row r="32">
      <c r="C32" s="79"/>
      <c r="D32" s="79"/>
      <c r="E32" s="79"/>
      <c r="M32" s="79"/>
      <c r="R32" s="79"/>
      <c r="S32" s="79"/>
      <c r="V32" s="79"/>
      <c r="W32" s="79"/>
      <c r="Z32" s="130"/>
      <c r="AB32" s="106"/>
    </row>
    <row r="33">
      <c r="C33" s="79"/>
      <c r="D33" s="79"/>
      <c r="E33" s="79"/>
      <c r="M33" s="79"/>
      <c r="R33" s="79"/>
      <c r="S33" s="79"/>
      <c r="V33" s="79"/>
      <c r="W33" s="79"/>
      <c r="Z33" s="130"/>
      <c r="AB33" s="106"/>
    </row>
    <row r="34">
      <c r="C34" s="79"/>
      <c r="D34" s="79"/>
      <c r="E34" s="79"/>
      <c r="M34" s="79"/>
      <c r="R34" s="79"/>
      <c r="S34" s="79"/>
      <c r="V34" s="79"/>
      <c r="W34" s="79"/>
      <c r="Z34" s="130"/>
      <c r="AB34" s="106"/>
    </row>
    <row r="35">
      <c r="C35" s="79"/>
      <c r="D35" s="79"/>
      <c r="E35" s="79"/>
      <c r="M35" s="79"/>
      <c r="R35" s="79"/>
      <c r="S35" s="79"/>
      <c r="V35" s="79"/>
      <c r="W35" s="79"/>
      <c r="Z35" s="130"/>
      <c r="AB35" s="106"/>
    </row>
    <row r="36">
      <c r="C36" s="79"/>
      <c r="D36" s="79"/>
      <c r="E36" s="79"/>
      <c r="M36" s="79"/>
      <c r="R36" s="79"/>
      <c r="S36" s="79"/>
      <c r="V36" s="79"/>
      <c r="W36" s="79"/>
      <c r="Z36" s="130"/>
      <c r="AB36" s="106"/>
    </row>
    <row r="37">
      <c r="C37" s="79"/>
      <c r="D37" s="79"/>
      <c r="E37" s="79"/>
      <c r="M37" s="79"/>
      <c r="R37" s="79"/>
      <c r="S37" s="79"/>
      <c r="V37" s="79"/>
      <c r="W37" s="79"/>
      <c r="Z37" s="130"/>
      <c r="AB37" s="106"/>
    </row>
    <row r="38">
      <c r="C38" s="79"/>
      <c r="D38" s="79"/>
      <c r="E38" s="79"/>
      <c r="M38" s="79"/>
      <c r="R38" s="79"/>
      <c r="S38" s="79"/>
      <c r="V38" s="79"/>
      <c r="W38" s="79"/>
      <c r="Z38" s="130"/>
      <c r="AB38" s="106"/>
    </row>
    <row r="39">
      <c r="C39" s="79"/>
      <c r="D39" s="79"/>
      <c r="E39" s="79"/>
      <c r="M39" s="79"/>
      <c r="R39" s="79"/>
      <c r="S39" s="79"/>
      <c r="V39" s="79"/>
      <c r="W39" s="79"/>
      <c r="Z39" s="130"/>
      <c r="AB39" s="106"/>
    </row>
    <row r="40">
      <c r="C40" s="79"/>
      <c r="D40" s="79"/>
      <c r="E40" s="79"/>
      <c r="M40" s="79"/>
      <c r="R40" s="79"/>
      <c r="S40" s="79"/>
      <c r="V40" s="79"/>
      <c r="W40" s="79"/>
      <c r="Z40" s="130"/>
      <c r="AB40" s="106"/>
    </row>
    <row r="41">
      <c r="C41" s="79"/>
      <c r="D41" s="79"/>
      <c r="E41" s="79"/>
      <c r="M41" s="79"/>
      <c r="R41" s="79"/>
      <c r="S41" s="79"/>
      <c r="V41" s="79"/>
      <c r="W41" s="79"/>
      <c r="Z41" s="130"/>
      <c r="AB41" s="106"/>
    </row>
    <row r="42">
      <c r="C42" s="79"/>
      <c r="D42" s="79"/>
      <c r="E42" s="79"/>
      <c r="M42" s="79"/>
      <c r="R42" s="79"/>
      <c r="S42" s="79"/>
      <c r="V42" s="79"/>
      <c r="W42" s="79"/>
      <c r="Z42" s="130"/>
      <c r="AB42" s="106"/>
    </row>
    <row r="43">
      <c r="C43" s="79"/>
      <c r="D43" s="79"/>
      <c r="E43" s="79"/>
      <c r="M43" s="79"/>
      <c r="R43" s="79"/>
      <c r="S43" s="79"/>
      <c r="V43" s="79"/>
      <c r="W43" s="79"/>
      <c r="Z43" s="130"/>
      <c r="AB43" s="106"/>
    </row>
    <row r="44">
      <c r="C44" s="79"/>
      <c r="D44" s="79"/>
      <c r="E44" s="79"/>
      <c r="M44" s="79"/>
      <c r="R44" s="79"/>
      <c r="S44" s="79"/>
      <c r="V44" s="79"/>
      <c r="W44" s="79"/>
      <c r="Z44" s="130"/>
      <c r="AB44" s="106"/>
    </row>
    <row r="45">
      <c r="C45" s="79"/>
      <c r="D45" s="79"/>
      <c r="E45" s="79"/>
      <c r="M45" s="79"/>
      <c r="R45" s="79"/>
      <c r="S45" s="79"/>
      <c r="V45" s="79"/>
      <c r="W45" s="79"/>
      <c r="Z45" s="130"/>
      <c r="AB45" s="106"/>
    </row>
    <row r="46">
      <c r="C46" s="79"/>
      <c r="D46" s="79"/>
      <c r="E46" s="79"/>
      <c r="M46" s="79"/>
      <c r="R46" s="79"/>
      <c r="S46" s="79"/>
      <c r="V46" s="79"/>
      <c r="W46" s="79"/>
      <c r="Z46" s="130"/>
      <c r="AB46" s="106"/>
    </row>
    <row r="47">
      <c r="C47" s="79"/>
      <c r="D47" s="79"/>
      <c r="E47" s="79"/>
      <c r="M47" s="79"/>
      <c r="R47" s="79"/>
      <c r="S47" s="79"/>
      <c r="V47" s="79"/>
      <c r="W47" s="79"/>
      <c r="Z47" s="130"/>
      <c r="AB47" s="106"/>
    </row>
    <row r="48">
      <c r="C48" s="79"/>
      <c r="D48" s="79"/>
      <c r="E48" s="79"/>
      <c r="M48" s="79"/>
      <c r="R48" s="79"/>
      <c r="S48" s="79"/>
      <c r="V48" s="79"/>
      <c r="W48" s="79"/>
      <c r="Z48" s="130"/>
      <c r="AB48" s="106"/>
    </row>
    <row r="49">
      <c r="C49" s="79"/>
      <c r="D49" s="79"/>
      <c r="E49" s="79"/>
      <c r="M49" s="79"/>
      <c r="R49" s="79"/>
      <c r="S49" s="79"/>
      <c r="V49" s="79"/>
      <c r="W49" s="79"/>
      <c r="Z49" s="130"/>
      <c r="AB49" s="106"/>
    </row>
    <row r="50">
      <c r="C50" s="79"/>
      <c r="D50" s="79"/>
      <c r="E50" s="79"/>
      <c r="M50" s="79"/>
      <c r="R50" s="79"/>
      <c r="S50" s="79"/>
      <c r="V50" s="79"/>
      <c r="W50" s="79"/>
      <c r="Z50" s="130"/>
      <c r="AB50" s="106"/>
    </row>
    <row r="51">
      <c r="C51" s="79"/>
      <c r="D51" s="79"/>
      <c r="E51" s="79"/>
      <c r="M51" s="79"/>
      <c r="R51" s="79"/>
      <c r="S51" s="79"/>
      <c r="V51" s="79"/>
      <c r="W51" s="79"/>
      <c r="Z51" s="130"/>
      <c r="AB51" s="106"/>
    </row>
    <row r="52">
      <c r="C52" s="79"/>
      <c r="D52" s="79"/>
      <c r="E52" s="79"/>
      <c r="M52" s="79"/>
      <c r="R52" s="79"/>
      <c r="S52" s="79"/>
      <c r="V52" s="79"/>
      <c r="W52" s="79"/>
      <c r="Z52" s="130"/>
      <c r="AB52" s="106"/>
    </row>
    <row r="53">
      <c r="C53" s="79"/>
      <c r="D53" s="79"/>
      <c r="E53" s="79"/>
      <c r="M53" s="79"/>
      <c r="R53" s="79"/>
      <c r="S53" s="79"/>
      <c r="V53" s="79"/>
      <c r="W53" s="79"/>
      <c r="Z53" s="130"/>
      <c r="AB53" s="106"/>
    </row>
    <row r="54">
      <c r="C54" s="79"/>
      <c r="D54" s="79"/>
      <c r="E54" s="79"/>
      <c r="M54" s="79"/>
      <c r="R54" s="79"/>
      <c r="S54" s="79"/>
      <c r="V54" s="79"/>
      <c r="W54" s="79"/>
      <c r="Z54" s="130"/>
      <c r="AB54" s="106"/>
    </row>
    <row r="55">
      <c r="C55" s="79"/>
      <c r="D55" s="79"/>
      <c r="E55" s="79"/>
      <c r="M55" s="79"/>
      <c r="R55" s="79"/>
      <c r="S55" s="79"/>
      <c r="V55" s="79"/>
      <c r="W55" s="79"/>
      <c r="Z55" s="130"/>
      <c r="AB55" s="106"/>
    </row>
    <row r="56">
      <c r="C56" s="79"/>
      <c r="D56" s="79"/>
      <c r="E56" s="79"/>
      <c r="M56" s="79"/>
      <c r="R56" s="79"/>
      <c r="S56" s="79"/>
      <c r="V56" s="79"/>
      <c r="W56" s="79"/>
      <c r="Z56" s="130"/>
      <c r="AB56" s="106"/>
    </row>
    <row r="57">
      <c r="C57" s="79"/>
      <c r="D57" s="79"/>
      <c r="E57" s="79"/>
      <c r="M57" s="79"/>
      <c r="R57" s="79"/>
      <c r="S57" s="79"/>
      <c r="V57" s="79"/>
      <c r="W57" s="79"/>
      <c r="Z57" s="130"/>
      <c r="AB57" s="106"/>
    </row>
    <row r="58">
      <c r="C58" s="79"/>
      <c r="D58" s="79"/>
      <c r="E58" s="79"/>
      <c r="M58" s="79"/>
      <c r="R58" s="79"/>
      <c r="S58" s="79"/>
      <c r="V58" s="79"/>
      <c r="W58" s="79"/>
      <c r="Z58" s="130"/>
      <c r="AB58" s="106"/>
    </row>
    <row r="59">
      <c r="C59" s="79"/>
      <c r="D59" s="79"/>
      <c r="E59" s="79"/>
      <c r="M59" s="79"/>
      <c r="R59" s="79"/>
      <c r="S59" s="79"/>
      <c r="V59" s="79"/>
      <c r="W59" s="79"/>
      <c r="Z59" s="130"/>
      <c r="AB59" s="106"/>
    </row>
    <row r="60">
      <c r="C60" s="79"/>
      <c r="D60" s="79"/>
      <c r="E60" s="79"/>
      <c r="M60" s="79"/>
      <c r="R60" s="79"/>
      <c r="S60" s="79"/>
      <c r="V60" s="79"/>
      <c r="W60" s="79"/>
      <c r="Z60" s="130"/>
      <c r="AB60" s="106"/>
    </row>
    <row r="61">
      <c r="C61" s="79"/>
      <c r="D61" s="79"/>
      <c r="E61" s="79"/>
      <c r="M61" s="79"/>
      <c r="R61" s="79"/>
      <c r="S61" s="79"/>
      <c r="V61" s="79"/>
      <c r="W61" s="79"/>
      <c r="Z61" s="130"/>
      <c r="AB61" s="106"/>
    </row>
    <row r="62">
      <c r="C62" s="79"/>
      <c r="D62" s="79"/>
      <c r="E62" s="79"/>
      <c r="M62" s="79"/>
      <c r="R62" s="79"/>
      <c r="S62" s="79"/>
      <c r="V62" s="79"/>
      <c r="W62" s="79"/>
      <c r="Z62" s="130"/>
      <c r="AB62" s="106"/>
    </row>
    <row r="63">
      <c r="C63" s="79"/>
      <c r="D63" s="79"/>
      <c r="E63" s="79"/>
      <c r="M63" s="79"/>
      <c r="R63" s="79"/>
      <c r="S63" s="79"/>
      <c r="V63" s="79"/>
      <c r="W63" s="79"/>
      <c r="Z63" s="130"/>
      <c r="AB63" s="106"/>
    </row>
    <row r="64">
      <c r="C64" s="79"/>
      <c r="D64" s="79"/>
      <c r="E64" s="79"/>
      <c r="M64" s="79"/>
      <c r="R64" s="79"/>
      <c r="S64" s="79"/>
      <c r="V64" s="79"/>
      <c r="W64" s="79"/>
      <c r="Z64" s="130"/>
      <c r="AB64" s="106"/>
    </row>
    <row r="65">
      <c r="C65" s="79"/>
      <c r="D65" s="79"/>
      <c r="E65" s="79"/>
      <c r="M65" s="79"/>
      <c r="R65" s="79"/>
      <c r="S65" s="79"/>
      <c r="V65" s="79"/>
      <c r="W65" s="79"/>
      <c r="Z65" s="130"/>
      <c r="AB65" s="106"/>
    </row>
    <row r="66">
      <c r="C66" s="79"/>
      <c r="D66" s="79"/>
      <c r="E66" s="79"/>
      <c r="M66" s="79"/>
      <c r="R66" s="79"/>
      <c r="S66" s="79"/>
      <c r="V66" s="79"/>
      <c r="W66" s="79"/>
      <c r="Z66" s="130"/>
      <c r="AB66" s="106"/>
    </row>
    <row r="67">
      <c r="C67" s="79"/>
      <c r="D67" s="79"/>
      <c r="E67" s="79"/>
      <c r="M67" s="79"/>
      <c r="R67" s="79"/>
      <c r="S67" s="79"/>
      <c r="V67" s="79"/>
      <c r="W67" s="79"/>
      <c r="Z67" s="130"/>
      <c r="AB67" s="106"/>
    </row>
    <row r="68">
      <c r="C68" s="79"/>
      <c r="D68" s="79"/>
      <c r="E68" s="79"/>
      <c r="M68" s="79"/>
      <c r="R68" s="79"/>
      <c r="S68" s="79"/>
      <c r="V68" s="79"/>
      <c r="W68" s="79"/>
      <c r="Z68" s="130"/>
      <c r="AB68" s="106"/>
    </row>
    <row r="69">
      <c r="C69" s="79"/>
      <c r="D69" s="79"/>
      <c r="E69" s="79"/>
      <c r="M69" s="79"/>
      <c r="R69" s="79"/>
      <c r="S69" s="79"/>
      <c r="V69" s="79"/>
      <c r="W69" s="79"/>
      <c r="Z69" s="130"/>
      <c r="AB69" s="106"/>
    </row>
    <row r="70">
      <c r="C70" s="79"/>
      <c r="D70" s="79"/>
      <c r="E70" s="79"/>
      <c r="M70" s="79"/>
      <c r="R70" s="79"/>
      <c r="S70" s="79"/>
      <c r="V70" s="79"/>
      <c r="W70" s="79"/>
      <c r="Z70" s="130"/>
      <c r="AB70" s="106"/>
    </row>
    <row r="71">
      <c r="C71" s="79"/>
      <c r="D71" s="79"/>
      <c r="E71" s="79"/>
      <c r="M71" s="79"/>
      <c r="R71" s="79"/>
      <c r="S71" s="79"/>
      <c r="V71" s="79"/>
      <c r="W71" s="79"/>
      <c r="Z71" s="130"/>
      <c r="AB71" s="106"/>
    </row>
    <row r="72">
      <c r="C72" s="79"/>
      <c r="D72" s="79"/>
      <c r="E72" s="79"/>
      <c r="M72" s="79"/>
      <c r="R72" s="79"/>
      <c r="S72" s="79"/>
      <c r="V72" s="79"/>
      <c r="W72" s="79"/>
      <c r="Z72" s="130"/>
      <c r="AB72" s="106"/>
    </row>
    <row r="73">
      <c r="C73" s="79"/>
      <c r="D73" s="79"/>
      <c r="E73" s="79"/>
      <c r="M73" s="79"/>
      <c r="R73" s="79"/>
      <c r="S73" s="79"/>
      <c r="V73" s="79"/>
      <c r="W73" s="79"/>
      <c r="Z73" s="130"/>
      <c r="AB73" s="106"/>
    </row>
    <row r="74">
      <c r="C74" s="79"/>
      <c r="D74" s="79"/>
      <c r="E74" s="79"/>
      <c r="M74" s="79"/>
      <c r="R74" s="79"/>
      <c r="S74" s="79"/>
      <c r="V74" s="79"/>
      <c r="W74" s="79"/>
      <c r="Z74" s="130"/>
      <c r="AB74" s="106"/>
    </row>
    <row r="75">
      <c r="C75" s="79"/>
      <c r="D75" s="79"/>
      <c r="E75" s="79"/>
      <c r="M75" s="79"/>
      <c r="R75" s="79"/>
      <c r="S75" s="79"/>
      <c r="V75" s="79"/>
      <c r="W75" s="79"/>
      <c r="Z75" s="130"/>
      <c r="AB75" s="106"/>
    </row>
    <row r="76">
      <c r="C76" s="79"/>
      <c r="D76" s="79"/>
      <c r="E76" s="79"/>
      <c r="M76" s="79"/>
      <c r="R76" s="79"/>
      <c r="S76" s="79"/>
      <c r="V76" s="79"/>
      <c r="W76" s="79"/>
      <c r="Z76" s="130"/>
      <c r="AB76" s="106"/>
    </row>
    <row r="77">
      <c r="C77" s="79"/>
      <c r="D77" s="79"/>
      <c r="E77" s="79"/>
      <c r="M77" s="79"/>
      <c r="R77" s="79"/>
      <c r="S77" s="79"/>
      <c r="V77" s="79"/>
      <c r="W77" s="79"/>
      <c r="Z77" s="130"/>
      <c r="AB77" s="106"/>
    </row>
    <row r="78">
      <c r="C78" s="79"/>
      <c r="D78" s="79"/>
      <c r="E78" s="79"/>
      <c r="M78" s="79"/>
      <c r="R78" s="79"/>
      <c r="S78" s="79"/>
      <c r="V78" s="79"/>
      <c r="W78" s="79"/>
      <c r="Z78" s="130"/>
      <c r="AB78" s="106"/>
    </row>
    <row r="79">
      <c r="C79" s="79"/>
      <c r="D79" s="79"/>
      <c r="E79" s="79"/>
      <c r="M79" s="79"/>
      <c r="R79" s="79"/>
      <c r="S79" s="79"/>
      <c r="V79" s="79"/>
      <c r="W79" s="79"/>
      <c r="Z79" s="130"/>
      <c r="AB79" s="106"/>
    </row>
    <row r="80">
      <c r="C80" s="79"/>
      <c r="D80" s="79"/>
      <c r="E80" s="79"/>
      <c r="M80" s="79"/>
      <c r="R80" s="79"/>
      <c r="S80" s="79"/>
      <c r="V80" s="79"/>
      <c r="W80" s="79"/>
      <c r="Z80" s="130"/>
      <c r="AB80" s="106"/>
    </row>
    <row r="81">
      <c r="C81" s="79"/>
      <c r="D81" s="79"/>
      <c r="E81" s="79"/>
      <c r="M81" s="79"/>
      <c r="R81" s="79"/>
      <c r="S81" s="79"/>
      <c r="V81" s="79"/>
      <c r="W81" s="79"/>
      <c r="Z81" s="130"/>
      <c r="AB81" s="106"/>
    </row>
    <row r="82">
      <c r="C82" s="79"/>
      <c r="D82" s="79"/>
      <c r="E82" s="79"/>
      <c r="M82" s="79"/>
      <c r="R82" s="79"/>
      <c r="S82" s="79"/>
      <c r="V82" s="79"/>
      <c r="W82" s="79"/>
      <c r="Z82" s="130"/>
      <c r="AB82" s="106"/>
    </row>
    <row r="83">
      <c r="C83" s="79"/>
      <c r="D83" s="79"/>
      <c r="E83" s="79"/>
      <c r="M83" s="79"/>
      <c r="R83" s="79"/>
      <c r="S83" s="79"/>
      <c r="V83" s="79"/>
      <c r="W83" s="79"/>
      <c r="Z83" s="130"/>
      <c r="AB83" s="106"/>
    </row>
    <row r="84">
      <c r="C84" s="79"/>
      <c r="D84" s="79"/>
      <c r="E84" s="79"/>
      <c r="M84" s="79"/>
      <c r="R84" s="79"/>
      <c r="S84" s="79"/>
      <c r="V84" s="79"/>
      <c r="W84" s="79"/>
      <c r="Z84" s="130"/>
      <c r="AB84" s="106"/>
    </row>
    <row r="85">
      <c r="C85" s="79"/>
      <c r="D85" s="79"/>
      <c r="E85" s="79"/>
      <c r="M85" s="79"/>
      <c r="R85" s="79"/>
      <c r="S85" s="79"/>
      <c r="V85" s="79"/>
      <c r="W85" s="79"/>
      <c r="Z85" s="130"/>
      <c r="AB85" s="106"/>
    </row>
    <row r="86">
      <c r="C86" s="79"/>
      <c r="D86" s="79"/>
      <c r="E86" s="79"/>
      <c r="M86" s="79"/>
      <c r="R86" s="79"/>
      <c r="S86" s="79"/>
      <c r="V86" s="79"/>
      <c r="W86" s="79"/>
      <c r="Z86" s="130"/>
      <c r="AB86" s="106"/>
    </row>
    <row r="87">
      <c r="C87" s="79"/>
      <c r="D87" s="79"/>
      <c r="E87" s="79"/>
      <c r="M87" s="79"/>
      <c r="R87" s="79"/>
      <c r="S87" s="79"/>
      <c r="V87" s="79"/>
      <c r="W87" s="79"/>
      <c r="Z87" s="130"/>
      <c r="AB87" s="106"/>
    </row>
    <row r="88">
      <c r="C88" s="79"/>
      <c r="D88" s="79"/>
      <c r="E88" s="79"/>
      <c r="M88" s="79"/>
      <c r="R88" s="79"/>
      <c r="S88" s="79"/>
      <c r="V88" s="79"/>
      <c r="W88" s="79"/>
      <c r="Z88" s="130"/>
      <c r="AB88" s="106"/>
    </row>
    <row r="89">
      <c r="C89" s="79"/>
      <c r="D89" s="79"/>
      <c r="E89" s="79"/>
      <c r="M89" s="79"/>
      <c r="R89" s="79"/>
      <c r="S89" s="79"/>
      <c r="V89" s="79"/>
      <c r="W89" s="79"/>
      <c r="Z89" s="130"/>
      <c r="AB89" s="106"/>
    </row>
    <row r="90">
      <c r="C90" s="79"/>
      <c r="D90" s="79"/>
      <c r="E90" s="79"/>
      <c r="M90" s="79"/>
      <c r="R90" s="79"/>
      <c r="S90" s="79"/>
      <c r="V90" s="79"/>
      <c r="W90" s="79"/>
      <c r="Z90" s="130"/>
      <c r="AB90" s="106"/>
    </row>
    <row r="91">
      <c r="C91" s="79"/>
      <c r="D91" s="79"/>
      <c r="E91" s="79"/>
      <c r="M91" s="79"/>
      <c r="R91" s="79"/>
      <c r="S91" s="79"/>
      <c r="V91" s="79"/>
      <c r="W91" s="79"/>
      <c r="Z91" s="130"/>
      <c r="AB91" s="106"/>
    </row>
    <row r="92">
      <c r="C92" s="79"/>
      <c r="D92" s="79"/>
      <c r="E92" s="79"/>
      <c r="M92" s="79"/>
      <c r="R92" s="79"/>
      <c r="S92" s="79"/>
      <c r="V92" s="79"/>
      <c r="W92" s="79"/>
      <c r="Z92" s="130"/>
      <c r="AB92" s="106"/>
    </row>
    <row r="93">
      <c r="C93" s="79"/>
      <c r="D93" s="79"/>
      <c r="E93" s="79"/>
      <c r="M93" s="79"/>
      <c r="R93" s="79"/>
      <c r="S93" s="79"/>
      <c r="V93" s="79"/>
      <c r="W93" s="79"/>
      <c r="Z93" s="130"/>
      <c r="AB93" s="106"/>
    </row>
    <row r="94">
      <c r="C94" s="79"/>
      <c r="D94" s="79"/>
      <c r="E94" s="79"/>
      <c r="M94" s="79"/>
      <c r="R94" s="79"/>
      <c r="S94" s="79"/>
      <c r="V94" s="79"/>
      <c r="W94" s="79"/>
      <c r="Z94" s="130"/>
      <c r="AB94" s="106"/>
    </row>
    <row r="95">
      <c r="C95" s="79"/>
      <c r="D95" s="79"/>
      <c r="E95" s="79"/>
      <c r="M95" s="79"/>
      <c r="R95" s="79"/>
      <c r="S95" s="79"/>
      <c r="V95" s="79"/>
      <c r="W95" s="79"/>
      <c r="Z95" s="130"/>
      <c r="AB95" s="106"/>
    </row>
    <row r="96">
      <c r="C96" s="79"/>
      <c r="D96" s="79"/>
      <c r="E96" s="79"/>
      <c r="M96" s="79"/>
      <c r="R96" s="79"/>
      <c r="S96" s="79"/>
      <c r="V96" s="79"/>
      <c r="W96" s="79"/>
      <c r="Z96" s="130"/>
      <c r="AB96" s="106"/>
    </row>
    <row r="97">
      <c r="C97" s="79"/>
      <c r="D97" s="79"/>
      <c r="E97" s="79"/>
      <c r="M97" s="79"/>
      <c r="R97" s="79"/>
      <c r="S97" s="79"/>
      <c r="V97" s="79"/>
      <c r="W97" s="79"/>
      <c r="Z97" s="130"/>
      <c r="AB97" s="106"/>
    </row>
    <row r="98">
      <c r="C98" s="79"/>
      <c r="D98" s="79"/>
      <c r="E98" s="79"/>
      <c r="M98" s="79"/>
      <c r="R98" s="79"/>
      <c r="S98" s="79"/>
      <c r="V98" s="79"/>
      <c r="W98" s="79"/>
      <c r="Z98" s="130"/>
      <c r="AB98" s="106"/>
    </row>
    <row r="99">
      <c r="C99" s="79"/>
      <c r="D99" s="79"/>
      <c r="E99" s="79"/>
      <c r="M99" s="79"/>
      <c r="R99" s="79"/>
      <c r="S99" s="79"/>
      <c r="V99" s="79"/>
      <c r="W99" s="79"/>
      <c r="Z99" s="130"/>
      <c r="AB99" s="106"/>
    </row>
    <row r="100">
      <c r="C100" s="79"/>
      <c r="D100" s="79"/>
      <c r="E100" s="79"/>
      <c r="M100" s="79"/>
      <c r="R100" s="79"/>
      <c r="S100" s="79"/>
      <c r="V100" s="79"/>
      <c r="W100" s="79"/>
      <c r="Z100" s="130"/>
      <c r="AB100" s="106"/>
    </row>
    <row r="101">
      <c r="C101" s="79"/>
      <c r="D101" s="79"/>
      <c r="E101" s="79"/>
      <c r="M101" s="79"/>
      <c r="R101" s="79"/>
      <c r="S101" s="79"/>
      <c r="V101" s="79"/>
      <c r="W101" s="79"/>
      <c r="Z101" s="130"/>
      <c r="AB101" s="106"/>
    </row>
    <row r="102">
      <c r="C102" s="79"/>
      <c r="D102" s="79"/>
      <c r="E102" s="79"/>
      <c r="M102" s="79"/>
      <c r="R102" s="79"/>
      <c r="S102" s="79"/>
      <c r="V102" s="79"/>
      <c r="W102" s="79"/>
      <c r="Z102" s="130"/>
      <c r="AB102" s="106"/>
    </row>
    <row r="103">
      <c r="C103" s="79"/>
      <c r="D103" s="79"/>
      <c r="E103" s="79"/>
      <c r="M103" s="79"/>
      <c r="R103" s="79"/>
      <c r="S103" s="79"/>
      <c r="V103" s="79"/>
      <c r="W103" s="79"/>
      <c r="Z103" s="130"/>
      <c r="AB103" s="106"/>
    </row>
    <row r="104">
      <c r="C104" s="79"/>
      <c r="D104" s="79"/>
      <c r="E104" s="79"/>
      <c r="M104" s="79"/>
      <c r="R104" s="79"/>
      <c r="S104" s="79"/>
      <c r="V104" s="79"/>
      <c r="W104" s="79"/>
      <c r="Z104" s="130"/>
      <c r="AB104" s="106"/>
    </row>
    <row r="105">
      <c r="C105" s="79"/>
      <c r="D105" s="79"/>
      <c r="E105" s="79"/>
      <c r="M105" s="79"/>
      <c r="R105" s="79"/>
      <c r="S105" s="79"/>
      <c r="V105" s="79"/>
      <c r="W105" s="79"/>
      <c r="Z105" s="130"/>
      <c r="AB105" s="106"/>
    </row>
    <row r="106">
      <c r="C106" s="79"/>
      <c r="D106" s="79"/>
      <c r="E106" s="79"/>
      <c r="M106" s="79"/>
      <c r="R106" s="79"/>
      <c r="S106" s="79"/>
      <c r="V106" s="79"/>
      <c r="W106" s="79"/>
      <c r="Z106" s="130"/>
      <c r="AB106" s="106"/>
    </row>
    <row r="107">
      <c r="C107" s="79"/>
      <c r="D107" s="79"/>
      <c r="E107" s="79"/>
      <c r="M107" s="79"/>
      <c r="R107" s="79"/>
      <c r="S107" s="79"/>
      <c r="V107" s="79"/>
      <c r="W107" s="79"/>
      <c r="Z107" s="130"/>
      <c r="AB107" s="106"/>
    </row>
    <row r="108">
      <c r="C108" s="79"/>
      <c r="D108" s="79"/>
      <c r="E108" s="79"/>
      <c r="M108" s="79"/>
      <c r="R108" s="79"/>
      <c r="S108" s="79"/>
      <c r="V108" s="79"/>
      <c r="W108" s="79"/>
      <c r="Z108" s="130"/>
      <c r="AB108" s="106"/>
    </row>
    <row r="109">
      <c r="C109" s="79"/>
      <c r="D109" s="79"/>
      <c r="E109" s="79"/>
      <c r="M109" s="79"/>
      <c r="R109" s="79"/>
      <c r="S109" s="79"/>
      <c r="V109" s="79"/>
      <c r="W109" s="79"/>
      <c r="Z109" s="130"/>
      <c r="AB109" s="106"/>
    </row>
    <row r="110">
      <c r="C110" s="79"/>
      <c r="D110" s="79"/>
      <c r="E110" s="79"/>
      <c r="M110" s="79"/>
      <c r="R110" s="79"/>
      <c r="S110" s="79"/>
      <c r="V110" s="79"/>
      <c r="W110" s="79"/>
      <c r="Z110" s="130"/>
      <c r="AB110" s="106"/>
    </row>
    <row r="111">
      <c r="C111" s="79"/>
      <c r="D111" s="79"/>
      <c r="E111" s="79"/>
      <c r="M111" s="79"/>
      <c r="R111" s="79"/>
      <c r="S111" s="79"/>
      <c r="V111" s="79"/>
      <c r="W111" s="79"/>
      <c r="Z111" s="130"/>
      <c r="AB111" s="106"/>
    </row>
    <row r="112">
      <c r="C112" s="79"/>
      <c r="D112" s="79"/>
      <c r="E112" s="79"/>
      <c r="M112" s="79"/>
      <c r="R112" s="79"/>
      <c r="S112" s="79"/>
      <c r="V112" s="79"/>
      <c r="W112" s="79"/>
      <c r="Z112" s="130"/>
      <c r="AB112" s="106"/>
    </row>
    <row r="113">
      <c r="C113" s="79"/>
      <c r="D113" s="79"/>
      <c r="E113" s="79"/>
      <c r="M113" s="79"/>
      <c r="R113" s="79"/>
      <c r="S113" s="79"/>
      <c r="V113" s="79"/>
      <c r="W113" s="79"/>
      <c r="Z113" s="130"/>
      <c r="AB113" s="106"/>
    </row>
    <row r="114">
      <c r="C114" s="79"/>
      <c r="D114" s="79"/>
      <c r="E114" s="79"/>
      <c r="M114" s="79"/>
      <c r="R114" s="79"/>
      <c r="S114" s="79"/>
      <c r="V114" s="79"/>
      <c r="W114" s="79"/>
      <c r="Z114" s="130"/>
      <c r="AB114" s="106"/>
    </row>
    <row r="115">
      <c r="C115" s="79"/>
      <c r="D115" s="79"/>
      <c r="E115" s="79"/>
      <c r="M115" s="79"/>
      <c r="R115" s="79"/>
      <c r="S115" s="79"/>
      <c r="V115" s="79"/>
      <c r="W115" s="79"/>
      <c r="Z115" s="130"/>
      <c r="AB115" s="106"/>
    </row>
    <row r="116">
      <c r="C116" s="79"/>
      <c r="D116" s="79"/>
      <c r="E116" s="79"/>
      <c r="M116" s="79"/>
      <c r="R116" s="79"/>
      <c r="S116" s="79"/>
      <c r="V116" s="79"/>
      <c r="W116" s="79"/>
      <c r="Z116" s="130"/>
      <c r="AB116" s="106"/>
    </row>
    <row r="117">
      <c r="C117" s="79"/>
      <c r="D117" s="79"/>
      <c r="E117" s="79"/>
      <c r="M117" s="79"/>
      <c r="R117" s="79"/>
      <c r="S117" s="79"/>
      <c r="V117" s="79"/>
      <c r="W117" s="79"/>
      <c r="Z117" s="130"/>
      <c r="AB117" s="106"/>
    </row>
    <row r="118">
      <c r="C118" s="79"/>
      <c r="D118" s="79"/>
      <c r="E118" s="79"/>
      <c r="M118" s="79"/>
      <c r="R118" s="79"/>
      <c r="S118" s="79"/>
      <c r="V118" s="79"/>
      <c r="W118" s="79"/>
      <c r="Z118" s="130"/>
      <c r="AB118" s="106"/>
    </row>
    <row r="119">
      <c r="C119" s="79"/>
      <c r="D119" s="79"/>
      <c r="E119" s="79"/>
      <c r="M119" s="79"/>
      <c r="R119" s="79"/>
      <c r="S119" s="79"/>
      <c r="V119" s="79"/>
      <c r="W119" s="79"/>
      <c r="Z119" s="130"/>
      <c r="AB119" s="106"/>
    </row>
    <row r="120">
      <c r="C120" s="79"/>
      <c r="D120" s="79"/>
      <c r="E120" s="79"/>
      <c r="M120" s="79"/>
      <c r="R120" s="79"/>
      <c r="S120" s="79"/>
      <c r="V120" s="79"/>
      <c r="W120" s="79"/>
      <c r="Z120" s="130"/>
      <c r="AB120" s="106"/>
    </row>
    <row r="121">
      <c r="C121" s="79"/>
      <c r="D121" s="79"/>
      <c r="E121" s="79"/>
      <c r="M121" s="79"/>
      <c r="R121" s="79"/>
      <c r="S121" s="79"/>
      <c r="V121" s="79"/>
      <c r="W121" s="79"/>
      <c r="Z121" s="130"/>
      <c r="AB121" s="106"/>
    </row>
    <row r="122">
      <c r="C122" s="79"/>
      <c r="D122" s="79"/>
      <c r="E122" s="79"/>
      <c r="M122" s="79"/>
      <c r="R122" s="79"/>
      <c r="S122" s="79"/>
      <c r="V122" s="79"/>
      <c r="W122" s="79"/>
      <c r="Z122" s="130"/>
      <c r="AB122" s="106"/>
    </row>
    <row r="123">
      <c r="C123" s="79"/>
      <c r="D123" s="79"/>
      <c r="E123" s="79"/>
      <c r="M123" s="79"/>
      <c r="R123" s="79"/>
      <c r="S123" s="79"/>
      <c r="V123" s="79"/>
      <c r="W123" s="79"/>
      <c r="Z123" s="130"/>
      <c r="AB123" s="106"/>
    </row>
    <row r="124">
      <c r="C124" s="79"/>
      <c r="D124" s="79"/>
      <c r="E124" s="79"/>
      <c r="M124" s="79"/>
      <c r="R124" s="79"/>
      <c r="S124" s="79"/>
      <c r="V124" s="79"/>
      <c r="W124" s="79"/>
      <c r="Z124" s="130"/>
      <c r="AB124" s="106"/>
    </row>
    <row r="125">
      <c r="C125" s="79"/>
      <c r="D125" s="79"/>
      <c r="E125" s="79"/>
      <c r="M125" s="79"/>
      <c r="R125" s="79"/>
      <c r="S125" s="79"/>
      <c r="V125" s="79"/>
      <c r="W125" s="79"/>
      <c r="Z125" s="130"/>
      <c r="AB125" s="106"/>
    </row>
    <row r="126">
      <c r="C126" s="79"/>
      <c r="D126" s="79"/>
      <c r="E126" s="79"/>
      <c r="M126" s="79"/>
      <c r="R126" s="79"/>
      <c r="S126" s="79"/>
      <c r="V126" s="79"/>
      <c r="W126" s="79"/>
      <c r="Z126" s="130"/>
      <c r="AB126" s="106"/>
    </row>
    <row r="127">
      <c r="C127" s="79"/>
      <c r="D127" s="79"/>
      <c r="E127" s="79"/>
      <c r="M127" s="79"/>
      <c r="R127" s="79"/>
      <c r="S127" s="79"/>
      <c r="V127" s="79"/>
      <c r="W127" s="79"/>
      <c r="Z127" s="130"/>
      <c r="AB127" s="106"/>
    </row>
    <row r="128">
      <c r="C128" s="79"/>
      <c r="D128" s="79"/>
      <c r="E128" s="79"/>
      <c r="M128" s="79"/>
      <c r="R128" s="79"/>
      <c r="S128" s="79"/>
      <c r="V128" s="79"/>
      <c r="W128" s="79"/>
      <c r="Z128" s="130"/>
      <c r="AB128" s="106"/>
    </row>
    <row r="129">
      <c r="C129" s="79"/>
      <c r="D129" s="79"/>
      <c r="E129" s="79"/>
      <c r="M129" s="79"/>
      <c r="R129" s="79"/>
      <c r="S129" s="79"/>
      <c r="V129" s="79"/>
      <c r="W129" s="79"/>
      <c r="Z129" s="130"/>
      <c r="AB129" s="106"/>
    </row>
    <row r="130">
      <c r="C130" s="79"/>
      <c r="D130" s="79"/>
      <c r="E130" s="79"/>
      <c r="M130" s="79"/>
      <c r="R130" s="79"/>
      <c r="S130" s="79"/>
      <c r="V130" s="79"/>
      <c r="W130" s="79"/>
      <c r="Z130" s="130"/>
      <c r="AB130" s="106"/>
    </row>
    <row r="131">
      <c r="C131" s="79"/>
      <c r="D131" s="79"/>
      <c r="E131" s="79"/>
      <c r="M131" s="79"/>
      <c r="R131" s="79"/>
      <c r="S131" s="79"/>
      <c r="V131" s="79"/>
      <c r="W131" s="79"/>
      <c r="Z131" s="130"/>
      <c r="AB131" s="106"/>
    </row>
    <row r="132">
      <c r="C132" s="79"/>
      <c r="D132" s="79"/>
      <c r="E132" s="79"/>
      <c r="M132" s="79"/>
      <c r="R132" s="79"/>
      <c r="S132" s="79"/>
      <c r="V132" s="79"/>
      <c r="W132" s="79"/>
      <c r="Z132" s="130"/>
      <c r="AB132" s="106"/>
    </row>
    <row r="133">
      <c r="C133" s="79"/>
      <c r="D133" s="79"/>
      <c r="E133" s="79"/>
      <c r="M133" s="79"/>
      <c r="R133" s="79"/>
      <c r="S133" s="79"/>
      <c r="V133" s="79"/>
      <c r="W133" s="79"/>
      <c r="Z133" s="130"/>
      <c r="AB133" s="106"/>
    </row>
    <row r="134">
      <c r="C134" s="79"/>
      <c r="D134" s="79"/>
      <c r="E134" s="79"/>
      <c r="M134" s="79"/>
      <c r="R134" s="79"/>
      <c r="S134" s="79"/>
      <c r="V134" s="79"/>
      <c r="W134" s="79"/>
      <c r="Z134" s="130"/>
      <c r="AB134" s="106"/>
    </row>
    <row r="135">
      <c r="C135" s="79"/>
      <c r="D135" s="79"/>
      <c r="E135" s="79"/>
      <c r="M135" s="79"/>
      <c r="R135" s="79"/>
      <c r="S135" s="79"/>
      <c r="V135" s="79"/>
      <c r="W135" s="79"/>
      <c r="Z135" s="130"/>
      <c r="AB135" s="106"/>
    </row>
    <row r="136">
      <c r="C136" s="79"/>
      <c r="D136" s="79"/>
      <c r="E136" s="79"/>
      <c r="M136" s="79"/>
      <c r="R136" s="79"/>
      <c r="S136" s="79"/>
      <c r="V136" s="79"/>
      <c r="W136" s="79"/>
      <c r="Z136" s="130"/>
      <c r="AB136" s="106"/>
    </row>
    <row r="137">
      <c r="C137" s="79"/>
      <c r="D137" s="79"/>
      <c r="E137" s="79"/>
      <c r="M137" s="79"/>
      <c r="R137" s="79"/>
      <c r="S137" s="79"/>
      <c r="V137" s="79"/>
      <c r="W137" s="79"/>
      <c r="Z137" s="130"/>
      <c r="AB137" s="106"/>
    </row>
    <row r="138">
      <c r="C138" s="79"/>
      <c r="D138" s="79"/>
      <c r="E138" s="79"/>
      <c r="M138" s="79"/>
      <c r="R138" s="79"/>
      <c r="S138" s="79"/>
      <c r="V138" s="79"/>
      <c r="W138" s="79"/>
      <c r="Z138" s="130"/>
      <c r="AB138" s="106"/>
    </row>
    <row r="139">
      <c r="C139" s="79"/>
      <c r="D139" s="79"/>
      <c r="E139" s="79"/>
      <c r="M139" s="79"/>
      <c r="R139" s="79"/>
      <c r="S139" s="79"/>
      <c r="V139" s="79"/>
      <c r="W139" s="79"/>
      <c r="Z139" s="130"/>
      <c r="AB139" s="106"/>
    </row>
    <row r="140">
      <c r="C140" s="79"/>
      <c r="D140" s="79"/>
      <c r="E140" s="79"/>
      <c r="M140" s="79"/>
      <c r="R140" s="79"/>
      <c r="S140" s="79"/>
      <c r="V140" s="79"/>
      <c r="W140" s="79"/>
      <c r="Z140" s="130"/>
      <c r="AB140" s="106"/>
    </row>
    <row r="141">
      <c r="C141" s="79"/>
      <c r="D141" s="79"/>
      <c r="E141" s="79"/>
      <c r="M141" s="79"/>
      <c r="R141" s="79"/>
      <c r="S141" s="79"/>
      <c r="V141" s="79"/>
      <c r="W141" s="79"/>
      <c r="Z141" s="130"/>
      <c r="AB141" s="106"/>
    </row>
    <row r="142">
      <c r="C142" s="79"/>
      <c r="D142" s="79"/>
      <c r="E142" s="79"/>
      <c r="M142" s="79"/>
      <c r="R142" s="79"/>
      <c r="S142" s="79"/>
      <c r="V142" s="79"/>
      <c r="W142" s="79"/>
      <c r="Z142" s="130"/>
      <c r="AB142" s="106"/>
    </row>
    <row r="143">
      <c r="C143" s="79"/>
      <c r="D143" s="79"/>
      <c r="E143" s="79"/>
      <c r="M143" s="79"/>
      <c r="R143" s="79"/>
      <c r="S143" s="79"/>
      <c r="V143" s="79"/>
      <c r="W143" s="79"/>
      <c r="Z143" s="130"/>
      <c r="AB143" s="106"/>
    </row>
    <row r="144">
      <c r="C144" s="79"/>
      <c r="D144" s="79"/>
      <c r="E144" s="79"/>
      <c r="M144" s="79"/>
      <c r="R144" s="79"/>
      <c r="S144" s="79"/>
      <c r="V144" s="79"/>
      <c r="W144" s="79"/>
      <c r="Z144" s="130"/>
      <c r="AB144" s="106"/>
    </row>
    <row r="145">
      <c r="C145" s="79"/>
      <c r="D145" s="79"/>
      <c r="E145" s="79"/>
      <c r="M145" s="79"/>
      <c r="R145" s="79"/>
      <c r="S145" s="79"/>
      <c r="V145" s="79"/>
      <c r="W145" s="79"/>
      <c r="Z145" s="130"/>
      <c r="AB145" s="106"/>
    </row>
    <row r="146">
      <c r="C146" s="79"/>
      <c r="D146" s="79"/>
      <c r="E146" s="79"/>
      <c r="M146" s="79"/>
      <c r="R146" s="79"/>
      <c r="S146" s="79"/>
      <c r="V146" s="79"/>
      <c r="W146" s="79"/>
      <c r="Z146" s="130"/>
      <c r="AB146" s="106"/>
    </row>
    <row r="147">
      <c r="C147" s="79"/>
      <c r="D147" s="79"/>
      <c r="E147" s="79"/>
      <c r="M147" s="79"/>
      <c r="R147" s="79"/>
      <c r="S147" s="79"/>
      <c r="V147" s="79"/>
      <c r="W147" s="79"/>
      <c r="Z147" s="130"/>
      <c r="AB147" s="106"/>
    </row>
    <row r="148">
      <c r="C148" s="79"/>
      <c r="D148" s="79"/>
      <c r="E148" s="79"/>
      <c r="M148" s="79"/>
      <c r="R148" s="79"/>
      <c r="S148" s="79"/>
      <c r="V148" s="79"/>
      <c r="W148" s="79"/>
      <c r="Z148" s="130"/>
      <c r="AB148" s="106"/>
    </row>
    <row r="149">
      <c r="C149" s="79"/>
      <c r="D149" s="79"/>
      <c r="E149" s="79"/>
      <c r="M149" s="79"/>
      <c r="R149" s="79"/>
      <c r="S149" s="79"/>
      <c r="V149" s="79"/>
      <c r="W149" s="79"/>
      <c r="Z149" s="130"/>
      <c r="AB149" s="106"/>
    </row>
    <row r="150">
      <c r="C150" s="79"/>
      <c r="D150" s="79"/>
      <c r="E150" s="79"/>
      <c r="M150" s="79"/>
      <c r="R150" s="79"/>
      <c r="S150" s="79"/>
      <c r="V150" s="79"/>
      <c r="W150" s="79"/>
      <c r="Z150" s="130"/>
      <c r="AB150" s="106"/>
    </row>
    <row r="151">
      <c r="C151" s="79"/>
      <c r="D151" s="79"/>
      <c r="E151" s="79"/>
      <c r="M151" s="79"/>
      <c r="R151" s="79"/>
      <c r="S151" s="79"/>
      <c r="V151" s="79"/>
      <c r="W151" s="79"/>
      <c r="Z151" s="130"/>
      <c r="AB151" s="106"/>
    </row>
    <row r="152">
      <c r="C152" s="79"/>
      <c r="D152" s="79"/>
      <c r="E152" s="79"/>
      <c r="M152" s="79"/>
      <c r="R152" s="79"/>
      <c r="S152" s="79"/>
      <c r="V152" s="79"/>
      <c r="W152" s="79"/>
      <c r="Z152" s="130"/>
      <c r="AB152" s="106"/>
    </row>
    <row r="153">
      <c r="C153" s="79"/>
      <c r="D153" s="79"/>
      <c r="E153" s="79"/>
      <c r="M153" s="79"/>
      <c r="R153" s="79"/>
      <c r="S153" s="79"/>
      <c r="V153" s="79"/>
      <c r="W153" s="79"/>
      <c r="Z153" s="130"/>
      <c r="AB153" s="106"/>
    </row>
    <row r="154">
      <c r="C154" s="79"/>
      <c r="D154" s="79"/>
      <c r="E154" s="79"/>
      <c r="M154" s="79"/>
      <c r="R154" s="79"/>
      <c r="S154" s="79"/>
      <c r="V154" s="79"/>
      <c r="W154" s="79"/>
      <c r="Z154" s="130"/>
      <c r="AB154" s="106"/>
    </row>
    <row r="155">
      <c r="C155" s="79"/>
      <c r="D155" s="79"/>
      <c r="E155" s="79"/>
      <c r="M155" s="79"/>
      <c r="R155" s="79"/>
      <c r="S155" s="79"/>
      <c r="V155" s="79"/>
      <c r="W155" s="79"/>
      <c r="Z155" s="130"/>
      <c r="AB155" s="106"/>
    </row>
    <row r="156">
      <c r="C156" s="79"/>
      <c r="D156" s="79"/>
      <c r="E156" s="79"/>
      <c r="M156" s="79"/>
      <c r="R156" s="79"/>
      <c r="S156" s="79"/>
      <c r="V156" s="79"/>
      <c r="W156" s="79"/>
      <c r="Z156" s="130"/>
      <c r="AB156" s="106"/>
    </row>
    <row r="157">
      <c r="C157" s="79"/>
      <c r="D157" s="79"/>
      <c r="E157" s="79"/>
      <c r="M157" s="79"/>
      <c r="R157" s="79"/>
      <c r="S157" s="79"/>
      <c r="V157" s="79"/>
      <c r="W157" s="79"/>
      <c r="Z157" s="130"/>
      <c r="AB157" s="106"/>
    </row>
    <row r="158">
      <c r="C158" s="79"/>
      <c r="D158" s="79"/>
      <c r="E158" s="79"/>
      <c r="M158" s="79"/>
      <c r="R158" s="79"/>
      <c r="S158" s="79"/>
      <c r="V158" s="79"/>
      <c r="W158" s="79"/>
      <c r="Z158" s="130"/>
      <c r="AB158" s="106"/>
    </row>
    <row r="159">
      <c r="C159" s="79"/>
      <c r="D159" s="79"/>
      <c r="E159" s="79"/>
      <c r="M159" s="79"/>
      <c r="R159" s="79"/>
      <c r="S159" s="79"/>
      <c r="V159" s="79"/>
      <c r="W159" s="79"/>
      <c r="Z159" s="130"/>
      <c r="AB159" s="106"/>
    </row>
    <row r="160">
      <c r="C160" s="79"/>
      <c r="D160" s="79"/>
      <c r="E160" s="79"/>
      <c r="M160" s="79"/>
      <c r="R160" s="79"/>
      <c r="S160" s="79"/>
      <c r="V160" s="79"/>
      <c r="W160" s="79"/>
      <c r="Z160" s="130"/>
      <c r="AB160" s="106"/>
    </row>
    <row r="161">
      <c r="C161" s="79"/>
      <c r="D161" s="79"/>
      <c r="E161" s="79"/>
      <c r="M161" s="79"/>
      <c r="R161" s="79"/>
      <c r="S161" s="79"/>
      <c r="V161" s="79"/>
      <c r="W161" s="79"/>
      <c r="Z161" s="130"/>
      <c r="AB161" s="106"/>
    </row>
    <row r="162">
      <c r="C162" s="79"/>
      <c r="D162" s="79"/>
      <c r="E162" s="79"/>
      <c r="M162" s="79"/>
      <c r="R162" s="79"/>
      <c r="S162" s="79"/>
      <c r="V162" s="79"/>
      <c r="W162" s="79"/>
      <c r="Z162" s="130"/>
      <c r="AB162" s="106"/>
    </row>
    <row r="163">
      <c r="C163" s="79"/>
      <c r="D163" s="79"/>
      <c r="E163" s="79"/>
      <c r="M163" s="79"/>
      <c r="R163" s="79"/>
      <c r="S163" s="79"/>
      <c r="V163" s="79"/>
      <c r="W163" s="79"/>
      <c r="Z163" s="130"/>
      <c r="AB163" s="106"/>
    </row>
    <row r="164">
      <c r="C164" s="79"/>
      <c r="D164" s="79"/>
      <c r="E164" s="79"/>
      <c r="M164" s="79"/>
      <c r="R164" s="79"/>
      <c r="S164" s="79"/>
      <c r="V164" s="79"/>
      <c r="W164" s="79"/>
      <c r="Z164" s="130"/>
      <c r="AB164" s="106"/>
    </row>
    <row r="165">
      <c r="C165" s="79"/>
      <c r="D165" s="79"/>
      <c r="E165" s="79"/>
      <c r="M165" s="79"/>
      <c r="R165" s="79"/>
      <c r="S165" s="79"/>
      <c r="V165" s="79"/>
      <c r="W165" s="79"/>
      <c r="Z165" s="130"/>
      <c r="AB165" s="106"/>
    </row>
    <row r="166">
      <c r="C166" s="79"/>
      <c r="D166" s="79"/>
      <c r="E166" s="79"/>
      <c r="M166" s="79"/>
      <c r="R166" s="79"/>
      <c r="S166" s="79"/>
      <c r="V166" s="79"/>
      <c r="W166" s="79"/>
      <c r="Z166" s="130"/>
      <c r="AB166" s="106"/>
    </row>
    <row r="167">
      <c r="C167" s="79"/>
      <c r="D167" s="79"/>
      <c r="E167" s="79"/>
      <c r="M167" s="79"/>
      <c r="R167" s="79"/>
      <c r="S167" s="79"/>
      <c r="V167" s="79"/>
      <c r="W167" s="79"/>
      <c r="Z167" s="130"/>
      <c r="AB167" s="106"/>
    </row>
    <row r="168">
      <c r="C168" s="79"/>
      <c r="D168" s="79"/>
      <c r="E168" s="79"/>
      <c r="M168" s="79"/>
      <c r="R168" s="79"/>
      <c r="S168" s="79"/>
      <c r="V168" s="79"/>
      <c r="W168" s="79"/>
      <c r="Z168" s="130"/>
      <c r="AB168" s="106"/>
    </row>
    <row r="169">
      <c r="C169" s="79"/>
      <c r="D169" s="79"/>
      <c r="E169" s="79"/>
      <c r="M169" s="79"/>
      <c r="R169" s="79"/>
      <c r="S169" s="79"/>
      <c r="V169" s="79"/>
      <c r="W169" s="79"/>
      <c r="Z169" s="130"/>
      <c r="AB169" s="106"/>
    </row>
    <row r="170">
      <c r="C170" s="79"/>
      <c r="D170" s="79"/>
      <c r="E170" s="79"/>
      <c r="M170" s="79"/>
      <c r="R170" s="79"/>
      <c r="S170" s="79"/>
      <c r="V170" s="79"/>
      <c r="W170" s="79"/>
      <c r="Z170" s="130"/>
      <c r="AB170" s="106"/>
    </row>
    <row r="171">
      <c r="C171" s="79"/>
      <c r="D171" s="79"/>
      <c r="E171" s="79"/>
      <c r="M171" s="79"/>
      <c r="R171" s="79"/>
      <c r="S171" s="79"/>
      <c r="V171" s="79"/>
      <c r="W171" s="79"/>
      <c r="Z171" s="130"/>
      <c r="AB171" s="106"/>
    </row>
    <row r="172">
      <c r="C172" s="79"/>
      <c r="D172" s="79"/>
      <c r="E172" s="79"/>
      <c r="M172" s="79"/>
      <c r="R172" s="79"/>
      <c r="S172" s="79"/>
      <c r="V172" s="79"/>
      <c r="W172" s="79"/>
      <c r="Z172" s="130"/>
      <c r="AB172" s="106"/>
    </row>
    <row r="173">
      <c r="C173" s="79"/>
      <c r="D173" s="79"/>
      <c r="E173" s="79"/>
      <c r="M173" s="79"/>
      <c r="R173" s="79"/>
      <c r="S173" s="79"/>
      <c r="V173" s="79"/>
      <c r="W173" s="79"/>
      <c r="Z173" s="130"/>
      <c r="AB173" s="106"/>
    </row>
    <row r="174">
      <c r="C174" s="79"/>
      <c r="D174" s="79"/>
      <c r="E174" s="79"/>
      <c r="M174" s="79"/>
      <c r="R174" s="79"/>
      <c r="S174" s="79"/>
      <c r="V174" s="79"/>
      <c r="W174" s="79"/>
      <c r="Z174" s="130"/>
      <c r="AB174" s="106"/>
    </row>
    <row r="175">
      <c r="C175" s="79"/>
      <c r="D175" s="79"/>
      <c r="E175" s="79"/>
      <c r="M175" s="79"/>
      <c r="R175" s="79"/>
      <c r="S175" s="79"/>
      <c r="V175" s="79"/>
      <c r="W175" s="79"/>
      <c r="Z175" s="130"/>
      <c r="AB175" s="106"/>
    </row>
    <row r="176">
      <c r="C176" s="79"/>
      <c r="D176" s="79"/>
      <c r="E176" s="79"/>
      <c r="M176" s="79"/>
      <c r="R176" s="79"/>
      <c r="S176" s="79"/>
      <c r="V176" s="79"/>
      <c r="W176" s="79"/>
      <c r="Z176" s="130"/>
      <c r="AB176" s="106"/>
    </row>
    <row r="177">
      <c r="C177" s="79"/>
      <c r="D177" s="79"/>
      <c r="E177" s="79"/>
      <c r="M177" s="79"/>
      <c r="R177" s="79"/>
      <c r="S177" s="79"/>
      <c r="V177" s="79"/>
      <c r="W177" s="79"/>
      <c r="Z177" s="130"/>
      <c r="AB177" s="106"/>
    </row>
    <row r="178">
      <c r="C178" s="79"/>
      <c r="D178" s="79"/>
      <c r="E178" s="79"/>
      <c r="M178" s="79"/>
      <c r="R178" s="79"/>
      <c r="S178" s="79"/>
      <c r="V178" s="79"/>
      <c r="W178" s="79"/>
      <c r="Z178" s="130"/>
      <c r="AB178" s="106"/>
    </row>
    <row r="179">
      <c r="C179" s="79"/>
      <c r="D179" s="79"/>
      <c r="E179" s="79"/>
      <c r="M179" s="79"/>
      <c r="R179" s="79"/>
      <c r="S179" s="79"/>
      <c r="V179" s="79"/>
      <c r="W179" s="79"/>
      <c r="Z179" s="130"/>
      <c r="AB179" s="106"/>
    </row>
    <row r="180">
      <c r="C180" s="79"/>
      <c r="D180" s="79"/>
      <c r="E180" s="79"/>
      <c r="M180" s="79"/>
      <c r="R180" s="79"/>
      <c r="S180" s="79"/>
      <c r="V180" s="79"/>
      <c r="W180" s="79"/>
      <c r="Z180" s="130"/>
      <c r="AB180" s="106"/>
    </row>
    <row r="181">
      <c r="C181" s="79"/>
      <c r="D181" s="79"/>
      <c r="E181" s="79"/>
      <c r="M181" s="79"/>
      <c r="R181" s="79"/>
      <c r="S181" s="79"/>
      <c r="V181" s="79"/>
      <c r="W181" s="79"/>
      <c r="Z181" s="130"/>
      <c r="AB181" s="106"/>
    </row>
    <row r="182">
      <c r="C182" s="79"/>
      <c r="D182" s="79"/>
      <c r="E182" s="79"/>
      <c r="M182" s="79"/>
      <c r="R182" s="79"/>
      <c r="S182" s="79"/>
      <c r="V182" s="79"/>
      <c r="W182" s="79"/>
      <c r="Z182" s="130"/>
      <c r="AB182" s="106"/>
    </row>
    <row r="183">
      <c r="C183" s="79"/>
      <c r="D183" s="79"/>
      <c r="E183" s="79"/>
      <c r="M183" s="79"/>
      <c r="R183" s="79"/>
      <c r="S183" s="79"/>
      <c r="V183" s="79"/>
      <c r="W183" s="79"/>
      <c r="Z183" s="130"/>
      <c r="AB183" s="106"/>
    </row>
    <row r="184">
      <c r="C184" s="79"/>
      <c r="D184" s="79"/>
      <c r="E184" s="79"/>
      <c r="M184" s="79"/>
      <c r="R184" s="79"/>
      <c r="S184" s="79"/>
      <c r="V184" s="79"/>
      <c r="W184" s="79"/>
      <c r="Z184" s="130"/>
      <c r="AB184" s="106"/>
    </row>
    <row r="185">
      <c r="C185" s="79"/>
      <c r="D185" s="79"/>
      <c r="E185" s="79"/>
      <c r="M185" s="79"/>
      <c r="R185" s="79"/>
      <c r="S185" s="79"/>
      <c r="V185" s="79"/>
      <c r="W185" s="79"/>
      <c r="Z185" s="130"/>
      <c r="AB185" s="106"/>
    </row>
    <row r="186">
      <c r="C186" s="79"/>
      <c r="D186" s="79"/>
      <c r="E186" s="79"/>
      <c r="M186" s="79"/>
      <c r="R186" s="79"/>
      <c r="S186" s="79"/>
      <c r="V186" s="79"/>
      <c r="W186" s="79"/>
      <c r="Z186" s="130"/>
      <c r="AB186" s="106"/>
    </row>
    <row r="187">
      <c r="C187" s="79"/>
      <c r="D187" s="79"/>
      <c r="E187" s="79"/>
      <c r="M187" s="79"/>
      <c r="R187" s="79"/>
      <c r="S187" s="79"/>
      <c r="V187" s="79"/>
      <c r="W187" s="79"/>
      <c r="Z187" s="130"/>
      <c r="AB187" s="106"/>
    </row>
    <row r="188">
      <c r="C188" s="79"/>
      <c r="D188" s="79"/>
      <c r="E188" s="79"/>
      <c r="M188" s="79"/>
      <c r="R188" s="79"/>
      <c r="S188" s="79"/>
      <c r="V188" s="79"/>
      <c r="W188" s="79"/>
      <c r="Z188" s="130"/>
      <c r="AB188" s="106"/>
    </row>
    <row r="189">
      <c r="C189" s="79"/>
      <c r="D189" s="79"/>
      <c r="E189" s="79"/>
      <c r="M189" s="79"/>
      <c r="R189" s="79"/>
      <c r="S189" s="79"/>
      <c r="V189" s="79"/>
      <c r="W189" s="79"/>
      <c r="Z189" s="130"/>
      <c r="AB189" s="106"/>
    </row>
    <row r="190">
      <c r="C190" s="79"/>
      <c r="D190" s="79"/>
      <c r="E190" s="79"/>
      <c r="M190" s="79"/>
      <c r="R190" s="79"/>
      <c r="S190" s="79"/>
      <c r="V190" s="79"/>
      <c r="W190" s="79"/>
      <c r="Z190" s="130"/>
      <c r="AB190" s="106"/>
    </row>
    <row r="191">
      <c r="C191" s="79"/>
      <c r="D191" s="79"/>
      <c r="E191" s="79"/>
      <c r="M191" s="79"/>
      <c r="R191" s="79"/>
      <c r="S191" s="79"/>
      <c r="V191" s="79"/>
      <c r="W191" s="79"/>
      <c r="Z191" s="130"/>
      <c r="AB191" s="106"/>
    </row>
    <row r="192">
      <c r="C192" s="79"/>
      <c r="D192" s="79"/>
      <c r="E192" s="79"/>
      <c r="M192" s="79"/>
      <c r="R192" s="79"/>
      <c r="S192" s="79"/>
      <c r="V192" s="79"/>
      <c r="W192" s="79"/>
      <c r="Z192" s="130"/>
      <c r="AB192" s="106"/>
    </row>
    <row r="193">
      <c r="C193" s="79"/>
      <c r="D193" s="79"/>
      <c r="E193" s="79"/>
      <c r="M193" s="79"/>
      <c r="R193" s="79"/>
      <c r="S193" s="79"/>
      <c r="V193" s="79"/>
      <c r="W193" s="79"/>
      <c r="Z193" s="130"/>
      <c r="AB193" s="106"/>
    </row>
    <row r="194">
      <c r="C194" s="79"/>
      <c r="D194" s="79"/>
      <c r="E194" s="79"/>
      <c r="M194" s="79"/>
      <c r="R194" s="79"/>
      <c r="S194" s="79"/>
      <c r="V194" s="79"/>
      <c r="W194" s="79"/>
      <c r="Z194" s="130"/>
      <c r="AB194" s="106"/>
    </row>
    <row r="195">
      <c r="C195" s="79"/>
      <c r="D195" s="79"/>
      <c r="E195" s="79"/>
      <c r="M195" s="79"/>
      <c r="R195" s="79"/>
      <c r="S195" s="79"/>
      <c r="V195" s="79"/>
      <c r="W195" s="79"/>
      <c r="Z195" s="130"/>
      <c r="AB195" s="106"/>
    </row>
    <row r="196">
      <c r="C196" s="79"/>
      <c r="D196" s="79"/>
      <c r="E196" s="79"/>
      <c r="M196" s="79"/>
      <c r="R196" s="79"/>
      <c r="S196" s="79"/>
      <c r="V196" s="79"/>
      <c r="W196" s="79"/>
      <c r="Z196" s="130"/>
      <c r="AB196" s="106"/>
    </row>
    <row r="197">
      <c r="C197" s="79"/>
      <c r="D197" s="79"/>
      <c r="E197" s="79"/>
      <c r="M197" s="79"/>
      <c r="R197" s="79"/>
      <c r="S197" s="79"/>
      <c r="V197" s="79"/>
      <c r="W197" s="79"/>
      <c r="Z197" s="130"/>
      <c r="AB197" s="106"/>
    </row>
    <row r="198">
      <c r="C198" s="79"/>
      <c r="D198" s="79"/>
      <c r="E198" s="79"/>
      <c r="M198" s="79"/>
      <c r="R198" s="79"/>
      <c r="S198" s="79"/>
      <c r="V198" s="79"/>
      <c r="W198" s="79"/>
      <c r="Z198" s="130"/>
      <c r="AB198" s="106"/>
    </row>
    <row r="199">
      <c r="C199" s="79"/>
      <c r="D199" s="79"/>
      <c r="E199" s="79"/>
      <c r="M199" s="79"/>
      <c r="R199" s="79"/>
      <c r="S199" s="79"/>
      <c r="V199" s="79"/>
      <c r="W199" s="79"/>
      <c r="Z199" s="130"/>
      <c r="AB199" s="106"/>
    </row>
    <row r="200">
      <c r="C200" s="79"/>
      <c r="D200" s="79"/>
      <c r="E200" s="79"/>
      <c r="M200" s="79"/>
      <c r="R200" s="79"/>
      <c r="S200" s="79"/>
      <c r="V200" s="79"/>
      <c r="W200" s="79"/>
      <c r="Z200" s="130"/>
      <c r="AB200" s="106"/>
    </row>
    <row r="201">
      <c r="C201" s="79"/>
      <c r="D201" s="79"/>
      <c r="E201" s="79"/>
      <c r="M201" s="79"/>
      <c r="R201" s="79"/>
      <c r="S201" s="79"/>
      <c r="V201" s="79"/>
      <c r="W201" s="79"/>
      <c r="Z201" s="130"/>
      <c r="AB201" s="106"/>
    </row>
    <row r="202">
      <c r="C202" s="79"/>
      <c r="D202" s="79"/>
      <c r="E202" s="79"/>
      <c r="M202" s="79"/>
      <c r="R202" s="79"/>
      <c r="S202" s="79"/>
      <c r="V202" s="79"/>
      <c r="W202" s="79"/>
      <c r="Z202" s="130"/>
      <c r="AB202" s="106"/>
    </row>
    <row r="203">
      <c r="C203" s="79"/>
      <c r="D203" s="79"/>
      <c r="E203" s="79"/>
      <c r="M203" s="79"/>
      <c r="R203" s="79"/>
      <c r="S203" s="79"/>
      <c r="V203" s="79"/>
      <c r="W203" s="79"/>
      <c r="Z203" s="130"/>
      <c r="AB203" s="106"/>
    </row>
    <row r="204">
      <c r="C204" s="79"/>
      <c r="D204" s="79"/>
      <c r="E204" s="79"/>
      <c r="M204" s="79"/>
      <c r="R204" s="79"/>
      <c r="S204" s="79"/>
      <c r="V204" s="79"/>
      <c r="W204" s="79"/>
      <c r="Z204" s="130"/>
      <c r="AB204" s="106"/>
    </row>
    <row r="205">
      <c r="C205" s="79"/>
      <c r="D205" s="79"/>
      <c r="E205" s="79"/>
      <c r="M205" s="79"/>
      <c r="R205" s="79"/>
      <c r="S205" s="79"/>
      <c r="V205" s="79"/>
      <c r="W205" s="79"/>
      <c r="Z205" s="130"/>
      <c r="AB205" s="106"/>
    </row>
    <row r="206">
      <c r="C206" s="79"/>
      <c r="D206" s="79"/>
      <c r="E206" s="79"/>
      <c r="M206" s="79"/>
      <c r="R206" s="79"/>
      <c r="S206" s="79"/>
      <c r="V206" s="79"/>
      <c r="W206" s="79"/>
      <c r="Z206" s="130"/>
      <c r="AB206" s="106"/>
    </row>
    <row r="207">
      <c r="C207" s="79"/>
      <c r="D207" s="79"/>
      <c r="E207" s="79"/>
      <c r="M207" s="79"/>
      <c r="R207" s="79"/>
      <c r="S207" s="79"/>
      <c r="V207" s="79"/>
      <c r="W207" s="79"/>
      <c r="Z207" s="130"/>
      <c r="AB207" s="106"/>
    </row>
    <row r="208">
      <c r="C208" s="79"/>
      <c r="D208" s="79"/>
      <c r="E208" s="79"/>
      <c r="M208" s="79"/>
      <c r="R208" s="79"/>
      <c r="S208" s="79"/>
      <c r="V208" s="79"/>
      <c r="W208" s="79"/>
      <c r="Z208" s="130"/>
      <c r="AB208" s="106"/>
    </row>
    <row r="209">
      <c r="C209" s="79"/>
      <c r="D209" s="79"/>
      <c r="E209" s="79"/>
      <c r="M209" s="79"/>
      <c r="R209" s="79"/>
      <c r="S209" s="79"/>
      <c r="V209" s="79"/>
      <c r="W209" s="79"/>
      <c r="Z209" s="130"/>
      <c r="AB209" s="106"/>
    </row>
    <row r="210">
      <c r="C210" s="79"/>
      <c r="D210" s="79"/>
      <c r="E210" s="79"/>
      <c r="M210" s="79"/>
      <c r="R210" s="79"/>
      <c r="S210" s="79"/>
      <c r="V210" s="79"/>
      <c r="W210" s="79"/>
      <c r="Z210" s="130"/>
      <c r="AB210" s="106"/>
    </row>
    <row r="211">
      <c r="C211" s="79"/>
      <c r="D211" s="79"/>
      <c r="E211" s="79"/>
      <c r="M211" s="79"/>
      <c r="R211" s="79"/>
      <c r="S211" s="79"/>
      <c r="V211" s="79"/>
      <c r="W211" s="79"/>
      <c r="Z211" s="130"/>
      <c r="AB211" s="106"/>
    </row>
    <row r="212">
      <c r="C212" s="79"/>
      <c r="D212" s="79"/>
      <c r="E212" s="79"/>
      <c r="M212" s="79"/>
      <c r="R212" s="79"/>
      <c r="S212" s="79"/>
      <c r="V212" s="79"/>
      <c r="W212" s="79"/>
      <c r="Z212" s="130"/>
      <c r="AB212" s="106"/>
    </row>
    <row r="213">
      <c r="C213" s="79"/>
      <c r="D213" s="79"/>
      <c r="E213" s="79"/>
      <c r="M213" s="79"/>
      <c r="R213" s="79"/>
      <c r="S213" s="79"/>
      <c r="V213" s="79"/>
      <c r="W213" s="79"/>
      <c r="Z213" s="130"/>
      <c r="AB213" s="106"/>
    </row>
    <row r="214">
      <c r="C214" s="79"/>
      <c r="D214" s="79"/>
      <c r="E214" s="79"/>
      <c r="M214" s="79"/>
      <c r="R214" s="79"/>
      <c r="S214" s="79"/>
      <c r="V214" s="79"/>
      <c r="W214" s="79"/>
      <c r="Z214" s="130"/>
      <c r="AB214" s="106"/>
    </row>
    <row r="215">
      <c r="C215" s="79"/>
      <c r="D215" s="79"/>
      <c r="E215" s="79"/>
      <c r="M215" s="79"/>
      <c r="R215" s="79"/>
      <c r="S215" s="79"/>
      <c r="V215" s="79"/>
      <c r="W215" s="79"/>
      <c r="Z215" s="130"/>
      <c r="AB215" s="106"/>
    </row>
    <row r="216">
      <c r="C216" s="79"/>
      <c r="D216" s="79"/>
      <c r="E216" s="79"/>
      <c r="M216" s="79"/>
      <c r="R216" s="79"/>
      <c r="S216" s="79"/>
      <c r="V216" s="79"/>
      <c r="W216" s="79"/>
      <c r="Z216" s="130"/>
      <c r="AB216" s="106"/>
    </row>
    <row r="217">
      <c r="C217" s="79"/>
      <c r="D217" s="79"/>
      <c r="E217" s="79"/>
      <c r="M217" s="79"/>
      <c r="R217" s="79"/>
      <c r="S217" s="79"/>
      <c r="V217" s="79"/>
      <c r="W217" s="79"/>
      <c r="Z217" s="130"/>
      <c r="AB217" s="106"/>
    </row>
    <row r="218">
      <c r="C218" s="79"/>
      <c r="D218" s="79"/>
      <c r="E218" s="79"/>
      <c r="M218" s="79"/>
      <c r="R218" s="79"/>
      <c r="S218" s="79"/>
      <c r="V218" s="79"/>
      <c r="W218" s="79"/>
      <c r="Z218" s="130"/>
      <c r="AB218" s="106"/>
    </row>
    <row r="219">
      <c r="C219" s="79"/>
      <c r="D219" s="79"/>
      <c r="E219" s="79"/>
      <c r="M219" s="79"/>
      <c r="R219" s="79"/>
      <c r="S219" s="79"/>
      <c r="V219" s="79"/>
      <c r="W219" s="79"/>
      <c r="Z219" s="130"/>
      <c r="AB219" s="106"/>
    </row>
    <row r="220">
      <c r="C220" s="79"/>
      <c r="D220" s="79"/>
      <c r="E220" s="79"/>
      <c r="M220" s="79"/>
      <c r="R220" s="79"/>
      <c r="S220" s="79"/>
      <c r="V220" s="79"/>
      <c r="W220" s="79"/>
      <c r="Z220" s="130"/>
      <c r="AB220" s="106"/>
    </row>
    <row r="221">
      <c r="C221" s="79"/>
      <c r="D221" s="79"/>
      <c r="E221" s="79"/>
      <c r="M221" s="79"/>
      <c r="R221" s="79"/>
      <c r="S221" s="79"/>
      <c r="V221" s="79"/>
      <c r="W221" s="79"/>
      <c r="Z221" s="130"/>
      <c r="AB221" s="106"/>
    </row>
    <row r="222">
      <c r="C222" s="79"/>
      <c r="D222" s="79"/>
      <c r="E222" s="79"/>
      <c r="M222" s="79"/>
      <c r="R222" s="79"/>
      <c r="S222" s="79"/>
      <c r="V222" s="79"/>
      <c r="W222" s="79"/>
      <c r="Z222" s="130"/>
      <c r="AB222" s="106"/>
    </row>
    <row r="223">
      <c r="C223" s="79"/>
      <c r="D223" s="79"/>
      <c r="E223" s="79"/>
      <c r="M223" s="79"/>
      <c r="R223" s="79"/>
      <c r="S223" s="79"/>
      <c r="V223" s="79"/>
      <c r="W223" s="79"/>
      <c r="Z223" s="130"/>
      <c r="AB223" s="106"/>
    </row>
    <row r="224">
      <c r="C224" s="79"/>
      <c r="D224" s="79"/>
      <c r="E224" s="79"/>
      <c r="M224" s="79"/>
      <c r="R224" s="79"/>
      <c r="S224" s="79"/>
      <c r="V224" s="79"/>
      <c r="W224" s="79"/>
      <c r="Z224" s="130"/>
      <c r="AB224" s="106"/>
    </row>
    <row r="225">
      <c r="C225" s="79"/>
      <c r="D225" s="79"/>
      <c r="E225" s="79"/>
      <c r="M225" s="79"/>
      <c r="R225" s="79"/>
      <c r="S225" s="79"/>
      <c r="V225" s="79"/>
      <c r="W225" s="79"/>
      <c r="Z225" s="130"/>
      <c r="AB225" s="106"/>
    </row>
    <row r="226">
      <c r="C226" s="79"/>
      <c r="D226" s="79"/>
      <c r="E226" s="79"/>
      <c r="M226" s="79"/>
      <c r="R226" s="79"/>
      <c r="S226" s="79"/>
      <c r="V226" s="79"/>
      <c r="W226" s="79"/>
      <c r="Z226" s="130"/>
      <c r="AB226" s="106"/>
    </row>
    <row r="227">
      <c r="C227" s="79"/>
      <c r="D227" s="79"/>
      <c r="E227" s="79"/>
      <c r="M227" s="79"/>
      <c r="R227" s="79"/>
      <c r="S227" s="79"/>
      <c r="V227" s="79"/>
      <c r="W227" s="79"/>
      <c r="Z227" s="130"/>
      <c r="AB227" s="106"/>
    </row>
    <row r="228">
      <c r="C228" s="79"/>
      <c r="D228" s="79"/>
      <c r="E228" s="79"/>
      <c r="M228" s="79"/>
      <c r="R228" s="79"/>
      <c r="S228" s="79"/>
      <c r="V228" s="79"/>
      <c r="W228" s="79"/>
      <c r="Z228" s="130"/>
      <c r="AB228" s="106"/>
    </row>
    <row r="229">
      <c r="C229" s="79"/>
      <c r="D229" s="79"/>
      <c r="E229" s="79"/>
      <c r="M229" s="79"/>
      <c r="R229" s="79"/>
      <c r="S229" s="79"/>
      <c r="V229" s="79"/>
      <c r="W229" s="79"/>
      <c r="Z229" s="130"/>
      <c r="AB229" s="106"/>
    </row>
    <row r="230">
      <c r="C230" s="79"/>
      <c r="D230" s="79"/>
      <c r="E230" s="79"/>
      <c r="M230" s="79"/>
      <c r="R230" s="79"/>
      <c r="S230" s="79"/>
      <c r="V230" s="79"/>
      <c r="W230" s="79"/>
      <c r="Z230" s="130"/>
      <c r="AB230" s="106"/>
    </row>
    <row r="231">
      <c r="C231" s="79"/>
      <c r="D231" s="79"/>
      <c r="E231" s="79"/>
      <c r="M231" s="79"/>
      <c r="R231" s="79"/>
      <c r="S231" s="79"/>
      <c r="V231" s="79"/>
      <c r="W231" s="79"/>
      <c r="Z231" s="130"/>
      <c r="AB231" s="106"/>
    </row>
    <row r="232">
      <c r="C232" s="79"/>
      <c r="D232" s="79"/>
      <c r="E232" s="79"/>
      <c r="M232" s="79"/>
      <c r="R232" s="79"/>
      <c r="S232" s="79"/>
      <c r="V232" s="79"/>
      <c r="W232" s="79"/>
      <c r="Z232" s="130"/>
      <c r="AB232" s="106"/>
    </row>
    <row r="233">
      <c r="C233" s="79"/>
      <c r="D233" s="79"/>
      <c r="E233" s="79"/>
      <c r="M233" s="79"/>
      <c r="R233" s="79"/>
      <c r="S233" s="79"/>
      <c r="V233" s="79"/>
      <c r="W233" s="79"/>
      <c r="Z233" s="130"/>
      <c r="AB233" s="106"/>
    </row>
    <row r="234">
      <c r="C234" s="79"/>
      <c r="D234" s="79"/>
      <c r="E234" s="79"/>
      <c r="M234" s="79"/>
      <c r="R234" s="79"/>
      <c r="S234" s="79"/>
      <c r="V234" s="79"/>
      <c r="W234" s="79"/>
      <c r="Z234" s="130"/>
      <c r="AB234" s="106"/>
    </row>
    <row r="235">
      <c r="C235" s="79"/>
      <c r="D235" s="79"/>
      <c r="E235" s="79"/>
      <c r="M235" s="79"/>
      <c r="R235" s="79"/>
      <c r="S235" s="79"/>
      <c r="V235" s="79"/>
      <c r="W235" s="79"/>
      <c r="Z235" s="130"/>
      <c r="AB235" s="106"/>
    </row>
    <row r="236">
      <c r="C236" s="79"/>
      <c r="D236" s="79"/>
      <c r="E236" s="79"/>
      <c r="M236" s="79"/>
      <c r="R236" s="79"/>
      <c r="S236" s="79"/>
      <c r="V236" s="79"/>
      <c r="W236" s="79"/>
      <c r="Z236" s="130"/>
      <c r="AB236" s="106"/>
    </row>
    <row r="237">
      <c r="C237" s="79"/>
      <c r="D237" s="79"/>
      <c r="E237" s="79"/>
      <c r="M237" s="79"/>
      <c r="R237" s="79"/>
      <c r="S237" s="79"/>
      <c r="V237" s="79"/>
      <c r="W237" s="79"/>
      <c r="Z237" s="130"/>
      <c r="AB237" s="106"/>
    </row>
    <row r="238">
      <c r="C238" s="79"/>
      <c r="D238" s="79"/>
      <c r="E238" s="79"/>
      <c r="M238" s="79"/>
      <c r="R238" s="79"/>
      <c r="S238" s="79"/>
      <c r="V238" s="79"/>
      <c r="W238" s="79"/>
      <c r="Z238" s="130"/>
      <c r="AB238" s="106"/>
    </row>
    <row r="239">
      <c r="C239" s="79"/>
      <c r="D239" s="79"/>
      <c r="E239" s="79"/>
      <c r="M239" s="79"/>
      <c r="R239" s="79"/>
      <c r="S239" s="79"/>
      <c r="V239" s="79"/>
      <c r="W239" s="79"/>
      <c r="Z239" s="130"/>
      <c r="AB239" s="106"/>
    </row>
    <row r="240">
      <c r="C240" s="79"/>
      <c r="D240" s="79"/>
      <c r="E240" s="79"/>
      <c r="M240" s="79"/>
      <c r="R240" s="79"/>
      <c r="S240" s="79"/>
      <c r="V240" s="79"/>
      <c r="W240" s="79"/>
      <c r="Z240" s="130"/>
      <c r="AB240" s="106"/>
    </row>
    <row r="241">
      <c r="C241" s="79"/>
      <c r="D241" s="79"/>
      <c r="E241" s="79"/>
      <c r="M241" s="79"/>
      <c r="R241" s="79"/>
      <c r="S241" s="79"/>
      <c r="V241" s="79"/>
      <c r="W241" s="79"/>
      <c r="Z241" s="130"/>
      <c r="AB241" s="106"/>
    </row>
    <row r="242">
      <c r="C242" s="79"/>
      <c r="D242" s="79"/>
      <c r="E242" s="79"/>
      <c r="M242" s="79"/>
      <c r="R242" s="79"/>
      <c r="S242" s="79"/>
      <c r="V242" s="79"/>
      <c r="W242" s="79"/>
      <c r="Z242" s="130"/>
      <c r="AB242" s="106"/>
    </row>
    <row r="243">
      <c r="C243" s="79"/>
      <c r="D243" s="79"/>
      <c r="E243" s="79"/>
      <c r="M243" s="79"/>
      <c r="R243" s="79"/>
      <c r="S243" s="79"/>
      <c r="V243" s="79"/>
      <c r="W243" s="79"/>
      <c r="Z243" s="130"/>
      <c r="AB243" s="106"/>
    </row>
    <row r="244">
      <c r="C244" s="79"/>
      <c r="D244" s="79"/>
      <c r="E244" s="79"/>
      <c r="M244" s="79"/>
      <c r="R244" s="79"/>
      <c r="S244" s="79"/>
      <c r="V244" s="79"/>
      <c r="W244" s="79"/>
      <c r="Z244" s="130"/>
      <c r="AB244" s="106"/>
    </row>
    <row r="245">
      <c r="C245" s="79"/>
      <c r="D245" s="79"/>
      <c r="E245" s="79"/>
      <c r="M245" s="79"/>
      <c r="R245" s="79"/>
      <c r="S245" s="79"/>
      <c r="V245" s="79"/>
      <c r="W245" s="79"/>
      <c r="Z245" s="130"/>
      <c r="AB245" s="106"/>
    </row>
    <row r="246">
      <c r="C246" s="79"/>
      <c r="D246" s="79"/>
      <c r="E246" s="79"/>
      <c r="M246" s="79"/>
      <c r="R246" s="79"/>
      <c r="S246" s="79"/>
      <c r="V246" s="79"/>
      <c r="W246" s="79"/>
      <c r="Z246" s="130"/>
      <c r="AB246" s="106"/>
    </row>
    <row r="247">
      <c r="C247" s="79"/>
      <c r="D247" s="79"/>
      <c r="E247" s="79"/>
      <c r="M247" s="79"/>
      <c r="R247" s="79"/>
      <c r="S247" s="79"/>
      <c r="V247" s="79"/>
      <c r="W247" s="79"/>
      <c r="Z247" s="130"/>
      <c r="AB247" s="106"/>
    </row>
    <row r="248">
      <c r="C248" s="79"/>
      <c r="D248" s="79"/>
      <c r="E248" s="79"/>
      <c r="M248" s="79"/>
      <c r="R248" s="79"/>
      <c r="S248" s="79"/>
      <c r="V248" s="79"/>
      <c r="W248" s="79"/>
      <c r="Z248" s="130"/>
      <c r="AB248" s="106"/>
    </row>
    <row r="249">
      <c r="C249" s="79"/>
      <c r="D249" s="79"/>
      <c r="E249" s="79"/>
      <c r="M249" s="79"/>
      <c r="R249" s="79"/>
      <c r="S249" s="79"/>
      <c r="V249" s="79"/>
      <c r="W249" s="79"/>
      <c r="Z249" s="130"/>
      <c r="AB249" s="106"/>
    </row>
    <row r="250">
      <c r="C250" s="79"/>
      <c r="D250" s="79"/>
      <c r="E250" s="79"/>
      <c r="M250" s="79"/>
      <c r="R250" s="79"/>
      <c r="S250" s="79"/>
      <c r="V250" s="79"/>
      <c r="W250" s="79"/>
      <c r="Z250" s="130"/>
      <c r="AB250" s="106"/>
    </row>
    <row r="251">
      <c r="C251" s="79"/>
      <c r="D251" s="79"/>
      <c r="E251" s="79"/>
      <c r="M251" s="79"/>
      <c r="R251" s="79"/>
      <c r="S251" s="79"/>
      <c r="V251" s="79"/>
      <c r="W251" s="79"/>
      <c r="Z251" s="130"/>
      <c r="AB251" s="106"/>
    </row>
    <row r="252">
      <c r="C252" s="79"/>
      <c r="D252" s="79"/>
      <c r="E252" s="79"/>
      <c r="M252" s="79"/>
      <c r="R252" s="79"/>
      <c r="S252" s="79"/>
      <c r="V252" s="79"/>
      <c r="W252" s="79"/>
      <c r="Z252" s="130"/>
      <c r="AB252" s="106"/>
    </row>
    <row r="253">
      <c r="C253" s="79"/>
      <c r="D253" s="79"/>
      <c r="E253" s="79"/>
      <c r="M253" s="79"/>
      <c r="R253" s="79"/>
      <c r="S253" s="79"/>
      <c r="V253" s="79"/>
      <c r="W253" s="79"/>
      <c r="Z253" s="130"/>
      <c r="AB253" s="106"/>
    </row>
    <row r="254">
      <c r="C254" s="79"/>
      <c r="D254" s="79"/>
      <c r="E254" s="79"/>
      <c r="M254" s="79"/>
      <c r="R254" s="79"/>
      <c r="S254" s="79"/>
      <c r="V254" s="79"/>
      <c r="W254" s="79"/>
      <c r="Z254" s="130"/>
      <c r="AB254" s="106"/>
    </row>
    <row r="255">
      <c r="C255" s="79"/>
      <c r="D255" s="79"/>
      <c r="E255" s="79"/>
      <c r="M255" s="79"/>
      <c r="R255" s="79"/>
      <c r="S255" s="79"/>
      <c r="V255" s="79"/>
      <c r="W255" s="79"/>
      <c r="Z255" s="130"/>
      <c r="AB255" s="106"/>
    </row>
    <row r="256">
      <c r="C256" s="79"/>
      <c r="D256" s="79"/>
      <c r="E256" s="79"/>
      <c r="M256" s="79"/>
      <c r="R256" s="79"/>
      <c r="S256" s="79"/>
      <c r="V256" s="79"/>
      <c r="W256" s="79"/>
      <c r="Z256" s="130"/>
      <c r="AB256" s="106"/>
    </row>
    <row r="257">
      <c r="C257" s="79"/>
      <c r="D257" s="79"/>
      <c r="E257" s="79"/>
      <c r="M257" s="79"/>
      <c r="R257" s="79"/>
      <c r="S257" s="79"/>
      <c r="V257" s="79"/>
      <c r="W257" s="79"/>
      <c r="Z257" s="130"/>
      <c r="AB257" s="106"/>
    </row>
    <row r="258">
      <c r="C258" s="79"/>
      <c r="D258" s="79"/>
      <c r="E258" s="79"/>
      <c r="M258" s="79"/>
      <c r="R258" s="79"/>
      <c r="S258" s="79"/>
      <c r="V258" s="79"/>
      <c r="W258" s="79"/>
      <c r="Z258" s="130"/>
      <c r="AB258" s="106"/>
    </row>
    <row r="259">
      <c r="C259" s="79"/>
      <c r="D259" s="79"/>
      <c r="E259" s="79"/>
      <c r="M259" s="79"/>
      <c r="R259" s="79"/>
      <c r="S259" s="79"/>
      <c r="V259" s="79"/>
      <c r="W259" s="79"/>
      <c r="Z259" s="130"/>
      <c r="AB259" s="106"/>
    </row>
    <row r="260">
      <c r="C260" s="79"/>
      <c r="D260" s="79"/>
      <c r="E260" s="79"/>
      <c r="M260" s="79"/>
      <c r="R260" s="79"/>
      <c r="S260" s="79"/>
      <c r="V260" s="79"/>
      <c r="W260" s="79"/>
      <c r="Z260" s="130"/>
      <c r="AB260" s="106"/>
    </row>
    <row r="261">
      <c r="C261" s="79"/>
      <c r="D261" s="79"/>
      <c r="E261" s="79"/>
      <c r="M261" s="79"/>
      <c r="R261" s="79"/>
      <c r="S261" s="79"/>
      <c r="V261" s="79"/>
      <c r="W261" s="79"/>
      <c r="Z261" s="130"/>
      <c r="AB261" s="106"/>
    </row>
    <row r="262">
      <c r="C262" s="79"/>
      <c r="D262" s="79"/>
      <c r="E262" s="79"/>
      <c r="M262" s="79"/>
      <c r="R262" s="79"/>
      <c r="S262" s="79"/>
      <c r="V262" s="79"/>
      <c r="W262" s="79"/>
      <c r="Z262" s="130"/>
      <c r="AB262" s="106"/>
    </row>
    <row r="263">
      <c r="C263" s="79"/>
      <c r="D263" s="79"/>
      <c r="E263" s="79"/>
      <c r="M263" s="79"/>
      <c r="R263" s="79"/>
      <c r="S263" s="79"/>
      <c r="V263" s="79"/>
      <c r="W263" s="79"/>
      <c r="Z263" s="130"/>
      <c r="AB263" s="106"/>
    </row>
    <row r="264">
      <c r="C264" s="79"/>
      <c r="D264" s="79"/>
      <c r="E264" s="79"/>
      <c r="M264" s="79"/>
      <c r="R264" s="79"/>
      <c r="S264" s="79"/>
      <c r="V264" s="79"/>
      <c r="W264" s="79"/>
      <c r="Z264" s="130"/>
      <c r="AB264" s="106"/>
    </row>
    <row r="265">
      <c r="C265" s="79"/>
      <c r="D265" s="79"/>
      <c r="E265" s="79"/>
      <c r="M265" s="79"/>
      <c r="R265" s="79"/>
      <c r="S265" s="79"/>
      <c r="V265" s="79"/>
      <c r="W265" s="79"/>
      <c r="Z265" s="130"/>
      <c r="AB265" s="106"/>
    </row>
    <row r="266">
      <c r="C266" s="79"/>
      <c r="D266" s="79"/>
      <c r="E266" s="79"/>
      <c r="M266" s="79"/>
      <c r="R266" s="79"/>
      <c r="S266" s="79"/>
      <c r="V266" s="79"/>
      <c r="W266" s="79"/>
      <c r="Z266" s="130"/>
      <c r="AB266" s="106"/>
    </row>
    <row r="267">
      <c r="C267" s="79"/>
      <c r="D267" s="79"/>
      <c r="E267" s="79"/>
      <c r="M267" s="79"/>
      <c r="R267" s="79"/>
      <c r="S267" s="79"/>
      <c r="V267" s="79"/>
      <c r="W267" s="79"/>
      <c r="Z267" s="130"/>
      <c r="AB267" s="106"/>
    </row>
    <row r="268">
      <c r="C268" s="79"/>
      <c r="D268" s="79"/>
      <c r="E268" s="79"/>
      <c r="M268" s="79"/>
      <c r="R268" s="79"/>
      <c r="S268" s="79"/>
      <c r="V268" s="79"/>
      <c r="W268" s="79"/>
      <c r="Z268" s="130"/>
      <c r="AB268" s="106"/>
    </row>
    <row r="269">
      <c r="C269" s="79"/>
      <c r="D269" s="79"/>
      <c r="E269" s="79"/>
      <c r="M269" s="79"/>
      <c r="R269" s="79"/>
      <c r="S269" s="79"/>
      <c r="V269" s="79"/>
      <c r="W269" s="79"/>
      <c r="Z269" s="130"/>
      <c r="AB269" s="106"/>
    </row>
    <row r="270">
      <c r="C270" s="79"/>
      <c r="D270" s="79"/>
      <c r="E270" s="79"/>
      <c r="M270" s="79"/>
      <c r="R270" s="79"/>
      <c r="S270" s="79"/>
      <c r="V270" s="79"/>
      <c r="W270" s="79"/>
      <c r="Z270" s="130"/>
      <c r="AB270" s="106"/>
    </row>
    <row r="271">
      <c r="C271" s="79"/>
      <c r="D271" s="79"/>
      <c r="E271" s="79"/>
      <c r="M271" s="79"/>
      <c r="R271" s="79"/>
      <c r="S271" s="79"/>
      <c r="V271" s="79"/>
      <c r="W271" s="79"/>
      <c r="Z271" s="130"/>
      <c r="AB271" s="106"/>
    </row>
    <row r="272">
      <c r="C272" s="79"/>
      <c r="D272" s="79"/>
      <c r="E272" s="79"/>
      <c r="M272" s="79"/>
      <c r="R272" s="79"/>
      <c r="S272" s="79"/>
      <c r="V272" s="79"/>
      <c r="W272" s="79"/>
      <c r="Z272" s="130"/>
      <c r="AB272" s="106"/>
    </row>
    <row r="273">
      <c r="C273" s="79"/>
      <c r="D273" s="79"/>
      <c r="E273" s="79"/>
      <c r="M273" s="79"/>
      <c r="R273" s="79"/>
      <c r="S273" s="79"/>
      <c r="V273" s="79"/>
      <c r="W273" s="79"/>
      <c r="Z273" s="130"/>
      <c r="AB273" s="106"/>
    </row>
    <row r="274">
      <c r="C274" s="79"/>
      <c r="D274" s="79"/>
      <c r="E274" s="79"/>
      <c r="M274" s="79"/>
      <c r="R274" s="79"/>
      <c r="S274" s="79"/>
      <c r="V274" s="79"/>
      <c r="W274" s="79"/>
      <c r="Z274" s="130"/>
      <c r="AB274" s="106"/>
    </row>
    <row r="275">
      <c r="C275" s="79"/>
      <c r="D275" s="79"/>
      <c r="E275" s="79"/>
      <c r="M275" s="79"/>
      <c r="R275" s="79"/>
      <c r="S275" s="79"/>
      <c r="V275" s="79"/>
      <c r="W275" s="79"/>
      <c r="Z275" s="130"/>
      <c r="AB275" s="106"/>
    </row>
    <row r="276">
      <c r="C276" s="79"/>
      <c r="D276" s="79"/>
      <c r="E276" s="79"/>
      <c r="M276" s="79"/>
      <c r="R276" s="79"/>
      <c r="S276" s="79"/>
      <c r="V276" s="79"/>
      <c r="W276" s="79"/>
      <c r="Z276" s="130"/>
      <c r="AB276" s="106"/>
    </row>
    <row r="277">
      <c r="C277" s="79"/>
      <c r="D277" s="79"/>
      <c r="E277" s="79"/>
      <c r="M277" s="79"/>
      <c r="R277" s="79"/>
      <c r="S277" s="79"/>
      <c r="V277" s="79"/>
      <c r="W277" s="79"/>
      <c r="Z277" s="130"/>
      <c r="AB277" s="106"/>
    </row>
    <row r="278">
      <c r="C278" s="79"/>
      <c r="D278" s="79"/>
      <c r="E278" s="79"/>
      <c r="M278" s="79"/>
      <c r="R278" s="79"/>
      <c r="S278" s="79"/>
      <c r="V278" s="79"/>
      <c r="W278" s="79"/>
      <c r="Z278" s="130"/>
      <c r="AB278" s="106"/>
    </row>
    <row r="279">
      <c r="C279" s="79"/>
      <c r="D279" s="79"/>
      <c r="E279" s="79"/>
      <c r="M279" s="79"/>
      <c r="R279" s="79"/>
      <c r="S279" s="79"/>
      <c r="V279" s="79"/>
      <c r="W279" s="79"/>
      <c r="Z279" s="130"/>
      <c r="AB279" s="106"/>
    </row>
    <row r="280">
      <c r="C280" s="79"/>
      <c r="D280" s="79"/>
      <c r="E280" s="79"/>
      <c r="M280" s="79"/>
      <c r="R280" s="79"/>
      <c r="S280" s="79"/>
      <c r="V280" s="79"/>
      <c r="W280" s="79"/>
      <c r="Z280" s="130"/>
      <c r="AB280" s="106"/>
    </row>
    <row r="281">
      <c r="C281" s="79"/>
      <c r="D281" s="79"/>
      <c r="E281" s="79"/>
      <c r="M281" s="79"/>
      <c r="R281" s="79"/>
      <c r="S281" s="79"/>
      <c r="V281" s="79"/>
      <c r="W281" s="79"/>
      <c r="Z281" s="130"/>
      <c r="AB281" s="106"/>
    </row>
    <row r="282">
      <c r="C282" s="79"/>
      <c r="D282" s="79"/>
      <c r="E282" s="79"/>
      <c r="M282" s="79"/>
      <c r="R282" s="79"/>
      <c r="S282" s="79"/>
      <c r="V282" s="79"/>
      <c r="W282" s="79"/>
      <c r="Z282" s="130"/>
      <c r="AB282" s="106"/>
    </row>
    <row r="283">
      <c r="C283" s="79"/>
      <c r="D283" s="79"/>
      <c r="E283" s="79"/>
      <c r="M283" s="79"/>
      <c r="R283" s="79"/>
      <c r="S283" s="79"/>
      <c r="V283" s="79"/>
      <c r="W283" s="79"/>
      <c r="Z283" s="130"/>
      <c r="AB283" s="106"/>
    </row>
    <row r="284">
      <c r="C284" s="79"/>
      <c r="D284" s="79"/>
      <c r="E284" s="79"/>
      <c r="M284" s="79"/>
      <c r="R284" s="79"/>
      <c r="S284" s="79"/>
      <c r="V284" s="79"/>
      <c r="W284" s="79"/>
      <c r="Z284" s="130"/>
      <c r="AB284" s="106"/>
    </row>
    <row r="285">
      <c r="C285" s="79"/>
      <c r="D285" s="79"/>
      <c r="E285" s="79"/>
      <c r="M285" s="79"/>
      <c r="R285" s="79"/>
      <c r="S285" s="79"/>
      <c r="V285" s="79"/>
      <c r="W285" s="79"/>
      <c r="Z285" s="130"/>
      <c r="AB285" s="106"/>
    </row>
    <row r="286">
      <c r="C286" s="79"/>
      <c r="D286" s="79"/>
      <c r="E286" s="79"/>
      <c r="M286" s="79"/>
      <c r="R286" s="79"/>
      <c r="S286" s="79"/>
      <c r="V286" s="79"/>
      <c r="W286" s="79"/>
      <c r="Z286" s="130"/>
      <c r="AB286" s="106"/>
    </row>
    <row r="287">
      <c r="C287" s="79"/>
      <c r="D287" s="79"/>
      <c r="E287" s="79"/>
      <c r="M287" s="79"/>
      <c r="R287" s="79"/>
      <c r="S287" s="79"/>
      <c r="V287" s="79"/>
      <c r="W287" s="79"/>
      <c r="Z287" s="130"/>
      <c r="AB287" s="106"/>
    </row>
    <row r="288">
      <c r="C288" s="79"/>
      <c r="D288" s="79"/>
      <c r="E288" s="79"/>
      <c r="M288" s="79"/>
      <c r="R288" s="79"/>
      <c r="S288" s="79"/>
      <c r="V288" s="79"/>
      <c r="W288" s="79"/>
      <c r="Z288" s="130"/>
      <c r="AB288" s="106"/>
    </row>
    <row r="289">
      <c r="C289" s="79"/>
      <c r="D289" s="79"/>
      <c r="E289" s="79"/>
      <c r="M289" s="79"/>
      <c r="R289" s="79"/>
      <c r="S289" s="79"/>
      <c r="V289" s="79"/>
      <c r="W289" s="79"/>
      <c r="Z289" s="130"/>
      <c r="AB289" s="106"/>
    </row>
    <row r="290">
      <c r="C290" s="79"/>
      <c r="D290" s="79"/>
      <c r="E290" s="79"/>
      <c r="M290" s="79"/>
      <c r="R290" s="79"/>
      <c r="S290" s="79"/>
      <c r="V290" s="79"/>
      <c r="W290" s="79"/>
      <c r="Z290" s="130"/>
      <c r="AB290" s="106"/>
    </row>
    <row r="291">
      <c r="C291" s="79"/>
      <c r="D291" s="79"/>
      <c r="E291" s="79"/>
      <c r="M291" s="79"/>
      <c r="R291" s="79"/>
      <c r="S291" s="79"/>
      <c r="V291" s="79"/>
      <c r="W291" s="79"/>
      <c r="Z291" s="130"/>
      <c r="AB291" s="106"/>
    </row>
    <row r="292">
      <c r="C292" s="79"/>
      <c r="D292" s="79"/>
      <c r="E292" s="79"/>
      <c r="M292" s="79"/>
      <c r="R292" s="79"/>
      <c r="S292" s="79"/>
      <c r="V292" s="79"/>
      <c r="W292" s="79"/>
      <c r="Z292" s="130"/>
      <c r="AB292" s="106"/>
    </row>
    <row r="293">
      <c r="C293" s="79"/>
      <c r="D293" s="79"/>
      <c r="E293" s="79"/>
      <c r="M293" s="79"/>
      <c r="R293" s="79"/>
      <c r="S293" s="79"/>
      <c r="V293" s="79"/>
      <c r="W293" s="79"/>
      <c r="Z293" s="130"/>
      <c r="AB293" s="106"/>
    </row>
    <row r="294">
      <c r="C294" s="79"/>
      <c r="D294" s="79"/>
      <c r="E294" s="79"/>
      <c r="M294" s="79"/>
      <c r="R294" s="79"/>
      <c r="S294" s="79"/>
      <c r="V294" s="79"/>
      <c r="W294" s="79"/>
      <c r="Z294" s="130"/>
      <c r="AB294" s="106"/>
    </row>
    <row r="295">
      <c r="C295" s="79"/>
      <c r="D295" s="79"/>
      <c r="E295" s="79"/>
      <c r="M295" s="79"/>
      <c r="R295" s="79"/>
      <c r="S295" s="79"/>
      <c r="V295" s="79"/>
      <c r="W295" s="79"/>
      <c r="Z295" s="130"/>
      <c r="AB295" s="106"/>
    </row>
    <row r="296">
      <c r="C296" s="79"/>
      <c r="D296" s="79"/>
      <c r="E296" s="79"/>
      <c r="M296" s="79"/>
      <c r="R296" s="79"/>
      <c r="S296" s="79"/>
      <c r="V296" s="79"/>
      <c r="W296" s="79"/>
      <c r="Z296" s="130"/>
      <c r="AB296" s="106"/>
    </row>
    <row r="297">
      <c r="C297" s="79"/>
      <c r="D297" s="79"/>
      <c r="E297" s="79"/>
      <c r="M297" s="79"/>
      <c r="R297" s="79"/>
      <c r="S297" s="79"/>
      <c r="V297" s="79"/>
      <c r="W297" s="79"/>
      <c r="Z297" s="130"/>
      <c r="AB297" s="106"/>
    </row>
    <row r="298">
      <c r="C298" s="79"/>
      <c r="D298" s="79"/>
      <c r="E298" s="79"/>
      <c r="M298" s="79"/>
      <c r="R298" s="79"/>
      <c r="S298" s="79"/>
      <c r="V298" s="79"/>
      <c r="W298" s="79"/>
      <c r="Z298" s="130"/>
      <c r="AB298" s="106"/>
    </row>
    <row r="299">
      <c r="C299" s="79"/>
      <c r="D299" s="79"/>
      <c r="E299" s="79"/>
      <c r="M299" s="79"/>
      <c r="R299" s="79"/>
      <c r="S299" s="79"/>
      <c r="V299" s="79"/>
      <c r="W299" s="79"/>
      <c r="Z299" s="130"/>
      <c r="AB299" s="106"/>
    </row>
    <row r="300">
      <c r="C300" s="79"/>
      <c r="D300" s="79"/>
      <c r="E300" s="79"/>
      <c r="M300" s="79"/>
      <c r="R300" s="79"/>
      <c r="S300" s="79"/>
      <c r="V300" s="79"/>
      <c r="W300" s="79"/>
      <c r="Z300" s="130"/>
      <c r="AB300" s="106"/>
    </row>
    <row r="301">
      <c r="C301" s="79"/>
      <c r="D301" s="79"/>
      <c r="E301" s="79"/>
      <c r="M301" s="79"/>
      <c r="R301" s="79"/>
      <c r="S301" s="79"/>
      <c r="V301" s="79"/>
      <c r="W301" s="79"/>
      <c r="Z301" s="130"/>
      <c r="AB301" s="106"/>
    </row>
    <row r="302">
      <c r="C302" s="79"/>
      <c r="D302" s="79"/>
      <c r="E302" s="79"/>
      <c r="M302" s="79"/>
      <c r="R302" s="79"/>
      <c r="S302" s="79"/>
      <c r="V302" s="79"/>
      <c r="W302" s="79"/>
      <c r="Z302" s="130"/>
      <c r="AB302" s="106"/>
    </row>
    <row r="303">
      <c r="C303" s="79"/>
      <c r="D303" s="79"/>
      <c r="E303" s="79"/>
      <c r="M303" s="79"/>
      <c r="R303" s="79"/>
      <c r="S303" s="79"/>
      <c r="V303" s="79"/>
      <c r="W303" s="79"/>
      <c r="Z303" s="130"/>
      <c r="AB303" s="106"/>
    </row>
    <row r="304">
      <c r="C304" s="79"/>
      <c r="D304" s="79"/>
      <c r="E304" s="79"/>
      <c r="M304" s="79"/>
      <c r="R304" s="79"/>
      <c r="S304" s="79"/>
      <c r="V304" s="79"/>
      <c r="W304" s="79"/>
      <c r="Z304" s="130"/>
      <c r="AB304" s="106"/>
    </row>
    <row r="305">
      <c r="C305" s="79"/>
      <c r="D305" s="79"/>
      <c r="E305" s="79"/>
      <c r="M305" s="79"/>
      <c r="R305" s="79"/>
      <c r="S305" s="79"/>
      <c r="V305" s="79"/>
      <c r="W305" s="79"/>
      <c r="Z305" s="130"/>
      <c r="AB305" s="106"/>
    </row>
    <row r="306">
      <c r="C306" s="79"/>
      <c r="D306" s="79"/>
      <c r="E306" s="79"/>
      <c r="M306" s="79"/>
      <c r="R306" s="79"/>
      <c r="S306" s="79"/>
      <c r="V306" s="79"/>
      <c r="W306" s="79"/>
      <c r="Z306" s="130"/>
      <c r="AB306" s="106"/>
    </row>
    <row r="307">
      <c r="C307" s="79"/>
      <c r="D307" s="79"/>
      <c r="E307" s="79"/>
      <c r="M307" s="79"/>
      <c r="R307" s="79"/>
      <c r="S307" s="79"/>
      <c r="V307" s="79"/>
      <c r="W307" s="79"/>
      <c r="Z307" s="130"/>
      <c r="AB307" s="106"/>
    </row>
    <row r="308">
      <c r="C308" s="79"/>
      <c r="D308" s="79"/>
      <c r="E308" s="79"/>
      <c r="M308" s="79"/>
      <c r="R308" s="79"/>
      <c r="S308" s="79"/>
      <c r="V308" s="79"/>
      <c r="W308" s="79"/>
      <c r="Z308" s="130"/>
      <c r="AB308" s="106"/>
    </row>
    <row r="309">
      <c r="C309" s="79"/>
      <c r="D309" s="79"/>
      <c r="E309" s="79"/>
      <c r="M309" s="79"/>
      <c r="R309" s="79"/>
      <c r="S309" s="79"/>
      <c r="V309" s="79"/>
      <c r="W309" s="79"/>
      <c r="Z309" s="130"/>
      <c r="AB309" s="106"/>
    </row>
    <row r="310">
      <c r="C310" s="79"/>
      <c r="D310" s="79"/>
      <c r="E310" s="79"/>
      <c r="M310" s="79"/>
      <c r="R310" s="79"/>
      <c r="S310" s="79"/>
      <c r="V310" s="79"/>
      <c r="W310" s="79"/>
      <c r="Z310" s="130"/>
      <c r="AB310" s="106"/>
    </row>
    <row r="311">
      <c r="C311" s="79"/>
      <c r="D311" s="79"/>
      <c r="E311" s="79"/>
      <c r="M311" s="79"/>
      <c r="R311" s="79"/>
      <c r="S311" s="79"/>
      <c r="V311" s="79"/>
      <c r="W311" s="79"/>
      <c r="Z311" s="130"/>
      <c r="AB311" s="106"/>
    </row>
    <row r="312">
      <c r="C312" s="79"/>
      <c r="D312" s="79"/>
      <c r="E312" s="79"/>
      <c r="M312" s="79"/>
      <c r="R312" s="79"/>
      <c r="S312" s="79"/>
      <c r="V312" s="79"/>
      <c r="W312" s="79"/>
      <c r="Z312" s="130"/>
      <c r="AB312" s="106"/>
    </row>
    <row r="313">
      <c r="C313" s="79"/>
      <c r="D313" s="79"/>
      <c r="E313" s="79"/>
      <c r="M313" s="79"/>
      <c r="R313" s="79"/>
      <c r="S313" s="79"/>
      <c r="V313" s="79"/>
      <c r="W313" s="79"/>
      <c r="Z313" s="130"/>
      <c r="AB313" s="106"/>
    </row>
    <row r="314">
      <c r="C314" s="79"/>
      <c r="D314" s="79"/>
      <c r="E314" s="79"/>
      <c r="M314" s="79"/>
      <c r="R314" s="79"/>
      <c r="S314" s="79"/>
      <c r="V314" s="79"/>
      <c r="W314" s="79"/>
      <c r="Z314" s="130"/>
      <c r="AB314" s="106"/>
    </row>
    <row r="315">
      <c r="C315" s="79"/>
      <c r="D315" s="79"/>
      <c r="E315" s="79"/>
      <c r="M315" s="79"/>
      <c r="R315" s="79"/>
      <c r="S315" s="79"/>
      <c r="V315" s="79"/>
      <c r="W315" s="79"/>
      <c r="Z315" s="130"/>
      <c r="AB315" s="106"/>
    </row>
    <row r="316">
      <c r="C316" s="79"/>
      <c r="D316" s="79"/>
      <c r="E316" s="79"/>
      <c r="M316" s="79"/>
      <c r="R316" s="79"/>
      <c r="S316" s="79"/>
      <c r="V316" s="79"/>
      <c r="W316" s="79"/>
      <c r="Z316" s="130"/>
      <c r="AB316" s="106"/>
    </row>
    <row r="317">
      <c r="C317" s="79"/>
      <c r="D317" s="79"/>
      <c r="E317" s="79"/>
      <c r="M317" s="79"/>
      <c r="R317" s="79"/>
      <c r="S317" s="79"/>
      <c r="V317" s="79"/>
      <c r="W317" s="79"/>
      <c r="Z317" s="130"/>
      <c r="AB317" s="106"/>
    </row>
    <row r="318">
      <c r="C318" s="79"/>
      <c r="D318" s="79"/>
      <c r="E318" s="79"/>
      <c r="M318" s="79"/>
      <c r="R318" s="79"/>
      <c r="S318" s="79"/>
      <c r="V318" s="79"/>
      <c r="W318" s="79"/>
      <c r="Z318" s="130"/>
      <c r="AB318" s="106"/>
    </row>
    <row r="319">
      <c r="C319" s="79"/>
      <c r="D319" s="79"/>
      <c r="E319" s="79"/>
      <c r="M319" s="79"/>
      <c r="R319" s="79"/>
      <c r="S319" s="79"/>
      <c r="V319" s="79"/>
      <c r="W319" s="79"/>
      <c r="Z319" s="130"/>
      <c r="AB319" s="106"/>
    </row>
    <row r="320">
      <c r="C320" s="79"/>
      <c r="D320" s="79"/>
      <c r="E320" s="79"/>
      <c r="M320" s="79"/>
      <c r="R320" s="79"/>
      <c r="S320" s="79"/>
      <c r="V320" s="79"/>
      <c r="W320" s="79"/>
      <c r="Z320" s="130"/>
      <c r="AB320" s="106"/>
    </row>
    <row r="321">
      <c r="C321" s="79"/>
      <c r="D321" s="79"/>
      <c r="E321" s="79"/>
      <c r="M321" s="79"/>
      <c r="R321" s="79"/>
      <c r="S321" s="79"/>
      <c r="V321" s="79"/>
      <c r="W321" s="79"/>
      <c r="Z321" s="130"/>
      <c r="AB321" s="106"/>
    </row>
    <row r="322">
      <c r="C322" s="79"/>
      <c r="D322" s="79"/>
      <c r="E322" s="79"/>
      <c r="M322" s="79"/>
      <c r="R322" s="79"/>
      <c r="S322" s="79"/>
      <c r="V322" s="79"/>
      <c r="W322" s="79"/>
      <c r="Z322" s="130"/>
      <c r="AB322" s="106"/>
    </row>
    <row r="323">
      <c r="C323" s="79"/>
      <c r="D323" s="79"/>
      <c r="E323" s="79"/>
      <c r="M323" s="79"/>
      <c r="R323" s="79"/>
      <c r="S323" s="79"/>
      <c r="V323" s="79"/>
      <c r="W323" s="79"/>
      <c r="Z323" s="130"/>
      <c r="AB323" s="106"/>
    </row>
    <row r="324">
      <c r="C324" s="79"/>
      <c r="D324" s="79"/>
      <c r="E324" s="79"/>
      <c r="M324" s="79"/>
      <c r="R324" s="79"/>
      <c r="S324" s="79"/>
      <c r="V324" s="79"/>
      <c r="W324" s="79"/>
      <c r="Z324" s="130"/>
      <c r="AB324" s="106"/>
    </row>
    <row r="325">
      <c r="C325" s="79"/>
      <c r="D325" s="79"/>
      <c r="E325" s="79"/>
      <c r="M325" s="79"/>
      <c r="R325" s="79"/>
      <c r="S325" s="79"/>
      <c r="V325" s="79"/>
      <c r="W325" s="79"/>
      <c r="Z325" s="130"/>
      <c r="AB325" s="106"/>
    </row>
    <row r="326">
      <c r="C326" s="79"/>
      <c r="D326" s="79"/>
      <c r="E326" s="79"/>
      <c r="M326" s="79"/>
      <c r="R326" s="79"/>
      <c r="S326" s="79"/>
      <c r="V326" s="79"/>
      <c r="W326" s="79"/>
      <c r="Z326" s="130"/>
      <c r="AB326" s="106"/>
    </row>
    <row r="327">
      <c r="C327" s="79"/>
      <c r="D327" s="79"/>
      <c r="E327" s="79"/>
      <c r="M327" s="79"/>
      <c r="R327" s="79"/>
      <c r="S327" s="79"/>
      <c r="V327" s="79"/>
      <c r="W327" s="79"/>
      <c r="Z327" s="130"/>
      <c r="AB327" s="106"/>
    </row>
    <row r="328">
      <c r="C328" s="79"/>
      <c r="D328" s="79"/>
      <c r="E328" s="79"/>
      <c r="M328" s="79"/>
      <c r="R328" s="79"/>
      <c r="S328" s="79"/>
      <c r="V328" s="79"/>
      <c r="W328" s="79"/>
      <c r="Z328" s="130"/>
      <c r="AB328" s="106"/>
    </row>
    <row r="329">
      <c r="C329" s="79"/>
      <c r="D329" s="79"/>
      <c r="E329" s="79"/>
      <c r="M329" s="79"/>
      <c r="R329" s="79"/>
      <c r="S329" s="79"/>
      <c r="V329" s="79"/>
      <c r="W329" s="79"/>
      <c r="Z329" s="130"/>
      <c r="AB329" s="106"/>
    </row>
    <row r="330">
      <c r="C330" s="79"/>
      <c r="D330" s="79"/>
      <c r="E330" s="79"/>
      <c r="M330" s="79"/>
      <c r="R330" s="79"/>
      <c r="S330" s="79"/>
      <c r="V330" s="79"/>
      <c r="W330" s="79"/>
      <c r="Z330" s="130"/>
      <c r="AB330" s="106"/>
    </row>
    <row r="331">
      <c r="C331" s="79"/>
      <c r="D331" s="79"/>
      <c r="E331" s="79"/>
      <c r="M331" s="79"/>
      <c r="R331" s="79"/>
      <c r="S331" s="79"/>
      <c r="V331" s="79"/>
      <c r="W331" s="79"/>
      <c r="Z331" s="130"/>
      <c r="AB331" s="106"/>
    </row>
    <row r="332">
      <c r="C332" s="79"/>
      <c r="D332" s="79"/>
      <c r="E332" s="79"/>
      <c r="M332" s="79"/>
      <c r="R332" s="79"/>
      <c r="S332" s="79"/>
      <c r="V332" s="79"/>
      <c r="W332" s="79"/>
      <c r="Z332" s="130"/>
      <c r="AB332" s="106"/>
    </row>
    <row r="333">
      <c r="C333" s="79"/>
      <c r="D333" s="79"/>
      <c r="E333" s="79"/>
      <c r="M333" s="79"/>
      <c r="R333" s="79"/>
      <c r="S333" s="79"/>
      <c r="V333" s="79"/>
      <c r="W333" s="79"/>
      <c r="Z333" s="130"/>
      <c r="AB333" s="106"/>
    </row>
    <row r="334">
      <c r="C334" s="79"/>
      <c r="D334" s="79"/>
      <c r="E334" s="79"/>
      <c r="M334" s="79"/>
      <c r="R334" s="79"/>
      <c r="S334" s="79"/>
      <c r="V334" s="79"/>
      <c r="W334" s="79"/>
      <c r="Z334" s="130"/>
      <c r="AB334" s="106"/>
    </row>
    <row r="335">
      <c r="C335" s="79"/>
      <c r="D335" s="79"/>
      <c r="E335" s="79"/>
      <c r="M335" s="79"/>
      <c r="R335" s="79"/>
      <c r="S335" s="79"/>
      <c r="V335" s="79"/>
      <c r="W335" s="79"/>
      <c r="Z335" s="130"/>
      <c r="AB335" s="106"/>
    </row>
    <row r="336">
      <c r="C336" s="79"/>
      <c r="D336" s="79"/>
      <c r="E336" s="79"/>
      <c r="M336" s="79"/>
      <c r="R336" s="79"/>
      <c r="S336" s="79"/>
      <c r="V336" s="79"/>
      <c r="W336" s="79"/>
      <c r="Z336" s="130"/>
      <c r="AB336" s="106"/>
    </row>
    <row r="337">
      <c r="C337" s="79"/>
      <c r="D337" s="79"/>
      <c r="E337" s="79"/>
      <c r="M337" s="79"/>
      <c r="R337" s="79"/>
      <c r="S337" s="79"/>
      <c r="V337" s="79"/>
      <c r="W337" s="79"/>
      <c r="Z337" s="130"/>
      <c r="AB337" s="106"/>
    </row>
    <row r="338">
      <c r="C338" s="79"/>
      <c r="D338" s="79"/>
      <c r="E338" s="79"/>
      <c r="M338" s="79"/>
      <c r="R338" s="79"/>
      <c r="S338" s="79"/>
      <c r="V338" s="79"/>
      <c r="W338" s="79"/>
      <c r="Z338" s="130"/>
      <c r="AB338" s="106"/>
    </row>
    <row r="339">
      <c r="C339" s="79"/>
      <c r="D339" s="79"/>
      <c r="E339" s="79"/>
      <c r="M339" s="79"/>
      <c r="R339" s="79"/>
      <c r="S339" s="79"/>
      <c r="V339" s="79"/>
      <c r="W339" s="79"/>
      <c r="Z339" s="130"/>
      <c r="AB339" s="106"/>
    </row>
    <row r="340">
      <c r="C340" s="79"/>
      <c r="D340" s="79"/>
      <c r="E340" s="79"/>
      <c r="M340" s="79"/>
      <c r="R340" s="79"/>
      <c r="S340" s="79"/>
      <c r="V340" s="79"/>
      <c r="W340" s="79"/>
      <c r="Z340" s="130"/>
      <c r="AB340" s="106"/>
    </row>
    <row r="341">
      <c r="C341" s="79"/>
      <c r="D341" s="79"/>
      <c r="E341" s="79"/>
      <c r="M341" s="79"/>
      <c r="R341" s="79"/>
      <c r="S341" s="79"/>
      <c r="V341" s="79"/>
      <c r="W341" s="79"/>
      <c r="Z341" s="130"/>
      <c r="AB341" s="106"/>
    </row>
    <row r="342">
      <c r="C342" s="79"/>
      <c r="D342" s="79"/>
      <c r="E342" s="79"/>
      <c r="M342" s="79"/>
      <c r="R342" s="79"/>
      <c r="S342" s="79"/>
      <c r="V342" s="79"/>
      <c r="W342" s="79"/>
      <c r="Z342" s="130"/>
      <c r="AB342" s="106"/>
    </row>
    <row r="343">
      <c r="C343" s="79"/>
      <c r="D343" s="79"/>
      <c r="E343" s="79"/>
      <c r="M343" s="79"/>
      <c r="R343" s="79"/>
      <c r="S343" s="79"/>
      <c r="V343" s="79"/>
      <c r="W343" s="79"/>
      <c r="Z343" s="130"/>
      <c r="AB343" s="106"/>
    </row>
    <row r="344">
      <c r="C344" s="79"/>
      <c r="D344" s="79"/>
      <c r="E344" s="79"/>
      <c r="M344" s="79"/>
      <c r="R344" s="79"/>
      <c r="S344" s="79"/>
      <c r="V344" s="79"/>
      <c r="W344" s="79"/>
      <c r="Z344" s="130"/>
      <c r="AB344" s="106"/>
    </row>
    <row r="345">
      <c r="C345" s="79"/>
      <c r="D345" s="79"/>
      <c r="E345" s="79"/>
      <c r="M345" s="79"/>
      <c r="R345" s="79"/>
      <c r="S345" s="79"/>
      <c r="V345" s="79"/>
      <c r="W345" s="79"/>
      <c r="Z345" s="130"/>
      <c r="AB345" s="106"/>
    </row>
    <row r="346">
      <c r="C346" s="79"/>
      <c r="D346" s="79"/>
      <c r="E346" s="79"/>
      <c r="M346" s="79"/>
      <c r="R346" s="79"/>
      <c r="S346" s="79"/>
      <c r="V346" s="79"/>
      <c r="W346" s="79"/>
      <c r="Z346" s="130"/>
      <c r="AB346" s="106"/>
    </row>
    <row r="347">
      <c r="C347" s="79"/>
      <c r="D347" s="79"/>
      <c r="E347" s="79"/>
      <c r="M347" s="79"/>
      <c r="R347" s="79"/>
      <c r="S347" s="79"/>
      <c r="V347" s="79"/>
      <c r="W347" s="79"/>
      <c r="Z347" s="130"/>
      <c r="AB347" s="106"/>
    </row>
    <row r="348">
      <c r="C348" s="79"/>
      <c r="D348" s="79"/>
      <c r="E348" s="79"/>
      <c r="M348" s="79"/>
      <c r="R348" s="79"/>
      <c r="S348" s="79"/>
      <c r="V348" s="79"/>
      <c r="W348" s="79"/>
      <c r="Z348" s="130"/>
      <c r="AB348" s="106"/>
    </row>
    <row r="349">
      <c r="C349" s="79"/>
      <c r="D349" s="79"/>
      <c r="E349" s="79"/>
      <c r="M349" s="79"/>
      <c r="R349" s="79"/>
      <c r="S349" s="79"/>
      <c r="V349" s="79"/>
      <c r="W349" s="79"/>
      <c r="Z349" s="130"/>
      <c r="AB349" s="106"/>
    </row>
    <row r="350">
      <c r="C350" s="79"/>
      <c r="D350" s="79"/>
      <c r="E350" s="79"/>
      <c r="M350" s="79"/>
      <c r="R350" s="79"/>
      <c r="S350" s="79"/>
      <c r="V350" s="79"/>
      <c r="W350" s="79"/>
      <c r="Z350" s="130"/>
      <c r="AB350" s="106"/>
    </row>
    <row r="351">
      <c r="C351" s="79"/>
      <c r="D351" s="79"/>
      <c r="E351" s="79"/>
      <c r="M351" s="79"/>
      <c r="R351" s="79"/>
      <c r="S351" s="79"/>
      <c r="V351" s="79"/>
      <c r="W351" s="79"/>
      <c r="Z351" s="130"/>
      <c r="AB351" s="106"/>
    </row>
    <row r="352">
      <c r="C352" s="79"/>
      <c r="D352" s="79"/>
      <c r="E352" s="79"/>
      <c r="M352" s="79"/>
      <c r="R352" s="79"/>
      <c r="S352" s="79"/>
      <c r="V352" s="79"/>
      <c r="W352" s="79"/>
      <c r="Z352" s="130"/>
      <c r="AB352" s="106"/>
    </row>
    <row r="353">
      <c r="C353" s="79"/>
      <c r="D353" s="79"/>
      <c r="E353" s="79"/>
      <c r="M353" s="79"/>
      <c r="R353" s="79"/>
      <c r="S353" s="79"/>
      <c r="V353" s="79"/>
      <c r="W353" s="79"/>
      <c r="Z353" s="130"/>
      <c r="AB353" s="106"/>
    </row>
    <row r="354">
      <c r="C354" s="79"/>
      <c r="D354" s="79"/>
      <c r="E354" s="79"/>
      <c r="M354" s="79"/>
      <c r="R354" s="79"/>
      <c r="S354" s="79"/>
      <c r="V354" s="79"/>
      <c r="W354" s="79"/>
      <c r="Z354" s="130"/>
      <c r="AB354" s="106"/>
    </row>
    <row r="355">
      <c r="C355" s="79"/>
      <c r="D355" s="79"/>
      <c r="E355" s="79"/>
      <c r="M355" s="79"/>
      <c r="R355" s="79"/>
      <c r="S355" s="79"/>
      <c r="V355" s="79"/>
      <c r="W355" s="79"/>
      <c r="Z355" s="130"/>
      <c r="AB355" s="106"/>
    </row>
    <row r="356">
      <c r="C356" s="79"/>
      <c r="D356" s="79"/>
      <c r="E356" s="79"/>
      <c r="M356" s="79"/>
      <c r="R356" s="79"/>
      <c r="S356" s="79"/>
      <c r="V356" s="79"/>
      <c r="W356" s="79"/>
      <c r="Z356" s="130"/>
      <c r="AB356" s="106"/>
    </row>
    <row r="357">
      <c r="C357" s="79"/>
      <c r="D357" s="79"/>
      <c r="E357" s="79"/>
      <c r="M357" s="79"/>
      <c r="R357" s="79"/>
      <c r="S357" s="79"/>
      <c r="V357" s="79"/>
      <c r="W357" s="79"/>
      <c r="Z357" s="130"/>
      <c r="AB357" s="106"/>
    </row>
    <row r="358">
      <c r="C358" s="79"/>
      <c r="D358" s="79"/>
      <c r="E358" s="79"/>
      <c r="M358" s="79"/>
      <c r="R358" s="79"/>
      <c r="S358" s="79"/>
      <c r="V358" s="79"/>
      <c r="W358" s="79"/>
      <c r="Z358" s="130"/>
      <c r="AB358" s="106"/>
    </row>
    <row r="359">
      <c r="C359" s="79"/>
      <c r="D359" s="79"/>
      <c r="E359" s="79"/>
      <c r="M359" s="79"/>
      <c r="R359" s="79"/>
      <c r="S359" s="79"/>
      <c r="V359" s="79"/>
      <c r="W359" s="79"/>
      <c r="Z359" s="130"/>
      <c r="AB359" s="106"/>
    </row>
    <row r="360">
      <c r="C360" s="79"/>
      <c r="D360" s="79"/>
      <c r="E360" s="79"/>
      <c r="M360" s="79"/>
      <c r="R360" s="79"/>
      <c r="S360" s="79"/>
      <c r="V360" s="79"/>
      <c r="W360" s="79"/>
      <c r="Z360" s="130"/>
      <c r="AB360" s="106"/>
    </row>
    <row r="361">
      <c r="C361" s="79"/>
      <c r="D361" s="79"/>
      <c r="E361" s="79"/>
      <c r="M361" s="79"/>
      <c r="R361" s="79"/>
      <c r="S361" s="79"/>
      <c r="V361" s="79"/>
      <c r="W361" s="79"/>
      <c r="Z361" s="130"/>
      <c r="AB361" s="106"/>
    </row>
    <row r="362">
      <c r="C362" s="79"/>
      <c r="D362" s="79"/>
      <c r="E362" s="79"/>
      <c r="M362" s="79"/>
      <c r="R362" s="79"/>
      <c r="S362" s="79"/>
      <c r="V362" s="79"/>
      <c r="W362" s="79"/>
      <c r="Z362" s="130"/>
      <c r="AB362" s="106"/>
    </row>
    <row r="363">
      <c r="C363" s="79"/>
      <c r="D363" s="79"/>
      <c r="E363" s="79"/>
      <c r="M363" s="79"/>
      <c r="R363" s="79"/>
      <c r="S363" s="79"/>
      <c r="V363" s="79"/>
      <c r="W363" s="79"/>
      <c r="Z363" s="130"/>
      <c r="AB363" s="106"/>
    </row>
    <row r="364">
      <c r="C364" s="79"/>
      <c r="D364" s="79"/>
      <c r="E364" s="79"/>
      <c r="M364" s="79"/>
      <c r="R364" s="79"/>
      <c r="S364" s="79"/>
      <c r="V364" s="79"/>
      <c r="W364" s="79"/>
      <c r="Z364" s="130"/>
      <c r="AB364" s="106"/>
    </row>
    <row r="365">
      <c r="C365" s="79"/>
      <c r="D365" s="79"/>
      <c r="E365" s="79"/>
      <c r="M365" s="79"/>
      <c r="R365" s="79"/>
      <c r="S365" s="79"/>
      <c r="V365" s="79"/>
      <c r="W365" s="79"/>
      <c r="Z365" s="130"/>
      <c r="AB365" s="106"/>
    </row>
    <row r="366">
      <c r="C366" s="79"/>
      <c r="D366" s="79"/>
      <c r="E366" s="79"/>
      <c r="M366" s="79"/>
      <c r="R366" s="79"/>
      <c r="S366" s="79"/>
      <c r="V366" s="79"/>
      <c r="W366" s="79"/>
      <c r="Z366" s="130"/>
      <c r="AB366" s="106"/>
    </row>
    <row r="367">
      <c r="C367" s="79"/>
      <c r="D367" s="79"/>
      <c r="E367" s="79"/>
      <c r="M367" s="79"/>
      <c r="R367" s="79"/>
      <c r="S367" s="79"/>
      <c r="V367" s="79"/>
      <c r="W367" s="79"/>
      <c r="Z367" s="130"/>
      <c r="AB367" s="106"/>
    </row>
    <row r="368">
      <c r="C368" s="79"/>
      <c r="D368" s="79"/>
      <c r="E368" s="79"/>
      <c r="M368" s="79"/>
      <c r="R368" s="79"/>
      <c r="S368" s="79"/>
      <c r="V368" s="79"/>
      <c r="W368" s="79"/>
      <c r="Z368" s="130"/>
      <c r="AB368" s="106"/>
    </row>
    <row r="369">
      <c r="C369" s="79"/>
      <c r="D369" s="79"/>
      <c r="E369" s="79"/>
      <c r="M369" s="79"/>
      <c r="R369" s="79"/>
      <c r="S369" s="79"/>
      <c r="V369" s="79"/>
      <c r="W369" s="79"/>
      <c r="Z369" s="130"/>
      <c r="AB369" s="106"/>
    </row>
    <row r="370">
      <c r="C370" s="79"/>
      <c r="D370" s="79"/>
      <c r="E370" s="79"/>
      <c r="M370" s="79"/>
      <c r="R370" s="79"/>
      <c r="S370" s="79"/>
      <c r="V370" s="79"/>
      <c r="W370" s="79"/>
      <c r="Z370" s="130"/>
      <c r="AB370" s="106"/>
    </row>
    <row r="371">
      <c r="C371" s="79"/>
      <c r="D371" s="79"/>
      <c r="E371" s="79"/>
      <c r="M371" s="79"/>
      <c r="R371" s="79"/>
      <c r="S371" s="79"/>
      <c r="V371" s="79"/>
      <c r="W371" s="79"/>
      <c r="Z371" s="130"/>
      <c r="AB371" s="106"/>
    </row>
    <row r="372">
      <c r="C372" s="79"/>
      <c r="D372" s="79"/>
      <c r="E372" s="79"/>
      <c r="M372" s="79"/>
      <c r="R372" s="79"/>
      <c r="S372" s="79"/>
      <c r="V372" s="79"/>
      <c r="W372" s="79"/>
      <c r="Z372" s="130"/>
      <c r="AB372" s="106"/>
    </row>
    <row r="373">
      <c r="C373" s="79"/>
      <c r="D373" s="79"/>
      <c r="E373" s="79"/>
      <c r="M373" s="79"/>
      <c r="R373" s="79"/>
      <c r="S373" s="79"/>
      <c r="V373" s="79"/>
      <c r="W373" s="79"/>
      <c r="Z373" s="130"/>
      <c r="AB373" s="106"/>
    </row>
    <row r="374">
      <c r="C374" s="79"/>
      <c r="D374" s="79"/>
      <c r="E374" s="79"/>
      <c r="M374" s="79"/>
      <c r="R374" s="79"/>
      <c r="S374" s="79"/>
      <c r="V374" s="79"/>
      <c r="W374" s="79"/>
      <c r="Z374" s="130"/>
      <c r="AB374" s="106"/>
    </row>
    <row r="375">
      <c r="C375" s="79"/>
      <c r="D375" s="79"/>
      <c r="E375" s="79"/>
      <c r="M375" s="79"/>
      <c r="R375" s="79"/>
      <c r="S375" s="79"/>
      <c r="V375" s="79"/>
      <c r="W375" s="79"/>
      <c r="Z375" s="130"/>
      <c r="AB375" s="106"/>
    </row>
    <row r="376">
      <c r="C376" s="79"/>
      <c r="D376" s="79"/>
      <c r="E376" s="79"/>
      <c r="M376" s="79"/>
      <c r="R376" s="79"/>
      <c r="S376" s="79"/>
      <c r="V376" s="79"/>
      <c r="W376" s="79"/>
      <c r="Z376" s="130"/>
      <c r="AB376" s="106"/>
    </row>
    <row r="377">
      <c r="C377" s="79"/>
      <c r="D377" s="79"/>
      <c r="E377" s="79"/>
      <c r="M377" s="79"/>
      <c r="R377" s="79"/>
      <c r="S377" s="79"/>
      <c r="V377" s="79"/>
      <c r="W377" s="79"/>
      <c r="Z377" s="130"/>
      <c r="AB377" s="106"/>
    </row>
    <row r="378">
      <c r="C378" s="79"/>
      <c r="D378" s="79"/>
      <c r="E378" s="79"/>
      <c r="M378" s="79"/>
      <c r="R378" s="79"/>
      <c r="S378" s="79"/>
      <c r="V378" s="79"/>
      <c r="W378" s="79"/>
      <c r="Z378" s="130"/>
      <c r="AB378" s="106"/>
    </row>
    <row r="379">
      <c r="C379" s="79"/>
      <c r="D379" s="79"/>
      <c r="E379" s="79"/>
      <c r="M379" s="79"/>
      <c r="R379" s="79"/>
      <c r="S379" s="79"/>
      <c r="V379" s="79"/>
      <c r="W379" s="79"/>
      <c r="Z379" s="130"/>
      <c r="AB379" s="106"/>
    </row>
    <row r="380">
      <c r="C380" s="79"/>
      <c r="D380" s="79"/>
      <c r="E380" s="79"/>
      <c r="M380" s="79"/>
      <c r="R380" s="79"/>
      <c r="S380" s="79"/>
      <c r="V380" s="79"/>
      <c r="W380" s="79"/>
      <c r="Z380" s="130"/>
      <c r="AB380" s="106"/>
    </row>
    <row r="381">
      <c r="C381" s="79"/>
      <c r="D381" s="79"/>
      <c r="E381" s="79"/>
      <c r="M381" s="79"/>
      <c r="R381" s="79"/>
      <c r="S381" s="79"/>
      <c r="V381" s="79"/>
      <c r="W381" s="79"/>
      <c r="Z381" s="130"/>
      <c r="AB381" s="106"/>
    </row>
    <row r="382">
      <c r="C382" s="79"/>
      <c r="D382" s="79"/>
      <c r="E382" s="79"/>
      <c r="M382" s="79"/>
      <c r="R382" s="79"/>
      <c r="S382" s="79"/>
      <c r="V382" s="79"/>
      <c r="W382" s="79"/>
      <c r="Z382" s="130"/>
      <c r="AB382" s="106"/>
    </row>
    <row r="383">
      <c r="C383" s="79"/>
      <c r="D383" s="79"/>
      <c r="E383" s="79"/>
      <c r="M383" s="79"/>
      <c r="R383" s="79"/>
      <c r="S383" s="79"/>
      <c r="V383" s="79"/>
      <c r="W383" s="79"/>
      <c r="Z383" s="130"/>
      <c r="AB383" s="106"/>
    </row>
    <row r="384">
      <c r="C384" s="79"/>
      <c r="D384" s="79"/>
      <c r="E384" s="79"/>
      <c r="M384" s="79"/>
      <c r="R384" s="79"/>
      <c r="S384" s="79"/>
      <c r="V384" s="79"/>
      <c r="W384" s="79"/>
      <c r="Z384" s="130"/>
      <c r="AB384" s="106"/>
    </row>
    <row r="385">
      <c r="C385" s="79"/>
      <c r="D385" s="79"/>
      <c r="E385" s="79"/>
      <c r="M385" s="79"/>
      <c r="R385" s="79"/>
      <c r="S385" s="79"/>
      <c r="V385" s="79"/>
      <c r="W385" s="79"/>
      <c r="Z385" s="130"/>
      <c r="AB385" s="106"/>
    </row>
    <row r="386">
      <c r="C386" s="79"/>
      <c r="D386" s="79"/>
      <c r="E386" s="79"/>
      <c r="M386" s="79"/>
      <c r="R386" s="79"/>
      <c r="S386" s="79"/>
      <c r="V386" s="79"/>
      <c r="W386" s="79"/>
      <c r="Z386" s="130"/>
      <c r="AB386" s="106"/>
    </row>
    <row r="387">
      <c r="C387" s="79"/>
      <c r="D387" s="79"/>
      <c r="E387" s="79"/>
      <c r="M387" s="79"/>
      <c r="R387" s="79"/>
      <c r="S387" s="79"/>
      <c r="V387" s="79"/>
      <c r="W387" s="79"/>
      <c r="Z387" s="130"/>
      <c r="AB387" s="106"/>
    </row>
    <row r="388">
      <c r="C388" s="79"/>
      <c r="D388" s="79"/>
      <c r="E388" s="79"/>
      <c r="M388" s="79"/>
      <c r="R388" s="79"/>
      <c r="S388" s="79"/>
      <c r="V388" s="79"/>
      <c r="W388" s="79"/>
      <c r="Z388" s="130"/>
      <c r="AB388" s="106"/>
    </row>
    <row r="389">
      <c r="C389" s="79"/>
      <c r="D389" s="79"/>
      <c r="E389" s="79"/>
      <c r="M389" s="79"/>
      <c r="R389" s="79"/>
      <c r="S389" s="79"/>
      <c r="V389" s="79"/>
      <c r="W389" s="79"/>
      <c r="Z389" s="130"/>
      <c r="AB389" s="106"/>
    </row>
    <row r="390">
      <c r="C390" s="79"/>
      <c r="D390" s="79"/>
      <c r="E390" s="79"/>
      <c r="M390" s="79"/>
      <c r="R390" s="79"/>
      <c r="S390" s="79"/>
      <c r="V390" s="79"/>
      <c r="W390" s="79"/>
      <c r="Z390" s="130"/>
      <c r="AB390" s="106"/>
    </row>
    <row r="391">
      <c r="C391" s="79"/>
      <c r="D391" s="79"/>
      <c r="E391" s="79"/>
      <c r="M391" s="79"/>
      <c r="R391" s="79"/>
      <c r="S391" s="79"/>
      <c r="V391" s="79"/>
      <c r="W391" s="79"/>
      <c r="Z391" s="130"/>
      <c r="AB391" s="106"/>
    </row>
    <row r="392">
      <c r="C392" s="79"/>
      <c r="D392" s="79"/>
      <c r="E392" s="79"/>
      <c r="M392" s="79"/>
      <c r="R392" s="79"/>
      <c r="S392" s="79"/>
      <c r="V392" s="79"/>
      <c r="W392" s="79"/>
      <c r="Z392" s="130"/>
      <c r="AB392" s="106"/>
    </row>
    <row r="393">
      <c r="C393" s="79"/>
      <c r="D393" s="79"/>
      <c r="E393" s="79"/>
      <c r="M393" s="79"/>
      <c r="R393" s="79"/>
      <c r="S393" s="79"/>
      <c r="V393" s="79"/>
      <c r="W393" s="79"/>
      <c r="Z393" s="130"/>
      <c r="AB393" s="106"/>
    </row>
    <row r="394">
      <c r="C394" s="79"/>
      <c r="D394" s="79"/>
      <c r="E394" s="79"/>
      <c r="M394" s="79"/>
      <c r="R394" s="79"/>
      <c r="S394" s="79"/>
      <c r="V394" s="79"/>
      <c r="W394" s="79"/>
      <c r="Z394" s="130"/>
      <c r="AB394" s="106"/>
    </row>
    <row r="395">
      <c r="C395" s="79"/>
      <c r="D395" s="79"/>
      <c r="E395" s="79"/>
      <c r="M395" s="79"/>
      <c r="R395" s="79"/>
      <c r="S395" s="79"/>
      <c r="V395" s="79"/>
      <c r="W395" s="79"/>
      <c r="Z395" s="130"/>
      <c r="AB395" s="106"/>
    </row>
    <row r="396">
      <c r="C396" s="79"/>
      <c r="D396" s="79"/>
      <c r="E396" s="79"/>
      <c r="M396" s="79"/>
      <c r="R396" s="79"/>
      <c r="S396" s="79"/>
      <c r="V396" s="79"/>
      <c r="W396" s="79"/>
      <c r="Z396" s="130"/>
      <c r="AB396" s="106"/>
    </row>
    <row r="397">
      <c r="C397" s="79"/>
      <c r="D397" s="79"/>
      <c r="E397" s="79"/>
      <c r="M397" s="79"/>
      <c r="R397" s="79"/>
      <c r="S397" s="79"/>
      <c r="V397" s="79"/>
      <c r="W397" s="79"/>
      <c r="Z397" s="130"/>
      <c r="AB397" s="106"/>
    </row>
    <row r="398">
      <c r="C398" s="79"/>
      <c r="D398" s="79"/>
      <c r="E398" s="79"/>
      <c r="M398" s="79"/>
      <c r="R398" s="79"/>
      <c r="S398" s="79"/>
      <c r="V398" s="79"/>
      <c r="W398" s="79"/>
      <c r="Z398" s="130"/>
      <c r="AB398" s="106"/>
    </row>
    <row r="399">
      <c r="C399" s="79"/>
      <c r="D399" s="79"/>
      <c r="E399" s="79"/>
      <c r="M399" s="79"/>
      <c r="R399" s="79"/>
      <c r="S399" s="79"/>
      <c r="V399" s="79"/>
      <c r="W399" s="79"/>
      <c r="Z399" s="130"/>
      <c r="AB399" s="106"/>
    </row>
    <row r="400">
      <c r="C400" s="79"/>
      <c r="D400" s="79"/>
      <c r="E400" s="79"/>
      <c r="M400" s="79"/>
      <c r="R400" s="79"/>
      <c r="S400" s="79"/>
      <c r="V400" s="79"/>
      <c r="W400" s="79"/>
      <c r="Z400" s="130"/>
      <c r="AB400" s="106"/>
    </row>
    <row r="401">
      <c r="C401" s="79"/>
      <c r="D401" s="79"/>
      <c r="E401" s="79"/>
      <c r="M401" s="79"/>
      <c r="R401" s="79"/>
      <c r="S401" s="79"/>
      <c r="V401" s="79"/>
      <c r="W401" s="79"/>
      <c r="Z401" s="130"/>
      <c r="AB401" s="106"/>
    </row>
    <row r="402">
      <c r="C402" s="79"/>
      <c r="D402" s="79"/>
      <c r="E402" s="79"/>
      <c r="M402" s="79"/>
      <c r="R402" s="79"/>
      <c r="S402" s="79"/>
      <c r="V402" s="79"/>
      <c r="W402" s="79"/>
      <c r="Z402" s="130"/>
      <c r="AB402" s="106"/>
    </row>
    <row r="403">
      <c r="C403" s="79"/>
      <c r="D403" s="79"/>
      <c r="E403" s="79"/>
      <c r="M403" s="79"/>
      <c r="R403" s="79"/>
      <c r="S403" s="79"/>
      <c r="V403" s="79"/>
      <c r="W403" s="79"/>
      <c r="Z403" s="130"/>
      <c r="AB403" s="106"/>
    </row>
    <row r="404">
      <c r="C404" s="79"/>
      <c r="D404" s="79"/>
      <c r="E404" s="79"/>
      <c r="M404" s="79"/>
      <c r="R404" s="79"/>
      <c r="S404" s="79"/>
      <c r="V404" s="79"/>
      <c r="W404" s="79"/>
      <c r="Z404" s="130"/>
      <c r="AB404" s="106"/>
    </row>
    <row r="405">
      <c r="C405" s="79"/>
      <c r="D405" s="79"/>
      <c r="E405" s="79"/>
      <c r="M405" s="79"/>
      <c r="R405" s="79"/>
      <c r="S405" s="79"/>
      <c r="V405" s="79"/>
      <c r="W405" s="79"/>
      <c r="Z405" s="130"/>
      <c r="AB405" s="106"/>
    </row>
    <row r="406">
      <c r="C406" s="79"/>
      <c r="D406" s="79"/>
      <c r="E406" s="79"/>
      <c r="M406" s="79"/>
      <c r="R406" s="79"/>
      <c r="S406" s="79"/>
      <c r="V406" s="79"/>
      <c r="W406" s="79"/>
      <c r="Z406" s="130"/>
      <c r="AB406" s="106"/>
    </row>
    <row r="407">
      <c r="C407" s="79"/>
      <c r="D407" s="79"/>
      <c r="E407" s="79"/>
      <c r="M407" s="79"/>
      <c r="R407" s="79"/>
      <c r="S407" s="79"/>
      <c r="V407" s="79"/>
      <c r="W407" s="79"/>
      <c r="Z407" s="130"/>
      <c r="AB407" s="106"/>
    </row>
    <row r="408">
      <c r="C408" s="79"/>
      <c r="D408" s="79"/>
      <c r="E408" s="79"/>
      <c r="M408" s="79"/>
      <c r="R408" s="79"/>
      <c r="S408" s="79"/>
      <c r="V408" s="79"/>
      <c r="W408" s="79"/>
      <c r="Z408" s="130"/>
      <c r="AB408" s="106"/>
    </row>
    <row r="409">
      <c r="C409" s="79"/>
      <c r="D409" s="79"/>
      <c r="E409" s="79"/>
      <c r="M409" s="79"/>
      <c r="R409" s="79"/>
      <c r="S409" s="79"/>
      <c r="V409" s="79"/>
      <c r="W409" s="79"/>
      <c r="Z409" s="130"/>
      <c r="AB409" s="106"/>
    </row>
    <row r="410">
      <c r="C410" s="79"/>
      <c r="D410" s="79"/>
      <c r="E410" s="79"/>
      <c r="M410" s="79"/>
      <c r="R410" s="79"/>
      <c r="S410" s="79"/>
      <c r="V410" s="79"/>
      <c r="W410" s="79"/>
      <c r="Z410" s="130"/>
      <c r="AB410" s="106"/>
    </row>
    <row r="411">
      <c r="C411" s="79"/>
      <c r="D411" s="79"/>
      <c r="E411" s="79"/>
      <c r="M411" s="79"/>
      <c r="R411" s="79"/>
      <c r="S411" s="79"/>
      <c r="V411" s="79"/>
      <c r="W411" s="79"/>
      <c r="Z411" s="130"/>
      <c r="AB411" s="106"/>
    </row>
    <row r="412">
      <c r="C412" s="79"/>
      <c r="D412" s="79"/>
      <c r="E412" s="79"/>
      <c r="M412" s="79"/>
      <c r="R412" s="79"/>
      <c r="S412" s="79"/>
      <c r="V412" s="79"/>
      <c r="W412" s="79"/>
      <c r="Z412" s="130"/>
      <c r="AB412" s="106"/>
    </row>
    <row r="413">
      <c r="C413" s="79"/>
      <c r="D413" s="79"/>
      <c r="E413" s="79"/>
      <c r="M413" s="79"/>
      <c r="R413" s="79"/>
      <c r="S413" s="79"/>
      <c r="V413" s="79"/>
      <c r="W413" s="79"/>
      <c r="Z413" s="130"/>
      <c r="AB413" s="106"/>
    </row>
    <row r="414">
      <c r="C414" s="79"/>
      <c r="D414" s="79"/>
      <c r="E414" s="79"/>
      <c r="M414" s="79"/>
      <c r="R414" s="79"/>
      <c r="S414" s="79"/>
      <c r="V414" s="79"/>
      <c r="W414" s="79"/>
      <c r="Z414" s="130"/>
      <c r="AB414" s="106"/>
    </row>
    <row r="415">
      <c r="C415" s="79"/>
      <c r="D415" s="79"/>
      <c r="E415" s="79"/>
      <c r="M415" s="79"/>
      <c r="R415" s="79"/>
      <c r="S415" s="79"/>
      <c r="V415" s="79"/>
      <c r="W415" s="79"/>
      <c r="Z415" s="130"/>
      <c r="AB415" s="106"/>
    </row>
    <row r="416">
      <c r="C416" s="79"/>
      <c r="D416" s="79"/>
      <c r="E416" s="79"/>
      <c r="M416" s="79"/>
      <c r="R416" s="79"/>
      <c r="S416" s="79"/>
      <c r="V416" s="79"/>
      <c r="W416" s="79"/>
      <c r="Z416" s="130"/>
      <c r="AB416" s="106"/>
    </row>
    <row r="417">
      <c r="C417" s="79"/>
      <c r="D417" s="79"/>
      <c r="E417" s="79"/>
      <c r="M417" s="79"/>
      <c r="R417" s="79"/>
      <c r="S417" s="79"/>
      <c r="V417" s="79"/>
      <c r="W417" s="79"/>
      <c r="Z417" s="130"/>
      <c r="AB417" s="106"/>
    </row>
    <row r="418">
      <c r="C418" s="79"/>
      <c r="D418" s="79"/>
      <c r="E418" s="79"/>
      <c r="M418" s="79"/>
      <c r="R418" s="79"/>
      <c r="S418" s="79"/>
      <c r="V418" s="79"/>
      <c r="W418" s="79"/>
      <c r="Z418" s="130"/>
      <c r="AB418" s="106"/>
    </row>
    <row r="419">
      <c r="C419" s="79"/>
      <c r="D419" s="79"/>
      <c r="E419" s="79"/>
      <c r="M419" s="79"/>
      <c r="R419" s="79"/>
      <c r="S419" s="79"/>
      <c r="V419" s="79"/>
      <c r="W419" s="79"/>
      <c r="Z419" s="130"/>
      <c r="AB419" s="106"/>
    </row>
    <row r="420">
      <c r="C420" s="79"/>
      <c r="D420" s="79"/>
      <c r="E420" s="79"/>
      <c r="M420" s="79"/>
      <c r="R420" s="79"/>
      <c r="S420" s="79"/>
      <c r="V420" s="79"/>
      <c r="W420" s="79"/>
      <c r="Z420" s="130"/>
      <c r="AB420" s="106"/>
    </row>
    <row r="421">
      <c r="C421" s="79"/>
      <c r="D421" s="79"/>
      <c r="E421" s="79"/>
      <c r="M421" s="79"/>
      <c r="R421" s="79"/>
      <c r="S421" s="79"/>
      <c r="V421" s="79"/>
      <c r="W421" s="79"/>
      <c r="Z421" s="130"/>
      <c r="AB421" s="106"/>
    </row>
    <row r="422">
      <c r="C422" s="79"/>
      <c r="D422" s="79"/>
      <c r="E422" s="79"/>
      <c r="M422" s="79"/>
      <c r="R422" s="79"/>
      <c r="S422" s="79"/>
      <c r="V422" s="79"/>
      <c r="W422" s="79"/>
      <c r="Z422" s="130"/>
      <c r="AB422" s="106"/>
    </row>
    <row r="423">
      <c r="C423" s="79"/>
      <c r="D423" s="79"/>
      <c r="E423" s="79"/>
      <c r="M423" s="79"/>
      <c r="R423" s="79"/>
      <c r="S423" s="79"/>
      <c r="V423" s="79"/>
      <c r="W423" s="79"/>
      <c r="Z423" s="130"/>
      <c r="AB423" s="106"/>
    </row>
    <row r="424">
      <c r="C424" s="79"/>
      <c r="D424" s="79"/>
      <c r="E424" s="79"/>
      <c r="M424" s="79"/>
      <c r="R424" s="79"/>
      <c r="S424" s="79"/>
      <c r="V424" s="79"/>
      <c r="W424" s="79"/>
      <c r="Z424" s="130"/>
      <c r="AB424" s="106"/>
    </row>
    <row r="425">
      <c r="C425" s="79"/>
      <c r="D425" s="79"/>
      <c r="E425" s="79"/>
      <c r="M425" s="79"/>
      <c r="R425" s="79"/>
      <c r="S425" s="79"/>
      <c r="V425" s="79"/>
      <c r="W425" s="79"/>
      <c r="Z425" s="130"/>
      <c r="AB425" s="106"/>
    </row>
    <row r="426">
      <c r="C426" s="79"/>
      <c r="D426" s="79"/>
      <c r="E426" s="79"/>
      <c r="M426" s="79"/>
      <c r="R426" s="79"/>
      <c r="S426" s="79"/>
      <c r="V426" s="79"/>
      <c r="W426" s="79"/>
      <c r="Z426" s="130"/>
      <c r="AB426" s="106"/>
    </row>
    <row r="427">
      <c r="C427" s="79"/>
      <c r="D427" s="79"/>
      <c r="E427" s="79"/>
      <c r="M427" s="79"/>
      <c r="R427" s="79"/>
      <c r="S427" s="79"/>
      <c r="V427" s="79"/>
      <c r="W427" s="79"/>
      <c r="Z427" s="130"/>
      <c r="AB427" s="106"/>
    </row>
    <row r="428">
      <c r="C428" s="79"/>
      <c r="D428" s="79"/>
      <c r="E428" s="79"/>
      <c r="M428" s="79"/>
      <c r="R428" s="79"/>
      <c r="S428" s="79"/>
      <c r="V428" s="79"/>
      <c r="W428" s="79"/>
      <c r="Z428" s="130"/>
      <c r="AB428" s="106"/>
    </row>
    <row r="429">
      <c r="C429" s="79"/>
      <c r="D429" s="79"/>
      <c r="E429" s="79"/>
      <c r="M429" s="79"/>
      <c r="R429" s="79"/>
      <c r="S429" s="79"/>
      <c r="V429" s="79"/>
      <c r="W429" s="79"/>
      <c r="Z429" s="130"/>
      <c r="AB429" s="106"/>
    </row>
    <row r="430">
      <c r="C430" s="79"/>
      <c r="D430" s="79"/>
      <c r="E430" s="79"/>
      <c r="M430" s="79"/>
      <c r="R430" s="79"/>
      <c r="S430" s="79"/>
      <c r="V430" s="79"/>
      <c r="W430" s="79"/>
      <c r="Z430" s="130"/>
      <c r="AB430" s="106"/>
    </row>
    <row r="431">
      <c r="C431" s="79"/>
      <c r="D431" s="79"/>
      <c r="E431" s="79"/>
      <c r="M431" s="79"/>
      <c r="R431" s="79"/>
      <c r="S431" s="79"/>
      <c r="V431" s="79"/>
      <c r="W431" s="79"/>
      <c r="Z431" s="130"/>
      <c r="AB431" s="106"/>
    </row>
    <row r="432">
      <c r="C432" s="79"/>
      <c r="D432" s="79"/>
      <c r="E432" s="79"/>
      <c r="M432" s="79"/>
      <c r="R432" s="79"/>
      <c r="S432" s="79"/>
      <c r="V432" s="79"/>
      <c r="W432" s="79"/>
      <c r="Z432" s="130"/>
      <c r="AB432" s="106"/>
    </row>
    <row r="433">
      <c r="C433" s="79"/>
      <c r="D433" s="79"/>
      <c r="E433" s="79"/>
      <c r="M433" s="79"/>
      <c r="R433" s="79"/>
      <c r="S433" s="79"/>
      <c r="V433" s="79"/>
      <c r="W433" s="79"/>
      <c r="Z433" s="130"/>
      <c r="AB433" s="106"/>
    </row>
    <row r="434">
      <c r="C434" s="79"/>
      <c r="D434" s="79"/>
      <c r="E434" s="79"/>
      <c r="M434" s="79"/>
      <c r="R434" s="79"/>
      <c r="S434" s="79"/>
      <c r="V434" s="79"/>
      <c r="W434" s="79"/>
      <c r="Z434" s="130"/>
      <c r="AB434" s="106"/>
    </row>
    <row r="435">
      <c r="C435" s="79"/>
      <c r="D435" s="79"/>
      <c r="E435" s="79"/>
      <c r="M435" s="79"/>
      <c r="R435" s="79"/>
      <c r="S435" s="79"/>
      <c r="V435" s="79"/>
      <c r="W435" s="79"/>
      <c r="Z435" s="130"/>
      <c r="AB435" s="106"/>
    </row>
    <row r="436">
      <c r="C436" s="79"/>
      <c r="D436" s="79"/>
      <c r="E436" s="79"/>
      <c r="M436" s="79"/>
      <c r="R436" s="79"/>
      <c r="S436" s="79"/>
      <c r="V436" s="79"/>
      <c r="W436" s="79"/>
      <c r="Z436" s="130"/>
      <c r="AB436" s="106"/>
    </row>
    <row r="437">
      <c r="C437" s="79"/>
      <c r="D437" s="79"/>
      <c r="E437" s="79"/>
      <c r="M437" s="79"/>
      <c r="R437" s="79"/>
      <c r="S437" s="79"/>
      <c r="V437" s="79"/>
      <c r="W437" s="79"/>
      <c r="Z437" s="130"/>
      <c r="AB437" s="106"/>
    </row>
    <row r="438">
      <c r="C438" s="79"/>
      <c r="D438" s="79"/>
      <c r="E438" s="79"/>
      <c r="M438" s="79"/>
      <c r="R438" s="79"/>
      <c r="S438" s="79"/>
      <c r="V438" s="79"/>
      <c r="W438" s="79"/>
      <c r="Z438" s="130"/>
      <c r="AB438" s="106"/>
    </row>
    <row r="439">
      <c r="C439" s="79"/>
      <c r="D439" s="79"/>
      <c r="E439" s="79"/>
      <c r="M439" s="79"/>
      <c r="R439" s="79"/>
      <c r="S439" s="79"/>
      <c r="V439" s="79"/>
      <c r="W439" s="79"/>
      <c r="Z439" s="130"/>
      <c r="AB439" s="106"/>
    </row>
    <row r="440">
      <c r="C440" s="79"/>
      <c r="D440" s="79"/>
      <c r="E440" s="79"/>
      <c r="M440" s="79"/>
      <c r="R440" s="79"/>
      <c r="S440" s="79"/>
      <c r="V440" s="79"/>
      <c r="W440" s="79"/>
      <c r="Z440" s="130"/>
      <c r="AB440" s="106"/>
    </row>
    <row r="441">
      <c r="C441" s="79"/>
      <c r="D441" s="79"/>
      <c r="E441" s="79"/>
      <c r="M441" s="79"/>
      <c r="R441" s="79"/>
      <c r="S441" s="79"/>
      <c r="V441" s="79"/>
      <c r="W441" s="79"/>
      <c r="Z441" s="130"/>
      <c r="AB441" s="106"/>
    </row>
    <row r="442">
      <c r="C442" s="79"/>
      <c r="D442" s="79"/>
      <c r="E442" s="79"/>
      <c r="M442" s="79"/>
      <c r="R442" s="79"/>
      <c r="S442" s="79"/>
      <c r="V442" s="79"/>
      <c r="W442" s="79"/>
      <c r="Z442" s="130"/>
      <c r="AB442" s="106"/>
    </row>
    <row r="443">
      <c r="C443" s="79"/>
      <c r="D443" s="79"/>
      <c r="E443" s="79"/>
      <c r="M443" s="79"/>
      <c r="R443" s="79"/>
      <c r="S443" s="79"/>
      <c r="V443" s="79"/>
      <c r="W443" s="79"/>
      <c r="Z443" s="130"/>
      <c r="AB443" s="106"/>
    </row>
    <row r="444">
      <c r="C444" s="79"/>
      <c r="D444" s="79"/>
      <c r="E444" s="79"/>
      <c r="M444" s="79"/>
      <c r="R444" s="79"/>
      <c r="S444" s="79"/>
      <c r="V444" s="79"/>
      <c r="W444" s="79"/>
      <c r="Z444" s="130"/>
      <c r="AB444" s="106"/>
    </row>
    <row r="445">
      <c r="C445" s="79"/>
      <c r="D445" s="79"/>
      <c r="E445" s="79"/>
      <c r="M445" s="79"/>
      <c r="R445" s="79"/>
      <c r="S445" s="79"/>
      <c r="V445" s="79"/>
      <c r="W445" s="79"/>
      <c r="Z445" s="130"/>
      <c r="AB445" s="106"/>
    </row>
    <row r="446">
      <c r="C446" s="79"/>
      <c r="D446" s="79"/>
      <c r="E446" s="79"/>
      <c r="M446" s="79"/>
      <c r="R446" s="79"/>
      <c r="S446" s="79"/>
      <c r="V446" s="79"/>
      <c r="W446" s="79"/>
      <c r="Z446" s="130"/>
      <c r="AB446" s="106"/>
    </row>
    <row r="447">
      <c r="C447" s="79"/>
      <c r="D447" s="79"/>
      <c r="E447" s="79"/>
      <c r="M447" s="79"/>
      <c r="R447" s="79"/>
      <c r="S447" s="79"/>
      <c r="V447" s="79"/>
      <c r="W447" s="79"/>
      <c r="Z447" s="130"/>
      <c r="AB447" s="106"/>
    </row>
    <row r="448">
      <c r="C448" s="79"/>
      <c r="D448" s="79"/>
      <c r="E448" s="79"/>
      <c r="M448" s="79"/>
      <c r="R448" s="79"/>
      <c r="S448" s="79"/>
      <c r="V448" s="79"/>
      <c r="W448" s="79"/>
      <c r="Z448" s="130"/>
      <c r="AB448" s="106"/>
    </row>
    <row r="449">
      <c r="C449" s="79"/>
      <c r="D449" s="79"/>
      <c r="E449" s="79"/>
      <c r="M449" s="79"/>
      <c r="R449" s="79"/>
      <c r="S449" s="79"/>
      <c r="V449" s="79"/>
      <c r="W449" s="79"/>
      <c r="Z449" s="130"/>
      <c r="AB449" s="106"/>
    </row>
    <row r="450">
      <c r="C450" s="79"/>
      <c r="D450" s="79"/>
      <c r="E450" s="79"/>
      <c r="M450" s="79"/>
      <c r="R450" s="79"/>
      <c r="S450" s="79"/>
      <c r="V450" s="79"/>
      <c r="W450" s="79"/>
      <c r="Z450" s="130"/>
      <c r="AB450" s="106"/>
    </row>
    <row r="451">
      <c r="C451" s="79"/>
      <c r="D451" s="79"/>
      <c r="E451" s="79"/>
      <c r="M451" s="79"/>
      <c r="R451" s="79"/>
      <c r="S451" s="79"/>
      <c r="V451" s="79"/>
      <c r="W451" s="79"/>
      <c r="Z451" s="130"/>
      <c r="AB451" s="106"/>
    </row>
    <row r="452">
      <c r="C452" s="79"/>
      <c r="D452" s="79"/>
      <c r="E452" s="79"/>
      <c r="M452" s="79"/>
      <c r="R452" s="79"/>
      <c r="S452" s="79"/>
      <c r="V452" s="79"/>
      <c r="W452" s="79"/>
      <c r="Z452" s="130"/>
      <c r="AB452" s="106"/>
    </row>
    <row r="453">
      <c r="C453" s="79"/>
      <c r="D453" s="79"/>
      <c r="E453" s="79"/>
      <c r="M453" s="79"/>
      <c r="R453" s="79"/>
      <c r="S453" s="79"/>
      <c r="V453" s="79"/>
      <c r="W453" s="79"/>
      <c r="Z453" s="130"/>
      <c r="AB453" s="106"/>
    </row>
    <row r="454">
      <c r="C454" s="79"/>
      <c r="D454" s="79"/>
      <c r="E454" s="79"/>
      <c r="M454" s="79"/>
      <c r="R454" s="79"/>
      <c r="S454" s="79"/>
      <c r="V454" s="79"/>
      <c r="W454" s="79"/>
      <c r="Z454" s="130"/>
      <c r="AB454" s="106"/>
    </row>
    <row r="455">
      <c r="C455" s="79"/>
      <c r="D455" s="79"/>
      <c r="E455" s="79"/>
      <c r="M455" s="79"/>
      <c r="R455" s="79"/>
      <c r="S455" s="79"/>
      <c r="V455" s="79"/>
      <c r="W455" s="79"/>
      <c r="Z455" s="130"/>
      <c r="AB455" s="106"/>
    </row>
    <row r="456">
      <c r="C456" s="79"/>
      <c r="D456" s="79"/>
      <c r="E456" s="79"/>
      <c r="M456" s="79"/>
      <c r="R456" s="79"/>
      <c r="S456" s="79"/>
      <c r="V456" s="79"/>
      <c r="W456" s="79"/>
      <c r="Z456" s="130"/>
      <c r="AB456" s="106"/>
    </row>
    <row r="457">
      <c r="C457" s="79"/>
      <c r="D457" s="79"/>
      <c r="E457" s="79"/>
      <c r="M457" s="79"/>
      <c r="R457" s="79"/>
      <c r="S457" s="79"/>
      <c r="V457" s="79"/>
      <c r="W457" s="79"/>
      <c r="Z457" s="130"/>
      <c r="AB457" s="106"/>
    </row>
    <row r="458">
      <c r="C458" s="79"/>
      <c r="D458" s="79"/>
      <c r="E458" s="79"/>
      <c r="M458" s="79"/>
      <c r="R458" s="79"/>
      <c r="S458" s="79"/>
      <c r="V458" s="79"/>
      <c r="W458" s="79"/>
      <c r="Z458" s="130"/>
      <c r="AB458" s="106"/>
    </row>
    <row r="459">
      <c r="C459" s="79"/>
      <c r="D459" s="79"/>
      <c r="E459" s="79"/>
      <c r="M459" s="79"/>
      <c r="R459" s="79"/>
      <c r="S459" s="79"/>
      <c r="V459" s="79"/>
      <c r="W459" s="79"/>
      <c r="Z459" s="130"/>
      <c r="AB459" s="106"/>
    </row>
    <row r="460">
      <c r="C460" s="79"/>
      <c r="D460" s="79"/>
      <c r="E460" s="79"/>
      <c r="M460" s="79"/>
      <c r="R460" s="79"/>
      <c r="S460" s="79"/>
      <c r="V460" s="79"/>
      <c r="W460" s="79"/>
      <c r="Z460" s="130"/>
      <c r="AB460" s="106"/>
    </row>
    <row r="461">
      <c r="C461" s="79"/>
      <c r="D461" s="79"/>
      <c r="E461" s="79"/>
      <c r="M461" s="79"/>
      <c r="R461" s="79"/>
      <c r="S461" s="79"/>
      <c r="V461" s="79"/>
      <c r="W461" s="79"/>
      <c r="Z461" s="130"/>
      <c r="AB461" s="106"/>
    </row>
    <row r="462">
      <c r="C462" s="79"/>
      <c r="D462" s="79"/>
      <c r="E462" s="79"/>
      <c r="M462" s="79"/>
      <c r="R462" s="79"/>
      <c r="S462" s="79"/>
      <c r="V462" s="79"/>
      <c r="W462" s="79"/>
      <c r="Z462" s="130"/>
      <c r="AB462" s="106"/>
    </row>
    <row r="463">
      <c r="C463" s="79"/>
      <c r="D463" s="79"/>
      <c r="E463" s="79"/>
      <c r="M463" s="79"/>
      <c r="R463" s="79"/>
      <c r="S463" s="79"/>
      <c r="V463" s="79"/>
      <c r="W463" s="79"/>
      <c r="Z463" s="130"/>
      <c r="AB463" s="106"/>
    </row>
    <row r="464">
      <c r="C464" s="79"/>
      <c r="D464" s="79"/>
      <c r="E464" s="79"/>
      <c r="M464" s="79"/>
      <c r="R464" s="79"/>
      <c r="S464" s="79"/>
      <c r="V464" s="79"/>
      <c r="W464" s="79"/>
      <c r="Z464" s="130"/>
      <c r="AB464" s="106"/>
    </row>
    <row r="465">
      <c r="C465" s="79"/>
      <c r="D465" s="79"/>
      <c r="E465" s="79"/>
      <c r="M465" s="79"/>
      <c r="R465" s="79"/>
      <c r="S465" s="79"/>
      <c r="V465" s="79"/>
      <c r="W465" s="79"/>
      <c r="Z465" s="130"/>
      <c r="AB465" s="106"/>
    </row>
    <row r="466">
      <c r="C466" s="79"/>
      <c r="D466" s="79"/>
      <c r="E466" s="79"/>
      <c r="M466" s="79"/>
      <c r="R466" s="79"/>
      <c r="S466" s="79"/>
      <c r="V466" s="79"/>
      <c r="W466" s="79"/>
      <c r="Z466" s="130"/>
      <c r="AB466" s="106"/>
    </row>
    <row r="467">
      <c r="C467" s="79"/>
      <c r="D467" s="79"/>
      <c r="E467" s="79"/>
      <c r="M467" s="79"/>
      <c r="R467" s="79"/>
      <c r="S467" s="79"/>
      <c r="V467" s="79"/>
      <c r="W467" s="79"/>
      <c r="Z467" s="130"/>
      <c r="AB467" s="106"/>
    </row>
    <row r="468">
      <c r="C468" s="79"/>
      <c r="D468" s="79"/>
      <c r="E468" s="79"/>
      <c r="M468" s="79"/>
      <c r="R468" s="79"/>
      <c r="S468" s="79"/>
      <c r="V468" s="79"/>
      <c r="W468" s="79"/>
      <c r="Z468" s="130"/>
      <c r="AB468" s="106"/>
    </row>
    <row r="469">
      <c r="C469" s="79"/>
      <c r="D469" s="79"/>
      <c r="E469" s="79"/>
      <c r="M469" s="79"/>
      <c r="R469" s="79"/>
      <c r="S469" s="79"/>
      <c r="V469" s="79"/>
      <c r="W469" s="79"/>
      <c r="Z469" s="130"/>
      <c r="AB469" s="106"/>
    </row>
    <row r="470">
      <c r="C470" s="79"/>
      <c r="D470" s="79"/>
      <c r="E470" s="79"/>
      <c r="M470" s="79"/>
      <c r="R470" s="79"/>
      <c r="S470" s="79"/>
      <c r="V470" s="79"/>
      <c r="W470" s="79"/>
      <c r="Z470" s="130"/>
      <c r="AB470" s="106"/>
    </row>
    <row r="471">
      <c r="C471" s="79"/>
      <c r="D471" s="79"/>
      <c r="E471" s="79"/>
      <c r="M471" s="79"/>
      <c r="R471" s="79"/>
      <c r="S471" s="79"/>
      <c r="V471" s="79"/>
      <c r="W471" s="79"/>
      <c r="Z471" s="130"/>
      <c r="AB471" s="106"/>
    </row>
    <row r="472">
      <c r="C472" s="79"/>
      <c r="D472" s="79"/>
      <c r="E472" s="79"/>
      <c r="M472" s="79"/>
      <c r="R472" s="79"/>
      <c r="S472" s="79"/>
      <c r="V472" s="79"/>
      <c r="W472" s="79"/>
      <c r="Z472" s="130"/>
      <c r="AB472" s="106"/>
    </row>
    <row r="473">
      <c r="C473" s="79"/>
      <c r="D473" s="79"/>
      <c r="E473" s="79"/>
      <c r="M473" s="79"/>
      <c r="R473" s="79"/>
      <c r="S473" s="79"/>
      <c r="V473" s="79"/>
      <c r="W473" s="79"/>
      <c r="Z473" s="130"/>
      <c r="AB473" s="106"/>
    </row>
    <row r="474">
      <c r="C474" s="79"/>
      <c r="D474" s="79"/>
      <c r="E474" s="79"/>
      <c r="M474" s="79"/>
      <c r="R474" s="79"/>
      <c r="S474" s="79"/>
      <c r="V474" s="79"/>
      <c r="W474" s="79"/>
      <c r="Z474" s="130"/>
      <c r="AB474" s="106"/>
    </row>
    <row r="475">
      <c r="C475" s="79"/>
      <c r="D475" s="79"/>
      <c r="E475" s="79"/>
      <c r="M475" s="79"/>
      <c r="R475" s="79"/>
      <c r="S475" s="79"/>
      <c r="V475" s="79"/>
      <c r="W475" s="79"/>
      <c r="Z475" s="130"/>
      <c r="AB475" s="106"/>
    </row>
    <row r="476">
      <c r="C476" s="79"/>
      <c r="D476" s="79"/>
      <c r="E476" s="79"/>
      <c r="M476" s="79"/>
      <c r="R476" s="79"/>
      <c r="S476" s="79"/>
      <c r="V476" s="79"/>
      <c r="W476" s="79"/>
      <c r="Z476" s="130"/>
      <c r="AB476" s="106"/>
    </row>
    <row r="477">
      <c r="C477" s="79"/>
      <c r="D477" s="79"/>
      <c r="E477" s="79"/>
      <c r="M477" s="79"/>
      <c r="R477" s="79"/>
      <c r="S477" s="79"/>
      <c r="V477" s="79"/>
      <c r="W477" s="79"/>
      <c r="Z477" s="130"/>
      <c r="AB477" s="106"/>
    </row>
    <row r="478">
      <c r="C478" s="79"/>
      <c r="D478" s="79"/>
      <c r="E478" s="79"/>
      <c r="M478" s="79"/>
      <c r="R478" s="79"/>
      <c r="S478" s="79"/>
      <c r="V478" s="79"/>
      <c r="W478" s="79"/>
      <c r="Z478" s="130"/>
      <c r="AB478" s="106"/>
    </row>
    <row r="479">
      <c r="C479" s="79"/>
      <c r="D479" s="79"/>
      <c r="E479" s="79"/>
      <c r="M479" s="79"/>
      <c r="R479" s="79"/>
      <c r="S479" s="79"/>
      <c r="V479" s="79"/>
      <c r="W479" s="79"/>
      <c r="Z479" s="130"/>
      <c r="AB479" s="106"/>
    </row>
    <row r="480">
      <c r="C480" s="79"/>
      <c r="D480" s="79"/>
      <c r="E480" s="79"/>
      <c r="M480" s="79"/>
      <c r="R480" s="79"/>
      <c r="S480" s="79"/>
      <c r="V480" s="79"/>
      <c r="W480" s="79"/>
      <c r="Z480" s="130"/>
      <c r="AB480" s="106"/>
    </row>
    <row r="481">
      <c r="C481" s="79"/>
      <c r="D481" s="79"/>
      <c r="E481" s="79"/>
      <c r="M481" s="79"/>
      <c r="R481" s="79"/>
      <c r="S481" s="79"/>
      <c r="V481" s="79"/>
      <c r="W481" s="79"/>
      <c r="Z481" s="130"/>
      <c r="AB481" s="106"/>
    </row>
    <row r="482">
      <c r="C482" s="79"/>
      <c r="D482" s="79"/>
      <c r="E482" s="79"/>
      <c r="M482" s="79"/>
      <c r="R482" s="79"/>
      <c r="S482" s="79"/>
      <c r="V482" s="79"/>
      <c r="W482" s="79"/>
      <c r="Z482" s="130"/>
      <c r="AB482" s="106"/>
    </row>
    <row r="483">
      <c r="C483" s="79"/>
      <c r="D483" s="79"/>
      <c r="E483" s="79"/>
      <c r="M483" s="79"/>
      <c r="R483" s="79"/>
      <c r="S483" s="79"/>
      <c r="V483" s="79"/>
      <c r="W483" s="79"/>
      <c r="Z483" s="130"/>
      <c r="AB483" s="106"/>
    </row>
    <row r="484">
      <c r="C484" s="79"/>
      <c r="D484" s="79"/>
      <c r="E484" s="79"/>
      <c r="M484" s="79"/>
      <c r="R484" s="79"/>
      <c r="S484" s="79"/>
      <c r="V484" s="79"/>
      <c r="W484" s="79"/>
      <c r="Z484" s="130"/>
      <c r="AB484" s="106"/>
    </row>
    <row r="485">
      <c r="C485" s="79"/>
      <c r="D485" s="79"/>
      <c r="E485" s="79"/>
      <c r="M485" s="79"/>
      <c r="R485" s="79"/>
      <c r="S485" s="79"/>
      <c r="V485" s="79"/>
      <c r="W485" s="79"/>
      <c r="Z485" s="130"/>
      <c r="AB485" s="106"/>
    </row>
    <row r="486">
      <c r="C486" s="79"/>
      <c r="D486" s="79"/>
      <c r="E486" s="79"/>
      <c r="M486" s="79"/>
      <c r="R486" s="79"/>
      <c r="S486" s="79"/>
      <c r="V486" s="79"/>
      <c r="W486" s="79"/>
      <c r="Z486" s="130"/>
      <c r="AB486" s="106"/>
    </row>
    <row r="487">
      <c r="C487" s="79"/>
      <c r="D487" s="79"/>
      <c r="E487" s="79"/>
      <c r="M487" s="79"/>
      <c r="R487" s="79"/>
      <c r="S487" s="79"/>
      <c r="V487" s="79"/>
      <c r="W487" s="79"/>
      <c r="Z487" s="130"/>
      <c r="AB487" s="106"/>
    </row>
    <row r="488">
      <c r="C488" s="79"/>
      <c r="D488" s="79"/>
      <c r="E488" s="79"/>
      <c r="M488" s="79"/>
      <c r="R488" s="79"/>
      <c r="S488" s="79"/>
      <c r="V488" s="79"/>
      <c r="W488" s="79"/>
      <c r="Z488" s="130"/>
      <c r="AB488" s="106"/>
    </row>
    <row r="489">
      <c r="C489" s="79"/>
      <c r="D489" s="79"/>
      <c r="E489" s="79"/>
      <c r="M489" s="79"/>
      <c r="R489" s="79"/>
      <c r="S489" s="79"/>
      <c r="V489" s="79"/>
      <c r="W489" s="79"/>
      <c r="Z489" s="130"/>
      <c r="AB489" s="106"/>
    </row>
    <row r="490">
      <c r="C490" s="79"/>
      <c r="D490" s="79"/>
      <c r="E490" s="79"/>
      <c r="M490" s="79"/>
      <c r="R490" s="79"/>
      <c r="S490" s="79"/>
      <c r="V490" s="79"/>
      <c r="W490" s="79"/>
      <c r="Z490" s="130"/>
      <c r="AB490" s="106"/>
    </row>
    <row r="491">
      <c r="C491" s="79"/>
      <c r="D491" s="79"/>
      <c r="E491" s="79"/>
      <c r="M491" s="79"/>
      <c r="R491" s="79"/>
      <c r="S491" s="79"/>
      <c r="V491" s="79"/>
      <c r="W491" s="79"/>
      <c r="Z491" s="130"/>
      <c r="AB491" s="106"/>
    </row>
    <row r="492">
      <c r="C492" s="79"/>
      <c r="D492" s="79"/>
      <c r="E492" s="79"/>
      <c r="M492" s="79"/>
      <c r="R492" s="79"/>
      <c r="S492" s="79"/>
      <c r="V492" s="79"/>
      <c r="W492" s="79"/>
      <c r="Z492" s="130"/>
      <c r="AB492" s="106"/>
    </row>
    <row r="493">
      <c r="C493" s="79"/>
      <c r="D493" s="79"/>
      <c r="E493" s="79"/>
      <c r="M493" s="79"/>
      <c r="R493" s="79"/>
      <c r="S493" s="79"/>
      <c r="V493" s="79"/>
      <c r="W493" s="79"/>
      <c r="Z493" s="130"/>
      <c r="AB493" s="106"/>
    </row>
    <row r="494">
      <c r="C494" s="79"/>
      <c r="D494" s="79"/>
      <c r="E494" s="79"/>
      <c r="M494" s="79"/>
      <c r="R494" s="79"/>
      <c r="S494" s="79"/>
      <c r="V494" s="79"/>
      <c r="W494" s="79"/>
      <c r="Z494" s="130"/>
      <c r="AB494" s="106"/>
    </row>
    <row r="495">
      <c r="C495" s="79"/>
      <c r="D495" s="79"/>
      <c r="E495" s="79"/>
      <c r="M495" s="79"/>
      <c r="R495" s="79"/>
      <c r="S495" s="79"/>
      <c r="V495" s="79"/>
      <c r="W495" s="79"/>
      <c r="Z495" s="130"/>
      <c r="AB495" s="106"/>
    </row>
    <row r="496">
      <c r="C496" s="79"/>
      <c r="D496" s="79"/>
      <c r="E496" s="79"/>
      <c r="M496" s="79"/>
      <c r="R496" s="79"/>
      <c r="S496" s="79"/>
      <c r="V496" s="79"/>
      <c r="W496" s="79"/>
      <c r="Z496" s="130"/>
      <c r="AB496" s="106"/>
    </row>
    <row r="497">
      <c r="C497" s="79"/>
      <c r="D497" s="79"/>
      <c r="E497" s="79"/>
      <c r="M497" s="79"/>
      <c r="R497" s="79"/>
      <c r="S497" s="79"/>
      <c r="V497" s="79"/>
      <c r="W497" s="79"/>
      <c r="Z497" s="130"/>
      <c r="AB497" s="106"/>
    </row>
    <row r="498">
      <c r="C498" s="79"/>
      <c r="D498" s="79"/>
      <c r="E498" s="79"/>
      <c r="M498" s="79"/>
      <c r="R498" s="79"/>
      <c r="S498" s="79"/>
      <c r="V498" s="79"/>
      <c r="W498" s="79"/>
      <c r="Z498" s="130"/>
      <c r="AB498" s="106"/>
    </row>
    <row r="499">
      <c r="C499" s="79"/>
      <c r="D499" s="79"/>
      <c r="E499" s="79"/>
      <c r="M499" s="79"/>
      <c r="R499" s="79"/>
      <c r="S499" s="79"/>
      <c r="V499" s="79"/>
      <c r="W499" s="79"/>
      <c r="Z499" s="130"/>
      <c r="AB499" s="106"/>
    </row>
    <row r="500">
      <c r="C500" s="79"/>
      <c r="D500" s="79"/>
      <c r="E500" s="79"/>
      <c r="M500" s="79"/>
      <c r="R500" s="79"/>
      <c r="S500" s="79"/>
      <c r="V500" s="79"/>
      <c r="W500" s="79"/>
      <c r="Z500" s="130"/>
      <c r="AB500" s="106"/>
    </row>
    <row r="501">
      <c r="C501" s="79"/>
      <c r="D501" s="79"/>
      <c r="E501" s="79"/>
      <c r="M501" s="79"/>
      <c r="R501" s="79"/>
      <c r="S501" s="79"/>
      <c r="V501" s="79"/>
      <c r="W501" s="79"/>
      <c r="Z501" s="130"/>
      <c r="AB501" s="106"/>
    </row>
    <row r="502">
      <c r="C502" s="79"/>
      <c r="D502" s="79"/>
      <c r="E502" s="79"/>
      <c r="M502" s="79"/>
      <c r="R502" s="79"/>
      <c r="S502" s="79"/>
      <c r="V502" s="79"/>
      <c r="W502" s="79"/>
      <c r="Z502" s="130"/>
      <c r="AB502" s="106"/>
    </row>
    <row r="503">
      <c r="C503" s="79"/>
      <c r="D503" s="79"/>
      <c r="E503" s="79"/>
      <c r="M503" s="79"/>
      <c r="R503" s="79"/>
      <c r="S503" s="79"/>
      <c r="V503" s="79"/>
      <c r="W503" s="79"/>
      <c r="Z503" s="130"/>
      <c r="AB503" s="106"/>
    </row>
    <row r="504">
      <c r="C504" s="79"/>
      <c r="D504" s="79"/>
      <c r="E504" s="79"/>
      <c r="M504" s="79"/>
      <c r="R504" s="79"/>
      <c r="S504" s="79"/>
      <c r="V504" s="79"/>
      <c r="W504" s="79"/>
      <c r="Z504" s="130"/>
      <c r="AB504" s="106"/>
    </row>
    <row r="505">
      <c r="C505" s="79"/>
      <c r="D505" s="79"/>
      <c r="E505" s="79"/>
      <c r="M505" s="79"/>
      <c r="R505" s="79"/>
      <c r="S505" s="79"/>
      <c r="V505" s="79"/>
      <c r="W505" s="79"/>
      <c r="Z505" s="130"/>
      <c r="AB505" s="106"/>
    </row>
    <row r="506">
      <c r="C506" s="79"/>
      <c r="D506" s="79"/>
      <c r="E506" s="79"/>
      <c r="M506" s="79"/>
      <c r="R506" s="79"/>
      <c r="S506" s="79"/>
      <c r="V506" s="79"/>
      <c r="W506" s="79"/>
      <c r="Z506" s="130"/>
      <c r="AB506" s="106"/>
    </row>
    <row r="507">
      <c r="C507" s="79"/>
      <c r="D507" s="79"/>
      <c r="E507" s="79"/>
      <c r="M507" s="79"/>
      <c r="R507" s="79"/>
      <c r="S507" s="79"/>
      <c r="V507" s="79"/>
      <c r="W507" s="79"/>
      <c r="Z507" s="130"/>
      <c r="AB507" s="106"/>
    </row>
    <row r="508">
      <c r="C508" s="79"/>
      <c r="D508" s="79"/>
      <c r="E508" s="79"/>
      <c r="M508" s="79"/>
      <c r="R508" s="79"/>
      <c r="S508" s="79"/>
      <c r="V508" s="79"/>
      <c r="W508" s="79"/>
      <c r="Z508" s="130"/>
      <c r="AB508" s="106"/>
    </row>
    <row r="509">
      <c r="C509" s="79"/>
      <c r="D509" s="79"/>
      <c r="E509" s="79"/>
      <c r="M509" s="79"/>
      <c r="R509" s="79"/>
      <c r="S509" s="79"/>
      <c r="V509" s="79"/>
      <c r="W509" s="79"/>
      <c r="Z509" s="130"/>
      <c r="AB509" s="106"/>
    </row>
    <row r="510">
      <c r="C510" s="79"/>
      <c r="D510" s="79"/>
      <c r="E510" s="79"/>
      <c r="M510" s="79"/>
      <c r="R510" s="79"/>
      <c r="S510" s="79"/>
      <c r="V510" s="79"/>
      <c r="W510" s="79"/>
      <c r="Z510" s="130"/>
      <c r="AB510" s="106"/>
    </row>
    <row r="511">
      <c r="C511" s="79"/>
      <c r="D511" s="79"/>
      <c r="E511" s="79"/>
      <c r="M511" s="79"/>
      <c r="R511" s="79"/>
      <c r="S511" s="79"/>
      <c r="V511" s="79"/>
      <c r="W511" s="79"/>
      <c r="Z511" s="130"/>
      <c r="AB511" s="106"/>
    </row>
    <row r="512">
      <c r="C512" s="79"/>
      <c r="D512" s="79"/>
      <c r="E512" s="79"/>
      <c r="M512" s="79"/>
      <c r="R512" s="79"/>
      <c r="S512" s="79"/>
      <c r="V512" s="79"/>
      <c r="W512" s="79"/>
      <c r="Z512" s="130"/>
      <c r="AB512" s="106"/>
    </row>
    <row r="513">
      <c r="C513" s="79"/>
      <c r="D513" s="79"/>
      <c r="E513" s="79"/>
      <c r="M513" s="79"/>
      <c r="R513" s="79"/>
      <c r="S513" s="79"/>
      <c r="V513" s="79"/>
      <c r="W513" s="79"/>
      <c r="Z513" s="130"/>
      <c r="AB513" s="106"/>
    </row>
    <row r="514">
      <c r="C514" s="79"/>
      <c r="D514" s="79"/>
      <c r="E514" s="79"/>
      <c r="M514" s="79"/>
      <c r="R514" s="79"/>
      <c r="S514" s="79"/>
      <c r="V514" s="79"/>
      <c r="W514" s="79"/>
      <c r="Z514" s="130"/>
      <c r="AB514" s="106"/>
    </row>
    <row r="515">
      <c r="C515" s="79"/>
      <c r="D515" s="79"/>
      <c r="E515" s="79"/>
      <c r="M515" s="79"/>
      <c r="R515" s="79"/>
      <c r="S515" s="79"/>
      <c r="V515" s="79"/>
      <c r="W515" s="79"/>
      <c r="Z515" s="130"/>
      <c r="AB515" s="106"/>
    </row>
    <row r="516">
      <c r="C516" s="79"/>
      <c r="D516" s="79"/>
      <c r="E516" s="79"/>
      <c r="M516" s="79"/>
      <c r="R516" s="79"/>
      <c r="S516" s="79"/>
      <c r="V516" s="79"/>
      <c r="W516" s="79"/>
      <c r="Z516" s="130"/>
      <c r="AB516" s="106"/>
    </row>
    <row r="517">
      <c r="C517" s="79"/>
      <c r="D517" s="79"/>
      <c r="E517" s="79"/>
      <c r="M517" s="79"/>
      <c r="R517" s="79"/>
      <c r="S517" s="79"/>
      <c r="V517" s="79"/>
      <c r="W517" s="79"/>
      <c r="Z517" s="130"/>
      <c r="AB517" s="106"/>
    </row>
    <row r="518">
      <c r="C518" s="79"/>
      <c r="D518" s="79"/>
      <c r="E518" s="79"/>
      <c r="M518" s="79"/>
      <c r="R518" s="79"/>
      <c r="S518" s="79"/>
      <c r="V518" s="79"/>
      <c r="W518" s="79"/>
      <c r="Z518" s="130"/>
      <c r="AB518" s="106"/>
    </row>
    <row r="519">
      <c r="C519" s="79"/>
      <c r="D519" s="79"/>
      <c r="E519" s="79"/>
      <c r="M519" s="79"/>
      <c r="R519" s="79"/>
      <c r="S519" s="79"/>
      <c r="V519" s="79"/>
      <c r="W519" s="79"/>
      <c r="Z519" s="130"/>
      <c r="AB519" s="106"/>
    </row>
    <row r="520">
      <c r="C520" s="79"/>
      <c r="D520" s="79"/>
      <c r="E520" s="79"/>
      <c r="M520" s="79"/>
      <c r="R520" s="79"/>
      <c r="S520" s="79"/>
      <c r="V520" s="79"/>
      <c r="W520" s="79"/>
      <c r="Z520" s="130"/>
      <c r="AB520" s="106"/>
    </row>
    <row r="521">
      <c r="C521" s="79"/>
      <c r="D521" s="79"/>
      <c r="E521" s="79"/>
      <c r="M521" s="79"/>
      <c r="R521" s="79"/>
      <c r="S521" s="79"/>
      <c r="V521" s="79"/>
      <c r="W521" s="79"/>
      <c r="Z521" s="130"/>
      <c r="AB521" s="106"/>
    </row>
    <row r="522">
      <c r="C522" s="79"/>
      <c r="D522" s="79"/>
      <c r="E522" s="79"/>
      <c r="M522" s="79"/>
      <c r="R522" s="79"/>
      <c r="S522" s="79"/>
      <c r="V522" s="79"/>
      <c r="W522" s="79"/>
      <c r="Z522" s="130"/>
      <c r="AB522" s="106"/>
    </row>
    <row r="523">
      <c r="C523" s="79"/>
      <c r="D523" s="79"/>
      <c r="E523" s="79"/>
      <c r="M523" s="79"/>
      <c r="R523" s="79"/>
      <c r="S523" s="79"/>
      <c r="V523" s="79"/>
      <c r="W523" s="79"/>
      <c r="Z523" s="130"/>
      <c r="AB523" s="106"/>
    </row>
    <row r="524">
      <c r="C524" s="79"/>
      <c r="D524" s="79"/>
      <c r="E524" s="79"/>
      <c r="M524" s="79"/>
      <c r="R524" s="79"/>
      <c r="S524" s="79"/>
      <c r="V524" s="79"/>
      <c r="W524" s="79"/>
      <c r="Z524" s="130"/>
      <c r="AB524" s="106"/>
    </row>
    <row r="525">
      <c r="C525" s="79"/>
      <c r="D525" s="79"/>
      <c r="E525" s="79"/>
      <c r="M525" s="79"/>
      <c r="R525" s="79"/>
      <c r="S525" s="79"/>
      <c r="V525" s="79"/>
      <c r="W525" s="79"/>
      <c r="Z525" s="130"/>
      <c r="AB525" s="106"/>
    </row>
    <row r="526">
      <c r="C526" s="79"/>
      <c r="D526" s="79"/>
      <c r="E526" s="79"/>
      <c r="M526" s="79"/>
      <c r="R526" s="79"/>
      <c r="S526" s="79"/>
      <c r="V526" s="79"/>
      <c r="W526" s="79"/>
      <c r="Z526" s="130"/>
      <c r="AB526" s="106"/>
    </row>
    <row r="527">
      <c r="C527" s="79"/>
      <c r="D527" s="79"/>
      <c r="E527" s="79"/>
      <c r="M527" s="79"/>
      <c r="R527" s="79"/>
      <c r="S527" s="79"/>
      <c r="V527" s="79"/>
      <c r="W527" s="79"/>
      <c r="Z527" s="130"/>
      <c r="AB527" s="106"/>
    </row>
    <row r="528">
      <c r="C528" s="79"/>
      <c r="D528" s="79"/>
      <c r="E528" s="79"/>
      <c r="M528" s="79"/>
      <c r="R528" s="79"/>
      <c r="S528" s="79"/>
      <c r="V528" s="79"/>
      <c r="W528" s="79"/>
      <c r="Z528" s="130"/>
      <c r="AB528" s="106"/>
    </row>
    <row r="529">
      <c r="C529" s="79"/>
      <c r="D529" s="79"/>
      <c r="E529" s="79"/>
      <c r="M529" s="79"/>
      <c r="R529" s="79"/>
      <c r="S529" s="79"/>
      <c r="V529" s="79"/>
      <c r="W529" s="79"/>
      <c r="Z529" s="130"/>
      <c r="AB529" s="106"/>
    </row>
    <row r="530">
      <c r="C530" s="79"/>
      <c r="D530" s="79"/>
      <c r="E530" s="79"/>
      <c r="M530" s="79"/>
      <c r="R530" s="79"/>
      <c r="S530" s="79"/>
      <c r="V530" s="79"/>
      <c r="W530" s="79"/>
      <c r="Z530" s="130"/>
      <c r="AB530" s="106"/>
    </row>
    <row r="531">
      <c r="C531" s="79"/>
      <c r="D531" s="79"/>
      <c r="E531" s="79"/>
      <c r="M531" s="79"/>
      <c r="R531" s="79"/>
      <c r="S531" s="79"/>
      <c r="V531" s="79"/>
      <c r="W531" s="79"/>
      <c r="Z531" s="130"/>
      <c r="AB531" s="106"/>
    </row>
    <row r="532">
      <c r="C532" s="79"/>
      <c r="D532" s="79"/>
      <c r="E532" s="79"/>
      <c r="M532" s="79"/>
      <c r="R532" s="79"/>
      <c r="S532" s="79"/>
      <c r="V532" s="79"/>
      <c r="W532" s="79"/>
      <c r="Z532" s="130"/>
      <c r="AB532" s="106"/>
    </row>
    <row r="533">
      <c r="C533" s="79"/>
      <c r="D533" s="79"/>
      <c r="E533" s="79"/>
      <c r="M533" s="79"/>
      <c r="R533" s="79"/>
      <c r="S533" s="79"/>
      <c r="V533" s="79"/>
      <c r="W533" s="79"/>
      <c r="Z533" s="130"/>
      <c r="AB533" s="106"/>
    </row>
    <row r="534">
      <c r="C534" s="79"/>
      <c r="D534" s="79"/>
      <c r="E534" s="79"/>
      <c r="M534" s="79"/>
      <c r="R534" s="79"/>
      <c r="S534" s="79"/>
      <c r="V534" s="79"/>
      <c r="W534" s="79"/>
      <c r="Z534" s="130"/>
      <c r="AB534" s="106"/>
    </row>
    <row r="535">
      <c r="C535" s="79"/>
      <c r="D535" s="79"/>
      <c r="E535" s="79"/>
      <c r="M535" s="79"/>
      <c r="R535" s="79"/>
      <c r="S535" s="79"/>
      <c r="V535" s="79"/>
      <c r="W535" s="79"/>
      <c r="Z535" s="130"/>
      <c r="AB535" s="106"/>
    </row>
    <row r="536">
      <c r="C536" s="79"/>
      <c r="D536" s="79"/>
      <c r="E536" s="79"/>
      <c r="M536" s="79"/>
      <c r="R536" s="79"/>
      <c r="S536" s="79"/>
      <c r="V536" s="79"/>
      <c r="W536" s="79"/>
      <c r="Z536" s="130"/>
      <c r="AB536" s="106"/>
    </row>
    <row r="537">
      <c r="C537" s="79"/>
      <c r="D537" s="79"/>
      <c r="E537" s="79"/>
      <c r="M537" s="79"/>
      <c r="R537" s="79"/>
      <c r="S537" s="79"/>
      <c r="V537" s="79"/>
      <c r="W537" s="79"/>
      <c r="Z537" s="130"/>
      <c r="AB537" s="106"/>
    </row>
    <row r="538">
      <c r="C538" s="79"/>
      <c r="D538" s="79"/>
      <c r="E538" s="79"/>
      <c r="M538" s="79"/>
      <c r="R538" s="79"/>
      <c r="S538" s="79"/>
      <c r="V538" s="79"/>
      <c r="W538" s="79"/>
      <c r="Z538" s="130"/>
      <c r="AB538" s="106"/>
    </row>
    <row r="539">
      <c r="C539" s="79"/>
      <c r="D539" s="79"/>
      <c r="E539" s="79"/>
      <c r="M539" s="79"/>
      <c r="R539" s="79"/>
      <c r="S539" s="79"/>
      <c r="V539" s="79"/>
      <c r="W539" s="79"/>
      <c r="Z539" s="130"/>
      <c r="AB539" s="106"/>
    </row>
    <row r="540">
      <c r="C540" s="79"/>
      <c r="D540" s="79"/>
      <c r="E540" s="79"/>
      <c r="M540" s="79"/>
      <c r="R540" s="79"/>
      <c r="S540" s="79"/>
      <c r="V540" s="79"/>
      <c r="W540" s="79"/>
      <c r="Z540" s="130"/>
      <c r="AB540" s="106"/>
    </row>
    <row r="541">
      <c r="C541" s="79"/>
      <c r="D541" s="79"/>
      <c r="E541" s="79"/>
      <c r="M541" s="79"/>
      <c r="R541" s="79"/>
      <c r="S541" s="79"/>
      <c r="V541" s="79"/>
      <c r="W541" s="79"/>
      <c r="Z541" s="130"/>
      <c r="AB541" s="106"/>
    </row>
    <row r="542">
      <c r="C542" s="79"/>
      <c r="D542" s="79"/>
      <c r="E542" s="79"/>
      <c r="M542" s="79"/>
      <c r="R542" s="79"/>
      <c r="S542" s="79"/>
      <c r="V542" s="79"/>
      <c r="W542" s="79"/>
      <c r="Z542" s="130"/>
      <c r="AB542" s="106"/>
    </row>
    <row r="543">
      <c r="C543" s="79"/>
      <c r="D543" s="79"/>
      <c r="E543" s="79"/>
      <c r="M543" s="79"/>
      <c r="R543" s="79"/>
      <c r="S543" s="79"/>
      <c r="V543" s="79"/>
      <c r="W543" s="79"/>
      <c r="Z543" s="130"/>
      <c r="AB543" s="106"/>
    </row>
    <row r="544">
      <c r="C544" s="79"/>
      <c r="D544" s="79"/>
      <c r="E544" s="79"/>
      <c r="M544" s="79"/>
      <c r="R544" s="79"/>
      <c r="S544" s="79"/>
      <c r="V544" s="79"/>
      <c r="W544" s="79"/>
      <c r="Z544" s="130"/>
      <c r="AB544" s="106"/>
    </row>
    <row r="545">
      <c r="C545" s="79"/>
      <c r="D545" s="79"/>
      <c r="E545" s="79"/>
      <c r="M545" s="79"/>
      <c r="R545" s="79"/>
      <c r="S545" s="79"/>
      <c r="V545" s="79"/>
      <c r="W545" s="79"/>
      <c r="Z545" s="130"/>
      <c r="AB545" s="106"/>
    </row>
    <row r="546">
      <c r="C546" s="79"/>
      <c r="D546" s="79"/>
      <c r="E546" s="79"/>
      <c r="M546" s="79"/>
      <c r="R546" s="79"/>
      <c r="S546" s="79"/>
      <c r="V546" s="79"/>
      <c r="W546" s="79"/>
      <c r="Z546" s="130"/>
      <c r="AB546" s="106"/>
    </row>
    <row r="547">
      <c r="C547" s="79"/>
      <c r="D547" s="79"/>
      <c r="E547" s="79"/>
      <c r="M547" s="79"/>
      <c r="R547" s="79"/>
      <c r="S547" s="79"/>
      <c r="V547" s="79"/>
      <c r="W547" s="79"/>
      <c r="Z547" s="130"/>
      <c r="AB547" s="106"/>
    </row>
    <row r="548">
      <c r="C548" s="79"/>
      <c r="D548" s="79"/>
      <c r="E548" s="79"/>
      <c r="M548" s="79"/>
      <c r="R548" s="79"/>
      <c r="S548" s="79"/>
      <c r="V548" s="79"/>
      <c r="W548" s="79"/>
      <c r="Z548" s="130"/>
      <c r="AB548" s="106"/>
    </row>
    <row r="549">
      <c r="C549" s="79"/>
      <c r="D549" s="79"/>
      <c r="E549" s="79"/>
      <c r="M549" s="79"/>
      <c r="R549" s="79"/>
      <c r="S549" s="79"/>
      <c r="V549" s="79"/>
      <c r="W549" s="79"/>
      <c r="Z549" s="130"/>
      <c r="AB549" s="106"/>
    </row>
    <row r="550">
      <c r="C550" s="79"/>
      <c r="D550" s="79"/>
      <c r="E550" s="79"/>
      <c r="M550" s="79"/>
      <c r="R550" s="79"/>
      <c r="S550" s="79"/>
      <c r="V550" s="79"/>
      <c r="W550" s="79"/>
      <c r="Z550" s="130"/>
      <c r="AB550" s="106"/>
    </row>
    <row r="551">
      <c r="C551" s="79"/>
      <c r="D551" s="79"/>
      <c r="E551" s="79"/>
      <c r="M551" s="79"/>
      <c r="R551" s="79"/>
      <c r="S551" s="79"/>
      <c r="V551" s="79"/>
      <c r="W551" s="79"/>
      <c r="Z551" s="130"/>
      <c r="AB551" s="106"/>
    </row>
    <row r="552">
      <c r="C552" s="79"/>
      <c r="D552" s="79"/>
      <c r="E552" s="79"/>
      <c r="M552" s="79"/>
      <c r="R552" s="79"/>
      <c r="S552" s="79"/>
      <c r="V552" s="79"/>
      <c r="W552" s="79"/>
      <c r="Z552" s="130"/>
      <c r="AB552" s="106"/>
    </row>
    <row r="553">
      <c r="C553" s="79"/>
      <c r="D553" s="79"/>
      <c r="E553" s="79"/>
      <c r="M553" s="79"/>
      <c r="R553" s="79"/>
      <c r="S553" s="79"/>
      <c r="V553" s="79"/>
      <c r="W553" s="79"/>
      <c r="Z553" s="130"/>
      <c r="AB553" s="106"/>
    </row>
    <row r="554">
      <c r="C554" s="79"/>
      <c r="D554" s="79"/>
      <c r="E554" s="79"/>
      <c r="M554" s="79"/>
      <c r="R554" s="79"/>
      <c r="S554" s="79"/>
      <c r="V554" s="79"/>
      <c r="W554" s="79"/>
      <c r="Z554" s="130"/>
      <c r="AB554" s="106"/>
    </row>
    <row r="555">
      <c r="C555" s="79"/>
      <c r="D555" s="79"/>
      <c r="E555" s="79"/>
      <c r="M555" s="79"/>
      <c r="R555" s="79"/>
      <c r="S555" s="79"/>
      <c r="V555" s="79"/>
      <c r="W555" s="79"/>
      <c r="Z555" s="130"/>
      <c r="AB555" s="106"/>
    </row>
    <row r="556">
      <c r="C556" s="79"/>
      <c r="D556" s="79"/>
      <c r="E556" s="79"/>
      <c r="M556" s="79"/>
      <c r="R556" s="79"/>
      <c r="S556" s="79"/>
      <c r="V556" s="79"/>
      <c r="W556" s="79"/>
      <c r="Z556" s="130"/>
      <c r="AB556" s="106"/>
    </row>
    <row r="557">
      <c r="C557" s="79"/>
      <c r="D557" s="79"/>
      <c r="E557" s="79"/>
      <c r="M557" s="79"/>
      <c r="R557" s="79"/>
      <c r="S557" s="79"/>
      <c r="V557" s="79"/>
      <c r="W557" s="79"/>
      <c r="Z557" s="130"/>
      <c r="AB557" s="106"/>
    </row>
    <row r="558">
      <c r="C558" s="79"/>
      <c r="D558" s="79"/>
      <c r="E558" s="79"/>
      <c r="M558" s="79"/>
      <c r="R558" s="79"/>
      <c r="S558" s="79"/>
      <c r="V558" s="79"/>
      <c r="W558" s="79"/>
      <c r="Z558" s="130"/>
      <c r="AB558" s="106"/>
    </row>
    <row r="559">
      <c r="C559" s="79"/>
      <c r="D559" s="79"/>
      <c r="E559" s="79"/>
      <c r="M559" s="79"/>
      <c r="R559" s="79"/>
      <c r="S559" s="79"/>
      <c r="V559" s="79"/>
      <c r="W559" s="79"/>
      <c r="Z559" s="130"/>
      <c r="AB559" s="106"/>
    </row>
    <row r="560">
      <c r="C560" s="79"/>
      <c r="D560" s="79"/>
      <c r="E560" s="79"/>
      <c r="M560" s="79"/>
      <c r="R560" s="79"/>
      <c r="S560" s="79"/>
      <c r="V560" s="79"/>
      <c r="W560" s="79"/>
      <c r="Z560" s="130"/>
      <c r="AB560" s="106"/>
    </row>
    <row r="561">
      <c r="C561" s="79"/>
      <c r="D561" s="79"/>
      <c r="E561" s="79"/>
      <c r="M561" s="79"/>
      <c r="R561" s="79"/>
      <c r="S561" s="79"/>
      <c r="V561" s="79"/>
      <c r="W561" s="79"/>
      <c r="Z561" s="130"/>
      <c r="AB561" s="106"/>
    </row>
    <row r="562">
      <c r="C562" s="79"/>
      <c r="D562" s="79"/>
      <c r="E562" s="79"/>
      <c r="M562" s="79"/>
      <c r="R562" s="79"/>
      <c r="S562" s="79"/>
      <c r="V562" s="79"/>
      <c r="W562" s="79"/>
      <c r="Z562" s="130"/>
      <c r="AB562" s="106"/>
    </row>
    <row r="563">
      <c r="C563" s="79"/>
      <c r="D563" s="79"/>
      <c r="E563" s="79"/>
      <c r="M563" s="79"/>
      <c r="R563" s="79"/>
      <c r="S563" s="79"/>
      <c r="V563" s="79"/>
      <c r="W563" s="79"/>
      <c r="Z563" s="130"/>
      <c r="AB563" s="106"/>
    </row>
    <row r="564">
      <c r="C564" s="79"/>
      <c r="D564" s="79"/>
      <c r="E564" s="79"/>
      <c r="M564" s="79"/>
      <c r="R564" s="79"/>
      <c r="S564" s="79"/>
      <c r="V564" s="79"/>
      <c r="W564" s="79"/>
      <c r="Z564" s="130"/>
      <c r="AB564" s="106"/>
    </row>
    <row r="565">
      <c r="C565" s="79"/>
      <c r="D565" s="79"/>
      <c r="E565" s="79"/>
      <c r="M565" s="79"/>
      <c r="R565" s="79"/>
      <c r="S565" s="79"/>
      <c r="V565" s="79"/>
      <c r="W565" s="79"/>
      <c r="Z565" s="130"/>
      <c r="AB565" s="106"/>
    </row>
    <row r="566">
      <c r="C566" s="79"/>
      <c r="D566" s="79"/>
      <c r="E566" s="79"/>
      <c r="M566" s="79"/>
      <c r="R566" s="79"/>
      <c r="S566" s="79"/>
      <c r="V566" s="79"/>
      <c r="W566" s="79"/>
      <c r="Z566" s="130"/>
      <c r="AB566" s="106"/>
    </row>
    <row r="567">
      <c r="C567" s="79"/>
      <c r="D567" s="79"/>
      <c r="E567" s="79"/>
      <c r="M567" s="79"/>
      <c r="R567" s="79"/>
      <c r="S567" s="79"/>
      <c r="V567" s="79"/>
      <c r="W567" s="79"/>
      <c r="Z567" s="130"/>
      <c r="AB567" s="106"/>
    </row>
    <row r="568">
      <c r="C568" s="79"/>
      <c r="D568" s="79"/>
      <c r="E568" s="79"/>
      <c r="M568" s="79"/>
      <c r="R568" s="79"/>
      <c r="S568" s="79"/>
      <c r="V568" s="79"/>
      <c r="W568" s="79"/>
      <c r="Z568" s="130"/>
      <c r="AB568" s="106"/>
    </row>
    <row r="569">
      <c r="C569" s="79"/>
      <c r="D569" s="79"/>
      <c r="E569" s="79"/>
      <c r="M569" s="79"/>
      <c r="R569" s="79"/>
      <c r="S569" s="79"/>
      <c r="V569" s="79"/>
      <c r="W569" s="79"/>
      <c r="Z569" s="130"/>
      <c r="AB569" s="106"/>
    </row>
    <row r="570">
      <c r="C570" s="79"/>
      <c r="D570" s="79"/>
      <c r="E570" s="79"/>
      <c r="M570" s="79"/>
      <c r="R570" s="79"/>
      <c r="S570" s="79"/>
      <c r="V570" s="79"/>
      <c r="W570" s="79"/>
      <c r="Z570" s="130"/>
      <c r="AB570" s="106"/>
    </row>
    <row r="571">
      <c r="C571" s="79"/>
      <c r="D571" s="79"/>
      <c r="E571" s="79"/>
      <c r="M571" s="79"/>
      <c r="R571" s="79"/>
      <c r="S571" s="79"/>
      <c r="V571" s="79"/>
      <c r="W571" s="79"/>
      <c r="Z571" s="130"/>
      <c r="AB571" s="106"/>
    </row>
    <row r="572">
      <c r="C572" s="79"/>
      <c r="D572" s="79"/>
      <c r="E572" s="79"/>
      <c r="M572" s="79"/>
      <c r="R572" s="79"/>
      <c r="S572" s="79"/>
      <c r="V572" s="79"/>
      <c r="W572" s="79"/>
      <c r="Z572" s="130"/>
      <c r="AB572" s="106"/>
    </row>
    <row r="573">
      <c r="C573" s="79"/>
      <c r="D573" s="79"/>
      <c r="E573" s="79"/>
      <c r="M573" s="79"/>
      <c r="R573" s="79"/>
      <c r="S573" s="79"/>
      <c r="V573" s="79"/>
      <c r="W573" s="79"/>
      <c r="Z573" s="130"/>
      <c r="AB573" s="106"/>
    </row>
    <row r="574">
      <c r="C574" s="79"/>
      <c r="D574" s="79"/>
      <c r="E574" s="79"/>
      <c r="M574" s="79"/>
      <c r="R574" s="79"/>
      <c r="S574" s="79"/>
      <c r="V574" s="79"/>
      <c r="W574" s="79"/>
      <c r="Z574" s="130"/>
      <c r="AB574" s="106"/>
    </row>
    <row r="575">
      <c r="C575" s="79"/>
      <c r="D575" s="79"/>
      <c r="E575" s="79"/>
      <c r="M575" s="79"/>
      <c r="R575" s="79"/>
      <c r="S575" s="79"/>
      <c r="V575" s="79"/>
      <c r="W575" s="79"/>
      <c r="Z575" s="130"/>
      <c r="AB575" s="106"/>
    </row>
    <row r="576">
      <c r="C576" s="79"/>
      <c r="D576" s="79"/>
      <c r="E576" s="79"/>
      <c r="M576" s="79"/>
      <c r="R576" s="79"/>
      <c r="S576" s="79"/>
      <c r="V576" s="79"/>
      <c r="W576" s="79"/>
      <c r="Z576" s="130"/>
      <c r="AB576" s="106"/>
    </row>
    <row r="577">
      <c r="C577" s="79"/>
      <c r="D577" s="79"/>
      <c r="E577" s="79"/>
      <c r="M577" s="79"/>
      <c r="R577" s="79"/>
      <c r="S577" s="79"/>
      <c r="V577" s="79"/>
      <c r="W577" s="79"/>
      <c r="Z577" s="130"/>
      <c r="AB577" s="106"/>
    </row>
    <row r="578">
      <c r="C578" s="79"/>
      <c r="D578" s="79"/>
      <c r="E578" s="79"/>
      <c r="M578" s="79"/>
      <c r="R578" s="79"/>
      <c r="S578" s="79"/>
      <c r="V578" s="79"/>
      <c r="W578" s="79"/>
      <c r="Z578" s="130"/>
      <c r="AB578" s="106"/>
    </row>
    <row r="579">
      <c r="C579" s="79"/>
      <c r="D579" s="79"/>
      <c r="E579" s="79"/>
      <c r="M579" s="79"/>
      <c r="R579" s="79"/>
      <c r="S579" s="79"/>
      <c r="V579" s="79"/>
      <c r="W579" s="79"/>
      <c r="Z579" s="130"/>
      <c r="AB579" s="106"/>
    </row>
    <row r="580">
      <c r="C580" s="79"/>
      <c r="D580" s="79"/>
      <c r="E580" s="79"/>
      <c r="M580" s="79"/>
      <c r="R580" s="79"/>
      <c r="S580" s="79"/>
      <c r="V580" s="79"/>
      <c r="W580" s="79"/>
      <c r="Z580" s="130"/>
      <c r="AB580" s="106"/>
    </row>
    <row r="581">
      <c r="C581" s="79"/>
      <c r="D581" s="79"/>
      <c r="E581" s="79"/>
      <c r="M581" s="79"/>
      <c r="R581" s="79"/>
      <c r="S581" s="79"/>
      <c r="V581" s="79"/>
      <c r="W581" s="79"/>
      <c r="Z581" s="130"/>
      <c r="AB581" s="106"/>
    </row>
    <row r="582">
      <c r="C582" s="79"/>
      <c r="D582" s="79"/>
      <c r="E582" s="79"/>
      <c r="M582" s="79"/>
      <c r="R582" s="79"/>
      <c r="S582" s="79"/>
      <c r="V582" s="79"/>
      <c r="W582" s="79"/>
      <c r="Z582" s="130"/>
      <c r="AB582" s="106"/>
    </row>
    <row r="583">
      <c r="C583" s="79"/>
      <c r="D583" s="79"/>
      <c r="E583" s="79"/>
      <c r="M583" s="79"/>
      <c r="R583" s="79"/>
      <c r="S583" s="79"/>
      <c r="V583" s="79"/>
      <c r="W583" s="79"/>
      <c r="Z583" s="130"/>
      <c r="AB583" s="106"/>
    </row>
    <row r="584">
      <c r="C584" s="79"/>
      <c r="D584" s="79"/>
      <c r="E584" s="79"/>
      <c r="M584" s="79"/>
      <c r="R584" s="79"/>
      <c r="S584" s="79"/>
      <c r="V584" s="79"/>
      <c r="W584" s="79"/>
      <c r="Z584" s="130"/>
      <c r="AB584" s="106"/>
    </row>
    <row r="585">
      <c r="C585" s="79"/>
      <c r="D585" s="79"/>
      <c r="E585" s="79"/>
      <c r="M585" s="79"/>
      <c r="R585" s="79"/>
      <c r="S585" s="79"/>
      <c r="V585" s="79"/>
      <c r="W585" s="79"/>
      <c r="Z585" s="130"/>
      <c r="AB585" s="106"/>
    </row>
    <row r="586">
      <c r="C586" s="79"/>
      <c r="D586" s="79"/>
      <c r="E586" s="79"/>
      <c r="M586" s="79"/>
      <c r="R586" s="79"/>
      <c r="S586" s="79"/>
      <c r="V586" s="79"/>
      <c r="W586" s="79"/>
      <c r="Z586" s="130"/>
      <c r="AB586" s="106"/>
    </row>
    <row r="587">
      <c r="C587" s="79"/>
      <c r="D587" s="79"/>
      <c r="E587" s="79"/>
      <c r="M587" s="79"/>
      <c r="R587" s="79"/>
      <c r="S587" s="79"/>
      <c r="V587" s="79"/>
      <c r="W587" s="79"/>
      <c r="Z587" s="130"/>
      <c r="AB587" s="106"/>
    </row>
    <row r="588">
      <c r="C588" s="79"/>
      <c r="D588" s="79"/>
      <c r="E588" s="79"/>
      <c r="M588" s="79"/>
      <c r="R588" s="79"/>
      <c r="S588" s="79"/>
      <c r="V588" s="79"/>
      <c r="W588" s="79"/>
      <c r="Z588" s="130"/>
      <c r="AB588" s="106"/>
    </row>
    <row r="589">
      <c r="C589" s="79"/>
      <c r="D589" s="79"/>
      <c r="E589" s="79"/>
      <c r="M589" s="79"/>
      <c r="R589" s="79"/>
      <c r="S589" s="79"/>
      <c r="V589" s="79"/>
      <c r="W589" s="79"/>
      <c r="Z589" s="130"/>
      <c r="AB589" s="106"/>
    </row>
    <row r="590">
      <c r="C590" s="79"/>
      <c r="D590" s="79"/>
      <c r="E590" s="79"/>
      <c r="M590" s="79"/>
      <c r="R590" s="79"/>
      <c r="S590" s="79"/>
      <c r="V590" s="79"/>
      <c r="W590" s="79"/>
      <c r="Z590" s="130"/>
      <c r="AB590" s="106"/>
    </row>
    <row r="591">
      <c r="C591" s="79"/>
      <c r="D591" s="79"/>
      <c r="E591" s="79"/>
      <c r="M591" s="79"/>
      <c r="R591" s="79"/>
      <c r="S591" s="79"/>
      <c r="V591" s="79"/>
      <c r="W591" s="79"/>
      <c r="Z591" s="130"/>
      <c r="AB591" s="106"/>
    </row>
    <row r="592">
      <c r="C592" s="79"/>
      <c r="D592" s="79"/>
      <c r="E592" s="79"/>
      <c r="M592" s="79"/>
      <c r="R592" s="79"/>
      <c r="S592" s="79"/>
      <c r="V592" s="79"/>
      <c r="W592" s="79"/>
      <c r="Z592" s="130"/>
      <c r="AB592" s="106"/>
    </row>
    <row r="593">
      <c r="C593" s="79"/>
      <c r="D593" s="79"/>
      <c r="E593" s="79"/>
      <c r="M593" s="79"/>
      <c r="R593" s="79"/>
      <c r="S593" s="79"/>
      <c r="V593" s="79"/>
      <c r="W593" s="79"/>
      <c r="Z593" s="130"/>
      <c r="AB593" s="106"/>
    </row>
    <row r="594">
      <c r="C594" s="79"/>
      <c r="D594" s="79"/>
      <c r="E594" s="79"/>
      <c r="M594" s="79"/>
      <c r="R594" s="79"/>
      <c r="S594" s="79"/>
      <c r="V594" s="79"/>
      <c r="W594" s="79"/>
      <c r="Z594" s="130"/>
      <c r="AB594" s="106"/>
    </row>
    <row r="595">
      <c r="C595" s="79"/>
      <c r="D595" s="79"/>
      <c r="E595" s="79"/>
      <c r="M595" s="79"/>
      <c r="R595" s="79"/>
      <c r="S595" s="79"/>
      <c r="V595" s="79"/>
      <c r="W595" s="79"/>
      <c r="Z595" s="130"/>
      <c r="AB595" s="106"/>
    </row>
    <row r="596">
      <c r="C596" s="79"/>
      <c r="D596" s="79"/>
      <c r="E596" s="79"/>
      <c r="M596" s="79"/>
      <c r="R596" s="79"/>
      <c r="S596" s="79"/>
      <c r="V596" s="79"/>
      <c r="W596" s="79"/>
      <c r="Z596" s="130"/>
      <c r="AB596" s="106"/>
    </row>
    <row r="597">
      <c r="C597" s="79"/>
      <c r="D597" s="79"/>
      <c r="E597" s="79"/>
      <c r="M597" s="79"/>
      <c r="R597" s="79"/>
      <c r="S597" s="79"/>
      <c r="V597" s="79"/>
      <c r="W597" s="79"/>
      <c r="Z597" s="130"/>
      <c r="AB597" s="106"/>
    </row>
    <row r="598">
      <c r="C598" s="79"/>
      <c r="D598" s="79"/>
      <c r="E598" s="79"/>
      <c r="M598" s="79"/>
      <c r="R598" s="79"/>
      <c r="S598" s="79"/>
      <c r="V598" s="79"/>
      <c r="W598" s="79"/>
      <c r="Z598" s="130"/>
      <c r="AB598" s="106"/>
    </row>
    <row r="599">
      <c r="C599" s="79"/>
      <c r="D599" s="79"/>
      <c r="E599" s="79"/>
      <c r="M599" s="79"/>
      <c r="R599" s="79"/>
      <c r="S599" s="79"/>
      <c r="V599" s="79"/>
      <c r="W599" s="79"/>
      <c r="Z599" s="130"/>
      <c r="AB599" s="106"/>
    </row>
    <row r="600">
      <c r="C600" s="79"/>
      <c r="D600" s="79"/>
      <c r="E600" s="79"/>
      <c r="M600" s="79"/>
      <c r="R600" s="79"/>
      <c r="S600" s="79"/>
      <c r="V600" s="79"/>
      <c r="W600" s="79"/>
      <c r="Z600" s="130"/>
      <c r="AB600" s="106"/>
    </row>
    <row r="601">
      <c r="C601" s="79"/>
      <c r="D601" s="79"/>
      <c r="E601" s="79"/>
      <c r="M601" s="79"/>
      <c r="R601" s="79"/>
      <c r="S601" s="79"/>
      <c r="V601" s="79"/>
      <c r="W601" s="79"/>
      <c r="Z601" s="130"/>
      <c r="AB601" s="106"/>
    </row>
    <row r="602">
      <c r="C602" s="79"/>
      <c r="D602" s="79"/>
      <c r="E602" s="79"/>
      <c r="M602" s="79"/>
      <c r="R602" s="79"/>
      <c r="S602" s="79"/>
      <c r="V602" s="79"/>
      <c r="W602" s="79"/>
      <c r="Z602" s="130"/>
      <c r="AB602" s="106"/>
    </row>
    <row r="603">
      <c r="C603" s="79"/>
      <c r="D603" s="79"/>
      <c r="E603" s="79"/>
      <c r="M603" s="79"/>
      <c r="R603" s="79"/>
      <c r="S603" s="79"/>
      <c r="V603" s="79"/>
      <c r="W603" s="79"/>
      <c r="Z603" s="130"/>
      <c r="AB603" s="106"/>
    </row>
    <row r="604">
      <c r="C604" s="79"/>
      <c r="D604" s="79"/>
      <c r="E604" s="79"/>
      <c r="M604" s="79"/>
      <c r="R604" s="79"/>
      <c r="S604" s="79"/>
      <c r="V604" s="79"/>
      <c r="W604" s="79"/>
      <c r="Z604" s="130"/>
      <c r="AB604" s="106"/>
    </row>
    <row r="605">
      <c r="C605" s="79"/>
      <c r="D605" s="79"/>
      <c r="E605" s="79"/>
      <c r="M605" s="79"/>
      <c r="R605" s="79"/>
      <c r="S605" s="79"/>
      <c r="V605" s="79"/>
      <c r="W605" s="79"/>
      <c r="Z605" s="130"/>
      <c r="AB605" s="106"/>
    </row>
    <row r="606">
      <c r="C606" s="79"/>
      <c r="D606" s="79"/>
      <c r="E606" s="79"/>
      <c r="M606" s="79"/>
      <c r="R606" s="79"/>
      <c r="S606" s="79"/>
      <c r="V606" s="79"/>
      <c r="W606" s="79"/>
      <c r="Z606" s="130"/>
      <c r="AB606" s="106"/>
    </row>
    <row r="607">
      <c r="C607" s="79"/>
      <c r="D607" s="79"/>
      <c r="E607" s="79"/>
      <c r="M607" s="79"/>
      <c r="R607" s="79"/>
      <c r="S607" s="79"/>
      <c r="V607" s="79"/>
      <c r="W607" s="79"/>
      <c r="Z607" s="130"/>
      <c r="AB607" s="106"/>
    </row>
    <row r="608">
      <c r="C608" s="79"/>
      <c r="D608" s="79"/>
      <c r="E608" s="79"/>
      <c r="M608" s="79"/>
      <c r="R608" s="79"/>
      <c r="S608" s="79"/>
      <c r="V608" s="79"/>
      <c r="W608" s="79"/>
      <c r="Z608" s="130"/>
      <c r="AB608" s="106"/>
    </row>
    <row r="609">
      <c r="C609" s="79"/>
      <c r="D609" s="79"/>
      <c r="E609" s="79"/>
      <c r="M609" s="79"/>
      <c r="R609" s="79"/>
      <c r="S609" s="79"/>
      <c r="V609" s="79"/>
      <c r="W609" s="79"/>
      <c r="Z609" s="130"/>
      <c r="AB609" s="106"/>
    </row>
    <row r="610">
      <c r="C610" s="79"/>
      <c r="D610" s="79"/>
      <c r="E610" s="79"/>
      <c r="M610" s="79"/>
      <c r="R610" s="79"/>
      <c r="S610" s="79"/>
      <c r="V610" s="79"/>
      <c r="W610" s="79"/>
      <c r="Z610" s="130"/>
      <c r="AB610" s="106"/>
    </row>
    <row r="611">
      <c r="C611" s="79"/>
      <c r="D611" s="79"/>
      <c r="E611" s="79"/>
      <c r="M611" s="79"/>
      <c r="R611" s="79"/>
      <c r="S611" s="79"/>
      <c r="V611" s="79"/>
      <c r="W611" s="79"/>
      <c r="Z611" s="130"/>
      <c r="AB611" s="106"/>
    </row>
    <row r="612">
      <c r="C612" s="79"/>
      <c r="D612" s="79"/>
      <c r="E612" s="79"/>
      <c r="M612" s="79"/>
      <c r="R612" s="79"/>
      <c r="S612" s="79"/>
      <c r="V612" s="79"/>
      <c r="W612" s="79"/>
      <c r="Z612" s="130"/>
      <c r="AB612" s="106"/>
    </row>
    <row r="613">
      <c r="C613" s="79"/>
      <c r="D613" s="79"/>
      <c r="E613" s="79"/>
      <c r="M613" s="79"/>
      <c r="R613" s="79"/>
      <c r="S613" s="79"/>
      <c r="V613" s="79"/>
      <c r="W613" s="79"/>
      <c r="Z613" s="130"/>
      <c r="AB613" s="106"/>
    </row>
    <row r="614">
      <c r="C614" s="79"/>
      <c r="D614" s="79"/>
      <c r="E614" s="79"/>
      <c r="M614" s="79"/>
      <c r="R614" s="79"/>
      <c r="S614" s="79"/>
      <c r="V614" s="79"/>
      <c r="W614" s="79"/>
      <c r="Z614" s="130"/>
      <c r="AB614" s="106"/>
    </row>
    <row r="615">
      <c r="C615" s="79"/>
      <c r="D615" s="79"/>
      <c r="E615" s="79"/>
      <c r="M615" s="79"/>
      <c r="R615" s="79"/>
      <c r="S615" s="79"/>
      <c r="V615" s="79"/>
      <c r="W615" s="79"/>
      <c r="Z615" s="130"/>
      <c r="AB615" s="106"/>
    </row>
    <row r="616">
      <c r="C616" s="79"/>
      <c r="D616" s="79"/>
      <c r="E616" s="79"/>
      <c r="M616" s="79"/>
      <c r="R616" s="79"/>
      <c r="S616" s="79"/>
      <c r="V616" s="79"/>
      <c r="W616" s="79"/>
      <c r="Z616" s="130"/>
      <c r="AB616" s="106"/>
    </row>
    <row r="617">
      <c r="C617" s="79"/>
      <c r="D617" s="79"/>
      <c r="E617" s="79"/>
      <c r="M617" s="79"/>
      <c r="R617" s="79"/>
      <c r="S617" s="79"/>
      <c r="V617" s="79"/>
      <c r="W617" s="79"/>
      <c r="Z617" s="130"/>
      <c r="AB617" s="106"/>
    </row>
    <row r="618">
      <c r="C618" s="79"/>
      <c r="D618" s="79"/>
      <c r="E618" s="79"/>
      <c r="M618" s="79"/>
      <c r="R618" s="79"/>
      <c r="S618" s="79"/>
      <c r="V618" s="79"/>
      <c r="W618" s="79"/>
      <c r="Z618" s="130"/>
      <c r="AB618" s="106"/>
    </row>
    <row r="619">
      <c r="C619" s="79"/>
      <c r="D619" s="79"/>
      <c r="E619" s="79"/>
      <c r="M619" s="79"/>
      <c r="R619" s="79"/>
      <c r="S619" s="79"/>
      <c r="V619" s="79"/>
      <c r="W619" s="79"/>
      <c r="Z619" s="130"/>
      <c r="AB619" s="106"/>
    </row>
    <row r="620">
      <c r="C620" s="79"/>
      <c r="D620" s="79"/>
      <c r="E620" s="79"/>
      <c r="M620" s="79"/>
      <c r="R620" s="79"/>
      <c r="S620" s="79"/>
      <c r="V620" s="79"/>
      <c r="W620" s="79"/>
      <c r="Z620" s="130"/>
      <c r="AB620" s="106"/>
    </row>
    <row r="621">
      <c r="C621" s="79"/>
      <c r="D621" s="79"/>
      <c r="E621" s="79"/>
      <c r="M621" s="79"/>
      <c r="R621" s="79"/>
      <c r="S621" s="79"/>
      <c r="V621" s="79"/>
      <c r="W621" s="79"/>
      <c r="Z621" s="130"/>
      <c r="AB621" s="106"/>
    </row>
    <row r="622">
      <c r="C622" s="79"/>
      <c r="D622" s="79"/>
      <c r="E622" s="79"/>
      <c r="M622" s="79"/>
      <c r="R622" s="79"/>
      <c r="S622" s="79"/>
      <c r="V622" s="79"/>
      <c r="W622" s="79"/>
      <c r="Z622" s="130"/>
      <c r="AB622" s="106"/>
    </row>
    <row r="623">
      <c r="C623" s="79"/>
      <c r="D623" s="79"/>
      <c r="E623" s="79"/>
      <c r="M623" s="79"/>
      <c r="R623" s="79"/>
      <c r="S623" s="79"/>
      <c r="V623" s="79"/>
      <c r="W623" s="79"/>
      <c r="Z623" s="130"/>
      <c r="AB623" s="106"/>
    </row>
    <row r="624">
      <c r="C624" s="79"/>
      <c r="D624" s="79"/>
      <c r="E624" s="79"/>
      <c r="M624" s="79"/>
      <c r="R624" s="79"/>
      <c r="S624" s="79"/>
      <c r="V624" s="79"/>
      <c r="W624" s="79"/>
      <c r="Z624" s="130"/>
      <c r="AB624" s="106"/>
    </row>
    <row r="625">
      <c r="C625" s="79"/>
      <c r="D625" s="79"/>
      <c r="E625" s="79"/>
      <c r="M625" s="79"/>
      <c r="R625" s="79"/>
      <c r="S625" s="79"/>
      <c r="V625" s="79"/>
      <c r="W625" s="79"/>
      <c r="Z625" s="130"/>
      <c r="AB625" s="106"/>
    </row>
    <row r="626">
      <c r="C626" s="79"/>
      <c r="D626" s="79"/>
      <c r="E626" s="79"/>
      <c r="M626" s="79"/>
      <c r="R626" s="79"/>
      <c r="S626" s="79"/>
      <c r="V626" s="79"/>
      <c r="W626" s="79"/>
      <c r="Z626" s="130"/>
      <c r="AB626" s="106"/>
    </row>
    <row r="627">
      <c r="C627" s="79"/>
      <c r="D627" s="79"/>
      <c r="E627" s="79"/>
      <c r="M627" s="79"/>
      <c r="R627" s="79"/>
      <c r="S627" s="79"/>
      <c r="V627" s="79"/>
      <c r="W627" s="79"/>
      <c r="Z627" s="130"/>
      <c r="AB627" s="106"/>
    </row>
    <row r="628">
      <c r="C628" s="79"/>
      <c r="D628" s="79"/>
      <c r="E628" s="79"/>
      <c r="M628" s="79"/>
      <c r="R628" s="79"/>
      <c r="S628" s="79"/>
      <c r="V628" s="79"/>
      <c r="W628" s="79"/>
      <c r="Z628" s="130"/>
      <c r="AB628" s="106"/>
    </row>
    <row r="629">
      <c r="C629" s="79"/>
      <c r="D629" s="79"/>
      <c r="E629" s="79"/>
      <c r="M629" s="79"/>
      <c r="R629" s="79"/>
      <c r="S629" s="79"/>
      <c r="V629" s="79"/>
      <c r="W629" s="79"/>
      <c r="Z629" s="130"/>
      <c r="AB629" s="106"/>
    </row>
    <row r="630">
      <c r="C630" s="79"/>
      <c r="D630" s="79"/>
      <c r="E630" s="79"/>
      <c r="M630" s="79"/>
      <c r="R630" s="79"/>
      <c r="S630" s="79"/>
      <c r="V630" s="79"/>
      <c r="W630" s="79"/>
      <c r="Z630" s="130"/>
      <c r="AB630" s="106"/>
    </row>
    <row r="631">
      <c r="C631" s="79"/>
      <c r="D631" s="79"/>
      <c r="E631" s="79"/>
      <c r="M631" s="79"/>
      <c r="R631" s="79"/>
      <c r="S631" s="79"/>
      <c r="V631" s="79"/>
      <c r="W631" s="79"/>
      <c r="Z631" s="130"/>
      <c r="AB631" s="106"/>
    </row>
    <row r="632">
      <c r="C632" s="79"/>
      <c r="D632" s="79"/>
      <c r="E632" s="79"/>
      <c r="M632" s="79"/>
      <c r="R632" s="79"/>
      <c r="S632" s="79"/>
      <c r="V632" s="79"/>
      <c r="W632" s="79"/>
      <c r="Z632" s="130"/>
      <c r="AB632" s="106"/>
    </row>
    <row r="633">
      <c r="C633" s="79"/>
      <c r="D633" s="79"/>
      <c r="E633" s="79"/>
      <c r="M633" s="79"/>
      <c r="R633" s="79"/>
      <c r="S633" s="79"/>
      <c r="V633" s="79"/>
      <c r="W633" s="79"/>
      <c r="Z633" s="130"/>
      <c r="AB633" s="106"/>
    </row>
    <row r="634">
      <c r="C634" s="79"/>
      <c r="D634" s="79"/>
      <c r="E634" s="79"/>
      <c r="M634" s="79"/>
      <c r="R634" s="79"/>
      <c r="S634" s="79"/>
      <c r="V634" s="79"/>
      <c r="W634" s="79"/>
      <c r="Z634" s="130"/>
      <c r="AB634" s="106"/>
    </row>
    <row r="635">
      <c r="C635" s="79"/>
      <c r="D635" s="79"/>
      <c r="E635" s="79"/>
      <c r="M635" s="79"/>
      <c r="R635" s="79"/>
      <c r="S635" s="79"/>
      <c r="V635" s="79"/>
      <c r="W635" s="79"/>
      <c r="Z635" s="130"/>
      <c r="AB635" s="106"/>
    </row>
    <row r="636">
      <c r="C636" s="79"/>
      <c r="D636" s="79"/>
      <c r="E636" s="79"/>
      <c r="M636" s="79"/>
      <c r="R636" s="79"/>
      <c r="S636" s="79"/>
      <c r="V636" s="79"/>
      <c r="W636" s="79"/>
      <c r="Z636" s="130"/>
      <c r="AB636" s="106"/>
    </row>
    <row r="637">
      <c r="C637" s="79"/>
      <c r="D637" s="79"/>
      <c r="E637" s="79"/>
      <c r="M637" s="79"/>
      <c r="R637" s="79"/>
      <c r="S637" s="79"/>
      <c r="V637" s="79"/>
      <c r="W637" s="79"/>
      <c r="Z637" s="130"/>
      <c r="AB637" s="106"/>
    </row>
    <row r="638">
      <c r="C638" s="79"/>
      <c r="D638" s="79"/>
      <c r="E638" s="79"/>
      <c r="M638" s="79"/>
      <c r="R638" s="79"/>
      <c r="S638" s="79"/>
      <c r="V638" s="79"/>
      <c r="W638" s="79"/>
      <c r="Z638" s="130"/>
      <c r="AB638" s="106"/>
    </row>
    <row r="639">
      <c r="C639" s="79"/>
      <c r="D639" s="79"/>
      <c r="E639" s="79"/>
      <c r="M639" s="79"/>
      <c r="R639" s="79"/>
      <c r="S639" s="79"/>
      <c r="V639" s="79"/>
      <c r="W639" s="79"/>
      <c r="Z639" s="130"/>
      <c r="AB639" s="106"/>
    </row>
    <row r="640">
      <c r="C640" s="79"/>
      <c r="D640" s="79"/>
      <c r="E640" s="79"/>
      <c r="M640" s="79"/>
      <c r="R640" s="79"/>
      <c r="S640" s="79"/>
      <c r="V640" s="79"/>
      <c r="W640" s="79"/>
      <c r="Z640" s="130"/>
      <c r="AB640" s="106"/>
    </row>
    <row r="641">
      <c r="C641" s="79"/>
      <c r="D641" s="79"/>
      <c r="E641" s="79"/>
      <c r="M641" s="79"/>
      <c r="R641" s="79"/>
      <c r="S641" s="79"/>
      <c r="V641" s="79"/>
      <c r="W641" s="79"/>
      <c r="Z641" s="130"/>
      <c r="AB641" s="106"/>
    </row>
    <row r="642">
      <c r="C642" s="79"/>
      <c r="D642" s="79"/>
      <c r="E642" s="79"/>
      <c r="M642" s="79"/>
      <c r="R642" s="79"/>
      <c r="S642" s="79"/>
      <c r="V642" s="79"/>
      <c r="W642" s="79"/>
      <c r="Z642" s="130"/>
      <c r="AB642" s="106"/>
    </row>
    <row r="643">
      <c r="C643" s="79"/>
      <c r="D643" s="79"/>
      <c r="E643" s="79"/>
      <c r="M643" s="79"/>
      <c r="R643" s="79"/>
      <c r="S643" s="79"/>
      <c r="V643" s="79"/>
      <c r="W643" s="79"/>
      <c r="Z643" s="130"/>
      <c r="AB643" s="106"/>
    </row>
    <row r="644">
      <c r="C644" s="79"/>
      <c r="D644" s="79"/>
      <c r="E644" s="79"/>
      <c r="M644" s="79"/>
      <c r="R644" s="79"/>
      <c r="S644" s="79"/>
      <c r="V644" s="79"/>
      <c r="W644" s="79"/>
      <c r="Z644" s="130"/>
      <c r="AB644" s="106"/>
    </row>
    <row r="645">
      <c r="C645" s="79"/>
      <c r="D645" s="79"/>
      <c r="E645" s="79"/>
      <c r="M645" s="79"/>
      <c r="R645" s="79"/>
      <c r="S645" s="79"/>
      <c r="V645" s="79"/>
      <c r="W645" s="79"/>
      <c r="Z645" s="130"/>
      <c r="AB645" s="106"/>
    </row>
    <row r="646">
      <c r="C646" s="79"/>
      <c r="D646" s="79"/>
      <c r="E646" s="79"/>
      <c r="M646" s="79"/>
      <c r="R646" s="79"/>
      <c r="S646" s="79"/>
      <c r="V646" s="79"/>
      <c r="W646" s="79"/>
      <c r="Z646" s="130"/>
      <c r="AB646" s="106"/>
    </row>
    <row r="647">
      <c r="C647" s="79"/>
      <c r="D647" s="79"/>
      <c r="E647" s="79"/>
      <c r="M647" s="79"/>
      <c r="R647" s="79"/>
      <c r="S647" s="79"/>
      <c r="V647" s="79"/>
      <c r="W647" s="79"/>
      <c r="Z647" s="130"/>
      <c r="AB647" s="106"/>
    </row>
    <row r="648">
      <c r="C648" s="79"/>
      <c r="D648" s="79"/>
      <c r="E648" s="79"/>
      <c r="M648" s="79"/>
      <c r="R648" s="79"/>
      <c r="S648" s="79"/>
      <c r="V648" s="79"/>
      <c r="W648" s="79"/>
      <c r="Z648" s="130"/>
      <c r="AB648" s="106"/>
    </row>
    <row r="649">
      <c r="C649" s="79"/>
      <c r="D649" s="79"/>
      <c r="E649" s="79"/>
      <c r="M649" s="79"/>
      <c r="R649" s="79"/>
      <c r="S649" s="79"/>
      <c r="V649" s="79"/>
      <c r="W649" s="79"/>
      <c r="Z649" s="130"/>
      <c r="AB649" s="106"/>
    </row>
    <row r="650">
      <c r="C650" s="79"/>
      <c r="D650" s="79"/>
      <c r="E650" s="79"/>
      <c r="M650" s="79"/>
      <c r="R650" s="79"/>
      <c r="S650" s="79"/>
      <c r="V650" s="79"/>
      <c r="W650" s="79"/>
      <c r="Z650" s="130"/>
      <c r="AB650" s="106"/>
    </row>
    <row r="651">
      <c r="C651" s="79"/>
      <c r="D651" s="79"/>
      <c r="E651" s="79"/>
      <c r="M651" s="79"/>
      <c r="R651" s="79"/>
      <c r="S651" s="79"/>
      <c r="V651" s="79"/>
      <c r="W651" s="79"/>
      <c r="Z651" s="130"/>
      <c r="AB651" s="106"/>
    </row>
    <row r="652">
      <c r="C652" s="79"/>
      <c r="D652" s="79"/>
      <c r="E652" s="79"/>
      <c r="M652" s="79"/>
      <c r="R652" s="79"/>
      <c r="S652" s="79"/>
      <c r="V652" s="79"/>
      <c r="W652" s="79"/>
      <c r="Z652" s="130"/>
      <c r="AB652" s="106"/>
    </row>
    <row r="653">
      <c r="C653" s="79"/>
      <c r="D653" s="79"/>
      <c r="E653" s="79"/>
      <c r="M653" s="79"/>
      <c r="R653" s="79"/>
      <c r="S653" s="79"/>
      <c r="V653" s="79"/>
      <c r="W653" s="79"/>
      <c r="Z653" s="130"/>
      <c r="AB653" s="106"/>
    </row>
    <row r="654">
      <c r="C654" s="79"/>
      <c r="D654" s="79"/>
      <c r="E654" s="79"/>
      <c r="M654" s="79"/>
      <c r="R654" s="79"/>
      <c r="S654" s="79"/>
      <c r="V654" s="79"/>
      <c r="W654" s="79"/>
      <c r="Z654" s="130"/>
      <c r="AB654" s="106"/>
    </row>
    <row r="655">
      <c r="C655" s="79"/>
      <c r="D655" s="79"/>
      <c r="E655" s="79"/>
      <c r="M655" s="79"/>
      <c r="R655" s="79"/>
      <c r="S655" s="79"/>
      <c r="V655" s="79"/>
      <c r="W655" s="79"/>
      <c r="Z655" s="130"/>
      <c r="AB655" s="106"/>
    </row>
    <row r="656">
      <c r="C656" s="79"/>
      <c r="D656" s="79"/>
      <c r="E656" s="79"/>
      <c r="M656" s="79"/>
      <c r="R656" s="79"/>
      <c r="S656" s="79"/>
      <c r="V656" s="79"/>
      <c r="W656" s="79"/>
      <c r="Z656" s="130"/>
      <c r="AB656" s="106"/>
    </row>
    <row r="657">
      <c r="C657" s="79"/>
      <c r="D657" s="79"/>
      <c r="E657" s="79"/>
      <c r="M657" s="79"/>
      <c r="R657" s="79"/>
      <c r="S657" s="79"/>
      <c r="V657" s="79"/>
      <c r="W657" s="79"/>
      <c r="Z657" s="130"/>
      <c r="AB657" s="106"/>
    </row>
    <row r="658">
      <c r="C658" s="79"/>
      <c r="D658" s="79"/>
      <c r="E658" s="79"/>
      <c r="M658" s="79"/>
      <c r="R658" s="79"/>
      <c r="S658" s="79"/>
      <c r="V658" s="79"/>
      <c r="W658" s="79"/>
      <c r="Z658" s="130"/>
      <c r="AB658" s="106"/>
    </row>
    <row r="659">
      <c r="C659" s="79"/>
      <c r="D659" s="79"/>
      <c r="E659" s="79"/>
      <c r="M659" s="79"/>
      <c r="R659" s="79"/>
      <c r="S659" s="79"/>
      <c r="V659" s="79"/>
      <c r="W659" s="79"/>
      <c r="Z659" s="130"/>
      <c r="AB659" s="106"/>
    </row>
    <row r="660">
      <c r="C660" s="79"/>
      <c r="D660" s="79"/>
      <c r="E660" s="79"/>
      <c r="M660" s="79"/>
      <c r="R660" s="79"/>
      <c r="S660" s="79"/>
      <c r="V660" s="79"/>
      <c r="W660" s="79"/>
      <c r="Z660" s="130"/>
      <c r="AB660" s="106"/>
    </row>
    <row r="661">
      <c r="C661" s="79"/>
      <c r="D661" s="79"/>
      <c r="E661" s="79"/>
      <c r="M661" s="79"/>
      <c r="R661" s="79"/>
      <c r="S661" s="79"/>
      <c r="V661" s="79"/>
      <c r="W661" s="79"/>
      <c r="Z661" s="130"/>
      <c r="AB661" s="106"/>
    </row>
    <row r="662">
      <c r="C662" s="79"/>
      <c r="D662" s="79"/>
      <c r="E662" s="79"/>
      <c r="M662" s="79"/>
      <c r="R662" s="79"/>
      <c r="S662" s="79"/>
      <c r="V662" s="79"/>
      <c r="W662" s="79"/>
      <c r="Z662" s="130"/>
      <c r="AB662" s="106"/>
    </row>
    <row r="663">
      <c r="C663" s="79"/>
      <c r="D663" s="79"/>
      <c r="E663" s="79"/>
      <c r="M663" s="79"/>
      <c r="R663" s="79"/>
      <c r="S663" s="79"/>
      <c r="V663" s="79"/>
      <c r="W663" s="79"/>
      <c r="Z663" s="130"/>
      <c r="AB663" s="106"/>
    </row>
    <row r="664">
      <c r="C664" s="79"/>
      <c r="D664" s="79"/>
      <c r="E664" s="79"/>
      <c r="M664" s="79"/>
      <c r="R664" s="79"/>
      <c r="S664" s="79"/>
      <c r="V664" s="79"/>
      <c r="W664" s="79"/>
      <c r="Z664" s="130"/>
      <c r="AB664" s="106"/>
    </row>
    <row r="665">
      <c r="C665" s="79"/>
      <c r="D665" s="79"/>
      <c r="E665" s="79"/>
      <c r="M665" s="79"/>
      <c r="R665" s="79"/>
      <c r="S665" s="79"/>
      <c r="V665" s="79"/>
      <c r="W665" s="79"/>
      <c r="Z665" s="130"/>
      <c r="AB665" s="106"/>
    </row>
    <row r="666">
      <c r="C666" s="79"/>
      <c r="D666" s="79"/>
      <c r="E666" s="79"/>
      <c r="M666" s="79"/>
      <c r="R666" s="79"/>
      <c r="S666" s="79"/>
      <c r="V666" s="79"/>
      <c r="W666" s="79"/>
      <c r="Z666" s="130"/>
      <c r="AB666" s="106"/>
    </row>
    <row r="667">
      <c r="C667" s="79"/>
      <c r="D667" s="79"/>
      <c r="E667" s="79"/>
      <c r="M667" s="79"/>
      <c r="R667" s="79"/>
      <c r="S667" s="79"/>
      <c r="V667" s="79"/>
      <c r="W667" s="79"/>
      <c r="Z667" s="130"/>
      <c r="AB667" s="106"/>
    </row>
    <row r="668">
      <c r="C668" s="79"/>
      <c r="D668" s="79"/>
      <c r="E668" s="79"/>
      <c r="M668" s="79"/>
      <c r="R668" s="79"/>
      <c r="S668" s="79"/>
      <c r="V668" s="79"/>
      <c r="W668" s="79"/>
      <c r="Z668" s="130"/>
      <c r="AB668" s="106"/>
    </row>
    <row r="669">
      <c r="C669" s="79"/>
      <c r="D669" s="79"/>
      <c r="E669" s="79"/>
      <c r="M669" s="79"/>
      <c r="R669" s="79"/>
      <c r="S669" s="79"/>
      <c r="V669" s="79"/>
      <c r="W669" s="79"/>
      <c r="Z669" s="130"/>
      <c r="AB669" s="106"/>
    </row>
    <row r="670">
      <c r="C670" s="79"/>
      <c r="D670" s="79"/>
      <c r="E670" s="79"/>
      <c r="M670" s="79"/>
      <c r="R670" s="79"/>
      <c r="S670" s="79"/>
      <c r="V670" s="79"/>
      <c r="W670" s="79"/>
      <c r="Z670" s="130"/>
      <c r="AB670" s="106"/>
    </row>
    <row r="671">
      <c r="C671" s="79"/>
      <c r="D671" s="79"/>
      <c r="E671" s="79"/>
      <c r="M671" s="79"/>
      <c r="R671" s="79"/>
      <c r="S671" s="79"/>
      <c r="V671" s="79"/>
      <c r="W671" s="79"/>
      <c r="Z671" s="130"/>
      <c r="AB671" s="106"/>
    </row>
    <row r="672">
      <c r="C672" s="79"/>
      <c r="D672" s="79"/>
      <c r="E672" s="79"/>
      <c r="M672" s="79"/>
      <c r="R672" s="79"/>
      <c r="S672" s="79"/>
      <c r="V672" s="79"/>
      <c r="W672" s="79"/>
      <c r="Z672" s="130"/>
      <c r="AB672" s="106"/>
    </row>
    <row r="673">
      <c r="C673" s="79"/>
      <c r="D673" s="79"/>
      <c r="E673" s="79"/>
      <c r="M673" s="79"/>
      <c r="R673" s="79"/>
      <c r="S673" s="79"/>
      <c r="V673" s="79"/>
      <c r="W673" s="79"/>
      <c r="Z673" s="130"/>
      <c r="AB673" s="106"/>
    </row>
    <row r="674">
      <c r="C674" s="79"/>
      <c r="D674" s="79"/>
      <c r="E674" s="79"/>
      <c r="M674" s="79"/>
      <c r="R674" s="79"/>
      <c r="S674" s="79"/>
      <c r="V674" s="79"/>
      <c r="W674" s="79"/>
      <c r="Z674" s="130"/>
      <c r="AB674" s="106"/>
    </row>
    <row r="675">
      <c r="C675" s="79"/>
      <c r="D675" s="79"/>
      <c r="E675" s="79"/>
      <c r="M675" s="79"/>
      <c r="R675" s="79"/>
      <c r="S675" s="79"/>
      <c r="V675" s="79"/>
      <c r="W675" s="79"/>
      <c r="Z675" s="130"/>
      <c r="AB675" s="106"/>
    </row>
    <row r="676">
      <c r="C676" s="79"/>
      <c r="D676" s="79"/>
      <c r="E676" s="79"/>
      <c r="M676" s="79"/>
      <c r="R676" s="79"/>
      <c r="S676" s="79"/>
      <c r="V676" s="79"/>
      <c r="W676" s="79"/>
      <c r="Z676" s="130"/>
      <c r="AB676" s="106"/>
    </row>
    <row r="677">
      <c r="C677" s="79"/>
      <c r="D677" s="79"/>
      <c r="E677" s="79"/>
      <c r="M677" s="79"/>
      <c r="R677" s="79"/>
      <c r="S677" s="79"/>
      <c r="V677" s="79"/>
      <c r="W677" s="79"/>
      <c r="Z677" s="130"/>
      <c r="AB677" s="106"/>
    </row>
    <row r="678">
      <c r="C678" s="79"/>
      <c r="D678" s="79"/>
      <c r="E678" s="79"/>
      <c r="M678" s="79"/>
      <c r="R678" s="79"/>
      <c r="S678" s="79"/>
      <c r="V678" s="79"/>
      <c r="W678" s="79"/>
      <c r="Z678" s="130"/>
      <c r="AB678" s="106"/>
    </row>
    <row r="679">
      <c r="C679" s="79"/>
      <c r="D679" s="79"/>
      <c r="E679" s="79"/>
      <c r="M679" s="79"/>
      <c r="R679" s="79"/>
      <c r="S679" s="79"/>
      <c r="V679" s="79"/>
      <c r="W679" s="79"/>
      <c r="Z679" s="130"/>
      <c r="AB679" s="106"/>
    </row>
    <row r="680">
      <c r="C680" s="79"/>
      <c r="D680" s="79"/>
      <c r="E680" s="79"/>
      <c r="M680" s="79"/>
      <c r="R680" s="79"/>
      <c r="S680" s="79"/>
      <c r="V680" s="79"/>
      <c r="W680" s="79"/>
      <c r="Z680" s="130"/>
      <c r="AB680" s="106"/>
    </row>
    <row r="681">
      <c r="C681" s="79"/>
      <c r="D681" s="79"/>
      <c r="E681" s="79"/>
      <c r="M681" s="79"/>
      <c r="R681" s="79"/>
      <c r="S681" s="79"/>
      <c r="V681" s="79"/>
      <c r="W681" s="79"/>
      <c r="Z681" s="130"/>
      <c r="AB681" s="106"/>
    </row>
    <row r="682">
      <c r="C682" s="79"/>
      <c r="D682" s="79"/>
      <c r="E682" s="79"/>
      <c r="M682" s="79"/>
      <c r="R682" s="79"/>
      <c r="S682" s="79"/>
      <c r="V682" s="79"/>
      <c r="W682" s="79"/>
      <c r="Z682" s="130"/>
      <c r="AB682" s="106"/>
    </row>
    <row r="683">
      <c r="C683" s="79"/>
      <c r="D683" s="79"/>
      <c r="E683" s="79"/>
      <c r="M683" s="79"/>
      <c r="R683" s="79"/>
      <c r="S683" s="79"/>
      <c r="V683" s="79"/>
      <c r="W683" s="79"/>
      <c r="Z683" s="130"/>
      <c r="AB683" s="106"/>
    </row>
    <row r="684">
      <c r="C684" s="79"/>
      <c r="D684" s="79"/>
      <c r="E684" s="79"/>
      <c r="M684" s="79"/>
      <c r="R684" s="79"/>
      <c r="S684" s="79"/>
      <c r="V684" s="79"/>
      <c r="W684" s="79"/>
      <c r="Z684" s="130"/>
      <c r="AB684" s="106"/>
    </row>
    <row r="685">
      <c r="C685" s="79"/>
      <c r="D685" s="79"/>
      <c r="E685" s="79"/>
      <c r="M685" s="79"/>
      <c r="R685" s="79"/>
      <c r="S685" s="79"/>
      <c r="V685" s="79"/>
      <c r="W685" s="79"/>
      <c r="Z685" s="130"/>
      <c r="AB685" s="106"/>
    </row>
    <row r="686">
      <c r="C686" s="79"/>
      <c r="D686" s="79"/>
      <c r="E686" s="79"/>
      <c r="M686" s="79"/>
      <c r="R686" s="79"/>
      <c r="S686" s="79"/>
      <c r="V686" s="79"/>
      <c r="W686" s="79"/>
      <c r="Z686" s="130"/>
      <c r="AB686" s="106"/>
    </row>
    <row r="687">
      <c r="C687" s="79"/>
      <c r="D687" s="79"/>
      <c r="E687" s="79"/>
      <c r="M687" s="79"/>
      <c r="R687" s="79"/>
      <c r="S687" s="79"/>
      <c r="V687" s="79"/>
      <c r="W687" s="79"/>
      <c r="Z687" s="130"/>
      <c r="AB687" s="106"/>
    </row>
    <row r="688">
      <c r="C688" s="79"/>
      <c r="D688" s="79"/>
      <c r="E688" s="79"/>
      <c r="M688" s="79"/>
      <c r="R688" s="79"/>
      <c r="S688" s="79"/>
      <c r="V688" s="79"/>
      <c r="W688" s="79"/>
      <c r="Z688" s="130"/>
      <c r="AB688" s="106"/>
    </row>
    <row r="689">
      <c r="C689" s="79"/>
      <c r="D689" s="79"/>
      <c r="E689" s="79"/>
      <c r="M689" s="79"/>
      <c r="R689" s="79"/>
      <c r="S689" s="79"/>
      <c r="V689" s="79"/>
      <c r="W689" s="79"/>
      <c r="Z689" s="130"/>
      <c r="AB689" s="106"/>
    </row>
    <row r="690">
      <c r="C690" s="79"/>
      <c r="D690" s="79"/>
      <c r="E690" s="79"/>
      <c r="M690" s="79"/>
      <c r="R690" s="79"/>
      <c r="S690" s="79"/>
      <c r="V690" s="79"/>
      <c r="W690" s="79"/>
      <c r="Z690" s="130"/>
      <c r="AB690" s="106"/>
    </row>
    <row r="691">
      <c r="C691" s="79"/>
      <c r="D691" s="79"/>
      <c r="E691" s="79"/>
      <c r="M691" s="79"/>
      <c r="R691" s="79"/>
      <c r="S691" s="79"/>
      <c r="V691" s="79"/>
      <c r="W691" s="79"/>
      <c r="Z691" s="130"/>
      <c r="AB691" s="106"/>
    </row>
    <row r="692">
      <c r="C692" s="79"/>
      <c r="D692" s="79"/>
      <c r="E692" s="79"/>
      <c r="M692" s="79"/>
      <c r="R692" s="79"/>
      <c r="S692" s="79"/>
      <c r="V692" s="79"/>
      <c r="W692" s="79"/>
      <c r="Z692" s="130"/>
      <c r="AB692" s="106"/>
    </row>
    <row r="693">
      <c r="C693" s="79"/>
      <c r="D693" s="79"/>
      <c r="E693" s="79"/>
      <c r="M693" s="79"/>
      <c r="R693" s="79"/>
      <c r="S693" s="79"/>
      <c r="V693" s="79"/>
      <c r="W693" s="79"/>
      <c r="Z693" s="130"/>
      <c r="AB693" s="106"/>
    </row>
    <row r="694">
      <c r="C694" s="79"/>
      <c r="D694" s="79"/>
      <c r="E694" s="79"/>
      <c r="M694" s="79"/>
      <c r="R694" s="79"/>
      <c r="S694" s="79"/>
      <c r="V694" s="79"/>
      <c r="W694" s="79"/>
      <c r="Z694" s="130"/>
      <c r="AB694" s="106"/>
    </row>
    <row r="695">
      <c r="C695" s="79"/>
      <c r="D695" s="79"/>
      <c r="E695" s="79"/>
      <c r="M695" s="79"/>
      <c r="R695" s="79"/>
      <c r="S695" s="79"/>
      <c r="V695" s="79"/>
      <c r="W695" s="79"/>
      <c r="Z695" s="130"/>
      <c r="AB695" s="106"/>
    </row>
    <row r="696">
      <c r="C696" s="79"/>
      <c r="D696" s="79"/>
      <c r="E696" s="79"/>
      <c r="M696" s="79"/>
      <c r="R696" s="79"/>
      <c r="S696" s="79"/>
      <c r="V696" s="79"/>
      <c r="W696" s="79"/>
      <c r="Z696" s="130"/>
      <c r="AB696" s="106"/>
    </row>
    <row r="697">
      <c r="C697" s="79"/>
      <c r="D697" s="79"/>
      <c r="E697" s="79"/>
      <c r="M697" s="79"/>
      <c r="R697" s="79"/>
      <c r="S697" s="79"/>
      <c r="V697" s="79"/>
      <c r="W697" s="79"/>
      <c r="Z697" s="130"/>
      <c r="AB697" s="106"/>
    </row>
    <row r="698">
      <c r="C698" s="79"/>
      <c r="D698" s="79"/>
      <c r="E698" s="79"/>
      <c r="M698" s="79"/>
      <c r="R698" s="79"/>
      <c r="S698" s="79"/>
      <c r="V698" s="79"/>
      <c r="W698" s="79"/>
      <c r="Z698" s="130"/>
      <c r="AB698" s="106"/>
    </row>
    <row r="699">
      <c r="C699" s="79"/>
      <c r="D699" s="79"/>
      <c r="E699" s="79"/>
      <c r="M699" s="79"/>
      <c r="R699" s="79"/>
      <c r="S699" s="79"/>
      <c r="V699" s="79"/>
      <c r="W699" s="79"/>
      <c r="Z699" s="130"/>
      <c r="AB699" s="106"/>
    </row>
    <row r="700">
      <c r="C700" s="79"/>
      <c r="D700" s="79"/>
      <c r="E700" s="79"/>
      <c r="M700" s="79"/>
      <c r="R700" s="79"/>
      <c r="S700" s="79"/>
      <c r="V700" s="79"/>
      <c r="W700" s="79"/>
      <c r="Z700" s="130"/>
      <c r="AB700" s="106"/>
    </row>
    <row r="701">
      <c r="C701" s="79"/>
      <c r="D701" s="79"/>
      <c r="E701" s="79"/>
      <c r="M701" s="79"/>
      <c r="R701" s="79"/>
      <c r="S701" s="79"/>
      <c r="V701" s="79"/>
      <c r="W701" s="79"/>
      <c r="Z701" s="130"/>
      <c r="AB701" s="106"/>
    </row>
    <row r="702">
      <c r="C702" s="79"/>
      <c r="D702" s="79"/>
      <c r="E702" s="79"/>
      <c r="M702" s="79"/>
      <c r="R702" s="79"/>
      <c r="S702" s="79"/>
      <c r="V702" s="79"/>
      <c r="W702" s="79"/>
      <c r="Z702" s="130"/>
      <c r="AB702" s="106"/>
    </row>
    <row r="703">
      <c r="C703" s="79"/>
      <c r="D703" s="79"/>
      <c r="E703" s="79"/>
      <c r="M703" s="79"/>
      <c r="R703" s="79"/>
      <c r="S703" s="79"/>
      <c r="V703" s="79"/>
      <c r="W703" s="79"/>
      <c r="Z703" s="130"/>
      <c r="AB703" s="106"/>
    </row>
    <row r="704">
      <c r="C704" s="79"/>
      <c r="D704" s="79"/>
      <c r="E704" s="79"/>
      <c r="M704" s="79"/>
      <c r="R704" s="79"/>
      <c r="S704" s="79"/>
      <c r="V704" s="79"/>
      <c r="W704" s="79"/>
      <c r="Z704" s="130"/>
      <c r="AB704" s="106"/>
    </row>
    <row r="705">
      <c r="C705" s="79"/>
      <c r="D705" s="79"/>
      <c r="E705" s="79"/>
      <c r="M705" s="79"/>
      <c r="R705" s="79"/>
      <c r="S705" s="79"/>
      <c r="V705" s="79"/>
      <c r="W705" s="79"/>
      <c r="Z705" s="130"/>
      <c r="AB705" s="106"/>
    </row>
    <row r="706">
      <c r="C706" s="79"/>
      <c r="D706" s="79"/>
      <c r="E706" s="79"/>
      <c r="M706" s="79"/>
      <c r="R706" s="79"/>
      <c r="S706" s="79"/>
      <c r="V706" s="79"/>
      <c r="W706" s="79"/>
      <c r="Z706" s="130"/>
      <c r="AB706" s="106"/>
    </row>
    <row r="707">
      <c r="C707" s="79"/>
      <c r="D707" s="79"/>
      <c r="E707" s="79"/>
      <c r="M707" s="79"/>
      <c r="R707" s="79"/>
      <c r="S707" s="79"/>
      <c r="V707" s="79"/>
      <c r="W707" s="79"/>
      <c r="Z707" s="130"/>
      <c r="AB707" s="106"/>
    </row>
    <row r="708">
      <c r="C708" s="79"/>
      <c r="D708" s="79"/>
      <c r="E708" s="79"/>
      <c r="M708" s="79"/>
      <c r="R708" s="79"/>
      <c r="S708" s="79"/>
      <c r="V708" s="79"/>
      <c r="W708" s="79"/>
      <c r="Z708" s="130"/>
      <c r="AB708" s="106"/>
    </row>
    <row r="709">
      <c r="C709" s="79"/>
      <c r="D709" s="79"/>
      <c r="E709" s="79"/>
      <c r="M709" s="79"/>
      <c r="R709" s="79"/>
      <c r="S709" s="79"/>
      <c r="V709" s="79"/>
      <c r="W709" s="79"/>
      <c r="Z709" s="130"/>
      <c r="AB709" s="106"/>
    </row>
    <row r="710">
      <c r="C710" s="79"/>
      <c r="D710" s="79"/>
      <c r="E710" s="79"/>
      <c r="M710" s="79"/>
      <c r="R710" s="79"/>
      <c r="S710" s="79"/>
      <c r="V710" s="79"/>
      <c r="W710" s="79"/>
      <c r="Z710" s="130"/>
      <c r="AB710" s="106"/>
    </row>
    <row r="711">
      <c r="C711" s="79"/>
      <c r="D711" s="79"/>
      <c r="E711" s="79"/>
      <c r="M711" s="79"/>
      <c r="R711" s="79"/>
      <c r="S711" s="79"/>
      <c r="V711" s="79"/>
      <c r="W711" s="79"/>
      <c r="Z711" s="130"/>
      <c r="AB711" s="106"/>
    </row>
    <row r="712">
      <c r="C712" s="79"/>
      <c r="D712" s="79"/>
      <c r="E712" s="79"/>
      <c r="M712" s="79"/>
      <c r="R712" s="79"/>
      <c r="S712" s="79"/>
      <c r="V712" s="79"/>
      <c r="W712" s="79"/>
      <c r="Z712" s="130"/>
      <c r="AB712" s="106"/>
    </row>
    <row r="713">
      <c r="C713" s="79"/>
      <c r="D713" s="79"/>
      <c r="E713" s="79"/>
      <c r="M713" s="79"/>
      <c r="R713" s="79"/>
      <c r="S713" s="79"/>
      <c r="V713" s="79"/>
      <c r="W713" s="79"/>
      <c r="Z713" s="130"/>
      <c r="AB713" s="106"/>
    </row>
    <row r="714">
      <c r="C714" s="79"/>
      <c r="D714" s="79"/>
      <c r="E714" s="79"/>
      <c r="M714" s="79"/>
      <c r="R714" s="79"/>
      <c r="S714" s="79"/>
      <c r="V714" s="79"/>
      <c r="W714" s="79"/>
      <c r="Z714" s="130"/>
      <c r="AB714" s="106"/>
    </row>
    <row r="715">
      <c r="C715" s="79"/>
      <c r="D715" s="79"/>
      <c r="E715" s="79"/>
      <c r="M715" s="79"/>
      <c r="R715" s="79"/>
      <c r="S715" s="79"/>
      <c r="V715" s="79"/>
      <c r="W715" s="79"/>
      <c r="Z715" s="130"/>
      <c r="AB715" s="106"/>
    </row>
    <row r="716">
      <c r="C716" s="79"/>
      <c r="D716" s="79"/>
      <c r="E716" s="79"/>
      <c r="M716" s="79"/>
      <c r="R716" s="79"/>
      <c r="S716" s="79"/>
      <c r="V716" s="79"/>
      <c r="W716" s="79"/>
      <c r="Z716" s="130"/>
      <c r="AB716" s="106"/>
    </row>
    <row r="717">
      <c r="C717" s="79"/>
      <c r="D717" s="79"/>
      <c r="E717" s="79"/>
      <c r="M717" s="79"/>
      <c r="R717" s="79"/>
      <c r="S717" s="79"/>
      <c r="V717" s="79"/>
      <c r="W717" s="79"/>
      <c r="Z717" s="130"/>
      <c r="AB717" s="106"/>
    </row>
    <row r="718">
      <c r="C718" s="79"/>
      <c r="D718" s="79"/>
      <c r="E718" s="79"/>
      <c r="M718" s="79"/>
      <c r="R718" s="79"/>
      <c r="S718" s="79"/>
      <c r="V718" s="79"/>
      <c r="W718" s="79"/>
      <c r="Z718" s="130"/>
      <c r="AB718" s="106"/>
    </row>
    <row r="719">
      <c r="C719" s="79"/>
      <c r="D719" s="79"/>
      <c r="E719" s="79"/>
      <c r="M719" s="79"/>
      <c r="R719" s="79"/>
      <c r="S719" s="79"/>
      <c r="V719" s="79"/>
      <c r="W719" s="79"/>
      <c r="Z719" s="130"/>
      <c r="AB719" s="106"/>
    </row>
    <row r="720">
      <c r="C720" s="79"/>
      <c r="D720" s="79"/>
      <c r="E720" s="79"/>
      <c r="M720" s="79"/>
      <c r="R720" s="79"/>
      <c r="S720" s="79"/>
      <c r="V720" s="79"/>
      <c r="W720" s="79"/>
      <c r="Z720" s="130"/>
      <c r="AB720" s="106"/>
    </row>
    <row r="721">
      <c r="C721" s="79"/>
      <c r="D721" s="79"/>
      <c r="E721" s="79"/>
      <c r="M721" s="79"/>
      <c r="R721" s="79"/>
      <c r="S721" s="79"/>
      <c r="V721" s="79"/>
      <c r="W721" s="79"/>
      <c r="Z721" s="130"/>
      <c r="AB721" s="106"/>
    </row>
    <row r="722">
      <c r="C722" s="79"/>
      <c r="D722" s="79"/>
      <c r="E722" s="79"/>
      <c r="M722" s="79"/>
      <c r="R722" s="79"/>
      <c r="S722" s="79"/>
      <c r="V722" s="79"/>
      <c r="W722" s="79"/>
      <c r="Z722" s="130"/>
      <c r="AB722" s="106"/>
    </row>
    <row r="723">
      <c r="C723" s="79"/>
      <c r="D723" s="79"/>
      <c r="E723" s="79"/>
      <c r="M723" s="79"/>
      <c r="R723" s="79"/>
      <c r="S723" s="79"/>
      <c r="V723" s="79"/>
      <c r="W723" s="79"/>
      <c r="Z723" s="130"/>
      <c r="AB723" s="106"/>
    </row>
    <row r="724">
      <c r="C724" s="79"/>
      <c r="D724" s="79"/>
      <c r="E724" s="79"/>
      <c r="M724" s="79"/>
      <c r="R724" s="79"/>
      <c r="S724" s="79"/>
      <c r="V724" s="79"/>
      <c r="W724" s="79"/>
      <c r="Z724" s="130"/>
      <c r="AB724" s="106"/>
    </row>
    <row r="725">
      <c r="C725" s="79"/>
      <c r="D725" s="79"/>
      <c r="E725" s="79"/>
      <c r="M725" s="79"/>
      <c r="R725" s="79"/>
      <c r="S725" s="79"/>
      <c r="V725" s="79"/>
      <c r="W725" s="79"/>
      <c r="Z725" s="130"/>
      <c r="AB725" s="106"/>
    </row>
    <row r="726">
      <c r="C726" s="79"/>
      <c r="D726" s="79"/>
      <c r="E726" s="79"/>
      <c r="M726" s="79"/>
      <c r="R726" s="79"/>
      <c r="S726" s="79"/>
      <c r="V726" s="79"/>
      <c r="W726" s="79"/>
      <c r="Z726" s="130"/>
      <c r="AB726" s="106"/>
    </row>
    <row r="727">
      <c r="C727" s="79"/>
      <c r="D727" s="79"/>
      <c r="E727" s="79"/>
      <c r="M727" s="79"/>
      <c r="R727" s="79"/>
      <c r="S727" s="79"/>
      <c r="V727" s="79"/>
      <c r="W727" s="79"/>
      <c r="Z727" s="130"/>
      <c r="AB727" s="106"/>
    </row>
    <row r="728">
      <c r="C728" s="79"/>
      <c r="D728" s="79"/>
      <c r="E728" s="79"/>
      <c r="M728" s="79"/>
      <c r="R728" s="79"/>
      <c r="S728" s="79"/>
      <c r="V728" s="79"/>
      <c r="W728" s="79"/>
      <c r="Z728" s="130"/>
      <c r="AB728" s="106"/>
    </row>
    <row r="729">
      <c r="C729" s="79"/>
      <c r="D729" s="79"/>
      <c r="E729" s="79"/>
      <c r="M729" s="79"/>
      <c r="R729" s="79"/>
      <c r="S729" s="79"/>
      <c r="V729" s="79"/>
      <c r="W729" s="79"/>
      <c r="Z729" s="130"/>
      <c r="AB729" s="106"/>
    </row>
    <row r="730">
      <c r="C730" s="79"/>
      <c r="D730" s="79"/>
      <c r="E730" s="79"/>
      <c r="M730" s="79"/>
      <c r="R730" s="79"/>
      <c r="S730" s="79"/>
      <c r="V730" s="79"/>
      <c r="W730" s="79"/>
      <c r="Z730" s="130"/>
      <c r="AB730" s="106"/>
    </row>
    <row r="731">
      <c r="C731" s="79"/>
      <c r="D731" s="79"/>
      <c r="E731" s="79"/>
      <c r="M731" s="79"/>
      <c r="R731" s="79"/>
      <c r="S731" s="79"/>
      <c r="V731" s="79"/>
      <c r="W731" s="79"/>
      <c r="Z731" s="130"/>
      <c r="AB731" s="106"/>
    </row>
    <row r="732">
      <c r="C732" s="79"/>
      <c r="D732" s="79"/>
      <c r="E732" s="79"/>
      <c r="M732" s="79"/>
      <c r="R732" s="79"/>
      <c r="S732" s="79"/>
      <c r="V732" s="79"/>
      <c r="W732" s="79"/>
      <c r="Z732" s="130"/>
      <c r="AB732" s="106"/>
    </row>
    <row r="733">
      <c r="C733" s="79"/>
      <c r="D733" s="79"/>
      <c r="E733" s="79"/>
      <c r="M733" s="79"/>
      <c r="R733" s="79"/>
      <c r="S733" s="79"/>
      <c r="V733" s="79"/>
      <c r="W733" s="79"/>
      <c r="Z733" s="130"/>
      <c r="AB733" s="106"/>
    </row>
    <row r="734">
      <c r="C734" s="79"/>
      <c r="D734" s="79"/>
      <c r="E734" s="79"/>
      <c r="M734" s="79"/>
      <c r="R734" s="79"/>
      <c r="S734" s="79"/>
      <c r="V734" s="79"/>
      <c r="W734" s="79"/>
      <c r="Z734" s="130"/>
      <c r="AB734" s="106"/>
    </row>
    <row r="735">
      <c r="C735" s="79"/>
      <c r="D735" s="79"/>
      <c r="E735" s="79"/>
      <c r="M735" s="79"/>
      <c r="R735" s="79"/>
      <c r="S735" s="79"/>
      <c r="V735" s="79"/>
      <c r="W735" s="79"/>
      <c r="Z735" s="130"/>
      <c r="AB735" s="106"/>
    </row>
    <row r="736">
      <c r="C736" s="79"/>
      <c r="D736" s="79"/>
      <c r="E736" s="79"/>
      <c r="M736" s="79"/>
      <c r="R736" s="79"/>
      <c r="S736" s="79"/>
      <c r="V736" s="79"/>
      <c r="W736" s="79"/>
      <c r="Z736" s="130"/>
      <c r="AB736" s="106"/>
    </row>
    <row r="737">
      <c r="C737" s="79"/>
      <c r="D737" s="79"/>
      <c r="E737" s="79"/>
      <c r="M737" s="79"/>
      <c r="R737" s="79"/>
      <c r="S737" s="79"/>
      <c r="V737" s="79"/>
      <c r="W737" s="79"/>
      <c r="Z737" s="130"/>
      <c r="AB737" s="106"/>
    </row>
    <row r="738">
      <c r="C738" s="79"/>
      <c r="D738" s="79"/>
      <c r="E738" s="79"/>
      <c r="M738" s="79"/>
      <c r="R738" s="79"/>
      <c r="S738" s="79"/>
      <c r="V738" s="79"/>
      <c r="W738" s="79"/>
      <c r="Z738" s="130"/>
      <c r="AB738" s="106"/>
    </row>
    <row r="739">
      <c r="C739" s="79"/>
      <c r="D739" s="79"/>
      <c r="E739" s="79"/>
      <c r="M739" s="79"/>
      <c r="R739" s="79"/>
      <c r="S739" s="79"/>
      <c r="V739" s="79"/>
      <c r="W739" s="79"/>
      <c r="Z739" s="130"/>
      <c r="AB739" s="106"/>
    </row>
    <row r="740">
      <c r="C740" s="79"/>
      <c r="D740" s="79"/>
      <c r="E740" s="79"/>
      <c r="M740" s="79"/>
      <c r="R740" s="79"/>
      <c r="S740" s="79"/>
      <c r="V740" s="79"/>
      <c r="W740" s="79"/>
      <c r="Z740" s="130"/>
      <c r="AB740" s="106"/>
    </row>
    <row r="741">
      <c r="C741" s="79"/>
      <c r="D741" s="79"/>
      <c r="E741" s="79"/>
      <c r="M741" s="79"/>
      <c r="R741" s="79"/>
      <c r="S741" s="79"/>
      <c r="V741" s="79"/>
      <c r="W741" s="79"/>
      <c r="Z741" s="130"/>
      <c r="AB741" s="106"/>
    </row>
    <row r="742">
      <c r="C742" s="79"/>
      <c r="D742" s="79"/>
      <c r="E742" s="79"/>
      <c r="M742" s="79"/>
      <c r="R742" s="79"/>
      <c r="S742" s="79"/>
      <c r="V742" s="79"/>
      <c r="W742" s="79"/>
      <c r="Z742" s="130"/>
      <c r="AB742" s="106"/>
    </row>
    <row r="743">
      <c r="C743" s="79"/>
      <c r="D743" s="79"/>
      <c r="E743" s="79"/>
      <c r="M743" s="79"/>
      <c r="R743" s="79"/>
      <c r="S743" s="79"/>
      <c r="V743" s="79"/>
      <c r="W743" s="79"/>
      <c r="Z743" s="130"/>
      <c r="AB743" s="106"/>
    </row>
    <row r="744">
      <c r="C744" s="79"/>
      <c r="D744" s="79"/>
      <c r="E744" s="79"/>
      <c r="M744" s="79"/>
      <c r="R744" s="79"/>
      <c r="S744" s="79"/>
      <c r="V744" s="79"/>
      <c r="W744" s="79"/>
      <c r="Z744" s="130"/>
      <c r="AB744" s="106"/>
    </row>
    <row r="745">
      <c r="C745" s="79"/>
      <c r="D745" s="79"/>
      <c r="E745" s="79"/>
      <c r="M745" s="79"/>
      <c r="R745" s="79"/>
      <c r="S745" s="79"/>
      <c r="V745" s="79"/>
      <c r="W745" s="79"/>
      <c r="Z745" s="130"/>
      <c r="AB745" s="106"/>
    </row>
    <row r="746">
      <c r="C746" s="79"/>
      <c r="D746" s="79"/>
      <c r="E746" s="79"/>
      <c r="M746" s="79"/>
      <c r="R746" s="79"/>
      <c r="S746" s="79"/>
      <c r="V746" s="79"/>
      <c r="W746" s="79"/>
      <c r="Z746" s="130"/>
      <c r="AB746" s="106"/>
    </row>
    <row r="747">
      <c r="C747" s="79"/>
      <c r="D747" s="79"/>
      <c r="E747" s="79"/>
      <c r="M747" s="79"/>
      <c r="R747" s="79"/>
      <c r="S747" s="79"/>
      <c r="V747" s="79"/>
      <c r="W747" s="79"/>
      <c r="Z747" s="130"/>
      <c r="AB747" s="106"/>
    </row>
    <row r="748">
      <c r="C748" s="79"/>
      <c r="D748" s="79"/>
      <c r="E748" s="79"/>
      <c r="M748" s="79"/>
      <c r="R748" s="79"/>
      <c r="S748" s="79"/>
      <c r="V748" s="79"/>
      <c r="W748" s="79"/>
      <c r="Z748" s="130"/>
      <c r="AB748" s="106"/>
    </row>
    <row r="749">
      <c r="C749" s="79"/>
      <c r="D749" s="79"/>
      <c r="E749" s="79"/>
      <c r="M749" s="79"/>
      <c r="R749" s="79"/>
      <c r="S749" s="79"/>
      <c r="V749" s="79"/>
      <c r="W749" s="79"/>
      <c r="Z749" s="130"/>
      <c r="AB749" s="106"/>
    </row>
    <row r="750">
      <c r="C750" s="79"/>
      <c r="D750" s="79"/>
      <c r="E750" s="79"/>
      <c r="M750" s="79"/>
      <c r="R750" s="79"/>
      <c r="S750" s="79"/>
      <c r="V750" s="79"/>
      <c r="W750" s="79"/>
      <c r="Z750" s="130"/>
      <c r="AB750" s="106"/>
    </row>
    <row r="751">
      <c r="C751" s="79"/>
      <c r="D751" s="79"/>
      <c r="E751" s="79"/>
      <c r="M751" s="79"/>
      <c r="R751" s="79"/>
      <c r="S751" s="79"/>
      <c r="V751" s="79"/>
      <c r="W751" s="79"/>
      <c r="Z751" s="130"/>
      <c r="AB751" s="106"/>
    </row>
    <row r="752">
      <c r="C752" s="79"/>
      <c r="D752" s="79"/>
      <c r="E752" s="79"/>
      <c r="M752" s="79"/>
      <c r="R752" s="79"/>
      <c r="S752" s="79"/>
      <c r="V752" s="79"/>
      <c r="W752" s="79"/>
      <c r="Z752" s="130"/>
      <c r="AB752" s="106"/>
    </row>
    <row r="753">
      <c r="C753" s="79"/>
      <c r="D753" s="79"/>
      <c r="E753" s="79"/>
      <c r="M753" s="79"/>
      <c r="R753" s="79"/>
      <c r="S753" s="79"/>
      <c r="V753" s="79"/>
      <c r="W753" s="79"/>
      <c r="Z753" s="130"/>
      <c r="AB753" s="106"/>
    </row>
    <row r="754">
      <c r="C754" s="79"/>
      <c r="D754" s="79"/>
      <c r="E754" s="79"/>
      <c r="M754" s="79"/>
      <c r="R754" s="79"/>
      <c r="S754" s="79"/>
      <c r="V754" s="79"/>
      <c r="W754" s="79"/>
      <c r="Z754" s="130"/>
      <c r="AB754" s="106"/>
    </row>
    <row r="755">
      <c r="C755" s="79"/>
      <c r="D755" s="79"/>
      <c r="E755" s="79"/>
      <c r="M755" s="79"/>
      <c r="R755" s="79"/>
      <c r="S755" s="79"/>
      <c r="V755" s="79"/>
      <c r="W755" s="79"/>
      <c r="Z755" s="130"/>
      <c r="AB755" s="106"/>
    </row>
    <row r="756">
      <c r="C756" s="79"/>
      <c r="D756" s="79"/>
      <c r="E756" s="79"/>
      <c r="M756" s="79"/>
      <c r="R756" s="79"/>
      <c r="S756" s="79"/>
      <c r="V756" s="79"/>
      <c r="W756" s="79"/>
      <c r="Z756" s="130"/>
      <c r="AB756" s="106"/>
    </row>
    <row r="757">
      <c r="C757" s="79"/>
      <c r="D757" s="79"/>
      <c r="E757" s="79"/>
      <c r="M757" s="79"/>
      <c r="R757" s="79"/>
      <c r="S757" s="79"/>
      <c r="V757" s="79"/>
      <c r="W757" s="79"/>
      <c r="Z757" s="130"/>
      <c r="AB757" s="106"/>
    </row>
    <row r="758">
      <c r="C758" s="79"/>
      <c r="D758" s="79"/>
      <c r="E758" s="79"/>
      <c r="M758" s="79"/>
      <c r="R758" s="79"/>
      <c r="S758" s="79"/>
      <c r="V758" s="79"/>
      <c r="W758" s="79"/>
      <c r="Z758" s="130"/>
      <c r="AB758" s="106"/>
    </row>
    <row r="759">
      <c r="C759" s="79"/>
      <c r="D759" s="79"/>
      <c r="E759" s="79"/>
      <c r="M759" s="79"/>
      <c r="R759" s="79"/>
      <c r="S759" s="79"/>
      <c r="V759" s="79"/>
      <c r="W759" s="79"/>
      <c r="Z759" s="130"/>
      <c r="AB759" s="106"/>
    </row>
    <row r="760">
      <c r="C760" s="79"/>
      <c r="D760" s="79"/>
      <c r="E760" s="79"/>
      <c r="M760" s="79"/>
      <c r="R760" s="79"/>
      <c r="S760" s="79"/>
      <c r="V760" s="79"/>
      <c r="W760" s="79"/>
      <c r="Z760" s="130"/>
      <c r="AB760" s="106"/>
    </row>
    <row r="761">
      <c r="C761" s="79"/>
      <c r="D761" s="79"/>
      <c r="E761" s="79"/>
      <c r="M761" s="79"/>
      <c r="R761" s="79"/>
      <c r="S761" s="79"/>
      <c r="V761" s="79"/>
      <c r="W761" s="79"/>
      <c r="Z761" s="130"/>
      <c r="AB761" s="106"/>
    </row>
    <row r="762">
      <c r="C762" s="79"/>
      <c r="D762" s="79"/>
      <c r="E762" s="79"/>
      <c r="M762" s="79"/>
      <c r="R762" s="79"/>
      <c r="S762" s="79"/>
      <c r="V762" s="79"/>
      <c r="W762" s="79"/>
      <c r="Z762" s="130"/>
      <c r="AB762" s="106"/>
    </row>
    <row r="763">
      <c r="C763" s="79"/>
      <c r="D763" s="79"/>
      <c r="E763" s="79"/>
      <c r="M763" s="79"/>
      <c r="R763" s="79"/>
      <c r="S763" s="79"/>
      <c r="V763" s="79"/>
      <c r="W763" s="79"/>
      <c r="Z763" s="130"/>
      <c r="AB763" s="106"/>
    </row>
    <row r="764">
      <c r="C764" s="79"/>
      <c r="D764" s="79"/>
      <c r="E764" s="79"/>
      <c r="M764" s="79"/>
      <c r="R764" s="79"/>
      <c r="S764" s="79"/>
      <c r="V764" s="79"/>
      <c r="W764" s="79"/>
      <c r="Z764" s="130"/>
      <c r="AB764" s="106"/>
    </row>
    <row r="765">
      <c r="C765" s="79"/>
      <c r="D765" s="79"/>
      <c r="E765" s="79"/>
      <c r="M765" s="79"/>
      <c r="R765" s="79"/>
      <c r="S765" s="79"/>
      <c r="V765" s="79"/>
      <c r="W765" s="79"/>
      <c r="Z765" s="130"/>
      <c r="AB765" s="106"/>
    </row>
    <row r="766">
      <c r="C766" s="79"/>
      <c r="D766" s="79"/>
      <c r="E766" s="79"/>
      <c r="M766" s="79"/>
      <c r="R766" s="79"/>
      <c r="S766" s="79"/>
      <c r="V766" s="79"/>
      <c r="W766" s="79"/>
      <c r="Z766" s="130"/>
      <c r="AB766" s="106"/>
    </row>
    <row r="767">
      <c r="C767" s="79"/>
      <c r="D767" s="79"/>
      <c r="E767" s="79"/>
      <c r="M767" s="79"/>
      <c r="R767" s="79"/>
      <c r="S767" s="79"/>
      <c r="V767" s="79"/>
      <c r="W767" s="79"/>
      <c r="Z767" s="130"/>
      <c r="AB767" s="106"/>
    </row>
    <row r="768">
      <c r="C768" s="79"/>
      <c r="D768" s="79"/>
      <c r="E768" s="79"/>
      <c r="M768" s="79"/>
      <c r="R768" s="79"/>
      <c r="S768" s="79"/>
      <c r="V768" s="79"/>
      <c r="W768" s="79"/>
      <c r="Z768" s="130"/>
      <c r="AB768" s="106"/>
    </row>
    <row r="769">
      <c r="C769" s="79"/>
      <c r="D769" s="79"/>
      <c r="E769" s="79"/>
      <c r="M769" s="79"/>
      <c r="R769" s="79"/>
      <c r="S769" s="79"/>
      <c r="V769" s="79"/>
      <c r="W769" s="79"/>
      <c r="Z769" s="130"/>
      <c r="AB769" s="106"/>
    </row>
    <row r="770">
      <c r="C770" s="79"/>
      <c r="D770" s="79"/>
      <c r="E770" s="79"/>
      <c r="M770" s="79"/>
      <c r="R770" s="79"/>
      <c r="S770" s="79"/>
      <c r="V770" s="79"/>
      <c r="W770" s="79"/>
      <c r="Z770" s="130"/>
      <c r="AB770" s="106"/>
    </row>
    <row r="771">
      <c r="C771" s="79"/>
      <c r="D771" s="79"/>
      <c r="E771" s="79"/>
      <c r="M771" s="79"/>
      <c r="R771" s="79"/>
      <c r="S771" s="79"/>
      <c r="V771" s="79"/>
      <c r="W771" s="79"/>
      <c r="Z771" s="130"/>
      <c r="AB771" s="106"/>
    </row>
    <row r="772">
      <c r="C772" s="79"/>
      <c r="D772" s="79"/>
      <c r="E772" s="79"/>
      <c r="M772" s="79"/>
      <c r="R772" s="79"/>
      <c r="S772" s="79"/>
      <c r="V772" s="79"/>
      <c r="W772" s="79"/>
      <c r="Z772" s="130"/>
      <c r="AB772" s="106"/>
    </row>
    <row r="773">
      <c r="C773" s="79"/>
      <c r="D773" s="79"/>
      <c r="E773" s="79"/>
      <c r="M773" s="79"/>
      <c r="R773" s="79"/>
      <c r="S773" s="79"/>
      <c r="V773" s="79"/>
      <c r="W773" s="79"/>
      <c r="Z773" s="130"/>
      <c r="AB773" s="106"/>
    </row>
    <row r="774">
      <c r="C774" s="79"/>
      <c r="D774" s="79"/>
      <c r="E774" s="79"/>
      <c r="M774" s="79"/>
      <c r="R774" s="79"/>
      <c r="S774" s="79"/>
      <c r="V774" s="79"/>
      <c r="W774" s="79"/>
      <c r="Z774" s="130"/>
      <c r="AB774" s="106"/>
    </row>
    <row r="775">
      <c r="C775" s="79"/>
      <c r="D775" s="79"/>
      <c r="E775" s="79"/>
      <c r="M775" s="79"/>
      <c r="R775" s="79"/>
      <c r="S775" s="79"/>
      <c r="V775" s="79"/>
      <c r="W775" s="79"/>
      <c r="Z775" s="130"/>
      <c r="AB775" s="106"/>
    </row>
    <row r="776">
      <c r="C776" s="79"/>
      <c r="D776" s="79"/>
      <c r="E776" s="79"/>
      <c r="M776" s="79"/>
      <c r="R776" s="79"/>
      <c r="S776" s="79"/>
      <c r="V776" s="79"/>
      <c r="W776" s="79"/>
      <c r="Z776" s="130"/>
      <c r="AB776" s="106"/>
    </row>
    <row r="777">
      <c r="C777" s="79"/>
      <c r="D777" s="79"/>
      <c r="E777" s="79"/>
      <c r="M777" s="79"/>
      <c r="R777" s="79"/>
      <c r="S777" s="79"/>
      <c r="V777" s="79"/>
      <c r="W777" s="79"/>
      <c r="Z777" s="130"/>
      <c r="AB777" s="106"/>
    </row>
    <row r="778">
      <c r="C778" s="79"/>
      <c r="D778" s="79"/>
      <c r="E778" s="79"/>
      <c r="M778" s="79"/>
      <c r="R778" s="79"/>
      <c r="S778" s="79"/>
      <c r="V778" s="79"/>
      <c r="W778" s="79"/>
      <c r="Z778" s="130"/>
      <c r="AB778" s="106"/>
    </row>
    <row r="779">
      <c r="C779" s="79"/>
      <c r="D779" s="79"/>
      <c r="E779" s="79"/>
      <c r="M779" s="79"/>
      <c r="R779" s="79"/>
      <c r="S779" s="79"/>
      <c r="V779" s="79"/>
      <c r="W779" s="79"/>
      <c r="Z779" s="130"/>
      <c r="AB779" s="106"/>
    </row>
    <row r="780">
      <c r="C780" s="79"/>
      <c r="D780" s="79"/>
      <c r="E780" s="79"/>
      <c r="M780" s="79"/>
      <c r="R780" s="79"/>
      <c r="S780" s="79"/>
      <c r="V780" s="79"/>
      <c r="W780" s="79"/>
      <c r="Z780" s="130"/>
      <c r="AB780" s="106"/>
    </row>
    <row r="781">
      <c r="C781" s="79"/>
      <c r="D781" s="79"/>
      <c r="E781" s="79"/>
      <c r="M781" s="79"/>
      <c r="R781" s="79"/>
      <c r="S781" s="79"/>
      <c r="V781" s="79"/>
      <c r="W781" s="79"/>
      <c r="Z781" s="130"/>
      <c r="AB781" s="106"/>
    </row>
    <row r="782">
      <c r="C782" s="79"/>
      <c r="D782" s="79"/>
      <c r="E782" s="79"/>
      <c r="M782" s="79"/>
      <c r="R782" s="79"/>
      <c r="S782" s="79"/>
      <c r="V782" s="79"/>
      <c r="W782" s="79"/>
      <c r="Z782" s="130"/>
      <c r="AB782" s="106"/>
    </row>
    <row r="783">
      <c r="C783" s="79"/>
      <c r="D783" s="79"/>
      <c r="E783" s="79"/>
      <c r="M783" s="79"/>
      <c r="R783" s="79"/>
      <c r="S783" s="79"/>
      <c r="V783" s="79"/>
      <c r="W783" s="79"/>
      <c r="Z783" s="130"/>
      <c r="AB783" s="106"/>
    </row>
    <row r="784">
      <c r="C784" s="79"/>
      <c r="D784" s="79"/>
      <c r="E784" s="79"/>
      <c r="M784" s="79"/>
      <c r="R784" s="79"/>
      <c r="S784" s="79"/>
      <c r="V784" s="79"/>
      <c r="W784" s="79"/>
      <c r="Z784" s="130"/>
      <c r="AB784" s="106"/>
    </row>
    <row r="785">
      <c r="C785" s="79"/>
      <c r="D785" s="79"/>
      <c r="E785" s="79"/>
      <c r="M785" s="79"/>
      <c r="R785" s="79"/>
      <c r="S785" s="79"/>
      <c r="V785" s="79"/>
      <c r="W785" s="79"/>
      <c r="Z785" s="130"/>
      <c r="AB785" s="106"/>
    </row>
    <row r="786">
      <c r="C786" s="79"/>
      <c r="D786" s="79"/>
      <c r="E786" s="79"/>
      <c r="M786" s="79"/>
      <c r="R786" s="79"/>
      <c r="S786" s="79"/>
      <c r="V786" s="79"/>
      <c r="W786" s="79"/>
      <c r="Z786" s="130"/>
      <c r="AB786" s="106"/>
    </row>
    <row r="787">
      <c r="C787" s="79"/>
      <c r="D787" s="79"/>
      <c r="E787" s="79"/>
      <c r="M787" s="79"/>
      <c r="R787" s="79"/>
      <c r="S787" s="79"/>
      <c r="V787" s="79"/>
      <c r="W787" s="79"/>
      <c r="Z787" s="130"/>
      <c r="AB787" s="106"/>
    </row>
    <row r="788">
      <c r="C788" s="79"/>
      <c r="D788" s="79"/>
      <c r="E788" s="79"/>
      <c r="M788" s="79"/>
      <c r="R788" s="79"/>
      <c r="S788" s="79"/>
      <c r="V788" s="79"/>
      <c r="W788" s="79"/>
      <c r="Z788" s="130"/>
      <c r="AB788" s="106"/>
    </row>
    <row r="789">
      <c r="C789" s="79"/>
      <c r="D789" s="79"/>
      <c r="E789" s="79"/>
      <c r="M789" s="79"/>
      <c r="R789" s="79"/>
      <c r="S789" s="79"/>
      <c r="V789" s="79"/>
      <c r="W789" s="79"/>
      <c r="Z789" s="130"/>
      <c r="AB789" s="106"/>
    </row>
    <row r="790">
      <c r="C790" s="79"/>
      <c r="D790" s="79"/>
      <c r="E790" s="79"/>
      <c r="M790" s="79"/>
      <c r="R790" s="79"/>
      <c r="S790" s="79"/>
      <c r="V790" s="79"/>
      <c r="W790" s="79"/>
      <c r="Z790" s="130"/>
      <c r="AB790" s="106"/>
    </row>
    <row r="791">
      <c r="C791" s="79"/>
      <c r="D791" s="79"/>
      <c r="E791" s="79"/>
      <c r="M791" s="79"/>
      <c r="R791" s="79"/>
      <c r="S791" s="79"/>
      <c r="V791" s="79"/>
      <c r="W791" s="79"/>
      <c r="Z791" s="130"/>
      <c r="AB791" s="106"/>
    </row>
    <row r="792">
      <c r="C792" s="79"/>
      <c r="D792" s="79"/>
      <c r="E792" s="79"/>
      <c r="M792" s="79"/>
      <c r="R792" s="79"/>
      <c r="S792" s="79"/>
      <c r="V792" s="79"/>
      <c r="W792" s="79"/>
      <c r="Z792" s="130"/>
      <c r="AB792" s="106"/>
    </row>
    <row r="793">
      <c r="C793" s="79"/>
      <c r="D793" s="79"/>
      <c r="E793" s="79"/>
      <c r="M793" s="79"/>
      <c r="R793" s="79"/>
      <c r="S793" s="79"/>
      <c r="V793" s="79"/>
      <c r="W793" s="79"/>
      <c r="Z793" s="130"/>
      <c r="AB793" s="106"/>
    </row>
    <row r="794">
      <c r="C794" s="79"/>
      <c r="D794" s="79"/>
      <c r="E794" s="79"/>
      <c r="M794" s="79"/>
      <c r="R794" s="79"/>
      <c r="S794" s="79"/>
      <c r="V794" s="79"/>
      <c r="W794" s="79"/>
      <c r="Z794" s="130"/>
      <c r="AB794" s="106"/>
    </row>
    <row r="795">
      <c r="C795" s="79"/>
      <c r="D795" s="79"/>
      <c r="E795" s="79"/>
      <c r="M795" s="79"/>
      <c r="R795" s="79"/>
      <c r="S795" s="79"/>
      <c r="V795" s="79"/>
      <c r="W795" s="79"/>
      <c r="Z795" s="130"/>
      <c r="AB795" s="106"/>
    </row>
    <row r="796">
      <c r="C796" s="79"/>
      <c r="D796" s="79"/>
      <c r="E796" s="79"/>
      <c r="M796" s="79"/>
      <c r="R796" s="79"/>
      <c r="S796" s="79"/>
      <c r="V796" s="79"/>
      <c r="W796" s="79"/>
      <c r="Z796" s="130"/>
      <c r="AB796" s="106"/>
    </row>
    <row r="797">
      <c r="C797" s="79"/>
      <c r="D797" s="79"/>
      <c r="E797" s="79"/>
      <c r="M797" s="79"/>
      <c r="R797" s="79"/>
      <c r="S797" s="79"/>
      <c r="V797" s="79"/>
      <c r="W797" s="79"/>
      <c r="Z797" s="130"/>
      <c r="AB797" s="106"/>
    </row>
    <row r="798">
      <c r="C798" s="79"/>
      <c r="D798" s="79"/>
      <c r="E798" s="79"/>
      <c r="M798" s="79"/>
      <c r="R798" s="79"/>
      <c r="S798" s="79"/>
      <c r="V798" s="79"/>
      <c r="W798" s="79"/>
      <c r="Z798" s="130"/>
      <c r="AB798" s="106"/>
    </row>
    <row r="799">
      <c r="C799" s="79"/>
      <c r="D799" s="79"/>
      <c r="E799" s="79"/>
      <c r="M799" s="79"/>
      <c r="R799" s="79"/>
      <c r="S799" s="79"/>
      <c r="V799" s="79"/>
      <c r="W799" s="79"/>
      <c r="Z799" s="130"/>
      <c r="AB799" s="106"/>
    </row>
    <row r="800">
      <c r="C800" s="79"/>
      <c r="D800" s="79"/>
      <c r="E800" s="79"/>
      <c r="M800" s="79"/>
      <c r="R800" s="79"/>
      <c r="S800" s="79"/>
      <c r="V800" s="79"/>
      <c r="W800" s="79"/>
      <c r="Z800" s="130"/>
      <c r="AB800" s="106"/>
    </row>
    <row r="801">
      <c r="C801" s="79"/>
      <c r="D801" s="79"/>
      <c r="E801" s="79"/>
      <c r="M801" s="79"/>
      <c r="R801" s="79"/>
      <c r="S801" s="79"/>
      <c r="V801" s="79"/>
      <c r="W801" s="79"/>
      <c r="Z801" s="130"/>
      <c r="AB801" s="106"/>
    </row>
    <row r="802">
      <c r="C802" s="79"/>
      <c r="D802" s="79"/>
      <c r="E802" s="79"/>
      <c r="M802" s="79"/>
      <c r="R802" s="79"/>
      <c r="S802" s="79"/>
      <c r="V802" s="79"/>
      <c r="W802" s="79"/>
      <c r="Z802" s="130"/>
      <c r="AB802" s="106"/>
    </row>
    <row r="803">
      <c r="C803" s="79"/>
      <c r="D803" s="79"/>
      <c r="E803" s="79"/>
      <c r="M803" s="79"/>
      <c r="R803" s="79"/>
      <c r="S803" s="79"/>
      <c r="V803" s="79"/>
      <c r="W803" s="79"/>
      <c r="Z803" s="130"/>
      <c r="AB803" s="106"/>
    </row>
    <row r="804">
      <c r="C804" s="79"/>
      <c r="D804" s="79"/>
      <c r="E804" s="79"/>
      <c r="M804" s="79"/>
      <c r="R804" s="79"/>
      <c r="S804" s="79"/>
      <c r="V804" s="79"/>
      <c r="W804" s="79"/>
      <c r="Z804" s="130"/>
      <c r="AB804" s="106"/>
    </row>
    <row r="805">
      <c r="C805" s="79"/>
      <c r="D805" s="79"/>
      <c r="E805" s="79"/>
      <c r="M805" s="79"/>
      <c r="R805" s="79"/>
      <c r="S805" s="79"/>
      <c r="V805" s="79"/>
      <c r="W805" s="79"/>
      <c r="Z805" s="130"/>
      <c r="AB805" s="106"/>
    </row>
    <row r="806">
      <c r="C806" s="79"/>
      <c r="D806" s="79"/>
      <c r="E806" s="79"/>
      <c r="M806" s="79"/>
      <c r="R806" s="79"/>
      <c r="S806" s="79"/>
      <c r="V806" s="79"/>
      <c r="W806" s="79"/>
      <c r="Z806" s="130"/>
      <c r="AB806" s="106"/>
    </row>
    <row r="807">
      <c r="C807" s="79"/>
      <c r="D807" s="79"/>
      <c r="E807" s="79"/>
      <c r="M807" s="79"/>
      <c r="R807" s="79"/>
      <c r="S807" s="79"/>
      <c r="V807" s="79"/>
      <c r="W807" s="79"/>
      <c r="Z807" s="130"/>
      <c r="AB807" s="106"/>
    </row>
    <row r="808">
      <c r="C808" s="79"/>
      <c r="D808" s="79"/>
      <c r="E808" s="79"/>
      <c r="M808" s="79"/>
      <c r="R808" s="79"/>
      <c r="S808" s="79"/>
      <c r="V808" s="79"/>
      <c r="W808" s="79"/>
      <c r="Z808" s="130"/>
      <c r="AB808" s="106"/>
    </row>
    <row r="809">
      <c r="C809" s="79"/>
      <c r="D809" s="79"/>
      <c r="E809" s="79"/>
      <c r="M809" s="79"/>
      <c r="R809" s="79"/>
      <c r="S809" s="79"/>
      <c r="V809" s="79"/>
      <c r="W809" s="79"/>
      <c r="Z809" s="130"/>
      <c r="AB809" s="106"/>
    </row>
    <row r="810">
      <c r="C810" s="79"/>
      <c r="D810" s="79"/>
      <c r="E810" s="79"/>
      <c r="M810" s="79"/>
      <c r="R810" s="79"/>
      <c r="S810" s="79"/>
      <c r="V810" s="79"/>
      <c r="W810" s="79"/>
      <c r="Z810" s="130"/>
      <c r="AB810" s="106"/>
    </row>
    <row r="811">
      <c r="C811" s="79"/>
      <c r="D811" s="79"/>
      <c r="E811" s="79"/>
      <c r="M811" s="79"/>
      <c r="R811" s="79"/>
      <c r="S811" s="79"/>
      <c r="V811" s="79"/>
      <c r="W811" s="79"/>
      <c r="Z811" s="130"/>
      <c r="AB811" s="106"/>
    </row>
    <row r="812">
      <c r="C812" s="79"/>
      <c r="D812" s="79"/>
      <c r="E812" s="79"/>
      <c r="M812" s="79"/>
      <c r="R812" s="79"/>
      <c r="S812" s="79"/>
      <c r="V812" s="79"/>
      <c r="W812" s="79"/>
      <c r="Z812" s="130"/>
      <c r="AB812" s="106"/>
    </row>
    <row r="813">
      <c r="C813" s="79"/>
      <c r="D813" s="79"/>
      <c r="E813" s="79"/>
      <c r="M813" s="79"/>
      <c r="R813" s="79"/>
      <c r="S813" s="79"/>
      <c r="V813" s="79"/>
      <c r="W813" s="79"/>
      <c r="Z813" s="130"/>
      <c r="AB813" s="106"/>
    </row>
    <row r="814">
      <c r="C814" s="79"/>
      <c r="D814" s="79"/>
      <c r="E814" s="79"/>
      <c r="M814" s="79"/>
      <c r="R814" s="79"/>
      <c r="S814" s="79"/>
      <c r="V814" s="79"/>
      <c r="W814" s="79"/>
      <c r="Z814" s="130"/>
      <c r="AB814" s="106"/>
    </row>
    <row r="815">
      <c r="C815" s="79"/>
      <c r="D815" s="79"/>
      <c r="E815" s="79"/>
      <c r="M815" s="79"/>
      <c r="R815" s="79"/>
      <c r="S815" s="79"/>
      <c r="V815" s="79"/>
      <c r="W815" s="79"/>
      <c r="Z815" s="130"/>
      <c r="AB815" s="106"/>
    </row>
    <row r="816">
      <c r="C816" s="79"/>
      <c r="D816" s="79"/>
      <c r="E816" s="79"/>
      <c r="M816" s="79"/>
      <c r="R816" s="79"/>
      <c r="S816" s="79"/>
      <c r="V816" s="79"/>
      <c r="W816" s="79"/>
      <c r="Z816" s="130"/>
      <c r="AB816" s="106"/>
    </row>
    <row r="817">
      <c r="C817" s="79"/>
      <c r="D817" s="79"/>
      <c r="E817" s="79"/>
      <c r="M817" s="79"/>
      <c r="R817" s="79"/>
      <c r="S817" s="79"/>
      <c r="V817" s="79"/>
      <c r="W817" s="79"/>
      <c r="Z817" s="130"/>
      <c r="AB817" s="106"/>
    </row>
    <row r="818">
      <c r="C818" s="79"/>
      <c r="D818" s="79"/>
      <c r="E818" s="79"/>
      <c r="M818" s="79"/>
      <c r="R818" s="79"/>
      <c r="S818" s="79"/>
      <c r="V818" s="79"/>
      <c r="W818" s="79"/>
      <c r="Z818" s="130"/>
      <c r="AB818" s="106"/>
    </row>
    <row r="819">
      <c r="C819" s="79"/>
      <c r="D819" s="79"/>
      <c r="E819" s="79"/>
      <c r="M819" s="79"/>
      <c r="R819" s="79"/>
      <c r="S819" s="79"/>
      <c r="V819" s="79"/>
      <c r="W819" s="79"/>
      <c r="Z819" s="130"/>
      <c r="AB819" s="106"/>
    </row>
    <row r="820">
      <c r="C820" s="79"/>
      <c r="D820" s="79"/>
      <c r="E820" s="79"/>
      <c r="M820" s="79"/>
      <c r="R820" s="79"/>
      <c r="S820" s="79"/>
      <c r="V820" s="79"/>
      <c r="W820" s="79"/>
      <c r="Z820" s="130"/>
      <c r="AB820" s="106"/>
    </row>
    <row r="821">
      <c r="C821" s="79"/>
      <c r="D821" s="79"/>
      <c r="E821" s="79"/>
      <c r="M821" s="79"/>
      <c r="R821" s="79"/>
      <c r="S821" s="79"/>
      <c r="V821" s="79"/>
      <c r="W821" s="79"/>
      <c r="Z821" s="130"/>
      <c r="AB821" s="106"/>
    </row>
    <row r="822">
      <c r="C822" s="79"/>
      <c r="D822" s="79"/>
      <c r="E822" s="79"/>
      <c r="M822" s="79"/>
      <c r="R822" s="79"/>
      <c r="S822" s="79"/>
      <c r="V822" s="79"/>
      <c r="W822" s="79"/>
      <c r="Z822" s="130"/>
      <c r="AB822" s="106"/>
    </row>
    <row r="823">
      <c r="C823" s="79"/>
      <c r="D823" s="79"/>
      <c r="E823" s="79"/>
      <c r="M823" s="79"/>
      <c r="R823" s="79"/>
      <c r="S823" s="79"/>
      <c r="V823" s="79"/>
      <c r="W823" s="79"/>
      <c r="Z823" s="130"/>
      <c r="AB823" s="106"/>
    </row>
    <row r="824">
      <c r="C824" s="79"/>
      <c r="D824" s="79"/>
      <c r="E824" s="79"/>
      <c r="M824" s="79"/>
      <c r="R824" s="79"/>
      <c r="S824" s="79"/>
      <c r="V824" s="79"/>
      <c r="W824" s="79"/>
      <c r="Z824" s="130"/>
      <c r="AB824" s="106"/>
    </row>
    <row r="825">
      <c r="C825" s="79"/>
      <c r="D825" s="79"/>
      <c r="E825" s="79"/>
      <c r="M825" s="79"/>
      <c r="R825" s="79"/>
      <c r="S825" s="79"/>
      <c r="V825" s="79"/>
      <c r="W825" s="79"/>
      <c r="Z825" s="130"/>
      <c r="AB825" s="106"/>
    </row>
    <row r="826">
      <c r="C826" s="79"/>
      <c r="D826" s="79"/>
      <c r="E826" s="79"/>
      <c r="M826" s="79"/>
      <c r="R826" s="79"/>
      <c r="S826" s="79"/>
      <c r="V826" s="79"/>
      <c r="W826" s="79"/>
      <c r="Z826" s="130"/>
      <c r="AB826" s="106"/>
    </row>
    <row r="827">
      <c r="C827" s="79"/>
      <c r="D827" s="79"/>
      <c r="E827" s="79"/>
      <c r="M827" s="79"/>
      <c r="R827" s="79"/>
      <c r="S827" s="79"/>
      <c r="V827" s="79"/>
      <c r="W827" s="79"/>
      <c r="Z827" s="130"/>
      <c r="AB827" s="106"/>
    </row>
    <row r="828">
      <c r="C828" s="79"/>
      <c r="D828" s="79"/>
      <c r="E828" s="79"/>
      <c r="M828" s="79"/>
      <c r="R828" s="79"/>
      <c r="S828" s="79"/>
      <c r="V828" s="79"/>
      <c r="W828" s="79"/>
      <c r="Z828" s="130"/>
      <c r="AB828" s="106"/>
    </row>
    <row r="829">
      <c r="C829" s="79"/>
      <c r="D829" s="79"/>
      <c r="E829" s="79"/>
      <c r="M829" s="79"/>
      <c r="R829" s="79"/>
      <c r="S829" s="79"/>
      <c r="V829" s="79"/>
      <c r="W829" s="79"/>
      <c r="Z829" s="130"/>
      <c r="AB829" s="106"/>
    </row>
    <row r="830">
      <c r="C830" s="79"/>
      <c r="D830" s="79"/>
      <c r="E830" s="79"/>
      <c r="M830" s="79"/>
      <c r="R830" s="79"/>
      <c r="S830" s="79"/>
      <c r="V830" s="79"/>
      <c r="W830" s="79"/>
      <c r="Z830" s="130"/>
      <c r="AB830" s="106"/>
    </row>
    <row r="831">
      <c r="C831" s="79"/>
      <c r="D831" s="79"/>
      <c r="E831" s="79"/>
      <c r="M831" s="79"/>
      <c r="R831" s="79"/>
      <c r="S831" s="79"/>
      <c r="V831" s="79"/>
      <c r="W831" s="79"/>
      <c r="Z831" s="130"/>
      <c r="AB831" s="106"/>
    </row>
    <row r="832">
      <c r="C832" s="79"/>
      <c r="D832" s="79"/>
      <c r="E832" s="79"/>
      <c r="M832" s="79"/>
      <c r="R832" s="79"/>
      <c r="S832" s="79"/>
      <c r="V832" s="79"/>
      <c r="W832" s="79"/>
      <c r="Z832" s="130"/>
      <c r="AB832" s="106"/>
    </row>
    <row r="833">
      <c r="C833" s="79"/>
      <c r="D833" s="79"/>
      <c r="E833" s="79"/>
      <c r="M833" s="79"/>
      <c r="R833" s="79"/>
      <c r="S833" s="79"/>
      <c r="V833" s="79"/>
      <c r="W833" s="79"/>
      <c r="Z833" s="130"/>
      <c r="AB833" s="106"/>
    </row>
    <row r="834">
      <c r="C834" s="79"/>
      <c r="D834" s="79"/>
      <c r="E834" s="79"/>
      <c r="M834" s="79"/>
      <c r="R834" s="79"/>
      <c r="S834" s="79"/>
      <c r="V834" s="79"/>
      <c r="W834" s="79"/>
      <c r="Z834" s="130"/>
      <c r="AB834" s="106"/>
    </row>
    <row r="835">
      <c r="C835" s="79"/>
      <c r="D835" s="79"/>
      <c r="E835" s="79"/>
      <c r="M835" s="79"/>
      <c r="R835" s="79"/>
      <c r="S835" s="79"/>
      <c r="V835" s="79"/>
      <c r="W835" s="79"/>
      <c r="Z835" s="130"/>
      <c r="AB835" s="106"/>
    </row>
    <row r="836">
      <c r="C836" s="79"/>
      <c r="D836" s="79"/>
      <c r="E836" s="79"/>
      <c r="M836" s="79"/>
      <c r="R836" s="79"/>
      <c r="S836" s="79"/>
      <c r="V836" s="79"/>
      <c r="W836" s="79"/>
      <c r="Z836" s="130"/>
      <c r="AB836" s="106"/>
    </row>
    <row r="837">
      <c r="C837" s="79"/>
      <c r="D837" s="79"/>
      <c r="E837" s="79"/>
      <c r="M837" s="79"/>
      <c r="R837" s="79"/>
      <c r="S837" s="79"/>
      <c r="V837" s="79"/>
      <c r="W837" s="79"/>
      <c r="Z837" s="130"/>
      <c r="AB837" s="106"/>
    </row>
    <row r="838">
      <c r="C838" s="79"/>
      <c r="D838" s="79"/>
      <c r="E838" s="79"/>
      <c r="M838" s="79"/>
      <c r="R838" s="79"/>
      <c r="S838" s="79"/>
      <c r="V838" s="79"/>
      <c r="W838" s="79"/>
      <c r="Z838" s="130"/>
      <c r="AB838" s="106"/>
    </row>
    <row r="839">
      <c r="C839" s="79"/>
      <c r="D839" s="79"/>
      <c r="E839" s="79"/>
      <c r="M839" s="79"/>
      <c r="R839" s="79"/>
      <c r="S839" s="79"/>
      <c r="V839" s="79"/>
      <c r="W839" s="79"/>
      <c r="Z839" s="130"/>
      <c r="AB839" s="106"/>
    </row>
    <row r="840">
      <c r="C840" s="79"/>
      <c r="D840" s="79"/>
      <c r="E840" s="79"/>
      <c r="M840" s="79"/>
      <c r="R840" s="79"/>
      <c r="S840" s="79"/>
      <c r="V840" s="79"/>
      <c r="W840" s="79"/>
      <c r="Z840" s="130"/>
      <c r="AB840" s="106"/>
    </row>
    <row r="841">
      <c r="C841" s="79"/>
      <c r="D841" s="79"/>
      <c r="E841" s="79"/>
      <c r="M841" s="79"/>
      <c r="R841" s="79"/>
      <c r="S841" s="79"/>
      <c r="V841" s="79"/>
      <c r="W841" s="79"/>
      <c r="Z841" s="130"/>
      <c r="AB841" s="106"/>
    </row>
    <row r="842">
      <c r="C842" s="79"/>
      <c r="D842" s="79"/>
      <c r="E842" s="79"/>
      <c r="M842" s="79"/>
      <c r="R842" s="79"/>
      <c r="S842" s="79"/>
      <c r="V842" s="79"/>
      <c r="W842" s="79"/>
      <c r="Z842" s="130"/>
      <c r="AB842" s="106"/>
    </row>
    <row r="843">
      <c r="C843" s="79"/>
      <c r="D843" s="79"/>
      <c r="E843" s="79"/>
      <c r="M843" s="79"/>
      <c r="R843" s="79"/>
      <c r="S843" s="79"/>
      <c r="V843" s="79"/>
      <c r="W843" s="79"/>
      <c r="Z843" s="130"/>
      <c r="AB843" s="106"/>
    </row>
    <row r="844">
      <c r="C844" s="79"/>
      <c r="D844" s="79"/>
      <c r="E844" s="79"/>
      <c r="M844" s="79"/>
      <c r="R844" s="79"/>
      <c r="S844" s="79"/>
      <c r="V844" s="79"/>
      <c r="W844" s="79"/>
      <c r="Z844" s="130"/>
      <c r="AB844" s="106"/>
    </row>
    <row r="845">
      <c r="C845" s="79"/>
      <c r="D845" s="79"/>
      <c r="E845" s="79"/>
      <c r="M845" s="79"/>
      <c r="R845" s="79"/>
      <c r="S845" s="79"/>
      <c r="V845" s="79"/>
      <c r="W845" s="79"/>
      <c r="Z845" s="130"/>
      <c r="AB845" s="106"/>
    </row>
    <row r="846">
      <c r="C846" s="79"/>
      <c r="D846" s="79"/>
      <c r="E846" s="79"/>
      <c r="M846" s="79"/>
      <c r="R846" s="79"/>
      <c r="S846" s="79"/>
      <c r="V846" s="79"/>
      <c r="W846" s="79"/>
      <c r="Z846" s="130"/>
      <c r="AB846" s="106"/>
    </row>
    <row r="847">
      <c r="C847" s="79"/>
      <c r="D847" s="79"/>
      <c r="E847" s="79"/>
      <c r="M847" s="79"/>
      <c r="R847" s="79"/>
      <c r="S847" s="79"/>
      <c r="V847" s="79"/>
      <c r="W847" s="79"/>
      <c r="Z847" s="130"/>
      <c r="AB847" s="106"/>
    </row>
    <row r="848">
      <c r="C848" s="79"/>
      <c r="D848" s="79"/>
      <c r="E848" s="79"/>
      <c r="M848" s="79"/>
      <c r="R848" s="79"/>
      <c r="S848" s="79"/>
      <c r="V848" s="79"/>
      <c r="W848" s="79"/>
      <c r="Z848" s="130"/>
      <c r="AB848" s="106"/>
    </row>
    <row r="849">
      <c r="C849" s="79"/>
      <c r="D849" s="79"/>
      <c r="E849" s="79"/>
      <c r="M849" s="79"/>
      <c r="R849" s="79"/>
      <c r="S849" s="79"/>
      <c r="V849" s="79"/>
      <c r="W849" s="79"/>
      <c r="Z849" s="130"/>
      <c r="AB849" s="106"/>
    </row>
    <row r="850">
      <c r="C850" s="79"/>
      <c r="D850" s="79"/>
      <c r="E850" s="79"/>
      <c r="M850" s="79"/>
      <c r="R850" s="79"/>
      <c r="S850" s="79"/>
      <c r="V850" s="79"/>
      <c r="W850" s="79"/>
      <c r="Z850" s="130"/>
      <c r="AB850" s="106"/>
    </row>
    <row r="851">
      <c r="C851" s="79"/>
      <c r="D851" s="79"/>
      <c r="E851" s="79"/>
      <c r="M851" s="79"/>
      <c r="R851" s="79"/>
      <c r="S851" s="79"/>
      <c r="V851" s="79"/>
      <c r="W851" s="79"/>
      <c r="Z851" s="130"/>
      <c r="AB851" s="106"/>
    </row>
    <row r="852">
      <c r="C852" s="79"/>
      <c r="D852" s="79"/>
      <c r="E852" s="79"/>
      <c r="M852" s="79"/>
      <c r="R852" s="79"/>
      <c r="S852" s="79"/>
      <c r="V852" s="79"/>
      <c r="W852" s="79"/>
      <c r="Z852" s="130"/>
      <c r="AB852" s="106"/>
    </row>
    <row r="853">
      <c r="C853" s="79"/>
      <c r="D853" s="79"/>
      <c r="E853" s="79"/>
      <c r="M853" s="79"/>
      <c r="R853" s="79"/>
      <c r="S853" s="79"/>
      <c r="V853" s="79"/>
      <c r="W853" s="79"/>
      <c r="Z853" s="130"/>
      <c r="AB853" s="106"/>
    </row>
    <row r="854">
      <c r="C854" s="79"/>
      <c r="D854" s="79"/>
      <c r="E854" s="79"/>
      <c r="M854" s="79"/>
      <c r="R854" s="79"/>
      <c r="S854" s="79"/>
      <c r="V854" s="79"/>
      <c r="W854" s="79"/>
      <c r="Z854" s="130"/>
      <c r="AB854" s="106"/>
    </row>
    <row r="855">
      <c r="C855" s="79"/>
      <c r="D855" s="79"/>
      <c r="E855" s="79"/>
      <c r="M855" s="79"/>
      <c r="R855" s="79"/>
      <c r="S855" s="79"/>
      <c r="V855" s="79"/>
      <c r="W855" s="79"/>
      <c r="Z855" s="130"/>
      <c r="AB855" s="106"/>
    </row>
    <row r="856">
      <c r="C856" s="79"/>
      <c r="D856" s="79"/>
      <c r="E856" s="79"/>
      <c r="M856" s="79"/>
      <c r="R856" s="79"/>
      <c r="S856" s="79"/>
      <c r="V856" s="79"/>
      <c r="W856" s="79"/>
      <c r="Z856" s="130"/>
      <c r="AB856" s="106"/>
    </row>
    <row r="857">
      <c r="C857" s="79"/>
      <c r="D857" s="79"/>
      <c r="E857" s="79"/>
      <c r="M857" s="79"/>
      <c r="R857" s="79"/>
      <c r="S857" s="79"/>
      <c r="V857" s="79"/>
      <c r="W857" s="79"/>
      <c r="Z857" s="130"/>
      <c r="AB857" s="106"/>
    </row>
    <row r="858">
      <c r="C858" s="79"/>
      <c r="D858" s="79"/>
      <c r="E858" s="79"/>
      <c r="M858" s="79"/>
      <c r="R858" s="79"/>
      <c r="S858" s="79"/>
      <c r="V858" s="79"/>
      <c r="W858" s="79"/>
      <c r="Z858" s="130"/>
      <c r="AB858" s="106"/>
    </row>
    <row r="859">
      <c r="C859" s="79"/>
      <c r="D859" s="79"/>
      <c r="E859" s="79"/>
      <c r="M859" s="79"/>
      <c r="R859" s="79"/>
      <c r="S859" s="79"/>
      <c r="V859" s="79"/>
      <c r="W859" s="79"/>
      <c r="Z859" s="130"/>
      <c r="AB859" s="106"/>
    </row>
    <row r="860">
      <c r="C860" s="79"/>
      <c r="D860" s="79"/>
      <c r="E860" s="79"/>
      <c r="M860" s="79"/>
      <c r="R860" s="79"/>
      <c r="S860" s="79"/>
      <c r="V860" s="79"/>
      <c r="W860" s="79"/>
      <c r="Z860" s="130"/>
      <c r="AB860" s="106"/>
    </row>
    <row r="861">
      <c r="C861" s="79"/>
      <c r="D861" s="79"/>
      <c r="E861" s="79"/>
      <c r="M861" s="79"/>
      <c r="R861" s="79"/>
      <c r="S861" s="79"/>
      <c r="V861" s="79"/>
      <c r="W861" s="79"/>
      <c r="Z861" s="130"/>
      <c r="AB861" s="106"/>
    </row>
    <row r="862">
      <c r="C862" s="79"/>
      <c r="D862" s="79"/>
      <c r="E862" s="79"/>
      <c r="M862" s="79"/>
      <c r="R862" s="79"/>
      <c r="S862" s="79"/>
      <c r="V862" s="79"/>
      <c r="W862" s="79"/>
      <c r="Z862" s="130"/>
      <c r="AB862" s="106"/>
    </row>
    <row r="863">
      <c r="C863" s="79"/>
      <c r="D863" s="79"/>
      <c r="E863" s="79"/>
      <c r="M863" s="79"/>
      <c r="R863" s="79"/>
      <c r="S863" s="79"/>
      <c r="V863" s="79"/>
      <c r="W863" s="79"/>
      <c r="Z863" s="130"/>
      <c r="AB863" s="106"/>
    </row>
    <row r="864">
      <c r="C864" s="79"/>
      <c r="D864" s="79"/>
      <c r="E864" s="79"/>
      <c r="M864" s="79"/>
      <c r="R864" s="79"/>
      <c r="S864" s="79"/>
      <c r="V864" s="79"/>
      <c r="W864" s="79"/>
      <c r="Z864" s="130"/>
      <c r="AB864" s="106"/>
    </row>
    <row r="865">
      <c r="C865" s="79"/>
      <c r="D865" s="79"/>
      <c r="E865" s="79"/>
      <c r="M865" s="79"/>
      <c r="R865" s="79"/>
      <c r="S865" s="79"/>
      <c r="V865" s="79"/>
      <c r="W865" s="79"/>
      <c r="Z865" s="130"/>
      <c r="AB865" s="106"/>
    </row>
    <row r="866">
      <c r="C866" s="79"/>
      <c r="D866" s="79"/>
      <c r="E866" s="79"/>
      <c r="M866" s="79"/>
      <c r="R866" s="79"/>
      <c r="S866" s="79"/>
      <c r="V866" s="79"/>
      <c r="W866" s="79"/>
      <c r="Z866" s="130"/>
      <c r="AB866" s="106"/>
    </row>
    <row r="867">
      <c r="C867" s="79"/>
      <c r="D867" s="79"/>
      <c r="E867" s="79"/>
      <c r="M867" s="79"/>
      <c r="R867" s="79"/>
      <c r="S867" s="79"/>
      <c r="V867" s="79"/>
      <c r="W867" s="79"/>
      <c r="Z867" s="130"/>
      <c r="AB867" s="106"/>
    </row>
    <row r="868">
      <c r="C868" s="79"/>
      <c r="D868" s="79"/>
      <c r="E868" s="79"/>
      <c r="M868" s="79"/>
      <c r="R868" s="79"/>
      <c r="S868" s="79"/>
      <c r="V868" s="79"/>
      <c r="W868" s="79"/>
      <c r="Z868" s="130"/>
      <c r="AB868" s="106"/>
    </row>
    <row r="869">
      <c r="C869" s="79"/>
      <c r="D869" s="79"/>
      <c r="E869" s="79"/>
      <c r="M869" s="79"/>
      <c r="R869" s="79"/>
      <c r="S869" s="79"/>
      <c r="V869" s="79"/>
      <c r="W869" s="79"/>
      <c r="Z869" s="130"/>
      <c r="AB869" s="106"/>
    </row>
    <row r="870">
      <c r="C870" s="79"/>
      <c r="D870" s="79"/>
      <c r="E870" s="79"/>
      <c r="M870" s="79"/>
      <c r="R870" s="79"/>
      <c r="S870" s="79"/>
      <c r="V870" s="79"/>
      <c r="W870" s="79"/>
      <c r="Z870" s="130"/>
      <c r="AB870" s="106"/>
    </row>
    <row r="871">
      <c r="C871" s="79"/>
      <c r="D871" s="79"/>
      <c r="E871" s="79"/>
      <c r="M871" s="79"/>
      <c r="R871" s="79"/>
      <c r="S871" s="79"/>
      <c r="V871" s="79"/>
      <c r="W871" s="79"/>
      <c r="Z871" s="130"/>
      <c r="AB871" s="106"/>
    </row>
    <row r="872">
      <c r="C872" s="79"/>
      <c r="D872" s="79"/>
      <c r="E872" s="79"/>
      <c r="M872" s="79"/>
      <c r="R872" s="79"/>
      <c r="S872" s="79"/>
      <c r="V872" s="79"/>
      <c r="W872" s="79"/>
      <c r="Z872" s="130"/>
      <c r="AB872" s="106"/>
    </row>
    <row r="873">
      <c r="C873" s="79"/>
      <c r="D873" s="79"/>
      <c r="E873" s="79"/>
      <c r="M873" s="79"/>
      <c r="R873" s="79"/>
      <c r="S873" s="79"/>
      <c r="V873" s="79"/>
      <c r="W873" s="79"/>
      <c r="Z873" s="130"/>
      <c r="AB873" s="106"/>
    </row>
    <row r="874">
      <c r="C874" s="79"/>
      <c r="D874" s="79"/>
      <c r="E874" s="79"/>
      <c r="M874" s="79"/>
      <c r="R874" s="79"/>
      <c r="S874" s="79"/>
      <c r="V874" s="79"/>
      <c r="W874" s="79"/>
      <c r="Z874" s="130"/>
      <c r="AB874" s="106"/>
    </row>
    <row r="875">
      <c r="C875" s="79"/>
      <c r="D875" s="79"/>
      <c r="E875" s="79"/>
      <c r="M875" s="79"/>
      <c r="R875" s="79"/>
      <c r="S875" s="79"/>
      <c r="V875" s="79"/>
      <c r="W875" s="79"/>
      <c r="Z875" s="130"/>
      <c r="AB875" s="106"/>
    </row>
    <row r="876">
      <c r="C876" s="79"/>
      <c r="D876" s="79"/>
      <c r="E876" s="79"/>
      <c r="M876" s="79"/>
      <c r="R876" s="79"/>
      <c r="S876" s="79"/>
      <c r="V876" s="79"/>
      <c r="W876" s="79"/>
      <c r="Z876" s="130"/>
      <c r="AB876" s="106"/>
    </row>
    <row r="877">
      <c r="C877" s="79"/>
      <c r="D877" s="79"/>
      <c r="E877" s="79"/>
      <c r="M877" s="79"/>
      <c r="R877" s="79"/>
      <c r="S877" s="79"/>
      <c r="V877" s="79"/>
      <c r="W877" s="79"/>
      <c r="Z877" s="130"/>
      <c r="AB877" s="106"/>
    </row>
    <row r="878">
      <c r="C878" s="79"/>
      <c r="D878" s="79"/>
      <c r="E878" s="79"/>
      <c r="M878" s="79"/>
      <c r="R878" s="79"/>
      <c r="S878" s="79"/>
      <c r="V878" s="79"/>
      <c r="W878" s="79"/>
      <c r="Z878" s="130"/>
      <c r="AB878" s="106"/>
    </row>
    <row r="879">
      <c r="C879" s="79"/>
      <c r="D879" s="79"/>
      <c r="E879" s="79"/>
      <c r="M879" s="79"/>
      <c r="R879" s="79"/>
      <c r="S879" s="79"/>
      <c r="V879" s="79"/>
      <c r="W879" s="79"/>
      <c r="Z879" s="130"/>
      <c r="AB879" s="106"/>
    </row>
    <row r="880">
      <c r="C880" s="79"/>
      <c r="D880" s="79"/>
      <c r="E880" s="79"/>
      <c r="M880" s="79"/>
      <c r="R880" s="79"/>
      <c r="S880" s="79"/>
      <c r="V880" s="79"/>
      <c r="W880" s="79"/>
      <c r="Z880" s="130"/>
      <c r="AB880" s="106"/>
    </row>
    <row r="881">
      <c r="C881" s="79"/>
      <c r="D881" s="79"/>
      <c r="E881" s="79"/>
      <c r="M881" s="79"/>
      <c r="R881" s="79"/>
      <c r="S881" s="79"/>
      <c r="V881" s="79"/>
      <c r="W881" s="79"/>
      <c r="Z881" s="130"/>
      <c r="AB881" s="106"/>
    </row>
    <row r="882">
      <c r="C882" s="79"/>
      <c r="D882" s="79"/>
      <c r="E882" s="79"/>
      <c r="M882" s="79"/>
      <c r="R882" s="79"/>
      <c r="S882" s="79"/>
      <c r="V882" s="79"/>
      <c r="W882" s="79"/>
      <c r="Z882" s="130"/>
      <c r="AB882" s="106"/>
    </row>
    <row r="883">
      <c r="C883" s="79"/>
      <c r="D883" s="79"/>
      <c r="E883" s="79"/>
      <c r="M883" s="79"/>
      <c r="R883" s="79"/>
      <c r="S883" s="79"/>
      <c r="V883" s="79"/>
      <c r="W883" s="79"/>
      <c r="Z883" s="130"/>
      <c r="AB883" s="106"/>
    </row>
    <row r="884">
      <c r="C884" s="79"/>
      <c r="D884" s="79"/>
      <c r="E884" s="79"/>
      <c r="M884" s="79"/>
      <c r="R884" s="79"/>
      <c r="S884" s="79"/>
      <c r="V884" s="79"/>
      <c r="W884" s="79"/>
      <c r="Z884" s="130"/>
      <c r="AB884" s="106"/>
    </row>
    <row r="885">
      <c r="C885" s="79"/>
      <c r="D885" s="79"/>
      <c r="E885" s="79"/>
      <c r="M885" s="79"/>
      <c r="R885" s="79"/>
      <c r="S885" s="79"/>
      <c r="V885" s="79"/>
      <c r="W885" s="79"/>
      <c r="Z885" s="130"/>
      <c r="AB885" s="106"/>
    </row>
    <row r="886">
      <c r="C886" s="79"/>
      <c r="D886" s="79"/>
      <c r="E886" s="79"/>
      <c r="M886" s="79"/>
      <c r="R886" s="79"/>
      <c r="S886" s="79"/>
      <c r="V886" s="79"/>
      <c r="W886" s="79"/>
      <c r="Z886" s="130"/>
      <c r="AB886" s="106"/>
    </row>
    <row r="887">
      <c r="C887" s="79"/>
      <c r="D887" s="79"/>
      <c r="E887" s="79"/>
      <c r="M887" s="79"/>
      <c r="R887" s="79"/>
      <c r="S887" s="79"/>
      <c r="V887" s="79"/>
      <c r="W887" s="79"/>
      <c r="Z887" s="130"/>
      <c r="AB887" s="106"/>
    </row>
    <row r="888">
      <c r="C888" s="79"/>
      <c r="D888" s="79"/>
      <c r="E888" s="79"/>
      <c r="M888" s="79"/>
      <c r="R888" s="79"/>
      <c r="S888" s="79"/>
      <c r="V888" s="79"/>
      <c r="W888" s="79"/>
      <c r="Z888" s="130"/>
      <c r="AB888" s="106"/>
    </row>
    <row r="889">
      <c r="C889" s="79"/>
      <c r="D889" s="79"/>
      <c r="E889" s="79"/>
      <c r="M889" s="79"/>
      <c r="R889" s="79"/>
      <c r="S889" s="79"/>
      <c r="V889" s="79"/>
      <c r="W889" s="79"/>
      <c r="Z889" s="130"/>
      <c r="AB889" s="106"/>
    </row>
    <row r="890">
      <c r="C890" s="79"/>
      <c r="D890" s="79"/>
      <c r="E890" s="79"/>
      <c r="M890" s="79"/>
      <c r="R890" s="79"/>
      <c r="S890" s="79"/>
      <c r="V890" s="79"/>
      <c r="W890" s="79"/>
      <c r="Z890" s="130"/>
      <c r="AB890" s="106"/>
    </row>
    <row r="891">
      <c r="C891" s="79"/>
      <c r="D891" s="79"/>
      <c r="E891" s="79"/>
      <c r="M891" s="79"/>
      <c r="R891" s="79"/>
      <c r="S891" s="79"/>
      <c r="V891" s="79"/>
      <c r="W891" s="79"/>
      <c r="Z891" s="130"/>
      <c r="AB891" s="106"/>
    </row>
    <row r="892">
      <c r="C892" s="79"/>
      <c r="D892" s="79"/>
      <c r="E892" s="79"/>
      <c r="M892" s="79"/>
      <c r="R892" s="79"/>
      <c r="S892" s="79"/>
      <c r="V892" s="79"/>
      <c r="W892" s="79"/>
      <c r="Z892" s="130"/>
      <c r="AB892" s="106"/>
    </row>
    <row r="893">
      <c r="C893" s="79"/>
      <c r="D893" s="79"/>
      <c r="E893" s="79"/>
      <c r="M893" s="79"/>
      <c r="R893" s="79"/>
      <c r="S893" s="79"/>
      <c r="V893" s="79"/>
      <c r="W893" s="79"/>
      <c r="Z893" s="130"/>
      <c r="AB893" s="106"/>
    </row>
    <row r="894">
      <c r="C894" s="79"/>
      <c r="D894" s="79"/>
      <c r="E894" s="79"/>
      <c r="M894" s="79"/>
      <c r="R894" s="79"/>
      <c r="S894" s="79"/>
      <c r="V894" s="79"/>
      <c r="W894" s="79"/>
      <c r="Z894" s="130"/>
      <c r="AB894" s="106"/>
    </row>
    <row r="895">
      <c r="C895" s="79"/>
      <c r="D895" s="79"/>
      <c r="E895" s="79"/>
      <c r="M895" s="79"/>
      <c r="R895" s="79"/>
      <c r="S895" s="79"/>
      <c r="V895" s="79"/>
      <c r="W895" s="79"/>
      <c r="Z895" s="130"/>
      <c r="AB895" s="106"/>
    </row>
    <row r="896">
      <c r="C896" s="79"/>
      <c r="D896" s="79"/>
      <c r="E896" s="79"/>
      <c r="M896" s="79"/>
      <c r="R896" s="79"/>
      <c r="S896" s="79"/>
      <c r="V896" s="79"/>
      <c r="W896" s="79"/>
      <c r="Z896" s="130"/>
      <c r="AB896" s="106"/>
    </row>
    <row r="897">
      <c r="C897" s="79"/>
      <c r="D897" s="79"/>
      <c r="E897" s="79"/>
      <c r="M897" s="79"/>
      <c r="R897" s="79"/>
      <c r="S897" s="79"/>
      <c r="V897" s="79"/>
      <c r="W897" s="79"/>
      <c r="Z897" s="130"/>
      <c r="AB897" s="106"/>
    </row>
    <row r="898">
      <c r="C898" s="79"/>
      <c r="D898" s="79"/>
      <c r="E898" s="79"/>
      <c r="M898" s="79"/>
      <c r="R898" s="79"/>
      <c r="S898" s="79"/>
      <c r="V898" s="79"/>
      <c r="W898" s="79"/>
      <c r="Z898" s="130"/>
      <c r="AB898" s="106"/>
    </row>
    <row r="899">
      <c r="C899" s="79"/>
      <c r="D899" s="79"/>
      <c r="E899" s="79"/>
      <c r="M899" s="79"/>
      <c r="R899" s="79"/>
      <c r="S899" s="79"/>
      <c r="V899" s="79"/>
      <c r="W899" s="79"/>
      <c r="Z899" s="130"/>
      <c r="AB899" s="106"/>
    </row>
    <row r="900">
      <c r="C900" s="79"/>
      <c r="D900" s="79"/>
      <c r="E900" s="79"/>
      <c r="M900" s="79"/>
      <c r="R900" s="79"/>
      <c r="S900" s="79"/>
      <c r="V900" s="79"/>
      <c r="W900" s="79"/>
      <c r="Z900" s="130"/>
      <c r="AB900" s="106"/>
    </row>
    <row r="901">
      <c r="C901" s="79"/>
      <c r="D901" s="79"/>
      <c r="E901" s="79"/>
      <c r="M901" s="79"/>
      <c r="R901" s="79"/>
      <c r="S901" s="79"/>
      <c r="V901" s="79"/>
      <c r="W901" s="79"/>
      <c r="Z901" s="130"/>
      <c r="AB901" s="106"/>
    </row>
    <row r="902">
      <c r="C902" s="79"/>
      <c r="D902" s="79"/>
      <c r="E902" s="79"/>
      <c r="M902" s="79"/>
      <c r="R902" s="79"/>
      <c r="S902" s="79"/>
      <c r="V902" s="79"/>
      <c r="W902" s="79"/>
      <c r="Z902" s="130"/>
      <c r="AB902" s="106"/>
    </row>
    <row r="903">
      <c r="C903" s="79"/>
      <c r="D903" s="79"/>
      <c r="E903" s="79"/>
      <c r="M903" s="79"/>
      <c r="R903" s="79"/>
      <c r="S903" s="79"/>
      <c r="V903" s="79"/>
      <c r="W903" s="79"/>
      <c r="Z903" s="130"/>
      <c r="AB903" s="106"/>
    </row>
    <row r="904">
      <c r="C904" s="79"/>
      <c r="D904" s="79"/>
      <c r="E904" s="79"/>
      <c r="M904" s="79"/>
      <c r="R904" s="79"/>
      <c r="S904" s="79"/>
      <c r="V904" s="79"/>
      <c r="W904" s="79"/>
      <c r="Z904" s="130"/>
      <c r="AB904" s="106"/>
    </row>
    <row r="905">
      <c r="C905" s="79"/>
      <c r="D905" s="79"/>
      <c r="E905" s="79"/>
      <c r="M905" s="79"/>
      <c r="R905" s="79"/>
      <c r="S905" s="79"/>
      <c r="V905" s="79"/>
      <c r="W905" s="79"/>
      <c r="Z905" s="130"/>
      <c r="AB905" s="106"/>
    </row>
    <row r="906">
      <c r="C906" s="79"/>
      <c r="D906" s="79"/>
      <c r="E906" s="79"/>
      <c r="M906" s="79"/>
      <c r="R906" s="79"/>
      <c r="S906" s="79"/>
      <c r="V906" s="79"/>
      <c r="W906" s="79"/>
      <c r="Z906" s="130"/>
      <c r="AB906" s="106"/>
    </row>
    <row r="907">
      <c r="C907" s="79"/>
      <c r="D907" s="79"/>
      <c r="E907" s="79"/>
      <c r="M907" s="79"/>
      <c r="R907" s="79"/>
      <c r="S907" s="79"/>
      <c r="V907" s="79"/>
      <c r="W907" s="79"/>
      <c r="Z907" s="130"/>
      <c r="AB907" s="106"/>
    </row>
    <row r="908">
      <c r="C908" s="79"/>
      <c r="D908" s="79"/>
      <c r="E908" s="79"/>
      <c r="M908" s="79"/>
      <c r="R908" s="79"/>
      <c r="S908" s="79"/>
      <c r="V908" s="79"/>
      <c r="W908" s="79"/>
      <c r="Z908" s="130"/>
      <c r="AB908" s="106"/>
    </row>
    <row r="909">
      <c r="C909" s="79"/>
      <c r="D909" s="79"/>
      <c r="E909" s="79"/>
      <c r="M909" s="79"/>
      <c r="R909" s="79"/>
      <c r="S909" s="79"/>
      <c r="V909" s="79"/>
      <c r="W909" s="79"/>
      <c r="Z909" s="130"/>
      <c r="AB909" s="106"/>
    </row>
    <row r="910">
      <c r="C910" s="79"/>
      <c r="D910" s="79"/>
      <c r="E910" s="79"/>
      <c r="M910" s="79"/>
      <c r="R910" s="79"/>
      <c r="S910" s="79"/>
      <c r="V910" s="79"/>
      <c r="W910" s="79"/>
      <c r="Z910" s="130"/>
      <c r="AB910" s="106"/>
    </row>
    <row r="911">
      <c r="C911" s="79"/>
      <c r="D911" s="79"/>
      <c r="E911" s="79"/>
      <c r="M911" s="79"/>
      <c r="R911" s="79"/>
      <c r="S911" s="79"/>
      <c r="V911" s="79"/>
      <c r="W911" s="79"/>
      <c r="Z911" s="130"/>
      <c r="AB911" s="106"/>
    </row>
    <row r="912">
      <c r="C912" s="79"/>
      <c r="D912" s="79"/>
      <c r="E912" s="79"/>
      <c r="M912" s="79"/>
      <c r="R912" s="79"/>
      <c r="S912" s="79"/>
      <c r="V912" s="79"/>
      <c r="W912" s="79"/>
      <c r="Z912" s="130"/>
      <c r="AB912" s="106"/>
    </row>
    <row r="913">
      <c r="C913" s="79"/>
      <c r="D913" s="79"/>
      <c r="E913" s="79"/>
      <c r="M913" s="79"/>
      <c r="R913" s="79"/>
      <c r="S913" s="79"/>
      <c r="V913" s="79"/>
      <c r="W913" s="79"/>
      <c r="Z913" s="130"/>
      <c r="AB913" s="106"/>
    </row>
    <row r="914">
      <c r="C914" s="79"/>
      <c r="D914" s="79"/>
      <c r="E914" s="79"/>
      <c r="M914" s="79"/>
      <c r="R914" s="79"/>
      <c r="S914" s="79"/>
      <c r="V914" s="79"/>
      <c r="W914" s="79"/>
      <c r="Z914" s="130"/>
      <c r="AB914" s="106"/>
    </row>
    <row r="915">
      <c r="C915" s="79"/>
      <c r="D915" s="79"/>
      <c r="E915" s="79"/>
      <c r="M915" s="79"/>
      <c r="R915" s="79"/>
      <c r="S915" s="79"/>
      <c r="V915" s="79"/>
      <c r="W915" s="79"/>
      <c r="Z915" s="130"/>
      <c r="AB915" s="106"/>
    </row>
    <row r="916">
      <c r="C916" s="79"/>
      <c r="D916" s="79"/>
      <c r="E916" s="79"/>
      <c r="M916" s="79"/>
      <c r="R916" s="79"/>
      <c r="S916" s="79"/>
      <c r="V916" s="79"/>
      <c r="W916" s="79"/>
      <c r="Z916" s="130"/>
      <c r="AB916" s="106"/>
    </row>
    <row r="917">
      <c r="C917" s="79"/>
      <c r="D917" s="79"/>
      <c r="E917" s="79"/>
      <c r="M917" s="79"/>
      <c r="R917" s="79"/>
      <c r="S917" s="79"/>
      <c r="V917" s="79"/>
      <c r="W917" s="79"/>
      <c r="Z917" s="130"/>
      <c r="AB917" s="106"/>
    </row>
    <row r="918">
      <c r="C918" s="79"/>
      <c r="D918" s="79"/>
      <c r="E918" s="79"/>
      <c r="M918" s="79"/>
      <c r="R918" s="79"/>
      <c r="S918" s="79"/>
      <c r="V918" s="79"/>
      <c r="W918" s="79"/>
      <c r="Z918" s="130"/>
      <c r="AB918" s="106"/>
    </row>
    <row r="919">
      <c r="C919" s="79"/>
      <c r="D919" s="79"/>
      <c r="E919" s="79"/>
      <c r="M919" s="79"/>
      <c r="R919" s="79"/>
      <c r="S919" s="79"/>
      <c r="V919" s="79"/>
      <c r="W919" s="79"/>
      <c r="Z919" s="130"/>
      <c r="AB919" s="106"/>
    </row>
    <row r="920">
      <c r="C920" s="79"/>
      <c r="D920" s="79"/>
      <c r="E920" s="79"/>
      <c r="M920" s="79"/>
      <c r="R920" s="79"/>
      <c r="S920" s="79"/>
      <c r="V920" s="79"/>
      <c r="W920" s="79"/>
      <c r="Z920" s="130"/>
      <c r="AB920" s="106"/>
    </row>
    <row r="921">
      <c r="C921" s="79"/>
      <c r="D921" s="79"/>
      <c r="E921" s="79"/>
      <c r="M921" s="79"/>
      <c r="R921" s="79"/>
      <c r="S921" s="79"/>
      <c r="V921" s="79"/>
      <c r="W921" s="79"/>
      <c r="Z921" s="130"/>
      <c r="AB921" s="106"/>
    </row>
    <row r="922">
      <c r="C922" s="79"/>
      <c r="D922" s="79"/>
      <c r="E922" s="79"/>
      <c r="M922" s="79"/>
      <c r="R922" s="79"/>
      <c r="S922" s="79"/>
      <c r="V922" s="79"/>
      <c r="W922" s="79"/>
      <c r="Z922" s="130"/>
      <c r="AB922" s="106"/>
    </row>
    <row r="923">
      <c r="C923" s="79"/>
      <c r="D923" s="79"/>
      <c r="E923" s="79"/>
      <c r="M923" s="79"/>
      <c r="R923" s="79"/>
      <c r="S923" s="79"/>
      <c r="V923" s="79"/>
      <c r="W923" s="79"/>
      <c r="Z923" s="130"/>
      <c r="AB923" s="106"/>
    </row>
    <row r="924">
      <c r="C924" s="79"/>
      <c r="D924" s="79"/>
      <c r="E924" s="79"/>
      <c r="M924" s="79"/>
      <c r="R924" s="79"/>
      <c r="S924" s="79"/>
      <c r="V924" s="79"/>
      <c r="W924" s="79"/>
      <c r="Z924" s="130"/>
      <c r="AB924" s="106"/>
    </row>
    <row r="925">
      <c r="C925" s="79"/>
      <c r="D925" s="79"/>
      <c r="E925" s="79"/>
      <c r="M925" s="79"/>
      <c r="R925" s="79"/>
      <c r="S925" s="79"/>
      <c r="V925" s="79"/>
      <c r="W925" s="79"/>
      <c r="Z925" s="130"/>
      <c r="AB925" s="106"/>
    </row>
    <row r="926">
      <c r="C926" s="79"/>
      <c r="D926" s="79"/>
      <c r="E926" s="79"/>
      <c r="M926" s="79"/>
      <c r="R926" s="79"/>
      <c r="S926" s="79"/>
      <c r="V926" s="79"/>
      <c r="W926" s="79"/>
      <c r="Z926" s="130"/>
      <c r="AB926" s="106"/>
    </row>
    <row r="927">
      <c r="C927" s="79"/>
      <c r="D927" s="79"/>
      <c r="E927" s="79"/>
      <c r="M927" s="79"/>
      <c r="R927" s="79"/>
      <c r="S927" s="79"/>
      <c r="V927" s="79"/>
      <c r="W927" s="79"/>
      <c r="Z927" s="130"/>
      <c r="AB927" s="106"/>
    </row>
    <row r="928">
      <c r="C928" s="79"/>
      <c r="D928" s="79"/>
      <c r="E928" s="79"/>
      <c r="M928" s="79"/>
      <c r="R928" s="79"/>
      <c r="S928" s="79"/>
      <c r="V928" s="79"/>
      <c r="W928" s="79"/>
      <c r="Z928" s="130"/>
      <c r="AB928" s="106"/>
    </row>
    <row r="929">
      <c r="C929" s="79"/>
      <c r="D929" s="79"/>
      <c r="E929" s="79"/>
      <c r="M929" s="79"/>
      <c r="R929" s="79"/>
      <c r="S929" s="79"/>
      <c r="V929" s="79"/>
      <c r="W929" s="79"/>
      <c r="Z929" s="130"/>
      <c r="AB929" s="106"/>
    </row>
    <row r="930">
      <c r="C930" s="79"/>
      <c r="D930" s="79"/>
      <c r="E930" s="79"/>
      <c r="M930" s="79"/>
      <c r="R930" s="79"/>
      <c r="S930" s="79"/>
      <c r="V930" s="79"/>
      <c r="W930" s="79"/>
      <c r="Z930" s="130"/>
      <c r="AB930" s="106"/>
    </row>
    <row r="931">
      <c r="C931" s="79"/>
      <c r="D931" s="79"/>
      <c r="E931" s="79"/>
      <c r="M931" s="79"/>
      <c r="R931" s="79"/>
      <c r="S931" s="79"/>
      <c r="V931" s="79"/>
      <c r="W931" s="79"/>
      <c r="Z931" s="130"/>
      <c r="AB931" s="106"/>
    </row>
    <row r="932">
      <c r="C932" s="79"/>
      <c r="D932" s="79"/>
      <c r="E932" s="79"/>
      <c r="M932" s="79"/>
      <c r="R932" s="79"/>
      <c r="S932" s="79"/>
      <c r="V932" s="79"/>
      <c r="W932" s="79"/>
      <c r="Z932" s="130"/>
      <c r="AB932" s="106"/>
    </row>
    <row r="933">
      <c r="C933" s="79"/>
      <c r="D933" s="79"/>
      <c r="E933" s="79"/>
      <c r="M933" s="79"/>
      <c r="R933" s="79"/>
      <c r="S933" s="79"/>
      <c r="V933" s="79"/>
      <c r="W933" s="79"/>
      <c r="Z933" s="130"/>
      <c r="AB933" s="106"/>
    </row>
    <row r="934">
      <c r="C934" s="79"/>
      <c r="D934" s="79"/>
      <c r="E934" s="79"/>
      <c r="M934" s="79"/>
      <c r="R934" s="79"/>
      <c r="S934" s="79"/>
      <c r="V934" s="79"/>
      <c r="W934" s="79"/>
      <c r="Z934" s="130"/>
      <c r="AB934" s="106"/>
    </row>
    <row r="935">
      <c r="C935" s="79"/>
      <c r="D935" s="79"/>
      <c r="E935" s="79"/>
      <c r="M935" s="79"/>
      <c r="R935" s="79"/>
      <c r="S935" s="79"/>
      <c r="V935" s="79"/>
      <c r="W935" s="79"/>
      <c r="Z935" s="130"/>
      <c r="AB935" s="106"/>
    </row>
    <row r="936">
      <c r="C936" s="79"/>
      <c r="D936" s="79"/>
      <c r="E936" s="79"/>
      <c r="M936" s="79"/>
      <c r="R936" s="79"/>
      <c r="S936" s="79"/>
      <c r="V936" s="79"/>
      <c r="W936" s="79"/>
      <c r="Z936" s="130"/>
      <c r="AB936" s="106"/>
    </row>
    <row r="937">
      <c r="C937" s="79"/>
      <c r="D937" s="79"/>
      <c r="E937" s="79"/>
      <c r="M937" s="79"/>
      <c r="R937" s="79"/>
      <c r="S937" s="79"/>
      <c r="V937" s="79"/>
      <c r="W937" s="79"/>
      <c r="Z937" s="130"/>
      <c r="AB937" s="106"/>
    </row>
    <row r="938">
      <c r="C938" s="79"/>
      <c r="D938" s="79"/>
      <c r="E938" s="79"/>
      <c r="M938" s="79"/>
      <c r="R938" s="79"/>
      <c r="S938" s="79"/>
      <c r="V938" s="79"/>
      <c r="W938" s="79"/>
      <c r="Z938" s="130"/>
      <c r="AB938" s="106"/>
    </row>
    <row r="939">
      <c r="C939" s="79"/>
      <c r="D939" s="79"/>
      <c r="E939" s="79"/>
      <c r="M939" s="79"/>
      <c r="R939" s="79"/>
      <c r="S939" s="79"/>
      <c r="V939" s="79"/>
      <c r="W939" s="79"/>
      <c r="Z939" s="130"/>
      <c r="AB939" s="106"/>
    </row>
    <row r="940">
      <c r="C940" s="79"/>
      <c r="D940" s="79"/>
      <c r="E940" s="79"/>
      <c r="M940" s="79"/>
      <c r="R940" s="79"/>
      <c r="S940" s="79"/>
      <c r="V940" s="79"/>
      <c r="W940" s="79"/>
      <c r="Z940" s="130"/>
      <c r="AB940" s="106"/>
    </row>
    <row r="941">
      <c r="C941" s="79"/>
      <c r="D941" s="79"/>
      <c r="E941" s="79"/>
      <c r="M941" s="79"/>
      <c r="R941" s="79"/>
      <c r="S941" s="79"/>
      <c r="V941" s="79"/>
      <c r="W941" s="79"/>
      <c r="Z941" s="130"/>
      <c r="AB941" s="106"/>
    </row>
    <row r="942">
      <c r="C942" s="79"/>
      <c r="D942" s="79"/>
      <c r="E942" s="79"/>
      <c r="M942" s="79"/>
      <c r="R942" s="79"/>
      <c r="S942" s="79"/>
      <c r="V942" s="79"/>
      <c r="W942" s="79"/>
      <c r="Z942" s="130"/>
      <c r="AB942" s="106"/>
    </row>
    <row r="943">
      <c r="C943" s="79"/>
      <c r="D943" s="79"/>
      <c r="E943" s="79"/>
      <c r="M943" s="79"/>
      <c r="R943" s="79"/>
      <c r="S943" s="79"/>
      <c r="V943" s="79"/>
      <c r="W943" s="79"/>
      <c r="Z943" s="130"/>
      <c r="AB943" s="106"/>
    </row>
    <row r="944">
      <c r="C944" s="79"/>
      <c r="D944" s="79"/>
      <c r="E944" s="79"/>
      <c r="M944" s="79"/>
      <c r="R944" s="79"/>
      <c r="S944" s="79"/>
      <c r="V944" s="79"/>
      <c r="W944" s="79"/>
      <c r="Z944" s="130"/>
      <c r="AB944" s="106"/>
    </row>
    <row r="945">
      <c r="C945" s="79"/>
      <c r="D945" s="79"/>
      <c r="E945" s="79"/>
      <c r="M945" s="79"/>
      <c r="R945" s="79"/>
      <c r="S945" s="79"/>
      <c r="V945" s="79"/>
      <c r="W945" s="79"/>
      <c r="Z945" s="130"/>
      <c r="AB945" s="106"/>
    </row>
    <row r="946">
      <c r="C946" s="79"/>
      <c r="D946" s="79"/>
      <c r="E946" s="79"/>
      <c r="M946" s="79"/>
      <c r="R946" s="79"/>
      <c r="S946" s="79"/>
      <c r="V946" s="79"/>
      <c r="W946" s="79"/>
      <c r="Z946" s="130"/>
      <c r="AB946" s="106"/>
    </row>
    <row r="947">
      <c r="C947" s="79"/>
      <c r="D947" s="79"/>
      <c r="E947" s="79"/>
      <c r="M947" s="79"/>
      <c r="R947" s="79"/>
      <c r="S947" s="79"/>
      <c r="V947" s="79"/>
      <c r="W947" s="79"/>
      <c r="Z947" s="130"/>
      <c r="AB947" s="106"/>
    </row>
    <row r="948">
      <c r="C948" s="79"/>
      <c r="D948" s="79"/>
      <c r="E948" s="79"/>
      <c r="M948" s="79"/>
      <c r="R948" s="79"/>
      <c r="S948" s="79"/>
      <c r="V948" s="79"/>
      <c r="W948" s="79"/>
      <c r="Z948" s="130"/>
      <c r="AB948" s="106"/>
    </row>
  </sheetData>
  <drawing r:id="rId2"/>
  <legacyDrawing r:id="rId3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5" max="5" width="13.5"/>
    <col customWidth="1" min="7" max="7" width="13.25"/>
    <col customWidth="1" min="24" max="24" width="14.63"/>
    <col customWidth="1" min="28" max="28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3</v>
      </c>
      <c r="G1" s="2" t="s">
        <v>203</v>
      </c>
      <c r="H1" s="2" t="s">
        <v>129</v>
      </c>
      <c r="I1" s="2" t="s">
        <v>5</v>
      </c>
      <c r="J1" s="2" t="s">
        <v>204</v>
      </c>
      <c r="K1" s="2" t="s">
        <v>6</v>
      </c>
      <c r="L1" s="2" t="s">
        <v>12</v>
      </c>
      <c r="M1" s="105" t="s">
        <v>40</v>
      </c>
      <c r="N1" s="2" t="s">
        <v>49</v>
      </c>
      <c r="O1" s="2" t="s">
        <v>42</v>
      </c>
      <c r="P1" s="2" t="s">
        <v>121</v>
      </c>
      <c r="Q1" s="2" t="s">
        <v>164</v>
      </c>
      <c r="R1" s="105" t="s">
        <v>9</v>
      </c>
      <c r="S1" s="105" t="s">
        <v>165</v>
      </c>
      <c r="T1" s="2" t="s">
        <v>37</v>
      </c>
      <c r="U1" s="2" t="s">
        <v>10</v>
      </c>
      <c r="V1" s="105" t="s">
        <v>11</v>
      </c>
      <c r="W1" s="105" t="s">
        <v>205</v>
      </c>
      <c r="X1" s="2" t="s">
        <v>206</v>
      </c>
      <c r="Y1" s="3" t="s">
        <v>13</v>
      </c>
      <c r="Z1" s="3" t="s">
        <v>14</v>
      </c>
      <c r="AA1" s="3" t="s">
        <v>15</v>
      </c>
      <c r="AB1" s="106"/>
    </row>
    <row r="2">
      <c r="A2" s="74">
        <v>45376.0</v>
      </c>
      <c r="B2" s="93">
        <f>1332.85-309.4-64.69-24.7-13.08-193.2-33.07+457.83-254</f>
        <v>898.54</v>
      </c>
      <c r="C2" s="93"/>
      <c r="D2" s="193">
        <f>177.1</f>
        <v>177.1</v>
      </c>
      <c r="E2" s="93"/>
      <c r="F2" s="93">
        <v>180.0</v>
      </c>
      <c r="G2" s="93"/>
      <c r="H2" s="93"/>
      <c r="I2" s="93"/>
      <c r="J2" s="93"/>
      <c r="K2" s="93"/>
      <c r="L2" s="93"/>
      <c r="M2" s="93"/>
      <c r="N2" s="93">
        <v>168.0</v>
      </c>
      <c r="O2" s="93"/>
      <c r="P2" s="93"/>
      <c r="Q2" s="180">
        <v>252.0</v>
      </c>
      <c r="R2" s="93"/>
      <c r="S2" s="93"/>
      <c r="T2" s="72"/>
      <c r="U2" s="93"/>
      <c r="V2" s="93">
        <v>57.05</v>
      </c>
      <c r="W2" s="93"/>
      <c r="X2" s="5"/>
      <c r="Y2" s="107">
        <f t="shared" ref="Y2:Y8" si="1">SUM(B2:X2)</f>
        <v>1732.69</v>
      </c>
      <c r="Z2" s="158">
        <v>4958.0</v>
      </c>
      <c r="AA2" s="59">
        <f t="shared" ref="AA2:AA8" si="2">Y2/Z2</f>
        <v>0.3494735781</v>
      </c>
      <c r="AB2" s="109">
        <f t="shared" ref="AB2:AB8" si="3">A2</f>
        <v>45376</v>
      </c>
    </row>
    <row r="3">
      <c r="A3" s="74">
        <v>45377.0</v>
      </c>
      <c r="B3" s="93">
        <f>1122.88-12.88-64.69-23.95</f>
        <v>1021.36</v>
      </c>
      <c r="C3" s="93">
        <f>309.42-23</f>
        <v>286.42</v>
      </c>
      <c r="D3" s="193">
        <f>376.43-130.15</f>
        <v>246.28</v>
      </c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>
        <v>156.0</v>
      </c>
      <c r="S3" s="93"/>
      <c r="T3" s="93"/>
      <c r="U3" s="93"/>
      <c r="V3" s="93"/>
      <c r="W3" s="93"/>
      <c r="X3" s="93"/>
      <c r="Y3" s="107">
        <f t="shared" si="1"/>
        <v>1710.06</v>
      </c>
      <c r="Z3" s="158">
        <v>2408.0</v>
      </c>
      <c r="AA3" s="59">
        <f t="shared" si="2"/>
        <v>0.7101578073</v>
      </c>
      <c r="AB3" s="109">
        <f t="shared" si="3"/>
        <v>45377</v>
      </c>
    </row>
    <row r="4">
      <c r="A4" s="74">
        <v>45378.0</v>
      </c>
      <c r="B4" s="93">
        <f>715.18-41.72-64.84-75.12+66.83+45.55</f>
        <v>645.88</v>
      </c>
      <c r="C4" s="93"/>
      <c r="D4" s="93"/>
      <c r="E4" s="93"/>
      <c r="F4" s="93"/>
      <c r="G4" s="93"/>
      <c r="H4" s="93">
        <f>269.27-155.9</f>
        <v>113.37</v>
      </c>
      <c r="I4" s="93">
        <f>714.4-198</f>
        <v>516.4</v>
      </c>
      <c r="J4" s="93"/>
      <c r="K4" s="93">
        <v>42.0</v>
      </c>
      <c r="L4" s="93"/>
      <c r="M4" s="93"/>
      <c r="N4" s="93"/>
      <c r="O4" s="93"/>
      <c r="P4" s="93"/>
      <c r="Q4" s="93"/>
      <c r="R4" s="93"/>
      <c r="S4" s="93"/>
      <c r="T4" s="160"/>
      <c r="U4" s="93"/>
      <c r="V4" s="93">
        <v>57.05</v>
      </c>
      <c r="W4" s="93"/>
      <c r="X4" s="6"/>
      <c r="Y4" s="107">
        <f t="shared" si="1"/>
        <v>1374.7</v>
      </c>
      <c r="Z4" s="97">
        <f>548+3388.6</f>
        <v>3936.6</v>
      </c>
      <c r="AA4" s="59">
        <f t="shared" si="2"/>
        <v>0.3492099782</v>
      </c>
      <c r="AB4" s="109">
        <f t="shared" si="3"/>
        <v>45378</v>
      </c>
    </row>
    <row r="5">
      <c r="A5" s="74">
        <v>45379.0</v>
      </c>
      <c r="B5" s="93">
        <f>820.88-44.04-24.7-12.88-49.56-40.79</f>
        <v>648.91</v>
      </c>
      <c r="C5" s="93">
        <f>87.4</f>
        <v>87.4</v>
      </c>
      <c r="D5" s="93"/>
      <c r="E5" s="93"/>
      <c r="F5" s="93">
        <v>180.0</v>
      </c>
      <c r="G5" s="160"/>
      <c r="H5" s="93"/>
      <c r="I5" s="93"/>
      <c r="J5" s="93"/>
      <c r="K5" s="93"/>
      <c r="L5" s="93">
        <v>53.3</v>
      </c>
      <c r="M5" s="93"/>
      <c r="N5" s="93"/>
      <c r="O5" s="93"/>
      <c r="P5" s="93"/>
      <c r="Q5" s="93"/>
      <c r="R5" s="93"/>
      <c r="S5" s="93"/>
      <c r="T5" s="93"/>
      <c r="U5" s="93"/>
      <c r="V5" s="101"/>
      <c r="W5" s="101"/>
      <c r="X5" s="6"/>
      <c r="Y5" s="7">
        <f t="shared" si="1"/>
        <v>969.61</v>
      </c>
      <c r="Z5" s="97">
        <v>3602.21</v>
      </c>
      <c r="AA5" s="59">
        <f t="shared" si="2"/>
        <v>0.2691708701</v>
      </c>
      <c r="AB5" s="109">
        <f t="shared" si="3"/>
        <v>45379</v>
      </c>
    </row>
    <row r="6">
      <c r="A6" s="74">
        <v>45380.0</v>
      </c>
      <c r="B6" s="93">
        <f>1693.25-40.7-28.44-41.8-61.39-15.29-32.84-12.54-18.47-80.38-84.63-115.7-35.6-23.11-36.78</f>
        <v>1065.58</v>
      </c>
      <c r="C6" s="93">
        <f>542.52-109.8</f>
        <v>432.72</v>
      </c>
      <c r="D6" s="93"/>
      <c r="E6" s="93"/>
      <c r="F6" s="93"/>
      <c r="G6" s="93"/>
      <c r="H6" s="93">
        <v>375.74</v>
      </c>
      <c r="I6" s="93"/>
      <c r="J6" s="93"/>
      <c r="K6" s="93">
        <v>166.4</v>
      </c>
      <c r="L6" s="93"/>
      <c r="M6" s="162"/>
      <c r="N6" s="93"/>
      <c r="O6" s="93"/>
      <c r="P6" s="93"/>
      <c r="Q6" s="93"/>
      <c r="R6" s="93"/>
      <c r="S6" s="93"/>
      <c r="T6" s="93"/>
      <c r="U6" s="93"/>
      <c r="V6" s="93">
        <v>57.05</v>
      </c>
      <c r="W6" s="93"/>
      <c r="X6" s="5"/>
      <c r="Y6" s="7">
        <f t="shared" si="1"/>
        <v>2097.49</v>
      </c>
      <c r="Z6" s="97">
        <f>1440.6+6325</f>
        <v>7765.6</v>
      </c>
      <c r="AA6" s="59">
        <f t="shared" si="2"/>
        <v>0.2701001854</v>
      </c>
      <c r="AB6" s="109">
        <f t="shared" si="3"/>
        <v>45380</v>
      </c>
    </row>
    <row r="7">
      <c r="A7" s="74">
        <v>45381.0</v>
      </c>
      <c r="B7" s="93">
        <v>1021.34</v>
      </c>
      <c r="C7" s="93">
        <v>703.12</v>
      </c>
      <c r="D7" s="93">
        <v>205.8</v>
      </c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101"/>
      <c r="U7" s="93"/>
      <c r="V7" s="101"/>
      <c r="W7" s="101"/>
      <c r="X7" s="5"/>
      <c r="Y7" s="7">
        <f t="shared" si="1"/>
        <v>1930.26</v>
      </c>
      <c r="Z7" s="97">
        <f>3997+7278</f>
        <v>11275</v>
      </c>
      <c r="AA7" s="59">
        <f t="shared" si="2"/>
        <v>0.1711982262</v>
      </c>
      <c r="AB7" s="109">
        <f t="shared" si="3"/>
        <v>45381</v>
      </c>
    </row>
    <row r="8">
      <c r="A8" s="74">
        <v>45382.0</v>
      </c>
      <c r="B8" s="180">
        <v>879.88</v>
      </c>
      <c r="C8" s="93"/>
      <c r="D8" s="180">
        <v>801.0</v>
      </c>
      <c r="E8" s="112" t="s">
        <v>21</v>
      </c>
      <c r="F8" s="112" t="s">
        <v>21</v>
      </c>
      <c r="G8" s="112" t="s">
        <v>21</v>
      </c>
      <c r="H8" s="112" t="s">
        <v>21</v>
      </c>
      <c r="I8" s="93"/>
      <c r="J8" s="112" t="s">
        <v>21</v>
      </c>
      <c r="K8" s="112" t="s">
        <v>21</v>
      </c>
      <c r="L8" s="112" t="s">
        <v>21</v>
      </c>
      <c r="M8" s="112" t="s">
        <v>21</v>
      </c>
      <c r="N8" s="112" t="s">
        <v>21</v>
      </c>
      <c r="O8" s="93"/>
      <c r="P8" s="112" t="s">
        <v>21</v>
      </c>
      <c r="Q8" s="93"/>
      <c r="R8" s="112" t="s">
        <v>21</v>
      </c>
      <c r="S8" s="112" t="s">
        <v>21</v>
      </c>
      <c r="T8" s="112" t="s">
        <v>21</v>
      </c>
      <c r="U8" s="112" t="s">
        <v>21</v>
      </c>
      <c r="V8" s="10" t="s">
        <v>21</v>
      </c>
      <c r="W8" s="10" t="s">
        <v>21</v>
      </c>
      <c r="X8" s="10" t="s">
        <v>21</v>
      </c>
      <c r="Y8" s="7">
        <f t="shared" si="1"/>
        <v>1680.88</v>
      </c>
      <c r="Z8" s="97">
        <v>13558</v>
      </c>
      <c r="AA8" s="59">
        <f t="shared" si="2"/>
        <v>0.1239769878</v>
      </c>
      <c r="AB8" s="109">
        <f t="shared" si="3"/>
        <v>45382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Z9" s="129"/>
      <c r="AB9" s="106"/>
    </row>
    <row r="10">
      <c r="A10" s="164" t="s">
        <v>193</v>
      </c>
      <c r="B10" s="78"/>
      <c r="C10" s="78"/>
      <c r="D10" s="78"/>
      <c r="E10" s="188"/>
      <c r="F10" s="188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Z10" s="129"/>
      <c r="AB10" s="106"/>
    </row>
    <row r="11">
      <c r="A11" s="165" t="s">
        <v>194</v>
      </c>
      <c r="B11" s="93">
        <f>13.08+193.2+33.07+254+64.69+23.95+41.72+44.04+24.7+12.88+40.79+40.7+28.44+41.8+36.78</f>
        <v>893.84</v>
      </c>
      <c r="C11" s="93">
        <f>23+109.8</f>
        <v>132.8</v>
      </c>
      <c r="D11" s="93"/>
      <c r="E11" s="167"/>
      <c r="F11" s="168"/>
      <c r="G11" s="166"/>
      <c r="H11" s="166"/>
      <c r="I11" s="93">
        <v>190.0</v>
      </c>
      <c r="J11" s="168"/>
      <c r="K11" s="93"/>
      <c r="L11" s="166"/>
      <c r="M11" s="168"/>
      <c r="N11" s="166"/>
      <c r="O11" s="168"/>
      <c r="P11" s="1"/>
      <c r="Q11" s="1"/>
      <c r="R11" s="1"/>
      <c r="S11" s="1"/>
      <c r="T11" s="1"/>
      <c r="U11" s="1"/>
      <c r="V11" s="168"/>
      <c r="W11" s="168"/>
      <c r="X11" s="1"/>
      <c r="Y11" s="1"/>
      <c r="Z11" s="169"/>
      <c r="AA11" s="1"/>
      <c r="AB11" s="170"/>
    </row>
    <row r="12">
      <c r="A12" s="165" t="s">
        <v>195</v>
      </c>
      <c r="B12" s="93">
        <f>309.4+64.69+24.7+12.88+64.84+75.12+49.56+61.39+15.29+32.84+12.54+18.47+80.38+84.63+115.7+35.6+23.11</f>
        <v>1081.14</v>
      </c>
      <c r="C12" s="93"/>
      <c r="D12" s="93">
        <v>130.25</v>
      </c>
      <c r="E12" s="93"/>
      <c r="F12" s="93"/>
      <c r="G12" s="93"/>
      <c r="H12" s="93">
        <v>155.9</v>
      </c>
      <c r="I12" s="93">
        <v>198.0</v>
      </c>
      <c r="J12" s="93"/>
      <c r="K12" s="93"/>
      <c r="L12" s="93"/>
      <c r="M12" s="93"/>
      <c r="N12" s="166">
        <f>144+156</f>
        <v>300</v>
      </c>
      <c r="O12" s="166"/>
      <c r="P12" s="1"/>
      <c r="Q12" s="1"/>
      <c r="R12" s="168"/>
      <c r="S12" s="168"/>
      <c r="T12" s="1"/>
      <c r="U12" s="96"/>
      <c r="V12" s="168"/>
      <c r="W12" s="168"/>
      <c r="X12" s="1"/>
      <c r="Y12" s="1"/>
      <c r="Z12" s="171"/>
      <c r="AA12" s="1"/>
      <c r="AB12" s="170"/>
    </row>
    <row r="13">
      <c r="A13" s="165" t="s">
        <v>198</v>
      </c>
      <c r="B13" s="93"/>
      <c r="C13" s="93"/>
      <c r="D13" s="93"/>
      <c r="E13" s="168"/>
      <c r="F13" s="166"/>
      <c r="G13" s="168"/>
      <c r="H13" s="168"/>
      <c r="I13" s="168"/>
      <c r="J13" s="168"/>
      <c r="K13" s="168"/>
      <c r="L13" s="168"/>
      <c r="M13" s="168"/>
      <c r="N13" s="166"/>
      <c r="O13" s="168"/>
      <c r="P13" s="1"/>
      <c r="Q13" s="1"/>
      <c r="R13" s="168"/>
      <c r="S13" s="168"/>
      <c r="T13" s="1"/>
      <c r="U13" s="96"/>
      <c r="V13" s="168"/>
      <c r="W13" s="168"/>
      <c r="X13" s="1"/>
      <c r="Y13" s="1"/>
      <c r="Z13" s="174"/>
      <c r="AA13" s="1"/>
      <c r="AB13" s="170"/>
    </row>
    <row r="14">
      <c r="A14" s="91"/>
      <c r="B14" s="92"/>
      <c r="C14" s="79"/>
      <c r="D14" s="79"/>
      <c r="E14" s="79"/>
      <c r="F14" s="78"/>
      <c r="G14" s="78"/>
      <c r="H14" s="78"/>
      <c r="K14" s="79"/>
      <c r="L14" s="79"/>
      <c r="M14" s="78"/>
      <c r="N14" s="79"/>
      <c r="O14" s="79"/>
      <c r="R14" s="79"/>
      <c r="S14" s="79"/>
      <c r="V14" s="79"/>
      <c r="W14" s="79"/>
      <c r="Z14" s="131"/>
      <c r="AB14" s="106"/>
    </row>
    <row r="15">
      <c r="A15" s="91"/>
      <c r="B15" s="92"/>
      <c r="C15" s="78"/>
      <c r="D15" s="78"/>
      <c r="E15" s="78"/>
      <c r="F15" s="198"/>
      <c r="G15" s="204"/>
      <c r="H15" s="198"/>
      <c r="I15" s="201"/>
      <c r="J15" s="199"/>
      <c r="K15" s="199"/>
      <c r="L15" s="200"/>
      <c r="M15" s="201"/>
      <c r="N15" s="202"/>
      <c r="O15" s="198"/>
      <c r="P15" s="198"/>
      <c r="Q15" s="198"/>
      <c r="R15" s="198"/>
      <c r="S15" s="198"/>
      <c r="V15" s="79"/>
      <c r="W15" s="79"/>
      <c r="Z15" s="131"/>
      <c r="AB15" s="106"/>
    </row>
    <row r="16">
      <c r="A16" s="4" t="s">
        <v>22</v>
      </c>
      <c r="B16" s="11">
        <v>10000.0</v>
      </c>
      <c r="C16" s="79"/>
      <c r="D16" s="79"/>
      <c r="E16" s="79"/>
      <c r="F16" s="240"/>
      <c r="G16" s="201"/>
      <c r="H16" s="201"/>
      <c r="I16" s="203"/>
      <c r="J16" s="201"/>
      <c r="K16" s="201"/>
      <c r="L16" s="198"/>
      <c r="M16" s="201"/>
      <c r="N16" s="200"/>
      <c r="O16" s="203"/>
      <c r="P16" s="198"/>
      <c r="Q16" s="198"/>
      <c r="R16" s="198"/>
      <c r="S16" s="198"/>
      <c r="T16" s="204"/>
      <c r="V16" s="79"/>
      <c r="W16" s="79"/>
      <c r="Z16" s="131"/>
      <c r="AB16" s="106"/>
    </row>
    <row r="17">
      <c r="A17" s="4" t="s">
        <v>23</v>
      </c>
      <c r="B17" s="12">
        <f>SUM(B2:X8)</f>
        <v>11495.69</v>
      </c>
      <c r="C17" s="192"/>
      <c r="D17" s="177"/>
      <c r="E17" s="78"/>
      <c r="F17" s="213"/>
      <c r="G17" s="201"/>
      <c r="H17" s="201"/>
      <c r="I17" s="203"/>
      <c r="J17" s="191"/>
      <c r="K17" s="201"/>
      <c r="L17" s="201"/>
      <c r="M17" s="200"/>
      <c r="N17" s="201"/>
      <c r="O17" s="203"/>
      <c r="P17" s="198"/>
      <c r="Q17" s="198"/>
      <c r="R17" s="198"/>
      <c r="S17" s="198"/>
      <c r="T17" s="204"/>
      <c r="V17" s="79"/>
      <c r="W17" s="79"/>
      <c r="Z17" s="131"/>
      <c r="AB17" s="106"/>
    </row>
    <row r="18">
      <c r="A18" s="4" t="s">
        <v>24</v>
      </c>
      <c r="B18" s="12">
        <f> SUM(B16-B17)</f>
        <v>-1495.69</v>
      </c>
      <c r="C18" s="79"/>
      <c r="D18" s="192"/>
      <c r="E18" s="78"/>
      <c r="F18" s="201"/>
      <c r="G18" s="214"/>
      <c r="H18" s="203"/>
      <c r="I18" s="203"/>
      <c r="J18" s="203"/>
      <c r="K18" s="199"/>
      <c r="L18" s="203"/>
      <c r="M18" s="201"/>
      <c r="N18" s="200"/>
      <c r="O18" s="203"/>
      <c r="P18" s="198"/>
      <c r="Q18" s="198"/>
      <c r="R18" s="198"/>
      <c r="S18" s="198"/>
      <c r="T18" s="204"/>
      <c r="V18" s="79"/>
      <c r="W18" s="79"/>
      <c r="Z18" s="131"/>
      <c r="AB18" s="106"/>
    </row>
    <row r="19">
      <c r="C19" s="79"/>
      <c r="D19" s="79"/>
      <c r="E19" s="78"/>
      <c r="F19" s="213"/>
      <c r="G19" s="214"/>
      <c r="H19" s="203"/>
      <c r="I19" s="203"/>
      <c r="J19" s="203"/>
      <c r="K19" s="203"/>
      <c r="L19" s="201"/>
      <c r="M19" s="201"/>
      <c r="N19" s="198"/>
      <c r="O19" s="203"/>
      <c r="P19" s="198"/>
      <c r="Q19" s="206"/>
      <c r="R19" s="198"/>
      <c r="S19" s="198"/>
      <c r="T19" s="204"/>
      <c r="V19" s="79"/>
      <c r="W19" s="79"/>
      <c r="Z19" s="131"/>
      <c r="AB19" s="106"/>
    </row>
    <row r="20">
      <c r="A20" s="13" t="s">
        <v>25</v>
      </c>
      <c r="B20" s="14">
        <f>SUM(Z2:Z8)</f>
        <v>47503.41</v>
      </c>
      <c r="C20" s="79"/>
      <c r="D20" s="79"/>
      <c r="E20" s="78"/>
      <c r="F20" s="201"/>
      <c r="G20" s="201"/>
      <c r="H20" s="201"/>
      <c r="I20" s="189"/>
      <c r="J20" s="203"/>
      <c r="K20" s="203"/>
      <c r="L20" s="206"/>
      <c r="M20" s="201"/>
      <c r="N20" s="198"/>
      <c r="O20" s="203"/>
      <c r="P20" s="198"/>
      <c r="Q20" s="198"/>
      <c r="R20" s="198"/>
      <c r="S20" s="198"/>
      <c r="T20" s="204"/>
      <c r="V20" s="79"/>
      <c r="W20" s="79"/>
      <c r="Z20" s="181"/>
      <c r="AB20" s="106"/>
    </row>
    <row r="21">
      <c r="A21" s="13" t="s">
        <v>26</v>
      </c>
      <c r="B21" s="15">
        <f>B17/B20</f>
        <v>0.2419971535</v>
      </c>
      <c r="C21" s="79"/>
      <c r="D21" s="79"/>
      <c r="E21" s="78"/>
      <c r="F21" s="204"/>
      <c r="G21" s="213"/>
      <c r="H21" s="203"/>
      <c r="I21" s="189"/>
      <c r="J21" s="203"/>
      <c r="K21" s="203"/>
      <c r="L21" s="198"/>
      <c r="M21" s="200"/>
      <c r="N21" s="203"/>
      <c r="O21" s="203"/>
      <c r="P21" s="198"/>
      <c r="Q21" s="198"/>
      <c r="R21" s="198"/>
      <c r="S21" s="198"/>
      <c r="T21" s="204"/>
      <c r="V21" s="79"/>
      <c r="W21" s="79"/>
      <c r="Z21" s="130"/>
      <c r="AB21" s="106"/>
    </row>
    <row r="22">
      <c r="C22" s="79"/>
      <c r="D22" s="79"/>
      <c r="E22" s="78"/>
      <c r="F22" s="204"/>
      <c r="G22" s="204"/>
      <c r="H22" s="201"/>
      <c r="I22" s="203"/>
      <c r="J22" s="203"/>
      <c r="K22" s="203"/>
      <c r="L22" s="198"/>
      <c r="M22" s="198"/>
      <c r="N22" s="201"/>
      <c r="O22" s="198"/>
      <c r="P22" s="198"/>
      <c r="Q22" s="198"/>
      <c r="R22" s="198"/>
      <c r="S22" s="198"/>
      <c r="T22" s="204"/>
      <c r="V22" s="79"/>
      <c r="W22" s="79"/>
      <c r="Z22" s="182"/>
      <c r="AB22" s="106"/>
    </row>
    <row r="23">
      <c r="C23" s="79"/>
      <c r="D23" s="79"/>
      <c r="E23" s="79"/>
      <c r="F23" s="204"/>
      <c r="G23" s="213"/>
      <c r="H23" s="201"/>
      <c r="I23" s="203"/>
      <c r="J23" s="203"/>
      <c r="K23" s="203"/>
      <c r="L23" s="198"/>
      <c r="M23" s="201"/>
      <c r="N23" s="201"/>
      <c r="O23" s="198"/>
      <c r="P23" s="198"/>
      <c r="Q23" s="198"/>
      <c r="R23" s="198"/>
      <c r="S23" s="198"/>
      <c r="T23" s="204"/>
      <c r="V23" s="79"/>
      <c r="W23" s="79"/>
      <c r="Z23" s="130"/>
      <c r="AB23" s="106"/>
    </row>
    <row r="24">
      <c r="A24" s="16" t="s">
        <v>27</v>
      </c>
      <c r="B24" s="17"/>
      <c r="C24" s="114"/>
      <c r="D24" s="114"/>
      <c r="E24" s="115"/>
      <c r="F24" s="204"/>
      <c r="G24" s="204"/>
      <c r="H24" s="201"/>
      <c r="I24" s="203"/>
      <c r="J24" s="203"/>
      <c r="K24" s="217"/>
      <c r="L24" s="208"/>
      <c r="M24" s="208"/>
      <c r="N24" s="198"/>
      <c r="O24" s="200"/>
      <c r="P24" s="198"/>
      <c r="Q24" s="198"/>
      <c r="R24" s="198"/>
      <c r="S24" s="198"/>
      <c r="T24" s="204"/>
      <c r="V24" s="79"/>
      <c r="W24" s="79"/>
      <c r="Z24" s="130"/>
      <c r="AB24" s="106"/>
    </row>
    <row r="25">
      <c r="A25" s="19" t="s">
        <v>28</v>
      </c>
      <c r="B25" s="20"/>
      <c r="C25" s="116"/>
      <c r="D25" s="116"/>
      <c r="E25" s="117"/>
      <c r="F25" s="204"/>
      <c r="G25" s="204"/>
      <c r="H25" s="213"/>
      <c r="I25" s="203"/>
      <c r="J25" s="203"/>
      <c r="K25" s="203"/>
      <c r="L25" s="209"/>
      <c r="M25" s="209"/>
      <c r="N25" s="201"/>
      <c r="O25" s="198"/>
      <c r="P25" s="198"/>
      <c r="Q25" s="198"/>
      <c r="R25" s="198"/>
      <c r="S25" s="198"/>
      <c r="T25" s="204"/>
      <c r="V25" s="79"/>
      <c r="W25" s="79"/>
      <c r="Z25" s="130"/>
      <c r="AB25" s="106"/>
    </row>
    <row r="26">
      <c r="A26" s="183" t="s">
        <v>29</v>
      </c>
      <c r="B26" s="184" t="s">
        <v>30</v>
      </c>
      <c r="C26" s="183"/>
      <c r="D26" s="183" t="s">
        <v>170</v>
      </c>
      <c r="E26" s="219" t="s">
        <v>171</v>
      </c>
      <c r="F26" s="204"/>
      <c r="G26" s="204"/>
      <c r="H26" s="243"/>
      <c r="I26" s="203"/>
      <c r="J26" s="203"/>
      <c r="K26" s="201"/>
      <c r="L26" s="209"/>
      <c r="M26" s="209"/>
      <c r="N26" s="198"/>
      <c r="O26" s="198"/>
      <c r="P26" s="198"/>
      <c r="Q26" s="198"/>
      <c r="R26" s="198"/>
      <c r="S26" s="198"/>
      <c r="T26" s="204"/>
      <c r="V26" s="79"/>
      <c r="W26" s="79"/>
      <c r="Z26" s="130"/>
      <c r="AB26" s="106"/>
    </row>
    <row r="27">
      <c r="A27" s="173" t="s">
        <v>41</v>
      </c>
      <c r="B27" s="180">
        <f>2346.34-586.59-879.88</f>
        <v>879.87</v>
      </c>
      <c r="C27" s="241"/>
      <c r="D27" s="241"/>
      <c r="E27" s="173" t="s">
        <v>256</v>
      </c>
      <c r="K27" s="204"/>
      <c r="L27" s="204"/>
      <c r="M27" s="198"/>
      <c r="R27" s="79"/>
      <c r="S27" s="79"/>
      <c r="V27" s="79"/>
      <c r="W27" s="79"/>
      <c r="Z27" s="130"/>
      <c r="AB27" s="106"/>
    </row>
    <row r="28">
      <c r="A28" s="237" t="s">
        <v>41</v>
      </c>
      <c r="B28" s="238">
        <v>1330.95</v>
      </c>
      <c r="C28" s="239"/>
      <c r="D28" s="239"/>
      <c r="E28" s="237" t="s">
        <v>256</v>
      </c>
      <c r="K28" s="204"/>
      <c r="L28" s="204"/>
      <c r="M28" s="198"/>
      <c r="R28" s="79"/>
      <c r="S28" s="79"/>
      <c r="V28" s="79"/>
      <c r="W28" s="79"/>
      <c r="Z28" s="130"/>
      <c r="AB28" s="106"/>
    </row>
    <row r="29">
      <c r="A29" s="237" t="s">
        <v>209</v>
      </c>
      <c r="B29" s="238">
        <v>426.77</v>
      </c>
      <c r="C29" s="239"/>
      <c r="D29" s="239"/>
      <c r="E29" s="237" t="s">
        <v>256</v>
      </c>
      <c r="K29" s="204"/>
      <c r="L29" s="204"/>
      <c r="M29" s="198"/>
      <c r="R29" s="79"/>
      <c r="S29" s="79"/>
      <c r="V29" s="79"/>
      <c r="W29" s="79"/>
      <c r="Z29" s="130"/>
      <c r="AB29" s="106"/>
    </row>
    <row r="30">
      <c r="A30" s="237" t="s">
        <v>262</v>
      </c>
      <c r="B30" s="238">
        <v>219.01</v>
      </c>
      <c r="C30" s="239"/>
      <c r="D30" s="239"/>
      <c r="E30" s="237" t="s">
        <v>256</v>
      </c>
      <c r="K30" s="204"/>
      <c r="L30" s="204"/>
      <c r="M30" s="198"/>
      <c r="R30" s="79"/>
      <c r="S30" s="79"/>
      <c r="V30" s="79"/>
      <c r="W30" s="79"/>
      <c r="Z30" s="130"/>
      <c r="AB30" s="106"/>
    </row>
    <row r="31">
      <c r="A31" s="237" t="s">
        <v>92</v>
      </c>
      <c r="B31" s="238">
        <v>396.0</v>
      </c>
      <c r="C31" s="239"/>
      <c r="D31" s="239"/>
      <c r="E31" s="237" t="s">
        <v>256</v>
      </c>
      <c r="K31" s="204"/>
      <c r="L31" s="204"/>
      <c r="M31" s="198"/>
      <c r="R31" s="79"/>
      <c r="S31" s="79"/>
      <c r="V31" s="79"/>
      <c r="W31" s="79"/>
      <c r="Z31" s="130"/>
      <c r="AB31" s="106"/>
    </row>
    <row r="32">
      <c r="A32" s="32" t="s">
        <v>263</v>
      </c>
      <c r="B32" s="32">
        <v>300.0</v>
      </c>
      <c r="C32" s="79"/>
      <c r="D32" s="79"/>
      <c r="E32" s="79"/>
      <c r="M32" s="79"/>
      <c r="R32" s="79"/>
      <c r="S32" s="79"/>
      <c r="V32" s="79"/>
      <c r="W32" s="79"/>
      <c r="Z32" s="130"/>
      <c r="AB32" s="106"/>
    </row>
    <row r="33">
      <c r="C33" s="79"/>
      <c r="D33" s="79"/>
      <c r="E33" s="79"/>
      <c r="M33" s="79"/>
      <c r="R33" s="79"/>
      <c r="S33" s="79"/>
      <c r="V33" s="79"/>
      <c r="W33" s="79"/>
      <c r="Z33" s="130"/>
      <c r="AB33" s="106"/>
    </row>
    <row r="34">
      <c r="C34" s="79"/>
      <c r="D34" s="79"/>
      <c r="E34" s="79"/>
      <c r="M34" s="79"/>
      <c r="R34" s="79"/>
      <c r="S34" s="79"/>
      <c r="V34" s="79"/>
      <c r="W34" s="79"/>
      <c r="Z34" s="130"/>
      <c r="AB34" s="106"/>
    </row>
    <row r="35">
      <c r="C35" s="79"/>
      <c r="D35" s="79"/>
      <c r="E35" s="79"/>
      <c r="M35" s="79"/>
      <c r="R35" s="79"/>
      <c r="S35" s="79"/>
      <c r="V35" s="79"/>
      <c r="W35" s="79"/>
      <c r="Z35" s="130"/>
      <c r="AB35" s="106"/>
    </row>
    <row r="36">
      <c r="C36" s="79"/>
      <c r="D36" s="79"/>
      <c r="E36" s="79"/>
      <c r="M36" s="79"/>
      <c r="R36" s="79"/>
      <c r="S36" s="79"/>
      <c r="V36" s="79"/>
      <c r="W36" s="79"/>
      <c r="Z36" s="130"/>
      <c r="AB36" s="106"/>
    </row>
    <row r="37">
      <c r="C37" s="79"/>
      <c r="D37" s="79"/>
      <c r="E37" s="79"/>
      <c r="M37" s="79"/>
      <c r="R37" s="79"/>
      <c r="S37" s="79"/>
      <c r="V37" s="79"/>
      <c r="W37" s="79"/>
      <c r="Z37" s="130"/>
      <c r="AB37" s="106"/>
    </row>
    <row r="38">
      <c r="C38" s="79"/>
      <c r="D38" s="79"/>
      <c r="E38" s="79"/>
      <c r="M38" s="79"/>
      <c r="R38" s="79"/>
      <c r="S38" s="79"/>
      <c r="V38" s="79"/>
      <c r="W38" s="79"/>
      <c r="Z38" s="130"/>
      <c r="AB38" s="106"/>
    </row>
    <row r="39">
      <c r="C39" s="79"/>
      <c r="D39" s="79"/>
      <c r="E39" s="79"/>
      <c r="M39" s="79"/>
      <c r="R39" s="79"/>
      <c r="S39" s="79"/>
      <c r="V39" s="79"/>
      <c r="W39" s="79"/>
      <c r="Z39" s="130"/>
      <c r="AB39" s="106"/>
    </row>
    <row r="40">
      <c r="C40" s="79"/>
      <c r="D40" s="79"/>
      <c r="E40" s="79"/>
      <c r="M40" s="79"/>
      <c r="R40" s="79"/>
      <c r="S40" s="79"/>
      <c r="V40" s="79"/>
      <c r="W40" s="79"/>
      <c r="Z40" s="130"/>
      <c r="AB40" s="106"/>
    </row>
    <row r="41">
      <c r="C41" s="79"/>
      <c r="D41" s="79"/>
      <c r="E41" s="79"/>
      <c r="M41" s="79"/>
      <c r="R41" s="79"/>
      <c r="S41" s="79"/>
      <c r="V41" s="79"/>
      <c r="W41" s="79"/>
      <c r="Z41" s="130"/>
      <c r="AB41" s="106"/>
    </row>
    <row r="42">
      <c r="C42" s="79"/>
      <c r="D42" s="79"/>
      <c r="E42" s="79"/>
      <c r="M42" s="79"/>
      <c r="R42" s="79"/>
      <c r="S42" s="79"/>
      <c r="V42" s="79"/>
      <c r="W42" s="79"/>
      <c r="Z42" s="130"/>
      <c r="AB42" s="106"/>
    </row>
    <row r="43">
      <c r="C43" s="79"/>
      <c r="D43" s="79"/>
      <c r="E43" s="79"/>
      <c r="M43" s="79"/>
      <c r="R43" s="79"/>
      <c r="S43" s="79"/>
      <c r="V43" s="79"/>
      <c r="W43" s="79"/>
      <c r="Z43" s="130"/>
      <c r="AB43" s="106"/>
    </row>
    <row r="44">
      <c r="C44" s="79"/>
      <c r="D44" s="79"/>
      <c r="E44" s="79"/>
      <c r="M44" s="79"/>
      <c r="R44" s="79"/>
      <c r="S44" s="79"/>
      <c r="V44" s="79"/>
      <c r="W44" s="79"/>
      <c r="Z44" s="130"/>
      <c r="AB44" s="106"/>
    </row>
    <row r="45">
      <c r="C45" s="79"/>
      <c r="D45" s="79"/>
      <c r="E45" s="79"/>
      <c r="M45" s="79"/>
      <c r="R45" s="79"/>
      <c r="S45" s="79"/>
      <c r="V45" s="79"/>
      <c r="W45" s="79"/>
      <c r="Z45" s="130"/>
      <c r="AB45" s="106"/>
    </row>
    <row r="46">
      <c r="C46" s="79"/>
      <c r="D46" s="79"/>
      <c r="E46" s="79"/>
      <c r="M46" s="79"/>
      <c r="R46" s="79"/>
      <c r="S46" s="79"/>
      <c r="V46" s="79"/>
      <c r="W46" s="79"/>
      <c r="Z46" s="130"/>
      <c r="AB46" s="106"/>
    </row>
    <row r="47">
      <c r="C47" s="79"/>
      <c r="D47" s="79"/>
      <c r="E47" s="79"/>
      <c r="M47" s="79"/>
      <c r="R47" s="79"/>
      <c r="S47" s="79"/>
      <c r="V47" s="79"/>
      <c r="W47" s="79"/>
      <c r="Z47" s="130"/>
      <c r="AB47" s="106"/>
    </row>
    <row r="48">
      <c r="C48" s="79"/>
      <c r="D48" s="79"/>
      <c r="E48" s="79"/>
      <c r="M48" s="79"/>
      <c r="R48" s="79"/>
      <c r="S48" s="79"/>
      <c r="V48" s="79"/>
      <c r="W48" s="79"/>
      <c r="Z48" s="130"/>
      <c r="AB48" s="106"/>
    </row>
    <row r="49">
      <c r="C49" s="79"/>
      <c r="D49" s="79"/>
      <c r="E49" s="79"/>
      <c r="M49" s="79"/>
      <c r="R49" s="79"/>
      <c r="S49" s="79"/>
      <c r="V49" s="79"/>
      <c r="W49" s="79"/>
      <c r="Z49" s="130"/>
      <c r="AB49" s="106"/>
    </row>
    <row r="50">
      <c r="C50" s="79"/>
      <c r="D50" s="79"/>
      <c r="E50" s="79"/>
      <c r="M50" s="79"/>
      <c r="R50" s="79"/>
      <c r="S50" s="79"/>
      <c r="V50" s="79"/>
      <c r="W50" s="79"/>
      <c r="Z50" s="130"/>
      <c r="AB50" s="106"/>
    </row>
    <row r="51">
      <c r="C51" s="79"/>
      <c r="D51" s="79"/>
      <c r="E51" s="79"/>
      <c r="M51" s="79"/>
      <c r="R51" s="79"/>
      <c r="S51" s="79"/>
      <c r="V51" s="79"/>
      <c r="W51" s="79"/>
      <c r="Z51" s="130"/>
      <c r="AB51" s="106"/>
    </row>
    <row r="52">
      <c r="C52" s="79"/>
      <c r="D52" s="79"/>
      <c r="E52" s="79"/>
      <c r="M52" s="79"/>
      <c r="R52" s="79"/>
      <c r="S52" s="79"/>
      <c r="V52" s="79"/>
      <c r="W52" s="79"/>
      <c r="Z52" s="130"/>
      <c r="AB52" s="106"/>
    </row>
    <row r="53">
      <c r="C53" s="79"/>
      <c r="D53" s="79"/>
      <c r="E53" s="79"/>
      <c r="M53" s="79"/>
      <c r="R53" s="79"/>
      <c r="S53" s="79"/>
      <c r="V53" s="79"/>
      <c r="W53" s="79"/>
      <c r="Z53" s="130"/>
      <c r="AB53" s="106"/>
    </row>
    <row r="54">
      <c r="C54" s="79"/>
      <c r="D54" s="79"/>
      <c r="E54" s="79"/>
      <c r="M54" s="79"/>
      <c r="R54" s="79"/>
      <c r="S54" s="79"/>
      <c r="V54" s="79"/>
      <c r="W54" s="79"/>
      <c r="Z54" s="130"/>
      <c r="AB54" s="106"/>
    </row>
    <row r="55">
      <c r="C55" s="79"/>
      <c r="D55" s="79"/>
      <c r="E55" s="79"/>
      <c r="M55" s="79"/>
      <c r="R55" s="79"/>
      <c r="S55" s="79"/>
      <c r="V55" s="79"/>
      <c r="W55" s="79"/>
      <c r="Z55" s="130"/>
      <c r="AB55" s="106"/>
    </row>
    <row r="56">
      <c r="C56" s="79"/>
      <c r="D56" s="79"/>
      <c r="E56" s="79"/>
      <c r="M56" s="79"/>
      <c r="R56" s="79"/>
      <c r="S56" s="79"/>
      <c r="V56" s="79"/>
      <c r="W56" s="79"/>
      <c r="Z56" s="130"/>
      <c r="AB56" s="106"/>
    </row>
    <row r="57">
      <c r="C57" s="79"/>
      <c r="D57" s="79"/>
      <c r="E57" s="79"/>
      <c r="M57" s="79"/>
      <c r="R57" s="79"/>
      <c r="S57" s="79"/>
      <c r="V57" s="79"/>
      <c r="W57" s="79"/>
      <c r="Z57" s="130"/>
      <c r="AB57" s="106"/>
    </row>
    <row r="58">
      <c r="C58" s="79"/>
      <c r="D58" s="79"/>
      <c r="E58" s="79"/>
      <c r="M58" s="79"/>
      <c r="R58" s="79"/>
      <c r="S58" s="79"/>
      <c r="V58" s="79"/>
      <c r="W58" s="79"/>
      <c r="Z58" s="130"/>
      <c r="AB58" s="106"/>
    </row>
    <row r="59">
      <c r="C59" s="79"/>
      <c r="D59" s="79"/>
      <c r="E59" s="79"/>
      <c r="M59" s="79"/>
      <c r="R59" s="79"/>
      <c r="S59" s="79"/>
      <c r="V59" s="79"/>
      <c r="W59" s="79"/>
      <c r="Z59" s="130"/>
      <c r="AB59" s="106"/>
    </row>
    <row r="60">
      <c r="C60" s="79"/>
      <c r="D60" s="79"/>
      <c r="E60" s="79"/>
      <c r="M60" s="79"/>
      <c r="R60" s="79"/>
      <c r="S60" s="79"/>
      <c r="V60" s="79"/>
      <c r="W60" s="79"/>
      <c r="Z60" s="130"/>
      <c r="AB60" s="106"/>
    </row>
    <row r="61">
      <c r="C61" s="79"/>
      <c r="D61" s="79"/>
      <c r="E61" s="79"/>
      <c r="M61" s="79"/>
      <c r="R61" s="79"/>
      <c r="S61" s="79"/>
      <c r="V61" s="79"/>
      <c r="W61" s="79"/>
      <c r="Z61" s="130"/>
      <c r="AB61" s="106"/>
    </row>
    <row r="62">
      <c r="C62" s="79"/>
      <c r="D62" s="79"/>
      <c r="E62" s="79"/>
      <c r="M62" s="79"/>
      <c r="R62" s="79"/>
      <c r="S62" s="79"/>
      <c r="V62" s="79"/>
      <c r="W62" s="79"/>
      <c r="Z62" s="130"/>
      <c r="AB62" s="106"/>
    </row>
    <row r="63">
      <c r="C63" s="79"/>
      <c r="D63" s="79"/>
      <c r="E63" s="79"/>
      <c r="M63" s="79"/>
      <c r="R63" s="79"/>
      <c r="S63" s="79"/>
      <c r="V63" s="79"/>
      <c r="W63" s="79"/>
      <c r="Z63" s="130"/>
      <c r="AB63" s="106"/>
    </row>
    <row r="64">
      <c r="C64" s="79"/>
      <c r="D64" s="79"/>
      <c r="E64" s="79"/>
      <c r="M64" s="79"/>
      <c r="R64" s="79"/>
      <c r="S64" s="79"/>
      <c r="V64" s="79"/>
      <c r="W64" s="79"/>
      <c r="Z64" s="130"/>
      <c r="AB64" s="106"/>
    </row>
    <row r="65">
      <c r="C65" s="79"/>
      <c r="D65" s="79"/>
      <c r="E65" s="79"/>
      <c r="M65" s="79"/>
      <c r="R65" s="79"/>
      <c r="S65" s="79"/>
      <c r="V65" s="79"/>
      <c r="W65" s="79"/>
      <c r="Z65" s="130"/>
      <c r="AB65" s="106"/>
    </row>
    <row r="66">
      <c r="C66" s="79"/>
      <c r="D66" s="79"/>
      <c r="E66" s="79"/>
      <c r="M66" s="79"/>
      <c r="R66" s="79"/>
      <c r="S66" s="79"/>
      <c r="V66" s="79"/>
      <c r="W66" s="79"/>
      <c r="Z66" s="130"/>
      <c r="AB66" s="106"/>
    </row>
    <row r="67">
      <c r="C67" s="79"/>
      <c r="D67" s="79"/>
      <c r="E67" s="79"/>
      <c r="M67" s="79"/>
      <c r="R67" s="79"/>
      <c r="S67" s="79"/>
      <c r="V67" s="79"/>
      <c r="W67" s="79"/>
      <c r="Z67" s="130"/>
      <c r="AB67" s="106"/>
    </row>
    <row r="68">
      <c r="C68" s="79"/>
      <c r="D68" s="79"/>
      <c r="E68" s="79"/>
      <c r="M68" s="79"/>
      <c r="R68" s="79"/>
      <c r="S68" s="79"/>
      <c r="V68" s="79"/>
      <c r="W68" s="79"/>
      <c r="Z68" s="130"/>
      <c r="AB68" s="106"/>
    </row>
    <row r="69">
      <c r="C69" s="79"/>
      <c r="D69" s="79"/>
      <c r="E69" s="79"/>
      <c r="M69" s="79"/>
      <c r="R69" s="79"/>
      <c r="S69" s="79"/>
      <c r="V69" s="79"/>
      <c r="W69" s="79"/>
      <c r="Z69" s="130"/>
      <c r="AB69" s="106"/>
    </row>
    <row r="70">
      <c r="C70" s="79"/>
      <c r="D70" s="79"/>
      <c r="E70" s="79"/>
      <c r="M70" s="79"/>
      <c r="R70" s="79"/>
      <c r="S70" s="79"/>
      <c r="V70" s="79"/>
      <c r="W70" s="79"/>
      <c r="Z70" s="130"/>
      <c r="AB70" s="106"/>
    </row>
    <row r="71">
      <c r="C71" s="79"/>
      <c r="D71" s="79"/>
      <c r="E71" s="79"/>
      <c r="M71" s="79"/>
      <c r="R71" s="79"/>
      <c r="S71" s="79"/>
      <c r="V71" s="79"/>
      <c r="W71" s="79"/>
      <c r="Z71" s="130"/>
      <c r="AB71" s="106"/>
    </row>
    <row r="72">
      <c r="C72" s="79"/>
      <c r="D72" s="79"/>
      <c r="E72" s="79"/>
      <c r="M72" s="79"/>
      <c r="R72" s="79"/>
      <c r="S72" s="79"/>
      <c r="V72" s="79"/>
      <c r="W72" s="79"/>
      <c r="Z72" s="130"/>
      <c r="AB72" s="106"/>
    </row>
    <row r="73">
      <c r="C73" s="79"/>
      <c r="D73" s="79"/>
      <c r="E73" s="79"/>
      <c r="M73" s="79"/>
      <c r="R73" s="79"/>
      <c r="S73" s="79"/>
      <c r="V73" s="79"/>
      <c r="W73" s="79"/>
      <c r="Z73" s="130"/>
      <c r="AB73" s="106"/>
    </row>
    <row r="74">
      <c r="C74" s="79"/>
      <c r="D74" s="79"/>
      <c r="E74" s="79"/>
      <c r="M74" s="79"/>
      <c r="R74" s="79"/>
      <c r="S74" s="79"/>
      <c r="V74" s="79"/>
      <c r="W74" s="79"/>
      <c r="Z74" s="130"/>
      <c r="AB74" s="106"/>
    </row>
    <row r="75">
      <c r="C75" s="79"/>
      <c r="D75" s="79"/>
      <c r="E75" s="79"/>
      <c r="M75" s="79"/>
      <c r="R75" s="79"/>
      <c r="S75" s="79"/>
      <c r="V75" s="79"/>
      <c r="W75" s="79"/>
      <c r="Z75" s="130"/>
      <c r="AB75" s="106"/>
    </row>
    <row r="76">
      <c r="C76" s="79"/>
      <c r="D76" s="79"/>
      <c r="E76" s="79"/>
      <c r="M76" s="79"/>
      <c r="R76" s="79"/>
      <c r="S76" s="79"/>
      <c r="V76" s="79"/>
      <c r="W76" s="79"/>
      <c r="Z76" s="130"/>
      <c r="AB76" s="106"/>
    </row>
    <row r="77">
      <c r="C77" s="79"/>
      <c r="D77" s="79"/>
      <c r="E77" s="79"/>
      <c r="M77" s="79"/>
      <c r="R77" s="79"/>
      <c r="S77" s="79"/>
      <c r="V77" s="79"/>
      <c r="W77" s="79"/>
      <c r="Z77" s="130"/>
      <c r="AB77" s="106"/>
    </row>
    <row r="78">
      <c r="C78" s="79"/>
      <c r="D78" s="79"/>
      <c r="E78" s="79"/>
      <c r="M78" s="79"/>
      <c r="R78" s="79"/>
      <c r="S78" s="79"/>
      <c r="V78" s="79"/>
      <c r="W78" s="79"/>
      <c r="Z78" s="130"/>
      <c r="AB78" s="106"/>
    </row>
    <row r="79">
      <c r="C79" s="79"/>
      <c r="D79" s="79"/>
      <c r="E79" s="79"/>
      <c r="M79" s="79"/>
      <c r="R79" s="79"/>
      <c r="S79" s="79"/>
      <c r="V79" s="79"/>
      <c r="W79" s="79"/>
      <c r="Z79" s="130"/>
      <c r="AB79" s="106"/>
    </row>
    <row r="80">
      <c r="C80" s="79"/>
      <c r="D80" s="79"/>
      <c r="E80" s="79"/>
      <c r="M80" s="79"/>
      <c r="R80" s="79"/>
      <c r="S80" s="79"/>
      <c r="V80" s="79"/>
      <c r="W80" s="79"/>
      <c r="Z80" s="130"/>
      <c r="AB80" s="106"/>
    </row>
    <row r="81">
      <c r="C81" s="79"/>
      <c r="D81" s="79"/>
      <c r="E81" s="79"/>
      <c r="M81" s="79"/>
      <c r="R81" s="79"/>
      <c r="S81" s="79"/>
      <c r="V81" s="79"/>
      <c r="W81" s="79"/>
      <c r="Z81" s="130"/>
      <c r="AB81" s="106"/>
    </row>
    <row r="82">
      <c r="C82" s="79"/>
      <c r="D82" s="79"/>
      <c r="E82" s="79"/>
      <c r="M82" s="79"/>
      <c r="R82" s="79"/>
      <c r="S82" s="79"/>
      <c r="V82" s="79"/>
      <c r="W82" s="79"/>
      <c r="Z82" s="130"/>
      <c r="AB82" s="106"/>
    </row>
    <row r="83">
      <c r="C83" s="79"/>
      <c r="D83" s="79"/>
      <c r="E83" s="79"/>
      <c r="M83" s="79"/>
      <c r="R83" s="79"/>
      <c r="S83" s="79"/>
      <c r="V83" s="79"/>
      <c r="W83" s="79"/>
      <c r="Z83" s="130"/>
      <c r="AB83" s="106"/>
    </row>
    <row r="84">
      <c r="C84" s="79"/>
      <c r="D84" s="79"/>
      <c r="E84" s="79"/>
      <c r="M84" s="79"/>
      <c r="R84" s="79"/>
      <c r="S84" s="79"/>
      <c r="V84" s="79"/>
      <c r="W84" s="79"/>
      <c r="Z84" s="130"/>
      <c r="AB84" s="106"/>
    </row>
    <row r="85">
      <c r="C85" s="79"/>
      <c r="D85" s="79"/>
      <c r="E85" s="79"/>
      <c r="M85" s="79"/>
      <c r="R85" s="79"/>
      <c r="S85" s="79"/>
      <c r="V85" s="79"/>
      <c r="W85" s="79"/>
      <c r="Z85" s="130"/>
      <c r="AB85" s="106"/>
    </row>
    <row r="86">
      <c r="C86" s="79"/>
      <c r="D86" s="79"/>
      <c r="E86" s="79"/>
      <c r="M86" s="79"/>
      <c r="R86" s="79"/>
      <c r="S86" s="79"/>
      <c r="V86" s="79"/>
      <c r="W86" s="79"/>
      <c r="Z86" s="130"/>
      <c r="AB86" s="106"/>
    </row>
    <row r="87">
      <c r="C87" s="79"/>
      <c r="D87" s="79"/>
      <c r="E87" s="79"/>
      <c r="M87" s="79"/>
      <c r="R87" s="79"/>
      <c r="S87" s="79"/>
      <c r="V87" s="79"/>
      <c r="W87" s="79"/>
      <c r="Z87" s="130"/>
      <c r="AB87" s="106"/>
    </row>
    <row r="88">
      <c r="C88" s="79"/>
      <c r="D88" s="79"/>
      <c r="E88" s="79"/>
      <c r="M88" s="79"/>
      <c r="R88" s="79"/>
      <c r="S88" s="79"/>
      <c r="V88" s="79"/>
      <c r="W88" s="79"/>
      <c r="Z88" s="130"/>
      <c r="AB88" s="106"/>
    </row>
    <row r="89">
      <c r="C89" s="79"/>
      <c r="D89" s="79"/>
      <c r="E89" s="79"/>
      <c r="M89" s="79"/>
      <c r="R89" s="79"/>
      <c r="S89" s="79"/>
      <c r="V89" s="79"/>
      <c r="W89" s="79"/>
      <c r="Z89" s="130"/>
      <c r="AB89" s="106"/>
    </row>
    <row r="90">
      <c r="C90" s="79"/>
      <c r="D90" s="79"/>
      <c r="E90" s="79"/>
      <c r="M90" s="79"/>
      <c r="R90" s="79"/>
      <c r="S90" s="79"/>
      <c r="V90" s="79"/>
      <c r="W90" s="79"/>
      <c r="Z90" s="130"/>
      <c r="AB90" s="106"/>
    </row>
    <row r="91">
      <c r="C91" s="79"/>
      <c r="D91" s="79"/>
      <c r="E91" s="79"/>
      <c r="M91" s="79"/>
      <c r="R91" s="79"/>
      <c r="S91" s="79"/>
      <c r="V91" s="79"/>
      <c r="W91" s="79"/>
      <c r="Z91" s="130"/>
      <c r="AB91" s="106"/>
    </row>
    <row r="92">
      <c r="C92" s="79"/>
      <c r="D92" s="79"/>
      <c r="E92" s="79"/>
      <c r="M92" s="79"/>
      <c r="R92" s="79"/>
      <c r="S92" s="79"/>
      <c r="V92" s="79"/>
      <c r="W92" s="79"/>
      <c r="Z92" s="130"/>
      <c r="AB92" s="106"/>
    </row>
    <row r="93">
      <c r="C93" s="79"/>
      <c r="D93" s="79"/>
      <c r="E93" s="79"/>
      <c r="M93" s="79"/>
      <c r="R93" s="79"/>
      <c r="S93" s="79"/>
      <c r="V93" s="79"/>
      <c r="W93" s="79"/>
      <c r="Z93" s="130"/>
      <c r="AB93" s="106"/>
    </row>
    <row r="94">
      <c r="C94" s="79"/>
      <c r="D94" s="79"/>
      <c r="E94" s="79"/>
      <c r="M94" s="79"/>
      <c r="R94" s="79"/>
      <c r="S94" s="79"/>
      <c r="V94" s="79"/>
      <c r="W94" s="79"/>
      <c r="Z94" s="130"/>
      <c r="AB94" s="106"/>
    </row>
    <row r="95">
      <c r="C95" s="79"/>
      <c r="D95" s="79"/>
      <c r="E95" s="79"/>
      <c r="M95" s="79"/>
      <c r="R95" s="79"/>
      <c r="S95" s="79"/>
      <c r="V95" s="79"/>
      <c r="W95" s="79"/>
      <c r="Z95" s="130"/>
      <c r="AB95" s="106"/>
    </row>
    <row r="96">
      <c r="C96" s="79"/>
      <c r="D96" s="79"/>
      <c r="E96" s="79"/>
      <c r="M96" s="79"/>
      <c r="R96" s="79"/>
      <c r="S96" s="79"/>
      <c r="V96" s="79"/>
      <c r="W96" s="79"/>
      <c r="Z96" s="130"/>
      <c r="AB96" s="106"/>
    </row>
    <row r="97">
      <c r="C97" s="79"/>
      <c r="D97" s="79"/>
      <c r="E97" s="79"/>
      <c r="M97" s="79"/>
      <c r="R97" s="79"/>
      <c r="S97" s="79"/>
      <c r="V97" s="79"/>
      <c r="W97" s="79"/>
      <c r="Z97" s="130"/>
      <c r="AB97" s="106"/>
    </row>
    <row r="98">
      <c r="C98" s="79"/>
      <c r="D98" s="79"/>
      <c r="E98" s="79"/>
      <c r="M98" s="79"/>
      <c r="R98" s="79"/>
      <c r="S98" s="79"/>
      <c r="V98" s="79"/>
      <c r="W98" s="79"/>
      <c r="Z98" s="130"/>
      <c r="AB98" s="106"/>
    </row>
    <row r="99">
      <c r="C99" s="79"/>
      <c r="D99" s="79"/>
      <c r="E99" s="79"/>
      <c r="M99" s="79"/>
      <c r="R99" s="79"/>
      <c r="S99" s="79"/>
      <c r="V99" s="79"/>
      <c r="W99" s="79"/>
      <c r="Z99" s="130"/>
      <c r="AB99" s="106"/>
    </row>
    <row r="100">
      <c r="C100" s="79"/>
      <c r="D100" s="79"/>
      <c r="E100" s="79"/>
      <c r="M100" s="79"/>
      <c r="R100" s="79"/>
      <c r="S100" s="79"/>
      <c r="V100" s="79"/>
      <c r="W100" s="79"/>
      <c r="Z100" s="130"/>
      <c r="AB100" s="106"/>
    </row>
    <row r="101">
      <c r="C101" s="79"/>
      <c r="D101" s="79"/>
      <c r="E101" s="79"/>
      <c r="M101" s="79"/>
      <c r="R101" s="79"/>
      <c r="S101" s="79"/>
      <c r="V101" s="79"/>
      <c r="W101" s="79"/>
      <c r="Z101" s="130"/>
      <c r="AB101" s="106"/>
    </row>
    <row r="102">
      <c r="C102" s="79"/>
      <c r="D102" s="79"/>
      <c r="E102" s="79"/>
      <c r="M102" s="79"/>
      <c r="R102" s="79"/>
      <c r="S102" s="79"/>
      <c r="V102" s="79"/>
      <c r="W102" s="79"/>
      <c r="Z102" s="130"/>
      <c r="AB102" s="106"/>
    </row>
    <row r="103">
      <c r="C103" s="79"/>
      <c r="D103" s="79"/>
      <c r="E103" s="79"/>
      <c r="M103" s="79"/>
      <c r="R103" s="79"/>
      <c r="S103" s="79"/>
      <c r="V103" s="79"/>
      <c r="W103" s="79"/>
      <c r="Z103" s="130"/>
      <c r="AB103" s="106"/>
    </row>
    <row r="104">
      <c r="C104" s="79"/>
      <c r="D104" s="79"/>
      <c r="E104" s="79"/>
      <c r="M104" s="79"/>
      <c r="R104" s="79"/>
      <c r="S104" s="79"/>
      <c r="V104" s="79"/>
      <c r="W104" s="79"/>
      <c r="Z104" s="130"/>
      <c r="AB104" s="106"/>
    </row>
    <row r="105">
      <c r="C105" s="79"/>
      <c r="D105" s="79"/>
      <c r="E105" s="79"/>
      <c r="M105" s="79"/>
      <c r="R105" s="79"/>
      <c r="S105" s="79"/>
      <c r="V105" s="79"/>
      <c r="W105" s="79"/>
      <c r="Z105" s="130"/>
      <c r="AB105" s="106"/>
    </row>
    <row r="106">
      <c r="C106" s="79"/>
      <c r="D106" s="79"/>
      <c r="E106" s="79"/>
      <c r="M106" s="79"/>
      <c r="R106" s="79"/>
      <c r="S106" s="79"/>
      <c r="V106" s="79"/>
      <c r="W106" s="79"/>
      <c r="Z106" s="130"/>
      <c r="AB106" s="106"/>
    </row>
    <row r="107">
      <c r="C107" s="79"/>
      <c r="D107" s="79"/>
      <c r="E107" s="79"/>
      <c r="M107" s="79"/>
      <c r="R107" s="79"/>
      <c r="S107" s="79"/>
      <c r="V107" s="79"/>
      <c r="W107" s="79"/>
      <c r="Z107" s="130"/>
      <c r="AB107" s="106"/>
    </row>
    <row r="108">
      <c r="C108" s="79"/>
      <c r="D108" s="79"/>
      <c r="E108" s="79"/>
      <c r="M108" s="79"/>
      <c r="R108" s="79"/>
      <c r="S108" s="79"/>
      <c r="V108" s="79"/>
      <c r="W108" s="79"/>
      <c r="Z108" s="130"/>
      <c r="AB108" s="106"/>
    </row>
    <row r="109">
      <c r="C109" s="79"/>
      <c r="D109" s="79"/>
      <c r="E109" s="79"/>
      <c r="M109" s="79"/>
      <c r="R109" s="79"/>
      <c r="S109" s="79"/>
      <c r="V109" s="79"/>
      <c r="W109" s="79"/>
      <c r="Z109" s="130"/>
      <c r="AB109" s="106"/>
    </row>
    <row r="110">
      <c r="C110" s="79"/>
      <c r="D110" s="79"/>
      <c r="E110" s="79"/>
      <c r="M110" s="79"/>
      <c r="R110" s="79"/>
      <c r="S110" s="79"/>
      <c r="V110" s="79"/>
      <c r="W110" s="79"/>
      <c r="Z110" s="130"/>
      <c r="AB110" s="106"/>
    </row>
    <row r="111">
      <c r="C111" s="79"/>
      <c r="D111" s="79"/>
      <c r="E111" s="79"/>
      <c r="M111" s="79"/>
      <c r="R111" s="79"/>
      <c r="S111" s="79"/>
      <c r="V111" s="79"/>
      <c r="W111" s="79"/>
      <c r="Z111" s="130"/>
      <c r="AB111" s="106"/>
    </row>
    <row r="112">
      <c r="C112" s="79"/>
      <c r="D112" s="79"/>
      <c r="E112" s="79"/>
      <c r="M112" s="79"/>
      <c r="R112" s="79"/>
      <c r="S112" s="79"/>
      <c r="V112" s="79"/>
      <c r="W112" s="79"/>
      <c r="Z112" s="130"/>
      <c r="AB112" s="106"/>
    </row>
    <row r="113">
      <c r="C113" s="79"/>
      <c r="D113" s="79"/>
      <c r="E113" s="79"/>
      <c r="M113" s="79"/>
      <c r="R113" s="79"/>
      <c r="S113" s="79"/>
      <c r="V113" s="79"/>
      <c r="W113" s="79"/>
      <c r="Z113" s="130"/>
      <c r="AB113" s="106"/>
    </row>
    <row r="114">
      <c r="C114" s="79"/>
      <c r="D114" s="79"/>
      <c r="E114" s="79"/>
      <c r="M114" s="79"/>
      <c r="R114" s="79"/>
      <c r="S114" s="79"/>
      <c r="V114" s="79"/>
      <c r="W114" s="79"/>
      <c r="Z114" s="130"/>
      <c r="AB114" s="106"/>
    </row>
    <row r="115">
      <c r="C115" s="79"/>
      <c r="D115" s="79"/>
      <c r="E115" s="79"/>
      <c r="M115" s="79"/>
      <c r="R115" s="79"/>
      <c r="S115" s="79"/>
      <c r="V115" s="79"/>
      <c r="W115" s="79"/>
      <c r="Z115" s="130"/>
      <c r="AB115" s="106"/>
    </row>
    <row r="116">
      <c r="C116" s="79"/>
      <c r="D116" s="79"/>
      <c r="E116" s="79"/>
      <c r="M116" s="79"/>
      <c r="R116" s="79"/>
      <c r="S116" s="79"/>
      <c r="V116" s="79"/>
      <c r="W116" s="79"/>
      <c r="Z116" s="130"/>
      <c r="AB116" s="106"/>
    </row>
    <row r="117">
      <c r="C117" s="79"/>
      <c r="D117" s="79"/>
      <c r="E117" s="79"/>
      <c r="M117" s="79"/>
      <c r="R117" s="79"/>
      <c r="S117" s="79"/>
      <c r="V117" s="79"/>
      <c r="W117" s="79"/>
      <c r="Z117" s="130"/>
      <c r="AB117" s="106"/>
    </row>
    <row r="118">
      <c r="C118" s="79"/>
      <c r="D118" s="79"/>
      <c r="E118" s="79"/>
      <c r="M118" s="79"/>
      <c r="R118" s="79"/>
      <c r="S118" s="79"/>
      <c r="V118" s="79"/>
      <c r="W118" s="79"/>
      <c r="Z118" s="130"/>
      <c r="AB118" s="106"/>
    </row>
    <row r="119">
      <c r="C119" s="79"/>
      <c r="D119" s="79"/>
      <c r="E119" s="79"/>
      <c r="M119" s="79"/>
      <c r="R119" s="79"/>
      <c r="S119" s="79"/>
      <c r="V119" s="79"/>
      <c r="W119" s="79"/>
      <c r="Z119" s="130"/>
      <c r="AB119" s="106"/>
    </row>
    <row r="120">
      <c r="C120" s="79"/>
      <c r="D120" s="79"/>
      <c r="E120" s="79"/>
      <c r="M120" s="79"/>
      <c r="R120" s="79"/>
      <c r="S120" s="79"/>
      <c r="V120" s="79"/>
      <c r="W120" s="79"/>
      <c r="Z120" s="130"/>
      <c r="AB120" s="106"/>
    </row>
    <row r="121">
      <c r="C121" s="79"/>
      <c r="D121" s="79"/>
      <c r="E121" s="79"/>
      <c r="M121" s="79"/>
      <c r="R121" s="79"/>
      <c r="S121" s="79"/>
      <c r="V121" s="79"/>
      <c r="W121" s="79"/>
      <c r="Z121" s="130"/>
      <c r="AB121" s="106"/>
    </row>
    <row r="122">
      <c r="C122" s="79"/>
      <c r="D122" s="79"/>
      <c r="E122" s="79"/>
      <c r="M122" s="79"/>
      <c r="R122" s="79"/>
      <c r="S122" s="79"/>
      <c r="V122" s="79"/>
      <c r="W122" s="79"/>
      <c r="Z122" s="130"/>
      <c r="AB122" s="106"/>
    </row>
    <row r="123">
      <c r="C123" s="79"/>
      <c r="D123" s="79"/>
      <c r="E123" s="79"/>
      <c r="M123" s="79"/>
      <c r="R123" s="79"/>
      <c r="S123" s="79"/>
      <c r="V123" s="79"/>
      <c r="W123" s="79"/>
      <c r="Z123" s="130"/>
      <c r="AB123" s="106"/>
    </row>
    <row r="124">
      <c r="C124" s="79"/>
      <c r="D124" s="79"/>
      <c r="E124" s="79"/>
      <c r="M124" s="79"/>
      <c r="R124" s="79"/>
      <c r="S124" s="79"/>
      <c r="V124" s="79"/>
      <c r="W124" s="79"/>
      <c r="Z124" s="130"/>
      <c r="AB124" s="106"/>
    </row>
    <row r="125">
      <c r="C125" s="79"/>
      <c r="D125" s="79"/>
      <c r="E125" s="79"/>
      <c r="M125" s="79"/>
      <c r="R125" s="79"/>
      <c r="S125" s="79"/>
      <c r="V125" s="79"/>
      <c r="W125" s="79"/>
      <c r="Z125" s="130"/>
      <c r="AB125" s="106"/>
    </row>
    <row r="126">
      <c r="C126" s="79"/>
      <c r="D126" s="79"/>
      <c r="E126" s="79"/>
      <c r="M126" s="79"/>
      <c r="R126" s="79"/>
      <c r="S126" s="79"/>
      <c r="V126" s="79"/>
      <c r="W126" s="79"/>
      <c r="Z126" s="130"/>
      <c r="AB126" s="106"/>
    </row>
    <row r="127">
      <c r="C127" s="79"/>
      <c r="D127" s="79"/>
      <c r="E127" s="79"/>
      <c r="M127" s="79"/>
      <c r="R127" s="79"/>
      <c r="S127" s="79"/>
      <c r="V127" s="79"/>
      <c r="W127" s="79"/>
      <c r="Z127" s="130"/>
      <c r="AB127" s="106"/>
    </row>
    <row r="128">
      <c r="C128" s="79"/>
      <c r="D128" s="79"/>
      <c r="E128" s="79"/>
      <c r="M128" s="79"/>
      <c r="R128" s="79"/>
      <c r="S128" s="79"/>
      <c r="V128" s="79"/>
      <c r="W128" s="79"/>
      <c r="Z128" s="130"/>
      <c r="AB128" s="106"/>
    </row>
    <row r="129">
      <c r="C129" s="79"/>
      <c r="D129" s="79"/>
      <c r="E129" s="79"/>
      <c r="M129" s="79"/>
      <c r="R129" s="79"/>
      <c r="S129" s="79"/>
      <c r="V129" s="79"/>
      <c r="W129" s="79"/>
      <c r="Z129" s="130"/>
      <c r="AB129" s="106"/>
    </row>
    <row r="130">
      <c r="C130" s="79"/>
      <c r="D130" s="79"/>
      <c r="E130" s="79"/>
      <c r="M130" s="79"/>
      <c r="R130" s="79"/>
      <c r="S130" s="79"/>
      <c r="V130" s="79"/>
      <c r="W130" s="79"/>
      <c r="Z130" s="130"/>
      <c r="AB130" s="106"/>
    </row>
    <row r="131">
      <c r="C131" s="79"/>
      <c r="D131" s="79"/>
      <c r="E131" s="79"/>
      <c r="M131" s="79"/>
      <c r="R131" s="79"/>
      <c r="S131" s="79"/>
      <c r="V131" s="79"/>
      <c r="W131" s="79"/>
      <c r="Z131" s="130"/>
      <c r="AB131" s="106"/>
    </row>
    <row r="132">
      <c r="C132" s="79"/>
      <c r="D132" s="79"/>
      <c r="E132" s="79"/>
      <c r="M132" s="79"/>
      <c r="R132" s="79"/>
      <c r="S132" s="79"/>
      <c r="V132" s="79"/>
      <c r="W132" s="79"/>
      <c r="Z132" s="130"/>
      <c r="AB132" s="106"/>
    </row>
    <row r="133">
      <c r="C133" s="79"/>
      <c r="D133" s="79"/>
      <c r="E133" s="79"/>
      <c r="M133" s="79"/>
      <c r="R133" s="79"/>
      <c r="S133" s="79"/>
      <c r="V133" s="79"/>
      <c r="W133" s="79"/>
      <c r="Z133" s="130"/>
      <c r="AB133" s="106"/>
    </row>
    <row r="134">
      <c r="C134" s="79"/>
      <c r="D134" s="79"/>
      <c r="E134" s="79"/>
      <c r="M134" s="79"/>
      <c r="R134" s="79"/>
      <c r="S134" s="79"/>
      <c r="V134" s="79"/>
      <c r="W134" s="79"/>
      <c r="Z134" s="130"/>
      <c r="AB134" s="106"/>
    </row>
    <row r="135">
      <c r="C135" s="79"/>
      <c r="D135" s="79"/>
      <c r="E135" s="79"/>
      <c r="M135" s="79"/>
      <c r="R135" s="79"/>
      <c r="S135" s="79"/>
      <c r="V135" s="79"/>
      <c r="W135" s="79"/>
      <c r="Z135" s="130"/>
      <c r="AB135" s="106"/>
    </row>
    <row r="136">
      <c r="C136" s="79"/>
      <c r="D136" s="79"/>
      <c r="E136" s="79"/>
      <c r="M136" s="79"/>
      <c r="R136" s="79"/>
      <c r="S136" s="79"/>
      <c r="V136" s="79"/>
      <c r="W136" s="79"/>
      <c r="Z136" s="130"/>
      <c r="AB136" s="106"/>
    </row>
    <row r="137">
      <c r="C137" s="79"/>
      <c r="D137" s="79"/>
      <c r="E137" s="79"/>
      <c r="M137" s="79"/>
      <c r="R137" s="79"/>
      <c r="S137" s="79"/>
      <c r="V137" s="79"/>
      <c r="W137" s="79"/>
      <c r="Z137" s="130"/>
      <c r="AB137" s="106"/>
    </row>
    <row r="138">
      <c r="C138" s="79"/>
      <c r="D138" s="79"/>
      <c r="E138" s="79"/>
      <c r="M138" s="79"/>
      <c r="R138" s="79"/>
      <c r="S138" s="79"/>
      <c r="V138" s="79"/>
      <c r="W138" s="79"/>
      <c r="Z138" s="130"/>
      <c r="AB138" s="106"/>
    </row>
    <row r="139">
      <c r="C139" s="79"/>
      <c r="D139" s="79"/>
      <c r="E139" s="79"/>
      <c r="M139" s="79"/>
      <c r="R139" s="79"/>
      <c r="S139" s="79"/>
      <c r="V139" s="79"/>
      <c r="W139" s="79"/>
      <c r="Z139" s="130"/>
      <c r="AB139" s="106"/>
    </row>
    <row r="140">
      <c r="C140" s="79"/>
      <c r="D140" s="79"/>
      <c r="E140" s="79"/>
      <c r="M140" s="79"/>
      <c r="R140" s="79"/>
      <c r="S140" s="79"/>
      <c r="V140" s="79"/>
      <c r="W140" s="79"/>
      <c r="Z140" s="130"/>
      <c r="AB140" s="106"/>
    </row>
    <row r="141">
      <c r="C141" s="79"/>
      <c r="D141" s="79"/>
      <c r="E141" s="79"/>
      <c r="M141" s="79"/>
      <c r="R141" s="79"/>
      <c r="S141" s="79"/>
      <c r="V141" s="79"/>
      <c r="W141" s="79"/>
      <c r="Z141" s="130"/>
      <c r="AB141" s="106"/>
    </row>
    <row r="142">
      <c r="C142" s="79"/>
      <c r="D142" s="79"/>
      <c r="E142" s="79"/>
      <c r="M142" s="79"/>
      <c r="R142" s="79"/>
      <c r="S142" s="79"/>
      <c r="V142" s="79"/>
      <c r="W142" s="79"/>
      <c r="Z142" s="130"/>
      <c r="AB142" s="106"/>
    </row>
    <row r="143">
      <c r="C143" s="79"/>
      <c r="D143" s="79"/>
      <c r="E143" s="79"/>
      <c r="M143" s="79"/>
      <c r="R143" s="79"/>
      <c r="S143" s="79"/>
      <c r="V143" s="79"/>
      <c r="W143" s="79"/>
      <c r="Z143" s="130"/>
      <c r="AB143" s="106"/>
    </row>
    <row r="144">
      <c r="C144" s="79"/>
      <c r="D144" s="79"/>
      <c r="E144" s="79"/>
      <c r="M144" s="79"/>
      <c r="R144" s="79"/>
      <c r="S144" s="79"/>
      <c r="V144" s="79"/>
      <c r="W144" s="79"/>
      <c r="Z144" s="130"/>
      <c r="AB144" s="106"/>
    </row>
    <row r="145">
      <c r="C145" s="79"/>
      <c r="D145" s="79"/>
      <c r="E145" s="79"/>
      <c r="M145" s="79"/>
      <c r="R145" s="79"/>
      <c r="S145" s="79"/>
      <c r="V145" s="79"/>
      <c r="W145" s="79"/>
      <c r="Z145" s="130"/>
      <c r="AB145" s="106"/>
    </row>
    <row r="146">
      <c r="C146" s="79"/>
      <c r="D146" s="79"/>
      <c r="E146" s="79"/>
      <c r="M146" s="79"/>
      <c r="R146" s="79"/>
      <c r="S146" s="79"/>
      <c r="V146" s="79"/>
      <c r="W146" s="79"/>
      <c r="Z146" s="130"/>
      <c r="AB146" s="106"/>
    </row>
    <row r="147">
      <c r="C147" s="79"/>
      <c r="D147" s="79"/>
      <c r="E147" s="79"/>
      <c r="M147" s="79"/>
      <c r="R147" s="79"/>
      <c r="S147" s="79"/>
      <c r="V147" s="79"/>
      <c r="W147" s="79"/>
      <c r="Z147" s="130"/>
      <c r="AB147" s="106"/>
    </row>
    <row r="148">
      <c r="C148" s="79"/>
      <c r="D148" s="79"/>
      <c r="E148" s="79"/>
      <c r="M148" s="79"/>
      <c r="R148" s="79"/>
      <c r="S148" s="79"/>
      <c r="V148" s="79"/>
      <c r="W148" s="79"/>
      <c r="Z148" s="130"/>
      <c r="AB148" s="106"/>
    </row>
    <row r="149">
      <c r="C149" s="79"/>
      <c r="D149" s="79"/>
      <c r="E149" s="79"/>
      <c r="M149" s="79"/>
      <c r="R149" s="79"/>
      <c r="S149" s="79"/>
      <c r="V149" s="79"/>
      <c r="W149" s="79"/>
      <c r="Z149" s="130"/>
      <c r="AB149" s="106"/>
    </row>
    <row r="150">
      <c r="C150" s="79"/>
      <c r="D150" s="79"/>
      <c r="E150" s="79"/>
      <c r="M150" s="79"/>
      <c r="R150" s="79"/>
      <c r="S150" s="79"/>
      <c r="V150" s="79"/>
      <c r="W150" s="79"/>
      <c r="Z150" s="130"/>
      <c r="AB150" s="106"/>
    </row>
    <row r="151">
      <c r="C151" s="79"/>
      <c r="D151" s="79"/>
      <c r="E151" s="79"/>
      <c r="M151" s="79"/>
      <c r="R151" s="79"/>
      <c r="S151" s="79"/>
      <c r="V151" s="79"/>
      <c r="W151" s="79"/>
      <c r="Z151" s="130"/>
      <c r="AB151" s="106"/>
    </row>
    <row r="152">
      <c r="C152" s="79"/>
      <c r="D152" s="79"/>
      <c r="E152" s="79"/>
      <c r="M152" s="79"/>
      <c r="R152" s="79"/>
      <c r="S152" s="79"/>
      <c r="V152" s="79"/>
      <c r="W152" s="79"/>
      <c r="Z152" s="130"/>
      <c r="AB152" s="106"/>
    </row>
    <row r="153">
      <c r="C153" s="79"/>
      <c r="D153" s="79"/>
      <c r="E153" s="79"/>
      <c r="M153" s="79"/>
      <c r="R153" s="79"/>
      <c r="S153" s="79"/>
      <c r="V153" s="79"/>
      <c r="W153" s="79"/>
      <c r="Z153" s="130"/>
      <c r="AB153" s="106"/>
    </row>
    <row r="154">
      <c r="C154" s="79"/>
      <c r="D154" s="79"/>
      <c r="E154" s="79"/>
      <c r="M154" s="79"/>
      <c r="R154" s="79"/>
      <c r="S154" s="79"/>
      <c r="V154" s="79"/>
      <c r="W154" s="79"/>
      <c r="Z154" s="130"/>
      <c r="AB154" s="106"/>
    </row>
    <row r="155">
      <c r="C155" s="79"/>
      <c r="D155" s="79"/>
      <c r="E155" s="79"/>
      <c r="M155" s="79"/>
      <c r="R155" s="79"/>
      <c r="S155" s="79"/>
      <c r="V155" s="79"/>
      <c r="W155" s="79"/>
      <c r="Z155" s="130"/>
      <c r="AB155" s="106"/>
    </row>
    <row r="156">
      <c r="C156" s="79"/>
      <c r="D156" s="79"/>
      <c r="E156" s="79"/>
      <c r="M156" s="79"/>
      <c r="R156" s="79"/>
      <c r="S156" s="79"/>
      <c r="V156" s="79"/>
      <c r="W156" s="79"/>
      <c r="Z156" s="130"/>
      <c r="AB156" s="106"/>
    </row>
    <row r="157">
      <c r="C157" s="79"/>
      <c r="D157" s="79"/>
      <c r="E157" s="79"/>
      <c r="M157" s="79"/>
      <c r="R157" s="79"/>
      <c r="S157" s="79"/>
      <c r="V157" s="79"/>
      <c r="W157" s="79"/>
      <c r="Z157" s="130"/>
      <c r="AB157" s="106"/>
    </row>
    <row r="158">
      <c r="C158" s="79"/>
      <c r="D158" s="79"/>
      <c r="E158" s="79"/>
      <c r="M158" s="79"/>
      <c r="R158" s="79"/>
      <c r="S158" s="79"/>
      <c r="V158" s="79"/>
      <c r="W158" s="79"/>
      <c r="Z158" s="130"/>
      <c r="AB158" s="106"/>
    </row>
    <row r="159">
      <c r="C159" s="79"/>
      <c r="D159" s="79"/>
      <c r="E159" s="79"/>
      <c r="M159" s="79"/>
      <c r="R159" s="79"/>
      <c r="S159" s="79"/>
      <c r="V159" s="79"/>
      <c r="W159" s="79"/>
      <c r="Z159" s="130"/>
      <c r="AB159" s="106"/>
    </row>
    <row r="160">
      <c r="C160" s="79"/>
      <c r="D160" s="79"/>
      <c r="E160" s="79"/>
      <c r="M160" s="79"/>
      <c r="R160" s="79"/>
      <c r="S160" s="79"/>
      <c r="V160" s="79"/>
      <c r="W160" s="79"/>
      <c r="Z160" s="130"/>
      <c r="AB160" s="106"/>
    </row>
    <row r="161">
      <c r="C161" s="79"/>
      <c r="D161" s="79"/>
      <c r="E161" s="79"/>
      <c r="M161" s="79"/>
      <c r="R161" s="79"/>
      <c r="S161" s="79"/>
      <c r="V161" s="79"/>
      <c r="W161" s="79"/>
      <c r="Z161" s="130"/>
      <c r="AB161" s="106"/>
    </row>
    <row r="162">
      <c r="C162" s="79"/>
      <c r="D162" s="79"/>
      <c r="E162" s="79"/>
      <c r="M162" s="79"/>
      <c r="R162" s="79"/>
      <c r="S162" s="79"/>
      <c r="V162" s="79"/>
      <c r="W162" s="79"/>
      <c r="Z162" s="130"/>
      <c r="AB162" s="106"/>
    </row>
    <row r="163">
      <c r="C163" s="79"/>
      <c r="D163" s="79"/>
      <c r="E163" s="79"/>
      <c r="M163" s="79"/>
      <c r="R163" s="79"/>
      <c r="S163" s="79"/>
      <c r="V163" s="79"/>
      <c r="W163" s="79"/>
      <c r="Z163" s="130"/>
      <c r="AB163" s="106"/>
    </row>
    <row r="164">
      <c r="C164" s="79"/>
      <c r="D164" s="79"/>
      <c r="E164" s="79"/>
      <c r="M164" s="79"/>
      <c r="R164" s="79"/>
      <c r="S164" s="79"/>
      <c r="V164" s="79"/>
      <c r="W164" s="79"/>
      <c r="Z164" s="130"/>
      <c r="AB164" s="106"/>
    </row>
    <row r="165">
      <c r="C165" s="79"/>
      <c r="D165" s="79"/>
      <c r="E165" s="79"/>
      <c r="M165" s="79"/>
      <c r="R165" s="79"/>
      <c r="S165" s="79"/>
      <c r="V165" s="79"/>
      <c r="W165" s="79"/>
      <c r="Z165" s="130"/>
      <c r="AB165" s="106"/>
    </row>
    <row r="166">
      <c r="C166" s="79"/>
      <c r="D166" s="79"/>
      <c r="E166" s="79"/>
      <c r="M166" s="79"/>
      <c r="R166" s="79"/>
      <c r="S166" s="79"/>
      <c r="V166" s="79"/>
      <c r="W166" s="79"/>
      <c r="Z166" s="130"/>
      <c r="AB166" s="106"/>
    </row>
    <row r="167">
      <c r="C167" s="79"/>
      <c r="D167" s="79"/>
      <c r="E167" s="79"/>
      <c r="M167" s="79"/>
      <c r="R167" s="79"/>
      <c r="S167" s="79"/>
      <c r="V167" s="79"/>
      <c r="W167" s="79"/>
      <c r="Z167" s="130"/>
      <c r="AB167" s="106"/>
    </row>
    <row r="168">
      <c r="C168" s="79"/>
      <c r="D168" s="79"/>
      <c r="E168" s="79"/>
      <c r="M168" s="79"/>
      <c r="R168" s="79"/>
      <c r="S168" s="79"/>
      <c r="V168" s="79"/>
      <c r="W168" s="79"/>
      <c r="Z168" s="130"/>
      <c r="AB168" s="106"/>
    </row>
    <row r="169">
      <c r="C169" s="79"/>
      <c r="D169" s="79"/>
      <c r="E169" s="79"/>
      <c r="M169" s="79"/>
      <c r="R169" s="79"/>
      <c r="S169" s="79"/>
      <c r="V169" s="79"/>
      <c r="W169" s="79"/>
      <c r="Z169" s="130"/>
      <c r="AB169" s="106"/>
    </row>
    <row r="170">
      <c r="C170" s="79"/>
      <c r="D170" s="79"/>
      <c r="E170" s="79"/>
      <c r="M170" s="79"/>
      <c r="R170" s="79"/>
      <c r="S170" s="79"/>
      <c r="V170" s="79"/>
      <c r="W170" s="79"/>
      <c r="Z170" s="130"/>
      <c r="AB170" s="106"/>
    </row>
    <row r="171">
      <c r="C171" s="79"/>
      <c r="D171" s="79"/>
      <c r="E171" s="79"/>
      <c r="M171" s="79"/>
      <c r="R171" s="79"/>
      <c r="S171" s="79"/>
      <c r="V171" s="79"/>
      <c r="W171" s="79"/>
      <c r="Z171" s="130"/>
      <c r="AB171" s="106"/>
    </row>
    <row r="172">
      <c r="C172" s="79"/>
      <c r="D172" s="79"/>
      <c r="E172" s="79"/>
      <c r="M172" s="79"/>
      <c r="R172" s="79"/>
      <c r="S172" s="79"/>
      <c r="V172" s="79"/>
      <c r="W172" s="79"/>
      <c r="Z172" s="130"/>
      <c r="AB172" s="106"/>
    </row>
    <row r="173">
      <c r="C173" s="79"/>
      <c r="D173" s="79"/>
      <c r="E173" s="79"/>
      <c r="M173" s="79"/>
      <c r="R173" s="79"/>
      <c r="S173" s="79"/>
      <c r="V173" s="79"/>
      <c r="W173" s="79"/>
      <c r="Z173" s="130"/>
      <c r="AB173" s="106"/>
    </row>
    <row r="174">
      <c r="C174" s="79"/>
      <c r="D174" s="79"/>
      <c r="E174" s="79"/>
      <c r="M174" s="79"/>
      <c r="R174" s="79"/>
      <c r="S174" s="79"/>
      <c r="V174" s="79"/>
      <c r="W174" s="79"/>
      <c r="Z174" s="130"/>
      <c r="AB174" s="106"/>
    </row>
    <row r="175">
      <c r="C175" s="79"/>
      <c r="D175" s="79"/>
      <c r="E175" s="79"/>
      <c r="M175" s="79"/>
      <c r="R175" s="79"/>
      <c r="S175" s="79"/>
      <c r="V175" s="79"/>
      <c r="W175" s="79"/>
      <c r="Z175" s="130"/>
      <c r="AB175" s="106"/>
    </row>
    <row r="176">
      <c r="C176" s="79"/>
      <c r="D176" s="79"/>
      <c r="E176" s="79"/>
      <c r="M176" s="79"/>
      <c r="R176" s="79"/>
      <c r="S176" s="79"/>
      <c r="V176" s="79"/>
      <c r="W176" s="79"/>
      <c r="Z176" s="130"/>
      <c r="AB176" s="106"/>
    </row>
    <row r="177">
      <c r="C177" s="79"/>
      <c r="D177" s="79"/>
      <c r="E177" s="79"/>
      <c r="M177" s="79"/>
      <c r="R177" s="79"/>
      <c r="S177" s="79"/>
      <c r="V177" s="79"/>
      <c r="W177" s="79"/>
      <c r="Z177" s="130"/>
      <c r="AB177" s="106"/>
    </row>
    <row r="178">
      <c r="C178" s="79"/>
      <c r="D178" s="79"/>
      <c r="E178" s="79"/>
      <c r="M178" s="79"/>
      <c r="R178" s="79"/>
      <c r="S178" s="79"/>
      <c r="V178" s="79"/>
      <c r="W178" s="79"/>
      <c r="Z178" s="130"/>
      <c r="AB178" s="106"/>
    </row>
    <row r="179">
      <c r="C179" s="79"/>
      <c r="D179" s="79"/>
      <c r="E179" s="79"/>
      <c r="M179" s="79"/>
      <c r="R179" s="79"/>
      <c r="S179" s="79"/>
      <c r="V179" s="79"/>
      <c r="W179" s="79"/>
      <c r="Z179" s="130"/>
      <c r="AB179" s="106"/>
    </row>
    <row r="180">
      <c r="C180" s="79"/>
      <c r="D180" s="79"/>
      <c r="E180" s="79"/>
      <c r="M180" s="79"/>
      <c r="R180" s="79"/>
      <c r="S180" s="79"/>
      <c r="V180" s="79"/>
      <c r="W180" s="79"/>
      <c r="Z180" s="130"/>
      <c r="AB180" s="106"/>
    </row>
    <row r="181">
      <c r="C181" s="79"/>
      <c r="D181" s="79"/>
      <c r="E181" s="79"/>
      <c r="M181" s="79"/>
      <c r="R181" s="79"/>
      <c r="S181" s="79"/>
      <c r="V181" s="79"/>
      <c r="W181" s="79"/>
      <c r="Z181" s="130"/>
      <c r="AB181" s="106"/>
    </row>
    <row r="182">
      <c r="C182" s="79"/>
      <c r="D182" s="79"/>
      <c r="E182" s="79"/>
      <c r="M182" s="79"/>
      <c r="R182" s="79"/>
      <c r="S182" s="79"/>
      <c r="V182" s="79"/>
      <c r="W182" s="79"/>
      <c r="Z182" s="130"/>
      <c r="AB182" s="106"/>
    </row>
    <row r="183">
      <c r="C183" s="79"/>
      <c r="D183" s="79"/>
      <c r="E183" s="79"/>
      <c r="M183" s="79"/>
      <c r="R183" s="79"/>
      <c r="S183" s="79"/>
      <c r="V183" s="79"/>
      <c r="W183" s="79"/>
      <c r="Z183" s="130"/>
      <c r="AB183" s="106"/>
    </row>
    <row r="184">
      <c r="C184" s="79"/>
      <c r="D184" s="79"/>
      <c r="E184" s="79"/>
      <c r="M184" s="79"/>
      <c r="R184" s="79"/>
      <c r="S184" s="79"/>
      <c r="V184" s="79"/>
      <c r="W184" s="79"/>
      <c r="Z184" s="130"/>
      <c r="AB184" s="106"/>
    </row>
    <row r="185">
      <c r="C185" s="79"/>
      <c r="D185" s="79"/>
      <c r="E185" s="79"/>
      <c r="M185" s="79"/>
      <c r="R185" s="79"/>
      <c r="S185" s="79"/>
      <c r="V185" s="79"/>
      <c r="W185" s="79"/>
      <c r="Z185" s="130"/>
      <c r="AB185" s="106"/>
    </row>
    <row r="186">
      <c r="C186" s="79"/>
      <c r="D186" s="79"/>
      <c r="E186" s="79"/>
      <c r="M186" s="79"/>
      <c r="R186" s="79"/>
      <c r="S186" s="79"/>
      <c r="V186" s="79"/>
      <c r="W186" s="79"/>
      <c r="Z186" s="130"/>
      <c r="AB186" s="106"/>
    </row>
    <row r="187">
      <c r="C187" s="79"/>
      <c r="D187" s="79"/>
      <c r="E187" s="79"/>
      <c r="M187" s="79"/>
      <c r="R187" s="79"/>
      <c r="S187" s="79"/>
      <c r="V187" s="79"/>
      <c r="W187" s="79"/>
      <c r="Z187" s="130"/>
      <c r="AB187" s="106"/>
    </row>
    <row r="188">
      <c r="C188" s="79"/>
      <c r="D188" s="79"/>
      <c r="E188" s="79"/>
      <c r="M188" s="79"/>
      <c r="R188" s="79"/>
      <c r="S188" s="79"/>
      <c r="V188" s="79"/>
      <c r="W188" s="79"/>
      <c r="Z188" s="130"/>
      <c r="AB188" s="106"/>
    </row>
    <row r="189">
      <c r="C189" s="79"/>
      <c r="D189" s="79"/>
      <c r="E189" s="79"/>
      <c r="M189" s="79"/>
      <c r="R189" s="79"/>
      <c r="S189" s="79"/>
      <c r="V189" s="79"/>
      <c r="W189" s="79"/>
      <c r="Z189" s="130"/>
      <c r="AB189" s="106"/>
    </row>
    <row r="190">
      <c r="C190" s="79"/>
      <c r="D190" s="79"/>
      <c r="E190" s="79"/>
      <c r="M190" s="79"/>
      <c r="R190" s="79"/>
      <c r="S190" s="79"/>
      <c r="V190" s="79"/>
      <c r="W190" s="79"/>
      <c r="Z190" s="130"/>
      <c r="AB190" s="106"/>
    </row>
    <row r="191">
      <c r="C191" s="79"/>
      <c r="D191" s="79"/>
      <c r="E191" s="79"/>
      <c r="M191" s="79"/>
      <c r="R191" s="79"/>
      <c r="S191" s="79"/>
      <c r="V191" s="79"/>
      <c r="W191" s="79"/>
      <c r="Z191" s="130"/>
      <c r="AB191" s="106"/>
    </row>
    <row r="192">
      <c r="C192" s="79"/>
      <c r="D192" s="79"/>
      <c r="E192" s="79"/>
      <c r="M192" s="79"/>
      <c r="R192" s="79"/>
      <c r="S192" s="79"/>
      <c r="V192" s="79"/>
      <c r="W192" s="79"/>
      <c r="Z192" s="130"/>
      <c r="AB192" s="106"/>
    </row>
    <row r="193">
      <c r="C193" s="79"/>
      <c r="D193" s="79"/>
      <c r="E193" s="79"/>
      <c r="M193" s="79"/>
      <c r="R193" s="79"/>
      <c r="S193" s="79"/>
      <c r="V193" s="79"/>
      <c r="W193" s="79"/>
      <c r="Z193" s="130"/>
      <c r="AB193" s="106"/>
    </row>
    <row r="194">
      <c r="C194" s="79"/>
      <c r="D194" s="79"/>
      <c r="E194" s="79"/>
      <c r="M194" s="79"/>
      <c r="R194" s="79"/>
      <c r="S194" s="79"/>
      <c r="V194" s="79"/>
      <c r="W194" s="79"/>
      <c r="Z194" s="130"/>
      <c r="AB194" s="106"/>
    </row>
    <row r="195">
      <c r="C195" s="79"/>
      <c r="D195" s="79"/>
      <c r="E195" s="79"/>
      <c r="M195" s="79"/>
      <c r="R195" s="79"/>
      <c r="S195" s="79"/>
      <c r="V195" s="79"/>
      <c r="W195" s="79"/>
      <c r="Z195" s="130"/>
      <c r="AB195" s="106"/>
    </row>
    <row r="196">
      <c r="C196" s="79"/>
      <c r="D196" s="79"/>
      <c r="E196" s="79"/>
      <c r="M196" s="79"/>
      <c r="R196" s="79"/>
      <c r="S196" s="79"/>
      <c r="V196" s="79"/>
      <c r="W196" s="79"/>
      <c r="Z196" s="130"/>
      <c r="AB196" s="106"/>
    </row>
    <row r="197">
      <c r="C197" s="79"/>
      <c r="D197" s="79"/>
      <c r="E197" s="79"/>
      <c r="M197" s="79"/>
      <c r="R197" s="79"/>
      <c r="S197" s="79"/>
      <c r="V197" s="79"/>
      <c r="W197" s="79"/>
      <c r="Z197" s="130"/>
      <c r="AB197" s="106"/>
    </row>
    <row r="198">
      <c r="C198" s="79"/>
      <c r="D198" s="79"/>
      <c r="E198" s="79"/>
      <c r="M198" s="79"/>
      <c r="R198" s="79"/>
      <c r="S198" s="79"/>
      <c r="V198" s="79"/>
      <c r="W198" s="79"/>
      <c r="Z198" s="130"/>
      <c r="AB198" s="106"/>
    </row>
    <row r="199">
      <c r="C199" s="79"/>
      <c r="D199" s="79"/>
      <c r="E199" s="79"/>
      <c r="M199" s="79"/>
      <c r="R199" s="79"/>
      <c r="S199" s="79"/>
      <c r="V199" s="79"/>
      <c r="W199" s="79"/>
      <c r="Z199" s="130"/>
      <c r="AB199" s="106"/>
    </row>
    <row r="200">
      <c r="C200" s="79"/>
      <c r="D200" s="79"/>
      <c r="E200" s="79"/>
      <c r="M200" s="79"/>
      <c r="R200" s="79"/>
      <c r="S200" s="79"/>
      <c r="V200" s="79"/>
      <c r="W200" s="79"/>
      <c r="Z200" s="130"/>
      <c r="AB200" s="106"/>
    </row>
    <row r="201">
      <c r="C201" s="79"/>
      <c r="D201" s="79"/>
      <c r="E201" s="79"/>
      <c r="M201" s="79"/>
      <c r="R201" s="79"/>
      <c r="S201" s="79"/>
      <c r="V201" s="79"/>
      <c r="W201" s="79"/>
      <c r="Z201" s="130"/>
      <c r="AB201" s="106"/>
    </row>
    <row r="202">
      <c r="C202" s="79"/>
      <c r="D202" s="79"/>
      <c r="E202" s="79"/>
      <c r="M202" s="79"/>
      <c r="R202" s="79"/>
      <c r="S202" s="79"/>
      <c r="V202" s="79"/>
      <c r="W202" s="79"/>
      <c r="Z202" s="130"/>
      <c r="AB202" s="106"/>
    </row>
    <row r="203">
      <c r="C203" s="79"/>
      <c r="D203" s="79"/>
      <c r="E203" s="79"/>
      <c r="M203" s="79"/>
      <c r="R203" s="79"/>
      <c r="S203" s="79"/>
      <c r="V203" s="79"/>
      <c r="W203" s="79"/>
      <c r="Z203" s="130"/>
      <c r="AB203" s="106"/>
    </row>
    <row r="204">
      <c r="C204" s="79"/>
      <c r="D204" s="79"/>
      <c r="E204" s="79"/>
      <c r="M204" s="79"/>
      <c r="R204" s="79"/>
      <c r="S204" s="79"/>
      <c r="V204" s="79"/>
      <c r="W204" s="79"/>
      <c r="Z204" s="130"/>
      <c r="AB204" s="106"/>
    </row>
    <row r="205">
      <c r="C205" s="79"/>
      <c r="D205" s="79"/>
      <c r="E205" s="79"/>
      <c r="M205" s="79"/>
      <c r="R205" s="79"/>
      <c r="S205" s="79"/>
      <c r="V205" s="79"/>
      <c r="W205" s="79"/>
      <c r="Z205" s="130"/>
      <c r="AB205" s="106"/>
    </row>
    <row r="206">
      <c r="C206" s="79"/>
      <c r="D206" s="79"/>
      <c r="E206" s="79"/>
      <c r="M206" s="79"/>
      <c r="R206" s="79"/>
      <c r="S206" s="79"/>
      <c r="V206" s="79"/>
      <c r="W206" s="79"/>
      <c r="Z206" s="130"/>
      <c r="AB206" s="106"/>
    </row>
    <row r="207">
      <c r="C207" s="79"/>
      <c r="D207" s="79"/>
      <c r="E207" s="79"/>
      <c r="M207" s="79"/>
      <c r="R207" s="79"/>
      <c r="S207" s="79"/>
      <c r="V207" s="79"/>
      <c r="W207" s="79"/>
      <c r="Z207" s="130"/>
      <c r="AB207" s="106"/>
    </row>
    <row r="208">
      <c r="C208" s="79"/>
      <c r="D208" s="79"/>
      <c r="E208" s="79"/>
      <c r="M208" s="79"/>
      <c r="R208" s="79"/>
      <c r="S208" s="79"/>
      <c r="V208" s="79"/>
      <c r="W208" s="79"/>
      <c r="Z208" s="130"/>
      <c r="AB208" s="106"/>
    </row>
    <row r="209">
      <c r="C209" s="79"/>
      <c r="D209" s="79"/>
      <c r="E209" s="79"/>
      <c r="M209" s="79"/>
      <c r="R209" s="79"/>
      <c r="S209" s="79"/>
      <c r="V209" s="79"/>
      <c r="W209" s="79"/>
      <c r="Z209" s="130"/>
      <c r="AB209" s="106"/>
    </row>
    <row r="210">
      <c r="C210" s="79"/>
      <c r="D210" s="79"/>
      <c r="E210" s="79"/>
      <c r="M210" s="79"/>
      <c r="R210" s="79"/>
      <c r="S210" s="79"/>
      <c r="V210" s="79"/>
      <c r="W210" s="79"/>
      <c r="Z210" s="130"/>
      <c r="AB210" s="106"/>
    </row>
    <row r="211">
      <c r="C211" s="79"/>
      <c r="D211" s="79"/>
      <c r="E211" s="79"/>
      <c r="M211" s="79"/>
      <c r="R211" s="79"/>
      <c r="S211" s="79"/>
      <c r="V211" s="79"/>
      <c r="W211" s="79"/>
      <c r="Z211" s="130"/>
      <c r="AB211" s="106"/>
    </row>
    <row r="212">
      <c r="C212" s="79"/>
      <c r="D212" s="79"/>
      <c r="E212" s="79"/>
      <c r="M212" s="79"/>
      <c r="R212" s="79"/>
      <c r="S212" s="79"/>
      <c r="V212" s="79"/>
      <c r="W212" s="79"/>
      <c r="Z212" s="130"/>
      <c r="AB212" s="106"/>
    </row>
    <row r="213">
      <c r="C213" s="79"/>
      <c r="D213" s="79"/>
      <c r="E213" s="79"/>
      <c r="M213" s="79"/>
      <c r="R213" s="79"/>
      <c r="S213" s="79"/>
      <c r="V213" s="79"/>
      <c r="W213" s="79"/>
      <c r="Z213" s="130"/>
      <c r="AB213" s="106"/>
    </row>
    <row r="214">
      <c r="C214" s="79"/>
      <c r="D214" s="79"/>
      <c r="E214" s="79"/>
      <c r="M214" s="79"/>
      <c r="R214" s="79"/>
      <c r="S214" s="79"/>
      <c r="V214" s="79"/>
      <c r="W214" s="79"/>
      <c r="Z214" s="130"/>
      <c r="AB214" s="106"/>
    </row>
    <row r="215">
      <c r="C215" s="79"/>
      <c r="D215" s="79"/>
      <c r="E215" s="79"/>
      <c r="M215" s="79"/>
      <c r="R215" s="79"/>
      <c r="S215" s="79"/>
      <c r="V215" s="79"/>
      <c r="W215" s="79"/>
      <c r="Z215" s="130"/>
      <c r="AB215" s="106"/>
    </row>
    <row r="216">
      <c r="C216" s="79"/>
      <c r="D216" s="79"/>
      <c r="E216" s="79"/>
      <c r="M216" s="79"/>
      <c r="R216" s="79"/>
      <c r="S216" s="79"/>
      <c r="V216" s="79"/>
      <c r="W216" s="79"/>
      <c r="Z216" s="130"/>
      <c r="AB216" s="106"/>
    </row>
    <row r="217">
      <c r="C217" s="79"/>
      <c r="D217" s="79"/>
      <c r="E217" s="79"/>
      <c r="M217" s="79"/>
      <c r="R217" s="79"/>
      <c r="S217" s="79"/>
      <c r="V217" s="79"/>
      <c r="W217" s="79"/>
      <c r="Z217" s="130"/>
      <c r="AB217" s="106"/>
    </row>
    <row r="218">
      <c r="C218" s="79"/>
      <c r="D218" s="79"/>
      <c r="E218" s="79"/>
      <c r="M218" s="79"/>
      <c r="R218" s="79"/>
      <c r="S218" s="79"/>
      <c r="V218" s="79"/>
      <c r="W218" s="79"/>
      <c r="Z218" s="130"/>
      <c r="AB218" s="106"/>
    </row>
    <row r="219">
      <c r="C219" s="79"/>
      <c r="D219" s="79"/>
      <c r="E219" s="79"/>
      <c r="M219" s="79"/>
      <c r="R219" s="79"/>
      <c r="S219" s="79"/>
      <c r="V219" s="79"/>
      <c r="W219" s="79"/>
      <c r="Z219" s="130"/>
      <c r="AB219" s="106"/>
    </row>
    <row r="220">
      <c r="C220" s="79"/>
      <c r="D220" s="79"/>
      <c r="E220" s="79"/>
      <c r="M220" s="79"/>
      <c r="R220" s="79"/>
      <c r="S220" s="79"/>
      <c r="V220" s="79"/>
      <c r="W220" s="79"/>
      <c r="Z220" s="130"/>
      <c r="AB220" s="106"/>
    </row>
    <row r="221">
      <c r="C221" s="79"/>
      <c r="D221" s="79"/>
      <c r="E221" s="79"/>
      <c r="M221" s="79"/>
      <c r="R221" s="79"/>
      <c r="S221" s="79"/>
      <c r="V221" s="79"/>
      <c r="W221" s="79"/>
      <c r="Z221" s="130"/>
      <c r="AB221" s="106"/>
    </row>
    <row r="222">
      <c r="C222" s="79"/>
      <c r="D222" s="79"/>
      <c r="E222" s="79"/>
      <c r="M222" s="79"/>
      <c r="R222" s="79"/>
      <c r="S222" s="79"/>
      <c r="V222" s="79"/>
      <c r="W222" s="79"/>
      <c r="Z222" s="130"/>
      <c r="AB222" s="106"/>
    </row>
    <row r="223">
      <c r="C223" s="79"/>
      <c r="D223" s="79"/>
      <c r="E223" s="79"/>
      <c r="M223" s="79"/>
      <c r="R223" s="79"/>
      <c r="S223" s="79"/>
      <c r="V223" s="79"/>
      <c r="W223" s="79"/>
      <c r="Z223" s="130"/>
      <c r="AB223" s="106"/>
    </row>
    <row r="224">
      <c r="C224" s="79"/>
      <c r="D224" s="79"/>
      <c r="E224" s="79"/>
      <c r="M224" s="79"/>
      <c r="R224" s="79"/>
      <c r="S224" s="79"/>
      <c r="V224" s="79"/>
      <c r="W224" s="79"/>
      <c r="Z224" s="130"/>
      <c r="AB224" s="106"/>
    </row>
    <row r="225">
      <c r="C225" s="79"/>
      <c r="D225" s="79"/>
      <c r="E225" s="79"/>
      <c r="M225" s="79"/>
      <c r="R225" s="79"/>
      <c r="S225" s="79"/>
      <c r="V225" s="79"/>
      <c r="W225" s="79"/>
      <c r="Z225" s="130"/>
      <c r="AB225" s="106"/>
    </row>
    <row r="226">
      <c r="C226" s="79"/>
      <c r="D226" s="79"/>
      <c r="E226" s="79"/>
      <c r="M226" s="79"/>
      <c r="R226" s="79"/>
      <c r="S226" s="79"/>
      <c r="V226" s="79"/>
      <c r="W226" s="79"/>
      <c r="Z226" s="130"/>
      <c r="AB226" s="106"/>
    </row>
    <row r="227">
      <c r="C227" s="79"/>
      <c r="D227" s="79"/>
      <c r="E227" s="79"/>
      <c r="M227" s="79"/>
      <c r="R227" s="79"/>
      <c r="S227" s="79"/>
      <c r="V227" s="79"/>
      <c r="W227" s="79"/>
      <c r="Z227" s="130"/>
      <c r="AB227" s="106"/>
    </row>
    <row r="228">
      <c r="C228" s="79"/>
      <c r="D228" s="79"/>
      <c r="E228" s="79"/>
      <c r="M228" s="79"/>
      <c r="R228" s="79"/>
      <c r="S228" s="79"/>
      <c r="V228" s="79"/>
      <c r="W228" s="79"/>
      <c r="Z228" s="130"/>
      <c r="AB228" s="106"/>
    </row>
    <row r="229">
      <c r="C229" s="79"/>
      <c r="D229" s="79"/>
      <c r="E229" s="79"/>
      <c r="M229" s="79"/>
      <c r="R229" s="79"/>
      <c r="S229" s="79"/>
      <c r="V229" s="79"/>
      <c r="W229" s="79"/>
      <c r="Z229" s="130"/>
      <c r="AB229" s="106"/>
    </row>
    <row r="230">
      <c r="C230" s="79"/>
      <c r="D230" s="79"/>
      <c r="E230" s="79"/>
      <c r="M230" s="79"/>
      <c r="R230" s="79"/>
      <c r="S230" s="79"/>
      <c r="V230" s="79"/>
      <c r="W230" s="79"/>
      <c r="Z230" s="130"/>
      <c r="AB230" s="106"/>
    </row>
    <row r="231">
      <c r="C231" s="79"/>
      <c r="D231" s="79"/>
      <c r="E231" s="79"/>
      <c r="M231" s="79"/>
      <c r="R231" s="79"/>
      <c r="S231" s="79"/>
      <c r="V231" s="79"/>
      <c r="W231" s="79"/>
      <c r="Z231" s="130"/>
      <c r="AB231" s="106"/>
    </row>
    <row r="232">
      <c r="C232" s="79"/>
      <c r="D232" s="79"/>
      <c r="E232" s="79"/>
      <c r="M232" s="79"/>
      <c r="R232" s="79"/>
      <c r="S232" s="79"/>
      <c r="V232" s="79"/>
      <c r="W232" s="79"/>
      <c r="Z232" s="130"/>
      <c r="AB232" s="106"/>
    </row>
    <row r="233">
      <c r="C233" s="79"/>
      <c r="D233" s="79"/>
      <c r="E233" s="79"/>
      <c r="M233" s="79"/>
      <c r="R233" s="79"/>
      <c r="S233" s="79"/>
      <c r="V233" s="79"/>
      <c r="W233" s="79"/>
      <c r="Z233" s="130"/>
      <c r="AB233" s="106"/>
    </row>
    <row r="234">
      <c r="C234" s="79"/>
      <c r="D234" s="79"/>
      <c r="E234" s="79"/>
      <c r="M234" s="79"/>
      <c r="R234" s="79"/>
      <c r="S234" s="79"/>
      <c r="V234" s="79"/>
      <c r="W234" s="79"/>
      <c r="Z234" s="130"/>
      <c r="AB234" s="106"/>
    </row>
    <row r="235">
      <c r="C235" s="79"/>
      <c r="D235" s="79"/>
      <c r="E235" s="79"/>
      <c r="M235" s="79"/>
      <c r="R235" s="79"/>
      <c r="S235" s="79"/>
      <c r="V235" s="79"/>
      <c r="W235" s="79"/>
      <c r="Z235" s="130"/>
      <c r="AB235" s="106"/>
    </row>
    <row r="236">
      <c r="C236" s="79"/>
      <c r="D236" s="79"/>
      <c r="E236" s="79"/>
      <c r="M236" s="79"/>
      <c r="R236" s="79"/>
      <c r="S236" s="79"/>
      <c r="V236" s="79"/>
      <c r="W236" s="79"/>
      <c r="Z236" s="130"/>
      <c r="AB236" s="106"/>
    </row>
    <row r="237">
      <c r="C237" s="79"/>
      <c r="D237" s="79"/>
      <c r="E237" s="79"/>
      <c r="M237" s="79"/>
      <c r="R237" s="79"/>
      <c r="S237" s="79"/>
      <c r="V237" s="79"/>
      <c r="W237" s="79"/>
      <c r="Z237" s="130"/>
      <c r="AB237" s="106"/>
    </row>
    <row r="238">
      <c r="C238" s="79"/>
      <c r="D238" s="79"/>
      <c r="E238" s="79"/>
      <c r="M238" s="79"/>
      <c r="R238" s="79"/>
      <c r="S238" s="79"/>
      <c r="V238" s="79"/>
      <c r="W238" s="79"/>
      <c r="Z238" s="130"/>
      <c r="AB238" s="106"/>
    </row>
    <row r="239">
      <c r="C239" s="79"/>
      <c r="D239" s="79"/>
      <c r="E239" s="79"/>
      <c r="M239" s="79"/>
      <c r="R239" s="79"/>
      <c r="S239" s="79"/>
      <c r="V239" s="79"/>
      <c r="W239" s="79"/>
      <c r="Z239" s="130"/>
      <c r="AB239" s="106"/>
    </row>
    <row r="240">
      <c r="C240" s="79"/>
      <c r="D240" s="79"/>
      <c r="E240" s="79"/>
      <c r="M240" s="79"/>
      <c r="R240" s="79"/>
      <c r="S240" s="79"/>
      <c r="V240" s="79"/>
      <c r="W240" s="79"/>
      <c r="Z240" s="130"/>
      <c r="AB240" s="106"/>
    </row>
    <row r="241">
      <c r="C241" s="79"/>
      <c r="D241" s="79"/>
      <c r="E241" s="79"/>
      <c r="M241" s="79"/>
      <c r="R241" s="79"/>
      <c r="S241" s="79"/>
      <c r="V241" s="79"/>
      <c r="W241" s="79"/>
      <c r="Z241" s="130"/>
      <c r="AB241" s="106"/>
    </row>
    <row r="242">
      <c r="C242" s="79"/>
      <c r="D242" s="79"/>
      <c r="E242" s="79"/>
      <c r="M242" s="79"/>
      <c r="R242" s="79"/>
      <c r="S242" s="79"/>
      <c r="V242" s="79"/>
      <c r="W242" s="79"/>
      <c r="Z242" s="130"/>
      <c r="AB242" s="106"/>
    </row>
    <row r="243">
      <c r="C243" s="79"/>
      <c r="D243" s="79"/>
      <c r="E243" s="79"/>
      <c r="M243" s="79"/>
      <c r="R243" s="79"/>
      <c r="S243" s="79"/>
      <c r="V243" s="79"/>
      <c r="W243" s="79"/>
      <c r="Z243" s="130"/>
      <c r="AB243" s="106"/>
    </row>
    <row r="244">
      <c r="C244" s="79"/>
      <c r="D244" s="79"/>
      <c r="E244" s="79"/>
      <c r="M244" s="79"/>
      <c r="R244" s="79"/>
      <c r="S244" s="79"/>
      <c r="V244" s="79"/>
      <c r="W244" s="79"/>
      <c r="Z244" s="130"/>
      <c r="AB244" s="106"/>
    </row>
    <row r="245">
      <c r="C245" s="79"/>
      <c r="D245" s="79"/>
      <c r="E245" s="79"/>
      <c r="M245" s="79"/>
      <c r="R245" s="79"/>
      <c r="S245" s="79"/>
      <c r="V245" s="79"/>
      <c r="W245" s="79"/>
      <c r="Z245" s="130"/>
      <c r="AB245" s="106"/>
    </row>
    <row r="246">
      <c r="C246" s="79"/>
      <c r="D246" s="79"/>
      <c r="E246" s="79"/>
      <c r="M246" s="79"/>
      <c r="R246" s="79"/>
      <c r="S246" s="79"/>
      <c r="V246" s="79"/>
      <c r="W246" s="79"/>
      <c r="Z246" s="130"/>
      <c r="AB246" s="106"/>
    </row>
    <row r="247">
      <c r="C247" s="79"/>
      <c r="D247" s="79"/>
      <c r="E247" s="79"/>
      <c r="M247" s="79"/>
      <c r="R247" s="79"/>
      <c r="S247" s="79"/>
      <c r="V247" s="79"/>
      <c r="W247" s="79"/>
      <c r="Z247" s="130"/>
      <c r="AB247" s="106"/>
    </row>
    <row r="248">
      <c r="C248" s="79"/>
      <c r="D248" s="79"/>
      <c r="E248" s="79"/>
      <c r="M248" s="79"/>
      <c r="R248" s="79"/>
      <c r="S248" s="79"/>
      <c r="V248" s="79"/>
      <c r="W248" s="79"/>
      <c r="Z248" s="130"/>
      <c r="AB248" s="106"/>
    </row>
    <row r="249">
      <c r="C249" s="79"/>
      <c r="D249" s="79"/>
      <c r="E249" s="79"/>
      <c r="M249" s="79"/>
      <c r="R249" s="79"/>
      <c r="S249" s="79"/>
      <c r="V249" s="79"/>
      <c r="W249" s="79"/>
      <c r="Z249" s="130"/>
      <c r="AB249" s="106"/>
    </row>
    <row r="250">
      <c r="C250" s="79"/>
      <c r="D250" s="79"/>
      <c r="E250" s="79"/>
      <c r="M250" s="79"/>
      <c r="R250" s="79"/>
      <c r="S250" s="79"/>
      <c r="V250" s="79"/>
      <c r="W250" s="79"/>
      <c r="Z250" s="130"/>
      <c r="AB250" s="106"/>
    </row>
    <row r="251">
      <c r="C251" s="79"/>
      <c r="D251" s="79"/>
      <c r="E251" s="79"/>
      <c r="M251" s="79"/>
      <c r="R251" s="79"/>
      <c r="S251" s="79"/>
      <c r="V251" s="79"/>
      <c r="W251" s="79"/>
      <c r="Z251" s="130"/>
      <c r="AB251" s="106"/>
    </row>
    <row r="252">
      <c r="C252" s="79"/>
      <c r="D252" s="79"/>
      <c r="E252" s="79"/>
      <c r="M252" s="79"/>
      <c r="R252" s="79"/>
      <c r="S252" s="79"/>
      <c r="V252" s="79"/>
      <c r="W252" s="79"/>
      <c r="Z252" s="130"/>
      <c r="AB252" s="106"/>
    </row>
    <row r="253">
      <c r="C253" s="79"/>
      <c r="D253" s="79"/>
      <c r="E253" s="79"/>
      <c r="M253" s="79"/>
      <c r="R253" s="79"/>
      <c r="S253" s="79"/>
      <c r="V253" s="79"/>
      <c r="W253" s="79"/>
      <c r="Z253" s="130"/>
      <c r="AB253" s="106"/>
    </row>
    <row r="254">
      <c r="C254" s="79"/>
      <c r="D254" s="79"/>
      <c r="E254" s="79"/>
      <c r="M254" s="79"/>
      <c r="R254" s="79"/>
      <c r="S254" s="79"/>
      <c r="V254" s="79"/>
      <c r="W254" s="79"/>
      <c r="Z254" s="130"/>
      <c r="AB254" s="106"/>
    </row>
    <row r="255">
      <c r="C255" s="79"/>
      <c r="D255" s="79"/>
      <c r="E255" s="79"/>
      <c r="M255" s="79"/>
      <c r="R255" s="79"/>
      <c r="S255" s="79"/>
      <c r="V255" s="79"/>
      <c r="W255" s="79"/>
      <c r="Z255" s="130"/>
      <c r="AB255" s="106"/>
    </row>
    <row r="256">
      <c r="C256" s="79"/>
      <c r="D256" s="79"/>
      <c r="E256" s="79"/>
      <c r="M256" s="79"/>
      <c r="R256" s="79"/>
      <c r="S256" s="79"/>
      <c r="V256" s="79"/>
      <c r="W256" s="79"/>
      <c r="Z256" s="130"/>
      <c r="AB256" s="106"/>
    </row>
    <row r="257">
      <c r="C257" s="79"/>
      <c r="D257" s="79"/>
      <c r="E257" s="79"/>
      <c r="M257" s="79"/>
      <c r="R257" s="79"/>
      <c r="S257" s="79"/>
      <c r="V257" s="79"/>
      <c r="W257" s="79"/>
      <c r="Z257" s="130"/>
      <c r="AB257" s="106"/>
    </row>
    <row r="258">
      <c r="C258" s="79"/>
      <c r="D258" s="79"/>
      <c r="E258" s="79"/>
      <c r="M258" s="79"/>
      <c r="R258" s="79"/>
      <c r="S258" s="79"/>
      <c r="V258" s="79"/>
      <c r="W258" s="79"/>
      <c r="Z258" s="130"/>
      <c r="AB258" s="106"/>
    </row>
    <row r="259">
      <c r="C259" s="79"/>
      <c r="D259" s="79"/>
      <c r="E259" s="79"/>
      <c r="M259" s="79"/>
      <c r="R259" s="79"/>
      <c r="S259" s="79"/>
      <c r="V259" s="79"/>
      <c r="W259" s="79"/>
      <c r="Z259" s="130"/>
      <c r="AB259" s="106"/>
    </row>
    <row r="260">
      <c r="C260" s="79"/>
      <c r="D260" s="79"/>
      <c r="E260" s="79"/>
      <c r="M260" s="79"/>
      <c r="R260" s="79"/>
      <c r="S260" s="79"/>
      <c r="V260" s="79"/>
      <c r="W260" s="79"/>
      <c r="Z260" s="130"/>
      <c r="AB260" s="106"/>
    </row>
    <row r="261">
      <c r="C261" s="79"/>
      <c r="D261" s="79"/>
      <c r="E261" s="79"/>
      <c r="M261" s="79"/>
      <c r="R261" s="79"/>
      <c r="S261" s="79"/>
      <c r="V261" s="79"/>
      <c r="W261" s="79"/>
      <c r="Z261" s="130"/>
      <c r="AB261" s="106"/>
    </row>
    <row r="262">
      <c r="C262" s="79"/>
      <c r="D262" s="79"/>
      <c r="E262" s="79"/>
      <c r="M262" s="79"/>
      <c r="R262" s="79"/>
      <c r="S262" s="79"/>
      <c r="V262" s="79"/>
      <c r="W262" s="79"/>
      <c r="Z262" s="130"/>
      <c r="AB262" s="106"/>
    </row>
    <row r="263">
      <c r="C263" s="79"/>
      <c r="D263" s="79"/>
      <c r="E263" s="79"/>
      <c r="M263" s="79"/>
      <c r="R263" s="79"/>
      <c r="S263" s="79"/>
      <c r="V263" s="79"/>
      <c r="W263" s="79"/>
      <c r="Z263" s="130"/>
      <c r="AB263" s="106"/>
    </row>
    <row r="264">
      <c r="C264" s="79"/>
      <c r="D264" s="79"/>
      <c r="E264" s="79"/>
      <c r="M264" s="79"/>
      <c r="R264" s="79"/>
      <c r="S264" s="79"/>
      <c r="V264" s="79"/>
      <c r="W264" s="79"/>
      <c r="Z264" s="130"/>
      <c r="AB264" s="106"/>
    </row>
    <row r="265">
      <c r="C265" s="79"/>
      <c r="D265" s="79"/>
      <c r="E265" s="79"/>
      <c r="M265" s="79"/>
      <c r="R265" s="79"/>
      <c r="S265" s="79"/>
      <c r="V265" s="79"/>
      <c r="W265" s="79"/>
      <c r="Z265" s="130"/>
      <c r="AB265" s="106"/>
    </row>
    <row r="266">
      <c r="C266" s="79"/>
      <c r="D266" s="79"/>
      <c r="E266" s="79"/>
      <c r="M266" s="79"/>
      <c r="R266" s="79"/>
      <c r="S266" s="79"/>
      <c r="V266" s="79"/>
      <c r="W266" s="79"/>
      <c r="Z266" s="130"/>
      <c r="AB266" s="106"/>
    </row>
    <row r="267">
      <c r="C267" s="79"/>
      <c r="D267" s="79"/>
      <c r="E267" s="79"/>
      <c r="M267" s="79"/>
      <c r="R267" s="79"/>
      <c r="S267" s="79"/>
      <c r="V267" s="79"/>
      <c r="W267" s="79"/>
      <c r="Z267" s="130"/>
      <c r="AB267" s="106"/>
    </row>
    <row r="268">
      <c r="C268" s="79"/>
      <c r="D268" s="79"/>
      <c r="E268" s="79"/>
      <c r="M268" s="79"/>
      <c r="R268" s="79"/>
      <c r="S268" s="79"/>
      <c r="V268" s="79"/>
      <c r="W268" s="79"/>
      <c r="Z268" s="130"/>
      <c r="AB268" s="106"/>
    </row>
    <row r="269">
      <c r="C269" s="79"/>
      <c r="D269" s="79"/>
      <c r="E269" s="79"/>
      <c r="M269" s="79"/>
      <c r="R269" s="79"/>
      <c r="S269" s="79"/>
      <c r="V269" s="79"/>
      <c r="W269" s="79"/>
      <c r="Z269" s="130"/>
      <c r="AB269" s="106"/>
    </row>
    <row r="270">
      <c r="C270" s="79"/>
      <c r="D270" s="79"/>
      <c r="E270" s="79"/>
      <c r="M270" s="79"/>
      <c r="R270" s="79"/>
      <c r="S270" s="79"/>
      <c r="V270" s="79"/>
      <c r="W270" s="79"/>
      <c r="Z270" s="130"/>
      <c r="AB270" s="106"/>
    </row>
    <row r="271">
      <c r="C271" s="79"/>
      <c r="D271" s="79"/>
      <c r="E271" s="79"/>
      <c r="M271" s="79"/>
      <c r="R271" s="79"/>
      <c r="S271" s="79"/>
      <c r="V271" s="79"/>
      <c r="W271" s="79"/>
      <c r="Z271" s="130"/>
      <c r="AB271" s="106"/>
    </row>
    <row r="272">
      <c r="C272" s="79"/>
      <c r="D272" s="79"/>
      <c r="E272" s="79"/>
      <c r="M272" s="79"/>
      <c r="R272" s="79"/>
      <c r="S272" s="79"/>
      <c r="V272" s="79"/>
      <c r="W272" s="79"/>
      <c r="Z272" s="130"/>
      <c r="AB272" s="106"/>
    </row>
    <row r="273">
      <c r="C273" s="79"/>
      <c r="D273" s="79"/>
      <c r="E273" s="79"/>
      <c r="M273" s="79"/>
      <c r="R273" s="79"/>
      <c r="S273" s="79"/>
      <c r="V273" s="79"/>
      <c r="W273" s="79"/>
      <c r="Z273" s="130"/>
      <c r="AB273" s="106"/>
    </row>
    <row r="274">
      <c r="C274" s="79"/>
      <c r="D274" s="79"/>
      <c r="E274" s="79"/>
      <c r="M274" s="79"/>
      <c r="R274" s="79"/>
      <c r="S274" s="79"/>
      <c r="V274" s="79"/>
      <c r="W274" s="79"/>
      <c r="Z274" s="130"/>
      <c r="AB274" s="106"/>
    </row>
    <row r="275">
      <c r="C275" s="79"/>
      <c r="D275" s="79"/>
      <c r="E275" s="79"/>
      <c r="M275" s="79"/>
      <c r="R275" s="79"/>
      <c r="S275" s="79"/>
      <c r="V275" s="79"/>
      <c r="W275" s="79"/>
      <c r="Z275" s="130"/>
      <c r="AB275" s="106"/>
    </row>
    <row r="276">
      <c r="C276" s="79"/>
      <c r="D276" s="79"/>
      <c r="E276" s="79"/>
      <c r="M276" s="79"/>
      <c r="R276" s="79"/>
      <c r="S276" s="79"/>
      <c r="V276" s="79"/>
      <c r="W276" s="79"/>
      <c r="Z276" s="130"/>
      <c r="AB276" s="106"/>
    </row>
    <row r="277">
      <c r="C277" s="79"/>
      <c r="D277" s="79"/>
      <c r="E277" s="79"/>
      <c r="M277" s="79"/>
      <c r="R277" s="79"/>
      <c r="S277" s="79"/>
      <c r="V277" s="79"/>
      <c r="W277" s="79"/>
      <c r="Z277" s="130"/>
      <c r="AB277" s="106"/>
    </row>
    <row r="278">
      <c r="C278" s="79"/>
      <c r="D278" s="79"/>
      <c r="E278" s="79"/>
      <c r="M278" s="79"/>
      <c r="R278" s="79"/>
      <c r="S278" s="79"/>
      <c r="V278" s="79"/>
      <c r="W278" s="79"/>
      <c r="Z278" s="130"/>
      <c r="AB278" s="106"/>
    </row>
    <row r="279">
      <c r="C279" s="79"/>
      <c r="D279" s="79"/>
      <c r="E279" s="79"/>
      <c r="M279" s="79"/>
      <c r="R279" s="79"/>
      <c r="S279" s="79"/>
      <c r="V279" s="79"/>
      <c r="W279" s="79"/>
      <c r="Z279" s="130"/>
      <c r="AB279" s="106"/>
    </row>
    <row r="280">
      <c r="C280" s="79"/>
      <c r="D280" s="79"/>
      <c r="E280" s="79"/>
      <c r="M280" s="79"/>
      <c r="R280" s="79"/>
      <c r="S280" s="79"/>
      <c r="V280" s="79"/>
      <c r="W280" s="79"/>
      <c r="Z280" s="130"/>
      <c r="AB280" s="106"/>
    </row>
    <row r="281">
      <c r="C281" s="79"/>
      <c r="D281" s="79"/>
      <c r="E281" s="79"/>
      <c r="M281" s="79"/>
      <c r="R281" s="79"/>
      <c r="S281" s="79"/>
      <c r="V281" s="79"/>
      <c r="W281" s="79"/>
      <c r="Z281" s="130"/>
      <c r="AB281" s="106"/>
    </row>
    <row r="282">
      <c r="C282" s="79"/>
      <c r="D282" s="79"/>
      <c r="E282" s="79"/>
      <c r="M282" s="79"/>
      <c r="R282" s="79"/>
      <c r="S282" s="79"/>
      <c r="V282" s="79"/>
      <c r="W282" s="79"/>
      <c r="Z282" s="130"/>
      <c r="AB282" s="106"/>
    </row>
    <row r="283">
      <c r="C283" s="79"/>
      <c r="D283" s="79"/>
      <c r="E283" s="79"/>
      <c r="M283" s="79"/>
      <c r="R283" s="79"/>
      <c r="S283" s="79"/>
      <c r="V283" s="79"/>
      <c r="W283" s="79"/>
      <c r="Z283" s="130"/>
      <c r="AB283" s="106"/>
    </row>
    <row r="284">
      <c r="C284" s="79"/>
      <c r="D284" s="79"/>
      <c r="E284" s="79"/>
      <c r="M284" s="79"/>
      <c r="R284" s="79"/>
      <c r="S284" s="79"/>
      <c r="V284" s="79"/>
      <c r="W284" s="79"/>
      <c r="Z284" s="130"/>
      <c r="AB284" s="106"/>
    </row>
    <row r="285">
      <c r="C285" s="79"/>
      <c r="D285" s="79"/>
      <c r="E285" s="79"/>
      <c r="M285" s="79"/>
      <c r="R285" s="79"/>
      <c r="S285" s="79"/>
      <c r="V285" s="79"/>
      <c r="W285" s="79"/>
      <c r="Z285" s="130"/>
      <c r="AB285" s="106"/>
    </row>
    <row r="286">
      <c r="C286" s="79"/>
      <c r="D286" s="79"/>
      <c r="E286" s="79"/>
      <c r="M286" s="79"/>
      <c r="R286" s="79"/>
      <c r="S286" s="79"/>
      <c r="V286" s="79"/>
      <c r="W286" s="79"/>
      <c r="Z286" s="130"/>
      <c r="AB286" s="106"/>
    </row>
    <row r="287">
      <c r="C287" s="79"/>
      <c r="D287" s="79"/>
      <c r="E287" s="79"/>
      <c r="M287" s="79"/>
      <c r="R287" s="79"/>
      <c r="S287" s="79"/>
      <c r="V287" s="79"/>
      <c r="W287" s="79"/>
      <c r="Z287" s="130"/>
      <c r="AB287" s="106"/>
    </row>
    <row r="288">
      <c r="C288" s="79"/>
      <c r="D288" s="79"/>
      <c r="E288" s="79"/>
      <c r="M288" s="79"/>
      <c r="R288" s="79"/>
      <c r="S288" s="79"/>
      <c r="V288" s="79"/>
      <c r="W288" s="79"/>
      <c r="Z288" s="130"/>
      <c r="AB288" s="106"/>
    </row>
    <row r="289">
      <c r="C289" s="79"/>
      <c r="D289" s="79"/>
      <c r="E289" s="79"/>
      <c r="M289" s="79"/>
      <c r="R289" s="79"/>
      <c r="S289" s="79"/>
      <c r="V289" s="79"/>
      <c r="W289" s="79"/>
      <c r="Z289" s="130"/>
      <c r="AB289" s="106"/>
    </row>
    <row r="290">
      <c r="C290" s="79"/>
      <c r="D290" s="79"/>
      <c r="E290" s="79"/>
      <c r="M290" s="79"/>
      <c r="R290" s="79"/>
      <c r="S290" s="79"/>
      <c r="V290" s="79"/>
      <c r="W290" s="79"/>
      <c r="Z290" s="130"/>
      <c r="AB290" s="106"/>
    </row>
    <row r="291">
      <c r="C291" s="79"/>
      <c r="D291" s="79"/>
      <c r="E291" s="79"/>
      <c r="M291" s="79"/>
      <c r="R291" s="79"/>
      <c r="S291" s="79"/>
      <c r="V291" s="79"/>
      <c r="W291" s="79"/>
      <c r="Z291" s="130"/>
      <c r="AB291" s="106"/>
    </row>
    <row r="292">
      <c r="C292" s="79"/>
      <c r="D292" s="79"/>
      <c r="E292" s="79"/>
      <c r="M292" s="79"/>
      <c r="R292" s="79"/>
      <c r="S292" s="79"/>
      <c r="V292" s="79"/>
      <c r="W292" s="79"/>
      <c r="Z292" s="130"/>
      <c r="AB292" s="106"/>
    </row>
    <row r="293">
      <c r="C293" s="79"/>
      <c r="D293" s="79"/>
      <c r="E293" s="79"/>
      <c r="M293" s="79"/>
      <c r="R293" s="79"/>
      <c r="S293" s="79"/>
      <c r="V293" s="79"/>
      <c r="W293" s="79"/>
      <c r="Z293" s="130"/>
      <c r="AB293" s="106"/>
    </row>
    <row r="294">
      <c r="C294" s="79"/>
      <c r="D294" s="79"/>
      <c r="E294" s="79"/>
      <c r="M294" s="79"/>
      <c r="R294" s="79"/>
      <c r="S294" s="79"/>
      <c r="V294" s="79"/>
      <c r="W294" s="79"/>
      <c r="Z294" s="130"/>
      <c r="AB294" s="106"/>
    </row>
    <row r="295">
      <c r="C295" s="79"/>
      <c r="D295" s="79"/>
      <c r="E295" s="79"/>
      <c r="M295" s="79"/>
      <c r="R295" s="79"/>
      <c r="S295" s="79"/>
      <c r="V295" s="79"/>
      <c r="W295" s="79"/>
      <c r="Z295" s="130"/>
      <c r="AB295" s="106"/>
    </row>
    <row r="296">
      <c r="C296" s="79"/>
      <c r="D296" s="79"/>
      <c r="E296" s="79"/>
      <c r="M296" s="79"/>
      <c r="R296" s="79"/>
      <c r="S296" s="79"/>
      <c r="V296" s="79"/>
      <c r="W296" s="79"/>
      <c r="Z296" s="130"/>
      <c r="AB296" s="106"/>
    </row>
    <row r="297">
      <c r="C297" s="79"/>
      <c r="D297" s="79"/>
      <c r="E297" s="79"/>
      <c r="M297" s="79"/>
      <c r="R297" s="79"/>
      <c r="S297" s="79"/>
      <c r="V297" s="79"/>
      <c r="W297" s="79"/>
      <c r="Z297" s="130"/>
      <c r="AB297" s="106"/>
    </row>
    <row r="298">
      <c r="C298" s="79"/>
      <c r="D298" s="79"/>
      <c r="E298" s="79"/>
      <c r="M298" s="79"/>
      <c r="R298" s="79"/>
      <c r="S298" s="79"/>
      <c r="V298" s="79"/>
      <c r="W298" s="79"/>
      <c r="Z298" s="130"/>
      <c r="AB298" s="106"/>
    </row>
    <row r="299">
      <c r="C299" s="79"/>
      <c r="D299" s="79"/>
      <c r="E299" s="79"/>
      <c r="M299" s="79"/>
      <c r="R299" s="79"/>
      <c r="S299" s="79"/>
      <c r="V299" s="79"/>
      <c r="W299" s="79"/>
      <c r="Z299" s="130"/>
      <c r="AB299" s="106"/>
    </row>
    <row r="300">
      <c r="C300" s="79"/>
      <c r="D300" s="79"/>
      <c r="E300" s="79"/>
      <c r="M300" s="79"/>
      <c r="R300" s="79"/>
      <c r="S300" s="79"/>
      <c r="V300" s="79"/>
      <c r="W300" s="79"/>
      <c r="Z300" s="130"/>
      <c r="AB300" s="106"/>
    </row>
    <row r="301">
      <c r="C301" s="79"/>
      <c r="D301" s="79"/>
      <c r="E301" s="79"/>
      <c r="M301" s="79"/>
      <c r="R301" s="79"/>
      <c r="S301" s="79"/>
      <c r="V301" s="79"/>
      <c r="W301" s="79"/>
      <c r="Z301" s="130"/>
      <c r="AB301" s="106"/>
    </row>
    <row r="302">
      <c r="C302" s="79"/>
      <c r="D302" s="79"/>
      <c r="E302" s="79"/>
      <c r="M302" s="79"/>
      <c r="R302" s="79"/>
      <c r="S302" s="79"/>
      <c r="V302" s="79"/>
      <c r="W302" s="79"/>
      <c r="Z302" s="130"/>
      <c r="AB302" s="106"/>
    </row>
    <row r="303">
      <c r="C303" s="79"/>
      <c r="D303" s="79"/>
      <c r="E303" s="79"/>
      <c r="M303" s="79"/>
      <c r="R303" s="79"/>
      <c r="S303" s="79"/>
      <c r="V303" s="79"/>
      <c r="W303" s="79"/>
      <c r="Z303" s="130"/>
      <c r="AB303" s="106"/>
    </row>
    <row r="304">
      <c r="C304" s="79"/>
      <c r="D304" s="79"/>
      <c r="E304" s="79"/>
      <c r="M304" s="79"/>
      <c r="R304" s="79"/>
      <c r="S304" s="79"/>
      <c r="V304" s="79"/>
      <c r="W304" s="79"/>
      <c r="Z304" s="130"/>
      <c r="AB304" s="106"/>
    </row>
    <row r="305">
      <c r="C305" s="79"/>
      <c r="D305" s="79"/>
      <c r="E305" s="79"/>
      <c r="M305" s="79"/>
      <c r="R305" s="79"/>
      <c r="S305" s="79"/>
      <c r="V305" s="79"/>
      <c r="W305" s="79"/>
      <c r="Z305" s="130"/>
      <c r="AB305" s="106"/>
    </row>
    <row r="306">
      <c r="C306" s="79"/>
      <c r="D306" s="79"/>
      <c r="E306" s="79"/>
      <c r="M306" s="79"/>
      <c r="R306" s="79"/>
      <c r="S306" s="79"/>
      <c r="V306" s="79"/>
      <c r="W306" s="79"/>
      <c r="Z306" s="130"/>
      <c r="AB306" s="106"/>
    </row>
    <row r="307">
      <c r="C307" s="79"/>
      <c r="D307" s="79"/>
      <c r="E307" s="79"/>
      <c r="M307" s="79"/>
      <c r="R307" s="79"/>
      <c r="S307" s="79"/>
      <c r="V307" s="79"/>
      <c r="W307" s="79"/>
      <c r="Z307" s="130"/>
      <c r="AB307" s="106"/>
    </row>
    <row r="308">
      <c r="C308" s="79"/>
      <c r="D308" s="79"/>
      <c r="E308" s="79"/>
      <c r="M308" s="79"/>
      <c r="R308" s="79"/>
      <c r="S308" s="79"/>
      <c r="V308" s="79"/>
      <c r="W308" s="79"/>
      <c r="Z308" s="130"/>
      <c r="AB308" s="106"/>
    </row>
    <row r="309">
      <c r="C309" s="79"/>
      <c r="D309" s="79"/>
      <c r="E309" s="79"/>
      <c r="M309" s="79"/>
      <c r="R309" s="79"/>
      <c r="S309" s="79"/>
      <c r="V309" s="79"/>
      <c r="W309" s="79"/>
      <c r="Z309" s="130"/>
      <c r="AB309" s="106"/>
    </row>
    <row r="310">
      <c r="C310" s="79"/>
      <c r="D310" s="79"/>
      <c r="E310" s="79"/>
      <c r="M310" s="79"/>
      <c r="R310" s="79"/>
      <c r="S310" s="79"/>
      <c r="V310" s="79"/>
      <c r="W310" s="79"/>
      <c r="Z310" s="130"/>
      <c r="AB310" s="106"/>
    </row>
    <row r="311">
      <c r="C311" s="79"/>
      <c r="D311" s="79"/>
      <c r="E311" s="79"/>
      <c r="M311" s="79"/>
      <c r="R311" s="79"/>
      <c r="S311" s="79"/>
      <c r="V311" s="79"/>
      <c r="W311" s="79"/>
      <c r="Z311" s="130"/>
      <c r="AB311" s="106"/>
    </row>
    <row r="312">
      <c r="C312" s="79"/>
      <c r="D312" s="79"/>
      <c r="E312" s="79"/>
      <c r="M312" s="79"/>
      <c r="R312" s="79"/>
      <c r="S312" s="79"/>
      <c r="V312" s="79"/>
      <c r="W312" s="79"/>
      <c r="Z312" s="130"/>
      <c r="AB312" s="106"/>
    </row>
    <row r="313">
      <c r="C313" s="79"/>
      <c r="D313" s="79"/>
      <c r="E313" s="79"/>
      <c r="M313" s="79"/>
      <c r="R313" s="79"/>
      <c r="S313" s="79"/>
      <c r="V313" s="79"/>
      <c r="W313" s="79"/>
      <c r="Z313" s="130"/>
      <c r="AB313" s="106"/>
    </row>
    <row r="314">
      <c r="C314" s="79"/>
      <c r="D314" s="79"/>
      <c r="E314" s="79"/>
      <c r="M314" s="79"/>
      <c r="R314" s="79"/>
      <c r="S314" s="79"/>
      <c r="V314" s="79"/>
      <c r="W314" s="79"/>
      <c r="Z314" s="130"/>
      <c r="AB314" s="106"/>
    </row>
    <row r="315">
      <c r="C315" s="79"/>
      <c r="D315" s="79"/>
      <c r="E315" s="79"/>
      <c r="M315" s="79"/>
      <c r="R315" s="79"/>
      <c r="S315" s="79"/>
      <c r="V315" s="79"/>
      <c r="W315" s="79"/>
      <c r="Z315" s="130"/>
      <c r="AB315" s="106"/>
    </row>
    <row r="316">
      <c r="C316" s="79"/>
      <c r="D316" s="79"/>
      <c r="E316" s="79"/>
      <c r="M316" s="79"/>
      <c r="R316" s="79"/>
      <c r="S316" s="79"/>
      <c r="V316" s="79"/>
      <c r="W316" s="79"/>
      <c r="Z316" s="130"/>
      <c r="AB316" s="106"/>
    </row>
    <row r="317">
      <c r="C317" s="79"/>
      <c r="D317" s="79"/>
      <c r="E317" s="79"/>
      <c r="M317" s="79"/>
      <c r="R317" s="79"/>
      <c r="S317" s="79"/>
      <c r="V317" s="79"/>
      <c r="W317" s="79"/>
      <c r="Z317" s="130"/>
      <c r="AB317" s="106"/>
    </row>
    <row r="318">
      <c r="C318" s="79"/>
      <c r="D318" s="79"/>
      <c r="E318" s="79"/>
      <c r="M318" s="79"/>
      <c r="R318" s="79"/>
      <c r="S318" s="79"/>
      <c r="V318" s="79"/>
      <c r="W318" s="79"/>
      <c r="Z318" s="130"/>
      <c r="AB318" s="106"/>
    </row>
    <row r="319">
      <c r="C319" s="79"/>
      <c r="D319" s="79"/>
      <c r="E319" s="79"/>
      <c r="M319" s="79"/>
      <c r="R319" s="79"/>
      <c r="S319" s="79"/>
      <c r="V319" s="79"/>
      <c r="W319" s="79"/>
      <c r="Z319" s="130"/>
      <c r="AB319" s="106"/>
    </row>
    <row r="320">
      <c r="C320" s="79"/>
      <c r="D320" s="79"/>
      <c r="E320" s="79"/>
      <c r="M320" s="79"/>
      <c r="R320" s="79"/>
      <c r="S320" s="79"/>
      <c r="V320" s="79"/>
      <c r="W320" s="79"/>
      <c r="Z320" s="130"/>
      <c r="AB320" s="106"/>
    </row>
    <row r="321">
      <c r="C321" s="79"/>
      <c r="D321" s="79"/>
      <c r="E321" s="79"/>
      <c r="M321" s="79"/>
      <c r="R321" s="79"/>
      <c r="S321" s="79"/>
      <c r="V321" s="79"/>
      <c r="W321" s="79"/>
      <c r="Z321" s="130"/>
      <c r="AB321" s="106"/>
    </row>
    <row r="322">
      <c r="C322" s="79"/>
      <c r="D322" s="79"/>
      <c r="E322" s="79"/>
      <c r="M322" s="79"/>
      <c r="R322" s="79"/>
      <c r="S322" s="79"/>
      <c r="V322" s="79"/>
      <c r="W322" s="79"/>
      <c r="Z322" s="130"/>
      <c r="AB322" s="106"/>
    </row>
    <row r="323">
      <c r="C323" s="79"/>
      <c r="D323" s="79"/>
      <c r="E323" s="79"/>
      <c r="M323" s="79"/>
      <c r="R323" s="79"/>
      <c r="S323" s="79"/>
      <c r="V323" s="79"/>
      <c r="W323" s="79"/>
      <c r="Z323" s="130"/>
      <c r="AB323" s="106"/>
    </row>
    <row r="324">
      <c r="C324" s="79"/>
      <c r="D324" s="79"/>
      <c r="E324" s="79"/>
      <c r="M324" s="79"/>
      <c r="R324" s="79"/>
      <c r="S324" s="79"/>
      <c r="V324" s="79"/>
      <c r="W324" s="79"/>
      <c r="Z324" s="130"/>
      <c r="AB324" s="106"/>
    </row>
    <row r="325">
      <c r="C325" s="79"/>
      <c r="D325" s="79"/>
      <c r="E325" s="79"/>
      <c r="M325" s="79"/>
      <c r="R325" s="79"/>
      <c r="S325" s="79"/>
      <c r="V325" s="79"/>
      <c r="W325" s="79"/>
      <c r="Z325" s="130"/>
      <c r="AB325" s="106"/>
    </row>
    <row r="326">
      <c r="C326" s="79"/>
      <c r="D326" s="79"/>
      <c r="E326" s="79"/>
      <c r="M326" s="79"/>
      <c r="R326" s="79"/>
      <c r="S326" s="79"/>
      <c r="V326" s="79"/>
      <c r="W326" s="79"/>
      <c r="Z326" s="130"/>
      <c r="AB326" s="106"/>
    </row>
    <row r="327">
      <c r="C327" s="79"/>
      <c r="D327" s="79"/>
      <c r="E327" s="79"/>
      <c r="M327" s="79"/>
      <c r="R327" s="79"/>
      <c r="S327" s="79"/>
      <c r="V327" s="79"/>
      <c r="W327" s="79"/>
      <c r="Z327" s="130"/>
      <c r="AB327" s="106"/>
    </row>
    <row r="328">
      <c r="C328" s="79"/>
      <c r="D328" s="79"/>
      <c r="E328" s="79"/>
      <c r="M328" s="79"/>
      <c r="R328" s="79"/>
      <c r="S328" s="79"/>
      <c r="V328" s="79"/>
      <c r="W328" s="79"/>
      <c r="Z328" s="130"/>
      <c r="AB328" s="106"/>
    </row>
    <row r="329">
      <c r="C329" s="79"/>
      <c r="D329" s="79"/>
      <c r="E329" s="79"/>
      <c r="M329" s="79"/>
      <c r="R329" s="79"/>
      <c r="S329" s="79"/>
      <c r="V329" s="79"/>
      <c r="W329" s="79"/>
      <c r="Z329" s="130"/>
      <c r="AB329" s="106"/>
    </row>
    <row r="330">
      <c r="C330" s="79"/>
      <c r="D330" s="79"/>
      <c r="E330" s="79"/>
      <c r="M330" s="79"/>
      <c r="R330" s="79"/>
      <c r="S330" s="79"/>
      <c r="V330" s="79"/>
      <c r="W330" s="79"/>
      <c r="Z330" s="130"/>
      <c r="AB330" s="106"/>
    </row>
    <row r="331">
      <c r="C331" s="79"/>
      <c r="D331" s="79"/>
      <c r="E331" s="79"/>
      <c r="M331" s="79"/>
      <c r="R331" s="79"/>
      <c r="S331" s="79"/>
      <c r="V331" s="79"/>
      <c r="W331" s="79"/>
      <c r="Z331" s="130"/>
      <c r="AB331" s="106"/>
    </row>
    <row r="332">
      <c r="C332" s="79"/>
      <c r="D332" s="79"/>
      <c r="E332" s="79"/>
      <c r="M332" s="79"/>
      <c r="R332" s="79"/>
      <c r="S332" s="79"/>
      <c r="V332" s="79"/>
      <c r="W332" s="79"/>
      <c r="Z332" s="130"/>
      <c r="AB332" s="106"/>
    </row>
    <row r="333">
      <c r="C333" s="79"/>
      <c r="D333" s="79"/>
      <c r="E333" s="79"/>
      <c r="M333" s="79"/>
      <c r="R333" s="79"/>
      <c r="S333" s="79"/>
      <c r="V333" s="79"/>
      <c r="W333" s="79"/>
      <c r="Z333" s="130"/>
      <c r="AB333" s="106"/>
    </row>
    <row r="334">
      <c r="C334" s="79"/>
      <c r="D334" s="79"/>
      <c r="E334" s="79"/>
      <c r="M334" s="79"/>
      <c r="R334" s="79"/>
      <c r="S334" s="79"/>
      <c r="V334" s="79"/>
      <c r="W334" s="79"/>
      <c r="Z334" s="130"/>
      <c r="AB334" s="106"/>
    </row>
    <row r="335">
      <c r="C335" s="79"/>
      <c r="D335" s="79"/>
      <c r="E335" s="79"/>
      <c r="M335" s="79"/>
      <c r="R335" s="79"/>
      <c r="S335" s="79"/>
      <c r="V335" s="79"/>
      <c r="W335" s="79"/>
      <c r="Z335" s="130"/>
      <c r="AB335" s="106"/>
    </row>
    <row r="336">
      <c r="C336" s="79"/>
      <c r="D336" s="79"/>
      <c r="E336" s="79"/>
      <c r="M336" s="79"/>
      <c r="R336" s="79"/>
      <c r="S336" s="79"/>
      <c r="V336" s="79"/>
      <c r="W336" s="79"/>
      <c r="Z336" s="130"/>
      <c r="AB336" s="106"/>
    </row>
    <row r="337">
      <c r="C337" s="79"/>
      <c r="D337" s="79"/>
      <c r="E337" s="79"/>
      <c r="M337" s="79"/>
      <c r="R337" s="79"/>
      <c r="S337" s="79"/>
      <c r="V337" s="79"/>
      <c r="W337" s="79"/>
      <c r="Z337" s="130"/>
      <c r="AB337" s="106"/>
    </row>
    <row r="338">
      <c r="C338" s="79"/>
      <c r="D338" s="79"/>
      <c r="E338" s="79"/>
      <c r="M338" s="79"/>
      <c r="R338" s="79"/>
      <c r="S338" s="79"/>
      <c r="V338" s="79"/>
      <c r="W338" s="79"/>
      <c r="Z338" s="130"/>
      <c r="AB338" s="106"/>
    </row>
    <row r="339">
      <c r="C339" s="79"/>
      <c r="D339" s="79"/>
      <c r="E339" s="79"/>
      <c r="M339" s="79"/>
      <c r="R339" s="79"/>
      <c r="S339" s="79"/>
      <c r="V339" s="79"/>
      <c r="W339" s="79"/>
      <c r="Z339" s="130"/>
      <c r="AB339" s="106"/>
    </row>
    <row r="340">
      <c r="C340" s="79"/>
      <c r="D340" s="79"/>
      <c r="E340" s="79"/>
      <c r="M340" s="79"/>
      <c r="R340" s="79"/>
      <c r="S340" s="79"/>
      <c r="V340" s="79"/>
      <c r="W340" s="79"/>
      <c r="Z340" s="130"/>
      <c r="AB340" s="106"/>
    </row>
    <row r="341">
      <c r="C341" s="79"/>
      <c r="D341" s="79"/>
      <c r="E341" s="79"/>
      <c r="M341" s="79"/>
      <c r="R341" s="79"/>
      <c r="S341" s="79"/>
      <c r="V341" s="79"/>
      <c r="W341" s="79"/>
      <c r="Z341" s="130"/>
      <c r="AB341" s="106"/>
    </row>
    <row r="342">
      <c r="C342" s="79"/>
      <c r="D342" s="79"/>
      <c r="E342" s="79"/>
      <c r="M342" s="79"/>
      <c r="R342" s="79"/>
      <c r="S342" s="79"/>
      <c r="V342" s="79"/>
      <c r="W342" s="79"/>
      <c r="Z342" s="130"/>
      <c r="AB342" s="106"/>
    </row>
    <row r="343">
      <c r="C343" s="79"/>
      <c r="D343" s="79"/>
      <c r="E343" s="79"/>
      <c r="M343" s="79"/>
      <c r="R343" s="79"/>
      <c r="S343" s="79"/>
      <c r="V343" s="79"/>
      <c r="W343" s="79"/>
      <c r="Z343" s="130"/>
      <c r="AB343" s="106"/>
    </row>
    <row r="344">
      <c r="C344" s="79"/>
      <c r="D344" s="79"/>
      <c r="E344" s="79"/>
      <c r="M344" s="79"/>
      <c r="R344" s="79"/>
      <c r="S344" s="79"/>
      <c r="V344" s="79"/>
      <c r="W344" s="79"/>
      <c r="Z344" s="130"/>
      <c r="AB344" s="106"/>
    </row>
    <row r="345">
      <c r="C345" s="79"/>
      <c r="D345" s="79"/>
      <c r="E345" s="79"/>
      <c r="M345" s="79"/>
      <c r="R345" s="79"/>
      <c r="S345" s="79"/>
      <c r="V345" s="79"/>
      <c r="W345" s="79"/>
      <c r="Z345" s="130"/>
      <c r="AB345" s="106"/>
    </row>
    <row r="346">
      <c r="C346" s="79"/>
      <c r="D346" s="79"/>
      <c r="E346" s="79"/>
      <c r="M346" s="79"/>
      <c r="R346" s="79"/>
      <c r="S346" s="79"/>
      <c r="V346" s="79"/>
      <c r="W346" s="79"/>
      <c r="Z346" s="130"/>
      <c r="AB346" s="106"/>
    </row>
    <row r="347">
      <c r="C347" s="79"/>
      <c r="D347" s="79"/>
      <c r="E347" s="79"/>
      <c r="M347" s="79"/>
      <c r="R347" s="79"/>
      <c r="S347" s="79"/>
      <c r="V347" s="79"/>
      <c r="W347" s="79"/>
      <c r="Z347" s="130"/>
      <c r="AB347" s="106"/>
    </row>
    <row r="348">
      <c r="C348" s="79"/>
      <c r="D348" s="79"/>
      <c r="E348" s="79"/>
      <c r="M348" s="79"/>
      <c r="R348" s="79"/>
      <c r="S348" s="79"/>
      <c r="V348" s="79"/>
      <c r="W348" s="79"/>
      <c r="Z348" s="130"/>
      <c r="AB348" s="106"/>
    </row>
    <row r="349">
      <c r="C349" s="79"/>
      <c r="D349" s="79"/>
      <c r="E349" s="79"/>
      <c r="M349" s="79"/>
      <c r="R349" s="79"/>
      <c r="S349" s="79"/>
      <c r="V349" s="79"/>
      <c r="W349" s="79"/>
      <c r="Z349" s="130"/>
      <c r="AB349" s="106"/>
    </row>
    <row r="350">
      <c r="C350" s="79"/>
      <c r="D350" s="79"/>
      <c r="E350" s="79"/>
      <c r="M350" s="79"/>
      <c r="R350" s="79"/>
      <c r="S350" s="79"/>
      <c r="V350" s="79"/>
      <c r="W350" s="79"/>
      <c r="Z350" s="130"/>
      <c r="AB350" s="106"/>
    </row>
    <row r="351">
      <c r="C351" s="79"/>
      <c r="D351" s="79"/>
      <c r="E351" s="79"/>
      <c r="M351" s="79"/>
      <c r="R351" s="79"/>
      <c r="S351" s="79"/>
      <c r="V351" s="79"/>
      <c r="W351" s="79"/>
      <c r="Z351" s="130"/>
      <c r="AB351" s="106"/>
    </row>
    <row r="352">
      <c r="C352" s="79"/>
      <c r="D352" s="79"/>
      <c r="E352" s="79"/>
      <c r="M352" s="79"/>
      <c r="R352" s="79"/>
      <c r="S352" s="79"/>
      <c r="V352" s="79"/>
      <c r="W352" s="79"/>
      <c r="Z352" s="130"/>
      <c r="AB352" s="106"/>
    </row>
    <row r="353">
      <c r="C353" s="79"/>
      <c r="D353" s="79"/>
      <c r="E353" s="79"/>
      <c r="M353" s="79"/>
      <c r="R353" s="79"/>
      <c r="S353" s="79"/>
      <c r="V353" s="79"/>
      <c r="W353" s="79"/>
      <c r="Z353" s="130"/>
      <c r="AB353" s="106"/>
    </row>
    <row r="354">
      <c r="C354" s="79"/>
      <c r="D354" s="79"/>
      <c r="E354" s="79"/>
      <c r="M354" s="79"/>
      <c r="R354" s="79"/>
      <c r="S354" s="79"/>
      <c r="V354" s="79"/>
      <c r="W354" s="79"/>
      <c r="Z354" s="130"/>
      <c r="AB354" s="106"/>
    </row>
    <row r="355">
      <c r="C355" s="79"/>
      <c r="D355" s="79"/>
      <c r="E355" s="79"/>
      <c r="M355" s="79"/>
      <c r="R355" s="79"/>
      <c r="S355" s="79"/>
      <c r="V355" s="79"/>
      <c r="W355" s="79"/>
      <c r="Z355" s="130"/>
      <c r="AB355" s="106"/>
    </row>
    <row r="356">
      <c r="C356" s="79"/>
      <c r="D356" s="79"/>
      <c r="E356" s="79"/>
      <c r="M356" s="79"/>
      <c r="R356" s="79"/>
      <c r="S356" s="79"/>
      <c r="V356" s="79"/>
      <c r="W356" s="79"/>
      <c r="Z356" s="130"/>
      <c r="AB356" s="106"/>
    </row>
    <row r="357">
      <c r="C357" s="79"/>
      <c r="D357" s="79"/>
      <c r="E357" s="79"/>
      <c r="M357" s="79"/>
      <c r="R357" s="79"/>
      <c r="S357" s="79"/>
      <c r="V357" s="79"/>
      <c r="W357" s="79"/>
      <c r="Z357" s="130"/>
      <c r="AB357" s="106"/>
    </row>
    <row r="358">
      <c r="C358" s="79"/>
      <c r="D358" s="79"/>
      <c r="E358" s="79"/>
      <c r="M358" s="79"/>
      <c r="R358" s="79"/>
      <c r="S358" s="79"/>
      <c r="V358" s="79"/>
      <c r="W358" s="79"/>
      <c r="Z358" s="130"/>
      <c r="AB358" s="106"/>
    </row>
    <row r="359">
      <c r="C359" s="79"/>
      <c r="D359" s="79"/>
      <c r="E359" s="79"/>
      <c r="M359" s="79"/>
      <c r="R359" s="79"/>
      <c r="S359" s="79"/>
      <c r="V359" s="79"/>
      <c r="W359" s="79"/>
      <c r="Z359" s="130"/>
      <c r="AB359" s="106"/>
    </row>
    <row r="360">
      <c r="C360" s="79"/>
      <c r="D360" s="79"/>
      <c r="E360" s="79"/>
      <c r="M360" s="79"/>
      <c r="R360" s="79"/>
      <c r="S360" s="79"/>
      <c r="V360" s="79"/>
      <c r="W360" s="79"/>
      <c r="Z360" s="130"/>
      <c r="AB360" s="106"/>
    </row>
    <row r="361">
      <c r="C361" s="79"/>
      <c r="D361" s="79"/>
      <c r="E361" s="79"/>
      <c r="M361" s="79"/>
      <c r="R361" s="79"/>
      <c r="S361" s="79"/>
      <c r="V361" s="79"/>
      <c r="W361" s="79"/>
      <c r="Z361" s="130"/>
      <c r="AB361" s="106"/>
    </row>
    <row r="362">
      <c r="C362" s="79"/>
      <c r="D362" s="79"/>
      <c r="E362" s="79"/>
      <c r="M362" s="79"/>
      <c r="R362" s="79"/>
      <c r="S362" s="79"/>
      <c r="V362" s="79"/>
      <c r="W362" s="79"/>
      <c r="Z362" s="130"/>
      <c r="AB362" s="106"/>
    </row>
    <row r="363">
      <c r="C363" s="79"/>
      <c r="D363" s="79"/>
      <c r="E363" s="79"/>
      <c r="M363" s="79"/>
      <c r="R363" s="79"/>
      <c r="S363" s="79"/>
      <c r="V363" s="79"/>
      <c r="W363" s="79"/>
      <c r="Z363" s="130"/>
      <c r="AB363" s="106"/>
    </row>
    <row r="364">
      <c r="C364" s="79"/>
      <c r="D364" s="79"/>
      <c r="E364" s="79"/>
      <c r="M364" s="79"/>
      <c r="R364" s="79"/>
      <c r="S364" s="79"/>
      <c r="V364" s="79"/>
      <c r="W364" s="79"/>
      <c r="Z364" s="130"/>
      <c r="AB364" s="106"/>
    </row>
    <row r="365">
      <c r="C365" s="79"/>
      <c r="D365" s="79"/>
      <c r="E365" s="79"/>
      <c r="M365" s="79"/>
      <c r="R365" s="79"/>
      <c r="S365" s="79"/>
      <c r="V365" s="79"/>
      <c r="W365" s="79"/>
      <c r="Z365" s="130"/>
      <c r="AB365" s="106"/>
    </row>
    <row r="366">
      <c r="C366" s="79"/>
      <c r="D366" s="79"/>
      <c r="E366" s="79"/>
      <c r="M366" s="79"/>
      <c r="R366" s="79"/>
      <c r="S366" s="79"/>
      <c r="V366" s="79"/>
      <c r="W366" s="79"/>
      <c r="Z366" s="130"/>
      <c r="AB366" s="106"/>
    </row>
    <row r="367">
      <c r="C367" s="79"/>
      <c r="D367" s="79"/>
      <c r="E367" s="79"/>
      <c r="M367" s="79"/>
      <c r="R367" s="79"/>
      <c r="S367" s="79"/>
      <c r="V367" s="79"/>
      <c r="W367" s="79"/>
      <c r="Z367" s="130"/>
      <c r="AB367" s="106"/>
    </row>
    <row r="368">
      <c r="C368" s="79"/>
      <c r="D368" s="79"/>
      <c r="E368" s="79"/>
      <c r="M368" s="79"/>
      <c r="R368" s="79"/>
      <c r="S368" s="79"/>
      <c r="V368" s="79"/>
      <c r="W368" s="79"/>
      <c r="Z368" s="130"/>
      <c r="AB368" s="106"/>
    </row>
    <row r="369">
      <c r="C369" s="79"/>
      <c r="D369" s="79"/>
      <c r="E369" s="79"/>
      <c r="M369" s="79"/>
      <c r="R369" s="79"/>
      <c r="S369" s="79"/>
      <c r="V369" s="79"/>
      <c r="W369" s="79"/>
      <c r="Z369" s="130"/>
      <c r="AB369" s="106"/>
    </row>
    <row r="370">
      <c r="C370" s="79"/>
      <c r="D370" s="79"/>
      <c r="E370" s="79"/>
      <c r="M370" s="79"/>
      <c r="R370" s="79"/>
      <c r="S370" s="79"/>
      <c r="V370" s="79"/>
      <c r="W370" s="79"/>
      <c r="Z370" s="130"/>
      <c r="AB370" s="106"/>
    </row>
    <row r="371">
      <c r="C371" s="79"/>
      <c r="D371" s="79"/>
      <c r="E371" s="79"/>
      <c r="M371" s="79"/>
      <c r="R371" s="79"/>
      <c r="S371" s="79"/>
      <c r="V371" s="79"/>
      <c r="W371" s="79"/>
      <c r="Z371" s="130"/>
      <c r="AB371" s="106"/>
    </row>
    <row r="372">
      <c r="C372" s="79"/>
      <c r="D372" s="79"/>
      <c r="E372" s="79"/>
      <c r="M372" s="79"/>
      <c r="R372" s="79"/>
      <c r="S372" s="79"/>
      <c r="V372" s="79"/>
      <c r="W372" s="79"/>
      <c r="Z372" s="130"/>
      <c r="AB372" s="106"/>
    </row>
    <row r="373">
      <c r="C373" s="79"/>
      <c r="D373" s="79"/>
      <c r="E373" s="79"/>
      <c r="M373" s="79"/>
      <c r="R373" s="79"/>
      <c r="S373" s="79"/>
      <c r="V373" s="79"/>
      <c r="W373" s="79"/>
      <c r="Z373" s="130"/>
      <c r="AB373" s="106"/>
    </row>
    <row r="374">
      <c r="C374" s="79"/>
      <c r="D374" s="79"/>
      <c r="E374" s="79"/>
      <c r="M374" s="79"/>
      <c r="R374" s="79"/>
      <c r="S374" s="79"/>
      <c r="V374" s="79"/>
      <c r="W374" s="79"/>
      <c r="Z374" s="130"/>
      <c r="AB374" s="106"/>
    </row>
    <row r="375">
      <c r="C375" s="79"/>
      <c r="D375" s="79"/>
      <c r="E375" s="79"/>
      <c r="M375" s="79"/>
      <c r="R375" s="79"/>
      <c r="S375" s="79"/>
      <c r="V375" s="79"/>
      <c r="W375" s="79"/>
      <c r="Z375" s="130"/>
      <c r="AB375" s="106"/>
    </row>
    <row r="376">
      <c r="C376" s="79"/>
      <c r="D376" s="79"/>
      <c r="E376" s="79"/>
      <c r="M376" s="79"/>
      <c r="R376" s="79"/>
      <c r="S376" s="79"/>
      <c r="V376" s="79"/>
      <c r="W376" s="79"/>
      <c r="Z376" s="130"/>
      <c r="AB376" s="106"/>
    </row>
    <row r="377">
      <c r="C377" s="79"/>
      <c r="D377" s="79"/>
      <c r="E377" s="79"/>
      <c r="M377" s="79"/>
      <c r="R377" s="79"/>
      <c r="S377" s="79"/>
      <c r="V377" s="79"/>
      <c r="W377" s="79"/>
      <c r="Z377" s="130"/>
      <c r="AB377" s="106"/>
    </row>
    <row r="378">
      <c r="C378" s="79"/>
      <c r="D378" s="79"/>
      <c r="E378" s="79"/>
      <c r="M378" s="79"/>
      <c r="R378" s="79"/>
      <c r="S378" s="79"/>
      <c r="V378" s="79"/>
      <c r="W378" s="79"/>
      <c r="Z378" s="130"/>
      <c r="AB378" s="106"/>
    </row>
    <row r="379">
      <c r="C379" s="79"/>
      <c r="D379" s="79"/>
      <c r="E379" s="79"/>
      <c r="M379" s="79"/>
      <c r="R379" s="79"/>
      <c r="S379" s="79"/>
      <c r="V379" s="79"/>
      <c r="W379" s="79"/>
      <c r="Z379" s="130"/>
      <c r="AB379" s="106"/>
    </row>
    <row r="380">
      <c r="C380" s="79"/>
      <c r="D380" s="79"/>
      <c r="E380" s="79"/>
      <c r="M380" s="79"/>
      <c r="R380" s="79"/>
      <c r="S380" s="79"/>
      <c r="V380" s="79"/>
      <c r="W380" s="79"/>
      <c r="Z380" s="130"/>
      <c r="AB380" s="106"/>
    </row>
    <row r="381">
      <c r="C381" s="79"/>
      <c r="D381" s="79"/>
      <c r="E381" s="79"/>
      <c r="M381" s="79"/>
      <c r="R381" s="79"/>
      <c r="S381" s="79"/>
      <c r="V381" s="79"/>
      <c r="W381" s="79"/>
      <c r="Z381" s="130"/>
      <c r="AB381" s="106"/>
    </row>
    <row r="382">
      <c r="C382" s="79"/>
      <c r="D382" s="79"/>
      <c r="E382" s="79"/>
      <c r="M382" s="79"/>
      <c r="R382" s="79"/>
      <c r="S382" s="79"/>
      <c r="V382" s="79"/>
      <c r="W382" s="79"/>
      <c r="Z382" s="130"/>
      <c r="AB382" s="106"/>
    </row>
    <row r="383">
      <c r="C383" s="79"/>
      <c r="D383" s="79"/>
      <c r="E383" s="79"/>
      <c r="M383" s="79"/>
      <c r="R383" s="79"/>
      <c r="S383" s="79"/>
      <c r="V383" s="79"/>
      <c r="W383" s="79"/>
      <c r="Z383" s="130"/>
      <c r="AB383" s="106"/>
    </row>
    <row r="384">
      <c r="C384" s="79"/>
      <c r="D384" s="79"/>
      <c r="E384" s="79"/>
      <c r="M384" s="79"/>
      <c r="R384" s="79"/>
      <c r="S384" s="79"/>
      <c r="V384" s="79"/>
      <c r="W384" s="79"/>
      <c r="Z384" s="130"/>
      <c r="AB384" s="106"/>
    </row>
    <row r="385">
      <c r="C385" s="79"/>
      <c r="D385" s="79"/>
      <c r="E385" s="79"/>
      <c r="M385" s="79"/>
      <c r="R385" s="79"/>
      <c r="S385" s="79"/>
      <c r="V385" s="79"/>
      <c r="W385" s="79"/>
      <c r="Z385" s="130"/>
      <c r="AB385" s="106"/>
    </row>
    <row r="386">
      <c r="C386" s="79"/>
      <c r="D386" s="79"/>
      <c r="E386" s="79"/>
      <c r="M386" s="79"/>
      <c r="R386" s="79"/>
      <c r="S386" s="79"/>
      <c r="V386" s="79"/>
      <c r="W386" s="79"/>
      <c r="Z386" s="130"/>
      <c r="AB386" s="106"/>
    </row>
    <row r="387">
      <c r="C387" s="79"/>
      <c r="D387" s="79"/>
      <c r="E387" s="79"/>
      <c r="M387" s="79"/>
      <c r="R387" s="79"/>
      <c r="S387" s="79"/>
      <c r="V387" s="79"/>
      <c r="W387" s="79"/>
      <c r="Z387" s="130"/>
      <c r="AB387" s="106"/>
    </row>
    <row r="388">
      <c r="C388" s="79"/>
      <c r="D388" s="79"/>
      <c r="E388" s="79"/>
      <c r="M388" s="79"/>
      <c r="R388" s="79"/>
      <c r="S388" s="79"/>
      <c r="V388" s="79"/>
      <c r="W388" s="79"/>
      <c r="Z388" s="130"/>
      <c r="AB388" s="106"/>
    </row>
    <row r="389">
      <c r="C389" s="79"/>
      <c r="D389" s="79"/>
      <c r="E389" s="79"/>
      <c r="M389" s="79"/>
      <c r="R389" s="79"/>
      <c r="S389" s="79"/>
      <c r="V389" s="79"/>
      <c r="W389" s="79"/>
      <c r="Z389" s="130"/>
      <c r="AB389" s="106"/>
    </row>
    <row r="390">
      <c r="C390" s="79"/>
      <c r="D390" s="79"/>
      <c r="E390" s="79"/>
      <c r="M390" s="79"/>
      <c r="R390" s="79"/>
      <c r="S390" s="79"/>
      <c r="V390" s="79"/>
      <c r="W390" s="79"/>
      <c r="Z390" s="130"/>
      <c r="AB390" s="106"/>
    </row>
    <row r="391">
      <c r="C391" s="79"/>
      <c r="D391" s="79"/>
      <c r="E391" s="79"/>
      <c r="M391" s="79"/>
      <c r="R391" s="79"/>
      <c r="S391" s="79"/>
      <c r="V391" s="79"/>
      <c r="W391" s="79"/>
      <c r="Z391" s="130"/>
      <c r="AB391" s="106"/>
    </row>
    <row r="392">
      <c r="C392" s="79"/>
      <c r="D392" s="79"/>
      <c r="E392" s="79"/>
      <c r="M392" s="79"/>
      <c r="R392" s="79"/>
      <c r="S392" s="79"/>
      <c r="V392" s="79"/>
      <c r="W392" s="79"/>
      <c r="Z392" s="130"/>
      <c r="AB392" s="106"/>
    </row>
    <row r="393">
      <c r="C393" s="79"/>
      <c r="D393" s="79"/>
      <c r="E393" s="79"/>
      <c r="M393" s="79"/>
      <c r="R393" s="79"/>
      <c r="S393" s="79"/>
      <c r="V393" s="79"/>
      <c r="W393" s="79"/>
      <c r="Z393" s="130"/>
      <c r="AB393" s="106"/>
    </row>
    <row r="394">
      <c r="C394" s="79"/>
      <c r="D394" s="79"/>
      <c r="E394" s="79"/>
      <c r="M394" s="79"/>
      <c r="R394" s="79"/>
      <c r="S394" s="79"/>
      <c r="V394" s="79"/>
      <c r="W394" s="79"/>
      <c r="Z394" s="130"/>
      <c r="AB394" s="106"/>
    </row>
    <row r="395">
      <c r="C395" s="79"/>
      <c r="D395" s="79"/>
      <c r="E395" s="79"/>
      <c r="M395" s="79"/>
      <c r="R395" s="79"/>
      <c r="S395" s="79"/>
      <c r="V395" s="79"/>
      <c r="W395" s="79"/>
      <c r="Z395" s="130"/>
      <c r="AB395" s="106"/>
    </row>
    <row r="396">
      <c r="C396" s="79"/>
      <c r="D396" s="79"/>
      <c r="E396" s="79"/>
      <c r="M396" s="79"/>
      <c r="R396" s="79"/>
      <c r="S396" s="79"/>
      <c r="V396" s="79"/>
      <c r="W396" s="79"/>
      <c r="Z396" s="130"/>
      <c r="AB396" s="106"/>
    </row>
    <row r="397">
      <c r="C397" s="79"/>
      <c r="D397" s="79"/>
      <c r="E397" s="79"/>
      <c r="M397" s="79"/>
      <c r="R397" s="79"/>
      <c r="S397" s="79"/>
      <c r="V397" s="79"/>
      <c r="W397" s="79"/>
      <c r="Z397" s="130"/>
      <c r="AB397" s="106"/>
    </row>
    <row r="398">
      <c r="C398" s="79"/>
      <c r="D398" s="79"/>
      <c r="E398" s="79"/>
      <c r="M398" s="79"/>
      <c r="R398" s="79"/>
      <c r="S398" s="79"/>
      <c r="V398" s="79"/>
      <c r="W398" s="79"/>
      <c r="Z398" s="130"/>
      <c r="AB398" s="106"/>
    </row>
    <row r="399">
      <c r="C399" s="79"/>
      <c r="D399" s="79"/>
      <c r="E399" s="79"/>
      <c r="M399" s="79"/>
      <c r="R399" s="79"/>
      <c r="S399" s="79"/>
      <c r="V399" s="79"/>
      <c r="W399" s="79"/>
      <c r="Z399" s="130"/>
      <c r="AB399" s="106"/>
    </row>
    <row r="400">
      <c r="C400" s="79"/>
      <c r="D400" s="79"/>
      <c r="E400" s="79"/>
      <c r="M400" s="79"/>
      <c r="R400" s="79"/>
      <c r="S400" s="79"/>
      <c r="V400" s="79"/>
      <c r="W400" s="79"/>
      <c r="Z400" s="130"/>
      <c r="AB400" s="106"/>
    </row>
    <row r="401">
      <c r="C401" s="79"/>
      <c r="D401" s="79"/>
      <c r="E401" s="79"/>
      <c r="M401" s="79"/>
      <c r="R401" s="79"/>
      <c r="S401" s="79"/>
      <c r="V401" s="79"/>
      <c r="W401" s="79"/>
      <c r="Z401" s="130"/>
      <c r="AB401" s="106"/>
    </row>
    <row r="402">
      <c r="C402" s="79"/>
      <c r="D402" s="79"/>
      <c r="E402" s="79"/>
      <c r="M402" s="79"/>
      <c r="R402" s="79"/>
      <c r="S402" s="79"/>
      <c r="V402" s="79"/>
      <c r="W402" s="79"/>
      <c r="Z402" s="130"/>
      <c r="AB402" s="106"/>
    </row>
    <row r="403">
      <c r="C403" s="79"/>
      <c r="D403" s="79"/>
      <c r="E403" s="79"/>
      <c r="M403" s="79"/>
      <c r="R403" s="79"/>
      <c r="S403" s="79"/>
      <c r="V403" s="79"/>
      <c r="W403" s="79"/>
      <c r="Z403" s="130"/>
      <c r="AB403" s="106"/>
    </row>
    <row r="404">
      <c r="C404" s="79"/>
      <c r="D404" s="79"/>
      <c r="E404" s="79"/>
      <c r="M404" s="79"/>
      <c r="R404" s="79"/>
      <c r="S404" s="79"/>
      <c r="V404" s="79"/>
      <c r="W404" s="79"/>
      <c r="Z404" s="130"/>
      <c r="AB404" s="106"/>
    </row>
    <row r="405">
      <c r="C405" s="79"/>
      <c r="D405" s="79"/>
      <c r="E405" s="79"/>
      <c r="M405" s="79"/>
      <c r="R405" s="79"/>
      <c r="S405" s="79"/>
      <c r="V405" s="79"/>
      <c r="W405" s="79"/>
      <c r="Z405" s="130"/>
      <c r="AB405" s="106"/>
    </row>
    <row r="406">
      <c r="C406" s="79"/>
      <c r="D406" s="79"/>
      <c r="E406" s="79"/>
      <c r="M406" s="79"/>
      <c r="R406" s="79"/>
      <c r="S406" s="79"/>
      <c r="V406" s="79"/>
      <c r="W406" s="79"/>
      <c r="Z406" s="130"/>
      <c r="AB406" s="106"/>
    </row>
    <row r="407">
      <c r="C407" s="79"/>
      <c r="D407" s="79"/>
      <c r="E407" s="79"/>
      <c r="M407" s="79"/>
      <c r="R407" s="79"/>
      <c r="S407" s="79"/>
      <c r="V407" s="79"/>
      <c r="W407" s="79"/>
      <c r="Z407" s="130"/>
      <c r="AB407" s="106"/>
    </row>
    <row r="408">
      <c r="C408" s="79"/>
      <c r="D408" s="79"/>
      <c r="E408" s="79"/>
      <c r="M408" s="79"/>
      <c r="R408" s="79"/>
      <c r="S408" s="79"/>
      <c r="V408" s="79"/>
      <c r="W408" s="79"/>
      <c r="Z408" s="130"/>
      <c r="AB408" s="106"/>
    </row>
    <row r="409">
      <c r="C409" s="79"/>
      <c r="D409" s="79"/>
      <c r="E409" s="79"/>
      <c r="M409" s="79"/>
      <c r="R409" s="79"/>
      <c r="S409" s="79"/>
      <c r="V409" s="79"/>
      <c r="W409" s="79"/>
      <c r="Z409" s="130"/>
      <c r="AB409" s="106"/>
    </row>
    <row r="410">
      <c r="C410" s="79"/>
      <c r="D410" s="79"/>
      <c r="E410" s="79"/>
      <c r="M410" s="79"/>
      <c r="R410" s="79"/>
      <c r="S410" s="79"/>
      <c r="V410" s="79"/>
      <c r="W410" s="79"/>
      <c r="Z410" s="130"/>
      <c r="AB410" s="106"/>
    </row>
    <row r="411">
      <c r="C411" s="79"/>
      <c r="D411" s="79"/>
      <c r="E411" s="79"/>
      <c r="M411" s="79"/>
      <c r="R411" s="79"/>
      <c r="S411" s="79"/>
      <c r="V411" s="79"/>
      <c r="W411" s="79"/>
      <c r="Z411" s="130"/>
      <c r="AB411" s="106"/>
    </row>
    <row r="412">
      <c r="C412" s="79"/>
      <c r="D412" s="79"/>
      <c r="E412" s="79"/>
      <c r="M412" s="79"/>
      <c r="R412" s="79"/>
      <c r="S412" s="79"/>
      <c r="V412" s="79"/>
      <c r="W412" s="79"/>
      <c r="Z412" s="130"/>
      <c r="AB412" s="106"/>
    </row>
    <row r="413">
      <c r="C413" s="79"/>
      <c r="D413" s="79"/>
      <c r="E413" s="79"/>
      <c r="M413" s="79"/>
      <c r="R413" s="79"/>
      <c r="S413" s="79"/>
      <c r="V413" s="79"/>
      <c r="W413" s="79"/>
      <c r="Z413" s="130"/>
      <c r="AB413" s="106"/>
    </row>
    <row r="414">
      <c r="C414" s="79"/>
      <c r="D414" s="79"/>
      <c r="E414" s="79"/>
      <c r="M414" s="79"/>
      <c r="R414" s="79"/>
      <c r="S414" s="79"/>
      <c r="V414" s="79"/>
      <c r="W414" s="79"/>
      <c r="Z414" s="130"/>
      <c r="AB414" s="106"/>
    </row>
    <row r="415">
      <c r="C415" s="79"/>
      <c r="D415" s="79"/>
      <c r="E415" s="79"/>
      <c r="M415" s="79"/>
      <c r="R415" s="79"/>
      <c r="S415" s="79"/>
      <c r="V415" s="79"/>
      <c r="W415" s="79"/>
      <c r="Z415" s="130"/>
      <c r="AB415" s="106"/>
    </row>
    <row r="416">
      <c r="C416" s="79"/>
      <c r="D416" s="79"/>
      <c r="E416" s="79"/>
      <c r="M416" s="79"/>
      <c r="R416" s="79"/>
      <c r="S416" s="79"/>
      <c r="V416" s="79"/>
      <c r="W416" s="79"/>
      <c r="Z416" s="130"/>
      <c r="AB416" s="106"/>
    </row>
    <row r="417">
      <c r="C417" s="79"/>
      <c r="D417" s="79"/>
      <c r="E417" s="79"/>
      <c r="M417" s="79"/>
      <c r="R417" s="79"/>
      <c r="S417" s="79"/>
      <c r="V417" s="79"/>
      <c r="W417" s="79"/>
      <c r="Z417" s="130"/>
      <c r="AB417" s="106"/>
    </row>
    <row r="418">
      <c r="C418" s="79"/>
      <c r="D418" s="79"/>
      <c r="E418" s="79"/>
      <c r="M418" s="79"/>
      <c r="R418" s="79"/>
      <c r="S418" s="79"/>
      <c r="V418" s="79"/>
      <c r="W418" s="79"/>
      <c r="Z418" s="130"/>
      <c r="AB418" s="106"/>
    </row>
    <row r="419">
      <c r="C419" s="79"/>
      <c r="D419" s="79"/>
      <c r="E419" s="79"/>
      <c r="M419" s="79"/>
      <c r="R419" s="79"/>
      <c r="S419" s="79"/>
      <c r="V419" s="79"/>
      <c r="W419" s="79"/>
      <c r="Z419" s="130"/>
      <c r="AB419" s="106"/>
    </row>
    <row r="420">
      <c r="C420" s="79"/>
      <c r="D420" s="79"/>
      <c r="E420" s="79"/>
      <c r="M420" s="79"/>
      <c r="R420" s="79"/>
      <c r="S420" s="79"/>
      <c r="V420" s="79"/>
      <c r="W420" s="79"/>
      <c r="Z420" s="130"/>
      <c r="AB420" s="106"/>
    </row>
    <row r="421">
      <c r="C421" s="79"/>
      <c r="D421" s="79"/>
      <c r="E421" s="79"/>
      <c r="M421" s="79"/>
      <c r="R421" s="79"/>
      <c r="S421" s="79"/>
      <c r="V421" s="79"/>
      <c r="W421" s="79"/>
      <c r="Z421" s="130"/>
      <c r="AB421" s="106"/>
    </row>
    <row r="422">
      <c r="C422" s="79"/>
      <c r="D422" s="79"/>
      <c r="E422" s="79"/>
      <c r="M422" s="79"/>
      <c r="R422" s="79"/>
      <c r="S422" s="79"/>
      <c r="V422" s="79"/>
      <c r="W422" s="79"/>
      <c r="Z422" s="130"/>
      <c r="AB422" s="106"/>
    </row>
    <row r="423">
      <c r="C423" s="79"/>
      <c r="D423" s="79"/>
      <c r="E423" s="79"/>
      <c r="M423" s="79"/>
      <c r="R423" s="79"/>
      <c r="S423" s="79"/>
      <c r="V423" s="79"/>
      <c r="W423" s="79"/>
      <c r="Z423" s="130"/>
      <c r="AB423" s="106"/>
    </row>
    <row r="424">
      <c r="C424" s="79"/>
      <c r="D424" s="79"/>
      <c r="E424" s="79"/>
      <c r="M424" s="79"/>
      <c r="R424" s="79"/>
      <c r="S424" s="79"/>
      <c r="V424" s="79"/>
      <c r="W424" s="79"/>
      <c r="Z424" s="130"/>
      <c r="AB424" s="106"/>
    </row>
    <row r="425">
      <c r="C425" s="79"/>
      <c r="D425" s="79"/>
      <c r="E425" s="79"/>
      <c r="M425" s="79"/>
      <c r="R425" s="79"/>
      <c r="S425" s="79"/>
      <c r="V425" s="79"/>
      <c r="W425" s="79"/>
      <c r="Z425" s="130"/>
      <c r="AB425" s="106"/>
    </row>
    <row r="426">
      <c r="C426" s="79"/>
      <c r="D426" s="79"/>
      <c r="E426" s="79"/>
      <c r="M426" s="79"/>
      <c r="R426" s="79"/>
      <c r="S426" s="79"/>
      <c r="V426" s="79"/>
      <c r="W426" s="79"/>
      <c r="Z426" s="130"/>
      <c r="AB426" s="106"/>
    </row>
    <row r="427">
      <c r="C427" s="79"/>
      <c r="D427" s="79"/>
      <c r="E427" s="79"/>
      <c r="M427" s="79"/>
      <c r="R427" s="79"/>
      <c r="S427" s="79"/>
      <c r="V427" s="79"/>
      <c r="W427" s="79"/>
      <c r="Z427" s="130"/>
      <c r="AB427" s="106"/>
    </row>
    <row r="428">
      <c r="C428" s="79"/>
      <c r="D428" s="79"/>
      <c r="E428" s="79"/>
      <c r="M428" s="79"/>
      <c r="R428" s="79"/>
      <c r="S428" s="79"/>
      <c r="V428" s="79"/>
      <c r="W428" s="79"/>
      <c r="Z428" s="130"/>
      <c r="AB428" s="106"/>
    </row>
    <row r="429">
      <c r="C429" s="79"/>
      <c r="D429" s="79"/>
      <c r="E429" s="79"/>
      <c r="M429" s="79"/>
      <c r="R429" s="79"/>
      <c r="S429" s="79"/>
      <c r="V429" s="79"/>
      <c r="W429" s="79"/>
      <c r="Z429" s="130"/>
      <c r="AB429" s="106"/>
    </row>
    <row r="430">
      <c r="C430" s="79"/>
      <c r="D430" s="79"/>
      <c r="E430" s="79"/>
      <c r="M430" s="79"/>
      <c r="R430" s="79"/>
      <c r="S430" s="79"/>
      <c r="V430" s="79"/>
      <c r="W430" s="79"/>
      <c r="Z430" s="130"/>
      <c r="AB430" s="106"/>
    </row>
    <row r="431">
      <c r="C431" s="79"/>
      <c r="D431" s="79"/>
      <c r="E431" s="79"/>
      <c r="M431" s="79"/>
      <c r="R431" s="79"/>
      <c r="S431" s="79"/>
      <c r="V431" s="79"/>
      <c r="W431" s="79"/>
      <c r="Z431" s="130"/>
      <c r="AB431" s="106"/>
    </row>
    <row r="432">
      <c r="C432" s="79"/>
      <c r="D432" s="79"/>
      <c r="E432" s="79"/>
      <c r="M432" s="79"/>
      <c r="R432" s="79"/>
      <c r="S432" s="79"/>
      <c r="V432" s="79"/>
      <c r="W432" s="79"/>
      <c r="Z432" s="130"/>
      <c r="AB432" s="106"/>
    </row>
    <row r="433">
      <c r="C433" s="79"/>
      <c r="D433" s="79"/>
      <c r="E433" s="79"/>
      <c r="M433" s="79"/>
      <c r="R433" s="79"/>
      <c r="S433" s="79"/>
      <c r="V433" s="79"/>
      <c r="W433" s="79"/>
      <c r="Z433" s="130"/>
      <c r="AB433" s="106"/>
    </row>
    <row r="434">
      <c r="C434" s="79"/>
      <c r="D434" s="79"/>
      <c r="E434" s="79"/>
      <c r="M434" s="79"/>
      <c r="R434" s="79"/>
      <c r="S434" s="79"/>
      <c r="V434" s="79"/>
      <c r="W434" s="79"/>
      <c r="Z434" s="130"/>
      <c r="AB434" s="106"/>
    </row>
    <row r="435">
      <c r="C435" s="79"/>
      <c r="D435" s="79"/>
      <c r="E435" s="79"/>
      <c r="M435" s="79"/>
      <c r="R435" s="79"/>
      <c r="S435" s="79"/>
      <c r="V435" s="79"/>
      <c r="W435" s="79"/>
      <c r="Z435" s="130"/>
      <c r="AB435" s="106"/>
    </row>
    <row r="436">
      <c r="C436" s="79"/>
      <c r="D436" s="79"/>
      <c r="E436" s="79"/>
      <c r="M436" s="79"/>
      <c r="R436" s="79"/>
      <c r="S436" s="79"/>
      <c r="V436" s="79"/>
      <c r="W436" s="79"/>
      <c r="Z436" s="130"/>
      <c r="AB436" s="106"/>
    </row>
    <row r="437">
      <c r="C437" s="79"/>
      <c r="D437" s="79"/>
      <c r="E437" s="79"/>
      <c r="M437" s="79"/>
      <c r="R437" s="79"/>
      <c r="S437" s="79"/>
      <c r="V437" s="79"/>
      <c r="W437" s="79"/>
      <c r="Z437" s="130"/>
      <c r="AB437" s="106"/>
    </row>
    <row r="438">
      <c r="C438" s="79"/>
      <c r="D438" s="79"/>
      <c r="E438" s="79"/>
      <c r="M438" s="79"/>
      <c r="R438" s="79"/>
      <c r="S438" s="79"/>
      <c r="V438" s="79"/>
      <c r="W438" s="79"/>
      <c r="Z438" s="130"/>
      <c r="AB438" s="106"/>
    </row>
    <row r="439">
      <c r="C439" s="79"/>
      <c r="D439" s="79"/>
      <c r="E439" s="79"/>
      <c r="M439" s="79"/>
      <c r="R439" s="79"/>
      <c r="S439" s="79"/>
      <c r="V439" s="79"/>
      <c r="W439" s="79"/>
      <c r="Z439" s="130"/>
      <c r="AB439" s="106"/>
    </row>
    <row r="440">
      <c r="C440" s="79"/>
      <c r="D440" s="79"/>
      <c r="E440" s="79"/>
      <c r="M440" s="79"/>
      <c r="R440" s="79"/>
      <c r="S440" s="79"/>
      <c r="V440" s="79"/>
      <c r="W440" s="79"/>
      <c r="Z440" s="130"/>
      <c r="AB440" s="106"/>
    </row>
    <row r="441">
      <c r="C441" s="79"/>
      <c r="D441" s="79"/>
      <c r="E441" s="79"/>
      <c r="M441" s="79"/>
      <c r="R441" s="79"/>
      <c r="S441" s="79"/>
      <c r="V441" s="79"/>
      <c r="W441" s="79"/>
      <c r="Z441" s="130"/>
      <c r="AB441" s="106"/>
    </row>
    <row r="442">
      <c r="C442" s="79"/>
      <c r="D442" s="79"/>
      <c r="E442" s="79"/>
      <c r="M442" s="79"/>
      <c r="R442" s="79"/>
      <c r="S442" s="79"/>
      <c r="V442" s="79"/>
      <c r="W442" s="79"/>
      <c r="Z442" s="130"/>
      <c r="AB442" s="106"/>
    </row>
    <row r="443">
      <c r="C443" s="79"/>
      <c r="D443" s="79"/>
      <c r="E443" s="79"/>
      <c r="M443" s="79"/>
      <c r="R443" s="79"/>
      <c r="S443" s="79"/>
      <c r="V443" s="79"/>
      <c r="W443" s="79"/>
      <c r="Z443" s="130"/>
      <c r="AB443" s="106"/>
    </row>
    <row r="444">
      <c r="C444" s="79"/>
      <c r="D444" s="79"/>
      <c r="E444" s="79"/>
      <c r="M444" s="79"/>
      <c r="R444" s="79"/>
      <c r="S444" s="79"/>
      <c r="V444" s="79"/>
      <c r="W444" s="79"/>
      <c r="Z444" s="130"/>
      <c r="AB444" s="106"/>
    </row>
    <row r="445">
      <c r="C445" s="79"/>
      <c r="D445" s="79"/>
      <c r="E445" s="79"/>
      <c r="M445" s="79"/>
      <c r="R445" s="79"/>
      <c r="S445" s="79"/>
      <c r="V445" s="79"/>
      <c r="W445" s="79"/>
      <c r="Z445" s="130"/>
      <c r="AB445" s="106"/>
    </row>
    <row r="446">
      <c r="C446" s="79"/>
      <c r="D446" s="79"/>
      <c r="E446" s="79"/>
      <c r="M446" s="79"/>
      <c r="R446" s="79"/>
      <c r="S446" s="79"/>
      <c r="V446" s="79"/>
      <c r="W446" s="79"/>
      <c r="Z446" s="130"/>
      <c r="AB446" s="106"/>
    </row>
    <row r="447">
      <c r="C447" s="79"/>
      <c r="D447" s="79"/>
      <c r="E447" s="79"/>
      <c r="M447" s="79"/>
      <c r="R447" s="79"/>
      <c r="S447" s="79"/>
      <c r="V447" s="79"/>
      <c r="W447" s="79"/>
      <c r="Z447" s="130"/>
      <c r="AB447" s="106"/>
    </row>
    <row r="448">
      <c r="C448" s="79"/>
      <c r="D448" s="79"/>
      <c r="E448" s="79"/>
      <c r="M448" s="79"/>
      <c r="R448" s="79"/>
      <c r="S448" s="79"/>
      <c r="V448" s="79"/>
      <c r="W448" s="79"/>
      <c r="Z448" s="130"/>
      <c r="AB448" s="106"/>
    </row>
    <row r="449">
      <c r="C449" s="79"/>
      <c r="D449" s="79"/>
      <c r="E449" s="79"/>
      <c r="M449" s="79"/>
      <c r="R449" s="79"/>
      <c r="S449" s="79"/>
      <c r="V449" s="79"/>
      <c r="W449" s="79"/>
      <c r="Z449" s="130"/>
      <c r="AB449" s="106"/>
    </row>
    <row r="450">
      <c r="C450" s="79"/>
      <c r="D450" s="79"/>
      <c r="E450" s="79"/>
      <c r="M450" s="79"/>
      <c r="R450" s="79"/>
      <c r="S450" s="79"/>
      <c r="V450" s="79"/>
      <c r="W450" s="79"/>
      <c r="Z450" s="130"/>
      <c r="AB450" s="106"/>
    </row>
    <row r="451">
      <c r="C451" s="79"/>
      <c r="D451" s="79"/>
      <c r="E451" s="79"/>
      <c r="M451" s="79"/>
      <c r="R451" s="79"/>
      <c r="S451" s="79"/>
      <c r="V451" s="79"/>
      <c r="W451" s="79"/>
      <c r="Z451" s="130"/>
      <c r="AB451" s="106"/>
    </row>
    <row r="452">
      <c r="C452" s="79"/>
      <c r="D452" s="79"/>
      <c r="E452" s="79"/>
      <c r="M452" s="79"/>
      <c r="R452" s="79"/>
      <c r="S452" s="79"/>
      <c r="V452" s="79"/>
      <c r="W452" s="79"/>
      <c r="Z452" s="130"/>
      <c r="AB452" s="106"/>
    </row>
    <row r="453">
      <c r="C453" s="79"/>
      <c r="D453" s="79"/>
      <c r="E453" s="79"/>
      <c r="M453" s="79"/>
      <c r="R453" s="79"/>
      <c r="S453" s="79"/>
      <c r="V453" s="79"/>
      <c r="W453" s="79"/>
      <c r="Z453" s="130"/>
      <c r="AB453" s="106"/>
    </row>
    <row r="454">
      <c r="C454" s="79"/>
      <c r="D454" s="79"/>
      <c r="E454" s="79"/>
      <c r="M454" s="79"/>
      <c r="R454" s="79"/>
      <c r="S454" s="79"/>
      <c r="V454" s="79"/>
      <c r="W454" s="79"/>
      <c r="Z454" s="130"/>
      <c r="AB454" s="106"/>
    </row>
    <row r="455">
      <c r="C455" s="79"/>
      <c r="D455" s="79"/>
      <c r="E455" s="79"/>
      <c r="M455" s="79"/>
      <c r="R455" s="79"/>
      <c r="S455" s="79"/>
      <c r="V455" s="79"/>
      <c r="W455" s="79"/>
      <c r="Z455" s="130"/>
      <c r="AB455" s="106"/>
    </row>
    <row r="456">
      <c r="C456" s="79"/>
      <c r="D456" s="79"/>
      <c r="E456" s="79"/>
      <c r="M456" s="79"/>
      <c r="R456" s="79"/>
      <c r="S456" s="79"/>
      <c r="V456" s="79"/>
      <c r="W456" s="79"/>
      <c r="Z456" s="130"/>
      <c r="AB456" s="106"/>
    </row>
    <row r="457">
      <c r="C457" s="79"/>
      <c r="D457" s="79"/>
      <c r="E457" s="79"/>
      <c r="M457" s="79"/>
      <c r="R457" s="79"/>
      <c r="S457" s="79"/>
      <c r="V457" s="79"/>
      <c r="W457" s="79"/>
      <c r="Z457" s="130"/>
      <c r="AB457" s="106"/>
    </row>
    <row r="458">
      <c r="C458" s="79"/>
      <c r="D458" s="79"/>
      <c r="E458" s="79"/>
      <c r="M458" s="79"/>
      <c r="R458" s="79"/>
      <c r="S458" s="79"/>
      <c r="V458" s="79"/>
      <c r="W458" s="79"/>
      <c r="Z458" s="130"/>
      <c r="AB458" s="106"/>
    </row>
    <row r="459">
      <c r="C459" s="79"/>
      <c r="D459" s="79"/>
      <c r="E459" s="79"/>
      <c r="M459" s="79"/>
      <c r="R459" s="79"/>
      <c r="S459" s="79"/>
      <c r="V459" s="79"/>
      <c r="W459" s="79"/>
      <c r="Z459" s="130"/>
      <c r="AB459" s="106"/>
    </row>
    <row r="460">
      <c r="C460" s="79"/>
      <c r="D460" s="79"/>
      <c r="E460" s="79"/>
      <c r="M460" s="79"/>
      <c r="R460" s="79"/>
      <c r="S460" s="79"/>
      <c r="V460" s="79"/>
      <c r="W460" s="79"/>
      <c r="Z460" s="130"/>
      <c r="AB460" s="106"/>
    </row>
    <row r="461">
      <c r="C461" s="79"/>
      <c r="D461" s="79"/>
      <c r="E461" s="79"/>
      <c r="M461" s="79"/>
      <c r="R461" s="79"/>
      <c r="S461" s="79"/>
      <c r="V461" s="79"/>
      <c r="W461" s="79"/>
      <c r="Z461" s="130"/>
      <c r="AB461" s="106"/>
    </row>
    <row r="462">
      <c r="C462" s="79"/>
      <c r="D462" s="79"/>
      <c r="E462" s="79"/>
      <c r="M462" s="79"/>
      <c r="R462" s="79"/>
      <c r="S462" s="79"/>
      <c r="V462" s="79"/>
      <c r="W462" s="79"/>
      <c r="Z462" s="130"/>
      <c r="AB462" s="106"/>
    </row>
    <row r="463">
      <c r="C463" s="79"/>
      <c r="D463" s="79"/>
      <c r="E463" s="79"/>
      <c r="M463" s="79"/>
      <c r="R463" s="79"/>
      <c r="S463" s="79"/>
      <c r="V463" s="79"/>
      <c r="W463" s="79"/>
      <c r="Z463" s="130"/>
      <c r="AB463" s="106"/>
    </row>
    <row r="464">
      <c r="C464" s="79"/>
      <c r="D464" s="79"/>
      <c r="E464" s="79"/>
      <c r="M464" s="79"/>
      <c r="R464" s="79"/>
      <c r="S464" s="79"/>
      <c r="V464" s="79"/>
      <c r="W464" s="79"/>
      <c r="Z464" s="130"/>
      <c r="AB464" s="106"/>
    </row>
    <row r="465">
      <c r="C465" s="79"/>
      <c r="D465" s="79"/>
      <c r="E465" s="79"/>
      <c r="M465" s="79"/>
      <c r="R465" s="79"/>
      <c r="S465" s="79"/>
      <c r="V465" s="79"/>
      <c r="W465" s="79"/>
      <c r="Z465" s="130"/>
      <c r="AB465" s="106"/>
    </row>
    <row r="466">
      <c r="C466" s="79"/>
      <c r="D466" s="79"/>
      <c r="E466" s="79"/>
      <c r="M466" s="79"/>
      <c r="R466" s="79"/>
      <c r="S466" s="79"/>
      <c r="V466" s="79"/>
      <c r="W466" s="79"/>
      <c r="Z466" s="130"/>
      <c r="AB466" s="106"/>
    </row>
    <row r="467">
      <c r="C467" s="79"/>
      <c r="D467" s="79"/>
      <c r="E467" s="79"/>
      <c r="M467" s="79"/>
      <c r="R467" s="79"/>
      <c r="S467" s="79"/>
      <c r="V467" s="79"/>
      <c r="W467" s="79"/>
      <c r="Z467" s="130"/>
      <c r="AB467" s="106"/>
    </row>
    <row r="468">
      <c r="C468" s="79"/>
      <c r="D468" s="79"/>
      <c r="E468" s="79"/>
      <c r="M468" s="79"/>
      <c r="R468" s="79"/>
      <c r="S468" s="79"/>
      <c r="V468" s="79"/>
      <c r="W468" s="79"/>
      <c r="Z468" s="130"/>
      <c r="AB468" s="106"/>
    </row>
    <row r="469">
      <c r="C469" s="79"/>
      <c r="D469" s="79"/>
      <c r="E469" s="79"/>
      <c r="M469" s="79"/>
      <c r="R469" s="79"/>
      <c r="S469" s="79"/>
      <c r="V469" s="79"/>
      <c r="W469" s="79"/>
      <c r="Z469" s="130"/>
      <c r="AB469" s="106"/>
    </row>
    <row r="470">
      <c r="C470" s="79"/>
      <c r="D470" s="79"/>
      <c r="E470" s="79"/>
      <c r="M470" s="79"/>
      <c r="R470" s="79"/>
      <c r="S470" s="79"/>
      <c r="V470" s="79"/>
      <c r="W470" s="79"/>
      <c r="Z470" s="130"/>
      <c r="AB470" s="106"/>
    </row>
    <row r="471">
      <c r="C471" s="79"/>
      <c r="D471" s="79"/>
      <c r="E471" s="79"/>
      <c r="M471" s="79"/>
      <c r="R471" s="79"/>
      <c r="S471" s="79"/>
      <c r="V471" s="79"/>
      <c r="W471" s="79"/>
      <c r="Z471" s="130"/>
      <c r="AB471" s="106"/>
    </row>
    <row r="472">
      <c r="C472" s="79"/>
      <c r="D472" s="79"/>
      <c r="E472" s="79"/>
      <c r="M472" s="79"/>
      <c r="R472" s="79"/>
      <c r="S472" s="79"/>
      <c r="V472" s="79"/>
      <c r="W472" s="79"/>
      <c r="Z472" s="130"/>
      <c r="AB472" s="106"/>
    </row>
    <row r="473">
      <c r="C473" s="79"/>
      <c r="D473" s="79"/>
      <c r="E473" s="79"/>
      <c r="M473" s="79"/>
      <c r="R473" s="79"/>
      <c r="S473" s="79"/>
      <c r="V473" s="79"/>
      <c r="W473" s="79"/>
      <c r="Z473" s="130"/>
      <c r="AB473" s="106"/>
    </row>
    <row r="474">
      <c r="C474" s="79"/>
      <c r="D474" s="79"/>
      <c r="E474" s="79"/>
      <c r="M474" s="79"/>
      <c r="R474" s="79"/>
      <c r="S474" s="79"/>
      <c r="V474" s="79"/>
      <c r="W474" s="79"/>
      <c r="Z474" s="130"/>
      <c r="AB474" s="106"/>
    </row>
    <row r="475">
      <c r="C475" s="79"/>
      <c r="D475" s="79"/>
      <c r="E475" s="79"/>
      <c r="M475" s="79"/>
      <c r="R475" s="79"/>
      <c r="S475" s="79"/>
      <c r="V475" s="79"/>
      <c r="W475" s="79"/>
      <c r="Z475" s="130"/>
      <c r="AB475" s="106"/>
    </row>
    <row r="476">
      <c r="C476" s="79"/>
      <c r="D476" s="79"/>
      <c r="E476" s="79"/>
      <c r="M476" s="79"/>
      <c r="R476" s="79"/>
      <c r="S476" s="79"/>
      <c r="V476" s="79"/>
      <c r="W476" s="79"/>
      <c r="Z476" s="130"/>
      <c r="AB476" s="106"/>
    </row>
    <row r="477">
      <c r="C477" s="79"/>
      <c r="D477" s="79"/>
      <c r="E477" s="79"/>
      <c r="M477" s="79"/>
      <c r="R477" s="79"/>
      <c r="S477" s="79"/>
      <c r="V477" s="79"/>
      <c r="W477" s="79"/>
      <c r="Z477" s="130"/>
      <c r="AB477" s="106"/>
    </row>
    <row r="478">
      <c r="C478" s="79"/>
      <c r="D478" s="79"/>
      <c r="E478" s="79"/>
      <c r="M478" s="79"/>
      <c r="R478" s="79"/>
      <c r="S478" s="79"/>
      <c r="V478" s="79"/>
      <c r="W478" s="79"/>
      <c r="Z478" s="130"/>
      <c r="AB478" s="106"/>
    </row>
    <row r="479">
      <c r="C479" s="79"/>
      <c r="D479" s="79"/>
      <c r="E479" s="79"/>
      <c r="M479" s="79"/>
      <c r="R479" s="79"/>
      <c r="S479" s="79"/>
      <c r="V479" s="79"/>
      <c r="W479" s="79"/>
      <c r="Z479" s="130"/>
      <c r="AB479" s="106"/>
    </row>
    <row r="480">
      <c r="C480" s="79"/>
      <c r="D480" s="79"/>
      <c r="E480" s="79"/>
      <c r="M480" s="79"/>
      <c r="R480" s="79"/>
      <c r="S480" s="79"/>
      <c r="V480" s="79"/>
      <c r="W480" s="79"/>
      <c r="Z480" s="130"/>
      <c r="AB480" s="106"/>
    </row>
    <row r="481">
      <c r="C481" s="79"/>
      <c r="D481" s="79"/>
      <c r="E481" s="79"/>
      <c r="M481" s="79"/>
      <c r="R481" s="79"/>
      <c r="S481" s="79"/>
      <c r="V481" s="79"/>
      <c r="W481" s="79"/>
      <c r="Z481" s="130"/>
      <c r="AB481" s="106"/>
    </row>
    <row r="482">
      <c r="C482" s="79"/>
      <c r="D482" s="79"/>
      <c r="E482" s="79"/>
      <c r="M482" s="79"/>
      <c r="R482" s="79"/>
      <c r="S482" s="79"/>
      <c r="V482" s="79"/>
      <c r="W482" s="79"/>
      <c r="Z482" s="130"/>
      <c r="AB482" s="106"/>
    </row>
    <row r="483">
      <c r="C483" s="79"/>
      <c r="D483" s="79"/>
      <c r="E483" s="79"/>
      <c r="M483" s="79"/>
      <c r="R483" s="79"/>
      <c r="S483" s="79"/>
      <c r="V483" s="79"/>
      <c r="W483" s="79"/>
      <c r="Z483" s="130"/>
      <c r="AB483" s="106"/>
    </row>
    <row r="484">
      <c r="C484" s="79"/>
      <c r="D484" s="79"/>
      <c r="E484" s="79"/>
      <c r="M484" s="79"/>
      <c r="R484" s="79"/>
      <c r="S484" s="79"/>
      <c r="V484" s="79"/>
      <c r="W484" s="79"/>
      <c r="Z484" s="130"/>
      <c r="AB484" s="106"/>
    </row>
    <row r="485">
      <c r="C485" s="79"/>
      <c r="D485" s="79"/>
      <c r="E485" s="79"/>
      <c r="M485" s="79"/>
      <c r="R485" s="79"/>
      <c r="S485" s="79"/>
      <c r="V485" s="79"/>
      <c r="W485" s="79"/>
      <c r="Z485" s="130"/>
      <c r="AB485" s="106"/>
    </row>
    <row r="486">
      <c r="C486" s="79"/>
      <c r="D486" s="79"/>
      <c r="E486" s="79"/>
      <c r="M486" s="79"/>
      <c r="R486" s="79"/>
      <c r="S486" s="79"/>
      <c r="V486" s="79"/>
      <c r="W486" s="79"/>
      <c r="Z486" s="130"/>
      <c r="AB486" s="106"/>
    </row>
    <row r="487">
      <c r="C487" s="79"/>
      <c r="D487" s="79"/>
      <c r="E487" s="79"/>
      <c r="M487" s="79"/>
      <c r="R487" s="79"/>
      <c r="S487" s="79"/>
      <c r="V487" s="79"/>
      <c r="W487" s="79"/>
      <c r="Z487" s="130"/>
      <c r="AB487" s="106"/>
    </row>
    <row r="488">
      <c r="C488" s="79"/>
      <c r="D488" s="79"/>
      <c r="E488" s="79"/>
      <c r="M488" s="79"/>
      <c r="R488" s="79"/>
      <c r="S488" s="79"/>
      <c r="V488" s="79"/>
      <c r="W488" s="79"/>
      <c r="Z488" s="130"/>
      <c r="AB488" s="106"/>
    </row>
    <row r="489">
      <c r="C489" s="79"/>
      <c r="D489" s="79"/>
      <c r="E489" s="79"/>
      <c r="M489" s="79"/>
      <c r="R489" s="79"/>
      <c r="S489" s="79"/>
      <c r="V489" s="79"/>
      <c r="W489" s="79"/>
      <c r="Z489" s="130"/>
      <c r="AB489" s="106"/>
    </row>
    <row r="490">
      <c r="C490" s="79"/>
      <c r="D490" s="79"/>
      <c r="E490" s="79"/>
      <c r="M490" s="79"/>
      <c r="R490" s="79"/>
      <c r="S490" s="79"/>
      <c r="V490" s="79"/>
      <c r="W490" s="79"/>
      <c r="Z490" s="130"/>
      <c r="AB490" s="106"/>
    </row>
    <row r="491">
      <c r="C491" s="79"/>
      <c r="D491" s="79"/>
      <c r="E491" s="79"/>
      <c r="M491" s="79"/>
      <c r="R491" s="79"/>
      <c r="S491" s="79"/>
      <c r="V491" s="79"/>
      <c r="W491" s="79"/>
      <c r="Z491" s="130"/>
      <c r="AB491" s="106"/>
    </row>
    <row r="492">
      <c r="C492" s="79"/>
      <c r="D492" s="79"/>
      <c r="E492" s="79"/>
      <c r="M492" s="79"/>
      <c r="R492" s="79"/>
      <c r="S492" s="79"/>
      <c r="V492" s="79"/>
      <c r="W492" s="79"/>
      <c r="Z492" s="130"/>
      <c r="AB492" s="106"/>
    </row>
    <row r="493">
      <c r="C493" s="79"/>
      <c r="D493" s="79"/>
      <c r="E493" s="79"/>
      <c r="M493" s="79"/>
      <c r="R493" s="79"/>
      <c r="S493" s="79"/>
      <c r="V493" s="79"/>
      <c r="W493" s="79"/>
      <c r="Z493" s="130"/>
      <c r="AB493" s="106"/>
    </row>
    <row r="494">
      <c r="C494" s="79"/>
      <c r="D494" s="79"/>
      <c r="E494" s="79"/>
      <c r="M494" s="79"/>
      <c r="R494" s="79"/>
      <c r="S494" s="79"/>
      <c r="V494" s="79"/>
      <c r="W494" s="79"/>
      <c r="Z494" s="130"/>
      <c r="AB494" s="106"/>
    </row>
    <row r="495">
      <c r="C495" s="79"/>
      <c r="D495" s="79"/>
      <c r="E495" s="79"/>
      <c r="M495" s="79"/>
      <c r="R495" s="79"/>
      <c r="S495" s="79"/>
      <c r="V495" s="79"/>
      <c r="W495" s="79"/>
      <c r="Z495" s="130"/>
      <c r="AB495" s="106"/>
    </row>
    <row r="496">
      <c r="C496" s="79"/>
      <c r="D496" s="79"/>
      <c r="E496" s="79"/>
      <c r="M496" s="79"/>
      <c r="R496" s="79"/>
      <c r="S496" s="79"/>
      <c r="V496" s="79"/>
      <c r="W496" s="79"/>
      <c r="Z496" s="130"/>
      <c r="AB496" s="106"/>
    </row>
    <row r="497">
      <c r="C497" s="79"/>
      <c r="D497" s="79"/>
      <c r="E497" s="79"/>
      <c r="M497" s="79"/>
      <c r="R497" s="79"/>
      <c r="S497" s="79"/>
      <c r="V497" s="79"/>
      <c r="W497" s="79"/>
      <c r="Z497" s="130"/>
      <c r="AB497" s="106"/>
    </row>
    <row r="498">
      <c r="C498" s="79"/>
      <c r="D498" s="79"/>
      <c r="E498" s="79"/>
      <c r="M498" s="79"/>
      <c r="R498" s="79"/>
      <c r="S498" s="79"/>
      <c r="V498" s="79"/>
      <c r="W498" s="79"/>
      <c r="Z498" s="130"/>
      <c r="AB498" s="106"/>
    </row>
    <row r="499">
      <c r="C499" s="79"/>
      <c r="D499" s="79"/>
      <c r="E499" s="79"/>
      <c r="M499" s="79"/>
      <c r="R499" s="79"/>
      <c r="S499" s="79"/>
      <c r="V499" s="79"/>
      <c r="W499" s="79"/>
      <c r="Z499" s="130"/>
      <c r="AB499" s="106"/>
    </row>
    <row r="500">
      <c r="C500" s="79"/>
      <c r="D500" s="79"/>
      <c r="E500" s="79"/>
      <c r="M500" s="79"/>
      <c r="R500" s="79"/>
      <c r="S500" s="79"/>
      <c r="V500" s="79"/>
      <c r="W500" s="79"/>
      <c r="Z500" s="130"/>
      <c r="AB500" s="106"/>
    </row>
    <row r="501">
      <c r="C501" s="79"/>
      <c r="D501" s="79"/>
      <c r="E501" s="79"/>
      <c r="M501" s="79"/>
      <c r="R501" s="79"/>
      <c r="S501" s="79"/>
      <c r="V501" s="79"/>
      <c r="W501" s="79"/>
      <c r="Z501" s="130"/>
      <c r="AB501" s="106"/>
    </row>
    <row r="502">
      <c r="C502" s="79"/>
      <c r="D502" s="79"/>
      <c r="E502" s="79"/>
      <c r="M502" s="79"/>
      <c r="R502" s="79"/>
      <c r="S502" s="79"/>
      <c r="V502" s="79"/>
      <c r="W502" s="79"/>
      <c r="Z502" s="130"/>
      <c r="AB502" s="106"/>
    </row>
    <row r="503">
      <c r="C503" s="79"/>
      <c r="D503" s="79"/>
      <c r="E503" s="79"/>
      <c r="M503" s="79"/>
      <c r="R503" s="79"/>
      <c r="S503" s="79"/>
      <c r="V503" s="79"/>
      <c r="W503" s="79"/>
      <c r="Z503" s="130"/>
      <c r="AB503" s="106"/>
    </row>
    <row r="504">
      <c r="C504" s="79"/>
      <c r="D504" s="79"/>
      <c r="E504" s="79"/>
      <c r="M504" s="79"/>
      <c r="R504" s="79"/>
      <c r="S504" s="79"/>
      <c r="V504" s="79"/>
      <c r="W504" s="79"/>
      <c r="Z504" s="130"/>
      <c r="AB504" s="106"/>
    </row>
    <row r="505">
      <c r="C505" s="79"/>
      <c r="D505" s="79"/>
      <c r="E505" s="79"/>
      <c r="M505" s="79"/>
      <c r="R505" s="79"/>
      <c r="S505" s="79"/>
      <c r="V505" s="79"/>
      <c r="W505" s="79"/>
      <c r="Z505" s="130"/>
      <c r="AB505" s="106"/>
    </row>
    <row r="506">
      <c r="C506" s="79"/>
      <c r="D506" s="79"/>
      <c r="E506" s="79"/>
      <c r="M506" s="79"/>
      <c r="R506" s="79"/>
      <c r="S506" s="79"/>
      <c r="V506" s="79"/>
      <c r="W506" s="79"/>
      <c r="Z506" s="130"/>
      <c r="AB506" s="106"/>
    </row>
    <row r="507">
      <c r="C507" s="79"/>
      <c r="D507" s="79"/>
      <c r="E507" s="79"/>
      <c r="M507" s="79"/>
      <c r="R507" s="79"/>
      <c r="S507" s="79"/>
      <c r="V507" s="79"/>
      <c r="W507" s="79"/>
      <c r="Z507" s="130"/>
      <c r="AB507" s="106"/>
    </row>
    <row r="508">
      <c r="C508" s="79"/>
      <c r="D508" s="79"/>
      <c r="E508" s="79"/>
      <c r="M508" s="79"/>
      <c r="R508" s="79"/>
      <c r="S508" s="79"/>
      <c r="V508" s="79"/>
      <c r="W508" s="79"/>
      <c r="Z508" s="130"/>
      <c r="AB508" s="106"/>
    </row>
    <row r="509">
      <c r="C509" s="79"/>
      <c r="D509" s="79"/>
      <c r="E509" s="79"/>
      <c r="M509" s="79"/>
      <c r="R509" s="79"/>
      <c r="S509" s="79"/>
      <c r="V509" s="79"/>
      <c r="W509" s="79"/>
      <c r="Z509" s="130"/>
      <c r="AB509" s="106"/>
    </row>
    <row r="510">
      <c r="C510" s="79"/>
      <c r="D510" s="79"/>
      <c r="E510" s="79"/>
      <c r="M510" s="79"/>
      <c r="R510" s="79"/>
      <c r="S510" s="79"/>
      <c r="V510" s="79"/>
      <c r="W510" s="79"/>
      <c r="Z510" s="130"/>
      <c r="AB510" s="106"/>
    </row>
    <row r="511">
      <c r="C511" s="79"/>
      <c r="D511" s="79"/>
      <c r="E511" s="79"/>
      <c r="M511" s="79"/>
      <c r="R511" s="79"/>
      <c r="S511" s="79"/>
      <c r="V511" s="79"/>
      <c r="W511" s="79"/>
      <c r="Z511" s="130"/>
      <c r="AB511" s="106"/>
    </row>
    <row r="512">
      <c r="C512" s="79"/>
      <c r="D512" s="79"/>
      <c r="E512" s="79"/>
      <c r="M512" s="79"/>
      <c r="R512" s="79"/>
      <c r="S512" s="79"/>
      <c r="V512" s="79"/>
      <c r="W512" s="79"/>
      <c r="Z512" s="130"/>
      <c r="AB512" s="106"/>
    </row>
    <row r="513">
      <c r="C513" s="79"/>
      <c r="D513" s="79"/>
      <c r="E513" s="79"/>
      <c r="M513" s="79"/>
      <c r="R513" s="79"/>
      <c r="S513" s="79"/>
      <c r="V513" s="79"/>
      <c r="W513" s="79"/>
      <c r="Z513" s="130"/>
      <c r="AB513" s="106"/>
    </row>
    <row r="514">
      <c r="C514" s="79"/>
      <c r="D514" s="79"/>
      <c r="E514" s="79"/>
      <c r="M514" s="79"/>
      <c r="R514" s="79"/>
      <c r="S514" s="79"/>
      <c r="V514" s="79"/>
      <c r="W514" s="79"/>
      <c r="Z514" s="130"/>
      <c r="AB514" s="106"/>
    </row>
    <row r="515">
      <c r="C515" s="79"/>
      <c r="D515" s="79"/>
      <c r="E515" s="79"/>
      <c r="M515" s="79"/>
      <c r="R515" s="79"/>
      <c r="S515" s="79"/>
      <c r="V515" s="79"/>
      <c r="W515" s="79"/>
      <c r="Z515" s="130"/>
      <c r="AB515" s="106"/>
    </row>
    <row r="516">
      <c r="C516" s="79"/>
      <c r="D516" s="79"/>
      <c r="E516" s="79"/>
      <c r="M516" s="79"/>
      <c r="R516" s="79"/>
      <c r="S516" s="79"/>
      <c r="V516" s="79"/>
      <c r="W516" s="79"/>
      <c r="Z516" s="130"/>
      <c r="AB516" s="106"/>
    </row>
    <row r="517">
      <c r="C517" s="79"/>
      <c r="D517" s="79"/>
      <c r="E517" s="79"/>
      <c r="M517" s="79"/>
      <c r="R517" s="79"/>
      <c r="S517" s="79"/>
      <c r="V517" s="79"/>
      <c r="W517" s="79"/>
      <c r="Z517" s="130"/>
      <c r="AB517" s="106"/>
    </row>
    <row r="518">
      <c r="C518" s="79"/>
      <c r="D518" s="79"/>
      <c r="E518" s="79"/>
      <c r="M518" s="79"/>
      <c r="R518" s="79"/>
      <c r="S518" s="79"/>
      <c r="V518" s="79"/>
      <c r="W518" s="79"/>
      <c r="Z518" s="130"/>
      <c r="AB518" s="106"/>
    </row>
    <row r="519">
      <c r="C519" s="79"/>
      <c r="D519" s="79"/>
      <c r="E519" s="79"/>
      <c r="M519" s="79"/>
      <c r="R519" s="79"/>
      <c r="S519" s="79"/>
      <c r="V519" s="79"/>
      <c r="W519" s="79"/>
      <c r="Z519" s="130"/>
      <c r="AB519" s="106"/>
    </row>
    <row r="520">
      <c r="C520" s="79"/>
      <c r="D520" s="79"/>
      <c r="E520" s="79"/>
      <c r="M520" s="79"/>
      <c r="R520" s="79"/>
      <c r="S520" s="79"/>
      <c r="V520" s="79"/>
      <c r="W520" s="79"/>
      <c r="Z520" s="130"/>
      <c r="AB520" s="106"/>
    </row>
    <row r="521">
      <c r="C521" s="79"/>
      <c r="D521" s="79"/>
      <c r="E521" s="79"/>
      <c r="M521" s="79"/>
      <c r="R521" s="79"/>
      <c r="S521" s="79"/>
      <c r="V521" s="79"/>
      <c r="W521" s="79"/>
      <c r="Z521" s="130"/>
      <c r="AB521" s="106"/>
    </row>
    <row r="522">
      <c r="C522" s="79"/>
      <c r="D522" s="79"/>
      <c r="E522" s="79"/>
      <c r="M522" s="79"/>
      <c r="R522" s="79"/>
      <c r="S522" s="79"/>
      <c r="V522" s="79"/>
      <c r="W522" s="79"/>
      <c r="Z522" s="130"/>
      <c r="AB522" s="106"/>
    </row>
    <row r="523">
      <c r="C523" s="79"/>
      <c r="D523" s="79"/>
      <c r="E523" s="79"/>
      <c r="M523" s="79"/>
      <c r="R523" s="79"/>
      <c r="S523" s="79"/>
      <c r="V523" s="79"/>
      <c r="W523" s="79"/>
      <c r="Z523" s="130"/>
      <c r="AB523" s="106"/>
    </row>
    <row r="524">
      <c r="C524" s="79"/>
      <c r="D524" s="79"/>
      <c r="E524" s="79"/>
      <c r="M524" s="79"/>
      <c r="R524" s="79"/>
      <c r="S524" s="79"/>
      <c r="V524" s="79"/>
      <c r="W524" s="79"/>
      <c r="Z524" s="130"/>
      <c r="AB524" s="106"/>
    </row>
    <row r="525">
      <c r="C525" s="79"/>
      <c r="D525" s="79"/>
      <c r="E525" s="79"/>
      <c r="M525" s="79"/>
      <c r="R525" s="79"/>
      <c r="S525" s="79"/>
      <c r="V525" s="79"/>
      <c r="W525" s="79"/>
      <c r="Z525" s="130"/>
      <c r="AB525" s="106"/>
    </row>
    <row r="526">
      <c r="C526" s="79"/>
      <c r="D526" s="79"/>
      <c r="E526" s="79"/>
      <c r="M526" s="79"/>
      <c r="R526" s="79"/>
      <c r="S526" s="79"/>
      <c r="V526" s="79"/>
      <c r="W526" s="79"/>
      <c r="Z526" s="130"/>
      <c r="AB526" s="106"/>
    </row>
    <row r="527">
      <c r="C527" s="79"/>
      <c r="D527" s="79"/>
      <c r="E527" s="79"/>
      <c r="M527" s="79"/>
      <c r="R527" s="79"/>
      <c r="S527" s="79"/>
      <c r="V527" s="79"/>
      <c r="W527" s="79"/>
      <c r="Z527" s="130"/>
      <c r="AB527" s="106"/>
    </row>
    <row r="528">
      <c r="C528" s="79"/>
      <c r="D528" s="79"/>
      <c r="E528" s="79"/>
      <c r="M528" s="79"/>
      <c r="R528" s="79"/>
      <c r="S528" s="79"/>
      <c r="V528" s="79"/>
      <c r="W528" s="79"/>
      <c r="Z528" s="130"/>
      <c r="AB528" s="106"/>
    </row>
    <row r="529">
      <c r="C529" s="79"/>
      <c r="D529" s="79"/>
      <c r="E529" s="79"/>
      <c r="M529" s="79"/>
      <c r="R529" s="79"/>
      <c r="S529" s="79"/>
      <c r="V529" s="79"/>
      <c r="W529" s="79"/>
      <c r="Z529" s="130"/>
      <c r="AB529" s="106"/>
    </row>
    <row r="530">
      <c r="C530" s="79"/>
      <c r="D530" s="79"/>
      <c r="E530" s="79"/>
      <c r="M530" s="79"/>
      <c r="R530" s="79"/>
      <c r="S530" s="79"/>
      <c r="V530" s="79"/>
      <c r="W530" s="79"/>
      <c r="Z530" s="130"/>
      <c r="AB530" s="106"/>
    </row>
    <row r="531">
      <c r="C531" s="79"/>
      <c r="D531" s="79"/>
      <c r="E531" s="79"/>
      <c r="M531" s="79"/>
      <c r="R531" s="79"/>
      <c r="S531" s="79"/>
      <c r="V531" s="79"/>
      <c r="W531" s="79"/>
      <c r="Z531" s="130"/>
      <c r="AB531" s="106"/>
    </row>
    <row r="532">
      <c r="C532" s="79"/>
      <c r="D532" s="79"/>
      <c r="E532" s="79"/>
      <c r="M532" s="79"/>
      <c r="R532" s="79"/>
      <c r="S532" s="79"/>
      <c r="V532" s="79"/>
      <c r="W532" s="79"/>
      <c r="Z532" s="130"/>
      <c r="AB532" s="106"/>
    </row>
    <row r="533">
      <c r="C533" s="79"/>
      <c r="D533" s="79"/>
      <c r="E533" s="79"/>
      <c r="M533" s="79"/>
      <c r="R533" s="79"/>
      <c r="S533" s="79"/>
      <c r="V533" s="79"/>
      <c r="W533" s="79"/>
      <c r="Z533" s="130"/>
      <c r="AB533" s="106"/>
    </row>
    <row r="534">
      <c r="C534" s="79"/>
      <c r="D534" s="79"/>
      <c r="E534" s="79"/>
      <c r="M534" s="79"/>
      <c r="R534" s="79"/>
      <c r="S534" s="79"/>
      <c r="V534" s="79"/>
      <c r="W534" s="79"/>
      <c r="Z534" s="130"/>
      <c r="AB534" s="106"/>
    </row>
    <row r="535">
      <c r="C535" s="79"/>
      <c r="D535" s="79"/>
      <c r="E535" s="79"/>
      <c r="M535" s="79"/>
      <c r="R535" s="79"/>
      <c r="S535" s="79"/>
      <c r="V535" s="79"/>
      <c r="W535" s="79"/>
      <c r="Z535" s="130"/>
      <c r="AB535" s="106"/>
    </row>
    <row r="536">
      <c r="C536" s="79"/>
      <c r="D536" s="79"/>
      <c r="E536" s="79"/>
      <c r="M536" s="79"/>
      <c r="R536" s="79"/>
      <c r="S536" s="79"/>
      <c r="V536" s="79"/>
      <c r="W536" s="79"/>
      <c r="Z536" s="130"/>
      <c r="AB536" s="106"/>
    </row>
    <row r="537">
      <c r="C537" s="79"/>
      <c r="D537" s="79"/>
      <c r="E537" s="79"/>
      <c r="M537" s="79"/>
      <c r="R537" s="79"/>
      <c r="S537" s="79"/>
      <c r="V537" s="79"/>
      <c r="W537" s="79"/>
      <c r="Z537" s="130"/>
      <c r="AB537" s="106"/>
    </row>
    <row r="538">
      <c r="C538" s="79"/>
      <c r="D538" s="79"/>
      <c r="E538" s="79"/>
      <c r="M538" s="79"/>
      <c r="R538" s="79"/>
      <c r="S538" s="79"/>
      <c r="V538" s="79"/>
      <c r="W538" s="79"/>
      <c r="Z538" s="130"/>
      <c r="AB538" s="106"/>
    </row>
    <row r="539">
      <c r="C539" s="79"/>
      <c r="D539" s="79"/>
      <c r="E539" s="79"/>
      <c r="M539" s="79"/>
      <c r="R539" s="79"/>
      <c r="S539" s="79"/>
      <c r="V539" s="79"/>
      <c r="W539" s="79"/>
      <c r="Z539" s="130"/>
      <c r="AB539" s="106"/>
    </row>
    <row r="540">
      <c r="C540" s="79"/>
      <c r="D540" s="79"/>
      <c r="E540" s="79"/>
      <c r="M540" s="79"/>
      <c r="R540" s="79"/>
      <c r="S540" s="79"/>
      <c r="V540" s="79"/>
      <c r="W540" s="79"/>
      <c r="Z540" s="130"/>
      <c r="AB540" s="106"/>
    </row>
    <row r="541">
      <c r="C541" s="79"/>
      <c r="D541" s="79"/>
      <c r="E541" s="79"/>
      <c r="M541" s="79"/>
      <c r="R541" s="79"/>
      <c r="S541" s="79"/>
      <c r="V541" s="79"/>
      <c r="W541" s="79"/>
      <c r="Z541" s="130"/>
      <c r="AB541" s="106"/>
    </row>
    <row r="542">
      <c r="C542" s="79"/>
      <c r="D542" s="79"/>
      <c r="E542" s="79"/>
      <c r="M542" s="79"/>
      <c r="R542" s="79"/>
      <c r="S542" s="79"/>
      <c r="V542" s="79"/>
      <c r="W542" s="79"/>
      <c r="Z542" s="130"/>
      <c r="AB542" s="106"/>
    </row>
    <row r="543">
      <c r="C543" s="79"/>
      <c r="D543" s="79"/>
      <c r="E543" s="79"/>
      <c r="M543" s="79"/>
      <c r="R543" s="79"/>
      <c r="S543" s="79"/>
      <c r="V543" s="79"/>
      <c r="W543" s="79"/>
      <c r="Z543" s="130"/>
      <c r="AB543" s="106"/>
    </row>
    <row r="544">
      <c r="C544" s="79"/>
      <c r="D544" s="79"/>
      <c r="E544" s="79"/>
      <c r="M544" s="79"/>
      <c r="R544" s="79"/>
      <c r="S544" s="79"/>
      <c r="V544" s="79"/>
      <c r="W544" s="79"/>
      <c r="Z544" s="130"/>
      <c r="AB544" s="106"/>
    </row>
    <row r="545">
      <c r="C545" s="79"/>
      <c r="D545" s="79"/>
      <c r="E545" s="79"/>
      <c r="M545" s="79"/>
      <c r="R545" s="79"/>
      <c r="S545" s="79"/>
      <c r="V545" s="79"/>
      <c r="W545" s="79"/>
      <c r="Z545" s="130"/>
      <c r="AB545" s="106"/>
    </row>
    <row r="546">
      <c r="C546" s="79"/>
      <c r="D546" s="79"/>
      <c r="E546" s="79"/>
      <c r="M546" s="79"/>
      <c r="R546" s="79"/>
      <c r="S546" s="79"/>
      <c r="V546" s="79"/>
      <c r="W546" s="79"/>
      <c r="Z546" s="130"/>
      <c r="AB546" s="106"/>
    </row>
    <row r="547">
      <c r="C547" s="79"/>
      <c r="D547" s="79"/>
      <c r="E547" s="79"/>
      <c r="M547" s="79"/>
      <c r="R547" s="79"/>
      <c r="S547" s="79"/>
      <c r="V547" s="79"/>
      <c r="W547" s="79"/>
      <c r="Z547" s="130"/>
      <c r="AB547" s="106"/>
    </row>
    <row r="548">
      <c r="C548" s="79"/>
      <c r="D548" s="79"/>
      <c r="E548" s="79"/>
      <c r="M548" s="79"/>
      <c r="R548" s="79"/>
      <c r="S548" s="79"/>
      <c r="V548" s="79"/>
      <c r="W548" s="79"/>
      <c r="Z548" s="130"/>
      <c r="AB548" s="106"/>
    </row>
    <row r="549">
      <c r="C549" s="79"/>
      <c r="D549" s="79"/>
      <c r="E549" s="79"/>
      <c r="M549" s="79"/>
      <c r="R549" s="79"/>
      <c r="S549" s="79"/>
      <c r="V549" s="79"/>
      <c r="W549" s="79"/>
      <c r="Z549" s="130"/>
      <c r="AB549" s="106"/>
    </row>
    <row r="550">
      <c r="C550" s="79"/>
      <c r="D550" s="79"/>
      <c r="E550" s="79"/>
      <c r="M550" s="79"/>
      <c r="R550" s="79"/>
      <c r="S550" s="79"/>
      <c r="V550" s="79"/>
      <c r="W550" s="79"/>
      <c r="Z550" s="130"/>
      <c r="AB550" s="106"/>
    </row>
    <row r="551">
      <c r="C551" s="79"/>
      <c r="D551" s="79"/>
      <c r="E551" s="79"/>
      <c r="M551" s="79"/>
      <c r="R551" s="79"/>
      <c r="S551" s="79"/>
      <c r="V551" s="79"/>
      <c r="W551" s="79"/>
      <c r="Z551" s="130"/>
      <c r="AB551" s="106"/>
    </row>
    <row r="552">
      <c r="C552" s="79"/>
      <c r="D552" s="79"/>
      <c r="E552" s="79"/>
      <c r="M552" s="79"/>
      <c r="R552" s="79"/>
      <c r="S552" s="79"/>
      <c r="V552" s="79"/>
      <c r="W552" s="79"/>
      <c r="Z552" s="130"/>
      <c r="AB552" s="106"/>
    </row>
    <row r="553">
      <c r="C553" s="79"/>
      <c r="D553" s="79"/>
      <c r="E553" s="79"/>
      <c r="M553" s="79"/>
      <c r="R553" s="79"/>
      <c r="S553" s="79"/>
      <c r="V553" s="79"/>
      <c r="W553" s="79"/>
      <c r="Z553" s="130"/>
      <c r="AB553" s="106"/>
    </row>
    <row r="554">
      <c r="C554" s="79"/>
      <c r="D554" s="79"/>
      <c r="E554" s="79"/>
      <c r="M554" s="79"/>
      <c r="R554" s="79"/>
      <c r="S554" s="79"/>
      <c r="V554" s="79"/>
      <c r="W554" s="79"/>
      <c r="Z554" s="130"/>
      <c r="AB554" s="106"/>
    </row>
    <row r="555">
      <c r="C555" s="79"/>
      <c r="D555" s="79"/>
      <c r="E555" s="79"/>
      <c r="M555" s="79"/>
      <c r="R555" s="79"/>
      <c r="S555" s="79"/>
      <c r="V555" s="79"/>
      <c r="W555" s="79"/>
      <c r="Z555" s="130"/>
      <c r="AB555" s="106"/>
    </row>
    <row r="556">
      <c r="C556" s="79"/>
      <c r="D556" s="79"/>
      <c r="E556" s="79"/>
      <c r="M556" s="79"/>
      <c r="R556" s="79"/>
      <c r="S556" s="79"/>
      <c r="V556" s="79"/>
      <c r="W556" s="79"/>
      <c r="Z556" s="130"/>
      <c r="AB556" s="106"/>
    </row>
    <row r="557">
      <c r="C557" s="79"/>
      <c r="D557" s="79"/>
      <c r="E557" s="79"/>
      <c r="M557" s="79"/>
      <c r="R557" s="79"/>
      <c r="S557" s="79"/>
      <c r="V557" s="79"/>
      <c r="W557" s="79"/>
      <c r="Z557" s="130"/>
      <c r="AB557" s="106"/>
    </row>
    <row r="558">
      <c r="C558" s="79"/>
      <c r="D558" s="79"/>
      <c r="E558" s="79"/>
      <c r="M558" s="79"/>
      <c r="R558" s="79"/>
      <c r="S558" s="79"/>
      <c r="V558" s="79"/>
      <c r="W558" s="79"/>
      <c r="Z558" s="130"/>
      <c r="AB558" s="106"/>
    </row>
    <row r="559">
      <c r="C559" s="79"/>
      <c r="D559" s="79"/>
      <c r="E559" s="79"/>
      <c r="M559" s="79"/>
      <c r="R559" s="79"/>
      <c r="S559" s="79"/>
      <c r="V559" s="79"/>
      <c r="W559" s="79"/>
      <c r="Z559" s="130"/>
      <c r="AB559" s="106"/>
    </row>
    <row r="560">
      <c r="C560" s="79"/>
      <c r="D560" s="79"/>
      <c r="E560" s="79"/>
      <c r="M560" s="79"/>
      <c r="R560" s="79"/>
      <c r="S560" s="79"/>
      <c r="V560" s="79"/>
      <c r="W560" s="79"/>
      <c r="Z560" s="130"/>
      <c r="AB560" s="106"/>
    </row>
    <row r="561">
      <c r="C561" s="79"/>
      <c r="D561" s="79"/>
      <c r="E561" s="79"/>
      <c r="M561" s="79"/>
      <c r="R561" s="79"/>
      <c r="S561" s="79"/>
      <c r="V561" s="79"/>
      <c r="W561" s="79"/>
      <c r="Z561" s="130"/>
      <c r="AB561" s="106"/>
    </row>
    <row r="562">
      <c r="C562" s="79"/>
      <c r="D562" s="79"/>
      <c r="E562" s="79"/>
      <c r="M562" s="79"/>
      <c r="R562" s="79"/>
      <c r="S562" s="79"/>
      <c r="V562" s="79"/>
      <c r="W562" s="79"/>
      <c r="Z562" s="130"/>
      <c r="AB562" s="106"/>
    </row>
    <row r="563">
      <c r="C563" s="79"/>
      <c r="D563" s="79"/>
      <c r="E563" s="79"/>
      <c r="M563" s="79"/>
      <c r="R563" s="79"/>
      <c r="S563" s="79"/>
      <c r="V563" s="79"/>
      <c r="W563" s="79"/>
      <c r="Z563" s="130"/>
      <c r="AB563" s="106"/>
    </row>
    <row r="564">
      <c r="C564" s="79"/>
      <c r="D564" s="79"/>
      <c r="E564" s="79"/>
      <c r="M564" s="79"/>
      <c r="R564" s="79"/>
      <c r="S564" s="79"/>
      <c r="V564" s="79"/>
      <c r="W564" s="79"/>
      <c r="Z564" s="130"/>
      <c r="AB564" s="106"/>
    </row>
    <row r="565">
      <c r="C565" s="79"/>
      <c r="D565" s="79"/>
      <c r="E565" s="79"/>
      <c r="M565" s="79"/>
      <c r="R565" s="79"/>
      <c r="S565" s="79"/>
      <c r="V565" s="79"/>
      <c r="W565" s="79"/>
      <c r="Z565" s="130"/>
      <c r="AB565" s="106"/>
    </row>
    <row r="566">
      <c r="C566" s="79"/>
      <c r="D566" s="79"/>
      <c r="E566" s="79"/>
      <c r="M566" s="79"/>
      <c r="R566" s="79"/>
      <c r="S566" s="79"/>
      <c r="V566" s="79"/>
      <c r="W566" s="79"/>
      <c r="Z566" s="130"/>
      <c r="AB566" s="106"/>
    </row>
    <row r="567">
      <c r="C567" s="79"/>
      <c r="D567" s="79"/>
      <c r="E567" s="79"/>
      <c r="M567" s="79"/>
      <c r="R567" s="79"/>
      <c r="S567" s="79"/>
      <c r="V567" s="79"/>
      <c r="W567" s="79"/>
      <c r="Z567" s="130"/>
      <c r="AB567" s="106"/>
    </row>
    <row r="568">
      <c r="C568" s="79"/>
      <c r="D568" s="79"/>
      <c r="E568" s="79"/>
      <c r="M568" s="79"/>
      <c r="R568" s="79"/>
      <c r="S568" s="79"/>
      <c r="V568" s="79"/>
      <c r="W568" s="79"/>
      <c r="Z568" s="130"/>
      <c r="AB568" s="106"/>
    </row>
    <row r="569">
      <c r="C569" s="79"/>
      <c r="D569" s="79"/>
      <c r="E569" s="79"/>
      <c r="M569" s="79"/>
      <c r="R569" s="79"/>
      <c r="S569" s="79"/>
      <c r="V569" s="79"/>
      <c r="W569" s="79"/>
      <c r="Z569" s="130"/>
      <c r="AB569" s="106"/>
    </row>
    <row r="570">
      <c r="C570" s="79"/>
      <c r="D570" s="79"/>
      <c r="E570" s="79"/>
      <c r="M570" s="79"/>
      <c r="R570" s="79"/>
      <c r="S570" s="79"/>
      <c r="V570" s="79"/>
      <c r="W570" s="79"/>
      <c r="Z570" s="130"/>
      <c r="AB570" s="106"/>
    </row>
    <row r="571">
      <c r="C571" s="79"/>
      <c r="D571" s="79"/>
      <c r="E571" s="79"/>
      <c r="M571" s="79"/>
      <c r="R571" s="79"/>
      <c r="S571" s="79"/>
      <c r="V571" s="79"/>
      <c r="W571" s="79"/>
      <c r="Z571" s="130"/>
      <c r="AB571" s="106"/>
    </row>
    <row r="572">
      <c r="C572" s="79"/>
      <c r="D572" s="79"/>
      <c r="E572" s="79"/>
      <c r="M572" s="79"/>
      <c r="R572" s="79"/>
      <c r="S572" s="79"/>
      <c r="V572" s="79"/>
      <c r="W572" s="79"/>
      <c r="Z572" s="130"/>
      <c r="AB572" s="106"/>
    </row>
    <row r="573">
      <c r="C573" s="79"/>
      <c r="D573" s="79"/>
      <c r="E573" s="79"/>
      <c r="M573" s="79"/>
      <c r="R573" s="79"/>
      <c r="S573" s="79"/>
      <c r="V573" s="79"/>
      <c r="W573" s="79"/>
      <c r="Z573" s="130"/>
      <c r="AB573" s="106"/>
    </row>
    <row r="574">
      <c r="C574" s="79"/>
      <c r="D574" s="79"/>
      <c r="E574" s="79"/>
      <c r="M574" s="79"/>
      <c r="R574" s="79"/>
      <c r="S574" s="79"/>
      <c r="V574" s="79"/>
      <c r="W574" s="79"/>
      <c r="Z574" s="130"/>
      <c r="AB574" s="106"/>
    </row>
    <row r="575">
      <c r="C575" s="79"/>
      <c r="D575" s="79"/>
      <c r="E575" s="79"/>
      <c r="M575" s="79"/>
      <c r="R575" s="79"/>
      <c r="S575" s="79"/>
      <c r="V575" s="79"/>
      <c r="W575" s="79"/>
      <c r="Z575" s="130"/>
      <c r="AB575" s="106"/>
    </row>
    <row r="576">
      <c r="C576" s="79"/>
      <c r="D576" s="79"/>
      <c r="E576" s="79"/>
      <c r="M576" s="79"/>
      <c r="R576" s="79"/>
      <c r="S576" s="79"/>
      <c r="V576" s="79"/>
      <c r="W576" s="79"/>
      <c r="Z576" s="130"/>
      <c r="AB576" s="106"/>
    </row>
    <row r="577">
      <c r="C577" s="79"/>
      <c r="D577" s="79"/>
      <c r="E577" s="79"/>
      <c r="M577" s="79"/>
      <c r="R577" s="79"/>
      <c r="S577" s="79"/>
      <c r="V577" s="79"/>
      <c r="W577" s="79"/>
      <c r="Z577" s="130"/>
      <c r="AB577" s="106"/>
    </row>
    <row r="578">
      <c r="C578" s="79"/>
      <c r="D578" s="79"/>
      <c r="E578" s="79"/>
      <c r="M578" s="79"/>
      <c r="R578" s="79"/>
      <c r="S578" s="79"/>
      <c r="V578" s="79"/>
      <c r="W578" s="79"/>
      <c r="Z578" s="130"/>
      <c r="AB578" s="106"/>
    </row>
    <row r="579">
      <c r="C579" s="79"/>
      <c r="D579" s="79"/>
      <c r="E579" s="79"/>
      <c r="M579" s="79"/>
      <c r="R579" s="79"/>
      <c r="S579" s="79"/>
      <c r="V579" s="79"/>
      <c r="W579" s="79"/>
      <c r="Z579" s="130"/>
      <c r="AB579" s="106"/>
    </row>
    <row r="580">
      <c r="C580" s="79"/>
      <c r="D580" s="79"/>
      <c r="E580" s="79"/>
      <c r="M580" s="79"/>
      <c r="R580" s="79"/>
      <c r="S580" s="79"/>
      <c r="V580" s="79"/>
      <c r="W580" s="79"/>
      <c r="Z580" s="130"/>
      <c r="AB580" s="106"/>
    </row>
    <row r="581">
      <c r="C581" s="79"/>
      <c r="D581" s="79"/>
      <c r="E581" s="79"/>
      <c r="M581" s="79"/>
      <c r="R581" s="79"/>
      <c r="S581" s="79"/>
      <c r="V581" s="79"/>
      <c r="W581" s="79"/>
      <c r="Z581" s="130"/>
      <c r="AB581" s="106"/>
    </row>
    <row r="582">
      <c r="C582" s="79"/>
      <c r="D582" s="79"/>
      <c r="E582" s="79"/>
      <c r="M582" s="79"/>
      <c r="R582" s="79"/>
      <c r="S582" s="79"/>
      <c r="V582" s="79"/>
      <c r="W582" s="79"/>
      <c r="Z582" s="130"/>
      <c r="AB582" s="106"/>
    </row>
    <row r="583">
      <c r="C583" s="79"/>
      <c r="D583" s="79"/>
      <c r="E583" s="79"/>
      <c r="M583" s="79"/>
      <c r="R583" s="79"/>
      <c r="S583" s="79"/>
      <c r="V583" s="79"/>
      <c r="W583" s="79"/>
      <c r="Z583" s="130"/>
      <c r="AB583" s="106"/>
    </row>
    <row r="584">
      <c r="C584" s="79"/>
      <c r="D584" s="79"/>
      <c r="E584" s="79"/>
      <c r="M584" s="79"/>
      <c r="R584" s="79"/>
      <c r="S584" s="79"/>
      <c r="V584" s="79"/>
      <c r="W584" s="79"/>
      <c r="Z584" s="130"/>
      <c r="AB584" s="106"/>
    </row>
    <row r="585">
      <c r="C585" s="79"/>
      <c r="D585" s="79"/>
      <c r="E585" s="79"/>
      <c r="M585" s="79"/>
      <c r="R585" s="79"/>
      <c r="S585" s="79"/>
      <c r="V585" s="79"/>
      <c r="W585" s="79"/>
      <c r="Z585" s="130"/>
      <c r="AB585" s="106"/>
    </row>
    <row r="586">
      <c r="C586" s="79"/>
      <c r="D586" s="79"/>
      <c r="E586" s="79"/>
      <c r="M586" s="79"/>
      <c r="R586" s="79"/>
      <c r="S586" s="79"/>
      <c r="V586" s="79"/>
      <c r="W586" s="79"/>
      <c r="Z586" s="130"/>
      <c r="AB586" s="106"/>
    </row>
    <row r="587">
      <c r="C587" s="79"/>
      <c r="D587" s="79"/>
      <c r="E587" s="79"/>
      <c r="M587" s="79"/>
      <c r="R587" s="79"/>
      <c r="S587" s="79"/>
      <c r="V587" s="79"/>
      <c r="W587" s="79"/>
      <c r="Z587" s="130"/>
      <c r="AB587" s="106"/>
    </row>
    <row r="588">
      <c r="C588" s="79"/>
      <c r="D588" s="79"/>
      <c r="E588" s="79"/>
      <c r="M588" s="79"/>
      <c r="R588" s="79"/>
      <c r="S588" s="79"/>
      <c r="V588" s="79"/>
      <c r="W588" s="79"/>
      <c r="Z588" s="130"/>
      <c r="AB588" s="106"/>
    </row>
    <row r="589">
      <c r="C589" s="79"/>
      <c r="D589" s="79"/>
      <c r="E589" s="79"/>
      <c r="M589" s="79"/>
      <c r="R589" s="79"/>
      <c r="S589" s="79"/>
      <c r="V589" s="79"/>
      <c r="W589" s="79"/>
      <c r="Z589" s="130"/>
      <c r="AB589" s="106"/>
    </row>
    <row r="590">
      <c r="C590" s="79"/>
      <c r="D590" s="79"/>
      <c r="E590" s="79"/>
      <c r="M590" s="79"/>
      <c r="R590" s="79"/>
      <c r="S590" s="79"/>
      <c r="V590" s="79"/>
      <c r="W590" s="79"/>
      <c r="Z590" s="130"/>
      <c r="AB590" s="106"/>
    </row>
    <row r="591">
      <c r="C591" s="79"/>
      <c r="D591" s="79"/>
      <c r="E591" s="79"/>
      <c r="M591" s="79"/>
      <c r="R591" s="79"/>
      <c r="S591" s="79"/>
      <c r="V591" s="79"/>
      <c r="W591" s="79"/>
      <c r="Z591" s="130"/>
      <c r="AB591" s="106"/>
    </row>
    <row r="592">
      <c r="C592" s="79"/>
      <c r="D592" s="79"/>
      <c r="E592" s="79"/>
      <c r="M592" s="79"/>
      <c r="R592" s="79"/>
      <c r="S592" s="79"/>
      <c r="V592" s="79"/>
      <c r="W592" s="79"/>
      <c r="Z592" s="130"/>
      <c r="AB592" s="106"/>
    </row>
    <row r="593">
      <c r="C593" s="79"/>
      <c r="D593" s="79"/>
      <c r="E593" s="79"/>
      <c r="M593" s="79"/>
      <c r="R593" s="79"/>
      <c r="S593" s="79"/>
      <c r="V593" s="79"/>
      <c r="W593" s="79"/>
      <c r="Z593" s="130"/>
      <c r="AB593" s="106"/>
    </row>
    <row r="594">
      <c r="C594" s="79"/>
      <c r="D594" s="79"/>
      <c r="E594" s="79"/>
      <c r="M594" s="79"/>
      <c r="R594" s="79"/>
      <c r="S594" s="79"/>
      <c r="V594" s="79"/>
      <c r="W594" s="79"/>
      <c r="Z594" s="130"/>
      <c r="AB594" s="106"/>
    </row>
    <row r="595">
      <c r="C595" s="79"/>
      <c r="D595" s="79"/>
      <c r="E595" s="79"/>
      <c r="M595" s="79"/>
      <c r="R595" s="79"/>
      <c r="S595" s="79"/>
      <c r="V595" s="79"/>
      <c r="W595" s="79"/>
      <c r="Z595" s="130"/>
      <c r="AB595" s="106"/>
    </row>
    <row r="596">
      <c r="C596" s="79"/>
      <c r="D596" s="79"/>
      <c r="E596" s="79"/>
      <c r="M596" s="79"/>
      <c r="R596" s="79"/>
      <c r="S596" s="79"/>
      <c r="V596" s="79"/>
      <c r="W596" s="79"/>
      <c r="Z596" s="130"/>
      <c r="AB596" s="106"/>
    </row>
    <row r="597">
      <c r="C597" s="79"/>
      <c r="D597" s="79"/>
      <c r="E597" s="79"/>
      <c r="M597" s="79"/>
      <c r="R597" s="79"/>
      <c r="S597" s="79"/>
      <c r="V597" s="79"/>
      <c r="W597" s="79"/>
      <c r="Z597" s="130"/>
      <c r="AB597" s="106"/>
    </row>
    <row r="598">
      <c r="C598" s="79"/>
      <c r="D598" s="79"/>
      <c r="E598" s="79"/>
      <c r="M598" s="79"/>
      <c r="R598" s="79"/>
      <c r="S598" s="79"/>
      <c r="V598" s="79"/>
      <c r="W598" s="79"/>
      <c r="Z598" s="130"/>
      <c r="AB598" s="106"/>
    </row>
    <row r="599">
      <c r="C599" s="79"/>
      <c r="D599" s="79"/>
      <c r="E599" s="79"/>
      <c r="M599" s="79"/>
      <c r="R599" s="79"/>
      <c r="S599" s="79"/>
      <c r="V599" s="79"/>
      <c r="W599" s="79"/>
      <c r="Z599" s="130"/>
      <c r="AB599" s="106"/>
    </row>
    <row r="600">
      <c r="C600" s="79"/>
      <c r="D600" s="79"/>
      <c r="E600" s="79"/>
      <c r="M600" s="79"/>
      <c r="R600" s="79"/>
      <c r="S600" s="79"/>
      <c r="V600" s="79"/>
      <c r="W600" s="79"/>
      <c r="Z600" s="130"/>
      <c r="AB600" s="106"/>
    </row>
    <row r="601">
      <c r="C601" s="79"/>
      <c r="D601" s="79"/>
      <c r="E601" s="79"/>
      <c r="M601" s="79"/>
      <c r="R601" s="79"/>
      <c r="S601" s="79"/>
      <c r="V601" s="79"/>
      <c r="W601" s="79"/>
      <c r="Z601" s="130"/>
      <c r="AB601" s="106"/>
    </row>
    <row r="602">
      <c r="C602" s="79"/>
      <c r="D602" s="79"/>
      <c r="E602" s="79"/>
      <c r="M602" s="79"/>
      <c r="R602" s="79"/>
      <c r="S602" s="79"/>
      <c r="V602" s="79"/>
      <c r="W602" s="79"/>
      <c r="Z602" s="130"/>
      <c r="AB602" s="106"/>
    </row>
    <row r="603">
      <c r="C603" s="79"/>
      <c r="D603" s="79"/>
      <c r="E603" s="79"/>
      <c r="M603" s="79"/>
      <c r="R603" s="79"/>
      <c r="S603" s="79"/>
      <c r="V603" s="79"/>
      <c r="W603" s="79"/>
      <c r="Z603" s="130"/>
      <c r="AB603" s="106"/>
    </row>
    <row r="604">
      <c r="C604" s="79"/>
      <c r="D604" s="79"/>
      <c r="E604" s="79"/>
      <c r="M604" s="79"/>
      <c r="R604" s="79"/>
      <c r="S604" s="79"/>
      <c r="V604" s="79"/>
      <c r="W604" s="79"/>
      <c r="Z604" s="130"/>
      <c r="AB604" s="106"/>
    </row>
    <row r="605">
      <c r="C605" s="79"/>
      <c r="D605" s="79"/>
      <c r="E605" s="79"/>
      <c r="M605" s="79"/>
      <c r="R605" s="79"/>
      <c r="S605" s="79"/>
      <c r="V605" s="79"/>
      <c r="W605" s="79"/>
      <c r="Z605" s="130"/>
      <c r="AB605" s="106"/>
    </row>
    <row r="606">
      <c r="C606" s="79"/>
      <c r="D606" s="79"/>
      <c r="E606" s="79"/>
      <c r="M606" s="79"/>
      <c r="R606" s="79"/>
      <c r="S606" s="79"/>
      <c r="V606" s="79"/>
      <c r="W606" s="79"/>
      <c r="Z606" s="130"/>
      <c r="AB606" s="106"/>
    </row>
    <row r="607">
      <c r="C607" s="79"/>
      <c r="D607" s="79"/>
      <c r="E607" s="79"/>
      <c r="M607" s="79"/>
      <c r="R607" s="79"/>
      <c r="S607" s="79"/>
      <c r="V607" s="79"/>
      <c r="W607" s="79"/>
      <c r="Z607" s="130"/>
      <c r="AB607" s="106"/>
    </row>
    <row r="608">
      <c r="C608" s="79"/>
      <c r="D608" s="79"/>
      <c r="E608" s="79"/>
      <c r="M608" s="79"/>
      <c r="R608" s="79"/>
      <c r="S608" s="79"/>
      <c r="V608" s="79"/>
      <c r="W608" s="79"/>
      <c r="Z608" s="130"/>
      <c r="AB608" s="106"/>
    </row>
    <row r="609">
      <c r="C609" s="79"/>
      <c r="D609" s="79"/>
      <c r="E609" s="79"/>
      <c r="M609" s="79"/>
      <c r="R609" s="79"/>
      <c r="S609" s="79"/>
      <c r="V609" s="79"/>
      <c r="W609" s="79"/>
      <c r="Z609" s="130"/>
      <c r="AB609" s="106"/>
    </row>
    <row r="610">
      <c r="C610" s="79"/>
      <c r="D610" s="79"/>
      <c r="E610" s="79"/>
      <c r="M610" s="79"/>
      <c r="R610" s="79"/>
      <c r="S610" s="79"/>
      <c r="V610" s="79"/>
      <c r="W610" s="79"/>
      <c r="Z610" s="130"/>
      <c r="AB610" s="106"/>
    </row>
    <row r="611">
      <c r="C611" s="79"/>
      <c r="D611" s="79"/>
      <c r="E611" s="79"/>
      <c r="M611" s="79"/>
      <c r="R611" s="79"/>
      <c r="S611" s="79"/>
      <c r="V611" s="79"/>
      <c r="W611" s="79"/>
      <c r="Z611" s="130"/>
      <c r="AB611" s="106"/>
    </row>
    <row r="612">
      <c r="C612" s="79"/>
      <c r="D612" s="79"/>
      <c r="E612" s="79"/>
      <c r="M612" s="79"/>
      <c r="R612" s="79"/>
      <c r="S612" s="79"/>
      <c r="V612" s="79"/>
      <c r="W612" s="79"/>
      <c r="Z612" s="130"/>
      <c r="AB612" s="106"/>
    </row>
    <row r="613">
      <c r="C613" s="79"/>
      <c r="D613" s="79"/>
      <c r="E613" s="79"/>
      <c r="M613" s="79"/>
      <c r="R613" s="79"/>
      <c r="S613" s="79"/>
      <c r="V613" s="79"/>
      <c r="W613" s="79"/>
      <c r="Z613" s="130"/>
      <c r="AB613" s="106"/>
    </row>
    <row r="614">
      <c r="C614" s="79"/>
      <c r="D614" s="79"/>
      <c r="E614" s="79"/>
      <c r="M614" s="79"/>
      <c r="R614" s="79"/>
      <c r="S614" s="79"/>
      <c r="V614" s="79"/>
      <c r="W614" s="79"/>
      <c r="Z614" s="130"/>
      <c r="AB614" s="106"/>
    </row>
    <row r="615">
      <c r="C615" s="79"/>
      <c r="D615" s="79"/>
      <c r="E615" s="79"/>
      <c r="M615" s="79"/>
      <c r="R615" s="79"/>
      <c r="S615" s="79"/>
      <c r="V615" s="79"/>
      <c r="W615" s="79"/>
      <c r="Z615" s="130"/>
      <c r="AB615" s="106"/>
    </row>
    <row r="616">
      <c r="C616" s="79"/>
      <c r="D616" s="79"/>
      <c r="E616" s="79"/>
      <c r="M616" s="79"/>
      <c r="R616" s="79"/>
      <c r="S616" s="79"/>
      <c r="V616" s="79"/>
      <c r="W616" s="79"/>
      <c r="Z616" s="130"/>
      <c r="AB616" s="106"/>
    </row>
    <row r="617">
      <c r="C617" s="79"/>
      <c r="D617" s="79"/>
      <c r="E617" s="79"/>
      <c r="M617" s="79"/>
      <c r="R617" s="79"/>
      <c r="S617" s="79"/>
      <c r="V617" s="79"/>
      <c r="W617" s="79"/>
      <c r="Z617" s="130"/>
      <c r="AB617" s="106"/>
    </row>
    <row r="618">
      <c r="C618" s="79"/>
      <c r="D618" s="79"/>
      <c r="E618" s="79"/>
      <c r="M618" s="79"/>
      <c r="R618" s="79"/>
      <c r="S618" s="79"/>
      <c r="V618" s="79"/>
      <c r="W618" s="79"/>
      <c r="Z618" s="130"/>
      <c r="AB618" s="106"/>
    </row>
    <row r="619">
      <c r="C619" s="79"/>
      <c r="D619" s="79"/>
      <c r="E619" s="79"/>
      <c r="M619" s="79"/>
      <c r="R619" s="79"/>
      <c r="S619" s="79"/>
      <c r="V619" s="79"/>
      <c r="W619" s="79"/>
      <c r="Z619" s="130"/>
      <c r="AB619" s="106"/>
    </row>
    <row r="620">
      <c r="C620" s="79"/>
      <c r="D620" s="79"/>
      <c r="E620" s="79"/>
      <c r="M620" s="79"/>
      <c r="R620" s="79"/>
      <c r="S620" s="79"/>
      <c r="V620" s="79"/>
      <c r="W620" s="79"/>
      <c r="Z620" s="130"/>
      <c r="AB620" s="106"/>
    </row>
    <row r="621">
      <c r="C621" s="79"/>
      <c r="D621" s="79"/>
      <c r="E621" s="79"/>
      <c r="M621" s="79"/>
      <c r="R621" s="79"/>
      <c r="S621" s="79"/>
      <c r="V621" s="79"/>
      <c r="W621" s="79"/>
      <c r="Z621" s="130"/>
      <c r="AB621" s="106"/>
    </row>
    <row r="622">
      <c r="C622" s="79"/>
      <c r="D622" s="79"/>
      <c r="E622" s="79"/>
      <c r="M622" s="79"/>
      <c r="R622" s="79"/>
      <c r="S622" s="79"/>
      <c r="V622" s="79"/>
      <c r="W622" s="79"/>
      <c r="Z622" s="130"/>
      <c r="AB622" s="106"/>
    </row>
    <row r="623">
      <c r="C623" s="79"/>
      <c r="D623" s="79"/>
      <c r="E623" s="79"/>
      <c r="M623" s="79"/>
      <c r="R623" s="79"/>
      <c r="S623" s="79"/>
      <c r="V623" s="79"/>
      <c r="W623" s="79"/>
      <c r="Z623" s="130"/>
      <c r="AB623" s="106"/>
    </row>
    <row r="624">
      <c r="C624" s="79"/>
      <c r="D624" s="79"/>
      <c r="E624" s="79"/>
      <c r="M624" s="79"/>
      <c r="R624" s="79"/>
      <c r="S624" s="79"/>
      <c r="V624" s="79"/>
      <c r="W624" s="79"/>
      <c r="Z624" s="130"/>
      <c r="AB624" s="106"/>
    </row>
    <row r="625">
      <c r="C625" s="79"/>
      <c r="D625" s="79"/>
      <c r="E625" s="79"/>
      <c r="M625" s="79"/>
      <c r="R625" s="79"/>
      <c r="S625" s="79"/>
      <c r="V625" s="79"/>
      <c r="W625" s="79"/>
      <c r="Z625" s="130"/>
      <c r="AB625" s="106"/>
    </row>
    <row r="626">
      <c r="C626" s="79"/>
      <c r="D626" s="79"/>
      <c r="E626" s="79"/>
      <c r="M626" s="79"/>
      <c r="R626" s="79"/>
      <c r="S626" s="79"/>
      <c r="V626" s="79"/>
      <c r="W626" s="79"/>
      <c r="Z626" s="130"/>
      <c r="AB626" s="106"/>
    </row>
    <row r="627">
      <c r="C627" s="79"/>
      <c r="D627" s="79"/>
      <c r="E627" s="79"/>
      <c r="M627" s="79"/>
      <c r="R627" s="79"/>
      <c r="S627" s="79"/>
      <c r="V627" s="79"/>
      <c r="W627" s="79"/>
      <c r="Z627" s="130"/>
      <c r="AB627" s="106"/>
    </row>
    <row r="628">
      <c r="C628" s="79"/>
      <c r="D628" s="79"/>
      <c r="E628" s="79"/>
      <c r="M628" s="79"/>
      <c r="R628" s="79"/>
      <c r="S628" s="79"/>
      <c r="V628" s="79"/>
      <c r="W628" s="79"/>
      <c r="Z628" s="130"/>
      <c r="AB628" s="106"/>
    </row>
    <row r="629">
      <c r="C629" s="79"/>
      <c r="D629" s="79"/>
      <c r="E629" s="79"/>
      <c r="M629" s="79"/>
      <c r="R629" s="79"/>
      <c r="S629" s="79"/>
      <c r="V629" s="79"/>
      <c r="W629" s="79"/>
      <c r="Z629" s="130"/>
      <c r="AB629" s="106"/>
    </row>
    <row r="630">
      <c r="C630" s="79"/>
      <c r="D630" s="79"/>
      <c r="E630" s="79"/>
      <c r="M630" s="79"/>
      <c r="R630" s="79"/>
      <c r="S630" s="79"/>
      <c r="V630" s="79"/>
      <c r="W630" s="79"/>
      <c r="Z630" s="130"/>
      <c r="AB630" s="106"/>
    </row>
    <row r="631">
      <c r="C631" s="79"/>
      <c r="D631" s="79"/>
      <c r="E631" s="79"/>
      <c r="M631" s="79"/>
      <c r="R631" s="79"/>
      <c r="S631" s="79"/>
      <c r="V631" s="79"/>
      <c r="W631" s="79"/>
      <c r="Z631" s="130"/>
      <c r="AB631" s="106"/>
    </row>
    <row r="632">
      <c r="C632" s="79"/>
      <c r="D632" s="79"/>
      <c r="E632" s="79"/>
      <c r="M632" s="79"/>
      <c r="R632" s="79"/>
      <c r="S632" s="79"/>
      <c r="V632" s="79"/>
      <c r="W632" s="79"/>
      <c r="Z632" s="130"/>
      <c r="AB632" s="106"/>
    </row>
    <row r="633">
      <c r="C633" s="79"/>
      <c r="D633" s="79"/>
      <c r="E633" s="79"/>
      <c r="M633" s="79"/>
      <c r="R633" s="79"/>
      <c r="S633" s="79"/>
      <c r="V633" s="79"/>
      <c r="W633" s="79"/>
      <c r="Z633" s="130"/>
      <c r="AB633" s="106"/>
    </row>
    <row r="634">
      <c r="C634" s="79"/>
      <c r="D634" s="79"/>
      <c r="E634" s="79"/>
      <c r="M634" s="79"/>
      <c r="R634" s="79"/>
      <c r="S634" s="79"/>
      <c r="V634" s="79"/>
      <c r="W634" s="79"/>
      <c r="Z634" s="130"/>
      <c r="AB634" s="106"/>
    </row>
    <row r="635">
      <c r="C635" s="79"/>
      <c r="D635" s="79"/>
      <c r="E635" s="79"/>
      <c r="M635" s="79"/>
      <c r="R635" s="79"/>
      <c r="S635" s="79"/>
      <c r="V635" s="79"/>
      <c r="W635" s="79"/>
      <c r="Z635" s="130"/>
      <c r="AB635" s="106"/>
    </row>
    <row r="636">
      <c r="C636" s="79"/>
      <c r="D636" s="79"/>
      <c r="E636" s="79"/>
      <c r="M636" s="79"/>
      <c r="R636" s="79"/>
      <c r="S636" s="79"/>
      <c r="V636" s="79"/>
      <c r="W636" s="79"/>
      <c r="Z636" s="130"/>
      <c r="AB636" s="106"/>
    </row>
    <row r="637">
      <c r="C637" s="79"/>
      <c r="D637" s="79"/>
      <c r="E637" s="79"/>
      <c r="M637" s="79"/>
      <c r="R637" s="79"/>
      <c r="S637" s="79"/>
      <c r="V637" s="79"/>
      <c r="W637" s="79"/>
      <c r="Z637" s="130"/>
      <c r="AB637" s="106"/>
    </row>
    <row r="638">
      <c r="C638" s="79"/>
      <c r="D638" s="79"/>
      <c r="E638" s="79"/>
      <c r="M638" s="79"/>
      <c r="R638" s="79"/>
      <c r="S638" s="79"/>
      <c r="V638" s="79"/>
      <c r="W638" s="79"/>
      <c r="Z638" s="130"/>
      <c r="AB638" s="106"/>
    </row>
    <row r="639">
      <c r="C639" s="79"/>
      <c r="D639" s="79"/>
      <c r="E639" s="79"/>
      <c r="M639" s="79"/>
      <c r="R639" s="79"/>
      <c r="S639" s="79"/>
      <c r="V639" s="79"/>
      <c r="W639" s="79"/>
      <c r="Z639" s="130"/>
      <c r="AB639" s="106"/>
    </row>
    <row r="640">
      <c r="C640" s="79"/>
      <c r="D640" s="79"/>
      <c r="E640" s="79"/>
      <c r="M640" s="79"/>
      <c r="R640" s="79"/>
      <c r="S640" s="79"/>
      <c r="V640" s="79"/>
      <c r="W640" s="79"/>
      <c r="Z640" s="130"/>
      <c r="AB640" s="106"/>
    </row>
    <row r="641">
      <c r="C641" s="79"/>
      <c r="D641" s="79"/>
      <c r="E641" s="79"/>
      <c r="M641" s="79"/>
      <c r="R641" s="79"/>
      <c r="S641" s="79"/>
      <c r="V641" s="79"/>
      <c r="W641" s="79"/>
      <c r="Z641" s="130"/>
      <c r="AB641" s="106"/>
    </row>
    <row r="642">
      <c r="C642" s="79"/>
      <c r="D642" s="79"/>
      <c r="E642" s="79"/>
      <c r="M642" s="79"/>
      <c r="R642" s="79"/>
      <c r="S642" s="79"/>
      <c r="V642" s="79"/>
      <c r="W642" s="79"/>
      <c r="Z642" s="130"/>
      <c r="AB642" s="106"/>
    </row>
    <row r="643">
      <c r="C643" s="79"/>
      <c r="D643" s="79"/>
      <c r="E643" s="79"/>
      <c r="M643" s="79"/>
      <c r="R643" s="79"/>
      <c r="S643" s="79"/>
      <c r="V643" s="79"/>
      <c r="W643" s="79"/>
      <c r="Z643" s="130"/>
      <c r="AB643" s="106"/>
    </row>
    <row r="644">
      <c r="C644" s="79"/>
      <c r="D644" s="79"/>
      <c r="E644" s="79"/>
      <c r="M644" s="79"/>
      <c r="R644" s="79"/>
      <c r="S644" s="79"/>
      <c r="V644" s="79"/>
      <c r="W644" s="79"/>
      <c r="Z644" s="130"/>
      <c r="AB644" s="106"/>
    </row>
    <row r="645">
      <c r="C645" s="79"/>
      <c r="D645" s="79"/>
      <c r="E645" s="79"/>
      <c r="M645" s="79"/>
      <c r="R645" s="79"/>
      <c r="S645" s="79"/>
      <c r="V645" s="79"/>
      <c r="W645" s="79"/>
      <c r="Z645" s="130"/>
      <c r="AB645" s="106"/>
    </row>
    <row r="646">
      <c r="C646" s="79"/>
      <c r="D646" s="79"/>
      <c r="E646" s="79"/>
      <c r="M646" s="79"/>
      <c r="R646" s="79"/>
      <c r="S646" s="79"/>
      <c r="V646" s="79"/>
      <c r="W646" s="79"/>
      <c r="Z646" s="130"/>
      <c r="AB646" s="106"/>
    </row>
    <row r="647">
      <c r="C647" s="79"/>
      <c r="D647" s="79"/>
      <c r="E647" s="79"/>
      <c r="M647" s="79"/>
      <c r="R647" s="79"/>
      <c r="S647" s="79"/>
      <c r="V647" s="79"/>
      <c r="W647" s="79"/>
      <c r="Z647" s="130"/>
      <c r="AB647" s="106"/>
    </row>
    <row r="648">
      <c r="C648" s="79"/>
      <c r="D648" s="79"/>
      <c r="E648" s="79"/>
      <c r="M648" s="79"/>
      <c r="R648" s="79"/>
      <c r="S648" s="79"/>
      <c r="V648" s="79"/>
      <c r="W648" s="79"/>
      <c r="Z648" s="130"/>
      <c r="AB648" s="106"/>
    </row>
    <row r="649">
      <c r="C649" s="79"/>
      <c r="D649" s="79"/>
      <c r="E649" s="79"/>
      <c r="M649" s="79"/>
      <c r="R649" s="79"/>
      <c r="S649" s="79"/>
      <c r="V649" s="79"/>
      <c r="W649" s="79"/>
      <c r="Z649" s="130"/>
      <c r="AB649" s="106"/>
    </row>
    <row r="650">
      <c r="C650" s="79"/>
      <c r="D650" s="79"/>
      <c r="E650" s="79"/>
      <c r="M650" s="79"/>
      <c r="R650" s="79"/>
      <c r="S650" s="79"/>
      <c r="V650" s="79"/>
      <c r="W650" s="79"/>
      <c r="Z650" s="130"/>
      <c r="AB650" s="106"/>
    </row>
    <row r="651">
      <c r="C651" s="79"/>
      <c r="D651" s="79"/>
      <c r="E651" s="79"/>
      <c r="M651" s="79"/>
      <c r="R651" s="79"/>
      <c r="S651" s="79"/>
      <c r="V651" s="79"/>
      <c r="W651" s="79"/>
      <c r="Z651" s="130"/>
      <c r="AB651" s="106"/>
    </row>
    <row r="652">
      <c r="C652" s="79"/>
      <c r="D652" s="79"/>
      <c r="E652" s="79"/>
      <c r="M652" s="79"/>
      <c r="R652" s="79"/>
      <c r="S652" s="79"/>
      <c r="V652" s="79"/>
      <c r="W652" s="79"/>
      <c r="Z652" s="130"/>
      <c r="AB652" s="106"/>
    </row>
    <row r="653">
      <c r="C653" s="79"/>
      <c r="D653" s="79"/>
      <c r="E653" s="79"/>
      <c r="M653" s="79"/>
      <c r="R653" s="79"/>
      <c r="S653" s="79"/>
      <c r="V653" s="79"/>
      <c r="W653" s="79"/>
      <c r="Z653" s="130"/>
      <c r="AB653" s="106"/>
    </row>
    <row r="654">
      <c r="C654" s="79"/>
      <c r="D654" s="79"/>
      <c r="E654" s="79"/>
      <c r="M654" s="79"/>
      <c r="R654" s="79"/>
      <c r="S654" s="79"/>
      <c r="V654" s="79"/>
      <c r="W654" s="79"/>
      <c r="Z654" s="130"/>
      <c r="AB654" s="106"/>
    </row>
    <row r="655">
      <c r="C655" s="79"/>
      <c r="D655" s="79"/>
      <c r="E655" s="79"/>
      <c r="M655" s="79"/>
      <c r="R655" s="79"/>
      <c r="S655" s="79"/>
      <c r="V655" s="79"/>
      <c r="W655" s="79"/>
      <c r="Z655" s="130"/>
      <c r="AB655" s="106"/>
    </row>
    <row r="656">
      <c r="C656" s="79"/>
      <c r="D656" s="79"/>
      <c r="E656" s="79"/>
      <c r="M656" s="79"/>
      <c r="R656" s="79"/>
      <c r="S656" s="79"/>
      <c r="V656" s="79"/>
      <c r="W656" s="79"/>
      <c r="Z656" s="130"/>
      <c r="AB656" s="106"/>
    </row>
    <row r="657">
      <c r="C657" s="79"/>
      <c r="D657" s="79"/>
      <c r="E657" s="79"/>
      <c r="M657" s="79"/>
      <c r="R657" s="79"/>
      <c r="S657" s="79"/>
      <c r="V657" s="79"/>
      <c r="W657" s="79"/>
      <c r="Z657" s="130"/>
      <c r="AB657" s="106"/>
    </row>
    <row r="658">
      <c r="C658" s="79"/>
      <c r="D658" s="79"/>
      <c r="E658" s="79"/>
      <c r="M658" s="79"/>
      <c r="R658" s="79"/>
      <c r="S658" s="79"/>
      <c r="V658" s="79"/>
      <c r="W658" s="79"/>
      <c r="Z658" s="130"/>
      <c r="AB658" s="106"/>
    </row>
    <row r="659">
      <c r="C659" s="79"/>
      <c r="D659" s="79"/>
      <c r="E659" s="79"/>
      <c r="M659" s="79"/>
      <c r="R659" s="79"/>
      <c r="S659" s="79"/>
      <c r="V659" s="79"/>
      <c r="W659" s="79"/>
      <c r="Z659" s="130"/>
      <c r="AB659" s="106"/>
    </row>
    <row r="660">
      <c r="C660" s="79"/>
      <c r="D660" s="79"/>
      <c r="E660" s="79"/>
      <c r="M660" s="79"/>
      <c r="R660" s="79"/>
      <c r="S660" s="79"/>
      <c r="V660" s="79"/>
      <c r="W660" s="79"/>
      <c r="Z660" s="130"/>
      <c r="AB660" s="106"/>
    </row>
    <row r="661">
      <c r="C661" s="79"/>
      <c r="D661" s="79"/>
      <c r="E661" s="79"/>
      <c r="M661" s="79"/>
      <c r="R661" s="79"/>
      <c r="S661" s="79"/>
      <c r="V661" s="79"/>
      <c r="W661" s="79"/>
      <c r="Z661" s="130"/>
      <c r="AB661" s="106"/>
    </row>
    <row r="662">
      <c r="C662" s="79"/>
      <c r="D662" s="79"/>
      <c r="E662" s="79"/>
      <c r="M662" s="79"/>
      <c r="R662" s="79"/>
      <c r="S662" s="79"/>
      <c r="V662" s="79"/>
      <c r="W662" s="79"/>
      <c r="Z662" s="130"/>
      <c r="AB662" s="106"/>
    </row>
    <row r="663">
      <c r="C663" s="79"/>
      <c r="D663" s="79"/>
      <c r="E663" s="79"/>
      <c r="M663" s="79"/>
      <c r="R663" s="79"/>
      <c r="S663" s="79"/>
      <c r="V663" s="79"/>
      <c r="W663" s="79"/>
      <c r="Z663" s="130"/>
      <c r="AB663" s="106"/>
    </row>
    <row r="664">
      <c r="C664" s="79"/>
      <c r="D664" s="79"/>
      <c r="E664" s="79"/>
      <c r="M664" s="79"/>
      <c r="R664" s="79"/>
      <c r="S664" s="79"/>
      <c r="V664" s="79"/>
      <c r="W664" s="79"/>
      <c r="Z664" s="130"/>
      <c r="AB664" s="106"/>
    </row>
    <row r="665">
      <c r="C665" s="79"/>
      <c r="D665" s="79"/>
      <c r="E665" s="79"/>
      <c r="M665" s="79"/>
      <c r="R665" s="79"/>
      <c r="S665" s="79"/>
      <c r="V665" s="79"/>
      <c r="W665" s="79"/>
      <c r="Z665" s="130"/>
      <c r="AB665" s="106"/>
    </row>
    <row r="666">
      <c r="C666" s="79"/>
      <c r="D666" s="79"/>
      <c r="E666" s="79"/>
      <c r="M666" s="79"/>
      <c r="R666" s="79"/>
      <c r="S666" s="79"/>
      <c r="V666" s="79"/>
      <c r="W666" s="79"/>
      <c r="Z666" s="130"/>
      <c r="AB666" s="106"/>
    </row>
    <row r="667">
      <c r="C667" s="79"/>
      <c r="D667" s="79"/>
      <c r="E667" s="79"/>
      <c r="M667" s="79"/>
      <c r="R667" s="79"/>
      <c r="S667" s="79"/>
      <c r="V667" s="79"/>
      <c r="W667" s="79"/>
      <c r="Z667" s="130"/>
      <c r="AB667" s="106"/>
    </row>
    <row r="668">
      <c r="C668" s="79"/>
      <c r="D668" s="79"/>
      <c r="E668" s="79"/>
      <c r="M668" s="79"/>
      <c r="R668" s="79"/>
      <c r="S668" s="79"/>
      <c r="V668" s="79"/>
      <c r="W668" s="79"/>
      <c r="Z668" s="130"/>
      <c r="AB668" s="106"/>
    </row>
    <row r="669">
      <c r="C669" s="79"/>
      <c r="D669" s="79"/>
      <c r="E669" s="79"/>
      <c r="M669" s="79"/>
      <c r="R669" s="79"/>
      <c r="S669" s="79"/>
      <c r="V669" s="79"/>
      <c r="W669" s="79"/>
      <c r="Z669" s="130"/>
      <c r="AB669" s="106"/>
    </row>
    <row r="670">
      <c r="C670" s="79"/>
      <c r="D670" s="79"/>
      <c r="E670" s="79"/>
      <c r="M670" s="79"/>
      <c r="R670" s="79"/>
      <c r="S670" s="79"/>
      <c r="V670" s="79"/>
      <c r="W670" s="79"/>
      <c r="Z670" s="130"/>
      <c r="AB670" s="106"/>
    </row>
    <row r="671">
      <c r="C671" s="79"/>
      <c r="D671" s="79"/>
      <c r="E671" s="79"/>
      <c r="M671" s="79"/>
      <c r="R671" s="79"/>
      <c r="S671" s="79"/>
      <c r="V671" s="79"/>
      <c r="W671" s="79"/>
      <c r="Z671" s="130"/>
      <c r="AB671" s="106"/>
    </row>
    <row r="672">
      <c r="C672" s="79"/>
      <c r="D672" s="79"/>
      <c r="E672" s="79"/>
      <c r="M672" s="79"/>
      <c r="R672" s="79"/>
      <c r="S672" s="79"/>
      <c r="V672" s="79"/>
      <c r="W672" s="79"/>
      <c r="Z672" s="130"/>
      <c r="AB672" s="106"/>
    </row>
    <row r="673">
      <c r="C673" s="79"/>
      <c r="D673" s="79"/>
      <c r="E673" s="79"/>
      <c r="M673" s="79"/>
      <c r="R673" s="79"/>
      <c r="S673" s="79"/>
      <c r="V673" s="79"/>
      <c r="W673" s="79"/>
      <c r="Z673" s="130"/>
      <c r="AB673" s="106"/>
    </row>
    <row r="674">
      <c r="C674" s="79"/>
      <c r="D674" s="79"/>
      <c r="E674" s="79"/>
      <c r="M674" s="79"/>
      <c r="R674" s="79"/>
      <c r="S674" s="79"/>
      <c r="V674" s="79"/>
      <c r="W674" s="79"/>
      <c r="Z674" s="130"/>
      <c r="AB674" s="106"/>
    </row>
    <row r="675">
      <c r="C675" s="79"/>
      <c r="D675" s="79"/>
      <c r="E675" s="79"/>
      <c r="M675" s="79"/>
      <c r="R675" s="79"/>
      <c r="S675" s="79"/>
      <c r="V675" s="79"/>
      <c r="W675" s="79"/>
      <c r="Z675" s="130"/>
      <c r="AB675" s="106"/>
    </row>
    <row r="676">
      <c r="C676" s="79"/>
      <c r="D676" s="79"/>
      <c r="E676" s="79"/>
      <c r="M676" s="79"/>
      <c r="R676" s="79"/>
      <c r="S676" s="79"/>
      <c r="V676" s="79"/>
      <c r="W676" s="79"/>
      <c r="Z676" s="130"/>
      <c r="AB676" s="106"/>
    </row>
    <row r="677">
      <c r="C677" s="79"/>
      <c r="D677" s="79"/>
      <c r="E677" s="79"/>
      <c r="M677" s="79"/>
      <c r="R677" s="79"/>
      <c r="S677" s="79"/>
      <c r="V677" s="79"/>
      <c r="W677" s="79"/>
      <c r="Z677" s="130"/>
      <c r="AB677" s="106"/>
    </row>
    <row r="678">
      <c r="C678" s="79"/>
      <c r="D678" s="79"/>
      <c r="E678" s="79"/>
      <c r="M678" s="79"/>
      <c r="R678" s="79"/>
      <c r="S678" s="79"/>
      <c r="V678" s="79"/>
      <c r="W678" s="79"/>
      <c r="Z678" s="130"/>
      <c r="AB678" s="106"/>
    </row>
    <row r="679">
      <c r="C679" s="79"/>
      <c r="D679" s="79"/>
      <c r="E679" s="79"/>
      <c r="M679" s="79"/>
      <c r="R679" s="79"/>
      <c r="S679" s="79"/>
      <c r="V679" s="79"/>
      <c r="W679" s="79"/>
      <c r="Z679" s="130"/>
      <c r="AB679" s="106"/>
    </row>
    <row r="680">
      <c r="C680" s="79"/>
      <c r="D680" s="79"/>
      <c r="E680" s="79"/>
      <c r="M680" s="79"/>
      <c r="R680" s="79"/>
      <c r="S680" s="79"/>
      <c r="V680" s="79"/>
      <c r="W680" s="79"/>
      <c r="Z680" s="130"/>
      <c r="AB680" s="106"/>
    </row>
    <row r="681">
      <c r="C681" s="79"/>
      <c r="D681" s="79"/>
      <c r="E681" s="79"/>
      <c r="M681" s="79"/>
      <c r="R681" s="79"/>
      <c r="S681" s="79"/>
      <c r="V681" s="79"/>
      <c r="W681" s="79"/>
      <c r="Z681" s="130"/>
      <c r="AB681" s="106"/>
    </row>
    <row r="682">
      <c r="C682" s="79"/>
      <c r="D682" s="79"/>
      <c r="E682" s="79"/>
      <c r="M682" s="79"/>
      <c r="R682" s="79"/>
      <c r="S682" s="79"/>
      <c r="V682" s="79"/>
      <c r="W682" s="79"/>
      <c r="Z682" s="130"/>
      <c r="AB682" s="106"/>
    </row>
    <row r="683">
      <c r="C683" s="79"/>
      <c r="D683" s="79"/>
      <c r="E683" s="79"/>
      <c r="M683" s="79"/>
      <c r="R683" s="79"/>
      <c r="S683" s="79"/>
      <c r="V683" s="79"/>
      <c r="W683" s="79"/>
      <c r="Z683" s="130"/>
      <c r="AB683" s="106"/>
    </row>
    <row r="684">
      <c r="C684" s="79"/>
      <c r="D684" s="79"/>
      <c r="E684" s="79"/>
      <c r="M684" s="79"/>
      <c r="R684" s="79"/>
      <c r="S684" s="79"/>
      <c r="V684" s="79"/>
      <c r="W684" s="79"/>
      <c r="Z684" s="130"/>
      <c r="AB684" s="106"/>
    </row>
    <row r="685">
      <c r="C685" s="79"/>
      <c r="D685" s="79"/>
      <c r="E685" s="79"/>
      <c r="M685" s="79"/>
      <c r="R685" s="79"/>
      <c r="S685" s="79"/>
      <c r="V685" s="79"/>
      <c r="W685" s="79"/>
      <c r="Z685" s="130"/>
      <c r="AB685" s="106"/>
    </row>
    <row r="686">
      <c r="C686" s="79"/>
      <c r="D686" s="79"/>
      <c r="E686" s="79"/>
      <c r="M686" s="79"/>
      <c r="R686" s="79"/>
      <c r="S686" s="79"/>
      <c r="V686" s="79"/>
      <c r="W686" s="79"/>
      <c r="Z686" s="130"/>
      <c r="AB686" s="106"/>
    </row>
    <row r="687">
      <c r="C687" s="79"/>
      <c r="D687" s="79"/>
      <c r="E687" s="79"/>
      <c r="M687" s="79"/>
      <c r="R687" s="79"/>
      <c r="S687" s="79"/>
      <c r="V687" s="79"/>
      <c r="W687" s="79"/>
      <c r="Z687" s="130"/>
      <c r="AB687" s="106"/>
    </row>
    <row r="688">
      <c r="C688" s="79"/>
      <c r="D688" s="79"/>
      <c r="E688" s="79"/>
      <c r="M688" s="79"/>
      <c r="R688" s="79"/>
      <c r="S688" s="79"/>
      <c r="V688" s="79"/>
      <c r="W688" s="79"/>
      <c r="Z688" s="130"/>
      <c r="AB688" s="106"/>
    </row>
    <row r="689">
      <c r="C689" s="79"/>
      <c r="D689" s="79"/>
      <c r="E689" s="79"/>
      <c r="M689" s="79"/>
      <c r="R689" s="79"/>
      <c r="S689" s="79"/>
      <c r="V689" s="79"/>
      <c r="W689" s="79"/>
      <c r="Z689" s="130"/>
      <c r="AB689" s="106"/>
    </row>
    <row r="690">
      <c r="C690" s="79"/>
      <c r="D690" s="79"/>
      <c r="E690" s="79"/>
      <c r="M690" s="79"/>
      <c r="R690" s="79"/>
      <c r="S690" s="79"/>
      <c r="V690" s="79"/>
      <c r="W690" s="79"/>
      <c r="Z690" s="130"/>
      <c r="AB690" s="106"/>
    </row>
    <row r="691">
      <c r="C691" s="79"/>
      <c r="D691" s="79"/>
      <c r="E691" s="79"/>
      <c r="M691" s="79"/>
      <c r="R691" s="79"/>
      <c r="S691" s="79"/>
      <c r="V691" s="79"/>
      <c r="W691" s="79"/>
      <c r="Z691" s="130"/>
      <c r="AB691" s="106"/>
    </row>
    <row r="692">
      <c r="C692" s="79"/>
      <c r="D692" s="79"/>
      <c r="E692" s="79"/>
      <c r="M692" s="79"/>
      <c r="R692" s="79"/>
      <c r="S692" s="79"/>
      <c r="V692" s="79"/>
      <c r="W692" s="79"/>
      <c r="Z692" s="130"/>
      <c r="AB692" s="106"/>
    </row>
    <row r="693">
      <c r="C693" s="79"/>
      <c r="D693" s="79"/>
      <c r="E693" s="79"/>
      <c r="M693" s="79"/>
      <c r="R693" s="79"/>
      <c r="S693" s="79"/>
      <c r="V693" s="79"/>
      <c r="W693" s="79"/>
      <c r="Z693" s="130"/>
      <c r="AB693" s="106"/>
    </row>
    <row r="694">
      <c r="C694" s="79"/>
      <c r="D694" s="79"/>
      <c r="E694" s="79"/>
      <c r="M694" s="79"/>
      <c r="R694" s="79"/>
      <c r="S694" s="79"/>
      <c r="V694" s="79"/>
      <c r="W694" s="79"/>
      <c r="Z694" s="130"/>
      <c r="AB694" s="106"/>
    </row>
    <row r="695">
      <c r="C695" s="79"/>
      <c r="D695" s="79"/>
      <c r="E695" s="79"/>
      <c r="M695" s="79"/>
      <c r="R695" s="79"/>
      <c r="S695" s="79"/>
      <c r="V695" s="79"/>
      <c r="W695" s="79"/>
      <c r="Z695" s="130"/>
      <c r="AB695" s="106"/>
    </row>
    <row r="696">
      <c r="C696" s="79"/>
      <c r="D696" s="79"/>
      <c r="E696" s="79"/>
      <c r="M696" s="79"/>
      <c r="R696" s="79"/>
      <c r="S696" s="79"/>
      <c r="V696" s="79"/>
      <c r="W696" s="79"/>
      <c r="Z696" s="130"/>
      <c r="AB696" s="106"/>
    </row>
    <row r="697">
      <c r="C697" s="79"/>
      <c r="D697" s="79"/>
      <c r="E697" s="79"/>
      <c r="M697" s="79"/>
      <c r="R697" s="79"/>
      <c r="S697" s="79"/>
      <c r="V697" s="79"/>
      <c r="W697" s="79"/>
      <c r="Z697" s="130"/>
      <c r="AB697" s="106"/>
    </row>
    <row r="698">
      <c r="C698" s="79"/>
      <c r="D698" s="79"/>
      <c r="E698" s="79"/>
      <c r="M698" s="79"/>
      <c r="R698" s="79"/>
      <c r="S698" s="79"/>
      <c r="V698" s="79"/>
      <c r="W698" s="79"/>
      <c r="Z698" s="130"/>
      <c r="AB698" s="106"/>
    </row>
    <row r="699">
      <c r="C699" s="79"/>
      <c r="D699" s="79"/>
      <c r="E699" s="79"/>
      <c r="M699" s="79"/>
      <c r="R699" s="79"/>
      <c r="S699" s="79"/>
      <c r="V699" s="79"/>
      <c r="W699" s="79"/>
      <c r="Z699" s="130"/>
      <c r="AB699" s="106"/>
    </row>
    <row r="700">
      <c r="C700" s="79"/>
      <c r="D700" s="79"/>
      <c r="E700" s="79"/>
      <c r="M700" s="79"/>
      <c r="R700" s="79"/>
      <c r="S700" s="79"/>
      <c r="V700" s="79"/>
      <c r="W700" s="79"/>
      <c r="Z700" s="130"/>
      <c r="AB700" s="106"/>
    </row>
    <row r="701">
      <c r="C701" s="79"/>
      <c r="D701" s="79"/>
      <c r="E701" s="79"/>
      <c r="M701" s="79"/>
      <c r="R701" s="79"/>
      <c r="S701" s="79"/>
      <c r="V701" s="79"/>
      <c r="W701" s="79"/>
      <c r="Z701" s="130"/>
      <c r="AB701" s="106"/>
    </row>
    <row r="702">
      <c r="C702" s="79"/>
      <c r="D702" s="79"/>
      <c r="E702" s="79"/>
      <c r="M702" s="79"/>
      <c r="R702" s="79"/>
      <c r="S702" s="79"/>
      <c r="V702" s="79"/>
      <c r="W702" s="79"/>
      <c r="Z702" s="130"/>
      <c r="AB702" s="106"/>
    </row>
    <row r="703">
      <c r="C703" s="79"/>
      <c r="D703" s="79"/>
      <c r="E703" s="79"/>
      <c r="M703" s="79"/>
      <c r="R703" s="79"/>
      <c r="S703" s="79"/>
      <c r="V703" s="79"/>
      <c r="W703" s="79"/>
      <c r="Z703" s="130"/>
      <c r="AB703" s="106"/>
    </row>
    <row r="704">
      <c r="C704" s="79"/>
      <c r="D704" s="79"/>
      <c r="E704" s="79"/>
      <c r="M704" s="79"/>
      <c r="R704" s="79"/>
      <c r="S704" s="79"/>
      <c r="V704" s="79"/>
      <c r="W704" s="79"/>
      <c r="Z704" s="130"/>
      <c r="AB704" s="106"/>
    </row>
    <row r="705">
      <c r="C705" s="79"/>
      <c r="D705" s="79"/>
      <c r="E705" s="79"/>
      <c r="M705" s="79"/>
      <c r="R705" s="79"/>
      <c r="S705" s="79"/>
      <c r="V705" s="79"/>
      <c r="W705" s="79"/>
      <c r="Z705" s="130"/>
      <c r="AB705" s="106"/>
    </row>
    <row r="706">
      <c r="C706" s="79"/>
      <c r="D706" s="79"/>
      <c r="E706" s="79"/>
      <c r="M706" s="79"/>
      <c r="R706" s="79"/>
      <c r="S706" s="79"/>
      <c r="V706" s="79"/>
      <c r="W706" s="79"/>
      <c r="Z706" s="130"/>
      <c r="AB706" s="106"/>
    </row>
    <row r="707">
      <c r="C707" s="79"/>
      <c r="D707" s="79"/>
      <c r="E707" s="79"/>
      <c r="M707" s="79"/>
      <c r="R707" s="79"/>
      <c r="S707" s="79"/>
      <c r="V707" s="79"/>
      <c r="W707" s="79"/>
      <c r="Z707" s="130"/>
      <c r="AB707" s="106"/>
    </row>
    <row r="708">
      <c r="C708" s="79"/>
      <c r="D708" s="79"/>
      <c r="E708" s="79"/>
      <c r="M708" s="79"/>
      <c r="R708" s="79"/>
      <c r="S708" s="79"/>
      <c r="V708" s="79"/>
      <c r="W708" s="79"/>
      <c r="Z708" s="130"/>
      <c r="AB708" s="106"/>
    </row>
    <row r="709">
      <c r="C709" s="79"/>
      <c r="D709" s="79"/>
      <c r="E709" s="79"/>
      <c r="M709" s="79"/>
      <c r="R709" s="79"/>
      <c r="S709" s="79"/>
      <c r="V709" s="79"/>
      <c r="W709" s="79"/>
      <c r="Z709" s="130"/>
      <c r="AB709" s="106"/>
    </row>
    <row r="710">
      <c r="C710" s="79"/>
      <c r="D710" s="79"/>
      <c r="E710" s="79"/>
      <c r="M710" s="79"/>
      <c r="R710" s="79"/>
      <c r="S710" s="79"/>
      <c r="V710" s="79"/>
      <c r="W710" s="79"/>
      <c r="Z710" s="130"/>
      <c r="AB710" s="106"/>
    </row>
    <row r="711">
      <c r="C711" s="79"/>
      <c r="D711" s="79"/>
      <c r="E711" s="79"/>
      <c r="M711" s="79"/>
      <c r="R711" s="79"/>
      <c r="S711" s="79"/>
      <c r="V711" s="79"/>
      <c r="W711" s="79"/>
      <c r="Z711" s="130"/>
      <c r="AB711" s="106"/>
    </row>
    <row r="712">
      <c r="C712" s="79"/>
      <c r="D712" s="79"/>
      <c r="E712" s="79"/>
      <c r="M712" s="79"/>
      <c r="R712" s="79"/>
      <c r="S712" s="79"/>
      <c r="V712" s="79"/>
      <c r="W712" s="79"/>
      <c r="Z712" s="130"/>
      <c r="AB712" s="106"/>
    </row>
    <row r="713">
      <c r="C713" s="79"/>
      <c r="D713" s="79"/>
      <c r="E713" s="79"/>
      <c r="M713" s="79"/>
      <c r="R713" s="79"/>
      <c r="S713" s="79"/>
      <c r="V713" s="79"/>
      <c r="W713" s="79"/>
      <c r="Z713" s="130"/>
      <c r="AB713" s="106"/>
    </row>
    <row r="714">
      <c r="C714" s="79"/>
      <c r="D714" s="79"/>
      <c r="E714" s="79"/>
      <c r="M714" s="79"/>
      <c r="R714" s="79"/>
      <c r="S714" s="79"/>
      <c r="V714" s="79"/>
      <c r="W714" s="79"/>
      <c r="Z714" s="130"/>
      <c r="AB714" s="106"/>
    </row>
    <row r="715">
      <c r="C715" s="79"/>
      <c r="D715" s="79"/>
      <c r="E715" s="79"/>
      <c r="M715" s="79"/>
      <c r="R715" s="79"/>
      <c r="S715" s="79"/>
      <c r="V715" s="79"/>
      <c r="W715" s="79"/>
      <c r="Z715" s="130"/>
      <c r="AB715" s="106"/>
    </row>
    <row r="716">
      <c r="C716" s="79"/>
      <c r="D716" s="79"/>
      <c r="E716" s="79"/>
      <c r="M716" s="79"/>
      <c r="R716" s="79"/>
      <c r="S716" s="79"/>
      <c r="V716" s="79"/>
      <c r="W716" s="79"/>
      <c r="Z716" s="130"/>
      <c r="AB716" s="106"/>
    </row>
    <row r="717">
      <c r="C717" s="79"/>
      <c r="D717" s="79"/>
      <c r="E717" s="79"/>
      <c r="M717" s="79"/>
      <c r="R717" s="79"/>
      <c r="S717" s="79"/>
      <c r="V717" s="79"/>
      <c r="W717" s="79"/>
      <c r="Z717" s="130"/>
      <c r="AB717" s="106"/>
    </row>
    <row r="718">
      <c r="C718" s="79"/>
      <c r="D718" s="79"/>
      <c r="E718" s="79"/>
      <c r="M718" s="79"/>
      <c r="R718" s="79"/>
      <c r="S718" s="79"/>
      <c r="V718" s="79"/>
      <c r="W718" s="79"/>
      <c r="Z718" s="130"/>
      <c r="AB718" s="106"/>
    </row>
    <row r="719">
      <c r="C719" s="79"/>
      <c r="D719" s="79"/>
      <c r="E719" s="79"/>
      <c r="M719" s="79"/>
      <c r="R719" s="79"/>
      <c r="S719" s="79"/>
      <c r="V719" s="79"/>
      <c r="W719" s="79"/>
      <c r="Z719" s="130"/>
      <c r="AB719" s="106"/>
    </row>
    <row r="720">
      <c r="C720" s="79"/>
      <c r="D720" s="79"/>
      <c r="E720" s="79"/>
      <c r="M720" s="79"/>
      <c r="R720" s="79"/>
      <c r="S720" s="79"/>
      <c r="V720" s="79"/>
      <c r="W720" s="79"/>
      <c r="Z720" s="130"/>
      <c r="AB720" s="106"/>
    </row>
    <row r="721">
      <c r="C721" s="79"/>
      <c r="D721" s="79"/>
      <c r="E721" s="79"/>
      <c r="M721" s="79"/>
      <c r="R721" s="79"/>
      <c r="S721" s="79"/>
      <c r="V721" s="79"/>
      <c r="W721" s="79"/>
      <c r="Z721" s="130"/>
      <c r="AB721" s="106"/>
    </row>
    <row r="722">
      <c r="C722" s="79"/>
      <c r="D722" s="79"/>
      <c r="E722" s="79"/>
      <c r="M722" s="79"/>
      <c r="R722" s="79"/>
      <c r="S722" s="79"/>
      <c r="V722" s="79"/>
      <c r="W722" s="79"/>
      <c r="Z722" s="130"/>
      <c r="AB722" s="106"/>
    </row>
    <row r="723">
      <c r="C723" s="79"/>
      <c r="D723" s="79"/>
      <c r="E723" s="79"/>
      <c r="M723" s="79"/>
      <c r="R723" s="79"/>
      <c r="S723" s="79"/>
      <c r="V723" s="79"/>
      <c r="W723" s="79"/>
      <c r="Z723" s="130"/>
      <c r="AB723" s="106"/>
    </row>
    <row r="724">
      <c r="C724" s="79"/>
      <c r="D724" s="79"/>
      <c r="E724" s="79"/>
      <c r="M724" s="79"/>
      <c r="R724" s="79"/>
      <c r="S724" s="79"/>
      <c r="V724" s="79"/>
      <c r="W724" s="79"/>
      <c r="Z724" s="130"/>
      <c r="AB724" s="106"/>
    </row>
    <row r="725">
      <c r="C725" s="79"/>
      <c r="D725" s="79"/>
      <c r="E725" s="79"/>
      <c r="M725" s="79"/>
      <c r="R725" s="79"/>
      <c r="S725" s="79"/>
      <c r="V725" s="79"/>
      <c r="W725" s="79"/>
      <c r="Z725" s="130"/>
      <c r="AB725" s="106"/>
    </row>
    <row r="726">
      <c r="C726" s="79"/>
      <c r="D726" s="79"/>
      <c r="E726" s="79"/>
      <c r="M726" s="79"/>
      <c r="R726" s="79"/>
      <c r="S726" s="79"/>
      <c r="V726" s="79"/>
      <c r="W726" s="79"/>
      <c r="Z726" s="130"/>
      <c r="AB726" s="106"/>
    </row>
    <row r="727">
      <c r="C727" s="79"/>
      <c r="D727" s="79"/>
      <c r="E727" s="79"/>
      <c r="M727" s="79"/>
      <c r="R727" s="79"/>
      <c r="S727" s="79"/>
      <c r="V727" s="79"/>
      <c r="W727" s="79"/>
      <c r="Z727" s="130"/>
      <c r="AB727" s="106"/>
    </row>
    <row r="728">
      <c r="C728" s="79"/>
      <c r="D728" s="79"/>
      <c r="E728" s="79"/>
      <c r="M728" s="79"/>
      <c r="R728" s="79"/>
      <c r="S728" s="79"/>
      <c r="V728" s="79"/>
      <c r="W728" s="79"/>
      <c r="Z728" s="130"/>
      <c r="AB728" s="106"/>
    </row>
    <row r="729">
      <c r="C729" s="79"/>
      <c r="D729" s="79"/>
      <c r="E729" s="79"/>
      <c r="M729" s="79"/>
      <c r="R729" s="79"/>
      <c r="S729" s="79"/>
      <c r="V729" s="79"/>
      <c r="W729" s="79"/>
      <c r="Z729" s="130"/>
      <c r="AB729" s="106"/>
    </row>
    <row r="730">
      <c r="C730" s="79"/>
      <c r="D730" s="79"/>
      <c r="E730" s="79"/>
      <c r="M730" s="79"/>
      <c r="R730" s="79"/>
      <c r="S730" s="79"/>
      <c r="V730" s="79"/>
      <c r="W730" s="79"/>
      <c r="Z730" s="130"/>
      <c r="AB730" s="106"/>
    </row>
    <row r="731">
      <c r="C731" s="79"/>
      <c r="D731" s="79"/>
      <c r="E731" s="79"/>
      <c r="M731" s="79"/>
      <c r="R731" s="79"/>
      <c r="S731" s="79"/>
      <c r="V731" s="79"/>
      <c r="W731" s="79"/>
      <c r="Z731" s="130"/>
      <c r="AB731" s="106"/>
    </row>
    <row r="732">
      <c r="C732" s="79"/>
      <c r="D732" s="79"/>
      <c r="E732" s="79"/>
      <c r="M732" s="79"/>
      <c r="R732" s="79"/>
      <c r="S732" s="79"/>
      <c r="V732" s="79"/>
      <c r="W732" s="79"/>
      <c r="Z732" s="130"/>
      <c r="AB732" s="106"/>
    </row>
    <row r="733">
      <c r="C733" s="79"/>
      <c r="D733" s="79"/>
      <c r="E733" s="79"/>
      <c r="M733" s="79"/>
      <c r="R733" s="79"/>
      <c r="S733" s="79"/>
      <c r="V733" s="79"/>
      <c r="W733" s="79"/>
      <c r="Z733" s="130"/>
      <c r="AB733" s="106"/>
    </row>
    <row r="734">
      <c r="C734" s="79"/>
      <c r="D734" s="79"/>
      <c r="E734" s="79"/>
      <c r="M734" s="79"/>
      <c r="R734" s="79"/>
      <c r="S734" s="79"/>
      <c r="V734" s="79"/>
      <c r="W734" s="79"/>
      <c r="Z734" s="130"/>
      <c r="AB734" s="106"/>
    </row>
    <row r="735">
      <c r="C735" s="79"/>
      <c r="D735" s="79"/>
      <c r="E735" s="79"/>
      <c r="M735" s="79"/>
      <c r="R735" s="79"/>
      <c r="S735" s="79"/>
      <c r="V735" s="79"/>
      <c r="W735" s="79"/>
      <c r="Z735" s="130"/>
      <c r="AB735" s="106"/>
    </row>
    <row r="736">
      <c r="C736" s="79"/>
      <c r="D736" s="79"/>
      <c r="E736" s="79"/>
      <c r="M736" s="79"/>
      <c r="R736" s="79"/>
      <c r="S736" s="79"/>
      <c r="V736" s="79"/>
      <c r="W736" s="79"/>
      <c r="Z736" s="130"/>
      <c r="AB736" s="106"/>
    </row>
    <row r="737">
      <c r="C737" s="79"/>
      <c r="D737" s="79"/>
      <c r="E737" s="79"/>
      <c r="M737" s="79"/>
      <c r="R737" s="79"/>
      <c r="S737" s="79"/>
      <c r="V737" s="79"/>
      <c r="W737" s="79"/>
      <c r="Z737" s="130"/>
      <c r="AB737" s="106"/>
    </row>
    <row r="738">
      <c r="C738" s="79"/>
      <c r="D738" s="79"/>
      <c r="E738" s="79"/>
      <c r="M738" s="79"/>
      <c r="R738" s="79"/>
      <c r="S738" s="79"/>
      <c r="V738" s="79"/>
      <c r="W738" s="79"/>
      <c r="Z738" s="130"/>
      <c r="AB738" s="106"/>
    </row>
    <row r="739">
      <c r="C739" s="79"/>
      <c r="D739" s="79"/>
      <c r="E739" s="79"/>
      <c r="M739" s="79"/>
      <c r="R739" s="79"/>
      <c r="S739" s="79"/>
      <c r="V739" s="79"/>
      <c r="W739" s="79"/>
      <c r="Z739" s="130"/>
      <c r="AB739" s="106"/>
    </row>
    <row r="740">
      <c r="C740" s="79"/>
      <c r="D740" s="79"/>
      <c r="E740" s="79"/>
      <c r="M740" s="79"/>
      <c r="R740" s="79"/>
      <c r="S740" s="79"/>
      <c r="V740" s="79"/>
      <c r="W740" s="79"/>
      <c r="Z740" s="130"/>
      <c r="AB740" s="106"/>
    </row>
    <row r="741">
      <c r="C741" s="79"/>
      <c r="D741" s="79"/>
      <c r="E741" s="79"/>
      <c r="M741" s="79"/>
      <c r="R741" s="79"/>
      <c r="S741" s="79"/>
      <c r="V741" s="79"/>
      <c r="W741" s="79"/>
      <c r="Z741" s="130"/>
      <c r="AB741" s="106"/>
    </row>
    <row r="742">
      <c r="C742" s="79"/>
      <c r="D742" s="79"/>
      <c r="E742" s="79"/>
      <c r="M742" s="79"/>
      <c r="R742" s="79"/>
      <c r="S742" s="79"/>
      <c r="V742" s="79"/>
      <c r="W742" s="79"/>
      <c r="Z742" s="130"/>
      <c r="AB742" s="106"/>
    </row>
    <row r="743">
      <c r="C743" s="79"/>
      <c r="D743" s="79"/>
      <c r="E743" s="79"/>
      <c r="M743" s="79"/>
      <c r="R743" s="79"/>
      <c r="S743" s="79"/>
      <c r="V743" s="79"/>
      <c r="W743" s="79"/>
      <c r="Z743" s="130"/>
      <c r="AB743" s="106"/>
    </row>
    <row r="744">
      <c r="C744" s="79"/>
      <c r="D744" s="79"/>
      <c r="E744" s="79"/>
      <c r="M744" s="79"/>
      <c r="R744" s="79"/>
      <c r="S744" s="79"/>
      <c r="V744" s="79"/>
      <c r="W744" s="79"/>
      <c r="Z744" s="130"/>
      <c r="AB744" s="106"/>
    </row>
    <row r="745">
      <c r="C745" s="79"/>
      <c r="D745" s="79"/>
      <c r="E745" s="79"/>
      <c r="M745" s="79"/>
      <c r="R745" s="79"/>
      <c r="S745" s="79"/>
      <c r="V745" s="79"/>
      <c r="W745" s="79"/>
      <c r="Z745" s="130"/>
      <c r="AB745" s="106"/>
    </row>
    <row r="746">
      <c r="C746" s="79"/>
      <c r="D746" s="79"/>
      <c r="E746" s="79"/>
      <c r="M746" s="79"/>
      <c r="R746" s="79"/>
      <c r="S746" s="79"/>
      <c r="V746" s="79"/>
      <c r="W746" s="79"/>
      <c r="Z746" s="130"/>
      <c r="AB746" s="106"/>
    </row>
    <row r="747">
      <c r="C747" s="79"/>
      <c r="D747" s="79"/>
      <c r="E747" s="79"/>
      <c r="M747" s="79"/>
      <c r="R747" s="79"/>
      <c r="S747" s="79"/>
      <c r="V747" s="79"/>
      <c r="W747" s="79"/>
      <c r="Z747" s="130"/>
      <c r="AB747" s="106"/>
    </row>
    <row r="748">
      <c r="C748" s="79"/>
      <c r="D748" s="79"/>
      <c r="E748" s="79"/>
      <c r="M748" s="79"/>
      <c r="R748" s="79"/>
      <c r="S748" s="79"/>
      <c r="V748" s="79"/>
      <c r="W748" s="79"/>
      <c r="Z748" s="130"/>
      <c r="AB748" s="106"/>
    </row>
    <row r="749">
      <c r="C749" s="79"/>
      <c r="D749" s="79"/>
      <c r="E749" s="79"/>
      <c r="M749" s="79"/>
      <c r="R749" s="79"/>
      <c r="S749" s="79"/>
      <c r="V749" s="79"/>
      <c r="W749" s="79"/>
      <c r="Z749" s="130"/>
      <c r="AB749" s="106"/>
    </row>
    <row r="750">
      <c r="C750" s="79"/>
      <c r="D750" s="79"/>
      <c r="E750" s="79"/>
      <c r="M750" s="79"/>
      <c r="R750" s="79"/>
      <c r="S750" s="79"/>
      <c r="V750" s="79"/>
      <c r="W750" s="79"/>
      <c r="Z750" s="130"/>
      <c r="AB750" s="106"/>
    </row>
    <row r="751">
      <c r="C751" s="79"/>
      <c r="D751" s="79"/>
      <c r="E751" s="79"/>
      <c r="M751" s="79"/>
      <c r="R751" s="79"/>
      <c r="S751" s="79"/>
      <c r="V751" s="79"/>
      <c r="W751" s="79"/>
      <c r="Z751" s="130"/>
      <c r="AB751" s="106"/>
    </row>
    <row r="752">
      <c r="C752" s="79"/>
      <c r="D752" s="79"/>
      <c r="E752" s="79"/>
      <c r="M752" s="79"/>
      <c r="R752" s="79"/>
      <c r="S752" s="79"/>
      <c r="V752" s="79"/>
      <c r="W752" s="79"/>
      <c r="Z752" s="130"/>
      <c r="AB752" s="106"/>
    </row>
    <row r="753">
      <c r="C753" s="79"/>
      <c r="D753" s="79"/>
      <c r="E753" s="79"/>
      <c r="M753" s="79"/>
      <c r="R753" s="79"/>
      <c r="S753" s="79"/>
      <c r="V753" s="79"/>
      <c r="W753" s="79"/>
      <c r="Z753" s="130"/>
      <c r="AB753" s="106"/>
    </row>
    <row r="754">
      <c r="C754" s="79"/>
      <c r="D754" s="79"/>
      <c r="E754" s="79"/>
      <c r="M754" s="79"/>
      <c r="R754" s="79"/>
      <c r="S754" s="79"/>
      <c r="V754" s="79"/>
      <c r="W754" s="79"/>
      <c r="Z754" s="130"/>
      <c r="AB754" s="106"/>
    </row>
    <row r="755">
      <c r="C755" s="79"/>
      <c r="D755" s="79"/>
      <c r="E755" s="79"/>
      <c r="M755" s="79"/>
      <c r="R755" s="79"/>
      <c r="S755" s="79"/>
      <c r="V755" s="79"/>
      <c r="W755" s="79"/>
      <c r="Z755" s="130"/>
      <c r="AB755" s="106"/>
    </row>
    <row r="756">
      <c r="C756" s="79"/>
      <c r="D756" s="79"/>
      <c r="E756" s="79"/>
      <c r="M756" s="79"/>
      <c r="R756" s="79"/>
      <c r="S756" s="79"/>
      <c r="V756" s="79"/>
      <c r="W756" s="79"/>
      <c r="Z756" s="130"/>
      <c r="AB756" s="106"/>
    </row>
    <row r="757">
      <c r="C757" s="79"/>
      <c r="D757" s="79"/>
      <c r="E757" s="79"/>
      <c r="M757" s="79"/>
      <c r="R757" s="79"/>
      <c r="S757" s="79"/>
      <c r="V757" s="79"/>
      <c r="W757" s="79"/>
      <c r="Z757" s="130"/>
      <c r="AB757" s="106"/>
    </row>
    <row r="758">
      <c r="C758" s="79"/>
      <c r="D758" s="79"/>
      <c r="E758" s="79"/>
      <c r="M758" s="79"/>
      <c r="R758" s="79"/>
      <c r="S758" s="79"/>
      <c r="V758" s="79"/>
      <c r="W758" s="79"/>
      <c r="Z758" s="130"/>
      <c r="AB758" s="106"/>
    </row>
    <row r="759">
      <c r="C759" s="79"/>
      <c r="D759" s="79"/>
      <c r="E759" s="79"/>
      <c r="M759" s="79"/>
      <c r="R759" s="79"/>
      <c r="S759" s="79"/>
      <c r="V759" s="79"/>
      <c r="W759" s="79"/>
      <c r="Z759" s="130"/>
      <c r="AB759" s="106"/>
    </row>
    <row r="760">
      <c r="C760" s="79"/>
      <c r="D760" s="79"/>
      <c r="E760" s="79"/>
      <c r="M760" s="79"/>
      <c r="R760" s="79"/>
      <c r="S760" s="79"/>
      <c r="V760" s="79"/>
      <c r="W760" s="79"/>
      <c r="Z760" s="130"/>
      <c r="AB760" s="106"/>
    </row>
    <row r="761">
      <c r="C761" s="79"/>
      <c r="D761" s="79"/>
      <c r="E761" s="79"/>
      <c r="M761" s="79"/>
      <c r="R761" s="79"/>
      <c r="S761" s="79"/>
      <c r="V761" s="79"/>
      <c r="W761" s="79"/>
      <c r="Z761" s="130"/>
      <c r="AB761" s="106"/>
    </row>
    <row r="762">
      <c r="C762" s="79"/>
      <c r="D762" s="79"/>
      <c r="E762" s="79"/>
      <c r="M762" s="79"/>
      <c r="R762" s="79"/>
      <c r="S762" s="79"/>
      <c r="V762" s="79"/>
      <c r="W762" s="79"/>
      <c r="Z762" s="130"/>
      <c r="AB762" s="106"/>
    </row>
    <row r="763">
      <c r="C763" s="79"/>
      <c r="D763" s="79"/>
      <c r="E763" s="79"/>
      <c r="M763" s="79"/>
      <c r="R763" s="79"/>
      <c r="S763" s="79"/>
      <c r="V763" s="79"/>
      <c r="W763" s="79"/>
      <c r="Z763" s="130"/>
      <c r="AB763" s="106"/>
    </row>
    <row r="764">
      <c r="C764" s="79"/>
      <c r="D764" s="79"/>
      <c r="E764" s="79"/>
      <c r="M764" s="79"/>
      <c r="R764" s="79"/>
      <c r="S764" s="79"/>
      <c r="V764" s="79"/>
      <c r="W764" s="79"/>
      <c r="Z764" s="130"/>
      <c r="AB764" s="106"/>
    </row>
    <row r="765">
      <c r="C765" s="79"/>
      <c r="D765" s="79"/>
      <c r="E765" s="79"/>
      <c r="M765" s="79"/>
      <c r="R765" s="79"/>
      <c r="S765" s="79"/>
      <c r="V765" s="79"/>
      <c r="W765" s="79"/>
      <c r="Z765" s="130"/>
      <c r="AB765" s="106"/>
    </row>
    <row r="766">
      <c r="C766" s="79"/>
      <c r="D766" s="79"/>
      <c r="E766" s="79"/>
      <c r="M766" s="79"/>
      <c r="R766" s="79"/>
      <c r="S766" s="79"/>
      <c r="V766" s="79"/>
      <c r="W766" s="79"/>
      <c r="Z766" s="130"/>
      <c r="AB766" s="106"/>
    </row>
    <row r="767">
      <c r="C767" s="79"/>
      <c r="D767" s="79"/>
      <c r="E767" s="79"/>
      <c r="M767" s="79"/>
      <c r="R767" s="79"/>
      <c r="S767" s="79"/>
      <c r="V767" s="79"/>
      <c r="W767" s="79"/>
      <c r="Z767" s="130"/>
      <c r="AB767" s="106"/>
    </row>
    <row r="768">
      <c r="C768" s="79"/>
      <c r="D768" s="79"/>
      <c r="E768" s="79"/>
      <c r="M768" s="79"/>
      <c r="R768" s="79"/>
      <c r="S768" s="79"/>
      <c r="V768" s="79"/>
      <c r="W768" s="79"/>
      <c r="Z768" s="130"/>
      <c r="AB768" s="106"/>
    </row>
    <row r="769">
      <c r="C769" s="79"/>
      <c r="D769" s="79"/>
      <c r="E769" s="79"/>
      <c r="M769" s="79"/>
      <c r="R769" s="79"/>
      <c r="S769" s="79"/>
      <c r="V769" s="79"/>
      <c r="W769" s="79"/>
      <c r="Z769" s="130"/>
      <c r="AB769" s="106"/>
    </row>
    <row r="770">
      <c r="C770" s="79"/>
      <c r="D770" s="79"/>
      <c r="E770" s="79"/>
      <c r="M770" s="79"/>
      <c r="R770" s="79"/>
      <c r="S770" s="79"/>
      <c r="V770" s="79"/>
      <c r="W770" s="79"/>
      <c r="Z770" s="130"/>
      <c r="AB770" s="106"/>
    </row>
    <row r="771">
      <c r="C771" s="79"/>
      <c r="D771" s="79"/>
      <c r="E771" s="79"/>
      <c r="M771" s="79"/>
      <c r="R771" s="79"/>
      <c r="S771" s="79"/>
      <c r="V771" s="79"/>
      <c r="W771" s="79"/>
      <c r="Z771" s="130"/>
      <c r="AB771" s="106"/>
    </row>
    <row r="772">
      <c r="C772" s="79"/>
      <c r="D772" s="79"/>
      <c r="E772" s="79"/>
      <c r="M772" s="79"/>
      <c r="R772" s="79"/>
      <c r="S772" s="79"/>
      <c r="V772" s="79"/>
      <c r="W772" s="79"/>
      <c r="Z772" s="130"/>
      <c r="AB772" s="106"/>
    </row>
    <row r="773">
      <c r="C773" s="79"/>
      <c r="D773" s="79"/>
      <c r="E773" s="79"/>
      <c r="M773" s="79"/>
      <c r="R773" s="79"/>
      <c r="S773" s="79"/>
      <c r="V773" s="79"/>
      <c r="W773" s="79"/>
      <c r="Z773" s="130"/>
      <c r="AB773" s="106"/>
    </row>
    <row r="774">
      <c r="C774" s="79"/>
      <c r="D774" s="79"/>
      <c r="E774" s="79"/>
      <c r="M774" s="79"/>
      <c r="R774" s="79"/>
      <c r="S774" s="79"/>
      <c r="V774" s="79"/>
      <c r="W774" s="79"/>
      <c r="Z774" s="130"/>
      <c r="AB774" s="106"/>
    </row>
    <row r="775">
      <c r="C775" s="79"/>
      <c r="D775" s="79"/>
      <c r="E775" s="79"/>
      <c r="M775" s="79"/>
      <c r="R775" s="79"/>
      <c r="S775" s="79"/>
      <c r="V775" s="79"/>
      <c r="W775" s="79"/>
      <c r="Z775" s="130"/>
      <c r="AB775" s="106"/>
    </row>
    <row r="776">
      <c r="C776" s="79"/>
      <c r="D776" s="79"/>
      <c r="E776" s="79"/>
      <c r="M776" s="79"/>
      <c r="R776" s="79"/>
      <c r="S776" s="79"/>
      <c r="V776" s="79"/>
      <c r="W776" s="79"/>
      <c r="Z776" s="130"/>
      <c r="AB776" s="106"/>
    </row>
    <row r="777">
      <c r="C777" s="79"/>
      <c r="D777" s="79"/>
      <c r="E777" s="79"/>
      <c r="M777" s="79"/>
      <c r="R777" s="79"/>
      <c r="S777" s="79"/>
      <c r="V777" s="79"/>
      <c r="W777" s="79"/>
      <c r="Z777" s="130"/>
      <c r="AB777" s="106"/>
    </row>
    <row r="778">
      <c r="C778" s="79"/>
      <c r="D778" s="79"/>
      <c r="E778" s="79"/>
      <c r="M778" s="79"/>
      <c r="R778" s="79"/>
      <c r="S778" s="79"/>
      <c r="V778" s="79"/>
      <c r="W778" s="79"/>
      <c r="Z778" s="130"/>
      <c r="AB778" s="106"/>
    </row>
    <row r="779">
      <c r="C779" s="79"/>
      <c r="D779" s="79"/>
      <c r="E779" s="79"/>
      <c r="M779" s="79"/>
      <c r="R779" s="79"/>
      <c r="S779" s="79"/>
      <c r="V779" s="79"/>
      <c r="W779" s="79"/>
      <c r="Z779" s="130"/>
      <c r="AB779" s="106"/>
    </row>
    <row r="780">
      <c r="C780" s="79"/>
      <c r="D780" s="79"/>
      <c r="E780" s="79"/>
      <c r="M780" s="79"/>
      <c r="R780" s="79"/>
      <c r="S780" s="79"/>
      <c r="V780" s="79"/>
      <c r="W780" s="79"/>
      <c r="Z780" s="130"/>
      <c r="AB780" s="106"/>
    </row>
    <row r="781">
      <c r="C781" s="79"/>
      <c r="D781" s="79"/>
      <c r="E781" s="79"/>
      <c r="M781" s="79"/>
      <c r="R781" s="79"/>
      <c r="S781" s="79"/>
      <c r="V781" s="79"/>
      <c r="W781" s="79"/>
      <c r="Z781" s="130"/>
      <c r="AB781" s="106"/>
    </row>
    <row r="782">
      <c r="C782" s="79"/>
      <c r="D782" s="79"/>
      <c r="E782" s="79"/>
      <c r="M782" s="79"/>
      <c r="R782" s="79"/>
      <c r="S782" s="79"/>
      <c r="V782" s="79"/>
      <c r="W782" s="79"/>
      <c r="Z782" s="130"/>
      <c r="AB782" s="106"/>
    </row>
    <row r="783">
      <c r="C783" s="79"/>
      <c r="D783" s="79"/>
      <c r="E783" s="79"/>
      <c r="M783" s="79"/>
      <c r="R783" s="79"/>
      <c r="S783" s="79"/>
      <c r="V783" s="79"/>
      <c r="W783" s="79"/>
      <c r="Z783" s="130"/>
      <c r="AB783" s="106"/>
    </row>
    <row r="784">
      <c r="C784" s="79"/>
      <c r="D784" s="79"/>
      <c r="E784" s="79"/>
      <c r="M784" s="79"/>
      <c r="R784" s="79"/>
      <c r="S784" s="79"/>
      <c r="V784" s="79"/>
      <c r="W784" s="79"/>
      <c r="Z784" s="130"/>
      <c r="AB784" s="106"/>
    </row>
    <row r="785">
      <c r="C785" s="79"/>
      <c r="D785" s="79"/>
      <c r="E785" s="79"/>
      <c r="M785" s="79"/>
      <c r="R785" s="79"/>
      <c r="S785" s="79"/>
      <c r="V785" s="79"/>
      <c r="W785" s="79"/>
      <c r="Z785" s="130"/>
      <c r="AB785" s="106"/>
    </row>
    <row r="786">
      <c r="C786" s="79"/>
      <c r="D786" s="79"/>
      <c r="E786" s="79"/>
      <c r="M786" s="79"/>
      <c r="R786" s="79"/>
      <c r="S786" s="79"/>
      <c r="V786" s="79"/>
      <c r="W786" s="79"/>
      <c r="Z786" s="130"/>
      <c r="AB786" s="106"/>
    </row>
    <row r="787">
      <c r="C787" s="79"/>
      <c r="D787" s="79"/>
      <c r="E787" s="79"/>
      <c r="M787" s="79"/>
      <c r="R787" s="79"/>
      <c r="S787" s="79"/>
      <c r="V787" s="79"/>
      <c r="W787" s="79"/>
      <c r="Z787" s="130"/>
      <c r="AB787" s="106"/>
    </row>
    <row r="788">
      <c r="C788" s="79"/>
      <c r="D788" s="79"/>
      <c r="E788" s="79"/>
      <c r="M788" s="79"/>
      <c r="R788" s="79"/>
      <c r="S788" s="79"/>
      <c r="V788" s="79"/>
      <c r="W788" s="79"/>
      <c r="Z788" s="130"/>
      <c r="AB788" s="106"/>
    </row>
    <row r="789">
      <c r="C789" s="79"/>
      <c r="D789" s="79"/>
      <c r="E789" s="79"/>
      <c r="M789" s="79"/>
      <c r="R789" s="79"/>
      <c r="S789" s="79"/>
      <c r="V789" s="79"/>
      <c r="W789" s="79"/>
      <c r="Z789" s="130"/>
      <c r="AB789" s="106"/>
    </row>
    <row r="790">
      <c r="C790" s="79"/>
      <c r="D790" s="79"/>
      <c r="E790" s="79"/>
      <c r="M790" s="79"/>
      <c r="R790" s="79"/>
      <c r="S790" s="79"/>
      <c r="V790" s="79"/>
      <c r="W790" s="79"/>
      <c r="Z790" s="130"/>
      <c r="AB790" s="106"/>
    </row>
    <row r="791">
      <c r="C791" s="79"/>
      <c r="D791" s="79"/>
      <c r="E791" s="79"/>
      <c r="M791" s="79"/>
      <c r="R791" s="79"/>
      <c r="S791" s="79"/>
      <c r="V791" s="79"/>
      <c r="W791" s="79"/>
      <c r="Z791" s="130"/>
      <c r="AB791" s="106"/>
    </row>
    <row r="792">
      <c r="C792" s="79"/>
      <c r="D792" s="79"/>
      <c r="E792" s="79"/>
      <c r="M792" s="79"/>
      <c r="R792" s="79"/>
      <c r="S792" s="79"/>
      <c r="V792" s="79"/>
      <c r="W792" s="79"/>
      <c r="Z792" s="130"/>
      <c r="AB792" s="106"/>
    </row>
    <row r="793">
      <c r="C793" s="79"/>
      <c r="D793" s="79"/>
      <c r="E793" s="79"/>
      <c r="M793" s="79"/>
      <c r="R793" s="79"/>
      <c r="S793" s="79"/>
      <c r="V793" s="79"/>
      <c r="W793" s="79"/>
      <c r="Z793" s="130"/>
      <c r="AB793" s="106"/>
    </row>
    <row r="794">
      <c r="C794" s="79"/>
      <c r="D794" s="79"/>
      <c r="E794" s="79"/>
      <c r="M794" s="79"/>
      <c r="R794" s="79"/>
      <c r="S794" s="79"/>
      <c r="V794" s="79"/>
      <c r="W794" s="79"/>
      <c r="Z794" s="130"/>
      <c r="AB794" s="106"/>
    </row>
    <row r="795">
      <c r="C795" s="79"/>
      <c r="D795" s="79"/>
      <c r="E795" s="79"/>
      <c r="M795" s="79"/>
      <c r="R795" s="79"/>
      <c r="S795" s="79"/>
      <c r="V795" s="79"/>
      <c r="W795" s="79"/>
      <c r="Z795" s="130"/>
      <c r="AB795" s="106"/>
    </row>
    <row r="796">
      <c r="C796" s="79"/>
      <c r="D796" s="79"/>
      <c r="E796" s="79"/>
      <c r="M796" s="79"/>
      <c r="R796" s="79"/>
      <c r="S796" s="79"/>
      <c r="V796" s="79"/>
      <c r="W796" s="79"/>
      <c r="Z796" s="130"/>
      <c r="AB796" s="106"/>
    </row>
    <row r="797">
      <c r="C797" s="79"/>
      <c r="D797" s="79"/>
      <c r="E797" s="79"/>
      <c r="M797" s="79"/>
      <c r="R797" s="79"/>
      <c r="S797" s="79"/>
      <c r="V797" s="79"/>
      <c r="W797" s="79"/>
      <c r="Z797" s="130"/>
      <c r="AB797" s="106"/>
    </row>
    <row r="798">
      <c r="C798" s="79"/>
      <c r="D798" s="79"/>
      <c r="E798" s="79"/>
      <c r="M798" s="79"/>
      <c r="R798" s="79"/>
      <c r="S798" s="79"/>
      <c r="V798" s="79"/>
      <c r="W798" s="79"/>
      <c r="Z798" s="130"/>
      <c r="AB798" s="106"/>
    </row>
    <row r="799">
      <c r="C799" s="79"/>
      <c r="D799" s="79"/>
      <c r="E799" s="79"/>
      <c r="M799" s="79"/>
      <c r="R799" s="79"/>
      <c r="S799" s="79"/>
      <c r="V799" s="79"/>
      <c r="W799" s="79"/>
      <c r="Z799" s="130"/>
      <c r="AB799" s="106"/>
    </row>
    <row r="800">
      <c r="C800" s="79"/>
      <c r="D800" s="79"/>
      <c r="E800" s="79"/>
      <c r="M800" s="79"/>
      <c r="R800" s="79"/>
      <c r="S800" s="79"/>
      <c r="V800" s="79"/>
      <c r="W800" s="79"/>
      <c r="Z800" s="130"/>
      <c r="AB800" s="106"/>
    </row>
    <row r="801">
      <c r="C801" s="79"/>
      <c r="D801" s="79"/>
      <c r="E801" s="79"/>
      <c r="M801" s="79"/>
      <c r="R801" s="79"/>
      <c r="S801" s="79"/>
      <c r="V801" s="79"/>
      <c r="W801" s="79"/>
      <c r="Z801" s="130"/>
      <c r="AB801" s="106"/>
    </row>
    <row r="802">
      <c r="C802" s="79"/>
      <c r="D802" s="79"/>
      <c r="E802" s="79"/>
      <c r="M802" s="79"/>
      <c r="R802" s="79"/>
      <c r="S802" s="79"/>
      <c r="V802" s="79"/>
      <c r="W802" s="79"/>
      <c r="Z802" s="130"/>
      <c r="AB802" s="106"/>
    </row>
    <row r="803">
      <c r="C803" s="79"/>
      <c r="D803" s="79"/>
      <c r="E803" s="79"/>
      <c r="M803" s="79"/>
      <c r="R803" s="79"/>
      <c r="S803" s="79"/>
      <c r="V803" s="79"/>
      <c r="W803" s="79"/>
      <c r="Z803" s="130"/>
      <c r="AB803" s="106"/>
    </row>
    <row r="804">
      <c r="C804" s="79"/>
      <c r="D804" s="79"/>
      <c r="E804" s="79"/>
      <c r="M804" s="79"/>
      <c r="R804" s="79"/>
      <c r="S804" s="79"/>
      <c r="V804" s="79"/>
      <c r="W804" s="79"/>
      <c r="Z804" s="130"/>
      <c r="AB804" s="106"/>
    </row>
    <row r="805">
      <c r="C805" s="79"/>
      <c r="D805" s="79"/>
      <c r="E805" s="79"/>
      <c r="M805" s="79"/>
      <c r="R805" s="79"/>
      <c r="S805" s="79"/>
      <c r="V805" s="79"/>
      <c r="W805" s="79"/>
      <c r="Z805" s="130"/>
      <c r="AB805" s="106"/>
    </row>
    <row r="806">
      <c r="C806" s="79"/>
      <c r="D806" s="79"/>
      <c r="E806" s="79"/>
      <c r="M806" s="79"/>
      <c r="R806" s="79"/>
      <c r="S806" s="79"/>
      <c r="V806" s="79"/>
      <c r="W806" s="79"/>
      <c r="Z806" s="130"/>
      <c r="AB806" s="106"/>
    </row>
    <row r="807">
      <c r="C807" s="79"/>
      <c r="D807" s="79"/>
      <c r="E807" s="79"/>
      <c r="M807" s="79"/>
      <c r="R807" s="79"/>
      <c r="S807" s="79"/>
      <c r="V807" s="79"/>
      <c r="W807" s="79"/>
      <c r="Z807" s="130"/>
      <c r="AB807" s="106"/>
    </row>
    <row r="808">
      <c r="C808" s="79"/>
      <c r="D808" s="79"/>
      <c r="E808" s="79"/>
      <c r="M808" s="79"/>
      <c r="R808" s="79"/>
      <c r="S808" s="79"/>
      <c r="V808" s="79"/>
      <c r="W808" s="79"/>
      <c r="Z808" s="130"/>
      <c r="AB808" s="106"/>
    </row>
    <row r="809">
      <c r="C809" s="79"/>
      <c r="D809" s="79"/>
      <c r="E809" s="79"/>
      <c r="M809" s="79"/>
      <c r="R809" s="79"/>
      <c r="S809" s="79"/>
      <c r="V809" s="79"/>
      <c r="W809" s="79"/>
      <c r="Z809" s="130"/>
      <c r="AB809" s="106"/>
    </row>
    <row r="810">
      <c r="C810" s="79"/>
      <c r="D810" s="79"/>
      <c r="E810" s="79"/>
      <c r="M810" s="79"/>
      <c r="R810" s="79"/>
      <c r="S810" s="79"/>
      <c r="V810" s="79"/>
      <c r="W810" s="79"/>
      <c r="Z810" s="130"/>
      <c r="AB810" s="106"/>
    </row>
    <row r="811">
      <c r="C811" s="79"/>
      <c r="D811" s="79"/>
      <c r="E811" s="79"/>
      <c r="M811" s="79"/>
      <c r="R811" s="79"/>
      <c r="S811" s="79"/>
      <c r="V811" s="79"/>
      <c r="W811" s="79"/>
      <c r="Z811" s="130"/>
      <c r="AB811" s="106"/>
    </row>
    <row r="812">
      <c r="C812" s="79"/>
      <c r="D812" s="79"/>
      <c r="E812" s="79"/>
      <c r="M812" s="79"/>
      <c r="R812" s="79"/>
      <c r="S812" s="79"/>
      <c r="V812" s="79"/>
      <c r="W812" s="79"/>
      <c r="Z812" s="130"/>
      <c r="AB812" s="106"/>
    </row>
    <row r="813">
      <c r="C813" s="79"/>
      <c r="D813" s="79"/>
      <c r="E813" s="79"/>
      <c r="M813" s="79"/>
      <c r="R813" s="79"/>
      <c r="S813" s="79"/>
      <c r="V813" s="79"/>
      <c r="W813" s="79"/>
      <c r="Z813" s="130"/>
      <c r="AB813" s="106"/>
    </row>
    <row r="814">
      <c r="C814" s="79"/>
      <c r="D814" s="79"/>
      <c r="E814" s="79"/>
      <c r="M814" s="79"/>
      <c r="R814" s="79"/>
      <c r="S814" s="79"/>
      <c r="V814" s="79"/>
      <c r="W814" s="79"/>
      <c r="Z814" s="130"/>
      <c r="AB814" s="106"/>
    </row>
    <row r="815">
      <c r="C815" s="79"/>
      <c r="D815" s="79"/>
      <c r="E815" s="79"/>
      <c r="M815" s="79"/>
      <c r="R815" s="79"/>
      <c r="S815" s="79"/>
      <c r="V815" s="79"/>
      <c r="W815" s="79"/>
      <c r="Z815" s="130"/>
      <c r="AB815" s="106"/>
    </row>
    <row r="816">
      <c r="C816" s="79"/>
      <c r="D816" s="79"/>
      <c r="E816" s="79"/>
      <c r="M816" s="79"/>
      <c r="R816" s="79"/>
      <c r="S816" s="79"/>
      <c r="V816" s="79"/>
      <c r="W816" s="79"/>
      <c r="Z816" s="130"/>
      <c r="AB816" s="106"/>
    </row>
    <row r="817">
      <c r="C817" s="79"/>
      <c r="D817" s="79"/>
      <c r="E817" s="79"/>
      <c r="M817" s="79"/>
      <c r="R817" s="79"/>
      <c r="S817" s="79"/>
      <c r="V817" s="79"/>
      <c r="W817" s="79"/>
      <c r="Z817" s="130"/>
      <c r="AB817" s="106"/>
    </row>
    <row r="818">
      <c r="C818" s="79"/>
      <c r="D818" s="79"/>
      <c r="E818" s="79"/>
      <c r="M818" s="79"/>
      <c r="R818" s="79"/>
      <c r="S818" s="79"/>
      <c r="V818" s="79"/>
      <c r="W818" s="79"/>
      <c r="Z818" s="130"/>
      <c r="AB818" s="106"/>
    </row>
    <row r="819">
      <c r="C819" s="79"/>
      <c r="D819" s="79"/>
      <c r="E819" s="79"/>
      <c r="M819" s="79"/>
      <c r="R819" s="79"/>
      <c r="S819" s="79"/>
      <c r="V819" s="79"/>
      <c r="W819" s="79"/>
      <c r="Z819" s="130"/>
      <c r="AB819" s="106"/>
    </row>
    <row r="820">
      <c r="C820" s="79"/>
      <c r="D820" s="79"/>
      <c r="E820" s="79"/>
      <c r="M820" s="79"/>
      <c r="R820" s="79"/>
      <c r="S820" s="79"/>
      <c r="V820" s="79"/>
      <c r="W820" s="79"/>
      <c r="Z820" s="130"/>
      <c r="AB820" s="106"/>
    </row>
    <row r="821">
      <c r="C821" s="79"/>
      <c r="D821" s="79"/>
      <c r="E821" s="79"/>
      <c r="M821" s="79"/>
      <c r="R821" s="79"/>
      <c r="S821" s="79"/>
      <c r="V821" s="79"/>
      <c r="W821" s="79"/>
      <c r="Z821" s="130"/>
      <c r="AB821" s="106"/>
    </row>
    <row r="822">
      <c r="C822" s="79"/>
      <c r="D822" s="79"/>
      <c r="E822" s="79"/>
      <c r="M822" s="79"/>
      <c r="R822" s="79"/>
      <c r="S822" s="79"/>
      <c r="V822" s="79"/>
      <c r="W822" s="79"/>
      <c r="Z822" s="130"/>
      <c r="AB822" s="106"/>
    </row>
    <row r="823">
      <c r="C823" s="79"/>
      <c r="D823" s="79"/>
      <c r="E823" s="79"/>
      <c r="M823" s="79"/>
      <c r="R823" s="79"/>
      <c r="S823" s="79"/>
      <c r="V823" s="79"/>
      <c r="W823" s="79"/>
      <c r="Z823" s="130"/>
      <c r="AB823" s="106"/>
    </row>
    <row r="824">
      <c r="C824" s="79"/>
      <c r="D824" s="79"/>
      <c r="E824" s="79"/>
      <c r="M824" s="79"/>
      <c r="R824" s="79"/>
      <c r="S824" s="79"/>
      <c r="V824" s="79"/>
      <c r="W824" s="79"/>
      <c r="Z824" s="130"/>
      <c r="AB824" s="106"/>
    </row>
    <row r="825">
      <c r="C825" s="79"/>
      <c r="D825" s="79"/>
      <c r="E825" s="79"/>
      <c r="M825" s="79"/>
      <c r="R825" s="79"/>
      <c r="S825" s="79"/>
      <c r="V825" s="79"/>
      <c r="W825" s="79"/>
      <c r="Z825" s="130"/>
      <c r="AB825" s="106"/>
    </row>
    <row r="826">
      <c r="C826" s="79"/>
      <c r="D826" s="79"/>
      <c r="E826" s="79"/>
      <c r="M826" s="79"/>
      <c r="R826" s="79"/>
      <c r="S826" s="79"/>
      <c r="V826" s="79"/>
      <c r="W826" s="79"/>
      <c r="Z826" s="130"/>
      <c r="AB826" s="106"/>
    </row>
    <row r="827">
      <c r="C827" s="79"/>
      <c r="D827" s="79"/>
      <c r="E827" s="79"/>
      <c r="M827" s="79"/>
      <c r="R827" s="79"/>
      <c r="S827" s="79"/>
      <c r="V827" s="79"/>
      <c r="W827" s="79"/>
      <c r="Z827" s="130"/>
      <c r="AB827" s="106"/>
    </row>
    <row r="828">
      <c r="C828" s="79"/>
      <c r="D828" s="79"/>
      <c r="E828" s="79"/>
      <c r="M828" s="79"/>
      <c r="R828" s="79"/>
      <c r="S828" s="79"/>
      <c r="V828" s="79"/>
      <c r="W828" s="79"/>
      <c r="Z828" s="130"/>
      <c r="AB828" s="106"/>
    </row>
    <row r="829">
      <c r="C829" s="79"/>
      <c r="D829" s="79"/>
      <c r="E829" s="79"/>
      <c r="M829" s="79"/>
      <c r="R829" s="79"/>
      <c r="S829" s="79"/>
      <c r="V829" s="79"/>
      <c r="W829" s="79"/>
      <c r="Z829" s="130"/>
      <c r="AB829" s="106"/>
    </row>
    <row r="830">
      <c r="C830" s="79"/>
      <c r="D830" s="79"/>
      <c r="E830" s="79"/>
      <c r="M830" s="79"/>
      <c r="R830" s="79"/>
      <c r="S830" s="79"/>
      <c r="V830" s="79"/>
      <c r="W830" s="79"/>
      <c r="Z830" s="130"/>
      <c r="AB830" s="106"/>
    </row>
    <row r="831">
      <c r="C831" s="79"/>
      <c r="D831" s="79"/>
      <c r="E831" s="79"/>
      <c r="M831" s="79"/>
      <c r="R831" s="79"/>
      <c r="S831" s="79"/>
      <c r="V831" s="79"/>
      <c r="W831" s="79"/>
      <c r="Z831" s="130"/>
      <c r="AB831" s="106"/>
    </row>
    <row r="832">
      <c r="C832" s="79"/>
      <c r="D832" s="79"/>
      <c r="E832" s="79"/>
      <c r="M832" s="79"/>
      <c r="R832" s="79"/>
      <c r="S832" s="79"/>
      <c r="V832" s="79"/>
      <c r="W832" s="79"/>
      <c r="Z832" s="130"/>
      <c r="AB832" s="106"/>
    </row>
    <row r="833">
      <c r="C833" s="79"/>
      <c r="D833" s="79"/>
      <c r="E833" s="79"/>
      <c r="M833" s="79"/>
      <c r="R833" s="79"/>
      <c r="S833" s="79"/>
      <c r="V833" s="79"/>
      <c r="W833" s="79"/>
      <c r="Z833" s="130"/>
      <c r="AB833" s="106"/>
    </row>
    <row r="834">
      <c r="C834" s="79"/>
      <c r="D834" s="79"/>
      <c r="E834" s="79"/>
      <c r="M834" s="79"/>
      <c r="R834" s="79"/>
      <c r="S834" s="79"/>
      <c r="V834" s="79"/>
      <c r="W834" s="79"/>
      <c r="Z834" s="130"/>
      <c r="AB834" s="106"/>
    </row>
    <row r="835">
      <c r="C835" s="79"/>
      <c r="D835" s="79"/>
      <c r="E835" s="79"/>
      <c r="M835" s="79"/>
      <c r="R835" s="79"/>
      <c r="S835" s="79"/>
      <c r="V835" s="79"/>
      <c r="W835" s="79"/>
      <c r="Z835" s="130"/>
      <c r="AB835" s="106"/>
    </row>
    <row r="836">
      <c r="C836" s="79"/>
      <c r="D836" s="79"/>
      <c r="E836" s="79"/>
      <c r="M836" s="79"/>
      <c r="R836" s="79"/>
      <c r="S836" s="79"/>
      <c r="V836" s="79"/>
      <c r="W836" s="79"/>
      <c r="Z836" s="130"/>
      <c r="AB836" s="106"/>
    </row>
    <row r="837">
      <c r="C837" s="79"/>
      <c r="D837" s="79"/>
      <c r="E837" s="79"/>
      <c r="M837" s="79"/>
      <c r="R837" s="79"/>
      <c r="S837" s="79"/>
      <c r="V837" s="79"/>
      <c r="W837" s="79"/>
      <c r="Z837" s="130"/>
      <c r="AB837" s="106"/>
    </row>
    <row r="838">
      <c r="C838" s="79"/>
      <c r="D838" s="79"/>
      <c r="E838" s="79"/>
      <c r="M838" s="79"/>
      <c r="R838" s="79"/>
      <c r="S838" s="79"/>
      <c r="V838" s="79"/>
      <c r="W838" s="79"/>
      <c r="Z838" s="130"/>
      <c r="AB838" s="106"/>
    </row>
    <row r="839">
      <c r="C839" s="79"/>
      <c r="D839" s="79"/>
      <c r="E839" s="79"/>
      <c r="M839" s="79"/>
      <c r="R839" s="79"/>
      <c r="S839" s="79"/>
      <c r="V839" s="79"/>
      <c r="W839" s="79"/>
      <c r="Z839" s="130"/>
      <c r="AB839" s="106"/>
    </row>
    <row r="840">
      <c r="C840" s="79"/>
      <c r="D840" s="79"/>
      <c r="E840" s="79"/>
      <c r="M840" s="79"/>
      <c r="R840" s="79"/>
      <c r="S840" s="79"/>
      <c r="V840" s="79"/>
      <c r="W840" s="79"/>
      <c r="Z840" s="130"/>
      <c r="AB840" s="106"/>
    </row>
    <row r="841">
      <c r="C841" s="79"/>
      <c r="D841" s="79"/>
      <c r="E841" s="79"/>
      <c r="M841" s="79"/>
      <c r="R841" s="79"/>
      <c r="S841" s="79"/>
      <c r="V841" s="79"/>
      <c r="W841" s="79"/>
      <c r="Z841" s="130"/>
      <c r="AB841" s="106"/>
    </row>
    <row r="842">
      <c r="C842" s="79"/>
      <c r="D842" s="79"/>
      <c r="E842" s="79"/>
      <c r="M842" s="79"/>
      <c r="R842" s="79"/>
      <c r="S842" s="79"/>
      <c r="V842" s="79"/>
      <c r="W842" s="79"/>
      <c r="Z842" s="130"/>
      <c r="AB842" s="106"/>
    </row>
    <row r="843">
      <c r="C843" s="79"/>
      <c r="D843" s="79"/>
      <c r="E843" s="79"/>
      <c r="M843" s="79"/>
      <c r="R843" s="79"/>
      <c r="S843" s="79"/>
      <c r="V843" s="79"/>
      <c r="W843" s="79"/>
      <c r="Z843" s="130"/>
      <c r="AB843" s="106"/>
    </row>
    <row r="844">
      <c r="C844" s="79"/>
      <c r="D844" s="79"/>
      <c r="E844" s="79"/>
      <c r="M844" s="79"/>
      <c r="R844" s="79"/>
      <c r="S844" s="79"/>
      <c r="V844" s="79"/>
      <c r="W844" s="79"/>
      <c r="Z844" s="130"/>
      <c r="AB844" s="106"/>
    </row>
    <row r="845">
      <c r="C845" s="79"/>
      <c r="D845" s="79"/>
      <c r="E845" s="79"/>
      <c r="M845" s="79"/>
      <c r="R845" s="79"/>
      <c r="S845" s="79"/>
      <c r="V845" s="79"/>
      <c r="W845" s="79"/>
      <c r="Z845" s="130"/>
      <c r="AB845" s="106"/>
    </row>
    <row r="846">
      <c r="C846" s="79"/>
      <c r="D846" s="79"/>
      <c r="E846" s="79"/>
      <c r="M846" s="79"/>
      <c r="R846" s="79"/>
      <c r="S846" s="79"/>
      <c r="V846" s="79"/>
      <c r="W846" s="79"/>
      <c r="Z846" s="130"/>
      <c r="AB846" s="106"/>
    </row>
    <row r="847">
      <c r="C847" s="79"/>
      <c r="D847" s="79"/>
      <c r="E847" s="79"/>
      <c r="M847" s="79"/>
      <c r="R847" s="79"/>
      <c r="S847" s="79"/>
      <c r="V847" s="79"/>
      <c r="W847" s="79"/>
      <c r="Z847" s="130"/>
      <c r="AB847" s="106"/>
    </row>
    <row r="848">
      <c r="C848" s="79"/>
      <c r="D848" s="79"/>
      <c r="E848" s="79"/>
      <c r="M848" s="79"/>
      <c r="R848" s="79"/>
      <c r="S848" s="79"/>
      <c r="V848" s="79"/>
      <c r="W848" s="79"/>
      <c r="Z848" s="130"/>
      <c r="AB848" s="106"/>
    </row>
    <row r="849">
      <c r="C849" s="79"/>
      <c r="D849" s="79"/>
      <c r="E849" s="79"/>
      <c r="M849" s="79"/>
      <c r="R849" s="79"/>
      <c r="S849" s="79"/>
      <c r="V849" s="79"/>
      <c r="W849" s="79"/>
      <c r="Z849" s="130"/>
      <c r="AB849" s="106"/>
    </row>
    <row r="850">
      <c r="C850" s="79"/>
      <c r="D850" s="79"/>
      <c r="E850" s="79"/>
      <c r="M850" s="79"/>
      <c r="R850" s="79"/>
      <c r="S850" s="79"/>
      <c r="V850" s="79"/>
      <c r="W850" s="79"/>
      <c r="Z850" s="130"/>
      <c r="AB850" s="106"/>
    </row>
    <row r="851">
      <c r="C851" s="79"/>
      <c r="D851" s="79"/>
      <c r="E851" s="79"/>
      <c r="M851" s="79"/>
      <c r="R851" s="79"/>
      <c r="S851" s="79"/>
      <c r="V851" s="79"/>
      <c r="W851" s="79"/>
      <c r="Z851" s="130"/>
      <c r="AB851" s="106"/>
    </row>
    <row r="852">
      <c r="C852" s="79"/>
      <c r="D852" s="79"/>
      <c r="E852" s="79"/>
      <c r="M852" s="79"/>
      <c r="R852" s="79"/>
      <c r="S852" s="79"/>
      <c r="V852" s="79"/>
      <c r="W852" s="79"/>
      <c r="Z852" s="130"/>
      <c r="AB852" s="106"/>
    </row>
    <row r="853">
      <c r="C853" s="79"/>
      <c r="D853" s="79"/>
      <c r="E853" s="79"/>
      <c r="M853" s="79"/>
      <c r="R853" s="79"/>
      <c r="S853" s="79"/>
      <c r="V853" s="79"/>
      <c r="W853" s="79"/>
      <c r="Z853" s="130"/>
      <c r="AB853" s="106"/>
    </row>
    <row r="854">
      <c r="C854" s="79"/>
      <c r="D854" s="79"/>
      <c r="E854" s="79"/>
      <c r="M854" s="79"/>
      <c r="R854" s="79"/>
      <c r="S854" s="79"/>
      <c r="V854" s="79"/>
      <c r="W854" s="79"/>
      <c r="Z854" s="130"/>
      <c r="AB854" s="106"/>
    </row>
    <row r="855">
      <c r="C855" s="79"/>
      <c r="D855" s="79"/>
      <c r="E855" s="79"/>
      <c r="M855" s="79"/>
      <c r="R855" s="79"/>
      <c r="S855" s="79"/>
      <c r="V855" s="79"/>
      <c r="W855" s="79"/>
      <c r="Z855" s="130"/>
      <c r="AB855" s="106"/>
    </row>
    <row r="856">
      <c r="C856" s="79"/>
      <c r="D856" s="79"/>
      <c r="E856" s="79"/>
      <c r="M856" s="79"/>
      <c r="R856" s="79"/>
      <c r="S856" s="79"/>
      <c r="V856" s="79"/>
      <c r="W856" s="79"/>
      <c r="Z856" s="130"/>
      <c r="AB856" s="106"/>
    </row>
    <row r="857">
      <c r="C857" s="79"/>
      <c r="D857" s="79"/>
      <c r="E857" s="79"/>
      <c r="M857" s="79"/>
      <c r="R857" s="79"/>
      <c r="S857" s="79"/>
      <c r="V857" s="79"/>
      <c r="W857" s="79"/>
      <c r="Z857" s="130"/>
      <c r="AB857" s="106"/>
    </row>
    <row r="858">
      <c r="C858" s="79"/>
      <c r="D858" s="79"/>
      <c r="E858" s="79"/>
      <c r="M858" s="79"/>
      <c r="R858" s="79"/>
      <c r="S858" s="79"/>
      <c r="V858" s="79"/>
      <c r="W858" s="79"/>
      <c r="Z858" s="130"/>
      <c r="AB858" s="106"/>
    </row>
    <row r="859">
      <c r="C859" s="79"/>
      <c r="D859" s="79"/>
      <c r="E859" s="79"/>
      <c r="M859" s="79"/>
      <c r="R859" s="79"/>
      <c r="S859" s="79"/>
      <c r="V859" s="79"/>
      <c r="W859" s="79"/>
      <c r="Z859" s="130"/>
      <c r="AB859" s="106"/>
    </row>
    <row r="860">
      <c r="C860" s="79"/>
      <c r="D860" s="79"/>
      <c r="E860" s="79"/>
      <c r="M860" s="79"/>
      <c r="R860" s="79"/>
      <c r="S860" s="79"/>
      <c r="V860" s="79"/>
      <c r="W860" s="79"/>
      <c r="Z860" s="130"/>
      <c r="AB860" s="106"/>
    </row>
    <row r="861">
      <c r="C861" s="79"/>
      <c r="D861" s="79"/>
      <c r="E861" s="79"/>
      <c r="M861" s="79"/>
      <c r="R861" s="79"/>
      <c r="S861" s="79"/>
      <c r="V861" s="79"/>
      <c r="W861" s="79"/>
      <c r="Z861" s="130"/>
      <c r="AB861" s="106"/>
    </row>
    <row r="862">
      <c r="C862" s="79"/>
      <c r="D862" s="79"/>
      <c r="E862" s="79"/>
      <c r="M862" s="79"/>
      <c r="R862" s="79"/>
      <c r="S862" s="79"/>
      <c r="V862" s="79"/>
      <c r="W862" s="79"/>
      <c r="Z862" s="130"/>
      <c r="AB862" s="106"/>
    </row>
    <row r="863">
      <c r="C863" s="79"/>
      <c r="D863" s="79"/>
      <c r="E863" s="79"/>
      <c r="M863" s="79"/>
      <c r="R863" s="79"/>
      <c r="S863" s="79"/>
      <c r="V863" s="79"/>
      <c r="W863" s="79"/>
      <c r="Z863" s="130"/>
      <c r="AB863" s="106"/>
    </row>
    <row r="864">
      <c r="C864" s="79"/>
      <c r="D864" s="79"/>
      <c r="E864" s="79"/>
      <c r="M864" s="79"/>
      <c r="R864" s="79"/>
      <c r="S864" s="79"/>
      <c r="V864" s="79"/>
      <c r="W864" s="79"/>
      <c r="Z864" s="130"/>
      <c r="AB864" s="106"/>
    </row>
    <row r="865">
      <c r="C865" s="79"/>
      <c r="D865" s="79"/>
      <c r="E865" s="79"/>
      <c r="M865" s="79"/>
      <c r="R865" s="79"/>
      <c r="S865" s="79"/>
      <c r="V865" s="79"/>
      <c r="W865" s="79"/>
      <c r="Z865" s="130"/>
      <c r="AB865" s="106"/>
    </row>
    <row r="866">
      <c r="C866" s="79"/>
      <c r="D866" s="79"/>
      <c r="E866" s="79"/>
      <c r="M866" s="79"/>
      <c r="R866" s="79"/>
      <c r="S866" s="79"/>
      <c r="V866" s="79"/>
      <c r="W866" s="79"/>
      <c r="Z866" s="130"/>
      <c r="AB866" s="106"/>
    </row>
    <row r="867">
      <c r="C867" s="79"/>
      <c r="D867" s="79"/>
      <c r="E867" s="79"/>
      <c r="M867" s="79"/>
      <c r="R867" s="79"/>
      <c r="S867" s="79"/>
      <c r="V867" s="79"/>
      <c r="W867" s="79"/>
      <c r="Z867" s="130"/>
      <c r="AB867" s="106"/>
    </row>
    <row r="868">
      <c r="C868" s="79"/>
      <c r="D868" s="79"/>
      <c r="E868" s="79"/>
      <c r="M868" s="79"/>
      <c r="R868" s="79"/>
      <c r="S868" s="79"/>
      <c r="V868" s="79"/>
      <c r="W868" s="79"/>
      <c r="Z868" s="130"/>
      <c r="AB868" s="106"/>
    </row>
    <row r="869">
      <c r="C869" s="79"/>
      <c r="D869" s="79"/>
      <c r="E869" s="79"/>
      <c r="M869" s="79"/>
      <c r="R869" s="79"/>
      <c r="S869" s="79"/>
      <c r="V869" s="79"/>
      <c r="W869" s="79"/>
      <c r="Z869" s="130"/>
      <c r="AB869" s="106"/>
    </row>
    <row r="870">
      <c r="C870" s="79"/>
      <c r="D870" s="79"/>
      <c r="E870" s="79"/>
      <c r="M870" s="79"/>
      <c r="R870" s="79"/>
      <c r="S870" s="79"/>
      <c r="V870" s="79"/>
      <c r="W870" s="79"/>
      <c r="Z870" s="130"/>
      <c r="AB870" s="106"/>
    </row>
    <row r="871">
      <c r="C871" s="79"/>
      <c r="D871" s="79"/>
      <c r="E871" s="79"/>
      <c r="M871" s="79"/>
      <c r="R871" s="79"/>
      <c r="S871" s="79"/>
      <c r="V871" s="79"/>
      <c r="W871" s="79"/>
      <c r="Z871" s="130"/>
      <c r="AB871" s="106"/>
    </row>
    <row r="872">
      <c r="C872" s="79"/>
      <c r="D872" s="79"/>
      <c r="E872" s="79"/>
      <c r="M872" s="79"/>
      <c r="R872" s="79"/>
      <c r="S872" s="79"/>
      <c r="V872" s="79"/>
      <c r="W872" s="79"/>
      <c r="Z872" s="130"/>
      <c r="AB872" s="106"/>
    </row>
    <row r="873">
      <c r="C873" s="79"/>
      <c r="D873" s="79"/>
      <c r="E873" s="79"/>
      <c r="M873" s="79"/>
      <c r="R873" s="79"/>
      <c r="S873" s="79"/>
      <c r="V873" s="79"/>
      <c r="W873" s="79"/>
      <c r="Z873" s="130"/>
      <c r="AB873" s="106"/>
    </row>
    <row r="874">
      <c r="C874" s="79"/>
      <c r="D874" s="79"/>
      <c r="E874" s="79"/>
      <c r="M874" s="79"/>
      <c r="R874" s="79"/>
      <c r="S874" s="79"/>
      <c r="V874" s="79"/>
      <c r="W874" s="79"/>
      <c r="Z874" s="130"/>
      <c r="AB874" s="106"/>
    </row>
    <row r="875">
      <c r="C875" s="79"/>
      <c r="D875" s="79"/>
      <c r="E875" s="79"/>
      <c r="M875" s="79"/>
      <c r="R875" s="79"/>
      <c r="S875" s="79"/>
      <c r="V875" s="79"/>
      <c r="W875" s="79"/>
      <c r="Z875" s="130"/>
      <c r="AB875" s="106"/>
    </row>
    <row r="876">
      <c r="C876" s="79"/>
      <c r="D876" s="79"/>
      <c r="E876" s="79"/>
      <c r="M876" s="79"/>
      <c r="R876" s="79"/>
      <c r="S876" s="79"/>
      <c r="V876" s="79"/>
      <c r="W876" s="79"/>
      <c r="Z876" s="130"/>
      <c r="AB876" s="106"/>
    </row>
    <row r="877">
      <c r="C877" s="79"/>
      <c r="D877" s="79"/>
      <c r="E877" s="79"/>
      <c r="M877" s="79"/>
      <c r="R877" s="79"/>
      <c r="S877" s="79"/>
      <c r="V877" s="79"/>
      <c r="W877" s="79"/>
      <c r="Z877" s="130"/>
      <c r="AB877" s="106"/>
    </row>
    <row r="878">
      <c r="C878" s="79"/>
      <c r="D878" s="79"/>
      <c r="E878" s="79"/>
      <c r="M878" s="79"/>
      <c r="R878" s="79"/>
      <c r="S878" s="79"/>
      <c r="V878" s="79"/>
      <c r="W878" s="79"/>
      <c r="Z878" s="130"/>
      <c r="AB878" s="106"/>
    </row>
    <row r="879">
      <c r="C879" s="79"/>
      <c r="D879" s="79"/>
      <c r="E879" s="79"/>
      <c r="M879" s="79"/>
      <c r="R879" s="79"/>
      <c r="S879" s="79"/>
      <c r="V879" s="79"/>
      <c r="W879" s="79"/>
      <c r="Z879" s="130"/>
      <c r="AB879" s="106"/>
    </row>
    <row r="880">
      <c r="C880" s="79"/>
      <c r="D880" s="79"/>
      <c r="E880" s="79"/>
      <c r="M880" s="79"/>
      <c r="R880" s="79"/>
      <c r="S880" s="79"/>
      <c r="V880" s="79"/>
      <c r="W880" s="79"/>
      <c r="Z880" s="130"/>
      <c r="AB880" s="106"/>
    </row>
    <row r="881">
      <c r="C881" s="79"/>
      <c r="D881" s="79"/>
      <c r="E881" s="79"/>
      <c r="M881" s="79"/>
      <c r="R881" s="79"/>
      <c r="S881" s="79"/>
      <c r="V881" s="79"/>
      <c r="W881" s="79"/>
      <c r="Z881" s="130"/>
      <c r="AB881" s="106"/>
    </row>
    <row r="882">
      <c r="C882" s="79"/>
      <c r="D882" s="79"/>
      <c r="E882" s="79"/>
      <c r="M882" s="79"/>
      <c r="R882" s="79"/>
      <c r="S882" s="79"/>
      <c r="V882" s="79"/>
      <c r="W882" s="79"/>
      <c r="Z882" s="130"/>
      <c r="AB882" s="106"/>
    </row>
    <row r="883">
      <c r="C883" s="79"/>
      <c r="D883" s="79"/>
      <c r="E883" s="79"/>
      <c r="M883" s="79"/>
      <c r="R883" s="79"/>
      <c r="S883" s="79"/>
      <c r="V883" s="79"/>
      <c r="W883" s="79"/>
      <c r="Z883" s="130"/>
      <c r="AB883" s="106"/>
    </row>
    <row r="884">
      <c r="C884" s="79"/>
      <c r="D884" s="79"/>
      <c r="E884" s="79"/>
      <c r="M884" s="79"/>
      <c r="R884" s="79"/>
      <c r="S884" s="79"/>
      <c r="V884" s="79"/>
      <c r="W884" s="79"/>
      <c r="Z884" s="130"/>
      <c r="AB884" s="106"/>
    </row>
    <row r="885">
      <c r="C885" s="79"/>
      <c r="D885" s="79"/>
      <c r="E885" s="79"/>
      <c r="M885" s="79"/>
      <c r="R885" s="79"/>
      <c r="S885" s="79"/>
      <c r="V885" s="79"/>
      <c r="W885" s="79"/>
      <c r="Z885" s="130"/>
      <c r="AB885" s="106"/>
    </row>
    <row r="886">
      <c r="C886" s="79"/>
      <c r="D886" s="79"/>
      <c r="E886" s="79"/>
      <c r="M886" s="79"/>
      <c r="R886" s="79"/>
      <c r="S886" s="79"/>
      <c r="V886" s="79"/>
      <c r="W886" s="79"/>
      <c r="Z886" s="130"/>
      <c r="AB886" s="106"/>
    </row>
    <row r="887">
      <c r="C887" s="79"/>
      <c r="D887" s="79"/>
      <c r="E887" s="79"/>
      <c r="M887" s="79"/>
      <c r="R887" s="79"/>
      <c r="S887" s="79"/>
      <c r="V887" s="79"/>
      <c r="W887" s="79"/>
      <c r="Z887" s="130"/>
      <c r="AB887" s="106"/>
    </row>
    <row r="888">
      <c r="C888" s="79"/>
      <c r="D888" s="79"/>
      <c r="E888" s="79"/>
      <c r="M888" s="79"/>
      <c r="R888" s="79"/>
      <c r="S888" s="79"/>
      <c r="V888" s="79"/>
      <c r="W888" s="79"/>
      <c r="Z888" s="130"/>
      <c r="AB888" s="106"/>
    </row>
    <row r="889">
      <c r="C889" s="79"/>
      <c r="D889" s="79"/>
      <c r="E889" s="79"/>
      <c r="M889" s="79"/>
      <c r="R889" s="79"/>
      <c r="S889" s="79"/>
      <c r="V889" s="79"/>
      <c r="W889" s="79"/>
      <c r="Z889" s="130"/>
      <c r="AB889" s="106"/>
    </row>
    <row r="890">
      <c r="C890" s="79"/>
      <c r="D890" s="79"/>
      <c r="E890" s="79"/>
      <c r="M890" s="79"/>
      <c r="R890" s="79"/>
      <c r="S890" s="79"/>
      <c r="V890" s="79"/>
      <c r="W890" s="79"/>
      <c r="Z890" s="130"/>
      <c r="AB890" s="106"/>
    </row>
    <row r="891">
      <c r="C891" s="79"/>
      <c r="D891" s="79"/>
      <c r="E891" s="79"/>
      <c r="M891" s="79"/>
      <c r="R891" s="79"/>
      <c r="S891" s="79"/>
      <c r="V891" s="79"/>
      <c r="W891" s="79"/>
      <c r="Z891" s="130"/>
      <c r="AB891" s="106"/>
    </row>
    <row r="892">
      <c r="C892" s="79"/>
      <c r="D892" s="79"/>
      <c r="E892" s="79"/>
      <c r="M892" s="79"/>
      <c r="R892" s="79"/>
      <c r="S892" s="79"/>
      <c r="V892" s="79"/>
      <c r="W892" s="79"/>
      <c r="Z892" s="130"/>
      <c r="AB892" s="106"/>
    </row>
    <row r="893">
      <c r="C893" s="79"/>
      <c r="D893" s="79"/>
      <c r="E893" s="79"/>
      <c r="M893" s="79"/>
      <c r="R893" s="79"/>
      <c r="S893" s="79"/>
      <c r="V893" s="79"/>
      <c r="W893" s="79"/>
      <c r="Z893" s="130"/>
      <c r="AB893" s="106"/>
    </row>
    <row r="894">
      <c r="C894" s="79"/>
      <c r="D894" s="79"/>
      <c r="E894" s="79"/>
      <c r="M894" s="79"/>
      <c r="R894" s="79"/>
      <c r="S894" s="79"/>
      <c r="V894" s="79"/>
      <c r="W894" s="79"/>
      <c r="Z894" s="130"/>
      <c r="AB894" s="106"/>
    </row>
    <row r="895">
      <c r="C895" s="79"/>
      <c r="D895" s="79"/>
      <c r="E895" s="79"/>
      <c r="M895" s="79"/>
      <c r="R895" s="79"/>
      <c r="S895" s="79"/>
      <c r="V895" s="79"/>
      <c r="W895" s="79"/>
      <c r="Z895" s="130"/>
      <c r="AB895" s="106"/>
    </row>
    <row r="896">
      <c r="C896" s="79"/>
      <c r="D896" s="79"/>
      <c r="E896" s="79"/>
      <c r="M896" s="79"/>
      <c r="R896" s="79"/>
      <c r="S896" s="79"/>
      <c r="V896" s="79"/>
      <c r="W896" s="79"/>
      <c r="Z896" s="130"/>
      <c r="AB896" s="106"/>
    </row>
    <row r="897">
      <c r="C897" s="79"/>
      <c r="D897" s="79"/>
      <c r="E897" s="79"/>
      <c r="M897" s="79"/>
      <c r="R897" s="79"/>
      <c r="S897" s="79"/>
      <c r="V897" s="79"/>
      <c r="W897" s="79"/>
      <c r="Z897" s="130"/>
      <c r="AB897" s="106"/>
    </row>
    <row r="898">
      <c r="C898" s="79"/>
      <c r="D898" s="79"/>
      <c r="E898" s="79"/>
      <c r="M898" s="79"/>
      <c r="R898" s="79"/>
      <c r="S898" s="79"/>
      <c r="V898" s="79"/>
      <c r="W898" s="79"/>
      <c r="Z898" s="130"/>
      <c r="AB898" s="106"/>
    </row>
    <row r="899">
      <c r="C899" s="79"/>
      <c r="D899" s="79"/>
      <c r="E899" s="79"/>
      <c r="M899" s="79"/>
      <c r="R899" s="79"/>
      <c r="S899" s="79"/>
      <c r="V899" s="79"/>
      <c r="W899" s="79"/>
      <c r="Z899" s="130"/>
      <c r="AB899" s="106"/>
    </row>
    <row r="900">
      <c r="C900" s="79"/>
      <c r="D900" s="79"/>
      <c r="E900" s="79"/>
      <c r="M900" s="79"/>
      <c r="R900" s="79"/>
      <c r="S900" s="79"/>
      <c r="V900" s="79"/>
      <c r="W900" s="79"/>
      <c r="Z900" s="130"/>
      <c r="AB900" s="106"/>
    </row>
    <row r="901">
      <c r="C901" s="79"/>
      <c r="D901" s="79"/>
      <c r="E901" s="79"/>
      <c r="M901" s="79"/>
      <c r="R901" s="79"/>
      <c r="S901" s="79"/>
      <c r="V901" s="79"/>
      <c r="W901" s="79"/>
      <c r="Z901" s="130"/>
      <c r="AB901" s="106"/>
    </row>
    <row r="902">
      <c r="C902" s="79"/>
      <c r="D902" s="79"/>
      <c r="E902" s="79"/>
      <c r="M902" s="79"/>
      <c r="R902" s="79"/>
      <c r="S902" s="79"/>
      <c r="V902" s="79"/>
      <c r="W902" s="79"/>
      <c r="Z902" s="130"/>
      <c r="AB902" s="106"/>
    </row>
    <row r="903">
      <c r="C903" s="79"/>
      <c r="D903" s="79"/>
      <c r="E903" s="79"/>
      <c r="M903" s="79"/>
      <c r="R903" s="79"/>
      <c r="S903" s="79"/>
      <c r="V903" s="79"/>
      <c r="W903" s="79"/>
      <c r="Z903" s="130"/>
      <c r="AB903" s="106"/>
    </row>
    <row r="904">
      <c r="C904" s="79"/>
      <c r="D904" s="79"/>
      <c r="E904" s="79"/>
      <c r="M904" s="79"/>
      <c r="R904" s="79"/>
      <c r="S904" s="79"/>
      <c r="V904" s="79"/>
      <c r="W904" s="79"/>
      <c r="Z904" s="130"/>
      <c r="AB904" s="106"/>
    </row>
    <row r="905">
      <c r="C905" s="79"/>
      <c r="D905" s="79"/>
      <c r="E905" s="79"/>
      <c r="M905" s="79"/>
      <c r="R905" s="79"/>
      <c r="S905" s="79"/>
      <c r="V905" s="79"/>
      <c r="W905" s="79"/>
      <c r="Z905" s="130"/>
      <c r="AB905" s="106"/>
    </row>
    <row r="906">
      <c r="C906" s="79"/>
      <c r="D906" s="79"/>
      <c r="E906" s="79"/>
      <c r="M906" s="79"/>
      <c r="R906" s="79"/>
      <c r="S906" s="79"/>
      <c r="V906" s="79"/>
      <c r="W906" s="79"/>
      <c r="Z906" s="130"/>
      <c r="AB906" s="106"/>
    </row>
    <row r="907">
      <c r="C907" s="79"/>
      <c r="D907" s="79"/>
      <c r="E907" s="79"/>
      <c r="M907" s="79"/>
      <c r="R907" s="79"/>
      <c r="S907" s="79"/>
      <c r="V907" s="79"/>
      <c r="W907" s="79"/>
      <c r="Z907" s="130"/>
      <c r="AB907" s="106"/>
    </row>
    <row r="908">
      <c r="C908" s="79"/>
      <c r="D908" s="79"/>
      <c r="E908" s="79"/>
      <c r="M908" s="79"/>
      <c r="R908" s="79"/>
      <c r="S908" s="79"/>
      <c r="V908" s="79"/>
      <c r="W908" s="79"/>
      <c r="Z908" s="130"/>
      <c r="AB908" s="106"/>
    </row>
    <row r="909">
      <c r="C909" s="79"/>
      <c r="D909" s="79"/>
      <c r="E909" s="79"/>
      <c r="M909" s="79"/>
      <c r="R909" s="79"/>
      <c r="S909" s="79"/>
      <c r="V909" s="79"/>
      <c r="W909" s="79"/>
      <c r="Z909" s="130"/>
      <c r="AB909" s="106"/>
    </row>
    <row r="910">
      <c r="C910" s="79"/>
      <c r="D910" s="79"/>
      <c r="E910" s="79"/>
      <c r="M910" s="79"/>
      <c r="R910" s="79"/>
      <c r="S910" s="79"/>
      <c r="V910" s="79"/>
      <c r="W910" s="79"/>
      <c r="Z910" s="130"/>
      <c r="AB910" s="106"/>
    </row>
    <row r="911">
      <c r="C911" s="79"/>
      <c r="D911" s="79"/>
      <c r="E911" s="79"/>
      <c r="M911" s="79"/>
      <c r="R911" s="79"/>
      <c r="S911" s="79"/>
      <c r="V911" s="79"/>
      <c r="W911" s="79"/>
      <c r="Z911" s="130"/>
      <c r="AB911" s="106"/>
    </row>
    <row r="912">
      <c r="C912" s="79"/>
      <c r="D912" s="79"/>
      <c r="E912" s="79"/>
      <c r="M912" s="79"/>
      <c r="R912" s="79"/>
      <c r="S912" s="79"/>
      <c r="V912" s="79"/>
      <c r="W912" s="79"/>
      <c r="Z912" s="130"/>
      <c r="AB912" s="106"/>
    </row>
    <row r="913">
      <c r="C913" s="79"/>
      <c r="D913" s="79"/>
      <c r="E913" s="79"/>
      <c r="M913" s="79"/>
      <c r="R913" s="79"/>
      <c r="S913" s="79"/>
      <c r="V913" s="79"/>
      <c r="W913" s="79"/>
      <c r="Z913" s="130"/>
      <c r="AB913" s="106"/>
    </row>
    <row r="914">
      <c r="C914" s="79"/>
      <c r="D914" s="79"/>
      <c r="E914" s="79"/>
      <c r="M914" s="79"/>
      <c r="R914" s="79"/>
      <c r="S914" s="79"/>
      <c r="V914" s="79"/>
      <c r="W914" s="79"/>
      <c r="Z914" s="130"/>
      <c r="AB914" s="106"/>
    </row>
    <row r="915">
      <c r="C915" s="79"/>
      <c r="D915" s="79"/>
      <c r="E915" s="79"/>
      <c r="M915" s="79"/>
      <c r="R915" s="79"/>
      <c r="S915" s="79"/>
      <c r="V915" s="79"/>
      <c r="W915" s="79"/>
      <c r="Z915" s="130"/>
      <c r="AB915" s="106"/>
    </row>
    <row r="916">
      <c r="C916" s="79"/>
      <c r="D916" s="79"/>
      <c r="E916" s="79"/>
      <c r="M916" s="79"/>
      <c r="R916" s="79"/>
      <c r="S916" s="79"/>
      <c r="V916" s="79"/>
      <c r="W916" s="79"/>
      <c r="Z916" s="130"/>
      <c r="AB916" s="106"/>
    </row>
    <row r="917">
      <c r="C917" s="79"/>
      <c r="D917" s="79"/>
      <c r="E917" s="79"/>
      <c r="M917" s="79"/>
      <c r="R917" s="79"/>
      <c r="S917" s="79"/>
      <c r="V917" s="79"/>
      <c r="W917" s="79"/>
      <c r="Z917" s="130"/>
      <c r="AB917" s="106"/>
    </row>
    <row r="918">
      <c r="C918" s="79"/>
      <c r="D918" s="79"/>
      <c r="E918" s="79"/>
      <c r="M918" s="79"/>
      <c r="R918" s="79"/>
      <c r="S918" s="79"/>
      <c r="V918" s="79"/>
      <c r="W918" s="79"/>
      <c r="Z918" s="130"/>
      <c r="AB918" s="106"/>
    </row>
    <row r="919">
      <c r="C919" s="79"/>
      <c r="D919" s="79"/>
      <c r="E919" s="79"/>
      <c r="M919" s="79"/>
      <c r="R919" s="79"/>
      <c r="S919" s="79"/>
      <c r="V919" s="79"/>
      <c r="W919" s="79"/>
      <c r="Z919" s="130"/>
      <c r="AB919" s="106"/>
    </row>
    <row r="920">
      <c r="C920" s="79"/>
      <c r="D920" s="79"/>
      <c r="E920" s="79"/>
      <c r="M920" s="79"/>
      <c r="R920" s="79"/>
      <c r="S920" s="79"/>
      <c r="V920" s="79"/>
      <c r="W920" s="79"/>
      <c r="Z920" s="130"/>
      <c r="AB920" s="106"/>
    </row>
    <row r="921">
      <c r="C921" s="79"/>
      <c r="D921" s="79"/>
      <c r="E921" s="79"/>
      <c r="M921" s="79"/>
      <c r="R921" s="79"/>
      <c r="S921" s="79"/>
      <c r="V921" s="79"/>
      <c r="W921" s="79"/>
      <c r="Z921" s="130"/>
      <c r="AB921" s="106"/>
    </row>
    <row r="922">
      <c r="C922" s="79"/>
      <c r="D922" s="79"/>
      <c r="E922" s="79"/>
      <c r="M922" s="79"/>
      <c r="R922" s="79"/>
      <c r="S922" s="79"/>
      <c r="V922" s="79"/>
      <c r="W922" s="79"/>
      <c r="Z922" s="130"/>
      <c r="AB922" s="106"/>
    </row>
    <row r="923">
      <c r="C923" s="79"/>
      <c r="D923" s="79"/>
      <c r="E923" s="79"/>
      <c r="M923" s="79"/>
      <c r="R923" s="79"/>
      <c r="S923" s="79"/>
      <c r="V923" s="79"/>
      <c r="W923" s="79"/>
      <c r="Z923" s="130"/>
      <c r="AB923" s="106"/>
    </row>
    <row r="924">
      <c r="C924" s="79"/>
      <c r="D924" s="79"/>
      <c r="E924" s="79"/>
      <c r="M924" s="79"/>
      <c r="R924" s="79"/>
      <c r="S924" s="79"/>
      <c r="V924" s="79"/>
      <c r="W924" s="79"/>
      <c r="Z924" s="130"/>
      <c r="AB924" s="106"/>
    </row>
    <row r="925">
      <c r="C925" s="79"/>
      <c r="D925" s="79"/>
      <c r="E925" s="79"/>
      <c r="M925" s="79"/>
      <c r="R925" s="79"/>
      <c r="S925" s="79"/>
      <c r="V925" s="79"/>
      <c r="W925" s="79"/>
      <c r="Z925" s="130"/>
      <c r="AB925" s="106"/>
    </row>
    <row r="926">
      <c r="C926" s="79"/>
      <c r="D926" s="79"/>
      <c r="E926" s="79"/>
      <c r="M926" s="79"/>
      <c r="R926" s="79"/>
      <c r="S926" s="79"/>
      <c r="V926" s="79"/>
      <c r="W926" s="79"/>
      <c r="Z926" s="130"/>
      <c r="AB926" s="106"/>
    </row>
    <row r="927">
      <c r="C927" s="79"/>
      <c r="D927" s="79"/>
      <c r="E927" s="79"/>
      <c r="M927" s="79"/>
      <c r="R927" s="79"/>
      <c r="S927" s="79"/>
      <c r="V927" s="79"/>
      <c r="W927" s="79"/>
      <c r="Z927" s="130"/>
      <c r="AB927" s="106"/>
    </row>
    <row r="928">
      <c r="C928" s="79"/>
      <c r="D928" s="79"/>
      <c r="E928" s="79"/>
      <c r="M928" s="79"/>
      <c r="R928" s="79"/>
      <c r="S928" s="79"/>
      <c r="V928" s="79"/>
      <c r="W928" s="79"/>
      <c r="Z928" s="130"/>
      <c r="AB928" s="106"/>
    </row>
    <row r="929">
      <c r="C929" s="79"/>
      <c r="D929" s="79"/>
      <c r="E929" s="79"/>
      <c r="M929" s="79"/>
      <c r="R929" s="79"/>
      <c r="S929" s="79"/>
      <c r="V929" s="79"/>
      <c r="W929" s="79"/>
      <c r="Z929" s="130"/>
      <c r="AB929" s="106"/>
    </row>
    <row r="930">
      <c r="C930" s="79"/>
      <c r="D930" s="79"/>
      <c r="E930" s="79"/>
      <c r="M930" s="79"/>
      <c r="R930" s="79"/>
      <c r="S930" s="79"/>
      <c r="V930" s="79"/>
      <c r="W930" s="79"/>
      <c r="Z930" s="130"/>
      <c r="AB930" s="106"/>
    </row>
    <row r="931">
      <c r="C931" s="79"/>
      <c r="D931" s="79"/>
      <c r="E931" s="79"/>
      <c r="M931" s="79"/>
      <c r="R931" s="79"/>
      <c r="S931" s="79"/>
      <c r="V931" s="79"/>
      <c r="W931" s="79"/>
      <c r="Z931" s="130"/>
      <c r="AB931" s="106"/>
    </row>
    <row r="932">
      <c r="C932" s="79"/>
      <c r="D932" s="79"/>
      <c r="E932" s="79"/>
      <c r="M932" s="79"/>
      <c r="R932" s="79"/>
      <c r="S932" s="79"/>
      <c r="V932" s="79"/>
      <c r="W932" s="79"/>
      <c r="Z932" s="130"/>
      <c r="AB932" s="106"/>
    </row>
    <row r="933">
      <c r="C933" s="79"/>
      <c r="D933" s="79"/>
      <c r="E933" s="79"/>
      <c r="M933" s="79"/>
      <c r="R933" s="79"/>
      <c r="S933" s="79"/>
      <c r="V933" s="79"/>
      <c r="W933" s="79"/>
      <c r="Z933" s="130"/>
      <c r="AB933" s="106"/>
    </row>
    <row r="934">
      <c r="C934" s="79"/>
      <c r="D934" s="79"/>
      <c r="E934" s="79"/>
      <c r="M934" s="79"/>
      <c r="R934" s="79"/>
      <c r="S934" s="79"/>
      <c r="V934" s="79"/>
      <c r="W934" s="79"/>
      <c r="Z934" s="130"/>
      <c r="AB934" s="106"/>
    </row>
    <row r="935">
      <c r="C935" s="79"/>
      <c r="D935" s="79"/>
      <c r="E935" s="79"/>
      <c r="M935" s="79"/>
      <c r="R935" s="79"/>
      <c r="S935" s="79"/>
      <c r="V935" s="79"/>
      <c r="W935" s="79"/>
      <c r="Z935" s="130"/>
      <c r="AB935" s="106"/>
    </row>
    <row r="936">
      <c r="C936" s="79"/>
      <c r="D936" s="79"/>
      <c r="E936" s="79"/>
      <c r="M936" s="79"/>
      <c r="R936" s="79"/>
      <c r="S936" s="79"/>
      <c r="V936" s="79"/>
      <c r="W936" s="79"/>
      <c r="Z936" s="130"/>
      <c r="AB936" s="106"/>
    </row>
    <row r="937">
      <c r="C937" s="79"/>
      <c r="D937" s="79"/>
      <c r="E937" s="79"/>
      <c r="M937" s="79"/>
      <c r="R937" s="79"/>
      <c r="S937" s="79"/>
      <c r="V937" s="79"/>
      <c r="W937" s="79"/>
      <c r="Z937" s="130"/>
      <c r="AB937" s="106"/>
    </row>
    <row r="938">
      <c r="C938" s="79"/>
      <c r="D938" s="79"/>
      <c r="E938" s="79"/>
      <c r="M938" s="79"/>
      <c r="R938" s="79"/>
      <c r="S938" s="79"/>
      <c r="V938" s="79"/>
      <c r="W938" s="79"/>
      <c r="Z938" s="130"/>
      <c r="AB938" s="106"/>
    </row>
    <row r="939">
      <c r="C939" s="79"/>
      <c r="D939" s="79"/>
      <c r="E939" s="79"/>
      <c r="M939" s="79"/>
      <c r="R939" s="79"/>
      <c r="S939" s="79"/>
      <c r="V939" s="79"/>
      <c r="W939" s="79"/>
      <c r="Z939" s="130"/>
      <c r="AB939" s="106"/>
    </row>
    <row r="940">
      <c r="C940" s="79"/>
      <c r="D940" s="79"/>
      <c r="E940" s="79"/>
      <c r="M940" s="79"/>
      <c r="R940" s="79"/>
      <c r="S940" s="79"/>
      <c r="V940" s="79"/>
      <c r="W940" s="79"/>
      <c r="Z940" s="130"/>
      <c r="AB940" s="106"/>
    </row>
    <row r="941">
      <c r="C941" s="79"/>
      <c r="D941" s="79"/>
      <c r="E941" s="79"/>
      <c r="M941" s="79"/>
      <c r="R941" s="79"/>
      <c r="S941" s="79"/>
      <c r="V941" s="79"/>
      <c r="W941" s="79"/>
      <c r="Z941" s="130"/>
      <c r="AB941" s="106"/>
    </row>
    <row r="942">
      <c r="C942" s="79"/>
      <c r="D942" s="79"/>
      <c r="E942" s="79"/>
      <c r="M942" s="79"/>
      <c r="R942" s="79"/>
      <c r="S942" s="79"/>
      <c r="V942" s="79"/>
      <c r="W942" s="79"/>
      <c r="Z942" s="130"/>
      <c r="AB942" s="106"/>
    </row>
    <row r="943">
      <c r="C943" s="79"/>
      <c r="D943" s="79"/>
      <c r="E943" s="79"/>
      <c r="M943" s="79"/>
      <c r="R943" s="79"/>
      <c r="S943" s="79"/>
      <c r="V943" s="79"/>
      <c r="W943" s="79"/>
      <c r="Z943" s="130"/>
      <c r="AB943" s="106"/>
    </row>
    <row r="944">
      <c r="C944" s="79"/>
      <c r="D944" s="79"/>
      <c r="E944" s="79"/>
      <c r="M944" s="79"/>
      <c r="R944" s="79"/>
      <c r="S944" s="79"/>
      <c r="V944" s="79"/>
      <c r="W944" s="79"/>
      <c r="Z944" s="130"/>
      <c r="AB944" s="106"/>
    </row>
    <row r="945">
      <c r="C945" s="79"/>
      <c r="D945" s="79"/>
      <c r="E945" s="79"/>
      <c r="M945" s="79"/>
      <c r="R945" s="79"/>
      <c r="S945" s="79"/>
      <c r="V945" s="79"/>
      <c r="W945" s="79"/>
      <c r="Z945" s="130"/>
      <c r="AB945" s="106"/>
    </row>
    <row r="946">
      <c r="C946" s="79"/>
      <c r="D946" s="79"/>
      <c r="E946" s="79"/>
      <c r="M946" s="79"/>
      <c r="R946" s="79"/>
      <c r="S946" s="79"/>
      <c r="V946" s="79"/>
      <c r="W946" s="79"/>
      <c r="Z946" s="130"/>
      <c r="AB946" s="106"/>
    </row>
  </sheetData>
  <drawing r:id="rId2"/>
  <legacyDrawing r:id="rId3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5" max="5" width="13.5"/>
    <col customWidth="1" min="8" max="8" width="13.25"/>
    <col customWidth="1" min="25" max="25" width="14.63"/>
    <col customWidth="1" min="29" max="29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129</v>
      </c>
      <c r="J1" s="2" t="s">
        <v>5</v>
      </c>
      <c r="K1" s="2" t="s">
        <v>204</v>
      </c>
      <c r="L1" s="2" t="s">
        <v>6</v>
      </c>
      <c r="M1" s="2" t="s">
        <v>12</v>
      </c>
      <c r="N1" s="105" t="s">
        <v>40</v>
      </c>
      <c r="O1" s="2" t="s">
        <v>49</v>
      </c>
      <c r="P1" s="2" t="s">
        <v>42</v>
      </c>
      <c r="Q1" s="2" t="s">
        <v>121</v>
      </c>
      <c r="R1" s="2" t="s">
        <v>164</v>
      </c>
      <c r="S1" s="105" t="s">
        <v>9</v>
      </c>
      <c r="T1" s="105" t="s">
        <v>165</v>
      </c>
      <c r="U1" s="2" t="s">
        <v>37</v>
      </c>
      <c r="V1" s="2" t="s">
        <v>10</v>
      </c>
      <c r="W1" s="105" t="s">
        <v>11</v>
      </c>
      <c r="X1" s="105" t="s">
        <v>205</v>
      </c>
      <c r="Y1" s="2" t="s">
        <v>206</v>
      </c>
      <c r="Z1" s="3" t="s">
        <v>13</v>
      </c>
      <c r="AA1" s="3" t="s">
        <v>14</v>
      </c>
      <c r="AB1" s="3" t="s">
        <v>15</v>
      </c>
      <c r="AC1" s="106"/>
    </row>
    <row r="2">
      <c r="A2" s="74">
        <v>45383.0</v>
      </c>
      <c r="B2" s="93">
        <f>1354.37-251.92-91.81-8.83-19.63-17.34-14.26-25.77+470.52-254-78.43</f>
        <v>1062.9</v>
      </c>
      <c r="C2" s="93">
        <f>483.45-262.5</f>
        <v>220.95</v>
      </c>
      <c r="D2" s="193"/>
      <c r="E2" s="93"/>
      <c r="F2" s="93"/>
      <c r="G2" s="93">
        <v>180.0</v>
      </c>
      <c r="H2" s="93"/>
      <c r="I2" s="93">
        <v>179.09</v>
      </c>
      <c r="J2" s="93"/>
      <c r="K2" s="93"/>
      <c r="L2" s="93"/>
      <c r="M2" s="93"/>
      <c r="N2" s="93"/>
      <c r="O2" s="93">
        <v>144.0</v>
      </c>
      <c r="P2" s="93"/>
      <c r="Q2" s="93"/>
      <c r="R2" s="93"/>
      <c r="S2" s="93"/>
      <c r="T2" s="93"/>
      <c r="U2" s="72"/>
      <c r="V2" s="93"/>
      <c r="W2" s="93">
        <v>57.05</v>
      </c>
      <c r="X2" s="93"/>
      <c r="Y2" s="5"/>
      <c r="Z2" s="107">
        <f t="shared" ref="Z2:Z8" si="1">SUM(B2:Y2)</f>
        <v>1843.99</v>
      </c>
      <c r="AA2" s="158">
        <v>1843.0</v>
      </c>
      <c r="AB2" s="59">
        <f t="shared" ref="AB2:AB8" si="2">Z2/AA2</f>
        <v>1.000537168</v>
      </c>
      <c r="AC2" s="109">
        <f t="shared" ref="AC2:AC8" si="3">A2</f>
        <v>45383</v>
      </c>
    </row>
    <row r="3">
      <c r="A3" s="74">
        <v>45384.0</v>
      </c>
      <c r="B3" s="93">
        <f>727.19-65.91-67.08-146.04-40.41</f>
        <v>407.75</v>
      </c>
      <c r="C3" s="79"/>
      <c r="D3" s="1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107">
        <f t="shared" si="1"/>
        <v>407.75</v>
      </c>
      <c r="AA3" s="158">
        <v>2958.0</v>
      </c>
      <c r="AB3" s="59">
        <f t="shared" si="2"/>
        <v>0.1378465179</v>
      </c>
      <c r="AC3" s="109">
        <f t="shared" si="3"/>
        <v>45384</v>
      </c>
    </row>
    <row r="4">
      <c r="A4" s="74">
        <v>45385.0</v>
      </c>
      <c r="B4" s="93">
        <f>1015.14-24.7-90-40.79-93.82-38.64-57.55-69.47</f>
        <v>600.17</v>
      </c>
      <c r="C4" s="93">
        <f>125.45-37.5</f>
        <v>87.95</v>
      </c>
      <c r="D4" s="93">
        <f>306.88-130.15-119.73</f>
        <v>57</v>
      </c>
      <c r="E4" s="93"/>
      <c r="F4" s="93"/>
      <c r="G4" s="93"/>
      <c r="H4" s="93"/>
      <c r="I4" s="93"/>
      <c r="J4" s="93"/>
      <c r="K4" s="93"/>
      <c r="L4" s="93">
        <v>42.0</v>
      </c>
      <c r="M4" s="93"/>
      <c r="N4" s="93"/>
      <c r="O4" s="93"/>
      <c r="P4" s="93"/>
      <c r="Q4" s="93"/>
      <c r="R4" s="93"/>
      <c r="S4" s="93">
        <v>100.0</v>
      </c>
      <c r="T4" s="93"/>
      <c r="U4" s="160"/>
      <c r="V4" s="93">
        <v>132.85</v>
      </c>
      <c r="W4" s="93">
        <v>57.05</v>
      </c>
      <c r="X4" s="93"/>
      <c r="Y4" s="6"/>
      <c r="Z4" s="107">
        <f t="shared" si="1"/>
        <v>1077.02</v>
      </c>
      <c r="AA4" s="97">
        <f>776+4069</f>
        <v>4845</v>
      </c>
      <c r="AB4" s="59">
        <f t="shared" si="2"/>
        <v>0.2222951496</v>
      </c>
      <c r="AC4" s="109">
        <f t="shared" si="3"/>
        <v>45385</v>
      </c>
    </row>
    <row r="5">
      <c r="A5" s="74">
        <v>45386.0</v>
      </c>
      <c r="B5" s="93">
        <f>700.88-12.88-66.08-32.45-26.16</f>
        <v>563.31</v>
      </c>
      <c r="C5" s="93">
        <f>528.36</f>
        <v>528.36</v>
      </c>
      <c r="D5" s="93"/>
      <c r="E5" s="93"/>
      <c r="F5" s="93">
        <v>83.96</v>
      </c>
      <c r="G5" s="93">
        <v>180.0</v>
      </c>
      <c r="H5" s="160"/>
      <c r="I5" s="93">
        <f>315.08-158.28</f>
        <v>156.8</v>
      </c>
      <c r="J5" s="93"/>
      <c r="K5" s="93"/>
      <c r="L5" s="93">
        <v>166.4</v>
      </c>
      <c r="M5" s="93">
        <v>47.8</v>
      </c>
      <c r="N5" s="93"/>
      <c r="O5" s="93"/>
      <c r="P5" s="93"/>
      <c r="Q5" s="93"/>
      <c r="R5" s="93"/>
      <c r="S5" s="93"/>
      <c r="T5" s="93"/>
      <c r="U5" s="93"/>
      <c r="V5" s="93"/>
      <c r="W5" s="101"/>
      <c r="X5" s="101"/>
      <c r="Y5" s="6"/>
      <c r="Z5" s="7">
        <f t="shared" si="1"/>
        <v>1726.63</v>
      </c>
      <c r="AA5" s="97">
        <f>802+4516</f>
        <v>5318</v>
      </c>
      <c r="AB5" s="59">
        <f t="shared" si="2"/>
        <v>0.3246765701</v>
      </c>
      <c r="AC5" s="109">
        <f t="shared" si="3"/>
        <v>45386</v>
      </c>
    </row>
    <row r="6">
      <c r="A6" s="74">
        <v>45387.0</v>
      </c>
      <c r="B6" s="93">
        <f>1978-359.29-35.93-33.54-10.32-8.09-36.94-56.14-55.12-16.69-56.8-18.81-18.97-141.84-51.25</f>
        <v>1078.27</v>
      </c>
      <c r="C6" s="93">
        <f>48.4</f>
        <v>48.4</v>
      </c>
      <c r="D6" s="93">
        <v>272.23</v>
      </c>
      <c r="E6" s="93"/>
      <c r="F6" s="93"/>
      <c r="G6" s="93"/>
      <c r="H6" s="93"/>
      <c r="I6" s="93"/>
      <c r="J6" s="93">
        <f>855.65-198-190</f>
        <v>467.65</v>
      </c>
      <c r="K6" s="93"/>
      <c r="L6" s="93"/>
      <c r="M6" s="93"/>
      <c r="N6" s="162"/>
      <c r="O6" s="93"/>
      <c r="P6" s="93"/>
      <c r="Q6" s="93"/>
      <c r="R6" s="93"/>
      <c r="S6" s="93"/>
      <c r="T6" s="93"/>
      <c r="U6" s="93"/>
      <c r="V6" s="93"/>
      <c r="W6" s="93">
        <v>57.05</v>
      </c>
      <c r="X6" s="93"/>
      <c r="Y6" s="5"/>
      <c r="Z6" s="7">
        <f t="shared" si="1"/>
        <v>1923.6</v>
      </c>
      <c r="AA6" s="97">
        <f>478+7252</f>
        <v>7730</v>
      </c>
      <c r="AB6" s="59">
        <f t="shared" si="2"/>
        <v>0.2488486417</v>
      </c>
      <c r="AC6" s="109">
        <f t="shared" si="3"/>
        <v>45387</v>
      </c>
    </row>
    <row r="7">
      <c r="A7" s="74">
        <v>45388.0</v>
      </c>
      <c r="B7" s="93">
        <f>695.68-46.84</f>
        <v>648.84</v>
      </c>
      <c r="C7" s="93">
        <v>417.8</v>
      </c>
      <c r="D7" s="93"/>
      <c r="E7" s="93"/>
      <c r="F7" s="93"/>
      <c r="G7" s="93"/>
      <c r="H7" s="93"/>
      <c r="I7" s="93">
        <v>311.84</v>
      </c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101"/>
      <c r="V7" s="93"/>
      <c r="W7" s="101"/>
      <c r="X7" s="101"/>
      <c r="Y7" s="5"/>
      <c r="Z7" s="7">
        <f t="shared" si="1"/>
        <v>1378.48</v>
      </c>
      <c r="AA7" s="97">
        <f>2170+7095</f>
        <v>9265</v>
      </c>
      <c r="AB7" s="59">
        <f t="shared" si="2"/>
        <v>0.1487835942</v>
      </c>
      <c r="AC7" s="109">
        <f t="shared" si="3"/>
        <v>45388</v>
      </c>
    </row>
    <row r="8">
      <c r="A8" s="74">
        <v>45389.0</v>
      </c>
      <c r="B8" s="180">
        <v>879.87</v>
      </c>
      <c r="C8" s="93"/>
      <c r="D8" s="180">
        <f>1622/2</f>
        <v>811</v>
      </c>
      <c r="E8" s="112" t="s">
        <v>21</v>
      </c>
      <c r="F8" s="112"/>
      <c r="G8" s="112" t="s">
        <v>21</v>
      </c>
      <c r="H8" s="112" t="s">
        <v>21</v>
      </c>
      <c r="I8" s="112" t="s">
        <v>21</v>
      </c>
      <c r="J8" s="180">
        <v>396.0</v>
      </c>
      <c r="K8" s="112" t="s">
        <v>21</v>
      </c>
      <c r="L8" s="112" t="s">
        <v>21</v>
      </c>
      <c r="M8" s="112" t="s">
        <v>21</v>
      </c>
      <c r="N8" s="112" t="s">
        <v>21</v>
      </c>
      <c r="O8" s="112" t="s">
        <v>21</v>
      </c>
      <c r="P8" s="93"/>
      <c r="Q8" s="112" t="s">
        <v>21</v>
      </c>
      <c r="R8" s="93"/>
      <c r="S8" s="112" t="s">
        <v>21</v>
      </c>
      <c r="T8" s="112" t="s">
        <v>21</v>
      </c>
      <c r="U8" s="112" t="s">
        <v>21</v>
      </c>
      <c r="V8" s="112" t="s">
        <v>21</v>
      </c>
      <c r="W8" s="10" t="s">
        <v>21</v>
      </c>
      <c r="X8" s="10" t="s">
        <v>21</v>
      </c>
      <c r="Y8" s="10" t="s">
        <v>21</v>
      </c>
      <c r="Z8" s="7">
        <f t="shared" si="1"/>
        <v>2086.87</v>
      </c>
      <c r="AA8" s="97">
        <v>6855.4</v>
      </c>
      <c r="AB8" s="59">
        <f t="shared" si="2"/>
        <v>0.3044125799</v>
      </c>
      <c r="AC8" s="109">
        <f t="shared" si="3"/>
        <v>45389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AA9" s="129"/>
      <c r="AC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AA10" s="129"/>
      <c r="AC10" s="106"/>
    </row>
    <row r="11">
      <c r="A11" s="165" t="s">
        <v>194</v>
      </c>
      <c r="B11" s="93">
        <f>91.82+8.83+19.63+17.34+14.26+25.77+254+40.41+40.79+12.88+33.04+32.45+26.16+78.43+38.64+57.55+69.47+35.93+33.54+55.12+18.81+51.25+46.84</f>
        <v>1102.96</v>
      </c>
      <c r="C11" s="93"/>
      <c r="D11" s="93"/>
      <c r="E11" s="167"/>
      <c r="F11" s="168"/>
      <c r="G11" s="168"/>
      <c r="H11" s="166"/>
      <c r="I11" s="166"/>
      <c r="J11" s="93"/>
      <c r="K11" s="168"/>
      <c r="L11" s="93"/>
      <c r="M11" s="166"/>
      <c r="N11" s="168"/>
      <c r="O11" s="166"/>
      <c r="P11" s="168"/>
      <c r="Q11" s="1"/>
      <c r="R11" s="1"/>
      <c r="S11" s="1"/>
      <c r="T11" s="1"/>
      <c r="U11" s="1"/>
      <c r="V11" s="1"/>
      <c r="W11" s="168"/>
      <c r="X11" s="168"/>
      <c r="Y11" s="1"/>
      <c r="Z11" s="1"/>
      <c r="AA11" s="169"/>
      <c r="AB11" s="1"/>
      <c r="AC11" s="170"/>
    </row>
    <row r="12">
      <c r="A12" s="165" t="s">
        <v>195</v>
      </c>
      <c r="B12" s="93">
        <f>65.91+67.08+24.7+90+33.04+359.29+10.32+8.09+36.94+56.14+16.69+18.97+141.84</f>
        <v>929.01</v>
      </c>
      <c r="C12" s="93">
        <f>262.5+37.5</f>
        <v>300</v>
      </c>
      <c r="D12" s="93">
        <f>130.15+119.73</f>
        <v>249.88</v>
      </c>
      <c r="E12" s="93"/>
      <c r="F12" s="93"/>
      <c r="G12" s="93"/>
      <c r="H12" s="93"/>
      <c r="I12" s="93"/>
      <c r="J12" s="93">
        <f>198+190</f>
        <v>388</v>
      </c>
      <c r="K12" s="93"/>
      <c r="L12" s="93"/>
      <c r="M12" s="93"/>
      <c r="N12" s="93"/>
      <c r="O12" s="166">
        <v>300.0</v>
      </c>
      <c r="P12" s="166"/>
      <c r="Q12" s="1"/>
      <c r="R12" s="1"/>
      <c r="S12" s="168"/>
      <c r="T12" s="168"/>
      <c r="U12" s="1"/>
      <c r="V12" s="96"/>
      <c r="W12" s="168"/>
      <c r="X12" s="168"/>
      <c r="Y12" s="1"/>
      <c r="Z12" s="1"/>
      <c r="AA12" s="171"/>
      <c r="AB12" s="1"/>
      <c r="AC12" s="170"/>
    </row>
    <row r="13">
      <c r="A13" s="172" t="s">
        <v>265</v>
      </c>
      <c r="B13" s="93">
        <v>56.8</v>
      </c>
      <c r="C13" s="93"/>
      <c r="D13" s="93"/>
      <c r="E13" s="168"/>
      <c r="F13" s="166"/>
      <c r="G13" s="166"/>
      <c r="H13" s="168"/>
      <c r="I13" s="168"/>
      <c r="J13" s="168"/>
      <c r="K13" s="168"/>
      <c r="L13" s="168"/>
      <c r="M13" s="168"/>
      <c r="N13" s="168"/>
      <c r="O13" s="166"/>
      <c r="P13" s="168"/>
      <c r="Q13" s="1"/>
      <c r="R13" s="1"/>
      <c r="S13" s="168"/>
      <c r="T13" s="168"/>
      <c r="U13" s="1"/>
      <c r="V13" s="96"/>
      <c r="W13" s="168"/>
      <c r="X13" s="168"/>
      <c r="Y13" s="1"/>
      <c r="Z13" s="1"/>
      <c r="AA13" s="174"/>
      <c r="AB13" s="1"/>
      <c r="AC13" s="170"/>
    </row>
    <row r="14">
      <c r="A14" s="165" t="s">
        <v>198</v>
      </c>
      <c r="B14" s="93">
        <f>146.05+93.82</f>
        <v>239.87</v>
      </c>
      <c r="C14" s="93"/>
      <c r="D14" s="93"/>
      <c r="E14" s="168"/>
      <c r="F14" s="166"/>
      <c r="G14" s="166"/>
      <c r="H14" s="168"/>
      <c r="I14" s="168"/>
      <c r="J14" s="168"/>
      <c r="K14" s="168"/>
      <c r="L14" s="168"/>
      <c r="M14" s="168"/>
      <c r="N14" s="168"/>
      <c r="O14" s="166"/>
      <c r="P14" s="168"/>
      <c r="Q14" s="1"/>
      <c r="R14" s="1"/>
      <c r="S14" s="168"/>
      <c r="T14" s="168"/>
      <c r="U14" s="1"/>
      <c r="V14" s="96"/>
      <c r="W14" s="168"/>
      <c r="X14" s="168"/>
      <c r="Y14" s="1"/>
      <c r="Z14" s="1"/>
      <c r="AA14" s="174"/>
      <c r="AB14" s="1"/>
      <c r="AC14" s="170"/>
    </row>
    <row r="15">
      <c r="A15" s="91"/>
      <c r="B15" s="92"/>
      <c r="C15" s="79"/>
      <c r="D15" s="79"/>
      <c r="E15" s="79"/>
      <c r="F15" s="78"/>
      <c r="G15" s="78"/>
      <c r="H15" s="78"/>
      <c r="I15" s="78"/>
      <c r="L15" s="79"/>
      <c r="M15" s="79"/>
      <c r="N15" s="78"/>
      <c r="O15" s="79"/>
      <c r="P15" s="79"/>
      <c r="S15" s="79"/>
      <c r="T15" s="79"/>
      <c r="W15" s="79"/>
      <c r="X15" s="79"/>
      <c r="AA15" s="131"/>
      <c r="AC15" s="106"/>
    </row>
    <row r="16">
      <c r="A16" s="91"/>
      <c r="B16" s="92"/>
      <c r="C16" s="78"/>
      <c r="D16" s="78"/>
      <c r="E16" s="78"/>
      <c r="F16" s="198"/>
      <c r="G16" s="198"/>
      <c r="H16" s="204"/>
      <c r="I16" s="198"/>
      <c r="J16" s="201"/>
      <c r="K16" s="199"/>
      <c r="L16" s="199"/>
      <c r="M16" s="200"/>
      <c r="N16" s="201"/>
      <c r="O16" s="202"/>
      <c r="P16" s="198"/>
      <c r="Q16" s="198"/>
      <c r="R16" s="198"/>
      <c r="S16" s="198"/>
      <c r="T16" s="198"/>
      <c r="W16" s="79"/>
      <c r="X16" s="79"/>
      <c r="AA16" s="131"/>
      <c r="AC16" s="106"/>
    </row>
    <row r="17">
      <c r="A17" s="4" t="s">
        <v>22</v>
      </c>
      <c r="B17" s="11">
        <v>10000.0</v>
      </c>
      <c r="C17" s="79"/>
      <c r="D17" s="79"/>
      <c r="E17" s="79"/>
      <c r="F17" s="240"/>
      <c r="G17" s="240"/>
      <c r="H17" s="201"/>
      <c r="I17" s="201"/>
      <c r="J17" s="203"/>
      <c r="K17" s="201"/>
      <c r="L17" s="201"/>
      <c r="M17" s="198"/>
      <c r="N17" s="201"/>
      <c r="O17" s="200"/>
      <c r="P17" s="203"/>
      <c r="Q17" s="198"/>
      <c r="R17" s="198"/>
      <c r="S17" s="198"/>
      <c r="T17" s="198"/>
      <c r="U17" s="204"/>
      <c r="W17" s="79"/>
      <c r="X17" s="79"/>
      <c r="AA17" s="131"/>
      <c r="AC17" s="106"/>
    </row>
    <row r="18">
      <c r="A18" s="4" t="s">
        <v>23</v>
      </c>
      <c r="B18" s="12">
        <f>SUM(B2:Y8)</f>
        <v>10444.34</v>
      </c>
      <c r="C18" s="192">
        <v>10647.0</v>
      </c>
      <c r="D18" s="248">
        <f>C18-B18</f>
        <v>202.66</v>
      </c>
      <c r="E18" s="78"/>
      <c r="F18" s="213"/>
      <c r="G18" s="213"/>
      <c r="H18" s="201"/>
      <c r="I18" s="201"/>
      <c r="J18" s="203"/>
      <c r="K18" s="191"/>
      <c r="L18" s="201"/>
      <c r="M18" s="201"/>
      <c r="N18" s="200"/>
      <c r="O18" s="201"/>
      <c r="P18" s="203"/>
      <c r="Q18" s="198"/>
      <c r="R18" s="198"/>
      <c r="S18" s="198"/>
      <c r="T18" s="198"/>
      <c r="U18" s="204"/>
      <c r="W18" s="79"/>
      <c r="X18" s="79"/>
      <c r="AA18" s="131"/>
      <c r="AC18" s="106"/>
    </row>
    <row r="19">
      <c r="A19" s="4" t="s">
        <v>24</v>
      </c>
      <c r="B19" s="12">
        <f> SUM(B17-B18)</f>
        <v>-444.34</v>
      </c>
      <c r="C19" s="79"/>
      <c r="D19" s="79"/>
      <c r="E19" s="78"/>
      <c r="F19" s="201"/>
      <c r="G19" s="201"/>
      <c r="H19" s="214"/>
      <c r="I19" s="203"/>
      <c r="J19" s="203"/>
      <c r="K19" s="203"/>
      <c r="L19" s="199"/>
      <c r="M19" s="203"/>
      <c r="N19" s="201"/>
      <c r="O19" s="200"/>
      <c r="P19" s="203"/>
      <c r="Q19" s="198"/>
      <c r="R19" s="198"/>
      <c r="S19" s="198"/>
      <c r="T19" s="198"/>
      <c r="U19" s="204"/>
      <c r="W19" s="79"/>
      <c r="X19" s="79"/>
      <c r="AA19" s="131"/>
      <c r="AC19" s="106"/>
    </row>
    <row r="20">
      <c r="C20" s="79"/>
      <c r="D20" s="79"/>
      <c r="E20" s="78"/>
      <c r="F20" s="213"/>
      <c r="G20" s="213"/>
      <c r="H20" s="214"/>
      <c r="I20" s="203"/>
      <c r="J20" s="203"/>
      <c r="K20" s="203"/>
      <c r="M20" s="201"/>
      <c r="N20" s="201"/>
      <c r="O20" s="198"/>
      <c r="P20" s="203"/>
      <c r="Q20" s="198"/>
      <c r="R20" s="206"/>
      <c r="S20" s="198"/>
      <c r="T20" s="198"/>
      <c r="U20" s="204"/>
      <c r="W20" s="79"/>
      <c r="X20" s="79"/>
      <c r="AA20" s="131"/>
      <c r="AC20" s="106"/>
    </row>
    <row r="21">
      <c r="A21" s="13" t="s">
        <v>25</v>
      </c>
      <c r="B21" s="14">
        <f>SUM(AA2:AA8)</f>
        <v>38814.4</v>
      </c>
      <c r="C21" s="79"/>
      <c r="D21" s="79"/>
      <c r="E21" s="78"/>
      <c r="F21" s="201"/>
      <c r="G21" s="201"/>
      <c r="H21" s="201"/>
      <c r="J21" s="201"/>
      <c r="K21" s="203"/>
      <c r="L21" s="203"/>
      <c r="M21" s="201"/>
      <c r="N21" s="201"/>
      <c r="O21" s="198"/>
      <c r="P21" s="203"/>
      <c r="Q21" s="198"/>
      <c r="R21" s="198"/>
      <c r="S21" s="198"/>
      <c r="T21" s="198"/>
      <c r="U21" s="204"/>
      <c r="W21" s="79"/>
      <c r="X21" s="79"/>
      <c r="AA21" s="181"/>
      <c r="AC21" s="106"/>
    </row>
    <row r="22">
      <c r="A22" s="13" t="s">
        <v>26</v>
      </c>
      <c r="B22" s="15">
        <f>B18/B21</f>
        <v>0.2690841543</v>
      </c>
      <c r="C22" s="79"/>
      <c r="D22" s="79"/>
      <c r="E22" s="78"/>
      <c r="F22" s="204"/>
      <c r="G22" s="204"/>
      <c r="H22" s="213"/>
      <c r="I22" s="203"/>
      <c r="J22" s="189"/>
      <c r="K22" s="203"/>
      <c r="L22" s="203"/>
      <c r="M22" s="201"/>
      <c r="N22" s="200"/>
      <c r="O22" s="203"/>
      <c r="P22" s="203"/>
      <c r="Q22" s="198"/>
      <c r="R22" s="198"/>
      <c r="S22" s="198"/>
      <c r="T22" s="198"/>
      <c r="U22" s="204"/>
      <c r="W22" s="79"/>
      <c r="X22" s="79"/>
      <c r="AA22" s="130"/>
      <c r="AC22" s="106"/>
    </row>
    <row r="23">
      <c r="C23" s="79"/>
      <c r="D23" s="79"/>
      <c r="E23" s="78"/>
      <c r="F23" s="204"/>
      <c r="G23" s="204"/>
      <c r="H23" s="204"/>
      <c r="I23" s="203"/>
      <c r="J23" s="203"/>
      <c r="K23" s="203"/>
      <c r="L23" s="203"/>
      <c r="M23" s="198"/>
      <c r="N23" s="198"/>
      <c r="O23" s="201"/>
      <c r="P23" s="198"/>
      <c r="Q23" s="198"/>
      <c r="R23" s="198"/>
      <c r="S23" s="198"/>
      <c r="T23" s="198"/>
      <c r="U23" s="204"/>
      <c r="W23" s="79"/>
      <c r="X23" s="79"/>
      <c r="AA23" s="182"/>
      <c r="AC23" s="106"/>
    </row>
    <row r="24">
      <c r="C24" s="79"/>
      <c r="D24" s="79"/>
      <c r="E24" s="79"/>
      <c r="F24" s="204"/>
      <c r="G24" s="204"/>
      <c r="H24" s="213"/>
      <c r="I24" s="201"/>
      <c r="J24" s="203"/>
      <c r="K24" s="203"/>
      <c r="L24" s="203"/>
      <c r="M24" s="198"/>
      <c r="N24" s="201"/>
      <c r="O24" s="201"/>
      <c r="P24" s="198"/>
      <c r="Q24" s="198"/>
      <c r="R24" s="198"/>
      <c r="S24" s="198"/>
      <c r="T24" s="198"/>
      <c r="U24" s="204"/>
      <c r="W24" s="79"/>
      <c r="X24" s="79"/>
      <c r="AA24" s="130"/>
      <c r="AC24" s="106"/>
    </row>
    <row r="25">
      <c r="A25" s="16" t="s">
        <v>27</v>
      </c>
      <c r="B25" s="17"/>
      <c r="C25" s="114"/>
      <c r="D25" s="114"/>
      <c r="E25" s="115"/>
      <c r="F25" s="204"/>
      <c r="G25" s="204"/>
      <c r="H25" s="204"/>
      <c r="I25" s="201"/>
      <c r="J25" s="203"/>
      <c r="K25" s="203"/>
      <c r="L25" s="217"/>
      <c r="M25" s="208"/>
      <c r="N25" s="208"/>
      <c r="O25" s="198"/>
      <c r="P25" s="200"/>
      <c r="Q25" s="198"/>
      <c r="R25" s="198"/>
      <c r="S25" s="198"/>
      <c r="T25" s="198"/>
      <c r="U25" s="204"/>
      <c r="W25" s="79"/>
      <c r="X25" s="79"/>
      <c r="AA25" s="130"/>
      <c r="AC25" s="106"/>
    </row>
    <row r="26">
      <c r="A26" s="19" t="s">
        <v>28</v>
      </c>
      <c r="B26" s="20"/>
      <c r="C26" s="116"/>
      <c r="D26" s="116"/>
      <c r="E26" s="117"/>
      <c r="F26" s="204"/>
      <c r="G26" s="204"/>
      <c r="H26" s="204"/>
      <c r="I26" s="213"/>
      <c r="J26" s="203"/>
      <c r="K26" s="203"/>
      <c r="L26" s="203"/>
      <c r="M26" s="209"/>
      <c r="N26" s="209"/>
      <c r="O26" s="201"/>
      <c r="P26" s="198"/>
      <c r="Q26" s="198"/>
      <c r="R26" s="198"/>
      <c r="S26" s="198"/>
      <c r="T26" s="198"/>
      <c r="U26" s="204"/>
      <c r="W26" s="79"/>
      <c r="X26" s="79"/>
      <c r="AA26" s="130"/>
      <c r="AC26" s="106"/>
    </row>
    <row r="27">
      <c r="A27" s="183" t="s">
        <v>29</v>
      </c>
      <c r="B27" s="184" t="s">
        <v>30</v>
      </c>
      <c r="C27" s="183"/>
      <c r="D27" s="183" t="s">
        <v>170</v>
      </c>
      <c r="E27" s="219" t="s">
        <v>171</v>
      </c>
      <c r="F27" s="204"/>
      <c r="G27" s="204"/>
      <c r="H27" s="204"/>
      <c r="I27" s="243"/>
      <c r="J27" s="203"/>
      <c r="K27" s="203"/>
      <c r="L27" s="201"/>
      <c r="M27" s="209"/>
      <c r="N27" s="209"/>
      <c r="O27" s="198"/>
      <c r="P27" s="198"/>
      <c r="Q27" s="198"/>
      <c r="R27" s="198"/>
      <c r="S27" s="198"/>
      <c r="T27" s="198"/>
      <c r="U27" s="204"/>
      <c r="W27" s="79"/>
      <c r="X27" s="79"/>
      <c r="AA27" s="130"/>
      <c r="AC27" s="106"/>
    </row>
    <row r="28">
      <c r="A28" s="237" t="s">
        <v>41</v>
      </c>
      <c r="B28" s="238">
        <f>1330.95+1328.53</f>
        <v>2659.48</v>
      </c>
      <c r="C28" s="239"/>
      <c r="D28" s="239"/>
      <c r="E28" s="237" t="s">
        <v>266</v>
      </c>
      <c r="J28" s="38"/>
      <c r="L28" s="204"/>
      <c r="M28" s="204"/>
      <c r="N28" s="198"/>
      <c r="S28" s="79"/>
      <c r="T28" s="79"/>
      <c r="W28" s="79"/>
      <c r="X28" s="79"/>
      <c r="AA28" s="130"/>
      <c r="AC28" s="106"/>
    </row>
    <row r="29">
      <c r="A29" s="237" t="s">
        <v>209</v>
      </c>
      <c r="B29" s="238">
        <v>426.77</v>
      </c>
      <c r="C29" s="239"/>
      <c r="D29" s="239"/>
      <c r="E29" s="237" t="s">
        <v>266</v>
      </c>
      <c r="J29" s="38"/>
      <c r="L29" s="204"/>
      <c r="M29" s="204"/>
      <c r="N29" s="198"/>
      <c r="S29" s="79"/>
      <c r="T29" s="79"/>
      <c r="W29" s="79"/>
      <c r="X29" s="79"/>
      <c r="AA29" s="130"/>
      <c r="AC29" s="106"/>
    </row>
    <row r="30">
      <c r="A30" s="237" t="s">
        <v>267</v>
      </c>
      <c r="B30" s="238">
        <f>219.01+300</f>
        <v>519.01</v>
      </c>
      <c r="C30" s="239"/>
      <c r="D30" s="239"/>
      <c r="E30" s="237" t="s">
        <v>268</v>
      </c>
      <c r="J30" s="38"/>
      <c r="L30" s="204"/>
      <c r="M30" s="204"/>
      <c r="N30" s="198"/>
      <c r="S30" s="79"/>
      <c r="T30" s="79"/>
      <c r="W30" s="79"/>
      <c r="X30" s="79"/>
      <c r="AA30" s="130"/>
      <c r="AC30" s="106"/>
    </row>
    <row r="31">
      <c r="A31" s="221" t="s">
        <v>269</v>
      </c>
      <c r="B31" s="222">
        <f>220.37+110.95</f>
        <v>331.32</v>
      </c>
      <c r="C31" s="223"/>
      <c r="D31" s="223"/>
      <c r="E31" s="221" t="s">
        <v>268</v>
      </c>
      <c r="J31" s="38"/>
      <c r="L31" s="204"/>
      <c r="M31" s="204"/>
      <c r="N31" s="198"/>
      <c r="S31" s="79"/>
      <c r="T31" s="79"/>
      <c r="W31" s="79"/>
      <c r="X31" s="79"/>
      <c r="AA31" s="130"/>
      <c r="AC31" s="106"/>
    </row>
    <row r="32">
      <c r="A32" s="221" t="s">
        <v>238</v>
      </c>
      <c r="B32" s="222">
        <v>251.92</v>
      </c>
      <c r="C32" s="223"/>
      <c r="D32" s="223"/>
      <c r="E32" s="221" t="s">
        <v>268</v>
      </c>
      <c r="F32" s="79"/>
      <c r="G32" s="79"/>
      <c r="L32" s="204"/>
      <c r="M32" s="204"/>
      <c r="N32" s="198"/>
      <c r="S32" s="79"/>
      <c r="T32" s="79"/>
      <c r="W32" s="79"/>
      <c r="X32" s="79"/>
      <c r="AA32" s="130"/>
      <c r="AC32" s="106"/>
    </row>
    <row r="33">
      <c r="A33" s="221" t="s">
        <v>270</v>
      </c>
      <c r="B33" s="222">
        <v>376.99</v>
      </c>
      <c r="C33" s="223"/>
      <c r="D33" s="223"/>
      <c r="E33" s="221" t="s">
        <v>268</v>
      </c>
      <c r="F33" s="79"/>
      <c r="G33" s="79"/>
      <c r="L33" s="204"/>
      <c r="M33" s="204"/>
      <c r="N33" s="198"/>
      <c r="S33" s="79"/>
      <c r="T33" s="79"/>
      <c r="W33" s="79"/>
      <c r="X33" s="79"/>
      <c r="AA33" s="130"/>
      <c r="AC33" s="106"/>
    </row>
    <row r="34">
      <c r="A34" s="221" t="s">
        <v>271</v>
      </c>
      <c r="B34" s="222">
        <v>245.07</v>
      </c>
      <c r="C34" s="223"/>
      <c r="D34" s="223"/>
      <c r="E34" s="221" t="s">
        <v>268</v>
      </c>
      <c r="F34" s="79"/>
      <c r="G34" s="79"/>
      <c r="L34" s="204"/>
      <c r="M34" s="204"/>
      <c r="N34" s="198"/>
      <c r="S34" s="79"/>
      <c r="T34" s="79"/>
      <c r="W34" s="79"/>
      <c r="X34" s="79"/>
      <c r="AA34" s="130"/>
      <c r="AC34" s="106"/>
    </row>
    <row r="35">
      <c r="A35" s="221" t="s">
        <v>272</v>
      </c>
      <c r="B35" s="222">
        <v>158.28</v>
      </c>
      <c r="C35" s="223"/>
      <c r="D35" s="223"/>
      <c r="E35" s="221" t="s">
        <v>268</v>
      </c>
      <c r="F35" s="79"/>
      <c r="G35" s="79"/>
      <c r="L35" s="204"/>
      <c r="M35" s="204"/>
      <c r="N35" s="198"/>
      <c r="S35" s="79"/>
      <c r="T35" s="79"/>
      <c r="W35" s="79"/>
      <c r="X35" s="79"/>
      <c r="AA35" s="130"/>
      <c r="AC35" s="106"/>
    </row>
    <row r="36">
      <c r="A36" s="221" t="s">
        <v>273</v>
      </c>
      <c r="B36" s="222">
        <v>444.46</v>
      </c>
      <c r="C36" s="223"/>
      <c r="D36" s="223"/>
      <c r="E36" s="221" t="s">
        <v>268</v>
      </c>
      <c r="F36" s="79"/>
      <c r="G36" s="79"/>
      <c r="L36" s="204"/>
      <c r="M36" s="204"/>
      <c r="N36" s="198"/>
      <c r="S36" s="79"/>
      <c r="T36" s="79"/>
      <c r="W36" s="79"/>
      <c r="X36" s="79"/>
      <c r="AA36" s="130"/>
      <c r="AC36" s="106"/>
    </row>
    <row r="37">
      <c r="A37" s="221" t="s">
        <v>274</v>
      </c>
      <c r="B37" s="222">
        <v>197.56</v>
      </c>
      <c r="C37" s="223"/>
      <c r="D37" s="223"/>
      <c r="E37" s="221" t="s">
        <v>268</v>
      </c>
      <c r="F37" s="79"/>
      <c r="G37" s="79"/>
      <c r="L37" s="204"/>
      <c r="M37" s="204"/>
      <c r="N37" s="198"/>
      <c r="S37" s="79"/>
      <c r="T37" s="79"/>
      <c r="W37" s="79"/>
      <c r="X37" s="79"/>
      <c r="AA37" s="130"/>
      <c r="AC37" s="106"/>
    </row>
    <row r="38">
      <c r="C38" s="79"/>
      <c r="D38" s="79"/>
      <c r="E38" s="79"/>
      <c r="N38" s="79"/>
      <c r="S38" s="79"/>
      <c r="T38" s="79"/>
      <c r="W38" s="79"/>
      <c r="X38" s="79"/>
      <c r="AA38" s="130"/>
      <c r="AC38" s="106"/>
    </row>
    <row r="39">
      <c r="C39" s="79"/>
      <c r="D39" s="79"/>
      <c r="E39" s="79"/>
      <c r="N39" s="79"/>
      <c r="S39" s="79"/>
      <c r="T39" s="79"/>
      <c r="W39" s="79"/>
      <c r="X39" s="79"/>
      <c r="AA39" s="130"/>
      <c r="AC39" s="106"/>
    </row>
    <row r="40">
      <c r="C40" s="79"/>
      <c r="D40" s="78"/>
      <c r="E40" s="79"/>
      <c r="N40" s="79"/>
      <c r="S40" s="79"/>
      <c r="T40" s="79"/>
      <c r="W40" s="79"/>
      <c r="X40" s="79"/>
      <c r="AA40" s="130"/>
      <c r="AC40" s="106"/>
    </row>
    <row r="41">
      <c r="C41" s="79"/>
      <c r="D41" s="78"/>
      <c r="E41" s="79"/>
      <c r="N41" s="79"/>
      <c r="S41" s="79"/>
      <c r="T41" s="79"/>
      <c r="W41" s="79"/>
      <c r="X41" s="79"/>
      <c r="AA41" s="130"/>
      <c r="AC41" s="106"/>
    </row>
    <row r="42">
      <c r="C42" s="79"/>
      <c r="D42" s="79"/>
      <c r="E42" s="79"/>
      <c r="N42" s="79"/>
      <c r="S42" s="79"/>
      <c r="T42" s="79"/>
      <c r="W42" s="79"/>
      <c r="X42" s="79"/>
      <c r="AA42" s="130"/>
      <c r="AC42" s="106"/>
    </row>
    <row r="43">
      <c r="C43" s="79"/>
      <c r="D43" s="79"/>
      <c r="E43" s="79"/>
      <c r="N43" s="79"/>
      <c r="S43" s="79"/>
      <c r="T43" s="79"/>
      <c r="W43" s="79"/>
      <c r="X43" s="79"/>
      <c r="AA43" s="130"/>
      <c r="AC43" s="106"/>
    </row>
    <row r="44">
      <c r="C44" s="79"/>
      <c r="D44" s="79"/>
      <c r="E44" s="79"/>
      <c r="N44" s="79"/>
      <c r="S44" s="79"/>
      <c r="T44" s="79"/>
      <c r="W44" s="79"/>
      <c r="X44" s="79"/>
      <c r="AA44" s="130"/>
      <c r="AC44" s="106"/>
    </row>
    <row r="45">
      <c r="C45" s="79"/>
      <c r="D45" s="79"/>
      <c r="E45" s="79"/>
      <c r="N45" s="79"/>
      <c r="S45" s="79"/>
      <c r="T45" s="79"/>
      <c r="W45" s="79"/>
      <c r="X45" s="79"/>
      <c r="AA45" s="130"/>
      <c r="AC45" s="106"/>
    </row>
    <row r="46">
      <c r="C46" s="79"/>
      <c r="D46" s="79"/>
      <c r="E46" s="79"/>
      <c r="N46" s="79"/>
      <c r="S46" s="79"/>
      <c r="T46" s="79"/>
      <c r="W46" s="79"/>
      <c r="X46" s="79"/>
      <c r="AA46" s="130"/>
      <c r="AC46" s="106"/>
    </row>
    <row r="47">
      <c r="C47" s="79"/>
      <c r="D47" s="79"/>
      <c r="E47" s="79"/>
      <c r="N47" s="79"/>
      <c r="S47" s="79"/>
      <c r="T47" s="79"/>
      <c r="W47" s="79"/>
      <c r="X47" s="79"/>
      <c r="AA47" s="130"/>
      <c r="AC47" s="106"/>
    </row>
    <row r="48">
      <c r="C48" s="79"/>
      <c r="D48" s="79"/>
      <c r="E48" s="79"/>
      <c r="N48" s="79"/>
      <c r="S48" s="79"/>
      <c r="T48" s="79"/>
      <c r="W48" s="79"/>
      <c r="X48" s="79"/>
      <c r="AA48" s="130"/>
      <c r="AC48" s="106"/>
    </row>
    <row r="49">
      <c r="C49" s="79"/>
      <c r="D49" s="79"/>
      <c r="E49" s="79"/>
      <c r="N49" s="79"/>
      <c r="S49" s="79"/>
      <c r="T49" s="79"/>
      <c r="W49" s="79"/>
      <c r="X49" s="79"/>
      <c r="AA49" s="130"/>
      <c r="AC49" s="106"/>
    </row>
    <row r="50">
      <c r="C50" s="79"/>
      <c r="D50" s="79"/>
      <c r="E50" s="79"/>
      <c r="N50" s="79"/>
      <c r="S50" s="79"/>
      <c r="T50" s="79"/>
      <c r="W50" s="79"/>
      <c r="X50" s="79"/>
      <c r="AA50" s="130"/>
      <c r="AC50" s="106"/>
    </row>
    <row r="51">
      <c r="C51" s="79"/>
      <c r="D51" s="79"/>
      <c r="E51" s="79"/>
      <c r="N51" s="79"/>
      <c r="S51" s="79"/>
      <c r="T51" s="79"/>
      <c r="W51" s="79"/>
      <c r="X51" s="79"/>
      <c r="AA51" s="130"/>
      <c r="AC51" s="106"/>
    </row>
    <row r="52">
      <c r="C52" s="79"/>
      <c r="D52" s="79"/>
      <c r="E52" s="79"/>
      <c r="N52" s="79"/>
      <c r="S52" s="79"/>
      <c r="T52" s="79"/>
      <c r="W52" s="79"/>
      <c r="X52" s="79"/>
      <c r="AA52" s="130"/>
      <c r="AC52" s="106"/>
    </row>
    <row r="53">
      <c r="C53" s="79"/>
      <c r="D53" s="79"/>
      <c r="E53" s="79"/>
      <c r="N53" s="79"/>
      <c r="S53" s="79"/>
      <c r="T53" s="79"/>
      <c r="W53" s="79"/>
      <c r="X53" s="79"/>
      <c r="AA53" s="130"/>
      <c r="AC53" s="106"/>
    </row>
    <row r="54">
      <c r="C54" s="79"/>
      <c r="D54" s="79"/>
      <c r="E54" s="79"/>
      <c r="N54" s="79"/>
      <c r="S54" s="79"/>
      <c r="T54" s="79"/>
      <c r="W54" s="79"/>
      <c r="X54" s="79"/>
      <c r="AA54" s="130"/>
      <c r="AC54" s="106"/>
    </row>
    <row r="55">
      <c r="C55" s="79"/>
      <c r="D55" s="79"/>
      <c r="E55" s="79"/>
      <c r="N55" s="79"/>
      <c r="S55" s="79"/>
      <c r="T55" s="79"/>
      <c r="W55" s="79"/>
      <c r="X55" s="79"/>
      <c r="AA55" s="130"/>
      <c r="AC55" s="106"/>
    </row>
    <row r="56">
      <c r="C56" s="79"/>
      <c r="D56" s="79"/>
      <c r="E56" s="79"/>
      <c r="N56" s="79"/>
      <c r="S56" s="79"/>
      <c r="T56" s="79"/>
      <c r="W56" s="79"/>
      <c r="X56" s="79"/>
      <c r="AA56" s="130"/>
      <c r="AC56" s="106"/>
    </row>
    <row r="57">
      <c r="C57" s="79"/>
      <c r="D57" s="79"/>
      <c r="E57" s="79"/>
      <c r="N57" s="79"/>
      <c r="S57" s="79"/>
      <c r="T57" s="79"/>
      <c r="W57" s="79"/>
      <c r="X57" s="79"/>
      <c r="AA57" s="130"/>
      <c r="AC57" s="106"/>
    </row>
    <row r="58">
      <c r="C58" s="79"/>
      <c r="D58" s="79"/>
      <c r="E58" s="79"/>
      <c r="N58" s="79"/>
      <c r="S58" s="79"/>
      <c r="T58" s="79"/>
      <c r="W58" s="79"/>
      <c r="X58" s="79"/>
      <c r="AA58" s="130"/>
      <c r="AC58" s="106"/>
    </row>
    <row r="59">
      <c r="C59" s="79"/>
      <c r="D59" s="79"/>
      <c r="E59" s="79"/>
      <c r="N59" s="79"/>
      <c r="S59" s="79"/>
      <c r="T59" s="79"/>
      <c r="W59" s="79"/>
      <c r="X59" s="79"/>
      <c r="AA59" s="130"/>
      <c r="AC59" s="106"/>
    </row>
    <row r="60">
      <c r="C60" s="79"/>
      <c r="D60" s="79"/>
      <c r="E60" s="79"/>
      <c r="N60" s="79"/>
      <c r="S60" s="79"/>
      <c r="T60" s="79"/>
      <c r="W60" s="79"/>
      <c r="X60" s="79"/>
      <c r="AA60" s="130"/>
      <c r="AC60" s="106"/>
    </row>
    <row r="61">
      <c r="C61" s="79"/>
      <c r="D61" s="79"/>
      <c r="E61" s="79"/>
      <c r="N61" s="79"/>
      <c r="S61" s="79"/>
      <c r="T61" s="79"/>
      <c r="W61" s="79"/>
      <c r="X61" s="79"/>
      <c r="AA61" s="130"/>
      <c r="AC61" s="106"/>
    </row>
    <row r="62">
      <c r="C62" s="79"/>
      <c r="D62" s="79"/>
      <c r="E62" s="79"/>
      <c r="N62" s="79"/>
      <c r="S62" s="79"/>
      <c r="T62" s="79"/>
      <c r="W62" s="79"/>
      <c r="X62" s="79"/>
      <c r="AA62" s="130"/>
      <c r="AC62" s="106"/>
    </row>
    <row r="63">
      <c r="C63" s="79"/>
      <c r="D63" s="79"/>
      <c r="E63" s="79"/>
      <c r="N63" s="79"/>
      <c r="S63" s="79"/>
      <c r="T63" s="79"/>
      <c r="W63" s="79"/>
      <c r="X63" s="79"/>
      <c r="AA63" s="130"/>
      <c r="AC63" s="106"/>
    </row>
    <row r="64">
      <c r="C64" s="79"/>
      <c r="D64" s="79"/>
      <c r="E64" s="79"/>
      <c r="N64" s="79"/>
      <c r="S64" s="79"/>
      <c r="T64" s="79"/>
      <c r="W64" s="79"/>
      <c r="X64" s="79"/>
      <c r="AA64" s="130"/>
      <c r="AC64" s="106"/>
    </row>
    <row r="65">
      <c r="C65" s="79"/>
      <c r="D65" s="79"/>
      <c r="E65" s="79"/>
      <c r="N65" s="79"/>
      <c r="S65" s="79"/>
      <c r="T65" s="79"/>
      <c r="W65" s="79"/>
      <c r="X65" s="79"/>
      <c r="AA65" s="130"/>
      <c r="AC65" s="106"/>
    </row>
    <row r="66">
      <c r="C66" s="79"/>
      <c r="D66" s="79"/>
      <c r="E66" s="79"/>
      <c r="N66" s="79"/>
      <c r="S66" s="79"/>
      <c r="T66" s="79"/>
      <c r="W66" s="79"/>
      <c r="X66" s="79"/>
      <c r="AA66" s="130"/>
      <c r="AC66" s="106"/>
    </row>
    <row r="67">
      <c r="C67" s="79"/>
      <c r="D67" s="79"/>
      <c r="E67" s="79"/>
      <c r="N67" s="79"/>
      <c r="S67" s="79"/>
      <c r="T67" s="79"/>
      <c r="W67" s="79"/>
      <c r="X67" s="79"/>
      <c r="AA67" s="130"/>
      <c r="AC67" s="106"/>
    </row>
    <row r="68">
      <c r="C68" s="79"/>
      <c r="D68" s="79"/>
      <c r="E68" s="79"/>
      <c r="N68" s="79"/>
      <c r="S68" s="79"/>
      <c r="T68" s="79"/>
      <c r="W68" s="79"/>
      <c r="X68" s="79"/>
      <c r="AA68" s="130"/>
      <c r="AC68" s="106"/>
    </row>
    <row r="69">
      <c r="C69" s="79"/>
      <c r="D69" s="79"/>
      <c r="E69" s="79"/>
      <c r="N69" s="79"/>
      <c r="S69" s="79"/>
      <c r="T69" s="79"/>
      <c r="W69" s="79"/>
      <c r="X69" s="79"/>
      <c r="AA69" s="130"/>
      <c r="AC69" s="106"/>
    </row>
    <row r="70">
      <c r="C70" s="79"/>
      <c r="D70" s="79"/>
      <c r="E70" s="79"/>
      <c r="N70" s="79"/>
      <c r="S70" s="79"/>
      <c r="T70" s="79"/>
      <c r="W70" s="79"/>
      <c r="X70" s="79"/>
      <c r="AA70" s="130"/>
      <c r="AC70" s="106"/>
    </row>
    <row r="71">
      <c r="C71" s="79"/>
      <c r="D71" s="79"/>
      <c r="E71" s="79"/>
      <c r="N71" s="79"/>
      <c r="S71" s="79"/>
      <c r="T71" s="79"/>
      <c r="W71" s="79"/>
      <c r="X71" s="79"/>
      <c r="AA71" s="130"/>
      <c r="AC71" s="106"/>
    </row>
    <row r="72">
      <c r="C72" s="79"/>
      <c r="D72" s="79"/>
      <c r="E72" s="79"/>
      <c r="N72" s="79"/>
      <c r="S72" s="79"/>
      <c r="T72" s="79"/>
      <c r="W72" s="79"/>
      <c r="X72" s="79"/>
      <c r="AA72" s="130"/>
      <c r="AC72" s="106"/>
    </row>
    <row r="73">
      <c r="C73" s="79"/>
      <c r="D73" s="79"/>
      <c r="E73" s="79"/>
      <c r="N73" s="79"/>
      <c r="S73" s="79"/>
      <c r="T73" s="79"/>
      <c r="W73" s="79"/>
      <c r="X73" s="79"/>
      <c r="AA73" s="130"/>
      <c r="AC73" s="106"/>
    </row>
    <row r="74">
      <c r="C74" s="79"/>
      <c r="D74" s="79"/>
      <c r="E74" s="79"/>
      <c r="N74" s="79"/>
      <c r="S74" s="79"/>
      <c r="T74" s="79"/>
      <c r="W74" s="79"/>
      <c r="X74" s="79"/>
      <c r="AA74" s="130"/>
      <c r="AC74" s="106"/>
    </row>
    <row r="75">
      <c r="C75" s="79"/>
      <c r="D75" s="79"/>
      <c r="E75" s="79"/>
      <c r="N75" s="79"/>
      <c r="S75" s="79"/>
      <c r="T75" s="79"/>
      <c r="W75" s="79"/>
      <c r="X75" s="79"/>
      <c r="AA75" s="130"/>
      <c r="AC75" s="106"/>
    </row>
    <row r="76">
      <c r="C76" s="79"/>
      <c r="D76" s="79"/>
      <c r="E76" s="79"/>
      <c r="N76" s="79"/>
      <c r="S76" s="79"/>
      <c r="T76" s="79"/>
      <c r="W76" s="79"/>
      <c r="X76" s="79"/>
      <c r="AA76" s="130"/>
      <c r="AC76" s="106"/>
    </row>
    <row r="77">
      <c r="C77" s="79"/>
      <c r="D77" s="79"/>
      <c r="E77" s="79"/>
      <c r="N77" s="79"/>
      <c r="S77" s="79"/>
      <c r="T77" s="79"/>
      <c r="W77" s="79"/>
      <c r="X77" s="79"/>
      <c r="AA77" s="130"/>
      <c r="AC77" s="106"/>
    </row>
    <row r="78">
      <c r="C78" s="79"/>
      <c r="D78" s="79"/>
      <c r="E78" s="79"/>
      <c r="N78" s="79"/>
      <c r="S78" s="79"/>
      <c r="T78" s="79"/>
      <c r="W78" s="79"/>
      <c r="X78" s="79"/>
      <c r="AA78" s="130"/>
      <c r="AC78" s="106"/>
    </row>
    <row r="79">
      <c r="C79" s="79"/>
      <c r="D79" s="79"/>
      <c r="E79" s="79"/>
      <c r="N79" s="79"/>
      <c r="S79" s="79"/>
      <c r="T79" s="79"/>
      <c r="W79" s="79"/>
      <c r="X79" s="79"/>
      <c r="AA79" s="130"/>
      <c r="AC79" s="106"/>
    </row>
    <row r="80">
      <c r="C80" s="79"/>
      <c r="D80" s="79"/>
      <c r="E80" s="79"/>
      <c r="N80" s="79"/>
      <c r="S80" s="79"/>
      <c r="T80" s="79"/>
      <c r="W80" s="79"/>
      <c r="X80" s="79"/>
      <c r="AA80" s="130"/>
      <c r="AC80" s="106"/>
    </row>
    <row r="81">
      <c r="C81" s="79"/>
      <c r="D81" s="79"/>
      <c r="E81" s="79"/>
      <c r="N81" s="79"/>
      <c r="S81" s="79"/>
      <c r="T81" s="79"/>
      <c r="W81" s="79"/>
      <c r="X81" s="79"/>
      <c r="AA81" s="130"/>
      <c r="AC81" s="106"/>
    </row>
    <row r="82">
      <c r="C82" s="79"/>
      <c r="D82" s="79"/>
      <c r="E82" s="79"/>
      <c r="N82" s="79"/>
      <c r="S82" s="79"/>
      <c r="T82" s="79"/>
      <c r="W82" s="79"/>
      <c r="X82" s="79"/>
      <c r="AA82" s="130"/>
      <c r="AC82" s="106"/>
    </row>
    <row r="83">
      <c r="C83" s="79"/>
      <c r="D83" s="79"/>
      <c r="E83" s="79"/>
      <c r="N83" s="79"/>
      <c r="S83" s="79"/>
      <c r="T83" s="79"/>
      <c r="W83" s="79"/>
      <c r="X83" s="79"/>
      <c r="AA83" s="130"/>
      <c r="AC83" s="106"/>
    </row>
    <row r="84">
      <c r="C84" s="79"/>
      <c r="D84" s="79"/>
      <c r="E84" s="79"/>
      <c r="N84" s="79"/>
      <c r="S84" s="79"/>
      <c r="T84" s="79"/>
      <c r="W84" s="79"/>
      <c r="X84" s="79"/>
      <c r="AA84" s="130"/>
      <c r="AC84" s="106"/>
    </row>
    <row r="85">
      <c r="C85" s="79"/>
      <c r="D85" s="79"/>
      <c r="E85" s="79"/>
      <c r="N85" s="79"/>
      <c r="S85" s="79"/>
      <c r="T85" s="79"/>
      <c r="W85" s="79"/>
      <c r="X85" s="79"/>
      <c r="AA85" s="130"/>
      <c r="AC85" s="106"/>
    </row>
    <row r="86">
      <c r="C86" s="79"/>
      <c r="D86" s="79"/>
      <c r="E86" s="79"/>
      <c r="N86" s="79"/>
      <c r="S86" s="79"/>
      <c r="T86" s="79"/>
      <c r="W86" s="79"/>
      <c r="X86" s="79"/>
      <c r="AA86" s="130"/>
      <c r="AC86" s="106"/>
    </row>
    <row r="87">
      <c r="C87" s="79"/>
      <c r="D87" s="79"/>
      <c r="E87" s="79"/>
      <c r="N87" s="79"/>
      <c r="S87" s="79"/>
      <c r="T87" s="79"/>
      <c r="W87" s="79"/>
      <c r="X87" s="79"/>
      <c r="AA87" s="130"/>
      <c r="AC87" s="106"/>
    </row>
    <row r="88">
      <c r="C88" s="79"/>
      <c r="D88" s="79"/>
      <c r="E88" s="79"/>
      <c r="N88" s="79"/>
      <c r="S88" s="79"/>
      <c r="T88" s="79"/>
      <c r="W88" s="79"/>
      <c r="X88" s="79"/>
      <c r="AA88" s="130"/>
      <c r="AC88" s="106"/>
    </row>
    <row r="89">
      <c r="C89" s="79"/>
      <c r="D89" s="79"/>
      <c r="E89" s="79"/>
      <c r="N89" s="79"/>
      <c r="S89" s="79"/>
      <c r="T89" s="79"/>
      <c r="W89" s="79"/>
      <c r="X89" s="79"/>
      <c r="AA89" s="130"/>
      <c r="AC89" s="106"/>
    </row>
    <row r="90">
      <c r="C90" s="79"/>
      <c r="D90" s="79"/>
      <c r="E90" s="79"/>
      <c r="N90" s="79"/>
      <c r="S90" s="79"/>
      <c r="T90" s="79"/>
      <c r="W90" s="79"/>
      <c r="X90" s="79"/>
      <c r="AA90" s="130"/>
      <c r="AC90" s="106"/>
    </row>
    <row r="91">
      <c r="C91" s="79"/>
      <c r="D91" s="79"/>
      <c r="E91" s="79"/>
      <c r="N91" s="79"/>
      <c r="S91" s="79"/>
      <c r="T91" s="79"/>
      <c r="W91" s="79"/>
      <c r="X91" s="79"/>
      <c r="AA91" s="130"/>
      <c r="AC91" s="106"/>
    </row>
    <row r="92">
      <c r="C92" s="79"/>
      <c r="D92" s="79"/>
      <c r="E92" s="79"/>
      <c r="N92" s="79"/>
      <c r="S92" s="79"/>
      <c r="T92" s="79"/>
      <c r="W92" s="79"/>
      <c r="X92" s="79"/>
      <c r="AA92" s="130"/>
      <c r="AC92" s="106"/>
    </row>
    <row r="93">
      <c r="C93" s="79"/>
      <c r="D93" s="79"/>
      <c r="E93" s="79"/>
      <c r="N93" s="79"/>
      <c r="S93" s="79"/>
      <c r="T93" s="79"/>
      <c r="W93" s="79"/>
      <c r="X93" s="79"/>
      <c r="AA93" s="130"/>
      <c r="AC93" s="106"/>
    </row>
    <row r="94">
      <c r="C94" s="79"/>
      <c r="D94" s="79"/>
      <c r="E94" s="79"/>
      <c r="N94" s="79"/>
      <c r="S94" s="79"/>
      <c r="T94" s="79"/>
      <c r="W94" s="79"/>
      <c r="X94" s="79"/>
      <c r="AA94" s="130"/>
      <c r="AC94" s="106"/>
    </row>
    <row r="95">
      <c r="C95" s="79"/>
      <c r="D95" s="79"/>
      <c r="E95" s="79"/>
      <c r="N95" s="79"/>
      <c r="S95" s="79"/>
      <c r="T95" s="79"/>
      <c r="W95" s="79"/>
      <c r="X95" s="79"/>
      <c r="AA95" s="130"/>
      <c r="AC95" s="106"/>
    </row>
    <row r="96">
      <c r="C96" s="79"/>
      <c r="D96" s="79"/>
      <c r="E96" s="79"/>
      <c r="N96" s="79"/>
      <c r="S96" s="79"/>
      <c r="T96" s="79"/>
      <c r="W96" s="79"/>
      <c r="X96" s="79"/>
      <c r="AA96" s="130"/>
      <c r="AC96" s="106"/>
    </row>
    <row r="97">
      <c r="C97" s="79"/>
      <c r="D97" s="79"/>
      <c r="E97" s="79"/>
      <c r="N97" s="79"/>
      <c r="S97" s="79"/>
      <c r="T97" s="79"/>
      <c r="W97" s="79"/>
      <c r="X97" s="79"/>
      <c r="AA97" s="130"/>
      <c r="AC97" s="106"/>
    </row>
    <row r="98">
      <c r="C98" s="79"/>
      <c r="D98" s="79"/>
      <c r="E98" s="79"/>
      <c r="N98" s="79"/>
      <c r="S98" s="79"/>
      <c r="T98" s="79"/>
      <c r="W98" s="79"/>
      <c r="X98" s="79"/>
      <c r="AA98" s="130"/>
      <c r="AC98" s="106"/>
    </row>
    <row r="99">
      <c r="C99" s="79"/>
      <c r="D99" s="79"/>
      <c r="E99" s="79"/>
      <c r="N99" s="79"/>
      <c r="S99" s="79"/>
      <c r="T99" s="79"/>
      <c r="W99" s="79"/>
      <c r="X99" s="79"/>
      <c r="AA99" s="130"/>
      <c r="AC99" s="106"/>
    </row>
    <row r="100">
      <c r="C100" s="79"/>
      <c r="D100" s="79"/>
      <c r="E100" s="79"/>
      <c r="N100" s="79"/>
      <c r="S100" s="79"/>
      <c r="T100" s="79"/>
      <c r="W100" s="79"/>
      <c r="X100" s="79"/>
      <c r="AA100" s="130"/>
      <c r="AC100" s="106"/>
    </row>
    <row r="101">
      <c r="C101" s="79"/>
      <c r="D101" s="79"/>
      <c r="E101" s="79"/>
      <c r="N101" s="79"/>
      <c r="S101" s="79"/>
      <c r="T101" s="79"/>
      <c r="W101" s="79"/>
      <c r="X101" s="79"/>
      <c r="AA101" s="130"/>
      <c r="AC101" s="106"/>
    </row>
    <row r="102">
      <c r="C102" s="79"/>
      <c r="D102" s="79"/>
      <c r="E102" s="79"/>
      <c r="N102" s="79"/>
      <c r="S102" s="79"/>
      <c r="T102" s="79"/>
      <c r="W102" s="79"/>
      <c r="X102" s="79"/>
      <c r="AA102" s="130"/>
      <c r="AC102" s="106"/>
    </row>
    <row r="103">
      <c r="C103" s="79"/>
      <c r="D103" s="79"/>
      <c r="E103" s="79"/>
      <c r="N103" s="79"/>
      <c r="S103" s="79"/>
      <c r="T103" s="79"/>
      <c r="W103" s="79"/>
      <c r="X103" s="79"/>
      <c r="AA103" s="130"/>
      <c r="AC103" s="106"/>
    </row>
    <row r="104">
      <c r="C104" s="79"/>
      <c r="D104" s="79"/>
      <c r="E104" s="79"/>
      <c r="N104" s="79"/>
      <c r="S104" s="79"/>
      <c r="T104" s="79"/>
      <c r="W104" s="79"/>
      <c r="X104" s="79"/>
      <c r="AA104" s="130"/>
      <c r="AC104" s="106"/>
    </row>
    <row r="105">
      <c r="C105" s="79"/>
      <c r="D105" s="79"/>
      <c r="E105" s="79"/>
      <c r="N105" s="79"/>
      <c r="S105" s="79"/>
      <c r="T105" s="79"/>
      <c r="W105" s="79"/>
      <c r="X105" s="79"/>
      <c r="AA105" s="130"/>
      <c r="AC105" s="106"/>
    </row>
    <row r="106">
      <c r="C106" s="79"/>
      <c r="D106" s="79"/>
      <c r="E106" s="79"/>
      <c r="N106" s="79"/>
      <c r="S106" s="79"/>
      <c r="T106" s="79"/>
      <c r="W106" s="79"/>
      <c r="X106" s="79"/>
      <c r="AA106" s="130"/>
      <c r="AC106" s="106"/>
    </row>
    <row r="107">
      <c r="C107" s="79"/>
      <c r="D107" s="79"/>
      <c r="E107" s="79"/>
      <c r="N107" s="79"/>
      <c r="S107" s="79"/>
      <c r="T107" s="79"/>
      <c r="W107" s="79"/>
      <c r="X107" s="79"/>
      <c r="AA107" s="130"/>
      <c r="AC107" s="106"/>
    </row>
    <row r="108">
      <c r="C108" s="79"/>
      <c r="D108" s="79"/>
      <c r="E108" s="79"/>
      <c r="N108" s="79"/>
      <c r="S108" s="79"/>
      <c r="T108" s="79"/>
      <c r="W108" s="79"/>
      <c r="X108" s="79"/>
      <c r="AA108" s="130"/>
      <c r="AC108" s="106"/>
    </row>
    <row r="109">
      <c r="C109" s="79"/>
      <c r="D109" s="79"/>
      <c r="E109" s="79"/>
      <c r="N109" s="79"/>
      <c r="S109" s="79"/>
      <c r="T109" s="79"/>
      <c r="W109" s="79"/>
      <c r="X109" s="79"/>
      <c r="AA109" s="130"/>
      <c r="AC109" s="106"/>
    </row>
    <row r="110">
      <c r="C110" s="79"/>
      <c r="D110" s="79"/>
      <c r="E110" s="79"/>
      <c r="N110" s="79"/>
      <c r="S110" s="79"/>
      <c r="T110" s="79"/>
      <c r="W110" s="79"/>
      <c r="X110" s="79"/>
      <c r="AA110" s="130"/>
      <c r="AC110" s="106"/>
    </row>
    <row r="111">
      <c r="C111" s="79"/>
      <c r="D111" s="79"/>
      <c r="E111" s="79"/>
      <c r="N111" s="79"/>
      <c r="S111" s="79"/>
      <c r="T111" s="79"/>
      <c r="W111" s="79"/>
      <c r="X111" s="79"/>
      <c r="AA111" s="130"/>
      <c r="AC111" s="106"/>
    </row>
    <row r="112">
      <c r="C112" s="79"/>
      <c r="D112" s="79"/>
      <c r="E112" s="79"/>
      <c r="N112" s="79"/>
      <c r="S112" s="79"/>
      <c r="T112" s="79"/>
      <c r="W112" s="79"/>
      <c r="X112" s="79"/>
      <c r="AA112" s="130"/>
      <c r="AC112" s="106"/>
    </row>
    <row r="113">
      <c r="C113" s="79"/>
      <c r="D113" s="79"/>
      <c r="E113" s="79"/>
      <c r="N113" s="79"/>
      <c r="S113" s="79"/>
      <c r="T113" s="79"/>
      <c r="W113" s="79"/>
      <c r="X113" s="79"/>
      <c r="AA113" s="130"/>
      <c r="AC113" s="106"/>
    </row>
    <row r="114">
      <c r="C114" s="79"/>
      <c r="D114" s="79"/>
      <c r="E114" s="79"/>
      <c r="N114" s="79"/>
      <c r="S114" s="79"/>
      <c r="T114" s="79"/>
      <c r="W114" s="79"/>
      <c r="X114" s="79"/>
      <c r="AA114" s="130"/>
      <c r="AC114" s="106"/>
    </row>
    <row r="115">
      <c r="C115" s="79"/>
      <c r="D115" s="79"/>
      <c r="E115" s="79"/>
      <c r="N115" s="79"/>
      <c r="S115" s="79"/>
      <c r="T115" s="79"/>
      <c r="W115" s="79"/>
      <c r="X115" s="79"/>
      <c r="AA115" s="130"/>
      <c r="AC115" s="106"/>
    </row>
    <row r="116">
      <c r="C116" s="79"/>
      <c r="D116" s="79"/>
      <c r="E116" s="79"/>
      <c r="N116" s="79"/>
      <c r="S116" s="79"/>
      <c r="T116" s="79"/>
      <c r="W116" s="79"/>
      <c r="X116" s="79"/>
      <c r="AA116" s="130"/>
      <c r="AC116" s="106"/>
    </row>
    <row r="117">
      <c r="C117" s="79"/>
      <c r="D117" s="79"/>
      <c r="E117" s="79"/>
      <c r="N117" s="79"/>
      <c r="S117" s="79"/>
      <c r="T117" s="79"/>
      <c r="W117" s="79"/>
      <c r="X117" s="79"/>
      <c r="AA117" s="130"/>
      <c r="AC117" s="106"/>
    </row>
    <row r="118">
      <c r="C118" s="79"/>
      <c r="D118" s="79"/>
      <c r="E118" s="79"/>
      <c r="N118" s="79"/>
      <c r="S118" s="79"/>
      <c r="T118" s="79"/>
      <c r="W118" s="79"/>
      <c r="X118" s="79"/>
      <c r="AA118" s="130"/>
      <c r="AC118" s="106"/>
    </row>
    <row r="119">
      <c r="C119" s="79"/>
      <c r="D119" s="79"/>
      <c r="E119" s="79"/>
      <c r="N119" s="79"/>
      <c r="S119" s="79"/>
      <c r="T119" s="79"/>
      <c r="W119" s="79"/>
      <c r="X119" s="79"/>
      <c r="AA119" s="130"/>
      <c r="AC119" s="106"/>
    </row>
    <row r="120">
      <c r="C120" s="79"/>
      <c r="D120" s="79"/>
      <c r="E120" s="79"/>
      <c r="N120" s="79"/>
      <c r="S120" s="79"/>
      <c r="T120" s="79"/>
      <c r="W120" s="79"/>
      <c r="X120" s="79"/>
      <c r="AA120" s="130"/>
      <c r="AC120" s="106"/>
    </row>
    <row r="121">
      <c r="C121" s="79"/>
      <c r="D121" s="79"/>
      <c r="E121" s="79"/>
      <c r="N121" s="79"/>
      <c r="S121" s="79"/>
      <c r="T121" s="79"/>
      <c r="W121" s="79"/>
      <c r="X121" s="79"/>
      <c r="AA121" s="130"/>
      <c r="AC121" s="106"/>
    </row>
    <row r="122">
      <c r="C122" s="79"/>
      <c r="D122" s="79"/>
      <c r="E122" s="79"/>
      <c r="N122" s="79"/>
      <c r="S122" s="79"/>
      <c r="T122" s="79"/>
      <c r="W122" s="79"/>
      <c r="X122" s="79"/>
      <c r="AA122" s="130"/>
      <c r="AC122" s="106"/>
    </row>
    <row r="123">
      <c r="C123" s="79"/>
      <c r="D123" s="79"/>
      <c r="E123" s="79"/>
      <c r="N123" s="79"/>
      <c r="S123" s="79"/>
      <c r="T123" s="79"/>
      <c r="W123" s="79"/>
      <c r="X123" s="79"/>
      <c r="AA123" s="130"/>
      <c r="AC123" s="106"/>
    </row>
    <row r="124">
      <c r="C124" s="79"/>
      <c r="D124" s="79"/>
      <c r="E124" s="79"/>
      <c r="N124" s="79"/>
      <c r="S124" s="79"/>
      <c r="T124" s="79"/>
      <c r="W124" s="79"/>
      <c r="X124" s="79"/>
      <c r="AA124" s="130"/>
      <c r="AC124" s="106"/>
    </row>
    <row r="125">
      <c r="C125" s="79"/>
      <c r="D125" s="79"/>
      <c r="E125" s="79"/>
      <c r="N125" s="79"/>
      <c r="S125" s="79"/>
      <c r="T125" s="79"/>
      <c r="W125" s="79"/>
      <c r="X125" s="79"/>
      <c r="AA125" s="130"/>
      <c r="AC125" s="106"/>
    </row>
    <row r="126">
      <c r="C126" s="79"/>
      <c r="D126" s="79"/>
      <c r="E126" s="79"/>
      <c r="N126" s="79"/>
      <c r="S126" s="79"/>
      <c r="T126" s="79"/>
      <c r="W126" s="79"/>
      <c r="X126" s="79"/>
      <c r="AA126" s="130"/>
      <c r="AC126" s="106"/>
    </row>
    <row r="127">
      <c r="C127" s="79"/>
      <c r="D127" s="79"/>
      <c r="E127" s="79"/>
      <c r="N127" s="79"/>
      <c r="S127" s="79"/>
      <c r="T127" s="79"/>
      <c r="W127" s="79"/>
      <c r="X127" s="79"/>
      <c r="AA127" s="130"/>
      <c r="AC127" s="106"/>
    </row>
    <row r="128">
      <c r="C128" s="79"/>
      <c r="D128" s="79"/>
      <c r="E128" s="79"/>
      <c r="N128" s="79"/>
      <c r="S128" s="79"/>
      <c r="T128" s="79"/>
      <c r="W128" s="79"/>
      <c r="X128" s="79"/>
      <c r="AA128" s="130"/>
      <c r="AC128" s="106"/>
    </row>
    <row r="129">
      <c r="C129" s="79"/>
      <c r="D129" s="79"/>
      <c r="E129" s="79"/>
      <c r="N129" s="79"/>
      <c r="S129" s="79"/>
      <c r="T129" s="79"/>
      <c r="W129" s="79"/>
      <c r="X129" s="79"/>
      <c r="AA129" s="130"/>
      <c r="AC129" s="106"/>
    </row>
    <row r="130">
      <c r="C130" s="79"/>
      <c r="D130" s="79"/>
      <c r="E130" s="79"/>
      <c r="N130" s="79"/>
      <c r="S130" s="79"/>
      <c r="T130" s="79"/>
      <c r="W130" s="79"/>
      <c r="X130" s="79"/>
      <c r="AA130" s="130"/>
      <c r="AC130" s="106"/>
    </row>
    <row r="131">
      <c r="C131" s="79"/>
      <c r="D131" s="79"/>
      <c r="E131" s="79"/>
      <c r="N131" s="79"/>
      <c r="S131" s="79"/>
      <c r="T131" s="79"/>
      <c r="W131" s="79"/>
      <c r="X131" s="79"/>
      <c r="AA131" s="130"/>
      <c r="AC131" s="106"/>
    </row>
    <row r="132">
      <c r="C132" s="79"/>
      <c r="D132" s="79"/>
      <c r="E132" s="79"/>
      <c r="N132" s="79"/>
      <c r="S132" s="79"/>
      <c r="T132" s="79"/>
      <c r="W132" s="79"/>
      <c r="X132" s="79"/>
      <c r="AA132" s="130"/>
      <c r="AC132" s="106"/>
    </row>
    <row r="133">
      <c r="C133" s="79"/>
      <c r="D133" s="79"/>
      <c r="E133" s="79"/>
      <c r="N133" s="79"/>
      <c r="S133" s="79"/>
      <c r="T133" s="79"/>
      <c r="W133" s="79"/>
      <c r="X133" s="79"/>
      <c r="AA133" s="130"/>
      <c r="AC133" s="106"/>
    </row>
    <row r="134">
      <c r="C134" s="79"/>
      <c r="D134" s="79"/>
      <c r="E134" s="79"/>
      <c r="N134" s="79"/>
      <c r="S134" s="79"/>
      <c r="T134" s="79"/>
      <c r="W134" s="79"/>
      <c r="X134" s="79"/>
      <c r="AA134" s="130"/>
      <c r="AC134" s="106"/>
    </row>
    <row r="135">
      <c r="C135" s="79"/>
      <c r="D135" s="79"/>
      <c r="E135" s="79"/>
      <c r="N135" s="79"/>
      <c r="S135" s="79"/>
      <c r="T135" s="79"/>
      <c r="W135" s="79"/>
      <c r="X135" s="79"/>
      <c r="AA135" s="130"/>
      <c r="AC135" s="106"/>
    </row>
    <row r="136">
      <c r="C136" s="79"/>
      <c r="D136" s="79"/>
      <c r="E136" s="79"/>
      <c r="N136" s="79"/>
      <c r="S136" s="79"/>
      <c r="T136" s="79"/>
      <c r="W136" s="79"/>
      <c r="X136" s="79"/>
      <c r="AA136" s="130"/>
      <c r="AC136" s="106"/>
    </row>
    <row r="137">
      <c r="C137" s="79"/>
      <c r="D137" s="79"/>
      <c r="E137" s="79"/>
      <c r="N137" s="79"/>
      <c r="S137" s="79"/>
      <c r="T137" s="79"/>
      <c r="W137" s="79"/>
      <c r="X137" s="79"/>
      <c r="AA137" s="130"/>
      <c r="AC137" s="106"/>
    </row>
    <row r="138">
      <c r="C138" s="79"/>
      <c r="D138" s="79"/>
      <c r="E138" s="79"/>
      <c r="N138" s="79"/>
      <c r="S138" s="79"/>
      <c r="T138" s="79"/>
      <c r="W138" s="79"/>
      <c r="X138" s="79"/>
      <c r="AA138" s="130"/>
      <c r="AC138" s="106"/>
    </row>
    <row r="139">
      <c r="C139" s="79"/>
      <c r="D139" s="79"/>
      <c r="E139" s="79"/>
      <c r="N139" s="79"/>
      <c r="S139" s="79"/>
      <c r="T139" s="79"/>
      <c r="W139" s="79"/>
      <c r="X139" s="79"/>
      <c r="AA139" s="130"/>
      <c r="AC139" s="106"/>
    </row>
    <row r="140">
      <c r="C140" s="79"/>
      <c r="D140" s="79"/>
      <c r="E140" s="79"/>
      <c r="N140" s="79"/>
      <c r="S140" s="79"/>
      <c r="T140" s="79"/>
      <c r="W140" s="79"/>
      <c r="X140" s="79"/>
      <c r="AA140" s="130"/>
      <c r="AC140" s="106"/>
    </row>
    <row r="141">
      <c r="C141" s="79"/>
      <c r="D141" s="79"/>
      <c r="E141" s="79"/>
      <c r="N141" s="79"/>
      <c r="S141" s="79"/>
      <c r="T141" s="79"/>
      <c r="W141" s="79"/>
      <c r="X141" s="79"/>
      <c r="AA141" s="130"/>
      <c r="AC141" s="106"/>
    </row>
    <row r="142">
      <c r="C142" s="79"/>
      <c r="D142" s="79"/>
      <c r="E142" s="79"/>
      <c r="N142" s="79"/>
      <c r="S142" s="79"/>
      <c r="T142" s="79"/>
      <c r="W142" s="79"/>
      <c r="X142" s="79"/>
      <c r="AA142" s="130"/>
      <c r="AC142" s="106"/>
    </row>
    <row r="143">
      <c r="C143" s="79"/>
      <c r="D143" s="79"/>
      <c r="E143" s="79"/>
      <c r="N143" s="79"/>
      <c r="S143" s="79"/>
      <c r="T143" s="79"/>
      <c r="W143" s="79"/>
      <c r="X143" s="79"/>
      <c r="AA143" s="130"/>
      <c r="AC143" s="106"/>
    </row>
    <row r="144">
      <c r="C144" s="79"/>
      <c r="D144" s="79"/>
      <c r="E144" s="79"/>
      <c r="N144" s="79"/>
      <c r="S144" s="79"/>
      <c r="T144" s="79"/>
      <c r="W144" s="79"/>
      <c r="X144" s="79"/>
      <c r="AA144" s="130"/>
      <c r="AC144" s="106"/>
    </row>
    <row r="145">
      <c r="C145" s="79"/>
      <c r="D145" s="79"/>
      <c r="E145" s="79"/>
      <c r="N145" s="79"/>
      <c r="S145" s="79"/>
      <c r="T145" s="79"/>
      <c r="W145" s="79"/>
      <c r="X145" s="79"/>
      <c r="AA145" s="130"/>
      <c r="AC145" s="106"/>
    </row>
    <row r="146">
      <c r="C146" s="79"/>
      <c r="D146" s="79"/>
      <c r="E146" s="79"/>
      <c r="N146" s="79"/>
      <c r="S146" s="79"/>
      <c r="T146" s="79"/>
      <c r="W146" s="79"/>
      <c r="X146" s="79"/>
      <c r="AA146" s="130"/>
      <c r="AC146" s="106"/>
    </row>
    <row r="147">
      <c r="C147" s="79"/>
      <c r="D147" s="79"/>
      <c r="E147" s="79"/>
      <c r="N147" s="79"/>
      <c r="S147" s="79"/>
      <c r="T147" s="79"/>
      <c r="W147" s="79"/>
      <c r="X147" s="79"/>
      <c r="AA147" s="130"/>
      <c r="AC147" s="106"/>
    </row>
    <row r="148">
      <c r="C148" s="79"/>
      <c r="D148" s="79"/>
      <c r="E148" s="79"/>
      <c r="N148" s="79"/>
      <c r="S148" s="79"/>
      <c r="T148" s="79"/>
      <c r="W148" s="79"/>
      <c r="X148" s="79"/>
      <c r="AA148" s="130"/>
      <c r="AC148" s="106"/>
    </row>
    <row r="149">
      <c r="C149" s="79"/>
      <c r="D149" s="79"/>
      <c r="E149" s="79"/>
      <c r="N149" s="79"/>
      <c r="S149" s="79"/>
      <c r="T149" s="79"/>
      <c r="W149" s="79"/>
      <c r="X149" s="79"/>
      <c r="AA149" s="130"/>
      <c r="AC149" s="106"/>
    </row>
    <row r="150">
      <c r="C150" s="79"/>
      <c r="D150" s="79"/>
      <c r="E150" s="79"/>
      <c r="N150" s="79"/>
      <c r="S150" s="79"/>
      <c r="T150" s="79"/>
      <c r="W150" s="79"/>
      <c r="X150" s="79"/>
      <c r="AA150" s="130"/>
      <c r="AC150" s="106"/>
    </row>
    <row r="151">
      <c r="C151" s="79"/>
      <c r="D151" s="79"/>
      <c r="E151" s="79"/>
      <c r="N151" s="79"/>
      <c r="S151" s="79"/>
      <c r="T151" s="79"/>
      <c r="W151" s="79"/>
      <c r="X151" s="79"/>
      <c r="AA151" s="130"/>
      <c r="AC151" s="106"/>
    </row>
    <row r="152">
      <c r="C152" s="79"/>
      <c r="D152" s="79"/>
      <c r="E152" s="79"/>
      <c r="N152" s="79"/>
      <c r="S152" s="79"/>
      <c r="T152" s="79"/>
      <c r="W152" s="79"/>
      <c r="X152" s="79"/>
      <c r="AA152" s="130"/>
      <c r="AC152" s="106"/>
    </row>
    <row r="153">
      <c r="C153" s="79"/>
      <c r="D153" s="79"/>
      <c r="E153" s="79"/>
      <c r="N153" s="79"/>
      <c r="S153" s="79"/>
      <c r="T153" s="79"/>
      <c r="W153" s="79"/>
      <c r="X153" s="79"/>
      <c r="AA153" s="130"/>
      <c r="AC153" s="106"/>
    </row>
    <row r="154">
      <c r="C154" s="79"/>
      <c r="D154" s="79"/>
      <c r="E154" s="79"/>
      <c r="N154" s="79"/>
      <c r="S154" s="79"/>
      <c r="T154" s="79"/>
      <c r="W154" s="79"/>
      <c r="X154" s="79"/>
      <c r="AA154" s="130"/>
      <c r="AC154" s="106"/>
    </row>
    <row r="155">
      <c r="C155" s="79"/>
      <c r="D155" s="79"/>
      <c r="E155" s="79"/>
      <c r="N155" s="79"/>
      <c r="S155" s="79"/>
      <c r="T155" s="79"/>
      <c r="W155" s="79"/>
      <c r="X155" s="79"/>
      <c r="AA155" s="130"/>
      <c r="AC155" s="106"/>
    </row>
    <row r="156">
      <c r="C156" s="79"/>
      <c r="D156" s="79"/>
      <c r="E156" s="79"/>
      <c r="N156" s="79"/>
      <c r="S156" s="79"/>
      <c r="T156" s="79"/>
      <c r="W156" s="79"/>
      <c r="X156" s="79"/>
      <c r="AA156" s="130"/>
      <c r="AC156" s="106"/>
    </row>
    <row r="157">
      <c r="C157" s="79"/>
      <c r="D157" s="79"/>
      <c r="E157" s="79"/>
      <c r="N157" s="79"/>
      <c r="S157" s="79"/>
      <c r="T157" s="79"/>
      <c r="W157" s="79"/>
      <c r="X157" s="79"/>
      <c r="AA157" s="130"/>
      <c r="AC157" s="106"/>
    </row>
    <row r="158">
      <c r="C158" s="79"/>
      <c r="D158" s="79"/>
      <c r="E158" s="79"/>
      <c r="N158" s="79"/>
      <c r="S158" s="79"/>
      <c r="T158" s="79"/>
      <c r="W158" s="79"/>
      <c r="X158" s="79"/>
      <c r="AA158" s="130"/>
      <c r="AC158" s="106"/>
    </row>
    <row r="159">
      <c r="C159" s="79"/>
      <c r="D159" s="79"/>
      <c r="E159" s="79"/>
      <c r="N159" s="79"/>
      <c r="S159" s="79"/>
      <c r="T159" s="79"/>
      <c r="W159" s="79"/>
      <c r="X159" s="79"/>
      <c r="AA159" s="130"/>
      <c r="AC159" s="106"/>
    </row>
    <row r="160">
      <c r="C160" s="79"/>
      <c r="D160" s="79"/>
      <c r="E160" s="79"/>
      <c r="N160" s="79"/>
      <c r="S160" s="79"/>
      <c r="T160" s="79"/>
      <c r="W160" s="79"/>
      <c r="X160" s="79"/>
      <c r="AA160" s="130"/>
      <c r="AC160" s="106"/>
    </row>
    <row r="161">
      <c r="C161" s="79"/>
      <c r="D161" s="79"/>
      <c r="E161" s="79"/>
      <c r="N161" s="79"/>
      <c r="S161" s="79"/>
      <c r="T161" s="79"/>
      <c r="W161" s="79"/>
      <c r="X161" s="79"/>
      <c r="AA161" s="130"/>
      <c r="AC161" s="106"/>
    </row>
    <row r="162">
      <c r="C162" s="79"/>
      <c r="D162" s="79"/>
      <c r="E162" s="79"/>
      <c r="N162" s="79"/>
      <c r="S162" s="79"/>
      <c r="T162" s="79"/>
      <c r="W162" s="79"/>
      <c r="X162" s="79"/>
      <c r="AA162" s="130"/>
      <c r="AC162" s="106"/>
    </row>
    <row r="163">
      <c r="C163" s="79"/>
      <c r="D163" s="79"/>
      <c r="E163" s="79"/>
      <c r="N163" s="79"/>
      <c r="S163" s="79"/>
      <c r="T163" s="79"/>
      <c r="W163" s="79"/>
      <c r="X163" s="79"/>
      <c r="AA163" s="130"/>
      <c r="AC163" s="106"/>
    </row>
    <row r="164">
      <c r="C164" s="79"/>
      <c r="D164" s="79"/>
      <c r="E164" s="79"/>
      <c r="N164" s="79"/>
      <c r="S164" s="79"/>
      <c r="T164" s="79"/>
      <c r="W164" s="79"/>
      <c r="X164" s="79"/>
      <c r="AA164" s="130"/>
      <c r="AC164" s="106"/>
    </row>
    <row r="165">
      <c r="C165" s="79"/>
      <c r="D165" s="79"/>
      <c r="E165" s="79"/>
      <c r="N165" s="79"/>
      <c r="S165" s="79"/>
      <c r="T165" s="79"/>
      <c r="W165" s="79"/>
      <c r="X165" s="79"/>
      <c r="AA165" s="130"/>
      <c r="AC165" s="106"/>
    </row>
    <row r="166">
      <c r="C166" s="79"/>
      <c r="D166" s="79"/>
      <c r="E166" s="79"/>
      <c r="N166" s="79"/>
      <c r="S166" s="79"/>
      <c r="T166" s="79"/>
      <c r="W166" s="79"/>
      <c r="X166" s="79"/>
      <c r="AA166" s="130"/>
      <c r="AC166" s="106"/>
    </row>
    <row r="167">
      <c r="C167" s="79"/>
      <c r="D167" s="79"/>
      <c r="E167" s="79"/>
      <c r="N167" s="79"/>
      <c r="S167" s="79"/>
      <c r="T167" s="79"/>
      <c r="W167" s="79"/>
      <c r="X167" s="79"/>
      <c r="AA167" s="130"/>
      <c r="AC167" s="106"/>
    </row>
    <row r="168">
      <c r="C168" s="79"/>
      <c r="D168" s="79"/>
      <c r="E168" s="79"/>
      <c r="N168" s="79"/>
      <c r="S168" s="79"/>
      <c r="T168" s="79"/>
      <c r="W168" s="79"/>
      <c r="X168" s="79"/>
      <c r="AA168" s="130"/>
      <c r="AC168" s="106"/>
    </row>
    <row r="169">
      <c r="C169" s="79"/>
      <c r="D169" s="79"/>
      <c r="E169" s="79"/>
      <c r="N169" s="79"/>
      <c r="S169" s="79"/>
      <c r="T169" s="79"/>
      <c r="W169" s="79"/>
      <c r="X169" s="79"/>
      <c r="AA169" s="130"/>
      <c r="AC169" s="106"/>
    </row>
    <row r="170">
      <c r="C170" s="79"/>
      <c r="D170" s="79"/>
      <c r="E170" s="79"/>
      <c r="N170" s="79"/>
      <c r="S170" s="79"/>
      <c r="T170" s="79"/>
      <c r="W170" s="79"/>
      <c r="X170" s="79"/>
      <c r="AA170" s="130"/>
      <c r="AC170" s="106"/>
    </row>
    <row r="171">
      <c r="C171" s="79"/>
      <c r="D171" s="79"/>
      <c r="E171" s="79"/>
      <c r="N171" s="79"/>
      <c r="S171" s="79"/>
      <c r="T171" s="79"/>
      <c r="W171" s="79"/>
      <c r="X171" s="79"/>
      <c r="AA171" s="130"/>
      <c r="AC171" s="106"/>
    </row>
    <row r="172">
      <c r="C172" s="79"/>
      <c r="D172" s="79"/>
      <c r="E172" s="79"/>
      <c r="N172" s="79"/>
      <c r="S172" s="79"/>
      <c r="T172" s="79"/>
      <c r="W172" s="79"/>
      <c r="X172" s="79"/>
      <c r="AA172" s="130"/>
      <c r="AC172" s="106"/>
    </row>
    <row r="173">
      <c r="C173" s="79"/>
      <c r="D173" s="79"/>
      <c r="E173" s="79"/>
      <c r="N173" s="79"/>
      <c r="S173" s="79"/>
      <c r="T173" s="79"/>
      <c r="W173" s="79"/>
      <c r="X173" s="79"/>
      <c r="AA173" s="130"/>
      <c r="AC173" s="106"/>
    </row>
    <row r="174">
      <c r="C174" s="79"/>
      <c r="D174" s="79"/>
      <c r="E174" s="79"/>
      <c r="N174" s="79"/>
      <c r="S174" s="79"/>
      <c r="T174" s="79"/>
      <c r="W174" s="79"/>
      <c r="X174" s="79"/>
      <c r="AA174" s="130"/>
      <c r="AC174" s="106"/>
    </row>
    <row r="175">
      <c r="C175" s="79"/>
      <c r="D175" s="79"/>
      <c r="E175" s="79"/>
      <c r="N175" s="79"/>
      <c r="S175" s="79"/>
      <c r="T175" s="79"/>
      <c r="W175" s="79"/>
      <c r="X175" s="79"/>
      <c r="AA175" s="130"/>
      <c r="AC175" s="106"/>
    </row>
    <row r="176">
      <c r="C176" s="79"/>
      <c r="D176" s="79"/>
      <c r="E176" s="79"/>
      <c r="N176" s="79"/>
      <c r="S176" s="79"/>
      <c r="T176" s="79"/>
      <c r="W176" s="79"/>
      <c r="X176" s="79"/>
      <c r="AA176" s="130"/>
      <c r="AC176" s="106"/>
    </row>
    <row r="177">
      <c r="C177" s="79"/>
      <c r="D177" s="79"/>
      <c r="E177" s="79"/>
      <c r="N177" s="79"/>
      <c r="S177" s="79"/>
      <c r="T177" s="79"/>
      <c r="W177" s="79"/>
      <c r="X177" s="79"/>
      <c r="AA177" s="130"/>
      <c r="AC177" s="106"/>
    </row>
    <row r="178">
      <c r="C178" s="79"/>
      <c r="D178" s="79"/>
      <c r="E178" s="79"/>
      <c r="N178" s="79"/>
      <c r="S178" s="79"/>
      <c r="T178" s="79"/>
      <c r="W178" s="79"/>
      <c r="X178" s="79"/>
      <c r="AA178" s="130"/>
      <c r="AC178" s="106"/>
    </row>
    <row r="179">
      <c r="C179" s="79"/>
      <c r="D179" s="79"/>
      <c r="E179" s="79"/>
      <c r="N179" s="79"/>
      <c r="S179" s="79"/>
      <c r="T179" s="79"/>
      <c r="W179" s="79"/>
      <c r="X179" s="79"/>
      <c r="AA179" s="130"/>
      <c r="AC179" s="106"/>
    </row>
    <row r="180">
      <c r="C180" s="79"/>
      <c r="D180" s="79"/>
      <c r="E180" s="79"/>
      <c r="N180" s="79"/>
      <c r="S180" s="79"/>
      <c r="T180" s="79"/>
      <c r="W180" s="79"/>
      <c r="X180" s="79"/>
      <c r="AA180" s="130"/>
      <c r="AC180" s="106"/>
    </row>
    <row r="181">
      <c r="C181" s="79"/>
      <c r="D181" s="79"/>
      <c r="E181" s="79"/>
      <c r="N181" s="79"/>
      <c r="S181" s="79"/>
      <c r="T181" s="79"/>
      <c r="W181" s="79"/>
      <c r="X181" s="79"/>
      <c r="AA181" s="130"/>
      <c r="AC181" s="106"/>
    </row>
    <row r="182">
      <c r="C182" s="79"/>
      <c r="D182" s="79"/>
      <c r="E182" s="79"/>
      <c r="N182" s="79"/>
      <c r="S182" s="79"/>
      <c r="T182" s="79"/>
      <c r="W182" s="79"/>
      <c r="X182" s="79"/>
      <c r="AA182" s="130"/>
      <c r="AC182" s="106"/>
    </row>
    <row r="183">
      <c r="C183" s="79"/>
      <c r="D183" s="79"/>
      <c r="E183" s="79"/>
      <c r="N183" s="79"/>
      <c r="S183" s="79"/>
      <c r="T183" s="79"/>
      <c r="W183" s="79"/>
      <c r="X183" s="79"/>
      <c r="AA183" s="130"/>
      <c r="AC183" s="106"/>
    </row>
    <row r="184">
      <c r="C184" s="79"/>
      <c r="D184" s="79"/>
      <c r="E184" s="79"/>
      <c r="N184" s="79"/>
      <c r="S184" s="79"/>
      <c r="T184" s="79"/>
      <c r="W184" s="79"/>
      <c r="X184" s="79"/>
      <c r="AA184" s="130"/>
      <c r="AC184" s="106"/>
    </row>
    <row r="185">
      <c r="C185" s="79"/>
      <c r="D185" s="79"/>
      <c r="E185" s="79"/>
      <c r="N185" s="79"/>
      <c r="S185" s="79"/>
      <c r="T185" s="79"/>
      <c r="W185" s="79"/>
      <c r="X185" s="79"/>
      <c r="AA185" s="130"/>
      <c r="AC185" s="106"/>
    </row>
    <row r="186">
      <c r="C186" s="79"/>
      <c r="D186" s="79"/>
      <c r="E186" s="79"/>
      <c r="N186" s="79"/>
      <c r="S186" s="79"/>
      <c r="T186" s="79"/>
      <c r="W186" s="79"/>
      <c r="X186" s="79"/>
      <c r="AA186" s="130"/>
      <c r="AC186" s="106"/>
    </row>
    <row r="187">
      <c r="C187" s="79"/>
      <c r="D187" s="79"/>
      <c r="E187" s="79"/>
      <c r="N187" s="79"/>
      <c r="S187" s="79"/>
      <c r="T187" s="79"/>
      <c r="W187" s="79"/>
      <c r="X187" s="79"/>
      <c r="AA187" s="130"/>
      <c r="AC187" s="106"/>
    </row>
    <row r="188">
      <c r="C188" s="79"/>
      <c r="D188" s="79"/>
      <c r="E188" s="79"/>
      <c r="N188" s="79"/>
      <c r="S188" s="79"/>
      <c r="T188" s="79"/>
      <c r="W188" s="79"/>
      <c r="X188" s="79"/>
      <c r="AA188" s="130"/>
      <c r="AC188" s="106"/>
    </row>
    <row r="189">
      <c r="C189" s="79"/>
      <c r="D189" s="79"/>
      <c r="E189" s="79"/>
      <c r="N189" s="79"/>
      <c r="S189" s="79"/>
      <c r="T189" s="79"/>
      <c r="W189" s="79"/>
      <c r="X189" s="79"/>
      <c r="AA189" s="130"/>
      <c r="AC189" s="106"/>
    </row>
    <row r="190">
      <c r="C190" s="79"/>
      <c r="D190" s="79"/>
      <c r="E190" s="79"/>
      <c r="N190" s="79"/>
      <c r="S190" s="79"/>
      <c r="T190" s="79"/>
      <c r="W190" s="79"/>
      <c r="X190" s="79"/>
      <c r="AA190" s="130"/>
      <c r="AC190" s="106"/>
    </row>
    <row r="191">
      <c r="C191" s="79"/>
      <c r="D191" s="79"/>
      <c r="E191" s="79"/>
      <c r="N191" s="79"/>
      <c r="S191" s="79"/>
      <c r="T191" s="79"/>
      <c r="W191" s="79"/>
      <c r="X191" s="79"/>
      <c r="AA191" s="130"/>
      <c r="AC191" s="106"/>
    </row>
    <row r="192">
      <c r="C192" s="79"/>
      <c r="D192" s="79"/>
      <c r="E192" s="79"/>
      <c r="N192" s="79"/>
      <c r="S192" s="79"/>
      <c r="T192" s="79"/>
      <c r="W192" s="79"/>
      <c r="X192" s="79"/>
      <c r="AA192" s="130"/>
      <c r="AC192" s="106"/>
    </row>
    <row r="193">
      <c r="C193" s="79"/>
      <c r="D193" s="79"/>
      <c r="E193" s="79"/>
      <c r="N193" s="79"/>
      <c r="S193" s="79"/>
      <c r="T193" s="79"/>
      <c r="W193" s="79"/>
      <c r="X193" s="79"/>
      <c r="AA193" s="130"/>
      <c r="AC193" s="106"/>
    </row>
    <row r="194">
      <c r="C194" s="79"/>
      <c r="D194" s="79"/>
      <c r="E194" s="79"/>
      <c r="N194" s="79"/>
      <c r="S194" s="79"/>
      <c r="T194" s="79"/>
      <c r="W194" s="79"/>
      <c r="X194" s="79"/>
      <c r="AA194" s="130"/>
      <c r="AC194" s="106"/>
    </row>
    <row r="195">
      <c r="C195" s="79"/>
      <c r="D195" s="79"/>
      <c r="E195" s="79"/>
      <c r="N195" s="79"/>
      <c r="S195" s="79"/>
      <c r="T195" s="79"/>
      <c r="W195" s="79"/>
      <c r="X195" s="79"/>
      <c r="AA195" s="130"/>
      <c r="AC195" s="106"/>
    </row>
    <row r="196">
      <c r="C196" s="79"/>
      <c r="D196" s="79"/>
      <c r="E196" s="79"/>
      <c r="N196" s="79"/>
      <c r="S196" s="79"/>
      <c r="T196" s="79"/>
      <c r="W196" s="79"/>
      <c r="X196" s="79"/>
      <c r="AA196" s="130"/>
      <c r="AC196" s="106"/>
    </row>
    <row r="197">
      <c r="C197" s="79"/>
      <c r="D197" s="79"/>
      <c r="E197" s="79"/>
      <c r="N197" s="79"/>
      <c r="S197" s="79"/>
      <c r="T197" s="79"/>
      <c r="W197" s="79"/>
      <c r="X197" s="79"/>
      <c r="AA197" s="130"/>
      <c r="AC197" s="106"/>
    </row>
    <row r="198">
      <c r="C198" s="79"/>
      <c r="D198" s="79"/>
      <c r="E198" s="79"/>
      <c r="N198" s="79"/>
      <c r="S198" s="79"/>
      <c r="T198" s="79"/>
      <c r="W198" s="79"/>
      <c r="X198" s="79"/>
      <c r="AA198" s="130"/>
      <c r="AC198" s="106"/>
    </row>
    <row r="199">
      <c r="C199" s="79"/>
      <c r="D199" s="79"/>
      <c r="E199" s="79"/>
      <c r="N199" s="79"/>
      <c r="S199" s="79"/>
      <c r="T199" s="79"/>
      <c r="W199" s="79"/>
      <c r="X199" s="79"/>
      <c r="AA199" s="130"/>
      <c r="AC199" s="106"/>
    </row>
    <row r="200">
      <c r="C200" s="79"/>
      <c r="D200" s="79"/>
      <c r="E200" s="79"/>
      <c r="N200" s="79"/>
      <c r="S200" s="79"/>
      <c r="T200" s="79"/>
      <c r="W200" s="79"/>
      <c r="X200" s="79"/>
      <c r="AA200" s="130"/>
      <c r="AC200" s="106"/>
    </row>
    <row r="201">
      <c r="C201" s="79"/>
      <c r="D201" s="79"/>
      <c r="E201" s="79"/>
      <c r="N201" s="79"/>
      <c r="S201" s="79"/>
      <c r="T201" s="79"/>
      <c r="W201" s="79"/>
      <c r="X201" s="79"/>
      <c r="AA201" s="130"/>
      <c r="AC201" s="106"/>
    </row>
    <row r="202">
      <c r="C202" s="79"/>
      <c r="D202" s="79"/>
      <c r="E202" s="79"/>
      <c r="N202" s="79"/>
      <c r="S202" s="79"/>
      <c r="T202" s="79"/>
      <c r="W202" s="79"/>
      <c r="X202" s="79"/>
      <c r="AA202" s="130"/>
      <c r="AC202" s="106"/>
    </row>
    <row r="203">
      <c r="C203" s="79"/>
      <c r="D203" s="79"/>
      <c r="E203" s="79"/>
      <c r="N203" s="79"/>
      <c r="S203" s="79"/>
      <c r="T203" s="79"/>
      <c r="W203" s="79"/>
      <c r="X203" s="79"/>
      <c r="AA203" s="130"/>
      <c r="AC203" s="106"/>
    </row>
    <row r="204">
      <c r="C204" s="79"/>
      <c r="D204" s="79"/>
      <c r="E204" s="79"/>
      <c r="N204" s="79"/>
      <c r="S204" s="79"/>
      <c r="T204" s="79"/>
      <c r="W204" s="79"/>
      <c r="X204" s="79"/>
      <c r="AA204" s="130"/>
      <c r="AC204" s="106"/>
    </row>
    <row r="205">
      <c r="C205" s="79"/>
      <c r="D205" s="79"/>
      <c r="E205" s="79"/>
      <c r="N205" s="79"/>
      <c r="S205" s="79"/>
      <c r="T205" s="79"/>
      <c r="W205" s="79"/>
      <c r="X205" s="79"/>
      <c r="AA205" s="130"/>
      <c r="AC205" s="106"/>
    </row>
    <row r="206">
      <c r="C206" s="79"/>
      <c r="D206" s="79"/>
      <c r="E206" s="79"/>
      <c r="N206" s="79"/>
      <c r="S206" s="79"/>
      <c r="T206" s="79"/>
      <c r="W206" s="79"/>
      <c r="X206" s="79"/>
      <c r="AA206" s="130"/>
      <c r="AC206" s="106"/>
    </row>
    <row r="207">
      <c r="C207" s="79"/>
      <c r="D207" s="79"/>
      <c r="E207" s="79"/>
      <c r="N207" s="79"/>
      <c r="S207" s="79"/>
      <c r="T207" s="79"/>
      <c r="W207" s="79"/>
      <c r="X207" s="79"/>
      <c r="AA207" s="130"/>
      <c r="AC207" s="106"/>
    </row>
    <row r="208">
      <c r="C208" s="79"/>
      <c r="D208" s="79"/>
      <c r="E208" s="79"/>
      <c r="N208" s="79"/>
      <c r="S208" s="79"/>
      <c r="T208" s="79"/>
      <c r="W208" s="79"/>
      <c r="X208" s="79"/>
      <c r="AA208" s="130"/>
      <c r="AC208" s="106"/>
    </row>
    <row r="209">
      <c r="C209" s="79"/>
      <c r="D209" s="79"/>
      <c r="E209" s="79"/>
      <c r="N209" s="79"/>
      <c r="S209" s="79"/>
      <c r="T209" s="79"/>
      <c r="W209" s="79"/>
      <c r="X209" s="79"/>
      <c r="AA209" s="130"/>
      <c r="AC209" s="106"/>
    </row>
    <row r="210">
      <c r="C210" s="79"/>
      <c r="D210" s="79"/>
      <c r="E210" s="79"/>
      <c r="N210" s="79"/>
      <c r="S210" s="79"/>
      <c r="T210" s="79"/>
      <c r="W210" s="79"/>
      <c r="X210" s="79"/>
      <c r="AA210" s="130"/>
      <c r="AC210" s="106"/>
    </row>
    <row r="211">
      <c r="C211" s="79"/>
      <c r="D211" s="79"/>
      <c r="E211" s="79"/>
      <c r="N211" s="79"/>
      <c r="S211" s="79"/>
      <c r="T211" s="79"/>
      <c r="W211" s="79"/>
      <c r="X211" s="79"/>
      <c r="AA211" s="130"/>
      <c r="AC211" s="106"/>
    </row>
    <row r="212">
      <c r="C212" s="79"/>
      <c r="D212" s="79"/>
      <c r="E212" s="79"/>
      <c r="N212" s="79"/>
      <c r="S212" s="79"/>
      <c r="T212" s="79"/>
      <c r="W212" s="79"/>
      <c r="X212" s="79"/>
      <c r="AA212" s="130"/>
      <c r="AC212" s="106"/>
    </row>
    <row r="213">
      <c r="C213" s="79"/>
      <c r="D213" s="79"/>
      <c r="E213" s="79"/>
      <c r="N213" s="79"/>
      <c r="S213" s="79"/>
      <c r="T213" s="79"/>
      <c r="W213" s="79"/>
      <c r="X213" s="79"/>
      <c r="AA213" s="130"/>
      <c r="AC213" s="106"/>
    </row>
    <row r="214">
      <c r="C214" s="79"/>
      <c r="D214" s="79"/>
      <c r="E214" s="79"/>
      <c r="N214" s="79"/>
      <c r="S214" s="79"/>
      <c r="T214" s="79"/>
      <c r="W214" s="79"/>
      <c r="X214" s="79"/>
      <c r="AA214" s="130"/>
      <c r="AC214" s="106"/>
    </row>
    <row r="215">
      <c r="C215" s="79"/>
      <c r="D215" s="79"/>
      <c r="E215" s="79"/>
      <c r="N215" s="79"/>
      <c r="S215" s="79"/>
      <c r="T215" s="79"/>
      <c r="W215" s="79"/>
      <c r="X215" s="79"/>
      <c r="AA215" s="130"/>
      <c r="AC215" s="106"/>
    </row>
    <row r="216">
      <c r="C216" s="79"/>
      <c r="D216" s="79"/>
      <c r="E216" s="79"/>
      <c r="N216" s="79"/>
      <c r="S216" s="79"/>
      <c r="T216" s="79"/>
      <c r="W216" s="79"/>
      <c r="X216" s="79"/>
      <c r="AA216" s="130"/>
      <c r="AC216" s="106"/>
    </row>
    <row r="217">
      <c r="C217" s="79"/>
      <c r="D217" s="79"/>
      <c r="E217" s="79"/>
      <c r="N217" s="79"/>
      <c r="S217" s="79"/>
      <c r="T217" s="79"/>
      <c r="W217" s="79"/>
      <c r="X217" s="79"/>
      <c r="AA217" s="130"/>
      <c r="AC217" s="106"/>
    </row>
    <row r="218">
      <c r="C218" s="79"/>
      <c r="D218" s="79"/>
      <c r="E218" s="79"/>
      <c r="N218" s="79"/>
      <c r="S218" s="79"/>
      <c r="T218" s="79"/>
      <c r="W218" s="79"/>
      <c r="X218" s="79"/>
      <c r="AA218" s="130"/>
      <c r="AC218" s="106"/>
    </row>
    <row r="219">
      <c r="C219" s="79"/>
      <c r="D219" s="79"/>
      <c r="E219" s="79"/>
      <c r="N219" s="79"/>
      <c r="S219" s="79"/>
      <c r="T219" s="79"/>
      <c r="W219" s="79"/>
      <c r="X219" s="79"/>
      <c r="AA219" s="130"/>
      <c r="AC219" s="106"/>
    </row>
    <row r="220">
      <c r="C220" s="79"/>
      <c r="D220" s="79"/>
      <c r="E220" s="79"/>
      <c r="N220" s="79"/>
      <c r="S220" s="79"/>
      <c r="T220" s="79"/>
      <c r="W220" s="79"/>
      <c r="X220" s="79"/>
      <c r="AA220" s="130"/>
      <c r="AC220" s="106"/>
    </row>
    <row r="221">
      <c r="C221" s="79"/>
      <c r="D221" s="79"/>
      <c r="E221" s="79"/>
      <c r="N221" s="79"/>
      <c r="S221" s="79"/>
      <c r="T221" s="79"/>
      <c r="W221" s="79"/>
      <c r="X221" s="79"/>
      <c r="AA221" s="130"/>
      <c r="AC221" s="106"/>
    </row>
    <row r="222">
      <c r="C222" s="79"/>
      <c r="D222" s="79"/>
      <c r="E222" s="79"/>
      <c r="N222" s="79"/>
      <c r="S222" s="79"/>
      <c r="T222" s="79"/>
      <c r="W222" s="79"/>
      <c r="X222" s="79"/>
      <c r="AA222" s="130"/>
      <c r="AC222" s="106"/>
    </row>
    <row r="223">
      <c r="C223" s="79"/>
      <c r="D223" s="79"/>
      <c r="E223" s="79"/>
      <c r="N223" s="79"/>
      <c r="S223" s="79"/>
      <c r="T223" s="79"/>
      <c r="W223" s="79"/>
      <c r="X223" s="79"/>
      <c r="AA223" s="130"/>
      <c r="AC223" s="106"/>
    </row>
    <row r="224">
      <c r="C224" s="79"/>
      <c r="D224" s="79"/>
      <c r="E224" s="79"/>
      <c r="N224" s="79"/>
      <c r="S224" s="79"/>
      <c r="T224" s="79"/>
      <c r="W224" s="79"/>
      <c r="X224" s="79"/>
      <c r="AA224" s="130"/>
      <c r="AC224" s="106"/>
    </row>
    <row r="225">
      <c r="C225" s="79"/>
      <c r="D225" s="79"/>
      <c r="E225" s="79"/>
      <c r="N225" s="79"/>
      <c r="S225" s="79"/>
      <c r="T225" s="79"/>
      <c r="W225" s="79"/>
      <c r="X225" s="79"/>
      <c r="AA225" s="130"/>
      <c r="AC225" s="106"/>
    </row>
    <row r="226">
      <c r="C226" s="79"/>
      <c r="D226" s="79"/>
      <c r="E226" s="79"/>
      <c r="N226" s="79"/>
      <c r="S226" s="79"/>
      <c r="T226" s="79"/>
      <c r="W226" s="79"/>
      <c r="X226" s="79"/>
      <c r="AA226" s="130"/>
      <c r="AC226" s="106"/>
    </row>
    <row r="227">
      <c r="C227" s="79"/>
      <c r="D227" s="79"/>
      <c r="E227" s="79"/>
      <c r="N227" s="79"/>
      <c r="S227" s="79"/>
      <c r="T227" s="79"/>
      <c r="W227" s="79"/>
      <c r="X227" s="79"/>
      <c r="AA227" s="130"/>
      <c r="AC227" s="106"/>
    </row>
    <row r="228">
      <c r="C228" s="79"/>
      <c r="D228" s="79"/>
      <c r="E228" s="79"/>
      <c r="N228" s="79"/>
      <c r="S228" s="79"/>
      <c r="T228" s="79"/>
      <c r="W228" s="79"/>
      <c r="X228" s="79"/>
      <c r="AA228" s="130"/>
      <c r="AC228" s="106"/>
    </row>
    <row r="229">
      <c r="C229" s="79"/>
      <c r="D229" s="79"/>
      <c r="E229" s="79"/>
      <c r="N229" s="79"/>
      <c r="S229" s="79"/>
      <c r="T229" s="79"/>
      <c r="W229" s="79"/>
      <c r="X229" s="79"/>
      <c r="AA229" s="130"/>
      <c r="AC229" s="106"/>
    </row>
    <row r="230">
      <c r="C230" s="79"/>
      <c r="D230" s="79"/>
      <c r="E230" s="79"/>
      <c r="N230" s="79"/>
      <c r="S230" s="79"/>
      <c r="T230" s="79"/>
      <c r="W230" s="79"/>
      <c r="X230" s="79"/>
      <c r="AA230" s="130"/>
      <c r="AC230" s="106"/>
    </row>
    <row r="231">
      <c r="C231" s="79"/>
      <c r="D231" s="79"/>
      <c r="E231" s="79"/>
      <c r="N231" s="79"/>
      <c r="S231" s="79"/>
      <c r="T231" s="79"/>
      <c r="W231" s="79"/>
      <c r="X231" s="79"/>
      <c r="AA231" s="130"/>
      <c r="AC231" s="106"/>
    </row>
    <row r="232">
      <c r="C232" s="79"/>
      <c r="D232" s="79"/>
      <c r="E232" s="79"/>
      <c r="N232" s="79"/>
      <c r="S232" s="79"/>
      <c r="T232" s="79"/>
      <c r="W232" s="79"/>
      <c r="X232" s="79"/>
      <c r="AA232" s="130"/>
      <c r="AC232" s="106"/>
    </row>
    <row r="233">
      <c r="C233" s="79"/>
      <c r="D233" s="79"/>
      <c r="E233" s="79"/>
      <c r="N233" s="79"/>
      <c r="S233" s="79"/>
      <c r="T233" s="79"/>
      <c r="W233" s="79"/>
      <c r="X233" s="79"/>
      <c r="AA233" s="130"/>
      <c r="AC233" s="106"/>
    </row>
    <row r="234">
      <c r="C234" s="79"/>
      <c r="D234" s="79"/>
      <c r="E234" s="79"/>
      <c r="N234" s="79"/>
      <c r="S234" s="79"/>
      <c r="T234" s="79"/>
      <c r="W234" s="79"/>
      <c r="X234" s="79"/>
      <c r="AA234" s="130"/>
      <c r="AC234" s="106"/>
    </row>
    <row r="235">
      <c r="C235" s="79"/>
      <c r="D235" s="79"/>
      <c r="E235" s="79"/>
      <c r="N235" s="79"/>
      <c r="S235" s="79"/>
      <c r="T235" s="79"/>
      <c r="W235" s="79"/>
      <c r="X235" s="79"/>
      <c r="AA235" s="130"/>
      <c r="AC235" s="106"/>
    </row>
    <row r="236">
      <c r="C236" s="79"/>
      <c r="D236" s="79"/>
      <c r="E236" s="79"/>
      <c r="N236" s="79"/>
      <c r="S236" s="79"/>
      <c r="T236" s="79"/>
      <c r="W236" s="79"/>
      <c r="X236" s="79"/>
      <c r="AA236" s="130"/>
      <c r="AC236" s="106"/>
    </row>
    <row r="237">
      <c r="C237" s="79"/>
      <c r="D237" s="79"/>
      <c r="E237" s="79"/>
      <c r="N237" s="79"/>
      <c r="S237" s="79"/>
      <c r="T237" s="79"/>
      <c r="W237" s="79"/>
      <c r="X237" s="79"/>
      <c r="AA237" s="130"/>
      <c r="AC237" s="106"/>
    </row>
    <row r="238">
      <c r="C238" s="79"/>
      <c r="D238" s="79"/>
      <c r="E238" s="79"/>
      <c r="N238" s="79"/>
      <c r="S238" s="79"/>
      <c r="T238" s="79"/>
      <c r="W238" s="79"/>
      <c r="X238" s="79"/>
      <c r="AA238" s="130"/>
      <c r="AC238" s="106"/>
    </row>
    <row r="239">
      <c r="C239" s="79"/>
      <c r="D239" s="79"/>
      <c r="E239" s="79"/>
      <c r="N239" s="79"/>
      <c r="S239" s="79"/>
      <c r="T239" s="79"/>
      <c r="W239" s="79"/>
      <c r="X239" s="79"/>
      <c r="AA239" s="130"/>
      <c r="AC239" s="106"/>
    </row>
    <row r="240">
      <c r="C240" s="79"/>
      <c r="D240" s="79"/>
      <c r="E240" s="79"/>
      <c r="N240" s="79"/>
      <c r="S240" s="79"/>
      <c r="T240" s="79"/>
      <c r="W240" s="79"/>
      <c r="X240" s="79"/>
      <c r="AA240" s="130"/>
      <c r="AC240" s="106"/>
    </row>
    <row r="241">
      <c r="C241" s="79"/>
      <c r="D241" s="79"/>
      <c r="E241" s="79"/>
      <c r="N241" s="79"/>
      <c r="S241" s="79"/>
      <c r="T241" s="79"/>
      <c r="W241" s="79"/>
      <c r="X241" s="79"/>
      <c r="AA241" s="130"/>
      <c r="AC241" s="106"/>
    </row>
    <row r="242">
      <c r="C242" s="79"/>
      <c r="D242" s="79"/>
      <c r="E242" s="79"/>
      <c r="N242" s="79"/>
      <c r="S242" s="79"/>
      <c r="T242" s="79"/>
      <c r="W242" s="79"/>
      <c r="X242" s="79"/>
      <c r="AA242" s="130"/>
      <c r="AC242" s="106"/>
    </row>
    <row r="243">
      <c r="C243" s="79"/>
      <c r="D243" s="79"/>
      <c r="E243" s="79"/>
      <c r="N243" s="79"/>
      <c r="S243" s="79"/>
      <c r="T243" s="79"/>
      <c r="W243" s="79"/>
      <c r="X243" s="79"/>
      <c r="AA243" s="130"/>
      <c r="AC243" s="106"/>
    </row>
    <row r="244">
      <c r="C244" s="79"/>
      <c r="D244" s="79"/>
      <c r="E244" s="79"/>
      <c r="N244" s="79"/>
      <c r="S244" s="79"/>
      <c r="T244" s="79"/>
      <c r="W244" s="79"/>
      <c r="X244" s="79"/>
      <c r="AA244" s="130"/>
      <c r="AC244" s="106"/>
    </row>
    <row r="245">
      <c r="C245" s="79"/>
      <c r="D245" s="79"/>
      <c r="E245" s="79"/>
      <c r="N245" s="79"/>
      <c r="S245" s="79"/>
      <c r="T245" s="79"/>
      <c r="W245" s="79"/>
      <c r="X245" s="79"/>
      <c r="AA245" s="130"/>
      <c r="AC245" s="106"/>
    </row>
    <row r="246">
      <c r="C246" s="79"/>
      <c r="D246" s="79"/>
      <c r="E246" s="79"/>
      <c r="N246" s="79"/>
      <c r="S246" s="79"/>
      <c r="T246" s="79"/>
      <c r="W246" s="79"/>
      <c r="X246" s="79"/>
      <c r="AA246" s="130"/>
      <c r="AC246" s="106"/>
    </row>
    <row r="247">
      <c r="C247" s="79"/>
      <c r="D247" s="79"/>
      <c r="E247" s="79"/>
      <c r="N247" s="79"/>
      <c r="S247" s="79"/>
      <c r="T247" s="79"/>
      <c r="W247" s="79"/>
      <c r="X247" s="79"/>
      <c r="AA247" s="130"/>
      <c r="AC247" s="106"/>
    </row>
    <row r="248">
      <c r="C248" s="79"/>
      <c r="D248" s="79"/>
      <c r="E248" s="79"/>
      <c r="N248" s="79"/>
      <c r="S248" s="79"/>
      <c r="T248" s="79"/>
      <c r="W248" s="79"/>
      <c r="X248" s="79"/>
      <c r="AA248" s="130"/>
      <c r="AC248" s="106"/>
    </row>
    <row r="249">
      <c r="C249" s="79"/>
      <c r="D249" s="79"/>
      <c r="E249" s="79"/>
      <c r="N249" s="79"/>
      <c r="S249" s="79"/>
      <c r="T249" s="79"/>
      <c r="W249" s="79"/>
      <c r="X249" s="79"/>
      <c r="AA249" s="130"/>
      <c r="AC249" s="106"/>
    </row>
    <row r="250">
      <c r="C250" s="79"/>
      <c r="D250" s="79"/>
      <c r="E250" s="79"/>
      <c r="N250" s="79"/>
      <c r="S250" s="79"/>
      <c r="T250" s="79"/>
      <c r="W250" s="79"/>
      <c r="X250" s="79"/>
      <c r="AA250" s="130"/>
      <c r="AC250" s="106"/>
    </row>
    <row r="251">
      <c r="C251" s="79"/>
      <c r="D251" s="79"/>
      <c r="E251" s="79"/>
      <c r="N251" s="79"/>
      <c r="S251" s="79"/>
      <c r="T251" s="79"/>
      <c r="W251" s="79"/>
      <c r="X251" s="79"/>
      <c r="AA251" s="130"/>
      <c r="AC251" s="106"/>
    </row>
    <row r="252">
      <c r="C252" s="79"/>
      <c r="D252" s="79"/>
      <c r="E252" s="79"/>
      <c r="N252" s="79"/>
      <c r="S252" s="79"/>
      <c r="T252" s="79"/>
      <c r="W252" s="79"/>
      <c r="X252" s="79"/>
      <c r="AA252" s="130"/>
      <c r="AC252" s="106"/>
    </row>
    <row r="253">
      <c r="C253" s="79"/>
      <c r="D253" s="79"/>
      <c r="E253" s="79"/>
      <c r="N253" s="79"/>
      <c r="S253" s="79"/>
      <c r="T253" s="79"/>
      <c r="W253" s="79"/>
      <c r="X253" s="79"/>
      <c r="AA253" s="130"/>
      <c r="AC253" s="106"/>
    </row>
    <row r="254">
      <c r="C254" s="79"/>
      <c r="D254" s="79"/>
      <c r="E254" s="79"/>
      <c r="N254" s="79"/>
      <c r="S254" s="79"/>
      <c r="T254" s="79"/>
      <c r="W254" s="79"/>
      <c r="X254" s="79"/>
      <c r="AA254" s="130"/>
      <c r="AC254" s="106"/>
    </row>
    <row r="255">
      <c r="C255" s="79"/>
      <c r="D255" s="79"/>
      <c r="E255" s="79"/>
      <c r="N255" s="79"/>
      <c r="S255" s="79"/>
      <c r="T255" s="79"/>
      <c r="W255" s="79"/>
      <c r="X255" s="79"/>
      <c r="AA255" s="130"/>
      <c r="AC255" s="106"/>
    </row>
    <row r="256">
      <c r="C256" s="79"/>
      <c r="D256" s="79"/>
      <c r="E256" s="79"/>
      <c r="N256" s="79"/>
      <c r="S256" s="79"/>
      <c r="T256" s="79"/>
      <c r="W256" s="79"/>
      <c r="X256" s="79"/>
      <c r="AA256" s="130"/>
      <c r="AC256" s="106"/>
    </row>
    <row r="257">
      <c r="C257" s="79"/>
      <c r="D257" s="79"/>
      <c r="E257" s="79"/>
      <c r="N257" s="79"/>
      <c r="S257" s="79"/>
      <c r="T257" s="79"/>
      <c r="W257" s="79"/>
      <c r="X257" s="79"/>
      <c r="AA257" s="130"/>
      <c r="AC257" s="106"/>
    </row>
    <row r="258">
      <c r="C258" s="79"/>
      <c r="D258" s="79"/>
      <c r="E258" s="79"/>
      <c r="N258" s="79"/>
      <c r="S258" s="79"/>
      <c r="T258" s="79"/>
      <c r="W258" s="79"/>
      <c r="X258" s="79"/>
      <c r="AA258" s="130"/>
      <c r="AC258" s="106"/>
    </row>
    <row r="259">
      <c r="C259" s="79"/>
      <c r="D259" s="79"/>
      <c r="E259" s="79"/>
      <c r="N259" s="79"/>
      <c r="S259" s="79"/>
      <c r="T259" s="79"/>
      <c r="W259" s="79"/>
      <c r="X259" s="79"/>
      <c r="AA259" s="130"/>
      <c r="AC259" s="106"/>
    </row>
    <row r="260">
      <c r="C260" s="79"/>
      <c r="D260" s="79"/>
      <c r="E260" s="79"/>
      <c r="N260" s="79"/>
      <c r="S260" s="79"/>
      <c r="T260" s="79"/>
      <c r="W260" s="79"/>
      <c r="X260" s="79"/>
      <c r="AA260" s="130"/>
      <c r="AC260" s="106"/>
    </row>
    <row r="261">
      <c r="C261" s="79"/>
      <c r="D261" s="79"/>
      <c r="E261" s="79"/>
      <c r="N261" s="79"/>
      <c r="S261" s="79"/>
      <c r="T261" s="79"/>
      <c r="W261" s="79"/>
      <c r="X261" s="79"/>
      <c r="AA261" s="130"/>
      <c r="AC261" s="106"/>
    </row>
    <row r="262">
      <c r="C262" s="79"/>
      <c r="D262" s="79"/>
      <c r="E262" s="79"/>
      <c r="N262" s="79"/>
      <c r="S262" s="79"/>
      <c r="T262" s="79"/>
      <c r="W262" s="79"/>
      <c r="X262" s="79"/>
      <c r="AA262" s="130"/>
      <c r="AC262" s="106"/>
    </row>
    <row r="263">
      <c r="C263" s="79"/>
      <c r="D263" s="79"/>
      <c r="E263" s="79"/>
      <c r="N263" s="79"/>
      <c r="S263" s="79"/>
      <c r="T263" s="79"/>
      <c r="W263" s="79"/>
      <c r="X263" s="79"/>
      <c r="AA263" s="130"/>
      <c r="AC263" s="106"/>
    </row>
    <row r="264">
      <c r="C264" s="79"/>
      <c r="D264" s="79"/>
      <c r="E264" s="79"/>
      <c r="N264" s="79"/>
      <c r="S264" s="79"/>
      <c r="T264" s="79"/>
      <c r="W264" s="79"/>
      <c r="X264" s="79"/>
      <c r="AA264" s="130"/>
      <c r="AC264" s="106"/>
    </row>
    <row r="265">
      <c r="C265" s="79"/>
      <c r="D265" s="79"/>
      <c r="E265" s="79"/>
      <c r="N265" s="79"/>
      <c r="S265" s="79"/>
      <c r="T265" s="79"/>
      <c r="W265" s="79"/>
      <c r="X265" s="79"/>
      <c r="AA265" s="130"/>
      <c r="AC265" s="106"/>
    </row>
    <row r="266">
      <c r="C266" s="79"/>
      <c r="D266" s="79"/>
      <c r="E266" s="79"/>
      <c r="N266" s="79"/>
      <c r="S266" s="79"/>
      <c r="T266" s="79"/>
      <c r="W266" s="79"/>
      <c r="X266" s="79"/>
      <c r="AA266" s="130"/>
      <c r="AC266" s="106"/>
    </row>
    <row r="267">
      <c r="C267" s="79"/>
      <c r="D267" s="79"/>
      <c r="E267" s="79"/>
      <c r="N267" s="79"/>
      <c r="S267" s="79"/>
      <c r="T267" s="79"/>
      <c r="W267" s="79"/>
      <c r="X267" s="79"/>
      <c r="AA267" s="130"/>
      <c r="AC267" s="106"/>
    </row>
    <row r="268">
      <c r="C268" s="79"/>
      <c r="D268" s="79"/>
      <c r="E268" s="79"/>
      <c r="N268" s="79"/>
      <c r="S268" s="79"/>
      <c r="T268" s="79"/>
      <c r="W268" s="79"/>
      <c r="X268" s="79"/>
      <c r="AA268" s="130"/>
      <c r="AC268" s="106"/>
    </row>
    <row r="269">
      <c r="C269" s="79"/>
      <c r="D269" s="79"/>
      <c r="E269" s="79"/>
      <c r="N269" s="79"/>
      <c r="S269" s="79"/>
      <c r="T269" s="79"/>
      <c r="W269" s="79"/>
      <c r="X269" s="79"/>
      <c r="AA269" s="130"/>
      <c r="AC269" s="106"/>
    </row>
    <row r="270">
      <c r="C270" s="79"/>
      <c r="D270" s="79"/>
      <c r="E270" s="79"/>
      <c r="N270" s="79"/>
      <c r="S270" s="79"/>
      <c r="T270" s="79"/>
      <c r="W270" s="79"/>
      <c r="X270" s="79"/>
      <c r="AA270" s="130"/>
      <c r="AC270" s="106"/>
    </row>
    <row r="271">
      <c r="C271" s="79"/>
      <c r="D271" s="79"/>
      <c r="E271" s="79"/>
      <c r="N271" s="79"/>
      <c r="S271" s="79"/>
      <c r="T271" s="79"/>
      <c r="W271" s="79"/>
      <c r="X271" s="79"/>
      <c r="AA271" s="130"/>
      <c r="AC271" s="106"/>
    </row>
    <row r="272">
      <c r="C272" s="79"/>
      <c r="D272" s="79"/>
      <c r="E272" s="79"/>
      <c r="N272" s="79"/>
      <c r="S272" s="79"/>
      <c r="T272" s="79"/>
      <c r="W272" s="79"/>
      <c r="X272" s="79"/>
      <c r="AA272" s="130"/>
      <c r="AC272" s="106"/>
    </row>
    <row r="273">
      <c r="C273" s="79"/>
      <c r="D273" s="79"/>
      <c r="E273" s="79"/>
      <c r="N273" s="79"/>
      <c r="S273" s="79"/>
      <c r="T273" s="79"/>
      <c r="W273" s="79"/>
      <c r="X273" s="79"/>
      <c r="AA273" s="130"/>
      <c r="AC273" s="106"/>
    </row>
    <row r="274">
      <c r="C274" s="79"/>
      <c r="D274" s="79"/>
      <c r="E274" s="79"/>
      <c r="N274" s="79"/>
      <c r="S274" s="79"/>
      <c r="T274" s="79"/>
      <c r="W274" s="79"/>
      <c r="X274" s="79"/>
      <c r="AA274" s="130"/>
      <c r="AC274" s="106"/>
    </row>
    <row r="275">
      <c r="C275" s="79"/>
      <c r="D275" s="79"/>
      <c r="E275" s="79"/>
      <c r="N275" s="79"/>
      <c r="S275" s="79"/>
      <c r="T275" s="79"/>
      <c r="W275" s="79"/>
      <c r="X275" s="79"/>
      <c r="AA275" s="130"/>
      <c r="AC275" s="106"/>
    </row>
    <row r="276">
      <c r="C276" s="79"/>
      <c r="D276" s="79"/>
      <c r="E276" s="79"/>
      <c r="N276" s="79"/>
      <c r="S276" s="79"/>
      <c r="T276" s="79"/>
      <c r="W276" s="79"/>
      <c r="X276" s="79"/>
      <c r="AA276" s="130"/>
      <c r="AC276" s="106"/>
    </row>
    <row r="277">
      <c r="C277" s="79"/>
      <c r="D277" s="79"/>
      <c r="E277" s="79"/>
      <c r="N277" s="79"/>
      <c r="S277" s="79"/>
      <c r="T277" s="79"/>
      <c r="W277" s="79"/>
      <c r="X277" s="79"/>
      <c r="AA277" s="130"/>
      <c r="AC277" s="106"/>
    </row>
    <row r="278">
      <c r="C278" s="79"/>
      <c r="D278" s="79"/>
      <c r="E278" s="79"/>
      <c r="N278" s="79"/>
      <c r="S278" s="79"/>
      <c r="T278" s="79"/>
      <c r="W278" s="79"/>
      <c r="X278" s="79"/>
      <c r="AA278" s="130"/>
      <c r="AC278" s="106"/>
    </row>
    <row r="279">
      <c r="C279" s="79"/>
      <c r="D279" s="79"/>
      <c r="E279" s="79"/>
      <c r="N279" s="79"/>
      <c r="S279" s="79"/>
      <c r="T279" s="79"/>
      <c r="W279" s="79"/>
      <c r="X279" s="79"/>
      <c r="AA279" s="130"/>
      <c r="AC279" s="106"/>
    </row>
    <row r="280">
      <c r="C280" s="79"/>
      <c r="D280" s="79"/>
      <c r="E280" s="79"/>
      <c r="N280" s="79"/>
      <c r="S280" s="79"/>
      <c r="T280" s="79"/>
      <c r="W280" s="79"/>
      <c r="X280" s="79"/>
      <c r="AA280" s="130"/>
      <c r="AC280" s="106"/>
    </row>
    <row r="281">
      <c r="C281" s="79"/>
      <c r="D281" s="79"/>
      <c r="E281" s="79"/>
      <c r="N281" s="79"/>
      <c r="S281" s="79"/>
      <c r="T281" s="79"/>
      <c r="W281" s="79"/>
      <c r="X281" s="79"/>
      <c r="AA281" s="130"/>
      <c r="AC281" s="106"/>
    </row>
    <row r="282">
      <c r="C282" s="79"/>
      <c r="D282" s="79"/>
      <c r="E282" s="79"/>
      <c r="N282" s="79"/>
      <c r="S282" s="79"/>
      <c r="T282" s="79"/>
      <c r="W282" s="79"/>
      <c r="X282" s="79"/>
      <c r="AA282" s="130"/>
      <c r="AC282" s="106"/>
    </row>
    <row r="283">
      <c r="C283" s="79"/>
      <c r="D283" s="79"/>
      <c r="E283" s="79"/>
      <c r="N283" s="79"/>
      <c r="S283" s="79"/>
      <c r="T283" s="79"/>
      <c r="W283" s="79"/>
      <c r="X283" s="79"/>
      <c r="AA283" s="130"/>
      <c r="AC283" s="106"/>
    </row>
    <row r="284">
      <c r="C284" s="79"/>
      <c r="D284" s="79"/>
      <c r="E284" s="79"/>
      <c r="N284" s="79"/>
      <c r="S284" s="79"/>
      <c r="T284" s="79"/>
      <c r="W284" s="79"/>
      <c r="X284" s="79"/>
      <c r="AA284" s="130"/>
      <c r="AC284" s="106"/>
    </row>
    <row r="285">
      <c r="C285" s="79"/>
      <c r="D285" s="79"/>
      <c r="E285" s="79"/>
      <c r="N285" s="79"/>
      <c r="S285" s="79"/>
      <c r="T285" s="79"/>
      <c r="W285" s="79"/>
      <c r="X285" s="79"/>
      <c r="AA285" s="130"/>
      <c r="AC285" s="106"/>
    </row>
    <row r="286">
      <c r="C286" s="79"/>
      <c r="D286" s="79"/>
      <c r="E286" s="79"/>
      <c r="N286" s="79"/>
      <c r="S286" s="79"/>
      <c r="T286" s="79"/>
      <c r="W286" s="79"/>
      <c r="X286" s="79"/>
      <c r="AA286" s="130"/>
      <c r="AC286" s="106"/>
    </row>
    <row r="287">
      <c r="C287" s="79"/>
      <c r="D287" s="79"/>
      <c r="E287" s="79"/>
      <c r="N287" s="79"/>
      <c r="S287" s="79"/>
      <c r="T287" s="79"/>
      <c r="W287" s="79"/>
      <c r="X287" s="79"/>
      <c r="AA287" s="130"/>
      <c r="AC287" s="106"/>
    </row>
    <row r="288">
      <c r="C288" s="79"/>
      <c r="D288" s="79"/>
      <c r="E288" s="79"/>
      <c r="N288" s="79"/>
      <c r="S288" s="79"/>
      <c r="T288" s="79"/>
      <c r="W288" s="79"/>
      <c r="X288" s="79"/>
      <c r="AA288" s="130"/>
      <c r="AC288" s="106"/>
    </row>
    <row r="289">
      <c r="C289" s="79"/>
      <c r="D289" s="79"/>
      <c r="E289" s="79"/>
      <c r="N289" s="79"/>
      <c r="S289" s="79"/>
      <c r="T289" s="79"/>
      <c r="W289" s="79"/>
      <c r="X289" s="79"/>
      <c r="AA289" s="130"/>
      <c r="AC289" s="106"/>
    </row>
    <row r="290">
      <c r="C290" s="79"/>
      <c r="D290" s="79"/>
      <c r="E290" s="79"/>
      <c r="N290" s="79"/>
      <c r="S290" s="79"/>
      <c r="T290" s="79"/>
      <c r="W290" s="79"/>
      <c r="X290" s="79"/>
      <c r="AA290" s="130"/>
      <c r="AC290" s="106"/>
    </row>
    <row r="291">
      <c r="C291" s="79"/>
      <c r="D291" s="79"/>
      <c r="E291" s="79"/>
      <c r="N291" s="79"/>
      <c r="S291" s="79"/>
      <c r="T291" s="79"/>
      <c r="W291" s="79"/>
      <c r="X291" s="79"/>
      <c r="AA291" s="130"/>
      <c r="AC291" s="106"/>
    </row>
    <row r="292">
      <c r="C292" s="79"/>
      <c r="D292" s="79"/>
      <c r="E292" s="79"/>
      <c r="N292" s="79"/>
      <c r="S292" s="79"/>
      <c r="T292" s="79"/>
      <c r="W292" s="79"/>
      <c r="X292" s="79"/>
      <c r="AA292" s="130"/>
      <c r="AC292" s="106"/>
    </row>
    <row r="293">
      <c r="C293" s="79"/>
      <c r="D293" s="79"/>
      <c r="E293" s="79"/>
      <c r="N293" s="79"/>
      <c r="S293" s="79"/>
      <c r="T293" s="79"/>
      <c r="W293" s="79"/>
      <c r="X293" s="79"/>
      <c r="AA293" s="130"/>
      <c r="AC293" s="106"/>
    </row>
    <row r="294">
      <c r="C294" s="79"/>
      <c r="D294" s="79"/>
      <c r="E294" s="79"/>
      <c r="N294" s="79"/>
      <c r="S294" s="79"/>
      <c r="T294" s="79"/>
      <c r="W294" s="79"/>
      <c r="X294" s="79"/>
      <c r="AA294" s="130"/>
      <c r="AC294" s="106"/>
    </row>
    <row r="295">
      <c r="C295" s="79"/>
      <c r="D295" s="79"/>
      <c r="E295" s="79"/>
      <c r="N295" s="79"/>
      <c r="S295" s="79"/>
      <c r="T295" s="79"/>
      <c r="W295" s="79"/>
      <c r="X295" s="79"/>
      <c r="AA295" s="130"/>
      <c r="AC295" s="106"/>
    </row>
    <row r="296">
      <c r="C296" s="79"/>
      <c r="D296" s="79"/>
      <c r="E296" s="79"/>
      <c r="N296" s="79"/>
      <c r="S296" s="79"/>
      <c r="T296" s="79"/>
      <c r="W296" s="79"/>
      <c r="X296" s="79"/>
      <c r="AA296" s="130"/>
      <c r="AC296" s="106"/>
    </row>
    <row r="297">
      <c r="C297" s="79"/>
      <c r="D297" s="79"/>
      <c r="E297" s="79"/>
      <c r="N297" s="79"/>
      <c r="S297" s="79"/>
      <c r="T297" s="79"/>
      <c r="W297" s="79"/>
      <c r="X297" s="79"/>
      <c r="AA297" s="130"/>
      <c r="AC297" s="106"/>
    </row>
    <row r="298">
      <c r="C298" s="79"/>
      <c r="D298" s="79"/>
      <c r="E298" s="79"/>
      <c r="N298" s="79"/>
      <c r="S298" s="79"/>
      <c r="T298" s="79"/>
      <c r="W298" s="79"/>
      <c r="X298" s="79"/>
      <c r="AA298" s="130"/>
      <c r="AC298" s="106"/>
    </row>
    <row r="299">
      <c r="C299" s="79"/>
      <c r="D299" s="79"/>
      <c r="E299" s="79"/>
      <c r="N299" s="79"/>
      <c r="S299" s="79"/>
      <c r="T299" s="79"/>
      <c r="W299" s="79"/>
      <c r="X299" s="79"/>
      <c r="AA299" s="130"/>
      <c r="AC299" s="106"/>
    </row>
    <row r="300">
      <c r="C300" s="79"/>
      <c r="D300" s="79"/>
      <c r="E300" s="79"/>
      <c r="N300" s="79"/>
      <c r="S300" s="79"/>
      <c r="T300" s="79"/>
      <c r="W300" s="79"/>
      <c r="X300" s="79"/>
      <c r="AA300" s="130"/>
      <c r="AC300" s="106"/>
    </row>
    <row r="301">
      <c r="C301" s="79"/>
      <c r="D301" s="79"/>
      <c r="E301" s="79"/>
      <c r="N301" s="79"/>
      <c r="S301" s="79"/>
      <c r="T301" s="79"/>
      <c r="W301" s="79"/>
      <c r="X301" s="79"/>
      <c r="AA301" s="130"/>
      <c r="AC301" s="106"/>
    </row>
    <row r="302">
      <c r="C302" s="79"/>
      <c r="D302" s="79"/>
      <c r="E302" s="79"/>
      <c r="N302" s="79"/>
      <c r="S302" s="79"/>
      <c r="T302" s="79"/>
      <c r="W302" s="79"/>
      <c r="X302" s="79"/>
      <c r="AA302" s="130"/>
      <c r="AC302" s="106"/>
    </row>
    <row r="303">
      <c r="C303" s="79"/>
      <c r="D303" s="79"/>
      <c r="E303" s="79"/>
      <c r="N303" s="79"/>
      <c r="S303" s="79"/>
      <c r="T303" s="79"/>
      <c r="W303" s="79"/>
      <c r="X303" s="79"/>
      <c r="AA303" s="130"/>
      <c r="AC303" s="106"/>
    </row>
    <row r="304">
      <c r="C304" s="79"/>
      <c r="D304" s="79"/>
      <c r="E304" s="79"/>
      <c r="N304" s="79"/>
      <c r="S304" s="79"/>
      <c r="T304" s="79"/>
      <c r="W304" s="79"/>
      <c r="X304" s="79"/>
      <c r="AA304" s="130"/>
      <c r="AC304" s="106"/>
    </row>
    <row r="305">
      <c r="C305" s="79"/>
      <c r="D305" s="79"/>
      <c r="E305" s="79"/>
      <c r="N305" s="79"/>
      <c r="S305" s="79"/>
      <c r="T305" s="79"/>
      <c r="W305" s="79"/>
      <c r="X305" s="79"/>
      <c r="AA305" s="130"/>
      <c r="AC305" s="106"/>
    </row>
    <row r="306">
      <c r="C306" s="79"/>
      <c r="D306" s="79"/>
      <c r="E306" s="79"/>
      <c r="N306" s="79"/>
      <c r="S306" s="79"/>
      <c r="T306" s="79"/>
      <c r="W306" s="79"/>
      <c r="X306" s="79"/>
      <c r="AA306" s="130"/>
      <c r="AC306" s="106"/>
    </row>
    <row r="307">
      <c r="C307" s="79"/>
      <c r="D307" s="79"/>
      <c r="E307" s="79"/>
      <c r="N307" s="79"/>
      <c r="S307" s="79"/>
      <c r="T307" s="79"/>
      <c r="W307" s="79"/>
      <c r="X307" s="79"/>
      <c r="AA307" s="130"/>
      <c r="AC307" s="106"/>
    </row>
    <row r="308">
      <c r="C308" s="79"/>
      <c r="D308" s="79"/>
      <c r="E308" s="79"/>
      <c r="N308" s="79"/>
      <c r="S308" s="79"/>
      <c r="T308" s="79"/>
      <c r="W308" s="79"/>
      <c r="X308" s="79"/>
      <c r="AA308" s="130"/>
      <c r="AC308" s="106"/>
    </row>
    <row r="309">
      <c r="C309" s="79"/>
      <c r="D309" s="79"/>
      <c r="E309" s="79"/>
      <c r="N309" s="79"/>
      <c r="S309" s="79"/>
      <c r="T309" s="79"/>
      <c r="W309" s="79"/>
      <c r="X309" s="79"/>
      <c r="AA309" s="130"/>
      <c r="AC309" s="106"/>
    </row>
    <row r="310">
      <c r="C310" s="79"/>
      <c r="D310" s="79"/>
      <c r="E310" s="79"/>
      <c r="N310" s="79"/>
      <c r="S310" s="79"/>
      <c r="T310" s="79"/>
      <c r="W310" s="79"/>
      <c r="X310" s="79"/>
      <c r="AA310" s="130"/>
      <c r="AC310" s="106"/>
    </row>
    <row r="311">
      <c r="C311" s="79"/>
      <c r="D311" s="79"/>
      <c r="E311" s="79"/>
      <c r="N311" s="79"/>
      <c r="S311" s="79"/>
      <c r="T311" s="79"/>
      <c r="W311" s="79"/>
      <c r="X311" s="79"/>
      <c r="AA311" s="130"/>
      <c r="AC311" s="106"/>
    </row>
    <row r="312">
      <c r="C312" s="79"/>
      <c r="D312" s="79"/>
      <c r="E312" s="79"/>
      <c r="N312" s="79"/>
      <c r="S312" s="79"/>
      <c r="T312" s="79"/>
      <c r="W312" s="79"/>
      <c r="X312" s="79"/>
      <c r="AA312" s="130"/>
      <c r="AC312" s="106"/>
    </row>
    <row r="313">
      <c r="C313" s="79"/>
      <c r="D313" s="79"/>
      <c r="E313" s="79"/>
      <c r="N313" s="79"/>
      <c r="S313" s="79"/>
      <c r="T313" s="79"/>
      <c r="W313" s="79"/>
      <c r="X313" s="79"/>
      <c r="AA313" s="130"/>
      <c r="AC313" s="106"/>
    </row>
    <row r="314">
      <c r="C314" s="79"/>
      <c r="D314" s="79"/>
      <c r="E314" s="79"/>
      <c r="N314" s="79"/>
      <c r="S314" s="79"/>
      <c r="T314" s="79"/>
      <c r="W314" s="79"/>
      <c r="X314" s="79"/>
      <c r="AA314" s="130"/>
      <c r="AC314" s="106"/>
    </row>
    <row r="315">
      <c r="C315" s="79"/>
      <c r="D315" s="79"/>
      <c r="E315" s="79"/>
      <c r="N315" s="79"/>
      <c r="S315" s="79"/>
      <c r="T315" s="79"/>
      <c r="W315" s="79"/>
      <c r="X315" s="79"/>
      <c r="AA315" s="130"/>
      <c r="AC315" s="106"/>
    </row>
    <row r="316">
      <c r="C316" s="79"/>
      <c r="D316" s="79"/>
      <c r="E316" s="79"/>
      <c r="N316" s="79"/>
      <c r="S316" s="79"/>
      <c r="T316" s="79"/>
      <c r="W316" s="79"/>
      <c r="X316" s="79"/>
      <c r="AA316" s="130"/>
      <c r="AC316" s="106"/>
    </row>
    <row r="317">
      <c r="C317" s="79"/>
      <c r="D317" s="79"/>
      <c r="E317" s="79"/>
      <c r="N317" s="79"/>
      <c r="S317" s="79"/>
      <c r="T317" s="79"/>
      <c r="W317" s="79"/>
      <c r="X317" s="79"/>
      <c r="AA317" s="130"/>
      <c r="AC317" s="106"/>
    </row>
    <row r="318">
      <c r="C318" s="79"/>
      <c r="D318" s="79"/>
      <c r="E318" s="79"/>
      <c r="N318" s="79"/>
      <c r="S318" s="79"/>
      <c r="T318" s="79"/>
      <c r="W318" s="79"/>
      <c r="X318" s="79"/>
      <c r="AA318" s="130"/>
      <c r="AC318" s="106"/>
    </row>
    <row r="319">
      <c r="C319" s="79"/>
      <c r="D319" s="79"/>
      <c r="E319" s="79"/>
      <c r="N319" s="79"/>
      <c r="S319" s="79"/>
      <c r="T319" s="79"/>
      <c r="W319" s="79"/>
      <c r="X319" s="79"/>
      <c r="AA319" s="130"/>
      <c r="AC319" s="106"/>
    </row>
    <row r="320">
      <c r="C320" s="79"/>
      <c r="D320" s="79"/>
      <c r="E320" s="79"/>
      <c r="N320" s="79"/>
      <c r="S320" s="79"/>
      <c r="T320" s="79"/>
      <c r="W320" s="79"/>
      <c r="X320" s="79"/>
      <c r="AA320" s="130"/>
      <c r="AC320" s="106"/>
    </row>
    <row r="321">
      <c r="C321" s="79"/>
      <c r="D321" s="79"/>
      <c r="E321" s="79"/>
      <c r="N321" s="79"/>
      <c r="S321" s="79"/>
      <c r="T321" s="79"/>
      <c r="W321" s="79"/>
      <c r="X321" s="79"/>
      <c r="AA321" s="130"/>
      <c r="AC321" s="106"/>
    </row>
    <row r="322">
      <c r="C322" s="79"/>
      <c r="D322" s="79"/>
      <c r="E322" s="79"/>
      <c r="N322" s="79"/>
      <c r="S322" s="79"/>
      <c r="T322" s="79"/>
      <c r="W322" s="79"/>
      <c r="X322" s="79"/>
      <c r="AA322" s="130"/>
      <c r="AC322" s="106"/>
    </row>
    <row r="323">
      <c r="C323" s="79"/>
      <c r="D323" s="79"/>
      <c r="E323" s="79"/>
      <c r="N323" s="79"/>
      <c r="S323" s="79"/>
      <c r="T323" s="79"/>
      <c r="W323" s="79"/>
      <c r="X323" s="79"/>
      <c r="AA323" s="130"/>
      <c r="AC323" s="106"/>
    </row>
    <row r="324">
      <c r="C324" s="79"/>
      <c r="D324" s="79"/>
      <c r="E324" s="79"/>
      <c r="N324" s="79"/>
      <c r="S324" s="79"/>
      <c r="T324" s="79"/>
      <c r="W324" s="79"/>
      <c r="X324" s="79"/>
      <c r="AA324" s="130"/>
      <c r="AC324" s="106"/>
    </row>
    <row r="325">
      <c r="C325" s="79"/>
      <c r="D325" s="79"/>
      <c r="E325" s="79"/>
      <c r="N325" s="79"/>
      <c r="S325" s="79"/>
      <c r="T325" s="79"/>
      <c r="W325" s="79"/>
      <c r="X325" s="79"/>
      <c r="AA325" s="130"/>
      <c r="AC325" s="106"/>
    </row>
    <row r="326">
      <c r="C326" s="79"/>
      <c r="D326" s="79"/>
      <c r="E326" s="79"/>
      <c r="N326" s="79"/>
      <c r="S326" s="79"/>
      <c r="T326" s="79"/>
      <c r="W326" s="79"/>
      <c r="X326" s="79"/>
      <c r="AA326" s="130"/>
      <c r="AC326" s="106"/>
    </row>
    <row r="327">
      <c r="C327" s="79"/>
      <c r="D327" s="79"/>
      <c r="E327" s="79"/>
      <c r="N327" s="79"/>
      <c r="S327" s="79"/>
      <c r="T327" s="79"/>
      <c r="W327" s="79"/>
      <c r="X327" s="79"/>
      <c r="AA327" s="130"/>
      <c r="AC327" s="106"/>
    </row>
    <row r="328">
      <c r="C328" s="79"/>
      <c r="D328" s="79"/>
      <c r="E328" s="79"/>
      <c r="N328" s="79"/>
      <c r="S328" s="79"/>
      <c r="T328" s="79"/>
      <c r="W328" s="79"/>
      <c r="X328" s="79"/>
      <c r="AA328" s="130"/>
      <c r="AC328" s="106"/>
    </row>
    <row r="329">
      <c r="C329" s="79"/>
      <c r="D329" s="79"/>
      <c r="E329" s="79"/>
      <c r="N329" s="79"/>
      <c r="S329" s="79"/>
      <c r="T329" s="79"/>
      <c r="W329" s="79"/>
      <c r="X329" s="79"/>
      <c r="AA329" s="130"/>
      <c r="AC329" s="106"/>
    </row>
    <row r="330">
      <c r="C330" s="79"/>
      <c r="D330" s="79"/>
      <c r="E330" s="79"/>
      <c r="N330" s="79"/>
      <c r="S330" s="79"/>
      <c r="T330" s="79"/>
      <c r="W330" s="79"/>
      <c r="X330" s="79"/>
      <c r="AA330" s="130"/>
      <c r="AC330" s="106"/>
    </row>
    <row r="331">
      <c r="C331" s="79"/>
      <c r="D331" s="79"/>
      <c r="E331" s="79"/>
      <c r="N331" s="79"/>
      <c r="S331" s="79"/>
      <c r="T331" s="79"/>
      <c r="W331" s="79"/>
      <c r="X331" s="79"/>
      <c r="AA331" s="130"/>
      <c r="AC331" s="106"/>
    </row>
    <row r="332">
      <c r="C332" s="79"/>
      <c r="D332" s="79"/>
      <c r="E332" s="79"/>
      <c r="N332" s="79"/>
      <c r="S332" s="79"/>
      <c r="T332" s="79"/>
      <c r="W332" s="79"/>
      <c r="X332" s="79"/>
      <c r="AA332" s="130"/>
      <c r="AC332" s="106"/>
    </row>
    <row r="333">
      <c r="C333" s="79"/>
      <c r="D333" s="79"/>
      <c r="E333" s="79"/>
      <c r="N333" s="79"/>
      <c r="S333" s="79"/>
      <c r="T333" s="79"/>
      <c r="W333" s="79"/>
      <c r="X333" s="79"/>
      <c r="AA333" s="130"/>
      <c r="AC333" s="106"/>
    </row>
    <row r="334">
      <c r="C334" s="79"/>
      <c r="D334" s="79"/>
      <c r="E334" s="79"/>
      <c r="N334" s="79"/>
      <c r="S334" s="79"/>
      <c r="T334" s="79"/>
      <c r="W334" s="79"/>
      <c r="X334" s="79"/>
      <c r="AA334" s="130"/>
      <c r="AC334" s="106"/>
    </row>
    <row r="335">
      <c r="C335" s="79"/>
      <c r="D335" s="79"/>
      <c r="E335" s="79"/>
      <c r="N335" s="79"/>
      <c r="S335" s="79"/>
      <c r="T335" s="79"/>
      <c r="W335" s="79"/>
      <c r="X335" s="79"/>
      <c r="AA335" s="130"/>
      <c r="AC335" s="106"/>
    </row>
    <row r="336">
      <c r="C336" s="79"/>
      <c r="D336" s="79"/>
      <c r="E336" s="79"/>
      <c r="N336" s="79"/>
      <c r="S336" s="79"/>
      <c r="T336" s="79"/>
      <c r="W336" s="79"/>
      <c r="X336" s="79"/>
      <c r="AA336" s="130"/>
      <c r="AC336" s="106"/>
    </row>
    <row r="337">
      <c r="C337" s="79"/>
      <c r="D337" s="79"/>
      <c r="E337" s="79"/>
      <c r="N337" s="79"/>
      <c r="S337" s="79"/>
      <c r="T337" s="79"/>
      <c r="W337" s="79"/>
      <c r="X337" s="79"/>
      <c r="AA337" s="130"/>
      <c r="AC337" s="106"/>
    </row>
    <row r="338">
      <c r="C338" s="79"/>
      <c r="D338" s="79"/>
      <c r="E338" s="79"/>
      <c r="N338" s="79"/>
      <c r="S338" s="79"/>
      <c r="T338" s="79"/>
      <c r="W338" s="79"/>
      <c r="X338" s="79"/>
      <c r="AA338" s="130"/>
      <c r="AC338" s="106"/>
    </row>
    <row r="339">
      <c r="C339" s="79"/>
      <c r="D339" s="79"/>
      <c r="E339" s="79"/>
      <c r="N339" s="79"/>
      <c r="S339" s="79"/>
      <c r="T339" s="79"/>
      <c r="W339" s="79"/>
      <c r="X339" s="79"/>
      <c r="AA339" s="130"/>
      <c r="AC339" s="106"/>
    </row>
    <row r="340">
      <c r="C340" s="79"/>
      <c r="D340" s="79"/>
      <c r="E340" s="79"/>
      <c r="N340" s="79"/>
      <c r="S340" s="79"/>
      <c r="T340" s="79"/>
      <c r="W340" s="79"/>
      <c r="X340" s="79"/>
      <c r="AA340" s="130"/>
      <c r="AC340" s="106"/>
    </row>
    <row r="341">
      <c r="C341" s="79"/>
      <c r="D341" s="79"/>
      <c r="E341" s="79"/>
      <c r="N341" s="79"/>
      <c r="S341" s="79"/>
      <c r="T341" s="79"/>
      <c r="W341" s="79"/>
      <c r="X341" s="79"/>
      <c r="AA341" s="130"/>
      <c r="AC341" s="106"/>
    </row>
    <row r="342">
      <c r="C342" s="79"/>
      <c r="D342" s="79"/>
      <c r="E342" s="79"/>
      <c r="N342" s="79"/>
      <c r="S342" s="79"/>
      <c r="T342" s="79"/>
      <c r="W342" s="79"/>
      <c r="X342" s="79"/>
      <c r="AA342" s="130"/>
      <c r="AC342" s="106"/>
    </row>
    <row r="343">
      <c r="C343" s="79"/>
      <c r="D343" s="79"/>
      <c r="E343" s="79"/>
      <c r="N343" s="79"/>
      <c r="S343" s="79"/>
      <c r="T343" s="79"/>
      <c r="W343" s="79"/>
      <c r="X343" s="79"/>
      <c r="AA343" s="130"/>
      <c r="AC343" s="106"/>
    </row>
    <row r="344">
      <c r="C344" s="79"/>
      <c r="D344" s="79"/>
      <c r="E344" s="79"/>
      <c r="N344" s="79"/>
      <c r="S344" s="79"/>
      <c r="T344" s="79"/>
      <c r="W344" s="79"/>
      <c r="X344" s="79"/>
      <c r="AA344" s="130"/>
      <c r="AC344" s="106"/>
    </row>
    <row r="345">
      <c r="C345" s="79"/>
      <c r="D345" s="79"/>
      <c r="E345" s="79"/>
      <c r="N345" s="79"/>
      <c r="S345" s="79"/>
      <c r="T345" s="79"/>
      <c r="W345" s="79"/>
      <c r="X345" s="79"/>
      <c r="AA345" s="130"/>
      <c r="AC345" s="106"/>
    </row>
    <row r="346">
      <c r="C346" s="79"/>
      <c r="D346" s="79"/>
      <c r="E346" s="79"/>
      <c r="N346" s="79"/>
      <c r="S346" s="79"/>
      <c r="T346" s="79"/>
      <c r="W346" s="79"/>
      <c r="X346" s="79"/>
      <c r="AA346" s="130"/>
      <c r="AC346" s="106"/>
    </row>
    <row r="347">
      <c r="C347" s="79"/>
      <c r="D347" s="79"/>
      <c r="E347" s="79"/>
      <c r="N347" s="79"/>
      <c r="S347" s="79"/>
      <c r="T347" s="79"/>
      <c r="W347" s="79"/>
      <c r="X347" s="79"/>
      <c r="AA347" s="130"/>
      <c r="AC347" s="106"/>
    </row>
    <row r="348">
      <c r="C348" s="79"/>
      <c r="D348" s="79"/>
      <c r="E348" s="79"/>
      <c r="N348" s="79"/>
      <c r="S348" s="79"/>
      <c r="T348" s="79"/>
      <c r="W348" s="79"/>
      <c r="X348" s="79"/>
      <c r="AA348" s="130"/>
      <c r="AC348" s="106"/>
    </row>
    <row r="349">
      <c r="C349" s="79"/>
      <c r="D349" s="79"/>
      <c r="E349" s="79"/>
      <c r="N349" s="79"/>
      <c r="S349" s="79"/>
      <c r="T349" s="79"/>
      <c r="W349" s="79"/>
      <c r="X349" s="79"/>
      <c r="AA349" s="130"/>
      <c r="AC349" s="106"/>
    </row>
    <row r="350">
      <c r="C350" s="79"/>
      <c r="D350" s="79"/>
      <c r="E350" s="79"/>
      <c r="N350" s="79"/>
      <c r="S350" s="79"/>
      <c r="T350" s="79"/>
      <c r="W350" s="79"/>
      <c r="X350" s="79"/>
      <c r="AA350" s="130"/>
      <c r="AC350" s="106"/>
    </row>
    <row r="351">
      <c r="C351" s="79"/>
      <c r="D351" s="79"/>
      <c r="E351" s="79"/>
      <c r="N351" s="79"/>
      <c r="S351" s="79"/>
      <c r="T351" s="79"/>
      <c r="W351" s="79"/>
      <c r="X351" s="79"/>
      <c r="AA351" s="130"/>
      <c r="AC351" s="106"/>
    </row>
    <row r="352">
      <c r="C352" s="79"/>
      <c r="D352" s="79"/>
      <c r="E352" s="79"/>
      <c r="N352" s="79"/>
      <c r="S352" s="79"/>
      <c r="T352" s="79"/>
      <c r="W352" s="79"/>
      <c r="X352" s="79"/>
      <c r="AA352" s="130"/>
      <c r="AC352" s="106"/>
    </row>
    <row r="353">
      <c r="C353" s="79"/>
      <c r="D353" s="79"/>
      <c r="E353" s="79"/>
      <c r="N353" s="79"/>
      <c r="S353" s="79"/>
      <c r="T353" s="79"/>
      <c r="W353" s="79"/>
      <c r="X353" s="79"/>
      <c r="AA353" s="130"/>
      <c r="AC353" s="106"/>
    </row>
    <row r="354">
      <c r="C354" s="79"/>
      <c r="D354" s="79"/>
      <c r="E354" s="79"/>
      <c r="N354" s="79"/>
      <c r="S354" s="79"/>
      <c r="T354" s="79"/>
      <c r="W354" s="79"/>
      <c r="X354" s="79"/>
      <c r="AA354" s="130"/>
      <c r="AC354" s="106"/>
    </row>
    <row r="355">
      <c r="C355" s="79"/>
      <c r="D355" s="79"/>
      <c r="E355" s="79"/>
      <c r="N355" s="79"/>
      <c r="S355" s="79"/>
      <c r="T355" s="79"/>
      <c r="W355" s="79"/>
      <c r="X355" s="79"/>
      <c r="AA355" s="130"/>
      <c r="AC355" s="106"/>
    </row>
    <row r="356">
      <c r="C356" s="79"/>
      <c r="D356" s="79"/>
      <c r="E356" s="79"/>
      <c r="N356" s="79"/>
      <c r="S356" s="79"/>
      <c r="T356" s="79"/>
      <c r="W356" s="79"/>
      <c r="X356" s="79"/>
      <c r="AA356" s="130"/>
      <c r="AC356" s="106"/>
    </row>
    <row r="357">
      <c r="C357" s="79"/>
      <c r="D357" s="79"/>
      <c r="E357" s="79"/>
      <c r="N357" s="79"/>
      <c r="S357" s="79"/>
      <c r="T357" s="79"/>
      <c r="W357" s="79"/>
      <c r="X357" s="79"/>
      <c r="AA357" s="130"/>
      <c r="AC357" s="106"/>
    </row>
    <row r="358">
      <c r="C358" s="79"/>
      <c r="D358" s="79"/>
      <c r="E358" s="79"/>
      <c r="N358" s="79"/>
      <c r="S358" s="79"/>
      <c r="T358" s="79"/>
      <c r="W358" s="79"/>
      <c r="X358" s="79"/>
      <c r="AA358" s="130"/>
      <c r="AC358" s="106"/>
    </row>
    <row r="359">
      <c r="C359" s="79"/>
      <c r="D359" s="79"/>
      <c r="E359" s="79"/>
      <c r="N359" s="79"/>
      <c r="S359" s="79"/>
      <c r="T359" s="79"/>
      <c r="W359" s="79"/>
      <c r="X359" s="79"/>
      <c r="AA359" s="130"/>
      <c r="AC359" s="106"/>
    </row>
    <row r="360">
      <c r="C360" s="79"/>
      <c r="D360" s="79"/>
      <c r="E360" s="79"/>
      <c r="N360" s="79"/>
      <c r="S360" s="79"/>
      <c r="T360" s="79"/>
      <c r="W360" s="79"/>
      <c r="X360" s="79"/>
      <c r="AA360" s="130"/>
      <c r="AC360" s="106"/>
    </row>
    <row r="361">
      <c r="C361" s="79"/>
      <c r="D361" s="79"/>
      <c r="E361" s="79"/>
      <c r="N361" s="79"/>
      <c r="S361" s="79"/>
      <c r="T361" s="79"/>
      <c r="W361" s="79"/>
      <c r="X361" s="79"/>
      <c r="AA361" s="130"/>
      <c r="AC361" s="106"/>
    </row>
    <row r="362">
      <c r="C362" s="79"/>
      <c r="D362" s="79"/>
      <c r="E362" s="79"/>
      <c r="N362" s="79"/>
      <c r="S362" s="79"/>
      <c r="T362" s="79"/>
      <c r="W362" s="79"/>
      <c r="X362" s="79"/>
      <c r="AA362" s="130"/>
      <c r="AC362" s="106"/>
    </row>
    <row r="363">
      <c r="C363" s="79"/>
      <c r="D363" s="79"/>
      <c r="E363" s="79"/>
      <c r="N363" s="79"/>
      <c r="S363" s="79"/>
      <c r="T363" s="79"/>
      <c r="W363" s="79"/>
      <c r="X363" s="79"/>
      <c r="AA363" s="130"/>
      <c r="AC363" s="106"/>
    </row>
    <row r="364">
      <c r="C364" s="79"/>
      <c r="D364" s="79"/>
      <c r="E364" s="79"/>
      <c r="N364" s="79"/>
      <c r="S364" s="79"/>
      <c r="T364" s="79"/>
      <c r="W364" s="79"/>
      <c r="X364" s="79"/>
      <c r="AA364" s="130"/>
      <c r="AC364" s="106"/>
    </row>
    <row r="365">
      <c r="C365" s="79"/>
      <c r="D365" s="79"/>
      <c r="E365" s="79"/>
      <c r="N365" s="79"/>
      <c r="S365" s="79"/>
      <c r="T365" s="79"/>
      <c r="W365" s="79"/>
      <c r="X365" s="79"/>
      <c r="AA365" s="130"/>
      <c r="AC365" s="106"/>
    </row>
    <row r="366">
      <c r="C366" s="79"/>
      <c r="D366" s="79"/>
      <c r="E366" s="79"/>
      <c r="N366" s="79"/>
      <c r="S366" s="79"/>
      <c r="T366" s="79"/>
      <c r="W366" s="79"/>
      <c r="X366" s="79"/>
      <c r="AA366" s="130"/>
      <c r="AC366" s="106"/>
    </row>
    <row r="367">
      <c r="C367" s="79"/>
      <c r="D367" s="79"/>
      <c r="E367" s="79"/>
      <c r="N367" s="79"/>
      <c r="S367" s="79"/>
      <c r="T367" s="79"/>
      <c r="W367" s="79"/>
      <c r="X367" s="79"/>
      <c r="AA367" s="130"/>
      <c r="AC367" s="106"/>
    </row>
    <row r="368">
      <c r="C368" s="79"/>
      <c r="D368" s="79"/>
      <c r="E368" s="79"/>
      <c r="N368" s="79"/>
      <c r="S368" s="79"/>
      <c r="T368" s="79"/>
      <c r="W368" s="79"/>
      <c r="X368" s="79"/>
      <c r="AA368" s="130"/>
      <c r="AC368" s="106"/>
    </row>
    <row r="369">
      <c r="C369" s="79"/>
      <c r="D369" s="79"/>
      <c r="E369" s="79"/>
      <c r="N369" s="79"/>
      <c r="S369" s="79"/>
      <c r="T369" s="79"/>
      <c r="W369" s="79"/>
      <c r="X369" s="79"/>
      <c r="AA369" s="130"/>
      <c r="AC369" s="106"/>
    </row>
    <row r="370">
      <c r="C370" s="79"/>
      <c r="D370" s="79"/>
      <c r="E370" s="79"/>
      <c r="N370" s="79"/>
      <c r="S370" s="79"/>
      <c r="T370" s="79"/>
      <c r="W370" s="79"/>
      <c r="X370" s="79"/>
      <c r="AA370" s="130"/>
      <c r="AC370" s="106"/>
    </row>
    <row r="371">
      <c r="C371" s="79"/>
      <c r="D371" s="79"/>
      <c r="E371" s="79"/>
      <c r="N371" s="79"/>
      <c r="S371" s="79"/>
      <c r="T371" s="79"/>
      <c r="W371" s="79"/>
      <c r="X371" s="79"/>
      <c r="AA371" s="130"/>
      <c r="AC371" s="106"/>
    </row>
    <row r="372">
      <c r="C372" s="79"/>
      <c r="D372" s="79"/>
      <c r="E372" s="79"/>
      <c r="N372" s="79"/>
      <c r="S372" s="79"/>
      <c r="T372" s="79"/>
      <c r="W372" s="79"/>
      <c r="X372" s="79"/>
      <c r="AA372" s="130"/>
      <c r="AC372" s="106"/>
    </row>
    <row r="373">
      <c r="C373" s="79"/>
      <c r="D373" s="79"/>
      <c r="E373" s="79"/>
      <c r="N373" s="79"/>
      <c r="S373" s="79"/>
      <c r="T373" s="79"/>
      <c r="W373" s="79"/>
      <c r="X373" s="79"/>
      <c r="AA373" s="130"/>
      <c r="AC373" s="106"/>
    </row>
    <row r="374">
      <c r="C374" s="79"/>
      <c r="D374" s="79"/>
      <c r="E374" s="79"/>
      <c r="N374" s="79"/>
      <c r="S374" s="79"/>
      <c r="T374" s="79"/>
      <c r="W374" s="79"/>
      <c r="X374" s="79"/>
      <c r="AA374" s="130"/>
      <c r="AC374" s="106"/>
    </row>
    <row r="375">
      <c r="C375" s="79"/>
      <c r="D375" s="79"/>
      <c r="E375" s="79"/>
      <c r="N375" s="79"/>
      <c r="S375" s="79"/>
      <c r="T375" s="79"/>
      <c r="W375" s="79"/>
      <c r="X375" s="79"/>
      <c r="AA375" s="130"/>
      <c r="AC375" s="106"/>
    </row>
    <row r="376">
      <c r="C376" s="79"/>
      <c r="D376" s="79"/>
      <c r="E376" s="79"/>
      <c r="N376" s="79"/>
      <c r="S376" s="79"/>
      <c r="T376" s="79"/>
      <c r="W376" s="79"/>
      <c r="X376" s="79"/>
      <c r="AA376" s="130"/>
      <c r="AC376" s="106"/>
    </row>
    <row r="377">
      <c r="C377" s="79"/>
      <c r="D377" s="79"/>
      <c r="E377" s="79"/>
      <c r="N377" s="79"/>
      <c r="S377" s="79"/>
      <c r="T377" s="79"/>
      <c r="W377" s="79"/>
      <c r="X377" s="79"/>
      <c r="AA377" s="130"/>
      <c r="AC377" s="106"/>
    </row>
    <row r="378">
      <c r="C378" s="79"/>
      <c r="D378" s="79"/>
      <c r="E378" s="79"/>
      <c r="N378" s="79"/>
      <c r="S378" s="79"/>
      <c r="T378" s="79"/>
      <c r="W378" s="79"/>
      <c r="X378" s="79"/>
      <c r="AA378" s="130"/>
      <c r="AC378" s="106"/>
    </row>
    <row r="379">
      <c r="C379" s="79"/>
      <c r="D379" s="79"/>
      <c r="E379" s="79"/>
      <c r="N379" s="79"/>
      <c r="S379" s="79"/>
      <c r="T379" s="79"/>
      <c r="W379" s="79"/>
      <c r="X379" s="79"/>
      <c r="AA379" s="130"/>
      <c r="AC379" s="106"/>
    </row>
    <row r="380">
      <c r="C380" s="79"/>
      <c r="D380" s="79"/>
      <c r="E380" s="79"/>
      <c r="N380" s="79"/>
      <c r="S380" s="79"/>
      <c r="T380" s="79"/>
      <c r="W380" s="79"/>
      <c r="X380" s="79"/>
      <c r="AA380" s="130"/>
      <c r="AC380" s="106"/>
    </row>
    <row r="381">
      <c r="C381" s="79"/>
      <c r="D381" s="79"/>
      <c r="E381" s="79"/>
      <c r="N381" s="79"/>
      <c r="S381" s="79"/>
      <c r="T381" s="79"/>
      <c r="W381" s="79"/>
      <c r="X381" s="79"/>
      <c r="AA381" s="130"/>
      <c r="AC381" s="106"/>
    </row>
    <row r="382">
      <c r="C382" s="79"/>
      <c r="D382" s="79"/>
      <c r="E382" s="79"/>
      <c r="N382" s="79"/>
      <c r="S382" s="79"/>
      <c r="T382" s="79"/>
      <c r="W382" s="79"/>
      <c r="X382" s="79"/>
      <c r="AA382" s="130"/>
      <c r="AC382" s="106"/>
    </row>
    <row r="383">
      <c r="C383" s="79"/>
      <c r="D383" s="79"/>
      <c r="E383" s="79"/>
      <c r="N383" s="79"/>
      <c r="S383" s="79"/>
      <c r="T383" s="79"/>
      <c r="W383" s="79"/>
      <c r="X383" s="79"/>
      <c r="AA383" s="130"/>
      <c r="AC383" s="106"/>
    </row>
    <row r="384">
      <c r="C384" s="79"/>
      <c r="D384" s="79"/>
      <c r="E384" s="79"/>
      <c r="N384" s="79"/>
      <c r="S384" s="79"/>
      <c r="T384" s="79"/>
      <c r="W384" s="79"/>
      <c r="X384" s="79"/>
      <c r="AA384" s="130"/>
      <c r="AC384" s="106"/>
    </row>
    <row r="385">
      <c r="C385" s="79"/>
      <c r="D385" s="79"/>
      <c r="E385" s="79"/>
      <c r="N385" s="79"/>
      <c r="S385" s="79"/>
      <c r="T385" s="79"/>
      <c r="W385" s="79"/>
      <c r="X385" s="79"/>
      <c r="AA385" s="130"/>
      <c r="AC385" s="106"/>
    </row>
    <row r="386">
      <c r="C386" s="79"/>
      <c r="D386" s="79"/>
      <c r="E386" s="79"/>
      <c r="N386" s="79"/>
      <c r="S386" s="79"/>
      <c r="T386" s="79"/>
      <c r="W386" s="79"/>
      <c r="X386" s="79"/>
      <c r="AA386" s="130"/>
      <c r="AC386" s="106"/>
    </row>
    <row r="387">
      <c r="C387" s="79"/>
      <c r="D387" s="79"/>
      <c r="E387" s="79"/>
      <c r="N387" s="79"/>
      <c r="S387" s="79"/>
      <c r="T387" s="79"/>
      <c r="W387" s="79"/>
      <c r="X387" s="79"/>
      <c r="AA387" s="130"/>
      <c r="AC387" s="106"/>
    </row>
    <row r="388">
      <c r="C388" s="79"/>
      <c r="D388" s="79"/>
      <c r="E388" s="79"/>
      <c r="N388" s="79"/>
      <c r="S388" s="79"/>
      <c r="T388" s="79"/>
      <c r="W388" s="79"/>
      <c r="X388" s="79"/>
      <c r="AA388" s="130"/>
      <c r="AC388" s="106"/>
    </row>
    <row r="389">
      <c r="C389" s="79"/>
      <c r="D389" s="79"/>
      <c r="E389" s="79"/>
      <c r="N389" s="79"/>
      <c r="S389" s="79"/>
      <c r="T389" s="79"/>
      <c r="W389" s="79"/>
      <c r="X389" s="79"/>
      <c r="AA389" s="130"/>
      <c r="AC389" s="106"/>
    </row>
    <row r="390">
      <c r="C390" s="79"/>
      <c r="D390" s="79"/>
      <c r="E390" s="79"/>
      <c r="N390" s="79"/>
      <c r="S390" s="79"/>
      <c r="T390" s="79"/>
      <c r="W390" s="79"/>
      <c r="X390" s="79"/>
      <c r="AA390" s="130"/>
      <c r="AC390" s="106"/>
    </row>
    <row r="391">
      <c r="C391" s="79"/>
      <c r="D391" s="79"/>
      <c r="E391" s="79"/>
      <c r="N391" s="79"/>
      <c r="S391" s="79"/>
      <c r="T391" s="79"/>
      <c r="W391" s="79"/>
      <c r="X391" s="79"/>
      <c r="AA391" s="130"/>
      <c r="AC391" s="106"/>
    </row>
    <row r="392">
      <c r="C392" s="79"/>
      <c r="D392" s="79"/>
      <c r="E392" s="79"/>
      <c r="N392" s="79"/>
      <c r="S392" s="79"/>
      <c r="T392" s="79"/>
      <c r="W392" s="79"/>
      <c r="X392" s="79"/>
      <c r="AA392" s="130"/>
      <c r="AC392" s="106"/>
    </row>
    <row r="393">
      <c r="C393" s="79"/>
      <c r="D393" s="79"/>
      <c r="E393" s="79"/>
      <c r="N393" s="79"/>
      <c r="S393" s="79"/>
      <c r="T393" s="79"/>
      <c r="W393" s="79"/>
      <c r="X393" s="79"/>
      <c r="AA393" s="130"/>
      <c r="AC393" s="106"/>
    </row>
    <row r="394">
      <c r="C394" s="79"/>
      <c r="D394" s="79"/>
      <c r="E394" s="79"/>
      <c r="N394" s="79"/>
      <c r="S394" s="79"/>
      <c r="T394" s="79"/>
      <c r="W394" s="79"/>
      <c r="X394" s="79"/>
      <c r="AA394" s="130"/>
      <c r="AC394" s="106"/>
    </row>
    <row r="395">
      <c r="C395" s="79"/>
      <c r="D395" s="79"/>
      <c r="E395" s="79"/>
      <c r="N395" s="79"/>
      <c r="S395" s="79"/>
      <c r="T395" s="79"/>
      <c r="W395" s="79"/>
      <c r="X395" s="79"/>
      <c r="AA395" s="130"/>
      <c r="AC395" s="106"/>
    </row>
    <row r="396">
      <c r="C396" s="79"/>
      <c r="D396" s="79"/>
      <c r="E396" s="79"/>
      <c r="N396" s="79"/>
      <c r="S396" s="79"/>
      <c r="T396" s="79"/>
      <c r="W396" s="79"/>
      <c r="X396" s="79"/>
      <c r="AA396" s="130"/>
      <c r="AC396" s="106"/>
    </row>
    <row r="397">
      <c r="C397" s="79"/>
      <c r="D397" s="79"/>
      <c r="E397" s="79"/>
      <c r="N397" s="79"/>
      <c r="S397" s="79"/>
      <c r="T397" s="79"/>
      <c r="W397" s="79"/>
      <c r="X397" s="79"/>
      <c r="AA397" s="130"/>
      <c r="AC397" s="106"/>
    </row>
    <row r="398">
      <c r="C398" s="79"/>
      <c r="D398" s="79"/>
      <c r="E398" s="79"/>
      <c r="N398" s="79"/>
      <c r="S398" s="79"/>
      <c r="T398" s="79"/>
      <c r="W398" s="79"/>
      <c r="X398" s="79"/>
      <c r="AA398" s="130"/>
      <c r="AC398" s="106"/>
    </row>
    <row r="399">
      <c r="C399" s="79"/>
      <c r="D399" s="79"/>
      <c r="E399" s="79"/>
      <c r="N399" s="79"/>
      <c r="S399" s="79"/>
      <c r="T399" s="79"/>
      <c r="W399" s="79"/>
      <c r="X399" s="79"/>
      <c r="AA399" s="130"/>
      <c r="AC399" s="106"/>
    </row>
    <row r="400">
      <c r="C400" s="79"/>
      <c r="D400" s="79"/>
      <c r="E400" s="79"/>
      <c r="N400" s="79"/>
      <c r="S400" s="79"/>
      <c r="T400" s="79"/>
      <c r="W400" s="79"/>
      <c r="X400" s="79"/>
      <c r="AA400" s="130"/>
      <c r="AC400" s="106"/>
    </row>
    <row r="401">
      <c r="C401" s="79"/>
      <c r="D401" s="79"/>
      <c r="E401" s="79"/>
      <c r="N401" s="79"/>
      <c r="S401" s="79"/>
      <c r="T401" s="79"/>
      <c r="W401" s="79"/>
      <c r="X401" s="79"/>
      <c r="AA401" s="130"/>
      <c r="AC401" s="106"/>
    </row>
    <row r="402">
      <c r="C402" s="79"/>
      <c r="D402" s="79"/>
      <c r="E402" s="79"/>
      <c r="N402" s="79"/>
      <c r="S402" s="79"/>
      <c r="T402" s="79"/>
      <c r="W402" s="79"/>
      <c r="X402" s="79"/>
      <c r="AA402" s="130"/>
      <c r="AC402" s="106"/>
    </row>
    <row r="403">
      <c r="C403" s="79"/>
      <c r="D403" s="79"/>
      <c r="E403" s="79"/>
      <c r="N403" s="79"/>
      <c r="S403" s="79"/>
      <c r="T403" s="79"/>
      <c r="W403" s="79"/>
      <c r="X403" s="79"/>
      <c r="AA403" s="130"/>
      <c r="AC403" s="106"/>
    </row>
    <row r="404">
      <c r="C404" s="79"/>
      <c r="D404" s="79"/>
      <c r="E404" s="79"/>
      <c r="N404" s="79"/>
      <c r="S404" s="79"/>
      <c r="T404" s="79"/>
      <c r="W404" s="79"/>
      <c r="X404" s="79"/>
      <c r="AA404" s="130"/>
      <c r="AC404" s="106"/>
    </row>
    <row r="405">
      <c r="C405" s="79"/>
      <c r="D405" s="79"/>
      <c r="E405" s="79"/>
      <c r="N405" s="79"/>
      <c r="S405" s="79"/>
      <c r="T405" s="79"/>
      <c r="W405" s="79"/>
      <c r="X405" s="79"/>
      <c r="AA405" s="130"/>
      <c r="AC405" s="106"/>
    </row>
    <row r="406">
      <c r="C406" s="79"/>
      <c r="D406" s="79"/>
      <c r="E406" s="79"/>
      <c r="N406" s="79"/>
      <c r="S406" s="79"/>
      <c r="T406" s="79"/>
      <c r="W406" s="79"/>
      <c r="X406" s="79"/>
      <c r="AA406" s="130"/>
      <c r="AC406" s="106"/>
    </row>
    <row r="407">
      <c r="C407" s="79"/>
      <c r="D407" s="79"/>
      <c r="E407" s="79"/>
      <c r="N407" s="79"/>
      <c r="S407" s="79"/>
      <c r="T407" s="79"/>
      <c r="W407" s="79"/>
      <c r="X407" s="79"/>
      <c r="AA407" s="130"/>
      <c r="AC407" s="106"/>
    </row>
    <row r="408">
      <c r="C408" s="79"/>
      <c r="D408" s="79"/>
      <c r="E408" s="79"/>
      <c r="N408" s="79"/>
      <c r="S408" s="79"/>
      <c r="T408" s="79"/>
      <c r="W408" s="79"/>
      <c r="X408" s="79"/>
      <c r="AA408" s="130"/>
      <c r="AC408" s="106"/>
    </row>
    <row r="409">
      <c r="C409" s="79"/>
      <c r="D409" s="79"/>
      <c r="E409" s="79"/>
      <c r="N409" s="79"/>
      <c r="S409" s="79"/>
      <c r="T409" s="79"/>
      <c r="W409" s="79"/>
      <c r="X409" s="79"/>
      <c r="AA409" s="130"/>
      <c r="AC409" s="106"/>
    </row>
    <row r="410">
      <c r="C410" s="79"/>
      <c r="D410" s="79"/>
      <c r="E410" s="79"/>
      <c r="N410" s="79"/>
      <c r="S410" s="79"/>
      <c r="T410" s="79"/>
      <c r="W410" s="79"/>
      <c r="X410" s="79"/>
      <c r="AA410" s="130"/>
      <c r="AC410" s="106"/>
    </row>
    <row r="411">
      <c r="C411" s="79"/>
      <c r="D411" s="79"/>
      <c r="E411" s="79"/>
      <c r="N411" s="79"/>
      <c r="S411" s="79"/>
      <c r="T411" s="79"/>
      <c r="W411" s="79"/>
      <c r="X411" s="79"/>
      <c r="AA411" s="130"/>
      <c r="AC411" s="106"/>
    </row>
    <row r="412">
      <c r="C412" s="79"/>
      <c r="D412" s="79"/>
      <c r="E412" s="79"/>
      <c r="N412" s="79"/>
      <c r="S412" s="79"/>
      <c r="T412" s="79"/>
      <c r="W412" s="79"/>
      <c r="X412" s="79"/>
      <c r="AA412" s="130"/>
      <c r="AC412" s="106"/>
    </row>
    <row r="413">
      <c r="C413" s="79"/>
      <c r="D413" s="79"/>
      <c r="E413" s="79"/>
      <c r="N413" s="79"/>
      <c r="S413" s="79"/>
      <c r="T413" s="79"/>
      <c r="W413" s="79"/>
      <c r="X413" s="79"/>
      <c r="AA413" s="130"/>
      <c r="AC413" s="106"/>
    </row>
    <row r="414">
      <c r="C414" s="79"/>
      <c r="D414" s="79"/>
      <c r="E414" s="79"/>
      <c r="N414" s="79"/>
      <c r="S414" s="79"/>
      <c r="T414" s="79"/>
      <c r="W414" s="79"/>
      <c r="X414" s="79"/>
      <c r="AA414" s="130"/>
      <c r="AC414" s="106"/>
    </row>
    <row r="415">
      <c r="C415" s="79"/>
      <c r="D415" s="79"/>
      <c r="E415" s="79"/>
      <c r="N415" s="79"/>
      <c r="S415" s="79"/>
      <c r="T415" s="79"/>
      <c r="W415" s="79"/>
      <c r="X415" s="79"/>
      <c r="AA415" s="130"/>
      <c r="AC415" s="106"/>
    </row>
    <row r="416">
      <c r="C416" s="79"/>
      <c r="D416" s="79"/>
      <c r="E416" s="79"/>
      <c r="N416" s="79"/>
      <c r="S416" s="79"/>
      <c r="T416" s="79"/>
      <c r="W416" s="79"/>
      <c r="X416" s="79"/>
      <c r="AA416" s="130"/>
      <c r="AC416" s="106"/>
    </row>
    <row r="417">
      <c r="C417" s="79"/>
      <c r="D417" s="79"/>
      <c r="E417" s="79"/>
      <c r="N417" s="79"/>
      <c r="S417" s="79"/>
      <c r="T417" s="79"/>
      <c r="W417" s="79"/>
      <c r="X417" s="79"/>
      <c r="AA417" s="130"/>
      <c r="AC417" s="106"/>
    </row>
    <row r="418">
      <c r="C418" s="79"/>
      <c r="D418" s="79"/>
      <c r="E418" s="79"/>
      <c r="N418" s="79"/>
      <c r="S418" s="79"/>
      <c r="T418" s="79"/>
      <c r="W418" s="79"/>
      <c r="X418" s="79"/>
      <c r="AA418" s="130"/>
      <c r="AC418" s="106"/>
    </row>
    <row r="419">
      <c r="C419" s="79"/>
      <c r="D419" s="79"/>
      <c r="E419" s="79"/>
      <c r="N419" s="79"/>
      <c r="S419" s="79"/>
      <c r="T419" s="79"/>
      <c r="W419" s="79"/>
      <c r="X419" s="79"/>
      <c r="AA419" s="130"/>
      <c r="AC419" s="106"/>
    </row>
    <row r="420">
      <c r="C420" s="79"/>
      <c r="D420" s="79"/>
      <c r="E420" s="79"/>
      <c r="N420" s="79"/>
      <c r="S420" s="79"/>
      <c r="T420" s="79"/>
      <c r="W420" s="79"/>
      <c r="X420" s="79"/>
      <c r="AA420" s="130"/>
      <c r="AC420" s="106"/>
    </row>
    <row r="421">
      <c r="C421" s="79"/>
      <c r="D421" s="79"/>
      <c r="E421" s="79"/>
      <c r="N421" s="79"/>
      <c r="S421" s="79"/>
      <c r="T421" s="79"/>
      <c r="W421" s="79"/>
      <c r="X421" s="79"/>
      <c r="AA421" s="130"/>
      <c r="AC421" s="106"/>
    </row>
    <row r="422">
      <c r="C422" s="79"/>
      <c r="D422" s="79"/>
      <c r="E422" s="79"/>
      <c r="N422" s="79"/>
      <c r="S422" s="79"/>
      <c r="T422" s="79"/>
      <c r="W422" s="79"/>
      <c r="X422" s="79"/>
      <c r="AA422" s="130"/>
      <c r="AC422" s="106"/>
    </row>
    <row r="423">
      <c r="C423" s="79"/>
      <c r="D423" s="79"/>
      <c r="E423" s="79"/>
      <c r="N423" s="79"/>
      <c r="S423" s="79"/>
      <c r="T423" s="79"/>
      <c r="W423" s="79"/>
      <c r="X423" s="79"/>
      <c r="AA423" s="130"/>
      <c r="AC423" s="106"/>
    </row>
    <row r="424">
      <c r="C424" s="79"/>
      <c r="D424" s="79"/>
      <c r="E424" s="79"/>
      <c r="N424" s="79"/>
      <c r="S424" s="79"/>
      <c r="T424" s="79"/>
      <c r="W424" s="79"/>
      <c r="X424" s="79"/>
      <c r="AA424" s="130"/>
      <c r="AC424" s="106"/>
    </row>
    <row r="425">
      <c r="C425" s="79"/>
      <c r="D425" s="79"/>
      <c r="E425" s="79"/>
      <c r="N425" s="79"/>
      <c r="S425" s="79"/>
      <c r="T425" s="79"/>
      <c r="W425" s="79"/>
      <c r="X425" s="79"/>
      <c r="AA425" s="130"/>
      <c r="AC425" s="106"/>
    </row>
    <row r="426">
      <c r="C426" s="79"/>
      <c r="D426" s="79"/>
      <c r="E426" s="79"/>
      <c r="N426" s="79"/>
      <c r="S426" s="79"/>
      <c r="T426" s="79"/>
      <c r="W426" s="79"/>
      <c r="X426" s="79"/>
      <c r="AA426" s="130"/>
      <c r="AC426" s="106"/>
    </row>
    <row r="427">
      <c r="C427" s="79"/>
      <c r="D427" s="79"/>
      <c r="E427" s="79"/>
      <c r="N427" s="79"/>
      <c r="S427" s="79"/>
      <c r="T427" s="79"/>
      <c r="W427" s="79"/>
      <c r="X427" s="79"/>
      <c r="AA427" s="130"/>
      <c r="AC427" s="106"/>
    </row>
    <row r="428">
      <c r="C428" s="79"/>
      <c r="D428" s="79"/>
      <c r="E428" s="79"/>
      <c r="N428" s="79"/>
      <c r="S428" s="79"/>
      <c r="T428" s="79"/>
      <c r="W428" s="79"/>
      <c r="X428" s="79"/>
      <c r="AA428" s="130"/>
      <c r="AC428" s="106"/>
    </row>
    <row r="429">
      <c r="C429" s="79"/>
      <c r="D429" s="79"/>
      <c r="E429" s="79"/>
      <c r="N429" s="79"/>
      <c r="S429" s="79"/>
      <c r="T429" s="79"/>
      <c r="W429" s="79"/>
      <c r="X429" s="79"/>
      <c r="AA429" s="130"/>
      <c r="AC429" s="106"/>
    </row>
    <row r="430">
      <c r="C430" s="79"/>
      <c r="D430" s="79"/>
      <c r="E430" s="79"/>
      <c r="N430" s="79"/>
      <c r="S430" s="79"/>
      <c r="T430" s="79"/>
      <c r="W430" s="79"/>
      <c r="X430" s="79"/>
      <c r="AA430" s="130"/>
      <c r="AC430" s="106"/>
    </row>
    <row r="431">
      <c r="C431" s="79"/>
      <c r="D431" s="79"/>
      <c r="E431" s="79"/>
      <c r="N431" s="79"/>
      <c r="S431" s="79"/>
      <c r="T431" s="79"/>
      <c r="W431" s="79"/>
      <c r="X431" s="79"/>
      <c r="AA431" s="130"/>
      <c r="AC431" s="106"/>
    </row>
    <row r="432">
      <c r="C432" s="79"/>
      <c r="D432" s="79"/>
      <c r="E432" s="79"/>
      <c r="N432" s="79"/>
      <c r="S432" s="79"/>
      <c r="T432" s="79"/>
      <c r="W432" s="79"/>
      <c r="X432" s="79"/>
      <c r="AA432" s="130"/>
      <c r="AC432" s="106"/>
    </row>
    <row r="433">
      <c r="C433" s="79"/>
      <c r="D433" s="79"/>
      <c r="E433" s="79"/>
      <c r="N433" s="79"/>
      <c r="S433" s="79"/>
      <c r="T433" s="79"/>
      <c r="W433" s="79"/>
      <c r="X433" s="79"/>
      <c r="AA433" s="130"/>
      <c r="AC433" s="106"/>
    </row>
    <row r="434">
      <c r="C434" s="79"/>
      <c r="D434" s="79"/>
      <c r="E434" s="79"/>
      <c r="N434" s="79"/>
      <c r="S434" s="79"/>
      <c r="T434" s="79"/>
      <c r="W434" s="79"/>
      <c r="X434" s="79"/>
      <c r="AA434" s="130"/>
      <c r="AC434" s="106"/>
    </row>
    <row r="435">
      <c r="C435" s="79"/>
      <c r="D435" s="79"/>
      <c r="E435" s="79"/>
      <c r="N435" s="79"/>
      <c r="S435" s="79"/>
      <c r="T435" s="79"/>
      <c r="W435" s="79"/>
      <c r="X435" s="79"/>
      <c r="AA435" s="130"/>
      <c r="AC435" s="106"/>
    </row>
    <row r="436">
      <c r="C436" s="79"/>
      <c r="D436" s="79"/>
      <c r="E436" s="79"/>
      <c r="N436" s="79"/>
      <c r="S436" s="79"/>
      <c r="T436" s="79"/>
      <c r="W436" s="79"/>
      <c r="X436" s="79"/>
      <c r="AA436" s="130"/>
      <c r="AC436" s="106"/>
    </row>
    <row r="437">
      <c r="C437" s="79"/>
      <c r="D437" s="79"/>
      <c r="E437" s="79"/>
      <c r="N437" s="79"/>
      <c r="S437" s="79"/>
      <c r="T437" s="79"/>
      <c r="W437" s="79"/>
      <c r="X437" s="79"/>
      <c r="AA437" s="130"/>
      <c r="AC437" s="106"/>
    </row>
    <row r="438">
      <c r="C438" s="79"/>
      <c r="D438" s="79"/>
      <c r="E438" s="79"/>
      <c r="N438" s="79"/>
      <c r="S438" s="79"/>
      <c r="T438" s="79"/>
      <c r="W438" s="79"/>
      <c r="X438" s="79"/>
      <c r="AA438" s="130"/>
      <c r="AC438" s="106"/>
    </row>
    <row r="439">
      <c r="C439" s="79"/>
      <c r="D439" s="79"/>
      <c r="E439" s="79"/>
      <c r="N439" s="79"/>
      <c r="S439" s="79"/>
      <c r="T439" s="79"/>
      <c r="W439" s="79"/>
      <c r="X439" s="79"/>
      <c r="AA439" s="130"/>
      <c r="AC439" s="106"/>
    </row>
    <row r="440">
      <c r="C440" s="79"/>
      <c r="D440" s="79"/>
      <c r="E440" s="79"/>
      <c r="N440" s="79"/>
      <c r="S440" s="79"/>
      <c r="T440" s="79"/>
      <c r="W440" s="79"/>
      <c r="X440" s="79"/>
      <c r="AA440" s="130"/>
      <c r="AC440" s="106"/>
    </row>
    <row r="441">
      <c r="C441" s="79"/>
      <c r="D441" s="79"/>
      <c r="E441" s="79"/>
      <c r="N441" s="79"/>
      <c r="S441" s="79"/>
      <c r="T441" s="79"/>
      <c r="W441" s="79"/>
      <c r="X441" s="79"/>
      <c r="AA441" s="130"/>
      <c r="AC441" s="106"/>
    </row>
    <row r="442">
      <c r="C442" s="79"/>
      <c r="D442" s="79"/>
      <c r="E442" s="79"/>
      <c r="N442" s="79"/>
      <c r="S442" s="79"/>
      <c r="T442" s="79"/>
      <c r="W442" s="79"/>
      <c r="X442" s="79"/>
      <c r="AA442" s="130"/>
      <c r="AC442" s="106"/>
    </row>
    <row r="443">
      <c r="C443" s="79"/>
      <c r="D443" s="79"/>
      <c r="E443" s="79"/>
      <c r="N443" s="79"/>
      <c r="S443" s="79"/>
      <c r="T443" s="79"/>
      <c r="W443" s="79"/>
      <c r="X443" s="79"/>
      <c r="AA443" s="130"/>
      <c r="AC443" s="106"/>
    </row>
    <row r="444">
      <c r="C444" s="79"/>
      <c r="D444" s="79"/>
      <c r="E444" s="79"/>
      <c r="N444" s="79"/>
      <c r="S444" s="79"/>
      <c r="T444" s="79"/>
      <c r="W444" s="79"/>
      <c r="X444" s="79"/>
      <c r="AA444" s="130"/>
      <c r="AC444" s="106"/>
    </row>
    <row r="445">
      <c r="C445" s="79"/>
      <c r="D445" s="79"/>
      <c r="E445" s="79"/>
      <c r="N445" s="79"/>
      <c r="S445" s="79"/>
      <c r="T445" s="79"/>
      <c r="W445" s="79"/>
      <c r="X445" s="79"/>
      <c r="AA445" s="130"/>
      <c r="AC445" s="106"/>
    </row>
    <row r="446">
      <c r="C446" s="79"/>
      <c r="D446" s="79"/>
      <c r="E446" s="79"/>
      <c r="N446" s="79"/>
      <c r="S446" s="79"/>
      <c r="T446" s="79"/>
      <c r="W446" s="79"/>
      <c r="X446" s="79"/>
      <c r="AA446" s="130"/>
      <c r="AC446" s="106"/>
    </row>
    <row r="447">
      <c r="C447" s="79"/>
      <c r="D447" s="79"/>
      <c r="E447" s="79"/>
      <c r="N447" s="79"/>
      <c r="S447" s="79"/>
      <c r="T447" s="79"/>
      <c r="W447" s="79"/>
      <c r="X447" s="79"/>
      <c r="AA447" s="130"/>
      <c r="AC447" s="106"/>
    </row>
    <row r="448">
      <c r="C448" s="79"/>
      <c r="D448" s="79"/>
      <c r="E448" s="79"/>
      <c r="N448" s="79"/>
      <c r="S448" s="79"/>
      <c r="T448" s="79"/>
      <c r="W448" s="79"/>
      <c r="X448" s="79"/>
      <c r="AA448" s="130"/>
      <c r="AC448" s="106"/>
    </row>
    <row r="449">
      <c r="C449" s="79"/>
      <c r="D449" s="79"/>
      <c r="E449" s="79"/>
      <c r="N449" s="79"/>
      <c r="S449" s="79"/>
      <c r="T449" s="79"/>
      <c r="W449" s="79"/>
      <c r="X449" s="79"/>
      <c r="AA449" s="130"/>
      <c r="AC449" s="106"/>
    </row>
    <row r="450">
      <c r="C450" s="79"/>
      <c r="D450" s="79"/>
      <c r="E450" s="79"/>
      <c r="N450" s="79"/>
      <c r="S450" s="79"/>
      <c r="T450" s="79"/>
      <c r="W450" s="79"/>
      <c r="X450" s="79"/>
      <c r="AA450" s="130"/>
      <c r="AC450" s="106"/>
    </row>
    <row r="451">
      <c r="C451" s="79"/>
      <c r="D451" s="79"/>
      <c r="E451" s="79"/>
      <c r="N451" s="79"/>
      <c r="S451" s="79"/>
      <c r="T451" s="79"/>
      <c r="W451" s="79"/>
      <c r="X451" s="79"/>
      <c r="AA451" s="130"/>
      <c r="AC451" s="106"/>
    </row>
    <row r="452">
      <c r="C452" s="79"/>
      <c r="D452" s="79"/>
      <c r="E452" s="79"/>
      <c r="N452" s="79"/>
      <c r="S452" s="79"/>
      <c r="T452" s="79"/>
      <c r="W452" s="79"/>
      <c r="X452" s="79"/>
      <c r="AA452" s="130"/>
      <c r="AC452" s="106"/>
    </row>
    <row r="453">
      <c r="C453" s="79"/>
      <c r="D453" s="79"/>
      <c r="E453" s="79"/>
      <c r="N453" s="79"/>
      <c r="S453" s="79"/>
      <c r="T453" s="79"/>
      <c r="W453" s="79"/>
      <c r="X453" s="79"/>
      <c r="AA453" s="130"/>
      <c r="AC453" s="106"/>
    </row>
    <row r="454">
      <c r="C454" s="79"/>
      <c r="D454" s="79"/>
      <c r="E454" s="79"/>
      <c r="N454" s="79"/>
      <c r="S454" s="79"/>
      <c r="T454" s="79"/>
      <c r="W454" s="79"/>
      <c r="X454" s="79"/>
      <c r="AA454" s="130"/>
      <c r="AC454" s="106"/>
    </row>
    <row r="455">
      <c r="C455" s="79"/>
      <c r="D455" s="79"/>
      <c r="E455" s="79"/>
      <c r="N455" s="79"/>
      <c r="S455" s="79"/>
      <c r="T455" s="79"/>
      <c r="W455" s="79"/>
      <c r="X455" s="79"/>
      <c r="AA455" s="130"/>
      <c r="AC455" s="106"/>
    </row>
    <row r="456">
      <c r="C456" s="79"/>
      <c r="D456" s="79"/>
      <c r="E456" s="79"/>
      <c r="N456" s="79"/>
      <c r="S456" s="79"/>
      <c r="T456" s="79"/>
      <c r="W456" s="79"/>
      <c r="X456" s="79"/>
      <c r="AA456" s="130"/>
      <c r="AC456" s="106"/>
    </row>
    <row r="457">
      <c r="C457" s="79"/>
      <c r="D457" s="79"/>
      <c r="E457" s="79"/>
      <c r="N457" s="79"/>
      <c r="S457" s="79"/>
      <c r="T457" s="79"/>
      <c r="W457" s="79"/>
      <c r="X457" s="79"/>
      <c r="AA457" s="130"/>
      <c r="AC457" s="106"/>
    </row>
    <row r="458">
      <c r="C458" s="79"/>
      <c r="D458" s="79"/>
      <c r="E458" s="79"/>
      <c r="N458" s="79"/>
      <c r="S458" s="79"/>
      <c r="T458" s="79"/>
      <c r="W458" s="79"/>
      <c r="X458" s="79"/>
      <c r="AA458" s="130"/>
      <c r="AC458" s="106"/>
    </row>
    <row r="459">
      <c r="C459" s="79"/>
      <c r="D459" s="79"/>
      <c r="E459" s="79"/>
      <c r="N459" s="79"/>
      <c r="S459" s="79"/>
      <c r="T459" s="79"/>
      <c r="W459" s="79"/>
      <c r="X459" s="79"/>
      <c r="AA459" s="130"/>
      <c r="AC459" s="106"/>
    </row>
    <row r="460">
      <c r="C460" s="79"/>
      <c r="D460" s="79"/>
      <c r="E460" s="79"/>
      <c r="N460" s="79"/>
      <c r="S460" s="79"/>
      <c r="T460" s="79"/>
      <c r="W460" s="79"/>
      <c r="X460" s="79"/>
      <c r="AA460" s="130"/>
      <c r="AC460" s="106"/>
    </row>
    <row r="461">
      <c r="C461" s="79"/>
      <c r="D461" s="79"/>
      <c r="E461" s="79"/>
      <c r="N461" s="79"/>
      <c r="S461" s="79"/>
      <c r="T461" s="79"/>
      <c r="W461" s="79"/>
      <c r="X461" s="79"/>
      <c r="AA461" s="130"/>
      <c r="AC461" s="106"/>
    </row>
    <row r="462">
      <c r="C462" s="79"/>
      <c r="D462" s="79"/>
      <c r="E462" s="79"/>
      <c r="N462" s="79"/>
      <c r="S462" s="79"/>
      <c r="T462" s="79"/>
      <c r="W462" s="79"/>
      <c r="X462" s="79"/>
      <c r="AA462" s="130"/>
      <c r="AC462" s="106"/>
    </row>
    <row r="463">
      <c r="C463" s="79"/>
      <c r="D463" s="79"/>
      <c r="E463" s="79"/>
      <c r="N463" s="79"/>
      <c r="S463" s="79"/>
      <c r="T463" s="79"/>
      <c r="W463" s="79"/>
      <c r="X463" s="79"/>
      <c r="AA463" s="130"/>
      <c r="AC463" s="106"/>
    </row>
    <row r="464">
      <c r="C464" s="79"/>
      <c r="D464" s="79"/>
      <c r="E464" s="79"/>
      <c r="N464" s="79"/>
      <c r="S464" s="79"/>
      <c r="T464" s="79"/>
      <c r="W464" s="79"/>
      <c r="X464" s="79"/>
      <c r="AA464" s="130"/>
      <c r="AC464" s="106"/>
    </row>
    <row r="465">
      <c r="C465" s="79"/>
      <c r="D465" s="79"/>
      <c r="E465" s="79"/>
      <c r="N465" s="79"/>
      <c r="S465" s="79"/>
      <c r="T465" s="79"/>
      <c r="W465" s="79"/>
      <c r="X465" s="79"/>
      <c r="AA465" s="130"/>
      <c r="AC465" s="106"/>
    </row>
    <row r="466">
      <c r="C466" s="79"/>
      <c r="D466" s="79"/>
      <c r="E466" s="79"/>
      <c r="N466" s="79"/>
      <c r="S466" s="79"/>
      <c r="T466" s="79"/>
      <c r="W466" s="79"/>
      <c r="X466" s="79"/>
      <c r="AA466" s="130"/>
      <c r="AC466" s="106"/>
    </row>
    <row r="467">
      <c r="C467" s="79"/>
      <c r="D467" s="79"/>
      <c r="E467" s="79"/>
      <c r="N467" s="79"/>
      <c r="S467" s="79"/>
      <c r="T467" s="79"/>
      <c r="W467" s="79"/>
      <c r="X467" s="79"/>
      <c r="AA467" s="130"/>
      <c r="AC467" s="106"/>
    </row>
    <row r="468">
      <c r="C468" s="79"/>
      <c r="D468" s="79"/>
      <c r="E468" s="79"/>
      <c r="N468" s="79"/>
      <c r="S468" s="79"/>
      <c r="T468" s="79"/>
      <c r="W468" s="79"/>
      <c r="X468" s="79"/>
      <c r="AA468" s="130"/>
      <c r="AC468" s="106"/>
    </row>
    <row r="469">
      <c r="C469" s="79"/>
      <c r="D469" s="79"/>
      <c r="E469" s="79"/>
      <c r="N469" s="79"/>
      <c r="S469" s="79"/>
      <c r="T469" s="79"/>
      <c r="W469" s="79"/>
      <c r="X469" s="79"/>
      <c r="AA469" s="130"/>
      <c r="AC469" s="106"/>
    </row>
    <row r="470">
      <c r="C470" s="79"/>
      <c r="D470" s="79"/>
      <c r="E470" s="79"/>
      <c r="N470" s="79"/>
      <c r="S470" s="79"/>
      <c r="T470" s="79"/>
      <c r="W470" s="79"/>
      <c r="X470" s="79"/>
      <c r="AA470" s="130"/>
      <c r="AC470" s="106"/>
    </row>
    <row r="471">
      <c r="C471" s="79"/>
      <c r="D471" s="79"/>
      <c r="E471" s="79"/>
      <c r="N471" s="79"/>
      <c r="S471" s="79"/>
      <c r="T471" s="79"/>
      <c r="W471" s="79"/>
      <c r="X471" s="79"/>
      <c r="AA471" s="130"/>
      <c r="AC471" s="106"/>
    </row>
    <row r="472">
      <c r="C472" s="79"/>
      <c r="D472" s="79"/>
      <c r="E472" s="79"/>
      <c r="N472" s="79"/>
      <c r="S472" s="79"/>
      <c r="T472" s="79"/>
      <c r="W472" s="79"/>
      <c r="X472" s="79"/>
      <c r="AA472" s="130"/>
      <c r="AC472" s="106"/>
    </row>
    <row r="473">
      <c r="C473" s="79"/>
      <c r="D473" s="79"/>
      <c r="E473" s="79"/>
      <c r="N473" s="79"/>
      <c r="S473" s="79"/>
      <c r="T473" s="79"/>
      <c r="W473" s="79"/>
      <c r="X473" s="79"/>
      <c r="AA473" s="130"/>
      <c r="AC473" s="106"/>
    </row>
    <row r="474">
      <c r="C474" s="79"/>
      <c r="D474" s="79"/>
      <c r="E474" s="79"/>
      <c r="N474" s="79"/>
      <c r="S474" s="79"/>
      <c r="T474" s="79"/>
      <c r="W474" s="79"/>
      <c r="X474" s="79"/>
      <c r="AA474" s="130"/>
      <c r="AC474" s="106"/>
    </row>
    <row r="475">
      <c r="C475" s="79"/>
      <c r="D475" s="79"/>
      <c r="E475" s="79"/>
      <c r="N475" s="79"/>
      <c r="S475" s="79"/>
      <c r="T475" s="79"/>
      <c r="W475" s="79"/>
      <c r="X475" s="79"/>
      <c r="AA475" s="130"/>
      <c r="AC475" s="106"/>
    </row>
    <row r="476">
      <c r="C476" s="79"/>
      <c r="D476" s="79"/>
      <c r="E476" s="79"/>
      <c r="N476" s="79"/>
      <c r="S476" s="79"/>
      <c r="T476" s="79"/>
      <c r="W476" s="79"/>
      <c r="X476" s="79"/>
      <c r="AA476" s="130"/>
      <c r="AC476" s="106"/>
    </row>
    <row r="477">
      <c r="C477" s="79"/>
      <c r="D477" s="79"/>
      <c r="E477" s="79"/>
      <c r="N477" s="79"/>
      <c r="S477" s="79"/>
      <c r="T477" s="79"/>
      <c r="W477" s="79"/>
      <c r="X477" s="79"/>
      <c r="AA477" s="130"/>
      <c r="AC477" s="106"/>
    </row>
    <row r="478">
      <c r="C478" s="79"/>
      <c r="D478" s="79"/>
      <c r="E478" s="79"/>
      <c r="N478" s="79"/>
      <c r="S478" s="79"/>
      <c r="T478" s="79"/>
      <c r="W478" s="79"/>
      <c r="X478" s="79"/>
      <c r="AA478" s="130"/>
      <c r="AC478" s="106"/>
    </row>
    <row r="479">
      <c r="C479" s="79"/>
      <c r="D479" s="79"/>
      <c r="E479" s="79"/>
      <c r="N479" s="79"/>
      <c r="S479" s="79"/>
      <c r="T479" s="79"/>
      <c r="W479" s="79"/>
      <c r="X479" s="79"/>
      <c r="AA479" s="130"/>
      <c r="AC479" s="106"/>
    </row>
    <row r="480">
      <c r="C480" s="79"/>
      <c r="D480" s="79"/>
      <c r="E480" s="79"/>
      <c r="N480" s="79"/>
      <c r="S480" s="79"/>
      <c r="T480" s="79"/>
      <c r="W480" s="79"/>
      <c r="X480" s="79"/>
      <c r="AA480" s="130"/>
      <c r="AC480" s="106"/>
    </row>
    <row r="481">
      <c r="C481" s="79"/>
      <c r="D481" s="79"/>
      <c r="E481" s="79"/>
      <c r="N481" s="79"/>
      <c r="S481" s="79"/>
      <c r="T481" s="79"/>
      <c r="W481" s="79"/>
      <c r="X481" s="79"/>
      <c r="AA481" s="130"/>
      <c r="AC481" s="106"/>
    </row>
    <row r="482">
      <c r="C482" s="79"/>
      <c r="D482" s="79"/>
      <c r="E482" s="79"/>
      <c r="N482" s="79"/>
      <c r="S482" s="79"/>
      <c r="T482" s="79"/>
      <c r="W482" s="79"/>
      <c r="X482" s="79"/>
      <c r="AA482" s="130"/>
      <c r="AC482" s="106"/>
    </row>
    <row r="483">
      <c r="C483" s="79"/>
      <c r="D483" s="79"/>
      <c r="E483" s="79"/>
      <c r="N483" s="79"/>
      <c r="S483" s="79"/>
      <c r="T483" s="79"/>
      <c r="W483" s="79"/>
      <c r="X483" s="79"/>
      <c r="AA483" s="130"/>
      <c r="AC483" s="106"/>
    </row>
    <row r="484">
      <c r="C484" s="79"/>
      <c r="D484" s="79"/>
      <c r="E484" s="79"/>
      <c r="N484" s="79"/>
      <c r="S484" s="79"/>
      <c r="T484" s="79"/>
      <c r="W484" s="79"/>
      <c r="X484" s="79"/>
      <c r="AA484" s="130"/>
      <c r="AC484" s="106"/>
    </row>
    <row r="485">
      <c r="C485" s="79"/>
      <c r="D485" s="79"/>
      <c r="E485" s="79"/>
      <c r="N485" s="79"/>
      <c r="S485" s="79"/>
      <c r="T485" s="79"/>
      <c r="W485" s="79"/>
      <c r="X485" s="79"/>
      <c r="AA485" s="130"/>
      <c r="AC485" s="106"/>
    </row>
    <row r="486">
      <c r="C486" s="79"/>
      <c r="D486" s="79"/>
      <c r="E486" s="79"/>
      <c r="N486" s="79"/>
      <c r="S486" s="79"/>
      <c r="T486" s="79"/>
      <c r="W486" s="79"/>
      <c r="X486" s="79"/>
      <c r="AA486" s="130"/>
      <c r="AC486" s="106"/>
    </row>
    <row r="487">
      <c r="C487" s="79"/>
      <c r="D487" s="79"/>
      <c r="E487" s="79"/>
      <c r="N487" s="79"/>
      <c r="S487" s="79"/>
      <c r="T487" s="79"/>
      <c r="W487" s="79"/>
      <c r="X487" s="79"/>
      <c r="AA487" s="130"/>
      <c r="AC487" s="106"/>
    </row>
    <row r="488">
      <c r="C488" s="79"/>
      <c r="D488" s="79"/>
      <c r="E488" s="79"/>
      <c r="N488" s="79"/>
      <c r="S488" s="79"/>
      <c r="T488" s="79"/>
      <c r="W488" s="79"/>
      <c r="X488" s="79"/>
      <c r="AA488" s="130"/>
      <c r="AC488" s="106"/>
    </row>
    <row r="489">
      <c r="C489" s="79"/>
      <c r="D489" s="79"/>
      <c r="E489" s="79"/>
      <c r="N489" s="79"/>
      <c r="S489" s="79"/>
      <c r="T489" s="79"/>
      <c r="W489" s="79"/>
      <c r="X489" s="79"/>
      <c r="AA489" s="130"/>
      <c r="AC489" s="106"/>
    </row>
    <row r="490">
      <c r="C490" s="79"/>
      <c r="D490" s="79"/>
      <c r="E490" s="79"/>
      <c r="N490" s="79"/>
      <c r="S490" s="79"/>
      <c r="T490" s="79"/>
      <c r="W490" s="79"/>
      <c r="X490" s="79"/>
      <c r="AA490" s="130"/>
      <c r="AC490" s="106"/>
    </row>
    <row r="491">
      <c r="C491" s="79"/>
      <c r="D491" s="79"/>
      <c r="E491" s="79"/>
      <c r="N491" s="79"/>
      <c r="S491" s="79"/>
      <c r="T491" s="79"/>
      <c r="W491" s="79"/>
      <c r="X491" s="79"/>
      <c r="AA491" s="130"/>
      <c r="AC491" s="106"/>
    </row>
    <row r="492">
      <c r="C492" s="79"/>
      <c r="D492" s="79"/>
      <c r="E492" s="79"/>
      <c r="N492" s="79"/>
      <c r="S492" s="79"/>
      <c r="T492" s="79"/>
      <c r="W492" s="79"/>
      <c r="X492" s="79"/>
      <c r="AA492" s="130"/>
      <c r="AC492" s="106"/>
    </row>
    <row r="493">
      <c r="C493" s="79"/>
      <c r="D493" s="79"/>
      <c r="E493" s="79"/>
      <c r="N493" s="79"/>
      <c r="S493" s="79"/>
      <c r="T493" s="79"/>
      <c r="W493" s="79"/>
      <c r="X493" s="79"/>
      <c r="AA493" s="130"/>
      <c r="AC493" s="106"/>
    </row>
    <row r="494">
      <c r="C494" s="79"/>
      <c r="D494" s="79"/>
      <c r="E494" s="79"/>
      <c r="N494" s="79"/>
      <c r="S494" s="79"/>
      <c r="T494" s="79"/>
      <c r="W494" s="79"/>
      <c r="X494" s="79"/>
      <c r="AA494" s="130"/>
      <c r="AC494" s="106"/>
    </row>
    <row r="495">
      <c r="C495" s="79"/>
      <c r="D495" s="79"/>
      <c r="E495" s="79"/>
      <c r="N495" s="79"/>
      <c r="S495" s="79"/>
      <c r="T495" s="79"/>
      <c r="W495" s="79"/>
      <c r="X495" s="79"/>
      <c r="AA495" s="130"/>
      <c r="AC495" s="106"/>
    </row>
    <row r="496">
      <c r="C496" s="79"/>
      <c r="D496" s="79"/>
      <c r="E496" s="79"/>
      <c r="N496" s="79"/>
      <c r="S496" s="79"/>
      <c r="T496" s="79"/>
      <c r="W496" s="79"/>
      <c r="X496" s="79"/>
      <c r="AA496" s="130"/>
      <c r="AC496" s="106"/>
    </row>
    <row r="497">
      <c r="C497" s="79"/>
      <c r="D497" s="79"/>
      <c r="E497" s="79"/>
      <c r="N497" s="79"/>
      <c r="S497" s="79"/>
      <c r="T497" s="79"/>
      <c r="W497" s="79"/>
      <c r="X497" s="79"/>
      <c r="AA497" s="130"/>
      <c r="AC497" s="106"/>
    </row>
    <row r="498">
      <c r="C498" s="79"/>
      <c r="D498" s="79"/>
      <c r="E498" s="79"/>
      <c r="N498" s="79"/>
      <c r="S498" s="79"/>
      <c r="T498" s="79"/>
      <c r="W498" s="79"/>
      <c r="X498" s="79"/>
      <c r="AA498" s="130"/>
      <c r="AC498" s="106"/>
    </row>
    <row r="499">
      <c r="C499" s="79"/>
      <c r="D499" s="79"/>
      <c r="E499" s="79"/>
      <c r="N499" s="79"/>
      <c r="S499" s="79"/>
      <c r="T499" s="79"/>
      <c r="W499" s="79"/>
      <c r="X499" s="79"/>
      <c r="AA499" s="130"/>
      <c r="AC499" s="106"/>
    </row>
    <row r="500">
      <c r="C500" s="79"/>
      <c r="D500" s="79"/>
      <c r="E500" s="79"/>
      <c r="N500" s="79"/>
      <c r="S500" s="79"/>
      <c r="T500" s="79"/>
      <c r="W500" s="79"/>
      <c r="X500" s="79"/>
      <c r="AA500" s="130"/>
      <c r="AC500" s="106"/>
    </row>
    <row r="501">
      <c r="C501" s="79"/>
      <c r="D501" s="79"/>
      <c r="E501" s="79"/>
      <c r="N501" s="79"/>
      <c r="S501" s="79"/>
      <c r="T501" s="79"/>
      <c r="W501" s="79"/>
      <c r="X501" s="79"/>
      <c r="AA501" s="130"/>
      <c r="AC501" s="106"/>
    </row>
    <row r="502">
      <c r="C502" s="79"/>
      <c r="D502" s="79"/>
      <c r="E502" s="79"/>
      <c r="N502" s="79"/>
      <c r="S502" s="79"/>
      <c r="T502" s="79"/>
      <c r="W502" s="79"/>
      <c r="X502" s="79"/>
      <c r="AA502" s="130"/>
      <c r="AC502" s="106"/>
    </row>
    <row r="503">
      <c r="C503" s="79"/>
      <c r="D503" s="79"/>
      <c r="E503" s="79"/>
      <c r="N503" s="79"/>
      <c r="S503" s="79"/>
      <c r="T503" s="79"/>
      <c r="W503" s="79"/>
      <c r="X503" s="79"/>
      <c r="AA503" s="130"/>
      <c r="AC503" s="106"/>
    </row>
    <row r="504">
      <c r="C504" s="79"/>
      <c r="D504" s="79"/>
      <c r="E504" s="79"/>
      <c r="N504" s="79"/>
      <c r="S504" s="79"/>
      <c r="T504" s="79"/>
      <c r="W504" s="79"/>
      <c r="X504" s="79"/>
      <c r="AA504" s="130"/>
      <c r="AC504" s="106"/>
    </row>
    <row r="505">
      <c r="C505" s="79"/>
      <c r="D505" s="79"/>
      <c r="E505" s="79"/>
      <c r="N505" s="79"/>
      <c r="S505" s="79"/>
      <c r="T505" s="79"/>
      <c r="W505" s="79"/>
      <c r="X505" s="79"/>
      <c r="AA505" s="130"/>
      <c r="AC505" s="106"/>
    </row>
    <row r="506">
      <c r="C506" s="79"/>
      <c r="D506" s="79"/>
      <c r="E506" s="79"/>
      <c r="N506" s="79"/>
      <c r="S506" s="79"/>
      <c r="T506" s="79"/>
      <c r="W506" s="79"/>
      <c r="X506" s="79"/>
      <c r="AA506" s="130"/>
      <c r="AC506" s="106"/>
    </row>
    <row r="507">
      <c r="C507" s="79"/>
      <c r="D507" s="79"/>
      <c r="E507" s="79"/>
      <c r="N507" s="79"/>
      <c r="S507" s="79"/>
      <c r="T507" s="79"/>
      <c r="W507" s="79"/>
      <c r="X507" s="79"/>
      <c r="AA507" s="130"/>
      <c r="AC507" s="106"/>
    </row>
    <row r="508">
      <c r="C508" s="79"/>
      <c r="D508" s="79"/>
      <c r="E508" s="79"/>
      <c r="N508" s="79"/>
      <c r="S508" s="79"/>
      <c r="T508" s="79"/>
      <c r="W508" s="79"/>
      <c r="X508" s="79"/>
      <c r="AA508" s="130"/>
      <c r="AC508" s="106"/>
    </row>
    <row r="509">
      <c r="C509" s="79"/>
      <c r="D509" s="79"/>
      <c r="E509" s="79"/>
      <c r="N509" s="79"/>
      <c r="S509" s="79"/>
      <c r="T509" s="79"/>
      <c r="W509" s="79"/>
      <c r="X509" s="79"/>
      <c r="AA509" s="130"/>
      <c r="AC509" s="106"/>
    </row>
    <row r="510">
      <c r="C510" s="79"/>
      <c r="D510" s="79"/>
      <c r="E510" s="79"/>
      <c r="N510" s="79"/>
      <c r="S510" s="79"/>
      <c r="T510" s="79"/>
      <c r="W510" s="79"/>
      <c r="X510" s="79"/>
      <c r="AA510" s="130"/>
      <c r="AC510" s="106"/>
    </row>
    <row r="511">
      <c r="C511" s="79"/>
      <c r="D511" s="79"/>
      <c r="E511" s="79"/>
      <c r="N511" s="79"/>
      <c r="S511" s="79"/>
      <c r="T511" s="79"/>
      <c r="W511" s="79"/>
      <c r="X511" s="79"/>
      <c r="AA511" s="130"/>
      <c r="AC511" s="106"/>
    </row>
    <row r="512">
      <c r="C512" s="79"/>
      <c r="D512" s="79"/>
      <c r="E512" s="79"/>
      <c r="N512" s="79"/>
      <c r="S512" s="79"/>
      <c r="T512" s="79"/>
      <c r="W512" s="79"/>
      <c r="X512" s="79"/>
      <c r="AA512" s="130"/>
      <c r="AC512" s="106"/>
    </row>
    <row r="513">
      <c r="C513" s="79"/>
      <c r="D513" s="79"/>
      <c r="E513" s="79"/>
      <c r="N513" s="79"/>
      <c r="S513" s="79"/>
      <c r="T513" s="79"/>
      <c r="W513" s="79"/>
      <c r="X513" s="79"/>
      <c r="AA513" s="130"/>
      <c r="AC513" s="106"/>
    </row>
    <row r="514">
      <c r="C514" s="79"/>
      <c r="D514" s="79"/>
      <c r="E514" s="79"/>
      <c r="N514" s="79"/>
      <c r="S514" s="79"/>
      <c r="T514" s="79"/>
      <c r="W514" s="79"/>
      <c r="X514" s="79"/>
      <c r="AA514" s="130"/>
      <c r="AC514" s="106"/>
    </row>
    <row r="515">
      <c r="C515" s="79"/>
      <c r="D515" s="79"/>
      <c r="E515" s="79"/>
      <c r="N515" s="79"/>
      <c r="S515" s="79"/>
      <c r="T515" s="79"/>
      <c r="W515" s="79"/>
      <c r="X515" s="79"/>
      <c r="AA515" s="130"/>
      <c r="AC515" s="106"/>
    </row>
    <row r="516">
      <c r="C516" s="79"/>
      <c r="D516" s="79"/>
      <c r="E516" s="79"/>
      <c r="N516" s="79"/>
      <c r="S516" s="79"/>
      <c r="T516" s="79"/>
      <c r="W516" s="79"/>
      <c r="X516" s="79"/>
      <c r="AA516" s="130"/>
      <c r="AC516" s="106"/>
    </row>
    <row r="517">
      <c r="C517" s="79"/>
      <c r="D517" s="79"/>
      <c r="E517" s="79"/>
      <c r="N517" s="79"/>
      <c r="S517" s="79"/>
      <c r="T517" s="79"/>
      <c r="W517" s="79"/>
      <c r="X517" s="79"/>
      <c r="AA517" s="130"/>
      <c r="AC517" s="106"/>
    </row>
    <row r="518">
      <c r="C518" s="79"/>
      <c r="D518" s="79"/>
      <c r="E518" s="79"/>
      <c r="N518" s="79"/>
      <c r="S518" s="79"/>
      <c r="T518" s="79"/>
      <c r="W518" s="79"/>
      <c r="X518" s="79"/>
      <c r="AA518" s="130"/>
      <c r="AC518" s="106"/>
    </row>
    <row r="519">
      <c r="C519" s="79"/>
      <c r="D519" s="79"/>
      <c r="E519" s="79"/>
      <c r="N519" s="79"/>
      <c r="S519" s="79"/>
      <c r="T519" s="79"/>
      <c r="W519" s="79"/>
      <c r="X519" s="79"/>
      <c r="AA519" s="130"/>
      <c r="AC519" s="106"/>
    </row>
    <row r="520">
      <c r="C520" s="79"/>
      <c r="D520" s="79"/>
      <c r="E520" s="79"/>
      <c r="N520" s="79"/>
      <c r="S520" s="79"/>
      <c r="T520" s="79"/>
      <c r="W520" s="79"/>
      <c r="X520" s="79"/>
      <c r="AA520" s="130"/>
      <c r="AC520" s="106"/>
    </row>
    <row r="521">
      <c r="C521" s="79"/>
      <c r="D521" s="79"/>
      <c r="E521" s="79"/>
      <c r="N521" s="79"/>
      <c r="S521" s="79"/>
      <c r="T521" s="79"/>
      <c r="W521" s="79"/>
      <c r="X521" s="79"/>
      <c r="AA521" s="130"/>
      <c r="AC521" s="106"/>
    </row>
    <row r="522">
      <c r="C522" s="79"/>
      <c r="D522" s="79"/>
      <c r="E522" s="79"/>
      <c r="N522" s="79"/>
      <c r="S522" s="79"/>
      <c r="T522" s="79"/>
      <c r="W522" s="79"/>
      <c r="X522" s="79"/>
      <c r="AA522" s="130"/>
      <c r="AC522" s="106"/>
    </row>
    <row r="523">
      <c r="C523" s="79"/>
      <c r="D523" s="79"/>
      <c r="E523" s="79"/>
      <c r="N523" s="79"/>
      <c r="S523" s="79"/>
      <c r="T523" s="79"/>
      <c r="W523" s="79"/>
      <c r="X523" s="79"/>
      <c r="AA523" s="130"/>
      <c r="AC523" s="106"/>
    </row>
    <row r="524">
      <c r="C524" s="79"/>
      <c r="D524" s="79"/>
      <c r="E524" s="79"/>
      <c r="N524" s="79"/>
      <c r="S524" s="79"/>
      <c r="T524" s="79"/>
      <c r="W524" s="79"/>
      <c r="X524" s="79"/>
      <c r="AA524" s="130"/>
      <c r="AC524" s="106"/>
    </row>
    <row r="525">
      <c r="C525" s="79"/>
      <c r="D525" s="79"/>
      <c r="E525" s="79"/>
      <c r="N525" s="79"/>
      <c r="S525" s="79"/>
      <c r="T525" s="79"/>
      <c r="W525" s="79"/>
      <c r="X525" s="79"/>
      <c r="AA525" s="130"/>
      <c r="AC525" s="106"/>
    </row>
    <row r="526">
      <c r="C526" s="79"/>
      <c r="D526" s="79"/>
      <c r="E526" s="79"/>
      <c r="N526" s="79"/>
      <c r="S526" s="79"/>
      <c r="T526" s="79"/>
      <c r="W526" s="79"/>
      <c r="X526" s="79"/>
      <c r="AA526" s="130"/>
      <c r="AC526" s="106"/>
    </row>
    <row r="527">
      <c r="C527" s="79"/>
      <c r="D527" s="79"/>
      <c r="E527" s="79"/>
      <c r="N527" s="79"/>
      <c r="S527" s="79"/>
      <c r="T527" s="79"/>
      <c r="W527" s="79"/>
      <c r="X527" s="79"/>
      <c r="AA527" s="130"/>
      <c r="AC527" s="106"/>
    </row>
    <row r="528">
      <c r="C528" s="79"/>
      <c r="D528" s="79"/>
      <c r="E528" s="79"/>
      <c r="N528" s="79"/>
      <c r="S528" s="79"/>
      <c r="T528" s="79"/>
      <c r="W528" s="79"/>
      <c r="X528" s="79"/>
      <c r="AA528" s="130"/>
      <c r="AC528" s="106"/>
    </row>
    <row r="529">
      <c r="C529" s="79"/>
      <c r="D529" s="79"/>
      <c r="E529" s="79"/>
      <c r="N529" s="79"/>
      <c r="S529" s="79"/>
      <c r="T529" s="79"/>
      <c r="W529" s="79"/>
      <c r="X529" s="79"/>
      <c r="AA529" s="130"/>
      <c r="AC529" s="106"/>
    </row>
    <row r="530">
      <c r="C530" s="79"/>
      <c r="D530" s="79"/>
      <c r="E530" s="79"/>
      <c r="N530" s="79"/>
      <c r="S530" s="79"/>
      <c r="T530" s="79"/>
      <c r="W530" s="79"/>
      <c r="X530" s="79"/>
      <c r="AA530" s="130"/>
      <c r="AC530" s="106"/>
    </row>
    <row r="531">
      <c r="C531" s="79"/>
      <c r="D531" s="79"/>
      <c r="E531" s="79"/>
      <c r="N531" s="79"/>
      <c r="S531" s="79"/>
      <c r="T531" s="79"/>
      <c r="W531" s="79"/>
      <c r="X531" s="79"/>
      <c r="AA531" s="130"/>
      <c r="AC531" s="106"/>
    </row>
    <row r="532">
      <c r="C532" s="79"/>
      <c r="D532" s="79"/>
      <c r="E532" s="79"/>
      <c r="N532" s="79"/>
      <c r="S532" s="79"/>
      <c r="T532" s="79"/>
      <c r="W532" s="79"/>
      <c r="X532" s="79"/>
      <c r="AA532" s="130"/>
      <c r="AC532" s="106"/>
    </row>
    <row r="533">
      <c r="C533" s="79"/>
      <c r="D533" s="79"/>
      <c r="E533" s="79"/>
      <c r="N533" s="79"/>
      <c r="S533" s="79"/>
      <c r="T533" s="79"/>
      <c r="W533" s="79"/>
      <c r="X533" s="79"/>
      <c r="AA533" s="130"/>
      <c r="AC533" s="106"/>
    </row>
    <row r="534">
      <c r="C534" s="79"/>
      <c r="D534" s="79"/>
      <c r="E534" s="79"/>
      <c r="N534" s="79"/>
      <c r="S534" s="79"/>
      <c r="T534" s="79"/>
      <c r="W534" s="79"/>
      <c r="X534" s="79"/>
      <c r="AA534" s="130"/>
      <c r="AC534" s="106"/>
    </row>
    <row r="535">
      <c r="C535" s="79"/>
      <c r="D535" s="79"/>
      <c r="E535" s="79"/>
      <c r="N535" s="79"/>
      <c r="S535" s="79"/>
      <c r="T535" s="79"/>
      <c r="W535" s="79"/>
      <c r="X535" s="79"/>
      <c r="AA535" s="130"/>
      <c r="AC535" s="106"/>
    </row>
    <row r="536">
      <c r="C536" s="79"/>
      <c r="D536" s="79"/>
      <c r="E536" s="79"/>
      <c r="N536" s="79"/>
      <c r="S536" s="79"/>
      <c r="T536" s="79"/>
      <c r="W536" s="79"/>
      <c r="X536" s="79"/>
      <c r="AA536" s="130"/>
      <c r="AC536" s="106"/>
    </row>
    <row r="537">
      <c r="C537" s="79"/>
      <c r="D537" s="79"/>
      <c r="E537" s="79"/>
      <c r="N537" s="79"/>
      <c r="S537" s="79"/>
      <c r="T537" s="79"/>
      <c r="W537" s="79"/>
      <c r="X537" s="79"/>
      <c r="AA537" s="130"/>
      <c r="AC537" s="106"/>
    </row>
    <row r="538">
      <c r="C538" s="79"/>
      <c r="D538" s="79"/>
      <c r="E538" s="79"/>
      <c r="N538" s="79"/>
      <c r="S538" s="79"/>
      <c r="T538" s="79"/>
      <c r="W538" s="79"/>
      <c r="X538" s="79"/>
      <c r="AA538" s="130"/>
      <c r="AC538" s="106"/>
    </row>
    <row r="539">
      <c r="C539" s="79"/>
      <c r="D539" s="79"/>
      <c r="E539" s="79"/>
      <c r="N539" s="79"/>
      <c r="S539" s="79"/>
      <c r="T539" s="79"/>
      <c r="W539" s="79"/>
      <c r="X539" s="79"/>
      <c r="AA539" s="130"/>
      <c r="AC539" s="106"/>
    </row>
    <row r="540">
      <c r="C540" s="79"/>
      <c r="D540" s="79"/>
      <c r="E540" s="79"/>
      <c r="N540" s="79"/>
      <c r="S540" s="79"/>
      <c r="T540" s="79"/>
      <c r="W540" s="79"/>
      <c r="X540" s="79"/>
      <c r="AA540" s="130"/>
      <c r="AC540" s="106"/>
    </row>
    <row r="541">
      <c r="C541" s="79"/>
      <c r="D541" s="79"/>
      <c r="E541" s="79"/>
      <c r="N541" s="79"/>
      <c r="S541" s="79"/>
      <c r="T541" s="79"/>
      <c r="W541" s="79"/>
      <c r="X541" s="79"/>
      <c r="AA541" s="130"/>
      <c r="AC541" s="106"/>
    </row>
    <row r="542">
      <c r="C542" s="79"/>
      <c r="D542" s="79"/>
      <c r="E542" s="79"/>
      <c r="N542" s="79"/>
      <c r="S542" s="79"/>
      <c r="T542" s="79"/>
      <c r="W542" s="79"/>
      <c r="X542" s="79"/>
      <c r="AA542" s="130"/>
      <c r="AC542" s="106"/>
    </row>
    <row r="543">
      <c r="C543" s="79"/>
      <c r="D543" s="79"/>
      <c r="E543" s="79"/>
      <c r="N543" s="79"/>
      <c r="S543" s="79"/>
      <c r="T543" s="79"/>
      <c r="W543" s="79"/>
      <c r="X543" s="79"/>
      <c r="AA543" s="130"/>
      <c r="AC543" s="106"/>
    </row>
    <row r="544">
      <c r="C544" s="79"/>
      <c r="D544" s="79"/>
      <c r="E544" s="79"/>
      <c r="N544" s="79"/>
      <c r="S544" s="79"/>
      <c r="T544" s="79"/>
      <c r="W544" s="79"/>
      <c r="X544" s="79"/>
      <c r="AA544" s="130"/>
      <c r="AC544" s="106"/>
    </row>
    <row r="545">
      <c r="C545" s="79"/>
      <c r="D545" s="79"/>
      <c r="E545" s="79"/>
      <c r="N545" s="79"/>
      <c r="S545" s="79"/>
      <c r="T545" s="79"/>
      <c r="W545" s="79"/>
      <c r="X545" s="79"/>
      <c r="AA545" s="130"/>
      <c r="AC545" s="106"/>
    </row>
    <row r="546">
      <c r="C546" s="79"/>
      <c r="D546" s="79"/>
      <c r="E546" s="79"/>
      <c r="N546" s="79"/>
      <c r="S546" s="79"/>
      <c r="T546" s="79"/>
      <c r="W546" s="79"/>
      <c r="X546" s="79"/>
      <c r="AA546" s="130"/>
      <c r="AC546" s="106"/>
    </row>
    <row r="547">
      <c r="C547" s="79"/>
      <c r="D547" s="79"/>
      <c r="E547" s="79"/>
      <c r="N547" s="79"/>
      <c r="S547" s="79"/>
      <c r="T547" s="79"/>
      <c r="W547" s="79"/>
      <c r="X547" s="79"/>
      <c r="AA547" s="130"/>
      <c r="AC547" s="106"/>
    </row>
    <row r="548">
      <c r="C548" s="79"/>
      <c r="D548" s="79"/>
      <c r="E548" s="79"/>
      <c r="N548" s="79"/>
      <c r="S548" s="79"/>
      <c r="T548" s="79"/>
      <c r="W548" s="79"/>
      <c r="X548" s="79"/>
      <c r="AA548" s="130"/>
      <c r="AC548" s="106"/>
    </row>
    <row r="549">
      <c r="C549" s="79"/>
      <c r="D549" s="79"/>
      <c r="E549" s="79"/>
      <c r="N549" s="79"/>
      <c r="S549" s="79"/>
      <c r="T549" s="79"/>
      <c r="W549" s="79"/>
      <c r="X549" s="79"/>
      <c r="AA549" s="130"/>
      <c r="AC549" s="106"/>
    </row>
    <row r="550">
      <c r="C550" s="79"/>
      <c r="D550" s="79"/>
      <c r="E550" s="79"/>
      <c r="N550" s="79"/>
      <c r="S550" s="79"/>
      <c r="T550" s="79"/>
      <c r="W550" s="79"/>
      <c r="X550" s="79"/>
      <c r="AA550" s="130"/>
      <c r="AC550" s="106"/>
    </row>
    <row r="551">
      <c r="C551" s="79"/>
      <c r="D551" s="79"/>
      <c r="E551" s="79"/>
      <c r="N551" s="79"/>
      <c r="S551" s="79"/>
      <c r="T551" s="79"/>
      <c r="W551" s="79"/>
      <c r="X551" s="79"/>
      <c r="AA551" s="130"/>
      <c r="AC551" s="106"/>
    </row>
    <row r="552">
      <c r="C552" s="79"/>
      <c r="D552" s="79"/>
      <c r="E552" s="79"/>
      <c r="N552" s="79"/>
      <c r="S552" s="79"/>
      <c r="T552" s="79"/>
      <c r="W552" s="79"/>
      <c r="X552" s="79"/>
      <c r="AA552" s="130"/>
      <c r="AC552" s="106"/>
    </row>
    <row r="553">
      <c r="C553" s="79"/>
      <c r="D553" s="79"/>
      <c r="E553" s="79"/>
      <c r="N553" s="79"/>
      <c r="S553" s="79"/>
      <c r="T553" s="79"/>
      <c r="W553" s="79"/>
      <c r="X553" s="79"/>
      <c r="AA553" s="130"/>
      <c r="AC553" s="106"/>
    </row>
    <row r="554">
      <c r="C554" s="79"/>
      <c r="D554" s="79"/>
      <c r="E554" s="79"/>
      <c r="N554" s="79"/>
      <c r="S554" s="79"/>
      <c r="T554" s="79"/>
      <c r="W554" s="79"/>
      <c r="X554" s="79"/>
      <c r="AA554" s="130"/>
      <c r="AC554" s="106"/>
    </row>
    <row r="555">
      <c r="C555" s="79"/>
      <c r="D555" s="79"/>
      <c r="E555" s="79"/>
      <c r="N555" s="79"/>
      <c r="S555" s="79"/>
      <c r="T555" s="79"/>
      <c r="W555" s="79"/>
      <c r="X555" s="79"/>
      <c r="AA555" s="130"/>
      <c r="AC555" s="106"/>
    </row>
    <row r="556">
      <c r="C556" s="79"/>
      <c r="D556" s="79"/>
      <c r="E556" s="79"/>
      <c r="N556" s="79"/>
      <c r="S556" s="79"/>
      <c r="T556" s="79"/>
      <c r="W556" s="79"/>
      <c r="X556" s="79"/>
      <c r="AA556" s="130"/>
      <c r="AC556" s="106"/>
    </row>
    <row r="557">
      <c r="C557" s="79"/>
      <c r="D557" s="79"/>
      <c r="E557" s="79"/>
      <c r="N557" s="79"/>
      <c r="S557" s="79"/>
      <c r="T557" s="79"/>
      <c r="W557" s="79"/>
      <c r="X557" s="79"/>
      <c r="AA557" s="130"/>
      <c r="AC557" s="106"/>
    </row>
    <row r="558">
      <c r="C558" s="79"/>
      <c r="D558" s="79"/>
      <c r="E558" s="79"/>
      <c r="N558" s="79"/>
      <c r="S558" s="79"/>
      <c r="T558" s="79"/>
      <c r="W558" s="79"/>
      <c r="X558" s="79"/>
      <c r="AA558" s="130"/>
      <c r="AC558" s="106"/>
    </row>
    <row r="559">
      <c r="C559" s="79"/>
      <c r="D559" s="79"/>
      <c r="E559" s="79"/>
      <c r="N559" s="79"/>
      <c r="S559" s="79"/>
      <c r="T559" s="79"/>
      <c r="W559" s="79"/>
      <c r="X559" s="79"/>
      <c r="AA559" s="130"/>
      <c r="AC559" s="106"/>
    </row>
    <row r="560">
      <c r="C560" s="79"/>
      <c r="D560" s="79"/>
      <c r="E560" s="79"/>
      <c r="N560" s="79"/>
      <c r="S560" s="79"/>
      <c r="T560" s="79"/>
      <c r="W560" s="79"/>
      <c r="X560" s="79"/>
      <c r="AA560" s="130"/>
      <c r="AC560" s="106"/>
    </row>
    <row r="561">
      <c r="C561" s="79"/>
      <c r="D561" s="79"/>
      <c r="E561" s="79"/>
      <c r="N561" s="79"/>
      <c r="S561" s="79"/>
      <c r="T561" s="79"/>
      <c r="W561" s="79"/>
      <c r="X561" s="79"/>
      <c r="AA561" s="130"/>
      <c r="AC561" s="106"/>
    </row>
    <row r="562">
      <c r="C562" s="79"/>
      <c r="D562" s="79"/>
      <c r="E562" s="79"/>
      <c r="N562" s="79"/>
      <c r="S562" s="79"/>
      <c r="T562" s="79"/>
      <c r="W562" s="79"/>
      <c r="X562" s="79"/>
      <c r="AA562" s="130"/>
      <c r="AC562" s="106"/>
    </row>
    <row r="563">
      <c r="C563" s="79"/>
      <c r="D563" s="79"/>
      <c r="E563" s="79"/>
      <c r="N563" s="79"/>
      <c r="S563" s="79"/>
      <c r="T563" s="79"/>
      <c r="W563" s="79"/>
      <c r="X563" s="79"/>
      <c r="AA563" s="130"/>
      <c r="AC563" s="106"/>
    </row>
    <row r="564">
      <c r="C564" s="79"/>
      <c r="D564" s="79"/>
      <c r="E564" s="79"/>
      <c r="N564" s="79"/>
      <c r="S564" s="79"/>
      <c r="T564" s="79"/>
      <c r="W564" s="79"/>
      <c r="X564" s="79"/>
      <c r="AA564" s="130"/>
      <c r="AC564" s="106"/>
    </row>
    <row r="565">
      <c r="C565" s="79"/>
      <c r="D565" s="79"/>
      <c r="E565" s="79"/>
      <c r="N565" s="79"/>
      <c r="S565" s="79"/>
      <c r="T565" s="79"/>
      <c r="W565" s="79"/>
      <c r="X565" s="79"/>
      <c r="AA565" s="130"/>
      <c r="AC565" s="106"/>
    </row>
    <row r="566">
      <c r="C566" s="79"/>
      <c r="D566" s="79"/>
      <c r="E566" s="79"/>
      <c r="N566" s="79"/>
      <c r="S566" s="79"/>
      <c r="T566" s="79"/>
      <c r="W566" s="79"/>
      <c r="X566" s="79"/>
      <c r="AA566" s="130"/>
      <c r="AC566" s="106"/>
    </row>
    <row r="567">
      <c r="C567" s="79"/>
      <c r="D567" s="79"/>
      <c r="E567" s="79"/>
      <c r="N567" s="79"/>
      <c r="S567" s="79"/>
      <c r="T567" s="79"/>
      <c r="W567" s="79"/>
      <c r="X567" s="79"/>
      <c r="AA567" s="130"/>
      <c r="AC567" s="106"/>
    </row>
    <row r="568">
      <c r="C568" s="79"/>
      <c r="D568" s="79"/>
      <c r="E568" s="79"/>
      <c r="N568" s="79"/>
      <c r="S568" s="79"/>
      <c r="T568" s="79"/>
      <c r="W568" s="79"/>
      <c r="X568" s="79"/>
      <c r="AA568" s="130"/>
      <c r="AC568" s="106"/>
    </row>
    <row r="569">
      <c r="C569" s="79"/>
      <c r="D569" s="79"/>
      <c r="E569" s="79"/>
      <c r="N569" s="79"/>
      <c r="S569" s="79"/>
      <c r="T569" s="79"/>
      <c r="W569" s="79"/>
      <c r="X569" s="79"/>
      <c r="AA569" s="130"/>
      <c r="AC569" s="106"/>
    </row>
    <row r="570">
      <c r="C570" s="79"/>
      <c r="D570" s="79"/>
      <c r="E570" s="79"/>
      <c r="N570" s="79"/>
      <c r="S570" s="79"/>
      <c r="T570" s="79"/>
      <c r="W570" s="79"/>
      <c r="X570" s="79"/>
      <c r="AA570" s="130"/>
      <c r="AC570" s="106"/>
    </row>
    <row r="571">
      <c r="C571" s="79"/>
      <c r="D571" s="79"/>
      <c r="E571" s="79"/>
      <c r="N571" s="79"/>
      <c r="S571" s="79"/>
      <c r="T571" s="79"/>
      <c r="W571" s="79"/>
      <c r="X571" s="79"/>
      <c r="AA571" s="130"/>
      <c r="AC571" s="106"/>
    </row>
    <row r="572">
      <c r="C572" s="79"/>
      <c r="D572" s="79"/>
      <c r="E572" s="79"/>
      <c r="N572" s="79"/>
      <c r="S572" s="79"/>
      <c r="T572" s="79"/>
      <c r="W572" s="79"/>
      <c r="X572" s="79"/>
      <c r="AA572" s="130"/>
      <c r="AC572" s="106"/>
    </row>
    <row r="573">
      <c r="C573" s="79"/>
      <c r="D573" s="79"/>
      <c r="E573" s="79"/>
      <c r="N573" s="79"/>
      <c r="S573" s="79"/>
      <c r="T573" s="79"/>
      <c r="W573" s="79"/>
      <c r="X573" s="79"/>
      <c r="AA573" s="130"/>
      <c r="AC573" s="106"/>
    </row>
    <row r="574">
      <c r="C574" s="79"/>
      <c r="D574" s="79"/>
      <c r="E574" s="79"/>
      <c r="N574" s="79"/>
      <c r="S574" s="79"/>
      <c r="T574" s="79"/>
      <c r="W574" s="79"/>
      <c r="X574" s="79"/>
      <c r="AA574" s="130"/>
      <c r="AC574" s="106"/>
    </row>
    <row r="575">
      <c r="C575" s="79"/>
      <c r="D575" s="79"/>
      <c r="E575" s="79"/>
      <c r="N575" s="79"/>
      <c r="S575" s="79"/>
      <c r="T575" s="79"/>
      <c r="W575" s="79"/>
      <c r="X575" s="79"/>
      <c r="AA575" s="130"/>
      <c r="AC575" s="106"/>
    </row>
    <row r="576">
      <c r="C576" s="79"/>
      <c r="D576" s="79"/>
      <c r="E576" s="79"/>
      <c r="N576" s="79"/>
      <c r="S576" s="79"/>
      <c r="T576" s="79"/>
      <c r="W576" s="79"/>
      <c r="X576" s="79"/>
      <c r="AA576" s="130"/>
      <c r="AC576" s="106"/>
    </row>
    <row r="577">
      <c r="C577" s="79"/>
      <c r="D577" s="79"/>
      <c r="E577" s="79"/>
      <c r="N577" s="79"/>
      <c r="S577" s="79"/>
      <c r="T577" s="79"/>
      <c r="W577" s="79"/>
      <c r="X577" s="79"/>
      <c r="AA577" s="130"/>
      <c r="AC577" s="106"/>
    </row>
    <row r="578">
      <c r="C578" s="79"/>
      <c r="D578" s="79"/>
      <c r="E578" s="79"/>
      <c r="N578" s="79"/>
      <c r="S578" s="79"/>
      <c r="T578" s="79"/>
      <c r="W578" s="79"/>
      <c r="X578" s="79"/>
      <c r="AA578" s="130"/>
      <c r="AC578" s="106"/>
    </row>
    <row r="579">
      <c r="C579" s="79"/>
      <c r="D579" s="79"/>
      <c r="E579" s="79"/>
      <c r="N579" s="79"/>
      <c r="S579" s="79"/>
      <c r="T579" s="79"/>
      <c r="W579" s="79"/>
      <c r="X579" s="79"/>
      <c r="AA579" s="130"/>
      <c r="AC579" s="106"/>
    </row>
    <row r="580">
      <c r="C580" s="79"/>
      <c r="D580" s="79"/>
      <c r="E580" s="79"/>
      <c r="N580" s="79"/>
      <c r="S580" s="79"/>
      <c r="T580" s="79"/>
      <c r="W580" s="79"/>
      <c r="X580" s="79"/>
      <c r="AA580" s="130"/>
      <c r="AC580" s="106"/>
    </row>
    <row r="581">
      <c r="C581" s="79"/>
      <c r="D581" s="79"/>
      <c r="E581" s="79"/>
      <c r="N581" s="79"/>
      <c r="S581" s="79"/>
      <c r="T581" s="79"/>
      <c r="W581" s="79"/>
      <c r="X581" s="79"/>
      <c r="AA581" s="130"/>
      <c r="AC581" s="106"/>
    </row>
    <row r="582">
      <c r="C582" s="79"/>
      <c r="D582" s="79"/>
      <c r="E582" s="79"/>
      <c r="N582" s="79"/>
      <c r="S582" s="79"/>
      <c r="T582" s="79"/>
      <c r="W582" s="79"/>
      <c r="X582" s="79"/>
      <c r="AA582" s="130"/>
      <c r="AC582" s="106"/>
    </row>
    <row r="583">
      <c r="C583" s="79"/>
      <c r="D583" s="79"/>
      <c r="E583" s="79"/>
      <c r="N583" s="79"/>
      <c r="S583" s="79"/>
      <c r="T583" s="79"/>
      <c r="W583" s="79"/>
      <c r="X583" s="79"/>
      <c r="AA583" s="130"/>
      <c r="AC583" s="106"/>
    </row>
    <row r="584">
      <c r="C584" s="79"/>
      <c r="D584" s="79"/>
      <c r="E584" s="79"/>
      <c r="N584" s="79"/>
      <c r="S584" s="79"/>
      <c r="T584" s="79"/>
      <c r="W584" s="79"/>
      <c r="X584" s="79"/>
      <c r="AA584" s="130"/>
      <c r="AC584" s="106"/>
    </row>
    <row r="585">
      <c r="C585" s="79"/>
      <c r="D585" s="79"/>
      <c r="E585" s="79"/>
      <c r="N585" s="79"/>
      <c r="S585" s="79"/>
      <c r="T585" s="79"/>
      <c r="W585" s="79"/>
      <c r="X585" s="79"/>
      <c r="AA585" s="130"/>
      <c r="AC585" s="106"/>
    </row>
    <row r="586">
      <c r="C586" s="79"/>
      <c r="D586" s="79"/>
      <c r="E586" s="79"/>
      <c r="N586" s="79"/>
      <c r="S586" s="79"/>
      <c r="T586" s="79"/>
      <c r="W586" s="79"/>
      <c r="X586" s="79"/>
      <c r="AA586" s="130"/>
      <c r="AC586" s="106"/>
    </row>
    <row r="587">
      <c r="C587" s="79"/>
      <c r="D587" s="79"/>
      <c r="E587" s="79"/>
      <c r="N587" s="79"/>
      <c r="S587" s="79"/>
      <c r="T587" s="79"/>
      <c r="W587" s="79"/>
      <c r="X587" s="79"/>
      <c r="AA587" s="130"/>
      <c r="AC587" s="106"/>
    </row>
    <row r="588">
      <c r="C588" s="79"/>
      <c r="D588" s="79"/>
      <c r="E588" s="79"/>
      <c r="N588" s="79"/>
      <c r="S588" s="79"/>
      <c r="T588" s="79"/>
      <c r="W588" s="79"/>
      <c r="X588" s="79"/>
      <c r="AA588" s="130"/>
      <c r="AC588" s="106"/>
    </row>
    <row r="589">
      <c r="C589" s="79"/>
      <c r="D589" s="79"/>
      <c r="E589" s="79"/>
      <c r="N589" s="79"/>
      <c r="S589" s="79"/>
      <c r="T589" s="79"/>
      <c r="W589" s="79"/>
      <c r="X589" s="79"/>
      <c r="AA589" s="130"/>
      <c r="AC589" s="106"/>
    </row>
    <row r="590">
      <c r="C590" s="79"/>
      <c r="D590" s="79"/>
      <c r="E590" s="79"/>
      <c r="N590" s="79"/>
      <c r="S590" s="79"/>
      <c r="T590" s="79"/>
      <c r="W590" s="79"/>
      <c r="X590" s="79"/>
      <c r="AA590" s="130"/>
      <c r="AC590" s="106"/>
    </row>
    <row r="591">
      <c r="C591" s="79"/>
      <c r="D591" s="79"/>
      <c r="E591" s="79"/>
      <c r="N591" s="79"/>
      <c r="S591" s="79"/>
      <c r="T591" s="79"/>
      <c r="W591" s="79"/>
      <c r="X591" s="79"/>
      <c r="AA591" s="130"/>
      <c r="AC591" s="106"/>
    </row>
    <row r="592">
      <c r="C592" s="79"/>
      <c r="D592" s="79"/>
      <c r="E592" s="79"/>
      <c r="N592" s="79"/>
      <c r="S592" s="79"/>
      <c r="T592" s="79"/>
      <c r="W592" s="79"/>
      <c r="X592" s="79"/>
      <c r="AA592" s="130"/>
      <c r="AC592" s="106"/>
    </row>
    <row r="593">
      <c r="C593" s="79"/>
      <c r="D593" s="79"/>
      <c r="E593" s="79"/>
      <c r="N593" s="79"/>
      <c r="S593" s="79"/>
      <c r="T593" s="79"/>
      <c r="W593" s="79"/>
      <c r="X593" s="79"/>
      <c r="AA593" s="130"/>
      <c r="AC593" s="106"/>
    </row>
    <row r="594">
      <c r="C594" s="79"/>
      <c r="D594" s="79"/>
      <c r="E594" s="79"/>
      <c r="N594" s="79"/>
      <c r="S594" s="79"/>
      <c r="T594" s="79"/>
      <c r="W594" s="79"/>
      <c r="X594" s="79"/>
      <c r="AA594" s="130"/>
      <c r="AC594" s="106"/>
    </row>
    <row r="595">
      <c r="C595" s="79"/>
      <c r="D595" s="79"/>
      <c r="E595" s="79"/>
      <c r="N595" s="79"/>
      <c r="S595" s="79"/>
      <c r="T595" s="79"/>
      <c r="W595" s="79"/>
      <c r="X595" s="79"/>
      <c r="AA595" s="130"/>
      <c r="AC595" s="106"/>
    </row>
    <row r="596">
      <c r="C596" s="79"/>
      <c r="D596" s="79"/>
      <c r="E596" s="79"/>
      <c r="N596" s="79"/>
      <c r="S596" s="79"/>
      <c r="T596" s="79"/>
      <c r="W596" s="79"/>
      <c r="X596" s="79"/>
      <c r="AA596" s="130"/>
      <c r="AC596" s="106"/>
    </row>
    <row r="597">
      <c r="C597" s="79"/>
      <c r="D597" s="79"/>
      <c r="E597" s="79"/>
      <c r="N597" s="79"/>
      <c r="S597" s="79"/>
      <c r="T597" s="79"/>
      <c r="W597" s="79"/>
      <c r="X597" s="79"/>
      <c r="AA597" s="130"/>
      <c r="AC597" s="106"/>
    </row>
    <row r="598">
      <c r="C598" s="79"/>
      <c r="D598" s="79"/>
      <c r="E598" s="79"/>
      <c r="N598" s="79"/>
      <c r="S598" s="79"/>
      <c r="T598" s="79"/>
      <c r="W598" s="79"/>
      <c r="X598" s="79"/>
      <c r="AA598" s="130"/>
      <c r="AC598" s="106"/>
    </row>
    <row r="599">
      <c r="C599" s="79"/>
      <c r="D599" s="79"/>
      <c r="E599" s="79"/>
      <c r="N599" s="79"/>
      <c r="S599" s="79"/>
      <c r="T599" s="79"/>
      <c r="W599" s="79"/>
      <c r="X599" s="79"/>
      <c r="AA599" s="130"/>
      <c r="AC599" s="106"/>
    </row>
    <row r="600">
      <c r="C600" s="79"/>
      <c r="D600" s="79"/>
      <c r="E600" s="79"/>
      <c r="N600" s="79"/>
      <c r="S600" s="79"/>
      <c r="T600" s="79"/>
      <c r="W600" s="79"/>
      <c r="X600" s="79"/>
      <c r="AA600" s="130"/>
      <c r="AC600" s="106"/>
    </row>
    <row r="601">
      <c r="C601" s="79"/>
      <c r="D601" s="79"/>
      <c r="E601" s="79"/>
      <c r="N601" s="79"/>
      <c r="S601" s="79"/>
      <c r="T601" s="79"/>
      <c r="W601" s="79"/>
      <c r="X601" s="79"/>
      <c r="AA601" s="130"/>
      <c r="AC601" s="106"/>
    </row>
    <row r="602">
      <c r="C602" s="79"/>
      <c r="D602" s="79"/>
      <c r="E602" s="79"/>
      <c r="N602" s="79"/>
      <c r="S602" s="79"/>
      <c r="T602" s="79"/>
      <c r="W602" s="79"/>
      <c r="X602" s="79"/>
      <c r="AA602" s="130"/>
      <c r="AC602" s="106"/>
    </row>
    <row r="603">
      <c r="C603" s="79"/>
      <c r="D603" s="79"/>
      <c r="E603" s="79"/>
      <c r="N603" s="79"/>
      <c r="S603" s="79"/>
      <c r="T603" s="79"/>
      <c r="W603" s="79"/>
      <c r="X603" s="79"/>
      <c r="AA603" s="130"/>
      <c r="AC603" s="106"/>
    </row>
    <row r="604">
      <c r="C604" s="79"/>
      <c r="D604" s="79"/>
      <c r="E604" s="79"/>
      <c r="N604" s="79"/>
      <c r="S604" s="79"/>
      <c r="T604" s="79"/>
      <c r="W604" s="79"/>
      <c r="X604" s="79"/>
      <c r="AA604" s="130"/>
      <c r="AC604" s="106"/>
    </row>
    <row r="605">
      <c r="C605" s="79"/>
      <c r="D605" s="79"/>
      <c r="E605" s="79"/>
      <c r="N605" s="79"/>
      <c r="S605" s="79"/>
      <c r="T605" s="79"/>
      <c r="W605" s="79"/>
      <c r="X605" s="79"/>
      <c r="AA605" s="130"/>
      <c r="AC605" s="106"/>
    </row>
    <row r="606">
      <c r="C606" s="79"/>
      <c r="D606" s="79"/>
      <c r="E606" s="79"/>
      <c r="N606" s="79"/>
      <c r="S606" s="79"/>
      <c r="T606" s="79"/>
      <c r="W606" s="79"/>
      <c r="X606" s="79"/>
      <c r="AA606" s="130"/>
      <c r="AC606" s="106"/>
    </row>
    <row r="607">
      <c r="C607" s="79"/>
      <c r="D607" s="79"/>
      <c r="E607" s="79"/>
      <c r="N607" s="79"/>
      <c r="S607" s="79"/>
      <c r="T607" s="79"/>
      <c r="W607" s="79"/>
      <c r="X607" s="79"/>
      <c r="AA607" s="130"/>
      <c r="AC607" s="106"/>
    </row>
    <row r="608">
      <c r="C608" s="79"/>
      <c r="D608" s="79"/>
      <c r="E608" s="79"/>
      <c r="N608" s="79"/>
      <c r="S608" s="79"/>
      <c r="T608" s="79"/>
      <c r="W608" s="79"/>
      <c r="X608" s="79"/>
      <c r="AA608" s="130"/>
      <c r="AC608" s="106"/>
    </row>
    <row r="609">
      <c r="C609" s="79"/>
      <c r="D609" s="79"/>
      <c r="E609" s="79"/>
      <c r="N609" s="79"/>
      <c r="S609" s="79"/>
      <c r="T609" s="79"/>
      <c r="W609" s="79"/>
      <c r="X609" s="79"/>
      <c r="AA609" s="130"/>
      <c r="AC609" s="106"/>
    </row>
    <row r="610">
      <c r="C610" s="79"/>
      <c r="D610" s="79"/>
      <c r="E610" s="79"/>
      <c r="N610" s="79"/>
      <c r="S610" s="79"/>
      <c r="T610" s="79"/>
      <c r="W610" s="79"/>
      <c r="X610" s="79"/>
      <c r="AA610" s="130"/>
      <c r="AC610" s="106"/>
    </row>
    <row r="611">
      <c r="C611" s="79"/>
      <c r="D611" s="79"/>
      <c r="E611" s="79"/>
      <c r="N611" s="79"/>
      <c r="S611" s="79"/>
      <c r="T611" s="79"/>
      <c r="W611" s="79"/>
      <c r="X611" s="79"/>
      <c r="AA611" s="130"/>
      <c r="AC611" s="106"/>
    </row>
    <row r="612">
      <c r="C612" s="79"/>
      <c r="D612" s="79"/>
      <c r="E612" s="79"/>
      <c r="N612" s="79"/>
      <c r="S612" s="79"/>
      <c r="T612" s="79"/>
      <c r="W612" s="79"/>
      <c r="X612" s="79"/>
      <c r="AA612" s="130"/>
      <c r="AC612" s="106"/>
    </row>
    <row r="613">
      <c r="C613" s="79"/>
      <c r="D613" s="79"/>
      <c r="E613" s="79"/>
      <c r="N613" s="79"/>
      <c r="S613" s="79"/>
      <c r="T613" s="79"/>
      <c r="W613" s="79"/>
      <c r="X613" s="79"/>
      <c r="AA613" s="130"/>
      <c r="AC613" s="106"/>
    </row>
    <row r="614">
      <c r="C614" s="79"/>
      <c r="D614" s="79"/>
      <c r="E614" s="79"/>
      <c r="N614" s="79"/>
      <c r="S614" s="79"/>
      <c r="T614" s="79"/>
      <c r="W614" s="79"/>
      <c r="X614" s="79"/>
      <c r="AA614" s="130"/>
      <c r="AC614" s="106"/>
    </row>
    <row r="615">
      <c r="C615" s="79"/>
      <c r="D615" s="79"/>
      <c r="E615" s="79"/>
      <c r="N615" s="79"/>
      <c r="S615" s="79"/>
      <c r="T615" s="79"/>
      <c r="W615" s="79"/>
      <c r="X615" s="79"/>
      <c r="AA615" s="130"/>
      <c r="AC615" s="106"/>
    </row>
    <row r="616">
      <c r="C616" s="79"/>
      <c r="D616" s="79"/>
      <c r="E616" s="79"/>
      <c r="N616" s="79"/>
      <c r="S616" s="79"/>
      <c r="T616" s="79"/>
      <c r="W616" s="79"/>
      <c r="X616" s="79"/>
      <c r="AA616" s="130"/>
      <c r="AC616" s="106"/>
    </row>
    <row r="617">
      <c r="C617" s="79"/>
      <c r="D617" s="79"/>
      <c r="E617" s="79"/>
      <c r="N617" s="79"/>
      <c r="S617" s="79"/>
      <c r="T617" s="79"/>
      <c r="W617" s="79"/>
      <c r="X617" s="79"/>
      <c r="AA617" s="130"/>
      <c r="AC617" s="106"/>
    </row>
    <row r="618">
      <c r="C618" s="79"/>
      <c r="D618" s="79"/>
      <c r="E618" s="79"/>
      <c r="N618" s="79"/>
      <c r="S618" s="79"/>
      <c r="T618" s="79"/>
      <c r="W618" s="79"/>
      <c r="X618" s="79"/>
      <c r="AA618" s="130"/>
      <c r="AC618" s="106"/>
    </row>
    <row r="619">
      <c r="C619" s="79"/>
      <c r="D619" s="79"/>
      <c r="E619" s="79"/>
      <c r="N619" s="79"/>
      <c r="S619" s="79"/>
      <c r="T619" s="79"/>
      <c r="W619" s="79"/>
      <c r="X619" s="79"/>
      <c r="AA619" s="130"/>
      <c r="AC619" s="106"/>
    </row>
    <row r="620">
      <c r="C620" s="79"/>
      <c r="D620" s="79"/>
      <c r="E620" s="79"/>
      <c r="N620" s="79"/>
      <c r="S620" s="79"/>
      <c r="T620" s="79"/>
      <c r="W620" s="79"/>
      <c r="X620" s="79"/>
      <c r="AA620" s="130"/>
      <c r="AC620" s="106"/>
    </row>
    <row r="621">
      <c r="C621" s="79"/>
      <c r="D621" s="79"/>
      <c r="E621" s="79"/>
      <c r="N621" s="79"/>
      <c r="S621" s="79"/>
      <c r="T621" s="79"/>
      <c r="W621" s="79"/>
      <c r="X621" s="79"/>
      <c r="AA621" s="130"/>
      <c r="AC621" s="106"/>
    </row>
    <row r="622">
      <c r="C622" s="79"/>
      <c r="D622" s="79"/>
      <c r="E622" s="79"/>
      <c r="N622" s="79"/>
      <c r="S622" s="79"/>
      <c r="T622" s="79"/>
      <c r="W622" s="79"/>
      <c r="X622" s="79"/>
      <c r="AA622" s="130"/>
      <c r="AC622" s="106"/>
    </row>
    <row r="623">
      <c r="C623" s="79"/>
      <c r="D623" s="79"/>
      <c r="E623" s="79"/>
      <c r="N623" s="79"/>
      <c r="S623" s="79"/>
      <c r="T623" s="79"/>
      <c r="W623" s="79"/>
      <c r="X623" s="79"/>
      <c r="AA623" s="130"/>
      <c r="AC623" s="106"/>
    </row>
    <row r="624">
      <c r="C624" s="79"/>
      <c r="D624" s="79"/>
      <c r="E624" s="79"/>
      <c r="N624" s="79"/>
      <c r="S624" s="79"/>
      <c r="T624" s="79"/>
      <c r="W624" s="79"/>
      <c r="X624" s="79"/>
      <c r="AA624" s="130"/>
      <c r="AC624" s="106"/>
    </row>
    <row r="625">
      <c r="C625" s="79"/>
      <c r="D625" s="79"/>
      <c r="E625" s="79"/>
      <c r="N625" s="79"/>
      <c r="S625" s="79"/>
      <c r="T625" s="79"/>
      <c r="W625" s="79"/>
      <c r="X625" s="79"/>
      <c r="AA625" s="130"/>
      <c r="AC625" s="106"/>
    </row>
    <row r="626">
      <c r="C626" s="79"/>
      <c r="D626" s="79"/>
      <c r="E626" s="79"/>
      <c r="N626" s="79"/>
      <c r="S626" s="79"/>
      <c r="T626" s="79"/>
      <c r="W626" s="79"/>
      <c r="X626" s="79"/>
      <c r="AA626" s="130"/>
      <c r="AC626" s="106"/>
    </row>
    <row r="627">
      <c r="C627" s="79"/>
      <c r="D627" s="79"/>
      <c r="E627" s="79"/>
      <c r="N627" s="79"/>
      <c r="S627" s="79"/>
      <c r="T627" s="79"/>
      <c r="W627" s="79"/>
      <c r="X627" s="79"/>
      <c r="AA627" s="130"/>
      <c r="AC627" s="106"/>
    </row>
    <row r="628">
      <c r="C628" s="79"/>
      <c r="D628" s="79"/>
      <c r="E628" s="79"/>
      <c r="N628" s="79"/>
      <c r="S628" s="79"/>
      <c r="T628" s="79"/>
      <c r="W628" s="79"/>
      <c r="X628" s="79"/>
      <c r="AA628" s="130"/>
      <c r="AC628" s="106"/>
    </row>
    <row r="629">
      <c r="C629" s="79"/>
      <c r="D629" s="79"/>
      <c r="E629" s="79"/>
      <c r="N629" s="79"/>
      <c r="S629" s="79"/>
      <c r="T629" s="79"/>
      <c r="W629" s="79"/>
      <c r="X629" s="79"/>
      <c r="AA629" s="130"/>
      <c r="AC629" s="106"/>
    </row>
    <row r="630">
      <c r="C630" s="79"/>
      <c r="D630" s="79"/>
      <c r="E630" s="79"/>
      <c r="N630" s="79"/>
      <c r="S630" s="79"/>
      <c r="T630" s="79"/>
      <c r="W630" s="79"/>
      <c r="X630" s="79"/>
      <c r="AA630" s="130"/>
      <c r="AC630" s="106"/>
    </row>
    <row r="631">
      <c r="C631" s="79"/>
      <c r="D631" s="79"/>
      <c r="E631" s="79"/>
      <c r="N631" s="79"/>
      <c r="S631" s="79"/>
      <c r="T631" s="79"/>
      <c r="W631" s="79"/>
      <c r="X631" s="79"/>
      <c r="AA631" s="130"/>
      <c r="AC631" s="106"/>
    </row>
    <row r="632">
      <c r="C632" s="79"/>
      <c r="D632" s="79"/>
      <c r="E632" s="79"/>
      <c r="N632" s="79"/>
      <c r="S632" s="79"/>
      <c r="T632" s="79"/>
      <c r="W632" s="79"/>
      <c r="X632" s="79"/>
      <c r="AA632" s="130"/>
      <c r="AC632" s="106"/>
    </row>
    <row r="633">
      <c r="C633" s="79"/>
      <c r="D633" s="79"/>
      <c r="E633" s="79"/>
      <c r="N633" s="79"/>
      <c r="S633" s="79"/>
      <c r="T633" s="79"/>
      <c r="W633" s="79"/>
      <c r="X633" s="79"/>
      <c r="AA633" s="130"/>
      <c r="AC633" s="106"/>
    </row>
    <row r="634">
      <c r="C634" s="79"/>
      <c r="D634" s="79"/>
      <c r="E634" s="79"/>
      <c r="N634" s="79"/>
      <c r="S634" s="79"/>
      <c r="T634" s="79"/>
      <c r="W634" s="79"/>
      <c r="X634" s="79"/>
      <c r="AA634" s="130"/>
      <c r="AC634" s="106"/>
    </row>
    <row r="635">
      <c r="C635" s="79"/>
      <c r="D635" s="79"/>
      <c r="E635" s="79"/>
      <c r="N635" s="79"/>
      <c r="S635" s="79"/>
      <c r="T635" s="79"/>
      <c r="W635" s="79"/>
      <c r="X635" s="79"/>
      <c r="AA635" s="130"/>
      <c r="AC635" s="106"/>
    </row>
    <row r="636">
      <c r="C636" s="79"/>
      <c r="D636" s="79"/>
      <c r="E636" s="79"/>
      <c r="N636" s="79"/>
      <c r="S636" s="79"/>
      <c r="T636" s="79"/>
      <c r="W636" s="79"/>
      <c r="X636" s="79"/>
      <c r="AA636" s="130"/>
      <c r="AC636" s="106"/>
    </row>
    <row r="637">
      <c r="C637" s="79"/>
      <c r="D637" s="79"/>
      <c r="E637" s="79"/>
      <c r="N637" s="79"/>
      <c r="S637" s="79"/>
      <c r="T637" s="79"/>
      <c r="W637" s="79"/>
      <c r="X637" s="79"/>
      <c r="AA637" s="130"/>
      <c r="AC637" s="106"/>
    </row>
    <row r="638">
      <c r="C638" s="79"/>
      <c r="D638" s="79"/>
      <c r="E638" s="79"/>
      <c r="N638" s="79"/>
      <c r="S638" s="79"/>
      <c r="T638" s="79"/>
      <c r="W638" s="79"/>
      <c r="X638" s="79"/>
      <c r="AA638" s="130"/>
      <c r="AC638" s="106"/>
    </row>
    <row r="639">
      <c r="C639" s="79"/>
      <c r="D639" s="79"/>
      <c r="E639" s="79"/>
      <c r="N639" s="79"/>
      <c r="S639" s="79"/>
      <c r="T639" s="79"/>
      <c r="W639" s="79"/>
      <c r="X639" s="79"/>
      <c r="AA639" s="130"/>
      <c r="AC639" s="106"/>
    </row>
    <row r="640">
      <c r="C640" s="79"/>
      <c r="D640" s="79"/>
      <c r="E640" s="79"/>
      <c r="N640" s="79"/>
      <c r="S640" s="79"/>
      <c r="T640" s="79"/>
      <c r="W640" s="79"/>
      <c r="X640" s="79"/>
      <c r="AA640" s="130"/>
      <c r="AC640" s="106"/>
    </row>
    <row r="641">
      <c r="C641" s="79"/>
      <c r="D641" s="79"/>
      <c r="E641" s="79"/>
      <c r="N641" s="79"/>
      <c r="S641" s="79"/>
      <c r="T641" s="79"/>
      <c r="W641" s="79"/>
      <c r="X641" s="79"/>
      <c r="AA641" s="130"/>
      <c r="AC641" s="106"/>
    </row>
    <row r="642">
      <c r="C642" s="79"/>
      <c r="D642" s="79"/>
      <c r="E642" s="79"/>
      <c r="N642" s="79"/>
      <c r="S642" s="79"/>
      <c r="T642" s="79"/>
      <c r="W642" s="79"/>
      <c r="X642" s="79"/>
      <c r="AA642" s="130"/>
      <c r="AC642" s="106"/>
    </row>
    <row r="643">
      <c r="C643" s="79"/>
      <c r="D643" s="79"/>
      <c r="E643" s="79"/>
      <c r="N643" s="79"/>
      <c r="S643" s="79"/>
      <c r="T643" s="79"/>
      <c r="W643" s="79"/>
      <c r="X643" s="79"/>
      <c r="AA643" s="130"/>
      <c r="AC643" s="106"/>
    </row>
    <row r="644">
      <c r="C644" s="79"/>
      <c r="D644" s="79"/>
      <c r="E644" s="79"/>
      <c r="N644" s="79"/>
      <c r="S644" s="79"/>
      <c r="T644" s="79"/>
      <c r="W644" s="79"/>
      <c r="X644" s="79"/>
      <c r="AA644" s="130"/>
      <c r="AC644" s="106"/>
    </row>
    <row r="645">
      <c r="C645" s="79"/>
      <c r="D645" s="79"/>
      <c r="E645" s="79"/>
      <c r="N645" s="79"/>
      <c r="S645" s="79"/>
      <c r="T645" s="79"/>
      <c r="W645" s="79"/>
      <c r="X645" s="79"/>
      <c r="AA645" s="130"/>
      <c r="AC645" s="106"/>
    </row>
    <row r="646">
      <c r="C646" s="79"/>
      <c r="D646" s="79"/>
      <c r="E646" s="79"/>
      <c r="N646" s="79"/>
      <c r="S646" s="79"/>
      <c r="T646" s="79"/>
      <c r="W646" s="79"/>
      <c r="X646" s="79"/>
      <c r="AA646" s="130"/>
      <c r="AC646" s="106"/>
    </row>
    <row r="647">
      <c r="C647" s="79"/>
      <c r="D647" s="79"/>
      <c r="E647" s="79"/>
      <c r="N647" s="79"/>
      <c r="S647" s="79"/>
      <c r="T647" s="79"/>
      <c r="W647" s="79"/>
      <c r="X647" s="79"/>
      <c r="AA647" s="130"/>
      <c r="AC647" s="106"/>
    </row>
    <row r="648">
      <c r="C648" s="79"/>
      <c r="D648" s="79"/>
      <c r="E648" s="79"/>
      <c r="N648" s="79"/>
      <c r="S648" s="79"/>
      <c r="T648" s="79"/>
      <c r="W648" s="79"/>
      <c r="X648" s="79"/>
      <c r="AA648" s="130"/>
      <c r="AC648" s="106"/>
    </row>
    <row r="649">
      <c r="C649" s="79"/>
      <c r="D649" s="79"/>
      <c r="E649" s="79"/>
      <c r="N649" s="79"/>
      <c r="S649" s="79"/>
      <c r="T649" s="79"/>
      <c r="W649" s="79"/>
      <c r="X649" s="79"/>
      <c r="AA649" s="130"/>
      <c r="AC649" s="106"/>
    </row>
    <row r="650">
      <c r="C650" s="79"/>
      <c r="D650" s="79"/>
      <c r="E650" s="79"/>
      <c r="N650" s="79"/>
      <c r="S650" s="79"/>
      <c r="T650" s="79"/>
      <c r="W650" s="79"/>
      <c r="X650" s="79"/>
      <c r="AA650" s="130"/>
      <c r="AC650" s="106"/>
    </row>
    <row r="651">
      <c r="C651" s="79"/>
      <c r="D651" s="79"/>
      <c r="E651" s="79"/>
      <c r="N651" s="79"/>
      <c r="S651" s="79"/>
      <c r="T651" s="79"/>
      <c r="W651" s="79"/>
      <c r="X651" s="79"/>
      <c r="AA651" s="130"/>
      <c r="AC651" s="106"/>
    </row>
    <row r="652">
      <c r="C652" s="79"/>
      <c r="D652" s="79"/>
      <c r="E652" s="79"/>
      <c r="N652" s="79"/>
      <c r="S652" s="79"/>
      <c r="T652" s="79"/>
      <c r="W652" s="79"/>
      <c r="X652" s="79"/>
      <c r="AA652" s="130"/>
      <c r="AC652" s="106"/>
    </row>
    <row r="653">
      <c r="C653" s="79"/>
      <c r="D653" s="79"/>
      <c r="E653" s="79"/>
      <c r="N653" s="79"/>
      <c r="S653" s="79"/>
      <c r="T653" s="79"/>
      <c r="W653" s="79"/>
      <c r="X653" s="79"/>
      <c r="AA653" s="130"/>
      <c r="AC653" s="106"/>
    </row>
    <row r="654">
      <c r="C654" s="79"/>
      <c r="D654" s="79"/>
      <c r="E654" s="79"/>
      <c r="N654" s="79"/>
      <c r="S654" s="79"/>
      <c r="T654" s="79"/>
      <c r="W654" s="79"/>
      <c r="X654" s="79"/>
      <c r="AA654" s="130"/>
      <c r="AC654" s="106"/>
    </row>
    <row r="655">
      <c r="C655" s="79"/>
      <c r="D655" s="79"/>
      <c r="E655" s="79"/>
      <c r="N655" s="79"/>
      <c r="S655" s="79"/>
      <c r="T655" s="79"/>
      <c r="W655" s="79"/>
      <c r="X655" s="79"/>
      <c r="AA655" s="130"/>
      <c r="AC655" s="106"/>
    </row>
    <row r="656">
      <c r="C656" s="79"/>
      <c r="D656" s="79"/>
      <c r="E656" s="79"/>
      <c r="N656" s="79"/>
      <c r="S656" s="79"/>
      <c r="T656" s="79"/>
      <c r="W656" s="79"/>
      <c r="X656" s="79"/>
      <c r="AA656" s="130"/>
      <c r="AC656" s="106"/>
    </row>
    <row r="657">
      <c r="C657" s="79"/>
      <c r="D657" s="79"/>
      <c r="E657" s="79"/>
      <c r="N657" s="79"/>
      <c r="S657" s="79"/>
      <c r="T657" s="79"/>
      <c r="W657" s="79"/>
      <c r="X657" s="79"/>
      <c r="AA657" s="130"/>
      <c r="AC657" s="106"/>
    </row>
    <row r="658">
      <c r="C658" s="79"/>
      <c r="D658" s="79"/>
      <c r="E658" s="79"/>
      <c r="N658" s="79"/>
      <c r="S658" s="79"/>
      <c r="T658" s="79"/>
      <c r="W658" s="79"/>
      <c r="X658" s="79"/>
      <c r="AA658" s="130"/>
      <c r="AC658" s="106"/>
    </row>
    <row r="659">
      <c r="C659" s="79"/>
      <c r="D659" s="79"/>
      <c r="E659" s="79"/>
      <c r="N659" s="79"/>
      <c r="S659" s="79"/>
      <c r="T659" s="79"/>
      <c r="W659" s="79"/>
      <c r="X659" s="79"/>
      <c r="AA659" s="130"/>
      <c r="AC659" s="106"/>
    </row>
    <row r="660">
      <c r="C660" s="79"/>
      <c r="D660" s="79"/>
      <c r="E660" s="79"/>
      <c r="N660" s="79"/>
      <c r="S660" s="79"/>
      <c r="T660" s="79"/>
      <c r="W660" s="79"/>
      <c r="X660" s="79"/>
      <c r="AA660" s="130"/>
      <c r="AC660" s="106"/>
    </row>
    <row r="661">
      <c r="C661" s="79"/>
      <c r="D661" s="79"/>
      <c r="E661" s="79"/>
      <c r="N661" s="79"/>
      <c r="S661" s="79"/>
      <c r="T661" s="79"/>
      <c r="W661" s="79"/>
      <c r="X661" s="79"/>
      <c r="AA661" s="130"/>
      <c r="AC661" s="106"/>
    </row>
    <row r="662">
      <c r="C662" s="79"/>
      <c r="D662" s="79"/>
      <c r="E662" s="79"/>
      <c r="N662" s="79"/>
      <c r="S662" s="79"/>
      <c r="T662" s="79"/>
      <c r="W662" s="79"/>
      <c r="X662" s="79"/>
      <c r="AA662" s="130"/>
      <c r="AC662" s="106"/>
    </row>
    <row r="663">
      <c r="C663" s="79"/>
      <c r="D663" s="79"/>
      <c r="E663" s="79"/>
      <c r="N663" s="79"/>
      <c r="S663" s="79"/>
      <c r="T663" s="79"/>
      <c r="W663" s="79"/>
      <c r="X663" s="79"/>
      <c r="AA663" s="130"/>
      <c r="AC663" s="106"/>
    </row>
    <row r="664">
      <c r="C664" s="79"/>
      <c r="D664" s="79"/>
      <c r="E664" s="79"/>
      <c r="N664" s="79"/>
      <c r="S664" s="79"/>
      <c r="T664" s="79"/>
      <c r="W664" s="79"/>
      <c r="X664" s="79"/>
      <c r="AA664" s="130"/>
      <c r="AC664" s="106"/>
    </row>
    <row r="665">
      <c r="C665" s="79"/>
      <c r="D665" s="79"/>
      <c r="E665" s="79"/>
      <c r="N665" s="79"/>
      <c r="S665" s="79"/>
      <c r="T665" s="79"/>
      <c r="W665" s="79"/>
      <c r="X665" s="79"/>
      <c r="AA665" s="130"/>
      <c r="AC665" s="106"/>
    </row>
    <row r="666">
      <c r="C666" s="79"/>
      <c r="D666" s="79"/>
      <c r="E666" s="79"/>
      <c r="N666" s="79"/>
      <c r="S666" s="79"/>
      <c r="T666" s="79"/>
      <c r="W666" s="79"/>
      <c r="X666" s="79"/>
      <c r="AA666" s="130"/>
      <c r="AC666" s="106"/>
    </row>
    <row r="667">
      <c r="C667" s="79"/>
      <c r="D667" s="79"/>
      <c r="E667" s="79"/>
      <c r="N667" s="79"/>
      <c r="S667" s="79"/>
      <c r="T667" s="79"/>
      <c r="W667" s="79"/>
      <c r="X667" s="79"/>
      <c r="AA667" s="130"/>
      <c r="AC667" s="106"/>
    </row>
    <row r="668">
      <c r="C668" s="79"/>
      <c r="D668" s="79"/>
      <c r="E668" s="79"/>
      <c r="N668" s="79"/>
      <c r="S668" s="79"/>
      <c r="T668" s="79"/>
      <c r="W668" s="79"/>
      <c r="X668" s="79"/>
      <c r="AA668" s="130"/>
      <c r="AC668" s="106"/>
    </row>
    <row r="669">
      <c r="C669" s="79"/>
      <c r="D669" s="79"/>
      <c r="E669" s="79"/>
      <c r="N669" s="79"/>
      <c r="S669" s="79"/>
      <c r="T669" s="79"/>
      <c r="W669" s="79"/>
      <c r="X669" s="79"/>
      <c r="AA669" s="130"/>
      <c r="AC669" s="106"/>
    </row>
    <row r="670">
      <c r="C670" s="79"/>
      <c r="D670" s="79"/>
      <c r="E670" s="79"/>
      <c r="N670" s="79"/>
      <c r="S670" s="79"/>
      <c r="T670" s="79"/>
      <c r="W670" s="79"/>
      <c r="X670" s="79"/>
      <c r="AA670" s="130"/>
      <c r="AC670" s="106"/>
    </row>
    <row r="671">
      <c r="C671" s="79"/>
      <c r="D671" s="79"/>
      <c r="E671" s="79"/>
      <c r="N671" s="79"/>
      <c r="S671" s="79"/>
      <c r="T671" s="79"/>
      <c r="W671" s="79"/>
      <c r="X671" s="79"/>
      <c r="AA671" s="130"/>
      <c r="AC671" s="106"/>
    </row>
    <row r="672">
      <c r="C672" s="79"/>
      <c r="D672" s="79"/>
      <c r="E672" s="79"/>
      <c r="N672" s="79"/>
      <c r="S672" s="79"/>
      <c r="T672" s="79"/>
      <c r="W672" s="79"/>
      <c r="X672" s="79"/>
      <c r="AA672" s="130"/>
      <c r="AC672" s="106"/>
    </row>
    <row r="673">
      <c r="C673" s="79"/>
      <c r="D673" s="79"/>
      <c r="E673" s="79"/>
      <c r="N673" s="79"/>
      <c r="S673" s="79"/>
      <c r="T673" s="79"/>
      <c r="W673" s="79"/>
      <c r="X673" s="79"/>
      <c r="AA673" s="130"/>
      <c r="AC673" s="106"/>
    </row>
    <row r="674">
      <c r="C674" s="79"/>
      <c r="D674" s="79"/>
      <c r="E674" s="79"/>
      <c r="N674" s="79"/>
      <c r="S674" s="79"/>
      <c r="T674" s="79"/>
      <c r="W674" s="79"/>
      <c r="X674" s="79"/>
      <c r="AA674" s="130"/>
      <c r="AC674" s="106"/>
    </row>
    <row r="675">
      <c r="C675" s="79"/>
      <c r="D675" s="79"/>
      <c r="E675" s="79"/>
      <c r="N675" s="79"/>
      <c r="S675" s="79"/>
      <c r="T675" s="79"/>
      <c r="W675" s="79"/>
      <c r="X675" s="79"/>
      <c r="AA675" s="130"/>
      <c r="AC675" s="106"/>
    </row>
    <row r="676">
      <c r="C676" s="79"/>
      <c r="D676" s="79"/>
      <c r="E676" s="79"/>
      <c r="N676" s="79"/>
      <c r="S676" s="79"/>
      <c r="T676" s="79"/>
      <c r="W676" s="79"/>
      <c r="X676" s="79"/>
      <c r="AA676" s="130"/>
      <c r="AC676" s="106"/>
    </row>
    <row r="677">
      <c r="C677" s="79"/>
      <c r="D677" s="79"/>
      <c r="E677" s="79"/>
      <c r="N677" s="79"/>
      <c r="S677" s="79"/>
      <c r="T677" s="79"/>
      <c r="W677" s="79"/>
      <c r="X677" s="79"/>
      <c r="AA677" s="130"/>
      <c r="AC677" s="106"/>
    </row>
    <row r="678">
      <c r="C678" s="79"/>
      <c r="D678" s="79"/>
      <c r="E678" s="79"/>
      <c r="N678" s="79"/>
      <c r="S678" s="79"/>
      <c r="T678" s="79"/>
      <c r="W678" s="79"/>
      <c r="X678" s="79"/>
      <c r="AA678" s="130"/>
      <c r="AC678" s="106"/>
    </row>
    <row r="679">
      <c r="C679" s="79"/>
      <c r="D679" s="79"/>
      <c r="E679" s="79"/>
      <c r="N679" s="79"/>
      <c r="S679" s="79"/>
      <c r="T679" s="79"/>
      <c r="W679" s="79"/>
      <c r="X679" s="79"/>
      <c r="AA679" s="130"/>
      <c r="AC679" s="106"/>
    </row>
    <row r="680">
      <c r="C680" s="79"/>
      <c r="D680" s="79"/>
      <c r="E680" s="79"/>
      <c r="N680" s="79"/>
      <c r="S680" s="79"/>
      <c r="T680" s="79"/>
      <c r="W680" s="79"/>
      <c r="X680" s="79"/>
      <c r="AA680" s="130"/>
      <c r="AC680" s="106"/>
    </row>
    <row r="681">
      <c r="C681" s="79"/>
      <c r="D681" s="79"/>
      <c r="E681" s="79"/>
      <c r="N681" s="79"/>
      <c r="S681" s="79"/>
      <c r="T681" s="79"/>
      <c r="W681" s="79"/>
      <c r="X681" s="79"/>
      <c r="AA681" s="130"/>
      <c r="AC681" s="106"/>
    </row>
    <row r="682">
      <c r="C682" s="79"/>
      <c r="D682" s="79"/>
      <c r="E682" s="79"/>
      <c r="N682" s="79"/>
      <c r="S682" s="79"/>
      <c r="T682" s="79"/>
      <c r="W682" s="79"/>
      <c r="X682" s="79"/>
      <c r="AA682" s="130"/>
      <c r="AC682" s="106"/>
    </row>
    <row r="683">
      <c r="C683" s="79"/>
      <c r="D683" s="79"/>
      <c r="E683" s="79"/>
      <c r="N683" s="79"/>
      <c r="S683" s="79"/>
      <c r="T683" s="79"/>
      <c r="W683" s="79"/>
      <c r="X683" s="79"/>
      <c r="AA683" s="130"/>
      <c r="AC683" s="106"/>
    </row>
    <row r="684">
      <c r="C684" s="79"/>
      <c r="D684" s="79"/>
      <c r="E684" s="79"/>
      <c r="N684" s="79"/>
      <c r="S684" s="79"/>
      <c r="T684" s="79"/>
      <c r="W684" s="79"/>
      <c r="X684" s="79"/>
      <c r="AA684" s="130"/>
      <c r="AC684" s="106"/>
    </row>
    <row r="685">
      <c r="C685" s="79"/>
      <c r="D685" s="79"/>
      <c r="E685" s="79"/>
      <c r="N685" s="79"/>
      <c r="S685" s="79"/>
      <c r="T685" s="79"/>
      <c r="W685" s="79"/>
      <c r="X685" s="79"/>
      <c r="AA685" s="130"/>
      <c r="AC685" s="106"/>
    </row>
    <row r="686">
      <c r="C686" s="79"/>
      <c r="D686" s="79"/>
      <c r="E686" s="79"/>
      <c r="N686" s="79"/>
      <c r="S686" s="79"/>
      <c r="T686" s="79"/>
      <c r="W686" s="79"/>
      <c r="X686" s="79"/>
      <c r="AA686" s="130"/>
      <c r="AC686" s="106"/>
    </row>
    <row r="687">
      <c r="C687" s="79"/>
      <c r="D687" s="79"/>
      <c r="E687" s="79"/>
      <c r="N687" s="79"/>
      <c r="S687" s="79"/>
      <c r="T687" s="79"/>
      <c r="W687" s="79"/>
      <c r="X687" s="79"/>
      <c r="AA687" s="130"/>
      <c r="AC687" s="106"/>
    </row>
    <row r="688">
      <c r="C688" s="79"/>
      <c r="D688" s="79"/>
      <c r="E688" s="79"/>
      <c r="N688" s="79"/>
      <c r="S688" s="79"/>
      <c r="T688" s="79"/>
      <c r="W688" s="79"/>
      <c r="X688" s="79"/>
      <c r="AA688" s="130"/>
      <c r="AC688" s="106"/>
    </row>
    <row r="689">
      <c r="C689" s="79"/>
      <c r="D689" s="79"/>
      <c r="E689" s="79"/>
      <c r="N689" s="79"/>
      <c r="S689" s="79"/>
      <c r="T689" s="79"/>
      <c r="W689" s="79"/>
      <c r="X689" s="79"/>
      <c r="AA689" s="130"/>
      <c r="AC689" s="106"/>
    </row>
    <row r="690">
      <c r="C690" s="79"/>
      <c r="D690" s="79"/>
      <c r="E690" s="79"/>
      <c r="N690" s="79"/>
      <c r="S690" s="79"/>
      <c r="T690" s="79"/>
      <c r="W690" s="79"/>
      <c r="X690" s="79"/>
      <c r="AA690" s="130"/>
      <c r="AC690" s="106"/>
    </row>
    <row r="691">
      <c r="C691" s="79"/>
      <c r="D691" s="79"/>
      <c r="E691" s="79"/>
      <c r="N691" s="79"/>
      <c r="S691" s="79"/>
      <c r="T691" s="79"/>
      <c r="W691" s="79"/>
      <c r="X691" s="79"/>
      <c r="AA691" s="130"/>
      <c r="AC691" s="106"/>
    </row>
    <row r="692">
      <c r="C692" s="79"/>
      <c r="D692" s="79"/>
      <c r="E692" s="79"/>
      <c r="N692" s="79"/>
      <c r="S692" s="79"/>
      <c r="T692" s="79"/>
      <c r="W692" s="79"/>
      <c r="X692" s="79"/>
      <c r="AA692" s="130"/>
      <c r="AC692" s="106"/>
    </row>
    <row r="693">
      <c r="C693" s="79"/>
      <c r="D693" s="79"/>
      <c r="E693" s="79"/>
      <c r="N693" s="79"/>
      <c r="S693" s="79"/>
      <c r="T693" s="79"/>
      <c r="W693" s="79"/>
      <c r="X693" s="79"/>
      <c r="AA693" s="130"/>
      <c r="AC693" s="106"/>
    </row>
    <row r="694">
      <c r="C694" s="79"/>
      <c r="D694" s="79"/>
      <c r="E694" s="79"/>
      <c r="N694" s="79"/>
      <c r="S694" s="79"/>
      <c r="T694" s="79"/>
      <c r="W694" s="79"/>
      <c r="X694" s="79"/>
      <c r="AA694" s="130"/>
      <c r="AC694" s="106"/>
    </row>
    <row r="695">
      <c r="C695" s="79"/>
      <c r="D695" s="79"/>
      <c r="E695" s="79"/>
      <c r="N695" s="79"/>
      <c r="S695" s="79"/>
      <c r="T695" s="79"/>
      <c r="W695" s="79"/>
      <c r="X695" s="79"/>
      <c r="AA695" s="130"/>
      <c r="AC695" s="106"/>
    </row>
    <row r="696">
      <c r="C696" s="79"/>
      <c r="D696" s="79"/>
      <c r="E696" s="79"/>
      <c r="N696" s="79"/>
      <c r="S696" s="79"/>
      <c r="T696" s="79"/>
      <c r="W696" s="79"/>
      <c r="X696" s="79"/>
      <c r="AA696" s="130"/>
      <c r="AC696" s="106"/>
    </row>
    <row r="697">
      <c r="C697" s="79"/>
      <c r="D697" s="79"/>
      <c r="E697" s="79"/>
      <c r="N697" s="79"/>
      <c r="S697" s="79"/>
      <c r="T697" s="79"/>
      <c r="W697" s="79"/>
      <c r="X697" s="79"/>
      <c r="AA697" s="130"/>
      <c r="AC697" s="106"/>
    </row>
    <row r="698">
      <c r="C698" s="79"/>
      <c r="D698" s="79"/>
      <c r="E698" s="79"/>
      <c r="N698" s="79"/>
      <c r="S698" s="79"/>
      <c r="T698" s="79"/>
      <c r="W698" s="79"/>
      <c r="X698" s="79"/>
      <c r="AA698" s="130"/>
      <c r="AC698" s="106"/>
    </row>
    <row r="699">
      <c r="C699" s="79"/>
      <c r="D699" s="79"/>
      <c r="E699" s="79"/>
      <c r="N699" s="79"/>
      <c r="S699" s="79"/>
      <c r="T699" s="79"/>
      <c r="W699" s="79"/>
      <c r="X699" s="79"/>
      <c r="AA699" s="130"/>
      <c r="AC699" s="106"/>
    </row>
    <row r="700">
      <c r="C700" s="79"/>
      <c r="D700" s="79"/>
      <c r="E700" s="79"/>
      <c r="N700" s="79"/>
      <c r="S700" s="79"/>
      <c r="T700" s="79"/>
      <c r="W700" s="79"/>
      <c r="X700" s="79"/>
      <c r="AA700" s="130"/>
      <c r="AC700" s="106"/>
    </row>
    <row r="701">
      <c r="C701" s="79"/>
      <c r="D701" s="79"/>
      <c r="E701" s="79"/>
      <c r="N701" s="79"/>
      <c r="S701" s="79"/>
      <c r="T701" s="79"/>
      <c r="W701" s="79"/>
      <c r="X701" s="79"/>
      <c r="AA701" s="130"/>
      <c r="AC701" s="106"/>
    </row>
    <row r="702">
      <c r="C702" s="79"/>
      <c r="D702" s="79"/>
      <c r="E702" s="79"/>
      <c r="N702" s="79"/>
      <c r="S702" s="79"/>
      <c r="T702" s="79"/>
      <c r="W702" s="79"/>
      <c r="X702" s="79"/>
      <c r="AA702" s="130"/>
      <c r="AC702" s="106"/>
    </row>
    <row r="703">
      <c r="C703" s="79"/>
      <c r="D703" s="79"/>
      <c r="E703" s="79"/>
      <c r="N703" s="79"/>
      <c r="S703" s="79"/>
      <c r="T703" s="79"/>
      <c r="W703" s="79"/>
      <c r="X703" s="79"/>
      <c r="AA703" s="130"/>
      <c r="AC703" s="106"/>
    </row>
    <row r="704">
      <c r="C704" s="79"/>
      <c r="D704" s="79"/>
      <c r="E704" s="79"/>
      <c r="N704" s="79"/>
      <c r="S704" s="79"/>
      <c r="T704" s="79"/>
      <c r="W704" s="79"/>
      <c r="X704" s="79"/>
      <c r="AA704" s="130"/>
      <c r="AC704" s="106"/>
    </row>
    <row r="705">
      <c r="C705" s="79"/>
      <c r="D705" s="79"/>
      <c r="E705" s="79"/>
      <c r="N705" s="79"/>
      <c r="S705" s="79"/>
      <c r="T705" s="79"/>
      <c r="W705" s="79"/>
      <c r="X705" s="79"/>
      <c r="AA705" s="130"/>
      <c r="AC705" s="106"/>
    </row>
    <row r="706">
      <c r="C706" s="79"/>
      <c r="D706" s="79"/>
      <c r="E706" s="79"/>
      <c r="N706" s="79"/>
      <c r="S706" s="79"/>
      <c r="T706" s="79"/>
      <c r="W706" s="79"/>
      <c r="X706" s="79"/>
      <c r="AA706" s="130"/>
      <c r="AC706" s="106"/>
    </row>
    <row r="707">
      <c r="C707" s="79"/>
      <c r="D707" s="79"/>
      <c r="E707" s="79"/>
      <c r="N707" s="79"/>
      <c r="S707" s="79"/>
      <c r="T707" s="79"/>
      <c r="W707" s="79"/>
      <c r="X707" s="79"/>
      <c r="AA707" s="130"/>
      <c r="AC707" s="106"/>
    </row>
    <row r="708">
      <c r="C708" s="79"/>
      <c r="D708" s="79"/>
      <c r="E708" s="79"/>
      <c r="N708" s="79"/>
      <c r="S708" s="79"/>
      <c r="T708" s="79"/>
      <c r="W708" s="79"/>
      <c r="X708" s="79"/>
      <c r="AA708" s="130"/>
      <c r="AC708" s="106"/>
    </row>
    <row r="709">
      <c r="C709" s="79"/>
      <c r="D709" s="79"/>
      <c r="E709" s="79"/>
      <c r="N709" s="79"/>
      <c r="S709" s="79"/>
      <c r="T709" s="79"/>
      <c r="W709" s="79"/>
      <c r="X709" s="79"/>
      <c r="AA709" s="130"/>
      <c r="AC709" s="106"/>
    </row>
    <row r="710">
      <c r="C710" s="79"/>
      <c r="D710" s="79"/>
      <c r="E710" s="79"/>
      <c r="N710" s="79"/>
      <c r="S710" s="79"/>
      <c r="T710" s="79"/>
      <c r="W710" s="79"/>
      <c r="X710" s="79"/>
      <c r="AA710" s="130"/>
      <c r="AC710" s="106"/>
    </row>
    <row r="711">
      <c r="C711" s="79"/>
      <c r="D711" s="79"/>
      <c r="E711" s="79"/>
      <c r="N711" s="79"/>
      <c r="S711" s="79"/>
      <c r="T711" s="79"/>
      <c r="W711" s="79"/>
      <c r="X711" s="79"/>
      <c r="AA711" s="130"/>
      <c r="AC711" s="106"/>
    </row>
    <row r="712">
      <c r="C712" s="79"/>
      <c r="D712" s="79"/>
      <c r="E712" s="79"/>
      <c r="N712" s="79"/>
      <c r="S712" s="79"/>
      <c r="T712" s="79"/>
      <c r="W712" s="79"/>
      <c r="X712" s="79"/>
      <c r="AA712" s="130"/>
      <c r="AC712" s="106"/>
    </row>
    <row r="713">
      <c r="C713" s="79"/>
      <c r="D713" s="79"/>
      <c r="E713" s="79"/>
      <c r="N713" s="79"/>
      <c r="S713" s="79"/>
      <c r="T713" s="79"/>
      <c r="W713" s="79"/>
      <c r="X713" s="79"/>
      <c r="AA713" s="130"/>
      <c r="AC713" s="106"/>
    </row>
    <row r="714">
      <c r="C714" s="79"/>
      <c r="D714" s="79"/>
      <c r="E714" s="79"/>
      <c r="N714" s="79"/>
      <c r="S714" s="79"/>
      <c r="T714" s="79"/>
      <c r="W714" s="79"/>
      <c r="X714" s="79"/>
      <c r="AA714" s="130"/>
      <c r="AC714" s="106"/>
    </row>
    <row r="715">
      <c r="C715" s="79"/>
      <c r="D715" s="79"/>
      <c r="E715" s="79"/>
      <c r="N715" s="79"/>
      <c r="S715" s="79"/>
      <c r="T715" s="79"/>
      <c r="W715" s="79"/>
      <c r="X715" s="79"/>
      <c r="AA715" s="130"/>
      <c r="AC715" s="106"/>
    </row>
    <row r="716">
      <c r="C716" s="79"/>
      <c r="D716" s="79"/>
      <c r="E716" s="79"/>
      <c r="N716" s="79"/>
      <c r="S716" s="79"/>
      <c r="T716" s="79"/>
      <c r="W716" s="79"/>
      <c r="X716" s="79"/>
      <c r="AA716" s="130"/>
      <c r="AC716" s="106"/>
    </row>
    <row r="717">
      <c r="C717" s="79"/>
      <c r="D717" s="79"/>
      <c r="E717" s="79"/>
      <c r="N717" s="79"/>
      <c r="S717" s="79"/>
      <c r="T717" s="79"/>
      <c r="W717" s="79"/>
      <c r="X717" s="79"/>
      <c r="AA717" s="130"/>
      <c r="AC717" s="106"/>
    </row>
    <row r="718">
      <c r="C718" s="79"/>
      <c r="D718" s="79"/>
      <c r="E718" s="79"/>
      <c r="N718" s="79"/>
      <c r="S718" s="79"/>
      <c r="T718" s="79"/>
      <c r="W718" s="79"/>
      <c r="X718" s="79"/>
      <c r="AA718" s="130"/>
      <c r="AC718" s="106"/>
    </row>
    <row r="719">
      <c r="C719" s="79"/>
      <c r="D719" s="79"/>
      <c r="E719" s="79"/>
      <c r="N719" s="79"/>
      <c r="S719" s="79"/>
      <c r="T719" s="79"/>
      <c r="W719" s="79"/>
      <c r="X719" s="79"/>
      <c r="AA719" s="130"/>
      <c r="AC719" s="106"/>
    </row>
    <row r="720">
      <c r="C720" s="79"/>
      <c r="D720" s="79"/>
      <c r="E720" s="79"/>
      <c r="N720" s="79"/>
      <c r="S720" s="79"/>
      <c r="T720" s="79"/>
      <c r="W720" s="79"/>
      <c r="X720" s="79"/>
      <c r="AA720" s="130"/>
      <c r="AC720" s="106"/>
    </row>
    <row r="721">
      <c r="C721" s="79"/>
      <c r="D721" s="79"/>
      <c r="E721" s="79"/>
      <c r="N721" s="79"/>
      <c r="S721" s="79"/>
      <c r="T721" s="79"/>
      <c r="W721" s="79"/>
      <c r="X721" s="79"/>
      <c r="AA721" s="130"/>
      <c r="AC721" s="106"/>
    </row>
    <row r="722">
      <c r="C722" s="79"/>
      <c r="D722" s="79"/>
      <c r="E722" s="79"/>
      <c r="N722" s="79"/>
      <c r="S722" s="79"/>
      <c r="T722" s="79"/>
      <c r="W722" s="79"/>
      <c r="X722" s="79"/>
      <c r="AA722" s="130"/>
      <c r="AC722" s="106"/>
    </row>
    <row r="723">
      <c r="C723" s="79"/>
      <c r="D723" s="79"/>
      <c r="E723" s="79"/>
      <c r="N723" s="79"/>
      <c r="S723" s="79"/>
      <c r="T723" s="79"/>
      <c r="W723" s="79"/>
      <c r="X723" s="79"/>
      <c r="AA723" s="130"/>
      <c r="AC723" s="106"/>
    </row>
    <row r="724">
      <c r="C724" s="79"/>
      <c r="D724" s="79"/>
      <c r="E724" s="79"/>
      <c r="N724" s="79"/>
      <c r="S724" s="79"/>
      <c r="T724" s="79"/>
      <c r="W724" s="79"/>
      <c r="X724" s="79"/>
      <c r="AA724" s="130"/>
      <c r="AC724" s="106"/>
    </row>
    <row r="725">
      <c r="C725" s="79"/>
      <c r="D725" s="79"/>
      <c r="E725" s="79"/>
      <c r="N725" s="79"/>
      <c r="S725" s="79"/>
      <c r="T725" s="79"/>
      <c r="W725" s="79"/>
      <c r="X725" s="79"/>
      <c r="AA725" s="130"/>
      <c r="AC725" s="106"/>
    </row>
    <row r="726">
      <c r="C726" s="79"/>
      <c r="D726" s="79"/>
      <c r="E726" s="79"/>
      <c r="N726" s="79"/>
      <c r="S726" s="79"/>
      <c r="T726" s="79"/>
      <c r="W726" s="79"/>
      <c r="X726" s="79"/>
      <c r="AA726" s="130"/>
      <c r="AC726" s="106"/>
    </row>
    <row r="727">
      <c r="C727" s="79"/>
      <c r="D727" s="79"/>
      <c r="E727" s="79"/>
      <c r="N727" s="79"/>
      <c r="S727" s="79"/>
      <c r="T727" s="79"/>
      <c r="W727" s="79"/>
      <c r="X727" s="79"/>
      <c r="AA727" s="130"/>
      <c r="AC727" s="106"/>
    </row>
    <row r="728">
      <c r="C728" s="79"/>
      <c r="D728" s="79"/>
      <c r="E728" s="79"/>
      <c r="N728" s="79"/>
      <c r="S728" s="79"/>
      <c r="T728" s="79"/>
      <c r="W728" s="79"/>
      <c r="X728" s="79"/>
      <c r="AA728" s="130"/>
      <c r="AC728" s="106"/>
    </row>
    <row r="729">
      <c r="C729" s="79"/>
      <c r="D729" s="79"/>
      <c r="E729" s="79"/>
      <c r="N729" s="79"/>
      <c r="S729" s="79"/>
      <c r="T729" s="79"/>
      <c r="W729" s="79"/>
      <c r="X729" s="79"/>
      <c r="AA729" s="130"/>
      <c r="AC729" s="106"/>
    </row>
    <row r="730">
      <c r="C730" s="79"/>
      <c r="D730" s="79"/>
      <c r="E730" s="79"/>
      <c r="N730" s="79"/>
      <c r="S730" s="79"/>
      <c r="T730" s="79"/>
      <c r="W730" s="79"/>
      <c r="X730" s="79"/>
      <c r="AA730" s="130"/>
      <c r="AC730" s="106"/>
    </row>
    <row r="731">
      <c r="C731" s="79"/>
      <c r="D731" s="79"/>
      <c r="E731" s="79"/>
      <c r="N731" s="79"/>
      <c r="S731" s="79"/>
      <c r="T731" s="79"/>
      <c r="W731" s="79"/>
      <c r="X731" s="79"/>
      <c r="AA731" s="130"/>
      <c r="AC731" s="106"/>
    </row>
    <row r="732">
      <c r="C732" s="79"/>
      <c r="D732" s="79"/>
      <c r="E732" s="79"/>
      <c r="N732" s="79"/>
      <c r="S732" s="79"/>
      <c r="T732" s="79"/>
      <c r="W732" s="79"/>
      <c r="X732" s="79"/>
      <c r="AA732" s="130"/>
      <c r="AC732" s="106"/>
    </row>
    <row r="733">
      <c r="C733" s="79"/>
      <c r="D733" s="79"/>
      <c r="E733" s="79"/>
      <c r="N733" s="79"/>
      <c r="S733" s="79"/>
      <c r="T733" s="79"/>
      <c r="W733" s="79"/>
      <c r="X733" s="79"/>
      <c r="AA733" s="130"/>
      <c r="AC733" s="106"/>
    </row>
    <row r="734">
      <c r="C734" s="79"/>
      <c r="D734" s="79"/>
      <c r="E734" s="79"/>
      <c r="N734" s="79"/>
      <c r="S734" s="79"/>
      <c r="T734" s="79"/>
      <c r="W734" s="79"/>
      <c r="X734" s="79"/>
      <c r="AA734" s="130"/>
      <c r="AC734" s="106"/>
    </row>
    <row r="735">
      <c r="C735" s="79"/>
      <c r="D735" s="79"/>
      <c r="E735" s="79"/>
      <c r="N735" s="79"/>
      <c r="S735" s="79"/>
      <c r="T735" s="79"/>
      <c r="W735" s="79"/>
      <c r="X735" s="79"/>
      <c r="AA735" s="130"/>
      <c r="AC735" s="106"/>
    </row>
    <row r="736">
      <c r="C736" s="79"/>
      <c r="D736" s="79"/>
      <c r="E736" s="79"/>
      <c r="N736" s="79"/>
      <c r="S736" s="79"/>
      <c r="T736" s="79"/>
      <c r="W736" s="79"/>
      <c r="X736" s="79"/>
      <c r="AA736" s="130"/>
      <c r="AC736" s="106"/>
    </row>
    <row r="737">
      <c r="C737" s="79"/>
      <c r="D737" s="79"/>
      <c r="E737" s="79"/>
      <c r="N737" s="79"/>
      <c r="S737" s="79"/>
      <c r="T737" s="79"/>
      <c r="W737" s="79"/>
      <c r="X737" s="79"/>
      <c r="AA737" s="130"/>
      <c r="AC737" s="106"/>
    </row>
    <row r="738">
      <c r="C738" s="79"/>
      <c r="D738" s="79"/>
      <c r="E738" s="79"/>
      <c r="N738" s="79"/>
      <c r="S738" s="79"/>
      <c r="T738" s="79"/>
      <c r="W738" s="79"/>
      <c r="X738" s="79"/>
      <c r="AA738" s="130"/>
      <c r="AC738" s="106"/>
    </row>
    <row r="739">
      <c r="C739" s="79"/>
      <c r="D739" s="79"/>
      <c r="E739" s="79"/>
      <c r="N739" s="79"/>
      <c r="S739" s="79"/>
      <c r="T739" s="79"/>
      <c r="W739" s="79"/>
      <c r="X739" s="79"/>
      <c r="AA739" s="130"/>
      <c r="AC739" s="106"/>
    </row>
    <row r="740">
      <c r="C740" s="79"/>
      <c r="D740" s="79"/>
      <c r="E740" s="79"/>
      <c r="N740" s="79"/>
      <c r="S740" s="79"/>
      <c r="T740" s="79"/>
      <c r="W740" s="79"/>
      <c r="X740" s="79"/>
      <c r="AA740" s="130"/>
      <c r="AC740" s="106"/>
    </row>
    <row r="741">
      <c r="C741" s="79"/>
      <c r="D741" s="79"/>
      <c r="E741" s="79"/>
      <c r="N741" s="79"/>
      <c r="S741" s="79"/>
      <c r="T741" s="79"/>
      <c r="W741" s="79"/>
      <c r="X741" s="79"/>
      <c r="AA741" s="130"/>
      <c r="AC741" s="106"/>
    </row>
    <row r="742">
      <c r="C742" s="79"/>
      <c r="D742" s="79"/>
      <c r="E742" s="79"/>
      <c r="N742" s="79"/>
      <c r="S742" s="79"/>
      <c r="T742" s="79"/>
      <c r="W742" s="79"/>
      <c r="X742" s="79"/>
      <c r="AA742" s="130"/>
      <c r="AC742" s="106"/>
    </row>
    <row r="743">
      <c r="C743" s="79"/>
      <c r="D743" s="79"/>
      <c r="E743" s="79"/>
      <c r="N743" s="79"/>
      <c r="S743" s="79"/>
      <c r="T743" s="79"/>
      <c r="W743" s="79"/>
      <c r="X743" s="79"/>
      <c r="AA743" s="130"/>
      <c r="AC743" s="106"/>
    </row>
    <row r="744">
      <c r="C744" s="79"/>
      <c r="D744" s="79"/>
      <c r="E744" s="79"/>
      <c r="N744" s="79"/>
      <c r="S744" s="79"/>
      <c r="T744" s="79"/>
      <c r="W744" s="79"/>
      <c r="X744" s="79"/>
      <c r="AA744" s="130"/>
      <c r="AC744" s="106"/>
    </row>
    <row r="745">
      <c r="C745" s="79"/>
      <c r="D745" s="79"/>
      <c r="E745" s="79"/>
      <c r="N745" s="79"/>
      <c r="S745" s="79"/>
      <c r="T745" s="79"/>
      <c r="W745" s="79"/>
      <c r="X745" s="79"/>
      <c r="AA745" s="130"/>
      <c r="AC745" s="106"/>
    </row>
    <row r="746">
      <c r="C746" s="79"/>
      <c r="D746" s="79"/>
      <c r="E746" s="79"/>
      <c r="N746" s="79"/>
      <c r="S746" s="79"/>
      <c r="T746" s="79"/>
      <c r="W746" s="79"/>
      <c r="X746" s="79"/>
      <c r="AA746" s="130"/>
      <c r="AC746" s="106"/>
    </row>
    <row r="747">
      <c r="C747" s="79"/>
      <c r="D747" s="79"/>
      <c r="E747" s="79"/>
      <c r="N747" s="79"/>
      <c r="S747" s="79"/>
      <c r="T747" s="79"/>
      <c r="W747" s="79"/>
      <c r="X747" s="79"/>
      <c r="AA747" s="130"/>
      <c r="AC747" s="106"/>
    </row>
    <row r="748">
      <c r="C748" s="79"/>
      <c r="D748" s="79"/>
      <c r="E748" s="79"/>
      <c r="N748" s="79"/>
      <c r="S748" s="79"/>
      <c r="T748" s="79"/>
      <c r="W748" s="79"/>
      <c r="X748" s="79"/>
      <c r="AA748" s="130"/>
      <c r="AC748" s="106"/>
    </row>
    <row r="749">
      <c r="C749" s="79"/>
      <c r="D749" s="79"/>
      <c r="E749" s="79"/>
      <c r="N749" s="79"/>
      <c r="S749" s="79"/>
      <c r="T749" s="79"/>
      <c r="W749" s="79"/>
      <c r="X749" s="79"/>
      <c r="AA749" s="130"/>
      <c r="AC749" s="106"/>
    </row>
    <row r="750">
      <c r="C750" s="79"/>
      <c r="D750" s="79"/>
      <c r="E750" s="79"/>
      <c r="N750" s="79"/>
      <c r="S750" s="79"/>
      <c r="T750" s="79"/>
      <c r="W750" s="79"/>
      <c r="X750" s="79"/>
      <c r="AA750" s="130"/>
      <c r="AC750" s="106"/>
    </row>
    <row r="751">
      <c r="C751" s="79"/>
      <c r="D751" s="79"/>
      <c r="E751" s="79"/>
      <c r="N751" s="79"/>
      <c r="S751" s="79"/>
      <c r="T751" s="79"/>
      <c r="W751" s="79"/>
      <c r="X751" s="79"/>
      <c r="AA751" s="130"/>
      <c r="AC751" s="106"/>
    </row>
    <row r="752">
      <c r="C752" s="79"/>
      <c r="D752" s="79"/>
      <c r="E752" s="79"/>
      <c r="N752" s="79"/>
      <c r="S752" s="79"/>
      <c r="T752" s="79"/>
      <c r="W752" s="79"/>
      <c r="X752" s="79"/>
      <c r="AA752" s="130"/>
      <c r="AC752" s="106"/>
    </row>
    <row r="753">
      <c r="C753" s="79"/>
      <c r="D753" s="79"/>
      <c r="E753" s="79"/>
      <c r="N753" s="79"/>
      <c r="S753" s="79"/>
      <c r="T753" s="79"/>
      <c r="W753" s="79"/>
      <c r="X753" s="79"/>
      <c r="AA753" s="130"/>
      <c r="AC753" s="106"/>
    </row>
    <row r="754">
      <c r="C754" s="79"/>
      <c r="D754" s="79"/>
      <c r="E754" s="79"/>
      <c r="N754" s="79"/>
      <c r="S754" s="79"/>
      <c r="T754" s="79"/>
      <c r="W754" s="79"/>
      <c r="X754" s="79"/>
      <c r="AA754" s="130"/>
      <c r="AC754" s="106"/>
    </row>
    <row r="755">
      <c r="C755" s="79"/>
      <c r="D755" s="79"/>
      <c r="E755" s="79"/>
      <c r="N755" s="79"/>
      <c r="S755" s="79"/>
      <c r="T755" s="79"/>
      <c r="W755" s="79"/>
      <c r="X755" s="79"/>
      <c r="AA755" s="130"/>
      <c r="AC755" s="106"/>
    </row>
    <row r="756">
      <c r="C756" s="79"/>
      <c r="D756" s="79"/>
      <c r="E756" s="79"/>
      <c r="N756" s="79"/>
      <c r="S756" s="79"/>
      <c r="T756" s="79"/>
      <c r="W756" s="79"/>
      <c r="X756" s="79"/>
      <c r="AA756" s="130"/>
      <c r="AC756" s="106"/>
    </row>
    <row r="757">
      <c r="C757" s="79"/>
      <c r="D757" s="79"/>
      <c r="E757" s="79"/>
      <c r="N757" s="79"/>
      <c r="S757" s="79"/>
      <c r="T757" s="79"/>
      <c r="W757" s="79"/>
      <c r="X757" s="79"/>
      <c r="AA757" s="130"/>
      <c r="AC757" s="106"/>
    </row>
    <row r="758">
      <c r="C758" s="79"/>
      <c r="D758" s="79"/>
      <c r="E758" s="79"/>
      <c r="N758" s="79"/>
      <c r="S758" s="79"/>
      <c r="T758" s="79"/>
      <c r="W758" s="79"/>
      <c r="X758" s="79"/>
      <c r="AA758" s="130"/>
      <c r="AC758" s="106"/>
    </row>
    <row r="759">
      <c r="C759" s="79"/>
      <c r="D759" s="79"/>
      <c r="E759" s="79"/>
      <c r="N759" s="79"/>
      <c r="S759" s="79"/>
      <c r="T759" s="79"/>
      <c r="W759" s="79"/>
      <c r="X759" s="79"/>
      <c r="AA759" s="130"/>
      <c r="AC759" s="106"/>
    </row>
    <row r="760">
      <c r="C760" s="79"/>
      <c r="D760" s="79"/>
      <c r="E760" s="79"/>
      <c r="N760" s="79"/>
      <c r="S760" s="79"/>
      <c r="T760" s="79"/>
      <c r="W760" s="79"/>
      <c r="X760" s="79"/>
      <c r="AA760" s="130"/>
      <c r="AC760" s="106"/>
    </row>
    <row r="761">
      <c r="C761" s="79"/>
      <c r="D761" s="79"/>
      <c r="E761" s="79"/>
      <c r="N761" s="79"/>
      <c r="S761" s="79"/>
      <c r="T761" s="79"/>
      <c r="W761" s="79"/>
      <c r="X761" s="79"/>
      <c r="AA761" s="130"/>
      <c r="AC761" s="106"/>
    </row>
    <row r="762">
      <c r="C762" s="79"/>
      <c r="D762" s="79"/>
      <c r="E762" s="79"/>
      <c r="N762" s="79"/>
      <c r="S762" s="79"/>
      <c r="T762" s="79"/>
      <c r="W762" s="79"/>
      <c r="X762" s="79"/>
      <c r="AA762" s="130"/>
      <c r="AC762" s="106"/>
    </row>
    <row r="763">
      <c r="C763" s="79"/>
      <c r="D763" s="79"/>
      <c r="E763" s="79"/>
      <c r="N763" s="79"/>
      <c r="S763" s="79"/>
      <c r="T763" s="79"/>
      <c r="W763" s="79"/>
      <c r="X763" s="79"/>
      <c r="AA763" s="130"/>
      <c r="AC763" s="106"/>
    </row>
    <row r="764">
      <c r="C764" s="79"/>
      <c r="D764" s="79"/>
      <c r="E764" s="79"/>
      <c r="N764" s="79"/>
      <c r="S764" s="79"/>
      <c r="T764" s="79"/>
      <c r="W764" s="79"/>
      <c r="X764" s="79"/>
      <c r="AA764" s="130"/>
      <c r="AC764" s="106"/>
    </row>
    <row r="765">
      <c r="C765" s="79"/>
      <c r="D765" s="79"/>
      <c r="E765" s="79"/>
      <c r="N765" s="79"/>
      <c r="S765" s="79"/>
      <c r="T765" s="79"/>
      <c r="W765" s="79"/>
      <c r="X765" s="79"/>
      <c r="AA765" s="130"/>
      <c r="AC765" s="106"/>
    </row>
    <row r="766">
      <c r="C766" s="79"/>
      <c r="D766" s="79"/>
      <c r="E766" s="79"/>
      <c r="N766" s="79"/>
      <c r="S766" s="79"/>
      <c r="T766" s="79"/>
      <c r="W766" s="79"/>
      <c r="X766" s="79"/>
      <c r="AA766" s="130"/>
      <c r="AC766" s="106"/>
    </row>
    <row r="767">
      <c r="C767" s="79"/>
      <c r="D767" s="79"/>
      <c r="E767" s="79"/>
      <c r="N767" s="79"/>
      <c r="S767" s="79"/>
      <c r="T767" s="79"/>
      <c r="W767" s="79"/>
      <c r="X767" s="79"/>
      <c r="AA767" s="130"/>
      <c r="AC767" s="106"/>
    </row>
    <row r="768">
      <c r="C768" s="79"/>
      <c r="D768" s="79"/>
      <c r="E768" s="79"/>
      <c r="N768" s="79"/>
      <c r="S768" s="79"/>
      <c r="T768" s="79"/>
      <c r="W768" s="79"/>
      <c r="X768" s="79"/>
      <c r="AA768" s="130"/>
      <c r="AC768" s="106"/>
    </row>
    <row r="769">
      <c r="C769" s="79"/>
      <c r="D769" s="79"/>
      <c r="E769" s="79"/>
      <c r="N769" s="79"/>
      <c r="S769" s="79"/>
      <c r="T769" s="79"/>
      <c r="W769" s="79"/>
      <c r="X769" s="79"/>
      <c r="AA769" s="130"/>
      <c r="AC769" s="106"/>
    </row>
    <row r="770">
      <c r="C770" s="79"/>
      <c r="D770" s="79"/>
      <c r="E770" s="79"/>
      <c r="N770" s="79"/>
      <c r="S770" s="79"/>
      <c r="T770" s="79"/>
      <c r="W770" s="79"/>
      <c r="X770" s="79"/>
      <c r="AA770" s="130"/>
      <c r="AC770" s="106"/>
    </row>
    <row r="771">
      <c r="C771" s="79"/>
      <c r="D771" s="79"/>
      <c r="E771" s="79"/>
      <c r="N771" s="79"/>
      <c r="S771" s="79"/>
      <c r="T771" s="79"/>
      <c r="W771" s="79"/>
      <c r="X771" s="79"/>
      <c r="AA771" s="130"/>
      <c r="AC771" s="106"/>
    </row>
    <row r="772">
      <c r="C772" s="79"/>
      <c r="D772" s="79"/>
      <c r="E772" s="79"/>
      <c r="N772" s="79"/>
      <c r="S772" s="79"/>
      <c r="T772" s="79"/>
      <c r="W772" s="79"/>
      <c r="X772" s="79"/>
      <c r="AA772" s="130"/>
      <c r="AC772" s="106"/>
    </row>
    <row r="773">
      <c r="C773" s="79"/>
      <c r="D773" s="79"/>
      <c r="E773" s="79"/>
      <c r="N773" s="79"/>
      <c r="S773" s="79"/>
      <c r="T773" s="79"/>
      <c r="W773" s="79"/>
      <c r="X773" s="79"/>
      <c r="AA773" s="130"/>
      <c r="AC773" s="106"/>
    </row>
    <row r="774">
      <c r="C774" s="79"/>
      <c r="D774" s="79"/>
      <c r="E774" s="79"/>
      <c r="N774" s="79"/>
      <c r="S774" s="79"/>
      <c r="T774" s="79"/>
      <c r="W774" s="79"/>
      <c r="X774" s="79"/>
      <c r="AA774" s="130"/>
      <c r="AC774" s="106"/>
    </row>
    <row r="775">
      <c r="C775" s="79"/>
      <c r="D775" s="79"/>
      <c r="E775" s="79"/>
      <c r="N775" s="79"/>
      <c r="S775" s="79"/>
      <c r="T775" s="79"/>
      <c r="W775" s="79"/>
      <c r="X775" s="79"/>
      <c r="AA775" s="130"/>
      <c r="AC775" s="106"/>
    </row>
    <row r="776">
      <c r="C776" s="79"/>
      <c r="D776" s="79"/>
      <c r="E776" s="79"/>
      <c r="N776" s="79"/>
      <c r="S776" s="79"/>
      <c r="T776" s="79"/>
      <c r="W776" s="79"/>
      <c r="X776" s="79"/>
      <c r="AA776" s="130"/>
      <c r="AC776" s="106"/>
    </row>
    <row r="777">
      <c r="C777" s="79"/>
      <c r="D777" s="79"/>
      <c r="E777" s="79"/>
      <c r="N777" s="79"/>
      <c r="S777" s="79"/>
      <c r="T777" s="79"/>
      <c r="W777" s="79"/>
      <c r="X777" s="79"/>
      <c r="AA777" s="130"/>
      <c r="AC777" s="106"/>
    </row>
    <row r="778">
      <c r="C778" s="79"/>
      <c r="D778" s="79"/>
      <c r="E778" s="79"/>
      <c r="N778" s="79"/>
      <c r="S778" s="79"/>
      <c r="T778" s="79"/>
      <c r="W778" s="79"/>
      <c r="X778" s="79"/>
      <c r="AA778" s="130"/>
      <c r="AC778" s="106"/>
    </row>
    <row r="779">
      <c r="C779" s="79"/>
      <c r="D779" s="79"/>
      <c r="E779" s="79"/>
      <c r="N779" s="79"/>
      <c r="S779" s="79"/>
      <c r="T779" s="79"/>
      <c r="W779" s="79"/>
      <c r="X779" s="79"/>
      <c r="AA779" s="130"/>
      <c r="AC779" s="106"/>
    </row>
    <row r="780">
      <c r="C780" s="79"/>
      <c r="D780" s="79"/>
      <c r="E780" s="79"/>
      <c r="N780" s="79"/>
      <c r="S780" s="79"/>
      <c r="T780" s="79"/>
      <c r="W780" s="79"/>
      <c r="X780" s="79"/>
      <c r="AA780" s="130"/>
      <c r="AC780" s="106"/>
    </row>
    <row r="781">
      <c r="C781" s="79"/>
      <c r="D781" s="79"/>
      <c r="E781" s="79"/>
      <c r="N781" s="79"/>
      <c r="S781" s="79"/>
      <c r="T781" s="79"/>
      <c r="W781" s="79"/>
      <c r="X781" s="79"/>
      <c r="AA781" s="130"/>
      <c r="AC781" s="106"/>
    </row>
    <row r="782">
      <c r="C782" s="79"/>
      <c r="D782" s="79"/>
      <c r="E782" s="79"/>
      <c r="N782" s="79"/>
      <c r="S782" s="79"/>
      <c r="T782" s="79"/>
      <c r="W782" s="79"/>
      <c r="X782" s="79"/>
      <c r="AA782" s="130"/>
      <c r="AC782" s="106"/>
    </row>
    <row r="783">
      <c r="C783" s="79"/>
      <c r="D783" s="79"/>
      <c r="E783" s="79"/>
      <c r="N783" s="79"/>
      <c r="S783" s="79"/>
      <c r="T783" s="79"/>
      <c r="W783" s="79"/>
      <c r="X783" s="79"/>
      <c r="AA783" s="130"/>
      <c r="AC783" s="106"/>
    </row>
    <row r="784">
      <c r="C784" s="79"/>
      <c r="D784" s="79"/>
      <c r="E784" s="79"/>
      <c r="N784" s="79"/>
      <c r="S784" s="79"/>
      <c r="T784" s="79"/>
      <c r="W784" s="79"/>
      <c r="X784" s="79"/>
      <c r="AA784" s="130"/>
      <c r="AC784" s="106"/>
    </row>
    <row r="785">
      <c r="C785" s="79"/>
      <c r="D785" s="79"/>
      <c r="E785" s="79"/>
      <c r="N785" s="79"/>
      <c r="S785" s="79"/>
      <c r="T785" s="79"/>
      <c r="W785" s="79"/>
      <c r="X785" s="79"/>
      <c r="AA785" s="130"/>
      <c r="AC785" s="106"/>
    </row>
    <row r="786">
      <c r="C786" s="79"/>
      <c r="D786" s="79"/>
      <c r="E786" s="79"/>
      <c r="N786" s="79"/>
      <c r="S786" s="79"/>
      <c r="T786" s="79"/>
      <c r="W786" s="79"/>
      <c r="X786" s="79"/>
      <c r="AA786" s="130"/>
      <c r="AC786" s="106"/>
    </row>
    <row r="787">
      <c r="C787" s="79"/>
      <c r="D787" s="79"/>
      <c r="E787" s="79"/>
      <c r="N787" s="79"/>
      <c r="S787" s="79"/>
      <c r="T787" s="79"/>
      <c r="W787" s="79"/>
      <c r="X787" s="79"/>
      <c r="AA787" s="130"/>
      <c r="AC787" s="106"/>
    </row>
    <row r="788">
      <c r="C788" s="79"/>
      <c r="D788" s="79"/>
      <c r="E788" s="79"/>
      <c r="N788" s="79"/>
      <c r="S788" s="79"/>
      <c r="T788" s="79"/>
      <c r="W788" s="79"/>
      <c r="X788" s="79"/>
      <c r="AA788" s="130"/>
      <c r="AC788" s="106"/>
    </row>
    <row r="789">
      <c r="C789" s="79"/>
      <c r="D789" s="79"/>
      <c r="E789" s="79"/>
      <c r="N789" s="79"/>
      <c r="S789" s="79"/>
      <c r="T789" s="79"/>
      <c r="W789" s="79"/>
      <c r="X789" s="79"/>
      <c r="AA789" s="130"/>
      <c r="AC789" s="106"/>
    </row>
    <row r="790">
      <c r="C790" s="79"/>
      <c r="D790" s="79"/>
      <c r="E790" s="79"/>
      <c r="N790" s="79"/>
      <c r="S790" s="79"/>
      <c r="T790" s="79"/>
      <c r="W790" s="79"/>
      <c r="X790" s="79"/>
      <c r="AA790" s="130"/>
      <c r="AC790" s="106"/>
    </row>
    <row r="791">
      <c r="C791" s="79"/>
      <c r="D791" s="79"/>
      <c r="E791" s="79"/>
      <c r="N791" s="79"/>
      <c r="S791" s="79"/>
      <c r="T791" s="79"/>
      <c r="W791" s="79"/>
      <c r="X791" s="79"/>
      <c r="AA791" s="130"/>
      <c r="AC791" s="106"/>
    </row>
    <row r="792">
      <c r="C792" s="79"/>
      <c r="D792" s="79"/>
      <c r="E792" s="79"/>
      <c r="N792" s="79"/>
      <c r="S792" s="79"/>
      <c r="T792" s="79"/>
      <c r="W792" s="79"/>
      <c r="X792" s="79"/>
      <c r="AA792" s="130"/>
      <c r="AC792" s="106"/>
    </row>
    <row r="793">
      <c r="C793" s="79"/>
      <c r="D793" s="79"/>
      <c r="E793" s="79"/>
      <c r="N793" s="79"/>
      <c r="S793" s="79"/>
      <c r="T793" s="79"/>
      <c r="W793" s="79"/>
      <c r="X793" s="79"/>
      <c r="AA793" s="130"/>
      <c r="AC793" s="106"/>
    </row>
    <row r="794">
      <c r="C794" s="79"/>
      <c r="D794" s="79"/>
      <c r="E794" s="79"/>
      <c r="N794" s="79"/>
      <c r="S794" s="79"/>
      <c r="T794" s="79"/>
      <c r="W794" s="79"/>
      <c r="X794" s="79"/>
      <c r="AA794" s="130"/>
      <c r="AC794" s="106"/>
    </row>
    <row r="795">
      <c r="C795" s="79"/>
      <c r="D795" s="79"/>
      <c r="E795" s="79"/>
      <c r="N795" s="79"/>
      <c r="S795" s="79"/>
      <c r="T795" s="79"/>
      <c r="W795" s="79"/>
      <c r="X795" s="79"/>
      <c r="AA795" s="130"/>
      <c r="AC795" s="106"/>
    </row>
    <row r="796">
      <c r="C796" s="79"/>
      <c r="D796" s="79"/>
      <c r="E796" s="79"/>
      <c r="N796" s="79"/>
      <c r="S796" s="79"/>
      <c r="T796" s="79"/>
      <c r="W796" s="79"/>
      <c r="X796" s="79"/>
      <c r="AA796" s="130"/>
      <c r="AC796" s="106"/>
    </row>
    <row r="797">
      <c r="C797" s="79"/>
      <c r="D797" s="79"/>
      <c r="E797" s="79"/>
      <c r="N797" s="79"/>
      <c r="S797" s="79"/>
      <c r="T797" s="79"/>
      <c r="W797" s="79"/>
      <c r="X797" s="79"/>
      <c r="AA797" s="130"/>
      <c r="AC797" s="106"/>
    </row>
    <row r="798">
      <c r="C798" s="79"/>
      <c r="D798" s="79"/>
      <c r="E798" s="79"/>
      <c r="N798" s="79"/>
      <c r="S798" s="79"/>
      <c r="T798" s="79"/>
      <c r="W798" s="79"/>
      <c r="X798" s="79"/>
      <c r="AA798" s="130"/>
      <c r="AC798" s="106"/>
    </row>
    <row r="799">
      <c r="C799" s="79"/>
      <c r="D799" s="79"/>
      <c r="E799" s="79"/>
      <c r="N799" s="79"/>
      <c r="S799" s="79"/>
      <c r="T799" s="79"/>
      <c r="W799" s="79"/>
      <c r="X799" s="79"/>
      <c r="AA799" s="130"/>
      <c r="AC799" s="106"/>
    </row>
    <row r="800">
      <c r="C800" s="79"/>
      <c r="D800" s="79"/>
      <c r="E800" s="79"/>
      <c r="N800" s="79"/>
      <c r="S800" s="79"/>
      <c r="T800" s="79"/>
      <c r="W800" s="79"/>
      <c r="X800" s="79"/>
      <c r="AA800" s="130"/>
      <c r="AC800" s="106"/>
    </row>
    <row r="801">
      <c r="C801" s="79"/>
      <c r="D801" s="79"/>
      <c r="E801" s="79"/>
      <c r="N801" s="79"/>
      <c r="S801" s="79"/>
      <c r="T801" s="79"/>
      <c r="W801" s="79"/>
      <c r="X801" s="79"/>
      <c r="AA801" s="130"/>
      <c r="AC801" s="106"/>
    </row>
    <row r="802">
      <c r="C802" s="79"/>
      <c r="D802" s="79"/>
      <c r="E802" s="79"/>
      <c r="N802" s="79"/>
      <c r="S802" s="79"/>
      <c r="T802" s="79"/>
      <c r="W802" s="79"/>
      <c r="X802" s="79"/>
      <c r="AA802" s="130"/>
      <c r="AC802" s="106"/>
    </row>
    <row r="803">
      <c r="C803" s="79"/>
      <c r="D803" s="79"/>
      <c r="E803" s="79"/>
      <c r="N803" s="79"/>
      <c r="S803" s="79"/>
      <c r="T803" s="79"/>
      <c r="W803" s="79"/>
      <c r="X803" s="79"/>
      <c r="AA803" s="130"/>
      <c r="AC803" s="106"/>
    </row>
    <row r="804">
      <c r="C804" s="79"/>
      <c r="D804" s="79"/>
      <c r="E804" s="79"/>
      <c r="N804" s="79"/>
      <c r="S804" s="79"/>
      <c r="T804" s="79"/>
      <c r="W804" s="79"/>
      <c r="X804" s="79"/>
      <c r="AA804" s="130"/>
      <c r="AC804" s="106"/>
    </row>
    <row r="805">
      <c r="C805" s="79"/>
      <c r="D805" s="79"/>
      <c r="E805" s="79"/>
      <c r="N805" s="79"/>
      <c r="S805" s="79"/>
      <c r="T805" s="79"/>
      <c r="W805" s="79"/>
      <c r="X805" s="79"/>
      <c r="AA805" s="130"/>
      <c r="AC805" s="106"/>
    </row>
    <row r="806">
      <c r="C806" s="79"/>
      <c r="D806" s="79"/>
      <c r="E806" s="79"/>
      <c r="N806" s="79"/>
      <c r="S806" s="79"/>
      <c r="T806" s="79"/>
      <c r="W806" s="79"/>
      <c r="X806" s="79"/>
      <c r="AA806" s="130"/>
      <c r="AC806" s="106"/>
    </row>
    <row r="807">
      <c r="C807" s="79"/>
      <c r="D807" s="79"/>
      <c r="E807" s="79"/>
      <c r="N807" s="79"/>
      <c r="S807" s="79"/>
      <c r="T807" s="79"/>
      <c r="W807" s="79"/>
      <c r="X807" s="79"/>
      <c r="AA807" s="130"/>
      <c r="AC807" s="106"/>
    </row>
    <row r="808">
      <c r="C808" s="79"/>
      <c r="D808" s="79"/>
      <c r="E808" s="79"/>
      <c r="N808" s="79"/>
      <c r="S808" s="79"/>
      <c r="T808" s="79"/>
      <c r="W808" s="79"/>
      <c r="X808" s="79"/>
      <c r="AA808" s="130"/>
      <c r="AC808" s="106"/>
    </row>
    <row r="809">
      <c r="C809" s="79"/>
      <c r="D809" s="79"/>
      <c r="E809" s="79"/>
      <c r="N809" s="79"/>
      <c r="S809" s="79"/>
      <c r="T809" s="79"/>
      <c r="W809" s="79"/>
      <c r="X809" s="79"/>
      <c r="AA809" s="130"/>
      <c r="AC809" s="106"/>
    </row>
    <row r="810">
      <c r="C810" s="79"/>
      <c r="D810" s="79"/>
      <c r="E810" s="79"/>
      <c r="N810" s="79"/>
      <c r="S810" s="79"/>
      <c r="T810" s="79"/>
      <c r="W810" s="79"/>
      <c r="X810" s="79"/>
      <c r="AA810" s="130"/>
      <c r="AC810" s="106"/>
    </row>
    <row r="811">
      <c r="C811" s="79"/>
      <c r="D811" s="79"/>
      <c r="E811" s="79"/>
      <c r="N811" s="79"/>
      <c r="S811" s="79"/>
      <c r="T811" s="79"/>
      <c r="W811" s="79"/>
      <c r="X811" s="79"/>
      <c r="AA811" s="130"/>
      <c r="AC811" s="106"/>
    </row>
    <row r="812">
      <c r="C812" s="79"/>
      <c r="D812" s="79"/>
      <c r="E812" s="79"/>
      <c r="N812" s="79"/>
      <c r="S812" s="79"/>
      <c r="T812" s="79"/>
      <c r="W812" s="79"/>
      <c r="X812" s="79"/>
      <c r="AA812" s="130"/>
      <c r="AC812" s="106"/>
    </row>
    <row r="813">
      <c r="C813" s="79"/>
      <c r="D813" s="79"/>
      <c r="E813" s="79"/>
      <c r="N813" s="79"/>
      <c r="S813" s="79"/>
      <c r="T813" s="79"/>
      <c r="W813" s="79"/>
      <c r="X813" s="79"/>
      <c r="AA813" s="130"/>
      <c r="AC813" s="106"/>
    </row>
    <row r="814">
      <c r="C814" s="79"/>
      <c r="D814" s="79"/>
      <c r="E814" s="79"/>
      <c r="N814" s="79"/>
      <c r="S814" s="79"/>
      <c r="T814" s="79"/>
      <c r="W814" s="79"/>
      <c r="X814" s="79"/>
      <c r="AA814" s="130"/>
      <c r="AC814" s="106"/>
    </row>
    <row r="815">
      <c r="C815" s="79"/>
      <c r="D815" s="79"/>
      <c r="E815" s="79"/>
      <c r="N815" s="79"/>
      <c r="S815" s="79"/>
      <c r="T815" s="79"/>
      <c r="W815" s="79"/>
      <c r="X815" s="79"/>
      <c r="AA815" s="130"/>
      <c r="AC815" s="106"/>
    </row>
    <row r="816">
      <c r="C816" s="79"/>
      <c r="D816" s="79"/>
      <c r="E816" s="79"/>
      <c r="N816" s="79"/>
      <c r="S816" s="79"/>
      <c r="T816" s="79"/>
      <c r="W816" s="79"/>
      <c r="X816" s="79"/>
      <c r="AA816" s="130"/>
      <c r="AC816" s="106"/>
    </row>
    <row r="817">
      <c r="C817" s="79"/>
      <c r="D817" s="79"/>
      <c r="E817" s="79"/>
      <c r="N817" s="79"/>
      <c r="S817" s="79"/>
      <c r="T817" s="79"/>
      <c r="W817" s="79"/>
      <c r="X817" s="79"/>
      <c r="AA817" s="130"/>
      <c r="AC817" s="106"/>
    </row>
    <row r="818">
      <c r="C818" s="79"/>
      <c r="D818" s="79"/>
      <c r="E818" s="79"/>
      <c r="N818" s="79"/>
      <c r="S818" s="79"/>
      <c r="T818" s="79"/>
      <c r="W818" s="79"/>
      <c r="X818" s="79"/>
      <c r="AA818" s="130"/>
      <c r="AC818" s="106"/>
    </row>
    <row r="819">
      <c r="C819" s="79"/>
      <c r="D819" s="79"/>
      <c r="E819" s="79"/>
      <c r="N819" s="79"/>
      <c r="S819" s="79"/>
      <c r="T819" s="79"/>
      <c r="W819" s="79"/>
      <c r="X819" s="79"/>
      <c r="AA819" s="130"/>
      <c r="AC819" s="106"/>
    </row>
    <row r="820">
      <c r="C820" s="79"/>
      <c r="D820" s="79"/>
      <c r="E820" s="79"/>
      <c r="N820" s="79"/>
      <c r="S820" s="79"/>
      <c r="T820" s="79"/>
      <c r="W820" s="79"/>
      <c r="X820" s="79"/>
      <c r="AA820" s="130"/>
      <c r="AC820" s="106"/>
    </row>
    <row r="821">
      <c r="C821" s="79"/>
      <c r="D821" s="79"/>
      <c r="E821" s="79"/>
      <c r="N821" s="79"/>
      <c r="S821" s="79"/>
      <c r="T821" s="79"/>
      <c r="W821" s="79"/>
      <c r="X821" s="79"/>
      <c r="AA821" s="130"/>
      <c r="AC821" s="106"/>
    </row>
    <row r="822">
      <c r="C822" s="79"/>
      <c r="D822" s="79"/>
      <c r="E822" s="79"/>
      <c r="N822" s="79"/>
      <c r="S822" s="79"/>
      <c r="T822" s="79"/>
      <c r="W822" s="79"/>
      <c r="X822" s="79"/>
      <c r="AA822" s="130"/>
      <c r="AC822" s="106"/>
    </row>
    <row r="823">
      <c r="C823" s="79"/>
      <c r="D823" s="79"/>
      <c r="E823" s="79"/>
      <c r="N823" s="79"/>
      <c r="S823" s="79"/>
      <c r="T823" s="79"/>
      <c r="W823" s="79"/>
      <c r="X823" s="79"/>
      <c r="AA823" s="130"/>
      <c r="AC823" s="106"/>
    </row>
    <row r="824">
      <c r="C824" s="79"/>
      <c r="D824" s="79"/>
      <c r="E824" s="79"/>
      <c r="N824" s="79"/>
      <c r="S824" s="79"/>
      <c r="T824" s="79"/>
      <c r="W824" s="79"/>
      <c r="X824" s="79"/>
      <c r="AA824" s="130"/>
      <c r="AC824" s="106"/>
    </row>
    <row r="825">
      <c r="C825" s="79"/>
      <c r="D825" s="79"/>
      <c r="E825" s="79"/>
      <c r="N825" s="79"/>
      <c r="S825" s="79"/>
      <c r="T825" s="79"/>
      <c r="W825" s="79"/>
      <c r="X825" s="79"/>
      <c r="AA825" s="130"/>
      <c r="AC825" s="106"/>
    </row>
    <row r="826">
      <c r="C826" s="79"/>
      <c r="D826" s="79"/>
      <c r="E826" s="79"/>
      <c r="N826" s="79"/>
      <c r="S826" s="79"/>
      <c r="T826" s="79"/>
      <c r="W826" s="79"/>
      <c r="X826" s="79"/>
      <c r="AA826" s="130"/>
      <c r="AC826" s="106"/>
    </row>
    <row r="827">
      <c r="C827" s="79"/>
      <c r="D827" s="79"/>
      <c r="E827" s="79"/>
      <c r="N827" s="79"/>
      <c r="S827" s="79"/>
      <c r="T827" s="79"/>
      <c r="W827" s="79"/>
      <c r="X827" s="79"/>
      <c r="AA827" s="130"/>
      <c r="AC827" s="106"/>
    </row>
    <row r="828">
      <c r="C828" s="79"/>
      <c r="D828" s="79"/>
      <c r="E828" s="79"/>
      <c r="N828" s="79"/>
      <c r="S828" s="79"/>
      <c r="T828" s="79"/>
      <c r="W828" s="79"/>
      <c r="X828" s="79"/>
      <c r="AA828" s="130"/>
      <c r="AC828" s="106"/>
    </row>
    <row r="829">
      <c r="C829" s="79"/>
      <c r="D829" s="79"/>
      <c r="E829" s="79"/>
      <c r="N829" s="79"/>
      <c r="S829" s="79"/>
      <c r="T829" s="79"/>
      <c r="W829" s="79"/>
      <c r="X829" s="79"/>
      <c r="AA829" s="130"/>
      <c r="AC829" s="106"/>
    </row>
    <row r="830">
      <c r="C830" s="79"/>
      <c r="D830" s="79"/>
      <c r="E830" s="79"/>
      <c r="N830" s="79"/>
      <c r="S830" s="79"/>
      <c r="T830" s="79"/>
      <c r="W830" s="79"/>
      <c r="X830" s="79"/>
      <c r="AA830" s="130"/>
      <c r="AC830" s="106"/>
    </row>
    <row r="831">
      <c r="C831" s="79"/>
      <c r="D831" s="79"/>
      <c r="E831" s="79"/>
      <c r="N831" s="79"/>
      <c r="S831" s="79"/>
      <c r="T831" s="79"/>
      <c r="W831" s="79"/>
      <c r="X831" s="79"/>
      <c r="AA831" s="130"/>
      <c r="AC831" s="106"/>
    </row>
    <row r="832">
      <c r="C832" s="79"/>
      <c r="D832" s="79"/>
      <c r="E832" s="79"/>
      <c r="N832" s="79"/>
      <c r="S832" s="79"/>
      <c r="T832" s="79"/>
      <c r="W832" s="79"/>
      <c r="X832" s="79"/>
      <c r="AA832" s="130"/>
      <c r="AC832" s="106"/>
    </row>
    <row r="833">
      <c r="C833" s="79"/>
      <c r="D833" s="79"/>
      <c r="E833" s="79"/>
      <c r="N833" s="79"/>
      <c r="S833" s="79"/>
      <c r="T833" s="79"/>
      <c r="W833" s="79"/>
      <c r="X833" s="79"/>
      <c r="AA833" s="130"/>
      <c r="AC833" s="106"/>
    </row>
    <row r="834">
      <c r="C834" s="79"/>
      <c r="D834" s="79"/>
      <c r="E834" s="79"/>
      <c r="N834" s="79"/>
      <c r="S834" s="79"/>
      <c r="T834" s="79"/>
      <c r="W834" s="79"/>
      <c r="X834" s="79"/>
      <c r="AA834" s="130"/>
      <c r="AC834" s="106"/>
    </row>
    <row r="835">
      <c r="C835" s="79"/>
      <c r="D835" s="79"/>
      <c r="E835" s="79"/>
      <c r="N835" s="79"/>
      <c r="S835" s="79"/>
      <c r="T835" s="79"/>
      <c r="W835" s="79"/>
      <c r="X835" s="79"/>
      <c r="AA835" s="130"/>
      <c r="AC835" s="106"/>
    </row>
    <row r="836">
      <c r="C836" s="79"/>
      <c r="D836" s="79"/>
      <c r="E836" s="79"/>
      <c r="N836" s="79"/>
      <c r="S836" s="79"/>
      <c r="T836" s="79"/>
      <c r="W836" s="79"/>
      <c r="X836" s="79"/>
      <c r="AA836" s="130"/>
      <c r="AC836" s="106"/>
    </row>
    <row r="837">
      <c r="C837" s="79"/>
      <c r="D837" s="79"/>
      <c r="E837" s="79"/>
      <c r="N837" s="79"/>
      <c r="S837" s="79"/>
      <c r="T837" s="79"/>
      <c r="W837" s="79"/>
      <c r="X837" s="79"/>
      <c r="AA837" s="130"/>
      <c r="AC837" s="106"/>
    </row>
    <row r="838">
      <c r="C838" s="79"/>
      <c r="D838" s="79"/>
      <c r="E838" s="79"/>
      <c r="N838" s="79"/>
      <c r="S838" s="79"/>
      <c r="T838" s="79"/>
      <c r="W838" s="79"/>
      <c r="X838" s="79"/>
      <c r="AA838" s="130"/>
      <c r="AC838" s="106"/>
    </row>
    <row r="839">
      <c r="C839" s="79"/>
      <c r="D839" s="79"/>
      <c r="E839" s="79"/>
      <c r="N839" s="79"/>
      <c r="S839" s="79"/>
      <c r="T839" s="79"/>
      <c r="W839" s="79"/>
      <c r="X839" s="79"/>
      <c r="AA839" s="130"/>
      <c r="AC839" s="106"/>
    </row>
    <row r="840">
      <c r="C840" s="79"/>
      <c r="D840" s="79"/>
      <c r="E840" s="79"/>
      <c r="N840" s="79"/>
      <c r="S840" s="79"/>
      <c r="T840" s="79"/>
      <c r="W840" s="79"/>
      <c r="X840" s="79"/>
      <c r="AA840" s="130"/>
      <c r="AC840" s="106"/>
    </row>
    <row r="841">
      <c r="C841" s="79"/>
      <c r="D841" s="79"/>
      <c r="E841" s="79"/>
      <c r="N841" s="79"/>
      <c r="S841" s="79"/>
      <c r="T841" s="79"/>
      <c r="W841" s="79"/>
      <c r="X841" s="79"/>
      <c r="AA841" s="130"/>
      <c r="AC841" s="106"/>
    </row>
    <row r="842">
      <c r="C842" s="79"/>
      <c r="D842" s="79"/>
      <c r="E842" s="79"/>
      <c r="N842" s="79"/>
      <c r="S842" s="79"/>
      <c r="T842" s="79"/>
      <c r="W842" s="79"/>
      <c r="X842" s="79"/>
      <c r="AA842" s="130"/>
      <c r="AC842" s="106"/>
    </row>
    <row r="843">
      <c r="C843" s="79"/>
      <c r="D843" s="79"/>
      <c r="E843" s="79"/>
      <c r="N843" s="79"/>
      <c r="S843" s="79"/>
      <c r="T843" s="79"/>
      <c r="W843" s="79"/>
      <c r="X843" s="79"/>
      <c r="AA843" s="130"/>
      <c r="AC843" s="106"/>
    </row>
    <row r="844">
      <c r="C844" s="79"/>
      <c r="D844" s="79"/>
      <c r="E844" s="79"/>
      <c r="N844" s="79"/>
      <c r="S844" s="79"/>
      <c r="T844" s="79"/>
      <c r="W844" s="79"/>
      <c r="X844" s="79"/>
      <c r="AA844" s="130"/>
      <c r="AC844" s="106"/>
    </row>
    <row r="845">
      <c r="C845" s="79"/>
      <c r="D845" s="79"/>
      <c r="E845" s="79"/>
      <c r="N845" s="79"/>
      <c r="S845" s="79"/>
      <c r="T845" s="79"/>
      <c r="W845" s="79"/>
      <c r="X845" s="79"/>
      <c r="AA845" s="130"/>
      <c r="AC845" s="106"/>
    </row>
    <row r="846">
      <c r="C846" s="79"/>
      <c r="D846" s="79"/>
      <c r="E846" s="79"/>
      <c r="N846" s="79"/>
      <c r="S846" s="79"/>
      <c r="T846" s="79"/>
      <c r="W846" s="79"/>
      <c r="X846" s="79"/>
      <c r="AA846" s="130"/>
      <c r="AC846" s="106"/>
    </row>
    <row r="847">
      <c r="C847" s="79"/>
      <c r="D847" s="79"/>
      <c r="E847" s="79"/>
      <c r="N847" s="79"/>
      <c r="S847" s="79"/>
      <c r="T847" s="79"/>
      <c r="W847" s="79"/>
      <c r="X847" s="79"/>
      <c r="AA847" s="130"/>
      <c r="AC847" s="106"/>
    </row>
    <row r="848">
      <c r="C848" s="79"/>
      <c r="D848" s="79"/>
      <c r="E848" s="79"/>
      <c r="N848" s="79"/>
      <c r="S848" s="79"/>
      <c r="T848" s="79"/>
      <c r="W848" s="79"/>
      <c r="X848" s="79"/>
      <c r="AA848" s="130"/>
      <c r="AC848" s="106"/>
    </row>
    <row r="849">
      <c r="C849" s="79"/>
      <c r="D849" s="79"/>
      <c r="E849" s="79"/>
      <c r="N849" s="79"/>
      <c r="S849" s="79"/>
      <c r="T849" s="79"/>
      <c r="W849" s="79"/>
      <c r="X849" s="79"/>
      <c r="AA849" s="130"/>
      <c r="AC849" s="106"/>
    </row>
    <row r="850">
      <c r="C850" s="79"/>
      <c r="D850" s="79"/>
      <c r="E850" s="79"/>
      <c r="N850" s="79"/>
      <c r="S850" s="79"/>
      <c r="T850" s="79"/>
      <c r="W850" s="79"/>
      <c r="X850" s="79"/>
      <c r="AA850" s="130"/>
      <c r="AC850" s="106"/>
    </row>
    <row r="851">
      <c r="C851" s="79"/>
      <c r="D851" s="79"/>
      <c r="E851" s="79"/>
      <c r="N851" s="79"/>
      <c r="S851" s="79"/>
      <c r="T851" s="79"/>
      <c r="W851" s="79"/>
      <c r="X851" s="79"/>
      <c r="AA851" s="130"/>
      <c r="AC851" s="106"/>
    </row>
    <row r="852">
      <c r="C852" s="79"/>
      <c r="D852" s="79"/>
      <c r="E852" s="79"/>
      <c r="N852" s="79"/>
      <c r="S852" s="79"/>
      <c r="T852" s="79"/>
      <c r="W852" s="79"/>
      <c r="X852" s="79"/>
      <c r="AA852" s="130"/>
      <c r="AC852" s="106"/>
    </row>
    <row r="853">
      <c r="C853" s="79"/>
      <c r="D853" s="79"/>
      <c r="E853" s="79"/>
      <c r="N853" s="79"/>
      <c r="S853" s="79"/>
      <c r="T853" s="79"/>
      <c r="W853" s="79"/>
      <c r="X853" s="79"/>
      <c r="AA853" s="130"/>
      <c r="AC853" s="106"/>
    </row>
    <row r="854">
      <c r="C854" s="79"/>
      <c r="D854" s="79"/>
      <c r="E854" s="79"/>
      <c r="N854" s="79"/>
      <c r="S854" s="79"/>
      <c r="T854" s="79"/>
      <c r="W854" s="79"/>
      <c r="X854" s="79"/>
      <c r="AA854" s="130"/>
      <c r="AC854" s="106"/>
    </row>
    <row r="855">
      <c r="C855" s="79"/>
      <c r="D855" s="79"/>
      <c r="E855" s="79"/>
      <c r="N855" s="79"/>
      <c r="S855" s="79"/>
      <c r="T855" s="79"/>
      <c r="W855" s="79"/>
      <c r="X855" s="79"/>
      <c r="AA855" s="130"/>
      <c r="AC855" s="106"/>
    </row>
    <row r="856">
      <c r="C856" s="79"/>
      <c r="D856" s="79"/>
      <c r="E856" s="79"/>
      <c r="N856" s="79"/>
      <c r="S856" s="79"/>
      <c r="T856" s="79"/>
      <c r="W856" s="79"/>
      <c r="X856" s="79"/>
      <c r="AA856" s="130"/>
      <c r="AC856" s="106"/>
    </row>
    <row r="857">
      <c r="C857" s="79"/>
      <c r="D857" s="79"/>
      <c r="E857" s="79"/>
      <c r="N857" s="79"/>
      <c r="S857" s="79"/>
      <c r="T857" s="79"/>
      <c r="W857" s="79"/>
      <c r="X857" s="79"/>
      <c r="AA857" s="130"/>
      <c r="AC857" s="106"/>
    </row>
    <row r="858">
      <c r="C858" s="79"/>
      <c r="D858" s="79"/>
      <c r="E858" s="79"/>
      <c r="N858" s="79"/>
      <c r="S858" s="79"/>
      <c r="T858" s="79"/>
      <c r="W858" s="79"/>
      <c r="X858" s="79"/>
      <c r="AA858" s="130"/>
      <c r="AC858" s="106"/>
    </row>
    <row r="859">
      <c r="C859" s="79"/>
      <c r="D859" s="79"/>
      <c r="E859" s="79"/>
      <c r="N859" s="79"/>
      <c r="S859" s="79"/>
      <c r="T859" s="79"/>
      <c r="W859" s="79"/>
      <c r="X859" s="79"/>
      <c r="AA859" s="130"/>
      <c r="AC859" s="106"/>
    </row>
    <row r="860">
      <c r="C860" s="79"/>
      <c r="D860" s="79"/>
      <c r="E860" s="79"/>
      <c r="N860" s="79"/>
      <c r="S860" s="79"/>
      <c r="T860" s="79"/>
      <c r="W860" s="79"/>
      <c r="X860" s="79"/>
      <c r="AA860" s="130"/>
      <c r="AC860" s="106"/>
    </row>
    <row r="861">
      <c r="C861" s="79"/>
      <c r="D861" s="79"/>
      <c r="E861" s="79"/>
      <c r="N861" s="79"/>
      <c r="S861" s="79"/>
      <c r="T861" s="79"/>
      <c r="W861" s="79"/>
      <c r="X861" s="79"/>
      <c r="AA861" s="130"/>
      <c r="AC861" s="106"/>
    </row>
    <row r="862">
      <c r="C862" s="79"/>
      <c r="D862" s="79"/>
      <c r="E862" s="79"/>
      <c r="N862" s="79"/>
      <c r="S862" s="79"/>
      <c r="T862" s="79"/>
      <c r="W862" s="79"/>
      <c r="X862" s="79"/>
      <c r="AA862" s="130"/>
      <c r="AC862" s="106"/>
    </row>
    <row r="863">
      <c r="C863" s="79"/>
      <c r="D863" s="79"/>
      <c r="E863" s="79"/>
      <c r="N863" s="79"/>
      <c r="S863" s="79"/>
      <c r="T863" s="79"/>
      <c r="W863" s="79"/>
      <c r="X863" s="79"/>
      <c r="AA863" s="130"/>
      <c r="AC863" s="106"/>
    </row>
    <row r="864">
      <c r="C864" s="79"/>
      <c r="D864" s="79"/>
      <c r="E864" s="79"/>
      <c r="N864" s="79"/>
      <c r="S864" s="79"/>
      <c r="T864" s="79"/>
      <c r="W864" s="79"/>
      <c r="X864" s="79"/>
      <c r="AA864" s="130"/>
      <c r="AC864" s="106"/>
    </row>
    <row r="865">
      <c r="C865" s="79"/>
      <c r="D865" s="79"/>
      <c r="E865" s="79"/>
      <c r="N865" s="79"/>
      <c r="S865" s="79"/>
      <c r="T865" s="79"/>
      <c r="W865" s="79"/>
      <c r="X865" s="79"/>
      <c r="AA865" s="130"/>
      <c r="AC865" s="106"/>
    </row>
    <row r="866">
      <c r="C866" s="79"/>
      <c r="D866" s="79"/>
      <c r="E866" s="79"/>
      <c r="N866" s="79"/>
      <c r="S866" s="79"/>
      <c r="T866" s="79"/>
      <c r="W866" s="79"/>
      <c r="X866" s="79"/>
      <c r="AA866" s="130"/>
      <c r="AC866" s="106"/>
    </row>
    <row r="867">
      <c r="C867" s="79"/>
      <c r="D867" s="79"/>
      <c r="E867" s="79"/>
      <c r="N867" s="79"/>
      <c r="S867" s="79"/>
      <c r="T867" s="79"/>
      <c r="W867" s="79"/>
      <c r="X867" s="79"/>
      <c r="AA867" s="130"/>
      <c r="AC867" s="106"/>
    </row>
    <row r="868">
      <c r="C868" s="79"/>
      <c r="D868" s="79"/>
      <c r="E868" s="79"/>
      <c r="N868" s="79"/>
      <c r="S868" s="79"/>
      <c r="T868" s="79"/>
      <c r="W868" s="79"/>
      <c r="X868" s="79"/>
      <c r="AA868" s="130"/>
      <c r="AC868" s="106"/>
    </row>
    <row r="869">
      <c r="C869" s="79"/>
      <c r="D869" s="79"/>
      <c r="E869" s="79"/>
      <c r="N869" s="79"/>
      <c r="S869" s="79"/>
      <c r="T869" s="79"/>
      <c r="W869" s="79"/>
      <c r="X869" s="79"/>
      <c r="AA869" s="130"/>
      <c r="AC869" s="106"/>
    </row>
    <row r="870">
      <c r="C870" s="79"/>
      <c r="D870" s="79"/>
      <c r="E870" s="79"/>
      <c r="N870" s="79"/>
      <c r="S870" s="79"/>
      <c r="T870" s="79"/>
      <c r="W870" s="79"/>
      <c r="X870" s="79"/>
      <c r="AA870" s="130"/>
      <c r="AC870" s="106"/>
    </row>
    <row r="871">
      <c r="C871" s="79"/>
      <c r="D871" s="79"/>
      <c r="E871" s="79"/>
      <c r="N871" s="79"/>
      <c r="S871" s="79"/>
      <c r="T871" s="79"/>
      <c r="W871" s="79"/>
      <c r="X871" s="79"/>
      <c r="AA871" s="130"/>
      <c r="AC871" s="106"/>
    </row>
    <row r="872">
      <c r="C872" s="79"/>
      <c r="D872" s="79"/>
      <c r="E872" s="79"/>
      <c r="N872" s="79"/>
      <c r="S872" s="79"/>
      <c r="T872" s="79"/>
      <c r="W872" s="79"/>
      <c r="X872" s="79"/>
      <c r="AA872" s="130"/>
      <c r="AC872" s="106"/>
    </row>
    <row r="873">
      <c r="C873" s="79"/>
      <c r="D873" s="79"/>
      <c r="E873" s="79"/>
      <c r="N873" s="79"/>
      <c r="S873" s="79"/>
      <c r="T873" s="79"/>
      <c r="W873" s="79"/>
      <c r="X873" s="79"/>
      <c r="AA873" s="130"/>
      <c r="AC873" s="106"/>
    </row>
    <row r="874">
      <c r="C874" s="79"/>
      <c r="D874" s="79"/>
      <c r="E874" s="79"/>
      <c r="N874" s="79"/>
      <c r="S874" s="79"/>
      <c r="T874" s="79"/>
      <c r="W874" s="79"/>
      <c r="X874" s="79"/>
      <c r="AA874" s="130"/>
      <c r="AC874" s="106"/>
    </row>
    <row r="875">
      <c r="C875" s="79"/>
      <c r="D875" s="79"/>
      <c r="E875" s="79"/>
      <c r="N875" s="79"/>
      <c r="S875" s="79"/>
      <c r="T875" s="79"/>
      <c r="W875" s="79"/>
      <c r="X875" s="79"/>
      <c r="AA875" s="130"/>
      <c r="AC875" s="106"/>
    </row>
    <row r="876">
      <c r="C876" s="79"/>
      <c r="D876" s="79"/>
      <c r="E876" s="79"/>
      <c r="N876" s="79"/>
      <c r="S876" s="79"/>
      <c r="T876" s="79"/>
      <c r="W876" s="79"/>
      <c r="X876" s="79"/>
      <c r="AA876" s="130"/>
      <c r="AC876" s="106"/>
    </row>
    <row r="877">
      <c r="C877" s="79"/>
      <c r="D877" s="79"/>
      <c r="E877" s="79"/>
      <c r="N877" s="79"/>
      <c r="S877" s="79"/>
      <c r="T877" s="79"/>
      <c r="W877" s="79"/>
      <c r="X877" s="79"/>
      <c r="AA877" s="130"/>
      <c r="AC877" s="106"/>
    </row>
    <row r="878">
      <c r="C878" s="79"/>
      <c r="D878" s="79"/>
      <c r="E878" s="79"/>
      <c r="N878" s="79"/>
      <c r="S878" s="79"/>
      <c r="T878" s="79"/>
      <c r="W878" s="79"/>
      <c r="X878" s="79"/>
      <c r="AA878" s="130"/>
      <c r="AC878" s="106"/>
    </row>
    <row r="879">
      <c r="C879" s="79"/>
      <c r="D879" s="79"/>
      <c r="E879" s="79"/>
      <c r="N879" s="79"/>
      <c r="S879" s="79"/>
      <c r="T879" s="79"/>
      <c r="W879" s="79"/>
      <c r="X879" s="79"/>
      <c r="AA879" s="130"/>
      <c r="AC879" s="106"/>
    </row>
    <row r="880">
      <c r="C880" s="79"/>
      <c r="D880" s="79"/>
      <c r="E880" s="79"/>
      <c r="N880" s="79"/>
      <c r="S880" s="79"/>
      <c r="T880" s="79"/>
      <c r="W880" s="79"/>
      <c r="X880" s="79"/>
      <c r="AA880" s="130"/>
      <c r="AC880" s="106"/>
    </row>
    <row r="881">
      <c r="C881" s="79"/>
      <c r="D881" s="79"/>
      <c r="E881" s="79"/>
      <c r="N881" s="79"/>
      <c r="S881" s="79"/>
      <c r="T881" s="79"/>
      <c r="W881" s="79"/>
      <c r="X881" s="79"/>
      <c r="AA881" s="130"/>
      <c r="AC881" s="106"/>
    </row>
    <row r="882">
      <c r="C882" s="79"/>
      <c r="D882" s="79"/>
      <c r="E882" s="79"/>
      <c r="N882" s="79"/>
      <c r="S882" s="79"/>
      <c r="T882" s="79"/>
      <c r="W882" s="79"/>
      <c r="X882" s="79"/>
      <c r="AA882" s="130"/>
      <c r="AC882" s="106"/>
    </row>
    <row r="883">
      <c r="C883" s="79"/>
      <c r="D883" s="79"/>
      <c r="E883" s="79"/>
      <c r="N883" s="79"/>
      <c r="S883" s="79"/>
      <c r="T883" s="79"/>
      <c r="W883" s="79"/>
      <c r="X883" s="79"/>
      <c r="AA883" s="130"/>
      <c r="AC883" s="106"/>
    </row>
    <row r="884">
      <c r="C884" s="79"/>
      <c r="D884" s="79"/>
      <c r="E884" s="79"/>
      <c r="N884" s="79"/>
      <c r="S884" s="79"/>
      <c r="T884" s="79"/>
      <c r="W884" s="79"/>
      <c r="X884" s="79"/>
      <c r="AA884" s="130"/>
      <c r="AC884" s="106"/>
    </row>
    <row r="885">
      <c r="C885" s="79"/>
      <c r="D885" s="79"/>
      <c r="E885" s="79"/>
      <c r="N885" s="79"/>
      <c r="S885" s="79"/>
      <c r="T885" s="79"/>
      <c r="W885" s="79"/>
      <c r="X885" s="79"/>
      <c r="AA885" s="130"/>
      <c r="AC885" s="106"/>
    </row>
    <row r="886">
      <c r="C886" s="79"/>
      <c r="D886" s="79"/>
      <c r="E886" s="79"/>
      <c r="N886" s="79"/>
      <c r="S886" s="79"/>
      <c r="T886" s="79"/>
      <c r="W886" s="79"/>
      <c r="X886" s="79"/>
      <c r="AA886" s="130"/>
      <c r="AC886" s="106"/>
    </row>
    <row r="887">
      <c r="C887" s="79"/>
      <c r="D887" s="79"/>
      <c r="E887" s="79"/>
      <c r="N887" s="79"/>
      <c r="S887" s="79"/>
      <c r="T887" s="79"/>
      <c r="W887" s="79"/>
      <c r="X887" s="79"/>
      <c r="AA887" s="130"/>
      <c r="AC887" s="106"/>
    </row>
    <row r="888">
      <c r="C888" s="79"/>
      <c r="D888" s="79"/>
      <c r="E888" s="79"/>
      <c r="N888" s="79"/>
      <c r="S888" s="79"/>
      <c r="T888" s="79"/>
      <c r="W888" s="79"/>
      <c r="X888" s="79"/>
      <c r="AA888" s="130"/>
      <c r="AC888" s="106"/>
    </row>
    <row r="889">
      <c r="C889" s="79"/>
      <c r="D889" s="79"/>
      <c r="E889" s="79"/>
      <c r="N889" s="79"/>
      <c r="S889" s="79"/>
      <c r="T889" s="79"/>
      <c r="W889" s="79"/>
      <c r="X889" s="79"/>
      <c r="AA889" s="130"/>
      <c r="AC889" s="106"/>
    </row>
    <row r="890">
      <c r="C890" s="79"/>
      <c r="D890" s="79"/>
      <c r="E890" s="79"/>
      <c r="N890" s="79"/>
      <c r="S890" s="79"/>
      <c r="T890" s="79"/>
      <c r="W890" s="79"/>
      <c r="X890" s="79"/>
      <c r="AA890" s="130"/>
      <c r="AC890" s="106"/>
    </row>
    <row r="891">
      <c r="C891" s="79"/>
      <c r="D891" s="79"/>
      <c r="E891" s="79"/>
      <c r="N891" s="79"/>
      <c r="S891" s="79"/>
      <c r="T891" s="79"/>
      <c r="W891" s="79"/>
      <c r="X891" s="79"/>
      <c r="AA891" s="130"/>
      <c r="AC891" s="106"/>
    </row>
    <row r="892">
      <c r="C892" s="79"/>
      <c r="D892" s="79"/>
      <c r="E892" s="79"/>
      <c r="N892" s="79"/>
      <c r="S892" s="79"/>
      <c r="T892" s="79"/>
      <c r="W892" s="79"/>
      <c r="X892" s="79"/>
      <c r="AA892" s="130"/>
      <c r="AC892" s="106"/>
    </row>
    <row r="893">
      <c r="C893" s="79"/>
      <c r="D893" s="79"/>
      <c r="E893" s="79"/>
      <c r="N893" s="79"/>
      <c r="S893" s="79"/>
      <c r="T893" s="79"/>
      <c r="W893" s="79"/>
      <c r="X893" s="79"/>
      <c r="AA893" s="130"/>
      <c r="AC893" s="106"/>
    </row>
    <row r="894">
      <c r="C894" s="79"/>
      <c r="D894" s="79"/>
      <c r="E894" s="79"/>
      <c r="N894" s="79"/>
      <c r="S894" s="79"/>
      <c r="T894" s="79"/>
      <c r="W894" s="79"/>
      <c r="X894" s="79"/>
      <c r="AA894" s="130"/>
      <c r="AC894" s="106"/>
    </row>
    <row r="895">
      <c r="C895" s="79"/>
      <c r="D895" s="79"/>
      <c r="E895" s="79"/>
      <c r="N895" s="79"/>
      <c r="S895" s="79"/>
      <c r="T895" s="79"/>
      <c r="W895" s="79"/>
      <c r="X895" s="79"/>
      <c r="AA895" s="130"/>
      <c r="AC895" s="106"/>
    </row>
    <row r="896">
      <c r="C896" s="79"/>
      <c r="D896" s="79"/>
      <c r="E896" s="79"/>
      <c r="N896" s="79"/>
      <c r="S896" s="79"/>
      <c r="T896" s="79"/>
      <c r="W896" s="79"/>
      <c r="X896" s="79"/>
      <c r="AA896" s="130"/>
      <c r="AC896" s="106"/>
    </row>
    <row r="897">
      <c r="C897" s="79"/>
      <c r="D897" s="79"/>
      <c r="E897" s="79"/>
      <c r="N897" s="79"/>
      <c r="S897" s="79"/>
      <c r="T897" s="79"/>
      <c r="W897" s="79"/>
      <c r="X897" s="79"/>
      <c r="AA897" s="130"/>
      <c r="AC897" s="106"/>
    </row>
    <row r="898">
      <c r="C898" s="79"/>
      <c r="D898" s="79"/>
      <c r="E898" s="79"/>
      <c r="N898" s="79"/>
      <c r="S898" s="79"/>
      <c r="T898" s="79"/>
      <c r="W898" s="79"/>
      <c r="X898" s="79"/>
      <c r="AA898" s="130"/>
      <c r="AC898" s="106"/>
    </row>
    <row r="899">
      <c r="C899" s="79"/>
      <c r="D899" s="79"/>
      <c r="E899" s="79"/>
      <c r="N899" s="79"/>
      <c r="S899" s="79"/>
      <c r="T899" s="79"/>
      <c r="W899" s="79"/>
      <c r="X899" s="79"/>
      <c r="AA899" s="130"/>
      <c r="AC899" s="106"/>
    </row>
    <row r="900">
      <c r="C900" s="79"/>
      <c r="D900" s="79"/>
      <c r="E900" s="79"/>
      <c r="N900" s="79"/>
      <c r="S900" s="79"/>
      <c r="T900" s="79"/>
      <c r="W900" s="79"/>
      <c r="X900" s="79"/>
      <c r="AA900" s="130"/>
      <c r="AC900" s="106"/>
    </row>
    <row r="901">
      <c r="C901" s="79"/>
      <c r="D901" s="79"/>
      <c r="E901" s="79"/>
      <c r="N901" s="79"/>
      <c r="S901" s="79"/>
      <c r="T901" s="79"/>
      <c r="W901" s="79"/>
      <c r="X901" s="79"/>
      <c r="AA901" s="130"/>
      <c r="AC901" s="106"/>
    </row>
    <row r="902">
      <c r="C902" s="79"/>
      <c r="D902" s="79"/>
      <c r="E902" s="79"/>
      <c r="N902" s="79"/>
      <c r="S902" s="79"/>
      <c r="T902" s="79"/>
      <c r="W902" s="79"/>
      <c r="X902" s="79"/>
      <c r="AA902" s="130"/>
      <c r="AC902" s="106"/>
    </row>
    <row r="903">
      <c r="C903" s="79"/>
      <c r="D903" s="79"/>
      <c r="E903" s="79"/>
      <c r="N903" s="79"/>
      <c r="S903" s="79"/>
      <c r="T903" s="79"/>
      <c r="W903" s="79"/>
      <c r="X903" s="79"/>
      <c r="AA903" s="130"/>
      <c r="AC903" s="106"/>
    </row>
    <row r="904">
      <c r="C904" s="79"/>
      <c r="D904" s="79"/>
      <c r="E904" s="79"/>
      <c r="N904" s="79"/>
      <c r="S904" s="79"/>
      <c r="T904" s="79"/>
      <c r="W904" s="79"/>
      <c r="X904" s="79"/>
      <c r="AA904" s="130"/>
      <c r="AC904" s="106"/>
    </row>
    <row r="905">
      <c r="C905" s="79"/>
      <c r="D905" s="79"/>
      <c r="E905" s="79"/>
      <c r="N905" s="79"/>
      <c r="S905" s="79"/>
      <c r="T905" s="79"/>
      <c r="W905" s="79"/>
      <c r="X905" s="79"/>
      <c r="AA905" s="130"/>
      <c r="AC905" s="106"/>
    </row>
    <row r="906">
      <c r="C906" s="79"/>
      <c r="D906" s="79"/>
      <c r="E906" s="79"/>
      <c r="N906" s="79"/>
      <c r="S906" s="79"/>
      <c r="T906" s="79"/>
      <c r="W906" s="79"/>
      <c r="X906" s="79"/>
      <c r="AA906" s="130"/>
      <c r="AC906" s="106"/>
    </row>
    <row r="907">
      <c r="C907" s="79"/>
      <c r="D907" s="79"/>
      <c r="E907" s="79"/>
      <c r="N907" s="79"/>
      <c r="S907" s="79"/>
      <c r="T907" s="79"/>
      <c r="W907" s="79"/>
      <c r="X907" s="79"/>
      <c r="AA907" s="130"/>
      <c r="AC907" s="106"/>
    </row>
    <row r="908">
      <c r="C908" s="79"/>
      <c r="D908" s="79"/>
      <c r="E908" s="79"/>
      <c r="N908" s="79"/>
      <c r="S908" s="79"/>
      <c r="T908" s="79"/>
      <c r="W908" s="79"/>
      <c r="X908" s="79"/>
      <c r="AA908" s="130"/>
      <c r="AC908" s="106"/>
    </row>
    <row r="909">
      <c r="C909" s="79"/>
      <c r="D909" s="79"/>
      <c r="E909" s="79"/>
      <c r="N909" s="79"/>
      <c r="S909" s="79"/>
      <c r="T909" s="79"/>
      <c r="W909" s="79"/>
      <c r="X909" s="79"/>
      <c r="AA909" s="130"/>
      <c r="AC909" s="106"/>
    </row>
    <row r="910">
      <c r="C910" s="79"/>
      <c r="D910" s="79"/>
      <c r="E910" s="79"/>
      <c r="N910" s="79"/>
      <c r="S910" s="79"/>
      <c r="T910" s="79"/>
      <c r="W910" s="79"/>
      <c r="X910" s="79"/>
      <c r="AA910" s="130"/>
      <c r="AC910" s="106"/>
    </row>
    <row r="911">
      <c r="C911" s="79"/>
      <c r="D911" s="79"/>
      <c r="E911" s="79"/>
      <c r="N911" s="79"/>
      <c r="S911" s="79"/>
      <c r="T911" s="79"/>
      <c r="W911" s="79"/>
      <c r="X911" s="79"/>
      <c r="AA911" s="130"/>
      <c r="AC911" s="106"/>
    </row>
    <row r="912">
      <c r="C912" s="79"/>
      <c r="D912" s="79"/>
      <c r="E912" s="79"/>
      <c r="N912" s="79"/>
      <c r="S912" s="79"/>
      <c r="T912" s="79"/>
      <c r="W912" s="79"/>
      <c r="X912" s="79"/>
      <c r="AA912" s="130"/>
      <c r="AC912" s="106"/>
    </row>
    <row r="913">
      <c r="C913" s="79"/>
      <c r="D913" s="79"/>
      <c r="E913" s="79"/>
      <c r="N913" s="79"/>
      <c r="S913" s="79"/>
      <c r="T913" s="79"/>
      <c r="W913" s="79"/>
      <c r="X913" s="79"/>
      <c r="AA913" s="130"/>
      <c r="AC913" s="106"/>
    </row>
    <row r="914">
      <c r="C914" s="79"/>
      <c r="D914" s="79"/>
      <c r="E914" s="79"/>
      <c r="N914" s="79"/>
      <c r="S914" s="79"/>
      <c r="T914" s="79"/>
      <c r="W914" s="79"/>
      <c r="X914" s="79"/>
      <c r="AA914" s="130"/>
      <c r="AC914" s="106"/>
    </row>
    <row r="915">
      <c r="C915" s="79"/>
      <c r="D915" s="79"/>
      <c r="E915" s="79"/>
      <c r="N915" s="79"/>
      <c r="S915" s="79"/>
      <c r="T915" s="79"/>
      <c r="W915" s="79"/>
      <c r="X915" s="79"/>
      <c r="AA915" s="130"/>
      <c r="AC915" s="106"/>
    </row>
    <row r="916">
      <c r="C916" s="79"/>
      <c r="D916" s="79"/>
      <c r="E916" s="79"/>
      <c r="N916" s="79"/>
      <c r="S916" s="79"/>
      <c r="T916" s="79"/>
      <c r="W916" s="79"/>
      <c r="X916" s="79"/>
      <c r="AA916" s="130"/>
      <c r="AC916" s="106"/>
    </row>
    <row r="917">
      <c r="C917" s="79"/>
      <c r="D917" s="79"/>
      <c r="E917" s="79"/>
      <c r="N917" s="79"/>
      <c r="S917" s="79"/>
      <c r="T917" s="79"/>
      <c r="W917" s="79"/>
      <c r="X917" s="79"/>
      <c r="AA917" s="130"/>
      <c r="AC917" s="106"/>
    </row>
    <row r="918">
      <c r="C918" s="79"/>
      <c r="D918" s="79"/>
      <c r="E918" s="79"/>
      <c r="N918" s="79"/>
      <c r="S918" s="79"/>
      <c r="T918" s="79"/>
      <c r="W918" s="79"/>
      <c r="X918" s="79"/>
      <c r="AA918" s="130"/>
      <c r="AC918" s="106"/>
    </row>
    <row r="919">
      <c r="C919" s="79"/>
      <c r="D919" s="79"/>
      <c r="E919" s="79"/>
      <c r="N919" s="79"/>
      <c r="S919" s="79"/>
      <c r="T919" s="79"/>
      <c r="W919" s="79"/>
      <c r="X919" s="79"/>
      <c r="AA919" s="130"/>
      <c r="AC919" s="106"/>
    </row>
    <row r="920">
      <c r="C920" s="79"/>
      <c r="D920" s="79"/>
      <c r="E920" s="79"/>
      <c r="N920" s="79"/>
      <c r="S920" s="79"/>
      <c r="T920" s="79"/>
      <c r="W920" s="79"/>
      <c r="X920" s="79"/>
      <c r="AA920" s="130"/>
      <c r="AC920" s="106"/>
    </row>
    <row r="921">
      <c r="C921" s="79"/>
      <c r="D921" s="79"/>
      <c r="E921" s="79"/>
      <c r="N921" s="79"/>
      <c r="S921" s="79"/>
      <c r="T921" s="79"/>
      <c r="W921" s="79"/>
      <c r="X921" s="79"/>
      <c r="AA921" s="130"/>
      <c r="AC921" s="106"/>
    </row>
    <row r="922">
      <c r="C922" s="79"/>
      <c r="D922" s="79"/>
      <c r="E922" s="79"/>
      <c r="N922" s="79"/>
      <c r="S922" s="79"/>
      <c r="T922" s="79"/>
      <c r="W922" s="79"/>
      <c r="X922" s="79"/>
      <c r="AA922" s="130"/>
      <c r="AC922" s="106"/>
    </row>
    <row r="923">
      <c r="C923" s="79"/>
      <c r="D923" s="79"/>
      <c r="E923" s="79"/>
      <c r="N923" s="79"/>
      <c r="S923" s="79"/>
      <c r="T923" s="79"/>
      <c r="W923" s="79"/>
      <c r="X923" s="79"/>
      <c r="AA923" s="130"/>
      <c r="AC923" s="106"/>
    </row>
    <row r="924">
      <c r="C924" s="79"/>
      <c r="D924" s="79"/>
      <c r="E924" s="79"/>
      <c r="N924" s="79"/>
      <c r="S924" s="79"/>
      <c r="T924" s="79"/>
      <c r="W924" s="79"/>
      <c r="X924" s="79"/>
      <c r="AA924" s="130"/>
      <c r="AC924" s="106"/>
    </row>
    <row r="925">
      <c r="C925" s="79"/>
      <c r="D925" s="79"/>
      <c r="E925" s="79"/>
      <c r="N925" s="79"/>
      <c r="S925" s="79"/>
      <c r="T925" s="79"/>
      <c r="W925" s="79"/>
      <c r="X925" s="79"/>
      <c r="AA925" s="130"/>
      <c r="AC925" s="106"/>
    </row>
    <row r="926">
      <c r="C926" s="79"/>
      <c r="D926" s="79"/>
      <c r="E926" s="79"/>
      <c r="N926" s="79"/>
      <c r="S926" s="79"/>
      <c r="T926" s="79"/>
      <c r="W926" s="79"/>
      <c r="X926" s="79"/>
      <c r="AA926" s="130"/>
      <c r="AC926" s="106"/>
    </row>
    <row r="927">
      <c r="C927" s="79"/>
      <c r="D927" s="79"/>
      <c r="E927" s="79"/>
      <c r="N927" s="79"/>
      <c r="S927" s="79"/>
      <c r="T927" s="79"/>
      <c r="W927" s="79"/>
      <c r="X927" s="79"/>
      <c r="AA927" s="130"/>
      <c r="AC927" s="106"/>
    </row>
    <row r="928">
      <c r="C928" s="79"/>
      <c r="D928" s="79"/>
      <c r="E928" s="79"/>
      <c r="N928" s="79"/>
      <c r="S928" s="79"/>
      <c r="T928" s="79"/>
      <c r="W928" s="79"/>
      <c r="X928" s="79"/>
      <c r="AA928" s="130"/>
      <c r="AC928" s="106"/>
    </row>
    <row r="929">
      <c r="C929" s="79"/>
      <c r="D929" s="79"/>
      <c r="E929" s="79"/>
      <c r="N929" s="79"/>
      <c r="S929" s="79"/>
      <c r="T929" s="79"/>
      <c r="W929" s="79"/>
      <c r="X929" s="79"/>
      <c r="AA929" s="130"/>
      <c r="AC929" s="106"/>
    </row>
    <row r="930">
      <c r="C930" s="79"/>
      <c r="D930" s="79"/>
      <c r="E930" s="79"/>
      <c r="N930" s="79"/>
      <c r="S930" s="79"/>
      <c r="T930" s="79"/>
      <c r="W930" s="79"/>
      <c r="X930" s="79"/>
      <c r="AA930" s="130"/>
      <c r="AC930" s="106"/>
    </row>
    <row r="931">
      <c r="C931" s="79"/>
      <c r="D931" s="79"/>
      <c r="E931" s="79"/>
      <c r="N931" s="79"/>
      <c r="S931" s="79"/>
      <c r="T931" s="79"/>
      <c r="W931" s="79"/>
      <c r="X931" s="79"/>
      <c r="AA931" s="130"/>
      <c r="AC931" s="106"/>
    </row>
    <row r="932">
      <c r="C932" s="79"/>
      <c r="D932" s="79"/>
      <c r="E932" s="79"/>
      <c r="N932" s="79"/>
      <c r="S932" s="79"/>
      <c r="T932" s="79"/>
      <c r="W932" s="79"/>
      <c r="X932" s="79"/>
      <c r="AA932" s="130"/>
      <c r="AC932" s="106"/>
    </row>
    <row r="933">
      <c r="C933" s="79"/>
      <c r="D933" s="79"/>
      <c r="E933" s="79"/>
      <c r="N933" s="79"/>
      <c r="S933" s="79"/>
      <c r="T933" s="79"/>
      <c r="W933" s="79"/>
      <c r="X933" s="79"/>
      <c r="AA933" s="130"/>
      <c r="AC933" s="106"/>
    </row>
    <row r="934">
      <c r="C934" s="79"/>
      <c r="D934" s="79"/>
      <c r="E934" s="79"/>
      <c r="N934" s="79"/>
      <c r="S934" s="79"/>
      <c r="T934" s="79"/>
      <c r="W934" s="79"/>
      <c r="X934" s="79"/>
      <c r="AA934" s="130"/>
      <c r="AC934" s="106"/>
    </row>
    <row r="935">
      <c r="C935" s="79"/>
      <c r="D935" s="79"/>
      <c r="E935" s="79"/>
      <c r="N935" s="79"/>
      <c r="S935" s="79"/>
      <c r="T935" s="79"/>
      <c r="W935" s="79"/>
      <c r="X935" s="79"/>
      <c r="AA935" s="130"/>
      <c r="AC935" s="106"/>
    </row>
    <row r="936">
      <c r="C936" s="79"/>
      <c r="D936" s="79"/>
      <c r="E936" s="79"/>
      <c r="N936" s="79"/>
      <c r="S936" s="79"/>
      <c r="T936" s="79"/>
      <c r="W936" s="79"/>
      <c r="X936" s="79"/>
      <c r="AA936" s="130"/>
      <c r="AC936" s="106"/>
    </row>
    <row r="937">
      <c r="C937" s="79"/>
      <c r="D937" s="79"/>
      <c r="E937" s="79"/>
      <c r="N937" s="79"/>
      <c r="S937" s="79"/>
      <c r="T937" s="79"/>
      <c r="W937" s="79"/>
      <c r="X937" s="79"/>
      <c r="AA937" s="130"/>
      <c r="AC937" s="106"/>
    </row>
    <row r="938">
      <c r="C938" s="79"/>
      <c r="D938" s="79"/>
      <c r="E938" s="79"/>
      <c r="N938" s="79"/>
      <c r="S938" s="79"/>
      <c r="T938" s="79"/>
      <c r="W938" s="79"/>
      <c r="X938" s="79"/>
      <c r="AA938" s="130"/>
      <c r="AC938" s="106"/>
    </row>
    <row r="939">
      <c r="C939" s="79"/>
      <c r="D939" s="79"/>
      <c r="E939" s="79"/>
      <c r="N939" s="79"/>
      <c r="S939" s="79"/>
      <c r="T939" s="79"/>
      <c r="W939" s="79"/>
      <c r="X939" s="79"/>
      <c r="AA939" s="130"/>
      <c r="AC939" s="106"/>
    </row>
    <row r="940">
      <c r="C940" s="79"/>
      <c r="D940" s="79"/>
      <c r="E940" s="79"/>
      <c r="N940" s="79"/>
      <c r="S940" s="79"/>
      <c r="T940" s="79"/>
      <c r="W940" s="79"/>
      <c r="X940" s="79"/>
      <c r="AA940" s="130"/>
      <c r="AC940" s="106"/>
    </row>
    <row r="941">
      <c r="C941" s="79"/>
      <c r="D941" s="79"/>
      <c r="E941" s="79"/>
      <c r="N941" s="79"/>
      <c r="S941" s="79"/>
      <c r="T941" s="79"/>
      <c r="W941" s="79"/>
      <c r="X941" s="79"/>
      <c r="AA941" s="130"/>
      <c r="AC941" s="106"/>
    </row>
    <row r="942">
      <c r="C942" s="79"/>
      <c r="D942" s="79"/>
      <c r="E942" s="79"/>
      <c r="N942" s="79"/>
      <c r="S942" s="79"/>
      <c r="T942" s="79"/>
      <c r="W942" s="79"/>
      <c r="X942" s="79"/>
      <c r="AA942" s="130"/>
      <c r="AC942" s="106"/>
    </row>
    <row r="943">
      <c r="C943" s="79"/>
      <c r="D943" s="79"/>
      <c r="E943" s="79"/>
      <c r="N943" s="79"/>
      <c r="S943" s="79"/>
      <c r="T943" s="79"/>
      <c r="W943" s="79"/>
      <c r="X943" s="79"/>
      <c r="AA943" s="130"/>
      <c r="AC943" s="106"/>
    </row>
    <row r="944">
      <c r="C944" s="79"/>
      <c r="D944" s="79"/>
      <c r="E944" s="79"/>
      <c r="N944" s="79"/>
      <c r="S944" s="79"/>
      <c r="T944" s="79"/>
      <c r="W944" s="79"/>
      <c r="X944" s="79"/>
      <c r="AA944" s="130"/>
      <c r="AC944" s="106"/>
    </row>
    <row r="945">
      <c r="C945" s="79"/>
      <c r="D945" s="79"/>
      <c r="E945" s="79"/>
      <c r="N945" s="79"/>
      <c r="S945" s="79"/>
      <c r="T945" s="79"/>
      <c r="W945" s="79"/>
      <c r="X945" s="79"/>
      <c r="AA945" s="130"/>
      <c r="AC945" s="106"/>
    </row>
  </sheetData>
  <drawing r:id="rId2"/>
  <legacyDrawing r:id="rId3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5" max="5" width="21.25"/>
    <col customWidth="1" min="8" max="8" width="13.25"/>
    <col customWidth="1" min="25" max="25" width="14.63"/>
    <col customWidth="1" min="29" max="29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129</v>
      </c>
      <c r="J1" s="2" t="s">
        <v>5</v>
      </c>
      <c r="K1" s="2" t="s">
        <v>204</v>
      </c>
      <c r="L1" s="2" t="s">
        <v>6</v>
      </c>
      <c r="M1" s="2" t="s">
        <v>12</v>
      </c>
      <c r="N1" s="105" t="s">
        <v>40</v>
      </c>
      <c r="O1" s="2" t="s">
        <v>49</v>
      </c>
      <c r="P1" s="2" t="s">
        <v>42</v>
      </c>
      <c r="Q1" s="2" t="s">
        <v>121</v>
      </c>
      <c r="R1" s="2" t="s">
        <v>164</v>
      </c>
      <c r="S1" s="105" t="s">
        <v>9</v>
      </c>
      <c r="T1" s="105" t="s">
        <v>165</v>
      </c>
      <c r="U1" s="2" t="s">
        <v>37</v>
      </c>
      <c r="V1" s="2" t="s">
        <v>10</v>
      </c>
      <c r="W1" s="105" t="s">
        <v>11</v>
      </c>
      <c r="X1" s="105" t="s">
        <v>205</v>
      </c>
      <c r="Y1" s="2" t="s">
        <v>206</v>
      </c>
      <c r="Z1" s="3" t="s">
        <v>13</v>
      </c>
      <c r="AA1" s="3" t="s">
        <v>14</v>
      </c>
      <c r="AB1" s="3" t="s">
        <v>15</v>
      </c>
      <c r="AC1" s="106"/>
    </row>
    <row r="2">
      <c r="A2" s="74">
        <v>45390.0</v>
      </c>
      <c r="B2" s="93">
        <f>1011.46-12.88-141.84-24.7-39.52-35.6-24.39-46.29-112.8-78.86</f>
        <v>494.58</v>
      </c>
      <c r="C2" s="93">
        <f>320.7-225</f>
        <v>95.7</v>
      </c>
      <c r="D2" s="193"/>
      <c r="E2" s="93"/>
      <c r="F2" s="93"/>
      <c r="G2" s="93">
        <v>180.0</v>
      </c>
      <c r="H2" s="93"/>
      <c r="I2" s="93"/>
      <c r="J2" s="93"/>
      <c r="K2" s="93"/>
      <c r="L2" s="93"/>
      <c r="M2" s="93"/>
      <c r="N2" s="93"/>
      <c r="O2" s="93">
        <f>786-144-156-318</f>
        <v>168</v>
      </c>
      <c r="P2" s="93"/>
      <c r="Q2" s="93"/>
      <c r="R2" s="93"/>
      <c r="S2" s="93"/>
      <c r="T2" s="93"/>
      <c r="U2" s="72"/>
      <c r="V2" s="93"/>
      <c r="W2" s="93">
        <v>57.05</v>
      </c>
      <c r="X2" s="93"/>
      <c r="Y2" s="5"/>
      <c r="Z2" s="107">
        <f t="shared" ref="Z2:Z8" si="1">SUM(B2:Y2)</f>
        <v>995.33</v>
      </c>
      <c r="AA2" s="158">
        <v>4542.5</v>
      </c>
      <c r="AB2" s="59">
        <f t="shared" ref="AB2:AB8" si="2">Z2/AA2</f>
        <v>0.2191150248</v>
      </c>
      <c r="AC2" s="109">
        <f t="shared" ref="AC2:AC8" si="3">A2</f>
        <v>45390</v>
      </c>
    </row>
    <row r="3">
      <c r="A3" s="74">
        <v>45391.0</v>
      </c>
      <c r="B3" s="93">
        <f>701.99-69.84-61.37-13.27-29.82-13.6-39.52-27.83-103.02-16.52-34.6+229.22</f>
        <v>521.82</v>
      </c>
      <c r="C3" s="79"/>
      <c r="D3" s="1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>
        <v>106.9</v>
      </c>
      <c r="W3" s="93"/>
      <c r="X3" s="93"/>
      <c r="Y3" s="93"/>
      <c r="Z3" s="107">
        <f t="shared" si="1"/>
        <v>628.72</v>
      </c>
      <c r="AA3" s="158">
        <v>2962.0</v>
      </c>
      <c r="AB3" s="59">
        <f t="shared" si="2"/>
        <v>0.2122619851</v>
      </c>
      <c r="AC3" s="109">
        <f t="shared" si="3"/>
        <v>45391</v>
      </c>
    </row>
    <row r="4">
      <c r="A4" s="74">
        <v>45392.0</v>
      </c>
      <c r="B4" s="93">
        <f>473.59-60.96-46.56-23.23-8.12+355.68</f>
        <v>690.4</v>
      </c>
      <c r="C4" s="93">
        <f>564.24-28-45</f>
        <v>491.24</v>
      </c>
      <c r="D4" s="93"/>
      <c r="E4" s="93"/>
      <c r="F4" s="93"/>
      <c r="G4" s="93">
        <v>180.0</v>
      </c>
      <c r="H4" s="93"/>
      <c r="I4" s="93">
        <v>170.26</v>
      </c>
      <c r="J4" s="93">
        <f>665.65-198</f>
        <v>467.65</v>
      </c>
      <c r="K4" s="93"/>
      <c r="L4" s="93">
        <v>42.0</v>
      </c>
      <c r="M4" s="93"/>
      <c r="N4" s="93"/>
      <c r="O4" s="93"/>
      <c r="P4" s="93"/>
      <c r="Q4" s="93"/>
      <c r="R4" s="93"/>
      <c r="S4" s="93">
        <v>185.0</v>
      </c>
      <c r="T4" s="93"/>
      <c r="U4" s="160"/>
      <c r="V4" s="93"/>
      <c r="W4" s="93">
        <v>57.05</v>
      </c>
      <c r="X4" s="93"/>
      <c r="Y4" s="6"/>
      <c r="Z4" s="107">
        <f t="shared" si="1"/>
        <v>2283.6</v>
      </c>
      <c r="AA4" s="97">
        <f>704+3375</f>
        <v>4079</v>
      </c>
      <c r="AB4" s="59">
        <f t="shared" si="2"/>
        <v>0.5598430988</v>
      </c>
      <c r="AC4" s="109">
        <f t="shared" si="3"/>
        <v>45392</v>
      </c>
    </row>
    <row r="5">
      <c r="A5" s="74">
        <v>45393.0</v>
      </c>
      <c r="B5" s="93">
        <f>1139.65-35-57.55-100.14-66.08-100.9-56.51</f>
        <v>723.47</v>
      </c>
      <c r="C5" s="93"/>
      <c r="D5" s="93">
        <f>582.98-237.6</f>
        <v>345.38</v>
      </c>
      <c r="E5" s="93"/>
      <c r="F5" s="93"/>
      <c r="G5" s="93">
        <v>180.0</v>
      </c>
      <c r="H5" s="160"/>
      <c r="I5" s="93"/>
      <c r="J5" s="93"/>
      <c r="K5" s="93"/>
      <c r="L5" s="93">
        <v>21.7</v>
      </c>
      <c r="M5" s="93">
        <v>57.367</v>
      </c>
      <c r="N5" s="93"/>
      <c r="O5" s="93"/>
      <c r="P5" s="93">
        <v>144.77</v>
      </c>
      <c r="Q5" s="93"/>
      <c r="R5" s="93"/>
      <c r="S5" s="93"/>
      <c r="T5" s="93"/>
      <c r="U5" s="93"/>
      <c r="V5" s="93"/>
      <c r="W5" s="101"/>
      <c r="X5" s="101"/>
      <c r="Y5" s="6"/>
      <c r="Z5" s="7">
        <f t="shared" si="1"/>
        <v>1472.687</v>
      </c>
      <c r="AA5" s="97">
        <f>522+3557.4</f>
        <v>4079.4</v>
      </c>
      <c r="AB5" s="59">
        <f t="shared" si="2"/>
        <v>0.3610057852</v>
      </c>
      <c r="AC5" s="109">
        <f t="shared" si="3"/>
        <v>45393</v>
      </c>
    </row>
    <row r="6">
      <c r="A6" s="74">
        <v>45394.0</v>
      </c>
      <c r="B6" s="93">
        <f>698.32-65.91-100.9</f>
        <v>531.51</v>
      </c>
      <c r="C6" s="93">
        <v>526.27</v>
      </c>
      <c r="D6" s="93">
        <f>14.5</f>
        <v>14.5</v>
      </c>
      <c r="E6" s="93"/>
      <c r="F6" s="93"/>
      <c r="G6" s="93"/>
      <c r="H6" s="93"/>
      <c r="I6" s="93"/>
      <c r="J6" s="93">
        <f>683.5-396-120</f>
        <v>167.5</v>
      </c>
      <c r="K6" s="93"/>
      <c r="L6" s="93">
        <v>43.4</v>
      </c>
      <c r="M6" s="93"/>
      <c r="N6" s="162"/>
      <c r="O6" s="93"/>
      <c r="P6" s="93"/>
      <c r="Q6" s="93"/>
      <c r="R6" s="93"/>
      <c r="S6" s="93"/>
      <c r="T6" s="93"/>
      <c r="U6" s="93"/>
      <c r="V6" s="93">
        <v>38.0</v>
      </c>
      <c r="W6" s="93">
        <v>57.05</v>
      </c>
      <c r="X6" s="93"/>
      <c r="Y6" s="5"/>
      <c r="Z6" s="7">
        <f t="shared" si="1"/>
        <v>1378.23</v>
      </c>
      <c r="AA6" s="97">
        <v>8080</v>
      </c>
      <c r="AB6" s="59">
        <f t="shared" si="2"/>
        <v>0.1705730198</v>
      </c>
      <c r="AC6" s="109">
        <f t="shared" si="3"/>
        <v>45394</v>
      </c>
    </row>
    <row r="7">
      <c r="A7" s="74">
        <v>45395.0</v>
      </c>
      <c r="B7" s="93">
        <f>1046.54-21.15-97.9-33.54-43.45-65.91-49.39-32.84-41</f>
        <v>661.36</v>
      </c>
      <c r="C7" s="93">
        <v>174.6</v>
      </c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101"/>
      <c r="V7" s="93"/>
      <c r="W7" s="101"/>
      <c r="X7" s="101"/>
      <c r="Y7" s="5"/>
      <c r="Z7" s="7">
        <f t="shared" si="1"/>
        <v>835.96</v>
      </c>
      <c r="AA7" s="97">
        <v>11116.5</v>
      </c>
      <c r="AB7" s="59">
        <f t="shared" si="2"/>
        <v>0.07519992803</v>
      </c>
      <c r="AC7" s="109">
        <f t="shared" si="3"/>
        <v>45395</v>
      </c>
    </row>
    <row r="8">
      <c r="A8" s="74">
        <v>45396.0</v>
      </c>
      <c r="B8" s="180">
        <f>426.77+245.07+251.92</f>
        <v>923.76</v>
      </c>
      <c r="C8" s="93"/>
      <c r="D8" s="180">
        <f>811+158.28</f>
        <v>969.28</v>
      </c>
      <c r="E8" s="112" t="s">
        <v>21</v>
      </c>
      <c r="F8" s="112"/>
      <c r="G8" s="112" t="s">
        <v>21</v>
      </c>
      <c r="H8" s="112" t="s">
        <v>21</v>
      </c>
      <c r="I8" s="180">
        <v>444.46</v>
      </c>
      <c r="J8" s="93"/>
      <c r="K8" s="112" t="s">
        <v>21</v>
      </c>
      <c r="L8" s="112" t="s">
        <v>21</v>
      </c>
      <c r="M8" s="112" t="s">
        <v>21</v>
      </c>
      <c r="N8" s="112" t="s">
        <v>21</v>
      </c>
      <c r="O8" s="112" t="s">
        <v>21</v>
      </c>
      <c r="P8" s="180">
        <v>331.32</v>
      </c>
      <c r="Q8" s="112" t="s">
        <v>21</v>
      </c>
      <c r="R8" s="93"/>
      <c r="S8" s="112" t="s">
        <v>21</v>
      </c>
      <c r="T8" s="112" t="s">
        <v>21</v>
      </c>
      <c r="U8" s="112" t="s">
        <v>21</v>
      </c>
      <c r="V8" s="112" t="s">
        <v>21</v>
      </c>
      <c r="W8" s="10" t="s">
        <v>21</v>
      </c>
      <c r="X8" s="10" t="s">
        <v>21</v>
      </c>
      <c r="Y8" s="10" t="s">
        <v>21</v>
      </c>
      <c r="Z8" s="7">
        <f t="shared" si="1"/>
        <v>2668.82</v>
      </c>
      <c r="AA8" s="97">
        <f>3354+3226</f>
        <v>6580</v>
      </c>
      <c r="AB8" s="59">
        <f t="shared" si="2"/>
        <v>0.4055957447</v>
      </c>
      <c r="AC8" s="109">
        <f t="shared" si="3"/>
        <v>45396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AA9" s="129"/>
      <c r="AC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AA10" s="129"/>
      <c r="AC10" s="106"/>
    </row>
    <row r="11">
      <c r="A11" s="165" t="s">
        <v>194</v>
      </c>
      <c r="B11" s="93">
        <f>12.88+39.52+29.82+13.6+39.52+27.83+16.52+34.6+60.96+23.23+8.12+35+57.55+66.08+100.9+56.51+41</f>
        <v>663.64</v>
      </c>
      <c r="C11" s="93">
        <f>28+45</f>
        <v>73</v>
      </c>
      <c r="D11" s="93"/>
      <c r="E11" s="167"/>
      <c r="F11" s="168"/>
      <c r="G11" s="168"/>
      <c r="H11" s="166"/>
      <c r="I11" s="166"/>
      <c r="J11" s="93"/>
      <c r="K11" s="168"/>
      <c r="L11" s="93">
        <v>123.0</v>
      </c>
      <c r="M11" s="166"/>
      <c r="N11" s="168"/>
      <c r="O11" s="166"/>
      <c r="P11" s="168"/>
      <c r="Q11" s="1"/>
      <c r="R11" s="1"/>
      <c r="S11" s="1"/>
      <c r="T11" s="1"/>
      <c r="U11" s="1"/>
      <c r="V11" s="1"/>
      <c r="W11" s="168"/>
      <c r="X11" s="168"/>
      <c r="Y11" s="1"/>
      <c r="Z11" s="1"/>
      <c r="AA11" s="169"/>
      <c r="AB11" s="1"/>
      <c r="AC11" s="170"/>
    </row>
    <row r="12">
      <c r="A12" s="165" t="s">
        <v>195</v>
      </c>
      <c r="B12" s="93">
        <f>141.84+24.7+35.6+24.39+46.29+69.84+61.37+13.27+46.56+100.14+65.91+100.9+21.15+97.9+33.54+43.35+65.91+49.39+32.84</f>
        <v>1074.89</v>
      </c>
      <c r="C12" s="93">
        <v>225.0</v>
      </c>
      <c r="D12" s="93"/>
      <c r="E12" s="93"/>
      <c r="F12" s="93"/>
      <c r="G12" s="93"/>
      <c r="H12" s="93"/>
      <c r="I12" s="93"/>
      <c r="J12" s="93">
        <f>198+120</f>
        <v>318</v>
      </c>
      <c r="K12" s="93"/>
      <c r="L12" s="93"/>
      <c r="M12" s="93"/>
      <c r="N12" s="93"/>
      <c r="O12" s="166">
        <v>300.0</v>
      </c>
      <c r="P12" s="166"/>
      <c r="Q12" s="1"/>
      <c r="R12" s="1"/>
      <c r="S12" s="168"/>
      <c r="T12" s="168"/>
      <c r="U12" s="1"/>
      <c r="V12" s="96"/>
      <c r="W12" s="168"/>
      <c r="X12" s="168"/>
      <c r="Y12" s="1"/>
      <c r="Z12" s="1"/>
      <c r="AA12" s="171"/>
      <c r="AB12" s="1"/>
      <c r="AC12" s="170"/>
    </row>
    <row r="13">
      <c r="A13" s="172" t="s">
        <v>275</v>
      </c>
      <c r="B13" s="93">
        <f>112.8+78.86</f>
        <v>191.66</v>
      </c>
      <c r="C13" s="93"/>
      <c r="D13" s="93">
        <f>581.48-227.23</f>
        <v>354.25</v>
      </c>
      <c r="E13" s="168"/>
      <c r="F13" s="166"/>
      <c r="G13" s="166"/>
      <c r="H13" s="168"/>
      <c r="I13" s="168"/>
      <c r="J13" s="168"/>
      <c r="K13" s="168"/>
      <c r="L13" s="168"/>
      <c r="M13" s="168"/>
      <c r="N13" s="168"/>
      <c r="O13" s="166">
        <v>318.0</v>
      </c>
      <c r="P13" s="168"/>
      <c r="Q13" s="1"/>
      <c r="R13" s="1"/>
      <c r="S13" s="168"/>
      <c r="T13" s="168"/>
      <c r="U13" s="1"/>
      <c r="V13" s="96"/>
      <c r="W13" s="168"/>
      <c r="X13" s="168"/>
      <c r="Y13" s="1"/>
      <c r="Z13" s="1"/>
      <c r="AA13" s="174"/>
      <c r="AB13" s="1"/>
      <c r="AC13" s="170"/>
    </row>
    <row r="14">
      <c r="A14" s="165" t="s">
        <v>198</v>
      </c>
      <c r="B14" s="93">
        <v>103.02</v>
      </c>
      <c r="C14" s="93"/>
      <c r="D14" s="93"/>
      <c r="E14" s="168"/>
      <c r="F14" s="166"/>
      <c r="G14" s="166"/>
      <c r="H14" s="168"/>
      <c r="I14" s="168"/>
      <c r="J14" s="168"/>
      <c r="K14" s="168"/>
      <c r="L14" s="168"/>
      <c r="M14" s="168"/>
      <c r="N14" s="168"/>
      <c r="O14" s="166"/>
      <c r="P14" s="168"/>
      <c r="Q14" s="1"/>
      <c r="R14" s="1"/>
      <c r="S14" s="168"/>
      <c r="T14" s="168"/>
      <c r="U14" s="1"/>
      <c r="V14" s="96"/>
      <c r="W14" s="168"/>
      <c r="X14" s="168"/>
      <c r="Y14" s="1"/>
      <c r="Z14" s="1"/>
      <c r="AA14" s="174"/>
      <c r="AB14" s="1"/>
      <c r="AC14" s="170"/>
    </row>
    <row r="15">
      <c r="A15" s="91"/>
      <c r="B15" s="92"/>
      <c r="C15" s="79"/>
      <c r="D15" s="79"/>
      <c r="E15" s="79"/>
      <c r="F15" s="78"/>
      <c r="G15" s="78"/>
      <c r="H15" s="78"/>
      <c r="I15" s="78"/>
      <c r="L15" s="79"/>
      <c r="M15" s="79"/>
      <c r="N15" s="78"/>
      <c r="O15" s="79"/>
      <c r="P15" s="79"/>
      <c r="S15" s="79"/>
      <c r="T15" s="79"/>
      <c r="W15" s="79"/>
      <c r="X15" s="79"/>
      <c r="AA15" s="131"/>
      <c r="AC15" s="106"/>
    </row>
    <row r="16">
      <c r="A16" s="91"/>
      <c r="B16" s="92"/>
      <c r="C16" s="78"/>
      <c r="D16" s="78"/>
      <c r="E16" s="78"/>
      <c r="F16" s="198"/>
      <c r="G16" s="198"/>
      <c r="H16" s="204"/>
      <c r="I16" s="198"/>
      <c r="J16" s="201"/>
      <c r="K16" s="199"/>
      <c r="L16" s="199"/>
      <c r="M16" s="200"/>
      <c r="N16" s="201"/>
      <c r="O16" s="202"/>
      <c r="P16" s="198"/>
      <c r="Q16" s="198"/>
      <c r="R16" s="198"/>
      <c r="S16" s="198"/>
      <c r="T16" s="198"/>
      <c r="W16" s="79"/>
      <c r="X16" s="79"/>
      <c r="AA16" s="131"/>
      <c r="AC16" s="106"/>
    </row>
    <row r="17">
      <c r="A17" s="4" t="s">
        <v>22</v>
      </c>
      <c r="B17" s="11">
        <v>10000.0</v>
      </c>
      <c r="C17" s="79"/>
      <c r="D17" s="79"/>
      <c r="E17" s="79"/>
      <c r="F17" s="240"/>
      <c r="G17" s="240"/>
      <c r="H17" s="201"/>
      <c r="I17" s="201"/>
      <c r="J17" s="203"/>
      <c r="K17" s="201"/>
      <c r="L17" s="201"/>
      <c r="M17" s="198"/>
      <c r="N17" s="201"/>
      <c r="O17" s="200"/>
      <c r="P17" s="203"/>
      <c r="Q17" s="198"/>
      <c r="R17" s="198"/>
      <c r="S17" s="198"/>
      <c r="T17" s="198"/>
      <c r="U17" s="204"/>
      <c r="W17" s="79"/>
      <c r="X17" s="79"/>
      <c r="AA17" s="131"/>
      <c r="AC17" s="106"/>
    </row>
    <row r="18">
      <c r="A18" s="4" t="s">
        <v>23</v>
      </c>
      <c r="B18" s="12">
        <f>SUM(B2:Y8)</f>
        <v>10263.347</v>
      </c>
      <c r="C18" s="192"/>
      <c r="D18" s="177"/>
      <c r="E18" s="78"/>
      <c r="F18" s="213"/>
      <c r="G18" s="213"/>
      <c r="H18" s="151"/>
      <c r="I18" s="201"/>
      <c r="J18" s="203"/>
      <c r="K18" s="191"/>
      <c r="L18" s="201"/>
      <c r="M18" s="201"/>
      <c r="N18" s="200"/>
      <c r="O18" s="201"/>
      <c r="P18" s="203"/>
      <c r="Q18" s="198"/>
      <c r="R18" s="198"/>
      <c r="S18" s="198"/>
      <c r="T18" s="198"/>
      <c r="U18" s="204"/>
      <c r="W18" s="79"/>
      <c r="X18" s="79"/>
      <c r="AA18" s="131"/>
      <c r="AC18" s="106"/>
    </row>
    <row r="19">
      <c r="A19" s="4" t="s">
        <v>24</v>
      </c>
      <c r="B19" s="12">
        <f> SUM(B17-B18)</f>
        <v>-263.347</v>
      </c>
      <c r="C19" s="79"/>
      <c r="D19" s="79"/>
      <c r="E19" s="78"/>
      <c r="F19" s="201"/>
      <c r="G19" s="201"/>
      <c r="H19" s="214"/>
      <c r="I19" s="203"/>
      <c r="J19" s="203"/>
      <c r="K19" s="203"/>
      <c r="L19" s="199"/>
      <c r="M19" s="203"/>
      <c r="N19" s="201"/>
      <c r="O19" s="200"/>
      <c r="P19" s="203"/>
      <c r="Q19" s="198"/>
      <c r="R19" s="198"/>
      <c r="S19" s="198"/>
      <c r="T19" s="198"/>
      <c r="U19" s="204"/>
      <c r="W19" s="79"/>
      <c r="X19" s="79"/>
      <c r="AA19" s="131"/>
      <c r="AC19" s="106"/>
    </row>
    <row r="20">
      <c r="C20" s="79"/>
      <c r="D20" s="79"/>
      <c r="E20" s="78"/>
      <c r="F20" s="213"/>
      <c r="G20" s="213"/>
      <c r="H20" s="214"/>
      <c r="I20" s="224"/>
      <c r="J20" s="203"/>
      <c r="K20" s="203"/>
      <c r="M20" s="201"/>
      <c r="N20" s="201"/>
      <c r="O20" s="198"/>
      <c r="P20" s="203"/>
      <c r="Q20" s="198"/>
      <c r="R20" s="206"/>
      <c r="S20" s="198"/>
      <c r="T20" s="198"/>
      <c r="U20" s="204"/>
      <c r="W20" s="79"/>
      <c r="X20" s="79"/>
      <c r="AA20" s="131"/>
      <c r="AC20" s="106"/>
    </row>
    <row r="21">
      <c r="A21" s="13" t="s">
        <v>25</v>
      </c>
      <c r="B21" s="14">
        <f>SUM(AA2:AA8)</f>
        <v>41439.4</v>
      </c>
      <c r="C21" s="79"/>
      <c r="D21" s="79"/>
      <c r="E21" s="78"/>
      <c r="F21" s="201"/>
      <c r="G21" s="201"/>
      <c r="H21" s="201"/>
      <c r="I21" s="204"/>
      <c r="J21" s="201"/>
      <c r="K21" s="203"/>
      <c r="L21" s="203"/>
      <c r="M21" s="201"/>
      <c r="N21" s="201"/>
      <c r="O21" s="198"/>
      <c r="P21" s="203"/>
      <c r="Q21" s="198"/>
      <c r="R21" s="198"/>
      <c r="S21" s="198"/>
      <c r="T21" s="198"/>
      <c r="U21" s="204"/>
      <c r="W21" s="79"/>
      <c r="X21" s="79"/>
      <c r="AA21" s="181"/>
      <c r="AC21" s="106"/>
    </row>
    <row r="22">
      <c r="A22" s="13" t="s">
        <v>26</v>
      </c>
      <c r="B22" s="15">
        <f>B18/B21</f>
        <v>0.2476712259</v>
      </c>
      <c r="C22" s="79"/>
      <c r="D22" s="79"/>
      <c r="E22" s="78"/>
      <c r="F22" s="204"/>
      <c r="G22" s="204"/>
      <c r="H22" s="213"/>
      <c r="I22" s="207"/>
      <c r="J22" s="189"/>
      <c r="K22" s="203"/>
      <c r="L22" s="203"/>
      <c r="M22" s="201"/>
      <c r="N22" s="200"/>
      <c r="O22" s="203"/>
      <c r="P22" s="203"/>
      <c r="Q22" s="198"/>
      <c r="R22" s="198"/>
      <c r="S22" s="198"/>
      <c r="T22" s="198"/>
      <c r="U22" s="204"/>
      <c r="W22" s="79"/>
      <c r="X22" s="79"/>
      <c r="AA22" s="130"/>
      <c r="AC22" s="106"/>
    </row>
    <row r="23">
      <c r="C23" s="79"/>
      <c r="D23" s="79"/>
      <c r="E23" s="78"/>
      <c r="F23" s="204"/>
      <c r="G23" s="204"/>
      <c r="H23" s="204"/>
      <c r="I23" s="203"/>
      <c r="J23" s="203"/>
      <c r="K23" s="203"/>
      <c r="L23" s="203"/>
      <c r="M23" s="198"/>
      <c r="N23" s="198"/>
      <c r="O23" s="201"/>
      <c r="P23" s="198"/>
      <c r="Q23" s="198"/>
      <c r="R23" s="198"/>
      <c r="S23" s="198"/>
      <c r="T23" s="198"/>
      <c r="U23" s="204"/>
      <c r="W23" s="79"/>
      <c r="X23" s="79"/>
      <c r="AA23" s="182"/>
      <c r="AC23" s="106"/>
    </row>
    <row r="24">
      <c r="C24" s="79"/>
      <c r="D24" s="79"/>
      <c r="E24" s="79"/>
      <c r="F24" s="204"/>
      <c r="G24" s="213"/>
      <c r="H24" s="213"/>
      <c r="I24" s="201"/>
      <c r="J24" s="203"/>
      <c r="K24" s="203"/>
      <c r="L24" s="203"/>
      <c r="M24" s="198"/>
      <c r="N24" s="201"/>
      <c r="O24" s="201"/>
      <c r="P24" s="198"/>
      <c r="Q24" s="198"/>
      <c r="R24" s="198"/>
      <c r="S24" s="198"/>
      <c r="T24" s="198"/>
      <c r="U24" s="204"/>
      <c r="W24" s="79"/>
      <c r="X24" s="79"/>
      <c r="AA24" s="130"/>
      <c r="AC24" s="106"/>
    </row>
    <row r="25">
      <c r="A25" s="16" t="s">
        <v>27</v>
      </c>
      <c r="B25" s="17"/>
      <c r="C25" s="114"/>
      <c r="D25" s="114"/>
      <c r="E25" s="115"/>
      <c r="F25" s="204"/>
      <c r="G25" s="204"/>
      <c r="H25" s="243"/>
      <c r="I25" s="201"/>
      <c r="J25" s="203"/>
      <c r="K25" s="203"/>
      <c r="L25" s="217"/>
      <c r="M25" s="208"/>
      <c r="N25" s="208"/>
      <c r="O25" s="198"/>
      <c r="P25" s="200"/>
      <c r="Q25" s="198"/>
      <c r="R25" s="198"/>
      <c r="S25" s="198"/>
      <c r="T25" s="198"/>
      <c r="U25" s="204"/>
      <c r="W25" s="79"/>
      <c r="X25" s="79"/>
      <c r="AA25" s="130"/>
      <c r="AC25" s="106"/>
    </row>
    <row r="26">
      <c r="A26" s="19" t="s">
        <v>28</v>
      </c>
      <c r="B26" s="20"/>
      <c r="C26" s="116"/>
      <c r="D26" s="116"/>
      <c r="E26" s="117"/>
      <c r="F26" s="204"/>
      <c r="G26" s="204"/>
      <c r="H26" s="243"/>
      <c r="I26" s="213"/>
      <c r="J26" s="203"/>
      <c r="K26" s="203"/>
      <c r="L26" s="203"/>
      <c r="M26" s="209"/>
      <c r="N26" s="209"/>
      <c r="O26" s="201"/>
      <c r="P26" s="198"/>
      <c r="Q26" s="198"/>
      <c r="R26" s="198"/>
      <c r="S26" s="198"/>
      <c r="T26" s="198"/>
      <c r="U26" s="204"/>
      <c r="W26" s="79"/>
      <c r="X26" s="79"/>
      <c r="AA26" s="130"/>
      <c r="AC26" s="106"/>
    </row>
    <row r="27">
      <c r="A27" s="183" t="s">
        <v>29</v>
      </c>
      <c r="B27" s="184" t="s">
        <v>30</v>
      </c>
      <c r="C27" s="183"/>
      <c r="D27" s="183" t="s">
        <v>170</v>
      </c>
      <c r="E27" s="219" t="s">
        <v>171</v>
      </c>
      <c r="F27" s="204"/>
      <c r="G27" s="204"/>
      <c r="H27" s="243"/>
      <c r="I27" s="243"/>
      <c r="J27" s="203"/>
      <c r="K27" s="203"/>
      <c r="L27" s="201"/>
      <c r="M27" s="209"/>
      <c r="N27" s="209"/>
      <c r="O27" s="198"/>
      <c r="P27" s="198"/>
      <c r="Q27" s="198"/>
      <c r="R27" s="198"/>
      <c r="S27" s="198"/>
      <c r="T27" s="198"/>
      <c r="U27" s="204"/>
      <c r="W27" s="79"/>
      <c r="X27" s="79"/>
      <c r="AA27" s="130"/>
      <c r="AC27" s="106"/>
    </row>
    <row r="28">
      <c r="A28" s="237" t="s">
        <v>41</v>
      </c>
      <c r="B28" s="238">
        <f>1330.95+1328.53</f>
        <v>2659.48</v>
      </c>
      <c r="C28" s="239"/>
      <c r="D28" s="239"/>
      <c r="E28" s="237" t="s">
        <v>276</v>
      </c>
      <c r="H28" s="243"/>
      <c r="J28" s="38"/>
      <c r="L28" s="204"/>
      <c r="M28" s="204"/>
      <c r="N28" s="198"/>
      <c r="S28" s="79"/>
      <c r="T28" s="79"/>
      <c r="W28" s="79"/>
      <c r="X28" s="79"/>
      <c r="AA28" s="130"/>
      <c r="AC28" s="106"/>
    </row>
    <row r="29">
      <c r="A29" s="249" t="s">
        <v>277</v>
      </c>
      <c r="B29" s="250">
        <v>252.0</v>
      </c>
      <c r="C29" s="251"/>
      <c r="D29" s="251"/>
      <c r="E29" s="252" t="s">
        <v>278</v>
      </c>
      <c r="F29" s="79"/>
      <c r="G29" s="79"/>
      <c r="L29" s="204"/>
      <c r="M29" s="204"/>
      <c r="N29" s="198"/>
      <c r="S29" s="79"/>
      <c r="T29" s="79"/>
      <c r="W29" s="79"/>
      <c r="X29" s="79"/>
      <c r="AA29" s="130"/>
      <c r="AC29" s="106"/>
    </row>
    <row r="30">
      <c r="A30" s="249" t="s">
        <v>279</v>
      </c>
      <c r="B30" s="250">
        <v>237.6</v>
      </c>
      <c r="C30" s="251"/>
      <c r="D30" s="251"/>
      <c r="E30" s="252" t="s">
        <v>278</v>
      </c>
      <c r="F30" s="79"/>
      <c r="G30" s="79"/>
      <c r="L30" s="204"/>
      <c r="M30" s="204"/>
      <c r="N30" s="198"/>
      <c r="S30" s="79"/>
      <c r="T30" s="79"/>
      <c r="W30" s="79"/>
      <c r="X30" s="79"/>
      <c r="AA30" s="130"/>
      <c r="AC30" s="106"/>
    </row>
    <row r="31">
      <c r="A31" s="249" t="s">
        <v>280</v>
      </c>
      <c r="B31" s="250">
        <f>44+230.94+133.92+384</f>
        <v>792.86</v>
      </c>
      <c r="C31" s="251"/>
      <c r="D31" s="251"/>
      <c r="E31" s="252" t="s">
        <v>278</v>
      </c>
      <c r="F31" s="79"/>
      <c r="G31" s="79"/>
      <c r="L31" s="204"/>
      <c r="M31" s="204"/>
      <c r="N31" s="198"/>
      <c r="S31" s="79"/>
      <c r="T31" s="79"/>
      <c r="W31" s="79"/>
      <c r="X31" s="79"/>
      <c r="AA31" s="130"/>
      <c r="AC31" s="106"/>
    </row>
    <row r="32">
      <c r="A32" s="249" t="s">
        <v>92</v>
      </c>
      <c r="B32" s="250">
        <v>396.0</v>
      </c>
      <c r="C32" s="251"/>
      <c r="D32" s="251"/>
      <c r="E32" s="252" t="s">
        <v>278</v>
      </c>
      <c r="F32" s="79"/>
      <c r="G32" s="79"/>
      <c r="L32" s="204"/>
      <c r="M32" s="204"/>
      <c r="N32" s="198"/>
      <c r="S32" s="79"/>
      <c r="T32" s="79"/>
      <c r="W32" s="79"/>
      <c r="X32" s="79"/>
      <c r="AA32" s="130"/>
      <c r="AC32" s="106"/>
    </row>
    <row r="33">
      <c r="A33" s="249" t="s">
        <v>281</v>
      </c>
      <c r="B33" s="250">
        <f>370/2</f>
        <v>185</v>
      </c>
      <c r="C33" s="251"/>
      <c r="D33" s="251"/>
      <c r="E33" s="252" t="s">
        <v>278</v>
      </c>
      <c r="F33" s="79"/>
      <c r="G33" s="79"/>
      <c r="L33" s="204"/>
      <c r="M33" s="204"/>
      <c r="N33" s="198"/>
      <c r="S33" s="79"/>
      <c r="T33" s="79"/>
      <c r="W33" s="79"/>
      <c r="X33" s="79"/>
      <c r="AA33" s="130"/>
      <c r="AC33" s="106"/>
    </row>
    <row r="34">
      <c r="C34" s="79"/>
      <c r="D34" s="79"/>
      <c r="E34" s="79"/>
      <c r="N34" s="79"/>
      <c r="S34" s="79"/>
      <c r="T34" s="79"/>
      <c r="W34" s="79"/>
      <c r="X34" s="79"/>
      <c r="AA34" s="130"/>
      <c r="AC34" s="106"/>
    </row>
    <row r="35">
      <c r="C35" s="79"/>
      <c r="D35" s="79"/>
      <c r="E35" s="79"/>
      <c r="N35" s="79"/>
      <c r="S35" s="79"/>
      <c r="T35" s="79"/>
      <c r="W35" s="79"/>
      <c r="X35" s="79"/>
      <c r="AA35" s="130"/>
      <c r="AC35" s="106"/>
    </row>
    <row r="36">
      <c r="C36" s="79"/>
      <c r="D36" s="79"/>
      <c r="E36" s="79"/>
      <c r="N36" s="79"/>
      <c r="S36" s="79"/>
      <c r="T36" s="79"/>
      <c r="W36" s="79"/>
      <c r="X36" s="79"/>
      <c r="AA36" s="130"/>
      <c r="AC36" s="106"/>
    </row>
    <row r="37">
      <c r="C37" s="79"/>
      <c r="D37" s="79"/>
      <c r="E37" s="110"/>
      <c r="N37" s="79"/>
      <c r="S37" s="79"/>
      <c r="T37" s="79"/>
      <c r="W37" s="79"/>
      <c r="X37" s="79"/>
      <c r="AA37" s="130"/>
      <c r="AC37" s="106"/>
    </row>
    <row r="38">
      <c r="C38" s="79"/>
      <c r="D38" s="79"/>
      <c r="E38" s="78"/>
      <c r="N38" s="79"/>
      <c r="S38" s="79"/>
      <c r="T38" s="79"/>
      <c r="W38" s="79"/>
      <c r="X38" s="79"/>
      <c r="AA38" s="130"/>
      <c r="AC38" s="106"/>
    </row>
    <row r="39">
      <c r="C39" s="79"/>
      <c r="D39" s="79"/>
      <c r="E39" s="78"/>
      <c r="N39" s="79"/>
      <c r="S39" s="79"/>
      <c r="T39" s="79"/>
      <c r="W39" s="79"/>
      <c r="X39" s="79"/>
      <c r="AA39" s="130"/>
      <c r="AC39" s="106"/>
    </row>
    <row r="40">
      <c r="C40" s="79"/>
      <c r="D40" s="79"/>
      <c r="E40" s="79"/>
      <c r="N40" s="79"/>
      <c r="S40" s="79"/>
      <c r="T40" s="79"/>
      <c r="W40" s="79"/>
      <c r="X40" s="79"/>
      <c r="AA40" s="130"/>
      <c r="AC40" s="106"/>
    </row>
    <row r="41">
      <c r="C41" s="79"/>
      <c r="D41" s="79"/>
      <c r="E41" s="79"/>
      <c r="N41" s="79"/>
      <c r="S41" s="79"/>
      <c r="T41" s="79"/>
      <c r="W41" s="79"/>
      <c r="X41" s="79"/>
      <c r="AA41" s="130"/>
      <c r="AC41" s="106"/>
    </row>
    <row r="42">
      <c r="C42" s="79"/>
      <c r="D42" s="79"/>
      <c r="E42" s="79"/>
      <c r="N42" s="79"/>
      <c r="S42" s="79"/>
      <c r="T42" s="79"/>
      <c r="W42" s="79"/>
      <c r="X42" s="79"/>
      <c r="AA42" s="130"/>
      <c r="AC42" s="106"/>
    </row>
    <row r="43">
      <c r="C43" s="79"/>
      <c r="D43" s="79"/>
      <c r="E43" s="79"/>
      <c r="N43" s="79"/>
      <c r="S43" s="79"/>
      <c r="T43" s="79"/>
      <c r="W43" s="79"/>
      <c r="X43" s="79"/>
      <c r="AA43" s="130"/>
      <c r="AC43" s="106"/>
    </row>
    <row r="44">
      <c r="C44" s="79"/>
      <c r="D44" s="79"/>
      <c r="E44" s="79"/>
      <c r="N44" s="79"/>
      <c r="S44" s="79"/>
      <c r="T44" s="79"/>
      <c r="W44" s="79"/>
      <c r="X44" s="79"/>
      <c r="AA44" s="130"/>
      <c r="AC44" s="106"/>
    </row>
    <row r="45">
      <c r="C45" s="79"/>
      <c r="D45" s="79"/>
      <c r="E45" s="79"/>
      <c r="N45" s="79"/>
      <c r="S45" s="79"/>
      <c r="T45" s="79"/>
      <c r="W45" s="79"/>
      <c r="X45" s="79"/>
      <c r="AA45" s="130"/>
      <c r="AC45" s="106"/>
    </row>
    <row r="46">
      <c r="C46" s="79"/>
      <c r="D46" s="79"/>
      <c r="E46" s="79"/>
      <c r="N46" s="79"/>
      <c r="S46" s="79"/>
      <c r="T46" s="79"/>
      <c r="W46" s="79"/>
      <c r="X46" s="79"/>
      <c r="AA46" s="130"/>
      <c r="AC46" s="106"/>
    </row>
    <row r="47">
      <c r="C47" s="79"/>
      <c r="D47" s="79"/>
      <c r="E47" s="79"/>
      <c r="N47" s="79"/>
      <c r="S47" s="79"/>
      <c r="T47" s="79"/>
      <c r="W47" s="79"/>
      <c r="X47" s="79"/>
      <c r="AA47" s="130"/>
      <c r="AC47" s="106"/>
    </row>
    <row r="48">
      <c r="C48" s="79"/>
      <c r="D48" s="79"/>
      <c r="E48" s="79"/>
      <c r="N48" s="79"/>
      <c r="S48" s="79"/>
      <c r="T48" s="79"/>
      <c r="W48" s="79"/>
      <c r="X48" s="79"/>
      <c r="AA48" s="130"/>
      <c r="AC48" s="106"/>
    </row>
    <row r="49">
      <c r="C49" s="79"/>
      <c r="D49" s="79"/>
      <c r="E49" s="79"/>
      <c r="N49" s="79"/>
      <c r="S49" s="79"/>
      <c r="T49" s="79"/>
      <c r="W49" s="79"/>
      <c r="X49" s="79"/>
      <c r="AA49" s="130"/>
      <c r="AC49" s="106"/>
    </row>
    <row r="50">
      <c r="C50" s="79"/>
      <c r="D50" s="79"/>
      <c r="E50" s="79"/>
      <c r="N50" s="79"/>
      <c r="S50" s="79"/>
      <c r="T50" s="79"/>
      <c r="W50" s="79"/>
      <c r="X50" s="79"/>
      <c r="AA50" s="130"/>
      <c r="AC50" s="106"/>
    </row>
    <row r="51">
      <c r="C51" s="79"/>
      <c r="D51" s="79"/>
      <c r="E51" s="79"/>
      <c r="N51" s="79"/>
      <c r="S51" s="79"/>
      <c r="T51" s="79"/>
      <c r="W51" s="79"/>
      <c r="X51" s="79"/>
      <c r="AA51" s="130"/>
      <c r="AC51" s="106"/>
    </row>
    <row r="52">
      <c r="C52" s="79"/>
      <c r="D52" s="79"/>
      <c r="E52" s="79"/>
      <c r="N52" s="79"/>
      <c r="S52" s="79"/>
      <c r="T52" s="79"/>
      <c r="W52" s="79"/>
      <c r="X52" s="79"/>
      <c r="AA52" s="130"/>
      <c r="AC52" s="106"/>
    </row>
    <row r="53">
      <c r="C53" s="79"/>
      <c r="D53" s="79"/>
      <c r="E53" s="79"/>
      <c r="N53" s="79"/>
      <c r="S53" s="79"/>
      <c r="T53" s="79"/>
      <c r="W53" s="79"/>
      <c r="X53" s="79"/>
      <c r="AA53" s="130"/>
      <c r="AC53" s="106"/>
    </row>
    <row r="54">
      <c r="C54" s="79"/>
      <c r="D54" s="79"/>
      <c r="E54" s="79"/>
      <c r="N54" s="79"/>
      <c r="S54" s="79"/>
      <c r="T54" s="79"/>
      <c r="W54" s="79"/>
      <c r="X54" s="79"/>
      <c r="AA54" s="130"/>
      <c r="AC54" s="106"/>
    </row>
    <row r="55">
      <c r="C55" s="79"/>
      <c r="D55" s="79"/>
      <c r="E55" s="79"/>
      <c r="N55" s="79"/>
      <c r="S55" s="79"/>
      <c r="T55" s="79"/>
      <c r="W55" s="79"/>
      <c r="X55" s="79"/>
      <c r="AA55" s="130"/>
      <c r="AC55" s="106"/>
    </row>
    <row r="56">
      <c r="C56" s="79"/>
      <c r="D56" s="79"/>
      <c r="E56" s="79"/>
      <c r="N56" s="79"/>
      <c r="S56" s="79"/>
      <c r="T56" s="79"/>
      <c r="W56" s="79"/>
      <c r="X56" s="79"/>
      <c r="AA56" s="130"/>
      <c r="AC56" s="106"/>
    </row>
    <row r="57">
      <c r="C57" s="79"/>
      <c r="D57" s="79"/>
      <c r="E57" s="79"/>
      <c r="N57" s="79"/>
      <c r="S57" s="79"/>
      <c r="T57" s="79"/>
      <c r="W57" s="79"/>
      <c r="X57" s="79"/>
      <c r="AA57" s="130"/>
      <c r="AC57" s="106"/>
    </row>
    <row r="58">
      <c r="C58" s="79"/>
      <c r="D58" s="79"/>
      <c r="E58" s="79"/>
      <c r="N58" s="79"/>
      <c r="S58" s="79"/>
      <c r="T58" s="79"/>
      <c r="W58" s="79"/>
      <c r="X58" s="79"/>
      <c r="AA58" s="130"/>
      <c r="AC58" s="106"/>
    </row>
    <row r="59">
      <c r="C59" s="79"/>
      <c r="D59" s="79"/>
      <c r="E59" s="79"/>
      <c r="N59" s="79"/>
      <c r="S59" s="79"/>
      <c r="T59" s="79"/>
      <c r="W59" s="79"/>
      <c r="X59" s="79"/>
      <c r="AA59" s="130"/>
      <c r="AC59" s="106"/>
    </row>
    <row r="60">
      <c r="C60" s="79"/>
      <c r="D60" s="79"/>
      <c r="E60" s="79"/>
      <c r="N60" s="79"/>
      <c r="S60" s="79"/>
      <c r="T60" s="79"/>
      <c r="W60" s="79"/>
      <c r="X60" s="79"/>
      <c r="AA60" s="130"/>
      <c r="AC60" s="106"/>
    </row>
    <row r="61">
      <c r="C61" s="79"/>
      <c r="D61" s="79"/>
      <c r="E61" s="79"/>
      <c r="N61" s="79"/>
      <c r="S61" s="79"/>
      <c r="T61" s="79"/>
      <c r="W61" s="79"/>
      <c r="X61" s="79"/>
      <c r="AA61" s="130"/>
      <c r="AC61" s="106"/>
    </row>
    <row r="62">
      <c r="C62" s="79"/>
      <c r="D62" s="79"/>
      <c r="E62" s="79"/>
      <c r="N62" s="79"/>
      <c r="S62" s="79"/>
      <c r="T62" s="79"/>
      <c r="W62" s="79"/>
      <c r="X62" s="79"/>
      <c r="AA62" s="130"/>
      <c r="AC62" s="106"/>
    </row>
    <row r="63">
      <c r="C63" s="79"/>
      <c r="D63" s="79"/>
      <c r="E63" s="79"/>
      <c r="N63" s="79"/>
      <c r="S63" s="79"/>
      <c r="T63" s="79"/>
      <c r="W63" s="79"/>
      <c r="X63" s="79"/>
      <c r="AA63" s="130"/>
      <c r="AC63" s="106"/>
    </row>
    <row r="64">
      <c r="C64" s="79"/>
      <c r="D64" s="79"/>
      <c r="E64" s="79"/>
      <c r="N64" s="79"/>
      <c r="S64" s="79"/>
      <c r="T64" s="79"/>
      <c r="W64" s="79"/>
      <c r="X64" s="79"/>
      <c r="AA64" s="130"/>
      <c r="AC64" s="106"/>
    </row>
    <row r="65">
      <c r="C65" s="79"/>
      <c r="D65" s="79"/>
      <c r="E65" s="79"/>
      <c r="N65" s="79"/>
      <c r="S65" s="79"/>
      <c r="T65" s="79"/>
      <c r="W65" s="79"/>
      <c r="X65" s="79"/>
      <c r="AA65" s="130"/>
      <c r="AC65" s="106"/>
    </row>
    <row r="66">
      <c r="C66" s="79"/>
      <c r="D66" s="79"/>
      <c r="E66" s="79"/>
      <c r="N66" s="79"/>
      <c r="S66" s="79"/>
      <c r="T66" s="79"/>
      <c r="W66" s="79"/>
      <c r="X66" s="79"/>
      <c r="AA66" s="130"/>
      <c r="AC66" s="106"/>
    </row>
    <row r="67">
      <c r="C67" s="79"/>
      <c r="D67" s="79"/>
      <c r="E67" s="79"/>
      <c r="N67" s="79"/>
      <c r="S67" s="79"/>
      <c r="T67" s="79"/>
      <c r="W67" s="79"/>
      <c r="X67" s="79"/>
      <c r="AA67" s="130"/>
      <c r="AC67" s="106"/>
    </row>
    <row r="68">
      <c r="C68" s="79"/>
      <c r="D68" s="79"/>
      <c r="E68" s="79"/>
      <c r="N68" s="79"/>
      <c r="S68" s="79"/>
      <c r="T68" s="79"/>
      <c r="W68" s="79"/>
      <c r="X68" s="79"/>
      <c r="AA68" s="130"/>
      <c r="AC68" s="106"/>
    </row>
    <row r="69">
      <c r="C69" s="79"/>
      <c r="D69" s="79"/>
      <c r="E69" s="79"/>
      <c r="N69" s="79"/>
      <c r="S69" s="79"/>
      <c r="T69" s="79"/>
      <c r="W69" s="79"/>
      <c r="X69" s="79"/>
      <c r="AA69" s="130"/>
      <c r="AC69" s="106"/>
    </row>
    <row r="70">
      <c r="C70" s="79"/>
      <c r="D70" s="79"/>
      <c r="E70" s="79"/>
      <c r="N70" s="79"/>
      <c r="S70" s="79"/>
      <c r="T70" s="79"/>
      <c r="W70" s="79"/>
      <c r="X70" s="79"/>
      <c r="AA70" s="130"/>
      <c r="AC70" s="106"/>
    </row>
    <row r="71">
      <c r="C71" s="79"/>
      <c r="D71" s="79"/>
      <c r="E71" s="79"/>
      <c r="N71" s="79"/>
      <c r="S71" s="79"/>
      <c r="T71" s="79"/>
      <c r="W71" s="79"/>
      <c r="X71" s="79"/>
      <c r="AA71" s="130"/>
      <c r="AC71" s="106"/>
    </row>
    <row r="72">
      <c r="C72" s="79"/>
      <c r="D72" s="79"/>
      <c r="E72" s="79"/>
      <c r="N72" s="79"/>
      <c r="S72" s="79"/>
      <c r="T72" s="79"/>
      <c r="W72" s="79"/>
      <c r="X72" s="79"/>
      <c r="AA72" s="130"/>
      <c r="AC72" s="106"/>
    </row>
    <row r="73">
      <c r="C73" s="79"/>
      <c r="D73" s="79"/>
      <c r="E73" s="79"/>
      <c r="N73" s="79"/>
      <c r="S73" s="79"/>
      <c r="T73" s="79"/>
      <c r="W73" s="79"/>
      <c r="X73" s="79"/>
      <c r="AA73" s="130"/>
      <c r="AC73" s="106"/>
    </row>
    <row r="74">
      <c r="C74" s="79"/>
      <c r="D74" s="79"/>
      <c r="E74" s="79"/>
      <c r="N74" s="79"/>
      <c r="S74" s="79"/>
      <c r="T74" s="79"/>
      <c r="W74" s="79"/>
      <c r="X74" s="79"/>
      <c r="AA74" s="130"/>
      <c r="AC74" s="106"/>
    </row>
    <row r="75">
      <c r="C75" s="79"/>
      <c r="D75" s="79"/>
      <c r="E75" s="79"/>
      <c r="N75" s="79"/>
      <c r="S75" s="79"/>
      <c r="T75" s="79"/>
      <c r="W75" s="79"/>
      <c r="X75" s="79"/>
      <c r="AA75" s="130"/>
      <c r="AC75" s="106"/>
    </row>
    <row r="76">
      <c r="C76" s="79"/>
      <c r="D76" s="79"/>
      <c r="E76" s="79"/>
      <c r="N76" s="79"/>
      <c r="S76" s="79"/>
      <c r="T76" s="79"/>
      <c r="W76" s="79"/>
      <c r="X76" s="79"/>
      <c r="AA76" s="130"/>
      <c r="AC76" s="106"/>
    </row>
    <row r="77">
      <c r="C77" s="79"/>
      <c r="D77" s="79"/>
      <c r="E77" s="79"/>
      <c r="N77" s="79"/>
      <c r="S77" s="79"/>
      <c r="T77" s="79"/>
      <c r="W77" s="79"/>
      <c r="X77" s="79"/>
      <c r="AA77" s="130"/>
      <c r="AC77" s="106"/>
    </row>
    <row r="78">
      <c r="C78" s="79"/>
      <c r="D78" s="79"/>
      <c r="E78" s="79"/>
      <c r="N78" s="79"/>
      <c r="S78" s="79"/>
      <c r="T78" s="79"/>
      <c r="W78" s="79"/>
      <c r="X78" s="79"/>
      <c r="AA78" s="130"/>
      <c r="AC78" s="106"/>
    </row>
    <row r="79">
      <c r="C79" s="79"/>
      <c r="D79" s="79"/>
      <c r="E79" s="79"/>
      <c r="N79" s="79"/>
      <c r="S79" s="79"/>
      <c r="T79" s="79"/>
      <c r="W79" s="79"/>
      <c r="X79" s="79"/>
      <c r="AA79" s="130"/>
      <c r="AC79" s="106"/>
    </row>
    <row r="80">
      <c r="C80" s="79"/>
      <c r="D80" s="79"/>
      <c r="E80" s="79"/>
      <c r="N80" s="79"/>
      <c r="S80" s="79"/>
      <c r="T80" s="79"/>
      <c r="W80" s="79"/>
      <c r="X80" s="79"/>
      <c r="AA80" s="130"/>
      <c r="AC80" s="106"/>
    </row>
    <row r="81">
      <c r="C81" s="79"/>
      <c r="D81" s="79"/>
      <c r="E81" s="79"/>
      <c r="N81" s="79"/>
      <c r="S81" s="79"/>
      <c r="T81" s="79"/>
      <c r="W81" s="79"/>
      <c r="X81" s="79"/>
      <c r="AA81" s="130"/>
      <c r="AC81" s="106"/>
    </row>
    <row r="82">
      <c r="C82" s="79"/>
      <c r="D82" s="79"/>
      <c r="E82" s="79"/>
      <c r="N82" s="79"/>
      <c r="S82" s="79"/>
      <c r="T82" s="79"/>
      <c r="W82" s="79"/>
      <c r="X82" s="79"/>
      <c r="AA82" s="130"/>
      <c r="AC82" s="106"/>
    </row>
    <row r="83">
      <c r="C83" s="79"/>
      <c r="D83" s="79"/>
      <c r="E83" s="79"/>
      <c r="N83" s="79"/>
      <c r="S83" s="79"/>
      <c r="T83" s="79"/>
      <c r="W83" s="79"/>
      <c r="X83" s="79"/>
      <c r="AA83" s="130"/>
      <c r="AC83" s="106"/>
    </row>
    <row r="84">
      <c r="C84" s="79"/>
      <c r="D84" s="79"/>
      <c r="E84" s="79"/>
      <c r="N84" s="79"/>
      <c r="S84" s="79"/>
      <c r="T84" s="79"/>
      <c r="W84" s="79"/>
      <c r="X84" s="79"/>
      <c r="AA84" s="130"/>
      <c r="AC84" s="106"/>
    </row>
    <row r="85">
      <c r="C85" s="79"/>
      <c r="D85" s="79"/>
      <c r="E85" s="79"/>
      <c r="N85" s="79"/>
      <c r="S85" s="79"/>
      <c r="T85" s="79"/>
      <c r="W85" s="79"/>
      <c r="X85" s="79"/>
      <c r="AA85" s="130"/>
      <c r="AC85" s="106"/>
    </row>
    <row r="86">
      <c r="C86" s="79"/>
      <c r="D86" s="79"/>
      <c r="E86" s="79"/>
      <c r="N86" s="79"/>
      <c r="S86" s="79"/>
      <c r="T86" s="79"/>
      <c r="W86" s="79"/>
      <c r="X86" s="79"/>
      <c r="AA86" s="130"/>
      <c r="AC86" s="106"/>
    </row>
    <row r="87">
      <c r="C87" s="79"/>
      <c r="D87" s="79"/>
      <c r="E87" s="79"/>
      <c r="N87" s="79"/>
      <c r="S87" s="79"/>
      <c r="T87" s="79"/>
      <c r="W87" s="79"/>
      <c r="X87" s="79"/>
      <c r="AA87" s="130"/>
      <c r="AC87" s="106"/>
    </row>
    <row r="88">
      <c r="C88" s="79"/>
      <c r="D88" s="79"/>
      <c r="E88" s="79"/>
      <c r="N88" s="79"/>
      <c r="S88" s="79"/>
      <c r="T88" s="79"/>
      <c r="W88" s="79"/>
      <c r="X88" s="79"/>
      <c r="AA88" s="130"/>
      <c r="AC88" s="106"/>
    </row>
    <row r="89">
      <c r="C89" s="79"/>
      <c r="D89" s="79"/>
      <c r="E89" s="79"/>
      <c r="N89" s="79"/>
      <c r="S89" s="79"/>
      <c r="T89" s="79"/>
      <c r="W89" s="79"/>
      <c r="X89" s="79"/>
      <c r="AA89" s="130"/>
      <c r="AC89" s="106"/>
    </row>
    <row r="90">
      <c r="C90" s="79"/>
      <c r="D90" s="79"/>
      <c r="E90" s="79"/>
      <c r="N90" s="79"/>
      <c r="S90" s="79"/>
      <c r="T90" s="79"/>
      <c r="W90" s="79"/>
      <c r="X90" s="79"/>
      <c r="AA90" s="130"/>
      <c r="AC90" s="106"/>
    </row>
    <row r="91">
      <c r="C91" s="79"/>
      <c r="D91" s="79"/>
      <c r="E91" s="79"/>
      <c r="N91" s="79"/>
      <c r="S91" s="79"/>
      <c r="T91" s="79"/>
      <c r="W91" s="79"/>
      <c r="X91" s="79"/>
      <c r="AA91" s="130"/>
      <c r="AC91" s="106"/>
    </row>
    <row r="92">
      <c r="C92" s="79"/>
      <c r="D92" s="79"/>
      <c r="E92" s="79"/>
      <c r="N92" s="79"/>
      <c r="S92" s="79"/>
      <c r="T92" s="79"/>
      <c r="W92" s="79"/>
      <c r="X92" s="79"/>
      <c r="AA92" s="130"/>
      <c r="AC92" s="106"/>
    </row>
    <row r="93">
      <c r="C93" s="79"/>
      <c r="D93" s="79"/>
      <c r="E93" s="79"/>
      <c r="N93" s="79"/>
      <c r="S93" s="79"/>
      <c r="T93" s="79"/>
      <c r="W93" s="79"/>
      <c r="X93" s="79"/>
      <c r="AA93" s="130"/>
      <c r="AC93" s="106"/>
    </row>
    <row r="94">
      <c r="C94" s="79"/>
      <c r="D94" s="79"/>
      <c r="E94" s="79"/>
      <c r="N94" s="79"/>
      <c r="S94" s="79"/>
      <c r="T94" s="79"/>
      <c r="W94" s="79"/>
      <c r="X94" s="79"/>
      <c r="AA94" s="130"/>
      <c r="AC94" s="106"/>
    </row>
    <row r="95">
      <c r="C95" s="79"/>
      <c r="D95" s="79"/>
      <c r="E95" s="79"/>
      <c r="N95" s="79"/>
      <c r="S95" s="79"/>
      <c r="T95" s="79"/>
      <c r="W95" s="79"/>
      <c r="X95" s="79"/>
      <c r="AA95" s="130"/>
      <c r="AC95" s="106"/>
    </row>
    <row r="96">
      <c r="C96" s="79"/>
      <c r="D96" s="79"/>
      <c r="E96" s="79"/>
      <c r="N96" s="79"/>
      <c r="S96" s="79"/>
      <c r="T96" s="79"/>
      <c r="W96" s="79"/>
      <c r="X96" s="79"/>
      <c r="AA96" s="130"/>
      <c r="AC96" s="106"/>
    </row>
    <row r="97">
      <c r="C97" s="79"/>
      <c r="D97" s="79"/>
      <c r="E97" s="79"/>
      <c r="N97" s="79"/>
      <c r="S97" s="79"/>
      <c r="T97" s="79"/>
      <c r="W97" s="79"/>
      <c r="X97" s="79"/>
      <c r="AA97" s="130"/>
      <c r="AC97" s="106"/>
    </row>
    <row r="98">
      <c r="C98" s="79"/>
      <c r="D98" s="79"/>
      <c r="E98" s="79"/>
      <c r="N98" s="79"/>
      <c r="S98" s="79"/>
      <c r="T98" s="79"/>
      <c r="W98" s="79"/>
      <c r="X98" s="79"/>
      <c r="AA98" s="130"/>
      <c r="AC98" s="106"/>
    </row>
    <row r="99">
      <c r="C99" s="79"/>
      <c r="D99" s="79"/>
      <c r="E99" s="79"/>
      <c r="N99" s="79"/>
      <c r="S99" s="79"/>
      <c r="T99" s="79"/>
      <c r="W99" s="79"/>
      <c r="X99" s="79"/>
      <c r="AA99" s="130"/>
      <c r="AC99" s="106"/>
    </row>
    <row r="100">
      <c r="C100" s="79"/>
      <c r="D100" s="79"/>
      <c r="E100" s="79"/>
      <c r="N100" s="79"/>
      <c r="S100" s="79"/>
      <c r="T100" s="79"/>
      <c r="W100" s="79"/>
      <c r="X100" s="79"/>
      <c r="AA100" s="130"/>
      <c r="AC100" s="106"/>
    </row>
    <row r="101">
      <c r="C101" s="79"/>
      <c r="D101" s="79"/>
      <c r="E101" s="79"/>
      <c r="N101" s="79"/>
      <c r="S101" s="79"/>
      <c r="T101" s="79"/>
      <c r="W101" s="79"/>
      <c r="X101" s="79"/>
      <c r="AA101" s="130"/>
      <c r="AC101" s="106"/>
    </row>
    <row r="102">
      <c r="C102" s="79"/>
      <c r="D102" s="79"/>
      <c r="E102" s="79"/>
      <c r="N102" s="79"/>
      <c r="S102" s="79"/>
      <c r="T102" s="79"/>
      <c r="W102" s="79"/>
      <c r="X102" s="79"/>
      <c r="AA102" s="130"/>
      <c r="AC102" s="106"/>
    </row>
    <row r="103">
      <c r="C103" s="79"/>
      <c r="D103" s="79"/>
      <c r="E103" s="79"/>
      <c r="N103" s="79"/>
      <c r="S103" s="79"/>
      <c r="T103" s="79"/>
      <c r="W103" s="79"/>
      <c r="X103" s="79"/>
      <c r="AA103" s="130"/>
      <c r="AC103" s="106"/>
    </row>
    <row r="104">
      <c r="C104" s="79"/>
      <c r="D104" s="79"/>
      <c r="E104" s="79"/>
      <c r="N104" s="79"/>
      <c r="S104" s="79"/>
      <c r="T104" s="79"/>
      <c r="W104" s="79"/>
      <c r="X104" s="79"/>
      <c r="AA104" s="130"/>
      <c r="AC104" s="106"/>
    </row>
    <row r="105">
      <c r="C105" s="79"/>
      <c r="D105" s="79"/>
      <c r="E105" s="79"/>
      <c r="N105" s="79"/>
      <c r="S105" s="79"/>
      <c r="T105" s="79"/>
      <c r="W105" s="79"/>
      <c r="X105" s="79"/>
      <c r="AA105" s="130"/>
      <c r="AC105" s="106"/>
    </row>
    <row r="106">
      <c r="C106" s="79"/>
      <c r="D106" s="79"/>
      <c r="E106" s="79"/>
      <c r="N106" s="79"/>
      <c r="S106" s="79"/>
      <c r="T106" s="79"/>
      <c r="W106" s="79"/>
      <c r="X106" s="79"/>
      <c r="AA106" s="130"/>
      <c r="AC106" s="106"/>
    </row>
    <row r="107">
      <c r="C107" s="79"/>
      <c r="D107" s="79"/>
      <c r="E107" s="79"/>
      <c r="N107" s="79"/>
      <c r="S107" s="79"/>
      <c r="T107" s="79"/>
      <c r="W107" s="79"/>
      <c r="X107" s="79"/>
      <c r="AA107" s="130"/>
      <c r="AC107" s="106"/>
    </row>
    <row r="108">
      <c r="C108" s="79"/>
      <c r="D108" s="79"/>
      <c r="E108" s="79"/>
      <c r="N108" s="79"/>
      <c r="S108" s="79"/>
      <c r="T108" s="79"/>
      <c r="W108" s="79"/>
      <c r="X108" s="79"/>
      <c r="AA108" s="130"/>
      <c r="AC108" s="106"/>
    </row>
    <row r="109">
      <c r="C109" s="79"/>
      <c r="D109" s="79"/>
      <c r="E109" s="79"/>
      <c r="N109" s="79"/>
      <c r="S109" s="79"/>
      <c r="T109" s="79"/>
      <c r="W109" s="79"/>
      <c r="X109" s="79"/>
      <c r="AA109" s="130"/>
      <c r="AC109" s="106"/>
    </row>
    <row r="110">
      <c r="C110" s="79"/>
      <c r="D110" s="79"/>
      <c r="E110" s="79"/>
      <c r="N110" s="79"/>
      <c r="S110" s="79"/>
      <c r="T110" s="79"/>
      <c r="W110" s="79"/>
      <c r="X110" s="79"/>
      <c r="AA110" s="130"/>
      <c r="AC110" s="106"/>
    </row>
    <row r="111">
      <c r="C111" s="79"/>
      <c r="D111" s="79"/>
      <c r="E111" s="79"/>
      <c r="N111" s="79"/>
      <c r="S111" s="79"/>
      <c r="T111" s="79"/>
      <c r="W111" s="79"/>
      <c r="X111" s="79"/>
      <c r="AA111" s="130"/>
      <c r="AC111" s="106"/>
    </row>
    <row r="112">
      <c r="C112" s="79"/>
      <c r="D112" s="79"/>
      <c r="E112" s="79"/>
      <c r="N112" s="79"/>
      <c r="S112" s="79"/>
      <c r="T112" s="79"/>
      <c r="W112" s="79"/>
      <c r="X112" s="79"/>
      <c r="AA112" s="130"/>
      <c r="AC112" s="106"/>
    </row>
    <row r="113">
      <c r="C113" s="79"/>
      <c r="D113" s="79"/>
      <c r="E113" s="79"/>
      <c r="N113" s="79"/>
      <c r="S113" s="79"/>
      <c r="T113" s="79"/>
      <c r="W113" s="79"/>
      <c r="X113" s="79"/>
      <c r="AA113" s="130"/>
      <c r="AC113" s="106"/>
    </row>
    <row r="114">
      <c r="C114" s="79"/>
      <c r="D114" s="79"/>
      <c r="E114" s="79"/>
      <c r="N114" s="79"/>
      <c r="S114" s="79"/>
      <c r="T114" s="79"/>
      <c r="W114" s="79"/>
      <c r="X114" s="79"/>
      <c r="AA114" s="130"/>
      <c r="AC114" s="106"/>
    </row>
    <row r="115">
      <c r="C115" s="79"/>
      <c r="D115" s="79"/>
      <c r="E115" s="79"/>
      <c r="N115" s="79"/>
      <c r="S115" s="79"/>
      <c r="T115" s="79"/>
      <c r="W115" s="79"/>
      <c r="X115" s="79"/>
      <c r="AA115" s="130"/>
      <c r="AC115" s="106"/>
    </row>
    <row r="116">
      <c r="C116" s="79"/>
      <c r="D116" s="79"/>
      <c r="E116" s="79"/>
      <c r="N116" s="79"/>
      <c r="S116" s="79"/>
      <c r="T116" s="79"/>
      <c r="W116" s="79"/>
      <c r="X116" s="79"/>
      <c r="AA116" s="130"/>
      <c r="AC116" s="106"/>
    </row>
    <row r="117">
      <c r="C117" s="79"/>
      <c r="D117" s="79"/>
      <c r="E117" s="79"/>
      <c r="N117" s="79"/>
      <c r="S117" s="79"/>
      <c r="T117" s="79"/>
      <c r="W117" s="79"/>
      <c r="X117" s="79"/>
      <c r="AA117" s="130"/>
      <c r="AC117" s="106"/>
    </row>
    <row r="118">
      <c r="C118" s="79"/>
      <c r="D118" s="79"/>
      <c r="E118" s="79"/>
      <c r="N118" s="79"/>
      <c r="S118" s="79"/>
      <c r="T118" s="79"/>
      <c r="W118" s="79"/>
      <c r="X118" s="79"/>
      <c r="AA118" s="130"/>
      <c r="AC118" s="106"/>
    </row>
    <row r="119">
      <c r="C119" s="79"/>
      <c r="D119" s="79"/>
      <c r="E119" s="79"/>
      <c r="N119" s="79"/>
      <c r="S119" s="79"/>
      <c r="T119" s="79"/>
      <c r="W119" s="79"/>
      <c r="X119" s="79"/>
      <c r="AA119" s="130"/>
      <c r="AC119" s="106"/>
    </row>
    <row r="120">
      <c r="C120" s="79"/>
      <c r="D120" s="79"/>
      <c r="E120" s="79"/>
      <c r="N120" s="79"/>
      <c r="S120" s="79"/>
      <c r="T120" s="79"/>
      <c r="W120" s="79"/>
      <c r="X120" s="79"/>
      <c r="AA120" s="130"/>
      <c r="AC120" s="106"/>
    </row>
    <row r="121">
      <c r="C121" s="79"/>
      <c r="D121" s="79"/>
      <c r="E121" s="79"/>
      <c r="N121" s="79"/>
      <c r="S121" s="79"/>
      <c r="T121" s="79"/>
      <c r="W121" s="79"/>
      <c r="X121" s="79"/>
      <c r="AA121" s="130"/>
      <c r="AC121" s="106"/>
    </row>
    <row r="122">
      <c r="C122" s="79"/>
      <c r="D122" s="79"/>
      <c r="E122" s="79"/>
      <c r="N122" s="79"/>
      <c r="S122" s="79"/>
      <c r="T122" s="79"/>
      <c r="W122" s="79"/>
      <c r="X122" s="79"/>
      <c r="AA122" s="130"/>
      <c r="AC122" s="106"/>
    </row>
    <row r="123">
      <c r="C123" s="79"/>
      <c r="D123" s="79"/>
      <c r="E123" s="79"/>
      <c r="N123" s="79"/>
      <c r="S123" s="79"/>
      <c r="T123" s="79"/>
      <c r="W123" s="79"/>
      <c r="X123" s="79"/>
      <c r="AA123" s="130"/>
      <c r="AC123" s="106"/>
    </row>
    <row r="124">
      <c r="C124" s="79"/>
      <c r="D124" s="79"/>
      <c r="E124" s="79"/>
      <c r="N124" s="79"/>
      <c r="S124" s="79"/>
      <c r="T124" s="79"/>
      <c r="W124" s="79"/>
      <c r="X124" s="79"/>
      <c r="AA124" s="130"/>
      <c r="AC124" s="106"/>
    </row>
    <row r="125">
      <c r="C125" s="79"/>
      <c r="D125" s="79"/>
      <c r="E125" s="79"/>
      <c r="N125" s="79"/>
      <c r="S125" s="79"/>
      <c r="T125" s="79"/>
      <c r="W125" s="79"/>
      <c r="X125" s="79"/>
      <c r="AA125" s="130"/>
      <c r="AC125" s="106"/>
    </row>
    <row r="126">
      <c r="C126" s="79"/>
      <c r="D126" s="79"/>
      <c r="E126" s="79"/>
      <c r="N126" s="79"/>
      <c r="S126" s="79"/>
      <c r="T126" s="79"/>
      <c r="W126" s="79"/>
      <c r="X126" s="79"/>
      <c r="AA126" s="130"/>
      <c r="AC126" s="106"/>
    </row>
    <row r="127">
      <c r="C127" s="79"/>
      <c r="D127" s="79"/>
      <c r="E127" s="79"/>
      <c r="N127" s="79"/>
      <c r="S127" s="79"/>
      <c r="T127" s="79"/>
      <c r="W127" s="79"/>
      <c r="X127" s="79"/>
      <c r="AA127" s="130"/>
      <c r="AC127" s="106"/>
    </row>
    <row r="128">
      <c r="C128" s="79"/>
      <c r="D128" s="79"/>
      <c r="E128" s="79"/>
      <c r="N128" s="79"/>
      <c r="S128" s="79"/>
      <c r="T128" s="79"/>
      <c r="W128" s="79"/>
      <c r="X128" s="79"/>
      <c r="AA128" s="130"/>
      <c r="AC128" s="106"/>
    </row>
    <row r="129">
      <c r="C129" s="79"/>
      <c r="D129" s="79"/>
      <c r="E129" s="79"/>
      <c r="N129" s="79"/>
      <c r="S129" s="79"/>
      <c r="T129" s="79"/>
      <c r="W129" s="79"/>
      <c r="X129" s="79"/>
      <c r="AA129" s="130"/>
      <c r="AC129" s="106"/>
    </row>
    <row r="130">
      <c r="C130" s="79"/>
      <c r="D130" s="79"/>
      <c r="E130" s="79"/>
      <c r="N130" s="79"/>
      <c r="S130" s="79"/>
      <c r="T130" s="79"/>
      <c r="W130" s="79"/>
      <c r="X130" s="79"/>
      <c r="AA130" s="130"/>
      <c r="AC130" s="106"/>
    </row>
    <row r="131">
      <c r="C131" s="79"/>
      <c r="D131" s="79"/>
      <c r="E131" s="79"/>
      <c r="N131" s="79"/>
      <c r="S131" s="79"/>
      <c r="T131" s="79"/>
      <c r="W131" s="79"/>
      <c r="X131" s="79"/>
      <c r="AA131" s="130"/>
      <c r="AC131" s="106"/>
    </row>
    <row r="132">
      <c r="C132" s="79"/>
      <c r="D132" s="79"/>
      <c r="E132" s="79"/>
      <c r="N132" s="79"/>
      <c r="S132" s="79"/>
      <c r="T132" s="79"/>
      <c r="W132" s="79"/>
      <c r="X132" s="79"/>
      <c r="AA132" s="130"/>
      <c r="AC132" s="106"/>
    </row>
    <row r="133">
      <c r="C133" s="79"/>
      <c r="D133" s="79"/>
      <c r="E133" s="79"/>
      <c r="N133" s="79"/>
      <c r="S133" s="79"/>
      <c r="T133" s="79"/>
      <c r="W133" s="79"/>
      <c r="X133" s="79"/>
      <c r="AA133" s="130"/>
      <c r="AC133" s="106"/>
    </row>
    <row r="134">
      <c r="C134" s="79"/>
      <c r="D134" s="79"/>
      <c r="E134" s="79"/>
      <c r="N134" s="79"/>
      <c r="S134" s="79"/>
      <c r="T134" s="79"/>
      <c r="W134" s="79"/>
      <c r="X134" s="79"/>
      <c r="AA134" s="130"/>
      <c r="AC134" s="106"/>
    </row>
    <row r="135">
      <c r="C135" s="79"/>
      <c r="D135" s="79"/>
      <c r="E135" s="79"/>
      <c r="N135" s="79"/>
      <c r="S135" s="79"/>
      <c r="T135" s="79"/>
      <c r="W135" s="79"/>
      <c r="X135" s="79"/>
      <c r="AA135" s="130"/>
      <c r="AC135" s="106"/>
    </row>
    <row r="136">
      <c r="C136" s="79"/>
      <c r="D136" s="79"/>
      <c r="E136" s="79"/>
      <c r="N136" s="79"/>
      <c r="S136" s="79"/>
      <c r="T136" s="79"/>
      <c r="W136" s="79"/>
      <c r="X136" s="79"/>
      <c r="AA136" s="130"/>
      <c r="AC136" s="106"/>
    </row>
    <row r="137">
      <c r="C137" s="79"/>
      <c r="D137" s="79"/>
      <c r="E137" s="79"/>
      <c r="N137" s="79"/>
      <c r="S137" s="79"/>
      <c r="T137" s="79"/>
      <c r="W137" s="79"/>
      <c r="X137" s="79"/>
      <c r="AA137" s="130"/>
      <c r="AC137" s="106"/>
    </row>
    <row r="138">
      <c r="C138" s="79"/>
      <c r="D138" s="79"/>
      <c r="E138" s="79"/>
      <c r="N138" s="79"/>
      <c r="S138" s="79"/>
      <c r="T138" s="79"/>
      <c r="W138" s="79"/>
      <c r="X138" s="79"/>
      <c r="AA138" s="130"/>
      <c r="AC138" s="106"/>
    </row>
    <row r="139">
      <c r="C139" s="79"/>
      <c r="D139" s="79"/>
      <c r="E139" s="79"/>
      <c r="N139" s="79"/>
      <c r="S139" s="79"/>
      <c r="T139" s="79"/>
      <c r="W139" s="79"/>
      <c r="X139" s="79"/>
      <c r="AA139" s="130"/>
      <c r="AC139" s="106"/>
    </row>
    <row r="140">
      <c r="C140" s="79"/>
      <c r="D140" s="79"/>
      <c r="E140" s="79"/>
      <c r="N140" s="79"/>
      <c r="S140" s="79"/>
      <c r="T140" s="79"/>
      <c r="W140" s="79"/>
      <c r="X140" s="79"/>
      <c r="AA140" s="130"/>
      <c r="AC140" s="106"/>
    </row>
    <row r="141">
      <c r="C141" s="79"/>
      <c r="D141" s="79"/>
      <c r="E141" s="79"/>
      <c r="N141" s="79"/>
      <c r="S141" s="79"/>
      <c r="T141" s="79"/>
      <c r="W141" s="79"/>
      <c r="X141" s="79"/>
      <c r="AA141" s="130"/>
      <c r="AC141" s="106"/>
    </row>
    <row r="142">
      <c r="C142" s="79"/>
      <c r="D142" s="79"/>
      <c r="E142" s="79"/>
      <c r="N142" s="79"/>
      <c r="S142" s="79"/>
      <c r="T142" s="79"/>
      <c r="W142" s="79"/>
      <c r="X142" s="79"/>
      <c r="AA142" s="130"/>
      <c r="AC142" s="106"/>
    </row>
    <row r="143">
      <c r="C143" s="79"/>
      <c r="D143" s="79"/>
      <c r="E143" s="79"/>
      <c r="N143" s="79"/>
      <c r="S143" s="79"/>
      <c r="T143" s="79"/>
      <c r="W143" s="79"/>
      <c r="X143" s="79"/>
      <c r="AA143" s="130"/>
      <c r="AC143" s="106"/>
    </row>
    <row r="144">
      <c r="C144" s="79"/>
      <c r="D144" s="79"/>
      <c r="E144" s="79"/>
      <c r="N144" s="79"/>
      <c r="S144" s="79"/>
      <c r="T144" s="79"/>
      <c r="W144" s="79"/>
      <c r="X144" s="79"/>
      <c r="AA144" s="130"/>
      <c r="AC144" s="106"/>
    </row>
    <row r="145">
      <c r="C145" s="79"/>
      <c r="D145" s="79"/>
      <c r="E145" s="79"/>
      <c r="N145" s="79"/>
      <c r="S145" s="79"/>
      <c r="T145" s="79"/>
      <c r="W145" s="79"/>
      <c r="X145" s="79"/>
      <c r="AA145" s="130"/>
      <c r="AC145" s="106"/>
    </row>
    <row r="146">
      <c r="C146" s="79"/>
      <c r="D146" s="79"/>
      <c r="E146" s="79"/>
      <c r="N146" s="79"/>
      <c r="S146" s="79"/>
      <c r="T146" s="79"/>
      <c r="W146" s="79"/>
      <c r="X146" s="79"/>
      <c r="AA146" s="130"/>
      <c r="AC146" s="106"/>
    </row>
    <row r="147">
      <c r="C147" s="79"/>
      <c r="D147" s="79"/>
      <c r="E147" s="79"/>
      <c r="N147" s="79"/>
      <c r="S147" s="79"/>
      <c r="T147" s="79"/>
      <c r="W147" s="79"/>
      <c r="X147" s="79"/>
      <c r="AA147" s="130"/>
      <c r="AC147" s="106"/>
    </row>
    <row r="148">
      <c r="C148" s="79"/>
      <c r="D148" s="79"/>
      <c r="E148" s="79"/>
      <c r="N148" s="79"/>
      <c r="S148" s="79"/>
      <c r="T148" s="79"/>
      <c r="W148" s="79"/>
      <c r="X148" s="79"/>
      <c r="AA148" s="130"/>
      <c r="AC148" s="106"/>
    </row>
    <row r="149">
      <c r="C149" s="79"/>
      <c r="D149" s="79"/>
      <c r="E149" s="79"/>
      <c r="N149" s="79"/>
      <c r="S149" s="79"/>
      <c r="T149" s="79"/>
      <c r="W149" s="79"/>
      <c r="X149" s="79"/>
      <c r="AA149" s="130"/>
      <c r="AC149" s="106"/>
    </row>
    <row r="150">
      <c r="C150" s="79"/>
      <c r="D150" s="79"/>
      <c r="E150" s="79"/>
      <c r="N150" s="79"/>
      <c r="S150" s="79"/>
      <c r="T150" s="79"/>
      <c r="W150" s="79"/>
      <c r="X150" s="79"/>
      <c r="AA150" s="130"/>
      <c r="AC150" s="106"/>
    </row>
    <row r="151">
      <c r="C151" s="79"/>
      <c r="D151" s="79"/>
      <c r="E151" s="79"/>
      <c r="N151" s="79"/>
      <c r="S151" s="79"/>
      <c r="T151" s="79"/>
      <c r="W151" s="79"/>
      <c r="X151" s="79"/>
      <c r="AA151" s="130"/>
      <c r="AC151" s="106"/>
    </row>
    <row r="152">
      <c r="C152" s="79"/>
      <c r="D152" s="79"/>
      <c r="E152" s="79"/>
      <c r="N152" s="79"/>
      <c r="S152" s="79"/>
      <c r="T152" s="79"/>
      <c r="W152" s="79"/>
      <c r="X152" s="79"/>
      <c r="AA152" s="130"/>
      <c r="AC152" s="106"/>
    </row>
    <row r="153">
      <c r="C153" s="79"/>
      <c r="D153" s="79"/>
      <c r="E153" s="79"/>
      <c r="N153" s="79"/>
      <c r="S153" s="79"/>
      <c r="T153" s="79"/>
      <c r="W153" s="79"/>
      <c r="X153" s="79"/>
      <c r="AA153" s="130"/>
      <c r="AC153" s="106"/>
    </row>
    <row r="154">
      <c r="C154" s="79"/>
      <c r="D154" s="79"/>
      <c r="E154" s="79"/>
      <c r="N154" s="79"/>
      <c r="S154" s="79"/>
      <c r="T154" s="79"/>
      <c r="W154" s="79"/>
      <c r="X154" s="79"/>
      <c r="AA154" s="130"/>
      <c r="AC154" s="106"/>
    </row>
    <row r="155">
      <c r="C155" s="79"/>
      <c r="D155" s="79"/>
      <c r="E155" s="79"/>
      <c r="N155" s="79"/>
      <c r="S155" s="79"/>
      <c r="T155" s="79"/>
      <c r="W155" s="79"/>
      <c r="X155" s="79"/>
      <c r="AA155" s="130"/>
      <c r="AC155" s="106"/>
    </row>
    <row r="156">
      <c r="C156" s="79"/>
      <c r="D156" s="79"/>
      <c r="E156" s="79"/>
      <c r="N156" s="79"/>
      <c r="S156" s="79"/>
      <c r="T156" s="79"/>
      <c r="W156" s="79"/>
      <c r="X156" s="79"/>
      <c r="AA156" s="130"/>
      <c r="AC156" s="106"/>
    </row>
    <row r="157">
      <c r="C157" s="79"/>
      <c r="D157" s="79"/>
      <c r="E157" s="79"/>
      <c r="N157" s="79"/>
      <c r="S157" s="79"/>
      <c r="T157" s="79"/>
      <c r="W157" s="79"/>
      <c r="X157" s="79"/>
      <c r="AA157" s="130"/>
      <c r="AC157" s="106"/>
    </row>
    <row r="158">
      <c r="C158" s="79"/>
      <c r="D158" s="79"/>
      <c r="E158" s="79"/>
      <c r="N158" s="79"/>
      <c r="S158" s="79"/>
      <c r="T158" s="79"/>
      <c r="W158" s="79"/>
      <c r="X158" s="79"/>
      <c r="AA158" s="130"/>
      <c r="AC158" s="106"/>
    </row>
    <row r="159">
      <c r="C159" s="79"/>
      <c r="D159" s="79"/>
      <c r="E159" s="79"/>
      <c r="N159" s="79"/>
      <c r="S159" s="79"/>
      <c r="T159" s="79"/>
      <c r="W159" s="79"/>
      <c r="X159" s="79"/>
      <c r="AA159" s="130"/>
      <c r="AC159" s="106"/>
    </row>
    <row r="160">
      <c r="C160" s="79"/>
      <c r="D160" s="79"/>
      <c r="E160" s="79"/>
      <c r="N160" s="79"/>
      <c r="S160" s="79"/>
      <c r="T160" s="79"/>
      <c r="W160" s="79"/>
      <c r="X160" s="79"/>
      <c r="AA160" s="130"/>
      <c r="AC160" s="106"/>
    </row>
    <row r="161">
      <c r="C161" s="79"/>
      <c r="D161" s="79"/>
      <c r="E161" s="79"/>
      <c r="N161" s="79"/>
      <c r="S161" s="79"/>
      <c r="T161" s="79"/>
      <c r="W161" s="79"/>
      <c r="X161" s="79"/>
      <c r="AA161" s="130"/>
      <c r="AC161" s="106"/>
    </row>
    <row r="162">
      <c r="C162" s="79"/>
      <c r="D162" s="79"/>
      <c r="E162" s="79"/>
      <c r="N162" s="79"/>
      <c r="S162" s="79"/>
      <c r="T162" s="79"/>
      <c r="W162" s="79"/>
      <c r="X162" s="79"/>
      <c r="AA162" s="130"/>
      <c r="AC162" s="106"/>
    </row>
    <row r="163">
      <c r="C163" s="79"/>
      <c r="D163" s="79"/>
      <c r="E163" s="79"/>
      <c r="N163" s="79"/>
      <c r="S163" s="79"/>
      <c r="T163" s="79"/>
      <c r="W163" s="79"/>
      <c r="X163" s="79"/>
      <c r="AA163" s="130"/>
      <c r="AC163" s="106"/>
    </row>
    <row r="164">
      <c r="C164" s="79"/>
      <c r="D164" s="79"/>
      <c r="E164" s="79"/>
      <c r="N164" s="79"/>
      <c r="S164" s="79"/>
      <c r="T164" s="79"/>
      <c r="W164" s="79"/>
      <c r="X164" s="79"/>
      <c r="AA164" s="130"/>
      <c r="AC164" s="106"/>
    </row>
    <row r="165">
      <c r="C165" s="79"/>
      <c r="D165" s="79"/>
      <c r="E165" s="79"/>
      <c r="N165" s="79"/>
      <c r="S165" s="79"/>
      <c r="T165" s="79"/>
      <c r="W165" s="79"/>
      <c r="X165" s="79"/>
      <c r="AA165" s="130"/>
      <c r="AC165" s="106"/>
    </row>
    <row r="166">
      <c r="C166" s="79"/>
      <c r="D166" s="79"/>
      <c r="E166" s="79"/>
      <c r="N166" s="79"/>
      <c r="S166" s="79"/>
      <c r="T166" s="79"/>
      <c r="W166" s="79"/>
      <c r="X166" s="79"/>
      <c r="AA166" s="130"/>
      <c r="AC166" s="106"/>
    </row>
    <row r="167">
      <c r="C167" s="79"/>
      <c r="D167" s="79"/>
      <c r="E167" s="79"/>
      <c r="N167" s="79"/>
      <c r="S167" s="79"/>
      <c r="T167" s="79"/>
      <c r="W167" s="79"/>
      <c r="X167" s="79"/>
      <c r="AA167" s="130"/>
      <c r="AC167" s="106"/>
    </row>
    <row r="168">
      <c r="C168" s="79"/>
      <c r="D168" s="79"/>
      <c r="E168" s="79"/>
      <c r="N168" s="79"/>
      <c r="S168" s="79"/>
      <c r="T168" s="79"/>
      <c r="W168" s="79"/>
      <c r="X168" s="79"/>
      <c r="AA168" s="130"/>
      <c r="AC168" s="106"/>
    </row>
    <row r="169">
      <c r="C169" s="79"/>
      <c r="D169" s="79"/>
      <c r="E169" s="79"/>
      <c r="N169" s="79"/>
      <c r="S169" s="79"/>
      <c r="T169" s="79"/>
      <c r="W169" s="79"/>
      <c r="X169" s="79"/>
      <c r="AA169" s="130"/>
      <c r="AC169" s="106"/>
    </row>
    <row r="170">
      <c r="C170" s="79"/>
      <c r="D170" s="79"/>
      <c r="E170" s="79"/>
      <c r="N170" s="79"/>
      <c r="S170" s="79"/>
      <c r="T170" s="79"/>
      <c r="W170" s="79"/>
      <c r="X170" s="79"/>
      <c r="AA170" s="130"/>
      <c r="AC170" s="106"/>
    </row>
    <row r="171">
      <c r="C171" s="79"/>
      <c r="D171" s="79"/>
      <c r="E171" s="79"/>
      <c r="N171" s="79"/>
      <c r="S171" s="79"/>
      <c r="T171" s="79"/>
      <c r="W171" s="79"/>
      <c r="X171" s="79"/>
      <c r="AA171" s="130"/>
      <c r="AC171" s="106"/>
    </row>
    <row r="172">
      <c r="C172" s="79"/>
      <c r="D172" s="79"/>
      <c r="E172" s="79"/>
      <c r="N172" s="79"/>
      <c r="S172" s="79"/>
      <c r="T172" s="79"/>
      <c r="W172" s="79"/>
      <c r="X172" s="79"/>
      <c r="AA172" s="130"/>
      <c r="AC172" s="106"/>
    </row>
    <row r="173">
      <c r="C173" s="79"/>
      <c r="D173" s="79"/>
      <c r="E173" s="79"/>
      <c r="N173" s="79"/>
      <c r="S173" s="79"/>
      <c r="T173" s="79"/>
      <c r="W173" s="79"/>
      <c r="X173" s="79"/>
      <c r="AA173" s="130"/>
      <c r="AC173" s="106"/>
    </row>
    <row r="174">
      <c r="C174" s="79"/>
      <c r="D174" s="79"/>
      <c r="E174" s="79"/>
      <c r="N174" s="79"/>
      <c r="S174" s="79"/>
      <c r="T174" s="79"/>
      <c r="W174" s="79"/>
      <c r="X174" s="79"/>
      <c r="AA174" s="130"/>
      <c r="AC174" s="106"/>
    </row>
    <row r="175">
      <c r="C175" s="79"/>
      <c r="D175" s="79"/>
      <c r="E175" s="79"/>
      <c r="N175" s="79"/>
      <c r="S175" s="79"/>
      <c r="T175" s="79"/>
      <c r="W175" s="79"/>
      <c r="X175" s="79"/>
      <c r="AA175" s="130"/>
      <c r="AC175" s="106"/>
    </row>
    <row r="176">
      <c r="C176" s="79"/>
      <c r="D176" s="79"/>
      <c r="E176" s="79"/>
      <c r="N176" s="79"/>
      <c r="S176" s="79"/>
      <c r="T176" s="79"/>
      <c r="W176" s="79"/>
      <c r="X176" s="79"/>
      <c r="AA176" s="130"/>
      <c r="AC176" s="106"/>
    </row>
    <row r="177">
      <c r="C177" s="79"/>
      <c r="D177" s="79"/>
      <c r="E177" s="79"/>
      <c r="N177" s="79"/>
      <c r="S177" s="79"/>
      <c r="T177" s="79"/>
      <c r="W177" s="79"/>
      <c r="X177" s="79"/>
      <c r="AA177" s="130"/>
      <c r="AC177" s="106"/>
    </row>
    <row r="178">
      <c r="C178" s="79"/>
      <c r="D178" s="79"/>
      <c r="E178" s="79"/>
      <c r="N178" s="79"/>
      <c r="S178" s="79"/>
      <c r="T178" s="79"/>
      <c r="W178" s="79"/>
      <c r="X178" s="79"/>
      <c r="AA178" s="130"/>
      <c r="AC178" s="106"/>
    </row>
    <row r="179">
      <c r="C179" s="79"/>
      <c r="D179" s="79"/>
      <c r="E179" s="79"/>
      <c r="N179" s="79"/>
      <c r="S179" s="79"/>
      <c r="T179" s="79"/>
      <c r="W179" s="79"/>
      <c r="X179" s="79"/>
      <c r="AA179" s="130"/>
      <c r="AC179" s="106"/>
    </row>
    <row r="180">
      <c r="C180" s="79"/>
      <c r="D180" s="79"/>
      <c r="E180" s="79"/>
      <c r="N180" s="79"/>
      <c r="S180" s="79"/>
      <c r="T180" s="79"/>
      <c r="W180" s="79"/>
      <c r="X180" s="79"/>
      <c r="AA180" s="130"/>
      <c r="AC180" s="106"/>
    </row>
    <row r="181">
      <c r="C181" s="79"/>
      <c r="D181" s="79"/>
      <c r="E181" s="79"/>
      <c r="N181" s="79"/>
      <c r="S181" s="79"/>
      <c r="T181" s="79"/>
      <c r="W181" s="79"/>
      <c r="X181" s="79"/>
      <c r="AA181" s="130"/>
      <c r="AC181" s="106"/>
    </row>
    <row r="182">
      <c r="C182" s="79"/>
      <c r="D182" s="79"/>
      <c r="E182" s="79"/>
      <c r="N182" s="79"/>
      <c r="S182" s="79"/>
      <c r="T182" s="79"/>
      <c r="W182" s="79"/>
      <c r="X182" s="79"/>
      <c r="AA182" s="130"/>
      <c r="AC182" s="106"/>
    </row>
    <row r="183">
      <c r="C183" s="79"/>
      <c r="D183" s="79"/>
      <c r="E183" s="79"/>
      <c r="N183" s="79"/>
      <c r="S183" s="79"/>
      <c r="T183" s="79"/>
      <c r="W183" s="79"/>
      <c r="X183" s="79"/>
      <c r="AA183" s="130"/>
      <c r="AC183" s="106"/>
    </row>
    <row r="184">
      <c r="C184" s="79"/>
      <c r="D184" s="79"/>
      <c r="E184" s="79"/>
      <c r="N184" s="79"/>
      <c r="S184" s="79"/>
      <c r="T184" s="79"/>
      <c r="W184" s="79"/>
      <c r="X184" s="79"/>
      <c r="AA184" s="130"/>
      <c r="AC184" s="106"/>
    </row>
    <row r="185">
      <c r="C185" s="79"/>
      <c r="D185" s="79"/>
      <c r="E185" s="79"/>
      <c r="N185" s="79"/>
      <c r="S185" s="79"/>
      <c r="T185" s="79"/>
      <c r="W185" s="79"/>
      <c r="X185" s="79"/>
      <c r="AA185" s="130"/>
      <c r="AC185" s="106"/>
    </row>
    <row r="186">
      <c r="C186" s="79"/>
      <c r="D186" s="79"/>
      <c r="E186" s="79"/>
      <c r="N186" s="79"/>
      <c r="S186" s="79"/>
      <c r="T186" s="79"/>
      <c r="W186" s="79"/>
      <c r="X186" s="79"/>
      <c r="AA186" s="130"/>
      <c r="AC186" s="106"/>
    </row>
    <row r="187">
      <c r="C187" s="79"/>
      <c r="D187" s="79"/>
      <c r="E187" s="79"/>
      <c r="N187" s="79"/>
      <c r="S187" s="79"/>
      <c r="T187" s="79"/>
      <c r="W187" s="79"/>
      <c r="X187" s="79"/>
      <c r="AA187" s="130"/>
      <c r="AC187" s="106"/>
    </row>
    <row r="188">
      <c r="C188" s="79"/>
      <c r="D188" s="79"/>
      <c r="E188" s="79"/>
      <c r="N188" s="79"/>
      <c r="S188" s="79"/>
      <c r="T188" s="79"/>
      <c r="W188" s="79"/>
      <c r="X188" s="79"/>
      <c r="AA188" s="130"/>
      <c r="AC188" s="106"/>
    </row>
    <row r="189">
      <c r="C189" s="79"/>
      <c r="D189" s="79"/>
      <c r="E189" s="79"/>
      <c r="N189" s="79"/>
      <c r="S189" s="79"/>
      <c r="T189" s="79"/>
      <c r="W189" s="79"/>
      <c r="X189" s="79"/>
      <c r="AA189" s="130"/>
      <c r="AC189" s="106"/>
    </row>
    <row r="190">
      <c r="C190" s="79"/>
      <c r="D190" s="79"/>
      <c r="E190" s="79"/>
      <c r="N190" s="79"/>
      <c r="S190" s="79"/>
      <c r="T190" s="79"/>
      <c r="W190" s="79"/>
      <c r="X190" s="79"/>
      <c r="AA190" s="130"/>
      <c r="AC190" s="106"/>
    </row>
    <row r="191">
      <c r="C191" s="79"/>
      <c r="D191" s="79"/>
      <c r="E191" s="79"/>
      <c r="N191" s="79"/>
      <c r="S191" s="79"/>
      <c r="T191" s="79"/>
      <c r="W191" s="79"/>
      <c r="X191" s="79"/>
      <c r="AA191" s="130"/>
      <c r="AC191" s="106"/>
    </row>
    <row r="192">
      <c r="C192" s="79"/>
      <c r="D192" s="79"/>
      <c r="E192" s="79"/>
      <c r="N192" s="79"/>
      <c r="S192" s="79"/>
      <c r="T192" s="79"/>
      <c r="W192" s="79"/>
      <c r="X192" s="79"/>
      <c r="AA192" s="130"/>
      <c r="AC192" s="106"/>
    </row>
    <row r="193">
      <c r="C193" s="79"/>
      <c r="D193" s="79"/>
      <c r="E193" s="79"/>
      <c r="N193" s="79"/>
      <c r="S193" s="79"/>
      <c r="T193" s="79"/>
      <c r="W193" s="79"/>
      <c r="X193" s="79"/>
      <c r="AA193" s="130"/>
      <c r="AC193" s="106"/>
    </row>
    <row r="194">
      <c r="C194" s="79"/>
      <c r="D194" s="79"/>
      <c r="E194" s="79"/>
      <c r="N194" s="79"/>
      <c r="S194" s="79"/>
      <c r="T194" s="79"/>
      <c r="W194" s="79"/>
      <c r="X194" s="79"/>
      <c r="AA194" s="130"/>
      <c r="AC194" s="106"/>
    </row>
    <row r="195">
      <c r="C195" s="79"/>
      <c r="D195" s="79"/>
      <c r="E195" s="79"/>
      <c r="N195" s="79"/>
      <c r="S195" s="79"/>
      <c r="T195" s="79"/>
      <c r="W195" s="79"/>
      <c r="X195" s="79"/>
      <c r="AA195" s="130"/>
      <c r="AC195" s="106"/>
    </row>
    <row r="196">
      <c r="C196" s="79"/>
      <c r="D196" s="79"/>
      <c r="E196" s="79"/>
      <c r="N196" s="79"/>
      <c r="S196" s="79"/>
      <c r="T196" s="79"/>
      <c r="W196" s="79"/>
      <c r="X196" s="79"/>
      <c r="AA196" s="130"/>
      <c r="AC196" s="106"/>
    </row>
    <row r="197">
      <c r="C197" s="79"/>
      <c r="D197" s="79"/>
      <c r="E197" s="79"/>
      <c r="N197" s="79"/>
      <c r="S197" s="79"/>
      <c r="T197" s="79"/>
      <c r="W197" s="79"/>
      <c r="X197" s="79"/>
      <c r="AA197" s="130"/>
      <c r="AC197" s="106"/>
    </row>
    <row r="198">
      <c r="C198" s="79"/>
      <c r="D198" s="79"/>
      <c r="E198" s="79"/>
      <c r="N198" s="79"/>
      <c r="S198" s="79"/>
      <c r="T198" s="79"/>
      <c r="W198" s="79"/>
      <c r="X198" s="79"/>
      <c r="AA198" s="130"/>
      <c r="AC198" s="106"/>
    </row>
    <row r="199">
      <c r="C199" s="79"/>
      <c r="D199" s="79"/>
      <c r="E199" s="79"/>
      <c r="N199" s="79"/>
      <c r="S199" s="79"/>
      <c r="T199" s="79"/>
      <c r="W199" s="79"/>
      <c r="X199" s="79"/>
      <c r="AA199" s="130"/>
      <c r="AC199" s="106"/>
    </row>
    <row r="200">
      <c r="C200" s="79"/>
      <c r="D200" s="79"/>
      <c r="E200" s="79"/>
      <c r="N200" s="79"/>
      <c r="S200" s="79"/>
      <c r="T200" s="79"/>
      <c r="W200" s="79"/>
      <c r="X200" s="79"/>
      <c r="AA200" s="130"/>
      <c r="AC200" s="106"/>
    </row>
    <row r="201">
      <c r="C201" s="79"/>
      <c r="D201" s="79"/>
      <c r="E201" s="79"/>
      <c r="N201" s="79"/>
      <c r="S201" s="79"/>
      <c r="T201" s="79"/>
      <c r="W201" s="79"/>
      <c r="X201" s="79"/>
      <c r="AA201" s="130"/>
      <c r="AC201" s="106"/>
    </row>
    <row r="202">
      <c r="C202" s="79"/>
      <c r="D202" s="79"/>
      <c r="E202" s="79"/>
      <c r="N202" s="79"/>
      <c r="S202" s="79"/>
      <c r="T202" s="79"/>
      <c r="W202" s="79"/>
      <c r="X202" s="79"/>
      <c r="AA202" s="130"/>
      <c r="AC202" s="106"/>
    </row>
    <row r="203">
      <c r="C203" s="79"/>
      <c r="D203" s="79"/>
      <c r="E203" s="79"/>
      <c r="N203" s="79"/>
      <c r="S203" s="79"/>
      <c r="T203" s="79"/>
      <c r="W203" s="79"/>
      <c r="X203" s="79"/>
      <c r="AA203" s="130"/>
      <c r="AC203" s="106"/>
    </row>
    <row r="204">
      <c r="C204" s="79"/>
      <c r="D204" s="79"/>
      <c r="E204" s="79"/>
      <c r="N204" s="79"/>
      <c r="S204" s="79"/>
      <c r="T204" s="79"/>
      <c r="W204" s="79"/>
      <c r="X204" s="79"/>
      <c r="AA204" s="130"/>
      <c r="AC204" s="106"/>
    </row>
    <row r="205">
      <c r="C205" s="79"/>
      <c r="D205" s="79"/>
      <c r="E205" s="79"/>
      <c r="N205" s="79"/>
      <c r="S205" s="79"/>
      <c r="T205" s="79"/>
      <c r="W205" s="79"/>
      <c r="X205" s="79"/>
      <c r="AA205" s="130"/>
      <c r="AC205" s="106"/>
    </row>
    <row r="206">
      <c r="C206" s="79"/>
      <c r="D206" s="79"/>
      <c r="E206" s="79"/>
      <c r="N206" s="79"/>
      <c r="S206" s="79"/>
      <c r="T206" s="79"/>
      <c r="W206" s="79"/>
      <c r="X206" s="79"/>
      <c r="AA206" s="130"/>
      <c r="AC206" s="106"/>
    </row>
    <row r="207">
      <c r="C207" s="79"/>
      <c r="D207" s="79"/>
      <c r="E207" s="79"/>
      <c r="N207" s="79"/>
      <c r="S207" s="79"/>
      <c r="T207" s="79"/>
      <c r="W207" s="79"/>
      <c r="X207" s="79"/>
      <c r="AA207" s="130"/>
      <c r="AC207" s="106"/>
    </row>
    <row r="208">
      <c r="C208" s="79"/>
      <c r="D208" s="79"/>
      <c r="E208" s="79"/>
      <c r="N208" s="79"/>
      <c r="S208" s="79"/>
      <c r="T208" s="79"/>
      <c r="W208" s="79"/>
      <c r="X208" s="79"/>
      <c r="AA208" s="130"/>
      <c r="AC208" s="106"/>
    </row>
    <row r="209">
      <c r="C209" s="79"/>
      <c r="D209" s="79"/>
      <c r="E209" s="79"/>
      <c r="N209" s="79"/>
      <c r="S209" s="79"/>
      <c r="T209" s="79"/>
      <c r="W209" s="79"/>
      <c r="X209" s="79"/>
      <c r="AA209" s="130"/>
      <c r="AC209" s="106"/>
    </row>
    <row r="210">
      <c r="C210" s="79"/>
      <c r="D210" s="79"/>
      <c r="E210" s="79"/>
      <c r="N210" s="79"/>
      <c r="S210" s="79"/>
      <c r="T210" s="79"/>
      <c r="W210" s="79"/>
      <c r="X210" s="79"/>
      <c r="AA210" s="130"/>
      <c r="AC210" s="106"/>
    </row>
    <row r="211">
      <c r="C211" s="79"/>
      <c r="D211" s="79"/>
      <c r="E211" s="79"/>
      <c r="N211" s="79"/>
      <c r="S211" s="79"/>
      <c r="T211" s="79"/>
      <c r="W211" s="79"/>
      <c r="X211" s="79"/>
      <c r="AA211" s="130"/>
      <c r="AC211" s="106"/>
    </row>
    <row r="212">
      <c r="C212" s="79"/>
      <c r="D212" s="79"/>
      <c r="E212" s="79"/>
      <c r="N212" s="79"/>
      <c r="S212" s="79"/>
      <c r="T212" s="79"/>
      <c r="W212" s="79"/>
      <c r="X212" s="79"/>
      <c r="AA212" s="130"/>
      <c r="AC212" s="106"/>
    </row>
    <row r="213">
      <c r="C213" s="79"/>
      <c r="D213" s="79"/>
      <c r="E213" s="79"/>
      <c r="N213" s="79"/>
      <c r="S213" s="79"/>
      <c r="T213" s="79"/>
      <c r="W213" s="79"/>
      <c r="X213" s="79"/>
      <c r="AA213" s="130"/>
      <c r="AC213" s="106"/>
    </row>
    <row r="214">
      <c r="C214" s="79"/>
      <c r="D214" s="79"/>
      <c r="E214" s="79"/>
      <c r="N214" s="79"/>
      <c r="S214" s="79"/>
      <c r="T214" s="79"/>
      <c r="W214" s="79"/>
      <c r="X214" s="79"/>
      <c r="AA214" s="130"/>
      <c r="AC214" s="106"/>
    </row>
    <row r="215">
      <c r="C215" s="79"/>
      <c r="D215" s="79"/>
      <c r="E215" s="79"/>
      <c r="N215" s="79"/>
      <c r="S215" s="79"/>
      <c r="T215" s="79"/>
      <c r="W215" s="79"/>
      <c r="X215" s="79"/>
      <c r="AA215" s="130"/>
      <c r="AC215" s="106"/>
    </row>
    <row r="216">
      <c r="C216" s="79"/>
      <c r="D216" s="79"/>
      <c r="E216" s="79"/>
      <c r="N216" s="79"/>
      <c r="S216" s="79"/>
      <c r="T216" s="79"/>
      <c r="W216" s="79"/>
      <c r="X216" s="79"/>
      <c r="AA216" s="130"/>
      <c r="AC216" s="106"/>
    </row>
    <row r="217">
      <c r="C217" s="79"/>
      <c r="D217" s="79"/>
      <c r="E217" s="79"/>
      <c r="N217" s="79"/>
      <c r="S217" s="79"/>
      <c r="T217" s="79"/>
      <c r="W217" s="79"/>
      <c r="X217" s="79"/>
      <c r="AA217" s="130"/>
      <c r="AC217" s="106"/>
    </row>
    <row r="218">
      <c r="C218" s="79"/>
      <c r="D218" s="79"/>
      <c r="E218" s="79"/>
      <c r="N218" s="79"/>
      <c r="S218" s="79"/>
      <c r="T218" s="79"/>
      <c r="W218" s="79"/>
      <c r="X218" s="79"/>
      <c r="AA218" s="130"/>
      <c r="AC218" s="106"/>
    </row>
    <row r="219">
      <c r="C219" s="79"/>
      <c r="D219" s="79"/>
      <c r="E219" s="79"/>
      <c r="N219" s="79"/>
      <c r="S219" s="79"/>
      <c r="T219" s="79"/>
      <c r="W219" s="79"/>
      <c r="X219" s="79"/>
      <c r="AA219" s="130"/>
      <c r="AC219" s="106"/>
    </row>
    <row r="220">
      <c r="C220" s="79"/>
      <c r="D220" s="79"/>
      <c r="E220" s="79"/>
      <c r="N220" s="79"/>
      <c r="S220" s="79"/>
      <c r="T220" s="79"/>
      <c r="W220" s="79"/>
      <c r="X220" s="79"/>
      <c r="AA220" s="130"/>
      <c r="AC220" s="106"/>
    </row>
    <row r="221">
      <c r="C221" s="79"/>
      <c r="D221" s="79"/>
      <c r="E221" s="79"/>
      <c r="N221" s="79"/>
      <c r="S221" s="79"/>
      <c r="T221" s="79"/>
      <c r="W221" s="79"/>
      <c r="X221" s="79"/>
      <c r="AA221" s="130"/>
      <c r="AC221" s="106"/>
    </row>
    <row r="222">
      <c r="C222" s="79"/>
      <c r="D222" s="79"/>
      <c r="E222" s="79"/>
      <c r="N222" s="79"/>
      <c r="S222" s="79"/>
      <c r="T222" s="79"/>
      <c r="W222" s="79"/>
      <c r="X222" s="79"/>
      <c r="AA222" s="130"/>
      <c r="AC222" s="106"/>
    </row>
    <row r="223">
      <c r="C223" s="79"/>
      <c r="D223" s="79"/>
      <c r="E223" s="79"/>
      <c r="N223" s="79"/>
      <c r="S223" s="79"/>
      <c r="T223" s="79"/>
      <c r="W223" s="79"/>
      <c r="X223" s="79"/>
      <c r="AA223" s="130"/>
      <c r="AC223" s="106"/>
    </row>
    <row r="224">
      <c r="C224" s="79"/>
      <c r="D224" s="79"/>
      <c r="E224" s="79"/>
      <c r="N224" s="79"/>
      <c r="S224" s="79"/>
      <c r="T224" s="79"/>
      <c r="W224" s="79"/>
      <c r="X224" s="79"/>
      <c r="AA224" s="130"/>
      <c r="AC224" s="106"/>
    </row>
    <row r="225">
      <c r="C225" s="79"/>
      <c r="D225" s="79"/>
      <c r="E225" s="79"/>
      <c r="N225" s="79"/>
      <c r="S225" s="79"/>
      <c r="T225" s="79"/>
      <c r="W225" s="79"/>
      <c r="X225" s="79"/>
      <c r="AA225" s="130"/>
      <c r="AC225" s="106"/>
    </row>
    <row r="226">
      <c r="C226" s="79"/>
      <c r="D226" s="79"/>
      <c r="E226" s="79"/>
      <c r="N226" s="79"/>
      <c r="S226" s="79"/>
      <c r="T226" s="79"/>
      <c r="W226" s="79"/>
      <c r="X226" s="79"/>
      <c r="AA226" s="130"/>
      <c r="AC226" s="106"/>
    </row>
    <row r="227">
      <c r="C227" s="79"/>
      <c r="D227" s="79"/>
      <c r="E227" s="79"/>
      <c r="N227" s="79"/>
      <c r="S227" s="79"/>
      <c r="T227" s="79"/>
      <c r="W227" s="79"/>
      <c r="X227" s="79"/>
      <c r="AA227" s="130"/>
      <c r="AC227" s="106"/>
    </row>
    <row r="228">
      <c r="C228" s="79"/>
      <c r="D228" s="79"/>
      <c r="E228" s="79"/>
      <c r="N228" s="79"/>
      <c r="S228" s="79"/>
      <c r="T228" s="79"/>
      <c r="W228" s="79"/>
      <c r="X228" s="79"/>
      <c r="AA228" s="130"/>
      <c r="AC228" s="106"/>
    </row>
    <row r="229">
      <c r="C229" s="79"/>
      <c r="D229" s="79"/>
      <c r="E229" s="79"/>
      <c r="N229" s="79"/>
      <c r="S229" s="79"/>
      <c r="T229" s="79"/>
      <c r="W229" s="79"/>
      <c r="X229" s="79"/>
      <c r="AA229" s="130"/>
      <c r="AC229" s="106"/>
    </row>
    <row r="230">
      <c r="C230" s="79"/>
      <c r="D230" s="79"/>
      <c r="E230" s="79"/>
      <c r="N230" s="79"/>
      <c r="S230" s="79"/>
      <c r="T230" s="79"/>
      <c r="W230" s="79"/>
      <c r="X230" s="79"/>
      <c r="AA230" s="130"/>
      <c r="AC230" s="106"/>
    </row>
    <row r="231">
      <c r="C231" s="79"/>
      <c r="D231" s="79"/>
      <c r="E231" s="79"/>
      <c r="N231" s="79"/>
      <c r="S231" s="79"/>
      <c r="T231" s="79"/>
      <c r="W231" s="79"/>
      <c r="X231" s="79"/>
      <c r="AA231" s="130"/>
      <c r="AC231" s="106"/>
    </row>
    <row r="232">
      <c r="C232" s="79"/>
      <c r="D232" s="79"/>
      <c r="E232" s="79"/>
      <c r="N232" s="79"/>
      <c r="S232" s="79"/>
      <c r="T232" s="79"/>
      <c r="W232" s="79"/>
      <c r="X232" s="79"/>
      <c r="AA232" s="130"/>
      <c r="AC232" s="106"/>
    </row>
    <row r="233">
      <c r="C233" s="79"/>
      <c r="D233" s="79"/>
      <c r="E233" s="79"/>
      <c r="N233" s="79"/>
      <c r="S233" s="79"/>
      <c r="T233" s="79"/>
      <c r="W233" s="79"/>
      <c r="X233" s="79"/>
      <c r="AA233" s="130"/>
      <c r="AC233" s="106"/>
    </row>
    <row r="234">
      <c r="C234" s="79"/>
      <c r="D234" s="79"/>
      <c r="E234" s="79"/>
      <c r="N234" s="79"/>
      <c r="S234" s="79"/>
      <c r="T234" s="79"/>
      <c r="W234" s="79"/>
      <c r="X234" s="79"/>
      <c r="AA234" s="130"/>
      <c r="AC234" s="106"/>
    </row>
    <row r="235">
      <c r="C235" s="79"/>
      <c r="D235" s="79"/>
      <c r="E235" s="79"/>
      <c r="N235" s="79"/>
      <c r="S235" s="79"/>
      <c r="T235" s="79"/>
      <c r="W235" s="79"/>
      <c r="X235" s="79"/>
      <c r="AA235" s="130"/>
      <c r="AC235" s="106"/>
    </row>
    <row r="236">
      <c r="C236" s="79"/>
      <c r="D236" s="79"/>
      <c r="E236" s="79"/>
      <c r="N236" s="79"/>
      <c r="S236" s="79"/>
      <c r="T236" s="79"/>
      <c r="W236" s="79"/>
      <c r="X236" s="79"/>
      <c r="AA236" s="130"/>
      <c r="AC236" s="106"/>
    </row>
    <row r="237">
      <c r="C237" s="79"/>
      <c r="D237" s="79"/>
      <c r="E237" s="79"/>
      <c r="N237" s="79"/>
      <c r="S237" s="79"/>
      <c r="T237" s="79"/>
      <c r="W237" s="79"/>
      <c r="X237" s="79"/>
      <c r="AA237" s="130"/>
      <c r="AC237" s="106"/>
    </row>
    <row r="238">
      <c r="C238" s="79"/>
      <c r="D238" s="79"/>
      <c r="E238" s="79"/>
      <c r="N238" s="79"/>
      <c r="S238" s="79"/>
      <c r="T238" s="79"/>
      <c r="W238" s="79"/>
      <c r="X238" s="79"/>
      <c r="AA238" s="130"/>
      <c r="AC238" s="106"/>
    </row>
    <row r="239">
      <c r="C239" s="79"/>
      <c r="D239" s="79"/>
      <c r="E239" s="79"/>
      <c r="N239" s="79"/>
      <c r="S239" s="79"/>
      <c r="T239" s="79"/>
      <c r="W239" s="79"/>
      <c r="X239" s="79"/>
      <c r="AA239" s="130"/>
      <c r="AC239" s="106"/>
    </row>
    <row r="240">
      <c r="C240" s="79"/>
      <c r="D240" s="79"/>
      <c r="E240" s="79"/>
      <c r="N240" s="79"/>
      <c r="S240" s="79"/>
      <c r="T240" s="79"/>
      <c r="W240" s="79"/>
      <c r="X240" s="79"/>
      <c r="AA240" s="130"/>
      <c r="AC240" s="106"/>
    </row>
    <row r="241">
      <c r="C241" s="79"/>
      <c r="D241" s="79"/>
      <c r="E241" s="79"/>
      <c r="N241" s="79"/>
      <c r="S241" s="79"/>
      <c r="T241" s="79"/>
      <c r="W241" s="79"/>
      <c r="X241" s="79"/>
      <c r="AA241" s="130"/>
      <c r="AC241" s="106"/>
    </row>
    <row r="242">
      <c r="C242" s="79"/>
      <c r="D242" s="79"/>
      <c r="E242" s="79"/>
      <c r="N242" s="79"/>
      <c r="S242" s="79"/>
      <c r="T242" s="79"/>
      <c r="W242" s="79"/>
      <c r="X242" s="79"/>
      <c r="AA242" s="130"/>
      <c r="AC242" s="106"/>
    </row>
    <row r="243">
      <c r="C243" s="79"/>
      <c r="D243" s="79"/>
      <c r="E243" s="79"/>
      <c r="N243" s="79"/>
      <c r="S243" s="79"/>
      <c r="T243" s="79"/>
      <c r="W243" s="79"/>
      <c r="X243" s="79"/>
      <c r="AA243" s="130"/>
      <c r="AC243" s="106"/>
    </row>
    <row r="244">
      <c r="C244" s="79"/>
      <c r="D244" s="79"/>
      <c r="E244" s="79"/>
      <c r="N244" s="79"/>
      <c r="S244" s="79"/>
      <c r="T244" s="79"/>
      <c r="W244" s="79"/>
      <c r="X244" s="79"/>
      <c r="AA244" s="130"/>
      <c r="AC244" s="106"/>
    </row>
    <row r="245">
      <c r="C245" s="79"/>
      <c r="D245" s="79"/>
      <c r="E245" s="79"/>
      <c r="N245" s="79"/>
      <c r="S245" s="79"/>
      <c r="T245" s="79"/>
      <c r="W245" s="79"/>
      <c r="X245" s="79"/>
      <c r="AA245" s="130"/>
      <c r="AC245" s="106"/>
    </row>
    <row r="246">
      <c r="C246" s="79"/>
      <c r="D246" s="79"/>
      <c r="E246" s="79"/>
      <c r="N246" s="79"/>
      <c r="S246" s="79"/>
      <c r="T246" s="79"/>
      <c r="W246" s="79"/>
      <c r="X246" s="79"/>
      <c r="AA246" s="130"/>
      <c r="AC246" s="106"/>
    </row>
    <row r="247">
      <c r="C247" s="79"/>
      <c r="D247" s="79"/>
      <c r="E247" s="79"/>
      <c r="N247" s="79"/>
      <c r="S247" s="79"/>
      <c r="T247" s="79"/>
      <c r="W247" s="79"/>
      <c r="X247" s="79"/>
      <c r="AA247" s="130"/>
      <c r="AC247" s="106"/>
    </row>
    <row r="248">
      <c r="C248" s="79"/>
      <c r="D248" s="79"/>
      <c r="E248" s="79"/>
      <c r="N248" s="79"/>
      <c r="S248" s="79"/>
      <c r="T248" s="79"/>
      <c r="W248" s="79"/>
      <c r="X248" s="79"/>
      <c r="AA248" s="130"/>
      <c r="AC248" s="106"/>
    </row>
    <row r="249">
      <c r="C249" s="79"/>
      <c r="D249" s="79"/>
      <c r="E249" s="79"/>
      <c r="N249" s="79"/>
      <c r="S249" s="79"/>
      <c r="T249" s="79"/>
      <c r="W249" s="79"/>
      <c r="X249" s="79"/>
      <c r="AA249" s="130"/>
      <c r="AC249" s="106"/>
    </row>
    <row r="250">
      <c r="C250" s="79"/>
      <c r="D250" s="79"/>
      <c r="E250" s="79"/>
      <c r="N250" s="79"/>
      <c r="S250" s="79"/>
      <c r="T250" s="79"/>
      <c r="W250" s="79"/>
      <c r="X250" s="79"/>
      <c r="AA250" s="130"/>
      <c r="AC250" s="106"/>
    </row>
    <row r="251">
      <c r="C251" s="79"/>
      <c r="D251" s="79"/>
      <c r="E251" s="79"/>
      <c r="N251" s="79"/>
      <c r="S251" s="79"/>
      <c r="T251" s="79"/>
      <c r="W251" s="79"/>
      <c r="X251" s="79"/>
      <c r="AA251" s="130"/>
      <c r="AC251" s="106"/>
    </row>
    <row r="252">
      <c r="C252" s="79"/>
      <c r="D252" s="79"/>
      <c r="E252" s="79"/>
      <c r="N252" s="79"/>
      <c r="S252" s="79"/>
      <c r="T252" s="79"/>
      <c r="W252" s="79"/>
      <c r="X252" s="79"/>
      <c r="AA252" s="130"/>
      <c r="AC252" s="106"/>
    </row>
    <row r="253">
      <c r="C253" s="79"/>
      <c r="D253" s="79"/>
      <c r="E253" s="79"/>
      <c r="N253" s="79"/>
      <c r="S253" s="79"/>
      <c r="T253" s="79"/>
      <c r="W253" s="79"/>
      <c r="X253" s="79"/>
      <c r="AA253" s="130"/>
      <c r="AC253" s="106"/>
    </row>
    <row r="254">
      <c r="C254" s="79"/>
      <c r="D254" s="79"/>
      <c r="E254" s="79"/>
      <c r="N254" s="79"/>
      <c r="S254" s="79"/>
      <c r="T254" s="79"/>
      <c r="W254" s="79"/>
      <c r="X254" s="79"/>
      <c r="AA254" s="130"/>
      <c r="AC254" s="106"/>
    </row>
    <row r="255">
      <c r="C255" s="79"/>
      <c r="D255" s="79"/>
      <c r="E255" s="79"/>
      <c r="N255" s="79"/>
      <c r="S255" s="79"/>
      <c r="T255" s="79"/>
      <c r="W255" s="79"/>
      <c r="X255" s="79"/>
      <c r="AA255" s="130"/>
      <c r="AC255" s="106"/>
    </row>
    <row r="256">
      <c r="C256" s="79"/>
      <c r="D256" s="79"/>
      <c r="E256" s="79"/>
      <c r="N256" s="79"/>
      <c r="S256" s="79"/>
      <c r="T256" s="79"/>
      <c r="W256" s="79"/>
      <c r="X256" s="79"/>
      <c r="AA256" s="130"/>
      <c r="AC256" s="106"/>
    </row>
    <row r="257">
      <c r="C257" s="79"/>
      <c r="D257" s="79"/>
      <c r="E257" s="79"/>
      <c r="N257" s="79"/>
      <c r="S257" s="79"/>
      <c r="T257" s="79"/>
      <c r="W257" s="79"/>
      <c r="X257" s="79"/>
      <c r="AA257" s="130"/>
      <c r="AC257" s="106"/>
    </row>
    <row r="258">
      <c r="C258" s="79"/>
      <c r="D258" s="79"/>
      <c r="E258" s="79"/>
      <c r="N258" s="79"/>
      <c r="S258" s="79"/>
      <c r="T258" s="79"/>
      <c r="W258" s="79"/>
      <c r="X258" s="79"/>
      <c r="AA258" s="130"/>
      <c r="AC258" s="106"/>
    </row>
    <row r="259">
      <c r="C259" s="79"/>
      <c r="D259" s="79"/>
      <c r="E259" s="79"/>
      <c r="N259" s="79"/>
      <c r="S259" s="79"/>
      <c r="T259" s="79"/>
      <c r="W259" s="79"/>
      <c r="X259" s="79"/>
      <c r="AA259" s="130"/>
      <c r="AC259" s="106"/>
    </row>
    <row r="260">
      <c r="C260" s="79"/>
      <c r="D260" s="79"/>
      <c r="E260" s="79"/>
      <c r="N260" s="79"/>
      <c r="S260" s="79"/>
      <c r="T260" s="79"/>
      <c r="W260" s="79"/>
      <c r="X260" s="79"/>
      <c r="AA260" s="130"/>
      <c r="AC260" s="106"/>
    </row>
    <row r="261">
      <c r="C261" s="79"/>
      <c r="D261" s="79"/>
      <c r="E261" s="79"/>
      <c r="N261" s="79"/>
      <c r="S261" s="79"/>
      <c r="T261" s="79"/>
      <c r="W261" s="79"/>
      <c r="X261" s="79"/>
      <c r="AA261" s="130"/>
      <c r="AC261" s="106"/>
    </row>
    <row r="262">
      <c r="C262" s="79"/>
      <c r="D262" s="79"/>
      <c r="E262" s="79"/>
      <c r="N262" s="79"/>
      <c r="S262" s="79"/>
      <c r="T262" s="79"/>
      <c r="W262" s="79"/>
      <c r="X262" s="79"/>
      <c r="AA262" s="130"/>
      <c r="AC262" s="106"/>
    </row>
    <row r="263">
      <c r="C263" s="79"/>
      <c r="D263" s="79"/>
      <c r="E263" s="79"/>
      <c r="N263" s="79"/>
      <c r="S263" s="79"/>
      <c r="T263" s="79"/>
      <c r="W263" s="79"/>
      <c r="X263" s="79"/>
      <c r="AA263" s="130"/>
      <c r="AC263" s="106"/>
    </row>
    <row r="264">
      <c r="C264" s="79"/>
      <c r="D264" s="79"/>
      <c r="E264" s="79"/>
      <c r="N264" s="79"/>
      <c r="S264" s="79"/>
      <c r="T264" s="79"/>
      <c r="W264" s="79"/>
      <c r="X264" s="79"/>
      <c r="AA264" s="130"/>
      <c r="AC264" s="106"/>
    </row>
    <row r="265">
      <c r="C265" s="79"/>
      <c r="D265" s="79"/>
      <c r="E265" s="79"/>
      <c r="N265" s="79"/>
      <c r="S265" s="79"/>
      <c r="T265" s="79"/>
      <c r="W265" s="79"/>
      <c r="X265" s="79"/>
      <c r="AA265" s="130"/>
      <c r="AC265" s="106"/>
    </row>
    <row r="266">
      <c r="C266" s="79"/>
      <c r="D266" s="79"/>
      <c r="E266" s="79"/>
      <c r="N266" s="79"/>
      <c r="S266" s="79"/>
      <c r="T266" s="79"/>
      <c r="W266" s="79"/>
      <c r="X266" s="79"/>
      <c r="AA266" s="130"/>
      <c r="AC266" s="106"/>
    </row>
    <row r="267">
      <c r="C267" s="79"/>
      <c r="D267" s="79"/>
      <c r="E267" s="79"/>
      <c r="N267" s="79"/>
      <c r="S267" s="79"/>
      <c r="T267" s="79"/>
      <c r="W267" s="79"/>
      <c r="X267" s="79"/>
      <c r="AA267" s="130"/>
      <c r="AC267" s="106"/>
    </row>
    <row r="268">
      <c r="C268" s="79"/>
      <c r="D268" s="79"/>
      <c r="E268" s="79"/>
      <c r="N268" s="79"/>
      <c r="S268" s="79"/>
      <c r="T268" s="79"/>
      <c r="W268" s="79"/>
      <c r="X268" s="79"/>
      <c r="AA268" s="130"/>
      <c r="AC268" s="106"/>
    </row>
    <row r="269">
      <c r="C269" s="79"/>
      <c r="D269" s="79"/>
      <c r="E269" s="79"/>
      <c r="N269" s="79"/>
      <c r="S269" s="79"/>
      <c r="T269" s="79"/>
      <c r="W269" s="79"/>
      <c r="X269" s="79"/>
      <c r="AA269" s="130"/>
      <c r="AC269" s="106"/>
    </row>
    <row r="270">
      <c r="C270" s="79"/>
      <c r="D270" s="79"/>
      <c r="E270" s="79"/>
      <c r="N270" s="79"/>
      <c r="S270" s="79"/>
      <c r="T270" s="79"/>
      <c r="W270" s="79"/>
      <c r="X270" s="79"/>
      <c r="AA270" s="130"/>
      <c r="AC270" s="106"/>
    </row>
    <row r="271">
      <c r="C271" s="79"/>
      <c r="D271" s="79"/>
      <c r="E271" s="79"/>
      <c r="N271" s="79"/>
      <c r="S271" s="79"/>
      <c r="T271" s="79"/>
      <c r="W271" s="79"/>
      <c r="X271" s="79"/>
      <c r="AA271" s="130"/>
      <c r="AC271" s="106"/>
    </row>
    <row r="272">
      <c r="C272" s="79"/>
      <c r="D272" s="79"/>
      <c r="E272" s="79"/>
      <c r="N272" s="79"/>
      <c r="S272" s="79"/>
      <c r="T272" s="79"/>
      <c r="W272" s="79"/>
      <c r="X272" s="79"/>
      <c r="AA272" s="130"/>
      <c r="AC272" s="106"/>
    </row>
    <row r="273">
      <c r="C273" s="79"/>
      <c r="D273" s="79"/>
      <c r="E273" s="79"/>
      <c r="N273" s="79"/>
      <c r="S273" s="79"/>
      <c r="T273" s="79"/>
      <c r="W273" s="79"/>
      <c r="X273" s="79"/>
      <c r="AA273" s="130"/>
      <c r="AC273" s="106"/>
    </row>
    <row r="274">
      <c r="C274" s="79"/>
      <c r="D274" s="79"/>
      <c r="E274" s="79"/>
      <c r="N274" s="79"/>
      <c r="S274" s="79"/>
      <c r="T274" s="79"/>
      <c r="W274" s="79"/>
      <c r="X274" s="79"/>
      <c r="AA274" s="130"/>
      <c r="AC274" s="106"/>
    </row>
    <row r="275">
      <c r="C275" s="79"/>
      <c r="D275" s="79"/>
      <c r="E275" s="79"/>
      <c r="N275" s="79"/>
      <c r="S275" s="79"/>
      <c r="T275" s="79"/>
      <c r="W275" s="79"/>
      <c r="X275" s="79"/>
      <c r="AA275" s="130"/>
      <c r="AC275" s="106"/>
    </row>
    <row r="276">
      <c r="C276" s="79"/>
      <c r="D276" s="79"/>
      <c r="E276" s="79"/>
      <c r="N276" s="79"/>
      <c r="S276" s="79"/>
      <c r="T276" s="79"/>
      <c r="W276" s="79"/>
      <c r="X276" s="79"/>
      <c r="AA276" s="130"/>
      <c r="AC276" s="106"/>
    </row>
    <row r="277">
      <c r="C277" s="79"/>
      <c r="D277" s="79"/>
      <c r="E277" s="79"/>
      <c r="N277" s="79"/>
      <c r="S277" s="79"/>
      <c r="T277" s="79"/>
      <c r="W277" s="79"/>
      <c r="X277" s="79"/>
      <c r="AA277" s="130"/>
      <c r="AC277" s="106"/>
    </row>
    <row r="278">
      <c r="C278" s="79"/>
      <c r="D278" s="79"/>
      <c r="E278" s="79"/>
      <c r="N278" s="79"/>
      <c r="S278" s="79"/>
      <c r="T278" s="79"/>
      <c r="W278" s="79"/>
      <c r="X278" s="79"/>
      <c r="AA278" s="130"/>
      <c r="AC278" s="106"/>
    </row>
    <row r="279">
      <c r="C279" s="79"/>
      <c r="D279" s="79"/>
      <c r="E279" s="79"/>
      <c r="N279" s="79"/>
      <c r="S279" s="79"/>
      <c r="T279" s="79"/>
      <c r="W279" s="79"/>
      <c r="X279" s="79"/>
      <c r="AA279" s="130"/>
      <c r="AC279" s="106"/>
    </row>
    <row r="280">
      <c r="C280" s="79"/>
      <c r="D280" s="79"/>
      <c r="E280" s="79"/>
      <c r="N280" s="79"/>
      <c r="S280" s="79"/>
      <c r="T280" s="79"/>
      <c r="W280" s="79"/>
      <c r="X280" s="79"/>
      <c r="AA280" s="130"/>
      <c r="AC280" s="106"/>
    </row>
    <row r="281">
      <c r="C281" s="79"/>
      <c r="D281" s="79"/>
      <c r="E281" s="79"/>
      <c r="N281" s="79"/>
      <c r="S281" s="79"/>
      <c r="T281" s="79"/>
      <c r="W281" s="79"/>
      <c r="X281" s="79"/>
      <c r="AA281" s="130"/>
      <c r="AC281" s="106"/>
    </row>
    <row r="282">
      <c r="C282" s="79"/>
      <c r="D282" s="79"/>
      <c r="E282" s="79"/>
      <c r="N282" s="79"/>
      <c r="S282" s="79"/>
      <c r="T282" s="79"/>
      <c r="W282" s="79"/>
      <c r="X282" s="79"/>
      <c r="AA282" s="130"/>
      <c r="AC282" s="106"/>
    </row>
    <row r="283">
      <c r="C283" s="79"/>
      <c r="D283" s="79"/>
      <c r="E283" s="79"/>
      <c r="N283" s="79"/>
      <c r="S283" s="79"/>
      <c r="T283" s="79"/>
      <c r="W283" s="79"/>
      <c r="X283" s="79"/>
      <c r="AA283" s="130"/>
      <c r="AC283" s="106"/>
    </row>
    <row r="284">
      <c r="C284" s="79"/>
      <c r="D284" s="79"/>
      <c r="E284" s="79"/>
      <c r="N284" s="79"/>
      <c r="S284" s="79"/>
      <c r="T284" s="79"/>
      <c r="W284" s="79"/>
      <c r="X284" s="79"/>
      <c r="AA284" s="130"/>
      <c r="AC284" s="106"/>
    </row>
    <row r="285">
      <c r="C285" s="79"/>
      <c r="D285" s="79"/>
      <c r="E285" s="79"/>
      <c r="N285" s="79"/>
      <c r="S285" s="79"/>
      <c r="T285" s="79"/>
      <c r="W285" s="79"/>
      <c r="X285" s="79"/>
      <c r="AA285" s="130"/>
      <c r="AC285" s="106"/>
    </row>
    <row r="286">
      <c r="C286" s="79"/>
      <c r="D286" s="79"/>
      <c r="E286" s="79"/>
      <c r="N286" s="79"/>
      <c r="S286" s="79"/>
      <c r="T286" s="79"/>
      <c r="W286" s="79"/>
      <c r="X286" s="79"/>
      <c r="AA286" s="130"/>
      <c r="AC286" s="106"/>
    </row>
    <row r="287">
      <c r="C287" s="79"/>
      <c r="D287" s="79"/>
      <c r="E287" s="79"/>
      <c r="N287" s="79"/>
      <c r="S287" s="79"/>
      <c r="T287" s="79"/>
      <c r="W287" s="79"/>
      <c r="X287" s="79"/>
      <c r="AA287" s="130"/>
      <c r="AC287" s="106"/>
    </row>
    <row r="288">
      <c r="C288" s="79"/>
      <c r="D288" s="79"/>
      <c r="E288" s="79"/>
      <c r="N288" s="79"/>
      <c r="S288" s="79"/>
      <c r="T288" s="79"/>
      <c r="W288" s="79"/>
      <c r="X288" s="79"/>
      <c r="AA288" s="130"/>
      <c r="AC288" s="106"/>
    </row>
    <row r="289">
      <c r="C289" s="79"/>
      <c r="D289" s="79"/>
      <c r="E289" s="79"/>
      <c r="N289" s="79"/>
      <c r="S289" s="79"/>
      <c r="T289" s="79"/>
      <c r="W289" s="79"/>
      <c r="X289" s="79"/>
      <c r="AA289" s="130"/>
      <c r="AC289" s="106"/>
    </row>
    <row r="290">
      <c r="C290" s="79"/>
      <c r="D290" s="79"/>
      <c r="E290" s="79"/>
      <c r="N290" s="79"/>
      <c r="S290" s="79"/>
      <c r="T290" s="79"/>
      <c r="W290" s="79"/>
      <c r="X290" s="79"/>
      <c r="AA290" s="130"/>
      <c r="AC290" s="106"/>
    </row>
    <row r="291">
      <c r="C291" s="79"/>
      <c r="D291" s="79"/>
      <c r="E291" s="79"/>
      <c r="N291" s="79"/>
      <c r="S291" s="79"/>
      <c r="T291" s="79"/>
      <c r="W291" s="79"/>
      <c r="X291" s="79"/>
      <c r="AA291" s="130"/>
      <c r="AC291" s="106"/>
    </row>
    <row r="292">
      <c r="C292" s="79"/>
      <c r="D292" s="79"/>
      <c r="E292" s="79"/>
      <c r="N292" s="79"/>
      <c r="S292" s="79"/>
      <c r="T292" s="79"/>
      <c r="W292" s="79"/>
      <c r="X292" s="79"/>
      <c r="AA292" s="130"/>
      <c r="AC292" s="106"/>
    </row>
    <row r="293">
      <c r="C293" s="79"/>
      <c r="D293" s="79"/>
      <c r="E293" s="79"/>
      <c r="N293" s="79"/>
      <c r="S293" s="79"/>
      <c r="T293" s="79"/>
      <c r="W293" s="79"/>
      <c r="X293" s="79"/>
      <c r="AA293" s="130"/>
      <c r="AC293" s="106"/>
    </row>
    <row r="294">
      <c r="C294" s="79"/>
      <c r="D294" s="79"/>
      <c r="E294" s="79"/>
      <c r="N294" s="79"/>
      <c r="S294" s="79"/>
      <c r="T294" s="79"/>
      <c r="W294" s="79"/>
      <c r="X294" s="79"/>
      <c r="AA294" s="130"/>
      <c r="AC294" s="106"/>
    </row>
    <row r="295">
      <c r="C295" s="79"/>
      <c r="D295" s="79"/>
      <c r="E295" s="79"/>
      <c r="N295" s="79"/>
      <c r="S295" s="79"/>
      <c r="T295" s="79"/>
      <c r="W295" s="79"/>
      <c r="X295" s="79"/>
      <c r="AA295" s="130"/>
      <c r="AC295" s="106"/>
    </row>
    <row r="296">
      <c r="C296" s="79"/>
      <c r="D296" s="79"/>
      <c r="E296" s="79"/>
      <c r="N296" s="79"/>
      <c r="S296" s="79"/>
      <c r="T296" s="79"/>
      <c r="W296" s="79"/>
      <c r="X296" s="79"/>
      <c r="AA296" s="130"/>
      <c r="AC296" s="106"/>
    </row>
    <row r="297">
      <c r="C297" s="79"/>
      <c r="D297" s="79"/>
      <c r="E297" s="79"/>
      <c r="N297" s="79"/>
      <c r="S297" s="79"/>
      <c r="T297" s="79"/>
      <c r="W297" s="79"/>
      <c r="X297" s="79"/>
      <c r="AA297" s="130"/>
      <c r="AC297" s="106"/>
    </row>
    <row r="298">
      <c r="C298" s="79"/>
      <c r="D298" s="79"/>
      <c r="E298" s="79"/>
      <c r="N298" s="79"/>
      <c r="S298" s="79"/>
      <c r="T298" s="79"/>
      <c r="W298" s="79"/>
      <c r="X298" s="79"/>
      <c r="AA298" s="130"/>
      <c r="AC298" s="106"/>
    </row>
    <row r="299">
      <c r="C299" s="79"/>
      <c r="D299" s="79"/>
      <c r="E299" s="79"/>
      <c r="N299" s="79"/>
      <c r="S299" s="79"/>
      <c r="T299" s="79"/>
      <c r="W299" s="79"/>
      <c r="X299" s="79"/>
      <c r="AA299" s="130"/>
      <c r="AC299" s="106"/>
    </row>
    <row r="300">
      <c r="C300" s="79"/>
      <c r="D300" s="79"/>
      <c r="E300" s="79"/>
      <c r="N300" s="79"/>
      <c r="S300" s="79"/>
      <c r="T300" s="79"/>
      <c r="W300" s="79"/>
      <c r="X300" s="79"/>
      <c r="AA300" s="130"/>
      <c r="AC300" s="106"/>
    </row>
    <row r="301">
      <c r="C301" s="79"/>
      <c r="D301" s="79"/>
      <c r="E301" s="79"/>
      <c r="N301" s="79"/>
      <c r="S301" s="79"/>
      <c r="T301" s="79"/>
      <c r="W301" s="79"/>
      <c r="X301" s="79"/>
      <c r="AA301" s="130"/>
      <c r="AC301" s="106"/>
    </row>
    <row r="302">
      <c r="C302" s="79"/>
      <c r="D302" s="79"/>
      <c r="E302" s="79"/>
      <c r="N302" s="79"/>
      <c r="S302" s="79"/>
      <c r="T302" s="79"/>
      <c r="W302" s="79"/>
      <c r="X302" s="79"/>
      <c r="AA302" s="130"/>
      <c r="AC302" s="106"/>
    </row>
    <row r="303">
      <c r="C303" s="79"/>
      <c r="D303" s="79"/>
      <c r="E303" s="79"/>
      <c r="N303" s="79"/>
      <c r="S303" s="79"/>
      <c r="T303" s="79"/>
      <c r="W303" s="79"/>
      <c r="X303" s="79"/>
      <c r="AA303" s="130"/>
      <c r="AC303" s="106"/>
    </row>
    <row r="304">
      <c r="C304" s="79"/>
      <c r="D304" s="79"/>
      <c r="E304" s="79"/>
      <c r="N304" s="79"/>
      <c r="S304" s="79"/>
      <c r="T304" s="79"/>
      <c r="W304" s="79"/>
      <c r="X304" s="79"/>
      <c r="AA304" s="130"/>
      <c r="AC304" s="106"/>
    </row>
    <row r="305">
      <c r="C305" s="79"/>
      <c r="D305" s="79"/>
      <c r="E305" s="79"/>
      <c r="N305" s="79"/>
      <c r="S305" s="79"/>
      <c r="T305" s="79"/>
      <c r="W305" s="79"/>
      <c r="X305" s="79"/>
      <c r="AA305" s="130"/>
      <c r="AC305" s="106"/>
    </row>
    <row r="306">
      <c r="C306" s="79"/>
      <c r="D306" s="79"/>
      <c r="E306" s="79"/>
      <c r="N306" s="79"/>
      <c r="S306" s="79"/>
      <c r="T306" s="79"/>
      <c r="W306" s="79"/>
      <c r="X306" s="79"/>
      <c r="AA306" s="130"/>
      <c r="AC306" s="106"/>
    </row>
    <row r="307">
      <c r="C307" s="79"/>
      <c r="D307" s="79"/>
      <c r="E307" s="79"/>
      <c r="N307" s="79"/>
      <c r="S307" s="79"/>
      <c r="T307" s="79"/>
      <c r="W307" s="79"/>
      <c r="X307" s="79"/>
      <c r="AA307" s="130"/>
      <c r="AC307" s="106"/>
    </row>
    <row r="308">
      <c r="C308" s="79"/>
      <c r="D308" s="79"/>
      <c r="E308" s="79"/>
      <c r="N308" s="79"/>
      <c r="S308" s="79"/>
      <c r="T308" s="79"/>
      <c r="W308" s="79"/>
      <c r="X308" s="79"/>
      <c r="AA308" s="130"/>
      <c r="AC308" s="106"/>
    </row>
    <row r="309">
      <c r="C309" s="79"/>
      <c r="D309" s="79"/>
      <c r="E309" s="79"/>
      <c r="N309" s="79"/>
      <c r="S309" s="79"/>
      <c r="T309" s="79"/>
      <c r="W309" s="79"/>
      <c r="X309" s="79"/>
      <c r="AA309" s="130"/>
      <c r="AC309" s="106"/>
    </row>
    <row r="310">
      <c r="C310" s="79"/>
      <c r="D310" s="79"/>
      <c r="E310" s="79"/>
      <c r="N310" s="79"/>
      <c r="S310" s="79"/>
      <c r="T310" s="79"/>
      <c r="W310" s="79"/>
      <c r="X310" s="79"/>
      <c r="AA310" s="130"/>
      <c r="AC310" s="106"/>
    </row>
    <row r="311">
      <c r="C311" s="79"/>
      <c r="D311" s="79"/>
      <c r="E311" s="79"/>
      <c r="N311" s="79"/>
      <c r="S311" s="79"/>
      <c r="T311" s="79"/>
      <c r="W311" s="79"/>
      <c r="X311" s="79"/>
      <c r="AA311" s="130"/>
      <c r="AC311" s="106"/>
    </row>
    <row r="312">
      <c r="C312" s="79"/>
      <c r="D312" s="79"/>
      <c r="E312" s="79"/>
      <c r="N312" s="79"/>
      <c r="S312" s="79"/>
      <c r="T312" s="79"/>
      <c r="W312" s="79"/>
      <c r="X312" s="79"/>
      <c r="AA312" s="130"/>
      <c r="AC312" s="106"/>
    </row>
    <row r="313">
      <c r="C313" s="79"/>
      <c r="D313" s="79"/>
      <c r="E313" s="79"/>
      <c r="N313" s="79"/>
      <c r="S313" s="79"/>
      <c r="T313" s="79"/>
      <c r="W313" s="79"/>
      <c r="X313" s="79"/>
      <c r="AA313" s="130"/>
      <c r="AC313" s="106"/>
    </row>
    <row r="314">
      <c r="C314" s="79"/>
      <c r="D314" s="79"/>
      <c r="E314" s="79"/>
      <c r="N314" s="79"/>
      <c r="S314" s="79"/>
      <c r="T314" s="79"/>
      <c r="W314" s="79"/>
      <c r="X314" s="79"/>
      <c r="AA314" s="130"/>
      <c r="AC314" s="106"/>
    </row>
    <row r="315">
      <c r="C315" s="79"/>
      <c r="D315" s="79"/>
      <c r="E315" s="79"/>
      <c r="N315" s="79"/>
      <c r="S315" s="79"/>
      <c r="T315" s="79"/>
      <c r="W315" s="79"/>
      <c r="X315" s="79"/>
      <c r="AA315" s="130"/>
      <c r="AC315" s="106"/>
    </row>
    <row r="316">
      <c r="C316" s="79"/>
      <c r="D316" s="79"/>
      <c r="E316" s="79"/>
      <c r="N316" s="79"/>
      <c r="S316" s="79"/>
      <c r="T316" s="79"/>
      <c r="W316" s="79"/>
      <c r="X316" s="79"/>
      <c r="AA316" s="130"/>
      <c r="AC316" s="106"/>
    </row>
    <row r="317">
      <c r="C317" s="79"/>
      <c r="D317" s="79"/>
      <c r="E317" s="79"/>
      <c r="N317" s="79"/>
      <c r="S317" s="79"/>
      <c r="T317" s="79"/>
      <c r="W317" s="79"/>
      <c r="X317" s="79"/>
      <c r="AA317" s="130"/>
      <c r="AC317" s="106"/>
    </row>
    <row r="318">
      <c r="C318" s="79"/>
      <c r="D318" s="79"/>
      <c r="E318" s="79"/>
      <c r="N318" s="79"/>
      <c r="S318" s="79"/>
      <c r="T318" s="79"/>
      <c r="W318" s="79"/>
      <c r="X318" s="79"/>
      <c r="AA318" s="130"/>
      <c r="AC318" s="106"/>
    </row>
    <row r="319">
      <c r="C319" s="79"/>
      <c r="D319" s="79"/>
      <c r="E319" s="79"/>
      <c r="N319" s="79"/>
      <c r="S319" s="79"/>
      <c r="T319" s="79"/>
      <c r="W319" s="79"/>
      <c r="X319" s="79"/>
      <c r="AA319" s="130"/>
      <c r="AC319" s="106"/>
    </row>
    <row r="320">
      <c r="C320" s="79"/>
      <c r="D320" s="79"/>
      <c r="E320" s="79"/>
      <c r="N320" s="79"/>
      <c r="S320" s="79"/>
      <c r="T320" s="79"/>
      <c r="W320" s="79"/>
      <c r="X320" s="79"/>
      <c r="AA320" s="130"/>
      <c r="AC320" s="106"/>
    </row>
    <row r="321">
      <c r="C321" s="79"/>
      <c r="D321" s="79"/>
      <c r="E321" s="79"/>
      <c r="N321" s="79"/>
      <c r="S321" s="79"/>
      <c r="T321" s="79"/>
      <c r="W321" s="79"/>
      <c r="X321" s="79"/>
      <c r="AA321" s="130"/>
      <c r="AC321" s="106"/>
    </row>
    <row r="322">
      <c r="C322" s="79"/>
      <c r="D322" s="79"/>
      <c r="E322" s="79"/>
      <c r="N322" s="79"/>
      <c r="S322" s="79"/>
      <c r="T322" s="79"/>
      <c r="W322" s="79"/>
      <c r="X322" s="79"/>
      <c r="AA322" s="130"/>
      <c r="AC322" s="106"/>
    </row>
    <row r="323">
      <c r="C323" s="79"/>
      <c r="D323" s="79"/>
      <c r="E323" s="79"/>
      <c r="N323" s="79"/>
      <c r="S323" s="79"/>
      <c r="T323" s="79"/>
      <c r="W323" s="79"/>
      <c r="X323" s="79"/>
      <c r="AA323" s="130"/>
      <c r="AC323" s="106"/>
    </row>
    <row r="324">
      <c r="C324" s="79"/>
      <c r="D324" s="79"/>
      <c r="E324" s="79"/>
      <c r="N324" s="79"/>
      <c r="S324" s="79"/>
      <c r="T324" s="79"/>
      <c r="W324" s="79"/>
      <c r="X324" s="79"/>
      <c r="AA324" s="130"/>
      <c r="AC324" s="106"/>
    </row>
    <row r="325">
      <c r="C325" s="79"/>
      <c r="D325" s="79"/>
      <c r="E325" s="79"/>
      <c r="N325" s="79"/>
      <c r="S325" s="79"/>
      <c r="T325" s="79"/>
      <c r="W325" s="79"/>
      <c r="X325" s="79"/>
      <c r="AA325" s="130"/>
      <c r="AC325" s="106"/>
    </row>
    <row r="326">
      <c r="C326" s="79"/>
      <c r="D326" s="79"/>
      <c r="E326" s="79"/>
      <c r="N326" s="79"/>
      <c r="S326" s="79"/>
      <c r="T326" s="79"/>
      <c r="W326" s="79"/>
      <c r="X326" s="79"/>
      <c r="AA326" s="130"/>
      <c r="AC326" s="106"/>
    </row>
    <row r="327">
      <c r="C327" s="79"/>
      <c r="D327" s="79"/>
      <c r="E327" s="79"/>
      <c r="N327" s="79"/>
      <c r="S327" s="79"/>
      <c r="T327" s="79"/>
      <c r="W327" s="79"/>
      <c r="X327" s="79"/>
      <c r="AA327" s="130"/>
      <c r="AC327" s="106"/>
    </row>
    <row r="328">
      <c r="C328" s="79"/>
      <c r="D328" s="79"/>
      <c r="E328" s="79"/>
      <c r="N328" s="79"/>
      <c r="S328" s="79"/>
      <c r="T328" s="79"/>
      <c r="W328" s="79"/>
      <c r="X328" s="79"/>
      <c r="AA328" s="130"/>
      <c r="AC328" s="106"/>
    </row>
    <row r="329">
      <c r="C329" s="79"/>
      <c r="D329" s="79"/>
      <c r="E329" s="79"/>
      <c r="N329" s="79"/>
      <c r="S329" s="79"/>
      <c r="T329" s="79"/>
      <c r="W329" s="79"/>
      <c r="X329" s="79"/>
      <c r="AA329" s="130"/>
      <c r="AC329" s="106"/>
    </row>
    <row r="330">
      <c r="C330" s="79"/>
      <c r="D330" s="79"/>
      <c r="E330" s="79"/>
      <c r="N330" s="79"/>
      <c r="S330" s="79"/>
      <c r="T330" s="79"/>
      <c r="W330" s="79"/>
      <c r="X330" s="79"/>
      <c r="AA330" s="130"/>
      <c r="AC330" s="106"/>
    </row>
    <row r="331">
      <c r="C331" s="79"/>
      <c r="D331" s="79"/>
      <c r="E331" s="79"/>
      <c r="N331" s="79"/>
      <c r="S331" s="79"/>
      <c r="T331" s="79"/>
      <c r="W331" s="79"/>
      <c r="X331" s="79"/>
      <c r="AA331" s="130"/>
      <c r="AC331" s="106"/>
    </row>
    <row r="332">
      <c r="C332" s="79"/>
      <c r="D332" s="79"/>
      <c r="E332" s="79"/>
      <c r="N332" s="79"/>
      <c r="S332" s="79"/>
      <c r="T332" s="79"/>
      <c r="W332" s="79"/>
      <c r="X332" s="79"/>
      <c r="AA332" s="130"/>
      <c r="AC332" s="106"/>
    </row>
    <row r="333">
      <c r="C333" s="79"/>
      <c r="D333" s="79"/>
      <c r="E333" s="79"/>
      <c r="N333" s="79"/>
      <c r="S333" s="79"/>
      <c r="T333" s="79"/>
      <c r="W333" s="79"/>
      <c r="X333" s="79"/>
      <c r="AA333" s="130"/>
      <c r="AC333" s="106"/>
    </row>
    <row r="334">
      <c r="C334" s="79"/>
      <c r="D334" s="79"/>
      <c r="E334" s="79"/>
      <c r="N334" s="79"/>
      <c r="S334" s="79"/>
      <c r="T334" s="79"/>
      <c r="W334" s="79"/>
      <c r="X334" s="79"/>
      <c r="AA334" s="130"/>
      <c r="AC334" s="106"/>
    </row>
    <row r="335">
      <c r="C335" s="79"/>
      <c r="D335" s="79"/>
      <c r="E335" s="79"/>
      <c r="N335" s="79"/>
      <c r="S335" s="79"/>
      <c r="T335" s="79"/>
      <c r="W335" s="79"/>
      <c r="X335" s="79"/>
      <c r="AA335" s="130"/>
      <c r="AC335" s="106"/>
    </row>
    <row r="336">
      <c r="C336" s="79"/>
      <c r="D336" s="79"/>
      <c r="E336" s="79"/>
      <c r="N336" s="79"/>
      <c r="S336" s="79"/>
      <c r="T336" s="79"/>
      <c r="W336" s="79"/>
      <c r="X336" s="79"/>
      <c r="AA336" s="130"/>
      <c r="AC336" s="106"/>
    </row>
    <row r="337">
      <c r="C337" s="79"/>
      <c r="D337" s="79"/>
      <c r="E337" s="79"/>
      <c r="N337" s="79"/>
      <c r="S337" s="79"/>
      <c r="T337" s="79"/>
      <c r="W337" s="79"/>
      <c r="X337" s="79"/>
      <c r="AA337" s="130"/>
      <c r="AC337" s="106"/>
    </row>
    <row r="338">
      <c r="C338" s="79"/>
      <c r="D338" s="79"/>
      <c r="E338" s="79"/>
      <c r="N338" s="79"/>
      <c r="S338" s="79"/>
      <c r="T338" s="79"/>
      <c r="W338" s="79"/>
      <c r="X338" s="79"/>
      <c r="AA338" s="130"/>
      <c r="AC338" s="106"/>
    </row>
    <row r="339">
      <c r="C339" s="79"/>
      <c r="D339" s="79"/>
      <c r="E339" s="79"/>
      <c r="N339" s="79"/>
      <c r="S339" s="79"/>
      <c r="T339" s="79"/>
      <c r="W339" s="79"/>
      <c r="X339" s="79"/>
      <c r="AA339" s="130"/>
      <c r="AC339" s="106"/>
    </row>
    <row r="340">
      <c r="C340" s="79"/>
      <c r="D340" s="79"/>
      <c r="E340" s="79"/>
      <c r="N340" s="79"/>
      <c r="S340" s="79"/>
      <c r="T340" s="79"/>
      <c r="W340" s="79"/>
      <c r="X340" s="79"/>
      <c r="AA340" s="130"/>
      <c r="AC340" s="106"/>
    </row>
    <row r="341">
      <c r="C341" s="79"/>
      <c r="D341" s="79"/>
      <c r="E341" s="79"/>
      <c r="N341" s="79"/>
      <c r="S341" s="79"/>
      <c r="T341" s="79"/>
      <c r="W341" s="79"/>
      <c r="X341" s="79"/>
      <c r="AA341" s="130"/>
      <c r="AC341" s="106"/>
    </row>
    <row r="342">
      <c r="C342" s="79"/>
      <c r="D342" s="79"/>
      <c r="E342" s="79"/>
      <c r="N342" s="79"/>
      <c r="S342" s="79"/>
      <c r="T342" s="79"/>
      <c r="W342" s="79"/>
      <c r="X342" s="79"/>
      <c r="AA342" s="130"/>
      <c r="AC342" s="106"/>
    </row>
    <row r="343">
      <c r="C343" s="79"/>
      <c r="D343" s="79"/>
      <c r="E343" s="79"/>
      <c r="N343" s="79"/>
      <c r="S343" s="79"/>
      <c r="T343" s="79"/>
      <c r="W343" s="79"/>
      <c r="X343" s="79"/>
      <c r="AA343" s="130"/>
      <c r="AC343" s="106"/>
    </row>
    <row r="344">
      <c r="C344" s="79"/>
      <c r="D344" s="79"/>
      <c r="E344" s="79"/>
      <c r="N344" s="79"/>
      <c r="S344" s="79"/>
      <c r="T344" s="79"/>
      <c r="W344" s="79"/>
      <c r="X344" s="79"/>
      <c r="AA344" s="130"/>
      <c r="AC344" s="106"/>
    </row>
    <row r="345">
      <c r="C345" s="79"/>
      <c r="D345" s="79"/>
      <c r="E345" s="79"/>
      <c r="N345" s="79"/>
      <c r="S345" s="79"/>
      <c r="T345" s="79"/>
      <c r="W345" s="79"/>
      <c r="X345" s="79"/>
      <c r="AA345" s="130"/>
      <c r="AC345" s="106"/>
    </row>
    <row r="346">
      <c r="C346" s="79"/>
      <c r="D346" s="79"/>
      <c r="E346" s="79"/>
      <c r="N346" s="79"/>
      <c r="S346" s="79"/>
      <c r="T346" s="79"/>
      <c r="W346" s="79"/>
      <c r="X346" s="79"/>
      <c r="AA346" s="130"/>
      <c r="AC346" s="106"/>
    </row>
    <row r="347">
      <c r="C347" s="79"/>
      <c r="D347" s="79"/>
      <c r="E347" s="79"/>
      <c r="N347" s="79"/>
      <c r="S347" s="79"/>
      <c r="T347" s="79"/>
      <c r="W347" s="79"/>
      <c r="X347" s="79"/>
      <c r="AA347" s="130"/>
      <c r="AC347" s="106"/>
    </row>
    <row r="348">
      <c r="C348" s="79"/>
      <c r="D348" s="79"/>
      <c r="E348" s="79"/>
      <c r="N348" s="79"/>
      <c r="S348" s="79"/>
      <c r="T348" s="79"/>
      <c r="W348" s="79"/>
      <c r="X348" s="79"/>
      <c r="AA348" s="130"/>
      <c r="AC348" s="106"/>
    </row>
    <row r="349">
      <c r="C349" s="79"/>
      <c r="D349" s="79"/>
      <c r="E349" s="79"/>
      <c r="N349" s="79"/>
      <c r="S349" s="79"/>
      <c r="T349" s="79"/>
      <c r="W349" s="79"/>
      <c r="X349" s="79"/>
      <c r="AA349" s="130"/>
      <c r="AC349" s="106"/>
    </row>
    <row r="350">
      <c r="C350" s="79"/>
      <c r="D350" s="79"/>
      <c r="E350" s="79"/>
      <c r="N350" s="79"/>
      <c r="S350" s="79"/>
      <c r="T350" s="79"/>
      <c r="W350" s="79"/>
      <c r="X350" s="79"/>
      <c r="AA350" s="130"/>
      <c r="AC350" s="106"/>
    </row>
    <row r="351">
      <c r="C351" s="79"/>
      <c r="D351" s="79"/>
      <c r="E351" s="79"/>
      <c r="N351" s="79"/>
      <c r="S351" s="79"/>
      <c r="T351" s="79"/>
      <c r="W351" s="79"/>
      <c r="X351" s="79"/>
      <c r="AA351" s="130"/>
      <c r="AC351" s="106"/>
    </row>
    <row r="352">
      <c r="C352" s="79"/>
      <c r="D352" s="79"/>
      <c r="E352" s="79"/>
      <c r="N352" s="79"/>
      <c r="S352" s="79"/>
      <c r="T352" s="79"/>
      <c r="W352" s="79"/>
      <c r="X352" s="79"/>
      <c r="AA352" s="130"/>
      <c r="AC352" s="106"/>
    </row>
    <row r="353">
      <c r="C353" s="79"/>
      <c r="D353" s="79"/>
      <c r="E353" s="79"/>
      <c r="N353" s="79"/>
      <c r="S353" s="79"/>
      <c r="T353" s="79"/>
      <c r="W353" s="79"/>
      <c r="X353" s="79"/>
      <c r="AA353" s="130"/>
      <c r="AC353" s="106"/>
    </row>
    <row r="354">
      <c r="C354" s="79"/>
      <c r="D354" s="79"/>
      <c r="E354" s="79"/>
      <c r="N354" s="79"/>
      <c r="S354" s="79"/>
      <c r="T354" s="79"/>
      <c r="W354" s="79"/>
      <c r="X354" s="79"/>
      <c r="AA354" s="130"/>
      <c r="AC354" s="106"/>
    </row>
    <row r="355">
      <c r="C355" s="79"/>
      <c r="D355" s="79"/>
      <c r="E355" s="79"/>
      <c r="N355" s="79"/>
      <c r="S355" s="79"/>
      <c r="T355" s="79"/>
      <c r="W355" s="79"/>
      <c r="X355" s="79"/>
      <c r="AA355" s="130"/>
      <c r="AC355" s="106"/>
    </row>
    <row r="356">
      <c r="C356" s="79"/>
      <c r="D356" s="79"/>
      <c r="E356" s="79"/>
      <c r="N356" s="79"/>
      <c r="S356" s="79"/>
      <c r="T356" s="79"/>
      <c r="W356" s="79"/>
      <c r="X356" s="79"/>
      <c r="AA356" s="130"/>
      <c r="AC356" s="106"/>
    </row>
    <row r="357">
      <c r="C357" s="79"/>
      <c r="D357" s="79"/>
      <c r="E357" s="79"/>
      <c r="N357" s="79"/>
      <c r="S357" s="79"/>
      <c r="T357" s="79"/>
      <c r="W357" s="79"/>
      <c r="X357" s="79"/>
      <c r="AA357" s="130"/>
      <c r="AC357" s="106"/>
    </row>
    <row r="358">
      <c r="C358" s="79"/>
      <c r="D358" s="79"/>
      <c r="E358" s="79"/>
      <c r="N358" s="79"/>
      <c r="S358" s="79"/>
      <c r="T358" s="79"/>
      <c r="W358" s="79"/>
      <c r="X358" s="79"/>
      <c r="AA358" s="130"/>
      <c r="AC358" s="106"/>
    </row>
    <row r="359">
      <c r="C359" s="79"/>
      <c r="D359" s="79"/>
      <c r="E359" s="79"/>
      <c r="N359" s="79"/>
      <c r="S359" s="79"/>
      <c r="T359" s="79"/>
      <c r="W359" s="79"/>
      <c r="X359" s="79"/>
      <c r="AA359" s="130"/>
      <c r="AC359" s="106"/>
    </row>
    <row r="360">
      <c r="C360" s="79"/>
      <c r="D360" s="79"/>
      <c r="E360" s="79"/>
      <c r="N360" s="79"/>
      <c r="S360" s="79"/>
      <c r="T360" s="79"/>
      <c r="W360" s="79"/>
      <c r="X360" s="79"/>
      <c r="AA360" s="130"/>
      <c r="AC360" s="106"/>
    </row>
    <row r="361">
      <c r="C361" s="79"/>
      <c r="D361" s="79"/>
      <c r="E361" s="79"/>
      <c r="N361" s="79"/>
      <c r="S361" s="79"/>
      <c r="T361" s="79"/>
      <c r="W361" s="79"/>
      <c r="X361" s="79"/>
      <c r="AA361" s="130"/>
      <c r="AC361" s="106"/>
    </row>
    <row r="362">
      <c r="C362" s="79"/>
      <c r="D362" s="79"/>
      <c r="E362" s="79"/>
      <c r="N362" s="79"/>
      <c r="S362" s="79"/>
      <c r="T362" s="79"/>
      <c r="W362" s="79"/>
      <c r="X362" s="79"/>
      <c r="AA362" s="130"/>
      <c r="AC362" s="106"/>
    </row>
    <row r="363">
      <c r="C363" s="79"/>
      <c r="D363" s="79"/>
      <c r="E363" s="79"/>
      <c r="N363" s="79"/>
      <c r="S363" s="79"/>
      <c r="T363" s="79"/>
      <c r="W363" s="79"/>
      <c r="X363" s="79"/>
      <c r="AA363" s="130"/>
      <c r="AC363" s="106"/>
    </row>
    <row r="364">
      <c r="C364" s="79"/>
      <c r="D364" s="79"/>
      <c r="E364" s="79"/>
      <c r="N364" s="79"/>
      <c r="S364" s="79"/>
      <c r="T364" s="79"/>
      <c r="W364" s="79"/>
      <c r="X364" s="79"/>
      <c r="AA364" s="130"/>
      <c r="AC364" s="106"/>
    </row>
    <row r="365">
      <c r="C365" s="79"/>
      <c r="D365" s="79"/>
      <c r="E365" s="79"/>
      <c r="N365" s="79"/>
      <c r="S365" s="79"/>
      <c r="T365" s="79"/>
      <c r="W365" s="79"/>
      <c r="X365" s="79"/>
      <c r="AA365" s="130"/>
      <c r="AC365" s="106"/>
    </row>
    <row r="366">
      <c r="C366" s="79"/>
      <c r="D366" s="79"/>
      <c r="E366" s="79"/>
      <c r="N366" s="79"/>
      <c r="S366" s="79"/>
      <c r="T366" s="79"/>
      <c r="W366" s="79"/>
      <c r="X366" s="79"/>
      <c r="AA366" s="130"/>
      <c r="AC366" s="106"/>
    </row>
    <row r="367">
      <c r="C367" s="79"/>
      <c r="D367" s="79"/>
      <c r="E367" s="79"/>
      <c r="N367" s="79"/>
      <c r="S367" s="79"/>
      <c r="T367" s="79"/>
      <c r="W367" s="79"/>
      <c r="X367" s="79"/>
      <c r="AA367" s="130"/>
      <c r="AC367" s="106"/>
    </row>
    <row r="368">
      <c r="C368" s="79"/>
      <c r="D368" s="79"/>
      <c r="E368" s="79"/>
      <c r="N368" s="79"/>
      <c r="S368" s="79"/>
      <c r="T368" s="79"/>
      <c r="W368" s="79"/>
      <c r="X368" s="79"/>
      <c r="AA368" s="130"/>
      <c r="AC368" s="106"/>
    </row>
    <row r="369">
      <c r="C369" s="79"/>
      <c r="D369" s="79"/>
      <c r="E369" s="79"/>
      <c r="N369" s="79"/>
      <c r="S369" s="79"/>
      <c r="T369" s="79"/>
      <c r="W369" s="79"/>
      <c r="X369" s="79"/>
      <c r="AA369" s="130"/>
      <c r="AC369" s="106"/>
    </row>
    <row r="370">
      <c r="C370" s="79"/>
      <c r="D370" s="79"/>
      <c r="E370" s="79"/>
      <c r="N370" s="79"/>
      <c r="S370" s="79"/>
      <c r="T370" s="79"/>
      <c r="W370" s="79"/>
      <c r="X370" s="79"/>
      <c r="AA370" s="130"/>
      <c r="AC370" s="106"/>
    </row>
    <row r="371">
      <c r="C371" s="79"/>
      <c r="D371" s="79"/>
      <c r="E371" s="79"/>
      <c r="N371" s="79"/>
      <c r="S371" s="79"/>
      <c r="T371" s="79"/>
      <c r="W371" s="79"/>
      <c r="X371" s="79"/>
      <c r="AA371" s="130"/>
      <c r="AC371" s="106"/>
    </row>
    <row r="372">
      <c r="C372" s="79"/>
      <c r="D372" s="79"/>
      <c r="E372" s="79"/>
      <c r="N372" s="79"/>
      <c r="S372" s="79"/>
      <c r="T372" s="79"/>
      <c r="W372" s="79"/>
      <c r="X372" s="79"/>
      <c r="AA372" s="130"/>
      <c r="AC372" s="106"/>
    </row>
    <row r="373">
      <c r="C373" s="79"/>
      <c r="D373" s="79"/>
      <c r="E373" s="79"/>
      <c r="N373" s="79"/>
      <c r="S373" s="79"/>
      <c r="T373" s="79"/>
      <c r="W373" s="79"/>
      <c r="X373" s="79"/>
      <c r="AA373" s="130"/>
      <c r="AC373" s="106"/>
    </row>
    <row r="374">
      <c r="C374" s="79"/>
      <c r="D374" s="79"/>
      <c r="E374" s="79"/>
      <c r="N374" s="79"/>
      <c r="S374" s="79"/>
      <c r="T374" s="79"/>
      <c r="W374" s="79"/>
      <c r="X374" s="79"/>
      <c r="AA374" s="130"/>
      <c r="AC374" s="106"/>
    </row>
    <row r="375">
      <c r="C375" s="79"/>
      <c r="D375" s="79"/>
      <c r="E375" s="79"/>
      <c r="N375" s="79"/>
      <c r="S375" s="79"/>
      <c r="T375" s="79"/>
      <c r="W375" s="79"/>
      <c r="X375" s="79"/>
      <c r="AA375" s="130"/>
      <c r="AC375" s="106"/>
    </row>
    <row r="376">
      <c r="C376" s="79"/>
      <c r="D376" s="79"/>
      <c r="E376" s="79"/>
      <c r="N376" s="79"/>
      <c r="S376" s="79"/>
      <c r="T376" s="79"/>
      <c r="W376" s="79"/>
      <c r="X376" s="79"/>
      <c r="AA376" s="130"/>
      <c r="AC376" s="106"/>
    </row>
    <row r="377">
      <c r="C377" s="79"/>
      <c r="D377" s="79"/>
      <c r="E377" s="79"/>
      <c r="N377" s="79"/>
      <c r="S377" s="79"/>
      <c r="T377" s="79"/>
      <c r="W377" s="79"/>
      <c r="X377" s="79"/>
      <c r="AA377" s="130"/>
      <c r="AC377" s="106"/>
    </row>
    <row r="378">
      <c r="C378" s="79"/>
      <c r="D378" s="79"/>
      <c r="E378" s="79"/>
      <c r="N378" s="79"/>
      <c r="S378" s="79"/>
      <c r="T378" s="79"/>
      <c r="W378" s="79"/>
      <c r="X378" s="79"/>
      <c r="AA378" s="130"/>
      <c r="AC378" s="106"/>
    </row>
    <row r="379">
      <c r="C379" s="79"/>
      <c r="D379" s="79"/>
      <c r="E379" s="79"/>
      <c r="N379" s="79"/>
      <c r="S379" s="79"/>
      <c r="T379" s="79"/>
      <c r="W379" s="79"/>
      <c r="X379" s="79"/>
      <c r="AA379" s="130"/>
      <c r="AC379" s="106"/>
    </row>
    <row r="380">
      <c r="C380" s="79"/>
      <c r="D380" s="79"/>
      <c r="E380" s="79"/>
      <c r="N380" s="79"/>
      <c r="S380" s="79"/>
      <c r="T380" s="79"/>
      <c r="W380" s="79"/>
      <c r="X380" s="79"/>
      <c r="AA380" s="130"/>
      <c r="AC380" s="106"/>
    </row>
    <row r="381">
      <c r="C381" s="79"/>
      <c r="D381" s="79"/>
      <c r="E381" s="79"/>
      <c r="N381" s="79"/>
      <c r="S381" s="79"/>
      <c r="T381" s="79"/>
      <c r="W381" s="79"/>
      <c r="X381" s="79"/>
      <c r="AA381" s="130"/>
      <c r="AC381" s="106"/>
    </row>
    <row r="382">
      <c r="C382" s="79"/>
      <c r="D382" s="79"/>
      <c r="E382" s="79"/>
      <c r="N382" s="79"/>
      <c r="S382" s="79"/>
      <c r="T382" s="79"/>
      <c r="W382" s="79"/>
      <c r="X382" s="79"/>
      <c r="AA382" s="130"/>
      <c r="AC382" s="106"/>
    </row>
    <row r="383">
      <c r="C383" s="79"/>
      <c r="D383" s="79"/>
      <c r="E383" s="79"/>
      <c r="N383" s="79"/>
      <c r="S383" s="79"/>
      <c r="T383" s="79"/>
      <c r="W383" s="79"/>
      <c r="X383" s="79"/>
      <c r="AA383" s="130"/>
      <c r="AC383" s="106"/>
    </row>
    <row r="384">
      <c r="C384" s="79"/>
      <c r="D384" s="79"/>
      <c r="E384" s="79"/>
      <c r="N384" s="79"/>
      <c r="S384" s="79"/>
      <c r="T384" s="79"/>
      <c r="W384" s="79"/>
      <c r="X384" s="79"/>
      <c r="AA384" s="130"/>
      <c r="AC384" s="106"/>
    </row>
    <row r="385">
      <c r="C385" s="79"/>
      <c r="D385" s="79"/>
      <c r="E385" s="79"/>
      <c r="N385" s="79"/>
      <c r="S385" s="79"/>
      <c r="T385" s="79"/>
      <c r="W385" s="79"/>
      <c r="X385" s="79"/>
      <c r="AA385" s="130"/>
      <c r="AC385" s="106"/>
    </row>
    <row r="386">
      <c r="C386" s="79"/>
      <c r="D386" s="79"/>
      <c r="E386" s="79"/>
      <c r="N386" s="79"/>
      <c r="S386" s="79"/>
      <c r="T386" s="79"/>
      <c r="W386" s="79"/>
      <c r="X386" s="79"/>
      <c r="AA386" s="130"/>
      <c r="AC386" s="106"/>
    </row>
    <row r="387">
      <c r="C387" s="79"/>
      <c r="D387" s="79"/>
      <c r="E387" s="79"/>
      <c r="N387" s="79"/>
      <c r="S387" s="79"/>
      <c r="T387" s="79"/>
      <c r="W387" s="79"/>
      <c r="X387" s="79"/>
      <c r="AA387" s="130"/>
      <c r="AC387" s="106"/>
    </row>
    <row r="388">
      <c r="C388" s="79"/>
      <c r="D388" s="79"/>
      <c r="E388" s="79"/>
      <c r="N388" s="79"/>
      <c r="S388" s="79"/>
      <c r="T388" s="79"/>
      <c r="W388" s="79"/>
      <c r="X388" s="79"/>
      <c r="AA388" s="130"/>
      <c r="AC388" s="106"/>
    </row>
    <row r="389">
      <c r="C389" s="79"/>
      <c r="D389" s="79"/>
      <c r="E389" s="79"/>
      <c r="N389" s="79"/>
      <c r="S389" s="79"/>
      <c r="T389" s="79"/>
      <c r="W389" s="79"/>
      <c r="X389" s="79"/>
      <c r="AA389" s="130"/>
      <c r="AC389" s="106"/>
    </row>
    <row r="390">
      <c r="C390" s="79"/>
      <c r="D390" s="79"/>
      <c r="E390" s="79"/>
      <c r="N390" s="79"/>
      <c r="S390" s="79"/>
      <c r="T390" s="79"/>
      <c r="W390" s="79"/>
      <c r="X390" s="79"/>
      <c r="AA390" s="130"/>
      <c r="AC390" s="106"/>
    </row>
    <row r="391">
      <c r="C391" s="79"/>
      <c r="D391" s="79"/>
      <c r="E391" s="79"/>
      <c r="N391" s="79"/>
      <c r="S391" s="79"/>
      <c r="T391" s="79"/>
      <c r="W391" s="79"/>
      <c r="X391" s="79"/>
      <c r="AA391" s="130"/>
      <c r="AC391" s="106"/>
    </row>
    <row r="392">
      <c r="C392" s="79"/>
      <c r="D392" s="79"/>
      <c r="E392" s="79"/>
      <c r="N392" s="79"/>
      <c r="S392" s="79"/>
      <c r="T392" s="79"/>
      <c r="W392" s="79"/>
      <c r="X392" s="79"/>
      <c r="AA392" s="130"/>
      <c r="AC392" s="106"/>
    </row>
    <row r="393">
      <c r="C393" s="79"/>
      <c r="D393" s="79"/>
      <c r="E393" s="79"/>
      <c r="N393" s="79"/>
      <c r="S393" s="79"/>
      <c r="T393" s="79"/>
      <c r="W393" s="79"/>
      <c r="X393" s="79"/>
      <c r="AA393" s="130"/>
      <c r="AC393" s="106"/>
    </row>
    <row r="394">
      <c r="C394" s="79"/>
      <c r="D394" s="79"/>
      <c r="E394" s="79"/>
      <c r="N394" s="79"/>
      <c r="S394" s="79"/>
      <c r="T394" s="79"/>
      <c r="W394" s="79"/>
      <c r="X394" s="79"/>
      <c r="AA394" s="130"/>
      <c r="AC394" s="106"/>
    </row>
    <row r="395">
      <c r="C395" s="79"/>
      <c r="D395" s="79"/>
      <c r="E395" s="79"/>
      <c r="N395" s="79"/>
      <c r="S395" s="79"/>
      <c r="T395" s="79"/>
      <c r="W395" s="79"/>
      <c r="X395" s="79"/>
      <c r="AA395" s="130"/>
      <c r="AC395" s="106"/>
    </row>
    <row r="396">
      <c r="C396" s="79"/>
      <c r="D396" s="79"/>
      <c r="E396" s="79"/>
      <c r="N396" s="79"/>
      <c r="S396" s="79"/>
      <c r="T396" s="79"/>
      <c r="W396" s="79"/>
      <c r="X396" s="79"/>
      <c r="AA396" s="130"/>
      <c r="AC396" s="106"/>
    </row>
    <row r="397">
      <c r="C397" s="79"/>
      <c r="D397" s="79"/>
      <c r="E397" s="79"/>
      <c r="N397" s="79"/>
      <c r="S397" s="79"/>
      <c r="T397" s="79"/>
      <c r="W397" s="79"/>
      <c r="X397" s="79"/>
      <c r="AA397" s="130"/>
      <c r="AC397" s="106"/>
    </row>
    <row r="398">
      <c r="C398" s="79"/>
      <c r="D398" s="79"/>
      <c r="E398" s="79"/>
      <c r="N398" s="79"/>
      <c r="S398" s="79"/>
      <c r="T398" s="79"/>
      <c r="W398" s="79"/>
      <c r="X398" s="79"/>
      <c r="AA398" s="130"/>
      <c r="AC398" s="106"/>
    </row>
    <row r="399">
      <c r="C399" s="79"/>
      <c r="D399" s="79"/>
      <c r="E399" s="79"/>
      <c r="N399" s="79"/>
      <c r="S399" s="79"/>
      <c r="T399" s="79"/>
      <c r="W399" s="79"/>
      <c r="X399" s="79"/>
      <c r="AA399" s="130"/>
      <c r="AC399" s="106"/>
    </row>
    <row r="400">
      <c r="C400" s="79"/>
      <c r="D400" s="79"/>
      <c r="E400" s="79"/>
      <c r="N400" s="79"/>
      <c r="S400" s="79"/>
      <c r="T400" s="79"/>
      <c r="W400" s="79"/>
      <c r="X400" s="79"/>
      <c r="AA400" s="130"/>
      <c r="AC400" s="106"/>
    </row>
    <row r="401">
      <c r="C401" s="79"/>
      <c r="D401" s="79"/>
      <c r="E401" s="79"/>
      <c r="N401" s="79"/>
      <c r="S401" s="79"/>
      <c r="T401" s="79"/>
      <c r="W401" s="79"/>
      <c r="X401" s="79"/>
      <c r="AA401" s="130"/>
      <c r="AC401" s="106"/>
    </row>
    <row r="402">
      <c r="C402" s="79"/>
      <c r="D402" s="79"/>
      <c r="E402" s="79"/>
      <c r="N402" s="79"/>
      <c r="S402" s="79"/>
      <c r="T402" s="79"/>
      <c r="W402" s="79"/>
      <c r="X402" s="79"/>
      <c r="AA402" s="130"/>
      <c r="AC402" s="106"/>
    </row>
    <row r="403">
      <c r="C403" s="79"/>
      <c r="D403" s="79"/>
      <c r="E403" s="79"/>
      <c r="N403" s="79"/>
      <c r="S403" s="79"/>
      <c r="T403" s="79"/>
      <c r="W403" s="79"/>
      <c r="X403" s="79"/>
      <c r="AA403" s="130"/>
      <c r="AC403" s="106"/>
    </row>
    <row r="404">
      <c r="C404" s="79"/>
      <c r="D404" s="79"/>
      <c r="E404" s="79"/>
      <c r="N404" s="79"/>
      <c r="S404" s="79"/>
      <c r="T404" s="79"/>
      <c r="W404" s="79"/>
      <c r="X404" s="79"/>
      <c r="AA404" s="130"/>
      <c r="AC404" s="106"/>
    </row>
    <row r="405">
      <c r="C405" s="79"/>
      <c r="D405" s="79"/>
      <c r="E405" s="79"/>
      <c r="N405" s="79"/>
      <c r="S405" s="79"/>
      <c r="T405" s="79"/>
      <c r="W405" s="79"/>
      <c r="X405" s="79"/>
      <c r="AA405" s="130"/>
      <c r="AC405" s="106"/>
    </row>
    <row r="406">
      <c r="C406" s="79"/>
      <c r="D406" s="79"/>
      <c r="E406" s="79"/>
      <c r="N406" s="79"/>
      <c r="S406" s="79"/>
      <c r="T406" s="79"/>
      <c r="W406" s="79"/>
      <c r="X406" s="79"/>
      <c r="AA406" s="130"/>
      <c r="AC406" s="106"/>
    </row>
    <row r="407">
      <c r="C407" s="79"/>
      <c r="D407" s="79"/>
      <c r="E407" s="79"/>
      <c r="N407" s="79"/>
      <c r="S407" s="79"/>
      <c r="T407" s="79"/>
      <c r="W407" s="79"/>
      <c r="X407" s="79"/>
      <c r="AA407" s="130"/>
      <c r="AC407" s="106"/>
    </row>
    <row r="408">
      <c r="C408" s="79"/>
      <c r="D408" s="79"/>
      <c r="E408" s="79"/>
      <c r="N408" s="79"/>
      <c r="S408" s="79"/>
      <c r="T408" s="79"/>
      <c r="W408" s="79"/>
      <c r="X408" s="79"/>
      <c r="AA408" s="130"/>
      <c r="AC408" s="106"/>
    </row>
    <row r="409">
      <c r="C409" s="79"/>
      <c r="D409" s="79"/>
      <c r="E409" s="79"/>
      <c r="N409" s="79"/>
      <c r="S409" s="79"/>
      <c r="T409" s="79"/>
      <c r="W409" s="79"/>
      <c r="X409" s="79"/>
      <c r="AA409" s="130"/>
      <c r="AC409" s="106"/>
    </row>
    <row r="410">
      <c r="C410" s="79"/>
      <c r="D410" s="79"/>
      <c r="E410" s="79"/>
      <c r="N410" s="79"/>
      <c r="S410" s="79"/>
      <c r="T410" s="79"/>
      <c r="W410" s="79"/>
      <c r="X410" s="79"/>
      <c r="AA410" s="130"/>
      <c r="AC410" s="106"/>
    </row>
    <row r="411">
      <c r="C411" s="79"/>
      <c r="D411" s="79"/>
      <c r="E411" s="79"/>
      <c r="N411" s="79"/>
      <c r="S411" s="79"/>
      <c r="T411" s="79"/>
      <c r="W411" s="79"/>
      <c r="X411" s="79"/>
      <c r="AA411" s="130"/>
      <c r="AC411" s="106"/>
    </row>
    <row r="412">
      <c r="C412" s="79"/>
      <c r="D412" s="79"/>
      <c r="E412" s="79"/>
      <c r="N412" s="79"/>
      <c r="S412" s="79"/>
      <c r="T412" s="79"/>
      <c r="W412" s="79"/>
      <c r="X412" s="79"/>
      <c r="AA412" s="130"/>
      <c r="AC412" s="106"/>
    </row>
    <row r="413">
      <c r="C413" s="79"/>
      <c r="D413" s="79"/>
      <c r="E413" s="79"/>
      <c r="N413" s="79"/>
      <c r="S413" s="79"/>
      <c r="T413" s="79"/>
      <c r="W413" s="79"/>
      <c r="X413" s="79"/>
      <c r="AA413" s="130"/>
      <c r="AC413" s="106"/>
    </row>
    <row r="414">
      <c r="C414" s="79"/>
      <c r="D414" s="79"/>
      <c r="E414" s="79"/>
      <c r="N414" s="79"/>
      <c r="S414" s="79"/>
      <c r="T414" s="79"/>
      <c r="W414" s="79"/>
      <c r="X414" s="79"/>
      <c r="AA414" s="130"/>
      <c r="AC414" s="106"/>
    </row>
    <row r="415">
      <c r="C415" s="79"/>
      <c r="D415" s="79"/>
      <c r="E415" s="79"/>
      <c r="N415" s="79"/>
      <c r="S415" s="79"/>
      <c r="T415" s="79"/>
      <c r="W415" s="79"/>
      <c r="X415" s="79"/>
      <c r="AA415" s="130"/>
      <c r="AC415" s="106"/>
    </row>
    <row r="416">
      <c r="C416" s="79"/>
      <c r="D416" s="79"/>
      <c r="E416" s="79"/>
      <c r="N416" s="79"/>
      <c r="S416" s="79"/>
      <c r="T416" s="79"/>
      <c r="W416" s="79"/>
      <c r="X416" s="79"/>
      <c r="AA416" s="130"/>
      <c r="AC416" s="106"/>
    </row>
    <row r="417">
      <c r="C417" s="79"/>
      <c r="D417" s="79"/>
      <c r="E417" s="79"/>
      <c r="N417" s="79"/>
      <c r="S417" s="79"/>
      <c r="T417" s="79"/>
      <c r="W417" s="79"/>
      <c r="X417" s="79"/>
      <c r="AA417" s="130"/>
      <c r="AC417" s="106"/>
    </row>
    <row r="418">
      <c r="C418" s="79"/>
      <c r="D418" s="79"/>
      <c r="E418" s="79"/>
      <c r="N418" s="79"/>
      <c r="S418" s="79"/>
      <c r="T418" s="79"/>
      <c r="W418" s="79"/>
      <c r="X418" s="79"/>
      <c r="AA418" s="130"/>
      <c r="AC418" s="106"/>
    </row>
    <row r="419">
      <c r="C419" s="79"/>
      <c r="D419" s="79"/>
      <c r="E419" s="79"/>
      <c r="N419" s="79"/>
      <c r="S419" s="79"/>
      <c r="T419" s="79"/>
      <c r="W419" s="79"/>
      <c r="X419" s="79"/>
      <c r="AA419" s="130"/>
      <c r="AC419" s="106"/>
    </row>
    <row r="420">
      <c r="C420" s="79"/>
      <c r="D420" s="79"/>
      <c r="E420" s="79"/>
      <c r="N420" s="79"/>
      <c r="S420" s="79"/>
      <c r="T420" s="79"/>
      <c r="W420" s="79"/>
      <c r="X420" s="79"/>
      <c r="AA420" s="130"/>
      <c r="AC420" s="106"/>
    </row>
    <row r="421">
      <c r="C421" s="79"/>
      <c r="D421" s="79"/>
      <c r="E421" s="79"/>
      <c r="N421" s="79"/>
      <c r="S421" s="79"/>
      <c r="T421" s="79"/>
      <c r="W421" s="79"/>
      <c r="X421" s="79"/>
      <c r="AA421" s="130"/>
      <c r="AC421" s="106"/>
    </row>
    <row r="422">
      <c r="C422" s="79"/>
      <c r="D422" s="79"/>
      <c r="E422" s="79"/>
      <c r="N422" s="79"/>
      <c r="S422" s="79"/>
      <c r="T422" s="79"/>
      <c r="W422" s="79"/>
      <c r="X422" s="79"/>
      <c r="AA422" s="130"/>
      <c r="AC422" s="106"/>
    </row>
    <row r="423">
      <c r="C423" s="79"/>
      <c r="D423" s="79"/>
      <c r="E423" s="79"/>
      <c r="N423" s="79"/>
      <c r="S423" s="79"/>
      <c r="T423" s="79"/>
      <c r="W423" s="79"/>
      <c r="X423" s="79"/>
      <c r="AA423" s="130"/>
      <c r="AC423" s="106"/>
    </row>
    <row r="424">
      <c r="C424" s="79"/>
      <c r="D424" s="79"/>
      <c r="E424" s="79"/>
      <c r="N424" s="79"/>
      <c r="S424" s="79"/>
      <c r="T424" s="79"/>
      <c r="W424" s="79"/>
      <c r="X424" s="79"/>
      <c r="AA424" s="130"/>
      <c r="AC424" s="106"/>
    </row>
    <row r="425">
      <c r="C425" s="79"/>
      <c r="D425" s="79"/>
      <c r="E425" s="79"/>
      <c r="N425" s="79"/>
      <c r="S425" s="79"/>
      <c r="T425" s="79"/>
      <c r="W425" s="79"/>
      <c r="X425" s="79"/>
      <c r="AA425" s="130"/>
      <c r="AC425" s="106"/>
    </row>
    <row r="426">
      <c r="C426" s="79"/>
      <c r="D426" s="79"/>
      <c r="E426" s="79"/>
      <c r="N426" s="79"/>
      <c r="S426" s="79"/>
      <c r="T426" s="79"/>
      <c r="W426" s="79"/>
      <c r="X426" s="79"/>
      <c r="AA426" s="130"/>
      <c r="AC426" s="106"/>
    </row>
    <row r="427">
      <c r="C427" s="79"/>
      <c r="D427" s="79"/>
      <c r="E427" s="79"/>
      <c r="N427" s="79"/>
      <c r="S427" s="79"/>
      <c r="T427" s="79"/>
      <c r="W427" s="79"/>
      <c r="X427" s="79"/>
      <c r="AA427" s="130"/>
      <c r="AC427" s="106"/>
    </row>
    <row r="428">
      <c r="C428" s="79"/>
      <c r="D428" s="79"/>
      <c r="E428" s="79"/>
      <c r="N428" s="79"/>
      <c r="S428" s="79"/>
      <c r="T428" s="79"/>
      <c r="W428" s="79"/>
      <c r="X428" s="79"/>
      <c r="AA428" s="130"/>
      <c r="AC428" s="106"/>
    </row>
    <row r="429">
      <c r="C429" s="79"/>
      <c r="D429" s="79"/>
      <c r="E429" s="79"/>
      <c r="N429" s="79"/>
      <c r="S429" s="79"/>
      <c r="T429" s="79"/>
      <c r="W429" s="79"/>
      <c r="X429" s="79"/>
      <c r="AA429" s="130"/>
      <c r="AC429" s="106"/>
    </row>
    <row r="430">
      <c r="C430" s="79"/>
      <c r="D430" s="79"/>
      <c r="E430" s="79"/>
      <c r="N430" s="79"/>
      <c r="S430" s="79"/>
      <c r="T430" s="79"/>
      <c r="W430" s="79"/>
      <c r="X430" s="79"/>
      <c r="AA430" s="130"/>
      <c r="AC430" s="106"/>
    </row>
    <row r="431">
      <c r="C431" s="79"/>
      <c r="D431" s="79"/>
      <c r="E431" s="79"/>
      <c r="N431" s="79"/>
      <c r="S431" s="79"/>
      <c r="T431" s="79"/>
      <c r="W431" s="79"/>
      <c r="X431" s="79"/>
      <c r="AA431" s="130"/>
      <c r="AC431" s="106"/>
    </row>
    <row r="432">
      <c r="C432" s="79"/>
      <c r="D432" s="79"/>
      <c r="E432" s="79"/>
      <c r="N432" s="79"/>
      <c r="S432" s="79"/>
      <c r="T432" s="79"/>
      <c r="W432" s="79"/>
      <c r="X432" s="79"/>
      <c r="AA432" s="130"/>
      <c r="AC432" s="106"/>
    </row>
    <row r="433">
      <c r="C433" s="79"/>
      <c r="D433" s="79"/>
      <c r="E433" s="79"/>
      <c r="N433" s="79"/>
      <c r="S433" s="79"/>
      <c r="T433" s="79"/>
      <c r="W433" s="79"/>
      <c r="X433" s="79"/>
      <c r="AA433" s="130"/>
      <c r="AC433" s="106"/>
    </row>
    <row r="434">
      <c r="C434" s="79"/>
      <c r="D434" s="79"/>
      <c r="E434" s="79"/>
      <c r="N434" s="79"/>
      <c r="S434" s="79"/>
      <c r="T434" s="79"/>
      <c r="W434" s="79"/>
      <c r="X434" s="79"/>
      <c r="AA434" s="130"/>
      <c r="AC434" s="106"/>
    </row>
    <row r="435">
      <c r="C435" s="79"/>
      <c r="D435" s="79"/>
      <c r="E435" s="79"/>
      <c r="N435" s="79"/>
      <c r="S435" s="79"/>
      <c r="T435" s="79"/>
      <c r="W435" s="79"/>
      <c r="X435" s="79"/>
      <c r="AA435" s="130"/>
      <c r="AC435" s="106"/>
    </row>
    <row r="436">
      <c r="C436" s="79"/>
      <c r="D436" s="79"/>
      <c r="E436" s="79"/>
      <c r="N436" s="79"/>
      <c r="S436" s="79"/>
      <c r="T436" s="79"/>
      <c r="W436" s="79"/>
      <c r="X436" s="79"/>
      <c r="AA436" s="130"/>
      <c r="AC436" s="106"/>
    </row>
    <row r="437">
      <c r="C437" s="79"/>
      <c r="D437" s="79"/>
      <c r="E437" s="79"/>
      <c r="N437" s="79"/>
      <c r="S437" s="79"/>
      <c r="T437" s="79"/>
      <c r="W437" s="79"/>
      <c r="X437" s="79"/>
      <c r="AA437" s="130"/>
      <c r="AC437" s="106"/>
    </row>
    <row r="438">
      <c r="C438" s="79"/>
      <c r="D438" s="79"/>
      <c r="E438" s="79"/>
      <c r="N438" s="79"/>
      <c r="S438" s="79"/>
      <c r="T438" s="79"/>
      <c r="W438" s="79"/>
      <c r="X438" s="79"/>
      <c r="AA438" s="130"/>
      <c r="AC438" s="106"/>
    </row>
    <row r="439">
      <c r="C439" s="79"/>
      <c r="D439" s="79"/>
      <c r="E439" s="79"/>
      <c r="N439" s="79"/>
      <c r="S439" s="79"/>
      <c r="T439" s="79"/>
      <c r="W439" s="79"/>
      <c r="X439" s="79"/>
      <c r="AA439" s="130"/>
      <c r="AC439" s="106"/>
    </row>
    <row r="440">
      <c r="C440" s="79"/>
      <c r="D440" s="79"/>
      <c r="E440" s="79"/>
      <c r="N440" s="79"/>
      <c r="S440" s="79"/>
      <c r="T440" s="79"/>
      <c r="W440" s="79"/>
      <c r="X440" s="79"/>
      <c r="AA440" s="130"/>
      <c r="AC440" s="106"/>
    </row>
    <row r="441">
      <c r="C441" s="79"/>
      <c r="D441" s="79"/>
      <c r="E441" s="79"/>
      <c r="N441" s="79"/>
      <c r="S441" s="79"/>
      <c r="T441" s="79"/>
      <c r="W441" s="79"/>
      <c r="X441" s="79"/>
      <c r="AA441" s="130"/>
      <c r="AC441" s="106"/>
    </row>
    <row r="442">
      <c r="C442" s="79"/>
      <c r="D442" s="79"/>
      <c r="E442" s="79"/>
      <c r="N442" s="79"/>
      <c r="S442" s="79"/>
      <c r="T442" s="79"/>
      <c r="W442" s="79"/>
      <c r="X442" s="79"/>
      <c r="AA442" s="130"/>
      <c r="AC442" s="106"/>
    </row>
    <row r="443">
      <c r="C443" s="79"/>
      <c r="D443" s="79"/>
      <c r="E443" s="79"/>
      <c r="N443" s="79"/>
      <c r="S443" s="79"/>
      <c r="T443" s="79"/>
      <c r="W443" s="79"/>
      <c r="X443" s="79"/>
      <c r="AA443" s="130"/>
      <c r="AC443" s="106"/>
    </row>
    <row r="444">
      <c r="C444" s="79"/>
      <c r="D444" s="79"/>
      <c r="E444" s="79"/>
      <c r="N444" s="79"/>
      <c r="S444" s="79"/>
      <c r="T444" s="79"/>
      <c r="W444" s="79"/>
      <c r="X444" s="79"/>
      <c r="AA444" s="130"/>
      <c r="AC444" s="106"/>
    </row>
    <row r="445">
      <c r="C445" s="79"/>
      <c r="D445" s="79"/>
      <c r="E445" s="79"/>
      <c r="N445" s="79"/>
      <c r="S445" s="79"/>
      <c r="T445" s="79"/>
      <c r="W445" s="79"/>
      <c r="X445" s="79"/>
      <c r="AA445" s="130"/>
      <c r="AC445" s="106"/>
    </row>
    <row r="446">
      <c r="C446" s="79"/>
      <c r="D446" s="79"/>
      <c r="E446" s="79"/>
      <c r="N446" s="79"/>
      <c r="S446" s="79"/>
      <c r="T446" s="79"/>
      <c r="W446" s="79"/>
      <c r="X446" s="79"/>
      <c r="AA446" s="130"/>
      <c r="AC446" s="106"/>
    </row>
    <row r="447">
      <c r="C447" s="79"/>
      <c r="D447" s="79"/>
      <c r="E447" s="79"/>
      <c r="N447" s="79"/>
      <c r="S447" s="79"/>
      <c r="T447" s="79"/>
      <c r="W447" s="79"/>
      <c r="X447" s="79"/>
      <c r="AA447" s="130"/>
      <c r="AC447" s="106"/>
    </row>
    <row r="448">
      <c r="C448" s="79"/>
      <c r="D448" s="79"/>
      <c r="E448" s="79"/>
      <c r="N448" s="79"/>
      <c r="S448" s="79"/>
      <c r="T448" s="79"/>
      <c r="W448" s="79"/>
      <c r="X448" s="79"/>
      <c r="AA448" s="130"/>
      <c r="AC448" s="106"/>
    </row>
    <row r="449">
      <c r="C449" s="79"/>
      <c r="D449" s="79"/>
      <c r="E449" s="79"/>
      <c r="N449" s="79"/>
      <c r="S449" s="79"/>
      <c r="T449" s="79"/>
      <c r="W449" s="79"/>
      <c r="X449" s="79"/>
      <c r="AA449" s="130"/>
      <c r="AC449" s="106"/>
    </row>
    <row r="450">
      <c r="C450" s="79"/>
      <c r="D450" s="79"/>
      <c r="E450" s="79"/>
      <c r="N450" s="79"/>
      <c r="S450" s="79"/>
      <c r="T450" s="79"/>
      <c r="W450" s="79"/>
      <c r="X450" s="79"/>
      <c r="AA450" s="130"/>
      <c r="AC450" s="106"/>
    </row>
    <row r="451">
      <c r="C451" s="79"/>
      <c r="D451" s="79"/>
      <c r="E451" s="79"/>
      <c r="N451" s="79"/>
      <c r="S451" s="79"/>
      <c r="T451" s="79"/>
      <c r="W451" s="79"/>
      <c r="X451" s="79"/>
      <c r="AA451" s="130"/>
      <c r="AC451" s="106"/>
    </row>
    <row r="452">
      <c r="C452" s="79"/>
      <c r="D452" s="79"/>
      <c r="E452" s="79"/>
      <c r="N452" s="79"/>
      <c r="S452" s="79"/>
      <c r="T452" s="79"/>
      <c r="W452" s="79"/>
      <c r="X452" s="79"/>
      <c r="AA452" s="130"/>
      <c r="AC452" s="106"/>
    </row>
    <row r="453">
      <c r="C453" s="79"/>
      <c r="D453" s="79"/>
      <c r="E453" s="79"/>
      <c r="N453" s="79"/>
      <c r="S453" s="79"/>
      <c r="T453" s="79"/>
      <c r="W453" s="79"/>
      <c r="X453" s="79"/>
      <c r="AA453" s="130"/>
      <c r="AC453" s="106"/>
    </row>
    <row r="454">
      <c r="C454" s="79"/>
      <c r="D454" s="79"/>
      <c r="E454" s="79"/>
      <c r="N454" s="79"/>
      <c r="S454" s="79"/>
      <c r="T454" s="79"/>
      <c r="W454" s="79"/>
      <c r="X454" s="79"/>
      <c r="AA454" s="130"/>
      <c r="AC454" s="106"/>
    </row>
    <row r="455">
      <c r="C455" s="79"/>
      <c r="D455" s="79"/>
      <c r="E455" s="79"/>
      <c r="N455" s="79"/>
      <c r="S455" s="79"/>
      <c r="T455" s="79"/>
      <c r="W455" s="79"/>
      <c r="X455" s="79"/>
      <c r="AA455" s="130"/>
      <c r="AC455" s="106"/>
    </row>
    <row r="456">
      <c r="C456" s="79"/>
      <c r="D456" s="79"/>
      <c r="E456" s="79"/>
      <c r="N456" s="79"/>
      <c r="S456" s="79"/>
      <c r="T456" s="79"/>
      <c r="W456" s="79"/>
      <c r="X456" s="79"/>
      <c r="AA456" s="130"/>
      <c r="AC456" s="106"/>
    </row>
    <row r="457">
      <c r="C457" s="79"/>
      <c r="D457" s="79"/>
      <c r="E457" s="79"/>
      <c r="N457" s="79"/>
      <c r="S457" s="79"/>
      <c r="T457" s="79"/>
      <c r="W457" s="79"/>
      <c r="X457" s="79"/>
      <c r="AA457" s="130"/>
      <c r="AC457" s="106"/>
    </row>
    <row r="458">
      <c r="C458" s="79"/>
      <c r="D458" s="79"/>
      <c r="E458" s="79"/>
      <c r="N458" s="79"/>
      <c r="S458" s="79"/>
      <c r="T458" s="79"/>
      <c r="W458" s="79"/>
      <c r="X458" s="79"/>
      <c r="AA458" s="130"/>
      <c r="AC458" s="106"/>
    </row>
    <row r="459">
      <c r="C459" s="79"/>
      <c r="D459" s="79"/>
      <c r="E459" s="79"/>
      <c r="N459" s="79"/>
      <c r="S459" s="79"/>
      <c r="T459" s="79"/>
      <c r="W459" s="79"/>
      <c r="X459" s="79"/>
      <c r="AA459" s="130"/>
      <c r="AC459" s="106"/>
    </row>
    <row r="460">
      <c r="C460" s="79"/>
      <c r="D460" s="79"/>
      <c r="E460" s="79"/>
      <c r="N460" s="79"/>
      <c r="S460" s="79"/>
      <c r="T460" s="79"/>
      <c r="W460" s="79"/>
      <c r="X460" s="79"/>
      <c r="AA460" s="130"/>
      <c r="AC460" s="106"/>
    </row>
    <row r="461">
      <c r="C461" s="79"/>
      <c r="D461" s="79"/>
      <c r="E461" s="79"/>
      <c r="N461" s="79"/>
      <c r="S461" s="79"/>
      <c r="T461" s="79"/>
      <c r="W461" s="79"/>
      <c r="X461" s="79"/>
      <c r="AA461" s="130"/>
      <c r="AC461" s="106"/>
    </row>
    <row r="462">
      <c r="C462" s="79"/>
      <c r="D462" s="79"/>
      <c r="E462" s="79"/>
      <c r="N462" s="79"/>
      <c r="S462" s="79"/>
      <c r="T462" s="79"/>
      <c r="W462" s="79"/>
      <c r="X462" s="79"/>
      <c r="AA462" s="130"/>
      <c r="AC462" s="106"/>
    </row>
    <row r="463">
      <c r="C463" s="79"/>
      <c r="D463" s="79"/>
      <c r="E463" s="79"/>
      <c r="N463" s="79"/>
      <c r="S463" s="79"/>
      <c r="T463" s="79"/>
      <c r="W463" s="79"/>
      <c r="X463" s="79"/>
      <c r="AA463" s="130"/>
      <c r="AC463" s="106"/>
    </row>
    <row r="464">
      <c r="C464" s="79"/>
      <c r="D464" s="79"/>
      <c r="E464" s="79"/>
      <c r="N464" s="79"/>
      <c r="S464" s="79"/>
      <c r="T464" s="79"/>
      <c r="W464" s="79"/>
      <c r="X464" s="79"/>
      <c r="AA464" s="130"/>
      <c r="AC464" s="106"/>
    </row>
    <row r="465">
      <c r="C465" s="79"/>
      <c r="D465" s="79"/>
      <c r="E465" s="79"/>
      <c r="N465" s="79"/>
      <c r="S465" s="79"/>
      <c r="T465" s="79"/>
      <c r="W465" s="79"/>
      <c r="X465" s="79"/>
      <c r="AA465" s="130"/>
      <c r="AC465" s="106"/>
    </row>
    <row r="466">
      <c r="C466" s="79"/>
      <c r="D466" s="79"/>
      <c r="E466" s="79"/>
      <c r="N466" s="79"/>
      <c r="S466" s="79"/>
      <c r="T466" s="79"/>
      <c r="W466" s="79"/>
      <c r="X466" s="79"/>
      <c r="AA466" s="130"/>
      <c r="AC466" s="106"/>
    </row>
    <row r="467">
      <c r="C467" s="79"/>
      <c r="D467" s="79"/>
      <c r="E467" s="79"/>
      <c r="N467" s="79"/>
      <c r="S467" s="79"/>
      <c r="T467" s="79"/>
      <c r="W467" s="79"/>
      <c r="X467" s="79"/>
      <c r="AA467" s="130"/>
      <c r="AC467" s="106"/>
    </row>
    <row r="468">
      <c r="C468" s="79"/>
      <c r="D468" s="79"/>
      <c r="E468" s="79"/>
      <c r="N468" s="79"/>
      <c r="S468" s="79"/>
      <c r="T468" s="79"/>
      <c r="W468" s="79"/>
      <c r="X468" s="79"/>
      <c r="AA468" s="130"/>
      <c r="AC468" s="106"/>
    </row>
    <row r="469">
      <c r="C469" s="79"/>
      <c r="D469" s="79"/>
      <c r="E469" s="79"/>
      <c r="N469" s="79"/>
      <c r="S469" s="79"/>
      <c r="T469" s="79"/>
      <c r="W469" s="79"/>
      <c r="X469" s="79"/>
      <c r="AA469" s="130"/>
      <c r="AC469" s="106"/>
    </row>
    <row r="470">
      <c r="C470" s="79"/>
      <c r="D470" s="79"/>
      <c r="E470" s="79"/>
      <c r="N470" s="79"/>
      <c r="S470" s="79"/>
      <c r="T470" s="79"/>
      <c r="W470" s="79"/>
      <c r="X470" s="79"/>
      <c r="AA470" s="130"/>
      <c r="AC470" s="106"/>
    </row>
    <row r="471">
      <c r="C471" s="79"/>
      <c r="D471" s="79"/>
      <c r="E471" s="79"/>
      <c r="N471" s="79"/>
      <c r="S471" s="79"/>
      <c r="T471" s="79"/>
      <c r="W471" s="79"/>
      <c r="X471" s="79"/>
      <c r="AA471" s="130"/>
      <c r="AC471" s="106"/>
    </row>
    <row r="472">
      <c r="C472" s="79"/>
      <c r="D472" s="79"/>
      <c r="E472" s="79"/>
      <c r="N472" s="79"/>
      <c r="S472" s="79"/>
      <c r="T472" s="79"/>
      <c r="W472" s="79"/>
      <c r="X472" s="79"/>
      <c r="AA472" s="130"/>
      <c r="AC472" s="106"/>
    </row>
    <row r="473">
      <c r="C473" s="79"/>
      <c r="D473" s="79"/>
      <c r="E473" s="79"/>
      <c r="N473" s="79"/>
      <c r="S473" s="79"/>
      <c r="T473" s="79"/>
      <c r="W473" s="79"/>
      <c r="X473" s="79"/>
      <c r="AA473" s="130"/>
      <c r="AC473" s="106"/>
    </row>
    <row r="474">
      <c r="C474" s="79"/>
      <c r="D474" s="79"/>
      <c r="E474" s="79"/>
      <c r="N474" s="79"/>
      <c r="S474" s="79"/>
      <c r="T474" s="79"/>
      <c r="W474" s="79"/>
      <c r="X474" s="79"/>
      <c r="AA474" s="130"/>
      <c r="AC474" s="106"/>
    </row>
    <row r="475">
      <c r="C475" s="79"/>
      <c r="D475" s="79"/>
      <c r="E475" s="79"/>
      <c r="N475" s="79"/>
      <c r="S475" s="79"/>
      <c r="T475" s="79"/>
      <c r="W475" s="79"/>
      <c r="X475" s="79"/>
      <c r="AA475" s="130"/>
      <c r="AC475" s="106"/>
    </row>
    <row r="476">
      <c r="C476" s="79"/>
      <c r="D476" s="79"/>
      <c r="E476" s="79"/>
      <c r="N476" s="79"/>
      <c r="S476" s="79"/>
      <c r="T476" s="79"/>
      <c r="W476" s="79"/>
      <c r="X476" s="79"/>
      <c r="AA476" s="130"/>
      <c r="AC476" s="106"/>
    </row>
    <row r="477">
      <c r="C477" s="79"/>
      <c r="D477" s="79"/>
      <c r="E477" s="79"/>
      <c r="N477" s="79"/>
      <c r="S477" s="79"/>
      <c r="T477" s="79"/>
      <c r="W477" s="79"/>
      <c r="X477" s="79"/>
      <c r="AA477" s="130"/>
      <c r="AC477" s="106"/>
    </row>
    <row r="478">
      <c r="C478" s="79"/>
      <c r="D478" s="79"/>
      <c r="E478" s="79"/>
      <c r="N478" s="79"/>
      <c r="S478" s="79"/>
      <c r="T478" s="79"/>
      <c r="W478" s="79"/>
      <c r="X478" s="79"/>
      <c r="AA478" s="130"/>
      <c r="AC478" s="106"/>
    </row>
    <row r="479">
      <c r="C479" s="79"/>
      <c r="D479" s="79"/>
      <c r="E479" s="79"/>
      <c r="N479" s="79"/>
      <c r="S479" s="79"/>
      <c r="T479" s="79"/>
      <c r="W479" s="79"/>
      <c r="X479" s="79"/>
      <c r="AA479" s="130"/>
      <c r="AC479" s="106"/>
    </row>
    <row r="480">
      <c r="C480" s="79"/>
      <c r="D480" s="79"/>
      <c r="E480" s="79"/>
      <c r="N480" s="79"/>
      <c r="S480" s="79"/>
      <c r="T480" s="79"/>
      <c r="W480" s="79"/>
      <c r="X480" s="79"/>
      <c r="AA480" s="130"/>
      <c r="AC480" s="106"/>
    </row>
    <row r="481">
      <c r="C481" s="79"/>
      <c r="D481" s="79"/>
      <c r="E481" s="79"/>
      <c r="N481" s="79"/>
      <c r="S481" s="79"/>
      <c r="T481" s="79"/>
      <c r="W481" s="79"/>
      <c r="X481" s="79"/>
      <c r="AA481" s="130"/>
      <c r="AC481" s="106"/>
    </row>
    <row r="482">
      <c r="C482" s="79"/>
      <c r="D482" s="79"/>
      <c r="E482" s="79"/>
      <c r="N482" s="79"/>
      <c r="S482" s="79"/>
      <c r="T482" s="79"/>
      <c r="W482" s="79"/>
      <c r="X482" s="79"/>
      <c r="AA482" s="130"/>
      <c r="AC482" s="106"/>
    </row>
    <row r="483">
      <c r="C483" s="79"/>
      <c r="D483" s="79"/>
      <c r="E483" s="79"/>
      <c r="N483" s="79"/>
      <c r="S483" s="79"/>
      <c r="T483" s="79"/>
      <c r="W483" s="79"/>
      <c r="X483" s="79"/>
      <c r="AA483" s="130"/>
      <c r="AC483" s="106"/>
    </row>
    <row r="484">
      <c r="C484" s="79"/>
      <c r="D484" s="79"/>
      <c r="E484" s="79"/>
      <c r="N484" s="79"/>
      <c r="S484" s="79"/>
      <c r="T484" s="79"/>
      <c r="W484" s="79"/>
      <c r="X484" s="79"/>
      <c r="AA484" s="130"/>
      <c r="AC484" s="106"/>
    </row>
    <row r="485">
      <c r="C485" s="79"/>
      <c r="D485" s="79"/>
      <c r="E485" s="79"/>
      <c r="N485" s="79"/>
      <c r="S485" s="79"/>
      <c r="T485" s="79"/>
      <c r="W485" s="79"/>
      <c r="X485" s="79"/>
      <c r="AA485" s="130"/>
      <c r="AC485" s="106"/>
    </row>
    <row r="486">
      <c r="C486" s="79"/>
      <c r="D486" s="79"/>
      <c r="E486" s="79"/>
      <c r="N486" s="79"/>
      <c r="S486" s="79"/>
      <c r="T486" s="79"/>
      <c r="W486" s="79"/>
      <c r="X486" s="79"/>
      <c r="AA486" s="130"/>
      <c r="AC486" s="106"/>
    </row>
    <row r="487">
      <c r="C487" s="79"/>
      <c r="D487" s="79"/>
      <c r="E487" s="79"/>
      <c r="N487" s="79"/>
      <c r="S487" s="79"/>
      <c r="T487" s="79"/>
      <c r="W487" s="79"/>
      <c r="X487" s="79"/>
      <c r="AA487" s="130"/>
      <c r="AC487" s="106"/>
    </row>
    <row r="488">
      <c r="C488" s="79"/>
      <c r="D488" s="79"/>
      <c r="E488" s="79"/>
      <c r="N488" s="79"/>
      <c r="S488" s="79"/>
      <c r="T488" s="79"/>
      <c r="W488" s="79"/>
      <c r="X488" s="79"/>
      <c r="AA488" s="130"/>
      <c r="AC488" s="106"/>
    </row>
    <row r="489">
      <c r="C489" s="79"/>
      <c r="D489" s="79"/>
      <c r="E489" s="79"/>
      <c r="N489" s="79"/>
      <c r="S489" s="79"/>
      <c r="T489" s="79"/>
      <c r="W489" s="79"/>
      <c r="X489" s="79"/>
      <c r="AA489" s="130"/>
      <c r="AC489" s="106"/>
    </row>
    <row r="490">
      <c r="C490" s="79"/>
      <c r="D490" s="79"/>
      <c r="E490" s="79"/>
      <c r="N490" s="79"/>
      <c r="S490" s="79"/>
      <c r="T490" s="79"/>
      <c r="W490" s="79"/>
      <c r="X490" s="79"/>
      <c r="AA490" s="130"/>
      <c r="AC490" s="106"/>
    </row>
    <row r="491">
      <c r="C491" s="79"/>
      <c r="D491" s="79"/>
      <c r="E491" s="79"/>
      <c r="N491" s="79"/>
      <c r="S491" s="79"/>
      <c r="T491" s="79"/>
      <c r="W491" s="79"/>
      <c r="X491" s="79"/>
      <c r="AA491" s="130"/>
      <c r="AC491" s="106"/>
    </row>
    <row r="492">
      <c r="C492" s="79"/>
      <c r="D492" s="79"/>
      <c r="E492" s="79"/>
      <c r="N492" s="79"/>
      <c r="S492" s="79"/>
      <c r="T492" s="79"/>
      <c r="W492" s="79"/>
      <c r="X492" s="79"/>
      <c r="AA492" s="130"/>
      <c r="AC492" s="106"/>
    </row>
    <row r="493">
      <c r="C493" s="79"/>
      <c r="D493" s="79"/>
      <c r="E493" s="79"/>
      <c r="N493" s="79"/>
      <c r="S493" s="79"/>
      <c r="T493" s="79"/>
      <c r="W493" s="79"/>
      <c r="X493" s="79"/>
      <c r="AA493" s="130"/>
      <c r="AC493" s="106"/>
    </row>
    <row r="494">
      <c r="C494" s="79"/>
      <c r="D494" s="79"/>
      <c r="E494" s="79"/>
      <c r="N494" s="79"/>
      <c r="S494" s="79"/>
      <c r="T494" s="79"/>
      <c r="W494" s="79"/>
      <c r="X494" s="79"/>
      <c r="AA494" s="130"/>
      <c r="AC494" s="106"/>
    </row>
    <row r="495">
      <c r="C495" s="79"/>
      <c r="D495" s="79"/>
      <c r="E495" s="79"/>
      <c r="N495" s="79"/>
      <c r="S495" s="79"/>
      <c r="T495" s="79"/>
      <c r="W495" s="79"/>
      <c r="X495" s="79"/>
      <c r="AA495" s="130"/>
      <c r="AC495" s="106"/>
    </row>
    <row r="496">
      <c r="C496" s="79"/>
      <c r="D496" s="79"/>
      <c r="E496" s="79"/>
      <c r="N496" s="79"/>
      <c r="S496" s="79"/>
      <c r="T496" s="79"/>
      <c r="W496" s="79"/>
      <c r="X496" s="79"/>
      <c r="AA496" s="130"/>
      <c r="AC496" s="106"/>
    </row>
    <row r="497">
      <c r="C497" s="79"/>
      <c r="D497" s="79"/>
      <c r="E497" s="79"/>
      <c r="N497" s="79"/>
      <c r="S497" s="79"/>
      <c r="T497" s="79"/>
      <c r="W497" s="79"/>
      <c r="X497" s="79"/>
      <c r="AA497" s="130"/>
      <c r="AC497" s="106"/>
    </row>
    <row r="498">
      <c r="C498" s="79"/>
      <c r="D498" s="79"/>
      <c r="E498" s="79"/>
      <c r="N498" s="79"/>
      <c r="S498" s="79"/>
      <c r="T498" s="79"/>
      <c r="W498" s="79"/>
      <c r="X498" s="79"/>
      <c r="AA498" s="130"/>
      <c r="AC498" s="106"/>
    </row>
    <row r="499">
      <c r="C499" s="79"/>
      <c r="D499" s="79"/>
      <c r="E499" s="79"/>
      <c r="N499" s="79"/>
      <c r="S499" s="79"/>
      <c r="T499" s="79"/>
      <c r="W499" s="79"/>
      <c r="X499" s="79"/>
      <c r="AA499" s="130"/>
      <c r="AC499" s="106"/>
    </row>
    <row r="500">
      <c r="C500" s="79"/>
      <c r="D500" s="79"/>
      <c r="E500" s="79"/>
      <c r="N500" s="79"/>
      <c r="S500" s="79"/>
      <c r="T500" s="79"/>
      <c r="W500" s="79"/>
      <c r="X500" s="79"/>
      <c r="AA500" s="130"/>
      <c r="AC500" s="106"/>
    </row>
    <row r="501">
      <c r="C501" s="79"/>
      <c r="D501" s="79"/>
      <c r="E501" s="79"/>
      <c r="N501" s="79"/>
      <c r="S501" s="79"/>
      <c r="T501" s="79"/>
      <c r="W501" s="79"/>
      <c r="X501" s="79"/>
      <c r="AA501" s="130"/>
      <c r="AC501" s="106"/>
    </row>
    <row r="502">
      <c r="C502" s="79"/>
      <c r="D502" s="79"/>
      <c r="E502" s="79"/>
      <c r="N502" s="79"/>
      <c r="S502" s="79"/>
      <c r="T502" s="79"/>
      <c r="W502" s="79"/>
      <c r="X502" s="79"/>
      <c r="AA502" s="130"/>
      <c r="AC502" s="106"/>
    </row>
    <row r="503">
      <c r="C503" s="79"/>
      <c r="D503" s="79"/>
      <c r="E503" s="79"/>
      <c r="N503" s="79"/>
      <c r="S503" s="79"/>
      <c r="T503" s="79"/>
      <c r="W503" s="79"/>
      <c r="X503" s="79"/>
      <c r="AA503" s="130"/>
      <c r="AC503" s="106"/>
    </row>
    <row r="504">
      <c r="C504" s="79"/>
      <c r="D504" s="79"/>
      <c r="E504" s="79"/>
      <c r="N504" s="79"/>
      <c r="S504" s="79"/>
      <c r="T504" s="79"/>
      <c r="W504" s="79"/>
      <c r="X504" s="79"/>
      <c r="AA504" s="130"/>
      <c r="AC504" s="106"/>
    </row>
    <row r="505">
      <c r="C505" s="79"/>
      <c r="D505" s="79"/>
      <c r="E505" s="79"/>
      <c r="N505" s="79"/>
      <c r="S505" s="79"/>
      <c r="T505" s="79"/>
      <c r="W505" s="79"/>
      <c r="X505" s="79"/>
      <c r="AA505" s="130"/>
      <c r="AC505" s="106"/>
    </row>
    <row r="506">
      <c r="C506" s="79"/>
      <c r="D506" s="79"/>
      <c r="E506" s="79"/>
      <c r="N506" s="79"/>
      <c r="S506" s="79"/>
      <c r="T506" s="79"/>
      <c r="W506" s="79"/>
      <c r="X506" s="79"/>
      <c r="AA506" s="130"/>
      <c r="AC506" s="106"/>
    </row>
    <row r="507">
      <c r="C507" s="79"/>
      <c r="D507" s="79"/>
      <c r="E507" s="79"/>
      <c r="N507" s="79"/>
      <c r="S507" s="79"/>
      <c r="T507" s="79"/>
      <c r="W507" s="79"/>
      <c r="X507" s="79"/>
      <c r="AA507" s="130"/>
      <c r="AC507" s="106"/>
    </row>
    <row r="508">
      <c r="C508" s="79"/>
      <c r="D508" s="79"/>
      <c r="E508" s="79"/>
      <c r="N508" s="79"/>
      <c r="S508" s="79"/>
      <c r="T508" s="79"/>
      <c r="W508" s="79"/>
      <c r="X508" s="79"/>
      <c r="AA508" s="130"/>
      <c r="AC508" s="106"/>
    </row>
    <row r="509">
      <c r="C509" s="79"/>
      <c r="D509" s="79"/>
      <c r="E509" s="79"/>
      <c r="N509" s="79"/>
      <c r="S509" s="79"/>
      <c r="T509" s="79"/>
      <c r="W509" s="79"/>
      <c r="X509" s="79"/>
      <c r="AA509" s="130"/>
      <c r="AC509" s="106"/>
    </row>
    <row r="510">
      <c r="C510" s="79"/>
      <c r="D510" s="79"/>
      <c r="E510" s="79"/>
      <c r="N510" s="79"/>
      <c r="S510" s="79"/>
      <c r="T510" s="79"/>
      <c r="W510" s="79"/>
      <c r="X510" s="79"/>
      <c r="AA510" s="130"/>
      <c r="AC510" s="106"/>
    </row>
    <row r="511">
      <c r="C511" s="79"/>
      <c r="D511" s="79"/>
      <c r="E511" s="79"/>
      <c r="N511" s="79"/>
      <c r="S511" s="79"/>
      <c r="T511" s="79"/>
      <c r="W511" s="79"/>
      <c r="X511" s="79"/>
      <c r="AA511" s="130"/>
      <c r="AC511" s="106"/>
    </row>
    <row r="512">
      <c r="C512" s="79"/>
      <c r="D512" s="79"/>
      <c r="E512" s="79"/>
      <c r="N512" s="79"/>
      <c r="S512" s="79"/>
      <c r="T512" s="79"/>
      <c r="W512" s="79"/>
      <c r="X512" s="79"/>
      <c r="AA512" s="130"/>
      <c r="AC512" s="106"/>
    </row>
    <row r="513">
      <c r="C513" s="79"/>
      <c r="D513" s="79"/>
      <c r="E513" s="79"/>
      <c r="N513" s="79"/>
      <c r="S513" s="79"/>
      <c r="T513" s="79"/>
      <c r="W513" s="79"/>
      <c r="X513" s="79"/>
      <c r="AA513" s="130"/>
      <c r="AC513" s="106"/>
    </row>
    <row r="514">
      <c r="C514" s="79"/>
      <c r="D514" s="79"/>
      <c r="E514" s="79"/>
      <c r="N514" s="79"/>
      <c r="S514" s="79"/>
      <c r="T514" s="79"/>
      <c r="W514" s="79"/>
      <c r="X514" s="79"/>
      <c r="AA514" s="130"/>
      <c r="AC514" s="106"/>
    </row>
    <row r="515">
      <c r="C515" s="79"/>
      <c r="D515" s="79"/>
      <c r="E515" s="79"/>
      <c r="N515" s="79"/>
      <c r="S515" s="79"/>
      <c r="T515" s="79"/>
      <c r="W515" s="79"/>
      <c r="X515" s="79"/>
      <c r="AA515" s="130"/>
      <c r="AC515" s="106"/>
    </row>
    <row r="516">
      <c r="C516" s="79"/>
      <c r="D516" s="79"/>
      <c r="E516" s="79"/>
      <c r="N516" s="79"/>
      <c r="S516" s="79"/>
      <c r="T516" s="79"/>
      <c r="W516" s="79"/>
      <c r="X516" s="79"/>
      <c r="AA516" s="130"/>
      <c r="AC516" s="106"/>
    </row>
    <row r="517">
      <c r="C517" s="79"/>
      <c r="D517" s="79"/>
      <c r="E517" s="79"/>
      <c r="N517" s="79"/>
      <c r="S517" s="79"/>
      <c r="T517" s="79"/>
      <c r="W517" s="79"/>
      <c r="X517" s="79"/>
      <c r="AA517" s="130"/>
      <c r="AC517" s="106"/>
    </row>
    <row r="518">
      <c r="C518" s="79"/>
      <c r="D518" s="79"/>
      <c r="E518" s="79"/>
      <c r="N518" s="79"/>
      <c r="S518" s="79"/>
      <c r="T518" s="79"/>
      <c r="W518" s="79"/>
      <c r="X518" s="79"/>
      <c r="AA518" s="130"/>
      <c r="AC518" s="106"/>
    </row>
    <row r="519">
      <c r="C519" s="79"/>
      <c r="D519" s="79"/>
      <c r="E519" s="79"/>
      <c r="N519" s="79"/>
      <c r="S519" s="79"/>
      <c r="T519" s="79"/>
      <c r="W519" s="79"/>
      <c r="X519" s="79"/>
      <c r="AA519" s="130"/>
      <c r="AC519" s="106"/>
    </row>
    <row r="520">
      <c r="C520" s="79"/>
      <c r="D520" s="79"/>
      <c r="E520" s="79"/>
      <c r="N520" s="79"/>
      <c r="S520" s="79"/>
      <c r="T520" s="79"/>
      <c r="W520" s="79"/>
      <c r="X520" s="79"/>
      <c r="AA520" s="130"/>
      <c r="AC520" s="106"/>
    </row>
    <row r="521">
      <c r="C521" s="79"/>
      <c r="D521" s="79"/>
      <c r="E521" s="79"/>
      <c r="N521" s="79"/>
      <c r="S521" s="79"/>
      <c r="T521" s="79"/>
      <c r="W521" s="79"/>
      <c r="X521" s="79"/>
      <c r="AA521" s="130"/>
      <c r="AC521" s="106"/>
    </row>
    <row r="522">
      <c r="C522" s="79"/>
      <c r="D522" s="79"/>
      <c r="E522" s="79"/>
      <c r="N522" s="79"/>
      <c r="S522" s="79"/>
      <c r="T522" s="79"/>
      <c r="W522" s="79"/>
      <c r="X522" s="79"/>
      <c r="AA522" s="130"/>
      <c r="AC522" s="106"/>
    </row>
    <row r="523">
      <c r="C523" s="79"/>
      <c r="D523" s="79"/>
      <c r="E523" s="79"/>
      <c r="N523" s="79"/>
      <c r="S523" s="79"/>
      <c r="T523" s="79"/>
      <c r="W523" s="79"/>
      <c r="X523" s="79"/>
      <c r="AA523" s="130"/>
      <c r="AC523" s="106"/>
    </row>
    <row r="524">
      <c r="C524" s="79"/>
      <c r="D524" s="79"/>
      <c r="E524" s="79"/>
      <c r="N524" s="79"/>
      <c r="S524" s="79"/>
      <c r="T524" s="79"/>
      <c r="W524" s="79"/>
      <c r="X524" s="79"/>
      <c r="AA524" s="130"/>
      <c r="AC524" s="106"/>
    </row>
    <row r="525">
      <c r="C525" s="79"/>
      <c r="D525" s="79"/>
      <c r="E525" s="79"/>
      <c r="N525" s="79"/>
      <c r="S525" s="79"/>
      <c r="T525" s="79"/>
      <c r="W525" s="79"/>
      <c r="X525" s="79"/>
      <c r="AA525" s="130"/>
      <c r="AC525" s="106"/>
    </row>
    <row r="526">
      <c r="C526" s="79"/>
      <c r="D526" s="79"/>
      <c r="E526" s="79"/>
      <c r="N526" s="79"/>
      <c r="S526" s="79"/>
      <c r="T526" s="79"/>
      <c r="W526" s="79"/>
      <c r="X526" s="79"/>
      <c r="AA526" s="130"/>
      <c r="AC526" s="106"/>
    </row>
    <row r="527">
      <c r="C527" s="79"/>
      <c r="D527" s="79"/>
      <c r="E527" s="79"/>
      <c r="N527" s="79"/>
      <c r="S527" s="79"/>
      <c r="T527" s="79"/>
      <c r="W527" s="79"/>
      <c r="X527" s="79"/>
      <c r="AA527" s="130"/>
      <c r="AC527" s="106"/>
    </row>
    <row r="528">
      <c r="C528" s="79"/>
      <c r="D528" s="79"/>
      <c r="E528" s="79"/>
      <c r="N528" s="79"/>
      <c r="S528" s="79"/>
      <c r="T528" s="79"/>
      <c r="W528" s="79"/>
      <c r="X528" s="79"/>
      <c r="AA528" s="130"/>
      <c r="AC528" s="106"/>
    </row>
    <row r="529">
      <c r="C529" s="79"/>
      <c r="D529" s="79"/>
      <c r="E529" s="79"/>
      <c r="N529" s="79"/>
      <c r="S529" s="79"/>
      <c r="T529" s="79"/>
      <c r="W529" s="79"/>
      <c r="X529" s="79"/>
      <c r="AA529" s="130"/>
      <c r="AC529" s="106"/>
    </row>
    <row r="530">
      <c r="C530" s="79"/>
      <c r="D530" s="79"/>
      <c r="E530" s="79"/>
      <c r="N530" s="79"/>
      <c r="S530" s="79"/>
      <c r="T530" s="79"/>
      <c r="W530" s="79"/>
      <c r="X530" s="79"/>
      <c r="AA530" s="130"/>
      <c r="AC530" s="106"/>
    </row>
    <row r="531">
      <c r="C531" s="79"/>
      <c r="D531" s="79"/>
      <c r="E531" s="79"/>
      <c r="N531" s="79"/>
      <c r="S531" s="79"/>
      <c r="T531" s="79"/>
      <c r="W531" s="79"/>
      <c r="X531" s="79"/>
      <c r="AA531" s="130"/>
      <c r="AC531" s="106"/>
    </row>
    <row r="532">
      <c r="C532" s="79"/>
      <c r="D532" s="79"/>
      <c r="E532" s="79"/>
      <c r="N532" s="79"/>
      <c r="S532" s="79"/>
      <c r="T532" s="79"/>
      <c r="W532" s="79"/>
      <c r="X532" s="79"/>
      <c r="AA532" s="130"/>
      <c r="AC532" s="106"/>
    </row>
    <row r="533">
      <c r="C533" s="79"/>
      <c r="D533" s="79"/>
      <c r="E533" s="79"/>
      <c r="N533" s="79"/>
      <c r="S533" s="79"/>
      <c r="T533" s="79"/>
      <c r="W533" s="79"/>
      <c r="X533" s="79"/>
      <c r="AA533" s="130"/>
      <c r="AC533" s="106"/>
    </row>
    <row r="534">
      <c r="C534" s="79"/>
      <c r="D534" s="79"/>
      <c r="E534" s="79"/>
      <c r="N534" s="79"/>
      <c r="S534" s="79"/>
      <c r="T534" s="79"/>
      <c r="W534" s="79"/>
      <c r="X534" s="79"/>
      <c r="AA534" s="130"/>
      <c r="AC534" s="106"/>
    </row>
    <row r="535">
      <c r="C535" s="79"/>
      <c r="D535" s="79"/>
      <c r="E535" s="79"/>
      <c r="N535" s="79"/>
      <c r="S535" s="79"/>
      <c r="T535" s="79"/>
      <c r="W535" s="79"/>
      <c r="X535" s="79"/>
      <c r="AA535" s="130"/>
      <c r="AC535" s="106"/>
    </row>
    <row r="536">
      <c r="C536" s="79"/>
      <c r="D536" s="79"/>
      <c r="E536" s="79"/>
      <c r="N536" s="79"/>
      <c r="S536" s="79"/>
      <c r="T536" s="79"/>
      <c r="W536" s="79"/>
      <c r="X536" s="79"/>
      <c r="AA536" s="130"/>
      <c r="AC536" s="106"/>
    </row>
    <row r="537">
      <c r="C537" s="79"/>
      <c r="D537" s="79"/>
      <c r="E537" s="79"/>
      <c r="N537" s="79"/>
      <c r="S537" s="79"/>
      <c r="T537" s="79"/>
      <c r="W537" s="79"/>
      <c r="X537" s="79"/>
      <c r="AA537" s="130"/>
      <c r="AC537" s="106"/>
    </row>
    <row r="538">
      <c r="C538" s="79"/>
      <c r="D538" s="79"/>
      <c r="E538" s="79"/>
      <c r="N538" s="79"/>
      <c r="S538" s="79"/>
      <c r="T538" s="79"/>
      <c r="W538" s="79"/>
      <c r="X538" s="79"/>
      <c r="AA538" s="130"/>
      <c r="AC538" s="106"/>
    </row>
    <row r="539">
      <c r="C539" s="79"/>
      <c r="D539" s="79"/>
      <c r="E539" s="79"/>
      <c r="N539" s="79"/>
      <c r="S539" s="79"/>
      <c r="T539" s="79"/>
      <c r="W539" s="79"/>
      <c r="X539" s="79"/>
      <c r="AA539" s="130"/>
      <c r="AC539" s="106"/>
    </row>
    <row r="540">
      <c r="C540" s="79"/>
      <c r="D540" s="79"/>
      <c r="E540" s="79"/>
      <c r="N540" s="79"/>
      <c r="S540" s="79"/>
      <c r="T540" s="79"/>
      <c r="W540" s="79"/>
      <c r="X540" s="79"/>
      <c r="AA540" s="130"/>
      <c r="AC540" s="106"/>
    </row>
    <row r="541">
      <c r="C541" s="79"/>
      <c r="D541" s="79"/>
      <c r="E541" s="79"/>
      <c r="N541" s="79"/>
      <c r="S541" s="79"/>
      <c r="T541" s="79"/>
      <c r="W541" s="79"/>
      <c r="X541" s="79"/>
      <c r="AA541" s="130"/>
      <c r="AC541" s="106"/>
    </row>
    <row r="542">
      <c r="C542" s="79"/>
      <c r="D542" s="79"/>
      <c r="E542" s="79"/>
      <c r="N542" s="79"/>
      <c r="S542" s="79"/>
      <c r="T542" s="79"/>
      <c r="W542" s="79"/>
      <c r="X542" s="79"/>
      <c r="AA542" s="130"/>
      <c r="AC542" s="106"/>
    </row>
    <row r="543">
      <c r="C543" s="79"/>
      <c r="D543" s="79"/>
      <c r="E543" s="79"/>
      <c r="N543" s="79"/>
      <c r="S543" s="79"/>
      <c r="T543" s="79"/>
      <c r="W543" s="79"/>
      <c r="X543" s="79"/>
      <c r="AA543" s="130"/>
      <c r="AC543" s="106"/>
    </row>
    <row r="544">
      <c r="C544" s="79"/>
      <c r="D544" s="79"/>
      <c r="E544" s="79"/>
      <c r="N544" s="79"/>
      <c r="S544" s="79"/>
      <c r="T544" s="79"/>
      <c r="W544" s="79"/>
      <c r="X544" s="79"/>
      <c r="AA544" s="130"/>
      <c r="AC544" s="106"/>
    </row>
    <row r="545">
      <c r="C545" s="79"/>
      <c r="D545" s="79"/>
      <c r="E545" s="79"/>
      <c r="N545" s="79"/>
      <c r="S545" s="79"/>
      <c r="T545" s="79"/>
      <c r="W545" s="79"/>
      <c r="X545" s="79"/>
      <c r="AA545" s="130"/>
      <c r="AC545" s="106"/>
    </row>
    <row r="546">
      <c r="C546" s="79"/>
      <c r="D546" s="79"/>
      <c r="E546" s="79"/>
      <c r="N546" s="79"/>
      <c r="S546" s="79"/>
      <c r="T546" s="79"/>
      <c r="W546" s="79"/>
      <c r="X546" s="79"/>
      <c r="AA546" s="130"/>
      <c r="AC546" s="106"/>
    </row>
    <row r="547">
      <c r="C547" s="79"/>
      <c r="D547" s="79"/>
      <c r="E547" s="79"/>
      <c r="N547" s="79"/>
      <c r="S547" s="79"/>
      <c r="T547" s="79"/>
      <c r="W547" s="79"/>
      <c r="X547" s="79"/>
      <c r="AA547" s="130"/>
      <c r="AC547" s="106"/>
    </row>
    <row r="548">
      <c r="C548" s="79"/>
      <c r="D548" s="79"/>
      <c r="E548" s="79"/>
      <c r="N548" s="79"/>
      <c r="S548" s="79"/>
      <c r="T548" s="79"/>
      <c r="W548" s="79"/>
      <c r="X548" s="79"/>
      <c r="AA548" s="130"/>
      <c r="AC548" s="106"/>
    </row>
    <row r="549">
      <c r="C549" s="79"/>
      <c r="D549" s="79"/>
      <c r="E549" s="79"/>
      <c r="N549" s="79"/>
      <c r="S549" s="79"/>
      <c r="T549" s="79"/>
      <c r="W549" s="79"/>
      <c r="X549" s="79"/>
      <c r="AA549" s="130"/>
      <c r="AC549" s="106"/>
    </row>
    <row r="550">
      <c r="C550" s="79"/>
      <c r="D550" s="79"/>
      <c r="E550" s="79"/>
      <c r="N550" s="79"/>
      <c r="S550" s="79"/>
      <c r="T550" s="79"/>
      <c r="W550" s="79"/>
      <c r="X550" s="79"/>
      <c r="AA550" s="130"/>
      <c r="AC550" s="106"/>
    </row>
    <row r="551">
      <c r="C551" s="79"/>
      <c r="D551" s="79"/>
      <c r="E551" s="79"/>
      <c r="N551" s="79"/>
      <c r="S551" s="79"/>
      <c r="T551" s="79"/>
      <c r="W551" s="79"/>
      <c r="X551" s="79"/>
      <c r="AA551" s="130"/>
      <c r="AC551" s="106"/>
    </row>
    <row r="552">
      <c r="C552" s="79"/>
      <c r="D552" s="79"/>
      <c r="E552" s="79"/>
      <c r="N552" s="79"/>
      <c r="S552" s="79"/>
      <c r="T552" s="79"/>
      <c r="W552" s="79"/>
      <c r="X552" s="79"/>
      <c r="AA552" s="130"/>
      <c r="AC552" s="106"/>
    </row>
    <row r="553">
      <c r="C553" s="79"/>
      <c r="D553" s="79"/>
      <c r="E553" s="79"/>
      <c r="N553" s="79"/>
      <c r="S553" s="79"/>
      <c r="T553" s="79"/>
      <c r="W553" s="79"/>
      <c r="X553" s="79"/>
      <c r="AA553" s="130"/>
      <c r="AC553" s="106"/>
    </row>
    <row r="554">
      <c r="C554" s="79"/>
      <c r="D554" s="79"/>
      <c r="E554" s="79"/>
      <c r="N554" s="79"/>
      <c r="S554" s="79"/>
      <c r="T554" s="79"/>
      <c r="W554" s="79"/>
      <c r="X554" s="79"/>
      <c r="AA554" s="130"/>
      <c r="AC554" s="106"/>
    </row>
    <row r="555">
      <c r="C555" s="79"/>
      <c r="D555" s="79"/>
      <c r="E555" s="79"/>
      <c r="N555" s="79"/>
      <c r="S555" s="79"/>
      <c r="T555" s="79"/>
      <c r="W555" s="79"/>
      <c r="X555" s="79"/>
      <c r="AA555" s="130"/>
      <c r="AC555" s="106"/>
    </row>
    <row r="556">
      <c r="C556" s="79"/>
      <c r="D556" s="79"/>
      <c r="E556" s="79"/>
      <c r="N556" s="79"/>
      <c r="S556" s="79"/>
      <c r="T556" s="79"/>
      <c r="W556" s="79"/>
      <c r="X556" s="79"/>
      <c r="AA556" s="130"/>
      <c r="AC556" s="106"/>
    </row>
    <row r="557">
      <c r="C557" s="79"/>
      <c r="D557" s="79"/>
      <c r="E557" s="79"/>
      <c r="N557" s="79"/>
      <c r="S557" s="79"/>
      <c r="T557" s="79"/>
      <c r="W557" s="79"/>
      <c r="X557" s="79"/>
      <c r="AA557" s="130"/>
      <c r="AC557" s="106"/>
    </row>
    <row r="558">
      <c r="C558" s="79"/>
      <c r="D558" s="79"/>
      <c r="E558" s="79"/>
      <c r="N558" s="79"/>
      <c r="S558" s="79"/>
      <c r="T558" s="79"/>
      <c r="W558" s="79"/>
      <c r="X558" s="79"/>
      <c r="AA558" s="130"/>
      <c r="AC558" s="106"/>
    </row>
    <row r="559">
      <c r="C559" s="79"/>
      <c r="D559" s="79"/>
      <c r="E559" s="79"/>
      <c r="N559" s="79"/>
      <c r="S559" s="79"/>
      <c r="T559" s="79"/>
      <c r="W559" s="79"/>
      <c r="X559" s="79"/>
      <c r="AA559" s="130"/>
      <c r="AC559" s="106"/>
    </row>
    <row r="560">
      <c r="C560" s="79"/>
      <c r="D560" s="79"/>
      <c r="E560" s="79"/>
      <c r="N560" s="79"/>
      <c r="S560" s="79"/>
      <c r="T560" s="79"/>
      <c r="W560" s="79"/>
      <c r="X560" s="79"/>
      <c r="AA560" s="130"/>
      <c r="AC560" s="106"/>
    </row>
    <row r="561">
      <c r="C561" s="79"/>
      <c r="D561" s="79"/>
      <c r="E561" s="79"/>
      <c r="N561" s="79"/>
      <c r="S561" s="79"/>
      <c r="T561" s="79"/>
      <c r="W561" s="79"/>
      <c r="X561" s="79"/>
      <c r="AA561" s="130"/>
      <c r="AC561" s="106"/>
    </row>
    <row r="562">
      <c r="C562" s="79"/>
      <c r="D562" s="79"/>
      <c r="E562" s="79"/>
      <c r="N562" s="79"/>
      <c r="S562" s="79"/>
      <c r="T562" s="79"/>
      <c r="W562" s="79"/>
      <c r="X562" s="79"/>
      <c r="AA562" s="130"/>
      <c r="AC562" s="106"/>
    </row>
    <row r="563">
      <c r="C563" s="79"/>
      <c r="D563" s="79"/>
      <c r="E563" s="79"/>
      <c r="N563" s="79"/>
      <c r="S563" s="79"/>
      <c r="T563" s="79"/>
      <c r="W563" s="79"/>
      <c r="X563" s="79"/>
      <c r="AA563" s="130"/>
      <c r="AC563" s="106"/>
    </row>
    <row r="564">
      <c r="C564" s="79"/>
      <c r="D564" s="79"/>
      <c r="E564" s="79"/>
      <c r="N564" s="79"/>
      <c r="S564" s="79"/>
      <c r="T564" s="79"/>
      <c r="W564" s="79"/>
      <c r="X564" s="79"/>
      <c r="AA564" s="130"/>
      <c r="AC564" s="106"/>
    </row>
    <row r="565">
      <c r="C565" s="79"/>
      <c r="D565" s="79"/>
      <c r="E565" s="79"/>
      <c r="N565" s="79"/>
      <c r="S565" s="79"/>
      <c r="T565" s="79"/>
      <c r="W565" s="79"/>
      <c r="X565" s="79"/>
      <c r="AA565" s="130"/>
      <c r="AC565" s="106"/>
    </row>
    <row r="566">
      <c r="C566" s="79"/>
      <c r="D566" s="79"/>
      <c r="E566" s="79"/>
      <c r="N566" s="79"/>
      <c r="S566" s="79"/>
      <c r="T566" s="79"/>
      <c r="W566" s="79"/>
      <c r="X566" s="79"/>
      <c r="AA566" s="130"/>
      <c r="AC566" s="106"/>
    </row>
    <row r="567">
      <c r="C567" s="79"/>
      <c r="D567" s="79"/>
      <c r="E567" s="79"/>
      <c r="N567" s="79"/>
      <c r="S567" s="79"/>
      <c r="T567" s="79"/>
      <c r="W567" s="79"/>
      <c r="X567" s="79"/>
      <c r="AA567" s="130"/>
      <c r="AC567" s="106"/>
    </row>
    <row r="568">
      <c r="C568" s="79"/>
      <c r="D568" s="79"/>
      <c r="E568" s="79"/>
      <c r="N568" s="79"/>
      <c r="S568" s="79"/>
      <c r="T568" s="79"/>
      <c r="W568" s="79"/>
      <c r="X568" s="79"/>
      <c r="AA568" s="130"/>
      <c r="AC568" s="106"/>
    </row>
    <row r="569">
      <c r="C569" s="79"/>
      <c r="D569" s="79"/>
      <c r="E569" s="79"/>
      <c r="N569" s="79"/>
      <c r="S569" s="79"/>
      <c r="T569" s="79"/>
      <c r="W569" s="79"/>
      <c r="X569" s="79"/>
      <c r="AA569" s="130"/>
      <c r="AC569" s="106"/>
    </row>
    <row r="570">
      <c r="C570" s="79"/>
      <c r="D570" s="79"/>
      <c r="E570" s="79"/>
      <c r="N570" s="79"/>
      <c r="S570" s="79"/>
      <c r="T570" s="79"/>
      <c r="W570" s="79"/>
      <c r="X570" s="79"/>
      <c r="AA570" s="130"/>
      <c r="AC570" s="106"/>
    </row>
    <row r="571">
      <c r="C571" s="79"/>
      <c r="D571" s="79"/>
      <c r="E571" s="79"/>
      <c r="N571" s="79"/>
      <c r="S571" s="79"/>
      <c r="T571" s="79"/>
      <c r="W571" s="79"/>
      <c r="X571" s="79"/>
      <c r="AA571" s="130"/>
      <c r="AC571" s="106"/>
    </row>
    <row r="572">
      <c r="C572" s="79"/>
      <c r="D572" s="79"/>
      <c r="E572" s="79"/>
      <c r="N572" s="79"/>
      <c r="S572" s="79"/>
      <c r="T572" s="79"/>
      <c r="W572" s="79"/>
      <c r="X572" s="79"/>
      <c r="AA572" s="130"/>
      <c r="AC572" s="106"/>
    </row>
    <row r="573">
      <c r="C573" s="79"/>
      <c r="D573" s="79"/>
      <c r="E573" s="79"/>
      <c r="N573" s="79"/>
      <c r="S573" s="79"/>
      <c r="T573" s="79"/>
      <c r="W573" s="79"/>
      <c r="X573" s="79"/>
      <c r="AA573" s="130"/>
      <c r="AC573" s="106"/>
    </row>
    <row r="574">
      <c r="C574" s="79"/>
      <c r="D574" s="79"/>
      <c r="E574" s="79"/>
      <c r="N574" s="79"/>
      <c r="S574" s="79"/>
      <c r="T574" s="79"/>
      <c r="W574" s="79"/>
      <c r="X574" s="79"/>
      <c r="AA574" s="130"/>
      <c r="AC574" s="106"/>
    </row>
    <row r="575">
      <c r="C575" s="79"/>
      <c r="D575" s="79"/>
      <c r="E575" s="79"/>
      <c r="N575" s="79"/>
      <c r="S575" s="79"/>
      <c r="T575" s="79"/>
      <c r="W575" s="79"/>
      <c r="X575" s="79"/>
      <c r="AA575" s="130"/>
      <c r="AC575" s="106"/>
    </row>
    <row r="576">
      <c r="C576" s="79"/>
      <c r="D576" s="79"/>
      <c r="E576" s="79"/>
      <c r="N576" s="79"/>
      <c r="S576" s="79"/>
      <c r="T576" s="79"/>
      <c r="W576" s="79"/>
      <c r="X576" s="79"/>
      <c r="AA576" s="130"/>
      <c r="AC576" s="106"/>
    </row>
    <row r="577">
      <c r="C577" s="79"/>
      <c r="D577" s="79"/>
      <c r="E577" s="79"/>
      <c r="N577" s="79"/>
      <c r="S577" s="79"/>
      <c r="T577" s="79"/>
      <c r="W577" s="79"/>
      <c r="X577" s="79"/>
      <c r="AA577" s="130"/>
      <c r="AC577" s="106"/>
    </row>
    <row r="578">
      <c r="C578" s="79"/>
      <c r="D578" s="79"/>
      <c r="E578" s="79"/>
      <c r="N578" s="79"/>
      <c r="S578" s="79"/>
      <c r="T578" s="79"/>
      <c r="W578" s="79"/>
      <c r="X578" s="79"/>
      <c r="AA578" s="130"/>
      <c r="AC578" s="106"/>
    </row>
    <row r="579">
      <c r="C579" s="79"/>
      <c r="D579" s="79"/>
      <c r="E579" s="79"/>
      <c r="N579" s="79"/>
      <c r="S579" s="79"/>
      <c r="T579" s="79"/>
      <c r="W579" s="79"/>
      <c r="X579" s="79"/>
      <c r="AA579" s="130"/>
      <c r="AC579" s="106"/>
    </row>
    <row r="580">
      <c r="C580" s="79"/>
      <c r="D580" s="79"/>
      <c r="E580" s="79"/>
      <c r="N580" s="79"/>
      <c r="S580" s="79"/>
      <c r="T580" s="79"/>
      <c r="W580" s="79"/>
      <c r="X580" s="79"/>
      <c r="AA580" s="130"/>
      <c r="AC580" s="106"/>
    </row>
    <row r="581">
      <c r="C581" s="79"/>
      <c r="D581" s="79"/>
      <c r="E581" s="79"/>
      <c r="N581" s="79"/>
      <c r="S581" s="79"/>
      <c r="T581" s="79"/>
      <c r="W581" s="79"/>
      <c r="X581" s="79"/>
      <c r="AA581" s="130"/>
      <c r="AC581" s="106"/>
    </row>
    <row r="582">
      <c r="C582" s="79"/>
      <c r="D582" s="79"/>
      <c r="E582" s="79"/>
      <c r="N582" s="79"/>
      <c r="S582" s="79"/>
      <c r="T582" s="79"/>
      <c r="W582" s="79"/>
      <c r="X582" s="79"/>
      <c r="AA582" s="130"/>
      <c r="AC582" s="106"/>
    </row>
    <row r="583">
      <c r="C583" s="79"/>
      <c r="D583" s="79"/>
      <c r="E583" s="79"/>
      <c r="N583" s="79"/>
      <c r="S583" s="79"/>
      <c r="T583" s="79"/>
      <c r="W583" s="79"/>
      <c r="X583" s="79"/>
      <c r="AA583" s="130"/>
      <c r="AC583" s="106"/>
    </row>
    <row r="584">
      <c r="C584" s="79"/>
      <c r="D584" s="79"/>
      <c r="E584" s="79"/>
      <c r="N584" s="79"/>
      <c r="S584" s="79"/>
      <c r="T584" s="79"/>
      <c r="W584" s="79"/>
      <c r="X584" s="79"/>
      <c r="AA584" s="130"/>
      <c r="AC584" s="106"/>
    </row>
    <row r="585">
      <c r="C585" s="79"/>
      <c r="D585" s="79"/>
      <c r="E585" s="79"/>
      <c r="N585" s="79"/>
      <c r="S585" s="79"/>
      <c r="T585" s="79"/>
      <c r="W585" s="79"/>
      <c r="X585" s="79"/>
      <c r="AA585" s="130"/>
      <c r="AC585" s="106"/>
    </row>
    <row r="586">
      <c r="C586" s="79"/>
      <c r="D586" s="79"/>
      <c r="E586" s="79"/>
      <c r="N586" s="79"/>
      <c r="S586" s="79"/>
      <c r="T586" s="79"/>
      <c r="W586" s="79"/>
      <c r="X586" s="79"/>
      <c r="AA586" s="130"/>
      <c r="AC586" s="106"/>
    </row>
    <row r="587">
      <c r="C587" s="79"/>
      <c r="D587" s="79"/>
      <c r="E587" s="79"/>
      <c r="N587" s="79"/>
      <c r="S587" s="79"/>
      <c r="T587" s="79"/>
      <c r="W587" s="79"/>
      <c r="X587" s="79"/>
      <c r="AA587" s="130"/>
      <c r="AC587" s="106"/>
    </row>
    <row r="588">
      <c r="C588" s="79"/>
      <c r="D588" s="79"/>
      <c r="E588" s="79"/>
      <c r="N588" s="79"/>
      <c r="S588" s="79"/>
      <c r="T588" s="79"/>
      <c r="W588" s="79"/>
      <c r="X588" s="79"/>
      <c r="AA588" s="130"/>
      <c r="AC588" s="106"/>
    </row>
    <row r="589">
      <c r="C589" s="79"/>
      <c r="D589" s="79"/>
      <c r="E589" s="79"/>
      <c r="N589" s="79"/>
      <c r="S589" s="79"/>
      <c r="T589" s="79"/>
      <c r="W589" s="79"/>
      <c r="X589" s="79"/>
      <c r="AA589" s="130"/>
      <c r="AC589" s="106"/>
    </row>
    <row r="590">
      <c r="C590" s="79"/>
      <c r="D590" s="79"/>
      <c r="E590" s="79"/>
      <c r="N590" s="79"/>
      <c r="S590" s="79"/>
      <c r="T590" s="79"/>
      <c r="W590" s="79"/>
      <c r="X590" s="79"/>
      <c r="AA590" s="130"/>
      <c r="AC590" s="106"/>
    </row>
    <row r="591">
      <c r="C591" s="79"/>
      <c r="D591" s="79"/>
      <c r="E591" s="79"/>
      <c r="N591" s="79"/>
      <c r="S591" s="79"/>
      <c r="T591" s="79"/>
      <c r="W591" s="79"/>
      <c r="X591" s="79"/>
      <c r="AA591" s="130"/>
      <c r="AC591" s="106"/>
    </row>
    <row r="592">
      <c r="C592" s="79"/>
      <c r="D592" s="79"/>
      <c r="E592" s="79"/>
      <c r="N592" s="79"/>
      <c r="S592" s="79"/>
      <c r="T592" s="79"/>
      <c r="W592" s="79"/>
      <c r="X592" s="79"/>
      <c r="AA592" s="130"/>
      <c r="AC592" s="106"/>
    </row>
    <row r="593">
      <c r="C593" s="79"/>
      <c r="D593" s="79"/>
      <c r="E593" s="79"/>
      <c r="N593" s="79"/>
      <c r="S593" s="79"/>
      <c r="T593" s="79"/>
      <c r="W593" s="79"/>
      <c r="X593" s="79"/>
      <c r="AA593" s="130"/>
      <c r="AC593" s="106"/>
    </row>
    <row r="594">
      <c r="C594" s="79"/>
      <c r="D594" s="79"/>
      <c r="E594" s="79"/>
      <c r="N594" s="79"/>
      <c r="S594" s="79"/>
      <c r="T594" s="79"/>
      <c r="W594" s="79"/>
      <c r="X594" s="79"/>
      <c r="AA594" s="130"/>
      <c r="AC594" s="106"/>
    </row>
    <row r="595">
      <c r="C595" s="79"/>
      <c r="D595" s="79"/>
      <c r="E595" s="79"/>
      <c r="N595" s="79"/>
      <c r="S595" s="79"/>
      <c r="T595" s="79"/>
      <c r="W595" s="79"/>
      <c r="X595" s="79"/>
      <c r="AA595" s="130"/>
      <c r="AC595" s="106"/>
    </row>
    <row r="596">
      <c r="C596" s="79"/>
      <c r="D596" s="79"/>
      <c r="E596" s="79"/>
      <c r="N596" s="79"/>
      <c r="S596" s="79"/>
      <c r="T596" s="79"/>
      <c r="W596" s="79"/>
      <c r="X596" s="79"/>
      <c r="AA596" s="130"/>
      <c r="AC596" s="106"/>
    </row>
    <row r="597">
      <c r="C597" s="79"/>
      <c r="D597" s="79"/>
      <c r="E597" s="79"/>
      <c r="N597" s="79"/>
      <c r="S597" s="79"/>
      <c r="T597" s="79"/>
      <c r="W597" s="79"/>
      <c r="X597" s="79"/>
      <c r="AA597" s="130"/>
      <c r="AC597" s="106"/>
    </row>
    <row r="598">
      <c r="C598" s="79"/>
      <c r="D598" s="79"/>
      <c r="E598" s="79"/>
      <c r="N598" s="79"/>
      <c r="S598" s="79"/>
      <c r="T598" s="79"/>
      <c r="W598" s="79"/>
      <c r="X598" s="79"/>
      <c r="AA598" s="130"/>
      <c r="AC598" s="106"/>
    </row>
    <row r="599">
      <c r="C599" s="79"/>
      <c r="D599" s="79"/>
      <c r="E599" s="79"/>
      <c r="N599" s="79"/>
      <c r="S599" s="79"/>
      <c r="T599" s="79"/>
      <c r="W599" s="79"/>
      <c r="X599" s="79"/>
      <c r="AA599" s="130"/>
      <c r="AC599" s="106"/>
    </row>
    <row r="600">
      <c r="C600" s="79"/>
      <c r="D600" s="79"/>
      <c r="E600" s="79"/>
      <c r="N600" s="79"/>
      <c r="S600" s="79"/>
      <c r="T600" s="79"/>
      <c r="W600" s="79"/>
      <c r="X600" s="79"/>
      <c r="AA600" s="130"/>
      <c r="AC600" s="106"/>
    </row>
    <row r="601">
      <c r="C601" s="79"/>
      <c r="D601" s="79"/>
      <c r="E601" s="79"/>
      <c r="N601" s="79"/>
      <c r="S601" s="79"/>
      <c r="T601" s="79"/>
      <c r="W601" s="79"/>
      <c r="X601" s="79"/>
      <c r="AA601" s="130"/>
      <c r="AC601" s="106"/>
    </row>
    <row r="602">
      <c r="C602" s="79"/>
      <c r="D602" s="79"/>
      <c r="E602" s="79"/>
      <c r="N602" s="79"/>
      <c r="S602" s="79"/>
      <c r="T602" s="79"/>
      <c r="W602" s="79"/>
      <c r="X602" s="79"/>
      <c r="AA602" s="130"/>
      <c r="AC602" s="106"/>
    </row>
    <row r="603">
      <c r="C603" s="79"/>
      <c r="D603" s="79"/>
      <c r="E603" s="79"/>
      <c r="N603" s="79"/>
      <c r="S603" s="79"/>
      <c r="T603" s="79"/>
      <c r="W603" s="79"/>
      <c r="X603" s="79"/>
      <c r="AA603" s="130"/>
      <c r="AC603" s="106"/>
    </row>
    <row r="604">
      <c r="C604" s="79"/>
      <c r="D604" s="79"/>
      <c r="E604" s="79"/>
      <c r="N604" s="79"/>
      <c r="S604" s="79"/>
      <c r="T604" s="79"/>
      <c r="W604" s="79"/>
      <c r="X604" s="79"/>
      <c r="AA604" s="130"/>
      <c r="AC604" s="106"/>
    </row>
    <row r="605">
      <c r="C605" s="79"/>
      <c r="D605" s="79"/>
      <c r="E605" s="79"/>
      <c r="N605" s="79"/>
      <c r="S605" s="79"/>
      <c r="T605" s="79"/>
      <c r="W605" s="79"/>
      <c r="X605" s="79"/>
      <c r="AA605" s="130"/>
      <c r="AC605" s="106"/>
    </row>
    <row r="606">
      <c r="C606" s="79"/>
      <c r="D606" s="79"/>
      <c r="E606" s="79"/>
      <c r="N606" s="79"/>
      <c r="S606" s="79"/>
      <c r="T606" s="79"/>
      <c r="W606" s="79"/>
      <c r="X606" s="79"/>
      <c r="AA606" s="130"/>
      <c r="AC606" s="106"/>
    </row>
    <row r="607">
      <c r="C607" s="79"/>
      <c r="D607" s="79"/>
      <c r="E607" s="79"/>
      <c r="N607" s="79"/>
      <c r="S607" s="79"/>
      <c r="T607" s="79"/>
      <c r="W607" s="79"/>
      <c r="X607" s="79"/>
      <c r="AA607" s="130"/>
      <c r="AC607" s="106"/>
    </row>
    <row r="608">
      <c r="C608" s="79"/>
      <c r="D608" s="79"/>
      <c r="E608" s="79"/>
      <c r="N608" s="79"/>
      <c r="S608" s="79"/>
      <c r="T608" s="79"/>
      <c r="W608" s="79"/>
      <c r="X608" s="79"/>
      <c r="AA608" s="130"/>
      <c r="AC608" s="106"/>
    </row>
    <row r="609">
      <c r="C609" s="79"/>
      <c r="D609" s="79"/>
      <c r="E609" s="79"/>
      <c r="N609" s="79"/>
      <c r="S609" s="79"/>
      <c r="T609" s="79"/>
      <c r="W609" s="79"/>
      <c r="X609" s="79"/>
      <c r="AA609" s="130"/>
      <c r="AC609" s="106"/>
    </row>
    <row r="610">
      <c r="C610" s="79"/>
      <c r="D610" s="79"/>
      <c r="E610" s="79"/>
      <c r="N610" s="79"/>
      <c r="S610" s="79"/>
      <c r="T610" s="79"/>
      <c r="W610" s="79"/>
      <c r="X610" s="79"/>
      <c r="AA610" s="130"/>
      <c r="AC610" s="106"/>
    </row>
    <row r="611">
      <c r="C611" s="79"/>
      <c r="D611" s="79"/>
      <c r="E611" s="79"/>
      <c r="N611" s="79"/>
      <c r="S611" s="79"/>
      <c r="T611" s="79"/>
      <c r="W611" s="79"/>
      <c r="X611" s="79"/>
      <c r="AA611" s="130"/>
      <c r="AC611" s="106"/>
    </row>
    <row r="612">
      <c r="C612" s="79"/>
      <c r="D612" s="79"/>
      <c r="E612" s="79"/>
      <c r="N612" s="79"/>
      <c r="S612" s="79"/>
      <c r="T612" s="79"/>
      <c r="W612" s="79"/>
      <c r="X612" s="79"/>
      <c r="AA612" s="130"/>
      <c r="AC612" s="106"/>
    </row>
    <row r="613">
      <c r="C613" s="79"/>
      <c r="D613" s="79"/>
      <c r="E613" s="79"/>
      <c r="N613" s="79"/>
      <c r="S613" s="79"/>
      <c r="T613" s="79"/>
      <c r="W613" s="79"/>
      <c r="X613" s="79"/>
      <c r="AA613" s="130"/>
      <c r="AC613" s="106"/>
    </row>
    <row r="614">
      <c r="C614" s="79"/>
      <c r="D614" s="79"/>
      <c r="E614" s="79"/>
      <c r="N614" s="79"/>
      <c r="S614" s="79"/>
      <c r="T614" s="79"/>
      <c r="W614" s="79"/>
      <c r="X614" s="79"/>
      <c r="AA614" s="130"/>
      <c r="AC614" s="106"/>
    </row>
    <row r="615">
      <c r="C615" s="79"/>
      <c r="D615" s="79"/>
      <c r="E615" s="79"/>
      <c r="N615" s="79"/>
      <c r="S615" s="79"/>
      <c r="T615" s="79"/>
      <c r="W615" s="79"/>
      <c r="X615" s="79"/>
      <c r="AA615" s="130"/>
      <c r="AC615" s="106"/>
    </row>
    <row r="616">
      <c r="C616" s="79"/>
      <c r="D616" s="79"/>
      <c r="E616" s="79"/>
      <c r="N616" s="79"/>
      <c r="S616" s="79"/>
      <c r="T616" s="79"/>
      <c r="W616" s="79"/>
      <c r="X616" s="79"/>
      <c r="AA616" s="130"/>
      <c r="AC616" s="106"/>
    </row>
    <row r="617">
      <c r="C617" s="79"/>
      <c r="D617" s="79"/>
      <c r="E617" s="79"/>
      <c r="N617" s="79"/>
      <c r="S617" s="79"/>
      <c r="T617" s="79"/>
      <c r="W617" s="79"/>
      <c r="X617" s="79"/>
      <c r="AA617" s="130"/>
      <c r="AC617" s="106"/>
    </row>
    <row r="618">
      <c r="C618" s="79"/>
      <c r="D618" s="79"/>
      <c r="E618" s="79"/>
      <c r="N618" s="79"/>
      <c r="S618" s="79"/>
      <c r="T618" s="79"/>
      <c r="W618" s="79"/>
      <c r="X618" s="79"/>
      <c r="AA618" s="130"/>
      <c r="AC618" s="106"/>
    </row>
    <row r="619">
      <c r="C619" s="79"/>
      <c r="D619" s="79"/>
      <c r="E619" s="79"/>
      <c r="N619" s="79"/>
      <c r="S619" s="79"/>
      <c r="T619" s="79"/>
      <c r="W619" s="79"/>
      <c r="X619" s="79"/>
      <c r="AA619" s="130"/>
      <c r="AC619" s="106"/>
    </row>
    <row r="620">
      <c r="C620" s="79"/>
      <c r="D620" s="79"/>
      <c r="E620" s="79"/>
      <c r="N620" s="79"/>
      <c r="S620" s="79"/>
      <c r="T620" s="79"/>
      <c r="W620" s="79"/>
      <c r="X620" s="79"/>
      <c r="AA620" s="130"/>
      <c r="AC620" s="106"/>
    </row>
    <row r="621">
      <c r="C621" s="79"/>
      <c r="D621" s="79"/>
      <c r="E621" s="79"/>
      <c r="N621" s="79"/>
      <c r="S621" s="79"/>
      <c r="T621" s="79"/>
      <c r="W621" s="79"/>
      <c r="X621" s="79"/>
      <c r="AA621" s="130"/>
      <c r="AC621" s="106"/>
    </row>
    <row r="622">
      <c r="C622" s="79"/>
      <c r="D622" s="79"/>
      <c r="E622" s="79"/>
      <c r="N622" s="79"/>
      <c r="S622" s="79"/>
      <c r="T622" s="79"/>
      <c r="W622" s="79"/>
      <c r="X622" s="79"/>
      <c r="AA622" s="130"/>
      <c r="AC622" s="106"/>
    </row>
    <row r="623">
      <c r="C623" s="79"/>
      <c r="D623" s="79"/>
      <c r="E623" s="79"/>
      <c r="N623" s="79"/>
      <c r="S623" s="79"/>
      <c r="T623" s="79"/>
      <c r="W623" s="79"/>
      <c r="X623" s="79"/>
      <c r="AA623" s="130"/>
      <c r="AC623" s="106"/>
    </row>
    <row r="624">
      <c r="C624" s="79"/>
      <c r="D624" s="79"/>
      <c r="E624" s="79"/>
      <c r="N624" s="79"/>
      <c r="S624" s="79"/>
      <c r="T624" s="79"/>
      <c r="W624" s="79"/>
      <c r="X624" s="79"/>
      <c r="AA624" s="130"/>
      <c r="AC624" s="106"/>
    </row>
    <row r="625">
      <c r="C625" s="79"/>
      <c r="D625" s="79"/>
      <c r="E625" s="79"/>
      <c r="N625" s="79"/>
      <c r="S625" s="79"/>
      <c r="T625" s="79"/>
      <c r="W625" s="79"/>
      <c r="X625" s="79"/>
      <c r="AA625" s="130"/>
      <c r="AC625" s="106"/>
    </row>
    <row r="626">
      <c r="C626" s="79"/>
      <c r="D626" s="79"/>
      <c r="E626" s="79"/>
      <c r="N626" s="79"/>
      <c r="S626" s="79"/>
      <c r="T626" s="79"/>
      <c r="W626" s="79"/>
      <c r="X626" s="79"/>
      <c r="AA626" s="130"/>
      <c r="AC626" s="106"/>
    </row>
    <row r="627">
      <c r="C627" s="79"/>
      <c r="D627" s="79"/>
      <c r="E627" s="79"/>
      <c r="N627" s="79"/>
      <c r="S627" s="79"/>
      <c r="T627" s="79"/>
      <c r="W627" s="79"/>
      <c r="X627" s="79"/>
      <c r="AA627" s="130"/>
      <c r="AC627" s="106"/>
    </row>
    <row r="628">
      <c r="C628" s="79"/>
      <c r="D628" s="79"/>
      <c r="E628" s="79"/>
      <c r="N628" s="79"/>
      <c r="S628" s="79"/>
      <c r="T628" s="79"/>
      <c r="W628" s="79"/>
      <c r="X628" s="79"/>
      <c r="AA628" s="130"/>
      <c r="AC628" s="106"/>
    </row>
    <row r="629">
      <c r="C629" s="79"/>
      <c r="D629" s="79"/>
      <c r="E629" s="79"/>
      <c r="N629" s="79"/>
      <c r="S629" s="79"/>
      <c r="T629" s="79"/>
      <c r="W629" s="79"/>
      <c r="X629" s="79"/>
      <c r="AA629" s="130"/>
      <c r="AC629" s="106"/>
    </row>
    <row r="630">
      <c r="C630" s="79"/>
      <c r="D630" s="79"/>
      <c r="E630" s="79"/>
      <c r="N630" s="79"/>
      <c r="S630" s="79"/>
      <c r="T630" s="79"/>
      <c r="W630" s="79"/>
      <c r="X630" s="79"/>
      <c r="AA630" s="130"/>
      <c r="AC630" s="106"/>
    </row>
    <row r="631">
      <c r="C631" s="79"/>
      <c r="D631" s="79"/>
      <c r="E631" s="79"/>
      <c r="N631" s="79"/>
      <c r="S631" s="79"/>
      <c r="T631" s="79"/>
      <c r="W631" s="79"/>
      <c r="X631" s="79"/>
      <c r="AA631" s="130"/>
      <c r="AC631" s="106"/>
    </row>
    <row r="632">
      <c r="C632" s="79"/>
      <c r="D632" s="79"/>
      <c r="E632" s="79"/>
      <c r="N632" s="79"/>
      <c r="S632" s="79"/>
      <c r="T632" s="79"/>
      <c r="W632" s="79"/>
      <c r="X632" s="79"/>
      <c r="AA632" s="130"/>
      <c r="AC632" s="106"/>
    </row>
    <row r="633">
      <c r="C633" s="79"/>
      <c r="D633" s="79"/>
      <c r="E633" s="79"/>
      <c r="N633" s="79"/>
      <c r="S633" s="79"/>
      <c r="T633" s="79"/>
      <c r="W633" s="79"/>
      <c r="X633" s="79"/>
      <c r="AA633" s="130"/>
      <c r="AC633" s="106"/>
    </row>
    <row r="634">
      <c r="C634" s="79"/>
      <c r="D634" s="79"/>
      <c r="E634" s="79"/>
      <c r="N634" s="79"/>
      <c r="S634" s="79"/>
      <c r="T634" s="79"/>
      <c r="W634" s="79"/>
      <c r="X634" s="79"/>
      <c r="AA634" s="130"/>
      <c r="AC634" s="106"/>
    </row>
    <row r="635">
      <c r="C635" s="79"/>
      <c r="D635" s="79"/>
      <c r="E635" s="79"/>
      <c r="N635" s="79"/>
      <c r="S635" s="79"/>
      <c r="T635" s="79"/>
      <c r="W635" s="79"/>
      <c r="X635" s="79"/>
      <c r="AA635" s="130"/>
      <c r="AC635" s="106"/>
    </row>
    <row r="636">
      <c r="C636" s="79"/>
      <c r="D636" s="79"/>
      <c r="E636" s="79"/>
      <c r="N636" s="79"/>
      <c r="S636" s="79"/>
      <c r="T636" s="79"/>
      <c r="W636" s="79"/>
      <c r="X636" s="79"/>
      <c r="AA636" s="130"/>
      <c r="AC636" s="106"/>
    </row>
    <row r="637">
      <c r="C637" s="79"/>
      <c r="D637" s="79"/>
      <c r="E637" s="79"/>
      <c r="N637" s="79"/>
      <c r="S637" s="79"/>
      <c r="T637" s="79"/>
      <c r="W637" s="79"/>
      <c r="X637" s="79"/>
      <c r="AA637" s="130"/>
      <c r="AC637" s="106"/>
    </row>
    <row r="638">
      <c r="C638" s="79"/>
      <c r="D638" s="79"/>
      <c r="E638" s="79"/>
      <c r="N638" s="79"/>
      <c r="S638" s="79"/>
      <c r="T638" s="79"/>
      <c r="W638" s="79"/>
      <c r="X638" s="79"/>
      <c r="AA638" s="130"/>
      <c r="AC638" s="106"/>
    </row>
    <row r="639">
      <c r="C639" s="79"/>
      <c r="D639" s="79"/>
      <c r="E639" s="79"/>
      <c r="N639" s="79"/>
      <c r="S639" s="79"/>
      <c r="T639" s="79"/>
      <c r="W639" s="79"/>
      <c r="X639" s="79"/>
      <c r="AA639" s="130"/>
      <c r="AC639" s="106"/>
    </row>
    <row r="640">
      <c r="C640" s="79"/>
      <c r="D640" s="79"/>
      <c r="E640" s="79"/>
      <c r="N640" s="79"/>
      <c r="S640" s="79"/>
      <c r="T640" s="79"/>
      <c r="W640" s="79"/>
      <c r="X640" s="79"/>
      <c r="AA640" s="130"/>
      <c r="AC640" s="106"/>
    </row>
    <row r="641">
      <c r="C641" s="79"/>
      <c r="D641" s="79"/>
      <c r="E641" s="79"/>
      <c r="N641" s="79"/>
      <c r="S641" s="79"/>
      <c r="T641" s="79"/>
      <c r="W641" s="79"/>
      <c r="X641" s="79"/>
      <c r="AA641" s="130"/>
      <c r="AC641" s="106"/>
    </row>
    <row r="642">
      <c r="C642" s="79"/>
      <c r="D642" s="79"/>
      <c r="E642" s="79"/>
      <c r="N642" s="79"/>
      <c r="S642" s="79"/>
      <c r="T642" s="79"/>
      <c r="W642" s="79"/>
      <c r="X642" s="79"/>
      <c r="AA642" s="130"/>
      <c r="AC642" s="106"/>
    </row>
    <row r="643">
      <c r="C643" s="79"/>
      <c r="D643" s="79"/>
      <c r="E643" s="79"/>
      <c r="N643" s="79"/>
      <c r="S643" s="79"/>
      <c r="T643" s="79"/>
      <c r="W643" s="79"/>
      <c r="X643" s="79"/>
      <c r="AA643" s="130"/>
      <c r="AC643" s="106"/>
    </row>
    <row r="644">
      <c r="C644" s="79"/>
      <c r="D644" s="79"/>
      <c r="E644" s="79"/>
      <c r="N644" s="79"/>
      <c r="S644" s="79"/>
      <c r="T644" s="79"/>
      <c r="W644" s="79"/>
      <c r="X644" s="79"/>
      <c r="AA644" s="130"/>
      <c r="AC644" s="106"/>
    </row>
    <row r="645">
      <c r="C645" s="79"/>
      <c r="D645" s="79"/>
      <c r="E645" s="79"/>
      <c r="N645" s="79"/>
      <c r="S645" s="79"/>
      <c r="T645" s="79"/>
      <c r="W645" s="79"/>
      <c r="X645" s="79"/>
      <c r="AA645" s="130"/>
      <c r="AC645" s="106"/>
    </row>
    <row r="646">
      <c r="C646" s="79"/>
      <c r="D646" s="79"/>
      <c r="E646" s="79"/>
      <c r="N646" s="79"/>
      <c r="S646" s="79"/>
      <c r="T646" s="79"/>
      <c r="W646" s="79"/>
      <c r="X646" s="79"/>
      <c r="AA646" s="130"/>
      <c r="AC646" s="106"/>
    </row>
    <row r="647">
      <c r="C647" s="79"/>
      <c r="D647" s="79"/>
      <c r="E647" s="79"/>
      <c r="N647" s="79"/>
      <c r="S647" s="79"/>
      <c r="T647" s="79"/>
      <c r="W647" s="79"/>
      <c r="X647" s="79"/>
      <c r="AA647" s="130"/>
      <c r="AC647" s="106"/>
    </row>
    <row r="648">
      <c r="C648" s="79"/>
      <c r="D648" s="79"/>
      <c r="E648" s="79"/>
      <c r="N648" s="79"/>
      <c r="S648" s="79"/>
      <c r="T648" s="79"/>
      <c r="W648" s="79"/>
      <c r="X648" s="79"/>
      <c r="AA648" s="130"/>
      <c r="AC648" s="106"/>
    </row>
    <row r="649">
      <c r="C649" s="79"/>
      <c r="D649" s="79"/>
      <c r="E649" s="79"/>
      <c r="N649" s="79"/>
      <c r="S649" s="79"/>
      <c r="T649" s="79"/>
      <c r="W649" s="79"/>
      <c r="X649" s="79"/>
      <c r="AA649" s="130"/>
      <c r="AC649" s="106"/>
    </row>
    <row r="650">
      <c r="C650" s="79"/>
      <c r="D650" s="79"/>
      <c r="E650" s="79"/>
      <c r="N650" s="79"/>
      <c r="S650" s="79"/>
      <c r="T650" s="79"/>
      <c r="W650" s="79"/>
      <c r="X650" s="79"/>
      <c r="AA650" s="130"/>
      <c r="AC650" s="106"/>
    </row>
    <row r="651">
      <c r="C651" s="79"/>
      <c r="D651" s="79"/>
      <c r="E651" s="79"/>
      <c r="N651" s="79"/>
      <c r="S651" s="79"/>
      <c r="T651" s="79"/>
      <c r="W651" s="79"/>
      <c r="X651" s="79"/>
      <c r="AA651" s="130"/>
      <c r="AC651" s="106"/>
    </row>
    <row r="652">
      <c r="C652" s="79"/>
      <c r="D652" s="79"/>
      <c r="E652" s="79"/>
      <c r="N652" s="79"/>
      <c r="S652" s="79"/>
      <c r="T652" s="79"/>
      <c r="W652" s="79"/>
      <c r="X652" s="79"/>
      <c r="AA652" s="130"/>
      <c r="AC652" s="106"/>
    </row>
    <row r="653">
      <c r="C653" s="79"/>
      <c r="D653" s="79"/>
      <c r="E653" s="79"/>
      <c r="N653" s="79"/>
      <c r="S653" s="79"/>
      <c r="T653" s="79"/>
      <c r="W653" s="79"/>
      <c r="X653" s="79"/>
      <c r="AA653" s="130"/>
      <c r="AC653" s="106"/>
    </row>
    <row r="654">
      <c r="C654" s="79"/>
      <c r="D654" s="79"/>
      <c r="E654" s="79"/>
      <c r="N654" s="79"/>
      <c r="S654" s="79"/>
      <c r="T654" s="79"/>
      <c r="W654" s="79"/>
      <c r="X654" s="79"/>
      <c r="AA654" s="130"/>
      <c r="AC654" s="106"/>
    </row>
    <row r="655">
      <c r="C655" s="79"/>
      <c r="D655" s="79"/>
      <c r="E655" s="79"/>
      <c r="N655" s="79"/>
      <c r="S655" s="79"/>
      <c r="T655" s="79"/>
      <c r="W655" s="79"/>
      <c r="X655" s="79"/>
      <c r="AA655" s="130"/>
      <c r="AC655" s="106"/>
    </row>
    <row r="656">
      <c r="C656" s="79"/>
      <c r="D656" s="79"/>
      <c r="E656" s="79"/>
      <c r="N656" s="79"/>
      <c r="S656" s="79"/>
      <c r="T656" s="79"/>
      <c r="W656" s="79"/>
      <c r="X656" s="79"/>
      <c r="AA656" s="130"/>
      <c r="AC656" s="106"/>
    </row>
    <row r="657">
      <c r="C657" s="79"/>
      <c r="D657" s="79"/>
      <c r="E657" s="79"/>
      <c r="N657" s="79"/>
      <c r="S657" s="79"/>
      <c r="T657" s="79"/>
      <c r="W657" s="79"/>
      <c r="X657" s="79"/>
      <c r="AA657" s="130"/>
      <c r="AC657" s="106"/>
    </row>
    <row r="658">
      <c r="C658" s="79"/>
      <c r="D658" s="79"/>
      <c r="E658" s="79"/>
      <c r="N658" s="79"/>
      <c r="S658" s="79"/>
      <c r="T658" s="79"/>
      <c r="W658" s="79"/>
      <c r="X658" s="79"/>
      <c r="AA658" s="130"/>
      <c r="AC658" s="106"/>
    </row>
    <row r="659">
      <c r="C659" s="79"/>
      <c r="D659" s="79"/>
      <c r="E659" s="79"/>
      <c r="N659" s="79"/>
      <c r="S659" s="79"/>
      <c r="T659" s="79"/>
      <c r="W659" s="79"/>
      <c r="X659" s="79"/>
      <c r="AA659" s="130"/>
      <c r="AC659" s="106"/>
    </row>
    <row r="660">
      <c r="C660" s="79"/>
      <c r="D660" s="79"/>
      <c r="E660" s="79"/>
      <c r="N660" s="79"/>
      <c r="S660" s="79"/>
      <c r="T660" s="79"/>
      <c r="W660" s="79"/>
      <c r="X660" s="79"/>
      <c r="AA660" s="130"/>
      <c r="AC660" s="106"/>
    </row>
    <row r="661">
      <c r="C661" s="79"/>
      <c r="D661" s="79"/>
      <c r="E661" s="79"/>
      <c r="N661" s="79"/>
      <c r="S661" s="79"/>
      <c r="T661" s="79"/>
      <c r="W661" s="79"/>
      <c r="X661" s="79"/>
      <c r="AA661" s="130"/>
      <c r="AC661" s="106"/>
    </row>
    <row r="662">
      <c r="C662" s="79"/>
      <c r="D662" s="79"/>
      <c r="E662" s="79"/>
      <c r="N662" s="79"/>
      <c r="S662" s="79"/>
      <c r="T662" s="79"/>
      <c r="W662" s="79"/>
      <c r="X662" s="79"/>
      <c r="AA662" s="130"/>
      <c r="AC662" s="106"/>
    </row>
    <row r="663">
      <c r="C663" s="79"/>
      <c r="D663" s="79"/>
      <c r="E663" s="79"/>
      <c r="N663" s="79"/>
      <c r="S663" s="79"/>
      <c r="T663" s="79"/>
      <c r="W663" s="79"/>
      <c r="X663" s="79"/>
      <c r="AA663" s="130"/>
      <c r="AC663" s="106"/>
    </row>
    <row r="664">
      <c r="C664" s="79"/>
      <c r="D664" s="79"/>
      <c r="E664" s="79"/>
      <c r="N664" s="79"/>
      <c r="S664" s="79"/>
      <c r="T664" s="79"/>
      <c r="W664" s="79"/>
      <c r="X664" s="79"/>
      <c r="AA664" s="130"/>
      <c r="AC664" s="106"/>
    </row>
    <row r="665">
      <c r="C665" s="79"/>
      <c r="D665" s="79"/>
      <c r="E665" s="79"/>
      <c r="N665" s="79"/>
      <c r="S665" s="79"/>
      <c r="T665" s="79"/>
      <c r="W665" s="79"/>
      <c r="X665" s="79"/>
      <c r="AA665" s="130"/>
      <c r="AC665" s="106"/>
    </row>
    <row r="666">
      <c r="C666" s="79"/>
      <c r="D666" s="79"/>
      <c r="E666" s="79"/>
      <c r="N666" s="79"/>
      <c r="S666" s="79"/>
      <c r="T666" s="79"/>
      <c r="W666" s="79"/>
      <c r="X666" s="79"/>
      <c r="AA666" s="130"/>
      <c r="AC666" s="106"/>
    </row>
    <row r="667">
      <c r="C667" s="79"/>
      <c r="D667" s="79"/>
      <c r="E667" s="79"/>
      <c r="N667" s="79"/>
      <c r="S667" s="79"/>
      <c r="T667" s="79"/>
      <c r="W667" s="79"/>
      <c r="X667" s="79"/>
      <c r="AA667" s="130"/>
      <c r="AC667" s="106"/>
    </row>
    <row r="668">
      <c r="C668" s="79"/>
      <c r="D668" s="79"/>
      <c r="E668" s="79"/>
      <c r="N668" s="79"/>
      <c r="S668" s="79"/>
      <c r="T668" s="79"/>
      <c r="W668" s="79"/>
      <c r="X668" s="79"/>
      <c r="AA668" s="130"/>
      <c r="AC668" s="106"/>
    </row>
    <row r="669">
      <c r="C669" s="79"/>
      <c r="D669" s="79"/>
      <c r="E669" s="79"/>
      <c r="N669" s="79"/>
      <c r="S669" s="79"/>
      <c r="T669" s="79"/>
      <c r="W669" s="79"/>
      <c r="X669" s="79"/>
      <c r="AA669" s="130"/>
      <c r="AC669" s="106"/>
    </row>
    <row r="670">
      <c r="C670" s="79"/>
      <c r="D670" s="79"/>
      <c r="E670" s="79"/>
      <c r="N670" s="79"/>
      <c r="S670" s="79"/>
      <c r="T670" s="79"/>
      <c r="W670" s="79"/>
      <c r="X670" s="79"/>
      <c r="AA670" s="130"/>
      <c r="AC670" s="106"/>
    </row>
    <row r="671">
      <c r="C671" s="79"/>
      <c r="D671" s="79"/>
      <c r="E671" s="79"/>
      <c r="N671" s="79"/>
      <c r="S671" s="79"/>
      <c r="T671" s="79"/>
      <c r="W671" s="79"/>
      <c r="X671" s="79"/>
      <c r="AA671" s="130"/>
      <c r="AC671" s="106"/>
    </row>
    <row r="672">
      <c r="C672" s="79"/>
      <c r="D672" s="79"/>
      <c r="E672" s="79"/>
      <c r="N672" s="79"/>
      <c r="S672" s="79"/>
      <c r="T672" s="79"/>
      <c r="W672" s="79"/>
      <c r="X672" s="79"/>
      <c r="AA672" s="130"/>
      <c r="AC672" s="106"/>
    </row>
    <row r="673">
      <c r="C673" s="79"/>
      <c r="D673" s="79"/>
      <c r="E673" s="79"/>
      <c r="N673" s="79"/>
      <c r="S673" s="79"/>
      <c r="T673" s="79"/>
      <c r="W673" s="79"/>
      <c r="X673" s="79"/>
      <c r="AA673" s="130"/>
      <c r="AC673" s="106"/>
    </row>
    <row r="674">
      <c r="C674" s="79"/>
      <c r="D674" s="79"/>
      <c r="E674" s="79"/>
      <c r="N674" s="79"/>
      <c r="S674" s="79"/>
      <c r="T674" s="79"/>
      <c r="W674" s="79"/>
      <c r="X674" s="79"/>
      <c r="AA674" s="130"/>
      <c r="AC674" s="106"/>
    </row>
    <row r="675">
      <c r="C675" s="79"/>
      <c r="D675" s="79"/>
      <c r="E675" s="79"/>
      <c r="N675" s="79"/>
      <c r="S675" s="79"/>
      <c r="T675" s="79"/>
      <c r="W675" s="79"/>
      <c r="X675" s="79"/>
      <c r="AA675" s="130"/>
      <c r="AC675" s="106"/>
    </row>
    <row r="676">
      <c r="C676" s="79"/>
      <c r="D676" s="79"/>
      <c r="E676" s="79"/>
      <c r="N676" s="79"/>
      <c r="S676" s="79"/>
      <c r="T676" s="79"/>
      <c r="W676" s="79"/>
      <c r="X676" s="79"/>
      <c r="AA676" s="130"/>
      <c r="AC676" s="106"/>
    </row>
    <row r="677">
      <c r="C677" s="79"/>
      <c r="D677" s="79"/>
      <c r="E677" s="79"/>
      <c r="N677" s="79"/>
      <c r="S677" s="79"/>
      <c r="T677" s="79"/>
      <c r="W677" s="79"/>
      <c r="X677" s="79"/>
      <c r="AA677" s="130"/>
      <c r="AC677" s="106"/>
    </row>
    <row r="678">
      <c r="C678" s="79"/>
      <c r="D678" s="79"/>
      <c r="E678" s="79"/>
      <c r="N678" s="79"/>
      <c r="S678" s="79"/>
      <c r="T678" s="79"/>
      <c r="W678" s="79"/>
      <c r="X678" s="79"/>
      <c r="AA678" s="130"/>
      <c r="AC678" s="106"/>
    </row>
    <row r="679">
      <c r="C679" s="79"/>
      <c r="D679" s="79"/>
      <c r="E679" s="79"/>
      <c r="N679" s="79"/>
      <c r="S679" s="79"/>
      <c r="T679" s="79"/>
      <c r="W679" s="79"/>
      <c r="X679" s="79"/>
      <c r="AA679" s="130"/>
      <c r="AC679" s="106"/>
    </row>
    <row r="680">
      <c r="C680" s="79"/>
      <c r="D680" s="79"/>
      <c r="E680" s="79"/>
      <c r="N680" s="79"/>
      <c r="S680" s="79"/>
      <c r="T680" s="79"/>
      <c r="W680" s="79"/>
      <c r="X680" s="79"/>
      <c r="AA680" s="130"/>
      <c r="AC680" s="106"/>
    </row>
    <row r="681">
      <c r="C681" s="79"/>
      <c r="D681" s="79"/>
      <c r="E681" s="79"/>
      <c r="N681" s="79"/>
      <c r="S681" s="79"/>
      <c r="T681" s="79"/>
      <c r="W681" s="79"/>
      <c r="X681" s="79"/>
      <c r="AA681" s="130"/>
      <c r="AC681" s="106"/>
    </row>
    <row r="682">
      <c r="C682" s="79"/>
      <c r="D682" s="79"/>
      <c r="E682" s="79"/>
      <c r="N682" s="79"/>
      <c r="S682" s="79"/>
      <c r="T682" s="79"/>
      <c r="W682" s="79"/>
      <c r="X682" s="79"/>
      <c r="AA682" s="130"/>
      <c r="AC682" s="106"/>
    </row>
    <row r="683">
      <c r="C683" s="79"/>
      <c r="D683" s="79"/>
      <c r="E683" s="79"/>
      <c r="N683" s="79"/>
      <c r="S683" s="79"/>
      <c r="T683" s="79"/>
      <c r="W683" s="79"/>
      <c r="X683" s="79"/>
      <c r="AA683" s="130"/>
      <c r="AC683" s="106"/>
    </row>
    <row r="684">
      <c r="C684" s="79"/>
      <c r="D684" s="79"/>
      <c r="E684" s="79"/>
      <c r="N684" s="79"/>
      <c r="S684" s="79"/>
      <c r="T684" s="79"/>
      <c r="W684" s="79"/>
      <c r="X684" s="79"/>
      <c r="AA684" s="130"/>
      <c r="AC684" s="106"/>
    </row>
    <row r="685">
      <c r="C685" s="79"/>
      <c r="D685" s="79"/>
      <c r="E685" s="79"/>
      <c r="N685" s="79"/>
      <c r="S685" s="79"/>
      <c r="T685" s="79"/>
      <c r="W685" s="79"/>
      <c r="X685" s="79"/>
      <c r="AA685" s="130"/>
      <c r="AC685" s="106"/>
    </row>
    <row r="686">
      <c r="C686" s="79"/>
      <c r="D686" s="79"/>
      <c r="E686" s="79"/>
      <c r="N686" s="79"/>
      <c r="S686" s="79"/>
      <c r="T686" s="79"/>
      <c r="W686" s="79"/>
      <c r="X686" s="79"/>
      <c r="AA686" s="130"/>
      <c r="AC686" s="106"/>
    </row>
    <row r="687">
      <c r="C687" s="79"/>
      <c r="D687" s="79"/>
      <c r="E687" s="79"/>
      <c r="N687" s="79"/>
      <c r="S687" s="79"/>
      <c r="T687" s="79"/>
      <c r="W687" s="79"/>
      <c r="X687" s="79"/>
      <c r="AA687" s="130"/>
      <c r="AC687" s="106"/>
    </row>
    <row r="688">
      <c r="C688" s="79"/>
      <c r="D688" s="79"/>
      <c r="E688" s="79"/>
      <c r="N688" s="79"/>
      <c r="S688" s="79"/>
      <c r="T688" s="79"/>
      <c r="W688" s="79"/>
      <c r="X688" s="79"/>
      <c r="AA688" s="130"/>
      <c r="AC688" s="106"/>
    </row>
    <row r="689">
      <c r="C689" s="79"/>
      <c r="D689" s="79"/>
      <c r="E689" s="79"/>
      <c r="N689" s="79"/>
      <c r="S689" s="79"/>
      <c r="T689" s="79"/>
      <c r="W689" s="79"/>
      <c r="X689" s="79"/>
      <c r="AA689" s="130"/>
      <c r="AC689" s="106"/>
    </row>
    <row r="690">
      <c r="C690" s="79"/>
      <c r="D690" s="79"/>
      <c r="E690" s="79"/>
      <c r="N690" s="79"/>
      <c r="S690" s="79"/>
      <c r="T690" s="79"/>
      <c r="W690" s="79"/>
      <c r="X690" s="79"/>
      <c r="AA690" s="130"/>
      <c r="AC690" s="106"/>
    </row>
    <row r="691">
      <c r="C691" s="79"/>
      <c r="D691" s="79"/>
      <c r="E691" s="79"/>
      <c r="N691" s="79"/>
      <c r="S691" s="79"/>
      <c r="T691" s="79"/>
      <c r="W691" s="79"/>
      <c r="X691" s="79"/>
      <c r="AA691" s="130"/>
      <c r="AC691" s="106"/>
    </row>
    <row r="692">
      <c r="C692" s="79"/>
      <c r="D692" s="79"/>
      <c r="E692" s="79"/>
      <c r="N692" s="79"/>
      <c r="S692" s="79"/>
      <c r="T692" s="79"/>
      <c r="W692" s="79"/>
      <c r="X692" s="79"/>
      <c r="AA692" s="130"/>
      <c r="AC692" s="106"/>
    </row>
    <row r="693">
      <c r="C693" s="79"/>
      <c r="D693" s="79"/>
      <c r="E693" s="79"/>
      <c r="N693" s="79"/>
      <c r="S693" s="79"/>
      <c r="T693" s="79"/>
      <c r="W693" s="79"/>
      <c r="X693" s="79"/>
      <c r="AA693" s="130"/>
      <c r="AC693" s="106"/>
    </row>
    <row r="694">
      <c r="C694" s="79"/>
      <c r="D694" s="79"/>
      <c r="E694" s="79"/>
      <c r="N694" s="79"/>
      <c r="S694" s="79"/>
      <c r="T694" s="79"/>
      <c r="W694" s="79"/>
      <c r="X694" s="79"/>
      <c r="AA694" s="130"/>
      <c r="AC694" s="106"/>
    </row>
    <row r="695">
      <c r="C695" s="79"/>
      <c r="D695" s="79"/>
      <c r="E695" s="79"/>
      <c r="N695" s="79"/>
      <c r="S695" s="79"/>
      <c r="T695" s="79"/>
      <c r="W695" s="79"/>
      <c r="X695" s="79"/>
      <c r="AA695" s="130"/>
      <c r="AC695" s="106"/>
    </row>
    <row r="696">
      <c r="C696" s="79"/>
      <c r="D696" s="79"/>
      <c r="E696" s="79"/>
      <c r="N696" s="79"/>
      <c r="S696" s="79"/>
      <c r="T696" s="79"/>
      <c r="W696" s="79"/>
      <c r="X696" s="79"/>
      <c r="AA696" s="130"/>
      <c r="AC696" s="106"/>
    </row>
    <row r="697">
      <c r="C697" s="79"/>
      <c r="D697" s="79"/>
      <c r="E697" s="79"/>
      <c r="N697" s="79"/>
      <c r="S697" s="79"/>
      <c r="T697" s="79"/>
      <c r="W697" s="79"/>
      <c r="X697" s="79"/>
      <c r="AA697" s="130"/>
      <c r="AC697" s="106"/>
    </row>
    <row r="698">
      <c r="C698" s="79"/>
      <c r="D698" s="79"/>
      <c r="E698" s="79"/>
      <c r="N698" s="79"/>
      <c r="S698" s="79"/>
      <c r="T698" s="79"/>
      <c r="W698" s="79"/>
      <c r="X698" s="79"/>
      <c r="AA698" s="130"/>
      <c r="AC698" s="106"/>
    </row>
    <row r="699">
      <c r="C699" s="79"/>
      <c r="D699" s="79"/>
      <c r="E699" s="79"/>
      <c r="N699" s="79"/>
      <c r="S699" s="79"/>
      <c r="T699" s="79"/>
      <c r="W699" s="79"/>
      <c r="X699" s="79"/>
      <c r="AA699" s="130"/>
      <c r="AC699" s="106"/>
    </row>
    <row r="700">
      <c r="C700" s="79"/>
      <c r="D700" s="79"/>
      <c r="E700" s="79"/>
      <c r="N700" s="79"/>
      <c r="S700" s="79"/>
      <c r="T700" s="79"/>
      <c r="W700" s="79"/>
      <c r="X700" s="79"/>
      <c r="AA700" s="130"/>
      <c r="AC700" s="106"/>
    </row>
    <row r="701">
      <c r="C701" s="79"/>
      <c r="D701" s="79"/>
      <c r="E701" s="79"/>
      <c r="N701" s="79"/>
      <c r="S701" s="79"/>
      <c r="T701" s="79"/>
      <c r="W701" s="79"/>
      <c r="X701" s="79"/>
      <c r="AA701" s="130"/>
      <c r="AC701" s="106"/>
    </row>
    <row r="702">
      <c r="C702" s="79"/>
      <c r="D702" s="79"/>
      <c r="E702" s="79"/>
      <c r="N702" s="79"/>
      <c r="S702" s="79"/>
      <c r="T702" s="79"/>
      <c r="W702" s="79"/>
      <c r="X702" s="79"/>
      <c r="AA702" s="130"/>
      <c r="AC702" s="106"/>
    </row>
    <row r="703">
      <c r="C703" s="79"/>
      <c r="D703" s="79"/>
      <c r="E703" s="79"/>
      <c r="N703" s="79"/>
      <c r="S703" s="79"/>
      <c r="T703" s="79"/>
      <c r="W703" s="79"/>
      <c r="X703" s="79"/>
      <c r="AA703" s="130"/>
      <c r="AC703" s="106"/>
    </row>
    <row r="704">
      <c r="C704" s="79"/>
      <c r="D704" s="79"/>
      <c r="E704" s="79"/>
      <c r="N704" s="79"/>
      <c r="S704" s="79"/>
      <c r="T704" s="79"/>
      <c r="W704" s="79"/>
      <c r="X704" s="79"/>
      <c r="AA704" s="130"/>
      <c r="AC704" s="106"/>
    </row>
    <row r="705">
      <c r="C705" s="79"/>
      <c r="D705" s="79"/>
      <c r="E705" s="79"/>
      <c r="N705" s="79"/>
      <c r="S705" s="79"/>
      <c r="T705" s="79"/>
      <c r="W705" s="79"/>
      <c r="X705" s="79"/>
      <c r="AA705" s="130"/>
      <c r="AC705" s="106"/>
    </row>
    <row r="706">
      <c r="C706" s="79"/>
      <c r="D706" s="79"/>
      <c r="E706" s="79"/>
      <c r="N706" s="79"/>
      <c r="S706" s="79"/>
      <c r="T706" s="79"/>
      <c r="W706" s="79"/>
      <c r="X706" s="79"/>
      <c r="AA706" s="130"/>
      <c r="AC706" s="106"/>
    </row>
    <row r="707">
      <c r="C707" s="79"/>
      <c r="D707" s="79"/>
      <c r="E707" s="79"/>
      <c r="N707" s="79"/>
      <c r="S707" s="79"/>
      <c r="T707" s="79"/>
      <c r="W707" s="79"/>
      <c r="X707" s="79"/>
      <c r="AA707" s="130"/>
      <c r="AC707" s="106"/>
    </row>
    <row r="708">
      <c r="C708" s="79"/>
      <c r="D708" s="79"/>
      <c r="E708" s="79"/>
      <c r="N708" s="79"/>
      <c r="S708" s="79"/>
      <c r="T708" s="79"/>
      <c r="W708" s="79"/>
      <c r="X708" s="79"/>
      <c r="AA708" s="130"/>
      <c r="AC708" s="106"/>
    </row>
    <row r="709">
      <c r="C709" s="79"/>
      <c r="D709" s="79"/>
      <c r="E709" s="79"/>
      <c r="N709" s="79"/>
      <c r="S709" s="79"/>
      <c r="T709" s="79"/>
      <c r="W709" s="79"/>
      <c r="X709" s="79"/>
      <c r="AA709" s="130"/>
      <c r="AC709" s="106"/>
    </row>
    <row r="710">
      <c r="C710" s="79"/>
      <c r="D710" s="79"/>
      <c r="E710" s="79"/>
      <c r="N710" s="79"/>
      <c r="S710" s="79"/>
      <c r="T710" s="79"/>
      <c r="W710" s="79"/>
      <c r="X710" s="79"/>
      <c r="AA710" s="130"/>
      <c r="AC710" s="106"/>
    </row>
    <row r="711">
      <c r="C711" s="79"/>
      <c r="D711" s="79"/>
      <c r="E711" s="79"/>
      <c r="N711" s="79"/>
      <c r="S711" s="79"/>
      <c r="T711" s="79"/>
      <c r="W711" s="79"/>
      <c r="X711" s="79"/>
      <c r="AA711" s="130"/>
      <c r="AC711" s="106"/>
    </row>
    <row r="712">
      <c r="C712" s="79"/>
      <c r="D712" s="79"/>
      <c r="E712" s="79"/>
      <c r="N712" s="79"/>
      <c r="S712" s="79"/>
      <c r="T712" s="79"/>
      <c r="W712" s="79"/>
      <c r="X712" s="79"/>
      <c r="AA712" s="130"/>
      <c r="AC712" s="106"/>
    </row>
    <row r="713">
      <c r="C713" s="79"/>
      <c r="D713" s="79"/>
      <c r="E713" s="79"/>
      <c r="N713" s="79"/>
      <c r="S713" s="79"/>
      <c r="T713" s="79"/>
      <c r="W713" s="79"/>
      <c r="X713" s="79"/>
      <c r="AA713" s="130"/>
      <c r="AC713" s="106"/>
    </row>
    <row r="714">
      <c r="C714" s="79"/>
      <c r="D714" s="79"/>
      <c r="E714" s="79"/>
      <c r="N714" s="79"/>
      <c r="S714" s="79"/>
      <c r="T714" s="79"/>
      <c r="W714" s="79"/>
      <c r="X714" s="79"/>
      <c r="AA714" s="130"/>
      <c r="AC714" s="106"/>
    </row>
    <row r="715">
      <c r="C715" s="79"/>
      <c r="D715" s="79"/>
      <c r="E715" s="79"/>
      <c r="N715" s="79"/>
      <c r="S715" s="79"/>
      <c r="T715" s="79"/>
      <c r="W715" s="79"/>
      <c r="X715" s="79"/>
      <c r="AA715" s="130"/>
      <c r="AC715" s="106"/>
    </row>
    <row r="716">
      <c r="C716" s="79"/>
      <c r="D716" s="79"/>
      <c r="E716" s="79"/>
      <c r="N716" s="79"/>
      <c r="S716" s="79"/>
      <c r="T716" s="79"/>
      <c r="W716" s="79"/>
      <c r="X716" s="79"/>
      <c r="AA716" s="130"/>
      <c r="AC716" s="106"/>
    </row>
    <row r="717">
      <c r="C717" s="79"/>
      <c r="D717" s="79"/>
      <c r="E717" s="79"/>
      <c r="N717" s="79"/>
      <c r="S717" s="79"/>
      <c r="T717" s="79"/>
      <c r="W717" s="79"/>
      <c r="X717" s="79"/>
      <c r="AA717" s="130"/>
      <c r="AC717" s="106"/>
    </row>
    <row r="718">
      <c r="C718" s="79"/>
      <c r="D718" s="79"/>
      <c r="E718" s="79"/>
      <c r="N718" s="79"/>
      <c r="S718" s="79"/>
      <c r="T718" s="79"/>
      <c r="W718" s="79"/>
      <c r="X718" s="79"/>
      <c r="AA718" s="130"/>
      <c r="AC718" s="106"/>
    </row>
    <row r="719">
      <c r="C719" s="79"/>
      <c r="D719" s="79"/>
      <c r="E719" s="79"/>
      <c r="N719" s="79"/>
      <c r="S719" s="79"/>
      <c r="T719" s="79"/>
      <c r="W719" s="79"/>
      <c r="X719" s="79"/>
      <c r="AA719" s="130"/>
      <c r="AC719" s="106"/>
    </row>
    <row r="720">
      <c r="C720" s="79"/>
      <c r="D720" s="79"/>
      <c r="E720" s="79"/>
      <c r="N720" s="79"/>
      <c r="S720" s="79"/>
      <c r="T720" s="79"/>
      <c r="W720" s="79"/>
      <c r="X720" s="79"/>
      <c r="AA720" s="130"/>
      <c r="AC720" s="106"/>
    </row>
    <row r="721">
      <c r="C721" s="79"/>
      <c r="D721" s="79"/>
      <c r="E721" s="79"/>
      <c r="N721" s="79"/>
      <c r="S721" s="79"/>
      <c r="T721" s="79"/>
      <c r="W721" s="79"/>
      <c r="X721" s="79"/>
      <c r="AA721" s="130"/>
      <c r="AC721" s="106"/>
    </row>
    <row r="722">
      <c r="C722" s="79"/>
      <c r="D722" s="79"/>
      <c r="E722" s="79"/>
      <c r="N722" s="79"/>
      <c r="S722" s="79"/>
      <c r="T722" s="79"/>
      <c r="W722" s="79"/>
      <c r="X722" s="79"/>
      <c r="AA722" s="130"/>
      <c r="AC722" s="106"/>
    </row>
    <row r="723">
      <c r="C723" s="79"/>
      <c r="D723" s="79"/>
      <c r="E723" s="79"/>
      <c r="N723" s="79"/>
      <c r="S723" s="79"/>
      <c r="T723" s="79"/>
      <c r="W723" s="79"/>
      <c r="X723" s="79"/>
      <c r="AA723" s="130"/>
      <c r="AC723" s="106"/>
    </row>
    <row r="724">
      <c r="C724" s="79"/>
      <c r="D724" s="79"/>
      <c r="E724" s="79"/>
      <c r="N724" s="79"/>
      <c r="S724" s="79"/>
      <c r="T724" s="79"/>
      <c r="W724" s="79"/>
      <c r="X724" s="79"/>
      <c r="AA724" s="130"/>
      <c r="AC724" s="106"/>
    </row>
    <row r="725">
      <c r="C725" s="79"/>
      <c r="D725" s="79"/>
      <c r="E725" s="79"/>
      <c r="N725" s="79"/>
      <c r="S725" s="79"/>
      <c r="T725" s="79"/>
      <c r="W725" s="79"/>
      <c r="X725" s="79"/>
      <c r="AA725" s="130"/>
      <c r="AC725" s="106"/>
    </row>
    <row r="726">
      <c r="C726" s="79"/>
      <c r="D726" s="79"/>
      <c r="E726" s="79"/>
      <c r="N726" s="79"/>
      <c r="S726" s="79"/>
      <c r="T726" s="79"/>
      <c r="W726" s="79"/>
      <c r="X726" s="79"/>
      <c r="AA726" s="130"/>
      <c r="AC726" s="106"/>
    </row>
    <row r="727">
      <c r="C727" s="79"/>
      <c r="D727" s="79"/>
      <c r="E727" s="79"/>
      <c r="N727" s="79"/>
      <c r="S727" s="79"/>
      <c r="T727" s="79"/>
      <c r="W727" s="79"/>
      <c r="X727" s="79"/>
      <c r="AA727" s="130"/>
      <c r="AC727" s="106"/>
    </row>
    <row r="728">
      <c r="C728" s="79"/>
      <c r="D728" s="79"/>
      <c r="E728" s="79"/>
      <c r="N728" s="79"/>
      <c r="S728" s="79"/>
      <c r="T728" s="79"/>
      <c r="W728" s="79"/>
      <c r="X728" s="79"/>
      <c r="AA728" s="130"/>
      <c r="AC728" s="106"/>
    </row>
    <row r="729">
      <c r="C729" s="79"/>
      <c r="D729" s="79"/>
      <c r="E729" s="79"/>
      <c r="N729" s="79"/>
      <c r="S729" s="79"/>
      <c r="T729" s="79"/>
      <c r="W729" s="79"/>
      <c r="X729" s="79"/>
      <c r="AA729" s="130"/>
      <c r="AC729" s="106"/>
    </row>
    <row r="730">
      <c r="C730" s="79"/>
      <c r="D730" s="79"/>
      <c r="E730" s="79"/>
      <c r="N730" s="79"/>
      <c r="S730" s="79"/>
      <c r="T730" s="79"/>
      <c r="W730" s="79"/>
      <c r="X730" s="79"/>
      <c r="AA730" s="130"/>
      <c r="AC730" s="106"/>
    </row>
    <row r="731">
      <c r="C731" s="79"/>
      <c r="D731" s="79"/>
      <c r="E731" s="79"/>
      <c r="N731" s="79"/>
      <c r="S731" s="79"/>
      <c r="T731" s="79"/>
      <c r="W731" s="79"/>
      <c r="X731" s="79"/>
      <c r="AA731" s="130"/>
      <c r="AC731" s="106"/>
    </row>
    <row r="732">
      <c r="C732" s="79"/>
      <c r="D732" s="79"/>
      <c r="E732" s="79"/>
      <c r="N732" s="79"/>
      <c r="S732" s="79"/>
      <c r="T732" s="79"/>
      <c r="W732" s="79"/>
      <c r="X732" s="79"/>
      <c r="AA732" s="130"/>
      <c r="AC732" s="106"/>
    </row>
    <row r="733">
      <c r="C733" s="79"/>
      <c r="D733" s="79"/>
      <c r="E733" s="79"/>
      <c r="N733" s="79"/>
      <c r="S733" s="79"/>
      <c r="T733" s="79"/>
      <c r="W733" s="79"/>
      <c r="X733" s="79"/>
      <c r="AA733" s="130"/>
      <c r="AC733" s="106"/>
    </row>
    <row r="734">
      <c r="C734" s="79"/>
      <c r="D734" s="79"/>
      <c r="E734" s="79"/>
      <c r="N734" s="79"/>
      <c r="S734" s="79"/>
      <c r="T734" s="79"/>
      <c r="W734" s="79"/>
      <c r="X734" s="79"/>
      <c r="AA734" s="130"/>
      <c r="AC734" s="106"/>
    </row>
    <row r="735">
      <c r="C735" s="79"/>
      <c r="D735" s="79"/>
      <c r="E735" s="79"/>
      <c r="N735" s="79"/>
      <c r="S735" s="79"/>
      <c r="T735" s="79"/>
      <c r="W735" s="79"/>
      <c r="X735" s="79"/>
      <c r="AA735" s="130"/>
      <c r="AC735" s="106"/>
    </row>
    <row r="736">
      <c r="C736" s="79"/>
      <c r="D736" s="79"/>
      <c r="E736" s="79"/>
      <c r="N736" s="79"/>
      <c r="S736" s="79"/>
      <c r="T736" s="79"/>
      <c r="W736" s="79"/>
      <c r="X736" s="79"/>
      <c r="AA736" s="130"/>
      <c r="AC736" s="106"/>
    </row>
    <row r="737">
      <c r="C737" s="79"/>
      <c r="D737" s="79"/>
      <c r="E737" s="79"/>
      <c r="N737" s="79"/>
      <c r="S737" s="79"/>
      <c r="T737" s="79"/>
      <c r="W737" s="79"/>
      <c r="X737" s="79"/>
      <c r="AA737" s="130"/>
      <c r="AC737" s="106"/>
    </row>
    <row r="738">
      <c r="C738" s="79"/>
      <c r="D738" s="79"/>
      <c r="E738" s="79"/>
      <c r="N738" s="79"/>
      <c r="S738" s="79"/>
      <c r="T738" s="79"/>
      <c r="W738" s="79"/>
      <c r="X738" s="79"/>
      <c r="AA738" s="130"/>
      <c r="AC738" s="106"/>
    </row>
    <row r="739">
      <c r="C739" s="79"/>
      <c r="D739" s="79"/>
      <c r="E739" s="79"/>
      <c r="N739" s="79"/>
      <c r="S739" s="79"/>
      <c r="T739" s="79"/>
      <c r="W739" s="79"/>
      <c r="X739" s="79"/>
      <c r="AA739" s="130"/>
      <c r="AC739" s="106"/>
    </row>
    <row r="740">
      <c r="C740" s="79"/>
      <c r="D740" s="79"/>
      <c r="E740" s="79"/>
      <c r="N740" s="79"/>
      <c r="S740" s="79"/>
      <c r="T740" s="79"/>
      <c r="W740" s="79"/>
      <c r="X740" s="79"/>
      <c r="AA740" s="130"/>
      <c r="AC740" s="106"/>
    </row>
    <row r="741">
      <c r="C741" s="79"/>
      <c r="D741" s="79"/>
      <c r="E741" s="79"/>
      <c r="N741" s="79"/>
      <c r="S741" s="79"/>
      <c r="T741" s="79"/>
      <c r="W741" s="79"/>
      <c r="X741" s="79"/>
      <c r="AA741" s="130"/>
      <c r="AC741" s="106"/>
    </row>
    <row r="742">
      <c r="C742" s="79"/>
      <c r="D742" s="79"/>
      <c r="E742" s="79"/>
      <c r="N742" s="79"/>
      <c r="S742" s="79"/>
      <c r="T742" s="79"/>
      <c r="W742" s="79"/>
      <c r="X742" s="79"/>
      <c r="AA742" s="130"/>
      <c r="AC742" s="106"/>
    </row>
    <row r="743">
      <c r="C743" s="79"/>
      <c r="D743" s="79"/>
      <c r="E743" s="79"/>
      <c r="N743" s="79"/>
      <c r="S743" s="79"/>
      <c r="T743" s="79"/>
      <c r="W743" s="79"/>
      <c r="X743" s="79"/>
      <c r="AA743" s="130"/>
      <c r="AC743" s="106"/>
    </row>
    <row r="744">
      <c r="C744" s="79"/>
      <c r="D744" s="79"/>
      <c r="E744" s="79"/>
      <c r="N744" s="79"/>
      <c r="S744" s="79"/>
      <c r="T744" s="79"/>
      <c r="W744" s="79"/>
      <c r="X744" s="79"/>
      <c r="AA744" s="130"/>
      <c r="AC744" s="106"/>
    </row>
    <row r="745">
      <c r="C745" s="79"/>
      <c r="D745" s="79"/>
      <c r="E745" s="79"/>
      <c r="N745" s="79"/>
      <c r="S745" s="79"/>
      <c r="T745" s="79"/>
      <c r="W745" s="79"/>
      <c r="X745" s="79"/>
      <c r="AA745" s="130"/>
      <c r="AC745" s="106"/>
    </row>
    <row r="746">
      <c r="C746" s="79"/>
      <c r="D746" s="79"/>
      <c r="E746" s="79"/>
      <c r="N746" s="79"/>
      <c r="S746" s="79"/>
      <c r="T746" s="79"/>
      <c r="W746" s="79"/>
      <c r="X746" s="79"/>
      <c r="AA746" s="130"/>
      <c r="AC746" s="106"/>
    </row>
    <row r="747">
      <c r="C747" s="79"/>
      <c r="D747" s="79"/>
      <c r="E747" s="79"/>
      <c r="N747" s="79"/>
      <c r="S747" s="79"/>
      <c r="T747" s="79"/>
      <c r="W747" s="79"/>
      <c r="X747" s="79"/>
      <c r="AA747" s="130"/>
      <c r="AC747" s="106"/>
    </row>
    <row r="748">
      <c r="C748" s="79"/>
      <c r="D748" s="79"/>
      <c r="E748" s="79"/>
      <c r="N748" s="79"/>
      <c r="S748" s="79"/>
      <c r="T748" s="79"/>
      <c r="W748" s="79"/>
      <c r="X748" s="79"/>
      <c r="AA748" s="130"/>
      <c r="AC748" s="106"/>
    </row>
    <row r="749">
      <c r="C749" s="79"/>
      <c r="D749" s="79"/>
      <c r="E749" s="79"/>
      <c r="N749" s="79"/>
      <c r="S749" s="79"/>
      <c r="T749" s="79"/>
      <c r="W749" s="79"/>
      <c r="X749" s="79"/>
      <c r="AA749" s="130"/>
      <c r="AC749" s="106"/>
    </row>
    <row r="750">
      <c r="C750" s="79"/>
      <c r="D750" s="79"/>
      <c r="E750" s="79"/>
      <c r="N750" s="79"/>
      <c r="S750" s="79"/>
      <c r="T750" s="79"/>
      <c r="W750" s="79"/>
      <c r="X750" s="79"/>
      <c r="AA750" s="130"/>
      <c r="AC750" s="106"/>
    </row>
    <row r="751">
      <c r="C751" s="79"/>
      <c r="D751" s="79"/>
      <c r="E751" s="79"/>
      <c r="N751" s="79"/>
      <c r="S751" s="79"/>
      <c r="T751" s="79"/>
      <c r="W751" s="79"/>
      <c r="X751" s="79"/>
      <c r="AA751" s="130"/>
      <c r="AC751" s="106"/>
    </row>
    <row r="752">
      <c r="C752" s="79"/>
      <c r="D752" s="79"/>
      <c r="E752" s="79"/>
      <c r="N752" s="79"/>
      <c r="S752" s="79"/>
      <c r="T752" s="79"/>
      <c r="W752" s="79"/>
      <c r="X752" s="79"/>
      <c r="AA752" s="130"/>
      <c r="AC752" s="106"/>
    </row>
    <row r="753">
      <c r="C753" s="79"/>
      <c r="D753" s="79"/>
      <c r="E753" s="79"/>
      <c r="N753" s="79"/>
      <c r="S753" s="79"/>
      <c r="T753" s="79"/>
      <c r="W753" s="79"/>
      <c r="X753" s="79"/>
      <c r="AA753" s="130"/>
      <c r="AC753" s="106"/>
    </row>
    <row r="754">
      <c r="C754" s="79"/>
      <c r="D754" s="79"/>
      <c r="E754" s="79"/>
      <c r="N754" s="79"/>
      <c r="S754" s="79"/>
      <c r="T754" s="79"/>
      <c r="W754" s="79"/>
      <c r="X754" s="79"/>
      <c r="AA754" s="130"/>
      <c r="AC754" s="106"/>
    </row>
    <row r="755">
      <c r="C755" s="79"/>
      <c r="D755" s="79"/>
      <c r="E755" s="79"/>
      <c r="N755" s="79"/>
      <c r="S755" s="79"/>
      <c r="T755" s="79"/>
      <c r="W755" s="79"/>
      <c r="X755" s="79"/>
      <c r="AA755" s="130"/>
      <c r="AC755" s="106"/>
    </row>
    <row r="756">
      <c r="C756" s="79"/>
      <c r="D756" s="79"/>
      <c r="E756" s="79"/>
      <c r="N756" s="79"/>
      <c r="S756" s="79"/>
      <c r="T756" s="79"/>
      <c r="W756" s="79"/>
      <c r="X756" s="79"/>
      <c r="AA756" s="130"/>
      <c r="AC756" s="106"/>
    </row>
    <row r="757">
      <c r="C757" s="79"/>
      <c r="D757" s="79"/>
      <c r="E757" s="79"/>
      <c r="N757" s="79"/>
      <c r="S757" s="79"/>
      <c r="T757" s="79"/>
      <c r="W757" s="79"/>
      <c r="X757" s="79"/>
      <c r="AA757" s="130"/>
      <c r="AC757" s="106"/>
    </row>
    <row r="758">
      <c r="C758" s="79"/>
      <c r="D758" s="79"/>
      <c r="E758" s="79"/>
      <c r="N758" s="79"/>
      <c r="S758" s="79"/>
      <c r="T758" s="79"/>
      <c r="W758" s="79"/>
      <c r="X758" s="79"/>
      <c r="AA758" s="130"/>
      <c r="AC758" s="106"/>
    </row>
    <row r="759">
      <c r="C759" s="79"/>
      <c r="D759" s="79"/>
      <c r="E759" s="79"/>
      <c r="N759" s="79"/>
      <c r="S759" s="79"/>
      <c r="T759" s="79"/>
      <c r="W759" s="79"/>
      <c r="X759" s="79"/>
      <c r="AA759" s="130"/>
      <c r="AC759" s="106"/>
    </row>
    <row r="760">
      <c r="C760" s="79"/>
      <c r="D760" s="79"/>
      <c r="E760" s="79"/>
      <c r="N760" s="79"/>
      <c r="S760" s="79"/>
      <c r="T760" s="79"/>
      <c r="W760" s="79"/>
      <c r="X760" s="79"/>
      <c r="AA760" s="130"/>
      <c r="AC760" s="106"/>
    </row>
    <row r="761">
      <c r="C761" s="79"/>
      <c r="D761" s="79"/>
      <c r="E761" s="79"/>
      <c r="N761" s="79"/>
      <c r="S761" s="79"/>
      <c r="T761" s="79"/>
      <c r="W761" s="79"/>
      <c r="X761" s="79"/>
      <c r="AA761" s="130"/>
      <c r="AC761" s="106"/>
    </row>
    <row r="762">
      <c r="C762" s="79"/>
      <c r="D762" s="79"/>
      <c r="E762" s="79"/>
      <c r="N762" s="79"/>
      <c r="S762" s="79"/>
      <c r="T762" s="79"/>
      <c r="W762" s="79"/>
      <c r="X762" s="79"/>
      <c r="AA762" s="130"/>
      <c r="AC762" s="106"/>
    </row>
    <row r="763">
      <c r="C763" s="79"/>
      <c r="D763" s="79"/>
      <c r="E763" s="79"/>
      <c r="N763" s="79"/>
      <c r="S763" s="79"/>
      <c r="T763" s="79"/>
      <c r="W763" s="79"/>
      <c r="X763" s="79"/>
      <c r="AA763" s="130"/>
      <c r="AC763" s="106"/>
    </row>
    <row r="764">
      <c r="C764" s="79"/>
      <c r="D764" s="79"/>
      <c r="E764" s="79"/>
      <c r="N764" s="79"/>
      <c r="S764" s="79"/>
      <c r="T764" s="79"/>
      <c r="W764" s="79"/>
      <c r="X764" s="79"/>
      <c r="AA764" s="130"/>
      <c r="AC764" s="106"/>
    </row>
    <row r="765">
      <c r="C765" s="79"/>
      <c r="D765" s="79"/>
      <c r="E765" s="79"/>
      <c r="N765" s="79"/>
      <c r="S765" s="79"/>
      <c r="T765" s="79"/>
      <c r="W765" s="79"/>
      <c r="X765" s="79"/>
      <c r="AA765" s="130"/>
      <c r="AC765" s="106"/>
    </row>
    <row r="766">
      <c r="C766" s="79"/>
      <c r="D766" s="79"/>
      <c r="E766" s="79"/>
      <c r="N766" s="79"/>
      <c r="S766" s="79"/>
      <c r="T766" s="79"/>
      <c r="W766" s="79"/>
      <c r="X766" s="79"/>
      <c r="AA766" s="130"/>
      <c r="AC766" s="106"/>
    </row>
    <row r="767">
      <c r="C767" s="79"/>
      <c r="D767" s="79"/>
      <c r="E767" s="79"/>
      <c r="N767" s="79"/>
      <c r="S767" s="79"/>
      <c r="T767" s="79"/>
      <c r="W767" s="79"/>
      <c r="X767" s="79"/>
      <c r="AA767" s="130"/>
      <c r="AC767" s="106"/>
    </row>
    <row r="768">
      <c r="C768" s="79"/>
      <c r="D768" s="79"/>
      <c r="E768" s="79"/>
      <c r="N768" s="79"/>
      <c r="S768" s="79"/>
      <c r="T768" s="79"/>
      <c r="W768" s="79"/>
      <c r="X768" s="79"/>
      <c r="AA768" s="130"/>
      <c r="AC768" s="106"/>
    </row>
    <row r="769">
      <c r="C769" s="79"/>
      <c r="D769" s="79"/>
      <c r="E769" s="79"/>
      <c r="N769" s="79"/>
      <c r="S769" s="79"/>
      <c r="T769" s="79"/>
      <c r="W769" s="79"/>
      <c r="X769" s="79"/>
      <c r="AA769" s="130"/>
      <c r="AC769" s="106"/>
    </row>
    <row r="770">
      <c r="C770" s="79"/>
      <c r="D770" s="79"/>
      <c r="E770" s="79"/>
      <c r="N770" s="79"/>
      <c r="S770" s="79"/>
      <c r="T770" s="79"/>
      <c r="W770" s="79"/>
      <c r="X770" s="79"/>
      <c r="AA770" s="130"/>
      <c r="AC770" s="106"/>
    </row>
    <row r="771">
      <c r="C771" s="79"/>
      <c r="D771" s="79"/>
      <c r="E771" s="79"/>
      <c r="N771" s="79"/>
      <c r="S771" s="79"/>
      <c r="T771" s="79"/>
      <c r="W771" s="79"/>
      <c r="X771" s="79"/>
      <c r="AA771" s="130"/>
      <c r="AC771" s="106"/>
    </row>
    <row r="772">
      <c r="C772" s="79"/>
      <c r="D772" s="79"/>
      <c r="E772" s="79"/>
      <c r="N772" s="79"/>
      <c r="S772" s="79"/>
      <c r="T772" s="79"/>
      <c r="W772" s="79"/>
      <c r="X772" s="79"/>
      <c r="AA772" s="130"/>
      <c r="AC772" s="106"/>
    </row>
    <row r="773">
      <c r="C773" s="79"/>
      <c r="D773" s="79"/>
      <c r="E773" s="79"/>
      <c r="N773" s="79"/>
      <c r="S773" s="79"/>
      <c r="T773" s="79"/>
      <c r="W773" s="79"/>
      <c r="X773" s="79"/>
      <c r="AA773" s="130"/>
      <c r="AC773" s="106"/>
    </row>
    <row r="774">
      <c r="C774" s="79"/>
      <c r="D774" s="79"/>
      <c r="E774" s="79"/>
      <c r="N774" s="79"/>
      <c r="S774" s="79"/>
      <c r="T774" s="79"/>
      <c r="W774" s="79"/>
      <c r="X774" s="79"/>
      <c r="AA774" s="130"/>
      <c r="AC774" s="106"/>
    </row>
    <row r="775">
      <c r="C775" s="79"/>
      <c r="D775" s="79"/>
      <c r="E775" s="79"/>
      <c r="N775" s="79"/>
      <c r="S775" s="79"/>
      <c r="T775" s="79"/>
      <c r="W775" s="79"/>
      <c r="X775" s="79"/>
      <c r="AA775" s="130"/>
      <c r="AC775" s="106"/>
    </row>
    <row r="776">
      <c r="C776" s="79"/>
      <c r="D776" s="79"/>
      <c r="E776" s="79"/>
      <c r="N776" s="79"/>
      <c r="S776" s="79"/>
      <c r="T776" s="79"/>
      <c r="W776" s="79"/>
      <c r="X776" s="79"/>
      <c r="AA776" s="130"/>
      <c r="AC776" s="106"/>
    </row>
    <row r="777">
      <c r="C777" s="79"/>
      <c r="D777" s="79"/>
      <c r="E777" s="79"/>
      <c r="N777" s="79"/>
      <c r="S777" s="79"/>
      <c r="T777" s="79"/>
      <c r="W777" s="79"/>
      <c r="X777" s="79"/>
      <c r="AA777" s="130"/>
      <c r="AC777" s="106"/>
    </row>
    <row r="778">
      <c r="C778" s="79"/>
      <c r="D778" s="79"/>
      <c r="E778" s="79"/>
      <c r="N778" s="79"/>
      <c r="S778" s="79"/>
      <c r="T778" s="79"/>
      <c r="W778" s="79"/>
      <c r="X778" s="79"/>
      <c r="AA778" s="130"/>
      <c r="AC778" s="106"/>
    </row>
    <row r="779">
      <c r="C779" s="79"/>
      <c r="D779" s="79"/>
      <c r="E779" s="79"/>
      <c r="N779" s="79"/>
      <c r="S779" s="79"/>
      <c r="T779" s="79"/>
      <c r="W779" s="79"/>
      <c r="X779" s="79"/>
      <c r="AA779" s="130"/>
      <c r="AC779" s="106"/>
    </row>
    <row r="780">
      <c r="C780" s="79"/>
      <c r="D780" s="79"/>
      <c r="E780" s="79"/>
      <c r="N780" s="79"/>
      <c r="S780" s="79"/>
      <c r="T780" s="79"/>
      <c r="W780" s="79"/>
      <c r="X780" s="79"/>
      <c r="AA780" s="130"/>
      <c r="AC780" s="106"/>
    </row>
    <row r="781">
      <c r="C781" s="79"/>
      <c r="D781" s="79"/>
      <c r="E781" s="79"/>
      <c r="N781" s="79"/>
      <c r="S781" s="79"/>
      <c r="T781" s="79"/>
      <c r="W781" s="79"/>
      <c r="X781" s="79"/>
      <c r="AA781" s="130"/>
      <c r="AC781" s="106"/>
    </row>
    <row r="782">
      <c r="C782" s="79"/>
      <c r="D782" s="79"/>
      <c r="E782" s="79"/>
      <c r="N782" s="79"/>
      <c r="S782" s="79"/>
      <c r="T782" s="79"/>
      <c r="W782" s="79"/>
      <c r="X782" s="79"/>
      <c r="AA782" s="130"/>
      <c r="AC782" s="106"/>
    </row>
    <row r="783">
      <c r="C783" s="79"/>
      <c r="D783" s="79"/>
      <c r="E783" s="79"/>
      <c r="N783" s="79"/>
      <c r="S783" s="79"/>
      <c r="T783" s="79"/>
      <c r="W783" s="79"/>
      <c r="X783" s="79"/>
      <c r="AA783" s="130"/>
      <c r="AC783" s="106"/>
    </row>
    <row r="784">
      <c r="C784" s="79"/>
      <c r="D784" s="79"/>
      <c r="E784" s="79"/>
      <c r="N784" s="79"/>
      <c r="S784" s="79"/>
      <c r="T784" s="79"/>
      <c r="W784" s="79"/>
      <c r="X784" s="79"/>
      <c r="AA784" s="130"/>
      <c r="AC784" s="106"/>
    </row>
    <row r="785">
      <c r="C785" s="79"/>
      <c r="D785" s="79"/>
      <c r="E785" s="79"/>
      <c r="N785" s="79"/>
      <c r="S785" s="79"/>
      <c r="T785" s="79"/>
      <c r="W785" s="79"/>
      <c r="X785" s="79"/>
      <c r="AA785" s="130"/>
      <c r="AC785" s="106"/>
    </row>
    <row r="786">
      <c r="C786" s="79"/>
      <c r="D786" s="79"/>
      <c r="E786" s="79"/>
      <c r="N786" s="79"/>
      <c r="S786" s="79"/>
      <c r="T786" s="79"/>
      <c r="W786" s="79"/>
      <c r="X786" s="79"/>
      <c r="AA786" s="130"/>
      <c r="AC786" s="106"/>
    </row>
    <row r="787">
      <c r="C787" s="79"/>
      <c r="D787" s="79"/>
      <c r="E787" s="79"/>
      <c r="N787" s="79"/>
      <c r="S787" s="79"/>
      <c r="T787" s="79"/>
      <c r="W787" s="79"/>
      <c r="X787" s="79"/>
      <c r="AA787" s="130"/>
      <c r="AC787" s="106"/>
    </row>
    <row r="788">
      <c r="C788" s="79"/>
      <c r="D788" s="79"/>
      <c r="E788" s="79"/>
      <c r="N788" s="79"/>
      <c r="S788" s="79"/>
      <c r="T788" s="79"/>
      <c r="W788" s="79"/>
      <c r="X788" s="79"/>
      <c r="AA788" s="130"/>
      <c r="AC788" s="106"/>
    </row>
    <row r="789">
      <c r="C789" s="79"/>
      <c r="D789" s="79"/>
      <c r="E789" s="79"/>
      <c r="N789" s="79"/>
      <c r="S789" s="79"/>
      <c r="T789" s="79"/>
      <c r="W789" s="79"/>
      <c r="X789" s="79"/>
      <c r="AA789" s="130"/>
      <c r="AC789" s="106"/>
    </row>
    <row r="790">
      <c r="C790" s="79"/>
      <c r="D790" s="79"/>
      <c r="E790" s="79"/>
      <c r="N790" s="79"/>
      <c r="S790" s="79"/>
      <c r="T790" s="79"/>
      <c r="W790" s="79"/>
      <c r="X790" s="79"/>
      <c r="AA790" s="130"/>
      <c r="AC790" s="106"/>
    </row>
    <row r="791">
      <c r="C791" s="79"/>
      <c r="D791" s="79"/>
      <c r="E791" s="79"/>
      <c r="N791" s="79"/>
      <c r="S791" s="79"/>
      <c r="T791" s="79"/>
      <c r="W791" s="79"/>
      <c r="X791" s="79"/>
      <c r="AA791" s="130"/>
      <c r="AC791" s="106"/>
    </row>
    <row r="792">
      <c r="C792" s="79"/>
      <c r="D792" s="79"/>
      <c r="E792" s="79"/>
      <c r="N792" s="79"/>
      <c r="S792" s="79"/>
      <c r="T792" s="79"/>
      <c r="W792" s="79"/>
      <c r="X792" s="79"/>
      <c r="AA792" s="130"/>
      <c r="AC792" s="106"/>
    </row>
    <row r="793">
      <c r="C793" s="79"/>
      <c r="D793" s="79"/>
      <c r="E793" s="79"/>
      <c r="N793" s="79"/>
      <c r="S793" s="79"/>
      <c r="T793" s="79"/>
      <c r="W793" s="79"/>
      <c r="X793" s="79"/>
      <c r="AA793" s="130"/>
      <c r="AC793" s="106"/>
    </row>
    <row r="794">
      <c r="C794" s="79"/>
      <c r="D794" s="79"/>
      <c r="E794" s="79"/>
      <c r="N794" s="79"/>
      <c r="S794" s="79"/>
      <c r="T794" s="79"/>
      <c r="W794" s="79"/>
      <c r="X794" s="79"/>
      <c r="AA794" s="130"/>
      <c r="AC794" s="106"/>
    </row>
    <row r="795">
      <c r="C795" s="79"/>
      <c r="D795" s="79"/>
      <c r="E795" s="79"/>
      <c r="N795" s="79"/>
      <c r="S795" s="79"/>
      <c r="T795" s="79"/>
      <c r="W795" s="79"/>
      <c r="X795" s="79"/>
      <c r="AA795" s="130"/>
      <c r="AC795" s="106"/>
    </row>
    <row r="796">
      <c r="C796" s="79"/>
      <c r="D796" s="79"/>
      <c r="E796" s="79"/>
      <c r="N796" s="79"/>
      <c r="S796" s="79"/>
      <c r="T796" s="79"/>
      <c r="W796" s="79"/>
      <c r="X796" s="79"/>
      <c r="AA796" s="130"/>
      <c r="AC796" s="106"/>
    </row>
    <row r="797">
      <c r="C797" s="79"/>
      <c r="D797" s="79"/>
      <c r="E797" s="79"/>
      <c r="N797" s="79"/>
      <c r="S797" s="79"/>
      <c r="T797" s="79"/>
      <c r="W797" s="79"/>
      <c r="X797" s="79"/>
      <c r="AA797" s="130"/>
      <c r="AC797" s="106"/>
    </row>
    <row r="798">
      <c r="C798" s="79"/>
      <c r="D798" s="79"/>
      <c r="E798" s="79"/>
      <c r="N798" s="79"/>
      <c r="S798" s="79"/>
      <c r="T798" s="79"/>
      <c r="W798" s="79"/>
      <c r="X798" s="79"/>
      <c r="AA798" s="130"/>
      <c r="AC798" s="106"/>
    </row>
    <row r="799">
      <c r="C799" s="79"/>
      <c r="D799" s="79"/>
      <c r="E799" s="79"/>
      <c r="N799" s="79"/>
      <c r="S799" s="79"/>
      <c r="T799" s="79"/>
      <c r="W799" s="79"/>
      <c r="X799" s="79"/>
      <c r="AA799" s="130"/>
      <c r="AC799" s="106"/>
    </row>
    <row r="800">
      <c r="C800" s="79"/>
      <c r="D800" s="79"/>
      <c r="E800" s="79"/>
      <c r="N800" s="79"/>
      <c r="S800" s="79"/>
      <c r="T800" s="79"/>
      <c r="W800" s="79"/>
      <c r="X800" s="79"/>
      <c r="AA800" s="130"/>
      <c r="AC800" s="106"/>
    </row>
    <row r="801">
      <c r="C801" s="79"/>
      <c r="D801" s="79"/>
      <c r="E801" s="79"/>
      <c r="N801" s="79"/>
      <c r="S801" s="79"/>
      <c r="T801" s="79"/>
      <c r="W801" s="79"/>
      <c r="X801" s="79"/>
      <c r="AA801" s="130"/>
      <c r="AC801" s="106"/>
    </row>
    <row r="802">
      <c r="C802" s="79"/>
      <c r="D802" s="79"/>
      <c r="E802" s="79"/>
      <c r="N802" s="79"/>
      <c r="S802" s="79"/>
      <c r="T802" s="79"/>
      <c r="W802" s="79"/>
      <c r="X802" s="79"/>
      <c r="AA802" s="130"/>
      <c r="AC802" s="106"/>
    </row>
    <row r="803">
      <c r="C803" s="79"/>
      <c r="D803" s="79"/>
      <c r="E803" s="79"/>
      <c r="N803" s="79"/>
      <c r="S803" s="79"/>
      <c r="T803" s="79"/>
      <c r="W803" s="79"/>
      <c r="X803" s="79"/>
      <c r="AA803" s="130"/>
      <c r="AC803" s="106"/>
    </row>
    <row r="804">
      <c r="C804" s="79"/>
      <c r="D804" s="79"/>
      <c r="E804" s="79"/>
      <c r="N804" s="79"/>
      <c r="S804" s="79"/>
      <c r="T804" s="79"/>
      <c r="W804" s="79"/>
      <c r="X804" s="79"/>
      <c r="AA804" s="130"/>
      <c r="AC804" s="106"/>
    </row>
    <row r="805">
      <c r="C805" s="79"/>
      <c r="D805" s="79"/>
      <c r="E805" s="79"/>
      <c r="N805" s="79"/>
      <c r="S805" s="79"/>
      <c r="T805" s="79"/>
      <c r="W805" s="79"/>
      <c r="X805" s="79"/>
      <c r="AA805" s="130"/>
      <c r="AC805" s="106"/>
    </row>
    <row r="806">
      <c r="C806" s="79"/>
      <c r="D806" s="79"/>
      <c r="E806" s="79"/>
      <c r="N806" s="79"/>
      <c r="S806" s="79"/>
      <c r="T806" s="79"/>
      <c r="W806" s="79"/>
      <c r="X806" s="79"/>
      <c r="AA806" s="130"/>
      <c r="AC806" s="106"/>
    </row>
    <row r="807">
      <c r="C807" s="79"/>
      <c r="D807" s="79"/>
      <c r="E807" s="79"/>
      <c r="N807" s="79"/>
      <c r="S807" s="79"/>
      <c r="T807" s="79"/>
      <c r="W807" s="79"/>
      <c r="X807" s="79"/>
      <c r="AA807" s="130"/>
      <c r="AC807" s="106"/>
    </row>
    <row r="808">
      <c r="C808" s="79"/>
      <c r="D808" s="79"/>
      <c r="E808" s="79"/>
      <c r="N808" s="79"/>
      <c r="S808" s="79"/>
      <c r="T808" s="79"/>
      <c r="W808" s="79"/>
      <c r="X808" s="79"/>
      <c r="AA808" s="130"/>
      <c r="AC808" s="106"/>
    </row>
    <row r="809">
      <c r="C809" s="79"/>
      <c r="D809" s="79"/>
      <c r="E809" s="79"/>
      <c r="N809" s="79"/>
      <c r="S809" s="79"/>
      <c r="T809" s="79"/>
      <c r="W809" s="79"/>
      <c r="X809" s="79"/>
      <c r="AA809" s="130"/>
      <c r="AC809" s="106"/>
    </row>
    <row r="810">
      <c r="C810" s="79"/>
      <c r="D810" s="79"/>
      <c r="E810" s="79"/>
      <c r="N810" s="79"/>
      <c r="S810" s="79"/>
      <c r="T810" s="79"/>
      <c r="W810" s="79"/>
      <c r="X810" s="79"/>
      <c r="AA810" s="130"/>
      <c r="AC810" s="106"/>
    </row>
    <row r="811">
      <c r="C811" s="79"/>
      <c r="D811" s="79"/>
      <c r="E811" s="79"/>
      <c r="N811" s="79"/>
      <c r="S811" s="79"/>
      <c r="T811" s="79"/>
      <c r="W811" s="79"/>
      <c r="X811" s="79"/>
      <c r="AA811" s="130"/>
      <c r="AC811" s="106"/>
    </row>
    <row r="812">
      <c r="C812" s="79"/>
      <c r="D812" s="79"/>
      <c r="E812" s="79"/>
      <c r="N812" s="79"/>
      <c r="S812" s="79"/>
      <c r="T812" s="79"/>
      <c r="W812" s="79"/>
      <c r="X812" s="79"/>
      <c r="AA812" s="130"/>
      <c r="AC812" s="106"/>
    </row>
    <row r="813">
      <c r="C813" s="79"/>
      <c r="D813" s="79"/>
      <c r="E813" s="79"/>
      <c r="N813" s="79"/>
      <c r="S813" s="79"/>
      <c r="T813" s="79"/>
      <c r="W813" s="79"/>
      <c r="X813" s="79"/>
      <c r="AA813" s="130"/>
      <c r="AC813" s="106"/>
    </row>
    <row r="814">
      <c r="C814" s="79"/>
      <c r="D814" s="79"/>
      <c r="E814" s="79"/>
      <c r="N814" s="79"/>
      <c r="S814" s="79"/>
      <c r="T814" s="79"/>
      <c r="W814" s="79"/>
      <c r="X814" s="79"/>
      <c r="AA814" s="130"/>
      <c r="AC814" s="106"/>
    </row>
    <row r="815">
      <c r="C815" s="79"/>
      <c r="D815" s="79"/>
      <c r="E815" s="79"/>
      <c r="N815" s="79"/>
      <c r="S815" s="79"/>
      <c r="T815" s="79"/>
      <c r="W815" s="79"/>
      <c r="X815" s="79"/>
      <c r="AA815" s="130"/>
      <c r="AC815" s="106"/>
    </row>
    <row r="816">
      <c r="C816" s="79"/>
      <c r="D816" s="79"/>
      <c r="E816" s="79"/>
      <c r="N816" s="79"/>
      <c r="S816" s="79"/>
      <c r="T816" s="79"/>
      <c r="W816" s="79"/>
      <c r="X816" s="79"/>
      <c r="AA816" s="130"/>
      <c r="AC816" s="106"/>
    </row>
    <row r="817">
      <c r="C817" s="79"/>
      <c r="D817" s="79"/>
      <c r="E817" s="79"/>
      <c r="N817" s="79"/>
      <c r="S817" s="79"/>
      <c r="T817" s="79"/>
      <c r="W817" s="79"/>
      <c r="X817" s="79"/>
      <c r="AA817" s="130"/>
      <c r="AC817" s="106"/>
    </row>
    <row r="818">
      <c r="C818" s="79"/>
      <c r="D818" s="79"/>
      <c r="E818" s="79"/>
      <c r="N818" s="79"/>
      <c r="S818" s="79"/>
      <c r="T818" s="79"/>
      <c r="W818" s="79"/>
      <c r="X818" s="79"/>
      <c r="AA818" s="130"/>
      <c r="AC818" s="106"/>
    </row>
    <row r="819">
      <c r="C819" s="79"/>
      <c r="D819" s="79"/>
      <c r="E819" s="79"/>
      <c r="N819" s="79"/>
      <c r="S819" s="79"/>
      <c r="T819" s="79"/>
      <c r="W819" s="79"/>
      <c r="X819" s="79"/>
      <c r="AA819" s="130"/>
      <c r="AC819" s="106"/>
    </row>
    <row r="820">
      <c r="C820" s="79"/>
      <c r="D820" s="79"/>
      <c r="E820" s="79"/>
      <c r="N820" s="79"/>
      <c r="S820" s="79"/>
      <c r="T820" s="79"/>
      <c r="W820" s="79"/>
      <c r="X820" s="79"/>
      <c r="AA820" s="130"/>
      <c r="AC820" s="106"/>
    </row>
    <row r="821">
      <c r="C821" s="79"/>
      <c r="D821" s="79"/>
      <c r="E821" s="79"/>
      <c r="N821" s="79"/>
      <c r="S821" s="79"/>
      <c r="T821" s="79"/>
      <c r="W821" s="79"/>
      <c r="X821" s="79"/>
      <c r="AA821" s="130"/>
      <c r="AC821" s="106"/>
    </row>
    <row r="822">
      <c r="C822" s="79"/>
      <c r="D822" s="79"/>
      <c r="E822" s="79"/>
      <c r="N822" s="79"/>
      <c r="S822" s="79"/>
      <c r="T822" s="79"/>
      <c r="W822" s="79"/>
      <c r="X822" s="79"/>
      <c r="AA822" s="130"/>
      <c r="AC822" s="106"/>
    </row>
    <row r="823">
      <c r="C823" s="79"/>
      <c r="D823" s="79"/>
      <c r="E823" s="79"/>
      <c r="N823" s="79"/>
      <c r="S823" s="79"/>
      <c r="T823" s="79"/>
      <c r="W823" s="79"/>
      <c r="X823" s="79"/>
      <c r="AA823" s="130"/>
      <c r="AC823" s="106"/>
    </row>
    <row r="824">
      <c r="C824" s="79"/>
      <c r="D824" s="79"/>
      <c r="E824" s="79"/>
      <c r="N824" s="79"/>
      <c r="S824" s="79"/>
      <c r="T824" s="79"/>
      <c r="W824" s="79"/>
      <c r="X824" s="79"/>
      <c r="AA824" s="130"/>
      <c r="AC824" s="106"/>
    </row>
    <row r="825">
      <c r="C825" s="79"/>
      <c r="D825" s="79"/>
      <c r="E825" s="79"/>
      <c r="N825" s="79"/>
      <c r="S825" s="79"/>
      <c r="T825" s="79"/>
      <c r="W825" s="79"/>
      <c r="X825" s="79"/>
      <c r="AA825" s="130"/>
      <c r="AC825" s="106"/>
    </row>
    <row r="826">
      <c r="C826" s="79"/>
      <c r="D826" s="79"/>
      <c r="E826" s="79"/>
      <c r="N826" s="79"/>
      <c r="S826" s="79"/>
      <c r="T826" s="79"/>
      <c r="W826" s="79"/>
      <c r="X826" s="79"/>
      <c r="AA826" s="130"/>
      <c r="AC826" s="106"/>
    </row>
    <row r="827">
      <c r="C827" s="79"/>
      <c r="D827" s="79"/>
      <c r="E827" s="79"/>
      <c r="N827" s="79"/>
      <c r="S827" s="79"/>
      <c r="T827" s="79"/>
      <c r="W827" s="79"/>
      <c r="X827" s="79"/>
      <c r="AA827" s="130"/>
      <c r="AC827" s="106"/>
    </row>
    <row r="828">
      <c r="C828" s="79"/>
      <c r="D828" s="79"/>
      <c r="E828" s="79"/>
      <c r="N828" s="79"/>
      <c r="S828" s="79"/>
      <c r="T828" s="79"/>
      <c r="W828" s="79"/>
      <c r="X828" s="79"/>
      <c r="AA828" s="130"/>
      <c r="AC828" s="106"/>
    </row>
    <row r="829">
      <c r="C829" s="79"/>
      <c r="D829" s="79"/>
      <c r="E829" s="79"/>
      <c r="N829" s="79"/>
      <c r="S829" s="79"/>
      <c r="T829" s="79"/>
      <c r="W829" s="79"/>
      <c r="X829" s="79"/>
      <c r="AA829" s="130"/>
      <c r="AC829" s="106"/>
    </row>
    <row r="830">
      <c r="C830" s="79"/>
      <c r="D830" s="79"/>
      <c r="E830" s="79"/>
      <c r="N830" s="79"/>
      <c r="S830" s="79"/>
      <c r="T830" s="79"/>
      <c r="W830" s="79"/>
      <c r="X830" s="79"/>
      <c r="AA830" s="130"/>
      <c r="AC830" s="106"/>
    </row>
    <row r="831">
      <c r="C831" s="79"/>
      <c r="D831" s="79"/>
      <c r="E831" s="79"/>
      <c r="N831" s="79"/>
      <c r="S831" s="79"/>
      <c r="T831" s="79"/>
      <c r="W831" s="79"/>
      <c r="X831" s="79"/>
      <c r="AA831" s="130"/>
      <c r="AC831" s="106"/>
    </row>
    <row r="832">
      <c r="C832" s="79"/>
      <c r="D832" s="79"/>
      <c r="E832" s="79"/>
      <c r="N832" s="79"/>
      <c r="S832" s="79"/>
      <c r="T832" s="79"/>
      <c r="W832" s="79"/>
      <c r="X832" s="79"/>
      <c r="AA832" s="130"/>
      <c r="AC832" s="106"/>
    </row>
    <row r="833">
      <c r="C833" s="79"/>
      <c r="D833" s="79"/>
      <c r="E833" s="79"/>
      <c r="N833" s="79"/>
      <c r="S833" s="79"/>
      <c r="T833" s="79"/>
      <c r="W833" s="79"/>
      <c r="X833" s="79"/>
      <c r="AA833" s="130"/>
      <c r="AC833" s="106"/>
    </row>
    <row r="834">
      <c r="C834" s="79"/>
      <c r="D834" s="79"/>
      <c r="E834" s="79"/>
      <c r="N834" s="79"/>
      <c r="S834" s="79"/>
      <c r="T834" s="79"/>
      <c r="W834" s="79"/>
      <c r="X834" s="79"/>
      <c r="AA834" s="130"/>
      <c r="AC834" s="106"/>
    </row>
    <row r="835">
      <c r="C835" s="79"/>
      <c r="D835" s="79"/>
      <c r="E835" s="79"/>
      <c r="N835" s="79"/>
      <c r="S835" s="79"/>
      <c r="T835" s="79"/>
      <c r="W835" s="79"/>
      <c r="X835" s="79"/>
      <c r="AA835" s="130"/>
      <c r="AC835" s="106"/>
    </row>
    <row r="836">
      <c r="C836" s="79"/>
      <c r="D836" s="79"/>
      <c r="E836" s="79"/>
      <c r="N836" s="79"/>
      <c r="S836" s="79"/>
      <c r="T836" s="79"/>
      <c r="W836" s="79"/>
      <c r="X836" s="79"/>
      <c r="AA836" s="130"/>
      <c r="AC836" s="106"/>
    </row>
    <row r="837">
      <c r="C837" s="79"/>
      <c r="D837" s="79"/>
      <c r="E837" s="79"/>
      <c r="N837" s="79"/>
      <c r="S837" s="79"/>
      <c r="T837" s="79"/>
      <c r="W837" s="79"/>
      <c r="X837" s="79"/>
      <c r="AA837" s="130"/>
      <c r="AC837" s="106"/>
    </row>
    <row r="838">
      <c r="C838" s="79"/>
      <c r="D838" s="79"/>
      <c r="E838" s="79"/>
      <c r="N838" s="79"/>
      <c r="S838" s="79"/>
      <c r="T838" s="79"/>
      <c r="W838" s="79"/>
      <c r="X838" s="79"/>
      <c r="AA838" s="130"/>
      <c r="AC838" s="106"/>
    </row>
    <row r="839">
      <c r="C839" s="79"/>
      <c r="D839" s="79"/>
      <c r="E839" s="79"/>
      <c r="N839" s="79"/>
      <c r="S839" s="79"/>
      <c r="T839" s="79"/>
      <c r="W839" s="79"/>
      <c r="X839" s="79"/>
      <c r="AA839" s="130"/>
      <c r="AC839" s="106"/>
    </row>
    <row r="840">
      <c r="C840" s="79"/>
      <c r="D840" s="79"/>
      <c r="E840" s="79"/>
      <c r="N840" s="79"/>
      <c r="S840" s="79"/>
      <c r="T840" s="79"/>
      <c r="W840" s="79"/>
      <c r="X840" s="79"/>
      <c r="AA840" s="130"/>
      <c r="AC840" s="106"/>
    </row>
    <row r="841">
      <c r="C841" s="79"/>
      <c r="D841" s="79"/>
      <c r="E841" s="79"/>
      <c r="N841" s="79"/>
      <c r="S841" s="79"/>
      <c r="T841" s="79"/>
      <c r="W841" s="79"/>
      <c r="X841" s="79"/>
      <c r="AA841" s="130"/>
      <c r="AC841" s="106"/>
    </row>
    <row r="842">
      <c r="C842" s="79"/>
      <c r="D842" s="79"/>
      <c r="E842" s="79"/>
      <c r="N842" s="79"/>
      <c r="S842" s="79"/>
      <c r="T842" s="79"/>
      <c r="W842" s="79"/>
      <c r="X842" s="79"/>
      <c r="AA842" s="130"/>
      <c r="AC842" s="106"/>
    </row>
    <row r="843">
      <c r="C843" s="79"/>
      <c r="D843" s="79"/>
      <c r="E843" s="79"/>
      <c r="N843" s="79"/>
      <c r="S843" s="79"/>
      <c r="T843" s="79"/>
      <c r="W843" s="79"/>
      <c r="X843" s="79"/>
      <c r="AA843" s="130"/>
      <c r="AC843" s="106"/>
    </row>
    <row r="844">
      <c r="C844" s="79"/>
      <c r="D844" s="79"/>
      <c r="E844" s="79"/>
      <c r="N844" s="79"/>
      <c r="S844" s="79"/>
      <c r="T844" s="79"/>
      <c r="W844" s="79"/>
      <c r="X844" s="79"/>
      <c r="AA844" s="130"/>
      <c r="AC844" s="106"/>
    </row>
    <row r="845">
      <c r="C845" s="79"/>
      <c r="D845" s="79"/>
      <c r="E845" s="79"/>
      <c r="N845" s="79"/>
      <c r="S845" s="79"/>
      <c r="T845" s="79"/>
      <c r="W845" s="79"/>
      <c r="X845" s="79"/>
      <c r="AA845" s="130"/>
      <c r="AC845" s="106"/>
    </row>
    <row r="846">
      <c r="C846" s="79"/>
      <c r="D846" s="79"/>
      <c r="E846" s="79"/>
      <c r="N846" s="79"/>
      <c r="S846" s="79"/>
      <c r="T846" s="79"/>
      <c r="W846" s="79"/>
      <c r="X846" s="79"/>
      <c r="AA846" s="130"/>
      <c r="AC846" s="106"/>
    </row>
    <row r="847">
      <c r="C847" s="79"/>
      <c r="D847" s="79"/>
      <c r="E847" s="79"/>
      <c r="N847" s="79"/>
      <c r="S847" s="79"/>
      <c r="T847" s="79"/>
      <c r="W847" s="79"/>
      <c r="X847" s="79"/>
      <c r="AA847" s="130"/>
      <c r="AC847" s="106"/>
    </row>
    <row r="848">
      <c r="C848" s="79"/>
      <c r="D848" s="79"/>
      <c r="E848" s="79"/>
      <c r="N848" s="79"/>
      <c r="S848" s="79"/>
      <c r="T848" s="79"/>
      <c r="W848" s="79"/>
      <c r="X848" s="79"/>
      <c r="AA848" s="130"/>
      <c r="AC848" s="106"/>
    </row>
    <row r="849">
      <c r="C849" s="79"/>
      <c r="D849" s="79"/>
      <c r="E849" s="79"/>
      <c r="N849" s="79"/>
      <c r="S849" s="79"/>
      <c r="T849" s="79"/>
      <c r="W849" s="79"/>
      <c r="X849" s="79"/>
      <c r="AA849" s="130"/>
      <c r="AC849" s="106"/>
    </row>
    <row r="850">
      <c r="C850" s="79"/>
      <c r="D850" s="79"/>
      <c r="E850" s="79"/>
      <c r="N850" s="79"/>
      <c r="S850" s="79"/>
      <c r="T850" s="79"/>
      <c r="W850" s="79"/>
      <c r="X850" s="79"/>
      <c r="AA850" s="130"/>
      <c r="AC850" s="106"/>
    </row>
    <row r="851">
      <c r="C851" s="79"/>
      <c r="D851" s="79"/>
      <c r="E851" s="79"/>
      <c r="N851" s="79"/>
      <c r="S851" s="79"/>
      <c r="T851" s="79"/>
      <c r="W851" s="79"/>
      <c r="X851" s="79"/>
      <c r="AA851" s="130"/>
      <c r="AC851" s="106"/>
    </row>
    <row r="852">
      <c r="C852" s="79"/>
      <c r="D852" s="79"/>
      <c r="E852" s="79"/>
      <c r="N852" s="79"/>
      <c r="S852" s="79"/>
      <c r="T852" s="79"/>
      <c r="W852" s="79"/>
      <c r="X852" s="79"/>
      <c r="AA852" s="130"/>
      <c r="AC852" s="106"/>
    </row>
    <row r="853">
      <c r="C853" s="79"/>
      <c r="D853" s="79"/>
      <c r="E853" s="79"/>
      <c r="N853" s="79"/>
      <c r="S853" s="79"/>
      <c r="T853" s="79"/>
      <c r="W853" s="79"/>
      <c r="X853" s="79"/>
      <c r="AA853" s="130"/>
      <c r="AC853" s="106"/>
    </row>
    <row r="854">
      <c r="C854" s="79"/>
      <c r="D854" s="79"/>
      <c r="E854" s="79"/>
      <c r="N854" s="79"/>
      <c r="S854" s="79"/>
      <c r="T854" s="79"/>
      <c r="W854" s="79"/>
      <c r="X854" s="79"/>
      <c r="AA854" s="130"/>
      <c r="AC854" s="106"/>
    </row>
    <row r="855">
      <c r="C855" s="79"/>
      <c r="D855" s="79"/>
      <c r="E855" s="79"/>
      <c r="N855" s="79"/>
      <c r="S855" s="79"/>
      <c r="T855" s="79"/>
      <c r="W855" s="79"/>
      <c r="X855" s="79"/>
      <c r="AA855" s="130"/>
      <c r="AC855" s="106"/>
    </row>
    <row r="856">
      <c r="C856" s="79"/>
      <c r="D856" s="79"/>
      <c r="E856" s="79"/>
      <c r="N856" s="79"/>
      <c r="S856" s="79"/>
      <c r="T856" s="79"/>
      <c r="W856" s="79"/>
      <c r="X856" s="79"/>
      <c r="AA856" s="130"/>
      <c r="AC856" s="106"/>
    </row>
    <row r="857">
      <c r="C857" s="79"/>
      <c r="D857" s="79"/>
      <c r="E857" s="79"/>
      <c r="N857" s="79"/>
      <c r="S857" s="79"/>
      <c r="T857" s="79"/>
      <c r="W857" s="79"/>
      <c r="X857" s="79"/>
      <c r="AA857" s="130"/>
      <c r="AC857" s="106"/>
    </row>
    <row r="858">
      <c r="C858" s="79"/>
      <c r="D858" s="79"/>
      <c r="E858" s="79"/>
      <c r="N858" s="79"/>
      <c r="S858" s="79"/>
      <c r="T858" s="79"/>
      <c r="W858" s="79"/>
      <c r="X858" s="79"/>
      <c r="AA858" s="130"/>
      <c r="AC858" s="106"/>
    </row>
    <row r="859">
      <c r="C859" s="79"/>
      <c r="D859" s="79"/>
      <c r="E859" s="79"/>
      <c r="N859" s="79"/>
      <c r="S859" s="79"/>
      <c r="T859" s="79"/>
      <c r="W859" s="79"/>
      <c r="X859" s="79"/>
      <c r="AA859" s="130"/>
      <c r="AC859" s="106"/>
    </row>
    <row r="860">
      <c r="C860" s="79"/>
      <c r="D860" s="79"/>
      <c r="E860" s="79"/>
      <c r="N860" s="79"/>
      <c r="S860" s="79"/>
      <c r="T860" s="79"/>
      <c r="W860" s="79"/>
      <c r="X860" s="79"/>
      <c r="AA860" s="130"/>
      <c r="AC860" s="106"/>
    </row>
    <row r="861">
      <c r="C861" s="79"/>
      <c r="D861" s="79"/>
      <c r="E861" s="79"/>
      <c r="N861" s="79"/>
      <c r="S861" s="79"/>
      <c r="T861" s="79"/>
      <c r="W861" s="79"/>
      <c r="X861" s="79"/>
      <c r="AA861" s="130"/>
      <c r="AC861" s="106"/>
    </row>
    <row r="862">
      <c r="C862" s="79"/>
      <c r="D862" s="79"/>
      <c r="E862" s="79"/>
      <c r="N862" s="79"/>
      <c r="S862" s="79"/>
      <c r="T862" s="79"/>
      <c r="W862" s="79"/>
      <c r="X862" s="79"/>
      <c r="AA862" s="130"/>
      <c r="AC862" s="106"/>
    </row>
    <row r="863">
      <c r="C863" s="79"/>
      <c r="D863" s="79"/>
      <c r="E863" s="79"/>
      <c r="N863" s="79"/>
      <c r="S863" s="79"/>
      <c r="T863" s="79"/>
      <c r="W863" s="79"/>
      <c r="X863" s="79"/>
      <c r="AA863" s="130"/>
      <c r="AC863" s="106"/>
    </row>
    <row r="864">
      <c r="C864" s="79"/>
      <c r="D864" s="79"/>
      <c r="E864" s="79"/>
      <c r="N864" s="79"/>
      <c r="S864" s="79"/>
      <c r="T864" s="79"/>
      <c r="W864" s="79"/>
      <c r="X864" s="79"/>
      <c r="AA864" s="130"/>
      <c r="AC864" s="106"/>
    </row>
    <row r="865">
      <c r="C865" s="79"/>
      <c r="D865" s="79"/>
      <c r="E865" s="79"/>
      <c r="N865" s="79"/>
      <c r="S865" s="79"/>
      <c r="T865" s="79"/>
      <c r="W865" s="79"/>
      <c r="X865" s="79"/>
      <c r="AA865" s="130"/>
      <c r="AC865" s="106"/>
    </row>
    <row r="866">
      <c r="C866" s="79"/>
      <c r="D866" s="79"/>
      <c r="E866" s="79"/>
      <c r="N866" s="79"/>
      <c r="S866" s="79"/>
      <c r="T866" s="79"/>
      <c r="W866" s="79"/>
      <c r="X866" s="79"/>
      <c r="AA866" s="130"/>
      <c r="AC866" s="106"/>
    </row>
    <row r="867">
      <c r="C867" s="79"/>
      <c r="D867" s="79"/>
      <c r="E867" s="79"/>
      <c r="N867" s="79"/>
      <c r="S867" s="79"/>
      <c r="T867" s="79"/>
      <c r="W867" s="79"/>
      <c r="X867" s="79"/>
      <c r="AA867" s="130"/>
      <c r="AC867" s="106"/>
    </row>
    <row r="868">
      <c r="C868" s="79"/>
      <c r="D868" s="79"/>
      <c r="E868" s="79"/>
      <c r="N868" s="79"/>
      <c r="S868" s="79"/>
      <c r="T868" s="79"/>
      <c r="W868" s="79"/>
      <c r="X868" s="79"/>
      <c r="AA868" s="130"/>
      <c r="AC868" s="106"/>
    </row>
    <row r="869">
      <c r="C869" s="79"/>
      <c r="D869" s="79"/>
      <c r="E869" s="79"/>
      <c r="N869" s="79"/>
      <c r="S869" s="79"/>
      <c r="T869" s="79"/>
      <c r="W869" s="79"/>
      <c r="X869" s="79"/>
      <c r="AA869" s="130"/>
      <c r="AC869" s="106"/>
    </row>
    <row r="870">
      <c r="C870" s="79"/>
      <c r="D870" s="79"/>
      <c r="E870" s="79"/>
      <c r="N870" s="79"/>
      <c r="S870" s="79"/>
      <c r="T870" s="79"/>
      <c r="W870" s="79"/>
      <c r="X870" s="79"/>
      <c r="AA870" s="130"/>
      <c r="AC870" s="106"/>
    </row>
    <row r="871">
      <c r="C871" s="79"/>
      <c r="D871" s="79"/>
      <c r="E871" s="79"/>
      <c r="N871" s="79"/>
      <c r="S871" s="79"/>
      <c r="T871" s="79"/>
      <c r="W871" s="79"/>
      <c r="X871" s="79"/>
      <c r="AA871" s="130"/>
      <c r="AC871" s="106"/>
    </row>
    <row r="872">
      <c r="C872" s="79"/>
      <c r="D872" s="79"/>
      <c r="E872" s="79"/>
      <c r="N872" s="79"/>
      <c r="S872" s="79"/>
      <c r="T872" s="79"/>
      <c r="W872" s="79"/>
      <c r="X872" s="79"/>
      <c r="AA872" s="130"/>
      <c r="AC872" s="106"/>
    </row>
    <row r="873">
      <c r="C873" s="79"/>
      <c r="D873" s="79"/>
      <c r="E873" s="79"/>
      <c r="N873" s="79"/>
      <c r="S873" s="79"/>
      <c r="T873" s="79"/>
      <c r="W873" s="79"/>
      <c r="X873" s="79"/>
      <c r="AA873" s="130"/>
      <c r="AC873" s="106"/>
    </row>
    <row r="874">
      <c r="C874" s="79"/>
      <c r="D874" s="79"/>
      <c r="E874" s="79"/>
      <c r="N874" s="79"/>
      <c r="S874" s="79"/>
      <c r="T874" s="79"/>
      <c r="W874" s="79"/>
      <c r="X874" s="79"/>
      <c r="AA874" s="130"/>
      <c r="AC874" s="106"/>
    </row>
    <row r="875">
      <c r="C875" s="79"/>
      <c r="D875" s="79"/>
      <c r="E875" s="79"/>
      <c r="N875" s="79"/>
      <c r="S875" s="79"/>
      <c r="T875" s="79"/>
      <c r="W875" s="79"/>
      <c r="X875" s="79"/>
      <c r="AA875" s="130"/>
      <c r="AC875" s="106"/>
    </row>
    <row r="876">
      <c r="C876" s="79"/>
      <c r="D876" s="79"/>
      <c r="E876" s="79"/>
      <c r="N876" s="79"/>
      <c r="S876" s="79"/>
      <c r="T876" s="79"/>
      <c r="W876" s="79"/>
      <c r="X876" s="79"/>
      <c r="AA876" s="130"/>
      <c r="AC876" s="106"/>
    </row>
    <row r="877">
      <c r="C877" s="79"/>
      <c r="D877" s="79"/>
      <c r="E877" s="79"/>
      <c r="N877" s="79"/>
      <c r="S877" s="79"/>
      <c r="T877" s="79"/>
      <c r="W877" s="79"/>
      <c r="X877" s="79"/>
      <c r="AA877" s="130"/>
      <c r="AC877" s="106"/>
    </row>
    <row r="878">
      <c r="C878" s="79"/>
      <c r="D878" s="79"/>
      <c r="E878" s="79"/>
      <c r="N878" s="79"/>
      <c r="S878" s="79"/>
      <c r="T878" s="79"/>
      <c r="W878" s="79"/>
      <c r="X878" s="79"/>
      <c r="AA878" s="130"/>
      <c r="AC878" s="106"/>
    </row>
    <row r="879">
      <c r="C879" s="79"/>
      <c r="D879" s="79"/>
      <c r="E879" s="79"/>
      <c r="N879" s="79"/>
      <c r="S879" s="79"/>
      <c r="T879" s="79"/>
      <c r="W879" s="79"/>
      <c r="X879" s="79"/>
      <c r="AA879" s="130"/>
      <c r="AC879" s="106"/>
    </row>
    <row r="880">
      <c r="C880" s="79"/>
      <c r="D880" s="79"/>
      <c r="E880" s="79"/>
      <c r="N880" s="79"/>
      <c r="S880" s="79"/>
      <c r="T880" s="79"/>
      <c r="W880" s="79"/>
      <c r="X880" s="79"/>
      <c r="AA880" s="130"/>
      <c r="AC880" s="106"/>
    </row>
    <row r="881">
      <c r="C881" s="79"/>
      <c r="D881" s="79"/>
      <c r="E881" s="79"/>
      <c r="N881" s="79"/>
      <c r="S881" s="79"/>
      <c r="T881" s="79"/>
      <c r="W881" s="79"/>
      <c r="X881" s="79"/>
      <c r="AA881" s="130"/>
      <c r="AC881" s="106"/>
    </row>
    <row r="882">
      <c r="C882" s="79"/>
      <c r="D882" s="79"/>
      <c r="E882" s="79"/>
      <c r="N882" s="79"/>
      <c r="S882" s="79"/>
      <c r="T882" s="79"/>
      <c r="W882" s="79"/>
      <c r="X882" s="79"/>
      <c r="AA882" s="130"/>
      <c r="AC882" s="106"/>
    </row>
    <row r="883">
      <c r="C883" s="79"/>
      <c r="D883" s="79"/>
      <c r="E883" s="79"/>
      <c r="N883" s="79"/>
      <c r="S883" s="79"/>
      <c r="T883" s="79"/>
      <c r="W883" s="79"/>
      <c r="X883" s="79"/>
      <c r="AA883" s="130"/>
      <c r="AC883" s="106"/>
    </row>
    <row r="884">
      <c r="C884" s="79"/>
      <c r="D884" s="79"/>
      <c r="E884" s="79"/>
      <c r="N884" s="79"/>
      <c r="S884" s="79"/>
      <c r="T884" s="79"/>
      <c r="W884" s="79"/>
      <c r="X884" s="79"/>
      <c r="AA884" s="130"/>
      <c r="AC884" s="106"/>
    </row>
    <row r="885">
      <c r="C885" s="79"/>
      <c r="D885" s="79"/>
      <c r="E885" s="79"/>
      <c r="N885" s="79"/>
      <c r="S885" s="79"/>
      <c r="T885" s="79"/>
      <c r="W885" s="79"/>
      <c r="X885" s="79"/>
      <c r="AA885" s="130"/>
      <c r="AC885" s="106"/>
    </row>
    <row r="886">
      <c r="C886" s="79"/>
      <c r="D886" s="79"/>
      <c r="E886" s="79"/>
      <c r="N886" s="79"/>
      <c r="S886" s="79"/>
      <c r="T886" s="79"/>
      <c r="W886" s="79"/>
      <c r="X886" s="79"/>
      <c r="AA886" s="130"/>
      <c r="AC886" s="106"/>
    </row>
    <row r="887">
      <c r="C887" s="79"/>
      <c r="D887" s="79"/>
      <c r="E887" s="79"/>
      <c r="N887" s="79"/>
      <c r="S887" s="79"/>
      <c r="T887" s="79"/>
      <c r="W887" s="79"/>
      <c r="X887" s="79"/>
      <c r="AA887" s="130"/>
      <c r="AC887" s="106"/>
    </row>
    <row r="888">
      <c r="C888" s="79"/>
      <c r="D888" s="79"/>
      <c r="E888" s="79"/>
      <c r="N888" s="79"/>
      <c r="S888" s="79"/>
      <c r="T888" s="79"/>
      <c r="W888" s="79"/>
      <c r="X888" s="79"/>
      <c r="AA888" s="130"/>
      <c r="AC888" s="106"/>
    </row>
    <row r="889">
      <c r="C889" s="79"/>
      <c r="D889" s="79"/>
      <c r="E889" s="79"/>
      <c r="N889" s="79"/>
      <c r="S889" s="79"/>
      <c r="T889" s="79"/>
      <c r="W889" s="79"/>
      <c r="X889" s="79"/>
      <c r="AA889" s="130"/>
      <c r="AC889" s="106"/>
    </row>
    <row r="890">
      <c r="C890" s="79"/>
      <c r="D890" s="79"/>
      <c r="E890" s="79"/>
      <c r="N890" s="79"/>
      <c r="S890" s="79"/>
      <c r="T890" s="79"/>
      <c r="W890" s="79"/>
      <c r="X890" s="79"/>
      <c r="AA890" s="130"/>
      <c r="AC890" s="106"/>
    </row>
    <row r="891">
      <c r="C891" s="79"/>
      <c r="D891" s="79"/>
      <c r="E891" s="79"/>
      <c r="N891" s="79"/>
      <c r="S891" s="79"/>
      <c r="T891" s="79"/>
      <c r="W891" s="79"/>
      <c r="X891" s="79"/>
      <c r="AA891" s="130"/>
      <c r="AC891" s="106"/>
    </row>
    <row r="892">
      <c r="C892" s="79"/>
      <c r="D892" s="79"/>
      <c r="E892" s="79"/>
      <c r="N892" s="79"/>
      <c r="S892" s="79"/>
      <c r="T892" s="79"/>
      <c r="W892" s="79"/>
      <c r="X892" s="79"/>
      <c r="AA892" s="130"/>
      <c r="AC892" s="106"/>
    </row>
    <row r="893">
      <c r="C893" s="79"/>
      <c r="D893" s="79"/>
      <c r="E893" s="79"/>
      <c r="N893" s="79"/>
      <c r="S893" s="79"/>
      <c r="T893" s="79"/>
      <c r="W893" s="79"/>
      <c r="X893" s="79"/>
      <c r="AA893" s="130"/>
      <c r="AC893" s="106"/>
    </row>
    <row r="894">
      <c r="C894" s="79"/>
      <c r="D894" s="79"/>
      <c r="E894" s="79"/>
      <c r="N894" s="79"/>
      <c r="S894" s="79"/>
      <c r="T894" s="79"/>
      <c r="W894" s="79"/>
      <c r="X894" s="79"/>
      <c r="AA894" s="130"/>
      <c r="AC894" s="106"/>
    </row>
    <row r="895">
      <c r="C895" s="79"/>
      <c r="D895" s="79"/>
      <c r="E895" s="79"/>
      <c r="N895" s="79"/>
      <c r="S895" s="79"/>
      <c r="T895" s="79"/>
      <c r="W895" s="79"/>
      <c r="X895" s="79"/>
      <c r="AA895" s="130"/>
      <c r="AC895" s="106"/>
    </row>
    <row r="896">
      <c r="C896" s="79"/>
      <c r="D896" s="79"/>
      <c r="E896" s="79"/>
      <c r="N896" s="79"/>
      <c r="S896" s="79"/>
      <c r="T896" s="79"/>
      <c r="W896" s="79"/>
      <c r="X896" s="79"/>
      <c r="AA896" s="130"/>
      <c r="AC896" s="106"/>
    </row>
    <row r="897">
      <c r="C897" s="79"/>
      <c r="D897" s="79"/>
      <c r="E897" s="79"/>
      <c r="N897" s="79"/>
      <c r="S897" s="79"/>
      <c r="T897" s="79"/>
      <c r="W897" s="79"/>
      <c r="X897" s="79"/>
      <c r="AA897" s="130"/>
      <c r="AC897" s="106"/>
    </row>
    <row r="898">
      <c r="C898" s="79"/>
      <c r="D898" s="79"/>
      <c r="E898" s="79"/>
      <c r="N898" s="79"/>
      <c r="S898" s="79"/>
      <c r="T898" s="79"/>
      <c r="W898" s="79"/>
      <c r="X898" s="79"/>
      <c r="AA898" s="130"/>
      <c r="AC898" s="106"/>
    </row>
    <row r="899">
      <c r="C899" s="79"/>
      <c r="D899" s="79"/>
      <c r="E899" s="79"/>
      <c r="N899" s="79"/>
      <c r="S899" s="79"/>
      <c r="T899" s="79"/>
      <c r="W899" s="79"/>
      <c r="X899" s="79"/>
      <c r="AA899" s="130"/>
      <c r="AC899" s="106"/>
    </row>
    <row r="900">
      <c r="C900" s="79"/>
      <c r="D900" s="79"/>
      <c r="E900" s="79"/>
      <c r="N900" s="79"/>
      <c r="S900" s="79"/>
      <c r="T900" s="79"/>
      <c r="W900" s="79"/>
      <c r="X900" s="79"/>
      <c r="AA900" s="130"/>
      <c r="AC900" s="106"/>
    </row>
    <row r="901">
      <c r="C901" s="79"/>
      <c r="D901" s="79"/>
      <c r="E901" s="79"/>
      <c r="N901" s="79"/>
      <c r="S901" s="79"/>
      <c r="T901" s="79"/>
      <c r="W901" s="79"/>
      <c r="X901" s="79"/>
      <c r="AA901" s="130"/>
      <c r="AC901" s="106"/>
    </row>
    <row r="902">
      <c r="C902" s="79"/>
      <c r="D902" s="79"/>
      <c r="E902" s="79"/>
      <c r="N902" s="79"/>
      <c r="S902" s="79"/>
      <c r="T902" s="79"/>
      <c r="W902" s="79"/>
      <c r="X902" s="79"/>
      <c r="AA902" s="130"/>
      <c r="AC902" s="106"/>
    </row>
    <row r="903">
      <c r="C903" s="79"/>
      <c r="D903" s="79"/>
      <c r="E903" s="79"/>
      <c r="N903" s="79"/>
      <c r="S903" s="79"/>
      <c r="T903" s="79"/>
      <c r="W903" s="79"/>
      <c r="X903" s="79"/>
      <c r="AA903" s="130"/>
      <c r="AC903" s="106"/>
    </row>
    <row r="904">
      <c r="C904" s="79"/>
      <c r="D904" s="79"/>
      <c r="E904" s="79"/>
      <c r="N904" s="79"/>
      <c r="S904" s="79"/>
      <c r="T904" s="79"/>
      <c r="W904" s="79"/>
      <c r="X904" s="79"/>
      <c r="AA904" s="130"/>
      <c r="AC904" s="106"/>
    </row>
    <row r="905">
      <c r="C905" s="79"/>
      <c r="D905" s="79"/>
      <c r="E905" s="79"/>
      <c r="N905" s="79"/>
      <c r="S905" s="79"/>
      <c r="T905" s="79"/>
      <c r="W905" s="79"/>
      <c r="X905" s="79"/>
      <c r="AA905" s="130"/>
      <c r="AC905" s="106"/>
    </row>
    <row r="906">
      <c r="C906" s="79"/>
      <c r="D906" s="79"/>
      <c r="E906" s="79"/>
      <c r="N906" s="79"/>
      <c r="S906" s="79"/>
      <c r="T906" s="79"/>
      <c r="W906" s="79"/>
      <c r="X906" s="79"/>
      <c r="AA906" s="130"/>
      <c r="AC906" s="106"/>
    </row>
    <row r="907">
      <c r="C907" s="79"/>
      <c r="D907" s="79"/>
      <c r="E907" s="79"/>
      <c r="N907" s="79"/>
      <c r="S907" s="79"/>
      <c r="T907" s="79"/>
      <c r="W907" s="79"/>
      <c r="X907" s="79"/>
      <c r="AA907" s="130"/>
      <c r="AC907" s="106"/>
    </row>
    <row r="908">
      <c r="C908" s="79"/>
      <c r="D908" s="79"/>
      <c r="E908" s="79"/>
      <c r="N908" s="79"/>
      <c r="S908" s="79"/>
      <c r="T908" s="79"/>
      <c r="W908" s="79"/>
      <c r="X908" s="79"/>
      <c r="AA908" s="130"/>
      <c r="AC908" s="106"/>
    </row>
    <row r="909">
      <c r="C909" s="79"/>
      <c r="D909" s="79"/>
      <c r="E909" s="79"/>
      <c r="N909" s="79"/>
      <c r="S909" s="79"/>
      <c r="T909" s="79"/>
      <c r="W909" s="79"/>
      <c r="X909" s="79"/>
      <c r="AA909" s="130"/>
      <c r="AC909" s="106"/>
    </row>
    <row r="910">
      <c r="C910" s="79"/>
      <c r="D910" s="79"/>
      <c r="E910" s="79"/>
      <c r="N910" s="79"/>
      <c r="S910" s="79"/>
      <c r="T910" s="79"/>
      <c r="W910" s="79"/>
      <c r="X910" s="79"/>
      <c r="AA910" s="130"/>
      <c r="AC910" s="106"/>
    </row>
    <row r="911">
      <c r="C911" s="79"/>
      <c r="D911" s="79"/>
      <c r="E911" s="79"/>
      <c r="N911" s="79"/>
      <c r="S911" s="79"/>
      <c r="T911" s="79"/>
      <c r="W911" s="79"/>
      <c r="X911" s="79"/>
      <c r="AA911" s="130"/>
      <c r="AC911" s="106"/>
    </row>
    <row r="912">
      <c r="C912" s="79"/>
      <c r="D912" s="79"/>
      <c r="E912" s="79"/>
      <c r="N912" s="79"/>
      <c r="S912" s="79"/>
      <c r="T912" s="79"/>
      <c r="W912" s="79"/>
      <c r="X912" s="79"/>
      <c r="AA912" s="130"/>
      <c r="AC912" s="106"/>
    </row>
    <row r="913">
      <c r="C913" s="79"/>
      <c r="D913" s="79"/>
      <c r="E913" s="79"/>
      <c r="N913" s="79"/>
      <c r="S913" s="79"/>
      <c r="T913" s="79"/>
      <c r="W913" s="79"/>
      <c r="X913" s="79"/>
      <c r="AA913" s="130"/>
      <c r="AC913" s="106"/>
    </row>
    <row r="914">
      <c r="C914" s="79"/>
      <c r="D914" s="79"/>
      <c r="E914" s="79"/>
      <c r="N914" s="79"/>
      <c r="S914" s="79"/>
      <c r="T914" s="79"/>
      <c r="W914" s="79"/>
      <c r="X914" s="79"/>
      <c r="AA914" s="130"/>
      <c r="AC914" s="106"/>
    </row>
    <row r="915">
      <c r="C915" s="79"/>
      <c r="D915" s="79"/>
      <c r="E915" s="79"/>
      <c r="N915" s="79"/>
      <c r="S915" s="79"/>
      <c r="T915" s="79"/>
      <c r="W915" s="79"/>
      <c r="X915" s="79"/>
      <c r="AA915" s="130"/>
      <c r="AC915" s="106"/>
    </row>
    <row r="916">
      <c r="C916" s="79"/>
      <c r="D916" s="79"/>
      <c r="E916" s="79"/>
      <c r="N916" s="79"/>
      <c r="S916" s="79"/>
      <c r="T916" s="79"/>
      <c r="W916" s="79"/>
      <c r="X916" s="79"/>
      <c r="AA916" s="130"/>
      <c r="AC916" s="106"/>
    </row>
    <row r="917">
      <c r="C917" s="79"/>
      <c r="D917" s="79"/>
      <c r="E917" s="79"/>
      <c r="N917" s="79"/>
      <c r="S917" s="79"/>
      <c r="T917" s="79"/>
      <c r="W917" s="79"/>
      <c r="X917" s="79"/>
      <c r="AA917" s="130"/>
      <c r="AC917" s="106"/>
    </row>
    <row r="918">
      <c r="C918" s="79"/>
      <c r="D918" s="79"/>
      <c r="E918" s="79"/>
      <c r="N918" s="79"/>
      <c r="S918" s="79"/>
      <c r="T918" s="79"/>
      <c r="W918" s="79"/>
      <c r="X918" s="79"/>
      <c r="AA918" s="130"/>
      <c r="AC918" s="106"/>
    </row>
    <row r="919">
      <c r="C919" s="79"/>
      <c r="D919" s="79"/>
      <c r="E919" s="79"/>
      <c r="N919" s="79"/>
      <c r="S919" s="79"/>
      <c r="T919" s="79"/>
      <c r="W919" s="79"/>
      <c r="X919" s="79"/>
      <c r="AA919" s="130"/>
      <c r="AC919" s="106"/>
    </row>
    <row r="920">
      <c r="C920" s="79"/>
      <c r="D920" s="79"/>
      <c r="E920" s="79"/>
      <c r="N920" s="79"/>
      <c r="S920" s="79"/>
      <c r="T920" s="79"/>
      <c r="W920" s="79"/>
      <c r="X920" s="79"/>
      <c r="AA920" s="130"/>
      <c r="AC920" s="106"/>
    </row>
    <row r="921">
      <c r="C921" s="79"/>
      <c r="D921" s="79"/>
      <c r="E921" s="79"/>
      <c r="N921" s="79"/>
      <c r="S921" s="79"/>
      <c r="T921" s="79"/>
      <c r="W921" s="79"/>
      <c r="X921" s="79"/>
      <c r="AA921" s="130"/>
      <c r="AC921" s="106"/>
    </row>
    <row r="922">
      <c r="C922" s="79"/>
      <c r="D922" s="79"/>
      <c r="E922" s="79"/>
      <c r="N922" s="79"/>
      <c r="S922" s="79"/>
      <c r="T922" s="79"/>
      <c r="W922" s="79"/>
      <c r="X922" s="79"/>
      <c r="AA922" s="130"/>
      <c r="AC922" s="106"/>
    </row>
    <row r="923">
      <c r="C923" s="79"/>
      <c r="D923" s="79"/>
      <c r="E923" s="79"/>
      <c r="N923" s="79"/>
      <c r="S923" s="79"/>
      <c r="T923" s="79"/>
      <c r="W923" s="79"/>
      <c r="X923" s="79"/>
      <c r="AA923" s="130"/>
      <c r="AC923" s="106"/>
    </row>
    <row r="924">
      <c r="C924" s="79"/>
      <c r="D924" s="79"/>
      <c r="E924" s="79"/>
      <c r="N924" s="79"/>
      <c r="S924" s="79"/>
      <c r="T924" s="79"/>
      <c r="W924" s="79"/>
      <c r="X924" s="79"/>
      <c r="AA924" s="130"/>
      <c r="AC924" s="106"/>
    </row>
    <row r="925">
      <c r="C925" s="79"/>
      <c r="D925" s="79"/>
      <c r="E925" s="79"/>
      <c r="N925" s="79"/>
      <c r="S925" s="79"/>
      <c r="T925" s="79"/>
      <c r="W925" s="79"/>
      <c r="X925" s="79"/>
      <c r="AA925" s="130"/>
      <c r="AC925" s="106"/>
    </row>
    <row r="926">
      <c r="C926" s="79"/>
      <c r="D926" s="79"/>
      <c r="E926" s="79"/>
      <c r="N926" s="79"/>
      <c r="S926" s="79"/>
      <c r="T926" s="79"/>
      <c r="W926" s="79"/>
      <c r="X926" s="79"/>
      <c r="AA926" s="130"/>
      <c r="AC926" s="106"/>
    </row>
    <row r="927">
      <c r="C927" s="79"/>
      <c r="D927" s="79"/>
      <c r="E927" s="79"/>
      <c r="N927" s="79"/>
      <c r="S927" s="79"/>
      <c r="T927" s="79"/>
      <c r="W927" s="79"/>
      <c r="X927" s="79"/>
      <c r="AA927" s="130"/>
      <c r="AC927" s="106"/>
    </row>
    <row r="928">
      <c r="C928" s="79"/>
      <c r="D928" s="79"/>
      <c r="E928" s="79"/>
      <c r="N928" s="79"/>
      <c r="S928" s="79"/>
      <c r="T928" s="79"/>
      <c r="W928" s="79"/>
      <c r="X928" s="79"/>
      <c r="AA928" s="130"/>
      <c r="AC928" s="106"/>
    </row>
    <row r="929">
      <c r="C929" s="79"/>
      <c r="D929" s="79"/>
      <c r="E929" s="79"/>
      <c r="N929" s="79"/>
      <c r="S929" s="79"/>
      <c r="T929" s="79"/>
      <c r="W929" s="79"/>
      <c r="X929" s="79"/>
      <c r="AA929" s="130"/>
      <c r="AC929" s="106"/>
    </row>
    <row r="930">
      <c r="C930" s="79"/>
      <c r="D930" s="79"/>
      <c r="E930" s="79"/>
      <c r="N930" s="79"/>
      <c r="S930" s="79"/>
      <c r="T930" s="79"/>
      <c r="W930" s="79"/>
      <c r="X930" s="79"/>
      <c r="AA930" s="130"/>
      <c r="AC930" s="106"/>
    </row>
    <row r="931">
      <c r="C931" s="79"/>
      <c r="D931" s="79"/>
      <c r="E931" s="79"/>
      <c r="N931" s="79"/>
      <c r="S931" s="79"/>
      <c r="T931" s="79"/>
      <c r="W931" s="79"/>
      <c r="X931" s="79"/>
      <c r="AA931" s="130"/>
      <c r="AC931" s="106"/>
    </row>
    <row r="932">
      <c r="C932" s="79"/>
      <c r="D932" s="79"/>
      <c r="E932" s="79"/>
      <c r="N932" s="79"/>
      <c r="S932" s="79"/>
      <c r="T932" s="79"/>
      <c r="W932" s="79"/>
      <c r="X932" s="79"/>
      <c r="AA932" s="130"/>
      <c r="AC932" s="106"/>
    </row>
    <row r="933">
      <c r="C933" s="79"/>
      <c r="D933" s="79"/>
      <c r="E933" s="79"/>
      <c r="N933" s="79"/>
      <c r="S933" s="79"/>
      <c r="T933" s="79"/>
      <c r="W933" s="79"/>
      <c r="X933" s="79"/>
      <c r="AA933" s="130"/>
      <c r="AC933" s="106"/>
    </row>
    <row r="934">
      <c r="C934" s="79"/>
      <c r="D934" s="79"/>
      <c r="E934" s="79"/>
      <c r="N934" s="79"/>
      <c r="S934" s="79"/>
      <c r="T934" s="79"/>
      <c r="W934" s="79"/>
      <c r="X934" s="79"/>
      <c r="AA934" s="130"/>
      <c r="AC934" s="106"/>
    </row>
    <row r="935">
      <c r="C935" s="79"/>
      <c r="D935" s="79"/>
      <c r="E935" s="79"/>
      <c r="N935" s="79"/>
      <c r="S935" s="79"/>
      <c r="T935" s="79"/>
      <c r="W935" s="79"/>
      <c r="X935" s="79"/>
      <c r="AA935" s="130"/>
      <c r="AC935" s="106"/>
    </row>
    <row r="936">
      <c r="C936" s="79"/>
      <c r="D936" s="79"/>
      <c r="E936" s="79"/>
      <c r="N936" s="79"/>
      <c r="S936" s="79"/>
      <c r="T936" s="79"/>
      <c r="W936" s="79"/>
      <c r="X936" s="79"/>
      <c r="AA936" s="130"/>
      <c r="AC936" s="106"/>
    </row>
  </sheetData>
  <drawing r:id="rId2"/>
  <legacyDrawing r:id="rId3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5" max="5" width="20.63"/>
    <col customWidth="1" min="8" max="8" width="13.25"/>
    <col customWidth="1" min="25" max="25" width="14.63"/>
    <col customWidth="1" min="29" max="29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129</v>
      </c>
      <c r="J1" s="2" t="s">
        <v>5</v>
      </c>
      <c r="K1" s="2" t="s">
        <v>204</v>
      </c>
      <c r="L1" s="2" t="s">
        <v>6</v>
      </c>
      <c r="M1" s="2" t="s">
        <v>12</v>
      </c>
      <c r="N1" s="105" t="s">
        <v>40</v>
      </c>
      <c r="O1" s="2" t="s">
        <v>49</v>
      </c>
      <c r="P1" s="2" t="s">
        <v>42</v>
      </c>
      <c r="Q1" s="2" t="s">
        <v>121</v>
      </c>
      <c r="R1" s="2" t="s">
        <v>164</v>
      </c>
      <c r="S1" s="105" t="s">
        <v>9</v>
      </c>
      <c r="T1" s="105" t="s">
        <v>165</v>
      </c>
      <c r="U1" s="2" t="s">
        <v>37</v>
      </c>
      <c r="V1" s="2" t="s">
        <v>10</v>
      </c>
      <c r="W1" s="105" t="s">
        <v>11</v>
      </c>
      <c r="X1" s="105" t="s">
        <v>205</v>
      </c>
      <c r="Y1" s="2" t="s">
        <v>206</v>
      </c>
      <c r="Z1" s="3" t="s">
        <v>13</v>
      </c>
      <c r="AA1" s="3" t="s">
        <v>14</v>
      </c>
      <c r="AB1" s="3" t="s">
        <v>15</v>
      </c>
      <c r="AC1" s="106"/>
    </row>
    <row r="2">
      <c r="A2" s="74">
        <v>45397.0</v>
      </c>
      <c r="B2" s="93">
        <f>584.9-116.46+1131.19-74.32-309.4-24.7-42.29-96.66-33.99</f>
        <v>1018.27</v>
      </c>
      <c r="C2" s="93"/>
      <c r="D2" s="193">
        <f>84.92+510.8-212</f>
        <v>383.72</v>
      </c>
      <c r="E2" s="93"/>
      <c r="F2" s="93"/>
      <c r="G2" s="93">
        <v>180.0</v>
      </c>
      <c r="H2" s="93"/>
      <c r="I2" s="93">
        <v>224.13</v>
      </c>
      <c r="J2" s="93"/>
      <c r="K2" s="93"/>
      <c r="L2" s="93"/>
      <c r="M2" s="93"/>
      <c r="N2" s="93"/>
      <c r="O2" s="93">
        <f>168+159</f>
        <v>327</v>
      </c>
      <c r="P2" s="93"/>
      <c r="Q2" s="93"/>
      <c r="R2" s="93"/>
      <c r="S2" s="93"/>
      <c r="T2" s="93"/>
      <c r="U2" s="72"/>
      <c r="V2" s="93"/>
      <c r="W2" s="93"/>
      <c r="X2" s="93"/>
      <c r="Y2" s="5"/>
      <c r="Z2" s="107">
        <f t="shared" ref="Z2:Z8" si="1">SUM(B2:Y2)</f>
        <v>2133.12</v>
      </c>
      <c r="AA2" s="158">
        <v>9450.0</v>
      </c>
      <c r="AB2" s="59">
        <f t="shared" ref="AB2:AB8" si="2">Z2/AA2</f>
        <v>0.2257269841</v>
      </c>
      <c r="AC2" s="109">
        <f t="shared" ref="AC2:AC8" si="3">A2</f>
        <v>45397</v>
      </c>
    </row>
    <row r="3">
      <c r="A3" s="74">
        <v>45398.0</v>
      </c>
      <c r="B3" s="93">
        <f>1069.54-13.07-40.08-141.84-34.08-19.56-41.13-359.29-20.4-19.88</f>
        <v>380.21</v>
      </c>
      <c r="C3" s="79"/>
      <c r="D3" s="180">
        <v>237.6</v>
      </c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>
        <v>148.13</v>
      </c>
      <c r="Q3" s="93"/>
      <c r="R3" s="93"/>
      <c r="S3" s="93"/>
      <c r="T3" s="93"/>
      <c r="U3" s="93"/>
      <c r="V3" s="93"/>
      <c r="W3" s="93"/>
      <c r="X3" s="93"/>
      <c r="Y3" s="93"/>
      <c r="Z3" s="107">
        <f t="shared" si="1"/>
        <v>765.94</v>
      </c>
      <c r="AA3" s="158">
        <v>5250.0</v>
      </c>
      <c r="AB3" s="59">
        <f t="shared" si="2"/>
        <v>0.1458933333</v>
      </c>
      <c r="AC3" s="109">
        <f t="shared" si="3"/>
        <v>45398</v>
      </c>
    </row>
    <row r="4">
      <c r="A4" s="74">
        <v>45399.0</v>
      </c>
      <c r="B4" s="93">
        <f>1337.6-718.58-25.18-12.88-56.14-42.07-57.55-16.52-49.39-24.91+49.19</f>
        <v>383.57</v>
      </c>
      <c r="C4" s="93">
        <v>685.24</v>
      </c>
      <c r="D4" s="93">
        <f>665.15-448.15</f>
        <v>217</v>
      </c>
      <c r="E4" s="93"/>
      <c r="F4" s="93"/>
      <c r="G4" s="93">
        <v>180.0</v>
      </c>
      <c r="H4" s="93"/>
      <c r="I4" s="93"/>
      <c r="J4" s="93">
        <f>749.4-49.5-198</f>
        <v>501.9</v>
      </c>
      <c r="K4" s="93"/>
      <c r="L4" s="93">
        <v>42.0</v>
      </c>
      <c r="M4" s="93"/>
      <c r="N4" s="93"/>
      <c r="O4" s="93"/>
      <c r="P4" s="93"/>
      <c r="Q4" s="93"/>
      <c r="R4" s="93"/>
      <c r="S4" s="93"/>
      <c r="T4" s="93"/>
      <c r="U4" s="160"/>
      <c r="V4" s="93"/>
      <c r="W4" s="93"/>
      <c r="X4" s="93"/>
      <c r="Y4" s="6"/>
      <c r="Z4" s="107">
        <f t="shared" si="1"/>
        <v>2009.71</v>
      </c>
      <c r="AA4" s="97">
        <f>527+4376.5</f>
        <v>4903.5</v>
      </c>
      <c r="AB4" s="59">
        <f t="shared" si="2"/>
        <v>0.4098521464</v>
      </c>
      <c r="AC4" s="109">
        <f t="shared" si="3"/>
        <v>45399</v>
      </c>
    </row>
    <row r="5">
      <c r="A5" s="74">
        <v>45400.0</v>
      </c>
      <c r="B5" s="93">
        <f>579.74-15.54-86.9-54.23</f>
        <v>423.07</v>
      </c>
      <c r="C5" s="93">
        <v>54.15</v>
      </c>
      <c r="D5" s="93"/>
      <c r="E5" s="93"/>
      <c r="F5" s="93"/>
      <c r="G5" s="93"/>
      <c r="H5" s="160"/>
      <c r="I5" s="93">
        <v>131.48</v>
      </c>
      <c r="J5" s="93"/>
      <c r="K5" s="93"/>
      <c r="L5" s="93"/>
      <c r="M5" s="93"/>
      <c r="N5" s="93"/>
      <c r="O5" s="93"/>
      <c r="P5" s="93"/>
      <c r="Q5" s="93"/>
      <c r="R5" s="93"/>
      <c r="S5" s="180">
        <v>185.0</v>
      </c>
      <c r="T5" s="93"/>
      <c r="U5" s="93"/>
      <c r="V5" s="93">
        <v>89.0</v>
      </c>
      <c r="W5" s="101"/>
      <c r="X5" s="101"/>
      <c r="Y5" s="6"/>
      <c r="Z5" s="7">
        <f t="shared" si="1"/>
        <v>882.7</v>
      </c>
      <c r="AA5" s="97">
        <f>224+4325.2</f>
        <v>4549.2</v>
      </c>
      <c r="AB5" s="59">
        <f t="shared" si="2"/>
        <v>0.1940341159</v>
      </c>
      <c r="AC5" s="109">
        <f t="shared" si="3"/>
        <v>45400</v>
      </c>
    </row>
    <row r="6">
      <c r="A6" s="74">
        <v>45401.0</v>
      </c>
      <c r="B6" s="93">
        <f>812.63-31.64-10.93-27.83</f>
        <v>742.23</v>
      </c>
      <c r="C6" s="93"/>
      <c r="D6" s="93">
        <f>211.25</f>
        <v>211.25</v>
      </c>
      <c r="E6" s="93"/>
      <c r="F6" s="93"/>
      <c r="G6" s="93"/>
      <c r="H6" s="93"/>
      <c r="I6" s="93"/>
      <c r="J6" s="93"/>
      <c r="K6" s="93"/>
      <c r="L6" s="93">
        <v>166.4</v>
      </c>
      <c r="M6" s="93"/>
      <c r="N6" s="162"/>
      <c r="O6" s="93"/>
      <c r="P6" s="93"/>
      <c r="Q6" s="93"/>
      <c r="R6" s="93"/>
      <c r="S6" s="93"/>
      <c r="T6" s="93"/>
      <c r="U6" s="93"/>
      <c r="V6" s="93"/>
      <c r="W6" s="93"/>
      <c r="X6" s="93"/>
      <c r="Y6" s="5"/>
      <c r="Z6" s="7">
        <f t="shared" si="1"/>
        <v>1119.88</v>
      </c>
      <c r="AA6" s="97">
        <f>593+6621</f>
        <v>7214</v>
      </c>
      <c r="AB6" s="59">
        <f t="shared" si="2"/>
        <v>0.1552370391</v>
      </c>
      <c r="AC6" s="109">
        <f t="shared" si="3"/>
        <v>45401</v>
      </c>
    </row>
    <row r="7">
      <c r="A7" s="74">
        <v>45402.0</v>
      </c>
      <c r="B7" s="93">
        <f>785.18-34.46-61.81-56.14-69.47-52.73-42.56</f>
        <v>468.01</v>
      </c>
      <c r="C7" s="93">
        <v>738.48</v>
      </c>
      <c r="D7" s="93">
        <f>486.46-80.6</f>
        <v>405.86</v>
      </c>
      <c r="E7" s="93"/>
      <c r="F7" s="93"/>
      <c r="G7" s="93"/>
      <c r="I7" s="93"/>
      <c r="J7" s="93">
        <v>198.97</v>
      </c>
      <c r="K7" s="93"/>
      <c r="L7" s="93"/>
      <c r="M7" s="93"/>
      <c r="N7" s="93"/>
      <c r="O7" s="180"/>
      <c r="P7" s="93"/>
      <c r="Q7" s="93"/>
      <c r="R7" s="93"/>
      <c r="S7" s="93"/>
      <c r="T7" s="93"/>
      <c r="U7" s="101"/>
      <c r="V7" s="93"/>
      <c r="W7" s="101"/>
      <c r="X7" s="101"/>
      <c r="Y7" s="5"/>
      <c r="Z7" s="7">
        <f t="shared" si="1"/>
        <v>1811.32</v>
      </c>
      <c r="AA7" s="97">
        <f>1943+10688.4</f>
        <v>12631.4</v>
      </c>
      <c r="AB7" s="59">
        <f t="shared" si="2"/>
        <v>0.1433981981</v>
      </c>
      <c r="AC7" s="109">
        <f t="shared" si="3"/>
        <v>45402</v>
      </c>
    </row>
    <row r="8">
      <c r="A8" s="74">
        <v>45403.0</v>
      </c>
      <c r="B8" s="180">
        <v>665.0</v>
      </c>
      <c r="C8" s="93"/>
      <c r="D8" s="180">
        <v>840.0</v>
      </c>
      <c r="E8" s="112" t="s">
        <v>21</v>
      </c>
      <c r="F8" s="180">
        <f>396.43+396.43</f>
        <v>792.86</v>
      </c>
      <c r="G8" s="112" t="s">
        <v>21</v>
      </c>
      <c r="H8" s="112" t="s">
        <v>21</v>
      </c>
      <c r="I8" s="93"/>
      <c r="J8" s="180">
        <v>396.0</v>
      </c>
      <c r="K8" s="112" t="s">
        <v>21</v>
      </c>
      <c r="L8" s="112" t="s">
        <v>21</v>
      </c>
      <c r="M8" s="112" t="s">
        <v>21</v>
      </c>
      <c r="N8" s="112" t="s">
        <v>21</v>
      </c>
      <c r="O8" s="112" t="s">
        <v>21</v>
      </c>
      <c r="P8" s="93"/>
      <c r="Q8" s="112" t="s">
        <v>21</v>
      </c>
      <c r="R8" s="180">
        <v>252.0</v>
      </c>
      <c r="S8" s="112" t="s">
        <v>21</v>
      </c>
      <c r="T8" s="112" t="s">
        <v>21</v>
      </c>
      <c r="U8" s="112" t="s">
        <v>21</v>
      </c>
      <c r="V8" s="112" t="s">
        <v>21</v>
      </c>
      <c r="W8" s="10" t="s">
        <v>21</v>
      </c>
      <c r="X8" s="10" t="s">
        <v>21</v>
      </c>
      <c r="Y8" s="10" t="s">
        <v>21</v>
      </c>
      <c r="Z8" s="7">
        <f t="shared" si="1"/>
        <v>2945.86</v>
      </c>
      <c r="AA8" s="97">
        <f>2731.75+3504.5</f>
        <v>6236.25</v>
      </c>
      <c r="AB8" s="59">
        <f t="shared" si="2"/>
        <v>0.472376829</v>
      </c>
      <c r="AC8" s="109">
        <f t="shared" si="3"/>
        <v>45403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AA9" s="129"/>
      <c r="AC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AA10" s="129"/>
      <c r="AC10" s="106"/>
    </row>
    <row r="11">
      <c r="A11" s="165" t="s">
        <v>194</v>
      </c>
      <c r="B11" s="93">
        <f>116.46+74.32+40.08+12.88+56.14+57.55+16.52+49.39+24.91+96.66+33.99+20.4+19.88+31.64+10.93+27.83+34.46+61.81+56.14+69.47</f>
        <v>911.46</v>
      </c>
      <c r="C11" s="93"/>
      <c r="D11" s="93"/>
      <c r="E11" s="167"/>
      <c r="F11" s="168"/>
      <c r="G11" s="168"/>
      <c r="H11" s="166"/>
      <c r="I11" s="166"/>
      <c r="J11" s="93"/>
      <c r="K11" s="168"/>
      <c r="L11" s="93"/>
      <c r="M11" s="166"/>
      <c r="N11" s="168"/>
      <c r="O11" s="166"/>
      <c r="P11" s="168"/>
      <c r="Q11" s="1"/>
      <c r="R11" s="1"/>
      <c r="S11" s="1"/>
      <c r="T11" s="1"/>
      <c r="U11" s="1"/>
      <c r="V11" s="1"/>
      <c r="W11" s="168"/>
      <c r="X11" s="168"/>
      <c r="Y11" s="1"/>
      <c r="Z11" s="1"/>
      <c r="AA11" s="169"/>
      <c r="AB11" s="1"/>
      <c r="AC11" s="170"/>
    </row>
    <row r="12">
      <c r="A12" s="165" t="s">
        <v>195</v>
      </c>
      <c r="B12" s="93">
        <f>309.4+24.7+13.07+141.84+718.58+25.18+42.07+14.54+86.9+54.23+52.73+42.56</f>
        <v>1525.8</v>
      </c>
      <c r="C12" s="93"/>
      <c r="D12" s="93">
        <v>130.15</v>
      </c>
      <c r="E12" s="93"/>
      <c r="F12" s="93"/>
      <c r="G12" s="93"/>
      <c r="H12" s="93"/>
      <c r="I12" s="93"/>
      <c r="J12" s="93">
        <v>198.0</v>
      </c>
      <c r="K12" s="93"/>
      <c r="L12" s="93"/>
      <c r="M12" s="93"/>
      <c r="N12" s="93"/>
      <c r="O12" s="166">
        <f>144+156</f>
        <v>300</v>
      </c>
      <c r="P12" s="166"/>
      <c r="Q12" s="1"/>
      <c r="R12" s="1"/>
      <c r="S12" s="168"/>
      <c r="T12" s="168"/>
      <c r="U12" s="1"/>
      <c r="V12" s="96"/>
      <c r="W12" s="168"/>
      <c r="X12" s="168"/>
      <c r="Y12" s="1"/>
      <c r="Z12" s="1"/>
      <c r="AA12" s="171"/>
      <c r="AB12" s="1"/>
      <c r="AC12" s="170"/>
    </row>
    <row r="13">
      <c r="A13" s="172" t="s">
        <v>282</v>
      </c>
      <c r="B13" s="93">
        <f>42.29+34.08+19.56+41.13+359.29</f>
        <v>496.35</v>
      </c>
      <c r="C13" s="93"/>
      <c r="D13" s="93">
        <f>212+212</f>
        <v>424</v>
      </c>
      <c r="E13" s="168"/>
      <c r="F13" s="166"/>
      <c r="G13" s="166"/>
      <c r="H13" s="168"/>
      <c r="I13" s="168"/>
      <c r="J13" s="93">
        <v>49.5</v>
      </c>
      <c r="K13" s="168"/>
      <c r="L13" s="168"/>
      <c r="M13" s="168"/>
      <c r="N13" s="168"/>
      <c r="O13" s="166"/>
      <c r="P13" s="168"/>
      <c r="Q13" s="1"/>
      <c r="R13" s="1"/>
      <c r="S13" s="168"/>
      <c r="T13" s="168"/>
      <c r="U13" s="1"/>
      <c r="V13" s="96"/>
      <c r="W13" s="168"/>
      <c r="X13" s="168"/>
      <c r="Y13" s="1"/>
      <c r="Z13" s="1"/>
      <c r="AA13" s="174"/>
      <c r="AB13" s="1"/>
      <c r="AC13" s="170"/>
    </row>
    <row r="14">
      <c r="A14" s="165" t="s">
        <v>198</v>
      </c>
      <c r="B14" s="93"/>
      <c r="C14" s="93">
        <v>80.6</v>
      </c>
      <c r="D14" s="93"/>
      <c r="E14" s="168"/>
      <c r="F14" s="166"/>
      <c r="G14" s="166"/>
      <c r="H14" s="168"/>
      <c r="I14" s="168"/>
      <c r="J14" s="168"/>
      <c r="K14" s="168"/>
      <c r="L14" s="168"/>
      <c r="M14" s="168"/>
      <c r="N14" s="168"/>
      <c r="O14" s="166"/>
      <c r="P14" s="168"/>
      <c r="Q14" s="1"/>
      <c r="R14" s="1"/>
      <c r="S14" s="168"/>
      <c r="T14" s="168"/>
      <c r="U14" s="1"/>
      <c r="V14" s="96"/>
      <c r="W14" s="168"/>
      <c r="X14" s="168"/>
      <c r="Y14" s="1"/>
      <c r="Z14" s="1"/>
      <c r="AA14" s="174"/>
      <c r="AB14" s="1"/>
      <c r="AC14" s="170"/>
    </row>
    <row r="15">
      <c r="A15" s="91"/>
      <c r="B15" s="92"/>
      <c r="C15" s="79"/>
      <c r="D15" s="79"/>
      <c r="E15" s="79"/>
      <c r="F15" s="78"/>
      <c r="G15" s="78"/>
      <c r="H15" s="78"/>
      <c r="I15" s="78"/>
      <c r="L15" s="79"/>
      <c r="M15" s="79"/>
      <c r="N15" s="78"/>
      <c r="O15" s="79"/>
      <c r="P15" s="79"/>
      <c r="S15" s="79"/>
      <c r="T15" s="79"/>
      <c r="W15" s="79"/>
      <c r="X15" s="79"/>
      <c r="AA15" s="131"/>
      <c r="AC15" s="106"/>
    </row>
    <row r="16">
      <c r="A16" s="91"/>
      <c r="B16" s="92"/>
      <c r="C16" s="78"/>
      <c r="D16" s="78"/>
      <c r="E16" s="78"/>
      <c r="F16" s="198"/>
      <c r="G16" s="198"/>
      <c r="H16" s="204"/>
      <c r="I16" s="198"/>
      <c r="J16" s="201"/>
      <c r="K16" s="199"/>
      <c r="L16" s="199"/>
      <c r="M16" s="200"/>
      <c r="N16" s="201"/>
      <c r="O16" s="202"/>
      <c r="P16" s="198"/>
      <c r="Q16" s="198"/>
      <c r="R16" s="198"/>
      <c r="S16" s="198"/>
      <c r="T16" s="198"/>
      <c r="W16" s="79"/>
      <c r="X16" s="79"/>
      <c r="AA16" s="131"/>
      <c r="AC16" s="106"/>
    </row>
    <row r="17">
      <c r="A17" s="4" t="s">
        <v>22</v>
      </c>
      <c r="B17" s="11">
        <v>10000.0</v>
      </c>
      <c r="C17" s="79"/>
      <c r="D17" s="79"/>
      <c r="E17" s="79"/>
      <c r="F17" s="240"/>
      <c r="G17" s="240"/>
      <c r="H17" s="201"/>
      <c r="I17" s="201"/>
      <c r="J17" s="203"/>
      <c r="K17" s="201"/>
      <c r="L17" s="201"/>
      <c r="M17" s="198"/>
      <c r="N17" s="201"/>
      <c r="O17" s="200"/>
      <c r="P17" s="203"/>
      <c r="Q17" s="198"/>
      <c r="R17" s="198"/>
      <c r="S17" s="198"/>
      <c r="T17" s="198"/>
      <c r="U17" s="204"/>
      <c r="W17" s="79"/>
      <c r="X17" s="79"/>
      <c r="AA17" s="131"/>
      <c r="AC17" s="106"/>
    </row>
    <row r="18">
      <c r="A18" s="4" t="s">
        <v>23</v>
      </c>
      <c r="B18" s="12">
        <f>SUM(B2:Y8)</f>
        <v>11668.53</v>
      </c>
      <c r="C18" s="192"/>
      <c r="D18" s="177"/>
      <c r="E18" s="78"/>
      <c r="F18" s="213"/>
      <c r="G18" s="213"/>
      <c r="H18" s="151"/>
      <c r="I18" s="151"/>
      <c r="J18" s="203"/>
      <c r="K18" s="191"/>
      <c r="L18" s="201"/>
      <c r="M18" s="201"/>
      <c r="N18" s="200"/>
      <c r="O18" s="201"/>
      <c r="P18" s="203"/>
      <c r="Q18" s="198"/>
      <c r="R18" s="198"/>
      <c r="S18" s="198"/>
      <c r="T18" s="198"/>
      <c r="U18" s="204"/>
      <c r="W18" s="79"/>
      <c r="X18" s="79"/>
      <c r="AA18" s="131"/>
      <c r="AC18" s="106"/>
    </row>
    <row r="19">
      <c r="A19" s="4" t="s">
        <v>24</v>
      </c>
      <c r="B19" s="12">
        <f> SUM(B17-B18)</f>
        <v>-1668.53</v>
      </c>
      <c r="C19" s="79"/>
      <c r="D19" s="79"/>
      <c r="E19" s="78"/>
      <c r="F19" s="201"/>
      <c r="G19" s="201"/>
      <c r="H19" s="214"/>
      <c r="I19" s="203"/>
      <c r="J19" s="203"/>
      <c r="K19" s="203"/>
      <c r="L19" s="199"/>
      <c r="M19" s="203"/>
      <c r="N19" s="201"/>
      <c r="O19" s="200"/>
      <c r="P19" s="203"/>
      <c r="Q19" s="198"/>
      <c r="R19" s="198"/>
      <c r="S19" s="198"/>
      <c r="T19" s="198"/>
      <c r="U19" s="204"/>
      <c r="W19" s="79"/>
      <c r="X19" s="79"/>
      <c r="AA19" s="131"/>
      <c r="AC19" s="106"/>
    </row>
    <row r="20">
      <c r="C20" s="79"/>
      <c r="D20" s="79"/>
      <c r="E20" s="78"/>
      <c r="F20" s="213"/>
      <c r="G20" s="148"/>
      <c r="H20" s="214"/>
      <c r="I20" s="224"/>
      <c r="J20" s="203"/>
      <c r="K20" s="203"/>
      <c r="M20" s="201"/>
      <c r="N20" s="201"/>
      <c r="O20" s="198"/>
      <c r="P20" s="203"/>
      <c r="Q20" s="198"/>
      <c r="R20" s="206"/>
      <c r="S20" s="198"/>
      <c r="T20" s="198"/>
      <c r="U20" s="204"/>
      <c r="W20" s="79"/>
      <c r="X20" s="79"/>
      <c r="AA20" s="131"/>
      <c r="AC20" s="106"/>
    </row>
    <row r="21">
      <c r="A21" s="13" t="s">
        <v>25</v>
      </c>
      <c r="B21" s="14">
        <f>SUM(AA2:AA8)</f>
        <v>50234.35</v>
      </c>
      <c r="C21" s="79"/>
      <c r="D21" s="79"/>
      <c r="E21" s="78"/>
      <c r="F21" s="201"/>
      <c r="G21" s="201"/>
      <c r="H21" s="201"/>
      <c r="I21" s="204"/>
      <c r="J21" s="201"/>
      <c r="K21" s="203"/>
      <c r="L21" s="203"/>
      <c r="M21" s="201"/>
      <c r="N21" s="201"/>
      <c r="O21" s="198"/>
      <c r="P21" s="203"/>
      <c r="Q21" s="198"/>
      <c r="R21" s="198"/>
      <c r="S21" s="198"/>
      <c r="T21" s="198"/>
      <c r="U21" s="204"/>
      <c r="W21" s="79"/>
      <c r="X21" s="79"/>
      <c r="AA21" s="181"/>
      <c r="AC21" s="106"/>
    </row>
    <row r="22">
      <c r="A22" s="13" t="s">
        <v>26</v>
      </c>
      <c r="B22" s="15">
        <f>B18/B21</f>
        <v>0.2322818948</v>
      </c>
      <c r="C22" s="79"/>
      <c r="D22" s="79"/>
      <c r="E22" s="78"/>
      <c r="F22" s="204"/>
      <c r="G22" s="204"/>
      <c r="H22" s="213"/>
      <c r="I22" s="207"/>
      <c r="J22" s="189"/>
      <c r="K22" s="203"/>
      <c r="L22" s="203"/>
      <c r="M22" s="201"/>
      <c r="N22" s="200"/>
      <c r="O22" s="203"/>
      <c r="P22" s="203"/>
      <c r="Q22" s="198"/>
      <c r="R22" s="198"/>
      <c r="S22" s="198"/>
      <c r="T22" s="198"/>
      <c r="U22" s="204"/>
      <c r="W22" s="79"/>
      <c r="X22" s="79"/>
      <c r="Y22" s="68">
        <f>8794*20%</f>
        <v>1758.8</v>
      </c>
      <c r="AA22" s="130"/>
      <c r="AC22" s="106"/>
    </row>
    <row r="23">
      <c r="C23" s="79"/>
      <c r="D23" s="79"/>
      <c r="E23" s="78"/>
      <c r="F23" s="204"/>
      <c r="G23" s="204"/>
      <c r="H23" s="204"/>
      <c r="I23" s="203"/>
      <c r="J23" s="203"/>
      <c r="K23" s="203"/>
      <c r="L23" s="203"/>
      <c r="M23" s="198"/>
      <c r="N23" s="198"/>
      <c r="O23" s="201"/>
      <c r="P23" s="198"/>
      <c r="Q23" s="198"/>
      <c r="R23" s="198"/>
      <c r="S23" s="198"/>
      <c r="T23" s="198"/>
      <c r="U23" s="204"/>
      <c r="W23" s="79"/>
      <c r="X23" s="79"/>
      <c r="AA23" s="182"/>
      <c r="AC23" s="106"/>
    </row>
    <row r="24">
      <c r="C24" s="79"/>
      <c r="D24" s="79"/>
      <c r="E24" s="79"/>
      <c r="F24" s="204"/>
      <c r="G24" s="213"/>
      <c r="H24" s="213"/>
      <c r="I24" s="201"/>
      <c r="J24" s="203"/>
      <c r="K24" s="203"/>
      <c r="L24" s="203"/>
      <c r="M24" s="198"/>
      <c r="N24" s="201"/>
      <c r="O24" s="201"/>
      <c r="P24" s="198"/>
      <c r="Q24" s="198"/>
      <c r="R24" s="198"/>
      <c r="S24" s="198"/>
      <c r="T24" s="198"/>
      <c r="U24" s="204"/>
      <c r="W24" s="79"/>
      <c r="X24" s="79"/>
      <c r="AA24" s="130"/>
      <c r="AC24" s="106"/>
    </row>
    <row r="25">
      <c r="A25" s="16" t="s">
        <v>27</v>
      </c>
      <c r="B25" s="17"/>
      <c r="C25" s="114"/>
      <c r="D25" s="114"/>
      <c r="E25" s="115"/>
      <c r="F25" s="204"/>
      <c r="G25" s="213"/>
      <c r="H25" s="243"/>
      <c r="I25" s="201"/>
      <c r="J25" s="203"/>
      <c r="K25" s="203"/>
      <c r="L25" s="217"/>
      <c r="M25" s="208"/>
      <c r="N25" s="208"/>
      <c r="O25" s="198"/>
      <c r="P25" s="200"/>
      <c r="Q25" s="198"/>
      <c r="R25" s="198"/>
      <c r="S25" s="198"/>
      <c r="T25" s="198"/>
      <c r="U25" s="204"/>
      <c r="W25" s="79"/>
      <c r="X25" s="79"/>
      <c r="AA25" s="130"/>
      <c r="AC25" s="106"/>
    </row>
    <row r="26">
      <c r="A26" s="19" t="s">
        <v>28</v>
      </c>
      <c r="B26" s="20"/>
      <c r="C26" s="116"/>
      <c r="D26" s="116"/>
      <c r="E26" s="117"/>
      <c r="F26" s="204"/>
      <c r="G26" s="204"/>
      <c r="H26" s="243"/>
      <c r="I26" s="213"/>
      <c r="J26" s="203"/>
      <c r="K26" s="203"/>
      <c r="L26" s="203"/>
      <c r="M26" s="209"/>
      <c r="N26" s="209"/>
      <c r="O26" s="201"/>
      <c r="P26" s="198"/>
      <c r="Q26" s="198"/>
      <c r="R26" s="198"/>
      <c r="S26" s="198"/>
      <c r="T26" s="198"/>
      <c r="U26" s="204"/>
      <c r="W26" s="79"/>
      <c r="X26" s="79"/>
      <c r="AA26" s="130"/>
      <c r="AC26" s="106"/>
    </row>
    <row r="27">
      <c r="A27" s="183" t="s">
        <v>29</v>
      </c>
      <c r="B27" s="184" t="s">
        <v>30</v>
      </c>
      <c r="C27" s="183"/>
      <c r="D27" s="183" t="s">
        <v>170</v>
      </c>
      <c r="E27" s="219" t="s">
        <v>171</v>
      </c>
      <c r="F27" s="204"/>
      <c r="G27" s="204"/>
      <c r="H27" s="243"/>
      <c r="I27" s="243"/>
      <c r="J27" s="203"/>
      <c r="K27" s="203"/>
      <c r="L27" s="201"/>
      <c r="M27" s="209"/>
      <c r="N27" s="209"/>
      <c r="O27" s="198"/>
      <c r="P27" s="198"/>
      <c r="Q27" s="198"/>
      <c r="R27" s="198"/>
      <c r="S27" s="198"/>
      <c r="T27" s="198"/>
      <c r="U27" s="204"/>
      <c r="W27" s="79"/>
      <c r="X27" s="79"/>
      <c r="AA27" s="130"/>
      <c r="AC27" s="106"/>
    </row>
    <row r="28">
      <c r="A28" s="237" t="s">
        <v>41</v>
      </c>
      <c r="B28" s="238">
        <f>1330.95-665+1328.53</f>
        <v>1994.48</v>
      </c>
      <c r="C28" s="239"/>
      <c r="D28" s="239"/>
      <c r="E28" s="237" t="s">
        <v>276</v>
      </c>
      <c r="H28" s="243"/>
      <c r="J28" s="38"/>
      <c r="L28" s="204"/>
      <c r="M28" s="204"/>
      <c r="N28" s="198"/>
      <c r="S28" s="79"/>
      <c r="T28" s="79"/>
      <c r="W28" s="79"/>
      <c r="X28" s="79"/>
      <c r="AA28" s="130"/>
      <c r="AC28" s="106"/>
    </row>
    <row r="29">
      <c r="A29" s="221" t="s">
        <v>283</v>
      </c>
      <c r="B29" s="222">
        <v>448.15</v>
      </c>
      <c r="C29" s="223"/>
      <c r="D29" s="223"/>
      <c r="E29" s="253" t="s">
        <v>278</v>
      </c>
      <c r="F29" s="79"/>
      <c r="G29" s="79"/>
      <c r="L29" s="204"/>
      <c r="M29" s="204"/>
      <c r="N29" s="198"/>
      <c r="S29" s="79"/>
      <c r="T29" s="79"/>
      <c r="W29" s="79"/>
      <c r="X29" s="79"/>
      <c r="AA29" s="130"/>
      <c r="AC29" s="106"/>
    </row>
    <row r="30">
      <c r="A30" s="221" t="s">
        <v>284</v>
      </c>
      <c r="B30" s="222">
        <v>430.86</v>
      </c>
      <c r="C30" s="223"/>
      <c r="D30" s="223"/>
      <c r="E30" s="253" t="s">
        <v>278</v>
      </c>
      <c r="F30" s="79"/>
      <c r="G30" s="79"/>
      <c r="L30" s="204"/>
      <c r="M30" s="204"/>
      <c r="N30" s="198"/>
      <c r="S30" s="79"/>
      <c r="T30" s="79"/>
      <c r="W30" s="79"/>
      <c r="X30" s="79"/>
      <c r="AA30" s="130"/>
      <c r="AC30" s="106"/>
    </row>
    <row r="31">
      <c r="C31" s="79"/>
      <c r="D31" s="79"/>
      <c r="E31" s="79"/>
      <c r="N31" s="79"/>
      <c r="S31" s="79"/>
      <c r="T31" s="79"/>
      <c r="W31" s="79"/>
      <c r="X31" s="79"/>
      <c r="AA31" s="130"/>
      <c r="AC31" s="106"/>
    </row>
    <row r="32">
      <c r="C32" s="79"/>
      <c r="D32" s="79"/>
      <c r="E32" s="79"/>
      <c r="N32" s="79"/>
      <c r="S32" s="79"/>
      <c r="T32" s="79"/>
      <c r="W32" s="79"/>
      <c r="X32" s="79"/>
      <c r="AA32" s="130"/>
      <c r="AC32" s="106"/>
    </row>
    <row r="33">
      <c r="C33" s="79"/>
      <c r="D33" s="79"/>
      <c r="E33" s="79"/>
      <c r="N33" s="79"/>
      <c r="S33" s="79"/>
      <c r="T33" s="79"/>
      <c r="W33" s="79"/>
      <c r="X33" s="79"/>
      <c r="AA33" s="130"/>
      <c r="AC33" s="106"/>
    </row>
    <row r="34">
      <c r="C34" s="79"/>
      <c r="D34" s="79"/>
      <c r="E34" s="79"/>
      <c r="N34" s="79"/>
      <c r="S34" s="79"/>
      <c r="T34" s="79"/>
      <c r="W34" s="79"/>
      <c r="X34" s="79"/>
      <c r="AA34" s="130"/>
      <c r="AC34" s="106"/>
    </row>
    <row r="35">
      <c r="C35" s="79"/>
      <c r="D35" s="79"/>
      <c r="E35" s="79"/>
      <c r="N35" s="79"/>
      <c r="S35" s="79"/>
      <c r="T35" s="79"/>
      <c r="W35" s="79"/>
      <c r="X35" s="79"/>
      <c r="AA35" s="130"/>
      <c r="AC35" s="106"/>
    </row>
    <row r="36">
      <c r="C36" s="79"/>
      <c r="D36" s="79"/>
      <c r="E36" s="79"/>
      <c r="N36" s="79"/>
      <c r="S36" s="79"/>
      <c r="T36" s="79"/>
      <c r="W36" s="79"/>
      <c r="X36" s="79"/>
      <c r="AA36" s="130"/>
      <c r="AC36" s="106"/>
    </row>
    <row r="37">
      <c r="C37" s="79"/>
      <c r="D37" s="79"/>
      <c r="E37" s="79"/>
      <c r="N37" s="79"/>
      <c r="S37" s="79"/>
      <c r="T37" s="79"/>
      <c r="W37" s="79"/>
      <c r="X37" s="79"/>
      <c r="AA37" s="130"/>
      <c r="AC37" s="106"/>
    </row>
    <row r="38">
      <c r="C38" s="79"/>
      <c r="D38" s="79"/>
      <c r="E38" s="79"/>
      <c r="N38" s="79"/>
      <c r="S38" s="79"/>
      <c r="T38" s="79"/>
      <c r="W38" s="79"/>
      <c r="X38" s="79"/>
      <c r="AA38" s="130"/>
      <c r="AC38" s="106"/>
    </row>
    <row r="39">
      <c r="C39" s="79"/>
      <c r="D39" s="79"/>
      <c r="E39" s="79"/>
      <c r="N39" s="79"/>
      <c r="S39" s="79"/>
      <c r="T39" s="79"/>
      <c r="W39" s="79"/>
      <c r="X39" s="79"/>
      <c r="AA39" s="130"/>
      <c r="AC39" s="106"/>
    </row>
    <row r="40">
      <c r="C40" s="79"/>
      <c r="D40" s="79"/>
      <c r="E40" s="79"/>
      <c r="N40" s="79"/>
      <c r="S40" s="79"/>
      <c r="T40" s="79"/>
      <c r="W40" s="79"/>
      <c r="X40" s="79"/>
      <c r="AA40" s="130"/>
      <c r="AC40" s="106"/>
    </row>
    <row r="41">
      <c r="C41" s="79"/>
      <c r="D41" s="79"/>
      <c r="E41" s="79"/>
      <c r="N41" s="79"/>
      <c r="S41" s="79"/>
      <c r="T41" s="79"/>
      <c r="W41" s="79"/>
      <c r="X41" s="79"/>
      <c r="AA41" s="130"/>
      <c r="AC41" s="106"/>
    </row>
    <row r="42">
      <c r="C42" s="79"/>
      <c r="D42" s="79"/>
      <c r="E42" s="79"/>
      <c r="N42" s="79"/>
      <c r="S42" s="79"/>
      <c r="T42" s="79"/>
      <c r="W42" s="79"/>
      <c r="X42" s="79"/>
      <c r="AA42" s="130"/>
      <c r="AC42" s="106"/>
    </row>
    <row r="43">
      <c r="C43" s="79"/>
      <c r="D43" s="79"/>
      <c r="E43" s="79"/>
      <c r="N43" s="79"/>
      <c r="S43" s="79"/>
      <c r="T43" s="79"/>
      <c r="W43" s="79"/>
      <c r="X43" s="79"/>
      <c r="AA43" s="130"/>
      <c r="AC43" s="106"/>
    </row>
    <row r="44">
      <c r="C44" s="79"/>
      <c r="D44" s="79"/>
      <c r="E44" s="79"/>
      <c r="N44" s="79"/>
      <c r="S44" s="79"/>
      <c r="T44" s="79"/>
      <c r="W44" s="79"/>
      <c r="X44" s="79"/>
      <c r="AA44" s="130"/>
      <c r="AC44" s="106"/>
    </row>
    <row r="45">
      <c r="C45" s="79"/>
      <c r="D45" s="79"/>
      <c r="E45" s="79"/>
      <c r="N45" s="79"/>
      <c r="S45" s="79"/>
      <c r="T45" s="79"/>
      <c r="W45" s="79"/>
      <c r="X45" s="79"/>
      <c r="AA45" s="130"/>
      <c r="AC45" s="106"/>
    </row>
    <row r="46">
      <c r="C46" s="79"/>
      <c r="D46" s="79"/>
      <c r="E46" s="79"/>
      <c r="N46" s="79"/>
      <c r="S46" s="79"/>
      <c r="T46" s="79"/>
      <c r="W46" s="79"/>
      <c r="X46" s="79"/>
      <c r="AA46" s="130"/>
      <c r="AC46" s="106"/>
    </row>
    <row r="47">
      <c r="C47" s="79"/>
      <c r="D47" s="79"/>
      <c r="E47" s="79"/>
      <c r="N47" s="79"/>
      <c r="S47" s="79"/>
      <c r="T47" s="79"/>
      <c r="W47" s="79"/>
      <c r="X47" s="79"/>
      <c r="AA47" s="130"/>
      <c r="AC47" s="106"/>
    </row>
    <row r="48">
      <c r="C48" s="79"/>
      <c r="D48" s="79"/>
      <c r="E48" s="79"/>
      <c r="N48" s="79"/>
      <c r="S48" s="79"/>
      <c r="T48" s="79"/>
      <c r="W48" s="79"/>
      <c r="X48" s="79"/>
      <c r="AA48" s="130"/>
      <c r="AC48" s="106"/>
    </row>
    <row r="49">
      <c r="C49" s="79"/>
      <c r="D49" s="79"/>
      <c r="E49" s="79"/>
      <c r="N49" s="79"/>
      <c r="S49" s="79"/>
      <c r="T49" s="79"/>
      <c r="W49" s="79"/>
      <c r="X49" s="79"/>
      <c r="AA49" s="130"/>
      <c r="AC49" s="106"/>
    </row>
    <row r="50">
      <c r="C50" s="79"/>
      <c r="D50" s="79"/>
      <c r="E50" s="79"/>
      <c r="N50" s="79"/>
      <c r="S50" s="79"/>
      <c r="T50" s="79"/>
      <c r="W50" s="79"/>
      <c r="X50" s="79"/>
      <c r="AA50" s="130"/>
      <c r="AC50" s="106"/>
    </row>
    <row r="51">
      <c r="C51" s="79"/>
      <c r="D51" s="79"/>
      <c r="E51" s="79"/>
      <c r="N51" s="79"/>
      <c r="S51" s="79"/>
      <c r="T51" s="79"/>
      <c r="W51" s="79"/>
      <c r="X51" s="79"/>
      <c r="AA51" s="130"/>
      <c r="AC51" s="106"/>
    </row>
    <row r="52">
      <c r="C52" s="79"/>
      <c r="D52" s="79"/>
      <c r="E52" s="79"/>
      <c r="N52" s="79"/>
      <c r="S52" s="79"/>
      <c r="T52" s="79"/>
      <c r="W52" s="79"/>
      <c r="X52" s="79"/>
      <c r="AA52" s="130"/>
      <c r="AC52" s="106"/>
    </row>
    <row r="53">
      <c r="C53" s="79"/>
      <c r="D53" s="79"/>
      <c r="E53" s="79"/>
      <c r="N53" s="79"/>
      <c r="S53" s="79"/>
      <c r="T53" s="79"/>
      <c r="W53" s="79"/>
      <c r="X53" s="79"/>
      <c r="AA53" s="130"/>
      <c r="AC53" s="106"/>
    </row>
    <row r="54">
      <c r="C54" s="79"/>
      <c r="D54" s="79"/>
      <c r="E54" s="79"/>
      <c r="N54" s="79"/>
      <c r="S54" s="79"/>
      <c r="T54" s="79"/>
      <c r="W54" s="79"/>
      <c r="X54" s="79"/>
      <c r="AA54" s="130"/>
      <c r="AC54" s="106"/>
    </row>
    <row r="55">
      <c r="C55" s="79"/>
      <c r="D55" s="79"/>
      <c r="E55" s="79"/>
      <c r="N55" s="79"/>
      <c r="S55" s="79"/>
      <c r="T55" s="79"/>
      <c r="W55" s="79"/>
      <c r="X55" s="79"/>
      <c r="AA55" s="130"/>
      <c r="AC55" s="106"/>
    </row>
    <row r="56">
      <c r="C56" s="79"/>
      <c r="D56" s="79"/>
      <c r="E56" s="79"/>
      <c r="N56" s="79"/>
      <c r="S56" s="79"/>
      <c r="T56" s="79"/>
      <c r="W56" s="79"/>
      <c r="X56" s="79"/>
      <c r="AA56" s="130"/>
      <c r="AC56" s="106"/>
    </row>
    <row r="57">
      <c r="C57" s="79"/>
      <c r="D57" s="79"/>
      <c r="E57" s="79"/>
      <c r="N57" s="79"/>
      <c r="S57" s="79"/>
      <c r="T57" s="79"/>
      <c r="W57" s="79"/>
      <c r="X57" s="79"/>
      <c r="AA57" s="130"/>
      <c r="AC57" s="106"/>
    </row>
    <row r="58">
      <c r="C58" s="79"/>
      <c r="D58" s="79"/>
      <c r="E58" s="79"/>
      <c r="N58" s="79"/>
      <c r="S58" s="79"/>
      <c r="T58" s="79"/>
      <c r="W58" s="79"/>
      <c r="X58" s="79"/>
      <c r="AA58" s="130"/>
      <c r="AC58" s="106"/>
    </row>
    <row r="59">
      <c r="C59" s="79"/>
      <c r="D59" s="79"/>
      <c r="E59" s="79"/>
      <c r="N59" s="79"/>
      <c r="S59" s="79"/>
      <c r="T59" s="79"/>
      <c r="W59" s="79"/>
      <c r="X59" s="79"/>
      <c r="AA59" s="130"/>
      <c r="AC59" s="106"/>
    </row>
    <row r="60">
      <c r="C60" s="79"/>
      <c r="D60" s="79"/>
      <c r="E60" s="79"/>
      <c r="N60" s="79"/>
      <c r="S60" s="79"/>
      <c r="T60" s="79"/>
      <c r="W60" s="79"/>
      <c r="X60" s="79"/>
      <c r="AA60" s="130"/>
      <c r="AC60" s="106"/>
    </row>
    <row r="61">
      <c r="C61" s="79"/>
      <c r="D61" s="79"/>
      <c r="E61" s="79"/>
      <c r="N61" s="79"/>
      <c r="S61" s="79"/>
      <c r="T61" s="79"/>
      <c r="W61" s="79"/>
      <c r="X61" s="79"/>
      <c r="AA61" s="130"/>
      <c r="AC61" s="106"/>
    </row>
    <row r="62">
      <c r="C62" s="79"/>
      <c r="D62" s="79"/>
      <c r="E62" s="79"/>
      <c r="N62" s="79"/>
      <c r="S62" s="79"/>
      <c r="T62" s="79"/>
      <c r="W62" s="79"/>
      <c r="X62" s="79"/>
      <c r="AA62" s="130"/>
      <c r="AC62" s="106"/>
    </row>
    <row r="63">
      <c r="C63" s="79"/>
      <c r="D63" s="79"/>
      <c r="E63" s="79"/>
      <c r="N63" s="79"/>
      <c r="S63" s="79"/>
      <c r="T63" s="79"/>
      <c r="W63" s="79"/>
      <c r="X63" s="79"/>
      <c r="AA63" s="130"/>
      <c r="AC63" s="106"/>
    </row>
    <row r="64">
      <c r="C64" s="79"/>
      <c r="D64" s="79"/>
      <c r="E64" s="79"/>
      <c r="N64" s="79"/>
      <c r="S64" s="79"/>
      <c r="T64" s="79"/>
      <c r="W64" s="79"/>
      <c r="X64" s="79"/>
      <c r="AA64" s="130"/>
      <c r="AC64" s="106"/>
    </row>
    <row r="65">
      <c r="C65" s="79"/>
      <c r="D65" s="79"/>
      <c r="E65" s="79"/>
      <c r="N65" s="79"/>
      <c r="S65" s="79"/>
      <c r="T65" s="79"/>
      <c r="W65" s="79"/>
      <c r="X65" s="79"/>
      <c r="AA65" s="130"/>
      <c r="AC65" s="106"/>
    </row>
    <row r="66">
      <c r="C66" s="79"/>
      <c r="D66" s="79"/>
      <c r="E66" s="79"/>
      <c r="N66" s="79"/>
      <c r="S66" s="79"/>
      <c r="T66" s="79"/>
      <c r="W66" s="79"/>
      <c r="X66" s="79"/>
      <c r="AA66" s="130"/>
      <c r="AC66" s="106"/>
    </row>
    <row r="67">
      <c r="C67" s="79"/>
      <c r="D67" s="79"/>
      <c r="E67" s="79"/>
      <c r="N67" s="79"/>
      <c r="S67" s="79"/>
      <c r="T67" s="79"/>
      <c r="W67" s="79"/>
      <c r="X67" s="79"/>
      <c r="AA67" s="130"/>
      <c r="AC67" s="106"/>
    </row>
    <row r="68">
      <c r="C68" s="79"/>
      <c r="D68" s="79"/>
      <c r="E68" s="79"/>
      <c r="N68" s="79"/>
      <c r="S68" s="79"/>
      <c r="T68" s="79"/>
      <c r="W68" s="79"/>
      <c r="X68" s="79"/>
      <c r="AA68" s="130"/>
      <c r="AC68" s="106"/>
    </row>
    <row r="69">
      <c r="C69" s="79"/>
      <c r="D69" s="79"/>
      <c r="E69" s="79"/>
      <c r="N69" s="79"/>
      <c r="S69" s="79"/>
      <c r="T69" s="79"/>
      <c r="W69" s="79"/>
      <c r="X69" s="79"/>
      <c r="AA69" s="130"/>
      <c r="AC69" s="106"/>
    </row>
    <row r="70">
      <c r="C70" s="79"/>
      <c r="D70" s="79"/>
      <c r="E70" s="79"/>
      <c r="N70" s="79"/>
      <c r="S70" s="79"/>
      <c r="T70" s="79"/>
      <c r="W70" s="79"/>
      <c r="X70" s="79"/>
      <c r="AA70" s="130"/>
      <c r="AC70" s="106"/>
    </row>
    <row r="71">
      <c r="C71" s="79"/>
      <c r="D71" s="79"/>
      <c r="E71" s="79"/>
      <c r="N71" s="79"/>
      <c r="S71" s="79"/>
      <c r="T71" s="79"/>
      <c r="W71" s="79"/>
      <c r="X71" s="79"/>
      <c r="AA71" s="130"/>
      <c r="AC71" s="106"/>
    </row>
    <row r="72">
      <c r="C72" s="79"/>
      <c r="D72" s="79"/>
      <c r="E72" s="79"/>
      <c r="N72" s="79"/>
      <c r="S72" s="79"/>
      <c r="T72" s="79"/>
      <c r="W72" s="79"/>
      <c r="X72" s="79"/>
      <c r="AA72" s="130"/>
      <c r="AC72" s="106"/>
    </row>
    <row r="73">
      <c r="C73" s="79"/>
      <c r="D73" s="79"/>
      <c r="E73" s="79"/>
      <c r="N73" s="79"/>
      <c r="S73" s="79"/>
      <c r="T73" s="79"/>
      <c r="W73" s="79"/>
      <c r="X73" s="79"/>
      <c r="AA73" s="130"/>
      <c r="AC73" s="106"/>
    </row>
    <row r="74">
      <c r="C74" s="79"/>
      <c r="D74" s="79"/>
      <c r="E74" s="79"/>
      <c r="N74" s="79"/>
      <c r="S74" s="79"/>
      <c r="T74" s="79"/>
      <c r="W74" s="79"/>
      <c r="X74" s="79"/>
      <c r="AA74" s="130"/>
      <c r="AC74" s="106"/>
    </row>
    <row r="75">
      <c r="C75" s="79"/>
      <c r="D75" s="79"/>
      <c r="E75" s="79"/>
      <c r="N75" s="79"/>
      <c r="S75" s="79"/>
      <c r="T75" s="79"/>
      <c r="W75" s="79"/>
      <c r="X75" s="79"/>
      <c r="AA75" s="130"/>
      <c r="AC75" s="106"/>
    </row>
    <row r="76">
      <c r="C76" s="79"/>
      <c r="D76" s="79"/>
      <c r="E76" s="79"/>
      <c r="N76" s="79"/>
      <c r="S76" s="79"/>
      <c r="T76" s="79"/>
      <c r="W76" s="79"/>
      <c r="X76" s="79"/>
      <c r="AA76" s="130"/>
      <c r="AC76" s="106"/>
    </row>
    <row r="77">
      <c r="C77" s="79"/>
      <c r="D77" s="79"/>
      <c r="E77" s="79"/>
      <c r="N77" s="79"/>
      <c r="S77" s="79"/>
      <c r="T77" s="79"/>
      <c r="W77" s="79"/>
      <c r="X77" s="79"/>
      <c r="AA77" s="130"/>
      <c r="AC77" s="106"/>
    </row>
    <row r="78">
      <c r="C78" s="79"/>
      <c r="D78" s="79"/>
      <c r="E78" s="79"/>
      <c r="N78" s="79"/>
      <c r="S78" s="79"/>
      <c r="T78" s="79"/>
      <c r="W78" s="79"/>
      <c r="X78" s="79"/>
      <c r="AA78" s="130"/>
      <c r="AC78" s="106"/>
    </row>
    <row r="79">
      <c r="C79" s="79"/>
      <c r="D79" s="79"/>
      <c r="E79" s="79"/>
      <c r="N79" s="79"/>
      <c r="S79" s="79"/>
      <c r="T79" s="79"/>
      <c r="W79" s="79"/>
      <c r="X79" s="79"/>
      <c r="AA79" s="130"/>
      <c r="AC79" s="106"/>
    </row>
    <row r="80">
      <c r="C80" s="79"/>
      <c r="D80" s="79"/>
      <c r="E80" s="79"/>
      <c r="N80" s="79"/>
      <c r="S80" s="79"/>
      <c r="T80" s="79"/>
      <c r="W80" s="79"/>
      <c r="X80" s="79"/>
      <c r="AA80" s="130"/>
      <c r="AC80" s="106"/>
    </row>
    <row r="81">
      <c r="C81" s="79"/>
      <c r="D81" s="79"/>
      <c r="E81" s="79"/>
      <c r="N81" s="79"/>
      <c r="S81" s="79"/>
      <c r="T81" s="79"/>
      <c r="W81" s="79"/>
      <c r="X81" s="79"/>
      <c r="AA81" s="130"/>
      <c r="AC81" s="106"/>
    </row>
    <row r="82">
      <c r="C82" s="79"/>
      <c r="D82" s="79"/>
      <c r="E82" s="79"/>
      <c r="N82" s="79"/>
      <c r="S82" s="79"/>
      <c r="T82" s="79"/>
      <c r="W82" s="79"/>
      <c r="X82" s="79"/>
      <c r="AA82" s="130"/>
      <c r="AC82" s="106"/>
    </row>
    <row r="83">
      <c r="C83" s="79"/>
      <c r="D83" s="79"/>
      <c r="E83" s="79"/>
      <c r="N83" s="79"/>
      <c r="S83" s="79"/>
      <c r="T83" s="79"/>
      <c r="W83" s="79"/>
      <c r="X83" s="79"/>
      <c r="AA83" s="130"/>
      <c r="AC83" s="106"/>
    </row>
    <row r="84">
      <c r="C84" s="79"/>
      <c r="D84" s="79"/>
      <c r="E84" s="79"/>
      <c r="N84" s="79"/>
      <c r="S84" s="79"/>
      <c r="T84" s="79"/>
      <c r="W84" s="79"/>
      <c r="X84" s="79"/>
      <c r="AA84" s="130"/>
      <c r="AC84" s="106"/>
    </row>
    <row r="85">
      <c r="C85" s="79"/>
      <c r="D85" s="79"/>
      <c r="E85" s="79"/>
      <c r="N85" s="79"/>
      <c r="S85" s="79"/>
      <c r="T85" s="79"/>
      <c r="W85" s="79"/>
      <c r="X85" s="79"/>
      <c r="AA85" s="130"/>
      <c r="AC85" s="106"/>
    </row>
    <row r="86">
      <c r="C86" s="79"/>
      <c r="D86" s="79"/>
      <c r="E86" s="79"/>
      <c r="N86" s="79"/>
      <c r="S86" s="79"/>
      <c r="T86" s="79"/>
      <c r="W86" s="79"/>
      <c r="X86" s="79"/>
      <c r="AA86" s="130"/>
      <c r="AC86" s="106"/>
    </row>
    <row r="87">
      <c r="C87" s="79"/>
      <c r="D87" s="79"/>
      <c r="E87" s="79"/>
      <c r="N87" s="79"/>
      <c r="S87" s="79"/>
      <c r="T87" s="79"/>
      <c r="W87" s="79"/>
      <c r="X87" s="79"/>
      <c r="AA87" s="130"/>
      <c r="AC87" s="106"/>
    </row>
    <row r="88">
      <c r="C88" s="79"/>
      <c r="D88" s="79"/>
      <c r="E88" s="79"/>
      <c r="N88" s="79"/>
      <c r="S88" s="79"/>
      <c r="T88" s="79"/>
      <c r="W88" s="79"/>
      <c r="X88" s="79"/>
      <c r="AA88" s="130"/>
      <c r="AC88" s="106"/>
    </row>
    <row r="89">
      <c r="C89" s="79"/>
      <c r="D89" s="79"/>
      <c r="E89" s="79"/>
      <c r="N89" s="79"/>
      <c r="S89" s="79"/>
      <c r="T89" s="79"/>
      <c r="W89" s="79"/>
      <c r="X89" s="79"/>
      <c r="AA89" s="130"/>
      <c r="AC89" s="106"/>
    </row>
    <row r="90">
      <c r="C90" s="79"/>
      <c r="D90" s="79"/>
      <c r="E90" s="79"/>
      <c r="N90" s="79"/>
      <c r="S90" s="79"/>
      <c r="T90" s="79"/>
      <c r="W90" s="79"/>
      <c r="X90" s="79"/>
      <c r="AA90" s="130"/>
      <c r="AC90" s="106"/>
    </row>
    <row r="91">
      <c r="C91" s="79"/>
      <c r="D91" s="79"/>
      <c r="E91" s="79"/>
      <c r="N91" s="79"/>
      <c r="S91" s="79"/>
      <c r="T91" s="79"/>
      <c r="W91" s="79"/>
      <c r="X91" s="79"/>
      <c r="AA91" s="130"/>
      <c r="AC91" s="106"/>
    </row>
    <row r="92">
      <c r="C92" s="79"/>
      <c r="D92" s="79"/>
      <c r="E92" s="79"/>
      <c r="N92" s="79"/>
      <c r="S92" s="79"/>
      <c r="T92" s="79"/>
      <c r="W92" s="79"/>
      <c r="X92" s="79"/>
      <c r="AA92" s="130"/>
      <c r="AC92" s="106"/>
    </row>
    <row r="93">
      <c r="C93" s="79"/>
      <c r="D93" s="79"/>
      <c r="E93" s="79"/>
      <c r="N93" s="79"/>
      <c r="S93" s="79"/>
      <c r="T93" s="79"/>
      <c r="W93" s="79"/>
      <c r="X93" s="79"/>
      <c r="AA93" s="130"/>
      <c r="AC93" s="106"/>
    </row>
    <row r="94">
      <c r="C94" s="79"/>
      <c r="D94" s="79"/>
      <c r="E94" s="79"/>
      <c r="N94" s="79"/>
      <c r="S94" s="79"/>
      <c r="T94" s="79"/>
      <c r="W94" s="79"/>
      <c r="X94" s="79"/>
      <c r="AA94" s="130"/>
      <c r="AC94" s="106"/>
    </row>
    <row r="95">
      <c r="C95" s="79"/>
      <c r="D95" s="79"/>
      <c r="E95" s="79"/>
      <c r="N95" s="79"/>
      <c r="S95" s="79"/>
      <c r="T95" s="79"/>
      <c r="W95" s="79"/>
      <c r="X95" s="79"/>
      <c r="AA95" s="130"/>
      <c r="AC95" s="106"/>
    </row>
    <row r="96">
      <c r="C96" s="79"/>
      <c r="D96" s="79"/>
      <c r="E96" s="79"/>
      <c r="N96" s="79"/>
      <c r="S96" s="79"/>
      <c r="T96" s="79"/>
      <c r="W96" s="79"/>
      <c r="X96" s="79"/>
      <c r="AA96" s="130"/>
      <c r="AC96" s="106"/>
    </row>
    <row r="97">
      <c r="C97" s="79"/>
      <c r="D97" s="79"/>
      <c r="E97" s="79"/>
      <c r="N97" s="79"/>
      <c r="S97" s="79"/>
      <c r="T97" s="79"/>
      <c r="W97" s="79"/>
      <c r="X97" s="79"/>
      <c r="AA97" s="130"/>
      <c r="AC97" s="106"/>
    </row>
    <row r="98">
      <c r="C98" s="79"/>
      <c r="D98" s="79"/>
      <c r="E98" s="79"/>
      <c r="N98" s="79"/>
      <c r="S98" s="79"/>
      <c r="T98" s="79"/>
      <c r="W98" s="79"/>
      <c r="X98" s="79"/>
      <c r="AA98" s="130"/>
      <c r="AC98" s="106"/>
    </row>
    <row r="99">
      <c r="C99" s="79"/>
      <c r="D99" s="79"/>
      <c r="E99" s="79"/>
      <c r="N99" s="79"/>
      <c r="S99" s="79"/>
      <c r="T99" s="79"/>
      <c r="W99" s="79"/>
      <c r="X99" s="79"/>
      <c r="AA99" s="130"/>
      <c r="AC99" s="106"/>
    </row>
    <row r="100">
      <c r="C100" s="79"/>
      <c r="D100" s="79"/>
      <c r="E100" s="79"/>
      <c r="N100" s="79"/>
      <c r="S100" s="79"/>
      <c r="T100" s="79"/>
      <c r="W100" s="79"/>
      <c r="X100" s="79"/>
      <c r="AA100" s="130"/>
      <c r="AC100" s="106"/>
    </row>
    <row r="101">
      <c r="C101" s="79"/>
      <c r="D101" s="79"/>
      <c r="E101" s="79"/>
      <c r="N101" s="79"/>
      <c r="S101" s="79"/>
      <c r="T101" s="79"/>
      <c r="W101" s="79"/>
      <c r="X101" s="79"/>
      <c r="AA101" s="130"/>
      <c r="AC101" s="106"/>
    </row>
    <row r="102">
      <c r="C102" s="79"/>
      <c r="D102" s="79"/>
      <c r="E102" s="79"/>
      <c r="N102" s="79"/>
      <c r="S102" s="79"/>
      <c r="T102" s="79"/>
      <c r="W102" s="79"/>
      <c r="X102" s="79"/>
      <c r="AA102" s="130"/>
      <c r="AC102" s="106"/>
    </row>
    <row r="103">
      <c r="C103" s="79"/>
      <c r="D103" s="79"/>
      <c r="E103" s="79"/>
      <c r="N103" s="79"/>
      <c r="S103" s="79"/>
      <c r="T103" s="79"/>
      <c r="W103" s="79"/>
      <c r="X103" s="79"/>
      <c r="AA103" s="130"/>
      <c r="AC103" s="106"/>
    </row>
    <row r="104">
      <c r="C104" s="79"/>
      <c r="D104" s="79"/>
      <c r="E104" s="79"/>
      <c r="N104" s="79"/>
      <c r="S104" s="79"/>
      <c r="T104" s="79"/>
      <c r="W104" s="79"/>
      <c r="X104" s="79"/>
      <c r="AA104" s="130"/>
      <c r="AC104" s="106"/>
    </row>
    <row r="105">
      <c r="C105" s="79"/>
      <c r="D105" s="79"/>
      <c r="E105" s="79"/>
      <c r="N105" s="79"/>
      <c r="S105" s="79"/>
      <c r="T105" s="79"/>
      <c r="W105" s="79"/>
      <c r="X105" s="79"/>
      <c r="AA105" s="130"/>
      <c r="AC105" s="106"/>
    </row>
    <row r="106">
      <c r="C106" s="79"/>
      <c r="D106" s="79"/>
      <c r="E106" s="79"/>
      <c r="N106" s="79"/>
      <c r="S106" s="79"/>
      <c r="T106" s="79"/>
      <c r="W106" s="79"/>
      <c r="X106" s="79"/>
      <c r="AA106" s="130"/>
      <c r="AC106" s="106"/>
    </row>
    <row r="107">
      <c r="C107" s="79"/>
      <c r="D107" s="79"/>
      <c r="E107" s="79"/>
      <c r="N107" s="79"/>
      <c r="S107" s="79"/>
      <c r="T107" s="79"/>
      <c r="W107" s="79"/>
      <c r="X107" s="79"/>
      <c r="AA107" s="130"/>
      <c r="AC107" s="106"/>
    </row>
    <row r="108">
      <c r="C108" s="79"/>
      <c r="D108" s="79"/>
      <c r="E108" s="79"/>
      <c r="N108" s="79"/>
      <c r="S108" s="79"/>
      <c r="T108" s="79"/>
      <c r="W108" s="79"/>
      <c r="X108" s="79"/>
      <c r="AA108" s="130"/>
      <c r="AC108" s="106"/>
    </row>
    <row r="109">
      <c r="C109" s="79"/>
      <c r="D109" s="79"/>
      <c r="E109" s="79"/>
      <c r="N109" s="79"/>
      <c r="S109" s="79"/>
      <c r="T109" s="79"/>
      <c r="W109" s="79"/>
      <c r="X109" s="79"/>
      <c r="AA109" s="130"/>
      <c r="AC109" s="106"/>
    </row>
    <row r="110">
      <c r="C110" s="79"/>
      <c r="D110" s="79"/>
      <c r="E110" s="79"/>
      <c r="N110" s="79"/>
      <c r="S110" s="79"/>
      <c r="T110" s="79"/>
      <c r="W110" s="79"/>
      <c r="X110" s="79"/>
      <c r="AA110" s="130"/>
      <c r="AC110" s="106"/>
    </row>
    <row r="111">
      <c r="C111" s="79"/>
      <c r="D111" s="79"/>
      <c r="E111" s="79"/>
      <c r="N111" s="79"/>
      <c r="S111" s="79"/>
      <c r="T111" s="79"/>
      <c r="W111" s="79"/>
      <c r="X111" s="79"/>
      <c r="AA111" s="130"/>
      <c r="AC111" s="106"/>
    </row>
    <row r="112">
      <c r="C112" s="79"/>
      <c r="D112" s="79"/>
      <c r="E112" s="79"/>
      <c r="N112" s="79"/>
      <c r="S112" s="79"/>
      <c r="T112" s="79"/>
      <c r="W112" s="79"/>
      <c r="X112" s="79"/>
      <c r="AA112" s="130"/>
      <c r="AC112" s="106"/>
    </row>
    <row r="113">
      <c r="C113" s="79"/>
      <c r="D113" s="79"/>
      <c r="E113" s="79"/>
      <c r="N113" s="79"/>
      <c r="S113" s="79"/>
      <c r="T113" s="79"/>
      <c r="W113" s="79"/>
      <c r="X113" s="79"/>
      <c r="AA113" s="130"/>
      <c r="AC113" s="106"/>
    </row>
    <row r="114">
      <c r="C114" s="79"/>
      <c r="D114" s="79"/>
      <c r="E114" s="79"/>
      <c r="N114" s="79"/>
      <c r="S114" s="79"/>
      <c r="T114" s="79"/>
      <c r="W114" s="79"/>
      <c r="X114" s="79"/>
      <c r="AA114" s="130"/>
      <c r="AC114" s="106"/>
    </row>
    <row r="115">
      <c r="C115" s="79"/>
      <c r="D115" s="79"/>
      <c r="E115" s="79"/>
      <c r="N115" s="79"/>
      <c r="S115" s="79"/>
      <c r="T115" s="79"/>
      <c r="W115" s="79"/>
      <c r="X115" s="79"/>
      <c r="AA115" s="130"/>
      <c r="AC115" s="106"/>
    </row>
    <row r="116">
      <c r="C116" s="79"/>
      <c r="D116" s="79"/>
      <c r="E116" s="79"/>
      <c r="N116" s="79"/>
      <c r="S116" s="79"/>
      <c r="T116" s="79"/>
      <c r="W116" s="79"/>
      <c r="X116" s="79"/>
      <c r="AA116" s="130"/>
      <c r="AC116" s="106"/>
    </row>
    <row r="117">
      <c r="C117" s="79"/>
      <c r="D117" s="79"/>
      <c r="E117" s="79"/>
      <c r="N117" s="79"/>
      <c r="S117" s="79"/>
      <c r="T117" s="79"/>
      <c r="W117" s="79"/>
      <c r="X117" s="79"/>
      <c r="AA117" s="130"/>
      <c r="AC117" s="106"/>
    </row>
    <row r="118">
      <c r="C118" s="79"/>
      <c r="D118" s="79"/>
      <c r="E118" s="79"/>
      <c r="N118" s="79"/>
      <c r="S118" s="79"/>
      <c r="T118" s="79"/>
      <c r="W118" s="79"/>
      <c r="X118" s="79"/>
      <c r="AA118" s="130"/>
      <c r="AC118" s="106"/>
    </row>
    <row r="119">
      <c r="C119" s="79"/>
      <c r="D119" s="79"/>
      <c r="E119" s="79"/>
      <c r="N119" s="79"/>
      <c r="S119" s="79"/>
      <c r="T119" s="79"/>
      <c r="W119" s="79"/>
      <c r="X119" s="79"/>
      <c r="AA119" s="130"/>
      <c r="AC119" s="106"/>
    </row>
    <row r="120">
      <c r="C120" s="79"/>
      <c r="D120" s="79"/>
      <c r="E120" s="79"/>
      <c r="N120" s="79"/>
      <c r="S120" s="79"/>
      <c r="T120" s="79"/>
      <c r="W120" s="79"/>
      <c r="X120" s="79"/>
      <c r="AA120" s="130"/>
      <c r="AC120" s="106"/>
    </row>
    <row r="121">
      <c r="C121" s="79"/>
      <c r="D121" s="79"/>
      <c r="E121" s="79"/>
      <c r="N121" s="79"/>
      <c r="S121" s="79"/>
      <c r="T121" s="79"/>
      <c r="W121" s="79"/>
      <c r="X121" s="79"/>
      <c r="AA121" s="130"/>
      <c r="AC121" s="106"/>
    </row>
    <row r="122">
      <c r="C122" s="79"/>
      <c r="D122" s="79"/>
      <c r="E122" s="79"/>
      <c r="N122" s="79"/>
      <c r="S122" s="79"/>
      <c r="T122" s="79"/>
      <c r="W122" s="79"/>
      <c r="X122" s="79"/>
      <c r="AA122" s="130"/>
      <c r="AC122" s="106"/>
    </row>
    <row r="123">
      <c r="C123" s="79"/>
      <c r="D123" s="79"/>
      <c r="E123" s="79"/>
      <c r="N123" s="79"/>
      <c r="S123" s="79"/>
      <c r="T123" s="79"/>
      <c r="W123" s="79"/>
      <c r="X123" s="79"/>
      <c r="AA123" s="130"/>
      <c r="AC123" s="106"/>
    </row>
    <row r="124">
      <c r="C124" s="79"/>
      <c r="D124" s="79"/>
      <c r="E124" s="79"/>
      <c r="N124" s="79"/>
      <c r="S124" s="79"/>
      <c r="T124" s="79"/>
      <c r="W124" s="79"/>
      <c r="X124" s="79"/>
      <c r="AA124" s="130"/>
      <c r="AC124" s="106"/>
    </row>
    <row r="125">
      <c r="C125" s="79"/>
      <c r="D125" s="79"/>
      <c r="E125" s="79"/>
      <c r="N125" s="79"/>
      <c r="S125" s="79"/>
      <c r="T125" s="79"/>
      <c r="W125" s="79"/>
      <c r="X125" s="79"/>
      <c r="AA125" s="130"/>
      <c r="AC125" s="106"/>
    </row>
    <row r="126">
      <c r="C126" s="79"/>
      <c r="D126" s="79"/>
      <c r="E126" s="79"/>
      <c r="N126" s="79"/>
      <c r="S126" s="79"/>
      <c r="T126" s="79"/>
      <c r="W126" s="79"/>
      <c r="X126" s="79"/>
      <c r="AA126" s="130"/>
      <c r="AC126" s="106"/>
    </row>
    <row r="127">
      <c r="C127" s="79"/>
      <c r="D127" s="79"/>
      <c r="E127" s="79"/>
      <c r="N127" s="79"/>
      <c r="S127" s="79"/>
      <c r="T127" s="79"/>
      <c r="W127" s="79"/>
      <c r="X127" s="79"/>
      <c r="AA127" s="130"/>
      <c r="AC127" s="106"/>
    </row>
    <row r="128">
      <c r="C128" s="79"/>
      <c r="D128" s="79"/>
      <c r="E128" s="79"/>
      <c r="N128" s="79"/>
      <c r="S128" s="79"/>
      <c r="T128" s="79"/>
      <c r="W128" s="79"/>
      <c r="X128" s="79"/>
      <c r="AA128" s="130"/>
      <c r="AC128" s="106"/>
    </row>
    <row r="129">
      <c r="C129" s="79"/>
      <c r="D129" s="79"/>
      <c r="E129" s="79"/>
      <c r="N129" s="79"/>
      <c r="S129" s="79"/>
      <c r="T129" s="79"/>
      <c r="W129" s="79"/>
      <c r="X129" s="79"/>
      <c r="AA129" s="130"/>
      <c r="AC129" s="106"/>
    </row>
    <row r="130">
      <c r="C130" s="79"/>
      <c r="D130" s="79"/>
      <c r="E130" s="79"/>
      <c r="N130" s="79"/>
      <c r="S130" s="79"/>
      <c r="T130" s="79"/>
      <c r="W130" s="79"/>
      <c r="X130" s="79"/>
      <c r="AA130" s="130"/>
      <c r="AC130" s="106"/>
    </row>
    <row r="131">
      <c r="C131" s="79"/>
      <c r="D131" s="79"/>
      <c r="E131" s="79"/>
      <c r="N131" s="79"/>
      <c r="S131" s="79"/>
      <c r="T131" s="79"/>
      <c r="W131" s="79"/>
      <c r="X131" s="79"/>
      <c r="AA131" s="130"/>
      <c r="AC131" s="106"/>
    </row>
    <row r="132">
      <c r="C132" s="79"/>
      <c r="D132" s="79"/>
      <c r="E132" s="79"/>
      <c r="N132" s="79"/>
      <c r="S132" s="79"/>
      <c r="T132" s="79"/>
      <c r="W132" s="79"/>
      <c r="X132" s="79"/>
      <c r="AA132" s="130"/>
      <c r="AC132" s="106"/>
    </row>
    <row r="133">
      <c r="C133" s="79"/>
      <c r="D133" s="79"/>
      <c r="E133" s="79"/>
      <c r="N133" s="79"/>
      <c r="S133" s="79"/>
      <c r="T133" s="79"/>
      <c r="W133" s="79"/>
      <c r="X133" s="79"/>
      <c r="AA133" s="130"/>
      <c r="AC133" s="106"/>
    </row>
    <row r="134">
      <c r="C134" s="79"/>
      <c r="D134" s="79"/>
      <c r="E134" s="79"/>
      <c r="N134" s="79"/>
      <c r="S134" s="79"/>
      <c r="T134" s="79"/>
      <c r="W134" s="79"/>
      <c r="X134" s="79"/>
      <c r="AA134" s="130"/>
      <c r="AC134" s="106"/>
    </row>
    <row r="135">
      <c r="C135" s="79"/>
      <c r="D135" s="79"/>
      <c r="E135" s="79"/>
      <c r="N135" s="79"/>
      <c r="S135" s="79"/>
      <c r="T135" s="79"/>
      <c r="W135" s="79"/>
      <c r="X135" s="79"/>
      <c r="AA135" s="130"/>
      <c r="AC135" s="106"/>
    </row>
    <row r="136">
      <c r="C136" s="79"/>
      <c r="D136" s="79"/>
      <c r="E136" s="79"/>
      <c r="N136" s="79"/>
      <c r="S136" s="79"/>
      <c r="T136" s="79"/>
      <c r="W136" s="79"/>
      <c r="X136" s="79"/>
      <c r="AA136" s="130"/>
      <c r="AC136" s="106"/>
    </row>
    <row r="137">
      <c r="C137" s="79"/>
      <c r="D137" s="79"/>
      <c r="E137" s="79"/>
      <c r="N137" s="79"/>
      <c r="S137" s="79"/>
      <c r="T137" s="79"/>
      <c r="W137" s="79"/>
      <c r="X137" s="79"/>
      <c r="AA137" s="130"/>
      <c r="AC137" s="106"/>
    </row>
    <row r="138">
      <c r="C138" s="79"/>
      <c r="D138" s="79"/>
      <c r="E138" s="79"/>
      <c r="N138" s="79"/>
      <c r="S138" s="79"/>
      <c r="T138" s="79"/>
      <c r="W138" s="79"/>
      <c r="X138" s="79"/>
      <c r="AA138" s="130"/>
      <c r="AC138" s="106"/>
    </row>
    <row r="139">
      <c r="C139" s="79"/>
      <c r="D139" s="79"/>
      <c r="E139" s="79"/>
      <c r="N139" s="79"/>
      <c r="S139" s="79"/>
      <c r="T139" s="79"/>
      <c r="W139" s="79"/>
      <c r="X139" s="79"/>
      <c r="AA139" s="130"/>
      <c r="AC139" s="106"/>
    </row>
    <row r="140">
      <c r="C140" s="79"/>
      <c r="D140" s="79"/>
      <c r="E140" s="79"/>
      <c r="N140" s="79"/>
      <c r="S140" s="79"/>
      <c r="T140" s="79"/>
      <c r="W140" s="79"/>
      <c r="X140" s="79"/>
      <c r="AA140" s="130"/>
      <c r="AC140" s="106"/>
    </row>
    <row r="141">
      <c r="C141" s="79"/>
      <c r="D141" s="79"/>
      <c r="E141" s="79"/>
      <c r="N141" s="79"/>
      <c r="S141" s="79"/>
      <c r="T141" s="79"/>
      <c r="W141" s="79"/>
      <c r="X141" s="79"/>
      <c r="AA141" s="130"/>
      <c r="AC141" s="106"/>
    </row>
    <row r="142">
      <c r="C142" s="79"/>
      <c r="D142" s="79"/>
      <c r="E142" s="79"/>
      <c r="N142" s="79"/>
      <c r="S142" s="79"/>
      <c r="T142" s="79"/>
      <c r="W142" s="79"/>
      <c r="X142" s="79"/>
      <c r="AA142" s="130"/>
      <c r="AC142" s="106"/>
    </row>
    <row r="143">
      <c r="C143" s="79"/>
      <c r="D143" s="79"/>
      <c r="E143" s="79"/>
      <c r="N143" s="79"/>
      <c r="S143" s="79"/>
      <c r="T143" s="79"/>
      <c r="W143" s="79"/>
      <c r="X143" s="79"/>
      <c r="AA143" s="130"/>
      <c r="AC143" s="106"/>
    </row>
    <row r="144">
      <c r="C144" s="79"/>
      <c r="D144" s="79"/>
      <c r="E144" s="79"/>
      <c r="N144" s="79"/>
      <c r="S144" s="79"/>
      <c r="T144" s="79"/>
      <c r="W144" s="79"/>
      <c r="X144" s="79"/>
      <c r="AA144" s="130"/>
      <c r="AC144" s="106"/>
    </row>
    <row r="145">
      <c r="C145" s="79"/>
      <c r="D145" s="79"/>
      <c r="E145" s="79"/>
      <c r="N145" s="79"/>
      <c r="S145" s="79"/>
      <c r="T145" s="79"/>
      <c r="W145" s="79"/>
      <c r="X145" s="79"/>
      <c r="AA145" s="130"/>
      <c r="AC145" s="106"/>
    </row>
    <row r="146">
      <c r="C146" s="79"/>
      <c r="D146" s="79"/>
      <c r="E146" s="79"/>
      <c r="N146" s="79"/>
      <c r="S146" s="79"/>
      <c r="T146" s="79"/>
      <c r="W146" s="79"/>
      <c r="X146" s="79"/>
      <c r="AA146" s="130"/>
      <c r="AC146" s="106"/>
    </row>
    <row r="147">
      <c r="C147" s="79"/>
      <c r="D147" s="79"/>
      <c r="E147" s="79"/>
      <c r="N147" s="79"/>
      <c r="S147" s="79"/>
      <c r="T147" s="79"/>
      <c r="W147" s="79"/>
      <c r="X147" s="79"/>
      <c r="AA147" s="130"/>
      <c r="AC147" s="106"/>
    </row>
    <row r="148">
      <c r="C148" s="79"/>
      <c r="D148" s="79"/>
      <c r="E148" s="79"/>
      <c r="N148" s="79"/>
      <c r="S148" s="79"/>
      <c r="T148" s="79"/>
      <c r="W148" s="79"/>
      <c r="X148" s="79"/>
      <c r="AA148" s="130"/>
      <c r="AC148" s="106"/>
    </row>
    <row r="149">
      <c r="C149" s="79"/>
      <c r="D149" s="79"/>
      <c r="E149" s="79"/>
      <c r="N149" s="79"/>
      <c r="S149" s="79"/>
      <c r="T149" s="79"/>
      <c r="W149" s="79"/>
      <c r="X149" s="79"/>
      <c r="AA149" s="130"/>
      <c r="AC149" s="106"/>
    </row>
    <row r="150">
      <c r="C150" s="79"/>
      <c r="D150" s="79"/>
      <c r="E150" s="79"/>
      <c r="N150" s="79"/>
      <c r="S150" s="79"/>
      <c r="T150" s="79"/>
      <c r="W150" s="79"/>
      <c r="X150" s="79"/>
      <c r="AA150" s="130"/>
      <c r="AC150" s="106"/>
    </row>
    <row r="151">
      <c r="C151" s="79"/>
      <c r="D151" s="79"/>
      <c r="E151" s="79"/>
      <c r="N151" s="79"/>
      <c r="S151" s="79"/>
      <c r="T151" s="79"/>
      <c r="W151" s="79"/>
      <c r="X151" s="79"/>
      <c r="AA151" s="130"/>
      <c r="AC151" s="106"/>
    </row>
    <row r="152">
      <c r="C152" s="79"/>
      <c r="D152" s="79"/>
      <c r="E152" s="79"/>
      <c r="N152" s="79"/>
      <c r="S152" s="79"/>
      <c r="T152" s="79"/>
      <c r="W152" s="79"/>
      <c r="X152" s="79"/>
      <c r="AA152" s="130"/>
      <c r="AC152" s="106"/>
    </row>
    <row r="153">
      <c r="C153" s="79"/>
      <c r="D153" s="79"/>
      <c r="E153" s="79"/>
      <c r="N153" s="79"/>
      <c r="S153" s="79"/>
      <c r="T153" s="79"/>
      <c r="W153" s="79"/>
      <c r="X153" s="79"/>
      <c r="AA153" s="130"/>
      <c r="AC153" s="106"/>
    </row>
    <row r="154">
      <c r="C154" s="79"/>
      <c r="D154" s="79"/>
      <c r="E154" s="79"/>
      <c r="N154" s="79"/>
      <c r="S154" s="79"/>
      <c r="T154" s="79"/>
      <c r="W154" s="79"/>
      <c r="X154" s="79"/>
      <c r="AA154" s="130"/>
      <c r="AC154" s="106"/>
    </row>
    <row r="155">
      <c r="C155" s="79"/>
      <c r="D155" s="79"/>
      <c r="E155" s="79"/>
      <c r="N155" s="79"/>
      <c r="S155" s="79"/>
      <c r="T155" s="79"/>
      <c r="W155" s="79"/>
      <c r="X155" s="79"/>
      <c r="AA155" s="130"/>
      <c r="AC155" s="106"/>
    </row>
    <row r="156">
      <c r="C156" s="79"/>
      <c r="D156" s="79"/>
      <c r="E156" s="79"/>
      <c r="N156" s="79"/>
      <c r="S156" s="79"/>
      <c r="T156" s="79"/>
      <c r="W156" s="79"/>
      <c r="X156" s="79"/>
      <c r="AA156" s="130"/>
      <c r="AC156" s="106"/>
    </row>
    <row r="157">
      <c r="C157" s="79"/>
      <c r="D157" s="79"/>
      <c r="E157" s="79"/>
      <c r="N157" s="79"/>
      <c r="S157" s="79"/>
      <c r="T157" s="79"/>
      <c r="W157" s="79"/>
      <c r="X157" s="79"/>
      <c r="AA157" s="130"/>
      <c r="AC157" s="106"/>
    </row>
    <row r="158">
      <c r="C158" s="79"/>
      <c r="D158" s="79"/>
      <c r="E158" s="79"/>
      <c r="N158" s="79"/>
      <c r="S158" s="79"/>
      <c r="T158" s="79"/>
      <c r="W158" s="79"/>
      <c r="X158" s="79"/>
      <c r="AA158" s="130"/>
      <c r="AC158" s="106"/>
    </row>
    <row r="159">
      <c r="C159" s="79"/>
      <c r="D159" s="79"/>
      <c r="E159" s="79"/>
      <c r="N159" s="79"/>
      <c r="S159" s="79"/>
      <c r="T159" s="79"/>
      <c r="W159" s="79"/>
      <c r="X159" s="79"/>
      <c r="AA159" s="130"/>
      <c r="AC159" s="106"/>
    </row>
    <row r="160">
      <c r="C160" s="79"/>
      <c r="D160" s="79"/>
      <c r="E160" s="79"/>
      <c r="N160" s="79"/>
      <c r="S160" s="79"/>
      <c r="T160" s="79"/>
      <c r="W160" s="79"/>
      <c r="X160" s="79"/>
      <c r="AA160" s="130"/>
      <c r="AC160" s="106"/>
    </row>
    <row r="161">
      <c r="C161" s="79"/>
      <c r="D161" s="79"/>
      <c r="E161" s="79"/>
      <c r="N161" s="79"/>
      <c r="S161" s="79"/>
      <c r="T161" s="79"/>
      <c r="W161" s="79"/>
      <c r="X161" s="79"/>
      <c r="AA161" s="130"/>
      <c r="AC161" s="106"/>
    </row>
    <row r="162">
      <c r="C162" s="79"/>
      <c r="D162" s="79"/>
      <c r="E162" s="79"/>
      <c r="N162" s="79"/>
      <c r="S162" s="79"/>
      <c r="T162" s="79"/>
      <c r="W162" s="79"/>
      <c r="X162" s="79"/>
      <c r="AA162" s="130"/>
      <c r="AC162" s="106"/>
    </row>
    <row r="163">
      <c r="C163" s="79"/>
      <c r="D163" s="79"/>
      <c r="E163" s="79"/>
      <c r="N163" s="79"/>
      <c r="S163" s="79"/>
      <c r="T163" s="79"/>
      <c r="W163" s="79"/>
      <c r="X163" s="79"/>
      <c r="AA163" s="130"/>
      <c r="AC163" s="106"/>
    </row>
    <row r="164">
      <c r="C164" s="79"/>
      <c r="D164" s="79"/>
      <c r="E164" s="79"/>
      <c r="N164" s="79"/>
      <c r="S164" s="79"/>
      <c r="T164" s="79"/>
      <c r="W164" s="79"/>
      <c r="X164" s="79"/>
      <c r="AA164" s="130"/>
      <c r="AC164" s="106"/>
    </row>
    <row r="165">
      <c r="C165" s="79"/>
      <c r="D165" s="79"/>
      <c r="E165" s="79"/>
      <c r="N165" s="79"/>
      <c r="S165" s="79"/>
      <c r="T165" s="79"/>
      <c r="W165" s="79"/>
      <c r="X165" s="79"/>
      <c r="AA165" s="130"/>
      <c r="AC165" s="106"/>
    </row>
    <row r="166">
      <c r="C166" s="79"/>
      <c r="D166" s="79"/>
      <c r="E166" s="79"/>
      <c r="N166" s="79"/>
      <c r="S166" s="79"/>
      <c r="T166" s="79"/>
      <c r="W166" s="79"/>
      <c r="X166" s="79"/>
      <c r="AA166" s="130"/>
      <c r="AC166" s="106"/>
    </row>
    <row r="167">
      <c r="C167" s="79"/>
      <c r="D167" s="79"/>
      <c r="E167" s="79"/>
      <c r="N167" s="79"/>
      <c r="S167" s="79"/>
      <c r="T167" s="79"/>
      <c r="W167" s="79"/>
      <c r="X167" s="79"/>
      <c r="AA167" s="130"/>
      <c r="AC167" s="106"/>
    </row>
    <row r="168">
      <c r="C168" s="79"/>
      <c r="D168" s="79"/>
      <c r="E168" s="79"/>
      <c r="N168" s="79"/>
      <c r="S168" s="79"/>
      <c r="T168" s="79"/>
      <c r="W168" s="79"/>
      <c r="X168" s="79"/>
      <c r="AA168" s="130"/>
      <c r="AC168" s="106"/>
    </row>
    <row r="169">
      <c r="C169" s="79"/>
      <c r="D169" s="79"/>
      <c r="E169" s="79"/>
      <c r="N169" s="79"/>
      <c r="S169" s="79"/>
      <c r="T169" s="79"/>
      <c r="W169" s="79"/>
      <c r="X169" s="79"/>
      <c r="AA169" s="130"/>
      <c r="AC169" s="106"/>
    </row>
    <row r="170">
      <c r="C170" s="79"/>
      <c r="D170" s="79"/>
      <c r="E170" s="79"/>
      <c r="N170" s="79"/>
      <c r="S170" s="79"/>
      <c r="T170" s="79"/>
      <c r="W170" s="79"/>
      <c r="X170" s="79"/>
      <c r="AA170" s="130"/>
      <c r="AC170" s="106"/>
    </row>
    <row r="171">
      <c r="C171" s="79"/>
      <c r="D171" s="79"/>
      <c r="E171" s="79"/>
      <c r="N171" s="79"/>
      <c r="S171" s="79"/>
      <c r="T171" s="79"/>
      <c r="W171" s="79"/>
      <c r="X171" s="79"/>
      <c r="AA171" s="130"/>
      <c r="AC171" s="106"/>
    </row>
    <row r="172">
      <c r="C172" s="79"/>
      <c r="D172" s="79"/>
      <c r="E172" s="79"/>
      <c r="N172" s="79"/>
      <c r="S172" s="79"/>
      <c r="T172" s="79"/>
      <c r="W172" s="79"/>
      <c r="X172" s="79"/>
      <c r="AA172" s="130"/>
      <c r="AC172" s="106"/>
    </row>
    <row r="173">
      <c r="C173" s="79"/>
      <c r="D173" s="79"/>
      <c r="E173" s="79"/>
      <c r="N173" s="79"/>
      <c r="S173" s="79"/>
      <c r="T173" s="79"/>
      <c r="W173" s="79"/>
      <c r="X173" s="79"/>
      <c r="AA173" s="130"/>
      <c r="AC173" s="106"/>
    </row>
    <row r="174">
      <c r="C174" s="79"/>
      <c r="D174" s="79"/>
      <c r="E174" s="79"/>
      <c r="N174" s="79"/>
      <c r="S174" s="79"/>
      <c r="T174" s="79"/>
      <c r="W174" s="79"/>
      <c r="X174" s="79"/>
      <c r="AA174" s="130"/>
      <c r="AC174" s="106"/>
    </row>
    <row r="175">
      <c r="C175" s="79"/>
      <c r="D175" s="79"/>
      <c r="E175" s="79"/>
      <c r="N175" s="79"/>
      <c r="S175" s="79"/>
      <c r="T175" s="79"/>
      <c r="W175" s="79"/>
      <c r="X175" s="79"/>
      <c r="AA175" s="130"/>
      <c r="AC175" s="106"/>
    </row>
    <row r="176">
      <c r="C176" s="79"/>
      <c r="D176" s="79"/>
      <c r="E176" s="79"/>
      <c r="N176" s="79"/>
      <c r="S176" s="79"/>
      <c r="T176" s="79"/>
      <c r="W176" s="79"/>
      <c r="X176" s="79"/>
      <c r="AA176" s="130"/>
      <c r="AC176" s="106"/>
    </row>
    <row r="177">
      <c r="C177" s="79"/>
      <c r="D177" s="79"/>
      <c r="E177" s="79"/>
      <c r="N177" s="79"/>
      <c r="S177" s="79"/>
      <c r="T177" s="79"/>
      <c r="W177" s="79"/>
      <c r="X177" s="79"/>
      <c r="AA177" s="130"/>
      <c r="AC177" s="106"/>
    </row>
    <row r="178">
      <c r="C178" s="79"/>
      <c r="D178" s="79"/>
      <c r="E178" s="79"/>
      <c r="N178" s="79"/>
      <c r="S178" s="79"/>
      <c r="T178" s="79"/>
      <c r="W178" s="79"/>
      <c r="X178" s="79"/>
      <c r="AA178" s="130"/>
      <c r="AC178" s="106"/>
    </row>
    <row r="179">
      <c r="C179" s="79"/>
      <c r="D179" s="79"/>
      <c r="E179" s="79"/>
      <c r="N179" s="79"/>
      <c r="S179" s="79"/>
      <c r="T179" s="79"/>
      <c r="W179" s="79"/>
      <c r="X179" s="79"/>
      <c r="AA179" s="130"/>
      <c r="AC179" s="106"/>
    </row>
    <row r="180">
      <c r="C180" s="79"/>
      <c r="D180" s="79"/>
      <c r="E180" s="79"/>
      <c r="N180" s="79"/>
      <c r="S180" s="79"/>
      <c r="T180" s="79"/>
      <c r="W180" s="79"/>
      <c r="X180" s="79"/>
      <c r="AA180" s="130"/>
      <c r="AC180" s="106"/>
    </row>
    <row r="181">
      <c r="C181" s="79"/>
      <c r="D181" s="79"/>
      <c r="E181" s="79"/>
      <c r="N181" s="79"/>
      <c r="S181" s="79"/>
      <c r="T181" s="79"/>
      <c r="W181" s="79"/>
      <c r="X181" s="79"/>
      <c r="AA181" s="130"/>
      <c r="AC181" s="106"/>
    </row>
    <row r="182">
      <c r="C182" s="79"/>
      <c r="D182" s="79"/>
      <c r="E182" s="79"/>
      <c r="N182" s="79"/>
      <c r="S182" s="79"/>
      <c r="T182" s="79"/>
      <c r="W182" s="79"/>
      <c r="X182" s="79"/>
      <c r="AA182" s="130"/>
      <c r="AC182" s="106"/>
    </row>
    <row r="183">
      <c r="C183" s="79"/>
      <c r="D183" s="79"/>
      <c r="E183" s="79"/>
      <c r="N183" s="79"/>
      <c r="S183" s="79"/>
      <c r="T183" s="79"/>
      <c r="W183" s="79"/>
      <c r="X183" s="79"/>
      <c r="AA183" s="130"/>
      <c r="AC183" s="106"/>
    </row>
    <row r="184">
      <c r="C184" s="79"/>
      <c r="D184" s="79"/>
      <c r="E184" s="79"/>
      <c r="N184" s="79"/>
      <c r="S184" s="79"/>
      <c r="T184" s="79"/>
      <c r="W184" s="79"/>
      <c r="X184" s="79"/>
      <c r="AA184" s="130"/>
      <c r="AC184" s="106"/>
    </row>
    <row r="185">
      <c r="C185" s="79"/>
      <c r="D185" s="79"/>
      <c r="E185" s="79"/>
      <c r="N185" s="79"/>
      <c r="S185" s="79"/>
      <c r="T185" s="79"/>
      <c r="W185" s="79"/>
      <c r="X185" s="79"/>
      <c r="AA185" s="130"/>
      <c r="AC185" s="106"/>
    </row>
    <row r="186">
      <c r="C186" s="79"/>
      <c r="D186" s="79"/>
      <c r="E186" s="79"/>
      <c r="N186" s="79"/>
      <c r="S186" s="79"/>
      <c r="T186" s="79"/>
      <c r="W186" s="79"/>
      <c r="X186" s="79"/>
      <c r="AA186" s="130"/>
      <c r="AC186" s="106"/>
    </row>
    <row r="187">
      <c r="C187" s="79"/>
      <c r="D187" s="79"/>
      <c r="E187" s="79"/>
      <c r="N187" s="79"/>
      <c r="S187" s="79"/>
      <c r="T187" s="79"/>
      <c r="W187" s="79"/>
      <c r="X187" s="79"/>
      <c r="AA187" s="130"/>
      <c r="AC187" s="106"/>
    </row>
    <row r="188">
      <c r="C188" s="79"/>
      <c r="D188" s="79"/>
      <c r="E188" s="79"/>
      <c r="N188" s="79"/>
      <c r="S188" s="79"/>
      <c r="T188" s="79"/>
      <c r="W188" s="79"/>
      <c r="X188" s="79"/>
      <c r="AA188" s="130"/>
      <c r="AC188" s="106"/>
    </row>
    <row r="189">
      <c r="C189" s="79"/>
      <c r="D189" s="79"/>
      <c r="E189" s="79"/>
      <c r="N189" s="79"/>
      <c r="S189" s="79"/>
      <c r="T189" s="79"/>
      <c r="W189" s="79"/>
      <c r="X189" s="79"/>
      <c r="AA189" s="130"/>
      <c r="AC189" s="106"/>
    </row>
    <row r="190">
      <c r="C190" s="79"/>
      <c r="D190" s="79"/>
      <c r="E190" s="79"/>
      <c r="N190" s="79"/>
      <c r="S190" s="79"/>
      <c r="T190" s="79"/>
      <c r="W190" s="79"/>
      <c r="X190" s="79"/>
      <c r="AA190" s="130"/>
      <c r="AC190" s="106"/>
    </row>
    <row r="191">
      <c r="C191" s="79"/>
      <c r="D191" s="79"/>
      <c r="E191" s="79"/>
      <c r="N191" s="79"/>
      <c r="S191" s="79"/>
      <c r="T191" s="79"/>
      <c r="W191" s="79"/>
      <c r="X191" s="79"/>
      <c r="AA191" s="130"/>
      <c r="AC191" s="106"/>
    </row>
    <row r="192">
      <c r="C192" s="79"/>
      <c r="D192" s="79"/>
      <c r="E192" s="79"/>
      <c r="N192" s="79"/>
      <c r="S192" s="79"/>
      <c r="T192" s="79"/>
      <c r="W192" s="79"/>
      <c r="X192" s="79"/>
      <c r="AA192" s="130"/>
      <c r="AC192" s="106"/>
    </row>
    <row r="193">
      <c r="C193" s="79"/>
      <c r="D193" s="79"/>
      <c r="E193" s="79"/>
      <c r="N193" s="79"/>
      <c r="S193" s="79"/>
      <c r="T193" s="79"/>
      <c r="W193" s="79"/>
      <c r="X193" s="79"/>
      <c r="AA193" s="130"/>
      <c r="AC193" s="106"/>
    </row>
    <row r="194">
      <c r="C194" s="79"/>
      <c r="D194" s="79"/>
      <c r="E194" s="79"/>
      <c r="N194" s="79"/>
      <c r="S194" s="79"/>
      <c r="T194" s="79"/>
      <c r="W194" s="79"/>
      <c r="X194" s="79"/>
      <c r="AA194" s="130"/>
      <c r="AC194" s="106"/>
    </row>
    <row r="195">
      <c r="C195" s="79"/>
      <c r="D195" s="79"/>
      <c r="E195" s="79"/>
      <c r="N195" s="79"/>
      <c r="S195" s="79"/>
      <c r="T195" s="79"/>
      <c r="W195" s="79"/>
      <c r="X195" s="79"/>
      <c r="AA195" s="130"/>
      <c r="AC195" s="106"/>
    </row>
    <row r="196">
      <c r="C196" s="79"/>
      <c r="D196" s="79"/>
      <c r="E196" s="79"/>
      <c r="N196" s="79"/>
      <c r="S196" s="79"/>
      <c r="T196" s="79"/>
      <c r="W196" s="79"/>
      <c r="X196" s="79"/>
      <c r="AA196" s="130"/>
      <c r="AC196" s="106"/>
    </row>
    <row r="197">
      <c r="C197" s="79"/>
      <c r="D197" s="79"/>
      <c r="E197" s="79"/>
      <c r="N197" s="79"/>
      <c r="S197" s="79"/>
      <c r="T197" s="79"/>
      <c r="W197" s="79"/>
      <c r="X197" s="79"/>
      <c r="AA197" s="130"/>
      <c r="AC197" s="106"/>
    </row>
    <row r="198">
      <c r="C198" s="79"/>
      <c r="D198" s="79"/>
      <c r="E198" s="79"/>
      <c r="N198" s="79"/>
      <c r="S198" s="79"/>
      <c r="T198" s="79"/>
      <c r="W198" s="79"/>
      <c r="X198" s="79"/>
      <c r="AA198" s="130"/>
      <c r="AC198" s="106"/>
    </row>
    <row r="199">
      <c r="C199" s="79"/>
      <c r="D199" s="79"/>
      <c r="E199" s="79"/>
      <c r="N199" s="79"/>
      <c r="S199" s="79"/>
      <c r="T199" s="79"/>
      <c r="W199" s="79"/>
      <c r="X199" s="79"/>
      <c r="AA199" s="130"/>
      <c r="AC199" s="106"/>
    </row>
    <row r="200">
      <c r="C200" s="79"/>
      <c r="D200" s="79"/>
      <c r="E200" s="79"/>
      <c r="N200" s="79"/>
      <c r="S200" s="79"/>
      <c r="T200" s="79"/>
      <c r="W200" s="79"/>
      <c r="X200" s="79"/>
      <c r="AA200" s="130"/>
      <c r="AC200" s="106"/>
    </row>
    <row r="201">
      <c r="C201" s="79"/>
      <c r="D201" s="79"/>
      <c r="E201" s="79"/>
      <c r="N201" s="79"/>
      <c r="S201" s="79"/>
      <c r="T201" s="79"/>
      <c r="W201" s="79"/>
      <c r="X201" s="79"/>
      <c r="AA201" s="130"/>
      <c r="AC201" s="106"/>
    </row>
    <row r="202">
      <c r="C202" s="79"/>
      <c r="D202" s="79"/>
      <c r="E202" s="79"/>
      <c r="N202" s="79"/>
      <c r="S202" s="79"/>
      <c r="T202" s="79"/>
      <c r="W202" s="79"/>
      <c r="X202" s="79"/>
      <c r="AA202" s="130"/>
      <c r="AC202" s="106"/>
    </row>
    <row r="203">
      <c r="C203" s="79"/>
      <c r="D203" s="79"/>
      <c r="E203" s="79"/>
      <c r="N203" s="79"/>
      <c r="S203" s="79"/>
      <c r="T203" s="79"/>
      <c r="W203" s="79"/>
      <c r="X203" s="79"/>
      <c r="AA203" s="130"/>
      <c r="AC203" s="106"/>
    </row>
    <row r="204">
      <c r="C204" s="79"/>
      <c r="D204" s="79"/>
      <c r="E204" s="79"/>
      <c r="N204" s="79"/>
      <c r="S204" s="79"/>
      <c r="T204" s="79"/>
      <c r="W204" s="79"/>
      <c r="X204" s="79"/>
      <c r="AA204" s="130"/>
      <c r="AC204" s="106"/>
    </row>
    <row r="205">
      <c r="C205" s="79"/>
      <c r="D205" s="79"/>
      <c r="E205" s="79"/>
      <c r="N205" s="79"/>
      <c r="S205" s="79"/>
      <c r="T205" s="79"/>
      <c r="W205" s="79"/>
      <c r="X205" s="79"/>
      <c r="AA205" s="130"/>
      <c r="AC205" s="106"/>
    </row>
    <row r="206">
      <c r="C206" s="79"/>
      <c r="D206" s="79"/>
      <c r="E206" s="79"/>
      <c r="N206" s="79"/>
      <c r="S206" s="79"/>
      <c r="T206" s="79"/>
      <c r="W206" s="79"/>
      <c r="X206" s="79"/>
      <c r="AA206" s="130"/>
      <c r="AC206" s="106"/>
    </row>
    <row r="207">
      <c r="C207" s="79"/>
      <c r="D207" s="79"/>
      <c r="E207" s="79"/>
      <c r="N207" s="79"/>
      <c r="S207" s="79"/>
      <c r="T207" s="79"/>
      <c r="W207" s="79"/>
      <c r="X207" s="79"/>
      <c r="AA207" s="130"/>
      <c r="AC207" s="106"/>
    </row>
    <row r="208">
      <c r="C208" s="79"/>
      <c r="D208" s="79"/>
      <c r="E208" s="79"/>
      <c r="N208" s="79"/>
      <c r="S208" s="79"/>
      <c r="T208" s="79"/>
      <c r="W208" s="79"/>
      <c r="X208" s="79"/>
      <c r="AA208" s="130"/>
      <c r="AC208" s="106"/>
    </row>
    <row r="209">
      <c r="C209" s="79"/>
      <c r="D209" s="79"/>
      <c r="E209" s="79"/>
      <c r="N209" s="79"/>
      <c r="S209" s="79"/>
      <c r="T209" s="79"/>
      <c r="W209" s="79"/>
      <c r="X209" s="79"/>
      <c r="AA209" s="130"/>
      <c r="AC209" s="106"/>
    </row>
    <row r="210">
      <c r="C210" s="79"/>
      <c r="D210" s="79"/>
      <c r="E210" s="79"/>
      <c r="N210" s="79"/>
      <c r="S210" s="79"/>
      <c r="T210" s="79"/>
      <c r="W210" s="79"/>
      <c r="X210" s="79"/>
      <c r="AA210" s="130"/>
      <c r="AC210" s="106"/>
    </row>
    <row r="211">
      <c r="C211" s="79"/>
      <c r="D211" s="79"/>
      <c r="E211" s="79"/>
      <c r="N211" s="79"/>
      <c r="S211" s="79"/>
      <c r="T211" s="79"/>
      <c r="W211" s="79"/>
      <c r="X211" s="79"/>
      <c r="AA211" s="130"/>
      <c r="AC211" s="106"/>
    </row>
    <row r="212">
      <c r="C212" s="79"/>
      <c r="D212" s="79"/>
      <c r="E212" s="79"/>
      <c r="N212" s="79"/>
      <c r="S212" s="79"/>
      <c r="T212" s="79"/>
      <c r="W212" s="79"/>
      <c r="X212" s="79"/>
      <c r="AA212" s="130"/>
      <c r="AC212" s="106"/>
    </row>
    <row r="213">
      <c r="C213" s="79"/>
      <c r="D213" s="79"/>
      <c r="E213" s="79"/>
      <c r="N213" s="79"/>
      <c r="S213" s="79"/>
      <c r="T213" s="79"/>
      <c r="W213" s="79"/>
      <c r="X213" s="79"/>
      <c r="AA213" s="130"/>
      <c r="AC213" s="106"/>
    </row>
    <row r="214">
      <c r="C214" s="79"/>
      <c r="D214" s="79"/>
      <c r="E214" s="79"/>
      <c r="N214" s="79"/>
      <c r="S214" s="79"/>
      <c r="T214" s="79"/>
      <c r="W214" s="79"/>
      <c r="X214" s="79"/>
      <c r="AA214" s="130"/>
      <c r="AC214" s="106"/>
    </row>
    <row r="215">
      <c r="C215" s="79"/>
      <c r="D215" s="79"/>
      <c r="E215" s="79"/>
      <c r="N215" s="79"/>
      <c r="S215" s="79"/>
      <c r="T215" s="79"/>
      <c r="W215" s="79"/>
      <c r="X215" s="79"/>
      <c r="AA215" s="130"/>
      <c r="AC215" s="106"/>
    </row>
    <row r="216">
      <c r="C216" s="79"/>
      <c r="D216" s="79"/>
      <c r="E216" s="79"/>
      <c r="N216" s="79"/>
      <c r="S216" s="79"/>
      <c r="T216" s="79"/>
      <c r="W216" s="79"/>
      <c r="X216" s="79"/>
      <c r="AA216" s="130"/>
      <c r="AC216" s="106"/>
    </row>
    <row r="217">
      <c r="C217" s="79"/>
      <c r="D217" s="79"/>
      <c r="E217" s="79"/>
      <c r="N217" s="79"/>
      <c r="S217" s="79"/>
      <c r="T217" s="79"/>
      <c r="W217" s="79"/>
      <c r="X217" s="79"/>
      <c r="AA217" s="130"/>
      <c r="AC217" s="106"/>
    </row>
    <row r="218">
      <c r="C218" s="79"/>
      <c r="D218" s="79"/>
      <c r="E218" s="79"/>
      <c r="N218" s="79"/>
      <c r="S218" s="79"/>
      <c r="T218" s="79"/>
      <c r="W218" s="79"/>
      <c r="X218" s="79"/>
      <c r="AA218" s="130"/>
      <c r="AC218" s="106"/>
    </row>
    <row r="219">
      <c r="C219" s="79"/>
      <c r="D219" s="79"/>
      <c r="E219" s="79"/>
      <c r="N219" s="79"/>
      <c r="S219" s="79"/>
      <c r="T219" s="79"/>
      <c r="W219" s="79"/>
      <c r="X219" s="79"/>
      <c r="AA219" s="130"/>
      <c r="AC219" s="106"/>
    </row>
    <row r="220">
      <c r="C220" s="79"/>
      <c r="D220" s="79"/>
      <c r="E220" s="79"/>
      <c r="N220" s="79"/>
      <c r="S220" s="79"/>
      <c r="T220" s="79"/>
      <c r="W220" s="79"/>
      <c r="X220" s="79"/>
      <c r="AA220" s="130"/>
      <c r="AC220" s="106"/>
    </row>
    <row r="221">
      <c r="C221" s="79"/>
      <c r="D221" s="79"/>
      <c r="E221" s="79"/>
      <c r="N221" s="79"/>
      <c r="S221" s="79"/>
      <c r="T221" s="79"/>
      <c r="W221" s="79"/>
      <c r="X221" s="79"/>
      <c r="AA221" s="130"/>
      <c r="AC221" s="106"/>
    </row>
    <row r="222">
      <c r="C222" s="79"/>
      <c r="D222" s="79"/>
      <c r="E222" s="79"/>
      <c r="N222" s="79"/>
      <c r="S222" s="79"/>
      <c r="T222" s="79"/>
      <c r="W222" s="79"/>
      <c r="X222" s="79"/>
      <c r="AA222" s="130"/>
      <c r="AC222" s="106"/>
    </row>
    <row r="223">
      <c r="C223" s="79"/>
      <c r="D223" s="79"/>
      <c r="E223" s="79"/>
      <c r="N223" s="79"/>
      <c r="S223" s="79"/>
      <c r="T223" s="79"/>
      <c r="W223" s="79"/>
      <c r="X223" s="79"/>
      <c r="AA223" s="130"/>
      <c r="AC223" s="106"/>
    </row>
    <row r="224">
      <c r="C224" s="79"/>
      <c r="D224" s="79"/>
      <c r="E224" s="79"/>
      <c r="N224" s="79"/>
      <c r="S224" s="79"/>
      <c r="T224" s="79"/>
      <c r="W224" s="79"/>
      <c r="X224" s="79"/>
      <c r="AA224" s="130"/>
      <c r="AC224" s="106"/>
    </row>
    <row r="225">
      <c r="C225" s="79"/>
      <c r="D225" s="79"/>
      <c r="E225" s="79"/>
      <c r="N225" s="79"/>
      <c r="S225" s="79"/>
      <c r="T225" s="79"/>
      <c r="W225" s="79"/>
      <c r="X225" s="79"/>
      <c r="AA225" s="130"/>
      <c r="AC225" s="106"/>
    </row>
    <row r="226">
      <c r="C226" s="79"/>
      <c r="D226" s="79"/>
      <c r="E226" s="79"/>
      <c r="N226" s="79"/>
      <c r="S226" s="79"/>
      <c r="T226" s="79"/>
      <c r="W226" s="79"/>
      <c r="X226" s="79"/>
      <c r="AA226" s="130"/>
      <c r="AC226" s="106"/>
    </row>
    <row r="227">
      <c r="C227" s="79"/>
      <c r="D227" s="79"/>
      <c r="E227" s="79"/>
      <c r="N227" s="79"/>
      <c r="S227" s="79"/>
      <c r="T227" s="79"/>
      <c r="W227" s="79"/>
      <c r="X227" s="79"/>
      <c r="AA227" s="130"/>
      <c r="AC227" s="106"/>
    </row>
    <row r="228">
      <c r="C228" s="79"/>
      <c r="D228" s="79"/>
      <c r="E228" s="79"/>
      <c r="N228" s="79"/>
      <c r="S228" s="79"/>
      <c r="T228" s="79"/>
      <c r="W228" s="79"/>
      <c r="X228" s="79"/>
      <c r="AA228" s="130"/>
      <c r="AC228" s="106"/>
    </row>
    <row r="229">
      <c r="C229" s="79"/>
      <c r="D229" s="79"/>
      <c r="E229" s="79"/>
      <c r="N229" s="79"/>
      <c r="S229" s="79"/>
      <c r="T229" s="79"/>
      <c r="W229" s="79"/>
      <c r="X229" s="79"/>
      <c r="AA229" s="130"/>
      <c r="AC229" s="106"/>
    </row>
    <row r="230">
      <c r="C230" s="79"/>
      <c r="D230" s="79"/>
      <c r="E230" s="79"/>
      <c r="N230" s="79"/>
      <c r="S230" s="79"/>
      <c r="T230" s="79"/>
      <c r="W230" s="79"/>
      <c r="X230" s="79"/>
      <c r="AA230" s="130"/>
      <c r="AC230" s="106"/>
    </row>
    <row r="231">
      <c r="C231" s="79"/>
      <c r="D231" s="79"/>
      <c r="E231" s="79"/>
      <c r="N231" s="79"/>
      <c r="S231" s="79"/>
      <c r="T231" s="79"/>
      <c r="W231" s="79"/>
      <c r="X231" s="79"/>
      <c r="AA231" s="130"/>
      <c r="AC231" s="106"/>
    </row>
    <row r="232">
      <c r="C232" s="79"/>
      <c r="D232" s="79"/>
      <c r="E232" s="79"/>
      <c r="N232" s="79"/>
      <c r="S232" s="79"/>
      <c r="T232" s="79"/>
      <c r="W232" s="79"/>
      <c r="X232" s="79"/>
      <c r="AA232" s="130"/>
      <c r="AC232" s="106"/>
    </row>
    <row r="233">
      <c r="C233" s="79"/>
      <c r="D233" s="79"/>
      <c r="E233" s="79"/>
      <c r="N233" s="79"/>
      <c r="S233" s="79"/>
      <c r="T233" s="79"/>
      <c r="W233" s="79"/>
      <c r="X233" s="79"/>
      <c r="AA233" s="130"/>
      <c r="AC233" s="106"/>
    </row>
    <row r="234">
      <c r="C234" s="79"/>
      <c r="D234" s="79"/>
      <c r="E234" s="79"/>
      <c r="N234" s="79"/>
      <c r="S234" s="79"/>
      <c r="T234" s="79"/>
      <c r="W234" s="79"/>
      <c r="X234" s="79"/>
      <c r="AA234" s="130"/>
      <c r="AC234" s="106"/>
    </row>
    <row r="235">
      <c r="C235" s="79"/>
      <c r="D235" s="79"/>
      <c r="E235" s="79"/>
      <c r="N235" s="79"/>
      <c r="S235" s="79"/>
      <c r="T235" s="79"/>
      <c r="W235" s="79"/>
      <c r="X235" s="79"/>
      <c r="AA235" s="130"/>
      <c r="AC235" s="106"/>
    </row>
    <row r="236">
      <c r="C236" s="79"/>
      <c r="D236" s="79"/>
      <c r="E236" s="79"/>
      <c r="N236" s="79"/>
      <c r="S236" s="79"/>
      <c r="T236" s="79"/>
      <c r="W236" s="79"/>
      <c r="X236" s="79"/>
      <c r="AA236" s="130"/>
      <c r="AC236" s="106"/>
    </row>
    <row r="237">
      <c r="C237" s="79"/>
      <c r="D237" s="79"/>
      <c r="E237" s="79"/>
      <c r="N237" s="79"/>
      <c r="S237" s="79"/>
      <c r="T237" s="79"/>
      <c r="W237" s="79"/>
      <c r="X237" s="79"/>
      <c r="AA237" s="130"/>
      <c r="AC237" s="106"/>
    </row>
    <row r="238">
      <c r="C238" s="79"/>
      <c r="D238" s="79"/>
      <c r="E238" s="79"/>
      <c r="N238" s="79"/>
      <c r="S238" s="79"/>
      <c r="T238" s="79"/>
      <c r="W238" s="79"/>
      <c r="X238" s="79"/>
      <c r="AA238" s="130"/>
      <c r="AC238" s="106"/>
    </row>
    <row r="239">
      <c r="C239" s="79"/>
      <c r="D239" s="79"/>
      <c r="E239" s="79"/>
      <c r="N239" s="79"/>
      <c r="S239" s="79"/>
      <c r="T239" s="79"/>
      <c r="W239" s="79"/>
      <c r="X239" s="79"/>
      <c r="AA239" s="130"/>
      <c r="AC239" s="106"/>
    </row>
    <row r="240">
      <c r="C240" s="79"/>
      <c r="D240" s="79"/>
      <c r="E240" s="79"/>
      <c r="N240" s="79"/>
      <c r="S240" s="79"/>
      <c r="T240" s="79"/>
      <c r="W240" s="79"/>
      <c r="X240" s="79"/>
      <c r="AA240" s="130"/>
      <c r="AC240" s="106"/>
    </row>
    <row r="241">
      <c r="C241" s="79"/>
      <c r="D241" s="79"/>
      <c r="E241" s="79"/>
      <c r="N241" s="79"/>
      <c r="S241" s="79"/>
      <c r="T241" s="79"/>
      <c r="W241" s="79"/>
      <c r="X241" s="79"/>
      <c r="AA241" s="130"/>
      <c r="AC241" s="106"/>
    </row>
    <row r="242">
      <c r="C242" s="79"/>
      <c r="D242" s="79"/>
      <c r="E242" s="79"/>
      <c r="N242" s="79"/>
      <c r="S242" s="79"/>
      <c r="T242" s="79"/>
      <c r="W242" s="79"/>
      <c r="X242" s="79"/>
      <c r="AA242" s="130"/>
      <c r="AC242" s="106"/>
    </row>
    <row r="243">
      <c r="C243" s="79"/>
      <c r="D243" s="79"/>
      <c r="E243" s="79"/>
      <c r="N243" s="79"/>
      <c r="S243" s="79"/>
      <c r="T243" s="79"/>
      <c r="W243" s="79"/>
      <c r="X243" s="79"/>
      <c r="AA243" s="130"/>
      <c r="AC243" s="106"/>
    </row>
    <row r="244">
      <c r="C244" s="79"/>
      <c r="D244" s="79"/>
      <c r="E244" s="79"/>
      <c r="N244" s="79"/>
      <c r="S244" s="79"/>
      <c r="T244" s="79"/>
      <c r="W244" s="79"/>
      <c r="X244" s="79"/>
      <c r="AA244" s="130"/>
      <c r="AC244" s="106"/>
    </row>
    <row r="245">
      <c r="C245" s="79"/>
      <c r="D245" s="79"/>
      <c r="E245" s="79"/>
      <c r="N245" s="79"/>
      <c r="S245" s="79"/>
      <c r="T245" s="79"/>
      <c r="W245" s="79"/>
      <c r="X245" s="79"/>
      <c r="AA245" s="130"/>
      <c r="AC245" s="106"/>
    </row>
    <row r="246">
      <c r="C246" s="79"/>
      <c r="D246" s="79"/>
      <c r="E246" s="79"/>
      <c r="N246" s="79"/>
      <c r="S246" s="79"/>
      <c r="T246" s="79"/>
      <c r="W246" s="79"/>
      <c r="X246" s="79"/>
      <c r="AA246" s="130"/>
      <c r="AC246" s="106"/>
    </row>
    <row r="247">
      <c r="C247" s="79"/>
      <c r="D247" s="79"/>
      <c r="E247" s="79"/>
      <c r="N247" s="79"/>
      <c r="S247" s="79"/>
      <c r="T247" s="79"/>
      <c r="W247" s="79"/>
      <c r="X247" s="79"/>
      <c r="AA247" s="130"/>
      <c r="AC247" s="106"/>
    </row>
    <row r="248">
      <c r="C248" s="79"/>
      <c r="D248" s="79"/>
      <c r="E248" s="79"/>
      <c r="N248" s="79"/>
      <c r="S248" s="79"/>
      <c r="T248" s="79"/>
      <c r="W248" s="79"/>
      <c r="X248" s="79"/>
      <c r="AA248" s="130"/>
      <c r="AC248" s="106"/>
    </row>
    <row r="249">
      <c r="C249" s="79"/>
      <c r="D249" s="79"/>
      <c r="E249" s="79"/>
      <c r="N249" s="79"/>
      <c r="S249" s="79"/>
      <c r="T249" s="79"/>
      <c r="W249" s="79"/>
      <c r="X249" s="79"/>
      <c r="AA249" s="130"/>
      <c r="AC249" s="106"/>
    </row>
    <row r="250">
      <c r="C250" s="79"/>
      <c r="D250" s="79"/>
      <c r="E250" s="79"/>
      <c r="N250" s="79"/>
      <c r="S250" s="79"/>
      <c r="T250" s="79"/>
      <c r="W250" s="79"/>
      <c r="X250" s="79"/>
      <c r="AA250" s="130"/>
      <c r="AC250" s="106"/>
    </row>
    <row r="251">
      <c r="C251" s="79"/>
      <c r="D251" s="79"/>
      <c r="E251" s="79"/>
      <c r="N251" s="79"/>
      <c r="S251" s="79"/>
      <c r="T251" s="79"/>
      <c r="W251" s="79"/>
      <c r="X251" s="79"/>
      <c r="AA251" s="130"/>
      <c r="AC251" s="106"/>
    </row>
    <row r="252">
      <c r="C252" s="79"/>
      <c r="D252" s="79"/>
      <c r="E252" s="79"/>
      <c r="N252" s="79"/>
      <c r="S252" s="79"/>
      <c r="T252" s="79"/>
      <c r="W252" s="79"/>
      <c r="X252" s="79"/>
      <c r="AA252" s="130"/>
      <c r="AC252" s="106"/>
    </row>
    <row r="253">
      <c r="C253" s="79"/>
      <c r="D253" s="79"/>
      <c r="E253" s="79"/>
      <c r="N253" s="79"/>
      <c r="S253" s="79"/>
      <c r="T253" s="79"/>
      <c r="W253" s="79"/>
      <c r="X253" s="79"/>
      <c r="AA253" s="130"/>
      <c r="AC253" s="106"/>
    </row>
    <row r="254">
      <c r="C254" s="79"/>
      <c r="D254" s="79"/>
      <c r="E254" s="79"/>
      <c r="N254" s="79"/>
      <c r="S254" s="79"/>
      <c r="T254" s="79"/>
      <c r="W254" s="79"/>
      <c r="X254" s="79"/>
      <c r="AA254" s="130"/>
      <c r="AC254" s="106"/>
    </row>
    <row r="255">
      <c r="C255" s="79"/>
      <c r="D255" s="79"/>
      <c r="E255" s="79"/>
      <c r="N255" s="79"/>
      <c r="S255" s="79"/>
      <c r="T255" s="79"/>
      <c r="W255" s="79"/>
      <c r="X255" s="79"/>
      <c r="AA255" s="130"/>
      <c r="AC255" s="106"/>
    </row>
    <row r="256">
      <c r="C256" s="79"/>
      <c r="D256" s="79"/>
      <c r="E256" s="79"/>
      <c r="N256" s="79"/>
      <c r="S256" s="79"/>
      <c r="T256" s="79"/>
      <c r="W256" s="79"/>
      <c r="X256" s="79"/>
      <c r="AA256" s="130"/>
      <c r="AC256" s="106"/>
    </row>
    <row r="257">
      <c r="C257" s="79"/>
      <c r="D257" s="79"/>
      <c r="E257" s="79"/>
      <c r="N257" s="79"/>
      <c r="S257" s="79"/>
      <c r="T257" s="79"/>
      <c r="W257" s="79"/>
      <c r="X257" s="79"/>
      <c r="AA257" s="130"/>
      <c r="AC257" s="106"/>
    </row>
    <row r="258">
      <c r="C258" s="79"/>
      <c r="D258" s="79"/>
      <c r="E258" s="79"/>
      <c r="N258" s="79"/>
      <c r="S258" s="79"/>
      <c r="T258" s="79"/>
      <c r="W258" s="79"/>
      <c r="X258" s="79"/>
      <c r="AA258" s="130"/>
      <c r="AC258" s="106"/>
    </row>
    <row r="259">
      <c r="C259" s="79"/>
      <c r="D259" s="79"/>
      <c r="E259" s="79"/>
      <c r="N259" s="79"/>
      <c r="S259" s="79"/>
      <c r="T259" s="79"/>
      <c r="W259" s="79"/>
      <c r="X259" s="79"/>
      <c r="AA259" s="130"/>
      <c r="AC259" s="106"/>
    </row>
    <row r="260">
      <c r="C260" s="79"/>
      <c r="D260" s="79"/>
      <c r="E260" s="79"/>
      <c r="N260" s="79"/>
      <c r="S260" s="79"/>
      <c r="T260" s="79"/>
      <c r="W260" s="79"/>
      <c r="X260" s="79"/>
      <c r="AA260" s="130"/>
      <c r="AC260" s="106"/>
    </row>
    <row r="261">
      <c r="C261" s="79"/>
      <c r="D261" s="79"/>
      <c r="E261" s="79"/>
      <c r="N261" s="79"/>
      <c r="S261" s="79"/>
      <c r="T261" s="79"/>
      <c r="W261" s="79"/>
      <c r="X261" s="79"/>
      <c r="AA261" s="130"/>
      <c r="AC261" s="106"/>
    </row>
    <row r="262">
      <c r="C262" s="79"/>
      <c r="D262" s="79"/>
      <c r="E262" s="79"/>
      <c r="N262" s="79"/>
      <c r="S262" s="79"/>
      <c r="T262" s="79"/>
      <c r="W262" s="79"/>
      <c r="X262" s="79"/>
      <c r="AA262" s="130"/>
      <c r="AC262" s="106"/>
    </row>
    <row r="263">
      <c r="C263" s="79"/>
      <c r="D263" s="79"/>
      <c r="E263" s="79"/>
      <c r="N263" s="79"/>
      <c r="S263" s="79"/>
      <c r="T263" s="79"/>
      <c r="W263" s="79"/>
      <c r="X263" s="79"/>
      <c r="AA263" s="130"/>
      <c r="AC263" s="106"/>
    </row>
    <row r="264">
      <c r="C264" s="79"/>
      <c r="D264" s="79"/>
      <c r="E264" s="79"/>
      <c r="N264" s="79"/>
      <c r="S264" s="79"/>
      <c r="T264" s="79"/>
      <c r="W264" s="79"/>
      <c r="X264" s="79"/>
      <c r="AA264" s="130"/>
      <c r="AC264" s="106"/>
    </row>
    <row r="265">
      <c r="C265" s="79"/>
      <c r="D265" s="79"/>
      <c r="E265" s="79"/>
      <c r="N265" s="79"/>
      <c r="S265" s="79"/>
      <c r="T265" s="79"/>
      <c r="W265" s="79"/>
      <c r="X265" s="79"/>
      <c r="AA265" s="130"/>
      <c r="AC265" s="106"/>
    </row>
    <row r="266">
      <c r="C266" s="79"/>
      <c r="D266" s="79"/>
      <c r="E266" s="79"/>
      <c r="N266" s="79"/>
      <c r="S266" s="79"/>
      <c r="T266" s="79"/>
      <c r="W266" s="79"/>
      <c r="X266" s="79"/>
      <c r="AA266" s="130"/>
      <c r="AC266" s="106"/>
    </row>
    <row r="267">
      <c r="C267" s="79"/>
      <c r="D267" s="79"/>
      <c r="E267" s="79"/>
      <c r="N267" s="79"/>
      <c r="S267" s="79"/>
      <c r="T267" s="79"/>
      <c r="W267" s="79"/>
      <c r="X267" s="79"/>
      <c r="AA267" s="130"/>
      <c r="AC267" s="106"/>
    </row>
    <row r="268">
      <c r="C268" s="79"/>
      <c r="D268" s="79"/>
      <c r="E268" s="79"/>
      <c r="N268" s="79"/>
      <c r="S268" s="79"/>
      <c r="T268" s="79"/>
      <c r="W268" s="79"/>
      <c r="X268" s="79"/>
      <c r="AA268" s="130"/>
      <c r="AC268" s="106"/>
    </row>
    <row r="269">
      <c r="C269" s="79"/>
      <c r="D269" s="79"/>
      <c r="E269" s="79"/>
      <c r="N269" s="79"/>
      <c r="S269" s="79"/>
      <c r="T269" s="79"/>
      <c r="W269" s="79"/>
      <c r="X269" s="79"/>
      <c r="AA269" s="130"/>
      <c r="AC269" s="106"/>
    </row>
    <row r="270">
      <c r="C270" s="79"/>
      <c r="D270" s="79"/>
      <c r="E270" s="79"/>
      <c r="N270" s="79"/>
      <c r="S270" s="79"/>
      <c r="T270" s="79"/>
      <c r="W270" s="79"/>
      <c r="X270" s="79"/>
      <c r="AA270" s="130"/>
      <c r="AC270" s="106"/>
    </row>
    <row r="271">
      <c r="C271" s="79"/>
      <c r="D271" s="79"/>
      <c r="E271" s="79"/>
      <c r="N271" s="79"/>
      <c r="S271" s="79"/>
      <c r="T271" s="79"/>
      <c r="W271" s="79"/>
      <c r="X271" s="79"/>
      <c r="AA271" s="130"/>
      <c r="AC271" s="106"/>
    </row>
    <row r="272">
      <c r="C272" s="79"/>
      <c r="D272" s="79"/>
      <c r="E272" s="79"/>
      <c r="N272" s="79"/>
      <c r="S272" s="79"/>
      <c r="T272" s="79"/>
      <c r="W272" s="79"/>
      <c r="X272" s="79"/>
      <c r="AA272" s="130"/>
      <c r="AC272" s="106"/>
    </row>
    <row r="273">
      <c r="C273" s="79"/>
      <c r="D273" s="79"/>
      <c r="E273" s="79"/>
      <c r="N273" s="79"/>
      <c r="S273" s="79"/>
      <c r="T273" s="79"/>
      <c r="W273" s="79"/>
      <c r="X273" s="79"/>
      <c r="AA273" s="130"/>
      <c r="AC273" s="106"/>
    </row>
    <row r="274">
      <c r="C274" s="79"/>
      <c r="D274" s="79"/>
      <c r="E274" s="79"/>
      <c r="N274" s="79"/>
      <c r="S274" s="79"/>
      <c r="T274" s="79"/>
      <c r="W274" s="79"/>
      <c r="X274" s="79"/>
      <c r="AA274" s="130"/>
      <c r="AC274" s="106"/>
    </row>
    <row r="275">
      <c r="C275" s="79"/>
      <c r="D275" s="79"/>
      <c r="E275" s="79"/>
      <c r="N275" s="79"/>
      <c r="S275" s="79"/>
      <c r="T275" s="79"/>
      <c r="W275" s="79"/>
      <c r="X275" s="79"/>
      <c r="AA275" s="130"/>
      <c r="AC275" s="106"/>
    </row>
    <row r="276">
      <c r="C276" s="79"/>
      <c r="D276" s="79"/>
      <c r="E276" s="79"/>
      <c r="N276" s="79"/>
      <c r="S276" s="79"/>
      <c r="T276" s="79"/>
      <c r="W276" s="79"/>
      <c r="X276" s="79"/>
      <c r="AA276" s="130"/>
      <c r="AC276" s="106"/>
    </row>
    <row r="277">
      <c r="C277" s="79"/>
      <c r="D277" s="79"/>
      <c r="E277" s="79"/>
      <c r="N277" s="79"/>
      <c r="S277" s="79"/>
      <c r="T277" s="79"/>
      <c r="W277" s="79"/>
      <c r="X277" s="79"/>
      <c r="AA277" s="130"/>
      <c r="AC277" s="106"/>
    </row>
    <row r="278">
      <c r="C278" s="79"/>
      <c r="D278" s="79"/>
      <c r="E278" s="79"/>
      <c r="N278" s="79"/>
      <c r="S278" s="79"/>
      <c r="T278" s="79"/>
      <c r="W278" s="79"/>
      <c r="X278" s="79"/>
      <c r="AA278" s="130"/>
      <c r="AC278" s="106"/>
    </row>
    <row r="279">
      <c r="C279" s="79"/>
      <c r="D279" s="79"/>
      <c r="E279" s="79"/>
      <c r="N279" s="79"/>
      <c r="S279" s="79"/>
      <c r="T279" s="79"/>
      <c r="W279" s="79"/>
      <c r="X279" s="79"/>
      <c r="AA279" s="130"/>
      <c r="AC279" s="106"/>
    </row>
    <row r="280">
      <c r="C280" s="79"/>
      <c r="D280" s="79"/>
      <c r="E280" s="79"/>
      <c r="N280" s="79"/>
      <c r="S280" s="79"/>
      <c r="T280" s="79"/>
      <c r="W280" s="79"/>
      <c r="X280" s="79"/>
      <c r="AA280" s="130"/>
      <c r="AC280" s="106"/>
    </row>
    <row r="281">
      <c r="C281" s="79"/>
      <c r="D281" s="79"/>
      <c r="E281" s="79"/>
      <c r="N281" s="79"/>
      <c r="S281" s="79"/>
      <c r="T281" s="79"/>
      <c r="W281" s="79"/>
      <c r="X281" s="79"/>
      <c r="AA281" s="130"/>
      <c r="AC281" s="106"/>
    </row>
    <row r="282">
      <c r="C282" s="79"/>
      <c r="D282" s="79"/>
      <c r="E282" s="79"/>
      <c r="N282" s="79"/>
      <c r="S282" s="79"/>
      <c r="T282" s="79"/>
      <c r="W282" s="79"/>
      <c r="X282" s="79"/>
      <c r="AA282" s="130"/>
      <c r="AC282" s="106"/>
    </row>
    <row r="283">
      <c r="C283" s="79"/>
      <c r="D283" s="79"/>
      <c r="E283" s="79"/>
      <c r="N283" s="79"/>
      <c r="S283" s="79"/>
      <c r="T283" s="79"/>
      <c r="W283" s="79"/>
      <c r="X283" s="79"/>
      <c r="AA283" s="130"/>
      <c r="AC283" s="106"/>
    </row>
    <row r="284">
      <c r="C284" s="79"/>
      <c r="D284" s="79"/>
      <c r="E284" s="79"/>
      <c r="N284" s="79"/>
      <c r="S284" s="79"/>
      <c r="T284" s="79"/>
      <c r="W284" s="79"/>
      <c r="X284" s="79"/>
      <c r="AA284" s="130"/>
      <c r="AC284" s="106"/>
    </row>
    <row r="285">
      <c r="C285" s="79"/>
      <c r="D285" s="79"/>
      <c r="E285" s="79"/>
      <c r="N285" s="79"/>
      <c r="S285" s="79"/>
      <c r="T285" s="79"/>
      <c r="W285" s="79"/>
      <c r="X285" s="79"/>
      <c r="AA285" s="130"/>
      <c r="AC285" s="106"/>
    </row>
    <row r="286">
      <c r="C286" s="79"/>
      <c r="D286" s="79"/>
      <c r="E286" s="79"/>
      <c r="N286" s="79"/>
      <c r="S286" s="79"/>
      <c r="T286" s="79"/>
      <c r="W286" s="79"/>
      <c r="X286" s="79"/>
      <c r="AA286" s="130"/>
      <c r="AC286" s="106"/>
    </row>
    <row r="287">
      <c r="C287" s="79"/>
      <c r="D287" s="79"/>
      <c r="E287" s="79"/>
      <c r="N287" s="79"/>
      <c r="S287" s="79"/>
      <c r="T287" s="79"/>
      <c r="W287" s="79"/>
      <c r="X287" s="79"/>
      <c r="AA287" s="130"/>
      <c r="AC287" s="106"/>
    </row>
    <row r="288">
      <c r="C288" s="79"/>
      <c r="D288" s="79"/>
      <c r="E288" s="79"/>
      <c r="N288" s="79"/>
      <c r="S288" s="79"/>
      <c r="T288" s="79"/>
      <c r="W288" s="79"/>
      <c r="X288" s="79"/>
      <c r="AA288" s="130"/>
      <c r="AC288" s="106"/>
    </row>
    <row r="289">
      <c r="C289" s="79"/>
      <c r="D289" s="79"/>
      <c r="E289" s="79"/>
      <c r="N289" s="79"/>
      <c r="S289" s="79"/>
      <c r="T289" s="79"/>
      <c r="W289" s="79"/>
      <c r="X289" s="79"/>
      <c r="AA289" s="130"/>
      <c r="AC289" s="106"/>
    </row>
    <row r="290">
      <c r="C290" s="79"/>
      <c r="D290" s="79"/>
      <c r="E290" s="79"/>
      <c r="N290" s="79"/>
      <c r="S290" s="79"/>
      <c r="T290" s="79"/>
      <c r="W290" s="79"/>
      <c r="X290" s="79"/>
      <c r="AA290" s="130"/>
      <c r="AC290" s="106"/>
    </row>
    <row r="291">
      <c r="C291" s="79"/>
      <c r="D291" s="79"/>
      <c r="E291" s="79"/>
      <c r="N291" s="79"/>
      <c r="S291" s="79"/>
      <c r="T291" s="79"/>
      <c r="W291" s="79"/>
      <c r="X291" s="79"/>
      <c r="AA291" s="130"/>
      <c r="AC291" s="106"/>
    </row>
    <row r="292">
      <c r="C292" s="79"/>
      <c r="D292" s="79"/>
      <c r="E292" s="79"/>
      <c r="N292" s="79"/>
      <c r="S292" s="79"/>
      <c r="T292" s="79"/>
      <c r="W292" s="79"/>
      <c r="X292" s="79"/>
      <c r="AA292" s="130"/>
      <c r="AC292" s="106"/>
    </row>
    <row r="293">
      <c r="C293" s="79"/>
      <c r="D293" s="79"/>
      <c r="E293" s="79"/>
      <c r="N293" s="79"/>
      <c r="S293" s="79"/>
      <c r="T293" s="79"/>
      <c r="W293" s="79"/>
      <c r="X293" s="79"/>
      <c r="AA293" s="130"/>
      <c r="AC293" s="106"/>
    </row>
    <row r="294">
      <c r="C294" s="79"/>
      <c r="D294" s="79"/>
      <c r="E294" s="79"/>
      <c r="N294" s="79"/>
      <c r="S294" s="79"/>
      <c r="T294" s="79"/>
      <c r="W294" s="79"/>
      <c r="X294" s="79"/>
      <c r="AA294" s="130"/>
      <c r="AC294" s="106"/>
    </row>
    <row r="295">
      <c r="C295" s="79"/>
      <c r="D295" s="79"/>
      <c r="E295" s="79"/>
      <c r="N295" s="79"/>
      <c r="S295" s="79"/>
      <c r="T295" s="79"/>
      <c r="W295" s="79"/>
      <c r="X295" s="79"/>
      <c r="AA295" s="130"/>
      <c r="AC295" s="106"/>
    </row>
    <row r="296">
      <c r="C296" s="79"/>
      <c r="D296" s="79"/>
      <c r="E296" s="79"/>
      <c r="N296" s="79"/>
      <c r="S296" s="79"/>
      <c r="T296" s="79"/>
      <c r="W296" s="79"/>
      <c r="X296" s="79"/>
      <c r="AA296" s="130"/>
      <c r="AC296" s="106"/>
    </row>
    <row r="297">
      <c r="C297" s="79"/>
      <c r="D297" s="79"/>
      <c r="E297" s="79"/>
      <c r="N297" s="79"/>
      <c r="S297" s="79"/>
      <c r="T297" s="79"/>
      <c r="W297" s="79"/>
      <c r="X297" s="79"/>
      <c r="AA297" s="130"/>
      <c r="AC297" s="106"/>
    </row>
    <row r="298">
      <c r="C298" s="79"/>
      <c r="D298" s="79"/>
      <c r="E298" s="79"/>
      <c r="N298" s="79"/>
      <c r="S298" s="79"/>
      <c r="T298" s="79"/>
      <c r="W298" s="79"/>
      <c r="X298" s="79"/>
      <c r="AA298" s="130"/>
      <c r="AC298" s="106"/>
    </row>
    <row r="299">
      <c r="C299" s="79"/>
      <c r="D299" s="79"/>
      <c r="E299" s="79"/>
      <c r="N299" s="79"/>
      <c r="S299" s="79"/>
      <c r="T299" s="79"/>
      <c r="W299" s="79"/>
      <c r="X299" s="79"/>
      <c r="AA299" s="130"/>
      <c r="AC299" s="106"/>
    </row>
    <row r="300">
      <c r="C300" s="79"/>
      <c r="D300" s="79"/>
      <c r="E300" s="79"/>
      <c r="N300" s="79"/>
      <c r="S300" s="79"/>
      <c r="T300" s="79"/>
      <c r="W300" s="79"/>
      <c r="X300" s="79"/>
      <c r="AA300" s="130"/>
      <c r="AC300" s="106"/>
    </row>
    <row r="301">
      <c r="C301" s="79"/>
      <c r="D301" s="79"/>
      <c r="E301" s="79"/>
      <c r="N301" s="79"/>
      <c r="S301" s="79"/>
      <c r="T301" s="79"/>
      <c r="W301" s="79"/>
      <c r="X301" s="79"/>
      <c r="AA301" s="130"/>
      <c r="AC301" s="106"/>
    </row>
    <row r="302">
      <c r="C302" s="79"/>
      <c r="D302" s="79"/>
      <c r="E302" s="79"/>
      <c r="N302" s="79"/>
      <c r="S302" s="79"/>
      <c r="T302" s="79"/>
      <c r="W302" s="79"/>
      <c r="X302" s="79"/>
      <c r="AA302" s="130"/>
      <c r="AC302" s="106"/>
    </row>
    <row r="303">
      <c r="C303" s="79"/>
      <c r="D303" s="79"/>
      <c r="E303" s="79"/>
      <c r="N303" s="79"/>
      <c r="S303" s="79"/>
      <c r="T303" s="79"/>
      <c r="W303" s="79"/>
      <c r="X303" s="79"/>
      <c r="AA303" s="130"/>
      <c r="AC303" s="106"/>
    </row>
    <row r="304">
      <c r="C304" s="79"/>
      <c r="D304" s="79"/>
      <c r="E304" s="79"/>
      <c r="N304" s="79"/>
      <c r="S304" s="79"/>
      <c r="T304" s="79"/>
      <c r="W304" s="79"/>
      <c r="X304" s="79"/>
      <c r="AA304" s="130"/>
      <c r="AC304" s="106"/>
    </row>
    <row r="305">
      <c r="C305" s="79"/>
      <c r="D305" s="79"/>
      <c r="E305" s="79"/>
      <c r="N305" s="79"/>
      <c r="S305" s="79"/>
      <c r="T305" s="79"/>
      <c r="W305" s="79"/>
      <c r="X305" s="79"/>
      <c r="AA305" s="130"/>
      <c r="AC305" s="106"/>
    </row>
    <row r="306">
      <c r="C306" s="79"/>
      <c r="D306" s="79"/>
      <c r="E306" s="79"/>
      <c r="N306" s="79"/>
      <c r="S306" s="79"/>
      <c r="T306" s="79"/>
      <c r="W306" s="79"/>
      <c r="X306" s="79"/>
      <c r="AA306" s="130"/>
      <c r="AC306" s="106"/>
    </row>
    <row r="307">
      <c r="C307" s="79"/>
      <c r="D307" s="79"/>
      <c r="E307" s="79"/>
      <c r="N307" s="79"/>
      <c r="S307" s="79"/>
      <c r="T307" s="79"/>
      <c r="W307" s="79"/>
      <c r="X307" s="79"/>
      <c r="AA307" s="130"/>
      <c r="AC307" s="106"/>
    </row>
    <row r="308">
      <c r="C308" s="79"/>
      <c r="D308" s="79"/>
      <c r="E308" s="79"/>
      <c r="N308" s="79"/>
      <c r="S308" s="79"/>
      <c r="T308" s="79"/>
      <c r="W308" s="79"/>
      <c r="X308" s="79"/>
      <c r="AA308" s="130"/>
      <c r="AC308" s="106"/>
    </row>
    <row r="309">
      <c r="C309" s="79"/>
      <c r="D309" s="79"/>
      <c r="E309" s="79"/>
      <c r="N309" s="79"/>
      <c r="S309" s="79"/>
      <c r="T309" s="79"/>
      <c r="W309" s="79"/>
      <c r="X309" s="79"/>
      <c r="AA309" s="130"/>
      <c r="AC309" s="106"/>
    </row>
    <row r="310">
      <c r="C310" s="79"/>
      <c r="D310" s="79"/>
      <c r="E310" s="79"/>
      <c r="N310" s="79"/>
      <c r="S310" s="79"/>
      <c r="T310" s="79"/>
      <c r="W310" s="79"/>
      <c r="X310" s="79"/>
      <c r="AA310" s="130"/>
      <c r="AC310" s="106"/>
    </row>
    <row r="311">
      <c r="C311" s="79"/>
      <c r="D311" s="79"/>
      <c r="E311" s="79"/>
      <c r="N311" s="79"/>
      <c r="S311" s="79"/>
      <c r="T311" s="79"/>
      <c r="W311" s="79"/>
      <c r="X311" s="79"/>
      <c r="AA311" s="130"/>
      <c r="AC311" s="106"/>
    </row>
    <row r="312">
      <c r="C312" s="79"/>
      <c r="D312" s="79"/>
      <c r="E312" s="79"/>
      <c r="N312" s="79"/>
      <c r="S312" s="79"/>
      <c r="T312" s="79"/>
      <c r="W312" s="79"/>
      <c r="X312" s="79"/>
      <c r="AA312" s="130"/>
      <c r="AC312" s="106"/>
    </row>
    <row r="313">
      <c r="C313" s="79"/>
      <c r="D313" s="79"/>
      <c r="E313" s="79"/>
      <c r="N313" s="79"/>
      <c r="S313" s="79"/>
      <c r="T313" s="79"/>
      <c r="W313" s="79"/>
      <c r="X313" s="79"/>
      <c r="AA313" s="130"/>
      <c r="AC313" s="106"/>
    </row>
    <row r="314">
      <c r="C314" s="79"/>
      <c r="D314" s="79"/>
      <c r="E314" s="79"/>
      <c r="N314" s="79"/>
      <c r="S314" s="79"/>
      <c r="T314" s="79"/>
      <c r="W314" s="79"/>
      <c r="X314" s="79"/>
      <c r="AA314" s="130"/>
      <c r="AC314" s="106"/>
    </row>
    <row r="315">
      <c r="C315" s="79"/>
      <c r="D315" s="79"/>
      <c r="E315" s="79"/>
      <c r="N315" s="79"/>
      <c r="S315" s="79"/>
      <c r="T315" s="79"/>
      <c r="W315" s="79"/>
      <c r="X315" s="79"/>
      <c r="AA315" s="130"/>
      <c r="AC315" s="106"/>
    </row>
    <row r="316">
      <c r="C316" s="79"/>
      <c r="D316" s="79"/>
      <c r="E316" s="79"/>
      <c r="N316" s="79"/>
      <c r="S316" s="79"/>
      <c r="T316" s="79"/>
      <c r="W316" s="79"/>
      <c r="X316" s="79"/>
      <c r="AA316" s="130"/>
      <c r="AC316" s="106"/>
    </row>
    <row r="317">
      <c r="C317" s="79"/>
      <c r="D317" s="79"/>
      <c r="E317" s="79"/>
      <c r="N317" s="79"/>
      <c r="S317" s="79"/>
      <c r="T317" s="79"/>
      <c r="W317" s="79"/>
      <c r="X317" s="79"/>
      <c r="AA317" s="130"/>
      <c r="AC317" s="106"/>
    </row>
    <row r="318">
      <c r="C318" s="79"/>
      <c r="D318" s="79"/>
      <c r="E318" s="79"/>
      <c r="N318" s="79"/>
      <c r="S318" s="79"/>
      <c r="T318" s="79"/>
      <c r="W318" s="79"/>
      <c r="X318" s="79"/>
      <c r="AA318" s="130"/>
      <c r="AC318" s="106"/>
    </row>
    <row r="319">
      <c r="C319" s="79"/>
      <c r="D319" s="79"/>
      <c r="E319" s="79"/>
      <c r="N319" s="79"/>
      <c r="S319" s="79"/>
      <c r="T319" s="79"/>
      <c r="W319" s="79"/>
      <c r="X319" s="79"/>
      <c r="AA319" s="130"/>
      <c r="AC319" s="106"/>
    </row>
    <row r="320">
      <c r="C320" s="79"/>
      <c r="D320" s="79"/>
      <c r="E320" s="79"/>
      <c r="N320" s="79"/>
      <c r="S320" s="79"/>
      <c r="T320" s="79"/>
      <c r="W320" s="79"/>
      <c r="X320" s="79"/>
      <c r="AA320" s="130"/>
      <c r="AC320" s="106"/>
    </row>
    <row r="321">
      <c r="C321" s="79"/>
      <c r="D321" s="79"/>
      <c r="E321" s="79"/>
      <c r="N321" s="79"/>
      <c r="S321" s="79"/>
      <c r="T321" s="79"/>
      <c r="W321" s="79"/>
      <c r="X321" s="79"/>
      <c r="AA321" s="130"/>
      <c r="AC321" s="106"/>
    </row>
    <row r="322">
      <c r="C322" s="79"/>
      <c r="D322" s="79"/>
      <c r="E322" s="79"/>
      <c r="N322" s="79"/>
      <c r="S322" s="79"/>
      <c r="T322" s="79"/>
      <c r="W322" s="79"/>
      <c r="X322" s="79"/>
      <c r="AA322" s="130"/>
      <c r="AC322" s="106"/>
    </row>
    <row r="323">
      <c r="C323" s="79"/>
      <c r="D323" s="79"/>
      <c r="E323" s="79"/>
      <c r="N323" s="79"/>
      <c r="S323" s="79"/>
      <c r="T323" s="79"/>
      <c r="W323" s="79"/>
      <c r="X323" s="79"/>
      <c r="AA323" s="130"/>
      <c r="AC323" s="106"/>
    </row>
    <row r="324">
      <c r="C324" s="79"/>
      <c r="D324" s="79"/>
      <c r="E324" s="79"/>
      <c r="N324" s="79"/>
      <c r="S324" s="79"/>
      <c r="T324" s="79"/>
      <c r="W324" s="79"/>
      <c r="X324" s="79"/>
      <c r="AA324" s="130"/>
      <c r="AC324" s="106"/>
    </row>
    <row r="325">
      <c r="C325" s="79"/>
      <c r="D325" s="79"/>
      <c r="E325" s="79"/>
      <c r="N325" s="79"/>
      <c r="S325" s="79"/>
      <c r="T325" s="79"/>
      <c r="W325" s="79"/>
      <c r="X325" s="79"/>
      <c r="AA325" s="130"/>
      <c r="AC325" s="106"/>
    </row>
    <row r="326">
      <c r="C326" s="79"/>
      <c r="D326" s="79"/>
      <c r="E326" s="79"/>
      <c r="N326" s="79"/>
      <c r="S326" s="79"/>
      <c r="T326" s="79"/>
      <c r="W326" s="79"/>
      <c r="X326" s="79"/>
      <c r="AA326" s="130"/>
      <c r="AC326" s="106"/>
    </row>
    <row r="327">
      <c r="C327" s="79"/>
      <c r="D327" s="79"/>
      <c r="E327" s="79"/>
      <c r="N327" s="79"/>
      <c r="S327" s="79"/>
      <c r="T327" s="79"/>
      <c r="W327" s="79"/>
      <c r="X327" s="79"/>
      <c r="AA327" s="130"/>
      <c r="AC327" s="106"/>
    </row>
    <row r="328">
      <c r="C328" s="79"/>
      <c r="D328" s="79"/>
      <c r="E328" s="79"/>
      <c r="N328" s="79"/>
      <c r="S328" s="79"/>
      <c r="T328" s="79"/>
      <c r="W328" s="79"/>
      <c r="X328" s="79"/>
      <c r="AA328" s="130"/>
      <c r="AC328" s="106"/>
    </row>
    <row r="329">
      <c r="C329" s="79"/>
      <c r="D329" s="79"/>
      <c r="E329" s="79"/>
      <c r="N329" s="79"/>
      <c r="S329" s="79"/>
      <c r="T329" s="79"/>
      <c r="W329" s="79"/>
      <c r="X329" s="79"/>
      <c r="AA329" s="130"/>
      <c r="AC329" s="106"/>
    </row>
    <row r="330">
      <c r="C330" s="79"/>
      <c r="D330" s="79"/>
      <c r="E330" s="79"/>
      <c r="N330" s="79"/>
      <c r="S330" s="79"/>
      <c r="T330" s="79"/>
      <c r="W330" s="79"/>
      <c r="X330" s="79"/>
      <c r="AA330" s="130"/>
      <c r="AC330" s="106"/>
    </row>
    <row r="331">
      <c r="C331" s="79"/>
      <c r="D331" s="79"/>
      <c r="E331" s="79"/>
      <c r="N331" s="79"/>
      <c r="S331" s="79"/>
      <c r="T331" s="79"/>
      <c r="W331" s="79"/>
      <c r="X331" s="79"/>
      <c r="AA331" s="130"/>
      <c r="AC331" s="106"/>
    </row>
    <row r="332">
      <c r="C332" s="79"/>
      <c r="D332" s="79"/>
      <c r="E332" s="79"/>
      <c r="N332" s="79"/>
      <c r="S332" s="79"/>
      <c r="T332" s="79"/>
      <c r="W332" s="79"/>
      <c r="X332" s="79"/>
      <c r="AA332" s="130"/>
      <c r="AC332" s="106"/>
    </row>
    <row r="333">
      <c r="C333" s="79"/>
      <c r="D333" s="79"/>
      <c r="E333" s="79"/>
      <c r="N333" s="79"/>
      <c r="S333" s="79"/>
      <c r="T333" s="79"/>
      <c r="W333" s="79"/>
      <c r="X333" s="79"/>
      <c r="AA333" s="130"/>
      <c r="AC333" s="106"/>
    </row>
    <row r="334">
      <c r="C334" s="79"/>
      <c r="D334" s="79"/>
      <c r="E334" s="79"/>
      <c r="N334" s="79"/>
      <c r="S334" s="79"/>
      <c r="T334" s="79"/>
      <c r="W334" s="79"/>
      <c r="X334" s="79"/>
      <c r="AA334" s="130"/>
      <c r="AC334" s="106"/>
    </row>
    <row r="335">
      <c r="C335" s="79"/>
      <c r="D335" s="79"/>
      <c r="E335" s="79"/>
      <c r="N335" s="79"/>
      <c r="S335" s="79"/>
      <c r="T335" s="79"/>
      <c r="W335" s="79"/>
      <c r="X335" s="79"/>
      <c r="AA335" s="130"/>
      <c r="AC335" s="106"/>
    </row>
    <row r="336">
      <c r="C336" s="79"/>
      <c r="D336" s="79"/>
      <c r="E336" s="79"/>
      <c r="N336" s="79"/>
      <c r="S336" s="79"/>
      <c r="T336" s="79"/>
      <c r="W336" s="79"/>
      <c r="X336" s="79"/>
      <c r="AA336" s="130"/>
      <c r="AC336" s="106"/>
    </row>
    <row r="337">
      <c r="C337" s="79"/>
      <c r="D337" s="79"/>
      <c r="E337" s="79"/>
      <c r="N337" s="79"/>
      <c r="S337" s="79"/>
      <c r="T337" s="79"/>
      <c r="W337" s="79"/>
      <c r="X337" s="79"/>
      <c r="AA337" s="130"/>
      <c r="AC337" s="106"/>
    </row>
    <row r="338">
      <c r="C338" s="79"/>
      <c r="D338" s="79"/>
      <c r="E338" s="79"/>
      <c r="N338" s="79"/>
      <c r="S338" s="79"/>
      <c r="T338" s="79"/>
      <c r="W338" s="79"/>
      <c r="X338" s="79"/>
      <c r="AA338" s="130"/>
      <c r="AC338" s="106"/>
    </row>
    <row r="339">
      <c r="C339" s="79"/>
      <c r="D339" s="79"/>
      <c r="E339" s="79"/>
      <c r="N339" s="79"/>
      <c r="S339" s="79"/>
      <c r="T339" s="79"/>
      <c r="W339" s="79"/>
      <c r="X339" s="79"/>
      <c r="AA339" s="130"/>
      <c r="AC339" s="106"/>
    </row>
    <row r="340">
      <c r="C340" s="79"/>
      <c r="D340" s="79"/>
      <c r="E340" s="79"/>
      <c r="N340" s="79"/>
      <c r="S340" s="79"/>
      <c r="T340" s="79"/>
      <c r="W340" s="79"/>
      <c r="X340" s="79"/>
      <c r="AA340" s="130"/>
      <c r="AC340" s="106"/>
    </row>
    <row r="341">
      <c r="C341" s="79"/>
      <c r="D341" s="79"/>
      <c r="E341" s="79"/>
      <c r="N341" s="79"/>
      <c r="S341" s="79"/>
      <c r="T341" s="79"/>
      <c r="W341" s="79"/>
      <c r="X341" s="79"/>
      <c r="AA341" s="130"/>
      <c r="AC341" s="106"/>
    </row>
    <row r="342">
      <c r="C342" s="79"/>
      <c r="D342" s="79"/>
      <c r="E342" s="79"/>
      <c r="N342" s="79"/>
      <c r="S342" s="79"/>
      <c r="T342" s="79"/>
      <c r="W342" s="79"/>
      <c r="X342" s="79"/>
      <c r="AA342" s="130"/>
      <c r="AC342" s="106"/>
    </row>
    <row r="343">
      <c r="C343" s="79"/>
      <c r="D343" s="79"/>
      <c r="E343" s="79"/>
      <c r="N343" s="79"/>
      <c r="S343" s="79"/>
      <c r="T343" s="79"/>
      <c r="W343" s="79"/>
      <c r="X343" s="79"/>
      <c r="AA343" s="130"/>
      <c r="AC343" s="106"/>
    </row>
    <row r="344">
      <c r="C344" s="79"/>
      <c r="D344" s="79"/>
      <c r="E344" s="79"/>
      <c r="N344" s="79"/>
      <c r="S344" s="79"/>
      <c r="T344" s="79"/>
      <c r="W344" s="79"/>
      <c r="X344" s="79"/>
      <c r="AA344" s="130"/>
      <c r="AC344" s="106"/>
    </row>
    <row r="345">
      <c r="C345" s="79"/>
      <c r="D345" s="79"/>
      <c r="E345" s="79"/>
      <c r="N345" s="79"/>
      <c r="S345" s="79"/>
      <c r="T345" s="79"/>
      <c r="W345" s="79"/>
      <c r="X345" s="79"/>
      <c r="AA345" s="130"/>
      <c r="AC345" s="106"/>
    </row>
    <row r="346">
      <c r="C346" s="79"/>
      <c r="D346" s="79"/>
      <c r="E346" s="79"/>
      <c r="N346" s="79"/>
      <c r="S346" s="79"/>
      <c r="T346" s="79"/>
      <c r="W346" s="79"/>
      <c r="X346" s="79"/>
      <c r="AA346" s="130"/>
      <c r="AC346" s="106"/>
    </row>
    <row r="347">
      <c r="C347" s="79"/>
      <c r="D347" s="79"/>
      <c r="E347" s="79"/>
      <c r="N347" s="79"/>
      <c r="S347" s="79"/>
      <c r="T347" s="79"/>
      <c r="W347" s="79"/>
      <c r="X347" s="79"/>
      <c r="AA347" s="130"/>
      <c r="AC347" s="106"/>
    </row>
    <row r="348">
      <c r="C348" s="79"/>
      <c r="D348" s="79"/>
      <c r="E348" s="79"/>
      <c r="N348" s="79"/>
      <c r="S348" s="79"/>
      <c r="T348" s="79"/>
      <c r="W348" s="79"/>
      <c r="X348" s="79"/>
      <c r="AA348" s="130"/>
      <c r="AC348" s="106"/>
    </row>
    <row r="349">
      <c r="C349" s="79"/>
      <c r="D349" s="79"/>
      <c r="E349" s="79"/>
      <c r="N349" s="79"/>
      <c r="S349" s="79"/>
      <c r="T349" s="79"/>
      <c r="W349" s="79"/>
      <c r="X349" s="79"/>
      <c r="AA349" s="130"/>
      <c r="AC349" s="106"/>
    </row>
    <row r="350">
      <c r="C350" s="79"/>
      <c r="D350" s="79"/>
      <c r="E350" s="79"/>
      <c r="N350" s="79"/>
      <c r="S350" s="79"/>
      <c r="T350" s="79"/>
      <c r="W350" s="79"/>
      <c r="X350" s="79"/>
      <c r="AA350" s="130"/>
      <c r="AC350" s="106"/>
    </row>
    <row r="351">
      <c r="C351" s="79"/>
      <c r="D351" s="79"/>
      <c r="E351" s="79"/>
      <c r="N351" s="79"/>
      <c r="S351" s="79"/>
      <c r="T351" s="79"/>
      <c r="W351" s="79"/>
      <c r="X351" s="79"/>
      <c r="AA351" s="130"/>
      <c r="AC351" s="106"/>
    </row>
    <row r="352">
      <c r="C352" s="79"/>
      <c r="D352" s="79"/>
      <c r="E352" s="79"/>
      <c r="N352" s="79"/>
      <c r="S352" s="79"/>
      <c r="T352" s="79"/>
      <c r="W352" s="79"/>
      <c r="X352" s="79"/>
      <c r="AA352" s="130"/>
      <c r="AC352" s="106"/>
    </row>
    <row r="353">
      <c r="C353" s="79"/>
      <c r="D353" s="79"/>
      <c r="E353" s="79"/>
      <c r="N353" s="79"/>
      <c r="S353" s="79"/>
      <c r="T353" s="79"/>
      <c r="W353" s="79"/>
      <c r="X353" s="79"/>
      <c r="AA353" s="130"/>
      <c r="AC353" s="106"/>
    </row>
    <row r="354">
      <c r="C354" s="79"/>
      <c r="D354" s="79"/>
      <c r="E354" s="79"/>
      <c r="N354" s="79"/>
      <c r="S354" s="79"/>
      <c r="T354" s="79"/>
      <c r="W354" s="79"/>
      <c r="X354" s="79"/>
      <c r="AA354" s="130"/>
      <c r="AC354" s="106"/>
    </row>
    <row r="355">
      <c r="C355" s="79"/>
      <c r="D355" s="79"/>
      <c r="E355" s="79"/>
      <c r="N355" s="79"/>
      <c r="S355" s="79"/>
      <c r="T355" s="79"/>
      <c r="W355" s="79"/>
      <c r="X355" s="79"/>
      <c r="AA355" s="130"/>
      <c r="AC355" s="106"/>
    </row>
    <row r="356">
      <c r="C356" s="79"/>
      <c r="D356" s="79"/>
      <c r="E356" s="79"/>
      <c r="N356" s="79"/>
      <c r="S356" s="79"/>
      <c r="T356" s="79"/>
      <c r="W356" s="79"/>
      <c r="X356" s="79"/>
      <c r="AA356" s="130"/>
      <c r="AC356" s="106"/>
    </row>
    <row r="357">
      <c r="C357" s="79"/>
      <c r="D357" s="79"/>
      <c r="E357" s="79"/>
      <c r="N357" s="79"/>
      <c r="S357" s="79"/>
      <c r="T357" s="79"/>
      <c r="W357" s="79"/>
      <c r="X357" s="79"/>
      <c r="AA357" s="130"/>
      <c r="AC357" s="106"/>
    </row>
    <row r="358">
      <c r="C358" s="79"/>
      <c r="D358" s="79"/>
      <c r="E358" s="79"/>
      <c r="N358" s="79"/>
      <c r="S358" s="79"/>
      <c r="T358" s="79"/>
      <c r="W358" s="79"/>
      <c r="X358" s="79"/>
      <c r="AA358" s="130"/>
      <c r="AC358" s="106"/>
    </row>
    <row r="359">
      <c r="C359" s="79"/>
      <c r="D359" s="79"/>
      <c r="E359" s="79"/>
      <c r="N359" s="79"/>
      <c r="S359" s="79"/>
      <c r="T359" s="79"/>
      <c r="W359" s="79"/>
      <c r="X359" s="79"/>
      <c r="AA359" s="130"/>
      <c r="AC359" s="106"/>
    </row>
    <row r="360">
      <c r="C360" s="79"/>
      <c r="D360" s="79"/>
      <c r="E360" s="79"/>
      <c r="N360" s="79"/>
      <c r="S360" s="79"/>
      <c r="T360" s="79"/>
      <c r="W360" s="79"/>
      <c r="X360" s="79"/>
      <c r="AA360" s="130"/>
      <c r="AC360" s="106"/>
    </row>
    <row r="361">
      <c r="C361" s="79"/>
      <c r="D361" s="79"/>
      <c r="E361" s="79"/>
      <c r="N361" s="79"/>
      <c r="S361" s="79"/>
      <c r="T361" s="79"/>
      <c r="W361" s="79"/>
      <c r="X361" s="79"/>
      <c r="AA361" s="130"/>
      <c r="AC361" s="106"/>
    </row>
    <row r="362">
      <c r="C362" s="79"/>
      <c r="D362" s="79"/>
      <c r="E362" s="79"/>
      <c r="N362" s="79"/>
      <c r="S362" s="79"/>
      <c r="T362" s="79"/>
      <c r="W362" s="79"/>
      <c r="X362" s="79"/>
      <c r="AA362" s="130"/>
      <c r="AC362" s="106"/>
    </row>
    <row r="363">
      <c r="C363" s="79"/>
      <c r="D363" s="79"/>
      <c r="E363" s="79"/>
      <c r="N363" s="79"/>
      <c r="S363" s="79"/>
      <c r="T363" s="79"/>
      <c r="W363" s="79"/>
      <c r="X363" s="79"/>
      <c r="AA363" s="130"/>
      <c r="AC363" s="106"/>
    </row>
    <row r="364">
      <c r="C364" s="79"/>
      <c r="D364" s="79"/>
      <c r="E364" s="79"/>
      <c r="N364" s="79"/>
      <c r="S364" s="79"/>
      <c r="T364" s="79"/>
      <c r="W364" s="79"/>
      <c r="X364" s="79"/>
      <c r="AA364" s="130"/>
      <c r="AC364" s="106"/>
    </row>
    <row r="365">
      <c r="C365" s="79"/>
      <c r="D365" s="79"/>
      <c r="E365" s="79"/>
      <c r="N365" s="79"/>
      <c r="S365" s="79"/>
      <c r="T365" s="79"/>
      <c r="W365" s="79"/>
      <c r="X365" s="79"/>
      <c r="AA365" s="130"/>
      <c r="AC365" s="106"/>
    </row>
    <row r="366">
      <c r="C366" s="79"/>
      <c r="D366" s="79"/>
      <c r="E366" s="79"/>
      <c r="N366" s="79"/>
      <c r="S366" s="79"/>
      <c r="T366" s="79"/>
      <c r="W366" s="79"/>
      <c r="X366" s="79"/>
      <c r="AA366" s="130"/>
      <c r="AC366" s="106"/>
    </row>
    <row r="367">
      <c r="C367" s="79"/>
      <c r="D367" s="79"/>
      <c r="E367" s="79"/>
      <c r="N367" s="79"/>
      <c r="S367" s="79"/>
      <c r="T367" s="79"/>
      <c r="W367" s="79"/>
      <c r="X367" s="79"/>
      <c r="AA367" s="130"/>
      <c r="AC367" s="106"/>
    </row>
    <row r="368">
      <c r="C368" s="79"/>
      <c r="D368" s="79"/>
      <c r="E368" s="79"/>
      <c r="N368" s="79"/>
      <c r="S368" s="79"/>
      <c r="T368" s="79"/>
      <c r="W368" s="79"/>
      <c r="X368" s="79"/>
      <c r="AA368" s="130"/>
      <c r="AC368" s="106"/>
    </row>
    <row r="369">
      <c r="C369" s="79"/>
      <c r="D369" s="79"/>
      <c r="E369" s="79"/>
      <c r="N369" s="79"/>
      <c r="S369" s="79"/>
      <c r="T369" s="79"/>
      <c r="W369" s="79"/>
      <c r="X369" s="79"/>
      <c r="AA369" s="130"/>
      <c r="AC369" s="106"/>
    </row>
    <row r="370">
      <c r="C370" s="79"/>
      <c r="D370" s="79"/>
      <c r="E370" s="79"/>
      <c r="N370" s="79"/>
      <c r="S370" s="79"/>
      <c r="T370" s="79"/>
      <c r="W370" s="79"/>
      <c r="X370" s="79"/>
      <c r="AA370" s="130"/>
      <c r="AC370" s="106"/>
    </row>
    <row r="371">
      <c r="C371" s="79"/>
      <c r="D371" s="79"/>
      <c r="E371" s="79"/>
      <c r="N371" s="79"/>
      <c r="S371" s="79"/>
      <c r="T371" s="79"/>
      <c r="W371" s="79"/>
      <c r="X371" s="79"/>
      <c r="AA371" s="130"/>
      <c r="AC371" s="106"/>
    </row>
    <row r="372">
      <c r="C372" s="79"/>
      <c r="D372" s="79"/>
      <c r="E372" s="79"/>
      <c r="N372" s="79"/>
      <c r="S372" s="79"/>
      <c r="T372" s="79"/>
      <c r="W372" s="79"/>
      <c r="X372" s="79"/>
      <c r="AA372" s="130"/>
      <c r="AC372" s="106"/>
    </row>
    <row r="373">
      <c r="C373" s="79"/>
      <c r="D373" s="79"/>
      <c r="E373" s="79"/>
      <c r="N373" s="79"/>
      <c r="S373" s="79"/>
      <c r="T373" s="79"/>
      <c r="W373" s="79"/>
      <c r="X373" s="79"/>
      <c r="AA373" s="130"/>
      <c r="AC373" s="106"/>
    </row>
    <row r="374">
      <c r="C374" s="79"/>
      <c r="D374" s="79"/>
      <c r="E374" s="79"/>
      <c r="N374" s="79"/>
      <c r="S374" s="79"/>
      <c r="T374" s="79"/>
      <c r="W374" s="79"/>
      <c r="X374" s="79"/>
      <c r="AA374" s="130"/>
      <c r="AC374" s="106"/>
    </row>
    <row r="375">
      <c r="C375" s="79"/>
      <c r="D375" s="79"/>
      <c r="E375" s="79"/>
      <c r="N375" s="79"/>
      <c r="S375" s="79"/>
      <c r="T375" s="79"/>
      <c r="W375" s="79"/>
      <c r="X375" s="79"/>
      <c r="AA375" s="130"/>
      <c r="AC375" s="106"/>
    </row>
    <row r="376">
      <c r="C376" s="79"/>
      <c r="D376" s="79"/>
      <c r="E376" s="79"/>
      <c r="N376" s="79"/>
      <c r="S376" s="79"/>
      <c r="T376" s="79"/>
      <c r="W376" s="79"/>
      <c r="X376" s="79"/>
      <c r="AA376" s="130"/>
      <c r="AC376" s="106"/>
    </row>
    <row r="377">
      <c r="C377" s="79"/>
      <c r="D377" s="79"/>
      <c r="E377" s="79"/>
      <c r="N377" s="79"/>
      <c r="S377" s="79"/>
      <c r="T377" s="79"/>
      <c r="W377" s="79"/>
      <c r="X377" s="79"/>
      <c r="AA377" s="130"/>
      <c r="AC377" s="106"/>
    </row>
    <row r="378">
      <c r="C378" s="79"/>
      <c r="D378" s="79"/>
      <c r="E378" s="79"/>
      <c r="N378" s="79"/>
      <c r="S378" s="79"/>
      <c r="T378" s="79"/>
      <c r="W378" s="79"/>
      <c r="X378" s="79"/>
      <c r="AA378" s="130"/>
      <c r="AC378" s="106"/>
    </row>
    <row r="379">
      <c r="C379" s="79"/>
      <c r="D379" s="79"/>
      <c r="E379" s="79"/>
      <c r="N379" s="79"/>
      <c r="S379" s="79"/>
      <c r="T379" s="79"/>
      <c r="W379" s="79"/>
      <c r="X379" s="79"/>
      <c r="AA379" s="130"/>
      <c r="AC379" s="106"/>
    </row>
    <row r="380">
      <c r="C380" s="79"/>
      <c r="D380" s="79"/>
      <c r="E380" s="79"/>
      <c r="N380" s="79"/>
      <c r="S380" s="79"/>
      <c r="T380" s="79"/>
      <c r="W380" s="79"/>
      <c r="X380" s="79"/>
      <c r="AA380" s="130"/>
      <c r="AC380" s="106"/>
    </row>
    <row r="381">
      <c r="C381" s="79"/>
      <c r="D381" s="79"/>
      <c r="E381" s="79"/>
      <c r="N381" s="79"/>
      <c r="S381" s="79"/>
      <c r="T381" s="79"/>
      <c r="W381" s="79"/>
      <c r="X381" s="79"/>
      <c r="AA381" s="130"/>
      <c r="AC381" s="106"/>
    </row>
    <row r="382">
      <c r="C382" s="79"/>
      <c r="D382" s="79"/>
      <c r="E382" s="79"/>
      <c r="N382" s="79"/>
      <c r="S382" s="79"/>
      <c r="T382" s="79"/>
      <c r="W382" s="79"/>
      <c r="X382" s="79"/>
      <c r="AA382" s="130"/>
      <c r="AC382" s="106"/>
    </row>
    <row r="383">
      <c r="C383" s="79"/>
      <c r="D383" s="79"/>
      <c r="E383" s="79"/>
      <c r="N383" s="79"/>
      <c r="S383" s="79"/>
      <c r="T383" s="79"/>
      <c r="W383" s="79"/>
      <c r="X383" s="79"/>
      <c r="AA383" s="130"/>
      <c r="AC383" s="106"/>
    </row>
    <row r="384">
      <c r="C384" s="79"/>
      <c r="D384" s="79"/>
      <c r="E384" s="79"/>
      <c r="N384" s="79"/>
      <c r="S384" s="79"/>
      <c r="T384" s="79"/>
      <c r="W384" s="79"/>
      <c r="X384" s="79"/>
      <c r="AA384" s="130"/>
      <c r="AC384" s="106"/>
    </row>
    <row r="385">
      <c r="C385" s="79"/>
      <c r="D385" s="79"/>
      <c r="E385" s="79"/>
      <c r="N385" s="79"/>
      <c r="S385" s="79"/>
      <c r="T385" s="79"/>
      <c r="W385" s="79"/>
      <c r="X385" s="79"/>
      <c r="AA385" s="130"/>
      <c r="AC385" s="106"/>
    </row>
    <row r="386">
      <c r="C386" s="79"/>
      <c r="D386" s="79"/>
      <c r="E386" s="79"/>
      <c r="N386" s="79"/>
      <c r="S386" s="79"/>
      <c r="T386" s="79"/>
      <c r="W386" s="79"/>
      <c r="X386" s="79"/>
      <c r="AA386" s="130"/>
      <c r="AC386" s="106"/>
    </row>
    <row r="387">
      <c r="C387" s="79"/>
      <c r="D387" s="79"/>
      <c r="E387" s="79"/>
      <c r="N387" s="79"/>
      <c r="S387" s="79"/>
      <c r="T387" s="79"/>
      <c r="W387" s="79"/>
      <c r="X387" s="79"/>
      <c r="AA387" s="130"/>
      <c r="AC387" s="106"/>
    </row>
    <row r="388">
      <c r="C388" s="79"/>
      <c r="D388" s="79"/>
      <c r="E388" s="79"/>
      <c r="N388" s="79"/>
      <c r="S388" s="79"/>
      <c r="T388" s="79"/>
      <c r="W388" s="79"/>
      <c r="X388" s="79"/>
      <c r="AA388" s="130"/>
      <c r="AC388" s="106"/>
    </row>
    <row r="389">
      <c r="C389" s="79"/>
      <c r="D389" s="79"/>
      <c r="E389" s="79"/>
      <c r="N389" s="79"/>
      <c r="S389" s="79"/>
      <c r="T389" s="79"/>
      <c r="W389" s="79"/>
      <c r="X389" s="79"/>
      <c r="AA389" s="130"/>
      <c r="AC389" s="106"/>
    </row>
    <row r="390">
      <c r="C390" s="79"/>
      <c r="D390" s="79"/>
      <c r="E390" s="79"/>
      <c r="N390" s="79"/>
      <c r="S390" s="79"/>
      <c r="T390" s="79"/>
      <c r="W390" s="79"/>
      <c r="X390" s="79"/>
      <c r="AA390" s="130"/>
      <c r="AC390" s="106"/>
    </row>
    <row r="391">
      <c r="C391" s="79"/>
      <c r="D391" s="79"/>
      <c r="E391" s="79"/>
      <c r="N391" s="79"/>
      <c r="S391" s="79"/>
      <c r="T391" s="79"/>
      <c r="W391" s="79"/>
      <c r="X391" s="79"/>
      <c r="AA391" s="130"/>
      <c r="AC391" s="106"/>
    </row>
    <row r="392">
      <c r="C392" s="79"/>
      <c r="D392" s="79"/>
      <c r="E392" s="79"/>
      <c r="N392" s="79"/>
      <c r="S392" s="79"/>
      <c r="T392" s="79"/>
      <c r="W392" s="79"/>
      <c r="X392" s="79"/>
      <c r="AA392" s="130"/>
      <c r="AC392" s="106"/>
    </row>
    <row r="393">
      <c r="C393" s="79"/>
      <c r="D393" s="79"/>
      <c r="E393" s="79"/>
      <c r="N393" s="79"/>
      <c r="S393" s="79"/>
      <c r="T393" s="79"/>
      <c r="W393" s="79"/>
      <c r="X393" s="79"/>
      <c r="AA393" s="130"/>
      <c r="AC393" s="106"/>
    </row>
    <row r="394">
      <c r="C394" s="79"/>
      <c r="D394" s="79"/>
      <c r="E394" s="79"/>
      <c r="N394" s="79"/>
      <c r="S394" s="79"/>
      <c r="T394" s="79"/>
      <c r="W394" s="79"/>
      <c r="X394" s="79"/>
      <c r="AA394" s="130"/>
      <c r="AC394" s="106"/>
    </row>
    <row r="395">
      <c r="C395" s="79"/>
      <c r="D395" s="79"/>
      <c r="E395" s="79"/>
      <c r="N395" s="79"/>
      <c r="S395" s="79"/>
      <c r="T395" s="79"/>
      <c r="W395" s="79"/>
      <c r="X395" s="79"/>
      <c r="AA395" s="130"/>
      <c r="AC395" s="106"/>
    </row>
    <row r="396">
      <c r="C396" s="79"/>
      <c r="D396" s="79"/>
      <c r="E396" s="79"/>
      <c r="N396" s="79"/>
      <c r="S396" s="79"/>
      <c r="T396" s="79"/>
      <c r="W396" s="79"/>
      <c r="X396" s="79"/>
      <c r="AA396" s="130"/>
      <c r="AC396" s="106"/>
    </row>
    <row r="397">
      <c r="C397" s="79"/>
      <c r="D397" s="79"/>
      <c r="E397" s="79"/>
      <c r="N397" s="79"/>
      <c r="S397" s="79"/>
      <c r="T397" s="79"/>
      <c r="W397" s="79"/>
      <c r="X397" s="79"/>
      <c r="AA397" s="130"/>
      <c r="AC397" s="106"/>
    </row>
    <row r="398">
      <c r="C398" s="79"/>
      <c r="D398" s="79"/>
      <c r="E398" s="79"/>
      <c r="N398" s="79"/>
      <c r="S398" s="79"/>
      <c r="T398" s="79"/>
      <c r="W398" s="79"/>
      <c r="X398" s="79"/>
      <c r="AA398" s="130"/>
      <c r="AC398" s="106"/>
    </row>
    <row r="399">
      <c r="C399" s="79"/>
      <c r="D399" s="79"/>
      <c r="E399" s="79"/>
      <c r="N399" s="79"/>
      <c r="S399" s="79"/>
      <c r="T399" s="79"/>
      <c r="W399" s="79"/>
      <c r="X399" s="79"/>
      <c r="AA399" s="130"/>
      <c r="AC399" s="106"/>
    </row>
    <row r="400">
      <c r="C400" s="79"/>
      <c r="D400" s="79"/>
      <c r="E400" s="79"/>
      <c r="N400" s="79"/>
      <c r="S400" s="79"/>
      <c r="T400" s="79"/>
      <c r="W400" s="79"/>
      <c r="X400" s="79"/>
      <c r="AA400" s="130"/>
      <c r="AC400" s="106"/>
    </row>
    <row r="401">
      <c r="C401" s="79"/>
      <c r="D401" s="79"/>
      <c r="E401" s="79"/>
      <c r="N401" s="79"/>
      <c r="S401" s="79"/>
      <c r="T401" s="79"/>
      <c r="W401" s="79"/>
      <c r="X401" s="79"/>
      <c r="AA401" s="130"/>
      <c r="AC401" s="106"/>
    </row>
    <row r="402">
      <c r="C402" s="79"/>
      <c r="D402" s="79"/>
      <c r="E402" s="79"/>
      <c r="N402" s="79"/>
      <c r="S402" s="79"/>
      <c r="T402" s="79"/>
      <c r="W402" s="79"/>
      <c r="X402" s="79"/>
      <c r="AA402" s="130"/>
      <c r="AC402" s="106"/>
    </row>
    <row r="403">
      <c r="C403" s="79"/>
      <c r="D403" s="79"/>
      <c r="E403" s="79"/>
      <c r="N403" s="79"/>
      <c r="S403" s="79"/>
      <c r="T403" s="79"/>
      <c r="W403" s="79"/>
      <c r="X403" s="79"/>
      <c r="AA403" s="130"/>
      <c r="AC403" s="106"/>
    </row>
    <row r="404">
      <c r="C404" s="79"/>
      <c r="D404" s="79"/>
      <c r="E404" s="79"/>
      <c r="N404" s="79"/>
      <c r="S404" s="79"/>
      <c r="T404" s="79"/>
      <c r="W404" s="79"/>
      <c r="X404" s="79"/>
      <c r="AA404" s="130"/>
      <c r="AC404" s="106"/>
    </row>
    <row r="405">
      <c r="C405" s="79"/>
      <c r="D405" s="79"/>
      <c r="E405" s="79"/>
      <c r="N405" s="79"/>
      <c r="S405" s="79"/>
      <c r="T405" s="79"/>
      <c r="W405" s="79"/>
      <c r="X405" s="79"/>
      <c r="AA405" s="130"/>
      <c r="AC405" s="106"/>
    </row>
    <row r="406">
      <c r="C406" s="79"/>
      <c r="D406" s="79"/>
      <c r="E406" s="79"/>
      <c r="N406" s="79"/>
      <c r="S406" s="79"/>
      <c r="T406" s="79"/>
      <c r="W406" s="79"/>
      <c r="X406" s="79"/>
      <c r="AA406" s="130"/>
      <c r="AC406" s="106"/>
    </row>
    <row r="407">
      <c r="C407" s="79"/>
      <c r="D407" s="79"/>
      <c r="E407" s="79"/>
      <c r="N407" s="79"/>
      <c r="S407" s="79"/>
      <c r="T407" s="79"/>
      <c r="W407" s="79"/>
      <c r="X407" s="79"/>
      <c r="AA407" s="130"/>
      <c r="AC407" s="106"/>
    </row>
    <row r="408">
      <c r="C408" s="79"/>
      <c r="D408" s="79"/>
      <c r="E408" s="79"/>
      <c r="N408" s="79"/>
      <c r="S408" s="79"/>
      <c r="T408" s="79"/>
      <c r="W408" s="79"/>
      <c r="X408" s="79"/>
      <c r="AA408" s="130"/>
      <c r="AC408" s="106"/>
    </row>
    <row r="409">
      <c r="C409" s="79"/>
      <c r="D409" s="79"/>
      <c r="E409" s="79"/>
      <c r="N409" s="79"/>
      <c r="S409" s="79"/>
      <c r="T409" s="79"/>
      <c r="W409" s="79"/>
      <c r="X409" s="79"/>
      <c r="AA409" s="130"/>
      <c r="AC409" s="106"/>
    </row>
    <row r="410">
      <c r="C410" s="79"/>
      <c r="D410" s="79"/>
      <c r="E410" s="79"/>
      <c r="N410" s="79"/>
      <c r="S410" s="79"/>
      <c r="T410" s="79"/>
      <c r="W410" s="79"/>
      <c r="X410" s="79"/>
      <c r="AA410" s="130"/>
      <c r="AC410" s="106"/>
    </row>
    <row r="411">
      <c r="C411" s="79"/>
      <c r="D411" s="79"/>
      <c r="E411" s="79"/>
      <c r="N411" s="79"/>
      <c r="S411" s="79"/>
      <c r="T411" s="79"/>
      <c r="W411" s="79"/>
      <c r="X411" s="79"/>
      <c r="AA411" s="130"/>
      <c r="AC411" s="106"/>
    </row>
    <row r="412">
      <c r="C412" s="79"/>
      <c r="D412" s="79"/>
      <c r="E412" s="79"/>
      <c r="N412" s="79"/>
      <c r="S412" s="79"/>
      <c r="T412" s="79"/>
      <c r="W412" s="79"/>
      <c r="X412" s="79"/>
      <c r="AA412" s="130"/>
      <c r="AC412" s="106"/>
    </row>
    <row r="413">
      <c r="C413" s="79"/>
      <c r="D413" s="79"/>
      <c r="E413" s="79"/>
      <c r="N413" s="79"/>
      <c r="S413" s="79"/>
      <c r="T413" s="79"/>
      <c r="W413" s="79"/>
      <c r="X413" s="79"/>
      <c r="AA413" s="130"/>
      <c r="AC413" s="106"/>
    </row>
    <row r="414">
      <c r="C414" s="79"/>
      <c r="D414" s="79"/>
      <c r="E414" s="79"/>
      <c r="N414" s="79"/>
      <c r="S414" s="79"/>
      <c r="T414" s="79"/>
      <c r="W414" s="79"/>
      <c r="X414" s="79"/>
      <c r="AA414" s="130"/>
      <c r="AC414" s="106"/>
    </row>
    <row r="415">
      <c r="C415" s="79"/>
      <c r="D415" s="79"/>
      <c r="E415" s="79"/>
      <c r="N415" s="79"/>
      <c r="S415" s="79"/>
      <c r="T415" s="79"/>
      <c r="W415" s="79"/>
      <c r="X415" s="79"/>
      <c r="AA415" s="130"/>
      <c r="AC415" s="106"/>
    </row>
    <row r="416">
      <c r="C416" s="79"/>
      <c r="D416" s="79"/>
      <c r="E416" s="79"/>
      <c r="N416" s="79"/>
      <c r="S416" s="79"/>
      <c r="T416" s="79"/>
      <c r="W416" s="79"/>
      <c r="X416" s="79"/>
      <c r="AA416" s="130"/>
      <c r="AC416" s="106"/>
    </row>
    <row r="417">
      <c r="C417" s="79"/>
      <c r="D417" s="79"/>
      <c r="E417" s="79"/>
      <c r="N417" s="79"/>
      <c r="S417" s="79"/>
      <c r="T417" s="79"/>
      <c r="W417" s="79"/>
      <c r="X417" s="79"/>
      <c r="AA417" s="130"/>
      <c r="AC417" s="106"/>
    </row>
    <row r="418">
      <c r="C418" s="79"/>
      <c r="D418" s="79"/>
      <c r="E418" s="79"/>
      <c r="N418" s="79"/>
      <c r="S418" s="79"/>
      <c r="T418" s="79"/>
      <c r="W418" s="79"/>
      <c r="X418" s="79"/>
      <c r="AA418" s="130"/>
      <c r="AC418" s="106"/>
    </row>
    <row r="419">
      <c r="C419" s="79"/>
      <c r="D419" s="79"/>
      <c r="E419" s="79"/>
      <c r="N419" s="79"/>
      <c r="S419" s="79"/>
      <c r="T419" s="79"/>
      <c r="W419" s="79"/>
      <c r="X419" s="79"/>
      <c r="AA419" s="130"/>
      <c r="AC419" s="106"/>
    </row>
    <row r="420">
      <c r="C420" s="79"/>
      <c r="D420" s="79"/>
      <c r="E420" s="79"/>
      <c r="N420" s="79"/>
      <c r="S420" s="79"/>
      <c r="T420" s="79"/>
      <c r="W420" s="79"/>
      <c r="X420" s="79"/>
      <c r="AA420" s="130"/>
      <c r="AC420" s="106"/>
    </row>
    <row r="421">
      <c r="C421" s="79"/>
      <c r="D421" s="79"/>
      <c r="E421" s="79"/>
      <c r="N421" s="79"/>
      <c r="S421" s="79"/>
      <c r="T421" s="79"/>
      <c r="W421" s="79"/>
      <c r="X421" s="79"/>
      <c r="AA421" s="130"/>
      <c r="AC421" s="106"/>
    </row>
    <row r="422">
      <c r="C422" s="79"/>
      <c r="D422" s="79"/>
      <c r="E422" s="79"/>
      <c r="N422" s="79"/>
      <c r="S422" s="79"/>
      <c r="T422" s="79"/>
      <c r="W422" s="79"/>
      <c r="X422" s="79"/>
      <c r="AA422" s="130"/>
      <c r="AC422" s="106"/>
    </row>
    <row r="423">
      <c r="C423" s="79"/>
      <c r="D423" s="79"/>
      <c r="E423" s="79"/>
      <c r="N423" s="79"/>
      <c r="S423" s="79"/>
      <c r="T423" s="79"/>
      <c r="W423" s="79"/>
      <c r="X423" s="79"/>
      <c r="AA423" s="130"/>
      <c r="AC423" s="106"/>
    </row>
    <row r="424">
      <c r="C424" s="79"/>
      <c r="D424" s="79"/>
      <c r="E424" s="79"/>
      <c r="N424" s="79"/>
      <c r="S424" s="79"/>
      <c r="T424" s="79"/>
      <c r="W424" s="79"/>
      <c r="X424" s="79"/>
      <c r="AA424" s="130"/>
      <c r="AC424" s="106"/>
    </row>
    <row r="425">
      <c r="C425" s="79"/>
      <c r="D425" s="79"/>
      <c r="E425" s="79"/>
      <c r="N425" s="79"/>
      <c r="S425" s="79"/>
      <c r="T425" s="79"/>
      <c r="W425" s="79"/>
      <c r="X425" s="79"/>
      <c r="AA425" s="130"/>
      <c r="AC425" s="106"/>
    </row>
    <row r="426">
      <c r="C426" s="79"/>
      <c r="D426" s="79"/>
      <c r="E426" s="79"/>
      <c r="N426" s="79"/>
      <c r="S426" s="79"/>
      <c r="T426" s="79"/>
      <c r="W426" s="79"/>
      <c r="X426" s="79"/>
      <c r="AA426" s="130"/>
      <c r="AC426" s="106"/>
    </row>
    <row r="427">
      <c r="C427" s="79"/>
      <c r="D427" s="79"/>
      <c r="E427" s="79"/>
      <c r="N427" s="79"/>
      <c r="S427" s="79"/>
      <c r="T427" s="79"/>
      <c r="W427" s="79"/>
      <c r="X427" s="79"/>
      <c r="AA427" s="130"/>
      <c r="AC427" s="106"/>
    </row>
    <row r="428">
      <c r="C428" s="79"/>
      <c r="D428" s="79"/>
      <c r="E428" s="79"/>
      <c r="N428" s="79"/>
      <c r="S428" s="79"/>
      <c r="T428" s="79"/>
      <c r="W428" s="79"/>
      <c r="X428" s="79"/>
      <c r="AA428" s="130"/>
      <c r="AC428" s="106"/>
    </row>
    <row r="429">
      <c r="C429" s="79"/>
      <c r="D429" s="79"/>
      <c r="E429" s="79"/>
      <c r="N429" s="79"/>
      <c r="S429" s="79"/>
      <c r="T429" s="79"/>
      <c r="W429" s="79"/>
      <c r="X429" s="79"/>
      <c r="AA429" s="130"/>
      <c r="AC429" s="106"/>
    </row>
    <row r="430">
      <c r="C430" s="79"/>
      <c r="D430" s="79"/>
      <c r="E430" s="79"/>
      <c r="N430" s="79"/>
      <c r="S430" s="79"/>
      <c r="T430" s="79"/>
      <c r="W430" s="79"/>
      <c r="X430" s="79"/>
      <c r="AA430" s="130"/>
      <c r="AC430" s="106"/>
    </row>
    <row r="431">
      <c r="C431" s="79"/>
      <c r="D431" s="79"/>
      <c r="E431" s="79"/>
      <c r="N431" s="79"/>
      <c r="S431" s="79"/>
      <c r="T431" s="79"/>
      <c r="W431" s="79"/>
      <c r="X431" s="79"/>
      <c r="AA431" s="130"/>
      <c r="AC431" s="106"/>
    </row>
    <row r="432">
      <c r="C432" s="79"/>
      <c r="D432" s="79"/>
      <c r="E432" s="79"/>
      <c r="N432" s="79"/>
      <c r="S432" s="79"/>
      <c r="T432" s="79"/>
      <c r="W432" s="79"/>
      <c r="X432" s="79"/>
      <c r="AA432" s="130"/>
      <c r="AC432" s="106"/>
    </row>
    <row r="433">
      <c r="C433" s="79"/>
      <c r="D433" s="79"/>
      <c r="E433" s="79"/>
      <c r="N433" s="79"/>
      <c r="S433" s="79"/>
      <c r="T433" s="79"/>
      <c r="W433" s="79"/>
      <c r="X433" s="79"/>
      <c r="AA433" s="130"/>
      <c r="AC433" s="106"/>
    </row>
    <row r="434">
      <c r="C434" s="79"/>
      <c r="D434" s="79"/>
      <c r="E434" s="79"/>
      <c r="N434" s="79"/>
      <c r="S434" s="79"/>
      <c r="T434" s="79"/>
      <c r="W434" s="79"/>
      <c r="X434" s="79"/>
      <c r="AA434" s="130"/>
      <c r="AC434" s="106"/>
    </row>
    <row r="435">
      <c r="C435" s="79"/>
      <c r="D435" s="79"/>
      <c r="E435" s="79"/>
      <c r="N435" s="79"/>
      <c r="S435" s="79"/>
      <c r="T435" s="79"/>
      <c r="W435" s="79"/>
      <c r="X435" s="79"/>
      <c r="AA435" s="130"/>
      <c r="AC435" s="106"/>
    </row>
    <row r="436">
      <c r="C436" s="79"/>
      <c r="D436" s="79"/>
      <c r="E436" s="79"/>
      <c r="N436" s="79"/>
      <c r="S436" s="79"/>
      <c r="T436" s="79"/>
      <c r="W436" s="79"/>
      <c r="X436" s="79"/>
      <c r="AA436" s="130"/>
      <c r="AC436" s="106"/>
    </row>
    <row r="437">
      <c r="C437" s="79"/>
      <c r="D437" s="79"/>
      <c r="E437" s="79"/>
      <c r="N437" s="79"/>
      <c r="S437" s="79"/>
      <c r="T437" s="79"/>
      <c r="W437" s="79"/>
      <c r="X437" s="79"/>
      <c r="AA437" s="130"/>
      <c r="AC437" s="106"/>
    </row>
    <row r="438">
      <c r="C438" s="79"/>
      <c r="D438" s="79"/>
      <c r="E438" s="79"/>
      <c r="N438" s="79"/>
      <c r="S438" s="79"/>
      <c r="T438" s="79"/>
      <c r="W438" s="79"/>
      <c r="X438" s="79"/>
      <c r="AA438" s="130"/>
      <c r="AC438" s="106"/>
    </row>
    <row r="439">
      <c r="C439" s="79"/>
      <c r="D439" s="79"/>
      <c r="E439" s="79"/>
      <c r="N439" s="79"/>
      <c r="S439" s="79"/>
      <c r="T439" s="79"/>
      <c r="W439" s="79"/>
      <c r="X439" s="79"/>
      <c r="AA439" s="130"/>
      <c r="AC439" s="106"/>
    </row>
    <row r="440">
      <c r="C440" s="79"/>
      <c r="D440" s="79"/>
      <c r="E440" s="79"/>
      <c r="N440" s="79"/>
      <c r="S440" s="79"/>
      <c r="T440" s="79"/>
      <c r="W440" s="79"/>
      <c r="X440" s="79"/>
      <c r="AA440" s="130"/>
      <c r="AC440" s="106"/>
    </row>
    <row r="441">
      <c r="C441" s="79"/>
      <c r="D441" s="79"/>
      <c r="E441" s="79"/>
      <c r="N441" s="79"/>
      <c r="S441" s="79"/>
      <c r="T441" s="79"/>
      <c r="W441" s="79"/>
      <c r="X441" s="79"/>
      <c r="AA441" s="130"/>
      <c r="AC441" s="106"/>
    </row>
    <row r="442">
      <c r="C442" s="79"/>
      <c r="D442" s="79"/>
      <c r="E442" s="79"/>
      <c r="N442" s="79"/>
      <c r="S442" s="79"/>
      <c r="T442" s="79"/>
      <c r="W442" s="79"/>
      <c r="X442" s="79"/>
      <c r="AA442" s="130"/>
      <c r="AC442" s="106"/>
    </row>
    <row r="443">
      <c r="C443" s="79"/>
      <c r="D443" s="79"/>
      <c r="E443" s="79"/>
      <c r="N443" s="79"/>
      <c r="S443" s="79"/>
      <c r="T443" s="79"/>
      <c r="W443" s="79"/>
      <c r="X443" s="79"/>
      <c r="AA443" s="130"/>
      <c r="AC443" s="106"/>
    </row>
    <row r="444">
      <c r="C444" s="79"/>
      <c r="D444" s="79"/>
      <c r="E444" s="79"/>
      <c r="N444" s="79"/>
      <c r="S444" s="79"/>
      <c r="T444" s="79"/>
      <c r="W444" s="79"/>
      <c r="X444" s="79"/>
      <c r="AA444" s="130"/>
      <c r="AC444" s="106"/>
    </row>
    <row r="445">
      <c r="C445" s="79"/>
      <c r="D445" s="79"/>
      <c r="E445" s="79"/>
      <c r="N445" s="79"/>
      <c r="S445" s="79"/>
      <c r="T445" s="79"/>
      <c r="W445" s="79"/>
      <c r="X445" s="79"/>
      <c r="AA445" s="130"/>
      <c r="AC445" s="106"/>
    </row>
    <row r="446">
      <c r="C446" s="79"/>
      <c r="D446" s="79"/>
      <c r="E446" s="79"/>
      <c r="N446" s="79"/>
      <c r="S446" s="79"/>
      <c r="T446" s="79"/>
      <c r="W446" s="79"/>
      <c r="X446" s="79"/>
      <c r="AA446" s="130"/>
      <c r="AC446" s="106"/>
    </row>
    <row r="447">
      <c r="C447" s="79"/>
      <c r="D447" s="79"/>
      <c r="E447" s="79"/>
      <c r="N447" s="79"/>
      <c r="S447" s="79"/>
      <c r="T447" s="79"/>
      <c r="W447" s="79"/>
      <c r="X447" s="79"/>
      <c r="AA447" s="130"/>
      <c r="AC447" s="106"/>
    </row>
    <row r="448">
      <c r="C448" s="79"/>
      <c r="D448" s="79"/>
      <c r="E448" s="79"/>
      <c r="N448" s="79"/>
      <c r="S448" s="79"/>
      <c r="T448" s="79"/>
      <c r="W448" s="79"/>
      <c r="X448" s="79"/>
      <c r="AA448" s="130"/>
      <c r="AC448" s="106"/>
    </row>
    <row r="449">
      <c r="C449" s="79"/>
      <c r="D449" s="79"/>
      <c r="E449" s="79"/>
      <c r="N449" s="79"/>
      <c r="S449" s="79"/>
      <c r="T449" s="79"/>
      <c r="W449" s="79"/>
      <c r="X449" s="79"/>
      <c r="AA449" s="130"/>
      <c r="AC449" s="106"/>
    </row>
    <row r="450">
      <c r="C450" s="79"/>
      <c r="D450" s="79"/>
      <c r="E450" s="79"/>
      <c r="N450" s="79"/>
      <c r="S450" s="79"/>
      <c r="T450" s="79"/>
      <c r="W450" s="79"/>
      <c r="X450" s="79"/>
      <c r="AA450" s="130"/>
      <c r="AC450" s="106"/>
    </row>
    <row r="451">
      <c r="C451" s="79"/>
      <c r="D451" s="79"/>
      <c r="E451" s="79"/>
      <c r="N451" s="79"/>
      <c r="S451" s="79"/>
      <c r="T451" s="79"/>
      <c r="W451" s="79"/>
      <c r="X451" s="79"/>
      <c r="AA451" s="130"/>
      <c r="AC451" s="106"/>
    </row>
    <row r="452">
      <c r="C452" s="79"/>
      <c r="D452" s="79"/>
      <c r="E452" s="79"/>
      <c r="N452" s="79"/>
      <c r="S452" s="79"/>
      <c r="T452" s="79"/>
      <c r="W452" s="79"/>
      <c r="X452" s="79"/>
      <c r="AA452" s="130"/>
      <c r="AC452" s="106"/>
    </row>
    <row r="453">
      <c r="C453" s="79"/>
      <c r="D453" s="79"/>
      <c r="E453" s="79"/>
      <c r="N453" s="79"/>
      <c r="S453" s="79"/>
      <c r="T453" s="79"/>
      <c r="W453" s="79"/>
      <c r="X453" s="79"/>
      <c r="AA453" s="130"/>
      <c r="AC453" s="106"/>
    </row>
    <row r="454">
      <c r="C454" s="79"/>
      <c r="D454" s="79"/>
      <c r="E454" s="79"/>
      <c r="N454" s="79"/>
      <c r="S454" s="79"/>
      <c r="T454" s="79"/>
      <c r="W454" s="79"/>
      <c r="X454" s="79"/>
      <c r="AA454" s="130"/>
      <c r="AC454" s="106"/>
    </row>
    <row r="455">
      <c r="C455" s="79"/>
      <c r="D455" s="79"/>
      <c r="E455" s="79"/>
      <c r="N455" s="79"/>
      <c r="S455" s="79"/>
      <c r="T455" s="79"/>
      <c r="W455" s="79"/>
      <c r="X455" s="79"/>
      <c r="AA455" s="130"/>
      <c r="AC455" s="106"/>
    </row>
    <row r="456">
      <c r="C456" s="79"/>
      <c r="D456" s="79"/>
      <c r="E456" s="79"/>
      <c r="N456" s="79"/>
      <c r="S456" s="79"/>
      <c r="T456" s="79"/>
      <c r="W456" s="79"/>
      <c r="X456" s="79"/>
      <c r="AA456" s="130"/>
      <c r="AC456" s="106"/>
    </row>
    <row r="457">
      <c r="C457" s="79"/>
      <c r="D457" s="79"/>
      <c r="E457" s="79"/>
      <c r="N457" s="79"/>
      <c r="S457" s="79"/>
      <c r="T457" s="79"/>
      <c r="W457" s="79"/>
      <c r="X457" s="79"/>
      <c r="AA457" s="130"/>
      <c r="AC457" s="106"/>
    </row>
    <row r="458">
      <c r="C458" s="79"/>
      <c r="D458" s="79"/>
      <c r="E458" s="79"/>
      <c r="N458" s="79"/>
      <c r="S458" s="79"/>
      <c r="T458" s="79"/>
      <c r="W458" s="79"/>
      <c r="X458" s="79"/>
      <c r="AA458" s="130"/>
      <c r="AC458" s="106"/>
    </row>
    <row r="459">
      <c r="C459" s="79"/>
      <c r="D459" s="79"/>
      <c r="E459" s="79"/>
      <c r="N459" s="79"/>
      <c r="S459" s="79"/>
      <c r="T459" s="79"/>
      <c r="W459" s="79"/>
      <c r="X459" s="79"/>
      <c r="AA459" s="130"/>
      <c r="AC459" s="106"/>
    </row>
    <row r="460">
      <c r="C460" s="79"/>
      <c r="D460" s="79"/>
      <c r="E460" s="79"/>
      <c r="N460" s="79"/>
      <c r="S460" s="79"/>
      <c r="T460" s="79"/>
      <c r="W460" s="79"/>
      <c r="X460" s="79"/>
      <c r="AA460" s="130"/>
      <c r="AC460" s="106"/>
    </row>
    <row r="461">
      <c r="C461" s="79"/>
      <c r="D461" s="79"/>
      <c r="E461" s="79"/>
      <c r="N461" s="79"/>
      <c r="S461" s="79"/>
      <c r="T461" s="79"/>
      <c r="W461" s="79"/>
      <c r="X461" s="79"/>
      <c r="AA461" s="130"/>
      <c r="AC461" s="106"/>
    </row>
    <row r="462">
      <c r="C462" s="79"/>
      <c r="D462" s="79"/>
      <c r="E462" s="79"/>
      <c r="N462" s="79"/>
      <c r="S462" s="79"/>
      <c r="T462" s="79"/>
      <c r="W462" s="79"/>
      <c r="X462" s="79"/>
      <c r="AA462" s="130"/>
      <c r="AC462" s="106"/>
    </row>
    <row r="463">
      <c r="C463" s="79"/>
      <c r="D463" s="79"/>
      <c r="E463" s="79"/>
      <c r="N463" s="79"/>
      <c r="S463" s="79"/>
      <c r="T463" s="79"/>
      <c r="W463" s="79"/>
      <c r="X463" s="79"/>
      <c r="AA463" s="130"/>
      <c r="AC463" s="106"/>
    </row>
    <row r="464">
      <c r="C464" s="79"/>
      <c r="D464" s="79"/>
      <c r="E464" s="79"/>
      <c r="N464" s="79"/>
      <c r="S464" s="79"/>
      <c r="T464" s="79"/>
      <c r="W464" s="79"/>
      <c r="X464" s="79"/>
      <c r="AA464" s="130"/>
      <c r="AC464" s="106"/>
    </row>
    <row r="465">
      <c r="C465" s="79"/>
      <c r="D465" s="79"/>
      <c r="E465" s="79"/>
      <c r="N465" s="79"/>
      <c r="S465" s="79"/>
      <c r="T465" s="79"/>
      <c r="W465" s="79"/>
      <c r="X465" s="79"/>
      <c r="AA465" s="130"/>
      <c r="AC465" s="106"/>
    </row>
    <row r="466">
      <c r="C466" s="79"/>
      <c r="D466" s="79"/>
      <c r="E466" s="79"/>
      <c r="N466" s="79"/>
      <c r="S466" s="79"/>
      <c r="T466" s="79"/>
      <c r="W466" s="79"/>
      <c r="X466" s="79"/>
      <c r="AA466" s="130"/>
      <c r="AC466" s="106"/>
    </row>
    <row r="467">
      <c r="C467" s="79"/>
      <c r="D467" s="79"/>
      <c r="E467" s="79"/>
      <c r="N467" s="79"/>
      <c r="S467" s="79"/>
      <c r="T467" s="79"/>
      <c r="W467" s="79"/>
      <c r="X467" s="79"/>
      <c r="AA467" s="130"/>
      <c r="AC467" s="106"/>
    </row>
    <row r="468">
      <c r="C468" s="79"/>
      <c r="D468" s="79"/>
      <c r="E468" s="79"/>
      <c r="N468" s="79"/>
      <c r="S468" s="79"/>
      <c r="T468" s="79"/>
      <c r="W468" s="79"/>
      <c r="X468" s="79"/>
      <c r="AA468" s="130"/>
      <c r="AC468" s="106"/>
    </row>
    <row r="469">
      <c r="C469" s="79"/>
      <c r="D469" s="79"/>
      <c r="E469" s="79"/>
      <c r="N469" s="79"/>
      <c r="S469" s="79"/>
      <c r="T469" s="79"/>
      <c r="W469" s="79"/>
      <c r="X469" s="79"/>
      <c r="AA469" s="130"/>
      <c r="AC469" s="106"/>
    </row>
    <row r="470">
      <c r="C470" s="79"/>
      <c r="D470" s="79"/>
      <c r="E470" s="79"/>
      <c r="N470" s="79"/>
      <c r="S470" s="79"/>
      <c r="T470" s="79"/>
      <c r="W470" s="79"/>
      <c r="X470" s="79"/>
      <c r="AA470" s="130"/>
      <c r="AC470" s="106"/>
    </row>
    <row r="471">
      <c r="C471" s="79"/>
      <c r="D471" s="79"/>
      <c r="E471" s="79"/>
      <c r="N471" s="79"/>
      <c r="S471" s="79"/>
      <c r="T471" s="79"/>
      <c r="W471" s="79"/>
      <c r="X471" s="79"/>
      <c r="AA471" s="130"/>
      <c r="AC471" s="106"/>
    </row>
    <row r="472">
      <c r="C472" s="79"/>
      <c r="D472" s="79"/>
      <c r="E472" s="79"/>
      <c r="N472" s="79"/>
      <c r="S472" s="79"/>
      <c r="T472" s="79"/>
      <c r="W472" s="79"/>
      <c r="X472" s="79"/>
      <c r="AA472" s="130"/>
      <c r="AC472" s="106"/>
    </row>
    <row r="473">
      <c r="C473" s="79"/>
      <c r="D473" s="79"/>
      <c r="E473" s="79"/>
      <c r="N473" s="79"/>
      <c r="S473" s="79"/>
      <c r="T473" s="79"/>
      <c r="W473" s="79"/>
      <c r="X473" s="79"/>
      <c r="AA473" s="130"/>
      <c r="AC473" s="106"/>
    </row>
    <row r="474">
      <c r="C474" s="79"/>
      <c r="D474" s="79"/>
      <c r="E474" s="79"/>
      <c r="N474" s="79"/>
      <c r="S474" s="79"/>
      <c r="T474" s="79"/>
      <c r="W474" s="79"/>
      <c r="X474" s="79"/>
      <c r="AA474" s="130"/>
      <c r="AC474" s="106"/>
    </row>
    <row r="475">
      <c r="C475" s="79"/>
      <c r="D475" s="79"/>
      <c r="E475" s="79"/>
      <c r="N475" s="79"/>
      <c r="S475" s="79"/>
      <c r="T475" s="79"/>
      <c r="W475" s="79"/>
      <c r="X475" s="79"/>
      <c r="AA475" s="130"/>
      <c r="AC475" s="106"/>
    </row>
    <row r="476">
      <c r="C476" s="79"/>
      <c r="D476" s="79"/>
      <c r="E476" s="79"/>
      <c r="N476" s="79"/>
      <c r="S476" s="79"/>
      <c r="T476" s="79"/>
      <c r="W476" s="79"/>
      <c r="X476" s="79"/>
      <c r="AA476" s="130"/>
      <c r="AC476" s="106"/>
    </row>
    <row r="477">
      <c r="C477" s="79"/>
      <c r="D477" s="79"/>
      <c r="E477" s="79"/>
      <c r="N477" s="79"/>
      <c r="S477" s="79"/>
      <c r="T477" s="79"/>
      <c r="W477" s="79"/>
      <c r="X477" s="79"/>
      <c r="AA477" s="130"/>
      <c r="AC477" s="106"/>
    </row>
    <row r="478">
      <c r="C478" s="79"/>
      <c r="D478" s="79"/>
      <c r="E478" s="79"/>
      <c r="N478" s="79"/>
      <c r="S478" s="79"/>
      <c r="T478" s="79"/>
      <c r="W478" s="79"/>
      <c r="X478" s="79"/>
      <c r="AA478" s="130"/>
      <c r="AC478" s="106"/>
    </row>
    <row r="479">
      <c r="C479" s="79"/>
      <c r="D479" s="79"/>
      <c r="E479" s="79"/>
      <c r="N479" s="79"/>
      <c r="S479" s="79"/>
      <c r="T479" s="79"/>
      <c r="W479" s="79"/>
      <c r="X479" s="79"/>
      <c r="AA479" s="130"/>
      <c r="AC479" s="106"/>
    </row>
    <row r="480">
      <c r="C480" s="79"/>
      <c r="D480" s="79"/>
      <c r="E480" s="79"/>
      <c r="N480" s="79"/>
      <c r="S480" s="79"/>
      <c r="T480" s="79"/>
      <c r="W480" s="79"/>
      <c r="X480" s="79"/>
      <c r="AA480" s="130"/>
      <c r="AC480" s="106"/>
    </row>
    <row r="481">
      <c r="C481" s="79"/>
      <c r="D481" s="79"/>
      <c r="E481" s="79"/>
      <c r="N481" s="79"/>
      <c r="S481" s="79"/>
      <c r="T481" s="79"/>
      <c r="W481" s="79"/>
      <c r="X481" s="79"/>
      <c r="AA481" s="130"/>
      <c r="AC481" s="106"/>
    </row>
    <row r="482">
      <c r="C482" s="79"/>
      <c r="D482" s="79"/>
      <c r="E482" s="79"/>
      <c r="N482" s="79"/>
      <c r="S482" s="79"/>
      <c r="T482" s="79"/>
      <c r="W482" s="79"/>
      <c r="X482" s="79"/>
      <c r="AA482" s="130"/>
      <c r="AC482" s="106"/>
    </row>
    <row r="483">
      <c r="C483" s="79"/>
      <c r="D483" s="79"/>
      <c r="E483" s="79"/>
      <c r="N483" s="79"/>
      <c r="S483" s="79"/>
      <c r="T483" s="79"/>
      <c r="W483" s="79"/>
      <c r="X483" s="79"/>
      <c r="AA483" s="130"/>
      <c r="AC483" s="106"/>
    </row>
    <row r="484">
      <c r="C484" s="79"/>
      <c r="D484" s="79"/>
      <c r="E484" s="79"/>
      <c r="N484" s="79"/>
      <c r="S484" s="79"/>
      <c r="T484" s="79"/>
      <c r="W484" s="79"/>
      <c r="X484" s="79"/>
      <c r="AA484" s="130"/>
      <c r="AC484" s="106"/>
    </row>
    <row r="485">
      <c r="C485" s="79"/>
      <c r="D485" s="79"/>
      <c r="E485" s="79"/>
      <c r="N485" s="79"/>
      <c r="S485" s="79"/>
      <c r="T485" s="79"/>
      <c r="W485" s="79"/>
      <c r="X485" s="79"/>
      <c r="AA485" s="130"/>
      <c r="AC485" s="106"/>
    </row>
    <row r="486">
      <c r="C486" s="79"/>
      <c r="D486" s="79"/>
      <c r="E486" s="79"/>
      <c r="N486" s="79"/>
      <c r="S486" s="79"/>
      <c r="T486" s="79"/>
      <c r="W486" s="79"/>
      <c r="X486" s="79"/>
      <c r="AA486" s="130"/>
      <c r="AC486" s="106"/>
    </row>
    <row r="487">
      <c r="C487" s="79"/>
      <c r="D487" s="79"/>
      <c r="E487" s="79"/>
      <c r="N487" s="79"/>
      <c r="S487" s="79"/>
      <c r="T487" s="79"/>
      <c r="W487" s="79"/>
      <c r="X487" s="79"/>
      <c r="AA487" s="130"/>
      <c r="AC487" s="106"/>
    </row>
    <row r="488">
      <c r="C488" s="79"/>
      <c r="D488" s="79"/>
      <c r="E488" s="79"/>
      <c r="N488" s="79"/>
      <c r="S488" s="79"/>
      <c r="T488" s="79"/>
      <c r="W488" s="79"/>
      <c r="X488" s="79"/>
      <c r="AA488" s="130"/>
      <c r="AC488" s="106"/>
    </row>
    <row r="489">
      <c r="C489" s="79"/>
      <c r="D489" s="79"/>
      <c r="E489" s="79"/>
      <c r="N489" s="79"/>
      <c r="S489" s="79"/>
      <c r="T489" s="79"/>
      <c r="W489" s="79"/>
      <c r="X489" s="79"/>
      <c r="AA489" s="130"/>
      <c r="AC489" s="106"/>
    </row>
    <row r="490">
      <c r="C490" s="79"/>
      <c r="D490" s="79"/>
      <c r="E490" s="79"/>
      <c r="N490" s="79"/>
      <c r="S490" s="79"/>
      <c r="T490" s="79"/>
      <c r="W490" s="79"/>
      <c r="X490" s="79"/>
      <c r="AA490" s="130"/>
      <c r="AC490" s="106"/>
    </row>
    <row r="491">
      <c r="C491" s="79"/>
      <c r="D491" s="79"/>
      <c r="E491" s="79"/>
      <c r="N491" s="79"/>
      <c r="S491" s="79"/>
      <c r="T491" s="79"/>
      <c r="W491" s="79"/>
      <c r="X491" s="79"/>
      <c r="AA491" s="130"/>
      <c r="AC491" s="106"/>
    </row>
    <row r="492">
      <c r="C492" s="79"/>
      <c r="D492" s="79"/>
      <c r="E492" s="79"/>
      <c r="N492" s="79"/>
      <c r="S492" s="79"/>
      <c r="T492" s="79"/>
      <c r="W492" s="79"/>
      <c r="X492" s="79"/>
      <c r="AA492" s="130"/>
      <c r="AC492" s="106"/>
    </row>
    <row r="493">
      <c r="C493" s="79"/>
      <c r="D493" s="79"/>
      <c r="E493" s="79"/>
      <c r="N493" s="79"/>
      <c r="S493" s="79"/>
      <c r="T493" s="79"/>
      <c r="W493" s="79"/>
      <c r="X493" s="79"/>
      <c r="AA493" s="130"/>
      <c r="AC493" s="106"/>
    </row>
    <row r="494">
      <c r="C494" s="79"/>
      <c r="D494" s="79"/>
      <c r="E494" s="79"/>
      <c r="N494" s="79"/>
      <c r="S494" s="79"/>
      <c r="T494" s="79"/>
      <c r="W494" s="79"/>
      <c r="X494" s="79"/>
      <c r="AA494" s="130"/>
      <c r="AC494" s="106"/>
    </row>
    <row r="495">
      <c r="C495" s="79"/>
      <c r="D495" s="79"/>
      <c r="E495" s="79"/>
      <c r="N495" s="79"/>
      <c r="S495" s="79"/>
      <c r="T495" s="79"/>
      <c r="W495" s="79"/>
      <c r="X495" s="79"/>
      <c r="AA495" s="130"/>
      <c r="AC495" s="106"/>
    </row>
    <row r="496">
      <c r="C496" s="79"/>
      <c r="D496" s="79"/>
      <c r="E496" s="79"/>
      <c r="N496" s="79"/>
      <c r="S496" s="79"/>
      <c r="T496" s="79"/>
      <c r="W496" s="79"/>
      <c r="X496" s="79"/>
      <c r="AA496" s="130"/>
      <c r="AC496" s="106"/>
    </row>
    <row r="497">
      <c r="C497" s="79"/>
      <c r="D497" s="79"/>
      <c r="E497" s="79"/>
      <c r="N497" s="79"/>
      <c r="S497" s="79"/>
      <c r="T497" s="79"/>
      <c r="W497" s="79"/>
      <c r="X497" s="79"/>
      <c r="AA497" s="130"/>
      <c r="AC497" s="106"/>
    </row>
    <row r="498">
      <c r="C498" s="79"/>
      <c r="D498" s="79"/>
      <c r="E498" s="79"/>
      <c r="N498" s="79"/>
      <c r="S498" s="79"/>
      <c r="T498" s="79"/>
      <c r="W498" s="79"/>
      <c r="X498" s="79"/>
      <c r="AA498" s="130"/>
      <c r="AC498" s="106"/>
    </row>
    <row r="499">
      <c r="C499" s="79"/>
      <c r="D499" s="79"/>
      <c r="E499" s="79"/>
      <c r="N499" s="79"/>
      <c r="S499" s="79"/>
      <c r="T499" s="79"/>
      <c r="W499" s="79"/>
      <c r="X499" s="79"/>
      <c r="AA499" s="130"/>
      <c r="AC499" s="106"/>
    </row>
    <row r="500">
      <c r="C500" s="79"/>
      <c r="D500" s="79"/>
      <c r="E500" s="79"/>
      <c r="N500" s="79"/>
      <c r="S500" s="79"/>
      <c r="T500" s="79"/>
      <c r="W500" s="79"/>
      <c r="X500" s="79"/>
      <c r="AA500" s="130"/>
      <c r="AC500" s="106"/>
    </row>
    <row r="501">
      <c r="C501" s="79"/>
      <c r="D501" s="79"/>
      <c r="E501" s="79"/>
      <c r="N501" s="79"/>
      <c r="S501" s="79"/>
      <c r="T501" s="79"/>
      <c r="W501" s="79"/>
      <c r="X501" s="79"/>
      <c r="AA501" s="130"/>
      <c r="AC501" s="106"/>
    </row>
    <row r="502">
      <c r="C502" s="79"/>
      <c r="D502" s="79"/>
      <c r="E502" s="79"/>
      <c r="N502" s="79"/>
      <c r="S502" s="79"/>
      <c r="T502" s="79"/>
      <c r="W502" s="79"/>
      <c r="X502" s="79"/>
      <c r="AA502" s="130"/>
      <c r="AC502" s="106"/>
    </row>
    <row r="503">
      <c r="C503" s="79"/>
      <c r="D503" s="79"/>
      <c r="E503" s="79"/>
      <c r="N503" s="79"/>
      <c r="S503" s="79"/>
      <c r="T503" s="79"/>
      <c r="W503" s="79"/>
      <c r="X503" s="79"/>
      <c r="AA503" s="130"/>
      <c r="AC503" s="106"/>
    </row>
    <row r="504">
      <c r="C504" s="79"/>
      <c r="D504" s="79"/>
      <c r="E504" s="79"/>
      <c r="N504" s="79"/>
      <c r="S504" s="79"/>
      <c r="T504" s="79"/>
      <c r="W504" s="79"/>
      <c r="X504" s="79"/>
      <c r="AA504" s="130"/>
      <c r="AC504" s="106"/>
    </row>
    <row r="505">
      <c r="C505" s="79"/>
      <c r="D505" s="79"/>
      <c r="E505" s="79"/>
      <c r="N505" s="79"/>
      <c r="S505" s="79"/>
      <c r="T505" s="79"/>
      <c r="W505" s="79"/>
      <c r="X505" s="79"/>
      <c r="AA505" s="130"/>
      <c r="AC505" s="106"/>
    </row>
    <row r="506">
      <c r="C506" s="79"/>
      <c r="D506" s="79"/>
      <c r="E506" s="79"/>
      <c r="N506" s="79"/>
      <c r="S506" s="79"/>
      <c r="T506" s="79"/>
      <c r="W506" s="79"/>
      <c r="X506" s="79"/>
      <c r="AA506" s="130"/>
      <c r="AC506" s="106"/>
    </row>
    <row r="507">
      <c r="C507" s="79"/>
      <c r="D507" s="79"/>
      <c r="E507" s="79"/>
      <c r="N507" s="79"/>
      <c r="S507" s="79"/>
      <c r="T507" s="79"/>
      <c r="W507" s="79"/>
      <c r="X507" s="79"/>
      <c r="AA507" s="130"/>
      <c r="AC507" s="106"/>
    </row>
    <row r="508">
      <c r="C508" s="79"/>
      <c r="D508" s="79"/>
      <c r="E508" s="79"/>
      <c r="N508" s="79"/>
      <c r="S508" s="79"/>
      <c r="T508" s="79"/>
      <c r="W508" s="79"/>
      <c r="X508" s="79"/>
      <c r="AA508" s="130"/>
      <c r="AC508" s="106"/>
    </row>
    <row r="509">
      <c r="C509" s="79"/>
      <c r="D509" s="79"/>
      <c r="E509" s="79"/>
      <c r="N509" s="79"/>
      <c r="S509" s="79"/>
      <c r="T509" s="79"/>
      <c r="W509" s="79"/>
      <c r="X509" s="79"/>
      <c r="AA509" s="130"/>
      <c r="AC509" s="106"/>
    </row>
    <row r="510">
      <c r="C510" s="79"/>
      <c r="D510" s="79"/>
      <c r="E510" s="79"/>
      <c r="N510" s="79"/>
      <c r="S510" s="79"/>
      <c r="T510" s="79"/>
      <c r="W510" s="79"/>
      <c r="X510" s="79"/>
      <c r="AA510" s="130"/>
      <c r="AC510" s="106"/>
    </row>
    <row r="511">
      <c r="C511" s="79"/>
      <c r="D511" s="79"/>
      <c r="E511" s="79"/>
      <c r="N511" s="79"/>
      <c r="S511" s="79"/>
      <c r="T511" s="79"/>
      <c r="W511" s="79"/>
      <c r="X511" s="79"/>
      <c r="AA511" s="130"/>
      <c r="AC511" s="106"/>
    </row>
    <row r="512">
      <c r="C512" s="79"/>
      <c r="D512" s="79"/>
      <c r="E512" s="79"/>
      <c r="N512" s="79"/>
      <c r="S512" s="79"/>
      <c r="T512" s="79"/>
      <c r="W512" s="79"/>
      <c r="X512" s="79"/>
      <c r="AA512" s="130"/>
      <c r="AC512" s="106"/>
    </row>
    <row r="513">
      <c r="C513" s="79"/>
      <c r="D513" s="79"/>
      <c r="E513" s="79"/>
      <c r="N513" s="79"/>
      <c r="S513" s="79"/>
      <c r="T513" s="79"/>
      <c r="W513" s="79"/>
      <c r="X513" s="79"/>
      <c r="AA513" s="130"/>
      <c r="AC513" s="106"/>
    </row>
    <row r="514">
      <c r="C514" s="79"/>
      <c r="D514" s="79"/>
      <c r="E514" s="79"/>
      <c r="N514" s="79"/>
      <c r="S514" s="79"/>
      <c r="T514" s="79"/>
      <c r="W514" s="79"/>
      <c r="X514" s="79"/>
      <c r="AA514" s="130"/>
      <c r="AC514" s="106"/>
    </row>
    <row r="515">
      <c r="C515" s="79"/>
      <c r="D515" s="79"/>
      <c r="E515" s="79"/>
      <c r="N515" s="79"/>
      <c r="S515" s="79"/>
      <c r="T515" s="79"/>
      <c r="W515" s="79"/>
      <c r="X515" s="79"/>
      <c r="AA515" s="130"/>
      <c r="AC515" s="106"/>
    </row>
    <row r="516">
      <c r="C516" s="79"/>
      <c r="D516" s="79"/>
      <c r="E516" s="79"/>
      <c r="N516" s="79"/>
      <c r="S516" s="79"/>
      <c r="T516" s="79"/>
      <c r="W516" s="79"/>
      <c r="X516" s="79"/>
      <c r="AA516" s="130"/>
      <c r="AC516" s="106"/>
    </row>
    <row r="517">
      <c r="C517" s="79"/>
      <c r="D517" s="79"/>
      <c r="E517" s="79"/>
      <c r="N517" s="79"/>
      <c r="S517" s="79"/>
      <c r="T517" s="79"/>
      <c r="W517" s="79"/>
      <c r="X517" s="79"/>
      <c r="AA517" s="130"/>
      <c r="AC517" s="106"/>
    </row>
    <row r="518">
      <c r="C518" s="79"/>
      <c r="D518" s="79"/>
      <c r="E518" s="79"/>
      <c r="N518" s="79"/>
      <c r="S518" s="79"/>
      <c r="T518" s="79"/>
      <c r="W518" s="79"/>
      <c r="X518" s="79"/>
      <c r="AA518" s="130"/>
      <c r="AC518" s="106"/>
    </row>
    <row r="519">
      <c r="C519" s="79"/>
      <c r="D519" s="79"/>
      <c r="E519" s="79"/>
      <c r="N519" s="79"/>
      <c r="S519" s="79"/>
      <c r="T519" s="79"/>
      <c r="W519" s="79"/>
      <c r="X519" s="79"/>
      <c r="AA519" s="130"/>
      <c r="AC519" s="106"/>
    </row>
    <row r="520">
      <c r="C520" s="79"/>
      <c r="D520" s="79"/>
      <c r="E520" s="79"/>
      <c r="N520" s="79"/>
      <c r="S520" s="79"/>
      <c r="T520" s="79"/>
      <c r="W520" s="79"/>
      <c r="X520" s="79"/>
      <c r="AA520" s="130"/>
      <c r="AC520" s="106"/>
    </row>
    <row r="521">
      <c r="C521" s="79"/>
      <c r="D521" s="79"/>
      <c r="E521" s="79"/>
      <c r="N521" s="79"/>
      <c r="S521" s="79"/>
      <c r="T521" s="79"/>
      <c r="W521" s="79"/>
      <c r="X521" s="79"/>
      <c r="AA521" s="130"/>
      <c r="AC521" s="106"/>
    </row>
    <row r="522">
      <c r="C522" s="79"/>
      <c r="D522" s="79"/>
      <c r="E522" s="79"/>
      <c r="N522" s="79"/>
      <c r="S522" s="79"/>
      <c r="T522" s="79"/>
      <c r="W522" s="79"/>
      <c r="X522" s="79"/>
      <c r="AA522" s="130"/>
      <c r="AC522" s="106"/>
    </row>
    <row r="523">
      <c r="C523" s="79"/>
      <c r="D523" s="79"/>
      <c r="E523" s="79"/>
      <c r="N523" s="79"/>
      <c r="S523" s="79"/>
      <c r="T523" s="79"/>
      <c r="W523" s="79"/>
      <c r="X523" s="79"/>
      <c r="AA523" s="130"/>
      <c r="AC523" s="106"/>
    </row>
    <row r="524">
      <c r="C524" s="79"/>
      <c r="D524" s="79"/>
      <c r="E524" s="79"/>
      <c r="N524" s="79"/>
      <c r="S524" s="79"/>
      <c r="T524" s="79"/>
      <c r="W524" s="79"/>
      <c r="X524" s="79"/>
      <c r="AA524" s="130"/>
      <c r="AC524" s="106"/>
    </row>
    <row r="525">
      <c r="C525" s="79"/>
      <c r="D525" s="79"/>
      <c r="E525" s="79"/>
      <c r="N525" s="79"/>
      <c r="S525" s="79"/>
      <c r="T525" s="79"/>
      <c r="W525" s="79"/>
      <c r="X525" s="79"/>
      <c r="AA525" s="130"/>
      <c r="AC525" s="106"/>
    </row>
    <row r="526">
      <c r="C526" s="79"/>
      <c r="D526" s="79"/>
      <c r="E526" s="79"/>
      <c r="N526" s="79"/>
      <c r="S526" s="79"/>
      <c r="T526" s="79"/>
      <c r="W526" s="79"/>
      <c r="X526" s="79"/>
      <c r="AA526" s="130"/>
      <c r="AC526" s="106"/>
    </row>
    <row r="527">
      <c r="C527" s="79"/>
      <c r="D527" s="79"/>
      <c r="E527" s="79"/>
      <c r="N527" s="79"/>
      <c r="S527" s="79"/>
      <c r="T527" s="79"/>
      <c r="W527" s="79"/>
      <c r="X527" s="79"/>
      <c r="AA527" s="130"/>
      <c r="AC527" s="106"/>
    </row>
    <row r="528">
      <c r="C528" s="79"/>
      <c r="D528" s="79"/>
      <c r="E528" s="79"/>
      <c r="N528" s="79"/>
      <c r="S528" s="79"/>
      <c r="T528" s="79"/>
      <c r="W528" s="79"/>
      <c r="X528" s="79"/>
      <c r="AA528" s="130"/>
      <c r="AC528" s="106"/>
    </row>
    <row r="529">
      <c r="C529" s="79"/>
      <c r="D529" s="79"/>
      <c r="E529" s="79"/>
      <c r="N529" s="79"/>
      <c r="S529" s="79"/>
      <c r="T529" s="79"/>
      <c r="W529" s="79"/>
      <c r="X529" s="79"/>
      <c r="AA529" s="130"/>
      <c r="AC529" s="106"/>
    </row>
    <row r="530">
      <c r="C530" s="79"/>
      <c r="D530" s="79"/>
      <c r="E530" s="79"/>
      <c r="N530" s="79"/>
      <c r="S530" s="79"/>
      <c r="T530" s="79"/>
      <c r="W530" s="79"/>
      <c r="X530" s="79"/>
      <c r="AA530" s="130"/>
      <c r="AC530" s="106"/>
    </row>
    <row r="531">
      <c r="C531" s="79"/>
      <c r="D531" s="79"/>
      <c r="E531" s="79"/>
      <c r="N531" s="79"/>
      <c r="S531" s="79"/>
      <c r="T531" s="79"/>
      <c r="W531" s="79"/>
      <c r="X531" s="79"/>
      <c r="AA531" s="130"/>
      <c r="AC531" s="106"/>
    </row>
    <row r="532">
      <c r="C532" s="79"/>
      <c r="D532" s="79"/>
      <c r="E532" s="79"/>
      <c r="N532" s="79"/>
      <c r="S532" s="79"/>
      <c r="T532" s="79"/>
      <c r="W532" s="79"/>
      <c r="X532" s="79"/>
      <c r="AA532" s="130"/>
      <c r="AC532" s="106"/>
    </row>
    <row r="533">
      <c r="C533" s="79"/>
      <c r="D533" s="79"/>
      <c r="E533" s="79"/>
      <c r="N533" s="79"/>
      <c r="S533" s="79"/>
      <c r="T533" s="79"/>
      <c r="W533" s="79"/>
      <c r="X533" s="79"/>
      <c r="AA533" s="130"/>
      <c r="AC533" s="106"/>
    </row>
    <row r="534">
      <c r="C534" s="79"/>
      <c r="D534" s="79"/>
      <c r="E534" s="79"/>
      <c r="N534" s="79"/>
      <c r="S534" s="79"/>
      <c r="T534" s="79"/>
      <c r="W534" s="79"/>
      <c r="X534" s="79"/>
      <c r="AA534" s="130"/>
      <c r="AC534" s="106"/>
    </row>
    <row r="535">
      <c r="C535" s="79"/>
      <c r="D535" s="79"/>
      <c r="E535" s="79"/>
      <c r="N535" s="79"/>
      <c r="S535" s="79"/>
      <c r="T535" s="79"/>
      <c r="W535" s="79"/>
      <c r="X535" s="79"/>
      <c r="AA535" s="130"/>
      <c r="AC535" s="106"/>
    </row>
    <row r="536">
      <c r="C536" s="79"/>
      <c r="D536" s="79"/>
      <c r="E536" s="79"/>
      <c r="N536" s="79"/>
      <c r="S536" s="79"/>
      <c r="T536" s="79"/>
      <c r="W536" s="79"/>
      <c r="X536" s="79"/>
      <c r="AA536" s="130"/>
      <c r="AC536" s="106"/>
    </row>
    <row r="537">
      <c r="C537" s="79"/>
      <c r="D537" s="79"/>
      <c r="E537" s="79"/>
      <c r="N537" s="79"/>
      <c r="S537" s="79"/>
      <c r="T537" s="79"/>
      <c r="W537" s="79"/>
      <c r="X537" s="79"/>
      <c r="AA537" s="130"/>
      <c r="AC537" s="106"/>
    </row>
    <row r="538">
      <c r="C538" s="79"/>
      <c r="D538" s="79"/>
      <c r="E538" s="79"/>
      <c r="N538" s="79"/>
      <c r="S538" s="79"/>
      <c r="T538" s="79"/>
      <c r="W538" s="79"/>
      <c r="X538" s="79"/>
      <c r="AA538" s="130"/>
      <c r="AC538" s="106"/>
    </row>
    <row r="539">
      <c r="C539" s="79"/>
      <c r="D539" s="79"/>
      <c r="E539" s="79"/>
      <c r="N539" s="79"/>
      <c r="S539" s="79"/>
      <c r="T539" s="79"/>
      <c r="W539" s="79"/>
      <c r="X539" s="79"/>
      <c r="AA539" s="130"/>
      <c r="AC539" s="106"/>
    </row>
    <row r="540">
      <c r="C540" s="79"/>
      <c r="D540" s="79"/>
      <c r="E540" s="79"/>
      <c r="N540" s="79"/>
      <c r="S540" s="79"/>
      <c r="T540" s="79"/>
      <c r="W540" s="79"/>
      <c r="X540" s="79"/>
      <c r="AA540" s="130"/>
      <c r="AC540" s="106"/>
    </row>
    <row r="541">
      <c r="C541" s="79"/>
      <c r="D541" s="79"/>
      <c r="E541" s="79"/>
      <c r="N541" s="79"/>
      <c r="S541" s="79"/>
      <c r="T541" s="79"/>
      <c r="W541" s="79"/>
      <c r="X541" s="79"/>
      <c r="AA541" s="130"/>
      <c r="AC541" s="106"/>
    </row>
    <row r="542">
      <c r="C542" s="79"/>
      <c r="D542" s="79"/>
      <c r="E542" s="79"/>
      <c r="N542" s="79"/>
      <c r="S542" s="79"/>
      <c r="T542" s="79"/>
      <c r="W542" s="79"/>
      <c r="X542" s="79"/>
      <c r="AA542" s="130"/>
      <c r="AC542" s="106"/>
    </row>
    <row r="543">
      <c r="C543" s="79"/>
      <c r="D543" s="79"/>
      <c r="E543" s="79"/>
      <c r="N543" s="79"/>
      <c r="S543" s="79"/>
      <c r="T543" s="79"/>
      <c r="W543" s="79"/>
      <c r="X543" s="79"/>
      <c r="AA543" s="130"/>
      <c r="AC543" s="106"/>
    </row>
    <row r="544">
      <c r="C544" s="79"/>
      <c r="D544" s="79"/>
      <c r="E544" s="79"/>
      <c r="N544" s="79"/>
      <c r="S544" s="79"/>
      <c r="T544" s="79"/>
      <c r="W544" s="79"/>
      <c r="X544" s="79"/>
      <c r="AA544" s="130"/>
      <c r="AC544" s="106"/>
    </row>
    <row r="545">
      <c r="C545" s="79"/>
      <c r="D545" s="79"/>
      <c r="E545" s="79"/>
      <c r="N545" s="79"/>
      <c r="S545" s="79"/>
      <c r="T545" s="79"/>
      <c r="W545" s="79"/>
      <c r="X545" s="79"/>
      <c r="AA545" s="130"/>
      <c r="AC545" s="106"/>
    </row>
    <row r="546">
      <c r="C546" s="79"/>
      <c r="D546" s="79"/>
      <c r="E546" s="79"/>
      <c r="N546" s="79"/>
      <c r="S546" s="79"/>
      <c r="T546" s="79"/>
      <c r="W546" s="79"/>
      <c r="X546" s="79"/>
      <c r="AA546" s="130"/>
      <c r="AC546" s="106"/>
    </row>
    <row r="547">
      <c r="C547" s="79"/>
      <c r="D547" s="79"/>
      <c r="E547" s="79"/>
      <c r="N547" s="79"/>
      <c r="S547" s="79"/>
      <c r="T547" s="79"/>
      <c r="W547" s="79"/>
      <c r="X547" s="79"/>
      <c r="AA547" s="130"/>
      <c r="AC547" s="106"/>
    </row>
    <row r="548">
      <c r="C548" s="79"/>
      <c r="D548" s="79"/>
      <c r="E548" s="79"/>
      <c r="N548" s="79"/>
      <c r="S548" s="79"/>
      <c r="T548" s="79"/>
      <c r="W548" s="79"/>
      <c r="X548" s="79"/>
      <c r="AA548" s="130"/>
      <c r="AC548" s="106"/>
    </row>
    <row r="549">
      <c r="C549" s="79"/>
      <c r="D549" s="79"/>
      <c r="E549" s="79"/>
      <c r="N549" s="79"/>
      <c r="S549" s="79"/>
      <c r="T549" s="79"/>
      <c r="W549" s="79"/>
      <c r="X549" s="79"/>
      <c r="AA549" s="130"/>
      <c r="AC549" s="106"/>
    </row>
    <row r="550">
      <c r="C550" s="79"/>
      <c r="D550" s="79"/>
      <c r="E550" s="79"/>
      <c r="N550" s="79"/>
      <c r="S550" s="79"/>
      <c r="T550" s="79"/>
      <c r="W550" s="79"/>
      <c r="X550" s="79"/>
      <c r="AA550" s="130"/>
      <c r="AC550" s="106"/>
    </row>
    <row r="551">
      <c r="C551" s="79"/>
      <c r="D551" s="79"/>
      <c r="E551" s="79"/>
      <c r="N551" s="79"/>
      <c r="S551" s="79"/>
      <c r="T551" s="79"/>
      <c r="W551" s="79"/>
      <c r="X551" s="79"/>
      <c r="AA551" s="130"/>
      <c r="AC551" s="106"/>
    </row>
    <row r="552">
      <c r="C552" s="79"/>
      <c r="D552" s="79"/>
      <c r="E552" s="79"/>
      <c r="N552" s="79"/>
      <c r="S552" s="79"/>
      <c r="T552" s="79"/>
      <c r="W552" s="79"/>
      <c r="X552" s="79"/>
      <c r="AA552" s="130"/>
      <c r="AC552" s="106"/>
    </row>
    <row r="553">
      <c r="C553" s="79"/>
      <c r="D553" s="79"/>
      <c r="E553" s="79"/>
      <c r="N553" s="79"/>
      <c r="S553" s="79"/>
      <c r="T553" s="79"/>
      <c r="W553" s="79"/>
      <c r="X553" s="79"/>
      <c r="AA553" s="130"/>
      <c r="AC553" s="106"/>
    </row>
    <row r="554">
      <c r="C554" s="79"/>
      <c r="D554" s="79"/>
      <c r="E554" s="79"/>
      <c r="N554" s="79"/>
      <c r="S554" s="79"/>
      <c r="T554" s="79"/>
      <c r="W554" s="79"/>
      <c r="X554" s="79"/>
      <c r="AA554" s="130"/>
      <c r="AC554" s="106"/>
    </row>
    <row r="555">
      <c r="C555" s="79"/>
      <c r="D555" s="79"/>
      <c r="E555" s="79"/>
      <c r="N555" s="79"/>
      <c r="S555" s="79"/>
      <c r="T555" s="79"/>
      <c r="W555" s="79"/>
      <c r="X555" s="79"/>
      <c r="AA555" s="130"/>
      <c r="AC555" s="106"/>
    </row>
    <row r="556">
      <c r="C556" s="79"/>
      <c r="D556" s="79"/>
      <c r="E556" s="79"/>
      <c r="N556" s="79"/>
      <c r="S556" s="79"/>
      <c r="T556" s="79"/>
      <c r="W556" s="79"/>
      <c r="X556" s="79"/>
      <c r="AA556" s="130"/>
      <c r="AC556" s="106"/>
    </row>
    <row r="557">
      <c r="C557" s="79"/>
      <c r="D557" s="79"/>
      <c r="E557" s="79"/>
      <c r="N557" s="79"/>
      <c r="S557" s="79"/>
      <c r="T557" s="79"/>
      <c r="W557" s="79"/>
      <c r="X557" s="79"/>
      <c r="AA557" s="130"/>
      <c r="AC557" s="106"/>
    </row>
    <row r="558">
      <c r="C558" s="79"/>
      <c r="D558" s="79"/>
      <c r="E558" s="79"/>
      <c r="N558" s="79"/>
      <c r="S558" s="79"/>
      <c r="T558" s="79"/>
      <c r="W558" s="79"/>
      <c r="X558" s="79"/>
      <c r="AA558" s="130"/>
      <c r="AC558" s="106"/>
    </row>
    <row r="559">
      <c r="C559" s="79"/>
      <c r="D559" s="79"/>
      <c r="E559" s="79"/>
      <c r="N559" s="79"/>
      <c r="S559" s="79"/>
      <c r="T559" s="79"/>
      <c r="W559" s="79"/>
      <c r="X559" s="79"/>
      <c r="AA559" s="130"/>
      <c r="AC559" s="106"/>
    </row>
    <row r="560">
      <c r="C560" s="79"/>
      <c r="D560" s="79"/>
      <c r="E560" s="79"/>
      <c r="N560" s="79"/>
      <c r="S560" s="79"/>
      <c r="T560" s="79"/>
      <c r="W560" s="79"/>
      <c r="X560" s="79"/>
      <c r="AA560" s="130"/>
      <c r="AC560" s="106"/>
    </row>
    <row r="561">
      <c r="C561" s="79"/>
      <c r="D561" s="79"/>
      <c r="E561" s="79"/>
      <c r="N561" s="79"/>
      <c r="S561" s="79"/>
      <c r="T561" s="79"/>
      <c r="W561" s="79"/>
      <c r="X561" s="79"/>
      <c r="AA561" s="130"/>
      <c r="AC561" s="106"/>
    </row>
    <row r="562">
      <c r="C562" s="79"/>
      <c r="D562" s="79"/>
      <c r="E562" s="79"/>
      <c r="N562" s="79"/>
      <c r="S562" s="79"/>
      <c r="T562" s="79"/>
      <c r="W562" s="79"/>
      <c r="X562" s="79"/>
      <c r="AA562" s="130"/>
      <c r="AC562" s="106"/>
    </row>
    <row r="563">
      <c r="C563" s="79"/>
      <c r="D563" s="79"/>
      <c r="E563" s="79"/>
      <c r="N563" s="79"/>
      <c r="S563" s="79"/>
      <c r="T563" s="79"/>
      <c r="W563" s="79"/>
      <c r="X563" s="79"/>
      <c r="AA563" s="130"/>
      <c r="AC563" s="106"/>
    </row>
    <row r="564">
      <c r="C564" s="79"/>
      <c r="D564" s="79"/>
      <c r="E564" s="79"/>
      <c r="N564" s="79"/>
      <c r="S564" s="79"/>
      <c r="T564" s="79"/>
      <c r="W564" s="79"/>
      <c r="X564" s="79"/>
      <c r="AA564" s="130"/>
      <c r="AC564" s="106"/>
    </row>
    <row r="565">
      <c r="C565" s="79"/>
      <c r="D565" s="79"/>
      <c r="E565" s="79"/>
      <c r="N565" s="79"/>
      <c r="S565" s="79"/>
      <c r="T565" s="79"/>
      <c r="W565" s="79"/>
      <c r="X565" s="79"/>
      <c r="AA565" s="130"/>
      <c r="AC565" s="106"/>
    </row>
    <row r="566">
      <c r="C566" s="79"/>
      <c r="D566" s="79"/>
      <c r="E566" s="79"/>
      <c r="N566" s="79"/>
      <c r="S566" s="79"/>
      <c r="T566" s="79"/>
      <c r="W566" s="79"/>
      <c r="X566" s="79"/>
      <c r="AA566" s="130"/>
      <c r="AC566" s="106"/>
    </row>
    <row r="567">
      <c r="C567" s="79"/>
      <c r="D567" s="79"/>
      <c r="E567" s="79"/>
      <c r="N567" s="79"/>
      <c r="S567" s="79"/>
      <c r="T567" s="79"/>
      <c r="W567" s="79"/>
      <c r="X567" s="79"/>
      <c r="AA567" s="130"/>
      <c r="AC567" s="106"/>
    </row>
    <row r="568">
      <c r="C568" s="79"/>
      <c r="D568" s="79"/>
      <c r="E568" s="79"/>
      <c r="N568" s="79"/>
      <c r="S568" s="79"/>
      <c r="T568" s="79"/>
      <c r="W568" s="79"/>
      <c r="X568" s="79"/>
      <c r="AA568" s="130"/>
      <c r="AC568" s="106"/>
    </row>
    <row r="569">
      <c r="C569" s="79"/>
      <c r="D569" s="79"/>
      <c r="E569" s="79"/>
      <c r="N569" s="79"/>
      <c r="S569" s="79"/>
      <c r="T569" s="79"/>
      <c r="W569" s="79"/>
      <c r="X569" s="79"/>
      <c r="AA569" s="130"/>
      <c r="AC569" s="106"/>
    </row>
    <row r="570">
      <c r="C570" s="79"/>
      <c r="D570" s="79"/>
      <c r="E570" s="79"/>
      <c r="N570" s="79"/>
      <c r="S570" s="79"/>
      <c r="T570" s="79"/>
      <c r="W570" s="79"/>
      <c r="X570" s="79"/>
      <c r="AA570" s="130"/>
      <c r="AC570" s="106"/>
    </row>
    <row r="571">
      <c r="C571" s="79"/>
      <c r="D571" s="79"/>
      <c r="E571" s="79"/>
      <c r="N571" s="79"/>
      <c r="S571" s="79"/>
      <c r="T571" s="79"/>
      <c r="W571" s="79"/>
      <c r="X571" s="79"/>
      <c r="AA571" s="130"/>
      <c r="AC571" s="106"/>
    </row>
    <row r="572">
      <c r="C572" s="79"/>
      <c r="D572" s="79"/>
      <c r="E572" s="79"/>
      <c r="N572" s="79"/>
      <c r="S572" s="79"/>
      <c r="T572" s="79"/>
      <c r="W572" s="79"/>
      <c r="X572" s="79"/>
      <c r="AA572" s="130"/>
      <c r="AC572" s="106"/>
    </row>
    <row r="573">
      <c r="C573" s="79"/>
      <c r="D573" s="79"/>
      <c r="E573" s="79"/>
      <c r="N573" s="79"/>
      <c r="S573" s="79"/>
      <c r="T573" s="79"/>
      <c r="W573" s="79"/>
      <c r="X573" s="79"/>
      <c r="AA573" s="130"/>
      <c r="AC573" s="106"/>
    </row>
    <row r="574">
      <c r="C574" s="79"/>
      <c r="D574" s="79"/>
      <c r="E574" s="79"/>
      <c r="N574" s="79"/>
      <c r="S574" s="79"/>
      <c r="T574" s="79"/>
      <c r="W574" s="79"/>
      <c r="X574" s="79"/>
      <c r="AA574" s="130"/>
      <c r="AC574" s="106"/>
    </row>
    <row r="575">
      <c r="C575" s="79"/>
      <c r="D575" s="79"/>
      <c r="E575" s="79"/>
      <c r="N575" s="79"/>
      <c r="S575" s="79"/>
      <c r="T575" s="79"/>
      <c r="W575" s="79"/>
      <c r="X575" s="79"/>
      <c r="AA575" s="130"/>
      <c r="AC575" s="106"/>
    </row>
    <row r="576">
      <c r="C576" s="79"/>
      <c r="D576" s="79"/>
      <c r="E576" s="79"/>
      <c r="N576" s="79"/>
      <c r="S576" s="79"/>
      <c r="T576" s="79"/>
      <c r="W576" s="79"/>
      <c r="X576" s="79"/>
      <c r="AA576" s="130"/>
      <c r="AC576" s="106"/>
    </row>
    <row r="577">
      <c r="C577" s="79"/>
      <c r="D577" s="79"/>
      <c r="E577" s="79"/>
      <c r="N577" s="79"/>
      <c r="S577" s="79"/>
      <c r="T577" s="79"/>
      <c r="W577" s="79"/>
      <c r="X577" s="79"/>
      <c r="AA577" s="130"/>
      <c r="AC577" s="106"/>
    </row>
    <row r="578">
      <c r="C578" s="79"/>
      <c r="D578" s="79"/>
      <c r="E578" s="79"/>
      <c r="N578" s="79"/>
      <c r="S578" s="79"/>
      <c r="T578" s="79"/>
      <c r="W578" s="79"/>
      <c r="X578" s="79"/>
      <c r="AA578" s="130"/>
      <c r="AC578" s="106"/>
    </row>
    <row r="579">
      <c r="C579" s="79"/>
      <c r="D579" s="79"/>
      <c r="E579" s="79"/>
      <c r="N579" s="79"/>
      <c r="S579" s="79"/>
      <c r="T579" s="79"/>
      <c r="W579" s="79"/>
      <c r="X579" s="79"/>
      <c r="AA579" s="130"/>
      <c r="AC579" s="106"/>
    </row>
    <row r="580">
      <c r="C580" s="79"/>
      <c r="D580" s="79"/>
      <c r="E580" s="79"/>
      <c r="N580" s="79"/>
      <c r="S580" s="79"/>
      <c r="T580" s="79"/>
      <c r="W580" s="79"/>
      <c r="X580" s="79"/>
      <c r="AA580" s="130"/>
      <c r="AC580" s="106"/>
    </row>
    <row r="581">
      <c r="C581" s="79"/>
      <c r="D581" s="79"/>
      <c r="E581" s="79"/>
      <c r="N581" s="79"/>
      <c r="S581" s="79"/>
      <c r="T581" s="79"/>
      <c r="W581" s="79"/>
      <c r="X581" s="79"/>
      <c r="AA581" s="130"/>
      <c r="AC581" s="106"/>
    </row>
    <row r="582">
      <c r="C582" s="79"/>
      <c r="D582" s="79"/>
      <c r="E582" s="79"/>
      <c r="N582" s="79"/>
      <c r="S582" s="79"/>
      <c r="T582" s="79"/>
      <c r="W582" s="79"/>
      <c r="X582" s="79"/>
      <c r="AA582" s="130"/>
      <c r="AC582" s="106"/>
    </row>
    <row r="583">
      <c r="C583" s="79"/>
      <c r="D583" s="79"/>
      <c r="E583" s="79"/>
      <c r="N583" s="79"/>
      <c r="S583" s="79"/>
      <c r="T583" s="79"/>
      <c r="W583" s="79"/>
      <c r="X583" s="79"/>
      <c r="AA583" s="130"/>
      <c r="AC583" s="106"/>
    </row>
    <row r="584">
      <c r="C584" s="79"/>
      <c r="D584" s="79"/>
      <c r="E584" s="79"/>
      <c r="N584" s="79"/>
      <c r="S584" s="79"/>
      <c r="T584" s="79"/>
      <c r="W584" s="79"/>
      <c r="X584" s="79"/>
      <c r="AA584" s="130"/>
      <c r="AC584" s="106"/>
    </row>
    <row r="585">
      <c r="C585" s="79"/>
      <c r="D585" s="79"/>
      <c r="E585" s="79"/>
      <c r="N585" s="79"/>
      <c r="S585" s="79"/>
      <c r="T585" s="79"/>
      <c r="W585" s="79"/>
      <c r="X585" s="79"/>
      <c r="AA585" s="130"/>
      <c r="AC585" s="106"/>
    </row>
    <row r="586">
      <c r="C586" s="79"/>
      <c r="D586" s="79"/>
      <c r="E586" s="79"/>
      <c r="N586" s="79"/>
      <c r="S586" s="79"/>
      <c r="T586" s="79"/>
      <c r="W586" s="79"/>
      <c r="X586" s="79"/>
      <c r="AA586" s="130"/>
      <c r="AC586" s="106"/>
    </row>
    <row r="587">
      <c r="C587" s="79"/>
      <c r="D587" s="79"/>
      <c r="E587" s="79"/>
      <c r="N587" s="79"/>
      <c r="S587" s="79"/>
      <c r="T587" s="79"/>
      <c r="W587" s="79"/>
      <c r="X587" s="79"/>
      <c r="AA587" s="130"/>
      <c r="AC587" s="106"/>
    </row>
    <row r="588">
      <c r="C588" s="79"/>
      <c r="D588" s="79"/>
      <c r="E588" s="79"/>
      <c r="N588" s="79"/>
      <c r="S588" s="79"/>
      <c r="T588" s="79"/>
      <c r="W588" s="79"/>
      <c r="X588" s="79"/>
      <c r="AA588" s="130"/>
      <c r="AC588" s="106"/>
    </row>
    <row r="589">
      <c r="C589" s="79"/>
      <c r="D589" s="79"/>
      <c r="E589" s="79"/>
      <c r="N589" s="79"/>
      <c r="S589" s="79"/>
      <c r="T589" s="79"/>
      <c r="W589" s="79"/>
      <c r="X589" s="79"/>
      <c r="AA589" s="130"/>
      <c r="AC589" s="106"/>
    </row>
    <row r="590">
      <c r="C590" s="79"/>
      <c r="D590" s="79"/>
      <c r="E590" s="79"/>
      <c r="N590" s="79"/>
      <c r="S590" s="79"/>
      <c r="T590" s="79"/>
      <c r="W590" s="79"/>
      <c r="X590" s="79"/>
      <c r="AA590" s="130"/>
      <c r="AC590" s="106"/>
    </row>
    <row r="591">
      <c r="C591" s="79"/>
      <c r="D591" s="79"/>
      <c r="E591" s="79"/>
      <c r="N591" s="79"/>
      <c r="S591" s="79"/>
      <c r="T591" s="79"/>
      <c r="W591" s="79"/>
      <c r="X591" s="79"/>
      <c r="AA591" s="130"/>
      <c r="AC591" s="106"/>
    </row>
    <row r="592">
      <c r="C592" s="79"/>
      <c r="D592" s="79"/>
      <c r="E592" s="79"/>
      <c r="N592" s="79"/>
      <c r="S592" s="79"/>
      <c r="T592" s="79"/>
      <c r="W592" s="79"/>
      <c r="X592" s="79"/>
      <c r="AA592" s="130"/>
      <c r="AC592" s="106"/>
    </row>
    <row r="593">
      <c r="C593" s="79"/>
      <c r="D593" s="79"/>
      <c r="E593" s="79"/>
      <c r="N593" s="79"/>
      <c r="S593" s="79"/>
      <c r="T593" s="79"/>
      <c r="W593" s="79"/>
      <c r="X593" s="79"/>
      <c r="AA593" s="130"/>
      <c r="AC593" s="106"/>
    </row>
    <row r="594">
      <c r="C594" s="79"/>
      <c r="D594" s="79"/>
      <c r="E594" s="79"/>
      <c r="N594" s="79"/>
      <c r="S594" s="79"/>
      <c r="T594" s="79"/>
      <c r="W594" s="79"/>
      <c r="X594" s="79"/>
      <c r="AA594" s="130"/>
      <c r="AC594" s="106"/>
    </row>
    <row r="595">
      <c r="C595" s="79"/>
      <c r="D595" s="79"/>
      <c r="E595" s="79"/>
      <c r="N595" s="79"/>
      <c r="S595" s="79"/>
      <c r="T595" s="79"/>
      <c r="W595" s="79"/>
      <c r="X595" s="79"/>
      <c r="AA595" s="130"/>
      <c r="AC595" s="106"/>
    </row>
    <row r="596">
      <c r="C596" s="79"/>
      <c r="D596" s="79"/>
      <c r="E596" s="79"/>
      <c r="N596" s="79"/>
      <c r="S596" s="79"/>
      <c r="T596" s="79"/>
      <c r="W596" s="79"/>
      <c r="X596" s="79"/>
      <c r="AA596" s="130"/>
      <c r="AC596" s="106"/>
    </row>
    <row r="597">
      <c r="C597" s="79"/>
      <c r="D597" s="79"/>
      <c r="E597" s="79"/>
      <c r="N597" s="79"/>
      <c r="S597" s="79"/>
      <c r="T597" s="79"/>
      <c r="W597" s="79"/>
      <c r="X597" s="79"/>
      <c r="AA597" s="130"/>
      <c r="AC597" s="106"/>
    </row>
    <row r="598">
      <c r="C598" s="79"/>
      <c r="D598" s="79"/>
      <c r="E598" s="79"/>
      <c r="N598" s="79"/>
      <c r="S598" s="79"/>
      <c r="T598" s="79"/>
      <c r="W598" s="79"/>
      <c r="X598" s="79"/>
      <c r="AA598" s="130"/>
      <c r="AC598" s="106"/>
    </row>
    <row r="599">
      <c r="C599" s="79"/>
      <c r="D599" s="79"/>
      <c r="E599" s="79"/>
      <c r="N599" s="79"/>
      <c r="S599" s="79"/>
      <c r="T599" s="79"/>
      <c r="W599" s="79"/>
      <c r="X599" s="79"/>
      <c r="AA599" s="130"/>
      <c r="AC599" s="106"/>
    </row>
    <row r="600">
      <c r="C600" s="79"/>
      <c r="D600" s="79"/>
      <c r="E600" s="79"/>
      <c r="N600" s="79"/>
      <c r="S600" s="79"/>
      <c r="T600" s="79"/>
      <c r="W600" s="79"/>
      <c r="X600" s="79"/>
      <c r="AA600" s="130"/>
      <c r="AC600" s="106"/>
    </row>
    <row r="601">
      <c r="C601" s="79"/>
      <c r="D601" s="79"/>
      <c r="E601" s="79"/>
      <c r="N601" s="79"/>
      <c r="S601" s="79"/>
      <c r="T601" s="79"/>
      <c r="W601" s="79"/>
      <c r="X601" s="79"/>
      <c r="AA601" s="130"/>
      <c r="AC601" s="106"/>
    </row>
    <row r="602">
      <c r="C602" s="79"/>
      <c r="D602" s="79"/>
      <c r="E602" s="79"/>
      <c r="N602" s="79"/>
      <c r="S602" s="79"/>
      <c r="T602" s="79"/>
      <c r="W602" s="79"/>
      <c r="X602" s="79"/>
      <c r="AA602" s="130"/>
      <c r="AC602" s="106"/>
    </row>
    <row r="603">
      <c r="C603" s="79"/>
      <c r="D603" s="79"/>
      <c r="E603" s="79"/>
      <c r="N603" s="79"/>
      <c r="S603" s="79"/>
      <c r="T603" s="79"/>
      <c r="W603" s="79"/>
      <c r="X603" s="79"/>
      <c r="AA603" s="130"/>
      <c r="AC603" s="106"/>
    </row>
    <row r="604">
      <c r="C604" s="79"/>
      <c r="D604" s="79"/>
      <c r="E604" s="79"/>
      <c r="N604" s="79"/>
      <c r="S604" s="79"/>
      <c r="T604" s="79"/>
      <c r="W604" s="79"/>
      <c r="X604" s="79"/>
      <c r="AA604" s="130"/>
      <c r="AC604" s="106"/>
    </row>
    <row r="605">
      <c r="C605" s="79"/>
      <c r="D605" s="79"/>
      <c r="E605" s="79"/>
      <c r="N605" s="79"/>
      <c r="S605" s="79"/>
      <c r="T605" s="79"/>
      <c r="W605" s="79"/>
      <c r="X605" s="79"/>
      <c r="AA605" s="130"/>
      <c r="AC605" s="106"/>
    </row>
    <row r="606">
      <c r="C606" s="79"/>
      <c r="D606" s="79"/>
      <c r="E606" s="79"/>
      <c r="N606" s="79"/>
      <c r="S606" s="79"/>
      <c r="T606" s="79"/>
      <c r="W606" s="79"/>
      <c r="X606" s="79"/>
      <c r="AA606" s="130"/>
      <c r="AC606" s="106"/>
    </row>
    <row r="607">
      <c r="C607" s="79"/>
      <c r="D607" s="79"/>
      <c r="E607" s="79"/>
      <c r="N607" s="79"/>
      <c r="S607" s="79"/>
      <c r="T607" s="79"/>
      <c r="W607" s="79"/>
      <c r="X607" s="79"/>
      <c r="AA607" s="130"/>
      <c r="AC607" s="106"/>
    </row>
    <row r="608">
      <c r="C608" s="79"/>
      <c r="D608" s="79"/>
      <c r="E608" s="79"/>
      <c r="N608" s="79"/>
      <c r="S608" s="79"/>
      <c r="T608" s="79"/>
      <c r="W608" s="79"/>
      <c r="X608" s="79"/>
      <c r="AA608" s="130"/>
      <c r="AC608" s="106"/>
    </row>
    <row r="609">
      <c r="C609" s="79"/>
      <c r="D609" s="79"/>
      <c r="E609" s="79"/>
      <c r="N609" s="79"/>
      <c r="S609" s="79"/>
      <c r="T609" s="79"/>
      <c r="W609" s="79"/>
      <c r="X609" s="79"/>
      <c r="AA609" s="130"/>
      <c r="AC609" s="106"/>
    </row>
    <row r="610">
      <c r="C610" s="79"/>
      <c r="D610" s="79"/>
      <c r="E610" s="79"/>
      <c r="N610" s="79"/>
      <c r="S610" s="79"/>
      <c r="T610" s="79"/>
      <c r="W610" s="79"/>
      <c r="X610" s="79"/>
      <c r="AA610" s="130"/>
      <c r="AC610" s="106"/>
    </row>
    <row r="611">
      <c r="C611" s="79"/>
      <c r="D611" s="79"/>
      <c r="E611" s="79"/>
      <c r="N611" s="79"/>
      <c r="S611" s="79"/>
      <c r="T611" s="79"/>
      <c r="W611" s="79"/>
      <c r="X611" s="79"/>
      <c r="AA611" s="130"/>
      <c r="AC611" s="106"/>
    </row>
    <row r="612">
      <c r="C612" s="79"/>
      <c r="D612" s="79"/>
      <c r="E612" s="79"/>
      <c r="N612" s="79"/>
      <c r="S612" s="79"/>
      <c r="T612" s="79"/>
      <c r="W612" s="79"/>
      <c r="X612" s="79"/>
      <c r="AA612" s="130"/>
      <c r="AC612" s="106"/>
    </row>
    <row r="613">
      <c r="C613" s="79"/>
      <c r="D613" s="79"/>
      <c r="E613" s="79"/>
      <c r="N613" s="79"/>
      <c r="S613" s="79"/>
      <c r="T613" s="79"/>
      <c r="W613" s="79"/>
      <c r="X613" s="79"/>
      <c r="AA613" s="130"/>
      <c r="AC613" s="106"/>
    </row>
    <row r="614">
      <c r="C614" s="79"/>
      <c r="D614" s="79"/>
      <c r="E614" s="79"/>
      <c r="N614" s="79"/>
      <c r="S614" s="79"/>
      <c r="T614" s="79"/>
      <c r="W614" s="79"/>
      <c r="X614" s="79"/>
      <c r="AA614" s="130"/>
      <c r="AC614" s="106"/>
    </row>
    <row r="615">
      <c r="C615" s="79"/>
      <c r="D615" s="79"/>
      <c r="E615" s="79"/>
      <c r="N615" s="79"/>
      <c r="S615" s="79"/>
      <c r="T615" s="79"/>
      <c r="W615" s="79"/>
      <c r="X615" s="79"/>
      <c r="AA615" s="130"/>
      <c r="AC615" s="106"/>
    </row>
    <row r="616">
      <c r="C616" s="79"/>
      <c r="D616" s="79"/>
      <c r="E616" s="79"/>
      <c r="N616" s="79"/>
      <c r="S616" s="79"/>
      <c r="T616" s="79"/>
      <c r="W616" s="79"/>
      <c r="X616" s="79"/>
      <c r="AA616" s="130"/>
      <c r="AC616" s="106"/>
    </row>
    <row r="617">
      <c r="C617" s="79"/>
      <c r="D617" s="79"/>
      <c r="E617" s="79"/>
      <c r="N617" s="79"/>
      <c r="S617" s="79"/>
      <c r="T617" s="79"/>
      <c r="W617" s="79"/>
      <c r="X617" s="79"/>
      <c r="AA617" s="130"/>
      <c r="AC617" s="106"/>
    </row>
    <row r="618">
      <c r="C618" s="79"/>
      <c r="D618" s="79"/>
      <c r="E618" s="79"/>
      <c r="N618" s="79"/>
      <c r="S618" s="79"/>
      <c r="T618" s="79"/>
      <c r="W618" s="79"/>
      <c r="X618" s="79"/>
      <c r="AA618" s="130"/>
      <c r="AC618" s="106"/>
    </row>
    <row r="619">
      <c r="C619" s="79"/>
      <c r="D619" s="79"/>
      <c r="E619" s="79"/>
      <c r="N619" s="79"/>
      <c r="S619" s="79"/>
      <c r="T619" s="79"/>
      <c r="W619" s="79"/>
      <c r="X619" s="79"/>
      <c r="AA619" s="130"/>
      <c r="AC619" s="106"/>
    </row>
    <row r="620">
      <c r="C620" s="79"/>
      <c r="D620" s="79"/>
      <c r="E620" s="79"/>
      <c r="N620" s="79"/>
      <c r="S620" s="79"/>
      <c r="T620" s="79"/>
      <c r="W620" s="79"/>
      <c r="X620" s="79"/>
      <c r="AA620" s="130"/>
      <c r="AC620" s="106"/>
    </row>
    <row r="621">
      <c r="C621" s="79"/>
      <c r="D621" s="79"/>
      <c r="E621" s="79"/>
      <c r="N621" s="79"/>
      <c r="S621" s="79"/>
      <c r="T621" s="79"/>
      <c r="W621" s="79"/>
      <c r="X621" s="79"/>
      <c r="AA621" s="130"/>
      <c r="AC621" s="106"/>
    </row>
    <row r="622">
      <c r="C622" s="79"/>
      <c r="D622" s="79"/>
      <c r="E622" s="79"/>
      <c r="N622" s="79"/>
      <c r="S622" s="79"/>
      <c r="T622" s="79"/>
      <c r="W622" s="79"/>
      <c r="X622" s="79"/>
      <c r="AA622" s="130"/>
      <c r="AC622" s="106"/>
    </row>
    <row r="623">
      <c r="C623" s="79"/>
      <c r="D623" s="79"/>
      <c r="E623" s="79"/>
      <c r="N623" s="79"/>
      <c r="S623" s="79"/>
      <c r="T623" s="79"/>
      <c r="W623" s="79"/>
      <c r="X623" s="79"/>
      <c r="AA623" s="130"/>
      <c r="AC623" s="106"/>
    </row>
    <row r="624">
      <c r="C624" s="79"/>
      <c r="D624" s="79"/>
      <c r="E624" s="79"/>
      <c r="N624" s="79"/>
      <c r="S624" s="79"/>
      <c r="T624" s="79"/>
      <c r="W624" s="79"/>
      <c r="X624" s="79"/>
      <c r="AA624" s="130"/>
      <c r="AC624" s="106"/>
    </row>
    <row r="625">
      <c r="C625" s="79"/>
      <c r="D625" s="79"/>
      <c r="E625" s="79"/>
      <c r="N625" s="79"/>
      <c r="S625" s="79"/>
      <c r="T625" s="79"/>
      <c r="W625" s="79"/>
      <c r="X625" s="79"/>
      <c r="AA625" s="130"/>
      <c r="AC625" s="106"/>
    </row>
    <row r="626">
      <c r="C626" s="79"/>
      <c r="D626" s="79"/>
      <c r="E626" s="79"/>
      <c r="N626" s="79"/>
      <c r="S626" s="79"/>
      <c r="T626" s="79"/>
      <c r="W626" s="79"/>
      <c r="X626" s="79"/>
      <c r="AA626" s="130"/>
      <c r="AC626" s="106"/>
    </row>
    <row r="627">
      <c r="C627" s="79"/>
      <c r="D627" s="79"/>
      <c r="E627" s="79"/>
      <c r="N627" s="79"/>
      <c r="S627" s="79"/>
      <c r="T627" s="79"/>
      <c r="W627" s="79"/>
      <c r="X627" s="79"/>
      <c r="AA627" s="130"/>
      <c r="AC627" s="106"/>
    </row>
    <row r="628">
      <c r="C628" s="79"/>
      <c r="D628" s="79"/>
      <c r="E628" s="79"/>
      <c r="N628" s="79"/>
      <c r="S628" s="79"/>
      <c r="T628" s="79"/>
      <c r="W628" s="79"/>
      <c r="X628" s="79"/>
      <c r="AA628" s="130"/>
      <c r="AC628" s="106"/>
    </row>
    <row r="629">
      <c r="C629" s="79"/>
      <c r="D629" s="79"/>
      <c r="E629" s="79"/>
      <c r="N629" s="79"/>
      <c r="S629" s="79"/>
      <c r="T629" s="79"/>
      <c r="W629" s="79"/>
      <c r="X629" s="79"/>
      <c r="AA629" s="130"/>
      <c r="AC629" s="106"/>
    </row>
    <row r="630">
      <c r="C630" s="79"/>
      <c r="D630" s="79"/>
      <c r="E630" s="79"/>
      <c r="N630" s="79"/>
      <c r="S630" s="79"/>
      <c r="T630" s="79"/>
      <c r="W630" s="79"/>
      <c r="X630" s="79"/>
      <c r="AA630" s="130"/>
      <c r="AC630" s="106"/>
    </row>
    <row r="631">
      <c r="C631" s="79"/>
      <c r="D631" s="79"/>
      <c r="E631" s="79"/>
      <c r="N631" s="79"/>
      <c r="S631" s="79"/>
      <c r="T631" s="79"/>
      <c r="W631" s="79"/>
      <c r="X631" s="79"/>
      <c r="AA631" s="130"/>
      <c r="AC631" s="106"/>
    </row>
    <row r="632">
      <c r="C632" s="79"/>
      <c r="D632" s="79"/>
      <c r="E632" s="79"/>
      <c r="N632" s="79"/>
      <c r="S632" s="79"/>
      <c r="T632" s="79"/>
      <c r="W632" s="79"/>
      <c r="X632" s="79"/>
      <c r="AA632" s="130"/>
      <c r="AC632" s="106"/>
    </row>
    <row r="633">
      <c r="C633" s="79"/>
      <c r="D633" s="79"/>
      <c r="E633" s="79"/>
      <c r="N633" s="79"/>
      <c r="S633" s="79"/>
      <c r="T633" s="79"/>
      <c r="W633" s="79"/>
      <c r="X633" s="79"/>
      <c r="AA633" s="130"/>
      <c r="AC633" s="106"/>
    </row>
    <row r="634">
      <c r="C634" s="79"/>
      <c r="D634" s="79"/>
      <c r="E634" s="79"/>
      <c r="N634" s="79"/>
      <c r="S634" s="79"/>
      <c r="T634" s="79"/>
      <c r="W634" s="79"/>
      <c r="X634" s="79"/>
      <c r="AA634" s="130"/>
      <c r="AC634" s="106"/>
    </row>
    <row r="635">
      <c r="C635" s="79"/>
      <c r="D635" s="79"/>
      <c r="E635" s="79"/>
      <c r="N635" s="79"/>
      <c r="S635" s="79"/>
      <c r="T635" s="79"/>
      <c r="W635" s="79"/>
      <c r="X635" s="79"/>
      <c r="AA635" s="130"/>
      <c r="AC635" s="106"/>
    </row>
    <row r="636">
      <c r="C636" s="79"/>
      <c r="D636" s="79"/>
      <c r="E636" s="79"/>
      <c r="N636" s="79"/>
      <c r="S636" s="79"/>
      <c r="T636" s="79"/>
      <c r="W636" s="79"/>
      <c r="X636" s="79"/>
      <c r="AA636" s="130"/>
      <c r="AC636" s="106"/>
    </row>
    <row r="637">
      <c r="C637" s="79"/>
      <c r="D637" s="79"/>
      <c r="E637" s="79"/>
      <c r="N637" s="79"/>
      <c r="S637" s="79"/>
      <c r="T637" s="79"/>
      <c r="W637" s="79"/>
      <c r="X637" s="79"/>
      <c r="AA637" s="130"/>
      <c r="AC637" s="106"/>
    </row>
    <row r="638">
      <c r="C638" s="79"/>
      <c r="D638" s="79"/>
      <c r="E638" s="79"/>
      <c r="N638" s="79"/>
      <c r="S638" s="79"/>
      <c r="T638" s="79"/>
      <c r="W638" s="79"/>
      <c r="X638" s="79"/>
      <c r="AA638" s="130"/>
      <c r="AC638" s="106"/>
    </row>
    <row r="639">
      <c r="C639" s="79"/>
      <c r="D639" s="79"/>
      <c r="E639" s="79"/>
      <c r="N639" s="79"/>
      <c r="S639" s="79"/>
      <c r="T639" s="79"/>
      <c r="W639" s="79"/>
      <c r="X639" s="79"/>
      <c r="AA639" s="130"/>
      <c r="AC639" s="106"/>
    </row>
    <row r="640">
      <c r="C640" s="79"/>
      <c r="D640" s="79"/>
      <c r="E640" s="79"/>
      <c r="N640" s="79"/>
      <c r="S640" s="79"/>
      <c r="T640" s="79"/>
      <c r="W640" s="79"/>
      <c r="X640" s="79"/>
      <c r="AA640" s="130"/>
      <c r="AC640" s="106"/>
    </row>
    <row r="641">
      <c r="C641" s="79"/>
      <c r="D641" s="79"/>
      <c r="E641" s="79"/>
      <c r="N641" s="79"/>
      <c r="S641" s="79"/>
      <c r="T641" s="79"/>
      <c r="W641" s="79"/>
      <c r="X641" s="79"/>
      <c r="AA641" s="130"/>
      <c r="AC641" s="106"/>
    </row>
    <row r="642">
      <c r="C642" s="79"/>
      <c r="D642" s="79"/>
      <c r="E642" s="79"/>
      <c r="N642" s="79"/>
      <c r="S642" s="79"/>
      <c r="T642" s="79"/>
      <c r="W642" s="79"/>
      <c r="X642" s="79"/>
      <c r="AA642" s="130"/>
      <c r="AC642" s="106"/>
    </row>
    <row r="643">
      <c r="C643" s="79"/>
      <c r="D643" s="79"/>
      <c r="E643" s="79"/>
      <c r="N643" s="79"/>
      <c r="S643" s="79"/>
      <c r="T643" s="79"/>
      <c r="W643" s="79"/>
      <c r="X643" s="79"/>
      <c r="AA643" s="130"/>
      <c r="AC643" s="106"/>
    </row>
    <row r="644">
      <c r="C644" s="79"/>
      <c r="D644" s="79"/>
      <c r="E644" s="79"/>
      <c r="N644" s="79"/>
      <c r="S644" s="79"/>
      <c r="T644" s="79"/>
      <c r="W644" s="79"/>
      <c r="X644" s="79"/>
      <c r="AA644" s="130"/>
      <c r="AC644" s="106"/>
    </row>
    <row r="645">
      <c r="C645" s="79"/>
      <c r="D645" s="79"/>
      <c r="E645" s="79"/>
      <c r="N645" s="79"/>
      <c r="S645" s="79"/>
      <c r="T645" s="79"/>
      <c r="W645" s="79"/>
      <c r="X645" s="79"/>
      <c r="AA645" s="130"/>
      <c r="AC645" s="106"/>
    </row>
    <row r="646">
      <c r="C646" s="79"/>
      <c r="D646" s="79"/>
      <c r="E646" s="79"/>
      <c r="N646" s="79"/>
      <c r="S646" s="79"/>
      <c r="T646" s="79"/>
      <c r="W646" s="79"/>
      <c r="X646" s="79"/>
      <c r="AA646" s="130"/>
      <c r="AC646" s="106"/>
    </row>
    <row r="647">
      <c r="C647" s="79"/>
      <c r="D647" s="79"/>
      <c r="E647" s="79"/>
      <c r="N647" s="79"/>
      <c r="S647" s="79"/>
      <c r="T647" s="79"/>
      <c r="W647" s="79"/>
      <c r="X647" s="79"/>
      <c r="AA647" s="130"/>
      <c r="AC647" s="106"/>
    </row>
    <row r="648">
      <c r="C648" s="79"/>
      <c r="D648" s="79"/>
      <c r="E648" s="79"/>
      <c r="N648" s="79"/>
      <c r="S648" s="79"/>
      <c r="T648" s="79"/>
      <c r="W648" s="79"/>
      <c r="X648" s="79"/>
      <c r="AA648" s="130"/>
      <c r="AC648" s="106"/>
    </row>
    <row r="649">
      <c r="C649" s="79"/>
      <c r="D649" s="79"/>
      <c r="E649" s="79"/>
      <c r="N649" s="79"/>
      <c r="S649" s="79"/>
      <c r="T649" s="79"/>
      <c r="W649" s="79"/>
      <c r="X649" s="79"/>
      <c r="AA649" s="130"/>
      <c r="AC649" s="106"/>
    </row>
    <row r="650">
      <c r="C650" s="79"/>
      <c r="D650" s="79"/>
      <c r="E650" s="79"/>
      <c r="N650" s="79"/>
      <c r="S650" s="79"/>
      <c r="T650" s="79"/>
      <c r="W650" s="79"/>
      <c r="X650" s="79"/>
      <c r="AA650" s="130"/>
      <c r="AC650" s="106"/>
    </row>
    <row r="651">
      <c r="C651" s="79"/>
      <c r="D651" s="79"/>
      <c r="E651" s="79"/>
      <c r="N651" s="79"/>
      <c r="S651" s="79"/>
      <c r="T651" s="79"/>
      <c r="W651" s="79"/>
      <c r="X651" s="79"/>
      <c r="AA651" s="130"/>
      <c r="AC651" s="106"/>
    </row>
    <row r="652">
      <c r="C652" s="79"/>
      <c r="D652" s="79"/>
      <c r="E652" s="79"/>
      <c r="N652" s="79"/>
      <c r="S652" s="79"/>
      <c r="T652" s="79"/>
      <c r="W652" s="79"/>
      <c r="X652" s="79"/>
      <c r="AA652" s="130"/>
      <c r="AC652" s="106"/>
    </row>
    <row r="653">
      <c r="C653" s="79"/>
      <c r="D653" s="79"/>
      <c r="E653" s="79"/>
      <c r="N653" s="79"/>
      <c r="S653" s="79"/>
      <c r="T653" s="79"/>
      <c r="W653" s="79"/>
      <c r="X653" s="79"/>
      <c r="AA653" s="130"/>
      <c r="AC653" s="106"/>
    </row>
    <row r="654">
      <c r="C654" s="79"/>
      <c r="D654" s="79"/>
      <c r="E654" s="79"/>
      <c r="N654" s="79"/>
      <c r="S654" s="79"/>
      <c r="T654" s="79"/>
      <c r="W654" s="79"/>
      <c r="X654" s="79"/>
      <c r="AA654" s="130"/>
      <c r="AC654" s="106"/>
    </row>
    <row r="655">
      <c r="C655" s="79"/>
      <c r="D655" s="79"/>
      <c r="E655" s="79"/>
      <c r="N655" s="79"/>
      <c r="S655" s="79"/>
      <c r="T655" s="79"/>
      <c r="W655" s="79"/>
      <c r="X655" s="79"/>
      <c r="AA655" s="130"/>
      <c r="AC655" s="106"/>
    </row>
    <row r="656">
      <c r="C656" s="79"/>
      <c r="D656" s="79"/>
      <c r="E656" s="79"/>
      <c r="N656" s="79"/>
      <c r="S656" s="79"/>
      <c r="T656" s="79"/>
      <c r="W656" s="79"/>
      <c r="X656" s="79"/>
      <c r="AA656" s="130"/>
      <c r="AC656" s="106"/>
    </row>
    <row r="657">
      <c r="C657" s="79"/>
      <c r="D657" s="79"/>
      <c r="E657" s="79"/>
      <c r="N657" s="79"/>
      <c r="S657" s="79"/>
      <c r="T657" s="79"/>
      <c r="W657" s="79"/>
      <c r="X657" s="79"/>
      <c r="AA657" s="130"/>
      <c r="AC657" s="106"/>
    </row>
    <row r="658">
      <c r="C658" s="79"/>
      <c r="D658" s="79"/>
      <c r="E658" s="79"/>
      <c r="N658" s="79"/>
      <c r="S658" s="79"/>
      <c r="T658" s="79"/>
      <c r="W658" s="79"/>
      <c r="X658" s="79"/>
      <c r="AA658" s="130"/>
      <c r="AC658" s="106"/>
    </row>
    <row r="659">
      <c r="C659" s="79"/>
      <c r="D659" s="79"/>
      <c r="E659" s="79"/>
      <c r="N659" s="79"/>
      <c r="S659" s="79"/>
      <c r="T659" s="79"/>
      <c r="W659" s="79"/>
      <c r="X659" s="79"/>
      <c r="AA659" s="130"/>
      <c r="AC659" s="106"/>
    </row>
    <row r="660">
      <c r="C660" s="79"/>
      <c r="D660" s="79"/>
      <c r="E660" s="79"/>
      <c r="N660" s="79"/>
      <c r="S660" s="79"/>
      <c r="T660" s="79"/>
      <c r="W660" s="79"/>
      <c r="X660" s="79"/>
      <c r="AA660" s="130"/>
      <c r="AC660" s="106"/>
    </row>
    <row r="661">
      <c r="C661" s="79"/>
      <c r="D661" s="79"/>
      <c r="E661" s="79"/>
      <c r="N661" s="79"/>
      <c r="S661" s="79"/>
      <c r="T661" s="79"/>
      <c r="W661" s="79"/>
      <c r="X661" s="79"/>
      <c r="AA661" s="130"/>
      <c r="AC661" s="106"/>
    </row>
    <row r="662">
      <c r="C662" s="79"/>
      <c r="D662" s="79"/>
      <c r="E662" s="79"/>
      <c r="N662" s="79"/>
      <c r="S662" s="79"/>
      <c r="T662" s="79"/>
      <c r="W662" s="79"/>
      <c r="X662" s="79"/>
      <c r="AA662" s="130"/>
      <c r="AC662" s="106"/>
    </row>
    <row r="663">
      <c r="C663" s="79"/>
      <c r="D663" s="79"/>
      <c r="E663" s="79"/>
      <c r="N663" s="79"/>
      <c r="S663" s="79"/>
      <c r="T663" s="79"/>
      <c r="W663" s="79"/>
      <c r="X663" s="79"/>
      <c r="AA663" s="130"/>
      <c r="AC663" s="106"/>
    </row>
    <row r="664">
      <c r="C664" s="79"/>
      <c r="D664" s="79"/>
      <c r="E664" s="79"/>
      <c r="N664" s="79"/>
      <c r="S664" s="79"/>
      <c r="T664" s="79"/>
      <c r="W664" s="79"/>
      <c r="X664" s="79"/>
      <c r="AA664" s="130"/>
      <c r="AC664" s="106"/>
    </row>
    <row r="665">
      <c r="C665" s="79"/>
      <c r="D665" s="79"/>
      <c r="E665" s="79"/>
      <c r="N665" s="79"/>
      <c r="S665" s="79"/>
      <c r="T665" s="79"/>
      <c r="W665" s="79"/>
      <c r="X665" s="79"/>
      <c r="AA665" s="130"/>
      <c r="AC665" s="106"/>
    </row>
    <row r="666">
      <c r="C666" s="79"/>
      <c r="D666" s="79"/>
      <c r="E666" s="79"/>
      <c r="N666" s="79"/>
      <c r="S666" s="79"/>
      <c r="T666" s="79"/>
      <c r="W666" s="79"/>
      <c r="X666" s="79"/>
      <c r="AA666" s="130"/>
      <c r="AC666" s="106"/>
    </row>
    <row r="667">
      <c r="C667" s="79"/>
      <c r="D667" s="79"/>
      <c r="E667" s="79"/>
      <c r="N667" s="79"/>
      <c r="S667" s="79"/>
      <c r="T667" s="79"/>
      <c r="W667" s="79"/>
      <c r="X667" s="79"/>
      <c r="AA667" s="130"/>
      <c r="AC667" s="106"/>
    </row>
    <row r="668">
      <c r="C668" s="79"/>
      <c r="D668" s="79"/>
      <c r="E668" s="79"/>
      <c r="N668" s="79"/>
      <c r="S668" s="79"/>
      <c r="T668" s="79"/>
      <c r="W668" s="79"/>
      <c r="X668" s="79"/>
      <c r="AA668" s="130"/>
      <c r="AC668" s="106"/>
    </row>
    <row r="669">
      <c r="C669" s="79"/>
      <c r="D669" s="79"/>
      <c r="E669" s="79"/>
      <c r="N669" s="79"/>
      <c r="S669" s="79"/>
      <c r="T669" s="79"/>
      <c r="W669" s="79"/>
      <c r="X669" s="79"/>
      <c r="AA669" s="130"/>
      <c r="AC669" s="106"/>
    </row>
    <row r="670">
      <c r="C670" s="79"/>
      <c r="D670" s="79"/>
      <c r="E670" s="79"/>
      <c r="N670" s="79"/>
      <c r="S670" s="79"/>
      <c r="T670" s="79"/>
      <c r="W670" s="79"/>
      <c r="X670" s="79"/>
      <c r="AA670" s="130"/>
      <c r="AC670" s="106"/>
    </row>
    <row r="671">
      <c r="C671" s="79"/>
      <c r="D671" s="79"/>
      <c r="E671" s="79"/>
      <c r="N671" s="79"/>
      <c r="S671" s="79"/>
      <c r="T671" s="79"/>
      <c r="W671" s="79"/>
      <c r="X671" s="79"/>
      <c r="AA671" s="130"/>
      <c r="AC671" s="106"/>
    </row>
    <row r="672">
      <c r="C672" s="79"/>
      <c r="D672" s="79"/>
      <c r="E672" s="79"/>
      <c r="N672" s="79"/>
      <c r="S672" s="79"/>
      <c r="T672" s="79"/>
      <c r="W672" s="79"/>
      <c r="X672" s="79"/>
      <c r="AA672" s="130"/>
      <c r="AC672" s="106"/>
    </row>
    <row r="673">
      <c r="C673" s="79"/>
      <c r="D673" s="79"/>
      <c r="E673" s="79"/>
      <c r="N673" s="79"/>
      <c r="S673" s="79"/>
      <c r="T673" s="79"/>
      <c r="W673" s="79"/>
      <c r="X673" s="79"/>
      <c r="AA673" s="130"/>
      <c r="AC673" s="106"/>
    </row>
    <row r="674">
      <c r="C674" s="79"/>
      <c r="D674" s="79"/>
      <c r="E674" s="79"/>
      <c r="N674" s="79"/>
      <c r="S674" s="79"/>
      <c r="T674" s="79"/>
      <c r="W674" s="79"/>
      <c r="X674" s="79"/>
      <c r="AA674" s="130"/>
      <c r="AC674" s="106"/>
    </row>
    <row r="675">
      <c r="C675" s="79"/>
      <c r="D675" s="79"/>
      <c r="E675" s="79"/>
      <c r="N675" s="79"/>
      <c r="S675" s="79"/>
      <c r="T675" s="79"/>
      <c r="W675" s="79"/>
      <c r="X675" s="79"/>
      <c r="AA675" s="130"/>
      <c r="AC675" s="106"/>
    </row>
    <row r="676">
      <c r="C676" s="79"/>
      <c r="D676" s="79"/>
      <c r="E676" s="79"/>
      <c r="N676" s="79"/>
      <c r="S676" s="79"/>
      <c r="T676" s="79"/>
      <c r="W676" s="79"/>
      <c r="X676" s="79"/>
      <c r="AA676" s="130"/>
      <c r="AC676" s="106"/>
    </row>
    <row r="677">
      <c r="C677" s="79"/>
      <c r="D677" s="79"/>
      <c r="E677" s="79"/>
      <c r="N677" s="79"/>
      <c r="S677" s="79"/>
      <c r="T677" s="79"/>
      <c r="W677" s="79"/>
      <c r="X677" s="79"/>
      <c r="AA677" s="130"/>
      <c r="AC677" s="106"/>
    </row>
    <row r="678">
      <c r="C678" s="79"/>
      <c r="D678" s="79"/>
      <c r="E678" s="79"/>
      <c r="N678" s="79"/>
      <c r="S678" s="79"/>
      <c r="T678" s="79"/>
      <c r="W678" s="79"/>
      <c r="X678" s="79"/>
      <c r="AA678" s="130"/>
      <c r="AC678" s="106"/>
    </row>
    <row r="679">
      <c r="C679" s="79"/>
      <c r="D679" s="79"/>
      <c r="E679" s="79"/>
      <c r="N679" s="79"/>
      <c r="S679" s="79"/>
      <c r="T679" s="79"/>
      <c r="W679" s="79"/>
      <c r="X679" s="79"/>
      <c r="AA679" s="130"/>
      <c r="AC679" s="106"/>
    </row>
    <row r="680">
      <c r="C680" s="79"/>
      <c r="D680" s="79"/>
      <c r="E680" s="79"/>
      <c r="N680" s="79"/>
      <c r="S680" s="79"/>
      <c r="T680" s="79"/>
      <c r="W680" s="79"/>
      <c r="X680" s="79"/>
      <c r="AA680" s="130"/>
      <c r="AC680" s="106"/>
    </row>
    <row r="681">
      <c r="C681" s="79"/>
      <c r="D681" s="79"/>
      <c r="E681" s="79"/>
      <c r="N681" s="79"/>
      <c r="S681" s="79"/>
      <c r="T681" s="79"/>
      <c r="W681" s="79"/>
      <c r="X681" s="79"/>
      <c r="AA681" s="130"/>
      <c r="AC681" s="106"/>
    </row>
    <row r="682">
      <c r="C682" s="79"/>
      <c r="D682" s="79"/>
      <c r="E682" s="79"/>
      <c r="N682" s="79"/>
      <c r="S682" s="79"/>
      <c r="T682" s="79"/>
      <c r="W682" s="79"/>
      <c r="X682" s="79"/>
      <c r="AA682" s="130"/>
      <c r="AC682" s="106"/>
    </row>
    <row r="683">
      <c r="C683" s="79"/>
      <c r="D683" s="79"/>
      <c r="E683" s="79"/>
      <c r="N683" s="79"/>
      <c r="S683" s="79"/>
      <c r="T683" s="79"/>
      <c r="W683" s="79"/>
      <c r="X683" s="79"/>
      <c r="AA683" s="130"/>
      <c r="AC683" s="106"/>
    </row>
    <row r="684">
      <c r="C684" s="79"/>
      <c r="D684" s="79"/>
      <c r="E684" s="79"/>
      <c r="N684" s="79"/>
      <c r="S684" s="79"/>
      <c r="T684" s="79"/>
      <c r="W684" s="79"/>
      <c r="X684" s="79"/>
      <c r="AA684" s="130"/>
      <c r="AC684" s="106"/>
    </row>
    <row r="685">
      <c r="C685" s="79"/>
      <c r="D685" s="79"/>
      <c r="E685" s="79"/>
      <c r="N685" s="79"/>
      <c r="S685" s="79"/>
      <c r="T685" s="79"/>
      <c r="W685" s="79"/>
      <c r="X685" s="79"/>
      <c r="AA685" s="130"/>
      <c r="AC685" s="106"/>
    </row>
    <row r="686">
      <c r="C686" s="79"/>
      <c r="D686" s="79"/>
      <c r="E686" s="79"/>
      <c r="N686" s="79"/>
      <c r="S686" s="79"/>
      <c r="T686" s="79"/>
      <c r="W686" s="79"/>
      <c r="X686" s="79"/>
      <c r="AA686" s="130"/>
      <c r="AC686" s="106"/>
    </row>
    <row r="687">
      <c r="C687" s="79"/>
      <c r="D687" s="79"/>
      <c r="E687" s="79"/>
      <c r="N687" s="79"/>
      <c r="S687" s="79"/>
      <c r="T687" s="79"/>
      <c r="W687" s="79"/>
      <c r="X687" s="79"/>
      <c r="AA687" s="130"/>
      <c r="AC687" s="106"/>
    </row>
    <row r="688">
      <c r="C688" s="79"/>
      <c r="D688" s="79"/>
      <c r="E688" s="79"/>
      <c r="N688" s="79"/>
      <c r="S688" s="79"/>
      <c r="T688" s="79"/>
      <c r="W688" s="79"/>
      <c r="X688" s="79"/>
      <c r="AA688" s="130"/>
      <c r="AC688" s="106"/>
    </row>
    <row r="689">
      <c r="C689" s="79"/>
      <c r="D689" s="79"/>
      <c r="E689" s="79"/>
      <c r="N689" s="79"/>
      <c r="S689" s="79"/>
      <c r="T689" s="79"/>
      <c r="W689" s="79"/>
      <c r="X689" s="79"/>
      <c r="AA689" s="130"/>
      <c r="AC689" s="106"/>
    </row>
    <row r="690">
      <c r="C690" s="79"/>
      <c r="D690" s="79"/>
      <c r="E690" s="79"/>
      <c r="N690" s="79"/>
      <c r="S690" s="79"/>
      <c r="T690" s="79"/>
      <c r="W690" s="79"/>
      <c r="X690" s="79"/>
      <c r="AA690" s="130"/>
      <c r="AC690" s="106"/>
    </row>
    <row r="691">
      <c r="C691" s="79"/>
      <c r="D691" s="79"/>
      <c r="E691" s="79"/>
      <c r="N691" s="79"/>
      <c r="S691" s="79"/>
      <c r="T691" s="79"/>
      <c r="W691" s="79"/>
      <c r="X691" s="79"/>
      <c r="AA691" s="130"/>
      <c r="AC691" s="106"/>
    </row>
    <row r="692">
      <c r="C692" s="79"/>
      <c r="D692" s="79"/>
      <c r="E692" s="79"/>
      <c r="N692" s="79"/>
      <c r="S692" s="79"/>
      <c r="T692" s="79"/>
      <c r="W692" s="79"/>
      <c r="X692" s="79"/>
      <c r="AA692" s="130"/>
      <c r="AC692" s="106"/>
    </row>
    <row r="693">
      <c r="C693" s="79"/>
      <c r="D693" s="79"/>
      <c r="E693" s="79"/>
      <c r="N693" s="79"/>
      <c r="S693" s="79"/>
      <c r="T693" s="79"/>
      <c r="W693" s="79"/>
      <c r="X693" s="79"/>
      <c r="AA693" s="130"/>
      <c r="AC693" s="106"/>
    </row>
    <row r="694">
      <c r="C694" s="79"/>
      <c r="D694" s="79"/>
      <c r="E694" s="79"/>
      <c r="N694" s="79"/>
      <c r="S694" s="79"/>
      <c r="T694" s="79"/>
      <c r="W694" s="79"/>
      <c r="X694" s="79"/>
      <c r="AA694" s="130"/>
      <c r="AC694" s="106"/>
    </row>
    <row r="695">
      <c r="C695" s="79"/>
      <c r="D695" s="79"/>
      <c r="E695" s="79"/>
      <c r="N695" s="79"/>
      <c r="S695" s="79"/>
      <c r="T695" s="79"/>
      <c r="W695" s="79"/>
      <c r="X695" s="79"/>
      <c r="AA695" s="130"/>
      <c r="AC695" s="106"/>
    </row>
    <row r="696">
      <c r="C696" s="79"/>
      <c r="D696" s="79"/>
      <c r="E696" s="79"/>
      <c r="N696" s="79"/>
      <c r="S696" s="79"/>
      <c r="T696" s="79"/>
      <c r="W696" s="79"/>
      <c r="X696" s="79"/>
      <c r="AA696" s="130"/>
      <c r="AC696" s="106"/>
    </row>
    <row r="697">
      <c r="C697" s="79"/>
      <c r="D697" s="79"/>
      <c r="E697" s="79"/>
      <c r="N697" s="79"/>
      <c r="S697" s="79"/>
      <c r="T697" s="79"/>
      <c r="W697" s="79"/>
      <c r="X697" s="79"/>
      <c r="AA697" s="130"/>
      <c r="AC697" s="106"/>
    </row>
    <row r="698">
      <c r="C698" s="79"/>
      <c r="D698" s="79"/>
      <c r="E698" s="79"/>
      <c r="N698" s="79"/>
      <c r="S698" s="79"/>
      <c r="T698" s="79"/>
      <c r="W698" s="79"/>
      <c r="X698" s="79"/>
      <c r="AA698" s="130"/>
      <c r="AC698" s="106"/>
    </row>
    <row r="699">
      <c r="C699" s="79"/>
      <c r="D699" s="79"/>
      <c r="E699" s="79"/>
      <c r="N699" s="79"/>
      <c r="S699" s="79"/>
      <c r="T699" s="79"/>
      <c r="W699" s="79"/>
      <c r="X699" s="79"/>
      <c r="AA699" s="130"/>
      <c r="AC699" s="106"/>
    </row>
    <row r="700">
      <c r="C700" s="79"/>
      <c r="D700" s="79"/>
      <c r="E700" s="79"/>
      <c r="N700" s="79"/>
      <c r="S700" s="79"/>
      <c r="T700" s="79"/>
      <c r="W700" s="79"/>
      <c r="X700" s="79"/>
      <c r="AA700" s="130"/>
      <c r="AC700" s="106"/>
    </row>
    <row r="701">
      <c r="C701" s="79"/>
      <c r="D701" s="79"/>
      <c r="E701" s="79"/>
      <c r="N701" s="79"/>
      <c r="S701" s="79"/>
      <c r="T701" s="79"/>
      <c r="W701" s="79"/>
      <c r="X701" s="79"/>
      <c r="AA701" s="130"/>
      <c r="AC701" s="106"/>
    </row>
    <row r="702">
      <c r="C702" s="79"/>
      <c r="D702" s="79"/>
      <c r="E702" s="79"/>
      <c r="N702" s="79"/>
      <c r="S702" s="79"/>
      <c r="T702" s="79"/>
      <c r="W702" s="79"/>
      <c r="X702" s="79"/>
      <c r="AA702" s="130"/>
      <c r="AC702" s="106"/>
    </row>
    <row r="703">
      <c r="C703" s="79"/>
      <c r="D703" s="79"/>
      <c r="E703" s="79"/>
      <c r="N703" s="79"/>
      <c r="S703" s="79"/>
      <c r="T703" s="79"/>
      <c r="W703" s="79"/>
      <c r="X703" s="79"/>
      <c r="AA703" s="130"/>
      <c r="AC703" s="106"/>
    </row>
    <row r="704">
      <c r="C704" s="79"/>
      <c r="D704" s="79"/>
      <c r="E704" s="79"/>
      <c r="N704" s="79"/>
      <c r="S704" s="79"/>
      <c r="T704" s="79"/>
      <c r="W704" s="79"/>
      <c r="X704" s="79"/>
      <c r="AA704" s="130"/>
      <c r="AC704" s="106"/>
    </row>
    <row r="705">
      <c r="C705" s="79"/>
      <c r="D705" s="79"/>
      <c r="E705" s="79"/>
      <c r="N705" s="79"/>
      <c r="S705" s="79"/>
      <c r="T705" s="79"/>
      <c r="W705" s="79"/>
      <c r="X705" s="79"/>
      <c r="AA705" s="130"/>
      <c r="AC705" s="106"/>
    </row>
    <row r="706">
      <c r="C706" s="79"/>
      <c r="D706" s="79"/>
      <c r="E706" s="79"/>
      <c r="N706" s="79"/>
      <c r="S706" s="79"/>
      <c r="T706" s="79"/>
      <c r="W706" s="79"/>
      <c r="X706" s="79"/>
      <c r="AA706" s="130"/>
      <c r="AC706" s="106"/>
    </row>
    <row r="707">
      <c r="C707" s="79"/>
      <c r="D707" s="79"/>
      <c r="E707" s="79"/>
      <c r="N707" s="79"/>
      <c r="S707" s="79"/>
      <c r="T707" s="79"/>
      <c r="W707" s="79"/>
      <c r="X707" s="79"/>
      <c r="AA707" s="130"/>
      <c r="AC707" s="106"/>
    </row>
    <row r="708">
      <c r="C708" s="79"/>
      <c r="D708" s="79"/>
      <c r="E708" s="79"/>
      <c r="N708" s="79"/>
      <c r="S708" s="79"/>
      <c r="T708" s="79"/>
      <c r="W708" s="79"/>
      <c r="X708" s="79"/>
      <c r="AA708" s="130"/>
      <c r="AC708" s="106"/>
    </row>
    <row r="709">
      <c r="C709" s="79"/>
      <c r="D709" s="79"/>
      <c r="E709" s="79"/>
      <c r="N709" s="79"/>
      <c r="S709" s="79"/>
      <c r="T709" s="79"/>
      <c r="W709" s="79"/>
      <c r="X709" s="79"/>
      <c r="AA709" s="130"/>
      <c r="AC709" s="106"/>
    </row>
    <row r="710">
      <c r="C710" s="79"/>
      <c r="D710" s="79"/>
      <c r="E710" s="79"/>
      <c r="N710" s="79"/>
      <c r="S710" s="79"/>
      <c r="T710" s="79"/>
      <c r="W710" s="79"/>
      <c r="X710" s="79"/>
      <c r="AA710" s="130"/>
      <c r="AC710" s="106"/>
    </row>
    <row r="711">
      <c r="C711" s="79"/>
      <c r="D711" s="79"/>
      <c r="E711" s="79"/>
      <c r="N711" s="79"/>
      <c r="S711" s="79"/>
      <c r="T711" s="79"/>
      <c r="W711" s="79"/>
      <c r="X711" s="79"/>
      <c r="AA711" s="130"/>
      <c r="AC711" s="106"/>
    </row>
    <row r="712">
      <c r="C712" s="79"/>
      <c r="D712" s="79"/>
      <c r="E712" s="79"/>
      <c r="N712" s="79"/>
      <c r="S712" s="79"/>
      <c r="T712" s="79"/>
      <c r="W712" s="79"/>
      <c r="X712" s="79"/>
      <c r="AA712" s="130"/>
      <c r="AC712" s="106"/>
    </row>
    <row r="713">
      <c r="C713" s="79"/>
      <c r="D713" s="79"/>
      <c r="E713" s="79"/>
      <c r="N713" s="79"/>
      <c r="S713" s="79"/>
      <c r="T713" s="79"/>
      <c r="W713" s="79"/>
      <c r="X713" s="79"/>
      <c r="AA713" s="130"/>
      <c r="AC713" s="106"/>
    </row>
    <row r="714">
      <c r="C714" s="79"/>
      <c r="D714" s="79"/>
      <c r="E714" s="79"/>
      <c r="N714" s="79"/>
      <c r="S714" s="79"/>
      <c r="T714" s="79"/>
      <c r="W714" s="79"/>
      <c r="X714" s="79"/>
      <c r="AA714" s="130"/>
      <c r="AC714" s="106"/>
    </row>
    <row r="715">
      <c r="C715" s="79"/>
      <c r="D715" s="79"/>
      <c r="E715" s="79"/>
      <c r="N715" s="79"/>
      <c r="S715" s="79"/>
      <c r="T715" s="79"/>
      <c r="W715" s="79"/>
      <c r="X715" s="79"/>
      <c r="AA715" s="130"/>
      <c r="AC715" s="106"/>
    </row>
    <row r="716">
      <c r="C716" s="79"/>
      <c r="D716" s="79"/>
      <c r="E716" s="79"/>
      <c r="N716" s="79"/>
      <c r="S716" s="79"/>
      <c r="T716" s="79"/>
      <c r="W716" s="79"/>
      <c r="X716" s="79"/>
      <c r="AA716" s="130"/>
      <c r="AC716" s="106"/>
    </row>
    <row r="717">
      <c r="C717" s="79"/>
      <c r="D717" s="79"/>
      <c r="E717" s="79"/>
      <c r="N717" s="79"/>
      <c r="S717" s="79"/>
      <c r="T717" s="79"/>
      <c r="W717" s="79"/>
      <c r="X717" s="79"/>
      <c r="AA717" s="130"/>
      <c r="AC717" s="106"/>
    </row>
    <row r="718">
      <c r="C718" s="79"/>
      <c r="D718" s="79"/>
      <c r="E718" s="79"/>
      <c r="N718" s="79"/>
      <c r="S718" s="79"/>
      <c r="T718" s="79"/>
      <c r="W718" s="79"/>
      <c r="X718" s="79"/>
      <c r="AA718" s="130"/>
      <c r="AC718" s="106"/>
    </row>
    <row r="719">
      <c r="C719" s="79"/>
      <c r="D719" s="79"/>
      <c r="E719" s="79"/>
      <c r="N719" s="79"/>
      <c r="S719" s="79"/>
      <c r="T719" s="79"/>
      <c r="W719" s="79"/>
      <c r="X719" s="79"/>
      <c r="AA719" s="130"/>
      <c r="AC719" s="106"/>
    </row>
    <row r="720">
      <c r="C720" s="79"/>
      <c r="D720" s="79"/>
      <c r="E720" s="79"/>
      <c r="N720" s="79"/>
      <c r="S720" s="79"/>
      <c r="T720" s="79"/>
      <c r="W720" s="79"/>
      <c r="X720" s="79"/>
      <c r="AA720" s="130"/>
      <c r="AC720" s="106"/>
    </row>
    <row r="721">
      <c r="C721" s="79"/>
      <c r="D721" s="79"/>
      <c r="E721" s="79"/>
      <c r="N721" s="79"/>
      <c r="S721" s="79"/>
      <c r="T721" s="79"/>
      <c r="W721" s="79"/>
      <c r="X721" s="79"/>
      <c r="AA721" s="130"/>
      <c r="AC721" s="106"/>
    </row>
    <row r="722">
      <c r="C722" s="79"/>
      <c r="D722" s="79"/>
      <c r="E722" s="79"/>
      <c r="N722" s="79"/>
      <c r="S722" s="79"/>
      <c r="T722" s="79"/>
      <c r="W722" s="79"/>
      <c r="X722" s="79"/>
      <c r="AA722" s="130"/>
      <c r="AC722" s="106"/>
    </row>
    <row r="723">
      <c r="C723" s="79"/>
      <c r="D723" s="79"/>
      <c r="E723" s="79"/>
      <c r="N723" s="79"/>
      <c r="S723" s="79"/>
      <c r="T723" s="79"/>
      <c r="W723" s="79"/>
      <c r="X723" s="79"/>
      <c r="AA723" s="130"/>
      <c r="AC723" s="106"/>
    </row>
    <row r="724">
      <c r="C724" s="79"/>
      <c r="D724" s="79"/>
      <c r="E724" s="79"/>
      <c r="N724" s="79"/>
      <c r="S724" s="79"/>
      <c r="T724" s="79"/>
      <c r="W724" s="79"/>
      <c r="X724" s="79"/>
      <c r="AA724" s="130"/>
      <c r="AC724" s="106"/>
    </row>
    <row r="725">
      <c r="C725" s="79"/>
      <c r="D725" s="79"/>
      <c r="E725" s="79"/>
      <c r="N725" s="79"/>
      <c r="S725" s="79"/>
      <c r="T725" s="79"/>
      <c r="W725" s="79"/>
      <c r="X725" s="79"/>
      <c r="AA725" s="130"/>
      <c r="AC725" s="106"/>
    </row>
    <row r="726">
      <c r="C726" s="79"/>
      <c r="D726" s="79"/>
      <c r="E726" s="79"/>
      <c r="N726" s="79"/>
      <c r="S726" s="79"/>
      <c r="T726" s="79"/>
      <c r="W726" s="79"/>
      <c r="X726" s="79"/>
      <c r="AA726" s="130"/>
      <c r="AC726" s="106"/>
    </row>
    <row r="727">
      <c r="C727" s="79"/>
      <c r="D727" s="79"/>
      <c r="E727" s="79"/>
      <c r="N727" s="79"/>
      <c r="S727" s="79"/>
      <c r="T727" s="79"/>
      <c r="W727" s="79"/>
      <c r="X727" s="79"/>
      <c r="AA727" s="130"/>
      <c r="AC727" s="106"/>
    </row>
    <row r="728">
      <c r="C728" s="79"/>
      <c r="D728" s="79"/>
      <c r="E728" s="79"/>
      <c r="N728" s="79"/>
      <c r="S728" s="79"/>
      <c r="T728" s="79"/>
      <c r="W728" s="79"/>
      <c r="X728" s="79"/>
      <c r="AA728" s="130"/>
      <c r="AC728" s="106"/>
    </row>
    <row r="729">
      <c r="C729" s="79"/>
      <c r="D729" s="79"/>
      <c r="E729" s="79"/>
      <c r="N729" s="79"/>
      <c r="S729" s="79"/>
      <c r="T729" s="79"/>
      <c r="W729" s="79"/>
      <c r="X729" s="79"/>
      <c r="AA729" s="130"/>
      <c r="AC729" s="106"/>
    </row>
    <row r="730">
      <c r="C730" s="79"/>
      <c r="D730" s="79"/>
      <c r="E730" s="79"/>
      <c r="N730" s="79"/>
      <c r="S730" s="79"/>
      <c r="T730" s="79"/>
      <c r="W730" s="79"/>
      <c r="X730" s="79"/>
      <c r="AA730" s="130"/>
      <c r="AC730" s="106"/>
    </row>
    <row r="731">
      <c r="C731" s="79"/>
      <c r="D731" s="79"/>
      <c r="E731" s="79"/>
      <c r="N731" s="79"/>
      <c r="S731" s="79"/>
      <c r="T731" s="79"/>
      <c r="W731" s="79"/>
      <c r="X731" s="79"/>
      <c r="AA731" s="130"/>
      <c r="AC731" s="106"/>
    </row>
    <row r="732">
      <c r="C732" s="79"/>
      <c r="D732" s="79"/>
      <c r="E732" s="79"/>
      <c r="N732" s="79"/>
      <c r="S732" s="79"/>
      <c r="T732" s="79"/>
      <c r="W732" s="79"/>
      <c r="X732" s="79"/>
      <c r="AA732" s="130"/>
      <c r="AC732" s="106"/>
    </row>
    <row r="733">
      <c r="C733" s="79"/>
      <c r="D733" s="79"/>
      <c r="E733" s="79"/>
      <c r="N733" s="79"/>
      <c r="S733" s="79"/>
      <c r="T733" s="79"/>
      <c r="W733" s="79"/>
      <c r="X733" s="79"/>
      <c r="AA733" s="130"/>
      <c r="AC733" s="106"/>
    </row>
    <row r="734">
      <c r="C734" s="79"/>
      <c r="D734" s="79"/>
      <c r="E734" s="79"/>
      <c r="N734" s="79"/>
      <c r="S734" s="79"/>
      <c r="T734" s="79"/>
      <c r="W734" s="79"/>
      <c r="X734" s="79"/>
      <c r="AA734" s="130"/>
      <c r="AC734" s="106"/>
    </row>
    <row r="735">
      <c r="C735" s="79"/>
      <c r="D735" s="79"/>
      <c r="E735" s="79"/>
      <c r="N735" s="79"/>
      <c r="S735" s="79"/>
      <c r="T735" s="79"/>
      <c r="W735" s="79"/>
      <c r="X735" s="79"/>
      <c r="AA735" s="130"/>
      <c r="AC735" s="106"/>
    </row>
    <row r="736">
      <c r="C736" s="79"/>
      <c r="D736" s="79"/>
      <c r="E736" s="79"/>
      <c r="N736" s="79"/>
      <c r="S736" s="79"/>
      <c r="T736" s="79"/>
      <c r="W736" s="79"/>
      <c r="X736" s="79"/>
      <c r="AA736" s="130"/>
      <c r="AC736" s="106"/>
    </row>
    <row r="737">
      <c r="C737" s="79"/>
      <c r="D737" s="79"/>
      <c r="E737" s="79"/>
      <c r="N737" s="79"/>
      <c r="S737" s="79"/>
      <c r="T737" s="79"/>
      <c r="W737" s="79"/>
      <c r="X737" s="79"/>
      <c r="AA737" s="130"/>
      <c r="AC737" s="106"/>
    </row>
    <row r="738">
      <c r="C738" s="79"/>
      <c r="D738" s="79"/>
      <c r="E738" s="79"/>
      <c r="N738" s="79"/>
      <c r="S738" s="79"/>
      <c r="T738" s="79"/>
      <c r="W738" s="79"/>
      <c r="X738" s="79"/>
      <c r="AA738" s="130"/>
      <c r="AC738" s="106"/>
    </row>
    <row r="739">
      <c r="C739" s="79"/>
      <c r="D739" s="79"/>
      <c r="E739" s="79"/>
      <c r="N739" s="79"/>
      <c r="S739" s="79"/>
      <c r="T739" s="79"/>
      <c r="W739" s="79"/>
      <c r="X739" s="79"/>
      <c r="AA739" s="130"/>
      <c r="AC739" s="106"/>
    </row>
    <row r="740">
      <c r="C740" s="79"/>
      <c r="D740" s="79"/>
      <c r="E740" s="79"/>
      <c r="N740" s="79"/>
      <c r="S740" s="79"/>
      <c r="T740" s="79"/>
      <c r="W740" s="79"/>
      <c r="X740" s="79"/>
      <c r="AA740" s="130"/>
      <c r="AC740" s="106"/>
    </row>
    <row r="741">
      <c r="C741" s="79"/>
      <c r="D741" s="79"/>
      <c r="E741" s="79"/>
      <c r="N741" s="79"/>
      <c r="S741" s="79"/>
      <c r="T741" s="79"/>
      <c r="W741" s="79"/>
      <c r="X741" s="79"/>
      <c r="AA741" s="130"/>
      <c r="AC741" s="106"/>
    </row>
    <row r="742">
      <c r="C742" s="79"/>
      <c r="D742" s="79"/>
      <c r="E742" s="79"/>
      <c r="N742" s="79"/>
      <c r="S742" s="79"/>
      <c r="T742" s="79"/>
      <c r="W742" s="79"/>
      <c r="X742" s="79"/>
      <c r="AA742" s="130"/>
      <c r="AC742" s="106"/>
    </row>
    <row r="743">
      <c r="C743" s="79"/>
      <c r="D743" s="79"/>
      <c r="E743" s="79"/>
      <c r="N743" s="79"/>
      <c r="S743" s="79"/>
      <c r="T743" s="79"/>
      <c r="W743" s="79"/>
      <c r="X743" s="79"/>
      <c r="AA743" s="130"/>
      <c r="AC743" s="106"/>
    </row>
    <row r="744">
      <c r="C744" s="79"/>
      <c r="D744" s="79"/>
      <c r="E744" s="79"/>
      <c r="N744" s="79"/>
      <c r="S744" s="79"/>
      <c r="T744" s="79"/>
      <c r="W744" s="79"/>
      <c r="X744" s="79"/>
      <c r="AA744" s="130"/>
      <c r="AC744" s="106"/>
    </row>
    <row r="745">
      <c r="C745" s="79"/>
      <c r="D745" s="79"/>
      <c r="E745" s="79"/>
      <c r="N745" s="79"/>
      <c r="S745" s="79"/>
      <c r="T745" s="79"/>
      <c r="W745" s="79"/>
      <c r="X745" s="79"/>
      <c r="AA745" s="130"/>
      <c r="AC745" s="106"/>
    </row>
    <row r="746">
      <c r="C746" s="79"/>
      <c r="D746" s="79"/>
      <c r="E746" s="79"/>
      <c r="N746" s="79"/>
      <c r="S746" s="79"/>
      <c r="T746" s="79"/>
      <c r="W746" s="79"/>
      <c r="X746" s="79"/>
      <c r="AA746" s="130"/>
      <c r="AC746" s="106"/>
    </row>
    <row r="747">
      <c r="C747" s="79"/>
      <c r="D747" s="79"/>
      <c r="E747" s="79"/>
      <c r="N747" s="79"/>
      <c r="S747" s="79"/>
      <c r="T747" s="79"/>
      <c r="W747" s="79"/>
      <c r="X747" s="79"/>
      <c r="AA747" s="130"/>
      <c r="AC747" s="106"/>
    </row>
    <row r="748">
      <c r="C748" s="79"/>
      <c r="D748" s="79"/>
      <c r="E748" s="79"/>
      <c r="N748" s="79"/>
      <c r="S748" s="79"/>
      <c r="T748" s="79"/>
      <c r="W748" s="79"/>
      <c r="X748" s="79"/>
      <c r="AA748" s="130"/>
      <c r="AC748" s="106"/>
    </row>
    <row r="749">
      <c r="C749" s="79"/>
      <c r="D749" s="79"/>
      <c r="E749" s="79"/>
      <c r="N749" s="79"/>
      <c r="S749" s="79"/>
      <c r="T749" s="79"/>
      <c r="W749" s="79"/>
      <c r="X749" s="79"/>
      <c r="AA749" s="130"/>
      <c r="AC749" s="106"/>
    </row>
    <row r="750">
      <c r="C750" s="79"/>
      <c r="D750" s="79"/>
      <c r="E750" s="79"/>
      <c r="N750" s="79"/>
      <c r="S750" s="79"/>
      <c r="T750" s="79"/>
      <c r="W750" s="79"/>
      <c r="X750" s="79"/>
      <c r="AA750" s="130"/>
      <c r="AC750" s="106"/>
    </row>
    <row r="751">
      <c r="C751" s="79"/>
      <c r="D751" s="79"/>
      <c r="E751" s="79"/>
      <c r="N751" s="79"/>
      <c r="S751" s="79"/>
      <c r="T751" s="79"/>
      <c r="W751" s="79"/>
      <c r="X751" s="79"/>
      <c r="AA751" s="130"/>
      <c r="AC751" s="106"/>
    </row>
    <row r="752">
      <c r="C752" s="79"/>
      <c r="D752" s="79"/>
      <c r="E752" s="79"/>
      <c r="N752" s="79"/>
      <c r="S752" s="79"/>
      <c r="T752" s="79"/>
      <c r="W752" s="79"/>
      <c r="X752" s="79"/>
      <c r="AA752" s="130"/>
      <c r="AC752" s="106"/>
    </row>
    <row r="753">
      <c r="C753" s="79"/>
      <c r="D753" s="79"/>
      <c r="E753" s="79"/>
      <c r="N753" s="79"/>
      <c r="S753" s="79"/>
      <c r="T753" s="79"/>
      <c r="W753" s="79"/>
      <c r="X753" s="79"/>
      <c r="AA753" s="130"/>
      <c r="AC753" s="106"/>
    </row>
    <row r="754">
      <c r="C754" s="79"/>
      <c r="D754" s="79"/>
      <c r="E754" s="79"/>
      <c r="N754" s="79"/>
      <c r="S754" s="79"/>
      <c r="T754" s="79"/>
      <c r="W754" s="79"/>
      <c r="X754" s="79"/>
      <c r="AA754" s="130"/>
      <c r="AC754" s="106"/>
    </row>
    <row r="755">
      <c r="C755" s="79"/>
      <c r="D755" s="79"/>
      <c r="E755" s="79"/>
      <c r="N755" s="79"/>
      <c r="S755" s="79"/>
      <c r="T755" s="79"/>
      <c r="W755" s="79"/>
      <c r="X755" s="79"/>
      <c r="AA755" s="130"/>
      <c r="AC755" s="106"/>
    </row>
    <row r="756">
      <c r="C756" s="79"/>
      <c r="D756" s="79"/>
      <c r="E756" s="79"/>
      <c r="N756" s="79"/>
      <c r="S756" s="79"/>
      <c r="T756" s="79"/>
      <c r="W756" s="79"/>
      <c r="X756" s="79"/>
      <c r="AA756" s="130"/>
      <c r="AC756" s="106"/>
    </row>
    <row r="757">
      <c r="C757" s="79"/>
      <c r="D757" s="79"/>
      <c r="E757" s="79"/>
      <c r="N757" s="79"/>
      <c r="S757" s="79"/>
      <c r="T757" s="79"/>
      <c r="W757" s="79"/>
      <c r="X757" s="79"/>
      <c r="AA757" s="130"/>
      <c r="AC757" s="106"/>
    </row>
    <row r="758">
      <c r="C758" s="79"/>
      <c r="D758" s="79"/>
      <c r="E758" s="79"/>
      <c r="N758" s="79"/>
      <c r="S758" s="79"/>
      <c r="T758" s="79"/>
      <c r="W758" s="79"/>
      <c r="X758" s="79"/>
      <c r="AA758" s="130"/>
      <c r="AC758" s="106"/>
    </row>
    <row r="759">
      <c r="C759" s="79"/>
      <c r="D759" s="79"/>
      <c r="E759" s="79"/>
      <c r="N759" s="79"/>
      <c r="S759" s="79"/>
      <c r="T759" s="79"/>
      <c r="W759" s="79"/>
      <c r="X759" s="79"/>
      <c r="AA759" s="130"/>
      <c r="AC759" s="106"/>
    </row>
    <row r="760">
      <c r="C760" s="79"/>
      <c r="D760" s="79"/>
      <c r="E760" s="79"/>
      <c r="N760" s="79"/>
      <c r="S760" s="79"/>
      <c r="T760" s="79"/>
      <c r="W760" s="79"/>
      <c r="X760" s="79"/>
      <c r="AA760" s="130"/>
      <c r="AC760" s="106"/>
    </row>
    <row r="761">
      <c r="C761" s="79"/>
      <c r="D761" s="79"/>
      <c r="E761" s="79"/>
      <c r="N761" s="79"/>
      <c r="S761" s="79"/>
      <c r="T761" s="79"/>
      <c r="W761" s="79"/>
      <c r="X761" s="79"/>
      <c r="AA761" s="130"/>
      <c r="AC761" s="106"/>
    </row>
    <row r="762">
      <c r="C762" s="79"/>
      <c r="D762" s="79"/>
      <c r="E762" s="79"/>
      <c r="N762" s="79"/>
      <c r="S762" s="79"/>
      <c r="T762" s="79"/>
      <c r="W762" s="79"/>
      <c r="X762" s="79"/>
      <c r="AA762" s="130"/>
      <c r="AC762" s="106"/>
    </row>
    <row r="763">
      <c r="C763" s="79"/>
      <c r="D763" s="79"/>
      <c r="E763" s="79"/>
      <c r="N763" s="79"/>
      <c r="S763" s="79"/>
      <c r="T763" s="79"/>
      <c r="W763" s="79"/>
      <c r="X763" s="79"/>
      <c r="AA763" s="130"/>
      <c r="AC763" s="106"/>
    </row>
    <row r="764">
      <c r="C764" s="79"/>
      <c r="D764" s="79"/>
      <c r="E764" s="79"/>
      <c r="N764" s="79"/>
      <c r="S764" s="79"/>
      <c r="T764" s="79"/>
      <c r="W764" s="79"/>
      <c r="X764" s="79"/>
      <c r="AA764" s="130"/>
      <c r="AC764" s="106"/>
    </row>
    <row r="765">
      <c r="C765" s="79"/>
      <c r="D765" s="79"/>
      <c r="E765" s="79"/>
      <c r="N765" s="79"/>
      <c r="S765" s="79"/>
      <c r="T765" s="79"/>
      <c r="W765" s="79"/>
      <c r="X765" s="79"/>
      <c r="AA765" s="130"/>
      <c r="AC765" s="106"/>
    </row>
    <row r="766">
      <c r="C766" s="79"/>
      <c r="D766" s="79"/>
      <c r="E766" s="79"/>
      <c r="N766" s="79"/>
      <c r="S766" s="79"/>
      <c r="T766" s="79"/>
      <c r="W766" s="79"/>
      <c r="X766" s="79"/>
      <c r="AA766" s="130"/>
      <c r="AC766" s="106"/>
    </row>
    <row r="767">
      <c r="C767" s="79"/>
      <c r="D767" s="79"/>
      <c r="E767" s="79"/>
      <c r="N767" s="79"/>
      <c r="S767" s="79"/>
      <c r="T767" s="79"/>
      <c r="W767" s="79"/>
      <c r="X767" s="79"/>
      <c r="AA767" s="130"/>
      <c r="AC767" s="106"/>
    </row>
    <row r="768">
      <c r="C768" s="79"/>
      <c r="D768" s="79"/>
      <c r="E768" s="79"/>
      <c r="N768" s="79"/>
      <c r="S768" s="79"/>
      <c r="T768" s="79"/>
      <c r="W768" s="79"/>
      <c r="X768" s="79"/>
      <c r="AA768" s="130"/>
      <c r="AC768" s="106"/>
    </row>
    <row r="769">
      <c r="C769" s="79"/>
      <c r="D769" s="79"/>
      <c r="E769" s="79"/>
      <c r="N769" s="79"/>
      <c r="S769" s="79"/>
      <c r="T769" s="79"/>
      <c r="W769" s="79"/>
      <c r="X769" s="79"/>
      <c r="AA769" s="130"/>
      <c r="AC769" s="106"/>
    </row>
    <row r="770">
      <c r="C770" s="79"/>
      <c r="D770" s="79"/>
      <c r="E770" s="79"/>
      <c r="N770" s="79"/>
      <c r="S770" s="79"/>
      <c r="T770" s="79"/>
      <c r="W770" s="79"/>
      <c r="X770" s="79"/>
      <c r="AA770" s="130"/>
      <c r="AC770" s="106"/>
    </row>
    <row r="771">
      <c r="C771" s="79"/>
      <c r="D771" s="79"/>
      <c r="E771" s="79"/>
      <c r="N771" s="79"/>
      <c r="S771" s="79"/>
      <c r="T771" s="79"/>
      <c r="W771" s="79"/>
      <c r="X771" s="79"/>
      <c r="AA771" s="130"/>
      <c r="AC771" s="106"/>
    </row>
    <row r="772">
      <c r="C772" s="79"/>
      <c r="D772" s="79"/>
      <c r="E772" s="79"/>
      <c r="N772" s="79"/>
      <c r="S772" s="79"/>
      <c r="T772" s="79"/>
      <c r="W772" s="79"/>
      <c r="X772" s="79"/>
      <c r="AA772" s="130"/>
      <c r="AC772" s="106"/>
    </row>
    <row r="773">
      <c r="C773" s="79"/>
      <c r="D773" s="79"/>
      <c r="E773" s="79"/>
      <c r="N773" s="79"/>
      <c r="S773" s="79"/>
      <c r="T773" s="79"/>
      <c r="W773" s="79"/>
      <c r="X773" s="79"/>
      <c r="AA773" s="130"/>
      <c r="AC773" s="106"/>
    </row>
    <row r="774">
      <c r="C774" s="79"/>
      <c r="D774" s="79"/>
      <c r="E774" s="79"/>
      <c r="N774" s="79"/>
      <c r="S774" s="79"/>
      <c r="T774" s="79"/>
      <c r="W774" s="79"/>
      <c r="X774" s="79"/>
      <c r="AA774" s="130"/>
      <c r="AC774" s="106"/>
    </row>
    <row r="775">
      <c r="C775" s="79"/>
      <c r="D775" s="79"/>
      <c r="E775" s="79"/>
      <c r="N775" s="79"/>
      <c r="S775" s="79"/>
      <c r="T775" s="79"/>
      <c r="W775" s="79"/>
      <c r="X775" s="79"/>
      <c r="AA775" s="130"/>
      <c r="AC775" s="106"/>
    </row>
    <row r="776">
      <c r="C776" s="79"/>
      <c r="D776" s="79"/>
      <c r="E776" s="79"/>
      <c r="N776" s="79"/>
      <c r="S776" s="79"/>
      <c r="T776" s="79"/>
      <c r="W776" s="79"/>
      <c r="X776" s="79"/>
      <c r="AA776" s="130"/>
      <c r="AC776" s="106"/>
    </row>
    <row r="777">
      <c r="C777" s="79"/>
      <c r="D777" s="79"/>
      <c r="E777" s="79"/>
      <c r="N777" s="79"/>
      <c r="S777" s="79"/>
      <c r="T777" s="79"/>
      <c r="W777" s="79"/>
      <c r="X777" s="79"/>
      <c r="AA777" s="130"/>
      <c r="AC777" s="106"/>
    </row>
    <row r="778">
      <c r="C778" s="79"/>
      <c r="D778" s="79"/>
      <c r="E778" s="79"/>
      <c r="N778" s="79"/>
      <c r="S778" s="79"/>
      <c r="T778" s="79"/>
      <c r="W778" s="79"/>
      <c r="X778" s="79"/>
      <c r="AA778" s="130"/>
      <c r="AC778" s="106"/>
    </row>
    <row r="779">
      <c r="C779" s="79"/>
      <c r="D779" s="79"/>
      <c r="E779" s="79"/>
      <c r="N779" s="79"/>
      <c r="S779" s="79"/>
      <c r="T779" s="79"/>
      <c r="W779" s="79"/>
      <c r="X779" s="79"/>
      <c r="AA779" s="130"/>
      <c r="AC779" s="106"/>
    </row>
    <row r="780">
      <c r="C780" s="79"/>
      <c r="D780" s="79"/>
      <c r="E780" s="79"/>
      <c r="N780" s="79"/>
      <c r="S780" s="79"/>
      <c r="T780" s="79"/>
      <c r="W780" s="79"/>
      <c r="X780" s="79"/>
      <c r="AA780" s="130"/>
      <c r="AC780" s="106"/>
    </row>
    <row r="781">
      <c r="C781" s="79"/>
      <c r="D781" s="79"/>
      <c r="E781" s="79"/>
      <c r="N781" s="79"/>
      <c r="S781" s="79"/>
      <c r="T781" s="79"/>
      <c r="W781" s="79"/>
      <c r="X781" s="79"/>
      <c r="AA781" s="130"/>
      <c r="AC781" s="106"/>
    </row>
    <row r="782">
      <c r="C782" s="79"/>
      <c r="D782" s="79"/>
      <c r="E782" s="79"/>
      <c r="N782" s="79"/>
      <c r="S782" s="79"/>
      <c r="T782" s="79"/>
      <c r="W782" s="79"/>
      <c r="X782" s="79"/>
      <c r="AA782" s="130"/>
      <c r="AC782" s="106"/>
    </row>
    <row r="783">
      <c r="C783" s="79"/>
      <c r="D783" s="79"/>
      <c r="E783" s="79"/>
      <c r="N783" s="79"/>
      <c r="S783" s="79"/>
      <c r="T783" s="79"/>
      <c r="W783" s="79"/>
      <c r="X783" s="79"/>
      <c r="AA783" s="130"/>
      <c r="AC783" s="106"/>
    </row>
    <row r="784">
      <c r="C784" s="79"/>
      <c r="D784" s="79"/>
      <c r="E784" s="79"/>
      <c r="N784" s="79"/>
      <c r="S784" s="79"/>
      <c r="T784" s="79"/>
      <c r="W784" s="79"/>
      <c r="X784" s="79"/>
      <c r="AA784" s="130"/>
      <c r="AC784" s="106"/>
    </row>
    <row r="785">
      <c r="C785" s="79"/>
      <c r="D785" s="79"/>
      <c r="E785" s="79"/>
      <c r="N785" s="79"/>
      <c r="S785" s="79"/>
      <c r="T785" s="79"/>
      <c r="W785" s="79"/>
      <c r="X785" s="79"/>
      <c r="AA785" s="130"/>
      <c r="AC785" s="106"/>
    </row>
    <row r="786">
      <c r="C786" s="79"/>
      <c r="D786" s="79"/>
      <c r="E786" s="79"/>
      <c r="N786" s="79"/>
      <c r="S786" s="79"/>
      <c r="T786" s="79"/>
      <c r="W786" s="79"/>
      <c r="X786" s="79"/>
      <c r="AA786" s="130"/>
      <c r="AC786" s="106"/>
    </row>
    <row r="787">
      <c r="C787" s="79"/>
      <c r="D787" s="79"/>
      <c r="E787" s="79"/>
      <c r="N787" s="79"/>
      <c r="S787" s="79"/>
      <c r="T787" s="79"/>
      <c r="W787" s="79"/>
      <c r="X787" s="79"/>
      <c r="AA787" s="130"/>
      <c r="AC787" s="106"/>
    </row>
    <row r="788">
      <c r="C788" s="79"/>
      <c r="D788" s="79"/>
      <c r="E788" s="79"/>
      <c r="N788" s="79"/>
      <c r="S788" s="79"/>
      <c r="T788" s="79"/>
      <c r="W788" s="79"/>
      <c r="X788" s="79"/>
      <c r="AA788" s="130"/>
      <c r="AC788" s="106"/>
    </row>
    <row r="789">
      <c r="C789" s="79"/>
      <c r="D789" s="79"/>
      <c r="E789" s="79"/>
      <c r="N789" s="79"/>
      <c r="S789" s="79"/>
      <c r="T789" s="79"/>
      <c r="W789" s="79"/>
      <c r="X789" s="79"/>
      <c r="AA789" s="130"/>
      <c r="AC789" s="106"/>
    </row>
    <row r="790">
      <c r="C790" s="79"/>
      <c r="D790" s="79"/>
      <c r="E790" s="79"/>
      <c r="N790" s="79"/>
      <c r="S790" s="79"/>
      <c r="T790" s="79"/>
      <c r="W790" s="79"/>
      <c r="X790" s="79"/>
      <c r="AA790" s="130"/>
      <c r="AC790" s="106"/>
    </row>
    <row r="791">
      <c r="C791" s="79"/>
      <c r="D791" s="79"/>
      <c r="E791" s="79"/>
      <c r="N791" s="79"/>
      <c r="S791" s="79"/>
      <c r="T791" s="79"/>
      <c r="W791" s="79"/>
      <c r="X791" s="79"/>
      <c r="AA791" s="130"/>
      <c r="AC791" s="106"/>
    </row>
    <row r="792">
      <c r="C792" s="79"/>
      <c r="D792" s="79"/>
      <c r="E792" s="79"/>
      <c r="N792" s="79"/>
      <c r="S792" s="79"/>
      <c r="T792" s="79"/>
      <c r="W792" s="79"/>
      <c r="X792" s="79"/>
      <c r="AA792" s="130"/>
      <c r="AC792" s="106"/>
    </row>
    <row r="793">
      <c r="C793" s="79"/>
      <c r="D793" s="79"/>
      <c r="E793" s="79"/>
      <c r="N793" s="79"/>
      <c r="S793" s="79"/>
      <c r="T793" s="79"/>
      <c r="W793" s="79"/>
      <c r="X793" s="79"/>
      <c r="AA793" s="130"/>
      <c r="AC793" s="106"/>
    </row>
    <row r="794">
      <c r="C794" s="79"/>
      <c r="D794" s="79"/>
      <c r="E794" s="79"/>
      <c r="N794" s="79"/>
      <c r="S794" s="79"/>
      <c r="T794" s="79"/>
      <c r="W794" s="79"/>
      <c r="X794" s="79"/>
      <c r="AA794" s="130"/>
      <c r="AC794" s="106"/>
    </row>
    <row r="795">
      <c r="C795" s="79"/>
      <c r="D795" s="79"/>
      <c r="E795" s="79"/>
      <c r="N795" s="79"/>
      <c r="S795" s="79"/>
      <c r="T795" s="79"/>
      <c r="W795" s="79"/>
      <c r="X795" s="79"/>
      <c r="AA795" s="130"/>
      <c r="AC795" s="106"/>
    </row>
    <row r="796">
      <c r="C796" s="79"/>
      <c r="D796" s="79"/>
      <c r="E796" s="79"/>
      <c r="N796" s="79"/>
      <c r="S796" s="79"/>
      <c r="T796" s="79"/>
      <c r="W796" s="79"/>
      <c r="X796" s="79"/>
      <c r="AA796" s="130"/>
      <c r="AC796" s="106"/>
    </row>
    <row r="797">
      <c r="C797" s="79"/>
      <c r="D797" s="79"/>
      <c r="E797" s="79"/>
      <c r="N797" s="79"/>
      <c r="S797" s="79"/>
      <c r="T797" s="79"/>
      <c r="W797" s="79"/>
      <c r="X797" s="79"/>
      <c r="AA797" s="130"/>
      <c r="AC797" s="106"/>
    </row>
    <row r="798">
      <c r="C798" s="79"/>
      <c r="D798" s="79"/>
      <c r="E798" s="79"/>
      <c r="N798" s="79"/>
      <c r="S798" s="79"/>
      <c r="T798" s="79"/>
      <c r="W798" s="79"/>
      <c r="X798" s="79"/>
      <c r="AA798" s="130"/>
      <c r="AC798" s="106"/>
    </row>
    <row r="799">
      <c r="C799" s="79"/>
      <c r="D799" s="79"/>
      <c r="E799" s="79"/>
      <c r="N799" s="79"/>
      <c r="S799" s="79"/>
      <c r="T799" s="79"/>
      <c r="W799" s="79"/>
      <c r="X799" s="79"/>
      <c r="AA799" s="130"/>
      <c r="AC799" s="106"/>
    </row>
    <row r="800">
      <c r="C800" s="79"/>
      <c r="D800" s="79"/>
      <c r="E800" s="79"/>
      <c r="N800" s="79"/>
      <c r="S800" s="79"/>
      <c r="T800" s="79"/>
      <c r="W800" s="79"/>
      <c r="X800" s="79"/>
      <c r="AA800" s="130"/>
      <c r="AC800" s="106"/>
    </row>
    <row r="801">
      <c r="C801" s="79"/>
      <c r="D801" s="79"/>
      <c r="E801" s="79"/>
      <c r="N801" s="79"/>
      <c r="S801" s="79"/>
      <c r="T801" s="79"/>
      <c r="W801" s="79"/>
      <c r="X801" s="79"/>
      <c r="AA801" s="130"/>
      <c r="AC801" s="106"/>
    </row>
    <row r="802">
      <c r="C802" s="79"/>
      <c r="D802" s="79"/>
      <c r="E802" s="79"/>
      <c r="N802" s="79"/>
      <c r="S802" s="79"/>
      <c r="T802" s="79"/>
      <c r="W802" s="79"/>
      <c r="X802" s="79"/>
      <c r="AA802" s="130"/>
      <c r="AC802" s="106"/>
    </row>
    <row r="803">
      <c r="C803" s="79"/>
      <c r="D803" s="79"/>
      <c r="E803" s="79"/>
      <c r="N803" s="79"/>
      <c r="S803" s="79"/>
      <c r="T803" s="79"/>
      <c r="W803" s="79"/>
      <c r="X803" s="79"/>
      <c r="AA803" s="130"/>
      <c r="AC803" s="106"/>
    </row>
    <row r="804">
      <c r="C804" s="79"/>
      <c r="D804" s="79"/>
      <c r="E804" s="79"/>
      <c r="N804" s="79"/>
      <c r="S804" s="79"/>
      <c r="T804" s="79"/>
      <c r="W804" s="79"/>
      <c r="X804" s="79"/>
      <c r="AA804" s="130"/>
      <c r="AC804" s="106"/>
    </row>
    <row r="805">
      <c r="C805" s="79"/>
      <c r="D805" s="79"/>
      <c r="E805" s="79"/>
      <c r="N805" s="79"/>
      <c r="S805" s="79"/>
      <c r="T805" s="79"/>
      <c r="W805" s="79"/>
      <c r="X805" s="79"/>
      <c r="AA805" s="130"/>
      <c r="AC805" s="106"/>
    </row>
    <row r="806">
      <c r="C806" s="79"/>
      <c r="D806" s="79"/>
      <c r="E806" s="79"/>
      <c r="N806" s="79"/>
      <c r="S806" s="79"/>
      <c r="T806" s="79"/>
      <c r="W806" s="79"/>
      <c r="X806" s="79"/>
      <c r="AA806" s="130"/>
      <c r="AC806" s="106"/>
    </row>
    <row r="807">
      <c r="C807" s="79"/>
      <c r="D807" s="79"/>
      <c r="E807" s="79"/>
      <c r="N807" s="79"/>
      <c r="S807" s="79"/>
      <c r="T807" s="79"/>
      <c r="W807" s="79"/>
      <c r="X807" s="79"/>
      <c r="AA807" s="130"/>
      <c r="AC807" s="106"/>
    </row>
    <row r="808">
      <c r="C808" s="79"/>
      <c r="D808" s="79"/>
      <c r="E808" s="79"/>
      <c r="N808" s="79"/>
      <c r="S808" s="79"/>
      <c r="T808" s="79"/>
      <c r="W808" s="79"/>
      <c r="X808" s="79"/>
      <c r="AA808" s="130"/>
      <c r="AC808" s="106"/>
    </row>
    <row r="809">
      <c r="C809" s="79"/>
      <c r="D809" s="79"/>
      <c r="E809" s="79"/>
      <c r="N809" s="79"/>
      <c r="S809" s="79"/>
      <c r="T809" s="79"/>
      <c r="W809" s="79"/>
      <c r="X809" s="79"/>
      <c r="AA809" s="130"/>
      <c r="AC809" s="106"/>
    </row>
    <row r="810">
      <c r="C810" s="79"/>
      <c r="D810" s="79"/>
      <c r="E810" s="79"/>
      <c r="N810" s="79"/>
      <c r="S810" s="79"/>
      <c r="T810" s="79"/>
      <c r="W810" s="79"/>
      <c r="X810" s="79"/>
      <c r="AA810" s="130"/>
      <c r="AC810" s="106"/>
    </row>
    <row r="811">
      <c r="C811" s="79"/>
      <c r="D811" s="79"/>
      <c r="E811" s="79"/>
      <c r="N811" s="79"/>
      <c r="S811" s="79"/>
      <c r="T811" s="79"/>
      <c r="W811" s="79"/>
      <c r="X811" s="79"/>
      <c r="AA811" s="130"/>
      <c r="AC811" s="106"/>
    </row>
    <row r="812">
      <c r="C812" s="79"/>
      <c r="D812" s="79"/>
      <c r="E812" s="79"/>
      <c r="N812" s="79"/>
      <c r="S812" s="79"/>
      <c r="T812" s="79"/>
      <c r="W812" s="79"/>
      <c r="X812" s="79"/>
      <c r="AA812" s="130"/>
      <c r="AC812" s="106"/>
    </row>
    <row r="813">
      <c r="C813" s="79"/>
      <c r="D813" s="79"/>
      <c r="E813" s="79"/>
      <c r="N813" s="79"/>
      <c r="S813" s="79"/>
      <c r="T813" s="79"/>
      <c r="W813" s="79"/>
      <c r="X813" s="79"/>
      <c r="AA813" s="130"/>
      <c r="AC813" s="106"/>
    </row>
    <row r="814">
      <c r="C814" s="79"/>
      <c r="D814" s="79"/>
      <c r="E814" s="79"/>
      <c r="N814" s="79"/>
      <c r="S814" s="79"/>
      <c r="T814" s="79"/>
      <c r="W814" s="79"/>
      <c r="X814" s="79"/>
      <c r="AA814" s="130"/>
      <c r="AC814" s="106"/>
    </row>
    <row r="815">
      <c r="C815" s="79"/>
      <c r="D815" s="79"/>
      <c r="E815" s="79"/>
      <c r="N815" s="79"/>
      <c r="S815" s="79"/>
      <c r="T815" s="79"/>
      <c r="W815" s="79"/>
      <c r="X815" s="79"/>
      <c r="AA815" s="130"/>
      <c r="AC815" s="106"/>
    </row>
    <row r="816">
      <c r="C816" s="79"/>
      <c r="D816" s="79"/>
      <c r="E816" s="79"/>
      <c r="N816" s="79"/>
      <c r="S816" s="79"/>
      <c r="T816" s="79"/>
      <c r="W816" s="79"/>
      <c r="X816" s="79"/>
      <c r="AA816" s="130"/>
      <c r="AC816" s="106"/>
    </row>
    <row r="817">
      <c r="C817" s="79"/>
      <c r="D817" s="79"/>
      <c r="E817" s="79"/>
      <c r="N817" s="79"/>
      <c r="S817" s="79"/>
      <c r="T817" s="79"/>
      <c r="W817" s="79"/>
      <c r="X817" s="79"/>
      <c r="AA817" s="130"/>
      <c r="AC817" s="106"/>
    </row>
    <row r="818">
      <c r="C818" s="79"/>
      <c r="D818" s="79"/>
      <c r="E818" s="79"/>
      <c r="N818" s="79"/>
      <c r="S818" s="79"/>
      <c r="T818" s="79"/>
      <c r="W818" s="79"/>
      <c r="X818" s="79"/>
      <c r="AA818" s="130"/>
      <c r="AC818" s="106"/>
    </row>
    <row r="819">
      <c r="C819" s="79"/>
      <c r="D819" s="79"/>
      <c r="E819" s="79"/>
      <c r="N819" s="79"/>
      <c r="S819" s="79"/>
      <c r="T819" s="79"/>
      <c r="W819" s="79"/>
      <c r="X819" s="79"/>
      <c r="AA819" s="130"/>
      <c r="AC819" s="106"/>
    </row>
    <row r="820">
      <c r="C820" s="79"/>
      <c r="D820" s="79"/>
      <c r="E820" s="79"/>
      <c r="N820" s="79"/>
      <c r="S820" s="79"/>
      <c r="T820" s="79"/>
      <c r="W820" s="79"/>
      <c r="X820" s="79"/>
      <c r="AA820" s="130"/>
      <c r="AC820" s="106"/>
    </row>
    <row r="821">
      <c r="C821" s="79"/>
      <c r="D821" s="79"/>
      <c r="E821" s="79"/>
      <c r="N821" s="79"/>
      <c r="S821" s="79"/>
      <c r="T821" s="79"/>
      <c r="W821" s="79"/>
      <c r="X821" s="79"/>
      <c r="AA821" s="130"/>
      <c r="AC821" s="106"/>
    </row>
    <row r="822">
      <c r="C822" s="79"/>
      <c r="D822" s="79"/>
      <c r="E822" s="79"/>
      <c r="N822" s="79"/>
      <c r="S822" s="79"/>
      <c r="T822" s="79"/>
      <c r="W822" s="79"/>
      <c r="X822" s="79"/>
      <c r="AA822" s="130"/>
      <c r="AC822" s="106"/>
    </row>
    <row r="823">
      <c r="C823" s="79"/>
      <c r="D823" s="79"/>
      <c r="E823" s="79"/>
      <c r="N823" s="79"/>
      <c r="S823" s="79"/>
      <c r="T823" s="79"/>
      <c r="W823" s="79"/>
      <c r="X823" s="79"/>
      <c r="AA823" s="130"/>
      <c r="AC823" s="106"/>
    </row>
    <row r="824">
      <c r="C824" s="79"/>
      <c r="D824" s="79"/>
      <c r="E824" s="79"/>
      <c r="N824" s="79"/>
      <c r="S824" s="79"/>
      <c r="T824" s="79"/>
      <c r="W824" s="79"/>
      <c r="X824" s="79"/>
      <c r="AA824" s="130"/>
      <c r="AC824" s="106"/>
    </row>
    <row r="825">
      <c r="C825" s="79"/>
      <c r="D825" s="79"/>
      <c r="E825" s="79"/>
      <c r="N825" s="79"/>
      <c r="S825" s="79"/>
      <c r="T825" s="79"/>
      <c r="W825" s="79"/>
      <c r="X825" s="79"/>
      <c r="AA825" s="130"/>
      <c r="AC825" s="106"/>
    </row>
    <row r="826">
      <c r="C826" s="79"/>
      <c r="D826" s="79"/>
      <c r="E826" s="79"/>
      <c r="N826" s="79"/>
      <c r="S826" s="79"/>
      <c r="T826" s="79"/>
      <c r="W826" s="79"/>
      <c r="X826" s="79"/>
      <c r="AA826" s="130"/>
      <c r="AC826" s="106"/>
    </row>
    <row r="827">
      <c r="C827" s="79"/>
      <c r="D827" s="79"/>
      <c r="E827" s="79"/>
      <c r="N827" s="79"/>
      <c r="S827" s="79"/>
      <c r="T827" s="79"/>
      <c r="W827" s="79"/>
      <c r="X827" s="79"/>
      <c r="AA827" s="130"/>
      <c r="AC827" s="106"/>
    </row>
    <row r="828">
      <c r="C828" s="79"/>
      <c r="D828" s="79"/>
      <c r="E828" s="79"/>
      <c r="N828" s="79"/>
      <c r="S828" s="79"/>
      <c r="T828" s="79"/>
      <c r="W828" s="79"/>
      <c r="X828" s="79"/>
      <c r="AA828" s="130"/>
      <c r="AC828" s="106"/>
    </row>
    <row r="829">
      <c r="C829" s="79"/>
      <c r="D829" s="79"/>
      <c r="E829" s="79"/>
      <c r="N829" s="79"/>
      <c r="S829" s="79"/>
      <c r="T829" s="79"/>
      <c r="W829" s="79"/>
      <c r="X829" s="79"/>
      <c r="AA829" s="130"/>
      <c r="AC829" s="106"/>
    </row>
    <row r="830">
      <c r="C830" s="79"/>
      <c r="D830" s="79"/>
      <c r="E830" s="79"/>
      <c r="N830" s="79"/>
      <c r="S830" s="79"/>
      <c r="T830" s="79"/>
      <c r="W830" s="79"/>
      <c r="X830" s="79"/>
      <c r="AA830" s="130"/>
      <c r="AC830" s="106"/>
    </row>
    <row r="831">
      <c r="C831" s="79"/>
      <c r="D831" s="79"/>
      <c r="E831" s="79"/>
      <c r="N831" s="79"/>
      <c r="S831" s="79"/>
      <c r="T831" s="79"/>
      <c r="W831" s="79"/>
      <c r="X831" s="79"/>
      <c r="AA831" s="130"/>
      <c r="AC831" s="106"/>
    </row>
    <row r="832">
      <c r="C832" s="79"/>
      <c r="D832" s="79"/>
      <c r="E832" s="79"/>
      <c r="N832" s="79"/>
      <c r="S832" s="79"/>
      <c r="T832" s="79"/>
      <c r="W832" s="79"/>
      <c r="X832" s="79"/>
      <c r="AA832" s="130"/>
      <c r="AC832" s="106"/>
    </row>
    <row r="833">
      <c r="C833" s="79"/>
      <c r="D833" s="79"/>
      <c r="E833" s="79"/>
      <c r="N833" s="79"/>
      <c r="S833" s="79"/>
      <c r="T833" s="79"/>
      <c r="W833" s="79"/>
      <c r="X833" s="79"/>
      <c r="AA833" s="130"/>
      <c r="AC833" s="106"/>
    </row>
    <row r="834">
      <c r="C834" s="79"/>
      <c r="D834" s="79"/>
      <c r="E834" s="79"/>
      <c r="N834" s="79"/>
      <c r="S834" s="79"/>
      <c r="T834" s="79"/>
      <c r="W834" s="79"/>
      <c r="X834" s="79"/>
      <c r="AA834" s="130"/>
      <c r="AC834" s="106"/>
    </row>
    <row r="835">
      <c r="C835" s="79"/>
      <c r="D835" s="79"/>
      <c r="E835" s="79"/>
      <c r="N835" s="79"/>
      <c r="S835" s="79"/>
      <c r="T835" s="79"/>
      <c r="W835" s="79"/>
      <c r="X835" s="79"/>
      <c r="AA835" s="130"/>
      <c r="AC835" s="106"/>
    </row>
    <row r="836">
      <c r="C836" s="79"/>
      <c r="D836" s="79"/>
      <c r="E836" s="79"/>
      <c r="N836" s="79"/>
      <c r="S836" s="79"/>
      <c r="T836" s="79"/>
      <c r="W836" s="79"/>
      <c r="X836" s="79"/>
      <c r="AA836" s="130"/>
      <c r="AC836" s="106"/>
    </row>
    <row r="837">
      <c r="C837" s="79"/>
      <c r="D837" s="79"/>
      <c r="E837" s="79"/>
      <c r="N837" s="79"/>
      <c r="S837" s="79"/>
      <c r="T837" s="79"/>
      <c r="W837" s="79"/>
      <c r="X837" s="79"/>
      <c r="AA837" s="130"/>
      <c r="AC837" s="106"/>
    </row>
    <row r="838">
      <c r="C838" s="79"/>
      <c r="D838" s="79"/>
      <c r="E838" s="79"/>
      <c r="N838" s="79"/>
      <c r="S838" s="79"/>
      <c r="T838" s="79"/>
      <c r="W838" s="79"/>
      <c r="X838" s="79"/>
      <c r="AA838" s="130"/>
      <c r="AC838" s="106"/>
    </row>
    <row r="839">
      <c r="C839" s="79"/>
      <c r="D839" s="79"/>
      <c r="E839" s="79"/>
      <c r="N839" s="79"/>
      <c r="S839" s="79"/>
      <c r="T839" s="79"/>
      <c r="W839" s="79"/>
      <c r="X839" s="79"/>
      <c r="AA839" s="130"/>
      <c r="AC839" s="106"/>
    </row>
    <row r="840">
      <c r="C840" s="79"/>
      <c r="D840" s="79"/>
      <c r="E840" s="79"/>
      <c r="N840" s="79"/>
      <c r="S840" s="79"/>
      <c r="T840" s="79"/>
      <c r="W840" s="79"/>
      <c r="X840" s="79"/>
      <c r="AA840" s="130"/>
      <c r="AC840" s="106"/>
    </row>
    <row r="841">
      <c r="C841" s="79"/>
      <c r="D841" s="79"/>
      <c r="E841" s="79"/>
      <c r="N841" s="79"/>
      <c r="S841" s="79"/>
      <c r="T841" s="79"/>
      <c r="W841" s="79"/>
      <c r="X841" s="79"/>
      <c r="AA841" s="130"/>
      <c r="AC841" s="106"/>
    </row>
    <row r="842">
      <c r="C842" s="79"/>
      <c r="D842" s="79"/>
      <c r="E842" s="79"/>
      <c r="N842" s="79"/>
      <c r="S842" s="79"/>
      <c r="T842" s="79"/>
      <c r="W842" s="79"/>
      <c r="X842" s="79"/>
      <c r="AA842" s="130"/>
      <c r="AC842" s="106"/>
    </row>
    <row r="843">
      <c r="C843" s="79"/>
      <c r="D843" s="79"/>
      <c r="E843" s="79"/>
      <c r="N843" s="79"/>
      <c r="S843" s="79"/>
      <c r="T843" s="79"/>
      <c r="W843" s="79"/>
      <c r="X843" s="79"/>
      <c r="AA843" s="130"/>
      <c r="AC843" s="106"/>
    </row>
    <row r="844">
      <c r="C844" s="79"/>
      <c r="D844" s="79"/>
      <c r="E844" s="79"/>
      <c r="N844" s="79"/>
      <c r="S844" s="79"/>
      <c r="T844" s="79"/>
      <c r="W844" s="79"/>
      <c r="X844" s="79"/>
      <c r="AA844" s="130"/>
      <c r="AC844" s="106"/>
    </row>
    <row r="845">
      <c r="C845" s="79"/>
      <c r="D845" s="79"/>
      <c r="E845" s="79"/>
      <c r="N845" s="79"/>
      <c r="S845" s="79"/>
      <c r="T845" s="79"/>
      <c r="W845" s="79"/>
      <c r="X845" s="79"/>
      <c r="AA845" s="130"/>
      <c r="AC845" s="106"/>
    </row>
    <row r="846">
      <c r="C846" s="79"/>
      <c r="D846" s="79"/>
      <c r="E846" s="79"/>
      <c r="N846" s="79"/>
      <c r="S846" s="79"/>
      <c r="T846" s="79"/>
      <c r="W846" s="79"/>
      <c r="X846" s="79"/>
      <c r="AA846" s="130"/>
      <c r="AC846" s="106"/>
    </row>
    <row r="847">
      <c r="C847" s="79"/>
      <c r="D847" s="79"/>
      <c r="E847" s="79"/>
      <c r="N847" s="79"/>
      <c r="S847" s="79"/>
      <c r="T847" s="79"/>
      <c r="W847" s="79"/>
      <c r="X847" s="79"/>
      <c r="AA847" s="130"/>
      <c r="AC847" s="106"/>
    </row>
    <row r="848">
      <c r="C848" s="79"/>
      <c r="D848" s="79"/>
      <c r="E848" s="79"/>
      <c r="N848" s="79"/>
      <c r="S848" s="79"/>
      <c r="T848" s="79"/>
      <c r="W848" s="79"/>
      <c r="X848" s="79"/>
      <c r="AA848" s="130"/>
      <c r="AC848" s="106"/>
    </row>
    <row r="849">
      <c r="C849" s="79"/>
      <c r="D849" s="79"/>
      <c r="E849" s="79"/>
      <c r="N849" s="79"/>
      <c r="S849" s="79"/>
      <c r="T849" s="79"/>
      <c r="W849" s="79"/>
      <c r="X849" s="79"/>
      <c r="AA849" s="130"/>
      <c r="AC849" s="106"/>
    </row>
    <row r="850">
      <c r="C850" s="79"/>
      <c r="D850" s="79"/>
      <c r="E850" s="79"/>
      <c r="N850" s="79"/>
      <c r="S850" s="79"/>
      <c r="T850" s="79"/>
      <c r="W850" s="79"/>
      <c r="X850" s="79"/>
      <c r="AA850" s="130"/>
      <c r="AC850" s="106"/>
    </row>
    <row r="851">
      <c r="C851" s="79"/>
      <c r="D851" s="79"/>
      <c r="E851" s="79"/>
      <c r="N851" s="79"/>
      <c r="S851" s="79"/>
      <c r="T851" s="79"/>
      <c r="W851" s="79"/>
      <c r="X851" s="79"/>
      <c r="AA851" s="130"/>
      <c r="AC851" s="106"/>
    </row>
    <row r="852">
      <c r="C852" s="79"/>
      <c r="D852" s="79"/>
      <c r="E852" s="79"/>
      <c r="N852" s="79"/>
      <c r="S852" s="79"/>
      <c r="T852" s="79"/>
      <c r="W852" s="79"/>
      <c r="X852" s="79"/>
      <c r="AA852" s="130"/>
      <c r="AC852" s="106"/>
    </row>
    <row r="853">
      <c r="C853" s="79"/>
      <c r="D853" s="79"/>
      <c r="E853" s="79"/>
      <c r="N853" s="79"/>
      <c r="S853" s="79"/>
      <c r="T853" s="79"/>
      <c r="W853" s="79"/>
      <c r="X853" s="79"/>
      <c r="AA853" s="130"/>
      <c r="AC853" s="106"/>
    </row>
    <row r="854">
      <c r="C854" s="79"/>
      <c r="D854" s="79"/>
      <c r="E854" s="79"/>
      <c r="N854" s="79"/>
      <c r="S854" s="79"/>
      <c r="T854" s="79"/>
      <c r="W854" s="79"/>
      <c r="X854" s="79"/>
      <c r="AA854" s="130"/>
      <c r="AC854" s="106"/>
    </row>
    <row r="855">
      <c r="C855" s="79"/>
      <c r="D855" s="79"/>
      <c r="E855" s="79"/>
      <c r="N855" s="79"/>
      <c r="S855" s="79"/>
      <c r="T855" s="79"/>
      <c r="W855" s="79"/>
      <c r="X855" s="79"/>
      <c r="AA855" s="130"/>
      <c r="AC855" s="106"/>
    </row>
    <row r="856">
      <c r="C856" s="79"/>
      <c r="D856" s="79"/>
      <c r="E856" s="79"/>
      <c r="N856" s="79"/>
      <c r="S856" s="79"/>
      <c r="T856" s="79"/>
      <c r="W856" s="79"/>
      <c r="X856" s="79"/>
      <c r="AA856" s="130"/>
      <c r="AC856" s="106"/>
    </row>
    <row r="857">
      <c r="C857" s="79"/>
      <c r="D857" s="79"/>
      <c r="E857" s="79"/>
      <c r="N857" s="79"/>
      <c r="S857" s="79"/>
      <c r="T857" s="79"/>
      <c r="W857" s="79"/>
      <c r="X857" s="79"/>
      <c r="AA857" s="130"/>
      <c r="AC857" s="106"/>
    </row>
    <row r="858">
      <c r="C858" s="79"/>
      <c r="D858" s="79"/>
      <c r="E858" s="79"/>
      <c r="N858" s="79"/>
      <c r="S858" s="79"/>
      <c r="T858" s="79"/>
      <c r="W858" s="79"/>
      <c r="X858" s="79"/>
      <c r="AA858" s="130"/>
      <c r="AC858" s="106"/>
    </row>
    <row r="859">
      <c r="C859" s="79"/>
      <c r="D859" s="79"/>
      <c r="E859" s="79"/>
      <c r="N859" s="79"/>
      <c r="S859" s="79"/>
      <c r="T859" s="79"/>
      <c r="W859" s="79"/>
      <c r="X859" s="79"/>
      <c r="AA859" s="130"/>
      <c r="AC859" s="106"/>
    </row>
    <row r="860">
      <c r="C860" s="79"/>
      <c r="D860" s="79"/>
      <c r="E860" s="79"/>
      <c r="N860" s="79"/>
      <c r="S860" s="79"/>
      <c r="T860" s="79"/>
      <c r="W860" s="79"/>
      <c r="X860" s="79"/>
      <c r="AA860" s="130"/>
      <c r="AC860" s="106"/>
    </row>
    <row r="861">
      <c r="C861" s="79"/>
      <c r="D861" s="79"/>
      <c r="E861" s="79"/>
      <c r="N861" s="79"/>
      <c r="S861" s="79"/>
      <c r="T861" s="79"/>
      <c r="W861" s="79"/>
      <c r="X861" s="79"/>
      <c r="AA861" s="130"/>
      <c r="AC861" s="106"/>
    </row>
    <row r="862">
      <c r="C862" s="79"/>
      <c r="D862" s="79"/>
      <c r="E862" s="79"/>
      <c r="N862" s="79"/>
      <c r="S862" s="79"/>
      <c r="T862" s="79"/>
      <c r="W862" s="79"/>
      <c r="X862" s="79"/>
      <c r="AA862" s="130"/>
      <c r="AC862" s="106"/>
    </row>
    <row r="863">
      <c r="C863" s="79"/>
      <c r="D863" s="79"/>
      <c r="E863" s="79"/>
      <c r="N863" s="79"/>
      <c r="S863" s="79"/>
      <c r="T863" s="79"/>
      <c r="W863" s="79"/>
      <c r="X863" s="79"/>
      <c r="AA863" s="130"/>
      <c r="AC863" s="106"/>
    </row>
    <row r="864">
      <c r="C864" s="79"/>
      <c r="D864" s="79"/>
      <c r="E864" s="79"/>
      <c r="N864" s="79"/>
      <c r="S864" s="79"/>
      <c r="T864" s="79"/>
      <c r="W864" s="79"/>
      <c r="X864" s="79"/>
      <c r="AA864" s="130"/>
      <c r="AC864" s="106"/>
    </row>
    <row r="865">
      <c r="C865" s="79"/>
      <c r="D865" s="79"/>
      <c r="E865" s="79"/>
      <c r="N865" s="79"/>
      <c r="S865" s="79"/>
      <c r="T865" s="79"/>
      <c r="W865" s="79"/>
      <c r="X865" s="79"/>
      <c r="AA865" s="130"/>
      <c r="AC865" s="106"/>
    </row>
    <row r="866">
      <c r="C866" s="79"/>
      <c r="D866" s="79"/>
      <c r="E866" s="79"/>
      <c r="N866" s="79"/>
      <c r="S866" s="79"/>
      <c r="T866" s="79"/>
      <c r="W866" s="79"/>
      <c r="X866" s="79"/>
      <c r="AA866" s="130"/>
      <c r="AC866" s="106"/>
    </row>
    <row r="867">
      <c r="C867" s="79"/>
      <c r="D867" s="79"/>
      <c r="E867" s="79"/>
      <c r="N867" s="79"/>
      <c r="S867" s="79"/>
      <c r="T867" s="79"/>
      <c r="W867" s="79"/>
      <c r="X867" s="79"/>
      <c r="AA867" s="130"/>
      <c r="AC867" s="106"/>
    </row>
    <row r="868">
      <c r="C868" s="79"/>
      <c r="D868" s="79"/>
      <c r="E868" s="79"/>
      <c r="N868" s="79"/>
      <c r="S868" s="79"/>
      <c r="T868" s="79"/>
      <c r="W868" s="79"/>
      <c r="X868" s="79"/>
      <c r="AA868" s="130"/>
      <c r="AC868" s="106"/>
    </row>
    <row r="869">
      <c r="C869" s="79"/>
      <c r="D869" s="79"/>
      <c r="E869" s="79"/>
      <c r="N869" s="79"/>
      <c r="S869" s="79"/>
      <c r="T869" s="79"/>
      <c r="W869" s="79"/>
      <c r="X869" s="79"/>
      <c r="AA869" s="130"/>
      <c r="AC869" s="106"/>
    </row>
    <row r="870">
      <c r="C870" s="79"/>
      <c r="D870" s="79"/>
      <c r="E870" s="79"/>
      <c r="N870" s="79"/>
      <c r="S870" s="79"/>
      <c r="T870" s="79"/>
      <c r="W870" s="79"/>
      <c r="X870" s="79"/>
      <c r="AA870" s="130"/>
      <c r="AC870" s="106"/>
    </row>
    <row r="871">
      <c r="C871" s="79"/>
      <c r="D871" s="79"/>
      <c r="E871" s="79"/>
      <c r="N871" s="79"/>
      <c r="S871" s="79"/>
      <c r="T871" s="79"/>
      <c r="W871" s="79"/>
      <c r="X871" s="79"/>
      <c r="AA871" s="130"/>
      <c r="AC871" s="106"/>
    </row>
    <row r="872">
      <c r="C872" s="79"/>
      <c r="D872" s="79"/>
      <c r="E872" s="79"/>
      <c r="N872" s="79"/>
      <c r="S872" s="79"/>
      <c r="T872" s="79"/>
      <c r="W872" s="79"/>
      <c r="X872" s="79"/>
      <c r="AA872" s="130"/>
      <c r="AC872" s="106"/>
    </row>
    <row r="873">
      <c r="C873" s="79"/>
      <c r="D873" s="79"/>
      <c r="E873" s="79"/>
      <c r="N873" s="79"/>
      <c r="S873" s="79"/>
      <c r="T873" s="79"/>
      <c r="W873" s="79"/>
      <c r="X873" s="79"/>
      <c r="AA873" s="130"/>
      <c r="AC873" s="106"/>
    </row>
    <row r="874">
      <c r="C874" s="79"/>
      <c r="D874" s="79"/>
      <c r="E874" s="79"/>
      <c r="N874" s="79"/>
      <c r="S874" s="79"/>
      <c r="T874" s="79"/>
      <c r="W874" s="79"/>
      <c r="X874" s="79"/>
      <c r="AA874" s="130"/>
      <c r="AC874" s="106"/>
    </row>
    <row r="875">
      <c r="C875" s="79"/>
      <c r="D875" s="79"/>
      <c r="E875" s="79"/>
      <c r="N875" s="79"/>
      <c r="S875" s="79"/>
      <c r="T875" s="79"/>
      <c r="W875" s="79"/>
      <c r="X875" s="79"/>
      <c r="AA875" s="130"/>
      <c r="AC875" s="106"/>
    </row>
    <row r="876">
      <c r="C876" s="79"/>
      <c r="D876" s="79"/>
      <c r="E876" s="79"/>
      <c r="N876" s="79"/>
      <c r="S876" s="79"/>
      <c r="T876" s="79"/>
      <c r="W876" s="79"/>
      <c r="X876" s="79"/>
      <c r="AA876" s="130"/>
      <c r="AC876" s="106"/>
    </row>
    <row r="877">
      <c r="C877" s="79"/>
      <c r="D877" s="79"/>
      <c r="E877" s="79"/>
      <c r="N877" s="79"/>
      <c r="S877" s="79"/>
      <c r="T877" s="79"/>
      <c r="W877" s="79"/>
      <c r="X877" s="79"/>
      <c r="AA877" s="130"/>
      <c r="AC877" s="106"/>
    </row>
    <row r="878">
      <c r="C878" s="79"/>
      <c r="D878" s="79"/>
      <c r="E878" s="79"/>
      <c r="N878" s="79"/>
      <c r="S878" s="79"/>
      <c r="T878" s="79"/>
      <c r="W878" s="79"/>
      <c r="X878" s="79"/>
      <c r="AA878" s="130"/>
      <c r="AC878" s="106"/>
    </row>
    <row r="879">
      <c r="C879" s="79"/>
      <c r="D879" s="79"/>
      <c r="E879" s="79"/>
      <c r="N879" s="79"/>
      <c r="S879" s="79"/>
      <c r="T879" s="79"/>
      <c r="W879" s="79"/>
      <c r="X879" s="79"/>
      <c r="AA879" s="130"/>
      <c r="AC879" s="106"/>
    </row>
    <row r="880">
      <c r="C880" s="79"/>
      <c r="D880" s="79"/>
      <c r="E880" s="79"/>
      <c r="N880" s="79"/>
      <c r="S880" s="79"/>
      <c r="T880" s="79"/>
      <c r="W880" s="79"/>
      <c r="X880" s="79"/>
      <c r="AA880" s="130"/>
      <c r="AC880" s="106"/>
    </row>
    <row r="881">
      <c r="C881" s="79"/>
      <c r="D881" s="79"/>
      <c r="E881" s="79"/>
      <c r="N881" s="79"/>
      <c r="S881" s="79"/>
      <c r="T881" s="79"/>
      <c r="W881" s="79"/>
      <c r="X881" s="79"/>
      <c r="AA881" s="130"/>
      <c r="AC881" s="106"/>
    </row>
    <row r="882">
      <c r="C882" s="79"/>
      <c r="D882" s="79"/>
      <c r="E882" s="79"/>
      <c r="N882" s="79"/>
      <c r="S882" s="79"/>
      <c r="T882" s="79"/>
      <c r="W882" s="79"/>
      <c r="X882" s="79"/>
      <c r="AA882" s="130"/>
      <c r="AC882" s="106"/>
    </row>
    <row r="883">
      <c r="C883" s="79"/>
      <c r="D883" s="79"/>
      <c r="E883" s="79"/>
      <c r="N883" s="79"/>
      <c r="S883" s="79"/>
      <c r="T883" s="79"/>
      <c r="W883" s="79"/>
      <c r="X883" s="79"/>
      <c r="AA883" s="130"/>
      <c r="AC883" s="106"/>
    </row>
    <row r="884">
      <c r="C884" s="79"/>
      <c r="D884" s="79"/>
      <c r="E884" s="79"/>
      <c r="N884" s="79"/>
      <c r="S884" s="79"/>
      <c r="T884" s="79"/>
      <c r="W884" s="79"/>
      <c r="X884" s="79"/>
      <c r="AA884" s="130"/>
      <c r="AC884" s="106"/>
    </row>
    <row r="885">
      <c r="C885" s="79"/>
      <c r="D885" s="79"/>
      <c r="E885" s="79"/>
      <c r="N885" s="79"/>
      <c r="S885" s="79"/>
      <c r="T885" s="79"/>
      <c r="W885" s="79"/>
      <c r="X885" s="79"/>
      <c r="AA885" s="130"/>
      <c r="AC885" s="106"/>
    </row>
    <row r="886">
      <c r="C886" s="79"/>
      <c r="D886" s="79"/>
      <c r="E886" s="79"/>
      <c r="N886" s="79"/>
      <c r="S886" s="79"/>
      <c r="T886" s="79"/>
      <c r="W886" s="79"/>
      <c r="X886" s="79"/>
      <c r="AA886" s="130"/>
      <c r="AC886" s="106"/>
    </row>
    <row r="887">
      <c r="C887" s="79"/>
      <c r="D887" s="79"/>
      <c r="E887" s="79"/>
      <c r="N887" s="79"/>
      <c r="S887" s="79"/>
      <c r="T887" s="79"/>
      <c r="W887" s="79"/>
      <c r="X887" s="79"/>
      <c r="AA887" s="130"/>
      <c r="AC887" s="106"/>
    </row>
    <row r="888">
      <c r="C888" s="79"/>
      <c r="D888" s="79"/>
      <c r="E888" s="79"/>
      <c r="N888" s="79"/>
      <c r="S888" s="79"/>
      <c r="T888" s="79"/>
      <c r="W888" s="79"/>
      <c r="X888" s="79"/>
      <c r="AA888" s="130"/>
      <c r="AC888" s="106"/>
    </row>
    <row r="889">
      <c r="C889" s="79"/>
      <c r="D889" s="79"/>
      <c r="E889" s="79"/>
      <c r="N889" s="79"/>
      <c r="S889" s="79"/>
      <c r="T889" s="79"/>
      <c r="W889" s="79"/>
      <c r="X889" s="79"/>
      <c r="AA889" s="130"/>
      <c r="AC889" s="106"/>
    </row>
    <row r="890">
      <c r="C890" s="79"/>
      <c r="D890" s="79"/>
      <c r="E890" s="79"/>
      <c r="N890" s="79"/>
      <c r="S890" s="79"/>
      <c r="T890" s="79"/>
      <c r="W890" s="79"/>
      <c r="X890" s="79"/>
      <c r="AA890" s="130"/>
      <c r="AC890" s="106"/>
    </row>
    <row r="891">
      <c r="C891" s="79"/>
      <c r="D891" s="79"/>
      <c r="E891" s="79"/>
      <c r="N891" s="79"/>
      <c r="S891" s="79"/>
      <c r="T891" s="79"/>
      <c r="W891" s="79"/>
      <c r="X891" s="79"/>
      <c r="AA891" s="130"/>
      <c r="AC891" s="106"/>
    </row>
    <row r="892">
      <c r="C892" s="79"/>
      <c r="D892" s="79"/>
      <c r="E892" s="79"/>
      <c r="N892" s="79"/>
      <c r="S892" s="79"/>
      <c r="T892" s="79"/>
      <c r="W892" s="79"/>
      <c r="X892" s="79"/>
      <c r="AA892" s="130"/>
      <c r="AC892" s="106"/>
    </row>
    <row r="893">
      <c r="C893" s="79"/>
      <c r="D893" s="79"/>
      <c r="E893" s="79"/>
      <c r="N893" s="79"/>
      <c r="S893" s="79"/>
      <c r="T893" s="79"/>
      <c r="W893" s="79"/>
      <c r="X893" s="79"/>
      <c r="AA893" s="130"/>
      <c r="AC893" s="106"/>
    </row>
    <row r="894">
      <c r="C894" s="79"/>
      <c r="D894" s="79"/>
      <c r="E894" s="79"/>
      <c r="N894" s="79"/>
      <c r="S894" s="79"/>
      <c r="T894" s="79"/>
      <c r="W894" s="79"/>
      <c r="X894" s="79"/>
      <c r="AA894" s="130"/>
      <c r="AC894" s="106"/>
    </row>
    <row r="895">
      <c r="C895" s="79"/>
      <c r="D895" s="79"/>
      <c r="E895" s="79"/>
      <c r="N895" s="79"/>
      <c r="S895" s="79"/>
      <c r="T895" s="79"/>
      <c r="W895" s="79"/>
      <c r="X895" s="79"/>
      <c r="AA895" s="130"/>
      <c r="AC895" s="106"/>
    </row>
    <row r="896">
      <c r="C896" s="79"/>
      <c r="D896" s="79"/>
      <c r="E896" s="79"/>
      <c r="N896" s="79"/>
      <c r="S896" s="79"/>
      <c r="T896" s="79"/>
      <c r="W896" s="79"/>
      <c r="X896" s="79"/>
      <c r="AA896" s="130"/>
      <c r="AC896" s="106"/>
    </row>
    <row r="897">
      <c r="C897" s="79"/>
      <c r="D897" s="79"/>
      <c r="E897" s="79"/>
      <c r="N897" s="79"/>
      <c r="S897" s="79"/>
      <c r="T897" s="79"/>
      <c r="W897" s="79"/>
      <c r="X897" s="79"/>
      <c r="AA897" s="130"/>
      <c r="AC897" s="106"/>
    </row>
    <row r="898">
      <c r="C898" s="79"/>
      <c r="D898" s="79"/>
      <c r="E898" s="79"/>
      <c r="N898" s="79"/>
      <c r="S898" s="79"/>
      <c r="T898" s="79"/>
      <c r="W898" s="79"/>
      <c r="X898" s="79"/>
      <c r="AA898" s="130"/>
      <c r="AC898" s="106"/>
    </row>
    <row r="899">
      <c r="C899" s="79"/>
      <c r="D899" s="79"/>
      <c r="E899" s="79"/>
      <c r="N899" s="79"/>
      <c r="S899" s="79"/>
      <c r="T899" s="79"/>
      <c r="W899" s="79"/>
      <c r="X899" s="79"/>
      <c r="AA899" s="130"/>
      <c r="AC899" s="106"/>
    </row>
    <row r="900">
      <c r="C900" s="79"/>
      <c r="D900" s="79"/>
      <c r="E900" s="79"/>
      <c r="N900" s="79"/>
      <c r="S900" s="79"/>
      <c r="T900" s="79"/>
      <c r="W900" s="79"/>
      <c r="X900" s="79"/>
      <c r="AA900" s="130"/>
      <c r="AC900" s="106"/>
    </row>
    <row r="901">
      <c r="C901" s="79"/>
      <c r="D901" s="79"/>
      <c r="E901" s="79"/>
      <c r="N901" s="79"/>
      <c r="S901" s="79"/>
      <c r="T901" s="79"/>
      <c r="W901" s="79"/>
      <c r="X901" s="79"/>
      <c r="AA901" s="130"/>
      <c r="AC901" s="106"/>
    </row>
    <row r="902">
      <c r="C902" s="79"/>
      <c r="D902" s="79"/>
      <c r="E902" s="79"/>
      <c r="N902" s="79"/>
      <c r="S902" s="79"/>
      <c r="T902" s="79"/>
      <c r="W902" s="79"/>
      <c r="X902" s="79"/>
      <c r="AA902" s="130"/>
      <c r="AC902" s="106"/>
    </row>
    <row r="903">
      <c r="C903" s="79"/>
      <c r="D903" s="79"/>
      <c r="E903" s="79"/>
      <c r="N903" s="79"/>
      <c r="S903" s="79"/>
      <c r="T903" s="79"/>
      <c r="W903" s="79"/>
      <c r="X903" s="79"/>
      <c r="AA903" s="130"/>
      <c r="AC903" s="106"/>
    </row>
    <row r="904">
      <c r="C904" s="79"/>
      <c r="D904" s="79"/>
      <c r="E904" s="79"/>
      <c r="N904" s="79"/>
      <c r="S904" s="79"/>
      <c r="T904" s="79"/>
      <c r="W904" s="79"/>
      <c r="X904" s="79"/>
      <c r="AA904" s="130"/>
      <c r="AC904" s="106"/>
    </row>
    <row r="905">
      <c r="C905" s="79"/>
      <c r="D905" s="79"/>
      <c r="E905" s="79"/>
      <c r="N905" s="79"/>
      <c r="S905" s="79"/>
      <c r="T905" s="79"/>
      <c r="W905" s="79"/>
      <c r="X905" s="79"/>
      <c r="AA905" s="130"/>
      <c r="AC905" s="106"/>
    </row>
    <row r="906">
      <c r="C906" s="79"/>
      <c r="D906" s="79"/>
      <c r="E906" s="79"/>
      <c r="N906" s="79"/>
      <c r="S906" s="79"/>
      <c r="T906" s="79"/>
      <c r="W906" s="79"/>
      <c r="X906" s="79"/>
      <c r="AA906" s="130"/>
      <c r="AC906" s="106"/>
    </row>
    <row r="907">
      <c r="C907" s="79"/>
      <c r="D907" s="79"/>
      <c r="E907" s="79"/>
      <c r="N907" s="79"/>
      <c r="S907" s="79"/>
      <c r="T907" s="79"/>
      <c r="W907" s="79"/>
      <c r="X907" s="79"/>
      <c r="AA907" s="130"/>
      <c r="AC907" s="106"/>
    </row>
    <row r="908">
      <c r="C908" s="79"/>
      <c r="D908" s="79"/>
      <c r="E908" s="79"/>
      <c r="N908" s="79"/>
      <c r="S908" s="79"/>
      <c r="T908" s="79"/>
      <c r="W908" s="79"/>
      <c r="X908" s="79"/>
      <c r="AA908" s="130"/>
      <c r="AC908" s="106"/>
    </row>
    <row r="909">
      <c r="C909" s="79"/>
      <c r="D909" s="79"/>
      <c r="E909" s="79"/>
      <c r="N909" s="79"/>
      <c r="S909" s="79"/>
      <c r="T909" s="79"/>
      <c r="W909" s="79"/>
      <c r="X909" s="79"/>
      <c r="AA909" s="130"/>
      <c r="AC909" s="106"/>
    </row>
    <row r="910">
      <c r="C910" s="79"/>
      <c r="D910" s="79"/>
      <c r="E910" s="79"/>
      <c r="N910" s="79"/>
      <c r="S910" s="79"/>
      <c r="T910" s="79"/>
      <c r="W910" s="79"/>
      <c r="X910" s="79"/>
      <c r="AA910" s="130"/>
      <c r="AC910" s="106"/>
    </row>
    <row r="911">
      <c r="C911" s="79"/>
      <c r="D911" s="79"/>
      <c r="E911" s="79"/>
      <c r="N911" s="79"/>
      <c r="S911" s="79"/>
      <c r="T911" s="79"/>
      <c r="W911" s="79"/>
      <c r="X911" s="79"/>
      <c r="AA911" s="130"/>
      <c r="AC911" s="106"/>
    </row>
    <row r="912">
      <c r="C912" s="79"/>
      <c r="D912" s="79"/>
      <c r="E912" s="79"/>
      <c r="N912" s="79"/>
      <c r="S912" s="79"/>
      <c r="T912" s="79"/>
      <c r="W912" s="79"/>
      <c r="X912" s="79"/>
      <c r="AA912" s="130"/>
      <c r="AC912" s="106"/>
    </row>
    <row r="913">
      <c r="C913" s="79"/>
      <c r="D913" s="79"/>
      <c r="E913" s="79"/>
      <c r="N913" s="79"/>
      <c r="S913" s="79"/>
      <c r="T913" s="79"/>
      <c r="W913" s="79"/>
      <c r="X913" s="79"/>
      <c r="AA913" s="130"/>
      <c r="AC913" s="106"/>
    </row>
    <row r="914">
      <c r="C914" s="79"/>
      <c r="D914" s="79"/>
      <c r="E914" s="79"/>
      <c r="N914" s="79"/>
      <c r="S914" s="79"/>
      <c r="T914" s="79"/>
      <c r="W914" s="79"/>
      <c r="X914" s="79"/>
      <c r="AA914" s="130"/>
      <c r="AC914" s="106"/>
    </row>
    <row r="915">
      <c r="C915" s="79"/>
      <c r="D915" s="79"/>
      <c r="E915" s="79"/>
      <c r="N915" s="79"/>
      <c r="S915" s="79"/>
      <c r="T915" s="79"/>
      <c r="W915" s="79"/>
      <c r="X915" s="79"/>
      <c r="AA915" s="130"/>
      <c r="AC915" s="106"/>
    </row>
    <row r="916">
      <c r="C916" s="79"/>
      <c r="D916" s="79"/>
      <c r="E916" s="79"/>
      <c r="N916" s="79"/>
      <c r="S916" s="79"/>
      <c r="T916" s="79"/>
      <c r="W916" s="79"/>
      <c r="X916" s="79"/>
      <c r="AA916" s="130"/>
      <c r="AC916" s="106"/>
    </row>
    <row r="917">
      <c r="C917" s="79"/>
      <c r="D917" s="79"/>
      <c r="E917" s="79"/>
      <c r="N917" s="79"/>
      <c r="S917" s="79"/>
      <c r="T917" s="79"/>
      <c r="W917" s="79"/>
      <c r="X917" s="79"/>
      <c r="AA917" s="130"/>
      <c r="AC917" s="106"/>
    </row>
    <row r="918">
      <c r="C918" s="79"/>
      <c r="D918" s="79"/>
      <c r="E918" s="79"/>
      <c r="N918" s="79"/>
      <c r="S918" s="79"/>
      <c r="T918" s="79"/>
      <c r="W918" s="79"/>
      <c r="X918" s="79"/>
      <c r="AA918" s="130"/>
      <c r="AC918" s="106"/>
    </row>
    <row r="919">
      <c r="C919" s="79"/>
      <c r="D919" s="79"/>
      <c r="E919" s="79"/>
      <c r="N919" s="79"/>
      <c r="S919" s="79"/>
      <c r="T919" s="79"/>
      <c r="W919" s="79"/>
      <c r="X919" s="79"/>
      <c r="AA919" s="130"/>
      <c r="AC919" s="106"/>
    </row>
    <row r="920">
      <c r="C920" s="79"/>
      <c r="D920" s="79"/>
      <c r="E920" s="79"/>
      <c r="N920" s="79"/>
      <c r="S920" s="79"/>
      <c r="T920" s="79"/>
      <c r="W920" s="79"/>
      <c r="X920" s="79"/>
      <c r="AA920" s="130"/>
      <c r="AC920" s="106"/>
    </row>
    <row r="921">
      <c r="C921" s="79"/>
      <c r="D921" s="79"/>
      <c r="E921" s="79"/>
      <c r="N921" s="79"/>
      <c r="S921" s="79"/>
      <c r="T921" s="79"/>
      <c r="W921" s="79"/>
      <c r="X921" s="79"/>
      <c r="AA921" s="130"/>
      <c r="AC921" s="106"/>
    </row>
    <row r="922">
      <c r="C922" s="79"/>
      <c r="D922" s="79"/>
      <c r="E922" s="79"/>
      <c r="N922" s="79"/>
      <c r="S922" s="79"/>
      <c r="T922" s="79"/>
      <c r="W922" s="79"/>
      <c r="X922" s="79"/>
      <c r="AA922" s="130"/>
      <c r="AC922" s="106"/>
    </row>
    <row r="923">
      <c r="C923" s="79"/>
      <c r="D923" s="79"/>
      <c r="E923" s="79"/>
      <c r="N923" s="79"/>
      <c r="S923" s="79"/>
      <c r="T923" s="79"/>
      <c r="W923" s="79"/>
      <c r="X923" s="79"/>
      <c r="AA923" s="130"/>
      <c r="AC923" s="106"/>
    </row>
    <row r="924">
      <c r="C924" s="79"/>
      <c r="D924" s="79"/>
      <c r="E924" s="79"/>
      <c r="N924" s="79"/>
      <c r="S924" s="79"/>
      <c r="T924" s="79"/>
      <c r="W924" s="79"/>
      <c r="X924" s="79"/>
      <c r="AA924" s="130"/>
      <c r="AC924" s="106"/>
    </row>
    <row r="925">
      <c r="C925" s="79"/>
      <c r="D925" s="79"/>
      <c r="E925" s="79"/>
      <c r="N925" s="79"/>
      <c r="S925" s="79"/>
      <c r="T925" s="79"/>
      <c r="W925" s="79"/>
      <c r="X925" s="79"/>
      <c r="AA925" s="130"/>
      <c r="AC925" s="106"/>
    </row>
    <row r="926">
      <c r="C926" s="79"/>
      <c r="D926" s="79"/>
      <c r="E926" s="79"/>
      <c r="N926" s="79"/>
      <c r="S926" s="79"/>
      <c r="T926" s="79"/>
      <c r="W926" s="79"/>
      <c r="X926" s="79"/>
      <c r="AA926" s="130"/>
      <c r="AC926" s="106"/>
    </row>
    <row r="927">
      <c r="C927" s="79"/>
      <c r="D927" s="79"/>
      <c r="E927" s="79"/>
      <c r="N927" s="79"/>
      <c r="S927" s="79"/>
      <c r="T927" s="79"/>
      <c r="W927" s="79"/>
      <c r="X927" s="79"/>
      <c r="AA927" s="130"/>
      <c r="AC927" s="106"/>
    </row>
    <row r="928">
      <c r="C928" s="79"/>
      <c r="D928" s="79"/>
      <c r="E928" s="79"/>
      <c r="N928" s="79"/>
      <c r="S928" s="79"/>
      <c r="T928" s="79"/>
      <c r="W928" s="79"/>
      <c r="X928" s="79"/>
      <c r="AA928" s="130"/>
      <c r="AC928" s="106"/>
    </row>
    <row r="929">
      <c r="C929" s="79"/>
      <c r="D929" s="79"/>
      <c r="E929" s="79"/>
      <c r="N929" s="79"/>
      <c r="S929" s="79"/>
      <c r="T929" s="79"/>
      <c r="W929" s="79"/>
      <c r="X929" s="79"/>
      <c r="AA929" s="130"/>
      <c r="AC929" s="106"/>
    </row>
    <row r="930">
      <c r="C930" s="79"/>
      <c r="D930" s="79"/>
      <c r="E930" s="79"/>
      <c r="N930" s="79"/>
      <c r="S930" s="79"/>
      <c r="T930" s="79"/>
      <c r="W930" s="79"/>
      <c r="X930" s="79"/>
      <c r="AA930" s="130"/>
      <c r="AC930" s="106"/>
    </row>
    <row r="931">
      <c r="C931" s="79"/>
      <c r="D931" s="79"/>
      <c r="E931" s="79"/>
      <c r="N931" s="79"/>
      <c r="S931" s="79"/>
      <c r="T931" s="79"/>
      <c r="W931" s="79"/>
      <c r="X931" s="79"/>
      <c r="AA931" s="130"/>
      <c r="AC931" s="106"/>
    </row>
    <row r="932">
      <c r="C932" s="79"/>
      <c r="D932" s="79"/>
      <c r="E932" s="79"/>
      <c r="N932" s="79"/>
      <c r="S932" s="79"/>
      <c r="T932" s="79"/>
      <c r="W932" s="79"/>
      <c r="X932" s="79"/>
      <c r="AA932" s="130"/>
      <c r="AC932" s="106"/>
    </row>
  </sheetData>
  <drawing r:id="rId2"/>
  <legacyDrawing r:id="rId3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6.5"/>
    <col customWidth="1" min="5" max="5" width="20.63"/>
    <col customWidth="1" min="7" max="7" width="28.0"/>
    <col customWidth="1" min="8" max="8" width="13.25"/>
    <col customWidth="1" min="25" max="25" width="14.63"/>
    <col customWidth="1" min="29" max="29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129</v>
      </c>
      <c r="J1" s="2" t="s">
        <v>5</v>
      </c>
      <c r="K1" s="2" t="s">
        <v>204</v>
      </c>
      <c r="L1" s="2" t="s">
        <v>6</v>
      </c>
      <c r="M1" s="2" t="s">
        <v>12</v>
      </c>
      <c r="N1" s="105" t="s">
        <v>40</v>
      </c>
      <c r="O1" s="2" t="s">
        <v>49</v>
      </c>
      <c r="P1" s="2" t="s">
        <v>42</v>
      </c>
      <c r="Q1" s="105" t="s">
        <v>11</v>
      </c>
      <c r="R1" s="2" t="s">
        <v>164</v>
      </c>
      <c r="S1" s="105" t="s">
        <v>9</v>
      </c>
      <c r="T1" s="105" t="s">
        <v>165</v>
      </c>
      <c r="U1" s="2" t="s">
        <v>37</v>
      </c>
      <c r="V1" s="2" t="s">
        <v>10</v>
      </c>
      <c r="W1" s="2" t="s">
        <v>121</v>
      </c>
      <c r="X1" s="105" t="s">
        <v>205</v>
      </c>
      <c r="Y1" s="2" t="s">
        <v>206</v>
      </c>
      <c r="Z1" s="3" t="s">
        <v>13</v>
      </c>
      <c r="AA1" s="3" t="s">
        <v>14</v>
      </c>
      <c r="AB1" s="3" t="s">
        <v>15</v>
      </c>
      <c r="AC1" s="106"/>
    </row>
    <row r="2">
      <c r="A2" s="74">
        <v>45404.0</v>
      </c>
      <c r="B2" s="93">
        <v>1860.2</v>
      </c>
      <c r="C2" s="93"/>
      <c r="D2" s="193">
        <v>687.05</v>
      </c>
      <c r="E2" s="93"/>
      <c r="F2" s="93"/>
      <c r="G2" s="93"/>
      <c r="H2" s="93"/>
      <c r="I2" s="93"/>
      <c r="J2" s="93"/>
      <c r="K2" s="93"/>
      <c r="L2" s="93"/>
      <c r="M2" s="93"/>
      <c r="N2" s="93"/>
      <c r="O2" s="93">
        <v>266.0</v>
      </c>
      <c r="P2" s="93"/>
      <c r="Q2" s="254">
        <v>57.05</v>
      </c>
      <c r="R2" s="93"/>
      <c r="S2" s="93"/>
      <c r="T2" s="93"/>
      <c r="U2" s="72"/>
      <c r="V2" s="93"/>
      <c r="W2" s="93"/>
      <c r="X2" s="93"/>
      <c r="Y2" s="5"/>
      <c r="Z2" s="107">
        <f t="shared" ref="Z2:Z8" si="1">SUM(B2:Y2)</f>
        <v>2870.3</v>
      </c>
      <c r="AA2" s="158">
        <v>1957.0</v>
      </c>
      <c r="AB2" s="59">
        <f t="shared" ref="AB2:AB8" si="2">Z2/AA2</f>
        <v>1.4666837</v>
      </c>
      <c r="AC2" s="109">
        <f t="shared" ref="AC2:AC8" si="3">A2</f>
        <v>45404</v>
      </c>
    </row>
    <row r="3">
      <c r="A3" s="74">
        <v>45405.0</v>
      </c>
      <c r="B3" s="93">
        <v>703.46</v>
      </c>
      <c r="C3" s="78">
        <v>48.65</v>
      </c>
      <c r="D3" s="5"/>
      <c r="E3" s="93"/>
      <c r="F3" s="93"/>
      <c r="G3" s="93"/>
      <c r="H3" s="93"/>
      <c r="I3" s="93"/>
      <c r="J3" s="93"/>
      <c r="K3" s="93"/>
      <c r="L3" s="93">
        <v>42.0</v>
      </c>
      <c r="M3" s="93"/>
      <c r="N3" s="93"/>
      <c r="O3" s="93"/>
      <c r="P3" s="254">
        <v>144.0</v>
      </c>
      <c r="Q3" s="93"/>
      <c r="R3" s="93"/>
      <c r="S3" s="93"/>
      <c r="T3" s="93"/>
      <c r="U3" s="93"/>
      <c r="V3" s="93"/>
      <c r="W3" s="93"/>
      <c r="X3" s="93"/>
      <c r="Y3" s="93"/>
      <c r="Z3" s="107">
        <f t="shared" si="1"/>
        <v>938.11</v>
      </c>
      <c r="AA3" s="158">
        <v>4255.0</v>
      </c>
      <c r="AB3" s="59">
        <f t="shared" si="2"/>
        <v>0.2204723854</v>
      </c>
      <c r="AC3" s="109">
        <f t="shared" si="3"/>
        <v>45405</v>
      </c>
    </row>
    <row r="4">
      <c r="A4" s="74">
        <v>45406.0</v>
      </c>
      <c r="B4" s="93">
        <v>473.68</v>
      </c>
      <c r="C4" s="93"/>
      <c r="D4" s="93"/>
      <c r="E4" s="93"/>
      <c r="F4" s="255"/>
      <c r="G4" s="93">
        <v>180.0</v>
      </c>
      <c r="H4" s="93"/>
      <c r="I4" s="93">
        <v>152.06</v>
      </c>
      <c r="J4" s="93">
        <v>581.9</v>
      </c>
      <c r="K4" s="93"/>
      <c r="L4" s="93"/>
      <c r="M4" s="93"/>
      <c r="N4" s="93"/>
      <c r="O4" s="93"/>
      <c r="P4" s="93"/>
      <c r="Q4" s="254">
        <v>57.05</v>
      </c>
      <c r="R4" s="93"/>
      <c r="S4" s="93"/>
      <c r="T4" s="93"/>
      <c r="U4" s="160"/>
      <c r="V4" s="93">
        <v>60.0</v>
      </c>
      <c r="W4" s="93"/>
      <c r="X4" s="93"/>
      <c r="Y4" s="6"/>
      <c r="Z4" s="107">
        <f t="shared" si="1"/>
        <v>1504.69</v>
      </c>
      <c r="AA4" s="97">
        <v>3391.2</v>
      </c>
      <c r="AB4" s="59">
        <f t="shared" si="2"/>
        <v>0.4437042935</v>
      </c>
      <c r="AC4" s="109">
        <f t="shared" si="3"/>
        <v>45406</v>
      </c>
    </row>
    <row r="5">
      <c r="A5" s="74">
        <v>45407.0</v>
      </c>
      <c r="B5" s="255">
        <v>732.75</v>
      </c>
      <c r="C5" s="93">
        <v>103.8</v>
      </c>
      <c r="D5" s="93"/>
      <c r="E5" s="93"/>
      <c r="F5" s="93"/>
      <c r="G5" s="93"/>
      <c r="H5" s="160"/>
      <c r="I5" s="93">
        <v>166.36</v>
      </c>
      <c r="J5" s="93"/>
      <c r="K5" s="93"/>
      <c r="L5" s="93"/>
      <c r="M5" s="93"/>
      <c r="N5" s="93"/>
      <c r="O5" s="93"/>
      <c r="P5" s="93">
        <v>108.0</v>
      </c>
      <c r="Q5" s="101"/>
      <c r="R5" s="93"/>
      <c r="S5" s="5"/>
      <c r="T5" s="93"/>
      <c r="U5" s="93"/>
      <c r="V5" s="93">
        <v>78.0</v>
      </c>
      <c r="W5" s="93"/>
      <c r="X5" s="101"/>
      <c r="Y5" s="6"/>
      <c r="Z5" s="7">
        <f t="shared" si="1"/>
        <v>1188.91</v>
      </c>
      <c r="AA5" s="97">
        <v>7415.0</v>
      </c>
      <c r="AB5" s="59">
        <f t="shared" si="2"/>
        <v>0.160338503</v>
      </c>
      <c r="AC5" s="109">
        <f t="shared" si="3"/>
        <v>45407</v>
      </c>
    </row>
    <row r="6">
      <c r="A6" s="74">
        <v>45408.0</v>
      </c>
      <c r="B6" s="93">
        <v>1144.18</v>
      </c>
      <c r="C6" s="93"/>
      <c r="D6" s="93">
        <v>654.83</v>
      </c>
      <c r="E6" s="93"/>
      <c r="F6" s="93"/>
      <c r="G6" s="93"/>
      <c r="H6" s="93"/>
      <c r="I6" s="93"/>
      <c r="J6" s="93"/>
      <c r="K6" s="93"/>
      <c r="L6" s="93">
        <v>166.4</v>
      </c>
      <c r="M6" s="93"/>
      <c r="N6" s="162"/>
      <c r="O6" s="93">
        <v>300.0</v>
      </c>
      <c r="P6" s="93"/>
      <c r="Q6" s="254">
        <v>57.05</v>
      </c>
      <c r="R6" s="93"/>
      <c r="S6" s="93"/>
      <c r="T6" s="93"/>
      <c r="U6" s="93"/>
      <c r="V6" s="93"/>
      <c r="W6" s="93"/>
      <c r="X6" s="93"/>
      <c r="Y6" s="5"/>
      <c r="Z6" s="7">
        <f t="shared" si="1"/>
        <v>2322.46</v>
      </c>
      <c r="AA6" s="97">
        <v>7145.0</v>
      </c>
      <c r="AB6" s="59">
        <f t="shared" si="2"/>
        <v>0.3250468859</v>
      </c>
      <c r="AC6" s="109">
        <f t="shared" si="3"/>
        <v>45408</v>
      </c>
    </row>
    <row r="7">
      <c r="A7" s="74">
        <v>45409.0</v>
      </c>
      <c r="B7" s="93">
        <v>319.77</v>
      </c>
      <c r="C7" s="93">
        <v>377.65</v>
      </c>
      <c r="D7" s="93">
        <v>374.75</v>
      </c>
      <c r="E7" s="93"/>
      <c r="F7" s="93"/>
      <c r="G7" s="93">
        <v>180.0</v>
      </c>
      <c r="I7" s="93"/>
      <c r="J7" s="93"/>
      <c r="K7" s="93"/>
      <c r="L7" s="93"/>
      <c r="M7" s="93"/>
      <c r="N7" s="93"/>
      <c r="O7" s="5"/>
      <c r="P7" s="93"/>
      <c r="Q7" s="101"/>
      <c r="R7" s="93"/>
      <c r="S7" s="93"/>
      <c r="T7" s="93"/>
      <c r="U7" s="101"/>
      <c r="V7" s="93"/>
      <c r="W7" s="93"/>
      <c r="X7" s="101"/>
      <c r="Y7" s="5"/>
      <c r="Z7" s="7">
        <f t="shared" si="1"/>
        <v>1252.17</v>
      </c>
      <c r="AA7" s="97">
        <v>12578.0</v>
      </c>
      <c r="AB7" s="59">
        <f t="shared" si="2"/>
        <v>0.09955239307</v>
      </c>
      <c r="AC7" s="109">
        <f t="shared" si="3"/>
        <v>45409</v>
      </c>
    </row>
    <row r="8">
      <c r="A8" s="74">
        <v>45410.0</v>
      </c>
      <c r="B8" s="254">
        <v>665.0</v>
      </c>
      <c r="C8" s="5"/>
      <c r="D8" s="254">
        <v>1668.69</v>
      </c>
      <c r="E8" s="10" t="s">
        <v>21</v>
      </c>
      <c r="F8" s="254">
        <v>430.86</v>
      </c>
      <c r="G8" s="10" t="s">
        <v>21</v>
      </c>
      <c r="H8" s="10" t="s">
        <v>21</v>
      </c>
      <c r="I8" s="5"/>
      <c r="J8" s="5"/>
      <c r="K8" s="10" t="s">
        <v>21</v>
      </c>
      <c r="L8" s="10" t="s">
        <v>21</v>
      </c>
      <c r="M8" s="10" t="s">
        <v>21</v>
      </c>
      <c r="N8" s="10" t="s">
        <v>21</v>
      </c>
      <c r="O8" s="10" t="s">
        <v>21</v>
      </c>
      <c r="P8" s="5"/>
      <c r="Q8" s="10" t="s">
        <v>21</v>
      </c>
      <c r="R8" s="5"/>
      <c r="S8" s="10" t="s">
        <v>21</v>
      </c>
      <c r="T8" s="10" t="s">
        <v>21</v>
      </c>
      <c r="U8" s="10" t="s">
        <v>21</v>
      </c>
      <c r="V8" s="10" t="s">
        <v>21</v>
      </c>
      <c r="W8" s="10" t="s">
        <v>21</v>
      </c>
      <c r="X8" s="10" t="s">
        <v>21</v>
      </c>
      <c r="Y8" s="10" t="s">
        <v>21</v>
      </c>
      <c r="Z8" s="7">
        <f t="shared" si="1"/>
        <v>2764.55</v>
      </c>
      <c r="AA8" s="97">
        <v>4446.81</v>
      </c>
      <c r="AB8" s="59">
        <f t="shared" si="2"/>
        <v>0.621692854</v>
      </c>
      <c r="AC8" s="109">
        <f t="shared" si="3"/>
        <v>45410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AA9" s="129"/>
      <c r="AC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AA10" s="129"/>
      <c r="AC10" s="106"/>
    </row>
    <row r="11">
      <c r="A11" s="165" t="s">
        <v>194</v>
      </c>
      <c r="B11" s="93">
        <v>264.67</v>
      </c>
      <c r="C11" s="93"/>
      <c r="D11" s="93"/>
      <c r="E11" s="167"/>
      <c r="F11" s="168"/>
      <c r="G11" s="168"/>
      <c r="H11" s="166"/>
      <c r="I11" s="166"/>
      <c r="J11" s="93"/>
      <c r="K11" s="168"/>
      <c r="L11" s="93"/>
      <c r="M11" s="166"/>
      <c r="N11" s="168"/>
      <c r="O11" s="166"/>
      <c r="P11" s="168"/>
      <c r="Q11" s="168"/>
      <c r="R11" s="1"/>
      <c r="S11" s="1"/>
      <c r="T11" s="1"/>
      <c r="U11" s="1"/>
      <c r="V11" s="1"/>
      <c r="W11" s="1"/>
      <c r="X11" s="168"/>
      <c r="Y11" s="1"/>
      <c r="Z11" s="1"/>
      <c r="AA11" s="169"/>
      <c r="AB11" s="1"/>
      <c r="AC11" s="170"/>
    </row>
    <row r="12">
      <c r="A12" s="165" t="s">
        <v>195</v>
      </c>
      <c r="B12" s="93">
        <v>1224.73</v>
      </c>
      <c r="C12" s="93">
        <v>415.28</v>
      </c>
      <c r="D12" s="93">
        <v>131.85</v>
      </c>
      <c r="E12" s="93"/>
      <c r="F12" s="93"/>
      <c r="G12" s="93"/>
      <c r="H12" s="93">
        <v>2671.02</v>
      </c>
      <c r="I12" s="93">
        <v>201.62</v>
      </c>
      <c r="J12" s="93">
        <v>99.0</v>
      </c>
      <c r="K12" s="93"/>
      <c r="L12" s="93"/>
      <c r="M12" s="93"/>
      <c r="N12" s="93"/>
      <c r="O12" s="166">
        <v>300.0</v>
      </c>
      <c r="P12" s="166"/>
      <c r="Q12" s="168"/>
      <c r="R12" s="1"/>
      <c r="S12" s="168"/>
      <c r="T12" s="168"/>
      <c r="U12" s="1"/>
      <c r="V12" s="96"/>
      <c r="W12" s="1"/>
      <c r="X12" s="168"/>
      <c r="Y12" s="1"/>
      <c r="Z12" s="1"/>
      <c r="AA12" s="171"/>
      <c r="AB12" s="1"/>
      <c r="AC12" s="170"/>
    </row>
    <row r="13">
      <c r="A13" s="172" t="s">
        <v>282</v>
      </c>
      <c r="B13" s="93"/>
      <c r="C13" s="93"/>
      <c r="D13" s="93"/>
      <c r="E13" s="168"/>
      <c r="F13" s="166"/>
      <c r="G13" s="166"/>
      <c r="H13" s="168"/>
      <c r="I13" s="168"/>
      <c r="J13" s="93"/>
      <c r="K13" s="168"/>
      <c r="L13" s="168"/>
      <c r="M13" s="168"/>
      <c r="N13" s="168"/>
      <c r="O13" s="166"/>
      <c r="P13" s="168"/>
      <c r="Q13" s="168"/>
      <c r="R13" s="1"/>
      <c r="S13" s="168"/>
      <c r="T13" s="168"/>
      <c r="U13" s="1"/>
      <c r="V13" s="96"/>
      <c r="W13" s="1"/>
      <c r="X13" s="168"/>
      <c r="Y13" s="1"/>
      <c r="Z13" s="1"/>
      <c r="AA13" s="174"/>
      <c r="AB13" s="1"/>
      <c r="AC13" s="170"/>
    </row>
    <row r="14">
      <c r="A14" s="165" t="s">
        <v>198</v>
      </c>
      <c r="B14" s="93"/>
      <c r="C14" s="93"/>
      <c r="D14" s="93"/>
      <c r="E14" s="168"/>
      <c r="F14" s="166"/>
      <c r="G14" s="166"/>
      <c r="H14" s="168"/>
      <c r="I14" s="168"/>
      <c r="J14" s="168"/>
      <c r="K14" s="168"/>
      <c r="L14" s="168"/>
      <c r="M14" s="168"/>
      <c r="N14" s="168"/>
      <c r="O14" s="166"/>
      <c r="P14" s="168"/>
      <c r="Q14" s="168"/>
      <c r="R14" s="1"/>
      <c r="S14" s="168"/>
      <c r="T14" s="168"/>
      <c r="U14" s="1"/>
      <c r="V14" s="96"/>
      <c r="W14" s="1"/>
      <c r="X14" s="168"/>
      <c r="Y14" s="1"/>
      <c r="Z14" s="1"/>
      <c r="AA14" s="174"/>
      <c r="AB14" s="1"/>
      <c r="AC14" s="170"/>
    </row>
    <row r="15">
      <c r="A15" s="91"/>
      <c r="B15" s="92"/>
      <c r="C15" s="79"/>
      <c r="D15" s="79"/>
      <c r="E15" s="79"/>
      <c r="F15" s="78"/>
      <c r="G15" s="78"/>
      <c r="H15" s="78"/>
      <c r="I15" s="78"/>
      <c r="L15" s="79"/>
      <c r="M15" s="79"/>
      <c r="N15" s="78"/>
      <c r="O15" s="79"/>
      <c r="P15" s="79"/>
      <c r="Q15" s="79"/>
      <c r="S15" s="79"/>
      <c r="T15" s="79"/>
      <c r="X15" s="79"/>
      <c r="AA15" s="131"/>
      <c r="AC15" s="106"/>
    </row>
    <row r="16">
      <c r="A16" s="91"/>
      <c r="B16" s="92"/>
      <c r="C16" s="78"/>
      <c r="D16" s="78"/>
      <c r="E16" s="78"/>
      <c r="F16" s="198"/>
      <c r="G16" s="198"/>
      <c r="H16" s="204"/>
      <c r="I16" s="198"/>
      <c r="J16" s="201"/>
      <c r="K16" s="199"/>
      <c r="L16" s="199"/>
      <c r="M16" s="200"/>
      <c r="N16" s="201"/>
      <c r="O16" s="202"/>
      <c r="P16" s="198"/>
      <c r="Q16" s="79"/>
      <c r="R16" s="198"/>
      <c r="S16" s="198"/>
      <c r="T16" s="198"/>
      <c r="W16" s="198"/>
      <c r="X16" s="79"/>
      <c r="AA16" s="131"/>
      <c r="AC16" s="106"/>
    </row>
    <row r="17">
      <c r="A17" s="4" t="s">
        <v>22</v>
      </c>
      <c r="B17" s="11">
        <v>10000.0</v>
      </c>
      <c r="C17" s="79"/>
      <c r="D17" s="79"/>
      <c r="E17" s="79"/>
      <c r="F17" s="240"/>
      <c r="G17" s="240"/>
      <c r="H17" s="201"/>
      <c r="K17" s="201"/>
      <c r="L17" s="201"/>
      <c r="M17" s="198"/>
      <c r="N17" s="201"/>
      <c r="O17" s="200"/>
      <c r="P17" s="203"/>
      <c r="Q17" s="79"/>
      <c r="R17" s="198"/>
      <c r="S17" s="198"/>
      <c r="T17" s="198"/>
      <c r="U17" s="204"/>
      <c r="W17" s="198"/>
      <c r="X17" s="79"/>
      <c r="AA17" s="131"/>
      <c r="AC17" s="106"/>
    </row>
    <row r="18">
      <c r="A18" s="4" t="s">
        <v>23</v>
      </c>
      <c r="B18" s="12">
        <f>SUM(B2:Y8)</f>
        <v>12841.19</v>
      </c>
      <c r="C18" s="192"/>
      <c r="D18" s="177"/>
      <c r="E18" s="78"/>
      <c r="F18" s="213"/>
      <c r="G18" s="213"/>
      <c r="H18" s="151"/>
      <c r="K18" s="191"/>
      <c r="L18" s="201"/>
      <c r="M18" s="201"/>
      <c r="N18" s="200"/>
      <c r="O18" s="201"/>
      <c r="P18" s="203"/>
      <c r="Q18" s="79"/>
      <c r="R18" s="198"/>
      <c r="S18" s="198"/>
      <c r="T18" s="198"/>
      <c r="U18" s="204"/>
      <c r="W18" s="198"/>
      <c r="X18" s="79"/>
      <c r="AA18" s="131"/>
      <c r="AC18" s="106"/>
    </row>
    <row r="19">
      <c r="A19" s="4" t="s">
        <v>24</v>
      </c>
      <c r="B19" s="12">
        <f> SUM(B17-B18)</f>
        <v>-2841.19</v>
      </c>
      <c r="C19" s="79"/>
      <c r="D19" s="79"/>
      <c r="E19" s="78"/>
      <c r="F19" s="201"/>
      <c r="G19" s="201"/>
      <c r="H19" s="214"/>
      <c r="K19" s="203"/>
      <c r="L19" s="199"/>
      <c r="M19" s="203"/>
      <c r="N19" s="201"/>
      <c r="O19" s="200"/>
      <c r="P19" s="203"/>
      <c r="Q19" s="79"/>
      <c r="R19" s="198"/>
      <c r="S19" s="198"/>
      <c r="T19" s="198"/>
      <c r="U19" s="204"/>
      <c r="W19" s="198"/>
      <c r="X19" s="79"/>
      <c r="AA19" s="131"/>
      <c r="AC19" s="106"/>
    </row>
    <row r="20">
      <c r="C20" s="79"/>
      <c r="D20" s="79"/>
      <c r="E20" s="78"/>
      <c r="F20" s="213"/>
      <c r="G20" s="148"/>
      <c r="H20" s="214"/>
      <c r="I20" s="224"/>
      <c r="J20" s="203"/>
      <c r="K20" s="203"/>
      <c r="M20" s="201"/>
      <c r="N20" s="201"/>
      <c r="O20" s="198"/>
      <c r="P20" s="203"/>
      <c r="Q20" s="79"/>
      <c r="R20" s="206"/>
      <c r="S20" s="198"/>
      <c r="T20" s="198"/>
      <c r="U20" s="204"/>
      <c r="W20" s="198"/>
      <c r="X20" s="79"/>
      <c r="AA20" s="131"/>
      <c r="AC20" s="106"/>
    </row>
    <row r="21">
      <c r="A21" s="13" t="s">
        <v>25</v>
      </c>
      <c r="B21" s="14">
        <f>SUM(AA2:AA8)</f>
        <v>41188.01</v>
      </c>
      <c r="C21" s="79"/>
      <c r="D21" s="79"/>
      <c r="E21" s="78"/>
      <c r="F21" s="201"/>
      <c r="G21" s="256" t="s">
        <v>285</v>
      </c>
      <c r="H21" s="256" t="s">
        <v>30</v>
      </c>
      <c r="I21" s="256" t="s">
        <v>286</v>
      </c>
      <c r="J21" s="32" t="s">
        <v>287</v>
      </c>
      <c r="K21" s="203"/>
      <c r="L21" s="203"/>
      <c r="M21" s="201"/>
      <c r="N21" s="201"/>
      <c r="O21" s="198"/>
      <c r="P21" s="203"/>
      <c r="Q21" s="79"/>
      <c r="R21" s="198"/>
      <c r="S21" s="198"/>
      <c r="T21" s="198"/>
      <c r="U21" s="204"/>
      <c r="W21" s="198"/>
      <c r="X21" s="79"/>
      <c r="AA21" s="181"/>
      <c r="AC21" s="106"/>
    </row>
    <row r="22">
      <c r="A22" s="13" t="s">
        <v>26</v>
      </c>
      <c r="B22" s="15">
        <f>B18/B21</f>
        <v>0.3117701001</v>
      </c>
      <c r="C22" s="79"/>
      <c r="D22" s="79"/>
      <c r="E22" s="78"/>
      <c r="F22" s="204"/>
      <c r="G22" s="32" t="s">
        <v>84</v>
      </c>
      <c r="H22" s="56">
        <v>1668.69</v>
      </c>
      <c r="I22" s="32">
        <v>193227.0</v>
      </c>
      <c r="K22" s="203"/>
      <c r="L22" s="203"/>
      <c r="M22" s="201"/>
      <c r="N22" s="200"/>
      <c r="O22" s="203"/>
      <c r="P22" s="203"/>
      <c r="Q22" s="79"/>
      <c r="R22" s="198"/>
      <c r="S22" s="198"/>
      <c r="T22" s="198"/>
      <c r="U22" s="204"/>
      <c r="W22" s="198"/>
      <c r="X22" s="79"/>
      <c r="AA22" s="130"/>
      <c r="AC22" s="106"/>
    </row>
    <row r="23">
      <c r="C23" s="79"/>
      <c r="D23" s="79"/>
      <c r="E23" s="78"/>
      <c r="F23" s="204"/>
      <c r="G23" s="32" t="s">
        <v>288</v>
      </c>
      <c r="H23" s="32">
        <v>430.86</v>
      </c>
      <c r="I23" s="32">
        <v>54216.0</v>
      </c>
      <c r="K23" s="203"/>
      <c r="L23" s="203"/>
      <c r="M23" s="198"/>
      <c r="N23" s="198"/>
      <c r="O23" s="201"/>
      <c r="P23" s="198"/>
      <c r="Q23" s="79"/>
      <c r="R23" s="198"/>
      <c r="S23" s="198"/>
      <c r="T23" s="198"/>
      <c r="U23" s="204"/>
      <c r="W23" s="198"/>
      <c r="X23" s="79"/>
      <c r="AA23" s="182"/>
      <c r="AC23" s="106"/>
    </row>
    <row r="24">
      <c r="C24" s="79"/>
      <c r="D24" s="79"/>
      <c r="E24" s="79"/>
      <c r="F24" s="204"/>
      <c r="G24" s="32" t="s">
        <v>289</v>
      </c>
      <c r="H24" s="32">
        <v>144.0</v>
      </c>
      <c r="I24" s="32">
        <v>65586.0</v>
      </c>
      <c r="J24" s="257">
        <v>45405.0</v>
      </c>
      <c r="K24" s="203"/>
      <c r="L24" s="203"/>
      <c r="M24" s="198"/>
      <c r="N24" s="201"/>
      <c r="O24" s="201"/>
      <c r="P24" s="198"/>
      <c r="Q24" s="79"/>
      <c r="R24" s="198"/>
      <c r="S24" s="198"/>
      <c r="T24" s="198"/>
      <c r="U24" s="204"/>
      <c r="W24" s="198"/>
      <c r="X24" s="79"/>
      <c r="AA24" s="130"/>
      <c r="AC24" s="106"/>
    </row>
    <row r="25">
      <c r="A25" s="16" t="s">
        <v>27</v>
      </c>
      <c r="B25" s="17"/>
      <c r="C25" s="114"/>
      <c r="D25" s="114"/>
      <c r="E25" s="115"/>
      <c r="F25" s="204"/>
      <c r="G25" s="32" t="s">
        <v>290</v>
      </c>
      <c r="H25" s="32">
        <v>700.5</v>
      </c>
      <c r="I25" s="32">
        <v>539984.0</v>
      </c>
      <c r="K25" s="203"/>
      <c r="L25" s="217"/>
      <c r="M25" s="208"/>
      <c r="N25" s="208"/>
      <c r="O25" s="198"/>
      <c r="P25" s="200"/>
      <c r="Q25" s="79"/>
      <c r="R25" s="198"/>
      <c r="S25" s="198"/>
      <c r="T25" s="198"/>
      <c r="U25" s="204"/>
      <c r="W25" s="198"/>
      <c r="X25" s="79"/>
      <c r="AA25" s="130"/>
      <c r="AC25" s="106"/>
    </row>
    <row r="26">
      <c r="A26" s="19" t="s">
        <v>28</v>
      </c>
      <c r="B26" s="20"/>
      <c r="C26" s="116"/>
      <c r="D26" s="116"/>
      <c r="E26" s="117"/>
      <c r="F26" s="204"/>
      <c r="G26" s="32" t="s">
        <v>291</v>
      </c>
      <c r="H26" s="32">
        <v>171.15</v>
      </c>
      <c r="K26" s="203"/>
      <c r="L26" s="203"/>
      <c r="M26" s="209"/>
      <c r="N26" s="209"/>
      <c r="O26" s="201"/>
      <c r="P26" s="198"/>
      <c r="Q26" s="79"/>
      <c r="R26" s="198"/>
      <c r="S26" s="198"/>
      <c r="T26" s="198"/>
      <c r="U26" s="204"/>
      <c r="W26" s="198"/>
      <c r="X26" s="79"/>
      <c r="AA26" s="130"/>
      <c r="AC26" s="106"/>
    </row>
    <row r="27">
      <c r="A27" s="183" t="s">
        <v>29</v>
      </c>
      <c r="B27" s="184" t="s">
        <v>30</v>
      </c>
      <c r="C27" s="183"/>
      <c r="D27" s="183" t="s">
        <v>170</v>
      </c>
      <c r="E27" s="219" t="s">
        <v>171</v>
      </c>
      <c r="F27" s="204"/>
      <c r="K27" s="203"/>
      <c r="L27" s="201"/>
      <c r="M27" s="209"/>
      <c r="N27" s="209"/>
      <c r="O27" s="198"/>
      <c r="P27" s="198"/>
      <c r="Q27" s="79"/>
      <c r="R27" s="198"/>
      <c r="S27" s="198"/>
      <c r="T27" s="198"/>
      <c r="U27" s="204"/>
      <c r="W27" s="198"/>
      <c r="X27" s="79"/>
      <c r="AA27" s="130"/>
      <c r="AC27" s="106"/>
    </row>
    <row r="28">
      <c r="A28" s="237" t="s">
        <v>41</v>
      </c>
      <c r="B28" s="238">
        <f>1330.95-665-665+1328.53</f>
        <v>1329.48</v>
      </c>
      <c r="C28" s="239"/>
      <c r="D28" s="239"/>
      <c r="E28" s="237" t="s">
        <v>276</v>
      </c>
      <c r="L28" s="204"/>
      <c r="M28" s="204"/>
      <c r="N28" s="198"/>
      <c r="Q28" s="79"/>
      <c r="S28" s="79"/>
      <c r="T28" s="79"/>
      <c r="X28" s="79"/>
      <c r="AA28" s="130"/>
      <c r="AC28" s="106"/>
    </row>
    <row r="29">
      <c r="A29" s="221" t="s">
        <v>283</v>
      </c>
      <c r="B29" s="222">
        <v>448.15</v>
      </c>
      <c r="C29" s="223"/>
      <c r="D29" s="223"/>
      <c r="E29" s="253" t="s">
        <v>278</v>
      </c>
      <c r="F29" s="79"/>
      <c r="H29" s="258">
        <f>SUM(H22:H27)</f>
        <v>3115.2</v>
      </c>
      <c r="L29" s="204"/>
      <c r="M29" s="204"/>
      <c r="N29" s="198"/>
      <c r="Q29" s="79"/>
      <c r="S29" s="79"/>
      <c r="T29" s="79"/>
      <c r="X29" s="79"/>
      <c r="AA29" s="130"/>
      <c r="AC29" s="106"/>
    </row>
    <row r="30">
      <c r="C30" s="79"/>
      <c r="D30" s="79"/>
      <c r="E30" s="79"/>
      <c r="N30" s="79"/>
      <c r="Q30" s="79"/>
      <c r="S30" s="79"/>
      <c r="T30" s="79"/>
      <c r="X30" s="79"/>
      <c r="AA30" s="130"/>
      <c r="AC30" s="106"/>
    </row>
    <row r="31">
      <c r="C31" s="79"/>
      <c r="D31" s="79"/>
      <c r="E31" s="79"/>
      <c r="N31" s="79"/>
      <c r="Q31" s="79"/>
      <c r="S31" s="79"/>
      <c r="T31" s="79"/>
      <c r="X31" s="79"/>
      <c r="AA31" s="130"/>
      <c r="AC31" s="106"/>
    </row>
    <row r="32">
      <c r="C32" s="79"/>
      <c r="D32" s="79"/>
      <c r="E32" s="79"/>
      <c r="N32" s="79"/>
      <c r="Q32" s="79"/>
      <c r="S32" s="79"/>
      <c r="T32" s="79"/>
      <c r="X32" s="79"/>
      <c r="AA32" s="130"/>
      <c r="AC32" s="106"/>
    </row>
    <row r="33">
      <c r="C33" s="79"/>
      <c r="D33" s="79"/>
      <c r="E33" s="79"/>
      <c r="N33" s="79"/>
      <c r="Q33" s="79"/>
      <c r="S33" s="79"/>
      <c r="T33" s="79"/>
      <c r="X33" s="79"/>
      <c r="AA33" s="130"/>
      <c r="AC33" s="106"/>
    </row>
    <row r="34">
      <c r="C34" s="79"/>
      <c r="D34" s="79"/>
      <c r="E34" s="79"/>
      <c r="N34" s="79"/>
      <c r="Q34" s="79"/>
      <c r="S34" s="79"/>
      <c r="T34" s="79"/>
      <c r="X34" s="79"/>
      <c r="AA34" s="130"/>
      <c r="AC34" s="106"/>
    </row>
    <row r="35">
      <c r="C35" s="79"/>
      <c r="D35" s="79"/>
      <c r="E35" s="79"/>
      <c r="N35" s="79"/>
      <c r="Q35" s="79"/>
      <c r="S35" s="79"/>
      <c r="T35" s="79"/>
      <c r="X35" s="79"/>
      <c r="AA35" s="130"/>
      <c r="AC35" s="106"/>
    </row>
    <row r="36">
      <c r="C36" s="79"/>
      <c r="D36" s="79"/>
      <c r="E36" s="79"/>
      <c r="N36" s="79"/>
      <c r="Q36" s="79"/>
      <c r="S36" s="79"/>
      <c r="T36" s="79"/>
      <c r="X36" s="79"/>
      <c r="AA36" s="130"/>
      <c r="AC36" s="106"/>
    </row>
    <row r="37">
      <c r="C37" s="79"/>
      <c r="D37" s="79"/>
      <c r="E37" s="79"/>
      <c r="N37" s="79"/>
      <c r="Q37" s="79"/>
      <c r="S37" s="79"/>
      <c r="T37" s="79"/>
      <c r="X37" s="79"/>
      <c r="AA37" s="130"/>
      <c r="AC37" s="106"/>
    </row>
    <row r="38">
      <c r="C38" s="79"/>
      <c r="D38" s="79"/>
      <c r="E38" s="79"/>
      <c r="N38" s="79"/>
      <c r="Q38" s="79"/>
      <c r="S38" s="79"/>
      <c r="T38" s="79"/>
      <c r="X38" s="79"/>
      <c r="AA38" s="130"/>
      <c r="AC38" s="106"/>
    </row>
    <row r="39">
      <c r="C39" s="79"/>
      <c r="D39" s="79"/>
      <c r="E39" s="79"/>
      <c r="N39" s="79"/>
      <c r="Q39" s="79"/>
      <c r="S39" s="79"/>
      <c r="T39" s="79"/>
      <c r="X39" s="79"/>
      <c r="AA39" s="130"/>
      <c r="AC39" s="106"/>
    </row>
    <row r="40">
      <c r="C40" s="79"/>
      <c r="D40" s="79"/>
      <c r="E40" s="79"/>
      <c r="N40" s="79"/>
      <c r="Q40" s="79"/>
      <c r="S40" s="79"/>
      <c r="T40" s="79"/>
      <c r="X40" s="79"/>
      <c r="AA40" s="130"/>
      <c r="AC40" s="106"/>
    </row>
    <row r="41">
      <c r="C41" s="79"/>
      <c r="D41" s="79"/>
      <c r="E41" s="79"/>
      <c r="N41" s="79"/>
      <c r="Q41" s="79"/>
      <c r="S41" s="79"/>
      <c r="T41" s="79"/>
      <c r="X41" s="79"/>
      <c r="AA41" s="130"/>
      <c r="AC41" s="106"/>
    </row>
    <row r="42">
      <c r="C42" s="79"/>
      <c r="D42" s="79"/>
      <c r="E42" s="79"/>
      <c r="N42" s="79"/>
      <c r="Q42" s="79"/>
      <c r="S42" s="79"/>
      <c r="T42" s="79"/>
      <c r="X42" s="79"/>
      <c r="AA42" s="130"/>
      <c r="AC42" s="106"/>
    </row>
    <row r="43">
      <c r="C43" s="79"/>
      <c r="D43" s="79"/>
      <c r="E43" s="79"/>
      <c r="N43" s="79"/>
      <c r="Q43" s="79"/>
      <c r="S43" s="79"/>
      <c r="T43" s="79"/>
      <c r="X43" s="79"/>
      <c r="AA43" s="130"/>
      <c r="AC43" s="106"/>
    </row>
    <row r="44">
      <c r="C44" s="79"/>
      <c r="D44" s="79"/>
      <c r="E44" s="79"/>
      <c r="N44" s="79"/>
      <c r="Q44" s="79"/>
      <c r="S44" s="79"/>
      <c r="T44" s="79"/>
      <c r="X44" s="79"/>
      <c r="AA44" s="130"/>
      <c r="AC44" s="106"/>
    </row>
    <row r="45">
      <c r="C45" s="79"/>
      <c r="D45" s="79"/>
      <c r="E45" s="79"/>
      <c r="N45" s="79"/>
      <c r="Q45" s="79"/>
      <c r="S45" s="79"/>
      <c r="T45" s="79"/>
      <c r="X45" s="79"/>
      <c r="AA45" s="130"/>
      <c r="AC45" s="106"/>
    </row>
    <row r="46">
      <c r="C46" s="79"/>
      <c r="D46" s="79"/>
      <c r="E46" s="79"/>
      <c r="N46" s="79"/>
      <c r="Q46" s="79"/>
      <c r="S46" s="79"/>
      <c r="T46" s="79"/>
      <c r="X46" s="79"/>
      <c r="AA46" s="130"/>
      <c r="AC46" s="106"/>
    </row>
    <row r="47">
      <c r="C47" s="79"/>
      <c r="D47" s="79"/>
      <c r="E47" s="79"/>
      <c r="N47" s="79"/>
      <c r="Q47" s="79"/>
      <c r="S47" s="79"/>
      <c r="T47" s="79"/>
      <c r="X47" s="79"/>
      <c r="AA47" s="130"/>
      <c r="AC47" s="106"/>
    </row>
    <row r="48">
      <c r="C48" s="79"/>
      <c r="D48" s="79"/>
      <c r="E48" s="79"/>
      <c r="N48" s="79"/>
      <c r="Q48" s="79"/>
      <c r="S48" s="79"/>
      <c r="T48" s="79"/>
      <c r="X48" s="79"/>
      <c r="AA48" s="130"/>
      <c r="AC48" s="106"/>
    </row>
    <row r="49">
      <c r="C49" s="79"/>
      <c r="D49" s="79"/>
      <c r="E49" s="79"/>
      <c r="N49" s="79"/>
      <c r="Q49" s="79"/>
      <c r="S49" s="79"/>
      <c r="T49" s="79"/>
      <c r="X49" s="79"/>
      <c r="AA49" s="130"/>
      <c r="AC49" s="106"/>
    </row>
    <row r="50">
      <c r="C50" s="79"/>
      <c r="D50" s="79"/>
      <c r="E50" s="79"/>
      <c r="N50" s="79"/>
      <c r="Q50" s="79"/>
      <c r="S50" s="79"/>
      <c r="T50" s="79"/>
      <c r="X50" s="79"/>
      <c r="AA50" s="130"/>
      <c r="AC50" s="106"/>
    </row>
    <row r="51">
      <c r="C51" s="79"/>
      <c r="D51" s="79"/>
      <c r="E51" s="79"/>
      <c r="N51" s="79"/>
      <c r="Q51" s="79"/>
      <c r="S51" s="79"/>
      <c r="T51" s="79"/>
      <c r="X51" s="79"/>
      <c r="AA51" s="130"/>
      <c r="AC51" s="106"/>
    </row>
    <row r="52">
      <c r="C52" s="79"/>
      <c r="D52" s="79"/>
      <c r="E52" s="79"/>
      <c r="N52" s="79"/>
      <c r="Q52" s="79"/>
      <c r="S52" s="79"/>
      <c r="T52" s="79"/>
      <c r="X52" s="79"/>
      <c r="AA52" s="130"/>
      <c r="AC52" s="106"/>
    </row>
    <row r="53">
      <c r="C53" s="79"/>
      <c r="D53" s="79"/>
      <c r="E53" s="79"/>
      <c r="N53" s="79"/>
      <c r="Q53" s="79"/>
      <c r="S53" s="79"/>
      <c r="T53" s="79"/>
      <c r="X53" s="79"/>
      <c r="AA53" s="130"/>
      <c r="AC53" s="106"/>
    </row>
    <row r="54">
      <c r="C54" s="79"/>
      <c r="D54" s="79"/>
      <c r="E54" s="79"/>
      <c r="N54" s="79"/>
      <c r="Q54" s="79"/>
      <c r="S54" s="79"/>
      <c r="T54" s="79"/>
      <c r="X54" s="79"/>
      <c r="AA54" s="130"/>
      <c r="AC54" s="106"/>
    </row>
    <row r="55">
      <c r="C55" s="79"/>
      <c r="D55" s="79"/>
      <c r="E55" s="79"/>
      <c r="N55" s="79"/>
      <c r="Q55" s="79"/>
      <c r="S55" s="79"/>
      <c r="T55" s="79"/>
      <c r="X55" s="79"/>
      <c r="AA55" s="130"/>
      <c r="AC55" s="106"/>
    </row>
    <row r="56">
      <c r="C56" s="79"/>
      <c r="D56" s="79"/>
      <c r="E56" s="79"/>
      <c r="N56" s="79"/>
      <c r="Q56" s="79"/>
      <c r="S56" s="79"/>
      <c r="T56" s="79"/>
      <c r="X56" s="79"/>
      <c r="AA56" s="130"/>
      <c r="AC56" s="106"/>
    </row>
    <row r="57">
      <c r="C57" s="79"/>
      <c r="D57" s="79"/>
      <c r="E57" s="79"/>
      <c r="N57" s="79"/>
      <c r="Q57" s="79"/>
      <c r="S57" s="79"/>
      <c r="T57" s="79"/>
      <c r="X57" s="79"/>
      <c r="AA57" s="130"/>
      <c r="AC57" s="106"/>
    </row>
    <row r="58">
      <c r="C58" s="79"/>
      <c r="D58" s="79"/>
      <c r="E58" s="79"/>
      <c r="N58" s="79"/>
      <c r="Q58" s="79"/>
      <c r="S58" s="79"/>
      <c r="T58" s="79"/>
      <c r="X58" s="79"/>
      <c r="AA58" s="130"/>
      <c r="AC58" s="106"/>
    </row>
    <row r="59">
      <c r="C59" s="79"/>
      <c r="D59" s="79"/>
      <c r="E59" s="79"/>
      <c r="N59" s="79"/>
      <c r="Q59" s="79"/>
      <c r="S59" s="79"/>
      <c r="T59" s="79"/>
      <c r="X59" s="79"/>
      <c r="AA59" s="130"/>
      <c r="AC59" s="106"/>
    </row>
    <row r="60">
      <c r="C60" s="79"/>
      <c r="D60" s="79"/>
      <c r="E60" s="79"/>
      <c r="N60" s="79"/>
      <c r="Q60" s="79"/>
      <c r="S60" s="79"/>
      <c r="T60" s="79"/>
      <c r="X60" s="79"/>
      <c r="AA60" s="130"/>
      <c r="AC60" s="106"/>
    </row>
    <row r="61">
      <c r="C61" s="79"/>
      <c r="D61" s="79"/>
      <c r="E61" s="79"/>
      <c r="N61" s="79"/>
      <c r="Q61" s="79"/>
      <c r="S61" s="79"/>
      <c r="T61" s="79"/>
      <c r="X61" s="79"/>
      <c r="AA61" s="130"/>
      <c r="AC61" s="106"/>
    </row>
    <row r="62">
      <c r="C62" s="79"/>
      <c r="D62" s="79"/>
      <c r="E62" s="79"/>
      <c r="N62" s="79"/>
      <c r="Q62" s="79"/>
      <c r="S62" s="79"/>
      <c r="T62" s="79"/>
      <c r="X62" s="79"/>
      <c r="AA62" s="130"/>
      <c r="AC62" s="106"/>
    </row>
    <row r="63">
      <c r="C63" s="79"/>
      <c r="D63" s="79"/>
      <c r="E63" s="79"/>
      <c r="N63" s="79"/>
      <c r="Q63" s="79"/>
      <c r="S63" s="79"/>
      <c r="T63" s="79"/>
      <c r="X63" s="79"/>
      <c r="AA63" s="130"/>
      <c r="AC63" s="106"/>
    </row>
    <row r="64">
      <c r="C64" s="79"/>
      <c r="D64" s="79"/>
      <c r="E64" s="79"/>
      <c r="N64" s="79"/>
      <c r="Q64" s="79"/>
      <c r="S64" s="79"/>
      <c r="T64" s="79"/>
      <c r="X64" s="79"/>
      <c r="AA64" s="130"/>
      <c r="AC64" s="106"/>
    </row>
    <row r="65">
      <c r="C65" s="79"/>
      <c r="D65" s="79"/>
      <c r="E65" s="79"/>
      <c r="N65" s="79"/>
      <c r="Q65" s="79"/>
      <c r="S65" s="79"/>
      <c r="T65" s="79"/>
      <c r="X65" s="79"/>
      <c r="AA65" s="130"/>
      <c r="AC65" s="106"/>
    </row>
    <row r="66">
      <c r="C66" s="79"/>
      <c r="D66" s="79"/>
      <c r="E66" s="79"/>
      <c r="N66" s="79"/>
      <c r="Q66" s="79"/>
      <c r="S66" s="79"/>
      <c r="T66" s="79"/>
      <c r="X66" s="79"/>
      <c r="AA66" s="130"/>
      <c r="AC66" s="106"/>
    </row>
    <row r="67">
      <c r="C67" s="79"/>
      <c r="D67" s="79"/>
      <c r="E67" s="79"/>
      <c r="N67" s="79"/>
      <c r="Q67" s="79"/>
      <c r="S67" s="79"/>
      <c r="T67" s="79"/>
      <c r="X67" s="79"/>
      <c r="AA67" s="130"/>
      <c r="AC67" s="106"/>
    </row>
    <row r="68">
      <c r="C68" s="79"/>
      <c r="D68" s="79"/>
      <c r="E68" s="79"/>
      <c r="N68" s="79"/>
      <c r="Q68" s="79"/>
      <c r="S68" s="79"/>
      <c r="T68" s="79"/>
      <c r="X68" s="79"/>
      <c r="AA68" s="130"/>
      <c r="AC68" s="106"/>
    </row>
    <row r="69">
      <c r="C69" s="79"/>
      <c r="D69" s="79"/>
      <c r="E69" s="79"/>
      <c r="N69" s="79"/>
      <c r="Q69" s="79"/>
      <c r="S69" s="79"/>
      <c r="T69" s="79"/>
      <c r="X69" s="79"/>
      <c r="AA69" s="130"/>
      <c r="AC69" s="106"/>
    </row>
    <row r="70">
      <c r="C70" s="79"/>
      <c r="D70" s="79"/>
      <c r="E70" s="79"/>
      <c r="N70" s="79"/>
      <c r="Q70" s="79"/>
      <c r="S70" s="79"/>
      <c r="T70" s="79"/>
      <c r="X70" s="79"/>
      <c r="AA70" s="130"/>
      <c r="AC70" s="106"/>
    </row>
    <row r="71">
      <c r="C71" s="79"/>
      <c r="D71" s="79"/>
      <c r="E71" s="79"/>
      <c r="N71" s="79"/>
      <c r="Q71" s="79"/>
      <c r="S71" s="79"/>
      <c r="T71" s="79"/>
      <c r="X71" s="79"/>
      <c r="AA71" s="130"/>
      <c r="AC71" s="106"/>
    </row>
    <row r="72">
      <c r="C72" s="79"/>
      <c r="D72" s="79"/>
      <c r="E72" s="79"/>
      <c r="N72" s="79"/>
      <c r="Q72" s="79"/>
      <c r="S72" s="79"/>
      <c r="T72" s="79"/>
      <c r="X72" s="79"/>
      <c r="AA72" s="130"/>
      <c r="AC72" s="106"/>
    </row>
    <row r="73">
      <c r="C73" s="79"/>
      <c r="D73" s="79"/>
      <c r="E73" s="79"/>
      <c r="N73" s="79"/>
      <c r="Q73" s="79"/>
      <c r="S73" s="79"/>
      <c r="T73" s="79"/>
      <c r="X73" s="79"/>
      <c r="AA73" s="130"/>
      <c r="AC73" s="106"/>
    </row>
    <row r="74">
      <c r="C74" s="79"/>
      <c r="D74" s="79"/>
      <c r="E74" s="79"/>
      <c r="N74" s="79"/>
      <c r="Q74" s="79"/>
      <c r="S74" s="79"/>
      <c r="T74" s="79"/>
      <c r="X74" s="79"/>
      <c r="AA74" s="130"/>
      <c r="AC74" s="106"/>
    </row>
    <row r="75">
      <c r="C75" s="79"/>
      <c r="D75" s="79"/>
      <c r="E75" s="79"/>
      <c r="N75" s="79"/>
      <c r="Q75" s="79"/>
      <c r="S75" s="79"/>
      <c r="T75" s="79"/>
      <c r="X75" s="79"/>
      <c r="AA75" s="130"/>
      <c r="AC75" s="106"/>
    </row>
    <row r="76">
      <c r="C76" s="79"/>
      <c r="D76" s="79"/>
      <c r="E76" s="79"/>
      <c r="N76" s="79"/>
      <c r="Q76" s="79"/>
      <c r="S76" s="79"/>
      <c r="T76" s="79"/>
      <c r="X76" s="79"/>
      <c r="AA76" s="130"/>
      <c r="AC76" s="106"/>
    </row>
    <row r="77">
      <c r="C77" s="79"/>
      <c r="D77" s="79"/>
      <c r="E77" s="79"/>
      <c r="N77" s="79"/>
      <c r="Q77" s="79"/>
      <c r="S77" s="79"/>
      <c r="T77" s="79"/>
      <c r="X77" s="79"/>
      <c r="AA77" s="130"/>
      <c r="AC77" s="106"/>
    </row>
    <row r="78">
      <c r="C78" s="79"/>
      <c r="D78" s="79"/>
      <c r="E78" s="79"/>
      <c r="N78" s="79"/>
      <c r="Q78" s="79"/>
      <c r="S78" s="79"/>
      <c r="T78" s="79"/>
      <c r="X78" s="79"/>
      <c r="AA78" s="130"/>
      <c r="AC78" s="106"/>
    </row>
    <row r="79">
      <c r="C79" s="79"/>
      <c r="D79" s="79"/>
      <c r="E79" s="79"/>
      <c r="N79" s="79"/>
      <c r="Q79" s="79"/>
      <c r="S79" s="79"/>
      <c r="T79" s="79"/>
      <c r="X79" s="79"/>
      <c r="AA79" s="130"/>
      <c r="AC79" s="106"/>
    </row>
    <row r="80">
      <c r="C80" s="79"/>
      <c r="D80" s="79"/>
      <c r="E80" s="79"/>
      <c r="N80" s="79"/>
      <c r="Q80" s="79"/>
      <c r="S80" s="79"/>
      <c r="T80" s="79"/>
      <c r="X80" s="79"/>
      <c r="AA80" s="130"/>
      <c r="AC80" s="106"/>
    </row>
    <row r="81">
      <c r="C81" s="79"/>
      <c r="D81" s="79"/>
      <c r="E81" s="79"/>
      <c r="N81" s="79"/>
      <c r="Q81" s="79"/>
      <c r="S81" s="79"/>
      <c r="T81" s="79"/>
      <c r="X81" s="79"/>
      <c r="AA81" s="130"/>
      <c r="AC81" s="106"/>
    </row>
    <row r="82">
      <c r="C82" s="79"/>
      <c r="D82" s="79"/>
      <c r="E82" s="79"/>
      <c r="N82" s="79"/>
      <c r="Q82" s="79"/>
      <c r="S82" s="79"/>
      <c r="T82" s="79"/>
      <c r="X82" s="79"/>
      <c r="AA82" s="130"/>
      <c r="AC82" s="106"/>
    </row>
    <row r="83">
      <c r="C83" s="79"/>
      <c r="D83" s="79"/>
      <c r="E83" s="79"/>
      <c r="N83" s="79"/>
      <c r="Q83" s="79"/>
      <c r="S83" s="79"/>
      <c r="T83" s="79"/>
      <c r="X83" s="79"/>
      <c r="AA83" s="130"/>
      <c r="AC83" s="106"/>
    </row>
    <row r="84">
      <c r="C84" s="79"/>
      <c r="D84" s="79"/>
      <c r="E84" s="79"/>
      <c r="N84" s="79"/>
      <c r="Q84" s="79"/>
      <c r="S84" s="79"/>
      <c r="T84" s="79"/>
      <c r="X84" s="79"/>
      <c r="AA84" s="130"/>
      <c r="AC84" s="106"/>
    </row>
    <row r="85">
      <c r="C85" s="79"/>
      <c r="D85" s="79"/>
      <c r="E85" s="79"/>
      <c r="N85" s="79"/>
      <c r="Q85" s="79"/>
      <c r="S85" s="79"/>
      <c r="T85" s="79"/>
      <c r="X85" s="79"/>
      <c r="AA85" s="130"/>
      <c r="AC85" s="106"/>
    </row>
    <row r="86">
      <c r="C86" s="79"/>
      <c r="D86" s="79"/>
      <c r="E86" s="79"/>
      <c r="N86" s="79"/>
      <c r="Q86" s="79"/>
      <c r="S86" s="79"/>
      <c r="T86" s="79"/>
      <c r="X86" s="79"/>
      <c r="AA86" s="130"/>
      <c r="AC86" s="106"/>
    </row>
    <row r="87">
      <c r="C87" s="79"/>
      <c r="D87" s="79"/>
      <c r="E87" s="79"/>
      <c r="N87" s="79"/>
      <c r="Q87" s="79"/>
      <c r="S87" s="79"/>
      <c r="T87" s="79"/>
      <c r="X87" s="79"/>
      <c r="AA87" s="130"/>
      <c r="AC87" s="106"/>
    </row>
    <row r="88">
      <c r="C88" s="79"/>
      <c r="D88" s="79"/>
      <c r="E88" s="79"/>
      <c r="N88" s="79"/>
      <c r="Q88" s="79"/>
      <c r="S88" s="79"/>
      <c r="T88" s="79"/>
      <c r="X88" s="79"/>
      <c r="AA88" s="130"/>
      <c r="AC88" s="106"/>
    </row>
    <row r="89">
      <c r="C89" s="79"/>
      <c r="D89" s="79"/>
      <c r="E89" s="79"/>
      <c r="N89" s="79"/>
      <c r="Q89" s="79"/>
      <c r="S89" s="79"/>
      <c r="T89" s="79"/>
      <c r="X89" s="79"/>
      <c r="AA89" s="130"/>
      <c r="AC89" s="106"/>
    </row>
    <row r="90">
      <c r="C90" s="79"/>
      <c r="D90" s="79"/>
      <c r="E90" s="79"/>
      <c r="N90" s="79"/>
      <c r="Q90" s="79"/>
      <c r="S90" s="79"/>
      <c r="T90" s="79"/>
      <c r="X90" s="79"/>
      <c r="AA90" s="130"/>
      <c r="AC90" s="106"/>
    </row>
    <row r="91">
      <c r="C91" s="79"/>
      <c r="D91" s="79"/>
      <c r="E91" s="79"/>
      <c r="N91" s="79"/>
      <c r="Q91" s="79"/>
      <c r="S91" s="79"/>
      <c r="T91" s="79"/>
      <c r="X91" s="79"/>
      <c r="AA91" s="130"/>
      <c r="AC91" s="106"/>
    </row>
    <row r="92">
      <c r="C92" s="79"/>
      <c r="D92" s="79"/>
      <c r="E92" s="79"/>
      <c r="N92" s="79"/>
      <c r="Q92" s="79"/>
      <c r="S92" s="79"/>
      <c r="T92" s="79"/>
      <c r="X92" s="79"/>
      <c r="AA92" s="130"/>
      <c r="AC92" s="106"/>
    </row>
    <row r="93">
      <c r="C93" s="79"/>
      <c r="D93" s="79"/>
      <c r="E93" s="79"/>
      <c r="N93" s="79"/>
      <c r="Q93" s="79"/>
      <c r="S93" s="79"/>
      <c r="T93" s="79"/>
      <c r="X93" s="79"/>
      <c r="AA93" s="130"/>
      <c r="AC93" s="106"/>
    </row>
    <row r="94">
      <c r="C94" s="79"/>
      <c r="D94" s="79"/>
      <c r="E94" s="79"/>
      <c r="N94" s="79"/>
      <c r="Q94" s="79"/>
      <c r="S94" s="79"/>
      <c r="T94" s="79"/>
      <c r="X94" s="79"/>
      <c r="AA94" s="130"/>
      <c r="AC94" s="106"/>
    </row>
    <row r="95">
      <c r="C95" s="79"/>
      <c r="D95" s="79"/>
      <c r="E95" s="79"/>
      <c r="N95" s="79"/>
      <c r="Q95" s="79"/>
      <c r="S95" s="79"/>
      <c r="T95" s="79"/>
      <c r="X95" s="79"/>
      <c r="AA95" s="130"/>
      <c r="AC95" s="106"/>
    </row>
    <row r="96">
      <c r="C96" s="79"/>
      <c r="D96" s="79"/>
      <c r="E96" s="79"/>
      <c r="N96" s="79"/>
      <c r="Q96" s="79"/>
      <c r="S96" s="79"/>
      <c r="T96" s="79"/>
      <c r="X96" s="79"/>
      <c r="AA96" s="130"/>
      <c r="AC96" s="106"/>
    </row>
    <row r="97">
      <c r="C97" s="79"/>
      <c r="D97" s="79"/>
      <c r="E97" s="79"/>
      <c r="N97" s="79"/>
      <c r="Q97" s="79"/>
      <c r="S97" s="79"/>
      <c r="T97" s="79"/>
      <c r="X97" s="79"/>
      <c r="AA97" s="130"/>
      <c r="AC97" s="106"/>
    </row>
    <row r="98">
      <c r="C98" s="79"/>
      <c r="D98" s="79"/>
      <c r="E98" s="79"/>
      <c r="N98" s="79"/>
      <c r="Q98" s="79"/>
      <c r="S98" s="79"/>
      <c r="T98" s="79"/>
      <c r="X98" s="79"/>
      <c r="AA98" s="130"/>
      <c r="AC98" s="106"/>
    </row>
    <row r="99">
      <c r="C99" s="79"/>
      <c r="D99" s="79"/>
      <c r="E99" s="79"/>
      <c r="N99" s="79"/>
      <c r="Q99" s="79"/>
      <c r="S99" s="79"/>
      <c r="T99" s="79"/>
      <c r="X99" s="79"/>
      <c r="AA99" s="130"/>
      <c r="AC99" s="106"/>
    </row>
    <row r="100">
      <c r="C100" s="79"/>
      <c r="D100" s="79"/>
      <c r="E100" s="79"/>
      <c r="N100" s="79"/>
      <c r="Q100" s="79"/>
      <c r="S100" s="79"/>
      <c r="T100" s="79"/>
      <c r="X100" s="79"/>
      <c r="AA100" s="130"/>
      <c r="AC100" s="106"/>
    </row>
    <row r="101">
      <c r="C101" s="79"/>
      <c r="D101" s="79"/>
      <c r="E101" s="79"/>
      <c r="N101" s="79"/>
      <c r="Q101" s="79"/>
      <c r="S101" s="79"/>
      <c r="T101" s="79"/>
      <c r="X101" s="79"/>
      <c r="AA101" s="130"/>
      <c r="AC101" s="106"/>
    </row>
    <row r="102">
      <c r="C102" s="79"/>
      <c r="D102" s="79"/>
      <c r="E102" s="79"/>
      <c r="N102" s="79"/>
      <c r="Q102" s="79"/>
      <c r="S102" s="79"/>
      <c r="T102" s="79"/>
      <c r="X102" s="79"/>
      <c r="AA102" s="130"/>
      <c r="AC102" s="106"/>
    </row>
    <row r="103">
      <c r="C103" s="79"/>
      <c r="D103" s="79"/>
      <c r="E103" s="79"/>
      <c r="N103" s="79"/>
      <c r="Q103" s="79"/>
      <c r="S103" s="79"/>
      <c r="T103" s="79"/>
      <c r="X103" s="79"/>
      <c r="AA103" s="130"/>
      <c r="AC103" s="106"/>
    </row>
    <row r="104">
      <c r="C104" s="79"/>
      <c r="D104" s="79"/>
      <c r="E104" s="79"/>
      <c r="N104" s="79"/>
      <c r="Q104" s="79"/>
      <c r="S104" s="79"/>
      <c r="T104" s="79"/>
      <c r="X104" s="79"/>
      <c r="AA104" s="130"/>
      <c r="AC104" s="106"/>
    </row>
    <row r="105">
      <c r="C105" s="79"/>
      <c r="D105" s="79"/>
      <c r="E105" s="79"/>
      <c r="N105" s="79"/>
      <c r="Q105" s="79"/>
      <c r="S105" s="79"/>
      <c r="T105" s="79"/>
      <c r="X105" s="79"/>
      <c r="AA105" s="130"/>
      <c r="AC105" s="106"/>
    </row>
    <row r="106">
      <c r="C106" s="79"/>
      <c r="D106" s="79"/>
      <c r="E106" s="79"/>
      <c r="N106" s="79"/>
      <c r="Q106" s="79"/>
      <c r="S106" s="79"/>
      <c r="T106" s="79"/>
      <c r="X106" s="79"/>
      <c r="AA106" s="130"/>
      <c r="AC106" s="106"/>
    </row>
    <row r="107">
      <c r="C107" s="79"/>
      <c r="D107" s="79"/>
      <c r="E107" s="79"/>
      <c r="N107" s="79"/>
      <c r="Q107" s="79"/>
      <c r="S107" s="79"/>
      <c r="T107" s="79"/>
      <c r="X107" s="79"/>
      <c r="AA107" s="130"/>
      <c r="AC107" s="106"/>
    </row>
    <row r="108">
      <c r="C108" s="79"/>
      <c r="D108" s="79"/>
      <c r="E108" s="79"/>
      <c r="N108" s="79"/>
      <c r="Q108" s="79"/>
      <c r="S108" s="79"/>
      <c r="T108" s="79"/>
      <c r="X108" s="79"/>
      <c r="AA108" s="130"/>
      <c r="AC108" s="106"/>
    </row>
    <row r="109">
      <c r="C109" s="79"/>
      <c r="D109" s="79"/>
      <c r="E109" s="79"/>
      <c r="N109" s="79"/>
      <c r="Q109" s="79"/>
      <c r="S109" s="79"/>
      <c r="T109" s="79"/>
      <c r="X109" s="79"/>
      <c r="AA109" s="130"/>
      <c r="AC109" s="106"/>
    </row>
    <row r="110">
      <c r="C110" s="79"/>
      <c r="D110" s="79"/>
      <c r="E110" s="79"/>
      <c r="N110" s="79"/>
      <c r="Q110" s="79"/>
      <c r="S110" s="79"/>
      <c r="T110" s="79"/>
      <c r="X110" s="79"/>
      <c r="AA110" s="130"/>
      <c r="AC110" s="106"/>
    </row>
    <row r="111">
      <c r="C111" s="79"/>
      <c r="D111" s="79"/>
      <c r="E111" s="79"/>
      <c r="N111" s="79"/>
      <c r="Q111" s="79"/>
      <c r="S111" s="79"/>
      <c r="T111" s="79"/>
      <c r="X111" s="79"/>
      <c r="AA111" s="130"/>
      <c r="AC111" s="106"/>
    </row>
    <row r="112">
      <c r="C112" s="79"/>
      <c r="D112" s="79"/>
      <c r="E112" s="79"/>
      <c r="N112" s="79"/>
      <c r="Q112" s="79"/>
      <c r="S112" s="79"/>
      <c r="T112" s="79"/>
      <c r="X112" s="79"/>
      <c r="AA112" s="130"/>
      <c r="AC112" s="106"/>
    </row>
    <row r="113">
      <c r="C113" s="79"/>
      <c r="D113" s="79"/>
      <c r="E113" s="79"/>
      <c r="N113" s="79"/>
      <c r="Q113" s="79"/>
      <c r="S113" s="79"/>
      <c r="T113" s="79"/>
      <c r="X113" s="79"/>
      <c r="AA113" s="130"/>
      <c r="AC113" s="106"/>
    </row>
    <row r="114">
      <c r="C114" s="79"/>
      <c r="D114" s="79"/>
      <c r="E114" s="79"/>
      <c r="N114" s="79"/>
      <c r="Q114" s="79"/>
      <c r="S114" s="79"/>
      <c r="T114" s="79"/>
      <c r="X114" s="79"/>
      <c r="AA114" s="130"/>
      <c r="AC114" s="106"/>
    </row>
    <row r="115">
      <c r="C115" s="79"/>
      <c r="D115" s="79"/>
      <c r="E115" s="79"/>
      <c r="N115" s="79"/>
      <c r="Q115" s="79"/>
      <c r="S115" s="79"/>
      <c r="T115" s="79"/>
      <c r="X115" s="79"/>
      <c r="AA115" s="130"/>
      <c r="AC115" s="106"/>
    </row>
    <row r="116">
      <c r="C116" s="79"/>
      <c r="D116" s="79"/>
      <c r="E116" s="79"/>
      <c r="N116" s="79"/>
      <c r="Q116" s="79"/>
      <c r="S116" s="79"/>
      <c r="T116" s="79"/>
      <c r="X116" s="79"/>
      <c r="AA116" s="130"/>
      <c r="AC116" s="106"/>
    </row>
    <row r="117">
      <c r="C117" s="79"/>
      <c r="D117" s="79"/>
      <c r="E117" s="79"/>
      <c r="N117" s="79"/>
      <c r="Q117" s="79"/>
      <c r="S117" s="79"/>
      <c r="T117" s="79"/>
      <c r="X117" s="79"/>
      <c r="AA117" s="130"/>
      <c r="AC117" s="106"/>
    </row>
    <row r="118">
      <c r="C118" s="79"/>
      <c r="D118" s="79"/>
      <c r="E118" s="79"/>
      <c r="N118" s="79"/>
      <c r="Q118" s="79"/>
      <c r="S118" s="79"/>
      <c r="T118" s="79"/>
      <c r="X118" s="79"/>
      <c r="AA118" s="130"/>
      <c r="AC118" s="106"/>
    </row>
    <row r="119">
      <c r="C119" s="79"/>
      <c r="D119" s="79"/>
      <c r="E119" s="79"/>
      <c r="N119" s="79"/>
      <c r="Q119" s="79"/>
      <c r="S119" s="79"/>
      <c r="T119" s="79"/>
      <c r="X119" s="79"/>
      <c r="AA119" s="130"/>
      <c r="AC119" s="106"/>
    </row>
    <row r="120">
      <c r="C120" s="79"/>
      <c r="D120" s="79"/>
      <c r="E120" s="79"/>
      <c r="N120" s="79"/>
      <c r="Q120" s="79"/>
      <c r="S120" s="79"/>
      <c r="T120" s="79"/>
      <c r="X120" s="79"/>
      <c r="AA120" s="130"/>
      <c r="AC120" s="106"/>
    </row>
    <row r="121">
      <c r="C121" s="79"/>
      <c r="D121" s="79"/>
      <c r="E121" s="79"/>
      <c r="N121" s="79"/>
      <c r="Q121" s="79"/>
      <c r="S121" s="79"/>
      <c r="T121" s="79"/>
      <c r="X121" s="79"/>
      <c r="AA121" s="130"/>
      <c r="AC121" s="106"/>
    </row>
    <row r="122">
      <c r="C122" s="79"/>
      <c r="D122" s="79"/>
      <c r="E122" s="79"/>
      <c r="N122" s="79"/>
      <c r="Q122" s="79"/>
      <c r="S122" s="79"/>
      <c r="T122" s="79"/>
      <c r="X122" s="79"/>
      <c r="AA122" s="130"/>
      <c r="AC122" s="106"/>
    </row>
    <row r="123">
      <c r="C123" s="79"/>
      <c r="D123" s="79"/>
      <c r="E123" s="79"/>
      <c r="N123" s="79"/>
      <c r="Q123" s="79"/>
      <c r="S123" s="79"/>
      <c r="T123" s="79"/>
      <c r="X123" s="79"/>
      <c r="AA123" s="130"/>
      <c r="AC123" s="106"/>
    </row>
    <row r="124">
      <c r="C124" s="79"/>
      <c r="D124" s="79"/>
      <c r="E124" s="79"/>
      <c r="N124" s="79"/>
      <c r="Q124" s="79"/>
      <c r="S124" s="79"/>
      <c r="T124" s="79"/>
      <c r="X124" s="79"/>
      <c r="AA124" s="130"/>
      <c r="AC124" s="106"/>
    </row>
    <row r="125">
      <c r="C125" s="79"/>
      <c r="D125" s="79"/>
      <c r="E125" s="79"/>
      <c r="N125" s="79"/>
      <c r="Q125" s="79"/>
      <c r="S125" s="79"/>
      <c r="T125" s="79"/>
      <c r="X125" s="79"/>
      <c r="AA125" s="130"/>
      <c r="AC125" s="106"/>
    </row>
    <row r="126">
      <c r="C126" s="79"/>
      <c r="D126" s="79"/>
      <c r="E126" s="79"/>
      <c r="N126" s="79"/>
      <c r="Q126" s="79"/>
      <c r="S126" s="79"/>
      <c r="T126" s="79"/>
      <c r="X126" s="79"/>
      <c r="AA126" s="130"/>
      <c r="AC126" s="106"/>
    </row>
    <row r="127">
      <c r="C127" s="79"/>
      <c r="D127" s="79"/>
      <c r="E127" s="79"/>
      <c r="N127" s="79"/>
      <c r="Q127" s="79"/>
      <c r="S127" s="79"/>
      <c r="T127" s="79"/>
      <c r="X127" s="79"/>
      <c r="AA127" s="130"/>
      <c r="AC127" s="106"/>
    </row>
    <row r="128">
      <c r="C128" s="79"/>
      <c r="D128" s="79"/>
      <c r="E128" s="79"/>
      <c r="N128" s="79"/>
      <c r="Q128" s="79"/>
      <c r="S128" s="79"/>
      <c r="T128" s="79"/>
      <c r="X128" s="79"/>
      <c r="AA128" s="130"/>
      <c r="AC128" s="106"/>
    </row>
    <row r="129">
      <c r="C129" s="79"/>
      <c r="D129" s="79"/>
      <c r="E129" s="79"/>
      <c r="N129" s="79"/>
      <c r="Q129" s="79"/>
      <c r="S129" s="79"/>
      <c r="T129" s="79"/>
      <c r="X129" s="79"/>
      <c r="AA129" s="130"/>
      <c r="AC129" s="106"/>
    </row>
    <row r="130">
      <c r="C130" s="79"/>
      <c r="D130" s="79"/>
      <c r="E130" s="79"/>
      <c r="N130" s="79"/>
      <c r="Q130" s="79"/>
      <c r="S130" s="79"/>
      <c r="T130" s="79"/>
      <c r="X130" s="79"/>
      <c r="AA130" s="130"/>
      <c r="AC130" s="106"/>
    </row>
    <row r="131">
      <c r="C131" s="79"/>
      <c r="D131" s="79"/>
      <c r="E131" s="79"/>
      <c r="N131" s="79"/>
      <c r="Q131" s="79"/>
      <c r="S131" s="79"/>
      <c r="T131" s="79"/>
      <c r="X131" s="79"/>
      <c r="AA131" s="130"/>
      <c r="AC131" s="106"/>
    </row>
    <row r="132">
      <c r="C132" s="79"/>
      <c r="D132" s="79"/>
      <c r="E132" s="79"/>
      <c r="N132" s="79"/>
      <c r="Q132" s="79"/>
      <c r="S132" s="79"/>
      <c r="T132" s="79"/>
      <c r="X132" s="79"/>
      <c r="AA132" s="130"/>
      <c r="AC132" s="106"/>
    </row>
    <row r="133">
      <c r="C133" s="79"/>
      <c r="D133" s="79"/>
      <c r="E133" s="79"/>
      <c r="N133" s="79"/>
      <c r="Q133" s="79"/>
      <c r="S133" s="79"/>
      <c r="T133" s="79"/>
      <c r="X133" s="79"/>
      <c r="AA133" s="130"/>
      <c r="AC133" s="106"/>
    </row>
    <row r="134">
      <c r="C134" s="79"/>
      <c r="D134" s="79"/>
      <c r="E134" s="79"/>
      <c r="N134" s="79"/>
      <c r="Q134" s="79"/>
      <c r="S134" s="79"/>
      <c r="T134" s="79"/>
      <c r="X134" s="79"/>
      <c r="AA134" s="130"/>
      <c r="AC134" s="106"/>
    </row>
    <row r="135">
      <c r="C135" s="79"/>
      <c r="D135" s="79"/>
      <c r="E135" s="79"/>
      <c r="N135" s="79"/>
      <c r="Q135" s="79"/>
      <c r="S135" s="79"/>
      <c r="T135" s="79"/>
      <c r="X135" s="79"/>
      <c r="AA135" s="130"/>
      <c r="AC135" s="106"/>
    </row>
    <row r="136">
      <c r="C136" s="79"/>
      <c r="D136" s="79"/>
      <c r="E136" s="79"/>
      <c r="N136" s="79"/>
      <c r="Q136" s="79"/>
      <c r="S136" s="79"/>
      <c r="T136" s="79"/>
      <c r="X136" s="79"/>
      <c r="AA136" s="130"/>
      <c r="AC136" s="106"/>
    </row>
    <row r="137">
      <c r="C137" s="79"/>
      <c r="D137" s="79"/>
      <c r="E137" s="79"/>
      <c r="N137" s="79"/>
      <c r="Q137" s="79"/>
      <c r="S137" s="79"/>
      <c r="T137" s="79"/>
      <c r="X137" s="79"/>
      <c r="AA137" s="130"/>
      <c r="AC137" s="106"/>
    </row>
    <row r="138">
      <c r="C138" s="79"/>
      <c r="D138" s="79"/>
      <c r="E138" s="79"/>
      <c r="N138" s="79"/>
      <c r="Q138" s="79"/>
      <c r="S138" s="79"/>
      <c r="T138" s="79"/>
      <c r="X138" s="79"/>
      <c r="AA138" s="130"/>
      <c r="AC138" s="106"/>
    </row>
    <row r="139">
      <c r="C139" s="79"/>
      <c r="D139" s="79"/>
      <c r="E139" s="79"/>
      <c r="N139" s="79"/>
      <c r="Q139" s="79"/>
      <c r="S139" s="79"/>
      <c r="T139" s="79"/>
      <c r="X139" s="79"/>
      <c r="AA139" s="130"/>
      <c r="AC139" s="106"/>
    </row>
    <row r="140">
      <c r="C140" s="79"/>
      <c r="D140" s="79"/>
      <c r="E140" s="79"/>
      <c r="N140" s="79"/>
      <c r="Q140" s="79"/>
      <c r="S140" s="79"/>
      <c r="T140" s="79"/>
      <c r="X140" s="79"/>
      <c r="AA140" s="130"/>
      <c r="AC140" s="106"/>
    </row>
    <row r="141">
      <c r="C141" s="79"/>
      <c r="D141" s="79"/>
      <c r="E141" s="79"/>
      <c r="N141" s="79"/>
      <c r="Q141" s="79"/>
      <c r="S141" s="79"/>
      <c r="T141" s="79"/>
      <c r="X141" s="79"/>
      <c r="AA141" s="130"/>
      <c r="AC141" s="106"/>
    </row>
    <row r="142">
      <c r="C142" s="79"/>
      <c r="D142" s="79"/>
      <c r="E142" s="79"/>
      <c r="N142" s="79"/>
      <c r="Q142" s="79"/>
      <c r="S142" s="79"/>
      <c r="T142" s="79"/>
      <c r="X142" s="79"/>
      <c r="AA142" s="130"/>
      <c r="AC142" s="106"/>
    </row>
    <row r="143">
      <c r="C143" s="79"/>
      <c r="D143" s="79"/>
      <c r="E143" s="79"/>
      <c r="N143" s="79"/>
      <c r="Q143" s="79"/>
      <c r="S143" s="79"/>
      <c r="T143" s="79"/>
      <c r="X143" s="79"/>
      <c r="AA143" s="130"/>
      <c r="AC143" s="106"/>
    </row>
    <row r="144">
      <c r="C144" s="79"/>
      <c r="D144" s="79"/>
      <c r="E144" s="79"/>
      <c r="N144" s="79"/>
      <c r="Q144" s="79"/>
      <c r="S144" s="79"/>
      <c r="T144" s="79"/>
      <c r="X144" s="79"/>
      <c r="AA144" s="130"/>
      <c r="AC144" s="106"/>
    </row>
    <row r="145">
      <c r="C145" s="79"/>
      <c r="D145" s="79"/>
      <c r="E145" s="79"/>
      <c r="N145" s="79"/>
      <c r="Q145" s="79"/>
      <c r="S145" s="79"/>
      <c r="T145" s="79"/>
      <c r="X145" s="79"/>
      <c r="AA145" s="130"/>
      <c r="AC145" s="106"/>
    </row>
    <row r="146">
      <c r="C146" s="79"/>
      <c r="D146" s="79"/>
      <c r="E146" s="79"/>
      <c r="N146" s="79"/>
      <c r="Q146" s="79"/>
      <c r="S146" s="79"/>
      <c r="T146" s="79"/>
      <c r="X146" s="79"/>
      <c r="AA146" s="130"/>
      <c r="AC146" s="106"/>
    </row>
    <row r="147">
      <c r="C147" s="79"/>
      <c r="D147" s="79"/>
      <c r="E147" s="79"/>
      <c r="N147" s="79"/>
      <c r="Q147" s="79"/>
      <c r="S147" s="79"/>
      <c r="T147" s="79"/>
      <c r="X147" s="79"/>
      <c r="AA147" s="130"/>
      <c r="AC147" s="106"/>
    </row>
    <row r="148">
      <c r="C148" s="79"/>
      <c r="D148" s="79"/>
      <c r="E148" s="79"/>
      <c r="N148" s="79"/>
      <c r="Q148" s="79"/>
      <c r="S148" s="79"/>
      <c r="T148" s="79"/>
      <c r="X148" s="79"/>
      <c r="AA148" s="130"/>
      <c r="AC148" s="106"/>
    </row>
    <row r="149">
      <c r="C149" s="79"/>
      <c r="D149" s="79"/>
      <c r="E149" s="79"/>
      <c r="N149" s="79"/>
      <c r="Q149" s="79"/>
      <c r="S149" s="79"/>
      <c r="T149" s="79"/>
      <c r="X149" s="79"/>
      <c r="AA149" s="130"/>
      <c r="AC149" s="106"/>
    </row>
    <row r="150">
      <c r="C150" s="79"/>
      <c r="D150" s="79"/>
      <c r="E150" s="79"/>
      <c r="N150" s="79"/>
      <c r="Q150" s="79"/>
      <c r="S150" s="79"/>
      <c r="T150" s="79"/>
      <c r="X150" s="79"/>
      <c r="AA150" s="130"/>
      <c r="AC150" s="106"/>
    </row>
    <row r="151">
      <c r="C151" s="79"/>
      <c r="D151" s="79"/>
      <c r="E151" s="79"/>
      <c r="N151" s="79"/>
      <c r="Q151" s="79"/>
      <c r="S151" s="79"/>
      <c r="T151" s="79"/>
      <c r="X151" s="79"/>
      <c r="AA151" s="130"/>
      <c r="AC151" s="106"/>
    </row>
    <row r="152">
      <c r="C152" s="79"/>
      <c r="D152" s="79"/>
      <c r="E152" s="79"/>
      <c r="N152" s="79"/>
      <c r="Q152" s="79"/>
      <c r="S152" s="79"/>
      <c r="T152" s="79"/>
      <c r="X152" s="79"/>
      <c r="AA152" s="130"/>
      <c r="AC152" s="106"/>
    </row>
    <row r="153">
      <c r="C153" s="79"/>
      <c r="D153" s="79"/>
      <c r="E153" s="79"/>
      <c r="N153" s="79"/>
      <c r="Q153" s="79"/>
      <c r="S153" s="79"/>
      <c r="T153" s="79"/>
      <c r="X153" s="79"/>
      <c r="AA153" s="130"/>
      <c r="AC153" s="106"/>
    </row>
    <row r="154">
      <c r="C154" s="79"/>
      <c r="D154" s="79"/>
      <c r="E154" s="79"/>
      <c r="N154" s="79"/>
      <c r="Q154" s="79"/>
      <c r="S154" s="79"/>
      <c r="T154" s="79"/>
      <c r="X154" s="79"/>
      <c r="AA154" s="130"/>
      <c r="AC154" s="106"/>
    </row>
    <row r="155">
      <c r="C155" s="79"/>
      <c r="D155" s="79"/>
      <c r="E155" s="79"/>
      <c r="N155" s="79"/>
      <c r="Q155" s="79"/>
      <c r="S155" s="79"/>
      <c r="T155" s="79"/>
      <c r="X155" s="79"/>
      <c r="AA155" s="130"/>
      <c r="AC155" s="106"/>
    </row>
    <row r="156">
      <c r="C156" s="79"/>
      <c r="D156" s="79"/>
      <c r="E156" s="79"/>
      <c r="N156" s="79"/>
      <c r="Q156" s="79"/>
      <c r="S156" s="79"/>
      <c r="T156" s="79"/>
      <c r="X156" s="79"/>
      <c r="AA156" s="130"/>
      <c r="AC156" s="106"/>
    </row>
    <row r="157">
      <c r="C157" s="79"/>
      <c r="D157" s="79"/>
      <c r="E157" s="79"/>
      <c r="N157" s="79"/>
      <c r="Q157" s="79"/>
      <c r="S157" s="79"/>
      <c r="T157" s="79"/>
      <c r="X157" s="79"/>
      <c r="AA157" s="130"/>
      <c r="AC157" s="106"/>
    </row>
    <row r="158">
      <c r="C158" s="79"/>
      <c r="D158" s="79"/>
      <c r="E158" s="79"/>
      <c r="N158" s="79"/>
      <c r="Q158" s="79"/>
      <c r="S158" s="79"/>
      <c r="T158" s="79"/>
      <c r="X158" s="79"/>
      <c r="AA158" s="130"/>
      <c r="AC158" s="106"/>
    </row>
    <row r="159">
      <c r="C159" s="79"/>
      <c r="D159" s="79"/>
      <c r="E159" s="79"/>
      <c r="N159" s="79"/>
      <c r="Q159" s="79"/>
      <c r="S159" s="79"/>
      <c r="T159" s="79"/>
      <c r="X159" s="79"/>
      <c r="AA159" s="130"/>
      <c r="AC159" s="106"/>
    </row>
    <row r="160">
      <c r="C160" s="79"/>
      <c r="D160" s="79"/>
      <c r="E160" s="79"/>
      <c r="N160" s="79"/>
      <c r="Q160" s="79"/>
      <c r="S160" s="79"/>
      <c r="T160" s="79"/>
      <c r="X160" s="79"/>
      <c r="AA160" s="130"/>
      <c r="AC160" s="106"/>
    </row>
    <row r="161">
      <c r="C161" s="79"/>
      <c r="D161" s="79"/>
      <c r="E161" s="79"/>
      <c r="N161" s="79"/>
      <c r="Q161" s="79"/>
      <c r="S161" s="79"/>
      <c r="T161" s="79"/>
      <c r="X161" s="79"/>
      <c r="AA161" s="130"/>
      <c r="AC161" s="106"/>
    </row>
    <row r="162">
      <c r="C162" s="79"/>
      <c r="D162" s="79"/>
      <c r="E162" s="79"/>
      <c r="N162" s="79"/>
      <c r="Q162" s="79"/>
      <c r="S162" s="79"/>
      <c r="T162" s="79"/>
      <c r="X162" s="79"/>
      <c r="AA162" s="130"/>
      <c r="AC162" s="106"/>
    </row>
    <row r="163">
      <c r="C163" s="79"/>
      <c r="D163" s="79"/>
      <c r="E163" s="79"/>
      <c r="N163" s="79"/>
      <c r="Q163" s="79"/>
      <c r="S163" s="79"/>
      <c r="T163" s="79"/>
      <c r="X163" s="79"/>
      <c r="AA163" s="130"/>
      <c r="AC163" s="106"/>
    </row>
    <row r="164">
      <c r="C164" s="79"/>
      <c r="D164" s="79"/>
      <c r="E164" s="79"/>
      <c r="N164" s="79"/>
      <c r="Q164" s="79"/>
      <c r="S164" s="79"/>
      <c r="T164" s="79"/>
      <c r="X164" s="79"/>
      <c r="AA164" s="130"/>
      <c r="AC164" s="106"/>
    </row>
    <row r="165">
      <c r="C165" s="79"/>
      <c r="D165" s="79"/>
      <c r="E165" s="79"/>
      <c r="N165" s="79"/>
      <c r="Q165" s="79"/>
      <c r="S165" s="79"/>
      <c r="T165" s="79"/>
      <c r="X165" s="79"/>
      <c r="AA165" s="130"/>
      <c r="AC165" s="106"/>
    </row>
    <row r="166">
      <c r="C166" s="79"/>
      <c r="D166" s="79"/>
      <c r="E166" s="79"/>
      <c r="N166" s="79"/>
      <c r="Q166" s="79"/>
      <c r="S166" s="79"/>
      <c r="T166" s="79"/>
      <c r="X166" s="79"/>
      <c r="AA166" s="130"/>
      <c r="AC166" s="106"/>
    </row>
    <row r="167">
      <c r="C167" s="79"/>
      <c r="D167" s="79"/>
      <c r="E167" s="79"/>
      <c r="N167" s="79"/>
      <c r="Q167" s="79"/>
      <c r="S167" s="79"/>
      <c r="T167" s="79"/>
      <c r="X167" s="79"/>
      <c r="AA167" s="130"/>
      <c r="AC167" s="106"/>
    </row>
    <row r="168">
      <c r="C168" s="79"/>
      <c r="D168" s="79"/>
      <c r="E168" s="79"/>
      <c r="N168" s="79"/>
      <c r="Q168" s="79"/>
      <c r="S168" s="79"/>
      <c r="T168" s="79"/>
      <c r="X168" s="79"/>
      <c r="AA168" s="130"/>
      <c r="AC168" s="106"/>
    </row>
    <row r="169">
      <c r="C169" s="79"/>
      <c r="D169" s="79"/>
      <c r="E169" s="79"/>
      <c r="N169" s="79"/>
      <c r="Q169" s="79"/>
      <c r="S169" s="79"/>
      <c r="T169" s="79"/>
      <c r="X169" s="79"/>
      <c r="AA169" s="130"/>
      <c r="AC169" s="106"/>
    </row>
    <row r="170">
      <c r="C170" s="79"/>
      <c r="D170" s="79"/>
      <c r="E170" s="79"/>
      <c r="N170" s="79"/>
      <c r="Q170" s="79"/>
      <c r="S170" s="79"/>
      <c r="T170" s="79"/>
      <c r="X170" s="79"/>
      <c r="AA170" s="130"/>
      <c r="AC170" s="106"/>
    </row>
    <row r="171">
      <c r="C171" s="79"/>
      <c r="D171" s="79"/>
      <c r="E171" s="79"/>
      <c r="N171" s="79"/>
      <c r="Q171" s="79"/>
      <c r="S171" s="79"/>
      <c r="T171" s="79"/>
      <c r="X171" s="79"/>
      <c r="AA171" s="130"/>
      <c r="AC171" s="106"/>
    </row>
    <row r="172">
      <c r="C172" s="79"/>
      <c r="D172" s="79"/>
      <c r="E172" s="79"/>
      <c r="N172" s="79"/>
      <c r="Q172" s="79"/>
      <c r="S172" s="79"/>
      <c r="T172" s="79"/>
      <c r="X172" s="79"/>
      <c r="AA172" s="130"/>
      <c r="AC172" s="106"/>
    </row>
    <row r="173">
      <c r="C173" s="79"/>
      <c r="D173" s="79"/>
      <c r="E173" s="79"/>
      <c r="N173" s="79"/>
      <c r="Q173" s="79"/>
      <c r="S173" s="79"/>
      <c r="T173" s="79"/>
      <c r="X173" s="79"/>
      <c r="AA173" s="130"/>
      <c r="AC173" s="106"/>
    </row>
    <row r="174">
      <c r="C174" s="79"/>
      <c r="D174" s="79"/>
      <c r="E174" s="79"/>
      <c r="N174" s="79"/>
      <c r="Q174" s="79"/>
      <c r="S174" s="79"/>
      <c r="T174" s="79"/>
      <c r="X174" s="79"/>
      <c r="AA174" s="130"/>
      <c r="AC174" s="106"/>
    </row>
    <row r="175">
      <c r="C175" s="79"/>
      <c r="D175" s="79"/>
      <c r="E175" s="79"/>
      <c r="N175" s="79"/>
      <c r="Q175" s="79"/>
      <c r="S175" s="79"/>
      <c r="T175" s="79"/>
      <c r="X175" s="79"/>
      <c r="AA175" s="130"/>
      <c r="AC175" s="106"/>
    </row>
    <row r="176">
      <c r="C176" s="79"/>
      <c r="D176" s="79"/>
      <c r="E176" s="79"/>
      <c r="N176" s="79"/>
      <c r="Q176" s="79"/>
      <c r="S176" s="79"/>
      <c r="T176" s="79"/>
      <c r="X176" s="79"/>
      <c r="AA176" s="130"/>
      <c r="AC176" s="106"/>
    </row>
    <row r="177">
      <c r="C177" s="79"/>
      <c r="D177" s="79"/>
      <c r="E177" s="79"/>
      <c r="N177" s="79"/>
      <c r="Q177" s="79"/>
      <c r="S177" s="79"/>
      <c r="T177" s="79"/>
      <c r="X177" s="79"/>
      <c r="AA177" s="130"/>
      <c r="AC177" s="106"/>
    </row>
    <row r="178">
      <c r="C178" s="79"/>
      <c r="D178" s="79"/>
      <c r="E178" s="79"/>
      <c r="N178" s="79"/>
      <c r="Q178" s="79"/>
      <c r="S178" s="79"/>
      <c r="T178" s="79"/>
      <c r="X178" s="79"/>
      <c r="AA178" s="130"/>
      <c r="AC178" s="106"/>
    </row>
    <row r="179">
      <c r="C179" s="79"/>
      <c r="D179" s="79"/>
      <c r="E179" s="79"/>
      <c r="N179" s="79"/>
      <c r="Q179" s="79"/>
      <c r="S179" s="79"/>
      <c r="T179" s="79"/>
      <c r="X179" s="79"/>
      <c r="AA179" s="130"/>
      <c r="AC179" s="106"/>
    </row>
    <row r="180">
      <c r="C180" s="79"/>
      <c r="D180" s="79"/>
      <c r="E180" s="79"/>
      <c r="N180" s="79"/>
      <c r="Q180" s="79"/>
      <c r="S180" s="79"/>
      <c r="T180" s="79"/>
      <c r="X180" s="79"/>
      <c r="AA180" s="130"/>
      <c r="AC180" s="106"/>
    </row>
    <row r="181">
      <c r="C181" s="79"/>
      <c r="D181" s="79"/>
      <c r="E181" s="79"/>
      <c r="N181" s="79"/>
      <c r="Q181" s="79"/>
      <c r="S181" s="79"/>
      <c r="T181" s="79"/>
      <c r="X181" s="79"/>
      <c r="AA181" s="130"/>
      <c r="AC181" s="106"/>
    </row>
    <row r="182">
      <c r="C182" s="79"/>
      <c r="D182" s="79"/>
      <c r="E182" s="79"/>
      <c r="N182" s="79"/>
      <c r="Q182" s="79"/>
      <c r="S182" s="79"/>
      <c r="T182" s="79"/>
      <c r="X182" s="79"/>
      <c r="AA182" s="130"/>
      <c r="AC182" s="106"/>
    </row>
    <row r="183">
      <c r="C183" s="79"/>
      <c r="D183" s="79"/>
      <c r="E183" s="79"/>
      <c r="N183" s="79"/>
      <c r="Q183" s="79"/>
      <c r="S183" s="79"/>
      <c r="T183" s="79"/>
      <c r="X183" s="79"/>
      <c r="AA183" s="130"/>
      <c r="AC183" s="106"/>
    </row>
    <row r="184">
      <c r="C184" s="79"/>
      <c r="D184" s="79"/>
      <c r="E184" s="79"/>
      <c r="N184" s="79"/>
      <c r="Q184" s="79"/>
      <c r="S184" s="79"/>
      <c r="T184" s="79"/>
      <c r="X184" s="79"/>
      <c r="AA184" s="130"/>
      <c r="AC184" s="106"/>
    </row>
    <row r="185">
      <c r="C185" s="79"/>
      <c r="D185" s="79"/>
      <c r="E185" s="79"/>
      <c r="N185" s="79"/>
      <c r="Q185" s="79"/>
      <c r="S185" s="79"/>
      <c r="T185" s="79"/>
      <c r="X185" s="79"/>
      <c r="AA185" s="130"/>
      <c r="AC185" s="106"/>
    </row>
    <row r="186">
      <c r="C186" s="79"/>
      <c r="D186" s="79"/>
      <c r="E186" s="79"/>
      <c r="N186" s="79"/>
      <c r="Q186" s="79"/>
      <c r="S186" s="79"/>
      <c r="T186" s="79"/>
      <c r="X186" s="79"/>
      <c r="AA186" s="130"/>
      <c r="AC186" s="106"/>
    </row>
    <row r="187">
      <c r="C187" s="79"/>
      <c r="D187" s="79"/>
      <c r="E187" s="79"/>
      <c r="N187" s="79"/>
      <c r="Q187" s="79"/>
      <c r="S187" s="79"/>
      <c r="T187" s="79"/>
      <c r="X187" s="79"/>
      <c r="AA187" s="130"/>
      <c r="AC187" s="106"/>
    </row>
    <row r="188">
      <c r="C188" s="79"/>
      <c r="D188" s="79"/>
      <c r="E188" s="79"/>
      <c r="N188" s="79"/>
      <c r="Q188" s="79"/>
      <c r="S188" s="79"/>
      <c r="T188" s="79"/>
      <c r="X188" s="79"/>
      <c r="AA188" s="130"/>
      <c r="AC188" s="106"/>
    </row>
    <row r="189">
      <c r="C189" s="79"/>
      <c r="D189" s="79"/>
      <c r="E189" s="79"/>
      <c r="N189" s="79"/>
      <c r="Q189" s="79"/>
      <c r="S189" s="79"/>
      <c r="T189" s="79"/>
      <c r="X189" s="79"/>
      <c r="AA189" s="130"/>
      <c r="AC189" s="106"/>
    </row>
    <row r="190">
      <c r="C190" s="79"/>
      <c r="D190" s="79"/>
      <c r="E190" s="79"/>
      <c r="N190" s="79"/>
      <c r="Q190" s="79"/>
      <c r="S190" s="79"/>
      <c r="T190" s="79"/>
      <c r="X190" s="79"/>
      <c r="AA190" s="130"/>
      <c r="AC190" s="106"/>
    </row>
    <row r="191">
      <c r="C191" s="79"/>
      <c r="D191" s="79"/>
      <c r="E191" s="79"/>
      <c r="N191" s="79"/>
      <c r="Q191" s="79"/>
      <c r="S191" s="79"/>
      <c r="T191" s="79"/>
      <c r="X191" s="79"/>
      <c r="AA191" s="130"/>
      <c r="AC191" s="106"/>
    </row>
    <row r="192">
      <c r="C192" s="79"/>
      <c r="D192" s="79"/>
      <c r="E192" s="79"/>
      <c r="N192" s="79"/>
      <c r="Q192" s="79"/>
      <c r="S192" s="79"/>
      <c r="T192" s="79"/>
      <c r="X192" s="79"/>
      <c r="AA192" s="130"/>
      <c r="AC192" s="106"/>
    </row>
    <row r="193">
      <c r="C193" s="79"/>
      <c r="D193" s="79"/>
      <c r="E193" s="79"/>
      <c r="N193" s="79"/>
      <c r="Q193" s="79"/>
      <c r="S193" s="79"/>
      <c r="T193" s="79"/>
      <c r="X193" s="79"/>
      <c r="AA193" s="130"/>
      <c r="AC193" s="106"/>
    </row>
    <row r="194">
      <c r="C194" s="79"/>
      <c r="D194" s="79"/>
      <c r="E194" s="79"/>
      <c r="N194" s="79"/>
      <c r="Q194" s="79"/>
      <c r="S194" s="79"/>
      <c r="T194" s="79"/>
      <c r="X194" s="79"/>
      <c r="AA194" s="130"/>
      <c r="AC194" s="106"/>
    </row>
    <row r="195">
      <c r="C195" s="79"/>
      <c r="D195" s="79"/>
      <c r="E195" s="79"/>
      <c r="N195" s="79"/>
      <c r="Q195" s="79"/>
      <c r="S195" s="79"/>
      <c r="T195" s="79"/>
      <c r="X195" s="79"/>
      <c r="AA195" s="130"/>
      <c r="AC195" s="106"/>
    </row>
    <row r="196">
      <c r="C196" s="79"/>
      <c r="D196" s="79"/>
      <c r="E196" s="79"/>
      <c r="N196" s="79"/>
      <c r="Q196" s="79"/>
      <c r="S196" s="79"/>
      <c r="T196" s="79"/>
      <c r="X196" s="79"/>
      <c r="AA196" s="130"/>
      <c r="AC196" s="106"/>
    </row>
    <row r="197">
      <c r="C197" s="79"/>
      <c r="D197" s="79"/>
      <c r="E197" s="79"/>
      <c r="N197" s="79"/>
      <c r="Q197" s="79"/>
      <c r="S197" s="79"/>
      <c r="T197" s="79"/>
      <c r="X197" s="79"/>
      <c r="AA197" s="130"/>
      <c r="AC197" s="106"/>
    </row>
    <row r="198">
      <c r="C198" s="79"/>
      <c r="D198" s="79"/>
      <c r="E198" s="79"/>
      <c r="N198" s="79"/>
      <c r="Q198" s="79"/>
      <c r="S198" s="79"/>
      <c r="T198" s="79"/>
      <c r="X198" s="79"/>
      <c r="AA198" s="130"/>
      <c r="AC198" s="106"/>
    </row>
    <row r="199">
      <c r="C199" s="79"/>
      <c r="D199" s="79"/>
      <c r="E199" s="79"/>
      <c r="N199" s="79"/>
      <c r="Q199" s="79"/>
      <c r="S199" s="79"/>
      <c r="T199" s="79"/>
      <c r="X199" s="79"/>
      <c r="AA199" s="130"/>
      <c r="AC199" s="106"/>
    </row>
    <row r="200">
      <c r="C200" s="79"/>
      <c r="D200" s="79"/>
      <c r="E200" s="79"/>
      <c r="N200" s="79"/>
      <c r="Q200" s="79"/>
      <c r="S200" s="79"/>
      <c r="T200" s="79"/>
      <c r="X200" s="79"/>
      <c r="AA200" s="130"/>
      <c r="AC200" s="106"/>
    </row>
    <row r="201">
      <c r="C201" s="79"/>
      <c r="D201" s="79"/>
      <c r="E201" s="79"/>
      <c r="N201" s="79"/>
      <c r="Q201" s="79"/>
      <c r="S201" s="79"/>
      <c r="T201" s="79"/>
      <c r="X201" s="79"/>
      <c r="AA201" s="130"/>
      <c r="AC201" s="106"/>
    </row>
    <row r="202">
      <c r="C202" s="79"/>
      <c r="D202" s="79"/>
      <c r="E202" s="79"/>
      <c r="N202" s="79"/>
      <c r="Q202" s="79"/>
      <c r="S202" s="79"/>
      <c r="T202" s="79"/>
      <c r="X202" s="79"/>
      <c r="AA202" s="130"/>
      <c r="AC202" s="106"/>
    </row>
    <row r="203">
      <c r="C203" s="79"/>
      <c r="D203" s="79"/>
      <c r="E203" s="79"/>
      <c r="N203" s="79"/>
      <c r="Q203" s="79"/>
      <c r="S203" s="79"/>
      <c r="T203" s="79"/>
      <c r="X203" s="79"/>
      <c r="AA203" s="130"/>
      <c r="AC203" s="106"/>
    </row>
    <row r="204">
      <c r="C204" s="79"/>
      <c r="D204" s="79"/>
      <c r="E204" s="79"/>
      <c r="N204" s="79"/>
      <c r="Q204" s="79"/>
      <c r="S204" s="79"/>
      <c r="T204" s="79"/>
      <c r="X204" s="79"/>
      <c r="AA204" s="130"/>
      <c r="AC204" s="106"/>
    </row>
    <row r="205">
      <c r="C205" s="79"/>
      <c r="D205" s="79"/>
      <c r="E205" s="79"/>
      <c r="N205" s="79"/>
      <c r="Q205" s="79"/>
      <c r="S205" s="79"/>
      <c r="T205" s="79"/>
      <c r="X205" s="79"/>
      <c r="AA205" s="130"/>
      <c r="AC205" s="106"/>
    </row>
    <row r="206">
      <c r="C206" s="79"/>
      <c r="D206" s="79"/>
      <c r="E206" s="79"/>
      <c r="N206" s="79"/>
      <c r="Q206" s="79"/>
      <c r="S206" s="79"/>
      <c r="T206" s="79"/>
      <c r="X206" s="79"/>
      <c r="AA206" s="130"/>
      <c r="AC206" s="106"/>
    </row>
    <row r="207">
      <c r="C207" s="79"/>
      <c r="D207" s="79"/>
      <c r="E207" s="79"/>
      <c r="N207" s="79"/>
      <c r="Q207" s="79"/>
      <c r="S207" s="79"/>
      <c r="T207" s="79"/>
      <c r="X207" s="79"/>
      <c r="AA207" s="130"/>
      <c r="AC207" s="106"/>
    </row>
    <row r="208">
      <c r="C208" s="79"/>
      <c r="D208" s="79"/>
      <c r="E208" s="79"/>
      <c r="N208" s="79"/>
      <c r="Q208" s="79"/>
      <c r="S208" s="79"/>
      <c r="T208" s="79"/>
      <c r="X208" s="79"/>
      <c r="AA208" s="130"/>
      <c r="AC208" s="106"/>
    </row>
    <row r="209">
      <c r="C209" s="79"/>
      <c r="D209" s="79"/>
      <c r="E209" s="79"/>
      <c r="N209" s="79"/>
      <c r="Q209" s="79"/>
      <c r="S209" s="79"/>
      <c r="T209" s="79"/>
      <c r="X209" s="79"/>
      <c r="AA209" s="130"/>
      <c r="AC209" s="106"/>
    </row>
    <row r="210">
      <c r="C210" s="79"/>
      <c r="D210" s="79"/>
      <c r="E210" s="79"/>
      <c r="N210" s="79"/>
      <c r="Q210" s="79"/>
      <c r="S210" s="79"/>
      <c r="T210" s="79"/>
      <c r="X210" s="79"/>
      <c r="AA210" s="130"/>
      <c r="AC210" s="106"/>
    </row>
    <row r="211">
      <c r="C211" s="79"/>
      <c r="D211" s="79"/>
      <c r="E211" s="79"/>
      <c r="N211" s="79"/>
      <c r="Q211" s="79"/>
      <c r="S211" s="79"/>
      <c r="T211" s="79"/>
      <c r="X211" s="79"/>
      <c r="AA211" s="130"/>
      <c r="AC211" s="106"/>
    </row>
    <row r="212">
      <c r="C212" s="79"/>
      <c r="D212" s="79"/>
      <c r="E212" s="79"/>
      <c r="N212" s="79"/>
      <c r="Q212" s="79"/>
      <c r="S212" s="79"/>
      <c r="T212" s="79"/>
      <c r="X212" s="79"/>
      <c r="AA212" s="130"/>
      <c r="AC212" s="106"/>
    </row>
    <row r="213">
      <c r="C213" s="79"/>
      <c r="D213" s="79"/>
      <c r="E213" s="79"/>
      <c r="N213" s="79"/>
      <c r="Q213" s="79"/>
      <c r="S213" s="79"/>
      <c r="T213" s="79"/>
      <c r="X213" s="79"/>
      <c r="AA213" s="130"/>
      <c r="AC213" s="106"/>
    </row>
    <row r="214">
      <c r="C214" s="79"/>
      <c r="D214" s="79"/>
      <c r="E214" s="79"/>
      <c r="N214" s="79"/>
      <c r="Q214" s="79"/>
      <c r="S214" s="79"/>
      <c r="T214" s="79"/>
      <c r="X214" s="79"/>
      <c r="AA214" s="130"/>
      <c r="AC214" s="106"/>
    </row>
    <row r="215">
      <c r="C215" s="79"/>
      <c r="D215" s="79"/>
      <c r="E215" s="79"/>
      <c r="N215" s="79"/>
      <c r="Q215" s="79"/>
      <c r="S215" s="79"/>
      <c r="T215" s="79"/>
      <c r="X215" s="79"/>
      <c r="AA215" s="130"/>
      <c r="AC215" s="106"/>
    </row>
    <row r="216">
      <c r="C216" s="79"/>
      <c r="D216" s="79"/>
      <c r="E216" s="79"/>
      <c r="N216" s="79"/>
      <c r="Q216" s="79"/>
      <c r="S216" s="79"/>
      <c r="T216" s="79"/>
      <c r="X216" s="79"/>
      <c r="AA216" s="130"/>
      <c r="AC216" s="106"/>
    </row>
    <row r="217">
      <c r="C217" s="79"/>
      <c r="D217" s="79"/>
      <c r="E217" s="79"/>
      <c r="N217" s="79"/>
      <c r="Q217" s="79"/>
      <c r="S217" s="79"/>
      <c r="T217" s="79"/>
      <c r="X217" s="79"/>
      <c r="AA217" s="130"/>
      <c r="AC217" s="106"/>
    </row>
    <row r="218">
      <c r="C218" s="79"/>
      <c r="D218" s="79"/>
      <c r="E218" s="79"/>
      <c r="N218" s="79"/>
      <c r="Q218" s="79"/>
      <c r="S218" s="79"/>
      <c r="T218" s="79"/>
      <c r="X218" s="79"/>
      <c r="AA218" s="130"/>
      <c r="AC218" s="106"/>
    </row>
    <row r="219">
      <c r="C219" s="79"/>
      <c r="D219" s="79"/>
      <c r="E219" s="79"/>
      <c r="N219" s="79"/>
      <c r="Q219" s="79"/>
      <c r="S219" s="79"/>
      <c r="T219" s="79"/>
      <c r="X219" s="79"/>
      <c r="AA219" s="130"/>
      <c r="AC219" s="106"/>
    </row>
    <row r="220">
      <c r="C220" s="79"/>
      <c r="D220" s="79"/>
      <c r="E220" s="79"/>
      <c r="N220" s="79"/>
      <c r="Q220" s="79"/>
      <c r="S220" s="79"/>
      <c r="T220" s="79"/>
      <c r="X220" s="79"/>
      <c r="AA220" s="130"/>
      <c r="AC220" s="106"/>
    </row>
    <row r="221">
      <c r="C221" s="79"/>
      <c r="D221" s="79"/>
      <c r="E221" s="79"/>
      <c r="N221" s="79"/>
      <c r="Q221" s="79"/>
      <c r="S221" s="79"/>
      <c r="T221" s="79"/>
      <c r="X221" s="79"/>
      <c r="AA221" s="130"/>
      <c r="AC221" s="106"/>
    </row>
    <row r="222">
      <c r="C222" s="79"/>
      <c r="D222" s="79"/>
      <c r="E222" s="79"/>
      <c r="N222" s="79"/>
      <c r="Q222" s="79"/>
      <c r="S222" s="79"/>
      <c r="T222" s="79"/>
      <c r="X222" s="79"/>
      <c r="AA222" s="130"/>
      <c r="AC222" s="106"/>
    </row>
    <row r="223">
      <c r="C223" s="79"/>
      <c r="D223" s="79"/>
      <c r="E223" s="79"/>
      <c r="N223" s="79"/>
      <c r="Q223" s="79"/>
      <c r="S223" s="79"/>
      <c r="T223" s="79"/>
      <c r="X223" s="79"/>
      <c r="AA223" s="130"/>
      <c r="AC223" s="106"/>
    </row>
    <row r="224">
      <c r="C224" s="79"/>
      <c r="D224" s="79"/>
      <c r="E224" s="79"/>
      <c r="N224" s="79"/>
      <c r="Q224" s="79"/>
      <c r="S224" s="79"/>
      <c r="T224" s="79"/>
      <c r="X224" s="79"/>
      <c r="AA224" s="130"/>
      <c r="AC224" s="106"/>
    </row>
    <row r="225">
      <c r="C225" s="79"/>
      <c r="D225" s="79"/>
      <c r="E225" s="79"/>
      <c r="N225" s="79"/>
      <c r="Q225" s="79"/>
      <c r="S225" s="79"/>
      <c r="T225" s="79"/>
      <c r="X225" s="79"/>
      <c r="AA225" s="130"/>
      <c r="AC225" s="106"/>
    </row>
    <row r="226">
      <c r="C226" s="79"/>
      <c r="D226" s="79"/>
      <c r="E226" s="79"/>
      <c r="N226" s="79"/>
      <c r="Q226" s="79"/>
      <c r="S226" s="79"/>
      <c r="T226" s="79"/>
      <c r="X226" s="79"/>
      <c r="AA226" s="130"/>
      <c r="AC226" s="106"/>
    </row>
    <row r="227">
      <c r="C227" s="79"/>
      <c r="D227" s="79"/>
      <c r="E227" s="79"/>
      <c r="N227" s="79"/>
      <c r="Q227" s="79"/>
      <c r="S227" s="79"/>
      <c r="T227" s="79"/>
      <c r="X227" s="79"/>
      <c r="AA227" s="130"/>
      <c r="AC227" s="106"/>
    </row>
    <row r="228">
      <c r="C228" s="79"/>
      <c r="D228" s="79"/>
      <c r="E228" s="79"/>
      <c r="N228" s="79"/>
      <c r="Q228" s="79"/>
      <c r="S228" s="79"/>
      <c r="T228" s="79"/>
      <c r="X228" s="79"/>
      <c r="AA228" s="130"/>
      <c r="AC228" s="106"/>
    </row>
    <row r="229">
      <c r="C229" s="79"/>
      <c r="D229" s="79"/>
      <c r="E229" s="79"/>
      <c r="N229" s="79"/>
      <c r="Q229" s="79"/>
      <c r="S229" s="79"/>
      <c r="T229" s="79"/>
      <c r="X229" s="79"/>
      <c r="AA229" s="130"/>
      <c r="AC229" s="106"/>
    </row>
    <row r="230">
      <c r="C230" s="79"/>
      <c r="D230" s="79"/>
      <c r="E230" s="79"/>
      <c r="N230" s="79"/>
      <c r="Q230" s="79"/>
      <c r="S230" s="79"/>
      <c r="T230" s="79"/>
      <c r="X230" s="79"/>
      <c r="AA230" s="130"/>
      <c r="AC230" s="106"/>
    </row>
    <row r="231">
      <c r="C231" s="79"/>
      <c r="D231" s="79"/>
      <c r="E231" s="79"/>
      <c r="N231" s="79"/>
      <c r="Q231" s="79"/>
      <c r="S231" s="79"/>
      <c r="T231" s="79"/>
      <c r="X231" s="79"/>
      <c r="AA231" s="130"/>
      <c r="AC231" s="106"/>
    </row>
    <row r="232">
      <c r="C232" s="79"/>
      <c r="D232" s="79"/>
      <c r="E232" s="79"/>
      <c r="N232" s="79"/>
      <c r="Q232" s="79"/>
      <c r="S232" s="79"/>
      <c r="T232" s="79"/>
      <c r="X232" s="79"/>
      <c r="AA232" s="130"/>
      <c r="AC232" s="106"/>
    </row>
    <row r="233">
      <c r="C233" s="79"/>
      <c r="D233" s="79"/>
      <c r="E233" s="79"/>
      <c r="N233" s="79"/>
      <c r="Q233" s="79"/>
      <c r="S233" s="79"/>
      <c r="T233" s="79"/>
      <c r="X233" s="79"/>
      <c r="AA233" s="130"/>
      <c r="AC233" s="106"/>
    </row>
    <row r="234">
      <c r="C234" s="79"/>
      <c r="D234" s="79"/>
      <c r="E234" s="79"/>
      <c r="N234" s="79"/>
      <c r="Q234" s="79"/>
      <c r="S234" s="79"/>
      <c r="T234" s="79"/>
      <c r="X234" s="79"/>
      <c r="AA234" s="130"/>
      <c r="AC234" s="106"/>
    </row>
    <row r="235">
      <c r="C235" s="79"/>
      <c r="D235" s="79"/>
      <c r="E235" s="79"/>
      <c r="N235" s="79"/>
      <c r="Q235" s="79"/>
      <c r="S235" s="79"/>
      <c r="T235" s="79"/>
      <c r="X235" s="79"/>
      <c r="AA235" s="130"/>
      <c r="AC235" s="106"/>
    </row>
    <row r="236">
      <c r="C236" s="79"/>
      <c r="D236" s="79"/>
      <c r="E236" s="79"/>
      <c r="N236" s="79"/>
      <c r="Q236" s="79"/>
      <c r="S236" s="79"/>
      <c r="T236" s="79"/>
      <c r="X236" s="79"/>
      <c r="AA236" s="130"/>
      <c r="AC236" s="106"/>
    </row>
    <row r="237">
      <c r="C237" s="79"/>
      <c r="D237" s="79"/>
      <c r="E237" s="79"/>
      <c r="N237" s="79"/>
      <c r="Q237" s="79"/>
      <c r="S237" s="79"/>
      <c r="T237" s="79"/>
      <c r="X237" s="79"/>
      <c r="AA237" s="130"/>
      <c r="AC237" s="106"/>
    </row>
    <row r="238">
      <c r="C238" s="79"/>
      <c r="D238" s="79"/>
      <c r="E238" s="79"/>
      <c r="N238" s="79"/>
      <c r="Q238" s="79"/>
      <c r="S238" s="79"/>
      <c r="T238" s="79"/>
      <c r="X238" s="79"/>
      <c r="AA238" s="130"/>
      <c r="AC238" s="106"/>
    </row>
    <row r="239">
      <c r="C239" s="79"/>
      <c r="D239" s="79"/>
      <c r="E239" s="79"/>
      <c r="N239" s="79"/>
      <c r="Q239" s="79"/>
      <c r="S239" s="79"/>
      <c r="T239" s="79"/>
      <c r="X239" s="79"/>
      <c r="AA239" s="130"/>
      <c r="AC239" s="106"/>
    </row>
    <row r="240">
      <c r="C240" s="79"/>
      <c r="D240" s="79"/>
      <c r="E240" s="79"/>
      <c r="N240" s="79"/>
      <c r="Q240" s="79"/>
      <c r="S240" s="79"/>
      <c r="T240" s="79"/>
      <c r="X240" s="79"/>
      <c r="AA240" s="130"/>
      <c r="AC240" s="106"/>
    </row>
    <row r="241">
      <c r="C241" s="79"/>
      <c r="D241" s="79"/>
      <c r="E241" s="79"/>
      <c r="N241" s="79"/>
      <c r="Q241" s="79"/>
      <c r="S241" s="79"/>
      <c r="T241" s="79"/>
      <c r="X241" s="79"/>
      <c r="AA241" s="130"/>
      <c r="AC241" s="106"/>
    </row>
    <row r="242">
      <c r="C242" s="79"/>
      <c r="D242" s="79"/>
      <c r="E242" s="79"/>
      <c r="N242" s="79"/>
      <c r="Q242" s="79"/>
      <c r="S242" s="79"/>
      <c r="T242" s="79"/>
      <c r="X242" s="79"/>
      <c r="AA242" s="130"/>
      <c r="AC242" s="106"/>
    </row>
    <row r="243">
      <c r="C243" s="79"/>
      <c r="D243" s="79"/>
      <c r="E243" s="79"/>
      <c r="N243" s="79"/>
      <c r="Q243" s="79"/>
      <c r="S243" s="79"/>
      <c r="T243" s="79"/>
      <c r="X243" s="79"/>
      <c r="AA243" s="130"/>
      <c r="AC243" s="106"/>
    </row>
    <row r="244">
      <c r="C244" s="79"/>
      <c r="D244" s="79"/>
      <c r="E244" s="79"/>
      <c r="N244" s="79"/>
      <c r="Q244" s="79"/>
      <c r="S244" s="79"/>
      <c r="T244" s="79"/>
      <c r="X244" s="79"/>
      <c r="AA244" s="130"/>
      <c r="AC244" s="106"/>
    </row>
    <row r="245">
      <c r="C245" s="79"/>
      <c r="D245" s="79"/>
      <c r="E245" s="79"/>
      <c r="N245" s="79"/>
      <c r="Q245" s="79"/>
      <c r="S245" s="79"/>
      <c r="T245" s="79"/>
      <c r="X245" s="79"/>
      <c r="AA245" s="130"/>
      <c r="AC245" s="106"/>
    </row>
    <row r="246">
      <c r="C246" s="79"/>
      <c r="D246" s="79"/>
      <c r="E246" s="79"/>
      <c r="N246" s="79"/>
      <c r="Q246" s="79"/>
      <c r="S246" s="79"/>
      <c r="T246" s="79"/>
      <c r="X246" s="79"/>
      <c r="AA246" s="130"/>
      <c r="AC246" s="106"/>
    </row>
    <row r="247">
      <c r="C247" s="79"/>
      <c r="D247" s="79"/>
      <c r="E247" s="79"/>
      <c r="N247" s="79"/>
      <c r="Q247" s="79"/>
      <c r="S247" s="79"/>
      <c r="T247" s="79"/>
      <c r="X247" s="79"/>
      <c r="AA247" s="130"/>
      <c r="AC247" s="106"/>
    </row>
    <row r="248">
      <c r="C248" s="79"/>
      <c r="D248" s="79"/>
      <c r="E248" s="79"/>
      <c r="N248" s="79"/>
      <c r="Q248" s="79"/>
      <c r="S248" s="79"/>
      <c r="T248" s="79"/>
      <c r="X248" s="79"/>
      <c r="AA248" s="130"/>
      <c r="AC248" s="106"/>
    </row>
    <row r="249">
      <c r="C249" s="79"/>
      <c r="D249" s="79"/>
      <c r="E249" s="79"/>
      <c r="N249" s="79"/>
      <c r="Q249" s="79"/>
      <c r="S249" s="79"/>
      <c r="T249" s="79"/>
      <c r="X249" s="79"/>
      <c r="AA249" s="130"/>
      <c r="AC249" s="106"/>
    </row>
    <row r="250">
      <c r="C250" s="79"/>
      <c r="D250" s="79"/>
      <c r="E250" s="79"/>
      <c r="N250" s="79"/>
      <c r="Q250" s="79"/>
      <c r="S250" s="79"/>
      <c r="T250" s="79"/>
      <c r="X250" s="79"/>
      <c r="AA250" s="130"/>
      <c r="AC250" s="106"/>
    </row>
    <row r="251">
      <c r="C251" s="79"/>
      <c r="D251" s="79"/>
      <c r="E251" s="79"/>
      <c r="N251" s="79"/>
      <c r="Q251" s="79"/>
      <c r="S251" s="79"/>
      <c r="T251" s="79"/>
      <c r="X251" s="79"/>
      <c r="AA251" s="130"/>
      <c r="AC251" s="106"/>
    </row>
    <row r="252">
      <c r="C252" s="79"/>
      <c r="D252" s="79"/>
      <c r="E252" s="79"/>
      <c r="N252" s="79"/>
      <c r="Q252" s="79"/>
      <c r="S252" s="79"/>
      <c r="T252" s="79"/>
      <c r="X252" s="79"/>
      <c r="AA252" s="130"/>
      <c r="AC252" s="106"/>
    </row>
    <row r="253">
      <c r="C253" s="79"/>
      <c r="D253" s="79"/>
      <c r="E253" s="79"/>
      <c r="N253" s="79"/>
      <c r="Q253" s="79"/>
      <c r="S253" s="79"/>
      <c r="T253" s="79"/>
      <c r="X253" s="79"/>
      <c r="AA253" s="130"/>
      <c r="AC253" s="106"/>
    </row>
    <row r="254">
      <c r="C254" s="79"/>
      <c r="D254" s="79"/>
      <c r="E254" s="79"/>
      <c r="N254" s="79"/>
      <c r="Q254" s="79"/>
      <c r="S254" s="79"/>
      <c r="T254" s="79"/>
      <c r="X254" s="79"/>
      <c r="AA254" s="130"/>
      <c r="AC254" s="106"/>
    </row>
    <row r="255">
      <c r="C255" s="79"/>
      <c r="D255" s="79"/>
      <c r="E255" s="79"/>
      <c r="N255" s="79"/>
      <c r="Q255" s="79"/>
      <c r="S255" s="79"/>
      <c r="T255" s="79"/>
      <c r="X255" s="79"/>
      <c r="AA255" s="130"/>
      <c r="AC255" s="106"/>
    </row>
    <row r="256">
      <c r="C256" s="79"/>
      <c r="D256" s="79"/>
      <c r="E256" s="79"/>
      <c r="N256" s="79"/>
      <c r="Q256" s="79"/>
      <c r="S256" s="79"/>
      <c r="T256" s="79"/>
      <c r="X256" s="79"/>
      <c r="AA256" s="130"/>
      <c r="AC256" s="106"/>
    </row>
    <row r="257">
      <c r="C257" s="79"/>
      <c r="D257" s="79"/>
      <c r="E257" s="79"/>
      <c r="N257" s="79"/>
      <c r="Q257" s="79"/>
      <c r="S257" s="79"/>
      <c r="T257" s="79"/>
      <c r="X257" s="79"/>
      <c r="AA257" s="130"/>
      <c r="AC257" s="106"/>
    </row>
    <row r="258">
      <c r="C258" s="79"/>
      <c r="D258" s="79"/>
      <c r="E258" s="79"/>
      <c r="N258" s="79"/>
      <c r="Q258" s="79"/>
      <c r="S258" s="79"/>
      <c r="T258" s="79"/>
      <c r="X258" s="79"/>
      <c r="AA258" s="130"/>
      <c r="AC258" s="106"/>
    </row>
    <row r="259">
      <c r="C259" s="79"/>
      <c r="D259" s="79"/>
      <c r="E259" s="79"/>
      <c r="N259" s="79"/>
      <c r="Q259" s="79"/>
      <c r="S259" s="79"/>
      <c r="T259" s="79"/>
      <c r="X259" s="79"/>
      <c r="AA259" s="130"/>
      <c r="AC259" s="106"/>
    </row>
    <row r="260">
      <c r="C260" s="79"/>
      <c r="D260" s="79"/>
      <c r="E260" s="79"/>
      <c r="N260" s="79"/>
      <c r="Q260" s="79"/>
      <c r="S260" s="79"/>
      <c r="T260" s="79"/>
      <c r="X260" s="79"/>
      <c r="AA260" s="130"/>
      <c r="AC260" s="106"/>
    </row>
    <row r="261">
      <c r="C261" s="79"/>
      <c r="D261" s="79"/>
      <c r="E261" s="79"/>
      <c r="N261" s="79"/>
      <c r="Q261" s="79"/>
      <c r="S261" s="79"/>
      <c r="T261" s="79"/>
      <c r="X261" s="79"/>
      <c r="AA261" s="130"/>
      <c r="AC261" s="106"/>
    </row>
    <row r="262">
      <c r="C262" s="79"/>
      <c r="D262" s="79"/>
      <c r="E262" s="79"/>
      <c r="N262" s="79"/>
      <c r="Q262" s="79"/>
      <c r="S262" s="79"/>
      <c r="T262" s="79"/>
      <c r="X262" s="79"/>
      <c r="AA262" s="130"/>
      <c r="AC262" s="106"/>
    </row>
    <row r="263">
      <c r="C263" s="79"/>
      <c r="D263" s="79"/>
      <c r="E263" s="79"/>
      <c r="N263" s="79"/>
      <c r="Q263" s="79"/>
      <c r="S263" s="79"/>
      <c r="T263" s="79"/>
      <c r="X263" s="79"/>
      <c r="AA263" s="130"/>
      <c r="AC263" s="106"/>
    </row>
    <row r="264">
      <c r="C264" s="79"/>
      <c r="D264" s="79"/>
      <c r="E264" s="79"/>
      <c r="N264" s="79"/>
      <c r="Q264" s="79"/>
      <c r="S264" s="79"/>
      <c r="T264" s="79"/>
      <c r="X264" s="79"/>
      <c r="AA264" s="130"/>
      <c r="AC264" s="106"/>
    </row>
    <row r="265">
      <c r="C265" s="79"/>
      <c r="D265" s="79"/>
      <c r="E265" s="79"/>
      <c r="N265" s="79"/>
      <c r="Q265" s="79"/>
      <c r="S265" s="79"/>
      <c r="T265" s="79"/>
      <c r="X265" s="79"/>
      <c r="AA265" s="130"/>
      <c r="AC265" s="106"/>
    </row>
    <row r="266">
      <c r="C266" s="79"/>
      <c r="D266" s="79"/>
      <c r="E266" s="79"/>
      <c r="N266" s="79"/>
      <c r="Q266" s="79"/>
      <c r="S266" s="79"/>
      <c r="T266" s="79"/>
      <c r="X266" s="79"/>
      <c r="AA266" s="130"/>
      <c r="AC266" s="106"/>
    </row>
    <row r="267">
      <c r="C267" s="79"/>
      <c r="D267" s="79"/>
      <c r="E267" s="79"/>
      <c r="N267" s="79"/>
      <c r="Q267" s="79"/>
      <c r="S267" s="79"/>
      <c r="T267" s="79"/>
      <c r="X267" s="79"/>
      <c r="AA267" s="130"/>
      <c r="AC267" s="106"/>
    </row>
    <row r="268">
      <c r="C268" s="79"/>
      <c r="D268" s="79"/>
      <c r="E268" s="79"/>
      <c r="N268" s="79"/>
      <c r="Q268" s="79"/>
      <c r="S268" s="79"/>
      <c r="T268" s="79"/>
      <c r="X268" s="79"/>
      <c r="AA268" s="130"/>
      <c r="AC268" s="106"/>
    </row>
    <row r="269">
      <c r="C269" s="79"/>
      <c r="D269" s="79"/>
      <c r="E269" s="79"/>
      <c r="N269" s="79"/>
      <c r="Q269" s="79"/>
      <c r="S269" s="79"/>
      <c r="T269" s="79"/>
      <c r="X269" s="79"/>
      <c r="AA269" s="130"/>
      <c r="AC269" s="106"/>
    </row>
    <row r="270">
      <c r="C270" s="79"/>
      <c r="D270" s="79"/>
      <c r="E270" s="79"/>
      <c r="N270" s="79"/>
      <c r="Q270" s="79"/>
      <c r="S270" s="79"/>
      <c r="T270" s="79"/>
      <c r="X270" s="79"/>
      <c r="AA270" s="130"/>
      <c r="AC270" s="106"/>
    </row>
    <row r="271">
      <c r="C271" s="79"/>
      <c r="D271" s="79"/>
      <c r="E271" s="79"/>
      <c r="N271" s="79"/>
      <c r="Q271" s="79"/>
      <c r="S271" s="79"/>
      <c r="T271" s="79"/>
      <c r="X271" s="79"/>
      <c r="AA271" s="130"/>
      <c r="AC271" s="106"/>
    </row>
    <row r="272">
      <c r="C272" s="79"/>
      <c r="D272" s="79"/>
      <c r="E272" s="79"/>
      <c r="N272" s="79"/>
      <c r="Q272" s="79"/>
      <c r="S272" s="79"/>
      <c r="T272" s="79"/>
      <c r="X272" s="79"/>
      <c r="AA272" s="130"/>
      <c r="AC272" s="106"/>
    </row>
    <row r="273">
      <c r="C273" s="79"/>
      <c r="D273" s="79"/>
      <c r="E273" s="79"/>
      <c r="N273" s="79"/>
      <c r="Q273" s="79"/>
      <c r="S273" s="79"/>
      <c r="T273" s="79"/>
      <c r="X273" s="79"/>
      <c r="AA273" s="130"/>
      <c r="AC273" s="106"/>
    </row>
    <row r="274">
      <c r="C274" s="79"/>
      <c r="D274" s="79"/>
      <c r="E274" s="79"/>
      <c r="N274" s="79"/>
      <c r="Q274" s="79"/>
      <c r="S274" s="79"/>
      <c r="T274" s="79"/>
      <c r="X274" s="79"/>
      <c r="AA274" s="130"/>
      <c r="AC274" s="106"/>
    </row>
    <row r="275">
      <c r="C275" s="79"/>
      <c r="D275" s="79"/>
      <c r="E275" s="79"/>
      <c r="N275" s="79"/>
      <c r="Q275" s="79"/>
      <c r="S275" s="79"/>
      <c r="T275" s="79"/>
      <c r="X275" s="79"/>
      <c r="AA275" s="130"/>
      <c r="AC275" s="106"/>
    </row>
    <row r="276">
      <c r="C276" s="79"/>
      <c r="D276" s="79"/>
      <c r="E276" s="79"/>
      <c r="N276" s="79"/>
      <c r="Q276" s="79"/>
      <c r="S276" s="79"/>
      <c r="T276" s="79"/>
      <c r="X276" s="79"/>
      <c r="AA276" s="130"/>
      <c r="AC276" s="106"/>
    </row>
    <row r="277">
      <c r="C277" s="79"/>
      <c r="D277" s="79"/>
      <c r="E277" s="79"/>
      <c r="N277" s="79"/>
      <c r="Q277" s="79"/>
      <c r="S277" s="79"/>
      <c r="T277" s="79"/>
      <c r="X277" s="79"/>
      <c r="AA277" s="130"/>
      <c r="AC277" s="106"/>
    </row>
    <row r="278">
      <c r="C278" s="79"/>
      <c r="D278" s="79"/>
      <c r="E278" s="79"/>
      <c r="N278" s="79"/>
      <c r="Q278" s="79"/>
      <c r="S278" s="79"/>
      <c r="T278" s="79"/>
      <c r="X278" s="79"/>
      <c r="AA278" s="130"/>
      <c r="AC278" s="106"/>
    </row>
    <row r="279">
      <c r="C279" s="79"/>
      <c r="D279" s="79"/>
      <c r="E279" s="79"/>
      <c r="N279" s="79"/>
      <c r="Q279" s="79"/>
      <c r="S279" s="79"/>
      <c r="T279" s="79"/>
      <c r="X279" s="79"/>
      <c r="AA279" s="130"/>
      <c r="AC279" s="106"/>
    </row>
    <row r="280">
      <c r="C280" s="79"/>
      <c r="D280" s="79"/>
      <c r="E280" s="79"/>
      <c r="N280" s="79"/>
      <c r="Q280" s="79"/>
      <c r="S280" s="79"/>
      <c r="T280" s="79"/>
      <c r="X280" s="79"/>
      <c r="AA280" s="130"/>
      <c r="AC280" s="106"/>
    </row>
    <row r="281">
      <c r="C281" s="79"/>
      <c r="D281" s="79"/>
      <c r="E281" s="79"/>
      <c r="N281" s="79"/>
      <c r="Q281" s="79"/>
      <c r="S281" s="79"/>
      <c r="T281" s="79"/>
      <c r="X281" s="79"/>
      <c r="AA281" s="130"/>
      <c r="AC281" s="106"/>
    </row>
    <row r="282">
      <c r="C282" s="79"/>
      <c r="D282" s="79"/>
      <c r="E282" s="79"/>
      <c r="N282" s="79"/>
      <c r="Q282" s="79"/>
      <c r="S282" s="79"/>
      <c r="T282" s="79"/>
      <c r="X282" s="79"/>
      <c r="AA282" s="130"/>
      <c r="AC282" s="106"/>
    </row>
    <row r="283">
      <c r="C283" s="79"/>
      <c r="D283" s="79"/>
      <c r="E283" s="79"/>
      <c r="N283" s="79"/>
      <c r="Q283" s="79"/>
      <c r="S283" s="79"/>
      <c r="T283" s="79"/>
      <c r="X283" s="79"/>
      <c r="AA283" s="130"/>
      <c r="AC283" s="106"/>
    </row>
    <row r="284">
      <c r="C284" s="79"/>
      <c r="D284" s="79"/>
      <c r="E284" s="79"/>
      <c r="N284" s="79"/>
      <c r="Q284" s="79"/>
      <c r="S284" s="79"/>
      <c r="T284" s="79"/>
      <c r="X284" s="79"/>
      <c r="AA284" s="130"/>
      <c r="AC284" s="106"/>
    </row>
    <row r="285">
      <c r="C285" s="79"/>
      <c r="D285" s="79"/>
      <c r="E285" s="79"/>
      <c r="N285" s="79"/>
      <c r="Q285" s="79"/>
      <c r="S285" s="79"/>
      <c r="T285" s="79"/>
      <c r="X285" s="79"/>
      <c r="AA285" s="130"/>
      <c r="AC285" s="106"/>
    </row>
    <row r="286">
      <c r="C286" s="79"/>
      <c r="D286" s="79"/>
      <c r="E286" s="79"/>
      <c r="N286" s="79"/>
      <c r="Q286" s="79"/>
      <c r="S286" s="79"/>
      <c r="T286" s="79"/>
      <c r="X286" s="79"/>
      <c r="AA286" s="130"/>
      <c r="AC286" s="106"/>
    </row>
    <row r="287">
      <c r="C287" s="79"/>
      <c r="D287" s="79"/>
      <c r="E287" s="79"/>
      <c r="N287" s="79"/>
      <c r="Q287" s="79"/>
      <c r="S287" s="79"/>
      <c r="T287" s="79"/>
      <c r="X287" s="79"/>
      <c r="AA287" s="130"/>
      <c r="AC287" s="106"/>
    </row>
    <row r="288">
      <c r="C288" s="79"/>
      <c r="D288" s="79"/>
      <c r="E288" s="79"/>
      <c r="N288" s="79"/>
      <c r="Q288" s="79"/>
      <c r="S288" s="79"/>
      <c r="T288" s="79"/>
      <c r="X288" s="79"/>
      <c r="AA288" s="130"/>
      <c r="AC288" s="106"/>
    </row>
    <row r="289">
      <c r="C289" s="79"/>
      <c r="D289" s="79"/>
      <c r="E289" s="79"/>
      <c r="N289" s="79"/>
      <c r="Q289" s="79"/>
      <c r="S289" s="79"/>
      <c r="T289" s="79"/>
      <c r="X289" s="79"/>
      <c r="AA289" s="130"/>
      <c r="AC289" s="106"/>
    </row>
    <row r="290">
      <c r="C290" s="79"/>
      <c r="D290" s="79"/>
      <c r="E290" s="79"/>
      <c r="N290" s="79"/>
      <c r="Q290" s="79"/>
      <c r="S290" s="79"/>
      <c r="T290" s="79"/>
      <c r="X290" s="79"/>
      <c r="AA290" s="130"/>
      <c r="AC290" s="106"/>
    </row>
    <row r="291">
      <c r="C291" s="79"/>
      <c r="D291" s="79"/>
      <c r="E291" s="79"/>
      <c r="N291" s="79"/>
      <c r="Q291" s="79"/>
      <c r="S291" s="79"/>
      <c r="T291" s="79"/>
      <c r="X291" s="79"/>
      <c r="AA291" s="130"/>
      <c r="AC291" s="106"/>
    </row>
    <row r="292">
      <c r="C292" s="79"/>
      <c r="D292" s="79"/>
      <c r="E292" s="79"/>
      <c r="N292" s="79"/>
      <c r="Q292" s="79"/>
      <c r="S292" s="79"/>
      <c r="T292" s="79"/>
      <c r="X292" s="79"/>
      <c r="AA292" s="130"/>
      <c r="AC292" s="106"/>
    </row>
    <row r="293">
      <c r="C293" s="79"/>
      <c r="D293" s="79"/>
      <c r="E293" s="79"/>
      <c r="N293" s="79"/>
      <c r="Q293" s="79"/>
      <c r="S293" s="79"/>
      <c r="T293" s="79"/>
      <c r="X293" s="79"/>
      <c r="AA293" s="130"/>
      <c r="AC293" s="106"/>
    </row>
    <row r="294">
      <c r="C294" s="79"/>
      <c r="D294" s="79"/>
      <c r="E294" s="79"/>
      <c r="N294" s="79"/>
      <c r="Q294" s="79"/>
      <c r="S294" s="79"/>
      <c r="T294" s="79"/>
      <c r="X294" s="79"/>
      <c r="AA294" s="130"/>
      <c r="AC294" s="106"/>
    </row>
    <row r="295">
      <c r="C295" s="79"/>
      <c r="D295" s="79"/>
      <c r="E295" s="79"/>
      <c r="N295" s="79"/>
      <c r="Q295" s="79"/>
      <c r="S295" s="79"/>
      <c r="T295" s="79"/>
      <c r="X295" s="79"/>
      <c r="AA295" s="130"/>
      <c r="AC295" s="106"/>
    </row>
    <row r="296">
      <c r="C296" s="79"/>
      <c r="D296" s="79"/>
      <c r="E296" s="79"/>
      <c r="N296" s="79"/>
      <c r="Q296" s="79"/>
      <c r="S296" s="79"/>
      <c r="T296" s="79"/>
      <c r="X296" s="79"/>
      <c r="AA296" s="130"/>
      <c r="AC296" s="106"/>
    </row>
    <row r="297">
      <c r="C297" s="79"/>
      <c r="D297" s="79"/>
      <c r="E297" s="79"/>
      <c r="N297" s="79"/>
      <c r="Q297" s="79"/>
      <c r="S297" s="79"/>
      <c r="T297" s="79"/>
      <c r="X297" s="79"/>
      <c r="AA297" s="130"/>
      <c r="AC297" s="106"/>
    </row>
    <row r="298">
      <c r="C298" s="79"/>
      <c r="D298" s="79"/>
      <c r="E298" s="79"/>
      <c r="N298" s="79"/>
      <c r="Q298" s="79"/>
      <c r="S298" s="79"/>
      <c r="T298" s="79"/>
      <c r="X298" s="79"/>
      <c r="AA298" s="130"/>
      <c r="AC298" s="106"/>
    </row>
    <row r="299">
      <c r="C299" s="79"/>
      <c r="D299" s="79"/>
      <c r="E299" s="79"/>
      <c r="N299" s="79"/>
      <c r="Q299" s="79"/>
      <c r="S299" s="79"/>
      <c r="T299" s="79"/>
      <c r="X299" s="79"/>
      <c r="AA299" s="130"/>
      <c r="AC299" s="106"/>
    </row>
    <row r="300">
      <c r="C300" s="79"/>
      <c r="D300" s="79"/>
      <c r="E300" s="79"/>
      <c r="N300" s="79"/>
      <c r="Q300" s="79"/>
      <c r="S300" s="79"/>
      <c r="T300" s="79"/>
      <c r="X300" s="79"/>
      <c r="AA300" s="130"/>
      <c r="AC300" s="106"/>
    </row>
    <row r="301">
      <c r="C301" s="79"/>
      <c r="D301" s="79"/>
      <c r="E301" s="79"/>
      <c r="N301" s="79"/>
      <c r="Q301" s="79"/>
      <c r="S301" s="79"/>
      <c r="T301" s="79"/>
      <c r="X301" s="79"/>
      <c r="AA301" s="130"/>
      <c r="AC301" s="106"/>
    </row>
    <row r="302">
      <c r="C302" s="79"/>
      <c r="D302" s="79"/>
      <c r="E302" s="79"/>
      <c r="N302" s="79"/>
      <c r="Q302" s="79"/>
      <c r="S302" s="79"/>
      <c r="T302" s="79"/>
      <c r="X302" s="79"/>
      <c r="AA302" s="130"/>
      <c r="AC302" s="106"/>
    </row>
    <row r="303">
      <c r="C303" s="79"/>
      <c r="D303" s="79"/>
      <c r="E303" s="79"/>
      <c r="N303" s="79"/>
      <c r="Q303" s="79"/>
      <c r="S303" s="79"/>
      <c r="T303" s="79"/>
      <c r="X303" s="79"/>
      <c r="AA303" s="130"/>
      <c r="AC303" s="106"/>
    </row>
    <row r="304">
      <c r="C304" s="79"/>
      <c r="D304" s="79"/>
      <c r="E304" s="79"/>
      <c r="N304" s="79"/>
      <c r="Q304" s="79"/>
      <c r="S304" s="79"/>
      <c r="T304" s="79"/>
      <c r="X304" s="79"/>
      <c r="AA304" s="130"/>
      <c r="AC304" s="106"/>
    </row>
    <row r="305">
      <c r="C305" s="79"/>
      <c r="D305" s="79"/>
      <c r="E305" s="79"/>
      <c r="N305" s="79"/>
      <c r="Q305" s="79"/>
      <c r="S305" s="79"/>
      <c r="T305" s="79"/>
      <c r="X305" s="79"/>
      <c r="AA305" s="130"/>
      <c r="AC305" s="106"/>
    </row>
    <row r="306">
      <c r="C306" s="79"/>
      <c r="D306" s="79"/>
      <c r="E306" s="79"/>
      <c r="N306" s="79"/>
      <c r="Q306" s="79"/>
      <c r="S306" s="79"/>
      <c r="T306" s="79"/>
      <c r="X306" s="79"/>
      <c r="AA306" s="130"/>
      <c r="AC306" s="106"/>
    </row>
    <row r="307">
      <c r="C307" s="79"/>
      <c r="D307" s="79"/>
      <c r="E307" s="79"/>
      <c r="N307" s="79"/>
      <c r="Q307" s="79"/>
      <c r="S307" s="79"/>
      <c r="T307" s="79"/>
      <c r="X307" s="79"/>
      <c r="AA307" s="130"/>
      <c r="AC307" s="106"/>
    </row>
    <row r="308">
      <c r="C308" s="79"/>
      <c r="D308" s="79"/>
      <c r="E308" s="79"/>
      <c r="N308" s="79"/>
      <c r="Q308" s="79"/>
      <c r="S308" s="79"/>
      <c r="T308" s="79"/>
      <c r="X308" s="79"/>
      <c r="AA308" s="130"/>
      <c r="AC308" s="106"/>
    </row>
    <row r="309">
      <c r="C309" s="79"/>
      <c r="D309" s="79"/>
      <c r="E309" s="79"/>
      <c r="N309" s="79"/>
      <c r="Q309" s="79"/>
      <c r="S309" s="79"/>
      <c r="T309" s="79"/>
      <c r="X309" s="79"/>
      <c r="AA309" s="130"/>
      <c r="AC309" s="106"/>
    </row>
    <row r="310">
      <c r="C310" s="79"/>
      <c r="D310" s="79"/>
      <c r="E310" s="79"/>
      <c r="N310" s="79"/>
      <c r="Q310" s="79"/>
      <c r="S310" s="79"/>
      <c r="T310" s="79"/>
      <c r="X310" s="79"/>
      <c r="AA310" s="130"/>
      <c r="AC310" s="106"/>
    </row>
    <row r="311">
      <c r="C311" s="79"/>
      <c r="D311" s="79"/>
      <c r="E311" s="79"/>
      <c r="N311" s="79"/>
      <c r="Q311" s="79"/>
      <c r="S311" s="79"/>
      <c r="T311" s="79"/>
      <c r="X311" s="79"/>
      <c r="AA311" s="130"/>
      <c r="AC311" s="106"/>
    </row>
    <row r="312">
      <c r="C312" s="79"/>
      <c r="D312" s="79"/>
      <c r="E312" s="79"/>
      <c r="N312" s="79"/>
      <c r="Q312" s="79"/>
      <c r="S312" s="79"/>
      <c r="T312" s="79"/>
      <c r="X312" s="79"/>
      <c r="AA312" s="130"/>
      <c r="AC312" s="106"/>
    </row>
    <row r="313">
      <c r="C313" s="79"/>
      <c r="D313" s="79"/>
      <c r="E313" s="79"/>
      <c r="N313" s="79"/>
      <c r="Q313" s="79"/>
      <c r="S313" s="79"/>
      <c r="T313" s="79"/>
      <c r="X313" s="79"/>
      <c r="AA313" s="130"/>
      <c r="AC313" s="106"/>
    </row>
    <row r="314">
      <c r="C314" s="79"/>
      <c r="D314" s="79"/>
      <c r="E314" s="79"/>
      <c r="N314" s="79"/>
      <c r="Q314" s="79"/>
      <c r="S314" s="79"/>
      <c r="T314" s="79"/>
      <c r="X314" s="79"/>
      <c r="AA314" s="130"/>
      <c r="AC314" s="106"/>
    </row>
    <row r="315">
      <c r="C315" s="79"/>
      <c r="D315" s="79"/>
      <c r="E315" s="79"/>
      <c r="N315" s="79"/>
      <c r="Q315" s="79"/>
      <c r="S315" s="79"/>
      <c r="T315" s="79"/>
      <c r="X315" s="79"/>
      <c r="AA315" s="130"/>
      <c r="AC315" s="106"/>
    </row>
    <row r="316">
      <c r="C316" s="79"/>
      <c r="D316" s="79"/>
      <c r="E316" s="79"/>
      <c r="N316" s="79"/>
      <c r="Q316" s="79"/>
      <c r="S316" s="79"/>
      <c r="T316" s="79"/>
      <c r="X316" s="79"/>
      <c r="AA316" s="130"/>
      <c r="AC316" s="106"/>
    </row>
    <row r="317">
      <c r="C317" s="79"/>
      <c r="D317" s="79"/>
      <c r="E317" s="79"/>
      <c r="N317" s="79"/>
      <c r="Q317" s="79"/>
      <c r="S317" s="79"/>
      <c r="T317" s="79"/>
      <c r="X317" s="79"/>
      <c r="AA317" s="130"/>
      <c r="AC317" s="106"/>
    </row>
    <row r="318">
      <c r="C318" s="79"/>
      <c r="D318" s="79"/>
      <c r="E318" s="79"/>
      <c r="N318" s="79"/>
      <c r="Q318" s="79"/>
      <c r="S318" s="79"/>
      <c r="T318" s="79"/>
      <c r="X318" s="79"/>
      <c r="AA318" s="130"/>
      <c r="AC318" s="106"/>
    </row>
    <row r="319">
      <c r="C319" s="79"/>
      <c r="D319" s="79"/>
      <c r="E319" s="79"/>
      <c r="N319" s="79"/>
      <c r="Q319" s="79"/>
      <c r="S319" s="79"/>
      <c r="T319" s="79"/>
      <c r="X319" s="79"/>
      <c r="AA319" s="130"/>
      <c r="AC319" s="106"/>
    </row>
    <row r="320">
      <c r="C320" s="79"/>
      <c r="D320" s="79"/>
      <c r="E320" s="79"/>
      <c r="N320" s="79"/>
      <c r="Q320" s="79"/>
      <c r="S320" s="79"/>
      <c r="T320" s="79"/>
      <c r="X320" s="79"/>
      <c r="AA320" s="130"/>
      <c r="AC320" s="106"/>
    </row>
    <row r="321">
      <c r="C321" s="79"/>
      <c r="D321" s="79"/>
      <c r="E321" s="79"/>
      <c r="N321" s="79"/>
      <c r="Q321" s="79"/>
      <c r="S321" s="79"/>
      <c r="T321" s="79"/>
      <c r="X321" s="79"/>
      <c r="AA321" s="130"/>
      <c r="AC321" s="106"/>
    </row>
    <row r="322">
      <c r="C322" s="79"/>
      <c r="D322" s="79"/>
      <c r="E322" s="79"/>
      <c r="N322" s="79"/>
      <c r="Q322" s="79"/>
      <c r="S322" s="79"/>
      <c r="T322" s="79"/>
      <c r="X322" s="79"/>
      <c r="AA322" s="130"/>
      <c r="AC322" s="106"/>
    </row>
    <row r="323">
      <c r="C323" s="79"/>
      <c r="D323" s="79"/>
      <c r="E323" s="79"/>
      <c r="N323" s="79"/>
      <c r="Q323" s="79"/>
      <c r="S323" s="79"/>
      <c r="T323" s="79"/>
      <c r="X323" s="79"/>
      <c r="AA323" s="130"/>
      <c r="AC323" s="106"/>
    </row>
    <row r="324">
      <c r="C324" s="79"/>
      <c r="D324" s="79"/>
      <c r="E324" s="79"/>
      <c r="N324" s="79"/>
      <c r="Q324" s="79"/>
      <c r="S324" s="79"/>
      <c r="T324" s="79"/>
      <c r="X324" s="79"/>
      <c r="AA324" s="130"/>
      <c r="AC324" s="106"/>
    </row>
    <row r="325">
      <c r="C325" s="79"/>
      <c r="D325" s="79"/>
      <c r="E325" s="79"/>
      <c r="N325" s="79"/>
      <c r="Q325" s="79"/>
      <c r="S325" s="79"/>
      <c r="T325" s="79"/>
      <c r="X325" s="79"/>
      <c r="AA325" s="130"/>
      <c r="AC325" s="106"/>
    </row>
    <row r="326">
      <c r="C326" s="79"/>
      <c r="D326" s="79"/>
      <c r="E326" s="79"/>
      <c r="N326" s="79"/>
      <c r="Q326" s="79"/>
      <c r="S326" s="79"/>
      <c r="T326" s="79"/>
      <c r="X326" s="79"/>
      <c r="AA326" s="130"/>
      <c r="AC326" s="106"/>
    </row>
    <row r="327">
      <c r="C327" s="79"/>
      <c r="D327" s="79"/>
      <c r="E327" s="79"/>
      <c r="N327" s="79"/>
      <c r="Q327" s="79"/>
      <c r="S327" s="79"/>
      <c r="T327" s="79"/>
      <c r="X327" s="79"/>
      <c r="AA327" s="130"/>
      <c r="AC327" s="106"/>
    </row>
    <row r="328">
      <c r="C328" s="79"/>
      <c r="D328" s="79"/>
      <c r="E328" s="79"/>
      <c r="N328" s="79"/>
      <c r="Q328" s="79"/>
      <c r="S328" s="79"/>
      <c r="T328" s="79"/>
      <c r="X328" s="79"/>
      <c r="AA328" s="130"/>
      <c r="AC328" s="106"/>
    </row>
    <row r="329">
      <c r="C329" s="79"/>
      <c r="D329" s="79"/>
      <c r="E329" s="79"/>
      <c r="N329" s="79"/>
      <c r="Q329" s="79"/>
      <c r="S329" s="79"/>
      <c r="T329" s="79"/>
      <c r="X329" s="79"/>
      <c r="AA329" s="130"/>
      <c r="AC329" s="106"/>
    </row>
    <row r="330">
      <c r="C330" s="79"/>
      <c r="D330" s="79"/>
      <c r="E330" s="79"/>
      <c r="N330" s="79"/>
      <c r="Q330" s="79"/>
      <c r="S330" s="79"/>
      <c r="T330" s="79"/>
      <c r="X330" s="79"/>
      <c r="AA330" s="130"/>
      <c r="AC330" s="106"/>
    </row>
    <row r="331">
      <c r="C331" s="79"/>
      <c r="D331" s="79"/>
      <c r="E331" s="79"/>
      <c r="N331" s="79"/>
      <c r="Q331" s="79"/>
      <c r="S331" s="79"/>
      <c r="T331" s="79"/>
      <c r="X331" s="79"/>
      <c r="AA331" s="130"/>
      <c r="AC331" s="106"/>
    </row>
    <row r="332">
      <c r="C332" s="79"/>
      <c r="D332" s="79"/>
      <c r="E332" s="79"/>
      <c r="N332" s="79"/>
      <c r="Q332" s="79"/>
      <c r="S332" s="79"/>
      <c r="T332" s="79"/>
      <c r="X332" s="79"/>
      <c r="AA332" s="130"/>
      <c r="AC332" s="106"/>
    </row>
    <row r="333">
      <c r="C333" s="79"/>
      <c r="D333" s="79"/>
      <c r="E333" s="79"/>
      <c r="N333" s="79"/>
      <c r="Q333" s="79"/>
      <c r="S333" s="79"/>
      <c r="T333" s="79"/>
      <c r="X333" s="79"/>
      <c r="AA333" s="130"/>
      <c r="AC333" s="106"/>
    </row>
    <row r="334">
      <c r="C334" s="79"/>
      <c r="D334" s="79"/>
      <c r="E334" s="79"/>
      <c r="N334" s="79"/>
      <c r="Q334" s="79"/>
      <c r="S334" s="79"/>
      <c r="T334" s="79"/>
      <c r="X334" s="79"/>
      <c r="AA334" s="130"/>
      <c r="AC334" s="106"/>
    </row>
    <row r="335">
      <c r="C335" s="79"/>
      <c r="D335" s="79"/>
      <c r="E335" s="79"/>
      <c r="N335" s="79"/>
      <c r="Q335" s="79"/>
      <c r="S335" s="79"/>
      <c r="T335" s="79"/>
      <c r="X335" s="79"/>
      <c r="AA335" s="130"/>
      <c r="AC335" s="106"/>
    </row>
    <row r="336">
      <c r="C336" s="79"/>
      <c r="D336" s="79"/>
      <c r="E336" s="79"/>
      <c r="N336" s="79"/>
      <c r="Q336" s="79"/>
      <c r="S336" s="79"/>
      <c r="T336" s="79"/>
      <c r="X336" s="79"/>
      <c r="AA336" s="130"/>
      <c r="AC336" s="106"/>
    </row>
    <row r="337">
      <c r="C337" s="79"/>
      <c r="D337" s="79"/>
      <c r="E337" s="79"/>
      <c r="N337" s="79"/>
      <c r="Q337" s="79"/>
      <c r="S337" s="79"/>
      <c r="T337" s="79"/>
      <c r="X337" s="79"/>
      <c r="AA337" s="130"/>
      <c r="AC337" s="106"/>
    </row>
    <row r="338">
      <c r="C338" s="79"/>
      <c r="D338" s="79"/>
      <c r="E338" s="79"/>
      <c r="N338" s="79"/>
      <c r="Q338" s="79"/>
      <c r="S338" s="79"/>
      <c r="T338" s="79"/>
      <c r="X338" s="79"/>
      <c r="AA338" s="130"/>
      <c r="AC338" s="106"/>
    </row>
    <row r="339">
      <c r="C339" s="79"/>
      <c r="D339" s="79"/>
      <c r="E339" s="79"/>
      <c r="N339" s="79"/>
      <c r="Q339" s="79"/>
      <c r="S339" s="79"/>
      <c r="T339" s="79"/>
      <c r="X339" s="79"/>
      <c r="AA339" s="130"/>
      <c r="AC339" s="106"/>
    </row>
    <row r="340">
      <c r="C340" s="79"/>
      <c r="D340" s="79"/>
      <c r="E340" s="79"/>
      <c r="N340" s="79"/>
      <c r="Q340" s="79"/>
      <c r="S340" s="79"/>
      <c r="T340" s="79"/>
      <c r="X340" s="79"/>
      <c r="AA340" s="130"/>
      <c r="AC340" s="106"/>
    </row>
    <row r="341">
      <c r="C341" s="79"/>
      <c r="D341" s="79"/>
      <c r="E341" s="79"/>
      <c r="N341" s="79"/>
      <c r="Q341" s="79"/>
      <c r="S341" s="79"/>
      <c r="T341" s="79"/>
      <c r="X341" s="79"/>
      <c r="AA341" s="130"/>
      <c r="AC341" s="106"/>
    </row>
    <row r="342">
      <c r="C342" s="79"/>
      <c r="D342" s="79"/>
      <c r="E342" s="79"/>
      <c r="N342" s="79"/>
      <c r="Q342" s="79"/>
      <c r="S342" s="79"/>
      <c r="T342" s="79"/>
      <c r="X342" s="79"/>
      <c r="AA342" s="130"/>
      <c r="AC342" s="106"/>
    </row>
    <row r="343">
      <c r="C343" s="79"/>
      <c r="D343" s="79"/>
      <c r="E343" s="79"/>
      <c r="N343" s="79"/>
      <c r="Q343" s="79"/>
      <c r="S343" s="79"/>
      <c r="T343" s="79"/>
      <c r="X343" s="79"/>
      <c r="AA343" s="130"/>
      <c r="AC343" s="106"/>
    </row>
    <row r="344">
      <c r="C344" s="79"/>
      <c r="D344" s="79"/>
      <c r="E344" s="79"/>
      <c r="N344" s="79"/>
      <c r="Q344" s="79"/>
      <c r="S344" s="79"/>
      <c r="T344" s="79"/>
      <c r="X344" s="79"/>
      <c r="AA344" s="130"/>
      <c r="AC344" s="106"/>
    </row>
    <row r="345">
      <c r="C345" s="79"/>
      <c r="D345" s="79"/>
      <c r="E345" s="79"/>
      <c r="N345" s="79"/>
      <c r="Q345" s="79"/>
      <c r="S345" s="79"/>
      <c r="T345" s="79"/>
      <c r="X345" s="79"/>
      <c r="AA345" s="130"/>
      <c r="AC345" s="106"/>
    </row>
    <row r="346">
      <c r="C346" s="79"/>
      <c r="D346" s="79"/>
      <c r="E346" s="79"/>
      <c r="N346" s="79"/>
      <c r="Q346" s="79"/>
      <c r="S346" s="79"/>
      <c r="T346" s="79"/>
      <c r="X346" s="79"/>
      <c r="AA346" s="130"/>
      <c r="AC346" s="106"/>
    </row>
    <row r="347">
      <c r="C347" s="79"/>
      <c r="D347" s="79"/>
      <c r="E347" s="79"/>
      <c r="N347" s="79"/>
      <c r="Q347" s="79"/>
      <c r="S347" s="79"/>
      <c r="T347" s="79"/>
      <c r="X347" s="79"/>
      <c r="AA347" s="130"/>
      <c r="AC347" s="106"/>
    </row>
    <row r="348">
      <c r="C348" s="79"/>
      <c r="D348" s="79"/>
      <c r="E348" s="79"/>
      <c r="N348" s="79"/>
      <c r="Q348" s="79"/>
      <c r="S348" s="79"/>
      <c r="T348" s="79"/>
      <c r="X348" s="79"/>
      <c r="AA348" s="130"/>
      <c r="AC348" s="106"/>
    </row>
    <row r="349">
      <c r="C349" s="79"/>
      <c r="D349" s="79"/>
      <c r="E349" s="79"/>
      <c r="N349" s="79"/>
      <c r="Q349" s="79"/>
      <c r="S349" s="79"/>
      <c r="T349" s="79"/>
      <c r="X349" s="79"/>
      <c r="AA349" s="130"/>
      <c r="AC349" s="106"/>
    </row>
    <row r="350">
      <c r="C350" s="79"/>
      <c r="D350" s="79"/>
      <c r="E350" s="79"/>
      <c r="N350" s="79"/>
      <c r="Q350" s="79"/>
      <c r="S350" s="79"/>
      <c r="T350" s="79"/>
      <c r="X350" s="79"/>
      <c r="AA350" s="130"/>
      <c r="AC350" s="106"/>
    </row>
    <row r="351">
      <c r="C351" s="79"/>
      <c r="D351" s="79"/>
      <c r="E351" s="79"/>
      <c r="N351" s="79"/>
      <c r="Q351" s="79"/>
      <c r="S351" s="79"/>
      <c r="T351" s="79"/>
      <c r="X351" s="79"/>
      <c r="AA351" s="130"/>
      <c r="AC351" s="106"/>
    </row>
    <row r="352">
      <c r="C352" s="79"/>
      <c r="D352" s="79"/>
      <c r="E352" s="79"/>
      <c r="N352" s="79"/>
      <c r="Q352" s="79"/>
      <c r="S352" s="79"/>
      <c r="T352" s="79"/>
      <c r="X352" s="79"/>
      <c r="AA352" s="130"/>
      <c r="AC352" s="106"/>
    </row>
    <row r="353">
      <c r="C353" s="79"/>
      <c r="D353" s="79"/>
      <c r="E353" s="79"/>
      <c r="N353" s="79"/>
      <c r="Q353" s="79"/>
      <c r="S353" s="79"/>
      <c r="T353" s="79"/>
      <c r="X353" s="79"/>
      <c r="AA353" s="130"/>
      <c r="AC353" s="106"/>
    </row>
    <row r="354">
      <c r="C354" s="79"/>
      <c r="D354" s="79"/>
      <c r="E354" s="79"/>
      <c r="N354" s="79"/>
      <c r="Q354" s="79"/>
      <c r="S354" s="79"/>
      <c r="T354" s="79"/>
      <c r="X354" s="79"/>
      <c r="AA354" s="130"/>
      <c r="AC354" s="106"/>
    </row>
    <row r="355">
      <c r="C355" s="79"/>
      <c r="D355" s="79"/>
      <c r="E355" s="79"/>
      <c r="N355" s="79"/>
      <c r="Q355" s="79"/>
      <c r="S355" s="79"/>
      <c r="T355" s="79"/>
      <c r="X355" s="79"/>
      <c r="AA355" s="130"/>
      <c r="AC355" s="106"/>
    </row>
    <row r="356">
      <c r="C356" s="79"/>
      <c r="D356" s="79"/>
      <c r="E356" s="79"/>
      <c r="N356" s="79"/>
      <c r="Q356" s="79"/>
      <c r="S356" s="79"/>
      <c r="T356" s="79"/>
      <c r="X356" s="79"/>
      <c r="AA356" s="130"/>
      <c r="AC356" s="106"/>
    </row>
    <row r="357">
      <c r="C357" s="79"/>
      <c r="D357" s="79"/>
      <c r="E357" s="79"/>
      <c r="N357" s="79"/>
      <c r="Q357" s="79"/>
      <c r="S357" s="79"/>
      <c r="T357" s="79"/>
      <c r="X357" s="79"/>
      <c r="AA357" s="130"/>
      <c r="AC357" s="106"/>
    </row>
    <row r="358">
      <c r="C358" s="79"/>
      <c r="D358" s="79"/>
      <c r="E358" s="79"/>
      <c r="N358" s="79"/>
      <c r="Q358" s="79"/>
      <c r="S358" s="79"/>
      <c r="T358" s="79"/>
      <c r="X358" s="79"/>
      <c r="AA358" s="130"/>
      <c r="AC358" s="106"/>
    </row>
    <row r="359">
      <c r="C359" s="79"/>
      <c r="D359" s="79"/>
      <c r="E359" s="79"/>
      <c r="N359" s="79"/>
      <c r="Q359" s="79"/>
      <c r="S359" s="79"/>
      <c r="T359" s="79"/>
      <c r="X359" s="79"/>
      <c r="AA359" s="130"/>
      <c r="AC359" s="106"/>
    </row>
    <row r="360">
      <c r="C360" s="79"/>
      <c r="D360" s="79"/>
      <c r="E360" s="79"/>
      <c r="N360" s="79"/>
      <c r="Q360" s="79"/>
      <c r="S360" s="79"/>
      <c r="T360" s="79"/>
      <c r="X360" s="79"/>
      <c r="AA360" s="130"/>
      <c r="AC360" s="106"/>
    </row>
    <row r="361">
      <c r="C361" s="79"/>
      <c r="D361" s="79"/>
      <c r="E361" s="79"/>
      <c r="N361" s="79"/>
      <c r="Q361" s="79"/>
      <c r="S361" s="79"/>
      <c r="T361" s="79"/>
      <c r="X361" s="79"/>
      <c r="AA361" s="130"/>
      <c r="AC361" s="106"/>
    </row>
    <row r="362">
      <c r="C362" s="79"/>
      <c r="D362" s="79"/>
      <c r="E362" s="79"/>
      <c r="N362" s="79"/>
      <c r="Q362" s="79"/>
      <c r="S362" s="79"/>
      <c r="T362" s="79"/>
      <c r="X362" s="79"/>
      <c r="AA362" s="130"/>
      <c r="AC362" s="106"/>
    </row>
    <row r="363">
      <c r="C363" s="79"/>
      <c r="D363" s="79"/>
      <c r="E363" s="79"/>
      <c r="N363" s="79"/>
      <c r="Q363" s="79"/>
      <c r="S363" s="79"/>
      <c r="T363" s="79"/>
      <c r="X363" s="79"/>
      <c r="AA363" s="130"/>
      <c r="AC363" s="106"/>
    </row>
    <row r="364">
      <c r="C364" s="79"/>
      <c r="D364" s="79"/>
      <c r="E364" s="79"/>
      <c r="N364" s="79"/>
      <c r="Q364" s="79"/>
      <c r="S364" s="79"/>
      <c r="T364" s="79"/>
      <c r="X364" s="79"/>
      <c r="AA364" s="130"/>
      <c r="AC364" s="106"/>
    </row>
    <row r="365">
      <c r="C365" s="79"/>
      <c r="D365" s="79"/>
      <c r="E365" s="79"/>
      <c r="N365" s="79"/>
      <c r="Q365" s="79"/>
      <c r="S365" s="79"/>
      <c r="T365" s="79"/>
      <c r="X365" s="79"/>
      <c r="AA365" s="130"/>
      <c r="AC365" s="106"/>
    </row>
    <row r="366">
      <c r="C366" s="79"/>
      <c r="D366" s="79"/>
      <c r="E366" s="79"/>
      <c r="N366" s="79"/>
      <c r="Q366" s="79"/>
      <c r="S366" s="79"/>
      <c r="T366" s="79"/>
      <c r="X366" s="79"/>
      <c r="AA366" s="130"/>
      <c r="AC366" s="106"/>
    </row>
    <row r="367">
      <c r="C367" s="79"/>
      <c r="D367" s="79"/>
      <c r="E367" s="79"/>
      <c r="N367" s="79"/>
      <c r="Q367" s="79"/>
      <c r="S367" s="79"/>
      <c r="T367" s="79"/>
      <c r="X367" s="79"/>
      <c r="AA367" s="130"/>
      <c r="AC367" s="106"/>
    </row>
    <row r="368">
      <c r="C368" s="79"/>
      <c r="D368" s="79"/>
      <c r="E368" s="79"/>
      <c r="N368" s="79"/>
      <c r="Q368" s="79"/>
      <c r="S368" s="79"/>
      <c r="T368" s="79"/>
      <c r="X368" s="79"/>
      <c r="AA368" s="130"/>
      <c r="AC368" s="106"/>
    </row>
    <row r="369">
      <c r="C369" s="79"/>
      <c r="D369" s="79"/>
      <c r="E369" s="79"/>
      <c r="N369" s="79"/>
      <c r="Q369" s="79"/>
      <c r="S369" s="79"/>
      <c r="T369" s="79"/>
      <c r="X369" s="79"/>
      <c r="AA369" s="130"/>
      <c r="AC369" s="106"/>
    </row>
    <row r="370">
      <c r="C370" s="79"/>
      <c r="D370" s="79"/>
      <c r="E370" s="79"/>
      <c r="N370" s="79"/>
      <c r="Q370" s="79"/>
      <c r="S370" s="79"/>
      <c r="T370" s="79"/>
      <c r="X370" s="79"/>
      <c r="AA370" s="130"/>
      <c r="AC370" s="106"/>
    </row>
    <row r="371">
      <c r="C371" s="79"/>
      <c r="D371" s="79"/>
      <c r="E371" s="79"/>
      <c r="N371" s="79"/>
      <c r="Q371" s="79"/>
      <c r="S371" s="79"/>
      <c r="T371" s="79"/>
      <c r="X371" s="79"/>
      <c r="AA371" s="130"/>
      <c r="AC371" s="106"/>
    </row>
    <row r="372">
      <c r="C372" s="79"/>
      <c r="D372" s="79"/>
      <c r="E372" s="79"/>
      <c r="N372" s="79"/>
      <c r="Q372" s="79"/>
      <c r="S372" s="79"/>
      <c r="T372" s="79"/>
      <c r="X372" s="79"/>
      <c r="AA372" s="130"/>
      <c r="AC372" s="106"/>
    </row>
    <row r="373">
      <c r="C373" s="79"/>
      <c r="D373" s="79"/>
      <c r="E373" s="79"/>
      <c r="N373" s="79"/>
      <c r="Q373" s="79"/>
      <c r="S373" s="79"/>
      <c r="T373" s="79"/>
      <c r="X373" s="79"/>
      <c r="AA373" s="130"/>
      <c r="AC373" s="106"/>
    </row>
    <row r="374">
      <c r="C374" s="79"/>
      <c r="D374" s="79"/>
      <c r="E374" s="79"/>
      <c r="N374" s="79"/>
      <c r="Q374" s="79"/>
      <c r="S374" s="79"/>
      <c r="T374" s="79"/>
      <c r="X374" s="79"/>
      <c r="AA374" s="130"/>
      <c r="AC374" s="106"/>
    </row>
    <row r="375">
      <c r="C375" s="79"/>
      <c r="D375" s="79"/>
      <c r="E375" s="79"/>
      <c r="N375" s="79"/>
      <c r="Q375" s="79"/>
      <c r="S375" s="79"/>
      <c r="T375" s="79"/>
      <c r="X375" s="79"/>
      <c r="AA375" s="130"/>
      <c r="AC375" s="106"/>
    </row>
    <row r="376">
      <c r="C376" s="79"/>
      <c r="D376" s="79"/>
      <c r="E376" s="79"/>
      <c r="N376" s="79"/>
      <c r="Q376" s="79"/>
      <c r="S376" s="79"/>
      <c r="T376" s="79"/>
      <c r="X376" s="79"/>
      <c r="AA376" s="130"/>
      <c r="AC376" s="106"/>
    </row>
    <row r="377">
      <c r="C377" s="79"/>
      <c r="D377" s="79"/>
      <c r="E377" s="79"/>
      <c r="N377" s="79"/>
      <c r="Q377" s="79"/>
      <c r="S377" s="79"/>
      <c r="T377" s="79"/>
      <c r="X377" s="79"/>
      <c r="AA377" s="130"/>
      <c r="AC377" s="106"/>
    </row>
    <row r="378">
      <c r="C378" s="79"/>
      <c r="D378" s="79"/>
      <c r="E378" s="79"/>
      <c r="N378" s="79"/>
      <c r="Q378" s="79"/>
      <c r="S378" s="79"/>
      <c r="T378" s="79"/>
      <c r="X378" s="79"/>
      <c r="AA378" s="130"/>
      <c r="AC378" s="106"/>
    </row>
    <row r="379">
      <c r="C379" s="79"/>
      <c r="D379" s="79"/>
      <c r="E379" s="79"/>
      <c r="N379" s="79"/>
      <c r="Q379" s="79"/>
      <c r="S379" s="79"/>
      <c r="T379" s="79"/>
      <c r="X379" s="79"/>
      <c r="AA379" s="130"/>
      <c r="AC379" s="106"/>
    </row>
    <row r="380">
      <c r="C380" s="79"/>
      <c r="D380" s="79"/>
      <c r="E380" s="79"/>
      <c r="N380" s="79"/>
      <c r="Q380" s="79"/>
      <c r="S380" s="79"/>
      <c r="T380" s="79"/>
      <c r="X380" s="79"/>
      <c r="AA380" s="130"/>
      <c r="AC380" s="106"/>
    </row>
    <row r="381">
      <c r="C381" s="79"/>
      <c r="D381" s="79"/>
      <c r="E381" s="79"/>
      <c r="N381" s="79"/>
      <c r="Q381" s="79"/>
      <c r="S381" s="79"/>
      <c r="T381" s="79"/>
      <c r="X381" s="79"/>
      <c r="AA381" s="130"/>
      <c r="AC381" s="106"/>
    </row>
    <row r="382">
      <c r="C382" s="79"/>
      <c r="D382" s="79"/>
      <c r="E382" s="79"/>
      <c r="N382" s="79"/>
      <c r="Q382" s="79"/>
      <c r="S382" s="79"/>
      <c r="T382" s="79"/>
      <c r="X382" s="79"/>
      <c r="AA382" s="130"/>
      <c r="AC382" s="106"/>
    </row>
    <row r="383">
      <c r="C383" s="79"/>
      <c r="D383" s="79"/>
      <c r="E383" s="79"/>
      <c r="N383" s="79"/>
      <c r="Q383" s="79"/>
      <c r="S383" s="79"/>
      <c r="T383" s="79"/>
      <c r="X383" s="79"/>
      <c r="AA383" s="130"/>
      <c r="AC383" s="106"/>
    </row>
    <row r="384">
      <c r="C384" s="79"/>
      <c r="D384" s="79"/>
      <c r="E384" s="79"/>
      <c r="N384" s="79"/>
      <c r="Q384" s="79"/>
      <c r="S384" s="79"/>
      <c r="T384" s="79"/>
      <c r="X384" s="79"/>
      <c r="AA384" s="130"/>
      <c r="AC384" s="106"/>
    </row>
    <row r="385">
      <c r="C385" s="79"/>
      <c r="D385" s="79"/>
      <c r="E385" s="79"/>
      <c r="N385" s="79"/>
      <c r="Q385" s="79"/>
      <c r="S385" s="79"/>
      <c r="T385" s="79"/>
      <c r="X385" s="79"/>
      <c r="AA385" s="130"/>
      <c r="AC385" s="106"/>
    </row>
    <row r="386">
      <c r="C386" s="79"/>
      <c r="D386" s="79"/>
      <c r="E386" s="79"/>
      <c r="N386" s="79"/>
      <c r="Q386" s="79"/>
      <c r="S386" s="79"/>
      <c r="T386" s="79"/>
      <c r="X386" s="79"/>
      <c r="AA386" s="130"/>
      <c r="AC386" s="106"/>
    </row>
    <row r="387">
      <c r="C387" s="79"/>
      <c r="D387" s="79"/>
      <c r="E387" s="79"/>
      <c r="N387" s="79"/>
      <c r="Q387" s="79"/>
      <c r="S387" s="79"/>
      <c r="T387" s="79"/>
      <c r="X387" s="79"/>
      <c r="AA387" s="130"/>
      <c r="AC387" s="106"/>
    </row>
    <row r="388">
      <c r="C388" s="79"/>
      <c r="D388" s="79"/>
      <c r="E388" s="79"/>
      <c r="N388" s="79"/>
      <c r="Q388" s="79"/>
      <c r="S388" s="79"/>
      <c r="T388" s="79"/>
      <c r="X388" s="79"/>
      <c r="AA388" s="130"/>
      <c r="AC388" s="106"/>
    </row>
    <row r="389">
      <c r="C389" s="79"/>
      <c r="D389" s="79"/>
      <c r="E389" s="79"/>
      <c r="N389" s="79"/>
      <c r="Q389" s="79"/>
      <c r="S389" s="79"/>
      <c r="T389" s="79"/>
      <c r="X389" s="79"/>
      <c r="AA389" s="130"/>
      <c r="AC389" s="106"/>
    </row>
    <row r="390">
      <c r="C390" s="79"/>
      <c r="D390" s="79"/>
      <c r="E390" s="79"/>
      <c r="N390" s="79"/>
      <c r="Q390" s="79"/>
      <c r="S390" s="79"/>
      <c r="T390" s="79"/>
      <c r="X390" s="79"/>
      <c r="AA390" s="130"/>
      <c r="AC390" s="106"/>
    </row>
    <row r="391">
      <c r="C391" s="79"/>
      <c r="D391" s="79"/>
      <c r="E391" s="79"/>
      <c r="N391" s="79"/>
      <c r="Q391" s="79"/>
      <c r="S391" s="79"/>
      <c r="T391" s="79"/>
      <c r="X391" s="79"/>
      <c r="AA391" s="130"/>
      <c r="AC391" s="106"/>
    </row>
    <row r="392">
      <c r="C392" s="79"/>
      <c r="D392" s="79"/>
      <c r="E392" s="79"/>
      <c r="N392" s="79"/>
      <c r="Q392" s="79"/>
      <c r="S392" s="79"/>
      <c r="T392" s="79"/>
      <c r="X392" s="79"/>
      <c r="AA392" s="130"/>
      <c r="AC392" s="106"/>
    </row>
    <row r="393">
      <c r="C393" s="79"/>
      <c r="D393" s="79"/>
      <c r="E393" s="79"/>
      <c r="N393" s="79"/>
      <c r="Q393" s="79"/>
      <c r="S393" s="79"/>
      <c r="T393" s="79"/>
      <c r="X393" s="79"/>
      <c r="AA393" s="130"/>
      <c r="AC393" s="106"/>
    </row>
    <row r="394">
      <c r="C394" s="79"/>
      <c r="D394" s="79"/>
      <c r="E394" s="79"/>
      <c r="N394" s="79"/>
      <c r="Q394" s="79"/>
      <c r="S394" s="79"/>
      <c r="T394" s="79"/>
      <c r="X394" s="79"/>
      <c r="AA394" s="130"/>
      <c r="AC394" s="106"/>
    </row>
    <row r="395">
      <c r="C395" s="79"/>
      <c r="D395" s="79"/>
      <c r="E395" s="79"/>
      <c r="N395" s="79"/>
      <c r="Q395" s="79"/>
      <c r="S395" s="79"/>
      <c r="T395" s="79"/>
      <c r="X395" s="79"/>
      <c r="AA395" s="130"/>
      <c r="AC395" s="106"/>
    </row>
    <row r="396">
      <c r="C396" s="79"/>
      <c r="D396" s="79"/>
      <c r="E396" s="79"/>
      <c r="N396" s="79"/>
      <c r="Q396" s="79"/>
      <c r="S396" s="79"/>
      <c r="T396" s="79"/>
      <c r="X396" s="79"/>
      <c r="AA396" s="130"/>
      <c r="AC396" s="106"/>
    </row>
    <row r="397">
      <c r="C397" s="79"/>
      <c r="D397" s="79"/>
      <c r="E397" s="79"/>
      <c r="N397" s="79"/>
      <c r="Q397" s="79"/>
      <c r="S397" s="79"/>
      <c r="T397" s="79"/>
      <c r="X397" s="79"/>
      <c r="AA397" s="130"/>
      <c r="AC397" s="106"/>
    </row>
    <row r="398">
      <c r="C398" s="79"/>
      <c r="D398" s="79"/>
      <c r="E398" s="79"/>
      <c r="N398" s="79"/>
      <c r="Q398" s="79"/>
      <c r="S398" s="79"/>
      <c r="T398" s="79"/>
      <c r="X398" s="79"/>
      <c r="AA398" s="130"/>
      <c r="AC398" s="106"/>
    </row>
    <row r="399">
      <c r="C399" s="79"/>
      <c r="D399" s="79"/>
      <c r="E399" s="79"/>
      <c r="N399" s="79"/>
      <c r="Q399" s="79"/>
      <c r="S399" s="79"/>
      <c r="T399" s="79"/>
      <c r="X399" s="79"/>
      <c r="AA399" s="130"/>
      <c r="AC399" s="106"/>
    </row>
    <row r="400">
      <c r="C400" s="79"/>
      <c r="D400" s="79"/>
      <c r="E400" s="79"/>
      <c r="N400" s="79"/>
      <c r="Q400" s="79"/>
      <c r="S400" s="79"/>
      <c r="T400" s="79"/>
      <c r="X400" s="79"/>
      <c r="AA400" s="130"/>
      <c r="AC400" s="106"/>
    </row>
    <row r="401">
      <c r="C401" s="79"/>
      <c r="D401" s="79"/>
      <c r="E401" s="79"/>
      <c r="N401" s="79"/>
      <c r="Q401" s="79"/>
      <c r="S401" s="79"/>
      <c r="T401" s="79"/>
      <c r="X401" s="79"/>
      <c r="AA401" s="130"/>
      <c r="AC401" s="106"/>
    </row>
    <row r="402">
      <c r="C402" s="79"/>
      <c r="D402" s="79"/>
      <c r="E402" s="79"/>
      <c r="N402" s="79"/>
      <c r="Q402" s="79"/>
      <c r="S402" s="79"/>
      <c r="T402" s="79"/>
      <c r="X402" s="79"/>
      <c r="AA402" s="130"/>
      <c r="AC402" s="106"/>
    </row>
    <row r="403">
      <c r="C403" s="79"/>
      <c r="D403" s="79"/>
      <c r="E403" s="79"/>
      <c r="N403" s="79"/>
      <c r="Q403" s="79"/>
      <c r="S403" s="79"/>
      <c r="T403" s="79"/>
      <c r="X403" s="79"/>
      <c r="AA403" s="130"/>
      <c r="AC403" s="106"/>
    </row>
    <row r="404">
      <c r="C404" s="79"/>
      <c r="D404" s="79"/>
      <c r="E404" s="79"/>
      <c r="N404" s="79"/>
      <c r="Q404" s="79"/>
      <c r="S404" s="79"/>
      <c r="T404" s="79"/>
      <c r="X404" s="79"/>
      <c r="AA404" s="130"/>
      <c r="AC404" s="106"/>
    </row>
    <row r="405">
      <c r="C405" s="79"/>
      <c r="D405" s="79"/>
      <c r="E405" s="79"/>
      <c r="N405" s="79"/>
      <c r="Q405" s="79"/>
      <c r="S405" s="79"/>
      <c r="T405" s="79"/>
      <c r="X405" s="79"/>
      <c r="AA405" s="130"/>
      <c r="AC405" s="106"/>
    </row>
    <row r="406">
      <c r="C406" s="79"/>
      <c r="D406" s="79"/>
      <c r="E406" s="79"/>
      <c r="N406" s="79"/>
      <c r="Q406" s="79"/>
      <c r="S406" s="79"/>
      <c r="T406" s="79"/>
      <c r="X406" s="79"/>
      <c r="AA406" s="130"/>
      <c r="AC406" s="106"/>
    </row>
    <row r="407">
      <c r="C407" s="79"/>
      <c r="D407" s="79"/>
      <c r="E407" s="79"/>
      <c r="N407" s="79"/>
      <c r="Q407" s="79"/>
      <c r="S407" s="79"/>
      <c r="T407" s="79"/>
      <c r="X407" s="79"/>
      <c r="AA407" s="130"/>
      <c r="AC407" s="106"/>
    </row>
    <row r="408">
      <c r="C408" s="79"/>
      <c r="D408" s="79"/>
      <c r="E408" s="79"/>
      <c r="N408" s="79"/>
      <c r="Q408" s="79"/>
      <c r="S408" s="79"/>
      <c r="T408" s="79"/>
      <c r="X408" s="79"/>
      <c r="AA408" s="130"/>
      <c r="AC408" s="106"/>
    </row>
    <row r="409">
      <c r="C409" s="79"/>
      <c r="D409" s="79"/>
      <c r="E409" s="79"/>
      <c r="N409" s="79"/>
      <c r="Q409" s="79"/>
      <c r="S409" s="79"/>
      <c r="T409" s="79"/>
      <c r="X409" s="79"/>
      <c r="AA409" s="130"/>
      <c r="AC409" s="106"/>
    </row>
    <row r="410">
      <c r="C410" s="79"/>
      <c r="D410" s="79"/>
      <c r="E410" s="79"/>
      <c r="N410" s="79"/>
      <c r="Q410" s="79"/>
      <c r="S410" s="79"/>
      <c r="T410" s="79"/>
      <c r="X410" s="79"/>
      <c r="AA410" s="130"/>
      <c r="AC410" s="106"/>
    </row>
    <row r="411">
      <c r="C411" s="79"/>
      <c r="D411" s="79"/>
      <c r="E411" s="79"/>
      <c r="N411" s="79"/>
      <c r="Q411" s="79"/>
      <c r="S411" s="79"/>
      <c r="T411" s="79"/>
      <c r="X411" s="79"/>
      <c r="AA411" s="130"/>
      <c r="AC411" s="106"/>
    </row>
    <row r="412">
      <c r="C412" s="79"/>
      <c r="D412" s="79"/>
      <c r="E412" s="79"/>
      <c r="N412" s="79"/>
      <c r="Q412" s="79"/>
      <c r="S412" s="79"/>
      <c r="T412" s="79"/>
      <c r="X412" s="79"/>
      <c r="AA412" s="130"/>
      <c r="AC412" s="106"/>
    </row>
    <row r="413">
      <c r="C413" s="79"/>
      <c r="D413" s="79"/>
      <c r="E413" s="79"/>
      <c r="N413" s="79"/>
      <c r="Q413" s="79"/>
      <c r="S413" s="79"/>
      <c r="T413" s="79"/>
      <c r="X413" s="79"/>
      <c r="AA413" s="130"/>
      <c r="AC413" s="106"/>
    </row>
    <row r="414">
      <c r="C414" s="79"/>
      <c r="D414" s="79"/>
      <c r="E414" s="79"/>
      <c r="N414" s="79"/>
      <c r="Q414" s="79"/>
      <c r="S414" s="79"/>
      <c r="T414" s="79"/>
      <c r="X414" s="79"/>
      <c r="AA414" s="130"/>
      <c r="AC414" s="106"/>
    </row>
    <row r="415">
      <c r="C415" s="79"/>
      <c r="D415" s="79"/>
      <c r="E415" s="79"/>
      <c r="N415" s="79"/>
      <c r="Q415" s="79"/>
      <c r="S415" s="79"/>
      <c r="T415" s="79"/>
      <c r="X415" s="79"/>
      <c r="AA415" s="130"/>
      <c r="AC415" s="106"/>
    </row>
    <row r="416">
      <c r="C416" s="79"/>
      <c r="D416" s="79"/>
      <c r="E416" s="79"/>
      <c r="N416" s="79"/>
      <c r="Q416" s="79"/>
      <c r="S416" s="79"/>
      <c r="T416" s="79"/>
      <c r="X416" s="79"/>
      <c r="AA416" s="130"/>
      <c r="AC416" s="106"/>
    </row>
    <row r="417">
      <c r="C417" s="79"/>
      <c r="D417" s="79"/>
      <c r="E417" s="79"/>
      <c r="N417" s="79"/>
      <c r="Q417" s="79"/>
      <c r="S417" s="79"/>
      <c r="T417" s="79"/>
      <c r="X417" s="79"/>
      <c r="AA417" s="130"/>
      <c r="AC417" s="106"/>
    </row>
    <row r="418">
      <c r="C418" s="79"/>
      <c r="D418" s="79"/>
      <c r="E418" s="79"/>
      <c r="N418" s="79"/>
      <c r="Q418" s="79"/>
      <c r="S418" s="79"/>
      <c r="T418" s="79"/>
      <c r="X418" s="79"/>
      <c r="AA418" s="130"/>
      <c r="AC418" s="106"/>
    </row>
    <row r="419">
      <c r="C419" s="79"/>
      <c r="D419" s="79"/>
      <c r="E419" s="79"/>
      <c r="N419" s="79"/>
      <c r="Q419" s="79"/>
      <c r="S419" s="79"/>
      <c r="T419" s="79"/>
      <c r="X419" s="79"/>
      <c r="AA419" s="130"/>
      <c r="AC419" s="106"/>
    </row>
    <row r="420">
      <c r="C420" s="79"/>
      <c r="D420" s="79"/>
      <c r="E420" s="79"/>
      <c r="N420" s="79"/>
      <c r="Q420" s="79"/>
      <c r="S420" s="79"/>
      <c r="T420" s="79"/>
      <c r="X420" s="79"/>
      <c r="AA420" s="130"/>
      <c r="AC420" s="106"/>
    </row>
    <row r="421">
      <c r="C421" s="79"/>
      <c r="D421" s="79"/>
      <c r="E421" s="79"/>
      <c r="N421" s="79"/>
      <c r="Q421" s="79"/>
      <c r="S421" s="79"/>
      <c r="T421" s="79"/>
      <c r="X421" s="79"/>
      <c r="AA421" s="130"/>
      <c r="AC421" s="106"/>
    </row>
    <row r="422">
      <c r="C422" s="79"/>
      <c r="D422" s="79"/>
      <c r="E422" s="79"/>
      <c r="N422" s="79"/>
      <c r="Q422" s="79"/>
      <c r="S422" s="79"/>
      <c r="T422" s="79"/>
      <c r="X422" s="79"/>
      <c r="AA422" s="130"/>
      <c r="AC422" s="106"/>
    </row>
    <row r="423">
      <c r="C423" s="79"/>
      <c r="D423" s="79"/>
      <c r="E423" s="79"/>
      <c r="N423" s="79"/>
      <c r="Q423" s="79"/>
      <c r="S423" s="79"/>
      <c r="T423" s="79"/>
      <c r="X423" s="79"/>
      <c r="AA423" s="130"/>
      <c r="AC423" s="106"/>
    </row>
    <row r="424">
      <c r="C424" s="79"/>
      <c r="D424" s="79"/>
      <c r="E424" s="79"/>
      <c r="N424" s="79"/>
      <c r="Q424" s="79"/>
      <c r="S424" s="79"/>
      <c r="T424" s="79"/>
      <c r="X424" s="79"/>
      <c r="AA424" s="130"/>
      <c r="AC424" s="106"/>
    </row>
    <row r="425">
      <c r="C425" s="79"/>
      <c r="D425" s="79"/>
      <c r="E425" s="79"/>
      <c r="N425" s="79"/>
      <c r="Q425" s="79"/>
      <c r="S425" s="79"/>
      <c r="T425" s="79"/>
      <c r="X425" s="79"/>
      <c r="AA425" s="130"/>
      <c r="AC425" s="106"/>
    </row>
    <row r="426">
      <c r="C426" s="79"/>
      <c r="D426" s="79"/>
      <c r="E426" s="79"/>
      <c r="N426" s="79"/>
      <c r="Q426" s="79"/>
      <c r="S426" s="79"/>
      <c r="T426" s="79"/>
      <c r="X426" s="79"/>
      <c r="AA426" s="130"/>
      <c r="AC426" s="106"/>
    </row>
    <row r="427">
      <c r="C427" s="79"/>
      <c r="D427" s="79"/>
      <c r="E427" s="79"/>
      <c r="N427" s="79"/>
      <c r="Q427" s="79"/>
      <c r="S427" s="79"/>
      <c r="T427" s="79"/>
      <c r="X427" s="79"/>
      <c r="AA427" s="130"/>
      <c r="AC427" s="106"/>
    </row>
    <row r="428">
      <c r="C428" s="79"/>
      <c r="D428" s="79"/>
      <c r="E428" s="79"/>
      <c r="N428" s="79"/>
      <c r="Q428" s="79"/>
      <c r="S428" s="79"/>
      <c r="T428" s="79"/>
      <c r="X428" s="79"/>
      <c r="AA428" s="130"/>
      <c r="AC428" s="106"/>
    </row>
    <row r="429">
      <c r="C429" s="79"/>
      <c r="D429" s="79"/>
      <c r="E429" s="79"/>
      <c r="N429" s="79"/>
      <c r="Q429" s="79"/>
      <c r="S429" s="79"/>
      <c r="T429" s="79"/>
      <c r="X429" s="79"/>
      <c r="AA429" s="130"/>
      <c r="AC429" s="106"/>
    </row>
    <row r="430">
      <c r="C430" s="79"/>
      <c r="D430" s="79"/>
      <c r="E430" s="79"/>
      <c r="N430" s="79"/>
      <c r="Q430" s="79"/>
      <c r="S430" s="79"/>
      <c r="T430" s="79"/>
      <c r="X430" s="79"/>
      <c r="AA430" s="130"/>
      <c r="AC430" s="106"/>
    </row>
    <row r="431">
      <c r="C431" s="79"/>
      <c r="D431" s="79"/>
      <c r="E431" s="79"/>
      <c r="N431" s="79"/>
      <c r="Q431" s="79"/>
      <c r="S431" s="79"/>
      <c r="T431" s="79"/>
      <c r="X431" s="79"/>
      <c r="AA431" s="130"/>
      <c r="AC431" s="106"/>
    </row>
    <row r="432">
      <c r="C432" s="79"/>
      <c r="D432" s="79"/>
      <c r="E432" s="79"/>
      <c r="N432" s="79"/>
      <c r="Q432" s="79"/>
      <c r="S432" s="79"/>
      <c r="T432" s="79"/>
      <c r="X432" s="79"/>
      <c r="AA432" s="130"/>
      <c r="AC432" s="106"/>
    </row>
    <row r="433">
      <c r="C433" s="79"/>
      <c r="D433" s="79"/>
      <c r="E433" s="79"/>
      <c r="N433" s="79"/>
      <c r="Q433" s="79"/>
      <c r="S433" s="79"/>
      <c r="T433" s="79"/>
      <c r="X433" s="79"/>
      <c r="AA433" s="130"/>
      <c r="AC433" s="106"/>
    </row>
    <row r="434">
      <c r="C434" s="79"/>
      <c r="D434" s="79"/>
      <c r="E434" s="79"/>
      <c r="N434" s="79"/>
      <c r="Q434" s="79"/>
      <c r="S434" s="79"/>
      <c r="T434" s="79"/>
      <c r="X434" s="79"/>
      <c r="AA434" s="130"/>
      <c r="AC434" s="106"/>
    </row>
    <row r="435">
      <c r="C435" s="79"/>
      <c r="D435" s="79"/>
      <c r="E435" s="79"/>
      <c r="N435" s="79"/>
      <c r="Q435" s="79"/>
      <c r="S435" s="79"/>
      <c r="T435" s="79"/>
      <c r="X435" s="79"/>
      <c r="AA435" s="130"/>
      <c r="AC435" s="106"/>
    </row>
    <row r="436">
      <c r="C436" s="79"/>
      <c r="D436" s="79"/>
      <c r="E436" s="79"/>
      <c r="N436" s="79"/>
      <c r="Q436" s="79"/>
      <c r="S436" s="79"/>
      <c r="T436" s="79"/>
      <c r="X436" s="79"/>
      <c r="AA436" s="130"/>
      <c r="AC436" s="106"/>
    </row>
    <row r="437">
      <c r="C437" s="79"/>
      <c r="D437" s="79"/>
      <c r="E437" s="79"/>
      <c r="N437" s="79"/>
      <c r="Q437" s="79"/>
      <c r="S437" s="79"/>
      <c r="T437" s="79"/>
      <c r="X437" s="79"/>
      <c r="AA437" s="130"/>
      <c r="AC437" s="106"/>
    </row>
    <row r="438">
      <c r="C438" s="79"/>
      <c r="D438" s="79"/>
      <c r="E438" s="79"/>
      <c r="N438" s="79"/>
      <c r="Q438" s="79"/>
      <c r="S438" s="79"/>
      <c r="T438" s="79"/>
      <c r="X438" s="79"/>
      <c r="AA438" s="130"/>
      <c r="AC438" s="106"/>
    </row>
    <row r="439">
      <c r="C439" s="79"/>
      <c r="D439" s="79"/>
      <c r="E439" s="79"/>
      <c r="N439" s="79"/>
      <c r="Q439" s="79"/>
      <c r="S439" s="79"/>
      <c r="T439" s="79"/>
      <c r="X439" s="79"/>
      <c r="AA439" s="130"/>
      <c r="AC439" s="106"/>
    </row>
    <row r="440">
      <c r="C440" s="79"/>
      <c r="D440" s="79"/>
      <c r="E440" s="79"/>
      <c r="N440" s="79"/>
      <c r="Q440" s="79"/>
      <c r="S440" s="79"/>
      <c r="T440" s="79"/>
      <c r="X440" s="79"/>
      <c r="AA440" s="130"/>
      <c r="AC440" s="106"/>
    </row>
    <row r="441">
      <c r="C441" s="79"/>
      <c r="D441" s="79"/>
      <c r="E441" s="79"/>
      <c r="N441" s="79"/>
      <c r="Q441" s="79"/>
      <c r="S441" s="79"/>
      <c r="T441" s="79"/>
      <c r="X441" s="79"/>
      <c r="AA441" s="130"/>
      <c r="AC441" s="106"/>
    </row>
    <row r="442">
      <c r="C442" s="79"/>
      <c r="D442" s="79"/>
      <c r="E442" s="79"/>
      <c r="N442" s="79"/>
      <c r="Q442" s="79"/>
      <c r="S442" s="79"/>
      <c r="T442" s="79"/>
      <c r="X442" s="79"/>
      <c r="AA442" s="130"/>
      <c r="AC442" s="106"/>
    </row>
    <row r="443">
      <c r="C443" s="79"/>
      <c r="D443" s="79"/>
      <c r="E443" s="79"/>
      <c r="N443" s="79"/>
      <c r="Q443" s="79"/>
      <c r="S443" s="79"/>
      <c r="T443" s="79"/>
      <c r="X443" s="79"/>
      <c r="AA443" s="130"/>
      <c r="AC443" s="106"/>
    </row>
    <row r="444">
      <c r="C444" s="79"/>
      <c r="D444" s="79"/>
      <c r="E444" s="79"/>
      <c r="N444" s="79"/>
      <c r="Q444" s="79"/>
      <c r="S444" s="79"/>
      <c r="T444" s="79"/>
      <c r="X444" s="79"/>
      <c r="AA444" s="130"/>
      <c r="AC444" s="106"/>
    </row>
    <row r="445">
      <c r="C445" s="79"/>
      <c r="D445" s="79"/>
      <c r="E445" s="79"/>
      <c r="N445" s="79"/>
      <c r="Q445" s="79"/>
      <c r="S445" s="79"/>
      <c r="T445" s="79"/>
      <c r="X445" s="79"/>
      <c r="AA445" s="130"/>
      <c r="AC445" s="106"/>
    </row>
    <row r="446">
      <c r="C446" s="79"/>
      <c r="D446" s="79"/>
      <c r="E446" s="79"/>
      <c r="N446" s="79"/>
      <c r="Q446" s="79"/>
      <c r="S446" s="79"/>
      <c r="T446" s="79"/>
      <c r="X446" s="79"/>
      <c r="AA446" s="130"/>
      <c r="AC446" s="106"/>
    </row>
    <row r="447">
      <c r="C447" s="79"/>
      <c r="D447" s="79"/>
      <c r="E447" s="79"/>
      <c r="N447" s="79"/>
      <c r="Q447" s="79"/>
      <c r="S447" s="79"/>
      <c r="T447" s="79"/>
      <c r="X447" s="79"/>
      <c r="AA447" s="130"/>
      <c r="AC447" s="106"/>
    </row>
    <row r="448">
      <c r="C448" s="79"/>
      <c r="D448" s="79"/>
      <c r="E448" s="79"/>
      <c r="N448" s="79"/>
      <c r="Q448" s="79"/>
      <c r="S448" s="79"/>
      <c r="T448" s="79"/>
      <c r="X448" s="79"/>
      <c r="AA448" s="130"/>
      <c r="AC448" s="106"/>
    </row>
    <row r="449">
      <c r="C449" s="79"/>
      <c r="D449" s="79"/>
      <c r="E449" s="79"/>
      <c r="N449" s="79"/>
      <c r="Q449" s="79"/>
      <c r="S449" s="79"/>
      <c r="T449" s="79"/>
      <c r="X449" s="79"/>
      <c r="AA449" s="130"/>
      <c r="AC449" s="106"/>
    </row>
    <row r="450">
      <c r="C450" s="79"/>
      <c r="D450" s="79"/>
      <c r="E450" s="79"/>
      <c r="N450" s="79"/>
      <c r="Q450" s="79"/>
      <c r="S450" s="79"/>
      <c r="T450" s="79"/>
      <c r="X450" s="79"/>
      <c r="AA450" s="130"/>
      <c r="AC450" s="106"/>
    </row>
    <row r="451">
      <c r="C451" s="79"/>
      <c r="D451" s="79"/>
      <c r="E451" s="79"/>
      <c r="N451" s="79"/>
      <c r="Q451" s="79"/>
      <c r="S451" s="79"/>
      <c r="T451" s="79"/>
      <c r="X451" s="79"/>
      <c r="AA451" s="130"/>
      <c r="AC451" s="106"/>
    </row>
    <row r="452">
      <c r="C452" s="79"/>
      <c r="D452" s="79"/>
      <c r="E452" s="79"/>
      <c r="N452" s="79"/>
      <c r="Q452" s="79"/>
      <c r="S452" s="79"/>
      <c r="T452" s="79"/>
      <c r="X452" s="79"/>
      <c r="AA452" s="130"/>
      <c r="AC452" s="106"/>
    </row>
    <row r="453">
      <c r="C453" s="79"/>
      <c r="D453" s="79"/>
      <c r="E453" s="79"/>
      <c r="N453" s="79"/>
      <c r="Q453" s="79"/>
      <c r="S453" s="79"/>
      <c r="T453" s="79"/>
      <c r="X453" s="79"/>
      <c r="AA453" s="130"/>
      <c r="AC453" s="106"/>
    </row>
    <row r="454">
      <c r="C454" s="79"/>
      <c r="D454" s="79"/>
      <c r="E454" s="79"/>
      <c r="N454" s="79"/>
      <c r="Q454" s="79"/>
      <c r="S454" s="79"/>
      <c r="T454" s="79"/>
      <c r="X454" s="79"/>
      <c r="AA454" s="130"/>
      <c r="AC454" s="106"/>
    </row>
    <row r="455">
      <c r="C455" s="79"/>
      <c r="D455" s="79"/>
      <c r="E455" s="79"/>
      <c r="N455" s="79"/>
      <c r="Q455" s="79"/>
      <c r="S455" s="79"/>
      <c r="T455" s="79"/>
      <c r="X455" s="79"/>
      <c r="AA455" s="130"/>
      <c r="AC455" s="106"/>
    </row>
    <row r="456">
      <c r="C456" s="79"/>
      <c r="D456" s="79"/>
      <c r="E456" s="79"/>
      <c r="N456" s="79"/>
      <c r="Q456" s="79"/>
      <c r="S456" s="79"/>
      <c r="T456" s="79"/>
      <c r="X456" s="79"/>
      <c r="AA456" s="130"/>
      <c r="AC456" s="106"/>
    </row>
    <row r="457">
      <c r="C457" s="79"/>
      <c r="D457" s="79"/>
      <c r="E457" s="79"/>
      <c r="N457" s="79"/>
      <c r="Q457" s="79"/>
      <c r="S457" s="79"/>
      <c r="T457" s="79"/>
      <c r="X457" s="79"/>
      <c r="AA457" s="130"/>
      <c r="AC457" s="106"/>
    </row>
    <row r="458">
      <c r="C458" s="79"/>
      <c r="D458" s="79"/>
      <c r="E458" s="79"/>
      <c r="N458" s="79"/>
      <c r="Q458" s="79"/>
      <c r="S458" s="79"/>
      <c r="T458" s="79"/>
      <c r="X458" s="79"/>
      <c r="AA458" s="130"/>
      <c r="AC458" s="106"/>
    </row>
    <row r="459">
      <c r="C459" s="79"/>
      <c r="D459" s="79"/>
      <c r="E459" s="79"/>
      <c r="N459" s="79"/>
      <c r="Q459" s="79"/>
      <c r="S459" s="79"/>
      <c r="T459" s="79"/>
      <c r="X459" s="79"/>
      <c r="AA459" s="130"/>
      <c r="AC459" s="106"/>
    </row>
    <row r="460">
      <c r="C460" s="79"/>
      <c r="D460" s="79"/>
      <c r="E460" s="79"/>
      <c r="N460" s="79"/>
      <c r="Q460" s="79"/>
      <c r="S460" s="79"/>
      <c r="T460" s="79"/>
      <c r="X460" s="79"/>
      <c r="AA460" s="130"/>
      <c r="AC460" s="106"/>
    </row>
    <row r="461">
      <c r="C461" s="79"/>
      <c r="D461" s="79"/>
      <c r="E461" s="79"/>
      <c r="N461" s="79"/>
      <c r="Q461" s="79"/>
      <c r="S461" s="79"/>
      <c r="T461" s="79"/>
      <c r="X461" s="79"/>
      <c r="AA461" s="130"/>
      <c r="AC461" s="106"/>
    </row>
    <row r="462">
      <c r="C462" s="79"/>
      <c r="D462" s="79"/>
      <c r="E462" s="79"/>
      <c r="N462" s="79"/>
      <c r="Q462" s="79"/>
      <c r="S462" s="79"/>
      <c r="T462" s="79"/>
      <c r="X462" s="79"/>
      <c r="AA462" s="130"/>
      <c r="AC462" s="106"/>
    </row>
    <row r="463">
      <c r="C463" s="79"/>
      <c r="D463" s="79"/>
      <c r="E463" s="79"/>
      <c r="N463" s="79"/>
      <c r="Q463" s="79"/>
      <c r="S463" s="79"/>
      <c r="T463" s="79"/>
      <c r="X463" s="79"/>
      <c r="AA463" s="130"/>
      <c r="AC463" s="106"/>
    </row>
    <row r="464">
      <c r="C464" s="79"/>
      <c r="D464" s="79"/>
      <c r="E464" s="79"/>
      <c r="N464" s="79"/>
      <c r="Q464" s="79"/>
      <c r="S464" s="79"/>
      <c r="T464" s="79"/>
      <c r="X464" s="79"/>
      <c r="AA464" s="130"/>
      <c r="AC464" s="106"/>
    </row>
    <row r="465">
      <c r="C465" s="79"/>
      <c r="D465" s="79"/>
      <c r="E465" s="79"/>
      <c r="N465" s="79"/>
      <c r="Q465" s="79"/>
      <c r="S465" s="79"/>
      <c r="T465" s="79"/>
      <c r="X465" s="79"/>
      <c r="AA465" s="130"/>
      <c r="AC465" s="106"/>
    </row>
    <row r="466">
      <c r="C466" s="79"/>
      <c r="D466" s="79"/>
      <c r="E466" s="79"/>
      <c r="N466" s="79"/>
      <c r="Q466" s="79"/>
      <c r="S466" s="79"/>
      <c r="T466" s="79"/>
      <c r="X466" s="79"/>
      <c r="AA466" s="130"/>
      <c r="AC466" s="106"/>
    </row>
    <row r="467">
      <c r="C467" s="79"/>
      <c r="D467" s="79"/>
      <c r="E467" s="79"/>
      <c r="N467" s="79"/>
      <c r="Q467" s="79"/>
      <c r="S467" s="79"/>
      <c r="T467" s="79"/>
      <c r="X467" s="79"/>
      <c r="AA467" s="130"/>
      <c r="AC467" s="106"/>
    </row>
    <row r="468">
      <c r="C468" s="79"/>
      <c r="D468" s="79"/>
      <c r="E468" s="79"/>
      <c r="N468" s="79"/>
      <c r="Q468" s="79"/>
      <c r="S468" s="79"/>
      <c r="T468" s="79"/>
      <c r="X468" s="79"/>
      <c r="AA468" s="130"/>
      <c r="AC468" s="106"/>
    </row>
    <row r="469">
      <c r="C469" s="79"/>
      <c r="D469" s="79"/>
      <c r="E469" s="79"/>
      <c r="N469" s="79"/>
      <c r="Q469" s="79"/>
      <c r="S469" s="79"/>
      <c r="T469" s="79"/>
      <c r="X469" s="79"/>
      <c r="AA469" s="130"/>
      <c r="AC469" s="106"/>
    </row>
    <row r="470">
      <c r="C470" s="79"/>
      <c r="D470" s="79"/>
      <c r="E470" s="79"/>
      <c r="N470" s="79"/>
      <c r="Q470" s="79"/>
      <c r="S470" s="79"/>
      <c r="T470" s="79"/>
      <c r="X470" s="79"/>
      <c r="AA470" s="130"/>
      <c r="AC470" s="106"/>
    </row>
    <row r="471">
      <c r="C471" s="79"/>
      <c r="D471" s="79"/>
      <c r="E471" s="79"/>
      <c r="N471" s="79"/>
      <c r="Q471" s="79"/>
      <c r="S471" s="79"/>
      <c r="T471" s="79"/>
      <c r="X471" s="79"/>
      <c r="AA471" s="130"/>
      <c r="AC471" s="106"/>
    </row>
    <row r="472">
      <c r="C472" s="79"/>
      <c r="D472" s="79"/>
      <c r="E472" s="79"/>
      <c r="N472" s="79"/>
      <c r="Q472" s="79"/>
      <c r="S472" s="79"/>
      <c r="T472" s="79"/>
      <c r="X472" s="79"/>
      <c r="AA472" s="130"/>
      <c r="AC472" s="106"/>
    </row>
    <row r="473">
      <c r="C473" s="79"/>
      <c r="D473" s="79"/>
      <c r="E473" s="79"/>
      <c r="N473" s="79"/>
      <c r="Q473" s="79"/>
      <c r="S473" s="79"/>
      <c r="T473" s="79"/>
      <c r="X473" s="79"/>
      <c r="AA473" s="130"/>
      <c r="AC473" s="106"/>
    </row>
    <row r="474">
      <c r="C474" s="79"/>
      <c r="D474" s="79"/>
      <c r="E474" s="79"/>
      <c r="N474" s="79"/>
      <c r="Q474" s="79"/>
      <c r="S474" s="79"/>
      <c r="T474" s="79"/>
      <c r="X474" s="79"/>
      <c r="AA474" s="130"/>
      <c r="AC474" s="106"/>
    </row>
    <row r="475">
      <c r="C475" s="79"/>
      <c r="D475" s="79"/>
      <c r="E475" s="79"/>
      <c r="N475" s="79"/>
      <c r="Q475" s="79"/>
      <c r="S475" s="79"/>
      <c r="T475" s="79"/>
      <c r="X475" s="79"/>
      <c r="AA475" s="130"/>
      <c r="AC475" s="106"/>
    </row>
    <row r="476">
      <c r="C476" s="79"/>
      <c r="D476" s="79"/>
      <c r="E476" s="79"/>
      <c r="N476" s="79"/>
      <c r="Q476" s="79"/>
      <c r="S476" s="79"/>
      <c r="T476" s="79"/>
      <c r="X476" s="79"/>
      <c r="AA476" s="130"/>
      <c r="AC476" s="106"/>
    </row>
    <row r="477">
      <c r="C477" s="79"/>
      <c r="D477" s="79"/>
      <c r="E477" s="79"/>
      <c r="N477" s="79"/>
      <c r="Q477" s="79"/>
      <c r="S477" s="79"/>
      <c r="T477" s="79"/>
      <c r="X477" s="79"/>
      <c r="AA477" s="130"/>
      <c r="AC477" s="106"/>
    </row>
    <row r="478">
      <c r="C478" s="79"/>
      <c r="D478" s="79"/>
      <c r="E478" s="79"/>
      <c r="N478" s="79"/>
      <c r="Q478" s="79"/>
      <c r="S478" s="79"/>
      <c r="T478" s="79"/>
      <c r="X478" s="79"/>
      <c r="AA478" s="130"/>
      <c r="AC478" s="106"/>
    </row>
    <row r="479">
      <c r="C479" s="79"/>
      <c r="D479" s="79"/>
      <c r="E479" s="79"/>
      <c r="N479" s="79"/>
      <c r="Q479" s="79"/>
      <c r="S479" s="79"/>
      <c r="T479" s="79"/>
      <c r="X479" s="79"/>
      <c r="AA479" s="130"/>
      <c r="AC479" s="106"/>
    </row>
    <row r="480">
      <c r="C480" s="79"/>
      <c r="D480" s="79"/>
      <c r="E480" s="79"/>
      <c r="N480" s="79"/>
      <c r="Q480" s="79"/>
      <c r="S480" s="79"/>
      <c r="T480" s="79"/>
      <c r="X480" s="79"/>
      <c r="AA480" s="130"/>
      <c r="AC480" s="106"/>
    </row>
    <row r="481">
      <c r="C481" s="79"/>
      <c r="D481" s="79"/>
      <c r="E481" s="79"/>
      <c r="N481" s="79"/>
      <c r="Q481" s="79"/>
      <c r="S481" s="79"/>
      <c r="T481" s="79"/>
      <c r="X481" s="79"/>
      <c r="AA481" s="130"/>
      <c r="AC481" s="106"/>
    </row>
    <row r="482">
      <c r="C482" s="79"/>
      <c r="D482" s="79"/>
      <c r="E482" s="79"/>
      <c r="N482" s="79"/>
      <c r="Q482" s="79"/>
      <c r="S482" s="79"/>
      <c r="T482" s="79"/>
      <c r="X482" s="79"/>
      <c r="AA482" s="130"/>
      <c r="AC482" s="106"/>
    </row>
    <row r="483">
      <c r="C483" s="79"/>
      <c r="D483" s="79"/>
      <c r="E483" s="79"/>
      <c r="N483" s="79"/>
      <c r="Q483" s="79"/>
      <c r="S483" s="79"/>
      <c r="T483" s="79"/>
      <c r="X483" s="79"/>
      <c r="AA483" s="130"/>
      <c r="AC483" s="106"/>
    </row>
    <row r="484">
      <c r="C484" s="79"/>
      <c r="D484" s="79"/>
      <c r="E484" s="79"/>
      <c r="N484" s="79"/>
      <c r="Q484" s="79"/>
      <c r="S484" s="79"/>
      <c r="T484" s="79"/>
      <c r="X484" s="79"/>
      <c r="AA484" s="130"/>
      <c r="AC484" s="106"/>
    </row>
    <row r="485">
      <c r="C485" s="79"/>
      <c r="D485" s="79"/>
      <c r="E485" s="79"/>
      <c r="N485" s="79"/>
      <c r="Q485" s="79"/>
      <c r="S485" s="79"/>
      <c r="T485" s="79"/>
      <c r="X485" s="79"/>
      <c r="AA485" s="130"/>
      <c r="AC485" s="106"/>
    </row>
    <row r="486">
      <c r="C486" s="79"/>
      <c r="D486" s="79"/>
      <c r="E486" s="79"/>
      <c r="N486" s="79"/>
      <c r="Q486" s="79"/>
      <c r="S486" s="79"/>
      <c r="T486" s="79"/>
      <c r="X486" s="79"/>
      <c r="AA486" s="130"/>
      <c r="AC486" s="106"/>
    </row>
    <row r="487">
      <c r="C487" s="79"/>
      <c r="D487" s="79"/>
      <c r="E487" s="79"/>
      <c r="N487" s="79"/>
      <c r="Q487" s="79"/>
      <c r="S487" s="79"/>
      <c r="T487" s="79"/>
      <c r="X487" s="79"/>
      <c r="AA487" s="130"/>
      <c r="AC487" s="106"/>
    </row>
    <row r="488">
      <c r="C488" s="79"/>
      <c r="D488" s="79"/>
      <c r="E488" s="79"/>
      <c r="N488" s="79"/>
      <c r="Q488" s="79"/>
      <c r="S488" s="79"/>
      <c r="T488" s="79"/>
      <c r="X488" s="79"/>
      <c r="AA488" s="130"/>
      <c r="AC488" s="106"/>
    </row>
    <row r="489">
      <c r="C489" s="79"/>
      <c r="D489" s="79"/>
      <c r="E489" s="79"/>
      <c r="N489" s="79"/>
      <c r="Q489" s="79"/>
      <c r="S489" s="79"/>
      <c r="T489" s="79"/>
      <c r="X489" s="79"/>
      <c r="AA489" s="130"/>
      <c r="AC489" s="106"/>
    </row>
    <row r="490">
      <c r="C490" s="79"/>
      <c r="D490" s="79"/>
      <c r="E490" s="79"/>
      <c r="N490" s="79"/>
      <c r="Q490" s="79"/>
      <c r="S490" s="79"/>
      <c r="T490" s="79"/>
      <c r="X490" s="79"/>
      <c r="AA490" s="130"/>
      <c r="AC490" s="106"/>
    </row>
    <row r="491">
      <c r="C491" s="79"/>
      <c r="D491" s="79"/>
      <c r="E491" s="79"/>
      <c r="N491" s="79"/>
      <c r="Q491" s="79"/>
      <c r="S491" s="79"/>
      <c r="T491" s="79"/>
      <c r="X491" s="79"/>
      <c r="AA491" s="130"/>
      <c r="AC491" s="106"/>
    </row>
    <row r="492">
      <c r="C492" s="79"/>
      <c r="D492" s="79"/>
      <c r="E492" s="79"/>
      <c r="N492" s="79"/>
      <c r="Q492" s="79"/>
      <c r="S492" s="79"/>
      <c r="T492" s="79"/>
      <c r="X492" s="79"/>
      <c r="AA492" s="130"/>
      <c r="AC492" s="106"/>
    </row>
    <row r="493">
      <c r="C493" s="79"/>
      <c r="D493" s="79"/>
      <c r="E493" s="79"/>
      <c r="N493" s="79"/>
      <c r="Q493" s="79"/>
      <c r="S493" s="79"/>
      <c r="T493" s="79"/>
      <c r="X493" s="79"/>
      <c r="AA493" s="130"/>
      <c r="AC493" s="106"/>
    </row>
    <row r="494">
      <c r="C494" s="79"/>
      <c r="D494" s="79"/>
      <c r="E494" s="79"/>
      <c r="N494" s="79"/>
      <c r="Q494" s="79"/>
      <c r="S494" s="79"/>
      <c r="T494" s="79"/>
      <c r="X494" s="79"/>
      <c r="AA494" s="130"/>
      <c r="AC494" s="106"/>
    </row>
    <row r="495">
      <c r="C495" s="79"/>
      <c r="D495" s="79"/>
      <c r="E495" s="79"/>
      <c r="N495" s="79"/>
      <c r="Q495" s="79"/>
      <c r="S495" s="79"/>
      <c r="T495" s="79"/>
      <c r="X495" s="79"/>
      <c r="AA495" s="130"/>
      <c r="AC495" s="106"/>
    </row>
    <row r="496">
      <c r="C496" s="79"/>
      <c r="D496" s="79"/>
      <c r="E496" s="79"/>
      <c r="N496" s="79"/>
      <c r="Q496" s="79"/>
      <c r="S496" s="79"/>
      <c r="T496" s="79"/>
      <c r="X496" s="79"/>
      <c r="AA496" s="130"/>
      <c r="AC496" s="106"/>
    </row>
    <row r="497">
      <c r="C497" s="79"/>
      <c r="D497" s="79"/>
      <c r="E497" s="79"/>
      <c r="N497" s="79"/>
      <c r="Q497" s="79"/>
      <c r="S497" s="79"/>
      <c r="T497" s="79"/>
      <c r="X497" s="79"/>
      <c r="AA497" s="130"/>
      <c r="AC497" s="106"/>
    </row>
    <row r="498">
      <c r="C498" s="79"/>
      <c r="D498" s="79"/>
      <c r="E498" s="79"/>
      <c r="N498" s="79"/>
      <c r="Q498" s="79"/>
      <c r="S498" s="79"/>
      <c r="T498" s="79"/>
      <c r="X498" s="79"/>
      <c r="AA498" s="130"/>
      <c r="AC498" s="106"/>
    </row>
    <row r="499">
      <c r="C499" s="79"/>
      <c r="D499" s="79"/>
      <c r="E499" s="79"/>
      <c r="N499" s="79"/>
      <c r="Q499" s="79"/>
      <c r="S499" s="79"/>
      <c r="T499" s="79"/>
      <c r="X499" s="79"/>
      <c r="AA499" s="130"/>
      <c r="AC499" s="106"/>
    </row>
    <row r="500">
      <c r="C500" s="79"/>
      <c r="D500" s="79"/>
      <c r="E500" s="79"/>
      <c r="N500" s="79"/>
      <c r="Q500" s="79"/>
      <c r="S500" s="79"/>
      <c r="T500" s="79"/>
      <c r="X500" s="79"/>
      <c r="AA500" s="130"/>
      <c r="AC500" s="106"/>
    </row>
    <row r="501">
      <c r="C501" s="79"/>
      <c r="D501" s="79"/>
      <c r="E501" s="79"/>
      <c r="N501" s="79"/>
      <c r="Q501" s="79"/>
      <c r="S501" s="79"/>
      <c r="T501" s="79"/>
      <c r="X501" s="79"/>
      <c r="AA501" s="130"/>
      <c r="AC501" s="106"/>
    </row>
    <row r="502">
      <c r="C502" s="79"/>
      <c r="D502" s="79"/>
      <c r="E502" s="79"/>
      <c r="N502" s="79"/>
      <c r="Q502" s="79"/>
      <c r="S502" s="79"/>
      <c r="T502" s="79"/>
      <c r="X502" s="79"/>
      <c r="AA502" s="130"/>
      <c r="AC502" s="106"/>
    </row>
    <row r="503">
      <c r="C503" s="79"/>
      <c r="D503" s="79"/>
      <c r="E503" s="79"/>
      <c r="N503" s="79"/>
      <c r="Q503" s="79"/>
      <c r="S503" s="79"/>
      <c r="T503" s="79"/>
      <c r="X503" s="79"/>
      <c r="AA503" s="130"/>
      <c r="AC503" s="106"/>
    </row>
    <row r="504">
      <c r="C504" s="79"/>
      <c r="D504" s="79"/>
      <c r="E504" s="79"/>
      <c r="N504" s="79"/>
      <c r="Q504" s="79"/>
      <c r="S504" s="79"/>
      <c r="T504" s="79"/>
      <c r="X504" s="79"/>
      <c r="AA504" s="130"/>
      <c r="AC504" s="106"/>
    </row>
    <row r="505">
      <c r="C505" s="79"/>
      <c r="D505" s="79"/>
      <c r="E505" s="79"/>
      <c r="N505" s="79"/>
      <c r="Q505" s="79"/>
      <c r="S505" s="79"/>
      <c r="T505" s="79"/>
      <c r="X505" s="79"/>
      <c r="AA505" s="130"/>
      <c r="AC505" s="106"/>
    </row>
    <row r="506">
      <c r="C506" s="79"/>
      <c r="D506" s="79"/>
      <c r="E506" s="79"/>
      <c r="N506" s="79"/>
      <c r="Q506" s="79"/>
      <c r="S506" s="79"/>
      <c r="T506" s="79"/>
      <c r="X506" s="79"/>
      <c r="AA506" s="130"/>
      <c r="AC506" s="106"/>
    </row>
    <row r="507">
      <c r="C507" s="79"/>
      <c r="D507" s="79"/>
      <c r="E507" s="79"/>
      <c r="N507" s="79"/>
      <c r="Q507" s="79"/>
      <c r="S507" s="79"/>
      <c r="T507" s="79"/>
      <c r="X507" s="79"/>
      <c r="AA507" s="130"/>
      <c r="AC507" s="106"/>
    </row>
    <row r="508">
      <c r="C508" s="79"/>
      <c r="D508" s="79"/>
      <c r="E508" s="79"/>
      <c r="N508" s="79"/>
      <c r="Q508" s="79"/>
      <c r="S508" s="79"/>
      <c r="T508" s="79"/>
      <c r="X508" s="79"/>
      <c r="AA508" s="130"/>
      <c r="AC508" s="106"/>
    </row>
    <row r="509">
      <c r="C509" s="79"/>
      <c r="D509" s="79"/>
      <c r="E509" s="79"/>
      <c r="N509" s="79"/>
      <c r="Q509" s="79"/>
      <c r="S509" s="79"/>
      <c r="T509" s="79"/>
      <c r="X509" s="79"/>
      <c r="AA509" s="130"/>
      <c r="AC509" s="106"/>
    </row>
    <row r="510">
      <c r="C510" s="79"/>
      <c r="D510" s="79"/>
      <c r="E510" s="79"/>
      <c r="N510" s="79"/>
      <c r="Q510" s="79"/>
      <c r="S510" s="79"/>
      <c r="T510" s="79"/>
      <c r="X510" s="79"/>
      <c r="AA510" s="130"/>
      <c r="AC510" s="106"/>
    </row>
    <row r="511">
      <c r="C511" s="79"/>
      <c r="D511" s="79"/>
      <c r="E511" s="79"/>
      <c r="N511" s="79"/>
      <c r="Q511" s="79"/>
      <c r="S511" s="79"/>
      <c r="T511" s="79"/>
      <c r="X511" s="79"/>
      <c r="AA511" s="130"/>
      <c r="AC511" s="106"/>
    </row>
    <row r="512">
      <c r="C512" s="79"/>
      <c r="D512" s="79"/>
      <c r="E512" s="79"/>
      <c r="N512" s="79"/>
      <c r="Q512" s="79"/>
      <c r="S512" s="79"/>
      <c r="T512" s="79"/>
      <c r="X512" s="79"/>
      <c r="AA512" s="130"/>
      <c r="AC512" s="106"/>
    </row>
    <row r="513">
      <c r="C513" s="79"/>
      <c r="D513" s="79"/>
      <c r="E513" s="79"/>
      <c r="N513" s="79"/>
      <c r="Q513" s="79"/>
      <c r="S513" s="79"/>
      <c r="T513" s="79"/>
      <c r="X513" s="79"/>
      <c r="AA513" s="130"/>
      <c r="AC513" s="106"/>
    </row>
    <row r="514">
      <c r="C514" s="79"/>
      <c r="D514" s="79"/>
      <c r="E514" s="79"/>
      <c r="N514" s="79"/>
      <c r="Q514" s="79"/>
      <c r="S514" s="79"/>
      <c r="T514" s="79"/>
      <c r="X514" s="79"/>
      <c r="AA514" s="130"/>
      <c r="AC514" s="106"/>
    </row>
    <row r="515">
      <c r="C515" s="79"/>
      <c r="D515" s="79"/>
      <c r="E515" s="79"/>
      <c r="N515" s="79"/>
      <c r="Q515" s="79"/>
      <c r="S515" s="79"/>
      <c r="T515" s="79"/>
      <c r="X515" s="79"/>
      <c r="AA515" s="130"/>
      <c r="AC515" s="106"/>
    </row>
    <row r="516">
      <c r="C516" s="79"/>
      <c r="D516" s="79"/>
      <c r="E516" s="79"/>
      <c r="N516" s="79"/>
      <c r="Q516" s="79"/>
      <c r="S516" s="79"/>
      <c r="T516" s="79"/>
      <c r="X516" s="79"/>
      <c r="AA516" s="130"/>
      <c r="AC516" s="106"/>
    </row>
    <row r="517">
      <c r="C517" s="79"/>
      <c r="D517" s="79"/>
      <c r="E517" s="79"/>
      <c r="N517" s="79"/>
      <c r="Q517" s="79"/>
      <c r="S517" s="79"/>
      <c r="T517" s="79"/>
      <c r="X517" s="79"/>
      <c r="AA517" s="130"/>
      <c r="AC517" s="106"/>
    </row>
    <row r="518">
      <c r="C518" s="79"/>
      <c r="D518" s="79"/>
      <c r="E518" s="79"/>
      <c r="N518" s="79"/>
      <c r="Q518" s="79"/>
      <c r="S518" s="79"/>
      <c r="T518" s="79"/>
      <c r="X518" s="79"/>
      <c r="AA518" s="130"/>
      <c r="AC518" s="106"/>
    </row>
    <row r="519">
      <c r="C519" s="79"/>
      <c r="D519" s="79"/>
      <c r="E519" s="79"/>
      <c r="N519" s="79"/>
      <c r="Q519" s="79"/>
      <c r="S519" s="79"/>
      <c r="T519" s="79"/>
      <c r="X519" s="79"/>
      <c r="AA519" s="130"/>
      <c r="AC519" s="106"/>
    </row>
    <row r="520">
      <c r="C520" s="79"/>
      <c r="D520" s="79"/>
      <c r="E520" s="79"/>
      <c r="N520" s="79"/>
      <c r="Q520" s="79"/>
      <c r="S520" s="79"/>
      <c r="T520" s="79"/>
      <c r="X520" s="79"/>
      <c r="AA520" s="130"/>
      <c r="AC520" s="106"/>
    </row>
    <row r="521">
      <c r="C521" s="79"/>
      <c r="D521" s="79"/>
      <c r="E521" s="79"/>
      <c r="N521" s="79"/>
      <c r="Q521" s="79"/>
      <c r="S521" s="79"/>
      <c r="T521" s="79"/>
      <c r="X521" s="79"/>
      <c r="AA521" s="130"/>
      <c r="AC521" s="106"/>
    </row>
    <row r="522">
      <c r="C522" s="79"/>
      <c r="D522" s="79"/>
      <c r="E522" s="79"/>
      <c r="N522" s="79"/>
      <c r="Q522" s="79"/>
      <c r="S522" s="79"/>
      <c r="T522" s="79"/>
      <c r="X522" s="79"/>
      <c r="AA522" s="130"/>
      <c r="AC522" s="106"/>
    </row>
    <row r="523">
      <c r="C523" s="79"/>
      <c r="D523" s="79"/>
      <c r="E523" s="79"/>
      <c r="N523" s="79"/>
      <c r="Q523" s="79"/>
      <c r="S523" s="79"/>
      <c r="T523" s="79"/>
      <c r="X523" s="79"/>
      <c r="AA523" s="130"/>
      <c r="AC523" s="106"/>
    </row>
    <row r="524">
      <c r="C524" s="79"/>
      <c r="D524" s="79"/>
      <c r="E524" s="79"/>
      <c r="N524" s="79"/>
      <c r="Q524" s="79"/>
      <c r="S524" s="79"/>
      <c r="T524" s="79"/>
      <c r="X524" s="79"/>
      <c r="AA524" s="130"/>
      <c r="AC524" s="106"/>
    </row>
    <row r="525">
      <c r="C525" s="79"/>
      <c r="D525" s="79"/>
      <c r="E525" s="79"/>
      <c r="N525" s="79"/>
      <c r="Q525" s="79"/>
      <c r="S525" s="79"/>
      <c r="T525" s="79"/>
      <c r="X525" s="79"/>
      <c r="AA525" s="130"/>
      <c r="AC525" s="106"/>
    </row>
    <row r="526">
      <c r="C526" s="79"/>
      <c r="D526" s="79"/>
      <c r="E526" s="79"/>
      <c r="N526" s="79"/>
      <c r="Q526" s="79"/>
      <c r="S526" s="79"/>
      <c r="T526" s="79"/>
      <c r="X526" s="79"/>
      <c r="AA526" s="130"/>
      <c r="AC526" s="106"/>
    </row>
    <row r="527">
      <c r="C527" s="79"/>
      <c r="D527" s="79"/>
      <c r="E527" s="79"/>
      <c r="N527" s="79"/>
      <c r="Q527" s="79"/>
      <c r="S527" s="79"/>
      <c r="T527" s="79"/>
      <c r="X527" s="79"/>
      <c r="AA527" s="130"/>
      <c r="AC527" s="106"/>
    </row>
    <row r="528">
      <c r="C528" s="79"/>
      <c r="D528" s="79"/>
      <c r="E528" s="79"/>
      <c r="N528" s="79"/>
      <c r="Q528" s="79"/>
      <c r="S528" s="79"/>
      <c r="T528" s="79"/>
      <c r="X528" s="79"/>
      <c r="AA528" s="130"/>
      <c r="AC528" s="106"/>
    </row>
    <row r="529">
      <c r="C529" s="79"/>
      <c r="D529" s="79"/>
      <c r="E529" s="79"/>
      <c r="N529" s="79"/>
      <c r="Q529" s="79"/>
      <c r="S529" s="79"/>
      <c r="T529" s="79"/>
      <c r="X529" s="79"/>
      <c r="AA529" s="130"/>
      <c r="AC529" s="106"/>
    </row>
    <row r="530">
      <c r="C530" s="79"/>
      <c r="D530" s="79"/>
      <c r="E530" s="79"/>
      <c r="N530" s="79"/>
      <c r="Q530" s="79"/>
      <c r="S530" s="79"/>
      <c r="T530" s="79"/>
      <c r="X530" s="79"/>
      <c r="AA530" s="130"/>
      <c r="AC530" s="106"/>
    </row>
    <row r="531">
      <c r="C531" s="79"/>
      <c r="D531" s="79"/>
      <c r="E531" s="79"/>
      <c r="N531" s="79"/>
      <c r="Q531" s="79"/>
      <c r="S531" s="79"/>
      <c r="T531" s="79"/>
      <c r="X531" s="79"/>
      <c r="AA531" s="130"/>
      <c r="AC531" s="106"/>
    </row>
    <row r="532">
      <c r="C532" s="79"/>
      <c r="D532" s="79"/>
      <c r="E532" s="79"/>
      <c r="N532" s="79"/>
      <c r="Q532" s="79"/>
      <c r="S532" s="79"/>
      <c r="T532" s="79"/>
      <c r="X532" s="79"/>
      <c r="AA532" s="130"/>
      <c r="AC532" s="106"/>
    </row>
    <row r="533">
      <c r="C533" s="79"/>
      <c r="D533" s="79"/>
      <c r="E533" s="79"/>
      <c r="N533" s="79"/>
      <c r="Q533" s="79"/>
      <c r="S533" s="79"/>
      <c r="T533" s="79"/>
      <c r="X533" s="79"/>
      <c r="AA533" s="130"/>
      <c r="AC533" s="106"/>
    </row>
    <row r="534">
      <c r="C534" s="79"/>
      <c r="D534" s="79"/>
      <c r="E534" s="79"/>
      <c r="N534" s="79"/>
      <c r="Q534" s="79"/>
      <c r="S534" s="79"/>
      <c r="T534" s="79"/>
      <c r="X534" s="79"/>
      <c r="AA534" s="130"/>
      <c r="AC534" s="106"/>
    </row>
    <row r="535">
      <c r="C535" s="79"/>
      <c r="D535" s="79"/>
      <c r="E535" s="79"/>
      <c r="N535" s="79"/>
      <c r="Q535" s="79"/>
      <c r="S535" s="79"/>
      <c r="T535" s="79"/>
      <c r="X535" s="79"/>
      <c r="AA535" s="130"/>
      <c r="AC535" s="106"/>
    </row>
    <row r="536">
      <c r="C536" s="79"/>
      <c r="D536" s="79"/>
      <c r="E536" s="79"/>
      <c r="N536" s="79"/>
      <c r="Q536" s="79"/>
      <c r="S536" s="79"/>
      <c r="T536" s="79"/>
      <c r="X536" s="79"/>
      <c r="AA536" s="130"/>
      <c r="AC536" s="106"/>
    </row>
    <row r="537">
      <c r="C537" s="79"/>
      <c r="D537" s="79"/>
      <c r="E537" s="79"/>
      <c r="N537" s="79"/>
      <c r="Q537" s="79"/>
      <c r="S537" s="79"/>
      <c r="T537" s="79"/>
      <c r="X537" s="79"/>
      <c r="AA537" s="130"/>
      <c r="AC537" s="106"/>
    </row>
    <row r="538">
      <c r="C538" s="79"/>
      <c r="D538" s="79"/>
      <c r="E538" s="79"/>
      <c r="N538" s="79"/>
      <c r="Q538" s="79"/>
      <c r="S538" s="79"/>
      <c r="T538" s="79"/>
      <c r="X538" s="79"/>
      <c r="AA538" s="130"/>
      <c r="AC538" s="106"/>
    </row>
    <row r="539">
      <c r="C539" s="79"/>
      <c r="D539" s="79"/>
      <c r="E539" s="79"/>
      <c r="N539" s="79"/>
      <c r="Q539" s="79"/>
      <c r="S539" s="79"/>
      <c r="T539" s="79"/>
      <c r="X539" s="79"/>
      <c r="AA539" s="130"/>
      <c r="AC539" s="106"/>
    </row>
    <row r="540">
      <c r="C540" s="79"/>
      <c r="D540" s="79"/>
      <c r="E540" s="79"/>
      <c r="N540" s="79"/>
      <c r="Q540" s="79"/>
      <c r="S540" s="79"/>
      <c r="T540" s="79"/>
      <c r="X540" s="79"/>
      <c r="AA540" s="130"/>
      <c r="AC540" s="106"/>
    </row>
    <row r="541">
      <c r="C541" s="79"/>
      <c r="D541" s="79"/>
      <c r="E541" s="79"/>
      <c r="N541" s="79"/>
      <c r="Q541" s="79"/>
      <c r="S541" s="79"/>
      <c r="T541" s="79"/>
      <c r="X541" s="79"/>
      <c r="AA541" s="130"/>
      <c r="AC541" s="106"/>
    </row>
    <row r="542">
      <c r="C542" s="79"/>
      <c r="D542" s="79"/>
      <c r="E542" s="79"/>
      <c r="N542" s="79"/>
      <c r="Q542" s="79"/>
      <c r="S542" s="79"/>
      <c r="T542" s="79"/>
      <c r="X542" s="79"/>
      <c r="AA542" s="130"/>
      <c r="AC542" s="106"/>
    </row>
    <row r="543">
      <c r="C543" s="79"/>
      <c r="D543" s="79"/>
      <c r="E543" s="79"/>
      <c r="N543" s="79"/>
      <c r="Q543" s="79"/>
      <c r="S543" s="79"/>
      <c r="T543" s="79"/>
      <c r="X543" s="79"/>
      <c r="AA543" s="130"/>
      <c r="AC543" s="106"/>
    </row>
    <row r="544">
      <c r="C544" s="79"/>
      <c r="D544" s="79"/>
      <c r="E544" s="79"/>
      <c r="N544" s="79"/>
      <c r="Q544" s="79"/>
      <c r="S544" s="79"/>
      <c r="T544" s="79"/>
      <c r="X544" s="79"/>
      <c r="AA544" s="130"/>
      <c r="AC544" s="106"/>
    </row>
    <row r="545">
      <c r="C545" s="79"/>
      <c r="D545" s="79"/>
      <c r="E545" s="79"/>
      <c r="N545" s="79"/>
      <c r="Q545" s="79"/>
      <c r="S545" s="79"/>
      <c r="T545" s="79"/>
      <c r="X545" s="79"/>
      <c r="AA545" s="130"/>
      <c r="AC545" s="106"/>
    </row>
    <row r="546">
      <c r="C546" s="79"/>
      <c r="D546" s="79"/>
      <c r="E546" s="79"/>
      <c r="N546" s="79"/>
      <c r="Q546" s="79"/>
      <c r="S546" s="79"/>
      <c r="T546" s="79"/>
      <c r="X546" s="79"/>
      <c r="AA546" s="130"/>
      <c r="AC546" s="106"/>
    </row>
    <row r="547">
      <c r="C547" s="79"/>
      <c r="D547" s="79"/>
      <c r="E547" s="79"/>
      <c r="N547" s="79"/>
      <c r="Q547" s="79"/>
      <c r="S547" s="79"/>
      <c r="T547" s="79"/>
      <c r="X547" s="79"/>
      <c r="AA547" s="130"/>
      <c r="AC547" s="106"/>
    </row>
    <row r="548">
      <c r="C548" s="79"/>
      <c r="D548" s="79"/>
      <c r="E548" s="79"/>
      <c r="N548" s="79"/>
      <c r="Q548" s="79"/>
      <c r="S548" s="79"/>
      <c r="T548" s="79"/>
      <c r="X548" s="79"/>
      <c r="AA548" s="130"/>
      <c r="AC548" s="106"/>
    </row>
    <row r="549">
      <c r="C549" s="79"/>
      <c r="D549" s="79"/>
      <c r="E549" s="79"/>
      <c r="N549" s="79"/>
      <c r="Q549" s="79"/>
      <c r="S549" s="79"/>
      <c r="T549" s="79"/>
      <c r="X549" s="79"/>
      <c r="AA549" s="130"/>
      <c r="AC549" s="106"/>
    </row>
    <row r="550">
      <c r="C550" s="79"/>
      <c r="D550" s="79"/>
      <c r="E550" s="79"/>
      <c r="N550" s="79"/>
      <c r="Q550" s="79"/>
      <c r="S550" s="79"/>
      <c r="T550" s="79"/>
      <c r="X550" s="79"/>
      <c r="AA550" s="130"/>
      <c r="AC550" s="106"/>
    </row>
    <row r="551">
      <c r="C551" s="79"/>
      <c r="D551" s="79"/>
      <c r="E551" s="79"/>
      <c r="N551" s="79"/>
      <c r="Q551" s="79"/>
      <c r="S551" s="79"/>
      <c r="T551" s="79"/>
      <c r="X551" s="79"/>
      <c r="AA551" s="130"/>
      <c r="AC551" s="106"/>
    </row>
    <row r="552">
      <c r="C552" s="79"/>
      <c r="D552" s="79"/>
      <c r="E552" s="79"/>
      <c r="N552" s="79"/>
      <c r="Q552" s="79"/>
      <c r="S552" s="79"/>
      <c r="T552" s="79"/>
      <c r="X552" s="79"/>
      <c r="AA552" s="130"/>
      <c r="AC552" s="106"/>
    </row>
    <row r="553">
      <c r="C553" s="79"/>
      <c r="D553" s="79"/>
      <c r="E553" s="79"/>
      <c r="N553" s="79"/>
      <c r="Q553" s="79"/>
      <c r="S553" s="79"/>
      <c r="T553" s="79"/>
      <c r="X553" s="79"/>
      <c r="AA553" s="130"/>
      <c r="AC553" s="106"/>
    </row>
    <row r="554">
      <c r="C554" s="79"/>
      <c r="D554" s="79"/>
      <c r="E554" s="79"/>
      <c r="N554" s="79"/>
      <c r="Q554" s="79"/>
      <c r="S554" s="79"/>
      <c r="T554" s="79"/>
      <c r="X554" s="79"/>
      <c r="AA554" s="130"/>
      <c r="AC554" s="106"/>
    </row>
    <row r="555">
      <c r="C555" s="79"/>
      <c r="D555" s="79"/>
      <c r="E555" s="79"/>
      <c r="N555" s="79"/>
      <c r="Q555" s="79"/>
      <c r="S555" s="79"/>
      <c r="T555" s="79"/>
      <c r="X555" s="79"/>
      <c r="AA555" s="130"/>
      <c r="AC555" s="106"/>
    </row>
    <row r="556">
      <c r="C556" s="79"/>
      <c r="D556" s="79"/>
      <c r="E556" s="79"/>
      <c r="N556" s="79"/>
      <c r="Q556" s="79"/>
      <c r="S556" s="79"/>
      <c r="T556" s="79"/>
      <c r="X556" s="79"/>
      <c r="AA556" s="130"/>
      <c r="AC556" s="106"/>
    </row>
    <row r="557">
      <c r="C557" s="79"/>
      <c r="D557" s="79"/>
      <c r="E557" s="79"/>
      <c r="N557" s="79"/>
      <c r="Q557" s="79"/>
      <c r="S557" s="79"/>
      <c r="T557" s="79"/>
      <c r="X557" s="79"/>
      <c r="AA557" s="130"/>
      <c r="AC557" s="106"/>
    </row>
    <row r="558">
      <c r="C558" s="79"/>
      <c r="D558" s="79"/>
      <c r="E558" s="79"/>
      <c r="N558" s="79"/>
      <c r="Q558" s="79"/>
      <c r="S558" s="79"/>
      <c r="T558" s="79"/>
      <c r="X558" s="79"/>
      <c r="AA558" s="130"/>
      <c r="AC558" s="106"/>
    </row>
    <row r="559">
      <c r="C559" s="79"/>
      <c r="D559" s="79"/>
      <c r="E559" s="79"/>
      <c r="N559" s="79"/>
      <c r="Q559" s="79"/>
      <c r="S559" s="79"/>
      <c r="T559" s="79"/>
      <c r="X559" s="79"/>
      <c r="AA559" s="130"/>
      <c r="AC559" s="106"/>
    </row>
    <row r="560">
      <c r="C560" s="79"/>
      <c r="D560" s="79"/>
      <c r="E560" s="79"/>
      <c r="N560" s="79"/>
      <c r="Q560" s="79"/>
      <c r="S560" s="79"/>
      <c r="T560" s="79"/>
      <c r="X560" s="79"/>
      <c r="AA560" s="130"/>
      <c r="AC560" s="106"/>
    </row>
    <row r="561">
      <c r="C561" s="79"/>
      <c r="D561" s="79"/>
      <c r="E561" s="79"/>
      <c r="N561" s="79"/>
      <c r="Q561" s="79"/>
      <c r="S561" s="79"/>
      <c r="T561" s="79"/>
      <c r="X561" s="79"/>
      <c r="AA561" s="130"/>
      <c r="AC561" s="106"/>
    </row>
    <row r="562">
      <c r="C562" s="79"/>
      <c r="D562" s="79"/>
      <c r="E562" s="79"/>
      <c r="N562" s="79"/>
      <c r="Q562" s="79"/>
      <c r="S562" s="79"/>
      <c r="T562" s="79"/>
      <c r="X562" s="79"/>
      <c r="AA562" s="130"/>
      <c r="AC562" s="106"/>
    </row>
    <row r="563">
      <c r="C563" s="79"/>
      <c r="D563" s="79"/>
      <c r="E563" s="79"/>
      <c r="N563" s="79"/>
      <c r="Q563" s="79"/>
      <c r="S563" s="79"/>
      <c r="T563" s="79"/>
      <c r="X563" s="79"/>
      <c r="AA563" s="130"/>
      <c r="AC563" s="106"/>
    </row>
    <row r="564">
      <c r="C564" s="79"/>
      <c r="D564" s="79"/>
      <c r="E564" s="79"/>
      <c r="N564" s="79"/>
      <c r="Q564" s="79"/>
      <c r="S564" s="79"/>
      <c r="T564" s="79"/>
      <c r="X564" s="79"/>
      <c r="AA564" s="130"/>
      <c r="AC564" s="106"/>
    </row>
    <row r="565">
      <c r="C565" s="79"/>
      <c r="D565" s="79"/>
      <c r="E565" s="79"/>
      <c r="N565" s="79"/>
      <c r="Q565" s="79"/>
      <c r="S565" s="79"/>
      <c r="T565" s="79"/>
      <c r="X565" s="79"/>
      <c r="AA565" s="130"/>
      <c r="AC565" s="106"/>
    </row>
    <row r="566">
      <c r="C566" s="79"/>
      <c r="D566" s="79"/>
      <c r="E566" s="79"/>
      <c r="N566" s="79"/>
      <c r="Q566" s="79"/>
      <c r="S566" s="79"/>
      <c r="T566" s="79"/>
      <c r="X566" s="79"/>
      <c r="AA566" s="130"/>
      <c r="AC566" s="106"/>
    </row>
    <row r="567">
      <c r="C567" s="79"/>
      <c r="D567" s="79"/>
      <c r="E567" s="79"/>
      <c r="N567" s="79"/>
      <c r="Q567" s="79"/>
      <c r="S567" s="79"/>
      <c r="T567" s="79"/>
      <c r="X567" s="79"/>
      <c r="AA567" s="130"/>
      <c r="AC567" s="106"/>
    </row>
    <row r="568">
      <c r="C568" s="79"/>
      <c r="D568" s="79"/>
      <c r="E568" s="79"/>
      <c r="N568" s="79"/>
      <c r="Q568" s="79"/>
      <c r="S568" s="79"/>
      <c r="T568" s="79"/>
      <c r="X568" s="79"/>
      <c r="AA568" s="130"/>
      <c r="AC568" s="106"/>
    </row>
    <row r="569">
      <c r="C569" s="79"/>
      <c r="D569" s="79"/>
      <c r="E569" s="79"/>
      <c r="N569" s="79"/>
      <c r="Q569" s="79"/>
      <c r="S569" s="79"/>
      <c r="T569" s="79"/>
      <c r="X569" s="79"/>
      <c r="AA569" s="130"/>
      <c r="AC569" s="106"/>
    </row>
    <row r="570">
      <c r="C570" s="79"/>
      <c r="D570" s="79"/>
      <c r="E570" s="79"/>
      <c r="N570" s="79"/>
      <c r="Q570" s="79"/>
      <c r="S570" s="79"/>
      <c r="T570" s="79"/>
      <c r="X570" s="79"/>
      <c r="AA570" s="130"/>
      <c r="AC570" s="106"/>
    </row>
    <row r="571">
      <c r="C571" s="79"/>
      <c r="D571" s="79"/>
      <c r="E571" s="79"/>
      <c r="N571" s="79"/>
      <c r="Q571" s="79"/>
      <c r="S571" s="79"/>
      <c r="T571" s="79"/>
      <c r="X571" s="79"/>
      <c r="AA571" s="130"/>
      <c r="AC571" s="106"/>
    </row>
    <row r="572">
      <c r="C572" s="79"/>
      <c r="D572" s="79"/>
      <c r="E572" s="79"/>
      <c r="N572" s="79"/>
      <c r="Q572" s="79"/>
      <c r="S572" s="79"/>
      <c r="T572" s="79"/>
      <c r="X572" s="79"/>
      <c r="AA572" s="130"/>
      <c r="AC572" s="106"/>
    </row>
    <row r="573">
      <c r="C573" s="79"/>
      <c r="D573" s="79"/>
      <c r="E573" s="79"/>
      <c r="N573" s="79"/>
      <c r="Q573" s="79"/>
      <c r="S573" s="79"/>
      <c r="T573" s="79"/>
      <c r="X573" s="79"/>
      <c r="AA573" s="130"/>
      <c r="AC573" s="106"/>
    </row>
    <row r="574">
      <c r="C574" s="79"/>
      <c r="D574" s="79"/>
      <c r="E574" s="79"/>
      <c r="N574" s="79"/>
      <c r="Q574" s="79"/>
      <c r="S574" s="79"/>
      <c r="T574" s="79"/>
      <c r="X574" s="79"/>
      <c r="AA574" s="130"/>
      <c r="AC574" s="106"/>
    </row>
    <row r="575">
      <c r="C575" s="79"/>
      <c r="D575" s="79"/>
      <c r="E575" s="79"/>
      <c r="N575" s="79"/>
      <c r="Q575" s="79"/>
      <c r="S575" s="79"/>
      <c r="T575" s="79"/>
      <c r="X575" s="79"/>
      <c r="AA575" s="130"/>
      <c r="AC575" s="106"/>
    </row>
    <row r="576">
      <c r="C576" s="79"/>
      <c r="D576" s="79"/>
      <c r="E576" s="79"/>
      <c r="N576" s="79"/>
      <c r="Q576" s="79"/>
      <c r="S576" s="79"/>
      <c r="T576" s="79"/>
      <c r="X576" s="79"/>
      <c r="AA576" s="130"/>
      <c r="AC576" s="106"/>
    </row>
    <row r="577">
      <c r="C577" s="79"/>
      <c r="D577" s="79"/>
      <c r="E577" s="79"/>
      <c r="N577" s="79"/>
      <c r="Q577" s="79"/>
      <c r="S577" s="79"/>
      <c r="T577" s="79"/>
      <c r="X577" s="79"/>
      <c r="AA577" s="130"/>
      <c r="AC577" s="106"/>
    </row>
    <row r="578">
      <c r="C578" s="79"/>
      <c r="D578" s="79"/>
      <c r="E578" s="79"/>
      <c r="N578" s="79"/>
      <c r="Q578" s="79"/>
      <c r="S578" s="79"/>
      <c r="T578" s="79"/>
      <c r="X578" s="79"/>
      <c r="AA578" s="130"/>
      <c r="AC578" s="106"/>
    </row>
    <row r="579">
      <c r="C579" s="79"/>
      <c r="D579" s="79"/>
      <c r="E579" s="79"/>
      <c r="N579" s="79"/>
      <c r="Q579" s="79"/>
      <c r="S579" s="79"/>
      <c r="T579" s="79"/>
      <c r="X579" s="79"/>
      <c r="AA579" s="130"/>
      <c r="AC579" s="106"/>
    </row>
    <row r="580">
      <c r="C580" s="79"/>
      <c r="D580" s="79"/>
      <c r="E580" s="79"/>
      <c r="N580" s="79"/>
      <c r="Q580" s="79"/>
      <c r="S580" s="79"/>
      <c r="T580" s="79"/>
      <c r="X580" s="79"/>
      <c r="AA580" s="130"/>
      <c r="AC580" s="106"/>
    </row>
    <row r="581">
      <c r="C581" s="79"/>
      <c r="D581" s="79"/>
      <c r="E581" s="79"/>
      <c r="N581" s="79"/>
      <c r="Q581" s="79"/>
      <c r="S581" s="79"/>
      <c r="T581" s="79"/>
      <c r="X581" s="79"/>
      <c r="AA581" s="130"/>
      <c r="AC581" s="106"/>
    </row>
    <row r="582">
      <c r="C582" s="79"/>
      <c r="D582" s="79"/>
      <c r="E582" s="79"/>
      <c r="N582" s="79"/>
      <c r="Q582" s="79"/>
      <c r="S582" s="79"/>
      <c r="T582" s="79"/>
      <c r="X582" s="79"/>
      <c r="AA582" s="130"/>
      <c r="AC582" s="106"/>
    </row>
    <row r="583">
      <c r="C583" s="79"/>
      <c r="D583" s="79"/>
      <c r="E583" s="79"/>
      <c r="N583" s="79"/>
      <c r="Q583" s="79"/>
      <c r="S583" s="79"/>
      <c r="T583" s="79"/>
      <c r="X583" s="79"/>
      <c r="AA583" s="130"/>
      <c r="AC583" s="106"/>
    </row>
    <row r="584">
      <c r="C584" s="79"/>
      <c r="D584" s="79"/>
      <c r="E584" s="79"/>
      <c r="N584" s="79"/>
      <c r="Q584" s="79"/>
      <c r="S584" s="79"/>
      <c r="T584" s="79"/>
      <c r="X584" s="79"/>
      <c r="AA584" s="130"/>
      <c r="AC584" s="106"/>
    </row>
    <row r="585">
      <c r="C585" s="79"/>
      <c r="D585" s="79"/>
      <c r="E585" s="79"/>
      <c r="N585" s="79"/>
      <c r="Q585" s="79"/>
      <c r="S585" s="79"/>
      <c r="T585" s="79"/>
      <c r="X585" s="79"/>
      <c r="AA585" s="130"/>
      <c r="AC585" s="106"/>
    </row>
    <row r="586">
      <c r="C586" s="79"/>
      <c r="D586" s="79"/>
      <c r="E586" s="79"/>
      <c r="N586" s="79"/>
      <c r="Q586" s="79"/>
      <c r="S586" s="79"/>
      <c r="T586" s="79"/>
      <c r="X586" s="79"/>
      <c r="AA586" s="130"/>
      <c r="AC586" s="106"/>
    </row>
    <row r="587">
      <c r="C587" s="79"/>
      <c r="D587" s="79"/>
      <c r="E587" s="79"/>
      <c r="N587" s="79"/>
      <c r="Q587" s="79"/>
      <c r="S587" s="79"/>
      <c r="T587" s="79"/>
      <c r="X587" s="79"/>
      <c r="AA587" s="130"/>
      <c r="AC587" s="106"/>
    </row>
    <row r="588">
      <c r="C588" s="79"/>
      <c r="D588" s="79"/>
      <c r="E588" s="79"/>
      <c r="N588" s="79"/>
      <c r="Q588" s="79"/>
      <c r="S588" s="79"/>
      <c r="T588" s="79"/>
      <c r="X588" s="79"/>
      <c r="AA588" s="130"/>
      <c r="AC588" s="106"/>
    </row>
    <row r="589">
      <c r="C589" s="79"/>
      <c r="D589" s="79"/>
      <c r="E589" s="79"/>
      <c r="N589" s="79"/>
      <c r="Q589" s="79"/>
      <c r="S589" s="79"/>
      <c r="T589" s="79"/>
      <c r="X589" s="79"/>
      <c r="AA589" s="130"/>
      <c r="AC589" s="106"/>
    </row>
    <row r="590">
      <c r="C590" s="79"/>
      <c r="D590" s="79"/>
      <c r="E590" s="79"/>
      <c r="N590" s="79"/>
      <c r="Q590" s="79"/>
      <c r="S590" s="79"/>
      <c r="T590" s="79"/>
      <c r="X590" s="79"/>
      <c r="AA590" s="130"/>
      <c r="AC590" s="106"/>
    </row>
    <row r="591">
      <c r="C591" s="79"/>
      <c r="D591" s="79"/>
      <c r="E591" s="79"/>
      <c r="N591" s="79"/>
      <c r="Q591" s="79"/>
      <c r="S591" s="79"/>
      <c r="T591" s="79"/>
      <c r="X591" s="79"/>
      <c r="AA591" s="130"/>
      <c r="AC591" s="106"/>
    </row>
    <row r="592">
      <c r="C592" s="79"/>
      <c r="D592" s="79"/>
      <c r="E592" s="79"/>
      <c r="N592" s="79"/>
      <c r="Q592" s="79"/>
      <c r="S592" s="79"/>
      <c r="T592" s="79"/>
      <c r="X592" s="79"/>
      <c r="AA592" s="130"/>
      <c r="AC592" s="106"/>
    </row>
    <row r="593">
      <c r="C593" s="79"/>
      <c r="D593" s="79"/>
      <c r="E593" s="79"/>
      <c r="N593" s="79"/>
      <c r="Q593" s="79"/>
      <c r="S593" s="79"/>
      <c r="T593" s="79"/>
      <c r="X593" s="79"/>
      <c r="AA593" s="130"/>
      <c r="AC593" s="106"/>
    </row>
    <row r="594">
      <c r="C594" s="79"/>
      <c r="D594" s="79"/>
      <c r="E594" s="79"/>
      <c r="N594" s="79"/>
      <c r="Q594" s="79"/>
      <c r="S594" s="79"/>
      <c r="T594" s="79"/>
      <c r="X594" s="79"/>
      <c r="AA594" s="130"/>
      <c r="AC594" s="106"/>
    </row>
    <row r="595">
      <c r="C595" s="79"/>
      <c r="D595" s="79"/>
      <c r="E595" s="79"/>
      <c r="N595" s="79"/>
      <c r="Q595" s="79"/>
      <c r="S595" s="79"/>
      <c r="T595" s="79"/>
      <c r="X595" s="79"/>
      <c r="AA595" s="130"/>
      <c r="AC595" s="106"/>
    </row>
    <row r="596">
      <c r="C596" s="79"/>
      <c r="D596" s="79"/>
      <c r="E596" s="79"/>
      <c r="N596" s="79"/>
      <c r="Q596" s="79"/>
      <c r="S596" s="79"/>
      <c r="T596" s="79"/>
      <c r="X596" s="79"/>
      <c r="AA596" s="130"/>
      <c r="AC596" s="106"/>
    </row>
    <row r="597">
      <c r="C597" s="79"/>
      <c r="D597" s="79"/>
      <c r="E597" s="79"/>
      <c r="N597" s="79"/>
      <c r="Q597" s="79"/>
      <c r="S597" s="79"/>
      <c r="T597" s="79"/>
      <c r="X597" s="79"/>
      <c r="AA597" s="130"/>
      <c r="AC597" s="106"/>
    </row>
    <row r="598">
      <c r="C598" s="79"/>
      <c r="D598" s="79"/>
      <c r="E598" s="79"/>
      <c r="N598" s="79"/>
      <c r="Q598" s="79"/>
      <c r="S598" s="79"/>
      <c r="T598" s="79"/>
      <c r="X598" s="79"/>
      <c r="AA598" s="130"/>
      <c r="AC598" s="106"/>
    </row>
    <row r="599">
      <c r="C599" s="79"/>
      <c r="D599" s="79"/>
      <c r="E599" s="79"/>
      <c r="N599" s="79"/>
      <c r="Q599" s="79"/>
      <c r="S599" s="79"/>
      <c r="T599" s="79"/>
      <c r="X599" s="79"/>
      <c r="AA599" s="130"/>
      <c r="AC599" s="106"/>
    </row>
    <row r="600">
      <c r="C600" s="79"/>
      <c r="D600" s="79"/>
      <c r="E600" s="79"/>
      <c r="N600" s="79"/>
      <c r="Q600" s="79"/>
      <c r="S600" s="79"/>
      <c r="T600" s="79"/>
      <c r="X600" s="79"/>
      <c r="AA600" s="130"/>
      <c r="AC600" s="106"/>
    </row>
    <row r="601">
      <c r="C601" s="79"/>
      <c r="D601" s="79"/>
      <c r="E601" s="79"/>
      <c r="N601" s="79"/>
      <c r="Q601" s="79"/>
      <c r="S601" s="79"/>
      <c r="T601" s="79"/>
      <c r="X601" s="79"/>
      <c r="AA601" s="130"/>
      <c r="AC601" s="106"/>
    </row>
    <row r="602">
      <c r="C602" s="79"/>
      <c r="D602" s="79"/>
      <c r="E602" s="79"/>
      <c r="N602" s="79"/>
      <c r="Q602" s="79"/>
      <c r="S602" s="79"/>
      <c r="T602" s="79"/>
      <c r="X602" s="79"/>
      <c r="AA602" s="130"/>
      <c r="AC602" s="106"/>
    </row>
    <row r="603">
      <c r="C603" s="79"/>
      <c r="D603" s="79"/>
      <c r="E603" s="79"/>
      <c r="N603" s="79"/>
      <c r="Q603" s="79"/>
      <c r="S603" s="79"/>
      <c r="T603" s="79"/>
      <c r="X603" s="79"/>
      <c r="AA603" s="130"/>
      <c r="AC603" s="106"/>
    </row>
    <row r="604">
      <c r="C604" s="79"/>
      <c r="D604" s="79"/>
      <c r="E604" s="79"/>
      <c r="N604" s="79"/>
      <c r="Q604" s="79"/>
      <c r="S604" s="79"/>
      <c r="T604" s="79"/>
      <c r="X604" s="79"/>
      <c r="AA604" s="130"/>
      <c r="AC604" s="106"/>
    </row>
    <row r="605">
      <c r="C605" s="79"/>
      <c r="D605" s="79"/>
      <c r="E605" s="79"/>
      <c r="N605" s="79"/>
      <c r="Q605" s="79"/>
      <c r="S605" s="79"/>
      <c r="T605" s="79"/>
      <c r="X605" s="79"/>
      <c r="AA605" s="130"/>
      <c r="AC605" s="106"/>
    </row>
    <row r="606">
      <c r="C606" s="79"/>
      <c r="D606" s="79"/>
      <c r="E606" s="79"/>
      <c r="N606" s="79"/>
      <c r="Q606" s="79"/>
      <c r="S606" s="79"/>
      <c r="T606" s="79"/>
      <c r="X606" s="79"/>
      <c r="AA606" s="130"/>
      <c r="AC606" s="106"/>
    </row>
    <row r="607">
      <c r="C607" s="79"/>
      <c r="D607" s="79"/>
      <c r="E607" s="79"/>
      <c r="N607" s="79"/>
      <c r="Q607" s="79"/>
      <c r="S607" s="79"/>
      <c r="T607" s="79"/>
      <c r="X607" s="79"/>
      <c r="AA607" s="130"/>
      <c r="AC607" s="106"/>
    </row>
    <row r="608">
      <c r="C608" s="79"/>
      <c r="D608" s="79"/>
      <c r="E608" s="79"/>
      <c r="N608" s="79"/>
      <c r="Q608" s="79"/>
      <c r="S608" s="79"/>
      <c r="T608" s="79"/>
      <c r="X608" s="79"/>
      <c r="AA608" s="130"/>
      <c r="AC608" s="106"/>
    </row>
    <row r="609">
      <c r="C609" s="79"/>
      <c r="D609" s="79"/>
      <c r="E609" s="79"/>
      <c r="N609" s="79"/>
      <c r="Q609" s="79"/>
      <c r="S609" s="79"/>
      <c r="T609" s="79"/>
      <c r="X609" s="79"/>
      <c r="AA609" s="130"/>
      <c r="AC609" s="106"/>
    </row>
    <row r="610">
      <c r="C610" s="79"/>
      <c r="D610" s="79"/>
      <c r="E610" s="79"/>
      <c r="N610" s="79"/>
      <c r="Q610" s="79"/>
      <c r="S610" s="79"/>
      <c r="T610" s="79"/>
      <c r="X610" s="79"/>
      <c r="AA610" s="130"/>
      <c r="AC610" s="106"/>
    </row>
    <row r="611">
      <c r="C611" s="79"/>
      <c r="D611" s="79"/>
      <c r="E611" s="79"/>
      <c r="N611" s="79"/>
      <c r="Q611" s="79"/>
      <c r="S611" s="79"/>
      <c r="T611" s="79"/>
      <c r="X611" s="79"/>
      <c r="AA611" s="130"/>
      <c r="AC611" s="106"/>
    </row>
    <row r="612">
      <c r="C612" s="79"/>
      <c r="D612" s="79"/>
      <c r="E612" s="79"/>
      <c r="N612" s="79"/>
      <c r="Q612" s="79"/>
      <c r="S612" s="79"/>
      <c r="T612" s="79"/>
      <c r="X612" s="79"/>
      <c r="AA612" s="130"/>
      <c r="AC612" s="106"/>
    </row>
    <row r="613">
      <c r="C613" s="79"/>
      <c r="D613" s="79"/>
      <c r="E613" s="79"/>
      <c r="N613" s="79"/>
      <c r="Q613" s="79"/>
      <c r="S613" s="79"/>
      <c r="T613" s="79"/>
      <c r="X613" s="79"/>
      <c r="AA613" s="130"/>
      <c r="AC613" s="106"/>
    </row>
    <row r="614">
      <c r="C614" s="79"/>
      <c r="D614" s="79"/>
      <c r="E614" s="79"/>
      <c r="N614" s="79"/>
      <c r="Q614" s="79"/>
      <c r="S614" s="79"/>
      <c r="T614" s="79"/>
      <c r="X614" s="79"/>
      <c r="AA614" s="130"/>
      <c r="AC614" s="106"/>
    </row>
    <row r="615">
      <c r="C615" s="79"/>
      <c r="D615" s="79"/>
      <c r="E615" s="79"/>
      <c r="N615" s="79"/>
      <c r="Q615" s="79"/>
      <c r="S615" s="79"/>
      <c r="T615" s="79"/>
      <c r="X615" s="79"/>
      <c r="AA615" s="130"/>
      <c r="AC615" s="106"/>
    </row>
    <row r="616">
      <c r="C616" s="79"/>
      <c r="D616" s="79"/>
      <c r="E616" s="79"/>
      <c r="N616" s="79"/>
      <c r="Q616" s="79"/>
      <c r="S616" s="79"/>
      <c r="T616" s="79"/>
      <c r="X616" s="79"/>
      <c r="AA616" s="130"/>
      <c r="AC616" s="106"/>
    </row>
    <row r="617">
      <c r="C617" s="79"/>
      <c r="D617" s="79"/>
      <c r="E617" s="79"/>
      <c r="N617" s="79"/>
      <c r="Q617" s="79"/>
      <c r="S617" s="79"/>
      <c r="T617" s="79"/>
      <c r="X617" s="79"/>
      <c r="AA617" s="130"/>
      <c r="AC617" s="106"/>
    </row>
    <row r="618">
      <c r="C618" s="79"/>
      <c r="D618" s="79"/>
      <c r="E618" s="79"/>
      <c r="N618" s="79"/>
      <c r="Q618" s="79"/>
      <c r="S618" s="79"/>
      <c r="T618" s="79"/>
      <c r="X618" s="79"/>
      <c r="AA618" s="130"/>
      <c r="AC618" s="106"/>
    </row>
    <row r="619">
      <c r="C619" s="79"/>
      <c r="D619" s="79"/>
      <c r="E619" s="79"/>
      <c r="N619" s="79"/>
      <c r="Q619" s="79"/>
      <c r="S619" s="79"/>
      <c r="T619" s="79"/>
      <c r="X619" s="79"/>
      <c r="AA619" s="130"/>
      <c r="AC619" s="106"/>
    </row>
    <row r="620">
      <c r="C620" s="79"/>
      <c r="D620" s="79"/>
      <c r="E620" s="79"/>
      <c r="N620" s="79"/>
      <c r="Q620" s="79"/>
      <c r="S620" s="79"/>
      <c r="T620" s="79"/>
      <c r="X620" s="79"/>
      <c r="AA620" s="130"/>
      <c r="AC620" s="106"/>
    </row>
    <row r="621">
      <c r="C621" s="79"/>
      <c r="D621" s="79"/>
      <c r="E621" s="79"/>
      <c r="N621" s="79"/>
      <c r="Q621" s="79"/>
      <c r="S621" s="79"/>
      <c r="T621" s="79"/>
      <c r="X621" s="79"/>
      <c r="AA621" s="130"/>
      <c r="AC621" s="106"/>
    </row>
    <row r="622">
      <c r="C622" s="79"/>
      <c r="D622" s="79"/>
      <c r="E622" s="79"/>
      <c r="N622" s="79"/>
      <c r="Q622" s="79"/>
      <c r="S622" s="79"/>
      <c r="T622" s="79"/>
      <c r="X622" s="79"/>
      <c r="AA622" s="130"/>
      <c r="AC622" s="106"/>
    </row>
    <row r="623">
      <c r="C623" s="79"/>
      <c r="D623" s="79"/>
      <c r="E623" s="79"/>
      <c r="N623" s="79"/>
      <c r="Q623" s="79"/>
      <c r="S623" s="79"/>
      <c r="T623" s="79"/>
      <c r="X623" s="79"/>
      <c r="AA623" s="130"/>
      <c r="AC623" s="106"/>
    </row>
    <row r="624">
      <c r="C624" s="79"/>
      <c r="D624" s="79"/>
      <c r="E624" s="79"/>
      <c r="N624" s="79"/>
      <c r="Q624" s="79"/>
      <c r="S624" s="79"/>
      <c r="T624" s="79"/>
      <c r="X624" s="79"/>
      <c r="AA624" s="130"/>
      <c r="AC624" s="106"/>
    </row>
    <row r="625">
      <c r="C625" s="79"/>
      <c r="D625" s="79"/>
      <c r="E625" s="79"/>
      <c r="N625" s="79"/>
      <c r="Q625" s="79"/>
      <c r="S625" s="79"/>
      <c r="T625" s="79"/>
      <c r="X625" s="79"/>
      <c r="AA625" s="130"/>
      <c r="AC625" s="106"/>
    </row>
    <row r="626">
      <c r="C626" s="79"/>
      <c r="D626" s="79"/>
      <c r="E626" s="79"/>
      <c r="N626" s="79"/>
      <c r="Q626" s="79"/>
      <c r="S626" s="79"/>
      <c r="T626" s="79"/>
      <c r="X626" s="79"/>
      <c r="AA626" s="130"/>
      <c r="AC626" s="106"/>
    </row>
    <row r="627">
      <c r="C627" s="79"/>
      <c r="D627" s="79"/>
      <c r="E627" s="79"/>
      <c r="N627" s="79"/>
      <c r="Q627" s="79"/>
      <c r="S627" s="79"/>
      <c r="T627" s="79"/>
      <c r="X627" s="79"/>
      <c r="AA627" s="130"/>
      <c r="AC627" s="106"/>
    </row>
    <row r="628">
      <c r="C628" s="79"/>
      <c r="D628" s="79"/>
      <c r="E628" s="79"/>
      <c r="N628" s="79"/>
      <c r="Q628" s="79"/>
      <c r="S628" s="79"/>
      <c r="T628" s="79"/>
      <c r="X628" s="79"/>
      <c r="AA628" s="130"/>
      <c r="AC628" s="106"/>
    </row>
    <row r="629">
      <c r="C629" s="79"/>
      <c r="D629" s="79"/>
      <c r="E629" s="79"/>
      <c r="N629" s="79"/>
      <c r="Q629" s="79"/>
      <c r="S629" s="79"/>
      <c r="T629" s="79"/>
      <c r="X629" s="79"/>
      <c r="AA629" s="130"/>
      <c r="AC629" s="106"/>
    </row>
    <row r="630">
      <c r="C630" s="79"/>
      <c r="D630" s="79"/>
      <c r="E630" s="79"/>
      <c r="N630" s="79"/>
      <c r="Q630" s="79"/>
      <c r="S630" s="79"/>
      <c r="T630" s="79"/>
      <c r="X630" s="79"/>
      <c r="AA630" s="130"/>
      <c r="AC630" s="106"/>
    </row>
    <row r="631">
      <c r="C631" s="79"/>
      <c r="D631" s="79"/>
      <c r="E631" s="79"/>
      <c r="N631" s="79"/>
      <c r="Q631" s="79"/>
      <c r="S631" s="79"/>
      <c r="T631" s="79"/>
      <c r="X631" s="79"/>
      <c r="AA631" s="130"/>
      <c r="AC631" s="106"/>
    </row>
    <row r="632">
      <c r="C632" s="79"/>
      <c r="D632" s="79"/>
      <c r="E632" s="79"/>
      <c r="N632" s="79"/>
      <c r="Q632" s="79"/>
      <c r="S632" s="79"/>
      <c r="T632" s="79"/>
      <c r="X632" s="79"/>
      <c r="AA632" s="130"/>
      <c r="AC632" s="106"/>
    </row>
    <row r="633">
      <c r="C633" s="79"/>
      <c r="D633" s="79"/>
      <c r="E633" s="79"/>
      <c r="N633" s="79"/>
      <c r="Q633" s="79"/>
      <c r="S633" s="79"/>
      <c r="T633" s="79"/>
      <c r="X633" s="79"/>
      <c r="AA633" s="130"/>
      <c r="AC633" s="106"/>
    </row>
    <row r="634">
      <c r="C634" s="79"/>
      <c r="D634" s="79"/>
      <c r="E634" s="79"/>
      <c r="N634" s="79"/>
      <c r="Q634" s="79"/>
      <c r="S634" s="79"/>
      <c r="T634" s="79"/>
      <c r="X634" s="79"/>
      <c r="AA634" s="130"/>
      <c r="AC634" s="106"/>
    </row>
    <row r="635">
      <c r="C635" s="79"/>
      <c r="D635" s="79"/>
      <c r="E635" s="79"/>
      <c r="N635" s="79"/>
      <c r="Q635" s="79"/>
      <c r="S635" s="79"/>
      <c r="T635" s="79"/>
      <c r="X635" s="79"/>
      <c r="AA635" s="130"/>
      <c r="AC635" s="106"/>
    </row>
    <row r="636">
      <c r="C636" s="79"/>
      <c r="D636" s="79"/>
      <c r="E636" s="79"/>
      <c r="N636" s="79"/>
      <c r="Q636" s="79"/>
      <c r="S636" s="79"/>
      <c r="T636" s="79"/>
      <c r="X636" s="79"/>
      <c r="AA636" s="130"/>
      <c r="AC636" s="106"/>
    </row>
    <row r="637">
      <c r="C637" s="79"/>
      <c r="D637" s="79"/>
      <c r="E637" s="79"/>
      <c r="N637" s="79"/>
      <c r="Q637" s="79"/>
      <c r="S637" s="79"/>
      <c r="T637" s="79"/>
      <c r="X637" s="79"/>
      <c r="AA637" s="130"/>
      <c r="AC637" s="106"/>
    </row>
    <row r="638">
      <c r="C638" s="79"/>
      <c r="D638" s="79"/>
      <c r="E638" s="79"/>
      <c r="N638" s="79"/>
      <c r="Q638" s="79"/>
      <c r="S638" s="79"/>
      <c r="T638" s="79"/>
      <c r="X638" s="79"/>
      <c r="AA638" s="130"/>
      <c r="AC638" s="106"/>
    </row>
    <row r="639">
      <c r="C639" s="79"/>
      <c r="D639" s="79"/>
      <c r="E639" s="79"/>
      <c r="N639" s="79"/>
      <c r="Q639" s="79"/>
      <c r="S639" s="79"/>
      <c r="T639" s="79"/>
      <c r="X639" s="79"/>
      <c r="AA639" s="130"/>
      <c r="AC639" s="106"/>
    </row>
    <row r="640">
      <c r="C640" s="79"/>
      <c r="D640" s="79"/>
      <c r="E640" s="79"/>
      <c r="N640" s="79"/>
      <c r="Q640" s="79"/>
      <c r="S640" s="79"/>
      <c r="T640" s="79"/>
      <c r="X640" s="79"/>
      <c r="AA640" s="130"/>
      <c r="AC640" s="106"/>
    </row>
    <row r="641">
      <c r="C641" s="79"/>
      <c r="D641" s="79"/>
      <c r="E641" s="79"/>
      <c r="N641" s="79"/>
      <c r="Q641" s="79"/>
      <c r="S641" s="79"/>
      <c r="T641" s="79"/>
      <c r="X641" s="79"/>
      <c r="AA641" s="130"/>
      <c r="AC641" s="106"/>
    </row>
    <row r="642">
      <c r="C642" s="79"/>
      <c r="D642" s="79"/>
      <c r="E642" s="79"/>
      <c r="N642" s="79"/>
      <c r="Q642" s="79"/>
      <c r="S642" s="79"/>
      <c r="T642" s="79"/>
      <c r="X642" s="79"/>
      <c r="AA642" s="130"/>
      <c r="AC642" s="106"/>
    </row>
    <row r="643">
      <c r="C643" s="79"/>
      <c r="D643" s="79"/>
      <c r="E643" s="79"/>
      <c r="N643" s="79"/>
      <c r="Q643" s="79"/>
      <c r="S643" s="79"/>
      <c r="T643" s="79"/>
      <c r="X643" s="79"/>
      <c r="AA643" s="130"/>
      <c r="AC643" s="106"/>
    </row>
    <row r="644">
      <c r="C644" s="79"/>
      <c r="D644" s="79"/>
      <c r="E644" s="79"/>
      <c r="N644" s="79"/>
      <c r="Q644" s="79"/>
      <c r="S644" s="79"/>
      <c r="T644" s="79"/>
      <c r="X644" s="79"/>
      <c r="AA644" s="130"/>
      <c r="AC644" s="106"/>
    </row>
    <row r="645">
      <c r="C645" s="79"/>
      <c r="D645" s="79"/>
      <c r="E645" s="79"/>
      <c r="N645" s="79"/>
      <c r="Q645" s="79"/>
      <c r="S645" s="79"/>
      <c r="T645" s="79"/>
      <c r="X645" s="79"/>
      <c r="AA645" s="130"/>
      <c r="AC645" s="106"/>
    </row>
    <row r="646">
      <c r="C646" s="79"/>
      <c r="D646" s="79"/>
      <c r="E646" s="79"/>
      <c r="N646" s="79"/>
      <c r="Q646" s="79"/>
      <c r="S646" s="79"/>
      <c r="T646" s="79"/>
      <c r="X646" s="79"/>
      <c r="AA646" s="130"/>
      <c r="AC646" s="106"/>
    </row>
    <row r="647">
      <c r="C647" s="79"/>
      <c r="D647" s="79"/>
      <c r="E647" s="79"/>
      <c r="N647" s="79"/>
      <c r="Q647" s="79"/>
      <c r="S647" s="79"/>
      <c r="T647" s="79"/>
      <c r="X647" s="79"/>
      <c r="AA647" s="130"/>
      <c r="AC647" s="106"/>
    </row>
    <row r="648">
      <c r="C648" s="79"/>
      <c r="D648" s="79"/>
      <c r="E648" s="79"/>
      <c r="N648" s="79"/>
      <c r="Q648" s="79"/>
      <c r="S648" s="79"/>
      <c r="T648" s="79"/>
      <c r="X648" s="79"/>
      <c r="AA648" s="130"/>
      <c r="AC648" s="106"/>
    </row>
    <row r="649">
      <c r="C649" s="79"/>
      <c r="D649" s="79"/>
      <c r="E649" s="79"/>
      <c r="N649" s="79"/>
      <c r="Q649" s="79"/>
      <c r="S649" s="79"/>
      <c r="T649" s="79"/>
      <c r="X649" s="79"/>
      <c r="AA649" s="130"/>
      <c r="AC649" s="106"/>
    </row>
    <row r="650">
      <c r="C650" s="79"/>
      <c r="D650" s="79"/>
      <c r="E650" s="79"/>
      <c r="N650" s="79"/>
      <c r="Q650" s="79"/>
      <c r="S650" s="79"/>
      <c r="T650" s="79"/>
      <c r="X650" s="79"/>
      <c r="AA650" s="130"/>
      <c r="AC650" s="106"/>
    </row>
    <row r="651">
      <c r="C651" s="79"/>
      <c r="D651" s="79"/>
      <c r="E651" s="79"/>
      <c r="N651" s="79"/>
      <c r="Q651" s="79"/>
      <c r="S651" s="79"/>
      <c r="T651" s="79"/>
      <c r="X651" s="79"/>
      <c r="AA651" s="130"/>
      <c r="AC651" s="106"/>
    </row>
    <row r="652">
      <c r="C652" s="79"/>
      <c r="D652" s="79"/>
      <c r="E652" s="79"/>
      <c r="N652" s="79"/>
      <c r="Q652" s="79"/>
      <c r="S652" s="79"/>
      <c r="T652" s="79"/>
      <c r="X652" s="79"/>
      <c r="AA652" s="130"/>
      <c r="AC652" s="106"/>
    </row>
    <row r="653">
      <c r="C653" s="79"/>
      <c r="D653" s="79"/>
      <c r="E653" s="79"/>
      <c r="N653" s="79"/>
      <c r="Q653" s="79"/>
      <c r="S653" s="79"/>
      <c r="T653" s="79"/>
      <c r="X653" s="79"/>
      <c r="AA653" s="130"/>
      <c r="AC653" s="106"/>
    </row>
    <row r="654">
      <c r="C654" s="79"/>
      <c r="D654" s="79"/>
      <c r="E654" s="79"/>
      <c r="N654" s="79"/>
      <c r="Q654" s="79"/>
      <c r="S654" s="79"/>
      <c r="T654" s="79"/>
      <c r="X654" s="79"/>
      <c r="AA654" s="130"/>
      <c r="AC654" s="106"/>
    </row>
    <row r="655">
      <c r="C655" s="79"/>
      <c r="D655" s="79"/>
      <c r="E655" s="79"/>
      <c r="N655" s="79"/>
      <c r="Q655" s="79"/>
      <c r="S655" s="79"/>
      <c r="T655" s="79"/>
      <c r="X655" s="79"/>
      <c r="AA655" s="130"/>
      <c r="AC655" s="106"/>
    </row>
    <row r="656">
      <c r="C656" s="79"/>
      <c r="D656" s="79"/>
      <c r="E656" s="79"/>
      <c r="N656" s="79"/>
      <c r="Q656" s="79"/>
      <c r="S656" s="79"/>
      <c r="T656" s="79"/>
      <c r="X656" s="79"/>
      <c r="AA656" s="130"/>
      <c r="AC656" s="106"/>
    </row>
    <row r="657">
      <c r="C657" s="79"/>
      <c r="D657" s="79"/>
      <c r="E657" s="79"/>
      <c r="N657" s="79"/>
      <c r="Q657" s="79"/>
      <c r="S657" s="79"/>
      <c r="T657" s="79"/>
      <c r="X657" s="79"/>
      <c r="AA657" s="130"/>
      <c r="AC657" s="106"/>
    </row>
    <row r="658">
      <c r="C658" s="79"/>
      <c r="D658" s="79"/>
      <c r="E658" s="79"/>
      <c r="N658" s="79"/>
      <c r="Q658" s="79"/>
      <c r="S658" s="79"/>
      <c r="T658" s="79"/>
      <c r="X658" s="79"/>
      <c r="AA658" s="130"/>
      <c r="AC658" s="106"/>
    </row>
    <row r="659">
      <c r="C659" s="79"/>
      <c r="D659" s="79"/>
      <c r="E659" s="79"/>
      <c r="N659" s="79"/>
      <c r="Q659" s="79"/>
      <c r="S659" s="79"/>
      <c r="T659" s="79"/>
      <c r="X659" s="79"/>
      <c r="AA659" s="130"/>
      <c r="AC659" s="106"/>
    </row>
    <row r="660">
      <c r="C660" s="79"/>
      <c r="D660" s="79"/>
      <c r="E660" s="79"/>
      <c r="N660" s="79"/>
      <c r="Q660" s="79"/>
      <c r="S660" s="79"/>
      <c r="T660" s="79"/>
      <c r="X660" s="79"/>
      <c r="AA660" s="130"/>
      <c r="AC660" s="106"/>
    </row>
    <row r="661">
      <c r="C661" s="79"/>
      <c r="D661" s="79"/>
      <c r="E661" s="79"/>
      <c r="N661" s="79"/>
      <c r="Q661" s="79"/>
      <c r="S661" s="79"/>
      <c r="T661" s="79"/>
      <c r="X661" s="79"/>
      <c r="AA661" s="130"/>
      <c r="AC661" s="106"/>
    </row>
    <row r="662">
      <c r="C662" s="79"/>
      <c r="D662" s="79"/>
      <c r="E662" s="79"/>
      <c r="N662" s="79"/>
      <c r="Q662" s="79"/>
      <c r="S662" s="79"/>
      <c r="T662" s="79"/>
      <c r="X662" s="79"/>
      <c r="AA662" s="130"/>
      <c r="AC662" s="106"/>
    </row>
    <row r="663">
      <c r="C663" s="79"/>
      <c r="D663" s="79"/>
      <c r="E663" s="79"/>
      <c r="N663" s="79"/>
      <c r="Q663" s="79"/>
      <c r="S663" s="79"/>
      <c r="T663" s="79"/>
      <c r="X663" s="79"/>
      <c r="AA663" s="130"/>
      <c r="AC663" s="106"/>
    </row>
    <row r="664">
      <c r="C664" s="79"/>
      <c r="D664" s="79"/>
      <c r="E664" s="79"/>
      <c r="N664" s="79"/>
      <c r="Q664" s="79"/>
      <c r="S664" s="79"/>
      <c r="T664" s="79"/>
      <c r="X664" s="79"/>
      <c r="AA664" s="130"/>
      <c r="AC664" s="106"/>
    </row>
    <row r="665">
      <c r="C665" s="79"/>
      <c r="D665" s="79"/>
      <c r="E665" s="79"/>
      <c r="N665" s="79"/>
      <c r="Q665" s="79"/>
      <c r="S665" s="79"/>
      <c r="T665" s="79"/>
      <c r="X665" s="79"/>
      <c r="AA665" s="130"/>
      <c r="AC665" s="106"/>
    </row>
    <row r="666">
      <c r="C666" s="79"/>
      <c r="D666" s="79"/>
      <c r="E666" s="79"/>
      <c r="N666" s="79"/>
      <c r="Q666" s="79"/>
      <c r="S666" s="79"/>
      <c r="T666" s="79"/>
      <c r="X666" s="79"/>
      <c r="AA666" s="130"/>
      <c r="AC666" s="106"/>
    </row>
    <row r="667">
      <c r="C667" s="79"/>
      <c r="D667" s="79"/>
      <c r="E667" s="79"/>
      <c r="N667" s="79"/>
      <c r="Q667" s="79"/>
      <c r="S667" s="79"/>
      <c r="T667" s="79"/>
      <c r="X667" s="79"/>
      <c r="AA667" s="130"/>
      <c r="AC667" s="106"/>
    </row>
    <row r="668">
      <c r="C668" s="79"/>
      <c r="D668" s="79"/>
      <c r="E668" s="79"/>
      <c r="N668" s="79"/>
      <c r="Q668" s="79"/>
      <c r="S668" s="79"/>
      <c r="T668" s="79"/>
      <c r="X668" s="79"/>
      <c r="AA668" s="130"/>
      <c r="AC668" s="106"/>
    </row>
    <row r="669">
      <c r="C669" s="79"/>
      <c r="D669" s="79"/>
      <c r="E669" s="79"/>
      <c r="N669" s="79"/>
      <c r="Q669" s="79"/>
      <c r="S669" s="79"/>
      <c r="T669" s="79"/>
      <c r="X669" s="79"/>
      <c r="AA669" s="130"/>
      <c r="AC669" s="106"/>
    </row>
    <row r="670">
      <c r="C670" s="79"/>
      <c r="D670" s="79"/>
      <c r="E670" s="79"/>
      <c r="N670" s="79"/>
      <c r="Q670" s="79"/>
      <c r="S670" s="79"/>
      <c r="T670" s="79"/>
      <c r="X670" s="79"/>
      <c r="AA670" s="130"/>
      <c r="AC670" s="106"/>
    </row>
    <row r="671">
      <c r="C671" s="79"/>
      <c r="D671" s="79"/>
      <c r="E671" s="79"/>
      <c r="N671" s="79"/>
      <c r="Q671" s="79"/>
      <c r="S671" s="79"/>
      <c r="T671" s="79"/>
      <c r="X671" s="79"/>
      <c r="AA671" s="130"/>
      <c r="AC671" s="106"/>
    </row>
    <row r="672">
      <c r="C672" s="79"/>
      <c r="D672" s="79"/>
      <c r="E672" s="79"/>
      <c r="N672" s="79"/>
      <c r="Q672" s="79"/>
      <c r="S672" s="79"/>
      <c r="T672" s="79"/>
      <c r="X672" s="79"/>
      <c r="AA672" s="130"/>
      <c r="AC672" s="106"/>
    </row>
    <row r="673">
      <c r="C673" s="79"/>
      <c r="D673" s="79"/>
      <c r="E673" s="79"/>
      <c r="N673" s="79"/>
      <c r="Q673" s="79"/>
      <c r="S673" s="79"/>
      <c r="T673" s="79"/>
      <c r="X673" s="79"/>
      <c r="AA673" s="130"/>
      <c r="AC673" s="106"/>
    </row>
    <row r="674">
      <c r="C674" s="79"/>
      <c r="D674" s="79"/>
      <c r="E674" s="79"/>
      <c r="N674" s="79"/>
      <c r="Q674" s="79"/>
      <c r="S674" s="79"/>
      <c r="T674" s="79"/>
      <c r="X674" s="79"/>
      <c r="AA674" s="130"/>
      <c r="AC674" s="106"/>
    </row>
    <row r="675">
      <c r="C675" s="79"/>
      <c r="D675" s="79"/>
      <c r="E675" s="79"/>
      <c r="N675" s="79"/>
      <c r="Q675" s="79"/>
      <c r="S675" s="79"/>
      <c r="T675" s="79"/>
      <c r="X675" s="79"/>
      <c r="AA675" s="130"/>
      <c r="AC675" s="106"/>
    </row>
    <row r="676">
      <c r="C676" s="79"/>
      <c r="D676" s="79"/>
      <c r="E676" s="79"/>
      <c r="N676" s="79"/>
      <c r="Q676" s="79"/>
      <c r="S676" s="79"/>
      <c r="T676" s="79"/>
      <c r="X676" s="79"/>
      <c r="AA676" s="130"/>
      <c r="AC676" s="106"/>
    </row>
    <row r="677">
      <c r="C677" s="79"/>
      <c r="D677" s="79"/>
      <c r="E677" s="79"/>
      <c r="N677" s="79"/>
      <c r="Q677" s="79"/>
      <c r="S677" s="79"/>
      <c r="T677" s="79"/>
      <c r="X677" s="79"/>
      <c r="AA677" s="130"/>
      <c r="AC677" s="106"/>
    </row>
    <row r="678">
      <c r="C678" s="79"/>
      <c r="D678" s="79"/>
      <c r="E678" s="79"/>
      <c r="N678" s="79"/>
      <c r="Q678" s="79"/>
      <c r="S678" s="79"/>
      <c r="T678" s="79"/>
      <c r="X678" s="79"/>
      <c r="AA678" s="130"/>
      <c r="AC678" s="106"/>
    </row>
    <row r="679">
      <c r="C679" s="79"/>
      <c r="D679" s="79"/>
      <c r="E679" s="79"/>
      <c r="N679" s="79"/>
      <c r="Q679" s="79"/>
      <c r="S679" s="79"/>
      <c r="T679" s="79"/>
      <c r="X679" s="79"/>
      <c r="AA679" s="130"/>
      <c r="AC679" s="106"/>
    </row>
    <row r="680">
      <c r="C680" s="79"/>
      <c r="D680" s="79"/>
      <c r="E680" s="79"/>
      <c r="N680" s="79"/>
      <c r="Q680" s="79"/>
      <c r="S680" s="79"/>
      <c r="T680" s="79"/>
      <c r="X680" s="79"/>
      <c r="AA680" s="130"/>
      <c r="AC680" s="106"/>
    </row>
    <row r="681">
      <c r="C681" s="79"/>
      <c r="D681" s="79"/>
      <c r="E681" s="79"/>
      <c r="N681" s="79"/>
      <c r="Q681" s="79"/>
      <c r="S681" s="79"/>
      <c r="T681" s="79"/>
      <c r="X681" s="79"/>
      <c r="AA681" s="130"/>
      <c r="AC681" s="106"/>
    </row>
    <row r="682">
      <c r="C682" s="79"/>
      <c r="D682" s="79"/>
      <c r="E682" s="79"/>
      <c r="N682" s="79"/>
      <c r="Q682" s="79"/>
      <c r="S682" s="79"/>
      <c r="T682" s="79"/>
      <c r="X682" s="79"/>
      <c r="AA682" s="130"/>
      <c r="AC682" s="106"/>
    </row>
    <row r="683">
      <c r="C683" s="79"/>
      <c r="D683" s="79"/>
      <c r="E683" s="79"/>
      <c r="N683" s="79"/>
      <c r="Q683" s="79"/>
      <c r="S683" s="79"/>
      <c r="T683" s="79"/>
      <c r="X683" s="79"/>
      <c r="AA683" s="130"/>
      <c r="AC683" s="106"/>
    </row>
    <row r="684">
      <c r="C684" s="79"/>
      <c r="D684" s="79"/>
      <c r="E684" s="79"/>
      <c r="N684" s="79"/>
      <c r="Q684" s="79"/>
      <c r="S684" s="79"/>
      <c r="T684" s="79"/>
      <c r="X684" s="79"/>
      <c r="AA684" s="130"/>
      <c r="AC684" s="106"/>
    </row>
    <row r="685">
      <c r="C685" s="79"/>
      <c r="D685" s="79"/>
      <c r="E685" s="79"/>
      <c r="N685" s="79"/>
      <c r="Q685" s="79"/>
      <c r="S685" s="79"/>
      <c r="T685" s="79"/>
      <c r="X685" s="79"/>
      <c r="AA685" s="130"/>
      <c r="AC685" s="106"/>
    </row>
    <row r="686">
      <c r="C686" s="79"/>
      <c r="D686" s="79"/>
      <c r="E686" s="79"/>
      <c r="N686" s="79"/>
      <c r="Q686" s="79"/>
      <c r="S686" s="79"/>
      <c r="T686" s="79"/>
      <c r="X686" s="79"/>
      <c r="AA686" s="130"/>
      <c r="AC686" s="106"/>
    </row>
    <row r="687">
      <c r="C687" s="79"/>
      <c r="D687" s="79"/>
      <c r="E687" s="79"/>
      <c r="N687" s="79"/>
      <c r="Q687" s="79"/>
      <c r="S687" s="79"/>
      <c r="T687" s="79"/>
      <c r="X687" s="79"/>
      <c r="AA687" s="130"/>
      <c r="AC687" s="106"/>
    </row>
    <row r="688">
      <c r="C688" s="79"/>
      <c r="D688" s="79"/>
      <c r="E688" s="79"/>
      <c r="N688" s="79"/>
      <c r="Q688" s="79"/>
      <c r="S688" s="79"/>
      <c r="T688" s="79"/>
      <c r="X688" s="79"/>
      <c r="AA688" s="130"/>
      <c r="AC688" s="106"/>
    </row>
    <row r="689">
      <c r="C689" s="79"/>
      <c r="D689" s="79"/>
      <c r="E689" s="79"/>
      <c r="N689" s="79"/>
      <c r="Q689" s="79"/>
      <c r="S689" s="79"/>
      <c r="T689" s="79"/>
      <c r="X689" s="79"/>
      <c r="AA689" s="130"/>
      <c r="AC689" s="106"/>
    </row>
    <row r="690">
      <c r="C690" s="79"/>
      <c r="D690" s="79"/>
      <c r="E690" s="79"/>
      <c r="N690" s="79"/>
      <c r="Q690" s="79"/>
      <c r="S690" s="79"/>
      <c r="T690" s="79"/>
      <c r="X690" s="79"/>
      <c r="AA690" s="130"/>
      <c r="AC690" s="106"/>
    </row>
    <row r="691">
      <c r="C691" s="79"/>
      <c r="D691" s="79"/>
      <c r="E691" s="79"/>
      <c r="N691" s="79"/>
      <c r="Q691" s="79"/>
      <c r="S691" s="79"/>
      <c r="T691" s="79"/>
      <c r="X691" s="79"/>
      <c r="AA691" s="130"/>
      <c r="AC691" s="106"/>
    </row>
    <row r="692">
      <c r="C692" s="79"/>
      <c r="D692" s="79"/>
      <c r="E692" s="79"/>
      <c r="N692" s="79"/>
      <c r="Q692" s="79"/>
      <c r="S692" s="79"/>
      <c r="T692" s="79"/>
      <c r="X692" s="79"/>
      <c r="AA692" s="130"/>
      <c r="AC692" s="106"/>
    </row>
    <row r="693">
      <c r="C693" s="79"/>
      <c r="D693" s="79"/>
      <c r="E693" s="79"/>
      <c r="N693" s="79"/>
      <c r="Q693" s="79"/>
      <c r="S693" s="79"/>
      <c r="T693" s="79"/>
      <c r="X693" s="79"/>
      <c r="AA693" s="130"/>
      <c r="AC693" s="106"/>
    </row>
    <row r="694">
      <c r="C694" s="79"/>
      <c r="D694" s="79"/>
      <c r="E694" s="79"/>
      <c r="N694" s="79"/>
      <c r="Q694" s="79"/>
      <c r="S694" s="79"/>
      <c r="T694" s="79"/>
      <c r="X694" s="79"/>
      <c r="AA694" s="130"/>
      <c r="AC694" s="106"/>
    </row>
    <row r="695">
      <c r="C695" s="79"/>
      <c r="D695" s="79"/>
      <c r="E695" s="79"/>
      <c r="N695" s="79"/>
      <c r="Q695" s="79"/>
      <c r="S695" s="79"/>
      <c r="T695" s="79"/>
      <c r="X695" s="79"/>
      <c r="AA695" s="130"/>
      <c r="AC695" s="106"/>
    </row>
    <row r="696">
      <c r="C696" s="79"/>
      <c r="D696" s="79"/>
      <c r="E696" s="79"/>
      <c r="N696" s="79"/>
      <c r="Q696" s="79"/>
      <c r="S696" s="79"/>
      <c r="T696" s="79"/>
      <c r="X696" s="79"/>
      <c r="AA696" s="130"/>
      <c r="AC696" s="106"/>
    </row>
    <row r="697">
      <c r="C697" s="79"/>
      <c r="D697" s="79"/>
      <c r="E697" s="79"/>
      <c r="N697" s="79"/>
      <c r="Q697" s="79"/>
      <c r="S697" s="79"/>
      <c r="T697" s="79"/>
      <c r="X697" s="79"/>
      <c r="AA697" s="130"/>
      <c r="AC697" s="106"/>
    </row>
    <row r="698">
      <c r="C698" s="79"/>
      <c r="D698" s="79"/>
      <c r="E698" s="79"/>
      <c r="N698" s="79"/>
      <c r="Q698" s="79"/>
      <c r="S698" s="79"/>
      <c r="T698" s="79"/>
      <c r="X698" s="79"/>
      <c r="AA698" s="130"/>
      <c r="AC698" s="106"/>
    </row>
    <row r="699">
      <c r="C699" s="79"/>
      <c r="D699" s="79"/>
      <c r="E699" s="79"/>
      <c r="N699" s="79"/>
      <c r="Q699" s="79"/>
      <c r="S699" s="79"/>
      <c r="T699" s="79"/>
      <c r="X699" s="79"/>
      <c r="AA699" s="130"/>
      <c r="AC699" s="106"/>
    </row>
    <row r="700">
      <c r="C700" s="79"/>
      <c r="D700" s="79"/>
      <c r="E700" s="79"/>
      <c r="N700" s="79"/>
      <c r="Q700" s="79"/>
      <c r="S700" s="79"/>
      <c r="T700" s="79"/>
      <c r="X700" s="79"/>
      <c r="AA700" s="130"/>
      <c r="AC700" s="106"/>
    </row>
    <row r="701">
      <c r="C701" s="79"/>
      <c r="D701" s="79"/>
      <c r="E701" s="79"/>
      <c r="N701" s="79"/>
      <c r="Q701" s="79"/>
      <c r="S701" s="79"/>
      <c r="T701" s="79"/>
      <c r="X701" s="79"/>
      <c r="AA701" s="130"/>
      <c r="AC701" s="106"/>
    </row>
    <row r="702">
      <c r="C702" s="79"/>
      <c r="D702" s="79"/>
      <c r="E702" s="79"/>
      <c r="N702" s="79"/>
      <c r="Q702" s="79"/>
      <c r="S702" s="79"/>
      <c r="T702" s="79"/>
      <c r="X702" s="79"/>
      <c r="AA702" s="130"/>
      <c r="AC702" s="106"/>
    </row>
    <row r="703">
      <c r="C703" s="79"/>
      <c r="D703" s="79"/>
      <c r="E703" s="79"/>
      <c r="N703" s="79"/>
      <c r="Q703" s="79"/>
      <c r="S703" s="79"/>
      <c r="T703" s="79"/>
      <c r="X703" s="79"/>
      <c r="AA703" s="130"/>
      <c r="AC703" s="106"/>
    </row>
    <row r="704">
      <c r="C704" s="79"/>
      <c r="D704" s="79"/>
      <c r="E704" s="79"/>
      <c r="N704" s="79"/>
      <c r="Q704" s="79"/>
      <c r="S704" s="79"/>
      <c r="T704" s="79"/>
      <c r="X704" s="79"/>
      <c r="AA704" s="130"/>
      <c r="AC704" s="106"/>
    </row>
    <row r="705">
      <c r="C705" s="79"/>
      <c r="D705" s="79"/>
      <c r="E705" s="79"/>
      <c r="N705" s="79"/>
      <c r="Q705" s="79"/>
      <c r="S705" s="79"/>
      <c r="T705" s="79"/>
      <c r="X705" s="79"/>
      <c r="AA705" s="130"/>
      <c r="AC705" s="106"/>
    </row>
    <row r="706">
      <c r="C706" s="79"/>
      <c r="D706" s="79"/>
      <c r="E706" s="79"/>
      <c r="N706" s="79"/>
      <c r="Q706" s="79"/>
      <c r="S706" s="79"/>
      <c r="T706" s="79"/>
      <c r="X706" s="79"/>
      <c r="AA706" s="130"/>
      <c r="AC706" s="106"/>
    </row>
    <row r="707">
      <c r="C707" s="79"/>
      <c r="D707" s="79"/>
      <c r="E707" s="79"/>
      <c r="N707" s="79"/>
      <c r="Q707" s="79"/>
      <c r="S707" s="79"/>
      <c r="T707" s="79"/>
      <c r="X707" s="79"/>
      <c r="AA707" s="130"/>
      <c r="AC707" s="106"/>
    </row>
    <row r="708">
      <c r="C708" s="79"/>
      <c r="D708" s="79"/>
      <c r="E708" s="79"/>
      <c r="N708" s="79"/>
      <c r="Q708" s="79"/>
      <c r="S708" s="79"/>
      <c r="T708" s="79"/>
      <c r="X708" s="79"/>
      <c r="AA708" s="130"/>
      <c r="AC708" s="106"/>
    </row>
    <row r="709">
      <c r="C709" s="79"/>
      <c r="D709" s="79"/>
      <c r="E709" s="79"/>
      <c r="N709" s="79"/>
      <c r="Q709" s="79"/>
      <c r="S709" s="79"/>
      <c r="T709" s="79"/>
      <c r="X709" s="79"/>
      <c r="AA709" s="130"/>
      <c r="AC709" s="106"/>
    </row>
    <row r="710">
      <c r="C710" s="79"/>
      <c r="D710" s="79"/>
      <c r="E710" s="79"/>
      <c r="N710" s="79"/>
      <c r="Q710" s="79"/>
      <c r="S710" s="79"/>
      <c r="T710" s="79"/>
      <c r="X710" s="79"/>
      <c r="AA710" s="130"/>
      <c r="AC710" s="106"/>
    </row>
    <row r="711">
      <c r="C711" s="79"/>
      <c r="D711" s="79"/>
      <c r="E711" s="79"/>
      <c r="N711" s="79"/>
      <c r="Q711" s="79"/>
      <c r="S711" s="79"/>
      <c r="T711" s="79"/>
      <c r="X711" s="79"/>
      <c r="AA711" s="130"/>
      <c r="AC711" s="106"/>
    </row>
    <row r="712">
      <c r="C712" s="79"/>
      <c r="D712" s="79"/>
      <c r="E712" s="79"/>
      <c r="N712" s="79"/>
      <c r="Q712" s="79"/>
      <c r="S712" s="79"/>
      <c r="T712" s="79"/>
      <c r="X712" s="79"/>
      <c r="AA712" s="130"/>
      <c r="AC712" s="106"/>
    </row>
    <row r="713">
      <c r="C713" s="79"/>
      <c r="D713" s="79"/>
      <c r="E713" s="79"/>
      <c r="N713" s="79"/>
      <c r="Q713" s="79"/>
      <c r="S713" s="79"/>
      <c r="T713" s="79"/>
      <c r="X713" s="79"/>
      <c r="AA713" s="130"/>
      <c r="AC713" s="106"/>
    </row>
    <row r="714">
      <c r="C714" s="79"/>
      <c r="D714" s="79"/>
      <c r="E714" s="79"/>
      <c r="N714" s="79"/>
      <c r="Q714" s="79"/>
      <c r="S714" s="79"/>
      <c r="T714" s="79"/>
      <c r="X714" s="79"/>
      <c r="AA714" s="130"/>
      <c r="AC714" s="106"/>
    </row>
    <row r="715">
      <c r="C715" s="79"/>
      <c r="D715" s="79"/>
      <c r="E715" s="79"/>
      <c r="N715" s="79"/>
      <c r="Q715" s="79"/>
      <c r="S715" s="79"/>
      <c r="T715" s="79"/>
      <c r="X715" s="79"/>
      <c r="AA715" s="130"/>
      <c r="AC715" s="106"/>
    </row>
    <row r="716">
      <c r="C716" s="79"/>
      <c r="D716" s="79"/>
      <c r="E716" s="79"/>
      <c r="N716" s="79"/>
      <c r="Q716" s="79"/>
      <c r="S716" s="79"/>
      <c r="T716" s="79"/>
      <c r="X716" s="79"/>
      <c r="AA716" s="130"/>
      <c r="AC716" s="106"/>
    </row>
    <row r="717">
      <c r="C717" s="79"/>
      <c r="D717" s="79"/>
      <c r="E717" s="79"/>
      <c r="N717" s="79"/>
      <c r="Q717" s="79"/>
      <c r="S717" s="79"/>
      <c r="T717" s="79"/>
      <c r="X717" s="79"/>
      <c r="AA717" s="130"/>
      <c r="AC717" s="106"/>
    </row>
    <row r="718">
      <c r="C718" s="79"/>
      <c r="D718" s="79"/>
      <c r="E718" s="79"/>
      <c r="N718" s="79"/>
      <c r="Q718" s="79"/>
      <c r="S718" s="79"/>
      <c r="T718" s="79"/>
      <c r="X718" s="79"/>
      <c r="AA718" s="130"/>
      <c r="AC718" s="106"/>
    </row>
    <row r="719">
      <c r="C719" s="79"/>
      <c r="D719" s="79"/>
      <c r="E719" s="79"/>
      <c r="N719" s="79"/>
      <c r="Q719" s="79"/>
      <c r="S719" s="79"/>
      <c r="T719" s="79"/>
      <c r="X719" s="79"/>
      <c r="AA719" s="130"/>
      <c r="AC719" s="106"/>
    </row>
    <row r="720">
      <c r="C720" s="79"/>
      <c r="D720" s="79"/>
      <c r="E720" s="79"/>
      <c r="N720" s="79"/>
      <c r="Q720" s="79"/>
      <c r="S720" s="79"/>
      <c r="T720" s="79"/>
      <c r="X720" s="79"/>
      <c r="AA720" s="130"/>
      <c r="AC720" s="106"/>
    </row>
    <row r="721">
      <c r="C721" s="79"/>
      <c r="D721" s="79"/>
      <c r="E721" s="79"/>
      <c r="N721" s="79"/>
      <c r="Q721" s="79"/>
      <c r="S721" s="79"/>
      <c r="T721" s="79"/>
      <c r="X721" s="79"/>
      <c r="AA721" s="130"/>
      <c r="AC721" s="106"/>
    </row>
    <row r="722">
      <c r="C722" s="79"/>
      <c r="D722" s="79"/>
      <c r="E722" s="79"/>
      <c r="N722" s="79"/>
      <c r="Q722" s="79"/>
      <c r="S722" s="79"/>
      <c r="T722" s="79"/>
      <c r="X722" s="79"/>
      <c r="AA722" s="130"/>
      <c r="AC722" s="106"/>
    </row>
    <row r="723">
      <c r="C723" s="79"/>
      <c r="D723" s="79"/>
      <c r="E723" s="79"/>
      <c r="N723" s="79"/>
      <c r="Q723" s="79"/>
      <c r="S723" s="79"/>
      <c r="T723" s="79"/>
      <c r="X723" s="79"/>
      <c r="AA723" s="130"/>
      <c r="AC723" s="106"/>
    </row>
    <row r="724">
      <c r="C724" s="79"/>
      <c r="D724" s="79"/>
      <c r="E724" s="79"/>
      <c r="N724" s="79"/>
      <c r="Q724" s="79"/>
      <c r="S724" s="79"/>
      <c r="T724" s="79"/>
      <c r="X724" s="79"/>
      <c r="AA724" s="130"/>
      <c r="AC724" s="106"/>
    </row>
    <row r="725">
      <c r="C725" s="79"/>
      <c r="D725" s="79"/>
      <c r="E725" s="79"/>
      <c r="N725" s="79"/>
      <c r="Q725" s="79"/>
      <c r="S725" s="79"/>
      <c r="T725" s="79"/>
      <c r="X725" s="79"/>
      <c r="AA725" s="130"/>
      <c r="AC725" s="106"/>
    </row>
    <row r="726">
      <c r="C726" s="79"/>
      <c r="D726" s="79"/>
      <c r="E726" s="79"/>
      <c r="N726" s="79"/>
      <c r="Q726" s="79"/>
      <c r="S726" s="79"/>
      <c r="T726" s="79"/>
      <c r="X726" s="79"/>
      <c r="AA726" s="130"/>
      <c r="AC726" s="106"/>
    </row>
    <row r="727">
      <c r="C727" s="79"/>
      <c r="D727" s="79"/>
      <c r="E727" s="79"/>
      <c r="N727" s="79"/>
      <c r="Q727" s="79"/>
      <c r="S727" s="79"/>
      <c r="T727" s="79"/>
      <c r="X727" s="79"/>
      <c r="AA727" s="130"/>
      <c r="AC727" s="106"/>
    </row>
    <row r="728">
      <c r="C728" s="79"/>
      <c r="D728" s="79"/>
      <c r="E728" s="79"/>
      <c r="N728" s="79"/>
      <c r="Q728" s="79"/>
      <c r="S728" s="79"/>
      <c r="T728" s="79"/>
      <c r="X728" s="79"/>
      <c r="AA728" s="130"/>
      <c r="AC728" s="106"/>
    </row>
    <row r="729">
      <c r="C729" s="79"/>
      <c r="D729" s="79"/>
      <c r="E729" s="79"/>
      <c r="N729" s="79"/>
      <c r="Q729" s="79"/>
      <c r="S729" s="79"/>
      <c r="T729" s="79"/>
      <c r="X729" s="79"/>
      <c r="AA729" s="130"/>
      <c r="AC729" s="106"/>
    </row>
    <row r="730">
      <c r="C730" s="79"/>
      <c r="D730" s="79"/>
      <c r="E730" s="79"/>
      <c r="N730" s="79"/>
      <c r="Q730" s="79"/>
      <c r="S730" s="79"/>
      <c r="T730" s="79"/>
      <c r="X730" s="79"/>
      <c r="AA730" s="130"/>
      <c r="AC730" s="106"/>
    </row>
    <row r="731">
      <c r="C731" s="79"/>
      <c r="D731" s="79"/>
      <c r="E731" s="79"/>
      <c r="N731" s="79"/>
      <c r="Q731" s="79"/>
      <c r="S731" s="79"/>
      <c r="T731" s="79"/>
      <c r="X731" s="79"/>
      <c r="AA731" s="130"/>
      <c r="AC731" s="106"/>
    </row>
    <row r="732">
      <c r="C732" s="79"/>
      <c r="D732" s="79"/>
      <c r="E732" s="79"/>
      <c r="N732" s="79"/>
      <c r="Q732" s="79"/>
      <c r="S732" s="79"/>
      <c r="T732" s="79"/>
      <c r="X732" s="79"/>
      <c r="AA732" s="130"/>
      <c r="AC732" s="106"/>
    </row>
    <row r="733">
      <c r="C733" s="79"/>
      <c r="D733" s="79"/>
      <c r="E733" s="79"/>
      <c r="N733" s="79"/>
      <c r="Q733" s="79"/>
      <c r="S733" s="79"/>
      <c r="T733" s="79"/>
      <c r="X733" s="79"/>
      <c r="AA733" s="130"/>
      <c r="AC733" s="106"/>
    </row>
    <row r="734">
      <c r="C734" s="79"/>
      <c r="D734" s="79"/>
      <c r="E734" s="79"/>
      <c r="N734" s="79"/>
      <c r="Q734" s="79"/>
      <c r="S734" s="79"/>
      <c r="T734" s="79"/>
      <c r="X734" s="79"/>
      <c r="AA734" s="130"/>
      <c r="AC734" s="106"/>
    </row>
    <row r="735">
      <c r="C735" s="79"/>
      <c r="D735" s="79"/>
      <c r="E735" s="79"/>
      <c r="N735" s="79"/>
      <c r="Q735" s="79"/>
      <c r="S735" s="79"/>
      <c r="T735" s="79"/>
      <c r="X735" s="79"/>
      <c r="AA735" s="130"/>
      <c r="AC735" s="106"/>
    </row>
    <row r="736">
      <c r="C736" s="79"/>
      <c r="D736" s="79"/>
      <c r="E736" s="79"/>
      <c r="N736" s="79"/>
      <c r="Q736" s="79"/>
      <c r="S736" s="79"/>
      <c r="T736" s="79"/>
      <c r="X736" s="79"/>
      <c r="AA736" s="130"/>
      <c r="AC736" s="106"/>
    </row>
    <row r="737">
      <c r="C737" s="79"/>
      <c r="D737" s="79"/>
      <c r="E737" s="79"/>
      <c r="N737" s="79"/>
      <c r="Q737" s="79"/>
      <c r="S737" s="79"/>
      <c r="T737" s="79"/>
      <c r="X737" s="79"/>
      <c r="AA737" s="130"/>
      <c r="AC737" s="106"/>
    </row>
    <row r="738">
      <c r="C738" s="79"/>
      <c r="D738" s="79"/>
      <c r="E738" s="79"/>
      <c r="N738" s="79"/>
      <c r="Q738" s="79"/>
      <c r="S738" s="79"/>
      <c r="T738" s="79"/>
      <c r="X738" s="79"/>
      <c r="AA738" s="130"/>
      <c r="AC738" s="106"/>
    </row>
    <row r="739">
      <c r="C739" s="79"/>
      <c r="D739" s="79"/>
      <c r="E739" s="79"/>
      <c r="N739" s="79"/>
      <c r="Q739" s="79"/>
      <c r="S739" s="79"/>
      <c r="T739" s="79"/>
      <c r="X739" s="79"/>
      <c r="AA739" s="130"/>
      <c r="AC739" s="106"/>
    </row>
    <row r="740">
      <c r="C740" s="79"/>
      <c r="D740" s="79"/>
      <c r="E740" s="79"/>
      <c r="N740" s="79"/>
      <c r="Q740" s="79"/>
      <c r="S740" s="79"/>
      <c r="T740" s="79"/>
      <c r="X740" s="79"/>
      <c r="AA740" s="130"/>
      <c r="AC740" s="106"/>
    </row>
    <row r="741">
      <c r="C741" s="79"/>
      <c r="D741" s="79"/>
      <c r="E741" s="79"/>
      <c r="N741" s="79"/>
      <c r="Q741" s="79"/>
      <c r="S741" s="79"/>
      <c r="T741" s="79"/>
      <c r="X741" s="79"/>
      <c r="AA741" s="130"/>
      <c r="AC741" s="106"/>
    </row>
    <row r="742">
      <c r="C742" s="79"/>
      <c r="D742" s="79"/>
      <c r="E742" s="79"/>
      <c r="N742" s="79"/>
      <c r="Q742" s="79"/>
      <c r="S742" s="79"/>
      <c r="T742" s="79"/>
      <c r="X742" s="79"/>
      <c r="AA742" s="130"/>
      <c r="AC742" s="106"/>
    </row>
    <row r="743">
      <c r="C743" s="79"/>
      <c r="D743" s="79"/>
      <c r="E743" s="79"/>
      <c r="N743" s="79"/>
      <c r="Q743" s="79"/>
      <c r="S743" s="79"/>
      <c r="T743" s="79"/>
      <c r="X743" s="79"/>
      <c r="AA743" s="130"/>
      <c r="AC743" s="106"/>
    </row>
    <row r="744">
      <c r="C744" s="79"/>
      <c r="D744" s="79"/>
      <c r="E744" s="79"/>
      <c r="N744" s="79"/>
      <c r="Q744" s="79"/>
      <c r="S744" s="79"/>
      <c r="T744" s="79"/>
      <c r="X744" s="79"/>
      <c r="AA744" s="130"/>
      <c r="AC744" s="106"/>
    </row>
    <row r="745">
      <c r="C745" s="79"/>
      <c r="D745" s="79"/>
      <c r="E745" s="79"/>
      <c r="N745" s="79"/>
      <c r="Q745" s="79"/>
      <c r="S745" s="79"/>
      <c r="T745" s="79"/>
      <c r="X745" s="79"/>
      <c r="AA745" s="130"/>
      <c r="AC745" s="106"/>
    </row>
    <row r="746">
      <c r="C746" s="79"/>
      <c r="D746" s="79"/>
      <c r="E746" s="79"/>
      <c r="N746" s="79"/>
      <c r="Q746" s="79"/>
      <c r="S746" s="79"/>
      <c r="T746" s="79"/>
      <c r="X746" s="79"/>
      <c r="AA746" s="130"/>
      <c r="AC746" s="106"/>
    </row>
    <row r="747">
      <c r="C747" s="79"/>
      <c r="D747" s="79"/>
      <c r="E747" s="79"/>
      <c r="N747" s="79"/>
      <c r="Q747" s="79"/>
      <c r="S747" s="79"/>
      <c r="T747" s="79"/>
      <c r="X747" s="79"/>
      <c r="AA747" s="130"/>
      <c r="AC747" s="106"/>
    </row>
    <row r="748">
      <c r="C748" s="79"/>
      <c r="D748" s="79"/>
      <c r="E748" s="79"/>
      <c r="N748" s="79"/>
      <c r="Q748" s="79"/>
      <c r="S748" s="79"/>
      <c r="T748" s="79"/>
      <c r="X748" s="79"/>
      <c r="AA748" s="130"/>
      <c r="AC748" s="106"/>
    </row>
    <row r="749">
      <c r="C749" s="79"/>
      <c r="D749" s="79"/>
      <c r="E749" s="79"/>
      <c r="N749" s="79"/>
      <c r="Q749" s="79"/>
      <c r="S749" s="79"/>
      <c r="T749" s="79"/>
      <c r="X749" s="79"/>
      <c r="AA749" s="130"/>
      <c r="AC749" s="106"/>
    </row>
    <row r="750">
      <c r="C750" s="79"/>
      <c r="D750" s="79"/>
      <c r="E750" s="79"/>
      <c r="N750" s="79"/>
      <c r="Q750" s="79"/>
      <c r="S750" s="79"/>
      <c r="T750" s="79"/>
      <c r="X750" s="79"/>
      <c r="AA750" s="130"/>
      <c r="AC750" s="106"/>
    </row>
    <row r="751">
      <c r="C751" s="79"/>
      <c r="D751" s="79"/>
      <c r="E751" s="79"/>
      <c r="N751" s="79"/>
      <c r="Q751" s="79"/>
      <c r="S751" s="79"/>
      <c r="T751" s="79"/>
      <c r="X751" s="79"/>
      <c r="AA751" s="130"/>
      <c r="AC751" s="106"/>
    </row>
    <row r="752">
      <c r="C752" s="79"/>
      <c r="D752" s="79"/>
      <c r="E752" s="79"/>
      <c r="N752" s="79"/>
      <c r="Q752" s="79"/>
      <c r="S752" s="79"/>
      <c r="T752" s="79"/>
      <c r="X752" s="79"/>
      <c r="AA752" s="130"/>
      <c r="AC752" s="106"/>
    </row>
    <row r="753">
      <c r="C753" s="79"/>
      <c r="D753" s="79"/>
      <c r="E753" s="79"/>
      <c r="N753" s="79"/>
      <c r="Q753" s="79"/>
      <c r="S753" s="79"/>
      <c r="T753" s="79"/>
      <c r="X753" s="79"/>
      <c r="AA753" s="130"/>
      <c r="AC753" s="106"/>
    </row>
    <row r="754">
      <c r="C754" s="79"/>
      <c r="D754" s="79"/>
      <c r="E754" s="79"/>
      <c r="N754" s="79"/>
      <c r="Q754" s="79"/>
      <c r="S754" s="79"/>
      <c r="T754" s="79"/>
      <c r="X754" s="79"/>
      <c r="AA754" s="130"/>
      <c r="AC754" s="106"/>
    </row>
    <row r="755">
      <c r="C755" s="79"/>
      <c r="D755" s="79"/>
      <c r="E755" s="79"/>
      <c r="N755" s="79"/>
      <c r="Q755" s="79"/>
      <c r="S755" s="79"/>
      <c r="T755" s="79"/>
      <c r="X755" s="79"/>
      <c r="AA755" s="130"/>
      <c r="AC755" s="106"/>
    </row>
    <row r="756">
      <c r="C756" s="79"/>
      <c r="D756" s="79"/>
      <c r="E756" s="79"/>
      <c r="N756" s="79"/>
      <c r="Q756" s="79"/>
      <c r="S756" s="79"/>
      <c r="T756" s="79"/>
      <c r="X756" s="79"/>
      <c r="AA756" s="130"/>
      <c r="AC756" s="106"/>
    </row>
    <row r="757">
      <c r="C757" s="79"/>
      <c r="D757" s="79"/>
      <c r="E757" s="79"/>
      <c r="N757" s="79"/>
      <c r="Q757" s="79"/>
      <c r="S757" s="79"/>
      <c r="T757" s="79"/>
      <c r="X757" s="79"/>
      <c r="AA757" s="130"/>
      <c r="AC757" s="106"/>
    </row>
    <row r="758">
      <c r="C758" s="79"/>
      <c r="D758" s="79"/>
      <c r="E758" s="79"/>
      <c r="N758" s="79"/>
      <c r="Q758" s="79"/>
      <c r="S758" s="79"/>
      <c r="T758" s="79"/>
      <c r="X758" s="79"/>
      <c r="AA758" s="130"/>
      <c r="AC758" s="106"/>
    </row>
    <row r="759">
      <c r="C759" s="79"/>
      <c r="D759" s="79"/>
      <c r="E759" s="79"/>
      <c r="N759" s="79"/>
      <c r="Q759" s="79"/>
      <c r="S759" s="79"/>
      <c r="T759" s="79"/>
      <c r="X759" s="79"/>
      <c r="AA759" s="130"/>
      <c r="AC759" s="106"/>
    </row>
    <row r="760">
      <c r="C760" s="79"/>
      <c r="D760" s="79"/>
      <c r="E760" s="79"/>
      <c r="N760" s="79"/>
      <c r="Q760" s="79"/>
      <c r="S760" s="79"/>
      <c r="T760" s="79"/>
      <c r="X760" s="79"/>
      <c r="AA760" s="130"/>
      <c r="AC760" s="106"/>
    </row>
    <row r="761">
      <c r="C761" s="79"/>
      <c r="D761" s="79"/>
      <c r="E761" s="79"/>
      <c r="N761" s="79"/>
      <c r="Q761" s="79"/>
      <c r="S761" s="79"/>
      <c r="T761" s="79"/>
      <c r="X761" s="79"/>
      <c r="AA761" s="130"/>
      <c r="AC761" s="106"/>
    </row>
    <row r="762">
      <c r="C762" s="79"/>
      <c r="D762" s="79"/>
      <c r="E762" s="79"/>
      <c r="N762" s="79"/>
      <c r="Q762" s="79"/>
      <c r="S762" s="79"/>
      <c r="T762" s="79"/>
      <c r="X762" s="79"/>
      <c r="AA762" s="130"/>
      <c r="AC762" s="106"/>
    </row>
    <row r="763">
      <c r="C763" s="79"/>
      <c r="D763" s="79"/>
      <c r="E763" s="79"/>
      <c r="N763" s="79"/>
      <c r="Q763" s="79"/>
      <c r="S763" s="79"/>
      <c r="T763" s="79"/>
      <c r="X763" s="79"/>
      <c r="AA763" s="130"/>
      <c r="AC763" s="106"/>
    </row>
    <row r="764">
      <c r="C764" s="79"/>
      <c r="D764" s="79"/>
      <c r="E764" s="79"/>
      <c r="N764" s="79"/>
      <c r="Q764" s="79"/>
      <c r="S764" s="79"/>
      <c r="T764" s="79"/>
      <c r="X764" s="79"/>
      <c r="AA764" s="130"/>
      <c r="AC764" s="106"/>
    </row>
    <row r="765">
      <c r="C765" s="79"/>
      <c r="D765" s="79"/>
      <c r="E765" s="79"/>
      <c r="N765" s="79"/>
      <c r="Q765" s="79"/>
      <c r="S765" s="79"/>
      <c r="T765" s="79"/>
      <c r="X765" s="79"/>
      <c r="AA765" s="130"/>
      <c r="AC765" s="106"/>
    </row>
    <row r="766">
      <c r="C766" s="79"/>
      <c r="D766" s="79"/>
      <c r="E766" s="79"/>
      <c r="N766" s="79"/>
      <c r="Q766" s="79"/>
      <c r="S766" s="79"/>
      <c r="T766" s="79"/>
      <c r="X766" s="79"/>
      <c r="AA766" s="130"/>
      <c r="AC766" s="106"/>
    </row>
    <row r="767">
      <c r="C767" s="79"/>
      <c r="D767" s="79"/>
      <c r="E767" s="79"/>
      <c r="N767" s="79"/>
      <c r="Q767" s="79"/>
      <c r="S767" s="79"/>
      <c r="T767" s="79"/>
      <c r="X767" s="79"/>
      <c r="AA767" s="130"/>
      <c r="AC767" s="106"/>
    </row>
    <row r="768">
      <c r="C768" s="79"/>
      <c r="D768" s="79"/>
      <c r="E768" s="79"/>
      <c r="N768" s="79"/>
      <c r="Q768" s="79"/>
      <c r="S768" s="79"/>
      <c r="T768" s="79"/>
      <c r="X768" s="79"/>
      <c r="AA768" s="130"/>
      <c r="AC768" s="106"/>
    </row>
    <row r="769">
      <c r="C769" s="79"/>
      <c r="D769" s="79"/>
      <c r="E769" s="79"/>
      <c r="N769" s="79"/>
      <c r="Q769" s="79"/>
      <c r="S769" s="79"/>
      <c r="T769" s="79"/>
      <c r="X769" s="79"/>
      <c r="AA769" s="130"/>
      <c r="AC769" s="106"/>
    </row>
    <row r="770">
      <c r="C770" s="79"/>
      <c r="D770" s="79"/>
      <c r="E770" s="79"/>
      <c r="N770" s="79"/>
      <c r="Q770" s="79"/>
      <c r="S770" s="79"/>
      <c r="T770" s="79"/>
      <c r="X770" s="79"/>
      <c r="AA770" s="130"/>
      <c r="AC770" s="106"/>
    </row>
    <row r="771">
      <c r="C771" s="79"/>
      <c r="D771" s="79"/>
      <c r="E771" s="79"/>
      <c r="N771" s="79"/>
      <c r="Q771" s="79"/>
      <c r="S771" s="79"/>
      <c r="T771" s="79"/>
      <c r="X771" s="79"/>
      <c r="AA771" s="130"/>
      <c r="AC771" s="106"/>
    </row>
    <row r="772">
      <c r="C772" s="79"/>
      <c r="D772" s="79"/>
      <c r="E772" s="79"/>
      <c r="N772" s="79"/>
      <c r="Q772" s="79"/>
      <c r="S772" s="79"/>
      <c r="T772" s="79"/>
      <c r="X772" s="79"/>
      <c r="AA772" s="130"/>
      <c r="AC772" s="106"/>
    </row>
    <row r="773">
      <c r="C773" s="79"/>
      <c r="D773" s="79"/>
      <c r="E773" s="79"/>
      <c r="N773" s="79"/>
      <c r="Q773" s="79"/>
      <c r="S773" s="79"/>
      <c r="T773" s="79"/>
      <c r="X773" s="79"/>
      <c r="AA773" s="130"/>
      <c r="AC773" s="106"/>
    </row>
    <row r="774">
      <c r="C774" s="79"/>
      <c r="D774" s="79"/>
      <c r="E774" s="79"/>
      <c r="N774" s="79"/>
      <c r="Q774" s="79"/>
      <c r="S774" s="79"/>
      <c r="T774" s="79"/>
      <c r="X774" s="79"/>
      <c r="AA774" s="130"/>
      <c r="AC774" s="106"/>
    </row>
    <row r="775">
      <c r="C775" s="79"/>
      <c r="D775" s="79"/>
      <c r="E775" s="79"/>
      <c r="N775" s="79"/>
      <c r="Q775" s="79"/>
      <c r="S775" s="79"/>
      <c r="T775" s="79"/>
      <c r="X775" s="79"/>
      <c r="AA775" s="130"/>
      <c r="AC775" s="106"/>
    </row>
    <row r="776">
      <c r="C776" s="79"/>
      <c r="D776" s="79"/>
      <c r="E776" s="79"/>
      <c r="N776" s="79"/>
      <c r="Q776" s="79"/>
      <c r="S776" s="79"/>
      <c r="T776" s="79"/>
      <c r="X776" s="79"/>
      <c r="AA776" s="130"/>
      <c r="AC776" s="106"/>
    </row>
    <row r="777">
      <c r="C777" s="79"/>
      <c r="D777" s="79"/>
      <c r="E777" s="79"/>
      <c r="N777" s="79"/>
      <c r="Q777" s="79"/>
      <c r="S777" s="79"/>
      <c r="T777" s="79"/>
      <c r="X777" s="79"/>
      <c r="AA777" s="130"/>
      <c r="AC777" s="106"/>
    </row>
    <row r="778">
      <c r="C778" s="79"/>
      <c r="D778" s="79"/>
      <c r="E778" s="79"/>
      <c r="N778" s="79"/>
      <c r="Q778" s="79"/>
      <c r="S778" s="79"/>
      <c r="T778" s="79"/>
      <c r="X778" s="79"/>
      <c r="AA778" s="130"/>
      <c r="AC778" s="106"/>
    </row>
    <row r="779">
      <c r="C779" s="79"/>
      <c r="D779" s="79"/>
      <c r="E779" s="79"/>
      <c r="N779" s="79"/>
      <c r="Q779" s="79"/>
      <c r="S779" s="79"/>
      <c r="T779" s="79"/>
      <c r="X779" s="79"/>
      <c r="AA779" s="130"/>
      <c r="AC779" s="106"/>
    </row>
    <row r="780">
      <c r="C780" s="79"/>
      <c r="D780" s="79"/>
      <c r="E780" s="79"/>
      <c r="N780" s="79"/>
      <c r="Q780" s="79"/>
      <c r="S780" s="79"/>
      <c r="T780" s="79"/>
      <c r="X780" s="79"/>
      <c r="AA780" s="130"/>
      <c r="AC780" s="106"/>
    </row>
    <row r="781">
      <c r="C781" s="79"/>
      <c r="D781" s="79"/>
      <c r="E781" s="79"/>
      <c r="N781" s="79"/>
      <c r="Q781" s="79"/>
      <c r="S781" s="79"/>
      <c r="T781" s="79"/>
      <c r="X781" s="79"/>
      <c r="AA781" s="130"/>
      <c r="AC781" s="106"/>
    </row>
    <row r="782">
      <c r="C782" s="79"/>
      <c r="D782" s="79"/>
      <c r="E782" s="79"/>
      <c r="N782" s="79"/>
      <c r="Q782" s="79"/>
      <c r="S782" s="79"/>
      <c r="T782" s="79"/>
      <c r="X782" s="79"/>
      <c r="AA782" s="130"/>
      <c r="AC782" s="106"/>
    </row>
    <row r="783">
      <c r="C783" s="79"/>
      <c r="D783" s="79"/>
      <c r="E783" s="79"/>
      <c r="N783" s="79"/>
      <c r="Q783" s="79"/>
      <c r="S783" s="79"/>
      <c r="T783" s="79"/>
      <c r="X783" s="79"/>
      <c r="AA783" s="130"/>
      <c r="AC783" s="106"/>
    </row>
    <row r="784">
      <c r="C784" s="79"/>
      <c r="D784" s="79"/>
      <c r="E784" s="79"/>
      <c r="N784" s="79"/>
      <c r="Q784" s="79"/>
      <c r="S784" s="79"/>
      <c r="T784" s="79"/>
      <c r="X784" s="79"/>
      <c r="AA784" s="130"/>
      <c r="AC784" s="106"/>
    </row>
    <row r="785">
      <c r="C785" s="79"/>
      <c r="D785" s="79"/>
      <c r="E785" s="79"/>
      <c r="N785" s="79"/>
      <c r="Q785" s="79"/>
      <c r="S785" s="79"/>
      <c r="T785" s="79"/>
      <c r="X785" s="79"/>
      <c r="AA785" s="130"/>
      <c r="AC785" s="106"/>
    </row>
    <row r="786">
      <c r="C786" s="79"/>
      <c r="D786" s="79"/>
      <c r="E786" s="79"/>
      <c r="N786" s="79"/>
      <c r="Q786" s="79"/>
      <c r="S786" s="79"/>
      <c r="T786" s="79"/>
      <c r="X786" s="79"/>
      <c r="AA786" s="130"/>
      <c r="AC786" s="106"/>
    </row>
    <row r="787">
      <c r="C787" s="79"/>
      <c r="D787" s="79"/>
      <c r="E787" s="79"/>
      <c r="N787" s="79"/>
      <c r="Q787" s="79"/>
      <c r="S787" s="79"/>
      <c r="T787" s="79"/>
      <c r="X787" s="79"/>
      <c r="AA787" s="130"/>
      <c r="AC787" s="106"/>
    </row>
    <row r="788">
      <c r="C788" s="79"/>
      <c r="D788" s="79"/>
      <c r="E788" s="79"/>
      <c r="N788" s="79"/>
      <c r="Q788" s="79"/>
      <c r="S788" s="79"/>
      <c r="T788" s="79"/>
      <c r="X788" s="79"/>
      <c r="AA788" s="130"/>
      <c r="AC788" s="106"/>
    </row>
    <row r="789">
      <c r="C789" s="79"/>
      <c r="D789" s="79"/>
      <c r="E789" s="79"/>
      <c r="N789" s="79"/>
      <c r="Q789" s="79"/>
      <c r="S789" s="79"/>
      <c r="T789" s="79"/>
      <c r="X789" s="79"/>
      <c r="AA789" s="130"/>
      <c r="AC789" s="106"/>
    </row>
    <row r="790">
      <c r="C790" s="79"/>
      <c r="D790" s="79"/>
      <c r="E790" s="79"/>
      <c r="N790" s="79"/>
      <c r="Q790" s="79"/>
      <c r="S790" s="79"/>
      <c r="T790" s="79"/>
      <c r="X790" s="79"/>
      <c r="AA790" s="130"/>
      <c r="AC790" s="106"/>
    </row>
    <row r="791">
      <c r="C791" s="79"/>
      <c r="D791" s="79"/>
      <c r="E791" s="79"/>
      <c r="N791" s="79"/>
      <c r="Q791" s="79"/>
      <c r="S791" s="79"/>
      <c r="T791" s="79"/>
      <c r="X791" s="79"/>
      <c r="AA791" s="130"/>
      <c r="AC791" s="106"/>
    </row>
    <row r="792">
      <c r="C792" s="79"/>
      <c r="D792" s="79"/>
      <c r="E792" s="79"/>
      <c r="N792" s="79"/>
      <c r="Q792" s="79"/>
      <c r="S792" s="79"/>
      <c r="T792" s="79"/>
      <c r="X792" s="79"/>
      <c r="AA792" s="130"/>
      <c r="AC792" s="106"/>
    </row>
    <row r="793">
      <c r="C793" s="79"/>
      <c r="D793" s="79"/>
      <c r="E793" s="79"/>
      <c r="N793" s="79"/>
      <c r="Q793" s="79"/>
      <c r="S793" s="79"/>
      <c r="T793" s="79"/>
      <c r="X793" s="79"/>
      <c r="AA793" s="130"/>
      <c r="AC793" s="106"/>
    </row>
    <row r="794">
      <c r="C794" s="79"/>
      <c r="D794" s="79"/>
      <c r="E794" s="79"/>
      <c r="N794" s="79"/>
      <c r="Q794" s="79"/>
      <c r="S794" s="79"/>
      <c r="T794" s="79"/>
      <c r="X794" s="79"/>
      <c r="AA794" s="130"/>
      <c r="AC794" s="106"/>
    </row>
    <row r="795">
      <c r="C795" s="79"/>
      <c r="D795" s="79"/>
      <c r="E795" s="79"/>
      <c r="N795" s="79"/>
      <c r="Q795" s="79"/>
      <c r="S795" s="79"/>
      <c r="T795" s="79"/>
      <c r="X795" s="79"/>
      <c r="AA795" s="130"/>
      <c r="AC795" s="106"/>
    </row>
    <row r="796">
      <c r="C796" s="79"/>
      <c r="D796" s="79"/>
      <c r="E796" s="79"/>
      <c r="N796" s="79"/>
      <c r="Q796" s="79"/>
      <c r="S796" s="79"/>
      <c r="T796" s="79"/>
      <c r="X796" s="79"/>
      <c r="AA796" s="130"/>
      <c r="AC796" s="106"/>
    </row>
    <row r="797">
      <c r="C797" s="79"/>
      <c r="D797" s="79"/>
      <c r="E797" s="79"/>
      <c r="N797" s="79"/>
      <c r="Q797" s="79"/>
      <c r="S797" s="79"/>
      <c r="T797" s="79"/>
      <c r="X797" s="79"/>
      <c r="AA797" s="130"/>
      <c r="AC797" s="106"/>
    </row>
    <row r="798">
      <c r="C798" s="79"/>
      <c r="D798" s="79"/>
      <c r="E798" s="79"/>
      <c r="N798" s="79"/>
      <c r="Q798" s="79"/>
      <c r="S798" s="79"/>
      <c r="T798" s="79"/>
      <c r="X798" s="79"/>
      <c r="AA798" s="130"/>
      <c r="AC798" s="106"/>
    </row>
    <row r="799">
      <c r="C799" s="79"/>
      <c r="D799" s="79"/>
      <c r="E799" s="79"/>
      <c r="N799" s="79"/>
      <c r="Q799" s="79"/>
      <c r="S799" s="79"/>
      <c r="T799" s="79"/>
      <c r="X799" s="79"/>
      <c r="AA799" s="130"/>
      <c r="AC799" s="106"/>
    </row>
    <row r="800">
      <c r="C800" s="79"/>
      <c r="D800" s="79"/>
      <c r="E800" s="79"/>
      <c r="N800" s="79"/>
      <c r="Q800" s="79"/>
      <c r="S800" s="79"/>
      <c r="T800" s="79"/>
      <c r="X800" s="79"/>
      <c r="AA800" s="130"/>
      <c r="AC800" s="106"/>
    </row>
    <row r="801">
      <c r="C801" s="79"/>
      <c r="D801" s="79"/>
      <c r="E801" s="79"/>
      <c r="N801" s="79"/>
      <c r="Q801" s="79"/>
      <c r="S801" s="79"/>
      <c r="T801" s="79"/>
      <c r="X801" s="79"/>
      <c r="AA801" s="130"/>
      <c r="AC801" s="106"/>
    </row>
    <row r="802">
      <c r="C802" s="79"/>
      <c r="D802" s="79"/>
      <c r="E802" s="79"/>
      <c r="N802" s="79"/>
      <c r="Q802" s="79"/>
      <c r="S802" s="79"/>
      <c r="T802" s="79"/>
      <c r="X802" s="79"/>
      <c r="AA802" s="130"/>
      <c r="AC802" s="106"/>
    </row>
    <row r="803">
      <c r="C803" s="79"/>
      <c r="D803" s="79"/>
      <c r="E803" s="79"/>
      <c r="N803" s="79"/>
      <c r="Q803" s="79"/>
      <c r="S803" s="79"/>
      <c r="T803" s="79"/>
      <c r="X803" s="79"/>
      <c r="AA803" s="130"/>
      <c r="AC803" s="106"/>
    </row>
    <row r="804">
      <c r="C804" s="79"/>
      <c r="D804" s="79"/>
      <c r="E804" s="79"/>
      <c r="N804" s="79"/>
      <c r="Q804" s="79"/>
      <c r="S804" s="79"/>
      <c r="T804" s="79"/>
      <c r="X804" s="79"/>
      <c r="AA804" s="130"/>
      <c r="AC804" s="106"/>
    </row>
    <row r="805">
      <c r="C805" s="79"/>
      <c r="D805" s="79"/>
      <c r="E805" s="79"/>
      <c r="N805" s="79"/>
      <c r="Q805" s="79"/>
      <c r="S805" s="79"/>
      <c r="T805" s="79"/>
      <c r="X805" s="79"/>
      <c r="AA805" s="130"/>
      <c r="AC805" s="106"/>
    </row>
    <row r="806">
      <c r="C806" s="79"/>
      <c r="D806" s="79"/>
      <c r="E806" s="79"/>
      <c r="N806" s="79"/>
      <c r="Q806" s="79"/>
      <c r="S806" s="79"/>
      <c r="T806" s="79"/>
      <c r="X806" s="79"/>
      <c r="AA806" s="130"/>
      <c r="AC806" s="106"/>
    </row>
    <row r="807">
      <c r="C807" s="79"/>
      <c r="D807" s="79"/>
      <c r="E807" s="79"/>
      <c r="N807" s="79"/>
      <c r="Q807" s="79"/>
      <c r="S807" s="79"/>
      <c r="T807" s="79"/>
      <c r="X807" s="79"/>
      <c r="AA807" s="130"/>
      <c r="AC807" s="106"/>
    </row>
    <row r="808">
      <c r="C808" s="79"/>
      <c r="D808" s="79"/>
      <c r="E808" s="79"/>
      <c r="N808" s="79"/>
      <c r="Q808" s="79"/>
      <c r="S808" s="79"/>
      <c r="T808" s="79"/>
      <c r="X808" s="79"/>
      <c r="AA808" s="130"/>
      <c r="AC808" s="106"/>
    </row>
    <row r="809">
      <c r="C809" s="79"/>
      <c r="D809" s="79"/>
      <c r="E809" s="79"/>
      <c r="N809" s="79"/>
      <c r="Q809" s="79"/>
      <c r="S809" s="79"/>
      <c r="T809" s="79"/>
      <c r="X809" s="79"/>
      <c r="AA809" s="130"/>
      <c r="AC809" s="106"/>
    </row>
    <row r="810">
      <c r="C810" s="79"/>
      <c r="D810" s="79"/>
      <c r="E810" s="79"/>
      <c r="N810" s="79"/>
      <c r="Q810" s="79"/>
      <c r="S810" s="79"/>
      <c r="T810" s="79"/>
      <c r="X810" s="79"/>
      <c r="AA810" s="130"/>
      <c r="AC810" s="106"/>
    </row>
    <row r="811">
      <c r="C811" s="79"/>
      <c r="D811" s="79"/>
      <c r="E811" s="79"/>
      <c r="N811" s="79"/>
      <c r="Q811" s="79"/>
      <c r="S811" s="79"/>
      <c r="T811" s="79"/>
      <c r="X811" s="79"/>
      <c r="AA811" s="130"/>
      <c r="AC811" s="106"/>
    </row>
    <row r="812">
      <c r="C812" s="79"/>
      <c r="D812" s="79"/>
      <c r="E812" s="79"/>
      <c r="N812" s="79"/>
      <c r="Q812" s="79"/>
      <c r="S812" s="79"/>
      <c r="T812" s="79"/>
      <c r="X812" s="79"/>
      <c r="AA812" s="130"/>
      <c r="AC812" s="106"/>
    </row>
    <row r="813">
      <c r="C813" s="79"/>
      <c r="D813" s="79"/>
      <c r="E813" s="79"/>
      <c r="N813" s="79"/>
      <c r="Q813" s="79"/>
      <c r="S813" s="79"/>
      <c r="T813" s="79"/>
      <c r="X813" s="79"/>
      <c r="AA813" s="130"/>
      <c r="AC813" s="106"/>
    </row>
    <row r="814">
      <c r="C814" s="79"/>
      <c r="D814" s="79"/>
      <c r="E814" s="79"/>
      <c r="N814" s="79"/>
      <c r="Q814" s="79"/>
      <c r="S814" s="79"/>
      <c r="T814" s="79"/>
      <c r="X814" s="79"/>
      <c r="AA814" s="130"/>
      <c r="AC814" s="106"/>
    </row>
    <row r="815">
      <c r="C815" s="79"/>
      <c r="D815" s="79"/>
      <c r="E815" s="79"/>
      <c r="N815" s="79"/>
      <c r="Q815" s="79"/>
      <c r="S815" s="79"/>
      <c r="T815" s="79"/>
      <c r="X815" s="79"/>
      <c r="AA815" s="130"/>
      <c r="AC815" s="106"/>
    </row>
    <row r="816">
      <c r="C816" s="79"/>
      <c r="D816" s="79"/>
      <c r="E816" s="79"/>
      <c r="N816" s="79"/>
      <c r="Q816" s="79"/>
      <c r="S816" s="79"/>
      <c r="T816" s="79"/>
      <c r="X816" s="79"/>
      <c r="AA816" s="130"/>
      <c r="AC816" s="106"/>
    </row>
    <row r="817">
      <c r="C817" s="79"/>
      <c r="D817" s="79"/>
      <c r="E817" s="79"/>
      <c r="N817" s="79"/>
      <c r="Q817" s="79"/>
      <c r="S817" s="79"/>
      <c r="T817" s="79"/>
      <c r="X817" s="79"/>
      <c r="AA817" s="130"/>
      <c r="AC817" s="106"/>
    </row>
    <row r="818">
      <c r="C818" s="79"/>
      <c r="D818" s="79"/>
      <c r="E818" s="79"/>
      <c r="N818" s="79"/>
      <c r="Q818" s="79"/>
      <c r="S818" s="79"/>
      <c r="T818" s="79"/>
      <c r="X818" s="79"/>
      <c r="AA818" s="130"/>
      <c r="AC818" s="106"/>
    </row>
    <row r="819">
      <c r="C819" s="79"/>
      <c r="D819" s="79"/>
      <c r="E819" s="79"/>
      <c r="N819" s="79"/>
      <c r="Q819" s="79"/>
      <c r="S819" s="79"/>
      <c r="T819" s="79"/>
      <c r="X819" s="79"/>
      <c r="AA819" s="130"/>
      <c r="AC819" s="106"/>
    </row>
    <row r="820">
      <c r="C820" s="79"/>
      <c r="D820" s="79"/>
      <c r="E820" s="79"/>
      <c r="N820" s="79"/>
      <c r="Q820" s="79"/>
      <c r="S820" s="79"/>
      <c r="T820" s="79"/>
      <c r="X820" s="79"/>
      <c r="AA820" s="130"/>
      <c r="AC820" s="106"/>
    </row>
    <row r="821">
      <c r="C821" s="79"/>
      <c r="D821" s="79"/>
      <c r="E821" s="79"/>
      <c r="N821" s="79"/>
      <c r="Q821" s="79"/>
      <c r="S821" s="79"/>
      <c r="T821" s="79"/>
      <c r="X821" s="79"/>
      <c r="AA821" s="130"/>
      <c r="AC821" s="106"/>
    </row>
    <row r="822">
      <c r="C822" s="79"/>
      <c r="D822" s="79"/>
      <c r="E822" s="79"/>
      <c r="N822" s="79"/>
      <c r="Q822" s="79"/>
      <c r="S822" s="79"/>
      <c r="T822" s="79"/>
      <c r="X822" s="79"/>
      <c r="AA822" s="130"/>
      <c r="AC822" s="106"/>
    </row>
    <row r="823">
      <c r="C823" s="79"/>
      <c r="D823" s="79"/>
      <c r="E823" s="79"/>
      <c r="N823" s="79"/>
      <c r="Q823" s="79"/>
      <c r="S823" s="79"/>
      <c r="T823" s="79"/>
      <c r="X823" s="79"/>
      <c r="AA823" s="130"/>
      <c r="AC823" s="106"/>
    </row>
    <row r="824">
      <c r="C824" s="79"/>
      <c r="D824" s="79"/>
      <c r="E824" s="79"/>
      <c r="N824" s="79"/>
      <c r="Q824" s="79"/>
      <c r="S824" s="79"/>
      <c r="T824" s="79"/>
      <c r="X824" s="79"/>
      <c r="AA824" s="130"/>
      <c r="AC824" s="106"/>
    </row>
    <row r="825">
      <c r="C825" s="79"/>
      <c r="D825" s="79"/>
      <c r="E825" s="79"/>
      <c r="N825" s="79"/>
      <c r="Q825" s="79"/>
      <c r="S825" s="79"/>
      <c r="T825" s="79"/>
      <c r="X825" s="79"/>
      <c r="AA825" s="130"/>
      <c r="AC825" s="106"/>
    </row>
    <row r="826">
      <c r="C826" s="79"/>
      <c r="D826" s="79"/>
      <c r="E826" s="79"/>
      <c r="N826" s="79"/>
      <c r="Q826" s="79"/>
      <c r="S826" s="79"/>
      <c r="T826" s="79"/>
      <c r="X826" s="79"/>
      <c r="AA826" s="130"/>
      <c r="AC826" s="106"/>
    </row>
    <row r="827">
      <c r="C827" s="79"/>
      <c r="D827" s="79"/>
      <c r="E827" s="79"/>
      <c r="N827" s="79"/>
      <c r="Q827" s="79"/>
      <c r="S827" s="79"/>
      <c r="T827" s="79"/>
      <c r="X827" s="79"/>
      <c r="AA827" s="130"/>
      <c r="AC827" s="106"/>
    </row>
    <row r="828">
      <c r="C828" s="79"/>
      <c r="D828" s="79"/>
      <c r="E828" s="79"/>
      <c r="N828" s="79"/>
      <c r="Q828" s="79"/>
      <c r="S828" s="79"/>
      <c r="T828" s="79"/>
      <c r="X828" s="79"/>
      <c r="AA828" s="130"/>
      <c r="AC828" s="106"/>
    </row>
    <row r="829">
      <c r="C829" s="79"/>
      <c r="D829" s="79"/>
      <c r="E829" s="79"/>
      <c r="N829" s="79"/>
      <c r="Q829" s="79"/>
      <c r="S829" s="79"/>
      <c r="T829" s="79"/>
      <c r="X829" s="79"/>
      <c r="AA829" s="130"/>
      <c r="AC829" s="106"/>
    </row>
    <row r="830">
      <c r="C830" s="79"/>
      <c r="D830" s="79"/>
      <c r="E830" s="79"/>
      <c r="N830" s="79"/>
      <c r="Q830" s="79"/>
      <c r="S830" s="79"/>
      <c r="T830" s="79"/>
      <c r="X830" s="79"/>
      <c r="AA830" s="130"/>
      <c r="AC830" s="106"/>
    </row>
    <row r="831">
      <c r="C831" s="79"/>
      <c r="D831" s="79"/>
      <c r="E831" s="79"/>
      <c r="N831" s="79"/>
      <c r="Q831" s="79"/>
      <c r="S831" s="79"/>
      <c r="T831" s="79"/>
      <c r="X831" s="79"/>
      <c r="AA831" s="130"/>
      <c r="AC831" s="106"/>
    </row>
    <row r="832">
      <c r="C832" s="79"/>
      <c r="D832" s="79"/>
      <c r="E832" s="79"/>
      <c r="N832" s="79"/>
      <c r="Q832" s="79"/>
      <c r="S832" s="79"/>
      <c r="T832" s="79"/>
      <c r="X832" s="79"/>
      <c r="AA832" s="130"/>
      <c r="AC832" s="106"/>
    </row>
    <row r="833">
      <c r="C833" s="79"/>
      <c r="D833" s="79"/>
      <c r="E833" s="79"/>
      <c r="N833" s="79"/>
      <c r="Q833" s="79"/>
      <c r="S833" s="79"/>
      <c r="T833" s="79"/>
      <c r="X833" s="79"/>
      <c r="AA833" s="130"/>
      <c r="AC833" s="106"/>
    </row>
    <row r="834">
      <c r="C834" s="79"/>
      <c r="D834" s="79"/>
      <c r="E834" s="79"/>
      <c r="N834" s="79"/>
      <c r="Q834" s="79"/>
      <c r="S834" s="79"/>
      <c r="T834" s="79"/>
      <c r="X834" s="79"/>
      <c r="AA834" s="130"/>
      <c r="AC834" s="106"/>
    </row>
    <row r="835">
      <c r="C835" s="79"/>
      <c r="D835" s="79"/>
      <c r="E835" s="79"/>
      <c r="N835" s="79"/>
      <c r="Q835" s="79"/>
      <c r="S835" s="79"/>
      <c r="T835" s="79"/>
      <c r="X835" s="79"/>
      <c r="AA835" s="130"/>
      <c r="AC835" s="106"/>
    </row>
    <row r="836">
      <c r="C836" s="79"/>
      <c r="D836" s="79"/>
      <c r="E836" s="79"/>
      <c r="N836" s="79"/>
      <c r="Q836" s="79"/>
      <c r="S836" s="79"/>
      <c r="T836" s="79"/>
      <c r="X836" s="79"/>
      <c r="AA836" s="130"/>
      <c r="AC836" s="106"/>
    </row>
    <row r="837">
      <c r="C837" s="79"/>
      <c r="D837" s="79"/>
      <c r="E837" s="79"/>
      <c r="N837" s="79"/>
      <c r="Q837" s="79"/>
      <c r="S837" s="79"/>
      <c r="T837" s="79"/>
      <c r="X837" s="79"/>
      <c r="AA837" s="130"/>
      <c r="AC837" s="106"/>
    </row>
    <row r="838">
      <c r="C838" s="79"/>
      <c r="D838" s="79"/>
      <c r="E838" s="79"/>
      <c r="N838" s="79"/>
      <c r="Q838" s="79"/>
      <c r="S838" s="79"/>
      <c r="T838" s="79"/>
      <c r="X838" s="79"/>
      <c r="AA838" s="130"/>
      <c r="AC838" s="106"/>
    </row>
    <row r="839">
      <c r="C839" s="79"/>
      <c r="D839" s="79"/>
      <c r="E839" s="79"/>
      <c r="N839" s="79"/>
      <c r="Q839" s="79"/>
      <c r="S839" s="79"/>
      <c r="T839" s="79"/>
      <c r="X839" s="79"/>
      <c r="AA839" s="130"/>
      <c r="AC839" s="106"/>
    </row>
    <row r="840">
      <c r="C840" s="79"/>
      <c r="D840" s="79"/>
      <c r="E840" s="79"/>
      <c r="N840" s="79"/>
      <c r="Q840" s="79"/>
      <c r="S840" s="79"/>
      <c r="T840" s="79"/>
      <c r="X840" s="79"/>
      <c r="AA840" s="130"/>
      <c r="AC840" s="106"/>
    </row>
    <row r="841">
      <c r="C841" s="79"/>
      <c r="D841" s="79"/>
      <c r="E841" s="79"/>
      <c r="N841" s="79"/>
      <c r="Q841" s="79"/>
      <c r="S841" s="79"/>
      <c r="T841" s="79"/>
      <c r="X841" s="79"/>
      <c r="AA841" s="130"/>
      <c r="AC841" s="106"/>
    </row>
    <row r="842">
      <c r="C842" s="79"/>
      <c r="D842" s="79"/>
      <c r="E842" s="79"/>
      <c r="N842" s="79"/>
      <c r="Q842" s="79"/>
      <c r="S842" s="79"/>
      <c r="T842" s="79"/>
      <c r="X842" s="79"/>
      <c r="AA842" s="130"/>
      <c r="AC842" s="106"/>
    </row>
    <row r="843">
      <c r="C843" s="79"/>
      <c r="D843" s="79"/>
      <c r="E843" s="79"/>
      <c r="N843" s="79"/>
      <c r="Q843" s="79"/>
      <c r="S843" s="79"/>
      <c r="T843" s="79"/>
      <c r="X843" s="79"/>
      <c r="AA843" s="130"/>
      <c r="AC843" s="106"/>
    </row>
    <row r="844">
      <c r="C844" s="79"/>
      <c r="D844" s="79"/>
      <c r="E844" s="79"/>
      <c r="N844" s="79"/>
      <c r="Q844" s="79"/>
      <c r="S844" s="79"/>
      <c r="T844" s="79"/>
      <c r="X844" s="79"/>
      <c r="AA844" s="130"/>
      <c r="AC844" s="106"/>
    </row>
    <row r="845">
      <c r="C845" s="79"/>
      <c r="D845" s="79"/>
      <c r="E845" s="79"/>
      <c r="N845" s="79"/>
      <c r="Q845" s="79"/>
      <c r="S845" s="79"/>
      <c r="T845" s="79"/>
      <c r="X845" s="79"/>
      <c r="AA845" s="130"/>
      <c r="AC845" s="106"/>
    </row>
    <row r="846">
      <c r="C846" s="79"/>
      <c r="D846" s="79"/>
      <c r="E846" s="79"/>
      <c r="N846" s="79"/>
      <c r="Q846" s="79"/>
      <c r="S846" s="79"/>
      <c r="T846" s="79"/>
      <c r="X846" s="79"/>
      <c r="AA846" s="130"/>
      <c r="AC846" s="106"/>
    </row>
    <row r="847">
      <c r="C847" s="79"/>
      <c r="D847" s="79"/>
      <c r="E847" s="79"/>
      <c r="N847" s="79"/>
      <c r="Q847" s="79"/>
      <c r="S847" s="79"/>
      <c r="T847" s="79"/>
      <c r="X847" s="79"/>
      <c r="AA847" s="130"/>
      <c r="AC847" s="106"/>
    </row>
    <row r="848">
      <c r="C848" s="79"/>
      <c r="D848" s="79"/>
      <c r="E848" s="79"/>
      <c r="N848" s="79"/>
      <c r="Q848" s="79"/>
      <c r="S848" s="79"/>
      <c r="T848" s="79"/>
      <c r="X848" s="79"/>
      <c r="AA848" s="130"/>
      <c r="AC848" s="106"/>
    </row>
    <row r="849">
      <c r="C849" s="79"/>
      <c r="D849" s="79"/>
      <c r="E849" s="79"/>
      <c r="N849" s="79"/>
      <c r="Q849" s="79"/>
      <c r="S849" s="79"/>
      <c r="T849" s="79"/>
      <c r="X849" s="79"/>
      <c r="AA849" s="130"/>
      <c r="AC849" s="106"/>
    </row>
    <row r="850">
      <c r="C850" s="79"/>
      <c r="D850" s="79"/>
      <c r="E850" s="79"/>
      <c r="N850" s="79"/>
      <c r="Q850" s="79"/>
      <c r="S850" s="79"/>
      <c r="T850" s="79"/>
      <c r="X850" s="79"/>
      <c r="AA850" s="130"/>
      <c r="AC850" s="106"/>
    </row>
    <row r="851">
      <c r="C851" s="79"/>
      <c r="D851" s="79"/>
      <c r="E851" s="79"/>
      <c r="N851" s="79"/>
      <c r="Q851" s="79"/>
      <c r="S851" s="79"/>
      <c r="T851" s="79"/>
      <c r="X851" s="79"/>
      <c r="AA851" s="130"/>
      <c r="AC851" s="106"/>
    </row>
    <row r="852">
      <c r="C852" s="79"/>
      <c r="D852" s="79"/>
      <c r="E852" s="79"/>
      <c r="N852" s="79"/>
      <c r="Q852" s="79"/>
      <c r="S852" s="79"/>
      <c r="T852" s="79"/>
      <c r="X852" s="79"/>
      <c r="AA852" s="130"/>
      <c r="AC852" s="106"/>
    </row>
    <row r="853">
      <c r="C853" s="79"/>
      <c r="D853" s="79"/>
      <c r="E853" s="79"/>
      <c r="N853" s="79"/>
      <c r="Q853" s="79"/>
      <c r="S853" s="79"/>
      <c r="T853" s="79"/>
      <c r="X853" s="79"/>
      <c r="AA853" s="130"/>
      <c r="AC853" s="106"/>
    </row>
    <row r="854">
      <c r="C854" s="79"/>
      <c r="D854" s="79"/>
      <c r="E854" s="79"/>
      <c r="N854" s="79"/>
      <c r="Q854" s="79"/>
      <c r="S854" s="79"/>
      <c r="T854" s="79"/>
      <c r="X854" s="79"/>
      <c r="AA854" s="130"/>
      <c r="AC854" s="106"/>
    </row>
    <row r="855">
      <c r="C855" s="79"/>
      <c r="D855" s="79"/>
      <c r="E855" s="79"/>
      <c r="N855" s="79"/>
      <c r="Q855" s="79"/>
      <c r="S855" s="79"/>
      <c r="T855" s="79"/>
      <c r="X855" s="79"/>
      <c r="AA855" s="130"/>
      <c r="AC855" s="106"/>
    </row>
    <row r="856">
      <c r="C856" s="79"/>
      <c r="D856" s="79"/>
      <c r="E856" s="79"/>
      <c r="N856" s="79"/>
      <c r="Q856" s="79"/>
      <c r="S856" s="79"/>
      <c r="T856" s="79"/>
      <c r="X856" s="79"/>
      <c r="AA856" s="130"/>
      <c r="AC856" s="106"/>
    </row>
    <row r="857">
      <c r="C857" s="79"/>
      <c r="D857" s="79"/>
      <c r="E857" s="79"/>
      <c r="N857" s="79"/>
      <c r="Q857" s="79"/>
      <c r="S857" s="79"/>
      <c r="T857" s="79"/>
      <c r="X857" s="79"/>
      <c r="AA857" s="130"/>
      <c r="AC857" s="106"/>
    </row>
    <row r="858">
      <c r="C858" s="79"/>
      <c r="D858" s="79"/>
      <c r="E858" s="79"/>
      <c r="N858" s="79"/>
      <c r="Q858" s="79"/>
      <c r="S858" s="79"/>
      <c r="T858" s="79"/>
      <c r="X858" s="79"/>
      <c r="AA858" s="130"/>
      <c r="AC858" s="106"/>
    </row>
    <row r="859">
      <c r="C859" s="79"/>
      <c r="D859" s="79"/>
      <c r="E859" s="79"/>
      <c r="N859" s="79"/>
      <c r="Q859" s="79"/>
      <c r="S859" s="79"/>
      <c r="T859" s="79"/>
      <c r="X859" s="79"/>
      <c r="AA859" s="130"/>
      <c r="AC859" s="106"/>
    </row>
    <row r="860">
      <c r="C860" s="79"/>
      <c r="D860" s="79"/>
      <c r="E860" s="79"/>
      <c r="N860" s="79"/>
      <c r="Q860" s="79"/>
      <c r="S860" s="79"/>
      <c r="T860" s="79"/>
      <c r="X860" s="79"/>
      <c r="AA860" s="130"/>
      <c r="AC860" s="106"/>
    </row>
    <row r="861">
      <c r="C861" s="79"/>
      <c r="D861" s="79"/>
      <c r="E861" s="79"/>
      <c r="N861" s="79"/>
      <c r="Q861" s="79"/>
      <c r="S861" s="79"/>
      <c r="T861" s="79"/>
      <c r="X861" s="79"/>
      <c r="AA861" s="130"/>
      <c r="AC861" s="106"/>
    </row>
    <row r="862">
      <c r="C862" s="79"/>
      <c r="D862" s="79"/>
      <c r="E862" s="79"/>
      <c r="N862" s="79"/>
      <c r="Q862" s="79"/>
      <c r="S862" s="79"/>
      <c r="T862" s="79"/>
      <c r="X862" s="79"/>
      <c r="AA862" s="130"/>
      <c r="AC862" s="106"/>
    </row>
    <row r="863">
      <c r="C863" s="79"/>
      <c r="D863" s="79"/>
      <c r="E863" s="79"/>
      <c r="N863" s="79"/>
      <c r="Q863" s="79"/>
      <c r="S863" s="79"/>
      <c r="T863" s="79"/>
      <c r="X863" s="79"/>
      <c r="AA863" s="130"/>
      <c r="AC863" s="106"/>
    </row>
    <row r="864">
      <c r="C864" s="79"/>
      <c r="D864" s="79"/>
      <c r="E864" s="79"/>
      <c r="N864" s="79"/>
      <c r="Q864" s="79"/>
      <c r="S864" s="79"/>
      <c r="T864" s="79"/>
      <c r="X864" s="79"/>
      <c r="AA864" s="130"/>
      <c r="AC864" s="106"/>
    </row>
    <row r="865">
      <c r="C865" s="79"/>
      <c r="D865" s="79"/>
      <c r="E865" s="79"/>
      <c r="N865" s="79"/>
      <c r="Q865" s="79"/>
      <c r="S865" s="79"/>
      <c r="T865" s="79"/>
      <c r="X865" s="79"/>
      <c r="AA865" s="130"/>
      <c r="AC865" s="106"/>
    </row>
    <row r="866">
      <c r="C866" s="79"/>
      <c r="D866" s="79"/>
      <c r="E866" s="79"/>
      <c r="N866" s="79"/>
      <c r="Q866" s="79"/>
      <c r="S866" s="79"/>
      <c r="T866" s="79"/>
      <c r="X866" s="79"/>
      <c r="AA866" s="130"/>
      <c r="AC866" s="106"/>
    </row>
    <row r="867">
      <c r="C867" s="79"/>
      <c r="D867" s="79"/>
      <c r="E867" s="79"/>
      <c r="N867" s="79"/>
      <c r="Q867" s="79"/>
      <c r="S867" s="79"/>
      <c r="T867" s="79"/>
      <c r="X867" s="79"/>
      <c r="AA867" s="130"/>
      <c r="AC867" s="106"/>
    </row>
    <row r="868">
      <c r="C868" s="79"/>
      <c r="D868" s="79"/>
      <c r="E868" s="79"/>
      <c r="N868" s="79"/>
      <c r="Q868" s="79"/>
      <c r="S868" s="79"/>
      <c r="T868" s="79"/>
      <c r="X868" s="79"/>
      <c r="AA868" s="130"/>
      <c r="AC868" s="106"/>
    </row>
    <row r="869">
      <c r="C869" s="79"/>
      <c r="D869" s="79"/>
      <c r="E869" s="79"/>
      <c r="N869" s="79"/>
      <c r="Q869" s="79"/>
      <c r="S869" s="79"/>
      <c r="T869" s="79"/>
      <c r="X869" s="79"/>
      <c r="AA869" s="130"/>
      <c r="AC869" s="106"/>
    </row>
    <row r="870">
      <c r="C870" s="79"/>
      <c r="D870" s="79"/>
      <c r="E870" s="79"/>
      <c r="N870" s="79"/>
      <c r="Q870" s="79"/>
      <c r="S870" s="79"/>
      <c r="T870" s="79"/>
      <c r="X870" s="79"/>
      <c r="AA870" s="130"/>
      <c r="AC870" s="106"/>
    </row>
    <row r="871">
      <c r="C871" s="79"/>
      <c r="D871" s="79"/>
      <c r="E871" s="79"/>
      <c r="N871" s="79"/>
      <c r="Q871" s="79"/>
      <c r="S871" s="79"/>
      <c r="T871" s="79"/>
      <c r="X871" s="79"/>
      <c r="AA871" s="130"/>
      <c r="AC871" s="106"/>
    </row>
    <row r="872">
      <c r="C872" s="79"/>
      <c r="D872" s="79"/>
      <c r="E872" s="79"/>
      <c r="N872" s="79"/>
      <c r="Q872" s="79"/>
      <c r="S872" s="79"/>
      <c r="T872" s="79"/>
      <c r="X872" s="79"/>
      <c r="AA872" s="130"/>
      <c r="AC872" s="106"/>
    </row>
    <row r="873">
      <c r="C873" s="79"/>
      <c r="D873" s="79"/>
      <c r="E873" s="79"/>
      <c r="N873" s="79"/>
      <c r="Q873" s="79"/>
      <c r="S873" s="79"/>
      <c r="T873" s="79"/>
      <c r="X873" s="79"/>
      <c r="AA873" s="130"/>
      <c r="AC873" s="106"/>
    </row>
    <row r="874">
      <c r="C874" s="79"/>
      <c r="D874" s="79"/>
      <c r="E874" s="79"/>
      <c r="N874" s="79"/>
      <c r="Q874" s="79"/>
      <c r="S874" s="79"/>
      <c r="T874" s="79"/>
      <c r="X874" s="79"/>
      <c r="AA874" s="130"/>
      <c r="AC874" s="106"/>
    </row>
    <row r="875">
      <c r="C875" s="79"/>
      <c r="D875" s="79"/>
      <c r="E875" s="79"/>
      <c r="N875" s="79"/>
      <c r="Q875" s="79"/>
      <c r="S875" s="79"/>
      <c r="T875" s="79"/>
      <c r="X875" s="79"/>
      <c r="AA875" s="130"/>
      <c r="AC875" s="106"/>
    </row>
    <row r="876">
      <c r="C876" s="79"/>
      <c r="D876" s="79"/>
      <c r="E876" s="79"/>
      <c r="N876" s="79"/>
      <c r="Q876" s="79"/>
      <c r="S876" s="79"/>
      <c r="T876" s="79"/>
      <c r="X876" s="79"/>
      <c r="AA876" s="130"/>
      <c r="AC876" s="106"/>
    </row>
    <row r="877">
      <c r="C877" s="79"/>
      <c r="D877" s="79"/>
      <c r="E877" s="79"/>
      <c r="N877" s="79"/>
      <c r="Q877" s="79"/>
      <c r="S877" s="79"/>
      <c r="T877" s="79"/>
      <c r="X877" s="79"/>
      <c r="AA877" s="130"/>
      <c r="AC877" s="106"/>
    </row>
    <row r="878">
      <c r="C878" s="79"/>
      <c r="D878" s="79"/>
      <c r="E878" s="79"/>
      <c r="N878" s="79"/>
      <c r="Q878" s="79"/>
      <c r="S878" s="79"/>
      <c r="T878" s="79"/>
      <c r="X878" s="79"/>
      <c r="AA878" s="130"/>
      <c r="AC878" s="106"/>
    </row>
    <row r="879">
      <c r="C879" s="79"/>
      <c r="D879" s="79"/>
      <c r="E879" s="79"/>
      <c r="N879" s="79"/>
      <c r="Q879" s="79"/>
      <c r="S879" s="79"/>
      <c r="T879" s="79"/>
      <c r="X879" s="79"/>
      <c r="AA879" s="130"/>
      <c r="AC879" s="106"/>
    </row>
    <row r="880">
      <c r="C880" s="79"/>
      <c r="D880" s="79"/>
      <c r="E880" s="79"/>
      <c r="N880" s="79"/>
      <c r="Q880" s="79"/>
      <c r="S880" s="79"/>
      <c r="T880" s="79"/>
      <c r="X880" s="79"/>
      <c r="AA880" s="130"/>
      <c r="AC880" s="106"/>
    </row>
    <row r="881">
      <c r="C881" s="79"/>
      <c r="D881" s="79"/>
      <c r="E881" s="79"/>
      <c r="N881" s="79"/>
      <c r="Q881" s="79"/>
      <c r="S881" s="79"/>
      <c r="T881" s="79"/>
      <c r="X881" s="79"/>
      <c r="AA881" s="130"/>
      <c r="AC881" s="106"/>
    </row>
    <row r="882">
      <c r="C882" s="79"/>
      <c r="D882" s="79"/>
      <c r="E882" s="79"/>
      <c r="N882" s="79"/>
      <c r="Q882" s="79"/>
      <c r="S882" s="79"/>
      <c r="T882" s="79"/>
      <c r="X882" s="79"/>
      <c r="AA882" s="130"/>
      <c r="AC882" s="106"/>
    </row>
    <row r="883">
      <c r="C883" s="79"/>
      <c r="D883" s="79"/>
      <c r="E883" s="79"/>
      <c r="N883" s="79"/>
      <c r="Q883" s="79"/>
      <c r="S883" s="79"/>
      <c r="T883" s="79"/>
      <c r="X883" s="79"/>
      <c r="AA883" s="130"/>
      <c r="AC883" s="106"/>
    </row>
    <row r="884">
      <c r="C884" s="79"/>
      <c r="D884" s="79"/>
      <c r="E884" s="79"/>
      <c r="N884" s="79"/>
      <c r="Q884" s="79"/>
      <c r="S884" s="79"/>
      <c r="T884" s="79"/>
      <c r="X884" s="79"/>
      <c r="AA884" s="130"/>
      <c r="AC884" s="106"/>
    </row>
    <row r="885">
      <c r="C885" s="79"/>
      <c r="D885" s="79"/>
      <c r="E885" s="79"/>
      <c r="N885" s="79"/>
      <c r="Q885" s="79"/>
      <c r="S885" s="79"/>
      <c r="T885" s="79"/>
      <c r="X885" s="79"/>
      <c r="AA885" s="130"/>
      <c r="AC885" s="106"/>
    </row>
    <row r="886">
      <c r="C886" s="79"/>
      <c r="D886" s="79"/>
      <c r="E886" s="79"/>
      <c r="N886" s="79"/>
      <c r="Q886" s="79"/>
      <c r="S886" s="79"/>
      <c r="T886" s="79"/>
      <c r="X886" s="79"/>
      <c r="AA886" s="130"/>
      <c r="AC886" s="106"/>
    </row>
    <row r="887">
      <c r="C887" s="79"/>
      <c r="D887" s="79"/>
      <c r="E887" s="79"/>
      <c r="N887" s="79"/>
      <c r="Q887" s="79"/>
      <c r="S887" s="79"/>
      <c r="T887" s="79"/>
      <c r="X887" s="79"/>
      <c r="AA887" s="130"/>
      <c r="AC887" s="106"/>
    </row>
    <row r="888">
      <c r="C888" s="79"/>
      <c r="D888" s="79"/>
      <c r="E888" s="79"/>
      <c r="N888" s="79"/>
      <c r="Q888" s="79"/>
      <c r="S888" s="79"/>
      <c r="T888" s="79"/>
      <c r="X888" s="79"/>
      <c r="AA888" s="130"/>
      <c r="AC888" s="106"/>
    </row>
    <row r="889">
      <c r="C889" s="79"/>
      <c r="D889" s="79"/>
      <c r="E889" s="79"/>
      <c r="N889" s="79"/>
      <c r="Q889" s="79"/>
      <c r="S889" s="79"/>
      <c r="T889" s="79"/>
      <c r="X889" s="79"/>
      <c r="AA889" s="130"/>
      <c r="AC889" s="106"/>
    </row>
    <row r="890">
      <c r="C890" s="79"/>
      <c r="D890" s="79"/>
      <c r="E890" s="79"/>
      <c r="N890" s="79"/>
      <c r="Q890" s="79"/>
      <c r="S890" s="79"/>
      <c r="T890" s="79"/>
      <c r="X890" s="79"/>
      <c r="AA890" s="130"/>
      <c r="AC890" s="106"/>
    </row>
    <row r="891">
      <c r="C891" s="79"/>
      <c r="D891" s="79"/>
      <c r="E891" s="79"/>
      <c r="N891" s="79"/>
      <c r="Q891" s="79"/>
      <c r="S891" s="79"/>
      <c r="T891" s="79"/>
      <c r="X891" s="79"/>
      <c r="AA891" s="130"/>
      <c r="AC891" s="106"/>
    </row>
    <row r="892">
      <c r="C892" s="79"/>
      <c r="D892" s="79"/>
      <c r="E892" s="79"/>
      <c r="N892" s="79"/>
      <c r="Q892" s="79"/>
      <c r="S892" s="79"/>
      <c r="T892" s="79"/>
      <c r="X892" s="79"/>
      <c r="AA892" s="130"/>
      <c r="AC892" s="106"/>
    </row>
    <row r="893">
      <c r="C893" s="79"/>
      <c r="D893" s="79"/>
      <c r="E893" s="79"/>
      <c r="N893" s="79"/>
      <c r="Q893" s="79"/>
      <c r="S893" s="79"/>
      <c r="T893" s="79"/>
      <c r="X893" s="79"/>
      <c r="AA893" s="130"/>
      <c r="AC893" s="106"/>
    </row>
    <row r="894">
      <c r="C894" s="79"/>
      <c r="D894" s="79"/>
      <c r="E894" s="79"/>
      <c r="N894" s="79"/>
      <c r="Q894" s="79"/>
      <c r="S894" s="79"/>
      <c r="T894" s="79"/>
      <c r="X894" s="79"/>
      <c r="AA894" s="130"/>
      <c r="AC894" s="106"/>
    </row>
    <row r="895">
      <c r="C895" s="79"/>
      <c r="D895" s="79"/>
      <c r="E895" s="79"/>
      <c r="N895" s="79"/>
      <c r="Q895" s="79"/>
      <c r="S895" s="79"/>
      <c r="T895" s="79"/>
      <c r="X895" s="79"/>
      <c r="AA895" s="130"/>
      <c r="AC895" s="106"/>
    </row>
    <row r="896">
      <c r="C896" s="79"/>
      <c r="D896" s="79"/>
      <c r="E896" s="79"/>
      <c r="N896" s="79"/>
      <c r="Q896" s="79"/>
      <c r="S896" s="79"/>
      <c r="T896" s="79"/>
      <c r="X896" s="79"/>
      <c r="AA896" s="130"/>
      <c r="AC896" s="106"/>
    </row>
    <row r="897">
      <c r="C897" s="79"/>
      <c r="D897" s="79"/>
      <c r="E897" s="79"/>
      <c r="N897" s="79"/>
      <c r="Q897" s="79"/>
      <c r="S897" s="79"/>
      <c r="T897" s="79"/>
      <c r="X897" s="79"/>
      <c r="AA897" s="130"/>
      <c r="AC897" s="106"/>
    </row>
    <row r="898">
      <c r="C898" s="79"/>
      <c r="D898" s="79"/>
      <c r="E898" s="79"/>
      <c r="N898" s="79"/>
      <c r="Q898" s="79"/>
      <c r="S898" s="79"/>
      <c r="T898" s="79"/>
      <c r="X898" s="79"/>
      <c r="AA898" s="130"/>
      <c r="AC898" s="106"/>
    </row>
    <row r="899">
      <c r="C899" s="79"/>
      <c r="D899" s="79"/>
      <c r="E899" s="79"/>
      <c r="N899" s="79"/>
      <c r="Q899" s="79"/>
      <c r="S899" s="79"/>
      <c r="T899" s="79"/>
      <c r="X899" s="79"/>
      <c r="AA899" s="130"/>
      <c r="AC899" s="106"/>
    </row>
    <row r="900">
      <c r="C900" s="79"/>
      <c r="D900" s="79"/>
      <c r="E900" s="79"/>
      <c r="N900" s="79"/>
      <c r="Q900" s="79"/>
      <c r="S900" s="79"/>
      <c r="T900" s="79"/>
      <c r="X900" s="79"/>
      <c r="AA900" s="130"/>
      <c r="AC900" s="106"/>
    </row>
    <row r="901">
      <c r="C901" s="79"/>
      <c r="D901" s="79"/>
      <c r="E901" s="79"/>
      <c r="N901" s="79"/>
      <c r="Q901" s="79"/>
      <c r="S901" s="79"/>
      <c r="T901" s="79"/>
      <c r="X901" s="79"/>
      <c r="AA901" s="130"/>
      <c r="AC901" s="106"/>
    </row>
    <row r="902">
      <c r="C902" s="79"/>
      <c r="D902" s="79"/>
      <c r="E902" s="79"/>
      <c r="N902" s="79"/>
      <c r="Q902" s="79"/>
      <c r="S902" s="79"/>
      <c r="T902" s="79"/>
      <c r="X902" s="79"/>
      <c r="AA902" s="130"/>
      <c r="AC902" s="106"/>
    </row>
    <row r="903">
      <c r="C903" s="79"/>
      <c r="D903" s="79"/>
      <c r="E903" s="79"/>
      <c r="N903" s="79"/>
      <c r="Q903" s="79"/>
      <c r="S903" s="79"/>
      <c r="T903" s="79"/>
      <c r="X903" s="79"/>
      <c r="AA903" s="130"/>
      <c r="AC903" s="106"/>
    </row>
    <row r="904">
      <c r="C904" s="79"/>
      <c r="D904" s="79"/>
      <c r="E904" s="79"/>
      <c r="N904" s="79"/>
      <c r="Q904" s="79"/>
      <c r="S904" s="79"/>
      <c r="T904" s="79"/>
      <c r="X904" s="79"/>
      <c r="AA904" s="130"/>
      <c r="AC904" s="106"/>
    </row>
    <row r="905">
      <c r="C905" s="79"/>
      <c r="D905" s="79"/>
      <c r="E905" s="79"/>
      <c r="N905" s="79"/>
      <c r="Q905" s="79"/>
      <c r="S905" s="79"/>
      <c r="T905" s="79"/>
      <c r="X905" s="79"/>
      <c r="AA905" s="130"/>
      <c r="AC905" s="106"/>
    </row>
    <row r="906">
      <c r="C906" s="79"/>
      <c r="D906" s="79"/>
      <c r="E906" s="79"/>
      <c r="N906" s="79"/>
      <c r="Q906" s="79"/>
      <c r="S906" s="79"/>
      <c r="T906" s="79"/>
      <c r="X906" s="79"/>
      <c r="AA906" s="130"/>
      <c r="AC906" s="106"/>
    </row>
    <row r="907">
      <c r="C907" s="79"/>
      <c r="D907" s="79"/>
      <c r="E907" s="79"/>
      <c r="N907" s="79"/>
      <c r="Q907" s="79"/>
      <c r="S907" s="79"/>
      <c r="T907" s="79"/>
      <c r="X907" s="79"/>
      <c r="AA907" s="130"/>
      <c r="AC907" s="106"/>
    </row>
    <row r="908">
      <c r="C908" s="79"/>
      <c r="D908" s="79"/>
      <c r="E908" s="79"/>
      <c r="N908" s="79"/>
      <c r="Q908" s="79"/>
      <c r="S908" s="79"/>
      <c r="T908" s="79"/>
      <c r="X908" s="79"/>
      <c r="AA908" s="130"/>
      <c r="AC908" s="106"/>
    </row>
    <row r="909">
      <c r="C909" s="79"/>
      <c r="D909" s="79"/>
      <c r="E909" s="79"/>
      <c r="N909" s="79"/>
      <c r="Q909" s="79"/>
      <c r="S909" s="79"/>
      <c r="T909" s="79"/>
      <c r="X909" s="79"/>
      <c r="AA909" s="130"/>
      <c r="AC909" s="106"/>
    </row>
    <row r="910">
      <c r="C910" s="79"/>
      <c r="D910" s="79"/>
      <c r="E910" s="79"/>
      <c r="N910" s="79"/>
      <c r="Q910" s="79"/>
      <c r="S910" s="79"/>
      <c r="T910" s="79"/>
      <c r="X910" s="79"/>
      <c r="AA910" s="130"/>
      <c r="AC910" s="106"/>
    </row>
    <row r="911">
      <c r="C911" s="79"/>
      <c r="D911" s="79"/>
      <c r="E911" s="79"/>
      <c r="N911" s="79"/>
      <c r="Q911" s="79"/>
      <c r="S911" s="79"/>
      <c r="T911" s="79"/>
      <c r="X911" s="79"/>
      <c r="AA911" s="130"/>
      <c r="AC911" s="106"/>
    </row>
    <row r="912">
      <c r="C912" s="79"/>
      <c r="D912" s="79"/>
      <c r="E912" s="79"/>
      <c r="N912" s="79"/>
      <c r="Q912" s="79"/>
      <c r="S912" s="79"/>
      <c r="T912" s="79"/>
      <c r="X912" s="79"/>
      <c r="AA912" s="130"/>
      <c r="AC912" s="106"/>
    </row>
    <row r="913">
      <c r="C913" s="79"/>
      <c r="D913" s="79"/>
      <c r="E913" s="79"/>
      <c r="N913" s="79"/>
      <c r="Q913" s="79"/>
      <c r="S913" s="79"/>
      <c r="T913" s="79"/>
      <c r="X913" s="79"/>
      <c r="AA913" s="130"/>
      <c r="AC913" s="106"/>
    </row>
    <row r="914">
      <c r="C914" s="79"/>
      <c r="D914" s="79"/>
      <c r="E914" s="79"/>
      <c r="N914" s="79"/>
      <c r="Q914" s="79"/>
      <c r="S914" s="79"/>
      <c r="T914" s="79"/>
      <c r="X914" s="79"/>
      <c r="AA914" s="130"/>
      <c r="AC914" s="106"/>
    </row>
    <row r="915">
      <c r="C915" s="79"/>
      <c r="D915" s="79"/>
      <c r="E915" s="79"/>
      <c r="N915" s="79"/>
      <c r="Q915" s="79"/>
      <c r="S915" s="79"/>
      <c r="T915" s="79"/>
      <c r="X915" s="79"/>
      <c r="AA915" s="130"/>
      <c r="AC915" s="106"/>
    </row>
    <row r="916">
      <c r="C916" s="79"/>
      <c r="D916" s="79"/>
      <c r="E916" s="79"/>
      <c r="N916" s="79"/>
      <c r="Q916" s="79"/>
      <c r="S916" s="79"/>
      <c r="T916" s="79"/>
      <c r="X916" s="79"/>
      <c r="AA916" s="130"/>
      <c r="AC916" s="106"/>
    </row>
    <row r="917">
      <c r="C917" s="79"/>
      <c r="D917" s="79"/>
      <c r="E917" s="79"/>
      <c r="N917" s="79"/>
      <c r="Q917" s="79"/>
      <c r="S917" s="79"/>
      <c r="T917" s="79"/>
      <c r="X917" s="79"/>
      <c r="AA917" s="130"/>
      <c r="AC917" s="106"/>
    </row>
    <row r="918">
      <c r="C918" s="79"/>
      <c r="D918" s="79"/>
      <c r="E918" s="79"/>
      <c r="N918" s="79"/>
      <c r="Q918" s="79"/>
      <c r="S918" s="79"/>
      <c r="T918" s="79"/>
      <c r="X918" s="79"/>
      <c r="AA918" s="130"/>
      <c r="AC918" s="106"/>
    </row>
    <row r="919">
      <c r="C919" s="79"/>
      <c r="D919" s="79"/>
      <c r="E919" s="79"/>
      <c r="N919" s="79"/>
      <c r="Q919" s="79"/>
      <c r="S919" s="79"/>
      <c r="T919" s="79"/>
      <c r="X919" s="79"/>
      <c r="AA919" s="130"/>
      <c r="AC919" s="106"/>
    </row>
    <row r="920">
      <c r="C920" s="79"/>
      <c r="D920" s="79"/>
      <c r="E920" s="79"/>
      <c r="N920" s="79"/>
      <c r="Q920" s="79"/>
      <c r="S920" s="79"/>
      <c r="T920" s="79"/>
      <c r="X920" s="79"/>
      <c r="AA920" s="130"/>
      <c r="AC920" s="106"/>
    </row>
    <row r="921">
      <c r="C921" s="79"/>
      <c r="D921" s="79"/>
      <c r="E921" s="79"/>
      <c r="N921" s="79"/>
      <c r="Q921" s="79"/>
      <c r="S921" s="79"/>
      <c r="T921" s="79"/>
      <c r="X921" s="79"/>
      <c r="AA921" s="130"/>
      <c r="AC921" s="106"/>
    </row>
    <row r="922">
      <c r="C922" s="79"/>
      <c r="D922" s="79"/>
      <c r="E922" s="79"/>
      <c r="N922" s="79"/>
      <c r="Q922" s="79"/>
      <c r="S922" s="79"/>
      <c r="T922" s="79"/>
      <c r="X922" s="79"/>
      <c r="AA922" s="130"/>
      <c r="AC922" s="106"/>
    </row>
    <row r="923">
      <c r="C923" s="79"/>
      <c r="D923" s="79"/>
      <c r="E923" s="79"/>
      <c r="N923" s="79"/>
      <c r="Q923" s="79"/>
      <c r="S923" s="79"/>
      <c r="T923" s="79"/>
      <c r="X923" s="79"/>
      <c r="AA923" s="130"/>
      <c r="AC923" s="106"/>
    </row>
    <row r="924">
      <c r="C924" s="79"/>
      <c r="D924" s="79"/>
      <c r="E924" s="79"/>
      <c r="N924" s="79"/>
      <c r="Q924" s="79"/>
      <c r="S924" s="79"/>
      <c r="T924" s="79"/>
      <c r="X924" s="79"/>
      <c r="AA924" s="130"/>
      <c r="AC924" s="106"/>
    </row>
    <row r="925">
      <c r="C925" s="79"/>
      <c r="D925" s="79"/>
      <c r="E925" s="79"/>
      <c r="N925" s="79"/>
      <c r="Q925" s="79"/>
      <c r="S925" s="79"/>
      <c r="T925" s="79"/>
      <c r="X925" s="79"/>
      <c r="AA925" s="130"/>
      <c r="AC925" s="106"/>
    </row>
    <row r="926">
      <c r="C926" s="79"/>
      <c r="D926" s="79"/>
      <c r="E926" s="79"/>
      <c r="N926" s="79"/>
      <c r="Q926" s="79"/>
      <c r="S926" s="79"/>
      <c r="T926" s="79"/>
      <c r="X926" s="79"/>
      <c r="AA926" s="130"/>
      <c r="AC926" s="106"/>
    </row>
    <row r="927">
      <c r="C927" s="79"/>
      <c r="D927" s="79"/>
      <c r="E927" s="79"/>
      <c r="N927" s="79"/>
      <c r="Q927" s="79"/>
      <c r="S927" s="79"/>
      <c r="T927" s="79"/>
      <c r="X927" s="79"/>
      <c r="AA927" s="130"/>
      <c r="AC927" s="106"/>
    </row>
    <row r="928">
      <c r="C928" s="79"/>
      <c r="D928" s="79"/>
      <c r="E928" s="79"/>
      <c r="N928" s="79"/>
      <c r="Q928" s="79"/>
      <c r="S928" s="79"/>
      <c r="T928" s="79"/>
      <c r="X928" s="79"/>
      <c r="AA928" s="130"/>
      <c r="AC928" s="106"/>
    </row>
    <row r="929">
      <c r="C929" s="79"/>
      <c r="D929" s="79"/>
      <c r="E929" s="79"/>
      <c r="N929" s="79"/>
      <c r="Q929" s="79"/>
      <c r="S929" s="79"/>
      <c r="T929" s="79"/>
      <c r="X929" s="79"/>
      <c r="AA929" s="130"/>
      <c r="AC929" s="106"/>
    </row>
    <row r="930">
      <c r="C930" s="79"/>
      <c r="D930" s="79"/>
      <c r="E930" s="79"/>
      <c r="N930" s="79"/>
      <c r="Q930" s="79"/>
      <c r="S930" s="79"/>
      <c r="T930" s="79"/>
      <c r="X930" s="79"/>
      <c r="AA930" s="130"/>
      <c r="AC930" s="106"/>
    </row>
    <row r="931">
      <c r="C931" s="79"/>
      <c r="D931" s="79"/>
      <c r="E931" s="79"/>
      <c r="N931" s="79"/>
      <c r="Q931" s="79"/>
      <c r="S931" s="79"/>
      <c r="T931" s="79"/>
      <c r="X931" s="79"/>
      <c r="AA931" s="130"/>
      <c r="AC931" s="106"/>
    </row>
  </sheetData>
  <drawing r:id="rId2"/>
  <legacyDrawing r:id="rId3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6.5"/>
    <col customWidth="1" min="5" max="5" width="30.13"/>
    <col customWidth="1" min="7" max="7" width="13.5"/>
    <col customWidth="1" min="8" max="8" width="13.25"/>
    <col customWidth="1" min="25" max="25" width="14.63"/>
    <col customWidth="1" min="29" max="29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4</v>
      </c>
      <c r="J1" s="2" t="s">
        <v>5</v>
      </c>
      <c r="K1" s="2" t="s">
        <v>204</v>
      </c>
      <c r="L1" s="2" t="s">
        <v>6</v>
      </c>
      <c r="M1" s="2" t="s">
        <v>12</v>
      </c>
      <c r="N1" s="105" t="s">
        <v>40</v>
      </c>
      <c r="O1" s="2" t="s">
        <v>49</v>
      </c>
      <c r="P1" s="2" t="s">
        <v>42</v>
      </c>
      <c r="Q1" s="105" t="s">
        <v>11</v>
      </c>
      <c r="R1" s="2" t="s">
        <v>164</v>
      </c>
      <c r="S1" s="105" t="s">
        <v>9</v>
      </c>
      <c r="T1" s="105" t="s">
        <v>165</v>
      </c>
      <c r="U1" s="2" t="s">
        <v>37</v>
      </c>
      <c r="V1" s="2" t="s">
        <v>10</v>
      </c>
      <c r="W1" s="2" t="s">
        <v>121</v>
      </c>
      <c r="X1" s="105" t="s">
        <v>205</v>
      </c>
      <c r="Y1" s="2" t="s">
        <v>206</v>
      </c>
      <c r="Z1" s="3" t="s">
        <v>13</v>
      </c>
      <c r="AA1" s="3" t="s">
        <v>14</v>
      </c>
      <c r="AB1" s="3" t="s">
        <v>15</v>
      </c>
      <c r="AC1" s="106"/>
    </row>
    <row r="2">
      <c r="A2" s="74">
        <v>45411.0</v>
      </c>
      <c r="B2" s="93">
        <v>1301.61</v>
      </c>
      <c r="C2" s="180">
        <v>541.49</v>
      </c>
      <c r="D2" s="193"/>
      <c r="E2" s="93"/>
      <c r="F2" s="93"/>
      <c r="G2" s="180">
        <v>180.0</v>
      </c>
      <c r="H2" s="93">
        <f>465.04</f>
        <v>465.04</v>
      </c>
      <c r="I2" s="5"/>
      <c r="J2" s="93"/>
      <c r="K2" s="93"/>
      <c r="L2" s="93"/>
      <c r="M2" s="93"/>
      <c r="N2" s="93"/>
      <c r="O2" s="93">
        <v>468.0</v>
      </c>
      <c r="P2" s="93"/>
      <c r="Q2" s="93">
        <v>57.05</v>
      </c>
      <c r="R2" s="93"/>
      <c r="S2" s="93"/>
      <c r="T2" s="93"/>
      <c r="U2" s="72"/>
      <c r="V2" s="93"/>
      <c r="W2" s="93"/>
      <c r="X2" s="93"/>
      <c r="Y2" s="5"/>
      <c r="Z2" s="107">
        <f t="shared" ref="Z2:Z8" si="1">SUM(B2:Y2)</f>
        <v>3013.19</v>
      </c>
      <c r="AA2" s="158">
        <v>3529.2</v>
      </c>
      <c r="AB2" s="59">
        <f t="shared" ref="AB2:AB8" si="2">Z2/AA2</f>
        <v>0.853788394</v>
      </c>
      <c r="AC2" s="109">
        <f t="shared" ref="AC2:AC8" si="3">A2</f>
        <v>45411</v>
      </c>
    </row>
    <row r="3">
      <c r="A3" s="74">
        <v>45412.0</v>
      </c>
      <c r="B3" s="93">
        <v>695.86</v>
      </c>
      <c r="C3" s="166"/>
      <c r="D3" s="5"/>
      <c r="E3" s="93"/>
      <c r="F3" s="93"/>
      <c r="G3" s="93"/>
      <c r="H3" s="93">
        <v>175.52</v>
      </c>
      <c r="I3" s="93"/>
      <c r="J3" s="93">
        <v>1046.4</v>
      </c>
      <c r="K3" s="93"/>
      <c r="L3" s="93">
        <v>42.0</v>
      </c>
      <c r="M3" s="93"/>
      <c r="N3" s="93"/>
      <c r="O3" s="93"/>
      <c r="P3" s="93"/>
      <c r="Q3" s="93"/>
      <c r="R3" s="93"/>
      <c r="S3" s="250">
        <v>182.0</v>
      </c>
      <c r="T3" s="93"/>
      <c r="U3" s="93"/>
      <c r="V3" s="93"/>
      <c r="W3" s="93"/>
      <c r="X3" s="93"/>
      <c r="Y3" s="93"/>
      <c r="Z3" s="107">
        <f t="shared" si="1"/>
        <v>2141.78</v>
      </c>
      <c r="AA3" s="158">
        <v>4178.0</v>
      </c>
      <c r="AB3" s="59">
        <f t="shared" si="2"/>
        <v>0.5126328387</v>
      </c>
      <c r="AC3" s="109">
        <f t="shared" si="3"/>
        <v>45412</v>
      </c>
    </row>
    <row r="4">
      <c r="A4" s="74">
        <v>45413.0</v>
      </c>
      <c r="B4" s="93"/>
      <c r="C4" s="93"/>
      <c r="D4" s="93"/>
      <c r="E4" s="93"/>
      <c r="F4" s="93">
        <v>125.0</v>
      </c>
      <c r="H4" s="93"/>
      <c r="I4" s="93"/>
      <c r="J4" s="93"/>
      <c r="K4" s="93"/>
      <c r="L4" s="93"/>
      <c r="M4" s="93"/>
      <c r="N4" s="93"/>
      <c r="O4" s="93"/>
      <c r="P4" s="93"/>
      <c r="Q4" s="93">
        <v>57.05</v>
      </c>
      <c r="R4" s="93"/>
      <c r="S4" s="93"/>
      <c r="T4" s="93"/>
      <c r="U4" s="160"/>
      <c r="V4" s="93"/>
      <c r="W4" s="93"/>
      <c r="X4" s="93"/>
      <c r="Y4" s="6"/>
      <c r="Z4" s="107">
        <f t="shared" si="1"/>
        <v>182.05</v>
      </c>
      <c r="AA4" s="97">
        <v>3975.0</v>
      </c>
      <c r="AB4" s="59">
        <f t="shared" si="2"/>
        <v>0.04579874214</v>
      </c>
      <c r="AC4" s="109">
        <f t="shared" si="3"/>
        <v>45413</v>
      </c>
    </row>
    <row r="5">
      <c r="A5" s="74">
        <v>45414.0</v>
      </c>
      <c r="B5" s="93">
        <v>730.02</v>
      </c>
      <c r="C5" s="93">
        <v>576.35</v>
      </c>
      <c r="D5" s="93">
        <v>553.01</v>
      </c>
      <c r="E5" s="93"/>
      <c r="F5" s="93"/>
      <c r="G5" s="93">
        <v>180.0</v>
      </c>
      <c r="H5" s="160">
        <v>168.22</v>
      </c>
      <c r="I5" s="93"/>
      <c r="J5" s="180">
        <v>169.76</v>
      </c>
      <c r="K5" s="93"/>
      <c r="L5" s="93">
        <v>166.4</v>
      </c>
      <c r="M5" s="93"/>
      <c r="N5" s="93"/>
      <c r="O5" s="93"/>
      <c r="P5" s="93"/>
      <c r="Q5" s="101"/>
      <c r="R5" s="93"/>
      <c r="S5" s="5"/>
      <c r="T5" s="93"/>
      <c r="U5" s="93"/>
      <c r="V5" s="93"/>
      <c r="W5" s="93"/>
      <c r="X5" s="101"/>
      <c r="Y5" s="6"/>
      <c r="Z5" s="7">
        <f t="shared" si="1"/>
        <v>2543.76</v>
      </c>
      <c r="AA5" s="97">
        <v>4634.0</v>
      </c>
      <c r="AB5" s="59">
        <f t="shared" si="2"/>
        <v>0.5489339663</v>
      </c>
      <c r="AC5" s="109">
        <f t="shared" si="3"/>
        <v>45414</v>
      </c>
    </row>
    <row r="6">
      <c r="A6" s="74">
        <v>45415.0</v>
      </c>
      <c r="B6" s="93">
        <v>725.32</v>
      </c>
      <c r="C6" s="1"/>
      <c r="D6" s="93">
        <v>57.0</v>
      </c>
      <c r="E6" s="93"/>
      <c r="F6" s="93"/>
      <c r="G6" s="93"/>
      <c r="H6" s="93"/>
      <c r="I6" s="93"/>
      <c r="J6" s="93"/>
      <c r="K6" s="93"/>
      <c r="L6" s="93"/>
      <c r="M6" s="93">
        <v>95.6</v>
      </c>
      <c r="N6" s="162"/>
      <c r="O6" s="93"/>
      <c r="P6" s="93"/>
      <c r="Q6" s="93">
        <v>57.05</v>
      </c>
      <c r="R6" s="93"/>
      <c r="S6" s="93"/>
      <c r="T6" s="259">
        <v>112.0</v>
      </c>
      <c r="U6" s="93"/>
      <c r="V6" s="93">
        <v>168.8</v>
      </c>
      <c r="W6" s="93"/>
      <c r="X6" s="93"/>
      <c r="Y6" s="5"/>
      <c r="Z6" s="7">
        <f t="shared" si="1"/>
        <v>1215.77</v>
      </c>
      <c r="AA6" s="97">
        <v>5341.2</v>
      </c>
      <c r="AB6" s="59">
        <f t="shared" si="2"/>
        <v>0.2276211338</v>
      </c>
      <c r="AC6" s="109">
        <f t="shared" si="3"/>
        <v>45415</v>
      </c>
    </row>
    <row r="7">
      <c r="A7" s="74">
        <v>45416.0</v>
      </c>
      <c r="B7" s="93">
        <v>941.01</v>
      </c>
      <c r="C7" s="93">
        <v>654.2</v>
      </c>
      <c r="D7" s="93"/>
      <c r="E7" s="93"/>
      <c r="F7" s="93"/>
      <c r="G7" s="93">
        <v>180.0</v>
      </c>
      <c r="H7" s="79"/>
      <c r="I7" s="93">
        <v>150.92</v>
      </c>
      <c r="J7" s="93">
        <v>297.0</v>
      </c>
      <c r="K7" s="93"/>
      <c r="L7" s="93"/>
      <c r="M7" s="93"/>
      <c r="N7" s="93"/>
      <c r="O7" s="5">
        <v>84.0</v>
      </c>
      <c r="P7" s="93"/>
      <c r="Q7" s="101"/>
      <c r="R7" s="93"/>
      <c r="S7" s="93"/>
      <c r="T7" s="93"/>
      <c r="U7" s="101"/>
      <c r="V7" s="93"/>
      <c r="W7" s="93"/>
      <c r="X7" s="101"/>
      <c r="Y7" s="5"/>
      <c r="Z7" s="7">
        <f t="shared" si="1"/>
        <v>2307.13</v>
      </c>
      <c r="AA7" s="97">
        <v>12449.2</v>
      </c>
      <c r="AB7" s="59">
        <f t="shared" si="2"/>
        <v>0.1853235549</v>
      </c>
      <c r="AC7" s="109">
        <f t="shared" si="3"/>
        <v>45416</v>
      </c>
    </row>
    <row r="8">
      <c r="A8" s="74">
        <v>45417.0</v>
      </c>
      <c r="B8" s="93"/>
      <c r="C8" s="5"/>
      <c r="D8" s="260">
        <v>835.25</v>
      </c>
      <c r="E8" s="10" t="s">
        <v>21</v>
      </c>
      <c r="F8" s="5"/>
      <c r="G8" s="10" t="s">
        <v>21</v>
      </c>
      <c r="H8" s="10"/>
      <c r="I8" s="93"/>
      <c r="J8" s="5"/>
      <c r="K8" s="10" t="s">
        <v>21</v>
      </c>
      <c r="L8" s="10" t="s">
        <v>21</v>
      </c>
      <c r="M8" s="10" t="s">
        <v>21</v>
      </c>
      <c r="N8" s="10" t="s">
        <v>21</v>
      </c>
      <c r="O8" s="10" t="s">
        <v>21</v>
      </c>
      <c r="P8" s="250">
        <v>522.0</v>
      </c>
      <c r="Q8" s="10" t="s">
        <v>21</v>
      </c>
      <c r="R8" s="5"/>
      <c r="S8" s="10" t="s">
        <v>21</v>
      </c>
      <c r="T8" s="10" t="s">
        <v>21</v>
      </c>
      <c r="U8" s="10" t="s">
        <v>21</v>
      </c>
      <c r="V8" s="10" t="s">
        <v>21</v>
      </c>
      <c r="W8" s="10" t="s">
        <v>21</v>
      </c>
      <c r="X8" s="10" t="s">
        <v>21</v>
      </c>
      <c r="Y8" s="10" t="s">
        <v>21</v>
      </c>
      <c r="Z8" s="7">
        <f t="shared" si="1"/>
        <v>1357.25</v>
      </c>
      <c r="AA8" s="97">
        <v>6928.0</v>
      </c>
      <c r="AB8" s="59">
        <f t="shared" si="2"/>
        <v>0.1959079099</v>
      </c>
      <c r="AC8" s="109">
        <f t="shared" si="3"/>
        <v>45417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AA9" s="129"/>
      <c r="AC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AA10" s="129"/>
      <c r="AC10" s="106"/>
    </row>
    <row r="11">
      <c r="A11" s="165" t="s">
        <v>194</v>
      </c>
      <c r="B11" s="93">
        <v>297.75</v>
      </c>
      <c r="C11" s="93"/>
      <c r="D11" s="93">
        <v>148.0</v>
      </c>
      <c r="E11" s="167"/>
      <c r="F11" s="168"/>
      <c r="G11" s="168"/>
      <c r="H11" s="166"/>
      <c r="I11" s="166"/>
      <c r="J11" s="93"/>
      <c r="K11" s="168"/>
      <c r="L11" s="93"/>
      <c r="M11" s="166"/>
      <c r="N11" s="168"/>
      <c r="O11" s="166"/>
      <c r="P11" s="168"/>
      <c r="Q11" s="168"/>
      <c r="R11" s="1"/>
      <c r="S11" s="1"/>
      <c r="T11" s="1"/>
      <c r="U11" s="1"/>
      <c r="V11" s="1"/>
      <c r="W11" s="1"/>
      <c r="X11" s="168"/>
      <c r="Y11" s="1"/>
      <c r="Z11" s="1"/>
      <c r="AA11" s="169"/>
      <c r="AB11" s="1"/>
      <c r="AC11" s="170"/>
    </row>
    <row r="12">
      <c r="A12" s="165" t="s">
        <v>195</v>
      </c>
      <c r="B12" s="93">
        <v>570.73</v>
      </c>
      <c r="C12" s="93"/>
      <c r="D12" s="93">
        <v>351.95</v>
      </c>
      <c r="E12" s="93"/>
      <c r="F12" s="93"/>
      <c r="G12" s="93"/>
      <c r="H12" s="93">
        <v>2276.67</v>
      </c>
      <c r="I12" s="93"/>
      <c r="J12" s="93"/>
      <c r="K12" s="93"/>
      <c r="L12" s="93"/>
      <c r="M12" s="93"/>
      <c r="N12" s="93"/>
      <c r="O12" s="166">
        <v>300.0</v>
      </c>
      <c r="P12" s="166"/>
      <c r="Q12" s="168"/>
      <c r="R12" s="1"/>
      <c r="S12" s="168"/>
      <c r="T12" s="168"/>
      <c r="U12" s="1"/>
      <c r="V12" s="96"/>
      <c r="W12" s="1"/>
      <c r="X12" s="168"/>
      <c r="Y12" s="1"/>
      <c r="Z12" s="1"/>
      <c r="AA12" s="171"/>
      <c r="AB12" s="1"/>
      <c r="AC12" s="170"/>
    </row>
    <row r="13">
      <c r="A13" s="172" t="s">
        <v>282</v>
      </c>
      <c r="B13" s="93"/>
      <c r="C13" s="93"/>
      <c r="D13" s="93"/>
      <c r="E13" s="168"/>
      <c r="F13" s="166"/>
      <c r="G13" s="166"/>
      <c r="H13" s="168"/>
      <c r="I13" s="168"/>
      <c r="J13" s="93"/>
      <c r="K13" s="168"/>
      <c r="L13" s="168"/>
      <c r="M13" s="168"/>
      <c r="N13" s="168"/>
      <c r="O13" s="166"/>
      <c r="P13" s="168"/>
      <c r="Q13" s="168"/>
      <c r="R13" s="1"/>
      <c r="S13" s="168"/>
      <c r="T13" s="168"/>
      <c r="U13" s="1"/>
      <c r="V13" s="96"/>
      <c r="W13" s="1"/>
      <c r="X13" s="168"/>
      <c r="Y13" s="1"/>
      <c r="Z13" s="1"/>
      <c r="AA13" s="174"/>
      <c r="AB13" s="1"/>
      <c r="AC13" s="170"/>
    </row>
    <row r="14">
      <c r="A14" s="165" t="s">
        <v>198</v>
      </c>
      <c r="B14" s="93"/>
      <c r="C14" s="93"/>
      <c r="D14" s="93"/>
      <c r="E14" s="168"/>
      <c r="F14" s="166"/>
      <c r="G14" s="166"/>
      <c r="H14" s="168"/>
      <c r="I14" s="168"/>
      <c r="J14" s="168"/>
      <c r="K14" s="168"/>
      <c r="L14" s="168"/>
      <c r="M14" s="168"/>
      <c r="N14" s="168"/>
      <c r="O14" s="166"/>
      <c r="P14" s="168"/>
      <c r="Q14" s="168"/>
      <c r="R14" s="1"/>
      <c r="S14" s="168"/>
      <c r="T14" s="168"/>
      <c r="U14" s="1"/>
      <c r="V14" s="96"/>
      <c r="W14" s="1"/>
      <c r="X14" s="168"/>
      <c r="Y14" s="1"/>
      <c r="Z14" s="1"/>
      <c r="AA14" s="174"/>
      <c r="AB14" s="1"/>
      <c r="AC14" s="170"/>
    </row>
    <row r="15">
      <c r="A15" s="91"/>
      <c r="B15" s="92"/>
      <c r="C15" s="79"/>
      <c r="D15" s="79"/>
      <c r="E15" s="79"/>
      <c r="F15" s="78"/>
      <c r="G15" s="78"/>
      <c r="H15" s="78"/>
      <c r="I15" s="78"/>
      <c r="L15" s="79"/>
      <c r="M15" s="79"/>
      <c r="N15" s="78"/>
      <c r="O15" s="79"/>
      <c r="P15" s="79"/>
      <c r="Q15" s="79"/>
      <c r="S15" s="79"/>
      <c r="T15" s="79"/>
      <c r="X15" s="79"/>
      <c r="AA15" s="131"/>
      <c r="AC15" s="106"/>
    </row>
    <row r="16">
      <c r="A16" s="91"/>
      <c r="B16" s="92"/>
      <c r="C16" s="78"/>
      <c r="D16" s="78"/>
      <c r="E16" s="78"/>
      <c r="F16" s="198"/>
      <c r="G16" s="198"/>
      <c r="H16" s="204"/>
      <c r="I16" s="198"/>
      <c r="J16" s="201"/>
      <c r="K16" s="199"/>
      <c r="L16" s="199"/>
      <c r="M16" s="200"/>
      <c r="N16" s="201"/>
      <c r="O16" s="202"/>
      <c r="P16" s="198"/>
      <c r="Q16" s="79"/>
      <c r="R16" s="198"/>
      <c r="S16" s="198"/>
      <c r="T16" s="198"/>
      <c r="W16" s="198"/>
      <c r="X16" s="79"/>
      <c r="AA16" s="131"/>
      <c r="AC16" s="106"/>
    </row>
    <row r="17">
      <c r="A17" s="4" t="s">
        <v>22</v>
      </c>
      <c r="B17" s="11">
        <v>10000.0</v>
      </c>
      <c r="C17" s="79"/>
      <c r="D17" s="79"/>
      <c r="E17" s="79"/>
      <c r="F17" s="240"/>
      <c r="G17" s="240"/>
      <c r="H17" s="201"/>
      <c r="K17" s="201"/>
      <c r="L17" s="201"/>
      <c r="M17" s="198"/>
      <c r="N17" s="201"/>
      <c r="O17" s="200"/>
      <c r="P17" s="203"/>
      <c r="Q17" s="79"/>
      <c r="R17" s="198"/>
      <c r="S17" s="198"/>
      <c r="T17" s="198"/>
      <c r="U17" s="204"/>
      <c r="W17" s="198"/>
      <c r="X17" s="79"/>
      <c r="AA17" s="131"/>
      <c r="AC17" s="106"/>
    </row>
    <row r="18">
      <c r="A18" s="4" t="s">
        <v>23</v>
      </c>
      <c r="B18" s="12">
        <f>SUM(B2:Y8)</f>
        <v>12760.93</v>
      </c>
      <c r="C18" s="192"/>
      <c r="D18" s="177"/>
      <c r="E18" s="78"/>
      <c r="F18" s="213"/>
      <c r="G18" s="213"/>
      <c r="H18" s="151"/>
      <c r="K18" s="191"/>
      <c r="L18" s="201"/>
      <c r="M18" s="201"/>
      <c r="N18" s="200"/>
      <c r="O18" s="201"/>
      <c r="P18" s="203"/>
      <c r="Q18" s="79"/>
      <c r="R18" s="198"/>
      <c r="S18" s="198"/>
      <c r="T18" s="198"/>
      <c r="U18" s="204"/>
      <c r="W18" s="198"/>
      <c r="X18" s="79"/>
      <c r="AA18" s="131"/>
      <c r="AC18" s="106"/>
    </row>
    <row r="19">
      <c r="A19" s="4" t="s">
        <v>24</v>
      </c>
      <c r="B19" s="12">
        <f> SUM(B17-B18)</f>
        <v>-2760.93</v>
      </c>
      <c r="C19" s="79"/>
      <c r="D19" s="79"/>
      <c r="E19" s="78"/>
      <c r="F19" s="201"/>
      <c r="G19" s="201"/>
      <c r="H19" s="214"/>
      <c r="K19" s="203"/>
      <c r="L19" s="199"/>
      <c r="M19" s="203"/>
      <c r="N19" s="201"/>
      <c r="O19" s="200"/>
      <c r="P19" s="203"/>
      <c r="Q19" s="79"/>
      <c r="R19" s="198"/>
      <c r="S19" s="198"/>
      <c r="T19" s="198"/>
      <c r="U19" s="204"/>
      <c r="W19" s="198"/>
      <c r="X19" s="79"/>
      <c r="AA19" s="131"/>
      <c r="AC19" s="106"/>
    </row>
    <row r="20">
      <c r="C20" s="79"/>
      <c r="D20" s="79"/>
      <c r="E20" s="78"/>
      <c r="F20" s="213"/>
      <c r="G20" s="261"/>
      <c r="H20" s="214"/>
      <c r="I20" s="203"/>
      <c r="J20" s="203"/>
      <c r="K20" s="203"/>
      <c r="M20" s="201"/>
      <c r="N20" s="201"/>
      <c r="O20" s="198"/>
      <c r="P20" s="203"/>
      <c r="Q20" s="79"/>
      <c r="R20" s="206"/>
      <c r="S20" s="198"/>
      <c r="T20" s="198"/>
      <c r="U20" s="204"/>
      <c r="W20" s="198"/>
      <c r="X20" s="79"/>
      <c r="AA20" s="131"/>
      <c r="AC20" s="106"/>
    </row>
    <row r="21">
      <c r="A21" s="13" t="s">
        <v>25</v>
      </c>
      <c r="B21" s="14">
        <f>SUM(AA2:AA8)</f>
        <v>41034.6</v>
      </c>
      <c r="C21" s="79"/>
      <c r="D21" s="79"/>
      <c r="E21" s="78"/>
      <c r="F21" s="201"/>
      <c r="G21" s="262"/>
      <c r="H21" s="262"/>
      <c r="I21" s="262"/>
      <c r="J21" s="78"/>
      <c r="K21" s="203"/>
      <c r="L21" s="203"/>
      <c r="M21" s="201"/>
      <c r="N21" s="201"/>
      <c r="O21" s="198"/>
      <c r="P21" s="203"/>
      <c r="Q21" s="79"/>
      <c r="R21" s="198"/>
      <c r="S21" s="198"/>
      <c r="T21" s="198"/>
      <c r="U21" s="204"/>
      <c r="W21" s="198"/>
      <c r="X21" s="79"/>
      <c r="AA21" s="181"/>
      <c r="AC21" s="106"/>
    </row>
    <row r="22">
      <c r="A22" s="13" t="s">
        <v>26</v>
      </c>
      <c r="B22" s="15">
        <f>B18/B21</f>
        <v>0.3109797585</v>
      </c>
      <c r="C22" s="79"/>
      <c r="D22" s="79"/>
      <c r="E22" s="78"/>
      <c r="F22" s="204"/>
      <c r="G22" s="78"/>
      <c r="H22" s="144"/>
      <c r="I22" s="78"/>
      <c r="J22" s="79"/>
      <c r="K22" s="203"/>
      <c r="L22" s="203"/>
      <c r="M22" s="201"/>
      <c r="N22" s="200"/>
      <c r="O22" s="203"/>
      <c r="P22" s="203"/>
      <c r="Q22" s="79"/>
      <c r="R22" s="198"/>
      <c r="S22" s="198"/>
      <c r="T22" s="198"/>
      <c r="U22" s="204"/>
      <c r="W22" s="198"/>
      <c r="X22" s="79"/>
      <c r="AA22" s="130"/>
      <c r="AC22" s="106"/>
    </row>
    <row r="23">
      <c r="C23" s="79"/>
      <c r="D23" s="79"/>
      <c r="E23" s="78"/>
      <c r="F23" s="204"/>
      <c r="G23" s="78"/>
      <c r="H23" s="78"/>
      <c r="I23" s="78"/>
      <c r="J23" s="79"/>
      <c r="K23" s="203"/>
      <c r="L23" s="203"/>
      <c r="M23" s="198"/>
      <c r="N23" s="198"/>
      <c r="O23" s="201"/>
      <c r="P23" s="198"/>
      <c r="Q23" s="79"/>
      <c r="R23" s="198"/>
      <c r="S23" s="198"/>
      <c r="T23" s="198"/>
      <c r="U23" s="204"/>
      <c r="W23" s="198"/>
      <c r="X23" s="79"/>
      <c r="AA23" s="182"/>
      <c r="AC23" s="106"/>
    </row>
    <row r="24">
      <c r="C24" s="79"/>
      <c r="D24" s="79"/>
      <c r="E24" s="79"/>
      <c r="F24" s="204"/>
      <c r="G24" s="78"/>
      <c r="H24" s="78"/>
      <c r="I24" s="78"/>
      <c r="J24" s="263"/>
      <c r="K24" s="203"/>
      <c r="L24" s="203"/>
      <c r="M24" s="198"/>
      <c r="N24" s="201"/>
      <c r="O24" s="201"/>
      <c r="P24" s="198"/>
      <c r="Q24" s="79"/>
      <c r="R24" s="198"/>
      <c r="S24" s="198"/>
      <c r="T24" s="198"/>
      <c r="U24" s="204"/>
      <c r="W24" s="198"/>
      <c r="X24" s="79"/>
      <c r="AA24" s="130"/>
      <c r="AC24" s="106"/>
    </row>
    <row r="25">
      <c r="A25" s="16" t="s">
        <v>27</v>
      </c>
      <c r="B25" s="17"/>
      <c r="C25" s="114"/>
      <c r="D25" s="114"/>
      <c r="E25" s="115"/>
      <c r="F25" s="204"/>
      <c r="G25" s="78"/>
      <c r="H25" s="78"/>
      <c r="I25" s="78"/>
      <c r="J25" s="79"/>
      <c r="K25" s="203"/>
      <c r="L25" s="217"/>
      <c r="M25" s="208"/>
      <c r="N25" s="208"/>
      <c r="O25" s="198"/>
      <c r="P25" s="200"/>
      <c r="Q25" s="79"/>
      <c r="R25" s="198"/>
      <c r="S25" s="198"/>
      <c r="T25" s="198"/>
      <c r="U25" s="204"/>
      <c r="W25" s="198"/>
      <c r="X25" s="79"/>
      <c r="AA25" s="130"/>
      <c r="AC25" s="106"/>
    </row>
    <row r="26">
      <c r="A26" s="19" t="s">
        <v>28</v>
      </c>
      <c r="B26" s="20"/>
      <c r="C26" s="116"/>
      <c r="D26" s="116"/>
      <c r="E26" s="117"/>
      <c r="F26" s="204"/>
      <c r="G26" s="78"/>
      <c r="H26" s="78"/>
      <c r="I26" s="79"/>
      <c r="J26" s="79"/>
      <c r="K26" s="203"/>
      <c r="L26" s="203"/>
      <c r="M26" s="209"/>
      <c r="N26" s="209"/>
      <c r="O26" s="201"/>
      <c r="P26" s="198"/>
      <c r="Q26" s="79"/>
      <c r="R26" s="198"/>
      <c r="S26" s="198"/>
      <c r="T26" s="198"/>
      <c r="U26" s="204"/>
      <c r="W26" s="198"/>
      <c r="X26" s="79"/>
      <c r="AA26" s="130"/>
      <c r="AC26" s="106"/>
    </row>
    <row r="27">
      <c r="A27" s="183" t="s">
        <v>29</v>
      </c>
      <c r="B27" s="184" t="s">
        <v>30</v>
      </c>
      <c r="C27" s="183"/>
      <c r="D27" s="183" t="s">
        <v>170</v>
      </c>
      <c r="E27" s="219" t="s">
        <v>171</v>
      </c>
      <c r="F27" s="204"/>
      <c r="G27" s="79"/>
      <c r="H27" s="79"/>
      <c r="I27" s="79"/>
      <c r="J27" s="79"/>
      <c r="K27" s="203"/>
      <c r="L27" s="201"/>
      <c r="M27" s="209"/>
      <c r="N27" s="209"/>
      <c r="O27" s="198"/>
      <c r="P27" s="198"/>
      <c r="Q27" s="79"/>
      <c r="R27" s="198"/>
      <c r="S27" s="198"/>
      <c r="T27" s="198"/>
      <c r="U27" s="204"/>
      <c r="W27" s="198"/>
      <c r="X27" s="79"/>
      <c r="AA27" s="130"/>
      <c r="AC27" s="106"/>
    </row>
    <row r="28">
      <c r="A28" s="166" t="s">
        <v>292</v>
      </c>
      <c r="B28" s="93">
        <v>1328.53</v>
      </c>
      <c r="C28" s="168"/>
      <c r="D28" s="166" t="s">
        <v>293</v>
      </c>
      <c r="E28" s="166" t="s">
        <v>294</v>
      </c>
      <c r="F28" s="79"/>
      <c r="G28" s="79"/>
      <c r="H28" s="79"/>
      <c r="I28" s="79"/>
      <c r="J28" s="79"/>
      <c r="L28" s="204"/>
      <c r="M28" s="204"/>
      <c r="N28" s="198"/>
      <c r="Q28" s="79"/>
      <c r="S28" s="79"/>
      <c r="T28" s="79"/>
      <c r="X28" s="79"/>
      <c r="AA28" s="130"/>
      <c r="AC28" s="106"/>
    </row>
    <row r="29">
      <c r="A29" s="166" t="s">
        <v>283</v>
      </c>
      <c r="B29" s="93">
        <v>448.15</v>
      </c>
      <c r="C29" s="168"/>
      <c r="D29" s="168"/>
      <c r="E29" s="264"/>
      <c r="F29" s="79"/>
      <c r="G29" s="79"/>
      <c r="H29" s="79"/>
      <c r="I29" s="79"/>
      <c r="J29" s="79"/>
      <c r="L29" s="204"/>
      <c r="M29" s="204"/>
      <c r="N29" s="198"/>
      <c r="Q29" s="79"/>
      <c r="S29" s="79"/>
      <c r="T29" s="79"/>
      <c r="X29" s="79"/>
      <c r="AA29" s="130"/>
      <c r="AC29" s="106"/>
    </row>
    <row r="30">
      <c r="A30" s="166" t="s">
        <v>295</v>
      </c>
      <c r="B30" s="166">
        <v>861.21</v>
      </c>
      <c r="C30" s="168"/>
      <c r="D30" s="166" t="s">
        <v>296</v>
      </c>
      <c r="E30" s="166" t="s">
        <v>297</v>
      </c>
      <c r="N30" s="79"/>
      <c r="Q30" s="79"/>
      <c r="S30" s="79"/>
      <c r="T30" s="79"/>
      <c r="X30" s="79"/>
      <c r="AA30" s="130"/>
      <c r="AC30" s="106"/>
    </row>
    <row r="31">
      <c r="A31" s="166" t="s">
        <v>298</v>
      </c>
      <c r="B31" s="93">
        <v>467.86</v>
      </c>
      <c r="C31" s="168"/>
      <c r="D31" s="168"/>
      <c r="E31" s="168"/>
      <c r="N31" s="79"/>
      <c r="Q31" s="79"/>
      <c r="S31" s="79"/>
      <c r="T31" s="79"/>
      <c r="X31" s="79"/>
      <c r="AA31" s="130"/>
      <c r="AC31" s="106"/>
    </row>
    <row r="32">
      <c r="A32" s="166" t="s">
        <v>299</v>
      </c>
      <c r="B32" s="93">
        <v>1827.74</v>
      </c>
      <c r="C32" s="168"/>
      <c r="D32" s="168"/>
      <c r="E32" s="168"/>
      <c r="N32" s="79"/>
      <c r="Q32" s="79"/>
      <c r="S32" s="79"/>
      <c r="T32" s="79"/>
      <c r="X32" s="79"/>
      <c r="AA32" s="130"/>
      <c r="AC32" s="106"/>
    </row>
    <row r="33">
      <c r="A33" s="166" t="s">
        <v>300</v>
      </c>
      <c r="B33" s="93">
        <f>1044-522</f>
        <v>522</v>
      </c>
      <c r="C33" s="168"/>
      <c r="D33" s="168"/>
      <c r="E33" s="166" t="s">
        <v>301</v>
      </c>
      <c r="N33" s="79"/>
      <c r="Q33" s="79"/>
      <c r="S33" s="79"/>
      <c r="T33" s="79"/>
      <c r="X33" s="79"/>
      <c r="AA33" s="130"/>
      <c r="AC33" s="106"/>
    </row>
    <row r="34">
      <c r="A34" s="166" t="s">
        <v>302</v>
      </c>
      <c r="B34" s="93">
        <v>440.57</v>
      </c>
      <c r="C34" s="168"/>
      <c r="D34" s="168"/>
      <c r="E34" s="166"/>
      <c r="N34" s="79"/>
      <c r="Q34" s="79"/>
      <c r="S34" s="79"/>
      <c r="T34" s="79"/>
      <c r="X34" s="79"/>
      <c r="AA34" s="130"/>
      <c r="AC34" s="106"/>
    </row>
    <row r="35">
      <c r="C35" s="79"/>
      <c r="D35" s="79"/>
      <c r="E35" s="79"/>
      <c r="N35" s="79"/>
      <c r="Q35" s="79"/>
      <c r="S35" s="79"/>
      <c r="T35" s="79"/>
      <c r="X35" s="79"/>
      <c r="AA35" s="130"/>
      <c r="AC35" s="106"/>
    </row>
    <row r="36">
      <c r="C36" s="79"/>
      <c r="D36" s="79"/>
      <c r="E36" s="79"/>
      <c r="N36" s="79"/>
      <c r="Q36" s="79"/>
      <c r="S36" s="79"/>
      <c r="T36" s="79"/>
      <c r="X36" s="79"/>
      <c r="AA36" s="130"/>
      <c r="AC36" s="106"/>
    </row>
    <row r="37">
      <c r="C37" s="79"/>
      <c r="D37" s="79"/>
      <c r="E37" s="79"/>
      <c r="N37" s="79"/>
      <c r="Q37" s="79"/>
      <c r="S37" s="79"/>
      <c r="T37" s="79"/>
      <c r="X37" s="79"/>
      <c r="AA37" s="130"/>
      <c r="AC37" s="106"/>
    </row>
    <row r="38">
      <c r="C38" s="79"/>
      <c r="D38" s="79"/>
      <c r="E38" s="79"/>
      <c r="N38" s="79"/>
      <c r="Q38" s="79"/>
      <c r="S38" s="79"/>
      <c r="T38" s="79"/>
      <c r="X38" s="79"/>
      <c r="AA38" s="130"/>
      <c r="AC38" s="106"/>
    </row>
    <row r="39">
      <c r="C39" s="79"/>
      <c r="D39" s="79"/>
      <c r="E39" s="79"/>
      <c r="N39" s="79"/>
      <c r="Q39" s="79"/>
      <c r="S39" s="79"/>
      <c r="T39" s="79"/>
      <c r="X39" s="79"/>
      <c r="AA39" s="130"/>
      <c r="AC39" s="106"/>
    </row>
    <row r="40">
      <c r="C40" s="79"/>
      <c r="D40" s="79"/>
      <c r="E40" s="79"/>
      <c r="N40" s="79"/>
      <c r="Q40" s="79"/>
      <c r="S40" s="79"/>
      <c r="T40" s="79"/>
      <c r="X40" s="79"/>
      <c r="AA40" s="130"/>
      <c r="AC40" s="106"/>
    </row>
    <row r="41">
      <c r="C41" s="79"/>
      <c r="D41" s="79"/>
      <c r="E41" s="79"/>
      <c r="N41" s="79"/>
      <c r="Q41" s="79"/>
      <c r="S41" s="79"/>
      <c r="T41" s="79"/>
      <c r="X41" s="79"/>
      <c r="AA41" s="130"/>
      <c r="AC41" s="106"/>
    </row>
    <row r="42">
      <c r="C42" s="79"/>
      <c r="D42" s="79"/>
      <c r="E42" s="79"/>
      <c r="N42" s="79"/>
      <c r="Q42" s="79"/>
      <c r="S42" s="79"/>
      <c r="T42" s="79"/>
      <c r="X42" s="79"/>
      <c r="AA42" s="130"/>
      <c r="AC42" s="106"/>
    </row>
    <row r="43">
      <c r="C43" s="79"/>
      <c r="D43" s="79"/>
      <c r="E43" s="79"/>
      <c r="N43" s="79"/>
      <c r="Q43" s="79"/>
      <c r="S43" s="79"/>
      <c r="T43" s="79"/>
      <c r="X43" s="79"/>
      <c r="AA43" s="130"/>
      <c r="AC43" s="106"/>
    </row>
    <row r="44">
      <c r="C44" s="79"/>
      <c r="D44" s="79"/>
      <c r="E44" s="79"/>
      <c r="N44" s="79"/>
      <c r="Q44" s="79"/>
      <c r="S44" s="79"/>
      <c r="T44" s="79"/>
      <c r="X44" s="79"/>
      <c r="AA44" s="130"/>
      <c r="AC44" s="106"/>
    </row>
    <row r="45">
      <c r="C45" s="79"/>
      <c r="D45" s="79"/>
      <c r="E45" s="79"/>
      <c r="N45" s="79"/>
      <c r="Q45" s="79"/>
      <c r="S45" s="79"/>
      <c r="T45" s="79"/>
      <c r="X45" s="79"/>
      <c r="AA45" s="130"/>
      <c r="AC45" s="106"/>
    </row>
    <row r="46">
      <c r="C46" s="79"/>
      <c r="D46" s="79"/>
      <c r="E46" s="79"/>
      <c r="N46" s="79"/>
      <c r="Q46" s="79"/>
      <c r="S46" s="79"/>
      <c r="T46" s="79"/>
      <c r="X46" s="79"/>
      <c r="AA46" s="130"/>
      <c r="AC46" s="106"/>
    </row>
    <row r="47">
      <c r="C47" s="79"/>
      <c r="D47" s="79"/>
      <c r="E47" s="79"/>
      <c r="N47" s="79"/>
      <c r="Q47" s="79"/>
      <c r="S47" s="79"/>
      <c r="T47" s="79"/>
      <c r="X47" s="79"/>
      <c r="AA47" s="130"/>
      <c r="AC47" s="106"/>
    </row>
    <row r="48">
      <c r="C48" s="79"/>
      <c r="D48" s="79"/>
      <c r="E48" s="79"/>
      <c r="N48" s="79"/>
      <c r="Q48" s="79"/>
      <c r="S48" s="79"/>
      <c r="T48" s="79"/>
      <c r="X48" s="79"/>
      <c r="AA48" s="130"/>
      <c r="AC48" s="106"/>
    </row>
    <row r="49">
      <c r="C49" s="79"/>
      <c r="D49" s="79"/>
      <c r="E49" s="79"/>
      <c r="N49" s="79"/>
      <c r="Q49" s="79"/>
      <c r="S49" s="79"/>
      <c r="T49" s="79"/>
      <c r="X49" s="79"/>
      <c r="AA49" s="130"/>
      <c r="AC49" s="106"/>
    </row>
    <row r="50">
      <c r="C50" s="79"/>
      <c r="D50" s="79"/>
      <c r="E50" s="79"/>
      <c r="N50" s="79"/>
      <c r="Q50" s="79"/>
      <c r="S50" s="79"/>
      <c r="T50" s="79"/>
      <c r="X50" s="79"/>
      <c r="AA50" s="130"/>
      <c r="AC50" s="106"/>
    </row>
    <row r="51">
      <c r="C51" s="79"/>
      <c r="D51" s="79"/>
      <c r="E51" s="79"/>
      <c r="N51" s="79"/>
      <c r="Q51" s="79"/>
      <c r="S51" s="79"/>
      <c r="T51" s="79"/>
      <c r="X51" s="79"/>
      <c r="AA51" s="130"/>
      <c r="AC51" s="106"/>
    </row>
    <row r="52">
      <c r="C52" s="79"/>
      <c r="D52" s="79"/>
      <c r="E52" s="79"/>
      <c r="N52" s="79"/>
      <c r="Q52" s="79"/>
      <c r="S52" s="79"/>
      <c r="T52" s="79"/>
      <c r="X52" s="79"/>
      <c r="AA52" s="130"/>
      <c r="AC52" s="106"/>
    </row>
    <row r="53">
      <c r="C53" s="79"/>
      <c r="D53" s="79"/>
      <c r="E53" s="79"/>
      <c r="N53" s="79"/>
      <c r="Q53" s="79"/>
      <c r="S53" s="79"/>
      <c r="T53" s="79"/>
      <c r="X53" s="79"/>
      <c r="AA53" s="130"/>
      <c r="AC53" s="106"/>
    </row>
    <row r="54">
      <c r="C54" s="79"/>
      <c r="D54" s="79"/>
      <c r="E54" s="79"/>
      <c r="N54" s="79"/>
      <c r="Q54" s="79"/>
      <c r="S54" s="79"/>
      <c r="T54" s="79"/>
      <c r="X54" s="79"/>
      <c r="AA54" s="130"/>
      <c r="AC54" s="106"/>
    </row>
    <row r="55">
      <c r="C55" s="79"/>
      <c r="D55" s="79"/>
      <c r="E55" s="79"/>
      <c r="N55" s="79"/>
      <c r="Q55" s="79"/>
      <c r="S55" s="79"/>
      <c r="T55" s="79"/>
      <c r="X55" s="79"/>
      <c r="AA55" s="130"/>
      <c r="AC55" s="106"/>
    </row>
    <row r="56">
      <c r="C56" s="79"/>
      <c r="D56" s="79"/>
      <c r="E56" s="79"/>
      <c r="N56" s="79"/>
      <c r="Q56" s="79"/>
      <c r="S56" s="79"/>
      <c r="T56" s="79"/>
      <c r="X56" s="79"/>
      <c r="AA56" s="130"/>
      <c r="AC56" s="106"/>
    </row>
    <row r="57">
      <c r="C57" s="79"/>
      <c r="D57" s="79"/>
      <c r="E57" s="79"/>
      <c r="N57" s="79"/>
      <c r="Q57" s="79"/>
      <c r="S57" s="79"/>
      <c r="T57" s="79"/>
      <c r="X57" s="79"/>
      <c r="AA57" s="130"/>
      <c r="AC57" s="106"/>
    </row>
    <row r="58">
      <c r="C58" s="79"/>
      <c r="D58" s="79"/>
      <c r="E58" s="79"/>
      <c r="N58" s="79"/>
      <c r="Q58" s="79"/>
      <c r="S58" s="79"/>
      <c r="T58" s="79"/>
      <c r="X58" s="79"/>
      <c r="AA58" s="130"/>
      <c r="AC58" s="106"/>
    </row>
    <row r="59">
      <c r="C59" s="79"/>
      <c r="D59" s="79"/>
      <c r="E59" s="79"/>
      <c r="N59" s="79"/>
      <c r="Q59" s="79"/>
      <c r="S59" s="79"/>
      <c r="T59" s="79"/>
      <c r="X59" s="79"/>
      <c r="AA59" s="130"/>
      <c r="AC59" s="106"/>
    </row>
    <row r="60">
      <c r="C60" s="79"/>
      <c r="D60" s="79"/>
      <c r="E60" s="79"/>
      <c r="N60" s="79"/>
      <c r="Q60" s="79"/>
      <c r="S60" s="79"/>
      <c r="T60" s="79"/>
      <c r="X60" s="79"/>
      <c r="AA60" s="130"/>
      <c r="AC60" s="106"/>
    </row>
    <row r="61">
      <c r="C61" s="79"/>
      <c r="D61" s="79"/>
      <c r="E61" s="79"/>
      <c r="N61" s="79"/>
      <c r="Q61" s="79"/>
      <c r="S61" s="79"/>
      <c r="T61" s="79"/>
      <c r="X61" s="79"/>
      <c r="AA61" s="130"/>
      <c r="AC61" s="106"/>
    </row>
    <row r="62">
      <c r="C62" s="79"/>
      <c r="D62" s="79"/>
      <c r="E62" s="79"/>
      <c r="N62" s="79"/>
      <c r="Q62" s="79"/>
      <c r="S62" s="79"/>
      <c r="T62" s="79"/>
      <c r="X62" s="79"/>
      <c r="AA62" s="130"/>
      <c r="AC62" s="106"/>
    </row>
    <row r="63">
      <c r="C63" s="79"/>
      <c r="D63" s="79"/>
      <c r="E63" s="79"/>
      <c r="N63" s="79"/>
      <c r="Q63" s="79"/>
      <c r="S63" s="79"/>
      <c r="T63" s="79"/>
      <c r="X63" s="79"/>
      <c r="AA63" s="130"/>
      <c r="AC63" s="106"/>
    </row>
    <row r="64">
      <c r="C64" s="79"/>
      <c r="D64" s="79"/>
      <c r="E64" s="79"/>
      <c r="N64" s="79"/>
      <c r="Q64" s="79"/>
      <c r="S64" s="79"/>
      <c r="T64" s="79"/>
      <c r="X64" s="79"/>
      <c r="AA64" s="130"/>
      <c r="AC64" s="106"/>
    </row>
    <row r="65">
      <c r="C65" s="79"/>
      <c r="D65" s="79"/>
      <c r="E65" s="79"/>
      <c r="N65" s="79"/>
      <c r="Q65" s="79"/>
      <c r="S65" s="79"/>
      <c r="T65" s="79"/>
      <c r="X65" s="79"/>
      <c r="AA65" s="130"/>
      <c r="AC65" s="106"/>
    </row>
    <row r="66">
      <c r="C66" s="79"/>
      <c r="D66" s="79"/>
      <c r="E66" s="79"/>
      <c r="N66" s="79"/>
      <c r="Q66" s="79"/>
      <c r="S66" s="79"/>
      <c r="T66" s="79"/>
      <c r="X66" s="79"/>
      <c r="AA66" s="130"/>
      <c r="AC66" s="106"/>
    </row>
    <row r="67">
      <c r="C67" s="79"/>
      <c r="D67" s="79"/>
      <c r="E67" s="79"/>
      <c r="N67" s="79"/>
      <c r="Q67" s="79"/>
      <c r="S67" s="79"/>
      <c r="T67" s="79"/>
      <c r="X67" s="79"/>
      <c r="AA67" s="130"/>
      <c r="AC67" s="106"/>
    </row>
    <row r="68">
      <c r="C68" s="79"/>
      <c r="D68" s="79"/>
      <c r="E68" s="79"/>
      <c r="N68" s="79"/>
      <c r="Q68" s="79"/>
      <c r="S68" s="79"/>
      <c r="T68" s="79"/>
      <c r="X68" s="79"/>
      <c r="AA68" s="130"/>
      <c r="AC68" s="106"/>
    </row>
    <row r="69">
      <c r="C69" s="79"/>
      <c r="D69" s="79"/>
      <c r="E69" s="79"/>
      <c r="N69" s="79"/>
      <c r="Q69" s="79"/>
      <c r="S69" s="79"/>
      <c r="T69" s="79"/>
      <c r="X69" s="79"/>
      <c r="AA69" s="130"/>
      <c r="AC69" s="106"/>
    </row>
    <row r="70">
      <c r="C70" s="79"/>
      <c r="D70" s="79"/>
      <c r="E70" s="79"/>
      <c r="N70" s="79"/>
      <c r="Q70" s="79"/>
      <c r="S70" s="79"/>
      <c r="T70" s="79"/>
      <c r="X70" s="79"/>
      <c r="AA70" s="130"/>
      <c r="AC70" s="106"/>
    </row>
    <row r="71">
      <c r="C71" s="79"/>
      <c r="D71" s="79"/>
      <c r="E71" s="79"/>
      <c r="N71" s="79"/>
      <c r="Q71" s="79"/>
      <c r="S71" s="79"/>
      <c r="T71" s="79"/>
      <c r="X71" s="79"/>
      <c r="AA71" s="130"/>
      <c r="AC71" s="106"/>
    </row>
    <row r="72">
      <c r="C72" s="79"/>
      <c r="D72" s="79"/>
      <c r="E72" s="79"/>
      <c r="N72" s="79"/>
      <c r="Q72" s="79"/>
      <c r="S72" s="79"/>
      <c r="T72" s="79"/>
      <c r="X72" s="79"/>
      <c r="AA72" s="130"/>
      <c r="AC72" s="106"/>
    </row>
    <row r="73">
      <c r="C73" s="79"/>
      <c r="D73" s="79"/>
      <c r="E73" s="79"/>
      <c r="N73" s="79"/>
      <c r="Q73" s="79"/>
      <c r="S73" s="79"/>
      <c r="T73" s="79"/>
      <c r="X73" s="79"/>
      <c r="AA73" s="130"/>
      <c r="AC73" s="106"/>
    </row>
    <row r="74">
      <c r="C74" s="79"/>
      <c r="D74" s="79"/>
      <c r="E74" s="79"/>
      <c r="N74" s="79"/>
      <c r="Q74" s="79"/>
      <c r="S74" s="79"/>
      <c r="T74" s="79"/>
      <c r="X74" s="79"/>
      <c r="AA74" s="130"/>
      <c r="AC74" s="106"/>
    </row>
    <row r="75">
      <c r="C75" s="79"/>
      <c r="D75" s="79"/>
      <c r="E75" s="79"/>
      <c r="N75" s="79"/>
      <c r="Q75" s="79"/>
      <c r="S75" s="79"/>
      <c r="T75" s="79"/>
      <c r="X75" s="79"/>
      <c r="AA75" s="130"/>
      <c r="AC75" s="106"/>
    </row>
    <row r="76">
      <c r="C76" s="79"/>
      <c r="D76" s="79"/>
      <c r="E76" s="79"/>
      <c r="N76" s="79"/>
      <c r="Q76" s="79"/>
      <c r="S76" s="79"/>
      <c r="T76" s="79"/>
      <c r="X76" s="79"/>
      <c r="AA76" s="130"/>
      <c r="AC76" s="106"/>
    </row>
    <row r="77">
      <c r="C77" s="79"/>
      <c r="D77" s="79"/>
      <c r="E77" s="79"/>
      <c r="N77" s="79"/>
      <c r="Q77" s="79"/>
      <c r="S77" s="79"/>
      <c r="T77" s="79"/>
      <c r="X77" s="79"/>
      <c r="AA77" s="130"/>
      <c r="AC77" s="106"/>
    </row>
    <row r="78">
      <c r="C78" s="79"/>
      <c r="D78" s="79"/>
      <c r="E78" s="79"/>
      <c r="N78" s="79"/>
      <c r="Q78" s="79"/>
      <c r="S78" s="79"/>
      <c r="T78" s="79"/>
      <c r="X78" s="79"/>
      <c r="AA78" s="130"/>
      <c r="AC78" s="106"/>
    </row>
    <row r="79">
      <c r="C79" s="79"/>
      <c r="D79" s="79"/>
      <c r="E79" s="79"/>
      <c r="N79" s="79"/>
      <c r="Q79" s="79"/>
      <c r="S79" s="79"/>
      <c r="T79" s="79"/>
      <c r="X79" s="79"/>
      <c r="AA79" s="130"/>
      <c r="AC79" s="106"/>
    </row>
    <row r="80">
      <c r="C80" s="79"/>
      <c r="D80" s="79"/>
      <c r="E80" s="79"/>
      <c r="N80" s="79"/>
      <c r="Q80" s="79"/>
      <c r="S80" s="79"/>
      <c r="T80" s="79"/>
      <c r="X80" s="79"/>
      <c r="AA80" s="130"/>
      <c r="AC80" s="106"/>
    </row>
    <row r="81">
      <c r="C81" s="79"/>
      <c r="D81" s="79"/>
      <c r="E81" s="79"/>
      <c r="N81" s="79"/>
      <c r="Q81" s="79"/>
      <c r="S81" s="79"/>
      <c r="T81" s="79"/>
      <c r="X81" s="79"/>
      <c r="AA81" s="130"/>
      <c r="AC81" s="106"/>
    </row>
    <row r="82">
      <c r="C82" s="79"/>
      <c r="D82" s="79"/>
      <c r="E82" s="79"/>
      <c r="N82" s="79"/>
      <c r="Q82" s="79"/>
      <c r="S82" s="79"/>
      <c r="T82" s="79"/>
      <c r="X82" s="79"/>
      <c r="AA82" s="130"/>
      <c r="AC82" s="106"/>
    </row>
    <row r="83">
      <c r="C83" s="79"/>
      <c r="D83" s="79"/>
      <c r="E83" s="79"/>
      <c r="N83" s="79"/>
      <c r="Q83" s="79"/>
      <c r="S83" s="79"/>
      <c r="T83" s="79"/>
      <c r="X83" s="79"/>
      <c r="AA83" s="130"/>
      <c r="AC83" s="106"/>
    </row>
    <row r="84">
      <c r="C84" s="79"/>
      <c r="D84" s="79"/>
      <c r="E84" s="79"/>
      <c r="N84" s="79"/>
      <c r="Q84" s="79"/>
      <c r="S84" s="79"/>
      <c r="T84" s="79"/>
      <c r="X84" s="79"/>
      <c r="AA84" s="130"/>
      <c r="AC84" s="106"/>
    </row>
    <row r="85">
      <c r="C85" s="79"/>
      <c r="D85" s="79"/>
      <c r="E85" s="79"/>
      <c r="N85" s="79"/>
      <c r="Q85" s="79"/>
      <c r="S85" s="79"/>
      <c r="T85" s="79"/>
      <c r="X85" s="79"/>
      <c r="AA85" s="130"/>
      <c r="AC85" s="106"/>
    </row>
    <row r="86">
      <c r="C86" s="79"/>
      <c r="D86" s="79"/>
      <c r="E86" s="79"/>
      <c r="N86" s="79"/>
      <c r="Q86" s="79"/>
      <c r="S86" s="79"/>
      <c r="T86" s="79"/>
      <c r="X86" s="79"/>
      <c r="AA86" s="130"/>
      <c r="AC86" s="106"/>
    </row>
    <row r="87">
      <c r="C87" s="79"/>
      <c r="D87" s="79"/>
      <c r="E87" s="79"/>
      <c r="N87" s="79"/>
      <c r="Q87" s="79"/>
      <c r="S87" s="79"/>
      <c r="T87" s="79"/>
      <c r="X87" s="79"/>
      <c r="AA87" s="130"/>
      <c r="AC87" s="106"/>
    </row>
    <row r="88">
      <c r="C88" s="79"/>
      <c r="D88" s="79"/>
      <c r="E88" s="79"/>
      <c r="N88" s="79"/>
      <c r="Q88" s="79"/>
      <c r="S88" s="79"/>
      <c r="T88" s="79"/>
      <c r="X88" s="79"/>
      <c r="AA88" s="130"/>
      <c r="AC88" s="106"/>
    </row>
    <row r="89">
      <c r="C89" s="79"/>
      <c r="D89" s="79"/>
      <c r="E89" s="79"/>
      <c r="N89" s="79"/>
      <c r="Q89" s="79"/>
      <c r="S89" s="79"/>
      <c r="T89" s="79"/>
      <c r="X89" s="79"/>
      <c r="AA89" s="130"/>
      <c r="AC89" s="106"/>
    </row>
    <row r="90">
      <c r="C90" s="79"/>
      <c r="D90" s="79"/>
      <c r="E90" s="79"/>
      <c r="N90" s="79"/>
      <c r="Q90" s="79"/>
      <c r="S90" s="79"/>
      <c r="T90" s="79"/>
      <c r="X90" s="79"/>
      <c r="AA90" s="130"/>
      <c r="AC90" s="106"/>
    </row>
    <row r="91">
      <c r="C91" s="79"/>
      <c r="D91" s="79"/>
      <c r="E91" s="79"/>
      <c r="N91" s="79"/>
      <c r="Q91" s="79"/>
      <c r="S91" s="79"/>
      <c r="T91" s="79"/>
      <c r="X91" s="79"/>
      <c r="AA91" s="130"/>
      <c r="AC91" s="106"/>
    </row>
    <row r="92">
      <c r="C92" s="79"/>
      <c r="D92" s="79"/>
      <c r="E92" s="79"/>
      <c r="N92" s="79"/>
      <c r="Q92" s="79"/>
      <c r="S92" s="79"/>
      <c r="T92" s="79"/>
      <c r="X92" s="79"/>
      <c r="AA92" s="130"/>
      <c r="AC92" s="106"/>
    </row>
    <row r="93">
      <c r="C93" s="79"/>
      <c r="D93" s="79"/>
      <c r="E93" s="79"/>
      <c r="N93" s="79"/>
      <c r="Q93" s="79"/>
      <c r="S93" s="79"/>
      <c r="T93" s="79"/>
      <c r="X93" s="79"/>
      <c r="AA93" s="130"/>
      <c r="AC93" s="106"/>
    </row>
    <row r="94">
      <c r="C94" s="79"/>
      <c r="D94" s="79"/>
      <c r="E94" s="79"/>
      <c r="N94" s="79"/>
      <c r="Q94" s="79"/>
      <c r="S94" s="79"/>
      <c r="T94" s="79"/>
      <c r="X94" s="79"/>
      <c r="AA94" s="130"/>
      <c r="AC94" s="106"/>
    </row>
    <row r="95">
      <c r="C95" s="79"/>
      <c r="D95" s="79"/>
      <c r="E95" s="79"/>
      <c r="N95" s="79"/>
      <c r="Q95" s="79"/>
      <c r="S95" s="79"/>
      <c r="T95" s="79"/>
      <c r="X95" s="79"/>
      <c r="AA95" s="130"/>
      <c r="AC95" s="106"/>
    </row>
    <row r="96">
      <c r="C96" s="79"/>
      <c r="D96" s="79"/>
      <c r="E96" s="79"/>
      <c r="N96" s="79"/>
      <c r="Q96" s="79"/>
      <c r="S96" s="79"/>
      <c r="T96" s="79"/>
      <c r="X96" s="79"/>
      <c r="AA96" s="130"/>
      <c r="AC96" s="106"/>
    </row>
    <row r="97">
      <c r="C97" s="79"/>
      <c r="D97" s="79"/>
      <c r="E97" s="79"/>
      <c r="N97" s="79"/>
      <c r="Q97" s="79"/>
      <c r="S97" s="79"/>
      <c r="T97" s="79"/>
      <c r="X97" s="79"/>
      <c r="AA97" s="130"/>
      <c r="AC97" s="106"/>
    </row>
    <row r="98">
      <c r="C98" s="79"/>
      <c r="D98" s="79"/>
      <c r="E98" s="79"/>
      <c r="N98" s="79"/>
      <c r="Q98" s="79"/>
      <c r="S98" s="79"/>
      <c r="T98" s="79"/>
      <c r="X98" s="79"/>
      <c r="AA98" s="130"/>
      <c r="AC98" s="106"/>
    </row>
    <row r="99">
      <c r="C99" s="79"/>
      <c r="D99" s="79"/>
      <c r="E99" s="79"/>
      <c r="N99" s="79"/>
      <c r="Q99" s="79"/>
      <c r="S99" s="79"/>
      <c r="T99" s="79"/>
      <c r="X99" s="79"/>
      <c r="AA99" s="130"/>
      <c r="AC99" s="106"/>
    </row>
    <row r="100">
      <c r="C100" s="79"/>
      <c r="D100" s="79"/>
      <c r="E100" s="79"/>
      <c r="N100" s="79"/>
      <c r="Q100" s="79"/>
      <c r="S100" s="79"/>
      <c r="T100" s="79"/>
      <c r="X100" s="79"/>
      <c r="AA100" s="130"/>
      <c r="AC100" s="106"/>
    </row>
    <row r="101">
      <c r="C101" s="79"/>
      <c r="D101" s="79"/>
      <c r="E101" s="79"/>
      <c r="N101" s="79"/>
      <c r="Q101" s="79"/>
      <c r="S101" s="79"/>
      <c r="T101" s="79"/>
      <c r="X101" s="79"/>
      <c r="AA101" s="130"/>
      <c r="AC101" s="106"/>
    </row>
    <row r="102">
      <c r="C102" s="79"/>
      <c r="D102" s="79"/>
      <c r="E102" s="79"/>
      <c r="N102" s="79"/>
      <c r="Q102" s="79"/>
      <c r="S102" s="79"/>
      <c r="T102" s="79"/>
      <c r="X102" s="79"/>
      <c r="AA102" s="130"/>
      <c r="AC102" s="106"/>
    </row>
    <row r="103">
      <c r="C103" s="79"/>
      <c r="D103" s="79"/>
      <c r="E103" s="79"/>
      <c r="N103" s="79"/>
      <c r="Q103" s="79"/>
      <c r="S103" s="79"/>
      <c r="T103" s="79"/>
      <c r="X103" s="79"/>
      <c r="AA103" s="130"/>
      <c r="AC103" s="106"/>
    </row>
    <row r="104">
      <c r="C104" s="79"/>
      <c r="D104" s="79"/>
      <c r="E104" s="79"/>
      <c r="N104" s="79"/>
      <c r="Q104" s="79"/>
      <c r="S104" s="79"/>
      <c r="T104" s="79"/>
      <c r="X104" s="79"/>
      <c r="AA104" s="130"/>
      <c r="AC104" s="106"/>
    </row>
    <row r="105">
      <c r="C105" s="79"/>
      <c r="D105" s="79"/>
      <c r="E105" s="79"/>
      <c r="N105" s="79"/>
      <c r="Q105" s="79"/>
      <c r="S105" s="79"/>
      <c r="T105" s="79"/>
      <c r="X105" s="79"/>
      <c r="AA105" s="130"/>
      <c r="AC105" s="106"/>
    </row>
    <row r="106">
      <c r="C106" s="79"/>
      <c r="D106" s="79"/>
      <c r="E106" s="79"/>
      <c r="N106" s="79"/>
      <c r="Q106" s="79"/>
      <c r="S106" s="79"/>
      <c r="T106" s="79"/>
      <c r="X106" s="79"/>
      <c r="AA106" s="130"/>
      <c r="AC106" s="106"/>
    </row>
    <row r="107">
      <c r="C107" s="79"/>
      <c r="D107" s="79"/>
      <c r="E107" s="79"/>
      <c r="N107" s="79"/>
      <c r="Q107" s="79"/>
      <c r="S107" s="79"/>
      <c r="T107" s="79"/>
      <c r="X107" s="79"/>
      <c r="AA107" s="130"/>
      <c r="AC107" s="106"/>
    </row>
    <row r="108">
      <c r="C108" s="79"/>
      <c r="D108" s="79"/>
      <c r="E108" s="79"/>
      <c r="N108" s="79"/>
      <c r="Q108" s="79"/>
      <c r="S108" s="79"/>
      <c r="T108" s="79"/>
      <c r="X108" s="79"/>
      <c r="AA108" s="130"/>
      <c r="AC108" s="106"/>
    </row>
    <row r="109">
      <c r="C109" s="79"/>
      <c r="D109" s="79"/>
      <c r="E109" s="79"/>
      <c r="N109" s="79"/>
      <c r="Q109" s="79"/>
      <c r="S109" s="79"/>
      <c r="T109" s="79"/>
      <c r="X109" s="79"/>
      <c r="AA109" s="130"/>
      <c r="AC109" s="106"/>
    </row>
    <row r="110">
      <c r="C110" s="79"/>
      <c r="D110" s="79"/>
      <c r="E110" s="79"/>
      <c r="N110" s="79"/>
      <c r="Q110" s="79"/>
      <c r="S110" s="79"/>
      <c r="T110" s="79"/>
      <c r="X110" s="79"/>
      <c r="AA110" s="130"/>
      <c r="AC110" s="106"/>
    </row>
    <row r="111">
      <c r="C111" s="79"/>
      <c r="D111" s="79"/>
      <c r="E111" s="79"/>
      <c r="N111" s="79"/>
      <c r="Q111" s="79"/>
      <c r="S111" s="79"/>
      <c r="T111" s="79"/>
      <c r="X111" s="79"/>
      <c r="AA111" s="130"/>
      <c r="AC111" s="106"/>
    </row>
    <row r="112">
      <c r="C112" s="79"/>
      <c r="D112" s="79"/>
      <c r="E112" s="79"/>
      <c r="N112" s="79"/>
      <c r="Q112" s="79"/>
      <c r="S112" s="79"/>
      <c r="T112" s="79"/>
      <c r="X112" s="79"/>
      <c r="AA112" s="130"/>
      <c r="AC112" s="106"/>
    </row>
    <row r="113">
      <c r="C113" s="79"/>
      <c r="D113" s="79"/>
      <c r="E113" s="79"/>
      <c r="N113" s="79"/>
      <c r="Q113" s="79"/>
      <c r="S113" s="79"/>
      <c r="T113" s="79"/>
      <c r="X113" s="79"/>
      <c r="AA113" s="130"/>
      <c r="AC113" s="106"/>
    </row>
    <row r="114">
      <c r="C114" s="79"/>
      <c r="D114" s="79"/>
      <c r="E114" s="79"/>
      <c r="N114" s="79"/>
      <c r="Q114" s="79"/>
      <c r="S114" s="79"/>
      <c r="T114" s="79"/>
      <c r="X114" s="79"/>
      <c r="AA114" s="130"/>
      <c r="AC114" s="106"/>
    </row>
    <row r="115">
      <c r="C115" s="79"/>
      <c r="D115" s="79"/>
      <c r="E115" s="79"/>
      <c r="N115" s="79"/>
      <c r="Q115" s="79"/>
      <c r="S115" s="79"/>
      <c r="T115" s="79"/>
      <c r="X115" s="79"/>
      <c r="AA115" s="130"/>
      <c r="AC115" s="106"/>
    </row>
    <row r="116">
      <c r="C116" s="79"/>
      <c r="D116" s="79"/>
      <c r="E116" s="79"/>
      <c r="N116" s="79"/>
      <c r="Q116" s="79"/>
      <c r="S116" s="79"/>
      <c r="T116" s="79"/>
      <c r="X116" s="79"/>
      <c r="AA116" s="130"/>
      <c r="AC116" s="106"/>
    </row>
    <row r="117">
      <c r="C117" s="79"/>
      <c r="D117" s="79"/>
      <c r="E117" s="79"/>
      <c r="N117" s="79"/>
      <c r="Q117" s="79"/>
      <c r="S117" s="79"/>
      <c r="T117" s="79"/>
      <c r="X117" s="79"/>
      <c r="AA117" s="130"/>
      <c r="AC117" s="106"/>
    </row>
    <row r="118">
      <c r="C118" s="79"/>
      <c r="D118" s="79"/>
      <c r="E118" s="79"/>
      <c r="N118" s="79"/>
      <c r="Q118" s="79"/>
      <c r="S118" s="79"/>
      <c r="T118" s="79"/>
      <c r="X118" s="79"/>
      <c r="AA118" s="130"/>
      <c r="AC118" s="106"/>
    </row>
    <row r="119">
      <c r="C119" s="79"/>
      <c r="D119" s="79"/>
      <c r="E119" s="79"/>
      <c r="N119" s="79"/>
      <c r="Q119" s="79"/>
      <c r="S119" s="79"/>
      <c r="T119" s="79"/>
      <c r="X119" s="79"/>
      <c r="AA119" s="130"/>
      <c r="AC119" s="106"/>
    </row>
    <row r="120">
      <c r="C120" s="79"/>
      <c r="D120" s="79"/>
      <c r="E120" s="79"/>
      <c r="N120" s="79"/>
      <c r="Q120" s="79"/>
      <c r="S120" s="79"/>
      <c r="T120" s="79"/>
      <c r="X120" s="79"/>
      <c r="AA120" s="130"/>
      <c r="AC120" s="106"/>
    </row>
    <row r="121">
      <c r="C121" s="79"/>
      <c r="D121" s="79"/>
      <c r="E121" s="79"/>
      <c r="N121" s="79"/>
      <c r="Q121" s="79"/>
      <c r="S121" s="79"/>
      <c r="T121" s="79"/>
      <c r="X121" s="79"/>
      <c r="AA121" s="130"/>
      <c r="AC121" s="106"/>
    </row>
    <row r="122">
      <c r="C122" s="79"/>
      <c r="D122" s="79"/>
      <c r="E122" s="79"/>
      <c r="N122" s="79"/>
      <c r="Q122" s="79"/>
      <c r="S122" s="79"/>
      <c r="T122" s="79"/>
      <c r="X122" s="79"/>
      <c r="AA122" s="130"/>
      <c r="AC122" s="106"/>
    </row>
    <row r="123">
      <c r="C123" s="79"/>
      <c r="D123" s="79"/>
      <c r="E123" s="79"/>
      <c r="N123" s="79"/>
      <c r="Q123" s="79"/>
      <c r="S123" s="79"/>
      <c r="T123" s="79"/>
      <c r="X123" s="79"/>
      <c r="AA123" s="130"/>
      <c r="AC123" s="106"/>
    </row>
    <row r="124">
      <c r="C124" s="79"/>
      <c r="D124" s="79"/>
      <c r="E124" s="79"/>
      <c r="N124" s="79"/>
      <c r="Q124" s="79"/>
      <c r="S124" s="79"/>
      <c r="T124" s="79"/>
      <c r="X124" s="79"/>
      <c r="AA124" s="130"/>
      <c r="AC124" s="106"/>
    </row>
    <row r="125">
      <c r="C125" s="79"/>
      <c r="D125" s="79"/>
      <c r="E125" s="79"/>
      <c r="N125" s="79"/>
      <c r="Q125" s="79"/>
      <c r="S125" s="79"/>
      <c r="T125" s="79"/>
      <c r="X125" s="79"/>
      <c r="AA125" s="130"/>
      <c r="AC125" s="106"/>
    </row>
    <row r="126">
      <c r="C126" s="79"/>
      <c r="D126" s="79"/>
      <c r="E126" s="79"/>
      <c r="N126" s="79"/>
      <c r="Q126" s="79"/>
      <c r="S126" s="79"/>
      <c r="T126" s="79"/>
      <c r="X126" s="79"/>
      <c r="AA126" s="130"/>
      <c r="AC126" s="106"/>
    </row>
    <row r="127">
      <c r="C127" s="79"/>
      <c r="D127" s="79"/>
      <c r="E127" s="79"/>
      <c r="N127" s="79"/>
      <c r="Q127" s="79"/>
      <c r="S127" s="79"/>
      <c r="T127" s="79"/>
      <c r="X127" s="79"/>
      <c r="AA127" s="130"/>
      <c r="AC127" s="106"/>
    </row>
    <row r="128">
      <c r="C128" s="79"/>
      <c r="D128" s="79"/>
      <c r="E128" s="79"/>
      <c r="N128" s="79"/>
      <c r="Q128" s="79"/>
      <c r="S128" s="79"/>
      <c r="T128" s="79"/>
      <c r="X128" s="79"/>
      <c r="AA128" s="130"/>
      <c r="AC128" s="106"/>
    </row>
    <row r="129">
      <c r="C129" s="79"/>
      <c r="D129" s="79"/>
      <c r="E129" s="79"/>
      <c r="N129" s="79"/>
      <c r="Q129" s="79"/>
      <c r="S129" s="79"/>
      <c r="T129" s="79"/>
      <c r="X129" s="79"/>
      <c r="AA129" s="130"/>
      <c r="AC129" s="106"/>
    </row>
    <row r="130">
      <c r="C130" s="79"/>
      <c r="D130" s="79"/>
      <c r="E130" s="79"/>
      <c r="N130" s="79"/>
      <c r="Q130" s="79"/>
      <c r="S130" s="79"/>
      <c r="T130" s="79"/>
      <c r="X130" s="79"/>
      <c r="AA130" s="130"/>
      <c r="AC130" s="106"/>
    </row>
    <row r="131">
      <c r="C131" s="79"/>
      <c r="D131" s="79"/>
      <c r="E131" s="79"/>
      <c r="N131" s="79"/>
      <c r="Q131" s="79"/>
      <c r="S131" s="79"/>
      <c r="T131" s="79"/>
      <c r="X131" s="79"/>
      <c r="AA131" s="130"/>
      <c r="AC131" s="106"/>
    </row>
    <row r="132">
      <c r="C132" s="79"/>
      <c r="D132" s="79"/>
      <c r="E132" s="79"/>
      <c r="N132" s="79"/>
      <c r="Q132" s="79"/>
      <c r="S132" s="79"/>
      <c r="T132" s="79"/>
      <c r="X132" s="79"/>
      <c r="AA132" s="130"/>
      <c r="AC132" s="106"/>
    </row>
    <row r="133">
      <c r="C133" s="79"/>
      <c r="D133" s="79"/>
      <c r="E133" s="79"/>
      <c r="N133" s="79"/>
      <c r="Q133" s="79"/>
      <c r="S133" s="79"/>
      <c r="T133" s="79"/>
      <c r="X133" s="79"/>
      <c r="AA133" s="130"/>
      <c r="AC133" s="106"/>
    </row>
    <row r="134">
      <c r="C134" s="79"/>
      <c r="D134" s="79"/>
      <c r="E134" s="79"/>
      <c r="N134" s="79"/>
      <c r="Q134" s="79"/>
      <c r="S134" s="79"/>
      <c r="T134" s="79"/>
      <c r="X134" s="79"/>
      <c r="AA134" s="130"/>
      <c r="AC134" s="106"/>
    </row>
    <row r="135">
      <c r="C135" s="79"/>
      <c r="D135" s="79"/>
      <c r="E135" s="79"/>
      <c r="N135" s="79"/>
      <c r="Q135" s="79"/>
      <c r="S135" s="79"/>
      <c r="T135" s="79"/>
      <c r="X135" s="79"/>
      <c r="AA135" s="130"/>
      <c r="AC135" s="106"/>
    </row>
    <row r="136">
      <c r="C136" s="79"/>
      <c r="D136" s="79"/>
      <c r="E136" s="79"/>
      <c r="N136" s="79"/>
      <c r="Q136" s="79"/>
      <c r="S136" s="79"/>
      <c r="T136" s="79"/>
      <c r="X136" s="79"/>
      <c r="AA136" s="130"/>
      <c r="AC136" s="106"/>
    </row>
    <row r="137">
      <c r="C137" s="79"/>
      <c r="D137" s="79"/>
      <c r="E137" s="79"/>
      <c r="N137" s="79"/>
      <c r="Q137" s="79"/>
      <c r="S137" s="79"/>
      <c r="T137" s="79"/>
      <c r="X137" s="79"/>
      <c r="AA137" s="130"/>
      <c r="AC137" s="106"/>
    </row>
    <row r="138">
      <c r="C138" s="79"/>
      <c r="D138" s="79"/>
      <c r="E138" s="79"/>
      <c r="N138" s="79"/>
      <c r="Q138" s="79"/>
      <c r="S138" s="79"/>
      <c r="T138" s="79"/>
      <c r="X138" s="79"/>
      <c r="AA138" s="130"/>
      <c r="AC138" s="106"/>
    </row>
    <row r="139">
      <c r="C139" s="79"/>
      <c r="D139" s="79"/>
      <c r="E139" s="79"/>
      <c r="N139" s="79"/>
      <c r="Q139" s="79"/>
      <c r="S139" s="79"/>
      <c r="T139" s="79"/>
      <c r="X139" s="79"/>
      <c r="AA139" s="130"/>
      <c r="AC139" s="106"/>
    </row>
    <row r="140">
      <c r="C140" s="79"/>
      <c r="D140" s="79"/>
      <c r="E140" s="79"/>
      <c r="N140" s="79"/>
      <c r="Q140" s="79"/>
      <c r="S140" s="79"/>
      <c r="T140" s="79"/>
      <c r="X140" s="79"/>
      <c r="AA140" s="130"/>
      <c r="AC140" s="106"/>
    </row>
    <row r="141">
      <c r="C141" s="79"/>
      <c r="D141" s="79"/>
      <c r="E141" s="79"/>
      <c r="N141" s="79"/>
      <c r="Q141" s="79"/>
      <c r="S141" s="79"/>
      <c r="T141" s="79"/>
      <c r="X141" s="79"/>
      <c r="AA141" s="130"/>
      <c r="AC141" s="106"/>
    </row>
    <row r="142">
      <c r="C142" s="79"/>
      <c r="D142" s="79"/>
      <c r="E142" s="79"/>
      <c r="N142" s="79"/>
      <c r="Q142" s="79"/>
      <c r="S142" s="79"/>
      <c r="T142" s="79"/>
      <c r="X142" s="79"/>
      <c r="AA142" s="130"/>
      <c r="AC142" s="106"/>
    </row>
    <row r="143">
      <c r="C143" s="79"/>
      <c r="D143" s="79"/>
      <c r="E143" s="79"/>
      <c r="N143" s="79"/>
      <c r="Q143" s="79"/>
      <c r="S143" s="79"/>
      <c r="T143" s="79"/>
      <c r="X143" s="79"/>
      <c r="AA143" s="130"/>
      <c r="AC143" s="106"/>
    </row>
    <row r="144">
      <c r="C144" s="79"/>
      <c r="D144" s="79"/>
      <c r="E144" s="79"/>
      <c r="N144" s="79"/>
      <c r="Q144" s="79"/>
      <c r="S144" s="79"/>
      <c r="T144" s="79"/>
      <c r="X144" s="79"/>
      <c r="AA144" s="130"/>
      <c r="AC144" s="106"/>
    </row>
    <row r="145">
      <c r="C145" s="79"/>
      <c r="D145" s="79"/>
      <c r="E145" s="79"/>
      <c r="N145" s="79"/>
      <c r="Q145" s="79"/>
      <c r="S145" s="79"/>
      <c r="T145" s="79"/>
      <c r="X145" s="79"/>
      <c r="AA145" s="130"/>
      <c r="AC145" s="106"/>
    </row>
    <row r="146">
      <c r="C146" s="79"/>
      <c r="D146" s="79"/>
      <c r="E146" s="79"/>
      <c r="N146" s="79"/>
      <c r="Q146" s="79"/>
      <c r="S146" s="79"/>
      <c r="T146" s="79"/>
      <c r="X146" s="79"/>
      <c r="AA146" s="130"/>
      <c r="AC146" s="106"/>
    </row>
    <row r="147">
      <c r="C147" s="79"/>
      <c r="D147" s="79"/>
      <c r="E147" s="79"/>
      <c r="N147" s="79"/>
      <c r="Q147" s="79"/>
      <c r="S147" s="79"/>
      <c r="T147" s="79"/>
      <c r="X147" s="79"/>
      <c r="AA147" s="130"/>
      <c r="AC147" s="106"/>
    </row>
    <row r="148">
      <c r="C148" s="79"/>
      <c r="D148" s="79"/>
      <c r="E148" s="79"/>
      <c r="N148" s="79"/>
      <c r="Q148" s="79"/>
      <c r="S148" s="79"/>
      <c r="T148" s="79"/>
      <c r="X148" s="79"/>
      <c r="AA148" s="130"/>
      <c r="AC148" s="106"/>
    </row>
    <row r="149">
      <c r="C149" s="79"/>
      <c r="D149" s="79"/>
      <c r="E149" s="79"/>
      <c r="N149" s="79"/>
      <c r="Q149" s="79"/>
      <c r="S149" s="79"/>
      <c r="T149" s="79"/>
      <c r="X149" s="79"/>
      <c r="AA149" s="130"/>
      <c r="AC149" s="106"/>
    </row>
    <row r="150">
      <c r="C150" s="79"/>
      <c r="D150" s="79"/>
      <c r="E150" s="79"/>
      <c r="N150" s="79"/>
      <c r="Q150" s="79"/>
      <c r="S150" s="79"/>
      <c r="T150" s="79"/>
      <c r="X150" s="79"/>
      <c r="AA150" s="130"/>
      <c r="AC150" s="106"/>
    </row>
    <row r="151">
      <c r="C151" s="79"/>
      <c r="D151" s="79"/>
      <c r="E151" s="79"/>
      <c r="N151" s="79"/>
      <c r="Q151" s="79"/>
      <c r="S151" s="79"/>
      <c r="T151" s="79"/>
      <c r="X151" s="79"/>
      <c r="AA151" s="130"/>
      <c r="AC151" s="106"/>
    </row>
    <row r="152">
      <c r="C152" s="79"/>
      <c r="D152" s="79"/>
      <c r="E152" s="79"/>
      <c r="N152" s="79"/>
      <c r="Q152" s="79"/>
      <c r="S152" s="79"/>
      <c r="T152" s="79"/>
      <c r="X152" s="79"/>
      <c r="AA152" s="130"/>
      <c r="AC152" s="106"/>
    </row>
    <row r="153">
      <c r="C153" s="79"/>
      <c r="D153" s="79"/>
      <c r="E153" s="79"/>
      <c r="N153" s="79"/>
      <c r="Q153" s="79"/>
      <c r="S153" s="79"/>
      <c r="T153" s="79"/>
      <c r="X153" s="79"/>
      <c r="AA153" s="130"/>
      <c r="AC153" s="106"/>
    </row>
    <row r="154">
      <c r="C154" s="79"/>
      <c r="D154" s="79"/>
      <c r="E154" s="79"/>
      <c r="N154" s="79"/>
      <c r="Q154" s="79"/>
      <c r="S154" s="79"/>
      <c r="T154" s="79"/>
      <c r="X154" s="79"/>
      <c r="AA154" s="130"/>
      <c r="AC154" s="106"/>
    </row>
    <row r="155">
      <c r="C155" s="79"/>
      <c r="D155" s="79"/>
      <c r="E155" s="79"/>
      <c r="N155" s="79"/>
      <c r="Q155" s="79"/>
      <c r="S155" s="79"/>
      <c r="T155" s="79"/>
      <c r="X155" s="79"/>
      <c r="AA155" s="130"/>
      <c r="AC155" s="106"/>
    </row>
    <row r="156">
      <c r="C156" s="79"/>
      <c r="D156" s="79"/>
      <c r="E156" s="79"/>
      <c r="N156" s="79"/>
      <c r="Q156" s="79"/>
      <c r="S156" s="79"/>
      <c r="T156" s="79"/>
      <c r="X156" s="79"/>
      <c r="AA156" s="130"/>
      <c r="AC156" s="106"/>
    </row>
    <row r="157">
      <c r="C157" s="79"/>
      <c r="D157" s="79"/>
      <c r="E157" s="79"/>
      <c r="N157" s="79"/>
      <c r="Q157" s="79"/>
      <c r="S157" s="79"/>
      <c r="T157" s="79"/>
      <c r="X157" s="79"/>
      <c r="AA157" s="130"/>
      <c r="AC157" s="106"/>
    </row>
    <row r="158">
      <c r="C158" s="79"/>
      <c r="D158" s="79"/>
      <c r="E158" s="79"/>
      <c r="N158" s="79"/>
      <c r="Q158" s="79"/>
      <c r="S158" s="79"/>
      <c r="T158" s="79"/>
      <c r="X158" s="79"/>
      <c r="AA158" s="130"/>
      <c r="AC158" s="106"/>
    </row>
    <row r="159">
      <c r="C159" s="79"/>
      <c r="D159" s="79"/>
      <c r="E159" s="79"/>
      <c r="N159" s="79"/>
      <c r="Q159" s="79"/>
      <c r="S159" s="79"/>
      <c r="T159" s="79"/>
      <c r="X159" s="79"/>
      <c r="AA159" s="130"/>
      <c r="AC159" s="106"/>
    </row>
    <row r="160">
      <c r="C160" s="79"/>
      <c r="D160" s="79"/>
      <c r="E160" s="79"/>
      <c r="N160" s="79"/>
      <c r="Q160" s="79"/>
      <c r="S160" s="79"/>
      <c r="T160" s="79"/>
      <c r="X160" s="79"/>
      <c r="AA160" s="130"/>
      <c r="AC160" s="106"/>
    </row>
    <row r="161">
      <c r="C161" s="79"/>
      <c r="D161" s="79"/>
      <c r="E161" s="79"/>
      <c r="N161" s="79"/>
      <c r="Q161" s="79"/>
      <c r="S161" s="79"/>
      <c r="T161" s="79"/>
      <c r="X161" s="79"/>
      <c r="AA161" s="130"/>
      <c r="AC161" s="106"/>
    </row>
    <row r="162">
      <c r="C162" s="79"/>
      <c r="D162" s="79"/>
      <c r="E162" s="79"/>
      <c r="N162" s="79"/>
      <c r="Q162" s="79"/>
      <c r="S162" s="79"/>
      <c r="T162" s="79"/>
      <c r="X162" s="79"/>
      <c r="AA162" s="130"/>
      <c r="AC162" s="106"/>
    </row>
    <row r="163">
      <c r="C163" s="79"/>
      <c r="D163" s="79"/>
      <c r="E163" s="79"/>
      <c r="N163" s="79"/>
      <c r="Q163" s="79"/>
      <c r="S163" s="79"/>
      <c r="T163" s="79"/>
      <c r="X163" s="79"/>
      <c r="AA163" s="130"/>
      <c r="AC163" s="106"/>
    </row>
    <row r="164">
      <c r="C164" s="79"/>
      <c r="D164" s="79"/>
      <c r="E164" s="79"/>
      <c r="N164" s="79"/>
      <c r="Q164" s="79"/>
      <c r="S164" s="79"/>
      <c r="T164" s="79"/>
      <c r="X164" s="79"/>
      <c r="AA164" s="130"/>
      <c r="AC164" s="106"/>
    </row>
    <row r="165">
      <c r="C165" s="79"/>
      <c r="D165" s="79"/>
      <c r="E165" s="79"/>
      <c r="N165" s="79"/>
      <c r="Q165" s="79"/>
      <c r="S165" s="79"/>
      <c r="T165" s="79"/>
      <c r="X165" s="79"/>
      <c r="AA165" s="130"/>
      <c r="AC165" s="106"/>
    </row>
    <row r="166">
      <c r="C166" s="79"/>
      <c r="D166" s="79"/>
      <c r="E166" s="79"/>
      <c r="N166" s="79"/>
      <c r="Q166" s="79"/>
      <c r="S166" s="79"/>
      <c r="T166" s="79"/>
      <c r="X166" s="79"/>
      <c r="AA166" s="130"/>
      <c r="AC166" s="106"/>
    </row>
    <row r="167">
      <c r="C167" s="79"/>
      <c r="D167" s="79"/>
      <c r="E167" s="79"/>
      <c r="N167" s="79"/>
      <c r="Q167" s="79"/>
      <c r="S167" s="79"/>
      <c r="T167" s="79"/>
      <c r="X167" s="79"/>
      <c r="AA167" s="130"/>
      <c r="AC167" s="106"/>
    </row>
    <row r="168">
      <c r="C168" s="79"/>
      <c r="D168" s="79"/>
      <c r="E168" s="79"/>
      <c r="N168" s="79"/>
      <c r="Q168" s="79"/>
      <c r="S168" s="79"/>
      <c r="T168" s="79"/>
      <c r="X168" s="79"/>
      <c r="AA168" s="130"/>
      <c r="AC168" s="106"/>
    </row>
    <row r="169">
      <c r="C169" s="79"/>
      <c r="D169" s="79"/>
      <c r="E169" s="79"/>
      <c r="N169" s="79"/>
      <c r="Q169" s="79"/>
      <c r="S169" s="79"/>
      <c r="T169" s="79"/>
      <c r="X169" s="79"/>
      <c r="AA169" s="130"/>
      <c r="AC169" s="106"/>
    </row>
    <row r="170">
      <c r="C170" s="79"/>
      <c r="D170" s="79"/>
      <c r="E170" s="79"/>
      <c r="N170" s="79"/>
      <c r="Q170" s="79"/>
      <c r="S170" s="79"/>
      <c r="T170" s="79"/>
      <c r="X170" s="79"/>
      <c r="AA170" s="130"/>
      <c r="AC170" s="106"/>
    </row>
    <row r="171">
      <c r="C171" s="79"/>
      <c r="D171" s="79"/>
      <c r="E171" s="79"/>
      <c r="N171" s="79"/>
      <c r="Q171" s="79"/>
      <c r="S171" s="79"/>
      <c r="T171" s="79"/>
      <c r="X171" s="79"/>
      <c r="AA171" s="130"/>
      <c r="AC171" s="106"/>
    </row>
    <row r="172">
      <c r="C172" s="79"/>
      <c r="D172" s="79"/>
      <c r="E172" s="79"/>
      <c r="N172" s="79"/>
      <c r="Q172" s="79"/>
      <c r="S172" s="79"/>
      <c r="T172" s="79"/>
      <c r="X172" s="79"/>
      <c r="AA172" s="130"/>
      <c r="AC172" s="106"/>
    </row>
    <row r="173">
      <c r="C173" s="79"/>
      <c r="D173" s="79"/>
      <c r="E173" s="79"/>
      <c r="N173" s="79"/>
      <c r="Q173" s="79"/>
      <c r="S173" s="79"/>
      <c r="T173" s="79"/>
      <c r="X173" s="79"/>
      <c r="AA173" s="130"/>
      <c r="AC173" s="106"/>
    </row>
    <row r="174">
      <c r="C174" s="79"/>
      <c r="D174" s="79"/>
      <c r="E174" s="79"/>
      <c r="N174" s="79"/>
      <c r="Q174" s="79"/>
      <c r="S174" s="79"/>
      <c r="T174" s="79"/>
      <c r="X174" s="79"/>
      <c r="AA174" s="130"/>
      <c r="AC174" s="106"/>
    </row>
    <row r="175">
      <c r="C175" s="79"/>
      <c r="D175" s="79"/>
      <c r="E175" s="79"/>
      <c r="N175" s="79"/>
      <c r="Q175" s="79"/>
      <c r="S175" s="79"/>
      <c r="T175" s="79"/>
      <c r="X175" s="79"/>
      <c r="AA175" s="130"/>
      <c r="AC175" s="106"/>
    </row>
    <row r="176">
      <c r="C176" s="79"/>
      <c r="D176" s="79"/>
      <c r="E176" s="79"/>
      <c r="N176" s="79"/>
      <c r="Q176" s="79"/>
      <c r="S176" s="79"/>
      <c r="T176" s="79"/>
      <c r="X176" s="79"/>
      <c r="AA176" s="130"/>
      <c r="AC176" s="106"/>
    </row>
    <row r="177">
      <c r="C177" s="79"/>
      <c r="D177" s="79"/>
      <c r="E177" s="79"/>
      <c r="N177" s="79"/>
      <c r="Q177" s="79"/>
      <c r="S177" s="79"/>
      <c r="T177" s="79"/>
      <c r="X177" s="79"/>
      <c r="AA177" s="130"/>
      <c r="AC177" s="106"/>
    </row>
    <row r="178">
      <c r="C178" s="79"/>
      <c r="D178" s="79"/>
      <c r="E178" s="79"/>
      <c r="N178" s="79"/>
      <c r="Q178" s="79"/>
      <c r="S178" s="79"/>
      <c r="T178" s="79"/>
      <c r="X178" s="79"/>
      <c r="AA178" s="130"/>
      <c r="AC178" s="106"/>
    </row>
    <row r="179">
      <c r="C179" s="79"/>
      <c r="D179" s="79"/>
      <c r="E179" s="79"/>
      <c r="N179" s="79"/>
      <c r="Q179" s="79"/>
      <c r="S179" s="79"/>
      <c r="T179" s="79"/>
      <c r="X179" s="79"/>
      <c r="AA179" s="130"/>
      <c r="AC179" s="106"/>
    </row>
    <row r="180">
      <c r="C180" s="79"/>
      <c r="D180" s="79"/>
      <c r="E180" s="79"/>
      <c r="N180" s="79"/>
      <c r="Q180" s="79"/>
      <c r="S180" s="79"/>
      <c r="T180" s="79"/>
      <c r="X180" s="79"/>
      <c r="AA180" s="130"/>
      <c r="AC180" s="106"/>
    </row>
    <row r="181">
      <c r="C181" s="79"/>
      <c r="D181" s="79"/>
      <c r="E181" s="79"/>
      <c r="N181" s="79"/>
      <c r="Q181" s="79"/>
      <c r="S181" s="79"/>
      <c r="T181" s="79"/>
      <c r="X181" s="79"/>
      <c r="AA181" s="130"/>
      <c r="AC181" s="106"/>
    </row>
    <row r="182">
      <c r="C182" s="79"/>
      <c r="D182" s="79"/>
      <c r="E182" s="79"/>
      <c r="N182" s="79"/>
      <c r="Q182" s="79"/>
      <c r="S182" s="79"/>
      <c r="T182" s="79"/>
      <c r="X182" s="79"/>
      <c r="AA182" s="130"/>
      <c r="AC182" s="106"/>
    </row>
    <row r="183">
      <c r="C183" s="79"/>
      <c r="D183" s="79"/>
      <c r="E183" s="79"/>
      <c r="N183" s="79"/>
      <c r="Q183" s="79"/>
      <c r="S183" s="79"/>
      <c r="T183" s="79"/>
      <c r="X183" s="79"/>
      <c r="AA183" s="130"/>
      <c r="AC183" s="106"/>
    </row>
    <row r="184">
      <c r="C184" s="79"/>
      <c r="D184" s="79"/>
      <c r="E184" s="79"/>
      <c r="N184" s="79"/>
      <c r="Q184" s="79"/>
      <c r="S184" s="79"/>
      <c r="T184" s="79"/>
      <c r="X184" s="79"/>
      <c r="AA184" s="130"/>
      <c r="AC184" s="106"/>
    </row>
    <row r="185">
      <c r="C185" s="79"/>
      <c r="D185" s="79"/>
      <c r="E185" s="79"/>
      <c r="N185" s="79"/>
      <c r="Q185" s="79"/>
      <c r="S185" s="79"/>
      <c r="T185" s="79"/>
      <c r="X185" s="79"/>
      <c r="AA185" s="130"/>
      <c r="AC185" s="106"/>
    </row>
    <row r="186">
      <c r="C186" s="79"/>
      <c r="D186" s="79"/>
      <c r="E186" s="79"/>
      <c r="N186" s="79"/>
      <c r="Q186" s="79"/>
      <c r="S186" s="79"/>
      <c r="T186" s="79"/>
      <c r="X186" s="79"/>
      <c r="AA186" s="130"/>
      <c r="AC186" s="106"/>
    </row>
    <row r="187">
      <c r="C187" s="79"/>
      <c r="D187" s="79"/>
      <c r="E187" s="79"/>
      <c r="N187" s="79"/>
      <c r="Q187" s="79"/>
      <c r="S187" s="79"/>
      <c r="T187" s="79"/>
      <c r="X187" s="79"/>
      <c r="AA187" s="130"/>
      <c r="AC187" s="106"/>
    </row>
    <row r="188">
      <c r="C188" s="79"/>
      <c r="D188" s="79"/>
      <c r="E188" s="79"/>
      <c r="N188" s="79"/>
      <c r="Q188" s="79"/>
      <c r="S188" s="79"/>
      <c r="T188" s="79"/>
      <c r="X188" s="79"/>
      <c r="AA188" s="130"/>
      <c r="AC188" s="106"/>
    </row>
    <row r="189">
      <c r="C189" s="79"/>
      <c r="D189" s="79"/>
      <c r="E189" s="79"/>
      <c r="N189" s="79"/>
      <c r="Q189" s="79"/>
      <c r="S189" s="79"/>
      <c r="T189" s="79"/>
      <c r="X189" s="79"/>
      <c r="AA189" s="130"/>
      <c r="AC189" s="106"/>
    </row>
    <row r="190">
      <c r="C190" s="79"/>
      <c r="D190" s="79"/>
      <c r="E190" s="79"/>
      <c r="N190" s="79"/>
      <c r="Q190" s="79"/>
      <c r="S190" s="79"/>
      <c r="T190" s="79"/>
      <c r="X190" s="79"/>
      <c r="AA190" s="130"/>
      <c r="AC190" s="106"/>
    </row>
    <row r="191">
      <c r="C191" s="79"/>
      <c r="D191" s="79"/>
      <c r="E191" s="79"/>
      <c r="N191" s="79"/>
      <c r="Q191" s="79"/>
      <c r="S191" s="79"/>
      <c r="T191" s="79"/>
      <c r="X191" s="79"/>
      <c r="AA191" s="130"/>
      <c r="AC191" s="106"/>
    </row>
    <row r="192">
      <c r="C192" s="79"/>
      <c r="D192" s="79"/>
      <c r="E192" s="79"/>
      <c r="N192" s="79"/>
      <c r="Q192" s="79"/>
      <c r="S192" s="79"/>
      <c r="T192" s="79"/>
      <c r="X192" s="79"/>
      <c r="AA192" s="130"/>
      <c r="AC192" s="106"/>
    </row>
    <row r="193">
      <c r="C193" s="79"/>
      <c r="D193" s="79"/>
      <c r="E193" s="79"/>
      <c r="N193" s="79"/>
      <c r="Q193" s="79"/>
      <c r="S193" s="79"/>
      <c r="T193" s="79"/>
      <c r="X193" s="79"/>
      <c r="AA193" s="130"/>
      <c r="AC193" s="106"/>
    </row>
    <row r="194">
      <c r="C194" s="79"/>
      <c r="D194" s="79"/>
      <c r="E194" s="79"/>
      <c r="N194" s="79"/>
      <c r="Q194" s="79"/>
      <c r="S194" s="79"/>
      <c r="T194" s="79"/>
      <c r="X194" s="79"/>
      <c r="AA194" s="130"/>
      <c r="AC194" s="106"/>
    </row>
    <row r="195">
      <c r="C195" s="79"/>
      <c r="D195" s="79"/>
      <c r="E195" s="79"/>
      <c r="N195" s="79"/>
      <c r="Q195" s="79"/>
      <c r="S195" s="79"/>
      <c r="T195" s="79"/>
      <c r="X195" s="79"/>
      <c r="AA195" s="130"/>
      <c r="AC195" s="106"/>
    </row>
    <row r="196">
      <c r="C196" s="79"/>
      <c r="D196" s="79"/>
      <c r="E196" s="79"/>
      <c r="N196" s="79"/>
      <c r="Q196" s="79"/>
      <c r="S196" s="79"/>
      <c r="T196" s="79"/>
      <c r="X196" s="79"/>
      <c r="AA196" s="130"/>
      <c r="AC196" s="106"/>
    </row>
    <row r="197">
      <c r="C197" s="79"/>
      <c r="D197" s="79"/>
      <c r="E197" s="79"/>
      <c r="N197" s="79"/>
      <c r="Q197" s="79"/>
      <c r="S197" s="79"/>
      <c r="T197" s="79"/>
      <c r="X197" s="79"/>
      <c r="AA197" s="130"/>
      <c r="AC197" s="106"/>
    </row>
    <row r="198">
      <c r="C198" s="79"/>
      <c r="D198" s="79"/>
      <c r="E198" s="79"/>
      <c r="N198" s="79"/>
      <c r="Q198" s="79"/>
      <c r="S198" s="79"/>
      <c r="T198" s="79"/>
      <c r="X198" s="79"/>
      <c r="AA198" s="130"/>
      <c r="AC198" s="106"/>
    </row>
    <row r="199">
      <c r="C199" s="79"/>
      <c r="D199" s="79"/>
      <c r="E199" s="79"/>
      <c r="N199" s="79"/>
      <c r="Q199" s="79"/>
      <c r="S199" s="79"/>
      <c r="T199" s="79"/>
      <c r="X199" s="79"/>
      <c r="AA199" s="130"/>
      <c r="AC199" s="106"/>
    </row>
    <row r="200">
      <c r="C200" s="79"/>
      <c r="D200" s="79"/>
      <c r="E200" s="79"/>
      <c r="N200" s="79"/>
      <c r="Q200" s="79"/>
      <c r="S200" s="79"/>
      <c r="T200" s="79"/>
      <c r="X200" s="79"/>
      <c r="AA200" s="130"/>
      <c r="AC200" s="106"/>
    </row>
    <row r="201">
      <c r="C201" s="79"/>
      <c r="D201" s="79"/>
      <c r="E201" s="79"/>
      <c r="N201" s="79"/>
      <c r="Q201" s="79"/>
      <c r="S201" s="79"/>
      <c r="T201" s="79"/>
      <c r="X201" s="79"/>
      <c r="AA201" s="130"/>
      <c r="AC201" s="106"/>
    </row>
    <row r="202">
      <c r="C202" s="79"/>
      <c r="D202" s="79"/>
      <c r="E202" s="79"/>
      <c r="N202" s="79"/>
      <c r="Q202" s="79"/>
      <c r="S202" s="79"/>
      <c r="T202" s="79"/>
      <c r="X202" s="79"/>
      <c r="AA202" s="130"/>
      <c r="AC202" s="106"/>
    </row>
    <row r="203">
      <c r="C203" s="79"/>
      <c r="D203" s="79"/>
      <c r="E203" s="79"/>
      <c r="N203" s="79"/>
      <c r="Q203" s="79"/>
      <c r="S203" s="79"/>
      <c r="T203" s="79"/>
      <c r="X203" s="79"/>
      <c r="AA203" s="130"/>
      <c r="AC203" s="106"/>
    </row>
    <row r="204">
      <c r="C204" s="79"/>
      <c r="D204" s="79"/>
      <c r="E204" s="79"/>
      <c r="N204" s="79"/>
      <c r="Q204" s="79"/>
      <c r="S204" s="79"/>
      <c r="T204" s="79"/>
      <c r="X204" s="79"/>
      <c r="AA204" s="130"/>
      <c r="AC204" s="106"/>
    </row>
    <row r="205">
      <c r="C205" s="79"/>
      <c r="D205" s="79"/>
      <c r="E205" s="79"/>
      <c r="N205" s="79"/>
      <c r="Q205" s="79"/>
      <c r="S205" s="79"/>
      <c r="T205" s="79"/>
      <c r="X205" s="79"/>
      <c r="AA205" s="130"/>
      <c r="AC205" s="106"/>
    </row>
    <row r="206">
      <c r="C206" s="79"/>
      <c r="D206" s="79"/>
      <c r="E206" s="79"/>
      <c r="N206" s="79"/>
      <c r="Q206" s="79"/>
      <c r="S206" s="79"/>
      <c r="T206" s="79"/>
      <c r="X206" s="79"/>
      <c r="AA206" s="130"/>
      <c r="AC206" s="106"/>
    </row>
    <row r="207">
      <c r="C207" s="79"/>
      <c r="D207" s="79"/>
      <c r="E207" s="79"/>
      <c r="N207" s="79"/>
      <c r="Q207" s="79"/>
      <c r="S207" s="79"/>
      <c r="T207" s="79"/>
      <c r="X207" s="79"/>
      <c r="AA207" s="130"/>
      <c r="AC207" s="106"/>
    </row>
    <row r="208">
      <c r="C208" s="79"/>
      <c r="D208" s="79"/>
      <c r="E208" s="79"/>
      <c r="N208" s="79"/>
      <c r="Q208" s="79"/>
      <c r="S208" s="79"/>
      <c r="T208" s="79"/>
      <c r="X208" s="79"/>
      <c r="AA208" s="130"/>
      <c r="AC208" s="106"/>
    </row>
    <row r="209">
      <c r="C209" s="79"/>
      <c r="D209" s="79"/>
      <c r="E209" s="79"/>
      <c r="N209" s="79"/>
      <c r="Q209" s="79"/>
      <c r="S209" s="79"/>
      <c r="T209" s="79"/>
      <c r="X209" s="79"/>
      <c r="AA209" s="130"/>
      <c r="AC209" s="106"/>
    </row>
    <row r="210">
      <c r="C210" s="79"/>
      <c r="D210" s="79"/>
      <c r="E210" s="79"/>
      <c r="N210" s="79"/>
      <c r="Q210" s="79"/>
      <c r="S210" s="79"/>
      <c r="T210" s="79"/>
      <c r="X210" s="79"/>
      <c r="AA210" s="130"/>
      <c r="AC210" s="106"/>
    </row>
    <row r="211">
      <c r="C211" s="79"/>
      <c r="D211" s="79"/>
      <c r="E211" s="79"/>
      <c r="N211" s="79"/>
      <c r="Q211" s="79"/>
      <c r="S211" s="79"/>
      <c r="T211" s="79"/>
      <c r="X211" s="79"/>
      <c r="AA211" s="130"/>
      <c r="AC211" s="106"/>
    </row>
    <row r="212">
      <c r="C212" s="79"/>
      <c r="D212" s="79"/>
      <c r="E212" s="79"/>
      <c r="N212" s="79"/>
      <c r="Q212" s="79"/>
      <c r="S212" s="79"/>
      <c r="T212" s="79"/>
      <c r="X212" s="79"/>
      <c r="AA212" s="130"/>
      <c r="AC212" s="106"/>
    </row>
    <row r="213">
      <c r="C213" s="79"/>
      <c r="D213" s="79"/>
      <c r="E213" s="79"/>
      <c r="N213" s="79"/>
      <c r="Q213" s="79"/>
      <c r="S213" s="79"/>
      <c r="T213" s="79"/>
      <c r="X213" s="79"/>
      <c r="AA213" s="130"/>
      <c r="AC213" s="106"/>
    </row>
    <row r="214">
      <c r="C214" s="79"/>
      <c r="D214" s="79"/>
      <c r="E214" s="79"/>
      <c r="N214" s="79"/>
      <c r="Q214" s="79"/>
      <c r="S214" s="79"/>
      <c r="T214" s="79"/>
      <c r="X214" s="79"/>
      <c r="AA214" s="130"/>
      <c r="AC214" s="106"/>
    </row>
    <row r="215">
      <c r="C215" s="79"/>
      <c r="D215" s="79"/>
      <c r="E215" s="79"/>
      <c r="N215" s="79"/>
      <c r="Q215" s="79"/>
      <c r="S215" s="79"/>
      <c r="T215" s="79"/>
      <c r="X215" s="79"/>
      <c r="AA215" s="130"/>
      <c r="AC215" s="106"/>
    </row>
    <row r="216">
      <c r="C216" s="79"/>
      <c r="D216" s="79"/>
      <c r="E216" s="79"/>
      <c r="N216" s="79"/>
      <c r="Q216" s="79"/>
      <c r="S216" s="79"/>
      <c r="T216" s="79"/>
      <c r="X216" s="79"/>
      <c r="AA216" s="130"/>
      <c r="AC216" s="106"/>
    </row>
    <row r="217">
      <c r="C217" s="79"/>
      <c r="D217" s="79"/>
      <c r="E217" s="79"/>
      <c r="N217" s="79"/>
      <c r="Q217" s="79"/>
      <c r="S217" s="79"/>
      <c r="T217" s="79"/>
      <c r="X217" s="79"/>
      <c r="AA217" s="130"/>
      <c r="AC217" s="106"/>
    </row>
    <row r="218">
      <c r="C218" s="79"/>
      <c r="D218" s="79"/>
      <c r="E218" s="79"/>
      <c r="N218" s="79"/>
      <c r="Q218" s="79"/>
      <c r="S218" s="79"/>
      <c r="T218" s="79"/>
      <c r="X218" s="79"/>
      <c r="AA218" s="130"/>
      <c r="AC218" s="106"/>
    </row>
    <row r="219">
      <c r="C219" s="79"/>
      <c r="D219" s="79"/>
      <c r="E219" s="79"/>
      <c r="N219" s="79"/>
      <c r="Q219" s="79"/>
      <c r="S219" s="79"/>
      <c r="T219" s="79"/>
      <c r="X219" s="79"/>
      <c r="AA219" s="130"/>
      <c r="AC219" s="106"/>
    </row>
    <row r="220">
      <c r="C220" s="79"/>
      <c r="D220" s="79"/>
      <c r="E220" s="79"/>
      <c r="N220" s="79"/>
      <c r="Q220" s="79"/>
      <c r="S220" s="79"/>
      <c r="T220" s="79"/>
      <c r="X220" s="79"/>
      <c r="AA220" s="130"/>
      <c r="AC220" s="106"/>
    </row>
    <row r="221">
      <c r="C221" s="79"/>
      <c r="D221" s="79"/>
      <c r="E221" s="79"/>
      <c r="N221" s="79"/>
      <c r="Q221" s="79"/>
      <c r="S221" s="79"/>
      <c r="T221" s="79"/>
      <c r="X221" s="79"/>
      <c r="AA221" s="130"/>
      <c r="AC221" s="106"/>
    </row>
    <row r="222">
      <c r="C222" s="79"/>
      <c r="D222" s="79"/>
      <c r="E222" s="79"/>
      <c r="N222" s="79"/>
      <c r="Q222" s="79"/>
      <c r="S222" s="79"/>
      <c r="T222" s="79"/>
      <c r="X222" s="79"/>
      <c r="AA222" s="130"/>
      <c r="AC222" s="106"/>
    </row>
    <row r="223">
      <c r="C223" s="79"/>
      <c r="D223" s="79"/>
      <c r="E223" s="79"/>
      <c r="N223" s="79"/>
      <c r="Q223" s="79"/>
      <c r="S223" s="79"/>
      <c r="T223" s="79"/>
      <c r="X223" s="79"/>
      <c r="AA223" s="130"/>
      <c r="AC223" s="106"/>
    </row>
    <row r="224">
      <c r="C224" s="79"/>
      <c r="D224" s="79"/>
      <c r="E224" s="79"/>
      <c r="N224" s="79"/>
      <c r="Q224" s="79"/>
      <c r="S224" s="79"/>
      <c r="T224" s="79"/>
      <c r="X224" s="79"/>
      <c r="AA224" s="130"/>
      <c r="AC224" s="106"/>
    </row>
    <row r="225">
      <c r="C225" s="79"/>
      <c r="D225" s="79"/>
      <c r="E225" s="79"/>
      <c r="N225" s="79"/>
      <c r="Q225" s="79"/>
      <c r="S225" s="79"/>
      <c r="T225" s="79"/>
      <c r="X225" s="79"/>
      <c r="AA225" s="130"/>
      <c r="AC225" s="106"/>
    </row>
    <row r="226">
      <c r="C226" s="79"/>
      <c r="D226" s="79"/>
      <c r="E226" s="79"/>
      <c r="N226" s="79"/>
      <c r="Q226" s="79"/>
      <c r="S226" s="79"/>
      <c r="T226" s="79"/>
      <c r="X226" s="79"/>
      <c r="AA226" s="130"/>
      <c r="AC226" s="106"/>
    </row>
    <row r="227">
      <c r="C227" s="79"/>
      <c r="D227" s="79"/>
      <c r="E227" s="79"/>
      <c r="N227" s="79"/>
      <c r="Q227" s="79"/>
      <c r="S227" s="79"/>
      <c r="T227" s="79"/>
      <c r="X227" s="79"/>
      <c r="AA227" s="130"/>
      <c r="AC227" s="106"/>
    </row>
    <row r="228">
      <c r="C228" s="79"/>
      <c r="D228" s="79"/>
      <c r="E228" s="79"/>
      <c r="N228" s="79"/>
      <c r="Q228" s="79"/>
      <c r="S228" s="79"/>
      <c r="T228" s="79"/>
      <c r="X228" s="79"/>
      <c r="AA228" s="130"/>
      <c r="AC228" s="106"/>
    </row>
    <row r="229">
      <c r="C229" s="79"/>
      <c r="D229" s="79"/>
      <c r="E229" s="79"/>
      <c r="N229" s="79"/>
      <c r="Q229" s="79"/>
      <c r="S229" s="79"/>
      <c r="T229" s="79"/>
      <c r="X229" s="79"/>
      <c r="AA229" s="130"/>
      <c r="AC229" s="106"/>
    </row>
    <row r="230">
      <c r="C230" s="79"/>
      <c r="D230" s="79"/>
      <c r="E230" s="79"/>
      <c r="N230" s="79"/>
      <c r="Q230" s="79"/>
      <c r="S230" s="79"/>
      <c r="T230" s="79"/>
      <c r="X230" s="79"/>
      <c r="AA230" s="130"/>
      <c r="AC230" s="106"/>
    </row>
    <row r="231">
      <c r="C231" s="79"/>
      <c r="D231" s="79"/>
      <c r="E231" s="79"/>
      <c r="N231" s="79"/>
      <c r="Q231" s="79"/>
      <c r="S231" s="79"/>
      <c r="T231" s="79"/>
      <c r="X231" s="79"/>
      <c r="AA231" s="130"/>
      <c r="AC231" s="106"/>
    </row>
    <row r="232">
      <c r="C232" s="79"/>
      <c r="D232" s="79"/>
      <c r="E232" s="79"/>
      <c r="N232" s="79"/>
      <c r="Q232" s="79"/>
      <c r="S232" s="79"/>
      <c r="T232" s="79"/>
      <c r="X232" s="79"/>
      <c r="AA232" s="130"/>
      <c r="AC232" s="106"/>
    </row>
    <row r="233">
      <c r="C233" s="79"/>
      <c r="D233" s="79"/>
      <c r="E233" s="79"/>
      <c r="N233" s="79"/>
      <c r="Q233" s="79"/>
      <c r="S233" s="79"/>
      <c r="T233" s="79"/>
      <c r="X233" s="79"/>
      <c r="AA233" s="130"/>
      <c r="AC233" s="106"/>
    </row>
    <row r="234">
      <c r="C234" s="79"/>
      <c r="D234" s="79"/>
      <c r="E234" s="79"/>
      <c r="N234" s="79"/>
      <c r="Q234" s="79"/>
      <c r="S234" s="79"/>
      <c r="T234" s="79"/>
      <c r="X234" s="79"/>
      <c r="AA234" s="130"/>
      <c r="AC234" s="106"/>
    </row>
    <row r="235">
      <c r="C235" s="79"/>
      <c r="D235" s="79"/>
      <c r="E235" s="79"/>
      <c r="N235" s="79"/>
      <c r="Q235" s="79"/>
      <c r="S235" s="79"/>
      <c r="T235" s="79"/>
      <c r="X235" s="79"/>
      <c r="AA235" s="130"/>
      <c r="AC235" s="106"/>
    </row>
    <row r="236">
      <c r="C236" s="79"/>
      <c r="D236" s="79"/>
      <c r="E236" s="79"/>
      <c r="N236" s="79"/>
      <c r="Q236" s="79"/>
      <c r="S236" s="79"/>
      <c r="T236" s="79"/>
      <c r="X236" s="79"/>
      <c r="AA236" s="130"/>
      <c r="AC236" s="106"/>
    </row>
    <row r="237">
      <c r="C237" s="79"/>
      <c r="D237" s="79"/>
      <c r="E237" s="79"/>
      <c r="N237" s="79"/>
      <c r="Q237" s="79"/>
      <c r="S237" s="79"/>
      <c r="T237" s="79"/>
      <c r="X237" s="79"/>
      <c r="AA237" s="130"/>
      <c r="AC237" s="106"/>
    </row>
    <row r="238">
      <c r="C238" s="79"/>
      <c r="D238" s="79"/>
      <c r="E238" s="79"/>
      <c r="N238" s="79"/>
      <c r="Q238" s="79"/>
      <c r="S238" s="79"/>
      <c r="T238" s="79"/>
      <c r="X238" s="79"/>
      <c r="AA238" s="130"/>
      <c r="AC238" s="106"/>
    </row>
    <row r="239">
      <c r="C239" s="79"/>
      <c r="D239" s="79"/>
      <c r="E239" s="79"/>
      <c r="N239" s="79"/>
      <c r="Q239" s="79"/>
      <c r="S239" s="79"/>
      <c r="T239" s="79"/>
      <c r="X239" s="79"/>
      <c r="AA239" s="130"/>
      <c r="AC239" s="106"/>
    </row>
    <row r="240">
      <c r="C240" s="79"/>
      <c r="D240" s="79"/>
      <c r="E240" s="79"/>
      <c r="N240" s="79"/>
      <c r="Q240" s="79"/>
      <c r="S240" s="79"/>
      <c r="T240" s="79"/>
      <c r="X240" s="79"/>
      <c r="AA240" s="130"/>
      <c r="AC240" s="106"/>
    </row>
    <row r="241">
      <c r="C241" s="79"/>
      <c r="D241" s="79"/>
      <c r="E241" s="79"/>
      <c r="N241" s="79"/>
      <c r="Q241" s="79"/>
      <c r="S241" s="79"/>
      <c r="T241" s="79"/>
      <c r="X241" s="79"/>
      <c r="AA241" s="130"/>
      <c r="AC241" s="106"/>
    </row>
    <row r="242">
      <c r="C242" s="79"/>
      <c r="D242" s="79"/>
      <c r="E242" s="79"/>
      <c r="N242" s="79"/>
      <c r="Q242" s="79"/>
      <c r="S242" s="79"/>
      <c r="T242" s="79"/>
      <c r="X242" s="79"/>
      <c r="AA242" s="130"/>
      <c r="AC242" s="106"/>
    </row>
    <row r="243">
      <c r="C243" s="79"/>
      <c r="D243" s="79"/>
      <c r="E243" s="79"/>
      <c r="N243" s="79"/>
      <c r="Q243" s="79"/>
      <c r="S243" s="79"/>
      <c r="T243" s="79"/>
      <c r="X243" s="79"/>
      <c r="AA243" s="130"/>
      <c r="AC243" s="106"/>
    </row>
    <row r="244">
      <c r="C244" s="79"/>
      <c r="D244" s="79"/>
      <c r="E244" s="79"/>
      <c r="N244" s="79"/>
      <c r="Q244" s="79"/>
      <c r="S244" s="79"/>
      <c r="T244" s="79"/>
      <c r="X244" s="79"/>
      <c r="AA244" s="130"/>
      <c r="AC244" s="106"/>
    </row>
    <row r="245">
      <c r="C245" s="79"/>
      <c r="D245" s="79"/>
      <c r="E245" s="79"/>
      <c r="N245" s="79"/>
      <c r="Q245" s="79"/>
      <c r="S245" s="79"/>
      <c r="T245" s="79"/>
      <c r="X245" s="79"/>
      <c r="AA245" s="130"/>
      <c r="AC245" s="106"/>
    </row>
    <row r="246">
      <c r="C246" s="79"/>
      <c r="D246" s="79"/>
      <c r="E246" s="79"/>
      <c r="N246" s="79"/>
      <c r="Q246" s="79"/>
      <c r="S246" s="79"/>
      <c r="T246" s="79"/>
      <c r="X246" s="79"/>
      <c r="AA246" s="130"/>
      <c r="AC246" s="106"/>
    </row>
    <row r="247">
      <c r="C247" s="79"/>
      <c r="D247" s="79"/>
      <c r="E247" s="79"/>
      <c r="N247" s="79"/>
      <c r="Q247" s="79"/>
      <c r="S247" s="79"/>
      <c r="T247" s="79"/>
      <c r="X247" s="79"/>
      <c r="AA247" s="130"/>
      <c r="AC247" s="106"/>
    </row>
    <row r="248">
      <c r="C248" s="79"/>
      <c r="D248" s="79"/>
      <c r="E248" s="79"/>
      <c r="N248" s="79"/>
      <c r="Q248" s="79"/>
      <c r="S248" s="79"/>
      <c r="T248" s="79"/>
      <c r="X248" s="79"/>
      <c r="AA248" s="130"/>
      <c r="AC248" s="106"/>
    </row>
    <row r="249">
      <c r="C249" s="79"/>
      <c r="D249" s="79"/>
      <c r="E249" s="79"/>
      <c r="N249" s="79"/>
      <c r="Q249" s="79"/>
      <c r="S249" s="79"/>
      <c r="T249" s="79"/>
      <c r="X249" s="79"/>
      <c r="AA249" s="130"/>
      <c r="AC249" s="106"/>
    </row>
    <row r="250">
      <c r="C250" s="79"/>
      <c r="D250" s="79"/>
      <c r="E250" s="79"/>
      <c r="N250" s="79"/>
      <c r="Q250" s="79"/>
      <c r="S250" s="79"/>
      <c r="T250" s="79"/>
      <c r="X250" s="79"/>
      <c r="AA250" s="130"/>
      <c r="AC250" s="106"/>
    </row>
    <row r="251">
      <c r="C251" s="79"/>
      <c r="D251" s="79"/>
      <c r="E251" s="79"/>
      <c r="N251" s="79"/>
      <c r="Q251" s="79"/>
      <c r="S251" s="79"/>
      <c r="T251" s="79"/>
      <c r="X251" s="79"/>
      <c r="AA251" s="130"/>
      <c r="AC251" s="106"/>
    </row>
    <row r="252">
      <c r="C252" s="79"/>
      <c r="D252" s="79"/>
      <c r="E252" s="79"/>
      <c r="N252" s="79"/>
      <c r="Q252" s="79"/>
      <c r="S252" s="79"/>
      <c r="T252" s="79"/>
      <c r="X252" s="79"/>
      <c r="AA252" s="130"/>
      <c r="AC252" s="106"/>
    </row>
    <row r="253">
      <c r="C253" s="79"/>
      <c r="D253" s="79"/>
      <c r="E253" s="79"/>
      <c r="N253" s="79"/>
      <c r="Q253" s="79"/>
      <c r="S253" s="79"/>
      <c r="T253" s="79"/>
      <c r="X253" s="79"/>
      <c r="AA253" s="130"/>
      <c r="AC253" s="106"/>
    </row>
    <row r="254">
      <c r="C254" s="79"/>
      <c r="D254" s="79"/>
      <c r="E254" s="79"/>
      <c r="N254" s="79"/>
      <c r="Q254" s="79"/>
      <c r="S254" s="79"/>
      <c r="T254" s="79"/>
      <c r="X254" s="79"/>
      <c r="AA254" s="130"/>
      <c r="AC254" s="106"/>
    </row>
    <row r="255">
      <c r="C255" s="79"/>
      <c r="D255" s="79"/>
      <c r="E255" s="79"/>
      <c r="N255" s="79"/>
      <c r="Q255" s="79"/>
      <c r="S255" s="79"/>
      <c r="T255" s="79"/>
      <c r="X255" s="79"/>
      <c r="AA255" s="130"/>
      <c r="AC255" s="106"/>
    </row>
    <row r="256">
      <c r="C256" s="79"/>
      <c r="D256" s="79"/>
      <c r="E256" s="79"/>
      <c r="N256" s="79"/>
      <c r="Q256" s="79"/>
      <c r="S256" s="79"/>
      <c r="T256" s="79"/>
      <c r="X256" s="79"/>
      <c r="AA256" s="130"/>
      <c r="AC256" s="106"/>
    </row>
    <row r="257">
      <c r="C257" s="79"/>
      <c r="D257" s="79"/>
      <c r="E257" s="79"/>
      <c r="N257" s="79"/>
      <c r="Q257" s="79"/>
      <c r="S257" s="79"/>
      <c r="T257" s="79"/>
      <c r="X257" s="79"/>
      <c r="AA257" s="130"/>
      <c r="AC257" s="106"/>
    </row>
    <row r="258">
      <c r="C258" s="79"/>
      <c r="D258" s="79"/>
      <c r="E258" s="79"/>
      <c r="N258" s="79"/>
      <c r="Q258" s="79"/>
      <c r="S258" s="79"/>
      <c r="T258" s="79"/>
      <c r="X258" s="79"/>
      <c r="AA258" s="130"/>
      <c r="AC258" s="106"/>
    </row>
    <row r="259">
      <c r="C259" s="79"/>
      <c r="D259" s="79"/>
      <c r="E259" s="79"/>
      <c r="N259" s="79"/>
      <c r="Q259" s="79"/>
      <c r="S259" s="79"/>
      <c r="T259" s="79"/>
      <c r="X259" s="79"/>
      <c r="AA259" s="130"/>
      <c r="AC259" s="106"/>
    </row>
    <row r="260">
      <c r="C260" s="79"/>
      <c r="D260" s="79"/>
      <c r="E260" s="79"/>
      <c r="N260" s="79"/>
      <c r="Q260" s="79"/>
      <c r="S260" s="79"/>
      <c r="T260" s="79"/>
      <c r="X260" s="79"/>
      <c r="AA260" s="130"/>
      <c r="AC260" s="106"/>
    </row>
    <row r="261">
      <c r="C261" s="79"/>
      <c r="D261" s="79"/>
      <c r="E261" s="79"/>
      <c r="N261" s="79"/>
      <c r="Q261" s="79"/>
      <c r="S261" s="79"/>
      <c r="T261" s="79"/>
      <c r="X261" s="79"/>
      <c r="AA261" s="130"/>
      <c r="AC261" s="106"/>
    </row>
    <row r="262">
      <c r="C262" s="79"/>
      <c r="D262" s="79"/>
      <c r="E262" s="79"/>
      <c r="N262" s="79"/>
      <c r="Q262" s="79"/>
      <c r="S262" s="79"/>
      <c r="T262" s="79"/>
      <c r="X262" s="79"/>
      <c r="AA262" s="130"/>
      <c r="AC262" s="106"/>
    </row>
    <row r="263">
      <c r="C263" s="79"/>
      <c r="D263" s="79"/>
      <c r="E263" s="79"/>
      <c r="N263" s="79"/>
      <c r="Q263" s="79"/>
      <c r="S263" s="79"/>
      <c r="T263" s="79"/>
      <c r="X263" s="79"/>
      <c r="AA263" s="130"/>
      <c r="AC263" s="106"/>
    </row>
    <row r="264">
      <c r="C264" s="79"/>
      <c r="D264" s="79"/>
      <c r="E264" s="79"/>
      <c r="N264" s="79"/>
      <c r="Q264" s="79"/>
      <c r="S264" s="79"/>
      <c r="T264" s="79"/>
      <c r="X264" s="79"/>
      <c r="AA264" s="130"/>
      <c r="AC264" s="106"/>
    </row>
    <row r="265">
      <c r="C265" s="79"/>
      <c r="D265" s="79"/>
      <c r="E265" s="79"/>
      <c r="N265" s="79"/>
      <c r="Q265" s="79"/>
      <c r="S265" s="79"/>
      <c r="T265" s="79"/>
      <c r="X265" s="79"/>
      <c r="AA265" s="130"/>
      <c r="AC265" s="106"/>
    </row>
    <row r="266">
      <c r="C266" s="79"/>
      <c r="D266" s="79"/>
      <c r="E266" s="79"/>
      <c r="N266" s="79"/>
      <c r="Q266" s="79"/>
      <c r="S266" s="79"/>
      <c r="T266" s="79"/>
      <c r="X266" s="79"/>
      <c r="AA266" s="130"/>
      <c r="AC266" s="106"/>
    </row>
    <row r="267">
      <c r="C267" s="79"/>
      <c r="D267" s="79"/>
      <c r="E267" s="79"/>
      <c r="N267" s="79"/>
      <c r="Q267" s="79"/>
      <c r="S267" s="79"/>
      <c r="T267" s="79"/>
      <c r="X267" s="79"/>
      <c r="AA267" s="130"/>
      <c r="AC267" s="106"/>
    </row>
    <row r="268">
      <c r="C268" s="79"/>
      <c r="D268" s="79"/>
      <c r="E268" s="79"/>
      <c r="N268" s="79"/>
      <c r="Q268" s="79"/>
      <c r="S268" s="79"/>
      <c r="T268" s="79"/>
      <c r="X268" s="79"/>
      <c r="AA268" s="130"/>
      <c r="AC268" s="106"/>
    </row>
    <row r="269">
      <c r="C269" s="79"/>
      <c r="D269" s="79"/>
      <c r="E269" s="79"/>
      <c r="N269" s="79"/>
      <c r="Q269" s="79"/>
      <c r="S269" s="79"/>
      <c r="T269" s="79"/>
      <c r="X269" s="79"/>
      <c r="AA269" s="130"/>
      <c r="AC269" s="106"/>
    </row>
    <row r="270">
      <c r="C270" s="79"/>
      <c r="D270" s="79"/>
      <c r="E270" s="79"/>
      <c r="N270" s="79"/>
      <c r="Q270" s="79"/>
      <c r="S270" s="79"/>
      <c r="T270" s="79"/>
      <c r="X270" s="79"/>
      <c r="AA270" s="130"/>
      <c r="AC270" s="106"/>
    </row>
    <row r="271">
      <c r="C271" s="79"/>
      <c r="D271" s="79"/>
      <c r="E271" s="79"/>
      <c r="N271" s="79"/>
      <c r="Q271" s="79"/>
      <c r="S271" s="79"/>
      <c r="T271" s="79"/>
      <c r="X271" s="79"/>
      <c r="AA271" s="130"/>
      <c r="AC271" s="106"/>
    </row>
    <row r="272">
      <c r="C272" s="79"/>
      <c r="D272" s="79"/>
      <c r="E272" s="79"/>
      <c r="N272" s="79"/>
      <c r="Q272" s="79"/>
      <c r="S272" s="79"/>
      <c r="T272" s="79"/>
      <c r="X272" s="79"/>
      <c r="AA272" s="130"/>
      <c r="AC272" s="106"/>
    </row>
    <row r="273">
      <c r="C273" s="79"/>
      <c r="D273" s="79"/>
      <c r="E273" s="79"/>
      <c r="N273" s="79"/>
      <c r="Q273" s="79"/>
      <c r="S273" s="79"/>
      <c r="T273" s="79"/>
      <c r="X273" s="79"/>
      <c r="AA273" s="130"/>
      <c r="AC273" s="106"/>
    </row>
    <row r="274">
      <c r="C274" s="79"/>
      <c r="D274" s="79"/>
      <c r="E274" s="79"/>
      <c r="N274" s="79"/>
      <c r="Q274" s="79"/>
      <c r="S274" s="79"/>
      <c r="T274" s="79"/>
      <c r="X274" s="79"/>
      <c r="AA274" s="130"/>
      <c r="AC274" s="106"/>
    </row>
    <row r="275">
      <c r="C275" s="79"/>
      <c r="D275" s="79"/>
      <c r="E275" s="79"/>
      <c r="N275" s="79"/>
      <c r="Q275" s="79"/>
      <c r="S275" s="79"/>
      <c r="T275" s="79"/>
      <c r="X275" s="79"/>
      <c r="AA275" s="130"/>
      <c r="AC275" s="106"/>
    </row>
    <row r="276">
      <c r="C276" s="79"/>
      <c r="D276" s="79"/>
      <c r="E276" s="79"/>
      <c r="N276" s="79"/>
      <c r="Q276" s="79"/>
      <c r="S276" s="79"/>
      <c r="T276" s="79"/>
      <c r="X276" s="79"/>
      <c r="AA276" s="130"/>
      <c r="AC276" s="106"/>
    </row>
    <row r="277">
      <c r="C277" s="79"/>
      <c r="D277" s="79"/>
      <c r="E277" s="79"/>
      <c r="N277" s="79"/>
      <c r="Q277" s="79"/>
      <c r="S277" s="79"/>
      <c r="T277" s="79"/>
      <c r="X277" s="79"/>
      <c r="AA277" s="130"/>
      <c r="AC277" s="106"/>
    </row>
    <row r="278">
      <c r="C278" s="79"/>
      <c r="D278" s="79"/>
      <c r="E278" s="79"/>
      <c r="N278" s="79"/>
      <c r="Q278" s="79"/>
      <c r="S278" s="79"/>
      <c r="T278" s="79"/>
      <c r="X278" s="79"/>
      <c r="AA278" s="130"/>
      <c r="AC278" s="106"/>
    </row>
    <row r="279">
      <c r="C279" s="79"/>
      <c r="D279" s="79"/>
      <c r="E279" s="79"/>
      <c r="N279" s="79"/>
      <c r="Q279" s="79"/>
      <c r="S279" s="79"/>
      <c r="T279" s="79"/>
      <c r="X279" s="79"/>
      <c r="AA279" s="130"/>
      <c r="AC279" s="106"/>
    </row>
    <row r="280">
      <c r="C280" s="79"/>
      <c r="D280" s="79"/>
      <c r="E280" s="79"/>
      <c r="N280" s="79"/>
      <c r="Q280" s="79"/>
      <c r="S280" s="79"/>
      <c r="T280" s="79"/>
      <c r="X280" s="79"/>
      <c r="AA280" s="130"/>
      <c r="AC280" s="106"/>
    </row>
    <row r="281">
      <c r="C281" s="79"/>
      <c r="D281" s="79"/>
      <c r="E281" s="79"/>
      <c r="N281" s="79"/>
      <c r="Q281" s="79"/>
      <c r="S281" s="79"/>
      <c r="T281" s="79"/>
      <c r="X281" s="79"/>
      <c r="AA281" s="130"/>
      <c r="AC281" s="106"/>
    </row>
    <row r="282">
      <c r="C282" s="79"/>
      <c r="D282" s="79"/>
      <c r="E282" s="79"/>
      <c r="N282" s="79"/>
      <c r="Q282" s="79"/>
      <c r="S282" s="79"/>
      <c r="T282" s="79"/>
      <c r="X282" s="79"/>
      <c r="AA282" s="130"/>
      <c r="AC282" s="106"/>
    </row>
    <row r="283">
      <c r="C283" s="79"/>
      <c r="D283" s="79"/>
      <c r="E283" s="79"/>
      <c r="N283" s="79"/>
      <c r="Q283" s="79"/>
      <c r="S283" s="79"/>
      <c r="T283" s="79"/>
      <c r="X283" s="79"/>
      <c r="AA283" s="130"/>
      <c r="AC283" s="106"/>
    </row>
    <row r="284">
      <c r="C284" s="79"/>
      <c r="D284" s="79"/>
      <c r="E284" s="79"/>
      <c r="N284" s="79"/>
      <c r="Q284" s="79"/>
      <c r="S284" s="79"/>
      <c r="T284" s="79"/>
      <c r="X284" s="79"/>
      <c r="AA284" s="130"/>
      <c r="AC284" s="106"/>
    </row>
    <row r="285">
      <c r="C285" s="79"/>
      <c r="D285" s="79"/>
      <c r="E285" s="79"/>
      <c r="N285" s="79"/>
      <c r="Q285" s="79"/>
      <c r="S285" s="79"/>
      <c r="T285" s="79"/>
      <c r="X285" s="79"/>
      <c r="AA285" s="130"/>
      <c r="AC285" s="106"/>
    </row>
    <row r="286">
      <c r="C286" s="79"/>
      <c r="D286" s="79"/>
      <c r="E286" s="79"/>
      <c r="N286" s="79"/>
      <c r="Q286" s="79"/>
      <c r="S286" s="79"/>
      <c r="T286" s="79"/>
      <c r="X286" s="79"/>
      <c r="AA286" s="130"/>
      <c r="AC286" s="106"/>
    </row>
    <row r="287">
      <c r="C287" s="79"/>
      <c r="D287" s="79"/>
      <c r="E287" s="79"/>
      <c r="N287" s="79"/>
      <c r="Q287" s="79"/>
      <c r="S287" s="79"/>
      <c r="T287" s="79"/>
      <c r="X287" s="79"/>
      <c r="AA287" s="130"/>
      <c r="AC287" s="106"/>
    </row>
    <row r="288">
      <c r="C288" s="79"/>
      <c r="D288" s="79"/>
      <c r="E288" s="79"/>
      <c r="N288" s="79"/>
      <c r="Q288" s="79"/>
      <c r="S288" s="79"/>
      <c r="T288" s="79"/>
      <c r="X288" s="79"/>
      <c r="AA288" s="130"/>
      <c r="AC288" s="106"/>
    </row>
    <row r="289">
      <c r="C289" s="79"/>
      <c r="D289" s="79"/>
      <c r="E289" s="79"/>
      <c r="N289" s="79"/>
      <c r="Q289" s="79"/>
      <c r="S289" s="79"/>
      <c r="T289" s="79"/>
      <c r="X289" s="79"/>
      <c r="AA289" s="130"/>
      <c r="AC289" s="106"/>
    </row>
    <row r="290">
      <c r="C290" s="79"/>
      <c r="D290" s="79"/>
      <c r="E290" s="79"/>
      <c r="N290" s="79"/>
      <c r="Q290" s="79"/>
      <c r="S290" s="79"/>
      <c r="T290" s="79"/>
      <c r="X290" s="79"/>
      <c r="AA290" s="130"/>
      <c r="AC290" s="106"/>
    </row>
    <row r="291">
      <c r="C291" s="79"/>
      <c r="D291" s="79"/>
      <c r="E291" s="79"/>
      <c r="N291" s="79"/>
      <c r="Q291" s="79"/>
      <c r="S291" s="79"/>
      <c r="T291" s="79"/>
      <c r="X291" s="79"/>
      <c r="AA291" s="130"/>
      <c r="AC291" s="106"/>
    </row>
    <row r="292">
      <c r="C292" s="79"/>
      <c r="D292" s="79"/>
      <c r="E292" s="79"/>
      <c r="N292" s="79"/>
      <c r="Q292" s="79"/>
      <c r="S292" s="79"/>
      <c r="T292" s="79"/>
      <c r="X292" s="79"/>
      <c r="AA292" s="130"/>
      <c r="AC292" s="106"/>
    </row>
    <row r="293">
      <c r="C293" s="79"/>
      <c r="D293" s="79"/>
      <c r="E293" s="79"/>
      <c r="N293" s="79"/>
      <c r="Q293" s="79"/>
      <c r="S293" s="79"/>
      <c r="T293" s="79"/>
      <c r="X293" s="79"/>
      <c r="AA293" s="130"/>
      <c r="AC293" s="106"/>
    </row>
    <row r="294">
      <c r="C294" s="79"/>
      <c r="D294" s="79"/>
      <c r="E294" s="79"/>
      <c r="N294" s="79"/>
      <c r="Q294" s="79"/>
      <c r="S294" s="79"/>
      <c r="T294" s="79"/>
      <c r="X294" s="79"/>
      <c r="AA294" s="130"/>
      <c r="AC294" s="106"/>
    </row>
    <row r="295">
      <c r="C295" s="79"/>
      <c r="D295" s="79"/>
      <c r="E295" s="79"/>
      <c r="N295" s="79"/>
      <c r="Q295" s="79"/>
      <c r="S295" s="79"/>
      <c r="T295" s="79"/>
      <c r="X295" s="79"/>
      <c r="AA295" s="130"/>
      <c r="AC295" s="106"/>
    </row>
    <row r="296">
      <c r="C296" s="79"/>
      <c r="D296" s="79"/>
      <c r="E296" s="79"/>
      <c r="N296" s="79"/>
      <c r="Q296" s="79"/>
      <c r="S296" s="79"/>
      <c r="T296" s="79"/>
      <c r="X296" s="79"/>
      <c r="AA296" s="130"/>
      <c r="AC296" s="106"/>
    </row>
    <row r="297">
      <c r="C297" s="79"/>
      <c r="D297" s="79"/>
      <c r="E297" s="79"/>
      <c r="N297" s="79"/>
      <c r="Q297" s="79"/>
      <c r="S297" s="79"/>
      <c r="T297" s="79"/>
      <c r="X297" s="79"/>
      <c r="AA297" s="130"/>
      <c r="AC297" s="106"/>
    </row>
    <row r="298">
      <c r="C298" s="79"/>
      <c r="D298" s="79"/>
      <c r="E298" s="79"/>
      <c r="N298" s="79"/>
      <c r="Q298" s="79"/>
      <c r="S298" s="79"/>
      <c r="T298" s="79"/>
      <c r="X298" s="79"/>
      <c r="AA298" s="130"/>
      <c r="AC298" s="106"/>
    </row>
    <row r="299">
      <c r="C299" s="79"/>
      <c r="D299" s="79"/>
      <c r="E299" s="79"/>
      <c r="N299" s="79"/>
      <c r="Q299" s="79"/>
      <c r="S299" s="79"/>
      <c r="T299" s="79"/>
      <c r="X299" s="79"/>
      <c r="AA299" s="130"/>
      <c r="AC299" s="106"/>
    </row>
    <row r="300">
      <c r="C300" s="79"/>
      <c r="D300" s="79"/>
      <c r="E300" s="79"/>
      <c r="N300" s="79"/>
      <c r="Q300" s="79"/>
      <c r="S300" s="79"/>
      <c r="T300" s="79"/>
      <c r="X300" s="79"/>
      <c r="AA300" s="130"/>
      <c r="AC300" s="106"/>
    </row>
    <row r="301">
      <c r="C301" s="79"/>
      <c r="D301" s="79"/>
      <c r="E301" s="79"/>
      <c r="N301" s="79"/>
      <c r="Q301" s="79"/>
      <c r="S301" s="79"/>
      <c r="T301" s="79"/>
      <c r="X301" s="79"/>
      <c r="AA301" s="130"/>
      <c r="AC301" s="106"/>
    </row>
    <row r="302">
      <c r="C302" s="79"/>
      <c r="D302" s="79"/>
      <c r="E302" s="79"/>
      <c r="N302" s="79"/>
      <c r="Q302" s="79"/>
      <c r="S302" s="79"/>
      <c r="T302" s="79"/>
      <c r="X302" s="79"/>
      <c r="AA302" s="130"/>
      <c r="AC302" s="106"/>
    </row>
    <row r="303">
      <c r="C303" s="79"/>
      <c r="D303" s="79"/>
      <c r="E303" s="79"/>
      <c r="N303" s="79"/>
      <c r="Q303" s="79"/>
      <c r="S303" s="79"/>
      <c r="T303" s="79"/>
      <c r="X303" s="79"/>
      <c r="AA303" s="130"/>
      <c r="AC303" s="106"/>
    </row>
    <row r="304">
      <c r="C304" s="79"/>
      <c r="D304" s="79"/>
      <c r="E304" s="79"/>
      <c r="N304" s="79"/>
      <c r="Q304" s="79"/>
      <c r="S304" s="79"/>
      <c r="T304" s="79"/>
      <c r="X304" s="79"/>
      <c r="AA304" s="130"/>
      <c r="AC304" s="106"/>
    </row>
    <row r="305">
      <c r="C305" s="79"/>
      <c r="D305" s="79"/>
      <c r="E305" s="79"/>
      <c r="N305" s="79"/>
      <c r="Q305" s="79"/>
      <c r="S305" s="79"/>
      <c r="T305" s="79"/>
      <c r="X305" s="79"/>
      <c r="AA305" s="130"/>
      <c r="AC305" s="106"/>
    </row>
    <row r="306">
      <c r="C306" s="79"/>
      <c r="D306" s="79"/>
      <c r="E306" s="79"/>
      <c r="N306" s="79"/>
      <c r="Q306" s="79"/>
      <c r="S306" s="79"/>
      <c r="T306" s="79"/>
      <c r="X306" s="79"/>
      <c r="AA306" s="130"/>
      <c r="AC306" s="106"/>
    </row>
    <row r="307">
      <c r="C307" s="79"/>
      <c r="D307" s="79"/>
      <c r="E307" s="79"/>
      <c r="N307" s="79"/>
      <c r="Q307" s="79"/>
      <c r="S307" s="79"/>
      <c r="T307" s="79"/>
      <c r="X307" s="79"/>
      <c r="AA307" s="130"/>
      <c r="AC307" s="106"/>
    </row>
    <row r="308">
      <c r="C308" s="79"/>
      <c r="D308" s="79"/>
      <c r="E308" s="79"/>
      <c r="N308" s="79"/>
      <c r="Q308" s="79"/>
      <c r="S308" s="79"/>
      <c r="T308" s="79"/>
      <c r="X308" s="79"/>
      <c r="AA308" s="130"/>
      <c r="AC308" s="106"/>
    </row>
    <row r="309">
      <c r="C309" s="79"/>
      <c r="D309" s="79"/>
      <c r="E309" s="79"/>
      <c r="N309" s="79"/>
      <c r="Q309" s="79"/>
      <c r="S309" s="79"/>
      <c r="T309" s="79"/>
      <c r="X309" s="79"/>
      <c r="AA309" s="130"/>
      <c r="AC309" s="106"/>
    </row>
    <row r="310">
      <c r="C310" s="79"/>
      <c r="D310" s="79"/>
      <c r="E310" s="79"/>
      <c r="N310" s="79"/>
      <c r="Q310" s="79"/>
      <c r="S310" s="79"/>
      <c r="T310" s="79"/>
      <c r="X310" s="79"/>
      <c r="AA310" s="130"/>
      <c r="AC310" s="106"/>
    </row>
    <row r="311">
      <c r="C311" s="79"/>
      <c r="D311" s="79"/>
      <c r="E311" s="79"/>
      <c r="N311" s="79"/>
      <c r="Q311" s="79"/>
      <c r="S311" s="79"/>
      <c r="T311" s="79"/>
      <c r="X311" s="79"/>
      <c r="AA311" s="130"/>
      <c r="AC311" s="106"/>
    </row>
    <row r="312">
      <c r="C312" s="79"/>
      <c r="D312" s="79"/>
      <c r="E312" s="79"/>
      <c r="N312" s="79"/>
      <c r="Q312" s="79"/>
      <c r="S312" s="79"/>
      <c r="T312" s="79"/>
      <c r="X312" s="79"/>
      <c r="AA312" s="130"/>
      <c r="AC312" s="106"/>
    </row>
    <row r="313">
      <c r="C313" s="79"/>
      <c r="D313" s="79"/>
      <c r="E313" s="79"/>
      <c r="N313" s="79"/>
      <c r="Q313" s="79"/>
      <c r="S313" s="79"/>
      <c r="T313" s="79"/>
      <c r="X313" s="79"/>
      <c r="AA313" s="130"/>
      <c r="AC313" s="106"/>
    </row>
    <row r="314">
      <c r="C314" s="79"/>
      <c r="D314" s="79"/>
      <c r="E314" s="79"/>
      <c r="N314" s="79"/>
      <c r="Q314" s="79"/>
      <c r="S314" s="79"/>
      <c r="T314" s="79"/>
      <c r="X314" s="79"/>
      <c r="AA314" s="130"/>
      <c r="AC314" s="106"/>
    </row>
    <row r="315">
      <c r="C315" s="79"/>
      <c r="D315" s="79"/>
      <c r="E315" s="79"/>
      <c r="N315" s="79"/>
      <c r="Q315" s="79"/>
      <c r="S315" s="79"/>
      <c r="T315" s="79"/>
      <c r="X315" s="79"/>
      <c r="AA315" s="130"/>
      <c r="AC315" s="106"/>
    </row>
    <row r="316">
      <c r="C316" s="79"/>
      <c r="D316" s="79"/>
      <c r="E316" s="79"/>
      <c r="N316" s="79"/>
      <c r="Q316" s="79"/>
      <c r="S316" s="79"/>
      <c r="T316" s="79"/>
      <c r="X316" s="79"/>
      <c r="AA316" s="130"/>
      <c r="AC316" s="106"/>
    </row>
    <row r="317">
      <c r="C317" s="79"/>
      <c r="D317" s="79"/>
      <c r="E317" s="79"/>
      <c r="N317" s="79"/>
      <c r="Q317" s="79"/>
      <c r="S317" s="79"/>
      <c r="T317" s="79"/>
      <c r="X317" s="79"/>
      <c r="AA317" s="130"/>
      <c r="AC317" s="106"/>
    </row>
    <row r="318">
      <c r="C318" s="79"/>
      <c r="D318" s="79"/>
      <c r="E318" s="79"/>
      <c r="N318" s="79"/>
      <c r="Q318" s="79"/>
      <c r="S318" s="79"/>
      <c r="T318" s="79"/>
      <c r="X318" s="79"/>
      <c r="AA318" s="130"/>
      <c r="AC318" s="106"/>
    </row>
    <row r="319">
      <c r="C319" s="79"/>
      <c r="D319" s="79"/>
      <c r="E319" s="79"/>
      <c r="N319" s="79"/>
      <c r="Q319" s="79"/>
      <c r="S319" s="79"/>
      <c r="T319" s="79"/>
      <c r="X319" s="79"/>
      <c r="AA319" s="130"/>
      <c r="AC319" s="106"/>
    </row>
    <row r="320">
      <c r="C320" s="79"/>
      <c r="D320" s="79"/>
      <c r="E320" s="79"/>
      <c r="N320" s="79"/>
      <c r="Q320" s="79"/>
      <c r="S320" s="79"/>
      <c r="T320" s="79"/>
      <c r="X320" s="79"/>
      <c r="AA320" s="130"/>
      <c r="AC320" s="106"/>
    </row>
    <row r="321">
      <c r="C321" s="79"/>
      <c r="D321" s="79"/>
      <c r="E321" s="79"/>
      <c r="N321" s="79"/>
      <c r="Q321" s="79"/>
      <c r="S321" s="79"/>
      <c r="T321" s="79"/>
      <c r="X321" s="79"/>
      <c r="AA321" s="130"/>
      <c r="AC321" s="106"/>
    </row>
    <row r="322">
      <c r="C322" s="79"/>
      <c r="D322" s="79"/>
      <c r="E322" s="79"/>
      <c r="N322" s="79"/>
      <c r="Q322" s="79"/>
      <c r="S322" s="79"/>
      <c r="T322" s="79"/>
      <c r="X322" s="79"/>
      <c r="AA322" s="130"/>
      <c r="AC322" s="106"/>
    </row>
    <row r="323">
      <c r="C323" s="79"/>
      <c r="D323" s="79"/>
      <c r="E323" s="79"/>
      <c r="N323" s="79"/>
      <c r="Q323" s="79"/>
      <c r="S323" s="79"/>
      <c r="T323" s="79"/>
      <c r="X323" s="79"/>
      <c r="AA323" s="130"/>
      <c r="AC323" s="106"/>
    </row>
    <row r="324">
      <c r="C324" s="79"/>
      <c r="D324" s="79"/>
      <c r="E324" s="79"/>
      <c r="N324" s="79"/>
      <c r="Q324" s="79"/>
      <c r="S324" s="79"/>
      <c r="T324" s="79"/>
      <c r="X324" s="79"/>
      <c r="AA324" s="130"/>
      <c r="AC324" s="106"/>
    </row>
    <row r="325">
      <c r="C325" s="79"/>
      <c r="D325" s="79"/>
      <c r="E325" s="79"/>
      <c r="N325" s="79"/>
      <c r="Q325" s="79"/>
      <c r="S325" s="79"/>
      <c r="T325" s="79"/>
      <c r="X325" s="79"/>
      <c r="AA325" s="130"/>
      <c r="AC325" s="106"/>
    </row>
    <row r="326">
      <c r="C326" s="79"/>
      <c r="D326" s="79"/>
      <c r="E326" s="79"/>
      <c r="N326" s="79"/>
      <c r="Q326" s="79"/>
      <c r="S326" s="79"/>
      <c r="T326" s="79"/>
      <c r="X326" s="79"/>
      <c r="AA326" s="130"/>
      <c r="AC326" s="106"/>
    </row>
    <row r="327">
      <c r="C327" s="79"/>
      <c r="D327" s="79"/>
      <c r="E327" s="79"/>
      <c r="N327" s="79"/>
      <c r="Q327" s="79"/>
      <c r="S327" s="79"/>
      <c r="T327" s="79"/>
      <c r="X327" s="79"/>
      <c r="AA327" s="130"/>
      <c r="AC327" s="106"/>
    </row>
    <row r="328">
      <c r="C328" s="79"/>
      <c r="D328" s="79"/>
      <c r="E328" s="79"/>
      <c r="N328" s="79"/>
      <c r="Q328" s="79"/>
      <c r="S328" s="79"/>
      <c r="T328" s="79"/>
      <c r="X328" s="79"/>
      <c r="AA328" s="130"/>
      <c r="AC328" s="106"/>
    </row>
    <row r="329">
      <c r="C329" s="79"/>
      <c r="D329" s="79"/>
      <c r="E329" s="79"/>
      <c r="N329" s="79"/>
      <c r="Q329" s="79"/>
      <c r="S329" s="79"/>
      <c r="T329" s="79"/>
      <c r="X329" s="79"/>
      <c r="AA329" s="130"/>
      <c r="AC329" s="106"/>
    </row>
    <row r="330">
      <c r="C330" s="79"/>
      <c r="D330" s="79"/>
      <c r="E330" s="79"/>
      <c r="N330" s="79"/>
      <c r="Q330" s="79"/>
      <c r="S330" s="79"/>
      <c r="T330" s="79"/>
      <c r="X330" s="79"/>
      <c r="AA330" s="130"/>
      <c r="AC330" s="106"/>
    </row>
    <row r="331">
      <c r="C331" s="79"/>
      <c r="D331" s="79"/>
      <c r="E331" s="79"/>
      <c r="N331" s="79"/>
      <c r="Q331" s="79"/>
      <c r="S331" s="79"/>
      <c r="T331" s="79"/>
      <c r="X331" s="79"/>
      <c r="AA331" s="130"/>
      <c r="AC331" s="106"/>
    </row>
    <row r="332">
      <c r="C332" s="79"/>
      <c r="D332" s="79"/>
      <c r="E332" s="79"/>
      <c r="N332" s="79"/>
      <c r="Q332" s="79"/>
      <c r="S332" s="79"/>
      <c r="T332" s="79"/>
      <c r="X332" s="79"/>
      <c r="AA332" s="130"/>
      <c r="AC332" s="106"/>
    </row>
    <row r="333">
      <c r="C333" s="79"/>
      <c r="D333" s="79"/>
      <c r="E333" s="79"/>
      <c r="N333" s="79"/>
      <c r="Q333" s="79"/>
      <c r="S333" s="79"/>
      <c r="T333" s="79"/>
      <c r="X333" s="79"/>
      <c r="AA333" s="130"/>
      <c r="AC333" s="106"/>
    </row>
    <row r="334">
      <c r="C334" s="79"/>
      <c r="D334" s="79"/>
      <c r="E334" s="79"/>
      <c r="N334" s="79"/>
      <c r="Q334" s="79"/>
      <c r="S334" s="79"/>
      <c r="T334" s="79"/>
      <c r="X334" s="79"/>
      <c r="AA334" s="130"/>
      <c r="AC334" s="106"/>
    </row>
    <row r="335">
      <c r="C335" s="79"/>
      <c r="D335" s="79"/>
      <c r="E335" s="79"/>
      <c r="N335" s="79"/>
      <c r="Q335" s="79"/>
      <c r="S335" s="79"/>
      <c r="T335" s="79"/>
      <c r="X335" s="79"/>
      <c r="AA335" s="130"/>
      <c r="AC335" s="106"/>
    </row>
    <row r="336">
      <c r="C336" s="79"/>
      <c r="D336" s="79"/>
      <c r="E336" s="79"/>
      <c r="N336" s="79"/>
      <c r="Q336" s="79"/>
      <c r="S336" s="79"/>
      <c r="T336" s="79"/>
      <c r="X336" s="79"/>
      <c r="AA336" s="130"/>
      <c r="AC336" s="106"/>
    </row>
    <row r="337">
      <c r="C337" s="79"/>
      <c r="D337" s="79"/>
      <c r="E337" s="79"/>
      <c r="N337" s="79"/>
      <c r="Q337" s="79"/>
      <c r="S337" s="79"/>
      <c r="T337" s="79"/>
      <c r="X337" s="79"/>
      <c r="AA337" s="130"/>
      <c r="AC337" s="106"/>
    </row>
    <row r="338">
      <c r="C338" s="79"/>
      <c r="D338" s="79"/>
      <c r="E338" s="79"/>
      <c r="N338" s="79"/>
      <c r="Q338" s="79"/>
      <c r="S338" s="79"/>
      <c r="T338" s="79"/>
      <c r="X338" s="79"/>
      <c r="AA338" s="130"/>
      <c r="AC338" s="106"/>
    </row>
    <row r="339">
      <c r="C339" s="79"/>
      <c r="D339" s="79"/>
      <c r="E339" s="79"/>
      <c r="N339" s="79"/>
      <c r="Q339" s="79"/>
      <c r="S339" s="79"/>
      <c r="T339" s="79"/>
      <c r="X339" s="79"/>
      <c r="AA339" s="130"/>
      <c r="AC339" s="106"/>
    </row>
    <row r="340">
      <c r="C340" s="79"/>
      <c r="D340" s="79"/>
      <c r="E340" s="79"/>
      <c r="N340" s="79"/>
      <c r="Q340" s="79"/>
      <c r="S340" s="79"/>
      <c r="T340" s="79"/>
      <c r="X340" s="79"/>
      <c r="AA340" s="130"/>
      <c r="AC340" s="106"/>
    </row>
    <row r="341">
      <c r="C341" s="79"/>
      <c r="D341" s="79"/>
      <c r="E341" s="79"/>
      <c r="N341" s="79"/>
      <c r="Q341" s="79"/>
      <c r="S341" s="79"/>
      <c r="T341" s="79"/>
      <c r="X341" s="79"/>
      <c r="AA341" s="130"/>
      <c r="AC341" s="106"/>
    </row>
    <row r="342">
      <c r="C342" s="79"/>
      <c r="D342" s="79"/>
      <c r="E342" s="79"/>
      <c r="N342" s="79"/>
      <c r="Q342" s="79"/>
      <c r="S342" s="79"/>
      <c r="T342" s="79"/>
      <c r="X342" s="79"/>
      <c r="AA342" s="130"/>
      <c r="AC342" s="106"/>
    </row>
    <row r="343">
      <c r="C343" s="79"/>
      <c r="D343" s="79"/>
      <c r="E343" s="79"/>
      <c r="N343" s="79"/>
      <c r="Q343" s="79"/>
      <c r="S343" s="79"/>
      <c r="T343" s="79"/>
      <c r="X343" s="79"/>
      <c r="AA343" s="130"/>
      <c r="AC343" s="106"/>
    </row>
    <row r="344">
      <c r="C344" s="79"/>
      <c r="D344" s="79"/>
      <c r="E344" s="79"/>
      <c r="N344" s="79"/>
      <c r="Q344" s="79"/>
      <c r="S344" s="79"/>
      <c r="T344" s="79"/>
      <c r="X344" s="79"/>
      <c r="AA344" s="130"/>
      <c r="AC344" s="106"/>
    </row>
    <row r="345">
      <c r="C345" s="79"/>
      <c r="D345" s="79"/>
      <c r="E345" s="79"/>
      <c r="N345" s="79"/>
      <c r="Q345" s="79"/>
      <c r="S345" s="79"/>
      <c r="T345" s="79"/>
      <c r="X345" s="79"/>
      <c r="AA345" s="130"/>
      <c r="AC345" s="106"/>
    </row>
    <row r="346">
      <c r="C346" s="79"/>
      <c r="D346" s="79"/>
      <c r="E346" s="79"/>
      <c r="N346" s="79"/>
      <c r="Q346" s="79"/>
      <c r="S346" s="79"/>
      <c r="T346" s="79"/>
      <c r="X346" s="79"/>
      <c r="AA346" s="130"/>
      <c r="AC346" s="106"/>
    </row>
    <row r="347">
      <c r="C347" s="79"/>
      <c r="D347" s="79"/>
      <c r="E347" s="79"/>
      <c r="N347" s="79"/>
      <c r="Q347" s="79"/>
      <c r="S347" s="79"/>
      <c r="T347" s="79"/>
      <c r="X347" s="79"/>
      <c r="AA347" s="130"/>
      <c r="AC347" s="106"/>
    </row>
    <row r="348">
      <c r="C348" s="79"/>
      <c r="D348" s="79"/>
      <c r="E348" s="79"/>
      <c r="N348" s="79"/>
      <c r="Q348" s="79"/>
      <c r="S348" s="79"/>
      <c r="T348" s="79"/>
      <c r="X348" s="79"/>
      <c r="AA348" s="130"/>
      <c r="AC348" s="106"/>
    </row>
    <row r="349">
      <c r="C349" s="79"/>
      <c r="D349" s="79"/>
      <c r="E349" s="79"/>
      <c r="N349" s="79"/>
      <c r="Q349" s="79"/>
      <c r="S349" s="79"/>
      <c r="T349" s="79"/>
      <c r="X349" s="79"/>
      <c r="AA349" s="130"/>
      <c r="AC349" s="106"/>
    </row>
    <row r="350">
      <c r="C350" s="79"/>
      <c r="D350" s="79"/>
      <c r="E350" s="79"/>
      <c r="N350" s="79"/>
      <c r="Q350" s="79"/>
      <c r="S350" s="79"/>
      <c r="T350" s="79"/>
      <c r="X350" s="79"/>
      <c r="AA350" s="130"/>
      <c r="AC350" s="106"/>
    </row>
    <row r="351">
      <c r="C351" s="79"/>
      <c r="D351" s="79"/>
      <c r="E351" s="79"/>
      <c r="N351" s="79"/>
      <c r="Q351" s="79"/>
      <c r="S351" s="79"/>
      <c r="T351" s="79"/>
      <c r="X351" s="79"/>
      <c r="AA351" s="130"/>
      <c r="AC351" s="106"/>
    </row>
    <row r="352">
      <c r="C352" s="79"/>
      <c r="D352" s="79"/>
      <c r="E352" s="79"/>
      <c r="N352" s="79"/>
      <c r="Q352" s="79"/>
      <c r="S352" s="79"/>
      <c r="T352" s="79"/>
      <c r="X352" s="79"/>
      <c r="AA352" s="130"/>
      <c r="AC352" s="106"/>
    </row>
    <row r="353">
      <c r="C353" s="79"/>
      <c r="D353" s="79"/>
      <c r="E353" s="79"/>
      <c r="N353" s="79"/>
      <c r="Q353" s="79"/>
      <c r="S353" s="79"/>
      <c r="T353" s="79"/>
      <c r="X353" s="79"/>
      <c r="AA353" s="130"/>
      <c r="AC353" s="106"/>
    </row>
    <row r="354">
      <c r="C354" s="79"/>
      <c r="D354" s="79"/>
      <c r="E354" s="79"/>
      <c r="N354" s="79"/>
      <c r="Q354" s="79"/>
      <c r="S354" s="79"/>
      <c r="T354" s="79"/>
      <c r="X354" s="79"/>
      <c r="AA354" s="130"/>
      <c r="AC354" s="106"/>
    </row>
    <row r="355">
      <c r="C355" s="79"/>
      <c r="D355" s="79"/>
      <c r="E355" s="79"/>
      <c r="N355" s="79"/>
      <c r="Q355" s="79"/>
      <c r="S355" s="79"/>
      <c r="T355" s="79"/>
      <c r="X355" s="79"/>
      <c r="AA355" s="130"/>
      <c r="AC355" s="106"/>
    </row>
    <row r="356">
      <c r="C356" s="79"/>
      <c r="D356" s="79"/>
      <c r="E356" s="79"/>
      <c r="N356" s="79"/>
      <c r="Q356" s="79"/>
      <c r="S356" s="79"/>
      <c r="T356" s="79"/>
      <c r="X356" s="79"/>
      <c r="AA356" s="130"/>
      <c r="AC356" s="106"/>
    </row>
    <row r="357">
      <c r="C357" s="79"/>
      <c r="D357" s="79"/>
      <c r="E357" s="79"/>
      <c r="N357" s="79"/>
      <c r="Q357" s="79"/>
      <c r="S357" s="79"/>
      <c r="T357" s="79"/>
      <c r="X357" s="79"/>
      <c r="AA357" s="130"/>
      <c r="AC357" s="106"/>
    </row>
    <row r="358">
      <c r="C358" s="79"/>
      <c r="D358" s="79"/>
      <c r="E358" s="79"/>
      <c r="N358" s="79"/>
      <c r="Q358" s="79"/>
      <c r="S358" s="79"/>
      <c r="T358" s="79"/>
      <c r="X358" s="79"/>
      <c r="AA358" s="130"/>
      <c r="AC358" s="106"/>
    </row>
    <row r="359">
      <c r="C359" s="79"/>
      <c r="D359" s="79"/>
      <c r="E359" s="79"/>
      <c r="N359" s="79"/>
      <c r="Q359" s="79"/>
      <c r="S359" s="79"/>
      <c r="T359" s="79"/>
      <c r="X359" s="79"/>
      <c r="AA359" s="130"/>
      <c r="AC359" s="106"/>
    </row>
    <row r="360">
      <c r="C360" s="79"/>
      <c r="D360" s="79"/>
      <c r="E360" s="79"/>
      <c r="N360" s="79"/>
      <c r="Q360" s="79"/>
      <c r="S360" s="79"/>
      <c r="T360" s="79"/>
      <c r="X360" s="79"/>
      <c r="AA360" s="130"/>
      <c r="AC360" s="106"/>
    </row>
    <row r="361">
      <c r="C361" s="79"/>
      <c r="D361" s="79"/>
      <c r="E361" s="79"/>
      <c r="N361" s="79"/>
      <c r="Q361" s="79"/>
      <c r="S361" s="79"/>
      <c r="T361" s="79"/>
      <c r="X361" s="79"/>
      <c r="AA361" s="130"/>
      <c r="AC361" s="106"/>
    </row>
    <row r="362">
      <c r="C362" s="79"/>
      <c r="D362" s="79"/>
      <c r="E362" s="79"/>
      <c r="N362" s="79"/>
      <c r="Q362" s="79"/>
      <c r="S362" s="79"/>
      <c r="T362" s="79"/>
      <c r="X362" s="79"/>
      <c r="AA362" s="130"/>
      <c r="AC362" s="106"/>
    </row>
    <row r="363">
      <c r="C363" s="79"/>
      <c r="D363" s="79"/>
      <c r="E363" s="79"/>
      <c r="N363" s="79"/>
      <c r="Q363" s="79"/>
      <c r="S363" s="79"/>
      <c r="T363" s="79"/>
      <c r="X363" s="79"/>
      <c r="AA363" s="130"/>
      <c r="AC363" s="106"/>
    </row>
    <row r="364">
      <c r="C364" s="79"/>
      <c r="D364" s="79"/>
      <c r="E364" s="79"/>
      <c r="N364" s="79"/>
      <c r="Q364" s="79"/>
      <c r="S364" s="79"/>
      <c r="T364" s="79"/>
      <c r="X364" s="79"/>
      <c r="AA364" s="130"/>
      <c r="AC364" s="106"/>
    </row>
    <row r="365">
      <c r="C365" s="79"/>
      <c r="D365" s="79"/>
      <c r="E365" s="79"/>
      <c r="N365" s="79"/>
      <c r="Q365" s="79"/>
      <c r="S365" s="79"/>
      <c r="T365" s="79"/>
      <c r="X365" s="79"/>
      <c r="AA365" s="130"/>
      <c r="AC365" s="106"/>
    </row>
    <row r="366">
      <c r="C366" s="79"/>
      <c r="D366" s="79"/>
      <c r="E366" s="79"/>
      <c r="N366" s="79"/>
      <c r="Q366" s="79"/>
      <c r="S366" s="79"/>
      <c r="T366" s="79"/>
      <c r="X366" s="79"/>
      <c r="AA366" s="130"/>
      <c r="AC366" s="106"/>
    </row>
    <row r="367">
      <c r="C367" s="79"/>
      <c r="D367" s="79"/>
      <c r="E367" s="79"/>
      <c r="N367" s="79"/>
      <c r="Q367" s="79"/>
      <c r="S367" s="79"/>
      <c r="T367" s="79"/>
      <c r="X367" s="79"/>
      <c r="AA367" s="130"/>
      <c r="AC367" s="106"/>
    </row>
    <row r="368">
      <c r="C368" s="79"/>
      <c r="D368" s="79"/>
      <c r="E368" s="79"/>
      <c r="N368" s="79"/>
      <c r="Q368" s="79"/>
      <c r="S368" s="79"/>
      <c r="T368" s="79"/>
      <c r="X368" s="79"/>
      <c r="AA368" s="130"/>
      <c r="AC368" s="106"/>
    </row>
    <row r="369">
      <c r="C369" s="79"/>
      <c r="D369" s="79"/>
      <c r="E369" s="79"/>
      <c r="N369" s="79"/>
      <c r="Q369" s="79"/>
      <c r="S369" s="79"/>
      <c r="T369" s="79"/>
      <c r="X369" s="79"/>
      <c r="AA369" s="130"/>
      <c r="AC369" s="106"/>
    </row>
    <row r="370">
      <c r="C370" s="79"/>
      <c r="D370" s="79"/>
      <c r="E370" s="79"/>
      <c r="N370" s="79"/>
      <c r="Q370" s="79"/>
      <c r="S370" s="79"/>
      <c r="T370" s="79"/>
      <c r="X370" s="79"/>
      <c r="AA370" s="130"/>
      <c r="AC370" s="106"/>
    </row>
    <row r="371">
      <c r="C371" s="79"/>
      <c r="D371" s="79"/>
      <c r="E371" s="79"/>
      <c r="N371" s="79"/>
      <c r="Q371" s="79"/>
      <c r="S371" s="79"/>
      <c r="T371" s="79"/>
      <c r="X371" s="79"/>
      <c r="AA371" s="130"/>
      <c r="AC371" s="106"/>
    </row>
    <row r="372">
      <c r="C372" s="79"/>
      <c r="D372" s="79"/>
      <c r="E372" s="79"/>
      <c r="N372" s="79"/>
      <c r="Q372" s="79"/>
      <c r="S372" s="79"/>
      <c r="T372" s="79"/>
      <c r="X372" s="79"/>
      <c r="AA372" s="130"/>
      <c r="AC372" s="106"/>
    </row>
    <row r="373">
      <c r="C373" s="79"/>
      <c r="D373" s="79"/>
      <c r="E373" s="79"/>
      <c r="N373" s="79"/>
      <c r="Q373" s="79"/>
      <c r="S373" s="79"/>
      <c r="T373" s="79"/>
      <c r="X373" s="79"/>
      <c r="AA373" s="130"/>
      <c r="AC373" s="106"/>
    </row>
    <row r="374">
      <c r="C374" s="79"/>
      <c r="D374" s="79"/>
      <c r="E374" s="79"/>
      <c r="N374" s="79"/>
      <c r="Q374" s="79"/>
      <c r="S374" s="79"/>
      <c r="T374" s="79"/>
      <c r="X374" s="79"/>
      <c r="AA374" s="130"/>
      <c r="AC374" s="106"/>
    </row>
    <row r="375">
      <c r="C375" s="79"/>
      <c r="D375" s="79"/>
      <c r="E375" s="79"/>
      <c r="N375" s="79"/>
      <c r="Q375" s="79"/>
      <c r="S375" s="79"/>
      <c r="T375" s="79"/>
      <c r="X375" s="79"/>
      <c r="AA375" s="130"/>
      <c r="AC375" s="106"/>
    </row>
    <row r="376">
      <c r="C376" s="79"/>
      <c r="D376" s="79"/>
      <c r="E376" s="79"/>
      <c r="N376" s="79"/>
      <c r="Q376" s="79"/>
      <c r="S376" s="79"/>
      <c r="T376" s="79"/>
      <c r="X376" s="79"/>
      <c r="AA376" s="130"/>
      <c r="AC376" s="106"/>
    </row>
    <row r="377">
      <c r="C377" s="79"/>
      <c r="D377" s="79"/>
      <c r="E377" s="79"/>
      <c r="N377" s="79"/>
      <c r="Q377" s="79"/>
      <c r="S377" s="79"/>
      <c r="T377" s="79"/>
      <c r="X377" s="79"/>
      <c r="AA377" s="130"/>
      <c r="AC377" s="106"/>
    </row>
    <row r="378">
      <c r="C378" s="79"/>
      <c r="D378" s="79"/>
      <c r="E378" s="79"/>
      <c r="N378" s="79"/>
      <c r="Q378" s="79"/>
      <c r="S378" s="79"/>
      <c r="T378" s="79"/>
      <c r="X378" s="79"/>
      <c r="AA378" s="130"/>
      <c r="AC378" s="106"/>
    </row>
    <row r="379">
      <c r="C379" s="79"/>
      <c r="D379" s="79"/>
      <c r="E379" s="79"/>
      <c r="N379" s="79"/>
      <c r="Q379" s="79"/>
      <c r="S379" s="79"/>
      <c r="T379" s="79"/>
      <c r="X379" s="79"/>
      <c r="AA379" s="130"/>
      <c r="AC379" s="106"/>
    </row>
    <row r="380">
      <c r="C380" s="79"/>
      <c r="D380" s="79"/>
      <c r="E380" s="79"/>
      <c r="N380" s="79"/>
      <c r="Q380" s="79"/>
      <c r="S380" s="79"/>
      <c r="T380" s="79"/>
      <c r="X380" s="79"/>
      <c r="AA380" s="130"/>
      <c r="AC380" s="106"/>
    </row>
    <row r="381">
      <c r="C381" s="79"/>
      <c r="D381" s="79"/>
      <c r="E381" s="79"/>
      <c r="N381" s="79"/>
      <c r="Q381" s="79"/>
      <c r="S381" s="79"/>
      <c r="T381" s="79"/>
      <c r="X381" s="79"/>
      <c r="AA381" s="130"/>
      <c r="AC381" s="106"/>
    </row>
    <row r="382">
      <c r="C382" s="79"/>
      <c r="D382" s="79"/>
      <c r="E382" s="79"/>
      <c r="N382" s="79"/>
      <c r="Q382" s="79"/>
      <c r="S382" s="79"/>
      <c r="T382" s="79"/>
      <c r="X382" s="79"/>
      <c r="AA382" s="130"/>
      <c r="AC382" s="106"/>
    </row>
    <row r="383">
      <c r="C383" s="79"/>
      <c r="D383" s="79"/>
      <c r="E383" s="79"/>
      <c r="N383" s="79"/>
      <c r="Q383" s="79"/>
      <c r="S383" s="79"/>
      <c r="T383" s="79"/>
      <c r="X383" s="79"/>
      <c r="AA383" s="130"/>
      <c r="AC383" s="106"/>
    </row>
    <row r="384">
      <c r="C384" s="79"/>
      <c r="D384" s="79"/>
      <c r="E384" s="79"/>
      <c r="N384" s="79"/>
      <c r="Q384" s="79"/>
      <c r="S384" s="79"/>
      <c r="T384" s="79"/>
      <c r="X384" s="79"/>
      <c r="AA384" s="130"/>
      <c r="AC384" s="106"/>
    </row>
    <row r="385">
      <c r="C385" s="79"/>
      <c r="D385" s="79"/>
      <c r="E385" s="79"/>
      <c r="N385" s="79"/>
      <c r="Q385" s="79"/>
      <c r="S385" s="79"/>
      <c r="T385" s="79"/>
      <c r="X385" s="79"/>
      <c r="AA385" s="130"/>
      <c r="AC385" s="106"/>
    </row>
    <row r="386">
      <c r="C386" s="79"/>
      <c r="D386" s="79"/>
      <c r="E386" s="79"/>
      <c r="N386" s="79"/>
      <c r="Q386" s="79"/>
      <c r="S386" s="79"/>
      <c r="T386" s="79"/>
      <c r="X386" s="79"/>
      <c r="AA386" s="130"/>
      <c r="AC386" s="106"/>
    </row>
    <row r="387">
      <c r="C387" s="79"/>
      <c r="D387" s="79"/>
      <c r="E387" s="79"/>
      <c r="N387" s="79"/>
      <c r="Q387" s="79"/>
      <c r="S387" s="79"/>
      <c r="T387" s="79"/>
      <c r="X387" s="79"/>
      <c r="AA387" s="130"/>
      <c r="AC387" s="106"/>
    </row>
    <row r="388">
      <c r="C388" s="79"/>
      <c r="D388" s="79"/>
      <c r="E388" s="79"/>
      <c r="N388" s="79"/>
      <c r="Q388" s="79"/>
      <c r="S388" s="79"/>
      <c r="T388" s="79"/>
      <c r="X388" s="79"/>
      <c r="AA388" s="130"/>
      <c r="AC388" s="106"/>
    </row>
    <row r="389">
      <c r="C389" s="79"/>
      <c r="D389" s="79"/>
      <c r="E389" s="79"/>
      <c r="N389" s="79"/>
      <c r="Q389" s="79"/>
      <c r="S389" s="79"/>
      <c r="T389" s="79"/>
      <c r="X389" s="79"/>
      <c r="AA389" s="130"/>
      <c r="AC389" s="106"/>
    </row>
    <row r="390">
      <c r="C390" s="79"/>
      <c r="D390" s="79"/>
      <c r="E390" s="79"/>
      <c r="N390" s="79"/>
      <c r="Q390" s="79"/>
      <c r="S390" s="79"/>
      <c r="T390" s="79"/>
      <c r="X390" s="79"/>
      <c r="AA390" s="130"/>
      <c r="AC390" s="106"/>
    </row>
    <row r="391">
      <c r="C391" s="79"/>
      <c r="D391" s="79"/>
      <c r="E391" s="79"/>
      <c r="N391" s="79"/>
      <c r="Q391" s="79"/>
      <c r="S391" s="79"/>
      <c r="T391" s="79"/>
      <c r="X391" s="79"/>
      <c r="AA391" s="130"/>
      <c r="AC391" s="106"/>
    </row>
    <row r="392">
      <c r="C392" s="79"/>
      <c r="D392" s="79"/>
      <c r="E392" s="79"/>
      <c r="N392" s="79"/>
      <c r="Q392" s="79"/>
      <c r="S392" s="79"/>
      <c r="T392" s="79"/>
      <c r="X392" s="79"/>
      <c r="AA392" s="130"/>
      <c r="AC392" s="106"/>
    </row>
    <row r="393">
      <c r="C393" s="79"/>
      <c r="D393" s="79"/>
      <c r="E393" s="79"/>
      <c r="N393" s="79"/>
      <c r="Q393" s="79"/>
      <c r="S393" s="79"/>
      <c r="T393" s="79"/>
      <c r="X393" s="79"/>
      <c r="AA393" s="130"/>
      <c r="AC393" s="106"/>
    </row>
    <row r="394">
      <c r="C394" s="79"/>
      <c r="D394" s="79"/>
      <c r="E394" s="79"/>
      <c r="N394" s="79"/>
      <c r="Q394" s="79"/>
      <c r="S394" s="79"/>
      <c r="T394" s="79"/>
      <c r="X394" s="79"/>
      <c r="AA394" s="130"/>
      <c r="AC394" s="106"/>
    </row>
    <row r="395">
      <c r="C395" s="79"/>
      <c r="D395" s="79"/>
      <c r="E395" s="79"/>
      <c r="N395" s="79"/>
      <c r="Q395" s="79"/>
      <c r="S395" s="79"/>
      <c r="T395" s="79"/>
      <c r="X395" s="79"/>
      <c r="AA395" s="130"/>
      <c r="AC395" s="106"/>
    </row>
    <row r="396">
      <c r="C396" s="79"/>
      <c r="D396" s="79"/>
      <c r="E396" s="79"/>
      <c r="N396" s="79"/>
      <c r="Q396" s="79"/>
      <c r="S396" s="79"/>
      <c r="T396" s="79"/>
      <c r="X396" s="79"/>
      <c r="AA396" s="130"/>
      <c r="AC396" s="106"/>
    </row>
    <row r="397">
      <c r="C397" s="79"/>
      <c r="D397" s="79"/>
      <c r="E397" s="79"/>
      <c r="N397" s="79"/>
      <c r="Q397" s="79"/>
      <c r="S397" s="79"/>
      <c r="T397" s="79"/>
      <c r="X397" s="79"/>
      <c r="AA397" s="130"/>
      <c r="AC397" s="106"/>
    </row>
    <row r="398">
      <c r="C398" s="79"/>
      <c r="D398" s="79"/>
      <c r="E398" s="79"/>
      <c r="N398" s="79"/>
      <c r="Q398" s="79"/>
      <c r="S398" s="79"/>
      <c r="T398" s="79"/>
      <c r="X398" s="79"/>
      <c r="AA398" s="130"/>
      <c r="AC398" s="106"/>
    </row>
    <row r="399">
      <c r="C399" s="79"/>
      <c r="D399" s="79"/>
      <c r="E399" s="79"/>
      <c r="N399" s="79"/>
      <c r="Q399" s="79"/>
      <c r="S399" s="79"/>
      <c r="T399" s="79"/>
      <c r="X399" s="79"/>
      <c r="AA399" s="130"/>
      <c r="AC399" s="106"/>
    </row>
    <row r="400">
      <c r="C400" s="79"/>
      <c r="D400" s="79"/>
      <c r="E400" s="79"/>
      <c r="N400" s="79"/>
      <c r="Q400" s="79"/>
      <c r="S400" s="79"/>
      <c r="T400" s="79"/>
      <c r="X400" s="79"/>
      <c r="AA400" s="130"/>
      <c r="AC400" s="106"/>
    </row>
    <row r="401">
      <c r="C401" s="79"/>
      <c r="D401" s="79"/>
      <c r="E401" s="79"/>
      <c r="N401" s="79"/>
      <c r="Q401" s="79"/>
      <c r="S401" s="79"/>
      <c r="T401" s="79"/>
      <c r="X401" s="79"/>
      <c r="AA401" s="130"/>
      <c r="AC401" s="106"/>
    </row>
    <row r="402">
      <c r="C402" s="79"/>
      <c r="D402" s="79"/>
      <c r="E402" s="79"/>
      <c r="N402" s="79"/>
      <c r="Q402" s="79"/>
      <c r="S402" s="79"/>
      <c r="T402" s="79"/>
      <c r="X402" s="79"/>
      <c r="AA402" s="130"/>
      <c r="AC402" s="106"/>
    </row>
    <row r="403">
      <c r="C403" s="79"/>
      <c r="D403" s="79"/>
      <c r="E403" s="79"/>
      <c r="N403" s="79"/>
      <c r="Q403" s="79"/>
      <c r="S403" s="79"/>
      <c r="T403" s="79"/>
      <c r="X403" s="79"/>
      <c r="AA403" s="130"/>
      <c r="AC403" s="106"/>
    </row>
    <row r="404">
      <c r="C404" s="79"/>
      <c r="D404" s="79"/>
      <c r="E404" s="79"/>
      <c r="N404" s="79"/>
      <c r="Q404" s="79"/>
      <c r="S404" s="79"/>
      <c r="T404" s="79"/>
      <c r="X404" s="79"/>
      <c r="AA404" s="130"/>
      <c r="AC404" s="106"/>
    </row>
    <row r="405">
      <c r="C405" s="79"/>
      <c r="D405" s="79"/>
      <c r="E405" s="79"/>
      <c r="N405" s="79"/>
      <c r="Q405" s="79"/>
      <c r="S405" s="79"/>
      <c r="T405" s="79"/>
      <c r="X405" s="79"/>
      <c r="AA405" s="130"/>
      <c r="AC405" s="106"/>
    </row>
    <row r="406">
      <c r="C406" s="79"/>
      <c r="D406" s="79"/>
      <c r="E406" s="79"/>
      <c r="N406" s="79"/>
      <c r="Q406" s="79"/>
      <c r="S406" s="79"/>
      <c r="T406" s="79"/>
      <c r="X406" s="79"/>
      <c r="AA406" s="130"/>
      <c r="AC406" s="106"/>
    </row>
    <row r="407">
      <c r="C407" s="79"/>
      <c r="D407" s="79"/>
      <c r="E407" s="79"/>
      <c r="N407" s="79"/>
      <c r="Q407" s="79"/>
      <c r="S407" s="79"/>
      <c r="T407" s="79"/>
      <c r="X407" s="79"/>
      <c r="AA407" s="130"/>
      <c r="AC407" s="106"/>
    </row>
    <row r="408">
      <c r="C408" s="79"/>
      <c r="D408" s="79"/>
      <c r="E408" s="79"/>
      <c r="N408" s="79"/>
      <c r="Q408" s="79"/>
      <c r="S408" s="79"/>
      <c r="T408" s="79"/>
      <c r="X408" s="79"/>
      <c r="AA408" s="130"/>
      <c r="AC408" s="106"/>
    </row>
    <row r="409">
      <c r="C409" s="79"/>
      <c r="D409" s="79"/>
      <c r="E409" s="79"/>
      <c r="N409" s="79"/>
      <c r="Q409" s="79"/>
      <c r="S409" s="79"/>
      <c r="T409" s="79"/>
      <c r="X409" s="79"/>
      <c r="AA409" s="130"/>
      <c r="AC409" s="106"/>
    </row>
    <row r="410">
      <c r="C410" s="79"/>
      <c r="D410" s="79"/>
      <c r="E410" s="79"/>
      <c r="N410" s="79"/>
      <c r="Q410" s="79"/>
      <c r="S410" s="79"/>
      <c r="T410" s="79"/>
      <c r="X410" s="79"/>
      <c r="AA410" s="130"/>
      <c r="AC410" s="106"/>
    </row>
    <row r="411">
      <c r="C411" s="79"/>
      <c r="D411" s="79"/>
      <c r="E411" s="79"/>
      <c r="N411" s="79"/>
      <c r="Q411" s="79"/>
      <c r="S411" s="79"/>
      <c r="T411" s="79"/>
      <c r="X411" s="79"/>
      <c r="AA411" s="130"/>
      <c r="AC411" s="106"/>
    </row>
    <row r="412">
      <c r="C412" s="79"/>
      <c r="D412" s="79"/>
      <c r="E412" s="79"/>
      <c r="N412" s="79"/>
      <c r="Q412" s="79"/>
      <c r="S412" s="79"/>
      <c r="T412" s="79"/>
      <c r="X412" s="79"/>
      <c r="AA412" s="130"/>
      <c r="AC412" s="106"/>
    </row>
    <row r="413">
      <c r="C413" s="79"/>
      <c r="D413" s="79"/>
      <c r="E413" s="79"/>
      <c r="N413" s="79"/>
      <c r="Q413" s="79"/>
      <c r="S413" s="79"/>
      <c r="T413" s="79"/>
      <c r="X413" s="79"/>
      <c r="AA413" s="130"/>
      <c r="AC413" s="106"/>
    </row>
    <row r="414">
      <c r="C414" s="79"/>
      <c r="D414" s="79"/>
      <c r="E414" s="79"/>
      <c r="N414" s="79"/>
      <c r="Q414" s="79"/>
      <c r="S414" s="79"/>
      <c r="T414" s="79"/>
      <c r="X414" s="79"/>
      <c r="AA414" s="130"/>
      <c r="AC414" s="106"/>
    </row>
    <row r="415">
      <c r="C415" s="79"/>
      <c r="D415" s="79"/>
      <c r="E415" s="79"/>
      <c r="N415" s="79"/>
      <c r="Q415" s="79"/>
      <c r="S415" s="79"/>
      <c r="T415" s="79"/>
      <c r="X415" s="79"/>
      <c r="AA415" s="130"/>
      <c r="AC415" s="106"/>
    </row>
    <row r="416">
      <c r="C416" s="79"/>
      <c r="D416" s="79"/>
      <c r="E416" s="79"/>
      <c r="N416" s="79"/>
      <c r="Q416" s="79"/>
      <c r="S416" s="79"/>
      <c r="T416" s="79"/>
      <c r="X416" s="79"/>
      <c r="AA416" s="130"/>
      <c r="AC416" s="106"/>
    </row>
    <row r="417">
      <c r="C417" s="79"/>
      <c r="D417" s="79"/>
      <c r="E417" s="79"/>
      <c r="N417" s="79"/>
      <c r="Q417" s="79"/>
      <c r="S417" s="79"/>
      <c r="T417" s="79"/>
      <c r="X417" s="79"/>
      <c r="AA417" s="130"/>
      <c r="AC417" s="106"/>
    </row>
    <row r="418">
      <c r="C418" s="79"/>
      <c r="D418" s="79"/>
      <c r="E418" s="79"/>
      <c r="N418" s="79"/>
      <c r="Q418" s="79"/>
      <c r="S418" s="79"/>
      <c r="T418" s="79"/>
      <c r="X418" s="79"/>
      <c r="AA418" s="130"/>
      <c r="AC418" s="106"/>
    </row>
    <row r="419">
      <c r="C419" s="79"/>
      <c r="D419" s="79"/>
      <c r="E419" s="79"/>
      <c r="N419" s="79"/>
      <c r="Q419" s="79"/>
      <c r="S419" s="79"/>
      <c r="T419" s="79"/>
      <c r="X419" s="79"/>
      <c r="AA419" s="130"/>
      <c r="AC419" s="106"/>
    </row>
    <row r="420">
      <c r="C420" s="79"/>
      <c r="D420" s="79"/>
      <c r="E420" s="79"/>
      <c r="N420" s="79"/>
      <c r="Q420" s="79"/>
      <c r="S420" s="79"/>
      <c r="T420" s="79"/>
      <c r="X420" s="79"/>
      <c r="AA420" s="130"/>
      <c r="AC420" s="106"/>
    </row>
    <row r="421">
      <c r="C421" s="79"/>
      <c r="D421" s="79"/>
      <c r="E421" s="79"/>
      <c r="N421" s="79"/>
      <c r="Q421" s="79"/>
      <c r="S421" s="79"/>
      <c r="T421" s="79"/>
      <c r="X421" s="79"/>
      <c r="AA421" s="130"/>
      <c r="AC421" s="106"/>
    </row>
    <row r="422">
      <c r="C422" s="79"/>
      <c r="D422" s="79"/>
      <c r="E422" s="79"/>
      <c r="N422" s="79"/>
      <c r="Q422" s="79"/>
      <c r="S422" s="79"/>
      <c r="T422" s="79"/>
      <c r="X422" s="79"/>
      <c r="AA422" s="130"/>
      <c r="AC422" s="106"/>
    </row>
    <row r="423">
      <c r="C423" s="79"/>
      <c r="D423" s="79"/>
      <c r="E423" s="79"/>
      <c r="N423" s="79"/>
      <c r="Q423" s="79"/>
      <c r="S423" s="79"/>
      <c r="T423" s="79"/>
      <c r="X423" s="79"/>
      <c r="AA423" s="130"/>
      <c r="AC423" s="106"/>
    </row>
    <row r="424">
      <c r="C424" s="79"/>
      <c r="D424" s="79"/>
      <c r="E424" s="79"/>
      <c r="N424" s="79"/>
      <c r="Q424" s="79"/>
      <c r="S424" s="79"/>
      <c r="T424" s="79"/>
      <c r="X424" s="79"/>
      <c r="AA424" s="130"/>
      <c r="AC424" s="106"/>
    </row>
    <row r="425">
      <c r="C425" s="79"/>
      <c r="D425" s="79"/>
      <c r="E425" s="79"/>
      <c r="N425" s="79"/>
      <c r="Q425" s="79"/>
      <c r="S425" s="79"/>
      <c r="T425" s="79"/>
      <c r="X425" s="79"/>
      <c r="AA425" s="130"/>
      <c r="AC425" s="106"/>
    </row>
    <row r="426">
      <c r="C426" s="79"/>
      <c r="D426" s="79"/>
      <c r="E426" s="79"/>
      <c r="N426" s="79"/>
      <c r="Q426" s="79"/>
      <c r="S426" s="79"/>
      <c r="T426" s="79"/>
      <c r="X426" s="79"/>
      <c r="AA426" s="130"/>
      <c r="AC426" s="106"/>
    </row>
    <row r="427">
      <c r="C427" s="79"/>
      <c r="D427" s="79"/>
      <c r="E427" s="79"/>
      <c r="N427" s="79"/>
      <c r="Q427" s="79"/>
      <c r="S427" s="79"/>
      <c r="T427" s="79"/>
      <c r="X427" s="79"/>
      <c r="AA427" s="130"/>
      <c r="AC427" s="106"/>
    </row>
    <row r="428">
      <c r="C428" s="79"/>
      <c r="D428" s="79"/>
      <c r="E428" s="79"/>
      <c r="N428" s="79"/>
      <c r="Q428" s="79"/>
      <c r="S428" s="79"/>
      <c r="T428" s="79"/>
      <c r="X428" s="79"/>
      <c r="AA428" s="130"/>
      <c r="AC428" s="106"/>
    </row>
    <row r="429">
      <c r="C429" s="79"/>
      <c r="D429" s="79"/>
      <c r="E429" s="79"/>
      <c r="N429" s="79"/>
      <c r="Q429" s="79"/>
      <c r="S429" s="79"/>
      <c r="T429" s="79"/>
      <c r="X429" s="79"/>
      <c r="AA429" s="130"/>
      <c r="AC429" s="106"/>
    </row>
    <row r="430">
      <c r="C430" s="79"/>
      <c r="D430" s="79"/>
      <c r="E430" s="79"/>
      <c r="N430" s="79"/>
      <c r="Q430" s="79"/>
      <c r="S430" s="79"/>
      <c r="T430" s="79"/>
      <c r="X430" s="79"/>
      <c r="AA430" s="130"/>
      <c r="AC430" s="106"/>
    </row>
    <row r="431">
      <c r="C431" s="79"/>
      <c r="D431" s="79"/>
      <c r="E431" s="79"/>
      <c r="N431" s="79"/>
      <c r="Q431" s="79"/>
      <c r="S431" s="79"/>
      <c r="T431" s="79"/>
      <c r="X431" s="79"/>
      <c r="AA431" s="130"/>
      <c r="AC431" s="106"/>
    </row>
    <row r="432">
      <c r="C432" s="79"/>
      <c r="D432" s="79"/>
      <c r="E432" s="79"/>
      <c r="N432" s="79"/>
      <c r="Q432" s="79"/>
      <c r="S432" s="79"/>
      <c r="T432" s="79"/>
      <c r="X432" s="79"/>
      <c r="AA432" s="130"/>
      <c r="AC432" s="106"/>
    </row>
    <row r="433">
      <c r="C433" s="79"/>
      <c r="D433" s="79"/>
      <c r="E433" s="79"/>
      <c r="N433" s="79"/>
      <c r="Q433" s="79"/>
      <c r="S433" s="79"/>
      <c r="T433" s="79"/>
      <c r="X433" s="79"/>
      <c r="AA433" s="130"/>
      <c r="AC433" s="106"/>
    </row>
    <row r="434">
      <c r="C434" s="79"/>
      <c r="D434" s="79"/>
      <c r="E434" s="79"/>
      <c r="N434" s="79"/>
      <c r="Q434" s="79"/>
      <c r="S434" s="79"/>
      <c r="T434" s="79"/>
      <c r="X434" s="79"/>
      <c r="AA434" s="130"/>
      <c r="AC434" s="106"/>
    </row>
    <row r="435">
      <c r="C435" s="79"/>
      <c r="D435" s="79"/>
      <c r="E435" s="79"/>
      <c r="N435" s="79"/>
      <c r="Q435" s="79"/>
      <c r="S435" s="79"/>
      <c r="T435" s="79"/>
      <c r="X435" s="79"/>
      <c r="AA435" s="130"/>
      <c r="AC435" s="106"/>
    </row>
    <row r="436">
      <c r="C436" s="79"/>
      <c r="D436" s="79"/>
      <c r="E436" s="79"/>
      <c r="N436" s="79"/>
      <c r="Q436" s="79"/>
      <c r="S436" s="79"/>
      <c r="T436" s="79"/>
      <c r="X436" s="79"/>
      <c r="AA436" s="130"/>
      <c r="AC436" s="106"/>
    </row>
    <row r="437">
      <c r="C437" s="79"/>
      <c r="D437" s="79"/>
      <c r="E437" s="79"/>
      <c r="N437" s="79"/>
      <c r="Q437" s="79"/>
      <c r="S437" s="79"/>
      <c r="T437" s="79"/>
      <c r="X437" s="79"/>
      <c r="AA437" s="130"/>
      <c r="AC437" s="106"/>
    </row>
    <row r="438">
      <c r="C438" s="79"/>
      <c r="D438" s="79"/>
      <c r="E438" s="79"/>
      <c r="N438" s="79"/>
      <c r="Q438" s="79"/>
      <c r="S438" s="79"/>
      <c r="T438" s="79"/>
      <c r="X438" s="79"/>
      <c r="AA438" s="130"/>
      <c r="AC438" s="106"/>
    </row>
    <row r="439">
      <c r="C439" s="79"/>
      <c r="D439" s="79"/>
      <c r="E439" s="79"/>
      <c r="N439" s="79"/>
      <c r="Q439" s="79"/>
      <c r="S439" s="79"/>
      <c r="T439" s="79"/>
      <c r="X439" s="79"/>
      <c r="AA439" s="130"/>
      <c r="AC439" s="106"/>
    </row>
    <row r="440">
      <c r="C440" s="79"/>
      <c r="D440" s="79"/>
      <c r="E440" s="79"/>
      <c r="N440" s="79"/>
      <c r="Q440" s="79"/>
      <c r="S440" s="79"/>
      <c r="T440" s="79"/>
      <c r="X440" s="79"/>
      <c r="AA440" s="130"/>
      <c r="AC440" s="106"/>
    </row>
    <row r="441">
      <c r="C441" s="79"/>
      <c r="D441" s="79"/>
      <c r="E441" s="79"/>
      <c r="N441" s="79"/>
      <c r="Q441" s="79"/>
      <c r="S441" s="79"/>
      <c r="T441" s="79"/>
      <c r="X441" s="79"/>
      <c r="AA441" s="130"/>
      <c r="AC441" s="106"/>
    </row>
    <row r="442">
      <c r="C442" s="79"/>
      <c r="D442" s="79"/>
      <c r="E442" s="79"/>
      <c r="N442" s="79"/>
      <c r="Q442" s="79"/>
      <c r="S442" s="79"/>
      <c r="T442" s="79"/>
      <c r="X442" s="79"/>
      <c r="AA442" s="130"/>
      <c r="AC442" s="106"/>
    </row>
    <row r="443">
      <c r="C443" s="79"/>
      <c r="D443" s="79"/>
      <c r="E443" s="79"/>
      <c r="N443" s="79"/>
      <c r="Q443" s="79"/>
      <c r="S443" s="79"/>
      <c r="T443" s="79"/>
      <c r="X443" s="79"/>
      <c r="AA443" s="130"/>
      <c r="AC443" s="106"/>
    </row>
    <row r="444">
      <c r="C444" s="79"/>
      <c r="D444" s="79"/>
      <c r="E444" s="79"/>
      <c r="N444" s="79"/>
      <c r="Q444" s="79"/>
      <c r="S444" s="79"/>
      <c r="T444" s="79"/>
      <c r="X444" s="79"/>
      <c r="AA444" s="130"/>
      <c r="AC444" s="106"/>
    </row>
    <row r="445">
      <c r="C445" s="79"/>
      <c r="D445" s="79"/>
      <c r="E445" s="79"/>
      <c r="N445" s="79"/>
      <c r="Q445" s="79"/>
      <c r="S445" s="79"/>
      <c r="T445" s="79"/>
      <c r="X445" s="79"/>
      <c r="AA445" s="130"/>
      <c r="AC445" s="106"/>
    </row>
    <row r="446">
      <c r="C446" s="79"/>
      <c r="D446" s="79"/>
      <c r="E446" s="79"/>
      <c r="N446" s="79"/>
      <c r="Q446" s="79"/>
      <c r="S446" s="79"/>
      <c r="T446" s="79"/>
      <c r="X446" s="79"/>
      <c r="AA446" s="130"/>
      <c r="AC446" s="106"/>
    </row>
    <row r="447">
      <c r="C447" s="79"/>
      <c r="D447" s="79"/>
      <c r="E447" s="79"/>
      <c r="N447" s="79"/>
      <c r="Q447" s="79"/>
      <c r="S447" s="79"/>
      <c r="T447" s="79"/>
      <c r="X447" s="79"/>
      <c r="AA447" s="130"/>
      <c r="AC447" s="106"/>
    </row>
    <row r="448">
      <c r="C448" s="79"/>
      <c r="D448" s="79"/>
      <c r="E448" s="79"/>
      <c r="N448" s="79"/>
      <c r="Q448" s="79"/>
      <c r="S448" s="79"/>
      <c r="T448" s="79"/>
      <c r="X448" s="79"/>
      <c r="AA448" s="130"/>
      <c r="AC448" s="106"/>
    </row>
    <row r="449">
      <c r="C449" s="79"/>
      <c r="D449" s="79"/>
      <c r="E449" s="79"/>
      <c r="N449" s="79"/>
      <c r="Q449" s="79"/>
      <c r="S449" s="79"/>
      <c r="T449" s="79"/>
      <c r="X449" s="79"/>
      <c r="AA449" s="130"/>
      <c r="AC449" s="106"/>
    </row>
    <row r="450">
      <c r="C450" s="79"/>
      <c r="D450" s="79"/>
      <c r="E450" s="79"/>
      <c r="N450" s="79"/>
      <c r="Q450" s="79"/>
      <c r="S450" s="79"/>
      <c r="T450" s="79"/>
      <c r="X450" s="79"/>
      <c r="AA450" s="130"/>
      <c r="AC450" s="106"/>
    </row>
    <row r="451">
      <c r="C451" s="79"/>
      <c r="D451" s="79"/>
      <c r="E451" s="79"/>
      <c r="N451" s="79"/>
      <c r="Q451" s="79"/>
      <c r="S451" s="79"/>
      <c r="T451" s="79"/>
      <c r="X451" s="79"/>
      <c r="AA451" s="130"/>
      <c r="AC451" s="106"/>
    </row>
    <row r="452">
      <c r="C452" s="79"/>
      <c r="D452" s="79"/>
      <c r="E452" s="79"/>
      <c r="N452" s="79"/>
      <c r="Q452" s="79"/>
      <c r="S452" s="79"/>
      <c r="T452" s="79"/>
      <c r="X452" s="79"/>
      <c r="AA452" s="130"/>
      <c r="AC452" s="106"/>
    </row>
    <row r="453">
      <c r="C453" s="79"/>
      <c r="D453" s="79"/>
      <c r="E453" s="79"/>
      <c r="N453" s="79"/>
      <c r="Q453" s="79"/>
      <c r="S453" s="79"/>
      <c r="T453" s="79"/>
      <c r="X453" s="79"/>
      <c r="AA453" s="130"/>
      <c r="AC453" s="106"/>
    </row>
    <row r="454">
      <c r="C454" s="79"/>
      <c r="D454" s="79"/>
      <c r="E454" s="79"/>
      <c r="N454" s="79"/>
      <c r="Q454" s="79"/>
      <c r="S454" s="79"/>
      <c r="T454" s="79"/>
      <c r="X454" s="79"/>
      <c r="AA454" s="130"/>
      <c r="AC454" s="106"/>
    </row>
    <row r="455">
      <c r="C455" s="79"/>
      <c r="D455" s="79"/>
      <c r="E455" s="79"/>
      <c r="N455" s="79"/>
      <c r="Q455" s="79"/>
      <c r="S455" s="79"/>
      <c r="T455" s="79"/>
      <c r="X455" s="79"/>
      <c r="AA455" s="130"/>
      <c r="AC455" s="106"/>
    </row>
    <row r="456">
      <c r="C456" s="79"/>
      <c r="D456" s="79"/>
      <c r="E456" s="79"/>
      <c r="N456" s="79"/>
      <c r="Q456" s="79"/>
      <c r="S456" s="79"/>
      <c r="T456" s="79"/>
      <c r="X456" s="79"/>
      <c r="AA456" s="130"/>
      <c r="AC456" s="106"/>
    </row>
    <row r="457">
      <c r="C457" s="79"/>
      <c r="D457" s="79"/>
      <c r="E457" s="79"/>
      <c r="N457" s="79"/>
      <c r="Q457" s="79"/>
      <c r="S457" s="79"/>
      <c r="T457" s="79"/>
      <c r="X457" s="79"/>
      <c r="AA457" s="130"/>
      <c r="AC457" s="106"/>
    </row>
    <row r="458">
      <c r="C458" s="79"/>
      <c r="D458" s="79"/>
      <c r="E458" s="79"/>
      <c r="N458" s="79"/>
      <c r="Q458" s="79"/>
      <c r="S458" s="79"/>
      <c r="T458" s="79"/>
      <c r="X458" s="79"/>
      <c r="AA458" s="130"/>
      <c r="AC458" s="106"/>
    </row>
    <row r="459">
      <c r="C459" s="79"/>
      <c r="D459" s="79"/>
      <c r="E459" s="79"/>
      <c r="N459" s="79"/>
      <c r="Q459" s="79"/>
      <c r="S459" s="79"/>
      <c r="T459" s="79"/>
      <c r="X459" s="79"/>
      <c r="AA459" s="130"/>
      <c r="AC459" s="106"/>
    </row>
    <row r="460">
      <c r="C460" s="79"/>
      <c r="D460" s="79"/>
      <c r="E460" s="79"/>
      <c r="N460" s="79"/>
      <c r="Q460" s="79"/>
      <c r="S460" s="79"/>
      <c r="T460" s="79"/>
      <c r="X460" s="79"/>
      <c r="AA460" s="130"/>
      <c r="AC460" s="106"/>
    </row>
    <row r="461">
      <c r="C461" s="79"/>
      <c r="D461" s="79"/>
      <c r="E461" s="79"/>
      <c r="N461" s="79"/>
      <c r="Q461" s="79"/>
      <c r="S461" s="79"/>
      <c r="T461" s="79"/>
      <c r="X461" s="79"/>
      <c r="AA461" s="130"/>
      <c r="AC461" s="106"/>
    </row>
    <row r="462">
      <c r="C462" s="79"/>
      <c r="D462" s="79"/>
      <c r="E462" s="79"/>
      <c r="N462" s="79"/>
      <c r="Q462" s="79"/>
      <c r="S462" s="79"/>
      <c r="T462" s="79"/>
      <c r="X462" s="79"/>
      <c r="AA462" s="130"/>
      <c r="AC462" s="106"/>
    </row>
    <row r="463">
      <c r="C463" s="79"/>
      <c r="D463" s="79"/>
      <c r="E463" s="79"/>
      <c r="N463" s="79"/>
      <c r="Q463" s="79"/>
      <c r="S463" s="79"/>
      <c r="T463" s="79"/>
      <c r="X463" s="79"/>
      <c r="AA463" s="130"/>
      <c r="AC463" s="106"/>
    </row>
    <row r="464">
      <c r="C464" s="79"/>
      <c r="D464" s="79"/>
      <c r="E464" s="79"/>
      <c r="N464" s="79"/>
      <c r="Q464" s="79"/>
      <c r="S464" s="79"/>
      <c r="T464" s="79"/>
      <c r="X464" s="79"/>
      <c r="AA464" s="130"/>
      <c r="AC464" s="106"/>
    </row>
    <row r="465">
      <c r="C465" s="79"/>
      <c r="D465" s="79"/>
      <c r="E465" s="79"/>
      <c r="N465" s="79"/>
      <c r="Q465" s="79"/>
      <c r="S465" s="79"/>
      <c r="T465" s="79"/>
      <c r="X465" s="79"/>
      <c r="AA465" s="130"/>
      <c r="AC465" s="106"/>
    </row>
    <row r="466">
      <c r="C466" s="79"/>
      <c r="D466" s="79"/>
      <c r="E466" s="79"/>
      <c r="N466" s="79"/>
      <c r="Q466" s="79"/>
      <c r="S466" s="79"/>
      <c r="T466" s="79"/>
      <c r="X466" s="79"/>
      <c r="AA466" s="130"/>
      <c r="AC466" s="106"/>
    </row>
    <row r="467">
      <c r="C467" s="79"/>
      <c r="D467" s="79"/>
      <c r="E467" s="79"/>
      <c r="N467" s="79"/>
      <c r="Q467" s="79"/>
      <c r="S467" s="79"/>
      <c r="T467" s="79"/>
      <c r="X467" s="79"/>
      <c r="AA467" s="130"/>
      <c r="AC467" s="106"/>
    </row>
    <row r="468">
      <c r="C468" s="79"/>
      <c r="D468" s="79"/>
      <c r="E468" s="79"/>
      <c r="N468" s="79"/>
      <c r="Q468" s="79"/>
      <c r="S468" s="79"/>
      <c r="T468" s="79"/>
      <c r="X468" s="79"/>
      <c r="AA468" s="130"/>
      <c r="AC468" s="106"/>
    </row>
    <row r="469">
      <c r="C469" s="79"/>
      <c r="D469" s="79"/>
      <c r="E469" s="79"/>
      <c r="N469" s="79"/>
      <c r="Q469" s="79"/>
      <c r="S469" s="79"/>
      <c r="T469" s="79"/>
      <c r="X469" s="79"/>
      <c r="AA469" s="130"/>
      <c r="AC469" s="106"/>
    </row>
    <row r="470">
      <c r="C470" s="79"/>
      <c r="D470" s="79"/>
      <c r="E470" s="79"/>
      <c r="N470" s="79"/>
      <c r="Q470" s="79"/>
      <c r="S470" s="79"/>
      <c r="T470" s="79"/>
      <c r="X470" s="79"/>
      <c r="AA470" s="130"/>
      <c r="AC470" s="106"/>
    </row>
    <row r="471">
      <c r="C471" s="79"/>
      <c r="D471" s="79"/>
      <c r="E471" s="79"/>
      <c r="N471" s="79"/>
      <c r="Q471" s="79"/>
      <c r="S471" s="79"/>
      <c r="T471" s="79"/>
      <c r="X471" s="79"/>
      <c r="AA471" s="130"/>
      <c r="AC471" s="106"/>
    </row>
    <row r="472">
      <c r="C472" s="79"/>
      <c r="D472" s="79"/>
      <c r="E472" s="79"/>
      <c r="N472" s="79"/>
      <c r="Q472" s="79"/>
      <c r="S472" s="79"/>
      <c r="T472" s="79"/>
      <c r="X472" s="79"/>
      <c r="AA472" s="130"/>
      <c r="AC472" s="106"/>
    </row>
    <row r="473">
      <c r="C473" s="79"/>
      <c r="D473" s="79"/>
      <c r="E473" s="79"/>
      <c r="N473" s="79"/>
      <c r="Q473" s="79"/>
      <c r="S473" s="79"/>
      <c r="T473" s="79"/>
      <c r="X473" s="79"/>
      <c r="AA473" s="130"/>
      <c r="AC473" s="106"/>
    </row>
    <row r="474">
      <c r="C474" s="79"/>
      <c r="D474" s="79"/>
      <c r="E474" s="79"/>
      <c r="N474" s="79"/>
      <c r="Q474" s="79"/>
      <c r="S474" s="79"/>
      <c r="T474" s="79"/>
      <c r="X474" s="79"/>
      <c r="AA474" s="130"/>
      <c r="AC474" s="106"/>
    </row>
    <row r="475">
      <c r="C475" s="79"/>
      <c r="D475" s="79"/>
      <c r="E475" s="79"/>
      <c r="N475" s="79"/>
      <c r="Q475" s="79"/>
      <c r="S475" s="79"/>
      <c r="T475" s="79"/>
      <c r="X475" s="79"/>
      <c r="AA475" s="130"/>
      <c r="AC475" s="106"/>
    </row>
    <row r="476">
      <c r="C476" s="79"/>
      <c r="D476" s="79"/>
      <c r="E476" s="79"/>
      <c r="N476" s="79"/>
      <c r="Q476" s="79"/>
      <c r="S476" s="79"/>
      <c r="T476" s="79"/>
      <c r="X476" s="79"/>
      <c r="AA476" s="130"/>
      <c r="AC476" s="106"/>
    </row>
    <row r="477">
      <c r="C477" s="79"/>
      <c r="D477" s="79"/>
      <c r="E477" s="79"/>
      <c r="N477" s="79"/>
      <c r="Q477" s="79"/>
      <c r="S477" s="79"/>
      <c r="T477" s="79"/>
      <c r="X477" s="79"/>
      <c r="AA477" s="130"/>
      <c r="AC477" s="106"/>
    </row>
    <row r="478">
      <c r="C478" s="79"/>
      <c r="D478" s="79"/>
      <c r="E478" s="79"/>
      <c r="N478" s="79"/>
      <c r="Q478" s="79"/>
      <c r="S478" s="79"/>
      <c r="T478" s="79"/>
      <c r="X478" s="79"/>
      <c r="AA478" s="130"/>
      <c r="AC478" s="106"/>
    </row>
    <row r="479">
      <c r="C479" s="79"/>
      <c r="D479" s="79"/>
      <c r="E479" s="79"/>
      <c r="N479" s="79"/>
      <c r="Q479" s="79"/>
      <c r="S479" s="79"/>
      <c r="T479" s="79"/>
      <c r="X479" s="79"/>
      <c r="AA479" s="130"/>
      <c r="AC479" s="106"/>
    </row>
    <row r="480">
      <c r="C480" s="79"/>
      <c r="D480" s="79"/>
      <c r="E480" s="79"/>
      <c r="N480" s="79"/>
      <c r="Q480" s="79"/>
      <c r="S480" s="79"/>
      <c r="T480" s="79"/>
      <c r="X480" s="79"/>
      <c r="AA480" s="130"/>
      <c r="AC480" s="106"/>
    </row>
    <row r="481">
      <c r="C481" s="79"/>
      <c r="D481" s="79"/>
      <c r="E481" s="79"/>
      <c r="N481" s="79"/>
      <c r="Q481" s="79"/>
      <c r="S481" s="79"/>
      <c r="T481" s="79"/>
      <c r="X481" s="79"/>
      <c r="AA481" s="130"/>
      <c r="AC481" s="106"/>
    </row>
    <row r="482">
      <c r="C482" s="79"/>
      <c r="D482" s="79"/>
      <c r="E482" s="79"/>
      <c r="N482" s="79"/>
      <c r="Q482" s="79"/>
      <c r="S482" s="79"/>
      <c r="T482" s="79"/>
      <c r="X482" s="79"/>
      <c r="AA482" s="130"/>
      <c r="AC482" s="106"/>
    </row>
    <row r="483">
      <c r="C483" s="79"/>
      <c r="D483" s="79"/>
      <c r="E483" s="79"/>
      <c r="N483" s="79"/>
      <c r="Q483" s="79"/>
      <c r="S483" s="79"/>
      <c r="T483" s="79"/>
      <c r="X483" s="79"/>
      <c r="AA483" s="130"/>
      <c r="AC483" s="106"/>
    </row>
    <row r="484">
      <c r="C484" s="79"/>
      <c r="D484" s="79"/>
      <c r="E484" s="79"/>
      <c r="N484" s="79"/>
      <c r="Q484" s="79"/>
      <c r="S484" s="79"/>
      <c r="T484" s="79"/>
      <c r="X484" s="79"/>
      <c r="AA484" s="130"/>
      <c r="AC484" s="106"/>
    </row>
    <row r="485">
      <c r="C485" s="79"/>
      <c r="D485" s="79"/>
      <c r="E485" s="79"/>
      <c r="N485" s="79"/>
      <c r="Q485" s="79"/>
      <c r="S485" s="79"/>
      <c r="T485" s="79"/>
      <c r="X485" s="79"/>
      <c r="AA485" s="130"/>
      <c r="AC485" s="106"/>
    </row>
    <row r="486">
      <c r="C486" s="79"/>
      <c r="D486" s="79"/>
      <c r="E486" s="79"/>
      <c r="N486" s="79"/>
      <c r="Q486" s="79"/>
      <c r="S486" s="79"/>
      <c r="T486" s="79"/>
      <c r="X486" s="79"/>
      <c r="AA486" s="130"/>
      <c r="AC486" s="106"/>
    </row>
    <row r="487">
      <c r="C487" s="79"/>
      <c r="D487" s="79"/>
      <c r="E487" s="79"/>
      <c r="N487" s="79"/>
      <c r="Q487" s="79"/>
      <c r="S487" s="79"/>
      <c r="T487" s="79"/>
      <c r="X487" s="79"/>
      <c r="AA487" s="130"/>
      <c r="AC487" s="106"/>
    </row>
    <row r="488">
      <c r="C488" s="79"/>
      <c r="D488" s="79"/>
      <c r="E488" s="79"/>
      <c r="N488" s="79"/>
      <c r="Q488" s="79"/>
      <c r="S488" s="79"/>
      <c r="T488" s="79"/>
      <c r="X488" s="79"/>
      <c r="AA488" s="130"/>
      <c r="AC488" s="106"/>
    </row>
    <row r="489">
      <c r="C489" s="79"/>
      <c r="D489" s="79"/>
      <c r="E489" s="79"/>
      <c r="N489" s="79"/>
      <c r="Q489" s="79"/>
      <c r="S489" s="79"/>
      <c r="T489" s="79"/>
      <c r="X489" s="79"/>
      <c r="AA489" s="130"/>
      <c r="AC489" s="106"/>
    </row>
    <row r="490">
      <c r="C490" s="79"/>
      <c r="D490" s="79"/>
      <c r="E490" s="79"/>
      <c r="N490" s="79"/>
      <c r="Q490" s="79"/>
      <c r="S490" s="79"/>
      <c r="T490" s="79"/>
      <c r="X490" s="79"/>
      <c r="AA490" s="130"/>
      <c r="AC490" s="106"/>
    </row>
    <row r="491">
      <c r="C491" s="79"/>
      <c r="D491" s="79"/>
      <c r="E491" s="79"/>
      <c r="N491" s="79"/>
      <c r="Q491" s="79"/>
      <c r="S491" s="79"/>
      <c r="T491" s="79"/>
      <c r="X491" s="79"/>
      <c r="AA491" s="130"/>
      <c r="AC491" s="106"/>
    </row>
    <row r="492">
      <c r="C492" s="79"/>
      <c r="D492" s="79"/>
      <c r="E492" s="79"/>
      <c r="N492" s="79"/>
      <c r="Q492" s="79"/>
      <c r="S492" s="79"/>
      <c r="T492" s="79"/>
      <c r="X492" s="79"/>
      <c r="AA492" s="130"/>
      <c r="AC492" s="106"/>
    </row>
    <row r="493">
      <c r="C493" s="79"/>
      <c r="D493" s="79"/>
      <c r="E493" s="79"/>
      <c r="N493" s="79"/>
      <c r="Q493" s="79"/>
      <c r="S493" s="79"/>
      <c r="T493" s="79"/>
      <c r="X493" s="79"/>
      <c r="AA493" s="130"/>
      <c r="AC493" s="106"/>
    </row>
    <row r="494">
      <c r="C494" s="79"/>
      <c r="D494" s="79"/>
      <c r="E494" s="79"/>
      <c r="N494" s="79"/>
      <c r="Q494" s="79"/>
      <c r="S494" s="79"/>
      <c r="T494" s="79"/>
      <c r="X494" s="79"/>
      <c r="AA494" s="130"/>
      <c r="AC494" s="106"/>
    </row>
    <row r="495">
      <c r="C495" s="79"/>
      <c r="D495" s="79"/>
      <c r="E495" s="79"/>
      <c r="N495" s="79"/>
      <c r="Q495" s="79"/>
      <c r="S495" s="79"/>
      <c r="T495" s="79"/>
      <c r="X495" s="79"/>
      <c r="AA495" s="130"/>
      <c r="AC495" s="106"/>
    </row>
    <row r="496">
      <c r="C496" s="79"/>
      <c r="D496" s="79"/>
      <c r="E496" s="79"/>
      <c r="N496" s="79"/>
      <c r="Q496" s="79"/>
      <c r="S496" s="79"/>
      <c r="T496" s="79"/>
      <c r="X496" s="79"/>
      <c r="AA496" s="130"/>
      <c r="AC496" s="106"/>
    </row>
    <row r="497">
      <c r="C497" s="79"/>
      <c r="D497" s="79"/>
      <c r="E497" s="79"/>
      <c r="N497" s="79"/>
      <c r="Q497" s="79"/>
      <c r="S497" s="79"/>
      <c r="T497" s="79"/>
      <c r="X497" s="79"/>
      <c r="AA497" s="130"/>
      <c r="AC497" s="106"/>
    </row>
    <row r="498">
      <c r="C498" s="79"/>
      <c r="D498" s="79"/>
      <c r="E498" s="79"/>
      <c r="N498" s="79"/>
      <c r="Q498" s="79"/>
      <c r="S498" s="79"/>
      <c r="T498" s="79"/>
      <c r="X498" s="79"/>
      <c r="AA498" s="130"/>
      <c r="AC498" s="106"/>
    </row>
    <row r="499">
      <c r="C499" s="79"/>
      <c r="D499" s="79"/>
      <c r="E499" s="79"/>
      <c r="N499" s="79"/>
      <c r="Q499" s="79"/>
      <c r="S499" s="79"/>
      <c r="T499" s="79"/>
      <c r="X499" s="79"/>
      <c r="AA499" s="130"/>
      <c r="AC499" s="106"/>
    </row>
    <row r="500">
      <c r="C500" s="79"/>
      <c r="D500" s="79"/>
      <c r="E500" s="79"/>
      <c r="N500" s="79"/>
      <c r="Q500" s="79"/>
      <c r="S500" s="79"/>
      <c r="T500" s="79"/>
      <c r="X500" s="79"/>
      <c r="AA500" s="130"/>
      <c r="AC500" s="106"/>
    </row>
    <row r="501">
      <c r="C501" s="79"/>
      <c r="D501" s="79"/>
      <c r="E501" s="79"/>
      <c r="N501" s="79"/>
      <c r="Q501" s="79"/>
      <c r="S501" s="79"/>
      <c r="T501" s="79"/>
      <c r="X501" s="79"/>
      <c r="AA501" s="130"/>
      <c r="AC501" s="106"/>
    </row>
    <row r="502">
      <c r="C502" s="79"/>
      <c r="D502" s="79"/>
      <c r="E502" s="79"/>
      <c r="N502" s="79"/>
      <c r="Q502" s="79"/>
      <c r="S502" s="79"/>
      <c r="T502" s="79"/>
      <c r="X502" s="79"/>
      <c r="AA502" s="130"/>
      <c r="AC502" s="106"/>
    </row>
    <row r="503">
      <c r="C503" s="79"/>
      <c r="D503" s="79"/>
      <c r="E503" s="79"/>
      <c r="N503" s="79"/>
      <c r="Q503" s="79"/>
      <c r="S503" s="79"/>
      <c r="T503" s="79"/>
      <c r="X503" s="79"/>
      <c r="AA503" s="130"/>
      <c r="AC503" s="106"/>
    </row>
    <row r="504">
      <c r="C504" s="79"/>
      <c r="D504" s="79"/>
      <c r="E504" s="79"/>
      <c r="N504" s="79"/>
      <c r="Q504" s="79"/>
      <c r="S504" s="79"/>
      <c r="T504" s="79"/>
      <c r="X504" s="79"/>
      <c r="AA504" s="130"/>
      <c r="AC504" s="106"/>
    </row>
    <row r="505">
      <c r="C505" s="79"/>
      <c r="D505" s="79"/>
      <c r="E505" s="79"/>
      <c r="N505" s="79"/>
      <c r="Q505" s="79"/>
      <c r="S505" s="79"/>
      <c r="T505" s="79"/>
      <c r="X505" s="79"/>
      <c r="AA505" s="130"/>
      <c r="AC505" s="106"/>
    </row>
    <row r="506">
      <c r="C506" s="79"/>
      <c r="D506" s="79"/>
      <c r="E506" s="79"/>
      <c r="N506" s="79"/>
      <c r="Q506" s="79"/>
      <c r="S506" s="79"/>
      <c r="T506" s="79"/>
      <c r="X506" s="79"/>
      <c r="AA506" s="130"/>
      <c r="AC506" s="106"/>
    </row>
    <row r="507">
      <c r="C507" s="79"/>
      <c r="D507" s="79"/>
      <c r="E507" s="79"/>
      <c r="N507" s="79"/>
      <c r="Q507" s="79"/>
      <c r="S507" s="79"/>
      <c r="T507" s="79"/>
      <c r="X507" s="79"/>
      <c r="AA507" s="130"/>
      <c r="AC507" s="106"/>
    </row>
    <row r="508">
      <c r="C508" s="79"/>
      <c r="D508" s="79"/>
      <c r="E508" s="79"/>
      <c r="N508" s="79"/>
      <c r="Q508" s="79"/>
      <c r="S508" s="79"/>
      <c r="T508" s="79"/>
      <c r="X508" s="79"/>
      <c r="AA508" s="130"/>
      <c r="AC508" s="106"/>
    </row>
    <row r="509">
      <c r="C509" s="79"/>
      <c r="D509" s="79"/>
      <c r="E509" s="79"/>
      <c r="N509" s="79"/>
      <c r="Q509" s="79"/>
      <c r="S509" s="79"/>
      <c r="T509" s="79"/>
      <c r="X509" s="79"/>
      <c r="AA509" s="130"/>
      <c r="AC509" s="106"/>
    </row>
    <row r="510">
      <c r="C510" s="79"/>
      <c r="D510" s="79"/>
      <c r="E510" s="79"/>
      <c r="N510" s="79"/>
      <c r="Q510" s="79"/>
      <c r="S510" s="79"/>
      <c r="T510" s="79"/>
      <c r="X510" s="79"/>
      <c r="AA510" s="130"/>
      <c r="AC510" s="106"/>
    </row>
    <row r="511">
      <c r="C511" s="79"/>
      <c r="D511" s="79"/>
      <c r="E511" s="79"/>
      <c r="N511" s="79"/>
      <c r="Q511" s="79"/>
      <c r="S511" s="79"/>
      <c r="T511" s="79"/>
      <c r="X511" s="79"/>
      <c r="AA511" s="130"/>
      <c r="AC511" s="106"/>
    </row>
    <row r="512">
      <c r="C512" s="79"/>
      <c r="D512" s="79"/>
      <c r="E512" s="79"/>
      <c r="N512" s="79"/>
      <c r="Q512" s="79"/>
      <c r="S512" s="79"/>
      <c r="T512" s="79"/>
      <c r="X512" s="79"/>
      <c r="AA512" s="130"/>
      <c r="AC512" s="106"/>
    </row>
    <row r="513">
      <c r="C513" s="79"/>
      <c r="D513" s="79"/>
      <c r="E513" s="79"/>
      <c r="N513" s="79"/>
      <c r="Q513" s="79"/>
      <c r="S513" s="79"/>
      <c r="T513" s="79"/>
      <c r="X513" s="79"/>
      <c r="AA513" s="130"/>
      <c r="AC513" s="106"/>
    </row>
    <row r="514">
      <c r="C514" s="79"/>
      <c r="D514" s="79"/>
      <c r="E514" s="79"/>
      <c r="N514" s="79"/>
      <c r="Q514" s="79"/>
      <c r="S514" s="79"/>
      <c r="T514" s="79"/>
      <c r="X514" s="79"/>
      <c r="AA514" s="130"/>
      <c r="AC514" s="106"/>
    </row>
    <row r="515">
      <c r="C515" s="79"/>
      <c r="D515" s="79"/>
      <c r="E515" s="79"/>
      <c r="N515" s="79"/>
      <c r="Q515" s="79"/>
      <c r="S515" s="79"/>
      <c r="T515" s="79"/>
      <c r="X515" s="79"/>
      <c r="AA515" s="130"/>
      <c r="AC515" s="106"/>
    </row>
    <row r="516">
      <c r="C516" s="79"/>
      <c r="D516" s="79"/>
      <c r="E516" s="79"/>
      <c r="N516" s="79"/>
      <c r="Q516" s="79"/>
      <c r="S516" s="79"/>
      <c r="T516" s="79"/>
      <c r="X516" s="79"/>
      <c r="AA516" s="130"/>
      <c r="AC516" s="106"/>
    </row>
    <row r="517">
      <c r="C517" s="79"/>
      <c r="D517" s="79"/>
      <c r="E517" s="79"/>
      <c r="N517" s="79"/>
      <c r="Q517" s="79"/>
      <c r="S517" s="79"/>
      <c r="T517" s="79"/>
      <c r="X517" s="79"/>
      <c r="AA517" s="130"/>
      <c r="AC517" s="106"/>
    </row>
    <row r="518">
      <c r="C518" s="79"/>
      <c r="D518" s="79"/>
      <c r="E518" s="79"/>
      <c r="N518" s="79"/>
      <c r="Q518" s="79"/>
      <c r="S518" s="79"/>
      <c r="T518" s="79"/>
      <c r="X518" s="79"/>
      <c r="AA518" s="130"/>
      <c r="AC518" s="106"/>
    </row>
    <row r="519">
      <c r="C519" s="79"/>
      <c r="D519" s="79"/>
      <c r="E519" s="79"/>
      <c r="N519" s="79"/>
      <c r="Q519" s="79"/>
      <c r="S519" s="79"/>
      <c r="T519" s="79"/>
      <c r="X519" s="79"/>
      <c r="AA519" s="130"/>
      <c r="AC519" s="106"/>
    </row>
    <row r="520">
      <c r="C520" s="79"/>
      <c r="D520" s="79"/>
      <c r="E520" s="79"/>
      <c r="N520" s="79"/>
      <c r="Q520" s="79"/>
      <c r="S520" s="79"/>
      <c r="T520" s="79"/>
      <c r="X520" s="79"/>
      <c r="AA520" s="130"/>
      <c r="AC520" s="106"/>
    </row>
    <row r="521">
      <c r="C521" s="79"/>
      <c r="D521" s="79"/>
      <c r="E521" s="79"/>
      <c r="N521" s="79"/>
      <c r="Q521" s="79"/>
      <c r="S521" s="79"/>
      <c r="T521" s="79"/>
      <c r="X521" s="79"/>
      <c r="AA521" s="130"/>
      <c r="AC521" s="106"/>
    </row>
    <row r="522">
      <c r="C522" s="79"/>
      <c r="D522" s="79"/>
      <c r="E522" s="79"/>
      <c r="N522" s="79"/>
      <c r="Q522" s="79"/>
      <c r="S522" s="79"/>
      <c r="T522" s="79"/>
      <c r="X522" s="79"/>
      <c r="AA522" s="130"/>
      <c r="AC522" s="106"/>
    </row>
    <row r="523">
      <c r="C523" s="79"/>
      <c r="D523" s="79"/>
      <c r="E523" s="79"/>
      <c r="N523" s="79"/>
      <c r="Q523" s="79"/>
      <c r="S523" s="79"/>
      <c r="T523" s="79"/>
      <c r="X523" s="79"/>
      <c r="AA523" s="130"/>
      <c r="AC523" s="106"/>
    </row>
    <row r="524">
      <c r="C524" s="79"/>
      <c r="D524" s="79"/>
      <c r="E524" s="79"/>
      <c r="N524" s="79"/>
      <c r="Q524" s="79"/>
      <c r="S524" s="79"/>
      <c r="T524" s="79"/>
      <c r="X524" s="79"/>
      <c r="AA524" s="130"/>
      <c r="AC524" s="106"/>
    </row>
    <row r="525">
      <c r="C525" s="79"/>
      <c r="D525" s="79"/>
      <c r="E525" s="79"/>
      <c r="N525" s="79"/>
      <c r="Q525" s="79"/>
      <c r="S525" s="79"/>
      <c r="T525" s="79"/>
      <c r="X525" s="79"/>
      <c r="AA525" s="130"/>
      <c r="AC525" s="106"/>
    </row>
    <row r="526">
      <c r="C526" s="79"/>
      <c r="D526" s="79"/>
      <c r="E526" s="79"/>
      <c r="N526" s="79"/>
      <c r="Q526" s="79"/>
      <c r="S526" s="79"/>
      <c r="T526" s="79"/>
      <c r="X526" s="79"/>
      <c r="AA526" s="130"/>
      <c r="AC526" s="106"/>
    </row>
    <row r="527">
      <c r="C527" s="79"/>
      <c r="D527" s="79"/>
      <c r="E527" s="79"/>
      <c r="N527" s="79"/>
      <c r="Q527" s="79"/>
      <c r="S527" s="79"/>
      <c r="T527" s="79"/>
      <c r="X527" s="79"/>
      <c r="AA527" s="130"/>
      <c r="AC527" s="106"/>
    </row>
    <row r="528">
      <c r="C528" s="79"/>
      <c r="D528" s="79"/>
      <c r="E528" s="79"/>
      <c r="N528" s="79"/>
      <c r="Q528" s="79"/>
      <c r="S528" s="79"/>
      <c r="T528" s="79"/>
      <c r="X528" s="79"/>
      <c r="AA528" s="130"/>
      <c r="AC528" s="106"/>
    </row>
    <row r="529">
      <c r="C529" s="79"/>
      <c r="D529" s="79"/>
      <c r="E529" s="79"/>
      <c r="N529" s="79"/>
      <c r="Q529" s="79"/>
      <c r="S529" s="79"/>
      <c r="T529" s="79"/>
      <c r="X529" s="79"/>
      <c r="AA529" s="130"/>
      <c r="AC529" s="106"/>
    </row>
    <row r="530">
      <c r="C530" s="79"/>
      <c r="D530" s="79"/>
      <c r="E530" s="79"/>
      <c r="N530" s="79"/>
      <c r="Q530" s="79"/>
      <c r="S530" s="79"/>
      <c r="T530" s="79"/>
      <c r="X530" s="79"/>
      <c r="AA530" s="130"/>
      <c r="AC530" s="106"/>
    </row>
    <row r="531">
      <c r="C531" s="79"/>
      <c r="D531" s="79"/>
      <c r="E531" s="79"/>
      <c r="N531" s="79"/>
      <c r="Q531" s="79"/>
      <c r="S531" s="79"/>
      <c r="T531" s="79"/>
      <c r="X531" s="79"/>
      <c r="AA531" s="130"/>
      <c r="AC531" s="106"/>
    </row>
    <row r="532">
      <c r="C532" s="79"/>
      <c r="D532" s="79"/>
      <c r="E532" s="79"/>
      <c r="N532" s="79"/>
      <c r="Q532" s="79"/>
      <c r="S532" s="79"/>
      <c r="T532" s="79"/>
      <c r="X532" s="79"/>
      <c r="AA532" s="130"/>
      <c r="AC532" s="106"/>
    </row>
    <row r="533">
      <c r="C533" s="79"/>
      <c r="D533" s="79"/>
      <c r="E533" s="79"/>
      <c r="N533" s="79"/>
      <c r="Q533" s="79"/>
      <c r="S533" s="79"/>
      <c r="T533" s="79"/>
      <c r="X533" s="79"/>
      <c r="AA533" s="130"/>
      <c r="AC533" s="106"/>
    </row>
    <row r="534">
      <c r="C534" s="79"/>
      <c r="D534" s="79"/>
      <c r="E534" s="79"/>
      <c r="N534" s="79"/>
      <c r="Q534" s="79"/>
      <c r="S534" s="79"/>
      <c r="T534" s="79"/>
      <c r="X534" s="79"/>
      <c r="AA534" s="130"/>
      <c r="AC534" s="106"/>
    </row>
    <row r="535">
      <c r="C535" s="79"/>
      <c r="D535" s="79"/>
      <c r="E535" s="79"/>
      <c r="N535" s="79"/>
      <c r="Q535" s="79"/>
      <c r="S535" s="79"/>
      <c r="T535" s="79"/>
      <c r="X535" s="79"/>
      <c r="AA535" s="130"/>
      <c r="AC535" s="106"/>
    </row>
    <row r="536">
      <c r="C536" s="79"/>
      <c r="D536" s="79"/>
      <c r="E536" s="79"/>
      <c r="N536" s="79"/>
      <c r="Q536" s="79"/>
      <c r="S536" s="79"/>
      <c r="T536" s="79"/>
      <c r="X536" s="79"/>
      <c r="AA536" s="130"/>
      <c r="AC536" s="106"/>
    </row>
    <row r="537">
      <c r="C537" s="79"/>
      <c r="D537" s="79"/>
      <c r="E537" s="79"/>
      <c r="N537" s="79"/>
      <c r="Q537" s="79"/>
      <c r="S537" s="79"/>
      <c r="T537" s="79"/>
      <c r="X537" s="79"/>
      <c r="AA537" s="130"/>
      <c r="AC537" s="106"/>
    </row>
    <row r="538">
      <c r="C538" s="79"/>
      <c r="D538" s="79"/>
      <c r="E538" s="79"/>
      <c r="N538" s="79"/>
      <c r="Q538" s="79"/>
      <c r="S538" s="79"/>
      <c r="T538" s="79"/>
      <c r="X538" s="79"/>
      <c r="AA538" s="130"/>
      <c r="AC538" s="106"/>
    </row>
    <row r="539">
      <c r="C539" s="79"/>
      <c r="D539" s="79"/>
      <c r="E539" s="79"/>
      <c r="N539" s="79"/>
      <c r="Q539" s="79"/>
      <c r="S539" s="79"/>
      <c r="T539" s="79"/>
      <c r="X539" s="79"/>
      <c r="AA539" s="130"/>
      <c r="AC539" s="106"/>
    </row>
    <row r="540">
      <c r="C540" s="79"/>
      <c r="D540" s="79"/>
      <c r="E540" s="79"/>
      <c r="N540" s="79"/>
      <c r="Q540" s="79"/>
      <c r="S540" s="79"/>
      <c r="T540" s="79"/>
      <c r="X540" s="79"/>
      <c r="AA540" s="130"/>
      <c r="AC540" s="106"/>
    </row>
    <row r="541">
      <c r="C541" s="79"/>
      <c r="D541" s="79"/>
      <c r="E541" s="79"/>
      <c r="N541" s="79"/>
      <c r="Q541" s="79"/>
      <c r="S541" s="79"/>
      <c r="T541" s="79"/>
      <c r="X541" s="79"/>
      <c r="AA541" s="130"/>
      <c r="AC541" s="106"/>
    </row>
    <row r="542">
      <c r="C542" s="79"/>
      <c r="D542" s="79"/>
      <c r="E542" s="79"/>
      <c r="N542" s="79"/>
      <c r="Q542" s="79"/>
      <c r="S542" s="79"/>
      <c r="T542" s="79"/>
      <c r="X542" s="79"/>
      <c r="AA542" s="130"/>
      <c r="AC542" s="106"/>
    </row>
    <row r="543">
      <c r="C543" s="79"/>
      <c r="D543" s="79"/>
      <c r="E543" s="79"/>
      <c r="N543" s="79"/>
      <c r="Q543" s="79"/>
      <c r="S543" s="79"/>
      <c r="T543" s="79"/>
      <c r="X543" s="79"/>
      <c r="AA543" s="130"/>
      <c r="AC543" s="106"/>
    </row>
    <row r="544">
      <c r="C544" s="79"/>
      <c r="D544" s="79"/>
      <c r="E544" s="79"/>
      <c r="N544" s="79"/>
      <c r="Q544" s="79"/>
      <c r="S544" s="79"/>
      <c r="T544" s="79"/>
      <c r="X544" s="79"/>
      <c r="AA544" s="130"/>
      <c r="AC544" s="106"/>
    </row>
    <row r="545">
      <c r="C545" s="79"/>
      <c r="D545" s="79"/>
      <c r="E545" s="79"/>
      <c r="N545" s="79"/>
      <c r="Q545" s="79"/>
      <c r="S545" s="79"/>
      <c r="T545" s="79"/>
      <c r="X545" s="79"/>
      <c r="AA545" s="130"/>
      <c r="AC545" s="106"/>
    </row>
    <row r="546">
      <c r="C546" s="79"/>
      <c r="D546" s="79"/>
      <c r="E546" s="79"/>
      <c r="N546" s="79"/>
      <c r="Q546" s="79"/>
      <c r="S546" s="79"/>
      <c r="T546" s="79"/>
      <c r="X546" s="79"/>
      <c r="AA546" s="130"/>
      <c r="AC546" s="106"/>
    </row>
    <row r="547">
      <c r="C547" s="79"/>
      <c r="D547" s="79"/>
      <c r="E547" s="79"/>
      <c r="N547" s="79"/>
      <c r="Q547" s="79"/>
      <c r="S547" s="79"/>
      <c r="T547" s="79"/>
      <c r="X547" s="79"/>
      <c r="AA547" s="130"/>
      <c r="AC547" s="106"/>
    </row>
    <row r="548">
      <c r="C548" s="79"/>
      <c r="D548" s="79"/>
      <c r="E548" s="79"/>
      <c r="N548" s="79"/>
      <c r="Q548" s="79"/>
      <c r="S548" s="79"/>
      <c r="T548" s="79"/>
      <c r="X548" s="79"/>
      <c r="AA548" s="130"/>
      <c r="AC548" s="106"/>
    </row>
    <row r="549">
      <c r="C549" s="79"/>
      <c r="D549" s="79"/>
      <c r="E549" s="79"/>
      <c r="N549" s="79"/>
      <c r="Q549" s="79"/>
      <c r="S549" s="79"/>
      <c r="T549" s="79"/>
      <c r="X549" s="79"/>
      <c r="AA549" s="130"/>
      <c r="AC549" s="106"/>
    </row>
    <row r="550">
      <c r="C550" s="79"/>
      <c r="D550" s="79"/>
      <c r="E550" s="79"/>
      <c r="N550" s="79"/>
      <c r="Q550" s="79"/>
      <c r="S550" s="79"/>
      <c r="T550" s="79"/>
      <c r="X550" s="79"/>
      <c r="AA550" s="130"/>
      <c r="AC550" s="106"/>
    </row>
    <row r="551">
      <c r="C551" s="79"/>
      <c r="D551" s="79"/>
      <c r="E551" s="79"/>
      <c r="N551" s="79"/>
      <c r="Q551" s="79"/>
      <c r="S551" s="79"/>
      <c r="T551" s="79"/>
      <c r="X551" s="79"/>
      <c r="AA551" s="130"/>
      <c r="AC551" s="106"/>
    </row>
    <row r="552">
      <c r="C552" s="79"/>
      <c r="D552" s="79"/>
      <c r="E552" s="79"/>
      <c r="N552" s="79"/>
      <c r="Q552" s="79"/>
      <c r="S552" s="79"/>
      <c r="T552" s="79"/>
      <c r="X552" s="79"/>
      <c r="AA552" s="130"/>
      <c r="AC552" s="106"/>
    </row>
    <row r="553">
      <c r="C553" s="79"/>
      <c r="D553" s="79"/>
      <c r="E553" s="79"/>
      <c r="N553" s="79"/>
      <c r="Q553" s="79"/>
      <c r="S553" s="79"/>
      <c r="T553" s="79"/>
      <c r="X553" s="79"/>
      <c r="AA553" s="130"/>
      <c r="AC553" s="106"/>
    </row>
    <row r="554">
      <c r="C554" s="79"/>
      <c r="D554" s="79"/>
      <c r="E554" s="79"/>
      <c r="N554" s="79"/>
      <c r="Q554" s="79"/>
      <c r="S554" s="79"/>
      <c r="T554" s="79"/>
      <c r="X554" s="79"/>
      <c r="AA554" s="130"/>
      <c r="AC554" s="106"/>
    </row>
    <row r="555">
      <c r="C555" s="79"/>
      <c r="D555" s="79"/>
      <c r="E555" s="79"/>
      <c r="N555" s="79"/>
      <c r="Q555" s="79"/>
      <c r="S555" s="79"/>
      <c r="T555" s="79"/>
      <c r="X555" s="79"/>
      <c r="AA555" s="130"/>
      <c r="AC555" s="106"/>
    </row>
    <row r="556">
      <c r="C556" s="79"/>
      <c r="D556" s="79"/>
      <c r="E556" s="79"/>
      <c r="N556" s="79"/>
      <c r="Q556" s="79"/>
      <c r="S556" s="79"/>
      <c r="T556" s="79"/>
      <c r="X556" s="79"/>
      <c r="AA556" s="130"/>
      <c r="AC556" s="106"/>
    </row>
    <row r="557">
      <c r="C557" s="79"/>
      <c r="D557" s="79"/>
      <c r="E557" s="79"/>
      <c r="N557" s="79"/>
      <c r="Q557" s="79"/>
      <c r="S557" s="79"/>
      <c r="T557" s="79"/>
      <c r="X557" s="79"/>
      <c r="AA557" s="130"/>
      <c r="AC557" s="106"/>
    </row>
    <row r="558">
      <c r="C558" s="79"/>
      <c r="D558" s="79"/>
      <c r="E558" s="79"/>
      <c r="N558" s="79"/>
      <c r="Q558" s="79"/>
      <c r="S558" s="79"/>
      <c r="T558" s="79"/>
      <c r="X558" s="79"/>
      <c r="AA558" s="130"/>
      <c r="AC558" s="106"/>
    </row>
    <row r="559">
      <c r="C559" s="79"/>
      <c r="D559" s="79"/>
      <c r="E559" s="79"/>
      <c r="N559" s="79"/>
      <c r="Q559" s="79"/>
      <c r="S559" s="79"/>
      <c r="T559" s="79"/>
      <c r="X559" s="79"/>
      <c r="AA559" s="130"/>
      <c r="AC559" s="106"/>
    </row>
    <row r="560">
      <c r="C560" s="79"/>
      <c r="D560" s="79"/>
      <c r="E560" s="79"/>
      <c r="N560" s="79"/>
      <c r="Q560" s="79"/>
      <c r="S560" s="79"/>
      <c r="T560" s="79"/>
      <c r="X560" s="79"/>
      <c r="AA560" s="130"/>
      <c r="AC560" s="106"/>
    </row>
    <row r="561">
      <c r="C561" s="79"/>
      <c r="D561" s="79"/>
      <c r="E561" s="79"/>
      <c r="N561" s="79"/>
      <c r="Q561" s="79"/>
      <c r="S561" s="79"/>
      <c r="T561" s="79"/>
      <c r="X561" s="79"/>
      <c r="AA561" s="130"/>
      <c r="AC561" s="106"/>
    </row>
    <row r="562">
      <c r="C562" s="79"/>
      <c r="D562" s="79"/>
      <c r="E562" s="79"/>
      <c r="N562" s="79"/>
      <c r="Q562" s="79"/>
      <c r="S562" s="79"/>
      <c r="T562" s="79"/>
      <c r="X562" s="79"/>
      <c r="AA562" s="130"/>
      <c r="AC562" s="106"/>
    </row>
    <row r="563">
      <c r="C563" s="79"/>
      <c r="D563" s="79"/>
      <c r="E563" s="79"/>
      <c r="N563" s="79"/>
      <c r="Q563" s="79"/>
      <c r="S563" s="79"/>
      <c r="T563" s="79"/>
      <c r="X563" s="79"/>
      <c r="AA563" s="130"/>
      <c r="AC563" s="106"/>
    </row>
    <row r="564">
      <c r="C564" s="79"/>
      <c r="D564" s="79"/>
      <c r="E564" s="79"/>
      <c r="N564" s="79"/>
      <c r="Q564" s="79"/>
      <c r="S564" s="79"/>
      <c r="T564" s="79"/>
      <c r="X564" s="79"/>
      <c r="AA564" s="130"/>
      <c r="AC564" s="106"/>
    </row>
    <row r="565">
      <c r="C565" s="79"/>
      <c r="D565" s="79"/>
      <c r="E565" s="79"/>
      <c r="N565" s="79"/>
      <c r="Q565" s="79"/>
      <c r="S565" s="79"/>
      <c r="T565" s="79"/>
      <c r="X565" s="79"/>
      <c r="AA565" s="130"/>
      <c r="AC565" s="106"/>
    </row>
    <row r="566">
      <c r="C566" s="79"/>
      <c r="D566" s="79"/>
      <c r="E566" s="79"/>
      <c r="N566" s="79"/>
      <c r="Q566" s="79"/>
      <c r="S566" s="79"/>
      <c r="T566" s="79"/>
      <c r="X566" s="79"/>
      <c r="AA566" s="130"/>
      <c r="AC566" s="106"/>
    </row>
    <row r="567">
      <c r="C567" s="79"/>
      <c r="D567" s="79"/>
      <c r="E567" s="79"/>
      <c r="N567" s="79"/>
      <c r="Q567" s="79"/>
      <c r="S567" s="79"/>
      <c r="T567" s="79"/>
      <c r="X567" s="79"/>
      <c r="AA567" s="130"/>
      <c r="AC567" s="106"/>
    </row>
    <row r="568">
      <c r="C568" s="79"/>
      <c r="D568" s="79"/>
      <c r="E568" s="79"/>
      <c r="N568" s="79"/>
      <c r="Q568" s="79"/>
      <c r="S568" s="79"/>
      <c r="T568" s="79"/>
      <c r="X568" s="79"/>
      <c r="AA568" s="130"/>
      <c r="AC568" s="106"/>
    </row>
    <row r="569">
      <c r="C569" s="79"/>
      <c r="D569" s="79"/>
      <c r="E569" s="79"/>
      <c r="N569" s="79"/>
      <c r="Q569" s="79"/>
      <c r="S569" s="79"/>
      <c r="T569" s="79"/>
      <c r="X569" s="79"/>
      <c r="AA569" s="130"/>
      <c r="AC569" s="106"/>
    </row>
    <row r="570">
      <c r="C570" s="79"/>
      <c r="D570" s="79"/>
      <c r="E570" s="79"/>
      <c r="N570" s="79"/>
      <c r="Q570" s="79"/>
      <c r="S570" s="79"/>
      <c r="T570" s="79"/>
      <c r="X570" s="79"/>
      <c r="AA570" s="130"/>
      <c r="AC570" s="106"/>
    </row>
    <row r="571">
      <c r="C571" s="79"/>
      <c r="D571" s="79"/>
      <c r="E571" s="79"/>
      <c r="N571" s="79"/>
      <c r="Q571" s="79"/>
      <c r="S571" s="79"/>
      <c r="T571" s="79"/>
      <c r="X571" s="79"/>
      <c r="AA571" s="130"/>
      <c r="AC571" s="106"/>
    </row>
    <row r="572">
      <c r="C572" s="79"/>
      <c r="D572" s="79"/>
      <c r="E572" s="79"/>
      <c r="N572" s="79"/>
      <c r="Q572" s="79"/>
      <c r="S572" s="79"/>
      <c r="T572" s="79"/>
      <c r="X572" s="79"/>
      <c r="AA572" s="130"/>
      <c r="AC572" s="106"/>
    </row>
    <row r="573">
      <c r="C573" s="79"/>
      <c r="D573" s="79"/>
      <c r="E573" s="79"/>
      <c r="N573" s="79"/>
      <c r="Q573" s="79"/>
      <c r="S573" s="79"/>
      <c r="T573" s="79"/>
      <c r="X573" s="79"/>
      <c r="AA573" s="130"/>
      <c r="AC573" s="106"/>
    </row>
    <row r="574">
      <c r="C574" s="79"/>
      <c r="D574" s="79"/>
      <c r="E574" s="79"/>
      <c r="N574" s="79"/>
      <c r="Q574" s="79"/>
      <c r="S574" s="79"/>
      <c r="T574" s="79"/>
      <c r="X574" s="79"/>
      <c r="AA574" s="130"/>
      <c r="AC574" s="106"/>
    </row>
    <row r="575">
      <c r="C575" s="79"/>
      <c r="D575" s="79"/>
      <c r="E575" s="79"/>
      <c r="N575" s="79"/>
      <c r="Q575" s="79"/>
      <c r="S575" s="79"/>
      <c r="T575" s="79"/>
      <c r="X575" s="79"/>
      <c r="AA575" s="130"/>
      <c r="AC575" s="106"/>
    </row>
    <row r="576">
      <c r="C576" s="79"/>
      <c r="D576" s="79"/>
      <c r="E576" s="79"/>
      <c r="N576" s="79"/>
      <c r="Q576" s="79"/>
      <c r="S576" s="79"/>
      <c r="T576" s="79"/>
      <c r="X576" s="79"/>
      <c r="AA576" s="130"/>
      <c r="AC576" s="106"/>
    </row>
    <row r="577">
      <c r="C577" s="79"/>
      <c r="D577" s="79"/>
      <c r="E577" s="79"/>
      <c r="N577" s="79"/>
      <c r="Q577" s="79"/>
      <c r="S577" s="79"/>
      <c r="T577" s="79"/>
      <c r="X577" s="79"/>
      <c r="AA577" s="130"/>
      <c r="AC577" s="106"/>
    </row>
    <row r="578">
      <c r="C578" s="79"/>
      <c r="D578" s="79"/>
      <c r="E578" s="79"/>
      <c r="N578" s="79"/>
      <c r="Q578" s="79"/>
      <c r="S578" s="79"/>
      <c r="T578" s="79"/>
      <c r="X578" s="79"/>
      <c r="AA578" s="130"/>
      <c r="AC578" s="106"/>
    </row>
    <row r="579">
      <c r="C579" s="79"/>
      <c r="D579" s="79"/>
      <c r="E579" s="79"/>
      <c r="N579" s="79"/>
      <c r="Q579" s="79"/>
      <c r="S579" s="79"/>
      <c r="T579" s="79"/>
      <c r="X579" s="79"/>
      <c r="AA579" s="130"/>
      <c r="AC579" s="106"/>
    </row>
    <row r="580">
      <c r="C580" s="79"/>
      <c r="D580" s="79"/>
      <c r="E580" s="79"/>
      <c r="N580" s="79"/>
      <c r="Q580" s="79"/>
      <c r="S580" s="79"/>
      <c r="T580" s="79"/>
      <c r="X580" s="79"/>
      <c r="AA580" s="130"/>
      <c r="AC580" s="106"/>
    </row>
    <row r="581">
      <c r="C581" s="79"/>
      <c r="D581" s="79"/>
      <c r="E581" s="79"/>
      <c r="N581" s="79"/>
      <c r="Q581" s="79"/>
      <c r="S581" s="79"/>
      <c r="T581" s="79"/>
      <c r="X581" s="79"/>
      <c r="AA581" s="130"/>
      <c r="AC581" s="106"/>
    </row>
    <row r="582">
      <c r="C582" s="79"/>
      <c r="D582" s="79"/>
      <c r="E582" s="79"/>
      <c r="N582" s="79"/>
      <c r="Q582" s="79"/>
      <c r="S582" s="79"/>
      <c r="T582" s="79"/>
      <c r="X582" s="79"/>
      <c r="AA582" s="130"/>
      <c r="AC582" s="106"/>
    </row>
    <row r="583">
      <c r="C583" s="79"/>
      <c r="D583" s="79"/>
      <c r="E583" s="79"/>
      <c r="N583" s="79"/>
      <c r="Q583" s="79"/>
      <c r="S583" s="79"/>
      <c r="T583" s="79"/>
      <c r="X583" s="79"/>
      <c r="AA583" s="130"/>
      <c r="AC583" s="106"/>
    </row>
    <row r="584">
      <c r="C584" s="79"/>
      <c r="D584" s="79"/>
      <c r="E584" s="79"/>
      <c r="N584" s="79"/>
      <c r="Q584" s="79"/>
      <c r="S584" s="79"/>
      <c r="T584" s="79"/>
      <c r="X584" s="79"/>
      <c r="AA584" s="130"/>
      <c r="AC584" s="106"/>
    </row>
    <row r="585">
      <c r="C585" s="79"/>
      <c r="D585" s="79"/>
      <c r="E585" s="79"/>
      <c r="N585" s="79"/>
      <c r="Q585" s="79"/>
      <c r="S585" s="79"/>
      <c r="T585" s="79"/>
      <c r="X585" s="79"/>
      <c r="AA585" s="130"/>
      <c r="AC585" s="106"/>
    </row>
    <row r="586">
      <c r="C586" s="79"/>
      <c r="D586" s="79"/>
      <c r="E586" s="79"/>
      <c r="N586" s="79"/>
      <c r="Q586" s="79"/>
      <c r="S586" s="79"/>
      <c r="T586" s="79"/>
      <c r="X586" s="79"/>
      <c r="AA586" s="130"/>
      <c r="AC586" s="106"/>
    </row>
    <row r="587">
      <c r="C587" s="79"/>
      <c r="D587" s="79"/>
      <c r="E587" s="79"/>
      <c r="N587" s="79"/>
      <c r="Q587" s="79"/>
      <c r="S587" s="79"/>
      <c r="T587" s="79"/>
      <c r="X587" s="79"/>
      <c r="AA587" s="130"/>
      <c r="AC587" s="106"/>
    </row>
    <row r="588">
      <c r="C588" s="79"/>
      <c r="D588" s="79"/>
      <c r="E588" s="79"/>
      <c r="N588" s="79"/>
      <c r="Q588" s="79"/>
      <c r="S588" s="79"/>
      <c r="T588" s="79"/>
      <c r="X588" s="79"/>
      <c r="AA588" s="130"/>
      <c r="AC588" s="106"/>
    </row>
    <row r="589">
      <c r="C589" s="79"/>
      <c r="D589" s="79"/>
      <c r="E589" s="79"/>
      <c r="N589" s="79"/>
      <c r="Q589" s="79"/>
      <c r="S589" s="79"/>
      <c r="T589" s="79"/>
      <c r="X589" s="79"/>
      <c r="AA589" s="130"/>
      <c r="AC589" s="106"/>
    </row>
    <row r="590">
      <c r="C590" s="79"/>
      <c r="D590" s="79"/>
      <c r="E590" s="79"/>
      <c r="N590" s="79"/>
      <c r="Q590" s="79"/>
      <c r="S590" s="79"/>
      <c r="T590" s="79"/>
      <c r="X590" s="79"/>
      <c r="AA590" s="130"/>
      <c r="AC590" s="106"/>
    </row>
    <row r="591">
      <c r="C591" s="79"/>
      <c r="D591" s="79"/>
      <c r="E591" s="79"/>
      <c r="N591" s="79"/>
      <c r="Q591" s="79"/>
      <c r="S591" s="79"/>
      <c r="T591" s="79"/>
      <c r="X591" s="79"/>
      <c r="AA591" s="130"/>
      <c r="AC591" s="106"/>
    </row>
    <row r="592">
      <c r="C592" s="79"/>
      <c r="D592" s="79"/>
      <c r="E592" s="79"/>
      <c r="N592" s="79"/>
      <c r="Q592" s="79"/>
      <c r="S592" s="79"/>
      <c r="T592" s="79"/>
      <c r="X592" s="79"/>
      <c r="AA592" s="130"/>
      <c r="AC592" s="106"/>
    </row>
    <row r="593">
      <c r="C593" s="79"/>
      <c r="D593" s="79"/>
      <c r="E593" s="79"/>
      <c r="N593" s="79"/>
      <c r="Q593" s="79"/>
      <c r="S593" s="79"/>
      <c r="T593" s="79"/>
      <c r="X593" s="79"/>
      <c r="AA593" s="130"/>
      <c r="AC593" s="106"/>
    </row>
    <row r="594">
      <c r="C594" s="79"/>
      <c r="D594" s="79"/>
      <c r="E594" s="79"/>
      <c r="N594" s="79"/>
      <c r="Q594" s="79"/>
      <c r="S594" s="79"/>
      <c r="T594" s="79"/>
      <c r="X594" s="79"/>
      <c r="AA594" s="130"/>
      <c r="AC594" s="106"/>
    </row>
    <row r="595">
      <c r="C595" s="79"/>
      <c r="D595" s="79"/>
      <c r="E595" s="79"/>
      <c r="N595" s="79"/>
      <c r="Q595" s="79"/>
      <c r="S595" s="79"/>
      <c r="T595" s="79"/>
      <c r="X595" s="79"/>
      <c r="AA595" s="130"/>
      <c r="AC595" s="106"/>
    </row>
    <row r="596">
      <c r="C596" s="79"/>
      <c r="D596" s="79"/>
      <c r="E596" s="79"/>
      <c r="N596" s="79"/>
      <c r="Q596" s="79"/>
      <c r="S596" s="79"/>
      <c r="T596" s="79"/>
      <c r="X596" s="79"/>
      <c r="AA596" s="130"/>
      <c r="AC596" s="106"/>
    </row>
    <row r="597">
      <c r="C597" s="79"/>
      <c r="D597" s="79"/>
      <c r="E597" s="79"/>
      <c r="N597" s="79"/>
      <c r="Q597" s="79"/>
      <c r="S597" s="79"/>
      <c r="T597" s="79"/>
      <c r="X597" s="79"/>
      <c r="AA597" s="130"/>
      <c r="AC597" s="106"/>
    </row>
    <row r="598">
      <c r="C598" s="79"/>
      <c r="D598" s="79"/>
      <c r="E598" s="79"/>
      <c r="N598" s="79"/>
      <c r="Q598" s="79"/>
      <c r="S598" s="79"/>
      <c r="T598" s="79"/>
      <c r="X598" s="79"/>
      <c r="AA598" s="130"/>
      <c r="AC598" s="106"/>
    </row>
    <row r="599">
      <c r="C599" s="79"/>
      <c r="D599" s="79"/>
      <c r="E599" s="79"/>
      <c r="N599" s="79"/>
      <c r="Q599" s="79"/>
      <c r="S599" s="79"/>
      <c r="T599" s="79"/>
      <c r="X599" s="79"/>
      <c r="AA599" s="130"/>
      <c r="AC599" s="106"/>
    </row>
    <row r="600">
      <c r="C600" s="79"/>
      <c r="D600" s="79"/>
      <c r="E600" s="79"/>
      <c r="N600" s="79"/>
      <c r="Q600" s="79"/>
      <c r="S600" s="79"/>
      <c r="T600" s="79"/>
      <c r="X600" s="79"/>
      <c r="AA600" s="130"/>
      <c r="AC600" s="106"/>
    </row>
    <row r="601">
      <c r="C601" s="79"/>
      <c r="D601" s="79"/>
      <c r="E601" s="79"/>
      <c r="N601" s="79"/>
      <c r="Q601" s="79"/>
      <c r="S601" s="79"/>
      <c r="T601" s="79"/>
      <c r="X601" s="79"/>
      <c r="AA601" s="130"/>
      <c r="AC601" s="106"/>
    </row>
    <row r="602">
      <c r="C602" s="79"/>
      <c r="D602" s="79"/>
      <c r="E602" s="79"/>
      <c r="N602" s="79"/>
      <c r="Q602" s="79"/>
      <c r="S602" s="79"/>
      <c r="T602" s="79"/>
      <c r="X602" s="79"/>
      <c r="AA602" s="130"/>
      <c r="AC602" s="106"/>
    </row>
    <row r="603">
      <c r="C603" s="79"/>
      <c r="D603" s="79"/>
      <c r="E603" s="79"/>
      <c r="N603" s="79"/>
      <c r="Q603" s="79"/>
      <c r="S603" s="79"/>
      <c r="T603" s="79"/>
      <c r="X603" s="79"/>
      <c r="AA603" s="130"/>
      <c r="AC603" s="106"/>
    </row>
    <row r="604">
      <c r="C604" s="79"/>
      <c r="D604" s="79"/>
      <c r="E604" s="79"/>
      <c r="N604" s="79"/>
      <c r="Q604" s="79"/>
      <c r="S604" s="79"/>
      <c r="T604" s="79"/>
      <c r="X604" s="79"/>
      <c r="AA604" s="130"/>
      <c r="AC604" s="106"/>
    </row>
    <row r="605">
      <c r="C605" s="79"/>
      <c r="D605" s="79"/>
      <c r="E605" s="79"/>
      <c r="N605" s="79"/>
      <c r="Q605" s="79"/>
      <c r="S605" s="79"/>
      <c r="T605" s="79"/>
      <c r="X605" s="79"/>
      <c r="AA605" s="130"/>
      <c r="AC605" s="106"/>
    </row>
    <row r="606">
      <c r="C606" s="79"/>
      <c r="D606" s="79"/>
      <c r="E606" s="79"/>
      <c r="N606" s="79"/>
      <c r="Q606" s="79"/>
      <c r="S606" s="79"/>
      <c r="T606" s="79"/>
      <c r="X606" s="79"/>
      <c r="AA606" s="130"/>
      <c r="AC606" s="106"/>
    </row>
    <row r="607">
      <c r="C607" s="79"/>
      <c r="D607" s="79"/>
      <c r="E607" s="79"/>
      <c r="N607" s="79"/>
      <c r="Q607" s="79"/>
      <c r="S607" s="79"/>
      <c r="T607" s="79"/>
      <c r="X607" s="79"/>
      <c r="AA607" s="130"/>
      <c r="AC607" s="106"/>
    </row>
    <row r="608">
      <c r="C608" s="79"/>
      <c r="D608" s="79"/>
      <c r="E608" s="79"/>
      <c r="N608" s="79"/>
      <c r="Q608" s="79"/>
      <c r="S608" s="79"/>
      <c r="T608" s="79"/>
      <c r="X608" s="79"/>
      <c r="AA608" s="130"/>
      <c r="AC608" s="106"/>
    </row>
    <row r="609">
      <c r="C609" s="79"/>
      <c r="D609" s="79"/>
      <c r="E609" s="79"/>
      <c r="N609" s="79"/>
      <c r="Q609" s="79"/>
      <c r="S609" s="79"/>
      <c r="T609" s="79"/>
      <c r="X609" s="79"/>
      <c r="AA609" s="130"/>
      <c r="AC609" s="106"/>
    </row>
    <row r="610">
      <c r="C610" s="79"/>
      <c r="D610" s="79"/>
      <c r="E610" s="79"/>
      <c r="N610" s="79"/>
      <c r="Q610" s="79"/>
      <c r="S610" s="79"/>
      <c r="T610" s="79"/>
      <c r="X610" s="79"/>
      <c r="AA610" s="130"/>
      <c r="AC610" s="106"/>
    </row>
    <row r="611">
      <c r="C611" s="79"/>
      <c r="D611" s="79"/>
      <c r="E611" s="79"/>
      <c r="N611" s="79"/>
      <c r="Q611" s="79"/>
      <c r="S611" s="79"/>
      <c r="T611" s="79"/>
      <c r="X611" s="79"/>
      <c r="AA611" s="130"/>
      <c r="AC611" s="106"/>
    </row>
    <row r="612">
      <c r="C612" s="79"/>
      <c r="D612" s="79"/>
      <c r="E612" s="79"/>
      <c r="N612" s="79"/>
      <c r="Q612" s="79"/>
      <c r="S612" s="79"/>
      <c r="T612" s="79"/>
      <c r="X612" s="79"/>
      <c r="AA612" s="130"/>
      <c r="AC612" s="106"/>
    </row>
    <row r="613">
      <c r="C613" s="79"/>
      <c r="D613" s="79"/>
      <c r="E613" s="79"/>
      <c r="N613" s="79"/>
      <c r="Q613" s="79"/>
      <c r="S613" s="79"/>
      <c r="T613" s="79"/>
      <c r="X613" s="79"/>
      <c r="AA613" s="130"/>
      <c r="AC613" s="106"/>
    </row>
    <row r="614">
      <c r="C614" s="79"/>
      <c r="D614" s="79"/>
      <c r="E614" s="79"/>
      <c r="N614" s="79"/>
      <c r="Q614" s="79"/>
      <c r="S614" s="79"/>
      <c r="T614" s="79"/>
      <c r="X614" s="79"/>
      <c r="AA614" s="130"/>
      <c r="AC614" s="106"/>
    </row>
    <row r="615">
      <c r="C615" s="79"/>
      <c r="D615" s="79"/>
      <c r="E615" s="79"/>
      <c r="N615" s="79"/>
      <c r="Q615" s="79"/>
      <c r="S615" s="79"/>
      <c r="T615" s="79"/>
      <c r="X615" s="79"/>
      <c r="AA615" s="130"/>
      <c r="AC615" s="106"/>
    </row>
    <row r="616">
      <c r="C616" s="79"/>
      <c r="D616" s="79"/>
      <c r="E616" s="79"/>
      <c r="N616" s="79"/>
      <c r="Q616" s="79"/>
      <c r="S616" s="79"/>
      <c r="T616" s="79"/>
      <c r="X616" s="79"/>
      <c r="AA616" s="130"/>
      <c r="AC616" s="106"/>
    </row>
    <row r="617">
      <c r="C617" s="79"/>
      <c r="D617" s="79"/>
      <c r="E617" s="79"/>
      <c r="N617" s="79"/>
      <c r="Q617" s="79"/>
      <c r="S617" s="79"/>
      <c r="T617" s="79"/>
      <c r="X617" s="79"/>
      <c r="AA617" s="130"/>
      <c r="AC617" s="106"/>
    </row>
    <row r="618">
      <c r="C618" s="79"/>
      <c r="D618" s="79"/>
      <c r="E618" s="79"/>
      <c r="N618" s="79"/>
      <c r="Q618" s="79"/>
      <c r="S618" s="79"/>
      <c r="T618" s="79"/>
      <c r="X618" s="79"/>
      <c r="AA618" s="130"/>
      <c r="AC618" s="106"/>
    </row>
    <row r="619">
      <c r="C619" s="79"/>
      <c r="D619" s="79"/>
      <c r="E619" s="79"/>
      <c r="N619" s="79"/>
      <c r="Q619" s="79"/>
      <c r="S619" s="79"/>
      <c r="T619" s="79"/>
      <c r="X619" s="79"/>
      <c r="AA619" s="130"/>
      <c r="AC619" s="106"/>
    </row>
    <row r="620">
      <c r="C620" s="79"/>
      <c r="D620" s="79"/>
      <c r="E620" s="79"/>
      <c r="N620" s="79"/>
      <c r="Q620" s="79"/>
      <c r="S620" s="79"/>
      <c r="T620" s="79"/>
      <c r="X620" s="79"/>
      <c r="AA620" s="130"/>
      <c r="AC620" s="106"/>
    </row>
    <row r="621">
      <c r="C621" s="79"/>
      <c r="D621" s="79"/>
      <c r="E621" s="79"/>
      <c r="N621" s="79"/>
      <c r="Q621" s="79"/>
      <c r="S621" s="79"/>
      <c r="T621" s="79"/>
      <c r="X621" s="79"/>
      <c r="AA621" s="130"/>
      <c r="AC621" s="106"/>
    </row>
    <row r="622">
      <c r="C622" s="79"/>
      <c r="D622" s="79"/>
      <c r="E622" s="79"/>
      <c r="N622" s="79"/>
      <c r="Q622" s="79"/>
      <c r="S622" s="79"/>
      <c r="T622" s="79"/>
      <c r="X622" s="79"/>
      <c r="AA622" s="130"/>
      <c r="AC622" s="106"/>
    </row>
    <row r="623">
      <c r="C623" s="79"/>
      <c r="D623" s="79"/>
      <c r="E623" s="79"/>
      <c r="N623" s="79"/>
      <c r="Q623" s="79"/>
      <c r="S623" s="79"/>
      <c r="T623" s="79"/>
      <c r="X623" s="79"/>
      <c r="AA623" s="130"/>
      <c r="AC623" s="106"/>
    </row>
    <row r="624">
      <c r="C624" s="79"/>
      <c r="D624" s="79"/>
      <c r="E624" s="79"/>
      <c r="N624" s="79"/>
      <c r="Q624" s="79"/>
      <c r="S624" s="79"/>
      <c r="T624" s="79"/>
      <c r="X624" s="79"/>
      <c r="AA624" s="130"/>
      <c r="AC624" s="106"/>
    </row>
    <row r="625">
      <c r="C625" s="79"/>
      <c r="D625" s="79"/>
      <c r="E625" s="79"/>
      <c r="N625" s="79"/>
      <c r="Q625" s="79"/>
      <c r="S625" s="79"/>
      <c r="T625" s="79"/>
      <c r="X625" s="79"/>
      <c r="AA625" s="130"/>
      <c r="AC625" s="106"/>
    </row>
    <row r="626">
      <c r="C626" s="79"/>
      <c r="D626" s="79"/>
      <c r="E626" s="79"/>
      <c r="N626" s="79"/>
      <c r="Q626" s="79"/>
      <c r="S626" s="79"/>
      <c r="T626" s="79"/>
      <c r="X626" s="79"/>
      <c r="AA626" s="130"/>
      <c r="AC626" s="106"/>
    </row>
    <row r="627">
      <c r="C627" s="79"/>
      <c r="D627" s="79"/>
      <c r="E627" s="79"/>
      <c r="N627" s="79"/>
      <c r="Q627" s="79"/>
      <c r="S627" s="79"/>
      <c r="T627" s="79"/>
      <c r="X627" s="79"/>
      <c r="AA627" s="130"/>
      <c r="AC627" s="106"/>
    </row>
    <row r="628">
      <c r="C628" s="79"/>
      <c r="D628" s="79"/>
      <c r="E628" s="79"/>
      <c r="N628" s="79"/>
      <c r="Q628" s="79"/>
      <c r="S628" s="79"/>
      <c r="T628" s="79"/>
      <c r="X628" s="79"/>
      <c r="AA628" s="130"/>
      <c r="AC628" s="106"/>
    </row>
    <row r="629">
      <c r="C629" s="79"/>
      <c r="D629" s="79"/>
      <c r="E629" s="79"/>
      <c r="N629" s="79"/>
      <c r="Q629" s="79"/>
      <c r="S629" s="79"/>
      <c r="T629" s="79"/>
      <c r="X629" s="79"/>
      <c r="AA629" s="130"/>
      <c r="AC629" s="106"/>
    </row>
    <row r="630">
      <c r="C630" s="79"/>
      <c r="D630" s="79"/>
      <c r="E630" s="79"/>
      <c r="N630" s="79"/>
      <c r="Q630" s="79"/>
      <c r="S630" s="79"/>
      <c r="T630" s="79"/>
      <c r="X630" s="79"/>
      <c r="AA630" s="130"/>
      <c r="AC630" s="106"/>
    </row>
    <row r="631">
      <c r="C631" s="79"/>
      <c r="D631" s="79"/>
      <c r="E631" s="79"/>
      <c r="N631" s="79"/>
      <c r="Q631" s="79"/>
      <c r="S631" s="79"/>
      <c r="T631" s="79"/>
      <c r="X631" s="79"/>
      <c r="AA631" s="130"/>
      <c r="AC631" s="106"/>
    </row>
    <row r="632">
      <c r="C632" s="79"/>
      <c r="D632" s="79"/>
      <c r="E632" s="79"/>
      <c r="N632" s="79"/>
      <c r="Q632" s="79"/>
      <c r="S632" s="79"/>
      <c r="T632" s="79"/>
      <c r="X632" s="79"/>
      <c r="AA632" s="130"/>
      <c r="AC632" s="106"/>
    </row>
    <row r="633">
      <c r="C633" s="79"/>
      <c r="D633" s="79"/>
      <c r="E633" s="79"/>
      <c r="N633" s="79"/>
      <c r="Q633" s="79"/>
      <c r="S633" s="79"/>
      <c r="T633" s="79"/>
      <c r="X633" s="79"/>
      <c r="AA633" s="130"/>
      <c r="AC633" s="106"/>
    </row>
    <row r="634">
      <c r="C634" s="79"/>
      <c r="D634" s="79"/>
      <c r="E634" s="79"/>
      <c r="N634" s="79"/>
      <c r="Q634" s="79"/>
      <c r="S634" s="79"/>
      <c r="T634" s="79"/>
      <c r="X634" s="79"/>
      <c r="AA634" s="130"/>
      <c r="AC634" s="106"/>
    </row>
    <row r="635">
      <c r="C635" s="79"/>
      <c r="D635" s="79"/>
      <c r="E635" s="79"/>
      <c r="N635" s="79"/>
      <c r="Q635" s="79"/>
      <c r="S635" s="79"/>
      <c r="T635" s="79"/>
      <c r="X635" s="79"/>
      <c r="AA635" s="130"/>
      <c r="AC635" s="106"/>
    </row>
    <row r="636">
      <c r="C636" s="79"/>
      <c r="D636" s="79"/>
      <c r="E636" s="79"/>
      <c r="N636" s="79"/>
      <c r="Q636" s="79"/>
      <c r="S636" s="79"/>
      <c r="T636" s="79"/>
      <c r="X636" s="79"/>
      <c r="AA636" s="130"/>
      <c r="AC636" s="106"/>
    </row>
    <row r="637">
      <c r="C637" s="79"/>
      <c r="D637" s="79"/>
      <c r="E637" s="79"/>
      <c r="N637" s="79"/>
      <c r="Q637" s="79"/>
      <c r="S637" s="79"/>
      <c r="T637" s="79"/>
      <c r="X637" s="79"/>
      <c r="AA637" s="130"/>
      <c r="AC637" s="106"/>
    </row>
    <row r="638">
      <c r="C638" s="79"/>
      <c r="D638" s="79"/>
      <c r="E638" s="79"/>
      <c r="N638" s="79"/>
      <c r="Q638" s="79"/>
      <c r="S638" s="79"/>
      <c r="T638" s="79"/>
      <c r="X638" s="79"/>
      <c r="AA638" s="130"/>
      <c r="AC638" s="106"/>
    </row>
    <row r="639">
      <c r="C639" s="79"/>
      <c r="D639" s="79"/>
      <c r="E639" s="79"/>
      <c r="N639" s="79"/>
      <c r="Q639" s="79"/>
      <c r="S639" s="79"/>
      <c r="T639" s="79"/>
      <c r="X639" s="79"/>
      <c r="AA639" s="130"/>
      <c r="AC639" s="106"/>
    </row>
    <row r="640">
      <c r="C640" s="79"/>
      <c r="D640" s="79"/>
      <c r="E640" s="79"/>
      <c r="N640" s="79"/>
      <c r="Q640" s="79"/>
      <c r="S640" s="79"/>
      <c r="T640" s="79"/>
      <c r="X640" s="79"/>
      <c r="AA640" s="130"/>
      <c r="AC640" s="106"/>
    </row>
    <row r="641">
      <c r="C641" s="79"/>
      <c r="D641" s="79"/>
      <c r="E641" s="79"/>
      <c r="N641" s="79"/>
      <c r="Q641" s="79"/>
      <c r="S641" s="79"/>
      <c r="T641" s="79"/>
      <c r="X641" s="79"/>
      <c r="AA641" s="130"/>
      <c r="AC641" s="106"/>
    </row>
    <row r="642">
      <c r="C642" s="79"/>
      <c r="D642" s="79"/>
      <c r="E642" s="79"/>
      <c r="N642" s="79"/>
      <c r="Q642" s="79"/>
      <c r="S642" s="79"/>
      <c r="T642" s="79"/>
      <c r="X642" s="79"/>
      <c r="AA642" s="130"/>
      <c r="AC642" s="106"/>
    </row>
    <row r="643">
      <c r="C643" s="79"/>
      <c r="D643" s="79"/>
      <c r="E643" s="79"/>
      <c r="N643" s="79"/>
      <c r="Q643" s="79"/>
      <c r="S643" s="79"/>
      <c r="T643" s="79"/>
      <c r="X643" s="79"/>
      <c r="AA643" s="130"/>
      <c r="AC643" s="106"/>
    </row>
    <row r="644">
      <c r="C644" s="79"/>
      <c r="D644" s="79"/>
      <c r="E644" s="79"/>
      <c r="N644" s="79"/>
      <c r="Q644" s="79"/>
      <c r="S644" s="79"/>
      <c r="T644" s="79"/>
      <c r="X644" s="79"/>
      <c r="AA644" s="130"/>
      <c r="AC644" s="106"/>
    </row>
    <row r="645">
      <c r="C645" s="79"/>
      <c r="D645" s="79"/>
      <c r="E645" s="79"/>
      <c r="N645" s="79"/>
      <c r="Q645" s="79"/>
      <c r="S645" s="79"/>
      <c r="T645" s="79"/>
      <c r="X645" s="79"/>
      <c r="AA645" s="130"/>
      <c r="AC645" s="106"/>
    </row>
    <row r="646">
      <c r="C646" s="79"/>
      <c r="D646" s="79"/>
      <c r="E646" s="79"/>
      <c r="N646" s="79"/>
      <c r="Q646" s="79"/>
      <c r="S646" s="79"/>
      <c r="T646" s="79"/>
      <c r="X646" s="79"/>
      <c r="AA646" s="130"/>
      <c r="AC646" s="106"/>
    </row>
    <row r="647">
      <c r="C647" s="79"/>
      <c r="D647" s="79"/>
      <c r="E647" s="79"/>
      <c r="N647" s="79"/>
      <c r="Q647" s="79"/>
      <c r="S647" s="79"/>
      <c r="T647" s="79"/>
      <c r="X647" s="79"/>
      <c r="AA647" s="130"/>
      <c r="AC647" s="106"/>
    </row>
    <row r="648">
      <c r="C648" s="79"/>
      <c r="D648" s="79"/>
      <c r="E648" s="79"/>
      <c r="N648" s="79"/>
      <c r="Q648" s="79"/>
      <c r="S648" s="79"/>
      <c r="T648" s="79"/>
      <c r="X648" s="79"/>
      <c r="AA648" s="130"/>
      <c r="AC648" s="106"/>
    </row>
    <row r="649">
      <c r="C649" s="79"/>
      <c r="D649" s="79"/>
      <c r="E649" s="79"/>
      <c r="N649" s="79"/>
      <c r="Q649" s="79"/>
      <c r="S649" s="79"/>
      <c r="T649" s="79"/>
      <c r="X649" s="79"/>
      <c r="AA649" s="130"/>
      <c r="AC649" s="106"/>
    </row>
    <row r="650">
      <c r="C650" s="79"/>
      <c r="D650" s="79"/>
      <c r="E650" s="79"/>
      <c r="N650" s="79"/>
      <c r="Q650" s="79"/>
      <c r="S650" s="79"/>
      <c r="T650" s="79"/>
      <c r="X650" s="79"/>
      <c r="AA650" s="130"/>
      <c r="AC650" s="106"/>
    </row>
    <row r="651">
      <c r="C651" s="79"/>
      <c r="D651" s="79"/>
      <c r="E651" s="79"/>
      <c r="N651" s="79"/>
      <c r="Q651" s="79"/>
      <c r="S651" s="79"/>
      <c r="T651" s="79"/>
      <c r="X651" s="79"/>
      <c r="AA651" s="130"/>
      <c r="AC651" s="106"/>
    </row>
    <row r="652">
      <c r="C652" s="79"/>
      <c r="D652" s="79"/>
      <c r="E652" s="79"/>
      <c r="N652" s="79"/>
      <c r="Q652" s="79"/>
      <c r="S652" s="79"/>
      <c r="T652" s="79"/>
      <c r="X652" s="79"/>
      <c r="AA652" s="130"/>
      <c r="AC652" s="106"/>
    </row>
    <row r="653">
      <c r="C653" s="79"/>
      <c r="D653" s="79"/>
      <c r="E653" s="79"/>
      <c r="N653" s="79"/>
      <c r="Q653" s="79"/>
      <c r="S653" s="79"/>
      <c r="T653" s="79"/>
      <c r="X653" s="79"/>
      <c r="AA653" s="130"/>
      <c r="AC653" s="106"/>
    </row>
    <row r="654">
      <c r="C654" s="79"/>
      <c r="D654" s="79"/>
      <c r="E654" s="79"/>
      <c r="N654" s="79"/>
      <c r="Q654" s="79"/>
      <c r="S654" s="79"/>
      <c r="T654" s="79"/>
      <c r="X654" s="79"/>
      <c r="AA654" s="130"/>
      <c r="AC654" s="106"/>
    </row>
    <row r="655">
      <c r="C655" s="79"/>
      <c r="D655" s="79"/>
      <c r="E655" s="79"/>
      <c r="N655" s="79"/>
      <c r="Q655" s="79"/>
      <c r="S655" s="79"/>
      <c r="T655" s="79"/>
      <c r="X655" s="79"/>
      <c r="AA655" s="130"/>
      <c r="AC655" s="106"/>
    </row>
    <row r="656">
      <c r="C656" s="79"/>
      <c r="D656" s="79"/>
      <c r="E656" s="79"/>
      <c r="N656" s="79"/>
      <c r="Q656" s="79"/>
      <c r="S656" s="79"/>
      <c r="T656" s="79"/>
      <c r="X656" s="79"/>
      <c r="AA656" s="130"/>
      <c r="AC656" s="106"/>
    </row>
    <row r="657">
      <c r="C657" s="79"/>
      <c r="D657" s="79"/>
      <c r="E657" s="79"/>
      <c r="N657" s="79"/>
      <c r="Q657" s="79"/>
      <c r="S657" s="79"/>
      <c r="T657" s="79"/>
      <c r="X657" s="79"/>
      <c r="AA657" s="130"/>
      <c r="AC657" s="106"/>
    </row>
    <row r="658">
      <c r="C658" s="79"/>
      <c r="D658" s="79"/>
      <c r="E658" s="79"/>
      <c r="N658" s="79"/>
      <c r="Q658" s="79"/>
      <c r="S658" s="79"/>
      <c r="T658" s="79"/>
      <c r="X658" s="79"/>
      <c r="AA658" s="130"/>
      <c r="AC658" s="106"/>
    </row>
    <row r="659">
      <c r="C659" s="79"/>
      <c r="D659" s="79"/>
      <c r="E659" s="79"/>
      <c r="N659" s="79"/>
      <c r="Q659" s="79"/>
      <c r="S659" s="79"/>
      <c r="T659" s="79"/>
      <c r="X659" s="79"/>
      <c r="AA659" s="130"/>
      <c r="AC659" s="106"/>
    </row>
    <row r="660">
      <c r="C660" s="79"/>
      <c r="D660" s="79"/>
      <c r="E660" s="79"/>
      <c r="N660" s="79"/>
      <c r="Q660" s="79"/>
      <c r="S660" s="79"/>
      <c r="T660" s="79"/>
      <c r="X660" s="79"/>
      <c r="AA660" s="130"/>
      <c r="AC660" s="106"/>
    </row>
    <row r="661">
      <c r="C661" s="79"/>
      <c r="D661" s="79"/>
      <c r="E661" s="79"/>
      <c r="N661" s="79"/>
      <c r="Q661" s="79"/>
      <c r="S661" s="79"/>
      <c r="T661" s="79"/>
      <c r="X661" s="79"/>
      <c r="AA661" s="130"/>
      <c r="AC661" s="106"/>
    </row>
    <row r="662">
      <c r="C662" s="79"/>
      <c r="D662" s="79"/>
      <c r="E662" s="79"/>
      <c r="N662" s="79"/>
      <c r="Q662" s="79"/>
      <c r="S662" s="79"/>
      <c r="T662" s="79"/>
      <c r="X662" s="79"/>
      <c r="AA662" s="130"/>
      <c r="AC662" s="106"/>
    </row>
    <row r="663">
      <c r="C663" s="79"/>
      <c r="D663" s="79"/>
      <c r="E663" s="79"/>
      <c r="N663" s="79"/>
      <c r="Q663" s="79"/>
      <c r="S663" s="79"/>
      <c r="T663" s="79"/>
      <c r="X663" s="79"/>
      <c r="AA663" s="130"/>
      <c r="AC663" s="106"/>
    </row>
    <row r="664">
      <c r="C664" s="79"/>
      <c r="D664" s="79"/>
      <c r="E664" s="79"/>
      <c r="N664" s="79"/>
      <c r="Q664" s="79"/>
      <c r="S664" s="79"/>
      <c r="T664" s="79"/>
      <c r="X664" s="79"/>
      <c r="AA664" s="130"/>
      <c r="AC664" s="106"/>
    </row>
    <row r="665">
      <c r="C665" s="79"/>
      <c r="D665" s="79"/>
      <c r="E665" s="79"/>
      <c r="N665" s="79"/>
      <c r="Q665" s="79"/>
      <c r="S665" s="79"/>
      <c r="T665" s="79"/>
      <c r="X665" s="79"/>
      <c r="AA665" s="130"/>
      <c r="AC665" s="106"/>
    </row>
    <row r="666">
      <c r="C666" s="79"/>
      <c r="D666" s="79"/>
      <c r="E666" s="79"/>
      <c r="N666" s="79"/>
      <c r="Q666" s="79"/>
      <c r="S666" s="79"/>
      <c r="T666" s="79"/>
      <c r="X666" s="79"/>
      <c r="AA666" s="130"/>
      <c r="AC666" s="106"/>
    </row>
    <row r="667">
      <c r="C667" s="79"/>
      <c r="D667" s="79"/>
      <c r="E667" s="79"/>
      <c r="N667" s="79"/>
      <c r="Q667" s="79"/>
      <c r="S667" s="79"/>
      <c r="T667" s="79"/>
      <c r="X667" s="79"/>
      <c r="AA667" s="130"/>
      <c r="AC667" s="106"/>
    </row>
    <row r="668">
      <c r="C668" s="79"/>
      <c r="D668" s="79"/>
      <c r="E668" s="79"/>
      <c r="N668" s="79"/>
      <c r="Q668" s="79"/>
      <c r="S668" s="79"/>
      <c r="T668" s="79"/>
      <c r="X668" s="79"/>
      <c r="AA668" s="130"/>
      <c r="AC668" s="106"/>
    </row>
    <row r="669">
      <c r="C669" s="79"/>
      <c r="D669" s="79"/>
      <c r="E669" s="79"/>
      <c r="N669" s="79"/>
      <c r="Q669" s="79"/>
      <c r="S669" s="79"/>
      <c r="T669" s="79"/>
      <c r="X669" s="79"/>
      <c r="AA669" s="130"/>
      <c r="AC669" s="106"/>
    </row>
    <row r="670">
      <c r="C670" s="79"/>
      <c r="D670" s="79"/>
      <c r="E670" s="79"/>
      <c r="N670" s="79"/>
      <c r="Q670" s="79"/>
      <c r="S670" s="79"/>
      <c r="T670" s="79"/>
      <c r="X670" s="79"/>
      <c r="AA670" s="130"/>
      <c r="AC670" s="106"/>
    </row>
    <row r="671">
      <c r="C671" s="79"/>
      <c r="D671" s="79"/>
      <c r="E671" s="79"/>
      <c r="N671" s="79"/>
      <c r="Q671" s="79"/>
      <c r="S671" s="79"/>
      <c r="T671" s="79"/>
      <c r="X671" s="79"/>
      <c r="AA671" s="130"/>
      <c r="AC671" s="106"/>
    </row>
    <row r="672">
      <c r="C672" s="79"/>
      <c r="D672" s="79"/>
      <c r="E672" s="79"/>
      <c r="N672" s="79"/>
      <c r="Q672" s="79"/>
      <c r="S672" s="79"/>
      <c r="T672" s="79"/>
      <c r="X672" s="79"/>
      <c r="AA672" s="130"/>
      <c r="AC672" s="106"/>
    </row>
    <row r="673">
      <c r="C673" s="79"/>
      <c r="D673" s="79"/>
      <c r="E673" s="79"/>
      <c r="N673" s="79"/>
      <c r="Q673" s="79"/>
      <c r="S673" s="79"/>
      <c r="T673" s="79"/>
      <c r="X673" s="79"/>
      <c r="AA673" s="130"/>
      <c r="AC673" s="106"/>
    </row>
    <row r="674">
      <c r="C674" s="79"/>
      <c r="D674" s="79"/>
      <c r="E674" s="79"/>
      <c r="N674" s="79"/>
      <c r="Q674" s="79"/>
      <c r="S674" s="79"/>
      <c r="T674" s="79"/>
      <c r="X674" s="79"/>
      <c r="AA674" s="130"/>
      <c r="AC674" s="106"/>
    </row>
    <row r="675">
      <c r="C675" s="79"/>
      <c r="D675" s="79"/>
      <c r="E675" s="79"/>
      <c r="N675" s="79"/>
      <c r="Q675" s="79"/>
      <c r="S675" s="79"/>
      <c r="T675" s="79"/>
      <c r="X675" s="79"/>
      <c r="AA675" s="130"/>
      <c r="AC675" s="106"/>
    </row>
    <row r="676">
      <c r="C676" s="79"/>
      <c r="D676" s="79"/>
      <c r="E676" s="79"/>
      <c r="N676" s="79"/>
      <c r="Q676" s="79"/>
      <c r="S676" s="79"/>
      <c r="T676" s="79"/>
      <c r="X676" s="79"/>
      <c r="AA676" s="130"/>
      <c r="AC676" s="106"/>
    </row>
    <row r="677">
      <c r="C677" s="79"/>
      <c r="D677" s="79"/>
      <c r="E677" s="79"/>
      <c r="N677" s="79"/>
      <c r="Q677" s="79"/>
      <c r="S677" s="79"/>
      <c r="T677" s="79"/>
      <c r="X677" s="79"/>
      <c r="AA677" s="130"/>
      <c r="AC677" s="106"/>
    </row>
    <row r="678">
      <c r="C678" s="79"/>
      <c r="D678" s="79"/>
      <c r="E678" s="79"/>
      <c r="N678" s="79"/>
      <c r="Q678" s="79"/>
      <c r="S678" s="79"/>
      <c r="T678" s="79"/>
      <c r="X678" s="79"/>
      <c r="AA678" s="130"/>
      <c r="AC678" s="106"/>
    </row>
    <row r="679">
      <c r="C679" s="79"/>
      <c r="D679" s="79"/>
      <c r="E679" s="79"/>
      <c r="N679" s="79"/>
      <c r="Q679" s="79"/>
      <c r="S679" s="79"/>
      <c r="T679" s="79"/>
      <c r="X679" s="79"/>
      <c r="AA679" s="130"/>
      <c r="AC679" s="106"/>
    </row>
    <row r="680">
      <c r="C680" s="79"/>
      <c r="D680" s="79"/>
      <c r="E680" s="79"/>
      <c r="N680" s="79"/>
      <c r="Q680" s="79"/>
      <c r="S680" s="79"/>
      <c r="T680" s="79"/>
      <c r="X680" s="79"/>
      <c r="AA680" s="130"/>
      <c r="AC680" s="106"/>
    </row>
    <row r="681">
      <c r="C681" s="79"/>
      <c r="D681" s="79"/>
      <c r="E681" s="79"/>
      <c r="N681" s="79"/>
      <c r="Q681" s="79"/>
      <c r="S681" s="79"/>
      <c r="T681" s="79"/>
      <c r="X681" s="79"/>
      <c r="AA681" s="130"/>
      <c r="AC681" s="106"/>
    </row>
    <row r="682">
      <c r="C682" s="79"/>
      <c r="D682" s="79"/>
      <c r="E682" s="79"/>
      <c r="N682" s="79"/>
      <c r="Q682" s="79"/>
      <c r="S682" s="79"/>
      <c r="T682" s="79"/>
      <c r="X682" s="79"/>
      <c r="AA682" s="130"/>
      <c r="AC682" s="106"/>
    </row>
    <row r="683">
      <c r="C683" s="79"/>
      <c r="D683" s="79"/>
      <c r="E683" s="79"/>
      <c r="N683" s="79"/>
      <c r="Q683" s="79"/>
      <c r="S683" s="79"/>
      <c r="T683" s="79"/>
      <c r="X683" s="79"/>
      <c r="AA683" s="130"/>
      <c r="AC683" s="106"/>
    </row>
    <row r="684">
      <c r="C684" s="79"/>
      <c r="D684" s="79"/>
      <c r="E684" s="79"/>
      <c r="N684" s="79"/>
      <c r="Q684" s="79"/>
      <c r="S684" s="79"/>
      <c r="T684" s="79"/>
      <c r="X684" s="79"/>
      <c r="AA684" s="130"/>
      <c r="AC684" s="106"/>
    </row>
    <row r="685">
      <c r="C685" s="79"/>
      <c r="D685" s="79"/>
      <c r="E685" s="79"/>
      <c r="N685" s="79"/>
      <c r="Q685" s="79"/>
      <c r="S685" s="79"/>
      <c r="T685" s="79"/>
      <c r="X685" s="79"/>
      <c r="AA685" s="130"/>
      <c r="AC685" s="106"/>
    </row>
    <row r="686">
      <c r="C686" s="79"/>
      <c r="D686" s="79"/>
      <c r="E686" s="79"/>
      <c r="N686" s="79"/>
      <c r="Q686" s="79"/>
      <c r="S686" s="79"/>
      <c r="T686" s="79"/>
      <c r="X686" s="79"/>
      <c r="AA686" s="130"/>
      <c r="AC686" s="106"/>
    </row>
    <row r="687">
      <c r="C687" s="79"/>
      <c r="D687" s="79"/>
      <c r="E687" s="79"/>
      <c r="N687" s="79"/>
      <c r="Q687" s="79"/>
      <c r="S687" s="79"/>
      <c r="T687" s="79"/>
      <c r="X687" s="79"/>
      <c r="AA687" s="130"/>
      <c r="AC687" s="106"/>
    </row>
    <row r="688">
      <c r="C688" s="79"/>
      <c r="D688" s="79"/>
      <c r="E688" s="79"/>
      <c r="N688" s="79"/>
      <c r="Q688" s="79"/>
      <c r="S688" s="79"/>
      <c r="T688" s="79"/>
      <c r="X688" s="79"/>
      <c r="AA688" s="130"/>
      <c r="AC688" s="106"/>
    </row>
    <row r="689">
      <c r="C689" s="79"/>
      <c r="D689" s="79"/>
      <c r="E689" s="79"/>
      <c r="N689" s="79"/>
      <c r="Q689" s="79"/>
      <c r="S689" s="79"/>
      <c r="T689" s="79"/>
      <c r="X689" s="79"/>
      <c r="AA689" s="130"/>
      <c r="AC689" s="106"/>
    </row>
    <row r="690">
      <c r="C690" s="79"/>
      <c r="D690" s="79"/>
      <c r="E690" s="79"/>
      <c r="N690" s="79"/>
      <c r="Q690" s="79"/>
      <c r="S690" s="79"/>
      <c r="T690" s="79"/>
      <c r="X690" s="79"/>
      <c r="AA690" s="130"/>
      <c r="AC690" s="106"/>
    </row>
    <row r="691">
      <c r="C691" s="79"/>
      <c r="D691" s="79"/>
      <c r="E691" s="79"/>
      <c r="N691" s="79"/>
      <c r="Q691" s="79"/>
      <c r="S691" s="79"/>
      <c r="T691" s="79"/>
      <c r="X691" s="79"/>
      <c r="AA691" s="130"/>
      <c r="AC691" s="106"/>
    </row>
    <row r="692">
      <c r="C692" s="79"/>
      <c r="D692" s="79"/>
      <c r="E692" s="79"/>
      <c r="N692" s="79"/>
      <c r="Q692" s="79"/>
      <c r="S692" s="79"/>
      <c r="T692" s="79"/>
      <c r="X692" s="79"/>
      <c r="AA692" s="130"/>
      <c r="AC692" s="106"/>
    </row>
    <row r="693">
      <c r="C693" s="79"/>
      <c r="D693" s="79"/>
      <c r="E693" s="79"/>
      <c r="N693" s="79"/>
      <c r="Q693" s="79"/>
      <c r="S693" s="79"/>
      <c r="T693" s="79"/>
      <c r="X693" s="79"/>
      <c r="AA693" s="130"/>
      <c r="AC693" s="106"/>
    </row>
    <row r="694">
      <c r="C694" s="79"/>
      <c r="D694" s="79"/>
      <c r="E694" s="79"/>
      <c r="N694" s="79"/>
      <c r="Q694" s="79"/>
      <c r="S694" s="79"/>
      <c r="T694" s="79"/>
      <c r="X694" s="79"/>
      <c r="AA694" s="130"/>
      <c r="AC694" s="106"/>
    </row>
    <row r="695">
      <c r="C695" s="79"/>
      <c r="D695" s="79"/>
      <c r="E695" s="79"/>
      <c r="N695" s="79"/>
      <c r="Q695" s="79"/>
      <c r="S695" s="79"/>
      <c r="T695" s="79"/>
      <c r="X695" s="79"/>
      <c r="AA695" s="130"/>
      <c r="AC695" s="106"/>
    </row>
    <row r="696">
      <c r="C696" s="79"/>
      <c r="D696" s="79"/>
      <c r="E696" s="79"/>
      <c r="N696" s="79"/>
      <c r="Q696" s="79"/>
      <c r="S696" s="79"/>
      <c r="T696" s="79"/>
      <c r="X696" s="79"/>
      <c r="AA696" s="130"/>
      <c r="AC696" s="106"/>
    </row>
    <row r="697">
      <c r="C697" s="79"/>
      <c r="D697" s="79"/>
      <c r="E697" s="79"/>
      <c r="N697" s="79"/>
      <c r="Q697" s="79"/>
      <c r="S697" s="79"/>
      <c r="T697" s="79"/>
      <c r="X697" s="79"/>
      <c r="AA697" s="130"/>
      <c r="AC697" s="106"/>
    </row>
    <row r="698">
      <c r="C698" s="79"/>
      <c r="D698" s="79"/>
      <c r="E698" s="79"/>
      <c r="N698" s="79"/>
      <c r="Q698" s="79"/>
      <c r="S698" s="79"/>
      <c r="T698" s="79"/>
      <c r="X698" s="79"/>
      <c r="AA698" s="130"/>
      <c r="AC698" s="106"/>
    </row>
    <row r="699">
      <c r="C699" s="79"/>
      <c r="D699" s="79"/>
      <c r="E699" s="79"/>
      <c r="N699" s="79"/>
      <c r="Q699" s="79"/>
      <c r="S699" s="79"/>
      <c r="T699" s="79"/>
      <c r="X699" s="79"/>
      <c r="AA699" s="130"/>
      <c r="AC699" s="106"/>
    </row>
    <row r="700">
      <c r="C700" s="79"/>
      <c r="D700" s="79"/>
      <c r="E700" s="79"/>
      <c r="N700" s="79"/>
      <c r="Q700" s="79"/>
      <c r="S700" s="79"/>
      <c r="T700" s="79"/>
      <c r="X700" s="79"/>
      <c r="AA700" s="130"/>
      <c r="AC700" s="106"/>
    </row>
    <row r="701">
      <c r="C701" s="79"/>
      <c r="D701" s="79"/>
      <c r="E701" s="79"/>
      <c r="N701" s="79"/>
      <c r="Q701" s="79"/>
      <c r="S701" s="79"/>
      <c r="T701" s="79"/>
      <c r="X701" s="79"/>
      <c r="AA701" s="130"/>
      <c r="AC701" s="106"/>
    </row>
    <row r="702">
      <c r="C702" s="79"/>
      <c r="D702" s="79"/>
      <c r="E702" s="79"/>
      <c r="N702" s="79"/>
      <c r="Q702" s="79"/>
      <c r="S702" s="79"/>
      <c r="T702" s="79"/>
      <c r="X702" s="79"/>
      <c r="AA702" s="130"/>
      <c r="AC702" s="106"/>
    </row>
    <row r="703">
      <c r="C703" s="79"/>
      <c r="D703" s="79"/>
      <c r="E703" s="79"/>
      <c r="N703" s="79"/>
      <c r="Q703" s="79"/>
      <c r="S703" s="79"/>
      <c r="T703" s="79"/>
      <c r="X703" s="79"/>
      <c r="AA703" s="130"/>
      <c r="AC703" s="106"/>
    </row>
    <row r="704">
      <c r="C704" s="79"/>
      <c r="D704" s="79"/>
      <c r="E704" s="79"/>
      <c r="N704" s="79"/>
      <c r="Q704" s="79"/>
      <c r="S704" s="79"/>
      <c r="T704" s="79"/>
      <c r="X704" s="79"/>
      <c r="AA704" s="130"/>
      <c r="AC704" s="106"/>
    </row>
    <row r="705">
      <c r="C705" s="79"/>
      <c r="D705" s="79"/>
      <c r="E705" s="79"/>
      <c r="N705" s="79"/>
      <c r="Q705" s="79"/>
      <c r="S705" s="79"/>
      <c r="T705" s="79"/>
      <c r="X705" s="79"/>
      <c r="AA705" s="130"/>
      <c r="AC705" s="106"/>
    </row>
    <row r="706">
      <c r="C706" s="79"/>
      <c r="D706" s="79"/>
      <c r="E706" s="79"/>
      <c r="N706" s="79"/>
      <c r="Q706" s="79"/>
      <c r="S706" s="79"/>
      <c r="T706" s="79"/>
      <c r="X706" s="79"/>
      <c r="AA706" s="130"/>
      <c r="AC706" s="106"/>
    </row>
    <row r="707">
      <c r="C707" s="79"/>
      <c r="D707" s="79"/>
      <c r="E707" s="79"/>
      <c r="N707" s="79"/>
      <c r="Q707" s="79"/>
      <c r="S707" s="79"/>
      <c r="T707" s="79"/>
      <c r="X707" s="79"/>
      <c r="AA707" s="130"/>
      <c r="AC707" s="106"/>
    </row>
    <row r="708">
      <c r="C708" s="79"/>
      <c r="D708" s="79"/>
      <c r="E708" s="79"/>
      <c r="N708" s="79"/>
      <c r="Q708" s="79"/>
      <c r="S708" s="79"/>
      <c r="T708" s="79"/>
      <c r="X708" s="79"/>
      <c r="AA708" s="130"/>
      <c r="AC708" s="106"/>
    </row>
    <row r="709">
      <c r="C709" s="79"/>
      <c r="D709" s="79"/>
      <c r="E709" s="79"/>
      <c r="N709" s="79"/>
      <c r="Q709" s="79"/>
      <c r="S709" s="79"/>
      <c r="T709" s="79"/>
      <c r="X709" s="79"/>
      <c r="AA709" s="130"/>
      <c r="AC709" s="106"/>
    </row>
    <row r="710">
      <c r="C710" s="79"/>
      <c r="D710" s="79"/>
      <c r="E710" s="79"/>
      <c r="N710" s="79"/>
      <c r="Q710" s="79"/>
      <c r="S710" s="79"/>
      <c r="T710" s="79"/>
      <c r="X710" s="79"/>
      <c r="AA710" s="130"/>
      <c r="AC710" s="106"/>
    </row>
    <row r="711">
      <c r="C711" s="79"/>
      <c r="D711" s="79"/>
      <c r="E711" s="79"/>
      <c r="N711" s="79"/>
      <c r="Q711" s="79"/>
      <c r="S711" s="79"/>
      <c r="T711" s="79"/>
      <c r="X711" s="79"/>
      <c r="AA711" s="130"/>
      <c r="AC711" s="106"/>
    </row>
    <row r="712">
      <c r="C712" s="79"/>
      <c r="D712" s="79"/>
      <c r="E712" s="79"/>
      <c r="N712" s="79"/>
      <c r="Q712" s="79"/>
      <c r="S712" s="79"/>
      <c r="T712" s="79"/>
      <c r="X712" s="79"/>
      <c r="AA712" s="130"/>
      <c r="AC712" s="106"/>
    </row>
    <row r="713">
      <c r="C713" s="79"/>
      <c r="D713" s="79"/>
      <c r="E713" s="79"/>
      <c r="N713" s="79"/>
      <c r="Q713" s="79"/>
      <c r="S713" s="79"/>
      <c r="T713" s="79"/>
      <c r="X713" s="79"/>
      <c r="AA713" s="130"/>
      <c r="AC713" s="106"/>
    </row>
    <row r="714">
      <c r="C714" s="79"/>
      <c r="D714" s="79"/>
      <c r="E714" s="79"/>
      <c r="N714" s="79"/>
      <c r="Q714" s="79"/>
      <c r="S714" s="79"/>
      <c r="T714" s="79"/>
      <c r="X714" s="79"/>
      <c r="AA714" s="130"/>
      <c r="AC714" s="106"/>
    </row>
    <row r="715">
      <c r="C715" s="79"/>
      <c r="D715" s="79"/>
      <c r="E715" s="79"/>
      <c r="N715" s="79"/>
      <c r="Q715" s="79"/>
      <c r="S715" s="79"/>
      <c r="T715" s="79"/>
      <c r="X715" s="79"/>
      <c r="AA715" s="130"/>
      <c r="AC715" s="106"/>
    </row>
    <row r="716">
      <c r="C716" s="79"/>
      <c r="D716" s="79"/>
      <c r="E716" s="79"/>
      <c r="N716" s="79"/>
      <c r="Q716" s="79"/>
      <c r="S716" s="79"/>
      <c r="T716" s="79"/>
      <c r="X716" s="79"/>
      <c r="AA716" s="130"/>
      <c r="AC716" s="106"/>
    </row>
    <row r="717">
      <c r="C717" s="79"/>
      <c r="D717" s="79"/>
      <c r="E717" s="79"/>
      <c r="N717" s="79"/>
      <c r="Q717" s="79"/>
      <c r="S717" s="79"/>
      <c r="T717" s="79"/>
      <c r="X717" s="79"/>
      <c r="AA717" s="130"/>
      <c r="AC717" s="106"/>
    </row>
    <row r="718">
      <c r="C718" s="79"/>
      <c r="D718" s="79"/>
      <c r="E718" s="79"/>
      <c r="N718" s="79"/>
      <c r="Q718" s="79"/>
      <c r="S718" s="79"/>
      <c r="T718" s="79"/>
      <c r="X718" s="79"/>
      <c r="AA718" s="130"/>
      <c r="AC718" s="106"/>
    </row>
    <row r="719">
      <c r="C719" s="79"/>
      <c r="D719" s="79"/>
      <c r="E719" s="79"/>
      <c r="N719" s="79"/>
      <c r="Q719" s="79"/>
      <c r="S719" s="79"/>
      <c r="T719" s="79"/>
      <c r="X719" s="79"/>
      <c r="AA719" s="130"/>
      <c r="AC719" s="106"/>
    </row>
    <row r="720">
      <c r="C720" s="79"/>
      <c r="D720" s="79"/>
      <c r="E720" s="79"/>
      <c r="N720" s="79"/>
      <c r="Q720" s="79"/>
      <c r="S720" s="79"/>
      <c r="T720" s="79"/>
      <c r="X720" s="79"/>
      <c r="AA720" s="130"/>
      <c r="AC720" s="106"/>
    </row>
    <row r="721">
      <c r="C721" s="79"/>
      <c r="D721" s="79"/>
      <c r="E721" s="79"/>
      <c r="N721" s="79"/>
      <c r="Q721" s="79"/>
      <c r="S721" s="79"/>
      <c r="T721" s="79"/>
      <c r="X721" s="79"/>
      <c r="AA721" s="130"/>
      <c r="AC721" s="106"/>
    </row>
    <row r="722">
      <c r="C722" s="79"/>
      <c r="D722" s="79"/>
      <c r="E722" s="79"/>
      <c r="N722" s="79"/>
      <c r="Q722" s="79"/>
      <c r="S722" s="79"/>
      <c r="T722" s="79"/>
      <c r="X722" s="79"/>
      <c r="AA722" s="130"/>
      <c r="AC722" s="106"/>
    </row>
    <row r="723">
      <c r="C723" s="79"/>
      <c r="D723" s="79"/>
      <c r="E723" s="79"/>
      <c r="N723" s="79"/>
      <c r="Q723" s="79"/>
      <c r="S723" s="79"/>
      <c r="T723" s="79"/>
      <c r="X723" s="79"/>
      <c r="AA723" s="130"/>
      <c r="AC723" s="106"/>
    </row>
    <row r="724">
      <c r="C724" s="79"/>
      <c r="D724" s="79"/>
      <c r="E724" s="79"/>
      <c r="N724" s="79"/>
      <c r="Q724" s="79"/>
      <c r="S724" s="79"/>
      <c r="T724" s="79"/>
      <c r="X724" s="79"/>
      <c r="AA724" s="130"/>
      <c r="AC724" s="106"/>
    </row>
    <row r="725">
      <c r="C725" s="79"/>
      <c r="D725" s="79"/>
      <c r="E725" s="79"/>
      <c r="N725" s="79"/>
      <c r="Q725" s="79"/>
      <c r="S725" s="79"/>
      <c r="T725" s="79"/>
      <c r="X725" s="79"/>
      <c r="AA725" s="130"/>
      <c r="AC725" s="106"/>
    </row>
    <row r="726">
      <c r="C726" s="79"/>
      <c r="D726" s="79"/>
      <c r="E726" s="79"/>
      <c r="N726" s="79"/>
      <c r="Q726" s="79"/>
      <c r="S726" s="79"/>
      <c r="T726" s="79"/>
      <c r="X726" s="79"/>
      <c r="AA726" s="130"/>
      <c r="AC726" s="106"/>
    </row>
    <row r="727">
      <c r="C727" s="79"/>
      <c r="D727" s="79"/>
      <c r="E727" s="79"/>
      <c r="N727" s="79"/>
      <c r="Q727" s="79"/>
      <c r="S727" s="79"/>
      <c r="T727" s="79"/>
      <c r="X727" s="79"/>
      <c r="AA727" s="130"/>
      <c r="AC727" s="106"/>
    </row>
    <row r="728">
      <c r="C728" s="79"/>
      <c r="D728" s="79"/>
      <c r="E728" s="79"/>
      <c r="N728" s="79"/>
      <c r="Q728" s="79"/>
      <c r="S728" s="79"/>
      <c r="T728" s="79"/>
      <c r="X728" s="79"/>
      <c r="AA728" s="130"/>
      <c r="AC728" s="106"/>
    </row>
    <row r="729">
      <c r="C729" s="79"/>
      <c r="D729" s="79"/>
      <c r="E729" s="79"/>
      <c r="N729" s="79"/>
      <c r="Q729" s="79"/>
      <c r="S729" s="79"/>
      <c r="T729" s="79"/>
      <c r="X729" s="79"/>
      <c r="AA729" s="130"/>
      <c r="AC729" s="106"/>
    </row>
    <row r="730">
      <c r="C730" s="79"/>
      <c r="D730" s="79"/>
      <c r="E730" s="79"/>
      <c r="N730" s="79"/>
      <c r="Q730" s="79"/>
      <c r="S730" s="79"/>
      <c r="T730" s="79"/>
      <c r="X730" s="79"/>
      <c r="AA730" s="130"/>
      <c r="AC730" s="106"/>
    </row>
    <row r="731">
      <c r="C731" s="79"/>
      <c r="D731" s="79"/>
      <c r="E731" s="79"/>
      <c r="N731" s="79"/>
      <c r="Q731" s="79"/>
      <c r="S731" s="79"/>
      <c r="T731" s="79"/>
      <c r="X731" s="79"/>
      <c r="AA731" s="130"/>
      <c r="AC731" s="106"/>
    </row>
    <row r="732">
      <c r="C732" s="79"/>
      <c r="D732" s="79"/>
      <c r="E732" s="79"/>
      <c r="N732" s="79"/>
      <c r="Q732" s="79"/>
      <c r="S732" s="79"/>
      <c r="T732" s="79"/>
      <c r="X732" s="79"/>
      <c r="AA732" s="130"/>
      <c r="AC732" s="106"/>
    </row>
    <row r="733">
      <c r="C733" s="79"/>
      <c r="D733" s="79"/>
      <c r="E733" s="79"/>
      <c r="N733" s="79"/>
      <c r="Q733" s="79"/>
      <c r="S733" s="79"/>
      <c r="T733" s="79"/>
      <c r="X733" s="79"/>
      <c r="AA733" s="130"/>
      <c r="AC733" s="106"/>
    </row>
    <row r="734">
      <c r="C734" s="79"/>
      <c r="D734" s="79"/>
      <c r="E734" s="79"/>
      <c r="N734" s="79"/>
      <c r="Q734" s="79"/>
      <c r="S734" s="79"/>
      <c r="T734" s="79"/>
      <c r="X734" s="79"/>
      <c r="AA734" s="130"/>
      <c r="AC734" s="106"/>
    </row>
    <row r="735">
      <c r="C735" s="79"/>
      <c r="D735" s="79"/>
      <c r="E735" s="79"/>
      <c r="N735" s="79"/>
      <c r="Q735" s="79"/>
      <c r="S735" s="79"/>
      <c r="T735" s="79"/>
      <c r="X735" s="79"/>
      <c r="AA735" s="130"/>
      <c r="AC735" s="106"/>
    </row>
    <row r="736">
      <c r="C736" s="79"/>
      <c r="D736" s="79"/>
      <c r="E736" s="79"/>
      <c r="N736" s="79"/>
      <c r="Q736" s="79"/>
      <c r="S736" s="79"/>
      <c r="T736" s="79"/>
      <c r="X736" s="79"/>
      <c r="AA736" s="130"/>
      <c r="AC736" s="106"/>
    </row>
    <row r="737">
      <c r="C737" s="79"/>
      <c r="D737" s="79"/>
      <c r="E737" s="79"/>
      <c r="N737" s="79"/>
      <c r="Q737" s="79"/>
      <c r="S737" s="79"/>
      <c r="T737" s="79"/>
      <c r="X737" s="79"/>
      <c r="AA737" s="130"/>
      <c r="AC737" s="106"/>
    </row>
    <row r="738">
      <c r="C738" s="79"/>
      <c r="D738" s="79"/>
      <c r="E738" s="79"/>
      <c r="N738" s="79"/>
      <c r="Q738" s="79"/>
      <c r="S738" s="79"/>
      <c r="T738" s="79"/>
      <c r="X738" s="79"/>
      <c r="AA738" s="130"/>
      <c r="AC738" s="106"/>
    </row>
    <row r="739">
      <c r="C739" s="79"/>
      <c r="D739" s="79"/>
      <c r="E739" s="79"/>
      <c r="N739" s="79"/>
      <c r="Q739" s="79"/>
      <c r="S739" s="79"/>
      <c r="T739" s="79"/>
      <c r="X739" s="79"/>
      <c r="AA739" s="130"/>
      <c r="AC739" s="106"/>
    </row>
    <row r="740">
      <c r="C740" s="79"/>
      <c r="D740" s="79"/>
      <c r="E740" s="79"/>
      <c r="N740" s="79"/>
      <c r="Q740" s="79"/>
      <c r="S740" s="79"/>
      <c r="T740" s="79"/>
      <c r="X740" s="79"/>
      <c r="AA740" s="130"/>
      <c r="AC740" s="106"/>
    </row>
    <row r="741">
      <c r="C741" s="79"/>
      <c r="D741" s="79"/>
      <c r="E741" s="79"/>
      <c r="N741" s="79"/>
      <c r="Q741" s="79"/>
      <c r="S741" s="79"/>
      <c r="T741" s="79"/>
      <c r="X741" s="79"/>
      <c r="AA741" s="130"/>
      <c r="AC741" s="106"/>
    </row>
    <row r="742">
      <c r="C742" s="79"/>
      <c r="D742" s="79"/>
      <c r="E742" s="79"/>
      <c r="N742" s="79"/>
      <c r="Q742" s="79"/>
      <c r="S742" s="79"/>
      <c r="T742" s="79"/>
      <c r="X742" s="79"/>
      <c r="AA742" s="130"/>
      <c r="AC742" s="106"/>
    </row>
    <row r="743">
      <c r="C743" s="79"/>
      <c r="D743" s="79"/>
      <c r="E743" s="79"/>
      <c r="N743" s="79"/>
      <c r="Q743" s="79"/>
      <c r="S743" s="79"/>
      <c r="T743" s="79"/>
      <c r="X743" s="79"/>
      <c r="AA743" s="130"/>
      <c r="AC743" s="106"/>
    </row>
    <row r="744">
      <c r="C744" s="79"/>
      <c r="D744" s="79"/>
      <c r="E744" s="79"/>
      <c r="N744" s="79"/>
      <c r="Q744" s="79"/>
      <c r="S744" s="79"/>
      <c r="T744" s="79"/>
      <c r="X744" s="79"/>
      <c r="AA744" s="130"/>
      <c r="AC744" s="106"/>
    </row>
    <row r="745">
      <c r="C745" s="79"/>
      <c r="D745" s="79"/>
      <c r="E745" s="79"/>
      <c r="N745" s="79"/>
      <c r="Q745" s="79"/>
      <c r="S745" s="79"/>
      <c r="T745" s="79"/>
      <c r="X745" s="79"/>
      <c r="AA745" s="130"/>
      <c r="AC745" s="106"/>
    </row>
    <row r="746">
      <c r="C746" s="79"/>
      <c r="D746" s="79"/>
      <c r="E746" s="79"/>
      <c r="N746" s="79"/>
      <c r="Q746" s="79"/>
      <c r="S746" s="79"/>
      <c r="T746" s="79"/>
      <c r="X746" s="79"/>
      <c r="AA746" s="130"/>
      <c r="AC746" s="106"/>
    </row>
    <row r="747">
      <c r="C747" s="79"/>
      <c r="D747" s="79"/>
      <c r="E747" s="79"/>
      <c r="N747" s="79"/>
      <c r="Q747" s="79"/>
      <c r="S747" s="79"/>
      <c r="T747" s="79"/>
      <c r="X747" s="79"/>
      <c r="AA747" s="130"/>
      <c r="AC747" s="106"/>
    </row>
    <row r="748">
      <c r="C748" s="79"/>
      <c r="D748" s="79"/>
      <c r="E748" s="79"/>
      <c r="N748" s="79"/>
      <c r="Q748" s="79"/>
      <c r="S748" s="79"/>
      <c r="T748" s="79"/>
      <c r="X748" s="79"/>
      <c r="AA748" s="130"/>
      <c r="AC748" s="106"/>
    </row>
    <row r="749">
      <c r="C749" s="79"/>
      <c r="D749" s="79"/>
      <c r="E749" s="79"/>
      <c r="N749" s="79"/>
      <c r="Q749" s="79"/>
      <c r="S749" s="79"/>
      <c r="T749" s="79"/>
      <c r="X749" s="79"/>
      <c r="AA749" s="130"/>
      <c r="AC749" s="106"/>
    </row>
    <row r="750">
      <c r="C750" s="79"/>
      <c r="D750" s="79"/>
      <c r="E750" s="79"/>
      <c r="N750" s="79"/>
      <c r="Q750" s="79"/>
      <c r="S750" s="79"/>
      <c r="T750" s="79"/>
      <c r="X750" s="79"/>
      <c r="AA750" s="130"/>
      <c r="AC750" s="106"/>
    </row>
    <row r="751">
      <c r="C751" s="79"/>
      <c r="D751" s="79"/>
      <c r="E751" s="79"/>
      <c r="N751" s="79"/>
      <c r="Q751" s="79"/>
      <c r="S751" s="79"/>
      <c r="T751" s="79"/>
      <c r="X751" s="79"/>
      <c r="AA751" s="130"/>
      <c r="AC751" s="106"/>
    </row>
    <row r="752">
      <c r="C752" s="79"/>
      <c r="D752" s="79"/>
      <c r="E752" s="79"/>
      <c r="N752" s="79"/>
      <c r="Q752" s="79"/>
      <c r="S752" s="79"/>
      <c r="T752" s="79"/>
      <c r="X752" s="79"/>
      <c r="AA752" s="130"/>
      <c r="AC752" s="106"/>
    </row>
    <row r="753">
      <c r="C753" s="79"/>
      <c r="D753" s="79"/>
      <c r="E753" s="79"/>
      <c r="N753" s="79"/>
      <c r="Q753" s="79"/>
      <c r="S753" s="79"/>
      <c r="T753" s="79"/>
      <c r="X753" s="79"/>
      <c r="AA753" s="130"/>
      <c r="AC753" s="106"/>
    </row>
    <row r="754">
      <c r="C754" s="79"/>
      <c r="D754" s="79"/>
      <c r="E754" s="79"/>
      <c r="N754" s="79"/>
      <c r="Q754" s="79"/>
      <c r="S754" s="79"/>
      <c r="T754" s="79"/>
      <c r="X754" s="79"/>
      <c r="AA754" s="130"/>
      <c r="AC754" s="106"/>
    </row>
    <row r="755">
      <c r="C755" s="79"/>
      <c r="D755" s="79"/>
      <c r="E755" s="79"/>
      <c r="N755" s="79"/>
      <c r="Q755" s="79"/>
      <c r="S755" s="79"/>
      <c r="T755" s="79"/>
      <c r="X755" s="79"/>
      <c r="AA755" s="130"/>
      <c r="AC755" s="106"/>
    </row>
    <row r="756">
      <c r="C756" s="79"/>
      <c r="D756" s="79"/>
      <c r="E756" s="79"/>
      <c r="N756" s="79"/>
      <c r="Q756" s="79"/>
      <c r="S756" s="79"/>
      <c r="T756" s="79"/>
      <c r="X756" s="79"/>
      <c r="AA756" s="130"/>
      <c r="AC756" s="106"/>
    </row>
    <row r="757">
      <c r="C757" s="79"/>
      <c r="D757" s="79"/>
      <c r="E757" s="79"/>
      <c r="N757" s="79"/>
      <c r="Q757" s="79"/>
      <c r="S757" s="79"/>
      <c r="T757" s="79"/>
      <c r="X757" s="79"/>
      <c r="AA757" s="130"/>
      <c r="AC757" s="106"/>
    </row>
    <row r="758">
      <c r="C758" s="79"/>
      <c r="D758" s="79"/>
      <c r="E758" s="79"/>
      <c r="N758" s="79"/>
      <c r="Q758" s="79"/>
      <c r="S758" s="79"/>
      <c r="T758" s="79"/>
      <c r="X758" s="79"/>
      <c r="AA758" s="130"/>
      <c r="AC758" s="106"/>
    </row>
    <row r="759">
      <c r="C759" s="79"/>
      <c r="D759" s="79"/>
      <c r="E759" s="79"/>
      <c r="N759" s="79"/>
      <c r="Q759" s="79"/>
      <c r="S759" s="79"/>
      <c r="T759" s="79"/>
      <c r="X759" s="79"/>
      <c r="AA759" s="130"/>
      <c r="AC759" s="106"/>
    </row>
    <row r="760">
      <c r="C760" s="79"/>
      <c r="D760" s="79"/>
      <c r="E760" s="79"/>
      <c r="N760" s="79"/>
      <c r="Q760" s="79"/>
      <c r="S760" s="79"/>
      <c r="T760" s="79"/>
      <c r="X760" s="79"/>
      <c r="AA760" s="130"/>
      <c r="AC760" s="106"/>
    </row>
    <row r="761">
      <c r="C761" s="79"/>
      <c r="D761" s="79"/>
      <c r="E761" s="79"/>
      <c r="N761" s="79"/>
      <c r="Q761" s="79"/>
      <c r="S761" s="79"/>
      <c r="T761" s="79"/>
      <c r="X761" s="79"/>
      <c r="AA761" s="130"/>
      <c r="AC761" s="106"/>
    </row>
    <row r="762">
      <c r="C762" s="79"/>
      <c r="D762" s="79"/>
      <c r="E762" s="79"/>
      <c r="N762" s="79"/>
      <c r="Q762" s="79"/>
      <c r="S762" s="79"/>
      <c r="T762" s="79"/>
      <c r="X762" s="79"/>
      <c r="AA762" s="130"/>
      <c r="AC762" s="106"/>
    </row>
    <row r="763">
      <c r="C763" s="79"/>
      <c r="D763" s="79"/>
      <c r="E763" s="79"/>
      <c r="N763" s="79"/>
      <c r="Q763" s="79"/>
      <c r="S763" s="79"/>
      <c r="T763" s="79"/>
      <c r="X763" s="79"/>
      <c r="AA763" s="130"/>
      <c r="AC763" s="106"/>
    </row>
    <row r="764">
      <c r="C764" s="79"/>
      <c r="D764" s="79"/>
      <c r="E764" s="79"/>
      <c r="N764" s="79"/>
      <c r="Q764" s="79"/>
      <c r="S764" s="79"/>
      <c r="T764" s="79"/>
      <c r="X764" s="79"/>
      <c r="AA764" s="130"/>
      <c r="AC764" s="106"/>
    </row>
    <row r="765">
      <c r="C765" s="79"/>
      <c r="D765" s="79"/>
      <c r="E765" s="79"/>
      <c r="N765" s="79"/>
      <c r="Q765" s="79"/>
      <c r="S765" s="79"/>
      <c r="T765" s="79"/>
      <c r="X765" s="79"/>
      <c r="AA765" s="130"/>
      <c r="AC765" s="106"/>
    </row>
    <row r="766">
      <c r="C766" s="79"/>
      <c r="D766" s="79"/>
      <c r="E766" s="79"/>
      <c r="N766" s="79"/>
      <c r="Q766" s="79"/>
      <c r="S766" s="79"/>
      <c r="T766" s="79"/>
      <c r="X766" s="79"/>
      <c r="AA766" s="130"/>
      <c r="AC766" s="106"/>
    </row>
    <row r="767">
      <c r="C767" s="79"/>
      <c r="D767" s="79"/>
      <c r="E767" s="79"/>
      <c r="N767" s="79"/>
      <c r="Q767" s="79"/>
      <c r="S767" s="79"/>
      <c r="T767" s="79"/>
      <c r="X767" s="79"/>
      <c r="AA767" s="130"/>
      <c r="AC767" s="106"/>
    </row>
    <row r="768">
      <c r="C768" s="79"/>
      <c r="D768" s="79"/>
      <c r="E768" s="79"/>
      <c r="N768" s="79"/>
      <c r="Q768" s="79"/>
      <c r="S768" s="79"/>
      <c r="T768" s="79"/>
      <c r="X768" s="79"/>
      <c r="AA768" s="130"/>
      <c r="AC768" s="106"/>
    </row>
    <row r="769">
      <c r="C769" s="79"/>
      <c r="D769" s="79"/>
      <c r="E769" s="79"/>
      <c r="N769" s="79"/>
      <c r="Q769" s="79"/>
      <c r="S769" s="79"/>
      <c r="T769" s="79"/>
      <c r="X769" s="79"/>
      <c r="AA769" s="130"/>
      <c r="AC769" s="106"/>
    </row>
    <row r="770">
      <c r="C770" s="79"/>
      <c r="D770" s="79"/>
      <c r="E770" s="79"/>
      <c r="N770" s="79"/>
      <c r="Q770" s="79"/>
      <c r="S770" s="79"/>
      <c r="T770" s="79"/>
      <c r="X770" s="79"/>
      <c r="AA770" s="130"/>
      <c r="AC770" s="106"/>
    </row>
    <row r="771">
      <c r="C771" s="79"/>
      <c r="D771" s="79"/>
      <c r="E771" s="79"/>
      <c r="N771" s="79"/>
      <c r="Q771" s="79"/>
      <c r="S771" s="79"/>
      <c r="T771" s="79"/>
      <c r="X771" s="79"/>
      <c r="AA771" s="130"/>
      <c r="AC771" s="106"/>
    </row>
    <row r="772">
      <c r="C772" s="79"/>
      <c r="D772" s="79"/>
      <c r="E772" s="79"/>
      <c r="N772" s="79"/>
      <c r="Q772" s="79"/>
      <c r="S772" s="79"/>
      <c r="T772" s="79"/>
      <c r="X772" s="79"/>
      <c r="AA772" s="130"/>
      <c r="AC772" s="106"/>
    </row>
    <row r="773">
      <c r="C773" s="79"/>
      <c r="D773" s="79"/>
      <c r="E773" s="79"/>
      <c r="N773" s="79"/>
      <c r="Q773" s="79"/>
      <c r="S773" s="79"/>
      <c r="T773" s="79"/>
      <c r="X773" s="79"/>
      <c r="AA773" s="130"/>
      <c r="AC773" s="106"/>
    </row>
    <row r="774">
      <c r="C774" s="79"/>
      <c r="D774" s="79"/>
      <c r="E774" s="79"/>
      <c r="N774" s="79"/>
      <c r="Q774" s="79"/>
      <c r="S774" s="79"/>
      <c r="T774" s="79"/>
      <c r="X774" s="79"/>
      <c r="AA774" s="130"/>
      <c r="AC774" s="106"/>
    </row>
    <row r="775">
      <c r="C775" s="79"/>
      <c r="D775" s="79"/>
      <c r="E775" s="79"/>
      <c r="N775" s="79"/>
      <c r="Q775" s="79"/>
      <c r="S775" s="79"/>
      <c r="T775" s="79"/>
      <c r="X775" s="79"/>
      <c r="AA775" s="130"/>
      <c r="AC775" s="106"/>
    </row>
    <row r="776">
      <c r="C776" s="79"/>
      <c r="D776" s="79"/>
      <c r="E776" s="79"/>
      <c r="N776" s="79"/>
      <c r="Q776" s="79"/>
      <c r="S776" s="79"/>
      <c r="T776" s="79"/>
      <c r="X776" s="79"/>
      <c r="AA776" s="130"/>
      <c r="AC776" s="106"/>
    </row>
    <row r="777">
      <c r="C777" s="79"/>
      <c r="D777" s="79"/>
      <c r="E777" s="79"/>
      <c r="N777" s="79"/>
      <c r="Q777" s="79"/>
      <c r="S777" s="79"/>
      <c r="T777" s="79"/>
      <c r="X777" s="79"/>
      <c r="AA777" s="130"/>
      <c r="AC777" s="106"/>
    </row>
    <row r="778">
      <c r="C778" s="79"/>
      <c r="D778" s="79"/>
      <c r="E778" s="79"/>
      <c r="N778" s="79"/>
      <c r="Q778" s="79"/>
      <c r="S778" s="79"/>
      <c r="T778" s="79"/>
      <c r="X778" s="79"/>
      <c r="AA778" s="130"/>
      <c r="AC778" s="106"/>
    </row>
    <row r="779">
      <c r="C779" s="79"/>
      <c r="D779" s="79"/>
      <c r="E779" s="79"/>
      <c r="N779" s="79"/>
      <c r="Q779" s="79"/>
      <c r="S779" s="79"/>
      <c r="T779" s="79"/>
      <c r="X779" s="79"/>
      <c r="AA779" s="130"/>
      <c r="AC779" s="106"/>
    </row>
    <row r="780">
      <c r="C780" s="79"/>
      <c r="D780" s="79"/>
      <c r="E780" s="79"/>
      <c r="N780" s="79"/>
      <c r="Q780" s="79"/>
      <c r="S780" s="79"/>
      <c r="T780" s="79"/>
      <c r="X780" s="79"/>
      <c r="AA780" s="130"/>
      <c r="AC780" s="106"/>
    </row>
    <row r="781">
      <c r="C781" s="79"/>
      <c r="D781" s="79"/>
      <c r="E781" s="79"/>
      <c r="N781" s="79"/>
      <c r="Q781" s="79"/>
      <c r="S781" s="79"/>
      <c r="T781" s="79"/>
      <c r="X781" s="79"/>
      <c r="AA781" s="130"/>
      <c r="AC781" s="106"/>
    </row>
    <row r="782">
      <c r="C782" s="79"/>
      <c r="D782" s="79"/>
      <c r="E782" s="79"/>
      <c r="N782" s="79"/>
      <c r="Q782" s="79"/>
      <c r="S782" s="79"/>
      <c r="T782" s="79"/>
      <c r="X782" s="79"/>
      <c r="AA782" s="130"/>
      <c r="AC782" s="106"/>
    </row>
    <row r="783">
      <c r="C783" s="79"/>
      <c r="D783" s="79"/>
      <c r="E783" s="79"/>
      <c r="N783" s="79"/>
      <c r="Q783" s="79"/>
      <c r="S783" s="79"/>
      <c r="T783" s="79"/>
      <c r="X783" s="79"/>
      <c r="AA783" s="130"/>
      <c r="AC783" s="106"/>
    </row>
    <row r="784">
      <c r="C784" s="79"/>
      <c r="D784" s="79"/>
      <c r="E784" s="79"/>
      <c r="N784" s="79"/>
      <c r="Q784" s="79"/>
      <c r="S784" s="79"/>
      <c r="T784" s="79"/>
      <c r="X784" s="79"/>
      <c r="AA784" s="130"/>
      <c r="AC784" s="106"/>
    </row>
    <row r="785">
      <c r="C785" s="79"/>
      <c r="D785" s="79"/>
      <c r="E785" s="79"/>
      <c r="N785" s="79"/>
      <c r="Q785" s="79"/>
      <c r="S785" s="79"/>
      <c r="T785" s="79"/>
      <c r="X785" s="79"/>
      <c r="AA785" s="130"/>
      <c r="AC785" s="106"/>
    </row>
    <row r="786">
      <c r="C786" s="79"/>
      <c r="D786" s="79"/>
      <c r="E786" s="79"/>
      <c r="N786" s="79"/>
      <c r="Q786" s="79"/>
      <c r="S786" s="79"/>
      <c r="T786" s="79"/>
      <c r="X786" s="79"/>
      <c r="AA786" s="130"/>
      <c r="AC786" s="106"/>
    </row>
    <row r="787">
      <c r="C787" s="79"/>
      <c r="D787" s="79"/>
      <c r="E787" s="79"/>
      <c r="N787" s="79"/>
      <c r="Q787" s="79"/>
      <c r="S787" s="79"/>
      <c r="T787" s="79"/>
      <c r="X787" s="79"/>
      <c r="AA787" s="130"/>
      <c r="AC787" s="106"/>
    </row>
    <row r="788">
      <c r="C788" s="79"/>
      <c r="D788" s="79"/>
      <c r="E788" s="79"/>
      <c r="N788" s="79"/>
      <c r="Q788" s="79"/>
      <c r="S788" s="79"/>
      <c r="T788" s="79"/>
      <c r="X788" s="79"/>
      <c r="AA788" s="130"/>
      <c r="AC788" s="106"/>
    </row>
    <row r="789">
      <c r="C789" s="79"/>
      <c r="D789" s="79"/>
      <c r="E789" s="79"/>
      <c r="N789" s="79"/>
      <c r="Q789" s="79"/>
      <c r="S789" s="79"/>
      <c r="T789" s="79"/>
      <c r="X789" s="79"/>
      <c r="AA789" s="130"/>
      <c r="AC789" s="106"/>
    </row>
    <row r="790">
      <c r="C790" s="79"/>
      <c r="D790" s="79"/>
      <c r="E790" s="79"/>
      <c r="N790" s="79"/>
      <c r="Q790" s="79"/>
      <c r="S790" s="79"/>
      <c r="T790" s="79"/>
      <c r="X790" s="79"/>
      <c r="AA790" s="130"/>
      <c r="AC790" s="106"/>
    </row>
    <row r="791">
      <c r="C791" s="79"/>
      <c r="D791" s="79"/>
      <c r="E791" s="79"/>
      <c r="N791" s="79"/>
      <c r="Q791" s="79"/>
      <c r="S791" s="79"/>
      <c r="T791" s="79"/>
      <c r="X791" s="79"/>
      <c r="AA791" s="130"/>
      <c r="AC791" s="106"/>
    </row>
    <row r="792">
      <c r="C792" s="79"/>
      <c r="D792" s="79"/>
      <c r="E792" s="79"/>
      <c r="N792" s="79"/>
      <c r="Q792" s="79"/>
      <c r="S792" s="79"/>
      <c r="T792" s="79"/>
      <c r="X792" s="79"/>
      <c r="AA792" s="130"/>
      <c r="AC792" s="106"/>
    </row>
    <row r="793">
      <c r="C793" s="79"/>
      <c r="D793" s="79"/>
      <c r="E793" s="79"/>
      <c r="N793" s="79"/>
      <c r="Q793" s="79"/>
      <c r="S793" s="79"/>
      <c r="T793" s="79"/>
      <c r="X793" s="79"/>
      <c r="AA793" s="130"/>
      <c r="AC793" s="106"/>
    </row>
    <row r="794">
      <c r="C794" s="79"/>
      <c r="D794" s="79"/>
      <c r="E794" s="79"/>
      <c r="N794" s="79"/>
      <c r="Q794" s="79"/>
      <c r="S794" s="79"/>
      <c r="T794" s="79"/>
      <c r="X794" s="79"/>
      <c r="AA794" s="130"/>
      <c r="AC794" s="106"/>
    </row>
    <row r="795">
      <c r="C795" s="79"/>
      <c r="D795" s="79"/>
      <c r="E795" s="79"/>
      <c r="N795" s="79"/>
      <c r="Q795" s="79"/>
      <c r="S795" s="79"/>
      <c r="T795" s="79"/>
      <c r="X795" s="79"/>
      <c r="AA795" s="130"/>
      <c r="AC795" s="106"/>
    </row>
    <row r="796">
      <c r="C796" s="79"/>
      <c r="D796" s="79"/>
      <c r="E796" s="79"/>
      <c r="N796" s="79"/>
      <c r="Q796" s="79"/>
      <c r="S796" s="79"/>
      <c r="T796" s="79"/>
      <c r="X796" s="79"/>
      <c r="AA796" s="130"/>
      <c r="AC796" s="106"/>
    </row>
    <row r="797">
      <c r="C797" s="79"/>
      <c r="D797" s="79"/>
      <c r="E797" s="79"/>
      <c r="N797" s="79"/>
      <c r="Q797" s="79"/>
      <c r="S797" s="79"/>
      <c r="T797" s="79"/>
      <c r="X797" s="79"/>
      <c r="AA797" s="130"/>
      <c r="AC797" s="106"/>
    </row>
    <row r="798">
      <c r="C798" s="79"/>
      <c r="D798" s="79"/>
      <c r="E798" s="79"/>
      <c r="N798" s="79"/>
      <c r="Q798" s="79"/>
      <c r="S798" s="79"/>
      <c r="T798" s="79"/>
      <c r="X798" s="79"/>
      <c r="AA798" s="130"/>
      <c r="AC798" s="106"/>
    </row>
    <row r="799">
      <c r="C799" s="79"/>
      <c r="D799" s="79"/>
      <c r="E799" s="79"/>
      <c r="N799" s="79"/>
      <c r="Q799" s="79"/>
      <c r="S799" s="79"/>
      <c r="T799" s="79"/>
      <c r="X799" s="79"/>
      <c r="AA799" s="130"/>
      <c r="AC799" s="106"/>
    </row>
    <row r="800">
      <c r="C800" s="79"/>
      <c r="D800" s="79"/>
      <c r="E800" s="79"/>
      <c r="N800" s="79"/>
      <c r="Q800" s="79"/>
      <c r="S800" s="79"/>
      <c r="T800" s="79"/>
      <c r="X800" s="79"/>
      <c r="AA800" s="130"/>
      <c r="AC800" s="106"/>
    </row>
    <row r="801">
      <c r="C801" s="79"/>
      <c r="D801" s="79"/>
      <c r="E801" s="79"/>
      <c r="N801" s="79"/>
      <c r="Q801" s="79"/>
      <c r="S801" s="79"/>
      <c r="T801" s="79"/>
      <c r="X801" s="79"/>
      <c r="AA801" s="130"/>
      <c r="AC801" s="106"/>
    </row>
    <row r="802">
      <c r="C802" s="79"/>
      <c r="D802" s="79"/>
      <c r="E802" s="79"/>
      <c r="N802" s="79"/>
      <c r="Q802" s="79"/>
      <c r="S802" s="79"/>
      <c r="T802" s="79"/>
      <c r="X802" s="79"/>
      <c r="AA802" s="130"/>
      <c r="AC802" s="106"/>
    </row>
    <row r="803">
      <c r="C803" s="79"/>
      <c r="D803" s="79"/>
      <c r="E803" s="79"/>
      <c r="N803" s="79"/>
      <c r="Q803" s="79"/>
      <c r="S803" s="79"/>
      <c r="T803" s="79"/>
      <c r="X803" s="79"/>
      <c r="AA803" s="130"/>
      <c r="AC803" s="106"/>
    </row>
    <row r="804">
      <c r="C804" s="79"/>
      <c r="D804" s="79"/>
      <c r="E804" s="79"/>
      <c r="N804" s="79"/>
      <c r="Q804" s="79"/>
      <c r="S804" s="79"/>
      <c r="T804" s="79"/>
      <c r="X804" s="79"/>
      <c r="AA804" s="130"/>
      <c r="AC804" s="106"/>
    </row>
    <row r="805">
      <c r="C805" s="79"/>
      <c r="D805" s="79"/>
      <c r="E805" s="79"/>
      <c r="N805" s="79"/>
      <c r="Q805" s="79"/>
      <c r="S805" s="79"/>
      <c r="T805" s="79"/>
      <c r="X805" s="79"/>
      <c r="AA805" s="130"/>
      <c r="AC805" s="106"/>
    </row>
    <row r="806">
      <c r="C806" s="79"/>
      <c r="D806" s="79"/>
      <c r="E806" s="79"/>
      <c r="N806" s="79"/>
      <c r="Q806" s="79"/>
      <c r="S806" s="79"/>
      <c r="T806" s="79"/>
      <c r="X806" s="79"/>
      <c r="AA806" s="130"/>
      <c r="AC806" s="106"/>
    </row>
    <row r="807">
      <c r="C807" s="79"/>
      <c r="D807" s="79"/>
      <c r="E807" s="79"/>
      <c r="N807" s="79"/>
      <c r="Q807" s="79"/>
      <c r="S807" s="79"/>
      <c r="T807" s="79"/>
      <c r="X807" s="79"/>
      <c r="AA807" s="130"/>
      <c r="AC807" s="106"/>
    </row>
    <row r="808">
      <c r="C808" s="79"/>
      <c r="D808" s="79"/>
      <c r="E808" s="79"/>
      <c r="N808" s="79"/>
      <c r="Q808" s="79"/>
      <c r="S808" s="79"/>
      <c r="T808" s="79"/>
      <c r="X808" s="79"/>
      <c r="AA808" s="130"/>
      <c r="AC808" s="106"/>
    </row>
    <row r="809">
      <c r="C809" s="79"/>
      <c r="D809" s="79"/>
      <c r="E809" s="79"/>
      <c r="N809" s="79"/>
      <c r="Q809" s="79"/>
      <c r="S809" s="79"/>
      <c r="T809" s="79"/>
      <c r="X809" s="79"/>
      <c r="AA809" s="130"/>
      <c r="AC809" s="106"/>
    </row>
    <row r="810">
      <c r="C810" s="79"/>
      <c r="D810" s="79"/>
      <c r="E810" s="79"/>
      <c r="N810" s="79"/>
      <c r="Q810" s="79"/>
      <c r="S810" s="79"/>
      <c r="T810" s="79"/>
      <c r="X810" s="79"/>
      <c r="AA810" s="130"/>
      <c r="AC810" s="106"/>
    </row>
    <row r="811">
      <c r="C811" s="79"/>
      <c r="D811" s="79"/>
      <c r="E811" s="79"/>
      <c r="N811" s="79"/>
      <c r="Q811" s="79"/>
      <c r="S811" s="79"/>
      <c r="T811" s="79"/>
      <c r="X811" s="79"/>
      <c r="AA811" s="130"/>
      <c r="AC811" s="106"/>
    </row>
    <row r="812">
      <c r="C812" s="79"/>
      <c r="D812" s="79"/>
      <c r="E812" s="79"/>
      <c r="N812" s="79"/>
      <c r="Q812" s="79"/>
      <c r="S812" s="79"/>
      <c r="T812" s="79"/>
      <c r="X812" s="79"/>
      <c r="AA812" s="130"/>
      <c r="AC812" s="106"/>
    </row>
    <row r="813">
      <c r="C813" s="79"/>
      <c r="D813" s="79"/>
      <c r="E813" s="79"/>
      <c r="N813" s="79"/>
      <c r="Q813" s="79"/>
      <c r="S813" s="79"/>
      <c r="T813" s="79"/>
      <c r="X813" s="79"/>
      <c r="AA813" s="130"/>
      <c r="AC813" s="106"/>
    </row>
    <row r="814">
      <c r="C814" s="79"/>
      <c r="D814" s="79"/>
      <c r="E814" s="79"/>
      <c r="N814" s="79"/>
      <c r="Q814" s="79"/>
      <c r="S814" s="79"/>
      <c r="T814" s="79"/>
      <c r="X814" s="79"/>
      <c r="AA814" s="130"/>
      <c r="AC814" s="106"/>
    </row>
    <row r="815">
      <c r="C815" s="79"/>
      <c r="D815" s="79"/>
      <c r="E815" s="79"/>
      <c r="N815" s="79"/>
      <c r="Q815" s="79"/>
      <c r="S815" s="79"/>
      <c r="T815" s="79"/>
      <c r="X815" s="79"/>
      <c r="AA815" s="130"/>
      <c r="AC815" s="106"/>
    </row>
    <row r="816">
      <c r="C816" s="79"/>
      <c r="D816" s="79"/>
      <c r="E816" s="79"/>
      <c r="N816" s="79"/>
      <c r="Q816" s="79"/>
      <c r="S816" s="79"/>
      <c r="T816" s="79"/>
      <c r="X816" s="79"/>
      <c r="AA816" s="130"/>
      <c r="AC816" s="106"/>
    </row>
    <row r="817">
      <c r="C817" s="79"/>
      <c r="D817" s="79"/>
      <c r="E817" s="79"/>
      <c r="N817" s="79"/>
      <c r="Q817" s="79"/>
      <c r="S817" s="79"/>
      <c r="T817" s="79"/>
      <c r="X817" s="79"/>
      <c r="AA817" s="130"/>
      <c r="AC817" s="106"/>
    </row>
    <row r="818">
      <c r="C818" s="79"/>
      <c r="D818" s="79"/>
      <c r="E818" s="79"/>
      <c r="N818" s="79"/>
      <c r="Q818" s="79"/>
      <c r="S818" s="79"/>
      <c r="T818" s="79"/>
      <c r="X818" s="79"/>
      <c r="AA818" s="130"/>
      <c r="AC818" s="106"/>
    </row>
    <row r="819">
      <c r="C819" s="79"/>
      <c r="D819" s="79"/>
      <c r="E819" s="79"/>
      <c r="N819" s="79"/>
      <c r="Q819" s="79"/>
      <c r="S819" s="79"/>
      <c r="T819" s="79"/>
      <c r="X819" s="79"/>
      <c r="AA819" s="130"/>
      <c r="AC819" s="106"/>
    </row>
    <row r="820">
      <c r="C820" s="79"/>
      <c r="D820" s="79"/>
      <c r="E820" s="79"/>
      <c r="N820" s="79"/>
      <c r="Q820" s="79"/>
      <c r="S820" s="79"/>
      <c r="T820" s="79"/>
      <c r="X820" s="79"/>
      <c r="AA820" s="130"/>
      <c r="AC820" s="106"/>
    </row>
    <row r="821">
      <c r="C821" s="79"/>
      <c r="D821" s="79"/>
      <c r="E821" s="79"/>
      <c r="N821" s="79"/>
      <c r="Q821" s="79"/>
      <c r="S821" s="79"/>
      <c r="T821" s="79"/>
      <c r="X821" s="79"/>
      <c r="AA821" s="130"/>
      <c r="AC821" s="106"/>
    </row>
    <row r="822">
      <c r="C822" s="79"/>
      <c r="D822" s="79"/>
      <c r="E822" s="79"/>
      <c r="N822" s="79"/>
      <c r="Q822" s="79"/>
      <c r="S822" s="79"/>
      <c r="T822" s="79"/>
      <c r="X822" s="79"/>
      <c r="AA822" s="130"/>
      <c r="AC822" s="106"/>
    </row>
    <row r="823">
      <c r="C823" s="79"/>
      <c r="D823" s="79"/>
      <c r="E823" s="79"/>
      <c r="N823" s="79"/>
      <c r="Q823" s="79"/>
      <c r="S823" s="79"/>
      <c r="T823" s="79"/>
      <c r="X823" s="79"/>
      <c r="AA823" s="130"/>
      <c r="AC823" s="106"/>
    </row>
    <row r="824">
      <c r="C824" s="79"/>
      <c r="D824" s="79"/>
      <c r="E824" s="79"/>
      <c r="N824" s="79"/>
      <c r="Q824" s="79"/>
      <c r="S824" s="79"/>
      <c r="T824" s="79"/>
      <c r="X824" s="79"/>
      <c r="AA824" s="130"/>
      <c r="AC824" s="106"/>
    </row>
    <row r="825">
      <c r="C825" s="79"/>
      <c r="D825" s="79"/>
      <c r="E825" s="79"/>
      <c r="N825" s="79"/>
      <c r="Q825" s="79"/>
      <c r="S825" s="79"/>
      <c r="T825" s="79"/>
      <c r="X825" s="79"/>
      <c r="AA825" s="130"/>
      <c r="AC825" s="106"/>
    </row>
    <row r="826">
      <c r="C826" s="79"/>
      <c r="D826" s="79"/>
      <c r="E826" s="79"/>
      <c r="N826" s="79"/>
      <c r="Q826" s="79"/>
      <c r="S826" s="79"/>
      <c r="T826" s="79"/>
      <c r="X826" s="79"/>
      <c r="AA826" s="130"/>
      <c r="AC826" s="106"/>
    </row>
    <row r="827">
      <c r="C827" s="79"/>
      <c r="D827" s="79"/>
      <c r="E827" s="79"/>
      <c r="N827" s="79"/>
      <c r="Q827" s="79"/>
      <c r="S827" s="79"/>
      <c r="T827" s="79"/>
      <c r="X827" s="79"/>
      <c r="AA827" s="130"/>
      <c r="AC827" s="106"/>
    </row>
    <row r="828">
      <c r="C828" s="79"/>
      <c r="D828" s="79"/>
      <c r="E828" s="79"/>
      <c r="N828" s="79"/>
      <c r="Q828" s="79"/>
      <c r="S828" s="79"/>
      <c r="T828" s="79"/>
      <c r="X828" s="79"/>
      <c r="AA828" s="130"/>
      <c r="AC828" s="106"/>
    </row>
    <row r="829">
      <c r="C829" s="79"/>
      <c r="D829" s="79"/>
      <c r="E829" s="79"/>
      <c r="N829" s="79"/>
      <c r="Q829" s="79"/>
      <c r="S829" s="79"/>
      <c r="T829" s="79"/>
      <c r="X829" s="79"/>
      <c r="AA829" s="130"/>
      <c r="AC829" s="106"/>
    </row>
    <row r="830">
      <c r="C830" s="79"/>
      <c r="D830" s="79"/>
      <c r="E830" s="79"/>
      <c r="N830" s="79"/>
      <c r="Q830" s="79"/>
      <c r="S830" s="79"/>
      <c r="T830" s="79"/>
      <c r="X830" s="79"/>
      <c r="AA830" s="130"/>
      <c r="AC830" s="106"/>
    </row>
    <row r="831">
      <c r="C831" s="79"/>
      <c r="D831" s="79"/>
      <c r="E831" s="79"/>
      <c r="N831" s="79"/>
      <c r="Q831" s="79"/>
      <c r="S831" s="79"/>
      <c r="T831" s="79"/>
      <c r="X831" s="79"/>
      <c r="AA831" s="130"/>
      <c r="AC831" s="106"/>
    </row>
    <row r="832">
      <c r="C832" s="79"/>
      <c r="D832" s="79"/>
      <c r="E832" s="79"/>
      <c r="N832" s="79"/>
      <c r="Q832" s="79"/>
      <c r="S832" s="79"/>
      <c r="T832" s="79"/>
      <c r="X832" s="79"/>
      <c r="AA832" s="130"/>
      <c r="AC832" s="106"/>
    </row>
    <row r="833">
      <c r="C833" s="79"/>
      <c r="D833" s="79"/>
      <c r="E833" s="79"/>
      <c r="N833" s="79"/>
      <c r="Q833" s="79"/>
      <c r="S833" s="79"/>
      <c r="T833" s="79"/>
      <c r="X833" s="79"/>
      <c r="AA833" s="130"/>
      <c r="AC833" s="106"/>
    </row>
    <row r="834">
      <c r="C834" s="79"/>
      <c r="D834" s="79"/>
      <c r="E834" s="79"/>
      <c r="N834" s="79"/>
      <c r="Q834" s="79"/>
      <c r="S834" s="79"/>
      <c r="T834" s="79"/>
      <c r="X834" s="79"/>
      <c r="AA834" s="130"/>
      <c r="AC834" s="106"/>
    </row>
    <row r="835">
      <c r="C835" s="79"/>
      <c r="D835" s="79"/>
      <c r="E835" s="79"/>
      <c r="N835" s="79"/>
      <c r="Q835" s="79"/>
      <c r="S835" s="79"/>
      <c r="T835" s="79"/>
      <c r="X835" s="79"/>
      <c r="AA835" s="130"/>
      <c r="AC835" s="106"/>
    </row>
    <row r="836">
      <c r="C836" s="79"/>
      <c r="D836" s="79"/>
      <c r="E836" s="79"/>
      <c r="N836" s="79"/>
      <c r="Q836" s="79"/>
      <c r="S836" s="79"/>
      <c r="T836" s="79"/>
      <c r="X836" s="79"/>
      <c r="AA836" s="130"/>
      <c r="AC836" s="106"/>
    </row>
    <row r="837">
      <c r="C837" s="79"/>
      <c r="D837" s="79"/>
      <c r="E837" s="79"/>
      <c r="N837" s="79"/>
      <c r="Q837" s="79"/>
      <c r="S837" s="79"/>
      <c r="T837" s="79"/>
      <c r="X837" s="79"/>
      <c r="AA837" s="130"/>
      <c r="AC837" s="106"/>
    </row>
    <row r="838">
      <c r="C838" s="79"/>
      <c r="D838" s="79"/>
      <c r="E838" s="79"/>
      <c r="N838" s="79"/>
      <c r="Q838" s="79"/>
      <c r="S838" s="79"/>
      <c r="T838" s="79"/>
      <c r="X838" s="79"/>
      <c r="AA838" s="130"/>
      <c r="AC838" s="106"/>
    </row>
    <row r="839">
      <c r="C839" s="79"/>
      <c r="D839" s="79"/>
      <c r="E839" s="79"/>
      <c r="N839" s="79"/>
      <c r="Q839" s="79"/>
      <c r="S839" s="79"/>
      <c r="T839" s="79"/>
      <c r="X839" s="79"/>
      <c r="AA839" s="130"/>
      <c r="AC839" s="106"/>
    </row>
    <row r="840">
      <c r="C840" s="79"/>
      <c r="D840" s="79"/>
      <c r="E840" s="79"/>
      <c r="N840" s="79"/>
      <c r="Q840" s="79"/>
      <c r="S840" s="79"/>
      <c r="T840" s="79"/>
      <c r="X840" s="79"/>
      <c r="AA840" s="130"/>
      <c r="AC840" s="106"/>
    </row>
    <row r="841">
      <c r="C841" s="79"/>
      <c r="D841" s="79"/>
      <c r="E841" s="79"/>
      <c r="N841" s="79"/>
      <c r="Q841" s="79"/>
      <c r="S841" s="79"/>
      <c r="T841" s="79"/>
      <c r="X841" s="79"/>
      <c r="AA841" s="130"/>
      <c r="AC841" s="106"/>
    </row>
    <row r="842">
      <c r="C842" s="79"/>
      <c r="D842" s="79"/>
      <c r="E842" s="79"/>
      <c r="N842" s="79"/>
      <c r="Q842" s="79"/>
      <c r="S842" s="79"/>
      <c r="T842" s="79"/>
      <c r="X842" s="79"/>
      <c r="AA842" s="130"/>
      <c r="AC842" s="106"/>
    </row>
    <row r="843">
      <c r="C843" s="79"/>
      <c r="D843" s="79"/>
      <c r="E843" s="79"/>
      <c r="N843" s="79"/>
      <c r="Q843" s="79"/>
      <c r="S843" s="79"/>
      <c r="T843" s="79"/>
      <c r="X843" s="79"/>
      <c r="AA843" s="130"/>
      <c r="AC843" s="106"/>
    </row>
    <row r="844">
      <c r="C844" s="79"/>
      <c r="D844" s="79"/>
      <c r="E844" s="79"/>
      <c r="N844" s="79"/>
      <c r="Q844" s="79"/>
      <c r="S844" s="79"/>
      <c r="T844" s="79"/>
      <c r="X844" s="79"/>
      <c r="AA844" s="130"/>
      <c r="AC844" s="106"/>
    </row>
    <row r="845">
      <c r="C845" s="79"/>
      <c r="D845" s="79"/>
      <c r="E845" s="79"/>
      <c r="N845" s="79"/>
      <c r="Q845" s="79"/>
      <c r="S845" s="79"/>
      <c r="T845" s="79"/>
      <c r="X845" s="79"/>
      <c r="AA845" s="130"/>
      <c r="AC845" s="106"/>
    </row>
    <row r="846">
      <c r="C846" s="79"/>
      <c r="D846" s="79"/>
      <c r="E846" s="79"/>
      <c r="N846" s="79"/>
      <c r="Q846" s="79"/>
      <c r="S846" s="79"/>
      <c r="T846" s="79"/>
      <c r="X846" s="79"/>
      <c r="AA846" s="130"/>
      <c r="AC846" s="106"/>
    </row>
    <row r="847">
      <c r="C847" s="79"/>
      <c r="D847" s="79"/>
      <c r="E847" s="79"/>
      <c r="N847" s="79"/>
      <c r="Q847" s="79"/>
      <c r="S847" s="79"/>
      <c r="T847" s="79"/>
      <c r="X847" s="79"/>
      <c r="AA847" s="130"/>
      <c r="AC847" s="106"/>
    </row>
    <row r="848">
      <c r="C848" s="79"/>
      <c r="D848" s="79"/>
      <c r="E848" s="79"/>
      <c r="N848" s="79"/>
      <c r="Q848" s="79"/>
      <c r="S848" s="79"/>
      <c r="T848" s="79"/>
      <c r="X848" s="79"/>
      <c r="AA848" s="130"/>
      <c r="AC848" s="106"/>
    </row>
    <row r="849">
      <c r="C849" s="79"/>
      <c r="D849" s="79"/>
      <c r="E849" s="79"/>
      <c r="N849" s="79"/>
      <c r="Q849" s="79"/>
      <c r="S849" s="79"/>
      <c r="T849" s="79"/>
      <c r="X849" s="79"/>
      <c r="AA849" s="130"/>
      <c r="AC849" s="106"/>
    </row>
    <row r="850">
      <c r="C850" s="79"/>
      <c r="D850" s="79"/>
      <c r="E850" s="79"/>
      <c r="N850" s="79"/>
      <c r="Q850" s="79"/>
      <c r="S850" s="79"/>
      <c r="T850" s="79"/>
      <c r="X850" s="79"/>
      <c r="AA850" s="130"/>
      <c r="AC850" s="106"/>
    </row>
    <row r="851">
      <c r="C851" s="79"/>
      <c r="D851" s="79"/>
      <c r="E851" s="79"/>
      <c r="N851" s="79"/>
      <c r="Q851" s="79"/>
      <c r="S851" s="79"/>
      <c r="T851" s="79"/>
      <c r="X851" s="79"/>
      <c r="AA851" s="130"/>
      <c r="AC851" s="106"/>
    </row>
    <row r="852">
      <c r="C852" s="79"/>
      <c r="D852" s="79"/>
      <c r="E852" s="79"/>
      <c r="N852" s="79"/>
      <c r="Q852" s="79"/>
      <c r="S852" s="79"/>
      <c r="T852" s="79"/>
      <c r="X852" s="79"/>
      <c r="AA852" s="130"/>
      <c r="AC852" s="106"/>
    </row>
    <row r="853">
      <c r="C853" s="79"/>
      <c r="D853" s="79"/>
      <c r="E853" s="79"/>
      <c r="N853" s="79"/>
      <c r="Q853" s="79"/>
      <c r="S853" s="79"/>
      <c r="T853" s="79"/>
      <c r="X853" s="79"/>
      <c r="AA853" s="130"/>
      <c r="AC853" s="106"/>
    </row>
    <row r="854">
      <c r="C854" s="79"/>
      <c r="D854" s="79"/>
      <c r="E854" s="79"/>
      <c r="N854" s="79"/>
      <c r="Q854" s="79"/>
      <c r="S854" s="79"/>
      <c r="T854" s="79"/>
      <c r="X854" s="79"/>
      <c r="AA854" s="130"/>
      <c r="AC854" s="106"/>
    </row>
    <row r="855">
      <c r="C855" s="79"/>
      <c r="D855" s="79"/>
      <c r="E855" s="79"/>
      <c r="N855" s="79"/>
      <c r="Q855" s="79"/>
      <c r="S855" s="79"/>
      <c r="T855" s="79"/>
      <c r="X855" s="79"/>
      <c r="AA855" s="130"/>
      <c r="AC855" s="106"/>
    </row>
    <row r="856">
      <c r="C856" s="79"/>
      <c r="D856" s="79"/>
      <c r="E856" s="79"/>
      <c r="N856" s="79"/>
      <c r="Q856" s="79"/>
      <c r="S856" s="79"/>
      <c r="T856" s="79"/>
      <c r="X856" s="79"/>
      <c r="AA856" s="130"/>
      <c r="AC856" s="106"/>
    </row>
    <row r="857">
      <c r="C857" s="79"/>
      <c r="D857" s="79"/>
      <c r="E857" s="79"/>
      <c r="N857" s="79"/>
      <c r="Q857" s="79"/>
      <c r="S857" s="79"/>
      <c r="T857" s="79"/>
      <c r="X857" s="79"/>
      <c r="AA857" s="130"/>
      <c r="AC857" s="106"/>
    </row>
    <row r="858">
      <c r="C858" s="79"/>
      <c r="D858" s="79"/>
      <c r="E858" s="79"/>
      <c r="N858" s="79"/>
      <c r="Q858" s="79"/>
      <c r="S858" s="79"/>
      <c r="T858" s="79"/>
      <c r="X858" s="79"/>
      <c r="AA858" s="130"/>
      <c r="AC858" s="106"/>
    </row>
    <row r="859">
      <c r="C859" s="79"/>
      <c r="D859" s="79"/>
      <c r="E859" s="79"/>
      <c r="N859" s="79"/>
      <c r="Q859" s="79"/>
      <c r="S859" s="79"/>
      <c r="T859" s="79"/>
      <c r="X859" s="79"/>
      <c r="AA859" s="130"/>
      <c r="AC859" s="106"/>
    </row>
    <row r="860">
      <c r="C860" s="79"/>
      <c r="D860" s="79"/>
      <c r="E860" s="79"/>
      <c r="N860" s="79"/>
      <c r="Q860" s="79"/>
      <c r="S860" s="79"/>
      <c r="T860" s="79"/>
      <c r="X860" s="79"/>
      <c r="AA860" s="130"/>
      <c r="AC860" s="106"/>
    </row>
    <row r="861">
      <c r="C861" s="79"/>
      <c r="D861" s="79"/>
      <c r="E861" s="79"/>
      <c r="N861" s="79"/>
      <c r="Q861" s="79"/>
      <c r="S861" s="79"/>
      <c r="T861" s="79"/>
      <c r="X861" s="79"/>
      <c r="AA861" s="130"/>
      <c r="AC861" s="106"/>
    </row>
    <row r="862">
      <c r="C862" s="79"/>
      <c r="D862" s="79"/>
      <c r="E862" s="79"/>
      <c r="N862" s="79"/>
      <c r="Q862" s="79"/>
      <c r="S862" s="79"/>
      <c r="T862" s="79"/>
      <c r="X862" s="79"/>
      <c r="AA862" s="130"/>
      <c r="AC862" s="106"/>
    </row>
    <row r="863">
      <c r="C863" s="79"/>
      <c r="D863" s="79"/>
      <c r="E863" s="79"/>
      <c r="N863" s="79"/>
      <c r="Q863" s="79"/>
      <c r="S863" s="79"/>
      <c r="T863" s="79"/>
      <c r="X863" s="79"/>
      <c r="AA863" s="130"/>
      <c r="AC863" s="106"/>
    </row>
    <row r="864">
      <c r="C864" s="79"/>
      <c r="D864" s="79"/>
      <c r="E864" s="79"/>
      <c r="N864" s="79"/>
      <c r="Q864" s="79"/>
      <c r="S864" s="79"/>
      <c r="T864" s="79"/>
      <c r="X864" s="79"/>
      <c r="AA864" s="130"/>
      <c r="AC864" s="106"/>
    </row>
    <row r="865">
      <c r="C865" s="79"/>
      <c r="D865" s="79"/>
      <c r="E865" s="79"/>
      <c r="N865" s="79"/>
      <c r="Q865" s="79"/>
      <c r="S865" s="79"/>
      <c r="T865" s="79"/>
      <c r="X865" s="79"/>
      <c r="AA865" s="130"/>
      <c r="AC865" s="106"/>
    </row>
    <row r="866">
      <c r="C866" s="79"/>
      <c r="D866" s="79"/>
      <c r="E866" s="79"/>
      <c r="N866" s="79"/>
      <c r="Q866" s="79"/>
      <c r="S866" s="79"/>
      <c r="T866" s="79"/>
      <c r="X866" s="79"/>
      <c r="AA866" s="130"/>
      <c r="AC866" s="106"/>
    </row>
    <row r="867">
      <c r="C867" s="79"/>
      <c r="D867" s="79"/>
      <c r="E867" s="79"/>
      <c r="N867" s="79"/>
      <c r="Q867" s="79"/>
      <c r="S867" s="79"/>
      <c r="T867" s="79"/>
      <c r="X867" s="79"/>
      <c r="AA867" s="130"/>
      <c r="AC867" s="106"/>
    </row>
    <row r="868">
      <c r="C868" s="79"/>
      <c r="D868" s="79"/>
      <c r="E868" s="79"/>
      <c r="N868" s="79"/>
      <c r="Q868" s="79"/>
      <c r="S868" s="79"/>
      <c r="T868" s="79"/>
      <c r="X868" s="79"/>
      <c r="AA868" s="130"/>
      <c r="AC868" s="106"/>
    </row>
    <row r="869">
      <c r="C869" s="79"/>
      <c r="D869" s="79"/>
      <c r="E869" s="79"/>
      <c r="N869" s="79"/>
      <c r="Q869" s="79"/>
      <c r="S869" s="79"/>
      <c r="T869" s="79"/>
      <c r="X869" s="79"/>
      <c r="AA869" s="130"/>
      <c r="AC869" s="106"/>
    </row>
    <row r="870">
      <c r="C870" s="79"/>
      <c r="D870" s="79"/>
      <c r="E870" s="79"/>
      <c r="N870" s="79"/>
      <c r="Q870" s="79"/>
      <c r="S870" s="79"/>
      <c r="T870" s="79"/>
      <c r="X870" s="79"/>
      <c r="AA870" s="130"/>
      <c r="AC870" s="106"/>
    </row>
    <row r="871">
      <c r="C871" s="79"/>
      <c r="D871" s="79"/>
      <c r="E871" s="79"/>
      <c r="N871" s="79"/>
      <c r="Q871" s="79"/>
      <c r="S871" s="79"/>
      <c r="T871" s="79"/>
      <c r="X871" s="79"/>
      <c r="AA871" s="130"/>
      <c r="AC871" s="106"/>
    </row>
    <row r="872">
      <c r="C872" s="79"/>
      <c r="D872" s="79"/>
      <c r="E872" s="79"/>
      <c r="N872" s="79"/>
      <c r="Q872" s="79"/>
      <c r="S872" s="79"/>
      <c r="T872" s="79"/>
      <c r="X872" s="79"/>
      <c r="AA872" s="130"/>
      <c r="AC872" s="106"/>
    </row>
    <row r="873">
      <c r="C873" s="79"/>
      <c r="D873" s="79"/>
      <c r="E873" s="79"/>
      <c r="N873" s="79"/>
      <c r="Q873" s="79"/>
      <c r="S873" s="79"/>
      <c r="T873" s="79"/>
      <c r="X873" s="79"/>
      <c r="AA873" s="130"/>
      <c r="AC873" s="106"/>
    </row>
    <row r="874">
      <c r="C874" s="79"/>
      <c r="D874" s="79"/>
      <c r="E874" s="79"/>
      <c r="N874" s="79"/>
      <c r="Q874" s="79"/>
      <c r="S874" s="79"/>
      <c r="T874" s="79"/>
      <c r="X874" s="79"/>
      <c r="AA874" s="130"/>
      <c r="AC874" s="106"/>
    </row>
    <row r="875">
      <c r="C875" s="79"/>
      <c r="D875" s="79"/>
      <c r="E875" s="79"/>
      <c r="N875" s="79"/>
      <c r="Q875" s="79"/>
      <c r="S875" s="79"/>
      <c r="T875" s="79"/>
      <c r="X875" s="79"/>
      <c r="AA875" s="130"/>
      <c r="AC875" s="106"/>
    </row>
    <row r="876">
      <c r="C876" s="79"/>
      <c r="D876" s="79"/>
      <c r="E876" s="79"/>
      <c r="N876" s="79"/>
      <c r="Q876" s="79"/>
      <c r="S876" s="79"/>
      <c r="T876" s="79"/>
      <c r="X876" s="79"/>
      <c r="AA876" s="130"/>
      <c r="AC876" s="106"/>
    </row>
    <row r="877">
      <c r="C877" s="79"/>
      <c r="D877" s="79"/>
      <c r="E877" s="79"/>
      <c r="N877" s="79"/>
      <c r="Q877" s="79"/>
      <c r="S877" s="79"/>
      <c r="T877" s="79"/>
      <c r="X877" s="79"/>
      <c r="AA877" s="130"/>
      <c r="AC877" s="106"/>
    </row>
    <row r="878">
      <c r="C878" s="79"/>
      <c r="D878" s="79"/>
      <c r="E878" s="79"/>
      <c r="N878" s="79"/>
      <c r="Q878" s="79"/>
      <c r="S878" s="79"/>
      <c r="T878" s="79"/>
      <c r="X878" s="79"/>
      <c r="AA878" s="130"/>
      <c r="AC878" s="106"/>
    </row>
    <row r="879">
      <c r="C879" s="79"/>
      <c r="D879" s="79"/>
      <c r="E879" s="79"/>
      <c r="N879" s="79"/>
      <c r="Q879" s="79"/>
      <c r="S879" s="79"/>
      <c r="T879" s="79"/>
      <c r="X879" s="79"/>
      <c r="AA879" s="130"/>
      <c r="AC879" s="106"/>
    </row>
    <row r="880">
      <c r="C880" s="79"/>
      <c r="D880" s="79"/>
      <c r="E880" s="79"/>
      <c r="N880" s="79"/>
      <c r="Q880" s="79"/>
      <c r="S880" s="79"/>
      <c r="T880" s="79"/>
      <c r="X880" s="79"/>
      <c r="AA880" s="130"/>
      <c r="AC880" s="106"/>
    </row>
    <row r="881">
      <c r="C881" s="79"/>
      <c r="D881" s="79"/>
      <c r="E881" s="79"/>
      <c r="N881" s="79"/>
      <c r="Q881" s="79"/>
      <c r="S881" s="79"/>
      <c r="T881" s="79"/>
      <c r="X881" s="79"/>
      <c r="AA881" s="130"/>
      <c r="AC881" s="106"/>
    </row>
    <row r="882">
      <c r="C882" s="79"/>
      <c r="D882" s="79"/>
      <c r="E882" s="79"/>
      <c r="N882" s="79"/>
      <c r="Q882" s="79"/>
      <c r="S882" s="79"/>
      <c r="T882" s="79"/>
      <c r="X882" s="79"/>
      <c r="AA882" s="130"/>
      <c r="AC882" s="106"/>
    </row>
    <row r="883">
      <c r="C883" s="79"/>
      <c r="D883" s="79"/>
      <c r="E883" s="79"/>
      <c r="N883" s="79"/>
      <c r="Q883" s="79"/>
      <c r="S883" s="79"/>
      <c r="T883" s="79"/>
      <c r="X883" s="79"/>
      <c r="AA883" s="130"/>
      <c r="AC883" s="106"/>
    </row>
    <row r="884">
      <c r="C884" s="79"/>
      <c r="D884" s="79"/>
      <c r="E884" s="79"/>
      <c r="N884" s="79"/>
      <c r="Q884" s="79"/>
      <c r="S884" s="79"/>
      <c r="T884" s="79"/>
      <c r="X884" s="79"/>
      <c r="AA884" s="130"/>
      <c r="AC884" s="106"/>
    </row>
    <row r="885">
      <c r="C885" s="79"/>
      <c r="D885" s="79"/>
      <c r="E885" s="79"/>
      <c r="N885" s="79"/>
      <c r="Q885" s="79"/>
      <c r="S885" s="79"/>
      <c r="T885" s="79"/>
      <c r="X885" s="79"/>
      <c r="AA885" s="130"/>
      <c r="AC885" s="106"/>
    </row>
    <row r="886">
      <c r="C886" s="79"/>
      <c r="D886" s="79"/>
      <c r="E886" s="79"/>
      <c r="N886" s="79"/>
      <c r="Q886" s="79"/>
      <c r="S886" s="79"/>
      <c r="T886" s="79"/>
      <c r="X886" s="79"/>
      <c r="AA886" s="130"/>
      <c r="AC886" s="106"/>
    </row>
    <row r="887">
      <c r="C887" s="79"/>
      <c r="D887" s="79"/>
      <c r="E887" s="79"/>
      <c r="N887" s="79"/>
      <c r="Q887" s="79"/>
      <c r="S887" s="79"/>
      <c r="T887" s="79"/>
      <c r="X887" s="79"/>
      <c r="AA887" s="130"/>
      <c r="AC887" s="106"/>
    </row>
    <row r="888">
      <c r="C888" s="79"/>
      <c r="D888" s="79"/>
      <c r="E888" s="79"/>
      <c r="N888" s="79"/>
      <c r="Q888" s="79"/>
      <c r="S888" s="79"/>
      <c r="T888" s="79"/>
      <c r="X888" s="79"/>
      <c r="AA888" s="130"/>
      <c r="AC888" s="106"/>
    </row>
    <row r="889">
      <c r="C889" s="79"/>
      <c r="D889" s="79"/>
      <c r="E889" s="79"/>
      <c r="N889" s="79"/>
      <c r="Q889" s="79"/>
      <c r="S889" s="79"/>
      <c r="T889" s="79"/>
      <c r="X889" s="79"/>
      <c r="AA889" s="130"/>
      <c r="AC889" s="106"/>
    </row>
    <row r="890">
      <c r="C890" s="79"/>
      <c r="D890" s="79"/>
      <c r="E890" s="79"/>
      <c r="N890" s="79"/>
      <c r="Q890" s="79"/>
      <c r="S890" s="79"/>
      <c r="T890" s="79"/>
      <c r="X890" s="79"/>
      <c r="AA890" s="130"/>
      <c r="AC890" s="106"/>
    </row>
    <row r="891">
      <c r="C891" s="79"/>
      <c r="D891" s="79"/>
      <c r="E891" s="79"/>
      <c r="N891" s="79"/>
      <c r="Q891" s="79"/>
      <c r="S891" s="79"/>
      <c r="T891" s="79"/>
      <c r="X891" s="79"/>
      <c r="AA891" s="130"/>
      <c r="AC891" s="106"/>
    </row>
    <row r="892">
      <c r="C892" s="79"/>
      <c r="D892" s="79"/>
      <c r="E892" s="79"/>
      <c r="N892" s="79"/>
      <c r="Q892" s="79"/>
      <c r="S892" s="79"/>
      <c r="T892" s="79"/>
      <c r="X892" s="79"/>
      <c r="AA892" s="130"/>
      <c r="AC892" s="106"/>
    </row>
    <row r="893">
      <c r="C893" s="79"/>
      <c r="D893" s="79"/>
      <c r="E893" s="79"/>
      <c r="N893" s="79"/>
      <c r="Q893" s="79"/>
      <c r="S893" s="79"/>
      <c r="T893" s="79"/>
      <c r="X893" s="79"/>
      <c r="AA893" s="130"/>
      <c r="AC893" s="106"/>
    </row>
    <row r="894">
      <c r="C894" s="79"/>
      <c r="D894" s="79"/>
      <c r="E894" s="79"/>
      <c r="N894" s="79"/>
      <c r="Q894" s="79"/>
      <c r="S894" s="79"/>
      <c r="T894" s="79"/>
      <c r="X894" s="79"/>
      <c r="AA894" s="130"/>
      <c r="AC894" s="106"/>
    </row>
    <row r="895">
      <c r="C895" s="79"/>
      <c r="D895" s="79"/>
      <c r="E895" s="79"/>
      <c r="N895" s="79"/>
      <c r="Q895" s="79"/>
      <c r="S895" s="79"/>
      <c r="T895" s="79"/>
      <c r="X895" s="79"/>
      <c r="AA895" s="130"/>
      <c r="AC895" s="106"/>
    </row>
    <row r="896">
      <c r="C896" s="79"/>
      <c r="D896" s="79"/>
      <c r="E896" s="79"/>
      <c r="N896" s="79"/>
      <c r="Q896" s="79"/>
      <c r="S896" s="79"/>
      <c r="T896" s="79"/>
      <c r="X896" s="79"/>
      <c r="AA896" s="130"/>
      <c r="AC896" s="106"/>
    </row>
    <row r="897">
      <c r="C897" s="79"/>
      <c r="D897" s="79"/>
      <c r="E897" s="79"/>
      <c r="N897" s="79"/>
      <c r="Q897" s="79"/>
      <c r="S897" s="79"/>
      <c r="T897" s="79"/>
      <c r="X897" s="79"/>
      <c r="AA897" s="130"/>
      <c r="AC897" s="106"/>
    </row>
    <row r="898">
      <c r="C898" s="79"/>
      <c r="D898" s="79"/>
      <c r="E898" s="79"/>
      <c r="N898" s="79"/>
      <c r="Q898" s="79"/>
      <c r="S898" s="79"/>
      <c r="T898" s="79"/>
      <c r="X898" s="79"/>
      <c r="AA898" s="130"/>
      <c r="AC898" s="106"/>
    </row>
    <row r="899">
      <c r="C899" s="79"/>
      <c r="D899" s="79"/>
      <c r="E899" s="79"/>
      <c r="N899" s="79"/>
      <c r="Q899" s="79"/>
      <c r="S899" s="79"/>
      <c r="T899" s="79"/>
      <c r="X899" s="79"/>
      <c r="AA899" s="130"/>
      <c r="AC899" s="106"/>
    </row>
    <row r="900">
      <c r="C900" s="79"/>
      <c r="D900" s="79"/>
      <c r="E900" s="79"/>
      <c r="N900" s="79"/>
      <c r="Q900" s="79"/>
      <c r="S900" s="79"/>
      <c r="T900" s="79"/>
      <c r="X900" s="79"/>
      <c r="AA900" s="130"/>
      <c r="AC900" s="106"/>
    </row>
    <row r="901">
      <c r="C901" s="79"/>
      <c r="D901" s="79"/>
      <c r="E901" s="79"/>
      <c r="N901" s="79"/>
      <c r="Q901" s="79"/>
      <c r="S901" s="79"/>
      <c r="T901" s="79"/>
      <c r="X901" s="79"/>
      <c r="AA901" s="130"/>
      <c r="AC901" s="106"/>
    </row>
    <row r="902">
      <c r="C902" s="79"/>
      <c r="D902" s="79"/>
      <c r="E902" s="79"/>
      <c r="N902" s="79"/>
      <c r="Q902" s="79"/>
      <c r="S902" s="79"/>
      <c r="T902" s="79"/>
      <c r="X902" s="79"/>
      <c r="AA902" s="130"/>
      <c r="AC902" s="106"/>
    </row>
    <row r="903">
      <c r="C903" s="79"/>
      <c r="D903" s="79"/>
      <c r="E903" s="79"/>
      <c r="N903" s="79"/>
      <c r="Q903" s="79"/>
      <c r="S903" s="79"/>
      <c r="T903" s="79"/>
      <c r="X903" s="79"/>
      <c r="AA903" s="130"/>
      <c r="AC903" s="106"/>
    </row>
    <row r="904">
      <c r="C904" s="79"/>
      <c r="D904" s="79"/>
      <c r="E904" s="79"/>
      <c r="N904" s="79"/>
      <c r="Q904" s="79"/>
      <c r="S904" s="79"/>
      <c r="T904" s="79"/>
      <c r="X904" s="79"/>
      <c r="AA904" s="130"/>
      <c r="AC904" s="106"/>
    </row>
    <row r="905">
      <c r="C905" s="79"/>
      <c r="D905" s="79"/>
      <c r="E905" s="79"/>
      <c r="N905" s="79"/>
      <c r="Q905" s="79"/>
      <c r="S905" s="79"/>
      <c r="T905" s="79"/>
      <c r="X905" s="79"/>
      <c r="AA905" s="130"/>
      <c r="AC905" s="106"/>
    </row>
    <row r="906">
      <c r="C906" s="79"/>
      <c r="D906" s="79"/>
      <c r="E906" s="79"/>
      <c r="N906" s="79"/>
      <c r="Q906" s="79"/>
      <c r="S906" s="79"/>
      <c r="T906" s="79"/>
      <c r="X906" s="79"/>
      <c r="AA906" s="130"/>
      <c r="AC906" s="106"/>
    </row>
    <row r="907">
      <c r="C907" s="79"/>
      <c r="D907" s="79"/>
      <c r="E907" s="79"/>
      <c r="N907" s="79"/>
      <c r="Q907" s="79"/>
      <c r="S907" s="79"/>
      <c r="T907" s="79"/>
      <c r="X907" s="79"/>
      <c r="AA907" s="130"/>
      <c r="AC907" s="106"/>
    </row>
    <row r="908">
      <c r="C908" s="79"/>
      <c r="D908" s="79"/>
      <c r="E908" s="79"/>
      <c r="N908" s="79"/>
      <c r="Q908" s="79"/>
      <c r="S908" s="79"/>
      <c r="T908" s="79"/>
      <c r="X908" s="79"/>
      <c r="AA908" s="130"/>
      <c r="AC908" s="106"/>
    </row>
    <row r="909">
      <c r="C909" s="79"/>
      <c r="D909" s="79"/>
      <c r="E909" s="79"/>
      <c r="N909" s="79"/>
      <c r="Q909" s="79"/>
      <c r="S909" s="79"/>
      <c r="T909" s="79"/>
      <c r="X909" s="79"/>
      <c r="AA909" s="130"/>
      <c r="AC909" s="106"/>
    </row>
    <row r="910">
      <c r="C910" s="79"/>
      <c r="D910" s="79"/>
      <c r="E910" s="79"/>
      <c r="N910" s="79"/>
      <c r="Q910" s="79"/>
      <c r="S910" s="79"/>
      <c r="T910" s="79"/>
      <c r="X910" s="79"/>
      <c r="AA910" s="130"/>
      <c r="AC910" s="106"/>
    </row>
    <row r="911">
      <c r="C911" s="79"/>
      <c r="D911" s="79"/>
      <c r="E911" s="79"/>
      <c r="N911" s="79"/>
      <c r="Q911" s="79"/>
      <c r="S911" s="79"/>
      <c r="T911" s="79"/>
      <c r="X911" s="79"/>
      <c r="AA911" s="130"/>
      <c r="AC911" s="106"/>
    </row>
    <row r="912">
      <c r="C912" s="79"/>
      <c r="D912" s="79"/>
      <c r="E912" s="79"/>
      <c r="N912" s="79"/>
      <c r="Q912" s="79"/>
      <c r="S912" s="79"/>
      <c r="T912" s="79"/>
      <c r="X912" s="79"/>
      <c r="AA912" s="130"/>
      <c r="AC912" s="106"/>
    </row>
    <row r="913">
      <c r="C913" s="79"/>
      <c r="D913" s="79"/>
      <c r="E913" s="79"/>
      <c r="N913" s="79"/>
      <c r="Q913" s="79"/>
      <c r="S913" s="79"/>
      <c r="T913" s="79"/>
      <c r="X913" s="79"/>
      <c r="AA913" s="130"/>
      <c r="AC913" s="106"/>
    </row>
    <row r="914">
      <c r="C914" s="79"/>
      <c r="D914" s="79"/>
      <c r="E914" s="79"/>
      <c r="N914" s="79"/>
      <c r="Q914" s="79"/>
      <c r="S914" s="79"/>
      <c r="T914" s="79"/>
      <c r="X914" s="79"/>
      <c r="AA914" s="130"/>
      <c r="AC914" s="106"/>
    </row>
    <row r="915">
      <c r="C915" s="79"/>
      <c r="D915" s="79"/>
      <c r="E915" s="79"/>
      <c r="N915" s="79"/>
      <c r="Q915" s="79"/>
      <c r="S915" s="79"/>
      <c r="T915" s="79"/>
      <c r="X915" s="79"/>
      <c r="AA915" s="130"/>
      <c r="AC915" s="106"/>
    </row>
    <row r="916">
      <c r="C916" s="79"/>
      <c r="D916" s="79"/>
      <c r="E916" s="79"/>
      <c r="N916" s="79"/>
      <c r="Q916" s="79"/>
      <c r="S916" s="79"/>
      <c r="T916" s="79"/>
      <c r="X916" s="79"/>
      <c r="AA916" s="130"/>
      <c r="AC916" s="106"/>
    </row>
    <row r="917">
      <c r="C917" s="79"/>
      <c r="D917" s="79"/>
      <c r="E917" s="79"/>
      <c r="N917" s="79"/>
      <c r="Q917" s="79"/>
      <c r="S917" s="79"/>
      <c r="T917" s="79"/>
      <c r="X917" s="79"/>
      <c r="AA917" s="130"/>
      <c r="AC917" s="106"/>
    </row>
    <row r="918">
      <c r="C918" s="79"/>
      <c r="D918" s="79"/>
      <c r="E918" s="79"/>
      <c r="N918" s="79"/>
      <c r="Q918" s="79"/>
      <c r="S918" s="79"/>
      <c r="T918" s="79"/>
      <c r="X918" s="79"/>
      <c r="AA918" s="130"/>
      <c r="AC918" s="106"/>
    </row>
    <row r="919">
      <c r="C919" s="79"/>
      <c r="D919" s="79"/>
      <c r="E919" s="79"/>
      <c r="N919" s="79"/>
      <c r="Q919" s="79"/>
      <c r="S919" s="79"/>
      <c r="T919" s="79"/>
      <c r="X919" s="79"/>
      <c r="AA919" s="130"/>
      <c r="AC919" s="106"/>
    </row>
    <row r="920">
      <c r="C920" s="79"/>
      <c r="D920" s="79"/>
      <c r="E920" s="79"/>
      <c r="N920" s="79"/>
      <c r="Q920" s="79"/>
      <c r="S920" s="79"/>
      <c r="T920" s="79"/>
      <c r="X920" s="79"/>
      <c r="AA920" s="130"/>
      <c r="AC920" s="106"/>
    </row>
    <row r="921">
      <c r="C921" s="79"/>
      <c r="D921" s="79"/>
      <c r="E921" s="79"/>
      <c r="N921" s="79"/>
      <c r="Q921" s="79"/>
      <c r="S921" s="79"/>
      <c r="T921" s="79"/>
      <c r="X921" s="79"/>
      <c r="AA921" s="130"/>
      <c r="AC921" s="106"/>
    </row>
    <row r="922">
      <c r="C922" s="79"/>
      <c r="D922" s="79"/>
      <c r="E922" s="79"/>
      <c r="N922" s="79"/>
      <c r="Q922" s="79"/>
      <c r="S922" s="79"/>
      <c r="T922" s="79"/>
      <c r="X922" s="79"/>
      <c r="AA922" s="130"/>
      <c r="AC922" s="106"/>
    </row>
    <row r="923">
      <c r="C923" s="79"/>
      <c r="D923" s="79"/>
      <c r="E923" s="79"/>
      <c r="N923" s="79"/>
      <c r="Q923" s="79"/>
      <c r="S923" s="79"/>
      <c r="T923" s="79"/>
      <c r="X923" s="79"/>
      <c r="AA923" s="130"/>
      <c r="AC923" s="106"/>
    </row>
    <row r="924">
      <c r="C924" s="79"/>
      <c r="D924" s="79"/>
      <c r="E924" s="79"/>
      <c r="N924" s="79"/>
      <c r="Q924" s="79"/>
      <c r="S924" s="79"/>
      <c r="T924" s="79"/>
      <c r="X924" s="79"/>
      <c r="AA924" s="130"/>
      <c r="AC924" s="106"/>
    </row>
    <row r="925">
      <c r="C925" s="79"/>
      <c r="D925" s="79"/>
      <c r="E925" s="79"/>
      <c r="N925" s="79"/>
      <c r="Q925" s="79"/>
      <c r="S925" s="79"/>
      <c r="T925" s="79"/>
      <c r="X925" s="79"/>
      <c r="AA925" s="130"/>
      <c r="AC925" s="106"/>
    </row>
    <row r="926">
      <c r="C926" s="79"/>
      <c r="D926" s="79"/>
      <c r="E926" s="79"/>
      <c r="N926" s="79"/>
      <c r="Q926" s="79"/>
      <c r="S926" s="79"/>
      <c r="T926" s="79"/>
      <c r="X926" s="79"/>
      <c r="AA926" s="130"/>
      <c r="AC926" s="106"/>
    </row>
    <row r="927">
      <c r="C927" s="79"/>
      <c r="D927" s="79"/>
      <c r="E927" s="79"/>
      <c r="N927" s="79"/>
      <c r="Q927" s="79"/>
      <c r="S927" s="79"/>
      <c r="T927" s="79"/>
      <c r="X927" s="79"/>
      <c r="AA927" s="130"/>
      <c r="AC927" s="106"/>
    </row>
    <row r="928">
      <c r="C928" s="79"/>
      <c r="D928" s="79"/>
      <c r="E928" s="79"/>
      <c r="N928" s="79"/>
      <c r="Q928" s="79"/>
      <c r="S928" s="79"/>
      <c r="T928" s="79"/>
      <c r="X928" s="79"/>
      <c r="AA928" s="130"/>
      <c r="AC928" s="106"/>
    </row>
    <row r="929">
      <c r="C929" s="79"/>
      <c r="D929" s="79"/>
      <c r="E929" s="79"/>
      <c r="N929" s="79"/>
      <c r="Q929" s="79"/>
      <c r="S929" s="79"/>
      <c r="T929" s="79"/>
      <c r="X929" s="79"/>
      <c r="AA929" s="130"/>
      <c r="AC929" s="106"/>
    </row>
    <row r="930">
      <c r="C930" s="79"/>
      <c r="D930" s="79"/>
      <c r="E930" s="79"/>
      <c r="N930" s="79"/>
      <c r="Q930" s="79"/>
      <c r="S930" s="79"/>
      <c r="T930" s="79"/>
      <c r="X930" s="79"/>
      <c r="AA930" s="130"/>
      <c r="AC930" s="106"/>
    </row>
    <row r="931">
      <c r="C931" s="79"/>
      <c r="D931" s="79"/>
      <c r="E931" s="79"/>
      <c r="N931" s="79"/>
      <c r="Q931" s="79"/>
      <c r="S931" s="79"/>
      <c r="T931" s="79"/>
      <c r="X931" s="79"/>
      <c r="AA931" s="130"/>
      <c r="AC931" s="106"/>
    </row>
  </sheetData>
  <drawing r:id="rId2"/>
  <legacyDrawing r:id="rId3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6.5"/>
    <col customWidth="1" min="3" max="3" width="14.88"/>
    <col customWidth="1" min="5" max="5" width="30.13"/>
    <col customWidth="1" min="7" max="7" width="13.5"/>
    <col customWidth="1" min="8" max="8" width="13.25"/>
    <col customWidth="1" min="21" max="21" width="27.38"/>
    <col customWidth="1" min="26" max="26" width="14.63"/>
    <col customWidth="1" min="29" max="29" width="14.63"/>
    <col customWidth="1" min="31" max="31" width="17.0"/>
    <col customWidth="1" min="32" max="32" width="19.25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4</v>
      </c>
      <c r="J1" s="2" t="s">
        <v>5</v>
      </c>
      <c r="K1" s="2" t="s">
        <v>303</v>
      </c>
      <c r="L1" s="2" t="s">
        <v>204</v>
      </c>
      <c r="M1" s="2" t="s">
        <v>6</v>
      </c>
      <c r="N1" s="2" t="s">
        <v>12</v>
      </c>
      <c r="O1" s="105" t="s">
        <v>40</v>
      </c>
      <c r="P1" s="2" t="s">
        <v>49</v>
      </c>
      <c r="Q1" s="2" t="s">
        <v>42</v>
      </c>
      <c r="R1" s="105" t="s">
        <v>11</v>
      </c>
      <c r="S1" s="2" t="s">
        <v>164</v>
      </c>
      <c r="T1" s="105" t="s">
        <v>9</v>
      </c>
      <c r="U1" s="105" t="s">
        <v>304</v>
      </c>
      <c r="V1" s="2" t="s">
        <v>37</v>
      </c>
      <c r="W1" s="2" t="s">
        <v>10</v>
      </c>
      <c r="X1" s="2" t="s">
        <v>121</v>
      </c>
      <c r="Y1" s="105" t="s">
        <v>205</v>
      </c>
      <c r="Z1" s="2" t="s">
        <v>206</v>
      </c>
      <c r="AA1" s="2" t="s">
        <v>305</v>
      </c>
      <c r="AB1" s="3" t="s">
        <v>13</v>
      </c>
      <c r="AC1" s="3" t="s">
        <v>14</v>
      </c>
      <c r="AD1" s="3" t="s">
        <v>15</v>
      </c>
      <c r="AE1" s="106"/>
      <c r="AF1" s="265" t="s">
        <v>306</v>
      </c>
      <c r="AG1" s="266" t="s">
        <v>80</v>
      </c>
    </row>
    <row r="2">
      <c r="A2" s="74">
        <v>45418.0</v>
      </c>
      <c r="B2" s="93">
        <f>490.93-18.46-84.54-38.58+466.34</f>
        <v>815.69</v>
      </c>
      <c r="C2" s="93">
        <f>635.54-225</f>
        <v>410.54</v>
      </c>
      <c r="D2" s="193">
        <f>561.3-260.9</f>
        <v>300.4</v>
      </c>
      <c r="E2" s="93"/>
      <c r="F2" s="180">
        <v>467.86</v>
      </c>
      <c r="G2" s="93">
        <v>180.0</v>
      </c>
      <c r="H2" s="93"/>
      <c r="I2" s="93"/>
      <c r="J2" s="93"/>
      <c r="K2" s="180">
        <v>522.0</v>
      </c>
      <c r="L2" s="93"/>
      <c r="M2" s="93"/>
      <c r="N2" s="93"/>
      <c r="O2" s="93"/>
      <c r="P2" s="93">
        <v>168.0</v>
      </c>
      <c r="Q2" s="93"/>
      <c r="R2" s="93">
        <v>57.05</v>
      </c>
      <c r="S2" s="93"/>
      <c r="T2" s="93"/>
      <c r="U2" s="93"/>
      <c r="V2" s="72"/>
      <c r="W2" s="93"/>
      <c r="X2" s="93"/>
      <c r="Y2" s="93"/>
      <c r="Z2" s="93"/>
      <c r="AA2" s="171"/>
      <c r="AB2" s="107">
        <f t="shared" ref="AB2:AB8" si="1">SUM(B2:Z2)</f>
        <v>2921.54</v>
      </c>
      <c r="AC2" s="158">
        <v>3286.0</v>
      </c>
      <c r="AD2" s="59">
        <f t="shared" ref="AD2:AD8" si="2">AB2/AC2</f>
        <v>0.8890870359</v>
      </c>
      <c r="AE2" s="109">
        <f t="shared" ref="AE2:AE8" si="3">A2</f>
        <v>45418</v>
      </c>
      <c r="AF2" s="267">
        <f>3082+204</f>
        <v>3286</v>
      </c>
      <c r="AG2" s="268">
        <f t="shared" ref="AG2:AG8" si="4">AC2-AF2</f>
        <v>0</v>
      </c>
    </row>
    <row r="3">
      <c r="A3" s="74">
        <v>45419.0</v>
      </c>
      <c r="B3" s="93">
        <f>1590.04-57-27.83-39.43-52.31-88.4</f>
        <v>1325.07</v>
      </c>
      <c r="C3" s="166"/>
      <c r="D3" s="93">
        <f>365.33-131.85-188.48</f>
        <v>45</v>
      </c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5">
        <v>355.25</v>
      </c>
      <c r="U3" s="5"/>
      <c r="V3" s="93"/>
      <c r="W3" s="93">
        <v>98.0</v>
      </c>
      <c r="X3" s="93"/>
      <c r="Y3" s="93"/>
      <c r="Z3" s="93"/>
      <c r="AA3" s="171"/>
      <c r="AB3" s="107">
        <f t="shared" si="1"/>
        <v>1823.32</v>
      </c>
      <c r="AC3" s="158">
        <v>3934.0</v>
      </c>
      <c r="AD3" s="59">
        <f t="shared" si="2"/>
        <v>0.4634773767</v>
      </c>
      <c r="AE3" s="109">
        <f t="shared" si="3"/>
        <v>45419</v>
      </c>
      <c r="AF3" s="269">
        <f>3668+153+113</f>
        <v>3934</v>
      </c>
      <c r="AG3" s="268">
        <f t="shared" si="4"/>
        <v>0</v>
      </c>
    </row>
    <row r="4">
      <c r="A4" s="74">
        <v>45420.0</v>
      </c>
      <c r="B4" s="93">
        <f>1882.6-34.84-17.97-15.95-90-26.05-14.26-46.56-26.5-209.22-71.15-359.29-201.8-19.14</f>
        <v>749.87</v>
      </c>
      <c r="C4" s="93">
        <f>267.5-12-12.2</f>
        <v>243.3</v>
      </c>
      <c r="D4" s="93"/>
      <c r="E4" s="93"/>
      <c r="F4" s="93"/>
      <c r="G4" s="79"/>
      <c r="H4" s="93"/>
      <c r="I4" s="93">
        <v>365.39</v>
      </c>
      <c r="J4" s="93">
        <v>297.0</v>
      </c>
      <c r="K4" s="93"/>
      <c r="L4" s="93"/>
      <c r="M4" s="93">
        <v>74.55</v>
      </c>
      <c r="N4" s="93"/>
      <c r="O4" s="93"/>
      <c r="P4" s="93"/>
      <c r="Q4" s="93">
        <v>294.14</v>
      </c>
      <c r="R4" s="93">
        <v>57.05</v>
      </c>
      <c r="S4" s="93"/>
      <c r="T4" s="5"/>
      <c r="U4" s="5">
        <v>84.0</v>
      </c>
      <c r="V4" s="160"/>
      <c r="W4" s="93"/>
      <c r="X4" s="93"/>
      <c r="Y4" s="93"/>
      <c r="Z4" s="101"/>
      <c r="AA4" s="171"/>
      <c r="AB4" s="107">
        <f t="shared" si="1"/>
        <v>2165.3</v>
      </c>
      <c r="AC4" s="97">
        <f>501.4+5393.4</f>
        <v>5894.8</v>
      </c>
      <c r="AD4" s="59">
        <f t="shared" si="2"/>
        <v>0.367323743</v>
      </c>
      <c r="AE4" s="109">
        <f t="shared" si="3"/>
        <v>45420</v>
      </c>
      <c r="AF4" s="269">
        <f>4983.8+911</f>
        <v>5894.8</v>
      </c>
      <c r="AG4" s="268">
        <f t="shared" si="4"/>
        <v>0</v>
      </c>
    </row>
    <row r="5">
      <c r="A5" s="74">
        <v>45421.0</v>
      </c>
      <c r="B5" s="93">
        <f>519.13-44.55</f>
        <v>474.58</v>
      </c>
      <c r="C5" s="93">
        <v>882.27</v>
      </c>
      <c r="D5" s="93"/>
      <c r="E5" s="93"/>
      <c r="F5" s="93"/>
      <c r="G5" s="93">
        <v>180.0</v>
      </c>
      <c r="H5" s="160"/>
      <c r="I5" s="93"/>
      <c r="J5" s="93"/>
      <c r="K5" s="93"/>
      <c r="L5" s="93"/>
      <c r="M5" s="93"/>
      <c r="N5" s="93">
        <v>47.8</v>
      </c>
      <c r="O5" s="93"/>
      <c r="P5" s="93"/>
      <c r="Q5" s="93"/>
      <c r="R5" s="101"/>
      <c r="S5" s="93"/>
      <c r="T5" s="5"/>
      <c r="U5" s="5"/>
      <c r="V5" s="93"/>
      <c r="W5" s="93"/>
      <c r="X5" s="93"/>
      <c r="Y5" s="101"/>
      <c r="Z5" s="101"/>
      <c r="AA5" s="270"/>
      <c r="AB5" s="7">
        <f t="shared" si="1"/>
        <v>1584.65</v>
      </c>
      <c r="AC5" s="97">
        <f>1468+5336</f>
        <v>6804</v>
      </c>
      <c r="AD5" s="59">
        <f t="shared" si="2"/>
        <v>0.2328997648</v>
      </c>
      <c r="AE5" s="109">
        <f t="shared" si="3"/>
        <v>45421</v>
      </c>
      <c r="AF5" s="269">
        <f>6769</f>
        <v>6769</v>
      </c>
      <c r="AG5" s="268">
        <f t="shared" si="4"/>
        <v>35</v>
      </c>
    </row>
    <row r="6">
      <c r="A6" s="74">
        <v>45422.0</v>
      </c>
      <c r="B6" s="93">
        <f>1583.38-87.1-42.29-78.86-84.63-65.91-235.39-27.83-95.65-52.31+61.1-102.24</f>
        <v>772.27</v>
      </c>
      <c r="C6" s="93">
        <f>495.89-11.5-34.5-138.24</f>
        <v>311.65</v>
      </c>
      <c r="D6" s="93">
        <f>504.45-218.4-131.85</f>
        <v>154.2</v>
      </c>
      <c r="E6" s="93"/>
      <c r="F6" s="93"/>
      <c r="G6" s="93"/>
      <c r="H6" s="93"/>
      <c r="I6" s="93"/>
      <c r="J6" s="93">
        <v>99.0</v>
      </c>
      <c r="K6" s="93"/>
      <c r="L6" s="93"/>
      <c r="M6" s="93">
        <v>166.4</v>
      </c>
      <c r="N6" s="93">
        <v>95.6</v>
      </c>
      <c r="O6" s="162"/>
      <c r="P6" s="93"/>
      <c r="Q6" s="93"/>
      <c r="R6" s="93">
        <v>57.05</v>
      </c>
      <c r="S6" s="93"/>
      <c r="T6" s="93"/>
      <c r="U6" s="93"/>
      <c r="V6" s="93"/>
      <c r="W6" s="93"/>
      <c r="X6" s="93"/>
      <c r="Y6" s="93"/>
      <c r="Z6" s="93"/>
      <c r="AA6" s="270"/>
      <c r="AB6" s="7">
        <f t="shared" si="1"/>
        <v>1656.17</v>
      </c>
      <c r="AC6" s="97">
        <f>665+6949.2</f>
        <v>7614.2</v>
      </c>
      <c r="AD6" s="59">
        <f t="shared" si="2"/>
        <v>0.2175107037</v>
      </c>
      <c r="AE6" s="109">
        <f t="shared" si="3"/>
        <v>45422</v>
      </c>
      <c r="AF6" s="269">
        <f>6249+1365.2</f>
        <v>7614.2</v>
      </c>
      <c r="AG6" s="268">
        <f t="shared" si="4"/>
        <v>0</v>
      </c>
    </row>
    <row r="7">
      <c r="A7" s="74">
        <v>45423.0</v>
      </c>
      <c r="B7" s="93">
        <v>916.75</v>
      </c>
      <c r="C7" s="93">
        <f>20.8+699.09-300</f>
        <v>419.89</v>
      </c>
      <c r="D7" s="93">
        <f>161.2+52.89+5+5+351</f>
        <v>575.09</v>
      </c>
      <c r="E7" s="93">
        <v>28.0</v>
      </c>
      <c r="F7" s="93"/>
      <c r="G7" s="93">
        <v>180.0</v>
      </c>
      <c r="H7" s="79"/>
      <c r="I7" s="93"/>
      <c r="J7" s="93"/>
      <c r="K7" s="93"/>
      <c r="L7" s="93"/>
      <c r="M7" s="93">
        <v>246.0</v>
      </c>
      <c r="N7" s="93"/>
      <c r="O7" s="93"/>
      <c r="P7" s="93">
        <v>150.0</v>
      </c>
      <c r="Q7" s="93"/>
      <c r="R7" s="101"/>
      <c r="S7" s="93"/>
      <c r="T7" s="93"/>
      <c r="U7" s="93"/>
      <c r="V7" s="101"/>
      <c r="W7" s="93"/>
      <c r="X7" s="93"/>
      <c r="Y7" s="101"/>
      <c r="Z7" s="93"/>
      <c r="AA7" s="270"/>
      <c r="AB7" s="7">
        <f t="shared" si="1"/>
        <v>2515.73</v>
      </c>
      <c r="AC7" s="97">
        <f>3237+10352</f>
        <v>13589</v>
      </c>
      <c r="AD7" s="59">
        <f t="shared" si="2"/>
        <v>0.1851298845</v>
      </c>
      <c r="AE7" s="109">
        <f t="shared" si="3"/>
        <v>45423</v>
      </c>
      <c r="AF7" s="269">
        <f>2545+11044</f>
        <v>13589</v>
      </c>
      <c r="AG7" s="268">
        <f t="shared" si="4"/>
        <v>0</v>
      </c>
    </row>
    <row r="8">
      <c r="A8" s="74">
        <v>45424.0</v>
      </c>
      <c r="B8" s="180">
        <v>440.47</v>
      </c>
      <c r="C8" s="5"/>
      <c r="D8" s="260">
        <f>448.15+842.43</f>
        <v>1290.58</v>
      </c>
      <c r="E8" s="10"/>
      <c r="F8" s="5"/>
      <c r="G8" s="10"/>
      <c r="H8" s="180">
        <f>1328.53+913.87</f>
        <v>2242.4</v>
      </c>
      <c r="I8" s="93"/>
      <c r="J8" s="5"/>
      <c r="K8" s="10"/>
      <c r="L8" s="10"/>
      <c r="M8" s="10"/>
      <c r="N8" s="10"/>
      <c r="O8" s="10"/>
      <c r="P8" s="10"/>
      <c r="Q8" s="93"/>
      <c r="R8" s="10"/>
      <c r="S8" s="5"/>
      <c r="T8" s="10"/>
      <c r="U8" s="10"/>
      <c r="V8" s="10"/>
      <c r="W8" s="10"/>
      <c r="X8" s="10"/>
      <c r="Y8" s="10"/>
      <c r="Z8" s="10"/>
      <c r="AA8" s="93">
        <f>238+73</f>
        <v>311</v>
      </c>
      <c r="AB8" s="7">
        <f t="shared" si="1"/>
        <v>3973.45</v>
      </c>
      <c r="AC8" s="97">
        <f>14609.95+4263</f>
        <v>18872.95</v>
      </c>
      <c r="AD8" s="59">
        <f t="shared" si="2"/>
        <v>0.2105367735</v>
      </c>
      <c r="AE8" s="109">
        <f t="shared" si="3"/>
        <v>45424</v>
      </c>
      <c r="AF8" s="269">
        <f>12541.01+6229.94</f>
        <v>18770.95</v>
      </c>
      <c r="AG8" s="268">
        <f t="shared" si="4"/>
        <v>102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AC9" s="129"/>
      <c r="AE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AC10" s="129"/>
      <c r="AE10" s="106"/>
    </row>
    <row r="11">
      <c r="A11" s="165" t="s">
        <v>194</v>
      </c>
      <c r="B11" s="93">
        <f>18.46+42.27+38.58+27.83+52.31+17.97+14.26+71.15+19.14+27.83+52.31</f>
        <v>382.11</v>
      </c>
      <c r="C11" s="93">
        <f>50.5+12.2+11.5</f>
        <v>74.2</v>
      </c>
      <c r="D11" s="93">
        <f>188.48+272.8</f>
        <v>461.28</v>
      </c>
      <c r="E11" s="167"/>
      <c r="F11" s="168"/>
      <c r="G11" s="168"/>
      <c r="H11" s="166"/>
      <c r="I11" s="166"/>
      <c r="J11" s="93"/>
      <c r="K11" s="168"/>
      <c r="L11" s="168"/>
      <c r="M11" s="93"/>
      <c r="N11" s="166"/>
      <c r="O11" s="168"/>
      <c r="P11" s="166"/>
      <c r="Q11" s="168"/>
      <c r="R11" s="168"/>
      <c r="S11" s="1"/>
      <c r="T11" s="1"/>
      <c r="U11" s="1"/>
      <c r="V11" s="1"/>
      <c r="W11" s="1"/>
      <c r="X11" s="1"/>
      <c r="Y11" s="168"/>
      <c r="Z11" s="1"/>
      <c r="AA11" s="1"/>
      <c r="AB11" s="1"/>
      <c r="AC11" s="169"/>
      <c r="AD11" s="1"/>
      <c r="AE11" s="170"/>
    </row>
    <row r="12">
      <c r="A12" s="165" t="s">
        <v>195</v>
      </c>
      <c r="B12" s="93">
        <f>42.27+34.84+15.95+46.56+26.5+359.29+44.55+87.1+42.29+84.63+65.91+95.65+88.4</f>
        <v>1033.94</v>
      </c>
      <c r="C12" s="93">
        <f>225+12+131.85+67.1+138.24</f>
        <v>574.19</v>
      </c>
      <c r="D12" s="93">
        <v>131.85</v>
      </c>
      <c r="E12" s="93"/>
      <c r="F12" s="93"/>
      <c r="G12" s="93"/>
      <c r="H12" s="93"/>
      <c r="I12" s="93"/>
      <c r="J12" s="93">
        <f>190+197</f>
        <v>387</v>
      </c>
      <c r="K12" s="93"/>
      <c r="L12" s="93"/>
      <c r="M12" s="93"/>
      <c r="N12" s="93"/>
      <c r="O12" s="93"/>
      <c r="P12" s="166">
        <v>300.0</v>
      </c>
      <c r="Q12" s="166"/>
      <c r="R12" s="168"/>
      <c r="S12" s="1"/>
      <c r="T12" s="168"/>
      <c r="U12" s="168"/>
      <c r="V12" s="1"/>
      <c r="W12" s="96"/>
      <c r="X12" s="1"/>
      <c r="Y12" s="168"/>
      <c r="Z12" s="1"/>
      <c r="AA12" s="1"/>
      <c r="AB12" s="1"/>
      <c r="AC12" s="171"/>
      <c r="AD12" s="1"/>
      <c r="AE12" s="170"/>
    </row>
    <row r="13">
      <c r="A13" s="172" t="s">
        <v>307</v>
      </c>
      <c r="B13" s="93">
        <f>209.22+78.86+102.24</f>
        <v>390.32</v>
      </c>
      <c r="C13" s="93"/>
      <c r="D13" s="93"/>
      <c r="E13" s="93"/>
      <c r="F13" s="93"/>
      <c r="G13" s="93"/>
      <c r="H13" s="93">
        <v>1175.82</v>
      </c>
      <c r="I13" s="168"/>
      <c r="J13" s="93"/>
      <c r="K13" s="168"/>
      <c r="L13" s="168"/>
      <c r="M13" s="168"/>
      <c r="N13" s="168"/>
      <c r="O13" s="168"/>
      <c r="P13" s="166">
        <f>144+156</f>
        <v>300</v>
      </c>
      <c r="Q13" s="168"/>
      <c r="R13" s="168"/>
      <c r="S13" s="1"/>
      <c r="T13" s="166">
        <v>210.0</v>
      </c>
      <c r="U13" s="168"/>
      <c r="V13" s="1"/>
      <c r="W13" s="96"/>
      <c r="X13" s="1"/>
      <c r="Y13" s="168"/>
      <c r="Z13" s="1"/>
      <c r="AA13" s="1"/>
      <c r="AB13" s="1"/>
      <c r="AC13" s="174"/>
      <c r="AD13" s="1"/>
      <c r="AE13" s="170"/>
    </row>
    <row r="14">
      <c r="A14" s="165" t="s">
        <v>198</v>
      </c>
      <c r="B14" s="93">
        <f>57+39.43+90+26.05+201.8</f>
        <v>414.28</v>
      </c>
      <c r="C14" s="93"/>
      <c r="D14" s="93"/>
      <c r="E14" s="168"/>
      <c r="F14" s="166"/>
      <c r="G14" s="166"/>
      <c r="H14" s="168"/>
      <c r="I14" s="168"/>
      <c r="J14" s="168"/>
      <c r="K14" s="168"/>
      <c r="L14" s="168"/>
      <c r="M14" s="168"/>
      <c r="N14" s="168"/>
      <c r="O14" s="168"/>
      <c r="P14" s="166"/>
      <c r="Q14" s="168"/>
      <c r="R14" s="168"/>
      <c r="S14" s="1"/>
      <c r="T14" s="168"/>
      <c r="U14" s="168"/>
      <c r="V14" s="1"/>
      <c r="W14" s="96"/>
      <c r="X14" s="1"/>
      <c r="Y14" s="168"/>
      <c r="Z14" s="1"/>
      <c r="AA14" s="1"/>
      <c r="AB14" s="1"/>
      <c r="AC14" s="174"/>
      <c r="AD14" s="1"/>
      <c r="AE14" s="170"/>
    </row>
    <row r="15">
      <c r="A15" s="91"/>
      <c r="B15" s="92"/>
      <c r="C15" s="79"/>
      <c r="D15" s="79"/>
      <c r="E15" s="79"/>
      <c r="F15" s="78"/>
      <c r="G15" s="78"/>
      <c r="H15" s="78"/>
      <c r="I15" s="78"/>
      <c r="M15" s="79"/>
      <c r="N15" s="79"/>
      <c r="O15" s="78"/>
      <c r="P15" s="79"/>
      <c r="Q15" s="79"/>
      <c r="R15" s="79"/>
      <c r="T15" s="79"/>
      <c r="U15" s="79"/>
      <c r="Y15" s="79"/>
      <c r="AC15" s="131"/>
      <c r="AE15" s="106"/>
    </row>
    <row r="16">
      <c r="A16" s="91"/>
      <c r="B16" s="92"/>
      <c r="C16" s="78"/>
      <c r="D16" s="78"/>
      <c r="E16" s="78"/>
      <c r="F16" s="198"/>
      <c r="G16" s="198"/>
      <c r="H16" s="204"/>
      <c r="I16" s="198"/>
      <c r="J16" s="201"/>
      <c r="K16" s="199"/>
      <c r="L16" s="199"/>
      <c r="M16" s="199"/>
      <c r="N16" s="200"/>
      <c r="O16" s="201"/>
      <c r="P16" s="202"/>
      <c r="Q16" s="198"/>
      <c r="R16" s="79"/>
      <c r="S16" s="198"/>
      <c r="T16" s="198"/>
      <c r="U16" s="198"/>
      <c r="X16" s="198"/>
      <c r="Y16" s="79"/>
      <c r="AC16" s="131"/>
      <c r="AE16" s="106"/>
    </row>
    <row r="17">
      <c r="A17" s="4" t="s">
        <v>22</v>
      </c>
      <c r="B17" s="11">
        <v>10000.0</v>
      </c>
      <c r="C17" s="79"/>
      <c r="D17" s="79"/>
      <c r="E17" s="79"/>
      <c r="F17" s="240"/>
      <c r="G17" s="240"/>
      <c r="H17" s="201"/>
      <c r="K17" s="201"/>
      <c r="L17" s="201"/>
      <c r="M17" s="201"/>
      <c r="N17" s="198"/>
      <c r="O17" s="201"/>
      <c r="P17" s="200"/>
      <c r="Q17" s="203"/>
      <c r="R17" s="79"/>
      <c r="S17" s="198"/>
      <c r="T17" s="198"/>
      <c r="U17" s="198"/>
      <c r="V17" s="204"/>
      <c r="X17" s="198"/>
      <c r="Y17" s="79"/>
      <c r="AC17" s="131"/>
      <c r="AE17" s="106"/>
    </row>
    <row r="18">
      <c r="A18" s="4" t="s">
        <v>23</v>
      </c>
      <c r="B18" s="12">
        <f>SUM(B2:Z8)</f>
        <v>16640.16</v>
      </c>
      <c r="C18" s="192"/>
      <c r="D18" s="177"/>
      <c r="E18" s="78"/>
      <c r="F18" s="213"/>
      <c r="G18" s="213"/>
      <c r="H18" s="151"/>
      <c r="K18" s="191"/>
      <c r="L18" s="191"/>
      <c r="M18" s="201"/>
      <c r="N18" s="201"/>
      <c r="O18" s="200"/>
      <c r="P18" s="201"/>
      <c r="Q18" s="203"/>
      <c r="R18" s="79"/>
      <c r="S18" s="198"/>
      <c r="T18" s="198"/>
      <c r="U18" s="198"/>
      <c r="V18" s="204"/>
      <c r="X18" s="198"/>
      <c r="Y18" s="79"/>
      <c r="AC18" s="131"/>
      <c r="AE18" s="106"/>
    </row>
    <row r="19">
      <c r="A19" s="4" t="s">
        <v>24</v>
      </c>
      <c r="B19" s="12">
        <f> SUM(B17-B18)</f>
        <v>-6640.16</v>
      </c>
      <c r="C19" s="79"/>
      <c r="D19" s="79"/>
      <c r="E19" s="78"/>
      <c r="F19" s="201"/>
      <c r="G19" s="201"/>
      <c r="H19" s="214"/>
      <c r="K19" s="203"/>
      <c r="L19" s="203"/>
      <c r="M19" s="199"/>
      <c r="N19" s="203"/>
      <c r="O19" s="201"/>
      <c r="P19" s="200"/>
      <c r="Q19" s="203"/>
      <c r="R19" s="79"/>
      <c r="S19" s="198"/>
      <c r="T19" s="198"/>
      <c r="U19" s="198"/>
      <c r="V19" s="204"/>
      <c r="X19" s="198"/>
      <c r="Y19" s="79"/>
      <c r="AC19" s="131"/>
      <c r="AE19" s="106"/>
    </row>
    <row r="20">
      <c r="C20" s="271" t="s">
        <v>308</v>
      </c>
      <c r="D20" s="79"/>
      <c r="E20" s="78"/>
      <c r="F20" s="213"/>
      <c r="G20" s="147"/>
      <c r="H20" s="214"/>
      <c r="I20" s="203"/>
      <c r="J20" s="203"/>
      <c r="K20" s="203"/>
      <c r="L20" s="203"/>
      <c r="N20" s="201"/>
      <c r="O20" s="201"/>
      <c r="P20" s="198"/>
      <c r="Q20" s="203"/>
      <c r="R20" s="79"/>
      <c r="S20" s="206"/>
      <c r="T20" s="198"/>
      <c r="U20" s="198"/>
      <c r="V20" s="204"/>
      <c r="X20" s="198"/>
      <c r="Y20" s="79"/>
      <c r="AC20" s="131"/>
      <c r="AE20" s="106"/>
    </row>
    <row r="21">
      <c r="A21" s="13" t="s">
        <v>25</v>
      </c>
      <c r="B21" s="14">
        <f>SUM(AC2:AC8)</f>
        <v>59994.95</v>
      </c>
      <c r="C21" s="272">
        <f>SUM(AF2:AF8)</f>
        <v>59857.95</v>
      </c>
      <c r="D21" s="79"/>
      <c r="E21" s="78"/>
      <c r="F21" s="201"/>
      <c r="G21" s="262"/>
      <c r="H21" s="262"/>
      <c r="I21" s="262"/>
      <c r="J21" s="78"/>
      <c r="K21" s="203"/>
      <c r="L21" s="203"/>
      <c r="M21" s="203"/>
      <c r="N21" s="201"/>
      <c r="O21" s="201"/>
      <c r="P21" s="198"/>
      <c r="Q21" s="203"/>
      <c r="R21" s="79"/>
      <c r="S21" s="198"/>
      <c r="T21" s="198"/>
      <c r="U21" s="198"/>
      <c r="V21" s="204"/>
      <c r="X21" s="198"/>
      <c r="Y21" s="79"/>
      <c r="AC21" s="181"/>
      <c r="AE21" s="106"/>
    </row>
    <row r="22">
      <c r="A22" s="13" t="s">
        <v>26</v>
      </c>
      <c r="B22" s="15">
        <f>B18/B21</f>
        <v>0.2773593444</v>
      </c>
      <c r="C22" s="273">
        <f>B18/C21</f>
        <v>0.2779941512</v>
      </c>
      <c r="D22" s="79"/>
      <c r="E22" s="78"/>
      <c r="F22" s="204"/>
      <c r="G22" s="78"/>
      <c r="H22" s="144"/>
      <c r="I22" s="78"/>
      <c r="J22" s="79"/>
      <c r="K22" s="203"/>
      <c r="L22" s="203"/>
      <c r="M22" s="203"/>
      <c r="N22" s="201"/>
      <c r="O22" s="200"/>
      <c r="P22" s="203"/>
      <c r="Q22" s="203"/>
      <c r="R22" s="79"/>
      <c r="S22" s="198"/>
      <c r="T22" s="198"/>
      <c r="U22" s="198"/>
      <c r="V22" s="204"/>
      <c r="X22" s="198"/>
      <c r="Y22" s="79"/>
      <c r="AC22" s="130"/>
      <c r="AE22" s="106"/>
    </row>
    <row r="23">
      <c r="C23" s="79"/>
      <c r="D23" s="79"/>
      <c r="E23" s="78"/>
      <c r="F23" s="204"/>
      <c r="G23" s="78"/>
      <c r="H23" s="78"/>
      <c r="I23" s="78"/>
      <c r="J23" s="78"/>
      <c r="K23" s="203"/>
      <c r="L23" s="203"/>
      <c r="M23" s="203"/>
      <c r="N23" s="198"/>
      <c r="O23" s="198"/>
      <c r="P23" s="201"/>
      <c r="Q23" s="198"/>
      <c r="R23" s="79"/>
      <c r="S23" s="198"/>
      <c r="T23" s="198"/>
      <c r="U23" s="198"/>
      <c r="V23" s="204"/>
      <c r="X23" s="198"/>
      <c r="Y23" s="79"/>
      <c r="AC23" s="182"/>
      <c r="AE23" s="106"/>
    </row>
    <row r="24">
      <c r="C24" s="79"/>
      <c r="D24" s="79"/>
      <c r="E24" s="79"/>
      <c r="F24" s="204"/>
      <c r="G24" s="78"/>
      <c r="H24" s="78"/>
      <c r="I24" s="78"/>
      <c r="J24" s="263"/>
      <c r="K24" s="203"/>
      <c r="L24" s="203"/>
      <c r="M24" s="203"/>
      <c r="N24" s="198"/>
      <c r="O24" s="201"/>
      <c r="P24" s="201"/>
      <c r="Q24" s="198"/>
      <c r="R24" s="79"/>
      <c r="S24" s="198"/>
      <c r="T24" s="198"/>
      <c r="U24" s="198"/>
      <c r="V24" s="204"/>
      <c r="X24" s="198"/>
      <c r="Y24" s="79"/>
      <c r="AC24" s="130"/>
      <c r="AE24" s="106"/>
    </row>
    <row r="25">
      <c r="A25" s="16" t="s">
        <v>27</v>
      </c>
      <c r="B25" s="17"/>
      <c r="C25" s="114"/>
      <c r="D25" s="114"/>
      <c r="E25" s="115"/>
      <c r="F25" s="204"/>
      <c r="G25" s="78"/>
      <c r="H25" s="78"/>
      <c r="I25" s="78"/>
      <c r="J25" s="79"/>
      <c r="K25" s="203"/>
      <c r="L25" s="203"/>
      <c r="M25" s="217"/>
      <c r="N25" s="208"/>
      <c r="O25" s="208"/>
      <c r="P25" s="198"/>
      <c r="Q25" s="200"/>
      <c r="R25" s="79"/>
      <c r="S25" s="198"/>
      <c r="T25" s="198"/>
      <c r="U25" s="198"/>
      <c r="V25" s="204"/>
      <c r="X25" s="198"/>
      <c r="Y25" s="79"/>
      <c r="AC25" s="130"/>
      <c r="AE25" s="106"/>
    </row>
    <row r="26">
      <c r="A26" s="19" t="s">
        <v>28</v>
      </c>
      <c r="B26" s="20"/>
      <c r="C26" s="116"/>
      <c r="D26" s="116"/>
      <c r="E26" s="117"/>
      <c r="F26" s="204"/>
      <c r="G26" s="78"/>
      <c r="H26" s="78"/>
      <c r="I26" s="79"/>
      <c r="J26" s="79"/>
      <c r="K26" s="203"/>
      <c r="L26" s="203"/>
      <c r="M26" s="203"/>
      <c r="N26" s="209"/>
      <c r="O26" s="209"/>
      <c r="P26" s="201"/>
      <c r="Q26" s="198"/>
      <c r="R26" s="79"/>
      <c r="S26" s="198"/>
      <c r="T26" s="198"/>
      <c r="U26" s="198"/>
      <c r="V26" s="204"/>
      <c r="X26" s="198"/>
      <c r="Y26" s="79"/>
      <c r="AC26" s="130"/>
      <c r="AE26" s="106"/>
    </row>
    <row r="27">
      <c r="A27" s="183" t="s">
        <v>29</v>
      </c>
      <c r="B27" s="184" t="s">
        <v>30</v>
      </c>
      <c r="C27" s="183"/>
      <c r="D27" s="183" t="s">
        <v>170</v>
      </c>
      <c r="E27" s="219" t="s">
        <v>171</v>
      </c>
      <c r="F27" s="204"/>
      <c r="G27" s="79"/>
      <c r="H27" s="79"/>
      <c r="I27" s="79"/>
      <c r="J27" s="79"/>
      <c r="K27" s="203"/>
      <c r="L27" s="203"/>
      <c r="M27" s="201"/>
      <c r="N27" s="209"/>
      <c r="O27" s="209"/>
      <c r="P27" s="198"/>
      <c r="Q27" s="198"/>
      <c r="R27" s="79"/>
      <c r="S27" s="198"/>
      <c r="T27" s="198"/>
      <c r="U27" s="198"/>
      <c r="V27" s="204"/>
      <c r="X27" s="198"/>
      <c r="Y27" s="79"/>
      <c r="AC27" s="130"/>
      <c r="AE27" s="106"/>
    </row>
    <row r="28">
      <c r="A28" s="166" t="s">
        <v>299</v>
      </c>
      <c r="B28" s="93">
        <f>1827.74-913.87</f>
        <v>913.87</v>
      </c>
      <c r="C28" s="168"/>
      <c r="D28" s="168"/>
      <c r="E28" s="168"/>
      <c r="O28" s="79"/>
      <c r="R28" s="79"/>
      <c r="T28" s="79"/>
      <c r="U28" s="79"/>
      <c r="Y28" s="79"/>
      <c r="AC28" s="130"/>
      <c r="AE28" s="106"/>
    </row>
    <row r="29">
      <c r="A29" s="173" t="s">
        <v>309</v>
      </c>
      <c r="B29" s="180">
        <v>260.9</v>
      </c>
      <c r="C29" s="241"/>
      <c r="D29" s="241"/>
      <c r="E29" s="173"/>
      <c r="O29" s="79"/>
      <c r="R29" s="79"/>
      <c r="T29" s="79"/>
      <c r="U29" s="79"/>
      <c r="Y29" s="79"/>
      <c r="AC29" s="130"/>
      <c r="AE29" s="106"/>
    </row>
    <row r="30">
      <c r="A30" s="173" t="s">
        <v>310</v>
      </c>
      <c r="B30" s="180">
        <v>284.9</v>
      </c>
      <c r="C30" s="241"/>
      <c r="D30" s="241"/>
      <c r="E30" s="173"/>
      <c r="O30" s="79"/>
      <c r="R30" s="79"/>
      <c r="T30" s="79"/>
      <c r="U30" s="79"/>
      <c r="Y30" s="79"/>
      <c r="AC30" s="130"/>
      <c r="AE30" s="106"/>
    </row>
    <row r="31">
      <c r="A31" s="173" t="s">
        <v>311</v>
      </c>
      <c r="B31" s="180">
        <v>252.0</v>
      </c>
      <c r="C31" s="241"/>
      <c r="D31" s="241"/>
      <c r="E31" s="173"/>
      <c r="O31" s="79"/>
      <c r="R31" s="79"/>
      <c r="T31" s="79"/>
      <c r="U31" s="79"/>
      <c r="Y31" s="79"/>
      <c r="AC31" s="130"/>
      <c r="AE31" s="106"/>
    </row>
    <row r="32">
      <c r="A32" s="173" t="s">
        <v>312</v>
      </c>
      <c r="B32" s="180">
        <v>669.86</v>
      </c>
      <c r="C32" s="241"/>
      <c r="D32" s="241"/>
      <c r="E32" s="173"/>
      <c r="O32" s="79"/>
      <c r="R32" s="79"/>
      <c r="T32" s="79"/>
      <c r="U32" s="79"/>
      <c r="Y32" s="79"/>
      <c r="AC32" s="130"/>
      <c r="AE32" s="106"/>
    </row>
    <row r="33">
      <c r="A33" s="173" t="s">
        <v>313</v>
      </c>
      <c r="B33" s="180">
        <v>235.39</v>
      </c>
      <c r="C33" s="241"/>
      <c r="D33" s="241"/>
      <c r="E33" s="173"/>
      <c r="O33" s="79"/>
      <c r="R33" s="79"/>
      <c r="T33" s="79"/>
      <c r="U33" s="79"/>
      <c r="Y33" s="79"/>
      <c r="AC33" s="130"/>
      <c r="AE33" s="106"/>
    </row>
    <row r="34">
      <c r="A34" s="173" t="s">
        <v>314</v>
      </c>
      <c r="B34" s="180">
        <v>218.4</v>
      </c>
      <c r="C34" s="241"/>
      <c r="D34" s="241"/>
      <c r="E34" s="173"/>
      <c r="O34" s="79"/>
      <c r="R34" s="79"/>
      <c r="T34" s="79"/>
      <c r="U34" s="79"/>
      <c r="Y34" s="79"/>
      <c r="AC34" s="130"/>
      <c r="AE34" s="106"/>
    </row>
    <row r="35">
      <c r="A35" s="173" t="s">
        <v>37</v>
      </c>
      <c r="B35" s="180">
        <v>800.0</v>
      </c>
      <c r="C35" s="241"/>
      <c r="D35" s="241"/>
      <c r="E35" s="173"/>
      <c r="O35" s="79"/>
      <c r="R35" s="79"/>
      <c r="T35" s="79"/>
      <c r="U35" s="79"/>
      <c r="Y35" s="79"/>
      <c r="AC35" s="130"/>
      <c r="AE35" s="106"/>
    </row>
    <row r="36">
      <c r="A36" s="173" t="s">
        <v>190</v>
      </c>
      <c r="B36" s="180">
        <v>300.0</v>
      </c>
      <c r="C36" s="241"/>
      <c r="D36" s="241"/>
      <c r="E36" s="173"/>
      <c r="O36" s="79"/>
      <c r="R36" s="79"/>
      <c r="T36" s="79"/>
      <c r="U36" s="79"/>
      <c r="Y36" s="79"/>
      <c r="AC36" s="130"/>
      <c r="AE36" s="106"/>
    </row>
    <row r="37">
      <c r="C37" s="79"/>
      <c r="D37" s="79"/>
      <c r="E37" s="79"/>
      <c r="O37" s="79"/>
      <c r="R37" s="79"/>
      <c r="T37" s="79"/>
      <c r="U37" s="79"/>
      <c r="Y37" s="79"/>
      <c r="AC37" s="130"/>
      <c r="AE37" s="106"/>
    </row>
    <row r="38">
      <c r="A38" s="274"/>
      <c r="B38" s="275" t="s">
        <v>315</v>
      </c>
      <c r="F38" s="274"/>
      <c r="G38" s="274"/>
      <c r="H38" s="274"/>
      <c r="I38" s="274"/>
      <c r="J38" s="274"/>
      <c r="K38" s="274"/>
      <c r="L38" s="274"/>
      <c r="M38" s="274"/>
      <c r="N38" s="274"/>
      <c r="O38" s="274"/>
      <c r="P38" s="274"/>
      <c r="Q38" s="274"/>
      <c r="R38" s="274"/>
      <c r="S38" s="274"/>
      <c r="T38" s="274"/>
      <c r="U38" s="274"/>
      <c r="V38" s="274"/>
      <c r="W38" s="274"/>
      <c r="X38" s="274"/>
      <c r="Y38" s="274"/>
      <c r="Z38" s="274"/>
      <c r="AA38" s="274"/>
      <c r="AB38" s="274"/>
      <c r="AC38" s="276"/>
      <c r="AD38" s="274"/>
      <c r="AE38" s="277"/>
      <c r="AF38" s="274"/>
      <c r="AG38" s="274"/>
      <c r="AH38" s="274"/>
      <c r="AI38" s="274"/>
    </row>
    <row r="39">
      <c r="A39" s="16" t="s">
        <v>316</v>
      </c>
      <c r="B39" s="17"/>
      <c r="C39" s="114"/>
      <c r="D39" s="114"/>
      <c r="E39" s="115"/>
      <c r="O39" s="79"/>
      <c r="R39" s="79"/>
      <c r="T39" s="79"/>
      <c r="U39" s="79"/>
      <c r="Y39" s="79"/>
      <c r="AC39" s="130"/>
      <c r="AE39" s="106"/>
    </row>
    <row r="40">
      <c r="A40" s="19" t="s">
        <v>317</v>
      </c>
      <c r="B40" s="20"/>
      <c r="C40" s="116"/>
      <c r="D40" s="116"/>
      <c r="E40" s="117"/>
      <c r="O40" s="79"/>
      <c r="R40" s="79"/>
      <c r="T40" s="79"/>
      <c r="U40" s="79"/>
      <c r="Y40" s="79"/>
      <c r="AC40" s="130"/>
      <c r="AE40" s="106"/>
    </row>
    <row r="41">
      <c r="A41" s="278" t="s">
        <v>318</v>
      </c>
      <c r="B41" s="279" t="s">
        <v>319</v>
      </c>
      <c r="C41" s="280" t="s">
        <v>285</v>
      </c>
      <c r="D41" s="280" t="s">
        <v>30</v>
      </c>
      <c r="E41" s="281" t="s">
        <v>320</v>
      </c>
      <c r="F41" s="281" t="s">
        <v>321</v>
      </c>
      <c r="O41" s="79"/>
      <c r="R41" s="79"/>
      <c r="T41" s="79"/>
      <c r="U41" s="79"/>
      <c r="Y41" s="79"/>
      <c r="AC41" s="130"/>
      <c r="AE41" s="106"/>
    </row>
    <row r="42">
      <c r="A42" s="282" t="s">
        <v>322</v>
      </c>
      <c r="B42" s="283">
        <v>45422.0</v>
      </c>
      <c r="C42" s="166" t="s">
        <v>323</v>
      </c>
      <c r="D42" s="93">
        <v>218.4</v>
      </c>
      <c r="E42" s="284">
        <v>45425.0</v>
      </c>
      <c r="F42" s="1"/>
      <c r="O42" s="79"/>
      <c r="R42" s="79"/>
      <c r="T42" s="79"/>
      <c r="U42" s="79"/>
      <c r="Y42" s="79"/>
      <c r="AC42" s="130"/>
      <c r="AE42" s="106"/>
    </row>
    <row r="43">
      <c r="A43" s="282" t="s">
        <v>324</v>
      </c>
      <c r="B43" s="283">
        <v>45399.0</v>
      </c>
      <c r="C43" s="166" t="s">
        <v>325</v>
      </c>
      <c r="D43" s="93">
        <v>824.82</v>
      </c>
      <c r="E43" s="284">
        <v>45427.0</v>
      </c>
      <c r="F43" s="1"/>
      <c r="O43" s="79"/>
      <c r="R43" s="79"/>
      <c r="T43" s="79"/>
      <c r="U43" s="79"/>
      <c r="Y43" s="79"/>
      <c r="AC43" s="130"/>
      <c r="AE43" s="106"/>
    </row>
    <row r="44">
      <c r="A44" s="282" t="s">
        <v>326</v>
      </c>
      <c r="B44" s="283">
        <v>45406.0</v>
      </c>
      <c r="C44" s="166" t="s">
        <v>325</v>
      </c>
      <c r="D44" s="93">
        <v>877.06</v>
      </c>
      <c r="E44" s="284">
        <v>45434.0</v>
      </c>
      <c r="F44" s="1"/>
      <c r="O44" s="79"/>
      <c r="R44" s="79"/>
      <c r="T44" s="79"/>
      <c r="U44" s="79"/>
      <c r="Y44" s="79"/>
      <c r="AC44" s="130"/>
      <c r="AE44" s="106"/>
    </row>
    <row r="45">
      <c r="A45" s="282" t="s">
        <v>327</v>
      </c>
      <c r="B45" s="283">
        <v>45413.0</v>
      </c>
      <c r="C45" s="166" t="s">
        <v>325</v>
      </c>
      <c r="D45" s="93">
        <v>861.21</v>
      </c>
      <c r="E45" s="284">
        <v>45441.0</v>
      </c>
      <c r="F45" s="1"/>
      <c r="O45" s="79"/>
      <c r="R45" s="79"/>
      <c r="T45" s="79"/>
      <c r="U45" s="79"/>
      <c r="Y45" s="79"/>
      <c r="AC45" s="130"/>
      <c r="AE45" s="106"/>
    </row>
    <row r="46">
      <c r="A46" s="282" t="s">
        <v>328</v>
      </c>
      <c r="B46" s="283">
        <v>45419.0</v>
      </c>
      <c r="C46" s="166" t="s">
        <v>325</v>
      </c>
      <c r="D46" s="93">
        <v>1282.82</v>
      </c>
      <c r="E46" s="285" t="s">
        <v>329</v>
      </c>
      <c r="F46" s="6">
        <f t="shared" ref="F46:F48" si="5">D46/2</f>
        <v>641.41</v>
      </c>
      <c r="O46" s="79"/>
      <c r="R46" s="79"/>
      <c r="T46" s="79"/>
      <c r="U46" s="79"/>
      <c r="Y46" s="79"/>
      <c r="AC46" s="130"/>
      <c r="AE46" s="106"/>
    </row>
    <row r="47">
      <c r="A47" s="282" t="s">
        <v>330</v>
      </c>
      <c r="B47" s="283">
        <v>45422.0</v>
      </c>
      <c r="C47" s="166" t="s">
        <v>331</v>
      </c>
      <c r="D47" s="93">
        <v>800.0</v>
      </c>
      <c r="E47" s="285" t="s">
        <v>332</v>
      </c>
      <c r="F47" s="6">
        <f t="shared" si="5"/>
        <v>400</v>
      </c>
      <c r="O47" s="79"/>
      <c r="R47" s="79"/>
      <c r="T47" s="79"/>
      <c r="U47" s="79"/>
      <c r="Y47" s="79"/>
      <c r="AC47" s="130"/>
      <c r="AE47" s="106"/>
    </row>
    <row r="48">
      <c r="A48" s="282" t="s">
        <v>333</v>
      </c>
      <c r="B48" s="283">
        <v>45418.0</v>
      </c>
      <c r="C48" s="166" t="s">
        <v>334</v>
      </c>
      <c r="D48" s="93">
        <v>260.9</v>
      </c>
      <c r="E48" s="285" t="s">
        <v>332</v>
      </c>
      <c r="F48" s="6">
        <f t="shared" si="5"/>
        <v>130.45</v>
      </c>
      <c r="O48" s="79"/>
      <c r="R48" s="79"/>
      <c r="T48" s="79"/>
      <c r="U48" s="79"/>
      <c r="Y48" s="79"/>
      <c r="AC48" s="130"/>
      <c r="AE48" s="106"/>
    </row>
    <row r="49">
      <c r="A49" s="282" t="s">
        <v>335</v>
      </c>
      <c r="B49" s="283">
        <v>45422.0</v>
      </c>
      <c r="C49" s="166" t="s">
        <v>336</v>
      </c>
      <c r="D49" s="93">
        <v>235.39</v>
      </c>
      <c r="E49" s="284">
        <v>45425.0</v>
      </c>
      <c r="F49" s="1"/>
      <c r="O49" s="79"/>
      <c r="R49" s="79"/>
      <c r="T49" s="79"/>
      <c r="U49" s="79"/>
      <c r="Y49" s="79"/>
      <c r="AC49" s="130"/>
      <c r="AE49" s="106"/>
    </row>
    <row r="50">
      <c r="A50" s="282" t="s">
        <v>337</v>
      </c>
      <c r="B50" s="283">
        <v>45420.0</v>
      </c>
      <c r="C50" s="166" t="s">
        <v>233</v>
      </c>
      <c r="D50" s="93">
        <v>284.9</v>
      </c>
      <c r="E50" s="284">
        <v>45425.0</v>
      </c>
      <c r="F50" s="1"/>
      <c r="O50" s="79"/>
      <c r="R50" s="79"/>
      <c r="T50" s="79"/>
      <c r="U50" s="79"/>
      <c r="Y50" s="79"/>
      <c r="AC50" s="130"/>
      <c r="AE50" s="106"/>
    </row>
    <row r="51">
      <c r="A51" s="282" t="s">
        <v>338</v>
      </c>
      <c r="B51" s="286">
        <v>45423.0</v>
      </c>
      <c r="C51" s="166" t="s">
        <v>339</v>
      </c>
      <c r="D51" s="93">
        <v>300.0</v>
      </c>
      <c r="E51" s="284">
        <v>45430.0</v>
      </c>
      <c r="F51" s="1"/>
      <c r="O51" s="79"/>
      <c r="R51" s="79"/>
      <c r="T51" s="79"/>
      <c r="U51" s="79"/>
      <c r="Y51" s="79"/>
      <c r="AC51" s="130"/>
      <c r="AE51" s="106"/>
    </row>
    <row r="52">
      <c r="A52" s="282" t="s">
        <v>340</v>
      </c>
      <c r="B52" s="283">
        <v>45420.0</v>
      </c>
      <c r="C52" s="166" t="s">
        <v>341</v>
      </c>
      <c r="D52" s="93">
        <v>180.0</v>
      </c>
      <c r="E52" s="284">
        <v>45425.0</v>
      </c>
      <c r="F52" s="1"/>
      <c r="O52" s="79"/>
      <c r="R52" s="79"/>
      <c r="T52" s="79"/>
      <c r="U52" s="79"/>
      <c r="Y52" s="79"/>
      <c r="AC52" s="130"/>
      <c r="AE52" s="106"/>
    </row>
    <row r="53">
      <c r="A53" s="282" t="s">
        <v>340</v>
      </c>
      <c r="B53" s="283">
        <v>45420.0</v>
      </c>
      <c r="C53" s="166" t="s">
        <v>342</v>
      </c>
      <c r="D53" s="93">
        <v>110.0</v>
      </c>
      <c r="E53" s="284">
        <v>45425.0</v>
      </c>
      <c r="F53" s="1"/>
      <c r="O53" s="79"/>
      <c r="R53" s="79"/>
      <c r="T53" s="79"/>
      <c r="U53" s="79"/>
      <c r="Y53" s="79"/>
      <c r="AC53" s="130"/>
      <c r="AE53" s="106"/>
    </row>
    <row r="54">
      <c r="A54" s="282" t="s">
        <v>340</v>
      </c>
      <c r="B54" s="283">
        <v>45420.0</v>
      </c>
      <c r="C54" s="166" t="s">
        <v>343</v>
      </c>
      <c r="D54" s="93">
        <v>230.94</v>
      </c>
      <c r="E54" s="284">
        <v>45425.0</v>
      </c>
      <c r="F54" s="1"/>
      <c r="O54" s="79"/>
      <c r="R54" s="79"/>
      <c r="T54" s="79"/>
      <c r="U54" s="79"/>
      <c r="Y54" s="79"/>
      <c r="AC54" s="130"/>
      <c r="AE54" s="106"/>
    </row>
    <row r="55">
      <c r="A55" s="282" t="s">
        <v>340</v>
      </c>
      <c r="B55" s="283">
        <v>45420.0</v>
      </c>
      <c r="C55" s="166" t="s">
        <v>344</v>
      </c>
      <c r="D55" s="93">
        <v>133.92</v>
      </c>
      <c r="E55" s="284">
        <v>45425.0</v>
      </c>
      <c r="F55" s="1"/>
      <c r="O55" s="79"/>
      <c r="R55" s="79"/>
      <c r="T55" s="79"/>
      <c r="U55" s="79"/>
      <c r="Y55" s="79"/>
      <c r="AC55" s="130"/>
      <c r="AE55" s="106"/>
    </row>
    <row r="56">
      <c r="A56" s="282" t="s">
        <v>345</v>
      </c>
      <c r="B56" s="283">
        <v>45421.0</v>
      </c>
      <c r="C56" s="166" t="s">
        <v>346</v>
      </c>
      <c r="D56" s="93">
        <v>237.0</v>
      </c>
      <c r="E56" s="285" t="s">
        <v>347</v>
      </c>
      <c r="F56" s="6">
        <f>D56/3</f>
        <v>79</v>
      </c>
      <c r="O56" s="79"/>
      <c r="R56" s="79"/>
      <c r="T56" s="79"/>
      <c r="U56" s="79"/>
      <c r="Y56" s="79"/>
      <c r="AC56" s="130"/>
      <c r="AE56" s="106"/>
    </row>
    <row r="57">
      <c r="C57" s="79"/>
      <c r="D57" s="79"/>
      <c r="E57" s="79"/>
      <c r="O57" s="79"/>
      <c r="R57" s="79"/>
      <c r="T57" s="79"/>
      <c r="U57" s="79"/>
      <c r="Y57" s="79"/>
      <c r="AC57" s="130"/>
      <c r="AE57" s="106"/>
    </row>
    <row r="58">
      <c r="C58" s="79"/>
      <c r="D58" s="79"/>
      <c r="E58" s="79"/>
      <c r="O58" s="79"/>
      <c r="R58" s="79"/>
      <c r="T58" s="79"/>
      <c r="U58" s="79"/>
      <c r="Y58" s="79"/>
      <c r="AC58" s="130"/>
      <c r="AE58" s="106"/>
    </row>
    <row r="59">
      <c r="C59" s="79"/>
      <c r="D59" s="79"/>
      <c r="E59" s="79"/>
      <c r="O59" s="79"/>
      <c r="R59" s="79"/>
      <c r="T59" s="79"/>
      <c r="U59" s="79"/>
      <c r="Y59" s="79"/>
      <c r="AC59" s="130"/>
      <c r="AE59" s="106"/>
    </row>
    <row r="60">
      <c r="C60" s="79"/>
      <c r="D60" s="79"/>
      <c r="E60" s="79"/>
      <c r="O60" s="79"/>
      <c r="R60" s="79"/>
      <c r="T60" s="79"/>
      <c r="U60" s="79"/>
      <c r="Y60" s="79"/>
      <c r="AC60" s="130"/>
      <c r="AE60" s="106"/>
    </row>
    <row r="61">
      <c r="C61" s="79"/>
      <c r="D61" s="79"/>
      <c r="E61" s="79"/>
      <c r="O61" s="79"/>
      <c r="R61" s="79"/>
      <c r="T61" s="79"/>
      <c r="U61" s="79"/>
      <c r="Y61" s="79"/>
      <c r="AC61" s="130"/>
      <c r="AE61" s="106"/>
    </row>
    <row r="62">
      <c r="C62" s="79"/>
      <c r="D62" s="79"/>
      <c r="E62" s="79"/>
      <c r="O62" s="79"/>
      <c r="R62" s="79"/>
      <c r="T62" s="79"/>
      <c r="U62" s="79"/>
      <c r="Y62" s="79"/>
      <c r="AC62" s="130"/>
      <c r="AE62" s="106"/>
    </row>
    <row r="63">
      <c r="C63" s="79"/>
      <c r="D63" s="79"/>
      <c r="E63" s="79"/>
      <c r="O63" s="79"/>
      <c r="R63" s="79"/>
      <c r="T63" s="79"/>
      <c r="U63" s="79"/>
      <c r="Y63" s="79"/>
      <c r="AC63" s="130"/>
      <c r="AE63" s="106"/>
    </row>
    <row r="64">
      <c r="C64" s="79"/>
      <c r="D64" s="79"/>
      <c r="E64" s="79"/>
      <c r="O64" s="79"/>
      <c r="R64" s="79"/>
      <c r="T64" s="79"/>
      <c r="U64" s="79"/>
      <c r="Y64" s="79"/>
      <c r="AC64" s="130"/>
      <c r="AE64" s="106"/>
    </row>
    <row r="65">
      <c r="C65" s="79"/>
      <c r="D65" s="79"/>
      <c r="E65" s="79"/>
      <c r="O65" s="79"/>
      <c r="R65" s="79"/>
      <c r="T65" s="79"/>
      <c r="U65" s="79"/>
      <c r="Y65" s="79"/>
      <c r="AC65" s="130"/>
      <c r="AE65" s="106"/>
    </row>
    <row r="66">
      <c r="C66" s="79"/>
      <c r="D66" s="79"/>
      <c r="E66" s="79"/>
      <c r="O66" s="79"/>
      <c r="R66" s="79"/>
      <c r="T66" s="79"/>
      <c r="U66" s="79"/>
      <c r="Y66" s="79"/>
      <c r="AC66" s="130"/>
      <c r="AE66" s="106"/>
    </row>
    <row r="67">
      <c r="C67" s="79"/>
      <c r="D67" s="79"/>
      <c r="E67" s="79"/>
      <c r="O67" s="79"/>
      <c r="R67" s="79"/>
      <c r="T67" s="79"/>
      <c r="U67" s="79"/>
      <c r="Y67" s="79"/>
      <c r="AC67" s="130"/>
      <c r="AE67" s="106"/>
    </row>
    <row r="68">
      <c r="C68" s="79"/>
      <c r="D68" s="79"/>
      <c r="E68" s="79"/>
      <c r="O68" s="79"/>
      <c r="R68" s="79"/>
      <c r="T68" s="79"/>
      <c r="U68" s="79"/>
      <c r="Y68" s="79"/>
      <c r="AC68" s="130"/>
      <c r="AE68" s="106"/>
    </row>
    <row r="69">
      <c r="C69" s="79"/>
      <c r="D69" s="79"/>
      <c r="E69" s="79"/>
      <c r="O69" s="79"/>
      <c r="R69" s="79"/>
      <c r="T69" s="79"/>
      <c r="U69" s="79"/>
      <c r="Y69" s="79"/>
      <c r="AC69" s="130"/>
      <c r="AE69" s="106"/>
    </row>
    <row r="70">
      <c r="C70" s="79"/>
      <c r="D70" s="79"/>
      <c r="E70" s="79"/>
      <c r="O70" s="79"/>
      <c r="R70" s="79"/>
      <c r="T70" s="79"/>
      <c r="U70" s="79"/>
      <c r="Y70" s="79"/>
      <c r="AC70" s="130"/>
      <c r="AE70" s="106"/>
    </row>
    <row r="71">
      <c r="C71" s="79"/>
      <c r="D71" s="79"/>
      <c r="E71" s="79"/>
      <c r="O71" s="79"/>
      <c r="R71" s="79"/>
      <c r="T71" s="79"/>
      <c r="U71" s="79"/>
      <c r="Y71" s="79"/>
      <c r="AC71" s="130"/>
      <c r="AE71" s="106"/>
    </row>
    <row r="72">
      <c r="C72" s="79"/>
      <c r="D72" s="79"/>
      <c r="E72" s="79"/>
      <c r="O72" s="79"/>
      <c r="R72" s="79"/>
      <c r="T72" s="79"/>
      <c r="U72" s="79"/>
      <c r="Y72" s="79"/>
      <c r="AC72" s="130"/>
      <c r="AE72" s="106"/>
    </row>
    <row r="73">
      <c r="C73" s="79"/>
      <c r="D73" s="79"/>
      <c r="E73" s="79"/>
      <c r="O73" s="79"/>
      <c r="R73" s="79"/>
      <c r="T73" s="79"/>
      <c r="U73" s="79"/>
      <c r="Y73" s="79"/>
      <c r="AC73" s="130"/>
      <c r="AE73" s="106"/>
    </row>
    <row r="74">
      <c r="C74" s="79"/>
      <c r="D74" s="79"/>
      <c r="E74" s="79"/>
      <c r="O74" s="79"/>
      <c r="R74" s="79"/>
      <c r="T74" s="79"/>
      <c r="U74" s="79"/>
      <c r="Y74" s="79"/>
      <c r="AC74" s="130"/>
      <c r="AE74" s="106"/>
    </row>
    <row r="75">
      <c r="C75" s="79"/>
      <c r="D75" s="79"/>
      <c r="E75" s="79"/>
      <c r="O75" s="79"/>
      <c r="R75" s="79"/>
      <c r="T75" s="79"/>
      <c r="U75" s="79"/>
      <c r="Y75" s="79"/>
      <c r="AC75" s="130"/>
      <c r="AE75" s="106"/>
    </row>
    <row r="76">
      <c r="C76" s="79"/>
      <c r="D76" s="79"/>
      <c r="E76" s="79"/>
      <c r="O76" s="79"/>
      <c r="R76" s="79"/>
      <c r="T76" s="79"/>
      <c r="U76" s="79"/>
      <c r="Y76" s="79"/>
      <c r="AC76" s="130"/>
      <c r="AE76" s="106"/>
    </row>
    <row r="77">
      <c r="C77" s="79"/>
      <c r="D77" s="79"/>
      <c r="E77" s="79"/>
      <c r="O77" s="79"/>
      <c r="R77" s="79"/>
      <c r="T77" s="79"/>
      <c r="U77" s="79"/>
      <c r="Y77" s="79"/>
      <c r="AC77" s="130"/>
      <c r="AE77" s="106"/>
    </row>
    <row r="78">
      <c r="C78" s="79"/>
      <c r="D78" s="79"/>
      <c r="E78" s="79"/>
      <c r="O78" s="79"/>
      <c r="R78" s="79"/>
      <c r="T78" s="79"/>
      <c r="U78" s="79"/>
      <c r="Y78" s="79"/>
      <c r="AC78" s="130"/>
      <c r="AE78" s="106"/>
    </row>
    <row r="79">
      <c r="C79" s="79"/>
      <c r="D79" s="79"/>
      <c r="E79" s="79"/>
      <c r="O79" s="79"/>
      <c r="R79" s="79"/>
      <c r="T79" s="79"/>
      <c r="U79" s="79"/>
      <c r="Y79" s="79"/>
      <c r="AC79" s="130"/>
      <c r="AE79" s="106"/>
    </row>
    <row r="80">
      <c r="C80" s="79"/>
      <c r="D80" s="79"/>
      <c r="E80" s="79"/>
      <c r="O80" s="79"/>
      <c r="R80" s="79"/>
      <c r="T80" s="79"/>
      <c r="U80" s="79"/>
      <c r="Y80" s="79"/>
      <c r="AC80" s="130"/>
      <c r="AE80" s="106"/>
    </row>
    <row r="81">
      <c r="C81" s="79"/>
      <c r="D81" s="79"/>
      <c r="E81" s="79"/>
      <c r="O81" s="79"/>
      <c r="R81" s="79"/>
      <c r="T81" s="79"/>
      <c r="U81" s="79"/>
      <c r="Y81" s="79"/>
      <c r="AC81" s="130"/>
      <c r="AE81" s="106"/>
    </row>
    <row r="82">
      <c r="C82" s="79"/>
      <c r="D82" s="79"/>
      <c r="E82" s="79"/>
      <c r="O82" s="79"/>
      <c r="R82" s="79"/>
      <c r="T82" s="79"/>
      <c r="U82" s="79"/>
      <c r="Y82" s="79"/>
      <c r="AC82" s="130"/>
      <c r="AE82" s="106"/>
    </row>
    <row r="83">
      <c r="C83" s="79"/>
      <c r="D83" s="79"/>
      <c r="E83" s="79"/>
      <c r="O83" s="79"/>
      <c r="R83" s="79"/>
      <c r="T83" s="79"/>
      <c r="U83" s="79"/>
      <c r="Y83" s="79"/>
      <c r="AC83" s="130"/>
      <c r="AE83" s="106"/>
    </row>
    <row r="84">
      <c r="C84" s="79"/>
      <c r="D84" s="79"/>
      <c r="E84" s="79"/>
      <c r="O84" s="79"/>
      <c r="R84" s="79"/>
      <c r="T84" s="79"/>
      <c r="U84" s="79"/>
      <c r="Y84" s="79"/>
      <c r="AC84" s="130"/>
      <c r="AE84" s="106"/>
    </row>
    <row r="85">
      <c r="C85" s="79"/>
      <c r="D85" s="79"/>
      <c r="E85" s="79"/>
      <c r="O85" s="79"/>
      <c r="R85" s="79"/>
      <c r="T85" s="79"/>
      <c r="U85" s="79"/>
      <c r="Y85" s="79"/>
      <c r="AC85" s="130"/>
      <c r="AE85" s="106"/>
    </row>
    <row r="86">
      <c r="C86" s="79"/>
      <c r="D86" s="79"/>
      <c r="E86" s="79"/>
      <c r="O86" s="79"/>
      <c r="R86" s="79"/>
      <c r="T86" s="79"/>
      <c r="U86" s="79"/>
      <c r="Y86" s="79"/>
      <c r="AC86" s="130"/>
      <c r="AE86" s="106"/>
    </row>
    <row r="87">
      <c r="C87" s="79"/>
      <c r="D87" s="79"/>
      <c r="E87" s="79"/>
      <c r="O87" s="79"/>
      <c r="R87" s="79"/>
      <c r="T87" s="79"/>
      <c r="U87" s="79"/>
      <c r="Y87" s="79"/>
      <c r="AC87" s="130"/>
      <c r="AE87" s="106"/>
    </row>
    <row r="88">
      <c r="C88" s="79"/>
      <c r="D88" s="79"/>
      <c r="E88" s="79"/>
      <c r="O88" s="79"/>
      <c r="R88" s="79"/>
      <c r="T88" s="79"/>
      <c r="U88" s="79"/>
      <c r="Y88" s="79"/>
      <c r="AC88" s="130"/>
      <c r="AE88" s="106"/>
    </row>
    <row r="89">
      <c r="C89" s="79"/>
      <c r="D89" s="79"/>
      <c r="E89" s="79"/>
      <c r="O89" s="79"/>
      <c r="R89" s="79"/>
      <c r="T89" s="79"/>
      <c r="U89" s="79"/>
      <c r="Y89" s="79"/>
      <c r="AC89" s="130"/>
      <c r="AE89" s="106"/>
    </row>
    <row r="90">
      <c r="C90" s="79"/>
      <c r="D90" s="79"/>
      <c r="E90" s="79"/>
      <c r="O90" s="79"/>
      <c r="R90" s="79"/>
      <c r="T90" s="79"/>
      <c r="U90" s="79"/>
      <c r="Y90" s="79"/>
      <c r="AC90" s="130"/>
      <c r="AE90" s="106"/>
    </row>
    <row r="91">
      <c r="C91" s="79"/>
      <c r="D91" s="79"/>
      <c r="E91" s="79"/>
      <c r="O91" s="79"/>
      <c r="R91" s="79"/>
      <c r="T91" s="79"/>
      <c r="U91" s="79"/>
      <c r="Y91" s="79"/>
      <c r="AC91" s="130"/>
      <c r="AE91" s="106"/>
    </row>
    <row r="92">
      <c r="C92" s="79"/>
      <c r="D92" s="79"/>
      <c r="E92" s="79"/>
      <c r="O92" s="79"/>
      <c r="R92" s="79"/>
      <c r="T92" s="79"/>
      <c r="U92" s="79"/>
      <c r="Y92" s="79"/>
      <c r="AC92" s="130"/>
      <c r="AE92" s="106"/>
    </row>
    <row r="93">
      <c r="C93" s="79"/>
      <c r="D93" s="79"/>
      <c r="E93" s="79"/>
      <c r="O93" s="79"/>
      <c r="R93" s="79"/>
      <c r="T93" s="79"/>
      <c r="U93" s="79"/>
      <c r="Y93" s="79"/>
      <c r="AC93" s="130"/>
      <c r="AE93" s="106"/>
    </row>
    <row r="94">
      <c r="C94" s="79"/>
      <c r="D94" s="79"/>
      <c r="E94" s="79"/>
      <c r="O94" s="79"/>
      <c r="R94" s="79"/>
      <c r="T94" s="79"/>
      <c r="U94" s="79"/>
      <c r="Y94" s="79"/>
      <c r="AC94" s="130"/>
      <c r="AE94" s="106"/>
    </row>
    <row r="95">
      <c r="C95" s="79"/>
      <c r="D95" s="79"/>
      <c r="E95" s="79"/>
      <c r="O95" s="79"/>
      <c r="R95" s="79"/>
      <c r="T95" s="79"/>
      <c r="U95" s="79"/>
      <c r="Y95" s="79"/>
      <c r="AC95" s="130"/>
      <c r="AE95" s="106"/>
    </row>
    <row r="96">
      <c r="C96" s="79"/>
      <c r="D96" s="79"/>
      <c r="E96" s="79"/>
      <c r="O96" s="79"/>
      <c r="R96" s="79"/>
      <c r="T96" s="79"/>
      <c r="U96" s="79"/>
      <c r="Y96" s="79"/>
      <c r="AC96" s="130"/>
      <c r="AE96" s="106"/>
    </row>
    <row r="97">
      <c r="C97" s="79"/>
      <c r="D97" s="79"/>
      <c r="E97" s="79"/>
      <c r="O97" s="79"/>
      <c r="R97" s="79"/>
      <c r="T97" s="79"/>
      <c r="U97" s="79"/>
      <c r="Y97" s="79"/>
      <c r="AC97" s="130"/>
      <c r="AE97" s="106"/>
    </row>
    <row r="98">
      <c r="C98" s="79"/>
      <c r="D98" s="79"/>
      <c r="E98" s="79"/>
      <c r="O98" s="79"/>
      <c r="R98" s="79"/>
      <c r="T98" s="79"/>
      <c r="U98" s="79"/>
      <c r="Y98" s="79"/>
      <c r="AC98" s="130"/>
      <c r="AE98" s="106"/>
    </row>
    <row r="99">
      <c r="C99" s="79"/>
      <c r="D99" s="79"/>
      <c r="E99" s="79"/>
      <c r="O99" s="79"/>
      <c r="R99" s="79"/>
      <c r="T99" s="79"/>
      <c r="U99" s="79"/>
      <c r="Y99" s="79"/>
      <c r="AC99" s="130"/>
      <c r="AE99" s="106"/>
    </row>
    <row r="100">
      <c r="C100" s="79"/>
      <c r="D100" s="79"/>
      <c r="E100" s="79"/>
      <c r="O100" s="79"/>
      <c r="R100" s="79"/>
      <c r="T100" s="79"/>
      <c r="U100" s="79"/>
      <c r="Y100" s="79"/>
      <c r="AC100" s="130"/>
      <c r="AE100" s="106"/>
    </row>
    <row r="101">
      <c r="C101" s="79"/>
      <c r="D101" s="79"/>
      <c r="E101" s="79"/>
      <c r="O101" s="79"/>
      <c r="R101" s="79"/>
      <c r="T101" s="79"/>
      <c r="U101" s="79"/>
      <c r="Y101" s="79"/>
      <c r="AC101" s="130"/>
      <c r="AE101" s="106"/>
    </row>
    <row r="102">
      <c r="C102" s="79"/>
      <c r="D102" s="79"/>
      <c r="E102" s="79"/>
      <c r="O102" s="79"/>
      <c r="R102" s="79"/>
      <c r="T102" s="79"/>
      <c r="U102" s="79"/>
      <c r="Y102" s="79"/>
      <c r="AC102" s="130"/>
      <c r="AE102" s="106"/>
    </row>
    <row r="103">
      <c r="C103" s="79"/>
      <c r="D103" s="79"/>
      <c r="E103" s="79"/>
      <c r="O103" s="79"/>
      <c r="R103" s="79"/>
      <c r="T103" s="79"/>
      <c r="U103" s="79"/>
      <c r="Y103" s="79"/>
      <c r="AC103" s="130"/>
      <c r="AE103" s="106"/>
    </row>
    <row r="104">
      <c r="C104" s="79"/>
      <c r="D104" s="79"/>
      <c r="E104" s="79"/>
      <c r="O104" s="79"/>
      <c r="R104" s="79"/>
      <c r="T104" s="79"/>
      <c r="U104" s="79"/>
      <c r="Y104" s="79"/>
      <c r="AC104" s="130"/>
      <c r="AE104" s="106"/>
    </row>
    <row r="105">
      <c r="C105" s="79"/>
      <c r="D105" s="79"/>
      <c r="E105" s="79"/>
      <c r="O105" s="79"/>
      <c r="R105" s="79"/>
      <c r="T105" s="79"/>
      <c r="U105" s="79"/>
      <c r="Y105" s="79"/>
      <c r="AC105" s="130"/>
      <c r="AE105" s="106"/>
    </row>
    <row r="106">
      <c r="C106" s="79"/>
      <c r="D106" s="79"/>
      <c r="E106" s="79"/>
      <c r="O106" s="79"/>
      <c r="R106" s="79"/>
      <c r="T106" s="79"/>
      <c r="U106" s="79"/>
      <c r="Y106" s="79"/>
      <c r="AC106" s="130"/>
      <c r="AE106" s="106"/>
    </row>
    <row r="107">
      <c r="C107" s="79"/>
      <c r="D107" s="79"/>
      <c r="E107" s="79"/>
      <c r="O107" s="79"/>
      <c r="R107" s="79"/>
      <c r="T107" s="79"/>
      <c r="U107" s="79"/>
      <c r="Y107" s="79"/>
      <c r="AC107" s="130"/>
      <c r="AE107" s="106"/>
    </row>
    <row r="108">
      <c r="C108" s="79"/>
      <c r="D108" s="79"/>
      <c r="E108" s="79"/>
      <c r="O108" s="79"/>
      <c r="R108" s="79"/>
      <c r="T108" s="79"/>
      <c r="U108" s="79"/>
      <c r="Y108" s="79"/>
      <c r="AC108" s="130"/>
      <c r="AE108" s="106"/>
    </row>
    <row r="109">
      <c r="C109" s="79"/>
      <c r="D109" s="79"/>
      <c r="E109" s="79"/>
      <c r="O109" s="79"/>
      <c r="R109" s="79"/>
      <c r="T109" s="79"/>
      <c r="U109" s="79"/>
      <c r="Y109" s="79"/>
      <c r="AC109" s="130"/>
      <c r="AE109" s="106"/>
    </row>
    <row r="110">
      <c r="C110" s="79"/>
      <c r="D110" s="79"/>
      <c r="E110" s="79"/>
      <c r="O110" s="79"/>
      <c r="R110" s="79"/>
      <c r="T110" s="79"/>
      <c r="U110" s="79"/>
      <c r="Y110" s="79"/>
      <c r="AC110" s="130"/>
      <c r="AE110" s="106"/>
    </row>
    <row r="111">
      <c r="C111" s="79"/>
      <c r="D111" s="79"/>
      <c r="E111" s="79"/>
      <c r="O111" s="79"/>
      <c r="R111" s="79"/>
      <c r="T111" s="79"/>
      <c r="U111" s="79"/>
      <c r="Y111" s="79"/>
      <c r="AC111" s="130"/>
      <c r="AE111" s="106"/>
    </row>
    <row r="112">
      <c r="C112" s="79"/>
      <c r="D112" s="79"/>
      <c r="E112" s="79"/>
      <c r="O112" s="79"/>
      <c r="R112" s="79"/>
      <c r="T112" s="79"/>
      <c r="U112" s="79"/>
      <c r="Y112" s="79"/>
      <c r="AC112" s="130"/>
      <c r="AE112" s="106"/>
    </row>
    <row r="113">
      <c r="C113" s="79"/>
      <c r="D113" s="79"/>
      <c r="E113" s="79"/>
      <c r="O113" s="79"/>
      <c r="R113" s="79"/>
      <c r="T113" s="79"/>
      <c r="U113" s="79"/>
      <c r="Y113" s="79"/>
      <c r="AC113" s="130"/>
      <c r="AE113" s="106"/>
    </row>
    <row r="114">
      <c r="C114" s="79"/>
      <c r="D114" s="79"/>
      <c r="E114" s="79"/>
      <c r="O114" s="79"/>
      <c r="R114" s="79"/>
      <c r="T114" s="79"/>
      <c r="U114" s="79"/>
      <c r="Y114" s="79"/>
      <c r="AC114" s="130"/>
      <c r="AE114" s="106"/>
    </row>
    <row r="115">
      <c r="C115" s="79"/>
      <c r="D115" s="79"/>
      <c r="E115" s="79"/>
      <c r="O115" s="79"/>
      <c r="R115" s="79"/>
      <c r="T115" s="79"/>
      <c r="U115" s="79"/>
      <c r="Y115" s="79"/>
      <c r="AC115" s="130"/>
      <c r="AE115" s="106"/>
    </row>
    <row r="116">
      <c r="C116" s="79"/>
      <c r="D116" s="79"/>
      <c r="E116" s="79"/>
      <c r="O116" s="79"/>
      <c r="R116" s="79"/>
      <c r="T116" s="79"/>
      <c r="U116" s="79"/>
      <c r="Y116" s="79"/>
      <c r="AC116" s="130"/>
      <c r="AE116" s="106"/>
    </row>
    <row r="117">
      <c r="C117" s="79"/>
      <c r="D117" s="79"/>
      <c r="E117" s="79"/>
      <c r="O117" s="79"/>
      <c r="R117" s="79"/>
      <c r="T117" s="79"/>
      <c r="U117" s="79"/>
      <c r="Y117" s="79"/>
      <c r="AC117" s="130"/>
      <c r="AE117" s="106"/>
    </row>
    <row r="118">
      <c r="C118" s="79"/>
      <c r="D118" s="79"/>
      <c r="E118" s="79"/>
      <c r="O118" s="79"/>
      <c r="R118" s="79"/>
      <c r="T118" s="79"/>
      <c r="U118" s="79"/>
      <c r="Y118" s="79"/>
      <c r="AC118" s="130"/>
      <c r="AE118" s="106"/>
    </row>
    <row r="119">
      <c r="C119" s="79"/>
      <c r="D119" s="79"/>
      <c r="E119" s="79"/>
      <c r="O119" s="79"/>
      <c r="R119" s="79"/>
      <c r="T119" s="79"/>
      <c r="U119" s="79"/>
      <c r="Y119" s="79"/>
      <c r="AC119" s="130"/>
      <c r="AE119" s="106"/>
    </row>
    <row r="120">
      <c r="C120" s="79"/>
      <c r="D120" s="79"/>
      <c r="E120" s="79"/>
      <c r="O120" s="79"/>
      <c r="R120" s="79"/>
      <c r="T120" s="79"/>
      <c r="U120" s="79"/>
      <c r="Y120" s="79"/>
      <c r="AC120" s="130"/>
      <c r="AE120" s="106"/>
    </row>
    <row r="121">
      <c r="C121" s="79"/>
      <c r="D121" s="79"/>
      <c r="E121" s="79"/>
      <c r="O121" s="79"/>
      <c r="R121" s="79"/>
      <c r="T121" s="79"/>
      <c r="U121" s="79"/>
      <c r="Y121" s="79"/>
      <c r="AC121" s="130"/>
      <c r="AE121" s="106"/>
    </row>
    <row r="122">
      <c r="C122" s="79"/>
      <c r="D122" s="79"/>
      <c r="E122" s="79"/>
      <c r="O122" s="79"/>
      <c r="R122" s="79"/>
      <c r="T122" s="79"/>
      <c r="U122" s="79"/>
      <c r="Y122" s="79"/>
      <c r="AC122" s="130"/>
      <c r="AE122" s="106"/>
    </row>
    <row r="123">
      <c r="C123" s="79"/>
      <c r="D123" s="79"/>
      <c r="E123" s="79"/>
      <c r="O123" s="79"/>
      <c r="R123" s="79"/>
      <c r="T123" s="79"/>
      <c r="U123" s="79"/>
      <c r="Y123" s="79"/>
      <c r="AC123" s="130"/>
      <c r="AE123" s="106"/>
    </row>
    <row r="124">
      <c r="C124" s="79"/>
      <c r="D124" s="79"/>
      <c r="E124" s="79"/>
      <c r="O124" s="79"/>
      <c r="R124" s="79"/>
      <c r="T124" s="79"/>
      <c r="U124" s="79"/>
      <c r="Y124" s="79"/>
      <c r="AC124" s="130"/>
      <c r="AE124" s="106"/>
    </row>
    <row r="125">
      <c r="C125" s="79"/>
      <c r="D125" s="79"/>
      <c r="E125" s="79"/>
      <c r="O125" s="79"/>
      <c r="R125" s="79"/>
      <c r="T125" s="79"/>
      <c r="U125" s="79"/>
      <c r="Y125" s="79"/>
      <c r="AC125" s="130"/>
      <c r="AE125" s="106"/>
    </row>
    <row r="126">
      <c r="C126" s="79"/>
      <c r="D126" s="79"/>
      <c r="E126" s="79"/>
      <c r="O126" s="79"/>
      <c r="R126" s="79"/>
      <c r="T126" s="79"/>
      <c r="U126" s="79"/>
      <c r="Y126" s="79"/>
      <c r="AC126" s="130"/>
      <c r="AE126" s="106"/>
    </row>
    <row r="127">
      <c r="C127" s="79"/>
      <c r="D127" s="79"/>
      <c r="E127" s="79"/>
      <c r="O127" s="79"/>
      <c r="R127" s="79"/>
      <c r="T127" s="79"/>
      <c r="U127" s="79"/>
      <c r="Y127" s="79"/>
      <c r="AC127" s="130"/>
      <c r="AE127" s="106"/>
    </row>
    <row r="128">
      <c r="C128" s="79"/>
      <c r="D128" s="79"/>
      <c r="E128" s="79"/>
      <c r="O128" s="79"/>
      <c r="R128" s="79"/>
      <c r="T128" s="79"/>
      <c r="U128" s="79"/>
      <c r="Y128" s="79"/>
      <c r="AC128" s="130"/>
      <c r="AE128" s="106"/>
    </row>
    <row r="129">
      <c r="C129" s="79"/>
      <c r="D129" s="79"/>
      <c r="E129" s="79"/>
      <c r="O129" s="79"/>
      <c r="R129" s="79"/>
      <c r="T129" s="79"/>
      <c r="U129" s="79"/>
      <c r="Y129" s="79"/>
      <c r="AC129" s="130"/>
      <c r="AE129" s="106"/>
    </row>
    <row r="130">
      <c r="C130" s="79"/>
      <c r="D130" s="79"/>
      <c r="E130" s="79"/>
      <c r="O130" s="79"/>
      <c r="R130" s="79"/>
      <c r="T130" s="79"/>
      <c r="U130" s="79"/>
      <c r="Y130" s="79"/>
      <c r="AC130" s="130"/>
      <c r="AE130" s="106"/>
    </row>
    <row r="131">
      <c r="C131" s="79"/>
      <c r="D131" s="79"/>
      <c r="E131" s="79"/>
      <c r="O131" s="79"/>
      <c r="R131" s="79"/>
      <c r="T131" s="79"/>
      <c r="U131" s="79"/>
      <c r="Y131" s="79"/>
      <c r="AC131" s="130"/>
      <c r="AE131" s="106"/>
    </row>
    <row r="132">
      <c r="C132" s="79"/>
      <c r="D132" s="79"/>
      <c r="E132" s="79"/>
      <c r="O132" s="79"/>
      <c r="R132" s="79"/>
      <c r="T132" s="79"/>
      <c r="U132" s="79"/>
      <c r="Y132" s="79"/>
      <c r="AC132" s="130"/>
      <c r="AE132" s="106"/>
    </row>
    <row r="133">
      <c r="C133" s="79"/>
      <c r="D133" s="79"/>
      <c r="E133" s="79"/>
      <c r="O133" s="79"/>
      <c r="R133" s="79"/>
      <c r="T133" s="79"/>
      <c r="U133" s="79"/>
      <c r="Y133" s="79"/>
      <c r="AC133" s="130"/>
      <c r="AE133" s="106"/>
    </row>
    <row r="134">
      <c r="C134" s="79"/>
      <c r="D134" s="79"/>
      <c r="E134" s="79"/>
      <c r="O134" s="79"/>
      <c r="R134" s="79"/>
      <c r="T134" s="79"/>
      <c r="U134" s="79"/>
      <c r="Y134" s="79"/>
      <c r="AC134" s="130"/>
      <c r="AE134" s="106"/>
    </row>
    <row r="135">
      <c r="C135" s="79"/>
      <c r="D135" s="79"/>
      <c r="E135" s="79"/>
      <c r="O135" s="79"/>
      <c r="R135" s="79"/>
      <c r="T135" s="79"/>
      <c r="U135" s="79"/>
      <c r="Y135" s="79"/>
      <c r="AC135" s="130"/>
      <c r="AE135" s="106"/>
    </row>
    <row r="136">
      <c r="C136" s="79"/>
      <c r="D136" s="79"/>
      <c r="E136" s="79"/>
      <c r="O136" s="79"/>
      <c r="R136" s="79"/>
      <c r="T136" s="79"/>
      <c r="U136" s="79"/>
      <c r="Y136" s="79"/>
      <c r="AC136" s="130"/>
      <c r="AE136" s="106"/>
    </row>
    <row r="137">
      <c r="C137" s="79"/>
      <c r="D137" s="79"/>
      <c r="E137" s="79"/>
      <c r="O137" s="79"/>
      <c r="R137" s="79"/>
      <c r="T137" s="79"/>
      <c r="U137" s="79"/>
      <c r="Y137" s="79"/>
      <c r="AC137" s="130"/>
      <c r="AE137" s="106"/>
    </row>
    <row r="138">
      <c r="C138" s="79"/>
      <c r="D138" s="79"/>
      <c r="E138" s="79"/>
      <c r="O138" s="79"/>
      <c r="R138" s="79"/>
      <c r="T138" s="79"/>
      <c r="U138" s="79"/>
      <c r="Y138" s="79"/>
      <c r="AC138" s="130"/>
      <c r="AE138" s="106"/>
    </row>
    <row r="139">
      <c r="C139" s="79"/>
      <c r="D139" s="79"/>
      <c r="E139" s="79"/>
      <c r="O139" s="79"/>
      <c r="R139" s="79"/>
      <c r="T139" s="79"/>
      <c r="U139" s="79"/>
      <c r="Y139" s="79"/>
      <c r="AC139" s="130"/>
      <c r="AE139" s="106"/>
    </row>
    <row r="140">
      <c r="C140" s="79"/>
      <c r="D140" s="79"/>
      <c r="E140" s="79"/>
      <c r="O140" s="79"/>
      <c r="R140" s="79"/>
      <c r="T140" s="79"/>
      <c r="U140" s="79"/>
      <c r="Y140" s="79"/>
      <c r="AC140" s="130"/>
      <c r="AE140" s="106"/>
    </row>
    <row r="141">
      <c r="C141" s="79"/>
      <c r="D141" s="79"/>
      <c r="E141" s="79"/>
      <c r="O141" s="79"/>
      <c r="R141" s="79"/>
      <c r="T141" s="79"/>
      <c r="U141" s="79"/>
      <c r="Y141" s="79"/>
      <c r="AC141" s="130"/>
      <c r="AE141" s="106"/>
    </row>
    <row r="142">
      <c r="C142" s="79"/>
      <c r="D142" s="79"/>
      <c r="E142" s="79"/>
      <c r="O142" s="79"/>
      <c r="R142" s="79"/>
      <c r="T142" s="79"/>
      <c r="U142" s="79"/>
      <c r="Y142" s="79"/>
      <c r="AC142" s="130"/>
      <c r="AE142" s="106"/>
    </row>
    <row r="143">
      <c r="C143" s="79"/>
      <c r="D143" s="79"/>
      <c r="E143" s="79"/>
      <c r="O143" s="79"/>
      <c r="R143" s="79"/>
      <c r="T143" s="79"/>
      <c r="U143" s="79"/>
      <c r="Y143" s="79"/>
      <c r="AC143" s="130"/>
      <c r="AE143" s="106"/>
    </row>
    <row r="144">
      <c r="C144" s="79"/>
      <c r="D144" s="79"/>
      <c r="E144" s="79"/>
      <c r="O144" s="79"/>
      <c r="R144" s="79"/>
      <c r="T144" s="79"/>
      <c r="U144" s="79"/>
      <c r="Y144" s="79"/>
      <c r="AC144" s="130"/>
      <c r="AE144" s="106"/>
    </row>
    <row r="145">
      <c r="C145" s="79"/>
      <c r="D145" s="79"/>
      <c r="E145" s="79"/>
      <c r="O145" s="79"/>
      <c r="R145" s="79"/>
      <c r="T145" s="79"/>
      <c r="U145" s="79"/>
      <c r="Y145" s="79"/>
      <c r="AC145" s="130"/>
      <c r="AE145" s="106"/>
    </row>
    <row r="146">
      <c r="C146" s="79"/>
      <c r="D146" s="79"/>
      <c r="E146" s="79"/>
      <c r="O146" s="79"/>
      <c r="R146" s="79"/>
      <c r="T146" s="79"/>
      <c r="U146" s="79"/>
      <c r="Y146" s="79"/>
      <c r="AC146" s="130"/>
      <c r="AE146" s="106"/>
    </row>
    <row r="147">
      <c r="C147" s="79"/>
      <c r="D147" s="79"/>
      <c r="E147" s="79"/>
      <c r="O147" s="79"/>
      <c r="R147" s="79"/>
      <c r="T147" s="79"/>
      <c r="U147" s="79"/>
      <c r="Y147" s="79"/>
      <c r="AC147" s="130"/>
      <c r="AE147" s="106"/>
    </row>
    <row r="148">
      <c r="C148" s="79"/>
      <c r="D148" s="79"/>
      <c r="E148" s="79"/>
      <c r="O148" s="79"/>
      <c r="R148" s="79"/>
      <c r="T148" s="79"/>
      <c r="U148" s="79"/>
      <c r="Y148" s="79"/>
      <c r="AC148" s="130"/>
      <c r="AE148" s="106"/>
    </row>
    <row r="149">
      <c r="C149" s="79"/>
      <c r="D149" s="79"/>
      <c r="E149" s="79"/>
      <c r="O149" s="79"/>
      <c r="R149" s="79"/>
      <c r="T149" s="79"/>
      <c r="U149" s="79"/>
      <c r="Y149" s="79"/>
      <c r="AC149" s="130"/>
      <c r="AE149" s="106"/>
    </row>
    <row r="150">
      <c r="C150" s="79"/>
      <c r="D150" s="79"/>
      <c r="E150" s="79"/>
      <c r="O150" s="79"/>
      <c r="R150" s="79"/>
      <c r="T150" s="79"/>
      <c r="U150" s="79"/>
      <c r="Y150" s="79"/>
      <c r="AC150" s="130"/>
      <c r="AE150" s="106"/>
    </row>
    <row r="151">
      <c r="C151" s="79"/>
      <c r="D151" s="79"/>
      <c r="E151" s="79"/>
      <c r="O151" s="79"/>
      <c r="R151" s="79"/>
      <c r="T151" s="79"/>
      <c r="U151" s="79"/>
      <c r="Y151" s="79"/>
      <c r="AC151" s="130"/>
      <c r="AE151" s="106"/>
    </row>
    <row r="152">
      <c r="C152" s="79"/>
      <c r="D152" s="79"/>
      <c r="E152" s="79"/>
      <c r="O152" s="79"/>
      <c r="R152" s="79"/>
      <c r="T152" s="79"/>
      <c r="U152" s="79"/>
      <c r="Y152" s="79"/>
      <c r="AC152" s="130"/>
      <c r="AE152" s="106"/>
    </row>
    <row r="153">
      <c r="C153" s="79"/>
      <c r="D153" s="79"/>
      <c r="E153" s="79"/>
      <c r="O153" s="79"/>
      <c r="R153" s="79"/>
      <c r="T153" s="79"/>
      <c r="U153" s="79"/>
      <c r="Y153" s="79"/>
      <c r="AC153" s="130"/>
      <c r="AE153" s="106"/>
    </row>
    <row r="154">
      <c r="C154" s="79"/>
      <c r="D154" s="79"/>
      <c r="E154" s="79"/>
      <c r="O154" s="79"/>
      <c r="R154" s="79"/>
      <c r="T154" s="79"/>
      <c r="U154" s="79"/>
      <c r="Y154" s="79"/>
      <c r="AC154" s="130"/>
      <c r="AE154" s="106"/>
    </row>
    <row r="155">
      <c r="C155" s="79"/>
      <c r="D155" s="79"/>
      <c r="E155" s="79"/>
      <c r="O155" s="79"/>
      <c r="R155" s="79"/>
      <c r="T155" s="79"/>
      <c r="U155" s="79"/>
      <c r="Y155" s="79"/>
      <c r="AC155" s="130"/>
      <c r="AE155" s="106"/>
    </row>
    <row r="156">
      <c r="C156" s="79"/>
      <c r="D156" s="79"/>
      <c r="E156" s="79"/>
      <c r="O156" s="79"/>
      <c r="R156" s="79"/>
      <c r="T156" s="79"/>
      <c r="U156" s="79"/>
      <c r="Y156" s="79"/>
      <c r="AC156" s="130"/>
      <c r="AE156" s="106"/>
    </row>
    <row r="157">
      <c r="C157" s="79"/>
      <c r="D157" s="79"/>
      <c r="E157" s="79"/>
      <c r="O157" s="79"/>
      <c r="R157" s="79"/>
      <c r="T157" s="79"/>
      <c r="U157" s="79"/>
      <c r="Y157" s="79"/>
      <c r="AC157" s="130"/>
      <c r="AE157" s="106"/>
    </row>
    <row r="158">
      <c r="C158" s="79"/>
      <c r="D158" s="79"/>
      <c r="E158" s="79"/>
      <c r="O158" s="79"/>
      <c r="R158" s="79"/>
      <c r="T158" s="79"/>
      <c r="U158" s="79"/>
      <c r="Y158" s="79"/>
      <c r="AC158" s="130"/>
      <c r="AE158" s="106"/>
    </row>
    <row r="159">
      <c r="C159" s="79"/>
      <c r="D159" s="79"/>
      <c r="E159" s="79"/>
      <c r="O159" s="79"/>
      <c r="R159" s="79"/>
      <c r="T159" s="79"/>
      <c r="U159" s="79"/>
      <c r="Y159" s="79"/>
      <c r="AC159" s="130"/>
      <c r="AE159" s="106"/>
    </row>
    <row r="160">
      <c r="C160" s="79"/>
      <c r="D160" s="79"/>
      <c r="E160" s="79"/>
      <c r="O160" s="79"/>
      <c r="R160" s="79"/>
      <c r="T160" s="79"/>
      <c r="U160" s="79"/>
      <c r="Y160" s="79"/>
      <c r="AC160" s="130"/>
      <c r="AE160" s="106"/>
    </row>
    <row r="161">
      <c r="C161" s="79"/>
      <c r="D161" s="79"/>
      <c r="E161" s="79"/>
      <c r="O161" s="79"/>
      <c r="R161" s="79"/>
      <c r="T161" s="79"/>
      <c r="U161" s="79"/>
      <c r="Y161" s="79"/>
      <c r="AC161" s="130"/>
      <c r="AE161" s="106"/>
    </row>
    <row r="162">
      <c r="C162" s="79"/>
      <c r="D162" s="79"/>
      <c r="E162" s="79"/>
      <c r="O162" s="79"/>
      <c r="R162" s="79"/>
      <c r="T162" s="79"/>
      <c r="U162" s="79"/>
      <c r="Y162" s="79"/>
      <c r="AC162" s="130"/>
      <c r="AE162" s="106"/>
    </row>
    <row r="163">
      <c r="C163" s="79"/>
      <c r="D163" s="79"/>
      <c r="E163" s="79"/>
      <c r="O163" s="79"/>
      <c r="R163" s="79"/>
      <c r="T163" s="79"/>
      <c r="U163" s="79"/>
      <c r="Y163" s="79"/>
      <c r="AC163" s="130"/>
      <c r="AE163" s="106"/>
    </row>
    <row r="164">
      <c r="C164" s="79"/>
      <c r="D164" s="79"/>
      <c r="E164" s="79"/>
      <c r="O164" s="79"/>
      <c r="R164" s="79"/>
      <c r="T164" s="79"/>
      <c r="U164" s="79"/>
      <c r="Y164" s="79"/>
      <c r="AC164" s="130"/>
      <c r="AE164" s="106"/>
    </row>
    <row r="165">
      <c r="C165" s="79"/>
      <c r="D165" s="79"/>
      <c r="E165" s="79"/>
      <c r="O165" s="79"/>
      <c r="R165" s="79"/>
      <c r="T165" s="79"/>
      <c r="U165" s="79"/>
      <c r="Y165" s="79"/>
      <c r="AC165" s="130"/>
      <c r="AE165" s="106"/>
    </row>
    <row r="166">
      <c r="C166" s="79"/>
      <c r="D166" s="79"/>
      <c r="E166" s="79"/>
      <c r="O166" s="79"/>
      <c r="R166" s="79"/>
      <c r="T166" s="79"/>
      <c r="U166" s="79"/>
      <c r="Y166" s="79"/>
      <c r="AC166" s="130"/>
      <c r="AE166" s="106"/>
    </row>
    <row r="167">
      <c r="C167" s="79"/>
      <c r="D167" s="79"/>
      <c r="E167" s="79"/>
      <c r="O167" s="79"/>
      <c r="R167" s="79"/>
      <c r="T167" s="79"/>
      <c r="U167" s="79"/>
      <c r="Y167" s="79"/>
      <c r="AC167" s="130"/>
      <c r="AE167" s="106"/>
    </row>
    <row r="168">
      <c r="C168" s="79"/>
      <c r="D168" s="79"/>
      <c r="E168" s="79"/>
      <c r="O168" s="79"/>
      <c r="R168" s="79"/>
      <c r="T168" s="79"/>
      <c r="U168" s="79"/>
      <c r="Y168" s="79"/>
      <c r="AC168" s="130"/>
      <c r="AE168" s="106"/>
    </row>
    <row r="169">
      <c r="C169" s="79"/>
      <c r="D169" s="79"/>
      <c r="E169" s="79"/>
      <c r="O169" s="79"/>
      <c r="R169" s="79"/>
      <c r="T169" s="79"/>
      <c r="U169" s="79"/>
      <c r="Y169" s="79"/>
      <c r="AC169" s="130"/>
      <c r="AE169" s="106"/>
    </row>
    <row r="170">
      <c r="C170" s="79"/>
      <c r="D170" s="79"/>
      <c r="E170" s="79"/>
      <c r="O170" s="79"/>
      <c r="R170" s="79"/>
      <c r="T170" s="79"/>
      <c r="U170" s="79"/>
      <c r="Y170" s="79"/>
      <c r="AC170" s="130"/>
      <c r="AE170" s="106"/>
    </row>
    <row r="171">
      <c r="C171" s="79"/>
      <c r="D171" s="79"/>
      <c r="E171" s="79"/>
      <c r="O171" s="79"/>
      <c r="R171" s="79"/>
      <c r="T171" s="79"/>
      <c r="U171" s="79"/>
      <c r="Y171" s="79"/>
      <c r="AC171" s="130"/>
      <c r="AE171" s="106"/>
    </row>
    <row r="172">
      <c r="C172" s="79"/>
      <c r="D172" s="79"/>
      <c r="E172" s="79"/>
      <c r="O172" s="79"/>
      <c r="R172" s="79"/>
      <c r="T172" s="79"/>
      <c r="U172" s="79"/>
      <c r="Y172" s="79"/>
      <c r="AC172" s="130"/>
      <c r="AE172" s="106"/>
    </row>
    <row r="173">
      <c r="C173" s="79"/>
      <c r="D173" s="79"/>
      <c r="E173" s="79"/>
      <c r="O173" s="79"/>
      <c r="R173" s="79"/>
      <c r="T173" s="79"/>
      <c r="U173" s="79"/>
      <c r="Y173" s="79"/>
      <c r="AC173" s="130"/>
      <c r="AE173" s="106"/>
    </row>
    <row r="174">
      <c r="C174" s="79"/>
      <c r="D174" s="79"/>
      <c r="E174" s="79"/>
      <c r="O174" s="79"/>
      <c r="R174" s="79"/>
      <c r="T174" s="79"/>
      <c r="U174" s="79"/>
      <c r="Y174" s="79"/>
      <c r="AC174" s="130"/>
      <c r="AE174" s="106"/>
    </row>
    <row r="175">
      <c r="C175" s="79"/>
      <c r="D175" s="79"/>
      <c r="E175" s="79"/>
      <c r="O175" s="79"/>
      <c r="R175" s="79"/>
      <c r="T175" s="79"/>
      <c r="U175" s="79"/>
      <c r="Y175" s="79"/>
      <c r="AC175" s="130"/>
      <c r="AE175" s="106"/>
    </row>
    <row r="176">
      <c r="C176" s="79"/>
      <c r="D176" s="79"/>
      <c r="E176" s="79"/>
      <c r="O176" s="79"/>
      <c r="R176" s="79"/>
      <c r="T176" s="79"/>
      <c r="U176" s="79"/>
      <c r="Y176" s="79"/>
      <c r="AC176" s="130"/>
      <c r="AE176" s="106"/>
    </row>
    <row r="177">
      <c r="C177" s="79"/>
      <c r="D177" s="79"/>
      <c r="E177" s="79"/>
      <c r="O177" s="79"/>
      <c r="R177" s="79"/>
      <c r="T177" s="79"/>
      <c r="U177" s="79"/>
      <c r="Y177" s="79"/>
      <c r="AC177" s="130"/>
      <c r="AE177" s="106"/>
    </row>
    <row r="178">
      <c r="C178" s="79"/>
      <c r="D178" s="79"/>
      <c r="E178" s="79"/>
      <c r="O178" s="79"/>
      <c r="R178" s="79"/>
      <c r="T178" s="79"/>
      <c r="U178" s="79"/>
      <c r="Y178" s="79"/>
      <c r="AC178" s="130"/>
      <c r="AE178" s="106"/>
    </row>
    <row r="179">
      <c r="C179" s="79"/>
      <c r="D179" s="79"/>
      <c r="E179" s="79"/>
      <c r="O179" s="79"/>
      <c r="R179" s="79"/>
      <c r="T179" s="79"/>
      <c r="U179" s="79"/>
      <c r="Y179" s="79"/>
      <c r="AC179" s="130"/>
      <c r="AE179" s="106"/>
    </row>
    <row r="180">
      <c r="C180" s="79"/>
      <c r="D180" s="79"/>
      <c r="E180" s="79"/>
      <c r="O180" s="79"/>
      <c r="R180" s="79"/>
      <c r="T180" s="79"/>
      <c r="U180" s="79"/>
      <c r="Y180" s="79"/>
      <c r="AC180" s="130"/>
      <c r="AE180" s="106"/>
    </row>
    <row r="181">
      <c r="C181" s="79"/>
      <c r="D181" s="79"/>
      <c r="E181" s="79"/>
      <c r="O181" s="79"/>
      <c r="R181" s="79"/>
      <c r="T181" s="79"/>
      <c r="U181" s="79"/>
      <c r="Y181" s="79"/>
      <c r="AC181" s="130"/>
      <c r="AE181" s="106"/>
    </row>
    <row r="182">
      <c r="C182" s="79"/>
      <c r="D182" s="79"/>
      <c r="E182" s="79"/>
      <c r="O182" s="79"/>
      <c r="R182" s="79"/>
      <c r="T182" s="79"/>
      <c r="U182" s="79"/>
      <c r="Y182" s="79"/>
      <c r="AC182" s="130"/>
      <c r="AE182" s="106"/>
    </row>
    <row r="183">
      <c r="C183" s="79"/>
      <c r="D183" s="79"/>
      <c r="E183" s="79"/>
      <c r="O183" s="79"/>
      <c r="R183" s="79"/>
      <c r="T183" s="79"/>
      <c r="U183" s="79"/>
      <c r="Y183" s="79"/>
      <c r="AC183" s="130"/>
      <c r="AE183" s="106"/>
    </row>
    <row r="184">
      <c r="C184" s="79"/>
      <c r="D184" s="79"/>
      <c r="E184" s="79"/>
      <c r="O184" s="79"/>
      <c r="R184" s="79"/>
      <c r="T184" s="79"/>
      <c r="U184" s="79"/>
      <c r="Y184" s="79"/>
      <c r="AC184" s="130"/>
      <c r="AE184" s="106"/>
    </row>
    <row r="185">
      <c r="C185" s="79"/>
      <c r="D185" s="79"/>
      <c r="E185" s="79"/>
      <c r="O185" s="79"/>
      <c r="R185" s="79"/>
      <c r="T185" s="79"/>
      <c r="U185" s="79"/>
      <c r="Y185" s="79"/>
      <c r="AC185" s="130"/>
      <c r="AE185" s="106"/>
    </row>
    <row r="186">
      <c r="C186" s="79"/>
      <c r="D186" s="79"/>
      <c r="E186" s="79"/>
      <c r="O186" s="79"/>
      <c r="R186" s="79"/>
      <c r="T186" s="79"/>
      <c r="U186" s="79"/>
      <c r="Y186" s="79"/>
      <c r="AC186" s="130"/>
      <c r="AE186" s="106"/>
    </row>
    <row r="187">
      <c r="C187" s="79"/>
      <c r="D187" s="79"/>
      <c r="E187" s="79"/>
      <c r="O187" s="79"/>
      <c r="R187" s="79"/>
      <c r="T187" s="79"/>
      <c r="U187" s="79"/>
      <c r="Y187" s="79"/>
      <c r="AC187" s="130"/>
      <c r="AE187" s="106"/>
    </row>
    <row r="188">
      <c r="C188" s="79"/>
      <c r="D188" s="79"/>
      <c r="E188" s="79"/>
      <c r="O188" s="79"/>
      <c r="R188" s="79"/>
      <c r="T188" s="79"/>
      <c r="U188" s="79"/>
      <c r="Y188" s="79"/>
      <c r="AC188" s="130"/>
      <c r="AE188" s="106"/>
    </row>
    <row r="189">
      <c r="C189" s="79"/>
      <c r="D189" s="79"/>
      <c r="E189" s="79"/>
      <c r="O189" s="79"/>
      <c r="R189" s="79"/>
      <c r="T189" s="79"/>
      <c r="U189" s="79"/>
      <c r="Y189" s="79"/>
      <c r="AC189" s="130"/>
      <c r="AE189" s="106"/>
    </row>
    <row r="190">
      <c r="C190" s="79"/>
      <c r="D190" s="79"/>
      <c r="E190" s="79"/>
      <c r="O190" s="79"/>
      <c r="R190" s="79"/>
      <c r="T190" s="79"/>
      <c r="U190" s="79"/>
      <c r="Y190" s="79"/>
      <c r="AC190" s="130"/>
      <c r="AE190" s="106"/>
    </row>
    <row r="191">
      <c r="C191" s="79"/>
      <c r="D191" s="79"/>
      <c r="E191" s="79"/>
      <c r="O191" s="79"/>
      <c r="R191" s="79"/>
      <c r="T191" s="79"/>
      <c r="U191" s="79"/>
      <c r="Y191" s="79"/>
      <c r="AC191" s="130"/>
      <c r="AE191" s="106"/>
    </row>
    <row r="192">
      <c r="C192" s="79"/>
      <c r="D192" s="79"/>
      <c r="E192" s="79"/>
      <c r="O192" s="79"/>
      <c r="R192" s="79"/>
      <c r="T192" s="79"/>
      <c r="U192" s="79"/>
      <c r="Y192" s="79"/>
      <c r="AC192" s="130"/>
      <c r="AE192" s="106"/>
    </row>
    <row r="193">
      <c r="C193" s="79"/>
      <c r="D193" s="79"/>
      <c r="E193" s="79"/>
      <c r="O193" s="79"/>
      <c r="R193" s="79"/>
      <c r="T193" s="79"/>
      <c r="U193" s="79"/>
      <c r="Y193" s="79"/>
      <c r="AC193" s="130"/>
      <c r="AE193" s="106"/>
    </row>
    <row r="194">
      <c r="C194" s="79"/>
      <c r="D194" s="79"/>
      <c r="E194" s="79"/>
      <c r="O194" s="79"/>
      <c r="R194" s="79"/>
      <c r="T194" s="79"/>
      <c r="U194" s="79"/>
      <c r="Y194" s="79"/>
      <c r="AC194" s="130"/>
      <c r="AE194" s="106"/>
    </row>
    <row r="195">
      <c r="C195" s="79"/>
      <c r="D195" s="79"/>
      <c r="E195" s="79"/>
      <c r="O195" s="79"/>
      <c r="R195" s="79"/>
      <c r="T195" s="79"/>
      <c r="U195" s="79"/>
      <c r="Y195" s="79"/>
      <c r="AC195" s="130"/>
      <c r="AE195" s="106"/>
    </row>
    <row r="196">
      <c r="C196" s="79"/>
      <c r="D196" s="79"/>
      <c r="E196" s="79"/>
      <c r="O196" s="79"/>
      <c r="R196" s="79"/>
      <c r="T196" s="79"/>
      <c r="U196" s="79"/>
      <c r="Y196" s="79"/>
      <c r="AC196" s="130"/>
      <c r="AE196" s="106"/>
    </row>
    <row r="197">
      <c r="C197" s="79"/>
      <c r="D197" s="79"/>
      <c r="E197" s="79"/>
      <c r="O197" s="79"/>
      <c r="R197" s="79"/>
      <c r="T197" s="79"/>
      <c r="U197" s="79"/>
      <c r="Y197" s="79"/>
      <c r="AC197" s="130"/>
      <c r="AE197" s="106"/>
    </row>
    <row r="198">
      <c r="C198" s="79"/>
      <c r="D198" s="79"/>
      <c r="E198" s="79"/>
      <c r="O198" s="79"/>
      <c r="R198" s="79"/>
      <c r="T198" s="79"/>
      <c r="U198" s="79"/>
      <c r="Y198" s="79"/>
      <c r="AC198" s="130"/>
      <c r="AE198" s="106"/>
    </row>
    <row r="199">
      <c r="C199" s="79"/>
      <c r="D199" s="79"/>
      <c r="E199" s="79"/>
      <c r="O199" s="79"/>
      <c r="R199" s="79"/>
      <c r="T199" s="79"/>
      <c r="U199" s="79"/>
      <c r="Y199" s="79"/>
      <c r="AC199" s="130"/>
      <c r="AE199" s="106"/>
    </row>
    <row r="200">
      <c r="C200" s="79"/>
      <c r="D200" s="79"/>
      <c r="E200" s="79"/>
      <c r="O200" s="79"/>
      <c r="R200" s="79"/>
      <c r="T200" s="79"/>
      <c r="U200" s="79"/>
      <c r="Y200" s="79"/>
      <c r="AC200" s="130"/>
      <c r="AE200" s="106"/>
    </row>
    <row r="201">
      <c r="C201" s="79"/>
      <c r="D201" s="79"/>
      <c r="E201" s="79"/>
      <c r="O201" s="79"/>
      <c r="R201" s="79"/>
      <c r="T201" s="79"/>
      <c r="U201" s="79"/>
      <c r="Y201" s="79"/>
      <c r="AC201" s="130"/>
      <c r="AE201" s="106"/>
    </row>
    <row r="202">
      <c r="C202" s="79"/>
      <c r="D202" s="79"/>
      <c r="E202" s="79"/>
      <c r="O202" s="79"/>
      <c r="R202" s="79"/>
      <c r="T202" s="79"/>
      <c r="U202" s="79"/>
      <c r="Y202" s="79"/>
      <c r="AC202" s="130"/>
      <c r="AE202" s="106"/>
    </row>
    <row r="203">
      <c r="C203" s="79"/>
      <c r="D203" s="79"/>
      <c r="E203" s="79"/>
      <c r="O203" s="79"/>
      <c r="R203" s="79"/>
      <c r="T203" s="79"/>
      <c r="U203" s="79"/>
      <c r="Y203" s="79"/>
      <c r="AC203" s="130"/>
      <c r="AE203" s="106"/>
    </row>
    <row r="204">
      <c r="C204" s="79"/>
      <c r="D204" s="79"/>
      <c r="E204" s="79"/>
      <c r="O204" s="79"/>
      <c r="R204" s="79"/>
      <c r="T204" s="79"/>
      <c r="U204" s="79"/>
      <c r="Y204" s="79"/>
      <c r="AC204" s="130"/>
      <c r="AE204" s="106"/>
    </row>
    <row r="205">
      <c r="C205" s="79"/>
      <c r="D205" s="79"/>
      <c r="E205" s="79"/>
      <c r="O205" s="79"/>
      <c r="R205" s="79"/>
      <c r="T205" s="79"/>
      <c r="U205" s="79"/>
      <c r="Y205" s="79"/>
      <c r="AC205" s="130"/>
      <c r="AE205" s="106"/>
    </row>
    <row r="206">
      <c r="C206" s="79"/>
      <c r="D206" s="79"/>
      <c r="E206" s="79"/>
      <c r="O206" s="79"/>
      <c r="R206" s="79"/>
      <c r="T206" s="79"/>
      <c r="U206" s="79"/>
      <c r="Y206" s="79"/>
      <c r="AC206" s="130"/>
      <c r="AE206" s="106"/>
    </row>
    <row r="207">
      <c r="C207" s="79"/>
      <c r="D207" s="79"/>
      <c r="E207" s="79"/>
      <c r="O207" s="79"/>
      <c r="R207" s="79"/>
      <c r="T207" s="79"/>
      <c r="U207" s="79"/>
      <c r="Y207" s="79"/>
      <c r="AC207" s="130"/>
      <c r="AE207" s="106"/>
    </row>
    <row r="208">
      <c r="C208" s="79"/>
      <c r="D208" s="79"/>
      <c r="E208" s="79"/>
      <c r="O208" s="79"/>
      <c r="R208" s="79"/>
      <c r="T208" s="79"/>
      <c r="U208" s="79"/>
      <c r="Y208" s="79"/>
      <c r="AC208" s="130"/>
      <c r="AE208" s="106"/>
    </row>
    <row r="209">
      <c r="C209" s="79"/>
      <c r="D209" s="79"/>
      <c r="E209" s="79"/>
      <c r="O209" s="79"/>
      <c r="R209" s="79"/>
      <c r="T209" s="79"/>
      <c r="U209" s="79"/>
      <c r="Y209" s="79"/>
      <c r="AC209" s="130"/>
      <c r="AE209" s="106"/>
    </row>
    <row r="210">
      <c r="C210" s="79"/>
      <c r="D210" s="79"/>
      <c r="E210" s="79"/>
      <c r="O210" s="79"/>
      <c r="R210" s="79"/>
      <c r="T210" s="79"/>
      <c r="U210" s="79"/>
      <c r="Y210" s="79"/>
      <c r="AC210" s="130"/>
      <c r="AE210" s="106"/>
    </row>
    <row r="211">
      <c r="C211" s="79"/>
      <c r="D211" s="79"/>
      <c r="E211" s="79"/>
      <c r="O211" s="79"/>
      <c r="R211" s="79"/>
      <c r="T211" s="79"/>
      <c r="U211" s="79"/>
      <c r="Y211" s="79"/>
      <c r="AC211" s="130"/>
      <c r="AE211" s="106"/>
    </row>
    <row r="212">
      <c r="C212" s="79"/>
      <c r="D212" s="79"/>
      <c r="E212" s="79"/>
      <c r="O212" s="79"/>
      <c r="R212" s="79"/>
      <c r="T212" s="79"/>
      <c r="U212" s="79"/>
      <c r="Y212" s="79"/>
      <c r="AC212" s="130"/>
      <c r="AE212" s="106"/>
    </row>
    <row r="213">
      <c r="C213" s="79"/>
      <c r="D213" s="79"/>
      <c r="E213" s="79"/>
      <c r="O213" s="79"/>
      <c r="R213" s="79"/>
      <c r="T213" s="79"/>
      <c r="U213" s="79"/>
      <c r="Y213" s="79"/>
      <c r="AC213" s="130"/>
      <c r="AE213" s="106"/>
    </row>
    <row r="214">
      <c r="C214" s="79"/>
      <c r="D214" s="79"/>
      <c r="E214" s="79"/>
      <c r="O214" s="79"/>
      <c r="R214" s="79"/>
      <c r="T214" s="79"/>
      <c r="U214" s="79"/>
      <c r="Y214" s="79"/>
      <c r="AC214" s="130"/>
      <c r="AE214" s="106"/>
    </row>
    <row r="215">
      <c r="C215" s="79"/>
      <c r="D215" s="79"/>
      <c r="E215" s="79"/>
      <c r="O215" s="79"/>
      <c r="R215" s="79"/>
      <c r="T215" s="79"/>
      <c r="U215" s="79"/>
      <c r="Y215" s="79"/>
      <c r="AC215" s="130"/>
      <c r="AE215" s="106"/>
    </row>
    <row r="216">
      <c r="C216" s="79"/>
      <c r="D216" s="79"/>
      <c r="E216" s="79"/>
      <c r="O216" s="79"/>
      <c r="R216" s="79"/>
      <c r="T216" s="79"/>
      <c r="U216" s="79"/>
      <c r="Y216" s="79"/>
      <c r="AC216" s="130"/>
      <c r="AE216" s="106"/>
    </row>
    <row r="217">
      <c r="C217" s="79"/>
      <c r="D217" s="79"/>
      <c r="E217" s="79"/>
      <c r="O217" s="79"/>
      <c r="R217" s="79"/>
      <c r="T217" s="79"/>
      <c r="U217" s="79"/>
      <c r="Y217" s="79"/>
      <c r="AC217" s="130"/>
      <c r="AE217" s="106"/>
    </row>
    <row r="218">
      <c r="C218" s="79"/>
      <c r="D218" s="79"/>
      <c r="E218" s="79"/>
      <c r="O218" s="79"/>
      <c r="R218" s="79"/>
      <c r="T218" s="79"/>
      <c r="U218" s="79"/>
      <c r="Y218" s="79"/>
      <c r="AC218" s="130"/>
      <c r="AE218" s="106"/>
    </row>
    <row r="219">
      <c r="C219" s="79"/>
      <c r="D219" s="79"/>
      <c r="E219" s="79"/>
      <c r="O219" s="79"/>
      <c r="R219" s="79"/>
      <c r="T219" s="79"/>
      <c r="U219" s="79"/>
      <c r="Y219" s="79"/>
      <c r="AC219" s="130"/>
      <c r="AE219" s="106"/>
    </row>
    <row r="220">
      <c r="C220" s="79"/>
      <c r="D220" s="79"/>
      <c r="E220" s="79"/>
      <c r="O220" s="79"/>
      <c r="R220" s="79"/>
      <c r="T220" s="79"/>
      <c r="U220" s="79"/>
      <c r="Y220" s="79"/>
      <c r="AC220" s="130"/>
      <c r="AE220" s="106"/>
    </row>
    <row r="221">
      <c r="C221" s="79"/>
      <c r="D221" s="79"/>
      <c r="E221" s="79"/>
      <c r="O221" s="79"/>
      <c r="R221" s="79"/>
      <c r="T221" s="79"/>
      <c r="U221" s="79"/>
      <c r="Y221" s="79"/>
      <c r="AC221" s="130"/>
      <c r="AE221" s="106"/>
    </row>
    <row r="222">
      <c r="C222" s="79"/>
      <c r="D222" s="79"/>
      <c r="E222" s="79"/>
      <c r="O222" s="79"/>
      <c r="R222" s="79"/>
      <c r="T222" s="79"/>
      <c r="U222" s="79"/>
      <c r="Y222" s="79"/>
      <c r="AC222" s="130"/>
      <c r="AE222" s="106"/>
    </row>
    <row r="223">
      <c r="C223" s="79"/>
      <c r="D223" s="79"/>
      <c r="E223" s="79"/>
      <c r="O223" s="79"/>
      <c r="R223" s="79"/>
      <c r="T223" s="79"/>
      <c r="U223" s="79"/>
      <c r="Y223" s="79"/>
      <c r="AC223" s="130"/>
      <c r="AE223" s="106"/>
    </row>
    <row r="224">
      <c r="C224" s="79"/>
      <c r="D224" s="79"/>
      <c r="E224" s="79"/>
      <c r="O224" s="79"/>
      <c r="R224" s="79"/>
      <c r="T224" s="79"/>
      <c r="U224" s="79"/>
      <c r="Y224" s="79"/>
      <c r="AC224" s="130"/>
      <c r="AE224" s="106"/>
    </row>
    <row r="225">
      <c r="C225" s="79"/>
      <c r="D225" s="79"/>
      <c r="E225" s="79"/>
      <c r="O225" s="79"/>
      <c r="R225" s="79"/>
      <c r="T225" s="79"/>
      <c r="U225" s="79"/>
      <c r="Y225" s="79"/>
      <c r="AC225" s="130"/>
      <c r="AE225" s="106"/>
    </row>
    <row r="226">
      <c r="C226" s="79"/>
      <c r="D226" s="79"/>
      <c r="E226" s="79"/>
      <c r="O226" s="79"/>
      <c r="R226" s="79"/>
      <c r="T226" s="79"/>
      <c r="U226" s="79"/>
      <c r="Y226" s="79"/>
      <c r="AC226" s="130"/>
      <c r="AE226" s="106"/>
    </row>
    <row r="227">
      <c r="C227" s="79"/>
      <c r="D227" s="79"/>
      <c r="E227" s="79"/>
      <c r="O227" s="79"/>
      <c r="R227" s="79"/>
      <c r="T227" s="79"/>
      <c r="U227" s="79"/>
      <c r="Y227" s="79"/>
      <c r="AC227" s="130"/>
      <c r="AE227" s="106"/>
    </row>
    <row r="228">
      <c r="C228" s="79"/>
      <c r="D228" s="79"/>
      <c r="E228" s="79"/>
      <c r="O228" s="79"/>
      <c r="R228" s="79"/>
      <c r="T228" s="79"/>
      <c r="U228" s="79"/>
      <c r="Y228" s="79"/>
      <c r="AC228" s="130"/>
      <c r="AE228" s="106"/>
    </row>
    <row r="229">
      <c r="C229" s="79"/>
      <c r="D229" s="79"/>
      <c r="E229" s="79"/>
      <c r="O229" s="79"/>
      <c r="R229" s="79"/>
      <c r="T229" s="79"/>
      <c r="U229" s="79"/>
      <c r="Y229" s="79"/>
      <c r="AC229" s="130"/>
      <c r="AE229" s="106"/>
    </row>
    <row r="230">
      <c r="C230" s="79"/>
      <c r="D230" s="79"/>
      <c r="E230" s="79"/>
      <c r="O230" s="79"/>
      <c r="R230" s="79"/>
      <c r="T230" s="79"/>
      <c r="U230" s="79"/>
      <c r="Y230" s="79"/>
      <c r="AC230" s="130"/>
      <c r="AE230" s="106"/>
    </row>
    <row r="231">
      <c r="C231" s="79"/>
      <c r="D231" s="79"/>
      <c r="E231" s="79"/>
      <c r="O231" s="79"/>
      <c r="R231" s="79"/>
      <c r="T231" s="79"/>
      <c r="U231" s="79"/>
      <c r="Y231" s="79"/>
      <c r="AC231" s="130"/>
      <c r="AE231" s="106"/>
    </row>
    <row r="232">
      <c r="C232" s="79"/>
      <c r="D232" s="79"/>
      <c r="E232" s="79"/>
      <c r="O232" s="79"/>
      <c r="R232" s="79"/>
      <c r="T232" s="79"/>
      <c r="U232" s="79"/>
      <c r="Y232" s="79"/>
      <c r="AC232" s="130"/>
      <c r="AE232" s="106"/>
    </row>
    <row r="233">
      <c r="C233" s="79"/>
      <c r="D233" s="79"/>
      <c r="E233" s="79"/>
      <c r="O233" s="79"/>
      <c r="R233" s="79"/>
      <c r="T233" s="79"/>
      <c r="U233" s="79"/>
      <c r="Y233" s="79"/>
      <c r="AC233" s="130"/>
      <c r="AE233" s="106"/>
    </row>
    <row r="234">
      <c r="C234" s="79"/>
      <c r="D234" s="79"/>
      <c r="E234" s="79"/>
      <c r="O234" s="79"/>
      <c r="R234" s="79"/>
      <c r="T234" s="79"/>
      <c r="U234" s="79"/>
      <c r="Y234" s="79"/>
      <c r="AC234" s="130"/>
      <c r="AE234" s="106"/>
    </row>
    <row r="235">
      <c r="C235" s="79"/>
      <c r="D235" s="79"/>
      <c r="E235" s="79"/>
      <c r="O235" s="79"/>
      <c r="R235" s="79"/>
      <c r="T235" s="79"/>
      <c r="U235" s="79"/>
      <c r="Y235" s="79"/>
      <c r="AC235" s="130"/>
      <c r="AE235" s="106"/>
    </row>
    <row r="236">
      <c r="C236" s="79"/>
      <c r="D236" s="79"/>
      <c r="E236" s="79"/>
      <c r="O236" s="79"/>
      <c r="R236" s="79"/>
      <c r="T236" s="79"/>
      <c r="U236" s="79"/>
      <c r="Y236" s="79"/>
      <c r="AC236" s="130"/>
      <c r="AE236" s="106"/>
    </row>
    <row r="237">
      <c r="C237" s="79"/>
      <c r="D237" s="79"/>
      <c r="E237" s="79"/>
      <c r="O237" s="79"/>
      <c r="R237" s="79"/>
      <c r="T237" s="79"/>
      <c r="U237" s="79"/>
      <c r="Y237" s="79"/>
      <c r="AC237" s="130"/>
      <c r="AE237" s="106"/>
    </row>
    <row r="238">
      <c r="C238" s="79"/>
      <c r="D238" s="79"/>
      <c r="E238" s="79"/>
      <c r="O238" s="79"/>
      <c r="R238" s="79"/>
      <c r="T238" s="79"/>
      <c r="U238" s="79"/>
      <c r="Y238" s="79"/>
      <c r="AC238" s="130"/>
      <c r="AE238" s="106"/>
    </row>
    <row r="239">
      <c r="C239" s="79"/>
      <c r="D239" s="79"/>
      <c r="E239" s="79"/>
      <c r="O239" s="79"/>
      <c r="R239" s="79"/>
      <c r="T239" s="79"/>
      <c r="U239" s="79"/>
      <c r="Y239" s="79"/>
      <c r="AC239" s="130"/>
      <c r="AE239" s="106"/>
    </row>
    <row r="240">
      <c r="C240" s="79"/>
      <c r="D240" s="79"/>
      <c r="E240" s="79"/>
      <c r="O240" s="79"/>
      <c r="R240" s="79"/>
      <c r="T240" s="79"/>
      <c r="U240" s="79"/>
      <c r="Y240" s="79"/>
      <c r="AC240" s="130"/>
      <c r="AE240" s="106"/>
    </row>
    <row r="241">
      <c r="C241" s="79"/>
      <c r="D241" s="79"/>
      <c r="E241" s="79"/>
      <c r="O241" s="79"/>
      <c r="R241" s="79"/>
      <c r="T241" s="79"/>
      <c r="U241" s="79"/>
      <c r="Y241" s="79"/>
      <c r="AC241" s="130"/>
      <c r="AE241" s="106"/>
    </row>
    <row r="242">
      <c r="C242" s="79"/>
      <c r="D242" s="79"/>
      <c r="E242" s="79"/>
      <c r="O242" s="79"/>
      <c r="R242" s="79"/>
      <c r="T242" s="79"/>
      <c r="U242" s="79"/>
      <c r="Y242" s="79"/>
      <c r="AC242" s="130"/>
      <c r="AE242" s="106"/>
    </row>
    <row r="243">
      <c r="C243" s="79"/>
      <c r="D243" s="79"/>
      <c r="E243" s="79"/>
      <c r="O243" s="79"/>
      <c r="R243" s="79"/>
      <c r="T243" s="79"/>
      <c r="U243" s="79"/>
      <c r="Y243" s="79"/>
      <c r="AC243" s="130"/>
      <c r="AE243" s="106"/>
    </row>
    <row r="244">
      <c r="C244" s="79"/>
      <c r="D244" s="79"/>
      <c r="E244" s="79"/>
      <c r="O244" s="79"/>
      <c r="R244" s="79"/>
      <c r="T244" s="79"/>
      <c r="U244" s="79"/>
      <c r="Y244" s="79"/>
      <c r="AC244" s="130"/>
      <c r="AE244" s="106"/>
    </row>
    <row r="245">
      <c r="C245" s="79"/>
      <c r="D245" s="79"/>
      <c r="E245" s="79"/>
      <c r="O245" s="79"/>
      <c r="R245" s="79"/>
      <c r="T245" s="79"/>
      <c r="U245" s="79"/>
      <c r="Y245" s="79"/>
      <c r="AC245" s="130"/>
      <c r="AE245" s="106"/>
    </row>
    <row r="246">
      <c r="C246" s="79"/>
      <c r="D246" s="79"/>
      <c r="E246" s="79"/>
      <c r="O246" s="79"/>
      <c r="R246" s="79"/>
      <c r="T246" s="79"/>
      <c r="U246" s="79"/>
      <c r="Y246" s="79"/>
      <c r="AC246" s="130"/>
      <c r="AE246" s="106"/>
    </row>
    <row r="247">
      <c r="C247" s="79"/>
      <c r="D247" s="79"/>
      <c r="E247" s="79"/>
      <c r="O247" s="79"/>
      <c r="R247" s="79"/>
      <c r="T247" s="79"/>
      <c r="U247" s="79"/>
      <c r="Y247" s="79"/>
      <c r="AC247" s="130"/>
      <c r="AE247" s="106"/>
    </row>
    <row r="248">
      <c r="C248" s="79"/>
      <c r="D248" s="79"/>
      <c r="E248" s="79"/>
      <c r="O248" s="79"/>
      <c r="R248" s="79"/>
      <c r="T248" s="79"/>
      <c r="U248" s="79"/>
      <c r="Y248" s="79"/>
      <c r="AC248" s="130"/>
      <c r="AE248" s="106"/>
    </row>
    <row r="249">
      <c r="C249" s="79"/>
      <c r="D249" s="79"/>
      <c r="E249" s="79"/>
      <c r="O249" s="79"/>
      <c r="R249" s="79"/>
      <c r="T249" s="79"/>
      <c r="U249" s="79"/>
      <c r="Y249" s="79"/>
      <c r="AC249" s="130"/>
      <c r="AE249" s="106"/>
    </row>
    <row r="250">
      <c r="C250" s="79"/>
      <c r="D250" s="79"/>
      <c r="E250" s="79"/>
      <c r="O250" s="79"/>
      <c r="R250" s="79"/>
      <c r="T250" s="79"/>
      <c r="U250" s="79"/>
      <c r="Y250" s="79"/>
      <c r="AC250" s="130"/>
      <c r="AE250" s="106"/>
    </row>
    <row r="251">
      <c r="C251" s="79"/>
      <c r="D251" s="79"/>
      <c r="E251" s="79"/>
      <c r="O251" s="79"/>
      <c r="R251" s="79"/>
      <c r="T251" s="79"/>
      <c r="U251" s="79"/>
      <c r="Y251" s="79"/>
      <c r="AC251" s="130"/>
      <c r="AE251" s="106"/>
    </row>
    <row r="252">
      <c r="C252" s="79"/>
      <c r="D252" s="79"/>
      <c r="E252" s="79"/>
      <c r="O252" s="79"/>
      <c r="R252" s="79"/>
      <c r="T252" s="79"/>
      <c r="U252" s="79"/>
      <c r="Y252" s="79"/>
      <c r="AC252" s="130"/>
      <c r="AE252" s="106"/>
    </row>
    <row r="253">
      <c r="C253" s="79"/>
      <c r="D253" s="79"/>
      <c r="E253" s="79"/>
      <c r="O253" s="79"/>
      <c r="R253" s="79"/>
      <c r="T253" s="79"/>
      <c r="U253" s="79"/>
      <c r="Y253" s="79"/>
      <c r="AC253" s="130"/>
      <c r="AE253" s="106"/>
    </row>
    <row r="254">
      <c r="C254" s="79"/>
      <c r="D254" s="79"/>
      <c r="E254" s="79"/>
      <c r="O254" s="79"/>
      <c r="R254" s="79"/>
      <c r="T254" s="79"/>
      <c r="U254" s="79"/>
      <c r="Y254" s="79"/>
      <c r="AC254" s="130"/>
      <c r="AE254" s="106"/>
    </row>
    <row r="255">
      <c r="C255" s="79"/>
      <c r="D255" s="79"/>
      <c r="E255" s="79"/>
      <c r="O255" s="79"/>
      <c r="R255" s="79"/>
      <c r="T255" s="79"/>
      <c r="U255" s="79"/>
      <c r="Y255" s="79"/>
      <c r="AC255" s="130"/>
      <c r="AE255" s="106"/>
    </row>
    <row r="256">
      <c r="C256" s="79"/>
      <c r="D256" s="79"/>
      <c r="E256" s="79"/>
      <c r="O256" s="79"/>
      <c r="R256" s="79"/>
      <c r="T256" s="79"/>
      <c r="U256" s="79"/>
      <c r="Y256" s="79"/>
      <c r="AC256" s="130"/>
      <c r="AE256" s="106"/>
    </row>
    <row r="257">
      <c r="C257" s="79"/>
      <c r="D257" s="79"/>
      <c r="E257" s="79"/>
      <c r="O257" s="79"/>
      <c r="R257" s="79"/>
      <c r="T257" s="79"/>
      <c r="U257" s="79"/>
      <c r="Y257" s="79"/>
      <c r="AC257" s="130"/>
      <c r="AE257" s="106"/>
    </row>
    <row r="258">
      <c r="C258" s="79"/>
      <c r="D258" s="79"/>
      <c r="E258" s="79"/>
      <c r="O258" s="79"/>
      <c r="R258" s="79"/>
      <c r="T258" s="79"/>
      <c r="U258" s="79"/>
      <c r="Y258" s="79"/>
      <c r="AC258" s="130"/>
      <c r="AE258" s="106"/>
    </row>
    <row r="259">
      <c r="C259" s="79"/>
      <c r="D259" s="79"/>
      <c r="E259" s="79"/>
      <c r="O259" s="79"/>
      <c r="R259" s="79"/>
      <c r="T259" s="79"/>
      <c r="U259" s="79"/>
      <c r="Y259" s="79"/>
      <c r="AC259" s="130"/>
      <c r="AE259" s="106"/>
    </row>
    <row r="260">
      <c r="C260" s="79"/>
      <c r="D260" s="79"/>
      <c r="E260" s="79"/>
      <c r="O260" s="79"/>
      <c r="R260" s="79"/>
      <c r="T260" s="79"/>
      <c r="U260" s="79"/>
      <c r="Y260" s="79"/>
      <c r="AC260" s="130"/>
      <c r="AE260" s="106"/>
    </row>
    <row r="261">
      <c r="C261" s="79"/>
      <c r="D261" s="79"/>
      <c r="E261" s="79"/>
      <c r="O261" s="79"/>
      <c r="R261" s="79"/>
      <c r="T261" s="79"/>
      <c r="U261" s="79"/>
      <c r="Y261" s="79"/>
      <c r="AC261" s="130"/>
      <c r="AE261" s="106"/>
    </row>
    <row r="262">
      <c r="C262" s="79"/>
      <c r="D262" s="79"/>
      <c r="E262" s="79"/>
      <c r="O262" s="79"/>
      <c r="R262" s="79"/>
      <c r="T262" s="79"/>
      <c r="U262" s="79"/>
      <c r="Y262" s="79"/>
      <c r="AC262" s="130"/>
      <c r="AE262" s="106"/>
    </row>
    <row r="263">
      <c r="C263" s="79"/>
      <c r="D263" s="79"/>
      <c r="E263" s="79"/>
      <c r="O263" s="79"/>
      <c r="R263" s="79"/>
      <c r="T263" s="79"/>
      <c r="U263" s="79"/>
      <c r="Y263" s="79"/>
      <c r="AC263" s="130"/>
      <c r="AE263" s="106"/>
    </row>
    <row r="264">
      <c r="C264" s="79"/>
      <c r="D264" s="79"/>
      <c r="E264" s="79"/>
      <c r="O264" s="79"/>
      <c r="R264" s="79"/>
      <c r="T264" s="79"/>
      <c r="U264" s="79"/>
      <c r="Y264" s="79"/>
      <c r="AC264" s="130"/>
      <c r="AE264" s="106"/>
    </row>
    <row r="265">
      <c r="C265" s="79"/>
      <c r="D265" s="79"/>
      <c r="E265" s="79"/>
      <c r="O265" s="79"/>
      <c r="R265" s="79"/>
      <c r="T265" s="79"/>
      <c r="U265" s="79"/>
      <c r="Y265" s="79"/>
      <c r="AC265" s="130"/>
      <c r="AE265" s="106"/>
    </row>
    <row r="266">
      <c r="C266" s="79"/>
      <c r="D266" s="79"/>
      <c r="E266" s="79"/>
      <c r="O266" s="79"/>
      <c r="R266" s="79"/>
      <c r="T266" s="79"/>
      <c r="U266" s="79"/>
      <c r="Y266" s="79"/>
      <c r="AC266" s="130"/>
      <c r="AE266" s="106"/>
    </row>
    <row r="267">
      <c r="C267" s="79"/>
      <c r="D267" s="79"/>
      <c r="E267" s="79"/>
      <c r="O267" s="79"/>
      <c r="R267" s="79"/>
      <c r="T267" s="79"/>
      <c r="U267" s="79"/>
      <c r="Y267" s="79"/>
      <c r="AC267" s="130"/>
      <c r="AE267" s="106"/>
    </row>
    <row r="268">
      <c r="C268" s="79"/>
      <c r="D268" s="79"/>
      <c r="E268" s="79"/>
      <c r="O268" s="79"/>
      <c r="R268" s="79"/>
      <c r="T268" s="79"/>
      <c r="U268" s="79"/>
      <c r="Y268" s="79"/>
      <c r="AC268" s="130"/>
      <c r="AE268" s="106"/>
    </row>
    <row r="269">
      <c r="C269" s="79"/>
      <c r="D269" s="79"/>
      <c r="E269" s="79"/>
      <c r="O269" s="79"/>
      <c r="R269" s="79"/>
      <c r="T269" s="79"/>
      <c r="U269" s="79"/>
      <c r="Y269" s="79"/>
      <c r="AC269" s="130"/>
      <c r="AE269" s="106"/>
    </row>
    <row r="270">
      <c r="C270" s="79"/>
      <c r="D270" s="79"/>
      <c r="E270" s="79"/>
      <c r="O270" s="79"/>
      <c r="R270" s="79"/>
      <c r="T270" s="79"/>
      <c r="U270" s="79"/>
      <c r="Y270" s="79"/>
      <c r="AC270" s="130"/>
      <c r="AE270" s="106"/>
    </row>
    <row r="271">
      <c r="C271" s="79"/>
      <c r="D271" s="79"/>
      <c r="E271" s="79"/>
      <c r="O271" s="79"/>
      <c r="R271" s="79"/>
      <c r="T271" s="79"/>
      <c r="U271" s="79"/>
      <c r="Y271" s="79"/>
      <c r="AC271" s="130"/>
      <c r="AE271" s="106"/>
    </row>
    <row r="272">
      <c r="C272" s="79"/>
      <c r="D272" s="79"/>
      <c r="E272" s="79"/>
      <c r="O272" s="79"/>
      <c r="R272" s="79"/>
      <c r="T272" s="79"/>
      <c r="U272" s="79"/>
      <c r="Y272" s="79"/>
      <c r="AC272" s="130"/>
      <c r="AE272" s="106"/>
    </row>
    <row r="273">
      <c r="C273" s="79"/>
      <c r="D273" s="79"/>
      <c r="E273" s="79"/>
      <c r="O273" s="79"/>
      <c r="R273" s="79"/>
      <c r="T273" s="79"/>
      <c r="U273" s="79"/>
      <c r="Y273" s="79"/>
      <c r="AC273" s="130"/>
      <c r="AE273" s="106"/>
    </row>
    <row r="274">
      <c r="C274" s="79"/>
      <c r="D274" s="79"/>
      <c r="E274" s="79"/>
      <c r="O274" s="79"/>
      <c r="R274" s="79"/>
      <c r="T274" s="79"/>
      <c r="U274" s="79"/>
      <c r="Y274" s="79"/>
      <c r="AC274" s="130"/>
      <c r="AE274" s="106"/>
    </row>
    <row r="275">
      <c r="C275" s="79"/>
      <c r="D275" s="79"/>
      <c r="E275" s="79"/>
      <c r="O275" s="79"/>
      <c r="R275" s="79"/>
      <c r="T275" s="79"/>
      <c r="U275" s="79"/>
      <c r="Y275" s="79"/>
      <c r="AC275" s="130"/>
      <c r="AE275" s="106"/>
    </row>
    <row r="276">
      <c r="C276" s="79"/>
      <c r="D276" s="79"/>
      <c r="E276" s="79"/>
      <c r="O276" s="79"/>
      <c r="R276" s="79"/>
      <c r="T276" s="79"/>
      <c r="U276" s="79"/>
      <c r="Y276" s="79"/>
      <c r="AC276" s="130"/>
      <c r="AE276" s="106"/>
    </row>
    <row r="277">
      <c r="C277" s="79"/>
      <c r="D277" s="79"/>
      <c r="E277" s="79"/>
      <c r="O277" s="79"/>
      <c r="R277" s="79"/>
      <c r="T277" s="79"/>
      <c r="U277" s="79"/>
      <c r="Y277" s="79"/>
      <c r="AC277" s="130"/>
      <c r="AE277" s="106"/>
    </row>
    <row r="278">
      <c r="C278" s="79"/>
      <c r="D278" s="79"/>
      <c r="E278" s="79"/>
      <c r="O278" s="79"/>
      <c r="R278" s="79"/>
      <c r="T278" s="79"/>
      <c r="U278" s="79"/>
      <c r="Y278" s="79"/>
      <c r="AC278" s="130"/>
      <c r="AE278" s="106"/>
    </row>
    <row r="279">
      <c r="C279" s="79"/>
      <c r="D279" s="79"/>
      <c r="E279" s="79"/>
      <c r="O279" s="79"/>
      <c r="R279" s="79"/>
      <c r="T279" s="79"/>
      <c r="U279" s="79"/>
      <c r="Y279" s="79"/>
      <c r="AC279" s="130"/>
      <c r="AE279" s="106"/>
    </row>
    <row r="280">
      <c r="C280" s="79"/>
      <c r="D280" s="79"/>
      <c r="E280" s="79"/>
      <c r="O280" s="79"/>
      <c r="R280" s="79"/>
      <c r="T280" s="79"/>
      <c r="U280" s="79"/>
      <c r="Y280" s="79"/>
      <c r="AC280" s="130"/>
      <c r="AE280" s="106"/>
    </row>
    <row r="281">
      <c r="C281" s="79"/>
      <c r="D281" s="79"/>
      <c r="E281" s="79"/>
      <c r="O281" s="79"/>
      <c r="R281" s="79"/>
      <c r="T281" s="79"/>
      <c r="U281" s="79"/>
      <c r="Y281" s="79"/>
      <c r="AC281" s="130"/>
      <c r="AE281" s="106"/>
    </row>
    <row r="282">
      <c r="C282" s="79"/>
      <c r="D282" s="79"/>
      <c r="E282" s="79"/>
      <c r="O282" s="79"/>
      <c r="R282" s="79"/>
      <c r="T282" s="79"/>
      <c r="U282" s="79"/>
      <c r="Y282" s="79"/>
      <c r="AC282" s="130"/>
      <c r="AE282" s="106"/>
    </row>
    <row r="283">
      <c r="C283" s="79"/>
      <c r="D283" s="79"/>
      <c r="E283" s="79"/>
      <c r="O283" s="79"/>
      <c r="R283" s="79"/>
      <c r="T283" s="79"/>
      <c r="U283" s="79"/>
      <c r="Y283" s="79"/>
      <c r="AC283" s="130"/>
      <c r="AE283" s="106"/>
    </row>
    <row r="284">
      <c r="C284" s="79"/>
      <c r="D284" s="79"/>
      <c r="E284" s="79"/>
      <c r="O284" s="79"/>
      <c r="R284" s="79"/>
      <c r="T284" s="79"/>
      <c r="U284" s="79"/>
      <c r="Y284" s="79"/>
      <c r="AC284" s="130"/>
      <c r="AE284" s="106"/>
    </row>
    <row r="285">
      <c r="C285" s="79"/>
      <c r="D285" s="79"/>
      <c r="E285" s="79"/>
      <c r="O285" s="79"/>
      <c r="R285" s="79"/>
      <c r="T285" s="79"/>
      <c r="U285" s="79"/>
      <c r="Y285" s="79"/>
      <c r="AC285" s="130"/>
      <c r="AE285" s="106"/>
    </row>
    <row r="286">
      <c r="C286" s="79"/>
      <c r="D286" s="79"/>
      <c r="E286" s="79"/>
      <c r="O286" s="79"/>
      <c r="R286" s="79"/>
      <c r="T286" s="79"/>
      <c r="U286" s="79"/>
      <c r="Y286" s="79"/>
      <c r="AC286" s="130"/>
      <c r="AE286" s="106"/>
    </row>
    <row r="287">
      <c r="C287" s="79"/>
      <c r="D287" s="79"/>
      <c r="E287" s="79"/>
      <c r="O287" s="79"/>
      <c r="R287" s="79"/>
      <c r="T287" s="79"/>
      <c r="U287" s="79"/>
      <c r="Y287" s="79"/>
      <c r="AC287" s="130"/>
      <c r="AE287" s="106"/>
    </row>
    <row r="288">
      <c r="C288" s="79"/>
      <c r="D288" s="79"/>
      <c r="E288" s="79"/>
      <c r="O288" s="79"/>
      <c r="R288" s="79"/>
      <c r="T288" s="79"/>
      <c r="U288" s="79"/>
      <c r="Y288" s="79"/>
      <c r="AC288" s="130"/>
      <c r="AE288" s="106"/>
    </row>
    <row r="289">
      <c r="C289" s="79"/>
      <c r="D289" s="79"/>
      <c r="E289" s="79"/>
      <c r="O289" s="79"/>
      <c r="R289" s="79"/>
      <c r="T289" s="79"/>
      <c r="U289" s="79"/>
      <c r="Y289" s="79"/>
      <c r="AC289" s="130"/>
      <c r="AE289" s="106"/>
    </row>
    <row r="290">
      <c r="C290" s="79"/>
      <c r="D290" s="79"/>
      <c r="E290" s="79"/>
      <c r="O290" s="79"/>
      <c r="R290" s="79"/>
      <c r="T290" s="79"/>
      <c r="U290" s="79"/>
      <c r="Y290" s="79"/>
      <c r="AC290" s="130"/>
      <c r="AE290" s="106"/>
    </row>
    <row r="291">
      <c r="C291" s="79"/>
      <c r="D291" s="79"/>
      <c r="E291" s="79"/>
      <c r="O291" s="79"/>
      <c r="R291" s="79"/>
      <c r="T291" s="79"/>
      <c r="U291" s="79"/>
      <c r="Y291" s="79"/>
      <c r="AC291" s="130"/>
      <c r="AE291" s="106"/>
    </row>
    <row r="292">
      <c r="C292" s="79"/>
      <c r="D292" s="79"/>
      <c r="E292" s="79"/>
      <c r="O292" s="79"/>
      <c r="R292" s="79"/>
      <c r="T292" s="79"/>
      <c r="U292" s="79"/>
      <c r="Y292" s="79"/>
      <c r="AC292" s="130"/>
      <c r="AE292" s="106"/>
    </row>
    <row r="293">
      <c r="C293" s="79"/>
      <c r="D293" s="79"/>
      <c r="E293" s="79"/>
      <c r="O293" s="79"/>
      <c r="R293" s="79"/>
      <c r="T293" s="79"/>
      <c r="U293" s="79"/>
      <c r="Y293" s="79"/>
      <c r="AC293" s="130"/>
      <c r="AE293" s="106"/>
    </row>
    <row r="294">
      <c r="C294" s="79"/>
      <c r="D294" s="79"/>
      <c r="E294" s="79"/>
      <c r="O294" s="79"/>
      <c r="R294" s="79"/>
      <c r="T294" s="79"/>
      <c r="U294" s="79"/>
      <c r="Y294" s="79"/>
      <c r="AC294" s="130"/>
      <c r="AE294" s="106"/>
    </row>
    <row r="295">
      <c r="C295" s="79"/>
      <c r="D295" s="79"/>
      <c r="E295" s="79"/>
      <c r="O295" s="79"/>
      <c r="R295" s="79"/>
      <c r="T295" s="79"/>
      <c r="U295" s="79"/>
      <c r="Y295" s="79"/>
      <c r="AC295" s="130"/>
      <c r="AE295" s="106"/>
    </row>
    <row r="296">
      <c r="C296" s="79"/>
      <c r="D296" s="79"/>
      <c r="E296" s="79"/>
      <c r="O296" s="79"/>
      <c r="R296" s="79"/>
      <c r="T296" s="79"/>
      <c r="U296" s="79"/>
      <c r="Y296" s="79"/>
      <c r="AC296" s="130"/>
      <c r="AE296" s="106"/>
    </row>
    <row r="297">
      <c r="C297" s="79"/>
      <c r="D297" s="79"/>
      <c r="E297" s="79"/>
      <c r="O297" s="79"/>
      <c r="R297" s="79"/>
      <c r="T297" s="79"/>
      <c r="U297" s="79"/>
      <c r="Y297" s="79"/>
      <c r="AC297" s="130"/>
      <c r="AE297" s="106"/>
    </row>
    <row r="298">
      <c r="C298" s="79"/>
      <c r="D298" s="79"/>
      <c r="E298" s="79"/>
      <c r="O298" s="79"/>
      <c r="R298" s="79"/>
      <c r="T298" s="79"/>
      <c r="U298" s="79"/>
      <c r="Y298" s="79"/>
      <c r="AC298" s="130"/>
      <c r="AE298" s="106"/>
    </row>
    <row r="299">
      <c r="C299" s="79"/>
      <c r="D299" s="79"/>
      <c r="E299" s="79"/>
      <c r="O299" s="79"/>
      <c r="R299" s="79"/>
      <c r="T299" s="79"/>
      <c r="U299" s="79"/>
      <c r="Y299" s="79"/>
      <c r="AC299" s="130"/>
      <c r="AE299" s="106"/>
    </row>
    <row r="300">
      <c r="C300" s="79"/>
      <c r="D300" s="79"/>
      <c r="E300" s="79"/>
      <c r="O300" s="79"/>
      <c r="R300" s="79"/>
      <c r="T300" s="79"/>
      <c r="U300" s="79"/>
      <c r="Y300" s="79"/>
      <c r="AC300" s="130"/>
      <c r="AE300" s="106"/>
    </row>
    <row r="301">
      <c r="C301" s="79"/>
      <c r="D301" s="79"/>
      <c r="E301" s="79"/>
      <c r="O301" s="79"/>
      <c r="R301" s="79"/>
      <c r="T301" s="79"/>
      <c r="U301" s="79"/>
      <c r="Y301" s="79"/>
      <c r="AC301" s="130"/>
      <c r="AE301" s="106"/>
    </row>
    <row r="302">
      <c r="C302" s="79"/>
      <c r="D302" s="79"/>
      <c r="E302" s="79"/>
      <c r="O302" s="79"/>
      <c r="R302" s="79"/>
      <c r="T302" s="79"/>
      <c r="U302" s="79"/>
      <c r="Y302" s="79"/>
      <c r="AC302" s="130"/>
      <c r="AE302" s="106"/>
    </row>
    <row r="303">
      <c r="C303" s="79"/>
      <c r="D303" s="79"/>
      <c r="E303" s="79"/>
      <c r="O303" s="79"/>
      <c r="R303" s="79"/>
      <c r="T303" s="79"/>
      <c r="U303" s="79"/>
      <c r="Y303" s="79"/>
      <c r="AC303" s="130"/>
      <c r="AE303" s="106"/>
    </row>
    <row r="304">
      <c r="C304" s="79"/>
      <c r="D304" s="79"/>
      <c r="E304" s="79"/>
      <c r="O304" s="79"/>
      <c r="R304" s="79"/>
      <c r="T304" s="79"/>
      <c r="U304" s="79"/>
      <c r="Y304" s="79"/>
      <c r="AC304" s="130"/>
      <c r="AE304" s="106"/>
    </row>
    <row r="305">
      <c r="C305" s="79"/>
      <c r="D305" s="79"/>
      <c r="E305" s="79"/>
      <c r="O305" s="79"/>
      <c r="R305" s="79"/>
      <c r="T305" s="79"/>
      <c r="U305" s="79"/>
      <c r="Y305" s="79"/>
      <c r="AC305" s="130"/>
      <c r="AE305" s="106"/>
    </row>
    <row r="306">
      <c r="C306" s="79"/>
      <c r="D306" s="79"/>
      <c r="E306" s="79"/>
      <c r="O306" s="79"/>
      <c r="R306" s="79"/>
      <c r="T306" s="79"/>
      <c r="U306" s="79"/>
      <c r="Y306" s="79"/>
      <c r="AC306" s="130"/>
      <c r="AE306" s="106"/>
    </row>
    <row r="307">
      <c r="C307" s="79"/>
      <c r="D307" s="79"/>
      <c r="E307" s="79"/>
      <c r="O307" s="79"/>
      <c r="R307" s="79"/>
      <c r="T307" s="79"/>
      <c r="U307" s="79"/>
      <c r="Y307" s="79"/>
      <c r="AC307" s="130"/>
      <c r="AE307" s="106"/>
    </row>
    <row r="308">
      <c r="C308" s="79"/>
      <c r="D308" s="79"/>
      <c r="E308" s="79"/>
      <c r="O308" s="79"/>
      <c r="R308" s="79"/>
      <c r="T308" s="79"/>
      <c r="U308" s="79"/>
      <c r="Y308" s="79"/>
      <c r="AC308" s="130"/>
      <c r="AE308" s="106"/>
    </row>
    <row r="309">
      <c r="C309" s="79"/>
      <c r="D309" s="79"/>
      <c r="E309" s="79"/>
      <c r="O309" s="79"/>
      <c r="R309" s="79"/>
      <c r="T309" s="79"/>
      <c r="U309" s="79"/>
      <c r="Y309" s="79"/>
      <c r="AC309" s="130"/>
      <c r="AE309" s="106"/>
    </row>
    <row r="310">
      <c r="C310" s="79"/>
      <c r="D310" s="79"/>
      <c r="E310" s="79"/>
      <c r="O310" s="79"/>
      <c r="R310" s="79"/>
      <c r="T310" s="79"/>
      <c r="U310" s="79"/>
      <c r="Y310" s="79"/>
      <c r="AC310" s="130"/>
      <c r="AE310" s="106"/>
    </row>
    <row r="311">
      <c r="C311" s="79"/>
      <c r="D311" s="79"/>
      <c r="E311" s="79"/>
      <c r="O311" s="79"/>
      <c r="R311" s="79"/>
      <c r="T311" s="79"/>
      <c r="U311" s="79"/>
      <c r="Y311" s="79"/>
      <c r="AC311" s="130"/>
      <c r="AE311" s="106"/>
    </row>
    <row r="312">
      <c r="C312" s="79"/>
      <c r="D312" s="79"/>
      <c r="E312" s="79"/>
      <c r="O312" s="79"/>
      <c r="R312" s="79"/>
      <c r="T312" s="79"/>
      <c r="U312" s="79"/>
      <c r="Y312" s="79"/>
      <c r="AC312" s="130"/>
      <c r="AE312" s="106"/>
    </row>
    <row r="313">
      <c r="C313" s="79"/>
      <c r="D313" s="79"/>
      <c r="E313" s="79"/>
      <c r="O313" s="79"/>
      <c r="R313" s="79"/>
      <c r="T313" s="79"/>
      <c r="U313" s="79"/>
      <c r="Y313" s="79"/>
      <c r="AC313" s="130"/>
      <c r="AE313" s="106"/>
    </row>
    <row r="314">
      <c r="C314" s="79"/>
      <c r="D314" s="79"/>
      <c r="E314" s="79"/>
      <c r="O314" s="79"/>
      <c r="R314" s="79"/>
      <c r="T314" s="79"/>
      <c r="U314" s="79"/>
      <c r="Y314" s="79"/>
      <c r="AC314" s="130"/>
      <c r="AE314" s="106"/>
    </row>
    <row r="315">
      <c r="C315" s="79"/>
      <c r="D315" s="79"/>
      <c r="E315" s="79"/>
      <c r="O315" s="79"/>
      <c r="R315" s="79"/>
      <c r="T315" s="79"/>
      <c r="U315" s="79"/>
      <c r="Y315" s="79"/>
      <c r="AC315" s="130"/>
      <c r="AE315" s="106"/>
    </row>
    <row r="316">
      <c r="C316" s="79"/>
      <c r="D316" s="79"/>
      <c r="E316" s="79"/>
      <c r="O316" s="79"/>
      <c r="R316" s="79"/>
      <c r="T316" s="79"/>
      <c r="U316" s="79"/>
      <c r="Y316" s="79"/>
      <c r="AC316" s="130"/>
      <c r="AE316" s="106"/>
    </row>
    <row r="317">
      <c r="C317" s="79"/>
      <c r="D317" s="79"/>
      <c r="E317" s="79"/>
      <c r="O317" s="79"/>
      <c r="R317" s="79"/>
      <c r="T317" s="79"/>
      <c r="U317" s="79"/>
      <c r="Y317" s="79"/>
      <c r="AC317" s="130"/>
      <c r="AE317" s="106"/>
    </row>
    <row r="318">
      <c r="C318" s="79"/>
      <c r="D318" s="79"/>
      <c r="E318" s="79"/>
      <c r="O318" s="79"/>
      <c r="R318" s="79"/>
      <c r="T318" s="79"/>
      <c r="U318" s="79"/>
      <c r="Y318" s="79"/>
      <c r="AC318" s="130"/>
      <c r="AE318" s="106"/>
    </row>
    <row r="319">
      <c r="C319" s="79"/>
      <c r="D319" s="79"/>
      <c r="E319" s="79"/>
      <c r="O319" s="79"/>
      <c r="R319" s="79"/>
      <c r="T319" s="79"/>
      <c r="U319" s="79"/>
      <c r="Y319" s="79"/>
      <c r="AC319" s="130"/>
      <c r="AE319" s="106"/>
    </row>
    <row r="320">
      <c r="C320" s="79"/>
      <c r="D320" s="79"/>
      <c r="E320" s="79"/>
      <c r="O320" s="79"/>
      <c r="R320" s="79"/>
      <c r="T320" s="79"/>
      <c r="U320" s="79"/>
      <c r="Y320" s="79"/>
      <c r="AC320" s="130"/>
      <c r="AE320" s="106"/>
    </row>
    <row r="321">
      <c r="C321" s="79"/>
      <c r="D321" s="79"/>
      <c r="E321" s="79"/>
      <c r="O321" s="79"/>
      <c r="R321" s="79"/>
      <c r="T321" s="79"/>
      <c r="U321" s="79"/>
      <c r="Y321" s="79"/>
      <c r="AC321" s="130"/>
      <c r="AE321" s="106"/>
    </row>
    <row r="322">
      <c r="C322" s="79"/>
      <c r="D322" s="79"/>
      <c r="E322" s="79"/>
      <c r="O322" s="79"/>
      <c r="R322" s="79"/>
      <c r="T322" s="79"/>
      <c r="U322" s="79"/>
      <c r="Y322" s="79"/>
      <c r="AC322" s="130"/>
      <c r="AE322" s="106"/>
    </row>
    <row r="323">
      <c r="C323" s="79"/>
      <c r="D323" s="79"/>
      <c r="E323" s="79"/>
      <c r="O323" s="79"/>
      <c r="R323" s="79"/>
      <c r="T323" s="79"/>
      <c r="U323" s="79"/>
      <c r="Y323" s="79"/>
      <c r="AC323" s="130"/>
      <c r="AE323" s="106"/>
    </row>
    <row r="324">
      <c r="C324" s="79"/>
      <c r="D324" s="79"/>
      <c r="E324" s="79"/>
      <c r="O324" s="79"/>
      <c r="R324" s="79"/>
      <c r="T324" s="79"/>
      <c r="U324" s="79"/>
      <c r="Y324" s="79"/>
      <c r="AC324" s="130"/>
      <c r="AE324" s="106"/>
    </row>
    <row r="325">
      <c r="C325" s="79"/>
      <c r="D325" s="79"/>
      <c r="E325" s="79"/>
      <c r="O325" s="79"/>
      <c r="R325" s="79"/>
      <c r="T325" s="79"/>
      <c r="U325" s="79"/>
      <c r="Y325" s="79"/>
      <c r="AC325" s="130"/>
      <c r="AE325" s="106"/>
    </row>
    <row r="326">
      <c r="C326" s="79"/>
      <c r="D326" s="79"/>
      <c r="E326" s="79"/>
      <c r="O326" s="79"/>
      <c r="R326" s="79"/>
      <c r="T326" s="79"/>
      <c r="U326" s="79"/>
      <c r="Y326" s="79"/>
      <c r="AC326" s="130"/>
      <c r="AE326" s="106"/>
    </row>
    <row r="327">
      <c r="C327" s="79"/>
      <c r="D327" s="79"/>
      <c r="E327" s="79"/>
      <c r="O327" s="79"/>
      <c r="R327" s="79"/>
      <c r="T327" s="79"/>
      <c r="U327" s="79"/>
      <c r="Y327" s="79"/>
      <c r="AC327" s="130"/>
      <c r="AE327" s="106"/>
    </row>
    <row r="328">
      <c r="C328" s="79"/>
      <c r="D328" s="79"/>
      <c r="E328" s="79"/>
      <c r="O328" s="79"/>
      <c r="R328" s="79"/>
      <c r="T328" s="79"/>
      <c r="U328" s="79"/>
      <c r="Y328" s="79"/>
      <c r="AC328" s="130"/>
      <c r="AE328" s="106"/>
    </row>
    <row r="329">
      <c r="C329" s="79"/>
      <c r="D329" s="79"/>
      <c r="E329" s="79"/>
      <c r="O329" s="79"/>
      <c r="R329" s="79"/>
      <c r="T329" s="79"/>
      <c r="U329" s="79"/>
      <c r="Y329" s="79"/>
      <c r="AC329" s="130"/>
      <c r="AE329" s="106"/>
    </row>
    <row r="330">
      <c r="C330" s="79"/>
      <c r="D330" s="79"/>
      <c r="E330" s="79"/>
      <c r="O330" s="79"/>
      <c r="R330" s="79"/>
      <c r="T330" s="79"/>
      <c r="U330" s="79"/>
      <c r="Y330" s="79"/>
      <c r="AC330" s="130"/>
      <c r="AE330" s="106"/>
    </row>
    <row r="331">
      <c r="C331" s="79"/>
      <c r="D331" s="79"/>
      <c r="E331" s="79"/>
      <c r="O331" s="79"/>
      <c r="R331" s="79"/>
      <c r="T331" s="79"/>
      <c r="U331" s="79"/>
      <c r="Y331" s="79"/>
      <c r="AC331" s="130"/>
      <c r="AE331" s="106"/>
    </row>
    <row r="332">
      <c r="C332" s="79"/>
      <c r="D332" s="79"/>
      <c r="E332" s="79"/>
      <c r="O332" s="79"/>
      <c r="R332" s="79"/>
      <c r="T332" s="79"/>
      <c r="U332" s="79"/>
      <c r="Y332" s="79"/>
      <c r="AC332" s="130"/>
      <c r="AE332" s="106"/>
    </row>
    <row r="333">
      <c r="C333" s="79"/>
      <c r="D333" s="79"/>
      <c r="E333" s="79"/>
      <c r="O333" s="79"/>
      <c r="R333" s="79"/>
      <c r="T333" s="79"/>
      <c r="U333" s="79"/>
      <c r="Y333" s="79"/>
      <c r="AC333" s="130"/>
      <c r="AE333" s="106"/>
    </row>
    <row r="334">
      <c r="C334" s="79"/>
      <c r="D334" s="79"/>
      <c r="E334" s="79"/>
      <c r="O334" s="79"/>
      <c r="R334" s="79"/>
      <c r="T334" s="79"/>
      <c r="U334" s="79"/>
      <c r="Y334" s="79"/>
      <c r="AC334" s="130"/>
      <c r="AE334" s="106"/>
    </row>
    <row r="335">
      <c r="C335" s="79"/>
      <c r="D335" s="79"/>
      <c r="E335" s="79"/>
      <c r="O335" s="79"/>
      <c r="R335" s="79"/>
      <c r="T335" s="79"/>
      <c r="U335" s="79"/>
      <c r="Y335" s="79"/>
      <c r="AC335" s="130"/>
      <c r="AE335" s="106"/>
    </row>
    <row r="336">
      <c r="C336" s="79"/>
      <c r="D336" s="79"/>
      <c r="E336" s="79"/>
      <c r="O336" s="79"/>
      <c r="R336" s="79"/>
      <c r="T336" s="79"/>
      <c r="U336" s="79"/>
      <c r="Y336" s="79"/>
      <c r="AC336" s="130"/>
      <c r="AE336" s="106"/>
    </row>
    <row r="337">
      <c r="C337" s="79"/>
      <c r="D337" s="79"/>
      <c r="E337" s="79"/>
      <c r="O337" s="79"/>
      <c r="R337" s="79"/>
      <c r="T337" s="79"/>
      <c r="U337" s="79"/>
      <c r="Y337" s="79"/>
      <c r="AC337" s="130"/>
      <c r="AE337" s="106"/>
    </row>
    <row r="338">
      <c r="C338" s="79"/>
      <c r="D338" s="79"/>
      <c r="E338" s="79"/>
      <c r="O338" s="79"/>
      <c r="R338" s="79"/>
      <c r="T338" s="79"/>
      <c r="U338" s="79"/>
      <c r="Y338" s="79"/>
      <c r="AC338" s="130"/>
      <c r="AE338" s="106"/>
    </row>
    <row r="339">
      <c r="C339" s="79"/>
      <c r="D339" s="79"/>
      <c r="E339" s="79"/>
      <c r="O339" s="79"/>
      <c r="R339" s="79"/>
      <c r="T339" s="79"/>
      <c r="U339" s="79"/>
      <c r="Y339" s="79"/>
      <c r="AC339" s="130"/>
      <c r="AE339" s="106"/>
    </row>
    <row r="340">
      <c r="C340" s="79"/>
      <c r="D340" s="79"/>
      <c r="E340" s="79"/>
      <c r="O340" s="79"/>
      <c r="R340" s="79"/>
      <c r="T340" s="79"/>
      <c r="U340" s="79"/>
      <c r="Y340" s="79"/>
      <c r="AC340" s="130"/>
      <c r="AE340" s="106"/>
    </row>
    <row r="341">
      <c r="C341" s="79"/>
      <c r="D341" s="79"/>
      <c r="E341" s="79"/>
      <c r="O341" s="79"/>
      <c r="R341" s="79"/>
      <c r="T341" s="79"/>
      <c r="U341" s="79"/>
      <c r="Y341" s="79"/>
      <c r="AC341" s="130"/>
      <c r="AE341" s="106"/>
    </row>
    <row r="342">
      <c r="C342" s="79"/>
      <c r="D342" s="79"/>
      <c r="E342" s="79"/>
      <c r="O342" s="79"/>
      <c r="R342" s="79"/>
      <c r="T342" s="79"/>
      <c r="U342" s="79"/>
      <c r="Y342" s="79"/>
      <c r="AC342" s="130"/>
      <c r="AE342" s="106"/>
    </row>
    <row r="343">
      <c r="C343" s="79"/>
      <c r="D343" s="79"/>
      <c r="E343" s="79"/>
      <c r="O343" s="79"/>
      <c r="R343" s="79"/>
      <c r="T343" s="79"/>
      <c r="U343" s="79"/>
      <c r="Y343" s="79"/>
      <c r="AC343" s="130"/>
      <c r="AE343" s="106"/>
    </row>
    <row r="344">
      <c r="C344" s="79"/>
      <c r="D344" s="79"/>
      <c r="E344" s="79"/>
      <c r="O344" s="79"/>
      <c r="R344" s="79"/>
      <c r="T344" s="79"/>
      <c r="U344" s="79"/>
      <c r="Y344" s="79"/>
      <c r="AC344" s="130"/>
      <c r="AE344" s="106"/>
    </row>
    <row r="345">
      <c r="C345" s="79"/>
      <c r="D345" s="79"/>
      <c r="E345" s="79"/>
      <c r="O345" s="79"/>
      <c r="R345" s="79"/>
      <c r="T345" s="79"/>
      <c r="U345" s="79"/>
      <c r="Y345" s="79"/>
      <c r="AC345" s="130"/>
      <c r="AE345" s="106"/>
    </row>
    <row r="346">
      <c r="C346" s="79"/>
      <c r="D346" s="79"/>
      <c r="E346" s="79"/>
      <c r="O346" s="79"/>
      <c r="R346" s="79"/>
      <c r="T346" s="79"/>
      <c r="U346" s="79"/>
      <c r="Y346" s="79"/>
      <c r="AC346" s="130"/>
      <c r="AE346" s="106"/>
    </row>
    <row r="347">
      <c r="C347" s="79"/>
      <c r="D347" s="79"/>
      <c r="E347" s="79"/>
      <c r="O347" s="79"/>
      <c r="R347" s="79"/>
      <c r="T347" s="79"/>
      <c r="U347" s="79"/>
      <c r="Y347" s="79"/>
      <c r="AC347" s="130"/>
      <c r="AE347" s="106"/>
    </row>
    <row r="348">
      <c r="C348" s="79"/>
      <c r="D348" s="79"/>
      <c r="E348" s="79"/>
      <c r="O348" s="79"/>
      <c r="R348" s="79"/>
      <c r="T348" s="79"/>
      <c r="U348" s="79"/>
      <c r="Y348" s="79"/>
      <c r="AC348" s="130"/>
      <c r="AE348" s="106"/>
    </row>
    <row r="349">
      <c r="C349" s="79"/>
      <c r="D349" s="79"/>
      <c r="E349" s="79"/>
      <c r="O349" s="79"/>
      <c r="R349" s="79"/>
      <c r="T349" s="79"/>
      <c r="U349" s="79"/>
      <c r="Y349" s="79"/>
      <c r="AC349" s="130"/>
      <c r="AE349" s="106"/>
    </row>
    <row r="350">
      <c r="C350" s="79"/>
      <c r="D350" s="79"/>
      <c r="E350" s="79"/>
      <c r="O350" s="79"/>
      <c r="R350" s="79"/>
      <c r="T350" s="79"/>
      <c r="U350" s="79"/>
      <c r="Y350" s="79"/>
      <c r="AC350" s="130"/>
      <c r="AE350" s="106"/>
    </row>
    <row r="351">
      <c r="C351" s="79"/>
      <c r="D351" s="79"/>
      <c r="E351" s="79"/>
      <c r="O351" s="79"/>
      <c r="R351" s="79"/>
      <c r="T351" s="79"/>
      <c r="U351" s="79"/>
      <c r="Y351" s="79"/>
      <c r="AC351" s="130"/>
      <c r="AE351" s="106"/>
    </row>
    <row r="352">
      <c r="C352" s="79"/>
      <c r="D352" s="79"/>
      <c r="E352" s="79"/>
      <c r="O352" s="79"/>
      <c r="R352" s="79"/>
      <c r="T352" s="79"/>
      <c r="U352" s="79"/>
      <c r="Y352" s="79"/>
      <c r="AC352" s="130"/>
      <c r="AE352" s="106"/>
    </row>
    <row r="353">
      <c r="C353" s="79"/>
      <c r="D353" s="79"/>
      <c r="E353" s="79"/>
      <c r="O353" s="79"/>
      <c r="R353" s="79"/>
      <c r="T353" s="79"/>
      <c r="U353" s="79"/>
      <c r="Y353" s="79"/>
      <c r="AC353" s="130"/>
      <c r="AE353" s="106"/>
    </row>
    <row r="354">
      <c r="C354" s="79"/>
      <c r="D354" s="79"/>
      <c r="E354" s="79"/>
      <c r="O354" s="79"/>
      <c r="R354" s="79"/>
      <c r="T354" s="79"/>
      <c r="U354" s="79"/>
      <c r="Y354" s="79"/>
      <c r="AC354" s="130"/>
      <c r="AE354" s="106"/>
    </row>
    <row r="355">
      <c r="C355" s="79"/>
      <c r="D355" s="79"/>
      <c r="E355" s="79"/>
      <c r="O355" s="79"/>
      <c r="R355" s="79"/>
      <c r="T355" s="79"/>
      <c r="U355" s="79"/>
      <c r="Y355" s="79"/>
      <c r="AC355" s="130"/>
      <c r="AE355" s="106"/>
    </row>
    <row r="356">
      <c r="C356" s="79"/>
      <c r="D356" s="79"/>
      <c r="E356" s="79"/>
      <c r="O356" s="79"/>
      <c r="R356" s="79"/>
      <c r="T356" s="79"/>
      <c r="U356" s="79"/>
      <c r="Y356" s="79"/>
      <c r="AC356" s="130"/>
      <c r="AE356" s="106"/>
    </row>
    <row r="357">
      <c r="C357" s="79"/>
      <c r="D357" s="79"/>
      <c r="E357" s="79"/>
      <c r="O357" s="79"/>
      <c r="R357" s="79"/>
      <c r="T357" s="79"/>
      <c r="U357" s="79"/>
      <c r="Y357" s="79"/>
      <c r="AC357" s="130"/>
      <c r="AE357" s="106"/>
    </row>
    <row r="358">
      <c r="C358" s="79"/>
      <c r="D358" s="79"/>
      <c r="E358" s="79"/>
      <c r="O358" s="79"/>
      <c r="R358" s="79"/>
      <c r="T358" s="79"/>
      <c r="U358" s="79"/>
      <c r="Y358" s="79"/>
      <c r="AC358" s="130"/>
      <c r="AE358" s="106"/>
    </row>
    <row r="359">
      <c r="C359" s="79"/>
      <c r="D359" s="79"/>
      <c r="E359" s="79"/>
      <c r="O359" s="79"/>
      <c r="R359" s="79"/>
      <c r="T359" s="79"/>
      <c r="U359" s="79"/>
      <c r="Y359" s="79"/>
      <c r="AC359" s="130"/>
      <c r="AE359" s="106"/>
    </row>
    <row r="360">
      <c r="C360" s="79"/>
      <c r="D360" s="79"/>
      <c r="E360" s="79"/>
      <c r="O360" s="79"/>
      <c r="R360" s="79"/>
      <c r="T360" s="79"/>
      <c r="U360" s="79"/>
      <c r="Y360" s="79"/>
      <c r="AC360" s="130"/>
      <c r="AE360" s="106"/>
    </row>
    <row r="361">
      <c r="C361" s="79"/>
      <c r="D361" s="79"/>
      <c r="E361" s="79"/>
      <c r="O361" s="79"/>
      <c r="R361" s="79"/>
      <c r="T361" s="79"/>
      <c r="U361" s="79"/>
      <c r="Y361" s="79"/>
      <c r="AC361" s="130"/>
      <c r="AE361" s="106"/>
    </row>
    <row r="362">
      <c r="C362" s="79"/>
      <c r="D362" s="79"/>
      <c r="E362" s="79"/>
      <c r="O362" s="79"/>
      <c r="R362" s="79"/>
      <c r="T362" s="79"/>
      <c r="U362" s="79"/>
      <c r="Y362" s="79"/>
      <c r="AC362" s="130"/>
      <c r="AE362" s="106"/>
    </row>
    <row r="363">
      <c r="C363" s="79"/>
      <c r="D363" s="79"/>
      <c r="E363" s="79"/>
      <c r="O363" s="79"/>
      <c r="R363" s="79"/>
      <c r="T363" s="79"/>
      <c r="U363" s="79"/>
      <c r="Y363" s="79"/>
      <c r="AC363" s="130"/>
      <c r="AE363" s="106"/>
    </row>
    <row r="364">
      <c r="C364" s="79"/>
      <c r="D364" s="79"/>
      <c r="E364" s="79"/>
      <c r="O364" s="79"/>
      <c r="R364" s="79"/>
      <c r="T364" s="79"/>
      <c r="U364" s="79"/>
      <c r="Y364" s="79"/>
      <c r="AC364" s="130"/>
      <c r="AE364" s="106"/>
    </row>
    <row r="365">
      <c r="C365" s="79"/>
      <c r="D365" s="79"/>
      <c r="E365" s="79"/>
      <c r="O365" s="79"/>
      <c r="R365" s="79"/>
      <c r="T365" s="79"/>
      <c r="U365" s="79"/>
      <c r="Y365" s="79"/>
      <c r="AC365" s="130"/>
      <c r="AE365" s="106"/>
    </row>
    <row r="366">
      <c r="C366" s="79"/>
      <c r="D366" s="79"/>
      <c r="E366" s="79"/>
      <c r="O366" s="79"/>
      <c r="R366" s="79"/>
      <c r="T366" s="79"/>
      <c r="U366" s="79"/>
      <c r="Y366" s="79"/>
      <c r="AC366" s="130"/>
      <c r="AE366" s="106"/>
    </row>
    <row r="367">
      <c r="C367" s="79"/>
      <c r="D367" s="79"/>
      <c r="E367" s="79"/>
      <c r="O367" s="79"/>
      <c r="R367" s="79"/>
      <c r="T367" s="79"/>
      <c r="U367" s="79"/>
      <c r="Y367" s="79"/>
      <c r="AC367" s="130"/>
      <c r="AE367" s="106"/>
    </row>
    <row r="368">
      <c r="C368" s="79"/>
      <c r="D368" s="79"/>
      <c r="E368" s="79"/>
      <c r="O368" s="79"/>
      <c r="R368" s="79"/>
      <c r="T368" s="79"/>
      <c r="U368" s="79"/>
      <c r="Y368" s="79"/>
      <c r="AC368" s="130"/>
      <c r="AE368" s="106"/>
    </row>
    <row r="369">
      <c r="C369" s="79"/>
      <c r="D369" s="79"/>
      <c r="E369" s="79"/>
      <c r="O369" s="79"/>
      <c r="R369" s="79"/>
      <c r="T369" s="79"/>
      <c r="U369" s="79"/>
      <c r="Y369" s="79"/>
      <c r="AC369" s="130"/>
      <c r="AE369" s="106"/>
    </row>
    <row r="370">
      <c r="C370" s="79"/>
      <c r="D370" s="79"/>
      <c r="E370" s="79"/>
      <c r="O370" s="79"/>
      <c r="R370" s="79"/>
      <c r="T370" s="79"/>
      <c r="U370" s="79"/>
      <c r="Y370" s="79"/>
      <c r="AC370" s="130"/>
      <c r="AE370" s="106"/>
    </row>
    <row r="371">
      <c r="C371" s="79"/>
      <c r="D371" s="79"/>
      <c r="E371" s="79"/>
      <c r="O371" s="79"/>
      <c r="R371" s="79"/>
      <c r="T371" s="79"/>
      <c r="U371" s="79"/>
      <c r="Y371" s="79"/>
      <c r="AC371" s="130"/>
      <c r="AE371" s="106"/>
    </row>
    <row r="372">
      <c r="C372" s="79"/>
      <c r="D372" s="79"/>
      <c r="E372" s="79"/>
      <c r="O372" s="79"/>
      <c r="R372" s="79"/>
      <c r="T372" s="79"/>
      <c r="U372" s="79"/>
      <c r="Y372" s="79"/>
      <c r="AC372" s="130"/>
      <c r="AE372" s="106"/>
    </row>
    <row r="373">
      <c r="C373" s="79"/>
      <c r="D373" s="79"/>
      <c r="E373" s="79"/>
      <c r="O373" s="79"/>
      <c r="R373" s="79"/>
      <c r="T373" s="79"/>
      <c r="U373" s="79"/>
      <c r="Y373" s="79"/>
      <c r="AC373" s="130"/>
      <c r="AE373" s="106"/>
    </row>
    <row r="374">
      <c r="C374" s="79"/>
      <c r="D374" s="79"/>
      <c r="E374" s="79"/>
      <c r="O374" s="79"/>
      <c r="R374" s="79"/>
      <c r="T374" s="79"/>
      <c r="U374" s="79"/>
      <c r="Y374" s="79"/>
      <c r="AC374" s="130"/>
      <c r="AE374" s="106"/>
    </row>
    <row r="375">
      <c r="C375" s="79"/>
      <c r="D375" s="79"/>
      <c r="E375" s="79"/>
      <c r="O375" s="79"/>
      <c r="R375" s="79"/>
      <c r="T375" s="79"/>
      <c r="U375" s="79"/>
      <c r="Y375" s="79"/>
      <c r="AC375" s="130"/>
      <c r="AE375" s="106"/>
    </row>
    <row r="376">
      <c r="C376" s="79"/>
      <c r="D376" s="79"/>
      <c r="E376" s="79"/>
      <c r="O376" s="79"/>
      <c r="R376" s="79"/>
      <c r="T376" s="79"/>
      <c r="U376" s="79"/>
      <c r="Y376" s="79"/>
      <c r="AC376" s="130"/>
      <c r="AE376" s="106"/>
    </row>
    <row r="377">
      <c r="C377" s="79"/>
      <c r="D377" s="79"/>
      <c r="E377" s="79"/>
      <c r="O377" s="79"/>
      <c r="R377" s="79"/>
      <c r="T377" s="79"/>
      <c r="U377" s="79"/>
      <c r="Y377" s="79"/>
      <c r="AC377" s="130"/>
      <c r="AE377" s="106"/>
    </row>
    <row r="378">
      <c r="C378" s="79"/>
      <c r="D378" s="79"/>
      <c r="E378" s="79"/>
      <c r="O378" s="79"/>
      <c r="R378" s="79"/>
      <c r="T378" s="79"/>
      <c r="U378" s="79"/>
      <c r="Y378" s="79"/>
      <c r="AC378" s="130"/>
      <c r="AE378" s="106"/>
    </row>
    <row r="379">
      <c r="C379" s="79"/>
      <c r="D379" s="79"/>
      <c r="E379" s="79"/>
      <c r="O379" s="79"/>
      <c r="R379" s="79"/>
      <c r="T379" s="79"/>
      <c r="U379" s="79"/>
      <c r="Y379" s="79"/>
      <c r="AC379" s="130"/>
      <c r="AE379" s="106"/>
    </row>
    <row r="380">
      <c r="C380" s="79"/>
      <c r="D380" s="79"/>
      <c r="E380" s="79"/>
      <c r="O380" s="79"/>
      <c r="R380" s="79"/>
      <c r="T380" s="79"/>
      <c r="U380" s="79"/>
      <c r="Y380" s="79"/>
      <c r="AC380" s="130"/>
      <c r="AE380" s="106"/>
    </row>
    <row r="381">
      <c r="C381" s="79"/>
      <c r="D381" s="79"/>
      <c r="E381" s="79"/>
      <c r="O381" s="79"/>
      <c r="R381" s="79"/>
      <c r="T381" s="79"/>
      <c r="U381" s="79"/>
      <c r="Y381" s="79"/>
      <c r="AC381" s="130"/>
      <c r="AE381" s="106"/>
    </row>
    <row r="382">
      <c r="C382" s="79"/>
      <c r="D382" s="79"/>
      <c r="E382" s="79"/>
      <c r="O382" s="79"/>
      <c r="R382" s="79"/>
      <c r="T382" s="79"/>
      <c r="U382" s="79"/>
      <c r="Y382" s="79"/>
      <c r="AC382" s="130"/>
      <c r="AE382" s="106"/>
    </row>
    <row r="383">
      <c r="C383" s="79"/>
      <c r="D383" s="79"/>
      <c r="E383" s="79"/>
      <c r="O383" s="79"/>
      <c r="R383" s="79"/>
      <c r="T383" s="79"/>
      <c r="U383" s="79"/>
      <c r="Y383" s="79"/>
      <c r="AC383" s="130"/>
      <c r="AE383" s="106"/>
    </row>
    <row r="384">
      <c r="C384" s="79"/>
      <c r="D384" s="79"/>
      <c r="E384" s="79"/>
      <c r="O384" s="79"/>
      <c r="R384" s="79"/>
      <c r="T384" s="79"/>
      <c r="U384" s="79"/>
      <c r="Y384" s="79"/>
      <c r="AC384" s="130"/>
      <c r="AE384" s="106"/>
    </row>
    <row r="385">
      <c r="C385" s="79"/>
      <c r="D385" s="79"/>
      <c r="E385" s="79"/>
      <c r="O385" s="79"/>
      <c r="R385" s="79"/>
      <c r="T385" s="79"/>
      <c r="U385" s="79"/>
      <c r="Y385" s="79"/>
      <c r="AC385" s="130"/>
      <c r="AE385" s="106"/>
    </row>
    <row r="386">
      <c r="C386" s="79"/>
      <c r="D386" s="79"/>
      <c r="E386" s="79"/>
      <c r="O386" s="79"/>
      <c r="R386" s="79"/>
      <c r="T386" s="79"/>
      <c r="U386" s="79"/>
      <c r="Y386" s="79"/>
      <c r="AC386" s="130"/>
      <c r="AE386" s="106"/>
    </row>
    <row r="387">
      <c r="C387" s="79"/>
      <c r="D387" s="79"/>
      <c r="E387" s="79"/>
      <c r="O387" s="79"/>
      <c r="R387" s="79"/>
      <c r="T387" s="79"/>
      <c r="U387" s="79"/>
      <c r="Y387" s="79"/>
      <c r="AC387" s="130"/>
      <c r="AE387" s="106"/>
    </row>
    <row r="388">
      <c r="C388" s="79"/>
      <c r="D388" s="79"/>
      <c r="E388" s="79"/>
      <c r="O388" s="79"/>
      <c r="R388" s="79"/>
      <c r="T388" s="79"/>
      <c r="U388" s="79"/>
      <c r="Y388" s="79"/>
      <c r="AC388" s="130"/>
      <c r="AE388" s="106"/>
    </row>
    <row r="389">
      <c r="C389" s="79"/>
      <c r="D389" s="79"/>
      <c r="E389" s="79"/>
      <c r="O389" s="79"/>
      <c r="R389" s="79"/>
      <c r="T389" s="79"/>
      <c r="U389" s="79"/>
      <c r="Y389" s="79"/>
      <c r="AC389" s="130"/>
      <c r="AE389" s="106"/>
    </row>
    <row r="390">
      <c r="C390" s="79"/>
      <c r="D390" s="79"/>
      <c r="E390" s="79"/>
      <c r="O390" s="79"/>
      <c r="R390" s="79"/>
      <c r="T390" s="79"/>
      <c r="U390" s="79"/>
      <c r="Y390" s="79"/>
      <c r="AC390" s="130"/>
      <c r="AE390" s="106"/>
    </row>
    <row r="391">
      <c r="C391" s="79"/>
      <c r="D391" s="79"/>
      <c r="E391" s="79"/>
      <c r="O391" s="79"/>
      <c r="R391" s="79"/>
      <c r="T391" s="79"/>
      <c r="U391" s="79"/>
      <c r="Y391" s="79"/>
      <c r="AC391" s="130"/>
      <c r="AE391" s="106"/>
    </row>
    <row r="392">
      <c r="C392" s="79"/>
      <c r="D392" s="79"/>
      <c r="E392" s="79"/>
      <c r="O392" s="79"/>
      <c r="R392" s="79"/>
      <c r="T392" s="79"/>
      <c r="U392" s="79"/>
      <c r="Y392" s="79"/>
      <c r="AC392" s="130"/>
      <c r="AE392" s="106"/>
    </row>
    <row r="393">
      <c r="C393" s="79"/>
      <c r="D393" s="79"/>
      <c r="E393" s="79"/>
      <c r="O393" s="79"/>
      <c r="R393" s="79"/>
      <c r="T393" s="79"/>
      <c r="U393" s="79"/>
      <c r="Y393" s="79"/>
      <c r="AC393" s="130"/>
      <c r="AE393" s="106"/>
    </row>
    <row r="394">
      <c r="C394" s="79"/>
      <c r="D394" s="79"/>
      <c r="E394" s="79"/>
      <c r="O394" s="79"/>
      <c r="R394" s="79"/>
      <c r="T394" s="79"/>
      <c r="U394" s="79"/>
      <c r="Y394" s="79"/>
      <c r="AC394" s="130"/>
      <c r="AE394" s="106"/>
    </row>
    <row r="395">
      <c r="C395" s="79"/>
      <c r="D395" s="79"/>
      <c r="E395" s="79"/>
      <c r="O395" s="79"/>
      <c r="R395" s="79"/>
      <c r="T395" s="79"/>
      <c r="U395" s="79"/>
      <c r="Y395" s="79"/>
      <c r="AC395" s="130"/>
      <c r="AE395" s="106"/>
    </row>
    <row r="396">
      <c r="C396" s="79"/>
      <c r="D396" s="79"/>
      <c r="E396" s="79"/>
      <c r="O396" s="79"/>
      <c r="R396" s="79"/>
      <c r="T396" s="79"/>
      <c r="U396" s="79"/>
      <c r="Y396" s="79"/>
      <c r="AC396" s="130"/>
      <c r="AE396" s="106"/>
    </row>
    <row r="397">
      <c r="C397" s="79"/>
      <c r="D397" s="79"/>
      <c r="E397" s="79"/>
      <c r="O397" s="79"/>
      <c r="R397" s="79"/>
      <c r="T397" s="79"/>
      <c r="U397" s="79"/>
      <c r="Y397" s="79"/>
      <c r="AC397" s="130"/>
      <c r="AE397" s="106"/>
    </row>
    <row r="398">
      <c r="C398" s="79"/>
      <c r="D398" s="79"/>
      <c r="E398" s="79"/>
      <c r="O398" s="79"/>
      <c r="R398" s="79"/>
      <c r="T398" s="79"/>
      <c r="U398" s="79"/>
      <c r="Y398" s="79"/>
      <c r="AC398" s="130"/>
      <c r="AE398" s="106"/>
    </row>
    <row r="399">
      <c r="C399" s="79"/>
      <c r="D399" s="79"/>
      <c r="E399" s="79"/>
      <c r="O399" s="79"/>
      <c r="R399" s="79"/>
      <c r="T399" s="79"/>
      <c r="U399" s="79"/>
      <c r="Y399" s="79"/>
      <c r="AC399" s="130"/>
      <c r="AE399" s="106"/>
    </row>
    <row r="400">
      <c r="C400" s="79"/>
      <c r="D400" s="79"/>
      <c r="E400" s="79"/>
      <c r="O400" s="79"/>
      <c r="R400" s="79"/>
      <c r="T400" s="79"/>
      <c r="U400" s="79"/>
      <c r="Y400" s="79"/>
      <c r="AC400" s="130"/>
      <c r="AE400" s="106"/>
    </row>
    <row r="401">
      <c r="C401" s="79"/>
      <c r="D401" s="79"/>
      <c r="E401" s="79"/>
      <c r="O401" s="79"/>
      <c r="R401" s="79"/>
      <c r="T401" s="79"/>
      <c r="U401" s="79"/>
      <c r="Y401" s="79"/>
      <c r="AC401" s="130"/>
      <c r="AE401" s="106"/>
    </row>
    <row r="402">
      <c r="C402" s="79"/>
      <c r="D402" s="79"/>
      <c r="E402" s="79"/>
      <c r="O402" s="79"/>
      <c r="R402" s="79"/>
      <c r="T402" s="79"/>
      <c r="U402" s="79"/>
      <c r="Y402" s="79"/>
      <c r="AC402" s="130"/>
      <c r="AE402" s="106"/>
    </row>
    <row r="403">
      <c r="C403" s="79"/>
      <c r="D403" s="79"/>
      <c r="E403" s="79"/>
      <c r="O403" s="79"/>
      <c r="R403" s="79"/>
      <c r="T403" s="79"/>
      <c r="U403" s="79"/>
      <c r="Y403" s="79"/>
      <c r="AC403" s="130"/>
      <c r="AE403" s="106"/>
    </row>
    <row r="404">
      <c r="C404" s="79"/>
      <c r="D404" s="79"/>
      <c r="E404" s="79"/>
      <c r="O404" s="79"/>
      <c r="R404" s="79"/>
      <c r="T404" s="79"/>
      <c r="U404" s="79"/>
      <c r="Y404" s="79"/>
      <c r="AC404" s="130"/>
      <c r="AE404" s="106"/>
    </row>
    <row r="405">
      <c r="C405" s="79"/>
      <c r="D405" s="79"/>
      <c r="E405" s="79"/>
      <c r="O405" s="79"/>
      <c r="R405" s="79"/>
      <c r="T405" s="79"/>
      <c r="U405" s="79"/>
      <c r="Y405" s="79"/>
      <c r="AC405" s="130"/>
      <c r="AE405" s="106"/>
    </row>
    <row r="406">
      <c r="C406" s="79"/>
      <c r="D406" s="79"/>
      <c r="E406" s="79"/>
      <c r="O406" s="79"/>
      <c r="R406" s="79"/>
      <c r="T406" s="79"/>
      <c r="U406" s="79"/>
      <c r="Y406" s="79"/>
      <c r="AC406" s="130"/>
      <c r="AE406" s="106"/>
    </row>
    <row r="407">
      <c r="C407" s="79"/>
      <c r="D407" s="79"/>
      <c r="E407" s="79"/>
      <c r="O407" s="79"/>
      <c r="R407" s="79"/>
      <c r="T407" s="79"/>
      <c r="U407" s="79"/>
      <c r="Y407" s="79"/>
      <c r="AC407" s="130"/>
      <c r="AE407" s="106"/>
    </row>
    <row r="408">
      <c r="C408" s="79"/>
      <c r="D408" s="79"/>
      <c r="E408" s="79"/>
      <c r="O408" s="79"/>
      <c r="R408" s="79"/>
      <c r="T408" s="79"/>
      <c r="U408" s="79"/>
      <c r="Y408" s="79"/>
      <c r="AC408" s="130"/>
      <c r="AE408" s="106"/>
    </row>
    <row r="409">
      <c r="C409" s="79"/>
      <c r="D409" s="79"/>
      <c r="E409" s="79"/>
      <c r="O409" s="79"/>
      <c r="R409" s="79"/>
      <c r="T409" s="79"/>
      <c r="U409" s="79"/>
      <c r="Y409" s="79"/>
      <c r="AC409" s="130"/>
      <c r="AE409" s="106"/>
    </row>
    <row r="410">
      <c r="C410" s="79"/>
      <c r="D410" s="79"/>
      <c r="E410" s="79"/>
      <c r="O410" s="79"/>
      <c r="R410" s="79"/>
      <c r="T410" s="79"/>
      <c r="U410" s="79"/>
      <c r="Y410" s="79"/>
      <c r="AC410" s="130"/>
      <c r="AE410" s="106"/>
    </row>
    <row r="411">
      <c r="C411" s="79"/>
      <c r="D411" s="79"/>
      <c r="E411" s="79"/>
      <c r="O411" s="79"/>
      <c r="R411" s="79"/>
      <c r="T411" s="79"/>
      <c r="U411" s="79"/>
      <c r="Y411" s="79"/>
      <c r="AC411" s="130"/>
      <c r="AE411" s="106"/>
    </row>
    <row r="412">
      <c r="C412" s="79"/>
      <c r="D412" s="79"/>
      <c r="E412" s="79"/>
      <c r="O412" s="79"/>
      <c r="R412" s="79"/>
      <c r="T412" s="79"/>
      <c r="U412" s="79"/>
      <c r="Y412" s="79"/>
      <c r="AC412" s="130"/>
      <c r="AE412" s="106"/>
    </row>
    <row r="413">
      <c r="C413" s="79"/>
      <c r="D413" s="79"/>
      <c r="E413" s="79"/>
      <c r="O413" s="79"/>
      <c r="R413" s="79"/>
      <c r="T413" s="79"/>
      <c r="U413" s="79"/>
      <c r="Y413" s="79"/>
      <c r="AC413" s="130"/>
      <c r="AE413" s="106"/>
    </row>
    <row r="414">
      <c r="C414" s="79"/>
      <c r="D414" s="79"/>
      <c r="E414" s="79"/>
      <c r="O414" s="79"/>
      <c r="R414" s="79"/>
      <c r="T414" s="79"/>
      <c r="U414" s="79"/>
      <c r="Y414" s="79"/>
      <c r="AC414" s="130"/>
      <c r="AE414" s="106"/>
    </row>
    <row r="415">
      <c r="C415" s="79"/>
      <c r="D415" s="79"/>
      <c r="E415" s="79"/>
      <c r="O415" s="79"/>
      <c r="R415" s="79"/>
      <c r="T415" s="79"/>
      <c r="U415" s="79"/>
      <c r="Y415" s="79"/>
      <c r="AC415" s="130"/>
      <c r="AE415" s="106"/>
    </row>
    <row r="416">
      <c r="C416" s="79"/>
      <c r="D416" s="79"/>
      <c r="E416" s="79"/>
      <c r="O416" s="79"/>
      <c r="R416" s="79"/>
      <c r="T416" s="79"/>
      <c r="U416" s="79"/>
      <c r="Y416" s="79"/>
      <c r="AC416" s="130"/>
      <c r="AE416" s="106"/>
    </row>
    <row r="417">
      <c r="C417" s="79"/>
      <c r="D417" s="79"/>
      <c r="E417" s="79"/>
      <c r="O417" s="79"/>
      <c r="R417" s="79"/>
      <c r="T417" s="79"/>
      <c r="U417" s="79"/>
      <c r="Y417" s="79"/>
      <c r="AC417" s="130"/>
      <c r="AE417" s="106"/>
    </row>
    <row r="418">
      <c r="C418" s="79"/>
      <c r="D418" s="79"/>
      <c r="E418" s="79"/>
      <c r="O418" s="79"/>
      <c r="R418" s="79"/>
      <c r="T418" s="79"/>
      <c r="U418" s="79"/>
      <c r="Y418" s="79"/>
      <c r="AC418" s="130"/>
      <c r="AE418" s="106"/>
    </row>
    <row r="419">
      <c r="C419" s="79"/>
      <c r="D419" s="79"/>
      <c r="E419" s="79"/>
      <c r="O419" s="79"/>
      <c r="R419" s="79"/>
      <c r="T419" s="79"/>
      <c r="U419" s="79"/>
      <c r="Y419" s="79"/>
      <c r="AC419" s="130"/>
      <c r="AE419" s="106"/>
    </row>
    <row r="420">
      <c r="C420" s="79"/>
      <c r="D420" s="79"/>
      <c r="E420" s="79"/>
      <c r="O420" s="79"/>
      <c r="R420" s="79"/>
      <c r="T420" s="79"/>
      <c r="U420" s="79"/>
      <c r="Y420" s="79"/>
      <c r="AC420" s="130"/>
      <c r="AE420" s="106"/>
    </row>
    <row r="421">
      <c r="C421" s="79"/>
      <c r="D421" s="79"/>
      <c r="E421" s="79"/>
      <c r="O421" s="79"/>
      <c r="R421" s="79"/>
      <c r="T421" s="79"/>
      <c r="U421" s="79"/>
      <c r="Y421" s="79"/>
      <c r="AC421" s="130"/>
      <c r="AE421" s="106"/>
    </row>
    <row r="422">
      <c r="C422" s="79"/>
      <c r="D422" s="79"/>
      <c r="E422" s="79"/>
      <c r="O422" s="79"/>
      <c r="R422" s="79"/>
      <c r="T422" s="79"/>
      <c r="U422" s="79"/>
      <c r="Y422" s="79"/>
      <c r="AC422" s="130"/>
      <c r="AE422" s="106"/>
    </row>
    <row r="423">
      <c r="C423" s="79"/>
      <c r="D423" s="79"/>
      <c r="E423" s="79"/>
      <c r="O423" s="79"/>
      <c r="R423" s="79"/>
      <c r="T423" s="79"/>
      <c r="U423" s="79"/>
      <c r="Y423" s="79"/>
      <c r="AC423" s="130"/>
      <c r="AE423" s="106"/>
    </row>
    <row r="424">
      <c r="C424" s="79"/>
      <c r="D424" s="79"/>
      <c r="E424" s="79"/>
      <c r="O424" s="79"/>
      <c r="R424" s="79"/>
      <c r="T424" s="79"/>
      <c r="U424" s="79"/>
      <c r="Y424" s="79"/>
      <c r="AC424" s="130"/>
      <c r="AE424" s="106"/>
    </row>
    <row r="425">
      <c r="C425" s="79"/>
      <c r="D425" s="79"/>
      <c r="E425" s="79"/>
      <c r="O425" s="79"/>
      <c r="R425" s="79"/>
      <c r="T425" s="79"/>
      <c r="U425" s="79"/>
      <c r="Y425" s="79"/>
      <c r="AC425" s="130"/>
      <c r="AE425" s="106"/>
    </row>
    <row r="426">
      <c r="C426" s="79"/>
      <c r="D426" s="79"/>
      <c r="E426" s="79"/>
      <c r="O426" s="79"/>
      <c r="R426" s="79"/>
      <c r="T426" s="79"/>
      <c r="U426" s="79"/>
      <c r="Y426" s="79"/>
      <c r="AC426" s="130"/>
      <c r="AE426" s="106"/>
    </row>
    <row r="427">
      <c r="C427" s="79"/>
      <c r="D427" s="79"/>
      <c r="E427" s="79"/>
      <c r="O427" s="79"/>
      <c r="R427" s="79"/>
      <c r="T427" s="79"/>
      <c r="U427" s="79"/>
      <c r="Y427" s="79"/>
      <c r="AC427" s="130"/>
      <c r="AE427" s="106"/>
    </row>
    <row r="428">
      <c r="C428" s="79"/>
      <c r="D428" s="79"/>
      <c r="E428" s="79"/>
      <c r="O428" s="79"/>
      <c r="R428" s="79"/>
      <c r="T428" s="79"/>
      <c r="U428" s="79"/>
      <c r="Y428" s="79"/>
      <c r="AC428" s="130"/>
      <c r="AE428" s="106"/>
    </row>
    <row r="429">
      <c r="C429" s="79"/>
      <c r="D429" s="79"/>
      <c r="E429" s="79"/>
      <c r="O429" s="79"/>
      <c r="R429" s="79"/>
      <c r="T429" s="79"/>
      <c r="U429" s="79"/>
      <c r="Y429" s="79"/>
      <c r="AC429" s="130"/>
      <c r="AE429" s="106"/>
    </row>
    <row r="430">
      <c r="C430" s="79"/>
      <c r="D430" s="79"/>
      <c r="E430" s="79"/>
      <c r="O430" s="79"/>
      <c r="R430" s="79"/>
      <c r="T430" s="79"/>
      <c r="U430" s="79"/>
      <c r="Y430" s="79"/>
      <c r="AC430" s="130"/>
      <c r="AE430" s="106"/>
    </row>
    <row r="431">
      <c r="C431" s="79"/>
      <c r="D431" s="79"/>
      <c r="E431" s="79"/>
      <c r="O431" s="79"/>
      <c r="R431" s="79"/>
      <c r="T431" s="79"/>
      <c r="U431" s="79"/>
      <c r="Y431" s="79"/>
      <c r="AC431" s="130"/>
      <c r="AE431" s="106"/>
    </row>
    <row r="432">
      <c r="C432" s="79"/>
      <c r="D432" s="79"/>
      <c r="E432" s="79"/>
      <c r="O432" s="79"/>
      <c r="R432" s="79"/>
      <c r="T432" s="79"/>
      <c r="U432" s="79"/>
      <c r="Y432" s="79"/>
      <c r="AC432" s="130"/>
      <c r="AE432" s="106"/>
    </row>
    <row r="433">
      <c r="C433" s="79"/>
      <c r="D433" s="79"/>
      <c r="E433" s="79"/>
      <c r="O433" s="79"/>
      <c r="R433" s="79"/>
      <c r="T433" s="79"/>
      <c r="U433" s="79"/>
      <c r="Y433" s="79"/>
      <c r="AC433" s="130"/>
      <c r="AE433" s="106"/>
    </row>
    <row r="434">
      <c r="C434" s="79"/>
      <c r="D434" s="79"/>
      <c r="E434" s="79"/>
      <c r="O434" s="79"/>
      <c r="R434" s="79"/>
      <c r="T434" s="79"/>
      <c r="U434" s="79"/>
      <c r="Y434" s="79"/>
      <c r="AC434" s="130"/>
      <c r="AE434" s="106"/>
    </row>
    <row r="435">
      <c r="C435" s="79"/>
      <c r="D435" s="79"/>
      <c r="E435" s="79"/>
      <c r="O435" s="79"/>
      <c r="R435" s="79"/>
      <c r="T435" s="79"/>
      <c r="U435" s="79"/>
      <c r="Y435" s="79"/>
      <c r="AC435" s="130"/>
      <c r="AE435" s="106"/>
    </row>
    <row r="436">
      <c r="C436" s="79"/>
      <c r="D436" s="79"/>
      <c r="E436" s="79"/>
      <c r="O436" s="79"/>
      <c r="R436" s="79"/>
      <c r="T436" s="79"/>
      <c r="U436" s="79"/>
      <c r="Y436" s="79"/>
      <c r="AC436" s="130"/>
      <c r="AE436" s="106"/>
    </row>
    <row r="437">
      <c r="C437" s="79"/>
      <c r="D437" s="79"/>
      <c r="E437" s="79"/>
      <c r="O437" s="79"/>
      <c r="R437" s="79"/>
      <c r="T437" s="79"/>
      <c r="U437" s="79"/>
      <c r="Y437" s="79"/>
      <c r="AC437" s="130"/>
      <c r="AE437" s="106"/>
    </row>
    <row r="438">
      <c r="C438" s="79"/>
      <c r="D438" s="79"/>
      <c r="E438" s="79"/>
      <c r="O438" s="79"/>
      <c r="R438" s="79"/>
      <c r="T438" s="79"/>
      <c r="U438" s="79"/>
      <c r="Y438" s="79"/>
      <c r="AC438" s="130"/>
      <c r="AE438" s="106"/>
    </row>
    <row r="439">
      <c r="C439" s="79"/>
      <c r="D439" s="79"/>
      <c r="E439" s="79"/>
      <c r="O439" s="79"/>
      <c r="R439" s="79"/>
      <c r="T439" s="79"/>
      <c r="U439" s="79"/>
      <c r="Y439" s="79"/>
      <c r="AC439" s="130"/>
      <c r="AE439" s="106"/>
    </row>
    <row r="440">
      <c r="C440" s="79"/>
      <c r="D440" s="79"/>
      <c r="E440" s="79"/>
      <c r="O440" s="79"/>
      <c r="R440" s="79"/>
      <c r="T440" s="79"/>
      <c r="U440" s="79"/>
      <c r="Y440" s="79"/>
      <c r="AC440" s="130"/>
      <c r="AE440" s="106"/>
    </row>
    <row r="441">
      <c r="C441" s="79"/>
      <c r="D441" s="79"/>
      <c r="E441" s="79"/>
      <c r="O441" s="79"/>
      <c r="R441" s="79"/>
      <c r="T441" s="79"/>
      <c r="U441" s="79"/>
      <c r="Y441" s="79"/>
      <c r="AC441" s="130"/>
      <c r="AE441" s="106"/>
    </row>
    <row r="442">
      <c r="C442" s="79"/>
      <c r="D442" s="79"/>
      <c r="E442" s="79"/>
      <c r="O442" s="79"/>
      <c r="R442" s="79"/>
      <c r="T442" s="79"/>
      <c r="U442" s="79"/>
      <c r="Y442" s="79"/>
      <c r="AC442" s="130"/>
      <c r="AE442" s="106"/>
    </row>
    <row r="443">
      <c r="C443" s="79"/>
      <c r="D443" s="79"/>
      <c r="E443" s="79"/>
      <c r="O443" s="79"/>
      <c r="R443" s="79"/>
      <c r="T443" s="79"/>
      <c r="U443" s="79"/>
      <c r="Y443" s="79"/>
      <c r="AC443" s="130"/>
      <c r="AE443" s="106"/>
    </row>
    <row r="444">
      <c r="C444" s="79"/>
      <c r="D444" s="79"/>
      <c r="E444" s="79"/>
      <c r="O444" s="79"/>
      <c r="R444" s="79"/>
      <c r="T444" s="79"/>
      <c r="U444" s="79"/>
      <c r="Y444" s="79"/>
      <c r="AC444" s="130"/>
      <c r="AE444" s="106"/>
    </row>
    <row r="445">
      <c r="C445" s="79"/>
      <c r="D445" s="79"/>
      <c r="E445" s="79"/>
      <c r="O445" s="79"/>
      <c r="R445" s="79"/>
      <c r="T445" s="79"/>
      <c r="U445" s="79"/>
      <c r="Y445" s="79"/>
      <c r="AC445" s="130"/>
      <c r="AE445" s="106"/>
    </row>
    <row r="446">
      <c r="C446" s="79"/>
      <c r="D446" s="79"/>
      <c r="E446" s="79"/>
      <c r="O446" s="79"/>
      <c r="R446" s="79"/>
      <c r="T446" s="79"/>
      <c r="U446" s="79"/>
      <c r="Y446" s="79"/>
      <c r="AC446" s="130"/>
      <c r="AE446" s="106"/>
    </row>
    <row r="447">
      <c r="C447" s="79"/>
      <c r="D447" s="79"/>
      <c r="E447" s="79"/>
      <c r="O447" s="79"/>
      <c r="R447" s="79"/>
      <c r="T447" s="79"/>
      <c r="U447" s="79"/>
      <c r="Y447" s="79"/>
      <c r="AC447" s="130"/>
      <c r="AE447" s="106"/>
    </row>
    <row r="448">
      <c r="C448" s="79"/>
      <c r="D448" s="79"/>
      <c r="E448" s="79"/>
      <c r="O448" s="79"/>
      <c r="R448" s="79"/>
      <c r="T448" s="79"/>
      <c r="U448" s="79"/>
      <c r="Y448" s="79"/>
      <c r="AC448" s="130"/>
      <c r="AE448" s="106"/>
    </row>
    <row r="449">
      <c r="C449" s="79"/>
      <c r="D449" s="79"/>
      <c r="E449" s="79"/>
      <c r="O449" s="79"/>
      <c r="R449" s="79"/>
      <c r="T449" s="79"/>
      <c r="U449" s="79"/>
      <c r="Y449" s="79"/>
      <c r="AC449" s="130"/>
      <c r="AE449" s="106"/>
    </row>
    <row r="450">
      <c r="C450" s="79"/>
      <c r="D450" s="79"/>
      <c r="E450" s="79"/>
      <c r="O450" s="79"/>
      <c r="R450" s="79"/>
      <c r="T450" s="79"/>
      <c r="U450" s="79"/>
      <c r="Y450" s="79"/>
      <c r="AC450" s="130"/>
      <c r="AE450" s="106"/>
    </row>
    <row r="451">
      <c r="C451" s="79"/>
      <c r="D451" s="79"/>
      <c r="E451" s="79"/>
      <c r="O451" s="79"/>
      <c r="R451" s="79"/>
      <c r="T451" s="79"/>
      <c r="U451" s="79"/>
      <c r="Y451" s="79"/>
      <c r="AC451" s="130"/>
      <c r="AE451" s="106"/>
    </row>
    <row r="452">
      <c r="C452" s="79"/>
      <c r="D452" s="79"/>
      <c r="E452" s="79"/>
      <c r="O452" s="79"/>
      <c r="R452" s="79"/>
      <c r="T452" s="79"/>
      <c r="U452" s="79"/>
      <c r="Y452" s="79"/>
      <c r="AC452" s="130"/>
      <c r="AE452" s="106"/>
    </row>
    <row r="453">
      <c r="C453" s="79"/>
      <c r="D453" s="79"/>
      <c r="E453" s="79"/>
      <c r="O453" s="79"/>
      <c r="R453" s="79"/>
      <c r="T453" s="79"/>
      <c r="U453" s="79"/>
      <c r="Y453" s="79"/>
      <c r="AC453" s="130"/>
      <c r="AE453" s="106"/>
    </row>
    <row r="454">
      <c r="C454" s="79"/>
      <c r="D454" s="79"/>
      <c r="E454" s="79"/>
      <c r="O454" s="79"/>
      <c r="R454" s="79"/>
      <c r="T454" s="79"/>
      <c r="U454" s="79"/>
      <c r="Y454" s="79"/>
      <c r="AC454" s="130"/>
      <c r="AE454" s="106"/>
    </row>
    <row r="455">
      <c r="C455" s="79"/>
      <c r="D455" s="79"/>
      <c r="E455" s="79"/>
      <c r="O455" s="79"/>
      <c r="R455" s="79"/>
      <c r="T455" s="79"/>
      <c r="U455" s="79"/>
      <c r="Y455" s="79"/>
      <c r="AC455" s="130"/>
      <c r="AE455" s="106"/>
    </row>
    <row r="456">
      <c r="C456" s="79"/>
      <c r="D456" s="79"/>
      <c r="E456" s="79"/>
      <c r="O456" s="79"/>
      <c r="R456" s="79"/>
      <c r="T456" s="79"/>
      <c r="U456" s="79"/>
      <c r="Y456" s="79"/>
      <c r="AC456" s="130"/>
      <c r="AE456" s="106"/>
    </row>
    <row r="457">
      <c r="C457" s="79"/>
      <c r="D457" s="79"/>
      <c r="E457" s="79"/>
      <c r="O457" s="79"/>
      <c r="R457" s="79"/>
      <c r="T457" s="79"/>
      <c r="U457" s="79"/>
      <c r="Y457" s="79"/>
      <c r="AC457" s="130"/>
      <c r="AE457" s="106"/>
    </row>
    <row r="458">
      <c r="C458" s="79"/>
      <c r="D458" s="79"/>
      <c r="E458" s="79"/>
      <c r="O458" s="79"/>
      <c r="R458" s="79"/>
      <c r="T458" s="79"/>
      <c r="U458" s="79"/>
      <c r="Y458" s="79"/>
      <c r="AC458" s="130"/>
      <c r="AE458" s="106"/>
    </row>
    <row r="459">
      <c r="C459" s="79"/>
      <c r="D459" s="79"/>
      <c r="E459" s="79"/>
      <c r="O459" s="79"/>
      <c r="R459" s="79"/>
      <c r="T459" s="79"/>
      <c r="U459" s="79"/>
      <c r="Y459" s="79"/>
      <c r="AC459" s="130"/>
      <c r="AE459" s="106"/>
    </row>
    <row r="460">
      <c r="C460" s="79"/>
      <c r="D460" s="79"/>
      <c r="E460" s="79"/>
      <c r="O460" s="79"/>
      <c r="R460" s="79"/>
      <c r="T460" s="79"/>
      <c r="U460" s="79"/>
      <c r="Y460" s="79"/>
      <c r="AC460" s="130"/>
      <c r="AE460" s="106"/>
    </row>
    <row r="461">
      <c r="C461" s="79"/>
      <c r="D461" s="79"/>
      <c r="E461" s="79"/>
      <c r="O461" s="79"/>
      <c r="R461" s="79"/>
      <c r="T461" s="79"/>
      <c r="U461" s="79"/>
      <c r="Y461" s="79"/>
      <c r="AC461" s="130"/>
      <c r="AE461" s="106"/>
    </row>
    <row r="462">
      <c r="C462" s="79"/>
      <c r="D462" s="79"/>
      <c r="E462" s="79"/>
      <c r="O462" s="79"/>
      <c r="R462" s="79"/>
      <c r="T462" s="79"/>
      <c r="U462" s="79"/>
      <c r="Y462" s="79"/>
      <c r="AC462" s="130"/>
      <c r="AE462" s="106"/>
    </row>
    <row r="463">
      <c r="C463" s="79"/>
      <c r="D463" s="79"/>
      <c r="E463" s="79"/>
      <c r="O463" s="79"/>
      <c r="R463" s="79"/>
      <c r="T463" s="79"/>
      <c r="U463" s="79"/>
      <c r="Y463" s="79"/>
      <c r="AC463" s="130"/>
      <c r="AE463" s="106"/>
    </row>
    <row r="464">
      <c r="C464" s="79"/>
      <c r="D464" s="79"/>
      <c r="E464" s="79"/>
      <c r="O464" s="79"/>
      <c r="R464" s="79"/>
      <c r="T464" s="79"/>
      <c r="U464" s="79"/>
      <c r="Y464" s="79"/>
      <c r="AC464" s="130"/>
      <c r="AE464" s="106"/>
    </row>
    <row r="465">
      <c r="C465" s="79"/>
      <c r="D465" s="79"/>
      <c r="E465" s="79"/>
      <c r="O465" s="79"/>
      <c r="R465" s="79"/>
      <c r="T465" s="79"/>
      <c r="U465" s="79"/>
      <c r="Y465" s="79"/>
      <c r="AC465" s="130"/>
      <c r="AE465" s="106"/>
    </row>
    <row r="466">
      <c r="C466" s="79"/>
      <c r="D466" s="79"/>
      <c r="E466" s="79"/>
      <c r="O466" s="79"/>
      <c r="R466" s="79"/>
      <c r="T466" s="79"/>
      <c r="U466" s="79"/>
      <c r="Y466" s="79"/>
      <c r="AC466" s="130"/>
      <c r="AE466" s="106"/>
    </row>
    <row r="467">
      <c r="C467" s="79"/>
      <c r="D467" s="79"/>
      <c r="E467" s="79"/>
      <c r="O467" s="79"/>
      <c r="R467" s="79"/>
      <c r="T467" s="79"/>
      <c r="U467" s="79"/>
      <c r="Y467" s="79"/>
      <c r="AC467" s="130"/>
      <c r="AE467" s="106"/>
    </row>
    <row r="468">
      <c r="C468" s="79"/>
      <c r="D468" s="79"/>
      <c r="E468" s="79"/>
      <c r="O468" s="79"/>
      <c r="R468" s="79"/>
      <c r="T468" s="79"/>
      <c r="U468" s="79"/>
      <c r="Y468" s="79"/>
      <c r="AC468" s="130"/>
      <c r="AE468" s="106"/>
    </row>
    <row r="469">
      <c r="C469" s="79"/>
      <c r="D469" s="79"/>
      <c r="E469" s="79"/>
      <c r="O469" s="79"/>
      <c r="R469" s="79"/>
      <c r="T469" s="79"/>
      <c r="U469" s="79"/>
      <c r="Y469" s="79"/>
      <c r="AC469" s="130"/>
      <c r="AE469" s="106"/>
    </row>
    <row r="470">
      <c r="C470" s="79"/>
      <c r="D470" s="79"/>
      <c r="E470" s="79"/>
      <c r="O470" s="79"/>
      <c r="R470" s="79"/>
      <c r="T470" s="79"/>
      <c r="U470" s="79"/>
      <c r="Y470" s="79"/>
      <c r="AC470" s="130"/>
      <c r="AE470" s="106"/>
    </row>
    <row r="471">
      <c r="C471" s="79"/>
      <c r="D471" s="79"/>
      <c r="E471" s="79"/>
      <c r="O471" s="79"/>
      <c r="R471" s="79"/>
      <c r="T471" s="79"/>
      <c r="U471" s="79"/>
      <c r="Y471" s="79"/>
      <c r="AC471" s="130"/>
      <c r="AE471" s="106"/>
    </row>
    <row r="472">
      <c r="C472" s="79"/>
      <c r="D472" s="79"/>
      <c r="E472" s="79"/>
      <c r="O472" s="79"/>
      <c r="R472" s="79"/>
      <c r="T472" s="79"/>
      <c r="U472" s="79"/>
      <c r="Y472" s="79"/>
      <c r="AC472" s="130"/>
      <c r="AE472" s="106"/>
    </row>
    <row r="473">
      <c r="C473" s="79"/>
      <c r="D473" s="79"/>
      <c r="E473" s="79"/>
      <c r="O473" s="79"/>
      <c r="R473" s="79"/>
      <c r="T473" s="79"/>
      <c r="U473" s="79"/>
      <c r="Y473" s="79"/>
      <c r="AC473" s="130"/>
      <c r="AE473" s="106"/>
    </row>
    <row r="474">
      <c r="C474" s="79"/>
      <c r="D474" s="79"/>
      <c r="E474" s="79"/>
      <c r="O474" s="79"/>
      <c r="R474" s="79"/>
      <c r="T474" s="79"/>
      <c r="U474" s="79"/>
      <c r="Y474" s="79"/>
      <c r="AC474" s="130"/>
      <c r="AE474" s="106"/>
    </row>
    <row r="475">
      <c r="C475" s="79"/>
      <c r="D475" s="79"/>
      <c r="E475" s="79"/>
      <c r="O475" s="79"/>
      <c r="R475" s="79"/>
      <c r="T475" s="79"/>
      <c r="U475" s="79"/>
      <c r="Y475" s="79"/>
      <c r="AC475" s="130"/>
      <c r="AE475" s="106"/>
    </row>
    <row r="476">
      <c r="C476" s="79"/>
      <c r="D476" s="79"/>
      <c r="E476" s="79"/>
      <c r="O476" s="79"/>
      <c r="R476" s="79"/>
      <c r="T476" s="79"/>
      <c r="U476" s="79"/>
      <c r="Y476" s="79"/>
      <c r="AC476" s="130"/>
      <c r="AE476" s="106"/>
    </row>
    <row r="477">
      <c r="C477" s="79"/>
      <c r="D477" s="79"/>
      <c r="E477" s="79"/>
      <c r="O477" s="79"/>
      <c r="R477" s="79"/>
      <c r="T477" s="79"/>
      <c r="U477" s="79"/>
      <c r="Y477" s="79"/>
      <c r="AC477" s="130"/>
      <c r="AE477" s="106"/>
    </row>
    <row r="478">
      <c r="C478" s="79"/>
      <c r="D478" s="79"/>
      <c r="E478" s="79"/>
      <c r="O478" s="79"/>
      <c r="R478" s="79"/>
      <c r="T478" s="79"/>
      <c r="U478" s="79"/>
      <c r="Y478" s="79"/>
      <c r="AC478" s="130"/>
      <c r="AE478" s="106"/>
    </row>
    <row r="479">
      <c r="C479" s="79"/>
      <c r="D479" s="79"/>
      <c r="E479" s="79"/>
      <c r="O479" s="79"/>
      <c r="R479" s="79"/>
      <c r="T479" s="79"/>
      <c r="U479" s="79"/>
      <c r="Y479" s="79"/>
      <c r="AC479" s="130"/>
      <c r="AE479" s="106"/>
    </row>
    <row r="480">
      <c r="C480" s="79"/>
      <c r="D480" s="79"/>
      <c r="E480" s="79"/>
      <c r="O480" s="79"/>
      <c r="R480" s="79"/>
      <c r="T480" s="79"/>
      <c r="U480" s="79"/>
      <c r="Y480" s="79"/>
      <c r="AC480" s="130"/>
      <c r="AE480" s="106"/>
    </row>
    <row r="481">
      <c r="C481" s="79"/>
      <c r="D481" s="79"/>
      <c r="E481" s="79"/>
      <c r="O481" s="79"/>
      <c r="R481" s="79"/>
      <c r="T481" s="79"/>
      <c r="U481" s="79"/>
      <c r="Y481" s="79"/>
      <c r="AC481" s="130"/>
      <c r="AE481" s="106"/>
    </row>
    <row r="482">
      <c r="C482" s="79"/>
      <c r="D482" s="79"/>
      <c r="E482" s="79"/>
      <c r="O482" s="79"/>
      <c r="R482" s="79"/>
      <c r="T482" s="79"/>
      <c r="U482" s="79"/>
      <c r="Y482" s="79"/>
      <c r="AC482" s="130"/>
      <c r="AE482" s="106"/>
    </row>
    <row r="483">
      <c r="C483" s="79"/>
      <c r="D483" s="79"/>
      <c r="E483" s="79"/>
      <c r="O483" s="79"/>
      <c r="R483" s="79"/>
      <c r="T483" s="79"/>
      <c r="U483" s="79"/>
      <c r="Y483" s="79"/>
      <c r="AC483" s="130"/>
      <c r="AE483" s="106"/>
    </row>
    <row r="484">
      <c r="C484" s="79"/>
      <c r="D484" s="79"/>
      <c r="E484" s="79"/>
      <c r="O484" s="79"/>
      <c r="R484" s="79"/>
      <c r="T484" s="79"/>
      <c r="U484" s="79"/>
      <c r="Y484" s="79"/>
      <c r="AC484" s="130"/>
      <c r="AE484" s="106"/>
    </row>
    <row r="485">
      <c r="C485" s="79"/>
      <c r="D485" s="79"/>
      <c r="E485" s="79"/>
      <c r="O485" s="79"/>
      <c r="R485" s="79"/>
      <c r="T485" s="79"/>
      <c r="U485" s="79"/>
      <c r="Y485" s="79"/>
      <c r="AC485" s="130"/>
      <c r="AE485" s="106"/>
    </row>
    <row r="486">
      <c r="C486" s="79"/>
      <c r="D486" s="79"/>
      <c r="E486" s="79"/>
      <c r="O486" s="79"/>
      <c r="R486" s="79"/>
      <c r="T486" s="79"/>
      <c r="U486" s="79"/>
      <c r="Y486" s="79"/>
      <c r="AC486" s="130"/>
      <c r="AE486" s="106"/>
    </row>
    <row r="487">
      <c r="C487" s="79"/>
      <c r="D487" s="79"/>
      <c r="E487" s="79"/>
      <c r="O487" s="79"/>
      <c r="R487" s="79"/>
      <c r="T487" s="79"/>
      <c r="U487" s="79"/>
      <c r="Y487" s="79"/>
      <c r="AC487" s="130"/>
      <c r="AE487" s="106"/>
    </row>
    <row r="488">
      <c r="C488" s="79"/>
      <c r="D488" s="79"/>
      <c r="E488" s="79"/>
      <c r="O488" s="79"/>
      <c r="R488" s="79"/>
      <c r="T488" s="79"/>
      <c r="U488" s="79"/>
      <c r="Y488" s="79"/>
      <c r="AC488" s="130"/>
      <c r="AE488" s="106"/>
    </row>
    <row r="489">
      <c r="C489" s="79"/>
      <c r="D489" s="79"/>
      <c r="E489" s="79"/>
      <c r="O489" s="79"/>
      <c r="R489" s="79"/>
      <c r="T489" s="79"/>
      <c r="U489" s="79"/>
      <c r="Y489" s="79"/>
      <c r="AC489" s="130"/>
      <c r="AE489" s="106"/>
    </row>
    <row r="490">
      <c r="C490" s="79"/>
      <c r="D490" s="79"/>
      <c r="E490" s="79"/>
      <c r="O490" s="79"/>
      <c r="R490" s="79"/>
      <c r="T490" s="79"/>
      <c r="U490" s="79"/>
      <c r="Y490" s="79"/>
      <c r="AC490" s="130"/>
      <c r="AE490" s="106"/>
    </row>
    <row r="491">
      <c r="C491" s="79"/>
      <c r="D491" s="79"/>
      <c r="E491" s="79"/>
      <c r="O491" s="79"/>
      <c r="R491" s="79"/>
      <c r="T491" s="79"/>
      <c r="U491" s="79"/>
      <c r="Y491" s="79"/>
      <c r="AC491" s="130"/>
      <c r="AE491" s="106"/>
    </row>
    <row r="492">
      <c r="C492" s="79"/>
      <c r="D492" s="79"/>
      <c r="E492" s="79"/>
      <c r="O492" s="79"/>
      <c r="R492" s="79"/>
      <c r="T492" s="79"/>
      <c r="U492" s="79"/>
      <c r="Y492" s="79"/>
      <c r="AC492" s="130"/>
      <c r="AE492" s="106"/>
    </row>
    <row r="493">
      <c r="C493" s="79"/>
      <c r="D493" s="79"/>
      <c r="E493" s="79"/>
      <c r="O493" s="79"/>
      <c r="R493" s="79"/>
      <c r="T493" s="79"/>
      <c r="U493" s="79"/>
      <c r="Y493" s="79"/>
      <c r="AC493" s="130"/>
      <c r="AE493" s="106"/>
    </row>
    <row r="494">
      <c r="C494" s="79"/>
      <c r="D494" s="79"/>
      <c r="E494" s="79"/>
      <c r="O494" s="79"/>
      <c r="R494" s="79"/>
      <c r="T494" s="79"/>
      <c r="U494" s="79"/>
      <c r="Y494" s="79"/>
      <c r="AC494" s="130"/>
      <c r="AE494" s="106"/>
    </row>
    <row r="495">
      <c r="C495" s="79"/>
      <c r="D495" s="79"/>
      <c r="E495" s="79"/>
      <c r="O495" s="79"/>
      <c r="R495" s="79"/>
      <c r="T495" s="79"/>
      <c r="U495" s="79"/>
      <c r="Y495" s="79"/>
      <c r="AC495" s="130"/>
      <c r="AE495" s="106"/>
    </row>
    <row r="496">
      <c r="C496" s="79"/>
      <c r="D496" s="79"/>
      <c r="E496" s="79"/>
      <c r="O496" s="79"/>
      <c r="R496" s="79"/>
      <c r="T496" s="79"/>
      <c r="U496" s="79"/>
      <c r="Y496" s="79"/>
      <c r="AC496" s="130"/>
      <c r="AE496" s="106"/>
    </row>
    <row r="497">
      <c r="C497" s="79"/>
      <c r="D497" s="79"/>
      <c r="E497" s="79"/>
      <c r="O497" s="79"/>
      <c r="R497" s="79"/>
      <c r="T497" s="79"/>
      <c r="U497" s="79"/>
      <c r="Y497" s="79"/>
      <c r="AC497" s="130"/>
      <c r="AE497" s="106"/>
    </row>
    <row r="498">
      <c r="C498" s="79"/>
      <c r="D498" s="79"/>
      <c r="E498" s="79"/>
      <c r="O498" s="79"/>
      <c r="R498" s="79"/>
      <c r="T498" s="79"/>
      <c r="U498" s="79"/>
      <c r="Y498" s="79"/>
      <c r="AC498" s="130"/>
      <c r="AE498" s="106"/>
    </row>
    <row r="499">
      <c r="C499" s="79"/>
      <c r="D499" s="79"/>
      <c r="E499" s="79"/>
      <c r="O499" s="79"/>
      <c r="R499" s="79"/>
      <c r="T499" s="79"/>
      <c r="U499" s="79"/>
      <c r="Y499" s="79"/>
      <c r="AC499" s="130"/>
      <c r="AE499" s="106"/>
    </row>
    <row r="500">
      <c r="C500" s="79"/>
      <c r="D500" s="79"/>
      <c r="E500" s="79"/>
      <c r="O500" s="79"/>
      <c r="R500" s="79"/>
      <c r="T500" s="79"/>
      <c r="U500" s="79"/>
      <c r="Y500" s="79"/>
      <c r="AC500" s="130"/>
      <c r="AE500" s="106"/>
    </row>
    <row r="501">
      <c r="C501" s="79"/>
      <c r="D501" s="79"/>
      <c r="E501" s="79"/>
      <c r="O501" s="79"/>
      <c r="R501" s="79"/>
      <c r="T501" s="79"/>
      <c r="U501" s="79"/>
      <c r="Y501" s="79"/>
      <c r="AC501" s="130"/>
      <c r="AE501" s="106"/>
    </row>
    <row r="502">
      <c r="C502" s="79"/>
      <c r="D502" s="79"/>
      <c r="E502" s="79"/>
      <c r="O502" s="79"/>
      <c r="R502" s="79"/>
      <c r="T502" s="79"/>
      <c r="U502" s="79"/>
      <c r="Y502" s="79"/>
      <c r="AC502" s="130"/>
      <c r="AE502" s="106"/>
    </row>
    <row r="503">
      <c r="C503" s="79"/>
      <c r="D503" s="79"/>
      <c r="E503" s="79"/>
      <c r="O503" s="79"/>
      <c r="R503" s="79"/>
      <c r="T503" s="79"/>
      <c r="U503" s="79"/>
      <c r="Y503" s="79"/>
      <c r="AC503" s="130"/>
      <c r="AE503" s="106"/>
    </row>
    <row r="504">
      <c r="C504" s="79"/>
      <c r="D504" s="79"/>
      <c r="E504" s="79"/>
      <c r="O504" s="79"/>
      <c r="R504" s="79"/>
      <c r="T504" s="79"/>
      <c r="U504" s="79"/>
      <c r="Y504" s="79"/>
      <c r="AC504" s="130"/>
      <c r="AE504" s="106"/>
    </row>
    <row r="505">
      <c r="C505" s="79"/>
      <c r="D505" s="79"/>
      <c r="E505" s="79"/>
      <c r="O505" s="79"/>
      <c r="R505" s="79"/>
      <c r="T505" s="79"/>
      <c r="U505" s="79"/>
      <c r="Y505" s="79"/>
      <c r="AC505" s="130"/>
      <c r="AE505" s="106"/>
    </row>
    <row r="506">
      <c r="C506" s="79"/>
      <c r="D506" s="79"/>
      <c r="E506" s="79"/>
      <c r="O506" s="79"/>
      <c r="R506" s="79"/>
      <c r="T506" s="79"/>
      <c r="U506" s="79"/>
      <c r="Y506" s="79"/>
      <c r="AC506" s="130"/>
      <c r="AE506" s="106"/>
    </row>
    <row r="507">
      <c r="C507" s="79"/>
      <c r="D507" s="79"/>
      <c r="E507" s="79"/>
      <c r="O507" s="79"/>
      <c r="R507" s="79"/>
      <c r="T507" s="79"/>
      <c r="U507" s="79"/>
      <c r="Y507" s="79"/>
      <c r="AC507" s="130"/>
      <c r="AE507" s="106"/>
    </row>
    <row r="508">
      <c r="C508" s="79"/>
      <c r="D508" s="79"/>
      <c r="E508" s="79"/>
      <c r="O508" s="79"/>
      <c r="R508" s="79"/>
      <c r="T508" s="79"/>
      <c r="U508" s="79"/>
      <c r="Y508" s="79"/>
      <c r="AC508" s="130"/>
      <c r="AE508" s="106"/>
    </row>
    <row r="509">
      <c r="C509" s="79"/>
      <c r="D509" s="79"/>
      <c r="E509" s="79"/>
      <c r="O509" s="79"/>
      <c r="R509" s="79"/>
      <c r="T509" s="79"/>
      <c r="U509" s="79"/>
      <c r="Y509" s="79"/>
      <c r="AC509" s="130"/>
      <c r="AE509" s="106"/>
    </row>
    <row r="510">
      <c r="C510" s="79"/>
      <c r="D510" s="79"/>
      <c r="E510" s="79"/>
      <c r="O510" s="79"/>
      <c r="R510" s="79"/>
      <c r="T510" s="79"/>
      <c r="U510" s="79"/>
      <c r="Y510" s="79"/>
      <c r="AC510" s="130"/>
      <c r="AE510" s="106"/>
    </row>
    <row r="511">
      <c r="C511" s="79"/>
      <c r="D511" s="79"/>
      <c r="E511" s="79"/>
      <c r="O511" s="79"/>
      <c r="R511" s="79"/>
      <c r="T511" s="79"/>
      <c r="U511" s="79"/>
      <c r="Y511" s="79"/>
      <c r="AC511" s="130"/>
      <c r="AE511" s="106"/>
    </row>
    <row r="512">
      <c r="C512" s="79"/>
      <c r="D512" s="79"/>
      <c r="E512" s="79"/>
      <c r="O512" s="79"/>
      <c r="R512" s="79"/>
      <c r="T512" s="79"/>
      <c r="U512" s="79"/>
      <c r="Y512" s="79"/>
      <c r="AC512" s="130"/>
      <c r="AE512" s="106"/>
    </row>
    <row r="513">
      <c r="C513" s="79"/>
      <c r="D513" s="79"/>
      <c r="E513" s="79"/>
      <c r="O513" s="79"/>
      <c r="R513" s="79"/>
      <c r="T513" s="79"/>
      <c r="U513" s="79"/>
      <c r="Y513" s="79"/>
      <c r="AC513" s="130"/>
      <c r="AE513" s="106"/>
    </row>
    <row r="514">
      <c r="C514" s="79"/>
      <c r="D514" s="79"/>
      <c r="E514" s="79"/>
      <c r="O514" s="79"/>
      <c r="R514" s="79"/>
      <c r="T514" s="79"/>
      <c r="U514" s="79"/>
      <c r="Y514" s="79"/>
      <c r="AC514" s="130"/>
      <c r="AE514" s="106"/>
    </row>
    <row r="515">
      <c r="C515" s="79"/>
      <c r="D515" s="79"/>
      <c r="E515" s="79"/>
      <c r="O515" s="79"/>
      <c r="R515" s="79"/>
      <c r="T515" s="79"/>
      <c r="U515" s="79"/>
      <c r="Y515" s="79"/>
      <c r="AC515" s="130"/>
      <c r="AE515" s="106"/>
    </row>
    <row r="516">
      <c r="C516" s="79"/>
      <c r="D516" s="79"/>
      <c r="E516" s="79"/>
      <c r="O516" s="79"/>
      <c r="R516" s="79"/>
      <c r="T516" s="79"/>
      <c r="U516" s="79"/>
      <c r="Y516" s="79"/>
      <c r="AC516" s="130"/>
      <c r="AE516" s="106"/>
    </row>
    <row r="517">
      <c r="C517" s="79"/>
      <c r="D517" s="79"/>
      <c r="E517" s="79"/>
      <c r="O517" s="79"/>
      <c r="R517" s="79"/>
      <c r="T517" s="79"/>
      <c r="U517" s="79"/>
      <c r="Y517" s="79"/>
      <c r="AC517" s="130"/>
      <c r="AE517" s="106"/>
    </row>
    <row r="518">
      <c r="C518" s="79"/>
      <c r="D518" s="79"/>
      <c r="E518" s="79"/>
      <c r="O518" s="79"/>
      <c r="R518" s="79"/>
      <c r="T518" s="79"/>
      <c r="U518" s="79"/>
      <c r="Y518" s="79"/>
      <c r="AC518" s="130"/>
      <c r="AE518" s="106"/>
    </row>
    <row r="519">
      <c r="C519" s="79"/>
      <c r="D519" s="79"/>
      <c r="E519" s="79"/>
      <c r="O519" s="79"/>
      <c r="R519" s="79"/>
      <c r="T519" s="79"/>
      <c r="U519" s="79"/>
      <c r="Y519" s="79"/>
      <c r="AC519" s="130"/>
      <c r="AE519" s="106"/>
    </row>
    <row r="520">
      <c r="C520" s="79"/>
      <c r="D520" s="79"/>
      <c r="E520" s="79"/>
      <c r="O520" s="79"/>
      <c r="R520" s="79"/>
      <c r="T520" s="79"/>
      <c r="U520" s="79"/>
      <c r="Y520" s="79"/>
      <c r="AC520" s="130"/>
      <c r="AE520" s="106"/>
    </row>
    <row r="521">
      <c r="C521" s="79"/>
      <c r="D521" s="79"/>
      <c r="E521" s="79"/>
      <c r="O521" s="79"/>
      <c r="R521" s="79"/>
      <c r="T521" s="79"/>
      <c r="U521" s="79"/>
      <c r="Y521" s="79"/>
      <c r="AC521" s="130"/>
      <c r="AE521" s="106"/>
    </row>
    <row r="522">
      <c r="C522" s="79"/>
      <c r="D522" s="79"/>
      <c r="E522" s="79"/>
      <c r="O522" s="79"/>
      <c r="R522" s="79"/>
      <c r="T522" s="79"/>
      <c r="U522" s="79"/>
      <c r="Y522" s="79"/>
      <c r="AC522" s="130"/>
      <c r="AE522" s="106"/>
    </row>
    <row r="523">
      <c r="C523" s="79"/>
      <c r="D523" s="79"/>
      <c r="E523" s="79"/>
      <c r="O523" s="79"/>
      <c r="R523" s="79"/>
      <c r="T523" s="79"/>
      <c r="U523" s="79"/>
      <c r="Y523" s="79"/>
      <c r="AC523" s="130"/>
      <c r="AE523" s="106"/>
    </row>
    <row r="524">
      <c r="C524" s="79"/>
      <c r="D524" s="79"/>
      <c r="E524" s="79"/>
      <c r="O524" s="79"/>
      <c r="R524" s="79"/>
      <c r="T524" s="79"/>
      <c r="U524" s="79"/>
      <c r="Y524" s="79"/>
      <c r="AC524" s="130"/>
      <c r="AE524" s="106"/>
    </row>
    <row r="525">
      <c r="C525" s="79"/>
      <c r="D525" s="79"/>
      <c r="E525" s="79"/>
      <c r="O525" s="79"/>
      <c r="R525" s="79"/>
      <c r="T525" s="79"/>
      <c r="U525" s="79"/>
      <c r="Y525" s="79"/>
      <c r="AC525" s="130"/>
      <c r="AE525" s="106"/>
    </row>
    <row r="526">
      <c r="C526" s="79"/>
      <c r="D526" s="79"/>
      <c r="E526" s="79"/>
      <c r="O526" s="79"/>
      <c r="R526" s="79"/>
      <c r="T526" s="79"/>
      <c r="U526" s="79"/>
      <c r="Y526" s="79"/>
      <c r="AC526" s="130"/>
      <c r="AE526" s="106"/>
    </row>
    <row r="527">
      <c r="C527" s="79"/>
      <c r="D527" s="79"/>
      <c r="E527" s="79"/>
      <c r="O527" s="79"/>
      <c r="R527" s="79"/>
      <c r="T527" s="79"/>
      <c r="U527" s="79"/>
      <c r="Y527" s="79"/>
      <c r="AC527" s="130"/>
      <c r="AE527" s="106"/>
    </row>
    <row r="528">
      <c r="C528" s="79"/>
      <c r="D528" s="79"/>
      <c r="E528" s="79"/>
      <c r="O528" s="79"/>
      <c r="R528" s="79"/>
      <c r="T528" s="79"/>
      <c r="U528" s="79"/>
      <c r="Y528" s="79"/>
      <c r="AC528" s="130"/>
      <c r="AE528" s="106"/>
    </row>
    <row r="529">
      <c r="C529" s="79"/>
      <c r="D529" s="79"/>
      <c r="E529" s="79"/>
      <c r="O529" s="79"/>
      <c r="R529" s="79"/>
      <c r="T529" s="79"/>
      <c r="U529" s="79"/>
      <c r="Y529" s="79"/>
      <c r="AC529" s="130"/>
      <c r="AE529" s="106"/>
    </row>
    <row r="530">
      <c r="C530" s="79"/>
      <c r="D530" s="79"/>
      <c r="E530" s="79"/>
      <c r="O530" s="79"/>
      <c r="R530" s="79"/>
      <c r="T530" s="79"/>
      <c r="U530" s="79"/>
      <c r="Y530" s="79"/>
      <c r="AC530" s="130"/>
      <c r="AE530" s="106"/>
    </row>
    <row r="531">
      <c r="C531" s="79"/>
      <c r="D531" s="79"/>
      <c r="E531" s="79"/>
      <c r="O531" s="79"/>
      <c r="R531" s="79"/>
      <c r="T531" s="79"/>
      <c r="U531" s="79"/>
      <c r="Y531" s="79"/>
      <c r="AC531" s="130"/>
      <c r="AE531" s="106"/>
    </row>
    <row r="532">
      <c r="C532" s="79"/>
      <c r="D532" s="79"/>
      <c r="E532" s="79"/>
      <c r="O532" s="79"/>
      <c r="R532" s="79"/>
      <c r="T532" s="79"/>
      <c r="U532" s="79"/>
      <c r="Y532" s="79"/>
      <c r="AC532" s="130"/>
      <c r="AE532" s="106"/>
    </row>
    <row r="533">
      <c r="C533" s="79"/>
      <c r="D533" s="79"/>
      <c r="E533" s="79"/>
      <c r="O533" s="79"/>
      <c r="R533" s="79"/>
      <c r="T533" s="79"/>
      <c r="U533" s="79"/>
      <c r="Y533" s="79"/>
      <c r="AC533" s="130"/>
      <c r="AE533" s="106"/>
    </row>
    <row r="534">
      <c r="C534" s="79"/>
      <c r="D534" s="79"/>
      <c r="E534" s="79"/>
      <c r="O534" s="79"/>
      <c r="R534" s="79"/>
      <c r="T534" s="79"/>
      <c r="U534" s="79"/>
      <c r="Y534" s="79"/>
      <c r="AC534" s="130"/>
      <c r="AE534" s="106"/>
    </row>
    <row r="535">
      <c r="C535" s="79"/>
      <c r="D535" s="79"/>
      <c r="E535" s="79"/>
      <c r="O535" s="79"/>
      <c r="R535" s="79"/>
      <c r="T535" s="79"/>
      <c r="U535" s="79"/>
      <c r="Y535" s="79"/>
      <c r="AC535" s="130"/>
      <c r="AE535" s="106"/>
    </row>
    <row r="536">
      <c r="C536" s="79"/>
      <c r="D536" s="79"/>
      <c r="E536" s="79"/>
      <c r="O536" s="79"/>
      <c r="R536" s="79"/>
      <c r="T536" s="79"/>
      <c r="U536" s="79"/>
      <c r="Y536" s="79"/>
      <c r="AC536" s="130"/>
      <c r="AE536" s="106"/>
    </row>
    <row r="537">
      <c r="C537" s="79"/>
      <c r="D537" s="79"/>
      <c r="E537" s="79"/>
      <c r="O537" s="79"/>
      <c r="R537" s="79"/>
      <c r="T537" s="79"/>
      <c r="U537" s="79"/>
      <c r="Y537" s="79"/>
      <c r="AC537" s="130"/>
      <c r="AE537" s="106"/>
    </row>
    <row r="538">
      <c r="C538" s="79"/>
      <c r="D538" s="79"/>
      <c r="E538" s="79"/>
      <c r="O538" s="79"/>
      <c r="R538" s="79"/>
      <c r="T538" s="79"/>
      <c r="U538" s="79"/>
      <c r="Y538" s="79"/>
      <c r="AC538" s="130"/>
      <c r="AE538" s="106"/>
    </row>
    <row r="539">
      <c r="C539" s="79"/>
      <c r="D539" s="79"/>
      <c r="E539" s="79"/>
      <c r="O539" s="79"/>
      <c r="R539" s="79"/>
      <c r="T539" s="79"/>
      <c r="U539" s="79"/>
      <c r="Y539" s="79"/>
      <c r="AC539" s="130"/>
      <c r="AE539" s="106"/>
    </row>
    <row r="540">
      <c r="C540" s="79"/>
      <c r="D540" s="79"/>
      <c r="E540" s="79"/>
      <c r="O540" s="79"/>
      <c r="R540" s="79"/>
      <c r="T540" s="79"/>
      <c r="U540" s="79"/>
      <c r="Y540" s="79"/>
      <c r="AC540" s="130"/>
      <c r="AE540" s="106"/>
    </row>
    <row r="541">
      <c r="C541" s="79"/>
      <c r="D541" s="79"/>
      <c r="E541" s="79"/>
      <c r="O541" s="79"/>
      <c r="R541" s="79"/>
      <c r="T541" s="79"/>
      <c r="U541" s="79"/>
      <c r="Y541" s="79"/>
      <c r="AC541" s="130"/>
      <c r="AE541" s="106"/>
    </row>
    <row r="542">
      <c r="C542" s="79"/>
      <c r="D542" s="79"/>
      <c r="E542" s="79"/>
      <c r="O542" s="79"/>
      <c r="R542" s="79"/>
      <c r="T542" s="79"/>
      <c r="U542" s="79"/>
      <c r="Y542" s="79"/>
      <c r="AC542" s="130"/>
      <c r="AE542" s="106"/>
    </row>
    <row r="543">
      <c r="C543" s="79"/>
      <c r="D543" s="79"/>
      <c r="E543" s="79"/>
      <c r="O543" s="79"/>
      <c r="R543" s="79"/>
      <c r="T543" s="79"/>
      <c r="U543" s="79"/>
      <c r="Y543" s="79"/>
      <c r="AC543" s="130"/>
      <c r="AE543" s="106"/>
    </row>
    <row r="544">
      <c r="C544" s="79"/>
      <c r="D544" s="79"/>
      <c r="E544" s="79"/>
      <c r="O544" s="79"/>
      <c r="R544" s="79"/>
      <c r="T544" s="79"/>
      <c r="U544" s="79"/>
      <c r="Y544" s="79"/>
      <c r="AC544" s="130"/>
      <c r="AE544" s="106"/>
    </row>
    <row r="545">
      <c r="C545" s="79"/>
      <c r="D545" s="79"/>
      <c r="E545" s="79"/>
      <c r="O545" s="79"/>
      <c r="R545" s="79"/>
      <c r="T545" s="79"/>
      <c r="U545" s="79"/>
      <c r="Y545" s="79"/>
      <c r="AC545" s="130"/>
      <c r="AE545" s="106"/>
    </row>
    <row r="546">
      <c r="C546" s="79"/>
      <c r="D546" s="79"/>
      <c r="E546" s="79"/>
      <c r="O546" s="79"/>
      <c r="R546" s="79"/>
      <c r="T546" s="79"/>
      <c r="U546" s="79"/>
      <c r="Y546" s="79"/>
      <c r="AC546" s="130"/>
      <c r="AE546" s="106"/>
    </row>
    <row r="547">
      <c r="C547" s="79"/>
      <c r="D547" s="79"/>
      <c r="E547" s="79"/>
      <c r="O547" s="79"/>
      <c r="R547" s="79"/>
      <c r="T547" s="79"/>
      <c r="U547" s="79"/>
      <c r="Y547" s="79"/>
      <c r="AC547" s="130"/>
      <c r="AE547" s="106"/>
    </row>
    <row r="548">
      <c r="C548" s="79"/>
      <c r="D548" s="79"/>
      <c r="E548" s="79"/>
      <c r="O548" s="79"/>
      <c r="R548" s="79"/>
      <c r="T548" s="79"/>
      <c r="U548" s="79"/>
      <c r="Y548" s="79"/>
      <c r="AC548" s="130"/>
      <c r="AE548" s="106"/>
    </row>
    <row r="549">
      <c r="C549" s="79"/>
      <c r="D549" s="79"/>
      <c r="E549" s="79"/>
      <c r="O549" s="79"/>
      <c r="R549" s="79"/>
      <c r="T549" s="79"/>
      <c r="U549" s="79"/>
      <c r="Y549" s="79"/>
      <c r="AC549" s="130"/>
      <c r="AE549" s="106"/>
    </row>
    <row r="550">
      <c r="C550" s="79"/>
      <c r="D550" s="79"/>
      <c r="E550" s="79"/>
      <c r="O550" s="79"/>
      <c r="R550" s="79"/>
      <c r="T550" s="79"/>
      <c r="U550" s="79"/>
      <c r="Y550" s="79"/>
      <c r="AC550" s="130"/>
      <c r="AE550" s="106"/>
    </row>
    <row r="551">
      <c r="C551" s="79"/>
      <c r="D551" s="79"/>
      <c r="E551" s="79"/>
      <c r="O551" s="79"/>
      <c r="R551" s="79"/>
      <c r="T551" s="79"/>
      <c r="U551" s="79"/>
      <c r="Y551" s="79"/>
      <c r="AC551" s="130"/>
      <c r="AE551" s="106"/>
    </row>
    <row r="552">
      <c r="C552" s="79"/>
      <c r="D552" s="79"/>
      <c r="E552" s="79"/>
      <c r="O552" s="79"/>
      <c r="R552" s="79"/>
      <c r="T552" s="79"/>
      <c r="U552" s="79"/>
      <c r="Y552" s="79"/>
      <c r="AC552" s="130"/>
      <c r="AE552" s="106"/>
    </row>
    <row r="553">
      <c r="C553" s="79"/>
      <c r="D553" s="79"/>
      <c r="E553" s="79"/>
      <c r="O553" s="79"/>
      <c r="R553" s="79"/>
      <c r="T553" s="79"/>
      <c r="U553" s="79"/>
      <c r="Y553" s="79"/>
      <c r="AC553" s="130"/>
      <c r="AE553" s="106"/>
    </row>
    <row r="554">
      <c r="C554" s="79"/>
      <c r="D554" s="79"/>
      <c r="E554" s="79"/>
      <c r="O554" s="79"/>
      <c r="R554" s="79"/>
      <c r="T554" s="79"/>
      <c r="U554" s="79"/>
      <c r="Y554" s="79"/>
      <c r="AC554" s="130"/>
      <c r="AE554" s="106"/>
    </row>
    <row r="555">
      <c r="C555" s="79"/>
      <c r="D555" s="79"/>
      <c r="E555" s="79"/>
      <c r="O555" s="79"/>
      <c r="R555" s="79"/>
      <c r="T555" s="79"/>
      <c r="U555" s="79"/>
      <c r="Y555" s="79"/>
      <c r="AC555" s="130"/>
      <c r="AE555" s="106"/>
    </row>
    <row r="556">
      <c r="C556" s="79"/>
      <c r="D556" s="79"/>
      <c r="E556" s="79"/>
      <c r="O556" s="79"/>
      <c r="R556" s="79"/>
      <c r="T556" s="79"/>
      <c r="U556" s="79"/>
      <c r="Y556" s="79"/>
      <c r="AC556" s="130"/>
      <c r="AE556" s="106"/>
    </row>
    <row r="557">
      <c r="C557" s="79"/>
      <c r="D557" s="79"/>
      <c r="E557" s="79"/>
      <c r="O557" s="79"/>
      <c r="R557" s="79"/>
      <c r="T557" s="79"/>
      <c r="U557" s="79"/>
      <c r="Y557" s="79"/>
      <c r="AC557" s="130"/>
      <c r="AE557" s="106"/>
    </row>
    <row r="558">
      <c r="C558" s="79"/>
      <c r="D558" s="79"/>
      <c r="E558" s="79"/>
      <c r="O558" s="79"/>
      <c r="R558" s="79"/>
      <c r="T558" s="79"/>
      <c r="U558" s="79"/>
      <c r="Y558" s="79"/>
      <c r="AC558" s="130"/>
      <c r="AE558" s="106"/>
    </row>
    <row r="559">
      <c r="C559" s="79"/>
      <c r="D559" s="79"/>
      <c r="E559" s="79"/>
      <c r="O559" s="79"/>
      <c r="R559" s="79"/>
      <c r="T559" s="79"/>
      <c r="U559" s="79"/>
      <c r="Y559" s="79"/>
      <c r="AC559" s="130"/>
      <c r="AE559" s="106"/>
    </row>
    <row r="560">
      <c r="C560" s="79"/>
      <c r="D560" s="79"/>
      <c r="E560" s="79"/>
      <c r="O560" s="79"/>
      <c r="R560" s="79"/>
      <c r="T560" s="79"/>
      <c r="U560" s="79"/>
      <c r="Y560" s="79"/>
      <c r="AC560" s="130"/>
      <c r="AE560" s="106"/>
    </row>
    <row r="561">
      <c r="C561" s="79"/>
      <c r="D561" s="79"/>
      <c r="E561" s="79"/>
      <c r="O561" s="79"/>
      <c r="R561" s="79"/>
      <c r="T561" s="79"/>
      <c r="U561" s="79"/>
      <c r="Y561" s="79"/>
      <c r="AC561" s="130"/>
      <c r="AE561" s="106"/>
    </row>
    <row r="562">
      <c r="C562" s="79"/>
      <c r="D562" s="79"/>
      <c r="E562" s="79"/>
      <c r="O562" s="79"/>
      <c r="R562" s="79"/>
      <c r="T562" s="79"/>
      <c r="U562" s="79"/>
      <c r="Y562" s="79"/>
      <c r="AC562" s="130"/>
      <c r="AE562" s="106"/>
    </row>
    <row r="563">
      <c r="C563" s="79"/>
      <c r="D563" s="79"/>
      <c r="E563" s="79"/>
      <c r="O563" s="79"/>
      <c r="R563" s="79"/>
      <c r="T563" s="79"/>
      <c r="U563" s="79"/>
      <c r="Y563" s="79"/>
      <c r="AC563" s="130"/>
      <c r="AE563" s="106"/>
    </row>
    <row r="564">
      <c r="C564" s="79"/>
      <c r="D564" s="79"/>
      <c r="E564" s="79"/>
      <c r="O564" s="79"/>
      <c r="R564" s="79"/>
      <c r="T564" s="79"/>
      <c r="U564" s="79"/>
      <c r="Y564" s="79"/>
      <c r="AC564" s="130"/>
      <c r="AE564" s="106"/>
    </row>
    <row r="565">
      <c r="C565" s="79"/>
      <c r="D565" s="79"/>
      <c r="E565" s="79"/>
      <c r="O565" s="79"/>
      <c r="R565" s="79"/>
      <c r="T565" s="79"/>
      <c r="U565" s="79"/>
      <c r="Y565" s="79"/>
      <c r="AC565" s="130"/>
      <c r="AE565" s="106"/>
    </row>
    <row r="566">
      <c r="C566" s="79"/>
      <c r="D566" s="79"/>
      <c r="E566" s="79"/>
      <c r="O566" s="79"/>
      <c r="R566" s="79"/>
      <c r="T566" s="79"/>
      <c r="U566" s="79"/>
      <c r="Y566" s="79"/>
      <c r="AC566" s="130"/>
      <c r="AE566" s="106"/>
    </row>
    <row r="567">
      <c r="C567" s="79"/>
      <c r="D567" s="79"/>
      <c r="E567" s="79"/>
      <c r="O567" s="79"/>
      <c r="R567" s="79"/>
      <c r="T567" s="79"/>
      <c r="U567" s="79"/>
      <c r="Y567" s="79"/>
      <c r="AC567" s="130"/>
      <c r="AE567" s="106"/>
    </row>
    <row r="568">
      <c r="C568" s="79"/>
      <c r="D568" s="79"/>
      <c r="E568" s="79"/>
      <c r="O568" s="79"/>
      <c r="R568" s="79"/>
      <c r="T568" s="79"/>
      <c r="U568" s="79"/>
      <c r="Y568" s="79"/>
      <c r="AC568" s="130"/>
      <c r="AE568" s="106"/>
    </row>
    <row r="569">
      <c r="C569" s="79"/>
      <c r="D569" s="79"/>
      <c r="E569" s="79"/>
      <c r="O569" s="79"/>
      <c r="R569" s="79"/>
      <c r="T569" s="79"/>
      <c r="U569" s="79"/>
      <c r="Y569" s="79"/>
      <c r="AC569" s="130"/>
      <c r="AE569" s="106"/>
    </row>
    <row r="570">
      <c r="C570" s="79"/>
      <c r="D570" s="79"/>
      <c r="E570" s="79"/>
      <c r="O570" s="79"/>
      <c r="R570" s="79"/>
      <c r="T570" s="79"/>
      <c r="U570" s="79"/>
      <c r="Y570" s="79"/>
      <c r="AC570" s="130"/>
      <c r="AE570" s="106"/>
    </row>
    <row r="571">
      <c r="C571" s="79"/>
      <c r="D571" s="79"/>
      <c r="E571" s="79"/>
      <c r="O571" s="79"/>
      <c r="R571" s="79"/>
      <c r="T571" s="79"/>
      <c r="U571" s="79"/>
      <c r="Y571" s="79"/>
      <c r="AC571" s="130"/>
      <c r="AE571" s="106"/>
    </row>
    <row r="572">
      <c r="C572" s="79"/>
      <c r="D572" s="79"/>
      <c r="E572" s="79"/>
      <c r="O572" s="79"/>
      <c r="R572" s="79"/>
      <c r="T572" s="79"/>
      <c r="U572" s="79"/>
      <c r="Y572" s="79"/>
      <c r="AC572" s="130"/>
      <c r="AE572" s="106"/>
    </row>
    <row r="573">
      <c r="C573" s="79"/>
      <c r="D573" s="79"/>
      <c r="E573" s="79"/>
      <c r="O573" s="79"/>
      <c r="R573" s="79"/>
      <c r="T573" s="79"/>
      <c r="U573" s="79"/>
      <c r="Y573" s="79"/>
      <c r="AC573" s="130"/>
      <c r="AE573" s="106"/>
    </row>
    <row r="574">
      <c r="C574" s="79"/>
      <c r="D574" s="79"/>
      <c r="E574" s="79"/>
      <c r="O574" s="79"/>
      <c r="R574" s="79"/>
      <c r="T574" s="79"/>
      <c r="U574" s="79"/>
      <c r="Y574" s="79"/>
      <c r="AC574" s="130"/>
      <c r="AE574" s="106"/>
    </row>
    <row r="575">
      <c r="C575" s="79"/>
      <c r="D575" s="79"/>
      <c r="E575" s="79"/>
      <c r="O575" s="79"/>
      <c r="R575" s="79"/>
      <c r="T575" s="79"/>
      <c r="U575" s="79"/>
      <c r="Y575" s="79"/>
      <c r="AC575" s="130"/>
      <c r="AE575" s="106"/>
    </row>
    <row r="576">
      <c r="C576" s="79"/>
      <c r="D576" s="79"/>
      <c r="E576" s="79"/>
      <c r="O576" s="79"/>
      <c r="R576" s="79"/>
      <c r="T576" s="79"/>
      <c r="U576" s="79"/>
      <c r="Y576" s="79"/>
      <c r="AC576" s="130"/>
      <c r="AE576" s="106"/>
    </row>
    <row r="577">
      <c r="C577" s="79"/>
      <c r="D577" s="79"/>
      <c r="E577" s="79"/>
      <c r="O577" s="79"/>
      <c r="R577" s="79"/>
      <c r="T577" s="79"/>
      <c r="U577" s="79"/>
      <c r="Y577" s="79"/>
      <c r="AC577" s="130"/>
      <c r="AE577" s="106"/>
    </row>
    <row r="578">
      <c r="C578" s="79"/>
      <c r="D578" s="79"/>
      <c r="E578" s="79"/>
      <c r="O578" s="79"/>
      <c r="R578" s="79"/>
      <c r="T578" s="79"/>
      <c r="U578" s="79"/>
      <c r="Y578" s="79"/>
      <c r="AC578" s="130"/>
      <c r="AE578" s="106"/>
    </row>
    <row r="579">
      <c r="C579" s="79"/>
      <c r="D579" s="79"/>
      <c r="E579" s="79"/>
      <c r="O579" s="79"/>
      <c r="R579" s="79"/>
      <c r="T579" s="79"/>
      <c r="U579" s="79"/>
      <c r="Y579" s="79"/>
      <c r="AC579" s="130"/>
      <c r="AE579" s="106"/>
    </row>
    <row r="580">
      <c r="C580" s="79"/>
      <c r="D580" s="79"/>
      <c r="E580" s="79"/>
      <c r="O580" s="79"/>
      <c r="R580" s="79"/>
      <c r="T580" s="79"/>
      <c r="U580" s="79"/>
      <c r="Y580" s="79"/>
      <c r="AC580" s="130"/>
      <c r="AE580" s="106"/>
    </row>
    <row r="581">
      <c r="C581" s="79"/>
      <c r="D581" s="79"/>
      <c r="E581" s="79"/>
      <c r="O581" s="79"/>
      <c r="R581" s="79"/>
      <c r="T581" s="79"/>
      <c r="U581" s="79"/>
      <c r="Y581" s="79"/>
      <c r="AC581" s="130"/>
      <c r="AE581" s="106"/>
    </row>
    <row r="582">
      <c r="C582" s="79"/>
      <c r="D582" s="79"/>
      <c r="E582" s="79"/>
      <c r="O582" s="79"/>
      <c r="R582" s="79"/>
      <c r="T582" s="79"/>
      <c r="U582" s="79"/>
      <c r="Y582" s="79"/>
      <c r="AC582" s="130"/>
      <c r="AE582" s="106"/>
    </row>
    <row r="583">
      <c r="C583" s="79"/>
      <c r="D583" s="79"/>
      <c r="E583" s="79"/>
      <c r="O583" s="79"/>
      <c r="R583" s="79"/>
      <c r="T583" s="79"/>
      <c r="U583" s="79"/>
      <c r="Y583" s="79"/>
      <c r="AC583" s="130"/>
      <c r="AE583" s="106"/>
    </row>
    <row r="584">
      <c r="C584" s="79"/>
      <c r="D584" s="79"/>
      <c r="E584" s="79"/>
      <c r="O584" s="79"/>
      <c r="R584" s="79"/>
      <c r="T584" s="79"/>
      <c r="U584" s="79"/>
      <c r="Y584" s="79"/>
      <c r="AC584" s="130"/>
      <c r="AE584" s="106"/>
    </row>
    <row r="585">
      <c r="C585" s="79"/>
      <c r="D585" s="79"/>
      <c r="E585" s="79"/>
      <c r="O585" s="79"/>
      <c r="R585" s="79"/>
      <c r="T585" s="79"/>
      <c r="U585" s="79"/>
      <c r="Y585" s="79"/>
      <c r="AC585" s="130"/>
      <c r="AE585" s="106"/>
    </row>
    <row r="586">
      <c r="C586" s="79"/>
      <c r="D586" s="79"/>
      <c r="E586" s="79"/>
      <c r="O586" s="79"/>
      <c r="R586" s="79"/>
      <c r="T586" s="79"/>
      <c r="U586" s="79"/>
      <c r="Y586" s="79"/>
      <c r="AC586" s="130"/>
      <c r="AE586" s="106"/>
    </row>
    <row r="587">
      <c r="C587" s="79"/>
      <c r="D587" s="79"/>
      <c r="E587" s="79"/>
      <c r="O587" s="79"/>
      <c r="R587" s="79"/>
      <c r="T587" s="79"/>
      <c r="U587" s="79"/>
      <c r="Y587" s="79"/>
      <c r="AC587" s="130"/>
      <c r="AE587" s="106"/>
    </row>
    <row r="588">
      <c r="C588" s="79"/>
      <c r="D588" s="79"/>
      <c r="E588" s="79"/>
      <c r="O588" s="79"/>
      <c r="R588" s="79"/>
      <c r="T588" s="79"/>
      <c r="U588" s="79"/>
      <c r="Y588" s="79"/>
      <c r="AC588" s="130"/>
      <c r="AE588" s="106"/>
    </row>
    <row r="589">
      <c r="C589" s="79"/>
      <c r="D589" s="79"/>
      <c r="E589" s="79"/>
      <c r="O589" s="79"/>
      <c r="R589" s="79"/>
      <c r="T589" s="79"/>
      <c r="U589" s="79"/>
      <c r="Y589" s="79"/>
      <c r="AC589" s="130"/>
      <c r="AE589" s="106"/>
    </row>
    <row r="590">
      <c r="C590" s="79"/>
      <c r="D590" s="79"/>
      <c r="E590" s="79"/>
      <c r="O590" s="79"/>
      <c r="R590" s="79"/>
      <c r="T590" s="79"/>
      <c r="U590" s="79"/>
      <c r="Y590" s="79"/>
      <c r="AC590" s="130"/>
      <c r="AE590" s="106"/>
    </row>
    <row r="591">
      <c r="C591" s="79"/>
      <c r="D591" s="79"/>
      <c r="E591" s="79"/>
      <c r="O591" s="79"/>
      <c r="R591" s="79"/>
      <c r="T591" s="79"/>
      <c r="U591" s="79"/>
      <c r="Y591" s="79"/>
      <c r="AC591" s="130"/>
      <c r="AE591" s="106"/>
    </row>
    <row r="592">
      <c r="C592" s="79"/>
      <c r="D592" s="79"/>
      <c r="E592" s="79"/>
      <c r="O592" s="79"/>
      <c r="R592" s="79"/>
      <c r="T592" s="79"/>
      <c r="U592" s="79"/>
      <c r="Y592" s="79"/>
      <c r="AC592" s="130"/>
      <c r="AE592" s="106"/>
    </row>
    <row r="593">
      <c r="C593" s="79"/>
      <c r="D593" s="79"/>
      <c r="E593" s="79"/>
      <c r="O593" s="79"/>
      <c r="R593" s="79"/>
      <c r="T593" s="79"/>
      <c r="U593" s="79"/>
      <c r="Y593" s="79"/>
      <c r="AC593" s="130"/>
      <c r="AE593" s="106"/>
    </row>
    <row r="594">
      <c r="C594" s="79"/>
      <c r="D594" s="79"/>
      <c r="E594" s="79"/>
      <c r="O594" s="79"/>
      <c r="R594" s="79"/>
      <c r="T594" s="79"/>
      <c r="U594" s="79"/>
      <c r="Y594" s="79"/>
      <c r="AC594" s="130"/>
      <c r="AE594" s="106"/>
    </row>
    <row r="595">
      <c r="C595" s="79"/>
      <c r="D595" s="79"/>
      <c r="E595" s="79"/>
      <c r="O595" s="79"/>
      <c r="R595" s="79"/>
      <c r="T595" s="79"/>
      <c r="U595" s="79"/>
      <c r="Y595" s="79"/>
      <c r="AC595" s="130"/>
      <c r="AE595" s="106"/>
    </row>
    <row r="596">
      <c r="C596" s="79"/>
      <c r="D596" s="79"/>
      <c r="E596" s="79"/>
      <c r="O596" s="79"/>
      <c r="R596" s="79"/>
      <c r="T596" s="79"/>
      <c r="U596" s="79"/>
      <c r="Y596" s="79"/>
      <c r="AC596" s="130"/>
      <c r="AE596" s="106"/>
    </row>
    <row r="597">
      <c r="C597" s="79"/>
      <c r="D597" s="79"/>
      <c r="E597" s="79"/>
      <c r="O597" s="79"/>
      <c r="R597" s="79"/>
      <c r="T597" s="79"/>
      <c r="U597" s="79"/>
      <c r="Y597" s="79"/>
      <c r="AC597" s="130"/>
      <c r="AE597" s="106"/>
    </row>
    <row r="598">
      <c r="C598" s="79"/>
      <c r="D598" s="79"/>
      <c r="E598" s="79"/>
      <c r="O598" s="79"/>
      <c r="R598" s="79"/>
      <c r="T598" s="79"/>
      <c r="U598" s="79"/>
      <c r="Y598" s="79"/>
      <c r="AC598" s="130"/>
      <c r="AE598" s="106"/>
    </row>
    <row r="599">
      <c r="C599" s="79"/>
      <c r="D599" s="79"/>
      <c r="E599" s="79"/>
      <c r="O599" s="79"/>
      <c r="R599" s="79"/>
      <c r="T599" s="79"/>
      <c r="U599" s="79"/>
      <c r="Y599" s="79"/>
      <c r="AC599" s="130"/>
      <c r="AE599" s="106"/>
    </row>
    <row r="600">
      <c r="C600" s="79"/>
      <c r="D600" s="79"/>
      <c r="E600" s="79"/>
      <c r="O600" s="79"/>
      <c r="R600" s="79"/>
      <c r="T600" s="79"/>
      <c r="U600" s="79"/>
      <c r="Y600" s="79"/>
      <c r="AC600" s="130"/>
      <c r="AE600" s="106"/>
    </row>
    <row r="601">
      <c r="C601" s="79"/>
      <c r="D601" s="79"/>
      <c r="E601" s="79"/>
      <c r="O601" s="79"/>
      <c r="R601" s="79"/>
      <c r="T601" s="79"/>
      <c r="U601" s="79"/>
      <c r="Y601" s="79"/>
      <c r="AC601" s="130"/>
      <c r="AE601" s="106"/>
    </row>
    <row r="602">
      <c r="C602" s="79"/>
      <c r="D602" s="79"/>
      <c r="E602" s="79"/>
      <c r="O602" s="79"/>
      <c r="R602" s="79"/>
      <c r="T602" s="79"/>
      <c r="U602" s="79"/>
      <c r="Y602" s="79"/>
      <c r="AC602" s="130"/>
      <c r="AE602" s="106"/>
    </row>
    <row r="603">
      <c r="C603" s="79"/>
      <c r="D603" s="79"/>
      <c r="E603" s="79"/>
      <c r="O603" s="79"/>
      <c r="R603" s="79"/>
      <c r="T603" s="79"/>
      <c r="U603" s="79"/>
      <c r="Y603" s="79"/>
      <c r="AC603" s="130"/>
      <c r="AE603" s="106"/>
    </row>
    <row r="604">
      <c r="C604" s="79"/>
      <c r="D604" s="79"/>
      <c r="E604" s="79"/>
      <c r="O604" s="79"/>
      <c r="R604" s="79"/>
      <c r="T604" s="79"/>
      <c r="U604" s="79"/>
      <c r="Y604" s="79"/>
      <c r="AC604" s="130"/>
      <c r="AE604" s="106"/>
    </row>
    <row r="605">
      <c r="C605" s="79"/>
      <c r="D605" s="79"/>
      <c r="E605" s="79"/>
      <c r="O605" s="79"/>
      <c r="R605" s="79"/>
      <c r="T605" s="79"/>
      <c r="U605" s="79"/>
      <c r="Y605" s="79"/>
      <c r="AC605" s="130"/>
      <c r="AE605" s="106"/>
    </row>
    <row r="606">
      <c r="C606" s="79"/>
      <c r="D606" s="79"/>
      <c r="E606" s="79"/>
      <c r="O606" s="79"/>
      <c r="R606" s="79"/>
      <c r="T606" s="79"/>
      <c r="U606" s="79"/>
      <c r="Y606" s="79"/>
      <c r="AC606" s="130"/>
      <c r="AE606" s="106"/>
    </row>
    <row r="607">
      <c r="C607" s="79"/>
      <c r="D607" s="79"/>
      <c r="E607" s="79"/>
      <c r="O607" s="79"/>
      <c r="R607" s="79"/>
      <c r="T607" s="79"/>
      <c r="U607" s="79"/>
      <c r="Y607" s="79"/>
      <c r="AC607" s="130"/>
      <c r="AE607" s="106"/>
    </row>
    <row r="608">
      <c r="C608" s="79"/>
      <c r="D608" s="79"/>
      <c r="E608" s="79"/>
      <c r="O608" s="79"/>
      <c r="R608" s="79"/>
      <c r="T608" s="79"/>
      <c r="U608" s="79"/>
      <c r="Y608" s="79"/>
      <c r="AC608" s="130"/>
      <c r="AE608" s="106"/>
    </row>
    <row r="609">
      <c r="C609" s="79"/>
      <c r="D609" s="79"/>
      <c r="E609" s="79"/>
      <c r="O609" s="79"/>
      <c r="R609" s="79"/>
      <c r="T609" s="79"/>
      <c r="U609" s="79"/>
      <c r="Y609" s="79"/>
      <c r="AC609" s="130"/>
      <c r="AE609" s="106"/>
    </row>
    <row r="610">
      <c r="C610" s="79"/>
      <c r="D610" s="79"/>
      <c r="E610" s="79"/>
      <c r="O610" s="79"/>
      <c r="R610" s="79"/>
      <c r="T610" s="79"/>
      <c r="U610" s="79"/>
      <c r="Y610" s="79"/>
      <c r="AC610" s="130"/>
      <c r="AE610" s="106"/>
    </row>
    <row r="611">
      <c r="C611" s="79"/>
      <c r="D611" s="79"/>
      <c r="E611" s="79"/>
      <c r="O611" s="79"/>
      <c r="R611" s="79"/>
      <c r="T611" s="79"/>
      <c r="U611" s="79"/>
      <c r="Y611" s="79"/>
      <c r="AC611" s="130"/>
      <c r="AE611" s="106"/>
    </row>
    <row r="612">
      <c r="C612" s="79"/>
      <c r="D612" s="79"/>
      <c r="E612" s="79"/>
      <c r="O612" s="79"/>
      <c r="R612" s="79"/>
      <c r="T612" s="79"/>
      <c r="U612" s="79"/>
      <c r="Y612" s="79"/>
      <c r="AC612" s="130"/>
      <c r="AE612" s="106"/>
    </row>
    <row r="613">
      <c r="C613" s="79"/>
      <c r="D613" s="79"/>
      <c r="E613" s="79"/>
      <c r="O613" s="79"/>
      <c r="R613" s="79"/>
      <c r="T613" s="79"/>
      <c r="U613" s="79"/>
      <c r="Y613" s="79"/>
      <c r="AC613" s="130"/>
      <c r="AE613" s="106"/>
    </row>
    <row r="614">
      <c r="C614" s="79"/>
      <c r="D614" s="79"/>
      <c r="E614" s="79"/>
      <c r="O614" s="79"/>
      <c r="R614" s="79"/>
      <c r="T614" s="79"/>
      <c r="U614" s="79"/>
      <c r="Y614" s="79"/>
      <c r="AC614" s="130"/>
      <c r="AE614" s="106"/>
    </row>
    <row r="615">
      <c r="C615" s="79"/>
      <c r="D615" s="79"/>
      <c r="E615" s="79"/>
      <c r="O615" s="79"/>
      <c r="R615" s="79"/>
      <c r="T615" s="79"/>
      <c r="U615" s="79"/>
      <c r="Y615" s="79"/>
      <c r="AC615" s="130"/>
      <c r="AE615" s="106"/>
    </row>
    <row r="616">
      <c r="C616" s="79"/>
      <c r="D616" s="79"/>
      <c r="E616" s="79"/>
      <c r="O616" s="79"/>
      <c r="R616" s="79"/>
      <c r="T616" s="79"/>
      <c r="U616" s="79"/>
      <c r="Y616" s="79"/>
      <c r="AC616" s="130"/>
      <c r="AE616" s="106"/>
    </row>
    <row r="617">
      <c r="C617" s="79"/>
      <c r="D617" s="79"/>
      <c r="E617" s="79"/>
      <c r="O617" s="79"/>
      <c r="R617" s="79"/>
      <c r="T617" s="79"/>
      <c r="U617" s="79"/>
      <c r="Y617" s="79"/>
      <c r="AC617" s="130"/>
      <c r="AE617" s="106"/>
    </row>
    <row r="618">
      <c r="C618" s="79"/>
      <c r="D618" s="79"/>
      <c r="E618" s="79"/>
      <c r="O618" s="79"/>
      <c r="R618" s="79"/>
      <c r="T618" s="79"/>
      <c r="U618" s="79"/>
      <c r="Y618" s="79"/>
      <c r="AC618" s="130"/>
      <c r="AE618" s="106"/>
    </row>
    <row r="619">
      <c r="C619" s="79"/>
      <c r="D619" s="79"/>
      <c r="E619" s="79"/>
      <c r="O619" s="79"/>
      <c r="R619" s="79"/>
      <c r="T619" s="79"/>
      <c r="U619" s="79"/>
      <c r="Y619" s="79"/>
      <c r="AC619" s="130"/>
      <c r="AE619" s="106"/>
    </row>
    <row r="620">
      <c r="C620" s="79"/>
      <c r="D620" s="79"/>
      <c r="E620" s="79"/>
      <c r="O620" s="79"/>
      <c r="R620" s="79"/>
      <c r="T620" s="79"/>
      <c r="U620" s="79"/>
      <c r="Y620" s="79"/>
      <c r="AC620" s="130"/>
      <c r="AE620" s="106"/>
    </row>
    <row r="621">
      <c r="C621" s="79"/>
      <c r="D621" s="79"/>
      <c r="E621" s="79"/>
      <c r="O621" s="79"/>
      <c r="R621" s="79"/>
      <c r="T621" s="79"/>
      <c r="U621" s="79"/>
      <c r="Y621" s="79"/>
      <c r="AC621" s="130"/>
      <c r="AE621" s="106"/>
    </row>
    <row r="622">
      <c r="C622" s="79"/>
      <c r="D622" s="79"/>
      <c r="E622" s="79"/>
      <c r="O622" s="79"/>
      <c r="R622" s="79"/>
      <c r="T622" s="79"/>
      <c r="U622" s="79"/>
      <c r="Y622" s="79"/>
      <c r="AC622" s="130"/>
      <c r="AE622" s="106"/>
    </row>
    <row r="623">
      <c r="C623" s="79"/>
      <c r="D623" s="79"/>
      <c r="E623" s="79"/>
      <c r="O623" s="79"/>
      <c r="R623" s="79"/>
      <c r="T623" s="79"/>
      <c r="U623" s="79"/>
      <c r="Y623" s="79"/>
      <c r="AC623" s="130"/>
      <c r="AE623" s="106"/>
    </row>
    <row r="624">
      <c r="C624" s="79"/>
      <c r="D624" s="79"/>
      <c r="E624" s="79"/>
      <c r="O624" s="79"/>
      <c r="R624" s="79"/>
      <c r="T624" s="79"/>
      <c r="U624" s="79"/>
      <c r="Y624" s="79"/>
      <c r="AC624" s="130"/>
      <c r="AE624" s="106"/>
    </row>
    <row r="625">
      <c r="C625" s="79"/>
      <c r="D625" s="79"/>
      <c r="E625" s="79"/>
      <c r="O625" s="79"/>
      <c r="R625" s="79"/>
      <c r="T625" s="79"/>
      <c r="U625" s="79"/>
      <c r="Y625" s="79"/>
      <c r="AC625" s="130"/>
      <c r="AE625" s="106"/>
    </row>
    <row r="626">
      <c r="C626" s="79"/>
      <c r="D626" s="79"/>
      <c r="E626" s="79"/>
      <c r="O626" s="79"/>
      <c r="R626" s="79"/>
      <c r="T626" s="79"/>
      <c r="U626" s="79"/>
      <c r="Y626" s="79"/>
      <c r="AC626" s="130"/>
      <c r="AE626" s="106"/>
    </row>
    <row r="627">
      <c r="C627" s="79"/>
      <c r="D627" s="79"/>
      <c r="E627" s="79"/>
      <c r="O627" s="79"/>
      <c r="R627" s="79"/>
      <c r="T627" s="79"/>
      <c r="U627" s="79"/>
      <c r="Y627" s="79"/>
      <c r="AC627" s="130"/>
      <c r="AE627" s="106"/>
    </row>
    <row r="628">
      <c r="C628" s="79"/>
      <c r="D628" s="79"/>
      <c r="E628" s="79"/>
      <c r="O628" s="79"/>
      <c r="R628" s="79"/>
      <c r="T628" s="79"/>
      <c r="U628" s="79"/>
      <c r="Y628" s="79"/>
      <c r="AC628" s="130"/>
      <c r="AE628" s="106"/>
    </row>
    <row r="629">
      <c r="C629" s="79"/>
      <c r="D629" s="79"/>
      <c r="E629" s="79"/>
      <c r="O629" s="79"/>
      <c r="R629" s="79"/>
      <c r="T629" s="79"/>
      <c r="U629" s="79"/>
      <c r="Y629" s="79"/>
      <c r="AC629" s="130"/>
      <c r="AE629" s="106"/>
    </row>
    <row r="630">
      <c r="C630" s="79"/>
      <c r="D630" s="79"/>
      <c r="E630" s="79"/>
      <c r="O630" s="79"/>
      <c r="R630" s="79"/>
      <c r="T630" s="79"/>
      <c r="U630" s="79"/>
      <c r="Y630" s="79"/>
      <c r="AC630" s="130"/>
      <c r="AE630" s="106"/>
    </row>
    <row r="631">
      <c r="C631" s="79"/>
      <c r="D631" s="79"/>
      <c r="E631" s="79"/>
      <c r="O631" s="79"/>
      <c r="R631" s="79"/>
      <c r="T631" s="79"/>
      <c r="U631" s="79"/>
      <c r="Y631" s="79"/>
      <c r="AC631" s="130"/>
      <c r="AE631" s="106"/>
    </row>
    <row r="632">
      <c r="C632" s="79"/>
      <c r="D632" s="79"/>
      <c r="E632" s="79"/>
      <c r="O632" s="79"/>
      <c r="R632" s="79"/>
      <c r="T632" s="79"/>
      <c r="U632" s="79"/>
      <c r="Y632" s="79"/>
      <c r="AC632" s="130"/>
      <c r="AE632" s="106"/>
    </row>
    <row r="633">
      <c r="C633" s="79"/>
      <c r="D633" s="79"/>
      <c r="E633" s="79"/>
      <c r="O633" s="79"/>
      <c r="R633" s="79"/>
      <c r="T633" s="79"/>
      <c r="U633" s="79"/>
      <c r="Y633" s="79"/>
      <c r="AC633" s="130"/>
      <c r="AE633" s="106"/>
    </row>
    <row r="634">
      <c r="C634" s="79"/>
      <c r="D634" s="79"/>
      <c r="E634" s="79"/>
      <c r="O634" s="79"/>
      <c r="R634" s="79"/>
      <c r="T634" s="79"/>
      <c r="U634" s="79"/>
      <c r="Y634" s="79"/>
      <c r="AC634" s="130"/>
      <c r="AE634" s="106"/>
    </row>
    <row r="635">
      <c r="C635" s="79"/>
      <c r="D635" s="79"/>
      <c r="E635" s="79"/>
      <c r="O635" s="79"/>
      <c r="R635" s="79"/>
      <c r="T635" s="79"/>
      <c r="U635" s="79"/>
      <c r="Y635" s="79"/>
      <c r="AC635" s="130"/>
      <c r="AE635" s="106"/>
    </row>
    <row r="636">
      <c r="C636" s="79"/>
      <c r="D636" s="79"/>
      <c r="E636" s="79"/>
      <c r="O636" s="79"/>
      <c r="R636" s="79"/>
      <c r="T636" s="79"/>
      <c r="U636" s="79"/>
      <c r="Y636" s="79"/>
      <c r="AC636" s="130"/>
      <c r="AE636" s="106"/>
    </row>
    <row r="637">
      <c r="C637" s="79"/>
      <c r="D637" s="79"/>
      <c r="E637" s="79"/>
      <c r="O637" s="79"/>
      <c r="R637" s="79"/>
      <c r="T637" s="79"/>
      <c r="U637" s="79"/>
      <c r="Y637" s="79"/>
      <c r="AC637" s="130"/>
      <c r="AE637" s="106"/>
    </row>
    <row r="638">
      <c r="C638" s="79"/>
      <c r="D638" s="79"/>
      <c r="E638" s="79"/>
      <c r="O638" s="79"/>
      <c r="R638" s="79"/>
      <c r="T638" s="79"/>
      <c r="U638" s="79"/>
      <c r="Y638" s="79"/>
      <c r="AC638" s="130"/>
      <c r="AE638" s="106"/>
    </row>
    <row r="639">
      <c r="C639" s="79"/>
      <c r="D639" s="79"/>
      <c r="E639" s="79"/>
      <c r="O639" s="79"/>
      <c r="R639" s="79"/>
      <c r="T639" s="79"/>
      <c r="U639" s="79"/>
      <c r="Y639" s="79"/>
      <c r="AC639" s="130"/>
      <c r="AE639" s="106"/>
    </row>
    <row r="640">
      <c r="C640" s="79"/>
      <c r="D640" s="79"/>
      <c r="E640" s="79"/>
      <c r="O640" s="79"/>
      <c r="R640" s="79"/>
      <c r="T640" s="79"/>
      <c r="U640" s="79"/>
      <c r="Y640" s="79"/>
      <c r="AC640" s="130"/>
      <c r="AE640" s="106"/>
    </row>
    <row r="641">
      <c r="C641" s="79"/>
      <c r="D641" s="79"/>
      <c r="E641" s="79"/>
      <c r="O641" s="79"/>
      <c r="R641" s="79"/>
      <c r="T641" s="79"/>
      <c r="U641" s="79"/>
      <c r="Y641" s="79"/>
      <c r="AC641" s="130"/>
      <c r="AE641" s="106"/>
    </row>
    <row r="642">
      <c r="C642" s="79"/>
      <c r="D642" s="79"/>
      <c r="E642" s="79"/>
      <c r="O642" s="79"/>
      <c r="R642" s="79"/>
      <c r="T642" s="79"/>
      <c r="U642" s="79"/>
      <c r="Y642" s="79"/>
      <c r="AC642" s="130"/>
      <c r="AE642" s="106"/>
    </row>
    <row r="643">
      <c r="C643" s="79"/>
      <c r="D643" s="79"/>
      <c r="E643" s="79"/>
      <c r="O643" s="79"/>
      <c r="R643" s="79"/>
      <c r="T643" s="79"/>
      <c r="U643" s="79"/>
      <c r="Y643" s="79"/>
      <c r="AC643" s="130"/>
      <c r="AE643" s="106"/>
    </row>
    <row r="644">
      <c r="C644" s="79"/>
      <c r="D644" s="79"/>
      <c r="E644" s="79"/>
      <c r="O644" s="79"/>
      <c r="R644" s="79"/>
      <c r="T644" s="79"/>
      <c r="U644" s="79"/>
      <c r="Y644" s="79"/>
      <c r="AC644" s="130"/>
      <c r="AE644" s="106"/>
    </row>
    <row r="645">
      <c r="C645" s="79"/>
      <c r="D645" s="79"/>
      <c r="E645" s="79"/>
      <c r="O645" s="79"/>
      <c r="R645" s="79"/>
      <c r="T645" s="79"/>
      <c r="U645" s="79"/>
      <c r="Y645" s="79"/>
      <c r="AC645" s="130"/>
      <c r="AE645" s="106"/>
    </row>
    <row r="646">
      <c r="C646" s="79"/>
      <c r="D646" s="79"/>
      <c r="E646" s="79"/>
      <c r="O646" s="79"/>
      <c r="R646" s="79"/>
      <c r="T646" s="79"/>
      <c r="U646" s="79"/>
      <c r="Y646" s="79"/>
      <c r="AC646" s="130"/>
      <c r="AE646" s="106"/>
    </row>
    <row r="647">
      <c r="C647" s="79"/>
      <c r="D647" s="79"/>
      <c r="E647" s="79"/>
      <c r="O647" s="79"/>
      <c r="R647" s="79"/>
      <c r="T647" s="79"/>
      <c r="U647" s="79"/>
      <c r="Y647" s="79"/>
      <c r="AC647" s="130"/>
      <c r="AE647" s="106"/>
    </row>
    <row r="648">
      <c r="C648" s="79"/>
      <c r="D648" s="79"/>
      <c r="E648" s="79"/>
      <c r="O648" s="79"/>
      <c r="R648" s="79"/>
      <c r="T648" s="79"/>
      <c r="U648" s="79"/>
      <c r="Y648" s="79"/>
      <c r="AC648" s="130"/>
      <c r="AE648" s="106"/>
    </row>
    <row r="649">
      <c r="C649" s="79"/>
      <c r="D649" s="79"/>
      <c r="E649" s="79"/>
      <c r="O649" s="79"/>
      <c r="R649" s="79"/>
      <c r="T649" s="79"/>
      <c r="U649" s="79"/>
      <c r="Y649" s="79"/>
      <c r="AC649" s="130"/>
      <c r="AE649" s="106"/>
    </row>
    <row r="650">
      <c r="C650" s="79"/>
      <c r="D650" s="79"/>
      <c r="E650" s="79"/>
      <c r="O650" s="79"/>
      <c r="R650" s="79"/>
      <c r="T650" s="79"/>
      <c r="U650" s="79"/>
      <c r="Y650" s="79"/>
      <c r="AC650" s="130"/>
      <c r="AE650" s="106"/>
    </row>
    <row r="651">
      <c r="C651" s="79"/>
      <c r="D651" s="79"/>
      <c r="E651" s="79"/>
      <c r="O651" s="79"/>
      <c r="R651" s="79"/>
      <c r="T651" s="79"/>
      <c r="U651" s="79"/>
      <c r="Y651" s="79"/>
      <c r="AC651" s="130"/>
      <c r="AE651" s="106"/>
    </row>
    <row r="652">
      <c r="C652" s="79"/>
      <c r="D652" s="79"/>
      <c r="E652" s="79"/>
      <c r="O652" s="79"/>
      <c r="R652" s="79"/>
      <c r="T652" s="79"/>
      <c r="U652" s="79"/>
      <c r="Y652" s="79"/>
      <c r="AC652" s="130"/>
      <c r="AE652" s="106"/>
    </row>
    <row r="653">
      <c r="C653" s="79"/>
      <c r="D653" s="79"/>
      <c r="E653" s="79"/>
      <c r="O653" s="79"/>
      <c r="R653" s="79"/>
      <c r="T653" s="79"/>
      <c r="U653" s="79"/>
      <c r="Y653" s="79"/>
      <c r="AC653" s="130"/>
      <c r="AE653" s="106"/>
    </row>
    <row r="654">
      <c r="C654" s="79"/>
      <c r="D654" s="79"/>
      <c r="E654" s="79"/>
      <c r="O654" s="79"/>
      <c r="R654" s="79"/>
      <c r="T654" s="79"/>
      <c r="U654" s="79"/>
      <c r="Y654" s="79"/>
      <c r="AC654" s="130"/>
      <c r="AE654" s="106"/>
    </row>
    <row r="655">
      <c r="C655" s="79"/>
      <c r="D655" s="79"/>
      <c r="E655" s="79"/>
      <c r="O655" s="79"/>
      <c r="R655" s="79"/>
      <c r="T655" s="79"/>
      <c r="U655" s="79"/>
      <c r="Y655" s="79"/>
      <c r="AC655" s="130"/>
      <c r="AE655" s="106"/>
    </row>
    <row r="656">
      <c r="C656" s="79"/>
      <c r="D656" s="79"/>
      <c r="E656" s="79"/>
      <c r="O656" s="79"/>
      <c r="R656" s="79"/>
      <c r="T656" s="79"/>
      <c r="U656" s="79"/>
      <c r="Y656" s="79"/>
      <c r="AC656" s="130"/>
      <c r="AE656" s="106"/>
    </row>
    <row r="657">
      <c r="C657" s="79"/>
      <c r="D657" s="79"/>
      <c r="E657" s="79"/>
      <c r="O657" s="79"/>
      <c r="R657" s="79"/>
      <c r="T657" s="79"/>
      <c r="U657" s="79"/>
      <c r="Y657" s="79"/>
      <c r="AC657" s="130"/>
      <c r="AE657" s="106"/>
    </row>
    <row r="658">
      <c r="C658" s="79"/>
      <c r="D658" s="79"/>
      <c r="E658" s="79"/>
      <c r="O658" s="79"/>
      <c r="R658" s="79"/>
      <c r="T658" s="79"/>
      <c r="U658" s="79"/>
      <c r="Y658" s="79"/>
      <c r="AC658" s="130"/>
      <c r="AE658" s="106"/>
    </row>
    <row r="659">
      <c r="C659" s="79"/>
      <c r="D659" s="79"/>
      <c r="E659" s="79"/>
      <c r="O659" s="79"/>
      <c r="R659" s="79"/>
      <c r="T659" s="79"/>
      <c r="U659" s="79"/>
      <c r="Y659" s="79"/>
      <c r="AC659" s="130"/>
      <c r="AE659" s="106"/>
    </row>
    <row r="660">
      <c r="C660" s="79"/>
      <c r="D660" s="79"/>
      <c r="E660" s="79"/>
      <c r="O660" s="79"/>
      <c r="R660" s="79"/>
      <c r="T660" s="79"/>
      <c r="U660" s="79"/>
      <c r="Y660" s="79"/>
      <c r="AC660" s="130"/>
      <c r="AE660" s="106"/>
    </row>
    <row r="661">
      <c r="C661" s="79"/>
      <c r="D661" s="79"/>
      <c r="E661" s="79"/>
      <c r="O661" s="79"/>
      <c r="R661" s="79"/>
      <c r="T661" s="79"/>
      <c r="U661" s="79"/>
      <c r="Y661" s="79"/>
      <c r="AC661" s="130"/>
      <c r="AE661" s="106"/>
    </row>
    <row r="662">
      <c r="C662" s="79"/>
      <c r="D662" s="79"/>
      <c r="E662" s="79"/>
      <c r="O662" s="79"/>
      <c r="R662" s="79"/>
      <c r="T662" s="79"/>
      <c r="U662" s="79"/>
      <c r="Y662" s="79"/>
      <c r="AC662" s="130"/>
      <c r="AE662" s="106"/>
    </row>
    <row r="663">
      <c r="C663" s="79"/>
      <c r="D663" s="79"/>
      <c r="E663" s="79"/>
      <c r="O663" s="79"/>
      <c r="R663" s="79"/>
      <c r="T663" s="79"/>
      <c r="U663" s="79"/>
      <c r="Y663" s="79"/>
      <c r="AC663" s="130"/>
      <c r="AE663" s="106"/>
    </row>
    <row r="664">
      <c r="C664" s="79"/>
      <c r="D664" s="79"/>
      <c r="E664" s="79"/>
      <c r="O664" s="79"/>
      <c r="R664" s="79"/>
      <c r="T664" s="79"/>
      <c r="U664" s="79"/>
      <c r="Y664" s="79"/>
      <c r="AC664" s="130"/>
      <c r="AE664" s="106"/>
    </row>
    <row r="665">
      <c r="C665" s="79"/>
      <c r="D665" s="79"/>
      <c r="E665" s="79"/>
      <c r="O665" s="79"/>
      <c r="R665" s="79"/>
      <c r="T665" s="79"/>
      <c r="U665" s="79"/>
      <c r="Y665" s="79"/>
      <c r="AC665" s="130"/>
      <c r="AE665" s="106"/>
    </row>
    <row r="666">
      <c r="C666" s="79"/>
      <c r="D666" s="79"/>
      <c r="E666" s="79"/>
      <c r="O666" s="79"/>
      <c r="R666" s="79"/>
      <c r="T666" s="79"/>
      <c r="U666" s="79"/>
      <c r="Y666" s="79"/>
      <c r="AC666" s="130"/>
      <c r="AE666" s="106"/>
    </row>
    <row r="667">
      <c r="C667" s="79"/>
      <c r="D667" s="79"/>
      <c r="E667" s="79"/>
      <c r="O667" s="79"/>
      <c r="R667" s="79"/>
      <c r="T667" s="79"/>
      <c r="U667" s="79"/>
      <c r="Y667" s="79"/>
      <c r="AC667" s="130"/>
      <c r="AE667" s="106"/>
    </row>
    <row r="668">
      <c r="C668" s="79"/>
      <c r="D668" s="79"/>
      <c r="E668" s="79"/>
      <c r="O668" s="79"/>
      <c r="R668" s="79"/>
      <c r="T668" s="79"/>
      <c r="U668" s="79"/>
      <c r="Y668" s="79"/>
      <c r="AC668" s="130"/>
      <c r="AE668" s="106"/>
    </row>
    <row r="669">
      <c r="C669" s="79"/>
      <c r="D669" s="79"/>
      <c r="E669" s="79"/>
      <c r="O669" s="79"/>
      <c r="R669" s="79"/>
      <c r="T669" s="79"/>
      <c r="U669" s="79"/>
      <c r="Y669" s="79"/>
      <c r="AC669" s="130"/>
      <c r="AE669" s="106"/>
    </row>
    <row r="670">
      <c r="C670" s="79"/>
      <c r="D670" s="79"/>
      <c r="E670" s="79"/>
      <c r="O670" s="79"/>
      <c r="R670" s="79"/>
      <c r="T670" s="79"/>
      <c r="U670" s="79"/>
      <c r="Y670" s="79"/>
      <c r="AC670" s="130"/>
      <c r="AE670" s="106"/>
    </row>
    <row r="671">
      <c r="C671" s="79"/>
      <c r="D671" s="79"/>
      <c r="E671" s="79"/>
      <c r="O671" s="79"/>
      <c r="R671" s="79"/>
      <c r="T671" s="79"/>
      <c r="U671" s="79"/>
      <c r="Y671" s="79"/>
      <c r="AC671" s="130"/>
      <c r="AE671" s="106"/>
    </row>
    <row r="672">
      <c r="C672" s="79"/>
      <c r="D672" s="79"/>
      <c r="E672" s="79"/>
      <c r="O672" s="79"/>
      <c r="R672" s="79"/>
      <c r="T672" s="79"/>
      <c r="U672" s="79"/>
      <c r="Y672" s="79"/>
      <c r="AC672" s="130"/>
      <c r="AE672" s="106"/>
    </row>
    <row r="673">
      <c r="C673" s="79"/>
      <c r="D673" s="79"/>
      <c r="E673" s="79"/>
      <c r="O673" s="79"/>
      <c r="R673" s="79"/>
      <c r="T673" s="79"/>
      <c r="U673" s="79"/>
      <c r="Y673" s="79"/>
      <c r="AC673" s="130"/>
      <c r="AE673" s="106"/>
    </row>
    <row r="674">
      <c r="C674" s="79"/>
      <c r="D674" s="79"/>
      <c r="E674" s="79"/>
      <c r="O674" s="79"/>
      <c r="R674" s="79"/>
      <c r="T674" s="79"/>
      <c r="U674" s="79"/>
      <c r="Y674" s="79"/>
      <c r="AC674" s="130"/>
      <c r="AE674" s="106"/>
    </row>
    <row r="675">
      <c r="C675" s="79"/>
      <c r="D675" s="79"/>
      <c r="E675" s="79"/>
      <c r="O675" s="79"/>
      <c r="R675" s="79"/>
      <c r="T675" s="79"/>
      <c r="U675" s="79"/>
      <c r="Y675" s="79"/>
      <c r="AC675" s="130"/>
      <c r="AE675" s="106"/>
    </row>
    <row r="676">
      <c r="C676" s="79"/>
      <c r="D676" s="79"/>
      <c r="E676" s="79"/>
      <c r="O676" s="79"/>
      <c r="R676" s="79"/>
      <c r="T676" s="79"/>
      <c r="U676" s="79"/>
      <c r="Y676" s="79"/>
      <c r="AC676" s="130"/>
      <c r="AE676" s="106"/>
    </row>
    <row r="677">
      <c r="C677" s="79"/>
      <c r="D677" s="79"/>
      <c r="E677" s="79"/>
      <c r="O677" s="79"/>
      <c r="R677" s="79"/>
      <c r="T677" s="79"/>
      <c r="U677" s="79"/>
      <c r="Y677" s="79"/>
      <c r="AC677" s="130"/>
      <c r="AE677" s="106"/>
    </row>
    <row r="678">
      <c r="C678" s="79"/>
      <c r="D678" s="79"/>
      <c r="E678" s="79"/>
      <c r="O678" s="79"/>
      <c r="R678" s="79"/>
      <c r="T678" s="79"/>
      <c r="U678" s="79"/>
      <c r="Y678" s="79"/>
      <c r="AC678" s="130"/>
      <c r="AE678" s="106"/>
    </row>
    <row r="679">
      <c r="C679" s="79"/>
      <c r="D679" s="79"/>
      <c r="E679" s="79"/>
      <c r="O679" s="79"/>
      <c r="R679" s="79"/>
      <c r="T679" s="79"/>
      <c r="U679" s="79"/>
      <c r="Y679" s="79"/>
      <c r="AC679" s="130"/>
      <c r="AE679" s="106"/>
    </row>
    <row r="680">
      <c r="C680" s="79"/>
      <c r="D680" s="79"/>
      <c r="E680" s="79"/>
      <c r="O680" s="79"/>
      <c r="R680" s="79"/>
      <c r="T680" s="79"/>
      <c r="U680" s="79"/>
      <c r="Y680" s="79"/>
      <c r="AC680" s="130"/>
      <c r="AE680" s="106"/>
    </row>
    <row r="681">
      <c r="C681" s="79"/>
      <c r="D681" s="79"/>
      <c r="E681" s="79"/>
      <c r="O681" s="79"/>
      <c r="R681" s="79"/>
      <c r="T681" s="79"/>
      <c r="U681" s="79"/>
      <c r="Y681" s="79"/>
      <c r="AC681" s="130"/>
      <c r="AE681" s="106"/>
    </row>
    <row r="682">
      <c r="C682" s="79"/>
      <c r="D682" s="79"/>
      <c r="E682" s="79"/>
      <c r="O682" s="79"/>
      <c r="R682" s="79"/>
      <c r="T682" s="79"/>
      <c r="U682" s="79"/>
      <c r="Y682" s="79"/>
      <c r="AC682" s="130"/>
      <c r="AE682" s="106"/>
    </row>
    <row r="683">
      <c r="C683" s="79"/>
      <c r="D683" s="79"/>
      <c r="E683" s="79"/>
      <c r="O683" s="79"/>
      <c r="R683" s="79"/>
      <c r="T683" s="79"/>
      <c r="U683" s="79"/>
      <c r="Y683" s="79"/>
      <c r="AC683" s="130"/>
      <c r="AE683" s="106"/>
    </row>
    <row r="684">
      <c r="C684" s="79"/>
      <c r="D684" s="79"/>
      <c r="E684" s="79"/>
      <c r="O684" s="79"/>
      <c r="R684" s="79"/>
      <c r="T684" s="79"/>
      <c r="U684" s="79"/>
      <c r="Y684" s="79"/>
      <c r="AC684" s="130"/>
      <c r="AE684" s="106"/>
    </row>
    <row r="685">
      <c r="C685" s="79"/>
      <c r="D685" s="79"/>
      <c r="E685" s="79"/>
      <c r="O685" s="79"/>
      <c r="R685" s="79"/>
      <c r="T685" s="79"/>
      <c r="U685" s="79"/>
      <c r="Y685" s="79"/>
      <c r="AC685" s="130"/>
      <c r="AE685" s="106"/>
    </row>
    <row r="686">
      <c r="C686" s="79"/>
      <c r="D686" s="79"/>
      <c r="E686" s="79"/>
      <c r="O686" s="79"/>
      <c r="R686" s="79"/>
      <c r="T686" s="79"/>
      <c r="U686" s="79"/>
      <c r="Y686" s="79"/>
      <c r="AC686" s="130"/>
      <c r="AE686" s="106"/>
    </row>
    <row r="687">
      <c r="C687" s="79"/>
      <c r="D687" s="79"/>
      <c r="E687" s="79"/>
      <c r="O687" s="79"/>
      <c r="R687" s="79"/>
      <c r="T687" s="79"/>
      <c r="U687" s="79"/>
      <c r="Y687" s="79"/>
      <c r="AC687" s="130"/>
      <c r="AE687" s="106"/>
    </row>
    <row r="688">
      <c r="C688" s="79"/>
      <c r="D688" s="79"/>
      <c r="E688" s="79"/>
      <c r="O688" s="79"/>
      <c r="R688" s="79"/>
      <c r="T688" s="79"/>
      <c r="U688" s="79"/>
      <c r="Y688" s="79"/>
      <c r="AC688" s="130"/>
      <c r="AE688" s="106"/>
    </row>
    <row r="689">
      <c r="C689" s="79"/>
      <c r="D689" s="79"/>
      <c r="E689" s="79"/>
      <c r="O689" s="79"/>
      <c r="R689" s="79"/>
      <c r="T689" s="79"/>
      <c r="U689" s="79"/>
      <c r="Y689" s="79"/>
      <c r="AC689" s="130"/>
      <c r="AE689" s="106"/>
    </row>
    <row r="690">
      <c r="C690" s="79"/>
      <c r="D690" s="79"/>
      <c r="E690" s="79"/>
      <c r="O690" s="79"/>
      <c r="R690" s="79"/>
      <c r="T690" s="79"/>
      <c r="U690" s="79"/>
      <c r="Y690" s="79"/>
      <c r="AC690" s="130"/>
      <c r="AE690" s="106"/>
    </row>
    <row r="691">
      <c r="C691" s="79"/>
      <c r="D691" s="79"/>
      <c r="E691" s="79"/>
      <c r="O691" s="79"/>
      <c r="R691" s="79"/>
      <c r="T691" s="79"/>
      <c r="U691" s="79"/>
      <c r="Y691" s="79"/>
      <c r="AC691" s="130"/>
      <c r="AE691" s="106"/>
    </row>
    <row r="692">
      <c r="C692" s="79"/>
      <c r="D692" s="79"/>
      <c r="E692" s="79"/>
      <c r="O692" s="79"/>
      <c r="R692" s="79"/>
      <c r="T692" s="79"/>
      <c r="U692" s="79"/>
      <c r="Y692" s="79"/>
      <c r="AC692" s="130"/>
      <c r="AE692" s="106"/>
    </row>
    <row r="693">
      <c r="C693" s="79"/>
      <c r="D693" s="79"/>
      <c r="E693" s="79"/>
      <c r="O693" s="79"/>
      <c r="R693" s="79"/>
      <c r="T693" s="79"/>
      <c r="U693" s="79"/>
      <c r="Y693" s="79"/>
      <c r="AC693" s="130"/>
      <c r="AE693" s="106"/>
    </row>
    <row r="694">
      <c r="C694" s="79"/>
      <c r="D694" s="79"/>
      <c r="E694" s="79"/>
      <c r="O694" s="79"/>
      <c r="R694" s="79"/>
      <c r="T694" s="79"/>
      <c r="U694" s="79"/>
      <c r="Y694" s="79"/>
      <c r="AC694" s="130"/>
      <c r="AE694" s="106"/>
    </row>
    <row r="695">
      <c r="C695" s="79"/>
      <c r="D695" s="79"/>
      <c r="E695" s="79"/>
      <c r="O695" s="79"/>
      <c r="R695" s="79"/>
      <c r="T695" s="79"/>
      <c r="U695" s="79"/>
      <c r="Y695" s="79"/>
      <c r="AC695" s="130"/>
      <c r="AE695" s="106"/>
    </row>
    <row r="696">
      <c r="C696" s="79"/>
      <c r="D696" s="79"/>
      <c r="E696" s="79"/>
      <c r="O696" s="79"/>
      <c r="R696" s="79"/>
      <c r="T696" s="79"/>
      <c r="U696" s="79"/>
      <c r="Y696" s="79"/>
      <c r="AC696" s="130"/>
      <c r="AE696" s="106"/>
    </row>
    <row r="697">
      <c r="C697" s="79"/>
      <c r="D697" s="79"/>
      <c r="E697" s="79"/>
      <c r="O697" s="79"/>
      <c r="R697" s="79"/>
      <c r="T697" s="79"/>
      <c r="U697" s="79"/>
      <c r="Y697" s="79"/>
      <c r="AC697" s="130"/>
      <c r="AE697" s="106"/>
    </row>
    <row r="698">
      <c r="C698" s="79"/>
      <c r="D698" s="79"/>
      <c r="E698" s="79"/>
      <c r="O698" s="79"/>
      <c r="R698" s="79"/>
      <c r="T698" s="79"/>
      <c r="U698" s="79"/>
      <c r="Y698" s="79"/>
      <c r="AC698" s="130"/>
      <c r="AE698" s="106"/>
    </row>
    <row r="699">
      <c r="C699" s="79"/>
      <c r="D699" s="79"/>
      <c r="E699" s="79"/>
      <c r="O699" s="79"/>
      <c r="R699" s="79"/>
      <c r="T699" s="79"/>
      <c r="U699" s="79"/>
      <c r="Y699" s="79"/>
      <c r="AC699" s="130"/>
      <c r="AE699" s="106"/>
    </row>
    <row r="700">
      <c r="C700" s="79"/>
      <c r="D700" s="79"/>
      <c r="E700" s="79"/>
      <c r="O700" s="79"/>
      <c r="R700" s="79"/>
      <c r="T700" s="79"/>
      <c r="U700" s="79"/>
      <c r="Y700" s="79"/>
      <c r="AC700" s="130"/>
      <c r="AE700" s="106"/>
    </row>
    <row r="701">
      <c r="C701" s="79"/>
      <c r="D701" s="79"/>
      <c r="E701" s="79"/>
      <c r="O701" s="79"/>
      <c r="R701" s="79"/>
      <c r="T701" s="79"/>
      <c r="U701" s="79"/>
      <c r="Y701" s="79"/>
      <c r="AC701" s="130"/>
      <c r="AE701" s="106"/>
    </row>
    <row r="702">
      <c r="C702" s="79"/>
      <c r="D702" s="79"/>
      <c r="E702" s="79"/>
      <c r="O702" s="79"/>
      <c r="R702" s="79"/>
      <c r="T702" s="79"/>
      <c r="U702" s="79"/>
      <c r="Y702" s="79"/>
      <c r="AC702" s="130"/>
      <c r="AE702" s="106"/>
    </row>
    <row r="703">
      <c r="C703" s="79"/>
      <c r="D703" s="79"/>
      <c r="E703" s="79"/>
      <c r="O703" s="79"/>
      <c r="R703" s="79"/>
      <c r="T703" s="79"/>
      <c r="U703" s="79"/>
      <c r="Y703" s="79"/>
      <c r="AC703" s="130"/>
      <c r="AE703" s="106"/>
    </row>
    <row r="704">
      <c r="C704" s="79"/>
      <c r="D704" s="79"/>
      <c r="E704" s="79"/>
      <c r="O704" s="79"/>
      <c r="R704" s="79"/>
      <c r="T704" s="79"/>
      <c r="U704" s="79"/>
      <c r="Y704" s="79"/>
      <c r="AC704" s="130"/>
      <c r="AE704" s="106"/>
    </row>
    <row r="705">
      <c r="C705" s="79"/>
      <c r="D705" s="79"/>
      <c r="E705" s="79"/>
      <c r="O705" s="79"/>
      <c r="R705" s="79"/>
      <c r="T705" s="79"/>
      <c r="U705" s="79"/>
      <c r="Y705" s="79"/>
      <c r="AC705" s="130"/>
      <c r="AE705" s="106"/>
    </row>
    <row r="706">
      <c r="C706" s="79"/>
      <c r="D706" s="79"/>
      <c r="E706" s="79"/>
      <c r="O706" s="79"/>
      <c r="R706" s="79"/>
      <c r="T706" s="79"/>
      <c r="U706" s="79"/>
      <c r="Y706" s="79"/>
      <c r="AC706" s="130"/>
      <c r="AE706" s="106"/>
    </row>
    <row r="707">
      <c r="C707" s="79"/>
      <c r="D707" s="79"/>
      <c r="E707" s="79"/>
      <c r="O707" s="79"/>
      <c r="R707" s="79"/>
      <c r="T707" s="79"/>
      <c r="U707" s="79"/>
      <c r="Y707" s="79"/>
      <c r="AC707" s="130"/>
      <c r="AE707" s="106"/>
    </row>
    <row r="708">
      <c r="C708" s="79"/>
      <c r="D708" s="79"/>
      <c r="E708" s="79"/>
      <c r="O708" s="79"/>
      <c r="R708" s="79"/>
      <c r="T708" s="79"/>
      <c r="U708" s="79"/>
      <c r="Y708" s="79"/>
      <c r="AC708" s="130"/>
      <c r="AE708" s="106"/>
    </row>
    <row r="709">
      <c r="C709" s="79"/>
      <c r="D709" s="79"/>
      <c r="E709" s="79"/>
      <c r="O709" s="79"/>
      <c r="R709" s="79"/>
      <c r="T709" s="79"/>
      <c r="U709" s="79"/>
      <c r="Y709" s="79"/>
      <c r="AC709" s="130"/>
      <c r="AE709" s="106"/>
    </row>
    <row r="710">
      <c r="C710" s="79"/>
      <c r="D710" s="79"/>
      <c r="E710" s="79"/>
      <c r="O710" s="79"/>
      <c r="R710" s="79"/>
      <c r="T710" s="79"/>
      <c r="U710" s="79"/>
      <c r="Y710" s="79"/>
      <c r="AC710" s="130"/>
      <c r="AE710" s="106"/>
    </row>
    <row r="711">
      <c r="C711" s="79"/>
      <c r="D711" s="79"/>
      <c r="E711" s="79"/>
      <c r="O711" s="79"/>
      <c r="R711" s="79"/>
      <c r="T711" s="79"/>
      <c r="U711" s="79"/>
      <c r="Y711" s="79"/>
      <c r="AC711" s="130"/>
      <c r="AE711" s="106"/>
    </row>
    <row r="712">
      <c r="C712" s="79"/>
      <c r="D712" s="79"/>
      <c r="E712" s="79"/>
      <c r="O712" s="79"/>
      <c r="R712" s="79"/>
      <c r="T712" s="79"/>
      <c r="U712" s="79"/>
      <c r="Y712" s="79"/>
      <c r="AC712" s="130"/>
      <c r="AE712" s="106"/>
    </row>
    <row r="713">
      <c r="C713" s="79"/>
      <c r="D713" s="79"/>
      <c r="E713" s="79"/>
      <c r="O713" s="79"/>
      <c r="R713" s="79"/>
      <c r="T713" s="79"/>
      <c r="U713" s="79"/>
      <c r="Y713" s="79"/>
      <c r="AC713" s="130"/>
      <c r="AE713" s="106"/>
    </row>
    <row r="714">
      <c r="C714" s="79"/>
      <c r="D714" s="79"/>
      <c r="E714" s="79"/>
      <c r="O714" s="79"/>
      <c r="R714" s="79"/>
      <c r="T714" s="79"/>
      <c r="U714" s="79"/>
      <c r="Y714" s="79"/>
      <c r="AC714" s="130"/>
      <c r="AE714" s="106"/>
    </row>
    <row r="715">
      <c r="C715" s="79"/>
      <c r="D715" s="79"/>
      <c r="E715" s="79"/>
      <c r="O715" s="79"/>
      <c r="R715" s="79"/>
      <c r="T715" s="79"/>
      <c r="U715" s="79"/>
      <c r="Y715" s="79"/>
      <c r="AC715" s="130"/>
      <c r="AE715" s="106"/>
    </row>
    <row r="716">
      <c r="C716" s="79"/>
      <c r="D716" s="79"/>
      <c r="E716" s="79"/>
      <c r="O716" s="79"/>
      <c r="R716" s="79"/>
      <c r="T716" s="79"/>
      <c r="U716" s="79"/>
      <c r="Y716" s="79"/>
      <c r="AC716" s="130"/>
      <c r="AE716" s="106"/>
    </row>
    <row r="717">
      <c r="C717" s="79"/>
      <c r="D717" s="79"/>
      <c r="E717" s="79"/>
      <c r="O717" s="79"/>
      <c r="R717" s="79"/>
      <c r="T717" s="79"/>
      <c r="U717" s="79"/>
      <c r="Y717" s="79"/>
      <c r="AC717" s="130"/>
      <c r="AE717" s="106"/>
    </row>
    <row r="718">
      <c r="C718" s="79"/>
      <c r="D718" s="79"/>
      <c r="E718" s="79"/>
      <c r="O718" s="79"/>
      <c r="R718" s="79"/>
      <c r="T718" s="79"/>
      <c r="U718" s="79"/>
      <c r="Y718" s="79"/>
      <c r="AC718" s="130"/>
      <c r="AE718" s="106"/>
    </row>
    <row r="719">
      <c r="C719" s="79"/>
      <c r="D719" s="79"/>
      <c r="E719" s="79"/>
      <c r="O719" s="79"/>
      <c r="R719" s="79"/>
      <c r="T719" s="79"/>
      <c r="U719" s="79"/>
      <c r="Y719" s="79"/>
      <c r="AC719" s="130"/>
      <c r="AE719" s="106"/>
    </row>
    <row r="720">
      <c r="C720" s="79"/>
      <c r="D720" s="79"/>
      <c r="E720" s="79"/>
      <c r="O720" s="79"/>
      <c r="R720" s="79"/>
      <c r="T720" s="79"/>
      <c r="U720" s="79"/>
      <c r="Y720" s="79"/>
      <c r="AC720" s="130"/>
      <c r="AE720" s="106"/>
    </row>
    <row r="721">
      <c r="C721" s="79"/>
      <c r="D721" s="79"/>
      <c r="E721" s="79"/>
      <c r="O721" s="79"/>
      <c r="R721" s="79"/>
      <c r="T721" s="79"/>
      <c r="U721" s="79"/>
      <c r="Y721" s="79"/>
      <c r="AC721" s="130"/>
      <c r="AE721" s="106"/>
    </row>
    <row r="722">
      <c r="C722" s="79"/>
      <c r="D722" s="79"/>
      <c r="E722" s="79"/>
      <c r="O722" s="79"/>
      <c r="R722" s="79"/>
      <c r="T722" s="79"/>
      <c r="U722" s="79"/>
      <c r="Y722" s="79"/>
      <c r="AC722" s="130"/>
      <c r="AE722" s="106"/>
    </row>
    <row r="723">
      <c r="C723" s="79"/>
      <c r="D723" s="79"/>
      <c r="E723" s="79"/>
      <c r="O723" s="79"/>
      <c r="R723" s="79"/>
      <c r="T723" s="79"/>
      <c r="U723" s="79"/>
      <c r="Y723" s="79"/>
      <c r="AC723" s="130"/>
      <c r="AE723" s="106"/>
    </row>
    <row r="724">
      <c r="C724" s="79"/>
      <c r="D724" s="79"/>
      <c r="E724" s="79"/>
      <c r="O724" s="79"/>
      <c r="R724" s="79"/>
      <c r="T724" s="79"/>
      <c r="U724" s="79"/>
      <c r="Y724" s="79"/>
      <c r="AC724" s="130"/>
      <c r="AE724" s="106"/>
    </row>
    <row r="725">
      <c r="C725" s="79"/>
      <c r="D725" s="79"/>
      <c r="E725" s="79"/>
      <c r="O725" s="79"/>
      <c r="R725" s="79"/>
      <c r="T725" s="79"/>
      <c r="U725" s="79"/>
      <c r="Y725" s="79"/>
      <c r="AC725" s="130"/>
      <c r="AE725" s="106"/>
    </row>
    <row r="726">
      <c r="C726" s="79"/>
      <c r="D726" s="79"/>
      <c r="E726" s="79"/>
      <c r="O726" s="79"/>
      <c r="R726" s="79"/>
      <c r="T726" s="79"/>
      <c r="U726" s="79"/>
      <c r="Y726" s="79"/>
      <c r="AC726" s="130"/>
      <c r="AE726" s="106"/>
    </row>
    <row r="727">
      <c r="C727" s="79"/>
      <c r="D727" s="79"/>
      <c r="E727" s="79"/>
      <c r="O727" s="79"/>
      <c r="R727" s="79"/>
      <c r="T727" s="79"/>
      <c r="U727" s="79"/>
      <c r="Y727" s="79"/>
      <c r="AC727" s="130"/>
      <c r="AE727" s="106"/>
    </row>
    <row r="728">
      <c r="C728" s="79"/>
      <c r="D728" s="79"/>
      <c r="E728" s="79"/>
      <c r="O728" s="79"/>
      <c r="R728" s="79"/>
      <c r="T728" s="79"/>
      <c r="U728" s="79"/>
      <c r="Y728" s="79"/>
      <c r="AC728" s="130"/>
      <c r="AE728" s="106"/>
    </row>
    <row r="729">
      <c r="C729" s="79"/>
      <c r="D729" s="79"/>
      <c r="E729" s="79"/>
      <c r="O729" s="79"/>
      <c r="R729" s="79"/>
      <c r="T729" s="79"/>
      <c r="U729" s="79"/>
      <c r="Y729" s="79"/>
      <c r="AC729" s="130"/>
      <c r="AE729" s="106"/>
    </row>
    <row r="730">
      <c r="C730" s="79"/>
      <c r="D730" s="79"/>
      <c r="E730" s="79"/>
      <c r="O730" s="79"/>
      <c r="R730" s="79"/>
      <c r="T730" s="79"/>
      <c r="U730" s="79"/>
      <c r="Y730" s="79"/>
      <c r="AC730" s="130"/>
      <c r="AE730" s="106"/>
    </row>
    <row r="731">
      <c r="C731" s="79"/>
      <c r="D731" s="79"/>
      <c r="E731" s="79"/>
      <c r="O731" s="79"/>
      <c r="R731" s="79"/>
      <c r="T731" s="79"/>
      <c r="U731" s="79"/>
      <c r="Y731" s="79"/>
      <c r="AC731" s="130"/>
      <c r="AE731" s="106"/>
    </row>
    <row r="732">
      <c r="C732" s="79"/>
      <c r="D732" s="79"/>
      <c r="E732" s="79"/>
      <c r="O732" s="79"/>
      <c r="R732" s="79"/>
      <c r="T732" s="79"/>
      <c r="U732" s="79"/>
      <c r="Y732" s="79"/>
      <c r="AC732" s="130"/>
      <c r="AE732" s="106"/>
    </row>
    <row r="733">
      <c r="C733" s="79"/>
      <c r="D733" s="79"/>
      <c r="E733" s="79"/>
      <c r="O733" s="79"/>
      <c r="R733" s="79"/>
      <c r="T733" s="79"/>
      <c r="U733" s="79"/>
      <c r="Y733" s="79"/>
      <c r="AC733" s="130"/>
      <c r="AE733" s="106"/>
    </row>
    <row r="734">
      <c r="C734" s="79"/>
      <c r="D734" s="79"/>
      <c r="E734" s="79"/>
      <c r="O734" s="79"/>
      <c r="R734" s="79"/>
      <c r="T734" s="79"/>
      <c r="U734" s="79"/>
      <c r="Y734" s="79"/>
      <c r="AC734" s="130"/>
      <c r="AE734" s="106"/>
    </row>
    <row r="735">
      <c r="C735" s="79"/>
      <c r="D735" s="79"/>
      <c r="E735" s="79"/>
      <c r="O735" s="79"/>
      <c r="R735" s="79"/>
      <c r="T735" s="79"/>
      <c r="U735" s="79"/>
      <c r="Y735" s="79"/>
      <c r="AC735" s="130"/>
      <c r="AE735" s="106"/>
    </row>
    <row r="736">
      <c r="C736" s="79"/>
      <c r="D736" s="79"/>
      <c r="E736" s="79"/>
      <c r="O736" s="79"/>
      <c r="R736" s="79"/>
      <c r="T736" s="79"/>
      <c r="U736" s="79"/>
      <c r="Y736" s="79"/>
      <c r="AC736" s="130"/>
      <c r="AE736" s="106"/>
    </row>
    <row r="737">
      <c r="C737" s="79"/>
      <c r="D737" s="79"/>
      <c r="E737" s="79"/>
      <c r="O737" s="79"/>
      <c r="R737" s="79"/>
      <c r="T737" s="79"/>
      <c r="U737" s="79"/>
      <c r="Y737" s="79"/>
      <c r="AC737" s="130"/>
      <c r="AE737" s="106"/>
    </row>
    <row r="738">
      <c r="C738" s="79"/>
      <c r="D738" s="79"/>
      <c r="E738" s="79"/>
      <c r="O738" s="79"/>
      <c r="R738" s="79"/>
      <c r="T738" s="79"/>
      <c r="U738" s="79"/>
      <c r="Y738" s="79"/>
      <c r="AC738" s="130"/>
      <c r="AE738" s="106"/>
    </row>
    <row r="739">
      <c r="C739" s="79"/>
      <c r="D739" s="79"/>
      <c r="E739" s="79"/>
      <c r="O739" s="79"/>
      <c r="R739" s="79"/>
      <c r="T739" s="79"/>
      <c r="U739" s="79"/>
      <c r="Y739" s="79"/>
      <c r="AC739" s="130"/>
      <c r="AE739" s="106"/>
    </row>
    <row r="740">
      <c r="C740" s="79"/>
      <c r="D740" s="79"/>
      <c r="E740" s="79"/>
      <c r="O740" s="79"/>
      <c r="R740" s="79"/>
      <c r="T740" s="79"/>
      <c r="U740" s="79"/>
      <c r="Y740" s="79"/>
      <c r="AC740" s="130"/>
      <c r="AE740" s="106"/>
    </row>
    <row r="741">
      <c r="C741" s="79"/>
      <c r="D741" s="79"/>
      <c r="E741" s="79"/>
      <c r="O741" s="79"/>
      <c r="R741" s="79"/>
      <c r="T741" s="79"/>
      <c r="U741" s="79"/>
      <c r="Y741" s="79"/>
      <c r="AC741" s="130"/>
      <c r="AE741" s="106"/>
    </row>
    <row r="742">
      <c r="C742" s="79"/>
      <c r="D742" s="79"/>
      <c r="E742" s="79"/>
      <c r="O742" s="79"/>
      <c r="R742" s="79"/>
      <c r="T742" s="79"/>
      <c r="U742" s="79"/>
      <c r="Y742" s="79"/>
      <c r="AC742" s="130"/>
      <c r="AE742" s="106"/>
    </row>
    <row r="743">
      <c r="C743" s="79"/>
      <c r="D743" s="79"/>
      <c r="E743" s="79"/>
      <c r="O743" s="79"/>
      <c r="R743" s="79"/>
      <c r="T743" s="79"/>
      <c r="U743" s="79"/>
      <c r="Y743" s="79"/>
      <c r="AC743" s="130"/>
      <c r="AE743" s="106"/>
    </row>
    <row r="744">
      <c r="C744" s="79"/>
      <c r="D744" s="79"/>
      <c r="E744" s="79"/>
      <c r="O744" s="79"/>
      <c r="R744" s="79"/>
      <c r="T744" s="79"/>
      <c r="U744" s="79"/>
      <c r="Y744" s="79"/>
      <c r="AC744" s="130"/>
      <c r="AE744" s="106"/>
    </row>
    <row r="745">
      <c r="C745" s="79"/>
      <c r="D745" s="79"/>
      <c r="E745" s="79"/>
      <c r="O745" s="79"/>
      <c r="R745" s="79"/>
      <c r="T745" s="79"/>
      <c r="U745" s="79"/>
      <c r="Y745" s="79"/>
      <c r="AC745" s="130"/>
      <c r="AE745" s="106"/>
    </row>
    <row r="746">
      <c r="C746" s="79"/>
      <c r="D746" s="79"/>
      <c r="E746" s="79"/>
      <c r="O746" s="79"/>
      <c r="R746" s="79"/>
      <c r="T746" s="79"/>
      <c r="U746" s="79"/>
      <c r="Y746" s="79"/>
      <c r="AC746" s="130"/>
      <c r="AE746" s="106"/>
    </row>
    <row r="747">
      <c r="C747" s="79"/>
      <c r="D747" s="79"/>
      <c r="E747" s="79"/>
      <c r="O747" s="79"/>
      <c r="R747" s="79"/>
      <c r="T747" s="79"/>
      <c r="U747" s="79"/>
      <c r="Y747" s="79"/>
      <c r="AC747" s="130"/>
      <c r="AE747" s="106"/>
    </row>
    <row r="748">
      <c r="C748" s="79"/>
      <c r="D748" s="79"/>
      <c r="E748" s="79"/>
      <c r="O748" s="79"/>
      <c r="R748" s="79"/>
      <c r="T748" s="79"/>
      <c r="U748" s="79"/>
      <c r="Y748" s="79"/>
      <c r="AC748" s="130"/>
      <c r="AE748" s="106"/>
    </row>
    <row r="749">
      <c r="C749" s="79"/>
      <c r="D749" s="79"/>
      <c r="E749" s="79"/>
      <c r="O749" s="79"/>
      <c r="R749" s="79"/>
      <c r="T749" s="79"/>
      <c r="U749" s="79"/>
      <c r="Y749" s="79"/>
      <c r="AC749" s="130"/>
      <c r="AE749" s="106"/>
    </row>
    <row r="750">
      <c r="C750" s="79"/>
      <c r="D750" s="79"/>
      <c r="E750" s="79"/>
      <c r="O750" s="79"/>
      <c r="R750" s="79"/>
      <c r="T750" s="79"/>
      <c r="U750" s="79"/>
      <c r="Y750" s="79"/>
      <c r="AC750" s="130"/>
      <c r="AE750" s="106"/>
    </row>
    <row r="751">
      <c r="C751" s="79"/>
      <c r="D751" s="79"/>
      <c r="E751" s="79"/>
      <c r="O751" s="79"/>
      <c r="R751" s="79"/>
      <c r="T751" s="79"/>
      <c r="U751" s="79"/>
      <c r="Y751" s="79"/>
      <c r="AC751" s="130"/>
      <c r="AE751" s="106"/>
    </row>
    <row r="752">
      <c r="C752" s="79"/>
      <c r="D752" s="79"/>
      <c r="E752" s="79"/>
      <c r="O752" s="79"/>
      <c r="R752" s="79"/>
      <c r="T752" s="79"/>
      <c r="U752" s="79"/>
      <c r="Y752" s="79"/>
      <c r="AC752" s="130"/>
      <c r="AE752" s="106"/>
    </row>
    <row r="753">
      <c r="C753" s="79"/>
      <c r="D753" s="79"/>
      <c r="E753" s="79"/>
      <c r="O753" s="79"/>
      <c r="R753" s="79"/>
      <c r="T753" s="79"/>
      <c r="U753" s="79"/>
      <c r="Y753" s="79"/>
      <c r="AC753" s="130"/>
      <c r="AE753" s="106"/>
    </row>
    <row r="754">
      <c r="C754" s="79"/>
      <c r="D754" s="79"/>
      <c r="E754" s="79"/>
      <c r="O754" s="79"/>
      <c r="R754" s="79"/>
      <c r="T754" s="79"/>
      <c r="U754" s="79"/>
      <c r="Y754" s="79"/>
      <c r="AC754" s="130"/>
      <c r="AE754" s="106"/>
    </row>
    <row r="755">
      <c r="C755" s="79"/>
      <c r="D755" s="79"/>
      <c r="E755" s="79"/>
      <c r="O755" s="79"/>
      <c r="R755" s="79"/>
      <c r="T755" s="79"/>
      <c r="U755" s="79"/>
      <c r="Y755" s="79"/>
      <c r="AC755" s="130"/>
      <c r="AE755" s="106"/>
    </row>
    <row r="756">
      <c r="C756" s="79"/>
      <c r="D756" s="79"/>
      <c r="E756" s="79"/>
      <c r="O756" s="79"/>
      <c r="R756" s="79"/>
      <c r="T756" s="79"/>
      <c r="U756" s="79"/>
      <c r="Y756" s="79"/>
      <c r="AC756" s="130"/>
      <c r="AE756" s="106"/>
    </row>
    <row r="757">
      <c r="C757" s="79"/>
      <c r="D757" s="79"/>
      <c r="E757" s="79"/>
      <c r="O757" s="79"/>
      <c r="R757" s="79"/>
      <c r="T757" s="79"/>
      <c r="U757" s="79"/>
      <c r="Y757" s="79"/>
      <c r="AC757" s="130"/>
      <c r="AE757" s="106"/>
    </row>
    <row r="758">
      <c r="C758" s="79"/>
      <c r="D758" s="79"/>
      <c r="E758" s="79"/>
      <c r="O758" s="79"/>
      <c r="R758" s="79"/>
      <c r="T758" s="79"/>
      <c r="U758" s="79"/>
      <c r="Y758" s="79"/>
      <c r="AC758" s="130"/>
      <c r="AE758" s="106"/>
    </row>
    <row r="759">
      <c r="C759" s="79"/>
      <c r="D759" s="79"/>
      <c r="E759" s="79"/>
      <c r="O759" s="79"/>
      <c r="R759" s="79"/>
      <c r="T759" s="79"/>
      <c r="U759" s="79"/>
      <c r="Y759" s="79"/>
      <c r="AC759" s="130"/>
      <c r="AE759" s="106"/>
    </row>
    <row r="760">
      <c r="C760" s="79"/>
      <c r="D760" s="79"/>
      <c r="E760" s="79"/>
      <c r="O760" s="79"/>
      <c r="R760" s="79"/>
      <c r="T760" s="79"/>
      <c r="U760" s="79"/>
      <c r="Y760" s="79"/>
      <c r="AC760" s="130"/>
      <c r="AE760" s="106"/>
    </row>
    <row r="761">
      <c r="C761" s="79"/>
      <c r="D761" s="79"/>
      <c r="E761" s="79"/>
      <c r="O761" s="79"/>
      <c r="R761" s="79"/>
      <c r="T761" s="79"/>
      <c r="U761" s="79"/>
      <c r="Y761" s="79"/>
      <c r="AC761" s="130"/>
      <c r="AE761" s="106"/>
    </row>
    <row r="762">
      <c r="C762" s="79"/>
      <c r="D762" s="79"/>
      <c r="E762" s="79"/>
      <c r="O762" s="79"/>
      <c r="R762" s="79"/>
      <c r="T762" s="79"/>
      <c r="U762" s="79"/>
      <c r="Y762" s="79"/>
      <c r="AC762" s="130"/>
      <c r="AE762" s="106"/>
    </row>
    <row r="763">
      <c r="C763" s="79"/>
      <c r="D763" s="79"/>
      <c r="E763" s="79"/>
      <c r="O763" s="79"/>
      <c r="R763" s="79"/>
      <c r="T763" s="79"/>
      <c r="U763" s="79"/>
      <c r="Y763" s="79"/>
      <c r="AC763" s="130"/>
      <c r="AE763" s="106"/>
    </row>
    <row r="764">
      <c r="C764" s="79"/>
      <c r="D764" s="79"/>
      <c r="E764" s="79"/>
      <c r="O764" s="79"/>
      <c r="R764" s="79"/>
      <c r="T764" s="79"/>
      <c r="U764" s="79"/>
      <c r="Y764" s="79"/>
      <c r="AC764" s="130"/>
      <c r="AE764" s="106"/>
    </row>
    <row r="765">
      <c r="C765" s="79"/>
      <c r="D765" s="79"/>
      <c r="E765" s="79"/>
      <c r="O765" s="79"/>
      <c r="R765" s="79"/>
      <c r="T765" s="79"/>
      <c r="U765" s="79"/>
      <c r="Y765" s="79"/>
      <c r="AC765" s="130"/>
      <c r="AE765" s="106"/>
    </row>
    <row r="766">
      <c r="C766" s="79"/>
      <c r="D766" s="79"/>
      <c r="E766" s="79"/>
      <c r="O766" s="79"/>
      <c r="R766" s="79"/>
      <c r="T766" s="79"/>
      <c r="U766" s="79"/>
      <c r="Y766" s="79"/>
      <c r="AC766" s="130"/>
      <c r="AE766" s="106"/>
    </row>
    <row r="767">
      <c r="C767" s="79"/>
      <c r="D767" s="79"/>
      <c r="E767" s="79"/>
      <c r="O767" s="79"/>
      <c r="R767" s="79"/>
      <c r="T767" s="79"/>
      <c r="U767" s="79"/>
      <c r="Y767" s="79"/>
      <c r="AC767" s="130"/>
      <c r="AE767" s="106"/>
    </row>
    <row r="768">
      <c r="C768" s="79"/>
      <c r="D768" s="79"/>
      <c r="E768" s="79"/>
      <c r="O768" s="79"/>
      <c r="R768" s="79"/>
      <c r="T768" s="79"/>
      <c r="U768" s="79"/>
      <c r="Y768" s="79"/>
      <c r="AC768" s="130"/>
      <c r="AE768" s="106"/>
    </row>
    <row r="769">
      <c r="C769" s="79"/>
      <c r="D769" s="79"/>
      <c r="E769" s="79"/>
      <c r="O769" s="79"/>
      <c r="R769" s="79"/>
      <c r="T769" s="79"/>
      <c r="U769" s="79"/>
      <c r="Y769" s="79"/>
      <c r="AC769" s="130"/>
      <c r="AE769" s="106"/>
    </row>
    <row r="770">
      <c r="C770" s="79"/>
      <c r="D770" s="79"/>
      <c r="E770" s="79"/>
      <c r="O770" s="79"/>
      <c r="R770" s="79"/>
      <c r="T770" s="79"/>
      <c r="U770" s="79"/>
      <c r="Y770" s="79"/>
      <c r="AC770" s="130"/>
      <c r="AE770" s="106"/>
    </row>
    <row r="771">
      <c r="C771" s="79"/>
      <c r="D771" s="79"/>
      <c r="E771" s="79"/>
      <c r="O771" s="79"/>
      <c r="R771" s="79"/>
      <c r="T771" s="79"/>
      <c r="U771" s="79"/>
      <c r="Y771" s="79"/>
      <c r="AC771" s="130"/>
      <c r="AE771" s="106"/>
    </row>
    <row r="772">
      <c r="C772" s="79"/>
      <c r="D772" s="79"/>
      <c r="E772" s="79"/>
      <c r="O772" s="79"/>
      <c r="R772" s="79"/>
      <c r="T772" s="79"/>
      <c r="U772" s="79"/>
      <c r="Y772" s="79"/>
      <c r="AC772" s="130"/>
      <c r="AE772" s="106"/>
    </row>
    <row r="773">
      <c r="C773" s="79"/>
      <c r="D773" s="79"/>
      <c r="E773" s="79"/>
      <c r="O773" s="79"/>
      <c r="R773" s="79"/>
      <c r="T773" s="79"/>
      <c r="U773" s="79"/>
      <c r="Y773" s="79"/>
      <c r="AC773" s="130"/>
      <c r="AE773" s="106"/>
    </row>
    <row r="774">
      <c r="C774" s="79"/>
      <c r="D774" s="79"/>
      <c r="E774" s="79"/>
      <c r="O774" s="79"/>
      <c r="R774" s="79"/>
      <c r="T774" s="79"/>
      <c r="U774" s="79"/>
      <c r="Y774" s="79"/>
      <c r="AC774" s="130"/>
      <c r="AE774" s="106"/>
    </row>
    <row r="775">
      <c r="C775" s="79"/>
      <c r="D775" s="79"/>
      <c r="E775" s="79"/>
      <c r="O775" s="79"/>
      <c r="R775" s="79"/>
      <c r="T775" s="79"/>
      <c r="U775" s="79"/>
      <c r="Y775" s="79"/>
      <c r="AC775" s="130"/>
      <c r="AE775" s="106"/>
    </row>
    <row r="776">
      <c r="C776" s="79"/>
      <c r="D776" s="79"/>
      <c r="E776" s="79"/>
      <c r="O776" s="79"/>
      <c r="R776" s="79"/>
      <c r="T776" s="79"/>
      <c r="U776" s="79"/>
      <c r="Y776" s="79"/>
      <c r="AC776" s="130"/>
      <c r="AE776" s="106"/>
    </row>
    <row r="777">
      <c r="C777" s="79"/>
      <c r="D777" s="79"/>
      <c r="E777" s="79"/>
      <c r="O777" s="79"/>
      <c r="R777" s="79"/>
      <c r="T777" s="79"/>
      <c r="U777" s="79"/>
      <c r="Y777" s="79"/>
      <c r="AC777" s="130"/>
      <c r="AE777" s="106"/>
    </row>
    <row r="778">
      <c r="C778" s="79"/>
      <c r="D778" s="79"/>
      <c r="E778" s="79"/>
      <c r="O778" s="79"/>
      <c r="R778" s="79"/>
      <c r="T778" s="79"/>
      <c r="U778" s="79"/>
      <c r="Y778" s="79"/>
      <c r="AC778" s="130"/>
      <c r="AE778" s="106"/>
    </row>
    <row r="779">
      <c r="C779" s="79"/>
      <c r="D779" s="79"/>
      <c r="E779" s="79"/>
      <c r="O779" s="79"/>
      <c r="R779" s="79"/>
      <c r="T779" s="79"/>
      <c r="U779" s="79"/>
      <c r="Y779" s="79"/>
      <c r="AC779" s="130"/>
      <c r="AE779" s="106"/>
    </row>
    <row r="780">
      <c r="C780" s="79"/>
      <c r="D780" s="79"/>
      <c r="E780" s="79"/>
      <c r="O780" s="79"/>
      <c r="R780" s="79"/>
      <c r="T780" s="79"/>
      <c r="U780" s="79"/>
      <c r="Y780" s="79"/>
      <c r="AC780" s="130"/>
      <c r="AE780" s="106"/>
    </row>
    <row r="781">
      <c r="C781" s="79"/>
      <c r="D781" s="79"/>
      <c r="E781" s="79"/>
      <c r="O781" s="79"/>
      <c r="R781" s="79"/>
      <c r="T781" s="79"/>
      <c r="U781" s="79"/>
      <c r="Y781" s="79"/>
      <c r="AC781" s="130"/>
      <c r="AE781" s="106"/>
    </row>
    <row r="782">
      <c r="C782" s="79"/>
      <c r="D782" s="79"/>
      <c r="E782" s="79"/>
      <c r="O782" s="79"/>
      <c r="R782" s="79"/>
      <c r="T782" s="79"/>
      <c r="U782" s="79"/>
      <c r="Y782" s="79"/>
      <c r="AC782" s="130"/>
      <c r="AE782" s="106"/>
    </row>
    <row r="783">
      <c r="C783" s="79"/>
      <c r="D783" s="79"/>
      <c r="E783" s="79"/>
      <c r="O783" s="79"/>
      <c r="R783" s="79"/>
      <c r="T783" s="79"/>
      <c r="U783" s="79"/>
      <c r="Y783" s="79"/>
      <c r="AC783" s="130"/>
      <c r="AE783" s="106"/>
    </row>
    <row r="784">
      <c r="C784" s="79"/>
      <c r="D784" s="79"/>
      <c r="E784" s="79"/>
      <c r="O784" s="79"/>
      <c r="R784" s="79"/>
      <c r="T784" s="79"/>
      <c r="U784" s="79"/>
      <c r="Y784" s="79"/>
      <c r="AC784" s="130"/>
      <c r="AE784" s="106"/>
    </row>
    <row r="785">
      <c r="C785" s="79"/>
      <c r="D785" s="79"/>
      <c r="E785" s="79"/>
      <c r="O785" s="79"/>
      <c r="R785" s="79"/>
      <c r="T785" s="79"/>
      <c r="U785" s="79"/>
      <c r="Y785" s="79"/>
      <c r="AC785" s="130"/>
      <c r="AE785" s="106"/>
    </row>
    <row r="786">
      <c r="C786" s="79"/>
      <c r="D786" s="79"/>
      <c r="E786" s="79"/>
      <c r="O786" s="79"/>
      <c r="R786" s="79"/>
      <c r="T786" s="79"/>
      <c r="U786" s="79"/>
      <c r="Y786" s="79"/>
      <c r="AC786" s="130"/>
      <c r="AE786" s="106"/>
    </row>
    <row r="787">
      <c r="C787" s="79"/>
      <c r="D787" s="79"/>
      <c r="E787" s="79"/>
      <c r="O787" s="79"/>
      <c r="R787" s="79"/>
      <c r="T787" s="79"/>
      <c r="U787" s="79"/>
      <c r="Y787" s="79"/>
      <c r="AC787" s="130"/>
      <c r="AE787" s="106"/>
    </row>
    <row r="788">
      <c r="C788" s="79"/>
      <c r="D788" s="79"/>
      <c r="E788" s="79"/>
      <c r="O788" s="79"/>
      <c r="R788" s="79"/>
      <c r="T788" s="79"/>
      <c r="U788" s="79"/>
      <c r="Y788" s="79"/>
      <c r="AC788" s="130"/>
      <c r="AE788" s="106"/>
    </row>
    <row r="789">
      <c r="C789" s="79"/>
      <c r="D789" s="79"/>
      <c r="E789" s="79"/>
      <c r="O789" s="79"/>
      <c r="R789" s="79"/>
      <c r="T789" s="79"/>
      <c r="U789" s="79"/>
      <c r="Y789" s="79"/>
      <c r="AC789" s="130"/>
      <c r="AE789" s="106"/>
    </row>
    <row r="790">
      <c r="C790" s="79"/>
      <c r="D790" s="79"/>
      <c r="E790" s="79"/>
      <c r="O790" s="79"/>
      <c r="R790" s="79"/>
      <c r="T790" s="79"/>
      <c r="U790" s="79"/>
      <c r="Y790" s="79"/>
      <c r="AC790" s="130"/>
      <c r="AE790" s="106"/>
    </row>
    <row r="791">
      <c r="C791" s="79"/>
      <c r="D791" s="79"/>
      <c r="E791" s="79"/>
      <c r="O791" s="79"/>
      <c r="R791" s="79"/>
      <c r="T791" s="79"/>
      <c r="U791" s="79"/>
      <c r="Y791" s="79"/>
      <c r="AC791" s="130"/>
      <c r="AE791" s="106"/>
    </row>
    <row r="792">
      <c r="C792" s="79"/>
      <c r="D792" s="79"/>
      <c r="E792" s="79"/>
      <c r="O792" s="79"/>
      <c r="R792" s="79"/>
      <c r="T792" s="79"/>
      <c r="U792" s="79"/>
      <c r="Y792" s="79"/>
      <c r="AC792" s="130"/>
      <c r="AE792" s="106"/>
    </row>
    <row r="793">
      <c r="C793" s="79"/>
      <c r="D793" s="79"/>
      <c r="E793" s="79"/>
      <c r="O793" s="79"/>
      <c r="R793" s="79"/>
      <c r="T793" s="79"/>
      <c r="U793" s="79"/>
      <c r="Y793" s="79"/>
      <c r="AC793" s="130"/>
      <c r="AE793" s="106"/>
    </row>
    <row r="794">
      <c r="C794" s="79"/>
      <c r="D794" s="79"/>
      <c r="E794" s="79"/>
      <c r="O794" s="79"/>
      <c r="R794" s="79"/>
      <c r="T794" s="79"/>
      <c r="U794" s="79"/>
      <c r="Y794" s="79"/>
      <c r="AC794" s="130"/>
      <c r="AE794" s="106"/>
    </row>
    <row r="795">
      <c r="C795" s="79"/>
      <c r="D795" s="79"/>
      <c r="E795" s="79"/>
      <c r="O795" s="79"/>
      <c r="R795" s="79"/>
      <c r="T795" s="79"/>
      <c r="U795" s="79"/>
      <c r="Y795" s="79"/>
      <c r="AC795" s="130"/>
      <c r="AE795" s="106"/>
    </row>
    <row r="796">
      <c r="C796" s="79"/>
      <c r="D796" s="79"/>
      <c r="E796" s="79"/>
      <c r="O796" s="79"/>
      <c r="R796" s="79"/>
      <c r="T796" s="79"/>
      <c r="U796" s="79"/>
      <c r="Y796" s="79"/>
      <c r="AC796" s="130"/>
      <c r="AE796" s="106"/>
    </row>
    <row r="797">
      <c r="C797" s="79"/>
      <c r="D797" s="79"/>
      <c r="E797" s="79"/>
      <c r="O797" s="79"/>
      <c r="R797" s="79"/>
      <c r="T797" s="79"/>
      <c r="U797" s="79"/>
      <c r="Y797" s="79"/>
      <c r="AC797" s="130"/>
      <c r="AE797" s="106"/>
    </row>
    <row r="798">
      <c r="C798" s="79"/>
      <c r="D798" s="79"/>
      <c r="E798" s="79"/>
      <c r="O798" s="79"/>
      <c r="R798" s="79"/>
      <c r="T798" s="79"/>
      <c r="U798" s="79"/>
      <c r="Y798" s="79"/>
      <c r="AC798" s="130"/>
      <c r="AE798" s="106"/>
    </row>
    <row r="799">
      <c r="C799" s="79"/>
      <c r="D799" s="79"/>
      <c r="E799" s="79"/>
      <c r="O799" s="79"/>
      <c r="R799" s="79"/>
      <c r="T799" s="79"/>
      <c r="U799" s="79"/>
      <c r="Y799" s="79"/>
      <c r="AC799" s="130"/>
      <c r="AE799" s="106"/>
    </row>
    <row r="800">
      <c r="C800" s="79"/>
      <c r="D800" s="79"/>
      <c r="E800" s="79"/>
      <c r="O800" s="79"/>
      <c r="R800" s="79"/>
      <c r="T800" s="79"/>
      <c r="U800" s="79"/>
      <c r="Y800" s="79"/>
      <c r="AC800" s="130"/>
      <c r="AE800" s="106"/>
    </row>
    <row r="801">
      <c r="C801" s="79"/>
      <c r="D801" s="79"/>
      <c r="E801" s="79"/>
      <c r="O801" s="79"/>
      <c r="R801" s="79"/>
      <c r="T801" s="79"/>
      <c r="U801" s="79"/>
      <c r="Y801" s="79"/>
      <c r="AC801" s="130"/>
      <c r="AE801" s="106"/>
    </row>
    <row r="802">
      <c r="C802" s="79"/>
      <c r="D802" s="79"/>
      <c r="E802" s="79"/>
      <c r="O802" s="79"/>
      <c r="R802" s="79"/>
      <c r="T802" s="79"/>
      <c r="U802" s="79"/>
      <c r="Y802" s="79"/>
      <c r="AC802" s="130"/>
      <c r="AE802" s="106"/>
    </row>
    <row r="803">
      <c r="C803" s="79"/>
      <c r="D803" s="79"/>
      <c r="E803" s="79"/>
      <c r="O803" s="79"/>
      <c r="R803" s="79"/>
      <c r="T803" s="79"/>
      <c r="U803" s="79"/>
      <c r="Y803" s="79"/>
      <c r="AC803" s="130"/>
      <c r="AE803" s="106"/>
    </row>
    <row r="804">
      <c r="C804" s="79"/>
      <c r="D804" s="79"/>
      <c r="E804" s="79"/>
      <c r="O804" s="79"/>
      <c r="R804" s="79"/>
      <c r="T804" s="79"/>
      <c r="U804" s="79"/>
      <c r="Y804" s="79"/>
      <c r="AC804" s="130"/>
      <c r="AE804" s="106"/>
    </row>
    <row r="805">
      <c r="C805" s="79"/>
      <c r="D805" s="79"/>
      <c r="E805" s="79"/>
      <c r="O805" s="79"/>
      <c r="R805" s="79"/>
      <c r="T805" s="79"/>
      <c r="U805" s="79"/>
      <c r="Y805" s="79"/>
      <c r="AC805" s="130"/>
      <c r="AE805" s="106"/>
    </row>
    <row r="806">
      <c r="C806" s="79"/>
      <c r="D806" s="79"/>
      <c r="E806" s="79"/>
      <c r="O806" s="79"/>
      <c r="R806" s="79"/>
      <c r="T806" s="79"/>
      <c r="U806" s="79"/>
      <c r="Y806" s="79"/>
      <c r="AC806" s="130"/>
      <c r="AE806" s="106"/>
    </row>
    <row r="807">
      <c r="C807" s="79"/>
      <c r="D807" s="79"/>
      <c r="E807" s="79"/>
      <c r="O807" s="79"/>
      <c r="R807" s="79"/>
      <c r="T807" s="79"/>
      <c r="U807" s="79"/>
      <c r="Y807" s="79"/>
      <c r="AC807" s="130"/>
      <c r="AE807" s="106"/>
    </row>
    <row r="808">
      <c r="C808" s="79"/>
      <c r="D808" s="79"/>
      <c r="E808" s="79"/>
      <c r="O808" s="79"/>
      <c r="R808" s="79"/>
      <c r="T808" s="79"/>
      <c r="U808" s="79"/>
      <c r="Y808" s="79"/>
      <c r="AC808" s="130"/>
      <c r="AE808" s="106"/>
    </row>
    <row r="809">
      <c r="C809" s="79"/>
      <c r="D809" s="79"/>
      <c r="E809" s="79"/>
      <c r="O809" s="79"/>
      <c r="R809" s="79"/>
      <c r="T809" s="79"/>
      <c r="U809" s="79"/>
      <c r="Y809" s="79"/>
      <c r="AC809" s="130"/>
      <c r="AE809" s="106"/>
    </row>
    <row r="810">
      <c r="C810" s="79"/>
      <c r="D810" s="79"/>
      <c r="E810" s="79"/>
      <c r="O810" s="79"/>
      <c r="R810" s="79"/>
      <c r="T810" s="79"/>
      <c r="U810" s="79"/>
      <c r="Y810" s="79"/>
      <c r="AC810" s="130"/>
      <c r="AE810" s="106"/>
    </row>
    <row r="811">
      <c r="C811" s="79"/>
      <c r="D811" s="79"/>
      <c r="E811" s="79"/>
      <c r="O811" s="79"/>
      <c r="R811" s="79"/>
      <c r="T811" s="79"/>
      <c r="U811" s="79"/>
      <c r="Y811" s="79"/>
      <c r="AC811" s="130"/>
      <c r="AE811" s="106"/>
    </row>
    <row r="812">
      <c r="C812" s="79"/>
      <c r="D812" s="79"/>
      <c r="E812" s="79"/>
      <c r="O812" s="79"/>
      <c r="R812" s="79"/>
      <c r="T812" s="79"/>
      <c r="U812" s="79"/>
      <c r="Y812" s="79"/>
      <c r="AC812" s="130"/>
      <c r="AE812" s="106"/>
    </row>
    <row r="813">
      <c r="C813" s="79"/>
      <c r="D813" s="79"/>
      <c r="E813" s="79"/>
      <c r="O813" s="79"/>
      <c r="R813" s="79"/>
      <c r="T813" s="79"/>
      <c r="U813" s="79"/>
      <c r="Y813" s="79"/>
      <c r="AC813" s="130"/>
      <c r="AE813" s="106"/>
    </row>
    <row r="814">
      <c r="C814" s="79"/>
      <c r="D814" s="79"/>
      <c r="E814" s="79"/>
      <c r="O814" s="79"/>
      <c r="R814" s="79"/>
      <c r="T814" s="79"/>
      <c r="U814" s="79"/>
      <c r="Y814" s="79"/>
      <c r="AC814" s="130"/>
      <c r="AE814" s="106"/>
    </row>
    <row r="815">
      <c r="C815" s="79"/>
      <c r="D815" s="79"/>
      <c r="E815" s="79"/>
      <c r="O815" s="79"/>
      <c r="R815" s="79"/>
      <c r="T815" s="79"/>
      <c r="U815" s="79"/>
      <c r="Y815" s="79"/>
      <c r="AC815" s="130"/>
      <c r="AE815" s="106"/>
    </row>
    <row r="816">
      <c r="C816" s="79"/>
      <c r="D816" s="79"/>
      <c r="E816" s="79"/>
      <c r="O816" s="79"/>
      <c r="R816" s="79"/>
      <c r="T816" s="79"/>
      <c r="U816" s="79"/>
      <c r="Y816" s="79"/>
      <c r="AC816" s="130"/>
      <c r="AE816" s="106"/>
    </row>
    <row r="817">
      <c r="C817" s="79"/>
      <c r="D817" s="79"/>
      <c r="E817" s="79"/>
      <c r="O817" s="79"/>
      <c r="R817" s="79"/>
      <c r="T817" s="79"/>
      <c r="U817" s="79"/>
      <c r="Y817" s="79"/>
      <c r="AC817" s="130"/>
      <c r="AE817" s="106"/>
    </row>
    <row r="818">
      <c r="C818" s="79"/>
      <c r="D818" s="79"/>
      <c r="E818" s="79"/>
      <c r="O818" s="79"/>
      <c r="R818" s="79"/>
      <c r="T818" s="79"/>
      <c r="U818" s="79"/>
      <c r="Y818" s="79"/>
      <c r="AC818" s="130"/>
      <c r="AE818" s="106"/>
    </row>
    <row r="819">
      <c r="C819" s="79"/>
      <c r="D819" s="79"/>
      <c r="E819" s="79"/>
      <c r="O819" s="79"/>
      <c r="R819" s="79"/>
      <c r="T819" s="79"/>
      <c r="U819" s="79"/>
      <c r="Y819" s="79"/>
      <c r="AC819" s="130"/>
      <c r="AE819" s="106"/>
    </row>
    <row r="820">
      <c r="C820" s="79"/>
      <c r="D820" s="79"/>
      <c r="E820" s="79"/>
      <c r="O820" s="79"/>
      <c r="R820" s="79"/>
      <c r="T820" s="79"/>
      <c r="U820" s="79"/>
      <c r="Y820" s="79"/>
      <c r="AC820" s="130"/>
      <c r="AE820" s="106"/>
    </row>
    <row r="821">
      <c r="C821" s="79"/>
      <c r="D821" s="79"/>
      <c r="E821" s="79"/>
      <c r="O821" s="79"/>
      <c r="R821" s="79"/>
      <c r="T821" s="79"/>
      <c r="U821" s="79"/>
      <c r="Y821" s="79"/>
      <c r="AC821" s="130"/>
      <c r="AE821" s="106"/>
    </row>
    <row r="822">
      <c r="C822" s="79"/>
      <c r="D822" s="79"/>
      <c r="E822" s="79"/>
      <c r="O822" s="79"/>
      <c r="R822" s="79"/>
      <c r="T822" s="79"/>
      <c r="U822" s="79"/>
      <c r="Y822" s="79"/>
      <c r="AC822" s="130"/>
      <c r="AE822" s="106"/>
    </row>
    <row r="823">
      <c r="C823" s="79"/>
      <c r="D823" s="79"/>
      <c r="E823" s="79"/>
      <c r="O823" s="79"/>
      <c r="R823" s="79"/>
      <c r="T823" s="79"/>
      <c r="U823" s="79"/>
      <c r="Y823" s="79"/>
      <c r="AC823" s="130"/>
      <c r="AE823" s="106"/>
    </row>
    <row r="824">
      <c r="C824" s="79"/>
      <c r="D824" s="79"/>
      <c r="E824" s="79"/>
      <c r="O824" s="79"/>
      <c r="R824" s="79"/>
      <c r="T824" s="79"/>
      <c r="U824" s="79"/>
      <c r="Y824" s="79"/>
      <c r="AC824" s="130"/>
      <c r="AE824" s="106"/>
    </row>
    <row r="825">
      <c r="C825" s="79"/>
      <c r="D825" s="79"/>
      <c r="E825" s="79"/>
      <c r="O825" s="79"/>
      <c r="R825" s="79"/>
      <c r="T825" s="79"/>
      <c r="U825" s="79"/>
      <c r="Y825" s="79"/>
      <c r="AC825" s="130"/>
      <c r="AE825" s="106"/>
    </row>
    <row r="826">
      <c r="C826" s="79"/>
      <c r="D826" s="79"/>
      <c r="E826" s="79"/>
      <c r="O826" s="79"/>
      <c r="R826" s="79"/>
      <c r="T826" s="79"/>
      <c r="U826" s="79"/>
      <c r="Y826" s="79"/>
      <c r="AC826" s="130"/>
      <c r="AE826" s="106"/>
    </row>
    <row r="827">
      <c r="C827" s="79"/>
      <c r="D827" s="79"/>
      <c r="E827" s="79"/>
      <c r="O827" s="79"/>
      <c r="R827" s="79"/>
      <c r="T827" s="79"/>
      <c r="U827" s="79"/>
      <c r="Y827" s="79"/>
      <c r="AC827" s="130"/>
      <c r="AE827" s="106"/>
    </row>
    <row r="828">
      <c r="C828" s="79"/>
      <c r="D828" s="79"/>
      <c r="E828" s="79"/>
      <c r="O828" s="79"/>
      <c r="R828" s="79"/>
      <c r="T828" s="79"/>
      <c r="U828" s="79"/>
      <c r="Y828" s="79"/>
      <c r="AC828" s="130"/>
      <c r="AE828" s="106"/>
    </row>
    <row r="829">
      <c r="C829" s="79"/>
      <c r="D829" s="79"/>
      <c r="E829" s="79"/>
      <c r="O829" s="79"/>
      <c r="R829" s="79"/>
      <c r="T829" s="79"/>
      <c r="U829" s="79"/>
      <c r="Y829" s="79"/>
      <c r="AC829" s="130"/>
      <c r="AE829" s="106"/>
    </row>
    <row r="830">
      <c r="C830" s="79"/>
      <c r="D830" s="79"/>
      <c r="E830" s="79"/>
      <c r="O830" s="79"/>
      <c r="R830" s="79"/>
      <c r="T830" s="79"/>
      <c r="U830" s="79"/>
      <c r="Y830" s="79"/>
      <c r="AC830" s="130"/>
      <c r="AE830" s="106"/>
    </row>
    <row r="831">
      <c r="C831" s="79"/>
      <c r="D831" s="79"/>
      <c r="E831" s="79"/>
      <c r="O831" s="79"/>
      <c r="R831" s="79"/>
      <c r="T831" s="79"/>
      <c r="U831" s="79"/>
      <c r="Y831" s="79"/>
      <c r="AC831" s="130"/>
      <c r="AE831" s="106"/>
    </row>
    <row r="832">
      <c r="C832" s="79"/>
      <c r="D832" s="79"/>
      <c r="E832" s="79"/>
      <c r="O832" s="79"/>
      <c r="R832" s="79"/>
      <c r="T832" s="79"/>
      <c r="U832" s="79"/>
      <c r="Y832" s="79"/>
      <c r="AC832" s="130"/>
      <c r="AE832" s="106"/>
    </row>
    <row r="833">
      <c r="C833" s="79"/>
      <c r="D833" s="79"/>
      <c r="E833" s="79"/>
      <c r="O833" s="79"/>
      <c r="R833" s="79"/>
      <c r="T833" s="79"/>
      <c r="U833" s="79"/>
      <c r="Y833" s="79"/>
      <c r="AC833" s="130"/>
      <c r="AE833" s="106"/>
    </row>
    <row r="834">
      <c r="C834" s="79"/>
      <c r="D834" s="79"/>
      <c r="E834" s="79"/>
      <c r="O834" s="79"/>
      <c r="R834" s="79"/>
      <c r="T834" s="79"/>
      <c r="U834" s="79"/>
      <c r="Y834" s="79"/>
      <c r="AC834" s="130"/>
      <c r="AE834" s="106"/>
    </row>
    <row r="835">
      <c r="C835" s="79"/>
      <c r="D835" s="79"/>
      <c r="E835" s="79"/>
      <c r="O835" s="79"/>
      <c r="R835" s="79"/>
      <c r="T835" s="79"/>
      <c r="U835" s="79"/>
      <c r="Y835" s="79"/>
      <c r="AC835" s="130"/>
      <c r="AE835" s="106"/>
    </row>
    <row r="836">
      <c r="C836" s="79"/>
      <c r="D836" s="79"/>
      <c r="E836" s="79"/>
      <c r="O836" s="79"/>
      <c r="R836" s="79"/>
      <c r="T836" s="79"/>
      <c r="U836" s="79"/>
      <c r="Y836" s="79"/>
      <c r="AC836" s="130"/>
      <c r="AE836" s="106"/>
    </row>
    <row r="837">
      <c r="C837" s="79"/>
      <c r="D837" s="79"/>
      <c r="E837" s="79"/>
      <c r="O837" s="79"/>
      <c r="R837" s="79"/>
      <c r="T837" s="79"/>
      <c r="U837" s="79"/>
      <c r="Y837" s="79"/>
      <c r="AC837" s="130"/>
      <c r="AE837" s="106"/>
    </row>
    <row r="838">
      <c r="C838" s="79"/>
      <c r="D838" s="79"/>
      <c r="E838" s="79"/>
      <c r="O838" s="79"/>
      <c r="R838" s="79"/>
      <c r="T838" s="79"/>
      <c r="U838" s="79"/>
      <c r="Y838" s="79"/>
      <c r="AC838" s="130"/>
      <c r="AE838" s="106"/>
    </row>
    <row r="839">
      <c r="C839" s="79"/>
      <c r="D839" s="79"/>
      <c r="E839" s="79"/>
      <c r="O839" s="79"/>
      <c r="R839" s="79"/>
      <c r="T839" s="79"/>
      <c r="U839" s="79"/>
      <c r="Y839" s="79"/>
      <c r="AC839" s="130"/>
      <c r="AE839" s="106"/>
    </row>
    <row r="840">
      <c r="C840" s="79"/>
      <c r="D840" s="79"/>
      <c r="E840" s="79"/>
      <c r="O840" s="79"/>
      <c r="R840" s="79"/>
      <c r="T840" s="79"/>
      <c r="U840" s="79"/>
      <c r="Y840" s="79"/>
      <c r="AC840" s="130"/>
      <c r="AE840" s="106"/>
    </row>
    <row r="841">
      <c r="C841" s="79"/>
      <c r="D841" s="79"/>
      <c r="E841" s="79"/>
      <c r="O841" s="79"/>
      <c r="R841" s="79"/>
      <c r="T841" s="79"/>
      <c r="U841" s="79"/>
      <c r="Y841" s="79"/>
      <c r="AC841" s="130"/>
      <c r="AE841" s="106"/>
    </row>
    <row r="842">
      <c r="C842" s="79"/>
      <c r="D842" s="79"/>
      <c r="E842" s="79"/>
      <c r="O842" s="79"/>
      <c r="R842" s="79"/>
      <c r="T842" s="79"/>
      <c r="U842" s="79"/>
      <c r="Y842" s="79"/>
      <c r="AC842" s="130"/>
      <c r="AE842" s="106"/>
    </row>
    <row r="843">
      <c r="C843" s="79"/>
      <c r="D843" s="79"/>
      <c r="E843" s="79"/>
      <c r="O843" s="79"/>
      <c r="R843" s="79"/>
      <c r="T843" s="79"/>
      <c r="U843" s="79"/>
      <c r="Y843" s="79"/>
      <c r="AC843" s="130"/>
      <c r="AE843" s="106"/>
    </row>
    <row r="844">
      <c r="C844" s="79"/>
      <c r="D844" s="79"/>
      <c r="E844" s="79"/>
      <c r="O844" s="79"/>
      <c r="R844" s="79"/>
      <c r="T844" s="79"/>
      <c r="U844" s="79"/>
      <c r="Y844" s="79"/>
      <c r="AC844" s="130"/>
      <c r="AE844" s="106"/>
    </row>
    <row r="845">
      <c r="C845" s="79"/>
      <c r="D845" s="79"/>
      <c r="E845" s="79"/>
      <c r="O845" s="79"/>
      <c r="R845" s="79"/>
      <c r="T845" s="79"/>
      <c r="U845" s="79"/>
      <c r="Y845" s="79"/>
      <c r="AC845" s="130"/>
      <c r="AE845" s="106"/>
    </row>
    <row r="846">
      <c r="C846" s="79"/>
      <c r="D846" s="79"/>
      <c r="E846" s="79"/>
      <c r="O846" s="79"/>
      <c r="R846" s="79"/>
      <c r="T846" s="79"/>
      <c r="U846" s="79"/>
      <c r="Y846" s="79"/>
      <c r="AC846" s="130"/>
      <c r="AE846" s="106"/>
    </row>
    <row r="847">
      <c r="C847" s="79"/>
      <c r="D847" s="79"/>
      <c r="E847" s="79"/>
      <c r="O847" s="79"/>
      <c r="R847" s="79"/>
      <c r="T847" s="79"/>
      <c r="U847" s="79"/>
      <c r="Y847" s="79"/>
      <c r="AC847" s="130"/>
      <c r="AE847" s="106"/>
    </row>
    <row r="848">
      <c r="C848" s="79"/>
      <c r="D848" s="79"/>
      <c r="E848" s="79"/>
      <c r="O848" s="79"/>
      <c r="R848" s="79"/>
      <c r="T848" s="79"/>
      <c r="U848" s="79"/>
      <c r="Y848" s="79"/>
      <c r="AC848" s="130"/>
      <c r="AE848" s="106"/>
    </row>
    <row r="849">
      <c r="C849" s="79"/>
      <c r="D849" s="79"/>
      <c r="E849" s="79"/>
      <c r="O849" s="79"/>
      <c r="R849" s="79"/>
      <c r="T849" s="79"/>
      <c r="U849" s="79"/>
      <c r="Y849" s="79"/>
      <c r="AC849" s="130"/>
      <c r="AE849" s="106"/>
    </row>
    <row r="850">
      <c r="C850" s="79"/>
      <c r="D850" s="79"/>
      <c r="E850" s="79"/>
      <c r="O850" s="79"/>
      <c r="R850" s="79"/>
      <c r="T850" s="79"/>
      <c r="U850" s="79"/>
      <c r="Y850" s="79"/>
      <c r="AC850" s="130"/>
      <c r="AE850" s="106"/>
    </row>
    <row r="851">
      <c r="C851" s="79"/>
      <c r="D851" s="79"/>
      <c r="E851" s="79"/>
      <c r="O851" s="79"/>
      <c r="R851" s="79"/>
      <c r="T851" s="79"/>
      <c r="U851" s="79"/>
      <c r="Y851" s="79"/>
      <c r="AC851" s="130"/>
      <c r="AE851" s="106"/>
    </row>
    <row r="852">
      <c r="C852" s="79"/>
      <c r="D852" s="79"/>
      <c r="E852" s="79"/>
      <c r="O852" s="79"/>
      <c r="R852" s="79"/>
      <c r="T852" s="79"/>
      <c r="U852" s="79"/>
      <c r="Y852" s="79"/>
      <c r="AC852" s="130"/>
      <c r="AE852" s="106"/>
    </row>
    <row r="853">
      <c r="C853" s="79"/>
      <c r="D853" s="79"/>
      <c r="E853" s="79"/>
      <c r="O853" s="79"/>
      <c r="R853" s="79"/>
      <c r="T853" s="79"/>
      <c r="U853" s="79"/>
      <c r="Y853" s="79"/>
      <c r="AC853" s="130"/>
      <c r="AE853" s="106"/>
    </row>
    <row r="854">
      <c r="C854" s="79"/>
      <c r="D854" s="79"/>
      <c r="E854" s="79"/>
      <c r="O854" s="79"/>
      <c r="R854" s="79"/>
      <c r="T854" s="79"/>
      <c r="U854" s="79"/>
      <c r="Y854" s="79"/>
      <c r="AC854" s="130"/>
      <c r="AE854" s="106"/>
    </row>
    <row r="855">
      <c r="C855" s="79"/>
      <c r="D855" s="79"/>
      <c r="E855" s="79"/>
      <c r="O855" s="79"/>
      <c r="R855" s="79"/>
      <c r="T855" s="79"/>
      <c r="U855" s="79"/>
      <c r="Y855" s="79"/>
      <c r="AC855" s="130"/>
      <c r="AE855" s="106"/>
    </row>
    <row r="856">
      <c r="C856" s="79"/>
      <c r="D856" s="79"/>
      <c r="E856" s="79"/>
      <c r="O856" s="79"/>
      <c r="R856" s="79"/>
      <c r="T856" s="79"/>
      <c r="U856" s="79"/>
      <c r="Y856" s="79"/>
      <c r="AC856" s="130"/>
      <c r="AE856" s="106"/>
    </row>
    <row r="857">
      <c r="C857" s="79"/>
      <c r="D857" s="79"/>
      <c r="E857" s="79"/>
      <c r="O857" s="79"/>
      <c r="R857" s="79"/>
      <c r="T857" s="79"/>
      <c r="U857" s="79"/>
      <c r="Y857" s="79"/>
      <c r="AC857" s="130"/>
      <c r="AE857" s="106"/>
    </row>
    <row r="858">
      <c r="C858" s="79"/>
      <c r="D858" s="79"/>
      <c r="E858" s="79"/>
      <c r="O858" s="79"/>
      <c r="R858" s="79"/>
      <c r="T858" s="79"/>
      <c r="U858" s="79"/>
      <c r="Y858" s="79"/>
      <c r="AC858" s="130"/>
      <c r="AE858" s="106"/>
    </row>
    <row r="859">
      <c r="C859" s="79"/>
      <c r="D859" s="79"/>
      <c r="E859" s="79"/>
      <c r="O859" s="79"/>
      <c r="R859" s="79"/>
      <c r="T859" s="79"/>
      <c r="U859" s="79"/>
      <c r="Y859" s="79"/>
      <c r="AC859" s="130"/>
      <c r="AE859" s="106"/>
    </row>
    <row r="860">
      <c r="C860" s="79"/>
      <c r="D860" s="79"/>
      <c r="E860" s="79"/>
      <c r="O860" s="79"/>
      <c r="R860" s="79"/>
      <c r="T860" s="79"/>
      <c r="U860" s="79"/>
      <c r="Y860" s="79"/>
      <c r="AC860" s="130"/>
      <c r="AE860" s="106"/>
    </row>
    <row r="861">
      <c r="C861" s="79"/>
      <c r="D861" s="79"/>
      <c r="E861" s="79"/>
      <c r="O861" s="79"/>
      <c r="R861" s="79"/>
      <c r="T861" s="79"/>
      <c r="U861" s="79"/>
      <c r="Y861" s="79"/>
      <c r="AC861" s="130"/>
      <c r="AE861" s="106"/>
    </row>
    <row r="862">
      <c r="C862" s="79"/>
      <c r="D862" s="79"/>
      <c r="E862" s="79"/>
      <c r="O862" s="79"/>
      <c r="R862" s="79"/>
      <c r="T862" s="79"/>
      <c r="U862" s="79"/>
      <c r="Y862" s="79"/>
      <c r="AC862" s="130"/>
      <c r="AE862" s="106"/>
    </row>
    <row r="863">
      <c r="C863" s="79"/>
      <c r="D863" s="79"/>
      <c r="E863" s="79"/>
      <c r="O863" s="79"/>
      <c r="R863" s="79"/>
      <c r="T863" s="79"/>
      <c r="U863" s="79"/>
      <c r="Y863" s="79"/>
      <c r="AC863" s="130"/>
      <c r="AE863" s="106"/>
    </row>
    <row r="864">
      <c r="C864" s="79"/>
      <c r="D864" s="79"/>
      <c r="E864" s="79"/>
      <c r="O864" s="79"/>
      <c r="R864" s="79"/>
      <c r="T864" s="79"/>
      <c r="U864" s="79"/>
      <c r="Y864" s="79"/>
      <c r="AC864" s="130"/>
      <c r="AE864" s="106"/>
    </row>
    <row r="865">
      <c r="C865" s="79"/>
      <c r="D865" s="79"/>
      <c r="E865" s="79"/>
      <c r="O865" s="79"/>
      <c r="R865" s="79"/>
      <c r="T865" s="79"/>
      <c r="U865" s="79"/>
      <c r="Y865" s="79"/>
      <c r="AC865" s="130"/>
      <c r="AE865" s="106"/>
    </row>
    <row r="866">
      <c r="C866" s="79"/>
      <c r="D866" s="79"/>
      <c r="E866" s="79"/>
      <c r="O866" s="79"/>
      <c r="R866" s="79"/>
      <c r="T866" s="79"/>
      <c r="U866" s="79"/>
      <c r="Y866" s="79"/>
      <c r="AC866" s="130"/>
      <c r="AE866" s="106"/>
    </row>
    <row r="867">
      <c r="C867" s="79"/>
      <c r="D867" s="79"/>
      <c r="E867" s="79"/>
      <c r="O867" s="79"/>
      <c r="R867" s="79"/>
      <c r="T867" s="79"/>
      <c r="U867" s="79"/>
      <c r="Y867" s="79"/>
      <c r="AC867" s="130"/>
      <c r="AE867" s="106"/>
    </row>
    <row r="868">
      <c r="C868" s="79"/>
      <c r="D868" s="79"/>
      <c r="E868" s="79"/>
      <c r="O868" s="79"/>
      <c r="R868" s="79"/>
      <c r="T868" s="79"/>
      <c r="U868" s="79"/>
      <c r="Y868" s="79"/>
      <c r="AC868" s="130"/>
      <c r="AE868" s="106"/>
    </row>
    <row r="869">
      <c r="C869" s="79"/>
      <c r="D869" s="79"/>
      <c r="E869" s="79"/>
      <c r="O869" s="79"/>
      <c r="R869" s="79"/>
      <c r="T869" s="79"/>
      <c r="U869" s="79"/>
      <c r="Y869" s="79"/>
      <c r="AC869" s="130"/>
      <c r="AE869" s="106"/>
    </row>
    <row r="870">
      <c r="C870" s="79"/>
      <c r="D870" s="79"/>
      <c r="E870" s="79"/>
      <c r="O870" s="79"/>
      <c r="R870" s="79"/>
      <c r="T870" s="79"/>
      <c r="U870" s="79"/>
      <c r="Y870" s="79"/>
      <c r="AC870" s="130"/>
      <c r="AE870" s="106"/>
    </row>
    <row r="871">
      <c r="C871" s="79"/>
      <c r="D871" s="79"/>
      <c r="E871" s="79"/>
      <c r="O871" s="79"/>
      <c r="R871" s="79"/>
      <c r="T871" s="79"/>
      <c r="U871" s="79"/>
      <c r="Y871" s="79"/>
      <c r="AC871" s="130"/>
      <c r="AE871" s="106"/>
    </row>
    <row r="872">
      <c r="C872" s="79"/>
      <c r="D872" s="79"/>
      <c r="E872" s="79"/>
      <c r="O872" s="79"/>
      <c r="R872" s="79"/>
      <c r="T872" s="79"/>
      <c r="U872" s="79"/>
      <c r="Y872" s="79"/>
      <c r="AC872" s="130"/>
      <c r="AE872" s="106"/>
    </row>
    <row r="873">
      <c r="C873" s="79"/>
      <c r="D873" s="79"/>
      <c r="E873" s="79"/>
      <c r="O873" s="79"/>
      <c r="R873" s="79"/>
      <c r="T873" s="79"/>
      <c r="U873" s="79"/>
      <c r="Y873" s="79"/>
      <c r="AC873" s="130"/>
      <c r="AE873" s="106"/>
    </row>
    <row r="874">
      <c r="C874" s="79"/>
      <c r="D874" s="79"/>
      <c r="E874" s="79"/>
      <c r="O874" s="79"/>
      <c r="R874" s="79"/>
      <c r="T874" s="79"/>
      <c r="U874" s="79"/>
      <c r="Y874" s="79"/>
      <c r="AC874" s="130"/>
      <c r="AE874" s="106"/>
    </row>
    <row r="875">
      <c r="C875" s="79"/>
      <c r="D875" s="79"/>
      <c r="E875" s="79"/>
      <c r="O875" s="79"/>
      <c r="R875" s="79"/>
      <c r="T875" s="79"/>
      <c r="U875" s="79"/>
      <c r="Y875" s="79"/>
      <c r="AC875" s="130"/>
      <c r="AE875" s="106"/>
    </row>
    <row r="876">
      <c r="C876" s="79"/>
      <c r="D876" s="79"/>
      <c r="E876" s="79"/>
      <c r="O876" s="79"/>
      <c r="R876" s="79"/>
      <c r="T876" s="79"/>
      <c r="U876" s="79"/>
      <c r="Y876" s="79"/>
      <c r="AC876" s="130"/>
      <c r="AE876" s="106"/>
    </row>
    <row r="877">
      <c r="C877" s="79"/>
      <c r="D877" s="79"/>
      <c r="E877" s="79"/>
      <c r="O877" s="79"/>
      <c r="R877" s="79"/>
      <c r="T877" s="79"/>
      <c r="U877" s="79"/>
      <c r="Y877" s="79"/>
      <c r="AC877" s="130"/>
      <c r="AE877" s="106"/>
    </row>
    <row r="878">
      <c r="C878" s="79"/>
      <c r="D878" s="79"/>
      <c r="E878" s="79"/>
      <c r="O878" s="79"/>
      <c r="R878" s="79"/>
      <c r="T878" s="79"/>
      <c r="U878" s="79"/>
      <c r="Y878" s="79"/>
      <c r="AC878" s="130"/>
      <c r="AE878" s="106"/>
    </row>
    <row r="879">
      <c r="C879" s="79"/>
      <c r="D879" s="79"/>
      <c r="E879" s="79"/>
      <c r="O879" s="79"/>
      <c r="R879" s="79"/>
      <c r="T879" s="79"/>
      <c r="U879" s="79"/>
      <c r="Y879" s="79"/>
      <c r="AC879" s="130"/>
      <c r="AE879" s="106"/>
    </row>
    <row r="880">
      <c r="C880" s="79"/>
      <c r="D880" s="79"/>
      <c r="E880" s="79"/>
      <c r="O880" s="79"/>
      <c r="R880" s="79"/>
      <c r="T880" s="79"/>
      <c r="U880" s="79"/>
      <c r="Y880" s="79"/>
      <c r="AC880" s="130"/>
      <c r="AE880" s="106"/>
    </row>
    <row r="881">
      <c r="C881" s="79"/>
      <c r="D881" s="79"/>
      <c r="E881" s="79"/>
      <c r="O881" s="79"/>
      <c r="R881" s="79"/>
      <c r="T881" s="79"/>
      <c r="U881" s="79"/>
      <c r="Y881" s="79"/>
      <c r="AC881" s="130"/>
      <c r="AE881" s="106"/>
    </row>
    <row r="882">
      <c r="C882" s="79"/>
      <c r="D882" s="79"/>
      <c r="E882" s="79"/>
      <c r="O882" s="79"/>
      <c r="R882" s="79"/>
      <c r="T882" s="79"/>
      <c r="U882" s="79"/>
      <c r="Y882" s="79"/>
      <c r="AC882" s="130"/>
      <c r="AE882" s="106"/>
    </row>
    <row r="883">
      <c r="C883" s="79"/>
      <c r="D883" s="79"/>
      <c r="E883" s="79"/>
      <c r="O883" s="79"/>
      <c r="R883" s="79"/>
      <c r="T883" s="79"/>
      <c r="U883" s="79"/>
      <c r="Y883" s="79"/>
      <c r="AC883" s="130"/>
      <c r="AE883" s="106"/>
    </row>
    <row r="884">
      <c r="C884" s="79"/>
      <c r="D884" s="79"/>
      <c r="E884" s="79"/>
      <c r="O884" s="79"/>
      <c r="R884" s="79"/>
      <c r="T884" s="79"/>
      <c r="U884" s="79"/>
      <c r="Y884" s="79"/>
      <c r="AC884" s="130"/>
      <c r="AE884" s="106"/>
    </row>
    <row r="885">
      <c r="C885" s="79"/>
      <c r="D885" s="79"/>
      <c r="E885" s="79"/>
      <c r="O885" s="79"/>
      <c r="R885" s="79"/>
      <c r="T885" s="79"/>
      <c r="U885" s="79"/>
      <c r="Y885" s="79"/>
      <c r="AC885" s="130"/>
      <c r="AE885" s="106"/>
    </row>
    <row r="886">
      <c r="C886" s="79"/>
      <c r="D886" s="79"/>
      <c r="E886" s="79"/>
      <c r="O886" s="79"/>
      <c r="R886" s="79"/>
      <c r="T886" s="79"/>
      <c r="U886" s="79"/>
      <c r="Y886" s="79"/>
      <c r="AC886" s="130"/>
      <c r="AE886" s="106"/>
    </row>
    <row r="887">
      <c r="C887" s="79"/>
      <c r="D887" s="79"/>
      <c r="E887" s="79"/>
      <c r="O887" s="79"/>
      <c r="R887" s="79"/>
      <c r="T887" s="79"/>
      <c r="U887" s="79"/>
      <c r="Y887" s="79"/>
      <c r="AC887" s="130"/>
      <c r="AE887" s="106"/>
    </row>
    <row r="888">
      <c r="C888" s="79"/>
      <c r="D888" s="79"/>
      <c r="E888" s="79"/>
      <c r="O888" s="79"/>
      <c r="R888" s="79"/>
      <c r="T888" s="79"/>
      <c r="U888" s="79"/>
      <c r="Y888" s="79"/>
      <c r="AC888" s="130"/>
      <c r="AE888" s="106"/>
    </row>
    <row r="889">
      <c r="C889" s="79"/>
      <c r="D889" s="79"/>
      <c r="E889" s="79"/>
      <c r="O889" s="79"/>
      <c r="R889" s="79"/>
      <c r="T889" s="79"/>
      <c r="U889" s="79"/>
      <c r="Y889" s="79"/>
      <c r="AC889" s="130"/>
      <c r="AE889" s="106"/>
    </row>
    <row r="890">
      <c r="C890" s="79"/>
      <c r="D890" s="79"/>
      <c r="E890" s="79"/>
      <c r="O890" s="79"/>
      <c r="R890" s="79"/>
      <c r="T890" s="79"/>
      <c r="U890" s="79"/>
      <c r="Y890" s="79"/>
      <c r="AC890" s="130"/>
      <c r="AE890" s="106"/>
    </row>
    <row r="891">
      <c r="C891" s="79"/>
      <c r="D891" s="79"/>
      <c r="E891" s="79"/>
      <c r="O891" s="79"/>
      <c r="R891" s="79"/>
      <c r="T891" s="79"/>
      <c r="U891" s="79"/>
      <c r="Y891" s="79"/>
      <c r="AC891" s="130"/>
      <c r="AE891" s="106"/>
    </row>
    <row r="892">
      <c r="C892" s="79"/>
      <c r="D892" s="79"/>
      <c r="E892" s="79"/>
      <c r="O892" s="79"/>
      <c r="R892" s="79"/>
      <c r="T892" s="79"/>
      <c r="U892" s="79"/>
      <c r="Y892" s="79"/>
      <c r="AC892" s="130"/>
      <c r="AE892" s="106"/>
    </row>
    <row r="893">
      <c r="C893" s="79"/>
      <c r="D893" s="79"/>
      <c r="E893" s="79"/>
      <c r="O893" s="79"/>
      <c r="R893" s="79"/>
      <c r="T893" s="79"/>
      <c r="U893" s="79"/>
      <c r="Y893" s="79"/>
      <c r="AC893" s="130"/>
      <c r="AE893" s="106"/>
    </row>
    <row r="894">
      <c r="C894" s="79"/>
      <c r="D894" s="79"/>
      <c r="E894" s="79"/>
      <c r="O894" s="79"/>
      <c r="R894" s="79"/>
      <c r="T894" s="79"/>
      <c r="U894" s="79"/>
      <c r="Y894" s="79"/>
      <c r="AC894" s="130"/>
      <c r="AE894" s="106"/>
    </row>
    <row r="895">
      <c r="C895" s="79"/>
      <c r="D895" s="79"/>
      <c r="E895" s="79"/>
      <c r="O895" s="79"/>
      <c r="R895" s="79"/>
      <c r="T895" s="79"/>
      <c r="U895" s="79"/>
      <c r="Y895" s="79"/>
      <c r="AC895" s="130"/>
      <c r="AE895" s="106"/>
    </row>
    <row r="896">
      <c r="C896" s="79"/>
      <c r="D896" s="79"/>
      <c r="E896" s="79"/>
      <c r="O896" s="79"/>
      <c r="R896" s="79"/>
      <c r="T896" s="79"/>
      <c r="U896" s="79"/>
      <c r="Y896" s="79"/>
      <c r="AC896" s="130"/>
      <c r="AE896" s="106"/>
    </row>
    <row r="897">
      <c r="C897" s="79"/>
      <c r="D897" s="79"/>
      <c r="E897" s="79"/>
      <c r="O897" s="79"/>
      <c r="R897" s="79"/>
      <c r="T897" s="79"/>
      <c r="U897" s="79"/>
      <c r="Y897" s="79"/>
      <c r="AC897" s="130"/>
      <c r="AE897" s="106"/>
    </row>
    <row r="898">
      <c r="C898" s="79"/>
      <c r="D898" s="79"/>
      <c r="E898" s="79"/>
      <c r="O898" s="79"/>
      <c r="R898" s="79"/>
      <c r="T898" s="79"/>
      <c r="U898" s="79"/>
      <c r="Y898" s="79"/>
      <c r="AC898" s="130"/>
      <c r="AE898" s="106"/>
    </row>
    <row r="899">
      <c r="C899" s="79"/>
      <c r="D899" s="79"/>
      <c r="E899" s="79"/>
      <c r="O899" s="79"/>
      <c r="R899" s="79"/>
      <c r="T899" s="79"/>
      <c r="U899" s="79"/>
      <c r="Y899" s="79"/>
      <c r="AC899" s="130"/>
      <c r="AE899" s="106"/>
    </row>
    <row r="900">
      <c r="C900" s="79"/>
      <c r="D900" s="79"/>
      <c r="E900" s="79"/>
      <c r="O900" s="79"/>
      <c r="R900" s="79"/>
      <c r="T900" s="79"/>
      <c r="U900" s="79"/>
      <c r="Y900" s="79"/>
      <c r="AC900" s="130"/>
      <c r="AE900" s="106"/>
    </row>
    <row r="901">
      <c r="C901" s="79"/>
      <c r="D901" s="79"/>
      <c r="E901" s="79"/>
      <c r="O901" s="79"/>
      <c r="R901" s="79"/>
      <c r="T901" s="79"/>
      <c r="U901" s="79"/>
      <c r="Y901" s="79"/>
      <c r="AC901" s="130"/>
      <c r="AE901" s="106"/>
    </row>
    <row r="902">
      <c r="C902" s="79"/>
      <c r="D902" s="79"/>
      <c r="E902" s="79"/>
      <c r="O902" s="79"/>
      <c r="R902" s="79"/>
      <c r="T902" s="79"/>
      <c r="U902" s="79"/>
      <c r="Y902" s="79"/>
      <c r="AC902" s="130"/>
      <c r="AE902" s="106"/>
    </row>
    <row r="903">
      <c r="C903" s="79"/>
      <c r="D903" s="79"/>
      <c r="E903" s="79"/>
      <c r="O903" s="79"/>
      <c r="R903" s="79"/>
      <c r="T903" s="79"/>
      <c r="U903" s="79"/>
      <c r="Y903" s="79"/>
      <c r="AC903" s="130"/>
      <c r="AE903" s="106"/>
    </row>
    <row r="904">
      <c r="C904" s="79"/>
      <c r="D904" s="79"/>
      <c r="E904" s="79"/>
      <c r="O904" s="79"/>
      <c r="R904" s="79"/>
      <c r="T904" s="79"/>
      <c r="U904" s="79"/>
      <c r="Y904" s="79"/>
      <c r="AC904" s="130"/>
      <c r="AE904" s="106"/>
    </row>
    <row r="905">
      <c r="C905" s="79"/>
      <c r="D905" s="79"/>
      <c r="E905" s="79"/>
      <c r="O905" s="79"/>
      <c r="R905" s="79"/>
      <c r="T905" s="79"/>
      <c r="U905" s="79"/>
      <c r="Y905" s="79"/>
      <c r="AC905" s="130"/>
      <c r="AE905" s="106"/>
    </row>
    <row r="906">
      <c r="C906" s="79"/>
      <c r="D906" s="79"/>
      <c r="E906" s="79"/>
      <c r="O906" s="79"/>
      <c r="R906" s="79"/>
      <c r="T906" s="79"/>
      <c r="U906" s="79"/>
      <c r="Y906" s="79"/>
      <c r="AC906" s="130"/>
      <c r="AE906" s="106"/>
    </row>
    <row r="907">
      <c r="C907" s="79"/>
      <c r="D907" s="79"/>
      <c r="E907" s="79"/>
      <c r="O907" s="79"/>
      <c r="R907" s="79"/>
      <c r="T907" s="79"/>
      <c r="U907" s="79"/>
      <c r="Y907" s="79"/>
      <c r="AC907" s="130"/>
      <c r="AE907" s="106"/>
    </row>
    <row r="908">
      <c r="C908" s="79"/>
      <c r="D908" s="79"/>
      <c r="E908" s="79"/>
      <c r="O908" s="79"/>
      <c r="R908" s="79"/>
      <c r="T908" s="79"/>
      <c r="U908" s="79"/>
      <c r="Y908" s="79"/>
      <c r="AC908" s="130"/>
      <c r="AE908" s="106"/>
    </row>
    <row r="909">
      <c r="C909" s="79"/>
      <c r="D909" s="79"/>
      <c r="E909" s="79"/>
      <c r="O909" s="79"/>
      <c r="R909" s="79"/>
      <c r="T909" s="79"/>
      <c r="U909" s="79"/>
      <c r="Y909" s="79"/>
      <c r="AC909" s="130"/>
      <c r="AE909" s="106"/>
    </row>
    <row r="910">
      <c r="C910" s="79"/>
      <c r="D910" s="79"/>
      <c r="E910" s="79"/>
      <c r="O910" s="79"/>
      <c r="R910" s="79"/>
      <c r="T910" s="79"/>
      <c r="U910" s="79"/>
      <c r="Y910" s="79"/>
      <c r="AC910" s="130"/>
      <c r="AE910" s="106"/>
    </row>
    <row r="911">
      <c r="C911" s="79"/>
      <c r="D911" s="79"/>
      <c r="E911" s="79"/>
      <c r="O911" s="79"/>
      <c r="R911" s="79"/>
      <c r="T911" s="79"/>
      <c r="U911" s="79"/>
      <c r="Y911" s="79"/>
      <c r="AC911" s="130"/>
      <c r="AE911" s="106"/>
    </row>
    <row r="912">
      <c r="C912" s="79"/>
      <c r="D912" s="79"/>
      <c r="E912" s="79"/>
      <c r="O912" s="79"/>
      <c r="R912" s="79"/>
      <c r="T912" s="79"/>
      <c r="U912" s="79"/>
      <c r="Y912" s="79"/>
      <c r="AC912" s="130"/>
      <c r="AE912" s="106"/>
    </row>
    <row r="913">
      <c r="C913" s="79"/>
      <c r="D913" s="79"/>
      <c r="E913" s="79"/>
      <c r="O913" s="79"/>
      <c r="R913" s="79"/>
      <c r="T913" s="79"/>
      <c r="U913" s="79"/>
      <c r="Y913" s="79"/>
      <c r="AC913" s="130"/>
      <c r="AE913" s="106"/>
    </row>
    <row r="914">
      <c r="C914" s="79"/>
      <c r="D914" s="79"/>
      <c r="E914" s="79"/>
      <c r="O914" s="79"/>
      <c r="R914" s="79"/>
      <c r="T914" s="79"/>
      <c r="U914" s="79"/>
      <c r="Y914" s="79"/>
      <c r="AC914" s="130"/>
      <c r="AE914" s="106"/>
    </row>
    <row r="915">
      <c r="C915" s="79"/>
      <c r="D915" s="79"/>
      <c r="E915" s="79"/>
      <c r="O915" s="79"/>
      <c r="R915" s="79"/>
      <c r="T915" s="79"/>
      <c r="U915" s="79"/>
      <c r="Y915" s="79"/>
      <c r="AC915" s="130"/>
      <c r="AE915" s="106"/>
    </row>
    <row r="916">
      <c r="C916" s="79"/>
      <c r="D916" s="79"/>
      <c r="E916" s="79"/>
      <c r="O916" s="79"/>
      <c r="R916" s="79"/>
      <c r="T916" s="79"/>
      <c r="U916" s="79"/>
      <c r="Y916" s="79"/>
      <c r="AC916" s="130"/>
      <c r="AE916" s="106"/>
    </row>
    <row r="917">
      <c r="C917" s="79"/>
      <c r="D917" s="79"/>
      <c r="E917" s="79"/>
      <c r="O917" s="79"/>
      <c r="R917" s="79"/>
      <c r="T917" s="79"/>
      <c r="U917" s="79"/>
      <c r="Y917" s="79"/>
      <c r="AC917" s="130"/>
      <c r="AE917" s="106"/>
    </row>
    <row r="918">
      <c r="C918" s="79"/>
      <c r="D918" s="79"/>
      <c r="E918" s="79"/>
      <c r="O918" s="79"/>
      <c r="R918" s="79"/>
      <c r="T918" s="79"/>
      <c r="U918" s="79"/>
      <c r="Y918" s="79"/>
      <c r="AC918" s="130"/>
      <c r="AE918" s="106"/>
    </row>
    <row r="919">
      <c r="C919" s="79"/>
      <c r="D919" s="79"/>
      <c r="E919" s="79"/>
      <c r="O919" s="79"/>
      <c r="R919" s="79"/>
      <c r="T919" s="79"/>
      <c r="U919" s="79"/>
      <c r="Y919" s="79"/>
      <c r="AC919" s="130"/>
      <c r="AE919" s="106"/>
    </row>
    <row r="920">
      <c r="C920" s="79"/>
      <c r="D920" s="79"/>
      <c r="E920" s="79"/>
      <c r="O920" s="79"/>
      <c r="R920" s="79"/>
      <c r="T920" s="79"/>
      <c r="U920" s="79"/>
      <c r="Y920" s="79"/>
      <c r="AC920" s="130"/>
      <c r="AE920" s="106"/>
    </row>
    <row r="921">
      <c r="C921" s="79"/>
      <c r="D921" s="79"/>
      <c r="E921" s="79"/>
      <c r="O921" s="79"/>
      <c r="R921" s="79"/>
      <c r="T921" s="79"/>
      <c r="U921" s="79"/>
      <c r="Y921" s="79"/>
      <c r="AC921" s="130"/>
      <c r="AE921" s="106"/>
    </row>
    <row r="922">
      <c r="C922" s="79"/>
      <c r="D922" s="79"/>
      <c r="E922" s="79"/>
      <c r="O922" s="79"/>
      <c r="R922" s="79"/>
      <c r="T922" s="79"/>
      <c r="U922" s="79"/>
      <c r="Y922" s="79"/>
      <c r="AC922" s="130"/>
      <c r="AE922" s="106"/>
    </row>
    <row r="923">
      <c r="C923" s="79"/>
      <c r="D923" s="79"/>
      <c r="E923" s="79"/>
      <c r="O923" s="79"/>
      <c r="R923" s="79"/>
      <c r="T923" s="79"/>
      <c r="U923" s="79"/>
      <c r="Y923" s="79"/>
      <c r="AC923" s="130"/>
      <c r="AE923" s="106"/>
    </row>
    <row r="924">
      <c r="C924" s="79"/>
      <c r="D924" s="79"/>
      <c r="E924" s="79"/>
      <c r="O924" s="79"/>
      <c r="R924" s="79"/>
      <c r="T924" s="79"/>
      <c r="U924" s="79"/>
      <c r="Y924" s="79"/>
      <c r="AC924" s="130"/>
      <c r="AE924" s="106"/>
    </row>
    <row r="925">
      <c r="C925" s="79"/>
      <c r="D925" s="79"/>
      <c r="E925" s="79"/>
      <c r="O925" s="79"/>
      <c r="R925" s="79"/>
      <c r="T925" s="79"/>
      <c r="U925" s="79"/>
      <c r="Y925" s="79"/>
      <c r="AC925" s="130"/>
      <c r="AE925" s="106"/>
    </row>
    <row r="926">
      <c r="C926" s="79"/>
      <c r="D926" s="79"/>
      <c r="E926" s="79"/>
      <c r="O926" s="79"/>
      <c r="R926" s="79"/>
      <c r="T926" s="79"/>
      <c r="U926" s="79"/>
      <c r="Y926" s="79"/>
      <c r="AC926" s="130"/>
      <c r="AE926" s="106"/>
    </row>
  </sheetData>
  <mergeCells count="1">
    <mergeCell ref="B38:E38"/>
  </mergeCells>
  <drawing r:id="rId2"/>
  <legacyDrawing r:id="rId3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6.5"/>
    <col customWidth="1" min="3" max="3" width="14.88"/>
    <col customWidth="1" min="5" max="5" width="15.63"/>
    <col customWidth="1" min="7" max="7" width="13.5"/>
    <col customWidth="1" min="8" max="8" width="13.25"/>
    <col customWidth="1" min="18" max="18" width="27.38"/>
    <col customWidth="1" min="26" max="26" width="14.63"/>
    <col customWidth="1" min="31" max="31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4</v>
      </c>
      <c r="J1" s="2" t="s">
        <v>5</v>
      </c>
      <c r="K1" s="2" t="s">
        <v>303</v>
      </c>
      <c r="L1" s="2" t="s">
        <v>6</v>
      </c>
      <c r="M1" s="2" t="s">
        <v>12</v>
      </c>
      <c r="N1" s="2" t="s">
        <v>49</v>
      </c>
      <c r="O1" s="2" t="s">
        <v>42</v>
      </c>
      <c r="P1" s="105" t="s">
        <v>11</v>
      </c>
      <c r="Q1" s="105" t="s">
        <v>9</v>
      </c>
      <c r="R1" s="105" t="s">
        <v>304</v>
      </c>
      <c r="S1" s="2" t="s">
        <v>37</v>
      </c>
      <c r="T1" s="2" t="s">
        <v>10</v>
      </c>
      <c r="U1" s="2" t="s">
        <v>164</v>
      </c>
      <c r="V1" s="105" t="s">
        <v>40</v>
      </c>
      <c r="W1" s="2" t="s">
        <v>121</v>
      </c>
      <c r="X1" s="2" t="s">
        <v>204</v>
      </c>
      <c r="Y1" s="105" t="s">
        <v>205</v>
      </c>
      <c r="Z1" s="2" t="s">
        <v>206</v>
      </c>
      <c r="AA1" s="2" t="s">
        <v>305</v>
      </c>
      <c r="AB1" s="3" t="s">
        <v>13</v>
      </c>
      <c r="AC1" s="3" t="s">
        <v>14</v>
      </c>
      <c r="AD1" s="3" t="s">
        <v>15</v>
      </c>
      <c r="AE1" s="106"/>
      <c r="AF1" s="265" t="s">
        <v>306</v>
      </c>
      <c r="AG1" s="266" t="s">
        <v>80</v>
      </c>
    </row>
    <row r="2">
      <c r="A2" s="74">
        <v>45425.0</v>
      </c>
      <c r="B2" s="93">
        <f>1130.2-15.34-28.4-21.81-46.86-59.41-17.55-104.96+584.9</f>
        <v>1420.77</v>
      </c>
      <c r="C2" s="93"/>
      <c r="D2" s="193"/>
      <c r="E2" s="93"/>
      <c r="F2" s="93"/>
      <c r="G2" s="93">
        <v>180.0</v>
      </c>
      <c r="H2" s="93"/>
      <c r="I2" s="93">
        <v>359.1</v>
      </c>
      <c r="J2" s="93"/>
      <c r="K2" s="93"/>
      <c r="L2" s="93"/>
      <c r="M2" s="93"/>
      <c r="N2" s="93">
        <f>768-144-156-150</f>
        <v>318</v>
      </c>
      <c r="O2" s="93"/>
      <c r="P2" s="93">
        <v>57.05</v>
      </c>
      <c r="Q2" s="93"/>
      <c r="R2" s="93"/>
      <c r="S2" s="72"/>
      <c r="T2" s="93"/>
      <c r="U2" s="93"/>
      <c r="V2" s="93"/>
      <c r="W2" s="93"/>
      <c r="X2" s="93"/>
      <c r="Y2" s="93"/>
      <c r="Z2" s="93"/>
      <c r="AA2" s="171"/>
      <c r="AB2" s="107">
        <f t="shared" ref="AB2:AB8" si="1">SUM(B2:Z2)</f>
        <v>2334.92</v>
      </c>
      <c r="AC2" s="158">
        <v>3901.0</v>
      </c>
      <c r="AD2" s="59">
        <f t="shared" ref="AD2:AD8" si="2">AB2/AC2</f>
        <v>0.5985439631</v>
      </c>
      <c r="AE2" s="109">
        <f t="shared" ref="AE2:AE8" si="3">A2</f>
        <v>45425</v>
      </c>
      <c r="AF2" s="267">
        <f>3901</f>
        <v>3901</v>
      </c>
      <c r="AG2" s="268">
        <f t="shared" ref="AG2:AG8" si="4">AC2-AF2</f>
        <v>0</v>
      </c>
    </row>
    <row r="3">
      <c r="A3" s="74">
        <f t="shared" ref="A3:A8" si="5">A2+1</f>
        <v>45426</v>
      </c>
      <c r="B3" s="93">
        <f>1419.09-100.9-90.98-76.42-38.58-346.68-7.05-11.97-8.17-27.83-34.31</f>
        <v>676.2</v>
      </c>
      <c r="C3" s="166"/>
      <c r="D3" s="93">
        <f>289.4-218.4-42</f>
        <v>29</v>
      </c>
      <c r="E3" s="250">
        <v>35.5</v>
      </c>
      <c r="F3" s="93"/>
      <c r="G3" s="93"/>
      <c r="H3" s="93"/>
      <c r="I3" s="93"/>
      <c r="J3" s="93">
        <f>858.3-167.5</f>
        <v>690.8</v>
      </c>
      <c r="K3" s="93"/>
      <c r="L3" s="93"/>
      <c r="M3" s="93"/>
      <c r="N3" s="93"/>
      <c r="O3" s="93"/>
      <c r="P3" s="93"/>
      <c r="Q3" s="5"/>
      <c r="R3" s="5"/>
      <c r="S3" s="93"/>
      <c r="T3" s="93">
        <v>229.85</v>
      </c>
      <c r="U3" s="93"/>
      <c r="V3" s="93"/>
      <c r="W3" s="93"/>
      <c r="X3" s="93"/>
      <c r="Y3" s="93"/>
      <c r="Z3" s="93"/>
      <c r="AA3" s="171"/>
      <c r="AB3" s="107">
        <f t="shared" si="1"/>
        <v>1661.35</v>
      </c>
      <c r="AC3" s="158">
        <v>3953.0</v>
      </c>
      <c r="AD3" s="59">
        <f t="shared" si="2"/>
        <v>0.4202757399</v>
      </c>
      <c r="AE3" s="109">
        <f t="shared" si="3"/>
        <v>45426</v>
      </c>
      <c r="AF3" s="267">
        <v>3953.0</v>
      </c>
      <c r="AG3" s="268">
        <f t="shared" si="4"/>
        <v>0</v>
      </c>
    </row>
    <row r="4">
      <c r="A4" s="74">
        <f t="shared" si="5"/>
        <v>45427</v>
      </c>
      <c r="B4" s="93">
        <f>1437.33-718.58-65.91-23.11-46.56-52.31-29.62</f>
        <v>501.24</v>
      </c>
      <c r="C4" s="93">
        <v>446.8</v>
      </c>
      <c r="D4" s="93">
        <f>818.21-772.44</f>
        <v>45.77</v>
      </c>
      <c r="E4" s="93"/>
      <c r="F4" s="93"/>
      <c r="G4" s="93">
        <v>180.0</v>
      </c>
      <c r="H4" s="93"/>
      <c r="I4" s="93"/>
      <c r="J4" s="93"/>
      <c r="K4" s="93"/>
      <c r="L4" s="93">
        <v>42.0</v>
      </c>
      <c r="M4" s="93"/>
      <c r="N4" s="93"/>
      <c r="O4" s="93"/>
      <c r="P4" s="93">
        <v>57.05</v>
      </c>
      <c r="Q4" s="5"/>
      <c r="R4" s="250">
        <v>56.0</v>
      </c>
      <c r="S4" s="160"/>
      <c r="T4" s="93"/>
      <c r="U4" s="93"/>
      <c r="V4" s="93"/>
      <c r="W4" s="93"/>
      <c r="X4" s="93"/>
      <c r="Y4" s="93"/>
      <c r="Z4" s="101"/>
      <c r="AA4" s="171"/>
      <c r="AB4" s="107">
        <f t="shared" si="1"/>
        <v>1328.86</v>
      </c>
      <c r="AC4" s="97">
        <f>664+3643</f>
        <v>4307</v>
      </c>
      <c r="AD4" s="59">
        <f t="shared" si="2"/>
        <v>0.3085349431</v>
      </c>
      <c r="AE4" s="109">
        <f t="shared" si="3"/>
        <v>45427</v>
      </c>
      <c r="AF4" s="267">
        <v>4307.0</v>
      </c>
      <c r="AG4" s="268">
        <f t="shared" si="4"/>
        <v>0</v>
      </c>
    </row>
    <row r="5">
      <c r="A5" s="74">
        <f t="shared" si="5"/>
        <v>45428</v>
      </c>
      <c r="B5" s="93">
        <f>1005.67-26.47-233.21-54.23-26.3</f>
        <v>665.46</v>
      </c>
      <c r="C5" s="93"/>
      <c r="D5" s="93"/>
      <c r="E5" s="93"/>
      <c r="F5" s="93"/>
      <c r="G5" s="93"/>
      <c r="H5" s="160"/>
      <c r="I5" s="93"/>
      <c r="J5" s="93">
        <f>1038.4-190-167.5-198</f>
        <v>482.9</v>
      </c>
      <c r="K5" s="93"/>
      <c r="L5" s="93"/>
      <c r="M5" s="93"/>
      <c r="N5" s="93"/>
      <c r="O5" s="93"/>
      <c r="P5" s="101"/>
      <c r="Q5" s="5"/>
      <c r="R5" s="5"/>
      <c r="S5" s="93"/>
      <c r="T5" s="93"/>
      <c r="U5" s="93"/>
      <c r="V5" s="93"/>
      <c r="W5" s="93"/>
      <c r="X5" s="93"/>
      <c r="Y5" s="101"/>
      <c r="Z5" s="101"/>
      <c r="AA5" s="270"/>
      <c r="AB5" s="7">
        <f t="shared" si="1"/>
        <v>1148.36</v>
      </c>
      <c r="AC5" s="97">
        <v>6170</v>
      </c>
      <c r="AD5" s="59">
        <f t="shared" si="2"/>
        <v>0.1861199352</v>
      </c>
      <c r="AE5" s="109">
        <f t="shared" si="3"/>
        <v>45428</v>
      </c>
      <c r="AF5" s="267">
        <f>6614+950</f>
        <v>7564</v>
      </c>
      <c r="AG5" s="268">
        <f t="shared" si="4"/>
        <v>-1394</v>
      </c>
    </row>
    <row r="6">
      <c r="A6" s="74">
        <f t="shared" si="5"/>
        <v>45429</v>
      </c>
      <c r="B6" s="93">
        <f>1651.48-18.97-26.05-99.08-140.52-89.1-157.44-69.68-35.27</f>
        <v>1015.37</v>
      </c>
      <c r="C6" s="93"/>
      <c r="D6" s="93"/>
      <c r="E6" s="250">
        <v>35.5</v>
      </c>
      <c r="F6" s="93"/>
      <c r="G6" s="93"/>
      <c r="H6" s="160"/>
      <c r="I6" s="93">
        <v>513.51</v>
      </c>
      <c r="J6" s="93"/>
      <c r="K6" s="93"/>
      <c r="L6" s="93"/>
      <c r="M6" s="93"/>
      <c r="N6" s="93"/>
      <c r="O6" s="93"/>
      <c r="P6" s="93">
        <v>57.05</v>
      </c>
      <c r="Q6" s="93"/>
      <c r="R6" s="250">
        <v>208.0</v>
      </c>
      <c r="S6" s="93"/>
      <c r="T6" s="93"/>
      <c r="U6" s="93"/>
      <c r="V6" s="93"/>
      <c r="W6" s="93"/>
      <c r="X6" s="93"/>
      <c r="Y6" s="93"/>
      <c r="Z6" s="93"/>
      <c r="AA6" s="270"/>
      <c r="AB6" s="7">
        <f t="shared" si="1"/>
        <v>1829.43</v>
      </c>
      <c r="AC6" s="97">
        <v>12626</v>
      </c>
      <c r="AD6" s="59">
        <f t="shared" si="2"/>
        <v>0.1448938698</v>
      </c>
      <c r="AE6" s="109">
        <f t="shared" si="3"/>
        <v>45429</v>
      </c>
      <c r="AF6" s="267">
        <v>12626.0</v>
      </c>
      <c r="AG6" s="268">
        <f t="shared" si="4"/>
        <v>0</v>
      </c>
    </row>
    <row r="7">
      <c r="A7" s="74">
        <f t="shared" si="5"/>
        <v>45430</v>
      </c>
      <c r="B7" s="250">
        <v>500.42</v>
      </c>
      <c r="C7" s="93">
        <f>836.47-16-24.4</f>
        <v>796.07</v>
      </c>
      <c r="D7" s="93">
        <f>386.09-41.8</f>
        <v>344.29</v>
      </c>
      <c r="E7" s="93"/>
      <c r="F7" s="93"/>
      <c r="G7" s="93">
        <v>180.0</v>
      </c>
      <c r="H7" s="79"/>
      <c r="I7" s="93"/>
      <c r="J7" s="93"/>
      <c r="K7" s="93"/>
      <c r="L7" s="93"/>
      <c r="M7" s="93"/>
      <c r="N7" s="93">
        <v>199.95</v>
      </c>
      <c r="O7" s="93"/>
      <c r="P7" s="101"/>
      <c r="Q7" s="93"/>
      <c r="R7" s="93"/>
      <c r="S7" s="101"/>
      <c r="T7" s="93"/>
      <c r="U7" s="93"/>
      <c r="V7" s="93"/>
      <c r="W7" s="93"/>
      <c r="X7" s="93"/>
      <c r="Y7" s="101"/>
      <c r="Z7" s="93"/>
      <c r="AA7" s="270"/>
      <c r="AB7" s="7">
        <f t="shared" si="1"/>
        <v>2020.73</v>
      </c>
      <c r="AC7" s="97">
        <f>3186+15190.2</f>
        <v>18376.2</v>
      </c>
      <c r="AD7" s="59">
        <f t="shared" si="2"/>
        <v>0.1099645193</v>
      </c>
      <c r="AE7" s="109">
        <f t="shared" si="3"/>
        <v>45430</v>
      </c>
      <c r="AF7" s="267">
        <v>18376.2</v>
      </c>
      <c r="AG7" s="268">
        <f t="shared" si="4"/>
        <v>0</v>
      </c>
    </row>
    <row r="8">
      <c r="A8" s="74">
        <f t="shared" si="5"/>
        <v>45431</v>
      </c>
      <c r="B8" s="180">
        <f>235.39</f>
        <v>235.39</v>
      </c>
      <c r="C8" s="250">
        <v>300.0</v>
      </c>
      <c r="D8" s="250">
        <f>824.82+877.06+218.4+861.21</f>
        <v>2781.49</v>
      </c>
      <c r="E8" s="112"/>
      <c r="F8" s="180">
        <v>669.86</v>
      </c>
      <c r="G8" s="10"/>
      <c r="H8" s="180">
        <f>913.87+260.9</f>
        <v>1174.77</v>
      </c>
      <c r="I8" s="93"/>
      <c r="J8" s="180">
        <v>284.9</v>
      </c>
      <c r="K8" s="250">
        <v>522.0</v>
      </c>
      <c r="L8" s="10"/>
      <c r="M8" s="10"/>
      <c r="N8" s="10"/>
      <c r="O8" s="93"/>
      <c r="P8" s="10"/>
      <c r="Q8" s="10"/>
      <c r="R8" s="10"/>
      <c r="S8" s="287">
        <v>400.0</v>
      </c>
      <c r="T8" s="10"/>
      <c r="U8" s="180">
        <v>252.0</v>
      </c>
      <c r="V8" s="10"/>
      <c r="W8" s="10"/>
      <c r="X8" s="10"/>
      <c r="Y8" s="10"/>
      <c r="Z8" s="10"/>
      <c r="AA8" s="93"/>
      <c r="AB8" s="7">
        <f t="shared" si="1"/>
        <v>6620.41</v>
      </c>
      <c r="AC8" s="97">
        <v>17266.2</v>
      </c>
      <c r="AD8" s="59">
        <f t="shared" si="2"/>
        <v>0.3834317916</v>
      </c>
      <c r="AE8" s="109">
        <f t="shared" si="3"/>
        <v>45431</v>
      </c>
      <c r="AF8" s="269">
        <f>12185.2+966+4045</f>
        <v>17196.2</v>
      </c>
      <c r="AG8" s="268">
        <f t="shared" si="4"/>
        <v>70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AC9" s="129"/>
      <c r="AE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AC10" s="129"/>
      <c r="AE10" s="106"/>
    </row>
    <row r="11">
      <c r="A11" s="165" t="s">
        <v>194</v>
      </c>
      <c r="B11" s="93">
        <f>15.34+28.4+21.81+46.86+59.41+17.55+76.42+38.58+7.05+11.97+8.17+27.83+65.91+99.08+35.27+66.03+46.58</f>
        <v>672.26</v>
      </c>
      <c r="C11" s="93">
        <f>16+24.4</f>
        <v>40.4</v>
      </c>
      <c r="D11" s="93">
        <v>42.0</v>
      </c>
      <c r="E11" s="167"/>
      <c r="F11" s="168"/>
      <c r="G11" s="168"/>
      <c r="H11" s="166"/>
      <c r="I11" s="166"/>
      <c r="J11" s="93"/>
      <c r="K11" s="168"/>
      <c r="L11" s="93"/>
      <c r="M11" s="166"/>
      <c r="N11" s="166"/>
      <c r="O11" s="168"/>
      <c r="P11" s="168"/>
      <c r="Q11" s="1"/>
      <c r="R11" s="1"/>
      <c r="S11" s="1"/>
      <c r="T11" s="1"/>
      <c r="U11" s="1"/>
      <c r="V11" s="1"/>
      <c r="W11" s="1"/>
      <c r="X11" s="168"/>
      <c r="Y11" s="168"/>
      <c r="Z11" s="1"/>
      <c r="AA11" s="1"/>
      <c r="AB11" s="1"/>
      <c r="AC11" s="169"/>
      <c r="AD11" s="1"/>
      <c r="AE11" s="170"/>
    </row>
    <row r="12">
      <c r="A12" s="165" t="s">
        <v>195</v>
      </c>
      <c r="B12" s="93">
        <f>90.98+346.68+34.31+718.58+23.11+46.56+52.31+18.97+26.05+140.52+89.1+69.68+46.56+21.5+27.04+34+41.79+3.02+21.91</f>
        <v>1852.67</v>
      </c>
      <c r="C12" s="93"/>
      <c r="D12" s="93"/>
      <c r="E12" s="93"/>
      <c r="F12" s="93"/>
      <c r="G12" s="93"/>
      <c r="H12" s="93"/>
      <c r="I12" s="93"/>
      <c r="J12" s="93">
        <v>198.0</v>
      </c>
      <c r="K12" s="93"/>
      <c r="L12" s="93"/>
      <c r="M12" s="93"/>
      <c r="N12" s="166">
        <v>300.0</v>
      </c>
      <c r="O12" s="166"/>
      <c r="P12" s="168"/>
      <c r="Q12" s="168"/>
      <c r="R12" s="168"/>
      <c r="S12" s="1"/>
      <c r="T12" s="96"/>
      <c r="U12" s="1"/>
      <c r="V12" s="1"/>
      <c r="W12" s="1"/>
      <c r="X12" s="93"/>
      <c r="Y12" s="168"/>
      <c r="Z12" s="1"/>
      <c r="AA12" s="1"/>
      <c r="AB12" s="1"/>
      <c r="AC12" s="171"/>
      <c r="AD12" s="1"/>
      <c r="AE12" s="170"/>
    </row>
    <row r="13">
      <c r="A13" s="172" t="s">
        <v>348</v>
      </c>
      <c r="B13" s="93">
        <f>247.08+100.98+29.62</f>
        <v>377.68</v>
      </c>
      <c r="C13" s="93"/>
      <c r="D13" s="93">
        <v>289.4</v>
      </c>
      <c r="E13" s="93"/>
      <c r="F13" s="93"/>
      <c r="G13" s="93"/>
      <c r="H13" s="93">
        <f>618.81</f>
        <v>618.81</v>
      </c>
      <c r="I13" s="168"/>
      <c r="J13" s="93">
        <f>167.5</f>
        <v>167.5</v>
      </c>
      <c r="K13" s="168"/>
      <c r="L13" s="168"/>
      <c r="M13" s="168"/>
      <c r="N13" s="166">
        <v>150.0</v>
      </c>
      <c r="O13" s="168"/>
      <c r="P13" s="168"/>
      <c r="Q13" s="166"/>
      <c r="R13" s="168"/>
      <c r="S13" s="1"/>
      <c r="T13" s="96"/>
      <c r="U13" s="1"/>
      <c r="V13" s="1"/>
      <c r="W13" s="1"/>
      <c r="X13" s="168"/>
      <c r="Y13" s="168"/>
      <c r="Z13" s="1"/>
      <c r="AA13" s="1"/>
      <c r="AB13" s="1"/>
      <c r="AC13" s="174"/>
      <c r="AD13" s="1"/>
      <c r="AE13" s="170"/>
    </row>
    <row r="14">
      <c r="A14" s="172" t="s">
        <v>349</v>
      </c>
      <c r="B14" s="93">
        <f>26.47+54.23+26.3+93.13</f>
        <v>200.13</v>
      </c>
      <c r="C14" s="93"/>
      <c r="D14" s="93"/>
      <c r="E14" s="168"/>
      <c r="F14" s="166"/>
      <c r="G14" s="166"/>
      <c r="H14" s="168"/>
      <c r="I14" s="168"/>
      <c r="J14" s="93">
        <f>190+190+167.5</f>
        <v>547.5</v>
      </c>
      <c r="K14" s="168"/>
      <c r="L14" s="168"/>
      <c r="M14" s="168"/>
      <c r="N14" s="166"/>
      <c r="O14" s="168"/>
      <c r="P14" s="168"/>
      <c r="Q14" s="168"/>
      <c r="R14" s="168"/>
      <c r="S14" s="1"/>
      <c r="T14" s="96"/>
      <c r="U14" s="1"/>
      <c r="V14" s="1"/>
      <c r="W14" s="1"/>
      <c r="X14" s="168"/>
      <c r="Y14" s="168"/>
      <c r="Z14" s="1"/>
      <c r="AA14" s="1"/>
      <c r="AB14" s="1"/>
      <c r="AC14" s="174"/>
      <c r="AD14" s="1"/>
      <c r="AE14" s="170"/>
    </row>
    <row r="15">
      <c r="A15" s="165" t="s">
        <v>198</v>
      </c>
      <c r="B15" s="93">
        <f>104.96+233.21+ 157.44</f>
        <v>495.61</v>
      </c>
      <c r="C15" s="93"/>
      <c r="D15" s="93"/>
      <c r="E15" s="168"/>
      <c r="F15" s="166"/>
      <c r="G15" s="166"/>
      <c r="H15" s="168"/>
      <c r="I15" s="168"/>
      <c r="J15" s="168"/>
      <c r="K15" s="168"/>
      <c r="L15" s="168"/>
      <c r="M15" s="168"/>
      <c r="N15" s="166"/>
      <c r="O15" s="168"/>
      <c r="P15" s="168"/>
      <c r="Q15" s="168"/>
      <c r="R15" s="168"/>
      <c r="S15" s="1"/>
      <c r="T15" s="96"/>
      <c r="U15" s="1"/>
      <c r="V15" s="1"/>
      <c r="W15" s="1"/>
      <c r="X15" s="168"/>
      <c r="Y15" s="168"/>
      <c r="Z15" s="1"/>
      <c r="AA15" s="1"/>
      <c r="AB15" s="1"/>
      <c r="AC15" s="174"/>
      <c r="AD15" s="1"/>
      <c r="AE15" s="170"/>
    </row>
    <row r="16">
      <c r="A16" s="91"/>
      <c r="B16" s="92"/>
      <c r="C16" s="79"/>
      <c r="D16" s="79"/>
      <c r="E16" s="79"/>
      <c r="F16" s="78"/>
      <c r="G16" s="78"/>
      <c r="H16" s="78"/>
      <c r="I16" s="78"/>
      <c r="L16" s="79"/>
      <c r="M16" s="79"/>
      <c r="N16" s="79"/>
      <c r="O16" s="79"/>
      <c r="P16" s="79"/>
      <c r="Q16" s="79"/>
      <c r="R16" s="79"/>
      <c r="Y16" s="79"/>
      <c r="AC16" s="131"/>
      <c r="AE16" s="106"/>
    </row>
    <row r="17">
      <c r="A17" s="91"/>
      <c r="B17" s="92"/>
      <c r="C17" s="78"/>
      <c r="D17" s="78"/>
      <c r="E17" s="78"/>
      <c r="F17" s="198"/>
      <c r="G17" s="198"/>
      <c r="H17" s="204"/>
      <c r="I17" s="198"/>
      <c r="J17" s="201"/>
      <c r="K17" s="199"/>
      <c r="L17" s="199"/>
      <c r="M17" s="200"/>
      <c r="N17" s="202"/>
      <c r="O17" s="198"/>
      <c r="P17" s="79"/>
      <c r="Q17" s="198"/>
      <c r="R17" s="198"/>
      <c r="U17" s="198"/>
      <c r="V17" s="198"/>
      <c r="W17" s="198"/>
      <c r="X17" s="199"/>
      <c r="Y17" s="79"/>
      <c r="AC17" s="131"/>
      <c r="AE17" s="106"/>
    </row>
    <row r="18">
      <c r="A18" s="4" t="s">
        <v>22</v>
      </c>
      <c r="B18" s="11">
        <v>10000.0</v>
      </c>
      <c r="C18" s="79"/>
      <c r="D18" s="79"/>
      <c r="E18" s="78"/>
      <c r="F18" s="198"/>
      <c r="G18" s="213"/>
      <c r="H18" s="201"/>
      <c r="K18" s="201"/>
      <c r="L18" s="201"/>
      <c r="M18" s="198"/>
      <c r="N18" s="200"/>
      <c r="O18" s="203"/>
      <c r="P18" s="79"/>
      <c r="Q18" s="198"/>
      <c r="R18" s="198"/>
      <c r="S18" s="204"/>
      <c r="U18" s="198"/>
      <c r="V18" s="198"/>
      <c r="W18" s="198"/>
      <c r="X18" s="201"/>
      <c r="Y18" s="79"/>
      <c r="AC18" s="131"/>
      <c r="AE18" s="106"/>
    </row>
    <row r="19">
      <c r="A19" s="4" t="s">
        <v>23</v>
      </c>
      <c r="B19" s="12">
        <f>SUM(B2:Z8)</f>
        <v>16944.06</v>
      </c>
      <c r="C19" s="192"/>
      <c r="D19" s="177"/>
      <c r="E19" s="78"/>
      <c r="F19" s="213"/>
      <c r="G19" s="213"/>
      <c r="H19" s="151"/>
      <c r="K19" s="191"/>
      <c r="L19" s="201"/>
      <c r="M19" s="201"/>
      <c r="N19" s="201"/>
      <c r="O19" s="203"/>
      <c r="P19" s="79"/>
      <c r="Q19" s="198"/>
      <c r="R19" s="198"/>
      <c r="S19" s="204"/>
      <c r="U19" s="198"/>
      <c r="V19" s="198"/>
      <c r="W19" s="198"/>
      <c r="X19" s="191"/>
      <c r="Y19" s="79"/>
      <c r="AC19" s="131"/>
      <c r="AE19" s="106"/>
    </row>
    <row r="20">
      <c r="A20" s="4" t="s">
        <v>24</v>
      </c>
      <c r="B20" s="12">
        <f> SUM(B18-B19)</f>
        <v>-6944.06</v>
      </c>
      <c r="C20" s="79"/>
      <c r="D20" s="79"/>
      <c r="E20" s="78"/>
      <c r="F20" s="201"/>
      <c r="G20" s="201"/>
      <c r="H20" s="214"/>
      <c r="K20" s="203"/>
      <c r="L20" s="199"/>
      <c r="M20" s="203"/>
      <c r="N20" s="200"/>
      <c r="O20" s="203"/>
      <c r="P20" s="79"/>
      <c r="Q20" s="198"/>
      <c r="R20" s="198"/>
      <c r="S20" s="204"/>
      <c r="U20" s="198"/>
      <c r="V20" s="198"/>
      <c r="W20" s="198"/>
      <c r="X20" s="203"/>
      <c r="Y20" s="79"/>
      <c r="AC20" s="131"/>
      <c r="AE20" s="106"/>
    </row>
    <row r="21">
      <c r="C21" s="271" t="s">
        <v>308</v>
      </c>
      <c r="D21" s="79"/>
      <c r="E21" s="78"/>
      <c r="F21" s="213"/>
      <c r="G21" s="147"/>
      <c r="H21" s="214"/>
      <c r="I21" s="203"/>
      <c r="J21" s="203"/>
      <c r="K21" s="203"/>
      <c r="M21" s="201"/>
      <c r="N21" s="198"/>
      <c r="O21" s="203"/>
      <c r="P21" s="79"/>
      <c r="Q21" s="198"/>
      <c r="R21" s="198"/>
      <c r="S21" s="204"/>
      <c r="U21" s="206"/>
      <c r="V21" s="198"/>
      <c r="W21" s="198"/>
      <c r="X21" s="203"/>
      <c r="Y21" s="79"/>
      <c r="AC21" s="131"/>
      <c r="AE21" s="106"/>
    </row>
    <row r="22">
      <c r="A22" s="13" t="s">
        <v>25</v>
      </c>
      <c r="B22" s="14">
        <f>SUM(AC2:AC8)</f>
        <v>66599.4</v>
      </c>
      <c r="C22" s="272">
        <f>SUM(AF2:AF9)</f>
        <v>67923.4</v>
      </c>
      <c r="D22" s="79"/>
      <c r="E22" s="78"/>
      <c r="F22" s="201"/>
      <c r="G22" s="262"/>
      <c r="H22" s="262"/>
      <c r="I22" s="262"/>
      <c r="J22" s="78"/>
      <c r="K22" s="203"/>
      <c r="L22" s="203"/>
      <c r="M22" s="201"/>
      <c r="N22" s="198"/>
      <c r="O22" s="203"/>
      <c r="P22" s="79"/>
      <c r="Q22" s="198"/>
      <c r="R22" s="198"/>
      <c r="S22" s="204"/>
      <c r="U22" s="198"/>
      <c r="V22" s="198"/>
      <c r="W22" s="198"/>
      <c r="X22" s="203"/>
      <c r="Y22" s="79"/>
      <c r="AC22" s="181"/>
      <c r="AE22" s="106"/>
    </row>
    <row r="23">
      <c r="A23" s="13" t="s">
        <v>26</v>
      </c>
      <c r="B23" s="15">
        <f>B19/B22</f>
        <v>0.2544176074</v>
      </c>
      <c r="C23" s="273">
        <f>B19/C22</f>
        <v>0.2494583604</v>
      </c>
      <c r="D23" s="79"/>
      <c r="E23" s="78"/>
      <c r="F23" s="204"/>
      <c r="G23" s="78"/>
      <c r="H23" s="144"/>
      <c r="I23" s="78"/>
      <c r="J23" s="79"/>
      <c r="K23" s="203"/>
      <c r="L23" s="203"/>
      <c r="M23" s="201"/>
      <c r="N23" s="203"/>
      <c r="O23" s="203"/>
      <c r="P23" s="79"/>
      <c r="Q23" s="198"/>
      <c r="R23" s="198"/>
      <c r="S23" s="204"/>
      <c r="U23" s="198"/>
      <c r="V23" s="198"/>
      <c r="W23" s="198"/>
      <c r="X23" s="203"/>
      <c r="Y23" s="79"/>
      <c r="AC23" s="130"/>
      <c r="AE23" s="106"/>
    </row>
    <row r="24">
      <c r="C24" s="79"/>
      <c r="D24" s="79"/>
      <c r="E24" s="78"/>
      <c r="F24" s="204"/>
      <c r="G24" s="78"/>
      <c r="H24" s="78"/>
      <c r="I24" s="78"/>
      <c r="J24" s="78"/>
      <c r="K24" s="203"/>
      <c r="L24" s="203"/>
      <c r="M24" s="198"/>
      <c r="N24" s="201"/>
      <c r="O24" s="198"/>
      <c r="P24" s="79"/>
      <c r="Q24" s="198"/>
      <c r="R24" s="198"/>
      <c r="S24" s="204"/>
      <c r="U24" s="198"/>
      <c r="V24" s="198"/>
      <c r="W24" s="198"/>
      <c r="X24" s="203"/>
      <c r="Y24" s="79"/>
      <c r="AC24" s="182"/>
      <c r="AE24" s="106"/>
    </row>
    <row r="25">
      <c r="C25" s="79"/>
      <c r="D25" s="79"/>
      <c r="E25" s="79"/>
      <c r="F25" s="204"/>
      <c r="G25" s="78"/>
      <c r="H25" s="78"/>
      <c r="I25" s="78"/>
      <c r="J25" s="263"/>
      <c r="K25" s="203"/>
      <c r="L25" s="203"/>
      <c r="M25" s="198"/>
      <c r="N25" s="201"/>
      <c r="O25" s="198"/>
      <c r="P25" s="79"/>
      <c r="Q25" s="198"/>
      <c r="R25" s="198"/>
      <c r="S25" s="204"/>
      <c r="U25" s="198"/>
      <c r="V25" s="198"/>
      <c r="W25" s="198"/>
      <c r="X25" s="203"/>
      <c r="Y25" s="79"/>
      <c r="AC25" s="130"/>
      <c r="AE25" s="106"/>
    </row>
    <row r="26">
      <c r="A26" s="16" t="s">
        <v>27</v>
      </c>
      <c r="B26" s="17"/>
      <c r="C26" s="114"/>
      <c r="D26" s="114"/>
      <c r="E26" s="115"/>
      <c r="F26" s="204"/>
      <c r="G26" s="78"/>
      <c r="H26" s="78"/>
      <c r="I26" s="78"/>
      <c r="J26" s="79"/>
      <c r="K26" s="203"/>
      <c r="L26" s="217"/>
      <c r="M26" s="208"/>
      <c r="N26" s="198"/>
      <c r="O26" s="200"/>
      <c r="P26" s="79"/>
      <c r="Q26" s="198"/>
      <c r="R26" s="198"/>
      <c r="S26" s="204"/>
      <c r="U26" s="198"/>
      <c r="V26" s="198"/>
      <c r="W26" s="198"/>
      <c r="X26" s="203"/>
      <c r="Y26" s="79"/>
      <c r="AC26" s="130"/>
      <c r="AE26" s="106"/>
    </row>
    <row r="27">
      <c r="A27" s="19" t="s">
        <v>28</v>
      </c>
      <c r="B27" s="20"/>
      <c r="C27" s="116"/>
      <c r="D27" s="116"/>
      <c r="E27" s="117"/>
      <c r="F27" s="204"/>
      <c r="G27" s="78"/>
      <c r="H27" s="78"/>
      <c r="I27" s="79"/>
      <c r="J27" s="79"/>
      <c r="K27" s="203"/>
      <c r="L27" s="203"/>
      <c r="M27" s="209"/>
      <c r="N27" s="201"/>
      <c r="O27" s="198"/>
      <c r="P27" s="79"/>
      <c r="Q27" s="198"/>
      <c r="R27" s="198"/>
      <c r="S27" s="204"/>
      <c r="U27" s="198"/>
      <c r="V27" s="198"/>
      <c r="W27" s="198"/>
      <c r="X27" s="203"/>
      <c r="Y27" s="79"/>
      <c r="AC27" s="130"/>
      <c r="AE27" s="106"/>
    </row>
    <row r="28">
      <c r="A28" s="183" t="s">
        <v>29</v>
      </c>
      <c r="B28" s="184" t="s">
        <v>30</v>
      </c>
      <c r="C28" s="183"/>
      <c r="D28" s="183" t="s">
        <v>170</v>
      </c>
      <c r="E28" s="219" t="s">
        <v>171</v>
      </c>
      <c r="F28" s="204"/>
      <c r="G28" s="79"/>
      <c r="H28" s="79"/>
      <c r="I28" s="79"/>
      <c r="J28" s="79"/>
      <c r="K28" s="203"/>
      <c r="L28" s="201"/>
      <c r="M28" s="209"/>
      <c r="N28" s="198"/>
      <c r="O28" s="198"/>
      <c r="P28" s="79"/>
      <c r="Q28" s="198"/>
      <c r="R28" s="198"/>
      <c r="S28" s="204"/>
      <c r="U28" s="198"/>
      <c r="V28" s="198"/>
      <c r="W28" s="198"/>
      <c r="X28" s="203"/>
      <c r="Y28" s="79"/>
      <c r="AC28" s="130"/>
      <c r="AE28" s="106"/>
    </row>
    <row r="29">
      <c r="A29" s="173" t="s">
        <v>37</v>
      </c>
      <c r="B29" s="180">
        <v>400</v>
      </c>
      <c r="C29" s="241"/>
      <c r="D29" s="241"/>
      <c r="E29" s="173"/>
      <c r="P29" s="79"/>
      <c r="Q29" s="79"/>
      <c r="R29" s="79"/>
      <c r="Y29" s="79"/>
      <c r="AC29" s="130"/>
      <c r="AE29" s="106"/>
    </row>
    <row r="30">
      <c r="A30" s="221" t="s">
        <v>350</v>
      </c>
      <c r="B30" s="222">
        <v>772.44</v>
      </c>
      <c r="C30" s="223"/>
      <c r="D30" s="223"/>
      <c r="E30" s="221"/>
      <c r="P30" s="79"/>
      <c r="Q30" s="79"/>
      <c r="R30" s="79"/>
      <c r="Y30" s="79"/>
      <c r="AC30" s="130"/>
      <c r="AE30" s="106"/>
    </row>
    <row r="31">
      <c r="A31" s="196" t="s">
        <v>351</v>
      </c>
      <c r="B31" s="197">
        <v>669.86</v>
      </c>
      <c r="C31" s="220"/>
      <c r="D31" s="220"/>
      <c r="E31" s="196"/>
      <c r="P31" s="79"/>
      <c r="Q31" s="79"/>
      <c r="R31" s="79"/>
      <c r="Y31" s="79"/>
      <c r="AC31" s="130"/>
      <c r="AE31" s="106"/>
    </row>
    <row r="32">
      <c r="C32" s="79"/>
      <c r="D32" s="79"/>
      <c r="E32" s="79"/>
      <c r="P32" s="79"/>
      <c r="Q32" s="79"/>
      <c r="R32" s="79"/>
      <c r="Y32" s="79"/>
      <c r="AC32" s="130"/>
      <c r="AE32" s="106"/>
    </row>
    <row r="33">
      <c r="C33" s="79"/>
      <c r="D33" s="79"/>
      <c r="E33" s="79"/>
      <c r="P33" s="79"/>
      <c r="Q33" s="79"/>
      <c r="R33" s="79"/>
      <c r="Y33" s="79"/>
      <c r="AC33" s="130"/>
      <c r="AE33" s="106"/>
    </row>
    <row r="34">
      <c r="A34" s="274"/>
      <c r="B34" s="275" t="s">
        <v>315</v>
      </c>
      <c r="F34" s="274"/>
      <c r="G34" s="274"/>
      <c r="H34" s="274"/>
      <c r="I34" s="274"/>
      <c r="J34" s="274"/>
      <c r="K34" s="274"/>
      <c r="L34" s="274"/>
      <c r="M34" s="274"/>
      <c r="N34" s="274"/>
      <c r="O34" s="274"/>
      <c r="P34" s="274"/>
      <c r="Q34" s="274"/>
      <c r="R34" s="274"/>
      <c r="S34" s="274"/>
      <c r="T34" s="274"/>
      <c r="U34" s="274"/>
      <c r="V34" s="274"/>
      <c r="W34" s="274"/>
      <c r="X34" s="274"/>
      <c r="Y34" s="274"/>
      <c r="Z34" s="274"/>
      <c r="AA34" s="274"/>
      <c r="AB34" s="274"/>
      <c r="AC34" s="276"/>
      <c r="AD34" s="274"/>
      <c r="AE34" s="277"/>
      <c r="AF34" s="274"/>
      <c r="AG34" s="274"/>
      <c r="AH34" s="274"/>
    </row>
    <row r="35">
      <c r="A35" s="16" t="s">
        <v>316</v>
      </c>
      <c r="B35" s="17"/>
      <c r="C35" s="114"/>
      <c r="D35" s="114"/>
      <c r="E35" s="115"/>
      <c r="P35" s="79"/>
      <c r="Q35" s="79"/>
      <c r="R35" s="79"/>
      <c r="Y35" s="79"/>
      <c r="AC35" s="130"/>
      <c r="AE35" s="106"/>
    </row>
    <row r="36">
      <c r="A36" s="19" t="s">
        <v>317</v>
      </c>
      <c r="B36" s="20"/>
      <c r="C36" s="116"/>
      <c r="D36" s="116"/>
      <c r="E36" s="117"/>
      <c r="P36" s="79"/>
      <c r="Q36" s="79"/>
      <c r="R36" s="79"/>
      <c r="Y36" s="79"/>
      <c r="AC36" s="130"/>
      <c r="AE36" s="106"/>
    </row>
    <row r="37">
      <c r="A37" s="278" t="s">
        <v>318</v>
      </c>
      <c r="B37" s="279" t="s">
        <v>319</v>
      </c>
      <c r="C37" s="280" t="s">
        <v>285</v>
      </c>
      <c r="D37" s="280" t="s">
        <v>30</v>
      </c>
      <c r="E37" s="281" t="s">
        <v>320</v>
      </c>
      <c r="F37" s="281" t="s">
        <v>321</v>
      </c>
      <c r="P37" s="79"/>
      <c r="Q37" s="79"/>
      <c r="R37" s="79"/>
      <c r="Y37" s="79"/>
      <c r="AC37" s="130"/>
      <c r="AE37" s="106"/>
    </row>
    <row r="38">
      <c r="A38" s="282" t="s">
        <v>322</v>
      </c>
      <c r="B38" s="283">
        <v>45422.0</v>
      </c>
      <c r="C38" s="166" t="s">
        <v>323</v>
      </c>
      <c r="D38" s="93">
        <v>218.4</v>
      </c>
      <c r="E38" s="288">
        <v>45425.0</v>
      </c>
      <c r="F38" s="1"/>
      <c r="P38" s="79"/>
      <c r="Q38" s="79"/>
      <c r="R38" s="79"/>
      <c r="Y38" s="79"/>
      <c r="AC38" s="130"/>
      <c r="AE38" s="106"/>
    </row>
    <row r="39">
      <c r="A39" s="289" t="s">
        <v>324</v>
      </c>
      <c r="B39" s="290">
        <v>45399.0</v>
      </c>
      <c r="C39" s="173" t="s">
        <v>325</v>
      </c>
      <c r="D39" s="180">
        <v>824.82</v>
      </c>
      <c r="E39" s="288">
        <v>45425.0</v>
      </c>
      <c r="F39" s="241"/>
      <c r="P39" s="79"/>
      <c r="Q39" s="79"/>
      <c r="R39" s="79"/>
      <c r="Y39" s="79"/>
      <c r="AC39" s="130"/>
      <c r="AE39" s="106"/>
    </row>
    <row r="40">
      <c r="A40" s="289" t="s">
        <v>326</v>
      </c>
      <c r="B40" s="290">
        <v>45406.0</v>
      </c>
      <c r="C40" s="173" t="s">
        <v>325</v>
      </c>
      <c r="D40" s="180">
        <v>877.06</v>
      </c>
      <c r="E40" s="288">
        <v>45425.0</v>
      </c>
      <c r="F40" s="241"/>
      <c r="P40" s="79"/>
      <c r="Q40" s="79"/>
      <c r="R40" s="79"/>
      <c r="Y40" s="79"/>
      <c r="AC40" s="130"/>
      <c r="AE40" s="106"/>
    </row>
    <row r="41">
      <c r="A41" s="289" t="s">
        <v>327</v>
      </c>
      <c r="B41" s="290">
        <v>45413.0</v>
      </c>
      <c r="C41" s="173" t="s">
        <v>325</v>
      </c>
      <c r="D41" s="180">
        <v>861.21</v>
      </c>
      <c r="E41" s="288">
        <v>45425.0</v>
      </c>
      <c r="F41" s="241"/>
      <c r="P41" s="79"/>
      <c r="Q41" s="79"/>
      <c r="R41" s="79"/>
      <c r="Y41" s="79"/>
      <c r="AC41" s="130"/>
      <c r="AE41" s="106"/>
    </row>
    <row r="42">
      <c r="A42" s="282" t="s">
        <v>328</v>
      </c>
      <c r="B42" s="283">
        <v>45419.0</v>
      </c>
      <c r="C42" s="166" t="s">
        <v>325</v>
      </c>
      <c r="D42" s="93">
        <v>1282.82</v>
      </c>
      <c r="E42" s="285" t="s">
        <v>329</v>
      </c>
      <c r="F42" s="6">
        <f t="shared" ref="F42:F44" si="6">D42/2</f>
        <v>641.41</v>
      </c>
      <c r="P42" s="79"/>
      <c r="Q42" s="79"/>
      <c r="R42" s="79"/>
      <c r="Y42" s="79"/>
      <c r="AC42" s="130"/>
      <c r="AE42" s="106"/>
    </row>
    <row r="43">
      <c r="A43" s="282" t="s">
        <v>352</v>
      </c>
      <c r="B43" s="283">
        <v>45426.0</v>
      </c>
      <c r="C43" s="166" t="s">
        <v>325</v>
      </c>
      <c r="D43" s="93">
        <v>1254.75</v>
      </c>
      <c r="E43" s="291" t="s">
        <v>353</v>
      </c>
      <c r="F43" s="6">
        <f t="shared" si="6"/>
        <v>627.375</v>
      </c>
      <c r="P43" s="79"/>
      <c r="Q43" s="79"/>
      <c r="R43" s="79"/>
      <c r="Y43" s="79"/>
      <c r="AC43" s="130"/>
      <c r="AE43" s="106"/>
    </row>
    <row r="44">
      <c r="A44" s="282" t="s">
        <v>330</v>
      </c>
      <c r="B44" s="283">
        <v>45422.0</v>
      </c>
      <c r="C44" s="166" t="s">
        <v>331</v>
      </c>
      <c r="D44" s="93">
        <v>800.0</v>
      </c>
      <c r="E44" s="285" t="s">
        <v>332</v>
      </c>
      <c r="F44" s="6">
        <f t="shared" si="6"/>
        <v>400</v>
      </c>
      <c r="P44" s="79"/>
      <c r="Q44" s="79"/>
      <c r="R44" s="79"/>
      <c r="Y44" s="79"/>
      <c r="AC44" s="130"/>
      <c r="AE44" s="106"/>
    </row>
    <row r="45">
      <c r="A45" s="282" t="s">
        <v>333</v>
      </c>
      <c r="B45" s="283">
        <v>45418.0</v>
      </c>
      <c r="C45" s="166" t="s">
        <v>334</v>
      </c>
      <c r="D45" s="93">
        <v>260.9</v>
      </c>
      <c r="E45" s="292">
        <v>45425.0</v>
      </c>
      <c r="F45" s="1"/>
      <c r="P45" s="79"/>
      <c r="Q45" s="79"/>
      <c r="R45" s="79"/>
      <c r="Y45" s="79"/>
      <c r="AC45" s="130"/>
      <c r="AE45" s="106"/>
    </row>
    <row r="46">
      <c r="A46" s="282" t="s">
        <v>335</v>
      </c>
      <c r="B46" s="283">
        <v>45422.0</v>
      </c>
      <c r="C46" s="166" t="s">
        <v>336</v>
      </c>
      <c r="D46" s="93">
        <v>235.39</v>
      </c>
      <c r="E46" s="292">
        <v>45425.0</v>
      </c>
      <c r="F46" s="1"/>
      <c r="P46" s="79"/>
      <c r="Q46" s="79"/>
      <c r="R46" s="79"/>
      <c r="Y46" s="79"/>
      <c r="AC46" s="130"/>
      <c r="AE46" s="106"/>
    </row>
    <row r="47">
      <c r="A47" s="282" t="s">
        <v>337</v>
      </c>
      <c r="B47" s="283">
        <v>45420.0</v>
      </c>
      <c r="C47" s="166" t="s">
        <v>233</v>
      </c>
      <c r="D47" s="93">
        <v>284.9</v>
      </c>
      <c r="E47" s="288">
        <v>45425.0</v>
      </c>
      <c r="F47" s="1"/>
      <c r="P47" s="79"/>
      <c r="Q47" s="79"/>
      <c r="R47" s="79"/>
      <c r="Y47" s="79"/>
      <c r="AC47" s="130"/>
      <c r="AE47" s="106"/>
    </row>
    <row r="48">
      <c r="A48" s="282" t="s">
        <v>338</v>
      </c>
      <c r="B48" s="286">
        <v>45423.0</v>
      </c>
      <c r="C48" s="166" t="s">
        <v>339</v>
      </c>
      <c r="D48" s="93">
        <v>300.0</v>
      </c>
      <c r="E48" s="292">
        <v>45425.0</v>
      </c>
      <c r="F48" s="1"/>
      <c r="P48" s="79"/>
      <c r="Q48" s="79"/>
      <c r="R48" s="79"/>
      <c r="Y48" s="79"/>
      <c r="AC48" s="130"/>
      <c r="AE48" s="106"/>
    </row>
    <row r="49">
      <c r="A49" s="282" t="s">
        <v>340</v>
      </c>
      <c r="B49" s="283">
        <v>45420.0</v>
      </c>
      <c r="C49" s="166" t="s">
        <v>341</v>
      </c>
      <c r="D49" s="93">
        <v>180.0</v>
      </c>
      <c r="E49" s="288">
        <v>45425.0</v>
      </c>
      <c r="F49" s="1"/>
      <c r="P49" s="79"/>
      <c r="Q49" s="79"/>
      <c r="R49" s="79"/>
      <c r="Y49" s="79"/>
      <c r="AC49" s="130"/>
      <c r="AE49" s="106"/>
    </row>
    <row r="50">
      <c r="A50" s="282" t="s">
        <v>340</v>
      </c>
      <c r="B50" s="283">
        <v>45420.0</v>
      </c>
      <c r="C50" s="166" t="s">
        <v>342</v>
      </c>
      <c r="D50" s="93">
        <v>110.0</v>
      </c>
      <c r="E50" s="288">
        <v>45425.0</v>
      </c>
      <c r="F50" s="1"/>
      <c r="P50" s="79"/>
      <c r="Q50" s="79"/>
      <c r="R50" s="79"/>
      <c r="Y50" s="79"/>
      <c r="AC50" s="130"/>
      <c r="AE50" s="106"/>
    </row>
    <row r="51">
      <c r="A51" s="282" t="s">
        <v>340</v>
      </c>
      <c r="B51" s="283">
        <v>45420.0</v>
      </c>
      <c r="C51" s="166" t="s">
        <v>343</v>
      </c>
      <c r="D51" s="93">
        <v>230.94</v>
      </c>
      <c r="E51" s="288">
        <v>45425.0</v>
      </c>
      <c r="F51" s="1"/>
      <c r="P51" s="79"/>
      <c r="Q51" s="79"/>
      <c r="R51" s="79"/>
      <c r="Y51" s="79"/>
      <c r="AC51" s="130"/>
      <c r="AE51" s="106"/>
    </row>
    <row r="52">
      <c r="A52" s="282" t="s">
        <v>340</v>
      </c>
      <c r="B52" s="283">
        <v>45420.0</v>
      </c>
      <c r="C52" s="166" t="s">
        <v>344</v>
      </c>
      <c r="D52" s="93">
        <v>133.92</v>
      </c>
      <c r="E52" s="288">
        <v>45425.0</v>
      </c>
      <c r="F52" s="1"/>
      <c r="P52" s="79"/>
      <c r="Q52" s="79"/>
      <c r="R52" s="79"/>
      <c r="Y52" s="79"/>
      <c r="AC52" s="130"/>
      <c r="AE52" s="106"/>
    </row>
    <row r="53">
      <c r="A53" s="282" t="s">
        <v>345</v>
      </c>
      <c r="B53" s="283">
        <v>45421.0</v>
      </c>
      <c r="C53" s="166" t="s">
        <v>346</v>
      </c>
      <c r="D53" s="93">
        <v>237.0</v>
      </c>
      <c r="E53" s="292">
        <v>45425.0</v>
      </c>
      <c r="F53" s="6"/>
      <c r="P53" s="79"/>
      <c r="Q53" s="79"/>
      <c r="R53" s="79"/>
      <c r="Y53" s="79"/>
      <c r="AC53" s="130"/>
      <c r="AE53" s="106"/>
    </row>
    <row r="54">
      <c r="A54" s="282" t="s">
        <v>354</v>
      </c>
      <c r="B54" s="283">
        <v>45427.0</v>
      </c>
      <c r="C54" s="166" t="s">
        <v>355</v>
      </c>
      <c r="D54" s="93">
        <v>669.86</v>
      </c>
      <c r="E54" s="285">
        <v>45434.0</v>
      </c>
      <c r="F54" s="6"/>
      <c r="P54" s="79"/>
      <c r="Q54" s="79"/>
      <c r="R54" s="79"/>
      <c r="Y54" s="79"/>
      <c r="AC54" s="130"/>
      <c r="AE54" s="106"/>
    </row>
    <row r="55">
      <c r="A55" s="282" t="s">
        <v>356</v>
      </c>
      <c r="B55" s="283">
        <v>45427.0</v>
      </c>
      <c r="C55" s="166" t="s">
        <v>334</v>
      </c>
      <c r="D55" s="93">
        <v>772.44</v>
      </c>
      <c r="E55" s="291" t="s">
        <v>357</v>
      </c>
      <c r="F55" s="6">
        <f>D55/4</f>
        <v>193.11</v>
      </c>
      <c r="P55" s="79"/>
      <c r="Q55" s="79"/>
      <c r="R55" s="79"/>
      <c r="Y55" s="79"/>
      <c r="AC55" s="130"/>
      <c r="AE55" s="106"/>
    </row>
    <row r="56">
      <c r="A56" s="282" t="s">
        <v>358</v>
      </c>
      <c r="B56" s="283">
        <v>45426.0</v>
      </c>
      <c r="C56" s="166" t="s">
        <v>325</v>
      </c>
      <c r="D56" s="93">
        <v>1249.75</v>
      </c>
      <c r="E56" s="291" t="s">
        <v>359</v>
      </c>
      <c r="F56" s="6">
        <f t="shared" ref="F56:F57" si="7">D56/2</f>
        <v>624.875</v>
      </c>
      <c r="P56" s="79"/>
      <c r="Q56" s="79"/>
      <c r="R56" s="79"/>
      <c r="Y56" s="79"/>
      <c r="AC56" s="130"/>
      <c r="AE56" s="106"/>
    </row>
    <row r="57">
      <c r="A57" s="282" t="s">
        <v>360</v>
      </c>
      <c r="B57" s="283">
        <v>45434.0</v>
      </c>
      <c r="C57" s="166" t="s">
        <v>111</v>
      </c>
      <c r="D57" s="93">
        <v>1160.0</v>
      </c>
      <c r="E57" s="291" t="s">
        <v>361</v>
      </c>
      <c r="F57" s="6">
        <f t="shared" si="7"/>
        <v>580</v>
      </c>
      <c r="P57" s="79"/>
      <c r="Q57" s="79"/>
      <c r="R57" s="79"/>
      <c r="Y57" s="79"/>
      <c r="AC57" s="130"/>
      <c r="AE57" s="106"/>
    </row>
    <row r="58">
      <c r="A58" s="282"/>
      <c r="B58" s="283"/>
      <c r="C58" s="166"/>
      <c r="D58" s="93"/>
      <c r="E58" s="285"/>
      <c r="F58" s="6"/>
      <c r="P58" s="79"/>
      <c r="Q58" s="79"/>
      <c r="R58" s="79"/>
      <c r="Y58" s="79"/>
      <c r="AC58" s="130"/>
      <c r="AE58" s="106"/>
    </row>
    <row r="59">
      <c r="A59" s="282"/>
      <c r="B59" s="283"/>
      <c r="C59" s="166"/>
      <c r="D59" s="93"/>
      <c r="E59" s="285"/>
      <c r="F59" s="6"/>
      <c r="P59" s="79"/>
      <c r="Q59" s="79"/>
      <c r="R59" s="79"/>
      <c r="Y59" s="79"/>
      <c r="AC59" s="130"/>
      <c r="AE59" s="106"/>
    </row>
    <row r="60">
      <c r="A60" s="282"/>
      <c r="B60" s="283"/>
      <c r="C60" s="166"/>
      <c r="D60" s="93"/>
      <c r="E60" s="285"/>
      <c r="F60" s="6"/>
      <c r="P60" s="79"/>
      <c r="Q60" s="79"/>
      <c r="R60" s="79"/>
      <c r="Y60" s="79"/>
      <c r="AC60" s="130"/>
      <c r="AE60" s="106"/>
    </row>
    <row r="61">
      <c r="A61" s="282"/>
      <c r="B61" s="283"/>
      <c r="C61" s="166"/>
      <c r="D61" s="93"/>
      <c r="E61" s="285"/>
      <c r="F61" s="6"/>
      <c r="P61" s="79"/>
      <c r="Q61" s="79"/>
      <c r="R61" s="79"/>
      <c r="Y61" s="79"/>
      <c r="AC61" s="130"/>
      <c r="AE61" s="106"/>
    </row>
    <row r="62">
      <c r="A62" s="282"/>
      <c r="B62" s="283"/>
      <c r="C62" s="166"/>
      <c r="D62" s="93"/>
      <c r="E62" s="285"/>
      <c r="F62" s="6"/>
      <c r="P62" s="79"/>
      <c r="Q62" s="79"/>
      <c r="R62" s="79"/>
      <c r="Y62" s="79"/>
      <c r="AC62" s="130"/>
      <c r="AE62" s="106"/>
    </row>
    <row r="63">
      <c r="A63" s="282"/>
      <c r="B63" s="283"/>
      <c r="C63" s="166"/>
      <c r="D63" s="93"/>
      <c r="E63" s="285"/>
      <c r="F63" s="6"/>
      <c r="P63" s="79"/>
      <c r="Q63" s="79"/>
      <c r="R63" s="79"/>
      <c r="Y63" s="79"/>
      <c r="AC63" s="130"/>
      <c r="AE63" s="106"/>
    </row>
    <row r="64">
      <c r="A64" s="282"/>
      <c r="B64" s="283"/>
      <c r="C64" s="166"/>
      <c r="D64" s="93"/>
      <c r="E64" s="285"/>
      <c r="F64" s="6"/>
      <c r="P64" s="79"/>
      <c r="Q64" s="79"/>
      <c r="R64" s="79"/>
      <c r="Y64" s="79"/>
      <c r="AC64" s="130"/>
      <c r="AE64" s="106"/>
    </row>
    <row r="65">
      <c r="A65" s="282"/>
      <c r="B65" s="283"/>
      <c r="C65" s="166"/>
      <c r="D65" s="93"/>
      <c r="E65" s="285"/>
      <c r="F65" s="6"/>
      <c r="P65" s="79"/>
      <c r="Q65" s="79"/>
      <c r="R65" s="79"/>
      <c r="Y65" s="79"/>
      <c r="AC65" s="130"/>
      <c r="AE65" s="106"/>
    </row>
    <row r="66">
      <c r="A66" s="282"/>
      <c r="B66" s="283"/>
      <c r="C66" s="166"/>
      <c r="D66" s="93"/>
      <c r="E66" s="285"/>
      <c r="F66" s="6"/>
      <c r="P66" s="79"/>
      <c r="Q66" s="79"/>
      <c r="R66" s="79"/>
      <c r="Y66" s="79"/>
      <c r="AC66" s="130"/>
      <c r="AE66" s="106"/>
    </row>
    <row r="67">
      <c r="A67" s="282"/>
      <c r="B67" s="283"/>
      <c r="C67" s="166"/>
      <c r="D67" s="93"/>
      <c r="E67" s="285"/>
      <c r="F67" s="6"/>
      <c r="P67" s="79"/>
      <c r="Q67" s="79"/>
      <c r="R67" s="79"/>
      <c r="Y67" s="79"/>
      <c r="AC67" s="130"/>
      <c r="AE67" s="106"/>
    </row>
    <row r="68">
      <c r="A68" s="282"/>
      <c r="B68" s="283"/>
      <c r="C68" s="166"/>
      <c r="D68" s="93"/>
      <c r="E68" s="285"/>
      <c r="F68" s="6"/>
      <c r="P68" s="79"/>
      <c r="Q68" s="79"/>
      <c r="R68" s="79"/>
      <c r="Y68" s="79"/>
      <c r="AC68" s="130"/>
      <c r="AE68" s="106"/>
    </row>
    <row r="69">
      <c r="A69" s="282"/>
      <c r="B69" s="283"/>
      <c r="C69" s="166"/>
      <c r="D69" s="93"/>
      <c r="E69" s="285"/>
      <c r="F69" s="6"/>
      <c r="P69" s="79"/>
      <c r="Q69" s="79"/>
      <c r="R69" s="79"/>
      <c r="Y69" s="79"/>
      <c r="AC69" s="130"/>
      <c r="AE69" s="106"/>
    </row>
    <row r="70">
      <c r="A70" s="282"/>
      <c r="B70" s="283"/>
      <c r="C70" s="166"/>
      <c r="D70" s="93"/>
      <c r="E70" s="285"/>
      <c r="F70" s="6"/>
      <c r="P70" s="79"/>
      <c r="Q70" s="79"/>
      <c r="R70" s="79"/>
      <c r="Y70" s="79"/>
      <c r="AC70" s="130"/>
      <c r="AE70" s="106"/>
    </row>
    <row r="71">
      <c r="A71" s="282"/>
      <c r="B71" s="283"/>
      <c r="C71" s="166"/>
      <c r="D71" s="93"/>
      <c r="E71" s="285"/>
      <c r="F71" s="6"/>
      <c r="P71" s="79"/>
      <c r="Q71" s="79"/>
      <c r="R71" s="79"/>
      <c r="Y71" s="79"/>
      <c r="AC71" s="130"/>
      <c r="AE71" s="106"/>
    </row>
    <row r="72">
      <c r="A72" s="282"/>
      <c r="B72" s="283"/>
      <c r="C72" s="166"/>
      <c r="D72" s="93"/>
      <c r="E72" s="285"/>
      <c r="F72" s="6"/>
      <c r="P72" s="79"/>
      <c r="Q72" s="79"/>
      <c r="R72" s="79"/>
      <c r="Y72" s="79"/>
      <c r="AC72" s="130"/>
      <c r="AE72" s="106"/>
    </row>
    <row r="73">
      <c r="A73" s="282"/>
      <c r="B73" s="283"/>
      <c r="C73" s="166"/>
      <c r="D73" s="93"/>
      <c r="E73" s="285"/>
      <c r="F73" s="6"/>
      <c r="P73" s="79"/>
      <c r="Q73" s="79"/>
      <c r="R73" s="79"/>
      <c r="Y73" s="79"/>
      <c r="AC73" s="130"/>
      <c r="AE73" s="106"/>
    </row>
    <row r="74">
      <c r="A74" s="282"/>
      <c r="B74" s="283"/>
      <c r="C74" s="166"/>
      <c r="D74" s="93"/>
      <c r="E74" s="285"/>
      <c r="F74" s="6"/>
      <c r="P74" s="79"/>
      <c r="Q74" s="79"/>
      <c r="R74" s="79"/>
      <c r="Y74" s="79"/>
      <c r="AC74" s="130"/>
      <c r="AE74" s="106"/>
    </row>
    <row r="75">
      <c r="A75" s="282"/>
      <c r="B75" s="283"/>
      <c r="C75" s="166"/>
      <c r="D75" s="93"/>
      <c r="E75" s="285"/>
      <c r="F75" s="6"/>
      <c r="P75" s="79"/>
      <c r="Q75" s="79"/>
      <c r="R75" s="79"/>
      <c r="Y75" s="79"/>
      <c r="AC75" s="130"/>
      <c r="AE75" s="106"/>
    </row>
    <row r="76">
      <c r="C76" s="79"/>
      <c r="D76" s="79"/>
      <c r="E76" s="79"/>
      <c r="P76" s="79"/>
      <c r="Q76" s="79"/>
      <c r="R76" s="79"/>
      <c r="Y76" s="79"/>
      <c r="AC76" s="130"/>
      <c r="AE76" s="106"/>
    </row>
    <row r="77">
      <c r="C77" s="79"/>
      <c r="D77" s="79"/>
      <c r="E77" s="79"/>
      <c r="P77" s="79"/>
      <c r="Q77" s="79"/>
      <c r="R77" s="79"/>
      <c r="Y77" s="79"/>
      <c r="AC77" s="130"/>
      <c r="AE77" s="106"/>
    </row>
    <row r="78">
      <c r="C78" s="79"/>
      <c r="D78" s="79"/>
      <c r="E78" s="79"/>
      <c r="P78" s="79"/>
      <c r="Q78" s="79"/>
      <c r="R78" s="79"/>
      <c r="Y78" s="79"/>
      <c r="AC78" s="130"/>
      <c r="AE78" s="106"/>
    </row>
    <row r="79">
      <c r="C79" s="79"/>
      <c r="D79" s="79"/>
      <c r="E79" s="79"/>
      <c r="P79" s="79"/>
      <c r="Q79" s="79"/>
      <c r="R79" s="79"/>
      <c r="Y79" s="79"/>
      <c r="AC79" s="130"/>
      <c r="AE79" s="106"/>
    </row>
    <row r="80">
      <c r="C80" s="79"/>
      <c r="D80" s="79"/>
      <c r="E80" s="79"/>
      <c r="P80" s="79"/>
      <c r="Q80" s="79"/>
      <c r="R80" s="79"/>
      <c r="Y80" s="79"/>
      <c r="AC80" s="130"/>
      <c r="AE80" s="106"/>
    </row>
    <row r="81">
      <c r="C81" s="79"/>
      <c r="D81" s="79"/>
      <c r="E81" s="79"/>
      <c r="P81" s="79"/>
      <c r="Q81" s="79"/>
      <c r="R81" s="79"/>
      <c r="Y81" s="79"/>
      <c r="AC81" s="130"/>
      <c r="AE81" s="106"/>
    </row>
    <row r="82">
      <c r="C82" s="79"/>
      <c r="D82" s="79"/>
      <c r="E82" s="79"/>
      <c r="P82" s="79"/>
      <c r="Q82" s="79"/>
      <c r="R82" s="79"/>
      <c r="Y82" s="79"/>
      <c r="AC82" s="130"/>
      <c r="AE82" s="106"/>
    </row>
    <row r="83">
      <c r="C83" s="79"/>
      <c r="D83" s="79"/>
      <c r="E83" s="79"/>
      <c r="P83" s="79"/>
      <c r="Q83" s="79"/>
      <c r="R83" s="79"/>
      <c r="Y83" s="79"/>
      <c r="AC83" s="130"/>
      <c r="AE83" s="106"/>
    </row>
    <row r="84">
      <c r="C84" s="79"/>
      <c r="D84" s="79"/>
      <c r="E84" s="79"/>
      <c r="P84" s="79"/>
      <c r="Q84" s="79"/>
      <c r="R84" s="79"/>
      <c r="Y84" s="79"/>
      <c r="AC84" s="130"/>
      <c r="AE84" s="106"/>
    </row>
    <row r="85">
      <c r="C85" s="79"/>
      <c r="D85" s="79"/>
      <c r="E85" s="79"/>
      <c r="P85" s="79"/>
      <c r="Q85" s="79"/>
      <c r="R85" s="79"/>
      <c r="Y85" s="79"/>
      <c r="AC85" s="130"/>
      <c r="AE85" s="106"/>
    </row>
    <row r="86">
      <c r="C86" s="79"/>
      <c r="D86" s="79"/>
      <c r="E86" s="79"/>
      <c r="P86" s="79"/>
      <c r="Q86" s="79"/>
      <c r="R86" s="79"/>
      <c r="Y86" s="79"/>
      <c r="AC86" s="130"/>
      <c r="AE86" s="106"/>
    </row>
    <row r="87">
      <c r="C87" s="79"/>
      <c r="D87" s="79"/>
      <c r="E87" s="79"/>
      <c r="P87" s="79"/>
      <c r="Q87" s="79"/>
      <c r="R87" s="79"/>
      <c r="Y87" s="79"/>
      <c r="AC87" s="130"/>
      <c r="AE87" s="106"/>
    </row>
    <row r="88">
      <c r="C88" s="79"/>
      <c r="D88" s="79"/>
      <c r="E88" s="79"/>
      <c r="P88" s="79"/>
      <c r="Q88" s="79"/>
      <c r="R88" s="79"/>
      <c r="Y88" s="79"/>
      <c r="AC88" s="130"/>
      <c r="AE88" s="106"/>
    </row>
    <row r="89">
      <c r="C89" s="79"/>
      <c r="D89" s="79"/>
      <c r="E89" s="79"/>
      <c r="P89" s="79"/>
      <c r="Q89" s="79"/>
      <c r="R89" s="79"/>
      <c r="Y89" s="79"/>
      <c r="AC89" s="130"/>
      <c r="AE89" s="106"/>
    </row>
    <row r="90">
      <c r="C90" s="79"/>
      <c r="D90" s="79"/>
      <c r="E90" s="79"/>
      <c r="P90" s="79"/>
      <c r="Q90" s="79"/>
      <c r="R90" s="79"/>
      <c r="Y90" s="79"/>
      <c r="AC90" s="130"/>
      <c r="AE90" s="106"/>
    </row>
    <row r="91">
      <c r="C91" s="79"/>
      <c r="D91" s="79"/>
      <c r="E91" s="79"/>
      <c r="P91" s="79"/>
      <c r="Q91" s="79"/>
      <c r="R91" s="79"/>
      <c r="Y91" s="79"/>
      <c r="AC91" s="130"/>
      <c r="AE91" s="106"/>
    </row>
    <row r="92">
      <c r="C92" s="79"/>
      <c r="D92" s="79"/>
      <c r="E92" s="79"/>
      <c r="P92" s="79"/>
      <c r="Q92" s="79"/>
      <c r="R92" s="79"/>
      <c r="Y92" s="79"/>
      <c r="AC92" s="130"/>
      <c r="AE92" s="106"/>
    </row>
    <row r="93">
      <c r="C93" s="79"/>
      <c r="D93" s="79"/>
      <c r="E93" s="79"/>
      <c r="P93" s="79"/>
      <c r="Q93" s="79"/>
      <c r="R93" s="79"/>
      <c r="Y93" s="79"/>
      <c r="AC93" s="130"/>
      <c r="AE93" s="106"/>
    </row>
    <row r="94">
      <c r="C94" s="79"/>
      <c r="D94" s="79"/>
      <c r="E94" s="79"/>
      <c r="P94" s="79"/>
      <c r="Q94" s="79"/>
      <c r="R94" s="79"/>
      <c r="Y94" s="79"/>
      <c r="AC94" s="130"/>
      <c r="AE94" s="106"/>
    </row>
    <row r="95">
      <c r="C95" s="79"/>
      <c r="D95" s="79"/>
      <c r="E95" s="79"/>
      <c r="P95" s="79"/>
      <c r="Q95" s="79"/>
      <c r="R95" s="79"/>
      <c r="Y95" s="79"/>
      <c r="AC95" s="130"/>
      <c r="AE95" s="106"/>
    </row>
    <row r="96">
      <c r="C96" s="79"/>
      <c r="D96" s="79"/>
      <c r="E96" s="79"/>
      <c r="P96" s="79"/>
      <c r="Q96" s="79"/>
      <c r="R96" s="79"/>
      <c r="Y96" s="79"/>
      <c r="AC96" s="130"/>
      <c r="AE96" s="106"/>
    </row>
    <row r="97">
      <c r="C97" s="79"/>
      <c r="D97" s="79"/>
      <c r="E97" s="79"/>
      <c r="P97" s="79"/>
      <c r="Q97" s="79"/>
      <c r="R97" s="79"/>
      <c r="Y97" s="79"/>
      <c r="AC97" s="130"/>
      <c r="AE97" s="106"/>
    </row>
    <row r="98">
      <c r="C98" s="79"/>
      <c r="D98" s="79"/>
      <c r="E98" s="79"/>
      <c r="P98" s="79"/>
      <c r="Q98" s="79"/>
      <c r="R98" s="79"/>
      <c r="Y98" s="79"/>
      <c r="AC98" s="130"/>
      <c r="AE98" s="106"/>
    </row>
    <row r="99">
      <c r="C99" s="79"/>
      <c r="D99" s="79"/>
      <c r="E99" s="79"/>
      <c r="P99" s="79"/>
      <c r="Q99" s="79"/>
      <c r="R99" s="79"/>
      <c r="Y99" s="79"/>
      <c r="AC99" s="130"/>
      <c r="AE99" s="106"/>
    </row>
    <row r="100">
      <c r="C100" s="79"/>
      <c r="D100" s="79"/>
      <c r="E100" s="79"/>
      <c r="P100" s="79"/>
      <c r="Q100" s="79"/>
      <c r="R100" s="79"/>
      <c r="Y100" s="79"/>
      <c r="AC100" s="130"/>
      <c r="AE100" s="106"/>
    </row>
    <row r="101">
      <c r="C101" s="79"/>
      <c r="D101" s="79"/>
      <c r="E101" s="79"/>
      <c r="P101" s="79"/>
      <c r="Q101" s="79"/>
      <c r="R101" s="79"/>
      <c r="Y101" s="79"/>
      <c r="AC101" s="130"/>
      <c r="AE101" s="106"/>
    </row>
    <row r="102">
      <c r="C102" s="79"/>
      <c r="D102" s="79"/>
      <c r="E102" s="79"/>
      <c r="P102" s="79"/>
      <c r="Q102" s="79"/>
      <c r="R102" s="79"/>
      <c r="Y102" s="79"/>
      <c r="AC102" s="130"/>
      <c r="AE102" s="106"/>
    </row>
    <row r="103">
      <c r="C103" s="79"/>
      <c r="D103" s="79"/>
      <c r="E103" s="79"/>
      <c r="P103" s="79"/>
      <c r="Q103" s="79"/>
      <c r="R103" s="79"/>
      <c r="Y103" s="79"/>
      <c r="AC103" s="130"/>
      <c r="AE103" s="106"/>
    </row>
    <row r="104">
      <c r="C104" s="79"/>
      <c r="D104" s="79"/>
      <c r="E104" s="79"/>
      <c r="P104" s="79"/>
      <c r="Q104" s="79"/>
      <c r="R104" s="79"/>
      <c r="Y104" s="79"/>
      <c r="AC104" s="130"/>
      <c r="AE104" s="106"/>
    </row>
    <row r="105">
      <c r="C105" s="79"/>
      <c r="D105" s="79"/>
      <c r="E105" s="79"/>
      <c r="P105" s="79"/>
      <c r="Q105" s="79"/>
      <c r="R105" s="79"/>
      <c r="Y105" s="79"/>
      <c r="AC105" s="130"/>
      <c r="AE105" s="106"/>
    </row>
    <row r="106">
      <c r="C106" s="79"/>
      <c r="D106" s="79"/>
      <c r="E106" s="79"/>
      <c r="P106" s="79"/>
      <c r="Q106" s="79"/>
      <c r="R106" s="79"/>
      <c r="Y106" s="79"/>
      <c r="AC106" s="130"/>
      <c r="AE106" s="106"/>
    </row>
    <row r="107">
      <c r="C107" s="79"/>
      <c r="D107" s="79"/>
      <c r="E107" s="79"/>
      <c r="P107" s="79"/>
      <c r="Q107" s="79"/>
      <c r="R107" s="79"/>
      <c r="Y107" s="79"/>
      <c r="AC107" s="130"/>
      <c r="AE107" s="106"/>
    </row>
    <row r="108">
      <c r="C108" s="79"/>
      <c r="D108" s="79"/>
      <c r="E108" s="79"/>
      <c r="P108" s="79"/>
      <c r="Q108" s="79"/>
      <c r="R108" s="79"/>
      <c r="Y108" s="79"/>
      <c r="AC108" s="130"/>
      <c r="AE108" s="106"/>
    </row>
    <row r="109">
      <c r="C109" s="79"/>
      <c r="D109" s="79"/>
      <c r="E109" s="79"/>
      <c r="P109" s="79"/>
      <c r="Q109" s="79"/>
      <c r="R109" s="79"/>
      <c r="Y109" s="79"/>
      <c r="AC109" s="130"/>
      <c r="AE109" s="106"/>
    </row>
    <row r="110">
      <c r="C110" s="79"/>
      <c r="D110" s="79"/>
      <c r="E110" s="79"/>
      <c r="P110" s="79"/>
      <c r="Q110" s="79"/>
      <c r="R110" s="79"/>
      <c r="Y110" s="79"/>
      <c r="AC110" s="130"/>
      <c r="AE110" s="106"/>
    </row>
    <row r="111">
      <c r="C111" s="79"/>
      <c r="D111" s="79"/>
      <c r="E111" s="79"/>
      <c r="P111" s="79"/>
      <c r="Q111" s="79"/>
      <c r="R111" s="79"/>
      <c r="Y111" s="79"/>
      <c r="AC111" s="130"/>
      <c r="AE111" s="106"/>
    </row>
    <row r="112">
      <c r="C112" s="79"/>
      <c r="D112" s="79"/>
      <c r="E112" s="79"/>
      <c r="P112" s="79"/>
      <c r="Q112" s="79"/>
      <c r="R112" s="79"/>
      <c r="Y112" s="79"/>
      <c r="AC112" s="130"/>
      <c r="AE112" s="106"/>
    </row>
    <row r="113">
      <c r="C113" s="79"/>
      <c r="D113" s="79"/>
      <c r="E113" s="79"/>
      <c r="P113" s="79"/>
      <c r="Q113" s="79"/>
      <c r="R113" s="79"/>
      <c r="Y113" s="79"/>
      <c r="AC113" s="130"/>
      <c r="AE113" s="106"/>
    </row>
    <row r="114">
      <c r="C114" s="79"/>
      <c r="D114" s="79"/>
      <c r="E114" s="79"/>
      <c r="P114" s="79"/>
      <c r="Q114" s="79"/>
      <c r="R114" s="79"/>
      <c r="Y114" s="79"/>
      <c r="AC114" s="130"/>
      <c r="AE114" s="106"/>
    </row>
    <row r="115">
      <c r="C115" s="79"/>
      <c r="D115" s="79"/>
      <c r="E115" s="79"/>
      <c r="P115" s="79"/>
      <c r="Q115" s="79"/>
      <c r="R115" s="79"/>
      <c r="Y115" s="79"/>
      <c r="AC115" s="130"/>
      <c r="AE115" s="106"/>
    </row>
    <row r="116">
      <c r="C116" s="79"/>
      <c r="D116" s="79"/>
      <c r="E116" s="79"/>
      <c r="P116" s="79"/>
      <c r="Q116" s="79"/>
      <c r="R116" s="79"/>
      <c r="Y116" s="79"/>
      <c r="AC116" s="130"/>
      <c r="AE116" s="106"/>
    </row>
    <row r="117">
      <c r="C117" s="79"/>
      <c r="D117" s="79"/>
      <c r="E117" s="79"/>
      <c r="P117" s="79"/>
      <c r="Q117" s="79"/>
      <c r="R117" s="79"/>
      <c r="Y117" s="79"/>
      <c r="AC117" s="130"/>
      <c r="AE117" s="106"/>
    </row>
    <row r="118">
      <c r="C118" s="79"/>
      <c r="D118" s="79"/>
      <c r="E118" s="79"/>
      <c r="P118" s="79"/>
      <c r="Q118" s="79"/>
      <c r="R118" s="79"/>
      <c r="Y118" s="79"/>
      <c r="AC118" s="130"/>
      <c r="AE118" s="106"/>
    </row>
    <row r="119">
      <c r="C119" s="79"/>
      <c r="D119" s="79"/>
      <c r="E119" s="79"/>
      <c r="P119" s="79"/>
      <c r="Q119" s="79"/>
      <c r="R119" s="79"/>
      <c r="Y119" s="79"/>
      <c r="AC119" s="130"/>
      <c r="AE119" s="106"/>
    </row>
    <row r="120">
      <c r="C120" s="79"/>
      <c r="D120" s="79"/>
      <c r="E120" s="79"/>
      <c r="P120" s="79"/>
      <c r="Q120" s="79"/>
      <c r="R120" s="79"/>
      <c r="Y120" s="79"/>
      <c r="AC120" s="130"/>
      <c r="AE120" s="106"/>
    </row>
    <row r="121">
      <c r="C121" s="79"/>
      <c r="D121" s="79"/>
      <c r="E121" s="79"/>
      <c r="P121" s="79"/>
      <c r="Q121" s="79"/>
      <c r="R121" s="79"/>
      <c r="Y121" s="79"/>
      <c r="AC121" s="130"/>
      <c r="AE121" s="106"/>
    </row>
    <row r="122">
      <c r="C122" s="79"/>
      <c r="D122" s="79"/>
      <c r="E122" s="79"/>
      <c r="P122" s="79"/>
      <c r="Q122" s="79"/>
      <c r="R122" s="79"/>
      <c r="Y122" s="79"/>
      <c r="AC122" s="130"/>
      <c r="AE122" s="106"/>
    </row>
    <row r="123">
      <c r="C123" s="79"/>
      <c r="D123" s="79"/>
      <c r="E123" s="79"/>
      <c r="P123" s="79"/>
      <c r="Q123" s="79"/>
      <c r="R123" s="79"/>
      <c r="Y123" s="79"/>
      <c r="AC123" s="130"/>
      <c r="AE123" s="106"/>
    </row>
    <row r="124">
      <c r="C124" s="79"/>
      <c r="D124" s="79"/>
      <c r="E124" s="79"/>
      <c r="P124" s="79"/>
      <c r="Q124" s="79"/>
      <c r="R124" s="79"/>
      <c r="Y124" s="79"/>
      <c r="AC124" s="130"/>
      <c r="AE124" s="106"/>
    </row>
    <row r="125">
      <c r="C125" s="79"/>
      <c r="D125" s="79"/>
      <c r="E125" s="79"/>
      <c r="P125" s="79"/>
      <c r="Q125" s="79"/>
      <c r="R125" s="79"/>
      <c r="Y125" s="79"/>
      <c r="AC125" s="130"/>
      <c r="AE125" s="106"/>
    </row>
    <row r="126">
      <c r="C126" s="79"/>
      <c r="D126" s="79"/>
      <c r="E126" s="79"/>
      <c r="P126" s="79"/>
      <c r="Q126" s="79"/>
      <c r="R126" s="79"/>
      <c r="Y126" s="79"/>
      <c r="AC126" s="130"/>
      <c r="AE126" s="106"/>
    </row>
    <row r="127">
      <c r="C127" s="79"/>
      <c r="D127" s="79"/>
      <c r="E127" s="79"/>
      <c r="P127" s="79"/>
      <c r="Q127" s="79"/>
      <c r="R127" s="79"/>
      <c r="Y127" s="79"/>
      <c r="AC127" s="130"/>
      <c r="AE127" s="106"/>
    </row>
    <row r="128">
      <c r="C128" s="79"/>
      <c r="D128" s="79"/>
      <c r="E128" s="79"/>
      <c r="P128" s="79"/>
      <c r="Q128" s="79"/>
      <c r="R128" s="79"/>
      <c r="Y128" s="79"/>
      <c r="AC128" s="130"/>
      <c r="AE128" s="106"/>
    </row>
    <row r="129">
      <c r="C129" s="79"/>
      <c r="D129" s="79"/>
      <c r="E129" s="79"/>
      <c r="P129" s="79"/>
      <c r="Q129" s="79"/>
      <c r="R129" s="79"/>
      <c r="Y129" s="79"/>
      <c r="AC129" s="130"/>
      <c r="AE129" s="106"/>
    </row>
    <row r="130">
      <c r="C130" s="79"/>
      <c r="D130" s="79"/>
      <c r="E130" s="79"/>
      <c r="P130" s="79"/>
      <c r="Q130" s="79"/>
      <c r="R130" s="79"/>
      <c r="Y130" s="79"/>
      <c r="AC130" s="130"/>
      <c r="AE130" s="106"/>
    </row>
    <row r="131">
      <c r="C131" s="79"/>
      <c r="D131" s="79"/>
      <c r="E131" s="79"/>
      <c r="P131" s="79"/>
      <c r="Q131" s="79"/>
      <c r="R131" s="79"/>
      <c r="Y131" s="79"/>
      <c r="AC131" s="130"/>
      <c r="AE131" s="106"/>
    </row>
    <row r="132">
      <c r="C132" s="79"/>
      <c r="D132" s="79"/>
      <c r="E132" s="79"/>
      <c r="P132" s="79"/>
      <c r="Q132" s="79"/>
      <c r="R132" s="79"/>
      <c r="Y132" s="79"/>
      <c r="AC132" s="130"/>
      <c r="AE132" s="106"/>
    </row>
    <row r="133">
      <c r="C133" s="79"/>
      <c r="D133" s="79"/>
      <c r="E133" s="79"/>
      <c r="P133" s="79"/>
      <c r="Q133" s="79"/>
      <c r="R133" s="79"/>
      <c r="Y133" s="79"/>
      <c r="AC133" s="130"/>
      <c r="AE133" s="106"/>
    </row>
    <row r="134">
      <c r="C134" s="79"/>
      <c r="D134" s="79"/>
      <c r="E134" s="79"/>
      <c r="P134" s="79"/>
      <c r="Q134" s="79"/>
      <c r="R134" s="79"/>
      <c r="Y134" s="79"/>
      <c r="AC134" s="130"/>
      <c r="AE134" s="106"/>
    </row>
    <row r="135">
      <c r="C135" s="79"/>
      <c r="D135" s="79"/>
      <c r="E135" s="79"/>
      <c r="P135" s="79"/>
      <c r="Q135" s="79"/>
      <c r="R135" s="79"/>
      <c r="Y135" s="79"/>
      <c r="AC135" s="130"/>
      <c r="AE135" s="106"/>
    </row>
    <row r="136">
      <c r="C136" s="79"/>
      <c r="D136" s="79"/>
      <c r="E136" s="79"/>
      <c r="P136" s="79"/>
      <c r="Q136" s="79"/>
      <c r="R136" s="79"/>
      <c r="Y136" s="79"/>
      <c r="AC136" s="130"/>
      <c r="AE136" s="106"/>
    </row>
    <row r="137">
      <c r="C137" s="79"/>
      <c r="D137" s="79"/>
      <c r="E137" s="79"/>
      <c r="P137" s="79"/>
      <c r="Q137" s="79"/>
      <c r="R137" s="79"/>
      <c r="Y137" s="79"/>
      <c r="AC137" s="130"/>
      <c r="AE137" s="106"/>
    </row>
    <row r="138">
      <c r="C138" s="79"/>
      <c r="D138" s="79"/>
      <c r="E138" s="79"/>
      <c r="P138" s="79"/>
      <c r="Q138" s="79"/>
      <c r="R138" s="79"/>
      <c r="Y138" s="79"/>
      <c r="AC138" s="130"/>
      <c r="AE138" s="106"/>
    </row>
    <row r="139">
      <c r="C139" s="79"/>
      <c r="D139" s="79"/>
      <c r="E139" s="79"/>
      <c r="P139" s="79"/>
      <c r="Q139" s="79"/>
      <c r="R139" s="79"/>
      <c r="Y139" s="79"/>
      <c r="AC139" s="130"/>
      <c r="AE139" s="106"/>
    </row>
    <row r="140">
      <c r="C140" s="79"/>
      <c r="D140" s="79"/>
      <c r="E140" s="79"/>
      <c r="P140" s="79"/>
      <c r="Q140" s="79"/>
      <c r="R140" s="79"/>
      <c r="Y140" s="79"/>
      <c r="AC140" s="130"/>
      <c r="AE140" s="106"/>
    </row>
    <row r="141">
      <c r="C141" s="79"/>
      <c r="D141" s="79"/>
      <c r="E141" s="79"/>
      <c r="P141" s="79"/>
      <c r="Q141" s="79"/>
      <c r="R141" s="79"/>
      <c r="Y141" s="79"/>
      <c r="AC141" s="130"/>
      <c r="AE141" s="106"/>
    </row>
    <row r="142">
      <c r="C142" s="79"/>
      <c r="D142" s="79"/>
      <c r="E142" s="79"/>
      <c r="P142" s="79"/>
      <c r="Q142" s="79"/>
      <c r="R142" s="79"/>
      <c r="Y142" s="79"/>
      <c r="AC142" s="130"/>
      <c r="AE142" s="106"/>
    </row>
    <row r="143">
      <c r="C143" s="79"/>
      <c r="D143" s="79"/>
      <c r="E143" s="79"/>
      <c r="P143" s="79"/>
      <c r="Q143" s="79"/>
      <c r="R143" s="79"/>
      <c r="Y143" s="79"/>
      <c r="AC143" s="130"/>
      <c r="AE143" s="106"/>
    </row>
    <row r="144">
      <c r="C144" s="79"/>
      <c r="D144" s="79"/>
      <c r="E144" s="79"/>
      <c r="P144" s="79"/>
      <c r="Q144" s="79"/>
      <c r="R144" s="79"/>
      <c r="Y144" s="79"/>
      <c r="AC144" s="130"/>
      <c r="AE144" s="106"/>
    </row>
    <row r="145">
      <c r="C145" s="79"/>
      <c r="D145" s="79"/>
      <c r="E145" s="79"/>
      <c r="P145" s="79"/>
      <c r="Q145" s="79"/>
      <c r="R145" s="79"/>
      <c r="Y145" s="79"/>
      <c r="AC145" s="130"/>
      <c r="AE145" s="106"/>
    </row>
    <row r="146">
      <c r="C146" s="79"/>
      <c r="D146" s="79"/>
      <c r="E146" s="79"/>
      <c r="P146" s="79"/>
      <c r="Q146" s="79"/>
      <c r="R146" s="79"/>
      <c r="Y146" s="79"/>
      <c r="AC146" s="130"/>
      <c r="AE146" s="106"/>
    </row>
    <row r="147">
      <c r="C147" s="79"/>
      <c r="D147" s="79"/>
      <c r="E147" s="79"/>
      <c r="P147" s="79"/>
      <c r="Q147" s="79"/>
      <c r="R147" s="79"/>
      <c r="Y147" s="79"/>
      <c r="AC147" s="130"/>
      <c r="AE147" s="106"/>
    </row>
    <row r="148">
      <c r="C148" s="79"/>
      <c r="D148" s="79"/>
      <c r="E148" s="79"/>
      <c r="P148" s="79"/>
      <c r="Q148" s="79"/>
      <c r="R148" s="79"/>
      <c r="Y148" s="79"/>
      <c r="AC148" s="130"/>
      <c r="AE148" s="106"/>
    </row>
    <row r="149">
      <c r="C149" s="79"/>
      <c r="D149" s="79"/>
      <c r="E149" s="79"/>
      <c r="P149" s="79"/>
      <c r="Q149" s="79"/>
      <c r="R149" s="79"/>
      <c r="Y149" s="79"/>
      <c r="AC149" s="130"/>
      <c r="AE149" s="106"/>
    </row>
    <row r="150">
      <c r="C150" s="79"/>
      <c r="D150" s="79"/>
      <c r="E150" s="79"/>
      <c r="P150" s="79"/>
      <c r="Q150" s="79"/>
      <c r="R150" s="79"/>
      <c r="Y150" s="79"/>
      <c r="AC150" s="130"/>
      <c r="AE150" s="106"/>
    </row>
    <row r="151">
      <c r="C151" s="79"/>
      <c r="D151" s="79"/>
      <c r="E151" s="79"/>
      <c r="P151" s="79"/>
      <c r="Q151" s="79"/>
      <c r="R151" s="79"/>
      <c r="Y151" s="79"/>
      <c r="AC151" s="130"/>
      <c r="AE151" s="106"/>
    </row>
    <row r="152">
      <c r="C152" s="79"/>
      <c r="D152" s="79"/>
      <c r="E152" s="79"/>
      <c r="P152" s="79"/>
      <c r="Q152" s="79"/>
      <c r="R152" s="79"/>
      <c r="Y152" s="79"/>
      <c r="AC152" s="130"/>
      <c r="AE152" s="106"/>
    </row>
    <row r="153">
      <c r="C153" s="79"/>
      <c r="D153" s="79"/>
      <c r="E153" s="79"/>
      <c r="P153" s="79"/>
      <c r="Q153" s="79"/>
      <c r="R153" s="79"/>
      <c r="Y153" s="79"/>
      <c r="AC153" s="130"/>
      <c r="AE153" s="106"/>
    </row>
    <row r="154">
      <c r="C154" s="79"/>
      <c r="D154" s="79"/>
      <c r="E154" s="79"/>
      <c r="P154" s="79"/>
      <c r="Q154" s="79"/>
      <c r="R154" s="79"/>
      <c r="Y154" s="79"/>
      <c r="AC154" s="130"/>
      <c r="AE154" s="106"/>
    </row>
    <row r="155">
      <c r="C155" s="79"/>
      <c r="D155" s="79"/>
      <c r="E155" s="79"/>
      <c r="P155" s="79"/>
      <c r="Q155" s="79"/>
      <c r="R155" s="79"/>
      <c r="Y155" s="79"/>
      <c r="AC155" s="130"/>
      <c r="AE155" s="106"/>
    </row>
    <row r="156">
      <c r="C156" s="79"/>
      <c r="D156" s="79"/>
      <c r="E156" s="79"/>
      <c r="P156" s="79"/>
      <c r="Q156" s="79"/>
      <c r="R156" s="79"/>
      <c r="Y156" s="79"/>
      <c r="AC156" s="130"/>
      <c r="AE156" s="106"/>
    </row>
    <row r="157">
      <c r="C157" s="79"/>
      <c r="D157" s="79"/>
      <c r="E157" s="79"/>
      <c r="P157" s="79"/>
      <c r="Q157" s="79"/>
      <c r="R157" s="79"/>
      <c r="Y157" s="79"/>
      <c r="AC157" s="130"/>
      <c r="AE157" s="106"/>
    </row>
    <row r="158">
      <c r="C158" s="79"/>
      <c r="D158" s="79"/>
      <c r="E158" s="79"/>
      <c r="P158" s="79"/>
      <c r="Q158" s="79"/>
      <c r="R158" s="79"/>
      <c r="Y158" s="79"/>
      <c r="AC158" s="130"/>
      <c r="AE158" s="106"/>
    </row>
    <row r="159">
      <c r="C159" s="79"/>
      <c r="D159" s="79"/>
      <c r="E159" s="79"/>
      <c r="P159" s="79"/>
      <c r="Q159" s="79"/>
      <c r="R159" s="79"/>
      <c r="Y159" s="79"/>
      <c r="AC159" s="130"/>
      <c r="AE159" s="106"/>
    </row>
    <row r="160">
      <c r="C160" s="79"/>
      <c r="D160" s="79"/>
      <c r="E160" s="79"/>
      <c r="P160" s="79"/>
      <c r="Q160" s="79"/>
      <c r="R160" s="79"/>
      <c r="Y160" s="79"/>
      <c r="AC160" s="130"/>
      <c r="AE160" s="106"/>
    </row>
    <row r="161">
      <c r="C161" s="79"/>
      <c r="D161" s="79"/>
      <c r="E161" s="79"/>
      <c r="P161" s="79"/>
      <c r="Q161" s="79"/>
      <c r="R161" s="79"/>
      <c r="Y161" s="79"/>
      <c r="AC161" s="130"/>
      <c r="AE161" s="106"/>
    </row>
    <row r="162">
      <c r="C162" s="79"/>
      <c r="D162" s="79"/>
      <c r="E162" s="79"/>
      <c r="P162" s="79"/>
      <c r="Q162" s="79"/>
      <c r="R162" s="79"/>
      <c r="Y162" s="79"/>
      <c r="AC162" s="130"/>
      <c r="AE162" s="106"/>
    </row>
    <row r="163">
      <c r="C163" s="79"/>
      <c r="D163" s="79"/>
      <c r="E163" s="79"/>
      <c r="P163" s="79"/>
      <c r="Q163" s="79"/>
      <c r="R163" s="79"/>
      <c r="Y163" s="79"/>
      <c r="AC163" s="130"/>
      <c r="AE163" s="106"/>
    </row>
    <row r="164">
      <c r="C164" s="79"/>
      <c r="D164" s="79"/>
      <c r="E164" s="79"/>
      <c r="P164" s="79"/>
      <c r="Q164" s="79"/>
      <c r="R164" s="79"/>
      <c r="Y164" s="79"/>
      <c r="AC164" s="130"/>
      <c r="AE164" s="106"/>
    </row>
    <row r="165">
      <c r="C165" s="79"/>
      <c r="D165" s="79"/>
      <c r="E165" s="79"/>
      <c r="P165" s="79"/>
      <c r="Q165" s="79"/>
      <c r="R165" s="79"/>
      <c r="Y165" s="79"/>
      <c r="AC165" s="130"/>
      <c r="AE165" s="106"/>
    </row>
    <row r="166">
      <c r="C166" s="79"/>
      <c r="D166" s="79"/>
      <c r="E166" s="79"/>
      <c r="P166" s="79"/>
      <c r="Q166" s="79"/>
      <c r="R166" s="79"/>
      <c r="Y166" s="79"/>
      <c r="AC166" s="130"/>
      <c r="AE166" s="106"/>
    </row>
    <row r="167">
      <c r="C167" s="79"/>
      <c r="D167" s="79"/>
      <c r="E167" s="79"/>
      <c r="P167" s="79"/>
      <c r="Q167" s="79"/>
      <c r="R167" s="79"/>
      <c r="Y167" s="79"/>
      <c r="AC167" s="130"/>
      <c r="AE167" s="106"/>
    </row>
    <row r="168">
      <c r="C168" s="79"/>
      <c r="D168" s="79"/>
      <c r="E168" s="79"/>
      <c r="P168" s="79"/>
      <c r="Q168" s="79"/>
      <c r="R168" s="79"/>
      <c r="Y168" s="79"/>
      <c r="AC168" s="130"/>
      <c r="AE168" s="106"/>
    </row>
    <row r="169">
      <c r="C169" s="79"/>
      <c r="D169" s="79"/>
      <c r="E169" s="79"/>
      <c r="P169" s="79"/>
      <c r="Q169" s="79"/>
      <c r="R169" s="79"/>
      <c r="Y169" s="79"/>
      <c r="AC169" s="130"/>
      <c r="AE169" s="106"/>
    </row>
    <row r="170">
      <c r="C170" s="79"/>
      <c r="D170" s="79"/>
      <c r="E170" s="79"/>
      <c r="P170" s="79"/>
      <c r="Q170" s="79"/>
      <c r="R170" s="79"/>
      <c r="Y170" s="79"/>
      <c r="AC170" s="130"/>
      <c r="AE170" s="106"/>
    </row>
    <row r="171">
      <c r="C171" s="79"/>
      <c r="D171" s="79"/>
      <c r="E171" s="79"/>
      <c r="P171" s="79"/>
      <c r="Q171" s="79"/>
      <c r="R171" s="79"/>
      <c r="Y171" s="79"/>
      <c r="AC171" s="130"/>
      <c r="AE171" s="106"/>
    </row>
    <row r="172">
      <c r="C172" s="79"/>
      <c r="D172" s="79"/>
      <c r="E172" s="79"/>
      <c r="P172" s="79"/>
      <c r="Q172" s="79"/>
      <c r="R172" s="79"/>
      <c r="Y172" s="79"/>
      <c r="AC172" s="130"/>
      <c r="AE172" s="106"/>
    </row>
    <row r="173">
      <c r="C173" s="79"/>
      <c r="D173" s="79"/>
      <c r="E173" s="79"/>
      <c r="P173" s="79"/>
      <c r="Q173" s="79"/>
      <c r="R173" s="79"/>
      <c r="Y173" s="79"/>
      <c r="AC173" s="130"/>
      <c r="AE173" s="106"/>
    </row>
    <row r="174">
      <c r="C174" s="79"/>
      <c r="D174" s="79"/>
      <c r="E174" s="79"/>
      <c r="P174" s="79"/>
      <c r="Q174" s="79"/>
      <c r="R174" s="79"/>
      <c r="Y174" s="79"/>
      <c r="AC174" s="130"/>
      <c r="AE174" s="106"/>
    </row>
    <row r="175">
      <c r="C175" s="79"/>
      <c r="D175" s="79"/>
      <c r="E175" s="79"/>
      <c r="P175" s="79"/>
      <c r="Q175" s="79"/>
      <c r="R175" s="79"/>
      <c r="Y175" s="79"/>
      <c r="AC175" s="130"/>
      <c r="AE175" s="106"/>
    </row>
    <row r="176">
      <c r="C176" s="79"/>
      <c r="D176" s="79"/>
      <c r="E176" s="79"/>
      <c r="P176" s="79"/>
      <c r="Q176" s="79"/>
      <c r="R176" s="79"/>
      <c r="Y176" s="79"/>
      <c r="AC176" s="130"/>
      <c r="AE176" s="106"/>
    </row>
    <row r="177">
      <c r="C177" s="79"/>
      <c r="D177" s="79"/>
      <c r="E177" s="79"/>
      <c r="P177" s="79"/>
      <c r="Q177" s="79"/>
      <c r="R177" s="79"/>
      <c r="Y177" s="79"/>
      <c r="AC177" s="130"/>
      <c r="AE177" s="106"/>
    </row>
    <row r="178">
      <c r="C178" s="79"/>
      <c r="D178" s="79"/>
      <c r="E178" s="79"/>
      <c r="P178" s="79"/>
      <c r="Q178" s="79"/>
      <c r="R178" s="79"/>
      <c r="Y178" s="79"/>
      <c r="AC178" s="130"/>
      <c r="AE178" s="106"/>
    </row>
    <row r="179">
      <c r="C179" s="79"/>
      <c r="D179" s="79"/>
      <c r="E179" s="79"/>
      <c r="P179" s="79"/>
      <c r="Q179" s="79"/>
      <c r="R179" s="79"/>
      <c r="Y179" s="79"/>
      <c r="AC179" s="130"/>
      <c r="AE179" s="106"/>
    </row>
    <row r="180">
      <c r="C180" s="79"/>
      <c r="D180" s="79"/>
      <c r="E180" s="79"/>
      <c r="P180" s="79"/>
      <c r="Q180" s="79"/>
      <c r="R180" s="79"/>
      <c r="Y180" s="79"/>
      <c r="AC180" s="130"/>
      <c r="AE180" s="106"/>
    </row>
    <row r="181">
      <c r="C181" s="79"/>
      <c r="D181" s="79"/>
      <c r="E181" s="79"/>
      <c r="P181" s="79"/>
      <c r="Q181" s="79"/>
      <c r="R181" s="79"/>
      <c r="Y181" s="79"/>
      <c r="AC181" s="130"/>
      <c r="AE181" s="106"/>
    </row>
    <row r="182">
      <c r="C182" s="79"/>
      <c r="D182" s="79"/>
      <c r="E182" s="79"/>
      <c r="P182" s="79"/>
      <c r="Q182" s="79"/>
      <c r="R182" s="79"/>
      <c r="Y182" s="79"/>
      <c r="AC182" s="130"/>
      <c r="AE182" s="106"/>
    </row>
    <row r="183">
      <c r="C183" s="79"/>
      <c r="D183" s="79"/>
      <c r="E183" s="79"/>
      <c r="P183" s="79"/>
      <c r="Q183" s="79"/>
      <c r="R183" s="79"/>
      <c r="Y183" s="79"/>
      <c r="AC183" s="130"/>
      <c r="AE183" s="106"/>
    </row>
    <row r="184">
      <c r="C184" s="79"/>
      <c r="D184" s="79"/>
      <c r="E184" s="79"/>
      <c r="P184" s="79"/>
      <c r="Q184" s="79"/>
      <c r="R184" s="79"/>
      <c r="Y184" s="79"/>
      <c r="AC184" s="130"/>
      <c r="AE184" s="106"/>
    </row>
    <row r="185">
      <c r="C185" s="79"/>
      <c r="D185" s="79"/>
      <c r="E185" s="79"/>
      <c r="P185" s="79"/>
      <c r="Q185" s="79"/>
      <c r="R185" s="79"/>
      <c r="Y185" s="79"/>
      <c r="AC185" s="130"/>
      <c r="AE185" s="106"/>
    </row>
    <row r="186">
      <c r="C186" s="79"/>
      <c r="D186" s="79"/>
      <c r="E186" s="79"/>
      <c r="P186" s="79"/>
      <c r="Q186" s="79"/>
      <c r="R186" s="79"/>
      <c r="Y186" s="79"/>
      <c r="AC186" s="130"/>
      <c r="AE186" s="106"/>
    </row>
    <row r="187">
      <c r="C187" s="79"/>
      <c r="D187" s="79"/>
      <c r="E187" s="79"/>
      <c r="P187" s="79"/>
      <c r="Q187" s="79"/>
      <c r="R187" s="79"/>
      <c r="Y187" s="79"/>
      <c r="AC187" s="130"/>
      <c r="AE187" s="106"/>
    </row>
    <row r="188">
      <c r="C188" s="79"/>
      <c r="D188" s="79"/>
      <c r="E188" s="79"/>
      <c r="P188" s="79"/>
      <c r="Q188" s="79"/>
      <c r="R188" s="79"/>
      <c r="Y188" s="79"/>
      <c r="AC188" s="130"/>
      <c r="AE188" s="106"/>
    </row>
    <row r="189">
      <c r="C189" s="79"/>
      <c r="D189" s="79"/>
      <c r="E189" s="79"/>
      <c r="P189" s="79"/>
      <c r="Q189" s="79"/>
      <c r="R189" s="79"/>
      <c r="Y189" s="79"/>
      <c r="AC189" s="130"/>
      <c r="AE189" s="106"/>
    </row>
    <row r="190">
      <c r="C190" s="79"/>
      <c r="D190" s="79"/>
      <c r="E190" s="79"/>
      <c r="P190" s="79"/>
      <c r="Q190" s="79"/>
      <c r="R190" s="79"/>
      <c r="Y190" s="79"/>
      <c r="AC190" s="130"/>
      <c r="AE190" s="106"/>
    </row>
    <row r="191">
      <c r="C191" s="79"/>
      <c r="D191" s="79"/>
      <c r="E191" s="79"/>
      <c r="P191" s="79"/>
      <c r="Q191" s="79"/>
      <c r="R191" s="79"/>
      <c r="Y191" s="79"/>
      <c r="AC191" s="130"/>
      <c r="AE191" s="106"/>
    </row>
    <row r="192">
      <c r="C192" s="79"/>
      <c r="D192" s="79"/>
      <c r="E192" s="79"/>
      <c r="P192" s="79"/>
      <c r="Q192" s="79"/>
      <c r="R192" s="79"/>
      <c r="Y192" s="79"/>
      <c r="AC192" s="130"/>
      <c r="AE192" s="106"/>
    </row>
    <row r="193">
      <c r="C193" s="79"/>
      <c r="D193" s="79"/>
      <c r="E193" s="79"/>
      <c r="P193" s="79"/>
      <c r="Q193" s="79"/>
      <c r="R193" s="79"/>
      <c r="Y193" s="79"/>
      <c r="AC193" s="130"/>
      <c r="AE193" s="106"/>
    </row>
    <row r="194">
      <c r="C194" s="79"/>
      <c r="D194" s="79"/>
      <c r="E194" s="79"/>
      <c r="P194" s="79"/>
      <c r="Q194" s="79"/>
      <c r="R194" s="79"/>
      <c r="Y194" s="79"/>
      <c r="AC194" s="130"/>
      <c r="AE194" s="106"/>
    </row>
    <row r="195">
      <c r="C195" s="79"/>
      <c r="D195" s="79"/>
      <c r="E195" s="79"/>
      <c r="P195" s="79"/>
      <c r="Q195" s="79"/>
      <c r="R195" s="79"/>
      <c r="Y195" s="79"/>
      <c r="AC195" s="130"/>
      <c r="AE195" s="106"/>
    </row>
    <row r="196">
      <c r="C196" s="79"/>
      <c r="D196" s="79"/>
      <c r="E196" s="79"/>
      <c r="P196" s="79"/>
      <c r="Q196" s="79"/>
      <c r="R196" s="79"/>
      <c r="Y196" s="79"/>
      <c r="AC196" s="130"/>
      <c r="AE196" s="106"/>
    </row>
    <row r="197">
      <c r="C197" s="79"/>
      <c r="D197" s="79"/>
      <c r="E197" s="79"/>
      <c r="P197" s="79"/>
      <c r="Q197" s="79"/>
      <c r="R197" s="79"/>
      <c r="Y197" s="79"/>
      <c r="AC197" s="130"/>
      <c r="AE197" s="106"/>
    </row>
    <row r="198">
      <c r="C198" s="79"/>
      <c r="D198" s="79"/>
      <c r="E198" s="79"/>
      <c r="P198" s="79"/>
      <c r="Q198" s="79"/>
      <c r="R198" s="79"/>
      <c r="Y198" s="79"/>
      <c r="AC198" s="130"/>
      <c r="AE198" s="106"/>
    </row>
    <row r="199">
      <c r="C199" s="79"/>
      <c r="D199" s="79"/>
      <c r="E199" s="79"/>
      <c r="P199" s="79"/>
      <c r="Q199" s="79"/>
      <c r="R199" s="79"/>
      <c r="Y199" s="79"/>
      <c r="AC199" s="130"/>
      <c r="AE199" s="106"/>
    </row>
    <row r="200">
      <c r="C200" s="79"/>
      <c r="D200" s="79"/>
      <c r="E200" s="79"/>
      <c r="P200" s="79"/>
      <c r="Q200" s="79"/>
      <c r="R200" s="79"/>
      <c r="Y200" s="79"/>
      <c r="AC200" s="130"/>
      <c r="AE200" s="106"/>
    </row>
    <row r="201">
      <c r="C201" s="79"/>
      <c r="D201" s="79"/>
      <c r="E201" s="79"/>
      <c r="P201" s="79"/>
      <c r="Q201" s="79"/>
      <c r="R201" s="79"/>
      <c r="Y201" s="79"/>
      <c r="AC201" s="130"/>
      <c r="AE201" s="106"/>
    </row>
    <row r="202">
      <c r="C202" s="79"/>
      <c r="D202" s="79"/>
      <c r="E202" s="79"/>
      <c r="P202" s="79"/>
      <c r="Q202" s="79"/>
      <c r="R202" s="79"/>
      <c r="Y202" s="79"/>
      <c r="AC202" s="130"/>
      <c r="AE202" s="106"/>
    </row>
    <row r="203">
      <c r="C203" s="79"/>
      <c r="D203" s="79"/>
      <c r="E203" s="79"/>
      <c r="P203" s="79"/>
      <c r="Q203" s="79"/>
      <c r="R203" s="79"/>
      <c r="Y203" s="79"/>
      <c r="AC203" s="130"/>
      <c r="AE203" s="106"/>
    </row>
    <row r="204">
      <c r="C204" s="79"/>
      <c r="D204" s="79"/>
      <c r="E204" s="79"/>
      <c r="P204" s="79"/>
      <c r="Q204" s="79"/>
      <c r="R204" s="79"/>
      <c r="Y204" s="79"/>
      <c r="AC204" s="130"/>
      <c r="AE204" s="106"/>
    </row>
    <row r="205">
      <c r="C205" s="79"/>
      <c r="D205" s="79"/>
      <c r="E205" s="79"/>
      <c r="P205" s="79"/>
      <c r="Q205" s="79"/>
      <c r="R205" s="79"/>
      <c r="Y205" s="79"/>
      <c r="AC205" s="130"/>
      <c r="AE205" s="106"/>
    </row>
    <row r="206">
      <c r="C206" s="79"/>
      <c r="D206" s="79"/>
      <c r="E206" s="79"/>
      <c r="P206" s="79"/>
      <c r="Q206" s="79"/>
      <c r="R206" s="79"/>
      <c r="Y206" s="79"/>
      <c r="AC206" s="130"/>
      <c r="AE206" s="106"/>
    </row>
    <row r="207">
      <c r="C207" s="79"/>
      <c r="D207" s="79"/>
      <c r="E207" s="79"/>
      <c r="P207" s="79"/>
      <c r="Q207" s="79"/>
      <c r="R207" s="79"/>
      <c r="Y207" s="79"/>
      <c r="AC207" s="130"/>
      <c r="AE207" s="106"/>
    </row>
    <row r="208">
      <c r="C208" s="79"/>
      <c r="D208" s="79"/>
      <c r="E208" s="79"/>
      <c r="P208" s="79"/>
      <c r="Q208" s="79"/>
      <c r="R208" s="79"/>
      <c r="Y208" s="79"/>
      <c r="AC208" s="130"/>
      <c r="AE208" s="106"/>
    </row>
    <row r="209">
      <c r="C209" s="79"/>
      <c r="D209" s="79"/>
      <c r="E209" s="79"/>
      <c r="P209" s="79"/>
      <c r="Q209" s="79"/>
      <c r="R209" s="79"/>
      <c r="Y209" s="79"/>
      <c r="AC209" s="130"/>
      <c r="AE209" s="106"/>
    </row>
    <row r="210">
      <c r="C210" s="79"/>
      <c r="D210" s="79"/>
      <c r="E210" s="79"/>
      <c r="P210" s="79"/>
      <c r="Q210" s="79"/>
      <c r="R210" s="79"/>
      <c r="Y210" s="79"/>
      <c r="AC210" s="130"/>
      <c r="AE210" s="106"/>
    </row>
    <row r="211">
      <c r="C211" s="79"/>
      <c r="D211" s="79"/>
      <c r="E211" s="79"/>
      <c r="P211" s="79"/>
      <c r="Q211" s="79"/>
      <c r="R211" s="79"/>
      <c r="Y211" s="79"/>
      <c r="AC211" s="130"/>
      <c r="AE211" s="106"/>
    </row>
    <row r="212">
      <c r="C212" s="79"/>
      <c r="D212" s="79"/>
      <c r="E212" s="79"/>
      <c r="P212" s="79"/>
      <c r="Q212" s="79"/>
      <c r="R212" s="79"/>
      <c r="Y212" s="79"/>
      <c r="AC212" s="130"/>
      <c r="AE212" s="106"/>
    </row>
    <row r="213">
      <c r="C213" s="79"/>
      <c r="D213" s="79"/>
      <c r="E213" s="79"/>
      <c r="P213" s="79"/>
      <c r="Q213" s="79"/>
      <c r="R213" s="79"/>
      <c r="Y213" s="79"/>
      <c r="AC213" s="130"/>
      <c r="AE213" s="106"/>
    </row>
    <row r="214">
      <c r="C214" s="79"/>
      <c r="D214" s="79"/>
      <c r="E214" s="79"/>
      <c r="P214" s="79"/>
      <c r="Q214" s="79"/>
      <c r="R214" s="79"/>
      <c r="Y214" s="79"/>
      <c r="AC214" s="130"/>
      <c r="AE214" s="106"/>
    </row>
    <row r="215">
      <c r="C215" s="79"/>
      <c r="D215" s="79"/>
      <c r="E215" s="79"/>
      <c r="P215" s="79"/>
      <c r="Q215" s="79"/>
      <c r="R215" s="79"/>
      <c r="Y215" s="79"/>
      <c r="AC215" s="130"/>
      <c r="AE215" s="106"/>
    </row>
    <row r="216">
      <c r="C216" s="79"/>
      <c r="D216" s="79"/>
      <c r="E216" s="79"/>
      <c r="P216" s="79"/>
      <c r="Q216" s="79"/>
      <c r="R216" s="79"/>
      <c r="Y216" s="79"/>
      <c r="AC216" s="130"/>
      <c r="AE216" s="106"/>
    </row>
    <row r="217">
      <c r="C217" s="79"/>
      <c r="D217" s="79"/>
      <c r="E217" s="79"/>
      <c r="P217" s="79"/>
      <c r="Q217" s="79"/>
      <c r="R217" s="79"/>
      <c r="Y217" s="79"/>
      <c r="AC217" s="130"/>
      <c r="AE217" s="106"/>
    </row>
    <row r="218">
      <c r="C218" s="79"/>
      <c r="D218" s="79"/>
      <c r="E218" s="79"/>
      <c r="P218" s="79"/>
      <c r="Q218" s="79"/>
      <c r="R218" s="79"/>
      <c r="Y218" s="79"/>
      <c r="AC218" s="130"/>
      <c r="AE218" s="106"/>
    </row>
    <row r="219">
      <c r="C219" s="79"/>
      <c r="D219" s="79"/>
      <c r="E219" s="79"/>
      <c r="P219" s="79"/>
      <c r="Q219" s="79"/>
      <c r="R219" s="79"/>
      <c r="Y219" s="79"/>
      <c r="AC219" s="130"/>
      <c r="AE219" s="106"/>
    </row>
    <row r="220">
      <c r="C220" s="79"/>
      <c r="D220" s="79"/>
      <c r="E220" s="79"/>
      <c r="P220" s="79"/>
      <c r="Q220" s="79"/>
      <c r="R220" s="79"/>
      <c r="Y220" s="79"/>
      <c r="AC220" s="130"/>
      <c r="AE220" s="106"/>
    </row>
    <row r="221">
      <c r="C221" s="79"/>
      <c r="D221" s="79"/>
      <c r="E221" s="79"/>
      <c r="P221" s="79"/>
      <c r="Q221" s="79"/>
      <c r="R221" s="79"/>
      <c r="Y221" s="79"/>
      <c r="AC221" s="130"/>
      <c r="AE221" s="106"/>
    </row>
    <row r="222">
      <c r="C222" s="79"/>
      <c r="D222" s="79"/>
      <c r="E222" s="79"/>
      <c r="P222" s="79"/>
      <c r="Q222" s="79"/>
      <c r="R222" s="79"/>
      <c r="Y222" s="79"/>
      <c r="AC222" s="130"/>
      <c r="AE222" s="106"/>
    </row>
    <row r="223">
      <c r="C223" s="79"/>
      <c r="D223" s="79"/>
      <c r="E223" s="79"/>
      <c r="P223" s="79"/>
      <c r="Q223" s="79"/>
      <c r="R223" s="79"/>
      <c r="Y223" s="79"/>
      <c r="AC223" s="130"/>
      <c r="AE223" s="106"/>
    </row>
    <row r="224">
      <c r="C224" s="79"/>
      <c r="D224" s="79"/>
      <c r="E224" s="79"/>
      <c r="P224" s="79"/>
      <c r="Q224" s="79"/>
      <c r="R224" s="79"/>
      <c r="Y224" s="79"/>
      <c r="AC224" s="130"/>
      <c r="AE224" s="106"/>
    </row>
    <row r="225">
      <c r="C225" s="79"/>
      <c r="D225" s="79"/>
      <c r="E225" s="79"/>
      <c r="P225" s="79"/>
      <c r="Q225" s="79"/>
      <c r="R225" s="79"/>
      <c r="Y225" s="79"/>
      <c r="AC225" s="130"/>
      <c r="AE225" s="106"/>
    </row>
    <row r="226">
      <c r="C226" s="79"/>
      <c r="D226" s="79"/>
      <c r="E226" s="79"/>
      <c r="P226" s="79"/>
      <c r="Q226" s="79"/>
      <c r="R226" s="79"/>
      <c r="Y226" s="79"/>
      <c r="AC226" s="130"/>
      <c r="AE226" s="106"/>
    </row>
    <row r="227">
      <c r="C227" s="79"/>
      <c r="D227" s="79"/>
      <c r="E227" s="79"/>
      <c r="P227" s="79"/>
      <c r="Q227" s="79"/>
      <c r="R227" s="79"/>
      <c r="Y227" s="79"/>
      <c r="AC227" s="130"/>
      <c r="AE227" s="106"/>
    </row>
    <row r="228">
      <c r="C228" s="79"/>
      <c r="D228" s="79"/>
      <c r="E228" s="79"/>
      <c r="P228" s="79"/>
      <c r="Q228" s="79"/>
      <c r="R228" s="79"/>
      <c r="Y228" s="79"/>
      <c r="AC228" s="130"/>
      <c r="AE228" s="106"/>
    </row>
    <row r="229">
      <c r="C229" s="79"/>
      <c r="D229" s="79"/>
      <c r="E229" s="79"/>
      <c r="P229" s="79"/>
      <c r="Q229" s="79"/>
      <c r="R229" s="79"/>
      <c r="Y229" s="79"/>
      <c r="AC229" s="130"/>
      <c r="AE229" s="106"/>
    </row>
    <row r="230">
      <c r="C230" s="79"/>
      <c r="D230" s="79"/>
      <c r="E230" s="79"/>
      <c r="P230" s="79"/>
      <c r="Q230" s="79"/>
      <c r="R230" s="79"/>
      <c r="Y230" s="79"/>
      <c r="AC230" s="130"/>
      <c r="AE230" s="106"/>
    </row>
    <row r="231">
      <c r="C231" s="79"/>
      <c r="D231" s="79"/>
      <c r="E231" s="79"/>
      <c r="P231" s="79"/>
      <c r="Q231" s="79"/>
      <c r="R231" s="79"/>
      <c r="Y231" s="79"/>
      <c r="AC231" s="130"/>
      <c r="AE231" s="106"/>
    </row>
    <row r="232">
      <c r="C232" s="79"/>
      <c r="D232" s="79"/>
      <c r="E232" s="79"/>
      <c r="P232" s="79"/>
      <c r="Q232" s="79"/>
      <c r="R232" s="79"/>
      <c r="Y232" s="79"/>
      <c r="AC232" s="130"/>
      <c r="AE232" s="106"/>
    </row>
    <row r="233">
      <c r="C233" s="79"/>
      <c r="D233" s="79"/>
      <c r="E233" s="79"/>
      <c r="P233" s="79"/>
      <c r="Q233" s="79"/>
      <c r="R233" s="79"/>
      <c r="Y233" s="79"/>
      <c r="AC233" s="130"/>
      <c r="AE233" s="106"/>
    </row>
    <row r="234">
      <c r="C234" s="79"/>
      <c r="D234" s="79"/>
      <c r="E234" s="79"/>
      <c r="P234" s="79"/>
      <c r="Q234" s="79"/>
      <c r="R234" s="79"/>
      <c r="Y234" s="79"/>
      <c r="AC234" s="130"/>
      <c r="AE234" s="106"/>
    </row>
    <row r="235">
      <c r="C235" s="79"/>
      <c r="D235" s="79"/>
      <c r="E235" s="79"/>
      <c r="P235" s="79"/>
      <c r="Q235" s="79"/>
      <c r="R235" s="79"/>
      <c r="Y235" s="79"/>
      <c r="AC235" s="130"/>
      <c r="AE235" s="106"/>
    </row>
    <row r="236">
      <c r="C236" s="79"/>
      <c r="D236" s="79"/>
      <c r="E236" s="79"/>
      <c r="P236" s="79"/>
      <c r="Q236" s="79"/>
      <c r="R236" s="79"/>
      <c r="Y236" s="79"/>
      <c r="AC236" s="130"/>
      <c r="AE236" s="106"/>
    </row>
    <row r="237">
      <c r="C237" s="79"/>
      <c r="D237" s="79"/>
      <c r="E237" s="79"/>
      <c r="P237" s="79"/>
      <c r="Q237" s="79"/>
      <c r="R237" s="79"/>
      <c r="Y237" s="79"/>
      <c r="AC237" s="130"/>
      <c r="AE237" s="106"/>
    </row>
    <row r="238">
      <c r="C238" s="79"/>
      <c r="D238" s="79"/>
      <c r="E238" s="79"/>
      <c r="P238" s="79"/>
      <c r="Q238" s="79"/>
      <c r="R238" s="79"/>
      <c r="Y238" s="79"/>
      <c r="AC238" s="130"/>
      <c r="AE238" s="106"/>
    </row>
    <row r="239">
      <c r="C239" s="79"/>
      <c r="D239" s="79"/>
      <c r="E239" s="79"/>
      <c r="P239" s="79"/>
      <c r="Q239" s="79"/>
      <c r="R239" s="79"/>
      <c r="Y239" s="79"/>
      <c r="AC239" s="130"/>
      <c r="AE239" s="106"/>
    </row>
    <row r="240">
      <c r="C240" s="79"/>
      <c r="D240" s="79"/>
      <c r="E240" s="79"/>
      <c r="P240" s="79"/>
      <c r="Q240" s="79"/>
      <c r="R240" s="79"/>
      <c r="Y240" s="79"/>
      <c r="AC240" s="130"/>
      <c r="AE240" s="106"/>
    </row>
    <row r="241">
      <c r="C241" s="79"/>
      <c r="D241" s="79"/>
      <c r="E241" s="79"/>
      <c r="P241" s="79"/>
      <c r="Q241" s="79"/>
      <c r="R241" s="79"/>
      <c r="Y241" s="79"/>
      <c r="AC241" s="130"/>
      <c r="AE241" s="106"/>
    </row>
    <row r="242">
      <c r="C242" s="79"/>
      <c r="D242" s="79"/>
      <c r="E242" s="79"/>
      <c r="P242" s="79"/>
      <c r="Q242" s="79"/>
      <c r="R242" s="79"/>
      <c r="Y242" s="79"/>
      <c r="AC242" s="130"/>
      <c r="AE242" s="106"/>
    </row>
    <row r="243">
      <c r="C243" s="79"/>
      <c r="D243" s="79"/>
      <c r="E243" s="79"/>
      <c r="P243" s="79"/>
      <c r="Q243" s="79"/>
      <c r="R243" s="79"/>
      <c r="Y243" s="79"/>
      <c r="AC243" s="130"/>
      <c r="AE243" s="106"/>
    </row>
    <row r="244">
      <c r="C244" s="79"/>
      <c r="D244" s="79"/>
      <c r="E244" s="79"/>
      <c r="P244" s="79"/>
      <c r="Q244" s="79"/>
      <c r="R244" s="79"/>
      <c r="Y244" s="79"/>
      <c r="AC244" s="130"/>
      <c r="AE244" s="106"/>
    </row>
    <row r="245">
      <c r="C245" s="79"/>
      <c r="D245" s="79"/>
      <c r="E245" s="79"/>
      <c r="P245" s="79"/>
      <c r="Q245" s="79"/>
      <c r="R245" s="79"/>
      <c r="Y245" s="79"/>
      <c r="AC245" s="130"/>
      <c r="AE245" s="106"/>
    </row>
    <row r="246">
      <c r="C246" s="79"/>
      <c r="D246" s="79"/>
      <c r="E246" s="79"/>
      <c r="P246" s="79"/>
      <c r="Q246" s="79"/>
      <c r="R246" s="79"/>
      <c r="Y246" s="79"/>
      <c r="AC246" s="130"/>
      <c r="AE246" s="106"/>
    </row>
    <row r="247">
      <c r="C247" s="79"/>
      <c r="D247" s="79"/>
      <c r="E247" s="79"/>
      <c r="P247" s="79"/>
      <c r="Q247" s="79"/>
      <c r="R247" s="79"/>
      <c r="Y247" s="79"/>
      <c r="AC247" s="130"/>
      <c r="AE247" s="106"/>
    </row>
    <row r="248">
      <c r="C248" s="79"/>
      <c r="D248" s="79"/>
      <c r="E248" s="79"/>
      <c r="P248" s="79"/>
      <c r="Q248" s="79"/>
      <c r="R248" s="79"/>
      <c r="Y248" s="79"/>
      <c r="AC248" s="130"/>
      <c r="AE248" s="106"/>
    </row>
    <row r="249">
      <c r="C249" s="79"/>
      <c r="D249" s="79"/>
      <c r="E249" s="79"/>
      <c r="P249" s="79"/>
      <c r="Q249" s="79"/>
      <c r="R249" s="79"/>
      <c r="Y249" s="79"/>
      <c r="AC249" s="130"/>
      <c r="AE249" s="106"/>
    </row>
    <row r="250">
      <c r="C250" s="79"/>
      <c r="D250" s="79"/>
      <c r="E250" s="79"/>
      <c r="P250" s="79"/>
      <c r="Q250" s="79"/>
      <c r="R250" s="79"/>
      <c r="Y250" s="79"/>
      <c r="AC250" s="130"/>
      <c r="AE250" s="106"/>
    </row>
    <row r="251">
      <c r="C251" s="79"/>
      <c r="D251" s="79"/>
      <c r="E251" s="79"/>
      <c r="P251" s="79"/>
      <c r="Q251" s="79"/>
      <c r="R251" s="79"/>
      <c r="Y251" s="79"/>
      <c r="AC251" s="130"/>
      <c r="AE251" s="106"/>
    </row>
    <row r="252">
      <c r="C252" s="79"/>
      <c r="D252" s="79"/>
      <c r="E252" s="79"/>
      <c r="P252" s="79"/>
      <c r="Q252" s="79"/>
      <c r="R252" s="79"/>
      <c r="Y252" s="79"/>
      <c r="AC252" s="130"/>
      <c r="AE252" s="106"/>
    </row>
    <row r="253">
      <c r="C253" s="79"/>
      <c r="D253" s="79"/>
      <c r="E253" s="79"/>
      <c r="P253" s="79"/>
      <c r="Q253" s="79"/>
      <c r="R253" s="79"/>
      <c r="Y253" s="79"/>
      <c r="AC253" s="130"/>
      <c r="AE253" s="106"/>
    </row>
    <row r="254">
      <c r="C254" s="79"/>
      <c r="D254" s="79"/>
      <c r="E254" s="79"/>
      <c r="P254" s="79"/>
      <c r="Q254" s="79"/>
      <c r="R254" s="79"/>
      <c r="Y254" s="79"/>
      <c r="AC254" s="130"/>
      <c r="AE254" s="106"/>
    </row>
    <row r="255">
      <c r="C255" s="79"/>
      <c r="D255" s="79"/>
      <c r="E255" s="79"/>
      <c r="P255" s="79"/>
      <c r="Q255" s="79"/>
      <c r="R255" s="79"/>
      <c r="Y255" s="79"/>
      <c r="AC255" s="130"/>
      <c r="AE255" s="106"/>
    </row>
    <row r="256">
      <c r="C256" s="79"/>
      <c r="D256" s="79"/>
      <c r="E256" s="79"/>
      <c r="P256" s="79"/>
      <c r="Q256" s="79"/>
      <c r="R256" s="79"/>
      <c r="Y256" s="79"/>
      <c r="AC256" s="130"/>
      <c r="AE256" s="106"/>
    </row>
    <row r="257">
      <c r="C257" s="79"/>
      <c r="D257" s="79"/>
      <c r="E257" s="79"/>
      <c r="P257" s="79"/>
      <c r="Q257" s="79"/>
      <c r="R257" s="79"/>
      <c r="Y257" s="79"/>
      <c r="AC257" s="130"/>
      <c r="AE257" s="106"/>
    </row>
    <row r="258">
      <c r="C258" s="79"/>
      <c r="D258" s="79"/>
      <c r="E258" s="79"/>
      <c r="P258" s="79"/>
      <c r="Q258" s="79"/>
      <c r="R258" s="79"/>
      <c r="Y258" s="79"/>
      <c r="AC258" s="130"/>
      <c r="AE258" s="106"/>
    </row>
    <row r="259">
      <c r="C259" s="79"/>
      <c r="D259" s="79"/>
      <c r="E259" s="79"/>
      <c r="P259" s="79"/>
      <c r="Q259" s="79"/>
      <c r="R259" s="79"/>
      <c r="Y259" s="79"/>
      <c r="AC259" s="130"/>
      <c r="AE259" s="106"/>
    </row>
    <row r="260">
      <c r="C260" s="79"/>
      <c r="D260" s="79"/>
      <c r="E260" s="79"/>
      <c r="P260" s="79"/>
      <c r="Q260" s="79"/>
      <c r="R260" s="79"/>
      <c r="Y260" s="79"/>
      <c r="AC260" s="130"/>
      <c r="AE260" s="106"/>
    </row>
    <row r="261">
      <c r="C261" s="79"/>
      <c r="D261" s="79"/>
      <c r="E261" s="79"/>
      <c r="P261" s="79"/>
      <c r="Q261" s="79"/>
      <c r="R261" s="79"/>
      <c r="Y261" s="79"/>
      <c r="AC261" s="130"/>
      <c r="AE261" s="106"/>
    </row>
    <row r="262">
      <c r="C262" s="79"/>
      <c r="D262" s="79"/>
      <c r="E262" s="79"/>
      <c r="P262" s="79"/>
      <c r="Q262" s="79"/>
      <c r="R262" s="79"/>
      <c r="Y262" s="79"/>
      <c r="AC262" s="130"/>
      <c r="AE262" s="106"/>
    </row>
    <row r="263">
      <c r="C263" s="79"/>
      <c r="D263" s="79"/>
      <c r="E263" s="79"/>
      <c r="P263" s="79"/>
      <c r="Q263" s="79"/>
      <c r="R263" s="79"/>
      <c r="Y263" s="79"/>
      <c r="AC263" s="130"/>
      <c r="AE263" s="106"/>
    </row>
    <row r="264">
      <c r="C264" s="79"/>
      <c r="D264" s="79"/>
      <c r="E264" s="79"/>
      <c r="P264" s="79"/>
      <c r="Q264" s="79"/>
      <c r="R264" s="79"/>
      <c r="Y264" s="79"/>
      <c r="AC264" s="130"/>
      <c r="AE264" s="106"/>
    </row>
    <row r="265">
      <c r="C265" s="79"/>
      <c r="D265" s="79"/>
      <c r="E265" s="79"/>
      <c r="P265" s="79"/>
      <c r="Q265" s="79"/>
      <c r="R265" s="79"/>
      <c r="Y265" s="79"/>
      <c r="AC265" s="130"/>
      <c r="AE265" s="106"/>
    </row>
    <row r="266">
      <c r="C266" s="79"/>
      <c r="D266" s="79"/>
      <c r="E266" s="79"/>
      <c r="P266" s="79"/>
      <c r="Q266" s="79"/>
      <c r="R266" s="79"/>
      <c r="Y266" s="79"/>
      <c r="AC266" s="130"/>
      <c r="AE266" s="106"/>
    </row>
    <row r="267">
      <c r="C267" s="79"/>
      <c r="D267" s="79"/>
      <c r="E267" s="79"/>
      <c r="P267" s="79"/>
      <c r="Q267" s="79"/>
      <c r="R267" s="79"/>
      <c r="Y267" s="79"/>
      <c r="AC267" s="130"/>
      <c r="AE267" s="106"/>
    </row>
    <row r="268">
      <c r="C268" s="79"/>
      <c r="D268" s="79"/>
      <c r="E268" s="79"/>
      <c r="P268" s="79"/>
      <c r="Q268" s="79"/>
      <c r="R268" s="79"/>
      <c r="Y268" s="79"/>
      <c r="AC268" s="130"/>
      <c r="AE268" s="106"/>
    </row>
    <row r="269">
      <c r="C269" s="79"/>
      <c r="D269" s="79"/>
      <c r="E269" s="79"/>
      <c r="P269" s="79"/>
      <c r="Q269" s="79"/>
      <c r="R269" s="79"/>
      <c r="Y269" s="79"/>
      <c r="AC269" s="130"/>
      <c r="AE269" s="106"/>
    </row>
    <row r="270">
      <c r="C270" s="79"/>
      <c r="D270" s="79"/>
      <c r="E270" s="79"/>
      <c r="P270" s="79"/>
      <c r="Q270" s="79"/>
      <c r="R270" s="79"/>
      <c r="Y270" s="79"/>
      <c r="AC270" s="130"/>
      <c r="AE270" s="106"/>
    </row>
    <row r="271">
      <c r="C271" s="79"/>
      <c r="D271" s="79"/>
      <c r="E271" s="79"/>
      <c r="P271" s="79"/>
      <c r="Q271" s="79"/>
      <c r="R271" s="79"/>
      <c r="Y271" s="79"/>
      <c r="AC271" s="130"/>
      <c r="AE271" s="106"/>
    </row>
    <row r="272">
      <c r="C272" s="79"/>
      <c r="D272" s="79"/>
      <c r="E272" s="79"/>
      <c r="P272" s="79"/>
      <c r="Q272" s="79"/>
      <c r="R272" s="79"/>
      <c r="Y272" s="79"/>
      <c r="AC272" s="130"/>
      <c r="AE272" s="106"/>
    </row>
    <row r="273">
      <c r="C273" s="79"/>
      <c r="D273" s="79"/>
      <c r="E273" s="79"/>
      <c r="P273" s="79"/>
      <c r="Q273" s="79"/>
      <c r="R273" s="79"/>
      <c r="Y273" s="79"/>
      <c r="AC273" s="130"/>
      <c r="AE273" s="106"/>
    </row>
    <row r="274">
      <c r="C274" s="79"/>
      <c r="D274" s="79"/>
      <c r="E274" s="79"/>
      <c r="P274" s="79"/>
      <c r="Q274" s="79"/>
      <c r="R274" s="79"/>
      <c r="Y274" s="79"/>
      <c r="AC274" s="130"/>
      <c r="AE274" s="106"/>
    </row>
    <row r="275">
      <c r="C275" s="79"/>
      <c r="D275" s="79"/>
      <c r="E275" s="79"/>
      <c r="P275" s="79"/>
      <c r="Q275" s="79"/>
      <c r="R275" s="79"/>
      <c r="Y275" s="79"/>
      <c r="AC275" s="130"/>
      <c r="AE275" s="106"/>
    </row>
    <row r="276">
      <c r="C276" s="79"/>
      <c r="D276" s="79"/>
      <c r="E276" s="79"/>
      <c r="P276" s="79"/>
      <c r="Q276" s="79"/>
      <c r="R276" s="79"/>
      <c r="Y276" s="79"/>
      <c r="AC276" s="130"/>
      <c r="AE276" s="106"/>
    </row>
    <row r="277">
      <c r="C277" s="79"/>
      <c r="D277" s="79"/>
      <c r="E277" s="79"/>
      <c r="P277" s="79"/>
      <c r="Q277" s="79"/>
      <c r="R277" s="79"/>
      <c r="Y277" s="79"/>
      <c r="AC277" s="130"/>
      <c r="AE277" s="106"/>
    </row>
    <row r="278">
      <c r="C278" s="79"/>
      <c r="D278" s="79"/>
      <c r="E278" s="79"/>
      <c r="P278" s="79"/>
      <c r="Q278" s="79"/>
      <c r="R278" s="79"/>
      <c r="Y278" s="79"/>
      <c r="AC278" s="130"/>
      <c r="AE278" s="106"/>
    </row>
    <row r="279">
      <c r="C279" s="79"/>
      <c r="D279" s="79"/>
      <c r="E279" s="79"/>
      <c r="P279" s="79"/>
      <c r="Q279" s="79"/>
      <c r="R279" s="79"/>
      <c r="Y279" s="79"/>
      <c r="AC279" s="130"/>
      <c r="AE279" s="106"/>
    </row>
    <row r="280">
      <c r="C280" s="79"/>
      <c r="D280" s="79"/>
      <c r="E280" s="79"/>
      <c r="P280" s="79"/>
      <c r="Q280" s="79"/>
      <c r="R280" s="79"/>
      <c r="Y280" s="79"/>
      <c r="AC280" s="130"/>
      <c r="AE280" s="106"/>
    </row>
    <row r="281">
      <c r="C281" s="79"/>
      <c r="D281" s="79"/>
      <c r="E281" s="79"/>
      <c r="P281" s="79"/>
      <c r="Q281" s="79"/>
      <c r="R281" s="79"/>
      <c r="Y281" s="79"/>
      <c r="AC281" s="130"/>
      <c r="AE281" s="106"/>
    </row>
    <row r="282">
      <c r="C282" s="79"/>
      <c r="D282" s="79"/>
      <c r="E282" s="79"/>
      <c r="P282" s="79"/>
      <c r="Q282" s="79"/>
      <c r="R282" s="79"/>
      <c r="Y282" s="79"/>
      <c r="AC282" s="130"/>
      <c r="AE282" s="106"/>
    </row>
    <row r="283">
      <c r="C283" s="79"/>
      <c r="D283" s="79"/>
      <c r="E283" s="79"/>
      <c r="P283" s="79"/>
      <c r="Q283" s="79"/>
      <c r="R283" s="79"/>
      <c r="Y283" s="79"/>
      <c r="AC283" s="130"/>
      <c r="AE283" s="106"/>
    </row>
    <row r="284">
      <c r="C284" s="79"/>
      <c r="D284" s="79"/>
      <c r="E284" s="79"/>
      <c r="P284" s="79"/>
      <c r="Q284" s="79"/>
      <c r="R284" s="79"/>
      <c r="Y284" s="79"/>
      <c r="AC284" s="130"/>
      <c r="AE284" s="106"/>
    </row>
    <row r="285">
      <c r="C285" s="79"/>
      <c r="D285" s="79"/>
      <c r="E285" s="79"/>
      <c r="P285" s="79"/>
      <c r="Q285" s="79"/>
      <c r="R285" s="79"/>
      <c r="Y285" s="79"/>
      <c r="AC285" s="130"/>
      <c r="AE285" s="106"/>
    </row>
    <row r="286">
      <c r="C286" s="79"/>
      <c r="D286" s="79"/>
      <c r="E286" s="79"/>
      <c r="P286" s="79"/>
      <c r="Q286" s="79"/>
      <c r="R286" s="79"/>
      <c r="Y286" s="79"/>
      <c r="AC286" s="130"/>
      <c r="AE286" s="106"/>
    </row>
    <row r="287">
      <c r="C287" s="79"/>
      <c r="D287" s="79"/>
      <c r="E287" s="79"/>
      <c r="P287" s="79"/>
      <c r="Q287" s="79"/>
      <c r="R287" s="79"/>
      <c r="Y287" s="79"/>
      <c r="AC287" s="130"/>
      <c r="AE287" s="106"/>
    </row>
    <row r="288">
      <c r="C288" s="79"/>
      <c r="D288" s="79"/>
      <c r="E288" s="79"/>
      <c r="P288" s="79"/>
      <c r="Q288" s="79"/>
      <c r="R288" s="79"/>
      <c r="Y288" s="79"/>
      <c r="AC288" s="130"/>
      <c r="AE288" s="106"/>
    </row>
    <row r="289">
      <c r="C289" s="79"/>
      <c r="D289" s="79"/>
      <c r="E289" s="79"/>
      <c r="P289" s="79"/>
      <c r="Q289" s="79"/>
      <c r="R289" s="79"/>
      <c r="Y289" s="79"/>
      <c r="AC289" s="130"/>
      <c r="AE289" s="106"/>
    </row>
    <row r="290">
      <c r="C290" s="79"/>
      <c r="D290" s="79"/>
      <c r="E290" s="79"/>
      <c r="P290" s="79"/>
      <c r="Q290" s="79"/>
      <c r="R290" s="79"/>
      <c r="Y290" s="79"/>
      <c r="AC290" s="130"/>
      <c r="AE290" s="106"/>
    </row>
    <row r="291">
      <c r="C291" s="79"/>
      <c r="D291" s="79"/>
      <c r="E291" s="79"/>
      <c r="P291" s="79"/>
      <c r="Q291" s="79"/>
      <c r="R291" s="79"/>
      <c r="Y291" s="79"/>
      <c r="AC291" s="130"/>
      <c r="AE291" s="106"/>
    </row>
    <row r="292">
      <c r="C292" s="79"/>
      <c r="D292" s="79"/>
      <c r="E292" s="79"/>
      <c r="P292" s="79"/>
      <c r="Q292" s="79"/>
      <c r="R292" s="79"/>
      <c r="Y292" s="79"/>
      <c r="AC292" s="130"/>
      <c r="AE292" s="106"/>
    </row>
    <row r="293">
      <c r="C293" s="79"/>
      <c r="D293" s="79"/>
      <c r="E293" s="79"/>
      <c r="P293" s="79"/>
      <c r="Q293" s="79"/>
      <c r="R293" s="79"/>
      <c r="Y293" s="79"/>
      <c r="AC293" s="130"/>
      <c r="AE293" s="106"/>
    </row>
    <row r="294">
      <c r="C294" s="79"/>
      <c r="D294" s="79"/>
      <c r="E294" s="79"/>
      <c r="P294" s="79"/>
      <c r="Q294" s="79"/>
      <c r="R294" s="79"/>
      <c r="Y294" s="79"/>
      <c r="AC294" s="130"/>
      <c r="AE294" s="106"/>
    </row>
    <row r="295">
      <c r="C295" s="79"/>
      <c r="D295" s="79"/>
      <c r="E295" s="79"/>
      <c r="P295" s="79"/>
      <c r="Q295" s="79"/>
      <c r="R295" s="79"/>
      <c r="Y295" s="79"/>
      <c r="AC295" s="130"/>
      <c r="AE295" s="106"/>
    </row>
    <row r="296">
      <c r="C296" s="79"/>
      <c r="D296" s="79"/>
      <c r="E296" s="79"/>
      <c r="P296" s="79"/>
      <c r="Q296" s="79"/>
      <c r="R296" s="79"/>
      <c r="Y296" s="79"/>
      <c r="AC296" s="130"/>
      <c r="AE296" s="106"/>
    </row>
    <row r="297">
      <c r="C297" s="79"/>
      <c r="D297" s="79"/>
      <c r="E297" s="79"/>
      <c r="P297" s="79"/>
      <c r="Q297" s="79"/>
      <c r="R297" s="79"/>
      <c r="Y297" s="79"/>
      <c r="AC297" s="130"/>
      <c r="AE297" s="106"/>
    </row>
    <row r="298">
      <c r="C298" s="79"/>
      <c r="D298" s="79"/>
      <c r="E298" s="79"/>
      <c r="P298" s="79"/>
      <c r="Q298" s="79"/>
      <c r="R298" s="79"/>
      <c r="Y298" s="79"/>
      <c r="AC298" s="130"/>
      <c r="AE298" s="106"/>
    </row>
    <row r="299">
      <c r="C299" s="79"/>
      <c r="D299" s="79"/>
      <c r="E299" s="79"/>
      <c r="P299" s="79"/>
      <c r="Q299" s="79"/>
      <c r="R299" s="79"/>
      <c r="Y299" s="79"/>
      <c r="AC299" s="130"/>
      <c r="AE299" s="106"/>
    </row>
    <row r="300">
      <c r="C300" s="79"/>
      <c r="D300" s="79"/>
      <c r="E300" s="79"/>
      <c r="P300" s="79"/>
      <c r="Q300" s="79"/>
      <c r="R300" s="79"/>
      <c r="Y300" s="79"/>
      <c r="AC300" s="130"/>
      <c r="AE300" s="106"/>
    </row>
    <row r="301">
      <c r="C301" s="79"/>
      <c r="D301" s="79"/>
      <c r="E301" s="79"/>
      <c r="P301" s="79"/>
      <c r="Q301" s="79"/>
      <c r="R301" s="79"/>
      <c r="Y301" s="79"/>
      <c r="AC301" s="130"/>
      <c r="AE301" s="106"/>
    </row>
    <row r="302">
      <c r="C302" s="79"/>
      <c r="D302" s="79"/>
      <c r="E302" s="79"/>
      <c r="P302" s="79"/>
      <c r="Q302" s="79"/>
      <c r="R302" s="79"/>
      <c r="Y302" s="79"/>
      <c r="AC302" s="130"/>
      <c r="AE302" s="106"/>
    </row>
    <row r="303">
      <c r="C303" s="79"/>
      <c r="D303" s="79"/>
      <c r="E303" s="79"/>
      <c r="P303" s="79"/>
      <c r="Q303" s="79"/>
      <c r="R303" s="79"/>
      <c r="Y303" s="79"/>
      <c r="AC303" s="130"/>
      <c r="AE303" s="106"/>
    </row>
    <row r="304">
      <c r="C304" s="79"/>
      <c r="D304" s="79"/>
      <c r="E304" s="79"/>
      <c r="P304" s="79"/>
      <c r="Q304" s="79"/>
      <c r="R304" s="79"/>
      <c r="Y304" s="79"/>
      <c r="AC304" s="130"/>
      <c r="AE304" s="106"/>
    </row>
    <row r="305">
      <c r="C305" s="79"/>
      <c r="D305" s="79"/>
      <c r="E305" s="79"/>
      <c r="P305" s="79"/>
      <c r="Q305" s="79"/>
      <c r="R305" s="79"/>
      <c r="Y305" s="79"/>
      <c r="AC305" s="130"/>
      <c r="AE305" s="106"/>
    </row>
    <row r="306">
      <c r="C306" s="79"/>
      <c r="D306" s="79"/>
      <c r="E306" s="79"/>
      <c r="P306" s="79"/>
      <c r="Q306" s="79"/>
      <c r="R306" s="79"/>
      <c r="Y306" s="79"/>
      <c r="AC306" s="130"/>
      <c r="AE306" s="106"/>
    </row>
    <row r="307">
      <c r="C307" s="79"/>
      <c r="D307" s="79"/>
      <c r="E307" s="79"/>
      <c r="P307" s="79"/>
      <c r="Q307" s="79"/>
      <c r="R307" s="79"/>
      <c r="Y307" s="79"/>
      <c r="AC307" s="130"/>
      <c r="AE307" s="106"/>
    </row>
    <row r="308">
      <c r="C308" s="79"/>
      <c r="D308" s="79"/>
      <c r="E308" s="79"/>
      <c r="P308" s="79"/>
      <c r="Q308" s="79"/>
      <c r="R308" s="79"/>
      <c r="Y308" s="79"/>
      <c r="AC308" s="130"/>
      <c r="AE308" s="106"/>
    </row>
    <row r="309">
      <c r="C309" s="79"/>
      <c r="D309" s="79"/>
      <c r="E309" s="79"/>
      <c r="P309" s="79"/>
      <c r="Q309" s="79"/>
      <c r="R309" s="79"/>
      <c r="Y309" s="79"/>
      <c r="AC309" s="130"/>
      <c r="AE309" s="106"/>
    </row>
    <row r="310">
      <c r="C310" s="79"/>
      <c r="D310" s="79"/>
      <c r="E310" s="79"/>
      <c r="P310" s="79"/>
      <c r="Q310" s="79"/>
      <c r="R310" s="79"/>
      <c r="Y310" s="79"/>
      <c r="AC310" s="130"/>
      <c r="AE310" s="106"/>
    </row>
    <row r="311">
      <c r="C311" s="79"/>
      <c r="D311" s="79"/>
      <c r="E311" s="79"/>
      <c r="P311" s="79"/>
      <c r="Q311" s="79"/>
      <c r="R311" s="79"/>
      <c r="Y311" s="79"/>
      <c r="AC311" s="130"/>
      <c r="AE311" s="106"/>
    </row>
    <row r="312">
      <c r="C312" s="79"/>
      <c r="D312" s="79"/>
      <c r="E312" s="79"/>
      <c r="P312" s="79"/>
      <c r="Q312" s="79"/>
      <c r="R312" s="79"/>
      <c r="Y312" s="79"/>
      <c r="AC312" s="130"/>
      <c r="AE312" s="106"/>
    </row>
    <row r="313">
      <c r="C313" s="79"/>
      <c r="D313" s="79"/>
      <c r="E313" s="79"/>
      <c r="P313" s="79"/>
      <c r="Q313" s="79"/>
      <c r="R313" s="79"/>
      <c r="Y313" s="79"/>
      <c r="AC313" s="130"/>
      <c r="AE313" s="106"/>
    </row>
    <row r="314">
      <c r="C314" s="79"/>
      <c r="D314" s="79"/>
      <c r="E314" s="79"/>
      <c r="P314" s="79"/>
      <c r="Q314" s="79"/>
      <c r="R314" s="79"/>
      <c r="Y314" s="79"/>
      <c r="AC314" s="130"/>
      <c r="AE314" s="106"/>
    </row>
    <row r="315">
      <c r="C315" s="79"/>
      <c r="D315" s="79"/>
      <c r="E315" s="79"/>
      <c r="P315" s="79"/>
      <c r="Q315" s="79"/>
      <c r="R315" s="79"/>
      <c r="Y315" s="79"/>
      <c r="AC315" s="130"/>
      <c r="AE315" s="106"/>
    </row>
    <row r="316">
      <c r="C316" s="79"/>
      <c r="D316" s="79"/>
      <c r="E316" s="79"/>
      <c r="P316" s="79"/>
      <c r="Q316" s="79"/>
      <c r="R316" s="79"/>
      <c r="Y316" s="79"/>
      <c r="AC316" s="130"/>
      <c r="AE316" s="106"/>
    </row>
    <row r="317">
      <c r="C317" s="79"/>
      <c r="D317" s="79"/>
      <c r="E317" s="79"/>
      <c r="P317" s="79"/>
      <c r="Q317" s="79"/>
      <c r="R317" s="79"/>
      <c r="Y317" s="79"/>
      <c r="AC317" s="130"/>
      <c r="AE317" s="106"/>
    </row>
    <row r="318">
      <c r="C318" s="79"/>
      <c r="D318" s="79"/>
      <c r="E318" s="79"/>
      <c r="P318" s="79"/>
      <c r="Q318" s="79"/>
      <c r="R318" s="79"/>
      <c r="Y318" s="79"/>
      <c r="AC318" s="130"/>
      <c r="AE318" s="106"/>
    </row>
    <row r="319">
      <c r="C319" s="79"/>
      <c r="D319" s="79"/>
      <c r="E319" s="79"/>
      <c r="P319" s="79"/>
      <c r="Q319" s="79"/>
      <c r="R319" s="79"/>
      <c r="Y319" s="79"/>
      <c r="AC319" s="130"/>
      <c r="AE319" s="106"/>
    </row>
    <row r="320">
      <c r="C320" s="79"/>
      <c r="D320" s="79"/>
      <c r="E320" s="79"/>
      <c r="P320" s="79"/>
      <c r="Q320" s="79"/>
      <c r="R320" s="79"/>
      <c r="Y320" s="79"/>
      <c r="AC320" s="130"/>
      <c r="AE320" s="106"/>
    </row>
    <row r="321">
      <c r="C321" s="79"/>
      <c r="D321" s="79"/>
      <c r="E321" s="79"/>
      <c r="P321" s="79"/>
      <c r="Q321" s="79"/>
      <c r="R321" s="79"/>
      <c r="Y321" s="79"/>
      <c r="AC321" s="130"/>
      <c r="AE321" s="106"/>
    </row>
    <row r="322">
      <c r="C322" s="79"/>
      <c r="D322" s="79"/>
      <c r="E322" s="79"/>
      <c r="P322" s="79"/>
      <c r="Q322" s="79"/>
      <c r="R322" s="79"/>
      <c r="Y322" s="79"/>
      <c r="AC322" s="130"/>
      <c r="AE322" s="106"/>
    </row>
    <row r="323">
      <c r="C323" s="79"/>
      <c r="D323" s="79"/>
      <c r="E323" s="79"/>
      <c r="P323" s="79"/>
      <c r="Q323" s="79"/>
      <c r="R323" s="79"/>
      <c r="Y323" s="79"/>
      <c r="AC323" s="130"/>
      <c r="AE323" s="106"/>
    </row>
    <row r="324">
      <c r="C324" s="79"/>
      <c r="D324" s="79"/>
      <c r="E324" s="79"/>
      <c r="P324" s="79"/>
      <c r="Q324" s="79"/>
      <c r="R324" s="79"/>
      <c r="Y324" s="79"/>
      <c r="AC324" s="130"/>
      <c r="AE324" s="106"/>
    </row>
    <row r="325">
      <c r="C325" s="79"/>
      <c r="D325" s="79"/>
      <c r="E325" s="79"/>
      <c r="P325" s="79"/>
      <c r="Q325" s="79"/>
      <c r="R325" s="79"/>
      <c r="Y325" s="79"/>
      <c r="AC325" s="130"/>
      <c r="AE325" s="106"/>
    </row>
    <row r="326">
      <c r="C326" s="79"/>
      <c r="D326" s="79"/>
      <c r="E326" s="79"/>
      <c r="P326" s="79"/>
      <c r="Q326" s="79"/>
      <c r="R326" s="79"/>
      <c r="Y326" s="79"/>
      <c r="AC326" s="130"/>
      <c r="AE326" s="106"/>
    </row>
    <row r="327">
      <c r="C327" s="79"/>
      <c r="D327" s="79"/>
      <c r="E327" s="79"/>
      <c r="P327" s="79"/>
      <c r="Q327" s="79"/>
      <c r="R327" s="79"/>
      <c r="Y327" s="79"/>
      <c r="AC327" s="130"/>
      <c r="AE327" s="106"/>
    </row>
    <row r="328">
      <c r="C328" s="79"/>
      <c r="D328" s="79"/>
      <c r="E328" s="79"/>
      <c r="P328" s="79"/>
      <c r="Q328" s="79"/>
      <c r="R328" s="79"/>
      <c r="Y328" s="79"/>
      <c r="AC328" s="130"/>
      <c r="AE328" s="106"/>
    </row>
    <row r="329">
      <c r="C329" s="79"/>
      <c r="D329" s="79"/>
      <c r="E329" s="79"/>
      <c r="P329" s="79"/>
      <c r="Q329" s="79"/>
      <c r="R329" s="79"/>
      <c r="Y329" s="79"/>
      <c r="AC329" s="130"/>
      <c r="AE329" s="106"/>
    </row>
    <row r="330">
      <c r="C330" s="79"/>
      <c r="D330" s="79"/>
      <c r="E330" s="79"/>
      <c r="P330" s="79"/>
      <c r="Q330" s="79"/>
      <c r="R330" s="79"/>
      <c r="Y330" s="79"/>
      <c r="AC330" s="130"/>
      <c r="AE330" s="106"/>
    </row>
    <row r="331">
      <c r="C331" s="79"/>
      <c r="D331" s="79"/>
      <c r="E331" s="79"/>
      <c r="P331" s="79"/>
      <c r="Q331" s="79"/>
      <c r="R331" s="79"/>
      <c r="Y331" s="79"/>
      <c r="AC331" s="130"/>
      <c r="AE331" s="106"/>
    </row>
    <row r="332">
      <c r="C332" s="79"/>
      <c r="D332" s="79"/>
      <c r="E332" s="79"/>
      <c r="P332" s="79"/>
      <c r="Q332" s="79"/>
      <c r="R332" s="79"/>
      <c r="Y332" s="79"/>
      <c r="AC332" s="130"/>
      <c r="AE332" s="106"/>
    </row>
    <row r="333">
      <c r="C333" s="79"/>
      <c r="D333" s="79"/>
      <c r="E333" s="79"/>
      <c r="P333" s="79"/>
      <c r="Q333" s="79"/>
      <c r="R333" s="79"/>
      <c r="Y333" s="79"/>
      <c r="AC333" s="130"/>
      <c r="AE333" s="106"/>
    </row>
    <row r="334">
      <c r="C334" s="79"/>
      <c r="D334" s="79"/>
      <c r="E334" s="79"/>
      <c r="P334" s="79"/>
      <c r="Q334" s="79"/>
      <c r="R334" s="79"/>
      <c r="Y334" s="79"/>
      <c r="AC334" s="130"/>
      <c r="AE334" s="106"/>
    </row>
    <row r="335">
      <c r="C335" s="79"/>
      <c r="D335" s="79"/>
      <c r="E335" s="79"/>
      <c r="P335" s="79"/>
      <c r="Q335" s="79"/>
      <c r="R335" s="79"/>
      <c r="Y335" s="79"/>
      <c r="AC335" s="130"/>
      <c r="AE335" s="106"/>
    </row>
    <row r="336">
      <c r="C336" s="79"/>
      <c r="D336" s="79"/>
      <c r="E336" s="79"/>
      <c r="P336" s="79"/>
      <c r="Q336" s="79"/>
      <c r="R336" s="79"/>
      <c r="Y336" s="79"/>
      <c r="AC336" s="130"/>
      <c r="AE336" s="106"/>
    </row>
    <row r="337">
      <c r="C337" s="79"/>
      <c r="D337" s="79"/>
      <c r="E337" s="79"/>
      <c r="P337" s="79"/>
      <c r="Q337" s="79"/>
      <c r="R337" s="79"/>
      <c r="Y337" s="79"/>
      <c r="AC337" s="130"/>
      <c r="AE337" s="106"/>
    </row>
    <row r="338">
      <c r="C338" s="79"/>
      <c r="D338" s="79"/>
      <c r="E338" s="79"/>
      <c r="P338" s="79"/>
      <c r="Q338" s="79"/>
      <c r="R338" s="79"/>
      <c r="Y338" s="79"/>
      <c r="AC338" s="130"/>
      <c r="AE338" s="106"/>
    </row>
    <row r="339">
      <c r="C339" s="79"/>
      <c r="D339" s="79"/>
      <c r="E339" s="79"/>
      <c r="P339" s="79"/>
      <c r="Q339" s="79"/>
      <c r="R339" s="79"/>
      <c r="Y339" s="79"/>
      <c r="AC339" s="130"/>
      <c r="AE339" s="106"/>
    </row>
    <row r="340">
      <c r="C340" s="79"/>
      <c r="D340" s="79"/>
      <c r="E340" s="79"/>
      <c r="P340" s="79"/>
      <c r="Q340" s="79"/>
      <c r="R340" s="79"/>
      <c r="Y340" s="79"/>
      <c r="AC340" s="130"/>
      <c r="AE340" s="106"/>
    </row>
    <row r="341">
      <c r="C341" s="79"/>
      <c r="D341" s="79"/>
      <c r="E341" s="79"/>
      <c r="P341" s="79"/>
      <c r="Q341" s="79"/>
      <c r="R341" s="79"/>
      <c r="Y341" s="79"/>
      <c r="AC341" s="130"/>
      <c r="AE341" s="106"/>
    </row>
    <row r="342">
      <c r="C342" s="79"/>
      <c r="D342" s="79"/>
      <c r="E342" s="79"/>
      <c r="P342" s="79"/>
      <c r="Q342" s="79"/>
      <c r="R342" s="79"/>
      <c r="Y342" s="79"/>
      <c r="AC342" s="130"/>
      <c r="AE342" s="106"/>
    </row>
    <row r="343">
      <c r="C343" s="79"/>
      <c r="D343" s="79"/>
      <c r="E343" s="79"/>
      <c r="P343" s="79"/>
      <c r="Q343" s="79"/>
      <c r="R343" s="79"/>
      <c r="Y343" s="79"/>
      <c r="AC343" s="130"/>
      <c r="AE343" s="106"/>
    </row>
    <row r="344">
      <c r="C344" s="79"/>
      <c r="D344" s="79"/>
      <c r="E344" s="79"/>
      <c r="P344" s="79"/>
      <c r="Q344" s="79"/>
      <c r="R344" s="79"/>
      <c r="Y344" s="79"/>
      <c r="AC344" s="130"/>
      <c r="AE344" s="106"/>
    </row>
    <row r="345">
      <c r="C345" s="79"/>
      <c r="D345" s="79"/>
      <c r="E345" s="79"/>
      <c r="P345" s="79"/>
      <c r="Q345" s="79"/>
      <c r="R345" s="79"/>
      <c r="Y345" s="79"/>
      <c r="AC345" s="130"/>
      <c r="AE345" s="106"/>
    </row>
    <row r="346">
      <c r="C346" s="79"/>
      <c r="D346" s="79"/>
      <c r="E346" s="79"/>
      <c r="P346" s="79"/>
      <c r="Q346" s="79"/>
      <c r="R346" s="79"/>
      <c r="Y346" s="79"/>
      <c r="AC346" s="130"/>
      <c r="AE346" s="106"/>
    </row>
    <row r="347">
      <c r="C347" s="79"/>
      <c r="D347" s="79"/>
      <c r="E347" s="79"/>
      <c r="P347" s="79"/>
      <c r="Q347" s="79"/>
      <c r="R347" s="79"/>
      <c r="Y347" s="79"/>
      <c r="AC347" s="130"/>
      <c r="AE347" s="106"/>
    </row>
    <row r="348">
      <c r="C348" s="79"/>
      <c r="D348" s="79"/>
      <c r="E348" s="79"/>
      <c r="P348" s="79"/>
      <c r="Q348" s="79"/>
      <c r="R348" s="79"/>
      <c r="Y348" s="79"/>
      <c r="AC348" s="130"/>
      <c r="AE348" s="106"/>
    </row>
    <row r="349">
      <c r="C349" s="79"/>
      <c r="D349" s="79"/>
      <c r="E349" s="79"/>
      <c r="P349" s="79"/>
      <c r="Q349" s="79"/>
      <c r="R349" s="79"/>
      <c r="Y349" s="79"/>
      <c r="AC349" s="130"/>
      <c r="AE349" s="106"/>
    </row>
    <row r="350">
      <c r="C350" s="79"/>
      <c r="D350" s="79"/>
      <c r="E350" s="79"/>
      <c r="P350" s="79"/>
      <c r="Q350" s="79"/>
      <c r="R350" s="79"/>
      <c r="Y350" s="79"/>
      <c r="AC350" s="130"/>
      <c r="AE350" s="106"/>
    </row>
    <row r="351">
      <c r="C351" s="79"/>
      <c r="D351" s="79"/>
      <c r="E351" s="79"/>
      <c r="P351" s="79"/>
      <c r="Q351" s="79"/>
      <c r="R351" s="79"/>
      <c r="Y351" s="79"/>
      <c r="AC351" s="130"/>
      <c r="AE351" s="106"/>
    </row>
    <row r="352">
      <c r="C352" s="79"/>
      <c r="D352" s="79"/>
      <c r="E352" s="79"/>
      <c r="P352" s="79"/>
      <c r="Q352" s="79"/>
      <c r="R352" s="79"/>
      <c r="Y352" s="79"/>
      <c r="AC352" s="130"/>
      <c r="AE352" s="106"/>
    </row>
    <row r="353">
      <c r="C353" s="79"/>
      <c r="D353" s="79"/>
      <c r="E353" s="79"/>
      <c r="P353" s="79"/>
      <c r="Q353" s="79"/>
      <c r="R353" s="79"/>
      <c r="Y353" s="79"/>
      <c r="AC353" s="130"/>
      <c r="AE353" s="106"/>
    </row>
    <row r="354">
      <c r="C354" s="79"/>
      <c r="D354" s="79"/>
      <c r="E354" s="79"/>
      <c r="P354" s="79"/>
      <c r="Q354" s="79"/>
      <c r="R354" s="79"/>
      <c r="Y354" s="79"/>
      <c r="AC354" s="130"/>
      <c r="AE354" s="106"/>
    </row>
    <row r="355">
      <c r="C355" s="79"/>
      <c r="D355" s="79"/>
      <c r="E355" s="79"/>
      <c r="P355" s="79"/>
      <c r="Q355" s="79"/>
      <c r="R355" s="79"/>
      <c r="Y355" s="79"/>
      <c r="AC355" s="130"/>
      <c r="AE355" s="106"/>
    </row>
    <row r="356">
      <c r="C356" s="79"/>
      <c r="D356" s="79"/>
      <c r="E356" s="79"/>
      <c r="P356" s="79"/>
      <c r="Q356" s="79"/>
      <c r="R356" s="79"/>
      <c r="Y356" s="79"/>
      <c r="AC356" s="130"/>
      <c r="AE356" s="106"/>
    </row>
    <row r="357">
      <c r="C357" s="79"/>
      <c r="D357" s="79"/>
      <c r="E357" s="79"/>
      <c r="P357" s="79"/>
      <c r="Q357" s="79"/>
      <c r="R357" s="79"/>
      <c r="Y357" s="79"/>
      <c r="AC357" s="130"/>
      <c r="AE357" s="106"/>
    </row>
    <row r="358">
      <c r="C358" s="79"/>
      <c r="D358" s="79"/>
      <c r="E358" s="79"/>
      <c r="P358" s="79"/>
      <c r="Q358" s="79"/>
      <c r="R358" s="79"/>
      <c r="Y358" s="79"/>
      <c r="AC358" s="130"/>
      <c r="AE358" s="106"/>
    </row>
    <row r="359">
      <c r="C359" s="79"/>
      <c r="D359" s="79"/>
      <c r="E359" s="79"/>
      <c r="P359" s="79"/>
      <c r="Q359" s="79"/>
      <c r="R359" s="79"/>
      <c r="Y359" s="79"/>
      <c r="AC359" s="130"/>
      <c r="AE359" s="106"/>
    </row>
    <row r="360">
      <c r="C360" s="79"/>
      <c r="D360" s="79"/>
      <c r="E360" s="79"/>
      <c r="P360" s="79"/>
      <c r="Q360" s="79"/>
      <c r="R360" s="79"/>
      <c r="Y360" s="79"/>
      <c r="AC360" s="130"/>
      <c r="AE360" s="106"/>
    </row>
    <row r="361">
      <c r="C361" s="79"/>
      <c r="D361" s="79"/>
      <c r="E361" s="79"/>
      <c r="P361" s="79"/>
      <c r="Q361" s="79"/>
      <c r="R361" s="79"/>
      <c r="Y361" s="79"/>
      <c r="AC361" s="130"/>
      <c r="AE361" s="106"/>
    </row>
    <row r="362">
      <c r="C362" s="79"/>
      <c r="D362" s="79"/>
      <c r="E362" s="79"/>
      <c r="P362" s="79"/>
      <c r="Q362" s="79"/>
      <c r="R362" s="79"/>
      <c r="Y362" s="79"/>
      <c r="AC362" s="130"/>
      <c r="AE362" s="106"/>
    </row>
    <row r="363">
      <c r="C363" s="79"/>
      <c r="D363" s="79"/>
      <c r="E363" s="79"/>
      <c r="P363" s="79"/>
      <c r="Q363" s="79"/>
      <c r="R363" s="79"/>
      <c r="Y363" s="79"/>
      <c r="AC363" s="130"/>
      <c r="AE363" s="106"/>
    </row>
    <row r="364">
      <c r="C364" s="79"/>
      <c r="D364" s="79"/>
      <c r="E364" s="79"/>
      <c r="P364" s="79"/>
      <c r="Q364" s="79"/>
      <c r="R364" s="79"/>
      <c r="Y364" s="79"/>
      <c r="AC364" s="130"/>
      <c r="AE364" s="106"/>
    </row>
    <row r="365">
      <c r="C365" s="79"/>
      <c r="D365" s="79"/>
      <c r="E365" s="79"/>
      <c r="P365" s="79"/>
      <c r="Q365" s="79"/>
      <c r="R365" s="79"/>
      <c r="Y365" s="79"/>
      <c r="AC365" s="130"/>
      <c r="AE365" s="106"/>
    </row>
    <row r="366">
      <c r="C366" s="79"/>
      <c r="D366" s="79"/>
      <c r="E366" s="79"/>
      <c r="P366" s="79"/>
      <c r="Q366" s="79"/>
      <c r="R366" s="79"/>
      <c r="Y366" s="79"/>
      <c r="AC366" s="130"/>
      <c r="AE366" s="106"/>
    </row>
    <row r="367">
      <c r="C367" s="79"/>
      <c r="D367" s="79"/>
      <c r="E367" s="79"/>
      <c r="P367" s="79"/>
      <c r="Q367" s="79"/>
      <c r="R367" s="79"/>
      <c r="Y367" s="79"/>
      <c r="AC367" s="130"/>
      <c r="AE367" s="106"/>
    </row>
    <row r="368">
      <c r="C368" s="79"/>
      <c r="D368" s="79"/>
      <c r="E368" s="79"/>
      <c r="P368" s="79"/>
      <c r="Q368" s="79"/>
      <c r="R368" s="79"/>
      <c r="Y368" s="79"/>
      <c r="AC368" s="130"/>
      <c r="AE368" s="106"/>
    </row>
    <row r="369">
      <c r="C369" s="79"/>
      <c r="D369" s="79"/>
      <c r="E369" s="79"/>
      <c r="P369" s="79"/>
      <c r="Q369" s="79"/>
      <c r="R369" s="79"/>
      <c r="Y369" s="79"/>
      <c r="AC369" s="130"/>
      <c r="AE369" s="106"/>
    </row>
    <row r="370">
      <c r="C370" s="79"/>
      <c r="D370" s="79"/>
      <c r="E370" s="79"/>
      <c r="P370" s="79"/>
      <c r="Q370" s="79"/>
      <c r="R370" s="79"/>
      <c r="Y370" s="79"/>
      <c r="AC370" s="130"/>
      <c r="AE370" s="106"/>
    </row>
    <row r="371">
      <c r="C371" s="79"/>
      <c r="D371" s="79"/>
      <c r="E371" s="79"/>
      <c r="P371" s="79"/>
      <c r="Q371" s="79"/>
      <c r="R371" s="79"/>
      <c r="Y371" s="79"/>
      <c r="AC371" s="130"/>
      <c r="AE371" s="106"/>
    </row>
    <row r="372">
      <c r="C372" s="79"/>
      <c r="D372" s="79"/>
      <c r="E372" s="79"/>
      <c r="P372" s="79"/>
      <c r="Q372" s="79"/>
      <c r="R372" s="79"/>
      <c r="Y372" s="79"/>
      <c r="AC372" s="130"/>
      <c r="AE372" s="106"/>
    </row>
    <row r="373">
      <c r="C373" s="79"/>
      <c r="D373" s="79"/>
      <c r="E373" s="79"/>
      <c r="P373" s="79"/>
      <c r="Q373" s="79"/>
      <c r="R373" s="79"/>
      <c r="Y373" s="79"/>
      <c r="AC373" s="130"/>
      <c r="AE373" s="106"/>
    </row>
    <row r="374">
      <c r="C374" s="79"/>
      <c r="D374" s="79"/>
      <c r="E374" s="79"/>
      <c r="P374" s="79"/>
      <c r="Q374" s="79"/>
      <c r="R374" s="79"/>
      <c r="Y374" s="79"/>
      <c r="AC374" s="130"/>
      <c r="AE374" s="106"/>
    </row>
    <row r="375">
      <c r="C375" s="79"/>
      <c r="D375" s="79"/>
      <c r="E375" s="79"/>
      <c r="P375" s="79"/>
      <c r="Q375" s="79"/>
      <c r="R375" s="79"/>
      <c r="Y375" s="79"/>
      <c r="AC375" s="130"/>
      <c r="AE375" s="106"/>
    </row>
    <row r="376">
      <c r="C376" s="79"/>
      <c r="D376" s="79"/>
      <c r="E376" s="79"/>
      <c r="P376" s="79"/>
      <c r="Q376" s="79"/>
      <c r="R376" s="79"/>
      <c r="Y376" s="79"/>
      <c r="AC376" s="130"/>
      <c r="AE376" s="106"/>
    </row>
    <row r="377">
      <c r="C377" s="79"/>
      <c r="D377" s="79"/>
      <c r="E377" s="79"/>
      <c r="P377" s="79"/>
      <c r="Q377" s="79"/>
      <c r="R377" s="79"/>
      <c r="Y377" s="79"/>
      <c r="AC377" s="130"/>
      <c r="AE377" s="106"/>
    </row>
    <row r="378">
      <c r="C378" s="79"/>
      <c r="D378" s="79"/>
      <c r="E378" s="79"/>
      <c r="P378" s="79"/>
      <c r="Q378" s="79"/>
      <c r="R378" s="79"/>
      <c r="Y378" s="79"/>
      <c r="AC378" s="130"/>
      <c r="AE378" s="106"/>
    </row>
    <row r="379">
      <c r="C379" s="79"/>
      <c r="D379" s="79"/>
      <c r="E379" s="79"/>
      <c r="P379" s="79"/>
      <c r="Q379" s="79"/>
      <c r="R379" s="79"/>
      <c r="Y379" s="79"/>
      <c r="AC379" s="130"/>
      <c r="AE379" s="106"/>
    </row>
    <row r="380">
      <c r="C380" s="79"/>
      <c r="D380" s="79"/>
      <c r="E380" s="79"/>
      <c r="P380" s="79"/>
      <c r="Q380" s="79"/>
      <c r="R380" s="79"/>
      <c r="Y380" s="79"/>
      <c r="AC380" s="130"/>
      <c r="AE380" s="106"/>
    </row>
    <row r="381">
      <c r="C381" s="79"/>
      <c r="D381" s="79"/>
      <c r="E381" s="79"/>
      <c r="P381" s="79"/>
      <c r="Q381" s="79"/>
      <c r="R381" s="79"/>
      <c r="Y381" s="79"/>
      <c r="AC381" s="130"/>
      <c r="AE381" s="106"/>
    </row>
    <row r="382">
      <c r="C382" s="79"/>
      <c r="D382" s="79"/>
      <c r="E382" s="79"/>
      <c r="P382" s="79"/>
      <c r="Q382" s="79"/>
      <c r="R382" s="79"/>
      <c r="Y382" s="79"/>
      <c r="AC382" s="130"/>
      <c r="AE382" s="106"/>
    </row>
    <row r="383">
      <c r="C383" s="79"/>
      <c r="D383" s="79"/>
      <c r="E383" s="79"/>
      <c r="P383" s="79"/>
      <c r="Q383" s="79"/>
      <c r="R383" s="79"/>
      <c r="Y383" s="79"/>
      <c r="AC383" s="130"/>
      <c r="AE383" s="106"/>
    </row>
    <row r="384">
      <c r="C384" s="79"/>
      <c r="D384" s="79"/>
      <c r="E384" s="79"/>
      <c r="P384" s="79"/>
      <c r="Q384" s="79"/>
      <c r="R384" s="79"/>
      <c r="Y384" s="79"/>
      <c r="AC384" s="130"/>
      <c r="AE384" s="106"/>
    </row>
    <row r="385">
      <c r="C385" s="79"/>
      <c r="D385" s="79"/>
      <c r="E385" s="79"/>
      <c r="P385" s="79"/>
      <c r="Q385" s="79"/>
      <c r="R385" s="79"/>
      <c r="Y385" s="79"/>
      <c r="AC385" s="130"/>
      <c r="AE385" s="106"/>
    </row>
    <row r="386">
      <c r="C386" s="79"/>
      <c r="D386" s="79"/>
      <c r="E386" s="79"/>
      <c r="P386" s="79"/>
      <c r="Q386" s="79"/>
      <c r="R386" s="79"/>
      <c r="Y386" s="79"/>
      <c r="AC386" s="130"/>
      <c r="AE386" s="106"/>
    </row>
    <row r="387">
      <c r="C387" s="79"/>
      <c r="D387" s="79"/>
      <c r="E387" s="79"/>
      <c r="P387" s="79"/>
      <c r="Q387" s="79"/>
      <c r="R387" s="79"/>
      <c r="Y387" s="79"/>
      <c r="AC387" s="130"/>
      <c r="AE387" s="106"/>
    </row>
    <row r="388">
      <c r="C388" s="79"/>
      <c r="D388" s="79"/>
      <c r="E388" s="79"/>
      <c r="P388" s="79"/>
      <c r="Q388" s="79"/>
      <c r="R388" s="79"/>
      <c r="Y388" s="79"/>
      <c r="AC388" s="130"/>
      <c r="AE388" s="106"/>
    </row>
    <row r="389">
      <c r="C389" s="79"/>
      <c r="D389" s="79"/>
      <c r="E389" s="79"/>
      <c r="P389" s="79"/>
      <c r="Q389" s="79"/>
      <c r="R389" s="79"/>
      <c r="Y389" s="79"/>
      <c r="AC389" s="130"/>
      <c r="AE389" s="106"/>
    </row>
    <row r="390">
      <c r="C390" s="79"/>
      <c r="D390" s="79"/>
      <c r="E390" s="79"/>
      <c r="P390" s="79"/>
      <c r="Q390" s="79"/>
      <c r="R390" s="79"/>
      <c r="Y390" s="79"/>
      <c r="AC390" s="130"/>
      <c r="AE390" s="106"/>
    </row>
    <row r="391">
      <c r="C391" s="79"/>
      <c r="D391" s="79"/>
      <c r="E391" s="79"/>
      <c r="P391" s="79"/>
      <c r="Q391" s="79"/>
      <c r="R391" s="79"/>
      <c r="Y391" s="79"/>
      <c r="AC391" s="130"/>
      <c r="AE391" s="106"/>
    </row>
    <row r="392">
      <c r="C392" s="79"/>
      <c r="D392" s="79"/>
      <c r="E392" s="79"/>
      <c r="P392" s="79"/>
      <c r="Q392" s="79"/>
      <c r="R392" s="79"/>
      <c r="Y392" s="79"/>
      <c r="AC392" s="130"/>
      <c r="AE392" s="106"/>
    </row>
    <row r="393">
      <c r="C393" s="79"/>
      <c r="D393" s="79"/>
      <c r="E393" s="79"/>
      <c r="P393" s="79"/>
      <c r="Q393" s="79"/>
      <c r="R393" s="79"/>
      <c r="Y393" s="79"/>
      <c r="AC393" s="130"/>
      <c r="AE393" s="106"/>
    </row>
    <row r="394">
      <c r="C394" s="79"/>
      <c r="D394" s="79"/>
      <c r="E394" s="79"/>
      <c r="P394" s="79"/>
      <c r="Q394" s="79"/>
      <c r="R394" s="79"/>
      <c r="Y394" s="79"/>
      <c r="AC394" s="130"/>
      <c r="AE394" s="106"/>
    </row>
    <row r="395">
      <c r="C395" s="79"/>
      <c r="D395" s="79"/>
      <c r="E395" s="79"/>
      <c r="P395" s="79"/>
      <c r="Q395" s="79"/>
      <c r="R395" s="79"/>
      <c r="Y395" s="79"/>
      <c r="AC395" s="130"/>
      <c r="AE395" s="106"/>
    </row>
    <row r="396">
      <c r="C396" s="79"/>
      <c r="D396" s="79"/>
      <c r="E396" s="79"/>
      <c r="P396" s="79"/>
      <c r="Q396" s="79"/>
      <c r="R396" s="79"/>
      <c r="Y396" s="79"/>
      <c r="AC396" s="130"/>
      <c r="AE396" s="106"/>
    </row>
    <row r="397">
      <c r="C397" s="79"/>
      <c r="D397" s="79"/>
      <c r="E397" s="79"/>
      <c r="P397" s="79"/>
      <c r="Q397" s="79"/>
      <c r="R397" s="79"/>
      <c r="Y397" s="79"/>
      <c r="AC397" s="130"/>
      <c r="AE397" s="106"/>
    </row>
    <row r="398">
      <c r="C398" s="79"/>
      <c r="D398" s="79"/>
      <c r="E398" s="79"/>
      <c r="P398" s="79"/>
      <c r="Q398" s="79"/>
      <c r="R398" s="79"/>
      <c r="Y398" s="79"/>
      <c r="AC398" s="130"/>
      <c r="AE398" s="106"/>
    </row>
    <row r="399">
      <c r="C399" s="79"/>
      <c r="D399" s="79"/>
      <c r="E399" s="79"/>
      <c r="P399" s="79"/>
      <c r="Q399" s="79"/>
      <c r="R399" s="79"/>
      <c r="Y399" s="79"/>
      <c r="AC399" s="130"/>
      <c r="AE399" s="106"/>
    </row>
    <row r="400">
      <c r="C400" s="79"/>
      <c r="D400" s="79"/>
      <c r="E400" s="79"/>
      <c r="P400" s="79"/>
      <c r="Q400" s="79"/>
      <c r="R400" s="79"/>
      <c r="Y400" s="79"/>
      <c r="AC400" s="130"/>
      <c r="AE400" s="106"/>
    </row>
    <row r="401">
      <c r="C401" s="79"/>
      <c r="D401" s="79"/>
      <c r="E401" s="79"/>
      <c r="P401" s="79"/>
      <c r="Q401" s="79"/>
      <c r="R401" s="79"/>
      <c r="Y401" s="79"/>
      <c r="AC401" s="130"/>
      <c r="AE401" s="106"/>
    </row>
    <row r="402">
      <c r="C402" s="79"/>
      <c r="D402" s="79"/>
      <c r="E402" s="79"/>
      <c r="P402" s="79"/>
      <c r="Q402" s="79"/>
      <c r="R402" s="79"/>
      <c r="Y402" s="79"/>
      <c r="AC402" s="130"/>
      <c r="AE402" s="106"/>
    </row>
    <row r="403">
      <c r="C403" s="79"/>
      <c r="D403" s="79"/>
      <c r="E403" s="79"/>
      <c r="P403" s="79"/>
      <c r="Q403" s="79"/>
      <c r="R403" s="79"/>
      <c r="Y403" s="79"/>
      <c r="AC403" s="130"/>
      <c r="AE403" s="106"/>
    </row>
    <row r="404">
      <c r="C404" s="79"/>
      <c r="D404" s="79"/>
      <c r="E404" s="79"/>
      <c r="P404" s="79"/>
      <c r="Q404" s="79"/>
      <c r="R404" s="79"/>
      <c r="Y404" s="79"/>
      <c r="AC404" s="130"/>
      <c r="AE404" s="106"/>
    </row>
    <row r="405">
      <c r="C405" s="79"/>
      <c r="D405" s="79"/>
      <c r="E405" s="79"/>
      <c r="P405" s="79"/>
      <c r="Q405" s="79"/>
      <c r="R405" s="79"/>
      <c r="Y405" s="79"/>
      <c r="AC405" s="130"/>
      <c r="AE405" s="106"/>
    </row>
    <row r="406">
      <c r="C406" s="79"/>
      <c r="D406" s="79"/>
      <c r="E406" s="79"/>
      <c r="P406" s="79"/>
      <c r="Q406" s="79"/>
      <c r="R406" s="79"/>
      <c r="Y406" s="79"/>
      <c r="AC406" s="130"/>
      <c r="AE406" s="106"/>
    </row>
    <row r="407">
      <c r="C407" s="79"/>
      <c r="D407" s="79"/>
      <c r="E407" s="79"/>
      <c r="P407" s="79"/>
      <c r="Q407" s="79"/>
      <c r="R407" s="79"/>
      <c r="Y407" s="79"/>
      <c r="AC407" s="130"/>
      <c r="AE407" s="106"/>
    </row>
    <row r="408">
      <c r="C408" s="79"/>
      <c r="D408" s="79"/>
      <c r="E408" s="79"/>
      <c r="P408" s="79"/>
      <c r="Q408" s="79"/>
      <c r="R408" s="79"/>
      <c r="Y408" s="79"/>
      <c r="AC408" s="130"/>
      <c r="AE408" s="106"/>
    </row>
    <row r="409">
      <c r="C409" s="79"/>
      <c r="D409" s="79"/>
      <c r="E409" s="79"/>
      <c r="P409" s="79"/>
      <c r="Q409" s="79"/>
      <c r="R409" s="79"/>
      <c r="Y409" s="79"/>
      <c r="AC409" s="130"/>
      <c r="AE409" s="106"/>
    </row>
    <row r="410">
      <c r="C410" s="79"/>
      <c r="D410" s="79"/>
      <c r="E410" s="79"/>
      <c r="P410" s="79"/>
      <c r="Q410" s="79"/>
      <c r="R410" s="79"/>
      <c r="Y410" s="79"/>
      <c r="AC410" s="130"/>
      <c r="AE410" s="106"/>
    </row>
    <row r="411">
      <c r="C411" s="79"/>
      <c r="D411" s="79"/>
      <c r="E411" s="79"/>
      <c r="P411" s="79"/>
      <c r="Q411" s="79"/>
      <c r="R411" s="79"/>
      <c r="Y411" s="79"/>
      <c r="AC411" s="130"/>
      <c r="AE411" s="106"/>
    </row>
    <row r="412">
      <c r="C412" s="79"/>
      <c r="D412" s="79"/>
      <c r="E412" s="79"/>
      <c r="P412" s="79"/>
      <c r="Q412" s="79"/>
      <c r="R412" s="79"/>
      <c r="Y412" s="79"/>
      <c r="AC412" s="130"/>
      <c r="AE412" s="106"/>
    </row>
    <row r="413">
      <c r="C413" s="79"/>
      <c r="D413" s="79"/>
      <c r="E413" s="79"/>
      <c r="P413" s="79"/>
      <c r="Q413" s="79"/>
      <c r="R413" s="79"/>
      <c r="Y413" s="79"/>
      <c r="AC413" s="130"/>
      <c r="AE413" s="106"/>
    </row>
    <row r="414">
      <c r="C414" s="79"/>
      <c r="D414" s="79"/>
      <c r="E414" s="79"/>
      <c r="P414" s="79"/>
      <c r="Q414" s="79"/>
      <c r="R414" s="79"/>
      <c r="Y414" s="79"/>
      <c r="AC414" s="130"/>
      <c r="AE414" s="106"/>
    </row>
    <row r="415">
      <c r="C415" s="79"/>
      <c r="D415" s="79"/>
      <c r="E415" s="79"/>
      <c r="P415" s="79"/>
      <c r="Q415" s="79"/>
      <c r="R415" s="79"/>
      <c r="Y415" s="79"/>
      <c r="AC415" s="130"/>
      <c r="AE415" s="106"/>
    </row>
    <row r="416">
      <c r="C416" s="79"/>
      <c r="D416" s="79"/>
      <c r="E416" s="79"/>
      <c r="P416" s="79"/>
      <c r="Q416" s="79"/>
      <c r="R416" s="79"/>
      <c r="Y416" s="79"/>
      <c r="AC416" s="130"/>
      <c r="AE416" s="106"/>
    </row>
    <row r="417">
      <c r="C417" s="79"/>
      <c r="D417" s="79"/>
      <c r="E417" s="79"/>
      <c r="P417" s="79"/>
      <c r="Q417" s="79"/>
      <c r="R417" s="79"/>
      <c r="Y417" s="79"/>
      <c r="AC417" s="130"/>
      <c r="AE417" s="106"/>
    </row>
    <row r="418">
      <c r="C418" s="79"/>
      <c r="D418" s="79"/>
      <c r="E418" s="79"/>
      <c r="P418" s="79"/>
      <c r="Q418" s="79"/>
      <c r="R418" s="79"/>
      <c r="Y418" s="79"/>
      <c r="AC418" s="130"/>
      <c r="AE418" s="106"/>
    </row>
    <row r="419">
      <c r="C419" s="79"/>
      <c r="D419" s="79"/>
      <c r="E419" s="79"/>
      <c r="P419" s="79"/>
      <c r="Q419" s="79"/>
      <c r="R419" s="79"/>
      <c r="Y419" s="79"/>
      <c r="AC419" s="130"/>
      <c r="AE419" s="106"/>
    </row>
    <row r="420">
      <c r="C420" s="79"/>
      <c r="D420" s="79"/>
      <c r="E420" s="79"/>
      <c r="P420" s="79"/>
      <c r="Q420" s="79"/>
      <c r="R420" s="79"/>
      <c r="Y420" s="79"/>
      <c r="AC420" s="130"/>
      <c r="AE420" s="106"/>
    </row>
    <row r="421">
      <c r="C421" s="79"/>
      <c r="D421" s="79"/>
      <c r="E421" s="79"/>
      <c r="P421" s="79"/>
      <c r="Q421" s="79"/>
      <c r="R421" s="79"/>
      <c r="Y421" s="79"/>
      <c r="AC421" s="130"/>
      <c r="AE421" s="106"/>
    </row>
    <row r="422">
      <c r="C422" s="79"/>
      <c r="D422" s="79"/>
      <c r="E422" s="79"/>
      <c r="P422" s="79"/>
      <c r="Q422" s="79"/>
      <c r="R422" s="79"/>
      <c r="Y422" s="79"/>
      <c r="AC422" s="130"/>
      <c r="AE422" s="106"/>
    </row>
    <row r="423">
      <c r="C423" s="79"/>
      <c r="D423" s="79"/>
      <c r="E423" s="79"/>
      <c r="P423" s="79"/>
      <c r="Q423" s="79"/>
      <c r="R423" s="79"/>
      <c r="Y423" s="79"/>
      <c r="AC423" s="130"/>
      <c r="AE423" s="106"/>
    </row>
    <row r="424">
      <c r="C424" s="79"/>
      <c r="D424" s="79"/>
      <c r="E424" s="79"/>
      <c r="P424" s="79"/>
      <c r="Q424" s="79"/>
      <c r="R424" s="79"/>
      <c r="Y424" s="79"/>
      <c r="AC424" s="130"/>
      <c r="AE424" s="106"/>
    </row>
    <row r="425">
      <c r="C425" s="79"/>
      <c r="D425" s="79"/>
      <c r="E425" s="79"/>
      <c r="P425" s="79"/>
      <c r="Q425" s="79"/>
      <c r="R425" s="79"/>
      <c r="Y425" s="79"/>
      <c r="AC425" s="130"/>
      <c r="AE425" s="106"/>
    </row>
    <row r="426">
      <c r="C426" s="79"/>
      <c r="D426" s="79"/>
      <c r="E426" s="79"/>
      <c r="P426" s="79"/>
      <c r="Q426" s="79"/>
      <c r="R426" s="79"/>
      <c r="Y426" s="79"/>
      <c r="AC426" s="130"/>
      <c r="AE426" s="106"/>
    </row>
    <row r="427">
      <c r="C427" s="79"/>
      <c r="D427" s="79"/>
      <c r="E427" s="79"/>
      <c r="P427" s="79"/>
      <c r="Q427" s="79"/>
      <c r="R427" s="79"/>
      <c r="Y427" s="79"/>
      <c r="AC427" s="130"/>
      <c r="AE427" s="106"/>
    </row>
    <row r="428">
      <c r="C428" s="79"/>
      <c r="D428" s="79"/>
      <c r="E428" s="79"/>
      <c r="P428" s="79"/>
      <c r="Q428" s="79"/>
      <c r="R428" s="79"/>
      <c r="Y428" s="79"/>
      <c r="AC428" s="130"/>
      <c r="AE428" s="106"/>
    </row>
    <row r="429">
      <c r="C429" s="79"/>
      <c r="D429" s="79"/>
      <c r="E429" s="79"/>
      <c r="P429" s="79"/>
      <c r="Q429" s="79"/>
      <c r="R429" s="79"/>
      <c r="Y429" s="79"/>
      <c r="AC429" s="130"/>
      <c r="AE429" s="106"/>
    </row>
    <row r="430">
      <c r="C430" s="79"/>
      <c r="D430" s="79"/>
      <c r="E430" s="79"/>
      <c r="P430" s="79"/>
      <c r="Q430" s="79"/>
      <c r="R430" s="79"/>
      <c r="Y430" s="79"/>
      <c r="AC430" s="130"/>
      <c r="AE430" s="106"/>
    </row>
    <row r="431">
      <c r="C431" s="79"/>
      <c r="D431" s="79"/>
      <c r="E431" s="79"/>
      <c r="P431" s="79"/>
      <c r="Q431" s="79"/>
      <c r="R431" s="79"/>
      <c r="Y431" s="79"/>
      <c r="AC431" s="130"/>
      <c r="AE431" s="106"/>
    </row>
    <row r="432">
      <c r="C432" s="79"/>
      <c r="D432" s="79"/>
      <c r="E432" s="79"/>
      <c r="P432" s="79"/>
      <c r="Q432" s="79"/>
      <c r="R432" s="79"/>
      <c r="Y432" s="79"/>
      <c r="AC432" s="130"/>
      <c r="AE432" s="106"/>
    </row>
    <row r="433">
      <c r="C433" s="79"/>
      <c r="D433" s="79"/>
      <c r="E433" s="79"/>
      <c r="P433" s="79"/>
      <c r="Q433" s="79"/>
      <c r="R433" s="79"/>
      <c r="Y433" s="79"/>
      <c r="AC433" s="130"/>
      <c r="AE433" s="106"/>
    </row>
    <row r="434">
      <c r="C434" s="79"/>
      <c r="D434" s="79"/>
      <c r="E434" s="79"/>
      <c r="P434" s="79"/>
      <c r="Q434" s="79"/>
      <c r="R434" s="79"/>
      <c r="Y434" s="79"/>
      <c r="AC434" s="130"/>
      <c r="AE434" s="106"/>
    </row>
    <row r="435">
      <c r="C435" s="79"/>
      <c r="D435" s="79"/>
      <c r="E435" s="79"/>
      <c r="P435" s="79"/>
      <c r="Q435" s="79"/>
      <c r="R435" s="79"/>
      <c r="Y435" s="79"/>
      <c r="AC435" s="130"/>
      <c r="AE435" s="106"/>
    </row>
    <row r="436">
      <c r="C436" s="79"/>
      <c r="D436" s="79"/>
      <c r="E436" s="79"/>
      <c r="P436" s="79"/>
      <c r="Q436" s="79"/>
      <c r="R436" s="79"/>
      <c r="Y436" s="79"/>
      <c r="AC436" s="130"/>
      <c r="AE436" s="106"/>
    </row>
    <row r="437">
      <c r="C437" s="79"/>
      <c r="D437" s="79"/>
      <c r="E437" s="79"/>
      <c r="P437" s="79"/>
      <c r="Q437" s="79"/>
      <c r="R437" s="79"/>
      <c r="Y437" s="79"/>
      <c r="AC437" s="130"/>
      <c r="AE437" s="106"/>
    </row>
    <row r="438">
      <c r="C438" s="79"/>
      <c r="D438" s="79"/>
      <c r="E438" s="79"/>
      <c r="P438" s="79"/>
      <c r="Q438" s="79"/>
      <c r="R438" s="79"/>
      <c r="Y438" s="79"/>
      <c r="AC438" s="130"/>
      <c r="AE438" s="106"/>
    </row>
    <row r="439">
      <c r="C439" s="79"/>
      <c r="D439" s="79"/>
      <c r="E439" s="79"/>
      <c r="P439" s="79"/>
      <c r="Q439" s="79"/>
      <c r="R439" s="79"/>
      <c r="Y439" s="79"/>
      <c r="AC439" s="130"/>
      <c r="AE439" s="106"/>
    </row>
    <row r="440">
      <c r="C440" s="79"/>
      <c r="D440" s="79"/>
      <c r="E440" s="79"/>
      <c r="P440" s="79"/>
      <c r="Q440" s="79"/>
      <c r="R440" s="79"/>
      <c r="Y440" s="79"/>
      <c r="AC440" s="130"/>
      <c r="AE440" s="106"/>
    </row>
    <row r="441">
      <c r="C441" s="79"/>
      <c r="D441" s="79"/>
      <c r="E441" s="79"/>
      <c r="P441" s="79"/>
      <c r="Q441" s="79"/>
      <c r="R441" s="79"/>
      <c r="Y441" s="79"/>
      <c r="AC441" s="130"/>
      <c r="AE441" s="106"/>
    </row>
    <row r="442">
      <c r="C442" s="79"/>
      <c r="D442" s="79"/>
      <c r="E442" s="79"/>
      <c r="P442" s="79"/>
      <c r="Q442" s="79"/>
      <c r="R442" s="79"/>
      <c r="Y442" s="79"/>
      <c r="AC442" s="130"/>
      <c r="AE442" s="106"/>
    </row>
    <row r="443">
      <c r="C443" s="79"/>
      <c r="D443" s="79"/>
      <c r="E443" s="79"/>
      <c r="P443" s="79"/>
      <c r="Q443" s="79"/>
      <c r="R443" s="79"/>
      <c r="Y443" s="79"/>
      <c r="AC443" s="130"/>
      <c r="AE443" s="106"/>
    </row>
    <row r="444">
      <c r="C444" s="79"/>
      <c r="D444" s="79"/>
      <c r="E444" s="79"/>
      <c r="P444" s="79"/>
      <c r="Q444" s="79"/>
      <c r="R444" s="79"/>
      <c r="Y444" s="79"/>
      <c r="AC444" s="130"/>
      <c r="AE444" s="106"/>
    </row>
    <row r="445">
      <c r="C445" s="79"/>
      <c r="D445" s="79"/>
      <c r="E445" s="79"/>
      <c r="P445" s="79"/>
      <c r="Q445" s="79"/>
      <c r="R445" s="79"/>
      <c r="Y445" s="79"/>
      <c r="AC445" s="130"/>
      <c r="AE445" s="106"/>
    </row>
    <row r="446">
      <c r="C446" s="79"/>
      <c r="D446" s="79"/>
      <c r="E446" s="79"/>
      <c r="P446" s="79"/>
      <c r="Q446" s="79"/>
      <c r="R446" s="79"/>
      <c r="Y446" s="79"/>
      <c r="AC446" s="130"/>
      <c r="AE446" s="106"/>
    </row>
    <row r="447">
      <c r="C447" s="79"/>
      <c r="D447" s="79"/>
      <c r="E447" s="79"/>
      <c r="P447" s="79"/>
      <c r="Q447" s="79"/>
      <c r="R447" s="79"/>
      <c r="Y447" s="79"/>
      <c r="AC447" s="130"/>
      <c r="AE447" s="106"/>
    </row>
    <row r="448">
      <c r="C448" s="79"/>
      <c r="D448" s="79"/>
      <c r="E448" s="79"/>
      <c r="P448" s="79"/>
      <c r="Q448" s="79"/>
      <c r="R448" s="79"/>
      <c r="Y448" s="79"/>
      <c r="AC448" s="130"/>
      <c r="AE448" s="106"/>
    </row>
    <row r="449">
      <c r="C449" s="79"/>
      <c r="D449" s="79"/>
      <c r="E449" s="79"/>
      <c r="P449" s="79"/>
      <c r="Q449" s="79"/>
      <c r="R449" s="79"/>
      <c r="Y449" s="79"/>
      <c r="AC449" s="130"/>
      <c r="AE449" s="106"/>
    </row>
    <row r="450">
      <c r="C450" s="79"/>
      <c r="D450" s="79"/>
      <c r="E450" s="79"/>
      <c r="P450" s="79"/>
      <c r="Q450" s="79"/>
      <c r="R450" s="79"/>
      <c r="Y450" s="79"/>
      <c r="AC450" s="130"/>
      <c r="AE450" s="106"/>
    </row>
    <row r="451">
      <c r="C451" s="79"/>
      <c r="D451" s="79"/>
      <c r="E451" s="79"/>
      <c r="P451" s="79"/>
      <c r="Q451" s="79"/>
      <c r="R451" s="79"/>
      <c r="Y451" s="79"/>
      <c r="AC451" s="130"/>
      <c r="AE451" s="106"/>
    </row>
    <row r="452">
      <c r="C452" s="79"/>
      <c r="D452" s="79"/>
      <c r="E452" s="79"/>
      <c r="P452" s="79"/>
      <c r="Q452" s="79"/>
      <c r="R452" s="79"/>
      <c r="Y452" s="79"/>
      <c r="AC452" s="130"/>
      <c r="AE452" s="106"/>
    </row>
    <row r="453">
      <c r="C453" s="79"/>
      <c r="D453" s="79"/>
      <c r="E453" s="79"/>
      <c r="P453" s="79"/>
      <c r="Q453" s="79"/>
      <c r="R453" s="79"/>
      <c r="Y453" s="79"/>
      <c r="AC453" s="130"/>
      <c r="AE453" s="106"/>
    </row>
    <row r="454">
      <c r="C454" s="79"/>
      <c r="D454" s="79"/>
      <c r="E454" s="79"/>
      <c r="P454" s="79"/>
      <c r="Q454" s="79"/>
      <c r="R454" s="79"/>
      <c r="Y454" s="79"/>
      <c r="AC454" s="130"/>
      <c r="AE454" s="106"/>
    </row>
    <row r="455">
      <c r="C455" s="79"/>
      <c r="D455" s="79"/>
      <c r="E455" s="79"/>
      <c r="P455" s="79"/>
      <c r="Q455" s="79"/>
      <c r="R455" s="79"/>
      <c r="Y455" s="79"/>
      <c r="AC455" s="130"/>
      <c r="AE455" s="106"/>
    </row>
    <row r="456">
      <c r="C456" s="79"/>
      <c r="D456" s="79"/>
      <c r="E456" s="79"/>
      <c r="P456" s="79"/>
      <c r="Q456" s="79"/>
      <c r="R456" s="79"/>
      <c r="Y456" s="79"/>
      <c r="AC456" s="130"/>
      <c r="AE456" s="106"/>
    </row>
    <row r="457">
      <c r="C457" s="79"/>
      <c r="D457" s="79"/>
      <c r="E457" s="79"/>
      <c r="P457" s="79"/>
      <c r="Q457" s="79"/>
      <c r="R457" s="79"/>
      <c r="Y457" s="79"/>
      <c r="AC457" s="130"/>
      <c r="AE457" s="106"/>
    </row>
    <row r="458">
      <c r="C458" s="79"/>
      <c r="D458" s="79"/>
      <c r="E458" s="79"/>
      <c r="P458" s="79"/>
      <c r="Q458" s="79"/>
      <c r="R458" s="79"/>
      <c r="Y458" s="79"/>
      <c r="AC458" s="130"/>
      <c r="AE458" s="106"/>
    </row>
    <row r="459">
      <c r="C459" s="79"/>
      <c r="D459" s="79"/>
      <c r="E459" s="79"/>
      <c r="P459" s="79"/>
      <c r="Q459" s="79"/>
      <c r="R459" s="79"/>
      <c r="Y459" s="79"/>
      <c r="AC459" s="130"/>
      <c r="AE459" s="106"/>
    </row>
    <row r="460">
      <c r="C460" s="79"/>
      <c r="D460" s="79"/>
      <c r="E460" s="79"/>
      <c r="P460" s="79"/>
      <c r="Q460" s="79"/>
      <c r="R460" s="79"/>
      <c r="Y460" s="79"/>
      <c r="AC460" s="130"/>
      <c r="AE460" s="106"/>
    </row>
    <row r="461">
      <c r="C461" s="79"/>
      <c r="D461" s="79"/>
      <c r="E461" s="79"/>
      <c r="P461" s="79"/>
      <c r="Q461" s="79"/>
      <c r="R461" s="79"/>
      <c r="Y461" s="79"/>
      <c r="AC461" s="130"/>
      <c r="AE461" s="106"/>
    </row>
    <row r="462">
      <c r="C462" s="79"/>
      <c r="D462" s="79"/>
      <c r="E462" s="79"/>
      <c r="P462" s="79"/>
      <c r="Q462" s="79"/>
      <c r="R462" s="79"/>
      <c r="Y462" s="79"/>
      <c r="AC462" s="130"/>
      <c r="AE462" s="106"/>
    </row>
    <row r="463">
      <c r="C463" s="79"/>
      <c r="D463" s="79"/>
      <c r="E463" s="79"/>
      <c r="P463" s="79"/>
      <c r="Q463" s="79"/>
      <c r="R463" s="79"/>
      <c r="Y463" s="79"/>
      <c r="AC463" s="130"/>
      <c r="AE463" s="106"/>
    </row>
    <row r="464">
      <c r="C464" s="79"/>
      <c r="D464" s="79"/>
      <c r="E464" s="79"/>
      <c r="P464" s="79"/>
      <c r="Q464" s="79"/>
      <c r="R464" s="79"/>
      <c r="Y464" s="79"/>
      <c r="AC464" s="130"/>
      <c r="AE464" s="106"/>
    </row>
    <row r="465">
      <c r="C465" s="79"/>
      <c r="D465" s="79"/>
      <c r="E465" s="79"/>
      <c r="P465" s="79"/>
      <c r="Q465" s="79"/>
      <c r="R465" s="79"/>
      <c r="Y465" s="79"/>
      <c r="AC465" s="130"/>
      <c r="AE465" s="106"/>
    </row>
    <row r="466">
      <c r="C466" s="79"/>
      <c r="D466" s="79"/>
      <c r="E466" s="79"/>
      <c r="P466" s="79"/>
      <c r="Q466" s="79"/>
      <c r="R466" s="79"/>
      <c r="Y466" s="79"/>
      <c r="AC466" s="130"/>
      <c r="AE466" s="106"/>
    </row>
    <row r="467">
      <c r="C467" s="79"/>
      <c r="D467" s="79"/>
      <c r="E467" s="79"/>
      <c r="P467" s="79"/>
      <c r="Q467" s="79"/>
      <c r="R467" s="79"/>
      <c r="Y467" s="79"/>
      <c r="AC467" s="130"/>
      <c r="AE467" s="106"/>
    </row>
    <row r="468">
      <c r="C468" s="79"/>
      <c r="D468" s="79"/>
      <c r="E468" s="79"/>
      <c r="P468" s="79"/>
      <c r="Q468" s="79"/>
      <c r="R468" s="79"/>
      <c r="Y468" s="79"/>
      <c r="AC468" s="130"/>
      <c r="AE468" s="106"/>
    </row>
    <row r="469">
      <c r="C469" s="79"/>
      <c r="D469" s="79"/>
      <c r="E469" s="79"/>
      <c r="P469" s="79"/>
      <c r="Q469" s="79"/>
      <c r="R469" s="79"/>
      <c r="Y469" s="79"/>
      <c r="AC469" s="130"/>
      <c r="AE469" s="106"/>
    </row>
    <row r="470">
      <c r="C470" s="79"/>
      <c r="D470" s="79"/>
      <c r="E470" s="79"/>
      <c r="P470" s="79"/>
      <c r="Q470" s="79"/>
      <c r="R470" s="79"/>
      <c r="Y470" s="79"/>
      <c r="AC470" s="130"/>
      <c r="AE470" s="106"/>
    </row>
    <row r="471">
      <c r="C471" s="79"/>
      <c r="D471" s="79"/>
      <c r="E471" s="79"/>
      <c r="P471" s="79"/>
      <c r="Q471" s="79"/>
      <c r="R471" s="79"/>
      <c r="Y471" s="79"/>
      <c r="AC471" s="130"/>
      <c r="AE471" s="106"/>
    </row>
    <row r="472">
      <c r="C472" s="79"/>
      <c r="D472" s="79"/>
      <c r="E472" s="79"/>
      <c r="P472" s="79"/>
      <c r="Q472" s="79"/>
      <c r="R472" s="79"/>
      <c r="Y472" s="79"/>
      <c r="AC472" s="130"/>
      <c r="AE472" s="106"/>
    </row>
    <row r="473">
      <c r="C473" s="79"/>
      <c r="D473" s="79"/>
      <c r="E473" s="79"/>
      <c r="P473" s="79"/>
      <c r="Q473" s="79"/>
      <c r="R473" s="79"/>
      <c r="Y473" s="79"/>
      <c r="AC473" s="130"/>
      <c r="AE473" s="106"/>
    </row>
    <row r="474">
      <c r="C474" s="79"/>
      <c r="D474" s="79"/>
      <c r="E474" s="79"/>
      <c r="P474" s="79"/>
      <c r="Q474" s="79"/>
      <c r="R474" s="79"/>
      <c r="Y474" s="79"/>
      <c r="AC474" s="130"/>
      <c r="AE474" s="106"/>
    </row>
    <row r="475">
      <c r="C475" s="79"/>
      <c r="D475" s="79"/>
      <c r="E475" s="79"/>
      <c r="P475" s="79"/>
      <c r="Q475" s="79"/>
      <c r="R475" s="79"/>
      <c r="Y475" s="79"/>
      <c r="AC475" s="130"/>
      <c r="AE475" s="106"/>
    </row>
    <row r="476">
      <c r="C476" s="79"/>
      <c r="D476" s="79"/>
      <c r="E476" s="79"/>
      <c r="P476" s="79"/>
      <c r="Q476" s="79"/>
      <c r="R476" s="79"/>
      <c r="Y476" s="79"/>
      <c r="AC476" s="130"/>
      <c r="AE476" s="106"/>
    </row>
    <row r="477">
      <c r="C477" s="79"/>
      <c r="D477" s="79"/>
      <c r="E477" s="79"/>
      <c r="P477" s="79"/>
      <c r="Q477" s="79"/>
      <c r="R477" s="79"/>
      <c r="Y477" s="79"/>
      <c r="AC477" s="130"/>
      <c r="AE477" s="106"/>
    </row>
    <row r="478">
      <c r="C478" s="79"/>
      <c r="D478" s="79"/>
      <c r="E478" s="79"/>
      <c r="P478" s="79"/>
      <c r="Q478" s="79"/>
      <c r="R478" s="79"/>
      <c r="Y478" s="79"/>
      <c r="AC478" s="130"/>
      <c r="AE478" s="106"/>
    </row>
    <row r="479">
      <c r="C479" s="79"/>
      <c r="D479" s="79"/>
      <c r="E479" s="79"/>
      <c r="P479" s="79"/>
      <c r="Q479" s="79"/>
      <c r="R479" s="79"/>
      <c r="Y479" s="79"/>
      <c r="AC479" s="130"/>
      <c r="AE479" s="106"/>
    </row>
    <row r="480">
      <c r="C480" s="79"/>
      <c r="D480" s="79"/>
      <c r="E480" s="79"/>
      <c r="P480" s="79"/>
      <c r="Q480" s="79"/>
      <c r="R480" s="79"/>
      <c r="Y480" s="79"/>
      <c r="AC480" s="130"/>
      <c r="AE480" s="106"/>
    </row>
    <row r="481">
      <c r="C481" s="79"/>
      <c r="D481" s="79"/>
      <c r="E481" s="79"/>
      <c r="P481" s="79"/>
      <c r="Q481" s="79"/>
      <c r="R481" s="79"/>
      <c r="Y481" s="79"/>
      <c r="AC481" s="130"/>
      <c r="AE481" s="106"/>
    </row>
    <row r="482">
      <c r="C482" s="79"/>
      <c r="D482" s="79"/>
      <c r="E482" s="79"/>
      <c r="P482" s="79"/>
      <c r="Q482" s="79"/>
      <c r="R482" s="79"/>
      <c r="Y482" s="79"/>
      <c r="AC482" s="130"/>
      <c r="AE482" s="106"/>
    </row>
    <row r="483">
      <c r="C483" s="79"/>
      <c r="D483" s="79"/>
      <c r="E483" s="79"/>
      <c r="P483" s="79"/>
      <c r="Q483" s="79"/>
      <c r="R483" s="79"/>
      <c r="Y483" s="79"/>
      <c r="AC483" s="130"/>
      <c r="AE483" s="106"/>
    </row>
    <row r="484">
      <c r="C484" s="79"/>
      <c r="D484" s="79"/>
      <c r="E484" s="79"/>
      <c r="P484" s="79"/>
      <c r="Q484" s="79"/>
      <c r="R484" s="79"/>
      <c r="Y484" s="79"/>
      <c r="AC484" s="130"/>
      <c r="AE484" s="106"/>
    </row>
    <row r="485">
      <c r="C485" s="79"/>
      <c r="D485" s="79"/>
      <c r="E485" s="79"/>
      <c r="P485" s="79"/>
      <c r="Q485" s="79"/>
      <c r="R485" s="79"/>
      <c r="Y485" s="79"/>
      <c r="AC485" s="130"/>
      <c r="AE485" s="106"/>
    </row>
    <row r="486">
      <c r="C486" s="79"/>
      <c r="D486" s="79"/>
      <c r="E486" s="79"/>
      <c r="P486" s="79"/>
      <c r="Q486" s="79"/>
      <c r="R486" s="79"/>
      <c r="Y486" s="79"/>
      <c r="AC486" s="130"/>
      <c r="AE486" s="106"/>
    </row>
    <row r="487">
      <c r="C487" s="79"/>
      <c r="D487" s="79"/>
      <c r="E487" s="79"/>
      <c r="P487" s="79"/>
      <c r="Q487" s="79"/>
      <c r="R487" s="79"/>
      <c r="Y487" s="79"/>
      <c r="AC487" s="130"/>
      <c r="AE487" s="106"/>
    </row>
    <row r="488">
      <c r="C488" s="79"/>
      <c r="D488" s="79"/>
      <c r="E488" s="79"/>
      <c r="P488" s="79"/>
      <c r="Q488" s="79"/>
      <c r="R488" s="79"/>
      <c r="Y488" s="79"/>
      <c r="AC488" s="130"/>
      <c r="AE488" s="106"/>
    </row>
    <row r="489">
      <c r="C489" s="79"/>
      <c r="D489" s="79"/>
      <c r="E489" s="79"/>
      <c r="P489" s="79"/>
      <c r="Q489" s="79"/>
      <c r="R489" s="79"/>
      <c r="Y489" s="79"/>
      <c r="AC489" s="130"/>
      <c r="AE489" s="106"/>
    </row>
    <row r="490">
      <c r="C490" s="79"/>
      <c r="D490" s="79"/>
      <c r="E490" s="79"/>
      <c r="P490" s="79"/>
      <c r="Q490" s="79"/>
      <c r="R490" s="79"/>
      <c r="Y490" s="79"/>
      <c r="AC490" s="130"/>
      <c r="AE490" s="106"/>
    </row>
    <row r="491">
      <c r="C491" s="79"/>
      <c r="D491" s="79"/>
      <c r="E491" s="79"/>
      <c r="P491" s="79"/>
      <c r="Q491" s="79"/>
      <c r="R491" s="79"/>
      <c r="Y491" s="79"/>
      <c r="AC491" s="130"/>
      <c r="AE491" s="106"/>
    </row>
    <row r="492">
      <c r="C492" s="79"/>
      <c r="D492" s="79"/>
      <c r="E492" s="79"/>
      <c r="P492" s="79"/>
      <c r="Q492" s="79"/>
      <c r="R492" s="79"/>
      <c r="Y492" s="79"/>
      <c r="AC492" s="130"/>
      <c r="AE492" s="106"/>
    </row>
    <row r="493">
      <c r="C493" s="79"/>
      <c r="D493" s="79"/>
      <c r="E493" s="79"/>
      <c r="P493" s="79"/>
      <c r="Q493" s="79"/>
      <c r="R493" s="79"/>
      <c r="Y493" s="79"/>
      <c r="AC493" s="130"/>
      <c r="AE493" s="106"/>
    </row>
    <row r="494">
      <c r="C494" s="79"/>
      <c r="D494" s="79"/>
      <c r="E494" s="79"/>
      <c r="P494" s="79"/>
      <c r="Q494" s="79"/>
      <c r="R494" s="79"/>
      <c r="Y494" s="79"/>
      <c r="AC494" s="130"/>
      <c r="AE494" s="106"/>
    </row>
    <row r="495">
      <c r="C495" s="79"/>
      <c r="D495" s="79"/>
      <c r="E495" s="79"/>
      <c r="P495" s="79"/>
      <c r="Q495" s="79"/>
      <c r="R495" s="79"/>
      <c r="Y495" s="79"/>
      <c r="AC495" s="130"/>
      <c r="AE495" s="106"/>
    </row>
    <row r="496">
      <c r="C496" s="79"/>
      <c r="D496" s="79"/>
      <c r="E496" s="79"/>
      <c r="P496" s="79"/>
      <c r="Q496" s="79"/>
      <c r="R496" s="79"/>
      <c r="Y496" s="79"/>
      <c r="AC496" s="130"/>
      <c r="AE496" s="106"/>
    </row>
    <row r="497">
      <c r="C497" s="79"/>
      <c r="D497" s="79"/>
      <c r="E497" s="79"/>
      <c r="P497" s="79"/>
      <c r="Q497" s="79"/>
      <c r="R497" s="79"/>
      <c r="Y497" s="79"/>
      <c r="AC497" s="130"/>
      <c r="AE497" s="106"/>
    </row>
    <row r="498">
      <c r="C498" s="79"/>
      <c r="D498" s="79"/>
      <c r="E498" s="79"/>
      <c r="P498" s="79"/>
      <c r="Q498" s="79"/>
      <c r="R498" s="79"/>
      <c r="Y498" s="79"/>
      <c r="AC498" s="130"/>
      <c r="AE498" s="106"/>
    </row>
    <row r="499">
      <c r="C499" s="79"/>
      <c r="D499" s="79"/>
      <c r="E499" s="79"/>
      <c r="P499" s="79"/>
      <c r="Q499" s="79"/>
      <c r="R499" s="79"/>
      <c r="Y499" s="79"/>
      <c r="AC499" s="130"/>
      <c r="AE499" s="106"/>
    </row>
    <row r="500">
      <c r="C500" s="79"/>
      <c r="D500" s="79"/>
      <c r="E500" s="79"/>
      <c r="P500" s="79"/>
      <c r="Q500" s="79"/>
      <c r="R500" s="79"/>
      <c r="Y500" s="79"/>
      <c r="AC500" s="130"/>
      <c r="AE500" s="106"/>
    </row>
    <row r="501">
      <c r="C501" s="79"/>
      <c r="D501" s="79"/>
      <c r="E501" s="79"/>
      <c r="P501" s="79"/>
      <c r="Q501" s="79"/>
      <c r="R501" s="79"/>
      <c r="Y501" s="79"/>
      <c r="AC501" s="130"/>
      <c r="AE501" s="106"/>
    </row>
    <row r="502">
      <c r="C502" s="79"/>
      <c r="D502" s="79"/>
      <c r="E502" s="79"/>
      <c r="P502" s="79"/>
      <c r="Q502" s="79"/>
      <c r="R502" s="79"/>
      <c r="Y502" s="79"/>
      <c r="AC502" s="130"/>
      <c r="AE502" s="106"/>
    </row>
    <row r="503">
      <c r="C503" s="79"/>
      <c r="D503" s="79"/>
      <c r="E503" s="79"/>
      <c r="P503" s="79"/>
      <c r="Q503" s="79"/>
      <c r="R503" s="79"/>
      <c r="Y503" s="79"/>
      <c r="AC503" s="130"/>
      <c r="AE503" s="106"/>
    </row>
    <row r="504">
      <c r="C504" s="79"/>
      <c r="D504" s="79"/>
      <c r="E504" s="79"/>
      <c r="P504" s="79"/>
      <c r="Q504" s="79"/>
      <c r="R504" s="79"/>
      <c r="Y504" s="79"/>
      <c r="AC504" s="130"/>
      <c r="AE504" s="106"/>
    </row>
    <row r="505">
      <c r="C505" s="79"/>
      <c r="D505" s="79"/>
      <c r="E505" s="79"/>
      <c r="P505" s="79"/>
      <c r="Q505" s="79"/>
      <c r="R505" s="79"/>
      <c r="Y505" s="79"/>
      <c r="AC505" s="130"/>
      <c r="AE505" s="106"/>
    </row>
    <row r="506">
      <c r="C506" s="79"/>
      <c r="D506" s="79"/>
      <c r="E506" s="79"/>
      <c r="P506" s="79"/>
      <c r="Q506" s="79"/>
      <c r="R506" s="79"/>
      <c r="Y506" s="79"/>
      <c r="AC506" s="130"/>
      <c r="AE506" s="106"/>
    </row>
    <row r="507">
      <c r="C507" s="79"/>
      <c r="D507" s="79"/>
      <c r="E507" s="79"/>
      <c r="P507" s="79"/>
      <c r="Q507" s="79"/>
      <c r="R507" s="79"/>
      <c r="Y507" s="79"/>
      <c r="AC507" s="130"/>
      <c r="AE507" s="106"/>
    </row>
    <row r="508">
      <c r="C508" s="79"/>
      <c r="D508" s="79"/>
      <c r="E508" s="79"/>
      <c r="P508" s="79"/>
      <c r="Q508" s="79"/>
      <c r="R508" s="79"/>
      <c r="Y508" s="79"/>
      <c r="AC508" s="130"/>
      <c r="AE508" s="106"/>
    </row>
    <row r="509">
      <c r="C509" s="79"/>
      <c r="D509" s="79"/>
      <c r="E509" s="79"/>
      <c r="P509" s="79"/>
      <c r="Q509" s="79"/>
      <c r="R509" s="79"/>
      <c r="Y509" s="79"/>
      <c r="AC509" s="130"/>
      <c r="AE509" s="106"/>
    </row>
    <row r="510">
      <c r="C510" s="79"/>
      <c r="D510" s="79"/>
      <c r="E510" s="79"/>
      <c r="P510" s="79"/>
      <c r="Q510" s="79"/>
      <c r="R510" s="79"/>
      <c r="Y510" s="79"/>
      <c r="AC510" s="130"/>
      <c r="AE510" s="106"/>
    </row>
    <row r="511">
      <c r="C511" s="79"/>
      <c r="D511" s="79"/>
      <c r="E511" s="79"/>
      <c r="P511" s="79"/>
      <c r="Q511" s="79"/>
      <c r="R511" s="79"/>
      <c r="Y511" s="79"/>
      <c r="AC511" s="130"/>
      <c r="AE511" s="106"/>
    </row>
    <row r="512">
      <c r="C512" s="79"/>
      <c r="D512" s="79"/>
      <c r="E512" s="79"/>
      <c r="P512" s="79"/>
      <c r="Q512" s="79"/>
      <c r="R512" s="79"/>
      <c r="Y512" s="79"/>
      <c r="AC512" s="130"/>
      <c r="AE512" s="106"/>
    </row>
    <row r="513">
      <c r="C513" s="79"/>
      <c r="D513" s="79"/>
      <c r="E513" s="79"/>
      <c r="P513" s="79"/>
      <c r="Q513" s="79"/>
      <c r="R513" s="79"/>
      <c r="Y513" s="79"/>
      <c r="AC513" s="130"/>
      <c r="AE513" s="106"/>
    </row>
    <row r="514">
      <c r="C514" s="79"/>
      <c r="D514" s="79"/>
      <c r="E514" s="79"/>
      <c r="P514" s="79"/>
      <c r="Q514" s="79"/>
      <c r="R514" s="79"/>
      <c r="Y514" s="79"/>
      <c r="AC514" s="130"/>
      <c r="AE514" s="106"/>
    </row>
    <row r="515">
      <c r="C515" s="79"/>
      <c r="D515" s="79"/>
      <c r="E515" s="79"/>
      <c r="P515" s="79"/>
      <c r="Q515" s="79"/>
      <c r="R515" s="79"/>
      <c r="Y515" s="79"/>
      <c r="AC515" s="130"/>
      <c r="AE515" s="106"/>
    </row>
    <row r="516">
      <c r="C516" s="79"/>
      <c r="D516" s="79"/>
      <c r="E516" s="79"/>
      <c r="P516" s="79"/>
      <c r="Q516" s="79"/>
      <c r="R516" s="79"/>
      <c r="Y516" s="79"/>
      <c r="AC516" s="130"/>
      <c r="AE516" s="106"/>
    </row>
    <row r="517">
      <c r="C517" s="79"/>
      <c r="D517" s="79"/>
      <c r="E517" s="79"/>
      <c r="P517" s="79"/>
      <c r="Q517" s="79"/>
      <c r="R517" s="79"/>
      <c r="Y517" s="79"/>
      <c r="AC517" s="130"/>
      <c r="AE517" s="106"/>
    </row>
    <row r="518">
      <c r="C518" s="79"/>
      <c r="D518" s="79"/>
      <c r="E518" s="79"/>
      <c r="P518" s="79"/>
      <c r="Q518" s="79"/>
      <c r="R518" s="79"/>
      <c r="Y518" s="79"/>
      <c r="AC518" s="130"/>
      <c r="AE518" s="106"/>
    </row>
    <row r="519">
      <c r="C519" s="79"/>
      <c r="D519" s="79"/>
      <c r="E519" s="79"/>
      <c r="P519" s="79"/>
      <c r="Q519" s="79"/>
      <c r="R519" s="79"/>
      <c r="Y519" s="79"/>
      <c r="AC519" s="130"/>
      <c r="AE519" s="106"/>
    </row>
    <row r="520">
      <c r="C520" s="79"/>
      <c r="D520" s="79"/>
      <c r="E520" s="79"/>
      <c r="P520" s="79"/>
      <c r="Q520" s="79"/>
      <c r="R520" s="79"/>
      <c r="Y520" s="79"/>
      <c r="AC520" s="130"/>
      <c r="AE520" s="106"/>
    </row>
    <row r="521">
      <c r="C521" s="79"/>
      <c r="D521" s="79"/>
      <c r="E521" s="79"/>
      <c r="P521" s="79"/>
      <c r="Q521" s="79"/>
      <c r="R521" s="79"/>
      <c r="Y521" s="79"/>
      <c r="AC521" s="130"/>
      <c r="AE521" s="106"/>
    </row>
    <row r="522">
      <c r="C522" s="79"/>
      <c r="D522" s="79"/>
      <c r="E522" s="79"/>
      <c r="P522" s="79"/>
      <c r="Q522" s="79"/>
      <c r="R522" s="79"/>
      <c r="Y522" s="79"/>
      <c r="AC522" s="130"/>
      <c r="AE522" s="106"/>
    </row>
    <row r="523">
      <c r="C523" s="79"/>
      <c r="D523" s="79"/>
      <c r="E523" s="79"/>
      <c r="P523" s="79"/>
      <c r="Q523" s="79"/>
      <c r="R523" s="79"/>
      <c r="Y523" s="79"/>
      <c r="AC523" s="130"/>
      <c r="AE523" s="106"/>
    </row>
    <row r="524">
      <c r="C524" s="79"/>
      <c r="D524" s="79"/>
      <c r="E524" s="79"/>
      <c r="P524" s="79"/>
      <c r="Q524" s="79"/>
      <c r="R524" s="79"/>
      <c r="Y524" s="79"/>
      <c r="AC524" s="130"/>
      <c r="AE524" s="106"/>
    </row>
    <row r="525">
      <c r="C525" s="79"/>
      <c r="D525" s="79"/>
      <c r="E525" s="79"/>
      <c r="P525" s="79"/>
      <c r="Q525" s="79"/>
      <c r="R525" s="79"/>
      <c r="Y525" s="79"/>
      <c r="AC525" s="130"/>
      <c r="AE525" s="106"/>
    </row>
    <row r="526">
      <c r="C526" s="79"/>
      <c r="D526" s="79"/>
      <c r="E526" s="79"/>
      <c r="P526" s="79"/>
      <c r="Q526" s="79"/>
      <c r="R526" s="79"/>
      <c r="Y526" s="79"/>
      <c r="AC526" s="130"/>
      <c r="AE526" s="106"/>
    </row>
    <row r="527">
      <c r="C527" s="79"/>
      <c r="D527" s="79"/>
      <c r="E527" s="79"/>
      <c r="P527" s="79"/>
      <c r="Q527" s="79"/>
      <c r="R527" s="79"/>
      <c r="Y527" s="79"/>
      <c r="AC527" s="130"/>
      <c r="AE527" s="106"/>
    </row>
    <row r="528">
      <c r="C528" s="79"/>
      <c r="D528" s="79"/>
      <c r="E528" s="79"/>
      <c r="P528" s="79"/>
      <c r="Q528" s="79"/>
      <c r="R528" s="79"/>
      <c r="Y528" s="79"/>
      <c r="AC528" s="130"/>
      <c r="AE528" s="106"/>
    </row>
    <row r="529">
      <c r="C529" s="79"/>
      <c r="D529" s="79"/>
      <c r="E529" s="79"/>
      <c r="P529" s="79"/>
      <c r="Q529" s="79"/>
      <c r="R529" s="79"/>
      <c r="Y529" s="79"/>
      <c r="AC529" s="130"/>
      <c r="AE529" s="106"/>
    </row>
    <row r="530">
      <c r="C530" s="79"/>
      <c r="D530" s="79"/>
      <c r="E530" s="79"/>
      <c r="P530" s="79"/>
      <c r="Q530" s="79"/>
      <c r="R530" s="79"/>
      <c r="Y530" s="79"/>
      <c r="AC530" s="130"/>
      <c r="AE530" s="106"/>
    </row>
    <row r="531">
      <c r="C531" s="79"/>
      <c r="D531" s="79"/>
      <c r="E531" s="79"/>
      <c r="P531" s="79"/>
      <c r="Q531" s="79"/>
      <c r="R531" s="79"/>
      <c r="Y531" s="79"/>
      <c r="AC531" s="130"/>
      <c r="AE531" s="106"/>
    </row>
    <row r="532">
      <c r="C532" s="79"/>
      <c r="D532" s="79"/>
      <c r="E532" s="79"/>
      <c r="P532" s="79"/>
      <c r="Q532" s="79"/>
      <c r="R532" s="79"/>
      <c r="Y532" s="79"/>
      <c r="AC532" s="130"/>
      <c r="AE532" s="106"/>
    </row>
    <row r="533">
      <c r="C533" s="79"/>
      <c r="D533" s="79"/>
      <c r="E533" s="79"/>
      <c r="P533" s="79"/>
      <c r="Q533" s="79"/>
      <c r="R533" s="79"/>
      <c r="Y533" s="79"/>
      <c r="AC533" s="130"/>
      <c r="AE533" s="106"/>
    </row>
    <row r="534">
      <c r="C534" s="79"/>
      <c r="D534" s="79"/>
      <c r="E534" s="79"/>
      <c r="P534" s="79"/>
      <c r="Q534" s="79"/>
      <c r="R534" s="79"/>
      <c r="Y534" s="79"/>
      <c r="AC534" s="130"/>
      <c r="AE534" s="106"/>
    </row>
    <row r="535">
      <c r="C535" s="79"/>
      <c r="D535" s="79"/>
      <c r="E535" s="79"/>
      <c r="P535" s="79"/>
      <c r="Q535" s="79"/>
      <c r="R535" s="79"/>
      <c r="Y535" s="79"/>
      <c r="AC535" s="130"/>
      <c r="AE535" s="106"/>
    </row>
    <row r="536">
      <c r="C536" s="79"/>
      <c r="D536" s="79"/>
      <c r="E536" s="79"/>
      <c r="P536" s="79"/>
      <c r="Q536" s="79"/>
      <c r="R536" s="79"/>
      <c r="Y536" s="79"/>
      <c r="AC536" s="130"/>
      <c r="AE536" s="106"/>
    </row>
    <row r="537">
      <c r="C537" s="79"/>
      <c r="D537" s="79"/>
      <c r="E537" s="79"/>
      <c r="P537" s="79"/>
      <c r="Q537" s="79"/>
      <c r="R537" s="79"/>
      <c r="Y537" s="79"/>
      <c r="AC537" s="130"/>
      <c r="AE537" s="106"/>
    </row>
    <row r="538">
      <c r="C538" s="79"/>
      <c r="D538" s="79"/>
      <c r="E538" s="79"/>
      <c r="P538" s="79"/>
      <c r="Q538" s="79"/>
      <c r="R538" s="79"/>
      <c r="Y538" s="79"/>
      <c r="AC538" s="130"/>
      <c r="AE538" s="106"/>
    </row>
    <row r="539">
      <c r="C539" s="79"/>
      <c r="D539" s="79"/>
      <c r="E539" s="79"/>
      <c r="P539" s="79"/>
      <c r="Q539" s="79"/>
      <c r="R539" s="79"/>
      <c r="Y539" s="79"/>
      <c r="AC539" s="130"/>
      <c r="AE539" s="106"/>
    </row>
    <row r="540">
      <c r="C540" s="79"/>
      <c r="D540" s="79"/>
      <c r="E540" s="79"/>
      <c r="P540" s="79"/>
      <c r="Q540" s="79"/>
      <c r="R540" s="79"/>
      <c r="Y540" s="79"/>
      <c r="AC540" s="130"/>
      <c r="AE540" s="106"/>
    </row>
    <row r="541">
      <c r="C541" s="79"/>
      <c r="D541" s="79"/>
      <c r="E541" s="79"/>
      <c r="P541" s="79"/>
      <c r="Q541" s="79"/>
      <c r="R541" s="79"/>
      <c r="Y541" s="79"/>
      <c r="AC541" s="130"/>
      <c r="AE541" s="106"/>
    </row>
    <row r="542">
      <c r="C542" s="79"/>
      <c r="D542" s="79"/>
      <c r="E542" s="79"/>
      <c r="P542" s="79"/>
      <c r="Q542" s="79"/>
      <c r="R542" s="79"/>
      <c r="Y542" s="79"/>
      <c r="AC542" s="130"/>
      <c r="AE542" s="106"/>
    </row>
    <row r="543">
      <c r="C543" s="79"/>
      <c r="D543" s="79"/>
      <c r="E543" s="79"/>
      <c r="P543" s="79"/>
      <c r="Q543" s="79"/>
      <c r="R543" s="79"/>
      <c r="Y543" s="79"/>
      <c r="AC543" s="130"/>
      <c r="AE543" s="106"/>
    </row>
    <row r="544">
      <c r="C544" s="79"/>
      <c r="D544" s="79"/>
      <c r="E544" s="79"/>
      <c r="P544" s="79"/>
      <c r="Q544" s="79"/>
      <c r="R544" s="79"/>
      <c r="Y544" s="79"/>
      <c r="AC544" s="130"/>
      <c r="AE544" s="106"/>
    </row>
    <row r="545">
      <c r="C545" s="79"/>
      <c r="D545" s="79"/>
      <c r="E545" s="79"/>
      <c r="P545" s="79"/>
      <c r="Q545" s="79"/>
      <c r="R545" s="79"/>
      <c r="Y545" s="79"/>
      <c r="AC545" s="130"/>
      <c r="AE545" s="106"/>
    </row>
    <row r="546">
      <c r="C546" s="79"/>
      <c r="D546" s="79"/>
      <c r="E546" s="79"/>
      <c r="P546" s="79"/>
      <c r="Q546" s="79"/>
      <c r="R546" s="79"/>
      <c r="Y546" s="79"/>
      <c r="AC546" s="130"/>
      <c r="AE546" s="106"/>
    </row>
    <row r="547">
      <c r="C547" s="79"/>
      <c r="D547" s="79"/>
      <c r="E547" s="79"/>
      <c r="P547" s="79"/>
      <c r="Q547" s="79"/>
      <c r="R547" s="79"/>
      <c r="Y547" s="79"/>
      <c r="AC547" s="130"/>
      <c r="AE547" s="106"/>
    </row>
    <row r="548">
      <c r="C548" s="79"/>
      <c r="D548" s="79"/>
      <c r="E548" s="79"/>
      <c r="P548" s="79"/>
      <c r="Q548" s="79"/>
      <c r="R548" s="79"/>
      <c r="Y548" s="79"/>
      <c r="AC548" s="130"/>
      <c r="AE548" s="106"/>
    </row>
    <row r="549">
      <c r="C549" s="79"/>
      <c r="D549" s="79"/>
      <c r="E549" s="79"/>
      <c r="P549" s="79"/>
      <c r="Q549" s="79"/>
      <c r="R549" s="79"/>
      <c r="Y549" s="79"/>
      <c r="AC549" s="130"/>
      <c r="AE549" s="106"/>
    </row>
    <row r="550">
      <c r="C550" s="79"/>
      <c r="D550" s="79"/>
      <c r="E550" s="79"/>
      <c r="P550" s="79"/>
      <c r="Q550" s="79"/>
      <c r="R550" s="79"/>
      <c r="Y550" s="79"/>
      <c r="AC550" s="130"/>
      <c r="AE550" s="106"/>
    </row>
    <row r="551">
      <c r="C551" s="79"/>
      <c r="D551" s="79"/>
      <c r="E551" s="79"/>
      <c r="P551" s="79"/>
      <c r="Q551" s="79"/>
      <c r="R551" s="79"/>
      <c r="Y551" s="79"/>
      <c r="AC551" s="130"/>
      <c r="AE551" s="106"/>
    </row>
    <row r="552">
      <c r="C552" s="79"/>
      <c r="D552" s="79"/>
      <c r="E552" s="79"/>
      <c r="P552" s="79"/>
      <c r="Q552" s="79"/>
      <c r="R552" s="79"/>
      <c r="Y552" s="79"/>
      <c r="AC552" s="130"/>
      <c r="AE552" s="106"/>
    </row>
    <row r="553">
      <c r="C553" s="79"/>
      <c r="D553" s="79"/>
      <c r="E553" s="79"/>
      <c r="P553" s="79"/>
      <c r="Q553" s="79"/>
      <c r="R553" s="79"/>
      <c r="Y553" s="79"/>
      <c r="AC553" s="130"/>
      <c r="AE553" s="106"/>
    </row>
    <row r="554">
      <c r="C554" s="79"/>
      <c r="D554" s="79"/>
      <c r="E554" s="79"/>
      <c r="P554" s="79"/>
      <c r="Q554" s="79"/>
      <c r="R554" s="79"/>
      <c r="Y554" s="79"/>
      <c r="AC554" s="130"/>
      <c r="AE554" s="106"/>
    </row>
    <row r="555">
      <c r="C555" s="79"/>
      <c r="D555" s="79"/>
      <c r="E555" s="79"/>
      <c r="P555" s="79"/>
      <c r="Q555" s="79"/>
      <c r="R555" s="79"/>
      <c r="Y555" s="79"/>
      <c r="AC555" s="130"/>
      <c r="AE555" s="106"/>
    </row>
    <row r="556">
      <c r="C556" s="79"/>
      <c r="D556" s="79"/>
      <c r="E556" s="79"/>
      <c r="P556" s="79"/>
      <c r="Q556" s="79"/>
      <c r="R556" s="79"/>
      <c r="Y556" s="79"/>
      <c r="AC556" s="130"/>
      <c r="AE556" s="106"/>
    </row>
    <row r="557">
      <c r="C557" s="79"/>
      <c r="D557" s="79"/>
      <c r="E557" s="79"/>
      <c r="P557" s="79"/>
      <c r="Q557" s="79"/>
      <c r="R557" s="79"/>
      <c r="Y557" s="79"/>
      <c r="AC557" s="130"/>
      <c r="AE557" s="106"/>
    </row>
    <row r="558">
      <c r="C558" s="79"/>
      <c r="D558" s="79"/>
      <c r="E558" s="79"/>
      <c r="P558" s="79"/>
      <c r="Q558" s="79"/>
      <c r="R558" s="79"/>
      <c r="Y558" s="79"/>
      <c r="AC558" s="130"/>
      <c r="AE558" s="106"/>
    </row>
    <row r="559">
      <c r="C559" s="79"/>
      <c r="D559" s="79"/>
      <c r="E559" s="79"/>
      <c r="P559" s="79"/>
      <c r="Q559" s="79"/>
      <c r="R559" s="79"/>
      <c r="Y559" s="79"/>
      <c r="AC559" s="130"/>
      <c r="AE559" s="106"/>
    </row>
    <row r="560">
      <c r="C560" s="79"/>
      <c r="D560" s="79"/>
      <c r="E560" s="79"/>
      <c r="P560" s="79"/>
      <c r="Q560" s="79"/>
      <c r="R560" s="79"/>
      <c r="Y560" s="79"/>
      <c r="AC560" s="130"/>
      <c r="AE560" s="106"/>
    </row>
    <row r="561">
      <c r="C561" s="79"/>
      <c r="D561" s="79"/>
      <c r="E561" s="79"/>
      <c r="P561" s="79"/>
      <c r="Q561" s="79"/>
      <c r="R561" s="79"/>
      <c r="Y561" s="79"/>
      <c r="AC561" s="130"/>
      <c r="AE561" s="106"/>
    </row>
    <row r="562">
      <c r="C562" s="79"/>
      <c r="D562" s="79"/>
      <c r="E562" s="79"/>
      <c r="P562" s="79"/>
      <c r="Q562" s="79"/>
      <c r="R562" s="79"/>
      <c r="Y562" s="79"/>
      <c r="AC562" s="130"/>
      <c r="AE562" s="106"/>
    </row>
    <row r="563">
      <c r="C563" s="79"/>
      <c r="D563" s="79"/>
      <c r="E563" s="79"/>
      <c r="P563" s="79"/>
      <c r="Q563" s="79"/>
      <c r="R563" s="79"/>
      <c r="Y563" s="79"/>
      <c r="AC563" s="130"/>
      <c r="AE563" s="106"/>
    </row>
    <row r="564">
      <c r="C564" s="79"/>
      <c r="D564" s="79"/>
      <c r="E564" s="79"/>
      <c r="P564" s="79"/>
      <c r="Q564" s="79"/>
      <c r="R564" s="79"/>
      <c r="Y564" s="79"/>
      <c r="AC564" s="130"/>
      <c r="AE564" s="106"/>
    </row>
    <row r="565">
      <c r="C565" s="79"/>
      <c r="D565" s="79"/>
      <c r="E565" s="79"/>
      <c r="P565" s="79"/>
      <c r="Q565" s="79"/>
      <c r="R565" s="79"/>
      <c r="Y565" s="79"/>
      <c r="AC565" s="130"/>
      <c r="AE565" s="106"/>
    </row>
    <row r="566">
      <c r="C566" s="79"/>
      <c r="D566" s="79"/>
      <c r="E566" s="79"/>
      <c r="P566" s="79"/>
      <c r="Q566" s="79"/>
      <c r="R566" s="79"/>
      <c r="Y566" s="79"/>
      <c r="AC566" s="130"/>
      <c r="AE566" s="106"/>
    </row>
    <row r="567">
      <c r="C567" s="79"/>
      <c r="D567" s="79"/>
      <c r="E567" s="79"/>
      <c r="P567" s="79"/>
      <c r="Q567" s="79"/>
      <c r="R567" s="79"/>
      <c r="Y567" s="79"/>
      <c r="AC567" s="130"/>
      <c r="AE567" s="106"/>
    </row>
    <row r="568">
      <c r="C568" s="79"/>
      <c r="D568" s="79"/>
      <c r="E568" s="79"/>
      <c r="P568" s="79"/>
      <c r="Q568" s="79"/>
      <c r="R568" s="79"/>
      <c r="Y568" s="79"/>
      <c r="AC568" s="130"/>
      <c r="AE568" s="106"/>
    </row>
    <row r="569">
      <c r="C569" s="79"/>
      <c r="D569" s="79"/>
      <c r="E569" s="79"/>
      <c r="P569" s="79"/>
      <c r="Q569" s="79"/>
      <c r="R569" s="79"/>
      <c r="Y569" s="79"/>
      <c r="AC569" s="130"/>
      <c r="AE569" s="106"/>
    </row>
    <row r="570">
      <c r="C570" s="79"/>
      <c r="D570" s="79"/>
      <c r="E570" s="79"/>
      <c r="P570" s="79"/>
      <c r="Q570" s="79"/>
      <c r="R570" s="79"/>
      <c r="Y570" s="79"/>
      <c r="AC570" s="130"/>
      <c r="AE570" s="106"/>
    </row>
    <row r="571">
      <c r="C571" s="79"/>
      <c r="D571" s="79"/>
      <c r="E571" s="79"/>
      <c r="P571" s="79"/>
      <c r="Q571" s="79"/>
      <c r="R571" s="79"/>
      <c r="Y571" s="79"/>
      <c r="AC571" s="130"/>
      <c r="AE571" s="106"/>
    </row>
    <row r="572">
      <c r="C572" s="79"/>
      <c r="D572" s="79"/>
      <c r="E572" s="79"/>
      <c r="P572" s="79"/>
      <c r="Q572" s="79"/>
      <c r="R572" s="79"/>
      <c r="Y572" s="79"/>
      <c r="AC572" s="130"/>
      <c r="AE572" s="106"/>
    </row>
    <row r="573">
      <c r="C573" s="79"/>
      <c r="D573" s="79"/>
      <c r="E573" s="79"/>
      <c r="P573" s="79"/>
      <c r="Q573" s="79"/>
      <c r="R573" s="79"/>
      <c r="Y573" s="79"/>
      <c r="AC573" s="130"/>
      <c r="AE573" s="106"/>
    </row>
    <row r="574">
      <c r="C574" s="79"/>
      <c r="D574" s="79"/>
      <c r="E574" s="79"/>
      <c r="P574" s="79"/>
      <c r="Q574" s="79"/>
      <c r="R574" s="79"/>
      <c r="Y574" s="79"/>
      <c r="AC574" s="130"/>
      <c r="AE574" s="106"/>
    </row>
    <row r="575">
      <c r="C575" s="79"/>
      <c r="D575" s="79"/>
      <c r="E575" s="79"/>
      <c r="P575" s="79"/>
      <c r="Q575" s="79"/>
      <c r="R575" s="79"/>
      <c r="Y575" s="79"/>
      <c r="AC575" s="130"/>
      <c r="AE575" s="106"/>
    </row>
    <row r="576">
      <c r="C576" s="79"/>
      <c r="D576" s="79"/>
      <c r="E576" s="79"/>
      <c r="P576" s="79"/>
      <c r="Q576" s="79"/>
      <c r="R576" s="79"/>
      <c r="Y576" s="79"/>
      <c r="AC576" s="130"/>
      <c r="AE576" s="106"/>
    </row>
    <row r="577">
      <c r="C577" s="79"/>
      <c r="D577" s="79"/>
      <c r="E577" s="79"/>
      <c r="P577" s="79"/>
      <c r="Q577" s="79"/>
      <c r="R577" s="79"/>
      <c r="Y577" s="79"/>
      <c r="AC577" s="130"/>
      <c r="AE577" s="106"/>
    </row>
    <row r="578">
      <c r="C578" s="79"/>
      <c r="D578" s="79"/>
      <c r="E578" s="79"/>
      <c r="P578" s="79"/>
      <c r="Q578" s="79"/>
      <c r="R578" s="79"/>
      <c r="Y578" s="79"/>
      <c r="AC578" s="130"/>
      <c r="AE578" s="106"/>
    </row>
    <row r="579">
      <c r="C579" s="79"/>
      <c r="D579" s="79"/>
      <c r="E579" s="79"/>
      <c r="P579" s="79"/>
      <c r="Q579" s="79"/>
      <c r="R579" s="79"/>
      <c r="Y579" s="79"/>
      <c r="AC579" s="130"/>
      <c r="AE579" s="106"/>
    </row>
    <row r="580">
      <c r="C580" s="79"/>
      <c r="D580" s="79"/>
      <c r="E580" s="79"/>
      <c r="P580" s="79"/>
      <c r="Q580" s="79"/>
      <c r="R580" s="79"/>
      <c r="Y580" s="79"/>
      <c r="AC580" s="130"/>
      <c r="AE580" s="106"/>
    </row>
    <row r="581">
      <c r="C581" s="79"/>
      <c r="D581" s="79"/>
      <c r="E581" s="79"/>
      <c r="P581" s="79"/>
      <c r="Q581" s="79"/>
      <c r="R581" s="79"/>
      <c r="Y581" s="79"/>
      <c r="AC581" s="130"/>
      <c r="AE581" s="106"/>
    </row>
    <row r="582">
      <c r="C582" s="79"/>
      <c r="D582" s="79"/>
      <c r="E582" s="79"/>
      <c r="P582" s="79"/>
      <c r="Q582" s="79"/>
      <c r="R582" s="79"/>
      <c r="Y582" s="79"/>
      <c r="AC582" s="130"/>
      <c r="AE582" s="106"/>
    </row>
    <row r="583">
      <c r="C583" s="79"/>
      <c r="D583" s="79"/>
      <c r="E583" s="79"/>
      <c r="P583" s="79"/>
      <c r="Q583" s="79"/>
      <c r="R583" s="79"/>
      <c r="Y583" s="79"/>
      <c r="AC583" s="130"/>
      <c r="AE583" s="106"/>
    </row>
    <row r="584">
      <c r="C584" s="79"/>
      <c r="D584" s="79"/>
      <c r="E584" s="79"/>
      <c r="P584" s="79"/>
      <c r="Q584" s="79"/>
      <c r="R584" s="79"/>
      <c r="Y584" s="79"/>
      <c r="AC584" s="130"/>
      <c r="AE584" s="106"/>
    </row>
    <row r="585">
      <c r="C585" s="79"/>
      <c r="D585" s="79"/>
      <c r="E585" s="79"/>
      <c r="P585" s="79"/>
      <c r="Q585" s="79"/>
      <c r="R585" s="79"/>
      <c r="Y585" s="79"/>
      <c r="AC585" s="130"/>
      <c r="AE585" s="106"/>
    </row>
    <row r="586">
      <c r="C586" s="79"/>
      <c r="D586" s="79"/>
      <c r="E586" s="79"/>
      <c r="P586" s="79"/>
      <c r="Q586" s="79"/>
      <c r="R586" s="79"/>
      <c r="Y586" s="79"/>
      <c r="AC586" s="130"/>
      <c r="AE586" s="106"/>
    </row>
    <row r="587">
      <c r="C587" s="79"/>
      <c r="D587" s="79"/>
      <c r="E587" s="79"/>
      <c r="P587" s="79"/>
      <c r="Q587" s="79"/>
      <c r="R587" s="79"/>
      <c r="Y587" s="79"/>
      <c r="AC587" s="130"/>
      <c r="AE587" s="106"/>
    </row>
    <row r="588">
      <c r="C588" s="79"/>
      <c r="D588" s="79"/>
      <c r="E588" s="79"/>
      <c r="P588" s="79"/>
      <c r="Q588" s="79"/>
      <c r="R588" s="79"/>
      <c r="Y588" s="79"/>
      <c r="AC588" s="130"/>
      <c r="AE588" s="106"/>
    </row>
    <row r="589">
      <c r="C589" s="79"/>
      <c r="D589" s="79"/>
      <c r="E589" s="79"/>
      <c r="P589" s="79"/>
      <c r="Q589" s="79"/>
      <c r="R589" s="79"/>
      <c r="Y589" s="79"/>
      <c r="AC589" s="130"/>
      <c r="AE589" s="106"/>
    </row>
    <row r="590">
      <c r="C590" s="79"/>
      <c r="D590" s="79"/>
      <c r="E590" s="79"/>
      <c r="P590" s="79"/>
      <c r="Q590" s="79"/>
      <c r="R590" s="79"/>
      <c r="Y590" s="79"/>
      <c r="AC590" s="130"/>
      <c r="AE590" s="106"/>
    </row>
    <row r="591">
      <c r="C591" s="79"/>
      <c r="D591" s="79"/>
      <c r="E591" s="79"/>
      <c r="P591" s="79"/>
      <c r="Q591" s="79"/>
      <c r="R591" s="79"/>
      <c r="Y591" s="79"/>
      <c r="AC591" s="130"/>
      <c r="AE591" s="106"/>
    </row>
    <row r="592">
      <c r="C592" s="79"/>
      <c r="D592" s="79"/>
      <c r="E592" s="79"/>
      <c r="P592" s="79"/>
      <c r="Q592" s="79"/>
      <c r="R592" s="79"/>
      <c r="Y592" s="79"/>
      <c r="AC592" s="130"/>
      <c r="AE592" s="106"/>
    </row>
    <row r="593">
      <c r="C593" s="79"/>
      <c r="D593" s="79"/>
      <c r="E593" s="79"/>
      <c r="P593" s="79"/>
      <c r="Q593" s="79"/>
      <c r="R593" s="79"/>
      <c r="Y593" s="79"/>
      <c r="AC593" s="130"/>
      <c r="AE593" s="106"/>
    </row>
    <row r="594">
      <c r="C594" s="79"/>
      <c r="D594" s="79"/>
      <c r="E594" s="79"/>
      <c r="P594" s="79"/>
      <c r="Q594" s="79"/>
      <c r="R594" s="79"/>
      <c r="Y594" s="79"/>
      <c r="AC594" s="130"/>
      <c r="AE594" s="106"/>
    </row>
    <row r="595">
      <c r="C595" s="79"/>
      <c r="D595" s="79"/>
      <c r="E595" s="79"/>
      <c r="P595" s="79"/>
      <c r="Q595" s="79"/>
      <c r="R595" s="79"/>
      <c r="Y595" s="79"/>
      <c r="AC595" s="130"/>
      <c r="AE595" s="106"/>
    </row>
    <row r="596">
      <c r="C596" s="79"/>
      <c r="D596" s="79"/>
      <c r="E596" s="79"/>
      <c r="P596" s="79"/>
      <c r="Q596" s="79"/>
      <c r="R596" s="79"/>
      <c r="Y596" s="79"/>
      <c r="AC596" s="130"/>
      <c r="AE596" s="106"/>
    </row>
    <row r="597">
      <c r="C597" s="79"/>
      <c r="D597" s="79"/>
      <c r="E597" s="79"/>
      <c r="P597" s="79"/>
      <c r="Q597" s="79"/>
      <c r="R597" s="79"/>
      <c r="Y597" s="79"/>
      <c r="AC597" s="130"/>
      <c r="AE597" s="106"/>
    </row>
    <row r="598">
      <c r="C598" s="79"/>
      <c r="D598" s="79"/>
      <c r="E598" s="79"/>
      <c r="P598" s="79"/>
      <c r="Q598" s="79"/>
      <c r="R598" s="79"/>
      <c r="Y598" s="79"/>
      <c r="AC598" s="130"/>
      <c r="AE598" s="106"/>
    </row>
    <row r="599">
      <c r="C599" s="79"/>
      <c r="D599" s="79"/>
      <c r="E599" s="79"/>
      <c r="P599" s="79"/>
      <c r="Q599" s="79"/>
      <c r="R599" s="79"/>
      <c r="Y599" s="79"/>
      <c r="AC599" s="130"/>
      <c r="AE599" s="106"/>
    </row>
    <row r="600">
      <c r="C600" s="79"/>
      <c r="D600" s="79"/>
      <c r="E600" s="79"/>
      <c r="P600" s="79"/>
      <c r="Q600" s="79"/>
      <c r="R600" s="79"/>
      <c r="Y600" s="79"/>
      <c r="AC600" s="130"/>
      <c r="AE600" s="106"/>
    </row>
    <row r="601">
      <c r="C601" s="79"/>
      <c r="D601" s="79"/>
      <c r="E601" s="79"/>
      <c r="P601" s="79"/>
      <c r="Q601" s="79"/>
      <c r="R601" s="79"/>
      <c r="Y601" s="79"/>
      <c r="AC601" s="130"/>
      <c r="AE601" s="106"/>
    </row>
    <row r="602">
      <c r="C602" s="79"/>
      <c r="D602" s="79"/>
      <c r="E602" s="79"/>
      <c r="P602" s="79"/>
      <c r="Q602" s="79"/>
      <c r="R602" s="79"/>
      <c r="Y602" s="79"/>
      <c r="AC602" s="130"/>
      <c r="AE602" s="106"/>
    </row>
    <row r="603">
      <c r="C603" s="79"/>
      <c r="D603" s="79"/>
      <c r="E603" s="79"/>
      <c r="P603" s="79"/>
      <c r="Q603" s="79"/>
      <c r="R603" s="79"/>
      <c r="Y603" s="79"/>
      <c r="AC603" s="130"/>
      <c r="AE603" s="106"/>
    </row>
    <row r="604">
      <c r="C604" s="79"/>
      <c r="D604" s="79"/>
      <c r="E604" s="79"/>
      <c r="P604" s="79"/>
      <c r="Q604" s="79"/>
      <c r="R604" s="79"/>
      <c r="Y604" s="79"/>
      <c r="AC604" s="130"/>
      <c r="AE604" s="106"/>
    </row>
    <row r="605">
      <c r="C605" s="79"/>
      <c r="D605" s="79"/>
      <c r="E605" s="79"/>
      <c r="P605" s="79"/>
      <c r="Q605" s="79"/>
      <c r="R605" s="79"/>
      <c r="Y605" s="79"/>
      <c r="AC605" s="130"/>
      <c r="AE605" s="106"/>
    </row>
    <row r="606">
      <c r="C606" s="79"/>
      <c r="D606" s="79"/>
      <c r="E606" s="79"/>
      <c r="P606" s="79"/>
      <c r="Q606" s="79"/>
      <c r="R606" s="79"/>
      <c r="Y606" s="79"/>
      <c r="AC606" s="130"/>
      <c r="AE606" s="106"/>
    </row>
    <row r="607">
      <c r="C607" s="79"/>
      <c r="D607" s="79"/>
      <c r="E607" s="79"/>
      <c r="P607" s="79"/>
      <c r="Q607" s="79"/>
      <c r="R607" s="79"/>
      <c r="Y607" s="79"/>
      <c r="AC607" s="130"/>
      <c r="AE607" s="106"/>
    </row>
    <row r="608">
      <c r="C608" s="79"/>
      <c r="D608" s="79"/>
      <c r="E608" s="79"/>
      <c r="P608" s="79"/>
      <c r="Q608" s="79"/>
      <c r="R608" s="79"/>
      <c r="Y608" s="79"/>
      <c r="AC608" s="130"/>
      <c r="AE608" s="106"/>
    </row>
    <row r="609">
      <c r="C609" s="79"/>
      <c r="D609" s="79"/>
      <c r="E609" s="79"/>
      <c r="P609" s="79"/>
      <c r="Q609" s="79"/>
      <c r="R609" s="79"/>
      <c r="Y609" s="79"/>
      <c r="AC609" s="130"/>
      <c r="AE609" s="106"/>
    </row>
    <row r="610">
      <c r="C610" s="79"/>
      <c r="D610" s="79"/>
      <c r="E610" s="79"/>
      <c r="P610" s="79"/>
      <c r="Q610" s="79"/>
      <c r="R610" s="79"/>
      <c r="Y610" s="79"/>
      <c r="AC610" s="130"/>
      <c r="AE610" s="106"/>
    </row>
    <row r="611">
      <c r="C611" s="79"/>
      <c r="D611" s="79"/>
      <c r="E611" s="79"/>
      <c r="P611" s="79"/>
      <c r="Q611" s="79"/>
      <c r="R611" s="79"/>
      <c r="Y611" s="79"/>
      <c r="AC611" s="130"/>
      <c r="AE611" s="106"/>
    </row>
    <row r="612">
      <c r="C612" s="79"/>
      <c r="D612" s="79"/>
      <c r="E612" s="79"/>
      <c r="P612" s="79"/>
      <c r="Q612" s="79"/>
      <c r="R612" s="79"/>
      <c r="Y612" s="79"/>
      <c r="AC612" s="130"/>
      <c r="AE612" s="106"/>
    </row>
    <row r="613">
      <c r="C613" s="79"/>
      <c r="D613" s="79"/>
      <c r="E613" s="79"/>
      <c r="P613" s="79"/>
      <c r="Q613" s="79"/>
      <c r="R613" s="79"/>
      <c r="Y613" s="79"/>
      <c r="AC613" s="130"/>
      <c r="AE613" s="106"/>
    </row>
    <row r="614">
      <c r="C614" s="79"/>
      <c r="D614" s="79"/>
      <c r="E614" s="79"/>
      <c r="P614" s="79"/>
      <c r="Q614" s="79"/>
      <c r="R614" s="79"/>
      <c r="Y614" s="79"/>
      <c r="AC614" s="130"/>
      <c r="AE614" s="106"/>
    </row>
    <row r="615">
      <c r="C615" s="79"/>
      <c r="D615" s="79"/>
      <c r="E615" s="79"/>
      <c r="P615" s="79"/>
      <c r="Q615" s="79"/>
      <c r="R615" s="79"/>
      <c r="Y615" s="79"/>
      <c r="AC615" s="130"/>
      <c r="AE615" s="106"/>
    </row>
    <row r="616">
      <c r="C616" s="79"/>
      <c r="D616" s="79"/>
      <c r="E616" s="79"/>
      <c r="P616" s="79"/>
      <c r="Q616" s="79"/>
      <c r="R616" s="79"/>
      <c r="Y616" s="79"/>
      <c r="AC616" s="130"/>
      <c r="AE616" s="106"/>
    </row>
    <row r="617">
      <c r="C617" s="79"/>
      <c r="D617" s="79"/>
      <c r="E617" s="79"/>
      <c r="P617" s="79"/>
      <c r="Q617" s="79"/>
      <c r="R617" s="79"/>
      <c r="Y617" s="79"/>
      <c r="AC617" s="130"/>
      <c r="AE617" s="106"/>
    </row>
    <row r="618">
      <c r="C618" s="79"/>
      <c r="D618" s="79"/>
      <c r="E618" s="79"/>
      <c r="P618" s="79"/>
      <c r="Q618" s="79"/>
      <c r="R618" s="79"/>
      <c r="Y618" s="79"/>
      <c r="AC618" s="130"/>
      <c r="AE618" s="106"/>
    </row>
    <row r="619">
      <c r="C619" s="79"/>
      <c r="D619" s="79"/>
      <c r="E619" s="79"/>
      <c r="P619" s="79"/>
      <c r="Q619" s="79"/>
      <c r="R619" s="79"/>
      <c r="Y619" s="79"/>
      <c r="AC619" s="130"/>
      <c r="AE619" s="106"/>
    </row>
    <row r="620">
      <c r="C620" s="79"/>
      <c r="D620" s="79"/>
      <c r="E620" s="79"/>
      <c r="P620" s="79"/>
      <c r="Q620" s="79"/>
      <c r="R620" s="79"/>
      <c r="Y620" s="79"/>
      <c r="AC620" s="130"/>
      <c r="AE620" s="106"/>
    </row>
    <row r="621">
      <c r="C621" s="79"/>
      <c r="D621" s="79"/>
      <c r="E621" s="79"/>
      <c r="P621" s="79"/>
      <c r="Q621" s="79"/>
      <c r="R621" s="79"/>
      <c r="Y621" s="79"/>
      <c r="AC621" s="130"/>
      <c r="AE621" s="106"/>
    </row>
    <row r="622">
      <c r="C622" s="79"/>
      <c r="D622" s="79"/>
      <c r="E622" s="79"/>
      <c r="P622" s="79"/>
      <c r="Q622" s="79"/>
      <c r="R622" s="79"/>
      <c r="Y622" s="79"/>
      <c r="AC622" s="130"/>
      <c r="AE622" s="106"/>
    </row>
    <row r="623">
      <c r="C623" s="79"/>
      <c r="D623" s="79"/>
      <c r="E623" s="79"/>
      <c r="P623" s="79"/>
      <c r="Q623" s="79"/>
      <c r="R623" s="79"/>
      <c r="Y623" s="79"/>
      <c r="AC623" s="130"/>
      <c r="AE623" s="106"/>
    </row>
    <row r="624">
      <c r="C624" s="79"/>
      <c r="D624" s="79"/>
      <c r="E624" s="79"/>
      <c r="P624" s="79"/>
      <c r="Q624" s="79"/>
      <c r="R624" s="79"/>
      <c r="Y624" s="79"/>
      <c r="AC624" s="130"/>
      <c r="AE624" s="106"/>
    </row>
    <row r="625">
      <c r="C625" s="79"/>
      <c r="D625" s="79"/>
      <c r="E625" s="79"/>
      <c r="P625" s="79"/>
      <c r="Q625" s="79"/>
      <c r="R625" s="79"/>
      <c r="Y625" s="79"/>
      <c r="AC625" s="130"/>
      <c r="AE625" s="106"/>
    </row>
    <row r="626">
      <c r="C626" s="79"/>
      <c r="D626" s="79"/>
      <c r="E626" s="79"/>
      <c r="P626" s="79"/>
      <c r="Q626" s="79"/>
      <c r="R626" s="79"/>
      <c r="Y626" s="79"/>
      <c r="AC626" s="130"/>
      <c r="AE626" s="106"/>
    </row>
    <row r="627">
      <c r="C627" s="79"/>
      <c r="D627" s="79"/>
      <c r="E627" s="79"/>
      <c r="P627" s="79"/>
      <c r="Q627" s="79"/>
      <c r="R627" s="79"/>
      <c r="Y627" s="79"/>
      <c r="AC627" s="130"/>
      <c r="AE627" s="106"/>
    </row>
    <row r="628">
      <c r="C628" s="79"/>
      <c r="D628" s="79"/>
      <c r="E628" s="79"/>
      <c r="P628" s="79"/>
      <c r="Q628" s="79"/>
      <c r="R628" s="79"/>
      <c r="Y628" s="79"/>
      <c r="AC628" s="130"/>
      <c r="AE628" s="106"/>
    </row>
    <row r="629">
      <c r="C629" s="79"/>
      <c r="D629" s="79"/>
      <c r="E629" s="79"/>
      <c r="P629" s="79"/>
      <c r="Q629" s="79"/>
      <c r="R629" s="79"/>
      <c r="Y629" s="79"/>
      <c r="AC629" s="130"/>
      <c r="AE629" s="106"/>
    </row>
    <row r="630">
      <c r="C630" s="79"/>
      <c r="D630" s="79"/>
      <c r="E630" s="79"/>
      <c r="P630" s="79"/>
      <c r="Q630" s="79"/>
      <c r="R630" s="79"/>
      <c r="Y630" s="79"/>
      <c r="AC630" s="130"/>
      <c r="AE630" s="106"/>
    </row>
    <row r="631">
      <c r="C631" s="79"/>
      <c r="D631" s="79"/>
      <c r="E631" s="79"/>
      <c r="P631" s="79"/>
      <c r="Q631" s="79"/>
      <c r="R631" s="79"/>
      <c r="Y631" s="79"/>
      <c r="AC631" s="130"/>
      <c r="AE631" s="106"/>
    </row>
    <row r="632">
      <c r="C632" s="79"/>
      <c r="D632" s="79"/>
      <c r="E632" s="79"/>
      <c r="P632" s="79"/>
      <c r="Q632" s="79"/>
      <c r="R632" s="79"/>
      <c r="Y632" s="79"/>
      <c r="AC632" s="130"/>
      <c r="AE632" s="106"/>
    </row>
    <row r="633">
      <c r="C633" s="79"/>
      <c r="D633" s="79"/>
      <c r="E633" s="79"/>
      <c r="P633" s="79"/>
      <c r="Q633" s="79"/>
      <c r="R633" s="79"/>
      <c r="Y633" s="79"/>
      <c r="AC633" s="130"/>
      <c r="AE633" s="106"/>
    </row>
    <row r="634">
      <c r="C634" s="79"/>
      <c r="D634" s="79"/>
      <c r="E634" s="79"/>
      <c r="P634" s="79"/>
      <c r="Q634" s="79"/>
      <c r="R634" s="79"/>
      <c r="Y634" s="79"/>
      <c r="AC634" s="130"/>
      <c r="AE634" s="106"/>
    </row>
    <row r="635">
      <c r="C635" s="79"/>
      <c r="D635" s="79"/>
      <c r="E635" s="79"/>
      <c r="P635" s="79"/>
      <c r="Q635" s="79"/>
      <c r="R635" s="79"/>
      <c r="Y635" s="79"/>
      <c r="AC635" s="130"/>
      <c r="AE635" s="106"/>
    </row>
    <row r="636">
      <c r="C636" s="79"/>
      <c r="D636" s="79"/>
      <c r="E636" s="79"/>
      <c r="P636" s="79"/>
      <c r="Q636" s="79"/>
      <c r="R636" s="79"/>
      <c r="Y636" s="79"/>
      <c r="AC636" s="130"/>
      <c r="AE636" s="106"/>
    </row>
    <row r="637">
      <c r="C637" s="79"/>
      <c r="D637" s="79"/>
      <c r="E637" s="79"/>
      <c r="P637" s="79"/>
      <c r="Q637" s="79"/>
      <c r="R637" s="79"/>
      <c r="Y637" s="79"/>
      <c r="AC637" s="130"/>
      <c r="AE637" s="106"/>
    </row>
    <row r="638">
      <c r="C638" s="79"/>
      <c r="D638" s="79"/>
      <c r="E638" s="79"/>
      <c r="P638" s="79"/>
      <c r="Q638" s="79"/>
      <c r="R638" s="79"/>
      <c r="Y638" s="79"/>
      <c r="AC638" s="130"/>
      <c r="AE638" s="106"/>
    </row>
    <row r="639">
      <c r="C639" s="79"/>
      <c r="D639" s="79"/>
      <c r="E639" s="79"/>
      <c r="P639" s="79"/>
      <c r="Q639" s="79"/>
      <c r="R639" s="79"/>
      <c r="Y639" s="79"/>
      <c r="AC639" s="130"/>
      <c r="AE639" s="106"/>
    </row>
    <row r="640">
      <c r="C640" s="79"/>
      <c r="D640" s="79"/>
      <c r="E640" s="79"/>
      <c r="P640" s="79"/>
      <c r="Q640" s="79"/>
      <c r="R640" s="79"/>
      <c r="Y640" s="79"/>
      <c r="AC640" s="130"/>
      <c r="AE640" s="106"/>
    </row>
    <row r="641">
      <c r="C641" s="79"/>
      <c r="D641" s="79"/>
      <c r="E641" s="79"/>
      <c r="P641" s="79"/>
      <c r="Q641" s="79"/>
      <c r="R641" s="79"/>
      <c r="Y641" s="79"/>
      <c r="AC641" s="130"/>
      <c r="AE641" s="106"/>
    </row>
    <row r="642">
      <c r="C642" s="79"/>
      <c r="D642" s="79"/>
      <c r="E642" s="79"/>
      <c r="P642" s="79"/>
      <c r="Q642" s="79"/>
      <c r="R642" s="79"/>
      <c r="Y642" s="79"/>
      <c r="AC642" s="130"/>
      <c r="AE642" s="106"/>
    </row>
    <row r="643">
      <c r="C643" s="79"/>
      <c r="D643" s="79"/>
      <c r="E643" s="79"/>
      <c r="P643" s="79"/>
      <c r="Q643" s="79"/>
      <c r="R643" s="79"/>
      <c r="Y643" s="79"/>
      <c r="AC643" s="130"/>
      <c r="AE643" s="106"/>
    </row>
    <row r="644">
      <c r="C644" s="79"/>
      <c r="D644" s="79"/>
      <c r="E644" s="79"/>
      <c r="P644" s="79"/>
      <c r="Q644" s="79"/>
      <c r="R644" s="79"/>
      <c r="Y644" s="79"/>
      <c r="AC644" s="130"/>
      <c r="AE644" s="106"/>
    </row>
    <row r="645">
      <c r="C645" s="79"/>
      <c r="D645" s="79"/>
      <c r="E645" s="79"/>
      <c r="P645" s="79"/>
      <c r="Q645" s="79"/>
      <c r="R645" s="79"/>
      <c r="Y645" s="79"/>
      <c r="AC645" s="130"/>
      <c r="AE645" s="106"/>
    </row>
    <row r="646">
      <c r="C646" s="79"/>
      <c r="D646" s="79"/>
      <c r="E646" s="79"/>
      <c r="P646" s="79"/>
      <c r="Q646" s="79"/>
      <c r="R646" s="79"/>
      <c r="Y646" s="79"/>
      <c r="AC646" s="130"/>
      <c r="AE646" s="106"/>
    </row>
    <row r="647">
      <c r="C647" s="79"/>
      <c r="D647" s="79"/>
      <c r="E647" s="79"/>
      <c r="P647" s="79"/>
      <c r="Q647" s="79"/>
      <c r="R647" s="79"/>
      <c r="Y647" s="79"/>
      <c r="AC647" s="130"/>
      <c r="AE647" s="106"/>
    </row>
    <row r="648">
      <c r="C648" s="79"/>
      <c r="D648" s="79"/>
      <c r="E648" s="79"/>
      <c r="P648" s="79"/>
      <c r="Q648" s="79"/>
      <c r="R648" s="79"/>
      <c r="Y648" s="79"/>
      <c r="AC648" s="130"/>
      <c r="AE648" s="106"/>
    </row>
    <row r="649">
      <c r="C649" s="79"/>
      <c r="D649" s="79"/>
      <c r="E649" s="79"/>
      <c r="P649" s="79"/>
      <c r="Q649" s="79"/>
      <c r="R649" s="79"/>
      <c r="Y649" s="79"/>
      <c r="AC649" s="130"/>
      <c r="AE649" s="106"/>
    </row>
    <row r="650">
      <c r="C650" s="79"/>
      <c r="D650" s="79"/>
      <c r="E650" s="79"/>
      <c r="P650" s="79"/>
      <c r="Q650" s="79"/>
      <c r="R650" s="79"/>
      <c r="Y650" s="79"/>
      <c r="AC650" s="130"/>
      <c r="AE650" s="106"/>
    </row>
    <row r="651">
      <c r="C651" s="79"/>
      <c r="D651" s="79"/>
      <c r="E651" s="79"/>
      <c r="P651" s="79"/>
      <c r="Q651" s="79"/>
      <c r="R651" s="79"/>
      <c r="Y651" s="79"/>
      <c r="AC651" s="130"/>
      <c r="AE651" s="106"/>
    </row>
    <row r="652">
      <c r="C652" s="79"/>
      <c r="D652" s="79"/>
      <c r="E652" s="79"/>
      <c r="P652" s="79"/>
      <c r="Q652" s="79"/>
      <c r="R652" s="79"/>
      <c r="Y652" s="79"/>
      <c r="AC652" s="130"/>
      <c r="AE652" s="106"/>
    </row>
    <row r="653">
      <c r="C653" s="79"/>
      <c r="D653" s="79"/>
      <c r="E653" s="79"/>
      <c r="P653" s="79"/>
      <c r="Q653" s="79"/>
      <c r="R653" s="79"/>
      <c r="Y653" s="79"/>
      <c r="AC653" s="130"/>
      <c r="AE653" s="106"/>
    </row>
    <row r="654">
      <c r="C654" s="79"/>
      <c r="D654" s="79"/>
      <c r="E654" s="79"/>
      <c r="P654" s="79"/>
      <c r="Q654" s="79"/>
      <c r="R654" s="79"/>
      <c r="Y654" s="79"/>
      <c r="AC654" s="130"/>
      <c r="AE654" s="106"/>
    </row>
    <row r="655">
      <c r="C655" s="79"/>
      <c r="D655" s="79"/>
      <c r="E655" s="79"/>
      <c r="P655" s="79"/>
      <c r="Q655" s="79"/>
      <c r="R655" s="79"/>
      <c r="Y655" s="79"/>
      <c r="AC655" s="130"/>
      <c r="AE655" s="106"/>
    </row>
    <row r="656">
      <c r="C656" s="79"/>
      <c r="D656" s="79"/>
      <c r="E656" s="79"/>
      <c r="P656" s="79"/>
      <c r="Q656" s="79"/>
      <c r="R656" s="79"/>
      <c r="Y656" s="79"/>
      <c r="AC656" s="130"/>
      <c r="AE656" s="106"/>
    </row>
    <row r="657">
      <c r="C657" s="79"/>
      <c r="D657" s="79"/>
      <c r="E657" s="79"/>
      <c r="P657" s="79"/>
      <c r="Q657" s="79"/>
      <c r="R657" s="79"/>
      <c r="Y657" s="79"/>
      <c r="AC657" s="130"/>
      <c r="AE657" s="106"/>
    </row>
    <row r="658">
      <c r="C658" s="79"/>
      <c r="D658" s="79"/>
      <c r="E658" s="79"/>
      <c r="P658" s="79"/>
      <c r="Q658" s="79"/>
      <c r="R658" s="79"/>
      <c r="Y658" s="79"/>
      <c r="AC658" s="130"/>
      <c r="AE658" s="106"/>
    </row>
    <row r="659">
      <c r="C659" s="79"/>
      <c r="D659" s="79"/>
      <c r="E659" s="79"/>
      <c r="P659" s="79"/>
      <c r="Q659" s="79"/>
      <c r="R659" s="79"/>
      <c r="Y659" s="79"/>
      <c r="AC659" s="130"/>
      <c r="AE659" s="106"/>
    </row>
    <row r="660">
      <c r="C660" s="79"/>
      <c r="D660" s="79"/>
      <c r="E660" s="79"/>
      <c r="P660" s="79"/>
      <c r="Q660" s="79"/>
      <c r="R660" s="79"/>
      <c r="Y660" s="79"/>
      <c r="AC660" s="130"/>
      <c r="AE660" s="106"/>
    </row>
    <row r="661">
      <c r="C661" s="79"/>
      <c r="D661" s="79"/>
      <c r="E661" s="79"/>
      <c r="P661" s="79"/>
      <c r="Q661" s="79"/>
      <c r="R661" s="79"/>
      <c r="Y661" s="79"/>
      <c r="AC661" s="130"/>
      <c r="AE661" s="106"/>
    </row>
    <row r="662">
      <c r="C662" s="79"/>
      <c r="D662" s="79"/>
      <c r="E662" s="79"/>
      <c r="P662" s="79"/>
      <c r="Q662" s="79"/>
      <c r="R662" s="79"/>
      <c r="Y662" s="79"/>
      <c r="AC662" s="130"/>
      <c r="AE662" s="106"/>
    </row>
    <row r="663">
      <c r="C663" s="79"/>
      <c r="D663" s="79"/>
      <c r="E663" s="79"/>
      <c r="P663" s="79"/>
      <c r="Q663" s="79"/>
      <c r="R663" s="79"/>
      <c r="Y663" s="79"/>
      <c r="AC663" s="130"/>
      <c r="AE663" s="106"/>
    </row>
    <row r="664">
      <c r="C664" s="79"/>
      <c r="D664" s="79"/>
      <c r="E664" s="79"/>
      <c r="P664" s="79"/>
      <c r="Q664" s="79"/>
      <c r="R664" s="79"/>
      <c r="Y664" s="79"/>
      <c r="AC664" s="130"/>
      <c r="AE664" s="106"/>
    </row>
    <row r="665">
      <c r="C665" s="79"/>
      <c r="D665" s="79"/>
      <c r="E665" s="79"/>
      <c r="P665" s="79"/>
      <c r="Q665" s="79"/>
      <c r="R665" s="79"/>
      <c r="Y665" s="79"/>
      <c r="AC665" s="130"/>
      <c r="AE665" s="106"/>
    </row>
    <row r="666">
      <c r="C666" s="79"/>
      <c r="D666" s="79"/>
      <c r="E666" s="79"/>
      <c r="P666" s="79"/>
      <c r="Q666" s="79"/>
      <c r="R666" s="79"/>
      <c r="Y666" s="79"/>
      <c r="AC666" s="130"/>
      <c r="AE666" s="106"/>
    </row>
    <row r="667">
      <c r="C667" s="79"/>
      <c r="D667" s="79"/>
      <c r="E667" s="79"/>
      <c r="P667" s="79"/>
      <c r="Q667" s="79"/>
      <c r="R667" s="79"/>
      <c r="Y667" s="79"/>
      <c r="AC667" s="130"/>
      <c r="AE667" s="106"/>
    </row>
    <row r="668">
      <c r="C668" s="79"/>
      <c r="D668" s="79"/>
      <c r="E668" s="79"/>
      <c r="P668" s="79"/>
      <c r="Q668" s="79"/>
      <c r="R668" s="79"/>
      <c r="Y668" s="79"/>
      <c r="AC668" s="130"/>
      <c r="AE668" s="106"/>
    </row>
    <row r="669">
      <c r="C669" s="79"/>
      <c r="D669" s="79"/>
      <c r="E669" s="79"/>
      <c r="P669" s="79"/>
      <c r="Q669" s="79"/>
      <c r="R669" s="79"/>
      <c r="Y669" s="79"/>
      <c r="AC669" s="130"/>
      <c r="AE669" s="106"/>
    </row>
    <row r="670">
      <c r="C670" s="79"/>
      <c r="D670" s="79"/>
      <c r="E670" s="79"/>
      <c r="P670" s="79"/>
      <c r="Q670" s="79"/>
      <c r="R670" s="79"/>
      <c r="Y670" s="79"/>
      <c r="AC670" s="130"/>
      <c r="AE670" s="106"/>
    </row>
    <row r="671">
      <c r="C671" s="79"/>
      <c r="D671" s="79"/>
      <c r="E671" s="79"/>
      <c r="P671" s="79"/>
      <c r="Q671" s="79"/>
      <c r="R671" s="79"/>
      <c r="Y671" s="79"/>
      <c r="AC671" s="130"/>
      <c r="AE671" s="106"/>
    </row>
    <row r="672">
      <c r="C672" s="79"/>
      <c r="D672" s="79"/>
      <c r="E672" s="79"/>
      <c r="P672" s="79"/>
      <c r="Q672" s="79"/>
      <c r="R672" s="79"/>
      <c r="Y672" s="79"/>
      <c r="AC672" s="130"/>
      <c r="AE672" s="106"/>
    </row>
    <row r="673">
      <c r="C673" s="79"/>
      <c r="D673" s="79"/>
      <c r="E673" s="79"/>
      <c r="P673" s="79"/>
      <c r="Q673" s="79"/>
      <c r="R673" s="79"/>
      <c r="Y673" s="79"/>
      <c r="AC673" s="130"/>
      <c r="AE673" s="106"/>
    </row>
    <row r="674">
      <c r="C674" s="79"/>
      <c r="D674" s="79"/>
      <c r="E674" s="79"/>
      <c r="P674" s="79"/>
      <c r="Q674" s="79"/>
      <c r="R674" s="79"/>
      <c r="Y674" s="79"/>
      <c r="AC674" s="130"/>
      <c r="AE674" s="106"/>
    </row>
    <row r="675">
      <c r="C675" s="79"/>
      <c r="D675" s="79"/>
      <c r="E675" s="79"/>
      <c r="P675" s="79"/>
      <c r="Q675" s="79"/>
      <c r="R675" s="79"/>
      <c r="Y675" s="79"/>
      <c r="AC675" s="130"/>
      <c r="AE675" s="106"/>
    </row>
    <row r="676">
      <c r="C676" s="79"/>
      <c r="D676" s="79"/>
      <c r="E676" s="79"/>
      <c r="P676" s="79"/>
      <c r="Q676" s="79"/>
      <c r="R676" s="79"/>
      <c r="Y676" s="79"/>
      <c r="AC676" s="130"/>
      <c r="AE676" s="106"/>
    </row>
    <row r="677">
      <c r="C677" s="79"/>
      <c r="D677" s="79"/>
      <c r="E677" s="79"/>
      <c r="P677" s="79"/>
      <c r="Q677" s="79"/>
      <c r="R677" s="79"/>
      <c r="Y677" s="79"/>
      <c r="AC677" s="130"/>
      <c r="AE677" s="106"/>
    </row>
    <row r="678">
      <c r="C678" s="79"/>
      <c r="D678" s="79"/>
      <c r="E678" s="79"/>
      <c r="P678" s="79"/>
      <c r="Q678" s="79"/>
      <c r="R678" s="79"/>
      <c r="Y678" s="79"/>
      <c r="AC678" s="130"/>
      <c r="AE678" s="106"/>
    </row>
    <row r="679">
      <c r="C679" s="79"/>
      <c r="D679" s="79"/>
      <c r="E679" s="79"/>
      <c r="P679" s="79"/>
      <c r="Q679" s="79"/>
      <c r="R679" s="79"/>
      <c r="Y679" s="79"/>
      <c r="AC679" s="130"/>
      <c r="AE679" s="106"/>
    </row>
    <row r="680">
      <c r="C680" s="79"/>
      <c r="D680" s="79"/>
      <c r="E680" s="79"/>
      <c r="P680" s="79"/>
      <c r="Q680" s="79"/>
      <c r="R680" s="79"/>
      <c r="Y680" s="79"/>
      <c r="AC680" s="130"/>
      <c r="AE680" s="106"/>
    </row>
    <row r="681">
      <c r="C681" s="79"/>
      <c r="D681" s="79"/>
      <c r="E681" s="79"/>
      <c r="P681" s="79"/>
      <c r="Q681" s="79"/>
      <c r="R681" s="79"/>
      <c r="Y681" s="79"/>
      <c r="AC681" s="130"/>
      <c r="AE681" s="106"/>
    </row>
    <row r="682">
      <c r="C682" s="79"/>
      <c r="D682" s="79"/>
      <c r="E682" s="79"/>
      <c r="P682" s="79"/>
      <c r="Q682" s="79"/>
      <c r="R682" s="79"/>
      <c r="Y682" s="79"/>
      <c r="AC682" s="130"/>
      <c r="AE682" s="106"/>
    </row>
    <row r="683">
      <c r="C683" s="79"/>
      <c r="D683" s="79"/>
      <c r="E683" s="79"/>
      <c r="P683" s="79"/>
      <c r="Q683" s="79"/>
      <c r="R683" s="79"/>
      <c r="Y683" s="79"/>
      <c r="AC683" s="130"/>
      <c r="AE683" s="106"/>
    </row>
    <row r="684">
      <c r="C684" s="79"/>
      <c r="D684" s="79"/>
      <c r="E684" s="79"/>
      <c r="P684" s="79"/>
      <c r="Q684" s="79"/>
      <c r="R684" s="79"/>
      <c r="Y684" s="79"/>
      <c r="AC684" s="130"/>
      <c r="AE684" s="106"/>
    </row>
    <row r="685">
      <c r="C685" s="79"/>
      <c r="D685" s="79"/>
      <c r="E685" s="79"/>
      <c r="P685" s="79"/>
      <c r="Q685" s="79"/>
      <c r="R685" s="79"/>
      <c r="Y685" s="79"/>
      <c r="AC685" s="130"/>
      <c r="AE685" s="106"/>
    </row>
    <row r="686">
      <c r="C686" s="79"/>
      <c r="D686" s="79"/>
      <c r="E686" s="79"/>
      <c r="P686" s="79"/>
      <c r="Q686" s="79"/>
      <c r="R686" s="79"/>
      <c r="Y686" s="79"/>
      <c r="AC686" s="130"/>
      <c r="AE686" s="106"/>
    </row>
    <row r="687">
      <c r="C687" s="79"/>
      <c r="D687" s="79"/>
      <c r="E687" s="79"/>
      <c r="P687" s="79"/>
      <c r="Q687" s="79"/>
      <c r="R687" s="79"/>
      <c r="Y687" s="79"/>
      <c r="AC687" s="130"/>
      <c r="AE687" s="106"/>
    </row>
    <row r="688">
      <c r="C688" s="79"/>
      <c r="D688" s="79"/>
      <c r="E688" s="79"/>
      <c r="P688" s="79"/>
      <c r="Q688" s="79"/>
      <c r="R688" s="79"/>
      <c r="Y688" s="79"/>
      <c r="AC688" s="130"/>
      <c r="AE688" s="106"/>
    </row>
    <row r="689">
      <c r="C689" s="79"/>
      <c r="D689" s="79"/>
      <c r="E689" s="79"/>
      <c r="P689" s="79"/>
      <c r="Q689" s="79"/>
      <c r="R689" s="79"/>
      <c r="Y689" s="79"/>
      <c r="AC689" s="130"/>
      <c r="AE689" s="106"/>
    </row>
    <row r="690">
      <c r="C690" s="79"/>
      <c r="D690" s="79"/>
      <c r="E690" s="79"/>
      <c r="P690" s="79"/>
      <c r="Q690" s="79"/>
      <c r="R690" s="79"/>
      <c r="Y690" s="79"/>
      <c r="AC690" s="130"/>
      <c r="AE690" s="106"/>
    </row>
    <row r="691">
      <c r="C691" s="79"/>
      <c r="D691" s="79"/>
      <c r="E691" s="79"/>
      <c r="P691" s="79"/>
      <c r="Q691" s="79"/>
      <c r="R691" s="79"/>
      <c r="Y691" s="79"/>
      <c r="AC691" s="130"/>
      <c r="AE691" s="106"/>
    </row>
    <row r="692">
      <c r="C692" s="79"/>
      <c r="D692" s="79"/>
      <c r="E692" s="79"/>
      <c r="P692" s="79"/>
      <c r="Q692" s="79"/>
      <c r="R692" s="79"/>
      <c r="Y692" s="79"/>
      <c r="AC692" s="130"/>
      <c r="AE692" s="106"/>
    </row>
    <row r="693">
      <c r="C693" s="79"/>
      <c r="D693" s="79"/>
      <c r="E693" s="79"/>
      <c r="P693" s="79"/>
      <c r="Q693" s="79"/>
      <c r="R693" s="79"/>
      <c r="Y693" s="79"/>
      <c r="AC693" s="130"/>
      <c r="AE693" s="106"/>
    </row>
    <row r="694">
      <c r="C694" s="79"/>
      <c r="D694" s="79"/>
      <c r="E694" s="79"/>
      <c r="P694" s="79"/>
      <c r="Q694" s="79"/>
      <c r="R694" s="79"/>
      <c r="Y694" s="79"/>
      <c r="AC694" s="130"/>
      <c r="AE694" s="106"/>
    </row>
    <row r="695">
      <c r="C695" s="79"/>
      <c r="D695" s="79"/>
      <c r="E695" s="79"/>
      <c r="P695" s="79"/>
      <c r="Q695" s="79"/>
      <c r="R695" s="79"/>
      <c r="Y695" s="79"/>
      <c r="AC695" s="130"/>
      <c r="AE695" s="106"/>
    </row>
    <row r="696">
      <c r="C696" s="79"/>
      <c r="D696" s="79"/>
      <c r="E696" s="79"/>
      <c r="P696" s="79"/>
      <c r="Q696" s="79"/>
      <c r="R696" s="79"/>
      <c r="Y696" s="79"/>
      <c r="AC696" s="130"/>
      <c r="AE696" s="106"/>
    </row>
    <row r="697">
      <c r="C697" s="79"/>
      <c r="D697" s="79"/>
      <c r="E697" s="79"/>
      <c r="P697" s="79"/>
      <c r="Q697" s="79"/>
      <c r="R697" s="79"/>
      <c r="Y697" s="79"/>
      <c r="AC697" s="130"/>
      <c r="AE697" s="106"/>
    </row>
    <row r="698">
      <c r="C698" s="79"/>
      <c r="D698" s="79"/>
      <c r="E698" s="79"/>
      <c r="P698" s="79"/>
      <c r="Q698" s="79"/>
      <c r="R698" s="79"/>
      <c r="Y698" s="79"/>
      <c r="AC698" s="130"/>
      <c r="AE698" s="106"/>
    </row>
    <row r="699">
      <c r="C699" s="79"/>
      <c r="D699" s="79"/>
      <c r="E699" s="79"/>
      <c r="P699" s="79"/>
      <c r="Q699" s="79"/>
      <c r="R699" s="79"/>
      <c r="Y699" s="79"/>
      <c r="AC699" s="130"/>
      <c r="AE699" s="106"/>
    </row>
    <row r="700">
      <c r="C700" s="79"/>
      <c r="D700" s="79"/>
      <c r="E700" s="79"/>
      <c r="P700" s="79"/>
      <c r="Q700" s="79"/>
      <c r="R700" s="79"/>
      <c r="Y700" s="79"/>
      <c r="AC700" s="130"/>
      <c r="AE700" s="106"/>
    </row>
    <row r="701">
      <c r="C701" s="79"/>
      <c r="D701" s="79"/>
      <c r="E701" s="79"/>
      <c r="P701" s="79"/>
      <c r="Q701" s="79"/>
      <c r="R701" s="79"/>
      <c r="Y701" s="79"/>
      <c r="AC701" s="130"/>
      <c r="AE701" s="106"/>
    </row>
    <row r="702">
      <c r="C702" s="79"/>
      <c r="D702" s="79"/>
      <c r="E702" s="79"/>
      <c r="P702" s="79"/>
      <c r="Q702" s="79"/>
      <c r="R702" s="79"/>
      <c r="Y702" s="79"/>
      <c r="AC702" s="130"/>
      <c r="AE702" s="106"/>
    </row>
    <row r="703">
      <c r="C703" s="79"/>
      <c r="D703" s="79"/>
      <c r="E703" s="79"/>
      <c r="P703" s="79"/>
      <c r="Q703" s="79"/>
      <c r="R703" s="79"/>
      <c r="Y703" s="79"/>
      <c r="AC703" s="130"/>
      <c r="AE703" s="106"/>
    </row>
    <row r="704">
      <c r="C704" s="79"/>
      <c r="D704" s="79"/>
      <c r="E704" s="79"/>
      <c r="P704" s="79"/>
      <c r="Q704" s="79"/>
      <c r="R704" s="79"/>
      <c r="Y704" s="79"/>
      <c r="AC704" s="130"/>
      <c r="AE704" s="106"/>
    </row>
    <row r="705">
      <c r="C705" s="79"/>
      <c r="D705" s="79"/>
      <c r="E705" s="79"/>
      <c r="P705" s="79"/>
      <c r="Q705" s="79"/>
      <c r="R705" s="79"/>
      <c r="Y705" s="79"/>
      <c r="AC705" s="130"/>
      <c r="AE705" s="106"/>
    </row>
    <row r="706">
      <c r="C706" s="79"/>
      <c r="D706" s="79"/>
      <c r="E706" s="79"/>
      <c r="P706" s="79"/>
      <c r="Q706" s="79"/>
      <c r="R706" s="79"/>
      <c r="Y706" s="79"/>
      <c r="AC706" s="130"/>
      <c r="AE706" s="106"/>
    </row>
    <row r="707">
      <c r="C707" s="79"/>
      <c r="D707" s="79"/>
      <c r="E707" s="79"/>
      <c r="P707" s="79"/>
      <c r="Q707" s="79"/>
      <c r="R707" s="79"/>
      <c r="Y707" s="79"/>
      <c r="AC707" s="130"/>
      <c r="AE707" s="106"/>
    </row>
    <row r="708">
      <c r="C708" s="79"/>
      <c r="D708" s="79"/>
      <c r="E708" s="79"/>
      <c r="P708" s="79"/>
      <c r="Q708" s="79"/>
      <c r="R708" s="79"/>
      <c r="Y708" s="79"/>
      <c r="AC708" s="130"/>
      <c r="AE708" s="106"/>
    </row>
    <row r="709">
      <c r="C709" s="79"/>
      <c r="D709" s="79"/>
      <c r="E709" s="79"/>
      <c r="P709" s="79"/>
      <c r="Q709" s="79"/>
      <c r="R709" s="79"/>
      <c r="Y709" s="79"/>
      <c r="AC709" s="130"/>
      <c r="AE709" s="106"/>
    </row>
    <row r="710">
      <c r="C710" s="79"/>
      <c r="D710" s="79"/>
      <c r="E710" s="79"/>
      <c r="P710" s="79"/>
      <c r="Q710" s="79"/>
      <c r="R710" s="79"/>
      <c r="Y710" s="79"/>
      <c r="AC710" s="130"/>
      <c r="AE710" s="106"/>
    </row>
    <row r="711">
      <c r="C711" s="79"/>
      <c r="D711" s="79"/>
      <c r="E711" s="79"/>
      <c r="P711" s="79"/>
      <c r="Q711" s="79"/>
      <c r="R711" s="79"/>
      <c r="Y711" s="79"/>
      <c r="AC711" s="130"/>
      <c r="AE711" s="106"/>
    </row>
    <row r="712">
      <c r="C712" s="79"/>
      <c r="D712" s="79"/>
      <c r="E712" s="79"/>
      <c r="P712" s="79"/>
      <c r="Q712" s="79"/>
      <c r="R712" s="79"/>
      <c r="Y712" s="79"/>
      <c r="AC712" s="130"/>
      <c r="AE712" s="106"/>
    </row>
    <row r="713">
      <c r="C713" s="79"/>
      <c r="D713" s="79"/>
      <c r="E713" s="79"/>
      <c r="P713" s="79"/>
      <c r="Q713" s="79"/>
      <c r="R713" s="79"/>
      <c r="Y713" s="79"/>
      <c r="AC713" s="130"/>
      <c r="AE713" s="106"/>
    </row>
    <row r="714">
      <c r="C714" s="79"/>
      <c r="D714" s="79"/>
      <c r="E714" s="79"/>
      <c r="P714" s="79"/>
      <c r="Q714" s="79"/>
      <c r="R714" s="79"/>
      <c r="Y714" s="79"/>
      <c r="AC714" s="130"/>
      <c r="AE714" s="106"/>
    </row>
    <row r="715">
      <c r="C715" s="79"/>
      <c r="D715" s="79"/>
      <c r="E715" s="79"/>
      <c r="P715" s="79"/>
      <c r="Q715" s="79"/>
      <c r="R715" s="79"/>
      <c r="Y715" s="79"/>
      <c r="AC715" s="130"/>
      <c r="AE715" s="106"/>
    </row>
    <row r="716">
      <c r="C716" s="79"/>
      <c r="D716" s="79"/>
      <c r="E716" s="79"/>
      <c r="P716" s="79"/>
      <c r="Q716" s="79"/>
      <c r="R716" s="79"/>
      <c r="Y716" s="79"/>
      <c r="AC716" s="130"/>
      <c r="AE716" s="106"/>
    </row>
    <row r="717">
      <c r="C717" s="79"/>
      <c r="D717" s="79"/>
      <c r="E717" s="79"/>
      <c r="P717" s="79"/>
      <c r="Q717" s="79"/>
      <c r="R717" s="79"/>
      <c r="Y717" s="79"/>
      <c r="AC717" s="130"/>
      <c r="AE717" s="106"/>
    </row>
    <row r="718">
      <c r="C718" s="79"/>
      <c r="D718" s="79"/>
      <c r="E718" s="79"/>
      <c r="P718" s="79"/>
      <c r="Q718" s="79"/>
      <c r="R718" s="79"/>
      <c r="Y718" s="79"/>
      <c r="AC718" s="130"/>
      <c r="AE718" s="106"/>
    </row>
    <row r="719">
      <c r="C719" s="79"/>
      <c r="D719" s="79"/>
      <c r="E719" s="79"/>
      <c r="P719" s="79"/>
      <c r="Q719" s="79"/>
      <c r="R719" s="79"/>
      <c r="Y719" s="79"/>
      <c r="AC719" s="130"/>
      <c r="AE719" s="106"/>
    </row>
    <row r="720">
      <c r="C720" s="79"/>
      <c r="D720" s="79"/>
      <c r="E720" s="79"/>
      <c r="P720" s="79"/>
      <c r="Q720" s="79"/>
      <c r="R720" s="79"/>
      <c r="Y720" s="79"/>
      <c r="AC720" s="130"/>
      <c r="AE720" s="106"/>
    </row>
    <row r="721">
      <c r="C721" s="79"/>
      <c r="D721" s="79"/>
      <c r="E721" s="79"/>
      <c r="P721" s="79"/>
      <c r="Q721" s="79"/>
      <c r="R721" s="79"/>
      <c r="Y721" s="79"/>
      <c r="AC721" s="130"/>
      <c r="AE721" s="106"/>
    </row>
    <row r="722">
      <c r="C722" s="79"/>
      <c r="D722" s="79"/>
      <c r="E722" s="79"/>
      <c r="P722" s="79"/>
      <c r="Q722" s="79"/>
      <c r="R722" s="79"/>
      <c r="Y722" s="79"/>
      <c r="AC722" s="130"/>
      <c r="AE722" s="106"/>
    </row>
    <row r="723">
      <c r="C723" s="79"/>
      <c r="D723" s="79"/>
      <c r="E723" s="79"/>
      <c r="P723" s="79"/>
      <c r="Q723" s="79"/>
      <c r="R723" s="79"/>
      <c r="Y723" s="79"/>
      <c r="AC723" s="130"/>
      <c r="AE723" s="106"/>
    </row>
    <row r="724">
      <c r="C724" s="79"/>
      <c r="D724" s="79"/>
      <c r="E724" s="79"/>
      <c r="P724" s="79"/>
      <c r="Q724" s="79"/>
      <c r="R724" s="79"/>
      <c r="Y724" s="79"/>
      <c r="AC724" s="130"/>
      <c r="AE724" s="106"/>
    </row>
    <row r="725">
      <c r="C725" s="79"/>
      <c r="D725" s="79"/>
      <c r="E725" s="79"/>
      <c r="P725" s="79"/>
      <c r="Q725" s="79"/>
      <c r="R725" s="79"/>
      <c r="Y725" s="79"/>
      <c r="AC725" s="130"/>
      <c r="AE725" s="106"/>
    </row>
    <row r="726">
      <c r="C726" s="79"/>
      <c r="D726" s="79"/>
      <c r="E726" s="79"/>
      <c r="P726" s="79"/>
      <c r="Q726" s="79"/>
      <c r="R726" s="79"/>
      <c r="Y726" s="79"/>
      <c r="AC726" s="130"/>
      <c r="AE726" s="106"/>
    </row>
    <row r="727">
      <c r="C727" s="79"/>
      <c r="D727" s="79"/>
      <c r="E727" s="79"/>
      <c r="P727" s="79"/>
      <c r="Q727" s="79"/>
      <c r="R727" s="79"/>
      <c r="Y727" s="79"/>
      <c r="AC727" s="130"/>
      <c r="AE727" s="106"/>
    </row>
    <row r="728">
      <c r="C728" s="79"/>
      <c r="D728" s="79"/>
      <c r="E728" s="79"/>
      <c r="P728" s="79"/>
      <c r="Q728" s="79"/>
      <c r="R728" s="79"/>
      <c r="Y728" s="79"/>
      <c r="AC728" s="130"/>
      <c r="AE728" s="106"/>
    </row>
    <row r="729">
      <c r="C729" s="79"/>
      <c r="D729" s="79"/>
      <c r="E729" s="79"/>
      <c r="P729" s="79"/>
      <c r="Q729" s="79"/>
      <c r="R729" s="79"/>
      <c r="Y729" s="79"/>
      <c r="AC729" s="130"/>
      <c r="AE729" s="106"/>
    </row>
    <row r="730">
      <c r="C730" s="79"/>
      <c r="D730" s="79"/>
      <c r="E730" s="79"/>
      <c r="P730" s="79"/>
      <c r="Q730" s="79"/>
      <c r="R730" s="79"/>
      <c r="Y730" s="79"/>
      <c r="AC730" s="130"/>
      <c r="AE730" s="106"/>
    </row>
    <row r="731">
      <c r="C731" s="79"/>
      <c r="D731" s="79"/>
      <c r="E731" s="79"/>
      <c r="P731" s="79"/>
      <c r="Q731" s="79"/>
      <c r="R731" s="79"/>
      <c r="Y731" s="79"/>
      <c r="AC731" s="130"/>
      <c r="AE731" s="106"/>
    </row>
    <row r="732">
      <c r="C732" s="79"/>
      <c r="D732" s="79"/>
      <c r="E732" s="79"/>
      <c r="P732" s="79"/>
      <c r="Q732" s="79"/>
      <c r="R732" s="79"/>
      <c r="Y732" s="79"/>
      <c r="AC732" s="130"/>
      <c r="AE732" s="106"/>
    </row>
    <row r="733">
      <c r="C733" s="79"/>
      <c r="D733" s="79"/>
      <c r="E733" s="79"/>
      <c r="P733" s="79"/>
      <c r="Q733" s="79"/>
      <c r="R733" s="79"/>
      <c r="Y733" s="79"/>
      <c r="AC733" s="130"/>
      <c r="AE733" s="106"/>
    </row>
    <row r="734">
      <c r="C734" s="79"/>
      <c r="D734" s="79"/>
      <c r="E734" s="79"/>
      <c r="P734" s="79"/>
      <c r="Q734" s="79"/>
      <c r="R734" s="79"/>
      <c r="Y734" s="79"/>
      <c r="AC734" s="130"/>
      <c r="AE734" s="106"/>
    </row>
    <row r="735">
      <c r="C735" s="79"/>
      <c r="D735" s="79"/>
      <c r="E735" s="79"/>
      <c r="P735" s="79"/>
      <c r="Q735" s="79"/>
      <c r="R735" s="79"/>
      <c r="Y735" s="79"/>
      <c r="AC735" s="130"/>
      <c r="AE735" s="106"/>
    </row>
    <row r="736">
      <c r="C736" s="79"/>
      <c r="D736" s="79"/>
      <c r="E736" s="79"/>
      <c r="P736" s="79"/>
      <c r="Q736" s="79"/>
      <c r="R736" s="79"/>
      <c r="Y736" s="79"/>
      <c r="AC736" s="130"/>
      <c r="AE736" s="106"/>
    </row>
    <row r="737">
      <c r="C737" s="79"/>
      <c r="D737" s="79"/>
      <c r="E737" s="79"/>
      <c r="P737" s="79"/>
      <c r="Q737" s="79"/>
      <c r="R737" s="79"/>
      <c r="Y737" s="79"/>
      <c r="AC737" s="130"/>
      <c r="AE737" s="106"/>
    </row>
    <row r="738">
      <c r="C738" s="79"/>
      <c r="D738" s="79"/>
      <c r="E738" s="79"/>
      <c r="P738" s="79"/>
      <c r="Q738" s="79"/>
      <c r="R738" s="79"/>
      <c r="Y738" s="79"/>
      <c r="AC738" s="130"/>
      <c r="AE738" s="106"/>
    </row>
    <row r="739">
      <c r="C739" s="79"/>
      <c r="D739" s="79"/>
      <c r="E739" s="79"/>
      <c r="P739" s="79"/>
      <c r="Q739" s="79"/>
      <c r="R739" s="79"/>
      <c r="Y739" s="79"/>
      <c r="AC739" s="130"/>
      <c r="AE739" s="106"/>
    </row>
    <row r="740">
      <c r="C740" s="79"/>
      <c r="D740" s="79"/>
      <c r="E740" s="79"/>
      <c r="P740" s="79"/>
      <c r="Q740" s="79"/>
      <c r="R740" s="79"/>
      <c r="Y740" s="79"/>
      <c r="AC740" s="130"/>
      <c r="AE740" s="106"/>
    </row>
    <row r="741">
      <c r="C741" s="79"/>
      <c r="D741" s="79"/>
      <c r="E741" s="79"/>
      <c r="P741" s="79"/>
      <c r="Q741" s="79"/>
      <c r="R741" s="79"/>
      <c r="Y741" s="79"/>
      <c r="AC741" s="130"/>
      <c r="AE741" s="106"/>
    </row>
    <row r="742">
      <c r="C742" s="79"/>
      <c r="D742" s="79"/>
      <c r="E742" s="79"/>
      <c r="P742" s="79"/>
      <c r="Q742" s="79"/>
      <c r="R742" s="79"/>
      <c r="Y742" s="79"/>
      <c r="AC742" s="130"/>
      <c r="AE742" s="106"/>
    </row>
    <row r="743">
      <c r="C743" s="79"/>
      <c r="D743" s="79"/>
      <c r="E743" s="79"/>
      <c r="P743" s="79"/>
      <c r="Q743" s="79"/>
      <c r="R743" s="79"/>
      <c r="Y743" s="79"/>
      <c r="AC743" s="130"/>
      <c r="AE743" s="106"/>
    </row>
    <row r="744">
      <c r="C744" s="79"/>
      <c r="D744" s="79"/>
      <c r="E744" s="79"/>
      <c r="P744" s="79"/>
      <c r="Q744" s="79"/>
      <c r="R744" s="79"/>
      <c r="Y744" s="79"/>
      <c r="AC744" s="130"/>
      <c r="AE744" s="106"/>
    </row>
    <row r="745">
      <c r="C745" s="79"/>
      <c r="D745" s="79"/>
      <c r="E745" s="79"/>
      <c r="P745" s="79"/>
      <c r="Q745" s="79"/>
      <c r="R745" s="79"/>
      <c r="Y745" s="79"/>
      <c r="AC745" s="130"/>
      <c r="AE745" s="106"/>
    </row>
    <row r="746">
      <c r="C746" s="79"/>
      <c r="D746" s="79"/>
      <c r="E746" s="79"/>
      <c r="P746" s="79"/>
      <c r="Q746" s="79"/>
      <c r="R746" s="79"/>
      <c r="Y746" s="79"/>
      <c r="AC746" s="130"/>
      <c r="AE746" s="106"/>
    </row>
    <row r="747">
      <c r="C747" s="79"/>
      <c r="D747" s="79"/>
      <c r="E747" s="79"/>
      <c r="P747" s="79"/>
      <c r="Q747" s="79"/>
      <c r="R747" s="79"/>
      <c r="Y747" s="79"/>
      <c r="AC747" s="130"/>
      <c r="AE747" s="106"/>
    </row>
    <row r="748">
      <c r="C748" s="79"/>
      <c r="D748" s="79"/>
      <c r="E748" s="79"/>
      <c r="P748" s="79"/>
      <c r="Q748" s="79"/>
      <c r="R748" s="79"/>
      <c r="Y748" s="79"/>
      <c r="AC748" s="130"/>
      <c r="AE748" s="106"/>
    </row>
    <row r="749">
      <c r="C749" s="79"/>
      <c r="D749" s="79"/>
      <c r="E749" s="79"/>
      <c r="P749" s="79"/>
      <c r="Q749" s="79"/>
      <c r="R749" s="79"/>
      <c r="Y749" s="79"/>
      <c r="AC749" s="130"/>
      <c r="AE749" s="106"/>
    </row>
    <row r="750">
      <c r="C750" s="79"/>
      <c r="D750" s="79"/>
      <c r="E750" s="79"/>
      <c r="P750" s="79"/>
      <c r="Q750" s="79"/>
      <c r="R750" s="79"/>
      <c r="Y750" s="79"/>
      <c r="AC750" s="130"/>
      <c r="AE750" s="106"/>
    </row>
    <row r="751">
      <c r="C751" s="79"/>
      <c r="D751" s="79"/>
      <c r="E751" s="79"/>
      <c r="P751" s="79"/>
      <c r="Q751" s="79"/>
      <c r="R751" s="79"/>
      <c r="Y751" s="79"/>
      <c r="AC751" s="130"/>
      <c r="AE751" s="106"/>
    </row>
    <row r="752">
      <c r="C752" s="79"/>
      <c r="D752" s="79"/>
      <c r="E752" s="79"/>
      <c r="P752" s="79"/>
      <c r="Q752" s="79"/>
      <c r="R752" s="79"/>
      <c r="Y752" s="79"/>
      <c r="AC752" s="130"/>
      <c r="AE752" s="106"/>
    </row>
    <row r="753">
      <c r="C753" s="79"/>
      <c r="D753" s="79"/>
      <c r="E753" s="79"/>
      <c r="P753" s="79"/>
      <c r="Q753" s="79"/>
      <c r="R753" s="79"/>
      <c r="Y753" s="79"/>
      <c r="AC753" s="130"/>
      <c r="AE753" s="106"/>
    </row>
    <row r="754">
      <c r="C754" s="79"/>
      <c r="D754" s="79"/>
      <c r="E754" s="79"/>
      <c r="P754" s="79"/>
      <c r="Q754" s="79"/>
      <c r="R754" s="79"/>
      <c r="Y754" s="79"/>
      <c r="AC754" s="130"/>
      <c r="AE754" s="106"/>
    </row>
    <row r="755">
      <c r="C755" s="79"/>
      <c r="D755" s="79"/>
      <c r="E755" s="79"/>
      <c r="P755" s="79"/>
      <c r="Q755" s="79"/>
      <c r="R755" s="79"/>
      <c r="Y755" s="79"/>
      <c r="AC755" s="130"/>
      <c r="AE755" s="106"/>
    </row>
    <row r="756">
      <c r="C756" s="79"/>
      <c r="D756" s="79"/>
      <c r="E756" s="79"/>
      <c r="P756" s="79"/>
      <c r="Q756" s="79"/>
      <c r="R756" s="79"/>
      <c r="Y756" s="79"/>
      <c r="AC756" s="130"/>
      <c r="AE756" s="106"/>
    </row>
    <row r="757">
      <c r="C757" s="79"/>
      <c r="D757" s="79"/>
      <c r="E757" s="79"/>
      <c r="P757" s="79"/>
      <c r="Q757" s="79"/>
      <c r="R757" s="79"/>
      <c r="Y757" s="79"/>
      <c r="AC757" s="130"/>
      <c r="AE757" s="106"/>
    </row>
    <row r="758">
      <c r="C758" s="79"/>
      <c r="D758" s="79"/>
      <c r="E758" s="79"/>
      <c r="P758" s="79"/>
      <c r="Q758" s="79"/>
      <c r="R758" s="79"/>
      <c r="Y758" s="79"/>
      <c r="AC758" s="130"/>
      <c r="AE758" s="106"/>
    </row>
    <row r="759">
      <c r="C759" s="79"/>
      <c r="D759" s="79"/>
      <c r="E759" s="79"/>
      <c r="P759" s="79"/>
      <c r="Q759" s="79"/>
      <c r="R759" s="79"/>
      <c r="Y759" s="79"/>
      <c r="AC759" s="130"/>
      <c r="AE759" s="106"/>
    </row>
    <row r="760">
      <c r="C760" s="79"/>
      <c r="D760" s="79"/>
      <c r="E760" s="79"/>
      <c r="P760" s="79"/>
      <c r="Q760" s="79"/>
      <c r="R760" s="79"/>
      <c r="Y760" s="79"/>
      <c r="AC760" s="130"/>
      <c r="AE760" s="106"/>
    </row>
    <row r="761">
      <c r="C761" s="79"/>
      <c r="D761" s="79"/>
      <c r="E761" s="79"/>
      <c r="P761" s="79"/>
      <c r="Q761" s="79"/>
      <c r="R761" s="79"/>
      <c r="Y761" s="79"/>
      <c r="AC761" s="130"/>
      <c r="AE761" s="106"/>
    </row>
    <row r="762">
      <c r="C762" s="79"/>
      <c r="D762" s="79"/>
      <c r="E762" s="79"/>
      <c r="P762" s="79"/>
      <c r="Q762" s="79"/>
      <c r="R762" s="79"/>
      <c r="Y762" s="79"/>
      <c r="AC762" s="130"/>
      <c r="AE762" s="106"/>
    </row>
    <row r="763">
      <c r="C763" s="79"/>
      <c r="D763" s="79"/>
      <c r="E763" s="79"/>
      <c r="P763" s="79"/>
      <c r="Q763" s="79"/>
      <c r="R763" s="79"/>
      <c r="Y763" s="79"/>
      <c r="AC763" s="130"/>
      <c r="AE763" s="106"/>
    </row>
    <row r="764">
      <c r="C764" s="79"/>
      <c r="D764" s="79"/>
      <c r="E764" s="79"/>
      <c r="P764" s="79"/>
      <c r="Q764" s="79"/>
      <c r="R764" s="79"/>
      <c r="Y764" s="79"/>
      <c r="AC764" s="130"/>
      <c r="AE764" s="106"/>
    </row>
    <row r="765">
      <c r="C765" s="79"/>
      <c r="D765" s="79"/>
      <c r="E765" s="79"/>
      <c r="P765" s="79"/>
      <c r="Q765" s="79"/>
      <c r="R765" s="79"/>
      <c r="Y765" s="79"/>
      <c r="AC765" s="130"/>
      <c r="AE765" s="106"/>
    </row>
    <row r="766">
      <c r="C766" s="79"/>
      <c r="D766" s="79"/>
      <c r="E766" s="79"/>
      <c r="P766" s="79"/>
      <c r="Q766" s="79"/>
      <c r="R766" s="79"/>
      <c r="Y766" s="79"/>
      <c r="AC766" s="130"/>
      <c r="AE766" s="106"/>
    </row>
    <row r="767">
      <c r="C767" s="79"/>
      <c r="D767" s="79"/>
      <c r="E767" s="79"/>
      <c r="P767" s="79"/>
      <c r="Q767" s="79"/>
      <c r="R767" s="79"/>
      <c r="Y767" s="79"/>
      <c r="AC767" s="130"/>
      <c r="AE767" s="106"/>
    </row>
    <row r="768">
      <c r="C768" s="79"/>
      <c r="D768" s="79"/>
      <c r="E768" s="79"/>
      <c r="P768" s="79"/>
      <c r="Q768" s="79"/>
      <c r="R768" s="79"/>
      <c r="Y768" s="79"/>
      <c r="AC768" s="130"/>
      <c r="AE768" s="106"/>
    </row>
    <row r="769">
      <c r="C769" s="79"/>
      <c r="D769" s="79"/>
      <c r="E769" s="79"/>
      <c r="P769" s="79"/>
      <c r="Q769" s="79"/>
      <c r="R769" s="79"/>
      <c r="Y769" s="79"/>
      <c r="AC769" s="130"/>
      <c r="AE769" s="106"/>
    </row>
    <row r="770">
      <c r="C770" s="79"/>
      <c r="D770" s="79"/>
      <c r="E770" s="79"/>
      <c r="P770" s="79"/>
      <c r="Q770" s="79"/>
      <c r="R770" s="79"/>
      <c r="Y770" s="79"/>
      <c r="AC770" s="130"/>
      <c r="AE770" s="106"/>
    </row>
    <row r="771">
      <c r="C771" s="79"/>
      <c r="D771" s="79"/>
      <c r="E771" s="79"/>
      <c r="P771" s="79"/>
      <c r="Q771" s="79"/>
      <c r="R771" s="79"/>
      <c r="Y771" s="79"/>
      <c r="AC771" s="130"/>
      <c r="AE771" s="106"/>
    </row>
    <row r="772">
      <c r="C772" s="79"/>
      <c r="D772" s="79"/>
      <c r="E772" s="79"/>
      <c r="P772" s="79"/>
      <c r="Q772" s="79"/>
      <c r="R772" s="79"/>
      <c r="Y772" s="79"/>
      <c r="AC772" s="130"/>
      <c r="AE772" s="106"/>
    </row>
    <row r="773">
      <c r="C773" s="79"/>
      <c r="D773" s="79"/>
      <c r="E773" s="79"/>
      <c r="P773" s="79"/>
      <c r="Q773" s="79"/>
      <c r="R773" s="79"/>
      <c r="Y773" s="79"/>
      <c r="AC773" s="130"/>
      <c r="AE773" s="106"/>
    </row>
    <row r="774">
      <c r="C774" s="79"/>
      <c r="D774" s="79"/>
      <c r="E774" s="79"/>
      <c r="P774" s="79"/>
      <c r="Q774" s="79"/>
      <c r="R774" s="79"/>
      <c r="Y774" s="79"/>
      <c r="AC774" s="130"/>
      <c r="AE774" s="106"/>
    </row>
    <row r="775">
      <c r="C775" s="79"/>
      <c r="D775" s="79"/>
      <c r="E775" s="79"/>
      <c r="P775" s="79"/>
      <c r="Q775" s="79"/>
      <c r="R775" s="79"/>
      <c r="Y775" s="79"/>
      <c r="AC775" s="130"/>
      <c r="AE775" s="106"/>
    </row>
    <row r="776">
      <c r="C776" s="79"/>
      <c r="D776" s="79"/>
      <c r="E776" s="79"/>
      <c r="P776" s="79"/>
      <c r="Q776" s="79"/>
      <c r="R776" s="79"/>
      <c r="Y776" s="79"/>
      <c r="AC776" s="130"/>
      <c r="AE776" s="106"/>
    </row>
    <row r="777">
      <c r="C777" s="79"/>
      <c r="D777" s="79"/>
      <c r="E777" s="79"/>
      <c r="P777" s="79"/>
      <c r="Q777" s="79"/>
      <c r="R777" s="79"/>
      <c r="Y777" s="79"/>
      <c r="AC777" s="130"/>
      <c r="AE777" s="106"/>
    </row>
    <row r="778">
      <c r="C778" s="79"/>
      <c r="D778" s="79"/>
      <c r="E778" s="79"/>
      <c r="P778" s="79"/>
      <c r="Q778" s="79"/>
      <c r="R778" s="79"/>
      <c r="Y778" s="79"/>
      <c r="AC778" s="130"/>
      <c r="AE778" s="106"/>
    </row>
    <row r="779">
      <c r="C779" s="79"/>
      <c r="D779" s="79"/>
      <c r="E779" s="79"/>
      <c r="P779" s="79"/>
      <c r="Q779" s="79"/>
      <c r="R779" s="79"/>
      <c r="Y779" s="79"/>
      <c r="AC779" s="130"/>
      <c r="AE779" s="106"/>
    </row>
    <row r="780">
      <c r="C780" s="79"/>
      <c r="D780" s="79"/>
      <c r="E780" s="79"/>
      <c r="P780" s="79"/>
      <c r="Q780" s="79"/>
      <c r="R780" s="79"/>
      <c r="Y780" s="79"/>
      <c r="AC780" s="130"/>
      <c r="AE780" s="106"/>
    </row>
    <row r="781">
      <c r="C781" s="79"/>
      <c r="D781" s="79"/>
      <c r="E781" s="79"/>
      <c r="P781" s="79"/>
      <c r="Q781" s="79"/>
      <c r="R781" s="79"/>
      <c r="Y781" s="79"/>
      <c r="AC781" s="130"/>
      <c r="AE781" s="106"/>
    </row>
    <row r="782">
      <c r="C782" s="79"/>
      <c r="D782" s="79"/>
      <c r="E782" s="79"/>
      <c r="P782" s="79"/>
      <c r="Q782" s="79"/>
      <c r="R782" s="79"/>
      <c r="Y782" s="79"/>
      <c r="AC782" s="130"/>
      <c r="AE782" s="106"/>
    </row>
    <row r="783">
      <c r="C783" s="79"/>
      <c r="D783" s="79"/>
      <c r="E783" s="79"/>
      <c r="P783" s="79"/>
      <c r="Q783" s="79"/>
      <c r="R783" s="79"/>
      <c r="Y783" s="79"/>
      <c r="AC783" s="130"/>
      <c r="AE783" s="106"/>
    </row>
    <row r="784">
      <c r="C784" s="79"/>
      <c r="D784" s="79"/>
      <c r="E784" s="79"/>
      <c r="P784" s="79"/>
      <c r="Q784" s="79"/>
      <c r="R784" s="79"/>
      <c r="Y784" s="79"/>
      <c r="AC784" s="130"/>
      <c r="AE784" s="106"/>
    </row>
    <row r="785">
      <c r="C785" s="79"/>
      <c r="D785" s="79"/>
      <c r="E785" s="79"/>
      <c r="P785" s="79"/>
      <c r="Q785" s="79"/>
      <c r="R785" s="79"/>
      <c r="Y785" s="79"/>
      <c r="AC785" s="130"/>
      <c r="AE785" s="106"/>
    </row>
    <row r="786">
      <c r="C786" s="79"/>
      <c r="D786" s="79"/>
      <c r="E786" s="79"/>
      <c r="P786" s="79"/>
      <c r="Q786" s="79"/>
      <c r="R786" s="79"/>
      <c r="Y786" s="79"/>
      <c r="AC786" s="130"/>
      <c r="AE786" s="106"/>
    </row>
    <row r="787">
      <c r="C787" s="79"/>
      <c r="D787" s="79"/>
      <c r="E787" s="79"/>
      <c r="P787" s="79"/>
      <c r="Q787" s="79"/>
      <c r="R787" s="79"/>
      <c r="Y787" s="79"/>
      <c r="AC787" s="130"/>
      <c r="AE787" s="106"/>
    </row>
    <row r="788">
      <c r="C788" s="79"/>
      <c r="D788" s="79"/>
      <c r="E788" s="79"/>
      <c r="P788" s="79"/>
      <c r="Q788" s="79"/>
      <c r="R788" s="79"/>
      <c r="Y788" s="79"/>
      <c r="AC788" s="130"/>
      <c r="AE788" s="106"/>
    </row>
    <row r="789">
      <c r="C789" s="79"/>
      <c r="D789" s="79"/>
      <c r="E789" s="79"/>
      <c r="P789" s="79"/>
      <c r="Q789" s="79"/>
      <c r="R789" s="79"/>
      <c r="Y789" s="79"/>
      <c r="AC789" s="130"/>
      <c r="AE789" s="106"/>
    </row>
    <row r="790">
      <c r="C790" s="79"/>
      <c r="D790" s="79"/>
      <c r="E790" s="79"/>
      <c r="P790" s="79"/>
      <c r="Q790" s="79"/>
      <c r="R790" s="79"/>
      <c r="Y790" s="79"/>
      <c r="AC790" s="130"/>
      <c r="AE790" s="106"/>
    </row>
    <row r="791">
      <c r="C791" s="79"/>
      <c r="D791" s="79"/>
      <c r="E791" s="79"/>
      <c r="P791" s="79"/>
      <c r="Q791" s="79"/>
      <c r="R791" s="79"/>
      <c r="Y791" s="79"/>
      <c r="AC791" s="130"/>
      <c r="AE791" s="106"/>
    </row>
    <row r="792">
      <c r="C792" s="79"/>
      <c r="D792" s="79"/>
      <c r="E792" s="79"/>
      <c r="P792" s="79"/>
      <c r="Q792" s="79"/>
      <c r="R792" s="79"/>
      <c r="Y792" s="79"/>
      <c r="AC792" s="130"/>
      <c r="AE792" s="106"/>
    </row>
    <row r="793">
      <c r="C793" s="79"/>
      <c r="D793" s="79"/>
      <c r="E793" s="79"/>
      <c r="P793" s="79"/>
      <c r="Q793" s="79"/>
      <c r="R793" s="79"/>
      <c r="Y793" s="79"/>
      <c r="AC793" s="130"/>
      <c r="AE793" s="106"/>
    </row>
    <row r="794">
      <c r="C794" s="79"/>
      <c r="D794" s="79"/>
      <c r="E794" s="79"/>
      <c r="P794" s="79"/>
      <c r="Q794" s="79"/>
      <c r="R794" s="79"/>
      <c r="Y794" s="79"/>
      <c r="AC794" s="130"/>
      <c r="AE794" s="106"/>
    </row>
    <row r="795">
      <c r="C795" s="79"/>
      <c r="D795" s="79"/>
      <c r="E795" s="79"/>
      <c r="P795" s="79"/>
      <c r="Q795" s="79"/>
      <c r="R795" s="79"/>
      <c r="Y795" s="79"/>
      <c r="AC795" s="130"/>
      <c r="AE795" s="106"/>
    </row>
    <row r="796">
      <c r="C796" s="79"/>
      <c r="D796" s="79"/>
      <c r="E796" s="79"/>
      <c r="P796" s="79"/>
      <c r="Q796" s="79"/>
      <c r="R796" s="79"/>
      <c r="Y796" s="79"/>
      <c r="AC796" s="130"/>
      <c r="AE796" s="106"/>
    </row>
    <row r="797">
      <c r="C797" s="79"/>
      <c r="D797" s="79"/>
      <c r="E797" s="79"/>
      <c r="P797" s="79"/>
      <c r="Q797" s="79"/>
      <c r="R797" s="79"/>
      <c r="Y797" s="79"/>
      <c r="AC797" s="130"/>
      <c r="AE797" s="106"/>
    </row>
    <row r="798">
      <c r="C798" s="79"/>
      <c r="D798" s="79"/>
      <c r="E798" s="79"/>
      <c r="P798" s="79"/>
      <c r="Q798" s="79"/>
      <c r="R798" s="79"/>
      <c r="Y798" s="79"/>
      <c r="AC798" s="130"/>
      <c r="AE798" s="106"/>
    </row>
    <row r="799">
      <c r="C799" s="79"/>
      <c r="D799" s="79"/>
      <c r="E799" s="79"/>
      <c r="P799" s="79"/>
      <c r="Q799" s="79"/>
      <c r="R799" s="79"/>
      <c r="Y799" s="79"/>
      <c r="AC799" s="130"/>
      <c r="AE799" s="106"/>
    </row>
    <row r="800">
      <c r="C800" s="79"/>
      <c r="D800" s="79"/>
      <c r="E800" s="79"/>
      <c r="P800" s="79"/>
      <c r="Q800" s="79"/>
      <c r="R800" s="79"/>
      <c r="Y800" s="79"/>
      <c r="AC800" s="130"/>
      <c r="AE800" s="106"/>
    </row>
    <row r="801">
      <c r="C801" s="79"/>
      <c r="D801" s="79"/>
      <c r="E801" s="79"/>
      <c r="P801" s="79"/>
      <c r="Q801" s="79"/>
      <c r="R801" s="79"/>
      <c r="Y801" s="79"/>
      <c r="AC801" s="130"/>
      <c r="AE801" s="106"/>
    </row>
    <row r="802">
      <c r="C802" s="79"/>
      <c r="D802" s="79"/>
      <c r="E802" s="79"/>
      <c r="P802" s="79"/>
      <c r="Q802" s="79"/>
      <c r="R802" s="79"/>
      <c r="Y802" s="79"/>
      <c r="AC802" s="130"/>
      <c r="AE802" s="106"/>
    </row>
    <row r="803">
      <c r="C803" s="79"/>
      <c r="D803" s="79"/>
      <c r="E803" s="79"/>
      <c r="P803" s="79"/>
      <c r="Q803" s="79"/>
      <c r="R803" s="79"/>
      <c r="Y803" s="79"/>
      <c r="AC803" s="130"/>
      <c r="AE803" s="106"/>
    </row>
    <row r="804">
      <c r="C804" s="79"/>
      <c r="D804" s="79"/>
      <c r="E804" s="79"/>
      <c r="P804" s="79"/>
      <c r="Q804" s="79"/>
      <c r="R804" s="79"/>
      <c r="Y804" s="79"/>
      <c r="AC804" s="130"/>
      <c r="AE804" s="106"/>
    </row>
    <row r="805">
      <c r="C805" s="79"/>
      <c r="D805" s="79"/>
      <c r="E805" s="79"/>
      <c r="P805" s="79"/>
      <c r="Q805" s="79"/>
      <c r="R805" s="79"/>
      <c r="Y805" s="79"/>
      <c r="AC805" s="130"/>
      <c r="AE805" s="106"/>
    </row>
    <row r="806">
      <c r="C806" s="79"/>
      <c r="D806" s="79"/>
      <c r="E806" s="79"/>
      <c r="P806" s="79"/>
      <c r="Q806" s="79"/>
      <c r="R806" s="79"/>
      <c r="Y806" s="79"/>
      <c r="AC806" s="130"/>
      <c r="AE806" s="106"/>
    </row>
    <row r="807">
      <c r="C807" s="79"/>
      <c r="D807" s="79"/>
      <c r="E807" s="79"/>
      <c r="P807" s="79"/>
      <c r="Q807" s="79"/>
      <c r="R807" s="79"/>
      <c r="Y807" s="79"/>
      <c r="AC807" s="130"/>
      <c r="AE807" s="106"/>
    </row>
    <row r="808">
      <c r="C808" s="79"/>
      <c r="D808" s="79"/>
      <c r="E808" s="79"/>
      <c r="P808" s="79"/>
      <c r="Q808" s="79"/>
      <c r="R808" s="79"/>
      <c r="Y808" s="79"/>
      <c r="AC808" s="130"/>
      <c r="AE808" s="106"/>
    </row>
    <row r="809">
      <c r="C809" s="79"/>
      <c r="D809" s="79"/>
      <c r="E809" s="79"/>
      <c r="P809" s="79"/>
      <c r="Q809" s="79"/>
      <c r="R809" s="79"/>
      <c r="Y809" s="79"/>
      <c r="AC809" s="130"/>
      <c r="AE809" s="106"/>
    </row>
    <row r="810">
      <c r="C810" s="79"/>
      <c r="D810" s="79"/>
      <c r="E810" s="79"/>
      <c r="P810" s="79"/>
      <c r="Q810" s="79"/>
      <c r="R810" s="79"/>
      <c r="Y810" s="79"/>
      <c r="AC810" s="130"/>
      <c r="AE810" s="106"/>
    </row>
    <row r="811">
      <c r="C811" s="79"/>
      <c r="D811" s="79"/>
      <c r="E811" s="79"/>
      <c r="P811" s="79"/>
      <c r="Q811" s="79"/>
      <c r="R811" s="79"/>
      <c r="Y811" s="79"/>
      <c r="AC811" s="130"/>
      <c r="AE811" s="106"/>
    </row>
    <row r="812">
      <c r="C812" s="79"/>
      <c r="D812" s="79"/>
      <c r="E812" s="79"/>
      <c r="P812" s="79"/>
      <c r="Q812" s="79"/>
      <c r="R812" s="79"/>
      <c r="Y812" s="79"/>
      <c r="AC812" s="130"/>
      <c r="AE812" s="106"/>
    </row>
    <row r="813">
      <c r="C813" s="79"/>
      <c r="D813" s="79"/>
      <c r="E813" s="79"/>
      <c r="P813" s="79"/>
      <c r="Q813" s="79"/>
      <c r="R813" s="79"/>
      <c r="Y813" s="79"/>
      <c r="AC813" s="130"/>
      <c r="AE813" s="106"/>
    </row>
    <row r="814">
      <c r="C814" s="79"/>
      <c r="D814" s="79"/>
      <c r="E814" s="79"/>
      <c r="P814" s="79"/>
      <c r="Q814" s="79"/>
      <c r="R814" s="79"/>
      <c r="Y814" s="79"/>
      <c r="AC814" s="130"/>
      <c r="AE814" s="106"/>
    </row>
    <row r="815">
      <c r="C815" s="79"/>
      <c r="D815" s="79"/>
      <c r="E815" s="79"/>
      <c r="P815" s="79"/>
      <c r="Q815" s="79"/>
      <c r="R815" s="79"/>
      <c r="Y815" s="79"/>
      <c r="AC815" s="130"/>
      <c r="AE815" s="106"/>
    </row>
    <row r="816">
      <c r="C816" s="79"/>
      <c r="D816" s="79"/>
      <c r="E816" s="79"/>
      <c r="P816" s="79"/>
      <c r="Q816" s="79"/>
      <c r="R816" s="79"/>
      <c r="Y816" s="79"/>
      <c r="AC816" s="130"/>
      <c r="AE816" s="106"/>
    </row>
    <row r="817">
      <c r="C817" s="79"/>
      <c r="D817" s="79"/>
      <c r="E817" s="79"/>
      <c r="P817" s="79"/>
      <c r="Q817" s="79"/>
      <c r="R817" s="79"/>
      <c r="Y817" s="79"/>
      <c r="AC817" s="130"/>
      <c r="AE817" s="106"/>
    </row>
    <row r="818">
      <c r="C818" s="79"/>
      <c r="D818" s="79"/>
      <c r="E818" s="79"/>
      <c r="P818" s="79"/>
      <c r="Q818" s="79"/>
      <c r="R818" s="79"/>
      <c r="Y818" s="79"/>
      <c r="AC818" s="130"/>
      <c r="AE818" s="106"/>
    </row>
    <row r="819">
      <c r="C819" s="79"/>
      <c r="D819" s="79"/>
      <c r="E819" s="79"/>
      <c r="P819" s="79"/>
      <c r="Q819" s="79"/>
      <c r="R819" s="79"/>
      <c r="Y819" s="79"/>
      <c r="AC819" s="130"/>
      <c r="AE819" s="106"/>
    </row>
    <row r="820">
      <c r="C820" s="79"/>
      <c r="D820" s="79"/>
      <c r="E820" s="79"/>
      <c r="P820" s="79"/>
      <c r="Q820" s="79"/>
      <c r="R820" s="79"/>
      <c r="Y820" s="79"/>
      <c r="AC820" s="130"/>
      <c r="AE820" s="106"/>
    </row>
    <row r="821">
      <c r="C821" s="79"/>
      <c r="D821" s="79"/>
      <c r="E821" s="79"/>
      <c r="P821" s="79"/>
      <c r="Q821" s="79"/>
      <c r="R821" s="79"/>
      <c r="Y821" s="79"/>
      <c r="AC821" s="130"/>
      <c r="AE821" s="106"/>
    </row>
    <row r="822">
      <c r="C822" s="79"/>
      <c r="D822" s="79"/>
      <c r="E822" s="79"/>
      <c r="P822" s="79"/>
      <c r="Q822" s="79"/>
      <c r="R822" s="79"/>
      <c r="Y822" s="79"/>
      <c r="AC822" s="130"/>
      <c r="AE822" s="106"/>
    </row>
    <row r="823">
      <c r="C823" s="79"/>
      <c r="D823" s="79"/>
      <c r="E823" s="79"/>
      <c r="P823" s="79"/>
      <c r="Q823" s="79"/>
      <c r="R823" s="79"/>
      <c r="Y823" s="79"/>
      <c r="AC823" s="130"/>
      <c r="AE823" s="106"/>
    </row>
    <row r="824">
      <c r="C824" s="79"/>
      <c r="D824" s="79"/>
      <c r="E824" s="79"/>
      <c r="P824" s="79"/>
      <c r="Q824" s="79"/>
      <c r="R824" s="79"/>
      <c r="Y824" s="79"/>
      <c r="AC824" s="130"/>
      <c r="AE824" s="106"/>
    </row>
    <row r="825">
      <c r="C825" s="79"/>
      <c r="D825" s="79"/>
      <c r="E825" s="79"/>
      <c r="P825" s="79"/>
      <c r="Q825" s="79"/>
      <c r="R825" s="79"/>
      <c r="Y825" s="79"/>
      <c r="AC825" s="130"/>
      <c r="AE825" s="106"/>
    </row>
    <row r="826">
      <c r="C826" s="79"/>
      <c r="D826" s="79"/>
      <c r="E826" s="79"/>
      <c r="P826" s="79"/>
      <c r="Q826" s="79"/>
      <c r="R826" s="79"/>
      <c r="Y826" s="79"/>
      <c r="AC826" s="130"/>
      <c r="AE826" s="106"/>
    </row>
    <row r="827">
      <c r="C827" s="79"/>
      <c r="D827" s="79"/>
      <c r="E827" s="79"/>
      <c r="P827" s="79"/>
      <c r="Q827" s="79"/>
      <c r="R827" s="79"/>
      <c r="Y827" s="79"/>
      <c r="AC827" s="130"/>
      <c r="AE827" s="106"/>
    </row>
    <row r="828">
      <c r="C828" s="79"/>
      <c r="D828" s="79"/>
      <c r="E828" s="79"/>
      <c r="P828" s="79"/>
      <c r="Q828" s="79"/>
      <c r="R828" s="79"/>
      <c r="Y828" s="79"/>
      <c r="AC828" s="130"/>
      <c r="AE828" s="106"/>
    </row>
    <row r="829">
      <c r="C829" s="79"/>
      <c r="D829" s="79"/>
      <c r="E829" s="79"/>
      <c r="P829" s="79"/>
      <c r="Q829" s="79"/>
      <c r="R829" s="79"/>
      <c r="Y829" s="79"/>
      <c r="AC829" s="130"/>
      <c r="AE829" s="106"/>
    </row>
    <row r="830">
      <c r="C830" s="79"/>
      <c r="D830" s="79"/>
      <c r="E830" s="79"/>
      <c r="P830" s="79"/>
      <c r="Q830" s="79"/>
      <c r="R830" s="79"/>
      <c r="Y830" s="79"/>
      <c r="AC830" s="130"/>
      <c r="AE830" s="106"/>
    </row>
    <row r="831">
      <c r="C831" s="79"/>
      <c r="D831" s="79"/>
      <c r="E831" s="79"/>
      <c r="P831" s="79"/>
      <c r="Q831" s="79"/>
      <c r="R831" s="79"/>
      <c r="Y831" s="79"/>
      <c r="AC831" s="130"/>
      <c r="AE831" s="106"/>
    </row>
    <row r="832">
      <c r="C832" s="79"/>
      <c r="D832" s="79"/>
      <c r="E832" s="79"/>
      <c r="P832" s="79"/>
      <c r="Q832" s="79"/>
      <c r="R832" s="79"/>
      <c r="Y832" s="79"/>
      <c r="AC832" s="130"/>
      <c r="AE832" s="106"/>
    </row>
    <row r="833">
      <c r="C833" s="79"/>
      <c r="D833" s="79"/>
      <c r="E833" s="79"/>
      <c r="P833" s="79"/>
      <c r="Q833" s="79"/>
      <c r="R833" s="79"/>
      <c r="Y833" s="79"/>
      <c r="AC833" s="130"/>
      <c r="AE833" s="106"/>
    </row>
    <row r="834">
      <c r="C834" s="79"/>
      <c r="D834" s="79"/>
      <c r="E834" s="79"/>
      <c r="P834" s="79"/>
      <c r="Q834" s="79"/>
      <c r="R834" s="79"/>
      <c r="Y834" s="79"/>
      <c r="AC834" s="130"/>
      <c r="AE834" s="106"/>
    </row>
    <row r="835">
      <c r="C835" s="79"/>
      <c r="D835" s="79"/>
      <c r="E835" s="79"/>
      <c r="P835" s="79"/>
      <c r="Q835" s="79"/>
      <c r="R835" s="79"/>
      <c r="Y835" s="79"/>
      <c r="AC835" s="130"/>
      <c r="AE835" s="106"/>
    </row>
    <row r="836">
      <c r="C836" s="79"/>
      <c r="D836" s="79"/>
      <c r="E836" s="79"/>
      <c r="P836" s="79"/>
      <c r="Q836" s="79"/>
      <c r="R836" s="79"/>
      <c r="Y836" s="79"/>
      <c r="AC836" s="130"/>
      <c r="AE836" s="106"/>
    </row>
    <row r="837">
      <c r="C837" s="79"/>
      <c r="D837" s="79"/>
      <c r="E837" s="79"/>
      <c r="P837" s="79"/>
      <c r="Q837" s="79"/>
      <c r="R837" s="79"/>
      <c r="Y837" s="79"/>
      <c r="AC837" s="130"/>
      <c r="AE837" s="106"/>
    </row>
    <row r="838">
      <c r="C838" s="79"/>
      <c r="D838" s="79"/>
      <c r="E838" s="79"/>
      <c r="P838" s="79"/>
      <c r="Q838" s="79"/>
      <c r="R838" s="79"/>
      <c r="Y838" s="79"/>
      <c r="AC838" s="130"/>
      <c r="AE838" s="106"/>
    </row>
    <row r="839">
      <c r="C839" s="79"/>
      <c r="D839" s="79"/>
      <c r="E839" s="79"/>
      <c r="P839" s="79"/>
      <c r="Q839" s="79"/>
      <c r="R839" s="79"/>
      <c r="Y839" s="79"/>
      <c r="AC839" s="130"/>
      <c r="AE839" s="106"/>
    </row>
    <row r="840">
      <c r="C840" s="79"/>
      <c r="D840" s="79"/>
      <c r="E840" s="79"/>
      <c r="P840" s="79"/>
      <c r="Q840" s="79"/>
      <c r="R840" s="79"/>
      <c r="Y840" s="79"/>
      <c r="AC840" s="130"/>
      <c r="AE840" s="106"/>
    </row>
    <row r="841">
      <c r="C841" s="79"/>
      <c r="D841" s="79"/>
      <c r="E841" s="79"/>
      <c r="P841" s="79"/>
      <c r="Q841" s="79"/>
      <c r="R841" s="79"/>
      <c r="Y841" s="79"/>
      <c r="AC841" s="130"/>
      <c r="AE841" s="106"/>
    </row>
    <row r="842">
      <c r="C842" s="79"/>
      <c r="D842" s="79"/>
      <c r="E842" s="79"/>
      <c r="P842" s="79"/>
      <c r="Q842" s="79"/>
      <c r="R842" s="79"/>
      <c r="Y842" s="79"/>
      <c r="AC842" s="130"/>
      <c r="AE842" s="106"/>
    </row>
    <row r="843">
      <c r="C843" s="79"/>
      <c r="D843" s="79"/>
      <c r="E843" s="79"/>
      <c r="P843" s="79"/>
      <c r="Q843" s="79"/>
      <c r="R843" s="79"/>
      <c r="Y843" s="79"/>
      <c r="AC843" s="130"/>
      <c r="AE843" s="106"/>
    </row>
    <row r="844">
      <c r="C844" s="79"/>
      <c r="D844" s="79"/>
      <c r="E844" s="79"/>
      <c r="P844" s="79"/>
      <c r="Q844" s="79"/>
      <c r="R844" s="79"/>
      <c r="Y844" s="79"/>
      <c r="AC844" s="130"/>
      <c r="AE844" s="106"/>
    </row>
    <row r="845">
      <c r="C845" s="79"/>
      <c r="D845" s="79"/>
      <c r="E845" s="79"/>
      <c r="P845" s="79"/>
      <c r="Q845" s="79"/>
      <c r="R845" s="79"/>
      <c r="Y845" s="79"/>
      <c r="AC845" s="130"/>
      <c r="AE845" s="106"/>
    </row>
    <row r="846">
      <c r="C846" s="79"/>
      <c r="D846" s="79"/>
      <c r="E846" s="79"/>
      <c r="P846" s="79"/>
      <c r="Q846" s="79"/>
      <c r="R846" s="79"/>
      <c r="Y846" s="79"/>
      <c r="AC846" s="130"/>
      <c r="AE846" s="106"/>
    </row>
    <row r="847">
      <c r="C847" s="79"/>
      <c r="D847" s="79"/>
      <c r="E847" s="79"/>
      <c r="P847" s="79"/>
      <c r="Q847" s="79"/>
      <c r="R847" s="79"/>
      <c r="Y847" s="79"/>
      <c r="AC847" s="130"/>
      <c r="AE847" s="106"/>
    </row>
    <row r="848">
      <c r="C848" s="79"/>
      <c r="D848" s="79"/>
      <c r="E848" s="79"/>
      <c r="P848" s="79"/>
      <c r="Q848" s="79"/>
      <c r="R848" s="79"/>
      <c r="Y848" s="79"/>
      <c r="AC848" s="130"/>
      <c r="AE848" s="106"/>
    </row>
    <row r="849">
      <c r="C849" s="79"/>
      <c r="D849" s="79"/>
      <c r="E849" s="79"/>
      <c r="P849" s="79"/>
      <c r="Q849" s="79"/>
      <c r="R849" s="79"/>
      <c r="Y849" s="79"/>
      <c r="AC849" s="130"/>
      <c r="AE849" s="106"/>
    </row>
    <row r="850">
      <c r="C850" s="79"/>
      <c r="D850" s="79"/>
      <c r="E850" s="79"/>
      <c r="P850" s="79"/>
      <c r="Q850" s="79"/>
      <c r="R850" s="79"/>
      <c r="Y850" s="79"/>
      <c r="AC850" s="130"/>
      <c r="AE850" s="106"/>
    </row>
    <row r="851">
      <c r="C851" s="79"/>
      <c r="D851" s="79"/>
      <c r="E851" s="79"/>
      <c r="P851" s="79"/>
      <c r="Q851" s="79"/>
      <c r="R851" s="79"/>
      <c r="Y851" s="79"/>
      <c r="AC851" s="130"/>
      <c r="AE851" s="106"/>
    </row>
    <row r="852">
      <c r="C852" s="79"/>
      <c r="D852" s="79"/>
      <c r="E852" s="79"/>
      <c r="P852" s="79"/>
      <c r="Q852" s="79"/>
      <c r="R852" s="79"/>
      <c r="Y852" s="79"/>
      <c r="AC852" s="130"/>
      <c r="AE852" s="106"/>
    </row>
    <row r="853">
      <c r="C853" s="79"/>
      <c r="D853" s="79"/>
      <c r="E853" s="79"/>
      <c r="P853" s="79"/>
      <c r="Q853" s="79"/>
      <c r="R853" s="79"/>
      <c r="Y853" s="79"/>
      <c r="AC853" s="130"/>
      <c r="AE853" s="106"/>
    </row>
    <row r="854">
      <c r="C854" s="79"/>
      <c r="D854" s="79"/>
      <c r="E854" s="79"/>
      <c r="P854" s="79"/>
      <c r="Q854" s="79"/>
      <c r="R854" s="79"/>
      <c r="Y854" s="79"/>
      <c r="AC854" s="130"/>
      <c r="AE854" s="106"/>
    </row>
    <row r="855">
      <c r="C855" s="79"/>
      <c r="D855" s="79"/>
      <c r="E855" s="79"/>
      <c r="P855" s="79"/>
      <c r="Q855" s="79"/>
      <c r="R855" s="79"/>
      <c r="Y855" s="79"/>
      <c r="AC855" s="130"/>
      <c r="AE855" s="106"/>
    </row>
    <row r="856">
      <c r="C856" s="79"/>
      <c r="D856" s="79"/>
      <c r="E856" s="79"/>
      <c r="P856" s="79"/>
      <c r="Q856" s="79"/>
      <c r="R856" s="79"/>
      <c r="Y856" s="79"/>
      <c r="AC856" s="130"/>
      <c r="AE856" s="106"/>
    </row>
    <row r="857">
      <c r="C857" s="79"/>
      <c r="D857" s="79"/>
      <c r="E857" s="79"/>
      <c r="P857" s="79"/>
      <c r="Q857" s="79"/>
      <c r="R857" s="79"/>
      <c r="Y857" s="79"/>
      <c r="AC857" s="130"/>
      <c r="AE857" s="106"/>
    </row>
    <row r="858">
      <c r="C858" s="79"/>
      <c r="D858" s="79"/>
      <c r="E858" s="79"/>
      <c r="P858" s="79"/>
      <c r="Q858" s="79"/>
      <c r="R858" s="79"/>
      <c r="Y858" s="79"/>
      <c r="AC858" s="130"/>
      <c r="AE858" s="106"/>
    </row>
    <row r="859">
      <c r="C859" s="79"/>
      <c r="D859" s="79"/>
      <c r="E859" s="79"/>
      <c r="P859" s="79"/>
      <c r="Q859" s="79"/>
      <c r="R859" s="79"/>
      <c r="Y859" s="79"/>
      <c r="AC859" s="130"/>
      <c r="AE859" s="106"/>
    </row>
    <row r="860">
      <c r="C860" s="79"/>
      <c r="D860" s="79"/>
      <c r="E860" s="79"/>
      <c r="P860" s="79"/>
      <c r="Q860" s="79"/>
      <c r="R860" s="79"/>
      <c r="Y860" s="79"/>
      <c r="AC860" s="130"/>
      <c r="AE860" s="106"/>
    </row>
    <row r="861">
      <c r="C861" s="79"/>
      <c r="D861" s="79"/>
      <c r="E861" s="79"/>
      <c r="P861" s="79"/>
      <c r="Q861" s="79"/>
      <c r="R861" s="79"/>
      <c r="Y861" s="79"/>
      <c r="AC861" s="130"/>
      <c r="AE861" s="106"/>
    </row>
    <row r="862">
      <c r="C862" s="79"/>
      <c r="D862" s="79"/>
      <c r="E862" s="79"/>
      <c r="P862" s="79"/>
      <c r="Q862" s="79"/>
      <c r="R862" s="79"/>
      <c r="Y862" s="79"/>
      <c r="AC862" s="130"/>
      <c r="AE862" s="106"/>
    </row>
    <row r="863">
      <c r="C863" s="79"/>
      <c r="D863" s="79"/>
      <c r="E863" s="79"/>
      <c r="P863" s="79"/>
      <c r="Q863" s="79"/>
      <c r="R863" s="79"/>
      <c r="Y863" s="79"/>
      <c r="AC863" s="130"/>
      <c r="AE863" s="106"/>
    </row>
    <row r="864">
      <c r="C864" s="79"/>
      <c r="D864" s="79"/>
      <c r="E864" s="79"/>
      <c r="P864" s="79"/>
      <c r="Q864" s="79"/>
      <c r="R864" s="79"/>
      <c r="Y864" s="79"/>
      <c r="AC864" s="130"/>
      <c r="AE864" s="106"/>
    </row>
    <row r="865">
      <c r="C865" s="79"/>
      <c r="D865" s="79"/>
      <c r="E865" s="79"/>
      <c r="P865" s="79"/>
      <c r="Q865" s="79"/>
      <c r="R865" s="79"/>
      <c r="Y865" s="79"/>
      <c r="AC865" s="130"/>
      <c r="AE865" s="106"/>
    </row>
    <row r="866">
      <c r="C866" s="79"/>
      <c r="D866" s="79"/>
      <c r="E866" s="79"/>
      <c r="P866" s="79"/>
      <c r="Q866" s="79"/>
      <c r="R866" s="79"/>
      <c r="Y866" s="79"/>
      <c r="AC866" s="130"/>
      <c r="AE866" s="106"/>
    </row>
    <row r="867">
      <c r="C867" s="79"/>
      <c r="D867" s="79"/>
      <c r="E867" s="79"/>
      <c r="P867" s="79"/>
      <c r="Q867" s="79"/>
      <c r="R867" s="79"/>
      <c r="Y867" s="79"/>
      <c r="AC867" s="130"/>
      <c r="AE867" s="106"/>
    </row>
    <row r="868">
      <c r="C868" s="79"/>
      <c r="D868" s="79"/>
      <c r="E868" s="79"/>
      <c r="P868" s="79"/>
      <c r="Q868" s="79"/>
      <c r="R868" s="79"/>
      <c r="Y868" s="79"/>
      <c r="AC868" s="130"/>
      <c r="AE868" s="106"/>
    </row>
    <row r="869">
      <c r="C869" s="79"/>
      <c r="D869" s="79"/>
      <c r="E869" s="79"/>
      <c r="P869" s="79"/>
      <c r="Q869" s="79"/>
      <c r="R869" s="79"/>
      <c r="Y869" s="79"/>
      <c r="AC869" s="130"/>
      <c r="AE869" s="106"/>
    </row>
    <row r="870">
      <c r="C870" s="79"/>
      <c r="D870" s="79"/>
      <c r="E870" s="79"/>
      <c r="P870" s="79"/>
      <c r="Q870" s="79"/>
      <c r="R870" s="79"/>
      <c r="Y870" s="79"/>
      <c r="AC870" s="130"/>
      <c r="AE870" s="106"/>
    </row>
    <row r="871">
      <c r="C871" s="79"/>
      <c r="D871" s="79"/>
      <c r="E871" s="79"/>
      <c r="P871" s="79"/>
      <c r="Q871" s="79"/>
      <c r="R871" s="79"/>
      <c r="Y871" s="79"/>
      <c r="AC871" s="130"/>
      <c r="AE871" s="106"/>
    </row>
    <row r="872">
      <c r="C872" s="79"/>
      <c r="D872" s="79"/>
      <c r="E872" s="79"/>
      <c r="P872" s="79"/>
      <c r="Q872" s="79"/>
      <c r="R872" s="79"/>
      <c r="Y872" s="79"/>
      <c r="AC872" s="130"/>
      <c r="AE872" s="106"/>
    </row>
    <row r="873">
      <c r="C873" s="79"/>
      <c r="D873" s="79"/>
      <c r="E873" s="79"/>
      <c r="P873" s="79"/>
      <c r="Q873" s="79"/>
      <c r="R873" s="79"/>
      <c r="Y873" s="79"/>
      <c r="AC873" s="130"/>
      <c r="AE873" s="106"/>
    </row>
    <row r="874">
      <c r="C874" s="79"/>
      <c r="D874" s="79"/>
      <c r="E874" s="79"/>
      <c r="P874" s="79"/>
      <c r="Q874" s="79"/>
      <c r="R874" s="79"/>
      <c r="Y874" s="79"/>
      <c r="AC874" s="130"/>
      <c r="AE874" s="106"/>
    </row>
    <row r="875">
      <c r="C875" s="79"/>
      <c r="D875" s="79"/>
      <c r="E875" s="79"/>
      <c r="P875" s="79"/>
      <c r="Q875" s="79"/>
      <c r="R875" s="79"/>
      <c r="Y875" s="79"/>
      <c r="AC875" s="130"/>
      <c r="AE875" s="106"/>
    </row>
    <row r="876">
      <c r="C876" s="79"/>
      <c r="D876" s="79"/>
      <c r="E876" s="79"/>
      <c r="P876" s="79"/>
      <c r="Q876" s="79"/>
      <c r="R876" s="79"/>
      <c r="Y876" s="79"/>
      <c r="AC876" s="130"/>
      <c r="AE876" s="106"/>
    </row>
    <row r="877">
      <c r="C877" s="79"/>
      <c r="D877" s="79"/>
      <c r="E877" s="79"/>
      <c r="P877" s="79"/>
      <c r="Q877" s="79"/>
      <c r="R877" s="79"/>
      <c r="Y877" s="79"/>
      <c r="AC877" s="130"/>
      <c r="AE877" s="106"/>
    </row>
    <row r="878">
      <c r="C878" s="79"/>
      <c r="D878" s="79"/>
      <c r="E878" s="79"/>
      <c r="P878" s="79"/>
      <c r="Q878" s="79"/>
      <c r="R878" s="79"/>
      <c r="Y878" s="79"/>
      <c r="AC878" s="130"/>
      <c r="AE878" s="106"/>
    </row>
    <row r="879">
      <c r="C879" s="79"/>
      <c r="D879" s="79"/>
      <c r="E879" s="79"/>
      <c r="P879" s="79"/>
      <c r="Q879" s="79"/>
      <c r="R879" s="79"/>
      <c r="Y879" s="79"/>
      <c r="AC879" s="130"/>
      <c r="AE879" s="106"/>
    </row>
    <row r="880">
      <c r="C880" s="79"/>
      <c r="D880" s="79"/>
      <c r="E880" s="79"/>
      <c r="P880" s="79"/>
      <c r="Q880" s="79"/>
      <c r="R880" s="79"/>
      <c r="Y880" s="79"/>
      <c r="AC880" s="130"/>
      <c r="AE880" s="106"/>
    </row>
    <row r="881">
      <c r="C881" s="79"/>
      <c r="D881" s="79"/>
      <c r="E881" s="79"/>
      <c r="P881" s="79"/>
      <c r="Q881" s="79"/>
      <c r="R881" s="79"/>
      <c r="Y881" s="79"/>
      <c r="AC881" s="130"/>
      <c r="AE881" s="106"/>
    </row>
    <row r="882">
      <c r="C882" s="79"/>
      <c r="D882" s="79"/>
      <c r="E882" s="79"/>
      <c r="P882" s="79"/>
      <c r="Q882" s="79"/>
      <c r="R882" s="79"/>
      <c r="Y882" s="79"/>
      <c r="AC882" s="130"/>
      <c r="AE882" s="106"/>
    </row>
    <row r="883">
      <c r="C883" s="79"/>
      <c r="D883" s="79"/>
      <c r="E883" s="79"/>
      <c r="P883" s="79"/>
      <c r="Q883" s="79"/>
      <c r="R883" s="79"/>
      <c r="Y883" s="79"/>
      <c r="AC883" s="130"/>
      <c r="AE883" s="106"/>
    </row>
    <row r="884">
      <c r="C884" s="79"/>
      <c r="D884" s="79"/>
      <c r="E884" s="79"/>
      <c r="P884" s="79"/>
      <c r="Q884" s="79"/>
      <c r="R884" s="79"/>
      <c r="Y884" s="79"/>
      <c r="AC884" s="130"/>
      <c r="AE884" s="106"/>
    </row>
    <row r="885">
      <c r="C885" s="79"/>
      <c r="D885" s="79"/>
      <c r="E885" s="79"/>
      <c r="P885" s="79"/>
      <c r="Q885" s="79"/>
      <c r="R885" s="79"/>
      <c r="Y885" s="79"/>
      <c r="AC885" s="130"/>
      <c r="AE885" s="106"/>
    </row>
    <row r="886">
      <c r="C886" s="79"/>
      <c r="D886" s="79"/>
      <c r="E886" s="79"/>
      <c r="P886" s="79"/>
      <c r="Q886" s="79"/>
      <c r="R886" s="79"/>
      <c r="Y886" s="79"/>
      <c r="AC886" s="130"/>
      <c r="AE886" s="106"/>
    </row>
    <row r="887">
      <c r="C887" s="79"/>
      <c r="D887" s="79"/>
      <c r="E887" s="79"/>
      <c r="P887" s="79"/>
      <c r="Q887" s="79"/>
      <c r="R887" s="79"/>
      <c r="Y887" s="79"/>
      <c r="AC887" s="130"/>
      <c r="AE887" s="106"/>
    </row>
    <row r="888">
      <c r="C888" s="79"/>
      <c r="D888" s="79"/>
      <c r="E888" s="79"/>
      <c r="P888" s="79"/>
      <c r="Q888" s="79"/>
      <c r="R888" s="79"/>
      <c r="Y888" s="79"/>
      <c r="AC888" s="130"/>
      <c r="AE888" s="106"/>
    </row>
    <row r="889">
      <c r="C889" s="79"/>
      <c r="D889" s="79"/>
      <c r="E889" s="79"/>
      <c r="P889" s="79"/>
      <c r="Q889" s="79"/>
      <c r="R889" s="79"/>
      <c r="Y889" s="79"/>
      <c r="AC889" s="130"/>
      <c r="AE889" s="106"/>
    </row>
    <row r="890">
      <c r="C890" s="79"/>
      <c r="D890" s="79"/>
      <c r="E890" s="79"/>
      <c r="P890" s="79"/>
      <c r="Q890" s="79"/>
      <c r="R890" s="79"/>
      <c r="Y890" s="79"/>
      <c r="AC890" s="130"/>
      <c r="AE890" s="106"/>
    </row>
    <row r="891">
      <c r="C891" s="79"/>
      <c r="D891" s="79"/>
      <c r="E891" s="79"/>
      <c r="P891" s="79"/>
      <c r="Q891" s="79"/>
      <c r="R891" s="79"/>
      <c r="Y891" s="79"/>
      <c r="AC891" s="130"/>
      <c r="AE891" s="106"/>
    </row>
    <row r="892">
      <c r="C892" s="79"/>
      <c r="D892" s="79"/>
      <c r="E892" s="79"/>
      <c r="P892" s="79"/>
      <c r="Q892" s="79"/>
      <c r="R892" s="79"/>
      <c r="Y892" s="79"/>
      <c r="AC892" s="130"/>
      <c r="AE892" s="106"/>
    </row>
    <row r="893">
      <c r="C893" s="79"/>
      <c r="D893" s="79"/>
      <c r="E893" s="79"/>
      <c r="P893" s="79"/>
      <c r="Q893" s="79"/>
      <c r="R893" s="79"/>
      <c r="Y893" s="79"/>
      <c r="AC893" s="130"/>
      <c r="AE893" s="106"/>
    </row>
    <row r="894">
      <c r="C894" s="79"/>
      <c r="D894" s="79"/>
      <c r="E894" s="79"/>
      <c r="P894" s="79"/>
      <c r="Q894" s="79"/>
      <c r="R894" s="79"/>
      <c r="Y894" s="79"/>
      <c r="AC894" s="130"/>
      <c r="AE894" s="106"/>
    </row>
    <row r="895">
      <c r="C895" s="79"/>
      <c r="D895" s="79"/>
      <c r="E895" s="79"/>
      <c r="P895" s="79"/>
      <c r="Q895" s="79"/>
      <c r="R895" s="79"/>
      <c r="Y895" s="79"/>
      <c r="AC895" s="130"/>
      <c r="AE895" s="106"/>
    </row>
    <row r="896">
      <c r="C896" s="79"/>
      <c r="D896" s="79"/>
      <c r="E896" s="79"/>
      <c r="P896" s="79"/>
      <c r="Q896" s="79"/>
      <c r="R896" s="79"/>
      <c r="Y896" s="79"/>
      <c r="AC896" s="130"/>
      <c r="AE896" s="106"/>
    </row>
    <row r="897">
      <c r="C897" s="79"/>
      <c r="D897" s="79"/>
      <c r="E897" s="79"/>
      <c r="P897" s="79"/>
      <c r="Q897" s="79"/>
      <c r="R897" s="79"/>
      <c r="Y897" s="79"/>
      <c r="AC897" s="130"/>
      <c r="AE897" s="106"/>
    </row>
    <row r="898">
      <c r="C898" s="79"/>
      <c r="D898" s="79"/>
      <c r="E898" s="79"/>
      <c r="P898" s="79"/>
      <c r="Q898" s="79"/>
      <c r="R898" s="79"/>
      <c r="Y898" s="79"/>
      <c r="AC898" s="130"/>
      <c r="AE898" s="106"/>
    </row>
    <row r="899">
      <c r="C899" s="79"/>
      <c r="D899" s="79"/>
      <c r="E899" s="79"/>
      <c r="P899" s="79"/>
      <c r="Q899" s="79"/>
      <c r="R899" s="79"/>
      <c r="Y899" s="79"/>
      <c r="AC899" s="130"/>
      <c r="AE899" s="106"/>
    </row>
    <row r="900">
      <c r="C900" s="79"/>
      <c r="D900" s="79"/>
      <c r="E900" s="79"/>
      <c r="P900" s="79"/>
      <c r="Q900" s="79"/>
      <c r="R900" s="79"/>
      <c r="Y900" s="79"/>
      <c r="AC900" s="130"/>
      <c r="AE900" s="106"/>
    </row>
    <row r="901">
      <c r="C901" s="79"/>
      <c r="D901" s="79"/>
      <c r="E901" s="79"/>
      <c r="P901" s="79"/>
      <c r="Q901" s="79"/>
      <c r="R901" s="79"/>
      <c r="Y901" s="79"/>
      <c r="AC901" s="130"/>
      <c r="AE901" s="106"/>
    </row>
    <row r="902">
      <c r="C902" s="79"/>
      <c r="D902" s="79"/>
      <c r="E902" s="79"/>
      <c r="P902" s="79"/>
      <c r="Q902" s="79"/>
      <c r="R902" s="79"/>
      <c r="Y902" s="79"/>
      <c r="AC902" s="130"/>
      <c r="AE902" s="106"/>
    </row>
    <row r="903">
      <c r="C903" s="79"/>
      <c r="D903" s="79"/>
      <c r="E903" s="79"/>
      <c r="P903" s="79"/>
      <c r="Q903" s="79"/>
      <c r="R903" s="79"/>
      <c r="Y903" s="79"/>
      <c r="AC903" s="130"/>
      <c r="AE903" s="106"/>
    </row>
    <row r="904">
      <c r="C904" s="79"/>
      <c r="D904" s="79"/>
      <c r="E904" s="79"/>
      <c r="P904" s="79"/>
      <c r="Q904" s="79"/>
      <c r="R904" s="79"/>
      <c r="Y904" s="79"/>
      <c r="AC904" s="130"/>
      <c r="AE904" s="106"/>
    </row>
    <row r="905">
      <c r="C905" s="79"/>
      <c r="D905" s="79"/>
      <c r="E905" s="79"/>
      <c r="P905" s="79"/>
      <c r="Q905" s="79"/>
      <c r="R905" s="79"/>
      <c r="Y905" s="79"/>
      <c r="AC905" s="130"/>
      <c r="AE905" s="106"/>
    </row>
    <row r="906">
      <c r="C906" s="79"/>
      <c r="D906" s="79"/>
      <c r="E906" s="79"/>
      <c r="P906" s="79"/>
      <c r="Q906" s="79"/>
      <c r="R906" s="79"/>
      <c r="Y906" s="79"/>
      <c r="AC906" s="130"/>
      <c r="AE906" s="106"/>
    </row>
    <row r="907">
      <c r="C907" s="79"/>
      <c r="D907" s="79"/>
      <c r="E907" s="79"/>
      <c r="P907" s="79"/>
      <c r="Q907" s="79"/>
      <c r="R907" s="79"/>
      <c r="Y907" s="79"/>
      <c r="AC907" s="130"/>
      <c r="AE907" s="106"/>
    </row>
    <row r="908">
      <c r="C908" s="79"/>
      <c r="D908" s="79"/>
      <c r="E908" s="79"/>
      <c r="P908" s="79"/>
      <c r="Q908" s="79"/>
      <c r="R908" s="79"/>
      <c r="Y908" s="79"/>
      <c r="AC908" s="130"/>
      <c r="AE908" s="106"/>
    </row>
    <row r="909">
      <c r="C909" s="79"/>
      <c r="D909" s="79"/>
      <c r="E909" s="79"/>
      <c r="P909" s="79"/>
      <c r="Q909" s="79"/>
      <c r="R909" s="79"/>
      <c r="Y909" s="79"/>
      <c r="AC909" s="130"/>
      <c r="AE909" s="106"/>
    </row>
    <row r="910">
      <c r="C910" s="79"/>
      <c r="D910" s="79"/>
      <c r="E910" s="79"/>
      <c r="P910" s="79"/>
      <c r="Q910" s="79"/>
      <c r="R910" s="79"/>
      <c r="Y910" s="79"/>
      <c r="AC910" s="130"/>
      <c r="AE910" s="106"/>
    </row>
    <row r="911">
      <c r="C911" s="79"/>
      <c r="D911" s="79"/>
      <c r="E911" s="79"/>
      <c r="P911" s="79"/>
      <c r="Q911" s="79"/>
      <c r="R911" s="79"/>
      <c r="Y911" s="79"/>
      <c r="AC911" s="130"/>
      <c r="AE911" s="106"/>
    </row>
    <row r="912">
      <c r="C912" s="79"/>
      <c r="D912" s="79"/>
      <c r="E912" s="79"/>
      <c r="P912" s="79"/>
      <c r="Q912" s="79"/>
      <c r="R912" s="79"/>
      <c r="Y912" s="79"/>
      <c r="AC912" s="130"/>
      <c r="AE912" s="106"/>
    </row>
    <row r="913">
      <c r="C913" s="79"/>
      <c r="D913" s="79"/>
      <c r="E913" s="79"/>
      <c r="P913" s="79"/>
      <c r="Q913" s="79"/>
      <c r="R913" s="79"/>
      <c r="Y913" s="79"/>
      <c r="AC913" s="130"/>
      <c r="AE913" s="106"/>
    </row>
    <row r="914">
      <c r="C914" s="79"/>
      <c r="D914" s="79"/>
      <c r="E914" s="79"/>
      <c r="P914" s="79"/>
      <c r="Q914" s="79"/>
      <c r="R914" s="79"/>
      <c r="Y914" s="79"/>
      <c r="AC914" s="130"/>
      <c r="AE914" s="106"/>
    </row>
    <row r="915">
      <c r="C915" s="79"/>
      <c r="D915" s="79"/>
      <c r="E915" s="79"/>
      <c r="P915" s="79"/>
      <c r="Q915" s="79"/>
      <c r="R915" s="79"/>
      <c r="Y915" s="79"/>
      <c r="AC915" s="130"/>
      <c r="AE915" s="106"/>
    </row>
    <row r="916">
      <c r="C916" s="79"/>
      <c r="D916" s="79"/>
      <c r="E916" s="79"/>
      <c r="P916" s="79"/>
      <c r="Q916" s="79"/>
      <c r="R916" s="79"/>
      <c r="Y916" s="79"/>
      <c r="AC916" s="130"/>
      <c r="AE916" s="106"/>
    </row>
    <row r="917">
      <c r="C917" s="79"/>
      <c r="D917" s="79"/>
      <c r="E917" s="79"/>
      <c r="P917" s="79"/>
      <c r="Q917" s="79"/>
      <c r="R917" s="79"/>
      <c r="Y917" s="79"/>
      <c r="AC917" s="130"/>
      <c r="AE917" s="106"/>
    </row>
    <row r="918">
      <c r="C918" s="79"/>
      <c r="D918" s="79"/>
      <c r="E918" s="79"/>
      <c r="P918" s="79"/>
      <c r="Q918" s="79"/>
      <c r="R918" s="79"/>
      <c r="Y918" s="79"/>
      <c r="AC918" s="130"/>
      <c r="AE918" s="106"/>
    </row>
    <row r="919">
      <c r="C919" s="79"/>
      <c r="D919" s="79"/>
      <c r="E919" s="79"/>
      <c r="P919" s="79"/>
      <c r="Q919" s="79"/>
      <c r="R919" s="79"/>
      <c r="Y919" s="79"/>
      <c r="AC919" s="130"/>
      <c r="AE919" s="106"/>
    </row>
    <row r="920">
      <c r="C920" s="79"/>
      <c r="D920" s="79"/>
      <c r="E920" s="79"/>
      <c r="P920" s="79"/>
      <c r="Q920" s="79"/>
      <c r="R920" s="79"/>
      <c r="Y920" s="79"/>
      <c r="AC920" s="130"/>
      <c r="AE920" s="106"/>
    </row>
    <row r="921">
      <c r="C921" s="79"/>
      <c r="D921" s="79"/>
      <c r="E921" s="79"/>
      <c r="P921" s="79"/>
      <c r="Q921" s="79"/>
      <c r="R921" s="79"/>
      <c r="Y921" s="79"/>
      <c r="AC921" s="130"/>
      <c r="AE921" s="106"/>
    </row>
    <row r="922">
      <c r="C922" s="79"/>
      <c r="D922" s="79"/>
      <c r="E922" s="79"/>
      <c r="P922" s="79"/>
      <c r="Q922" s="79"/>
      <c r="R922" s="79"/>
      <c r="Y922" s="79"/>
      <c r="AC922" s="130"/>
      <c r="AE922" s="106"/>
    </row>
    <row r="923">
      <c r="C923" s="79"/>
      <c r="D923" s="79"/>
      <c r="E923" s="79"/>
      <c r="P923" s="79"/>
      <c r="Q923" s="79"/>
      <c r="R923" s="79"/>
      <c r="Y923" s="79"/>
      <c r="AC923" s="130"/>
      <c r="AE923" s="106"/>
    </row>
  </sheetData>
  <mergeCells count="1">
    <mergeCell ref="B34:E34"/>
  </mergeCells>
  <drawing r:id="rId2"/>
  <legacyDrawing r:id="rId3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6.5"/>
    <col customWidth="1" min="3" max="3" width="14.88"/>
    <col customWidth="1" min="5" max="5" width="15.63"/>
    <col customWidth="1" min="7" max="7" width="13.5"/>
    <col customWidth="1" min="8" max="8" width="13.25"/>
    <col customWidth="1" min="18" max="18" width="27.38"/>
    <col customWidth="1" min="26" max="26" width="14.63"/>
    <col customWidth="1" min="31" max="31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4</v>
      </c>
      <c r="J1" s="2" t="s">
        <v>5</v>
      </c>
      <c r="K1" s="2" t="s">
        <v>303</v>
      </c>
      <c r="L1" s="2" t="s">
        <v>6</v>
      </c>
      <c r="M1" s="2" t="s">
        <v>12</v>
      </c>
      <c r="N1" s="2" t="s">
        <v>49</v>
      </c>
      <c r="O1" s="2" t="s">
        <v>42</v>
      </c>
      <c r="P1" s="105" t="s">
        <v>11</v>
      </c>
      <c r="Q1" s="105" t="s">
        <v>9</v>
      </c>
      <c r="R1" s="105" t="s">
        <v>304</v>
      </c>
      <c r="S1" s="2" t="s">
        <v>37</v>
      </c>
      <c r="T1" s="2" t="s">
        <v>10</v>
      </c>
      <c r="U1" s="2" t="s">
        <v>164</v>
      </c>
      <c r="V1" s="105" t="s">
        <v>40</v>
      </c>
      <c r="W1" s="2" t="s">
        <v>121</v>
      </c>
      <c r="X1" s="2" t="s">
        <v>204</v>
      </c>
      <c r="Y1" s="105" t="s">
        <v>205</v>
      </c>
      <c r="Z1" s="2" t="s">
        <v>206</v>
      </c>
      <c r="AA1" s="2" t="s">
        <v>305</v>
      </c>
      <c r="AB1" s="3" t="s">
        <v>13</v>
      </c>
      <c r="AC1" s="3" t="s">
        <v>14</v>
      </c>
      <c r="AD1" s="3" t="s">
        <v>15</v>
      </c>
      <c r="AE1" s="106"/>
      <c r="AF1" s="265" t="s">
        <v>306</v>
      </c>
      <c r="AG1" s="266" t="s">
        <v>80</v>
      </c>
    </row>
    <row r="2">
      <c r="A2" s="74">
        <v>45432.0</v>
      </c>
      <c r="B2" s="93">
        <f>586.99-117.56+1136.37-93.68-90.24-46.58-55.78-231.12</f>
        <v>1088.4</v>
      </c>
      <c r="C2" s="93"/>
      <c r="D2" s="193">
        <v>71.5</v>
      </c>
      <c r="E2" s="93"/>
      <c r="F2" s="93"/>
      <c r="G2" s="93">
        <v>180.0</v>
      </c>
      <c r="H2" s="93"/>
      <c r="I2" s="93"/>
      <c r="J2" s="93"/>
      <c r="K2" s="93"/>
      <c r="L2" s="93"/>
      <c r="M2" s="93"/>
      <c r="N2" s="93">
        <v>168.0</v>
      </c>
      <c r="O2" s="93"/>
      <c r="P2" s="93">
        <v>57.05</v>
      </c>
      <c r="Q2" s="93"/>
      <c r="R2" s="93"/>
      <c r="S2" s="72"/>
      <c r="T2" s="93"/>
      <c r="U2" s="93"/>
      <c r="V2" s="93"/>
      <c r="W2" s="93"/>
      <c r="X2" s="93"/>
      <c r="Y2" s="93"/>
      <c r="Z2" s="93"/>
      <c r="AA2" s="171"/>
      <c r="AB2" s="107">
        <f t="shared" ref="AB2:AB8" si="1">SUM(B2:Z2)</f>
        <v>1564.95</v>
      </c>
      <c r="AC2" s="158">
        <v>8708.0</v>
      </c>
      <c r="AD2" s="59">
        <f t="shared" ref="AD2:AD8" si="2">AB2/AC2</f>
        <v>0.179714056</v>
      </c>
      <c r="AE2" s="109">
        <f t="shared" ref="AE2:AE8" si="3">A2</f>
        <v>45432</v>
      </c>
      <c r="AF2" s="267">
        <v>8708.0</v>
      </c>
      <c r="AG2" s="268">
        <f t="shared" ref="AG2:AG8" si="4">AC2-AF2</f>
        <v>0</v>
      </c>
    </row>
    <row r="3">
      <c r="A3" s="74">
        <f t="shared" ref="A3:A8" si="5">A2+1</f>
        <v>45433</v>
      </c>
      <c r="B3" s="93">
        <f>1620.73-20.9-37.62-27.83-25.76-252.46</f>
        <v>1256.16</v>
      </c>
      <c r="C3" s="93">
        <f>1472.78-24.5-54-25-150</f>
        <v>1219.28</v>
      </c>
      <c r="D3" s="93">
        <f>750.79-261.1</f>
        <v>489.69</v>
      </c>
      <c r="E3" s="93"/>
      <c r="F3" s="93"/>
      <c r="G3" s="93"/>
      <c r="H3" s="93"/>
      <c r="I3" s="93">
        <v>373.97</v>
      </c>
      <c r="J3" s="93">
        <f>1133.3-198-167.5-284</f>
        <v>483.8</v>
      </c>
      <c r="K3" s="93"/>
      <c r="L3" s="93"/>
      <c r="M3" s="93"/>
      <c r="N3" s="93">
        <v>300.0</v>
      </c>
      <c r="O3" s="93"/>
      <c r="P3" s="93"/>
      <c r="Q3" s="5"/>
      <c r="R3" s="93"/>
      <c r="S3" s="93"/>
      <c r="T3" s="93"/>
      <c r="U3" s="93"/>
      <c r="V3" s="93"/>
      <c r="W3" s="93"/>
      <c r="X3" s="93"/>
      <c r="Y3" s="93"/>
      <c r="Z3" s="93"/>
      <c r="AA3" s="171"/>
      <c r="AB3" s="107">
        <f t="shared" si="1"/>
        <v>4122.9</v>
      </c>
      <c r="AC3" s="158">
        <v>4913.0</v>
      </c>
      <c r="AD3" s="59">
        <f t="shared" si="2"/>
        <v>0.8391817627</v>
      </c>
      <c r="AE3" s="109">
        <f t="shared" si="3"/>
        <v>45433</v>
      </c>
      <c r="AF3" s="267">
        <v>4913.0</v>
      </c>
      <c r="AG3" s="268">
        <f t="shared" si="4"/>
        <v>0</v>
      </c>
    </row>
    <row r="4">
      <c r="A4" s="74">
        <f t="shared" si="5"/>
        <v>45434</v>
      </c>
      <c r="B4" s="93">
        <f>964.11-120-123.4-24.91-8.67-52.31</f>
        <v>634.82</v>
      </c>
      <c r="C4" s="93"/>
      <c r="D4" s="250">
        <v>329.11</v>
      </c>
      <c r="E4" s="93"/>
      <c r="F4" s="93"/>
      <c r="G4" s="93">
        <v>180.0</v>
      </c>
      <c r="H4" s="93"/>
      <c r="I4" s="93"/>
      <c r="J4" s="93">
        <f>852.5-190</f>
        <v>662.5</v>
      </c>
      <c r="K4" s="93"/>
      <c r="L4" s="93">
        <v>42.0</v>
      </c>
      <c r="M4" s="93"/>
      <c r="N4" s="93"/>
      <c r="O4" s="93"/>
      <c r="P4" s="93">
        <v>57.05</v>
      </c>
      <c r="Q4" s="5"/>
      <c r="R4" s="93">
        <v>152.0</v>
      </c>
      <c r="S4" s="160"/>
      <c r="T4" s="93"/>
      <c r="U4" s="93"/>
      <c r="V4" s="93"/>
      <c r="W4" s="93"/>
      <c r="X4" s="93"/>
      <c r="Y4" s="93"/>
      <c r="Z4" s="101"/>
      <c r="AA4" s="171"/>
      <c r="AB4" s="107">
        <f t="shared" si="1"/>
        <v>2057.48</v>
      </c>
      <c r="AC4" s="97">
        <f>434+6451.8</f>
        <v>6885.8</v>
      </c>
      <c r="AD4" s="59">
        <f t="shared" si="2"/>
        <v>0.2988004299</v>
      </c>
      <c r="AE4" s="109">
        <f t="shared" si="3"/>
        <v>45434</v>
      </c>
      <c r="AF4" s="267">
        <v>6885.8</v>
      </c>
      <c r="AG4" s="268">
        <f t="shared" si="4"/>
        <v>0</v>
      </c>
    </row>
    <row r="5">
      <c r="A5" s="74">
        <f t="shared" si="5"/>
        <v>45435</v>
      </c>
      <c r="B5" s="93">
        <f>1353.81-104.52-69.84-20.59-34.26-718.58-33.91</f>
        <v>372.11</v>
      </c>
      <c r="C5" s="93">
        <v>447.95</v>
      </c>
      <c r="D5" s="93">
        <f>369.66-229.43</f>
        <v>140.23</v>
      </c>
      <c r="E5" s="93"/>
      <c r="F5" s="180">
        <v>669.86</v>
      </c>
      <c r="G5" s="93"/>
      <c r="H5" s="160"/>
      <c r="I5" s="93"/>
      <c r="J5" s="93"/>
      <c r="K5" s="93"/>
      <c r="L5" s="93"/>
      <c r="M5" s="93"/>
      <c r="N5" s="93"/>
      <c r="O5" s="93"/>
      <c r="P5" s="101"/>
      <c r="Q5" s="5"/>
      <c r="R5" s="93"/>
      <c r="S5" s="93"/>
      <c r="T5" s="93"/>
      <c r="U5" s="93"/>
      <c r="V5" s="93"/>
      <c r="W5" s="93"/>
      <c r="X5" s="93"/>
      <c r="Y5" s="101"/>
      <c r="Z5" s="101"/>
      <c r="AA5" s="270"/>
      <c r="AB5" s="7">
        <f t="shared" si="1"/>
        <v>1630.15</v>
      </c>
      <c r="AC5" s="97">
        <v>4019</v>
      </c>
      <c r="AD5" s="59">
        <f t="shared" si="2"/>
        <v>0.4056108485</v>
      </c>
      <c r="AE5" s="109">
        <f t="shared" si="3"/>
        <v>45435</v>
      </c>
      <c r="AF5" s="267">
        <v>4019.0</v>
      </c>
      <c r="AG5" s="268">
        <f t="shared" si="4"/>
        <v>0</v>
      </c>
    </row>
    <row r="6">
      <c r="A6" s="74">
        <f t="shared" si="5"/>
        <v>45436</v>
      </c>
      <c r="B6" s="93">
        <f>713.01</f>
        <v>713.01</v>
      </c>
      <c r="C6" s="93">
        <v>278.6</v>
      </c>
      <c r="D6" s="93"/>
      <c r="E6" s="250">
        <v>35.5</v>
      </c>
      <c r="F6" s="93"/>
      <c r="G6" s="93"/>
      <c r="H6" s="160"/>
      <c r="I6" s="93"/>
      <c r="J6" s="93"/>
      <c r="K6" s="93"/>
      <c r="L6" s="93">
        <f>166.4-123</f>
        <v>43.4</v>
      </c>
      <c r="M6" s="93">
        <f>121.64-73.84</f>
        <v>47.8</v>
      </c>
      <c r="N6" s="93"/>
      <c r="O6" s="93"/>
      <c r="P6" s="93">
        <v>57.05</v>
      </c>
      <c r="Q6" s="93"/>
      <c r="R6" s="93"/>
      <c r="S6" s="93"/>
      <c r="T6" s="93"/>
      <c r="U6" s="93"/>
      <c r="V6" s="93"/>
      <c r="W6" s="93"/>
      <c r="X6" s="93"/>
      <c r="Y6" s="93"/>
      <c r="Z6" s="93"/>
      <c r="AA6" s="270"/>
      <c r="AB6" s="7">
        <f t="shared" si="1"/>
        <v>1175.36</v>
      </c>
      <c r="AC6" s="97">
        <f>310+8545</f>
        <v>8855</v>
      </c>
      <c r="AD6" s="59">
        <f t="shared" si="2"/>
        <v>0.1327340486</v>
      </c>
      <c r="AE6" s="109">
        <f t="shared" si="3"/>
        <v>45436</v>
      </c>
      <c r="AF6" s="267">
        <v>8855.0</v>
      </c>
      <c r="AG6" s="268">
        <f t="shared" si="4"/>
        <v>0</v>
      </c>
    </row>
    <row r="7">
      <c r="A7" s="74">
        <f t="shared" si="5"/>
        <v>45437</v>
      </c>
      <c r="B7" s="93">
        <v>1012.0</v>
      </c>
      <c r="C7" s="93"/>
      <c r="D7" s="93">
        <f>289.05-247.05</f>
        <v>42</v>
      </c>
      <c r="E7" s="93"/>
      <c r="F7" s="93"/>
      <c r="G7" s="93">
        <v>180.0</v>
      </c>
      <c r="H7" s="79"/>
      <c r="I7" s="93"/>
      <c r="J7" s="93"/>
      <c r="K7" s="93"/>
      <c r="L7" s="93"/>
      <c r="M7" s="93"/>
      <c r="N7" s="93"/>
      <c r="O7" s="93"/>
      <c r="P7" s="101"/>
      <c r="Q7" s="93"/>
      <c r="R7" s="93"/>
      <c r="S7" s="101"/>
      <c r="T7" s="93"/>
      <c r="U7" s="93"/>
      <c r="V7" s="93"/>
      <c r="W7" s="93"/>
      <c r="X7" s="93"/>
      <c r="Y7" s="101"/>
      <c r="Z7" s="93"/>
      <c r="AA7" s="270"/>
      <c r="AB7" s="7">
        <f t="shared" si="1"/>
        <v>1234</v>
      </c>
      <c r="AC7" s="97">
        <v>10803</v>
      </c>
      <c r="AD7" s="59">
        <f t="shared" si="2"/>
        <v>0.1142275294</v>
      </c>
      <c r="AE7" s="109">
        <f t="shared" si="3"/>
        <v>45437</v>
      </c>
      <c r="AF7" s="267">
        <v>10803.4</v>
      </c>
      <c r="AG7" s="268">
        <f t="shared" si="4"/>
        <v>-0.4</v>
      </c>
    </row>
    <row r="8">
      <c r="A8" s="74">
        <f t="shared" si="5"/>
        <v>45438</v>
      </c>
      <c r="B8" s="93"/>
      <c r="C8" s="93"/>
      <c r="D8" s="180">
        <v>624.38</v>
      </c>
      <c r="E8" s="112"/>
      <c r="F8" s="93"/>
      <c r="G8" s="10"/>
      <c r="H8" s="93"/>
      <c r="I8" s="93"/>
      <c r="J8" s="93"/>
      <c r="K8" s="180">
        <v>580.0</v>
      </c>
      <c r="L8" s="112"/>
      <c r="M8" s="10"/>
      <c r="N8" s="10"/>
      <c r="O8" s="93"/>
      <c r="P8" s="10"/>
      <c r="Q8" s="10"/>
      <c r="R8" s="112"/>
      <c r="S8" s="180">
        <v>400.0</v>
      </c>
      <c r="T8" s="112"/>
      <c r="U8" s="93"/>
      <c r="V8" s="112"/>
      <c r="W8" s="112"/>
      <c r="X8" s="112"/>
      <c r="Y8" s="10"/>
      <c r="Z8" s="10"/>
      <c r="AA8" s="93"/>
      <c r="AB8" s="7">
        <f t="shared" si="1"/>
        <v>1604.38</v>
      </c>
      <c r="AC8" s="97">
        <v>8099.8</v>
      </c>
      <c r="AD8" s="59">
        <f t="shared" si="2"/>
        <v>0.1980764957</v>
      </c>
      <c r="AE8" s="109">
        <f t="shared" si="3"/>
        <v>45438</v>
      </c>
      <c r="AF8" s="267">
        <v>8099.8</v>
      </c>
      <c r="AG8" s="268">
        <f t="shared" si="4"/>
        <v>0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AC9" s="129"/>
      <c r="AE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AC10" s="129"/>
      <c r="AE10" s="106"/>
    </row>
    <row r="11">
      <c r="A11" s="165" t="s">
        <v>194</v>
      </c>
      <c r="B11" s="93">
        <f>117.56+90.24+46.58+55.78+20.9+37.62+27.83+25.76+120+123.4+24.91+8.67+52.31</f>
        <v>751.56</v>
      </c>
      <c r="C11" s="93">
        <f t="shared" ref="C11:C12" si="6">24.5+150</f>
        <v>174.5</v>
      </c>
      <c r="D11" s="93">
        <f>229.43+247.05</f>
        <v>476.48</v>
      </c>
      <c r="E11" s="167"/>
      <c r="F11" s="168"/>
      <c r="G11" s="168"/>
      <c r="H11" s="166"/>
      <c r="I11" s="166"/>
      <c r="J11" s="93"/>
      <c r="K11" s="168"/>
      <c r="L11" s="93">
        <v>123.0</v>
      </c>
      <c r="M11" s="166">
        <v>73.84</v>
      </c>
      <c r="N11" s="166"/>
      <c r="O11" s="168"/>
      <c r="P11" s="168"/>
      <c r="Q11" s="1"/>
      <c r="R11" s="1"/>
      <c r="S11" s="1"/>
      <c r="T11" s="1"/>
      <c r="U11" s="1"/>
      <c r="V11" s="1"/>
      <c r="W11" s="1"/>
      <c r="X11" s="168"/>
      <c r="Y11" s="168"/>
      <c r="Z11" s="1"/>
      <c r="AA11" s="1"/>
      <c r="AB11" s="1"/>
      <c r="AC11" s="169"/>
      <c r="AD11" s="1"/>
      <c r="AE11" s="170"/>
    </row>
    <row r="12">
      <c r="A12" s="165" t="s">
        <v>195</v>
      </c>
      <c r="B12" s="93">
        <f>93.68+231.12+104.52+69.84+20.59+34.26+718.58+33.91</f>
        <v>1306.5</v>
      </c>
      <c r="C12" s="93">
        <f t="shared" si="6"/>
        <v>174.5</v>
      </c>
      <c r="D12" s="93">
        <v>261.1</v>
      </c>
      <c r="E12" s="93"/>
      <c r="F12" s="93"/>
      <c r="G12" s="93"/>
      <c r="H12" s="93"/>
      <c r="I12" s="93"/>
      <c r="J12" s="93">
        <f>198+190</f>
        <v>388</v>
      </c>
      <c r="K12" s="93"/>
      <c r="L12" s="93"/>
      <c r="M12" s="93"/>
      <c r="N12" s="166">
        <v>300.0</v>
      </c>
      <c r="O12" s="166"/>
      <c r="P12" s="168"/>
      <c r="Q12" s="168"/>
      <c r="R12" s="168"/>
      <c r="S12" s="1"/>
      <c r="T12" s="96"/>
      <c r="U12" s="1"/>
      <c r="V12" s="1"/>
      <c r="W12" s="1"/>
      <c r="X12" s="93"/>
      <c r="Y12" s="168"/>
      <c r="Z12" s="1"/>
      <c r="AA12" s="1"/>
      <c r="AB12" s="1"/>
      <c r="AC12" s="171"/>
      <c r="AD12" s="1"/>
      <c r="AE12" s="170"/>
    </row>
    <row r="13">
      <c r="A13" s="165" t="s">
        <v>198</v>
      </c>
      <c r="B13" s="93"/>
      <c r="C13" s="93"/>
      <c r="D13" s="93"/>
      <c r="E13" s="168"/>
      <c r="F13" s="166"/>
      <c r="G13" s="166"/>
      <c r="H13" s="168"/>
      <c r="I13" s="168"/>
      <c r="J13" s="93">
        <v>167.5</v>
      </c>
      <c r="K13" s="168"/>
      <c r="L13" s="168"/>
      <c r="M13" s="168"/>
      <c r="N13" s="166"/>
      <c r="O13" s="168"/>
      <c r="P13" s="168"/>
      <c r="Q13" s="168"/>
      <c r="R13" s="168"/>
      <c r="S13" s="1"/>
      <c r="T13" s="96"/>
      <c r="U13" s="1"/>
      <c r="V13" s="1"/>
      <c r="W13" s="1"/>
      <c r="X13" s="168"/>
      <c r="Y13" s="168"/>
      <c r="Z13" s="1"/>
      <c r="AA13" s="1"/>
      <c r="AB13" s="1"/>
      <c r="AC13" s="174"/>
      <c r="AD13" s="1"/>
      <c r="AE13" s="170"/>
    </row>
    <row r="14">
      <c r="A14" s="91"/>
      <c r="B14" s="92"/>
      <c r="C14" s="79"/>
      <c r="D14" s="79"/>
      <c r="E14" s="79"/>
      <c r="F14" s="78"/>
      <c r="G14" s="78"/>
      <c r="H14" s="78"/>
      <c r="I14" s="78"/>
      <c r="L14" s="79"/>
      <c r="M14" s="79"/>
      <c r="N14" s="79"/>
      <c r="O14" s="79"/>
      <c r="P14" s="79"/>
      <c r="Q14" s="79"/>
      <c r="R14" s="79"/>
      <c r="Y14" s="79"/>
      <c r="AC14" s="131"/>
      <c r="AE14" s="106"/>
    </row>
    <row r="15">
      <c r="A15" s="91"/>
      <c r="B15" s="92"/>
      <c r="C15" s="78"/>
      <c r="D15" s="78"/>
      <c r="E15" s="78"/>
      <c r="F15" s="198"/>
      <c r="G15" s="198"/>
      <c r="H15" s="204"/>
      <c r="I15" s="198"/>
      <c r="J15" s="201"/>
      <c r="K15" s="199"/>
      <c r="L15" s="199"/>
      <c r="M15" s="200"/>
      <c r="N15" s="202"/>
      <c r="O15" s="198"/>
      <c r="P15" s="79"/>
      <c r="Q15" s="198"/>
      <c r="R15" s="198"/>
      <c r="U15" s="198"/>
      <c r="V15" s="198"/>
      <c r="W15" s="198"/>
      <c r="X15" s="199"/>
      <c r="Y15" s="79"/>
      <c r="AC15" s="131"/>
      <c r="AE15" s="106"/>
    </row>
    <row r="16">
      <c r="A16" s="4" t="s">
        <v>22</v>
      </c>
      <c r="B16" s="11">
        <v>10000.0</v>
      </c>
      <c r="C16" s="79"/>
      <c r="D16" s="79"/>
      <c r="E16" s="78"/>
      <c r="F16" s="198"/>
      <c r="G16" s="213"/>
      <c r="H16" s="201"/>
      <c r="K16" s="201"/>
      <c r="L16" s="201"/>
      <c r="M16" s="198"/>
      <c r="N16" s="200"/>
      <c r="O16" s="203"/>
      <c r="P16" s="79"/>
      <c r="Q16" s="198"/>
      <c r="R16" s="198"/>
      <c r="S16" s="204"/>
      <c r="U16" s="198"/>
      <c r="V16" s="198"/>
      <c r="W16" s="198"/>
      <c r="X16" s="201"/>
      <c r="Y16" s="79"/>
      <c r="AC16" s="131"/>
      <c r="AE16" s="106"/>
    </row>
    <row r="17">
      <c r="A17" s="4" t="s">
        <v>23</v>
      </c>
      <c r="B17" s="12">
        <f>SUM(B2:Z8)</f>
        <v>13389.22</v>
      </c>
      <c r="C17" s="192"/>
      <c r="D17" s="177"/>
      <c r="E17" s="78">
        <f>718/2</f>
        <v>359</v>
      </c>
      <c r="F17" s="224">
        <f>F5/2</f>
        <v>334.93</v>
      </c>
      <c r="G17" s="213"/>
      <c r="H17" s="151"/>
      <c r="I17" s="203"/>
      <c r="K17" s="191"/>
      <c r="L17" s="201"/>
      <c r="M17" s="201"/>
      <c r="N17" s="201"/>
      <c r="O17" s="203"/>
      <c r="P17" s="79"/>
      <c r="Q17" s="198"/>
      <c r="R17" s="198"/>
      <c r="S17" s="204"/>
      <c r="U17" s="198"/>
      <c r="V17" s="198"/>
      <c r="W17" s="198"/>
      <c r="X17" s="191"/>
      <c r="Y17" s="79"/>
      <c r="AC17" s="131"/>
      <c r="AE17" s="106"/>
    </row>
    <row r="18">
      <c r="A18" s="4" t="s">
        <v>24</v>
      </c>
      <c r="B18" s="12">
        <f> SUM(B16-B17)</f>
        <v>-3389.22</v>
      </c>
      <c r="C18" s="79"/>
      <c r="D18" s="79"/>
      <c r="E18" s="78"/>
      <c r="F18" s="201"/>
      <c r="G18" s="201"/>
      <c r="H18" s="214"/>
      <c r="I18" s="203"/>
      <c r="K18" s="203"/>
      <c r="L18" s="199"/>
      <c r="M18" s="203"/>
      <c r="N18" s="200"/>
      <c r="O18" s="203"/>
      <c r="P18" s="79"/>
      <c r="Q18" s="198"/>
      <c r="R18" s="198"/>
      <c r="S18" s="204"/>
      <c r="U18" s="198"/>
      <c r="V18" s="198"/>
      <c r="W18" s="198"/>
      <c r="X18" s="203"/>
      <c r="Y18" s="79"/>
      <c r="AC18" s="131"/>
      <c r="AE18" s="106"/>
    </row>
    <row r="19">
      <c r="C19" s="293"/>
      <c r="D19" s="79"/>
      <c r="E19" s="78"/>
      <c r="F19" s="213"/>
      <c r="G19" s="147"/>
      <c r="H19" s="214"/>
      <c r="I19" s="203"/>
      <c r="J19" s="203"/>
      <c r="K19" s="203"/>
      <c r="M19" s="201"/>
      <c r="N19" s="198"/>
      <c r="O19" s="203"/>
      <c r="P19" s="79"/>
      <c r="Q19" s="198"/>
      <c r="R19" s="198"/>
      <c r="S19" s="204"/>
      <c r="U19" s="206"/>
      <c r="V19" s="198"/>
      <c r="W19" s="198"/>
      <c r="X19" s="203"/>
      <c r="Y19" s="79"/>
      <c r="AC19" s="131"/>
      <c r="AE19" s="106"/>
    </row>
    <row r="20">
      <c r="A20" s="13" t="s">
        <v>25</v>
      </c>
      <c r="B20" s="14">
        <f>SUM(AC2:AC8)</f>
        <v>52283.6</v>
      </c>
      <c r="C20" s="294"/>
      <c r="D20" s="79"/>
      <c r="E20" s="78"/>
      <c r="F20" s="201"/>
      <c r="G20" s="262"/>
      <c r="H20" s="262"/>
      <c r="I20" s="203"/>
      <c r="J20" s="78"/>
      <c r="K20" s="203"/>
      <c r="L20" s="203"/>
      <c r="M20" s="201"/>
      <c r="N20" s="198"/>
      <c r="O20" s="203"/>
      <c r="P20" s="79"/>
      <c r="Q20" s="198"/>
      <c r="R20" s="198"/>
      <c r="S20" s="204"/>
      <c r="U20" s="198"/>
      <c r="V20" s="198"/>
      <c r="W20" s="198"/>
      <c r="X20" s="203"/>
      <c r="Y20" s="79"/>
      <c r="AC20" s="181"/>
      <c r="AE20" s="106"/>
    </row>
    <row r="21">
      <c r="A21" s="13" t="s">
        <v>26</v>
      </c>
      <c r="B21" s="15">
        <f>B17/B20</f>
        <v>0.2560883336</v>
      </c>
      <c r="C21" s="295"/>
      <c r="D21" s="79"/>
      <c r="E21" s="78"/>
      <c r="F21" s="204"/>
      <c r="G21" s="78"/>
      <c r="H21" s="144"/>
      <c r="I21" s="203"/>
      <c r="J21" s="79"/>
      <c r="K21" s="203"/>
      <c r="L21" s="203"/>
      <c r="M21" s="201"/>
      <c r="N21" s="203"/>
      <c r="O21" s="203"/>
      <c r="P21" s="79"/>
      <c r="Q21" s="198"/>
      <c r="R21" s="198"/>
      <c r="S21" s="204"/>
      <c r="U21" s="198"/>
      <c r="V21" s="198"/>
      <c r="W21" s="198"/>
      <c r="X21" s="203"/>
      <c r="Y21" s="79"/>
      <c r="AC21" s="130"/>
      <c r="AE21" s="106"/>
    </row>
    <row r="22">
      <c r="C22" s="79"/>
      <c r="D22" s="79"/>
      <c r="E22" s="78"/>
      <c r="F22" s="204"/>
      <c r="G22" s="78"/>
      <c r="H22" s="78"/>
      <c r="I22" s="78"/>
      <c r="J22" s="78"/>
      <c r="K22" s="203"/>
      <c r="L22" s="203"/>
      <c r="M22" s="198"/>
      <c r="N22" s="201"/>
      <c r="O22" s="198"/>
      <c r="P22" s="79"/>
      <c r="Q22" s="198"/>
      <c r="R22" s="198"/>
      <c r="S22" s="204"/>
      <c r="U22" s="198"/>
      <c r="V22" s="198"/>
      <c r="W22" s="198"/>
      <c r="X22" s="203"/>
      <c r="Y22" s="79"/>
      <c r="AC22" s="182"/>
      <c r="AE22" s="106"/>
    </row>
    <row r="23">
      <c r="C23" s="79"/>
      <c r="D23" s="79"/>
      <c r="E23" s="79"/>
      <c r="F23" s="204"/>
      <c r="G23" s="78"/>
      <c r="H23" s="78"/>
      <c r="I23" s="212"/>
      <c r="J23" s="263"/>
      <c r="K23" s="203"/>
      <c r="L23" s="203"/>
      <c r="M23" s="198"/>
      <c r="N23" s="201"/>
      <c r="O23" s="198"/>
      <c r="P23" s="79"/>
      <c r="Q23" s="198"/>
      <c r="R23" s="198"/>
      <c r="S23" s="204"/>
      <c r="U23" s="198"/>
      <c r="V23" s="198"/>
      <c r="W23" s="198"/>
      <c r="X23" s="203"/>
      <c r="Y23" s="79"/>
      <c r="AC23" s="130"/>
      <c r="AE23" s="106"/>
    </row>
    <row r="24">
      <c r="A24" s="16" t="s">
        <v>27</v>
      </c>
      <c r="B24" s="17"/>
      <c r="C24" s="114"/>
      <c r="D24" s="114"/>
      <c r="E24" s="115"/>
      <c r="F24" s="204"/>
      <c r="G24" s="78"/>
      <c r="H24" s="78"/>
      <c r="I24" s="78"/>
      <c r="J24" s="79"/>
      <c r="K24" s="203"/>
      <c r="L24" s="217"/>
      <c r="M24" s="208"/>
      <c r="N24" s="198"/>
      <c r="O24" s="200"/>
      <c r="P24" s="79"/>
      <c r="Q24" s="198"/>
      <c r="R24" s="198"/>
      <c r="S24" s="204"/>
      <c r="U24" s="198"/>
      <c r="V24" s="198"/>
      <c r="W24" s="198"/>
      <c r="X24" s="203"/>
      <c r="Y24" s="79"/>
      <c r="AC24" s="130"/>
      <c r="AE24" s="106"/>
    </row>
    <row r="25">
      <c r="A25" s="19" t="s">
        <v>28</v>
      </c>
      <c r="B25" s="20"/>
      <c r="C25" s="116"/>
      <c r="D25" s="116"/>
      <c r="E25" s="117"/>
      <c r="F25" s="204"/>
      <c r="G25" s="78"/>
      <c r="H25" s="78"/>
      <c r="I25" s="79"/>
      <c r="J25" s="79"/>
      <c r="K25" s="203"/>
      <c r="L25" s="203"/>
      <c r="M25" s="209"/>
      <c r="N25" s="201"/>
      <c r="O25" s="198"/>
      <c r="P25" s="79"/>
      <c r="Q25" s="198"/>
      <c r="R25" s="198"/>
      <c r="S25" s="204"/>
      <c r="U25" s="198"/>
      <c r="V25" s="198"/>
      <c r="W25" s="198"/>
      <c r="X25" s="203"/>
      <c r="Y25" s="79"/>
      <c r="AC25" s="130"/>
      <c r="AE25" s="106"/>
    </row>
    <row r="26">
      <c r="A26" s="183" t="s">
        <v>29</v>
      </c>
      <c r="B26" s="184" t="s">
        <v>30</v>
      </c>
      <c r="C26" s="183"/>
      <c r="D26" s="183" t="s">
        <v>170</v>
      </c>
      <c r="E26" s="219" t="s">
        <v>171</v>
      </c>
      <c r="F26" s="204"/>
      <c r="G26" s="79"/>
      <c r="H26" s="79"/>
      <c r="I26" s="79"/>
      <c r="J26" s="79"/>
      <c r="K26" s="203"/>
      <c r="L26" s="201"/>
      <c r="M26" s="209"/>
      <c r="N26" s="198"/>
      <c r="O26" s="198"/>
      <c r="P26" s="79"/>
      <c r="Q26" s="198"/>
      <c r="R26" s="198"/>
      <c r="S26" s="204"/>
      <c r="U26" s="198"/>
      <c r="V26" s="198"/>
      <c r="W26" s="198"/>
      <c r="X26" s="203"/>
      <c r="Y26" s="79"/>
      <c r="AC26" s="130"/>
      <c r="AE26" s="106"/>
    </row>
    <row r="27">
      <c r="A27" s="221" t="s">
        <v>350</v>
      </c>
      <c r="B27" s="222">
        <v>772.44</v>
      </c>
      <c r="C27" s="223"/>
      <c r="D27" s="223"/>
      <c r="E27" s="221"/>
      <c r="P27" s="79"/>
      <c r="Q27" s="79"/>
      <c r="R27" s="79"/>
      <c r="Y27" s="79"/>
      <c r="AC27" s="130"/>
      <c r="AE27" s="106"/>
    </row>
    <row r="28">
      <c r="A28" s="234" t="s">
        <v>362</v>
      </c>
      <c r="B28" s="178">
        <v>252.46</v>
      </c>
      <c r="C28" s="235"/>
      <c r="D28" s="235"/>
      <c r="E28" s="234"/>
      <c r="P28" s="79"/>
      <c r="Q28" s="79"/>
      <c r="R28" s="79"/>
      <c r="Y28" s="79"/>
      <c r="AC28" s="130"/>
      <c r="AE28" s="106"/>
    </row>
    <row r="29">
      <c r="A29" s="234" t="s">
        <v>363</v>
      </c>
      <c r="B29" s="178">
        <f>324.1+84</f>
        <v>408.1</v>
      </c>
      <c r="C29" s="235"/>
      <c r="D29" s="235"/>
      <c r="E29" s="234"/>
      <c r="P29" s="79"/>
      <c r="Q29" s="79"/>
      <c r="R29" s="79"/>
      <c r="Y29" s="79"/>
      <c r="AC29" s="130"/>
      <c r="AE29" s="106"/>
    </row>
    <row r="30">
      <c r="A30" s="234" t="s">
        <v>364</v>
      </c>
      <c r="B30" s="178">
        <f>569.8/2</f>
        <v>284.9</v>
      </c>
      <c r="C30" s="235"/>
      <c r="D30" s="235"/>
      <c r="E30" s="234"/>
      <c r="P30" s="79"/>
      <c r="Q30" s="79"/>
      <c r="R30" s="79"/>
      <c r="Y30" s="79"/>
      <c r="AC30" s="130"/>
      <c r="AE30" s="106"/>
    </row>
    <row r="31">
      <c r="A31" s="234" t="s">
        <v>365</v>
      </c>
      <c r="B31" s="178">
        <v>252.0</v>
      </c>
      <c r="C31" s="235"/>
      <c r="D31" s="235"/>
      <c r="E31" s="234"/>
      <c r="P31" s="79"/>
      <c r="Q31" s="79"/>
      <c r="R31" s="79"/>
      <c r="Y31" s="79"/>
      <c r="AC31" s="130"/>
      <c r="AE31" s="106"/>
    </row>
    <row r="32">
      <c r="A32" s="234" t="s">
        <v>366</v>
      </c>
      <c r="B32" s="178">
        <v>1793.61</v>
      </c>
      <c r="C32" s="235"/>
      <c r="D32" s="235"/>
      <c r="E32" s="234"/>
      <c r="P32" s="79"/>
      <c r="Q32" s="79"/>
      <c r="R32" s="79"/>
      <c r="Y32" s="79"/>
      <c r="AC32" s="130"/>
      <c r="AE32" s="106"/>
    </row>
    <row r="33">
      <c r="A33" s="234" t="s">
        <v>367</v>
      </c>
      <c r="B33" s="178">
        <v>852.29</v>
      </c>
      <c r="C33" s="235"/>
      <c r="D33" s="235"/>
      <c r="E33" s="234"/>
      <c r="P33" s="79"/>
      <c r="Q33" s="79"/>
      <c r="R33" s="79"/>
      <c r="Y33" s="79"/>
      <c r="AC33" s="130"/>
      <c r="AE33" s="106"/>
    </row>
    <row r="34">
      <c r="A34" s="234" t="s">
        <v>368</v>
      </c>
      <c r="B34" s="178">
        <v>285.32</v>
      </c>
      <c r="C34" s="235"/>
      <c r="D34" s="235"/>
      <c r="E34" s="234"/>
      <c r="P34" s="79"/>
      <c r="Q34" s="79"/>
      <c r="R34" s="79"/>
      <c r="Y34" s="79"/>
      <c r="AC34" s="130"/>
      <c r="AE34" s="106"/>
    </row>
    <row r="35">
      <c r="A35" s="234" t="s">
        <v>369</v>
      </c>
      <c r="B35" s="178">
        <f>131+203.8</f>
        <v>334.8</v>
      </c>
      <c r="C35" s="235"/>
      <c r="D35" s="235"/>
      <c r="E35" s="234"/>
      <c r="P35" s="79"/>
      <c r="Q35" s="79"/>
      <c r="R35" s="79"/>
      <c r="Y35" s="79"/>
      <c r="AC35" s="130"/>
      <c r="AE35" s="106"/>
    </row>
    <row r="36">
      <c r="C36" s="79"/>
      <c r="D36" s="79"/>
      <c r="E36" s="79"/>
      <c r="P36" s="79"/>
      <c r="Q36" s="79"/>
      <c r="R36" s="79"/>
      <c r="Y36" s="79"/>
      <c r="AC36" s="130"/>
      <c r="AE36" s="106"/>
    </row>
    <row r="37">
      <c r="A37" s="274"/>
      <c r="B37" s="275" t="s">
        <v>315</v>
      </c>
      <c r="F37" s="274"/>
      <c r="G37" s="274"/>
      <c r="H37" s="274"/>
      <c r="I37" s="274"/>
      <c r="J37" s="274"/>
      <c r="K37" s="274"/>
      <c r="L37" s="274"/>
      <c r="M37" s="274"/>
      <c r="N37" s="274"/>
      <c r="O37" s="274"/>
      <c r="P37" s="274"/>
      <c r="Q37" s="274"/>
      <c r="R37" s="274"/>
      <c r="S37" s="274"/>
      <c r="T37" s="274"/>
      <c r="U37" s="274"/>
      <c r="V37" s="274"/>
      <c r="W37" s="274"/>
      <c r="X37" s="274"/>
      <c r="Y37" s="274"/>
      <c r="Z37" s="274"/>
      <c r="AA37" s="274"/>
      <c r="AB37" s="274"/>
      <c r="AC37" s="276"/>
      <c r="AD37" s="274"/>
      <c r="AE37" s="277"/>
      <c r="AF37" s="274"/>
      <c r="AG37" s="274"/>
      <c r="AH37" s="274"/>
    </row>
    <row r="38">
      <c r="A38" s="16" t="s">
        <v>316</v>
      </c>
      <c r="B38" s="17"/>
      <c r="C38" s="114"/>
      <c r="D38" s="114"/>
      <c r="E38" s="115"/>
      <c r="P38" s="79"/>
      <c r="Q38" s="79"/>
      <c r="R38" s="79"/>
      <c r="Y38" s="79"/>
      <c r="AC38" s="130"/>
      <c r="AE38" s="106"/>
    </row>
    <row r="39">
      <c r="A39" s="19" t="s">
        <v>317</v>
      </c>
      <c r="B39" s="20"/>
      <c r="C39" s="116"/>
      <c r="D39" s="116"/>
      <c r="E39" s="117"/>
      <c r="P39" s="79"/>
      <c r="Q39" s="79"/>
      <c r="R39" s="79"/>
      <c r="Y39" s="79"/>
      <c r="AC39" s="130"/>
      <c r="AE39" s="106"/>
    </row>
    <row r="40">
      <c r="A40" s="278" t="s">
        <v>318</v>
      </c>
      <c r="B40" s="279" t="s">
        <v>319</v>
      </c>
      <c r="C40" s="280" t="s">
        <v>285</v>
      </c>
      <c r="D40" s="280" t="s">
        <v>30</v>
      </c>
      <c r="E40" s="281" t="s">
        <v>320</v>
      </c>
      <c r="F40" s="281" t="s">
        <v>321</v>
      </c>
      <c r="P40" s="79"/>
      <c r="Q40" s="79"/>
      <c r="R40" s="79"/>
      <c r="Y40" s="79"/>
      <c r="AC40" s="130"/>
      <c r="AE40" s="106"/>
    </row>
    <row r="41">
      <c r="A41" s="296" t="s">
        <v>360</v>
      </c>
      <c r="B41" s="297">
        <v>45434.0</v>
      </c>
      <c r="C41" s="298" t="s">
        <v>111</v>
      </c>
      <c r="D41" s="299">
        <v>1160.0</v>
      </c>
      <c r="E41" s="300" t="s">
        <v>361</v>
      </c>
      <c r="F41" s="301">
        <f t="shared" ref="F41:F42" si="7">D41/2</f>
        <v>580</v>
      </c>
      <c r="P41" s="79"/>
      <c r="Q41" s="79"/>
      <c r="R41" s="79"/>
      <c r="Y41" s="79"/>
      <c r="AC41" s="130"/>
      <c r="AE41" s="106"/>
    </row>
    <row r="42">
      <c r="A42" s="296" t="s">
        <v>330</v>
      </c>
      <c r="B42" s="302">
        <v>45422.0</v>
      </c>
      <c r="C42" s="298" t="s">
        <v>331</v>
      </c>
      <c r="D42" s="299">
        <v>800.0</v>
      </c>
      <c r="E42" s="303" t="s">
        <v>332</v>
      </c>
      <c r="F42" s="301">
        <f t="shared" si="7"/>
        <v>400</v>
      </c>
      <c r="P42" s="79"/>
      <c r="Q42" s="79"/>
      <c r="R42" s="79"/>
      <c r="Y42" s="79"/>
      <c r="AC42" s="130"/>
      <c r="AE42" s="106"/>
    </row>
    <row r="43">
      <c r="A43" s="296" t="s">
        <v>354</v>
      </c>
      <c r="B43" s="302">
        <v>45427.0</v>
      </c>
      <c r="C43" s="298" t="s">
        <v>355</v>
      </c>
      <c r="D43" s="299">
        <v>669.86</v>
      </c>
      <c r="E43" s="303">
        <v>45434.0</v>
      </c>
      <c r="F43" s="301"/>
      <c r="P43" s="79"/>
      <c r="Q43" s="79"/>
      <c r="R43" s="79"/>
      <c r="Y43" s="79"/>
      <c r="AC43" s="130"/>
      <c r="AE43" s="106"/>
    </row>
    <row r="44">
      <c r="A44" s="304" t="s">
        <v>358</v>
      </c>
      <c r="B44" s="305">
        <v>45426.0</v>
      </c>
      <c r="C44" s="234" t="s">
        <v>325</v>
      </c>
      <c r="D44" s="178">
        <v>624.88</v>
      </c>
      <c r="E44" s="306" t="s">
        <v>370</v>
      </c>
      <c r="F44" s="307">
        <f>D44</f>
        <v>624.88</v>
      </c>
      <c r="P44" s="79"/>
      <c r="Q44" s="79"/>
      <c r="R44" s="79"/>
      <c r="Y44" s="79"/>
      <c r="AC44" s="130"/>
      <c r="AE44" s="106"/>
    </row>
    <row r="45">
      <c r="A45" s="304" t="s">
        <v>352</v>
      </c>
      <c r="B45" s="305">
        <v>45426.0</v>
      </c>
      <c r="C45" s="234" t="s">
        <v>325</v>
      </c>
      <c r="D45" s="178">
        <v>1254.75</v>
      </c>
      <c r="E45" s="306" t="s">
        <v>353</v>
      </c>
      <c r="F45" s="307">
        <f t="shared" ref="F45:F46" si="8">D45/2</f>
        <v>627.375</v>
      </c>
      <c r="P45" s="79"/>
      <c r="Q45" s="79"/>
      <c r="R45" s="79"/>
      <c r="Y45" s="79"/>
      <c r="AC45" s="130"/>
      <c r="AE45" s="106"/>
    </row>
    <row r="46">
      <c r="A46" s="304" t="s">
        <v>328</v>
      </c>
      <c r="B46" s="305">
        <v>45419.0</v>
      </c>
      <c r="C46" s="234" t="s">
        <v>325</v>
      </c>
      <c r="D46" s="178">
        <v>1282.82</v>
      </c>
      <c r="E46" s="308" t="s">
        <v>329</v>
      </c>
      <c r="F46" s="307">
        <f t="shared" si="8"/>
        <v>641.41</v>
      </c>
      <c r="P46" s="79"/>
      <c r="Q46" s="79"/>
      <c r="R46" s="79"/>
      <c r="Y46" s="79"/>
      <c r="AC46" s="130"/>
      <c r="AE46" s="106"/>
    </row>
    <row r="47">
      <c r="A47" s="304" t="s">
        <v>371</v>
      </c>
      <c r="B47" s="305">
        <v>45433.0</v>
      </c>
      <c r="C47" s="234" t="s">
        <v>325</v>
      </c>
      <c r="D47" s="178">
        <v>1264.85</v>
      </c>
      <c r="E47" s="308">
        <v>45461.0</v>
      </c>
      <c r="F47" s="235"/>
      <c r="P47" s="79"/>
      <c r="Q47" s="79"/>
      <c r="R47" s="79"/>
      <c r="Y47" s="79"/>
      <c r="AC47" s="130"/>
      <c r="AE47" s="106"/>
    </row>
    <row r="48">
      <c r="A48" s="304" t="s">
        <v>372</v>
      </c>
      <c r="B48" s="305">
        <v>45433.0</v>
      </c>
      <c r="C48" s="234" t="s">
        <v>325</v>
      </c>
      <c r="D48" s="178">
        <v>1269.16</v>
      </c>
      <c r="E48" s="308">
        <v>45461.0</v>
      </c>
      <c r="F48" s="235"/>
      <c r="P48" s="79"/>
      <c r="Q48" s="79"/>
      <c r="R48" s="79"/>
      <c r="Y48" s="79"/>
      <c r="AC48" s="130"/>
      <c r="AE48" s="106"/>
    </row>
    <row r="49">
      <c r="A49" s="282" t="s">
        <v>356</v>
      </c>
      <c r="B49" s="283">
        <v>45427.0</v>
      </c>
      <c r="C49" s="166" t="s">
        <v>334</v>
      </c>
      <c r="D49" s="93">
        <v>772.44</v>
      </c>
      <c r="E49" s="291" t="s">
        <v>357</v>
      </c>
      <c r="F49" s="6">
        <f>D49/4</f>
        <v>193.11</v>
      </c>
      <c r="P49" s="79"/>
      <c r="Q49" s="79"/>
      <c r="R49" s="79"/>
      <c r="Y49" s="79"/>
      <c r="AC49" s="130"/>
      <c r="AE49" s="106"/>
    </row>
    <row r="50">
      <c r="A50" s="282" t="s">
        <v>373</v>
      </c>
      <c r="B50" s="283">
        <v>45433.0</v>
      </c>
      <c r="C50" s="166" t="s">
        <v>346</v>
      </c>
      <c r="D50" s="93">
        <v>252.0</v>
      </c>
      <c r="E50" s="291" t="s">
        <v>374</v>
      </c>
      <c r="F50" s="6">
        <f>D50/2</f>
        <v>126</v>
      </c>
      <c r="P50" s="79"/>
      <c r="Q50" s="79"/>
      <c r="R50" s="79"/>
      <c r="Y50" s="79"/>
      <c r="AC50" s="130"/>
      <c r="AE50" s="106"/>
    </row>
    <row r="51">
      <c r="A51" s="282" t="s">
        <v>375</v>
      </c>
      <c r="B51" s="283">
        <v>45434.0</v>
      </c>
      <c r="C51" s="166" t="s">
        <v>355</v>
      </c>
      <c r="D51" s="93">
        <v>852.29</v>
      </c>
      <c r="E51" s="285">
        <v>45439.0</v>
      </c>
      <c r="F51" s="6"/>
      <c r="P51" s="79"/>
      <c r="Q51" s="79"/>
      <c r="R51" s="79"/>
      <c r="Y51" s="79"/>
      <c r="AC51" s="130"/>
      <c r="AE51" s="106"/>
    </row>
    <row r="52">
      <c r="A52" s="282" t="s">
        <v>376</v>
      </c>
      <c r="B52" s="283">
        <v>45437.0</v>
      </c>
      <c r="C52" s="166" t="s">
        <v>377</v>
      </c>
      <c r="D52" s="93">
        <v>131.0</v>
      </c>
      <c r="E52" s="285">
        <v>45437.0</v>
      </c>
      <c r="F52" s="6"/>
      <c r="P52" s="79"/>
      <c r="Q52" s="79"/>
      <c r="R52" s="79"/>
      <c r="Y52" s="79"/>
      <c r="AC52" s="130"/>
      <c r="AE52" s="106"/>
    </row>
    <row r="53">
      <c r="A53" s="282" t="s">
        <v>378</v>
      </c>
      <c r="B53" s="283">
        <v>45433.0</v>
      </c>
      <c r="C53" s="166" t="s">
        <v>379</v>
      </c>
      <c r="D53" s="93">
        <v>1888.01</v>
      </c>
      <c r="E53" s="285"/>
      <c r="F53" s="6"/>
      <c r="P53" s="79"/>
      <c r="Q53" s="79"/>
      <c r="R53" s="79"/>
      <c r="Y53" s="79"/>
      <c r="AC53" s="130"/>
      <c r="AE53" s="106"/>
    </row>
    <row r="54">
      <c r="A54" s="282" t="s">
        <v>380</v>
      </c>
      <c r="B54" s="283">
        <v>45433.0</v>
      </c>
      <c r="C54" s="166" t="s">
        <v>233</v>
      </c>
      <c r="D54" s="93">
        <v>284.9</v>
      </c>
      <c r="E54" s="285">
        <v>45439.0</v>
      </c>
      <c r="F54" s="6"/>
      <c r="P54" s="79"/>
      <c r="Q54" s="79"/>
      <c r="R54" s="79"/>
      <c r="Y54" s="79"/>
      <c r="AC54" s="130"/>
      <c r="AE54" s="106"/>
    </row>
    <row r="55">
      <c r="A55" s="282" t="s">
        <v>381</v>
      </c>
      <c r="B55" s="283">
        <v>45433.0</v>
      </c>
      <c r="C55" s="166" t="s">
        <v>382</v>
      </c>
      <c r="D55" s="93">
        <v>252.46</v>
      </c>
      <c r="E55" s="285">
        <v>45439.0</v>
      </c>
      <c r="F55" s="6"/>
      <c r="P55" s="79"/>
      <c r="Q55" s="79"/>
      <c r="R55" s="79"/>
      <c r="Y55" s="79"/>
      <c r="AC55" s="130"/>
      <c r="AE55" s="106"/>
    </row>
    <row r="56">
      <c r="A56" s="282" t="s">
        <v>383</v>
      </c>
      <c r="B56" s="283">
        <v>45432.0</v>
      </c>
      <c r="C56" s="166" t="s">
        <v>384</v>
      </c>
      <c r="D56" s="93">
        <v>324.1</v>
      </c>
      <c r="E56" s="285">
        <v>45439.0</v>
      </c>
      <c r="F56" s="6"/>
      <c r="P56" s="79"/>
      <c r="Q56" s="79"/>
      <c r="R56" s="79"/>
      <c r="Y56" s="79"/>
      <c r="AC56" s="130"/>
      <c r="AE56" s="106"/>
    </row>
    <row r="57">
      <c r="A57" s="282" t="s">
        <v>385</v>
      </c>
      <c r="B57" s="283">
        <v>45433.0</v>
      </c>
      <c r="C57" s="166" t="s">
        <v>386</v>
      </c>
      <c r="D57" s="93">
        <v>203.8</v>
      </c>
      <c r="E57" s="285">
        <v>45439.0</v>
      </c>
      <c r="F57" s="6"/>
      <c r="P57" s="79"/>
      <c r="Q57" s="79"/>
      <c r="R57" s="79"/>
      <c r="Y57" s="79"/>
      <c r="AC57" s="130"/>
      <c r="AE57" s="106"/>
    </row>
    <row r="58">
      <c r="A58" s="282" t="s">
        <v>387</v>
      </c>
      <c r="B58" s="283">
        <v>45437.0</v>
      </c>
      <c r="C58" s="166" t="s">
        <v>388</v>
      </c>
      <c r="D58" s="93">
        <v>84.0</v>
      </c>
      <c r="E58" s="285">
        <v>45440.0</v>
      </c>
      <c r="F58" s="6"/>
      <c r="P58" s="79"/>
      <c r="Q58" s="79"/>
      <c r="R58" s="79"/>
      <c r="Y58" s="79"/>
      <c r="AC58" s="130"/>
      <c r="AE58" s="106"/>
    </row>
    <row r="59">
      <c r="A59" s="282" t="s">
        <v>389</v>
      </c>
      <c r="B59" s="283">
        <v>45437.0</v>
      </c>
      <c r="C59" s="166" t="s">
        <v>390</v>
      </c>
      <c r="D59" s="93">
        <v>291.97</v>
      </c>
      <c r="E59" s="285">
        <v>45439.0</v>
      </c>
      <c r="F59" s="6"/>
      <c r="P59" s="79"/>
      <c r="Q59" s="79"/>
      <c r="R59" s="79"/>
      <c r="Y59" s="79"/>
      <c r="AC59" s="130"/>
      <c r="AE59" s="106"/>
    </row>
    <row r="60">
      <c r="A60" s="282" t="s">
        <v>391</v>
      </c>
      <c r="B60" s="283">
        <v>45435.0</v>
      </c>
      <c r="C60" s="166" t="s">
        <v>392</v>
      </c>
      <c r="D60" s="93">
        <v>300.0</v>
      </c>
      <c r="E60" s="291" t="s">
        <v>393</v>
      </c>
      <c r="F60" s="6">
        <f>D60/2</f>
        <v>150</v>
      </c>
      <c r="P60" s="79"/>
      <c r="Q60" s="79"/>
      <c r="R60" s="79"/>
      <c r="Y60" s="79"/>
      <c r="AC60" s="130"/>
      <c r="AE60" s="106"/>
    </row>
    <row r="61">
      <c r="A61" s="282"/>
      <c r="B61" s="283"/>
      <c r="C61" s="166"/>
      <c r="D61" s="93"/>
      <c r="E61" s="285"/>
      <c r="F61" s="6"/>
      <c r="P61" s="79"/>
      <c r="Q61" s="79"/>
      <c r="R61" s="79"/>
      <c r="Y61" s="79"/>
      <c r="AC61" s="130"/>
      <c r="AE61" s="106"/>
    </row>
    <row r="62">
      <c r="A62" s="282"/>
      <c r="B62" s="283"/>
      <c r="C62" s="166"/>
      <c r="D62" s="93"/>
      <c r="E62" s="285"/>
      <c r="F62" s="6"/>
      <c r="P62" s="79"/>
      <c r="Q62" s="79"/>
      <c r="R62" s="79"/>
      <c r="Y62" s="79"/>
      <c r="AC62" s="130"/>
      <c r="AE62" s="106"/>
    </row>
    <row r="63">
      <c r="A63" s="282"/>
      <c r="B63" s="283"/>
      <c r="C63" s="166"/>
      <c r="D63" s="93"/>
      <c r="E63" s="285"/>
      <c r="F63" s="6"/>
      <c r="P63" s="79"/>
      <c r="Q63" s="79"/>
      <c r="R63" s="79"/>
      <c r="Y63" s="79"/>
      <c r="AC63" s="130"/>
      <c r="AE63" s="106"/>
    </row>
    <row r="64">
      <c r="A64" s="282"/>
      <c r="B64" s="283"/>
      <c r="C64" s="166"/>
      <c r="D64" s="93"/>
      <c r="E64" s="285"/>
      <c r="F64" s="6"/>
      <c r="P64" s="79"/>
      <c r="Q64" s="79"/>
      <c r="R64" s="79"/>
      <c r="Y64" s="79"/>
      <c r="AC64" s="130"/>
      <c r="AE64" s="106"/>
    </row>
    <row r="65">
      <c r="A65" s="282"/>
      <c r="B65" s="283"/>
      <c r="C65" s="166"/>
      <c r="D65" s="93"/>
      <c r="E65" s="285"/>
      <c r="F65" s="6"/>
      <c r="P65" s="79"/>
      <c r="Q65" s="79"/>
      <c r="R65" s="79"/>
      <c r="Y65" s="79"/>
      <c r="AC65" s="130"/>
      <c r="AE65" s="106"/>
    </row>
    <row r="66">
      <c r="A66" s="282"/>
      <c r="B66" s="283"/>
      <c r="C66" s="166"/>
      <c r="D66" s="93"/>
      <c r="E66" s="285"/>
      <c r="F66" s="6"/>
      <c r="P66" s="79"/>
      <c r="Q66" s="79"/>
      <c r="R66" s="79"/>
      <c r="Y66" s="79"/>
      <c r="AC66" s="130"/>
      <c r="AE66" s="106"/>
    </row>
    <row r="67">
      <c r="A67" s="282"/>
      <c r="B67" s="283"/>
      <c r="C67" s="166"/>
      <c r="D67" s="93"/>
      <c r="E67" s="285"/>
      <c r="F67" s="6"/>
      <c r="P67" s="79"/>
      <c r="Q67" s="79"/>
      <c r="R67" s="79"/>
      <c r="Y67" s="79"/>
      <c r="AC67" s="130"/>
      <c r="AE67" s="106"/>
    </row>
    <row r="68">
      <c r="C68" s="79"/>
      <c r="D68" s="79"/>
      <c r="E68" s="79"/>
      <c r="P68" s="79"/>
      <c r="Q68" s="79"/>
      <c r="R68" s="79"/>
      <c r="Y68" s="79"/>
      <c r="AC68" s="130"/>
      <c r="AE68" s="106"/>
    </row>
    <row r="69">
      <c r="C69" s="79"/>
      <c r="D69" s="79"/>
      <c r="E69" s="79"/>
      <c r="P69" s="79"/>
      <c r="Q69" s="79"/>
      <c r="R69" s="79"/>
      <c r="Y69" s="79"/>
      <c r="AC69" s="130"/>
      <c r="AE69" s="106"/>
    </row>
    <row r="70">
      <c r="C70" s="79"/>
      <c r="D70" s="79"/>
      <c r="E70" s="79"/>
      <c r="P70" s="79"/>
      <c r="Q70" s="79"/>
      <c r="R70" s="79"/>
      <c r="Y70" s="79"/>
      <c r="AC70" s="130"/>
      <c r="AE70" s="106"/>
    </row>
    <row r="71">
      <c r="C71" s="79"/>
      <c r="D71" s="79"/>
      <c r="E71" s="79"/>
      <c r="P71" s="79"/>
      <c r="Q71" s="79"/>
      <c r="R71" s="79"/>
      <c r="Y71" s="79"/>
      <c r="AC71" s="130"/>
      <c r="AE71" s="106"/>
    </row>
    <row r="72">
      <c r="C72" s="79"/>
      <c r="D72" s="79"/>
      <c r="E72" s="79"/>
      <c r="P72" s="79"/>
      <c r="Q72" s="79"/>
      <c r="R72" s="79"/>
      <c r="Y72" s="79"/>
      <c r="AC72" s="130"/>
      <c r="AE72" s="106"/>
    </row>
    <row r="73">
      <c r="C73" s="79"/>
      <c r="D73" s="79"/>
      <c r="E73" s="79"/>
      <c r="P73" s="79"/>
      <c r="Q73" s="79"/>
      <c r="R73" s="79"/>
      <c r="Y73" s="79"/>
      <c r="AC73" s="130"/>
      <c r="AE73" s="106"/>
    </row>
    <row r="74">
      <c r="C74" s="79"/>
      <c r="D74" s="79"/>
      <c r="E74" s="79"/>
      <c r="P74" s="79"/>
      <c r="Q74" s="79"/>
      <c r="R74" s="79"/>
      <c r="Y74" s="79"/>
      <c r="AC74" s="130"/>
      <c r="AE74" s="106"/>
    </row>
    <row r="75">
      <c r="C75" s="79"/>
      <c r="D75" s="79"/>
      <c r="E75" s="79"/>
      <c r="P75" s="79"/>
      <c r="Q75" s="79"/>
      <c r="R75" s="79"/>
      <c r="Y75" s="79"/>
      <c r="AC75" s="130"/>
      <c r="AE75" s="106"/>
    </row>
    <row r="76">
      <c r="C76" s="79"/>
      <c r="D76" s="79"/>
      <c r="E76" s="79"/>
      <c r="P76" s="79"/>
      <c r="Q76" s="79"/>
      <c r="R76" s="79"/>
      <c r="Y76" s="79"/>
      <c r="AC76" s="130"/>
      <c r="AE76" s="106"/>
    </row>
    <row r="77">
      <c r="C77" s="79"/>
      <c r="D77" s="79"/>
      <c r="E77" s="79"/>
      <c r="P77" s="79"/>
      <c r="Q77" s="79"/>
      <c r="R77" s="79"/>
      <c r="Y77" s="79"/>
      <c r="AC77" s="130"/>
      <c r="AE77" s="106"/>
    </row>
    <row r="78">
      <c r="C78" s="79"/>
      <c r="D78" s="79"/>
      <c r="E78" s="79"/>
      <c r="P78" s="79"/>
      <c r="Q78" s="79"/>
      <c r="R78" s="79"/>
      <c r="Y78" s="79"/>
      <c r="AC78" s="130"/>
      <c r="AE78" s="106"/>
    </row>
    <row r="79">
      <c r="C79" s="79"/>
      <c r="D79" s="79"/>
      <c r="E79" s="79"/>
      <c r="P79" s="79"/>
      <c r="Q79" s="79"/>
      <c r="R79" s="79"/>
      <c r="Y79" s="79"/>
      <c r="AC79" s="130"/>
      <c r="AE79" s="106"/>
    </row>
    <row r="80">
      <c r="C80" s="79"/>
      <c r="D80" s="79"/>
      <c r="E80" s="79"/>
      <c r="P80" s="79"/>
      <c r="Q80" s="79"/>
      <c r="R80" s="79"/>
      <c r="Y80" s="79"/>
      <c r="AC80" s="130"/>
      <c r="AE80" s="106"/>
    </row>
    <row r="81">
      <c r="C81" s="79"/>
      <c r="D81" s="79"/>
      <c r="E81" s="79"/>
      <c r="P81" s="79"/>
      <c r="Q81" s="79"/>
      <c r="R81" s="79"/>
      <c r="Y81" s="79"/>
      <c r="AC81" s="130"/>
      <c r="AE81" s="106"/>
    </row>
    <row r="82">
      <c r="C82" s="79"/>
      <c r="D82" s="79"/>
      <c r="E82" s="79"/>
      <c r="P82" s="79"/>
      <c r="Q82" s="79"/>
      <c r="R82" s="79"/>
      <c r="Y82" s="79"/>
      <c r="AC82" s="130"/>
      <c r="AE82" s="106"/>
    </row>
    <row r="83">
      <c r="C83" s="79"/>
      <c r="D83" s="79"/>
      <c r="E83" s="79"/>
      <c r="P83" s="79"/>
      <c r="Q83" s="79"/>
      <c r="R83" s="79"/>
      <c r="Y83" s="79"/>
      <c r="AC83" s="130"/>
      <c r="AE83" s="106"/>
    </row>
    <row r="84">
      <c r="C84" s="79"/>
      <c r="D84" s="79"/>
      <c r="E84" s="79"/>
      <c r="P84" s="79"/>
      <c r="Q84" s="79"/>
      <c r="R84" s="79"/>
      <c r="Y84" s="79"/>
      <c r="AC84" s="130"/>
      <c r="AE84" s="106"/>
    </row>
    <row r="85">
      <c r="C85" s="79"/>
      <c r="D85" s="79"/>
      <c r="E85" s="79"/>
      <c r="P85" s="79"/>
      <c r="Q85" s="79"/>
      <c r="R85" s="79"/>
      <c r="Y85" s="79"/>
      <c r="AC85" s="130"/>
      <c r="AE85" s="106"/>
    </row>
    <row r="86">
      <c r="C86" s="79"/>
      <c r="D86" s="79"/>
      <c r="E86" s="79"/>
      <c r="P86" s="79"/>
      <c r="Q86" s="79"/>
      <c r="R86" s="79"/>
      <c r="Y86" s="79"/>
      <c r="AC86" s="130"/>
      <c r="AE86" s="106"/>
    </row>
    <row r="87">
      <c r="C87" s="79"/>
      <c r="D87" s="79"/>
      <c r="E87" s="79"/>
      <c r="P87" s="79"/>
      <c r="Q87" s="79"/>
      <c r="R87" s="79"/>
      <c r="Y87" s="79"/>
      <c r="AC87" s="130"/>
      <c r="AE87" s="106"/>
    </row>
    <row r="88">
      <c r="C88" s="79"/>
      <c r="D88" s="79"/>
      <c r="E88" s="79"/>
      <c r="P88" s="79"/>
      <c r="Q88" s="79"/>
      <c r="R88" s="79"/>
      <c r="Y88" s="79"/>
      <c r="AC88" s="130"/>
      <c r="AE88" s="106"/>
    </row>
    <row r="89">
      <c r="C89" s="79"/>
      <c r="D89" s="79"/>
      <c r="E89" s="79"/>
      <c r="P89" s="79"/>
      <c r="Q89" s="79"/>
      <c r="R89" s="79"/>
      <c r="Y89" s="79"/>
      <c r="AC89" s="130"/>
      <c r="AE89" s="106"/>
    </row>
    <row r="90">
      <c r="C90" s="79"/>
      <c r="D90" s="79"/>
      <c r="E90" s="79"/>
      <c r="P90" s="79"/>
      <c r="Q90" s="79"/>
      <c r="R90" s="79"/>
      <c r="Y90" s="79"/>
      <c r="AC90" s="130"/>
      <c r="AE90" s="106"/>
    </row>
    <row r="91">
      <c r="C91" s="79"/>
      <c r="D91" s="79"/>
      <c r="E91" s="79"/>
      <c r="P91" s="79"/>
      <c r="Q91" s="79"/>
      <c r="R91" s="79"/>
      <c r="Y91" s="79"/>
      <c r="AC91" s="130"/>
      <c r="AE91" s="106"/>
    </row>
    <row r="92">
      <c r="C92" s="79"/>
      <c r="D92" s="79"/>
      <c r="E92" s="79"/>
      <c r="P92" s="79"/>
      <c r="Q92" s="79"/>
      <c r="R92" s="79"/>
      <c r="Y92" s="79"/>
      <c r="AC92" s="130"/>
      <c r="AE92" s="106"/>
    </row>
    <row r="93">
      <c r="C93" s="79"/>
      <c r="D93" s="79"/>
      <c r="E93" s="79"/>
      <c r="P93" s="79"/>
      <c r="Q93" s="79"/>
      <c r="R93" s="79"/>
      <c r="Y93" s="79"/>
      <c r="AC93" s="130"/>
      <c r="AE93" s="106"/>
    </row>
    <row r="94">
      <c r="C94" s="79"/>
      <c r="D94" s="79"/>
      <c r="E94" s="79"/>
      <c r="P94" s="79"/>
      <c r="Q94" s="79"/>
      <c r="R94" s="79"/>
      <c r="Y94" s="79"/>
      <c r="AC94" s="130"/>
      <c r="AE94" s="106"/>
    </row>
    <row r="95">
      <c r="C95" s="79"/>
      <c r="D95" s="79"/>
      <c r="E95" s="79"/>
      <c r="P95" s="79"/>
      <c r="Q95" s="79"/>
      <c r="R95" s="79"/>
      <c r="Y95" s="79"/>
      <c r="AC95" s="130"/>
      <c r="AE95" s="106"/>
    </row>
    <row r="96">
      <c r="C96" s="79"/>
      <c r="D96" s="79"/>
      <c r="E96" s="79"/>
      <c r="P96" s="79"/>
      <c r="Q96" s="79"/>
      <c r="R96" s="79"/>
      <c r="Y96" s="79"/>
      <c r="AC96" s="130"/>
      <c r="AE96" s="106"/>
    </row>
    <row r="97">
      <c r="C97" s="79"/>
      <c r="D97" s="79"/>
      <c r="E97" s="79"/>
      <c r="P97" s="79"/>
      <c r="Q97" s="79"/>
      <c r="R97" s="79"/>
      <c r="Y97" s="79"/>
      <c r="AC97" s="130"/>
      <c r="AE97" s="106"/>
    </row>
    <row r="98">
      <c r="C98" s="79"/>
      <c r="D98" s="79"/>
      <c r="E98" s="79"/>
      <c r="P98" s="79"/>
      <c r="Q98" s="79"/>
      <c r="R98" s="79"/>
      <c r="Y98" s="79"/>
      <c r="AC98" s="130"/>
      <c r="AE98" s="106"/>
    </row>
    <row r="99">
      <c r="C99" s="79"/>
      <c r="D99" s="79"/>
      <c r="E99" s="79"/>
      <c r="P99" s="79"/>
      <c r="Q99" s="79"/>
      <c r="R99" s="79"/>
      <c r="Y99" s="79"/>
      <c r="AC99" s="130"/>
      <c r="AE99" s="106"/>
    </row>
    <row r="100">
      <c r="C100" s="79"/>
      <c r="D100" s="79"/>
      <c r="E100" s="79"/>
      <c r="P100" s="79"/>
      <c r="Q100" s="79"/>
      <c r="R100" s="79"/>
      <c r="Y100" s="79"/>
      <c r="AC100" s="130"/>
      <c r="AE100" s="106"/>
    </row>
    <row r="101">
      <c r="C101" s="79"/>
      <c r="D101" s="79"/>
      <c r="E101" s="79"/>
      <c r="P101" s="79"/>
      <c r="Q101" s="79"/>
      <c r="R101" s="79"/>
      <c r="Y101" s="79"/>
      <c r="AC101" s="130"/>
      <c r="AE101" s="106"/>
    </row>
    <row r="102">
      <c r="C102" s="79"/>
      <c r="D102" s="79"/>
      <c r="E102" s="79"/>
      <c r="P102" s="79"/>
      <c r="Q102" s="79"/>
      <c r="R102" s="79"/>
      <c r="Y102" s="79"/>
      <c r="AC102" s="130"/>
      <c r="AE102" s="106"/>
    </row>
    <row r="103">
      <c r="C103" s="79"/>
      <c r="D103" s="79"/>
      <c r="E103" s="79"/>
      <c r="P103" s="79"/>
      <c r="Q103" s="79"/>
      <c r="R103" s="79"/>
      <c r="Y103" s="79"/>
      <c r="AC103" s="130"/>
      <c r="AE103" s="106"/>
    </row>
    <row r="104">
      <c r="C104" s="79"/>
      <c r="D104" s="79"/>
      <c r="E104" s="79"/>
      <c r="P104" s="79"/>
      <c r="Q104" s="79"/>
      <c r="R104" s="79"/>
      <c r="Y104" s="79"/>
      <c r="AC104" s="130"/>
      <c r="AE104" s="106"/>
    </row>
    <row r="105">
      <c r="C105" s="79"/>
      <c r="D105" s="79"/>
      <c r="E105" s="79"/>
      <c r="P105" s="79"/>
      <c r="Q105" s="79"/>
      <c r="R105" s="79"/>
      <c r="Y105" s="79"/>
      <c r="AC105" s="130"/>
      <c r="AE105" s="106"/>
    </row>
    <row r="106">
      <c r="C106" s="79"/>
      <c r="D106" s="79"/>
      <c r="E106" s="79"/>
      <c r="P106" s="79"/>
      <c r="Q106" s="79"/>
      <c r="R106" s="79"/>
      <c r="Y106" s="79"/>
      <c r="AC106" s="130"/>
      <c r="AE106" s="106"/>
    </row>
    <row r="107">
      <c r="C107" s="79"/>
      <c r="D107" s="79"/>
      <c r="E107" s="79"/>
      <c r="P107" s="79"/>
      <c r="Q107" s="79"/>
      <c r="R107" s="79"/>
      <c r="Y107" s="79"/>
      <c r="AC107" s="130"/>
      <c r="AE107" s="106"/>
    </row>
    <row r="108">
      <c r="C108" s="79"/>
      <c r="D108" s="79"/>
      <c r="E108" s="79"/>
      <c r="P108" s="79"/>
      <c r="Q108" s="79"/>
      <c r="R108" s="79"/>
      <c r="Y108" s="79"/>
      <c r="AC108" s="130"/>
      <c r="AE108" s="106"/>
    </row>
    <row r="109">
      <c r="C109" s="79"/>
      <c r="D109" s="79"/>
      <c r="E109" s="79"/>
      <c r="P109" s="79"/>
      <c r="Q109" s="79"/>
      <c r="R109" s="79"/>
      <c r="Y109" s="79"/>
      <c r="AC109" s="130"/>
      <c r="AE109" s="106"/>
    </row>
    <row r="110">
      <c r="C110" s="79"/>
      <c r="D110" s="79"/>
      <c r="E110" s="79"/>
      <c r="P110" s="79"/>
      <c r="Q110" s="79"/>
      <c r="R110" s="79"/>
      <c r="Y110" s="79"/>
      <c r="AC110" s="130"/>
      <c r="AE110" s="106"/>
    </row>
    <row r="111">
      <c r="C111" s="79"/>
      <c r="D111" s="79"/>
      <c r="E111" s="79"/>
      <c r="P111" s="79"/>
      <c r="Q111" s="79"/>
      <c r="R111" s="79"/>
      <c r="Y111" s="79"/>
      <c r="AC111" s="130"/>
      <c r="AE111" s="106"/>
    </row>
    <row r="112">
      <c r="C112" s="79"/>
      <c r="D112" s="79"/>
      <c r="E112" s="79"/>
      <c r="P112" s="79"/>
      <c r="Q112" s="79"/>
      <c r="R112" s="79"/>
      <c r="Y112" s="79"/>
      <c r="AC112" s="130"/>
      <c r="AE112" s="106"/>
    </row>
    <row r="113">
      <c r="C113" s="79"/>
      <c r="D113" s="79"/>
      <c r="E113" s="79"/>
      <c r="P113" s="79"/>
      <c r="Q113" s="79"/>
      <c r="R113" s="79"/>
      <c r="Y113" s="79"/>
      <c r="AC113" s="130"/>
      <c r="AE113" s="106"/>
    </row>
    <row r="114">
      <c r="C114" s="79"/>
      <c r="D114" s="79"/>
      <c r="E114" s="79"/>
      <c r="P114" s="79"/>
      <c r="Q114" s="79"/>
      <c r="R114" s="79"/>
      <c r="Y114" s="79"/>
      <c r="AC114" s="130"/>
      <c r="AE114" s="106"/>
    </row>
    <row r="115">
      <c r="C115" s="79"/>
      <c r="D115" s="79"/>
      <c r="E115" s="79"/>
      <c r="P115" s="79"/>
      <c r="Q115" s="79"/>
      <c r="R115" s="79"/>
      <c r="Y115" s="79"/>
      <c r="AC115" s="130"/>
      <c r="AE115" s="106"/>
    </row>
    <row r="116">
      <c r="C116" s="79"/>
      <c r="D116" s="79"/>
      <c r="E116" s="79"/>
      <c r="P116" s="79"/>
      <c r="Q116" s="79"/>
      <c r="R116" s="79"/>
      <c r="Y116" s="79"/>
      <c r="AC116" s="130"/>
      <c r="AE116" s="106"/>
    </row>
    <row r="117">
      <c r="C117" s="79"/>
      <c r="D117" s="79"/>
      <c r="E117" s="79"/>
      <c r="P117" s="79"/>
      <c r="Q117" s="79"/>
      <c r="R117" s="79"/>
      <c r="Y117" s="79"/>
      <c r="AC117" s="130"/>
      <c r="AE117" s="106"/>
    </row>
    <row r="118">
      <c r="C118" s="79"/>
      <c r="D118" s="79"/>
      <c r="E118" s="79"/>
      <c r="P118" s="79"/>
      <c r="Q118" s="79"/>
      <c r="R118" s="79"/>
      <c r="Y118" s="79"/>
      <c r="AC118" s="130"/>
      <c r="AE118" s="106"/>
    </row>
    <row r="119">
      <c r="C119" s="79"/>
      <c r="D119" s="79"/>
      <c r="E119" s="79"/>
      <c r="P119" s="79"/>
      <c r="Q119" s="79"/>
      <c r="R119" s="79"/>
      <c r="Y119" s="79"/>
      <c r="AC119" s="130"/>
      <c r="AE119" s="106"/>
    </row>
    <row r="120">
      <c r="C120" s="79"/>
      <c r="D120" s="79"/>
      <c r="E120" s="79"/>
      <c r="P120" s="79"/>
      <c r="Q120" s="79"/>
      <c r="R120" s="79"/>
      <c r="Y120" s="79"/>
      <c r="AC120" s="130"/>
      <c r="AE120" s="106"/>
    </row>
    <row r="121">
      <c r="C121" s="79"/>
      <c r="D121" s="79"/>
      <c r="E121" s="79"/>
      <c r="P121" s="79"/>
      <c r="Q121" s="79"/>
      <c r="R121" s="79"/>
      <c r="Y121" s="79"/>
      <c r="AC121" s="130"/>
      <c r="AE121" s="106"/>
    </row>
    <row r="122">
      <c r="C122" s="79"/>
      <c r="D122" s="79"/>
      <c r="E122" s="79"/>
      <c r="P122" s="79"/>
      <c r="Q122" s="79"/>
      <c r="R122" s="79"/>
      <c r="Y122" s="79"/>
      <c r="AC122" s="130"/>
      <c r="AE122" s="106"/>
    </row>
    <row r="123">
      <c r="C123" s="79"/>
      <c r="D123" s="79"/>
      <c r="E123" s="79"/>
      <c r="P123" s="79"/>
      <c r="Q123" s="79"/>
      <c r="R123" s="79"/>
      <c r="Y123" s="79"/>
      <c r="AC123" s="130"/>
      <c r="AE123" s="106"/>
    </row>
    <row r="124">
      <c r="C124" s="79"/>
      <c r="D124" s="79"/>
      <c r="E124" s="79"/>
      <c r="P124" s="79"/>
      <c r="Q124" s="79"/>
      <c r="R124" s="79"/>
      <c r="Y124" s="79"/>
      <c r="AC124" s="130"/>
      <c r="AE124" s="106"/>
    </row>
    <row r="125">
      <c r="C125" s="79"/>
      <c r="D125" s="79"/>
      <c r="E125" s="79"/>
      <c r="P125" s="79"/>
      <c r="Q125" s="79"/>
      <c r="R125" s="79"/>
      <c r="Y125" s="79"/>
      <c r="AC125" s="130"/>
      <c r="AE125" s="106"/>
    </row>
    <row r="126">
      <c r="C126" s="79"/>
      <c r="D126" s="79"/>
      <c r="E126" s="79"/>
      <c r="P126" s="79"/>
      <c r="Q126" s="79"/>
      <c r="R126" s="79"/>
      <c r="Y126" s="79"/>
      <c r="AC126" s="130"/>
      <c r="AE126" s="106"/>
    </row>
    <row r="127">
      <c r="C127" s="79"/>
      <c r="D127" s="79"/>
      <c r="E127" s="79"/>
      <c r="P127" s="79"/>
      <c r="Q127" s="79"/>
      <c r="R127" s="79"/>
      <c r="Y127" s="79"/>
      <c r="AC127" s="130"/>
      <c r="AE127" s="106"/>
    </row>
    <row r="128">
      <c r="C128" s="79"/>
      <c r="D128" s="79"/>
      <c r="E128" s="79"/>
      <c r="P128" s="79"/>
      <c r="Q128" s="79"/>
      <c r="R128" s="79"/>
      <c r="Y128" s="79"/>
      <c r="AC128" s="130"/>
      <c r="AE128" s="106"/>
    </row>
    <row r="129">
      <c r="C129" s="79"/>
      <c r="D129" s="79"/>
      <c r="E129" s="79"/>
      <c r="P129" s="79"/>
      <c r="Q129" s="79"/>
      <c r="R129" s="79"/>
      <c r="Y129" s="79"/>
      <c r="AC129" s="130"/>
      <c r="AE129" s="106"/>
    </row>
    <row r="130">
      <c r="C130" s="79"/>
      <c r="D130" s="79"/>
      <c r="E130" s="79"/>
      <c r="P130" s="79"/>
      <c r="Q130" s="79"/>
      <c r="R130" s="79"/>
      <c r="Y130" s="79"/>
      <c r="AC130" s="130"/>
      <c r="AE130" s="106"/>
    </row>
    <row r="131">
      <c r="C131" s="79"/>
      <c r="D131" s="79"/>
      <c r="E131" s="79"/>
      <c r="P131" s="79"/>
      <c r="Q131" s="79"/>
      <c r="R131" s="79"/>
      <c r="Y131" s="79"/>
      <c r="AC131" s="130"/>
      <c r="AE131" s="106"/>
    </row>
    <row r="132">
      <c r="C132" s="79"/>
      <c r="D132" s="79"/>
      <c r="E132" s="79"/>
      <c r="P132" s="79"/>
      <c r="Q132" s="79"/>
      <c r="R132" s="79"/>
      <c r="Y132" s="79"/>
      <c r="AC132" s="130"/>
      <c r="AE132" s="106"/>
    </row>
    <row r="133">
      <c r="C133" s="79"/>
      <c r="D133" s="79"/>
      <c r="E133" s="79"/>
      <c r="P133" s="79"/>
      <c r="Q133" s="79"/>
      <c r="R133" s="79"/>
      <c r="Y133" s="79"/>
      <c r="AC133" s="130"/>
      <c r="AE133" s="106"/>
    </row>
    <row r="134">
      <c r="C134" s="79"/>
      <c r="D134" s="79"/>
      <c r="E134" s="79"/>
      <c r="P134" s="79"/>
      <c r="Q134" s="79"/>
      <c r="R134" s="79"/>
      <c r="Y134" s="79"/>
      <c r="AC134" s="130"/>
      <c r="AE134" s="106"/>
    </row>
    <row r="135">
      <c r="C135" s="79"/>
      <c r="D135" s="79"/>
      <c r="E135" s="79"/>
      <c r="P135" s="79"/>
      <c r="Q135" s="79"/>
      <c r="R135" s="79"/>
      <c r="Y135" s="79"/>
      <c r="AC135" s="130"/>
      <c r="AE135" s="106"/>
    </row>
    <row r="136">
      <c r="C136" s="79"/>
      <c r="D136" s="79"/>
      <c r="E136" s="79"/>
      <c r="P136" s="79"/>
      <c r="Q136" s="79"/>
      <c r="R136" s="79"/>
      <c r="Y136" s="79"/>
      <c r="AC136" s="130"/>
      <c r="AE136" s="106"/>
    </row>
    <row r="137">
      <c r="C137" s="79"/>
      <c r="D137" s="79"/>
      <c r="E137" s="79"/>
      <c r="P137" s="79"/>
      <c r="Q137" s="79"/>
      <c r="R137" s="79"/>
      <c r="Y137" s="79"/>
      <c r="AC137" s="130"/>
      <c r="AE137" s="106"/>
    </row>
    <row r="138">
      <c r="C138" s="79"/>
      <c r="D138" s="79"/>
      <c r="E138" s="79"/>
      <c r="P138" s="79"/>
      <c r="Q138" s="79"/>
      <c r="R138" s="79"/>
      <c r="Y138" s="79"/>
      <c r="AC138" s="130"/>
      <c r="AE138" s="106"/>
    </row>
    <row r="139">
      <c r="C139" s="79"/>
      <c r="D139" s="79"/>
      <c r="E139" s="79"/>
      <c r="P139" s="79"/>
      <c r="Q139" s="79"/>
      <c r="R139" s="79"/>
      <c r="Y139" s="79"/>
      <c r="AC139" s="130"/>
      <c r="AE139" s="106"/>
    </row>
    <row r="140">
      <c r="C140" s="79"/>
      <c r="D140" s="79"/>
      <c r="E140" s="79"/>
      <c r="P140" s="79"/>
      <c r="Q140" s="79"/>
      <c r="R140" s="79"/>
      <c r="Y140" s="79"/>
      <c r="AC140" s="130"/>
      <c r="AE140" s="106"/>
    </row>
    <row r="141">
      <c r="C141" s="79"/>
      <c r="D141" s="79"/>
      <c r="E141" s="79"/>
      <c r="P141" s="79"/>
      <c r="Q141" s="79"/>
      <c r="R141" s="79"/>
      <c r="Y141" s="79"/>
      <c r="AC141" s="130"/>
      <c r="AE141" s="106"/>
    </row>
    <row r="142">
      <c r="C142" s="79"/>
      <c r="D142" s="79"/>
      <c r="E142" s="79"/>
      <c r="P142" s="79"/>
      <c r="Q142" s="79"/>
      <c r="R142" s="79"/>
      <c r="Y142" s="79"/>
      <c r="AC142" s="130"/>
      <c r="AE142" s="106"/>
    </row>
    <row r="143">
      <c r="C143" s="79"/>
      <c r="D143" s="79"/>
      <c r="E143" s="79"/>
      <c r="P143" s="79"/>
      <c r="Q143" s="79"/>
      <c r="R143" s="79"/>
      <c r="Y143" s="79"/>
      <c r="AC143" s="130"/>
      <c r="AE143" s="106"/>
    </row>
    <row r="144">
      <c r="C144" s="79"/>
      <c r="D144" s="79"/>
      <c r="E144" s="79"/>
      <c r="P144" s="79"/>
      <c r="Q144" s="79"/>
      <c r="R144" s="79"/>
      <c r="Y144" s="79"/>
      <c r="AC144" s="130"/>
      <c r="AE144" s="106"/>
    </row>
    <row r="145">
      <c r="C145" s="79"/>
      <c r="D145" s="79"/>
      <c r="E145" s="79"/>
      <c r="P145" s="79"/>
      <c r="Q145" s="79"/>
      <c r="R145" s="79"/>
      <c r="Y145" s="79"/>
      <c r="AC145" s="130"/>
      <c r="AE145" s="106"/>
    </row>
    <row r="146">
      <c r="C146" s="79"/>
      <c r="D146" s="79"/>
      <c r="E146" s="79"/>
      <c r="P146" s="79"/>
      <c r="Q146" s="79"/>
      <c r="R146" s="79"/>
      <c r="Y146" s="79"/>
      <c r="AC146" s="130"/>
      <c r="AE146" s="106"/>
    </row>
    <row r="147">
      <c r="C147" s="79"/>
      <c r="D147" s="79"/>
      <c r="E147" s="79"/>
      <c r="P147" s="79"/>
      <c r="Q147" s="79"/>
      <c r="R147" s="79"/>
      <c r="Y147" s="79"/>
      <c r="AC147" s="130"/>
      <c r="AE147" s="106"/>
    </row>
    <row r="148">
      <c r="C148" s="79"/>
      <c r="D148" s="79"/>
      <c r="E148" s="79"/>
      <c r="P148" s="79"/>
      <c r="Q148" s="79"/>
      <c r="R148" s="79"/>
      <c r="Y148" s="79"/>
      <c r="AC148" s="130"/>
      <c r="AE148" s="106"/>
    </row>
    <row r="149">
      <c r="C149" s="79"/>
      <c r="D149" s="79"/>
      <c r="E149" s="79"/>
      <c r="P149" s="79"/>
      <c r="Q149" s="79"/>
      <c r="R149" s="79"/>
      <c r="Y149" s="79"/>
      <c r="AC149" s="130"/>
      <c r="AE149" s="106"/>
    </row>
    <row r="150">
      <c r="C150" s="79"/>
      <c r="D150" s="79"/>
      <c r="E150" s="79"/>
      <c r="P150" s="79"/>
      <c r="Q150" s="79"/>
      <c r="R150" s="79"/>
      <c r="Y150" s="79"/>
      <c r="AC150" s="130"/>
      <c r="AE150" s="106"/>
    </row>
    <row r="151">
      <c r="C151" s="79"/>
      <c r="D151" s="79"/>
      <c r="E151" s="79"/>
      <c r="P151" s="79"/>
      <c r="Q151" s="79"/>
      <c r="R151" s="79"/>
      <c r="Y151" s="79"/>
      <c r="AC151" s="130"/>
      <c r="AE151" s="106"/>
    </row>
    <row r="152">
      <c r="C152" s="79"/>
      <c r="D152" s="79"/>
      <c r="E152" s="79"/>
      <c r="P152" s="79"/>
      <c r="Q152" s="79"/>
      <c r="R152" s="79"/>
      <c r="Y152" s="79"/>
      <c r="AC152" s="130"/>
      <c r="AE152" s="106"/>
    </row>
    <row r="153">
      <c r="C153" s="79"/>
      <c r="D153" s="79"/>
      <c r="E153" s="79"/>
      <c r="P153" s="79"/>
      <c r="Q153" s="79"/>
      <c r="R153" s="79"/>
      <c r="Y153" s="79"/>
      <c r="AC153" s="130"/>
      <c r="AE153" s="106"/>
    </row>
    <row r="154">
      <c r="C154" s="79"/>
      <c r="D154" s="79"/>
      <c r="E154" s="79"/>
      <c r="P154" s="79"/>
      <c r="Q154" s="79"/>
      <c r="R154" s="79"/>
      <c r="Y154" s="79"/>
      <c r="AC154" s="130"/>
      <c r="AE154" s="106"/>
    </row>
    <row r="155">
      <c r="C155" s="79"/>
      <c r="D155" s="79"/>
      <c r="E155" s="79"/>
      <c r="P155" s="79"/>
      <c r="Q155" s="79"/>
      <c r="R155" s="79"/>
      <c r="Y155" s="79"/>
      <c r="AC155" s="130"/>
      <c r="AE155" s="106"/>
    </row>
    <row r="156">
      <c r="C156" s="79"/>
      <c r="D156" s="79"/>
      <c r="E156" s="79"/>
      <c r="P156" s="79"/>
      <c r="Q156" s="79"/>
      <c r="R156" s="79"/>
      <c r="Y156" s="79"/>
      <c r="AC156" s="130"/>
      <c r="AE156" s="106"/>
    </row>
    <row r="157">
      <c r="C157" s="79"/>
      <c r="D157" s="79"/>
      <c r="E157" s="79"/>
      <c r="P157" s="79"/>
      <c r="Q157" s="79"/>
      <c r="R157" s="79"/>
      <c r="Y157" s="79"/>
      <c r="AC157" s="130"/>
      <c r="AE157" s="106"/>
    </row>
    <row r="158">
      <c r="C158" s="79"/>
      <c r="D158" s="79"/>
      <c r="E158" s="79"/>
      <c r="P158" s="79"/>
      <c r="Q158" s="79"/>
      <c r="R158" s="79"/>
      <c r="Y158" s="79"/>
      <c r="AC158" s="130"/>
      <c r="AE158" s="106"/>
    </row>
    <row r="159">
      <c r="C159" s="79"/>
      <c r="D159" s="79"/>
      <c r="E159" s="79"/>
      <c r="P159" s="79"/>
      <c r="Q159" s="79"/>
      <c r="R159" s="79"/>
      <c r="Y159" s="79"/>
      <c r="AC159" s="130"/>
      <c r="AE159" s="106"/>
    </row>
    <row r="160">
      <c r="C160" s="79"/>
      <c r="D160" s="79"/>
      <c r="E160" s="79"/>
      <c r="P160" s="79"/>
      <c r="Q160" s="79"/>
      <c r="R160" s="79"/>
      <c r="Y160" s="79"/>
      <c r="AC160" s="130"/>
      <c r="AE160" s="106"/>
    </row>
    <row r="161">
      <c r="C161" s="79"/>
      <c r="D161" s="79"/>
      <c r="E161" s="79"/>
      <c r="P161" s="79"/>
      <c r="Q161" s="79"/>
      <c r="R161" s="79"/>
      <c r="Y161" s="79"/>
      <c r="AC161" s="130"/>
      <c r="AE161" s="106"/>
    </row>
    <row r="162">
      <c r="C162" s="79"/>
      <c r="D162" s="79"/>
      <c r="E162" s="79"/>
      <c r="P162" s="79"/>
      <c r="Q162" s="79"/>
      <c r="R162" s="79"/>
      <c r="Y162" s="79"/>
      <c r="AC162" s="130"/>
      <c r="AE162" s="106"/>
    </row>
    <row r="163">
      <c r="C163" s="79"/>
      <c r="D163" s="79"/>
      <c r="E163" s="79"/>
      <c r="P163" s="79"/>
      <c r="Q163" s="79"/>
      <c r="R163" s="79"/>
      <c r="Y163" s="79"/>
      <c r="AC163" s="130"/>
      <c r="AE163" s="106"/>
    </row>
    <row r="164">
      <c r="C164" s="79"/>
      <c r="D164" s="79"/>
      <c r="E164" s="79"/>
      <c r="P164" s="79"/>
      <c r="Q164" s="79"/>
      <c r="R164" s="79"/>
      <c r="Y164" s="79"/>
      <c r="AC164" s="130"/>
      <c r="AE164" s="106"/>
    </row>
    <row r="165">
      <c r="C165" s="79"/>
      <c r="D165" s="79"/>
      <c r="E165" s="79"/>
      <c r="P165" s="79"/>
      <c r="Q165" s="79"/>
      <c r="R165" s="79"/>
      <c r="Y165" s="79"/>
      <c r="AC165" s="130"/>
      <c r="AE165" s="106"/>
    </row>
    <row r="166">
      <c r="C166" s="79"/>
      <c r="D166" s="79"/>
      <c r="E166" s="79"/>
      <c r="P166" s="79"/>
      <c r="Q166" s="79"/>
      <c r="R166" s="79"/>
      <c r="Y166" s="79"/>
      <c r="AC166" s="130"/>
      <c r="AE166" s="106"/>
    </row>
    <row r="167">
      <c r="C167" s="79"/>
      <c r="D167" s="79"/>
      <c r="E167" s="79"/>
      <c r="P167" s="79"/>
      <c r="Q167" s="79"/>
      <c r="R167" s="79"/>
      <c r="Y167" s="79"/>
      <c r="AC167" s="130"/>
      <c r="AE167" s="106"/>
    </row>
    <row r="168">
      <c r="C168" s="79"/>
      <c r="D168" s="79"/>
      <c r="E168" s="79"/>
      <c r="P168" s="79"/>
      <c r="Q168" s="79"/>
      <c r="R168" s="79"/>
      <c r="Y168" s="79"/>
      <c r="AC168" s="130"/>
      <c r="AE168" s="106"/>
    </row>
    <row r="169">
      <c r="C169" s="79"/>
      <c r="D169" s="79"/>
      <c r="E169" s="79"/>
      <c r="P169" s="79"/>
      <c r="Q169" s="79"/>
      <c r="R169" s="79"/>
      <c r="Y169" s="79"/>
      <c r="AC169" s="130"/>
      <c r="AE169" s="106"/>
    </row>
    <row r="170">
      <c r="C170" s="79"/>
      <c r="D170" s="79"/>
      <c r="E170" s="79"/>
      <c r="P170" s="79"/>
      <c r="Q170" s="79"/>
      <c r="R170" s="79"/>
      <c r="Y170" s="79"/>
      <c r="AC170" s="130"/>
      <c r="AE170" s="106"/>
    </row>
    <row r="171">
      <c r="C171" s="79"/>
      <c r="D171" s="79"/>
      <c r="E171" s="79"/>
      <c r="P171" s="79"/>
      <c r="Q171" s="79"/>
      <c r="R171" s="79"/>
      <c r="Y171" s="79"/>
      <c r="AC171" s="130"/>
      <c r="AE171" s="106"/>
    </row>
    <row r="172">
      <c r="C172" s="79"/>
      <c r="D172" s="79"/>
      <c r="E172" s="79"/>
      <c r="P172" s="79"/>
      <c r="Q172" s="79"/>
      <c r="R172" s="79"/>
      <c r="Y172" s="79"/>
      <c r="AC172" s="130"/>
      <c r="AE172" s="106"/>
    </row>
    <row r="173">
      <c r="C173" s="79"/>
      <c r="D173" s="79"/>
      <c r="E173" s="79"/>
      <c r="P173" s="79"/>
      <c r="Q173" s="79"/>
      <c r="R173" s="79"/>
      <c r="Y173" s="79"/>
      <c r="AC173" s="130"/>
      <c r="AE173" s="106"/>
    </row>
    <row r="174">
      <c r="C174" s="79"/>
      <c r="D174" s="79"/>
      <c r="E174" s="79"/>
      <c r="P174" s="79"/>
      <c r="Q174" s="79"/>
      <c r="R174" s="79"/>
      <c r="Y174" s="79"/>
      <c r="AC174" s="130"/>
      <c r="AE174" s="106"/>
    </row>
    <row r="175">
      <c r="C175" s="79"/>
      <c r="D175" s="79"/>
      <c r="E175" s="79"/>
      <c r="P175" s="79"/>
      <c r="Q175" s="79"/>
      <c r="R175" s="79"/>
      <c r="Y175" s="79"/>
      <c r="AC175" s="130"/>
      <c r="AE175" s="106"/>
    </row>
    <row r="176">
      <c r="C176" s="79"/>
      <c r="D176" s="79"/>
      <c r="E176" s="79"/>
      <c r="P176" s="79"/>
      <c r="Q176" s="79"/>
      <c r="R176" s="79"/>
      <c r="Y176" s="79"/>
      <c r="AC176" s="130"/>
      <c r="AE176" s="106"/>
    </row>
    <row r="177">
      <c r="C177" s="79"/>
      <c r="D177" s="79"/>
      <c r="E177" s="79"/>
      <c r="P177" s="79"/>
      <c r="Q177" s="79"/>
      <c r="R177" s="79"/>
      <c r="Y177" s="79"/>
      <c r="AC177" s="130"/>
      <c r="AE177" s="106"/>
    </row>
    <row r="178">
      <c r="C178" s="79"/>
      <c r="D178" s="79"/>
      <c r="E178" s="79"/>
      <c r="P178" s="79"/>
      <c r="Q178" s="79"/>
      <c r="R178" s="79"/>
      <c r="Y178" s="79"/>
      <c r="AC178" s="130"/>
      <c r="AE178" s="106"/>
    </row>
    <row r="179">
      <c r="C179" s="79"/>
      <c r="D179" s="79"/>
      <c r="E179" s="79"/>
      <c r="P179" s="79"/>
      <c r="Q179" s="79"/>
      <c r="R179" s="79"/>
      <c r="Y179" s="79"/>
      <c r="AC179" s="130"/>
      <c r="AE179" s="106"/>
    </row>
    <row r="180">
      <c r="C180" s="79"/>
      <c r="D180" s="79"/>
      <c r="E180" s="79"/>
      <c r="P180" s="79"/>
      <c r="Q180" s="79"/>
      <c r="R180" s="79"/>
      <c r="Y180" s="79"/>
      <c r="AC180" s="130"/>
      <c r="AE180" s="106"/>
    </row>
    <row r="181">
      <c r="C181" s="79"/>
      <c r="D181" s="79"/>
      <c r="E181" s="79"/>
      <c r="P181" s="79"/>
      <c r="Q181" s="79"/>
      <c r="R181" s="79"/>
      <c r="Y181" s="79"/>
      <c r="AC181" s="130"/>
      <c r="AE181" s="106"/>
    </row>
    <row r="182">
      <c r="C182" s="79"/>
      <c r="D182" s="79"/>
      <c r="E182" s="79"/>
      <c r="P182" s="79"/>
      <c r="Q182" s="79"/>
      <c r="R182" s="79"/>
      <c r="Y182" s="79"/>
      <c r="AC182" s="130"/>
      <c r="AE182" s="106"/>
    </row>
    <row r="183">
      <c r="C183" s="79"/>
      <c r="D183" s="79"/>
      <c r="E183" s="79"/>
      <c r="P183" s="79"/>
      <c r="Q183" s="79"/>
      <c r="R183" s="79"/>
      <c r="Y183" s="79"/>
      <c r="AC183" s="130"/>
      <c r="AE183" s="106"/>
    </row>
    <row r="184">
      <c r="C184" s="79"/>
      <c r="D184" s="79"/>
      <c r="E184" s="79"/>
      <c r="P184" s="79"/>
      <c r="Q184" s="79"/>
      <c r="R184" s="79"/>
      <c r="Y184" s="79"/>
      <c r="AC184" s="130"/>
      <c r="AE184" s="106"/>
    </row>
    <row r="185">
      <c r="C185" s="79"/>
      <c r="D185" s="79"/>
      <c r="E185" s="79"/>
      <c r="P185" s="79"/>
      <c r="Q185" s="79"/>
      <c r="R185" s="79"/>
      <c r="Y185" s="79"/>
      <c r="AC185" s="130"/>
      <c r="AE185" s="106"/>
    </row>
    <row r="186">
      <c r="C186" s="79"/>
      <c r="D186" s="79"/>
      <c r="E186" s="79"/>
      <c r="P186" s="79"/>
      <c r="Q186" s="79"/>
      <c r="R186" s="79"/>
      <c r="Y186" s="79"/>
      <c r="AC186" s="130"/>
      <c r="AE186" s="106"/>
    </row>
    <row r="187">
      <c r="C187" s="79"/>
      <c r="D187" s="79"/>
      <c r="E187" s="79"/>
      <c r="P187" s="79"/>
      <c r="Q187" s="79"/>
      <c r="R187" s="79"/>
      <c r="Y187" s="79"/>
      <c r="AC187" s="130"/>
      <c r="AE187" s="106"/>
    </row>
    <row r="188">
      <c r="C188" s="79"/>
      <c r="D188" s="79"/>
      <c r="E188" s="79"/>
      <c r="P188" s="79"/>
      <c r="Q188" s="79"/>
      <c r="R188" s="79"/>
      <c r="Y188" s="79"/>
      <c r="AC188" s="130"/>
      <c r="AE188" s="106"/>
    </row>
    <row r="189">
      <c r="C189" s="79"/>
      <c r="D189" s="79"/>
      <c r="E189" s="79"/>
      <c r="P189" s="79"/>
      <c r="Q189" s="79"/>
      <c r="R189" s="79"/>
      <c r="Y189" s="79"/>
      <c r="AC189" s="130"/>
      <c r="AE189" s="106"/>
    </row>
    <row r="190">
      <c r="C190" s="79"/>
      <c r="D190" s="79"/>
      <c r="E190" s="79"/>
      <c r="P190" s="79"/>
      <c r="Q190" s="79"/>
      <c r="R190" s="79"/>
      <c r="Y190" s="79"/>
      <c r="AC190" s="130"/>
      <c r="AE190" s="106"/>
    </row>
    <row r="191">
      <c r="C191" s="79"/>
      <c r="D191" s="79"/>
      <c r="E191" s="79"/>
      <c r="P191" s="79"/>
      <c r="Q191" s="79"/>
      <c r="R191" s="79"/>
      <c r="Y191" s="79"/>
      <c r="AC191" s="130"/>
      <c r="AE191" s="106"/>
    </row>
    <row r="192">
      <c r="C192" s="79"/>
      <c r="D192" s="79"/>
      <c r="E192" s="79"/>
      <c r="P192" s="79"/>
      <c r="Q192" s="79"/>
      <c r="R192" s="79"/>
      <c r="Y192" s="79"/>
      <c r="AC192" s="130"/>
      <c r="AE192" s="106"/>
    </row>
    <row r="193">
      <c r="C193" s="79"/>
      <c r="D193" s="79"/>
      <c r="E193" s="79"/>
      <c r="P193" s="79"/>
      <c r="Q193" s="79"/>
      <c r="R193" s="79"/>
      <c r="Y193" s="79"/>
      <c r="AC193" s="130"/>
      <c r="AE193" s="106"/>
    </row>
    <row r="194">
      <c r="C194" s="79"/>
      <c r="D194" s="79"/>
      <c r="E194" s="79"/>
      <c r="P194" s="79"/>
      <c r="Q194" s="79"/>
      <c r="R194" s="79"/>
      <c r="Y194" s="79"/>
      <c r="AC194" s="130"/>
      <c r="AE194" s="106"/>
    </row>
    <row r="195">
      <c r="C195" s="79"/>
      <c r="D195" s="79"/>
      <c r="E195" s="79"/>
      <c r="P195" s="79"/>
      <c r="Q195" s="79"/>
      <c r="R195" s="79"/>
      <c r="Y195" s="79"/>
      <c r="AC195" s="130"/>
      <c r="AE195" s="106"/>
    </row>
    <row r="196">
      <c r="C196" s="79"/>
      <c r="D196" s="79"/>
      <c r="E196" s="79"/>
      <c r="P196" s="79"/>
      <c r="Q196" s="79"/>
      <c r="R196" s="79"/>
      <c r="Y196" s="79"/>
      <c r="AC196" s="130"/>
      <c r="AE196" s="106"/>
    </row>
    <row r="197">
      <c r="C197" s="79"/>
      <c r="D197" s="79"/>
      <c r="E197" s="79"/>
      <c r="P197" s="79"/>
      <c r="Q197" s="79"/>
      <c r="R197" s="79"/>
      <c r="Y197" s="79"/>
      <c r="AC197" s="130"/>
      <c r="AE197" s="106"/>
    </row>
    <row r="198">
      <c r="C198" s="79"/>
      <c r="D198" s="79"/>
      <c r="E198" s="79"/>
      <c r="P198" s="79"/>
      <c r="Q198" s="79"/>
      <c r="R198" s="79"/>
      <c r="Y198" s="79"/>
      <c r="AC198" s="130"/>
      <c r="AE198" s="106"/>
    </row>
    <row r="199">
      <c r="C199" s="79"/>
      <c r="D199" s="79"/>
      <c r="E199" s="79"/>
      <c r="P199" s="79"/>
      <c r="Q199" s="79"/>
      <c r="R199" s="79"/>
      <c r="Y199" s="79"/>
      <c r="AC199" s="130"/>
      <c r="AE199" s="106"/>
    </row>
    <row r="200">
      <c r="C200" s="79"/>
      <c r="D200" s="79"/>
      <c r="E200" s="79"/>
      <c r="P200" s="79"/>
      <c r="Q200" s="79"/>
      <c r="R200" s="79"/>
      <c r="Y200" s="79"/>
      <c r="AC200" s="130"/>
      <c r="AE200" s="106"/>
    </row>
    <row r="201">
      <c r="C201" s="79"/>
      <c r="D201" s="79"/>
      <c r="E201" s="79"/>
      <c r="P201" s="79"/>
      <c r="Q201" s="79"/>
      <c r="R201" s="79"/>
      <c r="Y201" s="79"/>
      <c r="AC201" s="130"/>
      <c r="AE201" s="106"/>
    </row>
    <row r="202">
      <c r="C202" s="79"/>
      <c r="D202" s="79"/>
      <c r="E202" s="79"/>
      <c r="P202" s="79"/>
      <c r="Q202" s="79"/>
      <c r="R202" s="79"/>
      <c r="Y202" s="79"/>
      <c r="AC202" s="130"/>
      <c r="AE202" s="106"/>
    </row>
    <row r="203">
      <c r="C203" s="79"/>
      <c r="D203" s="79"/>
      <c r="E203" s="79"/>
      <c r="P203" s="79"/>
      <c r="Q203" s="79"/>
      <c r="R203" s="79"/>
      <c r="Y203" s="79"/>
      <c r="AC203" s="130"/>
      <c r="AE203" s="106"/>
    </row>
    <row r="204">
      <c r="C204" s="79"/>
      <c r="D204" s="79"/>
      <c r="E204" s="79"/>
      <c r="P204" s="79"/>
      <c r="Q204" s="79"/>
      <c r="R204" s="79"/>
      <c r="Y204" s="79"/>
      <c r="AC204" s="130"/>
      <c r="AE204" s="106"/>
    </row>
    <row r="205">
      <c r="C205" s="79"/>
      <c r="D205" s="79"/>
      <c r="E205" s="79"/>
      <c r="P205" s="79"/>
      <c r="Q205" s="79"/>
      <c r="R205" s="79"/>
      <c r="Y205" s="79"/>
      <c r="AC205" s="130"/>
      <c r="AE205" s="106"/>
    </row>
    <row r="206">
      <c r="C206" s="79"/>
      <c r="D206" s="79"/>
      <c r="E206" s="79"/>
      <c r="P206" s="79"/>
      <c r="Q206" s="79"/>
      <c r="R206" s="79"/>
      <c r="Y206" s="79"/>
      <c r="AC206" s="130"/>
      <c r="AE206" s="106"/>
    </row>
    <row r="207">
      <c r="C207" s="79"/>
      <c r="D207" s="79"/>
      <c r="E207" s="79"/>
      <c r="P207" s="79"/>
      <c r="Q207" s="79"/>
      <c r="R207" s="79"/>
      <c r="Y207" s="79"/>
      <c r="AC207" s="130"/>
      <c r="AE207" s="106"/>
    </row>
    <row r="208">
      <c r="C208" s="79"/>
      <c r="D208" s="79"/>
      <c r="E208" s="79"/>
      <c r="P208" s="79"/>
      <c r="Q208" s="79"/>
      <c r="R208" s="79"/>
      <c r="Y208" s="79"/>
      <c r="AC208" s="130"/>
      <c r="AE208" s="106"/>
    </row>
    <row r="209">
      <c r="C209" s="79"/>
      <c r="D209" s="79"/>
      <c r="E209" s="79"/>
      <c r="P209" s="79"/>
      <c r="Q209" s="79"/>
      <c r="R209" s="79"/>
      <c r="Y209" s="79"/>
      <c r="AC209" s="130"/>
      <c r="AE209" s="106"/>
    </row>
    <row r="210">
      <c r="C210" s="79"/>
      <c r="D210" s="79"/>
      <c r="E210" s="79"/>
      <c r="P210" s="79"/>
      <c r="Q210" s="79"/>
      <c r="R210" s="79"/>
      <c r="Y210" s="79"/>
      <c r="AC210" s="130"/>
      <c r="AE210" s="106"/>
    </row>
    <row r="211">
      <c r="C211" s="79"/>
      <c r="D211" s="79"/>
      <c r="E211" s="79"/>
      <c r="P211" s="79"/>
      <c r="Q211" s="79"/>
      <c r="R211" s="79"/>
      <c r="Y211" s="79"/>
      <c r="AC211" s="130"/>
      <c r="AE211" s="106"/>
    </row>
    <row r="212">
      <c r="C212" s="79"/>
      <c r="D212" s="79"/>
      <c r="E212" s="79"/>
      <c r="P212" s="79"/>
      <c r="Q212" s="79"/>
      <c r="R212" s="79"/>
      <c r="Y212" s="79"/>
      <c r="AC212" s="130"/>
      <c r="AE212" s="106"/>
    </row>
    <row r="213">
      <c r="C213" s="79"/>
      <c r="D213" s="79"/>
      <c r="E213" s="79"/>
      <c r="P213" s="79"/>
      <c r="Q213" s="79"/>
      <c r="R213" s="79"/>
      <c r="Y213" s="79"/>
      <c r="AC213" s="130"/>
      <c r="AE213" s="106"/>
    </row>
    <row r="214">
      <c r="C214" s="79"/>
      <c r="D214" s="79"/>
      <c r="E214" s="79"/>
      <c r="P214" s="79"/>
      <c r="Q214" s="79"/>
      <c r="R214" s="79"/>
      <c r="Y214" s="79"/>
      <c r="AC214" s="130"/>
      <c r="AE214" s="106"/>
    </row>
    <row r="215">
      <c r="C215" s="79"/>
      <c r="D215" s="79"/>
      <c r="E215" s="79"/>
      <c r="P215" s="79"/>
      <c r="Q215" s="79"/>
      <c r="R215" s="79"/>
      <c r="Y215" s="79"/>
      <c r="AC215" s="130"/>
      <c r="AE215" s="106"/>
    </row>
    <row r="216">
      <c r="C216" s="79"/>
      <c r="D216" s="79"/>
      <c r="E216" s="79"/>
      <c r="P216" s="79"/>
      <c r="Q216" s="79"/>
      <c r="R216" s="79"/>
      <c r="Y216" s="79"/>
      <c r="AC216" s="130"/>
      <c r="AE216" s="106"/>
    </row>
    <row r="217">
      <c r="C217" s="79"/>
      <c r="D217" s="79"/>
      <c r="E217" s="79"/>
      <c r="P217" s="79"/>
      <c r="Q217" s="79"/>
      <c r="R217" s="79"/>
      <c r="Y217" s="79"/>
      <c r="AC217" s="130"/>
      <c r="AE217" s="106"/>
    </row>
    <row r="218">
      <c r="C218" s="79"/>
      <c r="D218" s="79"/>
      <c r="E218" s="79"/>
      <c r="P218" s="79"/>
      <c r="Q218" s="79"/>
      <c r="R218" s="79"/>
      <c r="Y218" s="79"/>
      <c r="AC218" s="130"/>
      <c r="AE218" s="106"/>
    </row>
    <row r="219">
      <c r="C219" s="79"/>
      <c r="D219" s="79"/>
      <c r="E219" s="79"/>
      <c r="P219" s="79"/>
      <c r="Q219" s="79"/>
      <c r="R219" s="79"/>
      <c r="Y219" s="79"/>
      <c r="AC219" s="130"/>
      <c r="AE219" s="106"/>
    </row>
    <row r="220">
      <c r="C220" s="79"/>
      <c r="D220" s="79"/>
      <c r="E220" s="79"/>
      <c r="P220" s="79"/>
      <c r="Q220" s="79"/>
      <c r="R220" s="79"/>
      <c r="Y220" s="79"/>
      <c r="AC220" s="130"/>
      <c r="AE220" s="106"/>
    </row>
    <row r="221">
      <c r="C221" s="79"/>
      <c r="D221" s="79"/>
      <c r="E221" s="79"/>
      <c r="P221" s="79"/>
      <c r="Q221" s="79"/>
      <c r="R221" s="79"/>
      <c r="Y221" s="79"/>
      <c r="AC221" s="130"/>
      <c r="AE221" s="106"/>
    </row>
    <row r="222">
      <c r="C222" s="79"/>
      <c r="D222" s="79"/>
      <c r="E222" s="79"/>
      <c r="P222" s="79"/>
      <c r="Q222" s="79"/>
      <c r="R222" s="79"/>
      <c r="Y222" s="79"/>
      <c r="AC222" s="130"/>
      <c r="AE222" s="106"/>
    </row>
    <row r="223">
      <c r="C223" s="79"/>
      <c r="D223" s="79"/>
      <c r="E223" s="79"/>
      <c r="P223" s="79"/>
      <c r="Q223" s="79"/>
      <c r="R223" s="79"/>
      <c r="Y223" s="79"/>
      <c r="AC223" s="130"/>
      <c r="AE223" s="106"/>
    </row>
    <row r="224">
      <c r="C224" s="79"/>
      <c r="D224" s="79"/>
      <c r="E224" s="79"/>
      <c r="P224" s="79"/>
      <c r="Q224" s="79"/>
      <c r="R224" s="79"/>
      <c r="Y224" s="79"/>
      <c r="AC224" s="130"/>
      <c r="AE224" s="106"/>
    </row>
    <row r="225">
      <c r="C225" s="79"/>
      <c r="D225" s="79"/>
      <c r="E225" s="79"/>
      <c r="P225" s="79"/>
      <c r="Q225" s="79"/>
      <c r="R225" s="79"/>
      <c r="Y225" s="79"/>
      <c r="AC225" s="130"/>
      <c r="AE225" s="106"/>
    </row>
    <row r="226">
      <c r="C226" s="79"/>
      <c r="D226" s="79"/>
      <c r="E226" s="79"/>
      <c r="P226" s="79"/>
      <c r="Q226" s="79"/>
      <c r="R226" s="79"/>
      <c r="Y226" s="79"/>
      <c r="AC226" s="130"/>
      <c r="AE226" s="106"/>
    </row>
    <row r="227">
      <c r="C227" s="79"/>
      <c r="D227" s="79"/>
      <c r="E227" s="79"/>
      <c r="P227" s="79"/>
      <c r="Q227" s="79"/>
      <c r="R227" s="79"/>
      <c r="Y227" s="79"/>
      <c r="AC227" s="130"/>
      <c r="AE227" s="106"/>
    </row>
    <row r="228">
      <c r="C228" s="79"/>
      <c r="D228" s="79"/>
      <c r="E228" s="79"/>
      <c r="P228" s="79"/>
      <c r="Q228" s="79"/>
      <c r="R228" s="79"/>
      <c r="Y228" s="79"/>
      <c r="AC228" s="130"/>
      <c r="AE228" s="106"/>
    </row>
    <row r="229">
      <c r="C229" s="79"/>
      <c r="D229" s="79"/>
      <c r="E229" s="79"/>
      <c r="P229" s="79"/>
      <c r="Q229" s="79"/>
      <c r="R229" s="79"/>
      <c r="Y229" s="79"/>
      <c r="AC229" s="130"/>
      <c r="AE229" s="106"/>
    </row>
    <row r="230">
      <c r="C230" s="79"/>
      <c r="D230" s="79"/>
      <c r="E230" s="79"/>
      <c r="P230" s="79"/>
      <c r="Q230" s="79"/>
      <c r="R230" s="79"/>
      <c r="Y230" s="79"/>
      <c r="AC230" s="130"/>
      <c r="AE230" s="106"/>
    </row>
    <row r="231">
      <c r="C231" s="79"/>
      <c r="D231" s="79"/>
      <c r="E231" s="79"/>
      <c r="P231" s="79"/>
      <c r="Q231" s="79"/>
      <c r="R231" s="79"/>
      <c r="Y231" s="79"/>
      <c r="AC231" s="130"/>
      <c r="AE231" s="106"/>
    </row>
    <row r="232">
      <c r="C232" s="79"/>
      <c r="D232" s="79"/>
      <c r="E232" s="79"/>
      <c r="P232" s="79"/>
      <c r="Q232" s="79"/>
      <c r="R232" s="79"/>
      <c r="Y232" s="79"/>
      <c r="AC232" s="130"/>
      <c r="AE232" s="106"/>
    </row>
    <row r="233">
      <c r="C233" s="79"/>
      <c r="D233" s="79"/>
      <c r="E233" s="79"/>
      <c r="P233" s="79"/>
      <c r="Q233" s="79"/>
      <c r="R233" s="79"/>
      <c r="Y233" s="79"/>
      <c r="AC233" s="130"/>
      <c r="AE233" s="106"/>
    </row>
    <row r="234">
      <c r="C234" s="79"/>
      <c r="D234" s="79"/>
      <c r="E234" s="79"/>
      <c r="P234" s="79"/>
      <c r="Q234" s="79"/>
      <c r="R234" s="79"/>
      <c r="Y234" s="79"/>
      <c r="AC234" s="130"/>
      <c r="AE234" s="106"/>
    </row>
    <row r="235">
      <c r="C235" s="79"/>
      <c r="D235" s="79"/>
      <c r="E235" s="79"/>
      <c r="P235" s="79"/>
      <c r="Q235" s="79"/>
      <c r="R235" s="79"/>
      <c r="Y235" s="79"/>
      <c r="AC235" s="130"/>
      <c r="AE235" s="106"/>
    </row>
    <row r="236">
      <c r="C236" s="79"/>
      <c r="D236" s="79"/>
      <c r="E236" s="79"/>
      <c r="P236" s="79"/>
      <c r="Q236" s="79"/>
      <c r="R236" s="79"/>
      <c r="Y236" s="79"/>
      <c r="AC236" s="130"/>
      <c r="AE236" s="106"/>
    </row>
    <row r="237">
      <c r="C237" s="79"/>
      <c r="D237" s="79"/>
      <c r="E237" s="79"/>
      <c r="P237" s="79"/>
      <c r="Q237" s="79"/>
      <c r="R237" s="79"/>
      <c r="Y237" s="79"/>
      <c r="AC237" s="130"/>
      <c r="AE237" s="106"/>
    </row>
    <row r="238">
      <c r="C238" s="79"/>
      <c r="D238" s="79"/>
      <c r="E238" s="79"/>
      <c r="P238" s="79"/>
      <c r="Q238" s="79"/>
      <c r="R238" s="79"/>
      <c r="Y238" s="79"/>
      <c r="AC238" s="130"/>
      <c r="AE238" s="106"/>
    </row>
    <row r="239">
      <c r="C239" s="79"/>
      <c r="D239" s="79"/>
      <c r="E239" s="79"/>
      <c r="P239" s="79"/>
      <c r="Q239" s="79"/>
      <c r="R239" s="79"/>
      <c r="Y239" s="79"/>
      <c r="AC239" s="130"/>
      <c r="AE239" s="106"/>
    </row>
    <row r="240">
      <c r="C240" s="79"/>
      <c r="D240" s="79"/>
      <c r="E240" s="79"/>
      <c r="P240" s="79"/>
      <c r="Q240" s="79"/>
      <c r="R240" s="79"/>
      <c r="Y240" s="79"/>
      <c r="AC240" s="130"/>
      <c r="AE240" s="106"/>
    </row>
    <row r="241">
      <c r="C241" s="79"/>
      <c r="D241" s="79"/>
      <c r="E241" s="79"/>
      <c r="P241" s="79"/>
      <c r="Q241" s="79"/>
      <c r="R241" s="79"/>
      <c r="Y241" s="79"/>
      <c r="AC241" s="130"/>
      <c r="AE241" s="106"/>
    </row>
    <row r="242">
      <c r="C242" s="79"/>
      <c r="D242" s="79"/>
      <c r="E242" s="79"/>
      <c r="P242" s="79"/>
      <c r="Q242" s="79"/>
      <c r="R242" s="79"/>
      <c r="Y242" s="79"/>
      <c r="AC242" s="130"/>
      <c r="AE242" s="106"/>
    </row>
    <row r="243">
      <c r="C243" s="79"/>
      <c r="D243" s="79"/>
      <c r="E243" s="79"/>
      <c r="P243" s="79"/>
      <c r="Q243" s="79"/>
      <c r="R243" s="79"/>
      <c r="Y243" s="79"/>
      <c r="AC243" s="130"/>
      <c r="AE243" s="106"/>
    </row>
    <row r="244">
      <c r="C244" s="79"/>
      <c r="D244" s="79"/>
      <c r="E244" s="79"/>
      <c r="P244" s="79"/>
      <c r="Q244" s="79"/>
      <c r="R244" s="79"/>
      <c r="Y244" s="79"/>
      <c r="AC244" s="130"/>
      <c r="AE244" s="106"/>
    </row>
    <row r="245">
      <c r="C245" s="79"/>
      <c r="D245" s="79"/>
      <c r="E245" s="79"/>
      <c r="P245" s="79"/>
      <c r="Q245" s="79"/>
      <c r="R245" s="79"/>
      <c r="Y245" s="79"/>
      <c r="AC245" s="130"/>
      <c r="AE245" s="106"/>
    </row>
    <row r="246">
      <c r="C246" s="79"/>
      <c r="D246" s="79"/>
      <c r="E246" s="79"/>
      <c r="P246" s="79"/>
      <c r="Q246" s="79"/>
      <c r="R246" s="79"/>
      <c r="Y246" s="79"/>
      <c r="AC246" s="130"/>
      <c r="AE246" s="106"/>
    </row>
    <row r="247">
      <c r="C247" s="79"/>
      <c r="D247" s="79"/>
      <c r="E247" s="79"/>
      <c r="P247" s="79"/>
      <c r="Q247" s="79"/>
      <c r="R247" s="79"/>
      <c r="Y247" s="79"/>
      <c r="AC247" s="130"/>
      <c r="AE247" s="106"/>
    </row>
    <row r="248">
      <c r="C248" s="79"/>
      <c r="D248" s="79"/>
      <c r="E248" s="79"/>
      <c r="P248" s="79"/>
      <c r="Q248" s="79"/>
      <c r="R248" s="79"/>
      <c r="Y248" s="79"/>
      <c r="AC248" s="130"/>
      <c r="AE248" s="106"/>
    </row>
    <row r="249">
      <c r="C249" s="79"/>
      <c r="D249" s="79"/>
      <c r="E249" s="79"/>
      <c r="P249" s="79"/>
      <c r="Q249" s="79"/>
      <c r="R249" s="79"/>
      <c r="Y249" s="79"/>
      <c r="AC249" s="130"/>
      <c r="AE249" s="106"/>
    </row>
    <row r="250">
      <c r="C250" s="79"/>
      <c r="D250" s="79"/>
      <c r="E250" s="79"/>
      <c r="P250" s="79"/>
      <c r="Q250" s="79"/>
      <c r="R250" s="79"/>
      <c r="Y250" s="79"/>
      <c r="AC250" s="130"/>
      <c r="AE250" s="106"/>
    </row>
    <row r="251">
      <c r="C251" s="79"/>
      <c r="D251" s="79"/>
      <c r="E251" s="79"/>
      <c r="P251" s="79"/>
      <c r="Q251" s="79"/>
      <c r="R251" s="79"/>
      <c r="Y251" s="79"/>
      <c r="AC251" s="130"/>
      <c r="AE251" s="106"/>
    </row>
    <row r="252">
      <c r="C252" s="79"/>
      <c r="D252" s="79"/>
      <c r="E252" s="79"/>
      <c r="P252" s="79"/>
      <c r="Q252" s="79"/>
      <c r="R252" s="79"/>
      <c r="Y252" s="79"/>
      <c r="AC252" s="130"/>
      <c r="AE252" s="106"/>
    </row>
    <row r="253">
      <c r="C253" s="79"/>
      <c r="D253" s="79"/>
      <c r="E253" s="79"/>
      <c r="P253" s="79"/>
      <c r="Q253" s="79"/>
      <c r="R253" s="79"/>
      <c r="Y253" s="79"/>
      <c r="AC253" s="130"/>
      <c r="AE253" s="106"/>
    </row>
    <row r="254">
      <c r="C254" s="79"/>
      <c r="D254" s="79"/>
      <c r="E254" s="79"/>
      <c r="P254" s="79"/>
      <c r="Q254" s="79"/>
      <c r="R254" s="79"/>
      <c r="Y254" s="79"/>
      <c r="AC254" s="130"/>
      <c r="AE254" s="106"/>
    </row>
    <row r="255">
      <c r="C255" s="79"/>
      <c r="D255" s="79"/>
      <c r="E255" s="79"/>
      <c r="P255" s="79"/>
      <c r="Q255" s="79"/>
      <c r="R255" s="79"/>
      <c r="Y255" s="79"/>
      <c r="AC255" s="130"/>
      <c r="AE255" s="106"/>
    </row>
    <row r="256">
      <c r="C256" s="79"/>
      <c r="D256" s="79"/>
      <c r="E256" s="79"/>
      <c r="P256" s="79"/>
      <c r="Q256" s="79"/>
      <c r="R256" s="79"/>
      <c r="Y256" s="79"/>
      <c r="AC256" s="130"/>
      <c r="AE256" s="106"/>
    </row>
    <row r="257">
      <c r="C257" s="79"/>
      <c r="D257" s="79"/>
      <c r="E257" s="79"/>
      <c r="P257" s="79"/>
      <c r="Q257" s="79"/>
      <c r="R257" s="79"/>
      <c r="Y257" s="79"/>
      <c r="AC257" s="130"/>
      <c r="AE257" s="106"/>
    </row>
    <row r="258">
      <c r="C258" s="79"/>
      <c r="D258" s="79"/>
      <c r="E258" s="79"/>
      <c r="P258" s="79"/>
      <c r="Q258" s="79"/>
      <c r="R258" s="79"/>
      <c r="Y258" s="79"/>
      <c r="AC258" s="130"/>
      <c r="AE258" s="106"/>
    </row>
    <row r="259">
      <c r="C259" s="79"/>
      <c r="D259" s="79"/>
      <c r="E259" s="79"/>
      <c r="P259" s="79"/>
      <c r="Q259" s="79"/>
      <c r="R259" s="79"/>
      <c r="Y259" s="79"/>
      <c r="AC259" s="130"/>
      <c r="AE259" s="106"/>
    </row>
    <row r="260">
      <c r="C260" s="79"/>
      <c r="D260" s="79"/>
      <c r="E260" s="79"/>
      <c r="P260" s="79"/>
      <c r="Q260" s="79"/>
      <c r="R260" s="79"/>
      <c r="Y260" s="79"/>
      <c r="AC260" s="130"/>
      <c r="AE260" s="106"/>
    </row>
    <row r="261">
      <c r="C261" s="79"/>
      <c r="D261" s="79"/>
      <c r="E261" s="79"/>
      <c r="P261" s="79"/>
      <c r="Q261" s="79"/>
      <c r="R261" s="79"/>
      <c r="Y261" s="79"/>
      <c r="AC261" s="130"/>
      <c r="AE261" s="106"/>
    </row>
    <row r="262">
      <c r="C262" s="79"/>
      <c r="D262" s="79"/>
      <c r="E262" s="79"/>
      <c r="P262" s="79"/>
      <c r="Q262" s="79"/>
      <c r="R262" s="79"/>
      <c r="Y262" s="79"/>
      <c r="AC262" s="130"/>
      <c r="AE262" s="106"/>
    </row>
    <row r="263">
      <c r="C263" s="79"/>
      <c r="D263" s="79"/>
      <c r="E263" s="79"/>
      <c r="P263" s="79"/>
      <c r="Q263" s="79"/>
      <c r="R263" s="79"/>
      <c r="Y263" s="79"/>
      <c r="AC263" s="130"/>
      <c r="AE263" s="106"/>
    </row>
    <row r="264">
      <c r="C264" s="79"/>
      <c r="D264" s="79"/>
      <c r="E264" s="79"/>
      <c r="P264" s="79"/>
      <c r="Q264" s="79"/>
      <c r="R264" s="79"/>
      <c r="Y264" s="79"/>
      <c r="AC264" s="130"/>
      <c r="AE264" s="106"/>
    </row>
    <row r="265">
      <c r="C265" s="79"/>
      <c r="D265" s="79"/>
      <c r="E265" s="79"/>
      <c r="P265" s="79"/>
      <c r="Q265" s="79"/>
      <c r="R265" s="79"/>
      <c r="Y265" s="79"/>
      <c r="AC265" s="130"/>
      <c r="AE265" s="106"/>
    </row>
    <row r="266">
      <c r="C266" s="79"/>
      <c r="D266" s="79"/>
      <c r="E266" s="79"/>
      <c r="P266" s="79"/>
      <c r="Q266" s="79"/>
      <c r="R266" s="79"/>
      <c r="Y266" s="79"/>
      <c r="AC266" s="130"/>
      <c r="AE266" s="106"/>
    </row>
    <row r="267">
      <c r="C267" s="79"/>
      <c r="D267" s="79"/>
      <c r="E267" s="79"/>
      <c r="P267" s="79"/>
      <c r="Q267" s="79"/>
      <c r="R267" s="79"/>
      <c r="Y267" s="79"/>
      <c r="AC267" s="130"/>
      <c r="AE267" s="106"/>
    </row>
    <row r="268">
      <c r="C268" s="79"/>
      <c r="D268" s="79"/>
      <c r="E268" s="79"/>
      <c r="P268" s="79"/>
      <c r="Q268" s="79"/>
      <c r="R268" s="79"/>
      <c r="Y268" s="79"/>
      <c r="AC268" s="130"/>
      <c r="AE268" s="106"/>
    </row>
    <row r="269">
      <c r="C269" s="79"/>
      <c r="D269" s="79"/>
      <c r="E269" s="79"/>
      <c r="P269" s="79"/>
      <c r="Q269" s="79"/>
      <c r="R269" s="79"/>
      <c r="Y269" s="79"/>
      <c r="AC269" s="130"/>
      <c r="AE269" s="106"/>
    </row>
    <row r="270">
      <c r="C270" s="79"/>
      <c r="D270" s="79"/>
      <c r="E270" s="79"/>
      <c r="P270" s="79"/>
      <c r="Q270" s="79"/>
      <c r="R270" s="79"/>
      <c r="Y270" s="79"/>
      <c r="AC270" s="130"/>
      <c r="AE270" s="106"/>
    </row>
    <row r="271">
      <c r="C271" s="79"/>
      <c r="D271" s="79"/>
      <c r="E271" s="79"/>
      <c r="P271" s="79"/>
      <c r="Q271" s="79"/>
      <c r="R271" s="79"/>
      <c r="Y271" s="79"/>
      <c r="AC271" s="130"/>
      <c r="AE271" s="106"/>
    </row>
    <row r="272">
      <c r="C272" s="79"/>
      <c r="D272" s="79"/>
      <c r="E272" s="79"/>
      <c r="P272" s="79"/>
      <c r="Q272" s="79"/>
      <c r="R272" s="79"/>
      <c r="Y272" s="79"/>
      <c r="AC272" s="130"/>
      <c r="AE272" s="106"/>
    </row>
    <row r="273">
      <c r="C273" s="79"/>
      <c r="D273" s="79"/>
      <c r="E273" s="79"/>
      <c r="P273" s="79"/>
      <c r="Q273" s="79"/>
      <c r="R273" s="79"/>
      <c r="Y273" s="79"/>
      <c r="AC273" s="130"/>
      <c r="AE273" s="106"/>
    </row>
    <row r="274">
      <c r="C274" s="79"/>
      <c r="D274" s="79"/>
      <c r="E274" s="79"/>
      <c r="P274" s="79"/>
      <c r="Q274" s="79"/>
      <c r="R274" s="79"/>
      <c r="Y274" s="79"/>
      <c r="AC274" s="130"/>
      <c r="AE274" s="106"/>
    </row>
    <row r="275">
      <c r="C275" s="79"/>
      <c r="D275" s="79"/>
      <c r="E275" s="79"/>
      <c r="P275" s="79"/>
      <c r="Q275" s="79"/>
      <c r="R275" s="79"/>
      <c r="Y275" s="79"/>
      <c r="AC275" s="130"/>
      <c r="AE275" s="106"/>
    </row>
    <row r="276">
      <c r="C276" s="79"/>
      <c r="D276" s="79"/>
      <c r="E276" s="79"/>
      <c r="P276" s="79"/>
      <c r="Q276" s="79"/>
      <c r="R276" s="79"/>
      <c r="Y276" s="79"/>
      <c r="AC276" s="130"/>
      <c r="AE276" s="106"/>
    </row>
    <row r="277">
      <c r="C277" s="79"/>
      <c r="D277" s="79"/>
      <c r="E277" s="79"/>
      <c r="P277" s="79"/>
      <c r="Q277" s="79"/>
      <c r="R277" s="79"/>
      <c r="Y277" s="79"/>
      <c r="AC277" s="130"/>
      <c r="AE277" s="106"/>
    </row>
    <row r="278">
      <c r="C278" s="79"/>
      <c r="D278" s="79"/>
      <c r="E278" s="79"/>
      <c r="P278" s="79"/>
      <c r="Q278" s="79"/>
      <c r="R278" s="79"/>
      <c r="Y278" s="79"/>
      <c r="AC278" s="130"/>
      <c r="AE278" s="106"/>
    </row>
    <row r="279">
      <c r="C279" s="79"/>
      <c r="D279" s="79"/>
      <c r="E279" s="79"/>
      <c r="P279" s="79"/>
      <c r="Q279" s="79"/>
      <c r="R279" s="79"/>
      <c r="Y279" s="79"/>
      <c r="AC279" s="130"/>
      <c r="AE279" s="106"/>
    </row>
    <row r="280">
      <c r="C280" s="79"/>
      <c r="D280" s="79"/>
      <c r="E280" s="79"/>
      <c r="P280" s="79"/>
      <c r="Q280" s="79"/>
      <c r="R280" s="79"/>
      <c r="Y280" s="79"/>
      <c r="AC280" s="130"/>
      <c r="AE280" s="106"/>
    </row>
    <row r="281">
      <c r="C281" s="79"/>
      <c r="D281" s="79"/>
      <c r="E281" s="79"/>
      <c r="P281" s="79"/>
      <c r="Q281" s="79"/>
      <c r="R281" s="79"/>
      <c r="Y281" s="79"/>
      <c r="AC281" s="130"/>
      <c r="AE281" s="106"/>
    </row>
    <row r="282">
      <c r="C282" s="79"/>
      <c r="D282" s="79"/>
      <c r="E282" s="79"/>
      <c r="P282" s="79"/>
      <c r="Q282" s="79"/>
      <c r="R282" s="79"/>
      <c r="Y282" s="79"/>
      <c r="AC282" s="130"/>
      <c r="AE282" s="106"/>
    </row>
    <row r="283">
      <c r="C283" s="79"/>
      <c r="D283" s="79"/>
      <c r="E283" s="79"/>
      <c r="P283" s="79"/>
      <c r="Q283" s="79"/>
      <c r="R283" s="79"/>
      <c r="Y283" s="79"/>
      <c r="AC283" s="130"/>
      <c r="AE283" s="106"/>
    </row>
    <row r="284">
      <c r="C284" s="79"/>
      <c r="D284" s="79"/>
      <c r="E284" s="79"/>
      <c r="P284" s="79"/>
      <c r="Q284" s="79"/>
      <c r="R284" s="79"/>
      <c r="Y284" s="79"/>
      <c r="AC284" s="130"/>
      <c r="AE284" s="106"/>
    </row>
    <row r="285">
      <c r="C285" s="79"/>
      <c r="D285" s="79"/>
      <c r="E285" s="79"/>
      <c r="P285" s="79"/>
      <c r="Q285" s="79"/>
      <c r="R285" s="79"/>
      <c r="Y285" s="79"/>
      <c r="AC285" s="130"/>
      <c r="AE285" s="106"/>
    </row>
    <row r="286">
      <c r="C286" s="79"/>
      <c r="D286" s="79"/>
      <c r="E286" s="79"/>
      <c r="P286" s="79"/>
      <c r="Q286" s="79"/>
      <c r="R286" s="79"/>
      <c r="Y286" s="79"/>
      <c r="AC286" s="130"/>
      <c r="AE286" s="106"/>
    </row>
    <row r="287">
      <c r="C287" s="79"/>
      <c r="D287" s="79"/>
      <c r="E287" s="79"/>
      <c r="P287" s="79"/>
      <c r="Q287" s="79"/>
      <c r="R287" s="79"/>
      <c r="Y287" s="79"/>
      <c r="AC287" s="130"/>
      <c r="AE287" s="106"/>
    </row>
    <row r="288">
      <c r="C288" s="79"/>
      <c r="D288" s="79"/>
      <c r="E288" s="79"/>
      <c r="P288" s="79"/>
      <c r="Q288" s="79"/>
      <c r="R288" s="79"/>
      <c r="Y288" s="79"/>
      <c r="AC288" s="130"/>
      <c r="AE288" s="106"/>
    </row>
    <row r="289">
      <c r="C289" s="79"/>
      <c r="D289" s="79"/>
      <c r="E289" s="79"/>
      <c r="P289" s="79"/>
      <c r="Q289" s="79"/>
      <c r="R289" s="79"/>
      <c r="Y289" s="79"/>
      <c r="AC289" s="130"/>
      <c r="AE289" s="106"/>
    </row>
    <row r="290">
      <c r="C290" s="79"/>
      <c r="D290" s="79"/>
      <c r="E290" s="79"/>
      <c r="P290" s="79"/>
      <c r="Q290" s="79"/>
      <c r="R290" s="79"/>
      <c r="Y290" s="79"/>
      <c r="AC290" s="130"/>
      <c r="AE290" s="106"/>
    </row>
    <row r="291">
      <c r="C291" s="79"/>
      <c r="D291" s="79"/>
      <c r="E291" s="79"/>
      <c r="P291" s="79"/>
      <c r="Q291" s="79"/>
      <c r="R291" s="79"/>
      <c r="Y291" s="79"/>
      <c r="AC291" s="130"/>
      <c r="AE291" s="106"/>
    </row>
    <row r="292">
      <c r="C292" s="79"/>
      <c r="D292" s="79"/>
      <c r="E292" s="79"/>
      <c r="P292" s="79"/>
      <c r="Q292" s="79"/>
      <c r="R292" s="79"/>
      <c r="Y292" s="79"/>
      <c r="AC292" s="130"/>
      <c r="AE292" s="106"/>
    </row>
    <row r="293">
      <c r="C293" s="79"/>
      <c r="D293" s="79"/>
      <c r="E293" s="79"/>
      <c r="P293" s="79"/>
      <c r="Q293" s="79"/>
      <c r="R293" s="79"/>
      <c r="Y293" s="79"/>
      <c r="AC293" s="130"/>
      <c r="AE293" s="106"/>
    </row>
    <row r="294">
      <c r="C294" s="79"/>
      <c r="D294" s="79"/>
      <c r="E294" s="79"/>
      <c r="P294" s="79"/>
      <c r="Q294" s="79"/>
      <c r="R294" s="79"/>
      <c r="Y294" s="79"/>
      <c r="AC294" s="130"/>
      <c r="AE294" s="106"/>
    </row>
    <row r="295">
      <c r="C295" s="79"/>
      <c r="D295" s="79"/>
      <c r="E295" s="79"/>
      <c r="P295" s="79"/>
      <c r="Q295" s="79"/>
      <c r="R295" s="79"/>
      <c r="Y295" s="79"/>
      <c r="AC295" s="130"/>
      <c r="AE295" s="106"/>
    </row>
    <row r="296">
      <c r="C296" s="79"/>
      <c r="D296" s="79"/>
      <c r="E296" s="79"/>
      <c r="P296" s="79"/>
      <c r="Q296" s="79"/>
      <c r="R296" s="79"/>
      <c r="Y296" s="79"/>
      <c r="AC296" s="130"/>
      <c r="AE296" s="106"/>
    </row>
    <row r="297">
      <c r="C297" s="79"/>
      <c r="D297" s="79"/>
      <c r="E297" s="79"/>
      <c r="P297" s="79"/>
      <c r="Q297" s="79"/>
      <c r="R297" s="79"/>
      <c r="Y297" s="79"/>
      <c r="AC297" s="130"/>
      <c r="AE297" s="106"/>
    </row>
    <row r="298">
      <c r="C298" s="79"/>
      <c r="D298" s="79"/>
      <c r="E298" s="79"/>
      <c r="P298" s="79"/>
      <c r="Q298" s="79"/>
      <c r="R298" s="79"/>
      <c r="Y298" s="79"/>
      <c r="AC298" s="130"/>
      <c r="AE298" s="106"/>
    </row>
    <row r="299">
      <c r="C299" s="79"/>
      <c r="D299" s="79"/>
      <c r="E299" s="79"/>
      <c r="P299" s="79"/>
      <c r="Q299" s="79"/>
      <c r="R299" s="79"/>
      <c r="Y299" s="79"/>
      <c r="AC299" s="130"/>
      <c r="AE299" s="106"/>
    </row>
    <row r="300">
      <c r="C300" s="79"/>
      <c r="D300" s="79"/>
      <c r="E300" s="79"/>
      <c r="P300" s="79"/>
      <c r="Q300" s="79"/>
      <c r="R300" s="79"/>
      <c r="Y300" s="79"/>
      <c r="AC300" s="130"/>
      <c r="AE300" s="106"/>
    </row>
    <row r="301">
      <c r="C301" s="79"/>
      <c r="D301" s="79"/>
      <c r="E301" s="79"/>
      <c r="P301" s="79"/>
      <c r="Q301" s="79"/>
      <c r="R301" s="79"/>
      <c r="Y301" s="79"/>
      <c r="AC301" s="130"/>
      <c r="AE301" s="106"/>
    </row>
    <row r="302">
      <c r="C302" s="79"/>
      <c r="D302" s="79"/>
      <c r="E302" s="79"/>
      <c r="P302" s="79"/>
      <c r="Q302" s="79"/>
      <c r="R302" s="79"/>
      <c r="Y302" s="79"/>
      <c r="AC302" s="130"/>
      <c r="AE302" s="106"/>
    </row>
    <row r="303">
      <c r="C303" s="79"/>
      <c r="D303" s="79"/>
      <c r="E303" s="79"/>
      <c r="P303" s="79"/>
      <c r="Q303" s="79"/>
      <c r="R303" s="79"/>
      <c r="Y303" s="79"/>
      <c r="AC303" s="130"/>
      <c r="AE303" s="106"/>
    </row>
    <row r="304">
      <c r="C304" s="79"/>
      <c r="D304" s="79"/>
      <c r="E304" s="79"/>
      <c r="P304" s="79"/>
      <c r="Q304" s="79"/>
      <c r="R304" s="79"/>
      <c r="Y304" s="79"/>
      <c r="AC304" s="130"/>
      <c r="AE304" s="106"/>
    </row>
    <row r="305">
      <c r="C305" s="79"/>
      <c r="D305" s="79"/>
      <c r="E305" s="79"/>
      <c r="P305" s="79"/>
      <c r="Q305" s="79"/>
      <c r="R305" s="79"/>
      <c r="Y305" s="79"/>
      <c r="AC305" s="130"/>
      <c r="AE305" s="106"/>
    </row>
    <row r="306">
      <c r="C306" s="79"/>
      <c r="D306" s="79"/>
      <c r="E306" s="79"/>
      <c r="P306" s="79"/>
      <c r="Q306" s="79"/>
      <c r="R306" s="79"/>
      <c r="Y306" s="79"/>
      <c r="AC306" s="130"/>
      <c r="AE306" s="106"/>
    </row>
    <row r="307">
      <c r="C307" s="79"/>
      <c r="D307" s="79"/>
      <c r="E307" s="79"/>
      <c r="P307" s="79"/>
      <c r="Q307" s="79"/>
      <c r="R307" s="79"/>
      <c r="Y307" s="79"/>
      <c r="AC307" s="130"/>
      <c r="AE307" s="106"/>
    </row>
    <row r="308">
      <c r="C308" s="79"/>
      <c r="D308" s="79"/>
      <c r="E308" s="79"/>
      <c r="P308" s="79"/>
      <c r="Q308" s="79"/>
      <c r="R308" s="79"/>
      <c r="Y308" s="79"/>
      <c r="AC308" s="130"/>
      <c r="AE308" s="106"/>
    </row>
    <row r="309">
      <c r="C309" s="79"/>
      <c r="D309" s="79"/>
      <c r="E309" s="79"/>
      <c r="P309" s="79"/>
      <c r="Q309" s="79"/>
      <c r="R309" s="79"/>
      <c r="Y309" s="79"/>
      <c r="AC309" s="130"/>
      <c r="AE309" s="106"/>
    </row>
    <row r="310">
      <c r="C310" s="79"/>
      <c r="D310" s="79"/>
      <c r="E310" s="79"/>
      <c r="P310" s="79"/>
      <c r="Q310" s="79"/>
      <c r="R310" s="79"/>
      <c r="Y310" s="79"/>
      <c r="AC310" s="130"/>
      <c r="AE310" s="106"/>
    </row>
    <row r="311">
      <c r="C311" s="79"/>
      <c r="D311" s="79"/>
      <c r="E311" s="79"/>
      <c r="P311" s="79"/>
      <c r="Q311" s="79"/>
      <c r="R311" s="79"/>
      <c r="Y311" s="79"/>
      <c r="AC311" s="130"/>
      <c r="AE311" s="106"/>
    </row>
    <row r="312">
      <c r="C312" s="79"/>
      <c r="D312" s="79"/>
      <c r="E312" s="79"/>
      <c r="P312" s="79"/>
      <c r="Q312" s="79"/>
      <c r="R312" s="79"/>
      <c r="Y312" s="79"/>
      <c r="AC312" s="130"/>
      <c r="AE312" s="106"/>
    </row>
    <row r="313">
      <c r="C313" s="79"/>
      <c r="D313" s="79"/>
      <c r="E313" s="79"/>
      <c r="P313" s="79"/>
      <c r="Q313" s="79"/>
      <c r="R313" s="79"/>
      <c r="Y313" s="79"/>
      <c r="AC313" s="130"/>
      <c r="AE313" s="106"/>
    </row>
    <row r="314">
      <c r="C314" s="79"/>
      <c r="D314" s="79"/>
      <c r="E314" s="79"/>
      <c r="P314" s="79"/>
      <c r="Q314" s="79"/>
      <c r="R314" s="79"/>
      <c r="Y314" s="79"/>
      <c r="AC314" s="130"/>
      <c r="AE314" s="106"/>
    </row>
    <row r="315">
      <c r="C315" s="79"/>
      <c r="D315" s="79"/>
      <c r="E315" s="79"/>
      <c r="P315" s="79"/>
      <c r="Q315" s="79"/>
      <c r="R315" s="79"/>
      <c r="Y315" s="79"/>
      <c r="AC315" s="130"/>
      <c r="AE315" s="106"/>
    </row>
    <row r="316">
      <c r="C316" s="79"/>
      <c r="D316" s="79"/>
      <c r="E316" s="79"/>
      <c r="P316" s="79"/>
      <c r="Q316" s="79"/>
      <c r="R316" s="79"/>
      <c r="Y316" s="79"/>
      <c r="AC316" s="130"/>
      <c r="AE316" s="106"/>
    </row>
    <row r="317">
      <c r="C317" s="79"/>
      <c r="D317" s="79"/>
      <c r="E317" s="79"/>
      <c r="P317" s="79"/>
      <c r="Q317" s="79"/>
      <c r="R317" s="79"/>
      <c r="Y317" s="79"/>
      <c r="AC317" s="130"/>
      <c r="AE317" s="106"/>
    </row>
    <row r="318">
      <c r="C318" s="79"/>
      <c r="D318" s="79"/>
      <c r="E318" s="79"/>
      <c r="P318" s="79"/>
      <c r="Q318" s="79"/>
      <c r="R318" s="79"/>
      <c r="Y318" s="79"/>
      <c r="AC318" s="130"/>
      <c r="AE318" s="106"/>
    </row>
    <row r="319">
      <c r="C319" s="79"/>
      <c r="D319" s="79"/>
      <c r="E319" s="79"/>
      <c r="P319" s="79"/>
      <c r="Q319" s="79"/>
      <c r="R319" s="79"/>
      <c r="Y319" s="79"/>
      <c r="AC319" s="130"/>
      <c r="AE319" s="106"/>
    </row>
    <row r="320">
      <c r="C320" s="79"/>
      <c r="D320" s="79"/>
      <c r="E320" s="79"/>
      <c r="P320" s="79"/>
      <c r="Q320" s="79"/>
      <c r="R320" s="79"/>
      <c r="Y320" s="79"/>
      <c r="AC320" s="130"/>
      <c r="AE320" s="106"/>
    </row>
    <row r="321">
      <c r="C321" s="79"/>
      <c r="D321" s="79"/>
      <c r="E321" s="79"/>
      <c r="P321" s="79"/>
      <c r="Q321" s="79"/>
      <c r="R321" s="79"/>
      <c r="Y321" s="79"/>
      <c r="AC321" s="130"/>
      <c r="AE321" s="106"/>
    </row>
    <row r="322">
      <c r="C322" s="79"/>
      <c r="D322" s="79"/>
      <c r="E322" s="79"/>
      <c r="P322" s="79"/>
      <c r="Q322" s="79"/>
      <c r="R322" s="79"/>
      <c r="Y322" s="79"/>
      <c r="AC322" s="130"/>
      <c r="AE322" s="106"/>
    </row>
    <row r="323">
      <c r="C323" s="79"/>
      <c r="D323" s="79"/>
      <c r="E323" s="79"/>
      <c r="P323" s="79"/>
      <c r="Q323" s="79"/>
      <c r="R323" s="79"/>
      <c r="Y323" s="79"/>
      <c r="AC323" s="130"/>
      <c r="AE323" s="106"/>
    </row>
    <row r="324">
      <c r="C324" s="79"/>
      <c r="D324" s="79"/>
      <c r="E324" s="79"/>
      <c r="P324" s="79"/>
      <c r="Q324" s="79"/>
      <c r="R324" s="79"/>
      <c r="Y324" s="79"/>
      <c r="AC324" s="130"/>
      <c r="AE324" s="106"/>
    </row>
    <row r="325">
      <c r="C325" s="79"/>
      <c r="D325" s="79"/>
      <c r="E325" s="79"/>
      <c r="P325" s="79"/>
      <c r="Q325" s="79"/>
      <c r="R325" s="79"/>
      <c r="Y325" s="79"/>
      <c r="AC325" s="130"/>
      <c r="AE325" s="106"/>
    </row>
    <row r="326">
      <c r="C326" s="79"/>
      <c r="D326" s="79"/>
      <c r="E326" s="79"/>
      <c r="P326" s="79"/>
      <c r="Q326" s="79"/>
      <c r="R326" s="79"/>
      <c r="Y326" s="79"/>
      <c r="AC326" s="130"/>
      <c r="AE326" s="106"/>
    </row>
    <row r="327">
      <c r="C327" s="79"/>
      <c r="D327" s="79"/>
      <c r="E327" s="79"/>
      <c r="P327" s="79"/>
      <c r="Q327" s="79"/>
      <c r="R327" s="79"/>
      <c r="Y327" s="79"/>
      <c r="AC327" s="130"/>
      <c r="AE327" s="106"/>
    </row>
    <row r="328">
      <c r="C328" s="79"/>
      <c r="D328" s="79"/>
      <c r="E328" s="79"/>
      <c r="P328" s="79"/>
      <c r="Q328" s="79"/>
      <c r="R328" s="79"/>
      <c r="Y328" s="79"/>
      <c r="AC328" s="130"/>
      <c r="AE328" s="106"/>
    </row>
    <row r="329">
      <c r="C329" s="79"/>
      <c r="D329" s="79"/>
      <c r="E329" s="79"/>
      <c r="P329" s="79"/>
      <c r="Q329" s="79"/>
      <c r="R329" s="79"/>
      <c r="Y329" s="79"/>
      <c r="AC329" s="130"/>
      <c r="AE329" s="106"/>
    </row>
    <row r="330">
      <c r="C330" s="79"/>
      <c r="D330" s="79"/>
      <c r="E330" s="79"/>
      <c r="P330" s="79"/>
      <c r="Q330" s="79"/>
      <c r="R330" s="79"/>
      <c r="Y330" s="79"/>
      <c r="AC330" s="130"/>
      <c r="AE330" s="106"/>
    </row>
    <row r="331">
      <c r="C331" s="79"/>
      <c r="D331" s="79"/>
      <c r="E331" s="79"/>
      <c r="P331" s="79"/>
      <c r="Q331" s="79"/>
      <c r="R331" s="79"/>
      <c r="Y331" s="79"/>
      <c r="AC331" s="130"/>
      <c r="AE331" s="106"/>
    </row>
    <row r="332">
      <c r="C332" s="79"/>
      <c r="D332" s="79"/>
      <c r="E332" s="79"/>
      <c r="P332" s="79"/>
      <c r="Q332" s="79"/>
      <c r="R332" s="79"/>
      <c r="Y332" s="79"/>
      <c r="AC332" s="130"/>
      <c r="AE332" s="106"/>
    </row>
    <row r="333">
      <c r="C333" s="79"/>
      <c r="D333" s="79"/>
      <c r="E333" s="79"/>
      <c r="P333" s="79"/>
      <c r="Q333" s="79"/>
      <c r="R333" s="79"/>
      <c r="Y333" s="79"/>
      <c r="AC333" s="130"/>
      <c r="AE333" s="106"/>
    </row>
    <row r="334">
      <c r="C334" s="79"/>
      <c r="D334" s="79"/>
      <c r="E334" s="79"/>
      <c r="P334" s="79"/>
      <c r="Q334" s="79"/>
      <c r="R334" s="79"/>
      <c r="Y334" s="79"/>
      <c r="AC334" s="130"/>
      <c r="AE334" s="106"/>
    </row>
    <row r="335">
      <c r="C335" s="79"/>
      <c r="D335" s="79"/>
      <c r="E335" s="79"/>
      <c r="P335" s="79"/>
      <c r="Q335" s="79"/>
      <c r="R335" s="79"/>
      <c r="Y335" s="79"/>
      <c r="AC335" s="130"/>
      <c r="AE335" s="106"/>
    </row>
    <row r="336">
      <c r="C336" s="79"/>
      <c r="D336" s="79"/>
      <c r="E336" s="79"/>
      <c r="P336" s="79"/>
      <c r="Q336" s="79"/>
      <c r="R336" s="79"/>
      <c r="Y336" s="79"/>
      <c r="AC336" s="130"/>
      <c r="AE336" s="106"/>
    </row>
    <row r="337">
      <c r="C337" s="79"/>
      <c r="D337" s="79"/>
      <c r="E337" s="79"/>
      <c r="P337" s="79"/>
      <c r="Q337" s="79"/>
      <c r="R337" s="79"/>
      <c r="Y337" s="79"/>
      <c r="AC337" s="130"/>
      <c r="AE337" s="106"/>
    </row>
    <row r="338">
      <c r="C338" s="79"/>
      <c r="D338" s="79"/>
      <c r="E338" s="79"/>
      <c r="P338" s="79"/>
      <c r="Q338" s="79"/>
      <c r="R338" s="79"/>
      <c r="Y338" s="79"/>
      <c r="AC338" s="130"/>
      <c r="AE338" s="106"/>
    </row>
    <row r="339">
      <c r="C339" s="79"/>
      <c r="D339" s="79"/>
      <c r="E339" s="79"/>
      <c r="P339" s="79"/>
      <c r="Q339" s="79"/>
      <c r="R339" s="79"/>
      <c r="Y339" s="79"/>
      <c r="AC339" s="130"/>
      <c r="AE339" s="106"/>
    </row>
    <row r="340">
      <c r="C340" s="79"/>
      <c r="D340" s="79"/>
      <c r="E340" s="79"/>
      <c r="P340" s="79"/>
      <c r="Q340" s="79"/>
      <c r="R340" s="79"/>
      <c r="Y340" s="79"/>
      <c r="AC340" s="130"/>
      <c r="AE340" s="106"/>
    </row>
    <row r="341">
      <c r="C341" s="79"/>
      <c r="D341" s="79"/>
      <c r="E341" s="79"/>
      <c r="P341" s="79"/>
      <c r="Q341" s="79"/>
      <c r="R341" s="79"/>
      <c r="Y341" s="79"/>
      <c r="AC341" s="130"/>
      <c r="AE341" s="106"/>
    </row>
    <row r="342">
      <c r="C342" s="79"/>
      <c r="D342" s="79"/>
      <c r="E342" s="79"/>
      <c r="P342" s="79"/>
      <c r="Q342" s="79"/>
      <c r="R342" s="79"/>
      <c r="Y342" s="79"/>
      <c r="AC342" s="130"/>
      <c r="AE342" s="106"/>
    </row>
    <row r="343">
      <c r="C343" s="79"/>
      <c r="D343" s="79"/>
      <c r="E343" s="79"/>
      <c r="P343" s="79"/>
      <c r="Q343" s="79"/>
      <c r="R343" s="79"/>
      <c r="Y343" s="79"/>
      <c r="AC343" s="130"/>
      <c r="AE343" s="106"/>
    </row>
    <row r="344">
      <c r="C344" s="79"/>
      <c r="D344" s="79"/>
      <c r="E344" s="79"/>
      <c r="P344" s="79"/>
      <c r="Q344" s="79"/>
      <c r="R344" s="79"/>
      <c r="Y344" s="79"/>
      <c r="AC344" s="130"/>
      <c r="AE344" s="106"/>
    </row>
    <row r="345">
      <c r="C345" s="79"/>
      <c r="D345" s="79"/>
      <c r="E345" s="79"/>
      <c r="P345" s="79"/>
      <c r="Q345" s="79"/>
      <c r="R345" s="79"/>
      <c r="Y345" s="79"/>
      <c r="AC345" s="130"/>
      <c r="AE345" s="106"/>
    </row>
    <row r="346">
      <c r="C346" s="79"/>
      <c r="D346" s="79"/>
      <c r="E346" s="79"/>
      <c r="P346" s="79"/>
      <c r="Q346" s="79"/>
      <c r="R346" s="79"/>
      <c r="Y346" s="79"/>
      <c r="AC346" s="130"/>
      <c r="AE346" s="106"/>
    </row>
    <row r="347">
      <c r="C347" s="79"/>
      <c r="D347" s="79"/>
      <c r="E347" s="79"/>
      <c r="P347" s="79"/>
      <c r="Q347" s="79"/>
      <c r="R347" s="79"/>
      <c r="Y347" s="79"/>
      <c r="AC347" s="130"/>
      <c r="AE347" s="106"/>
    </row>
    <row r="348">
      <c r="C348" s="79"/>
      <c r="D348" s="79"/>
      <c r="E348" s="79"/>
      <c r="P348" s="79"/>
      <c r="Q348" s="79"/>
      <c r="R348" s="79"/>
      <c r="Y348" s="79"/>
      <c r="AC348" s="130"/>
      <c r="AE348" s="106"/>
    </row>
    <row r="349">
      <c r="C349" s="79"/>
      <c r="D349" s="79"/>
      <c r="E349" s="79"/>
      <c r="P349" s="79"/>
      <c r="Q349" s="79"/>
      <c r="R349" s="79"/>
      <c r="Y349" s="79"/>
      <c r="AC349" s="130"/>
      <c r="AE349" s="106"/>
    </row>
    <row r="350">
      <c r="C350" s="79"/>
      <c r="D350" s="79"/>
      <c r="E350" s="79"/>
      <c r="P350" s="79"/>
      <c r="Q350" s="79"/>
      <c r="R350" s="79"/>
      <c r="Y350" s="79"/>
      <c r="AC350" s="130"/>
      <c r="AE350" s="106"/>
    </row>
    <row r="351">
      <c r="C351" s="79"/>
      <c r="D351" s="79"/>
      <c r="E351" s="79"/>
      <c r="P351" s="79"/>
      <c r="Q351" s="79"/>
      <c r="R351" s="79"/>
      <c r="Y351" s="79"/>
      <c r="AC351" s="130"/>
      <c r="AE351" s="106"/>
    </row>
    <row r="352">
      <c r="C352" s="79"/>
      <c r="D352" s="79"/>
      <c r="E352" s="79"/>
      <c r="P352" s="79"/>
      <c r="Q352" s="79"/>
      <c r="R352" s="79"/>
      <c r="Y352" s="79"/>
      <c r="AC352" s="130"/>
      <c r="AE352" s="106"/>
    </row>
    <row r="353">
      <c r="C353" s="79"/>
      <c r="D353" s="79"/>
      <c r="E353" s="79"/>
      <c r="P353" s="79"/>
      <c r="Q353" s="79"/>
      <c r="R353" s="79"/>
      <c r="Y353" s="79"/>
      <c r="AC353" s="130"/>
      <c r="AE353" s="106"/>
    </row>
    <row r="354">
      <c r="C354" s="79"/>
      <c r="D354" s="79"/>
      <c r="E354" s="79"/>
      <c r="P354" s="79"/>
      <c r="Q354" s="79"/>
      <c r="R354" s="79"/>
      <c r="Y354" s="79"/>
      <c r="AC354" s="130"/>
      <c r="AE354" s="106"/>
    </row>
    <row r="355">
      <c r="C355" s="79"/>
      <c r="D355" s="79"/>
      <c r="E355" s="79"/>
      <c r="P355" s="79"/>
      <c r="Q355" s="79"/>
      <c r="R355" s="79"/>
      <c r="Y355" s="79"/>
      <c r="AC355" s="130"/>
      <c r="AE355" s="106"/>
    </row>
    <row r="356">
      <c r="C356" s="79"/>
      <c r="D356" s="79"/>
      <c r="E356" s="79"/>
      <c r="P356" s="79"/>
      <c r="Q356" s="79"/>
      <c r="R356" s="79"/>
      <c r="Y356" s="79"/>
      <c r="AC356" s="130"/>
      <c r="AE356" s="106"/>
    </row>
    <row r="357">
      <c r="C357" s="79"/>
      <c r="D357" s="79"/>
      <c r="E357" s="79"/>
      <c r="P357" s="79"/>
      <c r="Q357" s="79"/>
      <c r="R357" s="79"/>
      <c r="Y357" s="79"/>
      <c r="AC357" s="130"/>
      <c r="AE357" s="106"/>
    </row>
    <row r="358">
      <c r="C358" s="79"/>
      <c r="D358" s="79"/>
      <c r="E358" s="79"/>
      <c r="P358" s="79"/>
      <c r="Q358" s="79"/>
      <c r="R358" s="79"/>
      <c r="Y358" s="79"/>
      <c r="AC358" s="130"/>
      <c r="AE358" s="106"/>
    </row>
    <row r="359">
      <c r="C359" s="79"/>
      <c r="D359" s="79"/>
      <c r="E359" s="79"/>
      <c r="P359" s="79"/>
      <c r="Q359" s="79"/>
      <c r="R359" s="79"/>
      <c r="Y359" s="79"/>
      <c r="AC359" s="130"/>
      <c r="AE359" s="106"/>
    </row>
    <row r="360">
      <c r="C360" s="79"/>
      <c r="D360" s="79"/>
      <c r="E360" s="79"/>
      <c r="P360" s="79"/>
      <c r="Q360" s="79"/>
      <c r="R360" s="79"/>
      <c r="Y360" s="79"/>
      <c r="AC360" s="130"/>
      <c r="AE360" s="106"/>
    </row>
    <row r="361">
      <c r="C361" s="79"/>
      <c r="D361" s="79"/>
      <c r="E361" s="79"/>
      <c r="P361" s="79"/>
      <c r="Q361" s="79"/>
      <c r="R361" s="79"/>
      <c r="Y361" s="79"/>
      <c r="AC361" s="130"/>
      <c r="AE361" s="106"/>
    </row>
    <row r="362">
      <c r="C362" s="79"/>
      <c r="D362" s="79"/>
      <c r="E362" s="79"/>
      <c r="P362" s="79"/>
      <c r="Q362" s="79"/>
      <c r="R362" s="79"/>
      <c r="Y362" s="79"/>
      <c r="AC362" s="130"/>
      <c r="AE362" s="106"/>
    </row>
    <row r="363">
      <c r="C363" s="79"/>
      <c r="D363" s="79"/>
      <c r="E363" s="79"/>
      <c r="P363" s="79"/>
      <c r="Q363" s="79"/>
      <c r="R363" s="79"/>
      <c r="Y363" s="79"/>
      <c r="AC363" s="130"/>
      <c r="AE363" s="106"/>
    </row>
    <row r="364">
      <c r="C364" s="79"/>
      <c r="D364" s="79"/>
      <c r="E364" s="79"/>
      <c r="P364" s="79"/>
      <c r="Q364" s="79"/>
      <c r="R364" s="79"/>
      <c r="Y364" s="79"/>
      <c r="AC364" s="130"/>
      <c r="AE364" s="106"/>
    </row>
    <row r="365">
      <c r="C365" s="79"/>
      <c r="D365" s="79"/>
      <c r="E365" s="79"/>
      <c r="P365" s="79"/>
      <c r="Q365" s="79"/>
      <c r="R365" s="79"/>
      <c r="Y365" s="79"/>
      <c r="AC365" s="130"/>
      <c r="AE365" s="106"/>
    </row>
    <row r="366">
      <c r="C366" s="79"/>
      <c r="D366" s="79"/>
      <c r="E366" s="79"/>
      <c r="P366" s="79"/>
      <c r="Q366" s="79"/>
      <c r="R366" s="79"/>
      <c r="Y366" s="79"/>
      <c r="AC366" s="130"/>
      <c r="AE366" s="106"/>
    </row>
    <row r="367">
      <c r="C367" s="79"/>
      <c r="D367" s="79"/>
      <c r="E367" s="79"/>
      <c r="P367" s="79"/>
      <c r="Q367" s="79"/>
      <c r="R367" s="79"/>
      <c r="Y367" s="79"/>
      <c r="AC367" s="130"/>
      <c r="AE367" s="106"/>
    </row>
    <row r="368">
      <c r="C368" s="79"/>
      <c r="D368" s="79"/>
      <c r="E368" s="79"/>
      <c r="P368" s="79"/>
      <c r="Q368" s="79"/>
      <c r="R368" s="79"/>
      <c r="Y368" s="79"/>
      <c r="AC368" s="130"/>
      <c r="AE368" s="106"/>
    </row>
    <row r="369">
      <c r="C369" s="79"/>
      <c r="D369" s="79"/>
      <c r="E369" s="79"/>
      <c r="P369" s="79"/>
      <c r="Q369" s="79"/>
      <c r="R369" s="79"/>
      <c r="Y369" s="79"/>
      <c r="AC369" s="130"/>
      <c r="AE369" s="106"/>
    </row>
    <row r="370">
      <c r="C370" s="79"/>
      <c r="D370" s="79"/>
      <c r="E370" s="79"/>
      <c r="P370" s="79"/>
      <c r="Q370" s="79"/>
      <c r="R370" s="79"/>
      <c r="Y370" s="79"/>
      <c r="AC370" s="130"/>
      <c r="AE370" s="106"/>
    </row>
    <row r="371">
      <c r="C371" s="79"/>
      <c r="D371" s="79"/>
      <c r="E371" s="79"/>
      <c r="P371" s="79"/>
      <c r="Q371" s="79"/>
      <c r="R371" s="79"/>
      <c r="Y371" s="79"/>
      <c r="AC371" s="130"/>
      <c r="AE371" s="106"/>
    </row>
    <row r="372">
      <c r="C372" s="79"/>
      <c r="D372" s="79"/>
      <c r="E372" s="79"/>
      <c r="P372" s="79"/>
      <c r="Q372" s="79"/>
      <c r="R372" s="79"/>
      <c r="Y372" s="79"/>
      <c r="AC372" s="130"/>
      <c r="AE372" s="106"/>
    </row>
    <row r="373">
      <c r="C373" s="79"/>
      <c r="D373" s="79"/>
      <c r="E373" s="79"/>
      <c r="P373" s="79"/>
      <c r="Q373" s="79"/>
      <c r="R373" s="79"/>
      <c r="Y373" s="79"/>
      <c r="AC373" s="130"/>
      <c r="AE373" s="106"/>
    </row>
    <row r="374">
      <c r="C374" s="79"/>
      <c r="D374" s="79"/>
      <c r="E374" s="79"/>
      <c r="P374" s="79"/>
      <c r="Q374" s="79"/>
      <c r="R374" s="79"/>
      <c r="Y374" s="79"/>
      <c r="AC374" s="130"/>
      <c r="AE374" s="106"/>
    </row>
    <row r="375">
      <c r="C375" s="79"/>
      <c r="D375" s="79"/>
      <c r="E375" s="79"/>
      <c r="P375" s="79"/>
      <c r="Q375" s="79"/>
      <c r="R375" s="79"/>
      <c r="Y375" s="79"/>
      <c r="AC375" s="130"/>
      <c r="AE375" s="106"/>
    </row>
    <row r="376">
      <c r="C376" s="79"/>
      <c r="D376" s="79"/>
      <c r="E376" s="79"/>
      <c r="P376" s="79"/>
      <c r="Q376" s="79"/>
      <c r="R376" s="79"/>
      <c r="Y376" s="79"/>
      <c r="AC376" s="130"/>
      <c r="AE376" s="106"/>
    </row>
    <row r="377">
      <c r="C377" s="79"/>
      <c r="D377" s="79"/>
      <c r="E377" s="79"/>
      <c r="P377" s="79"/>
      <c r="Q377" s="79"/>
      <c r="R377" s="79"/>
      <c r="Y377" s="79"/>
      <c r="AC377" s="130"/>
      <c r="AE377" s="106"/>
    </row>
    <row r="378">
      <c r="C378" s="79"/>
      <c r="D378" s="79"/>
      <c r="E378" s="79"/>
      <c r="P378" s="79"/>
      <c r="Q378" s="79"/>
      <c r="R378" s="79"/>
      <c r="Y378" s="79"/>
      <c r="AC378" s="130"/>
      <c r="AE378" s="106"/>
    </row>
    <row r="379">
      <c r="C379" s="79"/>
      <c r="D379" s="79"/>
      <c r="E379" s="79"/>
      <c r="P379" s="79"/>
      <c r="Q379" s="79"/>
      <c r="R379" s="79"/>
      <c r="Y379" s="79"/>
      <c r="AC379" s="130"/>
      <c r="AE379" s="106"/>
    </row>
    <row r="380">
      <c r="C380" s="79"/>
      <c r="D380" s="79"/>
      <c r="E380" s="79"/>
      <c r="P380" s="79"/>
      <c r="Q380" s="79"/>
      <c r="R380" s="79"/>
      <c r="Y380" s="79"/>
      <c r="AC380" s="130"/>
      <c r="AE380" s="106"/>
    </row>
    <row r="381">
      <c r="C381" s="79"/>
      <c r="D381" s="79"/>
      <c r="E381" s="79"/>
      <c r="P381" s="79"/>
      <c r="Q381" s="79"/>
      <c r="R381" s="79"/>
      <c r="Y381" s="79"/>
      <c r="AC381" s="130"/>
      <c r="AE381" s="106"/>
    </row>
    <row r="382">
      <c r="C382" s="79"/>
      <c r="D382" s="79"/>
      <c r="E382" s="79"/>
      <c r="P382" s="79"/>
      <c r="Q382" s="79"/>
      <c r="R382" s="79"/>
      <c r="Y382" s="79"/>
      <c r="AC382" s="130"/>
      <c r="AE382" s="106"/>
    </row>
    <row r="383">
      <c r="C383" s="79"/>
      <c r="D383" s="79"/>
      <c r="E383" s="79"/>
      <c r="P383" s="79"/>
      <c r="Q383" s="79"/>
      <c r="R383" s="79"/>
      <c r="Y383" s="79"/>
      <c r="AC383" s="130"/>
      <c r="AE383" s="106"/>
    </row>
    <row r="384">
      <c r="C384" s="79"/>
      <c r="D384" s="79"/>
      <c r="E384" s="79"/>
      <c r="P384" s="79"/>
      <c r="Q384" s="79"/>
      <c r="R384" s="79"/>
      <c r="Y384" s="79"/>
      <c r="AC384" s="130"/>
      <c r="AE384" s="106"/>
    </row>
    <row r="385">
      <c r="C385" s="79"/>
      <c r="D385" s="79"/>
      <c r="E385" s="79"/>
      <c r="P385" s="79"/>
      <c r="Q385" s="79"/>
      <c r="R385" s="79"/>
      <c r="Y385" s="79"/>
      <c r="AC385" s="130"/>
      <c r="AE385" s="106"/>
    </row>
    <row r="386">
      <c r="C386" s="79"/>
      <c r="D386" s="79"/>
      <c r="E386" s="79"/>
      <c r="P386" s="79"/>
      <c r="Q386" s="79"/>
      <c r="R386" s="79"/>
      <c r="Y386" s="79"/>
      <c r="AC386" s="130"/>
      <c r="AE386" s="106"/>
    </row>
    <row r="387">
      <c r="C387" s="79"/>
      <c r="D387" s="79"/>
      <c r="E387" s="79"/>
      <c r="P387" s="79"/>
      <c r="Q387" s="79"/>
      <c r="R387" s="79"/>
      <c r="Y387" s="79"/>
      <c r="AC387" s="130"/>
      <c r="AE387" s="106"/>
    </row>
    <row r="388">
      <c r="C388" s="79"/>
      <c r="D388" s="79"/>
      <c r="E388" s="79"/>
      <c r="P388" s="79"/>
      <c r="Q388" s="79"/>
      <c r="R388" s="79"/>
      <c r="Y388" s="79"/>
      <c r="AC388" s="130"/>
      <c r="AE388" s="106"/>
    </row>
    <row r="389">
      <c r="C389" s="79"/>
      <c r="D389" s="79"/>
      <c r="E389" s="79"/>
      <c r="P389" s="79"/>
      <c r="Q389" s="79"/>
      <c r="R389" s="79"/>
      <c r="Y389" s="79"/>
      <c r="AC389" s="130"/>
      <c r="AE389" s="106"/>
    </row>
    <row r="390">
      <c r="C390" s="79"/>
      <c r="D390" s="79"/>
      <c r="E390" s="79"/>
      <c r="P390" s="79"/>
      <c r="Q390" s="79"/>
      <c r="R390" s="79"/>
      <c r="Y390" s="79"/>
      <c r="AC390" s="130"/>
      <c r="AE390" s="106"/>
    </row>
    <row r="391">
      <c r="C391" s="79"/>
      <c r="D391" s="79"/>
      <c r="E391" s="79"/>
      <c r="P391" s="79"/>
      <c r="Q391" s="79"/>
      <c r="R391" s="79"/>
      <c r="Y391" s="79"/>
      <c r="AC391" s="130"/>
      <c r="AE391" s="106"/>
    </row>
    <row r="392">
      <c r="C392" s="79"/>
      <c r="D392" s="79"/>
      <c r="E392" s="79"/>
      <c r="P392" s="79"/>
      <c r="Q392" s="79"/>
      <c r="R392" s="79"/>
      <c r="Y392" s="79"/>
      <c r="AC392" s="130"/>
      <c r="AE392" s="106"/>
    </row>
    <row r="393">
      <c r="C393" s="79"/>
      <c r="D393" s="79"/>
      <c r="E393" s="79"/>
      <c r="P393" s="79"/>
      <c r="Q393" s="79"/>
      <c r="R393" s="79"/>
      <c r="Y393" s="79"/>
      <c r="AC393" s="130"/>
      <c r="AE393" s="106"/>
    </row>
    <row r="394">
      <c r="C394" s="79"/>
      <c r="D394" s="79"/>
      <c r="E394" s="79"/>
      <c r="P394" s="79"/>
      <c r="Q394" s="79"/>
      <c r="R394" s="79"/>
      <c r="Y394" s="79"/>
      <c r="AC394" s="130"/>
      <c r="AE394" s="106"/>
    </row>
    <row r="395">
      <c r="C395" s="79"/>
      <c r="D395" s="79"/>
      <c r="E395" s="79"/>
      <c r="P395" s="79"/>
      <c r="Q395" s="79"/>
      <c r="R395" s="79"/>
      <c r="Y395" s="79"/>
      <c r="AC395" s="130"/>
      <c r="AE395" s="106"/>
    </row>
    <row r="396">
      <c r="C396" s="79"/>
      <c r="D396" s="79"/>
      <c r="E396" s="79"/>
      <c r="P396" s="79"/>
      <c r="Q396" s="79"/>
      <c r="R396" s="79"/>
      <c r="Y396" s="79"/>
      <c r="AC396" s="130"/>
      <c r="AE396" s="106"/>
    </row>
    <row r="397">
      <c r="C397" s="79"/>
      <c r="D397" s="79"/>
      <c r="E397" s="79"/>
      <c r="P397" s="79"/>
      <c r="Q397" s="79"/>
      <c r="R397" s="79"/>
      <c r="Y397" s="79"/>
      <c r="AC397" s="130"/>
      <c r="AE397" s="106"/>
    </row>
    <row r="398">
      <c r="C398" s="79"/>
      <c r="D398" s="79"/>
      <c r="E398" s="79"/>
      <c r="P398" s="79"/>
      <c r="Q398" s="79"/>
      <c r="R398" s="79"/>
      <c r="Y398" s="79"/>
      <c r="AC398" s="130"/>
      <c r="AE398" s="106"/>
    </row>
    <row r="399">
      <c r="C399" s="79"/>
      <c r="D399" s="79"/>
      <c r="E399" s="79"/>
      <c r="P399" s="79"/>
      <c r="Q399" s="79"/>
      <c r="R399" s="79"/>
      <c r="Y399" s="79"/>
      <c r="AC399" s="130"/>
      <c r="AE399" s="106"/>
    </row>
    <row r="400">
      <c r="C400" s="79"/>
      <c r="D400" s="79"/>
      <c r="E400" s="79"/>
      <c r="P400" s="79"/>
      <c r="Q400" s="79"/>
      <c r="R400" s="79"/>
      <c r="Y400" s="79"/>
      <c r="AC400" s="130"/>
      <c r="AE400" s="106"/>
    </row>
    <row r="401">
      <c r="C401" s="79"/>
      <c r="D401" s="79"/>
      <c r="E401" s="79"/>
      <c r="P401" s="79"/>
      <c r="Q401" s="79"/>
      <c r="R401" s="79"/>
      <c r="Y401" s="79"/>
      <c r="AC401" s="130"/>
      <c r="AE401" s="106"/>
    </row>
    <row r="402">
      <c r="C402" s="79"/>
      <c r="D402" s="79"/>
      <c r="E402" s="79"/>
      <c r="P402" s="79"/>
      <c r="Q402" s="79"/>
      <c r="R402" s="79"/>
      <c r="Y402" s="79"/>
      <c r="AC402" s="130"/>
      <c r="AE402" s="106"/>
    </row>
    <row r="403">
      <c r="C403" s="79"/>
      <c r="D403" s="79"/>
      <c r="E403" s="79"/>
      <c r="P403" s="79"/>
      <c r="Q403" s="79"/>
      <c r="R403" s="79"/>
      <c r="Y403" s="79"/>
      <c r="AC403" s="130"/>
      <c r="AE403" s="106"/>
    </row>
    <row r="404">
      <c r="C404" s="79"/>
      <c r="D404" s="79"/>
      <c r="E404" s="79"/>
      <c r="P404" s="79"/>
      <c r="Q404" s="79"/>
      <c r="R404" s="79"/>
      <c r="Y404" s="79"/>
      <c r="AC404" s="130"/>
      <c r="AE404" s="106"/>
    </row>
    <row r="405">
      <c r="C405" s="79"/>
      <c r="D405" s="79"/>
      <c r="E405" s="79"/>
      <c r="P405" s="79"/>
      <c r="Q405" s="79"/>
      <c r="R405" s="79"/>
      <c r="Y405" s="79"/>
      <c r="AC405" s="130"/>
      <c r="AE405" s="106"/>
    </row>
    <row r="406">
      <c r="C406" s="79"/>
      <c r="D406" s="79"/>
      <c r="E406" s="79"/>
      <c r="P406" s="79"/>
      <c r="Q406" s="79"/>
      <c r="R406" s="79"/>
      <c r="Y406" s="79"/>
      <c r="AC406" s="130"/>
      <c r="AE406" s="106"/>
    </row>
    <row r="407">
      <c r="C407" s="79"/>
      <c r="D407" s="79"/>
      <c r="E407" s="79"/>
      <c r="P407" s="79"/>
      <c r="Q407" s="79"/>
      <c r="R407" s="79"/>
      <c r="Y407" s="79"/>
      <c r="AC407" s="130"/>
      <c r="AE407" s="106"/>
    </row>
    <row r="408">
      <c r="C408" s="79"/>
      <c r="D408" s="79"/>
      <c r="E408" s="79"/>
      <c r="P408" s="79"/>
      <c r="Q408" s="79"/>
      <c r="R408" s="79"/>
      <c r="Y408" s="79"/>
      <c r="AC408" s="130"/>
      <c r="AE408" s="106"/>
    </row>
    <row r="409">
      <c r="C409" s="79"/>
      <c r="D409" s="79"/>
      <c r="E409" s="79"/>
      <c r="P409" s="79"/>
      <c r="Q409" s="79"/>
      <c r="R409" s="79"/>
      <c r="Y409" s="79"/>
      <c r="AC409" s="130"/>
      <c r="AE409" s="106"/>
    </row>
    <row r="410">
      <c r="C410" s="79"/>
      <c r="D410" s="79"/>
      <c r="E410" s="79"/>
      <c r="P410" s="79"/>
      <c r="Q410" s="79"/>
      <c r="R410" s="79"/>
      <c r="Y410" s="79"/>
      <c r="AC410" s="130"/>
      <c r="AE410" s="106"/>
    </row>
    <row r="411">
      <c r="C411" s="79"/>
      <c r="D411" s="79"/>
      <c r="E411" s="79"/>
      <c r="P411" s="79"/>
      <c r="Q411" s="79"/>
      <c r="R411" s="79"/>
      <c r="Y411" s="79"/>
      <c r="AC411" s="130"/>
      <c r="AE411" s="106"/>
    </row>
    <row r="412">
      <c r="C412" s="79"/>
      <c r="D412" s="79"/>
      <c r="E412" s="79"/>
      <c r="P412" s="79"/>
      <c r="Q412" s="79"/>
      <c r="R412" s="79"/>
      <c r="Y412" s="79"/>
      <c r="AC412" s="130"/>
      <c r="AE412" s="106"/>
    </row>
    <row r="413">
      <c r="C413" s="79"/>
      <c r="D413" s="79"/>
      <c r="E413" s="79"/>
      <c r="P413" s="79"/>
      <c r="Q413" s="79"/>
      <c r="R413" s="79"/>
      <c r="Y413" s="79"/>
      <c r="AC413" s="130"/>
      <c r="AE413" s="106"/>
    </row>
    <row r="414">
      <c r="C414" s="79"/>
      <c r="D414" s="79"/>
      <c r="E414" s="79"/>
      <c r="P414" s="79"/>
      <c r="Q414" s="79"/>
      <c r="R414" s="79"/>
      <c r="Y414" s="79"/>
      <c r="AC414" s="130"/>
      <c r="AE414" s="106"/>
    </row>
    <row r="415">
      <c r="C415" s="79"/>
      <c r="D415" s="79"/>
      <c r="E415" s="79"/>
      <c r="P415" s="79"/>
      <c r="Q415" s="79"/>
      <c r="R415" s="79"/>
      <c r="Y415" s="79"/>
      <c r="AC415" s="130"/>
      <c r="AE415" s="106"/>
    </row>
    <row r="416">
      <c r="C416" s="79"/>
      <c r="D416" s="79"/>
      <c r="E416" s="79"/>
      <c r="P416" s="79"/>
      <c r="Q416" s="79"/>
      <c r="R416" s="79"/>
      <c r="Y416" s="79"/>
      <c r="AC416" s="130"/>
      <c r="AE416" s="106"/>
    </row>
    <row r="417">
      <c r="C417" s="79"/>
      <c r="D417" s="79"/>
      <c r="E417" s="79"/>
      <c r="P417" s="79"/>
      <c r="Q417" s="79"/>
      <c r="R417" s="79"/>
      <c r="Y417" s="79"/>
      <c r="AC417" s="130"/>
      <c r="AE417" s="106"/>
    </row>
    <row r="418">
      <c r="C418" s="79"/>
      <c r="D418" s="79"/>
      <c r="E418" s="79"/>
      <c r="P418" s="79"/>
      <c r="Q418" s="79"/>
      <c r="R418" s="79"/>
      <c r="Y418" s="79"/>
      <c r="AC418" s="130"/>
      <c r="AE418" s="106"/>
    </row>
    <row r="419">
      <c r="C419" s="79"/>
      <c r="D419" s="79"/>
      <c r="E419" s="79"/>
      <c r="P419" s="79"/>
      <c r="Q419" s="79"/>
      <c r="R419" s="79"/>
      <c r="Y419" s="79"/>
      <c r="AC419" s="130"/>
      <c r="AE419" s="106"/>
    </row>
    <row r="420">
      <c r="C420" s="79"/>
      <c r="D420" s="79"/>
      <c r="E420" s="79"/>
      <c r="P420" s="79"/>
      <c r="Q420" s="79"/>
      <c r="R420" s="79"/>
      <c r="Y420" s="79"/>
      <c r="AC420" s="130"/>
      <c r="AE420" s="106"/>
    </row>
    <row r="421">
      <c r="C421" s="79"/>
      <c r="D421" s="79"/>
      <c r="E421" s="79"/>
      <c r="P421" s="79"/>
      <c r="Q421" s="79"/>
      <c r="R421" s="79"/>
      <c r="Y421" s="79"/>
      <c r="AC421" s="130"/>
      <c r="AE421" s="106"/>
    </row>
    <row r="422">
      <c r="C422" s="79"/>
      <c r="D422" s="79"/>
      <c r="E422" s="79"/>
      <c r="P422" s="79"/>
      <c r="Q422" s="79"/>
      <c r="R422" s="79"/>
      <c r="Y422" s="79"/>
      <c r="AC422" s="130"/>
      <c r="AE422" s="106"/>
    </row>
    <row r="423">
      <c r="C423" s="79"/>
      <c r="D423" s="79"/>
      <c r="E423" s="79"/>
      <c r="P423" s="79"/>
      <c r="Q423" s="79"/>
      <c r="R423" s="79"/>
      <c r="Y423" s="79"/>
      <c r="AC423" s="130"/>
      <c r="AE423" s="106"/>
    </row>
    <row r="424">
      <c r="C424" s="79"/>
      <c r="D424" s="79"/>
      <c r="E424" s="79"/>
      <c r="P424" s="79"/>
      <c r="Q424" s="79"/>
      <c r="R424" s="79"/>
      <c r="Y424" s="79"/>
      <c r="AC424" s="130"/>
      <c r="AE424" s="106"/>
    </row>
    <row r="425">
      <c r="C425" s="79"/>
      <c r="D425" s="79"/>
      <c r="E425" s="79"/>
      <c r="P425" s="79"/>
      <c r="Q425" s="79"/>
      <c r="R425" s="79"/>
      <c r="Y425" s="79"/>
      <c r="AC425" s="130"/>
      <c r="AE425" s="106"/>
    </row>
    <row r="426">
      <c r="C426" s="79"/>
      <c r="D426" s="79"/>
      <c r="E426" s="79"/>
      <c r="P426" s="79"/>
      <c r="Q426" s="79"/>
      <c r="R426" s="79"/>
      <c r="Y426" s="79"/>
      <c r="AC426" s="130"/>
      <c r="AE426" s="106"/>
    </row>
    <row r="427">
      <c r="C427" s="79"/>
      <c r="D427" s="79"/>
      <c r="E427" s="79"/>
      <c r="P427" s="79"/>
      <c r="Q427" s="79"/>
      <c r="R427" s="79"/>
      <c r="Y427" s="79"/>
      <c r="AC427" s="130"/>
      <c r="AE427" s="106"/>
    </row>
    <row r="428">
      <c r="C428" s="79"/>
      <c r="D428" s="79"/>
      <c r="E428" s="79"/>
      <c r="P428" s="79"/>
      <c r="Q428" s="79"/>
      <c r="R428" s="79"/>
      <c r="Y428" s="79"/>
      <c r="AC428" s="130"/>
      <c r="AE428" s="106"/>
    </row>
    <row r="429">
      <c r="C429" s="79"/>
      <c r="D429" s="79"/>
      <c r="E429" s="79"/>
      <c r="P429" s="79"/>
      <c r="Q429" s="79"/>
      <c r="R429" s="79"/>
      <c r="Y429" s="79"/>
      <c r="AC429" s="130"/>
      <c r="AE429" s="106"/>
    </row>
    <row r="430">
      <c r="C430" s="79"/>
      <c r="D430" s="79"/>
      <c r="E430" s="79"/>
      <c r="P430" s="79"/>
      <c r="Q430" s="79"/>
      <c r="R430" s="79"/>
      <c r="Y430" s="79"/>
      <c r="AC430" s="130"/>
      <c r="AE430" s="106"/>
    </row>
    <row r="431">
      <c r="C431" s="79"/>
      <c r="D431" s="79"/>
      <c r="E431" s="79"/>
      <c r="P431" s="79"/>
      <c r="Q431" s="79"/>
      <c r="R431" s="79"/>
      <c r="Y431" s="79"/>
      <c r="AC431" s="130"/>
      <c r="AE431" s="106"/>
    </row>
    <row r="432">
      <c r="C432" s="79"/>
      <c r="D432" s="79"/>
      <c r="E432" s="79"/>
      <c r="P432" s="79"/>
      <c r="Q432" s="79"/>
      <c r="R432" s="79"/>
      <c r="Y432" s="79"/>
      <c r="AC432" s="130"/>
      <c r="AE432" s="106"/>
    </row>
    <row r="433">
      <c r="C433" s="79"/>
      <c r="D433" s="79"/>
      <c r="E433" s="79"/>
      <c r="P433" s="79"/>
      <c r="Q433" s="79"/>
      <c r="R433" s="79"/>
      <c r="Y433" s="79"/>
      <c r="AC433" s="130"/>
      <c r="AE433" s="106"/>
    </row>
    <row r="434">
      <c r="C434" s="79"/>
      <c r="D434" s="79"/>
      <c r="E434" s="79"/>
      <c r="P434" s="79"/>
      <c r="Q434" s="79"/>
      <c r="R434" s="79"/>
      <c r="Y434" s="79"/>
      <c r="AC434" s="130"/>
      <c r="AE434" s="106"/>
    </row>
    <row r="435">
      <c r="C435" s="79"/>
      <c r="D435" s="79"/>
      <c r="E435" s="79"/>
      <c r="P435" s="79"/>
      <c r="Q435" s="79"/>
      <c r="R435" s="79"/>
      <c r="Y435" s="79"/>
      <c r="AC435" s="130"/>
      <c r="AE435" s="106"/>
    </row>
    <row r="436">
      <c r="C436" s="79"/>
      <c r="D436" s="79"/>
      <c r="E436" s="79"/>
      <c r="P436" s="79"/>
      <c r="Q436" s="79"/>
      <c r="R436" s="79"/>
      <c r="Y436" s="79"/>
      <c r="AC436" s="130"/>
      <c r="AE436" s="106"/>
    </row>
    <row r="437">
      <c r="C437" s="79"/>
      <c r="D437" s="79"/>
      <c r="E437" s="79"/>
      <c r="P437" s="79"/>
      <c r="Q437" s="79"/>
      <c r="R437" s="79"/>
      <c r="Y437" s="79"/>
      <c r="AC437" s="130"/>
      <c r="AE437" s="106"/>
    </row>
    <row r="438">
      <c r="C438" s="79"/>
      <c r="D438" s="79"/>
      <c r="E438" s="79"/>
      <c r="P438" s="79"/>
      <c r="Q438" s="79"/>
      <c r="R438" s="79"/>
      <c r="Y438" s="79"/>
      <c r="AC438" s="130"/>
      <c r="AE438" s="106"/>
    </row>
    <row r="439">
      <c r="C439" s="79"/>
      <c r="D439" s="79"/>
      <c r="E439" s="79"/>
      <c r="P439" s="79"/>
      <c r="Q439" s="79"/>
      <c r="R439" s="79"/>
      <c r="Y439" s="79"/>
      <c r="AC439" s="130"/>
      <c r="AE439" s="106"/>
    </row>
    <row r="440">
      <c r="C440" s="79"/>
      <c r="D440" s="79"/>
      <c r="E440" s="79"/>
      <c r="P440" s="79"/>
      <c r="Q440" s="79"/>
      <c r="R440" s="79"/>
      <c r="Y440" s="79"/>
      <c r="AC440" s="130"/>
      <c r="AE440" s="106"/>
    </row>
    <row r="441">
      <c r="C441" s="79"/>
      <c r="D441" s="79"/>
      <c r="E441" s="79"/>
      <c r="P441" s="79"/>
      <c r="Q441" s="79"/>
      <c r="R441" s="79"/>
      <c r="Y441" s="79"/>
      <c r="AC441" s="130"/>
      <c r="AE441" s="106"/>
    </row>
    <row r="442">
      <c r="C442" s="79"/>
      <c r="D442" s="79"/>
      <c r="E442" s="79"/>
      <c r="P442" s="79"/>
      <c r="Q442" s="79"/>
      <c r="R442" s="79"/>
      <c r="Y442" s="79"/>
      <c r="AC442" s="130"/>
      <c r="AE442" s="106"/>
    </row>
    <row r="443">
      <c r="C443" s="79"/>
      <c r="D443" s="79"/>
      <c r="E443" s="79"/>
      <c r="P443" s="79"/>
      <c r="Q443" s="79"/>
      <c r="R443" s="79"/>
      <c r="Y443" s="79"/>
      <c r="AC443" s="130"/>
      <c r="AE443" s="106"/>
    </row>
    <row r="444">
      <c r="C444" s="79"/>
      <c r="D444" s="79"/>
      <c r="E444" s="79"/>
      <c r="P444" s="79"/>
      <c r="Q444" s="79"/>
      <c r="R444" s="79"/>
      <c r="Y444" s="79"/>
      <c r="AC444" s="130"/>
      <c r="AE444" s="106"/>
    </row>
    <row r="445">
      <c r="C445" s="79"/>
      <c r="D445" s="79"/>
      <c r="E445" s="79"/>
      <c r="P445" s="79"/>
      <c r="Q445" s="79"/>
      <c r="R445" s="79"/>
      <c r="Y445" s="79"/>
      <c r="AC445" s="130"/>
      <c r="AE445" s="106"/>
    </row>
    <row r="446">
      <c r="C446" s="79"/>
      <c r="D446" s="79"/>
      <c r="E446" s="79"/>
      <c r="P446" s="79"/>
      <c r="Q446" s="79"/>
      <c r="R446" s="79"/>
      <c r="Y446" s="79"/>
      <c r="AC446" s="130"/>
      <c r="AE446" s="106"/>
    </row>
    <row r="447">
      <c r="C447" s="79"/>
      <c r="D447" s="79"/>
      <c r="E447" s="79"/>
      <c r="P447" s="79"/>
      <c r="Q447" s="79"/>
      <c r="R447" s="79"/>
      <c r="Y447" s="79"/>
      <c r="AC447" s="130"/>
      <c r="AE447" s="106"/>
    </row>
    <row r="448">
      <c r="C448" s="79"/>
      <c r="D448" s="79"/>
      <c r="E448" s="79"/>
      <c r="P448" s="79"/>
      <c r="Q448" s="79"/>
      <c r="R448" s="79"/>
      <c r="Y448" s="79"/>
      <c r="AC448" s="130"/>
      <c r="AE448" s="106"/>
    </row>
    <row r="449">
      <c r="C449" s="79"/>
      <c r="D449" s="79"/>
      <c r="E449" s="79"/>
      <c r="P449" s="79"/>
      <c r="Q449" s="79"/>
      <c r="R449" s="79"/>
      <c r="Y449" s="79"/>
      <c r="AC449" s="130"/>
      <c r="AE449" s="106"/>
    </row>
    <row r="450">
      <c r="C450" s="79"/>
      <c r="D450" s="79"/>
      <c r="E450" s="79"/>
      <c r="P450" s="79"/>
      <c r="Q450" s="79"/>
      <c r="R450" s="79"/>
      <c r="Y450" s="79"/>
      <c r="AC450" s="130"/>
      <c r="AE450" s="106"/>
    </row>
    <row r="451">
      <c r="C451" s="79"/>
      <c r="D451" s="79"/>
      <c r="E451" s="79"/>
      <c r="P451" s="79"/>
      <c r="Q451" s="79"/>
      <c r="R451" s="79"/>
      <c r="Y451" s="79"/>
      <c r="AC451" s="130"/>
      <c r="AE451" s="106"/>
    </row>
    <row r="452">
      <c r="C452" s="79"/>
      <c r="D452" s="79"/>
      <c r="E452" s="79"/>
      <c r="P452" s="79"/>
      <c r="Q452" s="79"/>
      <c r="R452" s="79"/>
      <c r="Y452" s="79"/>
      <c r="AC452" s="130"/>
      <c r="AE452" s="106"/>
    </row>
    <row r="453">
      <c r="C453" s="79"/>
      <c r="D453" s="79"/>
      <c r="E453" s="79"/>
      <c r="P453" s="79"/>
      <c r="Q453" s="79"/>
      <c r="R453" s="79"/>
      <c r="Y453" s="79"/>
      <c r="AC453" s="130"/>
      <c r="AE453" s="106"/>
    </row>
    <row r="454">
      <c r="C454" s="79"/>
      <c r="D454" s="79"/>
      <c r="E454" s="79"/>
      <c r="P454" s="79"/>
      <c r="Q454" s="79"/>
      <c r="R454" s="79"/>
      <c r="Y454" s="79"/>
      <c r="AC454" s="130"/>
      <c r="AE454" s="106"/>
    </row>
    <row r="455">
      <c r="C455" s="79"/>
      <c r="D455" s="79"/>
      <c r="E455" s="79"/>
      <c r="P455" s="79"/>
      <c r="Q455" s="79"/>
      <c r="R455" s="79"/>
      <c r="Y455" s="79"/>
      <c r="AC455" s="130"/>
      <c r="AE455" s="106"/>
    </row>
    <row r="456">
      <c r="C456" s="79"/>
      <c r="D456" s="79"/>
      <c r="E456" s="79"/>
      <c r="P456" s="79"/>
      <c r="Q456" s="79"/>
      <c r="R456" s="79"/>
      <c r="Y456" s="79"/>
      <c r="AC456" s="130"/>
      <c r="AE456" s="106"/>
    </row>
    <row r="457">
      <c r="C457" s="79"/>
      <c r="D457" s="79"/>
      <c r="E457" s="79"/>
      <c r="P457" s="79"/>
      <c r="Q457" s="79"/>
      <c r="R457" s="79"/>
      <c r="Y457" s="79"/>
      <c r="AC457" s="130"/>
      <c r="AE457" s="106"/>
    </row>
    <row r="458">
      <c r="C458" s="79"/>
      <c r="D458" s="79"/>
      <c r="E458" s="79"/>
      <c r="P458" s="79"/>
      <c r="Q458" s="79"/>
      <c r="R458" s="79"/>
      <c r="Y458" s="79"/>
      <c r="AC458" s="130"/>
      <c r="AE458" s="106"/>
    </row>
    <row r="459">
      <c r="C459" s="79"/>
      <c r="D459" s="79"/>
      <c r="E459" s="79"/>
      <c r="P459" s="79"/>
      <c r="Q459" s="79"/>
      <c r="R459" s="79"/>
      <c r="Y459" s="79"/>
      <c r="AC459" s="130"/>
      <c r="AE459" s="106"/>
    </row>
    <row r="460">
      <c r="C460" s="79"/>
      <c r="D460" s="79"/>
      <c r="E460" s="79"/>
      <c r="P460" s="79"/>
      <c r="Q460" s="79"/>
      <c r="R460" s="79"/>
      <c r="Y460" s="79"/>
      <c r="AC460" s="130"/>
      <c r="AE460" s="106"/>
    </row>
    <row r="461">
      <c r="C461" s="79"/>
      <c r="D461" s="79"/>
      <c r="E461" s="79"/>
      <c r="P461" s="79"/>
      <c r="Q461" s="79"/>
      <c r="R461" s="79"/>
      <c r="Y461" s="79"/>
      <c r="AC461" s="130"/>
      <c r="AE461" s="106"/>
    </row>
    <row r="462">
      <c r="C462" s="79"/>
      <c r="D462" s="79"/>
      <c r="E462" s="79"/>
      <c r="P462" s="79"/>
      <c r="Q462" s="79"/>
      <c r="R462" s="79"/>
      <c r="Y462" s="79"/>
      <c r="AC462" s="130"/>
      <c r="AE462" s="106"/>
    </row>
    <row r="463">
      <c r="C463" s="79"/>
      <c r="D463" s="79"/>
      <c r="E463" s="79"/>
      <c r="P463" s="79"/>
      <c r="Q463" s="79"/>
      <c r="R463" s="79"/>
      <c r="Y463" s="79"/>
      <c r="AC463" s="130"/>
      <c r="AE463" s="106"/>
    </row>
    <row r="464">
      <c r="C464" s="79"/>
      <c r="D464" s="79"/>
      <c r="E464" s="79"/>
      <c r="P464" s="79"/>
      <c r="Q464" s="79"/>
      <c r="R464" s="79"/>
      <c r="Y464" s="79"/>
      <c r="AC464" s="130"/>
      <c r="AE464" s="106"/>
    </row>
    <row r="465">
      <c r="C465" s="79"/>
      <c r="D465" s="79"/>
      <c r="E465" s="79"/>
      <c r="P465" s="79"/>
      <c r="Q465" s="79"/>
      <c r="R465" s="79"/>
      <c r="Y465" s="79"/>
      <c r="AC465" s="130"/>
      <c r="AE465" s="106"/>
    </row>
    <row r="466">
      <c r="C466" s="79"/>
      <c r="D466" s="79"/>
      <c r="E466" s="79"/>
      <c r="P466" s="79"/>
      <c r="Q466" s="79"/>
      <c r="R466" s="79"/>
      <c r="Y466" s="79"/>
      <c r="AC466" s="130"/>
      <c r="AE466" s="106"/>
    </row>
    <row r="467">
      <c r="C467" s="79"/>
      <c r="D467" s="79"/>
      <c r="E467" s="79"/>
      <c r="P467" s="79"/>
      <c r="Q467" s="79"/>
      <c r="R467" s="79"/>
      <c r="Y467" s="79"/>
      <c r="AC467" s="130"/>
      <c r="AE467" s="106"/>
    </row>
    <row r="468">
      <c r="C468" s="79"/>
      <c r="D468" s="79"/>
      <c r="E468" s="79"/>
      <c r="P468" s="79"/>
      <c r="Q468" s="79"/>
      <c r="R468" s="79"/>
      <c r="Y468" s="79"/>
      <c r="AC468" s="130"/>
      <c r="AE468" s="106"/>
    </row>
    <row r="469">
      <c r="C469" s="79"/>
      <c r="D469" s="79"/>
      <c r="E469" s="79"/>
      <c r="P469" s="79"/>
      <c r="Q469" s="79"/>
      <c r="R469" s="79"/>
      <c r="Y469" s="79"/>
      <c r="AC469" s="130"/>
      <c r="AE469" s="106"/>
    </row>
    <row r="470">
      <c r="C470" s="79"/>
      <c r="D470" s="79"/>
      <c r="E470" s="79"/>
      <c r="P470" s="79"/>
      <c r="Q470" s="79"/>
      <c r="R470" s="79"/>
      <c r="Y470" s="79"/>
      <c r="AC470" s="130"/>
      <c r="AE470" s="106"/>
    </row>
    <row r="471">
      <c r="C471" s="79"/>
      <c r="D471" s="79"/>
      <c r="E471" s="79"/>
      <c r="P471" s="79"/>
      <c r="Q471" s="79"/>
      <c r="R471" s="79"/>
      <c r="Y471" s="79"/>
      <c r="AC471" s="130"/>
      <c r="AE471" s="106"/>
    </row>
    <row r="472">
      <c r="C472" s="79"/>
      <c r="D472" s="79"/>
      <c r="E472" s="79"/>
      <c r="P472" s="79"/>
      <c r="Q472" s="79"/>
      <c r="R472" s="79"/>
      <c r="Y472" s="79"/>
      <c r="AC472" s="130"/>
      <c r="AE472" s="106"/>
    </row>
    <row r="473">
      <c r="C473" s="79"/>
      <c r="D473" s="79"/>
      <c r="E473" s="79"/>
      <c r="P473" s="79"/>
      <c r="Q473" s="79"/>
      <c r="R473" s="79"/>
      <c r="Y473" s="79"/>
      <c r="AC473" s="130"/>
      <c r="AE473" s="106"/>
    </row>
    <row r="474">
      <c r="C474" s="79"/>
      <c r="D474" s="79"/>
      <c r="E474" s="79"/>
      <c r="P474" s="79"/>
      <c r="Q474" s="79"/>
      <c r="R474" s="79"/>
      <c r="Y474" s="79"/>
      <c r="AC474" s="130"/>
      <c r="AE474" s="106"/>
    </row>
    <row r="475">
      <c r="C475" s="79"/>
      <c r="D475" s="79"/>
      <c r="E475" s="79"/>
      <c r="P475" s="79"/>
      <c r="Q475" s="79"/>
      <c r="R475" s="79"/>
      <c r="Y475" s="79"/>
      <c r="AC475" s="130"/>
      <c r="AE475" s="106"/>
    </row>
    <row r="476">
      <c r="C476" s="79"/>
      <c r="D476" s="79"/>
      <c r="E476" s="79"/>
      <c r="P476" s="79"/>
      <c r="Q476" s="79"/>
      <c r="R476" s="79"/>
      <c r="Y476" s="79"/>
      <c r="AC476" s="130"/>
      <c r="AE476" s="106"/>
    </row>
    <row r="477">
      <c r="C477" s="79"/>
      <c r="D477" s="79"/>
      <c r="E477" s="79"/>
      <c r="P477" s="79"/>
      <c r="Q477" s="79"/>
      <c r="R477" s="79"/>
      <c r="Y477" s="79"/>
      <c r="AC477" s="130"/>
      <c r="AE477" s="106"/>
    </row>
    <row r="478">
      <c r="C478" s="79"/>
      <c r="D478" s="79"/>
      <c r="E478" s="79"/>
      <c r="P478" s="79"/>
      <c r="Q478" s="79"/>
      <c r="R478" s="79"/>
      <c r="Y478" s="79"/>
      <c r="AC478" s="130"/>
      <c r="AE478" s="106"/>
    </row>
    <row r="479">
      <c r="C479" s="79"/>
      <c r="D479" s="79"/>
      <c r="E479" s="79"/>
      <c r="P479" s="79"/>
      <c r="Q479" s="79"/>
      <c r="R479" s="79"/>
      <c r="Y479" s="79"/>
      <c r="AC479" s="130"/>
      <c r="AE479" s="106"/>
    </row>
    <row r="480">
      <c r="C480" s="79"/>
      <c r="D480" s="79"/>
      <c r="E480" s="79"/>
      <c r="P480" s="79"/>
      <c r="Q480" s="79"/>
      <c r="R480" s="79"/>
      <c r="Y480" s="79"/>
      <c r="AC480" s="130"/>
      <c r="AE480" s="106"/>
    </row>
    <row r="481">
      <c r="C481" s="79"/>
      <c r="D481" s="79"/>
      <c r="E481" s="79"/>
      <c r="P481" s="79"/>
      <c r="Q481" s="79"/>
      <c r="R481" s="79"/>
      <c r="Y481" s="79"/>
      <c r="AC481" s="130"/>
      <c r="AE481" s="106"/>
    </row>
    <row r="482">
      <c r="C482" s="79"/>
      <c r="D482" s="79"/>
      <c r="E482" s="79"/>
      <c r="P482" s="79"/>
      <c r="Q482" s="79"/>
      <c r="R482" s="79"/>
      <c r="Y482" s="79"/>
      <c r="AC482" s="130"/>
      <c r="AE482" s="106"/>
    </row>
    <row r="483">
      <c r="C483" s="79"/>
      <c r="D483" s="79"/>
      <c r="E483" s="79"/>
      <c r="P483" s="79"/>
      <c r="Q483" s="79"/>
      <c r="R483" s="79"/>
      <c r="Y483" s="79"/>
      <c r="AC483" s="130"/>
      <c r="AE483" s="106"/>
    </row>
    <row r="484">
      <c r="C484" s="79"/>
      <c r="D484" s="79"/>
      <c r="E484" s="79"/>
      <c r="P484" s="79"/>
      <c r="Q484" s="79"/>
      <c r="R484" s="79"/>
      <c r="Y484" s="79"/>
      <c r="AC484" s="130"/>
      <c r="AE484" s="106"/>
    </row>
    <row r="485">
      <c r="C485" s="79"/>
      <c r="D485" s="79"/>
      <c r="E485" s="79"/>
      <c r="P485" s="79"/>
      <c r="Q485" s="79"/>
      <c r="R485" s="79"/>
      <c r="Y485" s="79"/>
      <c r="AC485" s="130"/>
      <c r="AE485" s="106"/>
    </row>
    <row r="486">
      <c r="C486" s="79"/>
      <c r="D486" s="79"/>
      <c r="E486" s="79"/>
      <c r="P486" s="79"/>
      <c r="Q486" s="79"/>
      <c r="R486" s="79"/>
      <c r="Y486" s="79"/>
      <c r="AC486" s="130"/>
      <c r="AE486" s="106"/>
    </row>
    <row r="487">
      <c r="C487" s="79"/>
      <c r="D487" s="79"/>
      <c r="E487" s="79"/>
      <c r="P487" s="79"/>
      <c r="Q487" s="79"/>
      <c r="R487" s="79"/>
      <c r="Y487" s="79"/>
      <c r="AC487" s="130"/>
      <c r="AE487" s="106"/>
    </row>
    <row r="488">
      <c r="C488" s="79"/>
      <c r="D488" s="79"/>
      <c r="E488" s="79"/>
      <c r="P488" s="79"/>
      <c r="Q488" s="79"/>
      <c r="R488" s="79"/>
      <c r="Y488" s="79"/>
      <c r="AC488" s="130"/>
      <c r="AE488" s="106"/>
    </row>
    <row r="489">
      <c r="C489" s="79"/>
      <c r="D489" s="79"/>
      <c r="E489" s="79"/>
      <c r="P489" s="79"/>
      <c r="Q489" s="79"/>
      <c r="R489" s="79"/>
      <c r="Y489" s="79"/>
      <c r="AC489" s="130"/>
      <c r="AE489" s="106"/>
    </row>
    <row r="490">
      <c r="C490" s="79"/>
      <c r="D490" s="79"/>
      <c r="E490" s="79"/>
      <c r="P490" s="79"/>
      <c r="Q490" s="79"/>
      <c r="R490" s="79"/>
      <c r="Y490" s="79"/>
      <c r="AC490" s="130"/>
      <c r="AE490" s="106"/>
    </row>
    <row r="491">
      <c r="C491" s="79"/>
      <c r="D491" s="79"/>
      <c r="E491" s="79"/>
      <c r="P491" s="79"/>
      <c r="Q491" s="79"/>
      <c r="R491" s="79"/>
      <c r="Y491" s="79"/>
      <c r="AC491" s="130"/>
      <c r="AE491" s="106"/>
    </row>
    <row r="492">
      <c r="C492" s="79"/>
      <c r="D492" s="79"/>
      <c r="E492" s="79"/>
      <c r="P492" s="79"/>
      <c r="Q492" s="79"/>
      <c r="R492" s="79"/>
      <c r="Y492" s="79"/>
      <c r="AC492" s="130"/>
      <c r="AE492" s="106"/>
    </row>
    <row r="493">
      <c r="C493" s="79"/>
      <c r="D493" s="79"/>
      <c r="E493" s="79"/>
      <c r="P493" s="79"/>
      <c r="Q493" s="79"/>
      <c r="R493" s="79"/>
      <c r="Y493" s="79"/>
      <c r="AC493" s="130"/>
      <c r="AE493" s="106"/>
    </row>
    <row r="494">
      <c r="C494" s="79"/>
      <c r="D494" s="79"/>
      <c r="E494" s="79"/>
      <c r="P494" s="79"/>
      <c r="Q494" s="79"/>
      <c r="R494" s="79"/>
      <c r="Y494" s="79"/>
      <c r="AC494" s="130"/>
      <c r="AE494" s="106"/>
    </row>
    <row r="495">
      <c r="C495" s="79"/>
      <c r="D495" s="79"/>
      <c r="E495" s="79"/>
      <c r="P495" s="79"/>
      <c r="Q495" s="79"/>
      <c r="R495" s="79"/>
      <c r="Y495" s="79"/>
      <c r="AC495" s="130"/>
      <c r="AE495" s="106"/>
    </row>
    <row r="496">
      <c r="C496" s="79"/>
      <c r="D496" s="79"/>
      <c r="E496" s="79"/>
      <c r="P496" s="79"/>
      <c r="Q496" s="79"/>
      <c r="R496" s="79"/>
      <c r="Y496" s="79"/>
      <c r="AC496" s="130"/>
      <c r="AE496" s="106"/>
    </row>
    <row r="497">
      <c r="C497" s="79"/>
      <c r="D497" s="79"/>
      <c r="E497" s="79"/>
      <c r="P497" s="79"/>
      <c r="Q497" s="79"/>
      <c r="R497" s="79"/>
      <c r="Y497" s="79"/>
      <c r="AC497" s="130"/>
      <c r="AE497" s="106"/>
    </row>
    <row r="498">
      <c r="C498" s="79"/>
      <c r="D498" s="79"/>
      <c r="E498" s="79"/>
      <c r="P498" s="79"/>
      <c r="Q498" s="79"/>
      <c r="R498" s="79"/>
      <c r="Y498" s="79"/>
      <c r="AC498" s="130"/>
      <c r="AE498" s="106"/>
    </row>
    <row r="499">
      <c r="C499" s="79"/>
      <c r="D499" s="79"/>
      <c r="E499" s="79"/>
      <c r="P499" s="79"/>
      <c r="Q499" s="79"/>
      <c r="R499" s="79"/>
      <c r="Y499" s="79"/>
      <c r="AC499" s="130"/>
      <c r="AE499" s="106"/>
    </row>
    <row r="500">
      <c r="C500" s="79"/>
      <c r="D500" s="79"/>
      <c r="E500" s="79"/>
      <c r="P500" s="79"/>
      <c r="Q500" s="79"/>
      <c r="R500" s="79"/>
      <c r="Y500" s="79"/>
      <c r="AC500" s="130"/>
      <c r="AE500" s="106"/>
    </row>
    <row r="501">
      <c r="C501" s="79"/>
      <c r="D501" s="79"/>
      <c r="E501" s="79"/>
      <c r="P501" s="79"/>
      <c r="Q501" s="79"/>
      <c r="R501" s="79"/>
      <c r="Y501" s="79"/>
      <c r="AC501" s="130"/>
      <c r="AE501" s="106"/>
    </row>
    <row r="502">
      <c r="C502" s="79"/>
      <c r="D502" s="79"/>
      <c r="E502" s="79"/>
      <c r="P502" s="79"/>
      <c r="Q502" s="79"/>
      <c r="R502" s="79"/>
      <c r="Y502" s="79"/>
      <c r="AC502" s="130"/>
      <c r="AE502" s="106"/>
    </row>
    <row r="503">
      <c r="C503" s="79"/>
      <c r="D503" s="79"/>
      <c r="E503" s="79"/>
      <c r="P503" s="79"/>
      <c r="Q503" s="79"/>
      <c r="R503" s="79"/>
      <c r="Y503" s="79"/>
      <c r="AC503" s="130"/>
      <c r="AE503" s="106"/>
    </row>
    <row r="504">
      <c r="C504" s="79"/>
      <c r="D504" s="79"/>
      <c r="E504" s="79"/>
      <c r="P504" s="79"/>
      <c r="Q504" s="79"/>
      <c r="R504" s="79"/>
      <c r="Y504" s="79"/>
      <c r="AC504" s="130"/>
      <c r="AE504" s="106"/>
    </row>
    <row r="505">
      <c r="C505" s="79"/>
      <c r="D505" s="79"/>
      <c r="E505" s="79"/>
      <c r="P505" s="79"/>
      <c r="Q505" s="79"/>
      <c r="R505" s="79"/>
      <c r="Y505" s="79"/>
      <c r="AC505" s="130"/>
      <c r="AE505" s="106"/>
    </row>
    <row r="506">
      <c r="C506" s="79"/>
      <c r="D506" s="79"/>
      <c r="E506" s="79"/>
      <c r="P506" s="79"/>
      <c r="Q506" s="79"/>
      <c r="R506" s="79"/>
      <c r="Y506" s="79"/>
      <c r="AC506" s="130"/>
      <c r="AE506" s="106"/>
    </row>
    <row r="507">
      <c r="C507" s="79"/>
      <c r="D507" s="79"/>
      <c r="E507" s="79"/>
      <c r="P507" s="79"/>
      <c r="Q507" s="79"/>
      <c r="R507" s="79"/>
      <c r="Y507" s="79"/>
      <c r="AC507" s="130"/>
      <c r="AE507" s="106"/>
    </row>
    <row r="508">
      <c r="C508" s="79"/>
      <c r="D508" s="79"/>
      <c r="E508" s="79"/>
      <c r="P508" s="79"/>
      <c r="Q508" s="79"/>
      <c r="R508" s="79"/>
      <c r="Y508" s="79"/>
      <c r="AC508" s="130"/>
      <c r="AE508" s="106"/>
    </row>
    <row r="509">
      <c r="C509" s="79"/>
      <c r="D509" s="79"/>
      <c r="E509" s="79"/>
      <c r="P509" s="79"/>
      <c r="Q509" s="79"/>
      <c r="R509" s="79"/>
      <c r="Y509" s="79"/>
      <c r="AC509" s="130"/>
      <c r="AE509" s="106"/>
    </row>
    <row r="510">
      <c r="C510" s="79"/>
      <c r="D510" s="79"/>
      <c r="E510" s="79"/>
      <c r="P510" s="79"/>
      <c r="Q510" s="79"/>
      <c r="R510" s="79"/>
      <c r="Y510" s="79"/>
      <c r="AC510" s="130"/>
      <c r="AE510" s="106"/>
    </row>
    <row r="511">
      <c r="C511" s="79"/>
      <c r="D511" s="79"/>
      <c r="E511" s="79"/>
      <c r="P511" s="79"/>
      <c r="Q511" s="79"/>
      <c r="R511" s="79"/>
      <c r="Y511" s="79"/>
      <c r="AC511" s="130"/>
      <c r="AE511" s="106"/>
    </row>
    <row r="512">
      <c r="C512" s="79"/>
      <c r="D512" s="79"/>
      <c r="E512" s="79"/>
      <c r="P512" s="79"/>
      <c r="Q512" s="79"/>
      <c r="R512" s="79"/>
      <c r="Y512" s="79"/>
      <c r="AC512" s="130"/>
      <c r="AE512" s="106"/>
    </row>
    <row r="513">
      <c r="C513" s="79"/>
      <c r="D513" s="79"/>
      <c r="E513" s="79"/>
      <c r="P513" s="79"/>
      <c r="Q513" s="79"/>
      <c r="R513" s="79"/>
      <c r="Y513" s="79"/>
      <c r="AC513" s="130"/>
      <c r="AE513" s="106"/>
    </row>
    <row r="514">
      <c r="C514" s="79"/>
      <c r="D514" s="79"/>
      <c r="E514" s="79"/>
      <c r="P514" s="79"/>
      <c r="Q514" s="79"/>
      <c r="R514" s="79"/>
      <c r="Y514" s="79"/>
      <c r="AC514" s="130"/>
      <c r="AE514" s="106"/>
    </row>
    <row r="515">
      <c r="C515" s="79"/>
      <c r="D515" s="79"/>
      <c r="E515" s="79"/>
      <c r="P515" s="79"/>
      <c r="Q515" s="79"/>
      <c r="R515" s="79"/>
      <c r="Y515" s="79"/>
      <c r="AC515" s="130"/>
      <c r="AE515" s="106"/>
    </row>
    <row r="516">
      <c r="C516" s="79"/>
      <c r="D516" s="79"/>
      <c r="E516" s="79"/>
      <c r="P516" s="79"/>
      <c r="Q516" s="79"/>
      <c r="R516" s="79"/>
      <c r="Y516" s="79"/>
      <c r="AC516" s="130"/>
      <c r="AE516" s="106"/>
    </row>
    <row r="517">
      <c r="C517" s="79"/>
      <c r="D517" s="79"/>
      <c r="E517" s="79"/>
      <c r="P517" s="79"/>
      <c r="Q517" s="79"/>
      <c r="R517" s="79"/>
      <c r="Y517" s="79"/>
      <c r="AC517" s="130"/>
      <c r="AE517" s="106"/>
    </row>
    <row r="518">
      <c r="C518" s="79"/>
      <c r="D518" s="79"/>
      <c r="E518" s="79"/>
      <c r="P518" s="79"/>
      <c r="Q518" s="79"/>
      <c r="R518" s="79"/>
      <c r="Y518" s="79"/>
      <c r="AC518" s="130"/>
      <c r="AE518" s="106"/>
    </row>
    <row r="519">
      <c r="C519" s="79"/>
      <c r="D519" s="79"/>
      <c r="E519" s="79"/>
      <c r="P519" s="79"/>
      <c r="Q519" s="79"/>
      <c r="R519" s="79"/>
      <c r="Y519" s="79"/>
      <c r="AC519" s="130"/>
      <c r="AE519" s="106"/>
    </row>
    <row r="520">
      <c r="C520" s="79"/>
      <c r="D520" s="79"/>
      <c r="E520" s="79"/>
      <c r="P520" s="79"/>
      <c r="Q520" s="79"/>
      <c r="R520" s="79"/>
      <c r="Y520" s="79"/>
      <c r="AC520" s="130"/>
      <c r="AE520" s="106"/>
    </row>
    <row r="521">
      <c r="C521" s="79"/>
      <c r="D521" s="79"/>
      <c r="E521" s="79"/>
      <c r="P521" s="79"/>
      <c r="Q521" s="79"/>
      <c r="R521" s="79"/>
      <c r="Y521" s="79"/>
      <c r="AC521" s="130"/>
      <c r="AE521" s="106"/>
    </row>
    <row r="522">
      <c r="C522" s="79"/>
      <c r="D522" s="79"/>
      <c r="E522" s="79"/>
      <c r="P522" s="79"/>
      <c r="Q522" s="79"/>
      <c r="R522" s="79"/>
      <c r="Y522" s="79"/>
      <c r="AC522" s="130"/>
      <c r="AE522" s="106"/>
    </row>
    <row r="523">
      <c r="C523" s="79"/>
      <c r="D523" s="79"/>
      <c r="E523" s="79"/>
      <c r="P523" s="79"/>
      <c r="Q523" s="79"/>
      <c r="R523" s="79"/>
      <c r="Y523" s="79"/>
      <c r="AC523" s="130"/>
      <c r="AE523" s="106"/>
    </row>
    <row r="524">
      <c r="C524" s="79"/>
      <c r="D524" s="79"/>
      <c r="E524" s="79"/>
      <c r="P524" s="79"/>
      <c r="Q524" s="79"/>
      <c r="R524" s="79"/>
      <c r="Y524" s="79"/>
      <c r="AC524" s="130"/>
      <c r="AE524" s="106"/>
    </row>
    <row r="525">
      <c r="C525" s="79"/>
      <c r="D525" s="79"/>
      <c r="E525" s="79"/>
      <c r="P525" s="79"/>
      <c r="Q525" s="79"/>
      <c r="R525" s="79"/>
      <c r="Y525" s="79"/>
      <c r="AC525" s="130"/>
      <c r="AE525" s="106"/>
    </row>
    <row r="526">
      <c r="C526" s="79"/>
      <c r="D526" s="79"/>
      <c r="E526" s="79"/>
      <c r="P526" s="79"/>
      <c r="Q526" s="79"/>
      <c r="R526" s="79"/>
      <c r="Y526" s="79"/>
      <c r="AC526" s="130"/>
      <c r="AE526" s="106"/>
    </row>
    <row r="527">
      <c r="C527" s="79"/>
      <c r="D527" s="79"/>
      <c r="E527" s="79"/>
      <c r="P527" s="79"/>
      <c r="Q527" s="79"/>
      <c r="R527" s="79"/>
      <c r="Y527" s="79"/>
      <c r="AC527" s="130"/>
      <c r="AE527" s="106"/>
    </row>
    <row r="528">
      <c r="C528" s="79"/>
      <c r="D528" s="79"/>
      <c r="E528" s="79"/>
      <c r="P528" s="79"/>
      <c r="Q528" s="79"/>
      <c r="R528" s="79"/>
      <c r="Y528" s="79"/>
      <c r="AC528" s="130"/>
      <c r="AE528" s="106"/>
    </row>
    <row r="529">
      <c r="C529" s="79"/>
      <c r="D529" s="79"/>
      <c r="E529" s="79"/>
      <c r="P529" s="79"/>
      <c r="Q529" s="79"/>
      <c r="R529" s="79"/>
      <c r="Y529" s="79"/>
      <c r="AC529" s="130"/>
      <c r="AE529" s="106"/>
    </row>
    <row r="530">
      <c r="C530" s="79"/>
      <c r="D530" s="79"/>
      <c r="E530" s="79"/>
      <c r="P530" s="79"/>
      <c r="Q530" s="79"/>
      <c r="R530" s="79"/>
      <c r="Y530" s="79"/>
      <c r="AC530" s="130"/>
      <c r="AE530" s="106"/>
    </row>
    <row r="531">
      <c r="C531" s="79"/>
      <c r="D531" s="79"/>
      <c r="E531" s="79"/>
      <c r="P531" s="79"/>
      <c r="Q531" s="79"/>
      <c r="R531" s="79"/>
      <c r="Y531" s="79"/>
      <c r="AC531" s="130"/>
      <c r="AE531" s="106"/>
    </row>
    <row r="532">
      <c r="C532" s="79"/>
      <c r="D532" s="79"/>
      <c r="E532" s="79"/>
      <c r="P532" s="79"/>
      <c r="Q532" s="79"/>
      <c r="R532" s="79"/>
      <c r="Y532" s="79"/>
      <c r="AC532" s="130"/>
      <c r="AE532" s="106"/>
    </row>
    <row r="533">
      <c r="C533" s="79"/>
      <c r="D533" s="79"/>
      <c r="E533" s="79"/>
      <c r="P533" s="79"/>
      <c r="Q533" s="79"/>
      <c r="R533" s="79"/>
      <c r="Y533" s="79"/>
      <c r="AC533" s="130"/>
      <c r="AE533" s="106"/>
    </row>
    <row r="534">
      <c r="C534" s="79"/>
      <c r="D534" s="79"/>
      <c r="E534" s="79"/>
      <c r="P534" s="79"/>
      <c r="Q534" s="79"/>
      <c r="R534" s="79"/>
      <c r="Y534" s="79"/>
      <c r="AC534" s="130"/>
      <c r="AE534" s="106"/>
    </row>
    <row r="535">
      <c r="C535" s="79"/>
      <c r="D535" s="79"/>
      <c r="E535" s="79"/>
      <c r="P535" s="79"/>
      <c r="Q535" s="79"/>
      <c r="R535" s="79"/>
      <c r="Y535" s="79"/>
      <c r="AC535" s="130"/>
      <c r="AE535" s="106"/>
    </row>
    <row r="536">
      <c r="C536" s="79"/>
      <c r="D536" s="79"/>
      <c r="E536" s="79"/>
      <c r="P536" s="79"/>
      <c r="Q536" s="79"/>
      <c r="R536" s="79"/>
      <c r="Y536" s="79"/>
      <c r="AC536" s="130"/>
      <c r="AE536" s="106"/>
    </row>
    <row r="537">
      <c r="C537" s="79"/>
      <c r="D537" s="79"/>
      <c r="E537" s="79"/>
      <c r="P537" s="79"/>
      <c r="Q537" s="79"/>
      <c r="R537" s="79"/>
      <c r="Y537" s="79"/>
      <c r="AC537" s="130"/>
      <c r="AE537" s="106"/>
    </row>
    <row r="538">
      <c r="C538" s="79"/>
      <c r="D538" s="79"/>
      <c r="E538" s="79"/>
      <c r="P538" s="79"/>
      <c r="Q538" s="79"/>
      <c r="R538" s="79"/>
      <c r="Y538" s="79"/>
      <c r="AC538" s="130"/>
      <c r="AE538" s="106"/>
    </row>
    <row r="539">
      <c r="C539" s="79"/>
      <c r="D539" s="79"/>
      <c r="E539" s="79"/>
      <c r="P539" s="79"/>
      <c r="Q539" s="79"/>
      <c r="R539" s="79"/>
      <c r="Y539" s="79"/>
      <c r="AC539" s="130"/>
      <c r="AE539" s="106"/>
    </row>
    <row r="540">
      <c r="C540" s="79"/>
      <c r="D540" s="79"/>
      <c r="E540" s="79"/>
      <c r="P540" s="79"/>
      <c r="Q540" s="79"/>
      <c r="R540" s="79"/>
      <c r="Y540" s="79"/>
      <c r="AC540" s="130"/>
      <c r="AE540" s="106"/>
    </row>
    <row r="541">
      <c r="C541" s="79"/>
      <c r="D541" s="79"/>
      <c r="E541" s="79"/>
      <c r="P541" s="79"/>
      <c r="Q541" s="79"/>
      <c r="R541" s="79"/>
      <c r="Y541" s="79"/>
      <c r="AC541" s="130"/>
      <c r="AE541" s="106"/>
    </row>
    <row r="542">
      <c r="C542" s="79"/>
      <c r="D542" s="79"/>
      <c r="E542" s="79"/>
      <c r="P542" s="79"/>
      <c r="Q542" s="79"/>
      <c r="R542" s="79"/>
      <c r="Y542" s="79"/>
      <c r="AC542" s="130"/>
      <c r="AE542" s="106"/>
    </row>
    <row r="543">
      <c r="C543" s="79"/>
      <c r="D543" s="79"/>
      <c r="E543" s="79"/>
      <c r="P543" s="79"/>
      <c r="Q543" s="79"/>
      <c r="R543" s="79"/>
      <c r="Y543" s="79"/>
      <c r="AC543" s="130"/>
      <c r="AE543" s="106"/>
    </row>
    <row r="544">
      <c r="C544" s="79"/>
      <c r="D544" s="79"/>
      <c r="E544" s="79"/>
      <c r="P544" s="79"/>
      <c r="Q544" s="79"/>
      <c r="R544" s="79"/>
      <c r="Y544" s="79"/>
      <c r="AC544" s="130"/>
      <c r="AE544" s="106"/>
    </row>
    <row r="545">
      <c r="C545" s="79"/>
      <c r="D545" s="79"/>
      <c r="E545" s="79"/>
      <c r="P545" s="79"/>
      <c r="Q545" s="79"/>
      <c r="R545" s="79"/>
      <c r="Y545" s="79"/>
      <c r="AC545" s="130"/>
      <c r="AE545" s="106"/>
    </row>
    <row r="546">
      <c r="C546" s="79"/>
      <c r="D546" s="79"/>
      <c r="E546" s="79"/>
      <c r="P546" s="79"/>
      <c r="Q546" s="79"/>
      <c r="R546" s="79"/>
      <c r="Y546" s="79"/>
      <c r="AC546" s="130"/>
      <c r="AE546" s="106"/>
    </row>
    <row r="547">
      <c r="C547" s="79"/>
      <c r="D547" s="79"/>
      <c r="E547" s="79"/>
      <c r="P547" s="79"/>
      <c r="Q547" s="79"/>
      <c r="R547" s="79"/>
      <c r="Y547" s="79"/>
      <c r="AC547" s="130"/>
      <c r="AE547" s="106"/>
    </row>
    <row r="548">
      <c r="C548" s="79"/>
      <c r="D548" s="79"/>
      <c r="E548" s="79"/>
      <c r="P548" s="79"/>
      <c r="Q548" s="79"/>
      <c r="R548" s="79"/>
      <c r="Y548" s="79"/>
      <c r="AC548" s="130"/>
      <c r="AE548" s="106"/>
    </row>
    <row r="549">
      <c r="C549" s="79"/>
      <c r="D549" s="79"/>
      <c r="E549" s="79"/>
      <c r="P549" s="79"/>
      <c r="Q549" s="79"/>
      <c r="R549" s="79"/>
      <c r="Y549" s="79"/>
      <c r="AC549" s="130"/>
      <c r="AE549" s="106"/>
    </row>
    <row r="550">
      <c r="C550" s="79"/>
      <c r="D550" s="79"/>
      <c r="E550" s="79"/>
      <c r="P550" s="79"/>
      <c r="Q550" s="79"/>
      <c r="R550" s="79"/>
      <c r="Y550" s="79"/>
      <c r="AC550" s="130"/>
      <c r="AE550" s="106"/>
    </row>
    <row r="551">
      <c r="C551" s="79"/>
      <c r="D551" s="79"/>
      <c r="E551" s="79"/>
      <c r="P551" s="79"/>
      <c r="Q551" s="79"/>
      <c r="R551" s="79"/>
      <c r="Y551" s="79"/>
      <c r="AC551" s="130"/>
      <c r="AE551" s="106"/>
    </row>
    <row r="552">
      <c r="C552" s="79"/>
      <c r="D552" s="79"/>
      <c r="E552" s="79"/>
      <c r="P552" s="79"/>
      <c r="Q552" s="79"/>
      <c r="R552" s="79"/>
      <c r="Y552" s="79"/>
      <c r="AC552" s="130"/>
      <c r="AE552" s="106"/>
    </row>
    <row r="553">
      <c r="C553" s="79"/>
      <c r="D553" s="79"/>
      <c r="E553" s="79"/>
      <c r="P553" s="79"/>
      <c r="Q553" s="79"/>
      <c r="R553" s="79"/>
      <c r="Y553" s="79"/>
      <c r="AC553" s="130"/>
      <c r="AE553" s="106"/>
    </row>
    <row r="554">
      <c r="C554" s="79"/>
      <c r="D554" s="79"/>
      <c r="E554" s="79"/>
      <c r="P554" s="79"/>
      <c r="Q554" s="79"/>
      <c r="R554" s="79"/>
      <c r="Y554" s="79"/>
      <c r="AC554" s="130"/>
      <c r="AE554" s="106"/>
    </row>
    <row r="555">
      <c r="C555" s="79"/>
      <c r="D555" s="79"/>
      <c r="E555" s="79"/>
      <c r="P555" s="79"/>
      <c r="Q555" s="79"/>
      <c r="R555" s="79"/>
      <c r="Y555" s="79"/>
      <c r="AC555" s="130"/>
      <c r="AE555" s="106"/>
    </row>
    <row r="556">
      <c r="C556" s="79"/>
      <c r="D556" s="79"/>
      <c r="E556" s="79"/>
      <c r="P556" s="79"/>
      <c r="Q556" s="79"/>
      <c r="R556" s="79"/>
      <c r="Y556" s="79"/>
      <c r="AC556" s="130"/>
      <c r="AE556" s="106"/>
    </row>
    <row r="557">
      <c r="C557" s="79"/>
      <c r="D557" s="79"/>
      <c r="E557" s="79"/>
      <c r="P557" s="79"/>
      <c r="Q557" s="79"/>
      <c r="R557" s="79"/>
      <c r="Y557" s="79"/>
      <c r="AC557" s="130"/>
      <c r="AE557" s="106"/>
    </row>
    <row r="558">
      <c r="C558" s="79"/>
      <c r="D558" s="79"/>
      <c r="E558" s="79"/>
      <c r="P558" s="79"/>
      <c r="Q558" s="79"/>
      <c r="R558" s="79"/>
      <c r="Y558" s="79"/>
      <c r="AC558" s="130"/>
      <c r="AE558" s="106"/>
    </row>
    <row r="559">
      <c r="C559" s="79"/>
      <c r="D559" s="79"/>
      <c r="E559" s="79"/>
      <c r="P559" s="79"/>
      <c r="Q559" s="79"/>
      <c r="R559" s="79"/>
      <c r="Y559" s="79"/>
      <c r="AC559" s="130"/>
      <c r="AE559" s="106"/>
    </row>
    <row r="560">
      <c r="C560" s="79"/>
      <c r="D560" s="79"/>
      <c r="E560" s="79"/>
      <c r="P560" s="79"/>
      <c r="Q560" s="79"/>
      <c r="R560" s="79"/>
      <c r="Y560" s="79"/>
      <c r="AC560" s="130"/>
      <c r="AE560" s="106"/>
    </row>
    <row r="561">
      <c r="C561" s="79"/>
      <c r="D561" s="79"/>
      <c r="E561" s="79"/>
      <c r="P561" s="79"/>
      <c r="Q561" s="79"/>
      <c r="R561" s="79"/>
      <c r="Y561" s="79"/>
      <c r="AC561" s="130"/>
      <c r="AE561" s="106"/>
    </row>
    <row r="562">
      <c r="C562" s="79"/>
      <c r="D562" s="79"/>
      <c r="E562" s="79"/>
      <c r="P562" s="79"/>
      <c r="Q562" s="79"/>
      <c r="R562" s="79"/>
      <c r="Y562" s="79"/>
      <c r="AC562" s="130"/>
      <c r="AE562" s="106"/>
    </row>
    <row r="563">
      <c r="C563" s="79"/>
      <c r="D563" s="79"/>
      <c r="E563" s="79"/>
      <c r="P563" s="79"/>
      <c r="Q563" s="79"/>
      <c r="R563" s="79"/>
      <c r="Y563" s="79"/>
      <c r="AC563" s="130"/>
      <c r="AE563" s="106"/>
    </row>
    <row r="564">
      <c r="C564" s="79"/>
      <c r="D564" s="79"/>
      <c r="E564" s="79"/>
      <c r="P564" s="79"/>
      <c r="Q564" s="79"/>
      <c r="R564" s="79"/>
      <c r="Y564" s="79"/>
      <c r="AC564" s="130"/>
      <c r="AE564" s="106"/>
    </row>
    <row r="565">
      <c r="C565" s="79"/>
      <c r="D565" s="79"/>
      <c r="E565" s="79"/>
      <c r="P565" s="79"/>
      <c r="Q565" s="79"/>
      <c r="R565" s="79"/>
      <c r="Y565" s="79"/>
      <c r="AC565" s="130"/>
      <c r="AE565" s="106"/>
    </row>
    <row r="566">
      <c r="C566" s="79"/>
      <c r="D566" s="79"/>
      <c r="E566" s="79"/>
      <c r="P566" s="79"/>
      <c r="Q566" s="79"/>
      <c r="R566" s="79"/>
      <c r="Y566" s="79"/>
      <c r="AC566" s="130"/>
      <c r="AE566" s="106"/>
    </row>
    <row r="567">
      <c r="C567" s="79"/>
      <c r="D567" s="79"/>
      <c r="E567" s="79"/>
      <c r="P567" s="79"/>
      <c r="Q567" s="79"/>
      <c r="R567" s="79"/>
      <c r="Y567" s="79"/>
      <c r="AC567" s="130"/>
      <c r="AE567" s="106"/>
    </row>
    <row r="568">
      <c r="C568" s="79"/>
      <c r="D568" s="79"/>
      <c r="E568" s="79"/>
      <c r="P568" s="79"/>
      <c r="Q568" s="79"/>
      <c r="R568" s="79"/>
      <c r="Y568" s="79"/>
      <c r="AC568" s="130"/>
      <c r="AE568" s="106"/>
    </row>
    <row r="569">
      <c r="C569" s="79"/>
      <c r="D569" s="79"/>
      <c r="E569" s="79"/>
      <c r="P569" s="79"/>
      <c r="Q569" s="79"/>
      <c r="R569" s="79"/>
      <c r="Y569" s="79"/>
      <c r="AC569" s="130"/>
      <c r="AE569" s="106"/>
    </row>
    <row r="570">
      <c r="C570" s="79"/>
      <c r="D570" s="79"/>
      <c r="E570" s="79"/>
      <c r="P570" s="79"/>
      <c r="Q570" s="79"/>
      <c r="R570" s="79"/>
      <c r="Y570" s="79"/>
      <c r="AC570" s="130"/>
      <c r="AE570" s="106"/>
    </row>
    <row r="571">
      <c r="C571" s="79"/>
      <c r="D571" s="79"/>
      <c r="E571" s="79"/>
      <c r="P571" s="79"/>
      <c r="Q571" s="79"/>
      <c r="R571" s="79"/>
      <c r="Y571" s="79"/>
      <c r="AC571" s="130"/>
      <c r="AE571" s="106"/>
    </row>
    <row r="572">
      <c r="C572" s="79"/>
      <c r="D572" s="79"/>
      <c r="E572" s="79"/>
      <c r="P572" s="79"/>
      <c r="Q572" s="79"/>
      <c r="R572" s="79"/>
      <c r="Y572" s="79"/>
      <c r="AC572" s="130"/>
      <c r="AE572" s="106"/>
    </row>
    <row r="573">
      <c r="C573" s="79"/>
      <c r="D573" s="79"/>
      <c r="E573" s="79"/>
      <c r="P573" s="79"/>
      <c r="Q573" s="79"/>
      <c r="R573" s="79"/>
      <c r="Y573" s="79"/>
      <c r="AC573" s="130"/>
      <c r="AE573" s="106"/>
    </row>
    <row r="574">
      <c r="C574" s="79"/>
      <c r="D574" s="79"/>
      <c r="E574" s="79"/>
      <c r="P574" s="79"/>
      <c r="Q574" s="79"/>
      <c r="R574" s="79"/>
      <c r="Y574" s="79"/>
      <c r="AC574" s="130"/>
      <c r="AE574" s="106"/>
    </row>
    <row r="575">
      <c r="C575" s="79"/>
      <c r="D575" s="79"/>
      <c r="E575" s="79"/>
      <c r="P575" s="79"/>
      <c r="Q575" s="79"/>
      <c r="R575" s="79"/>
      <c r="Y575" s="79"/>
      <c r="AC575" s="130"/>
      <c r="AE575" s="106"/>
    </row>
    <row r="576">
      <c r="C576" s="79"/>
      <c r="D576" s="79"/>
      <c r="E576" s="79"/>
      <c r="P576" s="79"/>
      <c r="Q576" s="79"/>
      <c r="R576" s="79"/>
      <c r="Y576" s="79"/>
      <c r="AC576" s="130"/>
      <c r="AE576" s="106"/>
    </row>
    <row r="577">
      <c r="C577" s="79"/>
      <c r="D577" s="79"/>
      <c r="E577" s="79"/>
      <c r="P577" s="79"/>
      <c r="Q577" s="79"/>
      <c r="R577" s="79"/>
      <c r="Y577" s="79"/>
      <c r="AC577" s="130"/>
      <c r="AE577" s="106"/>
    </row>
    <row r="578">
      <c r="C578" s="79"/>
      <c r="D578" s="79"/>
      <c r="E578" s="79"/>
      <c r="P578" s="79"/>
      <c r="Q578" s="79"/>
      <c r="R578" s="79"/>
      <c r="Y578" s="79"/>
      <c r="AC578" s="130"/>
      <c r="AE578" s="106"/>
    </row>
    <row r="579">
      <c r="C579" s="79"/>
      <c r="D579" s="79"/>
      <c r="E579" s="79"/>
      <c r="P579" s="79"/>
      <c r="Q579" s="79"/>
      <c r="R579" s="79"/>
      <c r="Y579" s="79"/>
      <c r="AC579" s="130"/>
      <c r="AE579" s="106"/>
    </row>
    <row r="580">
      <c r="C580" s="79"/>
      <c r="D580" s="79"/>
      <c r="E580" s="79"/>
      <c r="P580" s="79"/>
      <c r="Q580" s="79"/>
      <c r="R580" s="79"/>
      <c r="Y580" s="79"/>
      <c r="AC580" s="130"/>
      <c r="AE580" s="106"/>
    </row>
    <row r="581">
      <c r="C581" s="79"/>
      <c r="D581" s="79"/>
      <c r="E581" s="79"/>
      <c r="P581" s="79"/>
      <c r="Q581" s="79"/>
      <c r="R581" s="79"/>
      <c r="Y581" s="79"/>
      <c r="AC581" s="130"/>
      <c r="AE581" s="106"/>
    </row>
    <row r="582">
      <c r="C582" s="79"/>
      <c r="D582" s="79"/>
      <c r="E582" s="79"/>
      <c r="P582" s="79"/>
      <c r="Q582" s="79"/>
      <c r="R582" s="79"/>
      <c r="Y582" s="79"/>
      <c r="AC582" s="130"/>
      <c r="AE582" s="106"/>
    </row>
    <row r="583">
      <c r="C583" s="79"/>
      <c r="D583" s="79"/>
      <c r="E583" s="79"/>
      <c r="P583" s="79"/>
      <c r="Q583" s="79"/>
      <c r="R583" s="79"/>
      <c r="Y583" s="79"/>
      <c r="AC583" s="130"/>
      <c r="AE583" s="106"/>
    </row>
    <row r="584">
      <c r="C584" s="79"/>
      <c r="D584" s="79"/>
      <c r="E584" s="79"/>
      <c r="P584" s="79"/>
      <c r="Q584" s="79"/>
      <c r="R584" s="79"/>
      <c r="Y584" s="79"/>
      <c r="AC584" s="130"/>
      <c r="AE584" s="106"/>
    </row>
    <row r="585">
      <c r="C585" s="79"/>
      <c r="D585" s="79"/>
      <c r="E585" s="79"/>
      <c r="P585" s="79"/>
      <c r="Q585" s="79"/>
      <c r="R585" s="79"/>
      <c r="Y585" s="79"/>
      <c r="AC585" s="130"/>
      <c r="AE585" s="106"/>
    </row>
    <row r="586">
      <c r="C586" s="79"/>
      <c r="D586" s="79"/>
      <c r="E586" s="79"/>
      <c r="P586" s="79"/>
      <c r="Q586" s="79"/>
      <c r="R586" s="79"/>
      <c r="Y586" s="79"/>
      <c r="AC586" s="130"/>
      <c r="AE586" s="106"/>
    </row>
    <row r="587">
      <c r="C587" s="79"/>
      <c r="D587" s="79"/>
      <c r="E587" s="79"/>
      <c r="P587" s="79"/>
      <c r="Q587" s="79"/>
      <c r="R587" s="79"/>
      <c r="Y587" s="79"/>
      <c r="AC587" s="130"/>
      <c r="AE587" s="106"/>
    </row>
    <row r="588">
      <c r="C588" s="79"/>
      <c r="D588" s="79"/>
      <c r="E588" s="79"/>
      <c r="P588" s="79"/>
      <c r="Q588" s="79"/>
      <c r="R588" s="79"/>
      <c r="Y588" s="79"/>
      <c r="AC588" s="130"/>
      <c r="AE588" s="106"/>
    </row>
    <row r="589">
      <c r="C589" s="79"/>
      <c r="D589" s="79"/>
      <c r="E589" s="79"/>
      <c r="P589" s="79"/>
      <c r="Q589" s="79"/>
      <c r="R589" s="79"/>
      <c r="Y589" s="79"/>
      <c r="AC589" s="130"/>
      <c r="AE589" s="106"/>
    </row>
    <row r="590">
      <c r="C590" s="79"/>
      <c r="D590" s="79"/>
      <c r="E590" s="79"/>
      <c r="P590" s="79"/>
      <c r="Q590" s="79"/>
      <c r="R590" s="79"/>
      <c r="Y590" s="79"/>
      <c r="AC590" s="130"/>
      <c r="AE590" s="106"/>
    </row>
    <row r="591">
      <c r="C591" s="79"/>
      <c r="D591" s="79"/>
      <c r="E591" s="79"/>
      <c r="P591" s="79"/>
      <c r="Q591" s="79"/>
      <c r="R591" s="79"/>
      <c r="Y591" s="79"/>
      <c r="AC591" s="130"/>
      <c r="AE591" s="106"/>
    </row>
    <row r="592">
      <c r="C592" s="79"/>
      <c r="D592" s="79"/>
      <c r="E592" s="79"/>
      <c r="P592" s="79"/>
      <c r="Q592" s="79"/>
      <c r="R592" s="79"/>
      <c r="Y592" s="79"/>
      <c r="AC592" s="130"/>
      <c r="AE592" s="106"/>
    </row>
    <row r="593">
      <c r="C593" s="79"/>
      <c r="D593" s="79"/>
      <c r="E593" s="79"/>
      <c r="P593" s="79"/>
      <c r="Q593" s="79"/>
      <c r="R593" s="79"/>
      <c r="Y593" s="79"/>
      <c r="AC593" s="130"/>
      <c r="AE593" s="106"/>
    </row>
    <row r="594">
      <c r="C594" s="79"/>
      <c r="D594" s="79"/>
      <c r="E594" s="79"/>
      <c r="P594" s="79"/>
      <c r="Q594" s="79"/>
      <c r="R594" s="79"/>
      <c r="Y594" s="79"/>
      <c r="AC594" s="130"/>
      <c r="AE594" s="106"/>
    </row>
    <row r="595">
      <c r="C595" s="79"/>
      <c r="D595" s="79"/>
      <c r="E595" s="79"/>
      <c r="P595" s="79"/>
      <c r="Q595" s="79"/>
      <c r="R595" s="79"/>
      <c r="Y595" s="79"/>
      <c r="AC595" s="130"/>
      <c r="AE595" s="106"/>
    </row>
    <row r="596">
      <c r="C596" s="79"/>
      <c r="D596" s="79"/>
      <c r="E596" s="79"/>
      <c r="P596" s="79"/>
      <c r="Q596" s="79"/>
      <c r="R596" s="79"/>
      <c r="Y596" s="79"/>
      <c r="AC596" s="130"/>
      <c r="AE596" s="106"/>
    </row>
    <row r="597">
      <c r="C597" s="79"/>
      <c r="D597" s="79"/>
      <c r="E597" s="79"/>
      <c r="P597" s="79"/>
      <c r="Q597" s="79"/>
      <c r="R597" s="79"/>
      <c r="Y597" s="79"/>
      <c r="AC597" s="130"/>
      <c r="AE597" s="106"/>
    </row>
    <row r="598">
      <c r="C598" s="79"/>
      <c r="D598" s="79"/>
      <c r="E598" s="79"/>
      <c r="P598" s="79"/>
      <c r="Q598" s="79"/>
      <c r="R598" s="79"/>
      <c r="Y598" s="79"/>
      <c r="AC598" s="130"/>
      <c r="AE598" s="106"/>
    </row>
    <row r="599">
      <c r="C599" s="79"/>
      <c r="D599" s="79"/>
      <c r="E599" s="79"/>
      <c r="P599" s="79"/>
      <c r="Q599" s="79"/>
      <c r="R599" s="79"/>
      <c r="Y599" s="79"/>
      <c r="AC599" s="130"/>
      <c r="AE599" s="106"/>
    </row>
    <row r="600">
      <c r="C600" s="79"/>
      <c r="D600" s="79"/>
      <c r="E600" s="79"/>
      <c r="P600" s="79"/>
      <c r="Q600" s="79"/>
      <c r="R600" s="79"/>
      <c r="Y600" s="79"/>
      <c r="AC600" s="130"/>
      <c r="AE600" s="106"/>
    </row>
    <row r="601">
      <c r="C601" s="79"/>
      <c r="D601" s="79"/>
      <c r="E601" s="79"/>
      <c r="P601" s="79"/>
      <c r="Q601" s="79"/>
      <c r="R601" s="79"/>
      <c r="Y601" s="79"/>
      <c r="AC601" s="130"/>
      <c r="AE601" s="106"/>
    </row>
    <row r="602">
      <c r="C602" s="79"/>
      <c r="D602" s="79"/>
      <c r="E602" s="79"/>
      <c r="P602" s="79"/>
      <c r="Q602" s="79"/>
      <c r="R602" s="79"/>
      <c r="Y602" s="79"/>
      <c r="AC602" s="130"/>
      <c r="AE602" s="106"/>
    </row>
    <row r="603">
      <c r="C603" s="79"/>
      <c r="D603" s="79"/>
      <c r="E603" s="79"/>
      <c r="P603" s="79"/>
      <c r="Q603" s="79"/>
      <c r="R603" s="79"/>
      <c r="Y603" s="79"/>
      <c r="AC603" s="130"/>
      <c r="AE603" s="106"/>
    </row>
    <row r="604">
      <c r="C604" s="79"/>
      <c r="D604" s="79"/>
      <c r="E604" s="79"/>
      <c r="P604" s="79"/>
      <c r="Q604" s="79"/>
      <c r="R604" s="79"/>
      <c r="Y604" s="79"/>
      <c r="AC604" s="130"/>
      <c r="AE604" s="106"/>
    </row>
    <row r="605">
      <c r="C605" s="79"/>
      <c r="D605" s="79"/>
      <c r="E605" s="79"/>
      <c r="P605" s="79"/>
      <c r="Q605" s="79"/>
      <c r="R605" s="79"/>
      <c r="Y605" s="79"/>
      <c r="AC605" s="130"/>
      <c r="AE605" s="106"/>
    </row>
    <row r="606">
      <c r="C606" s="79"/>
      <c r="D606" s="79"/>
      <c r="E606" s="79"/>
      <c r="P606" s="79"/>
      <c r="Q606" s="79"/>
      <c r="R606" s="79"/>
      <c r="Y606" s="79"/>
      <c r="AC606" s="130"/>
      <c r="AE606" s="106"/>
    </row>
    <row r="607">
      <c r="C607" s="79"/>
      <c r="D607" s="79"/>
      <c r="E607" s="79"/>
      <c r="P607" s="79"/>
      <c r="Q607" s="79"/>
      <c r="R607" s="79"/>
      <c r="Y607" s="79"/>
      <c r="AC607" s="130"/>
      <c r="AE607" s="106"/>
    </row>
    <row r="608">
      <c r="C608" s="79"/>
      <c r="D608" s="79"/>
      <c r="E608" s="79"/>
      <c r="P608" s="79"/>
      <c r="Q608" s="79"/>
      <c r="R608" s="79"/>
      <c r="Y608" s="79"/>
      <c r="AC608" s="130"/>
      <c r="AE608" s="106"/>
    </row>
    <row r="609">
      <c r="C609" s="79"/>
      <c r="D609" s="79"/>
      <c r="E609" s="79"/>
      <c r="P609" s="79"/>
      <c r="Q609" s="79"/>
      <c r="R609" s="79"/>
      <c r="Y609" s="79"/>
      <c r="AC609" s="130"/>
      <c r="AE609" s="106"/>
    </row>
    <row r="610">
      <c r="C610" s="79"/>
      <c r="D610" s="79"/>
      <c r="E610" s="79"/>
      <c r="P610" s="79"/>
      <c r="Q610" s="79"/>
      <c r="R610" s="79"/>
      <c r="Y610" s="79"/>
      <c r="AC610" s="130"/>
      <c r="AE610" s="106"/>
    </row>
    <row r="611">
      <c r="C611" s="79"/>
      <c r="D611" s="79"/>
      <c r="E611" s="79"/>
      <c r="P611" s="79"/>
      <c r="Q611" s="79"/>
      <c r="R611" s="79"/>
      <c r="Y611" s="79"/>
      <c r="AC611" s="130"/>
      <c r="AE611" s="106"/>
    </row>
    <row r="612">
      <c r="C612" s="79"/>
      <c r="D612" s="79"/>
      <c r="E612" s="79"/>
      <c r="P612" s="79"/>
      <c r="Q612" s="79"/>
      <c r="R612" s="79"/>
      <c r="Y612" s="79"/>
      <c r="AC612" s="130"/>
      <c r="AE612" s="106"/>
    </row>
    <row r="613">
      <c r="C613" s="79"/>
      <c r="D613" s="79"/>
      <c r="E613" s="79"/>
      <c r="P613" s="79"/>
      <c r="Q613" s="79"/>
      <c r="R613" s="79"/>
      <c r="Y613" s="79"/>
      <c r="AC613" s="130"/>
      <c r="AE613" s="106"/>
    </row>
    <row r="614">
      <c r="C614" s="79"/>
      <c r="D614" s="79"/>
      <c r="E614" s="79"/>
      <c r="P614" s="79"/>
      <c r="Q614" s="79"/>
      <c r="R614" s="79"/>
      <c r="Y614" s="79"/>
      <c r="AC614" s="130"/>
      <c r="AE614" s="106"/>
    </row>
    <row r="615">
      <c r="C615" s="79"/>
      <c r="D615" s="79"/>
      <c r="E615" s="79"/>
      <c r="P615" s="79"/>
      <c r="Q615" s="79"/>
      <c r="R615" s="79"/>
      <c r="Y615" s="79"/>
      <c r="AC615" s="130"/>
      <c r="AE615" s="106"/>
    </row>
    <row r="616">
      <c r="C616" s="79"/>
      <c r="D616" s="79"/>
      <c r="E616" s="79"/>
      <c r="P616" s="79"/>
      <c r="Q616" s="79"/>
      <c r="R616" s="79"/>
      <c r="Y616" s="79"/>
      <c r="AC616" s="130"/>
      <c r="AE616" s="106"/>
    </row>
    <row r="617">
      <c r="C617" s="79"/>
      <c r="D617" s="79"/>
      <c r="E617" s="79"/>
      <c r="P617" s="79"/>
      <c r="Q617" s="79"/>
      <c r="R617" s="79"/>
      <c r="Y617" s="79"/>
      <c r="AC617" s="130"/>
      <c r="AE617" s="106"/>
    </row>
    <row r="618">
      <c r="C618" s="79"/>
      <c r="D618" s="79"/>
      <c r="E618" s="79"/>
      <c r="P618" s="79"/>
      <c r="Q618" s="79"/>
      <c r="R618" s="79"/>
      <c r="Y618" s="79"/>
      <c r="AC618" s="130"/>
      <c r="AE618" s="106"/>
    </row>
    <row r="619">
      <c r="C619" s="79"/>
      <c r="D619" s="79"/>
      <c r="E619" s="79"/>
      <c r="P619" s="79"/>
      <c r="Q619" s="79"/>
      <c r="R619" s="79"/>
      <c r="Y619" s="79"/>
      <c r="AC619" s="130"/>
      <c r="AE619" s="106"/>
    </row>
    <row r="620">
      <c r="C620" s="79"/>
      <c r="D620" s="79"/>
      <c r="E620" s="79"/>
      <c r="P620" s="79"/>
      <c r="Q620" s="79"/>
      <c r="R620" s="79"/>
      <c r="Y620" s="79"/>
      <c r="AC620" s="130"/>
      <c r="AE620" s="106"/>
    </row>
    <row r="621">
      <c r="C621" s="79"/>
      <c r="D621" s="79"/>
      <c r="E621" s="79"/>
      <c r="P621" s="79"/>
      <c r="Q621" s="79"/>
      <c r="R621" s="79"/>
      <c r="Y621" s="79"/>
      <c r="AC621" s="130"/>
      <c r="AE621" s="106"/>
    </row>
    <row r="622">
      <c r="C622" s="79"/>
      <c r="D622" s="79"/>
      <c r="E622" s="79"/>
      <c r="P622" s="79"/>
      <c r="Q622" s="79"/>
      <c r="R622" s="79"/>
      <c r="Y622" s="79"/>
      <c r="AC622" s="130"/>
      <c r="AE622" s="106"/>
    </row>
    <row r="623">
      <c r="C623" s="79"/>
      <c r="D623" s="79"/>
      <c r="E623" s="79"/>
      <c r="P623" s="79"/>
      <c r="Q623" s="79"/>
      <c r="R623" s="79"/>
      <c r="Y623" s="79"/>
      <c r="AC623" s="130"/>
      <c r="AE623" s="106"/>
    </row>
    <row r="624">
      <c r="C624" s="79"/>
      <c r="D624" s="79"/>
      <c r="E624" s="79"/>
      <c r="P624" s="79"/>
      <c r="Q624" s="79"/>
      <c r="R624" s="79"/>
      <c r="Y624" s="79"/>
      <c r="AC624" s="130"/>
      <c r="AE624" s="106"/>
    </row>
    <row r="625">
      <c r="C625" s="79"/>
      <c r="D625" s="79"/>
      <c r="E625" s="79"/>
      <c r="P625" s="79"/>
      <c r="Q625" s="79"/>
      <c r="R625" s="79"/>
      <c r="Y625" s="79"/>
      <c r="AC625" s="130"/>
      <c r="AE625" s="106"/>
    </row>
    <row r="626">
      <c r="C626" s="79"/>
      <c r="D626" s="79"/>
      <c r="E626" s="79"/>
      <c r="P626" s="79"/>
      <c r="Q626" s="79"/>
      <c r="R626" s="79"/>
      <c r="Y626" s="79"/>
      <c r="AC626" s="130"/>
      <c r="AE626" s="106"/>
    </row>
    <row r="627">
      <c r="C627" s="79"/>
      <c r="D627" s="79"/>
      <c r="E627" s="79"/>
      <c r="P627" s="79"/>
      <c r="Q627" s="79"/>
      <c r="R627" s="79"/>
      <c r="Y627" s="79"/>
      <c r="AC627" s="130"/>
      <c r="AE627" s="106"/>
    </row>
    <row r="628">
      <c r="C628" s="79"/>
      <c r="D628" s="79"/>
      <c r="E628" s="79"/>
      <c r="P628" s="79"/>
      <c r="Q628" s="79"/>
      <c r="R628" s="79"/>
      <c r="Y628" s="79"/>
      <c r="AC628" s="130"/>
      <c r="AE628" s="106"/>
    </row>
    <row r="629">
      <c r="C629" s="79"/>
      <c r="D629" s="79"/>
      <c r="E629" s="79"/>
      <c r="P629" s="79"/>
      <c r="Q629" s="79"/>
      <c r="R629" s="79"/>
      <c r="Y629" s="79"/>
      <c r="AC629" s="130"/>
      <c r="AE629" s="106"/>
    </row>
    <row r="630">
      <c r="C630" s="79"/>
      <c r="D630" s="79"/>
      <c r="E630" s="79"/>
      <c r="P630" s="79"/>
      <c r="Q630" s="79"/>
      <c r="R630" s="79"/>
      <c r="Y630" s="79"/>
      <c r="AC630" s="130"/>
      <c r="AE630" s="106"/>
    </row>
    <row r="631">
      <c r="C631" s="79"/>
      <c r="D631" s="79"/>
      <c r="E631" s="79"/>
      <c r="P631" s="79"/>
      <c r="Q631" s="79"/>
      <c r="R631" s="79"/>
      <c r="Y631" s="79"/>
      <c r="AC631" s="130"/>
      <c r="AE631" s="106"/>
    </row>
    <row r="632">
      <c r="C632" s="79"/>
      <c r="D632" s="79"/>
      <c r="E632" s="79"/>
      <c r="P632" s="79"/>
      <c r="Q632" s="79"/>
      <c r="R632" s="79"/>
      <c r="Y632" s="79"/>
      <c r="AC632" s="130"/>
      <c r="AE632" s="106"/>
    </row>
    <row r="633">
      <c r="C633" s="79"/>
      <c r="D633" s="79"/>
      <c r="E633" s="79"/>
      <c r="P633" s="79"/>
      <c r="Q633" s="79"/>
      <c r="R633" s="79"/>
      <c r="Y633" s="79"/>
      <c r="AC633" s="130"/>
      <c r="AE633" s="106"/>
    </row>
    <row r="634">
      <c r="C634" s="79"/>
      <c r="D634" s="79"/>
      <c r="E634" s="79"/>
      <c r="P634" s="79"/>
      <c r="Q634" s="79"/>
      <c r="R634" s="79"/>
      <c r="Y634" s="79"/>
      <c r="AC634" s="130"/>
      <c r="AE634" s="106"/>
    </row>
    <row r="635">
      <c r="C635" s="79"/>
      <c r="D635" s="79"/>
      <c r="E635" s="79"/>
      <c r="P635" s="79"/>
      <c r="Q635" s="79"/>
      <c r="R635" s="79"/>
      <c r="Y635" s="79"/>
      <c r="AC635" s="130"/>
      <c r="AE635" s="106"/>
    </row>
    <row r="636">
      <c r="C636" s="79"/>
      <c r="D636" s="79"/>
      <c r="E636" s="79"/>
      <c r="P636" s="79"/>
      <c r="Q636" s="79"/>
      <c r="R636" s="79"/>
      <c r="Y636" s="79"/>
      <c r="AC636" s="130"/>
      <c r="AE636" s="106"/>
    </row>
    <row r="637">
      <c r="C637" s="79"/>
      <c r="D637" s="79"/>
      <c r="E637" s="79"/>
      <c r="P637" s="79"/>
      <c r="Q637" s="79"/>
      <c r="R637" s="79"/>
      <c r="Y637" s="79"/>
      <c r="AC637" s="130"/>
      <c r="AE637" s="106"/>
    </row>
    <row r="638">
      <c r="C638" s="79"/>
      <c r="D638" s="79"/>
      <c r="E638" s="79"/>
      <c r="P638" s="79"/>
      <c r="Q638" s="79"/>
      <c r="R638" s="79"/>
      <c r="Y638" s="79"/>
      <c r="AC638" s="130"/>
      <c r="AE638" s="106"/>
    </row>
    <row r="639">
      <c r="C639" s="79"/>
      <c r="D639" s="79"/>
      <c r="E639" s="79"/>
      <c r="P639" s="79"/>
      <c r="Q639" s="79"/>
      <c r="R639" s="79"/>
      <c r="Y639" s="79"/>
      <c r="AC639" s="130"/>
      <c r="AE639" s="106"/>
    </row>
    <row r="640">
      <c r="C640" s="79"/>
      <c r="D640" s="79"/>
      <c r="E640" s="79"/>
      <c r="P640" s="79"/>
      <c r="Q640" s="79"/>
      <c r="R640" s="79"/>
      <c r="Y640" s="79"/>
      <c r="AC640" s="130"/>
      <c r="AE640" s="106"/>
    </row>
    <row r="641">
      <c r="C641" s="79"/>
      <c r="D641" s="79"/>
      <c r="E641" s="79"/>
      <c r="P641" s="79"/>
      <c r="Q641" s="79"/>
      <c r="R641" s="79"/>
      <c r="Y641" s="79"/>
      <c r="AC641" s="130"/>
      <c r="AE641" s="106"/>
    </row>
    <row r="642">
      <c r="C642" s="79"/>
      <c r="D642" s="79"/>
      <c r="E642" s="79"/>
      <c r="P642" s="79"/>
      <c r="Q642" s="79"/>
      <c r="R642" s="79"/>
      <c r="Y642" s="79"/>
      <c r="AC642" s="130"/>
      <c r="AE642" s="106"/>
    </row>
    <row r="643">
      <c r="C643" s="79"/>
      <c r="D643" s="79"/>
      <c r="E643" s="79"/>
      <c r="P643" s="79"/>
      <c r="Q643" s="79"/>
      <c r="R643" s="79"/>
      <c r="Y643" s="79"/>
      <c r="AC643" s="130"/>
      <c r="AE643" s="106"/>
    </row>
    <row r="644">
      <c r="C644" s="79"/>
      <c r="D644" s="79"/>
      <c r="E644" s="79"/>
      <c r="P644" s="79"/>
      <c r="Q644" s="79"/>
      <c r="R644" s="79"/>
      <c r="Y644" s="79"/>
      <c r="AC644" s="130"/>
      <c r="AE644" s="106"/>
    </row>
    <row r="645">
      <c r="C645" s="79"/>
      <c r="D645" s="79"/>
      <c r="E645" s="79"/>
      <c r="P645" s="79"/>
      <c r="Q645" s="79"/>
      <c r="R645" s="79"/>
      <c r="Y645" s="79"/>
      <c r="AC645" s="130"/>
      <c r="AE645" s="106"/>
    </row>
    <row r="646">
      <c r="C646" s="79"/>
      <c r="D646" s="79"/>
      <c r="E646" s="79"/>
      <c r="P646" s="79"/>
      <c r="Q646" s="79"/>
      <c r="R646" s="79"/>
      <c r="Y646" s="79"/>
      <c r="AC646" s="130"/>
      <c r="AE646" s="106"/>
    </row>
    <row r="647">
      <c r="C647" s="79"/>
      <c r="D647" s="79"/>
      <c r="E647" s="79"/>
      <c r="P647" s="79"/>
      <c r="Q647" s="79"/>
      <c r="R647" s="79"/>
      <c r="Y647" s="79"/>
      <c r="AC647" s="130"/>
      <c r="AE647" s="106"/>
    </row>
    <row r="648">
      <c r="C648" s="79"/>
      <c r="D648" s="79"/>
      <c r="E648" s="79"/>
      <c r="P648" s="79"/>
      <c r="Q648" s="79"/>
      <c r="R648" s="79"/>
      <c r="Y648" s="79"/>
      <c r="AC648" s="130"/>
      <c r="AE648" s="106"/>
    </row>
    <row r="649">
      <c r="C649" s="79"/>
      <c r="D649" s="79"/>
      <c r="E649" s="79"/>
      <c r="P649" s="79"/>
      <c r="Q649" s="79"/>
      <c r="R649" s="79"/>
      <c r="Y649" s="79"/>
      <c r="AC649" s="130"/>
      <c r="AE649" s="106"/>
    </row>
    <row r="650">
      <c r="C650" s="79"/>
      <c r="D650" s="79"/>
      <c r="E650" s="79"/>
      <c r="P650" s="79"/>
      <c r="Q650" s="79"/>
      <c r="R650" s="79"/>
      <c r="Y650" s="79"/>
      <c r="AC650" s="130"/>
      <c r="AE650" s="106"/>
    </row>
    <row r="651">
      <c r="C651" s="79"/>
      <c r="D651" s="79"/>
      <c r="E651" s="79"/>
      <c r="P651" s="79"/>
      <c r="Q651" s="79"/>
      <c r="R651" s="79"/>
      <c r="Y651" s="79"/>
      <c r="AC651" s="130"/>
      <c r="AE651" s="106"/>
    </row>
    <row r="652">
      <c r="C652" s="79"/>
      <c r="D652" s="79"/>
      <c r="E652" s="79"/>
      <c r="P652" s="79"/>
      <c r="Q652" s="79"/>
      <c r="R652" s="79"/>
      <c r="Y652" s="79"/>
      <c r="AC652" s="130"/>
      <c r="AE652" s="106"/>
    </row>
    <row r="653">
      <c r="C653" s="79"/>
      <c r="D653" s="79"/>
      <c r="E653" s="79"/>
      <c r="P653" s="79"/>
      <c r="Q653" s="79"/>
      <c r="R653" s="79"/>
      <c r="Y653" s="79"/>
      <c r="AC653" s="130"/>
      <c r="AE653" s="106"/>
    </row>
    <row r="654">
      <c r="C654" s="79"/>
      <c r="D654" s="79"/>
      <c r="E654" s="79"/>
      <c r="P654" s="79"/>
      <c r="Q654" s="79"/>
      <c r="R654" s="79"/>
      <c r="Y654" s="79"/>
      <c r="AC654" s="130"/>
      <c r="AE654" s="106"/>
    </row>
    <row r="655">
      <c r="C655" s="79"/>
      <c r="D655" s="79"/>
      <c r="E655" s="79"/>
      <c r="P655" s="79"/>
      <c r="Q655" s="79"/>
      <c r="R655" s="79"/>
      <c r="Y655" s="79"/>
      <c r="AC655" s="130"/>
      <c r="AE655" s="106"/>
    </row>
    <row r="656">
      <c r="C656" s="79"/>
      <c r="D656" s="79"/>
      <c r="E656" s="79"/>
      <c r="P656" s="79"/>
      <c r="Q656" s="79"/>
      <c r="R656" s="79"/>
      <c r="Y656" s="79"/>
      <c r="AC656" s="130"/>
      <c r="AE656" s="106"/>
    </row>
    <row r="657">
      <c r="C657" s="79"/>
      <c r="D657" s="79"/>
      <c r="E657" s="79"/>
      <c r="P657" s="79"/>
      <c r="Q657" s="79"/>
      <c r="R657" s="79"/>
      <c r="Y657" s="79"/>
      <c r="AC657" s="130"/>
      <c r="AE657" s="106"/>
    </row>
    <row r="658">
      <c r="C658" s="79"/>
      <c r="D658" s="79"/>
      <c r="E658" s="79"/>
      <c r="P658" s="79"/>
      <c r="Q658" s="79"/>
      <c r="R658" s="79"/>
      <c r="Y658" s="79"/>
      <c r="AC658" s="130"/>
      <c r="AE658" s="106"/>
    </row>
    <row r="659">
      <c r="C659" s="79"/>
      <c r="D659" s="79"/>
      <c r="E659" s="79"/>
      <c r="P659" s="79"/>
      <c r="Q659" s="79"/>
      <c r="R659" s="79"/>
      <c r="Y659" s="79"/>
      <c r="AC659" s="130"/>
      <c r="AE659" s="106"/>
    </row>
    <row r="660">
      <c r="C660" s="79"/>
      <c r="D660" s="79"/>
      <c r="E660" s="79"/>
      <c r="P660" s="79"/>
      <c r="Q660" s="79"/>
      <c r="R660" s="79"/>
      <c r="Y660" s="79"/>
      <c r="AC660" s="130"/>
      <c r="AE660" s="106"/>
    </row>
    <row r="661">
      <c r="C661" s="79"/>
      <c r="D661" s="79"/>
      <c r="E661" s="79"/>
      <c r="P661" s="79"/>
      <c r="Q661" s="79"/>
      <c r="R661" s="79"/>
      <c r="Y661" s="79"/>
      <c r="AC661" s="130"/>
      <c r="AE661" s="106"/>
    </row>
    <row r="662">
      <c r="C662" s="79"/>
      <c r="D662" s="79"/>
      <c r="E662" s="79"/>
      <c r="P662" s="79"/>
      <c r="Q662" s="79"/>
      <c r="R662" s="79"/>
      <c r="Y662" s="79"/>
      <c r="AC662" s="130"/>
      <c r="AE662" s="106"/>
    </row>
    <row r="663">
      <c r="C663" s="79"/>
      <c r="D663" s="79"/>
      <c r="E663" s="79"/>
      <c r="P663" s="79"/>
      <c r="Q663" s="79"/>
      <c r="R663" s="79"/>
      <c r="Y663" s="79"/>
      <c r="AC663" s="130"/>
      <c r="AE663" s="106"/>
    </row>
    <row r="664">
      <c r="C664" s="79"/>
      <c r="D664" s="79"/>
      <c r="E664" s="79"/>
      <c r="P664" s="79"/>
      <c r="Q664" s="79"/>
      <c r="R664" s="79"/>
      <c r="Y664" s="79"/>
      <c r="AC664" s="130"/>
      <c r="AE664" s="106"/>
    </row>
    <row r="665">
      <c r="C665" s="79"/>
      <c r="D665" s="79"/>
      <c r="E665" s="79"/>
      <c r="P665" s="79"/>
      <c r="Q665" s="79"/>
      <c r="R665" s="79"/>
      <c r="Y665" s="79"/>
      <c r="AC665" s="130"/>
      <c r="AE665" s="106"/>
    </row>
    <row r="666">
      <c r="C666" s="79"/>
      <c r="D666" s="79"/>
      <c r="E666" s="79"/>
      <c r="P666" s="79"/>
      <c r="Q666" s="79"/>
      <c r="R666" s="79"/>
      <c r="Y666" s="79"/>
      <c r="AC666" s="130"/>
      <c r="AE666" s="106"/>
    </row>
    <row r="667">
      <c r="C667" s="79"/>
      <c r="D667" s="79"/>
      <c r="E667" s="79"/>
      <c r="P667" s="79"/>
      <c r="Q667" s="79"/>
      <c r="R667" s="79"/>
      <c r="Y667" s="79"/>
      <c r="AC667" s="130"/>
      <c r="AE667" s="106"/>
    </row>
    <row r="668">
      <c r="C668" s="79"/>
      <c r="D668" s="79"/>
      <c r="E668" s="79"/>
      <c r="P668" s="79"/>
      <c r="Q668" s="79"/>
      <c r="R668" s="79"/>
      <c r="Y668" s="79"/>
      <c r="AC668" s="130"/>
      <c r="AE668" s="106"/>
    </row>
    <row r="669">
      <c r="C669" s="79"/>
      <c r="D669" s="79"/>
      <c r="E669" s="79"/>
      <c r="P669" s="79"/>
      <c r="Q669" s="79"/>
      <c r="R669" s="79"/>
      <c r="Y669" s="79"/>
      <c r="AC669" s="130"/>
      <c r="AE669" s="106"/>
    </row>
    <row r="670">
      <c r="C670" s="79"/>
      <c r="D670" s="79"/>
      <c r="E670" s="79"/>
      <c r="P670" s="79"/>
      <c r="Q670" s="79"/>
      <c r="R670" s="79"/>
      <c r="Y670" s="79"/>
      <c r="AC670" s="130"/>
      <c r="AE670" s="106"/>
    </row>
    <row r="671">
      <c r="C671" s="79"/>
      <c r="D671" s="79"/>
      <c r="E671" s="79"/>
      <c r="P671" s="79"/>
      <c r="Q671" s="79"/>
      <c r="R671" s="79"/>
      <c r="Y671" s="79"/>
      <c r="AC671" s="130"/>
      <c r="AE671" s="106"/>
    </row>
    <row r="672">
      <c r="C672" s="79"/>
      <c r="D672" s="79"/>
      <c r="E672" s="79"/>
      <c r="P672" s="79"/>
      <c r="Q672" s="79"/>
      <c r="R672" s="79"/>
      <c r="Y672" s="79"/>
      <c r="AC672" s="130"/>
      <c r="AE672" s="106"/>
    </row>
    <row r="673">
      <c r="C673" s="79"/>
      <c r="D673" s="79"/>
      <c r="E673" s="79"/>
      <c r="P673" s="79"/>
      <c r="Q673" s="79"/>
      <c r="R673" s="79"/>
      <c r="Y673" s="79"/>
      <c r="AC673" s="130"/>
      <c r="AE673" s="106"/>
    </row>
    <row r="674">
      <c r="C674" s="79"/>
      <c r="D674" s="79"/>
      <c r="E674" s="79"/>
      <c r="P674" s="79"/>
      <c r="Q674" s="79"/>
      <c r="R674" s="79"/>
      <c r="Y674" s="79"/>
      <c r="AC674" s="130"/>
      <c r="AE674" s="106"/>
    </row>
    <row r="675">
      <c r="C675" s="79"/>
      <c r="D675" s="79"/>
      <c r="E675" s="79"/>
      <c r="P675" s="79"/>
      <c r="Q675" s="79"/>
      <c r="R675" s="79"/>
      <c r="Y675" s="79"/>
      <c r="AC675" s="130"/>
      <c r="AE675" s="106"/>
    </row>
    <row r="676">
      <c r="C676" s="79"/>
      <c r="D676" s="79"/>
      <c r="E676" s="79"/>
      <c r="P676" s="79"/>
      <c r="Q676" s="79"/>
      <c r="R676" s="79"/>
      <c r="Y676" s="79"/>
      <c r="AC676" s="130"/>
      <c r="AE676" s="106"/>
    </row>
    <row r="677">
      <c r="C677" s="79"/>
      <c r="D677" s="79"/>
      <c r="E677" s="79"/>
      <c r="P677" s="79"/>
      <c r="Q677" s="79"/>
      <c r="R677" s="79"/>
      <c r="Y677" s="79"/>
      <c r="AC677" s="130"/>
      <c r="AE677" s="106"/>
    </row>
    <row r="678">
      <c r="C678" s="79"/>
      <c r="D678" s="79"/>
      <c r="E678" s="79"/>
      <c r="P678" s="79"/>
      <c r="Q678" s="79"/>
      <c r="R678" s="79"/>
      <c r="Y678" s="79"/>
      <c r="AC678" s="130"/>
      <c r="AE678" s="106"/>
    </row>
    <row r="679">
      <c r="C679" s="79"/>
      <c r="D679" s="79"/>
      <c r="E679" s="79"/>
      <c r="P679" s="79"/>
      <c r="Q679" s="79"/>
      <c r="R679" s="79"/>
      <c r="Y679" s="79"/>
      <c r="AC679" s="130"/>
      <c r="AE679" s="106"/>
    </row>
    <row r="680">
      <c r="C680" s="79"/>
      <c r="D680" s="79"/>
      <c r="E680" s="79"/>
      <c r="P680" s="79"/>
      <c r="Q680" s="79"/>
      <c r="R680" s="79"/>
      <c r="Y680" s="79"/>
      <c r="AC680" s="130"/>
      <c r="AE680" s="106"/>
    </row>
    <row r="681">
      <c r="C681" s="79"/>
      <c r="D681" s="79"/>
      <c r="E681" s="79"/>
      <c r="P681" s="79"/>
      <c r="Q681" s="79"/>
      <c r="R681" s="79"/>
      <c r="Y681" s="79"/>
      <c r="AC681" s="130"/>
      <c r="AE681" s="106"/>
    </row>
    <row r="682">
      <c r="C682" s="79"/>
      <c r="D682" s="79"/>
      <c r="E682" s="79"/>
      <c r="P682" s="79"/>
      <c r="Q682" s="79"/>
      <c r="R682" s="79"/>
      <c r="Y682" s="79"/>
      <c r="AC682" s="130"/>
      <c r="AE682" s="106"/>
    </row>
    <row r="683">
      <c r="C683" s="79"/>
      <c r="D683" s="79"/>
      <c r="E683" s="79"/>
      <c r="P683" s="79"/>
      <c r="Q683" s="79"/>
      <c r="R683" s="79"/>
      <c r="Y683" s="79"/>
      <c r="AC683" s="130"/>
      <c r="AE683" s="106"/>
    </row>
    <row r="684">
      <c r="C684" s="79"/>
      <c r="D684" s="79"/>
      <c r="E684" s="79"/>
      <c r="P684" s="79"/>
      <c r="Q684" s="79"/>
      <c r="R684" s="79"/>
      <c r="Y684" s="79"/>
      <c r="AC684" s="130"/>
      <c r="AE684" s="106"/>
    </row>
    <row r="685">
      <c r="C685" s="79"/>
      <c r="D685" s="79"/>
      <c r="E685" s="79"/>
      <c r="P685" s="79"/>
      <c r="Q685" s="79"/>
      <c r="R685" s="79"/>
      <c r="Y685" s="79"/>
      <c r="AC685" s="130"/>
      <c r="AE685" s="106"/>
    </row>
    <row r="686">
      <c r="C686" s="79"/>
      <c r="D686" s="79"/>
      <c r="E686" s="79"/>
      <c r="P686" s="79"/>
      <c r="Q686" s="79"/>
      <c r="R686" s="79"/>
      <c r="Y686" s="79"/>
      <c r="AC686" s="130"/>
      <c r="AE686" s="106"/>
    </row>
    <row r="687">
      <c r="C687" s="79"/>
      <c r="D687" s="79"/>
      <c r="E687" s="79"/>
      <c r="P687" s="79"/>
      <c r="Q687" s="79"/>
      <c r="R687" s="79"/>
      <c r="Y687" s="79"/>
      <c r="AC687" s="130"/>
      <c r="AE687" s="106"/>
    </row>
    <row r="688">
      <c r="C688" s="79"/>
      <c r="D688" s="79"/>
      <c r="E688" s="79"/>
      <c r="P688" s="79"/>
      <c r="Q688" s="79"/>
      <c r="R688" s="79"/>
      <c r="Y688" s="79"/>
      <c r="AC688" s="130"/>
      <c r="AE688" s="106"/>
    </row>
    <row r="689">
      <c r="C689" s="79"/>
      <c r="D689" s="79"/>
      <c r="E689" s="79"/>
      <c r="P689" s="79"/>
      <c r="Q689" s="79"/>
      <c r="R689" s="79"/>
      <c r="Y689" s="79"/>
      <c r="AC689" s="130"/>
      <c r="AE689" s="106"/>
    </row>
    <row r="690">
      <c r="C690" s="79"/>
      <c r="D690" s="79"/>
      <c r="E690" s="79"/>
      <c r="P690" s="79"/>
      <c r="Q690" s="79"/>
      <c r="R690" s="79"/>
      <c r="Y690" s="79"/>
      <c r="AC690" s="130"/>
      <c r="AE690" s="106"/>
    </row>
    <row r="691">
      <c r="C691" s="79"/>
      <c r="D691" s="79"/>
      <c r="E691" s="79"/>
      <c r="P691" s="79"/>
      <c r="Q691" s="79"/>
      <c r="R691" s="79"/>
      <c r="Y691" s="79"/>
      <c r="AC691" s="130"/>
      <c r="AE691" s="106"/>
    </row>
    <row r="692">
      <c r="C692" s="79"/>
      <c r="D692" s="79"/>
      <c r="E692" s="79"/>
      <c r="P692" s="79"/>
      <c r="Q692" s="79"/>
      <c r="R692" s="79"/>
      <c r="Y692" s="79"/>
      <c r="AC692" s="130"/>
      <c r="AE692" s="106"/>
    </row>
    <row r="693">
      <c r="C693" s="79"/>
      <c r="D693" s="79"/>
      <c r="E693" s="79"/>
      <c r="P693" s="79"/>
      <c r="Q693" s="79"/>
      <c r="R693" s="79"/>
      <c r="Y693" s="79"/>
      <c r="AC693" s="130"/>
      <c r="AE693" s="106"/>
    </row>
    <row r="694">
      <c r="C694" s="79"/>
      <c r="D694" s="79"/>
      <c r="E694" s="79"/>
      <c r="P694" s="79"/>
      <c r="Q694" s="79"/>
      <c r="R694" s="79"/>
      <c r="Y694" s="79"/>
      <c r="AC694" s="130"/>
      <c r="AE694" s="106"/>
    </row>
    <row r="695">
      <c r="C695" s="79"/>
      <c r="D695" s="79"/>
      <c r="E695" s="79"/>
      <c r="P695" s="79"/>
      <c r="Q695" s="79"/>
      <c r="R695" s="79"/>
      <c r="Y695" s="79"/>
      <c r="AC695" s="130"/>
      <c r="AE695" s="106"/>
    </row>
    <row r="696">
      <c r="C696" s="79"/>
      <c r="D696" s="79"/>
      <c r="E696" s="79"/>
      <c r="P696" s="79"/>
      <c r="Q696" s="79"/>
      <c r="R696" s="79"/>
      <c r="Y696" s="79"/>
      <c r="AC696" s="130"/>
      <c r="AE696" s="106"/>
    </row>
    <row r="697">
      <c r="C697" s="79"/>
      <c r="D697" s="79"/>
      <c r="E697" s="79"/>
      <c r="P697" s="79"/>
      <c r="Q697" s="79"/>
      <c r="R697" s="79"/>
      <c r="Y697" s="79"/>
      <c r="AC697" s="130"/>
      <c r="AE697" s="106"/>
    </row>
    <row r="698">
      <c r="C698" s="79"/>
      <c r="D698" s="79"/>
      <c r="E698" s="79"/>
      <c r="P698" s="79"/>
      <c r="Q698" s="79"/>
      <c r="R698" s="79"/>
      <c r="Y698" s="79"/>
      <c r="AC698" s="130"/>
      <c r="AE698" s="106"/>
    </row>
    <row r="699">
      <c r="C699" s="79"/>
      <c r="D699" s="79"/>
      <c r="E699" s="79"/>
      <c r="P699" s="79"/>
      <c r="Q699" s="79"/>
      <c r="R699" s="79"/>
      <c r="Y699" s="79"/>
      <c r="AC699" s="130"/>
      <c r="AE699" s="106"/>
    </row>
    <row r="700">
      <c r="C700" s="79"/>
      <c r="D700" s="79"/>
      <c r="E700" s="79"/>
      <c r="P700" s="79"/>
      <c r="Q700" s="79"/>
      <c r="R700" s="79"/>
      <c r="Y700" s="79"/>
      <c r="AC700" s="130"/>
      <c r="AE700" s="106"/>
    </row>
    <row r="701">
      <c r="C701" s="79"/>
      <c r="D701" s="79"/>
      <c r="E701" s="79"/>
      <c r="P701" s="79"/>
      <c r="Q701" s="79"/>
      <c r="R701" s="79"/>
      <c r="Y701" s="79"/>
      <c r="AC701" s="130"/>
      <c r="AE701" s="106"/>
    </row>
    <row r="702">
      <c r="C702" s="79"/>
      <c r="D702" s="79"/>
      <c r="E702" s="79"/>
      <c r="P702" s="79"/>
      <c r="Q702" s="79"/>
      <c r="R702" s="79"/>
      <c r="Y702" s="79"/>
      <c r="AC702" s="130"/>
      <c r="AE702" s="106"/>
    </row>
    <row r="703">
      <c r="C703" s="79"/>
      <c r="D703" s="79"/>
      <c r="E703" s="79"/>
      <c r="P703" s="79"/>
      <c r="Q703" s="79"/>
      <c r="R703" s="79"/>
      <c r="Y703" s="79"/>
      <c r="AC703" s="130"/>
      <c r="AE703" s="106"/>
    </row>
    <row r="704">
      <c r="C704" s="79"/>
      <c r="D704" s="79"/>
      <c r="E704" s="79"/>
      <c r="P704" s="79"/>
      <c r="Q704" s="79"/>
      <c r="R704" s="79"/>
      <c r="Y704" s="79"/>
      <c r="AC704" s="130"/>
      <c r="AE704" s="106"/>
    </row>
    <row r="705">
      <c r="C705" s="79"/>
      <c r="D705" s="79"/>
      <c r="E705" s="79"/>
      <c r="P705" s="79"/>
      <c r="Q705" s="79"/>
      <c r="R705" s="79"/>
      <c r="Y705" s="79"/>
      <c r="AC705" s="130"/>
      <c r="AE705" s="106"/>
    </row>
    <row r="706">
      <c r="C706" s="79"/>
      <c r="D706" s="79"/>
      <c r="E706" s="79"/>
      <c r="P706" s="79"/>
      <c r="Q706" s="79"/>
      <c r="R706" s="79"/>
      <c r="Y706" s="79"/>
      <c r="AC706" s="130"/>
      <c r="AE706" s="106"/>
    </row>
    <row r="707">
      <c r="C707" s="79"/>
      <c r="D707" s="79"/>
      <c r="E707" s="79"/>
      <c r="P707" s="79"/>
      <c r="Q707" s="79"/>
      <c r="R707" s="79"/>
      <c r="Y707" s="79"/>
      <c r="AC707" s="130"/>
      <c r="AE707" s="106"/>
    </row>
    <row r="708">
      <c r="C708" s="79"/>
      <c r="D708" s="79"/>
      <c r="E708" s="79"/>
      <c r="P708" s="79"/>
      <c r="Q708" s="79"/>
      <c r="R708" s="79"/>
      <c r="Y708" s="79"/>
      <c r="AC708" s="130"/>
      <c r="AE708" s="106"/>
    </row>
    <row r="709">
      <c r="C709" s="79"/>
      <c r="D709" s="79"/>
      <c r="E709" s="79"/>
      <c r="P709" s="79"/>
      <c r="Q709" s="79"/>
      <c r="R709" s="79"/>
      <c r="Y709" s="79"/>
      <c r="AC709" s="130"/>
      <c r="AE709" s="106"/>
    </row>
    <row r="710">
      <c r="C710" s="79"/>
      <c r="D710" s="79"/>
      <c r="E710" s="79"/>
      <c r="P710" s="79"/>
      <c r="Q710" s="79"/>
      <c r="R710" s="79"/>
      <c r="Y710" s="79"/>
      <c r="AC710" s="130"/>
      <c r="AE710" s="106"/>
    </row>
    <row r="711">
      <c r="C711" s="79"/>
      <c r="D711" s="79"/>
      <c r="E711" s="79"/>
      <c r="P711" s="79"/>
      <c r="Q711" s="79"/>
      <c r="R711" s="79"/>
      <c r="Y711" s="79"/>
      <c r="AC711" s="130"/>
      <c r="AE711" s="106"/>
    </row>
    <row r="712">
      <c r="C712" s="79"/>
      <c r="D712" s="79"/>
      <c r="E712" s="79"/>
      <c r="P712" s="79"/>
      <c r="Q712" s="79"/>
      <c r="R712" s="79"/>
      <c r="Y712" s="79"/>
      <c r="AC712" s="130"/>
      <c r="AE712" s="106"/>
    </row>
    <row r="713">
      <c r="C713" s="79"/>
      <c r="D713" s="79"/>
      <c r="E713" s="79"/>
      <c r="P713" s="79"/>
      <c r="Q713" s="79"/>
      <c r="R713" s="79"/>
      <c r="Y713" s="79"/>
      <c r="AC713" s="130"/>
      <c r="AE713" s="106"/>
    </row>
    <row r="714">
      <c r="C714" s="79"/>
      <c r="D714" s="79"/>
      <c r="E714" s="79"/>
      <c r="P714" s="79"/>
      <c r="Q714" s="79"/>
      <c r="R714" s="79"/>
      <c r="Y714" s="79"/>
      <c r="AC714" s="130"/>
      <c r="AE714" s="106"/>
    </row>
    <row r="715">
      <c r="C715" s="79"/>
      <c r="D715" s="79"/>
      <c r="E715" s="79"/>
      <c r="P715" s="79"/>
      <c r="Q715" s="79"/>
      <c r="R715" s="79"/>
      <c r="Y715" s="79"/>
      <c r="AC715" s="130"/>
      <c r="AE715" s="106"/>
    </row>
    <row r="716">
      <c r="C716" s="79"/>
      <c r="D716" s="79"/>
      <c r="E716" s="79"/>
      <c r="P716" s="79"/>
      <c r="Q716" s="79"/>
      <c r="R716" s="79"/>
      <c r="Y716" s="79"/>
      <c r="AC716" s="130"/>
      <c r="AE716" s="106"/>
    </row>
    <row r="717">
      <c r="C717" s="79"/>
      <c r="D717" s="79"/>
      <c r="E717" s="79"/>
      <c r="P717" s="79"/>
      <c r="Q717" s="79"/>
      <c r="R717" s="79"/>
      <c r="Y717" s="79"/>
      <c r="AC717" s="130"/>
      <c r="AE717" s="106"/>
    </row>
    <row r="718">
      <c r="C718" s="79"/>
      <c r="D718" s="79"/>
      <c r="E718" s="79"/>
      <c r="P718" s="79"/>
      <c r="Q718" s="79"/>
      <c r="R718" s="79"/>
      <c r="Y718" s="79"/>
      <c r="AC718" s="130"/>
      <c r="AE718" s="106"/>
    </row>
    <row r="719">
      <c r="C719" s="79"/>
      <c r="D719" s="79"/>
      <c r="E719" s="79"/>
      <c r="P719" s="79"/>
      <c r="Q719" s="79"/>
      <c r="R719" s="79"/>
      <c r="Y719" s="79"/>
      <c r="AC719" s="130"/>
      <c r="AE719" s="106"/>
    </row>
    <row r="720">
      <c r="C720" s="79"/>
      <c r="D720" s="79"/>
      <c r="E720" s="79"/>
      <c r="P720" s="79"/>
      <c r="Q720" s="79"/>
      <c r="R720" s="79"/>
      <c r="Y720" s="79"/>
      <c r="AC720" s="130"/>
      <c r="AE720" s="106"/>
    </row>
    <row r="721">
      <c r="C721" s="79"/>
      <c r="D721" s="79"/>
      <c r="E721" s="79"/>
      <c r="P721" s="79"/>
      <c r="Q721" s="79"/>
      <c r="R721" s="79"/>
      <c r="Y721" s="79"/>
      <c r="AC721" s="130"/>
      <c r="AE721" s="106"/>
    </row>
    <row r="722">
      <c r="C722" s="79"/>
      <c r="D722" s="79"/>
      <c r="E722" s="79"/>
      <c r="P722" s="79"/>
      <c r="Q722" s="79"/>
      <c r="R722" s="79"/>
      <c r="Y722" s="79"/>
      <c r="AC722" s="130"/>
      <c r="AE722" s="106"/>
    </row>
    <row r="723">
      <c r="C723" s="79"/>
      <c r="D723" s="79"/>
      <c r="E723" s="79"/>
      <c r="P723" s="79"/>
      <c r="Q723" s="79"/>
      <c r="R723" s="79"/>
      <c r="Y723" s="79"/>
      <c r="AC723" s="130"/>
      <c r="AE723" s="106"/>
    </row>
    <row r="724">
      <c r="C724" s="79"/>
      <c r="D724" s="79"/>
      <c r="E724" s="79"/>
      <c r="P724" s="79"/>
      <c r="Q724" s="79"/>
      <c r="R724" s="79"/>
      <c r="Y724" s="79"/>
      <c r="AC724" s="130"/>
      <c r="AE724" s="106"/>
    </row>
    <row r="725">
      <c r="C725" s="79"/>
      <c r="D725" s="79"/>
      <c r="E725" s="79"/>
      <c r="P725" s="79"/>
      <c r="Q725" s="79"/>
      <c r="R725" s="79"/>
      <c r="Y725" s="79"/>
      <c r="AC725" s="130"/>
      <c r="AE725" s="106"/>
    </row>
    <row r="726">
      <c r="C726" s="79"/>
      <c r="D726" s="79"/>
      <c r="E726" s="79"/>
      <c r="P726" s="79"/>
      <c r="Q726" s="79"/>
      <c r="R726" s="79"/>
      <c r="Y726" s="79"/>
      <c r="AC726" s="130"/>
      <c r="AE726" s="106"/>
    </row>
    <row r="727">
      <c r="C727" s="79"/>
      <c r="D727" s="79"/>
      <c r="E727" s="79"/>
      <c r="P727" s="79"/>
      <c r="Q727" s="79"/>
      <c r="R727" s="79"/>
      <c r="Y727" s="79"/>
      <c r="AC727" s="130"/>
      <c r="AE727" s="106"/>
    </row>
    <row r="728">
      <c r="C728" s="79"/>
      <c r="D728" s="79"/>
      <c r="E728" s="79"/>
      <c r="P728" s="79"/>
      <c r="Q728" s="79"/>
      <c r="R728" s="79"/>
      <c r="Y728" s="79"/>
      <c r="AC728" s="130"/>
      <c r="AE728" s="106"/>
    </row>
    <row r="729">
      <c r="C729" s="79"/>
      <c r="D729" s="79"/>
      <c r="E729" s="79"/>
      <c r="P729" s="79"/>
      <c r="Q729" s="79"/>
      <c r="R729" s="79"/>
      <c r="Y729" s="79"/>
      <c r="AC729" s="130"/>
      <c r="AE729" s="106"/>
    </row>
    <row r="730">
      <c r="C730" s="79"/>
      <c r="D730" s="79"/>
      <c r="E730" s="79"/>
      <c r="P730" s="79"/>
      <c r="Q730" s="79"/>
      <c r="R730" s="79"/>
      <c r="Y730" s="79"/>
      <c r="AC730" s="130"/>
      <c r="AE730" s="106"/>
    </row>
    <row r="731">
      <c r="C731" s="79"/>
      <c r="D731" s="79"/>
      <c r="E731" s="79"/>
      <c r="P731" s="79"/>
      <c r="Q731" s="79"/>
      <c r="R731" s="79"/>
      <c r="Y731" s="79"/>
      <c r="AC731" s="130"/>
      <c r="AE731" s="106"/>
    </row>
    <row r="732">
      <c r="C732" s="79"/>
      <c r="D732" s="79"/>
      <c r="E732" s="79"/>
      <c r="P732" s="79"/>
      <c r="Q732" s="79"/>
      <c r="R732" s="79"/>
      <c r="Y732" s="79"/>
      <c r="AC732" s="130"/>
      <c r="AE732" s="106"/>
    </row>
    <row r="733">
      <c r="C733" s="79"/>
      <c r="D733" s="79"/>
      <c r="E733" s="79"/>
      <c r="P733" s="79"/>
      <c r="Q733" s="79"/>
      <c r="R733" s="79"/>
      <c r="Y733" s="79"/>
      <c r="AC733" s="130"/>
      <c r="AE733" s="106"/>
    </row>
    <row r="734">
      <c r="C734" s="79"/>
      <c r="D734" s="79"/>
      <c r="E734" s="79"/>
      <c r="P734" s="79"/>
      <c r="Q734" s="79"/>
      <c r="R734" s="79"/>
      <c r="Y734" s="79"/>
      <c r="AC734" s="130"/>
      <c r="AE734" s="106"/>
    </row>
    <row r="735">
      <c r="C735" s="79"/>
      <c r="D735" s="79"/>
      <c r="E735" s="79"/>
      <c r="P735" s="79"/>
      <c r="Q735" s="79"/>
      <c r="R735" s="79"/>
      <c r="Y735" s="79"/>
      <c r="AC735" s="130"/>
      <c r="AE735" s="106"/>
    </row>
    <row r="736">
      <c r="C736" s="79"/>
      <c r="D736" s="79"/>
      <c r="E736" s="79"/>
      <c r="P736" s="79"/>
      <c r="Q736" s="79"/>
      <c r="R736" s="79"/>
      <c r="Y736" s="79"/>
      <c r="AC736" s="130"/>
      <c r="AE736" s="106"/>
    </row>
    <row r="737">
      <c r="C737" s="79"/>
      <c r="D737" s="79"/>
      <c r="E737" s="79"/>
      <c r="P737" s="79"/>
      <c r="Q737" s="79"/>
      <c r="R737" s="79"/>
      <c r="Y737" s="79"/>
      <c r="AC737" s="130"/>
      <c r="AE737" s="106"/>
    </row>
    <row r="738">
      <c r="C738" s="79"/>
      <c r="D738" s="79"/>
      <c r="E738" s="79"/>
      <c r="P738" s="79"/>
      <c r="Q738" s="79"/>
      <c r="R738" s="79"/>
      <c r="Y738" s="79"/>
      <c r="AC738" s="130"/>
      <c r="AE738" s="106"/>
    </row>
    <row r="739">
      <c r="C739" s="79"/>
      <c r="D739" s="79"/>
      <c r="E739" s="79"/>
      <c r="P739" s="79"/>
      <c r="Q739" s="79"/>
      <c r="R739" s="79"/>
      <c r="Y739" s="79"/>
      <c r="AC739" s="130"/>
      <c r="AE739" s="106"/>
    </row>
    <row r="740">
      <c r="C740" s="79"/>
      <c r="D740" s="79"/>
      <c r="E740" s="79"/>
      <c r="P740" s="79"/>
      <c r="Q740" s="79"/>
      <c r="R740" s="79"/>
      <c r="Y740" s="79"/>
      <c r="AC740" s="130"/>
      <c r="AE740" s="106"/>
    </row>
    <row r="741">
      <c r="C741" s="79"/>
      <c r="D741" s="79"/>
      <c r="E741" s="79"/>
      <c r="P741" s="79"/>
      <c r="Q741" s="79"/>
      <c r="R741" s="79"/>
      <c r="Y741" s="79"/>
      <c r="AC741" s="130"/>
      <c r="AE741" s="106"/>
    </row>
    <row r="742">
      <c r="C742" s="79"/>
      <c r="D742" s="79"/>
      <c r="E742" s="79"/>
      <c r="P742" s="79"/>
      <c r="Q742" s="79"/>
      <c r="R742" s="79"/>
      <c r="Y742" s="79"/>
      <c r="AC742" s="130"/>
      <c r="AE742" s="106"/>
    </row>
    <row r="743">
      <c r="C743" s="79"/>
      <c r="D743" s="79"/>
      <c r="E743" s="79"/>
      <c r="P743" s="79"/>
      <c r="Q743" s="79"/>
      <c r="R743" s="79"/>
      <c r="Y743" s="79"/>
      <c r="AC743" s="130"/>
      <c r="AE743" s="106"/>
    </row>
    <row r="744">
      <c r="C744" s="79"/>
      <c r="D744" s="79"/>
      <c r="E744" s="79"/>
      <c r="P744" s="79"/>
      <c r="Q744" s="79"/>
      <c r="R744" s="79"/>
      <c r="Y744" s="79"/>
      <c r="AC744" s="130"/>
      <c r="AE744" s="106"/>
    </row>
    <row r="745">
      <c r="C745" s="79"/>
      <c r="D745" s="79"/>
      <c r="E745" s="79"/>
      <c r="P745" s="79"/>
      <c r="Q745" s="79"/>
      <c r="R745" s="79"/>
      <c r="Y745" s="79"/>
      <c r="AC745" s="130"/>
      <c r="AE745" s="106"/>
    </row>
    <row r="746">
      <c r="C746" s="79"/>
      <c r="D746" s="79"/>
      <c r="E746" s="79"/>
      <c r="P746" s="79"/>
      <c r="Q746" s="79"/>
      <c r="R746" s="79"/>
      <c r="Y746" s="79"/>
      <c r="AC746" s="130"/>
      <c r="AE746" s="106"/>
    </row>
    <row r="747">
      <c r="C747" s="79"/>
      <c r="D747" s="79"/>
      <c r="E747" s="79"/>
      <c r="P747" s="79"/>
      <c r="Q747" s="79"/>
      <c r="R747" s="79"/>
      <c r="Y747" s="79"/>
      <c r="AC747" s="130"/>
      <c r="AE747" s="106"/>
    </row>
    <row r="748">
      <c r="C748" s="79"/>
      <c r="D748" s="79"/>
      <c r="E748" s="79"/>
      <c r="P748" s="79"/>
      <c r="Q748" s="79"/>
      <c r="R748" s="79"/>
      <c r="Y748" s="79"/>
      <c r="AC748" s="130"/>
      <c r="AE748" s="106"/>
    </row>
    <row r="749">
      <c r="C749" s="79"/>
      <c r="D749" s="79"/>
      <c r="E749" s="79"/>
      <c r="P749" s="79"/>
      <c r="Q749" s="79"/>
      <c r="R749" s="79"/>
      <c r="Y749" s="79"/>
      <c r="AC749" s="130"/>
      <c r="AE749" s="106"/>
    </row>
    <row r="750">
      <c r="C750" s="79"/>
      <c r="D750" s="79"/>
      <c r="E750" s="79"/>
      <c r="P750" s="79"/>
      <c r="Q750" s="79"/>
      <c r="R750" s="79"/>
      <c r="Y750" s="79"/>
      <c r="AC750" s="130"/>
      <c r="AE750" s="106"/>
    </row>
    <row r="751">
      <c r="C751" s="79"/>
      <c r="D751" s="79"/>
      <c r="E751" s="79"/>
      <c r="P751" s="79"/>
      <c r="Q751" s="79"/>
      <c r="R751" s="79"/>
      <c r="Y751" s="79"/>
      <c r="AC751" s="130"/>
      <c r="AE751" s="106"/>
    </row>
    <row r="752">
      <c r="C752" s="79"/>
      <c r="D752" s="79"/>
      <c r="E752" s="79"/>
      <c r="P752" s="79"/>
      <c r="Q752" s="79"/>
      <c r="R752" s="79"/>
      <c r="Y752" s="79"/>
      <c r="AC752" s="130"/>
      <c r="AE752" s="106"/>
    </row>
    <row r="753">
      <c r="C753" s="79"/>
      <c r="D753" s="79"/>
      <c r="E753" s="79"/>
      <c r="P753" s="79"/>
      <c r="Q753" s="79"/>
      <c r="R753" s="79"/>
      <c r="Y753" s="79"/>
      <c r="AC753" s="130"/>
      <c r="AE753" s="106"/>
    </row>
    <row r="754">
      <c r="C754" s="79"/>
      <c r="D754" s="79"/>
      <c r="E754" s="79"/>
      <c r="P754" s="79"/>
      <c r="Q754" s="79"/>
      <c r="R754" s="79"/>
      <c r="Y754" s="79"/>
      <c r="AC754" s="130"/>
      <c r="AE754" s="106"/>
    </row>
    <row r="755">
      <c r="C755" s="79"/>
      <c r="D755" s="79"/>
      <c r="E755" s="79"/>
      <c r="P755" s="79"/>
      <c r="Q755" s="79"/>
      <c r="R755" s="79"/>
      <c r="Y755" s="79"/>
      <c r="AC755" s="130"/>
      <c r="AE755" s="106"/>
    </row>
    <row r="756">
      <c r="C756" s="79"/>
      <c r="D756" s="79"/>
      <c r="E756" s="79"/>
      <c r="P756" s="79"/>
      <c r="Q756" s="79"/>
      <c r="R756" s="79"/>
      <c r="Y756" s="79"/>
      <c r="AC756" s="130"/>
      <c r="AE756" s="106"/>
    </row>
    <row r="757">
      <c r="C757" s="79"/>
      <c r="D757" s="79"/>
      <c r="E757" s="79"/>
      <c r="P757" s="79"/>
      <c r="Q757" s="79"/>
      <c r="R757" s="79"/>
      <c r="Y757" s="79"/>
      <c r="AC757" s="130"/>
      <c r="AE757" s="106"/>
    </row>
    <row r="758">
      <c r="C758" s="79"/>
      <c r="D758" s="79"/>
      <c r="E758" s="79"/>
      <c r="P758" s="79"/>
      <c r="Q758" s="79"/>
      <c r="R758" s="79"/>
      <c r="Y758" s="79"/>
      <c r="AC758" s="130"/>
      <c r="AE758" s="106"/>
    </row>
    <row r="759">
      <c r="C759" s="79"/>
      <c r="D759" s="79"/>
      <c r="E759" s="79"/>
      <c r="P759" s="79"/>
      <c r="Q759" s="79"/>
      <c r="R759" s="79"/>
      <c r="Y759" s="79"/>
      <c r="AC759" s="130"/>
      <c r="AE759" s="106"/>
    </row>
    <row r="760">
      <c r="C760" s="79"/>
      <c r="D760" s="79"/>
      <c r="E760" s="79"/>
      <c r="P760" s="79"/>
      <c r="Q760" s="79"/>
      <c r="R760" s="79"/>
      <c r="Y760" s="79"/>
      <c r="AC760" s="130"/>
      <c r="AE760" s="106"/>
    </row>
    <row r="761">
      <c r="C761" s="79"/>
      <c r="D761" s="79"/>
      <c r="E761" s="79"/>
      <c r="P761" s="79"/>
      <c r="Q761" s="79"/>
      <c r="R761" s="79"/>
      <c r="Y761" s="79"/>
      <c r="AC761" s="130"/>
      <c r="AE761" s="106"/>
    </row>
    <row r="762">
      <c r="C762" s="79"/>
      <c r="D762" s="79"/>
      <c r="E762" s="79"/>
      <c r="P762" s="79"/>
      <c r="Q762" s="79"/>
      <c r="R762" s="79"/>
      <c r="Y762" s="79"/>
      <c r="AC762" s="130"/>
      <c r="AE762" s="106"/>
    </row>
    <row r="763">
      <c r="C763" s="79"/>
      <c r="D763" s="79"/>
      <c r="E763" s="79"/>
      <c r="P763" s="79"/>
      <c r="Q763" s="79"/>
      <c r="R763" s="79"/>
      <c r="Y763" s="79"/>
      <c r="AC763" s="130"/>
      <c r="AE763" s="106"/>
    </row>
    <row r="764">
      <c r="C764" s="79"/>
      <c r="D764" s="79"/>
      <c r="E764" s="79"/>
      <c r="P764" s="79"/>
      <c r="Q764" s="79"/>
      <c r="R764" s="79"/>
      <c r="Y764" s="79"/>
      <c r="AC764" s="130"/>
      <c r="AE764" s="106"/>
    </row>
    <row r="765">
      <c r="C765" s="79"/>
      <c r="D765" s="79"/>
      <c r="E765" s="79"/>
      <c r="P765" s="79"/>
      <c r="Q765" s="79"/>
      <c r="R765" s="79"/>
      <c r="Y765" s="79"/>
      <c r="AC765" s="130"/>
      <c r="AE765" s="106"/>
    </row>
    <row r="766">
      <c r="C766" s="79"/>
      <c r="D766" s="79"/>
      <c r="E766" s="79"/>
      <c r="P766" s="79"/>
      <c r="Q766" s="79"/>
      <c r="R766" s="79"/>
      <c r="Y766" s="79"/>
      <c r="AC766" s="130"/>
      <c r="AE766" s="106"/>
    </row>
    <row r="767">
      <c r="C767" s="79"/>
      <c r="D767" s="79"/>
      <c r="E767" s="79"/>
      <c r="P767" s="79"/>
      <c r="Q767" s="79"/>
      <c r="R767" s="79"/>
      <c r="Y767" s="79"/>
      <c r="AC767" s="130"/>
      <c r="AE767" s="106"/>
    </row>
    <row r="768">
      <c r="C768" s="79"/>
      <c r="D768" s="79"/>
      <c r="E768" s="79"/>
      <c r="P768" s="79"/>
      <c r="Q768" s="79"/>
      <c r="R768" s="79"/>
      <c r="Y768" s="79"/>
      <c r="AC768" s="130"/>
      <c r="AE768" s="106"/>
    </row>
    <row r="769">
      <c r="C769" s="79"/>
      <c r="D769" s="79"/>
      <c r="E769" s="79"/>
      <c r="P769" s="79"/>
      <c r="Q769" s="79"/>
      <c r="R769" s="79"/>
      <c r="Y769" s="79"/>
      <c r="AC769" s="130"/>
      <c r="AE769" s="106"/>
    </row>
    <row r="770">
      <c r="C770" s="79"/>
      <c r="D770" s="79"/>
      <c r="E770" s="79"/>
      <c r="P770" s="79"/>
      <c r="Q770" s="79"/>
      <c r="R770" s="79"/>
      <c r="Y770" s="79"/>
      <c r="AC770" s="130"/>
      <c r="AE770" s="106"/>
    </row>
    <row r="771">
      <c r="C771" s="79"/>
      <c r="D771" s="79"/>
      <c r="E771" s="79"/>
      <c r="P771" s="79"/>
      <c r="Q771" s="79"/>
      <c r="R771" s="79"/>
      <c r="Y771" s="79"/>
      <c r="AC771" s="130"/>
      <c r="AE771" s="106"/>
    </row>
    <row r="772">
      <c r="C772" s="79"/>
      <c r="D772" s="79"/>
      <c r="E772" s="79"/>
      <c r="P772" s="79"/>
      <c r="Q772" s="79"/>
      <c r="R772" s="79"/>
      <c r="Y772" s="79"/>
      <c r="AC772" s="130"/>
      <c r="AE772" s="106"/>
    </row>
    <row r="773">
      <c r="C773" s="79"/>
      <c r="D773" s="79"/>
      <c r="E773" s="79"/>
      <c r="P773" s="79"/>
      <c r="Q773" s="79"/>
      <c r="R773" s="79"/>
      <c r="Y773" s="79"/>
      <c r="AC773" s="130"/>
      <c r="AE773" s="106"/>
    </row>
    <row r="774">
      <c r="C774" s="79"/>
      <c r="D774" s="79"/>
      <c r="E774" s="79"/>
      <c r="P774" s="79"/>
      <c r="Q774" s="79"/>
      <c r="R774" s="79"/>
      <c r="Y774" s="79"/>
      <c r="AC774" s="130"/>
      <c r="AE774" s="106"/>
    </row>
    <row r="775">
      <c r="C775" s="79"/>
      <c r="D775" s="79"/>
      <c r="E775" s="79"/>
      <c r="P775" s="79"/>
      <c r="Q775" s="79"/>
      <c r="R775" s="79"/>
      <c r="Y775" s="79"/>
      <c r="AC775" s="130"/>
      <c r="AE775" s="106"/>
    </row>
    <row r="776">
      <c r="C776" s="79"/>
      <c r="D776" s="79"/>
      <c r="E776" s="79"/>
      <c r="P776" s="79"/>
      <c r="Q776" s="79"/>
      <c r="R776" s="79"/>
      <c r="Y776" s="79"/>
      <c r="AC776" s="130"/>
      <c r="AE776" s="106"/>
    </row>
    <row r="777">
      <c r="C777" s="79"/>
      <c r="D777" s="79"/>
      <c r="E777" s="79"/>
      <c r="P777" s="79"/>
      <c r="Q777" s="79"/>
      <c r="R777" s="79"/>
      <c r="Y777" s="79"/>
      <c r="AC777" s="130"/>
      <c r="AE777" s="106"/>
    </row>
    <row r="778">
      <c r="C778" s="79"/>
      <c r="D778" s="79"/>
      <c r="E778" s="79"/>
      <c r="P778" s="79"/>
      <c r="Q778" s="79"/>
      <c r="R778" s="79"/>
      <c r="Y778" s="79"/>
      <c r="AC778" s="130"/>
      <c r="AE778" s="106"/>
    </row>
    <row r="779">
      <c r="C779" s="79"/>
      <c r="D779" s="79"/>
      <c r="E779" s="79"/>
      <c r="P779" s="79"/>
      <c r="Q779" s="79"/>
      <c r="R779" s="79"/>
      <c r="Y779" s="79"/>
      <c r="AC779" s="130"/>
      <c r="AE779" s="106"/>
    </row>
    <row r="780">
      <c r="C780" s="79"/>
      <c r="D780" s="79"/>
      <c r="E780" s="79"/>
      <c r="P780" s="79"/>
      <c r="Q780" s="79"/>
      <c r="R780" s="79"/>
      <c r="Y780" s="79"/>
      <c r="AC780" s="130"/>
      <c r="AE780" s="106"/>
    </row>
    <row r="781">
      <c r="C781" s="79"/>
      <c r="D781" s="79"/>
      <c r="E781" s="79"/>
      <c r="P781" s="79"/>
      <c r="Q781" s="79"/>
      <c r="R781" s="79"/>
      <c r="Y781" s="79"/>
      <c r="AC781" s="130"/>
      <c r="AE781" s="106"/>
    </row>
    <row r="782">
      <c r="C782" s="79"/>
      <c r="D782" s="79"/>
      <c r="E782" s="79"/>
      <c r="P782" s="79"/>
      <c r="Q782" s="79"/>
      <c r="R782" s="79"/>
      <c r="Y782" s="79"/>
      <c r="AC782" s="130"/>
      <c r="AE782" s="106"/>
    </row>
    <row r="783">
      <c r="C783" s="79"/>
      <c r="D783" s="79"/>
      <c r="E783" s="79"/>
      <c r="P783" s="79"/>
      <c r="Q783" s="79"/>
      <c r="R783" s="79"/>
      <c r="Y783" s="79"/>
      <c r="AC783" s="130"/>
      <c r="AE783" s="106"/>
    </row>
    <row r="784">
      <c r="C784" s="79"/>
      <c r="D784" s="79"/>
      <c r="E784" s="79"/>
      <c r="P784" s="79"/>
      <c r="Q784" s="79"/>
      <c r="R784" s="79"/>
      <c r="Y784" s="79"/>
      <c r="AC784" s="130"/>
      <c r="AE784" s="106"/>
    </row>
    <row r="785">
      <c r="C785" s="79"/>
      <c r="D785" s="79"/>
      <c r="E785" s="79"/>
      <c r="P785" s="79"/>
      <c r="Q785" s="79"/>
      <c r="R785" s="79"/>
      <c r="Y785" s="79"/>
      <c r="AC785" s="130"/>
      <c r="AE785" s="106"/>
    </row>
    <row r="786">
      <c r="C786" s="79"/>
      <c r="D786" s="79"/>
      <c r="E786" s="79"/>
      <c r="P786" s="79"/>
      <c r="Q786" s="79"/>
      <c r="R786" s="79"/>
      <c r="Y786" s="79"/>
      <c r="AC786" s="130"/>
      <c r="AE786" s="106"/>
    </row>
    <row r="787">
      <c r="C787" s="79"/>
      <c r="D787" s="79"/>
      <c r="E787" s="79"/>
      <c r="P787" s="79"/>
      <c r="Q787" s="79"/>
      <c r="R787" s="79"/>
      <c r="Y787" s="79"/>
      <c r="AC787" s="130"/>
      <c r="AE787" s="106"/>
    </row>
    <row r="788">
      <c r="C788" s="79"/>
      <c r="D788" s="79"/>
      <c r="E788" s="79"/>
      <c r="P788" s="79"/>
      <c r="Q788" s="79"/>
      <c r="R788" s="79"/>
      <c r="Y788" s="79"/>
      <c r="AC788" s="130"/>
      <c r="AE788" s="106"/>
    </row>
    <row r="789">
      <c r="C789" s="79"/>
      <c r="D789" s="79"/>
      <c r="E789" s="79"/>
      <c r="P789" s="79"/>
      <c r="Q789" s="79"/>
      <c r="R789" s="79"/>
      <c r="Y789" s="79"/>
      <c r="AC789" s="130"/>
      <c r="AE789" s="106"/>
    </row>
    <row r="790">
      <c r="C790" s="79"/>
      <c r="D790" s="79"/>
      <c r="E790" s="79"/>
      <c r="P790" s="79"/>
      <c r="Q790" s="79"/>
      <c r="R790" s="79"/>
      <c r="Y790" s="79"/>
      <c r="AC790" s="130"/>
      <c r="AE790" s="106"/>
    </row>
    <row r="791">
      <c r="C791" s="79"/>
      <c r="D791" s="79"/>
      <c r="E791" s="79"/>
      <c r="P791" s="79"/>
      <c r="Q791" s="79"/>
      <c r="R791" s="79"/>
      <c r="Y791" s="79"/>
      <c r="AC791" s="130"/>
      <c r="AE791" s="106"/>
    </row>
    <row r="792">
      <c r="C792" s="79"/>
      <c r="D792" s="79"/>
      <c r="E792" s="79"/>
      <c r="P792" s="79"/>
      <c r="Q792" s="79"/>
      <c r="R792" s="79"/>
      <c r="Y792" s="79"/>
      <c r="AC792" s="130"/>
      <c r="AE792" s="106"/>
    </row>
    <row r="793">
      <c r="C793" s="79"/>
      <c r="D793" s="79"/>
      <c r="E793" s="79"/>
      <c r="P793" s="79"/>
      <c r="Q793" s="79"/>
      <c r="R793" s="79"/>
      <c r="Y793" s="79"/>
      <c r="AC793" s="130"/>
      <c r="AE793" s="106"/>
    </row>
    <row r="794">
      <c r="C794" s="79"/>
      <c r="D794" s="79"/>
      <c r="E794" s="79"/>
      <c r="P794" s="79"/>
      <c r="Q794" s="79"/>
      <c r="R794" s="79"/>
      <c r="Y794" s="79"/>
      <c r="AC794" s="130"/>
      <c r="AE794" s="106"/>
    </row>
    <row r="795">
      <c r="C795" s="79"/>
      <c r="D795" s="79"/>
      <c r="E795" s="79"/>
      <c r="P795" s="79"/>
      <c r="Q795" s="79"/>
      <c r="R795" s="79"/>
      <c r="Y795" s="79"/>
      <c r="AC795" s="130"/>
      <c r="AE795" s="106"/>
    </row>
    <row r="796">
      <c r="C796" s="79"/>
      <c r="D796" s="79"/>
      <c r="E796" s="79"/>
      <c r="P796" s="79"/>
      <c r="Q796" s="79"/>
      <c r="R796" s="79"/>
      <c r="Y796" s="79"/>
      <c r="AC796" s="130"/>
      <c r="AE796" s="106"/>
    </row>
    <row r="797">
      <c r="C797" s="79"/>
      <c r="D797" s="79"/>
      <c r="E797" s="79"/>
      <c r="P797" s="79"/>
      <c r="Q797" s="79"/>
      <c r="R797" s="79"/>
      <c r="Y797" s="79"/>
      <c r="AC797" s="130"/>
      <c r="AE797" s="106"/>
    </row>
    <row r="798">
      <c r="C798" s="79"/>
      <c r="D798" s="79"/>
      <c r="E798" s="79"/>
      <c r="P798" s="79"/>
      <c r="Q798" s="79"/>
      <c r="R798" s="79"/>
      <c r="Y798" s="79"/>
      <c r="AC798" s="130"/>
      <c r="AE798" s="106"/>
    </row>
    <row r="799">
      <c r="C799" s="79"/>
      <c r="D799" s="79"/>
      <c r="E799" s="79"/>
      <c r="P799" s="79"/>
      <c r="Q799" s="79"/>
      <c r="R799" s="79"/>
      <c r="Y799" s="79"/>
      <c r="AC799" s="130"/>
      <c r="AE799" s="106"/>
    </row>
    <row r="800">
      <c r="C800" s="79"/>
      <c r="D800" s="79"/>
      <c r="E800" s="79"/>
      <c r="P800" s="79"/>
      <c r="Q800" s="79"/>
      <c r="R800" s="79"/>
      <c r="Y800" s="79"/>
      <c r="AC800" s="130"/>
      <c r="AE800" s="106"/>
    </row>
    <row r="801">
      <c r="C801" s="79"/>
      <c r="D801" s="79"/>
      <c r="E801" s="79"/>
      <c r="P801" s="79"/>
      <c r="Q801" s="79"/>
      <c r="R801" s="79"/>
      <c r="Y801" s="79"/>
      <c r="AC801" s="130"/>
      <c r="AE801" s="106"/>
    </row>
    <row r="802">
      <c r="C802" s="79"/>
      <c r="D802" s="79"/>
      <c r="E802" s="79"/>
      <c r="P802" s="79"/>
      <c r="Q802" s="79"/>
      <c r="R802" s="79"/>
      <c r="Y802" s="79"/>
      <c r="AC802" s="130"/>
      <c r="AE802" s="106"/>
    </row>
    <row r="803">
      <c r="C803" s="79"/>
      <c r="D803" s="79"/>
      <c r="E803" s="79"/>
      <c r="P803" s="79"/>
      <c r="Q803" s="79"/>
      <c r="R803" s="79"/>
      <c r="Y803" s="79"/>
      <c r="AC803" s="130"/>
      <c r="AE803" s="106"/>
    </row>
    <row r="804">
      <c r="C804" s="79"/>
      <c r="D804" s="79"/>
      <c r="E804" s="79"/>
      <c r="P804" s="79"/>
      <c r="Q804" s="79"/>
      <c r="R804" s="79"/>
      <c r="Y804" s="79"/>
      <c r="AC804" s="130"/>
      <c r="AE804" s="106"/>
    </row>
    <row r="805">
      <c r="C805" s="79"/>
      <c r="D805" s="79"/>
      <c r="E805" s="79"/>
      <c r="P805" s="79"/>
      <c r="Q805" s="79"/>
      <c r="R805" s="79"/>
      <c r="Y805" s="79"/>
      <c r="AC805" s="130"/>
      <c r="AE805" s="106"/>
    </row>
    <row r="806">
      <c r="C806" s="79"/>
      <c r="D806" s="79"/>
      <c r="E806" s="79"/>
      <c r="P806" s="79"/>
      <c r="Q806" s="79"/>
      <c r="R806" s="79"/>
      <c r="Y806" s="79"/>
      <c r="AC806" s="130"/>
      <c r="AE806" s="106"/>
    </row>
    <row r="807">
      <c r="C807" s="79"/>
      <c r="D807" s="79"/>
      <c r="E807" s="79"/>
      <c r="P807" s="79"/>
      <c r="Q807" s="79"/>
      <c r="R807" s="79"/>
      <c r="Y807" s="79"/>
      <c r="AC807" s="130"/>
      <c r="AE807" s="106"/>
    </row>
    <row r="808">
      <c r="C808" s="79"/>
      <c r="D808" s="79"/>
      <c r="E808" s="79"/>
      <c r="P808" s="79"/>
      <c r="Q808" s="79"/>
      <c r="R808" s="79"/>
      <c r="Y808" s="79"/>
      <c r="AC808" s="130"/>
      <c r="AE808" s="106"/>
    </row>
    <row r="809">
      <c r="C809" s="79"/>
      <c r="D809" s="79"/>
      <c r="E809" s="79"/>
      <c r="P809" s="79"/>
      <c r="Q809" s="79"/>
      <c r="R809" s="79"/>
      <c r="Y809" s="79"/>
      <c r="AC809" s="130"/>
      <c r="AE809" s="106"/>
    </row>
    <row r="810">
      <c r="C810" s="79"/>
      <c r="D810" s="79"/>
      <c r="E810" s="79"/>
      <c r="P810" s="79"/>
      <c r="Q810" s="79"/>
      <c r="R810" s="79"/>
      <c r="Y810" s="79"/>
      <c r="AC810" s="130"/>
      <c r="AE810" s="106"/>
    </row>
    <row r="811">
      <c r="C811" s="79"/>
      <c r="D811" s="79"/>
      <c r="E811" s="79"/>
      <c r="P811" s="79"/>
      <c r="Q811" s="79"/>
      <c r="R811" s="79"/>
      <c r="Y811" s="79"/>
      <c r="AC811" s="130"/>
      <c r="AE811" s="106"/>
    </row>
    <row r="812">
      <c r="C812" s="79"/>
      <c r="D812" s="79"/>
      <c r="E812" s="79"/>
      <c r="P812" s="79"/>
      <c r="Q812" s="79"/>
      <c r="R812" s="79"/>
      <c r="Y812" s="79"/>
      <c r="AC812" s="130"/>
      <c r="AE812" s="106"/>
    </row>
    <row r="813">
      <c r="C813" s="79"/>
      <c r="D813" s="79"/>
      <c r="E813" s="79"/>
      <c r="P813" s="79"/>
      <c r="Q813" s="79"/>
      <c r="R813" s="79"/>
      <c r="Y813" s="79"/>
      <c r="AC813" s="130"/>
      <c r="AE813" s="106"/>
    </row>
    <row r="814">
      <c r="C814" s="79"/>
      <c r="D814" s="79"/>
      <c r="E814" s="79"/>
      <c r="P814" s="79"/>
      <c r="Q814" s="79"/>
      <c r="R814" s="79"/>
      <c r="Y814" s="79"/>
      <c r="AC814" s="130"/>
      <c r="AE814" s="106"/>
    </row>
    <row r="815">
      <c r="C815" s="79"/>
      <c r="D815" s="79"/>
      <c r="E815" s="79"/>
      <c r="P815" s="79"/>
      <c r="Q815" s="79"/>
      <c r="R815" s="79"/>
      <c r="Y815" s="79"/>
      <c r="AC815" s="130"/>
      <c r="AE815" s="106"/>
    </row>
    <row r="816">
      <c r="C816" s="79"/>
      <c r="D816" s="79"/>
      <c r="E816" s="79"/>
      <c r="P816" s="79"/>
      <c r="Q816" s="79"/>
      <c r="R816" s="79"/>
      <c r="Y816" s="79"/>
      <c r="AC816" s="130"/>
      <c r="AE816" s="106"/>
    </row>
    <row r="817">
      <c r="C817" s="79"/>
      <c r="D817" s="79"/>
      <c r="E817" s="79"/>
      <c r="P817" s="79"/>
      <c r="Q817" s="79"/>
      <c r="R817" s="79"/>
      <c r="Y817" s="79"/>
      <c r="AC817" s="130"/>
      <c r="AE817" s="106"/>
    </row>
    <row r="818">
      <c r="C818" s="79"/>
      <c r="D818" s="79"/>
      <c r="E818" s="79"/>
      <c r="P818" s="79"/>
      <c r="Q818" s="79"/>
      <c r="R818" s="79"/>
      <c r="Y818" s="79"/>
      <c r="AC818" s="130"/>
      <c r="AE818" s="106"/>
    </row>
    <row r="819">
      <c r="C819" s="79"/>
      <c r="D819" s="79"/>
      <c r="E819" s="79"/>
      <c r="P819" s="79"/>
      <c r="Q819" s="79"/>
      <c r="R819" s="79"/>
      <c r="Y819" s="79"/>
      <c r="AC819" s="130"/>
      <c r="AE819" s="106"/>
    </row>
    <row r="820">
      <c r="C820" s="79"/>
      <c r="D820" s="79"/>
      <c r="E820" s="79"/>
      <c r="P820" s="79"/>
      <c r="Q820" s="79"/>
      <c r="R820" s="79"/>
      <c r="Y820" s="79"/>
      <c r="AC820" s="130"/>
      <c r="AE820" s="106"/>
    </row>
    <row r="821">
      <c r="C821" s="79"/>
      <c r="D821" s="79"/>
      <c r="E821" s="79"/>
      <c r="P821" s="79"/>
      <c r="Q821" s="79"/>
      <c r="R821" s="79"/>
      <c r="Y821" s="79"/>
      <c r="AC821" s="130"/>
      <c r="AE821" s="106"/>
    </row>
    <row r="822">
      <c r="C822" s="79"/>
      <c r="D822" s="79"/>
      <c r="E822" s="79"/>
      <c r="P822" s="79"/>
      <c r="Q822" s="79"/>
      <c r="R822" s="79"/>
      <c r="Y822" s="79"/>
      <c r="AC822" s="130"/>
      <c r="AE822" s="106"/>
    </row>
    <row r="823">
      <c r="C823" s="79"/>
      <c r="D823" s="79"/>
      <c r="E823" s="79"/>
      <c r="P823" s="79"/>
      <c r="Q823" s="79"/>
      <c r="R823" s="79"/>
      <c r="Y823" s="79"/>
      <c r="AC823" s="130"/>
      <c r="AE823" s="106"/>
    </row>
    <row r="824">
      <c r="C824" s="79"/>
      <c r="D824" s="79"/>
      <c r="E824" s="79"/>
      <c r="P824" s="79"/>
      <c r="Q824" s="79"/>
      <c r="R824" s="79"/>
      <c r="Y824" s="79"/>
      <c r="AC824" s="130"/>
      <c r="AE824" s="106"/>
    </row>
    <row r="825">
      <c r="C825" s="79"/>
      <c r="D825" s="79"/>
      <c r="E825" s="79"/>
      <c r="P825" s="79"/>
      <c r="Q825" s="79"/>
      <c r="R825" s="79"/>
      <c r="Y825" s="79"/>
      <c r="AC825" s="130"/>
      <c r="AE825" s="106"/>
    </row>
    <row r="826">
      <c r="C826" s="79"/>
      <c r="D826" s="79"/>
      <c r="E826" s="79"/>
      <c r="P826" s="79"/>
      <c r="Q826" s="79"/>
      <c r="R826" s="79"/>
      <c r="Y826" s="79"/>
      <c r="AC826" s="130"/>
      <c r="AE826" s="106"/>
    </row>
    <row r="827">
      <c r="C827" s="79"/>
      <c r="D827" s="79"/>
      <c r="E827" s="79"/>
      <c r="P827" s="79"/>
      <c r="Q827" s="79"/>
      <c r="R827" s="79"/>
      <c r="Y827" s="79"/>
      <c r="AC827" s="130"/>
      <c r="AE827" s="106"/>
    </row>
    <row r="828">
      <c r="C828" s="79"/>
      <c r="D828" s="79"/>
      <c r="E828" s="79"/>
      <c r="P828" s="79"/>
      <c r="Q828" s="79"/>
      <c r="R828" s="79"/>
      <c r="Y828" s="79"/>
      <c r="AC828" s="130"/>
      <c r="AE828" s="106"/>
    </row>
    <row r="829">
      <c r="C829" s="79"/>
      <c r="D829" s="79"/>
      <c r="E829" s="79"/>
      <c r="P829" s="79"/>
      <c r="Q829" s="79"/>
      <c r="R829" s="79"/>
      <c r="Y829" s="79"/>
      <c r="AC829" s="130"/>
      <c r="AE829" s="106"/>
    </row>
    <row r="830">
      <c r="C830" s="79"/>
      <c r="D830" s="79"/>
      <c r="E830" s="79"/>
      <c r="P830" s="79"/>
      <c r="Q830" s="79"/>
      <c r="R830" s="79"/>
      <c r="Y830" s="79"/>
      <c r="AC830" s="130"/>
      <c r="AE830" s="106"/>
    </row>
    <row r="831">
      <c r="C831" s="79"/>
      <c r="D831" s="79"/>
      <c r="E831" s="79"/>
      <c r="P831" s="79"/>
      <c r="Q831" s="79"/>
      <c r="R831" s="79"/>
      <c r="Y831" s="79"/>
      <c r="AC831" s="130"/>
      <c r="AE831" s="106"/>
    </row>
    <row r="832">
      <c r="C832" s="79"/>
      <c r="D832" s="79"/>
      <c r="E832" s="79"/>
      <c r="P832" s="79"/>
      <c r="Q832" s="79"/>
      <c r="R832" s="79"/>
      <c r="Y832" s="79"/>
      <c r="AC832" s="130"/>
      <c r="AE832" s="106"/>
    </row>
    <row r="833">
      <c r="C833" s="79"/>
      <c r="D833" s="79"/>
      <c r="E833" s="79"/>
      <c r="P833" s="79"/>
      <c r="Q833" s="79"/>
      <c r="R833" s="79"/>
      <c r="Y833" s="79"/>
      <c r="AC833" s="130"/>
      <c r="AE833" s="106"/>
    </row>
    <row r="834">
      <c r="C834" s="79"/>
      <c r="D834" s="79"/>
      <c r="E834" s="79"/>
      <c r="P834" s="79"/>
      <c r="Q834" s="79"/>
      <c r="R834" s="79"/>
      <c r="Y834" s="79"/>
      <c r="AC834" s="130"/>
      <c r="AE834" s="106"/>
    </row>
    <row r="835">
      <c r="C835" s="79"/>
      <c r="D835" s="79"/>
      <c r="E835" s="79"/>
      <c r="P835" s="79"/>
      <c r="Q835" s="79"/>
      <c r="R835" s="79"/>
      <c r="Y835" s="79"/>
      <c r="AC835" s="130"/>
      <c r="AE835" s="106"/>
    </row>
    <row r="836">
      <c r="C836" s="79"/>
      <c r="D836" s="79"/>
      <c r="E836" s="79"/>
      <c r="P836" s="79"/>
      <c r="Q836" s="79"/>
      <c r="R836" s="79"/>
      <c r="Y836" s="79"/>
      <c r="AC836" s="130"/>
      <c r="AE836" s="106"/>
    </row>
    <row r="837">
      <c r="C837" s="79"/>
      <c r="D837" s="79"/>
      <c r="E837" s="79"/>
      <c r="P837" s="79"/>
      <c r="Q837" s="79"/>
      <c r="R837" s="79"/>
      <c r="Y837" s="79"/>
      <c r="AC837" s="130"/>
      <c r="AE837" s="106"/>
    </row>
    <row r="838">
      <c r="C838" s="79"/>
      <c r="D838" s="79"/>
      <c r="E838" s="79"/>
      <c r="P838" s="79"/>
      <c r="Q838" s="79"/>
      <c r="R838" s="79"/>
      <c r="Y838" s="79"/>
      <c r="AC838" s="130"/>
      <c r="AE838" s="106"/>
    </row>
    <row r="839">
      <c r="C839" s="79"/>
      <c r="D839" s="79"/>
      <c r="E839" s="79"/>
      <c r="P839" s="79"/>
      <c r="Q839" s="79"/>
      <c r="R839" s="79"/>
      <c r="Y839" s="79"/>
      <c r="AC839" s="130"/>
      <c r="AE839" s="106"/>
    </row>
    <row r="840">
      <c r="C840" s="79"/>
      <c r="D840" s="79"/>
      <c r="E840" s="79"/>
      <c r="P840" s="79"/>
      <c r="Q840" s="79"/>
      <c r="R840" s="79"/>
      <c r="Y840" s="79"/>
      <c r="AC840" s="130"/>
      <c r="AE840" s="106"/>
    </row>
    <row r="841">
      <c r="C841" s="79"/>
      <c r="D841" s="79"/>
      <c r="E841" s="79"/>
      <c r="P841" s="79"/>
      <c r="Q841" s="79"/>
      <c r="R841" s="79"/>
      <c r="Y841" s="79"/>
      <c r="AC841" s="130"/>
      <c r="AE841" s="106"/>
    </row>
    <row r="842">
      <c r="C842" s="79"/>
      <c r="D842" s="79"/>
      <c r="E842" s="79"/>
      <c r="P842" s="79"/>
      <c r="Q842" s="79"/>
      <c r="R842" s="79"/>
      <c r="Y842" s="79"/>
      <c r="AC842" s="130"/>
      <c r="AE842" s="106"/>
    </row>
    <row r="843">
      <c r="C843" s="79"/>
      <c r="D843" s="79"/>
      <c r="E843" s="79"/>
      <c r="P843" s="79"/>
      <c r="Q843" s="79"/>
      <c r="R843" s="79"/>
      <c r="Y843" s="79"/>
      <c r="AC843" s="130"/>
      <c r="AE843" s="106"/>
    </row>
    <row r="844">
      <c r="C844" s="79"/>
      <c r="D844" s="79"/>
      <c r="E844" s="79"/>
      <c r="P844" s="79"/>
      <c r="Q844" s="79"/>
      <c r="R844" s="79"/>
      <c r="Y844" s="79"/>
      <c r="AC844" s="130"/>
      <c r="AE844" s="106"/>
    </row>
    <row r="845">
      <c r="C845" s="79"/>
      <c r="D845" s="79"/>
      <c r="E845" s="79"/>
      <c r="P845" s="79"/>
      <c r="Q845" s="79"/>
      <c r="R845" s="79"/>
      <c r="Y845" s="79"/>
      <c r="AC845" s="130"/>
      <c r="AE845" s="106"/>
    </row>
    <row r="846">
      <c r="C846" s="79"/>
      <c r="D846" s="79"/>
      <c r="E846" s="79"/>
      <c r="P846" s="79"/>
      <c r="Q846" s="79"/>
      <c r="R846" s="79"/>
      <c r="Y846" s="79"/>
      <c r="AC846" s="130"/>
      <c r="AE846" s="106"/>
    </row>
    <row r="847">
      <c r="C847" s="79"/>
      <c r="D847" s="79"/>
      <c r="E847" s="79"/>
      <c r="P847" s="79"/>
      <c r="Q847" s="79"/>
      <c r="R847" s="79"/>
      <c r="Y847" s="79"/>
      <c r="AC847" s="130"/>
      <c r="AE847" s="106"/>
    </row>
    <row r="848">
      <c r="C848" s="79"/>
      <c r="D848" s="79"/>
      <c r="E848" s="79"/>
      <c r="P848" s="79"/>
      <c r="Q848" s="79"/>
      <c r="R848" s="79"/>
      <c r="Y848" s="79"/>
      <c r="AC848" s="130"/>
      <c r="AE848" s="106"/>
    </row>
    <row r="849">
      <c r="C849" s="79"/>
      <c r="D849" s="79"/>
      <c r="E849" s="79"/>
      <c r="P849" s="79"/>
      <c r="Q849" s="79"/>
      <c r="R849" s="79"/>
      <c r="Y849" s="79"/>
      <c r="AC849" s="130"/>
      <c r="AE849" s="106"/>
    </row>
    <row r="850">
      <c r="C850" s="79"/>
      <c r="D850" s="79"/>
      <c r="E850" s="79"/>
      <c r="P850" s="79"/>
      <c r="Q850" s="79"/>
      <c r="R850" s="79"/>
      <c r="Y850" s="79"/>
      <c r="AC850" s="130"/>
      <c r="AE850" s="106"/>
    </row>
    <row r="851">
      <c r="C851" s="79"/>
      <c r="D851" s="79"/>
      <c r="E851" s="79"/>
      <c r="P851" s="79"/>
      <c r="Q851" s="79"/>
      <c r="R851" s="79"/>
      <c r="Y851" s="79"/>
      <c r="AC851" s="130"/>
      <c r="AE851" s="106"/>
    </row>
    <row r="852">
      <c r="C852" s="79"/>
      <c r="D852" s="79"/>
      <c r="E852" s="79"/>
      <c r="P852" s="79"/>
      <c r="Q852" s="79"/>
      <c r="R852" s="79"/>
      <c r="Y852" s="79"/>
      <c r="AC852" s="130"/>
      <c r="AE852" s="106"/>
    </row>
    <row r="853">
      <c r="C853" s="79"/>
      <c r="D853" s="79"/>
      <c r="E853" s="79"/>
      <c r="P853" s="79"/>
      <c r="Q853" s="79"/>
      <c r="R853" s="79"/>
      <c r="Y853" s="79"/>
      <c r="AC853" s="130"/>
      <c r="AE853" s="106"/>
    </row>
    <row r="854">
      <c r="C854" s="79"/>
      <c r="D854" s="79"/>
      <c r="E854" s="79"/>
      <c r="P854" s="79"/>
      <c r="Q854" s="79"/>
      <c r="R854" s="79"/>
      <c r="Y854" s="79"/>
      <c r="AC854" s="130"/>
      <c r="AE854" s="106"/>
    </row>
    <row r="855">
      <c r="C855" s="79"/>
      <c r="D855" s="79"/>
      <c r="E855" s="79"/>
      <c r="P855" s="79"/>
      <c r="Q855" s="79"/>
      <c r="R855" s="79"/>
      <c r="Y855" s="79"/>
      <c r="AC855" s="130"/>
      <c r="AE855" s="106"/>
    </row>
    <row r="856">
      <c r="C856" s="79"/>
      <c r="D856" s="79"/>
      <c r="E856" s="79"/>
      <c r="P856" s="79"/>
      <c r="Q856" s="79"/>
      <c r="R856" s="79"/>
      <c r="Y856" s="79"/>
      <c r="AC856" s="130"/>
      <c r="AE856" s="106"/>
    </row>
    <row r="857">
      <c r="C857" s="79"/>
      <c r="D857" s="79"/>
      <c r="E857" s="79"/>
      <c r="P857" s="79"/>
      <c r="Q857" s="79"/>
      <c r="R857" s="79"/>
      <c r="Y857" s="79"/>
      <c r="AC857" s="130"/>
      <c r="AE857" s="106"/>
    </row>
    <row r="858">
      <c r="C858" s="79"/>
      <c r="D858" s="79"/>
      <c r="E858" s="79"/>
      <c r="P858" s="79"/>
      <c r="Q858" s="79"/>
      <c r="R858" s="79"/>
      <c r="Y858" s="79"/>
      <c r="AC858" s="130"/>
      <c r="AE858" s="106"/>
    </row>
    <row r="859">
      <c r="C859" s="79"/>
      <c r="D859" s="79"/>
      <c r="E859" s="79"/>
      <c r="P859" s="79"/>
      <c r="Q859" s="79"/>
      <c r="R859" s="79"/>
      <c r="Y859" s="79"/>
      <c r="AC859" s="130"/>
      <c r="AE859" s="106"/>
    </row>
    <row r="860">
      <c r="C860" s="79"/>
      <c r="D860" s="79"/>
      <c r="E860" s="79"/>
      <c r="P860" s="79"/>
      <c r="Q860" s="79"/>
      <c r="R860" s="79"/>
      <c r="Y860" s="79"/>
      <c r="AC860" s="130"/>
      <c r="AE860" s="106"/>
    </row>
    <row r="861">
      <c r="C861" s="79"/>
      <c r="D861" s="79"/>
      <c r="E861" s="79"/>
      <c r="P861" s="79"/>
      <c r="Q861" s="79"/>
      <c r="R861" s="79"/>
      <c r="Y861" s="79"/>
      <c r="AC861" s="130"/>
      <c r="AE861" s="106"/>
    </row>
    <row r="862">
      <c r="C862" s="79"/>
      <c r="D862" s="79"/>
      <c r="E862" s="79"/>
      <c r="P862" s="79"/>
      <c r="Q862" s="79"/>
      <c r="R862" s="79"/>
      <c r="Y862" s="79"/>
      <c r="AC862" s="130"/>
      <c r="AE862" s="106"/>
    </row>
    <row r="863">
      <c r="C863" s="79"/>
      <c r="D863" s="79"/>
      <c r="E863" s="79"/>
      <c r="P863" s="79"/>
      <c r="Q863" s="79"/>
      <c r="R863" s="79"/>
      <c r="Y863" s="79"/>
      <c r="AC863" s="130"/>
      <c r="AE863" s="106"/>
    </row>
    <row r="864">
      <c r="C864" s="79"/>
      <c r="D864" s="79"/>
      <c r="E864" s="79"/>
      <c r="P864" s="79"/>
      <c r="Q864" s="79"/>
      <c r="R864" s="79"/>
      <c r="Y864" s="79"/>
      <c r="AC864" s="130"/>
      <c r="AE864" s="106"/>
    </row>
    <row r="865">
      <c r="C865" s="79"/>
      <c r="D865" s="79"/>
      <c r="E865" s="79"/>
      <c r="P865" s="79"/>
      <c r="Q865" s="79"/>
      <c r="R865" s="79"/>
      <c r="Y865" s="79"/>
      <c r="AC865" s="130"/>
      <c r="AE865" s="106"/>
    </row>
    <row r="866">
      <c r="C866" s="79"/>
      <c r="D866" s="79"/>
      <c r="E866" s="79"/>
      <c r="P866" s="79"/>
      <c r="Q866" s="79"/>
      <c r="R866" s="79"/>
      <c r="Y866" s="79"/>
      <c r="AC866" s="130"/>
      <c r="AE866" s="106"/>
    </row>
    <row r="867">
      <c r="C867" s="79"/>
      <c r="D867" s="79"/>
      <c r="E867" s="79"/>
      <c r="P867" s="79"/>
      <c r="Q867" s="79"/>
      <c r="R867" s="79"/>
      <c r="Y867" s="79"/>
      <c r="AC867" s="130"/>
      <c r="AE867" s="106"/>
    </row>
    <row r="868">
      <c r="C868" s="79"/>
      <c r="D868" s="79"/>
      <c r="E868" s="79"/>
      <c r="P868" s="79"/>
      <c r="Q868" s="79"/>
      <c r="R868" s="79"/>
      <c r="Y868" s="79"/>
      <c r="AC868" s="130"/>
      <c r="AE868" s="106"/>
    </row>
    <row r="869">
      <c r="C869" s="79"/>
      <c r="D869" s="79"/>
      <c r="E869" s="79"/>
      <c r="P869" s="79"/>
      <c r="Q869" s="79"/>
      <c r="R869" s="79"/>
      <c r="Y869" s="79"/>
      <c r="AC869" s="130"/>
      <c r="AE869" s="106"/>
    </row>
    <row r="870">
      <c r="C870" s="79"/>
      <c r="D870" s="79"/>
      <c r="E870" s="79"/>
      <c r="P870" s="79"/>
      <c r="Q870" s="79"/>
      <c r="R870" s="79"/>
      <c r="Y870" s="79"/>
      <c r="AC870" s="130"/>
      <c r="AE870" s="106"/>
    </row>
    <row r="871">
      <c r="C871" s="79"/>
      <c r="D871" s="79"/>
      <c r="E871" s="79"/>
      <c r="P871" s="79"/>
      <c r="Q871" s="79"/>
      <c r="R871" s="79"/>
      <c r="Y871" s="79"/>
      <c r="AC871" s="130"/>
      <c r="AE871" s="106"/>
    </row>
    <row r="872">
      <c r="C872" s="79"/>
      <c r="D872" s="79"/>
      <c r="E872" s="79"/>
      <c r="P872" s="79"/>
      <c r="Q872" s="79"/>
      <c r="R872" s="79"/>
      <c r="Y872" s="79"/>
      <c r="AC872" s="130"/>
      <c r="AE872" s="106"/>
    </row>
    <row r="873">
      <c r="C873" s="79"/>
      <c r="D873" s="79"/>
      <c r="E873" s="79"/>
      <c r="P873" s="79"/>
      <c r="Q873" s="79"/>
      <c r="R873" s="79"/>
      <c r="Y873" s="79"/>
      <c r="AC873" s="130"/>
      <c r="AE873" s="106"/>
    </row>
    <row r="874">
      <c r="C874" s="79"/>
      <c r="D874" s="79"/>
      <c r="E874" s="79"/>
      <c r="P874" s="79"/>
      <c r="Q874" s="79"/>
      <c r="R874" s="79"/>
      <c r="Y874" s="79"/>
      <c r="AC874" s="130"/>
      <c r="AE874" s="106"/>
    </row>
    <row r="875">
      <c r="C875" s="79"/>
      <c r="D875" s="79"/>
      <c r="E875" s="79"/>
      <c r="P875" s="79"/>
      <c r="Q875" s="79"/>
      <c r="R875" s="79"/>
      <c r="Y875" s="79"/>
      <c r="AC875" s="130"/>
      <c r="AE875" s="106"/>
    </row>
    <row r="876">
      <c r="C876" s="79"/>
      <c r="D876" s="79"/>
      <c r="E876" s="79"/>
      <c r="P876" s="79"/>
      <c r="Q876" s="79"/>
      <c r="R876" s="79"/>
      <c r="Y876" s="79"/>
      <c r="AC876" s="130"/>
      <c r="AE876" s="106"/>
    </row>
    <row r="877">
      <c r="C877" s="79"/>
      <c r="D877" s="79"/>
      <c r="E877" s="79"/>
      <c r="P877" s="79"/>
      <c r="Q877" s="79"/>
      <c r="R877" s="79"/>
      <c r="Y877" s="79"/>
      <c r="AC877" s="130"/>
      <c r="AE877" s="106"/>
    </row>
    <row r="878">
      <c r="C878" s="79"/>
      <c r="D878" s="79"/>
      <c r="E878" s="79"/>
      <c r="P878" s="79"/>
      <c r="Q878" s="79"/>
      <c r="R878" s="79"/>
      <c r="Y878" s="79"/>
      <c r="AC878" s="130"/>
      <c r="AE878" s="106"/>
    </row>
    <row r="879">
      <c r="C879" s="79"/>
      <c r="D879" s="79"/>
      <c r="E879" s="79"/>
      <c r="P879" s="79"/>
      <c r="Q879" s="79"/>
      <c r="R879" s="79"/>
      <c r="Y879" s="79"/>
      <c r="AC879" s="130"/>
      <c r="AE879" s="106"/>
    </row>
    <row r="880">
      <c r="C880" s="79"/>
      <c r="D880" s="79"/>
      <c r="E880" s="79"/>
      <c r="P880" s="79"/>
      <c r="Q880" s="79"/>
      <c r="R880" s="79"/>
      <c r="Y880" s="79"/>
      <c r="AC880" s="130"/>
      <c r="AE880" s="106"/>
    </row>
    <row r="881">
      <c r="C881" s="79"/>
      <c r="D881" s="79"/>
      <c r="E881" s="79"/>
      <c r="P881" s="79"/>
      <c r="Q881" s="79"/>
      <c r="R881" s="79"/>
      <c r="Y881" s="79"/>
      <c r="AC881" s="130"/>
      <c r="AE881" s="106"/>
    </row>
    <row r="882">
      <c r="C882" s="79"/>
      <c r="D882" s="79"/>
      <c r="E882" s="79"/>
      <c r="P882" s="79"/>
      <c r="Q882" s="79"/>
      <c r="R882" s="79"/>
      <c r="Y882" s="79"/>
      <c r="AC882" s="130"/>
      <c r="AE882" s="106"/>
    </row>
    <row r="883">
      <c r="C883" s="79"/>
      <c r="D883" s="79"/>
      <c r="E883" s="79"/>
      <c r="P883" s="79"/>
      <c r="Q883" s="79"/>
      <c r="R883" s="79"/>
      <c r="Y883" s="79"/>
      <c r="AC883" s="130"/>
      <c r="AE883" s="106"/>
    </row>
    <row r="884">
      <c r="C884" s="79"/>
      <c r="D884" s="79"/>
      <c r="E884" s="79"/>
      <c r="P884" s="79"/>
      <c r="Q884" s="79"/>
      <c r="R884" s="79"/>
      <c r="Y884" s="79"/>
      <c r="AC884" s="130"/>
      <c r="AE884" s="106"/>
    </row>
    <row r="885">
      <c r="C885" s="79"/>
      <c r="D885" s="79"/>
      <c r="E885" s="79"/>
      <c r="P885" s="79"/>
      <c r="Q885" s="79"/>
      <c r="R885" s="79"/>
      <c r="Y885" s="79"/>
      <c r="AC885" s="130"/>
      <c r="AE885" s="106"/>
    </row>
    <row r="886">
      <c r="C886" s="79"/>
      <c r="D886" s="79"/>
      <c r="E886" s="79"/>
      <c r="P886" s="79"/>
      <c r="Q886" s="79"/>
      <c r="R886" s="79"/>
      <c r="Y886" s="79"/>
      <c r="AC886" s="130"/>
      <c r="AE886" s="106"/>
    </row>
    <row r="887">
      <c r="C887" s="79"/>
      <c r="D887" s="79"/>
      <c r="E887" s="79"/>
      <c r="P887" s="79"/>
      <c r="Q887" s="79"/>
      <c r="R887" s="79"/>
      <c r="Y887" s="79"/>
      <c r="AC887" s="130"/>
      <c r="AE887" s="106"/>
    </row>
    <row r="888">
      <c r="C888" s="79"/>
      <c r="D888" s="79"/>
      <c r="E888" s="79"/>
      <c r="P888" s="79"/>
      <c r="Q888" s="79"/>
      <c r="R888" s="79"/>
      <c r="Y888" s="79"/>
      <c r="AC888" s="130"/>
      <c r="AE888" s="106"/>
    </row>
    <row r="889">
      <c r="C889" s="79"/>
      <c r="D889" s="79"/>
      <c r="E889" s="79"/>
      <c r="P889" s="79"/>
      <c r="Q889" s="79"/>
      <c r="R889" s="79"/>
      <c r="Y889" s="79"/>
      <c r="AC889" s="130"/>
      <c r="AE889" s="106"/>
    </row>
    <row r="890">
      <c r="C890" s="79"/>
      <c r="D890" s="79"/>
      <c r="E890" s="79"/>
      <c r="P890" s="79"/>
      <c r="Q890" s="79"/>
      <c r="R890" s="79"/>
      <c r="Y890" s="79"/>
      <c r="AC890" s="130"/>
      <c r="AE890" s="106"/>
    </row>
    <row r="891">
      <c r="C891" s="79"/>
      <c r="D891" s="79"/>
      <c r="E891" s="79"/>
      <c r="P891" s="79"/>
      <c r="Q891" s="79"/>
      <c r="R891" s="79"/>
      <c r="Y891" s="79"/>
      <c r="AC891" s="130"/>
      <c r="AE891" s="106"/>
    </row>
    <row r="892">
      <c r="C892" s="79"/>
      <c r="D892" s="79"/>
      <c r="E892" s="79"/>
      <c r="P892" s="79"/>
      <c r="Q892" s="79"/>
      <c r="R892" s="79"/>
      <c r="Y892" s="79"/>
      <c r="AC892" s="130"/>
      <c r="AE892" s="106"/>
    </row>
    <row r="893">
      <c r="C893" s="79"/>
      <c r="D893" s="79"/>
      <c r="E893" s="79"/>
      <c r="P893" s="79"/>
      <c r="Q893" s="79"/>
      <c r="R893" s="79"/>
      <c r="Y893" s="79"/>
      <c r="AC893" s="130"/>
      <c r="AE893" s="106"/>
    </row>
    <row r="894">
      <c r="C894" s="79"/>
      <c r="D894" s="79"/>
      <c r="E894" s="79"/>
      <c r="P894" s="79"/>
      <c r="Q894" s="79"/>
      <c r="R894" s="79"/>
      <c r="Y894" s="79"/>
      <c r="AC894" s="130"/>
      <c r="AE894" s="106"/>
    </row>
    <row r="895">
      <c r="C895" s="79"/>
      <c r="D895" s="79"/>
      <c r="E895" s="79"/>
      <c r="P895" s="79"/>
      <c r="Q895" s="79"/>
      <c r="R895" s="79"/>
      <c r="Y895" s="79"/>
      <c r="AC895" s="130"/>
      <c r="AE895" s="106"/>
    </row>
    <row r="896">
      <c r="C896" s="79"/>
      <c r="D896" s="79"/>
      <c r="E896" s="79"/>
      <c r="P896" s="79"/>
      <c r="Q896" s="79"/>
      <c r="R896" s="79"/>
      <c r="Y896" s="79"/>
      <c r="AC896" s="130"/>
      <c r="AE896" s="106"/>
    </row>
    <row r="897">
      <c r="C897" s="79"/>
      <c r="D897" s="79"/>
      <c r="E897" s="79"/>
      <c r="P897" s="79"/>
      <c r="Q897" s="79"/>
      <c r="R897" s="79"/>
      <c r="Y897" s="79"/>
      <c r="AC897" s="130"/>
      <c r="AE897" s="106"/>
    </row>
    <row r="898">
      <c r="C898" s="79"/>
      <c r="D898" s="79"/>
      <c r="E898" s="79"/>
      <c r="P898" s="79"/>
      <c r="Q898" s="79"/>
      <c r="R898" s="79"/>
      <c r="Y898" s="79"/>
      <c r="AC898" s="130"/>
      <c r="AE898" s="106"/>
    </row>
    <row r="899">
      <c r="C899" s="79"/>
      <c r="D899" s="79"/>
      <c r="E899" s="79"/>
      <c r="P899" s="79"/>
      <c r="Q899" s="79"/>
      <c r="R899" s="79"/>
      <c r="Y899" s="79"/>
      <c r="AC899" s="130"/>
      <c r="AE899" s="106"/>
    </row>
    <row r="900">
      <c r="C900" s="79"/>
      <c r="D900" s="79"/>
      <c r="E900" s="79"/>
      <c r="P900" s="79"/>
      <c r="Q900" s="79"/>
      <c r="R900" s="79"/>
      <c r="Y900" s="79"/>
      <c r="AC900" s="130"/>
      <c r="AE900" s="106"/>
    </row>
    <row r="901">
      <c r="C901" s="79"/>
      <c r="D901" s="79"/>
      <c r="E901" s="79"/>
      <c r="P901" s="79"/>
      <c r="Q901" s="79"/>
      <c r="R901" s="79"/>
      <c r="Y901" s="79"/>
      <c r="AC901" s="130"/>
      <c r="AE901" s="106"/>
    </row>
    <row r="902">
      <c r="C902" s="79"/>
      <c r="D902" s="79"/>
      <c r="E902" s="79"/>
      <c r="P902" s="79"/>
      <c r="Q902" s="79"/>
      <c r="R902" s="79"/>
      <c r="Y902" s="79"/>
      <c r="AC902" s="130"/>
      <c r="AE902" s="106"/>
    </row>
    <row r="903">
      <c r="C903" s="79"/>
      <c r="D903" s="79"/>
      <c r="E903" s="79"/>
      <c r="P903" s="79"/>
      <c r="Q903" s="79"/>
      <c r="R903" s="79"/>
      <c r="Y903" s="79"/>
      <c r="AC903" s="130"/>
      <c r="AE903" s="106"/>
    </row>
    <row r="904">
      <c r="C904" s="79"/>
      <c r="D904" s="79"/>
      <c r="E904" s="79"/>
      <c r="P904" s="79"/>
      <c r="Q904" s="79"/>
      <c r="R904" s="79"/>
      <c r="Y904" s="79"/>
      <c r="AC904" s="130"/>
      <c r="AE904" s="106"/>
    </row>
    <row r="905">
      <c r="C905" s="79"/>
      <c r="D905" s="79"/>
      <c r="E905" s="79"/>
      <c r="P905" s="79"/>
      <c r="Q905" s="79"/>
      <c r="R905" s="79"/>
      <c r="Y905" s="79"/>
      <c r="AC905" s="130"/>
      <c r="AE905" s="106"/>
    </row>
    <row r="906">
      <c r="C906" s="79"/>
      <c r="D906" s="79"/>
      <c r="E906" s="79"/>
      <c r="P906" s="79"/>
      <c r="Q906" s="79"/>
      <c r="R906" s="79"/>
      <c r="Y906" s="79"/>
      <c r="AC906" s="130"/>
      <c r="AE906" s="106"/>
    </row>
    <row r="907">
      <c r="C907" s="79"/>
      <c r="D907" s="79"/>
      <c r="E907" s="79"/>
      <c r="P907" s="79"/>
      <c r="Q907" s="79"/>
      <c r="R907" s="79"/>
      <c r="Y907" s="79"/>
      <c r="AC907" s="130"/>
      <c r="AE907" s="106"/>
    </row>
    <row r="908">
      <c r="C908" s="79"/>
      <c r="D908" s="79"/>
      <c r="E908" s="79"/>
      <c r="P908" s="79"/>
      <c r="Q908" s="79"/>
      <c r="R908" s="79"/>
      <c r="Y908" s="79"/>
      <c r="AC908" s="130"/>
      <c r="AE908" s="106"/>
    </row>
    <row r="909">
      <c r="C909" s="79"/>
      <c r="D909" s="79"/>
      <c r="E909" s="79"/>
      <c r="P909" s="79"/>
      <c r="Q909" s="79"/>
      <c r="R909" s="79"/>
      <c r="Y909" s="79"/>
      <c r="AC909" s="130"/>
      <c r="AE909" s="106"/>
    </row>
    <row r="910">
      <c r="C910" s="79"/>
      <c r="D910" s="79"/>
      <c r="E910" s="79"/>
      <c r="P910" s="79"/>
      <c r="Q910" s="79"/>
      <c r="R910" s="79"/>
      <c r="Y910" s="79"/>
      <c r="AC910" s="130"/>
      <c r="AE910" s="106"/>
    </row>
    <row r="911">
      <c r="C911" s="79"/>
      <c r="D911" s="79"/>
      <c r="E911" s="79"/>
      <c r="P911" s="79"/>
      <c r="Q911" s="79"/>
      <c r="R911" s="79"/>
      <c r="Y911" s="79"/>
      <c r="AC911" s="130"/>
      <c r="AE911" s="106"/>
    </row>
    <row r="912">
      <c r="C912" s="79"/>
      <c r="D912" s="79"/>
      <c r="E912" s="79"/>
      <c r="P912" s="79"/>
      <c r="Q912" s="79"/>
      <c r="R912" s="79"/>
      <c r="Y912" s="79"/>
      <c r="AC912" s="130"/>
      <c r="AE912" s="106"/>
    </row>
    <row r="913">
      <c r="C913" s="79"/>
      <c r="D913" s="79"/>
      <c r="E913" s="79"/>
      <c r="P913" s="79"/>
      <c r="Q913" s="79"/>
      <c r="R913" s="79"/>
      <c r="Y913" s="79"/>
      <c r="AC913" s="130"/>
      <c r="AE913" s="106"/>
    </row>
    <row r="914">
      <c r="C914" s="79"/>
      <c r="D914" s="79"/>
      <c r="E914" s="79"/>
      <c r="P914" s="79"/>
      <c r="Q914" s="79"/>
      <c r="R914" s="79"/>
      <c r="Y914" s="79"/>
      <c r="AC914" s="130"/>
      <c r="AE914" s="106"/>
    </row>
    <row r="915">
      <c r="C915" s="79"/>
      <c r="D915" s="79"/>
      <c r="E915" s="79"/>
      <c r="P915" s="79"/>
      <c r="Q915" s="79"/>
      <c r="R915" s="79"/>
      <c r="Y915" s="79"/>
      <c r="AC915" s="130"/>
      <c r="AE915" s="106"/>
    </row>
  </sheetData>
  <autoFilter ref="$A$40:$F$60">
    <sortState ref="A40:F60">
      <sortCondition descending="1" sortBy="cellColor" ref="E40:E60" dxfId="1"/>
      <sortCondition descending="1" sortBy="cellColor" ref="C40:C60" dxfId="1"/>
      <sortCondition descending="1" sortBy="cellColor" ref="A40:A60" dxfId="1"/>
    </sortState>
  </autoFilter>
  <mergeCells count="1">
    <mergeCell ref="B37:E37"/>
  </mergeCells>
  <drawing r:id="rId2"/>
  <legacyDrawing r:id="rId3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6.5"/>
    <col customWidth="1" min="3" max="3" width="24.0"/>
    <col customWidth="1" min="5" max="5" width="15.63"/>
    <col customWidth="1" min="7" max="7" width="13.5"/>
    <col customWidth="1" min="8" max="8" width="13.25"/>
    <col customWidth="1" min="18" max="18" width="27.38"/>
    <col customWidth="1" min="26" max="26" width="14.63"/>
    <col customWidth="1" min="31" max="31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4</v>
      </c>
      <c r="J1" s="2" t="s">
        <v>5</v>
      </c>
      <c r="K1" s="2" t="s">
        <v>303</v>
      </c>
      <c r="L1" s="2" t="s">
        <v>6</v>
      </c>
      <c r="M1" s="2" t="s">
        <v>12</v>
      </c>
      <c r="N1" s="2" t="s">
        <v>49</v>
      </c>
      <c r="O1" s="2" t="s">
        <v>42</v>
      </c>
      <c r="P1" s="105" t="s">
        <v>11</v>
      </c>
      <c r="Q1" s="105" t="s">
        <v>9</v>
      </c>
      <c r="R1" s="105" t="s">
        <v>304</v>
      </c>
      <c r="S1" s="2" t="s">
        <v>37</v>
      </c>
      <c r="T1" s="2" t="s">
        <v>10</v>
      </c>
      <c r="U1" s="2" t="s">
        <v>164</v>
      </c>
      <c r="V1" s="105" t="s">
        <v>40</v>
      </c>
      <c r="W1" s="2" t="s">
        <v>121</v>
      </c>
      <c r="X1" s="2" t="s">
        <v>204</v>
      </c>
      <c r="Y1" s="105" t="s">
        <v>205</v>
      </c>
      <c r="Z1" s="2" t="s">
        <v>206</v>
      </c>
      <c r="AA1" s="2" t="s">
        <v>305</v>
      </c>
      <c r="AB1" s="3" t="s">
        <v>13</v>
      </c>
      <c r="AC1" s="3" t="s">
        <v>14</v>
      </c>
      <c r="AD1" s="3" t="s">
        <v>15</v>
      </c>
      <c r="AE1" s="106"/>
      <c r="AF1" s="265" t="s">
        <v>306</v>
      </c>
      <c r="AG1" s="266" t="s">
        <v>80</v>
      </c>
    </row>
    <row r="2">
      <c r="A2" s="74">
        <v>45439.0</v>
      </c>
      <c r="B2" s="93"/>
      <c r="C2" s="93"/>
      <c r="D2" s="193"/>
      <c r="E2" s="93"/>
      <c r="F2" s="93"/>
      <c r="G2" s="93">
        <v>180.0</v>
      </c>
      <c r="H2" s="93"/>
      <c r="I2" s="93"/>
      <c r="J2" s="93"/>
      <c r="K2" s="93"/>
      <c r="L2" s="93"/>
      <c r="M2" s="93"/>
      <c r="N2" s="93"/>
      <c r="O2" s="93"/>
      <c r="P2" s="93">
        <v>57.05</v>
      </c>
      <c r="Q2" s="93"/>
      <c r="R2" s="93"/>
      <c r="S2" s="72"/>
      <c r="T2" s="93"/>
      <c r="U2" s="93"/>
      <c r="V2" s="93"/>
      <c r="W2" s="93"/>
      <c r="X2" s="93"/>
      <c r="Y2" s="93"/>
      <c r="Z2" s="93"/>
      <c r="AA2" s="171"/>
      <c r="AB2" s="107">
        <f t="shared" ref="AB2:AB8" si="1">SUM(B2:Z2)</f>
        <v>237.05</v>
      </c>
      <c r="AC2" s="158">
        <f>2757</f>
        <v>2757</v>
      </c>
      <c r="AD2" s="59">
        <f t="shared" ref="AD2:AD8" si="2">AB2/AC2</f>
        <v>0.08598113892</v>
      </c>
      <c r="AE2" s="109">
        <f t="shared" ref="AE2:AE8" si="3">A2</f>
        <v>45439</v>
      </c>
      <c r="AF2" s="267">
        <v>2757.0</v>
      </c>
      <c r="AG2" s="268">
        <f t="shared" ref="AG2:AG8" si="4">AC2-AF2</f>
        <v>0</v>
      </c>
    </row>
    <row r="3">
      <c r="A3" s="74">
        <f t="shared" ref="A3:A8" si="5">A2+1</f>
        <v>45440</v>
      </c>
      <c r="B3" s="93">
        <f>1483.38-27.83-39.94-24.39-199.74-73.33-133.92-13.77-41.9+463.52-59.58+824.69-7.44-39.04-75.24-48.16-50.62-18.93-56.14-44.5-53.9-19.15-77.39-143</f>
        <v>1523.68</v>
      </c>
      <c r="C3" s="93"/>
      <c r="D3" s="93">
        <f>64.5</f>
        <v>64.5</v>
      </c>
      <c r="E3" s="93"/>
      <c r="F3" s="93"/>
      <c r="G3" s="93"/>
      <c r="H3" s="93"/>
      <c r="I3" s="93">
        <v>362.53</v>
      </c>
      <c r="J3" s="93"/>
      <c r="K3" s="93"/>
      <c r="L3" s="93"/>
      <c r="M3" s="93"/>
      <c r="N3" s="93"/>
      <c r="O3" s="93"/>
      <c r="P3" s="93"/>
      <c r="Q3" s="5"/>
      <c r="R3" s="93"/>
      <c r="S3" s="93"/>
      <c r="T3" s="93"/>
      <c r="U3" s="93"/>
      <c r="V3" s="93"/>
      <c r="W3" s="93"/>
      <c r="X3" s="93"/>
      <c r="Y3" s="93"/>
      <c r="Z3" s="93"/>
      <c r="AA3" s="171"/>
      <c r="AB3" s="107">
        <f t="shared" si="1"/>
        <v>1950.71</v>
      </c>
      <c r="AC3" s="158">
        <v>2501.0</v>
      </c>
      <c r="AD3" s="59">
        <f t="shared" si="2"/>
        <v>0.7799720112</v>
      </c>
      <c r="AE3" s="109">
        <f t="shared" si="3"/>
        <v>45440</v>
      </c>
      <c r="AF3" s="267">
        <v>2501.0</v>
      </c>
      <c r="AG3" s="268">
        <f t="shared" si="4"/>
        <v>0</v>
      </c>
    </row>
    <row r="4">
      <c r="A4" s="74">
        <f t="shared" si="5"/>
        <v>45441</v>
      </c>
      <c r="B4" s="93"/>
      <c r="C4" s="93">
        <v>34.7</v>
      </c>
      <c r="D4" s="93"/>
      <c r="E4" s="93"/>
      <c r="F4" s="93"/>
      <c r="G4" s="93">
        <v>180.0</v>
      </c>
      <c r="H4" s="93"/>
      <c r="I4" s="93"/>
      <c r="J4" s="93">
        <v>284.9</v>
      </c>
      <c r="K4" s="93"/>
      <c r="L4" s="93">
        <v>42.0</v>
      </c>
      <c r="M4" s="93"/>
      <c r="N4" s="93">
        <v>300.0</v>
      </c>
      <c r="O4" s="93"/>
      <c r="P4" s="93">
        <v>57.05</v>
      </c>
      <c r="Q4" s="5"/>
      <c r="R4" s="93"/>
      <c r="S4" s="160"/>
      <c r="T4" s="93"/>
      <c r="U4" s="93"/>
      <c r="V4" s="93"/>
      <c r="W4" s="93"/>
      <c r="X4" s="93"/>
      <c r="Y4" s="93"/>
      <c r="Z4" s="101"/>
      <c r="AA4" s="171"/>
      <c r="AB4" s="107">
        <f t="shared" si="1"/>
        <v>898.65</v>
      </c>
      <c r="AC4" s="97">
        <f>458+3618</f>
        <v>4076</v>
      </c>
      <c r="AD4" s="59">
        <f t="shared" si="2"/>
        <v>0.2204735034</v>
      </c>
      <c r="AE4" s="109">
        <f t="shared" si="3"/>
        <v>45441</v>
      </c>
      <c r="AF4" s="267">
        <v>4076.0</v>
      </c>
      <c r="AG4" s="268">
        <f t="shared" si="4"/>
        <v>0</v>
      </c>
    </row>
    <row r="5">
      <c r="A5" s="74">
        <f t="shared" si="5"/>
        <v>45442</v>
      </c>
      <c r="B5" s="93">
        <f>763.6-18.97-36.47-25.71-124.56-17.05-41.28-80.5-77.24-65.91-8.21-46.84-16+79.19</f>
        <v>284.05</v>
      </c>
      <c r="C5" s="93">
        <f>844.05-20.8-212.8+8+11.4</f>
        <v>629.85</v>
      </c>
      <c r="D5" s="93">
        <f>323.2-118+218.4</f>
        <v>423.6</v>
      </c>
      <c r="E5" s="93"/>
      <c r="F5" s="93"/>
      <c r="G5" s="93"/>
      <c r="H5" s="160"/>
      <c r="I5" s="93"/>
      <c r="J5" s="93"/>
      <c r="K5" s="93"/>
      <c r="L5" s="93"/>
      <c r="M5" s="93"/>
      <c r="N5" s="93"/>
      <c r="O5" s="93"/>
      <c r="P5" s="101"/>
      <c r="Q5" s="5"/>
      <c r="R5" s="93">
        <v>58.0</v>
      </c>
      <c r="S5" s="93"/>
      <c r="T5" s="93"/>
      <c r="U5" s="93"/>
      <c r="V5" s="93"/>
      <c r="W5" s="93"/>
      <c r="X5" s="93"/>
      <c r="Y5" s="101"/>
      <c r="Z5" s="101"/>
      <c r="AA5" s="270"/>
      <c r="AB5" s="7">
        <f t="shared" si="1"/>
        <v>1395.5</v>
      </c>
      <c r="AC5" s="97">
        <f>872.5+5381</f>
        <v>6253.5</v>
      </c>
      <c r="AD5" s="59">
        <f t="shared" si="2"/>
        <v>0.2231550332</v>
      </c>
      <c r="AE5" s="109">
        <f t="shared" si="3"/>
        <v>45442</v>
      </c>
      <c r="AF5" s="267">
        <v>6253.5</v>
      </c>
      <c r="AG5" s="268">
        <f t="shared" si="4"/>
        <v>0</v>
      </c>
    </row>
    <row r="6">
      <c r="A6" s="74">
        <f t="shared" si="5"/>
        <v>45443</v>
      </c>
      <c r="B6" s="93">
        <f>1606.92-41.9-120-20.16-359.29-151.2-46.56-40.6-8.84-3.19</f>
        <v>815.18</v>
      </c>
      <c r="C6" s="93">
        <f>576.62-26.97-75</f>
        <v>474.65</v>
      </c>
      <c r="D6" s="93">
        <f>343.5-86.4-237.6</f>
        <v>19.5</v>
      </c>
      <c r="E6" s="250">
        <v>42.5</v>
      </c>
      <c r="F6" s="93"/>
      <c r="G6" s="93"/>
      <c r="H6" s="160"/>
      <c r="I6" s="93">
        <v>457.46</v>
      </c>
      <c r="J6" s="93">
        <f>838.9-198-190</f>
        <v>450.9</v>
      </c>
      <c r="K6" s="93"/>
      <c r="L6" s="93">
        <v>166.4</v>
      </c>
      <c r="M6" s="93">
        <v>57.36</v>
      </c>
      <c r="N6" s="93"/>
      <c r="O6" s="93"/>
      <c r="P6" s="93">
        <v>57.05</v>
      </c>
      <c r="Q6" s="93"/>
      <c r="R6" s="93"/>
      <c r="S6" s="93"/>
      <c r="T6" s="93"/>
      <c r="U6" s="93"/>
      <c r="V6" s="93"/>
      <c r="W6" s="93"/>
      <c r="X6" s="93"/>
      <c r="Y6" s="93"/>
      <c r="Z6" s="93"/>
      <c r="AA6" s="270"/>
      <c r="AB6" s="7">
        <f t="shared" si="1"/>
        <v>2541</v>
      </c>
      <c r="AC6" s="97">
        <f>550+13035</f>
        <v>13585</v>
      </c>
      <c r="AD6" s="59">
        <f t="shared" si="2"/>
        <v>0.1870445344</v>
      </c>
      <c r="AE6" s="109">
        <f t="shared" si="3"/>
        <v>45443</v>
      </c>
      <c r="AF6" s="267">
        <v>13585.0</v>
      </c>
      <c r="AG6" s="268">
        <f t="shared" si="4"/>
        <v>0</v>
      </c>
    </row>
    <row r="7">
      <c r="A7" s="74">
        <f t="shared" si="5"/>
        <v>45444</v>
      </c>
      <c r="B7" s="93">
        <f>739.55-11.33</f>
        <v>728.22</v>
      </c>
      <c r="C7" s="250">
        <f>485.83-144+64.85</f>
        <v>406.68</v>
      </c>
      <c r="D7" s="93">
        <f>408-218.4</f>
        <v>189.6</v>
      </c>
      <c r="E7" s="93"/>
      <c r="F7" s="93"/>
      <c r="G7" s="93">
        <v>180.0</v>
      </c>
      <c r="H7" s="79"/>
      <c r="I7" s="93"/>
      <c r="J7" s="93"/>
      <c r="K7" s="93"/>
      <c r="L7" s="93"/>
      <c r="M7" s="93"/>
      <c r="N7" s="93"/>
      <c r="O7" s="93"/>
      <c r="P7" s="101"/>
      <c r="Q7" s="93"/>
      <c r="R7" s="93"/>
      <c r="S7" s="101"/>
      <c r="T7" s="93"/>
      <c r="U7" s="93"/>
      <c r="V7" s="93"/>
      <c r="W7" s="93"/>
      <c r="X7" s="93"/>
      <c r="Y7" s="101"/>
      <c r="Z7" s="93"/>
      <c r="AA7" s="270"/>
      <c r="AB7" s="7">
        <f t="shared" si="1"/>
        <v>1504.5</v>
      </c>
      <c r="AC7" s="97">
        <f>1757+9874</f>
        <v>11631</v>
      </c>
      <c r="AD7" s="59">
        <f t="shared" si="2"/>
        <v>0.1293525922</v>
      </c>
      <c r="AE7" s="109">
        <f t="shared" si="3"/>
        <v>45444</v>
      </c>
      <c r="AF7" s="267">
        <v>11631.0</v>
      </c>
      <c r="AG7" s="268">
        <f t="shared" si="4"/>
        <v>0</v>
      </c>
    </row>
    <row r="8">
      <c r="A8" s="74">
        <f t="shared" si="5"/>
        <v>45445</v>
      </c>
      <c r="B8" s="180">
        <v>252.46</v>
      </c>
      <c r="C8" s="93"/>
      <c r="D8" s="180">
        <v>624.88</v>
      </c>
      <c r="E8" s="112"/>
      <c r="F8" s="180">
        <v>852.29</v>
      </c>
      <c r="G8" s="10"/>
      <c r="H8" s="180">
        <v>386.22</v>
      </c>
      <c r="I8" s="180">
        <v>285.32</v>
      </c>
      <c r="J8" s="180">
        <f>569.8/2</f>
        <v>284.9</v>
      </c>
      <c r="K8" s="93"/>
      <c r="L8" s="112"/>
      <c r="M8" s="10"/>
      <c r="N8" s="180">
        <f>324.1+84</f>
        <v>408.1</v>
      </c>
      <c r="O8" s="93"/>
      <c r="P8" s="10"/>
      <c r="Q8" s="180">
        <v>150.0</v>
      </c>
      <c r="R8" s="112"/>
      <c r="S8" s="250">
        <v>615.26</v>
      </c>
      <c r="T8" s="180">
        <f>131+203.8</f>
        <v>334.8</v>
      </c>
      <c r="U8" s="180">
        <v>252.0</v>
      </c>
      <c r="V8" s="112"/>
      <c r="W8" s="112"/>
      <c r="X8" s="112"/>
      <c r="Y8" s="10"/>
      <c r="Z8" s="10"/>
      <c r="AA8" s="93">
        <f>187.29+37.33</f>
        <v>224.62</v>
      </c>
      <c r="AB8" s="7">
        <f t="shared" si="1"/>
        <v>4446.23</v>
      </c>
      <c r="AC8" s="97">
        <f>3304+5052.4</f>
        <v>8356.4</v>
      </c>
      <c r="AD8" s="59">
        <f t="shared" si="2"/>
        <v>0.5320748169</v>
      </c>
      <c r="AE8" s="109">
        <f t="shared" si="3"/>
        <v>45445</v>
      </c>
      <c r="AF8" s="267">
        <v>8356.4</v>
      </c>
      <c r="AG8" s="268">
        <f t="shared" si="4"/>
        <v>0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AC9" s="129" t="s">
        <v>394</v>
      </c>
      <c r="AE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AC10" s="129"/>
      <c r="AE10" s="106"/>
    </row>
    <row r="11">
      <c r="A11" s="165" t="s">
        <v>194</v>
      </c>
      <c r="B11" s="93">
        <f>27.83+39.94+73.33+41.9+59.58+56.14+44.5+53.9+19.15+77.39+26.47+77.24+8.21+46.84+16+41.9+8.84+40.6+3.19</f>
        <v>762.95</v>
      </c>
      <c r="C11" s="93">
        <f>212.8+26.97</f>
        <v>239.77</v>
      </c>
      <c r="D11" s="93">
        <v>86.4</v>
      </c>
      <c r="E11" s="167"/>
      <c r="F11" s="168"/>
      <c r="G11" s="168"/>
      <c r="H11" s="166"/>
      <c r="I11" s="166"/>
      <c r="J11" s="93"/>
      <c r="K11" s="168"/>
      <c r="L11" s="93"/>
      <c r="M11" s="166"/>
      <c r="N11" s="166"/>
      <c r="O11" s="168"/>
      <c r="P11" s="168"/>
      <c r="Q11" s="1"/>
      <c r="R11" s="1"/>
      <c r="S11" s="1"/>
      <c r="T11" s="1"/>
      <c r="U11" s="1"/>
      <c r="V11" s="1"/>
      <c r="W11" s="1"/>
      <c r="X11" s="168"/>
      <c r="Y11" s="168"/>
      <c r="Z11" s="1"/>
      <c r="AA11" s="1"/>
      <c r="AB11" s="1"/>
      <c r="AC11" s="169"/>
      <c r="AD11" s="1"/>
      <c r="AE11" s="170"/>
    </row>
    <row r="12">
      <c r="A12" s="165" t="s">
        <v>195</v>
      </c>
      <c r="B12" s="93">
        <f>199.74+143+18.97+25.71+124.56+17.05+41.28+80.5+65.91+120+359.29+151.2+46.56</f>
        <v>1393.77</v>
      </c>
      <c r="C12" s="93">
        <f>75+144</f>
        <v>219</v>
      </c>
      <c r="D12" s="93"/>
      <c r="E12" s="93"/>
      <c r="F12" s="93"/>
      <c r="G12" s="93"/>
      <c r="H12" s="93"/>
      <c r="I12" s="93">
        <v>192.36</v>
      </c>
      <c r="J12" s="93">
        <f>198+190</f>
        <v>388</v>
      </c>
      <c r="K12" s="93"/>
      <c r="L12" s="93"/>
      <c r="M12" s="93"/>
      <c r="N12" s="166"/>
      <c r="O12" s="166"/>
      <c r="P12" s="168"/>
      <c r="Q12" s="168"/>
      <c r="R12" s="168"/>
      <c r="S12" s="1"/>
      <c r="T12" s="96"/>
      <c r="U12" s="1"/>
      <c r="V12" s="1"/>
      <c r="W12" s="1"/>
      <c r="X12" s="93"/>
      <c r="Y12" s="168"/>
      <c r="Z12" s="1"/>
      <c r="AA12" s="1"/>
      <c r="AB12" s="1"/>
      <c r="AC12" s="171"/>
      <c r="AD12" s="1"/>
      <c r="AE12" s="170"/>
    </row>
    <row r="13">
      <c r="A13" s="172" t="s">
        <v>265</v>
      </c>
      <c r="B13" s="201">
        <f>7.44+39.04+75.24+48.16+50.62+18.93</f>
        <v>239.43</v>
      </c>
      <c r="C13" s="93"/>
      <c r="D13" s="93"/>
      <c r="E13" s="168"/>
      <c r="F13" s="166"/>
      <c r="G13" s="166"/>
      <c r="H13" s="168"/>
      <c r="I13" s="168"/>
      <c r="J13" s="93"/>
      <c r="K13" s="168"/>
      <c r="L13" s="168"/>
      <c r="M13" s="168"/>
      <c r="N13" s="166"/>
      <c r="O13" s="168"/>
      <c r="P13" s="168"/>
      <c r="Q13" s="168"/>
      <c r="R13" s="168"/>
      <c r="S13" s="1"/>
      <c r="T13" s="96"/>
      <c r="U13" s="1"/>
      <c r="V13" s="1"/>
      <c r="W13" s="1"/>
      <c r="X13" s="168"/>
      <c r="Y13" s="168"/>
      <c r="Z13" s="1"/>
      <c r="AA13" s="1"/>
      <c r="AB13" s="1"/>
      <c r="AC13" s="174"/>
      <c r="AD13" s="1"/>
      <c r="AE13" s="170"/>
    </row>
    <row r="14">
      <c r="A14" s="165" t="s">
        <v>198</v>
      </c>
      <c r="B14" s="93">
        <f>24.39+133.92+13.77+20.16</f>
        <v>192.24</v>
      </c>
      <c r="C14" s="93">
        <v>20.8</v>
      </c>
      <c r="D14" s="93">
        <v>237.6</v>
      </c>
      <c r="E14" s="168"/>
      <c r="F14" s="166"/>
      <c r="G14" s="166"/>
      <c r="H14" s="168"/>
      <c r="I14" s="168"/>
      <c r="J14" s="93"/>
      <c r="K14" s="168"/>
      <c r="L14" s="168"/>
      <c r="M14" s="168"/>
      <c r="N14" s="166">
        <v>324.0</v>
      </c>
      <c r="O14" s="168"/>
      <c r="P14" s="168"/>
      <c r="Q14" s="168"/>
      <c r="R14" s="168"/>
      <c r="S14" s="1"/>
      <c r="T14" s="96"/>
      <c r="U14" s="1"/>
      <c r="V14" s="1"/>
      <c r="W14" s="1"/>
      <c r="X14" s="168"/>
      <c r="Y14" s="168"/>
      <c r="Z14" s="1"/>
      <c r="AA14" s="1"/>
      <c r="AB14" s="1"/>
      <c r="AC14" s="174"/>
      <c r="AD14" s="1"/>
      <c r="AE14" s="170"/>
    </row>
    <row r="15">
      <c r="A15" s="91"/>
      <c r="B15" s="92"/>
      <c r="C15" s="79"/>
      <c r="D15" s="79"/>
      <c r="E15" s="79"/>
      <c r="F15" s="78"/>
      <c r="G15" s="78"/>
      <c r="H15" s="78"/>
      <c r="I15" s="78"/>
      <c r="L15" s="79"/>
      <c r="M15" s="79"/>
      <c r="N15" s="79"/>
      <c r="O15" s="79"/>
      <c r="P15" s="79"/>
      <c r="Q15" s="79"/>
      <c r="R15" s="79"/>
      <c r="Y15" s="79"/>
      <c r="AC15" s="131"/>
      <c r="AE15" s="106"/>
    </row>
    <row r="16">
      <c r="A16" s="91"/>
      <c r="B16" s="92"/>
      <c r="C16" s="78"/>
      <c r="D16" s="78"/>
      <c r="E16" s="78"/>
      <c r="F16" s="198"/>
      <c r="G16" s="198"/>
      <c r="H16" s="204"/>
      <c r="I16" s="198"/>
      <c r="J16" s="201"/>
      <c r="K16" s="199"/>
      <c r="L16" s="199"/>
      <c r="M16" s="200"/>
      <c r="N16" s="202"/>
      <c r="O16" s="198"/>
      <c r="P16" s="79"/>
      <c r="Q16" s="198"/>
      <c r="R16" s="198"/>
      <c r="U16" s="198"/>
      <c r="V16" s="198"/>
      <c r="W16" s="198"/>
      <c r="X16" s="199"/>
      <c r="Y16" s="79"/>
      <c r="AC16" s="131"/>
      <c r="AE16" s="106"/>
    </row>
    <row r="17">
      <c r="A17" s="4" t="s">
        <v>22</v>
      </c>
      <c r="B17" s="11">
        <v>10000.0</v>
      </c>
      <c r="C17" s="79"/>
      <c r="D17" s="79"/>
      <c r="E17" s="78"/>
      <c r="F17" s="198"/>
      <c r="G17" s="213"/>
      <c r="H17" s="201"/>
      <c r="K17" s="201"/>
      <c r="L17" s="201"/>
      <c r="M17" s="198"/>
      <c r="N17" s="200"/>
      <c r="O17" s="203"/>
      <c r="P17" s="79"/>
      <c r="Q17" s="198"/>
      <c r="R17" s="198"/>
      <c r="S17" s="204"/>
      <c r="U17" s="198"/>
      <c r="V17" s="198"/>
      <c r="W17" s="198"/>
      <c r="X17" s="201"/>
      <c r="Y17" s="79"/>
      <c r="AC17" s="131"/>
      <c r="AE17" s="106"/>
    </row>
    <row r="18">
      <c r="A18" s="4" t="s">
        <v>23</v>
      </c>
      <c r="B18" s="12">
        <f>SUM(B2:Z8)</f>
        <v>12973.64</v>
      </c>
      <c r="C18" s="192"/>
      <c r="D18" s="177"/>
      <c r="E18" s="78"/>
      <c r="F18" s="213"/>
      <c r="G18" s="213"/>
      <c r="H18" s="151"/>
      <c r="I18" s="203"/>
      <c r="K18" s="191"/>
      <c r="L18" s="201"/>
      <c r="M18" s="201"/>
      <c r="N18" s="201"/>
      <c r="O18" s="203"/>
      <c r="P18" s="79"/>
      <c r="Q18" s="198"/>
      <c r="R18" s="198"/>
      <c r="S18" s="204"/>
      <c r="U18" s="198"/>
      <c r="V18" s="198"/>
      <c r="W18" s="198"/>
      <c r="X18" s="191"/>
      <c r="Y18" s="79"/>
      <c r="AC18" s="131"/>
      <c r="AE18" s="106"/>
    </row>
    <row r="19">
      <c r="A19" s="4" t="s">
        <v>24</v>
      </c>
      <c r="B19" s="12">
        <f> SUM(B17-B18)</f>
        <v>-2973.64</v>
      </c>
      <c r="C19" s="79"/>
      <c r="D19" s="79"/>
      <c r="E19" s="78"/>
      <c r="F19" s="201"/>
      <c r="G19" s="201"/>
      <c r="H19" s="214"/>
      <c r="I19" s="203">
        <v>25.3</v>
      </c>
      <c r="K19" s="203">
        <v>26.9</v>
      </c>
      <c r="L19" s="199"/>
      <c r="M19" s="203"/>
      <c r="N19" s="200"/>
      <c r="O19" s="203"/>
      <c r="P19" s="79"/>
      <c r="Q19" s="198"/>
      <c r="R19" s="198"/>
      <c r="S19" s="204"/>
      <c r="U19" s="198"/>
      <c r="V19" s="198"/>
      <c r="W19" s="198"/>
      <c r="X19" s="203"/>
      <c r="Y19" s="79"/>
      <c r="AC19" s="131"/>
      <c r="AE19" s="106"/>
    </row>
    <row r="20">
      <c r="C20" s="293"/>
      <c r="D20" s="79"/>
      <c r="E20" s="78"/>
      <c r="F20" s="213"/>
      <c r="G20" s="201"/>
      <c r="H20" s="214"/>
      <c r="I20" s="203">
        <v>26.8</v>
      </c>
      <c r="J20" s="203"/>
      <c r="K20" s="203">
        <v>-27.4</v>
      </c>
      <c r="M20" s="201"/>
      <c r="N20" s="198"/>
      <c r="O20" s="203"/>
      <c r="P20" s="79"/>
      <c r="Q20" s="198"/>
      <c r="R20" s="198"/>
      <c r="S20" s="204"/>
      <c r="U20" s="206"/>
      <c r="V20" s="198"/>
      <c r="W20" s="198"/>
      <c r="X20" s="203"/>
      <c r="Y20" s="79"/>
      <c r="AC20" s="131"/>
      <c r="AE20" s="106"/>
    </row>
    <row r="21">
      <c r="A21" s="13" t="s">
        <v>25</v>
      </c>
      <c r="B21" s="14">
        <f>SUM(AC2:AC8)</f>
        <v>49159.9</v>
      </c>
      <c r="C21" s="294"/>
      <c r="D21" s="79"/>
      <c r="E21" s="78"/>
      <c r="F21" s="201"/>
      <c r="G21" s="262"/>
      <c r="H21" s="262"/>
      <c r="I21" s="203">
        <f>I20-I19</f>
        <v>1.5</v>
      </c>
      <c r="J21" s="78"/>
      <c r="K21" s="203"/>
      <c r="L21" s="203"/>
      <c r="M21" s="201"/>
      <c r="N21" s="198"/>
      <c r="O21" s="203"/>
      <c r="P21" s="79"/>
      <c r="Q21" s="198"/>
      <c r="R21" s="198"/>
      <c r="S21" s="204"/>
      <c r="U21" s="198"/>
      <c r="V21" s="198"/>
      <c r="W21" s="198"/>
      <c r="X21" s="203"/>
      <c r="Y21" s="79"/>
      <c r="AC21" s="181"/>
      <c r="AE21" s="106"/>
    </row>
    <row r="22">
      <c r="A22" s="13" t="s">
        <v>26</v>
      </c>
      <c r="B22" s="15">
        <f>B18/B21</f>
        <v>0.2639069648</v>
      </c>
      <c r="C22" s="295"/>
      <c r="D22" s="79"/>
      <c r="E22" s="78"/>
      <c r="F22" s="204"/>
      <c r="G22" s="78"/>
      <c r="H22" s="144"/>
      <c r="I22" s="203"/>
      <c r="J22" s="79"/>
      <c r="K22" s="203"/>
      <c r="L22" s="203"/>
      <c r="M22" s="201"/>
      <c r="N22" s="203"/>
      <c r="O22" s="203"/>
      <c r="P22" s="79"/>
      <c r="Q22" s="198"/>
      <c r="R22" s="198"/>
      <c r="S22" s="204"/>
      <c r="U22" s="198"/>
      <c r="V22" s="198"/>
      <c r="W22" s="198"/>
      <c r="X22" s="203"/>
      <c r="Y22" s="79"/>
      <c r="AC22" s="130"/>
      <c r="AE22" s="106"/>
    </row>
    <row r="23">
      <c r="C23" s="79"/>
      <c r="D23" s="79"/>
      <c r="E23" s="78"/>
      <c r="F23" s="204"/>
      <c r="G23" s="78"/>
      <c r="H23" s="78"/>
      <c r="I23" s="78"/>
      <c r="J23" s="78"/>
      <c r="K23" s="203"/>
      <c r="L23" s="203"/>
      <c r="M23" s="198"/>
      <c r="N23" s="201"/>
      <c r="O23" s="198"/>
      <c r="P23" s="79"/>
      <c r="Q23" s="198"/>
      <c r="R23" s="198"/>
      <c r="S23" s="204"/>
      <c r="U23" s="198"/>
      <c r="V23" s="198"/>
      <c r="W23" s="198"/>
      <c r="X23" s="203"/>
      <c r="Y23" s="79"/>
      <c r="AC23" s="182"/>
      <c r="AE23" s="106"/>
    </row>
    <row r="24">
      <c r="C24" s="79"/>
      <c r="D24" s="79"/>
      <c r="E24" s="79"/>
      <c r="F24" s="204"/>
      <c r="G24" s="78"/>
      <c r="H24" s="78"/>
      <c r="I24" s="212"/>
      <c r="J24" s="263"/>
      <c r="K24" s="203"/>
      <c r="L24" s="203"/>
      <c r="M24" s="198"/>
      <c r="N24" s="201"/>
      <c r="O24" s="198"/>
      <c r="P24" s="79"/>
      <c r="Q24" s="198"/>
      <c r="R24" s="198"/>
      <c r="S24" s="204"/>
      <c r="U24" s="198"/>
      <c r="V24" s="198"/>
      <c r="W24" s="198"/>
      <c r="X24" s="203"/>
      <c r="Y24" s="79"/>
      <c r="AC24" s="130"/>
      <c r="AE24" s="106"/>
    </row>
    <row r="25">
      <c r="A25" s="16" t="s">
        <v>27</v>
      </c>
      <c r="B25" s="17"/>
      <c r="C25" s="114"/>
      <c r="D25" s="114"/>
      <c r="E25" s="115"/>
      <c r="F25" s="204"/>
      <c r="G25" s="78"/>
      <c r="H25" s="78"/>
      <c r="I25" s="78"/>
      <c r="J25" s="79"/>
      <c r="K25" s="203"/>
      <c r="L25" s="217"/>
      <c r="M25" s="208"/>
      <c r="N25" s="198"/>
      <c r="O25" s="200"/>
      <c r="P25" s="79"/>
      <c r="Q25" s="198"/>
      <c r="R25" s="198"/>
      <c r="S25" s="204"/>
      <c r="U25" s="198"/>
      <c r="V25" s="198"/>
      <c r="W25" s="198"/>
      <c r="X25" s="203"/>
      <c r="Y25" s="79"/>
      <c r="AC25" s="130"/>
      <c r="AE25" s="106"/>
    </row>
    <row r="26">
      <c r="A26" s="19" t="s">
        <v>28</v>
      </c>
      <c r="B26" s="20"/>
      <c r="C26" s="116"/>
      <c r="D26" s="116"/>
      <c r="E26" s="117"/>
      <c r="F26" s="204"/>
      <c r="G26" s="78"/>
      <c r="H26" s="78"/>
      <c r="I26" s="79"/>
      <c r="J26" s="79"/>
      <c r="K26" s="203"/>
      <c r="L26" s="203"/>
      <c r="M26" s="209"/>
      <c r="N26" s="201"/>
      <c r="O26" s="198"/>
      <c r="P26" s="79"/>
      <c r="Q26" s="198"/>
      <c r="R26" s="198"/>
      <c r="S26" s="204"/>
      <c r="U26" s="198"/>
      <c r="V26" s="198"/>
      <c r="W26" s="198"/>
      <c r="X26" s="203"/>
      <c r="Y26" s="79"/>
      <c r="AC26" s="130"/>
      <c r="AE26" s="106"/>
    </row>
    <row r="27">
      <c r="A27" s="183" t="s">
        <v>29</v>
      </c>
      <c r="B27" s="184" t="s">
        <v>30</v>
      </c>
      <c r="C27" s="183"/>
      <c r="D27" s="183" t="s">
        <v>170</v>
      </c>
      <c r="E27" s="219" t="s">
        <v>171</v>
      </c>
      <c r="F27" s="204"/>
      <c r="G27" s="79"/>
      <c r="H27" s="79"/>
      <c r="I27" s="79"/>
      <c r="J27" s="79"/>
      <c r="K27" s="203"/>
      <c r="L27" s="201"/>
      <c r="M27" s="209"/>
      <c r="N27" s="198"/>
      <c r="O27" s="198"/>
      <c r="P27" s="79"/>
      <c r="Q27" s="198"/>
      <c r="R27" s="198"/>
      <c r="S27" s="204"/>
      <c r="U27" s="198"/>
      <c r="V27" s="198"/>
      <c r="W27" s="198"/>
      <c r="X27" s="203"/>
      <c r="Y27" s="79"/>
      <c r="AC27" s="130"/>
      <c r="AE27" s="106"/>
    </row>
    <row r="28">
      <c r="A28" s="221" t="s">
        <v>350</v>
      </c>
      <c r="B28" s="222">
        <v>386.22</v>
      </c>
      <c r="C28" s="223"/>
      <c r="D28" s="223"/>
      <c r="E28" s="221"/>
      <c r="P28" s="79"/>
      <c r="Q28" s="79"/>
      <c r="R28" s="79"/>
      <c r="Y28" s="79"/>
      <c r="AC28" s="130"/>
      <c r="AE28" s="106"/>
    </row>
    <row r="29">
      <c r="A29" s="234" t="s">
        <v>366</v>
      </c>
      <c r="B29" s="178">
        <v>1793.61</v>
      </c>
      <c r="C29" s="235"/>
      <c r="D29" s="235"/>
      <c r="E29" s="234"/>
      <c r="P29" s="79"/>
      <c r="Q29" s="79"/>
      <c r="R29" s="79"/>
      <c r="Y29" s="79"/>
      <c r="AC29" s="130"/>
      <c r="AE29" s="106"/>
    </row>
    <row r="30">
      <c r="A30" s="234" t="s">
        <v>263</v>
      </c>
      <c r="B30" s="178">
        <v>150.0</v>
      </c>
      <c r="C30" s="235"/>
      <c r="D30" s="235"/>
      <c r="E30" s="234"/>
      <c r="P30" s="79"/>
      <c r="Q30" s="79"/>
      <c r="R30" s="79"/>
      <c r="Y30" s="79"/>
      <c r="AC30" s="130"/>
      <c r="AE30" s="106"/>
    </row>
    <row r="31">
      <c r="A31" s="245" t="s">
        <v>395</v>
      </c>
      <c r="B31" s="246">
        <v>559.86</v>
      </c>
      <c r="C31" s="247"/>
      <c r="D31" s="247"/>
      <c r="E31" s="245"/>
      <c r="P31" s="79"/>
      <c r="Q31" s="79"/>
      <c r="R31" s="79"/>
      <c r="Y31" s="79"/>
      <c r="AC31" s="130"/>
      <c r="AE31" s="106"/>
    </row>
    <row r="32">
      <c r="A32" s="245" t="s">
        <v>396</v>
      </c>
      <c r="B32" s="246">
        <v>437.9</v>
      </c>
      <c r="C32" s="247"/>
      <c r="D32" s="247"/>
      <c r="E32" s="245"/>
      <c r="P32" s="79"/>
      <c r="Q32" s="79"/>
      <c r="R32" s="79"/>
      <c r="Y32" s="79"/>
      <c r="AC32" s="130"/>
      <c r="AE32" s="106"/>
    </row>
    <row r="33">
      <c r="A33" s="245" t="s">
        <v>397</v>
      </c>
      <c r="B33" s="246">
        <v>246.4</v>
      </c>
      <c r="C33" s="247"/>
      <c r="D33" s="247"/>
      <c r="E33" s="245"/>
      <c r="P33" s="79"/>
      <c r="Q33" s="79"/>
      <c r="R33" s="79"/>
      <c r="Y33" s="79"/>
      <c r="AC33" s="130"/>
      <c r="AE33" s="106"/>
    </row>
    <row r="34">
      <c r="A34" s="245" t="s">
        <v>61</v>
      </c>
      <c r="B34" s="246">
        <f>218.4+436.8</f>
        <v>655.2</v>
      </c>
      <c r="C34" s="247"/>
      <c r="D34" s="247"/>
      <c r="E34" s="245"/>
      <c r="P34" s="79"/>
      <c r="Q34" s="79"/>
      <c r="R34" s="79"/>
      <c r="Y34" s="79"/>
      <c r="AC34" s="130"/>
      <c r="AE34" s="106"/>
    </row>
    <row r="35">
      <c r="A35" s="245" t="s">
        <v>398</v>
      </c>
      <c r="B35" s="246">
        <v>1216.79</v>
      </c>
      <c r="C35" s="247"/>
      <c r="D35" s="247"/>
      <c r="E35" s="245"/>
      <c r="P35" s="79"/>
      <c r="Q35" s="79"/>
      <c r="R35" s="79"/>
      <c r="Y35" s="79"/>
      <c r="AC35" s="130"/>
      <c r="AE35" s="106"/>
    </row>
    <row r="36">
      <c r="C36" s="79"/>
      <c r="D36" s="79"/>
      <c r="E36" s="79"/>
      <c r="P36" s="79"/>
      <c r="Q36" s="79"/>
      <c r="R36" s="79"/>
      <c r="Y36" s="79"/>
      <c r="AC36" s="130"/>
      <c r="AE36" s="106"/>
    </row>
    <row r="37">
      <c r="A37" s="274"/>
      <c r="B37" s="275" t="s">
        <v>315</v>
      </c>
      <c r="F37" s="274"/>
      <c r="G37" s="274"/>
      <c r="H37" s="274"/>
      <c r="I37" s="274"/>
      <c r="J37" s="274"/>
      <c r="K37" s="274"/>
      <c r="L37" s="274"/>
      <c r="M37" s="274"/>
      <c r="N37" s="274"/>
      <c r="O37" s="274"/>
      <c r="P37" s="274"/>
      <c r="Q37" s="274"/>
      <c r="R37" s="274"/>
      <c r="S37" s="274"/>
      <c r="T37" s="274"/>
      <c r="U37" s="274"/>
      <c r="V37" s="274"/>
      <c r="W37" s="274"/>
      <c r="X37" s="274"/>
      <c r="Y37" s="274"/>
      <c r="Z37" s="274"/>
      <c r="AA37" s="274"/>
      <c r="AB37" s="274"/>
      <c r="AC37" s="276"/>
      <c r="AD37" s="274"/>
      <c r="AE37" s="277"/>
      <c r="AF37" s="274"/>
      <c r="AG37" s="274"/>
      <c r="AH37" s="274"/>
    </row>
    <row r="38">
      <c r="A38" s="16" t="s">
        <v>316</v>
      </c>
      <c r="B38" s="17"/>
      <c r="C38" s="114"/>
      <c r="D38" s="114"/>
      <c r="E38" s="115"/>
      <c r="P38" s="79"/>
      <c r="Q38" s="79"/>
      <c r="R38" s="79"/>
      <c r="Y38" s="79"/>
      <c r="AC38" s="130"/>
      <c r="AE38" s="106"/>
    </row>
    <row r="39">
      <c r="A39" s="19" t="s">
        <v>317</v>
      </c>
      <c r="B39" s="20"/>
      <c r="C39" s="116"/>
      <c r="D39" s="116"/>
      <c r="E39" s="117"/>
      <c r="P39" s="79"/>
      <c r="Q39" s="79"/>
      <c r="R39" s="79"/>
      <c r="Y39" s="79"/>
      <c r="AC39" s="130"/>
      <c r="AE39" s="106"/>
    </row>
    <row r="40">
      <c r="A40" s="278" t="s">
        <v>318</v>
      </c>
      <c r="B40" s="279" t="s">
        <v>319</v>
      </c>
      <c r="C40" s="280" t="s">
        <v>285</v>
      </c>
      <c r="D40" s="280" t="s">
        <v>30</v>
      </c>
      <c r="E40" s="281" t="s">
        <v>320</v>
      </c>
      <c r="F40" s="281" t="s">
        <v>321</v>
      </c>
      <c r="P40" s="79"/>
      <c r="Q40" s="79"/>
      <c r="R40" s="79"/>
      <c r="Y40" s="79"/>
      <c r="AC40" s="130"/>
      <c r="AE40" s="106"/>
    </row>
    <row r="41">
      <c r="A41" s="304" t="s">
        <v>352</v>
      </c>
      <c r="B41" s="305">
        <v>45426.0</v>
      </c>
      <c r="C41" s="234" t="s">
        <v>325</v>
      </c>
      <c r="D41" s="178">
        <v>1254.75</v>
      </c>
      <c r="E41" s="306" t="s">
        <v>353</v>
      </c>
      <c r="F41" s="307">
        <f t="shared" ref="F41:F42" si="6">D41/2</f>
        <v>627.375</v>
      </c>
      <c r="P41" s="79"/>
      <c r="Q41" s="79"/>
      <c r="R41" s="79"/>
      <c r="Y41" s="79"/>
      <c r="AC41" s="130"/>
      <c r="AE41" s="106"/>
    </row>
    <row r="42">
      <c r="A42" s="309" t="s">
        <v>328</v>
      </c>
      <c r="B42" s="305">
        <v>45419.0</v>
      </c>
      <c r="C42" s="234" t="s">
        <v>325</v>
      </c>
      <c r="D42" s="178">
        <v>1282.82</v>
      </c>
      <c r="E42" s="308" t="s">
        <v>329</v>
      </c>
      <c r="F42" s="307">
        <f t="shared" si="6"/>
        <v>641.41</v>
      </c>
      <c r="P42" s="79"/>
      <c r="Q42" s="79"/>
      <c r="R42" s="79"/>
      <c r="Y42" s="79"/>
      <c r="AC42" s="130"/>
      <c r="AE42" s="106"/>
    </row>
    <row r="43">
      <c r="A43" s="304" t="s">
        <v>371</v>
      </c>
      <c r="B43" s="305">
        <v>45433.0</v>
      </c>
      <c r="C43" s="234" t="s">
        <v>325</v>
      </c>
      <c r="D43" s="178">
        <v>1264.85</v>
      </c>
      <c r="E43" s="308">
        <v>45461.0</v>
      </c>
      <c r="F43" s="235"/>
      <c r="P43" s="79"/>
      <c r="Q43" s="79"/>
      <c r="R43" s="79"/>
      <c r="Y43" s="79"/>
      <c r="AC43" s="130"/>
      <c r="AE43" s="106"/>
    </row>
    <row r="44">
      <c r="A44" s="304" t="s">
        <v>372</v>
      </c>
      <c r="B44" s="305">
        <v>45433.0</v>
      </c>
      <c r="C44" s="234" t="s">
        <v>325</v>
      </c>
      <c r="D44" s="178">
        <v>1269.16</v>
      </c>
      <c r="E44" s="308">
        <v>45461.0</v>
      </c>
      <c r="F44" s="235"/>
      <c r="P44" s="79"/>
      <c r="Q44" s="79"/>
      <c r="R44" s="79"/>
      <c r="Y44" s="79"/>
      <c r="AC44" s="130"/>
      <c r="AE44" s="106"/>
    </row>
    <row r="45">
      <c r="A45" s="304" t="s">
        <v>399</v>
      </c>
      <c r="B45" s="305">
        <v>45440.0</v>
      </c>
      <c r="C45" s="234" t="s">
        <v>325</v>
      </c>
      <c r="D45" s="178">
        <v>1273.23</v>
      </c>
      <c r="E45" s="308">
        <v>45468.0</v>
      </c>
      <c r="F45" s="235"/>
      <c r="P45" s="79"/>
      <c r="Q45" s="79"/>
      <c r="R45" s="79"/>
      <c r="Y45" s="79"/>
      <c r="AC45" s="130"/>
      <c r="AE45" s="106"/>
    </row>
    <row r="46">
      <c r="A46" s="282" t="s">
        <v>356</v>
      </c>
      <c r="B46" s="283">
        <v>45427.0</v>
      </c>
      <c r="C46" s="166" t="s">
        <v>334</v>
      </c>
      <c r="D46" s="93">
        <v>772.44</v>
      </c>
      <c r="E46" s="291" t="s">
        <v>374</v>
      </c>
      <c r="F46" s="6">
        <f t="shared" ref="F46:F47" si="7">D46/2</f>
        <v>386.22</v>
      </c>
      <c r="P46" s="79"/>
      <c r="Q46" s="79"/>
      <c r="R46" s="79"/>
      <c r="Y46" s="79"/>
      <c r="AC46" s="130"/>
      <c r="AE46" s="106"/>
    </row>
    <row r="47">
      <c r="A47" s="282" t="s">
        <v>373</v>
      </c>
      <c r="B47" s="283">
        <v>45433.0</v>
      </c>
      <c r="C47" s="166" t="s">
        <v>346</v>
      </c>
      <c r="D47" s="93">
        <v>252.0</v>
      </c>
      <c r="E47" s="291" t="s">
        <v>374</v>
      </c>
      <c r="F47" s="6">
        <f t="shared" si="7"/>
        <v>126</v>
      </c>
      <c r="P47" s="79"/>
      <c r="Q47" s="79"/>
      <c r="R47" s="79"/>
      <c r="Y47" s="79"/>
      <c r="AC47" s="130"/>
      <c r="AE47" s="106"/>
    </row>
    <row r="48">
      <c r="A48" s="282" t="s">
        <v>375</v>
      </c>
      <c r="B48" s="283">
        <v>45434.0</v>
      </c>
      <c r="C48" s="166" t="s">
        <v>355</v>
      </c>
      <c r="D48" s="93">
        <v>852.29</v>
      </c>
      <c r="E48" s="285">
        <v>45439.0</v>
      </c>
      <c r="F48" s="6"/>
      <c r="P48" s="79"/>
      <c r="Q48" s="79"/>
      <c r="R48" s="79"/>
      <c r="Y48" s="79"/>
      <c r="AC48" s="130"/>
      <c r="AE48" s="106"/>
    </row>
    <row r="49">
      <c r="A49" s="309" t="s">
        <v>376</v>
      </c>
      <c r="B49" s="310">
        <v>45437.0</v>
      </c>
      <c r="C49" s="311" t="s">
        <v>377</v>
      </c>
      <c r="D49" s="312">
        <v>131.0</v>
      </c>
      <c r="E49" s="313">
        <v>45437.0</v>
      </c>
      <c r="F49" s="6"/>
      <c r="P49" s="79"/>
      <c r="Q49" s="79"/>
      <c r="R49" s="79"/>
      <c r="Y49" s="79"/>
      <c r="AC49" s="130"/>
      <c r="AE49" s="106"/>
    </row>
    <row r="50">
      <c r="A50" s="282" t="s">
        <v>378</v>
      </c>
      <c r="B50" s="283">
        <v>45433.0</v>
      </c>
      <c r="C50" s="166" t="s">
        <v>379</v>
      </c>
      <c r="D50" s="93">
        <v>1888.01</v>
      </c>
      <c r="E50" s="285"/>
      <c r="F50" s="6"/>
      <c r="P50" s="79"/>
      <c r="Q50" s="79"/>
      <c r="R50" s="79"/>
      <c r="Y50" s="79"/>
      <c r="AC50" s="130"/>
      <c r="AE50" s="106"/>
    </row>
    <row r="51">
      <c r="A51" s="309" t="s">
        <v>380</v>
      </c>
      <c r="B51" s="310">
        <v>45433.0</v>
      </c>
      <c r="C51" s="311" t="s">
        <v>233</v>
      </c>
      <c r="D51" s="312">
        <v>284.9</v>
      </c>
      <c r="E51" s="313">
        <v>45439.0</v>
      </c>
      <c r="F51" s="6"/>
      <c r="P51" s="79"/>
      <c r="Q51" s="79"/>
      <c r="R51" s="79"/>
      <c r="Y51" s="79"/>
      <c r="AC51" s="130"/>
      <c r="AE51" s="106"/>
    </row>
    <row r="52">
      <c r="A52" s="309" t="s">
        <v>381</v>
      </c>
      <c r="B52" s="310">
        <v>45433.0</v>
      </c>
      <c r="C52" s="311" t="s">
        <v>382</v>
      </c>
      <c r="D52" s="312">
        <v>252.46</v>
      </c>
      <c r="E52" s="313">
        <v>45439.0</v>
      </c>
      <c r="F52" s="6"/>
      <c r="P52" s="79"/>
      <c r="Q52" s="79"/>
      <c r="R52" s="79"/>
      <c r="Y52" s="79"/>
      <c r="AC52" s="130"/>
      <c r="AE52" s="106"/>
    </row>
    <row r="53">
      <c r="A53" s="309" t="s">
        <v>383</v>
      </c>
      <c r="B53" s="310">
        <v>45432.0</v>
      </c>
      <c r="C53" s="311" t="s">
        <v>384</v>
      </c>
      <c r="D53" s="312">
        <v>324.1</v>
      </c>
      <c r="E53" s="313">
        <v>45439.0</v>
      </c>
      <c r="F53" s="6"/>
      <c r="P53" s="79"/>
      <c r="Q53" s="79"/>
      <c r="R53" s="79"/>
      <c r="Y53" s="79"/>
      <c r="AC53" s="130"/>
      <c r="AE53" s="106"/>
    </row>
    <row r="54">
      <c r="A54" s="309" t="s">
        <v>385</v>
      </c>
      <c r="B54" s="310">
        <v>45433.0</v>
      </c>
      <c r="C54" s="311" t="s">
        <v>386</v>
      </c>
      <c r="D54" s="312">
        <v>203.8</v>
      </c>
      <c r="E54" s="313">
        <v>45439.0</v>
      </c>
      <c r="F54" s="6"/>
      <c r="P54" s="79"/>
      <c r="Q54" s="79"/>
      <c r="R54" s="79"/>
      <c r="Y54" s="79"/>
      <c r="AC54" s="130"/>
      <c r="AE54" s="106"/>
    </row>
    <row r="55">
      <c r="A55" s="309" t="s">
        <v>387</v>
      </c>
      <c r="B55" s="310">
        <v>45437.0</v>
      </c>
      <c r="C55" s="311" t="s">
        <v>388</v>
      </c>
      <c r="D55" s="312">
        <v>84.0</v>
      </c>
      <c r="E55" s="313">
        <v>45440.0</v>
      </c>
      <c r="F55" s="6"/>
      <c r="P55" s="79"/>
      <c r="Q55" s="79"/>
      <c r="R55" s="79"/>
      <c r="Y55" s="79"/>
      <c r="AC55" s="130"/>
      <c r="AE55" s="106"/>
    </row>
    <row r="56">
      <c r="A56" s="309" t="s">
        <v>389</v>
      </c>
      <c r="B56" s="310">
        <v>45437.0</v>
      </c>
      <c r="C56" s="311" t="s">
        <v>390</v>
      </c>
      <c r="D56" s="312">
        <v>291.97</v>
      </c>
      <c r="E56" s="313">
        <v>45439.0</v>
      </c>
      <c r="F56" s="6"/>
      <c r="P56" s="79"/>
      <c r="Q56" s="79"/>
      <c r="R56" s="79"/>
      <c r="Y56" s="79"/>
      <c r="AC56" s="130"/>
      <c r="AE56" s="106"/>
    </row>
    <row r="57">
      <c r="A57" s="282" t="s">
        <v>391</v>
      </c>
      <c r="B57" s="283">
        <v>45435.0</v>
      </c>
      <c r="C57" s="166" t="s">
        <v>392</v>
      </c>
      <c r="D57" s="93">
        <v>300.0</v>
      </c>
      <c r="E57" s="291" t="s">
        <v>393</v>
      </c>
      <c r="F57" s="6">
        <f>D57/2</f>
        <v>150</v>
      </c>
      <c r="P57" s="79"/>
      <c r="Q57" s="79"/>
      <c r="R57" s="79"/>
      <c r="Y57" s="79"/>
      <c r="AC57" s="130"/>
      <c r="AE57" s="106"/>
    </row>
    <row r="58">
      <c r="A58" s="282" t="s">
        <v>400</v>
      </c>
      <c r="B58" s="283">
        <v>45444.0</v>
      </c>
      <c r="C58" s="166" t="s">
        <v>61</v>
      </c>
      <c r="D58" s="93">
        <v>436.8</v>
      </c>
      <c r="E58" s="285">
        <v>45446.0</v>
      </c>
      <c r="F58" s="6"/>
      <c r="P58" s="79"/>
      <c r="Q58" s="79"/>
      <c r="R58" s="79"/>
      <c r="Y58" s="79"/>
      <c r="AC58" s="130"/>
      <c r="AE58" s="106"/>
    </row>
    <row r="59">
      <c r="A59" s="282" t="s">
        <v>401</v>
      </c>
      <c r="B59" s="283">
        <v>45444.0</v>
      </c>
      <c r="C59" s="166" t="s">
        <v>334</v>
      </c>
      <c r="D59" s="93">
        <v>437.9</v>
      </c>
      <c r="E59" s="285">
        <v>45446.0</v>
      </c>
      <c r="F59" s="6"/>
      <c r="P59" s="79"/>
      <c r="Q59" s="79"/>
      <c r="R59" s="79"/>
      <c r="Y59" s="79"/>
      <c r="AC59" s="130"/>
      <c r="AE59" s="106"/>
    </row>
    <row r="60">
      <c r="A60" s="282" t="s">
        <v>402</v>
      </c>
      <c r="B60" s="283">
        <v>45444.0</v>
      </c>
      <c r="C60" s="166" t="s">
        <v>61</v>
      </c>
      <c r="D60" s="93">
        <v>218.4</v>
      </c>
      <c r="E60" s="285">
        <v>45446.0</v>
      </c>
      <c r="F60" s="6"/>
      <c r="P60" s="79"/>
      <c r="Q60" s="79"/>
      <c r="R60" s="79"/>
      <c r="Y60" s="79"/>
      <c r="AC60" s="130"/>
      <c r="AE60" s="106"/>
    </row>
    <row r="61">
      <c r="A61" s="282" t="s">
        <v>403</v>
      </c>
      <c r="B61" s="283">
        <v>45444.0</v>
      </c>
      <c r="C61" s="166" t="s">
        <v>404</v>
      </c>
      <c r="D61" s="93">
        <f>126.42+124.58</f>
        <v>251</v>
      </c>
      <c r="E61" s="285">
        <v>45446.0</v>
      </c>
      <c r="F61" s="6"/>
      <c r="P61" s="79"/>
      <c r="Q61" s="79"/>
      <c r="R61" s="79"/>
      <c r="Y61" s="79"/>
      <c r="AC61" s="130"/>
      <c r="AE61" s="106"/>
    </row>
    <row r="62">
      <c r="A62" s="282" t="s">
        <v>405</v>
      </c>
      <c r="B62" s="283">
        <v>45441.0</v>
      </c>
      <c r="C62" s="166" t="s">
        <v>355</v>
      </c>
      <c r="D62" s="93">
        <f>180+230.94+133.92</f>
        <v>544.86</v>
      </c>
      <c r="E62" s="285">
        <v>45446.0</v>
      </c>
      <c r="F62" s="6"/>
      <c r="P62" s="79"/>
      <c r="Q62" s="79"/>
      <c r="R62" s="79"/>
      <c r="Y62" s="79"/>
      <c r="AC62" s="130"/>
      <c r="AE62" s="106"/>
    </row>
    <row r="63">
      <c r="A63" s="32" t="s">
        <v>406</v>
      </c>
      <c r="B63" s="283">
        <v>45440.0</v>
      </c>
      <c r="C63" s="166" t="s">
        <v>111</v>
      </c>
      <c r="D63" s="93">
        <v>1216.79</v>
      </c>
      <c r="E63" s="285"/>
      <c r="F63" s="6"/>
      <c r="P63" s="79"/>
      <c r="Q63" s="79"/>
      <c r="R63" s="79"/>
      <c r="Y63" s="79"/>
      <c r="AC63" s="130"/>
      <c r="AE63" s="106"/>
    </row>
    <row r="64">
      <c r="A64" s="282" t="s">
        <v>407</v>
      </c>
      <c r="B64" s="283">
        <v>45444.0</v>
      </c>
      <c r="C64" s="166" t="s">
        <v>408</v>
      </c>
      <c r="D64" s="93">
        <v>1230.51</v>
      </c>
      <c r="E64" s="291" t="s">
        <v>409</v>
      </c>
      <c r="F64" s="6">
        <f>D64/2</f>
        <v>615.255</v>
      </c>
      <c r="P64" s="79"/>
      <c r="Q64" s="79"/>
      <c r="R64" s="79"/>
      <c r="Y64" s="79"/>
      <c r="AC64" s="130"/>
      <c r="AE64" s="106"/>
    </row>
    <row r="65">
      <c r="C65" s="79"/>
      <c r="D65" s="79"/>
      <c r="E65" s="79"/>
      <c r="P65" s="79"/>
      <c r="Q65" s="79"/>
      <c r="R65" s="79"/>
      <c r="Y65" s="79"/>
      <c r="AC65" s="130"/>
      <c r="AE65" s="106"/>
    </row>
    <row r="66">
      <c r="C66" s="79"/>
      <c r="D66" s="79"/>
      <c r="E66" s="79"/>
      <c r="P66" s="79"/>
      <c r="Q66" s="79"/>
      <c r="R66" s="79"/>
      <c r="Y66" s="79"/>
      <c r="AC66" s="130"/>
      <c r="AE66" s="106"/>
    </row>
    <row r="67">
      <c r="C67" s="79"/>
      <c r="D67" s="79"/>
      <c r="E67" s="79"/>
      <c r="P67" s="79"/>
      <c r="Q67" s="79"/>
      <c r="R67" s="79"/>
      <c r="Y67" s="79"/>
      <c r="AC67" s="130"/>
      <c r="AE67" s="106"/>
    </row>
    <row r="68">
      <c r="C68" s="79"/>
      <c r="D68" s="79"/>
      <c r="E68" s="79"/>
      <c r="P68" s="79"/>
      <c r="Q68" s="79"/>
      <c r="R68" s="79"/>
      <c r="Y68" s="79"/>
      <c r="AC68" s="130"/>
      <c r="AE68" s="106"/>
    </row>
    <row r="69">
      <c r="C69" s="79"/>
      <c r="D69" s="79"/>
      <c r="E69" s="79"/>
      <c r="P69" s="79"/>
      <c r="Q69" s="79"/>
      <c r="R69" s="79"/>
      <c r="Y69" s="79"/>
      <c r="AC69" s="130"/>
      <c r="AE69" s="106"/>
    </row>
    <row r="70">
      <c r="C70" s="79"/>
      <c r="D70" s="79"/>
      <c r="E70" s="79"/>
      <c r="P70" s="79"/>
      <c r="Q70" s="79"/>
      <c r="R70" s="79"/>
      <c r="Y70" s="79"/>
      <c r="AC70" s="130"/>
      <c r="AE70" s="106"/>
    </row>
    <row r="71">
      <c r="C71" s="79"/>
      <c r="D71" s="79"/>
      <c r="E71" s="79"/>
      <c r="P71" s="79"/>
      <c r="Q71" s="79"/>
      <c r="R71" s="79"/>
      <c r="Y71" s="79"/>
      <c r="AC71" s="130"/>
      <c r="AE71" s="106"/>
    </row>
    <row r="72">
      <c r="C72" s="79"/>
      <c r="D72" s="79"/>
      <c r="E72" s="79"/>
      <c r="P72" s="79"/>
      <c r="Q72" s="79"/>
      <c r="R72" s="79"/>
      <c r="Y72" s="79"/>
      <c r="AC72" s="130"/>
      <c r="AE72" s="106"/>
    </row>
    <row r="73">
      <c r="C73" s="79"/>
      <c r="D73" s="79"/>
      <c r="E73" s="79"/>
      <c r="P73" s="79"/>
      <c r="Q73" s="79"/>
      <c r="R73" s="79"/>
      <c r="Y73" s="79"/>
      <c r="AC73" s="130"/>
      <c r="AE73" s="106"/>
    </row>
    <row r="74">
      <c r="C74" s="79"/>
      <c r="D74" s="79"/>
      <c r="E74" s="79"/>
      <c r="P74" s="79"/>
      <c r="Q74" s="79"/>
      <c r="R74" s="79"/>
      <c r="Y74" s="79"/>
      <c r="AC74" s="130"/>
      <c r="AE74" s="106"/>
    </row>
    <row r="75">
      <c r="C75" s="79"/>
      <c r="D75" s="79"/>
      <c r="E75" s="79"/>
      <c r="P75" s="79"/>
      <c r="Q75" s="79"/>
      <c r="R75" s="79"/>
      <c r="Y75" s="79"/>
      <c r="AC75" s="130"/>
      <c r="AE75" s="106"/>
    </row>
    <row r="76">
      <c r="C76" s="79"/>
      <c r="D76" s="79"/>
      <c r="E76" s="79"/>
      <c r="P76" s="79"/>
      <c r="Q76" s="79"/>
      <c r="R76" s="79"/>
      <c r="Y76" s="79"/>
      <c r="AC76" s="130"/>
      <c r="AE76" s="106"/>
    </row>
    <row r="77">
      <c r="C77" s="79"/>
      <c r="D77" s="79"/>
      <c r="E77" s="79"/>
      <c r="P77" s="79"/>
      <c r="Q77" s="79"/>
      <c r="R77" s="79"/>
      <c r="Y77" s="79"/>
      <c r="AC77" s="130"/>
      <c r="AE77" s="106"/>
    </row>
    <row r="78">
      <c r="C78" s="79"/>
      <c r="D78" s="79"/>
      <c r="E78" s="79"/>
      <c r="P78" s="79"/>
      <c r="Q78" s="79"/>
      <c r="R78" s="79"/>
      <c r="Y78" s="79"/>
      <c r="AC78" s="130"/>
      <c r="AE78" s="106"/>
    </row>
    <row r="79">
      <c r="C79" s="79"/>
      <c r="D79" s="79"/>
      <c r="E79" s="79"/>
      <c r="P79" s="79"/>
      <c r="Q79" s="79"/>
      <c r="R79" s="79"/>
      <c r="Y79" s="79"/>
      <c r="AC79" s="130"/>
      <c r="AE79" s="106"/>
    </row>
    <row r="80">
      <c r="C80" s="79"/>
      <c r="D80" s="79"/>
      <c r="E80" s="79"/>
      <c r="P80" s="79"/>
      <c r="Q80" s="79"/>
      <c r="R80" s="79"/>
      <c r="Y80" s="79"/>
      <c r="AC80" s="130"/>
      <c r="AE80" s="106"/>
    </row>
    <row r="81">
      <c r="C81" s="79"/>
      <c r="D81" s="79"/>
      <c r="E81" s="79"/>
      <c r="P81" s="79"/>
      <c r="Q81" s="79"/>
      <c r="R81" s="79"/>
      <c r="Y81" s="79"/>
      <c r="AC81" s="130"/>
      <c r="AE81" s="106"/>
    </row>
    <row r="82">
      <c r="C82" s="79"/>
      <c r="D82" s="79"/>
      <c r="E82" s="79"/>
      <c r="P82" s="79"/>
      <c r="Q82" s="79"/>
      <c r="R82" s="79"/>
      <c r="Y82" s="79"/>
      <c r="AC82" s="130"/>
      <c r="AE82" s="106"/>
    </row>
    <row r="83">
      <c r="C83" s="79"/>
      <c r="D83" s="79"/>
      <c r="E83" s="79"/>
      <c r="P83" s="79"/>
      <c r="Q83" s="79"/>
      <c r="R83" s="79"/>
      <c r="Y83" s="79"/>
      <c r="AC83" s="130"/>
      <c r="AE83" s="106"/>
    </row>
    <row r="84">
      <c r="C84" s="79"/>
      <c r="D84" s="79"/>
      <c r="E84" s="79"/>
      <c r="P84" s="79"/>
      <c r="Q84" s="79"/>
      <c r="R84" s="79"/>
      <c r="Y84" s="79"/>
      <c r="AC84" s="130"/>
      <c r="AE84" s="106"/>
    </row>
    <row r="85">
      <c r="C85" s="79"/>
      <c r="D85" s="79"/>
      <c r="E85" s="79"/>
      <c r="P85" s="79"/>
      <c r="Q85" s="79"/>
      <c r="R85" s="79"/>
      <c r="Y85" s="79"/>
      <c r="AC85" s="130"/>
      <c r="AE85" s="106"/>
    </row>
    <row r="86">
      <c r="C86" s="79"/>
      <c r="D86" s="79"/>
      <c r="E86" s="79"/>
      <c r="P86" s="79"/>
      <c r="Q86" s="79"/>
      <c r="R86" s="79"/>
      <c r="Y86" s="79"/>
      <c r="AC86" s="130"/>
      <c r="AE86" s="106"/>
    </row>
    <row r="87">
      <c r="C87" s="79"/>
      <c r="D87" s="79"/>
      <c r="E87" s="79"/>
      <c r="P87" s="79"/>
      <c r="Q87" s="79"/>
      <c r="R87" s="79"/>
      <c r="Y87" s="79"/>
      <c r="AC87" s="130"/>
      <c r="AE87" s="106"/>
    </row>
    <row r="88">
      <c r="C88" s="79"/>
      <c r="D88" s="79"/>
      <c r="E88" s="79"/>
      <c r="P88" s="79"/>
      <c r="Q88" s="79"/>
      <c r="R88" s="79"/>
      <c r="Y88" s="79"/>
      <c r="AC88" s="130"/>
      <c r="AE88" s="106"/>
    </row>
    <row r="89">
      <c r="C89" s="79"/>
      <c r="D89" s="79"/>
      <c r="E89" s="79"/>
      <c r="P89" s="79"/>
      <c r="Q89" s="79"/>
      <c r="R89" s="79"/>
      <c r="Y89" s="79"/>
      <c r="AC89" s="130"/>
      <c r="AE89" s="106"/>
    </row>
    <row r="90">
      <c r="C90" s="79"/>
      <c r="D90" s="79"/>
      <c r="E90" s="79"/>
      <c r="P90" s="79"/>
      <c r="Q90" s="79"/>
      <c r="R90" s="79"/>
      <c r="Y90" s="79"/>
      <c r="AC90" s="130"/>
      <c r="AE90" s="106"/>
    </row>
    <row r="91">
      <c r="C91" s="79"/>
      <c r="D91" s="79"/>
      <c r="E91" s="79"/>
      <c r="P91" s="79"/>
      <c r="Q91" s="79"/>
      <c r="R91" s="79"/>
      <c r="Y91" s="79"/>
      <c r="AC91" s="130"/>
      <c r="AE91" s="106"/>
    </row>
    <row r="92">
      <c r="C92" s="79"/>
      <c r="D92" s="79"/>
      <c r="E92" s="79"/>
      <c r="P92" s="79"/>
      <c r="Q92" s="79"/>
      <c r="R92" s="79"/>
      <c r="Y92" s="79"/>
      <c r="AC92" s="130"/>
      <c r="AE92" s="106"/>
    </row>
    <row r="93">
      <c r="C93" s="79"/>
      <c r="D93" s="79"/>
      <c r="E93" s="79"/>
      <c r="P93" s="79"/>
      <c r="Q93" s="79"/>
      <c r="R93" s="79"/>
      <c r="Y93" s="79"/>
      <c r="AC93" s="130"/>
      <c r="AE93" s="106"/>
    </row>
    <row r="94">
      <c r="C94" s="79"/>
      <c r="D94" s="79"/>
      <c r="E94" s="79"/>
      <c r="P94" s="79"/>
      <c r="Q94" s="79"/>
      <c r="R94" s="79"/>
      <c r="Y94" s="79"/>
      <c r="AC94" s="130"/>
      <c r="AE94" s="106"/>
    </row>
    <row r="95">
      <c r="C95" s="79"/>
      <c r="D95" s="79"/>
      <c r="E95" s="79"/>
      <c r="P95" s="79"/>
      <c r="Q95" s="79"/>
      <c r="R95" s="79"/>
      <c r="Y95" s="79"/>
      <c r="AC95" s="130"/>
      <c r="AE95" s="106"/>
    </row>
    <row r="96">
      <c r="C96" s="79"/>
      <c r="D96" s="79"/>
      <c r="E96" s="79"/>
      <c r="P96" s="79"/>
      <c r="Q96" s="79"/>
      <c r="R96" s="79"/>
      <c r="Y96" s="79"/>
      <c r="AC96" s="130"/>
      <c r="AE96" s="106"/>
    </row>
    <row r="97">
      <c r="C97" s="79"/>
      <c r="D97" s="79"/>
      <c r="E97" s="79"/>
      <c r="P97" s="79"/>
      <c r="Q97" s="79"/>
      <c r="R97" s="79"/>
      <c r="Y97" s="79"/>
      <c r="AC97" s="130"/>
      <c r="AE97" s="106"/>
    </row>
    <row r="98">
      <c r="C98" s="79"/>
      <c r="D98" s="79"/>
      <c r="E98" s="79"/>
      <c r="P98" s="79"/>
      <c r="Q98" s="79"/>
      <c r="R98" s="79"/>
      <c r="Y98" s="79"/>
      <c r="AC98" s="130"/>
      <c r="AE98" s="106"/>
    </row>
    <row r="99">
      <c r="C99" s="79"/>
      <c r="D99" s="79"/>
      <c r="E99" s="79"/>
      <c r="P99" s="79"/>
      <c r="Q99" s="79"/>
      <c r="R99" s="79"/>
      <c r="Y99" s="79"/>
      <c r="AC99" s="130"/>
      <c r="AE99" s="106"/>
    </row>
    <row r="100">
      <c r="C100" s="79"/>
      <c r="D100" s="79"/>
      <c r="E100" s="79"/>
      <c r="P100" s="79"/>
      <c r="Q100" s="79"/>
      <c r="R100" s="79"/>
      <c r="Y100" s="79"/>
      <c r="AC100" s="130"/>
      <c r="AE100" s="106"/>
    </row>
    <row r="101">
      <c r="C101" s="79"/>
      <c r="D101" s="79"/>
      <c r="E101" s="79"/>
      <c r="P101" s="79"/>
      <c r="Q101" s="79"/>
      <c r="R101" s="79"/>
      <c r="Y101" s="79"/>
      <c r="AC101" s="130"/>
      <c r="AE101" s="106"/>
    </row>
    <row r="102">
      <c r="C102" s="79"/>
      <c r="D102" s="79"/>
      <c r="E102" s="79"/>
      <c r="P102" s="79"/>
      <c r="Q102" s="79"/>
      <c r="R102" s="79"/>
      <c r="Y102" s="79"/>
      <c r="AC102" s="130"/>
      <c r="AE102" s="106"/>
    </row>
    <row r="103">
      <c r="C103" s="79"/>
      <c r="D103" s="79"/>
      <c r="E103" s="79"/>
      <c r="P103" s="79"/>
      <c r="Q103" s="79"/>
      <c r="R103" s="79"/>
      <c r="Y103" s="79"/>
      <c r="AC103" s="130"/>
      <c r="AE103" s="106"/>
    </row>
    <row r="104">
      <c r="C104" s="79"/>
      <c r="D104" s="79"/>
      <c r="E104" s="79"/>
      <c r="P104" s="79"/>
      <c r="Q104" s="79"/>
      <c r="R104" s="79"/>
      <c r="Y104" s="79"/>
      <c r="AC104" s="130"/>
      <c r="AE104" s="106"/>
    </row>
    <row r="105">
      <c r="C105" s="79"/>
      <c r="D105" s="79"/>
      <c r="E105" s="79"/>
      <c r="P105" s="79"/>
      <c r="Q105" s="79"/>
      <c r="R105" s="79"/>
      <c r="Y105" s="79"/>
      <c r="AC105" s="130"/>
      <c r="AE105" s="106"/>
    </row>
    <row r="106">
      <c r="C106" s="79"/>
      <c r="D106" s="79"/>
      <c r="E106" s="79"/>
      <c r="P106" s="79"/>
      <c r="Q106" s="79"/>
      <c r="R106" s="79"/>
      <c r="Y106" s="79"/>
      <c r="AC106" s="130"/>
      <c r="AE106" s="106"/>
    </row>
    <row r="107">
      <c r="C107" s="79"/>
      <c r="D107" s="79"/>
      <c r="E107" s="79"/>
      <c r="P107" s="79"/>
      <c r="Q107" s="79"/>
      <c r="R107" s="79"/>
      <c r="Y107" s="79"/>
      <c r="AC107" s="130"/>
      <c r="AE107" s="106"/>
    </row>
    <row r="108">
      <c r="C108" s="79"/>
      <c r="D108" s="79"/>
      <c r="E108" s="79"/>
      <c r="P108" s="79"/>
      <c r="Q108" s="79"/>
      <c r="R108" s="79"/>
      <c r="Y108" s="79"/>
      <c r="AC108" s="130"/>
      <c r="AE108" s="106"/>
    </row>
    <row r="109">
      <c r="C109" s="79"/>
      <c r="D109" s="79"/>
      <c r="E109" s="79"/>
      <c r="P109" s="79"/>
      <c r="Q109" s="79"/>
      <c r="R109" s="79"/>
      <c r="Y109" s="79"/>
      <c r="AC109" s="130"/>
      <c r="AE109" s="106"/>
    </row>
    <row r="110">
      <c r="C110" s="79"/>
      <c r="D110" s="79"/>
      <c r="E110" s="79"/>
      <c r="P110" s="79"/>
      <c r="Q110" s="79"/>
      <c r="R110" s="79"/>
      <c r="Y110" s="79"/>
      <c r="AC110" s="130"/>
      <c r="AE110" s="106"/>
    </row>
    <row r="111">
      <c r="C111" s="79"/>
      <c r="D111" s="79"/>
      <c r="E111" s="79"/>
      <c r="P111" s="79"/>
      <c r="Q111" s="79"/>
      <c r="R111" s="79"/>
      <c r="Y111" s="79"/>
      <c r="AC111" s="130"/>
      <c r="AE111" s="106"/>
    </row>
    <row r="112">
      <c r="C112" s="79"/>
      <c r="D112" s="79"/>
      <c r="E112" s="79"/>
      <c r="P112" s="79"/>
      <c r="Q112" s="79"/>
      <c r="R112" s="79"/>
      <c r="Y112" s="79"/>
      <c r="AC112" s="130"/>
      <c r="AE112" s="106"/>
    </row>
    <row r="113">
      <c r="C113" s="79"/>
      <c r="D113" s="79"/>
      <c r="E113" s="79"/>
      <c r="P113" s="79"/>
      <c r="Q113" s="79"/>
      <c r="R113" s="79"/>
      <c r="Y113" s="79"/>
      <c r="AC113" s="130"/>
      <c r="AE113" s="106"/>
    </row>
    <row r="114">
      <c r="C114" s="79"/>
      <c r="D114" s="79"/>
      <c r="E114" s="79"/>
      <c r="P114" s="79"/>
      <c r="Q114" s="79"/>
      <c r="R114" s="79"/>
      <c r="Y114" s="79"/>
      <c r="AC114" s="130"/>
      <c r="AE114" s="106"/>
    </row>
    <row r="115">
      <c r="C115" s="79"/>
      <c r="D115" s="79"/>
      <c r="E115" s="79"/>
      <c r="P115" s="79"/>
      <c r="Q115" s="79"/>
      <c r="R115" s="79"/>
      <c r="Y115" s="79"/>
      <c r="AC115" s="130"/>
      <c r="AE115" s="106"/>
    </row>
    <row r="116">
      <c r="C116" s="79"/>
      <c r="D116" s="79"/>
      <c r="E116" s="79"/>
      <c r="P116" s="79"/>
      <c r="Q116" s="79"/>
      <c r="R116" s="79"/>
      <c r="Y116" s="79"/>
      <c r="AC116" s="130"/>
      <c r="AE116" s="106"/>
    </row>
    <row r="117">
      <c r="C117" s="79"/>
      <c r="D117" s="79"/>
      <c r="E117" s="79"/>
      <c r="P117" s="79"/>
      <c r="Q117" s="79"/>
      <c r="R117" s="79"/>
      <c r="Y117" s="79"/>
      <c r="AC117" s="130"/>
      <c r="AE117" s="106"/>
    </row>
    <row r="118">
      <c r="C118" s="79"/>
      <c r="D118" s="79"/>
      <c r="E118" s="79"/>
      <c r="P118" s="79"/>
      <c r="Q118" s="79"/>
      <c r="R118" s="79"/>
      <c r="Y118" s="79"/>
      <c r="AC118" s="130"/>
      <c r="AE118" s="106"/>
    </row>
    <row r="119">
      <c r="C119" s="79"/>
      <c r="D119" s="79"/>
      <c r="E119" s="79"/>
      <c r="P119" s="79"/>
      <c r="Q119" s="79"/>
      <c r="R119" s="79"/>
      <c r="Y119" s="79"/>
      <c r="AC119" s="130"/>
      <c r="AE119" s="106"/>
    </row>
    <row r="120">
      <c r="C120" s="79"/>
      <c r="D120" s="79"/>
      <c r="E120" s="79"/>
      <c r="P120" s="79"/>
      <c r="Q120" s="79"/>
      <c r="R120" s="79"/>
      <c r="Y120" s="79"/>
      <c r="AC120" s="130"/>
      <c r="AE120" s="106"/>
    </row>
    <row r="121">
      <c r="C121" s="79"/>
      <c r="D121" s="79"/>
      <c r="E121" s="79"/>
      <c r="P121" s="79"/>
      <c r="Q121" s="79"/>
      <c r="R121" s="79"/>
      <c r="Y121" s="79"/>
      <c r="AC121" s="130"/>
      <c r="AE121" s="106"/>
    </row>
    <row r="122">
      <c r="C122" s="79"/>
      <c r="D122" s="79"/>
      <c r="E122" s="79"/>
      <c r="P122" s="79"/>
      <c r="Q122" s="79"/>
      <c r="R122" s="79"/>
      <c r="Y122" s="79"/>
      <c r="AC122" s="130"/>
      <c r="AE122" s="106"/>
    </row>
    <row r="123">
      <c r="C123" s="79"/>
      <c r="D123" s="79"/>
      <c r="E123" s="79"/>
      <c r="P123" s="79"/>
      <c r="Q123" s="79"/>
      <c r="R123" s="79"/>
      <c r="Y123" s="79"/>
      <c r="AC123" s="130"/>
      <c r="AE123" s="106"/>
    </row>
    <row r="124">
      <c r="C124" s="79"/>
      <c r="D124" s="79"/>
      <c r="E124" s="79"/>
      <c r="P124" s="79"/>
      <c r="Q124" s="79"/>
      <c r="R124" s="79"/>
      <c r="Y124" s="79"/>
      <c r="AC124" s="130"/>
      <c r="AE124" s="106"/>
    </row>
    <row r="125">
      <c r="C125" s="79"/>
      <c r="D125" s="79"/>
      <c r="E125" s="79"/>
      <c r="P125" s="79"/>
      <c r="Q125" s="79"/>
      <c r="R125" s="79"/>
      <c r="Y125" s="79"/>
      <c r="AC125" s="130"/>
      <c r="AE125" s="106"/>
    </row>
    <row r="126">
      <c r="C126" s="79"/>
      <c r="D126" s="79"/>
      <c r="E126" s="79"/>
      <c r="P126" s="79"/>
      <c r="Q126" s="79"/>
      <c r="R126" s="79"/>
      <c r="Y126" s="79"/>
      <c r="AC126" s="130"/>
      <c r="AE126" s="106"/>
    </row>
    <row r="127">
      <c r="C127" s="79"/>
      <c r="D127" s="79"/>
      <c r="E127" s="79"/>
      <c r="P127" s="79"/>
      <c r="Q127" s="79"/>
      <c r="R127" s="79"/>
      <c r="Y127" s="79"/>
      <c r="AC127" s="130"/>
      <c r="AE127" s="106"/>
    </row>
    <row r="128">
      <c r="C128" s="79"/>
      <c r="D128" s="79"/>
      <c r="E128" s="79"/>
      <c r="P128" s="79"/>
      <c r="Q128" s="79"/>
      <c r="R128" s="79"/>
      <c r="Y128" s="79"/>
      <c r="AC128" s="130"/>
      <c r="AE128" s="106"/>
    </row>
    <row r="129">
      <c r="C129" s="79"/>
      <c r="D129" s="79"/>
      <c r="E129" s="79"/>
      <c r="P129" s="79"/>
      <c r="Q129" s="79"/>
      <c r="R129" s="79"/>
      <c r="Y129" s="79"/>
      <c r="AC129" s="130"/>
      <c r="AE129" s="106"/>
    </row>
    <row r="130">
      <c r="C130" s="79"/>
      <c r="D130" s="79"/>
      <c r="E130" s="79"/>
      <c r="P130" s="79"/>
      <c r="Q130" s="79"/>
      <c r="R130" s="79"/>
      <c r="Y130" s="79"/>
      <c r="AC130" s="130"/>
      <c r="AE130" s="106"/>
    </row>
    <row r="131">
      <c r="C131" s="79"/>
      <c r="D131" s="79"/>
      <c r="E131" s="79"/>
      <c r="P131" s="79"/>
      <c r="Q131" s="79"/>
      <c r="R131" s="79"/>
      <c r="Y131" s="79"/>
      <c r="AC131" s="130"/>
      <c r="AE131" s="106"/>
    </row>
    <row r="132">
      <c r="C132" s="79"/>
      <c r="D132" s="79"/>
      <c r="E132" s="79"/>
      <c r="P132" s="79"/>
      <c r="Q132" s="79"/>
      <c r="R132" s="79"/>
      <c r="Y132" s="79"/>
      <c r="AC132" s="130"/>
      <c r="AE132" s="106"/>
    </row>
    <row r="133">
      <c r="C133" s="79"/>
      <c r="D133" s="79"/>
      <c r="E133" s="79"/>
      <c r="P133" s="79"/>
      <c r="Q133" s="79"/>
      <c r="R133" s="79"/>
      <c r="Y133" s="79"/>
      <c r="AC133" s="130"/>
      <c r="AE133" s="106"/>
    </row>
    <row r="134">
      <c r="C134" s="79"/>
      <c r="D134" s="79"/>
      <c r="E134" s="79"/>
      <c r="P134" s="79"/>
      <c r="Q134" s="79"/>
      <c r="R134" s="79"/>
      <c r="Y134" s="79"/>
      <c r="AC134" s="130"/>
      <c r="AE134" s="106"/>
    </row>
    <row r="135">
      <c r="C135" s="79"/>
      <c r="D135" s="79"/>
      <c r="E135" s="79"/>
      <c r="P135" s="79"/>
      <c r="Q135" s="79"/>
      <c r="R135" s="79"/>
      <c r="Y135" s="79"/>
      <c r="AC135" s="130"/>
      <c r="AE135" s="106"/>
    </row>
    <row r="136">
      <c r="C136" s="79"/>
      <c r="D136" s="79"/>
      <c r="E136" s="79"/>
      <c r="P136" s="79"/>
      <c r="Q136" s="79"/>
      <c r="R136" s="79"/>
      <c r="Y136" s="79"/>
      <c r="AC136" s="130"/>
      <c r="AE136" s="106"/>
    </row>
    <row r="137">
      <c r="C137" s="79"/>
      <c r="D137" s="79"/>
      <c r="E137" s="79"/>
      <c r="P137" s="79"/>
      <c r="Q137" s="79"/>
      <c r="R137" s="79"/>
      <c r="Y137" s="79"/>
      <c r="AC137" s="130"/>
      <c r="AE137" s="106"/>
    </row>
    <row r="138">
      <c r="C138" s="79"/>
      <c r="D138" s="79"/>
      <c r="E138" s="79"/>
      <c r="P138" s="79"/>
      <c r="Q138" s="79"/>
      <c r="R138" s="79"/>
      <c r="Y138" s="79"/>
      <c r="AC138" s="130"/>
      <c r="AE138" s="106"/>
    </row>
    <row r="139">
      <c r="C139" s="79"/>
      <c r="D139" s="79"/>
      <c r="E139" s="79"/>
      <c r="P139" s="79"/>
      <c r="Q139" s="79"/>
      <c r="R139" s="79"/>
      <c r="Y139" s="79"/>
      <c r="AC139" s="130"/>
      <c r="AE139" s="106"/>
    </row>
    <row r="140">
      <c r="C140" s="79"/>
      <c r="D140" s="79"/>
      <c r="E140" s="79"/>
      <c r="P140" s="79"/>
      <c r="Q140" s="79"/>
      <c r="R140" s="79"/>
      <c r="Y140" s="79"/>
      <c r="AC140" s="130"/>
      <c r="AE140" s="106"/>
    </row>
    <row r="141">
      <c r="C141" s="79"/>
      <c r="D141" s="79"/>
      <c r="E141" s="79"/>
      <c r="P141" s="79"/>
      <c r="Q141" s="79"/>
      <c r="R141" s="79"/>
      <c r="Y141" s="79"/>
      <c r="AC141" s="130"/>
      <c r="AE141" s="106"/>
    </row>
    <row r="142">
      <c r="C142" s="79"/>
      <c r="D142" s="79"/>
      <c r="E142" s="79"/>
      <c r="P142" s="79"/>
      <c r="Q142" s="79"/>
      <c r="R142" s="79"/>
      <c r="Y142" s="79"/>
      <c r="AC142" s="130"/>
      <c r="AE142" s="106"/>
    </row>
    <row r="143">
      <c r="C143" s="79"/>
      <c r="D143" s="79"/>
      <c r="E143" s="79"/>
      <c r="P143" s="79"/>
      <c r="Q143" s="79"/>
      <c r="R143" s="79"/>
      <c r="Y143" s="79"/>
      <c r="AC143" s="130"/>
      <c r="AE143" s="106"/>
    </row>
    <row r="144">
      <c r="C144" s="79"/>
      <c r="D144" s="79"/>
      <c r="E144" s="79"/>
      <c r="P144" s="79"/>
      <c r="Q144" s="79"/>
      <c r="R144" s="79"/>
      <c r="Y144" s="79"/>
      <c r="AC144" s="130"/>
      <c r="AE144" s="106"/>
    </row>
    <row r="145">
      <c r="C145" s="79"/>
      <c r="D145" s="79"/>
      <c r="E145" s="79"/>
      <c r="P145" s="79"/>
      <c r="Q145" s="79"/>
      <c r="R145" s="79"/>
      <c r="Y145" s="79"/>
      <c r="AC145" s="130"/>
      <c r="AE145" s="106"/>
    </row>
    <row r="146">
      <c r="C146" s="79"/>
      <c r="D146" s="79"/>
      <c r="E146" s="79"/>
      <c r="P146" s="79"/>
      <c r="Q146" s="79"/>
      <c r="R146" s="79"/>
      <c r="Y146" s="79"/>
      <c r="AC146" s="130"/>
      <c r="AE146" s="106"/>
    </row>
    <row r="147">
      <c r="C147" s="79"/>
      <c r="D147" s="79"/>
      <c r="E147" s="79"/>
      <c r="P147" s="79"/>
      <c r="Q147" s="79"/>
      <c r="R147" s="79"/>
      <c r="Y147" s="79"/>
      <c r="AC147" s="130"/>
      <c r="AE147" s="106"/>
    </row>
    <row r="148">
      <c r="C148" s="79"/>
      <c r="D148" s="79"/>
      <c r="E148" s="79"/>
      <c r="P148" s="79"/>
      <c r="Q148" s="79"/>
      <c r="R148" s="79"/>
      <c r="Y148" s="79"/>
      <c r="AC148" s="130"/>
      <c r="AE148" s="106"/>
    </row>
    <row r="149">
      <c r="C149" s="79"/>
      <c r="D149" s="79"/>
      <c r="E149" s="79"/>
      <c r="P149" s="79"/>
      <c r="Q149" s="79"/>
      <c r="R149" s="79"/>
      <c r="Y149" s="79"/>
      <c r="AC149" s="130"/>
      <c r="AE149" s="106"/>
    </row>
    <row r="150">
      <c r="C150" s="79"/>
      <c r="D150" s="79"/>
      <c r="E150" s="79"/>
      <c r="P150" s="79"/>
      <c r="Q150" s="79"/>
      <c r="R150" s="79"/>
      <c r="Y150" s="79"/>
      <c r="AC150" s="130"/>
      <c r="AE150" s="106"/>
    </row>
    <row r="151">
      <c r="C151" s="79"/>
      <c r="D151" s="79"/>
      <c r="E151" s="79"/>
      <c r="P151" s="79"/>
      <c r="Q151" s="79"/>
      <c r="R151" s="79"/>
      <c r="Y151" s="79"/>
      <c r="AC151" s="130"/>
      <c r="AE151" s="106"/>
    </row>
    <row r="152">
      <c r="C152" s="79"/>
      <c r="D152" s="79"/>
      <c r="E152" s="79"/>
      <c r="P152" s="79"/>
      <c r="Q152" s="79"/>
      <c r="R152" s="79"/>
      <c r="Y152" s="79"/>
      <c r="AC152" s="130"/>
      <c r="AE152" s="106"/>
    </row>
    <row r="153">
      <c r="C153" s="79"/>
      <c r="D153" s="79"/>
      <c r="E153" s="79"/>
      <c r="P153" s="79"/>
      <c r="Q153" s="79"/>
      <c r="R153" s="79"/>
      <c r="Y153" s="79"/>
      <c r="AC153" s="130"/>
      <c r="AE153" s="106"/>
    </row>
    <row r="154">
      <c r="C154" s="79"/>
      <c r="D154" s="79"/>
      <c r="E154" s="79"/>
      <c r="P154" s="79"/>
      <c r="Q154" s="79"/>
      <c r="R154" s="79"/>
      <c r="Y154" s="79"/>
      <c r="AC154" s="130"/>
      <c r="AE154" s="106"/>
    </row>
    <row r="155">
      <c r="C155" s="79"/>
      <c r="D155" s="79"/>
      <c r="E155" s="79"/>
      <c r="P155" s="79"/>
      <c r="Q155" s="79"/>
      <c r="R155" s="79"/>
      <c r="Y155" s="79"/>
      <c r="AC155" s="130"/>
      <c r="AE155" s="106"/>
    </row>
    <row r="156">
      <c r="C156" s="79"/>
      <c r="D156" s="79"/>
      <c r="E156" s="79"/>
      <c r="P156" s="79"/>
      <c r="Q156" s="79"/>
      <c r="R156" s="79"/>
      <c r="Y156" s="79"/>
      <c r="AC156" s="130"/>
      <c r="AE156" s="106"/>
    </row>
    <row r="157">
      <c r="C157" s="79"/>
      <c r="D157" s="79"/>
      <c r="E157" s="79"/>
      <c r="P157" s="79"/>
      <c r="Q157" s="79"/>
      <c r="R157" s="79"/>
      <c r="Y157" s="79"/>
      <c r="AC157" s="130"/>
      <c r="AE157" s="106"/>
    </row>
    <row r="158">
      <c r="C158" s="79"/>
      <c r="D158" s="79"/>
      <c r="E158" s="79"/>
      <c r="P158" s="79"/>
      <c r="Q158" s="79"/>
      <c r="R158" s="79"/>
      <c r="Y158" s="79"/>
      <c r="AC158" s="130"/>
      <c r="AE158" s="106"/>
    </row>
    <row r="159">
      <c r="C159" s="79"/>
      <c r="D159" s="79"/>
      <c r="E159" s="79"/>
      <c r="P159" s="79"/>
      <c r="Q159" s="79"/>
      <c r="R159" s="79"/>
      <c r="Y159" s="79"/>
      <c r="AC159" s="130"/>
      <c r="AE159" s="106"/>
    </row>
    <row r="160">
      <c r="C160" s="79"/>
      <c r="D160" s="79"/>
      <c r="E160" s="79"/>
      <c r="P160" s="79"/>
      <c r="Q160" s="79"/>
      <c r="R160" s="79"/>
      <c r="Y160" s="79"/>
      <c r="AC160" s="130"/>
      <c r="AE160" s="106"/>
    </row>
    <row r="161">
      <c r="C161" s="79"/>
      <c r="D161" s="79"/>
      <c r="E161" s="79"/>
      <c r="P161" s="79"/>
      <c r="Q161" s="79"/>
      <c r="R161" s="79"/>
      <c r="Y161" s="79"/>
      <c r="AC161" s="130"/>
      <c r="AE161" s="106"/>
    </row>
    <row r="162">
      <c r="C162" s="79"/>
      <c r="D162" s="79"/>
      <c r="E162" s="79"/>
      <c r="P162" s="79"/>
      <c r="Q162" s="79"/>
      <c r="R162" s="79"/>
      <c r="Y162" s="79"/>
      <c r="AC162" s="130"/>
      <c r="AE162" s="106"/>
    </row>
    <row r="163">
      <c r="C163" s="79"/>
      <c r="D163" s="79"/>
      <c r="E163" s="79"/>
      <c r="P163" s="79"/>
      <c r="Q163" s="79"/>
      <c r="R163" s="79"/>
      <c r="Y163" s="79"/>
      <c r="AC163" s="130"/>
      <c r="AE163" s="106"/>
    </row>
    <row r="164">
      <c r="C164" s="79"/>
      <c r="D164" s="79"/>
      <c r="E164" s="79"/>
      <c r="P164" s="79"/>
      <c r="Q164" s="79"/>
      <c r="R164" s="79"/>
      <c r="Y164" s="79"/>
      <c r="AC164" s="130"/>
      <c r="AE164" s="106"/>
    </row>
    <row r="165">
      <c r="C165" s="79"/>
      <c r="D165" s="79"/>
      <c r="E165" s="79"/>
      <c r="P165" s="79"/>
      <c r="Q165" s="79"/>
      <c r="R165" s="79"/>
      <c r="Y165" s="79"/>
      <c r="AC165" s="130"/>
      <c r="AE165" s="106"/>
    </row>
    <row r="166">
      <c r="C166" s="79"/>
      <c r="D166" s="79"/>
      <c r="E166" s="79"/>
      <c r="P166" s="79"/>
      <c r="Q166" s="79"/>
      <c r="R166" s="79"/>
      <c r="Y166" s="79"/>
      <c r="AC166" s="130"/>
      <c r="AE166" s="106"/>
    </row>
    <row r="167">
      <c r="C167" s="79"/>
      <c r="D167" s="79"/>
      <c r="E167" s="79"/>
      <c r="P167" s="79"/>
      <c r="Q167" s="79"/>
      <c r="R167" s="79"/>
      <c r="Y167" s="79"/>
      <c r="AC167" s="130"/>
      <c r="AE167" s="106"/>
    </row>
    <row r="168">
      <c r="C168" s="79"/>
      <c r="D168" s="79"/>
      <c r="E168" s="79"/>
      <c r="P168" s="79"/>
      <c r="Q168" s="79"/>
      <c r="R168" s="79"/>
      <c r="Y168" s="79"/>
      <c r="AC168" s="130"/>
      <c r="AE168" s="106"/>
    </row>
    <row r="169">
      <c r="C169" s="79"/>
      <c r="D169" s="79"/>
      <c r="E169" s="79"/>
      <c r="P169" s="79"/>
      <c r="Q169" s="79"/>
      <c r="R169" s="79"/>
      <c r="Y169" s="79"/>
      <c r="AC169" s="130"/>
      <c r="AE169" s="106"/>
    </row>
    <row r="170">
      <c r="C170" s="79"/>
      <c r="D170" s="79"/>
      <c r="E170" s="79"/>
      <c r="P170" s="79"/>
      <c r="Q170" s="79"/>
      <c r="R170" s="79"/>
      <c r="Y170" s="79"/>
      <c r="AC170" s="130"/>
      <c r="AE170" s="106"/>
    </row>
    <row r="171">
      <c r="C171" s="79"/>
      <c r="D171" s="79"/>
      <c r="E171" s="79"/>
      <c r="P171" s="79"/>
      <c r="Q171" s="79"/>
      <c r="R171" s="79"/>
      <c r="Y171" s="79"/>
      <c r="AC171" s="130"/>
      <c r="AE171" s="106"/>
    </row>
    <row r="172">
      <c r="C172" s="79"/>
      <c r="D172" s="79"/>
      <c r="E172" s="79"/>
      <c r="P172" s="79"/>
      <c r="Q172" s="79"/>
      <c r="R172" s="79"/>
      <c r="Y172" s="79"/>
      <c r="AC172" s="130"/>
      <c r="AE172" s="106"/>
    </row>
    <row r="173">
      <c r="C173" s="79"/>
      <c r="D173" s="79"/>
      <c r="E173" s="79"/>
      <c r="P173" s="79"/>
      <c r="Q173" s="79"/>
      <c r="R173" s="79"/>
      <c r="Y173" s="79"/>
      <c r="AC173" s="130"/>
      <c r="AE173" s="106"/>
    </row>
    <row r="174">
      <c r="C174" s="79"/>
      <c r="D174" s="79"/>
      <c r="E174" s="79"/>
      <c r="P174" s="79"/>
      <c r="Q174" s="79"/>
      <c r="R174" s="79"/>
      <c r="Y174" s="79"/>
      <c r="AC174" s="130"/>
      <c r="AE174" s="106"/>
    </row>
    <row r="175">
      <c r="C175" s="79"/>
      <c r="D175" s="79"/>
      <c r="E175" s="79"/>
      <c r="P175" s="79"/>
      <c r="Q175" s="79"/>
      <c r="R175" s="79"/>
      <c r="Y175" s="79"/>
      <c r="AC175" s="130"/>
      <c r="AE175" s="106"/>
    </row>
    <row r="176">
      <c r="C176" s="79"/>
      <c r="D176" s="79"/>
      <c r="E176" s="79"/>
      <c r="P176" s="79"/>
      <c r="Q176" s="79"/>
      <c r="R176" s="79"/>
      <c r="Y176" s="79"/>
      <c r="AC176" s="130"/>
      <c r="AE176" s="106"/>
    </row>
    <row r="177">
      <c r="C177" s="79"/>
      <c r="D177" s="79"/>
      <c r="E177" s="79"/>
      <c r="P177" s="79"/>
      <c r="Q177" s="79"/>
      <c r="R177" s="79"/>
      <c r="Y177" s="79"/>
      <c r="AC177" s="130"/>
      <c r="AE177" s="106"/>
    </row>
    <row r="178">
      <c r="C178" s="79"/>
      <c r="D178" s="79"/>
      <c r="E178" s="79"/>
      <c r="P178" s="79"/>
      <c r="Q178" s="79"/>
      <c r="R178" s="79"/>
      <c r="Y178" s="79"/>
      <c r="AC178" s="130"/>
      <c r="AE178" s="106"/>
    </row>
    <row r="179">
      <c r="C179" s="79"/>
      <c r="D179" s="79"/>
      <c r="E179" s="79"/>
      <c r="P179" s="79"/>
      <c r="Q179" s="79"/>
      <c r="R179" s="79"/>
      <c r="Y179" s="79"/>
      <c r="AC179" s="130"/>
      <c r="AE179" s="106"/>
    </row>
    <row r="180">
      <c r="C180" s="79"/>
      <c r="D180" s="79"/>
      <c r="E180" s="79"/>
      <c r="P180" s="79"/>
      <c r="Q180" s="79"/>
      <c r="R180" s="79"/>
      <c r="Y180" s="79"/>
      <c r="AC180" s="130"/>
      <c r="AE180" s="106"/>
    </row>
    <row r="181">
      <c r="C181" s="79"/>
      <c r="D181" s="79"/>
      <c r="E181" s="79"/>
      <c r="P181" s="79"/>
      <c r="Q181" s="79"/>
      <c r="R181" s="79"/>
      <c r="Y181" s="79"/>
      <c r="AC181" s="130"/>
      <c r="AE181" s="106"/>
    </row>
    <row r="182">
      <c r="C182" s="79"/>
      <c r="D182" s="79"/>
      <c r="E182" s="79"/>
      <c r="P182" s="79"/>
      <c r="Q182" s="79"/>
      <c r="R182" s="79"/>
      <c r="Y182" s="79"/>
      <c r="AC182" s="130"/>
      <c r="AE182" s="106"/>
    </row>
    <row r="183">
      <c r="C183" s="79"/>
      <c r="D183" s="79"/>
      <c r="E183" s="79"/>
      <c r="P183" s="79"/>
      <c r="Q183" s="79"/>
      <c r="R183" s="79"/>
      <c r="Y183" s="79"/>
      <c r="AC183" s="130"/>
      <c r="AE183" s="106"/>
    </row>
    <row r="184">
      <c r="C184" s="79"/>
      <c r="D184" s="79"/>
      <c r="E184" s="79"/>
      <c r="P184" s="79"/>
      <c r="Q184" s="79"/>
      <c r="R184" s="79"/>
      <c r="Y184" s="79"/>
      <c r="AC184" s="130"/>
      <c r="AE184" s="106"/>
    </row>
    <row r="185">
      <c r="C185" s="79"/>
      <c r="D185" s="79"/>
      <c r="E185" s="79"/>
      <c r="P185" s="79"/>
      <c r="Q185" s="79"/>
      <c r="R185" s="79"/>
      <c r="Y185" s="79"/>
      <c r="AC185" s="130"/>
      <c r="AE185" s="106"/>
    </row>
    <row r="186">
      <c r="C186" s="79"/>
      <c r="D186" s="79"/>
      <c r="E186" s="79"/>
      <c r="P186" s="79"/>
      <c r="Q186" s="79"/>
      <c r="R186" s="79"/>
      <c r="Y186" s="79"/>
      <c r="AC186" s="130"/>
      <c r="AE186" s="106"/>
    </row>
    <row r="187">
      <c r="C187" s="79"/>
      <c r="D187" s="79"/>
      <c r="E187" s="79"/>
      <c r="P187" s="79"/>
      <c r="Q187" s="79"/>
      <c r="R187" s="79"/>
      <c r="Y187" s="79"/>
      <c r="AC187" s="130"/>
      <c r="AE187" s="106"/>
    </row>
    <row r="188">
      <c r="C188" s="79"/>
      <c r="D188" s="79"/>
      <c r="E188" s="79"/>
      <c r="P188" s="79"/>
      <c r="Q188" s="79"/>
      <c r="R188" s="79"/>
      <c r="Y188" s="79"/>
      <c r="AC188" s="130"/>
      <c r="AE188" s="106"/>
    </row>
    <row r="189">
      <c r="C189" s="79"/>
      <c r="D189" s="79"/>
      <c r="E189" s="79"/>
      <c r="P189" s="79"/>
      <c r="Q189" s="79"/>
      <c r="R189" s="79"/>
      <c r="Y189" s="79"/>
      <c r="AC189" s="130"/>
      <c r="AE189" s="106"/>
    </row>
    <row r="190">
      <c r="C190" s="79"/>
      <c r="D190" s="79"/>
      <c r="E190" s="79"/>
      <c r="P190" s="79"/>
      <c r="Q190" s="79"/>
      <c r="R190" s="79"/>
      <c r="Y190" s="79"/>
      <c r="AC190" s="130"/>
      <c r="AE190" s="106"/>
    </row>
    <row r="191">
      <c r="C191" s="79"/>
      <c r="D191" s="79"/>
      <c r="E191" s="79"/>
      <c r="P191" s="79"/>
      <c r="Q191" s="79"/>
      <c r="R191" s="79"/>
      <c r="Y191" s="79"/>
      <c r="AC191" s="130"/>
      <c r="AE191" s="106"/>
    </row>
    <row r="192">
      <c r="C192" s="79"/>
      <c r="D192" s="79"/>
      <c r="E192" s="79"/>
      <c r="P192" s="79"/>
      <c r="Q192" s="79"/>
      <c r="R192" s="79"/>
      <c r="Y192" s="79"/>
      <c r="AC192" s="130"/>
      <c r="AE192" s="106"/>
    </row>
    <row r="193">
      <c r="C193" s="79"/>
      <c r="D193" s="79"/>
      <c r="E193" s="79"/>
      <c r="P193" s="79"/>
      <c r="Q193" s="79"/>
      <c r="R193" s="79"/>
      <c r="Y193" s="79"/>
      <c r="AC193" s="130"/>
      <c r="AE193" s="106"/>
    </row>
    <row r="194">
      <c r="C194" s="79"/>
      <c r="D194" s="79"/>
      <c r="E194" s="79"/>
      <c r="P194" s="79"/>
      <c r="Q194" s="79"/>
      <c r="R194" s="79"/>
      <c r="Y194" s="79"/>
      <c r="AC194" s="130"/>
      <c r="AE194" s="106"/>
    </row>
    <row r="195">
      <c r="C195" s="79"/>
      <c r="D195" s="79"/>
      <c r="E195" s="79"/>
      <c r="P195" s="79"/>
      <c r="Q195" s="79"/>
      <c r="R195" s="79"/>
      <c r="Y195" s="79"/>
      <c r="AC195" s="130"/>
      <c r="AE195" s="106"/>
    </row>
    <row r="196">
      <c r="C196" s="79"/>
      <c r="D196" s="79"/>
      <c r="E196" s="79"/>
      <c r="P196" s="79"/>
      <c r="Q196" s="79"/>
      <c r="R196" s="79"/>
      <c r="Y196" s="79"/>
      <c r="AC196" s="130"/>
      <c r="AE196" s="106"/>
    </row>
    <row r="197">
      <c r="C197" s="79"/>
      <c r="D197" s="79"/>
      <c r="E197" s="79"/>
      <c r="P197" s="79"/>
      <c r="Q197" s="79"/>
      <c r="R197" s="79"/>
      <c r="Y197" s="79"/>
      <c r="AC197" s="130"/>
      <c r="AE197" s="106"/>
    </row>
    <row r="198">
      <c r="C198" s="79"/>
      <c r="D198" s="79"/>
      <c r="E198" s="79"/>
      <c r="P198" s="79"/>
      <c r="Q198" s="79"/>
      <c r="R198" s="79"/>
      <c r="Y198" s="79"/>
      <c r="AC198" s="130"/>
      <c r="AE198" s="106"/>
    </row>
    <row r="199">
      <c r="C199" s="79"/>
      <c r="D199" s="79"/>
      <c r="E199" s="79"/>
      <c r="P199" s="79"/>
      <c r="Q199" s="79"/>
      <c r="R199" s="79"/>
      <c r="Y199" s="79"/>
      <c r="AC199" s="130"/>
      <c r="AE199" s="106"/>
    </row>
    <row r="200">
      <c r="C200" s="79"/>
      <c r="D200" s="79"/>
      <c r="E200" s="79"/>
      <c r="P200" s="79"/>
      <c r="Q200" s="79"/>
      <c r="R200" s="79"/>
      <c r="Y200" s="79"/>
      <c r="AC200" s="130"/>
      <c r="AE200" s="106"/>
    </row>
    <row r="201">
      <c r="C201" s="79"/>
      <c r="D201" s="79"/>
      <c r="E201" s="79"/>
      <c r="P201" s="79"/>
      <c r="Q201" s="79"/>
      <c r="R201" s="79"/>
      <c r="Y201" s="79"/>
      <c r="AC201" s="130"/>
      <c r="AE201" s="106"/>
    </row>
    <row r="202">
      <c r="C202" s="79"/>
      <c r="D202" s="79"/>
      <c r="E202" s="79"/>
      <c r="P202" s="79"/>
      <c r="Q202" s="79"/>
      <c r="R202" s="79"/>
      <c r="Y202" s="79"/>
      <c r="AC202" s="130"/>
      <c r="AE202" s="106"/>
    </row>
    <row r="203">
      <c r="C203" s="79"/>
      <c r="D203" s="79"/>
      <c r="E203" s="79"/>
      <c r="P203" s="79"/>
      <c r="Q203" s="79"/>
      <c r="R203" s="79"/>
      <c r="Y203" s="79"/>
      <c r="AC203" s="130"/>
      <c r="AE203" s="106"/>
    </row>
    <row r="204">
      <c r="C204" s="79"/>
      <c r="D204" s="79"/>
      <c r="E204" s="79"/>
      <c r="P204" s="79"/>
      <c r="Q204" s="79"/>
      <c r="R204" s="79"/>
      <c r="Y204" s="79"/>
      <c r="AC204" s="130"/>
      <c r="AE204" s="106"/>
    </row>
    <row r="205">
      <c r="C205" s="79"/>
      <c r="D205" s="79"/>
      <c r="E205" s="79"/>
      <c r="P205" s="79"/>
      <c r="Q205" s="79"/>
      <c r="R205" s="79"/>
      <c r="Y205" s="79"/>
      <c r="AC205" s="130"/>
      <c r="AE205" s="106"/>
    </row>
    <row r="206">
      <c r="C206" s="79"/>
      <c r="D206" s="79"/>
      <c r="E206" s="79"/>
      <c r="P206" s="79"/>
      <c r="Q206" s="79"/>
      <c r="R206" s="79"/>
      <c r="Y206" s="79"/>
      <c r="AC206" s="130"/>
      <c r="AE206" s="106"/>
    </row>
    <row r="207">
      <c r="C207" s="79"/>
      <c r="D207" s="79"/>
      <c r="E207" s="79"/>
      <c r="P207" s="79"/>
      <c r="Q207" s="79"/>
      <c r="R207" s="79"/>
      <c r="Y207" s="79"/>
      <c r="AC207" s="130"/>
      <c r="AE207" s="106"/>
    </row>
    <row r="208">
      <c r="C208" s="79"/>
      <c r="D208" s="79"/>
      <c r="E208" s="79"/>
      <c r="P208" s="79"/>
      <c r="Q208" s="79"/>
      <c r="R208" s="79"/>
      <c r="Y208" s="79"/>
      <c r="AC208" s="130"/>
      <c r="AE208" s="106"/>
    </row>
    <row r="209">
      <c r="C209" s="79"/>
      <c r="D209" s="79"/>
      <c r="E209" s="79"/>
      <c r="P209" s="79"/>
      <c r="Q209" s="79"/>
      <c r="R209" s="79"/>
      <c r="Y209" s="79"/>
      <c r="AC209" s="130"/>
      <c r="AE209" s="106"/>
    </row>
    <row r="210">
      <c r="C210" s="79"/>
      <c r="D210" s="79"/>
      <c r="E210" s="79"/>
      <c r="P210" s="79"/>
      <c r="Q210" s="79"/>
      <c r="R210" s="79"/>
      <c r="Y210" s="79"/>
      <c r="AC210" s="130"/>
      <c r="AE210" s="106"/>
    </row>
    <row r="211">
      <c r="C211" s="79"/>
      <c r="D211" s="79"/>
      <c r="E211" s="79"/>
      <c r="P211" s="79"/>
      <c r="Q211" s="79"/>
      <c r="R211" s="79"/>
      <c r="Y211" s="79"/>
      <c r="AC211" s="130"/>
      <c r="AE211" s="106"/>
    </row>
    <row r="212">
      <c r="C212" s="79"/>
      <c r="D212" s="79"/>
      <c r="E212" s="79"/>
      <c r="P212" s="79"/>
      <c r="Q212" s="79"/>
      <c r="R212" s="79"/>
      <c r="Y212" s="79"/>
      <c r="AC212" s="130"/>
      <c r="AE212" s="106"/>
    </row>
    <row r="213">
      <c r="C213" s="79"/>
      <c r="D213" s="79"/>
      <c r="E213" s="79"/>
      <c r="P213" s="79"/>
      <c r="Q213" s="79"/>
      <c r="R213" s="79"/>
      <c r="Y213" s="79"/>
      <c r="AC213" s="130"/>
      <c r="AE213" s="106"/>
    </row>
    <row r="214">
      <c r="C214" s="79"/>
      <c r="D214" s="79"/>
      <c r="E214" s="79"/>
      <c r="P214" s="79"/>
      <c r="Q214" s="79"/>
      <c r="R214" s="79"/>
      <c r="Y214" s="79"/>
      <c r="AC214" s="130"/>
      <c r="AE214" s="106"/>
    </row>
    <row r="215">
      <c r="C215" s="79"/>
      <c r="D215" s="79"/>
      <c r="E215" s="79"/>
      <c r="P215" s="79"/>
      <c r="Q215" s="79"/>
      <c r="R215" s="79"/>
      <c r="Y215" s="79"/>
      <c r="AC215" s="130"/>
      <c r="AE215" s="106"/>
    </row>
    <row r="216">
      <c r="C216" s="79"/>
      <c r="D216" s="79"/>
      <c r="E216" s="79"/>
      <c r="P216" s="79"/>
      <c r="Q216" s="79"/>
      <c r="R216" s="79"/>
      <c r="Y216" s="79"/>
      <c r="AC216" s="130"/>
      <c r="AE216" s="106"/>
    </row>
    <row r="217">
      <c r="C217" s="79"/>
      <c r="D217" s="79"/>
      <c r="E217" s="79"/>
      <c r="P217" s="79"/>
      <c r="Q217" s="79"/>
      <c r="R217" s="79"/>
      <c r="Y217" s="79"/>
      <c r="AC217" s="130"/>
      <c r="AE217" s="106"/>
    </row>
    <row r="218">
      <c r="C218" s="79"/>
      <c r="D218" s="79"/>
      <c r="E218" s="79"/>
      <c r="P218" s="79"/>
      <c r="Q218" s="79"/>
      <c r="R218" s="79"/>
      <c r="Y218" s="79"/>
      <c r="AC218" s="130"/>
      <c r="AE218" s="106"/>
    </row>
    <row r="219">
      <c r="C219" s="79"/>
      <c r="D219" s="79"/>
      <c r="E219" s="79"/>
      <c r="P219" s="79"/>
      <c r="Q219" s="79"/>
      <c r="R219" s="79"/>
      <c r="Y219" s="79"/>
      <c r="AC219" s="130"/>
      <c r="AE219" s="106"/>
    </row>
    <row r="220">
      <c r="C220" s="79"/>
      <c r="D220" s="79"/>
      <c r="E220" s="79"/>
      <c r="P220" s="79"/>
      <c r="Q220" s="79"/>
      <c r="R220" s="79"/>
      <c r="Y220" s="79"/>
      <c r="AC220" s="130"/>
      <c r="AE220" s="106"/>
    </row>
    <row r="221">
      <c r="C221" s="79"/>
      <c r="D221" s="79"/>
      <c r="E221" s="79"/>
      <c r="P221" s="79"/>
      <c r="Q221" s="79"/>
      <c r="R221" s="79"/>
      <c r="Y221" s="79"/>
      <c r="AC221" s="130"/>
      <c r="AE221" s="106"/>
    </row>
    <row r="222">
      <c r="C222" s="79"/>
      <c r="D222" s="79"/>
      <c r="E222" s="79"/>
      <c r="P222" s="79"/>
      <c r="Q222" s="79"/>
      <c r="R222" s="79"/>
      <c r="Y222" s="79"/>
      <c r="AC222" s="130"/>
      <c r="AE222" s="106"/>
    </row>
    <row r="223">
      <c r="C223" s="79"/>
      <c r="D223" s="79"/>
      <c r="E223" s="79"/>
      <c r="P223" s="79"/>
      <c r="Q223" s="79"/>
      <c r="R223" s="79"/>
      <c r="Y223" s="79"/>
      <c r="AC223" s="130"/>
      <c r="AE223" s="106"/>
    </row>
    <row r="224">
      <c r="C224" s="79"/>
      <c r="D224" s="79"/>
      <c r="E224" s="79"/>
      <c r="P224" s="79"/>
      <c r="Q224" s="79"/>
      <c r="R224" s="79"/>
      <c r="Y224" s="79"/>
      <c r="AC224" s="130"/>
      <c r="AE224" s="106"/>
    </row>
    <row r="225">
      <c r="C225" s="79"/>
      <c r="D225" s="79"/>
      <c r="E225" s="79"/>
      <c r="P225" s="79"/>
      <c r="Q225" s="79"/>
      <c r="R225" s="79"/>
      <c r="Y225" s="79"/>
      <c r="AC225" s="130"/>
      <c r="AE225" s="106"/>
    </row>
    <row r="226">
      <c r="C226" s="79"/>
      <c r="D226" s="79"/>
      <c r="E226" s="79"/>
      <c r="P226" s="79"/>
      <c r="Q226" s="79"/>
      <c r="R226" s="79"/>
      <c r="Y226" s="79"/>
      <c r="AC226" s="130"/>
      <c r="AE226" s="106"/>
    </row>
    <row r="227">
      <c r="C227" s="79"/>
      <c r="D227" s="79"/>
      <c r="E227" s="79"/>
      <c r="P227" s="79"/>
      <c r="Q227" s="79"/>
      <c r="R227" s="79"/>
      <c r="Y227" s="79"/>
      <c r="AC227" s="130"/>
      <c r="AE227" s="106"/>
    </row>
    <row r="228">
      <c r="C228" s="79"/>
      <c r="D228" s="79"/>
      <c r="E228" s="79"/>
      <c r="P228" s="79"/>
      <c r="Q228" s="79"/>
      <c r="R228" s="79"/>
      <c r="Y228" s="79"/>
      <c r="AC228" s="130"/>
      <c r="AE228" s="106"/>
    </row>
    <row r="229">
      <c r="C229" s="79"/>
      <c r="D229" s="79"/>
      <c r="E229" s="79"/>
      <c r="P229" s="79"/>
      <c r="Q229" s="79"/>
      <c r="R229" s="79"/>
      <c r="Y229" s="79"/>
      <c r="AC229" s="130"/>
      <c r="AE229" s="106"/>
    </row>
    <row r="230">
      <c r="C230" s="79"/>
      <c r="D230" s="79"/>
      <c r="E230" s="79"/>
      <c r="P230" s="79"/>
      <c r="Q230" s="79"/>
      <c r="R230" s="79"/>
      <c r="Y230" s="79"/>
      <c r="AC230" s="130"/>
      <c r="AE230" s="106"/>
    </row>
    <row r="231">
      <c r="C231" s="79"/>
      <c r="D231" s="79"/>
      <c r="E231" s="79"/>
      <c r="P231" s="79"/>
      <c r="Q231" s="79"/>
      <c r="R231" s="79"/>
      <c r="Y231" s="79"/>
      <c r="AC231" s="130"/>
      <c r="AE231" s="106"/>
    </row>
    <row r="232">
      <c r="C232" s="79"/>
      <c r="D232" s="79"/>
      <c r="E232" s="79"/>
      <c r="P232" s="79"/>
      <c r="Q232" s="79"/>
      <c r="R232" s="79"/>
      <c r="Y232" s="79"/>
      <c r="AC232" s="130"/>
      <c r="AE232" s="106"/>
    </row>
    <row r="233">
      <c r="C233" s="79"/>
      <c r="D233" s="79"/>
      <c r="E233" s="79"/>
      <c r="P233" s="79"/>
      <c r="Q233" s="79"/>
      <c r="R233" s="79"/>
      <c r="Y233" s="79"/>
      <c r="AC233" s="130"/>
      <c r="AE233" s="106"/>
    </row>
    <row r="234">
      <c r="C234" s="79"/>
      <c r="D234" s="79"/>
      <c r="E234" s="79"/>
      <c r="P234" s="79"/>
      <c r="Q234" s="79"/>
      <c r="R234" s="79"/>
      <c r="Y234" s="79"/>
      <c r="AC234" s="130"/>
      <c r="AE234" s="106"/>
    </row>
    <row r="235">
      <c r="C235" s="79"/>
      <c r="D235" s="79"/>
      <c r="E235" s="79"/>
      <c r="P235" s="79"/>
      <c r="Q235" s="79"/>
      <c r="R235" s="79"/>
      <c r="Y235" s="79"/>
      <c r="AC235" s="130"/>
      <c r="AE235" s="106"/>
    </row>
    <row r="236">
      <c r="C236" s="79"/>
      <c r="D236" s="79"/>
      <c r="E236" s="79"/>
      <c r="P236" s="79"/>
      <c r="Q236" s="79"/>
      <c r="R236" s="79"/>
      <c r="Y236" s="79"/>
      <c r="AC236" s="130"/>
      <c r="AE236" s="106"/>
    </row>
    <row r="237">
      <c r="C237" s="79"/>
      <c r="D237" s="79"/>
      <c r="E237" s="79"/>
      <c r="P237" s="79"/>
      <c r="Q237" s="79"/>
      <c r="R237" s="79"/>
      <c r="Y237" s="79"/>
      <c r="AC237" s="130"/>
      <c r="AE237" s="106"/>
    </row>
    <row r="238">
      <c r="C238" s="79"/>
      <c r="D238" s="79"/>
      <c r="E238" s="79"/>
      <c r="P238" s="79"/>
      <c r="Q238" s="79"/>
      <c r="R238" s="79"/>
      <c r="Y238" s="79"/>
      <c r="AC238" s="130"/>
      <c r="AE238" s="106"/>
    </row>
    <row r="239">
      <c r="C239" s="79"/>
      <c r="D239" s="79"/>
      <c r="E239" s="79"/>
      <c r="P239" s="79"/>
      <c r="Q239" s="79"/>
      <c r="R239" s="79"/>
      <c r="Y239" s="79"/>
      <c r="AC239" s="130"/>
      <c r="AE239" s="106"/>
    </row>
    <row r="240">
      <c r="C240" s="79"/>
      <c r="D240" s="79"/>
      <c r="E240" s="79"/>
      <c r="P240" s="79"/>
      <c r="Q240" s="79"/>
      <c r="R240" s="79"/>
      <c r="Y240" s="79"/>
      <c r="AC240" s="130"/>
      <c r="AE240" s="106"/>
    </row>
    <row r="241">
      <c r="C241" s="79"/>
      <c r="D241" s="79"/>
      <c r="E241" s="79"/>
      <c r="P241" s="79"/>
      <c r="Q241" s="79"/>
      <c r="R241" s="79"/>
      <c r="Y241" s="79"/>
      <c r="AC241" s="130"/>
      <c r="AE241" s="106"/>
    </row>
    <row r="242">
      <c r="C242" s="79"/>
      <c r="D242" s="79"/>
      <c r="E242" s="79"/>
      <c r="P242" s="79"/>
      <c r="Q242" s="79"/>
      <c r="R242" s="79"/>
      <c r="Y242" s="79"/>
      <c r="AC242" s="130"/>
      <c r="AE242" s="106"/>
    </row>
    <row r="243">
      <c r="C243" s="79"/>
      <c r="D243" s="79"/>
      <c r="E243" s="79"/>
      <c r="P243" s="79"/>
      <c r="Q243" s="79"/>
      <c r="R243" s="79"/>
      <c r="Y243" s="79"/>
      <c r="AC243" s="130"/>
      <c r="AE243" s="106"/>
    </row>
    <row r="244">
      <c r="C244" s="79"/>
      <c r="D244" s="79"/>
      <c r="E244" s="79"/>
      <c r="P244" s="79"/>
      <c r="Q244" s="79"/>
      <c r="R244" s="79"/>
      <c r="Y244" s="79"/>
      <c r="AC244" s="130"/>
      <c r="AE244" s="106"/>
    </row>
    <row r="245">
      <c r="C245" s="79"/>
      <c r="D245" s="79"/>
      <c r="E245" s="79"/>
      <c r="P245" s="79"/>
      <c r="Q245" s="79"/>
      <c r="R245" s="79"/>
      <c r="Y245" s="79"/>
      <c r="AC245" s="130"/>
      <c r="AE245" s="106"/>
    </row>
    <row r="246">
      <c r="C246" s="79"/>
      <c r="D246" s="79"/>
      <c r="E246" s="79"/>
      <c r="P246" s="79"/>
      <c r="Q246" s="79"/>
      <c r="R246" s="79"/>
      <c r="Y246" s="79"/>
      <c r="AC246" s="130"/>
      <c r="AE246" s="106"/>
    </row>
    <row r="247">
      <c r="C247" s="79"/>
      <c r="D247" s="79"/>
      <c r="E247" s="79"/>
      <c r="P247" s="79"/>
      <c r="Q247" s="79"/>
      <c r="R247" s="79"/>
      <c r="Y247" s="79"/>
      <c r="AC247" s="130"/>
      <c r="AE247" s="106"/>
    </row>
    <row r="248">
      <c r="C248" s="79"/>
      <c r="D248" s="79"/>
      <c r="E248" s="79"/>
      <c r="P248" s="79"/>
      <c r="Q248" s="79"/>
      <c r="R248" s="79"/>
      <c r="Y248" s="79"/>
      <c r="AC248" s="130"/>
      <c r="AE248" s="106"/>
    </row>
    <row r="249">
      <c r="C249" s="79"/>
      <c r="D249" s="79"/>
      <c r="E249" s="79"/>
      <c r="P249" s="79"/>
      <c r="Q249" s="79"/>
      <c r="R249" s="79"/>
      <c r="Y249" s="79"/>
      <c r="AC249" s="130"/>
      <c r="AE249" s="106"/>
    </row>
    <row r="250">
      <c r="C250" s="79"/>
      <c r="D250" s="79"/>
      <c r="E250" s="79"/>
      <c r="P250" s="79"/>
      <c r="Q250" s="79"/>
      <c r="R250" s="79"/>
      <c r="Y250" s="79"/>
      <c r="AC250" s="130"/>
      <c r="AE250" s="106"/>
    </row>
    <row r="251">
      <c r="C251" s="79"/>
      <c r="D251" s="79"/>
      <c r="E251" s="79"/>
      <c r="P251" s="79"/>
      <c r="Q251" s="79"/>
      <c r="R251" s="79"/>
      <c r="Y251" s="79"/>
      <c r="AC251" s="130"/>
      <c r="AE251" s="106"/>
    </row>
    <row r="252">
      <c r="C252" s="79"/>
      <c r="D252" s="79"/>
      <c r="E252" s="79"/>
      <c r="P252" s="79"/>
      <c r="Q252" s="79"/>
      <c r="R252" s="79"/>
      <c r="Y252" s="79"/>
      <c r="AC252" s="130"/>
      <c r="AE252" s="106"/>
    </row>
    <row r="253">
      <c r="C253" s="79"/>
      <c r="D253" s="79"/>
      <c r="E253" s="79"/>
      <c r="P253" s="79"/>
      <c r="Q253" s="79"/>
      <c r="R253" s="79"/>
      <c r="Y253" s="79"/>
      <c r="AC253" s="130"/>
      <c r="AE253" s="106"/>
    </row>
    <row r="254">
      <c r="C254" s="79"/>
      <c r="D254" s="79"/>
      <c r="E254" s="79"/>
      <c r="P254" s="79"/>
      <c r="Q254" s="79"/>
      <c r="R254" s="79"/>
      <c r="Y254" s="79"/>
      <c r="AC254" s="130"/>
      <c r="AE254" s="106"/>
    </row>
    <row r="255">
      <c r="C255" s="79"/>
      <c r="D255" s="79"/>
      <c r="E255" s="79"/>
      <c r="P255" s="79"/>
      <c r="Q255" s="79"/>
      <c r="R255" s="79"/>
      <c r="Y255" s="79"/>
      <c r="AC255" s="130"/>
      <c r="AE255" s="106"/>
    </row>
    <row r="256">
      <c r="C256" s="79"/>
      <c r="D256" s="79"/>
      <c r="E256" s="79"/>
      <c r="P256" s="79"/>
      <c r="Q256" s="79"/>
      <c r="R256" s="79"/>
      <c r="Y256" s="79"/>
      <c r="AC256" s="130"/>
      <c r="AE256" s="106"/>
    </row>
    <row r="257">
      <c r="C257" s="79"/>
      <c r="D257" s="79"/>
      <c r="E257" s="79"/>
      <c r="P257" s="79"/>
      <c r="Q257" s="79"/>
      <c r="R257" s="79"/>
      <c r="Y257" s="79"/>
      <c r="AC257" s="130"/>
      <c r="AE257" s="106"/>
    </row>
    <row r="258">
      <c r="C258" s="79"/>
      <c r="D258" s="79"/>
      <c r="E258" s="79"/>
      <c r="P258" s="79"/>
      <c r="Q258" s="79"/>
      <c r="R258" s="79"/>
      <c r="Y258" s="79"/>
      <c r="AC258" s="130"/>
      <c r="AE258" s="106"/>
    </row>
    <row r="259">
      <c r="C259" s="79"/>
      <c r="D259" s="79"/>
      <c r="E259" s="79"/>
      <c r="P259" s="79"/>
      <c r="Q259" s="79"/>
      <c r="R259" s="79"/>
      <c r="Y259" s="79"/>
      <c r="AC259" s="130"/>
      <c r="AE259" s="106"/>
    </row>
    <row r="260">
      <c r="C260" s="79"/>
      <c r="D260" s="79"/>
      <c r="E260" s="79"/>
      <c r="P260" s="79"/>
      <c r="Q260" s="79"/>
      <c r="R260" s="79"/>
      <c r="Y260" s="79"/>
      <c r="AC260" s="130"/>
      <c r="AE260" s="106"/>
    </row>
    <row r="261">
      <c r="C261" s="79"/>
      <c r="D261" s="79"/>
      <c r="E261" s="79"/>
      <c r="P261" s="79"/>
      <c r="Q261" s="79"/>
      <c r="R261" s="79"/>
      <c r="Y261" s="79"/>
      <c r="AC261" s="130"/>
      <c r="AE261" s="106"/>
    </row>
    <row r="262">
      <c r="C262" s="79"/>
      <c r="D262" s="79"/>
      <c r="E262" s="79"/>
      <c r="P262" s="79"/>
      <c r="Q262" s="79"/>
      <c r="R262" s="79"/>
      <c r="Y262" s="79"/>
      <c r="AC262" s="130"/>
      <c r="AE262" s="106"/>
    </row>
    <row r="263">
      <c r="C263" s="79"/>
      <c r="D263" s="79"/>
      <c r="E263" s="79"/>
      <c r="P263" s="79"/>
      <c r="Q263" s="79"/>
      <c r="R263" s="79"/>
      <c r="Y263" s="79"/>
      <c r="AC263" s="130"/>
      <c r="AE263" s="106"/>
    </row>
    <row r="264">
      <c r="C264" s="79"/>
      <c r="D264" s="79"/>
      <c r="E264" s="79"/>
      <c r="P264" s="79"/>
      <c r="Q264" s="79"/>
      <c r="R264" s="79"/>
      <c r="Y264" s="79"/>
      <c r="AC264" s="130"/>
      <c r="AE264" s="106"/>
    </row>
    <row r="265">
      <c r="C265" s="79"/>
      <c r="D265" s="79"/>
      <c r="E265" s="79"/>
      <c r="P265" s="79"/>
      <c r="Q265" s="79"/>
      <c r="R265" s="79"/>
      <c r="Y265" s="79"/>
      <c r="AC265" s="130"/>
      <c r="AE265" s="106"/>
    </row>
    <row r="266">
      <c r="C266" s="79"/>
      <c r="D266" s="79"/>
      <c r="E266" s="79"/>
      <c r="P266" s="79"/>
      <c r="Q266" s="79"/>
      <c r="R266" s="79"/>
      <c r="Y266" s="79"/>
      <c r="AC266" s="130"/>
      <c r="AE266" s="106"/>
    </row>
    <row r="267">
      <c r="C267" s="79"/>
      <c r="D267" s="79"/>
      <c r="E267" s="79"/>
      <c r="P267" s="79"/>
      <c r="Q267" s="79"/>
      <c r="R267" s="79"/>
      <c r="Y267" s="79"/>
      <c r="AC267" s="130"/>
      <c r="AE267" s="106"/>
    </row>
    <row r="268">
      <c r="C268" s="79"/>
      <c r="D268" s="79"/>
      <c r="E268" s="79"/>
      <c r="P268" s="79"/>
      <c r="Q268" s="79"/>
      <c r="R268" s="79"/>
      <c r="Y268" s="79"/>
      <c r="AC268" s="130"/>
      <c r="AE268" s="106"/>
    </row>
    <row r="269">
      <c r="C269" s="79"/>
      <c r="D269" s="79"/>
      <c r="E269" s="79"/>
      <c r="P269" s="79"/>
      <c r="Q269" s="79"/>
      <c r="R269" s="79"/>
      <c r="Y269" s="79"/>
      <c r="AC269" s="130"/>
      <c r="AE269" s="106"/>
    </row>
    <row r="270">
      <c r="C270" s="79"/>
      <c r="D270" s="79"/>
      <c r="E270" s="79"/>
      <c r="P270" s="79"/>
      <c r="Q270" s="79"/>
      <c r="R270" s="79"/>
      <c r="Y270" s="79"/>
      <c r="AC270" s="130"/>
      <c r="AE270" s="106"/>
    </row>
    <row r="271">
      <c r="C271" s="79"/>
      <c r="D271" s="79"/>
      <c r="E271" s="79"/>
      <c r="P271" s="79"/>
      <c r="Q271" s="79"/>
      <c r="R271" s="79"/>
      <c r="Y271" s="79"/>
      <c r="AC271" s="130"/>
      <c r="AE271" s="106"/>
    </row>
    <row r="272">
      <c r="C272" s="79"/>
      <c r="D272" s="79"/>
      <c r="E272" s="79"/>
      <c r="P272" s="79"/>
      <c r="Q272" s="79"/>
      <c r="R272" s="79"/>
      <c r="Y272" s="79"/>
      <c r="AC272" s="130"/>
      <c r="AE272" s="106"/>
    </row>
    <row r="273">
      <c r="C273" s="79"/>
      <c r="D273" s="79"/>
      <c r="E273" s="79"/>
      <c r="P273" s="79"/>
      <c r="Q273" s="79"/>
      <c r="R273" s="79"/>
      <c r="Y273" s="79"/>
      <c r="AC273" s="130"/>
      <c r="AE273" s="106"/>
    </row>
    <row r="274">
      <c r="C274" s="79"/>
      <c r="D274" s="79"/>
      <c r="E274" s="79"/>
      <c r="P274" s="79"/>
      <c r="Q274" s="79"/>
      <c r="R274" s="79"/>
      <c r="Y274" s="79"/>
      <c r="AC274" s="130"/>
      <c r="AE274" s="106"/>
    </row>
    <row r="275">
      <c r="C275" s="79"/>
      <c r="D275" s="79"/>
      <c r="E275" s="79"/>
      <c r="P275" s="79"/>
      <c r="Q275" s="79"/>
      <c r="R275" s="79"/>
      <c r="Y275" s="79"/>
      <c r="AC275" s="130"/>
      <c r="AE275" s="106"/>
    </row>
    <row r="276">
      <c r="C276" s="79"/>
      <c r="D276" s="79"/>
      <c r="E276" s="79"/>
      <c r="P276" s="79"/>
      <c r="Q276" s="79"/>
      <c r="R276" s="79"/>
      <c r="Y276" s="79"/>
      <c r="AC276" s="130"/>
      <c r="AE276" s="106"/>
    </row>
    <row r="277">
      <c r="C277" s="79"/>
      <c r="D277" s="79"/>
      <c r="E277" s="79"/>
      <c r="P277" s="79"/>
      <c r="Q277" s="79"/>
      <c r="R277" s="79"/>
      <c r="Y277" s="79"/>
      <c r="AC277" s="130"/>
      <c r="AE277" s="106"/>
    </row>
    <row r="278">
      <c r="C278" s="79"/>
      <c r="D278" s="79"/>
      <c r="E278" s="79"/>
      <c r="P278" s="79"/>
      <c r="Q278" s="79"/>
      <c r="R278" s="79"/>
      <c r="Y278" s="79"/>
      <c r="AC278" s="130"/>
      <c r="AE278" s="106"/>
    </row>
    <row r="279">
      <c r="C279" s="79"/>
      <c r="D279" s="79"/>
      <c r="E279" s="79"/>
      <c r="P279" s="79"/>
      <c r="Q279" s="79"/>
      <c r="R279" s="79"/>
      <c r="Y279" s="79"/>
      <c r="AC279" s="130"/>
      <c r="AE279" s="106"/>
    </row>
    <row r="280">
      <c r="C280" s="79"/>
      <c r="D280" s="79"/>
      <c r="E280" s="79"/>
      <c r="P280" s="79"/>
      <c r="Q280" s="79"/>
      <c r="R280" s="79"/>
      <c r="Y280" s="79"/>
      <c r="AC280" s="130"/>
      <c r="AE280" s="106"/>
    </row>
    <row r="281">
      <c r="C281" s="79"/>
      <c r="D281" s="79"/>
      <c r="E281" s="79"/>
      <c r="P281" s="79"/>
      <c r="Q281" s="79"/>
      <c r="R281" s="79"/>
      <c r="Y281" s="79"/>
      <c r="AC281" s="130"/>
      <c r="AE281" s="106"/>
    </row>
    <row r="282">
      <c r="C282" s="79"/>
      <c r="D282" s="79"/>
      <c r="E282" s="79"/>
      <c r="P282" s="79"/>
      <c r="Q282" s="79"/>
      <c r="R282" s="79"/>
      <c r="Y282" s="79"/>
      <c r="AC282" s="130"/>
      <c r="AE282" s="106"/>
    </row>
    <row r="283">
      <c r="C283" s="79"/>
      <c r="D283" s="79"/>
      <c r="E283" s="79"/>
      <c r="P283" s="79"/>
      <c r="Q283" s="79"/>
      <c r="R283" s="79"/>
      <c r="Y283" s="79"/>
      <c r="AC283" s="130"/>
      <c r="AE283" s="106"/>
    </row>
    <row r="284">
      <c r="C284" s="79"/>
      <c r="D284" s="79"/>
      <c r="E284" s="79"/>
      <c r="P284" s="79"/>
      <c r="Q284" s="79"/>
      <c r="R284" s="79"/>
      <c r="Y284" s="79"/>
      <c r="AC284" s="130"/>
      <c r="AE284" s="106"/>
    </row>
    <row r="285">
      <c r="C285" s="79"/>
      <c r="D285" s="79"/>
      <c r="E285" s="79"/>
      <c r="P285" s="79"/>
      <c r="Q285" s="79"/>
      <c r="R285" s="79"/>
      <c r="Y285" s="79"/>
      <c r="AC285" s="130"/>
      <c r="AE285" s="106"/>
    </row>
    <row r="286">
      <c r="C286" s="79"/>
      <c r="D286" s="79"/>
      <c r="E286" s="79"/>
      <c r="P286" s="79"/>
      <c r="Q286" s="79"/>
      <c r="R286" s="79"/>
      <c r="Y286" s="79"/>
      <c r="AC286" s="130"/>
      <c r="AE286" s="106"/>
    </row>
    <row r="287">
      <c r="C287" s="79"/>
      <c r="D287" s="79"/>
      <c r="E287" s="79"/>
      <c r="P287" s="79"/>
      <c r="Q287" s="79"/>
      <c r="R287" s="79"/>
      <c r="Y287" s="79"/>
      <c r="AC287" s="130"/>
      <c r="AE287" s="106"/>
    </row>
    <row r="288">
      <c r="C288" s="79"/>
      <c r="D288" s="79"/>
      <c r="E288" s="79"/>
      <c r="P288" s="79"/>
      <c r="Q288" s="79"/>
      <c r="R288" s="79"/>
      <c r="Y288" s="79"/>
      <c r="AC288" s="130"/>
      <c r="AE288" s="106"/>
    </row>
    <row r="289">
      <c r="C289" s="79"/>
      <c r="D289" s="79"/>
      <c r="E289" s="79"/>
      <c r="P289" s="79"/>
      <c r="Q289" s="79"/>
      <c r="R289" s="79"/>
      <c r="Y289" s="79"/>
      <c r="AC289" s="130"/>
      <c r="AE289" s="106"/>
    </row>
    <row r="290">
      <c r="C290" s="79"/>
      <c r="D290" s="79"/>
      <c r="E290" s="79"/>
      <c r="P290" s="79"/>
      <c r="Q290" s="79"/>
      <c r="R290" s="79"/>
      <c r="Y290" s="79"/>
      <c r="AC290" s="130"/>
      <c r="AE290" s="106"/>
    </row>
    <row r="291">
      <c r="C291" s="79"/>
      <c r="D291" s="79"/>
      <c r="E291" s="79"/>
      <c r="P291" s="79"/>
      <c r="Q291" s="79"/>
      <c r="R291" s="79"/>
      <c r="Y291" s="79"/>
      <c r="AC291" s="130"/>
      <c r="AE291" s="106"/>
    </row>
    <row r="292">
      <c r="C292" s="79"/>
      <c r="D292" s="79"/>
      <c r="E292" s="79"/>
      <c r="P292" s="79"/>
      <c r="Q292" s="79"/>
      <c r="R292" s="79"/>
      <c r="Y292" s="79"/>
      <c r="AC292" s="130"/>
      <c r="AE292" s="106"/>
    </row>
    <row r="293">
      <c r="C293" s="79"/>
      <c r="D293" s="79"/>
      <c r="E293" s="79"/>
      <c r="P293" s="79"/>
      <c r="Q293" s="79"/>
      <c r="R293" s="79"/>
      <c r="Y293" s="79"/>
      <c r="AC293" s="130"/>
      <c r="AE293" s="106"/>
    </row>
    <row r="294">
      <c r="C294" s="79"/>
      <c r="D294" s="79"/>
      <c r="E294" s="79"/>
      <c r="P294" s="79"/>
      <c r="Q294" s="79"/>
      <c r="R294" s="79"/>
      <c r="Y294" s="79"/>
      <c r="AC294" s="130"/>
      <c r="AE294" s="106"/>
    </row>
    <row r="295">
      <c r="C295" s="79"/>
      <c r="D295" s="79"/>
      <c r="E295" s="79"/>
      <c r="P295" s="79"/>
      <c r="Q295" s="79"/>
      <c r="R295" s="79"/>
      <c r="Y295" s="79"/>
      <c r="AC295" s="130"/>
      <c r="AE295" s="106"/>
    </row>
    <row r="296">
      <c r="C296" s="79"/>
      <c r="D296" s="79"/>
      <c r="E296" s="79"/>
      <c r="P296" s="79"/>
      <c r="Q296" s="79"/>
      <c r="R296" s="79"/>
      <c r="Y296" s="79"/>
      <c r="AC296" s="130"/>
      <c r="AE296" s="106"/>
    </row>
    <row r="297">
      <c r="C297" s="79"/>
      <c r="D297" s="79"/>
      <c r="E297" s="79"/>
      <c r="P297" s="79"/>
      <c r="Q297" s="79"/>
      <c r="R297" s="79"/>
      <c r="Y297" s="79"/>
      <c r="AC297" s="130"/>
      <c r="AE297" s="106"/>
    </row>
    <row r="298">
      <c r="C298" s="79"/>
      <c r="D298" s="79"/>
      <c r="E298" s="79"/>
      <c r="P298" s="79"/>
      <c r="Q298" s="79"/>
      <c r="R298" s="79"/>
      <c r="Y298" s="79"/>
      <c r="AC298" s="130"/>
      <c r="AE298" s="106"/>
    </row>
    <row r="299">
      <c r="C299" s="79"/>
      <c r="D299" s="79"/>
      <c r="E299" s="79"/>
      <c r="P299" s="79"/>
      <c r="Q299" s="79"/>
      <c r="R299" s="79"/>
      <c r="Y299" s="79"/>
      <c r="AC299" s="130"/>
      <c r="AE299" s="106"/>
    </row>
    <row r="300">
      <c r="C300" s="79"/>
      <c r="D300" s="79"/>
      <c r="E300" s="79"/>
      <c r="P300" s="79"/>
      <c r="Q300" s="79"/>
      <c r="R300" s="79"/>
      <c r="Y300" s="79"/>
      <c r="AC300" s="130"/>
      <c r="AE300" s="106"/>
    </row>
    <row r="301">
      <c r="C301" s="79"/>
      <c r="D301" s="79"/>
      <c r="E301" s="79"/>
      <c r="P301" s="79"/>
      <c r="Q301" s="79"/>
      <c r="R301" s="79"/>
      <c r="Y301" s="79"/>
      <c r="AC301" s="130"/>
      <c r="AE301" s="106"/>
    </row>
    <row r="302">
      <c r="C302" s="79"/>
      <c r="D302" s="79"/>
      <c r="E302" s="79"/>
      <c r="P302" s="79"/>
      <c r="Q302" s="79"/>
      <c r="R302" s="79"/>
      <c r="Y302" s="79"/>
      <c r="AC302" s="130"/>
      <c r="AE302" s="106"/>
    </row>
    <row r="303">
      <c r="C303" s="79"/>
      <c r="D303" s="79"/>
      <c r="E303" s="79"/>
      <c r="P303" s="79"/>
      <c r="Q303" s="79"/>
      <c r="R303" s="79"/>
      <c r="Y303" s="79"/>
      <c r="AC303" s="130"/>
      <c r="AE303" s="106"/>
    </row>
    <row r="304">
      <c r="C304" s="79"/>
      <c r="D304" s="79"/>
      <c r="E304" s="79"/>
      <c r="P304" s="79"/>
      <c r="Q304" s="79"/>
      <c r="R304" s="79"/>
      <c r="Y304" s="79"/>
      <c r="AC304" s="130"/>
      <c r="AE304" s="106"/>
    </row>
    <row r="305">
      <c r="C305" s="79"/>
      <c r="D305" s="79"/>
      <c r="E305" s="79"/>
      <c r="P305" s="79"/>
      <c r="Q305" s="79"/>
      <c r="R305" s="79"/>
      <c r="Y305" s="79"/>
      <c r="AC305" s="130"/>
      <c r="AE305" s="106"/>
    </row>
    <row r="306">
      <c r="C306" s="79"/>
      <c r="D306" s="79"/>
      <c r="E306" s="79"/>
      <c r="P306" s="79"/>
      <c r="Q306" s="79"/>
      <c r="R306" s="79"/>
      <c r="Y306" s="79"/>
      <c r="AC306" s="130"/>
      <c r="AE306" s="106"/>
    </row>
    <row r="307">
      <c r="C307" s="79"/>
      <c r="D307" s="79"/>
      <c r="E307" s="79"/>
      <c r="P307" s="79"/>
      <c r="Q307" s="79"/>
      <c r="R307" s="79"/>
      <c r="Y307" s="79"/>
      <c r="AC307" s="130"/>
      <c r="AE307" s="106"/>
    </row>
    <row r="308">
      <c r="C308" s="79"/>
      <c r="D308" s="79"/>
      <c r="E308" s="79"/>
      <c r="P308" s="79"/>
      <c r="Q308" s="79"/>
      <c r="R308" s="79"/>
      <c r="Y308" s="79"/>
      <c r="AC308" s="130"/>
      <c r="AE308" s="106"/>
    </row>
    <row r="309">
      <c r="C309" s="79"/>
      <c r="D309" s="79"/>
      <c r="E309" s="79"/>
      <c r="P309" s="79"/>
      <c r="Q309" s="79"/>
      <c r="R309" s="79"/>
      <c r="Y309" s="79"/>
      <c r="AC309" s="130"/>
      <c r="AE309" s="106"/>
    </row>
    <row r="310">
      <c r="C310" s="79"/>
      <c r="D310" s="79"/>
      <c r="E310" s="79"/>
      <c r="P310" s="79"/>
      <c r="Q310" s="79"/>
      <c r="R310" s="79"/>
      <c r="Y310" s="79"/>
      <c r="AC310" s="130"/>
      <c r="AE310" s="106"/>
    </row>
    <row r="311">
      <c r="C311" s="79"/>
      <c r="D311" s="79"/>
      <c r="E311" s="79"/>
      <c r="P311" s="79"/>
      <c r="Q311" s="79"/>
      <c r="R311" s="79"/>
      <c r="Y311" s="79"/>
      <c r="AC311" s="130"/>
      <c r="AE311" s="106"/>
    </row>
    <row r="312">
      <c r="C312" s="79"/>
      <c r="D312" s="79"/>
      <c r="E312" s="79"/>
      <c r="P312" s="79"/>
      <c r="Q312" s="79"/>
      <c r="R312" s="79"/>
      <c r="Y312" s="79"/>
      <c r="AC312" s="130"/>
      <c r="AE312" s="106"/>
    </row>
    <row r="313">
      <c r="C313" s="79"/>
      <c r="D313" s="79"/>
      <c r="E313" s="79"/>
      <c r="P313" s="79"/>
      <c r="Q313" s="79"/>
      <c r="R313" s="79"/>
      <c r="Y313" s="79"/>
      <c r="AC313" s="130"/>
      <c r="AE313" s="106"/>
    </row>
    <row r="314">
      <c r="C314" s="79"/>
      <c r="D314" s="79"/>
      <c r="E314" s="79"/>
      <c r="P314" s="79"/>
      <c r="Q314" s="79"/>
      <c r="R314" s="79"/>
      <c r="Y314" s="79"/>
      <c r="AC314" s="130"/>
      <c r="AE314" s="106"/>
    </row>
    <row r="315">
      <c r="C315" s="79"/>
      <c r="D315" s="79"/>
      <c r="E315" s="79"/>
      <c r="P315" s="79"/>
      <c r="Q315" s="79"/>
      <c r="R315" s="79"/>
      <c r="Y315" s="79"/>
      <c r="AC315" s="130"/>
      <c r="AE315" s="106"/>
    </row>
    <row r="316">
      <c r="C316" s="79"/>
      <c r="D316" s="79"/>
      <c r="E316" s="79"/>
      <c r="P316" s="79"/>
      <c r="Q316" s="79"/>
      <c r="R316" s="79"/>
      <c r="Y316" s="79"/>
      <c r="AC316" s="130"/>
      <c r="AE316" s="106"/>
    </row>
    <row r="317">
      <c r="C317" s="79"/>
      <c r="D317" s="79"/>
      <c r="E317" s="79"/>
      <c r="P317" s="79"/>
      <c r="Q317" s="79"/>
      <c r="R317" s="79"/>
      <c r="Y317" s="79"/>
      <c r="AC317" s="130"/>
      <c r="AE317" s="106"/>
    </row>
    <row r="318">
      <c r="C318" s="79"/>
      <c r="D318" s="79"/>
      <c r="E318" s="79"/>
      <c r="P318" s="79"/>
      <c r="Q318" s="79"/>
      <c r="R318" s="79"/>
      <c r="Y318" s="79"/>
      <c r="AC318" s="130"/>
      <c r="AE318" s="106"/>
    </row>
    <row r="319">
      <c r="C319" s="79"/>
      <c r="D319" s="79"/>
      <c r="E319" s="79"/>
      <c r="P319" s="79"/>
      <c r="Q319" s="79"/>
      <c r="R319" s="79"/>
      <c r="Y319" s="79"/>
      <c r="AC319" s="130"/>
      <c r="AE319" s="106"/>
    </row>
    <row r="320">
      <c r="C320" s="79"/>
      <c r="D320" s="79"/>
      <c r="E320" s="79"/>
      <c r="P320" s="79"/>
      <c r="Q320" s="79"/>
      <c r="R320" s="79"/>
      <c r="Y320" s="79"/>
      <c r="AC320" s="130"/>
      <c r="AE320" s="106"/>
    </row>
    <row r="321">
      <c r="C321" s="79"/>
      <c r="D321" s="79"/>
      <c r="E321" s="79"/>
      <c r="P321" s="79"/>
      <c r="Q321" s="79"/>
      <c r="R321" s="79"/>
      <c r="Y321" s="79"/>
      <c r="AC321" s="130"/>
      <c r="AE321" s="106"/>
    </row>
    <row r="322">
      <c r="C322" s="79"/>
      <c r="D322" s="79"/>
      <c r="E322" s="79"/>
      <c r="P322" s="79"/>
      <c r="Q322" s="79"/>
      <c r="R322" s="79"/>
      <c r="Y322" s="79"/>
      <c r="AC322" s="130"/>
      <c r="AE322" s="106"/>
    </row>
    <row r="323">
      <c r="C323" s="79"/>
      <c r="D323" s="79"/>
      <c r="E323" s="79"/>
      <c r="P323" s="79"/>
      <c r="Q323" s="79"/>
      <c r="R323" s="79"/>
      <c r="Y323" s="79"/>
      <c r="AC323" s="130"/>
      <c r="AE323" s="106"/>
    </row>
    <row r="324">
      <c r="C324" s="79"/>
      <c r="D324" s="79"/>
      <c r="E324" s="79"/>
      <c r="P324" s="79"/>
      <c r="Q324" s="79"/>
      <c r="R324" s="79"/>
      <c r="Y324" s="79"/>
      <c r="AC324" s="130"/>
      <c r="AE324" s="106"/>
    </row>
    <row r="325">
      <c r="C325" s="79"/>
      <c r="D325" s="79"/>
      <c r="E325" s="79"/>
      <c r="P325" s="79"/>
      <c r="Q325" s="79"/>
      <c r="R325" s="79"/>
      <c r="Y325" s="79"/>
      <c r="AC325" s="130"/>
      <c r="AE325" s="106"/>
    </row>
    <row r="326">
      <c r="C326" s="79"/>
      <c r="D326" s="79"/>
      <c r="E326" s="79"/>
      <c r="P326" s="79"/>
      <c r="Q326" s="79"/>
      <c r="R326" s="79"/>
      <c r="Y326" s="79"/>
      <c r="AC326" s="130"/>
      <c r="AE326" s="106"/>
    </row>
    <row r="327">
      <c r="C327" s="79"/>
      <c r="D327" s="79"/>
      <c r="E327" s="79"/>
      <c r="P327" s="79"/>
      <c r="Q327" s="79"/>
      <c r="R327" s="79"/>
      <c r="Y327" s="79"/>
      <c r="AC327" s="130"/>
      <c r="AE327" s="106"/>
    </row>
    <row r="328">
      <c r="C328" s="79"/>
      <c r="D328" s="79"/>
      <c r="E328" s="79"/>
      <c r="P328" s="79"/>
      <c r="Q328" s="79"/>
      <c r="R328" s="79"/>
      <c r="Y328" s="79"/>
      <c r="AC328" s="130"/>
      <c r="AE328" s="106"/>
    </row>
    <row r="329">
      <c r="C329" s="79"/>
      <c r="D329" s="79"/>
      <c r="E329" s="79"/>
      <c r="P329" s="79"/>
      <c r="Q329" s="79"/>
      <c r="R329" s="79"/>
      <c r="Y329" s="79"/>
      <c r="AC329" s="130"/>
      <c r="AE329" s="106"/>
    </row>
    <row r="330">
      <c r="C330" s="79"/>
      <c r="D330" s="79"/>
      <c r="E330" s="79"/>
      <c r="P330" s="79"/>
      <c r="Q330" s="79"/>
      <c r="R330" s="79"/>
      <c r="Y330" s="79"/>
      <c r="AC330" s="130"/>
      <c r="AE330" s="106"/>
    </row>
    <row r="331">
      <c r="C331" s="79"/>
      <c r="D331" s="79"/>
      <c r="E331" s="79"/>
      <c r="P331" s="79"/>
      <c r="Q331" s="79"/>
      <c r="R331" s="79"/>
      <c r="Y331" s="79"/>
      <c r="AC331" s="130"/>
      <c r="AE331" s="106"/>
    </row>
    <row r="332">
      <c r="C332" s="79"/>
      <c r="D332" s="79"/>
      <c r="E332" s="79"/>
      <c r="P332" s="79"/>
      <c r="Q332" s="79"/>
      <c r="R332" s="79"/>
      <c r="Y332" s="79"/>
      <c r="AC332" s="130"/>
      <c r="AE332" s="106"/>
    </row>
    <row r="333">
      <c r="C333" s="79"/>
      <c r="D333" s="79"/>
      <c r="E333" s="79"/>
      <c r="P333" s="79"/>
      <c r="Q333" s="79"/>
      <c r="R333" s="79"/>
      <c r="Y333" s="79"/>
      <c r="AC333" s="130"/>
      <c r="AE333" s="106"/>
    </row>
    <row r="334">
      <c r="C334" s="79"/>
      <c r="D334" s="79"/>
      <c r="E334" s="79"/>
      <c r="P334" s="79"/>
      <c r="Q334" s="79"/>
      <c r="R334" s="79"/>
      <c r="Y334" s="79"/>
      <c r="AC334" s="130"/>
      <c r="AE334" s="106"/>
    </row>
    <row r="335">
      <c r="C335" s="79"/>
      <c r="D335" s="79"/>
      <c r="E335" s="79"/>
      <c r="P335" s="79"/>
      <c r="Q335" s="79"/>
      <c r="R335" s="79"/>
      <c r="Y335" s="79"/>
      <c r="AC335" s="130"/>
      <c r="AE335" s="106"/>
    </row>
    <row r="336">
      <c r="C336" s="79"/>
      <c r="D336" s="79"/>
      <c r="E336" s="79"/>
      <c r="P336" s="79"/>
      <c r="Q336" s="79"/>
      <c r="R336" s="79"/>
      <c r="Y336" s="79"/>
      <c r="AC336" s="130"/>
      <c r="AE336" s="106"/>
    </row>
    <row r="337">
      <c r="C337" s="79"/>
      <c r="D337" s="79"/>
      <c r="E337" s="79"/>
      <c r="P337" s="79"/>
      <c r="Q337" s="79"/>
      <c r="R337" s="79"/>
      <c r="Y337" s="79"/>
      <c r="AC337" s="130"/>
      <c r="AE337" s="106"/>
    </row>
    <row r="338">
      <c r="C338" s="79"/>
      <c r="D338" s="79"/>
      <c r="E338" s="79"/>
      <c r="P338" s="79"/>
      <c r="Q338" s="79"/>
      <c r="R338" s="79"/>
      <c r="Y338" s="79"/>
      <c r="AC338" s="130"/>
      <c r="AE338" s="106"/>
    </row>
    <row r="339">
      <c r="C339" s="79"/>
      <c r="D339" s="79"/>
      <c r="E339" s="79"/>
      <c r="P339" s="79"/>
      <c r="Q339" s="79"/>
      <c r="R339" s="79"/>
      <c r="Y339" s="79"/>
      <c r="AC339" s="130"/>
      <c r="AE339" s="106"/>
    </row>
    <row r="340">
      <c r="C340" s="79"/>
      <c r="D340" s="79"/>
      <c r="E340" s="79"/>
      <c r="P340" s="79"/>
      <c r="Q340" s="79"/>
      <c r="R340" s="79"/>
      <c r="Y340" s="79"/>
      <c r="AC340" s="130"/>
      <c r="AE340" s="106"/>
    </row>
    <row r="341">
      <c r="C341" s="79"/>
      <c r="D341" s="79"/>
      <c r="E341" s="79"/>
      <c r="P341" s="79"/>
      <c r="Q341" s="79"/>
      <c r="R341" s="79"/>
      <c r="Y341" s="79"/>
      <c r="AC341" s="130"/>
      <c r="AE341" s="106"/>
    </row>
    <row r="342">
      <c r="C342" s="79"/>
      <c r="D342" s="79"/>
      <c r="E342" s="79"/>
      <c r="P342" s="79"/>
      <c r="Q342" s="79"/>
      <c r="R342" s="79"/>
      <c r="Y342" s="79"/>
      <c r="AC342" s="130"/>
      <c r="AE342" s="106"/>
    </row>
    <row r="343">
      <c r="C343" s="79"/>
      <c r="D343" s="79"/>
      <c r="E343" s="79"/>
      <c r="P343" s="79"/>
      <c r="Q343" s="79"/>
      <c r="R343" s="79"/>
      <c r="Y343" s="79"/>
      <c r="AC343" s="130"/>
      <c r="AE343" s="106"/>
    </row>
    <row r="344">
      <c r="C344" s="79"/>
      <c r="D344" s="79"/>
      <c r="E344" s="79"/>
      <c r="P344" s="79"/>
      <c r="Q344" s="79"/>
      <c r="R344" s="79"/>
      <c r="Y344" s="79"/>
      <c r="AC344" s="130"/>
      <c r="AE344" s="106"/>
    </row>
    <row r="345">
      <c r="C345" s="79"/>
      <c r="D345" s="79"/>
      <c r="E345" s="79"/>
      <c r="P345" s="79"/>
      <c r="Q345" s="79"/>
      <c r="R345" s="79"/>
      <c r="Y345" s="79"/>
      <c r="AC345" s="130"/>
      <c r="AE345" s="106"/>
    </row>
    <row r="346">
      <c r="C346" s="79"/>
      <c r="D346" s="79"/>
      <c r="E346" s="79"/>
      <c r="P346" s="79"/>
      <c r="Q346" s="79"/>
      <c r="R346" s="79"/>
      <c r="Y346" s="79"/>
      <c r="AC346" s="130"/>
      <c r="AE346" s="106"/>
    </row>
    <row r="347">
      <c r="C347" s="79"/>
      <c r="D347" s="79"/>
      <c r="E347" s="79"/>
      <c r="P347" s="79"/>
      <c r="Q347" s="79"/>
      <c r="R347" s="79"/>
      <c r="Y347" s="79"/>
      <c r="AC347" s="130"/>
      <c r="AE347" s="106"/>
    </row>
    <row r="348">
      <c r="C348" s="79"/>
      <c r="D348" s="79"/>
      <c r="E348" s="79"/>
      <c r="P348" s="79"/>
      <c r="Q348" s="79"/>
      <c r="R348" s="79"/>
      <c r="Y348" s="79"/>
      <c r="AC348" s="130"/>
      <c r="AE348" s="106"/>
    </row>
    <row r="349">
      <c r="C349" s="79"/>
      <c r="D349" s="79"/>
      <c r="E349" s="79"/>
      <c r="P349" s="79"/>
      <c r="Q349" s="79"/>
      <c r="R349" s="79"/>
      <c r="Y349" s="79"/>
      <c r="AC349" s="130"/>
      <c r="AE349" s="106"/>
    </row>
    <row r="350">
      <c r="C350" s="79"/>
      <c r="D350" s="79"/>
      <c r="E350" s="79"/>
      <c r="P350" s="79"/>
      <c r="Q350" s="79"/>
      <c r="R350" s="79"/>
      <c r="Y350" s="79"/>
      <c r="AC350" s="130"/>
      <c r="AE350" s="106"/>
    </row>
    <row r="351">
      <c r="C351" s="79"/>
      <c r="D351" s="79"/>
      <c r="E351" s="79"/>
      <c r="P351" s="79"/>
      <c r="Q351" s="79"/>
      <c r="R351" s="79"/>
      <c r="Y351" s="79"/>
      <c r="AC351" s="130"/>
      <c r="AE351" s="106"/>
    </row>
    <row r="352">
      <c r="C352" s="79"/>
      <c r="D352" s="79"/>
      <c r="E352" s="79"/>
      <c r="P352" s="79"/>
      <c r="Q352" s="79"/>
      <c r="R352" s="79"/>
      <c r="Y352" s="79"/>
      <c r="AC352" s="130"/>
      <c r="AE352" s="106"/>
    </row>
    <row r="353">
      <c r="C353" s="79"/>
      <c r="D353" s="79"/>
      <c r="E353" s="79"/>
      <c r="P353" s="79"/>
      <c r="Q353" s="79"/>
      <c r="R353" s="79"/>
      <c r="Y353" s="79"/>
      <c r="AC353" s="130"/>
      <c r="AE353" s="106"/>
    </row>
    <row r="354">
      <c r="C354" s="79"/>
      <c r="D354" s="79"/>
      <c r="E354" s="79"/>
      <c r="P354" s="79"/>
      <c r="Q354" s="79"/>
      <c r="R354" s="79"/>
      <c r="Y354" s="79"/>
      <c r="AC354" s="130"/>
      <c r="AE354" s="106"/>
    </row>
    <row r="355">
      <c r="C355" s="79"/>
      <c r="D355" s="79"/>
      <c r="E355" s="79"/>
      <c r="P355" s="79"/>
      <c r="Q355" s="79"/>
      <c r="R355" s="79"/>
      <c r="Y355" s="79"/>
      <c r="AC355" s="130"/>
      <c r="AE355" s="106"/>
    </row>
    <row r="356">
      <c r="C356" s="79"/>
      <c r="D356" s="79"/>
      <c r="E356" s="79"/>
      <c r="P356" s="79"/>
      <c r="Q356" s="79"/>
      <c r="R356" s="79"/>
      <c r="Y356" s="79"/>
      <c r="AC356" s="130"/>
      <c r="AE356" s="106"/>
    </row>
    <row r="357">
      <c r="C357" s="79"/>
      <c r="D357" s="79"/>
      <c r="E357" s="79"/>
      <c r="P357" s="79"/>
      <c r="Q357" s="79"/>
      <c r="R357" s="79"/>
      <c r="Y357" s="79"/>
      <c r="AC357" s="130"/>
      <c r="AE357" s="106"/>
    </row>
    <row r="358">
      <c r="C358" s="79"/>
      <c r="D358" s="79"/>
      <c r="E358" s="79"/>
      <c r="P358" s="79"/>
      <c r="Q358" s="79"/>
      <c r="R358" s="79"/>
      <c r="Y358" s="79"/>
      <c r="AC358" s="130"/>
      <c r="AE358" s="106"/>
    </row>
    <row r="359">
      <c r="C359" s="79"/>
      <c r="D359" s="79"/>
      <c r="E359" s="79"/>
      <c r="P359" s="79"/>
      <c r="Q359" s="79"/>
      <c r="R359" s="79"/>
      <c r="Y359" s="79"/>
      <c r="AC359" s="130"/>
      <c r="AE359" s="106"/>
    </row>
    <row r="360">
      <c r="C360" s="79"/>
      <c r="D360" s="79"/>
      <c r="E360" s="79"/>
      <c r="P360" s="79"/>
      <c r="Q360" s="79"/>
      <c r="R360" s="79"/>
      <c r="Y360" s="79"/>
      <c r="AC360" s="130"/>
      <c r="AE360" s="106"/>
    </row>
    <row r="361">
      <c r="C361" s="79"/>
      <c r="D361" s="79"/>
      <c r="E361" s="79"/>
      <c r="P361" s="79"/>
      <c r="Q361" s="79"/>
      <c r="R361" s="79"/>
      <c r="Y361" s="79"/>
      <c r="AC361" s="130"/>
      <c r="AE361" s="106"/>
    </row>
    <row r="362">
      <c r="C362" s="79"/>
      <c r="D362" s="79"/>
      <c r="E362" s="79"/>
      <c r="P362" s="79"/>
      <c r="Q362" s="79"/>
      <c r="R362" s="79"/>
      <c r="Y362" s="79"/>
      <c r="AC362" s="130"/>
      <c r="AE362" s="106"/>
    </row>
    <row r="363">
      <c r="C363" s="79"/>
      <c r="D363" s="79"/>
      <c r="E363" s="79"/>
      <c r="P363" s="79"/>
      <c r="Q363" s="79"/>
      <c r="R363" s="79"/>
      <c r="Y363" s="79"/>
      <c r="AC363" s="130"/>
      <c r="AE363" s="106"/>
    </row>
    <row r="364">
      <c r="C364" s="79"/>
      <c r="D364" s="79"/>
      <c r="E364" s="79"/>
      <c r="P364" s="79"/>
      <c r="Q364" s="79"/>
      <c r="R364" s="79"/>
      <c r="Y364" s="79"/>
      <c r="AC364" s="130"/>
      <c r="AE364" s="106"/>
    </row>
    <row r="365">
      <c r="C365" s="79"/>
      <c r="D365" s="79"/>
      <c r="E365" s="79"/>
      <c r="P365" s="79"/>
      <c r="Q365" s="79"/>
      <c r="R365" s="79"/>
      <c r="Y365" s="79"/>
      <c r="AC365" s="130"/>
      <c r="AE365" s="106"/>
    </row>
    <row r="366">
      <c r="C366" s="79"/>
      <c r="D366" s="79"/>
      <c r="E366" s="79"/>
      <c r="P366" s="79"/>
      <c r="Q366" s="79"/>
      <c r="R366" s="79"/>
      <c r="Y366" s="79"/>
      <c r="AC366" s="130"/>
      <c r="AE366" s="106"/>
    </row>
    <row r="367">
      <c r="C367" s="79"/>
      <c r="D367" s="79"/>
      <c r="E367" s="79"/>
      <c r="P367" s="79"/>
      <c r="Q367" s="79"/>
      <c r="R367" s="79"/>
      <c r="Y367" s="79"/>
      <c r="AC367" s="130"/>
      <c r="AE367" s="106"/>
    </row>
    <row r="368">
      <c r="C368" s="79"/>
      <c r="D368" s="79"/>
      <c r="E368" s="79"/>
      <c r="P368" s="79"/>
      <c r="Q368" s="79"/>
      <c r="R368" s="79"/>
      <c r="Y368" s="79"/>
      <c r="AC368" s="130"/>
      <c r="AE368" s="106"/>
    </row>
    <row r="369">
      <c r="C369" s="79"/>
      <c r="D369" s="79"/>
      <c r="E369" s="79"/>
      <c r="P369" s="79"/>
      <c r="Q369" s="79"/>
      <c r="R369" s="79"/>
      <c r="Y369" s="79"/>
      <c r="AC369" s="130"/>
      <c r="AE369" s="106"/>
    </row>
    <row r="370">
      <c r="C370" s="79"/>
      <c r="D370" s="79"/>
      <c r="E370" s="79"/>
      <c r="P370" s="79"/>
      <c r="Q370" s="79"/>
      <c r="R370" s="79"/>
      <c r="Y370" s="79"/>
      <c r="AC370" s="130"/>
      <c r="AE370" s="106"/>
    </row>
    <row r="371">
      <c r="C371" s="79"/>
      <c r="D371" s="79"/>
      <c r="E371" s="79"/>
      <c r="P371" s="79"/>
      <c r="Q371" s="79"/>
      <c r="R371" s="79"/>
      <c r="Y371" s="79"/>
      <c r="AC371" s="130"/>
      <c r="AE371" s="106"/>
    </row>
    <row r="372">
      <c r="C372" s="79"/>
      <c r="D372" s="79"/>
      <c r="E372" s="79"/>
      <c r="P372" s="79"/>
      <c r="Q372" s="79"/>
      <c r="R372" s="79"/>
      <c r="Y372" s="79"/>
      <c r="AC372" s="130"/>
      <c r="AE372" s="106"/>
    </row>
    <row r="373">
      <c r="C373" s="79"/>
      <c r="D373" s="79"/>
      <c r="E373" s="79"/>
      <c r="P373" s="79"/>
      <c r="Q373" s="79"/>
      <c r="R373" s="79"/>
      <c r="Y373" s="79"/>
      <c r="AC373" s="130"/>
      <c r="AE373" s="106"/>
    </row>
    <row r="374">
      <c r="C374" s="79"/>
      <c r="D374" s="79"/>
      <c r="E374" s="79"/>
      <c r="P374" s="79"/>
      <c r="Q374" s="79"/>
      <c r="R374" s="79"/>
      <c r="Y374" s="79"/>
      <c r="AC374" s="130"/>
      <c r="AE374" s="106"/>
    </row>
    <row r="375">
      <c r="C375" s="79"/>
      <c r="D375" s="79"/>
      <c r="E375" s="79"/>
      <c r="P375" s="79"/>
      <c r="Q375" s="79"/>
      <c r="R375" s="79"/>
      <c r="Y375" s="79"/>
      <c r="AC375" s="130"/>
      <c r="AE375" s="106"/>
    </row>
    <row r="376">
      <c r="C376" s="79"/>
      <c r="D376" s="79"/>
      <c r="E376" s="79"/>
      <c r="P376" s="79"/>
      <c r="Q376" s="79"/>
      <c r="R376" s="79"/>
      <c r="Y376" s="79"/>
      <c r="AC376" s="130"/>
      <c r="AE376" s="106"/>
    </row>
    <row r="377">
      <c r="C377" s="79"/>
      <c r="D377" s="79"/>
      <c r="E377" s="79"/>
      <c r="P377" s="79"/>
      <c r="Q377" s="79"/>
      <c r="R377" s="79"/>
      <c r="Y377" s="79"/>
      <c r="AC377" s="130"/>
      <c r="AE377" s="106"/>
    </row>
    <row r="378">
      <c r="C378" s="79"/>
      <c r="D378" s="79"/>
      <c r="E378" s="79"/>
      <c r="P378" s="79"/>
      <c r="Q378" s="79"/>
      <c r="R378" s="79"/>
      <c r="Y378" s="79"/>
      <c r="AC378" s="130"/>
      <c r="AE378" s="106"/>
    </row>
    <row r="379">
      <c r="C379" s="79"/>
      <c r="D379" s="79"/>
      <c r="E379" s="79"/>
      <c r="P379" s="79"/>
      <c r="Q379" s="79"/>
      <c r="R379" s="79"/>
      <c r="Y379" s="79"/>
      <c r="AC379" s="130"/>
      <c r="AE379" s="106"/>
    </row>
    <row r="380">
      <c r="C380" s="79"/>
      <c r="D380" s="79"/>
      <c r="E380" s="79"/>
      <c r="P380" s="79"/>
      <c r="Q380" s="79"/>
      <c r="R380" s="79"/>
      <c r="Y380" s="79"/>
      <c r="AC380" s="130"/>
      <c r="AE380" s="106"/>
    </row>
    <row r="381">
      <c r="C381" s="79"/>
      <c r="D381" s="79"/>
      <c r="E381" s="79"/>
      <c r="P381" s="79"/>
      <c r="Q381" s="79"/>
      <c r="R381" s="79"/>
      <c r="Y381" s="79"/>
      <c r="AC381" s="130"/>
      <c r="AE381" s="106"/>
    </row>
    <row r="382">
      <c r="C382" s="79"/>
      <c r="D382" s="79"/>
      <c r="E382" s="79"/>
      <c r="P382" s="79"/>
      <c r="Q382" s="79"/>
      <c r="R382" s="79"/>
      <c r="Y382" s="79"/>
      <c r="AC382" s="130"/>
      <c r="AE382" s="106"/>
    </row>
    <row r="383">
      <c r="C383" s="79"/>
      <c r="D383" s="79"/>
      <c r="E383" s="79"/>
      <c r="P383" s="79"/>
      <c r="Q383" s="79"/>
      <c r="R383" s="79"/>
      <c r="Y383" s="79"/>
      <c r="AC383" s="130"/>
      <c r="AE383" s="106"/>
    </row>
    <row r="384">
      <c r="C384" s="79"/>
      <c r="D384" s="79"/>
      <c r="E384" s="79"/>
      <c r="P384" s="79"/>
      <c r="Q384" s="79"/>
      <c r="R384" s="79"/>
      <c r="Y384" s="79"/>
      <c r="AC384" s="130"/>
      <c r="AE384" s="106"/>
    </row>
    <row r="385">
      <c r="C385" s="79"/>
      <c r="D385" s="79"/>
      <c r="E385" s="79"/>
      <c r="P385" s="79"/>
      <c r="Q385" s="79"/>
      <c r="R385" s="79"/>
      <c r="Y385" s="79"/>
      <c r="AC385" s="130"/>
      <c r="AE385" s="106"/>
    </row>
    <row r="386">
      <c r="C386" s="79"/>
      <c r="D386" s="79"/>
      <c r="E386" s="79"/>
      <c r="P386" s="79"/>
      <c r="Q386" s="79"/>
      <c r="R386" s="79"/>
      <c r="Y386" s="79"/>
      <c r="AC386" s="130"/>
      <c r="AE386" s="106"/>
    </row>
    <row r="387">
      <c r="C387" s="79"/>
      <c r="D387" s="79"/>
      <c r="E387" s="79"/>
      <c r="P387" s="79"/>
      <c r="Q387" s="79"/>
      <c r="R387" s="79"/>
      <c r="Y387" s="79"/>
      <c r="AC387" s="130"/>
      <c r="AE387" s="106"/>
    </row>
    <row r="388">
      <c r="C388" s="79"/>
      <c r="D388" s="79"/>
      <c r="E388" s="79"/>
      <c r="P388" s="79"/>
      <c r="Q388" s="79"/>
      <c r="R388" s="79"/>
      <c r="Y388" s="79"/>
      <c r="AC388" s="130"/>
      <c r="AE388" s="106"/>
    </row>
    <row r="389">
      <c r="C389" s="79"/>
      <c r="D389" s="79"/>
      <c r="E389" s="79"/>
      <c r="P389" s="79"/>
      <c r="Q389" s="79"/>
      <c r="R389" s="79"/>
      <c r="Y389" s="79"/>
      <c r="AC389" s="130"/>
      <c r="AE389" s="106"/>
    </row>
    <row r="390">
      <c r="C390" s="79"/>
      <c r="D390" s="79"/>
      <c r="E390" s="79"/>
      <c r="P390" s="79"/>
      <c r="Q390" s="79"/>
      <c r="R390" s="79"/>
      <c r="Y390" s="79"/>
      <c r="AC390" s="130"/>
      <c r="AE390" s="106"/>
    </row>
    <row r="391">
      <c r="C391" s="79"/>
      <c r="D391" s="79"/>
      <c r="E391" s="79"/>
      <c r="P391" s="79"/>
      <c r="Q391" s="79"/>
      <c r="R391" s="79"/>
      <c r="Y391" s="79"/>
      <c r="AC391" s="130"/>
      <c r="AE391" s="106"/>
    </row>
    <row r="392">
      <c r="C392" s="79"/>
      <c r="D392" s="79"/>
      <c r="E392" s="79"/>
      <c r="P392" s="79"/>
      <c r="Q392" s="79"/>
      <c r="R392" s="79"/>
      <c r="Y392" s="79"/>
      <c r="AC392" s="130"/>
      <c r="AE392" s="106"/>
    </row>
    <row r="393">
      <c r="C393" s="79"/>
      <c r="D393" s="79"/>
      <c r="E393" s="79"/>
      <c r="P393" s="79"/>
      <c r="Q393" s="79"/>
      <c r="R393" s="79"/>
      <c r="Y393" s="79"/>
      <c r="AC393" s="130"/>
      <c r="AE393" s="106"/>
    </row>
    <row r="394">
      <c r="C394" s="79"/>
      <c r="D394" s="79"/>
      <c r="E394" s="79"/>
      <c r="P394" s="79"/>
      <c r="Q394" s="79"/>
      <c r="R394" s="79"/>
      <c r="Y394" s="79"/>
      <c r="AC394" s="130"/>
      <c r="AE394" s="106"/>
    </row>
    <row r="395">
      <c r="C395" s="79"/>
      <c r="D395" s="79"/>
      <c r="E395" s="79"/>
      <c r="P395" s="79"/>
      <c r="Q395" s="79"/>
      <c r="R395" s="79"/>
      <c r="Y395" s="79"/>
      <c r="AC395" s="130"/>
      <c r="AE395" s="106"/>
    </row>
    <row r="396">
      <c r="C396" s="79"/>
      <c r="D396" s="79"/>
      <c r="E396" s="79"/>
      <c r="P396" s="79"/>
      <c r="Q396" s="79"/>
      <c r="R396" s="79"/>
      <c r="Y396" s="79"/>
      <c r="AC396" s="130"/>
      <c r="AE396" s="106"/>
    </row>
    <row r="397">
      <c r="C397" s="79"/>
      <c r="D397" s="79"/>
      <c r="E397" s="79"/>
      <c r="P397" s="79"/>
      <c r="Q397" s="79"/>
      <c r="R397" s="79"/>
      <c r="Y397" s="79"/>
      <c r="AC397" s="130"/>
      <c r="AE397" s="106"/>
    </row>
    <row r="398">
      <c r="C398" s="79"/>
      <c r="D398" s="79"/>
      <c r="E398" s="79"/>
      <c r="P398" s="79"/>
      <c r="Q398" s="79"/>
      <c r="R398" s="79"/>
      <c r="Y398" s="79"/>
      <c r="AC398" s="130"/>
      <c r="AE398" s="106"/>
    </row>
    <row r="399">
      <c r="C399" s="79"/>
      <c r="D399" s="79"/>
      <c r="E399" s="79"/>
      <c r="P399" s="79"/>
      <c r="Q399" s="79"/>
      <c r="R399" s="79"/>
      <c r="Y399" s="79"/>
      <c r="AC399" s="130"/>
      <c r="AE399" s="106"/>
    </row>
    <row r="400">
      <c r="C400" s="79"/>
      <c r="D400" s="79"/>
      <c r="E400" s="79"/>
      <c r="P400" s="79"/>
      <c r="Q400" s="79"/>
      <c r="R400" s="79"/>
      <c r="Y400" s="79"/>
      <c r="AC400" s="130"/>
      <c r="AE400" s="106"/>
    </row>
    <row r="401">
      <c r="C401" s="79"/>
      <c r="D401" s="79"/>
      <c r="E401" s="79"/>
      <c r="P401" s="79"/>
      <c r="Q401" s="79"/>
      <c r="R401" s="79"/>
      <c r="Y401" s="79"/>
      <c r="AC401" s="130"/>
      <c r="AE401" s="106"/>
    </row>
    <row r="402">
      <c r="C402" s="79"/>
      <c r="D402" s="79"/>
      <c r="E402" s="79"/>
      <c r="P402" s="79"/>
      <c r="Q402" s="79"/>
      <c r="R402" s="79"/>
      <c r="Y402" s="79"/>
      <c r="AC402" s="130"/>
      <c r="AE402" s="106"/>
    </row>
    <row r="403">
      <c r="C403" s="79"/>
      <c r="D403" s="79"/>
      <c r="E403" s="79"/>
      <c r="P403" s="79"/>
      <c r="Q403" s="79"/>
      <c r="R403" s="79"/>
      <c r="Y403" s="79"/>
      <c r="AC403" s="130"/>
      <c r="AE403" s="106"/>
    </row>
    <row r="404">
      <c r="C404" s="79"/>
      <c r="D404" s="79"/>
      <c r="E404" s="79"/>
      <c r="P404" s="79"/>
      <c r="Q404" s="79"/>
      <c r="R404" s="79"/>
      <c r="Y404" s="79"/>
      <c r="AC404" s="130"/>
      <c r="AE404" s="106"/>
    </row>
    <row r="405">
      <c r="C405" s="79"/>
      <c r="D405" s="79"/>
      <c r="E405" s="79"/>
      <c r="P405" s="79"/>
      <c r="Q405" s="79"/>
      <c r="R405" s="79"/>
      <c r="Y405" s="79"/>
      <c r="AC405" s="130"/>
      <c r="AE405" s="106"/>
    </row>
    <row r="406">
      <c r="C406" s="79"/>
      <c r="D406" s="79"/>
      <c r="E406" s="79"/>
      <c r="P406" s="79"/>
      <c r="Q406" s="79"/>
      <c r="R406" s="79"/>
      <c r="Y406" s="79"/>
      <c r="AC406" s="130"/>
      <c r="AE406" s="106"/>
    </row>
    <row r="407">
      <c r="C407" s="79"/>
      <c r="D407" s="79"/>
      <c r="E407" s="79"/>
      <c r="P407" s="79"/>
      <c r="Q407" s="79"/>
      <c r="R407" s="79"/>
      <c r="Y407" s="79"/>
      <c r="AC407" s="130"/>
      <c r="AE407" s="106"/>
    </row>
    <row r="408">
      <c r="C408" s="79"/>
      <c r="D408" s="79"/>
      <c r="E408" s="79"/>
      <c r="P408" s="79"/>
      <c r="Q408" s="79"/>
      <c r="R408" s="79"/>
      <c r="Y408" s="79"/>
      <c r="AC408" s="130"/>
      <c r="AE408" s="106"/>
    </row>
    <row r="409">
      <c r="C409" s="79"/>
      <c r="D409" s="79"/>
      <c r="E409" s="79"/>
      <c r="P409" s="79"/>
      <c r="Q409" s="79"/>
      <c r="R409" s="79"/>
      <c r="Y409" s="79"/>
      <c r="AC409" s="130"/>
      <c r="AE409" s="106"/>
    </row>
    <row r="410">
      <c r="C410" s="79"/>
      <c r="D410" s="79"/>
      <c r="E410" s="79"/>
      <c r="P410" s="79"/>
      <c r="Q410" s="79"/>
      <c r="R410" s="79"/>
      <c r="Y410" s="79"/>
      <c r="AC410" s="130"/>
      <c r="AE410" s="106"/>
    </row>
    <row r="411">
      <c r="C411" s="79"/>
      <c r="D411" s="79"/>
      <c r="E411" s="79"/>
      <c r="P411" s="79"/>
      <c r="Q411" s="79"/>
      <c r="R411" s="79"/>
      <c r="Y411" s="79"/>
      <c r="AC411" s="130"/>
      <c r="AE411" s="106"/>
    </row>
    <row r="412">
      <c r="C412" s="79"/>
      <c r="D412" s="79"/>
      <c r="E412" s="79"/>
      <c r="P412" s="79"/>
      <c r="Q412" s="79"/>
      <c r="R412" s="79"/>
      <c r="Y412" s="79"/>
      <c r="AC412" s="130"/>
      <c r="AE412" s="106"/>
    </row>
    <row r="413">
      <c r="C413" s="79"/>
      <c r="D413" s="79"/>
      <c r="E413" s="79"/>
      <c r="P413" s="79"/>
      <c r="Q413" s="79"/>
      <c r="R413" s="79"/>
      <c r="Y413" s="79"/>
      <c r="AC413" s="130"/>
      <c r="AE413" s="106"/>
    </row>
    <row r="414">
      <c r="C414" s="79"/>
      <c r="D414" s="79"/>
      <c r="E414" s="79"/>
      <c r="P414" s="79"/>
      <c r="Q414" s="79"/>
      <c r="R414" s="79"/>
      <c r="Y414" s="79"/>
      <c r="AC414" s="130"/>
      <c r="AE414" s="106"/>
    </row>
    <row r="415">
      <c r="C415" s="79"/>
      <c r="D415" s="79"/>
      <c r="E415" s="79"/>
      <c r="P415" s="79"/>
      <c r="Q415" s="79"/>
      <c r="R415" s="79"/>
      <c r="Y415" s="79"/>
      <c r="AC415" s="130"/>
      <c r="AE415" s="106"/>
    </row>
    <row r="416">
      <c r="C416" s="79"/>
      <c r="D416" s="79"/>
      <c r="E416" s="79"/>
      <c r="P416" s="79"/>
      <c r="Q416" s="79"/>
      <c r="R416" s="79"/>
      <c r="Y416" s="79"/>
      <c r="AC416" s="130"/>
      <c r="AE416" s="106"/>
    </row>
    <row r="417">
      <c r="C417" s="79"/>
      <c r="D417" s="79"/>
      <c r="E417" s="79"/>
      <c r="P417" s="79"/>
      <c r="Q417" s="79"/>
      <c r="R417" s="79"/>
      <c r="Y417" s="79"/>
      <c r="AC417" s="130"/>
      <c r="AE417" s="106"/>
    </row>
    <row r="418">
      <c r="C418" s="79"/>
      <c r="D418" s="79"/>
      <c r="E418" s="79"/>
      <c r="P418" s="79"/>
      <c r="Q418" s="79"/>
      <c r="R418" s="79"/>
      <c r="Y418" s="79"/>
      <c r="AC418" s="130"/>
      <c r="AE418" s="106"/>
    </row>
    <row r="419">
      <c r="C419" s="79"/>
      <c r="D419" s="79"/>
      <c r="E419" s="79"/>
      <c r="P419" s="79"/>
      <c r="Q419" s="79"/>
      <c r="R419" s="79"/>
      <c r="Y419" s="79"/>
      <c r="AC419" s="130"/>
      <c r="AE419" s="106"/>
    </row>
    <row r="420">
      <c r="C420" s="79"/>
      <c r="D420" s="79"/>
      <c r="E420" s="79"/>
      <c r="P420" s="79"/>
      <c r="Q420" s="79"/>
      <c r="R420" s="79"/>
      <c r="Y420" s="79"/>
      <c r="AC420" s="130"/>
      <c r="AE420" s="106"/>
    </row>
    <row r="421">
      <c r="C421" s="79"/>
      <c r="D421" s="79"/>
      <c r="E421" s="79"/>
      <c r="P421" s="79"/>
      <c r="Q421" s="79"/>
      <c r="R421" s="79"/>
      <c r="Y421" s="79"/>
      <c r="AC421" s="130"/>
      <c r="AE421" s="106"/>
    </row>
    <row r="422">
      <c r="C422" s="79"/>
      <c r="D422" s="79"/>
      <c r="E422" s="79"/>
      <c r="P422" s="79"/>
      <c r="Q422" s="79"/>
      <c r="R422" s="79"/>
      <c r="Y422" s="79"/>
      <c r="AC422" s="130"/>
      <c r="AE422" s="106"/>
    </row>
    <row r="423">
      <c r="C423" s="79"/>
      <c r="D423" s="79"/>
      <c r="E423" s="79"/>
      <c r="P423" s="79"/>
      <c r="Q423" s="79"/>
      <c r="R423" s="79"/>
      <c r="Y423" s="79"/>
      <c r="AC423" s="130"/>
      <c r="AE423" s="106"/>
    </row>
    <row r="424">
      <c r="C424" s="79"/>
      <c r="D424" s="79"/>
      <c r="E424" s="79"/>
      <c r="P424" s="79"/>
      <c r="Q424" s="79"/>
      <c r="R424" s="79"/>
      <c r="Y424" s="79"/>
      <c r="AC424" s="130"/>
      <c r="AE424" s="106"/>
    </row>
    <row r="425">
      <c r="C425" s="79"/>
      <c r="D425" s="79"/>
      <c r="E425" s="79"/>
      <c r="P425" s="79"/>
      <c r="Q425" s="79"/>
      <c r="R425" s="79"/>
      <c r="Y425" s="79"/>
      <c r="AC425" s="130"/>
      <c r="AE425" s="106"/>
    </row>
    <row r="426">
      <c r="C426" s="79"/>
      <c r="D426" s="79"/>
      <c r="E426" s="79"/>
      <c r="P426" s="79"/>
      <c r="Q426" s="79"/>
      <c r="R426" s="79"/>
      <c r="Y426" s="79"/>
      <c r="AC426" s="130"/>
      <c r="AE426" s="106"/>
    </row>
    <row r="427">
      <c r="C427" s="79"/>
      <c r="D427" s="79"/>
      <c r="E427" s="79"/>
      <c r="P427" s="79"/>
      <c r="Q427" s="79"/>
      <c r="R427" s="79"/>
      <c r="Y427" s="79"/>
      <c r="AC427" s="130"/>
      <c r="AE427" s="106"/>
    </row>
    <row r="428">
      <c r="C428" s="79"/>
      <c r="D428" s="79"/>
      <c r="E428" s="79"/>
      <c r="P428" s="79"/>
      <c r="Q428" s="79"/>
      <c r="R428" s="79"/>
      <c r="Y428" s="79"/>
      <c r="AC428" s="130"/>
      <c r="AE428" s="106"/>
    </row>
    <row r="429">
      <c r="C429" s="79"/>
      <c r="D429" s="79"/>
      <c r="E429" s="79"/>
      <c r="P429" s="79"/>
      <c r="Q429" s="79"/>
      <c r="R429" s="79"/>
      <c r="Y429" s="79"/>
      <c r="AC429" s="130"/>
      <c r="AE429" s="106"/>
    </row>
    <row r="430">
      <c r="C430" s="79"/>
      <c r="D430" s="79"/>
      <c r="E430" s="79"/>
      <c r="P430" s="79"/>
      <c r="Q430" s="79"/>
      <c r="R430" s="79"/>
      <c r="Y430" s="79"/>
      <c r="AC430" s="130"/>
      <c r="AE430" s="106"/>
    </row>
    <row r="431">
      <c r="C431" s="79"/>
      <c r="D431" s="79"/>
      <c r="E431" s="79"/>
      <c r="P431" s="79"/>
      <c r="Q431" s="79"/>
      <c r="R431" s="79"/>
      <c r="Y431" s="79"/>
      <c r="AC431" s="130"/>
      <c r="AE431" s="106"/>
    </row>
    <row r="432">
      <c r="C432" s="79"/>
      <c r="D432" s="79"/>
      <c r="E432" s="79"/>
      <c r="P432" s="79"/>
      <c r="Q432" s="79"/>
      <c r="R432" s="79"/>
      <c r="Y432" s="79"/>
      <c r="AC432" s="130"/>
      <c r="AE432" s="106"/>
    </row>
    <row r="433">
      <c r="C433" s="79"/>
      <c r="D433" s="79"/>
      <c r="E433" s="79"/>
      <c r="P433" s="79"/>
      <c r="Q433" s="79"/>
      <c r="R433" s="79"/>
      <c r="Y433" s="79"/>
      <c r="AC433" s="130"/>
      <c r="AE433" s="106"/>
    </row>
    <row r="434">
      <c r="C434" s="79"/>
      <c r="D434" s="79"/>
      <c r="E434" s="79"/>
      <c r="P434" s="79"/>
      <c r="Q434" s="79"/>
      <c r="R434" s="79"/>
      <c r="Y434" s="79"/>
      <c r="AC434" s="130"/>
      <c r="AE434" s="106"/>
    </row>
    <row r="435">
      <c r="C435" s="79"/>
      <c r="D435" s="79"/>
      <c r="E435" s="79"/>
      <c r="P435" s="79"/>
      <c r="Q435" s="79"/>
      <c r="R435" s="79"/>
      <c r="Y435" s="79"/>
      <c r="AC435" s="130"/>
      <c r="AE435" s="106"/>
    </row>
    <row r="436">
      <c r="C436" s="79"/>
      <c r="D436" s="79"/>
      <c r="E436" s="79"/>
      <c r="P436" s="79"/>
      <c r="Q436" s="79"/>
      <c r="R436" s="79"/>
      <c r="Y436" s="79"/>
      <c r="AC436" s="130"/>
      <c r="AE436" s="106"/>
    </row>
    <row r="437">
      <c r="C437" s="79"/>
      <c r="D437" s="79"/>
      <c r="E437" s="79"/>
      <c r="P437" s="79"/>
      <c r="Q437" s="79"/>
      <c r="R437" s="79"/>
      <c r="Y437" s="79"/>
      <c r="AC437" s="130"/>
      <c r="AE437" s="106"/>
    </row>
    <row r="438">
      <c r="C438" s="79"/>
      <c r="D438" s="79"/>
      <c r="E438" s="79"/>
      <c r="P438" s="79"/>
      <c r="Q438" s="79"/>
      <c r="R438" s="79"/>
      <c r="Y438" s="79"/>
      <c r="AC438" s="130"/>
      <c r="AE438" s="106"/>
    </row>
    <row r="439">
      <c r="C439" s="79"/>
      <c r="D439" s="79"/>
      <c r="E439" s="79"/>
      <c r="P439" s="79"/>
      <c r="Q439" s="79"/>
      <c r="R439" s="79"/>
      <c r="Y439" s="79"/>
      <c r="AC439" s="130"/>
      <c r="AE439" s="106"/>
    </row>
    <row r="440">
      <c r="C440" s="79"/>
      <c r="D440" s="79"/>
      <c r="E440" s="79"/>
      <c r="P440" s="79"/>
      <c r="Q440" s="79"/>
      <c r="R440" s="79"/>
      <c r="Y440" s="79"/>
      <c r="AC440" s="130"/>
      <c r="AE440" s="106"/>
    </row>
    <row r="441">
      <c r="C441" s="79"/>
      <c r="D441" s="79"/>
      <c r="E441" s="79"/>
      <c r="P441" s="79"/>
      <c r="Q441" s="79"/>
      <c r="R441" s="79"/>
      <c r="Y441" s="79"/>
      <c r="AC441" s="130"/>
      <c r="AE441" s="106"/>
    </row>
    <row r="442">
      <c r="C442" s="79"/>
      <c r="D442" s="79"/>
      <c r="E442" s="79"/>
      <c r="P442" s="79"/>
      <c r="Q442" s="79"/>
      <c r="R442" s="79"/>
      <c r="Y442" s="79"/>
      <c r="AC442" s="130"/>
      <c r="AE442" s="106"/>
    </row>
    <row r="443">
      <c r="C443" s="79"/>
      <c r="D443" s="79"/>
      <c r="E443" s="79"/>
      <c r="P443" s="79"/>
      <c r="Q443" s="79"/>
      <c r="R443" s="79"/>
      <c r="Y443" s="79"/>
      <c r="AC443" s="130"/>
      <c r="AE443" s="106"/>
    </row>
    <row r="444">
      <c r="C444" s="79"/>
      <c r="D444" s="79"/>
      <c r="E444" s="79"/>
      <c r="P444" s="79"/>
      <c r="Q444" s="79"/>
      <c r="R444" s="79"/>
      <c r="Y444" s="79"/>
      <c r="AC444" s="130"/>
      <c r="AE444" s="106"/>
    </row>
    <row r="445">
      <c r="C445" s="79"/>
      <c r="D445" s="79"/>
      <c r="E445" s="79"/>
      <c r="P445" s="79"/>
      <c r="Q445" s="79"/>
      <c r="R445" s="79"/>
      <c r="Y445" s="79"/>
      <c r="AC445" s="130"/>
      <c r="AE445" s="106"/>
    </row>
    <row r="446">
      <c r="C446" s="79"/>
      <c r="D446" s="79"/>
      <c r="E446" s="79"/>
      <c r="P446" s="79"/>
      <c r="Q446" s="79"/>
      <c r="R446" s="79"/>
      <c r="Y446" s="79"/>
      <c r="AC446" s="130"/>
      <c r="AE446" s="106"/>
    </row>
    <row r="447">
      <c r="C447" s="79"/>
      <c r="D447" s="79"/>
      <c r="E447" s="79"/>
      <c r="P447" s="79"/>
      <c r="Q447" s="79"/>
      <c r="R447" s="79"/>
      <c r="Y447" s="79"/>
      <c r="AC447" s="130"/>
      <c r="AE447" s="106"/>
    </row>
    <row r="448">
      <c r="C448" s="79"/>
      <c r="D448" s="79"/>
      <c r="E448" s="79"/>
      <c r="P448" s="79"/>
      <c r="Q448" s="79"/>
      <c r="R448" s="79"/>
      <c r="Y448" s="79"/>
      <c r="AC448" s="130"/>
      <c r="AE448" s="106"/>
    </row>
    <row r="449">
      <c r="C449" s="79"/>
      <c r="D449" s="79"/>
      <c r="E449" s="79"/>
      <c r="P449" s="79"/>
      <c r="Q449" s="79"/>
      <c r="R449" s="79"/>
      <c r="Y449" s="79"/>
      <c r="AC449" s="130"/>
      <c r="AE449" s="106"/>
    </row>
    <row r="450">
      <c r="C450" s="79"/>
      <c r="D450" s="79"/>
      <c r="E450" s="79"/>
      <c r="P450" s="79"/>
      <c r="Q450" s="79"/>
      <c r="R450" s="79"/>
      <c r="Y450" s="79"/>
      <c r="AC450" s="130"/>
      <c r="AE450" s="106"/>
    </row>
    <row r="451">
      <c r="C451" s="79"/>
      <c r="D451" s="79"/>
      <c r="E451" s="79"/>
      <c r="P451" s="79"/>
      <c r="Q451" s="79"/>
      <c r="R451" s="79"/>
      <c r="Y451" s="79"/>
      <c r="AC451" s="130"/>
      <c r="AE451" s="106"/>
    </row>
    <row r="452">
      <c r="C452" s="79"/>
      <c r="D452" s="79"/>
      <c r="E452" s="79"/>
      <c r="P452" s="79"/>
      <c r="Q452" s="79"/>
      <c r="R452" s="79"/>
      <c r="Y452" s="79"/>
      <c r="AC452" s="130"/>
      <c r="AE452" s="106"/>
    </row>
    <row r="453">
      <c r="C453" s="79"/>
      <c r="D453" s="79"/>
      <c r="E453" s="79"/>
      <c r="P453" s="79"/>
      <c r="Q453" s="79"/>
      <c r="R453" s="79"/>
      <c r="Y453" s="79"/>
      <c r="AC453" s="130"/>
      <c r="AE453" s="106"/>
    </row>
    <row r="454">
      <c r="C454" s="79"/>
      <c r="D454" s="79"/>
      <c r="E454" s="79"/>
      <c r="P454" s="79"/>
      <c r="Q454" s="79"/>
      <c r="R454" s="79"/>
      <c r="Y454" s="79"/>
      <c r="AC454" s="130"/>
      <c r="AE454" s="106"/>
    </row>
    <row r="455">
      <c r="C455" s="79"/>
      <c r="D455" s="79"/>
      <c r="E455" s="79"/>
      <c r="P455" s="79"/>
      <c r="Q455" s="79"/>
      <c r="R455" s="79"/>
      <c r="Y455" s="79"/>
      <c r="AC455" s="130"/>
      <c r="AE455" s="106"/>
    </row>
    <row r="456">
      <c r="C456" s="79"/>
      <c r="D456" s="79"/>
      <c r="E456" s="79"/>
      <c r="P456" s="79"/>
      <c r="Q456" s="79"/>
      <c r="R456" s="79"/>
      <c r="Y456" s="79"/>
      <c r="AC456" s="130"/>
      <c r="AE456" s="106"/>
    </row>
    <row r="457">
      <c r="C457" s="79"/>
      <c r="D457" s="79"/>
      <c r="E457" s="79"/>
      <c r="P457" s="79"/>
      <c r="Q457" s="79"/>
      <c r="R457" s="79"/>
      <c r="Y457" s="79"/>
      <c r="AC457" s="130"/>
      <c r="AE457" s="106"/>
    </row>
    <row r="458">
      <c r="C458" s="79"/>
      <c r="D458" s="79"/>
      <c r="E458" s="79"/>
      <c r="P458" s="79"/>
      <c r="Q458" s="79"/>
      <c r="R458" s="79"/>
      <c r="Y458" s="79"/>
      <c r="AC458" s="130"/>
      <c r="AE458" s="106"/>
    </row>
    <row r="459">
      <c r="C459" s="79"/>
      <c r="D459" s="79"/>
      <c r="E459" s="79"/>
      <c r="P459" s="79"/>
      <c r="Q459" s="79"/>
      <c r="R459" s="79"/>
      <c r="Y459" s="79"/>
      <c r="AC459" s="130"/>
      <c r="AE459" s="106"/>
    </row>
    <row r="460">
      <c r="C460" s="79"/>
      <c r="D460" s="79"/>
      <c r="E460" s="79"/>
      <c r="P460" s="79"/>
      <c r="Q460" s="79"/>
      <c r="R460" s="79"/>
      <c r="Y460" s="79"/>
      <c r="AC460" s="130"/>
      <c r="AE460" s="106"/>
    </row>
    <row r="461">
      <c r="C461" s="79"/>
      <c r="D461" s="79"/>
      <c r="E461" s="79"/>
      <c r="P461" s="79"/>
      <c r="Q461" s="79"/>
      <c r="R461" s="79"/>
      <c r="Y461" s="79"/>
      <c r="AC461" s="130"/>
      <c r="AE461" s="106"/>
    </row>
    <row r="462">
      <c r="C462" s="79"/>
      <c r="D462" s="79"/>
      <c r="E462" s="79"/>
      <c r="P462" s="79"/>
      <c r="Q462" s="79"/>
      <c r="R462" s="79"/>
      <c r="Y462" s="79"/>
      <c r="AC462" s="130"/>
      <c r="AE462" s="106"/>
    </row>
    <row r="463">
      <c r="C463" s="79"/>
      <c r="D463" s="79"/>
      <c r="E463" s="79"/>
      <c r="P463" s="79"/>
      <c r="Q463" s="79"/>
      <c r="R463" s="79"/>
      <c r="Y463" s="79"/>
      <c r="AC463" s="130"/>
      <c r="AE463" s="106"/>
    </row>
    <row r="464">
      <c r="C464" s="79"/>
      <c r="D464" s="79"/>
      <c r="E464" s="79"/>
      <c r="P464" s="79"/>
      <c r="Q464" s="79"/>
      <c r="R464" s="79"/>
      <c r="Y464" s="79"/>
      <c r="AC464" s="130"/>
      <c r="AE464" s="106"/>
    </row>
    <row r="465">
      <c r="C465" s="79"/>
      <c r="D465" s="79"/>
      <c r="E465" s="79"/>
      <c r="P465" s="79"/>
      <c r="Q465" s="79"/>
      <c r="R465" s="79"/>
      <c r="Y465" s="79"/>
      <c r="AC465" s="130"/>
      <c r="AE465" s="106"/>
    </row>
    <row r="466">
      <c r="C466" s="79"/>
      <c r="D466" s="79"/>
      <c r="E466" s="79"/>
      <c r="P466" s="79"/>
      <c r="Q466" s="79"/>
      <c r="R466" s="79"/>
      <c r="Y466" s="79"/>
      <c r="AC466" s="130"/>
      <c r="AE466" s="106"/>
    </row>
    <row r="467">
      <c r="C467" s="79"/>
      <c r="D467" s="79"/>
      <c r="E467" s="79"/>
      <c r="P467" s="79"/>
      <c r="Q467" s="79"/>
      <c r="R467" s="79"/>
      <c r="Y467" s="79"/>
      <c r="AC467" s="130"/>
      <c r="AE467" s="106"/>
    </row>
    <row r="468">
      <c r="C468" s="79"/>
      <c r="D468" s="79"/>
      <c r="E468" s="79"/>
      <c r="P468" s="79"/>
      <c r="Q468" s="79"/>
      <c r="R468" s="79"/>
      <c r="Y468" s="79"/>
      <c r="AC468" s="130"/>
      <c r="AE468" s="106"/>
    </row>
    <row r="469">
      <c r="C469" s="79"/>
      <c r="D469" s="79"/>
      <c r="E469" s="79"/>
      <c r="P469" s="79"/>
      <c r="Q469" s="79"/>
      <c r="R469" s="79"/>
      <c r="Y469" s="79"/>
      <c r="AC469" s="130"/>
      <c r="AE469" s="106"/>
    </row>
    <row r="470">
      <c r="C470" s="79"/>
      <c r="D470" s="79"/>
      <c r="E470" s="79"/>
      <c r="P470" s="79"/>
      <c r="Q470" s="79"/>
      <c r="R470" s="79"/>
      <c r="Y470" s="79"/>
      <c r="AC470" s="130"/>
      <c r="AE470" s="106"/>
    </row>
    <row r="471">
      <c r="C471" s="79"/>
      <c r="D471" s="79"/>
      <c r="E471" s="79"/>
      <c r="P471" s="79"/>
      <c r="Q471" s="79"/>
      <c r="R471" s="79"/>
      <c r="Y471" s="79"/>
      <c r="AC471" s="130"/>
      <c r="AE471" s="106"/>
    </row>
    <row r="472">
      <c r="C472" s="79"/>
      <c r="D472" s="79"/>
      <c r="E472" s="79"/>
      <c r="P472" s="79"/>
      <c r="Q472" s="79"/>
      <c r="R472" s="79"/>
      <c r="Y472" s="79"/>
      <c r="AC472" s="130"/>
      <c r="AE472" s="106"/>
    </row>
    <row r="473">
      <c r="C473" s="79"/>
      <c r="D473" s="79"/>
      <c r="E473" s="79"/>
      <c r="P473" s="79"/>
      <c r="Q473" s="79"/>
      <c r="R473" s="79"/>
      <c r="Y473" s="79"/>
      <c r="AC473" s="130"/>
      <c r="AE473" s="106"/>
    </row>
    <row r="474">
      <c r="C474" s="79"/>
      <c r="D474" s="79"/>
      <c r="E474" s="79"/>
      <c r="P474" s="79"/>
      <c r="Q474" s="79"/>
      <c r="R474" s="79"/>
      <c r="Y474" s="79"/>
      <c r="AC474" s="130"/>
      <c r="AE474" s="106"/>
    </row>
    <row r="475">
      <c r="C475" s="79"/>
      <c r="D475" s="79"/>
      <c r="E475" s="79"/>
      <c r="P475" s="79"/>
      <c r="Q475" s="79"/>
      <c r="R475" s="79"/>
      <c r="Y475" s="79"/>
      <c r="AC475" s="130"/>
      <c r="AE475" s="106"/>
    </row>
    <row r="476">
      <c r="C476" s="79"/>
      <c r="D476" s="79"/>
      <c r="E476" s="79"/>
      <c r="P476" s="79"/>
      <c r="Q476" s="79"/>
      <c r="R476" s="79"/>
      <c r="Y476" s="79"/>
      <c r="AC476" s="130"/>
      <c r="AE476" s="106"/>
    </row>
    <row r="477">
      <c r="C477" s="79"/>
      <c r="D477" s="79"/>
      <c r="E477" s="79"/>
      <c r="P477" s="79"/>
      <c r="Q477" s="79"/>
      <c r="R477" s="79"/>
      <c r="Y477" s="79"/>
      <c r="AC477" s="130"/>
      <c r="AE477" s="106"/>
    </row>
    <row r="478">
      <c r="C478" s="79"/>
      <c r="D478" s="79"/>
      <c r="E478" s="79"/>
      <c r="P478" s="79"/>
      <c r="Q478" s="79"/>
      <c r="R478" s="79"/>
      <c r="Y478" s="79"/>
      <c r="AC478" s="130"/>
      <c r="AE478" s="106"/>
    </row>
    <row r="479">
      <c r="C479" s="79"/>
      <c r="D479" s="79"/>
      <c r="E479" s="79"/>
      <c r="P479" s="79"/>
      <c r="Q479" s="79"/>
      <c r="R479" s="79"/>
      <c r="Y479" s="79"/>
      <c r="AC479" s="130"/>
      <c r="AE479" s="106"/>
    </row>
    <row r="480">
      <c r="C480" s="79"/>
      <c r="D480" s="79"/>
      <c r="E480" s="79"/>
      <c r="P480" s="79"/>
      <c r="Q480" s="79"/>
      <c r="R480" s="79"/>
      <c r="Y480" s="79"/>
      <c r="AC480" s="130"/>
      <c r="AE480" s="106"/>
    </row>
    <row r="481">
      <c r="C481" s="79"/>
      <c r="D481" s="79"/>
      <c r="E481" s="79"/>
      <c r="P481" s="79"/>
      <c r="Q481" s="79"/>
      <c r="R481" s="79"/>
      <c r="Y481" s="79"/>
      <c r="AC481" s="130"/>
      <c r="AE481" s="106"/>
    </row>
    <row r="482">
      <c r="C482" s="79"/>
      <c r="D482" s="79"/>
      <c r="E482" s="79"/>
      <c r="P482" s="79"/>
      <c r="Q482" s="79"/>
      <c r="R482" s="79"/>
      <c r="Y482" s="79"/>
      <c r="AC482" s="130"/>
      <c r="AE482" s="106"/>
    </row>
    <row r="483">
      <c r="C483" s="79"/>
      <c r="D483" s="79"/>
      <c r="E483" s="79"/>
      <c r="P483" s="79"/>
      <c r="Q483" s="79"/>
      <c r="R483" s="79"/>
      <c r="Y483" s="79"/>
      <c r="AC483" s="130"/>
      <c r="AE483" s="106"/>
    </row>
    <row r="484">
      <c r="C484" s="79"/>
      <c r="D484" s="79"/>
      <c r="E484" s="79"/>
      <c r="P484" s="79"/>
      <c r="Q484" s="79"/>
      <c r="R484" s="79"/>
      <c r="Y484" s="79"/>
      <c r="AC484" s="130"/>
      <c r="AE484" s="106"/>
    </row>
    <row r="485">
      <c r="C485" s="79"/>
      <c r="D485" s="79"/>
      <c r="E485" s="79"/>
      <c r="P485" s="79"/>
      <c r="Q485" s="79"/>
      <c r="R485" s="79"/>
      <c r="Y485" s="79"/>
      <c r="AC485" s="130"/>
      <c r="AE485" s="106"/>
    </row>
    <row r="486">
      <c r="C486" s="79"/>
      <c r="D486" s="79"/>
      <c r="E486" s="79"/>
      <c r="P486" s="79"/>
      <c r="Q486" s="79"/>
      <c r="R486" s="79"/>
      <c r="Y486" s="79"/>
      <c r="AC486" s="130"/>
      <c r="AE486" s="106"/>
    </row>
    <row r="487">
      <c r="C487" s="79"/>
      <c r="D487" s="79"/>
      <c r="E487" s="79"/>
      <c r="P487" s="79"/>
      <c r="Q487" s="79"/>
      <c r="R487" s="79"/>
      <c r="Y487" s="79"/>
      <c r="AC487" s="130"/>
      <c r="AE487" s="106"/>
    </row>
    <row r="488">
      <c r="C488" s="79"/>
      <c r="D488" s="79"/>
      <c r="E488" s="79"/>
      <c r="P488" s="79"/>
      <c r="Q488" s="79"/>
      <c r="R488" s="79"/>
      <c r="Y488" s="79"/>
      <c r="AC488" s="130"/>
      <c r="AE488" s="106"/>
    </row>
    <row r="489">
      <c r="C489" s="79"/>
      <c r="D489" s="79"/>
      <c r="E489" s="79"/>
      <c r="P489" s="79"/>
      <c r="Q489" s="79"/>
      <c r="R489" s="79"/>
      <c r="Y489" s="79"/>
      <c r="AC489" s="130"/>
      <c r="AE489" s="106"/>
    </row>
    <row r="490">
      <c r="C490" s="79"/>
      <c r="D490" s="79"/>
      <c r="E490" s="79"/>
      <c r="P490" s="79"/>
      <c r="Q490" s="79"/>
      <c r="R490" s="79"/>
      <c r="Y490" s="79"/>
      <c r="AC490" s="130"/>
      <c r="AE490" s="106"/>
    </row>
    <row r="491">
      <c r="C491" s="79"/>
      <c r="D491" s="79"/>
      <c r="E491" s="79"/>
      <c r="P491" s="79"/>
      <c r="Q491" s="79"/>
      <c r="R491" s="79"/>
      <c r="Y491" s="79"/>
      <c r="AC491" s="130"/>
      <c r="AE491" s="106"/>
    </row>
    <row r="492">
      <c r="C492" s="79"/>
      <c r="D492" s="79"/>
      <c r="E492" s="79"/>
      <c r="P492" s="79"/>
      <c r="Q492" s="79"/>
      <c r="R492" s="79"/>
      <c r="Y492" s="79"/>
      <c r="AC492" s="130"/>
      <c r="AE492" s="106"/>
    </row>
    <row r="493">
      <c r="C493" s="79"/>
      <c r="D493" s="79"/>
      <c r="E493" s="79"/>
      <c r="P493" s="79"/>
      <c r="Q493" s="79"/>
      <c r="R493" s="79"/>
      <c r="Y493" s="79"/>
      <c r="AC493" s="130"/>
      <c r="AE493" s="106"/>
    </row>
    <row r="494">
      <c r="C494" s="79"/>
      <c r="D494" s="79"/>
      <c r="E494" s="79"/>
      <c r="P494" s="79"/>
      <c r="Q494" s="79"/>
      <c r="R494" s="79"/>
      <c r="Y494" s="79"/>
      <c r="AC494" s="130"/>
      <c r="AE494" s="106"/>
    </row>
    <row r="495">
      <c r="C495" s="79"/>
      <c r="D495" s="79"/>
      <c r="E495" s="79"/>
      <c r="P495" s="79"/>
      <c r="Q495" s="79"/>
      <c r="R495" s="79"/>
      <c r="Y495" s="79"/>
      <c r="AC495" s="130"/>
      <c r="AE495" s="106"/>
    </row>
    <row r="496">
      <c r="C496" s="79"/>
      <c r="D496" s="79"/>
      <c r="E496" s="79"/>
      <c r="P496" s="79"/>
      <c r="Q496" s="79"/>
      <c r="R496" s="79"/>
      <c r="Y496" s="79"/>
      <c r="AC496" s="130"/>
      <c r="AE496" s="106"/>
    </row>
    <row r="497">
      <c r="C497" s="79"/>
      <c r="D497" s="79"/>
      <c r="E497" s="79"/>
      <c r="P497" s="79"/>
      <c r="Q497" s="79"/>
      <c r="R497" s="79"/>
      <c r="Y497" s="79"/>
      <c r="AC497" s="130"/>
      <c r="AE497" s="106"/>
    </row>
    <row r="498">
      <c r="C498" s="79"/>
      <c r="D498" s="79"/>
      <c r="E498" s="79"/>
      <c r="P498" s="79"/>
      <c r="Q498" s="79"/>
      <c r="R498" s="79"/>
      <c r="Y498" s="79"/>
      <c r="AC498" s="130"/>
      <c r="AE498" s="106"/>
    </row>
    <row r="499">
      <c r="C499" s="79"/>
      <c r="D499" s="79"/>
      <c r="E499" s="79"/>
      <c r="P499" s="79"/>
      <c r="Q499" s="79"/>
      <c r="R499" s="79"/>
      <c r="Y499" s="79"/>
      <c r="AC499" s="130"/>
      <c r="AE499" s="106"/>
    </row>
    <row r="500">
      <c r="C500" s="79"/>
      <c r="D500" s="79"/>
      <c r="E500" s="79"/>
      <c r="P500" s="79"/>
      <c r="Q500" s="79"/>
      <c r="R500" s="79"/>
      <c r="Y500" s="79"/>
      <c r="AC500" s="130"/>
      <c r="AE500" s="106"/>
    </row>
    <row r="501">
      <c r="C501" s="79"/>
      <c r="D501" s="79"/>
      <c r="E501" s="79"/>
      <c r="P501" s="79"/>
      <c r="Q501" s="79"/>
      <c r="R501" s="79"/>
      <c r="Y501" s="79"/>
      <c r="AC501" s="130"/>
      <c r="AE501" s="106"/>
    </row>
    <row r="502">
      <c r="C502" s="79"/>
      <c r="D502" s="79"/>
      <c r="E502" s="79"/>
      <c r="P502" s="79"/>
      <c r="Q502" s="79"/>
      <c r="R502" s="79"/>
      <c r="Y502" s="79"/>
      <c r="AC502" s="130"/>
      <c r="AE502" s="106"/>
    </row>
    <row r="503">
      <c r="C503" s="79"/>
      <c r="D503" s="79"/>
      <c r="E503" s="79"/>
      <c r="P503" s="79"/>
      <c r="Q503" s="79"/>
      <c r="R503" s="79"/>
      <c r="Y503" s="79"/>
      <c r="AC503" s="130"/>
      <c r="AE503" s="106"/>
    </row>
    <row r="504">
      <c r="C504" s="79"/>
      <c r="D504" s="79"/>
      <c r="E504" s="79"/>
      <c r="P504" s="79"/>
      <c r="Q504" s="79"/>
      <c r="R504" s="79"/>
      <c r="Y504" s="79"/>
      <c r="AC504" s="130"/>
      <c r="AE504" s="106"/>
    </row>
    <row r="505">
      <c r="C505" s="79"/>
      <c r="D505" s="79"/>
      <c r="E505" s="79"/>
      <c r="P505" s="79"/>
      <c r="Q505" s="79"/>
      <c r="R505" s="79"/>
      <c r="Y505" s="79"/>
      <c r="AC505" s="130"/>
      <c r="AE505" s="106"/>
    </row>
    <row r="506">
      <c r="C506" s="79"/>
      <c r="D506" s="79"/>
      <c r="E506" s="79"/>
      <c r="P506" s="79"/>
      <c r="Q506" s="79"/>
      <c r="R506" s="79"/>
      <c r="Y506" s="79"/>
      <c r="AC506" s="130"/>
      <c r="AE506" s="106"/>
    </row>
    <row r="507">
      <c r="C507" s="79"/>
      <c r="D507" s="79"/>
      <c r="E507" s="79"/>
      <c r="P507" s="79"/>
      <c r="Q507" s="79"/>
      <c r="R507" s="79"/>
      <c r="Y507" s="79"/>
      <c r="AC507" s="130"/>
      <c r="AE507" s="106"/>
    </row>
    <row r="508">
      <c r="C508" s="79"/>
      <c r="D508" s="79"/>
      <c r="E508" s="79"/>
      <c r="P508" s="79"/>
      <c r="Q508" s="79"/>
      <c r="R508" s="79"/>
      <c r="Y508" s="79"/>
      <c r="AC508" s="130"/>
      <c r="AE508" s="106"/>
    </row>
    <row r="509">
      <c r="C509" s="79"/>
      <c r="D509" s="79"/>
      <c r="E509" s="79"/>
      <c r="P509" s="79"/>
      <c r="Q509" s="79"/>
      <c r="R509" s="79"/>
      <c r="Y509" s="79"/>
      <c r="AC509" s="130"/>
      <c r="AE509" s="106"/>
    </row>
    <row r="510">
      <c r="C510" s="79"/>
      <c r="D510" s="79"/>
      <c r="E510" s="79"/>
      <c r="P510" s="79"/>
      <c r="Q510" s="79"/>
      <c r="R510" s="79"/>
      <c r="Y510" s="79"/>
      <c r="AC510" s="130"/>
      <c r="AE510" s="106"/>
    </row>
    <row r="511">
      <c r="C511" s="79"/>
      <c r="D511" s="79"/>
      <c r="E511" s="79"/>
      <c r="P511" s="79"/>
      <c r="Q511" s="79"/>
      <c r="R511" s="79"/>
      <c r="Y511" s="79"/>
      <c r="AC511" s="130"/>
      <c r="AE511" s="106"/>
    </row>
    <row r="512">
      <c r="C512" s="79"/>
      <c r="D512" s="79"/>
      <c r="E512" s="79"/>
      <c r="P512" s="79"/>
      <c r="Q512" s="79"/>
      <c r="R512" s="79"/>
      <c r="Y512" s="79"/>
      <c r="AC512" s="130"/>
      <c r="AE512" s="106"/>
    </row>
    <row r="513">
      <c r="C513" s="79"/>
      <c r="D513" s="79"/>
      <c r="E513" s="79"/>
      <c r="P513" s="79"/>
      <c r="Q513" s="79"/>
      <c r="R513" s="79"/>
      <c r="Y513" s="79"/>
      <c r="AC513" s="130"/>
      <c r="AE513" s="106"/>
    </row>
    <row r="514">
      <c r="C514" s="79"/>
      <c r="D514" s="79"/>
      <c r="E514" s="79"/>
      <c r="P514" s="79"/>
      <c r="Q514" s="79"/>
      <c r="R514" s="79"/>
      <c r="Y514" s="79"/>
      <c r="AC514" s="130"/>
      <c r="AE514" s="106"/>
    </row>
    <row r="515">
      <c r="C515" s="79"/>
      <c r="D515" s="79"/>
      <c r="E515" s="79"/>
      <c r="P515" s="79"/>
      <c r="Q515" s="79"/>
      <c r="R515" s="79"/>
      <c r="Y515" s="79"/>
      <c r="AC515" s="130"/>
      <c r="AE515" s="106"/>
    </row>
    <row r="516">
      <c r="C516" s="79"/>
      <c r="D516" s="79"/>
      <c r="E516" s="79"/>
      <c r="P516" s="79"/>
      <c r="Q516" s="79"/>
      <c r="R516" s="79"/>
      <c r="Y516" s="79"/>
      <c r="AC516" s="130"/>
      <c r="AE516" s="106"/>
    </row>
    <row r="517">
      <c r="C517" s="79"/>
      <c r="D517" s="79"/>
      <c r="E517" s="79"/>
      <c r="P517" s="79"/>
      <c r="Q517" s="79"/>
      <c r="R517" s="79"/>
      <c r="Y517" s="79"/>
      <c r="AC517" s="130"/>
      <c r="AE517" s="106"/>
    </row>
    <row r="518">
      <c r="C518" s="79"/>
      <c r="D518" s="79"/>
      <c r="E518" s="79"/>
      <c r="P518" s="79"/>
      <c r="Q518" s="79"/>
      <c r="R518" s="79"/>
      <c r="Y518" s="79"/>
      <c r="AC518" s="130"/>
      <c r="AE518" s="106"/>
    </row>
    <row r="519">
      <c r="C519" s="79"/>
      <c r="D519" s="79"/>
      <c r="E519" s="79"/>
      <c r="P519" s="79"/>
      <c r="Q519" s="79"/>
      <c r="R519" s="79"/>
      <c r="Y519" s="79"/>
      <c r="AC519" s="130"/>
      <c r="AE519" s="106"/>
    </row>
    <row r="520">
      <c r="C520" s="79"/>
      <c r="D520" s="79"/>
      <c r="E520" s="79"/>
      <c r="P520" s="79"/>
      <c r="Q520" s="79"/>
      <c r="R520" s="79"/>
      <c r="Y520" s="79"/>
      <c r="AC520" s="130"/>
      <c r="AE520" s="106"/>
    </row>
    <row r="521">
      <c r="C521" s="79"/>
      <c r="D521" s="79"/>
      <c r="E521" s="79"/>
      <c r="P521" s="79"/>
      <c r="Q521" s="79"/>
      <c r="R521" s="79"/>
      <c r="Y521" s="79"/>
      <c r="AC521" s="130"/>
      <c r="AE521" s="106"/>
    </row>
    <row r="522">
      <c r="C522" s="79"/>
      <c r="D522" s="79"/>
      <c r="E522" s="79"/>
      <c r="P522" s="79"/>
      <c r="Q522" s="79"/>
      <c r="R522" s="79"/>
      <c r="Y522" s="79"/>
      <c r="AC522" s="130"/>
      <c r="AE522" s="106"/>
    </row>
    <row r="523">
      <c r="C523" s="79"/>
      <c r="D523" s="79"/>
      <c r="E523" s="79"/>
      <c r="P523" s="79"/>
      <c r="Q523" s="79"/>
      <c r="R523" s="79"/>
      <c r="Y523" s="79"/>
      <c r="AC523" s="130"/>
      <c r="AE523" s="106"/>
    </row>
    <row r="524">
      <c r="C524" s="79"/>
      <c r="D524" s="79"/>
      <c r="E524" s="79"/>
      <c r="P524" s="79"/>
      <c r="Q524" s="79"/>
      <c r="R524" s="79"/>
      <c r="Y524" s="79"/>
      <c r="AC524" s="130"/>
      <c r="AE524" s="106"/>
    </row>
    <row r="525">
      <c r="C525" s="79"/>
      <c r="D525" s="79"/>
      <c r="E525" s="79"/>
      <c r="P525" s="79"/>
      <c r="Q525" s="79"/>
      <c r="R525" s="79"/>
      <c r="Y525" s="79"/>
      <c r="AC525" s="130"/>
      <c r="AE525" s="106"/>
    </row>
    <row r="526">
      <c r="C526" s="79"/>
      <c r="D526" s="79"/>
      <c r="E526" s="79"/>
      <c r="P526" s="79"/>
      <c r="Q526" s="79"/>
      <c r="R526" s="79"/>
      <c r="Y526" s="79"/>
      <c r="AC526" s="130"/>
      <c r="AE526" s="106"/>
    </row>
    <row r="527">
      <c r="C527" s="79"/>
      <c r="D527" s="79"/>
      <c r="E527" s="79"/>
      <c r="P527" s="79"/>
      <c r="Q527" s="79"/>
      <c r="R527" s="79"/>
      <c r="Y527" s="79"/>
      <c r="AC527" s="130"/>
      <c r="AE527" s="106"/>
    </row>
    <row r="528">
      <c r="C528" s="79"/>
      <c r="D528" s="79"/>
      <c r="E528" s="79"/>
      <c r="P528" s="79"/>
      <c r="Q528" s="79"/>
      <c r="R528" s="79"/>
      <c r="Y528" s="79"/>
      <c r="AC528" s="130"/>
      <c r="AE528" s="106"/>
    </row>
    <row r="529">
      <c r="C529" s="79"/>
      <c r="D529" s="79"/>
      <c r="E529" s="79"/>
      <c r="P529" s="79"/>
      <c r="Q529" s="79"/>
      <c r="R529" s="79"/>
      <c r="Y529" s="79"/>
      <c r="AC529" s="130"/>
      <c r="AE529" s="106"/>
    </row>
    <row r="530">
      <c r="C530" s="79"/>
      <c r="D530" s="79"/>
      <c r="E530" s="79"/>
      <c r="P530" s="79"/>
      <c r="Q530" s="79"/>
      <c r="R530" s="79"/>
      <c r="Y530" s="79"/>
      <c r="AC530" s="130"/>
      <c r="AE530" s="106"/>
    </row>
    <row r="531">
      <c r="C531" s="79"/>
      <c r="D531" s="79"/>
      <c r="E531" s="79"/>
      <c r="P531" s="79"/>
      <c r="Q531" s="79"/>
      <c r="R531" s="79"/>
      <c r="Y531" s="79"/>
      <c r="AC531" s="130"/>
      <c r="AE531" s="106"/>
    </row>
    <row r="532">
      <c r="C532" s="79"/>
      <c r="D532" s="79"/>
      <c r="E532" s="79"/>
      <c r="P532" s="79"/>
      <c r="Q532" s="79"/>
      <c r="R532" s="79"/>
      <c r="Y532" s="79"/>
      <c r="AC532" s="130"/>
      <c r="AE532" s="106"/>
    </row>
    <row r="533">
      <c r="C533" s="79"/>
      <c r="D533" s="79"/>
      <c r="E533" s="79"/>
      <c r="P533" s="79"/>
      <c r="Q533" s="79"/>
      <c r="R533" s="79"/>
      <c r="Y533" s="79"/>
      <c r="AC533" s="130"/>
      <c r="AE533" s="106"/>
    </row>
    <row r="534">
      <c r="C534" s="79"/>
      <c r="D534" s="79"/>
      <c r="E534" s="79"/>
      <c r="P534" s="79"/>
      <c r="Q534" s="79"/>
      <c r="R534" s="79"/>
      <c r="Y534" s="79"/>
      <c r="AC534" s="130"/>
      <c r="AE534" s="106"/>
    </row>
    <row r="535">
      <c r="C535" s="79"/>
      <c r="D535" s="79"/>
      <c r="E535" s="79"/>
      <c r="P535" s="79"/>
      <c r="Q535" s="79"/>
      <c r="R535" s="79"/>
      <c r="Y535" s="79"/>
      <c r="AC535" s="130"/>
      <c r="AE535" s="106"/>
    </row>
    <row r="536">
      <c r="C536" s="79"/>
      <c r="D536" s="79"/>
      <c r="E536" s="79"/>
      <c r="P536" s="79"/>
      <c r="Q536" s="79"/>
      <c r="R536" s="79"/>
      <c r="Y536" s="79"/>
      <c r="AC536" s="130"/>
      <c r="AE536" s="106"/>
    </row>
    <row r="537">
      <c r="C537" s="79"/>
      <c r="D537" s="79"/>
      <c r="E537" s="79"/>
      <c r="P537" s="79"/>
      <c r="Q537" s="79"/>
      <c r="R537" s="79"/>
      <c r="Y537" s="79"/>
      <c r="AC537" s="130"/>
      <c r="AE537" s="106"/>
    </row>
    <row r="538">
      <c r="C538" s="79"/>
      <c r="D538" s="79"/>
      <c r="E538" s="79"/>
      <c r="P538" s="79"/>
      <c r="Q538" s="79"/>
      <c r="R538" s="79"/>
      <c r="Y538" s="79"/>
      <c r="AC538" s="130"/>
      <c r="AE538" s="106"/>
    </row>
    <row r="539">
      <c r="C539" s="79"/>
      <c r="D539" s="79"/>
      <c r="E539" s="79"/>
      <c r="P539" s="79"/>
      <c r="Q539" s="79"/>
      <c r="R539" s="79"/>
      <c r="Y539" s="79"/>
      <c r="AC539" s="130"/>
      <c r="AE539" s="106"/>
    </row>
    <row r="540">
      <c r="C540" s="79"/>
      <c r="D540" s="79"/>
      <c r="E540" s="79"/>
      <c r="P540" s="79"/>
      <c r="Q540" s="79"/>
      <c r="R540" s="79"/>
      <c r="Y540" s="79"/>
      <c r="AC540" s="130"/>
      <c r="AE540" s="106"/>
    </row>
    <row r="541">
      <c r="C541" s="79"/>
      <c r="D541" s="79"/>
      <c r="E541" s="79"/>
      <c r="P541" s="79"/>
      <c r="Q541" s="79"/>
      <c r="R541" s="79"/>
      <c r="Y541" s="79"/>
      <c r="AC541" s="130"/>
      <c r="AE541" s="106"/>
    </row>
    <row r="542">
      <c r="C542" s="79"/>
      <c r="D542" s="79"/>
      <c r="E542" s="79"/>
      <c r="P542" s="79"/>
      <c r="Q542" s="79"/>
      <c r="R542" s="79"/>
      <c r="Y542" s="79"/>
      <c r="AC542" s="130"/>
      <c r="AE542" s="106"/>
    </row>
    <row r="543">
      <c r="C543" s="79"/>
      <c r="D543" s="79"/>
      <c r="E543" s="79"/>
      <c r="P543" s="79"/>
      <c r="Q543" s="79"/>
      <c r="R543" s="79"/>
      <c r="Y543" s="79"/>
      <c r="AC543" s="130"/>
      <c r="AE543" s="106"/>
    </row>
    <row r="544">
      <c r="C544" s="79"/>
      <c r="D544" s="79"/>
      <c r="E544" s="79"/>
      <c r="P544" s="79"/>
      <c r="Q544" s="79"/>
      <c r="R544" s="79"/>
      <c r="Y544" s="79"/>
      <c r="AC544" s="130"/>
      <c r="AE544" s="106"/>
    </row>
    <row r="545">
      <c r="C545" s="79"/>
      <c r="D545" s="79"/>
      <c r="E545" s="79"/>
      <c r="P545" s="79"/>
      <c r="Q545" s="79"/>
      <c r="R545" s="79"/>
      <c r="Y545" s="79"/>
      <c r="AC545" s="130"/>
      <c r="AE545" s="106"/>
    </row>
    <row r="546">
      <c r="C546" s="79"/>
      <c r="D546" s="79"/>
      <c r="E546" s="79"/>
      <c r="P546" s="79"/>
      <c r="Q546" s="79"/>
      <c r="R546" s="79"/>
      <c r="Y546" s="79"/>
      <c r="AC546" s="130"/>
      <c r="AE546" s="106"/>
    </row>
    <row r="547">
      <c r="C547" s="79"/>
      <c r="D547" s="79"/>
      <c r="E547" s="79"/>
      <c r="P547" s="79"/>
      <c r="Q547" s="79"/>
      <c r="R547" s="79"/>
      <c r="Y547" s="79"/>
      <c r="AC547" s="130"/>
      <c r="AE547" s="106"/>
    </row>
    <row r="548">
      <c r="C548" s="79"/>
      <c r="D548" s="79"/>
      <c r="E548" s="79"/>
      <c r="P548" s="79"/>
      <c r="Q548" s="79"/>
      <c r="R548" s="79"/>
      <c r="Y548" s="79"/>
      <c r="AC548" s="130"/>
      <c r="AE548" s="106"/>
    </row>
    <row r="549">
      <c r="C549" s="79"/>
      <c r="D549" s="79"/>
      <c r="E549" s="79"/>
      <c r="P549" s="79"/>
      <c r="Q549" s="79"/>
      <c r="R549" s="79"/>
      <c r="Y549" s="79"/>
      <c r="AC549" s="130"/>
      <c r="AE549" s="106"/>
    </row>
    <row r="550">
      <c r="C550" s="79"/>
      <c r="D550" s="79"/>
      <c r="E550" s="79"/>
      <c r="P550" s="79"/>
      <c r="Q550" s="79"/>
      <c r="R550" s="79"/>
      <c r="Y550" s="79"/>
      <c r="AC550" s="130"/>
      <c r="AE550" s="106"/>
    </row>
    <row r="551">
      <c r="C551" s="79"/>
      <c r="D551" s="79"/>
      <c r="E551" s="79"/>
      <c r="P551" s="79"/>
      <c r="Q551" s="79"/>
      <c r="R551" s="79"/>
      <c r="Y551" s="79"/>
      <c r="AC551" s="130"/>
      <c r="AE551" s="106"/>
    </row>
    <row r="552">
      <c r="C552" s="79"/>
      <c r="D552" s="79"/>
      <c r="E552" s="79"/>
      <c r="P552" s="79"/>
      <c r="Q552" s="79"/>
      <c r="R552" s="79"/>
      <c r="Y552" s="79"/>
      <c r="AC552" s="130"/>
      <c r="AE552" s="106"/>
    </row>
    <row r="553">
      <c r="C553" s="79"/>
      <c r="D553" s="79"/>
      <c r="E553" s="79"/>
      <c r="P553" s="79"/>
      <c r="Q553" s="79"/>
      <c r="R553" s="79"/>
      <c r="Y553" s="79"/>
      <c r="AC553" s="130"/>
      <c r="AE553" s="106"/>
    </row>
    <row r="554">
      <c r="C554" s="79"/>
      <c r="D554" s="79"/>
      <c r="E554" s="79"/>
      <c r="P554" s="79"/>
      <c r="Q554" s="79"/>
      <c r="R554" s="79"/>
      <c r="Y554" s="79"/>
      <c r="AC554" s="130"/>
      <c r="AE554" s="106"/>
    </row>
    <row r="555">
      <c r="C555" s="79"/>
      <c r="D555" s="79"/>
      <c r="E555" s="79"/>
      <c r="P555" s="79"/>
      <c r="Q555" s="79"/>
      <c r="R555" s="79"/>
      <c r="Y555" s="79"/>
      <c r="AC555" s="130"/>
      <c r="AE555" s="106"/>
    </row>
    <row r="556">
      <c r="C556" s="79"/>
      <c r="D556" s="79"/>
      <c r="E556" s="79"/>
      <c r="P556" s="79"/>
      <c r="Q556" s="79"/>
      <c r="R556" s="79"/>
      <c r="Y556" s="79"/>
      <c r="AC556" s="130"/>
      <c r="AE556" s="106"/>
    </row>
    <row r="557">
      <c r="C557" s="79"/>
      <c r="D557" s="79"/>
      <c r="E557" s="79"/>
      <c r="P557" s="79"/>
      <c r="Q557" s="79"/>
      <c r="R557" s="79"/>
      <c r="Y557" s="79"/>
      <c r="AC557" s="130"/>
      <c r="AE557" s="106"/>
    </row>
    <row r="558">
      <c r="C558" s="79"/>
      <c r="D558" s="79"/>
      <c r="E558" s="79"/>
      <c r="P558" s="79"/>
      <c r="Q558" s="79"/>
      <c r="R558" s="79"/>
      <c r="Y558" s="79"/>
      <c r="AC558" s="130"/>
      <c r="AE558" s="106"/>
    </row>
    <row r="559">
      <c r="C559" s="79"/>
      <c r="D559" s="79"/>
      <c r="E559" s="79"/>
      <c r="P559" s="79"/>
      <c r="Q559" s="79"/>
      <c r="R559" s="79"/>
      <c r="Y559" s="79"/>
      <c r="AC559" s="130"/>
      <c r="AE559" s="106"/>
    </row>
    <row r="560">
      <c r="C560" s="79"/>
      <c r="D560" s="79"/>
      <c r="E560" s="79"/>
      <c r="P560" s="79"/>
      <c r="Q560" s="79"/>
      <c r="R560" s="79"/>
      <c r="Y560" s="79"/>
      <c r="AC560" s="130"/>
      <c r="AE560" s="106"/>
    </row>
    <row r="561">
      <c r="C561" s="79"/>
      <c r="D561" s="79"/>
      <c r="E561" s="79"/>
      <c r="P561" s="79"/>
      <c r="Q561" s="79"/>
      <c r="R561" s="79"/>
      <c r="Y561" s="79"/>
      <c r="AC561" s="130"/>
      <c r="AE561" s="106"/>
    </row>
    <row r="562">
      <c r="C562" s="79"/>
      <c r="D562" s="79"/>
      <c r="E562" s="79"/>
      <c r="P562" s="79"/>
      <c r="Q562" s="79"/>
      <c r="R562" s="79"/>
      <c r="Y562" s="79"/>
      <c r="AC562" s="130"/>
      <c r="AE562" s="106"/>
    </row>
    <row r="563">
      <c r="C563" s="79"/>
      <c r="D563" s="79"/>
      <c r="E563" s="79"/>
      <c r="P563" s="79"/>
      <c r="Q563" s="79"/>
      <c r="R563" s="79"/>
      <c r="Y563" s="79"/>
      <c r="AC563" s="130"/>
      <c r="AE563" s="106"/>
    </row>
    <row r="564">
      <c r="C564" s="79"/>
      <c r="D564" s="79"/>
      <c r="E564" s="79"/>
      <c r="P564" s="79"/>
      <c r="Q564" s="79"/>
      <c r="R564" s="79"/>
      <c r="Y564" s="79"/>
      <c r="AC564" s="130"/>
      <c r="AE564" s="106"/>
    </row>
    <row r="565">
      <c r="C565" s="79"/>
      <c r="D565" s="79"/>
      <c r="E565" s="79"/>
      <c r="P565" s="79"/>
      <c r="Q565" s="79"/>
      <c r="R565" s="79"/>
      <c r="Y565" s="79"/>
      <c r="AC565" s="130"/>
      <c r="AE565" s="106"/>
    </row>
    <row r="566">
      <c r="C566" s="79"/>
      <c r="D566" s="79"/>
      <c r="E566" s="79"/>
      <c r="P566" s="79"/>
      <c r="Q566" s="79"/>
      <c r="R566" s="79"/>
      <c r="Y566" s="79"/>
      <c r="AC566" s="130"/>
      <c r="AE566" s="106"/>
    </row>
    <row r="567">
      <c r="C567" s="79"/>
      <c r="D567" s="79"/>
      <c r="E567" s="79"/>
      <c r="P567" s="79"/>
      <c r="Q567" s="79"/>
      <c r="R567" s="79"/>
      <c r="Y567" s="79"/>
      <c r="AC567" s="130"/>
      <c r="AE567" s="106"/>
    </row>
    <row r="568">
      <c r="C568" s="79"/>
      <c r="D568" s="79"/>
      <c r="E568" s="79"/>
      <c r="P568" s="79"/>
      <c r="Q568" s="79"/>
      <c r="R568" s="79"/>
      <c r="Y568" s="79"/>
      <c r="AC568" s="130"/>
      <c r="AE568" s="106"/>
    </row>
    <row r="569">
      <c r="C569" s="79"/>
      <c r="D569" s="79"/>
      <c r="E569" s="79"/>
      <c r="P569" s="79"/>
      <c r="Q569" s="79"/>
      <c r="R569" s="79"/>
      <c r="Y569" s="79"/>
      <c r="AC569" s="130"/>
      <c r="AE569" s="106"/>
    </row>
    <row r="570">
      <c r="C570" s="79"/>
      <c r="D570" s="79"/>
      <c r="E570" s="79"/>
      <c r="P570" s="79"/>
      <c r="Q570" s="79"/>
      <c r="R570" s="79"/>
      <c r="Y570" s="79"/>
      <c r="AC570" s="130"/>
      <c r="AE570" s="106"/>
    </row>
    <row r="571">
      <c r="C571" s="79"/>
      <c r="D571" s="79"/>
      <c r="E571" s="79"/>
      <c r="P571" s="79"/>
      <c r="Q571" s="79"/>
      <c r="R571" s="79"/>
      <c r="Y571" s="79"/>
      <c r="AC571" s="130"/>
      <c r="AE571" s="106"/>
    </row>
    <row r="572">
      <c r="C572" s="79"/>
      <c r="D572" s="79"/>
      <c r="E572" s="79"/>
      <c r="P572" s="79"/>
      <c r="Q572" s="79"/>
      <c r="R572" s="79"/>
      <c r="Y572" s="79"/>
      <c r="AC572" s="130"/>
      <c r="AE572" s="106"/>
    </row>
    <row r="573">
      <c r="C573" s="79"/>
      <c r="D573" s="79"/>
      <c r="E573" s="79"/>
      <c r="P573" s="79"/>
      <c r="Q573" s="79"/>
      <c r="R573" s="79"/>
      <c r="Y573" s="79"/>
      <c r="AC573" s="130"/>
      <c r="AE573" s="106"/>
    </row>
    <row r="574">
      <c r="C574" s="79"/>
      <c r="D574" s="79"/>
      <c r="E574" s="79"/>
      <c r="P574" s="79"/>
      <c r="Q574" s="79"/>
      <c r="R574" s="79"/>
      <c r="Y574" s="79"/>
      <c r="AC574" s="130"/>
      <c r="AE574" s="106"/>
    </row>
    <row r="575">
      <c r="C575" s="79"/>
      <c r="D575" s="79"/>
      <c r="E575" s="79"/>
      <c r="P575" s="79"/>
      <c r="Q575" s="79"/>
      <c r="R575" s="79"/>
      <c r="Y575" s="79"/>
      <c r="AC575" s="130"/>
      <c r="AE575" s="106"/>
    </row>
    <row r="576">
      <c r="C576" s="79"/>
      <c r="D576" s="79"/>
      <c r="E576" s="79"/>
      <c r="P576" s="79"/>
      <c r="Q576" s="79"/>
      <c r="R576" s="79"/>
      <c r="Y576" s="79"/>
      <c r="AC576" s="130"/>
      <c r="AE576" s="106"/>
    </row>
    <row r="577">
      <c r="C577" s="79"/>
      <c r="D577" s="79"/>
      <c r="E577" s="79"/>
      <c r="P577" s="79"/>
      <c r="Q577" s="79"/>
      <c r="R577" s="79"/>
      <c r="Y577" s="79"/>
      <c r="AC577" s="130"/>
      <c r="AE577" s="106"/>
    </row>
    <row r="578">
      <c r="C578" s="79"/>
      <c r="D578" s="79"/>
      <c r="E578" s="79"/>
      <c r="P578" s="79"/>
      <c r="Q578" s="79"/>
      <c r="R578" s="79"/>
      <c r="Y578" s="79"/>
      <c r="AC578" s="130"/>
      <c r="AE578" s="106"/>
    </row>
    <row r="579">
      <c r="C579" s="79"/>
      <c r="D579" s="79"/>
      <c r="E579" s="79"/>
      <c r="P579" s="79"/>
      <c r="Q579" s="79"/>
      <c r="R579" s="79"/>
      <c r="Y579" s="79"/>
      <c r="AC579" s="130"/>
      <c r="AE579" s="106"/>
    </row>
    <row r="580">
      <c r="C580" s="79"/>
      <c r="D580" s="79"/>
      <c r="E580" s="79"/>
      <c r="P580" s="79"/>
      <c r="Q580" s="79"/>
      <c r="R580" s="79"/>
      <c r="Y580" s="79"/>
      <c r="AC580" s="130"/>
      <c r="AE580" s="106"/>
    </row>
    <row r="581">
      <c r="C581" s="79"/>
      <c r="D581" s="79"/>
      <c r="E581" s="79"/>
      <c r="P581" s="79"/>
      <c r="Q581" s="79"/>
      <c r="R581" s="79"/>
      <c r="Y581" s="79"/>
      <c r="AC581" s="130"/>
      <c r="AE581" s="106"/>
    </row>
    <row r="582">
      <c r="C582" s="79"/>
      <c r="D582" s="79"/>
      <c r="E582" s="79"/>
      <c r="P582" s="79"/>
      <c r="Q582" s="79"/>
      <c r="R582" s="79"/>
      <c r="Y582" s="79"/>
      <c r="AC582" s="130"/>
      <c r="AE582" s="106"/>
    </row>
    <row r="583">
      <c r="C583" s="79"/>
      <c r="D583" s="79"/>
      <c r="E583" s="79"/>
      <c r="P583" s="79"/>
      <c r="Q583" s="79"/>
      <c r="R583" s="79"/>
      <c r="Y583" s="79"/>
      <c r="AC583" s="130"/>
      <c r="AE583" s="106"/>
    </row>
    <row r="584">
      <c r="C584" s="79"/>
      <c r="D584" s="79"/>
      <c r="E584" s="79"/>
      <c r="P584" s="79"/>
      <c r="Q584" s="79"/>
      <c r="R584" s="79"/>
      <c r="Y584" s="79"/>
      <c r="AC584" s="130"/>
      <c r="AE584" s="106"/>
    </row>
    <row r="585">
      <c r="C585" s="79"/>
      <c r="D585" s="79"/>
      <c r="E585" s="79"/>
      <c r="P585" s="79"/>
      <c r="Q585" s="79"/>
      <c r="R585" s="79"/>
      <c r="Y585" s="79"/>
      <c r="AC585" s="130"/>
      <c r="AE585" s="106"/>
    </row>
    <row r="586">
      <c r="C586" s="79"/>
      <c r="D586" s="79"/>
      <c r="E586" s="79"/>
      <c r="P586" s="79"/>
      <c r="Q586" s="79"/>
      <c r="R586" s="79"/>
      <c r="Y586" s="79"/>
      <c r="AC586" s="130"/>
      <c r="AE586" s="106"/>
    </row>
    <row r="587">
      <c r="C587" s="79"/>
      <c r="D587" s="79"/>
      <c r="E587" s="79"/>
      <c r="P587" s="79"/>
      <c r="Q587" s="79"/>
      <c r="R587" s="79"/>
      <c r="Y587" s="79"/>
      <c r="AC587" s="130"/>
      <c r="AE587" s="106"/>
    </row>
    <row r="588">
      <c r="C588" s="79"/>
      <c r="D588" s="79"/>
      <c r="E588" s="79"/>
      <c r="P588" s="79"/>
      <c r="Q588" s="79"/>
      <c r="R588" s="79"/>
      <c r="Y588" s="79"/>
      <c r="AC588" s="130"/>
      <c r="AE588" s="106"/>
    </row>
    <row r="589">
      <c r="C589" s="79"/>
      <c r="D589" s="79"/>
      <c r="E589" s="79"/>
      <c r="P589" s="79"/>
      <c r="Q589" s="79"/>
      <c r="R589" s="79"/>
      <c r="Y589" s="79"/>
      <c r="AC589" s="130"/>
      <c r="AE589" s="106"/>
    </row>
    <row r="590">
      <c r="C590" s="79"/>
      <c r="D590" s="79"/>
      <c r="E590" s="79"/>
      <c r="P590" s="79"/>
      <c r="Q590" s="79"/>
      <c r="R590" s="79"/>
      <c r="Y590" s="79"/>
      <c r="AC590" s="130"/>
      <c r="AE590" s="106"/>
    </row>
    <row r="591">
      <c r="C591" s="79"/>
      <c r="D591" s="79"/>
      <c r="E591" s="79"/>
      <c r="P591" s="79"/>
      <c r="Q591" s="79"/>
      <c r="R591" s="79"/>
      <c r="Y591" s="79"/>
      <c r="AC591" s="130"/>
      <c r="AE591" s="106"/>
    </row>
    <row r="592">
      <c r="C592" s="79"/>
      <c r="D592" s="79"/>
      <c r="E592" s="79"/>
      <c r="P592" s="79"/>
      <c r="Q592" s="79"/>
      <c r="R592" s="79"/>
      <c r="Y592" s="79"/>
      <c r="AC592" s="130"/>
      <c r="AE592" s="106"/>
    </row>
    <row r="593">
      <c r="C593" s="79"/>
      <c r="D593" s="79"/>
      <c r="E593" s="79"/>
      <c r="P593" s="79"/>
      <c r="Q593" s="79"/>
      <c r="R593" s="79"/>
      <c r="Y593" s="79"/>
      <c r="AC593" s="130"/>
      <c r="AE593" s="106"/>
    </row>
    <row r="594">
      <c r="C594" s="79"/>
      <c r="D594" s="79"/>
      <c r="E594" s="79"/>
      <c r="P594" s="79"/>
      <c r="Q594" s="79"/>
      <c r="R594" s="79"/>
      <c r="Y594" s="79"/>
      <c r="AC594" s="130"/>
      <c r="AE594" s="106"/>
    </row>
    <row r="595">
      <c r="C595" s="79"/>
      <c r="D595" s="79"/>
      <c r="E595" s="79"/>
      <c r="P595" s="79"/>
      <c r="Q595" s="79"/>
      <c r="R595" s="79"/>
      <c r="Y595" s="79"/>
      <c r="AC595" s="130"/>
      <c r="AE595" s="106"/>
    </row>
    <row r="596">
      <c r="C596" s="79"/>
      <c r="D596" s="79"/>
      <c r="E596" s="79"/>
      <c r="P596" s="79"/>
      <c r="Q596" s="79"/>
      <c r="R596" s="79"/>
      <c r="Y596" s="79"/>
      <c r="AC596" s="130"/>
      <c r="AE596" s="106"/>
    </row>
    <row r="597">
      <c r="C597" s="79"/>
      <c r="D597" s="79"/>
      <c r="E597" s="79"/>
      <c r="P597" s="79"/>
      <c r="Q597" s="79"/>
      <c r="R597" s="79"/>
      <c r="Y597" s="79"/>
      <c r="AC597" s="130"/>
      <c r="AE597" s="106"/>
    </row>
    <row r="598">
      <c r="C598" s="79"/>
      <c r="D598" s="79"/>
      <c r="E598" s="79"/>
      <c r="P598" s="79"/>
      <c r="Q598" s="79"/>
      <c r="R598" s="79"/>
      <c r="Y598" s="79"/>
      <c r="AC598" s="130"/>
      <c r="AE598" s="106"/>
    </row>
    <row r="599">
      <c r="C599" s="79"/>
      <c r="D599" s="79"/>
      <c r="E599" s="79"/>
      <c r="P599" s="79"/>
      <c r="Q599" s="79"/>
      <c r="R599" s="79"/>
      <c r="Y599" s="79"/>
      <c r="AC599" s="130"/>
      <c r="AE599" s="106"/>
    </row>
    <row r="600">
      <c r="C600" s="79"/>
      <c r="D600" s="79"/>
      <c r="E600" s="79"/>
      <c r="P600" s="79"/>
      <c r="Q600" s="79"/>
      <c r="R600" s="79"/>
      <c r="Y600" s="79"/>
      <c r="AC600" s="130"/>
      <c r="AE600" s="106"/>
    </row>
    <row r="601">
      <c r="C601" s="79"/>
      <c r="D601" s="79"/>
      <c r="E601" s="79"/>
      <c r="P601" s="79"/>
      <c r="Q601" s="79"/>
      <c r="R601" s="79"/>
      <c r="Y601" s="79"/>
      <c r="AC601" s="130"/>
      <c r="AE601" s="106"/>
    </row>
    <row r="602">
      <c r="C602" s="79"/>
      <c r="D602" s="79"/>
      <c r="E602" s="79"/>
      <c r="P602" s="79"/>
      <c r="Q602" s="79"/>
      <c r="R602" s="79"/>
      <c r="Y602" s="79"/>
      <c r="AC602" s="130"/>
      <c r="AE602" s="106"/>
    </row>
    <row r="603">
      <c r="C603" s="79"/>
      <c r="D603" s="79"/>
      <c r="E603" s="79"/>
      <c r="P603" s="79"/>
      <c r="Q603" s="79"/>
      <c r="R603" s="79"/>
      <c r="Y603" s="79"/>
      <c r="AC603" s="130"/>
      <c r="AE603" s="106"/>
    </row>
    <row r="604">
      <c r="C604" s="79"/>
      <c r="D604" s="79"/>
      <c r="E604" s="79"/>
      <c r="P604" s="79"/>
      <c r="Q604" s="79"/>
      <c r="R604" s="79"/>
      <c r="Y604" s="79"/>
      <c r="AC604" s="130"/>
      <c r="AE604" s="106"/>
    </row>
    <row r="605">
      <c r="C605" s="79"/>
      <c r="D605" s="79"/>
      <c r="E605" s="79"/>
      <c r="P605" s="79"/>
      <c r="Q605" s="79"/>
      <c r="R605" s="79"/>
      <c r="Y605" s="79"/>
      <c r="AC605" s="130"/>
      <c r="AE605" s="106"/>
    </row>
    <row r="606">
      <c r="C606" s="79"/>
      <c r="D606" s="79"/>
      <c r="E606" s="79"/>
      <c r="P606" s="79"/>
      <c r="Q606" s="79"/>
      <c r="R606" s="79"/>
      <c r="Y606" s="79"/>
      <c r="AC606" s="130"/>
      <c r="AE606" s="106"/>
    </row>
    <row r="607">
      <c r="C607" s="79"/>
      <c r="D607" s="79"/>
      <c r="E607" s="79"/>
      <c r="P607" s="79"/>
      <c r="Q607" s="79"/>
      <c r="R607" s="79"/>
      <c r="Y607" s="79"/>
      <c r="AC607" s="130"/>
      <c r="AE607" s="106"/>
    </row>
    <row r="608">
      <c r="C608" s="79"/>
      <c r="D608" s="79"/>
      <c r="E608" s="79"/>
      <c r="P608" s="79"/>
      <c r="Q608" s="79"/>
      <c r="R608" s="79"/>
      <c r="Y608" s="79"/>
      <c r="AC608" s="130"/>
      <c r="AE608" s="106"/>
    </row>
    <row r="609">
      <c r="C609" s="79"/>
      <c r="D609" s="79"/>
      <c r="E609" s="79"/>
      <c r="P609" s="79"/>
      <c r="Q609" s="79"/>
      <c r="R609" s="79"/>
      <c r="Y609" s="79"/>
      <c r="AC609" s="130"/>
      <c r="AE609" s="106"/>
    </row>
    <row r="610">
      <c r="C610" s="79"/>
      <c r="D610" s="79"/>
      <c r="E610" s="79"/>
      <c r="P610" s="79"/>
      <c r="Q610" s="79"/>
      <c r="R610" s="79"/>
      <c r="Y610" s="79"/>
      <c r="AC610" s="130"/>
      <c r="AE610" s="106"/>
    </row>
    <row r="611">
      <c r="C611" s="79"/>
      <c r="D611" s="79"/>
      <c r="E611" s="79"/>
      <c r="P611" s="79"/>
      <c r="Q611" s="79"/>
      <c r="R611" s="79"/>
      <c r="Y611" s="79"/>
      <c r="AC611" s="130"/>
      <c r="AE611" s="106"/>
    </row>
    <row r="612">
      <c r="C612" s="79"/>
      <c r="D612" s="79"/>
      <c r="E612" s="79"/>
      <c r="P612" s="79"/>
      <c r="Q612" s="79"/>
      <c r="R612" s="79"/>
      <c r="Y612" s="79"/>
      <c r="AC612" s="130"/>
      <c r="AE612" s="106"/>
    </row>
    <row r="613">
      <c r="C613" s="79"/>
      <c r="D613" s="79"/>
      <c r="E613" s="79"/>
      <c r="P613" s="79"/>
      <c r="Q613" s="79"/>
      <c r="R613" s="79"/>
      <c r="Y613" s="79"/>
      <c r="AC613" s="130"/>
      <c r="AE613" s="106"/>
    </row>
    <row r="614">
      <c r="C614" s="79"/>
      <c r="D614" s="79"/>
      <c r="E614" s="79"/>
      <c r="P614" s="79"/>
      <c r="Q614" s="79"/>
      <c r="R614" s="79"/>
      <c r="Y614" s="79"/>
      <c r="AC614" s="130"/>
      <c r="AE614" s="106"/>
    </row>
    <row r="615">
      <c r="C615" s="79"/>
      <c r="D615" s="79"/>
      <c r="E615" s="79"/>
      <c r="P615" s="79"/>
      <c r="Q615" s="79"/>
      <c r="R615" s="79"/>
      <c r="Y615" s="79"/>
      <c r="AC615" s="130"/>
      <c r="AE615" s="106"/>
    </row>
    <row r="616">
      <c r="C616" s="79"/>
      <c r="D616" s="79"/>
      <c r="E616" s="79"/>
      <c r="P616" s="79"/>
      <c r="Q616" s="79"/>
      <c r="R616" s="79"/>
      <c r="Y616" s="79"/>
      <c r="AC616" s="130"/>
      <c r="AE616" s="106"/>
    </row>
    <row r="617">
      <c r="C617" s="79"/>
      <c r="D617" s="79"/>
      <c r="E617" s="79"/>
      <c r="P617" s="79"/>
      <c r="Q617" s="79"/>
      <c r="R617" s="79"/>
      <c r="Y617" s="79"/>
      <c r="AC617" s="130"/>
      <c r="AE617" s="106"/>
    </row>
    <row r="618">
      <c r="C618" s="79"/>
      <c r="D618" s="79"/>
      <c r="E618" s="79"/>
      <c r="P618" s="79"/>
      <c r="Q618" s="79"/>
      <c r="R618" s="79"/>
      <c r="Y618" s="79"/>
      <c r="AC618" s="130"/>
      <c r="AE618" s="106"/>
    </row>
    <row r="619">
      <c r="C619" s="79"/>
      <c r="D619" s="79"/>
      <c r="E619" s="79"/>
      <c r="P619" s="79"/>
      <c r="Q619" s="79"/>
      <c r="R619" s="79"/>
      <c r="Y619" s="79"/>
      <c r="AC619" s="130"/>
      <c r="AE619" s="106"/>
    </row>
    <row r="620">
      <c r="C620" s="79"/>
      <c r="D620" s="79"/>
      <c r="E620" s="79"/>
      <c r="P620" s="79"/>
      <c r="Q620" s="79"/>
      <c r="R620" s="79"/>
      <c r="Y620" s="79"/>
      <c r="AC620" s="130"/>
      <c r="AE620" s="106"/>
    </row>
    <row r="621">
      <c r="C621" s="79"/>
      <c r="D621" s="79"/>
      <c r="E621" s="79"/>
      <c r="P621" s="79"/>
      <c r="Q621" s="79"/>
      <c r="R621" s="79"/>
      <c r="Y621" s="79"/>
      <c r="AC621" s="130"/>
      <c r="AE621" s="106"/>
    </row>
    <row r="622">
      <c r="C622" s="79"/>
      <c r="D622" s="79"/>
      <c r="E622" s="79"/>
      <c r="P622" s="79"/>
      <c r="Q622" s="79"/>
      <c r="R622" s="79"/>
      <c r="Y622" s="79"/>
      <c r="AC622" s="130"/>
      <c r="AE622" s="106"/>
    </row>
    <row r="623">
      <c r="C623" s="79"/>
      <c r="D623" s="79"/>
      <c r="E623" s="79"/>
      <c r="P623" s="79"/>
      <c r="Q623" s="79"/>
      <c r="R623" s="79"/>
      <c r="Y623" s="79"/>
      <c r="AC623" s="130"/>
      <c r="AE623" s="106"/>
    </row>
    <row r="624">
      <c r="C624" s="79"/>
      <c r="D624" s="79"/>
      <c r="E624" s="79"/>
      <c r="P624" s="79"/>
      <c r="Q624" s="79"/>
      <c r="R624" s="79"/>
      <c r="Y624" s="79"/>
      <c r="AC624" s="130"/>
      <c r="AE624" s="106"/>
    </row>
    <row r="625">
      <c r="C625" s="79"/>
      <c r="D625" s="79"/>
      <c r="E625" s="79"/>
      <c r="P625" s="79"/>
      <c r="Q625" s="79"/>
      <c r="R625" s="79"/>
      <c r="Y625" s="79"/>
      <c r="AC625" s="130"/>
      <c r="AE625" s="106"/>
    </row>
    <row r="626">
      <c r="C626" s="79"/>
      <c r="D626" s="79"/>
      <c r="E626" s="79"/>
      <c r="P626" s="79"/>
      <c r="Q626" s="79"/>
      <c r="R626" s="79"/>
      <c r="Y626" s="79"/>
      <c r="AC626" s="130"/>
      <c r="AE626" s="106"/>
    </row>
    <row r="627">
      <c r="C627" s="79"/>
      <c r="D627" s="79"/>
      <c r="E627" s="79"/>
      <c r="P627" s="79"/>
      <c r="Q627" s="79"/>
      <c r="R627" s="79"/>
      <c r="Y627" s="79"/>
      <c r="AC627" s="130"/>
      <c r="AE627" s="106"/>
    </row>
    <row r="628">
      <c r="C628" s="79"/>
      <c r="D628" s="79"/>
      <c r="E628" s="79"/>
      <c r="P628" s="79"/>
      <c r="Q628" s="79"/>
      <c r="R628" s="79"/>
      <c r="Y628" s="79"/>
      <c r="AC628" s="130"/>
      <c r="AE628" s="106"/>
    </row>
    <row r="629">
      <c r="C629" s="79"/>
      <c r="D629" s="79"/>
      <c r="E629" s="79"/>
      <c r="P629" s="79"/>
      <c r="Q629" s="79"/>
      <c r="R629" s="79"/>
      <c r="Y629" s="79"/>
      <c r="AC629" s="130"/>
      <c r="AE629" s="106"/>
    </row>
    <row r="630">
      <c r="C630" s="79"/>
      <c r="D630" s="79"/>
      <c r="E630" s="79"/>
      <c r="P630" s="79"/>
      <c r="Q630" s="79"/>
      <c r="R630" s="79"/>
      <c r="Y630" s="79"/>
      <c r="AC630" s="130"/>
      <c r="AE630" s="106"/>
    </row>
    <row r="631">
      <c r="C631" s="79"/>
      <c r="D631" s="79"/>
      <c r="E631" s="79"/>
      <c r="P631" s="79"/>
      <c r="Q631" s="79"/>
      <c r="R631" s="79"/>
      <c r="Y631" s="79"/>
      <c r="AC631" s="130"/>
      <c r="AE631" s="106"/>
    </row>
    <row r="632">
      <c r="C632" s="79"/>
      <c r="D632" s="79"/>
      <c r="E632" s="79"/>
      <c r="P632" s="79"/>
      <c r="Q632" s="79"/>
      <c r="R632" s="79"/>
      <c r="Y632" s="79"/>
      <c r="AC632" s="130"/>
      <c r="AE632" s="106"/>
    </row>
    <row r="633">
      <c r="C633" s="79"/>
      <c r="D633" s="79"/>
      <c r="E633" s="79"/>
      <c r="P633" s="79"/>
      <c r="Q633" s="79"/>
      <c r="R633" s="79"/>
      <c r="Y633" s="79"/>
      <c r="AC633" s="130"/>
      <c r="AE633" s="106"/>
    </row>
    <row r="634">
      <c r="C634" s="79"/>
      <c r="D634" s="79"/>
      <c r="E634" s="79"/>
      <c r="P634" s="79"/>
      <c r="Q634" s="79"/>
      <c r="R634" s="79"/>
      <c r="Y634" s="79"/>
      <c r="AC634" s="130"/>
      <c r="AE634" s="106"/>
    </row>
    <row r="635">
      <c r="C635" s="79"/>
      <c r="D635" s="79"/>
      <c r="E635" s="79"/>
      <c r="P635" s="79"/>
      <c r="Q635" s="79"/>
      <c r="R635" s="79"/>
      <c r="Y635" s="79"/>
      <c r="AC635" s="130"/>
      <c r="AE635" s="106"/>
    </row>
    <row r="636">
      <c r="C636" s="79"/>
      <c r="D636" s="79"/>
      <c r="E636" s="79"/>
      <c r="P636" s="79"/>
      <c r="Q636" s="79"/>
      <c r="R636" s="79"/>
      <c r="Y636" s="79"/>
      <c r="AC636" s="130"/>
      <c r="AE636" s="106"/>
    </row>
    <row r="637">
      <c r="C637" s="79"/>
      <c r="D637" s="79"/>
      <c r="E637" s="79"/>
      <c r="P637" s="79"/>
      <c r="Q637" s="79"/>
      <c r="R637" s="79"/>
      <c r="Y637" s="79"/>
      <c r="AC637" s="130"/>
      <c r="AE637" s="106"/>
    </row>
    <row r="638">
      <c r="C638" s="79"/>
      <c r="D638" s="79"/>
      <c r="E638" s="79"/>
      <c r="P638" s="79"/>
      <c r="Q638" s="79"/>
      <c r="R638" s="79"/>
      <c r="Y638" s="79"/>
      <c r="AC638" s="130"/>
      <c r="AE638" s="106"/>
    </row>
    <row r="639">
      <c r="C639" s="79"/>
      <c r="D639" s="79"/>
      <c r="E639" s="79"/>
      <c r="P639" s="79"/>
      <c r="Q639" s="79"/>
      <c r="R639" s="79"/>
      <c r="Y639" s="79"/>
      <c r="AC639" s="130"/>
      <c r="AE639" s="106"/>
    </row>
    <row r="640">
      <c r="C640" s="79"/>
      <c r="D640" s="79"/>
      <c r="E640" s="79"/>
      <c r="P640" s="79"/>
      <c r="Q640" s="79"/>
      <c r="R640" s="79"/>
      <c r="Y640" s="79"/>
      <c r="AC640" s="130"/>
      <c r="AE640" s="106"/>
    </row>
    <row r="641">
      <c r="C641" s="79"/>
      <c r="D641" s="79"/>
      <c r="E641" s="79"/>
      <c r="P641" s="79"/>
      <c r="Q641" s="79"/>
      <c r="R641" s="79"/>
      <c r="Y641" s="79"/>
      <c r="AC641" s="130"/>
      <c r="AE641" s="106"/>
    </row>
    <row r="642">
      <c r="C642" s="79"/>
      <c r="D642" s="79"/>
      <c r="E642" s="79"/>
      <c r="P642" s="79"/>
      <c r="Q642" s="79"/>
      <c r="R642" s="79"/>
      <c r="Y642" s="79"/>
      <c r="AC642" s="130"/>
      <c r="AE642" s="106"/>
    </row>
    <row r="643">
      <c r="C643" s="79"/>
      <c r="D643" s="79"/>
      <c r="E643" s="79"/>
      <c r="P643" s="79"/>
      <c r="Q643" s="79"/>
      <c r="R643" s="79"/>
      <c r="Y643" s="79"/>
      <c r="AC643" s="130"/>
      <c r="AE643" s="106"/>
    </row>
    <row r="644">
      <c r="C644" s="79"/>
      <c r="D644" s="79"/>
      <c r="E644" s="79"/>
      <c r="P644" s="79"/>
      <c r="Q644" s="79"/>
      <c r="R644" s="79"/>
      <c r="Y644" s="79"/>
      <c r="AC644" s="130"/>
      <c r="AE644" s="106"/>
    </row>
    <row r="645">
      <c r="C645" s="79"/>
      <c r="D645" s="79"/>
      <c r="E645" s="79"/>
      <c r="P645" s="79"/>
      <c r="Q645" s="79"/>
      <c r="R645" s="79"/>
      <c r="Y645" s="79"/>
      <c r="AC645" s="130"/>
      <c r="AE645" s="106"/>
    </row>
    <row r="646">
      <c r="C646" s="79"/>
      <c r="D646" s="79"/>
      <c r="E646" s="79"/>
      <c r="P646" s="79"/>
      <c r="Q646" s="79"/>
      <c r="R646" s="79"/>
      <c r="Y646" s="79"/>
      <c r="AC646" s="130"/>
      <c r="AE646" s="106"/>
    </row>
    <row r="647">
      <c r="C647" s="79"/>
      <c r="D647" s="79"/>
      <c r="E647" s="79"/>
      <c r="P647" s="79"/>
      <c r="Q647" s="79"/>
      <c r="R647" s="79"/>
      <c r="Y647" s="79"/>
      <c r="AC647" s="130"/>
      <c r="AE647" s="106"/>
    </row>
    <row r="648">
      <c r="C648" s="79"/>
      <c r="D648" s="79"/>
      <c r="E648" s="79"/>
      <c r="P648" s="79"/>
      <c r="Q648" s="79"/>
      <c r="R648" s="79"/>
      <c r="Y648" s="79"/>
      <c r="AC648" s="130"/>
      <c r="AE648" s="106"/>
    </row>
    <row r="649">
      <c r="C649" s="79"/>
      <c r="D649" s="79"/>
      <c r="E649" s="79"/>
      <c r="P649" s="79"/>
      <c r="Q649" s="79"/>
      <c r="R649" s="79"/>
      <c r="Y649" s="79"/>
      <c r="AC649" s="130"/>
      <c r="AE649" s="106"/>
    </row>
    <row r="650">
      <c r="C650" s="79"/>
      <c r="D650" s="79"/>
      <c r="E650" s="79"/>
      <c r="P650" s="79"/>
      <c r="Q650" s="79"/>
      <c r="R650" s="79"/>
      <c r="Y650" s="79"/>
      <c r="AC650" s="130"/>
      <c r="AE650" s="106"/>
    </row>
    <row r="651">
      <c r="C651" s="79"/>
      <c r="D651" s="79"/>
      <c r="E651" s="79"/>
      <c r="P651" s="79"/>
      <c r="Q651" s="79"/>
      <c r="R651" s="79"/>
      <c r="Y651" s="79"/>
      <c r="AC651" s="130"/>
      <c r="AE651" s="106"/>
    </row>
    <row r="652">
      <c r="C652" s="79"/>
      <c r="D652" s="79"/>
      <c r="E652" s="79"/>
      <c r="P652" s="79"/>
      <c r="Q652" s="79"/>
      <c r="R652" s="79"/>
      <c r="Y652" s="79"/>
      <c r="AC652" s="130"/>
      <c r="AE652" s="106"/>
    </row>
    <row r="653">
      <c r="C653" s="79"/>
      <c r="D653" s="79"/>
      <c r="E653" s="79"/>
      <c r="P653" s="79"/>
      <c r="Q653" s="79"/>
      <c r="R653" s="79"/>
      <c r="Y653" s="79"/>
      <c r="AC653" s="130"/>
      <c r="AE653" s="106"/>
    </row>
    <row r="654">
      <c r="C654" s="79"/>
      <c r="D654" s="79"/>
      <c r="E654" s="79"/>
      <c r="P654" s="79"/>
      <c r="Q654" s="79"/>
      <c r="R654" s="79"/>
      <c r="Y654" s="79"/>
      <c r="AC654" s="130"/>
      <c r="AE654" s="106"/>
    </row>
    <row r="655">
      <c r="C655" s="79"/>
      <c r="D655" s="79"/>
      <c r="E655" s="79"/>
      <c r="P655" s="79"/>
      <c r="Q655" s="79"/>
      <c r="R655" s="79"/>
      <c r="Y655" s="79"/>
      <c r="AC655" s="130"/>
      <c r="AE655" s="106"/>
    </row>
    <row r="656">
      <c r="C656" s="79"/>
      <c r="D656" s="79"/>
      <c r="E656" s="79"/>
      <c r="P656" s="79"/>
      <c r="Q656" s="79"/>
      <c r="R656" s="79"/>
      <c r="Y656" s="79"/>
      <c r="AC656" s="130"/>
      <c r="AE656" s="106"/>
    </row>
    <row r="657">
      <c r="C657" s="79"/>
      <c r="D657" s="79"/>
      <c r="E657" s="79"/>
      <c r="P657" s="79"/>
      <c r="Q657" s="79"/>
      <c r="R657" s="79"/>
      <c r="Y657" s="79"/>
      <c r="AC657" s="130"/>
      <c r="AE657" s="106"/>
    </row>
    <row r="658">
      <c r="C658" s="79"/>
      <c r="D658" s="79"/>
      <c r="E658" s="79"/>
      <c r="P658" s="79"/>
      <c r="Q658" s="79"/>
      <c r="R658" s="79"/>
      <c r="Y658" s="79"/>
      <c r="AC658" s="130"/>
      <c r="AE658" s="106"/>
    </row>
    <row r="659">
      <c r="C659" s="79"/>
      <c r="D659" s="79"/>
      <c r="E659" s="79"/>
      <c r="P659" s="79"/>
      <c r="Q659" s="79"/>
      <c r="R659" s="79"/>
      <c r="Y659" s="79"/>
      <c r="AC659" s="130"/>
      <c r="AE659" s="106"/>
    </row>
    <row r="660">
      <c r="C660" s="79"/>
      <c r="D660" s="79"/>
      <c r="E660" s="79"/>
      <c r="P660" s="79"/>
      <c r="Q660" s="79"/>
      <c r="R660" s="79"/>
      <c r="Y660" s="79"/>
      <c r="AC660" s="130"/>
      <c r="AE660" s="106"/>
    </row>
    <row r="661">
      <c r="C661" s="79"/>
      <c r="D661" s="79"/>
      <c r="E661" s="79"/>
      <c r="P661" s="79"/>
      <c r="Q661" s="79"/>
      <c r="R661" s="79"/>
      <c r="Y661" s="79"/>
      <c r="AC661" s="130"/>
      <c r="AE661" s="106"/>
    </row>
    <row r="662">
      <c r="C662" s="79"/>
      <c r="D662" s="79"/>
      <c r="E662" s="79"/>
      <c r="P662" s="79"/>
      <c r="Q662" s="79"/>
      <c r="R662" s="79"/>
      <c r="Y662" s="79"/>
      <c r="AC662" s="130"/>
      <c r="AE662" s="106"/>
    </row>
    <row r="663">
      <c r="C663" s="79"/>
      <c r="D663" s="79"/>
      <c r="E663" s="79"/>
      <c r="P663" s="79"/>
      <c r="Q663" s="79"/>
      <c r="R663" s="79"/>
      <c r="Y663" s="79"/>
      <c r="AC663" s="130"/>
      <c r="AE663" s="106"/>
    </row>
    <row r="664">
      <c r="C664" s="79"/>
      <c r="D664" s="79"/>
      <c r="E664" s="79"/>
      <c r="P664" s="79"/>
      <c r="Q664" s="79"/>
      <c r="R664" s="79"/>
      <c r="Y664" s="79"/>
      <c r="AC664" s="130"/>
      <c r="AE664" s="106"/>
    </row>
    <row r="665">
      <c r="C665" s="79"/>
      <c r="D665" s="79"/>
      <c r="E665" s="79"/>
      <c r="P665" s="79"/>
      <c r="Q665" s="79"/>
      <c r="R665" s="79"/>
      <c r="Y665" s="79"/>
      <c r="AC665" s="130"/>
      <c r="AE665" s="106"/>
    </row>
    <row r="666">
      <c r="C666" s="79"/>
      <c r="D666" s="79"/>
      <c r="E666" s="79"/>
      <c r="P666" s="79"/>
      <c r="Q666" s="79"/>
      <c r="R666" s="79"/>
      <c r="Y666" s="79"/>
      <c r="AC666" s="130"/>
      <c r="AE666" s="106"/>
    </row>
    <row r="667">
      <c r="C667" s="79"/>
      <c r="D667" s="79"/>
      <c r="E667" s="79"/>
      <c r="P667" s="79"/>
      <c r="Q667" s="79"/>
      <c r="R667" s="79"/>
      <c r="Y667" s="79"/>
      <c r="AC667" s="130"/>
      <c r="AE667" s="106"/>
    </row>
    <row r="668">
      <c r="C668" s="79"/>
      <c r="D668" s="79"/>
      <c r="E668" s="79"/>
      <c r="P668" s="79"/>
      <c r="Q668" s="79"/>
      <c r="R668" s="79"/>
      <c r="Y668" s="79"/>
      <c r="AC668" s="130"/>
      <c r="AE668" s="106"/>
    </row>
    <row r="669">
      <c r="C669" s="79"/>
      <c r="D669" s="79"/>
      <c r="E669" s="79"/>
      <c r="P669" s="79"/>
      <c r="Q669" s="79"/>
      <c r="R669" s="79"/>
      <c r="Y669" s="79"/>
      <c r="AC669" s="130"/>
      <c r="AE669" s="106"/>
    </row>
    <row r="670">
      <c r="C670" s="79"/>
      <c r="D670" s="79"/>
      <c r="E670" s="79"/>
      <c r="P670" s="79"/>
      <c r="Q670" s="79"/>
      <c r="R670" s="79"/>
      <c r="Y670" s="79"/>
      <c r="AC670" s="130"/>
      <c r="AE670" s="106"/>
    </row>
    <row r="671">
      <c r="C671" s="79"/>
      <c r="D671" s="79"/>
      <c r="E671" s="79"/>
      <c r="P671" s="79"/>
      <c r="Q671" s="79"/>
      <c r="R671" s="79"/>
      <c r="Y671" s="79"/>
      <c r="AC671" s="130"/>
      <c r="AE671" s="106"/>
    </row>
    <row r="672">
      <c r="C672" s="79"/>
      <c r="D672" s="79"/>
      <c r="E672" s="79"/>
      <c r="P672" s="79"/>
      <c r="Q672" s="79"/>
      <c r="R672" s="79"/>
      <c r="Y672" s="79"/>
      <c r="AC672" s="130"/>
      <c r="AE672" s="106"/>
    </row>
    <row r="673">
      <c r="C673" s="79"/>
      <c r="D673" s="79"/>
      <c r="E673" s="79"/>
      <c r="P673" s="79"/>
      <c r="Q673" s="79"/>
      <c r="R673" s="79"/>
      <c r="Y673" s="79"/>
      <c r="AC673" s="130"/>
      <c r="AE673" s="106"/>
    </row>
    <row r="674">
      <c r="C674" s="79"/>
      <c r="D674" s="79"/>
      <c r="E674" s="79"/>
      <c r="P674" s="79"/>
      <c r="Q674" s="79"/>
      <c r="R674" s="79"/>
      <c r="Y674" s="79"/>
      <c r="AC674" s="130"/>
      <c r="AE674" s="106"/>
    </row>
    <row r="675">
      <c r="C675" s="79"/>
      <c r="D675" s="79"/>
      <c r="E675" s="79"/>
      <c r="P675" s="79"/>
      <c r="Q675" s="79"/>
      <c r="R675" s="79"/>
      <c r="Y675" s="79"/>
      <c r="AC675" s="130"/>
      <c r="AE675" s="106"/>
    </row>
    <row r="676">
      <c r="C676" s="79"/>
      <c r="D676" s="79"/>
      <c r="E676" s="79"/>
      <c r="P676" s="79"/>
      <c r="Q676" s="79"/>
      <c r="R676" s="79"/>
      <c r="Y676" s="79"/>
      <c r="AC676" s="130"/>
      <c r="AE676" s="106"/>
    </row>
    <row r="677">
      <c r="C677" s="79"/>
      <c r="D677" s="79"/>
      <c r="E677" s="79"/>
      <c r="P677" s="79"/>
      <c r="Q677" s="79"/>
      <c r="R677" s="79"/>
      <c r="Y677" s="79"/>
      <c r="AC677" s="130"/>
      <c r="AE677" s="106"/>
    </row>
    <row r="678">
      <c r="C678" s="79"/>
      <c r="D678" s="79"/>
      <c r="E678" s="79"/>
      <c r="P678" s="79"/>
      <c r="Q678" s="79"/>
      <c r="R678" s="79"/>
      <c r="Y678" s="79"/>
      <c r="AC678" s="130"/>
      <c r="AE678" s="106"/>
    </row>
    <row r="679">
      <c r="C679" s="79"/>
      <c r="D679" s="79"/>
      <c r="E679" s="79"/>
      <c r="P679" s="79"/>
      <c r="Q679" s="79"/>
      <c r="R679" s="79"/>
      <c r="Y679" s="79"/>
      <c r="AC679" s="130"/>
      <c r="AE679" s="106"/>
    </row>
    <row r="680">
      <c r="C680" s="79"/>
      <c r="D680" s="79"/>
      <c r="E680" s="79"/>
      <c r="P680" s="79"/>
      <c r="Q680" s="79"/>
      <c r="R680" s="79"/>
      <c r="Y680" s="79"/>
      <c r="AC680" s="130"/>
      <c r="AE680" s="106"/>
    </row>
    <row r="681">
      <c r="C681" s="79"/>
      <c r="D681" s="79"/>
      <c r="E681" s="79"/>
      <c r="P681" s="79"/>
      <c r="Q681" s="79"/>
      <c r="R681" s="79"/>
      <c r="Y681" s="79"/>
      <c r="AC681" s="130"/>
      <c r="AE681" s="106"/>
    </row>
    <row r="682">
      <c r="C682" s="79"/>
      <c r="D682" s="79"/>
      <c r="E682" s="79"/>
      <c r="P682" s="79"/>
      <c r="Q682" s="79"/>
      <c r="R682" s="79"/>
      <c r="Y682" s="79"/>
      <c r="AC682" s="130"/>
      <c r="AE682" s="106"/>
    </row>
    <row r="683">
      <c r="C683" s="79"/>
      <c r="D683" s="79"/>
      <c r="E683" s="79"/>
      <c r="P683" s="79"/>
      <c r="Q683" s="79"/>
      <c r="R683" s="79"/>
      <c r="Y683" s="79"/>
      <c r="AC683" s="130"/>
      <c r="AE683" s="106"/>
    </row>
    <row r="684">
      <c r="C684" s="79"/>
      <c r="D684" s="79"/>
      <c r="E684" s="79"/>
      <c r="P684" s="79"/>
      <c r="Q684" s="79"/>
      <c r="R684" s="79"/>
      <c r="Y684" s="79"/>
      <c r="AC684" s="130"/>
      <c r="AE684" s="106"/>
    </row>
    <row r="685">
      <c r="C685" s="79"/>
      <c r="D685" s="79"/>
      <c r="E685" s="79"/>
      <c r="P685" s="79"/>
      <c r="Q685" s="79"/>
      <c r="R685" s="79"/>
      <c r="Y685" s="79"/>
      <c r="AC685" s="130"/>
      <c r="AE685" s="106"/>
    </row>
    <row r="686">
      <c r="C686" s="79"/>
      <c r="D686" s="79"/>
      <c r="E686" s="79"/>
      <c r="P686" s="79"/>
      <c r="Q686" s="79"/>
      <c r="R686" s="79"/>
      <c r="Y686" s="79"/>
      <c r="AC686" s="130"/>
      <c r="AE686" s="106"/>
    </row>
    <row r="687">
      <c r="C687" s="79"/>
      <c r="D687" s="79"/>
      <c r="E687" s="79"/>
      <c r="P687" s="79"/>
      <c r="Q687" s="79"/>
      <c r="R687" s="79"/>
      <c r="Y687" s="79"/>
      <c r="AC687" s="130"/>
      <c r="AE687" s="106"/>
    </row>
    <row r="688">
      <c r="C688" s="79"/>
      <c r="D688" s="79"/>
      <c r="E688" s="79"/>
      <c r="P688" s="79"/>
      <c r="Q688" s="79"/>
      <c r="R688" s="79"/>
      <c r="Y688" s="79"/>
      <c r="AC688" s="130"/>
      <c r="AE688" s="106"/>
    </row>
    <row r="689">
      <c r="C689" s="79"/>
      <c r="D689" s="79"/>
      <c r="E689" s="79"/>
      <c r="P689" s="79"/>
      <c r="Q689" s="79"/>
      <c r="R689" s="79"/>
      <c r="Y689" s="79"/>
      <c r="AC689" s="130"/>
      <c r="AE689" s="106"/>
    </row>
    <row r="690">
      <c r="C690" s="79"/>
      <c r="D690" s="79"/>
      <c r="E690" s="79"/>
      <c r="P690" s="79"/>
      <c r="Q690" s="79"/>
      <c r="R690" s="79"/>
      <c r="Y690" s="79"/>
      <c r="AC690" s="130"/>
      <c r="AE690" s="106"/>
    </row>
    <row r="691">
      <c r="C691" s="79"/>
      <c r="D691" s="79"/>
      <c r="E691" s="79"/>
      <c r="P691" s="79"/>
      <c r="Q691" s="79"/>
      <c r="R691" s="79"/>
      <c r="Y691" s="79"/>
      <c r="AC691" s="130"/>
      <c r="AE691" s="106"/>
    </row>
    <row r="692">
      <c r="C692" s="79"/>
      <c r="D692" s="79"/>
      <c r="E692" s="79"/>
      <c r="P692" s="79"/>
      <c r="Q692" s="79"/>
      <c r="R692" s="79"/>
      <c r="Y692" s="79"/>
      <c r="AC692" s="130"/>
      <c r="AE692" s="106"/>
    </row>
    <row r="693">
      <c r="C693" s="79"/>
      <c r="D693" s="79"/>
      <c r="E693" s="79"/>
      <c r="P693" s="79"/>
      <c r="Q693" s="79"/>
      <c r="R693" s="79"/>
      <c r="Y693" s="79"/>
      <c r="AC693" s="130"/>
      <c r="AE693" s="106"/>
    </row>
    <row r="694">
      <c r="C694" s="79"/>
      <c r="D694" s="79"/>
      <c r="E694" s="79"/>
      <c r="P694" s="79"/>
      <c r="Q694" s="79"/>
      <c r="R694" s="79"/>
      <c r="Y694" s="79"/>
      <c r="AC694" s="130"/>
      <c r="AE694" s="106"/>
    </row>
    <row r="695">
      <c r="C695" s="79"/>
      <c r="D695" s="79"/>
      <c r="E695" s="79"/>
      <c r="P695" s="79"/>
      <c r="Q695" s="79"/>
      <c r="R695" s="79"/>
      <c r="Y695" s="79"/>
      <c r="AC695" s="130"/>
      <c r="AE695" s="106"/>
    </row>
    <row r="696">
      <c r="C696" s="79"/>
      <c r="D696" s="79"/>
      <c r="E696" s="79"/>
      <c r="P696" s="79"/>
      <c r="Q696" s="79"/>
      <c r="R696" s="79"/>
      <c r="Y696" s="79"/>
      <c r="AC696" s="130"/>
      <c r="AE696" s="106"/>
    </row>
    <row r="697">
      <c r="C697" s="79"/>
      <c r="D697" s="79"/>
      <c r="E697" s="79"/>
      <c r="P697" s="79"/>
      <c r="Q697" s="79"/>
      <c r="R697" s="79"/>
      <c r="Y697" s="79"/>
      <c r="AC697" s="130"/>
      <c r="AE697" s="106"/>
    </row>
    <row r="698">
      <c r="C698" s="79"/>
      <c r="D698" s="79"/>
      <c r="E698" s="79"/>
      <c r="P698" s="79"/>
      <c r="Q698" s="79"/>
      <c r="R698" s="79"/>
      <c r="Y698" s="79"/>
      <c r="AC698" s="130"/>
      <c r="AE698" s="106"/>
    </row>
    <row r="699">
      <c r="C699" s="79"/>
      <c r="D699" s="79"/>
      <c r="E699" s="79"/>
      <c r="P699" s="79"/>
      <c r="Q699" s="79"/>
      <c r="R699" s="79"/>
      <c r="Y699" s="79"/>
      <c r="AC699" s="130"/>
      <c r="AE699" s="106"/>
    </row>
    <row r="700">
      <c r="C700" s="79"/>
      <c r="D700" s="79"/>
      <c r="E700" s="79"/>
      <c r="P700" s="79"/>
      <c r="Q700" s="79"/>
      <c r="R700" s="79"/>
      <c r="Y700" s="79"/>
      <c r="AC700" s="130"/>
      <c r="AE700" s="106"/>
    </row>
    <row r="701">
      <c r="C701" s="79"/>
      <c r="D701" s="79"/>
      <c r="E701" s="79"/>
      <c r="P701" s="79"/>
      <c r="Q701" s="79"/>
      <c r="R701" s="79"/>
      <c r="Y701" s="79"/>
      <c r="AC701" s="130"/>
      <c r="AE701" s="106"/>
    </row>
    <row r="702">
      <c r="C702" s="79"/>
      <c r="D702" s="79"/>
      <c r="E702" s="79"/>
      <c r="P702" s="79"/>
      <c r="Q702" s="79"/>
      <c r="R702" s="79"/>
      <c r="Y702" s="79"/>
      <c r="AC702" s="130"/>
      <c r="AE702" s="106"/>
    </row>
    <row r="703">
      <c r="C703" s="79"/>
      <c r="D703" s="79"/>
      <c r="E703" s="79"/>
      <c r="P703" s="79"/>
      <c r="Q703" s="79"/>
      <c r="R703" s="79"/>
      <c r="Y703" s="79"/>
      <c r="AC703" s="130"/>
      <c r="AE703" s="106"/>
    </row>
    <row r="704">
      <c r="C704" s="79"/>
      <c r="D704" s="79"/>
      <c r="E704" s="79"/>
      <c r="P704" s="79"/>
      <c r="Q704" s="79"/>
      <c r="R704" s="79"/>
      <c r="Y704" s="79"/>
      <c r="AC704" s="130"/>
      <c r="AE704" s="106"/>
    </row>
    <row r="705">
      <c r="C705" s="79"/>
      <c r="D705" s="79"/>
      <c r="E705" s="79"/>
      <c r="P705" s="79"/>
      <c r="Q705" s="79"/>
      <c r="R705" s="79"/>
      <c r="Y705" s="79"/>
      <c r="AC705" s="130"/>
      <c r="AE705" s="106"/>
    </row>
    <row r="706">
      <c r="C706" s="79"/>
      <c r="D706" s="79"/>
      <c r="E706" s="79"/>
      <c r="P706" s="79"/>
      <c r="Q706" s="79"/>
      <c r="R706" s="79"/>
      <c r="Y706" s="79"/>
      <c r="AC706" s="130"/>
      <c r="AE706" s="106"/>
    </row>
    <row r="707">
      <c r="C707" s="79"/>
      <c r="D707" s="79"/>
      <c r="E707" s="79"/>
      <c r="P707" s="79"/>
      <c r="Q707" s="79"/>
      <c r="R707" s="79"/>
      <c r="Y707" s="79"/>
      <c r="AC707" s="130"/>
      <c r="AE707" s="106"/>
    </row>
    <row r="708">
      <c r="C708" s="79"/>
      <c r="D708" s="79"/>
      <c r="E708" s="79"/>
      <c r="P708" s="79"/>
      <c r="Q708" s="79"/>
      <c r="R708" s="79"/>
      <c r="Y708" s="79"/>
      <c r="AC708" s="130"/>
      <c r="AE708" s="106"/>
    </row>
    <row r="709">
      <c r="C709" s="79"/>
      <c r="D709" s="79"/>
      <c r="E709" s="79"/>
      <c r="P709" s="79"/>
      <c r="Q709" s="79"/>
      <c r="R709" s="79"/>
      <c r="Y709" s="79"/>
      <c r="AC709" s="130"/>
      <c r="AE709" s="106"/>
    </row>
    <row r="710">
      <c r="C710" s="79"/>
      <c r="D710" s="79"/>
      <c r="E710" s="79"/>
      <c r="P710" s="79"/>
      <c r="Q710" s="79"/>
      <c r="R710" s="79"/>
      <c r="Y710" s="79"/>
      <c r="AC710" s="130"/>
      <c r="AE710" s="106"/>
    </row>
    <row r="711">
      <c r="C711" s="79"/>
      <c r="D711" s="79"/>
      <c r="E711" s="79"/>
      <c r="P711" s="79"/>
      <c r="Q711" s="79"/>
      <c r="R711" s="79"/>
      <c r="Y711" s="79"/>
      <c r="AC711" s="130"/>
      <c r="AE711" s="106"/>
    </row>
    <row r="712">
      <c r="C712" s="79"/>
      <c r="D712" s="79"/>
      <c r="E712" s="79"/>
      <c r="P712" s="79"/>
      <c r="Q712" s="79"/>
      <c r="R712" s="79"/>
      <c r="Y712" s="79"/>
      <c r="AC712" s="130"/>
      <c r="AE712" s="106"/>
    </row>
    <row r="713">
      <c r="C713" s="79"/>
      <c r="D713" s="79"/>
      <c r="E713" s="79"/>
      <c r="P713" s="79"/>
      <c r="Q713" s="79"/>
      <c r="R713" s="79"/>
      <c r="Y713" s="79"/>
      <c r="AC713" s="130"/>
      <c r="AE713" s="106"/>
    </row>
    <row r="714">
      <c r="C714" s="79"/>
      <c r="D714" s="79"/>
      <c r="E714" s="79"/>
      <c r="P714" s="79"/>
      <c r="Q714" s="79"/>
      <c r="R714" s="79"/>
      <c r="Y714" s="79"/>
      <c r="AC714" s="130"/>
      <c r="AE714" s="106"/>
    </row>
    <row r="715">
      <c r="C715" s="79"/>
      <c r="D715" s="79"/>
      <c r="E715" s="79"/>
      <c r="P715" s="79"/>
      <c r="Q715" s="79"/>
      <c r="R715" s="79"/>
      <c r="Y715" s="79"/>
      <c r="AC715" s="130"/>
      <c r="AE715" s="106"/>
    </row>
    <row r="716">
      <c r="C716" s="79"/>
      <c r="D716" s="79"/>
      <c r="E716" s="79"/>
      <c r="P716" s="79"/>
      <c r="Q716" s="79"/>
      <c r="R716" s="79"/>
      <c r="Y716" s="79"/>
      <c r="AC716" s="130"/>
      <c r="AE716" s="106"/>
    </row>
    <row r="717">
      <c r="C717" s="79"/>
      <c r="D717" s="79"/>
      <c r="E717" s="79"/>
      <c r="P717" s="79"/>
      <c r="Q717" s="79"/>
      <c r="R717" s="79"/>
      <c r="Y717" s="79"/>
      <c r="AC717" s="130"/>
      <c r="AE717" s="106"/>
    </row>
    <row r="718">
      <c r="C718" s="79"/>
      <c r="D718" s="79"/>
      <c r="E718" s="79"/>
      <c r="P718" s="79"/>
      <c r="Q718" s="79"/>
      <c r="R718" s="79"/>
      <c r="Y718" s="79"/>
      <c r="AC718" s="130"/>
      <c r="AE718" s="106"/>
    </row>
    <row r="719">
      <c r="C719" s="79"/>
      <c r="D719" s="79"/>
      <c r="E719" s="79"/>
      <c r="P719" s="79"/>
      <c r="Q719" s="79"/>
      <c r="R719" s="79"/>
      <c r="Y719" s="79"/>
      <c r="AC719" s="130"/>
      <c r="AE719" s="106"/>
    </row>
    <row r="720">
      <c r="C720" s="79"/>
      <c r="D720" s="79"/>
      <c r="E720" s="79"/>
      <c r="P720" s="79"/>
      <c r="Q720" s="79"/>
      <c r="R720" s="79"/>
      <c r="Y720" s="79"/>
      <c r="AC720" s="130"/>
      <c r="AE720" s="106"/>
    </row>
    <row r="721">
      <c r="C721" s="79"/>
      <c r="D721" s="79"/>
      <c r="E721" s="79"/>
      <c r="P721" s="79"/>
      <c r="Q721" s="79"/>
      <c r="R721" s="79"/>
      <c r="Y721" s="79"/>
      <c r="AC721" s="130"/>
      <c r="AE721" s="106"/>
    </row>
    <row r="722">
      <c r="C722" s="79"/>
      <c r="D722" s="79"/>
      <c r="E722" s="79"/>
      <c r="P722" s="79"/>
      <c r="Q722" s="79"/>
      <c r="R722" s="79"/>
      <c r="Y722" s="79"/>
      <c r="AC722" s="130"/>
      <c r="AE722" s="106"/>
    </row>
    <row r="723">
      <c r="C723" s="79"/>
      <c r="D723" s="79"/>
      <c r="E723" s="79"/>
      <c r="P723" s="79"/>
      <c r="Q723" s="79"/>
      <c r="R723" s="79"/>
      <c r="Y723" s="79"/>
      <c r="AC723" s="130"/>
      <c r="AE723" s="106"/>
    </row>
    <row r="724">
      <c r="C724" s="79"/>
      <c r="D724" s="79"/>
      <c r="E724" s="79"/>
      <c r="P724" s="79"/>
      <c r="Q724" s="79"/>
      <c r="R724" s="79"/>
      <c r="Y724" s="79"/>
      <c r="AC724" s="130"/>
      <c r="AE724" s="106"/>
    </row>
    <row r="725">
      <c r="C725" s="79"/>
      <c r="D725" s="79"/>
      <c r="E725" s="79"/>
      <c r="P725" s="79"/>
      <c r="Q725" s="79"/>
      <c r="R725" s="79"/>
      <c r="Y725" s="79"/>
      <c r="AC725" s="130"/>
      <c r="AE725" s="106"/>
    </row>
    <row r="726">
      <c r="C726" s="79"/>
      <c r="D726" s="79"/>
      <c r="E726" s="79"/>
      <c r="P726" s="79"/>
      <c r="Q726" s="79"/>
      <c r="R726" s="79"/>
      <c r="Y726" s="79"/>
      <c r="AC726" s="130"/>
      <c r="AE726" s="106"/>
    </row>
    <row r="727">
      <c r="C727" s="79"/>
      <c r="D727" s="79"/>
      <c r="E727" s="79"/>
      <c r="P727" s="79"/>
      <c r="Q727" s="79"/>
      <c r="R727" s="79"/>
      <c r="Y727" s="79"/>
      <c r="AC727" s="130"/>
      <c r="AE727" s="106"/>
    </row>
    <row r="728">
      <c r="C728" s="79"/>
      <c r="D728" s="79"/>
      <c r="E728" s="79"/>
      <c r="P728" s="79"/>
      <c r="Q728" s="79"/>
      <c r="R728" s="79"/>
      <c r="Y728" s="79"/>
      <c r="AC728" s="130"/>
      <c r="AE728" s="106"/>
    </row>
    <row r="729">
      <c r="C729" s="79"/>
      <c r="D729" s="79"/>
      <c r="E729" s="79"/>
      <c r="P729" s="79"/>
      <c r="Q729" s="79"/>
      <c r="R729" s="79"/>
      <c r="Y729" s="79"/>
      <c r="AC729" s="130"/>
      <c r="AE729" s="106"/>
    </row>
    <row r="730">
      <c r="C730" s="79"/>
      <c r="D730" s="79"/>
      <c r="E730" s="79"/>
      <c r="P730" s="79"/>
      <c r="Q730" s="79"/>
      <c r="R730" s="79"/>
      <c r="Y730" s="79"/>
      <c r="AC730" s="130"/>
      <c r="AE730" s="106"/>
    </row>
    <row r="731">
      <c r="C731" s="79"/>
      <c r="D731" s="79"/>
      <c r="E731" s="79"/>
      <c r="P731" s="79"/>
      <c r="Q731" s="79"/>
      <c r="R731" s="79"/>
      <c r="Y731" s="79"/>
      <c r="AC731" s="130"/>
      <c r="AE731" s="106"/>
    </row>
    <row r="732">
      <c r="C732" s="79"/>
      <c r="D732" s="79"/>
      <c r="E732" s="79"/>
      <c r="P732" s="79"/>
      <c r="Q732" s="79"/>
      <c r="R732" s="79"/>
      <c r="Y732" s="79"/>
      <c r="AC732" s="130"/>
      <c r="AE732" s="106"/>
    </row>
    <row r="733">
      <c r="C733" s="79"/>
      <c r="D733" s="79"/>
      <c r="E733" s="79"/>
      <c r="P733" s="79"/>
      <c r="Q733" s="79"/>
      <c r="R733" s="79"/>
      <c r="Y733" s="79"/>
      <c r="AC733" s="130"/>
      <c r="AE733" s="106"/>
    </row>
    <row r="734">
      <c r="C734" s="79"/>
      <c r="D734" s="79"/>
      <c r="E734" s="79"/>
      <c r="P734" s="79"/>
      <c r="Q734" s="79"/>
      <c r="R734" s="79"/>
      <c r="Y734" s="79"/>
      <c r="AC734" s="130"/>
      <c r="AE734" s="106"/>
    </row>
    <row r="735">
      <c r="C735" s="79"/>
      <c r="D735" s="79"/>
      <c r="E735" s="79"/>
      <c r="P735" s="79"/>
      <c r="Q735" s="79"/>
      <c r="R735" s="79"/>
      <c r="Y735" s="79"/>
      <c r="AC735" s="130"/>
      <c r="AE735" s="106"/>
    </row>
    <row r="736">
      <c r="C736" s="79"/>
      <c r="D736" s="79"/>
      <c r="E736" s="79"/>
      <c r="P736" s="79"/>
      <c r="Q736" s="79"/>
      <c r="R736" s="79"/>
      <c r="Y736" s="79"/>
      <c r="AC736" s="130"/>
      <c r="AE736" s="106"/>
    </row>
    <row r="737">
      <c r="C737" s="79"/>
      <c r="D737" s="79"/>
      <c r="E737" s="79"/>
      <c r="P737" s="79"/>
      <c r="Q737" s="79"/>
      <c r="R737" s="79"/>
      <c r="Y737" s="79"/>
      <c r="AC737" s="130"/>
      <c r="AE737" s="106"/>
    </row>
    <row r="738">
      <c r="C738" s="79"/>
      <c r="D738" s="79"/>
      <c r="E738" s="79"/>
      <c r="P738" s="79"/>
      <c r="Q738" s="79"/>
      <c r="R738" s="79"/>
      <c r="Y738" s="79"/>
      <c r="AC738" s="130"/>
      <c r="AE738" s="106"/>
    </row>
    <row r="739">
      <c r="C739" s="79"/>
      <c r="D739" s="79"/>
      <c r="E739" s="79"/>
      <c r="P739" s="79"/>
      <c r="Q739" s="79"/>
      <c r="R739" s="79"/>
      <c r="Y739" s="79"/>
      <c r="AC739" s="130"/>
      <c r="AE739" s="106"/>
    </row>
    <row r="740">
      <c r="C740" s="79"/>
      <c r="D740" s="79"/>
      <c r="E740" s="79"/>
      <c r="P740" s="79"/>
      <c r="Q740" s="79"/>
      <c r="R740" s="79"/>
      <c r="Y740" s="79"/>
      <c r="AC740" s="130"/>
      <c r="AE740" s="106"/>
    </row>
    <row r="741">
      <c r="C741" s="79"/>
      <c r="D741" s="79"/>
      <c r="E741" s="79"/>
      <c r="P741" s="79"/>
      <c r="Q741" s="79"/>
      <c r="R741" s="79"/>
      <c r="Y741" s="79"/>
      <c r="AC741" s="130"/>
      <c r="AE741" s="106"/>
    </row>
    <row r="742">
      <c r="C742" s="79"/>
      <c r="D742" s="79"/>
      <c r="E742" s="79"/>
      <c r="P742" s="79"/>
      <c r="Q742" s="79"/>
      <c r="R742" s="79"/>
      <c r="Y742" s="79"/>
      <c r="AC742" s="130"/>
      <c r="AE742" s="106"/>
    </row>
    <row r="743">
      <c r="C743" s="79"/>
      <c r="D743" s="79"/>
      <c r="E743" s="79"/>
      <c r="P743" s="79"/>
      <c r="Q743" s="79"/>
      <c r="R743" s="79"/>
      <c r="Y743" s="79"/>
      <c r="AC743" s="130"/>
      <c r="AE743" s="106"/>
    </row>
    <row r="744">
      <c r="C744" s="79"/>
      <c r="D744" s="79"/>
      <c r="E744" s="79"/>
      <c r="P744" s="79"/>
      <c r="Q744" s="79"/>
      <c r="R744" s="79"/>
      <c r="Y744" s="79"/>
      <c r="AC744" s="130"/>
      <c r="AE744" s="106"/>
    </row>
    <row r="745">
      <c r="C745" s="79"/>
      <c r="D745" s="79"/>
      <c r="E745" s="79"/>
      <c r="P745" s="79"/>
      <c r="Q745" s="79"/>
      <c r="R745" s="79"/>
      <c r="Y745" s="79"/>
      <c r="AC745" s="130"/>
      <c r="AE745" s="106"/>
    </row>
    <row r="746">
      <c r="C746" s="79"/>
      <c r="D746" s="79"/>
      <c r="E746" s="79"/>
      <c r="P746" s="79"/>
      <c r="Q746" s="79"/>
      <c r="R746" s="79"/>
      <c r="Y746" s="79"/>
      <c r="AC746" s="130"/>
      <c r="AE746" s="106"/>
    </row>
    <row r="747">
      <c r="C747" s="79"/>
      <c r="D747" s="79"/>
      <c r="E747" s="79"/>
      <c r="P747" s="79"/>
      <c r="Q747" s="79"/>
      <c r="R747" s="79"/>
      <c r="Y747" s="79"/>
      <c r="AC747" s="130"/>
      <c r="AE747" s="106"/>
    </row>
    <row r="748">
      <c r="C748" s="79"/>
      <c r="D748" s="79"/>
      <c r="E748" s="79"/>
      <c r="P748" s="79"/>
      <c r="Q748" s="79"/>
      <c r="R748" s="79"/>
      <c r="Y748" s="79"/>
      <c r="AC748" s="130"/>
      <c r="AE748" s="106"/>
    </row>
    <row r="749">
      <c r="C749" s="79"/>
      <c r="D749" s="79"/>
      <c r="E749" s="79"/>
      <c r="P749" s="79"/>
      <c r="Q749" s="79"/>
      <c r="R749" s="79"/>
      <c r="Y749" s="79"/>
      <c r="AC749" s="130"/>
      <c r="AE749" s="106"/>
    </row>
    <row r="750">
      <c r="C750" s="79"/>
      <c r="D750" s="79"/>
      <c r="E750" s="79"/>
      <c r="P750" s="79"/>
      <c r="Q750" s="79"/>
      <c r="R750" s="79"/>
      <c r="Y750" s="79"/>
      <c r="AC750" s="130"/>
      <c r="AE750" s="106"/>
    </row>
    <row r="751">
      <c r="C751" s="79"/>
      <c r="D751" s="79"/>
      <c r="E751" s="79"/>
      <c r="P751" s="79"/>
      <c r="Q751" s="79"/>
      <c r="R751" s="79"/>
      <c r="Y751" s="79"/>
      <c r="AC751" s="130"/>
      <c r="AE751" s="106"/>
    </row>
    <row r="752">
      <c r="C752" s="79"/>
      <c r="D752" s="79"/>
      <c r="E752" s="79"/>
      <c r="P752" s="79"/>
      <c r="Q752" s="79"/>
      <c r="R752" s="79"/>
      <c r="Y752" s="79"/>
      <c r="AC752" s="130"/>
      <c r="AE752" s="106"/>
    </row>
    <row r="753">
      <c r="C753" s="79"/>
      <c r="D753" s="79"/>
      <c r="E753" s="79"/>
      <c r="P753" s="79"/>
      <c r="Q753" s="79"/>
      <c r="R753" s="79"/>
      <c r="Y753" s="79"/>
      <c r="AC753" s="130"/>
      <c r="AE753" s="106"/>
    </row>
    <row r="754">
      <c r="C754" s="79"/>
      <c r="D754" s="79"/>
      <c r="E754" s="79"/>
      <c r="P754" s="79"/>
      <c r="Q754" s="79"/>
      <c r="R754" s="79"/>
      <c r="Y754" s="79"/>
      <c r="AC754" s="130"/>
      <c r="AE754" s="106"/>
    </row>
    <row r="755">
      <c r="C755" s="79"/>
      <c r="D755" s="79"/>
      <c r="E755" s="79"/>
      <c r="P755" s="79"/>
      <c r="Q755" s="79"/>
      <c r="R755" s="79"/>
      <c r="Y755" s="79"/>
      <c r="AC755" s="130"/>
      <c r="AE755" s="106"/>
    </row>
    <row r="756">
      <c r="C756" s="79"/>
      <c r="D756" s="79"/>
      <c r="E756" s="79"/>
      <c r="P756" s="79"/>
      <c r="Q756" s="79"/>
      <c r="R756" s="79"/>
      <c r="Y756" s="79"/>
      <c r="AC756" s="130"/>
      <c r="AE756" s="106"/>
    </row>
    <row r="757">
      <c r="C757" s="79"/>
      <c r="D757" s="79"/>
      <c r="E757" s="79"/>
      <c r="P757" s="79"/>
      <c r="Q757" s="79"/>
      <c r="R757" s="79"/>
      <c r="Y757" s="79"/>
      <c r="AC757" s="130"/>
      <c r="AE757" s="106"/>
    </row>
    <row r="758">
      <c r="C758" s="79"/>
      <c r="D758" s="79"/>
      <c r="E758" s="79"/>
      <c r="P758" s="79"/>
      <c r="Q758" s="79"/>
      <c r="R758" s="79"/>
      <c r="Y758" s="79"/>
      <c r="AC758" s="130"/>
      <c r="AE758" s="106"/>
    </row>
    <row r="759">
      <c r="C759" s="79"/>
      <c r="D759" s="79"/>
      <c r="E759" s="79"/>
      <c r="P759" s="79"/>
      <c r="Q759" s="79"/>
      <c r="R759" s="79"/>
      <c r="Y759" s="79"/>
      <c r="AC759" s="130"/>
      <c r="AE759" s="106"/>
    </row>
    <row r="760">
      <c r="C760" s="79"/>
      <c r="D760" s="79"/>
      <c r="E760" s="79"/>
      <c r="P760" s="79"/>
      <c r="Q760" s="79"/>
      <c r="R760" s="79"/>
      <c r="Y760" s="79"/>
      <c r="AC760" s="130"/>
      <c r="AE760" s="106"/>
    </row>
    <row r="761">
      <c r="C761" s="79"/>
      <c r="D761" s="79"/>
      <c r="E761" s="79"/>
      <c r="P761" s="79"/>
      <c r="Q761" s="79"/>
      <c r="R761" s="79"/>
      <c r="Y761" s="79"/>
      <c r="AC761" s="130"/>
      <c r="AE761" s="106"/>
    </row>
    <row r="762">
      <c r="C762" s="79"/>
      <c r="D762" s="79"/>
      <c r="E762" s="79"/>
      <c r="P762" s="79"/>
      <c r="Q762" s="79"/>
      <c r="R762" s="79"/>
      <c r="Y762" s="79"/>
      <c r="AC762" s="130"/>
      <c r="AE762" s="106"/>
    </row>
    <row r="763">
      <c r="C763" s="79"/>
      <c r="D763" s="79"/>
      <c r="E763" s="79"/>
      <c r="P763" s="79"/>
      <c r="Q763" s="79"/>
      <c r="R763" s="79"/>
      <c r="Y763" s="79"/>
      <c r="AC763" s="130"/>
      <c r="AE763" s="106"/>
    </row>
    <row r="764">
      <c r="C764" s="79"/>
      <c r="D764" s="79"/>
      <c r="E764" s="79"/>
      <c r="P764" s="79"/>
      <c r="Q764" s="79"/>
      <c r="R764" s="79"/>
      <c r="Y764" s="79"/>
      <c r="AC764" s="130"/>
      <c r="AE764" s="106"/>
    </row>
    <row r="765">
      <c r="C765" s="79"/>
      <c r="D765" s="79"/>
      <c r="E765" s="79"/>
      <c r="P765" s="79"/>
      <c r="Q765" s="79"/>
      <c r="R765" s="79"/>
      <c r="Y765" s="79"/>
      <c r="AC765" s="130"/>
      <c r="AE765" s="106"/>
    </row>
    <row r="766">
      <c r="C766" s="79"/>
      <c r="D766" s="79"/>
      <c r="E766" s="79"/>
      <c r="P766" s="79"/>
      <c r="Q766" s="79"/>
      <c r="R766" s="79"/>
      <c r="Y766" s="79"/>
      <c r="AC766" s="130"/>
      <c r="AE766" s="106"/>
    </row>
    <row r="767">
      <c r="C767" s="79"/>
      <c r="D767" s="79"/>
      <c r="E767" s="79"/>
      <c r="P767" s="79"/>
      <c r="Q767" s="79"/>
      <c r="R767" s="79"/>
      <c r="Y767" s="79"/>
      <c r="AC767" s="130"/>
      <c r="AE767" s="106"/>
    </row>
    <row r="768">
      <c r="C768" s="79"/>
      <c r="D768" s="79"/>
      <c r="E768" s="79"/>
      <c r="P768" s="79"/>
      <c r="Q768" s="79"/>
      <c r="R768" s="79"/>
      <c r="Y768" s="79"/>
      <c r="AC768" s="130"/>
      <c r="AE768" s="106"/>
    </row>
    <row r="769">
      <c r="C769" s="79"/>
      <c r="D769" s="79"/>
      <c r="E769" s="79"/>
      <c r="P769" s="79"/>
      <c r="Q769" s="79"/>
      <c r="R769" s="79"/>
      <c r="Y769" s="79"/>
      <c r="AC769" s="130"/>
      <c r="AE769" s="106"/>
    </row>
    <row r="770">
      <c r="C770" s="79"/>
      <c r="D770" s="79"/>
      <c r="E770" s="79"/>
      <c r="P770" s="79"/>
      <c r="Q770" s="79"/>
      <c r="R770" s="79"/>
      <c r="Y770" s="79"/>
      <c r="AC770" s="130"/>
      <c r="AE770" s="106"/>
    </row>
    <row r="771">
      <c r="C771" s="79"/>
      <c r="D771" s="79"/>
      <c r="E771" s="79"/>
      <c r="P771" s="79"/>
      <c r="Q771" s="79"/>
      <c r="R771" s="79"/>
      <c r="Y771" s="79"/>
      <c r="AC771" s="130"/>
      <c r="AE771" s="106"/>
    </row>
    <row r="772">
      <c r="C772" s="79"/>
      <c r="D772" s="79"/>
      <c r="E772" s="79"/>
      <c r="P772" s="79"/>
      <c r="Q772" s="79"/>
      <c r="R772" s="79"/>
      <c r="Y772" s="79"/>
      <c r="AC772" s="130"/>
      <c r="AE772" s="106"/>
    </row>
    <row r="773">
      <c r="C773" s="79"/>
      <c r="D773" s="79"/>
      <c r="E773" s="79"/>
      <c r="P773" s="79"/>
      <c r="Q773" s="79"/>
      <c r="R773" s="79"/>
      <c r="Y773" s="79"/>
      <c r="AC773" s="130"/>
      <c r="AE773" s="106"/>
    </row>
    <row r="774">
      <c r="C774" s="79"/>
      <c r="D774" s="79"/>
      <c r="E774" s="79"/>
      <c r="P774" s="79"/>
      <c r="Q774" s="79"/>
      <c r="R774" s="79"/>
      <c r="Y774" s="79"/>
      <c r="AC774" s="130"/>
      <c r="AE774" s="106"/>
    </row>
    <row r="775">
      <c r="C775" s="79"/>
      <c r="D775" s="79"/>
      <c r="E775" s="79"/>
      <c r="P775" s="79"/>
      <c r="Q775" s="79"/>
      <c r="R775" s="79"/>
      <c r="Y775" s="79"/>
      <c r="AC775" s="130"/>
      <c r="AE775" s="106"/>
    </row>
    <row r="776">
      <c r="C776" s="79"/>
      <c r="D776" s="79"/>
      <c r="E776" s="79"/>
      <c r="P776" s="79"/>
      <c r="Q776" s="79"/>
      <c r="R776" s="79"/>
      <c r="Y776" s="79"/>
      <c r="AC776" s="130"/>
      <c r="AE776" s="106"/>
    </row>
    <row r="777">
      <c r="C777" s="79"/>
      <c r="D777" s="79"/>
      <c r="E777" s="79"/>
      <c r="P777" s="79"/>
      <c r="Q777" s="79"/>
      <c r="R777" s="79"/>
      <c r="Y777" s="79"/>
      <c r="AC777" s="130"/>
      <c r="AE777" s="106"/>
    </row>
    <row r="778">
      <c r="C778" s="79"/>
      <c r="D778" s="79"/>
      <c r="E778" s="79"/>
      <c r="P778" s="79"/>
      <c r="Q778" s="79"/>
      <c r="R778" s="79"/>
      <c r="Y778" s="79"/>
      <c r="AC778" s="130"/>
      <c r="AE778" s="106"/>
    </row>
    <row r="779">
      <c r="C779" s="79"/>
      <c r="D779" s="79"/>
      <c r="E779" s="79"/>
      <c r="P779" s="79"/>
      <c r="Q779" s="79"/>
      <c r="R779" s="79"/>
      <c r="Y779" s="79"/>
      <c r="AC779" s="130"/>
      <c r="AE779" s="106"/>
    </row>
    <row r="780">
      <c r="C780" s="79"/>
      <c r="D780" s="79"/>
      <c r="E780" s="79"/>
      <c r="P780" s="79"/>
      <c r="Q780" s="79"/>
      <c r="R780" s="79"/>
      <c r="Y780" s="79"/>
      <c r="AC780" s="130"/>
      <c r="AE780" s="106"/>
    </row>
    <row r="781">
      <c r="C781" s="79"/>
      <c r="D781" s="79"/>
      <c r="E781" s="79"/>
      <c r="P781" s="79"/>
      <c r="Q781" s="79"/>
      <c r="R781" s="79"/>
      <c r="Y781" s="79"/>
      <c r="AC781" s="130"/>
      <c r="AE781" s="106"/>
    </row>
    <row r="782">
      <c r="C782" s="79"/>
      <c r="D782" s="79"/>
      <c r="E782" s="79"/>
      <c r="P782" s="79"/>
      <c r="Q782" s="79"/>
      <c r="R782" s="79"/>
      <c r="Y782" s="79"/>
      <c r="AC782" s="130"/>
      <c r="AE782" s="106"/>
    </row>
    <row r="783">
      <c r="C783" s="79"/>
      <c r="D783" s="79"/>
      <c r="E783" s="79"/>
      <c r="P783" s="79"/>
      <c r="Q783" s="79"/>
      <c r="R783" s="79"/>
      <c r="Y783" s="79"/>
      <c r="AC783" s="130"/>
      <c r="AE783" s="106"/>
    </row>
    <row r="784">
      <c r="C784" s="79"/>
      <c r="D784" s="79"/>
      <c r="E784" s="79"/>
      <c r="P784" s="79"/>
      <c r="Q784" s="79"/>
      <c r="R784" s="79"/>
      <c r="Y784" s="79"/>
      <c r="AC784" s="130"/>
      <c r="AE784" s="106"/>
    </row>
    <row r="785">
      <c r="C785" s="79"/>
      <c r="D785" s="79"/>
      <c r="E785" s="79"/>
      <c r="P785" s="79"/>
      <c r="Q785" s="79"/>
      <c r="R785" s="79"/>
      <c r="Y785" s="79"/>
      <c r="AC785" s="130"/>
      <c r="AE785" s="106"/>
    </row>
    <row r="786">
      <c r="C786" s="79"/>
      <c r="D786" s="79"/>
      <c r="E786" s="79"/>
      <c r="P786" s="79"/>
      <c r="Q786" s="79"/>
      <c r="R786" s="79"/>
      <c r="Y786" s="79"/>
      <c r="AC786" s="130"/>
      <c r="AE786" s="106"/>
    </row>
    <row r="787">
      <c r="C787" s="79"/>
      <c r="D787" s="79"/>
      <c r="E787" s="79"/>
      <c r="P787" s="79"/>
      <c r="Q787" s="79"/>
      <c r="R787" s="79"/>
      <c r="Y787" s="79"/>
      <c r="AC787" s="130"/>
      <c r="AE787" s="106"/>
    </row>
    <row r="788">
      <c r="C788" s="79"/>
      <c r="D788" s="79"/>
      <c r="E788" s="79"/>
      <c r="P788" s="79"/>
      <c r="Q788" s="79"/>
      <c r="R788" s="79"/>
      <c r="Y788" s="79"/>
      <c r="AC788" s="130"/>
      <c r="AE788" s="106"/>
    </row>
    <row r="789">
      <c r="C789" s="79"/>
      <c r="D789" s="79"/>
      <c r="E789" s="79"/>
      <c r="P789" s="79"/>
      <c r="Q789" s="79"/>
      <c r="R789" s="79"/>
      <c r="Y789" s="79"/>
      <c r="AC789" s="130"/>
      <c r="AE789" s="106"/>
    </row>
    <row r="790">
      <c r="C790" s="79"/>
      <c r="D790" s="79"/>
      <c r="E790" s="79"/>
      <c r="P790" s="79"/>
      <c r="Q790" s="79"/>
      <c r="R790" s="79"/>
      <c r="Y790" s="79"/>
      <c r="AC790" s="130"/>
      <c r="AE790" s="106"/>
    </row>
    <row r="791">
      <c r="C791" s="79"/>
      <c r="D791" s="79"/>
      <c r="E791" s="79"/>
      <c r="P791" s="79"/>
      <c r="Q791" s="79"/>
      <c r="R791" s="79"/>
      <c r="Y791" s="79"/>
      <c r="AC791" s="130"/>
      <c r="AE791" s="106"/>
    </row>
    <row r="792">
      <c r="C792" s="79"/>
      <c r="D792" s="79"/>
      <c r="E792" s="79"/>
      <c r="P792" s="79"/>
      <c r="Q792" s="79"/>
      <c r="R792" s="79"/>
      <c r="Y792" s="79"/>
      <c r="AC792" s="130"/>
      <c r="AE792" s="106"/>
    </row>
    <row r="793">
      <c r="C793" s="79"/>
      <c r="D793" s="79"/>
      <c r="E793" s="79"/>
      <c r="P793" s="79"/>
      <c r="Q793" s="79"/>
      <c r="R793" s="79"/>
      <c r="Y793" s="79"/>
      <c r="AC793" s="130"/>
      <c r="AE793" s="106"/>
    </row>
    <row r="794">
      <c r="C794" s="79"/>
      <c r="D794" s="79"/>
      <c r="E794" s="79"/>
      <c r="P794" s="79"/>
      <c r="Q794" s="79"/>
      <c r="R794" s="79"/>
      <c r="Y794" s="79"/>
      <c r="AC794" s="130"/>
      <c r="AE794" s="106"/>
    </row>
    <row r="795">
      <c r="C795" s="79"/>
      <c r="D795" s="79"/>
      <c r="E795" s="79"/>
      <c r="P795" s="79"/>
      <c r="Q795" s="79"/>
      <c r="R795" s="79"/>
      <c r="Y795" s="79"/>
      <c r="AC795" s="130"/>
      <c r="AE795" s="106"/>
    </row>
    <row r="796">
      <c r="C796" s="79"/>
      <c r="D796" s="79"/>
      <c r="E796" s="79"/>
      <c r="P796" s="79"/>
      <c r="Q796" s="79"/>
      <c r="R796" s="79"/>
      <c r="Y796" s="79"/>
      <c r="AC796" s="130"/>
      <c r="AE796" s="106"/>
    </row>
    <row r="797">
      <c r="C797" s="79"/>
      <c r="D797" s="79"/>
      <c r="E797" s="79"/>
      <c r="P797" s="79"/>
      <c r="Q797" s="79"/>
      <c r="R797" s="79"/>
      <c r="Y797" s="79"/>
      <c r="AC797" s="130"/>
      <c r="AE797" s="106"/>
    </row>
    <row r="798">
      <c r="C798" s="79"/>
      <c r="D798" s="79"/>
      <c r="E798" s="79"/>
      <c r="P798" s="79"/>
      <c r="Q798" s="79"/>
      <c r="R798" s="79"/>
      <c r="Y798" s="79"/>
      <c r="AC798" s="130"/>
      <c r="AE798" s="106"/>
    </row>
    <row r="799">
      <c r="C799" s="79"/>
      <c r="D799" s="79"/>
      <c r="E799" s="79"/>
      <c r="P799" s="79"/>
      <c r="Q799" s="79"/>
      <c r="R799" s="79"/>
      <c r="Y799" s="79"/>
      <c r="AC799" s="130"/>
      <c r="AE799" s="106"/>
    </row>
    <row r="800">
      <c r="C800" s="79"/>
      <c r="D800" s="79"/>
      <c r="E800" s="79"/>
      <c r="P800" s="79"/>
      <c r="Q800" s="79"/>
      <c r="R800" s="79"/>
      <c r="Y800" s="79"/>
      <c r="AC800" s="130"/>
      <c r="AE800" s="106"/>
    </row>
    <row r="801">
      <c r="C801" s="79"/>
      <c r="D801" s="79"/>
      <c r="E801" s="79"/>
      <c r="P801" s="79"/>
      <c r="Q801" s="79"/>
      <c r="R801" s="79"/>
      <c r="Y801" s="79"/>
      <c r="AC801" s="130"/>
      <c r="AE801" s="106"/>
    </row>
    <row r="802">
      <c r="C802" s="79"/>
      <c r="D802" s="79"/>
      <c r="E802" s="79"/>
      <c r="P802" s="79"/>
      <c r="Q802" s="79"/>
      <c r="R802" s="79"/>
      <c r="Y802" s="79"/>
      <c r="AC802" s="130"/>
      <c r="AE802" s="106"/>
    </row>
    <row r="803">
      <c r="C803" s="79"/>
      <c r="D803" s="79"/>
      <c r="E803" s="79"/>
      <c r="P803" s="79"/>
      <c r="Q803" s="79"/>
      <c r="R803" s="79"/>
      <c r="Y803" s="79"/>
      <c r="AC803" s="130"/>
      <c r="AE803" s="106"/>
    </row>
    <row r="804">
      <c r="C804" s="79"/>
      <c r="D804" s="79"/>
      <c r="E804" s="79"/>
      <c r="P804" s="79"/>
      <c r="Q804" s="79"/>
      <c r="R804" s="79"/>
      <c r="Y804" s="79"/>
      <c r="AC804" s="130"/>
      <c r="AE804" s="106"/>
    </row>
    <row r="805">
      <c r="C805" s="79"/>
      <c r="D805" s="79"/>
      <c r="E805" s="79"/>
      <c r="P805" s="79"/>
      <c r="Q805" s="79"/>
      <c r="R805" s="79"/>
      <c r="Y805" s="79"/>
      <c r="AC805" s="130"/>
      <c r="AE805" s="106"/>
    </row>
    <row r="806">
      <c r="C806" s="79"/>
      <c r="D806" s="79"/>
      <c r="E806" s="79"/>
      <c r="P806" s="79"/>
      <c r="Q806" s="79"/>
      <c r="R806" s="79"/>
      <c r="Y806" s="79"/>
      <c r="AC806" s="130"/>
      <c r="AE806" s="106"/>
    </row>
    <row r="807">
      <c r="C807" s="79"/>
      <c r="D807" s="79"/>
      <c r="E807" s="79"/>
      <c r="P807" s="79"/>
      <c r="Q807" s="79"/>
      <c r="R807" s="79"/>
      <c r="Y807" s="79"/>
      <c r="AC807" s="130"/>
      <c r="AE807" s="106"/>
    </row>
    <row r="808">
      <c r="C808" s="79"/>
      <c r="D808" s="79"/>
      <c r="E808" s="79"/>
      <c r="P808" s="79"/>
      <c r="Q808" s="79"/>
      <c r="R808" s="79"/>
      <c r="Y808" s="79"/>
      <c r="AC808" s="130"/>
      <c r="AE808" s="106"/>
    </row>
    <row r="809">
      <c r="C809" s="79"/>
      <c r="D809" s="79"/>
      <c r="E809" s="79"/>
      <c r="P809" s="79"/>
      <c r="Q809" s="79"/>
      <c r="R809" s="79"/>
      <c r="Y809" s="79"/>
      <c r="AC809" s="130"/>
      <c r="AE809" s="106"/>
    </row>
    <row r="810">
      <c r="C810" s="79"/>
      <c r="D810" s="79"/>
      <c r="E810" s="79"/>
      <c r="P810" s="79"/>
      <c r="Q810" s="79"/>
      <c r="R810" s="79"/>
      <c r="Y810" s="79"/>
      <c r="AC810" s="130"/>
      <c r="AE810" s="106"/>
    </row>
    <row r="811">
      <c r="C811" s="79"/>
      <c r="D811" s="79"/>
      <c r="E811" s="79"/>
      <c r="P811" s="79"/>
      <c r="Q811" s="79"/>
      <c r="R811" s="79"/>
      <c r="Y811" s="79"/>
      <c r="AC811" s="130"/>
      <c r="AE811" s="106"/>
    </row>
    <row r="812">
      <c r="C812" s="79"/>
      <c r="D812" s="79"/>
      <c r="E812" s="79"/>
      <c r="P812" s="79"/>
      <c r="Q812" s="79"/>
      <c r="R812" s="79"/>
      <c r="Y812" s="79"/>
      <c r="AC812" s="130"/>
      <c r="AE812" s="106"/>
    </row>
    <row r="813">
      <c r="C813" s="79"/>
      <c r="D813" s="79"/>
      <c r="E813" s="79"/>
      <c r="P813" s="79"/>
      <c r="Q813" s="79"/>
      <c r="R813" s="79"/>
      <c r="Y813" s="79"/>
      <c r="AC813" s="130"/>
      <c r="AE813" s="106"/>
    </row>
    <row r="814">
      <c r="C814" s="79"/>
      <c r="D814" s="79"/>
      <c r="E814" s="79"/>
      <c r="P814" s="79"/>
      <c r="Q814" s="79"/>
      <c r="R814" s="79"/>
      <c r="Y814" s="79"/>
      <c r="AC814" s="130"/>
      <c r="AE814" s="106"/>
    </row>
    <row r="815">
      <c r="C815" s="79"/>
      <c r="D815" s="79"/>
      <c r="E815" s="79"/>
      <c r="P815" s="79"/>
      <c r="Q815" s="79"/>
      <c r="R815" s="79"/>
      <c r="Y815" s="79"/>
      <c r="AC815" s="130"/>
      <c r="AE815" s="106"/>
    </row>
    <row r="816">
      <c r="C816" s="79"/>
      <c r="D816" s="79"/>
      <c r="E816" s="79"/>
      <c r="P816" s="79"/>
      <c r="Q816" s="79"/>
      <c r="R816" s="79"/>
      <c r="Y816" s="79"/>
      <c r="AC816" s="130"/>
      <c r="AE816" s="106"/>
    </row>
    <row r="817">
      <c r="C817" s="79"/>
      <c r="D817" s="79"/>
      <c r="E817" s="79"/>
      <c r="P817" s="79"/>
      <c r="Q817" s="79"/>
      <c r="R817" s="79"/>
      <c r="Y817" s="79"/>
      <c r="AC817" s="130"/>
      <c r="AE817" s="106"/>
    </row>
    <row r="818">
      <c r="C818" s="79"/>
      <c r="D818" s="79"/>
      <c r="E818" s="79"/>
      <c r="P818" s="79"/>
      <c r="Q818" s="79"/>
      <c r="R818" s="79"/>
      <c r="Y818" s="79"/>
      <c r="AC818" s="130"/>
      <c r="AE818" s="106"/>
    </row>
    <row r="819">
      <c r="C819" s="79"/>
      <c r="D819" s="79"/>
      <c r="E819" s="79"/>
      <c r="P819" s="79"/>
      <c r="Q819" s="79"/>
      <c r="R819" s="79"/>
      <c r="Y819" s="79"/>
      <c r="AC819" s="130"/>
      <c r="AE819" s="106"/>
    </row>
    <row r="820">
      <c r="C820" s="79"/>
      <c r="D820" s="79"/>
      <c r="E820" s="79"/>
      <c r="P820" s="79"/>
      <c r="Q820" s="79"/>
      <c r="R820" s="79"/>
      <c r="Y820" s="79"/>
      <c r="AC820" s="130"/>
      <c r="AE820" s="106"/>
    </row>
    <row r="821">
      <c r="C821" s="79"/>
      <c r="D821" s="79"/>
      <c r="E821" s="79"/>
      <c r="P821" s="79"/>
      <c r="Q821" s="79"/>
      <c r="R821" s="79"/>
      <c r="Y821" s="79"/>
      <c r="AC821" s="130"/>
      <c r="AE821" s="106"/>
    </row>
    <row r="822">
      <c r="C822" s="79"/>
      <c r="D822" s="79"/>
      <c r="E822" s="79"/>
      <c r="P822" s="79"/>
      <c r="Q822" s="79"/>
      <c r="R822" s="79"/>
      <c r="Y822" s="79"/>
      <c r="AC822" s="130"/>
      <c r="AE822" s="106"/>
    </row>
    <row r="823">
      <c r="C823" s="79"/>
      <c r="D823" s="79"/>
      <c r="E823" s="79"/>
      <c r="P823" s="79"/>
      <c r="Q823" s="79"/>
      <c r="R823" s="79"/>
      <c r="Y823" s="79"/>
      <c r="AC823" s="130"/>
      <c r="AE823" s="106"/>
    </row>
    <row r="824">
      <c r="C824" s="79"/>
      <c r="D824" s="79"/>
      <c r="E824" s="79"/>
      <c r="P824" s="79"/>
      <c r="Q824" s="79"/>
      <c r="R824" s="79"/>
      <c r="Y824" s="79"/>
      <c r="AC824" s="130"/>
      <c r="AE824" s="106"/>
    </row>
    <row r="825">
      <c r="C825" s="79"/>
      <c r="D825" s="79"/>
      <c r="E825" s="79"/>
      <c r="P825" s="79"/>
      <c r="Q825" s="79"/>
      <c r="R825" s="79"/>
      <c r="Y825" s="79"/>
      <c r="AC825" s="130"/>
      <c r="AE825" s="106"/>
    </row>
    <row r="826">
      <c r="C826" s="79"/>
      <c r="D826" s="79"/>
      <c r="E826" s="79"/>
      <c r="P826" s="79"/>
      <c r="Q826" s="79"/>
      <c r="R826" s="79"/>
      <c r="Y826" s="79"/>
      <c r="AC826" s="130"/>
      <c r="AE826" s="106"/>
    </row>
    <row r="827">
      <c r="C827" s="79"/>
      <c r="D827" s="79"/>
      <c r="E827" s="79"/>
      <c r="P827" s="79"/>
      <c r="Q827" s="79"/>
      <c r="R827" s="79"/>
      <c r="Y827" s="79"/>
      <c r="AC827" s="130"/>
      <c r="AE827" s="106"/>
    </row>
    <row r="828">
      <c r="C828" s="79"/>
      <c r="D828" s="79"/>
      <c r="E828" s="79"/>
      <c r="P828" s="79"/>
      <c r="Q828" s="79"/>
      <c r="R828" s="79"/>
      <c r="Y828" s="79"/>
      <c r="AC828" s="130"/>
      <c r="AE828" s="106"/>
    </row>
    <row r="829">
      <c r="C829" s="79"/>
      <c r="D829" s="79"/>
      <c r="E829" s="79"/>
      <c r="P829" s="79"/>
      <c r="Q829" s="79"/>
      <c r="R829" s="79"/>
      <c r="Y829" s="79"/>
      <c r="AC829" s="130"/>
      <c r="AE829" s="106"/>
    </row>
    <row r="830">
      <c r="C830" s="79"/>
      <c r="D830" s="79"/>
      <c r="E830" s="79"/>
      <c r="P830" s="79"/>
      <c r="Q830" s="79"/>
      <c r="R830" s="79"/>
      <c r="Y830" s="79"/>
      <c r="AC830" s="130"/>
      <c r="AE830" s="106"/>
    </row>
    <row r="831">
      <c r="C831" s="79"/>
      <c r="D831" s="79"/>
      <c r="E831" s="79"/>
      <c r="P831" s="79"/>
      <c r="Q831" s="79"/>
      <c r="R831" s="79"/>
      <c r="Y831" s="79"/>
      <c r="AC831" s="130"/>
      <c r="AE831" s="106"/>
    </row>
    <row r="832">
      <c r="C832" s="79"/>
      <c r="D832" s="79"/>
      <c r="E832" s="79"/>
      <c r="P832" s="79"/>
      <c r="Q832" s="79"/>
      <c r="R832" s="79"/>
      <c r="Y832" s="79"/>
      <c r="AC832" s="130"/>
      <c r="AE832" s="106"/>
    </row>
    <row r="833">
      <c r="C833" s="79"/>
      <c r="D833" s="79"/>
      <c r="E833" s="79"/>
      <c r="P833" s="79"/>
      <c r="Q833" s="79"/>
      <c r="R833" s="79"/>
      <c r="Y833" s="79"/>
      <c r="AC833" s="130"/>
      <c r="AE833" s="106"/>
    </row>
    <row r="834">
      <c r="C834" s="79"/>
      <c r="D834" s="79"/>
      <c r="E834" s="79"/>
      <c r="P834" s="79"/>
      <c r="Q834" s="79"/>
      <c r="R834" s="79"/>
      <c r="Y834" s="79"/>
      <c r="AC834" s="130"/>
      <c r="AE834" s="106"/>
    </row>
    <row r="835">
      <c r="C835" s="79"/>
      <c r="D835" s="79"/>
      <c r="E835" s="79"/>
      <c r="P835" s="79"/>
      <c r="Q835" s="79"/>
      <c r="R835" s="79"/>
      <c r="Y835" s="79"/>
      <c r="AC835" s="130"/>
      <c r="AE835" s="106"/>
    </row>
    <row r="836">
      <c r="C836" s="79"/>
      <c r="D836" s="79"/>
      <c r="E836" s="79"/>
      <c r="P836" s="79"/>
      <c r="Q836" s="79"/>
      <c r="R836" s="79"/>
      <c r="Y836" s="79"/>
      <c r="AC836" s="130"/>
      <c r="AE836" s="106"/>
    </row>
    <row r="837">
      <c r="C837" s="79"/>
      <c r="D837" s="79"/>
      <c r="E837" s="79"/>
      <c r="P837" s="79"/>
      <c r="Q837" s="79"/>
      <c r="R837" s="79"/>
      <c r="Y837" s="79"/>
      <c r="AC837" s="130"/>
      <c r="AE837" s="106"/>
    </row>
    <row r="838">
      <c r="C838" s="79"/>
      <c r="D838" s="79"/>
      <c r="E838" s="79"/>
      <c r="P838" s="79"/>
      <c r="Q838" s="79"/>
      <c r="R838" s="79"/>
      <c r="Y838" s="79"/>
      <c r="AC838" s="130"/>
      <c r="AE838" s="106"/>
    </row>
    <row r="839">
      <c r="C839" s="79"/>
      <c r="D839" s="79"/>
      <c r="E839" s="79"/>
      <c r="P839" s="79"/>
      <c r="Q839" s="79"/>
      <c r="R839" s="79"/>
      <c r="Y839" s="79"/>
      <c r="AC839" s="130"/>
      <c r="AE839" s="106"/>
    </row>
    <row r="840">
      <c r="C840" s="79"/>
      <c r="D840" s="79"/>
      <c r="E840" s="79"/>
      <c r="P840" s="79"/>
      <c r="Q840" s="79"/>
      <c r="R840" s="79"/>
      <c r="Y840" s="79"/>
      <c r="AC840" s="130"/>
      <c r="AE840" s="106"/>
    </row>
    <row r="841">
      <c r="C841" s="79"/>
      <c r="D841" s="79"/>
      <c r="E841" s="79"/>
      <c r="P841" s="79"/>
      <c r="Q841" s="79"/>
      <c r="R841" s="79"/>
      <c r="Y841" s="79"/>
      <c r="AC841" s="130"/>
      <c r="AE841" s="106"/>
    </row>
    <row r="842">
      <c r="C842" s="79"/>
      <c r="D842" s="79"/>
      <c r="E842" s="79"/>
      <c r="P842" s="79"/>
      <c r="Q842" s="79"/>
      <c r="R842" s="79"/>
      <c r="Y842" s="79"/>
      <c r="AC842" s="130"/>
      <c r="AE842" s="106"/>
    </row>
    <row r="843">
      <c r="C843" s="79"/>
      <c r="D843" s="79"/>
      <c r="E843" s="79"/>
      <c r="P843" s="79"/>
      <c r="Q843" s="79"/>
      <c r="R843" s="79"/>
      <c r="Y843" s="79"/>
      <c r="AC843" s="130"/>
      <c r="AE843" s="106"/>
    </row>
    <row r="844">
      <c r="C844" s="79"/>
      <c r="D844" s="79"/>
      <c r="E844" s="79"/>
      <c r="P844" s="79"/>
      <c r="Q844" s="79"/>
      <c r="R844" s="79"/>
      <c r="Y844" s="79"/>
      <c r="AC844" s="130"/>
      <c r="AE844" s="106"/>
    </row>
    <row r="845">
      <c r="C845" s="79"/>
      <c r="D845" s="79"/>
      <c r="E845" s="79"/>
      <c r="P845" s="79"/>
      <c r="Q845" s="79"/>
      <c r="R845" s="79"/>
      <c r="Y845" s="79"/>
      <c r="AC845" s="130"/>
      <c r="AE845" s="106"/>
    </row>
    <row r="846">
      <c r="C846" s="79"/>
      <c r="D846" s="79"/>
      <c r="E846" s="79"/>
      <c r="P846" s="79"/>
      <c r="Q846" s="79"/>
      <c r="R846" s="79"/>
      <c r="Y846" s="79"/>
      <c r="AC846" s="130"/>
      <c r="AE846" s="106"/>
    </row>
    <row r="847">
      <c r="C847" s="79"/>
      <c r="D847" s="79"/>
      <c r="E847" s="79"/>
      <c r="P847" s="79"/>
      <c r="Q847" s="79"/>
      <c r="R847" s="79"/>
      <c r="Y847" s="79"/>
      <c r="AC847" s="130"/>
      <c r="AE847" s="106"/>
    </row>
    <row r="848">
      <c r="C848" s="79"/>
      <c r="D848" s="79"/>
      <c r="E848" s="79"/>
      <c r="P848" s="79"/>
      <c r="Q848" s="79"/>
      <c r="R848" s="79"/>
      <c r="Y848" s="79"/>
      <c r="AC848" s="130"/>
      <c r="AE848" s="106"/>
    </row>
    <row r="849">
      <c r="C849" s="79"/>
      <c r="D849" s="79"/>
      <c r="E849" s="79"/>
      <c r="P849" s="79"/>
      <c r="Q849" s="79"/>
      <c r="R849" s="79"/>
      <c r="Y849" s="79"/>
      <c r="AC849" s="130"/>
      <c r="AE849" s="106"/>
    </row>
    <row r="850">
      <c r="C850" s="79"/>
      <c r="D850" s="79"/>
      <c r="E850" s="79"/>
      <c r="P850" s="79"/>
      <c r="Q850" s="79"/>
      <c r="R850" s="79"/>
      <c r="Y850" s="79"/>
      <c r="AC850" s="130"/>
      <c r="AE850" s="106"/>
    </row>
    <row r="851">
      <c r="C851" s="79"/>
      <c r="D851" s="79"/>
      <c r="E851" s="79"/>
      <c r="P851" s="79"/>
      <c r="Q851" s="79"/>
      <c r="R851" s="79"/>
      <c r="Y851" s="79"/>
      <c r="AC851" s="130"/>
      <c r="AE851" s="106"/>
    </row>
    <row r="852">
      <c r="C852" s="79"/>
      <c r="D852" s="79"/>
      <c r="E852" s="79"/>
      <c r="P852" s="79"/>
      <c r="Q852" s="79"/>
      <c r="R852" s="79"/>
      <c r="Y852" s="79"/>
      <c r="AC852" s="130"/>
      <c r="AE852" s="106"/>
    </row>
    <row r="853">
      <c r="C853" s="79"/>
      <c r="D853" s="79"/>
      <c r="E853" s="79"/>
      <c r="P853" s="79"/>
      <c r="Q853" s="79"/>
      <c r="R853" s="79"/>
      <c r="Y853" s="79"/>
      <c r="AC853" s="130"/>
      <c r="AE853" s="106"/>
    </row>
    <row r="854">
      <c r="C854" s="79"/>
      <c r="D854" s="79"/>
      <c r="E854" s="79"/>
      <c r="P854" s="79"/>
      <c r="Q854" s="79"/>
      <c r="R854" s="79"/>
      <c r="Y854" s="79"/>
      <c r="AC854" s="130"/>
      <c r="AE854" s="106"/>
    </row>
    <row r="855">
      <c r="C855" s="79"/>
      <c r="D855" s="79"/>
      <c r="E855" s="79"/>
      <c r="P855" s="79"/>
      <c r="Q855" s="79"/>
      <c r="R855" s="79"/>
      <c r="Y855" s="79"/>
      <c r="AC855" s="130"/>
      <c r="AE855" s="106"/>
    </row>
    <row r="856">
      <c r="C856" s="79"/>
      <c r="D856" s="79"/>
      <c r="E856" s="79"/>
      <c r="P856" s="79"/>
      <c r="Q856" s="79"/>
      <c r="R856" s="79"/>
      <c r="Y856" s="79"/>
      <c r="AC856" s="130"/>
      <c r="AE856" s="106"/>
    </row>
    <row r="857">
      <c r="C857" s="79"/>
      <c r="D857" s="79"/>
      <c r="E857" s="79"/>
      <c r="P857" s="79"/>
      <c r="Q857" s="79"/>
      <c r="R857" s="79"/>
      <c r="Y857" s="79"/>
      <c r="AC857" s="130"/>
      <c r="AE857" s="106"/>
    </row>
    <row r="858">
      <c r="C858" s="79"/>
      <c r="D858" s="79"/>
      <c r="E858" s="79"/>
      <c r="P858" s="79"/>
      <c r="Q858" s="79"/>
      <c r="R858" s="79"/>
      <c r="Y858" s="79"/>
      <c r="AC858" s="130"/>
      <c r="AE858" s="106"/>
    </row>
    <row r="859">
      <c r="C859" s="79"/>
      <c r="D859" s="79"/>
      <c r="E859" s="79"/>
      <c r="P859" s="79"/>
      <c r="Q859" s="79"/>
      <c r="R859" s="79"/>
      <c r="Y859" s="79"/>
      <c r="AC859" s="130"/>
      <c r="AE859" s="106"/>
    </row>
    <row r="860">
      <c r="C860" s="79"/>
      <c r="D860" s="79"/>
      <c r="E860" s="79"/>
      <c r="P860" s="79"/>
      <c r="Q860" s="79"/>
      <c r="R860" s="79"/>
      <c r="Y860" s="79"/>
      <c r="AC860" s="130"/>
      <c r="AE860" s="106"/>
    </row>
    <row r="861">
      <c r="C861" s="79"/>
      <c r="D861" s="79"/>
      <c r="E861" s="79"/>
      <c r="P861" s="79"/>
      <c r="Q861" s="79"/>
      <c r="R861" s="79"/>
      <c r="Y861" s="79"/>
      <c r="AC861" s="130"/>
      <c r="AE861" s="106"/>
    </row>
    <row r="862">
      <c r="C862" s="79"/>
      <c r="D862" s="79"/>
      <c r="E862" s="79"/>
      <c r="P862" s="79"/>
      <c r="Q862" s="79"/>
      <c r="R862" s="79"/>
      <c r="Y862" s="79"/>
      <c r="AC862" s="130"/>
      <c r="AE862" s="106"/>
    </row>
    <row r="863">
      <c r="C863" s="79"/>
      <c r="D863" s="79"/>
      <c r="E863" s="79"/>
      <c r="P863" s="79"/>
      <c r="Q863" s="79"/>
      <c r="R863" s="79"/>
      <c r="Y863" s="79"/>
      <c r="AC863" s="130"/>
      <c r="AE863" s="106"/>
    </row>
    <row r="864">
      <c r="C864" s="79"/>
      <c r="D864" s="79"/>
      <c r="E864" s="79"/>
      <c r="P864" s="79"/>
      <c r="Q864" s="79"/>
      <c r="R864" s="79"/>
      <c r="Y864" s="79"/>
      <c r="AC864" s="130"/>
      <c r="AE864" s="106"/>
    </row>
    <row r="865">
      <c r="C865" s="79"/>
      <c r="D865" s="79"/>
      <c r="E865" s="79"/>
      <c r="P865" s="79"/>
      <c r="Q865" s="79"/>
      <c r="R865" s="79"/>
      <c r="Y865" s="79"/>
      <c r="AC865" s="130"/>
      <c r="AE865" s="106"/>
    </row>
    <row r="866">
      <c r="C866" s="79"/>
      <c r="D866" s="79"/>
      <c r="E866" s="79"/>
      <c r="P866" s="79"/>
      <c r="Q866" s="79"/>
      <c r="R866" s="79"/>
      <c r="Y866" s="79"/>
      <c r="AC866" s="130"/>
      <c r="AE866" s="106"/>
    </row>
    <row r="867">
      <c r="C867" s="79"/>
      <c r="D867" s="79"/>
      <c r="E867" s="79"/>
      <c r="P867" s="79"/>
      <c r="Q867" s="79"/>
      <c r="R867" s="79"/>
      <c r="Y867" s="79"/>
      <c r="AC867" s="130"/>
      <c r="AE867" s="106"/>
    </row>
    <row r="868">
      <c r="C868" s="79"/>
      <c r="D868" s="79"/>
      <c r="E868" s="79"/>
      <c r="P868" s="79"/>
      <c r="Q868" s="79"/>
      <c r="R868" s="79"/>
      <c r="Y868" s="79"/>
      <c r="AC868" s="130"/>
      <c r="AE868" s="106"/>
    </row>
    <row r="869">
      <c r="C869" s="79"/>
      <c r="D869" s="79"/>
      <c r="E869" s="79"/>
      <c r="P869" s="79"/>
      <c r="Q869" s="79"/>
      <c r="R869" s="79"/>
      <c r="Y869" s="79"/>
      <c r="AC869" s="130"/>
      <c r="AE869" s="106"/>
    </row>
    <row r="870">
      <c r="C870" s="79"/>
      <c r="D870" s="79"/>
      <c r="E870" s="79"/>
      <c r="P870" s="79"/>
      <c r="Q870" s="79"/>
      <c r="R870" s="79"/>
      <c r="Y870" s="79"/>
      <c r="AC870" s="130"/>
      <c r="AE870" s="106"/>
    </row>
    <row r="871">
      <c r="C871" s="79"/>
      <c r="D871" s="79"/>
      <c r="E871" s="79"/>
      <c r="P871" s="79"/>
      <c r="Q871" s="79"/>
      <c r="R871" s="79"/>
      <c r="Y871" s="79"/>
      <c r="AC871" s="130"/>
      <c r="AE871" s="106"/>
    </row>
    <row r="872">
      <c r="C872" s="79"/>
      <c r="D872" s="79"/>
      <c r="E872" s="79"/>
      <c r="P872" s="79"/>
      <c r="Q872" s="79"/>
      <c r="R872" s="79"/>
      <c r="Y872" s="79"/>
      <c r="AC872" s="130"/>
      <c r="AE872" s="106"/>
    </row>
    <row r="873">
      <c r="C873" s="79"/>
      <c r="D873" s="79"/>
      <c r="E873" s="79"/>
      <c r="P873" s="79"/>
      <c r="Q873" s="79"/>
      <c r="R873" s="79"/>
      <c r="Y873" s="79"/>
      <c r="AC873" s="130"/>
      <c r="AE873" s="106"/>
    </row>
    <row r="874">
      <c r="C874" s="79"/>
      <c r="D874" s="79"/>
      <c r="E874" s="79"/>
      <c r="P874" s="79"/>
      <c r="Q874" s="79"/>
      <c r="R874" s="79"/>
      <c r="Y874" s="79"/>
      <c r="AC874" s="130"/>
      <c r="AE874" s="106"/>
    </row>
    <row r="875">
      <c r="C875" s="79"/>
      <c r="D875" s="79"/>
      <c r="E875" s="79"/>
      <c r="P875" s="79"/>
      <c r="Q875" s="79"/>
      <c r="R875" s="79"/>
      <c r="Y875" s="79"/>
      <c r="AC875" s="130"/>
      <c r="AE875" s="106"/>
    </row>
    <row r="876">
      <c r="C876" s="79"/>
      <c r="D876" s="79"/>
      <c r="E876" s="79"/>
      <c r="P876" s="79"/>
      <c r="Q876" s="79"/>
      <c r="R876" s="79"/>
      <c r="Y876" s="79"/>
      <c r="AC876" s="130"/>
      <c r="AE876" s="106"/>
    </row>
    <row r="877">
      <c r="C877" s="79"/>
      <c r="D877" s="79"/>
      <c r="E877" s="79"/>
      <c r="P877" s="79"/>
      <c r="Q877" s="79"/>
      <c r="R877" s="79"/>
      <c r="Y877" s="79"/>
      <c r="AC877" s="130"/>
      <c r="AE877" s="106"/>
    </row>
    <row r="878">
      <c r="C878" s="79"/>
      <c r="D878" s="79"/>
      <c r="E878" s="79"/>
      <c r="P878" s="79"/>
      <c r="Q878" s="79"/>
      <c r="R878" s="79"/>
      <c r="Y878" s="79"/>
      <c r="AC878" s="130"/>
      <c r="AE878" s="106"/>
    </row>
    <row r="879">
      <c r="C879" s="79"/>
      <c r="D879" s="79"/>
      <c r="E879" s="79"/>
      <c r="P879" s="79"/>
      <c r="Q879" s="79"/>
      <c r="R879" s="79"/>
      <c r="Y879" s="79"/>
      <c r="AC879" s="130"/>
      <c r="AE879" s="106"/>
    </row>
    <row r="880">
      <c r="C880" s="79"/>
      <c r="D880" s="79"/>
      <c r="E880" s="79"/>
      <c r="P880" s="79"/>
      <c r="Q880" s="79"/>
      <c r="R880" s="79"/>
      <c r="Y880" s="79"/>
      <c r="AC880" s="130"/>
      <c r="AE880" s="106"/>
    </row>
    <row r="881">
      <c r="C881" s="79"/>
      <c r="D881" s="79"/>
      <c r="E881" s="79"/>
      <c r="P881" s="79"/>
      <c r="Q881" s="79"/>
      <c r="R881" s="79"/>
      <c r="Y881" s="79"/>
      <c r="AC881" s="130"/>
      <c r="AE881" s="106"/>
    </row>
    <row r="882">
      <c r="C882" s="79"/>
      <c r="D882" s="79"/>
      <c r="E882" s="79"/>
      <c r="P882" s="79"/>
      <c r="Q882" s="79"/>
      <c r="R882" s="79"/>
      <c r="Y882" s="79"/>
      <c r="AC882" s="130"/>
      <c r="AE882" s="106"/>
    </row>
    <row r="883">
      <c r="C883" s="79"/>
      <c r="D883" s="79"/>
      <c r="E883" s="79"/>
      <c r="P883" s="79"/>
      <c r="Q883" s="79"/>
      <c r="R883" s="79"/>
      <c r="Y883" s="79"/>
      <c r="AC883" s="130"/>
      <c r="AE883" s="106"/>
    </row>
    <row r="884">
      <c r="C884" s="79"/>
      <c r="D884" s="79"/>
      <c r="E884" s="79"/>
      <c r="P884" s="79"/>
      <c r="Q884" s="79"/>
      <c r="R884" s="79"/>
      <c r="Y884" s="79"/>
      <c r="AC884" s="130"/>
      <c r="AE884" s="106"/>
    </row>
    <row r="885">
      <c r="C885" s="79"/>
      <c r="D885" s="79"/>
      <c r="E885" s="79"/>
      <c r="P885" s="79"/>
      <c r="Q885" s="79"/>
      <c r="R885" s="79"/>
      <c r="Y885" s="79"/>
      <c r="AC885" s="130"/>
      <c r="AE885" s="106"/>
    </row>
    <row r="886">
      <c r="C886" s="79"/>
      <c r="D886" s="79"/>
      <c r="E886" s="79"/>
      <c r="P886" s="79"/>
      <c r="Q886" s="79"/>
      <c r="R886" s="79"/>
      <c r="Y886" s="79"/>
      <c r="AC886" s="130"/>
      <c r="AE886" s="106"/>
    </row>
    <row r="887">
      <c r="C887" s="79"/>
      <c r="D887" s="79"/>
      <c r="E887" s="79"/>
      <c r="P887" s="79"/>
      <c r="Q887" s="79"/>
      <c r="R887" s="79"/>
      <c r="Y887" s="79"/>
      <c r="AC887" s="130"/>
      <c r="AE887" s="106"/>
    </row>
    <row r="888">
      <c r="C888" s="79"/>
      <c r="D888" s="79"/>
      <c r="E888" s="79"/>
      <c r="P888" s="79"/>
      <c r="Q888" s="79"/>
      <c r="R888" s="79"/>
      <c r="Y888" s="79"/>
      <c r="AC888" s="130"/>
      <c r="AE888" s="106"/>
    </row>
    <row r="889">
      <c r="C889" s="79"/>
      <c r="D889" s="79"/>
      <c r="E889" s="79"/>
      <c r="P889" s="79"/>
      <c r="Q889" s="79"/>
      <c r="R889" s="79"/>
      <c r="Y889" s="79"/>
      <c r="AC889" s="130"/>
      <c r="AE889" s="106"/>
    </row>
    <row r="890">
      <c r="C890" s="79"/>
      <c r="D890" s="79"/>
      <c r="E890" s="79"/>
      <c r="P890" s="79"/>
      <c r="Q890" s="79"/>
      <c r="R890" s="79"/>
      <c r="Y890" s="79"/>
      <c r="AC890" s="130"/>
      <c r="AE890" s="106"/>
    </row>
    <row r="891">
      <c r="C891" s="79"/>
      <c r="D891" s="79"/>
      <c r="E891" s="79"/>
      <c r="P891" s="79"/>
      <c r="Q891" s="79"/>
      <c r="R891" s="79"/>
      <c r="Y891" s="79"/>
      <c r="AC891" s="130"/>
      <c r="AE891" s="106"/>
    </row>
    <row r="892">
      <c r="C892" s="79"/>
      <c r="D892" s="79"/>
      <c r="E892" s="79"/>
      <c r="P892" s="79"/>
      <c r="Q892" s="79"/>
      <c r="R892" s="79"/>
      <c r="Y892" s="79"/>
      <c r="AC892" s="130"/>
      <c r="AE892" s="106"/>
    </row>
    <row r="893">
      <c r="C893" s="79"/>
      <c r="D893" s="79"/>
      <c r="E893" s="79"/>
      <c r="P893" s="79"/>
      <c r="Q893" s="79"/>
      <c r="R893" s="79"/>
      <c r="Y893" s="79"/>
      <c r="AC893" s="130"/>
      <c r="AE893" s="106"/>
    </row>
    <row r="894">
      <c r="C894" s="79"/>
      <c r="D894" s="79"/>
      <c r="E894" s="79"/>
      <c r="P894" s="79"/>
      <c r="Q894" s="79"/>
      <c r="R894" s="79"/>
      <c r="Y894" s="79"/>
      <c r="AC894" s="130"/>
      <c r="AE894" s="106"/>
    </row>
    <row r="895">
      <c r="C895" s="79"/>
      <c r="D895" s="79"/>
      <c r="E895" s="79"/>
      <c r="P895" s="79"/>
      <c r="Q895" s="79"/>
      <c r="R895" s="79"/>
      <c r="Y895" s="79"/>
      <c r="AC895" s="130"/>
      <c r="AE895" s="106"/>
    </row>
    <row r="896">
      <c r="C896" s="79"/>
      <c r="D896" s="79"/>
      <c r="E896" s="79"/>
      <c r="P896" s="79"/>
      <c r="Q896" s="79"/>
      <c r="R896" s="79"/>
      <c r="Y896" s="79"/>
      <c r="AC896" s="130"/>
      <c r="AE896" s="106"/>
    </row>
    <row r="897">
      <c r="C897" s="79"/>
      <c r="D897" s="79"/>
      <c r="E897" s="79"/>
      <c r="P897" s="79"/>
      <c r="Q897" s="79"/>
      <c r="R897" s="79"/>
      <c r="Y897" s="79"/>
      <c r="AC897" s="130"/>
      <c r="AE897" s="106"/>
    </row>
    <row r="898">
      <c r="C898" s="79"/>
      <c r="D898" s="79"/>
      <c r="E898" s="79"/>
      <c r="P898" s="79"/>
      <c r="Q898" s="79"/>
      <c r="R898" s="79"/>
      <c r="Y898" s="79"/>
      <c r="AC898" s="130"/>
      <c r="AE898" s="106"/>
    </row>
    <row r="899">
      <c r="C899" s="79"/>
      <c r="D899" s="79"/>
      <c r="E899" s="79"/>
      <c r="P899" s="79"/>
      <c r="Q899" s="79"/>
      <c r="R899" s="79"/>
      <c r="Y899" s="79"/>
      <c r="AC899" s="130"/>
      <c r="AE899" s="106"/>
    </row>
    <row r="900">
      <c r="C900" s="79"/>
      <c r="D900" s="79"/>
      <c r="E900" s="79"/>
      <c r="P900" s="79"/>
      <c r="Q900" s="79"/>
      <c r="R900" s="79"/>
      <c r="Y900" s="79"/>
      <c r="AC900" s="130"/>
      <c r="AE900" s="106"/>
    </row>
    <row r="901">
      <c r="C901" s="79"/>
      <c r="D901" s="79"/>
      <c r="E901" s="79"/>
      <c r="P901" s="79"/>
      <c r="Q901" s="79"/>
      <c r="R901" s="79"/>
      <c r="Y901" s="79"/>
      <c r="AC901" s="130"/>
      <c r="AE901" s="106"/>
    </row>
    <row r="902">
      <c r="C902" s="79"/>
      <c r="D902" s="79"/>
      <c r="E902" s="79"/>
      <c r="P902" s="79"/>
      <c r="Q902" s="79"/>
      <c r="R902" s="79"/>
      <c r="Y902" s="79"/>
      <c r="AC902" s="130"/>
      <c r="AE902" s="106"/>
    </row>
    <row r="903">
      <c r="C903" s="79"/>
      <c r="D903" s="79"/>
      <c r="E903" s="79"/>
      <c r="P903" s="79"/>
      <c r="Q903" s="79"/>
      <c r="R903" s="79"/>
      <c r="Y903" s="79"/>
      <c r="AC903" s="130"/>
      <c r="AE903" s="106"/>
    </row>
    <row r="904">
      <c r="C904" s="79"/>
      <c r="D904" s="79"/>
      <c r="E904" s="79"/>
      <c r="P904" s="79"/>
      <c r="Q904" s="79"/>
      <c r="R904" s="79"/>
      <c r="Y904" s="79"/>
      <c r="AC904" s="130"/>
      <c r="AE904" s="106"/>
    </row>
    <row r="905">
      <c r="C905" s="79"/>
      <c r="D905" s="79"/>
      <c r="E905" s="79"/>
      <c r="P905" s="79"/>
      <c r="Q905" s="79"/>
      <c r="R905" s="79"/>
      <c r="Y905" s="79"/>
      <c r="AC905" s="130"/>
      <c r="AE905" s="106"/>
    </row>
    <row r="906">
      <c r="C906" s="79"/>
      <c r="D906" s="79"/>
      <c r="E906" s="79"/>
      <c r="P906" s="79"/>
      <c r="Q906" s="79"/>
      <c r="R906" s="79"/>
      <c r="Y906" s="79"/>
      <c r="AC906" s="130"/>
      <c r="AE906" s="106"/>
    </row>
    <row r="907">
      <c r="C907" s="79"/>
      <c r="D907" s="79"/>
      <c r="E907" s="79"/>
      <c r="P907" s="79"/>
      <c r="Q907" s="79"/>
      <c r="R907" s="79"/>
      <c r="Y907" s="79"/>
      <c r="AC907" s="130"/>
      <c r="AE907" s="106"/>
    </row>
    <row r="908">
      <c r="C908" s="79"/>
      <c r="D908" s="79"/>
      <c r="E908" s="79"/>
      <c r="P908" s="79"/>
      <c r="Q908" s="79"/>
      <c r="R908" s="79"/>
      <c r="Y908" s="79"/>
      <c r="AC908" s="130"/>
      <c r="AE908" s="106"/>
    </row>
    <row r="909">
      <c r="C909" s="79"/>
      <c r="D909" s="79"/>
      <c r="E909" s="79"/>
      <c r="P909" s="79"/>
      <c r="Q909" s="79"/>
      <c r="R909" s="79"/>
      <c r="Y909" s="79"/>
      <c r="AC909" s="130"/>
      <c r="AE909" s="106"/>
    </row>
    <row r="910">
      <c r="C910" s="79"/>
      <c r="D910" s="79"/>
      <c r="E910" s="79"/>
      <c r="P910" s="79"/>
      <c r="Q910" s="79"/>
      <c r="R910" s="79"/>
      <c r="Y910" s="79"/>
      <c r="AC910" s="130"/>
      <c r="AE910" s="106"/>
    </row>
    <row r="911">
      <c r="C911" s="79"/>
      <c r="D911" s="79"/>
      <c r="E911" s="79"/>
      <c r="P911" s="79"/>
      <c r="Q911" s="79"/>
      <c r="R911" s="79"/>
      <c r="Y911" s="79"/>
      <c r="AC911" s="130"/>
      <c r="AE911" s="106"/>
    </row>
    <row r="912">
      <c r="C912" s="79"/>
      <c r="D912" s="79"/>
      <c r="E912" s="79"/>
      <c r="P912" s="79"/>
      <c r="Q912" s="79"/>
      <c r="R912" s="79"/>
      <c r="Y912" s="79"/>
      <c r="AC912" s="130"/>
      <c r="AE912" s="106"/>
    </row>
  </sheetData>
  <autoFilter ref="$A$40:$F$64">
    <sortState ref="A40:F64">
      <sortCondition descending="1" sortBy="cellColor" ref="E40:E64" dxfId="1"/>
      <sortCondition descending="1" sortBy="cellColor" ref="C40:C64" dxfId="1"/>
      <sortCondition descending="1" sortBy="cellColor" ref="A40:A64" dxfId="1"/>
    </sortState>
  </autoFilter>
  <mergeCells count="1">
    <mergeCell ref="B37:E37"/>
  </mergeCells>
  <drawing r:id="rId2"/>
  <legacyDrawing r:id="rId3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6.5"/>
    <col customWidth="1" min="3" max="3" width="24.0"/>
    <col customWidth="1" min="5" max="5" width="15.63"/>
    <col customWidth="1" min="7" max="7" width="13.5"/>
    <col customWidth="1" min="8" max="8" width="13.25"/>
    <col customWidth="1" min="18" max="18" width="27.38"/>
    <col customWidth="1" min="26" max="26" width="14.63"/>
    <col customWidth="1" min="31" max="31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4</v>
      </c>
      <c r="J1" s="2" t="s">
        <v>5</v>
      </c>
      <c r="K1" s="2" t="s">
        <v>303</v>
      </c>
      <c r="L1" s="2" t="s">
        <v>6</v>
      </c>
      <c r="M1" s="2" t="s">
        <v>12</v>
      </c>
      <c r="N1" s="2" t="s">
        <v>49</v>
      </c>
      <c r="O1" s="2" t="s">
        <v>42</v>
      </c>
      <c r="P1" s="105" t="s">
        <v>11</v>
      </c>
      <c r="Q1" s="105" t="s">
        <v>9</v>
      </c>
      <c r="R1" s="105" t="s">
        <v>304</v>
      </c>
      <c r="S1" s="2" t="s">
        <v>37</v>
      </c>
      <c r="T1" s="2" t="s">
        <v>10</v>
      </c>
      <c r="U1" s="2" t="s">
        <v>164</v>
      </c>
      <c r="V1" s="105" t="s">
        <v>40</v>
      </c>
      <c r="W1" s="2" t="s">
        <v>121</v>
      </c>
      <c r="X1" s="2" t="s">
        <v>204</v>
      </c>
      <c r="Y1" s="105" t="s">
        <v>205</v>
      </c>
      <c r="Z1" s="2" t="s">
        <v>206</v>
      </c>
      <c r="AA1" s="2" t="s">
        <v>305</v>
      </c>
      <c r="AB1" s="3" t="s">
        <v>13</v>
      </c>
      <c r="AC1" s="3" t="s">
        <v>14</v>
      </c>
      <c r="AD1" s="3" t="s">
        <v>15</v>
      </c>
      <c r="AE1" s="106"/>
      <c r="AF1" s="265" t="s">
        <v>306</v>
      </c>
      <c r="AG1" s="266" t="s">
        <v>80</v>
      </c>
    </row>
    <row r="2">
      <c r="A2" s="74">
        <v>45446.0</v>
      </c>
      <c r="B2" s="93">
        <f>1077.54-143-111.51-32.5-38.26-199.74+700.64</f>
        <v>1253.17</v>
      </c>
      <c r="C2" s="93"/>
      <c r="D2" s="193"/>
      <c r="E2" s="93"/>
      <c r="F2" s="93"/>
      <c r="G2" s="93">
        <v>180.0</v>
      </c>
      <c r="H2" s="93"/>
      <c r="I2" s="93"/>
      <c r="J2" s="93"/>
      <c r="K2" s="93"/>
      <c r="L2" s="93"/>
      <c r="M2" s="93"/>
      <c r="N2" s="93">
        <f>168+216</f>
        <v>384</v>
      </c>
      <c r="O2" s="93"/>
      <c r="P2" s="93">
        <v>57.05</v>
      </c>
      <c r="Q2" s="93"/>
      <c r="R2" s="93"/>
      <c r="S2" s="72"/>
      <c r="T2" s="93"/>
      <c r="U2" s="93"/>
      <c r="V2" s="93"/>
      <c r="W2" s="93"/>
      <c r="X2" s="93"/>
      <c r="Y2" s="93"/>
      <c r="Z2" s="93"/>
      <c r="AA2" s="171"/>
      <c r="AB2" s="107">
        <f t="shared" ref="AB2:AB8" si="1">SUM(B2:Z2)</f>
        <v>1874.22</v>
      </c>
      <c r="AC2" s="158">
        <v>3556.0</v>
      </c>
      <c r="AD2" s="59">
        <f t="shared" ref="AD2:AD8" si="2">AB2/AC2</f>
        <v>0.5270584927</v>
      </c>
      <c r="AE2" s="109">
        <f t="shared" ref="AE2:AE8" si="3">A2</f>
        <v>45446</v>
      </c>
      <c r="AF2" s="267">
        <v>3556.0</v>
      </c>
      <c r="AG2" s="268">
        <f t="shared" ref="AG2:AG8" si="4">AC2-AF2</f>
        <v>0</v>
      </c>
    </row>
    <row r="3">
      <c r="A3" s="74">
        <f t="shared" ref="A3:A8" si="5">A2+1</f>
        <v>45447</v>
      </c>
      <c r="B3" s="93">
        <f>797.86-8.59-42.26-26.37-47.59-101.46-54.92-21.23</f>
        <v>495.44</v>
      </c>
      <c r="C3" s="93">
        <f>254.14-49</f>
        <v>205.14</v>
      </c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171"/>
      <c r="AB3" s="107">
        <f t="shared" si="1"/>
        <v>700.58</v>
      </c>
      <c r="AC3" s="158">
        <v>4623.0</v>
      </c>
      <c r="AD3" s="59">
        <f t="shared" si="2"/>
        <v>0.1515422886</v>
      </c>
      <c r="AE3" s="109">
        <f t="shared" si="3"/>
        <v>45447</v>
      </c>
      <c r="AF3" s="267">
        <v>4623.0</v>
      </c>
      <c r="AG3" s="268">
        <f t="shared" si="4"/>
        <v>0</v>
      </c>
    </row>
    <row r="4">
      <c r="A4" s="74">
        <f t="shared" si="5"/>
        <v>45448</v>
      </c>
      <c r="B4" s="93">
        <f>1302.24-57.55-77.39-39.71-26.25-46.56-359.29-11.58-100.7-45.44-35.6-25.08-10.8-65.66</f>
        <v>400.63</v>
      </c>
      <c r="C4" s="93">
        <f>495.1-337.5+63.4</f>
        <v>221</v>
      </c>
      <c r="D4" s="93"/>
      <c r="E4" s="93"/>
      <c r="F4" s="93"/>
      <c r="G4" s="93">
        <v>180.0</v>
      </c>
      <c r="H4" s="93"/>
      <c r="I4" s="93">
        <v>396.7</v>
      </c>
      <c r="J4" s="93">
        <f>682.4-198</f>
        <v>484.4</v>
      </c>
      <c r="K4" s="93"/>
      <c r="L4" s="93">
        <v>42.0</v>
      </c>
      <c r="M4" s="93"/>
      <c r="N4" s="93"/>
      <c r="O4" s="93"/>
      <c r="P4" s="93"/>
      <c r="Q4" s="93"/>
      <c r="R4" s="93">
        <v>88.0</v>
      </c>
      <c r="S4" s="160"/>
      <c r="T4" s="93"/>
      <c r="U4" s="93"/>
      <c r="V4" s="93"/>
      <c r="W4" s="93"/>
      <c r="X4" s="93"/>
      <c r="Y4" s="93"/>
      <c r="Z4" s="101"/>
      <c r="AA4" s="171"/>
      <c r="AB4" s="107">
        <f t="shared" si="1"/>
        <v>1812.73</v>
      </c>
      <c r="AC4" s="97">
        <f>899.2+5433</f>
        <v>6332.2</v>
      </c>
      <c r="AD4" s="59">
        <f t="shared" si="2"/>
        <v>0.2862717539</v>
      </c>
      <c r="AE4" s="109">
        <f t="shared" si="3"/>
        <v>45448</v>
      </c>
      <c r="AF4" s="267">
        <v>6342.2</v>
      </c>
      <c r="AG4" s="268">
        <f t="shared" si="4"/>
        <v>-10</v>
      </c>
    </row>
    <row r="5">
      <c r="A5" s="74">
        <f t="shared" si="5"/>
        <v>45449</v>
      </c>
      <c r="B5" s="93">
        <f>823.01-34.84-91.6-11.73-4.57-19.02</f>
        <v>661.25</v>
      </c>
      <c r="C5" s="93">
        <v>220.1</v>
      </c>
      <c r="D5" s="250">
        <v>220.1</v>
      </c>
      <c r="E5" s="93"/>
      <c r="F5" s="180">
        <v>544.86</v>
      </c>
      <c r="G5" s="93"/>
      <c r="H5" s="160"/>
      <c r="I5" s="93"/>
      <c r="J5" s="93"/>
      <c r="K5" s="93"/>
      <c r="L5" s="93"/>
      <c r="M5" s="93"/>
      <c r="N5" s="93"/>
      <c r="O5" s="93"/>
      <c r="P5" s="101"/>
      <c r="Q5" s="93"/>
      <c r="R5" s="93"/>
      <c r="S5" s="93"/>
      <c r="T5" s="93"/>
      <c r="U5" s="93"/>
      <c r="V5" s="93"/>
      <c r="W5" s="93"/>
      <c r="X5" s="93"/>
      <c r="Y5" s="101"/>
      <c r="Z5" s="101"/>
      <c r="AA5" s="270"/>
      <c r="AB5" s="7">
        <f t="shared" si="1"/>
        <v>1646.31</v>
      </c>
      <c r="AC5" s="97">
        <f>1963+4211</f>
        <v>6174</v>
      </c>
      <c r="AD5" s="59">
        <f t="shared" si="2"/>
        <v>0.2666520894</v>
      </c>
      <c r="AE5" s="109">
        <f t="shared" si="3"/>
        <v>45449</v>
      </c>
      <c r="AF5" s="267">
        <v>6174.0</v>
      </c>
      <c r="AG5" s="268">
        <f t="shared" si="4"/>
        <v>0</v>
      </c>
    </row>
    <row r="6">
      <c r="A6" s="74">
        <f t="shared" si="5"/>
        <v>45450</v>
      </c>
      <c r="B6" s="93">
        <f>821.07-46.84-44.5-120-39.89</f>
        <v>569.84</v>
      </c>
      <c r="C6" s="93">
        <f>421-144-17.25-31.5</f>
        <v>228.25</v>
      </c>
      <c r="D6" s="93"/>
      <c r="E6" s="250">
        <v>42.5</v>
      </c>
      <c r="F6" s="93"/>
      <c r="G6" s="93"/>
      <c r="H6" s="160"/>
      <c r="I6" s="93"/>
      <c r="J6" s="93">
        <v>581.9</v>
      </c>
      <c r="K6" s="93"/>
      <c r="L6" s="93">
        <f>166.4-61.5</f>
        <v>104.9</v>
      </c>
      <c r="M6" s="93">
        <v>47.8</v>
      </c>
      <c r="N6" s="93"/>
      <c r="O6" s="93"/>
      <c r="P6" s="93"/>
      <c r="Q6" s="93"/>
      <c r="R6" s="93"/>
      <c r="S6" s="93"/>
      <c r="T6" s="93">
        <v>207.0</v>
      </c>
      <c r="U6" s="93"/>
      <c r="V6" s="93"/>
      <c r="W6" s="93"/>
      <c r="X6" s="93"/>
      <c r="Y6" s="93"/>
      <c r="Z6" s="93"/>
      <c r="AA6" s="270"/>
      <c r="AB6" s="7">
        <f t="shared" si="1"/>
        <v>1782.19</v>
      </c>
      <c r="AC6" s="97">
        <f>618+7427.91</f>
        <v>8045.91</v>
      </c>
      <c r="AD6" s="59">
        <f t="shared" si="2"/>
        <v>0.2215026019</v>
      </c>
      <c r="AE6" s="109">
        <f t="shared" si="3"/>
        <v>45450</v>
      </c>
      <c r="AF6" s="267">
        <v>8045.91</v>
      </c>
      <c r="AG6" s="268">
        <f t="shared" si="4"/>
        <v>0</v>
      </c>
    </row>
    <row r="7">
      <c r="A7" s="74">
        <f t="shared" si="5"/>
        <v>45451</v>
      </c>
      <c r="B7" s="93">
        <v>1074.96</v>
      </c>
      <c r="C7" s="93"/>
      <c r="D7" s="93"/>
      <c r="E7" s="93"/>
      <c r="F7" s="93"/>
      <c r="G7" s="93">
        <v>180.0</v>
      </c>
      <c r="H7" s="180">
        <v>386.22</v>
      </c>
      <c r="I7" s="93">
        <v>271.02</v>
      </c>
      <c r="J7" s="93"/>
      <c r="K7" s="93"/>
      <c r="L7" s="93"/>
      <c r="M7" s="93"/>
      <c r="N7" s="93"/>
      <c r="O7" s="93"/>
      <c r="P7" s="101"/>
      <c r="Q7" s="93"/>
      <c r="R7" s="93">
        <v>161.0</v>
      </c>
      <c r="S7" s="101"/>
      <c r="T7" s="93"/>
      <c r="U7" s="93"/>
      <c r="V7" s="93"/>
      <c r="W7" s="93"/>
      <c r="X7" s="93"/>
      <c r="Y7" s="101"/>
      <c r="Z7" s="93"/>
      <c r="AA7" s="270"/>
      <c r="AB7" s="7">
        <f t="shared" si="1"/>
        <v>2073.2</v>
      </c>
      <c r="AC7" s="97">
        <f>2096+9811.57</f>
        <v>11907.57</v>
      </c>
      <c r="AD7" s="59">
        <f t="shared" si="2"/>
        <v>0.1741077315</v>
      </c>
      <c r="AE7" s="109">
        <f t="shared" si="3"/>
        <v>45451</v>
      </c>
      <c r="AF7" s="267">
        <v>11937.89</v>
      </c>
      <c r="AG7" s="268">
        <f t="shared" si="4"/>
        <v>-30.32</v>
      </c>
    </row>
    <row r="8">
      <c r="A8" s="74">
        <f t="shared" si="5"/>
        <v>45452</v>
      </c>
      <c r="B8" s="93"/>
      <c r="C8" s="93"/>
      <c r="D8" s="250">
        <f>1254.75-624.88</f>
        <v>629.87</v>
      </c>
      <c r="E8" s="112"/>
      <c r="F8" s="93"/>
      <c r="G8" s="10"/>
      <c r="H8" s="180">
        <v>944.01</v>
      </c>
      <c r="I8" s="180">
        <v>246.4</v>
      </c>
      <c r="J8" s="93"/>
      <c r="K8" s="93"/>
      <c r="L8" s="112"/>
      <c r="M8" s="112"/>
      <c r="N8" s="93"/>
      <c r="O8" s="93"/>
      <c r="P8" s="10"/>
      <c r="Q8" s="93"/>
      <c r="R8" s="112"/>
      <c r="S8" s="250">
        <v>615.26</v>
      </c>
      <c r="T8" s="93"/>
      <c r="U8" s="93"/>
      <c r="V8" s="112"/>
      <c r="W8" s="112"/>
      <c r="X8" s="112"/>
      <c r="Y8" s="10"/>
      <c r="Z8" s="10"/>
      <c r="AA8" s="93">
        <f>51.13+49.43</f>
        <v>100.56</v>
      </c>
      <c r="AB8" s="7">
        <f t="shared" si="1"/>
        <v>2435.54</v>
      </c>
      <c r="AC8" s="97">
        <f>4102+5741</f>
        <v>9843</v>
      </c>
      <c r="AD8" s="59">
        <f t="shared" si="2"/>
        <v>0.247438789</v>
      </c>
      <c r="AE8" s="109">
        <f t="shared" si="3"/>
        <v>45452</v>
      </c>
      <c r="AF8" s="267">
        <v>9843.0</v>
      </c>
      <c r="AG8" s="268">
        <f t="shared" si="4"/>
        <v>0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AC9" s="129"/>
      <c r="AE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AC10" s="129"/>
      <c r="AE10" s="106"/>
    </row>
    <row r="11">
      <c r="A11" s="165" t="s">
        <v>194</v>
      </c>
      <c r="B11" s="93">
        <f>32.5+38.26+21.23+113.2+57.55+77.39+39.71+26.25+46.56+11.58+100.7+45.44+35.6+25.08+65.66+10.8+34.84+11.73+4.57+19.02+46.84+44.5+120+39.89</f>
        <v>1068.9</v>
      </c>
      <c r="C11" s="93">
        <f>49+17.25+31.5</f>
        <v>97.75</v>
      </c>
      <c r="D11" s="93"/>
      <c r="E11" s="167"/>
      <c r="F11" s="168"/>
      <c r="G11" s="168"/>
      <c r="H11" s="166"/>
      <c r="I11" s="166"/>
      <c r="J11" s="93"/>
      <c r="K11" s="168"/>
      <c r="L11" s="93">
        <v>61.5</v>
      </c>
      <c r="M11" s="166"/>
      <c r="N11" s="166"/>
      <c r="O11" s="168"/>
      <c r="P11" s="168"/>
      <c r="Q11" s="168"/>
      <c r="R11" s="168"/>
      <c r="S11" s="168"/>
      <c r="T11" s="168"/>
      <c r="U11" s="168"/>
      <c r="V11" s="168"/>
      <c r="W11" s="1"/>
      <c r="X11" s="168"/>
      <c r="Y11" s="168"/>
      <c r="Z11" s="1"/>
      <c r="AA11" s="1"/>
      <c r="AB11" s="1"/>
      <c r="AC11" s="169"/>
      <c r="AD11" s="1"/>
      <c r="AE11" s="170"/>
    </row>
    <row r="12">
      <c r="A12" s="165" t="s">
        <v>195</v>
      </c>
      <c r="B12" s="93">
        <f>199.74+359.29+91.6</f>
        <v>650.63</v>
      </c>
      <c r="C12" s="93">
        <f>337.5+144</f>
        <v>481.5</v>
      </c>
      <c r="D12" s="93"/>
      <c r="E12" s="93"/>
      <c r="F12" s="93"/>
      <c r="G12" s="93"/>
      <c r="H12" s="93"/>
      <c r="I12" s="93"/>
      <c r="J12" s="93">
        <v>198.0</v>
      </c>
      <c r="K12" s="93"/>
      <c r="L12" s="93"/>
      <c r="M12" s="93"/>
      <c r="N12" s="166">
        <f>144+156</f>
        <v>300</v>
      </c>
      <c r="O12" s="166"/>
      <c r="P12" s="168"/>
      <c r="Q12" s="168"/>
      <c r="R12" s="168"/>
      <c r="S12" s="168"/>
      <c r="T12" s="166"/>
      <c r="U12" s="168"/>
      <c r="V12" s="168"/>
      <c r="W12" s="1"/>
      <c r="X12" s="93"/>
      <c r="Y12" s="168"/>
      <c r="Z12" s="1"/>
      <c r="AA12" s="1"/>
      <c r="AB12" s="1"/>
      <c r="AC12" s="171"/>
      <c r="AD12" s="1"/>
      <c r="AE12" s="170"/>
    </row>
    <row r="13">
      <c r="A13" s="172" t="s">
        <v>410</v>
      </c>
      <c r="B13" s="201">
        <f>8.59+42.26+26.37+47.59+101.46+54.92</f>
        <v>281.19</v>
      </c>
      <c r="C13" s="93">
        <v>240.0</v>
      </c>
      <c r="D13" s="93">
        <v>116.34</v>
      </c>
      <c r="E13" s="168"/>
      <c r="F13" s="166"/>
      <c r="G13" s="166"/>
      <c r="H13" s="168"/>
      <c r="I13" s="168"/>
      <c r="J13" s="93"/>
      <c r="K13" s="168"/>
      <c r="L13" s="168"/>
      <c r="M13" s="168"/>
      <c r="N13" s="166"/>
      <c r="O13" s="168"/>
      <c r="P13" s="168"/>
      <c r="Q13" s="168"/>
      <c r="R13" s="168"/>
      <c r="S13" s="1"/>
      <c r="T13" s="96"/>
      <c r="U13" s="1"/>
      <c r="V13" s="1"/>
      <c r="W13" s="1"/>
      <c r="X13" s="168"/>
      <c r="Y13" s="168"/>
      <c r="Z13" s="1"/>
      <c r="AA13" s="1"/>
      <c r="AB13" s="1"/>
      <c r="AC13" s="174"/>
      <c r="AD13" s="1"/>
      <c r="AE13" s="170"/>
    </row>
    <row r="14">
      <c r="A14" s="165" t="s">
        <v>198</v>
      </c>
      <c r="B14" s="93">
        <f>143+111.51</f>
        <v>254.51</v>
      </c>
      <c r="C14" s="93"/>
      <c r="D14" s="93"/>
      <c r="E14" s="168"/>
      <c r="F14" s="166"/>
      <c r="G14" s="166"/>
      <c r="H14" s="168"/>
      <c r="I14" s="168"/>
      <c r="J14" s="93"/>
      <c r="K14" s="168"/>
      <c r="L14" s="168"/>
      <c r="M14" s="168"/>
      <c r="N14" s="166"/>
      <c r="O14" s="168"/>
      <c r="P14" s="168"/>
      <c r="Q14" s="168"/>
      <c r="R14" s="168"/>
      <c r="S14" s="1"/>
      <c r="T14" s="96"/>
      <c r="U14" s="1"/>
      <c r="V14" s="1"/>
      <c r="W14" s="1"/>
      <c r="X14" s="168"/>
      <c r="Y14" s="168"/>
      <c r="Z14" s="1"/>
      <c r="AA14" s="1"/>
      <c r="AB14" s="1"/>
      <c r="AC14" s="174"/>
      <c r="AD14" s="1"/>
      <c r="AE14" s="170"/>
    </row>
    <row r="15">
      <c r="A15" s="91"/>
      <c r="B15" s="92"/>
      <c r="C15" s="79"/>
      <c r="D15" s="79"/>
      <c r="E15" s="79"/>
      <c r="F15" s="78"/>
      <c r="G15" s="78"/>
      <c r="I15" s="78"/>
      <c r="L15" s="79"/>
      <c r="M15" s="79"/>
      <c r="N15" s="79"/>
      <c r="O15" s="79"/>
      <c r="P15" s="79"/>
      <c r="Q15" s="79"/>
      <c r="R15" s="79"/>
      <c r="Y15" s="79"/>
      <c r="AC15" s="131"/>
      <c r="AE15" s="106"/>
    </row>
    <row r="16">
      <c r="A16" s="91"/>
      <c r="B16" s="92"/>
      <c r="C16" s="78"/>
      <c r="D16" s="78"/>
      <c r="E16" s="78"/>
      <c r="F16" s="198"/>
      <c r="G16" s="198"/>
      <c r="H16" s="204"/>
      <c r="I16" s="198"/>
      <c r="J16" s="201"/>
      <c r="K16" s="199"/>
      <c r="L16" s="199"/>
      <c r="M16" s="200"/>
      <c r="N16" s="202"/>
      <c r="O16" s="198"/>
      <c r="P16" s="79"/>
      <c r="Q16" s="198"/>
      <c r="R16" s="198"/>
      <c r="U16" s="198"/>
      <c r="V16" s="198"/>
      <c r="W16" s="198"/>
      <c r="X16" s="199"/>
      <c r="Y16" s="79"/>
      <c r="AC16" s="131"/>
      <c r="AE16" s="106"/>
    </row>
    <row r="17">
      <c r="A17" s="4" t="s">
        <v>22</v>
      </c>
      <c r="B17" s="11">
        <v>10000.0</v>
      </c>
      <c r="C17" s="79"/>
      <c r="D17" s="79"/>
      <c r="E17" s="78"/>
      <c r="F17" s="198"/>
      <c r="G17" s="213"/>
      <c r="H17" s="78"/>
      <c r="K17" s="201"/>
      <c r="L17" s="201"/>
      <c r="M17" s="198"/>
      <c r="N17" s="200"/>
      <c r="O17" s="203"/>
      <c r="P17" s="79"/>
      <c r="Q17" s="198"/>
      <c r="R17" s="198"/>
      <c r="S17" s="204"/>
      <c r="U17" s="198"/>
      <c r="V17" s="198"/>
      <c r="W17" s="198"/>
      <c r="X17" s="201"/>
      <c r="Y17" s="79"/>
      <c r="AC17" s="131"/>
      <c r="AE17" s="106"/>
    </row>
    <row r="18">
      <c r="A18" s="4" t="s">
        <v>23</v>
      </c>
      <c r="B18" s="12">
        <f>SUM(B2:Z8)</f>
        <v>12324.77</v>
      </c>
      <c r="C18" s="192"/>
      <c r="D18" s="177"/>
      <c r="E18" s="78"/>
      <c r="F18" s="213"/>
      <c r="G18" s="213"/>
      <c r="H18" s="151"/>
      <c r="I18" s="203"/>
      <c r="K18" s="191"/>
      <c r="L18" s="201"/>
      <c r="M18" s="201"/>
      <c r="N18" s="201"/>
      <c r="O18" s="203"/>
      <c r="P18" s="79"/>
      <c r="Q18" s="198"/>
      <c r="R18" s="198"/>
      <c r="S18" s="204"/>
      <c r="U18" s="198"/>
      <c r="V18" s="198"/>
      <c r="W18" s="198"/>
      <c r="X18" s="191"/>
      <c r="Y18" s="79"/>
      <c r="AC18" s="131"/>
      <c r="AE18" s="106"/>
    </row>
    <row r="19">
      <c r="A19" s="4" t="s">
        <v>24</v>
      </c>
      <c r="B19" s="12">
        <f> SUM(B17-B18)</f>
        <v>-2324.77</v>
      </c>
      <c r="C19" s="79"/>
      <c r="D19" s="79"/>
      <c r="E19" s="78"/>
      <c r="F19" s="201"/>
      <c r="G19" s="201"/>
      <c r="H19" s="214"/>
      <c r="I19" s="203"/>
      <c r="K19" s="203"/>
      <c r="L19" s="199"/>
      <c r="M19" s="203"/>
      <c r="N19" s="200"/>
      <c r="O19" s="203"/>
      <c r="P19" s="79"/>
      <c r="Q19" s="198"/>
      <c r="R19" s="198"/>
      <c r="S19" s="204"/>
      <c r="U19" s="198"/>
      <c r="V19" s="198"/>
      <c r="W19" s="198"/>
      <c r="X19" s="203"/>
      <c r="Y19" s="79"/>
      <c r="AC19" s="131"/>
      <c r="AE19" s="106"/>
    </row>
    <row r="20">
      <c r="C20" s="79"/>
      <c r="D20" s="79"/>
      <c r="E20" s="78"/>
      <c r="F20" s="213"/>
      <c r="G20" s="201"/>
      <c r="H20" s="214"/>
      <c r="I20" s="203"/>
      <c r="J20" s="203"/>
      <c r="K20" s="203"/>
      <c r="M20" s="201"/>
      <c r="N20" s="198"/>
      <c r="O20" s="203"/>
      <c r="P20" s="79"/>
      <c r="Q20" s="198"/>
      <c r="R20" s="198"/>
      <c r="S20" s="204"/>
      <c r="U20" s="206"/>
      <c r="V20" s="198"/>
      <c r="W20" s="198"/>
      <c r="X20" s="203"/>
      <c r="Y20" s="79"/>
      <c r="AC20" s="131"/>
      <c r="AE20" s="106"/>
    </row>
    <row r="21">
      <c r="A21" s="13" t="s">
        <v>25</v>
      </c>
      <c r="B21" s="14">
        <f>SUM(AC2:AC8)</f>
        <v>50481.68</v>
      </c>
      <c r="C21" s="79"/>
      <c r="D21" s="79"/>
      <c r="E21" s="78"/>
      <c r="F21" s="201"/>
      <c r="G21" s="262"/>
      <c r="H21" s="262"/>
      <c r="I21" s="203"/>
      <c r="J21" s="78"/>
      <c r="K21" s="203"/>
      <c r="L21" s="203"/>
      <c r="M21" s="201"/>
      <c r="N21" s="198"/>
      <c r="O21" s="203"/>
      <c r="P21" s="79"/>
      <c r="Q21" s="198"/>
      <c r="R21" s="198"/>
      <c r="S21" s="204"/>
      <c r="U21" s="198"/>
      <c r="V21" s="198"/>
      <c r="W21" s="198"/>
      <c r="X21" s="203"/>
      <c r="Y21" s="79"/>
      <c r="AC21" s="181"/>
      <c r="AE21" s="106"/>
    </row>
    <row r="22">
      <c r="A22" s="13" t="s">
        <v>26</v>
      </c>
      <c r="B22" s="15">
        <f>B18/B21</f>
        <v>0.2441434199</v>
      </c>
      <c r="C22" s="79"/>
      <c r="D22" s="79"/>
      <c r="E22" s="78"/>
      <c r="F22" s="204"/>
      <c r="G22" s="78"/>
      <c r="H22" s="144"/>
      <c r="I22" s="203"/>
      <c r="J22" s="79"/>
      <c r="K22" s="203"/>
      <c r="L22" s="203"/>
      <c r="M22" s="201"/>
      <c r="N22" s="203"/>
      <c r="O22" s="203"/>
      <c r="P22" s="79"/>
      <c r="Q22" s="198"/>
      <c r="R22" s="198"/>
      <c r="S22" s="204"/>
      <c r="U22" s="198"/>
      <c r="V22" s="198"/>
      <c r="W22" s="198"/>
      <c r="X22" s="203"/>
      <c r="Y22" s="79"/>
      <c r="AC22" s="130"/>
      <c r="AE22" s="106"/>
    </row>
    <row r="23">
      <c r="C23" s="79"/>
      <c r="D23" s="79"/>
      <c r="E23" s="78"/>
      <c r="F23" s="204"/>
      <c r="G23" s="78"/>
      <c r="H23" s="78"/>
      <c r="I23" s="78"/>
      <c r="J23" s="78"/>
      <c r="K23" s="203"/>
      <c r="L23" s="203"/>
      <c r="M23" s="198"/>
      <c r="N23" s="201"/>
      <c r="O23" s="198"/>
      <c r="P23" s="79"/>
      <c r="Q23" s="198"/>
      <c r="R23" s="198"/>
      <c r="S23" s="204"/>
      <c r="U23" s="198"/>
      <c r="V23" s="198"/>
      <c r="W23" s="198"/>
      <c r="X23" s="203"/>
      <c r="Y23" s="79"/>
      <c r="AC23" s="182"/>
      <c r="AE23" s="106"/>
    </row>
    <row r="24">
      <c r="C24" s="79"/>
      <c r="D24" s="79"/>
      <c r="E24" s="79"/>
      <c r="F24" s="204"/>
      <c r="G24" s="78"/>
      <c r="H24" s="78"/>
      <c r="I24" s="212"/>
      <c r="J24" s="263"/>
      <c r="K24" s="203"/>
      <c r="L24" s="203"/>
      <c r="M24" s="198"/>
      <c r="N24" s="201"/>
      <c r="O24" s="198"/>
      <c r="P24" s="79"/>
      <c r="Q24" s="198"/>
      <c r="R24" s="198"/>
      <c r="S24" s="204"/>
      <c r="U24" s="198"/>
      <c r="V24" s="198"/>
      <c r="W24" s="198"/>
      <c r="X24" s="203"/>
      <c r="Y24" s="79"/>
      <c r="AC24" s="130"/>
      <c r="AE24" s="106"/>
    </row>
    <row r="25">
      <c r="A25" s="16" t="s">
        <v>27</v>
      </c>
      <c r="B25" s="17"/>
      <c r="C25" s="114"/>
      <c r="D25" s="114"/>
      <c r="E25" s="115"/>
      <c r="F25" s="204"/>
      <c r="G25" s="78"/>
      <c r="H25" s="78"/>
      <c r="I25" s="78"/>
      <c r="J25" s="79"/>
      <c r="K25" s="203"/>
      <c r="L25" s="217"/>
      <c r="M25" s="208"/>
      <c r="N25" s="198"/>
      <c r="O25" s="200"/>
      <c r="P25" s="79"/>
      <c r="Q25" s="198"/>
      <c r="R25" s="198"/>
      <c r="S25" s="204"/>
      <c r="U25" s="198"/>
      <c r="V25" s="198"/>
      <c r="W25" s="198"/>
      <c r="X25" s="203"/>
      <c r="Y25" s="79"/>
      <c r="AC25" s="130"/>
      <c r="AE25" s="106"/>
    </row>
    <row r="26">
      <c r="A26" s="19" t="s">
        <v>28</v>
      </c>
      <c r="B26" s="20"/>
      <c r="C26" s="116"/>
      <c r="D26" s="116"/>
      <c r="E26" s="117"/>
      <c r="F26" s="204"/>
      <c r="G26" s="78"/>
      <c r="H26" s="78"/>
      <c r="I26" s="79"/>
      <c r="J26" s="79"/>
      <c r="K26" s="203"/>
      <c r="L26" s="203"/>
      <c r="M26" s="209"/>
      <c r="N26" s="201"/>
      <c r="O26" s="198"/>
      <c r="P26" s="79"/>
      <c r="Q26" s="198"/>
      <c r="R26" s="198"/>
      <c r="S26" s="204"/>
      <c r="U26" s="198"/>
      <c r="V26" s="198"/>
      <c r="W26" s="198"/>
      <c r="X26" s="203"/>
      <c r="Y26" s="79"/>
      <c r="AC26" s="130"/>
      <c r="AE26" s="106"/>
    </row>
    <row r="27">
      <c r="A27" s="183" t="s">
        <v>29</v>
      </c>
      <c r="B27" s="184" t="s">
        <v>30</v>
      </c>
      <c r="C27" s="183"/>
      <c r="D27" s="183" t="s">
        <v>170</v>
      </c>
      <c r="E27" s="219" t="s">
        <v>171</v>
      </c>
      <c r="F27" s="204"/>
      <c r="G27" s="79"/>
      <c r="H27" s="79"/>
      <c r="I27" s="79"/>
      <c r="J27" s="79"/>
      <c r="K27" s="203"/>
      <c r="L27" s="201"/>
      <c r="M27" s="209"/>
      <c r="N27" s="198"/>
      <c r="O27" s="198"/>
      <c r="P27" s="79"/>
      <c r="Q27" s="198"/>
      <c r="R27" s="198"/>
      <c r="S27" s="204"/>
      <c r="U27" s="198"/>
      <c r="V27" s="198"/>
      <c r="W27" s="198"/>
      <c r="X27" s="203"/>
      <c r="Y27" s="79"/>
      <c r="AC27" s="130"/>
      <c r="AE27" s="106"/>
    </row>
    <row r="28">
      <c r="A28" s="234" t="s">
        <v>411</v>
      </c>
      <c r="B28" s="178">
        <f>1793.61-896.8+1348.79</f>
        <v>2245.6</v>
      </c>
      <c r="C28" s="235"/>
      <c r="D28" s="235"/>
      <c r="E28" s="234"/>
      <c r="P28" s="79"/>
      <c r="Q28" s="79"/>
      <c r="R28" s="79"/>
      <c r="Y28" s="79"/>
      <c r="AC28" s="130"/>
      <c r="AE28" s="106"/>
    </row>
    <row r="29">
      <c r="A29" s="245" t="s">
        <v>396</v>
      </c>
      <c r="B29" s="246">
        <v>437.9</v>
      </c>
      <c r="C29" s="247"/>
      <c r="D29" s="247"/>
      <c r="E29" s="245"/>
      <c r="P29" s="79"/>
      <c r="Q29" s="79"/>
      <c r="R29" s="79"/>
      <c r="Y29" s="79"/>
      <c r="AC29" s="130"/>
      <c r="AE29" s="106"/>
    </row>
    <row r="30">
      <c r="A30" s="245" t="s">
        <v>398</v>
      </c>
      <c r="B30" s="246">
        <v>1216.79</v>
      </c>
      <c r="C30" s="247"/>
      <c r="D30" s="247"/>
      <c r="E30" s="245"/>
      <c r="P30" s="79"/>
      <c r="Q30" s="79"/>
      <c r="R30" s="79"/>
      <c r="Y30" s="79"/>
      <c r="AC30" s="130"/>
      <c r="AE30" s="106"/>
    </row>
    <row r="31">
      <c r="A31" s="173" t="s">
        <v>412</v>
      </c>
      <c r="B31" s="180">
        <v>769.86</v>
      </c>
      <c r="C31" s="241"/>
      <c r="D31" s="241"/>
      <c r="E31" s="173"/>
      <c r="P31" s="79"/>
      <c r="Q31" s="79"/>
      <c r="R31" s="79"/>
      <c r="Y31" s="79"/>
      <c r="AC31" s="130"/>
      <c r="AE31" s="106"/>
    </row>
    <row r="32">
      <c r="C32" s="79"/>
      <c r="D32" s="79"/>
      <c r="E32" s="79"/>
      <c r="P32" s="79"/>
      <c r="Q32" s="79"/>
      <c r="R32" s="79"/>
      <c r="Y32" s="79"/>
      <c r="AC32" s="130"/>
      <c r="AE32" s="106"/>
    </row>
    <row r="33">
      <c r="A33" s="274"/>
      <c r="B33" s="275" t="s">
        <v>315</v>
      </c>
      <c r="F33" s="274"/>
      <c r="G33" s="274"/>
      <c r="H33" s="274"/>
      <c r="I33" s="274"/>
      <c r="J33" s="274"/>
      <c r="K33" s="274"/>
      <c r="L33" s="274"/>
      <c r="M33" s="274"/>
      <c r="N33" s="274"/>
      <c r="O33" s="274"/>
      <c r="P33" s="274"/>
      <c r="Q33" s="274"/>
      <c r="R33" s="274"/>
      <c r="S33" s="274"/>
      <c r="T33" s="274"/>
      <c r="U33" s="274"/>
      <c r="V33" s="274"/>
      <c r="W33" s="274"/>
      <c r="X33" s="274"/>
      <c r="Y33" s="274"/>
      <c r="Z33" s="274"/>
      <c r="AA33" s="274"/>
      <c r="AB33" s="274"/>
      <c r="AC33" s="276"/>
      <c r="AD33" s="274"/>
      <c r="AE33" s="277"/>
      <c r="AF33" s="274"/>
      <c r="AG33" s="274"/>
      <c r="AH33" s="274"/>
    </row>
    <row r="34">
      <c r="A34" s="16" t="s">
        <v>316</v>
      </c>
      <c r="B34" s="17"/>
      <c r="C34" s="114"/>
      <c r="D34" s="114"/>
      <c r="E34" s="115"/>
      <c r="P34" s="79"/>
      <c r="Q34" s="79"/>
      <c r="R34" s="79"/>
      <c r="Y34" s="79"/>
      <c r="AC34" s="130"/>
      <c r="AE34" s="106"/>
    </row>
    <row r="35">
      <c r="A35" s="19" t="s">
        <v>317</v>
      </c>
      <c r="B35" s="20"/>
      <c r="C35" s="116"/>
      <c r="D35" s="116"/>
      <c r="E35" s="117"/>
      <c r="P35" s="79"/>
      <c r="Q35" s="79"/>
      <c r="R35" s="79"/>
      <c r="Y35" s="79"/>
      <c r="AC35" s="130"/>
      <c r="AE35" s="106"/>
    </row>
    <row r="36">
      <c r="A36" s="278" t="s">
        <v>318</v>
      </c>
      <c r="B36" s="279" t="s">
        <v>319</v>
      </c>
      <c r="C36" s="280" t="s">
        <v>285</v>
      </c>
      <c r="D36" s="280" t="s">
        <v>30</v>
      </c>
      <c r="E36" s="281" t="s">
        <v>320</v>
      </c>
      <c r="F36" s="281" t="s">
        <v>321</v>
      </c>
      <c r="P36" s="79"/>
      <c r="Q36" s="79"/>
      <c r="R36" s="79"/>
      <c r="Y36" s="79"/>
      <c r="AC36" s="130"/>
      <c r="AE36" s="106"/>
    </row>
    <row r="37">
      <c r="A37" s="314" t="s">
        <v>328</v>
      </c>
      <c r="B37" s="315">
        <v>45419.0</v>
      </c>
      <c r="C37" s="316" t="s">
        <v>325</v>
      </c>
      <c r="D37" s="317">
        <v>1282.82</v>
      </c>
      <c r="E37" s="318" t="s">
        <v>329</v>
      </c>
      <c r="F37" s="319">
        <f>D37/2</f>
        <v>641.41</v>
      </c>
      <c r="P37" s="79"/>
      <c r="Q37" s="79"/>
      <c r="R37" s="79"/>
      <c r="Y37" s="79"/>
      <c r="AC37" s="130"/>
      <c r="AE37" s="106"/>
    </row>
    <row r="38">
      <c r="A38" s="304" t="s">
        <v>371</v>
      </c>
      <c r="B38" s="305">
        <v>45433.0</v>
      </c>
      <c r="C38" s="234" t="s">
        <v>325</v>
      </c>
      <c r="D38" s="178">
        <v>1264.85</v>
      </c>
      <c r="E38" s="308">
        <v>45461.0</v>
      </c>
      <c r="F38" s="235"/>
      <c r="P38" s="79"/>
      <c r="Q38" s="79"/>
      <c r="R38" s="79"/>
      <c r="Y38" s="79"/>
      <c r="AC38" s="130"/>
      <c r="AE38" s="106"/>
    </row>
    <row r="39">
      <c r="A39" s="304" t="s">
        <v>372</v>
      </c>
      <c r="B39" s="305">
        <v>45433.0</v>
      </c>
      <c r="C39" s="234" t="s">
        <v>325</v>
      </c>
      <c r="D39" s="178">
        <v>1269.16</v>
      </c>
      <c r="E39" s="308">
        <v>45461.0</v>
      </c>
      <c r="F39" s="235"/>
      <c r="P39" s="79"/>
      <c r="Q39" s="79"/>
      <c r="R39" s="79"/>
      <c r="Y39" s="79"/>
      <c r="AC39" s="130"/>
      <c r="AE39" s="106"/>
    </row>
    <row r="40">
      <c r="A40" s="304" t="s">
        <v>399</v>
      </c>
      <c r="B40" s="305">
        <v>45440.0</v>
      </c>
      <c r="C40" s="234" t="s">
        <v>325</v>
      </c>
      <c r="D40" s="178">
        <v>1273.23</v>
      </c>
      <c r="E40" s="308">
        <v>45468.0</v>
      </c>
      <c r="F40" s="235"/>
      <c r="P40" s="79"/>
      <c r="Q40" s="79"/>
      <c r="R40" s="79"/>
      <c r="Y40" s="79"/>
      <c r="AC40" s="130"/>
      <c r="AE40" s="106"/>
    </row>
    <row r="41">
      <c r="A41" s="304" t="s">
        <v>413</v>
      </c>
      <c r="B41" s="305">
        <v>45447.0</v>
      </c>
      <c r="C41" s="234" t="s">
        <v>325</v>
      </c>
      <c r="D41" s="178">
        <v>1208.3</v>
      </c>
      <c r="E41" s="308">
        <v>45475.0</v>
      </c>
      <c r="F41" s="235"/>
      <c r="P41" s="79"/>
      <c r="Q41" s="79"/>
      <c r="R41" s="79"/>
      <c r="Y41" s="79"/>
      <c r="AC41" s="130"/>
      <c r="AE41" s="106"/>
    </row>
    <row r="42">
      <c r="A42" s="282" t="s">
        <v>378</v>
      </c>
      <c r="B42" s="283">
        <v>45433.0</v>
      </c>
      <c r="C42" s="166" t="s">
        <v>379</v>
      </c>
      <c r="D42" s="93">
        <f>1888.01</f>
        <v>1888.01</v>
      </c>
      <c r="E42" s="285">
        <v>45452.0</v>
      </c>
      <c r="F42" s="6">
        <f>D42/2</f>
        <v>944.005</v>
      </c>
      <c r="P42" s="79"/>
      <c r="Q42" s="79"/>
      <c r="R42" s="79"/>
      <c r="Y42" s="79"/>
      <c r="AC42" s="130"/>
      <c r="AE42" s="106"/>
    </row>
    <row r="43">
      <c r="A43" s="282" t="s">
        <v>401</v>
      </c>
      <c r="B43" s="283">
        <v>45444.0</v>
      </c>
      <c r="C43" s="166" t="s">
        <v>334</v>
      </c>
      <c r="D43" s="93">
        <v>437.9</v>
      </c>
      <c r="E43" s="285">
        <v>45446.0</v>
      </c>
      <c r="F43" s="6"/>
      <c r="P43" s="79"/>
      <c r="Q43" s="79"/>
      <c r="R43" s="79"/>
      <c r="Y43" s="79"/>
      <c r="AC43" s="130"/>
      <c r="AE43" s="106"/>
    </row>
    <row r="44">
      <c r="A44" s="32" t="s">
        <v>406</v>
      </c>
      <c r="B44" s="283">
        <v>45440.0</v>
      </c>
      <c r="C44" s="166" t="s">
        <v>111</v>
      </c>
      <c r="D44" s="93">
        <v>1216.79</v>
      </c>
      <c r="E44" s="285"/>
      <c r="F44" s="6"/>
      <c r="P44" s="79"/>
      <c r="Q44" s="79"/>
      <c r="R44" s="79"/>
      <c r="Y44" s="79"/>
      <c r="AC44" s="130"/>
      <c r="AE44" s="106"/>
    </row>
    <row r="45">
      <c r="A45" s="320" t="s">
        <v>407</v>
      </c>
      <c r="B45" s="321">
        <v>45444.0</v>
      </c>
      <c r="C45" s="322" t="s">
        <v>408</v>
      </c>
      <c r="D45" s="323">
        <v>1230.51</v>
      </c>
      <c r="E45" s="324" t="s">
        <v>329</v>
      </c>
      <c r="F45" s="325">
        <f>D45/2</f>
        <v>615.255</v>
      </c>
      <c r="P45" s="79"/>
      <c r="Q45" s="79"/>
      <c r="R45" s="79"/>
      <c r="Y45" s="79"/>
      <c r="AC45" s="130"/>
      <c r="AE45" s="106"/>
    </row>
    <row r="46">
      <c r="A46" s="282" t="s">
        <v>414</v>
      </c>
      <c r="B46" s="286">
        <v>45448.0</v>
      </c>
      <c r="C46" s="166" t="s">
        <v>415</v>
      </c>
      <c r="D46" s="166">
        <v>769.86</v>
      </c>
      <c r="E46" s="284">
        <v>45455.0</v>
      </c>
      <c r="F46" s="1"/>
      <c r="P46" s="79"/>
      <c r="Q46" s="79"/>
      <c r="R46" s="79"/>
      <c r="Y46" s="79"/>
      <c r="AC46" s="130"/>
      <c r="AE46" s="106"/>
    </row>
    <row r="47">
      <c r="A47" s="282" t="s">
        <v>416</v>
      </c>
      <c r="B47" s="283">
        <v>45450.0</v>
      </c>
      <c r="C47" s="166" t="s">
        <v>379</v>
      </c>
      <c r="D47" s="93">
        <v>1419.79</v>
      </c>
      <c r="E47" s="291"/>
      <c r="F47" s="6"/>
      <c r="P47" s="79"/>
      <c r="Q47" s="79"/>
      <c r="R47" s="79"/>
      <c r="Y47" s="79"/>
      <c r="AC47" s="130"/>
      <c r="AE47" s="106"/>
    </row>
    <row r="48">
      <c r="A48" s="282"/>
      <c r="B48" s="283"/>
      <c r="C48" s="166"/>
      <c r="D48" s="93"/>
      <c r="E48" s="291"/>
      <c r="F48" s="6"/>
      <c r="P48" s="79"/>
      <c r="Q48" s="79"/>
      <c r="R48" s="79"/>
      <c r="Y48" s="79"/>
      <c r="AC48" s="130"/>
      <c r="AE48" s="106"/>
    </row>
    <row r="49">
      <c r="A49" s="282"/>
      <c r="B49" s="283"/>
      <c r="C49" s="166"/>
      <c r="D49" s="93"/>
      <c r="E49" s="291"/>
      <c r="F49" s="6"/>
      <c r="P49" s="79"/>
      <c r="Q49" s="79"/>
      <c r="R49" s="79"/>
      <c r="Y49" s="79"/>
      <c r="AC49" s="130"/>
      <c r="AE49" s="106"/>
    </row>
    <row r="50">
      <c r="A50" s="282"/>
      <c r="B50" s="283"/>
      <c r="C50" s="166"/>
      <c r="D50" s="93"/>
      <c r="E50" s="291"/>
      <c r="F50" s="6"/>
      <c r="P50" s="79"/>
      <c r="Q50" s="79"/>
      <c r="R50" s="79"/>
      <c r="Y50" s="79"/>
      <c r="AC50" s="130"/>
      <c r="AE50" s="106"/>
    </row>
    <row r="51">
      <c r="A51" s="282"/>
      <c r="B51" s="283"/>
      <c r="C51" s="166"/>
      <c r="D51" s="93"/>
      <c r="E51" s="291"/>
      <c r="F51" s="6"/>
      <c r="P51" s="79"/>
      <c r="Q51" s="79"/>
      <c r="R51" s="79"/>
      <c r="Y51" s="79"/>
      <c r="AC51" s="130"/>
      <c r="AE51" s="106"/>
    </row>
    <row r="52">
      <c r="A52" s="282"/>
      <c r="B52" s="283"/>
      <c r="C52" s="166"/>
      <c r="D52" s="93"/>
      <c r="E52" s="291"/>
      <c r="F52" s="6"/>
      <c r="P52" s="79"/>
      <c r="Q52" s="79"/>
      <c r="R52" s="79"/>
      <c r="Y52" s="79"/>
      <c r="AC52" s="130"/>
      <c r="AE52" s="106"/>
    </row>
    <row r="53">
      <c r="C53" s="79"/>
      <c r="D53" s="79"/>
      <c r="E53" s="79"/>
      <c r="P53" s="79"/>
      <c r="Q53" s="79"/>
      <c r="R53" s="79"/>
      <c r="Y53" s="79"/>
      <c r="AC53" s="130"/>
      <c r="AE53" s="106"/>
    </row>
    <row r="54">
      <c r="C54" s="79"/>
      <c r="D54" s="79"/>
      <c r="E54" s="79"/>
      <c r="P54" s="79"/>
      <c r="Q54" s="79"/>
      <c r="R54" s="79"/>
      <c r="Y54" s="79"/>
      <c r="AC54" s="130"/>
      <c r="AE54" s="106"/>
    </row>
    <row r="55">
      <c r="C55" s="79"/>
      <c r="D55" s="79"/>
      <c r="E55" s="79"/>
      <c r="P55" s="79"/>
      <c r="Q55" s="79"/>
      <c r="R55" s="79"/>
      <c r="Y55" s="79"/>
      <c r="AC55" s="130"/>
      <c r="AE55" s="106"/>
    </row>
    <row r="56">
      <c r="C56" s="79"/>
      <c r="D56" s="79"/>
      <c r="E56" s="79"/>
      <c r="P56" s="79"/>
      <c r="Q56" s="79"/>
      <c r="R56" s="79"/>
      <c r="Y56" s="79"/>
      <c r="AC56" s="130"/>
      <c r="AE56" s="106"/>
    </row>
    <row r="57">
      <c r="C57" s="79"/>
      <c r="D57" s="79"/>
      <c r="E57" s="79"/>
      <c r="P57" s="79"/>
      <c r="Q57" s="79"/>
      <c r="R57" s="79"/>
      <c r="Y57" s="79"/>
      <c r="AC57" s="130"/>
      <c r="AE57" s="106"/>
    </row>
    <row r="58">
      <c r="C58" s="79"/>
      <c r="D58" s="79"/>
      <c r="E58" s="79"/>
      <c r="P58" s="79"/>
      <c r="Q58" s="79"/>
      <c r="R58" s="79"/>
      <c r="Y58" s="79"/>
      <c r="AC58" s="130"/>
      <c r="AE58" s="106"/>
    </row>
    <row r="59">
      <c r="C59" s="79"/>
      <c r="D59" s="79"/>
      <c r="E59" s="79"/>
      <c r="P59" s="79"/>
      <c r="Q59" s="79"/>
      <c r="R59" s="79"/>
      <c r="Y59" s="79"/>
      <c r="AC59" s="130"/>
      <c r="AE59" s="106"/>
    </row>
    <row r="60">
      <c r="C60" s="79"/>
      <c r="D60" s="79"/>
      <c r="E60" s="79"/>
      <c r="P60" s="79"/>
      <c r="Q60" s="79"/>
      <c r="R60" s="79"/>
      <c r="Y60" s="79"/>
      <c r="AC60" s="130"/>
      <c r="AE60" s="106"/>
    </row>
    <row r="61">
      <c r="C61" s="79"/>
      <c r="D61" s="79"/>
      <c r="E61" s="79"/>
      <c r="P61" s="79"/>
      <c r="Q61" s="79"/>
      <c r="R61" s="79"/>
      <c r="Y61" s="79"/>
      <c r="AC61" s="130"/>
      <c r="AE61" s="106"/>
    </row>
    <row r="62">
      <c r="C62" s="79"/>
      <c r="D62" s="79"/>
      <c r="E62" s="79"/>
      <c r="P62" s="79"/>
      <c r="Q62" s="79"/>
      <c r="R62" s="79"/>
      <c r="Y62" s="79"/>
      <c r="AC62" s="130"/>
      <c r="AE62" s="106"/>
    </row>
    <row r="63">
      <c r="C63" s="79"/>
      <c r="D63" s="79"/>
      <c r="E63" s="79"/>
      <c r="P63" s="79"/>
      <c r="Q63" s="79"/>
      <c r="R63" s="79"/>
      <c r="Y63" s="79"/>
      <c r="AC63" s="130"/>
      <c r="AE63" s="106"/>
    </row>
    <row r="64">
      <c r="C64" s="79"/>
      <c r="D64" s="79"/>
      <c r="E64" s="79"/>
      <c r="P64" s="79"/>
      <c r="Q64" s="79"/>
      <c r="R64" s="79"/>
      <c r="Y64" s="79"/>
      <c r="AC64" s="130"/>
      <c r="AE64" s="106"/>
    </row>
    <row r="65">
      <c r="C65" s="79"/>
      <c r="D65" s="79"/>
      <c r="E65" s="79"/>
      <c r="P65" s="79"/>
      <c r="Q65" s="79"/>
      <c r="R65" s="79"/>
      <c r="Y65" s="79"/>
      <c r="AC65" s="130"/>
      <c r="AE65" s="106"/>
    </row>
    <row r="66">
      <c r="C66" s="79"/>
      <c r="D66" s="79"/>
      <c r="E66" s="79"/>
      <c r="P66" s="79"/>
      <c r="Q66" s="79"/>
      <c r="R66" s="79"/>
      <c r="Y66" s="79"/>
      <c r="AC66" s="130"/>
      <c r="AE66" s="106"/>
    </row>
    <row r="67">
      <c r="C67" s="79"/>
      <c r="D67" s="79"/>
      <c r="E67" s="79"/>
      <c r="P67" s="79"/>
      <c r="Q67" s="79"/>
      <c r="R67" s="79"/>
      <c r="Y67" s="79"/>
      <c r="AC67" s="130"/>
      <c r="AE67" s="106"/>
    </row>
    <row r="68">
      <c r="C68" s="79"/>
      <c r="D68" s="79"/>
      <c r="E68" s="79"/>
      <c r="P68" s="79"/>
      <c r="Q68" s="79"/>
      <c r="R68" s="79"/>
      <c r="Y68" s="79"/>
      <c r="AC68" s="130"/>
      <c r="AE68" s="106"/>
    </row>
    <row r="69">
      <c r="C69" s="79"/>
      <c r="D69" s="79"/>
      <c r="E69" s="79"/>
      <c r="P69" s="79"/>
      <c r="Q69" s="79"/>
      <c r="R69" s="79"/>
      <c r="Y69" s="79"/>
      <c r="AC69" s="130"/>
      <c r="AE69" s="106"/>
    </row>
    <row r="70">
      <c r="C70" s="79"/>
      <c r="D70" s="79"/>
      <c r="E70" s="79"/>
      <c r="P70" s="79"/>
      <c r="Q70" s="79"/>
      <c r="R70" s="79"/>
      <c r="Y70" s="79"/>
      <c r="AC70" s="130"/>
      <c r="AE70" s="106"/>
    </row>
    <row r="71">
      <c r="C71" s="79"/>
      <c r="D71" s="79"/>
      <c r="E71" s="79"/>
      <c r="P71" s="79"/>
      <c r="Q71" s="79"/>
      <c r="R71" s="79"/>
      <c r="Y71" s="79"/>
      <c r="AC71" s="130"/>
      <c r="AE71" s="106"/>
    </row>
    <row r="72">
      <c r="C72" s="79"/>
      <c r="D72" s="79"/>
      <c r="E72" s="79"/>
      <c r="P72" s="79"/>
      <c r="Q72" s="79"/>
      <c r="R72" s="79"/>
      <c r="Y72" s="79"/>
      <c r="AC72" s="130"/>
      <c r="AE72" s="106"/>
    </row>
    <row r="73">
      <c r="C73" s="79"/>
      <c r="D73" s="79"/>
      <c r="E73" s="79"/>
      <c r="P73" s="79"/>
      <c r="Q73" s="79"/>
      <c r="R73" s="79"/>
      <c r="Y73" s="79"/>
      <c r="AC73" s="130"/>
      <c r="AE73" s="106"/>
    </row>
    <row r="74">
      <c r="C74" s="79"/>
      <c r="D74" s="79"/>
      <c r="E74" s="79"/>
      <c r="P74" s="79"/>
      <c r="Q74" s="79"/>
      <c r="R74" s="79"/>
      <c r="Y74" s="79"/>
      <c r="AC74" s="130"/>
      <c r="AE74" s="106"/>
    </row>
    <row r="75">
      <c r="C75" s="79"/>
      <c r="D75" s="79"/>
      <c r="E75" s="79"/>
      <c r="P75" s="79"/>
      <c r="Q75" s="79"/>
      <c r="R75" s="79"/>
      <c r="Y75" s="79"/>
      <c r="AC75" s="130"/>
      <c r="AE75" s="106"/>
    </row>
    <row r="76">
      <c r="C76" s="79"/>
      <c r="D76" s="79"/>
      <c r="E76" s="79"/>
      <c r="P76" s="79"/>
      <c r="Q76" s="79"/>
      <c r="R76" s="79"/>
      <c r="Y76" s="79"/>
      <c r="AC76" s="130"/>
      <c r="AE76" s="106"/>
    </row>
    <row r="77">
      <c r="C77" s="79"/>
      <c r="D77" s="79"/>
      <c r="E77" s="79"/>
      <c r="P77" s="79"/>
      <c r="Q77" s="79"/>
      <c r="R77" s="79"/>
      <c r="Y77" s="79"/>
      <c r="AC77" s="130"/>
      <c r="AE77" s="106"/>
    </row>
    <row r="78">
      <c r="C78" s="79"/>
      <c r="D78" s="79"/>
      <c r="E78" s="79"/>
      <c r="P78" s="79"/>
      <c r="Q78" s="79"/>
      <c r="R78" s="79"/>
      <c r="Y78" s="79"/>
      <c r="AC78" s="130"/>
      <c r="AE78" s="106"/>
    </row>
    <row r="79">
      <c r="C79" s="79"/>
      <c r="D79" s="79"/>
      <c r="E79" s="79"/>
      <c r="P79" s="79"/>
      <c r="Q79" s="79"/>
      <c r="R79" s="79"/>
      <c r="Y79" s="79"/>
      <c r="AC79" s="130"/>
      <c r="AE79" s="106"/>
    </row>
    <row r="80">
      <c r="C80" s="79"/>
      <c r="D80" s="79"/>
      <c r="E80" s="79"/>
      <c r="P80" s="79"/>
      <c r="Q80" s="79"/>
      <c r="R80" s="79"/>
      <c r="Y80" s="79"/>
      <c r="AC80" s="130"/>
      <c r="AE80" s="106"/>
    </row>
    <row r="81">
      <c r="C81" s="79"/>
      <c r="D81" s="79"/>
      <c r="E81" s="79"/>
      <c r="P81" s="79"/>
      <c r="Q81" s="79"/>
      <c r="R81" s="79"/>
      <c r="Y81" s="79"/>
      <c r="AC81" s="130"/>
      <c r="AE81" s="106"/>
    </row>
    <row r="82">
      <c r="C82" s="79"/>
      <c r="D82" s="79"/>
      <c r="E82" s="79"/>
      <c r="P82" s="79"/>
      <c r="Q82" s="79"/>
      <c r="R82" s="79"/>
      <c r="Y82" s="79"/>
      <c r="AC82" s="130"/>
      <c r="AE82" s="106"/>
    </row>
    <row r="83">
      <c r="C83" s="79"/>
      <c r="D83" s="79"/>
      <c r="E83" s="79"/>
      <c r="P83" s="79"/>
      <c r="Q83" s="79"/>
      <c r="R83" s="79"/>
      <c r="Y83" s="79"/>
      <c r="AC83" s="130"/>
      <c r="AE83" s="106"/>
    </row>
    <row r="84">
      <c r="C84" s="79"/>
      <c r="D84" s="79"/>
      <c r="E84" s="79"/>
      <c r="P84" s="79"/>
      <c r="Q84" s="79"/>
      <c r="R84" s="79"/>
      <c r="Y84" s="79"/>
      <c r="AC84" s="130"/>
      <c r="AE84" s="106"/>
    </row>
    <row r="85">
      <c r="C85" s="79"/>
      <c r="D85" s="79"/>
      <c r="E85" s="79"/>
      <c r="P85" s="79"/>
      <c r="Q85" s="79"/>
      <c r="R85" s="79"/>
      <c r="Y85" s="79"/>
      <c r="AC85" s="130"/>
      <c r="AE85" s="106"/>
    </row>
    <row r="86">
      <c r="C86" s="79"/>
      <c r="D86" s="79"/>
      <c r="E86" s="79"/>
      <c r="P86" s="79"/>
      <c r="Q86" s="79"/>
      <c r="R86" s="79"/>
      <c r="Y86" s="79"/>
      <c r="AC86" s="130"/>
      <c r="AE86" s="106"/>
    </row>
    <row r="87">
      <c r="C87" s="79"/>
      <c r="D87" s="79"/>
      <c r="E87" s="79"/>
      <c r="P87" s="79"/>
      <c r="Q87" s="79"/>
      <c r="R87" s="79"/>
      <c r="Y87" s="79"/>
      <c r="AC87" s="130"/>
      <c r="AE87" s="106"/>
    </row>
    <row r="88">
      <c r="C88" s="79"/>
      <c r="D88" s="79"/>
      <c r="E88" s="79"/>
      <c r="P88" s="79"/>
      <c r="Q88" s="79"/>
      <c r="R88" s="79"/>
      <c r="Y88" s="79"/>
      <c r="AC88" s="130"/>
      <c r="AE88" s="106"/>
    </row>
    <row r="89">
      <c r="C89" s="79"/>
      <c r="D89" s="79"/>
      <c r="E89" s="79"/>
      <c r="P89" s="79"/>
      <c r="Q89" s="79"/>
      <c r="R89" s="79"/>
      <c r="Y89" s="79"/>
      <c r="AC89" s="130"/>
      <c r="AE89" s="106"/>
    </row>
    <row r="90">
      <c r="C90" s="79"/>
      <c r="D90" s="79"/>
      <c r="E90" s="79"/>
      <c r="P90" s="79"/>
      <c r="Q90" s="79"/>
      <c r="R90" s="79"/>
      <c r="Y90" s="79"/>
      <c r="AC90" s="130"/>
      <c r="AE90" s="106"/>
    </row>
    <row r="91">
      <c r="C91" s="79"/>
      <c r="D91" s="79"/>
      <c r="E91" s="79"/>
      <c r="P91" s="79"/>
      <c r="Q91" s="79"/>
      <c r="R91" s="79"/>
      <c r="Y91" s="79"/>
      <c r="AC91" s="130"/>
      <c r="AE91" s="106"/>
    </row>
    <row r="92">
      <c r="C92" s="79"/>
      <c r="D92" s="79"/>
      <c r="E92" s="79"/>
      <c r="P92" s="79"/>
      <c r="Q92" s="79"/>
      <c r="R92" s="79"/>
      <c r="Y92" s="79"/>
      <c r="AC92" s="130"/>
      <c r="AE92" s="106"/>
    </row>
    <row r="93">
      <c r="C93" s="79"/>
      <c r="D93" s="79"/>
      <c r="E93" s="79"/>
      <c r="P93" s="79"/>
      <c r="Q93" s="79"/>
      <c r="R93" s="79"/>
      <c r="Y93" s="79"/>
      <c r="AC93" s="130"/>
      <c r="AE93" s="106"/>
    </row>
    <row r="94">
      <c r="C94" s="79"/>
      <c r="D94" s="79"/>
      <c r="E94" s="79"/>
      <c r="P94" s="79"/>
      <c r="Q94" s="79"/>
      <c r="R94" s="79"/>
      <c r="Y94" s="79"/>
      <c r="AC94" s="130"/>
      <c r="AE94" s="106"/>
    </row>
    <row r="95">
      <c r="C95" s="79"/>
      <c r="D95" s="79"/>
      <c r="E95" s="79"/>
      <c r="P95" s="79"/>
      <c r="Q95" s="79"/>
      <c r="R95" s="79"/>
      <c r="Y95" s="79"/>
      <c r="AC95" s="130"/>
      <c r="AE95" s="106"/>
    </row>
    <row r="96">
      <c r="C96" s="79"/>
      <c r="D96" s="79"/>
      <c r="E96" s="79"/>
      <c r="P96" s="79"/>
      <c r="Q96" s="79"/>
      <c r="R96" s="79"/>
      <c r="Y96" s="79"/>
      <c r="AC96" s="130"/>
      <c r="AE96" s="106"/>
    </row>
    <row r="97">
      <c r="C97" s="79"/>
      <c r="D97" s="79"/>
      <c r="E97" s="79"/>
      <c r="P97" s="79"/>
      <c r="Q97" s="79"/>
      <c r="R97" s="79"/>
      <c r="Y97" s="79"/>
      <c r="AC97" s="130"/>
      <c r="AE97" s="106"/>
    </row>
    <row r="98">
      <c r="C98" s="79"/>
      <c r="D98" s="79"/>
      <c r="E98" s="79"/>
      <c r="P98" s="79"/>
      <c r="Q98" s="79"/>
      <c r="R98" s="79"/>
      <c r="Y98" s="79"/>
      <c r="AC98" s="130"/>
      <c r="AE98" s="106"/>
    </row>
    <row r="99">
      <c r="C99" s="79"/>
      <c r="D99" s="79"/>
      <c r="E99" s="79"/>
      <c r="P99" s="79"/>
      <c r="Q99" s="79"/>
      <c r="R99" s="79"/>
      <c r="Y99" s="79"/>
      <c r="AC99" s="130"/>
      <c r="AE99" s="106"/>
    </row>
    <row r="100">
      <c r="C100" s="79"/>
      <c r="D100" s="79"/>
      <c r="E100" s="79"/>
      <c r="P100" s="79"/>
      <c r="Q100" s="79"/>
      <c r="R100" s="79"/>
      <c r="Y100" s="79"/>
      <c r="AC100" s="130"/>
      <c r="AE100" s="106"/>
    </row>
    <row r="101">
      <c r="C101" s="79"/>
      <c r="D101" s="79"/>
      <c r="E101" s="79"/>
      <c r="P101" s="79"/>
      <c r="Q101" s="79"/>
      <c r="R101" s="79"/>
      <c r="Y101" s="79"/>
      <c r="AC101" s="130"/>
      <c r="AE101" s="106"/>
    </row>
    <row r="102">
      <c r="C102" s="79"/>
      <c r="D102" s="79"/>
      <c r="E102" s="79"/>
      <c r="P102" s="79"/>
      <c r="Q102" s="79"/>
      <c r="R102" s="79"/>
      <c r="Y102" s="79"/>
      <c r="AC102" s="130"/>
      <c r="AE102" s="106"/>
    </row>
    <row r="103">
      <c r="C103" s="79"/>
      <c r="D103" s="79"/>
      <c r="E103" s="79"/>
      <c r="P103" s="79"/>
      <c r="Q103" s="79"/>
      <c r="R103" s="79"/>
      <c r="Y103" s="79"/>
      <c r="AC103" s="130"/>
      <c r="AE103" s="106"/>
    </row>
    <row r="104">
      <c r="C104" s="79"/>
      <c r="D104" s="79"/>
      <c r="E104" s="79"/>
      <c r="P104" s="79"/>
      <c r="Q104" s="79"/>
      <c r="R104" s="79"/>
      <c r="Y104" s="79"/>
      <c r="AC104" s="130"/>
      <c r="AE104" s="106"/>
    </row>
    <row r="105">
      <c r="C105" s="79"/>
      <c r="D105" s="79"/>
      <c r="E105" s="79"/>
      <c r="P105" s="79"/>
      <c r="Q105" s="79"/>
      <c r="R105" s="79"/>
      <c r="Y105" s="79"/>
      <c r="AC105" s="130"/>
      <c r="AE105" s="106"/>
    </row>
    <row r="106">
      <c r="C106" s="79"/>
      <c r="D106" s="79"/>
      <c r="E106" s="79"/>
      <c r="P106" s="79"/>
      <c r="Q106" s="79"/>
      <c r="R106" s="79"/>
      <c r="Y106" s="79"/>
      <c r="AC106" s="130"/>
      <c r="AE106" s="106"/>
    </row>
    <row r="107">
      <c r="C107" s="79"/>
      <c r="D107" s="79"/>
      <c r="E107" s="79"/>
      <c r="P107" s="79"/>
      <c r="Q107" s="79"/>
      <c r="R107" s="79"/>
      <c r="Y107" s="79"/>
      <c r="AC107" s="130"/>
      <c r="AE107" s="106"/>
    </row>
    <row r="108">
      <c r="C108" s="79"/>
      <c r="D108" s="79"/>
      <c r="E108" s="79"/>
      <c r="P108" s="79"/>
      <c r="Q108" s="79"/>
      <c r="R108" s="79"/>
      <c r="Y108" s="79"/>
      <c r="AC108" s="130"/>
      <c r="AE108" s="106"/>
    </row>
    <row r="109">
      <c r="C109" s="79"/>
      <c r="D109" s="79"/>
      <c r="E109" s="79"/>
      <c r="P109" s="79"/>
      <c r="Q109" s="79"/>
      <c r="R109" s="79"/>
      <c r="Y109" s="79"/>
      <c r="AC109" s="130"/>
      <c r="AE109" s="106"/>
    </row>
    <row r="110">
      <c r="C110" s="79"/>
      <c r="D110" s="79"/>
      <c r="E110" s="79"/>
      <c r="P110" s="79"/>
      <c r="Q110" s="79"/>
      <c r="R110" s="79"/>
      <c r="Y110" s="79"/>
      <c r="AC110" s="130"/>
      <c r="AE110" s="106"/>
    </row>
    <row r="111">
      <c r="C111" s="79"/>
      <c r="D111" s="79"/>
      <c r="E111" s="79"/>
      <c r="P111" s="79"/>
      <c r="Q111" s="79"/>
      <c r="R111" s="79"/>
      <c r="Y111" s="79"/>
      <c r="AC111" s="130"/>
      <c r="AE111" s="106"/>
    </row>
    <row r="112">
      <c r="C112" s="79"/>
      <c r="D112" s="79"/>
      <c r="E112" s="79"/>
      <c r="P112" s="79"/>
      <c r="Q112" s="79"/>
      <c r="R112" s="79"/>
      <c r="Y112" s="79"/>
      <c r="AC112" s="130"/>
      <c r="AE112" s="106"/>
    </row>
    <row r="113">
      <c r="C113" s="79"/>
      <c r="D113" s="79"/>
      <c r="E113" s="79"/>
      <c r="P113" s="79"/>
      <c r="Q113" s="79"/>
      <c r="R113" s="79"/>
      <c r="Y113" s="79"/>
      <c r="AC113" s="130"/>
      <c r="AE113" s="106"/>
    </row>
    <row r="114">
      <c r="C114" s="79"/>
      <c r="D114" s="79"/>
      <c r="E114" s="79"/>
      <c r="P114" s="79"/>
      <c r="Q114" s="79"/>
      <c r="R114" s="79"/>
      <c r="Y114" s="79"/>
      <c r="AC114" s="130"/>
      <c r="AE114" s="106"/>
    </row>
    <row r="115">
      <c r="C115" s="79"/>
      <c r="D115" s="79"/>
      <c r="E115" s="79"/>
      <c r="P115" s="79"/>
      <c r="Q115" s="79"/>
      <c r="R115" s="79"/>
      <c r="Y115" s="79"/>
      <c r="AC115" s="130"/>
      <c r="AE115" s="106"/>
    </row>
    <row r="116">
      <c r="C116" s="79"/>
      <c r="D116" s="79"/>
      <c r="E116" s="79"/>
      <c r="P116" s="79"/>
      <c r="Q116" s="79"/>
      <c r="R116" s="79"/>
      <c r="Y116" s="79"/>
      <c r="AC116" s="130"/>
      <c r="AE116" s="106"/>
    </row>
    <row r="117">
      <c r="C117" s="79"/>
      <c r="D117" s="79"/>
      <c r="E117" s="79"/>
      <c r="P117" s="79"/>
      <c r="Q117" s="79"/>
      <c r="R117" s="79"/>
      <c r="Y117" s="79"/>
      <c r="AC117" s="130"/>
      <c r="AE117" s="106"/>
    </row>
    <row r="118">
      <c r="C118" s="79"/>
      <c r="D118" s="79"/>
      <c r="E118" s="79"/>
      <c r="P118" s="79"/>
      <c r="Q118" s="79"/>
      <c r="R118" s="79"/>
      <c r="Y118" s="79"/>
      <c r="AC118" s="130"/>
      <c r="AE118" s="106"/>
    </row>
    <row r="119">
      <c r="C119" s="79"/>
      <c r="D119" s="79"/>
      <c r="E119" s="79"/>
      <c r="P119" s="79"/>
      <c r="Q119" s="79"/>
      <c r="R119" s="79"/>
      <c r="Y119" s="79"/>
      <c r="AC119" s="130"/>
      <c r="AE119" s="106"/>
    </row>
    <row r="120">
      <c r="C120" s="79"/>
      <c r="D120" s="79"/>
      <c r="E120" s="79"/>
      <c r="P120" s="79"/>
      <c r="Q120" s="79"/>
      <c r="R120" s="79"/>
      <c r="Y120" s="79"/>
      <c r="AC120" s="130"/>
      <c r="AE120" s="106"/>
    </row>
    <row r="121">
      <c r="C121" s="79"/>
      <c r="D121" s="79"/>
      <c r="E121" s="79"/>
      <c r="P121" s="79"/>
      <c r="Q121" s="79"/>
      <c r="R121" s="79"/>
      <c r="Y121" s="79"/>
      <c r="AC121" s="130"/>
      <c r="AE121" s="106"/>
    </row>
    <row r="122">
      <c r="C122" s="79"/>
      <c r="D122" s="79"/>
      <c r="E122" s="79"/>
      <c r="P122" s="79"/>
      <c r="Q122" s="79"/>
      <c r="R122" s="79"/>
      <c r="Y122" s="79"/>
      <c r="AC122" s="130"/>
      <c r="AE122" s="106"/>
    </row>
    <row r="123">
      <c r="C123" s="79"/>
      <c r="D123" s="79"/>
      <c r="E123" s="79"/>
      <c r="P123" s="79"/>
      <c r="Q123" s="79"/>
      <c r="R123" s="79"/>
      <c r="Y123" s="79"/>
      <c r="AC123" s="130"/>
      <c r="AE123" s="106"/>
    </row>
    <row r="124">
      <c r="C124" s="79"/>
      <c r="D124" s="79"/>
      <c r="E124" s="79"/>
      <c r="P124" s="79"/>
      <c r="Q124" s="79"/>
      <c r="R124" s="79"/>
      <c r="Y124" s="79"/>
      <c r="AC124" s="130"/>
      <c r="AE124" s="106"/>
    </row>
    <row r="125">
      <c r="C125" s="79"/>
      <c r="D125" s="79"/>
      <c r="E125" s="79"/>
      <c r="P125" s="79"/>
      <c r="Q125" s="79"/>
      <c r="R125" s="79"/>
      <c r="Y125" s="79"/>
      <c r="AC125" s="130"/>
      <c r="AE125" s="106"/>
    </row>
    <row r="126">
      <c r="C126" s="79"/>
      <c r="D126" s="79"/>
      <c r="E126" s="79"/>
      <c r="P126" s="79"/>
      <c r="Q126" s="79"/>
      <c r="R126" s="79"/>
      <c r="Y126" s="79"/>
      <c r="AC126" s="130"/>
      <c r="AE126" s="106"/>
    </row>
    <row r="127">
      <c r="C127" s="79"/>
      <c r="D127" s="79"/>
      <c r="E127" s="79"/>
      <c r="P127" s="79"/>
      <c r="Q127" s="79"/>
      <c r="R127" s="79"/>
      <c r="Y127" s="79"/>
      <c r="AC127" s="130"/>
      <c r="AE127" s="106"/>
    </row>
    <row r="128">
      <c r="C128" s="79"/>
      <c r="D128" s="79"/>
      <c r="E128" s="79"/>
      <c r="P128" s="79"/>
      <c r="Q128" s="79"/>
      <c r="R128" s="79"/>
      <c r="Y128" s="79"/>
      <c r="AC128" s="130"/>
      <c r="AE128" s="106"/>
    </row>
    <row r="129">
      <c r="C129" s="79"/>
      <c r="D129" s="79"/>
      <c r="E129" s="79"/>
      <c r="P129" s="79"/>
      <c r="Q129" s="79"/>
      <c r="R129" s="79"/>
      <c r="Y129" s="79"/>
      <c r="AC129" s="130"/>
      <c r="AE129" s="106"/>
    </row>
    <row r="130">
      <c r="C130" s="79"/>
      <c r="D130" s="79"/>
      <c r="E130" s="79"/>
      <c r="P130" s="79"/>
      <c r="Q130" s="79"/>
      <c r="R130" s="79"/>
      <c r="Y130" s="79"/>
      <c r="AC130" s="130"/>
      <c r="AE130" s="106"/>
    </row>
    <row r="131">
      <c r="C131" s="79"/>
      <c r="D131" s="79"/>
      <c r="E131" s="79"/>
      <c r="P131" s="79"/>
      <c r="Q131" s="79"/>
      <c r="R131" s="79"/>
      <c r="Y131" s="79"/>
      <c r="AC131" s="130"/>
      <c r="AE131" s="106"/>
    </row>
    <row r="132">
      <c r="C132" s="79"/>
      <c r="D132" s="79"/>
      <c r="E132" s="79"/>
      <c r="P132" s="79"/>
      <c r="Q132" s="79"/>
      <c r="R132" s="79"/>
      <c r="Y132" s="79"/>
      <c r="AC132" s="130"/>
      <c r="AE132" s="106"/>
    </row>
    <row r="133">
      <c r="C133" s="79"/>
      <c r="D133" s="79"/>
      <c r="E133" s="79"/>
      <c r="P133" s="79"/>
      <c r="Q133" s="79"/>
      <c r="R133" s="79"/>
      <c r="Y133" s="79"/>
      <c r="AC133" s="130"/>
      <c r="AE133" s="106"/>
    </row>
    <row r="134">
      <c r="C134" s="79"/>
      <c r="D134" s="79"/>
      <c r="E134" s="79"/>
      <c r="P134" s="79"/>
      <c r="Q134" s="79"/>
      <c r="R134" s="79"/>
      <c r="Y134" s="79"/>
      <c r="AC134" s="130"/>
      <c r="AE134" s="106"/>
    </row>
    <row r="135">
      <c r="C135" s="79"/>
      <c r="D135" s="79"/>
      <c r="E135" s="79"/>
      <c r="P135" s="79"/>
      <c r="Q135" s="79"/>
      <c r="R135" s="79"/>
      <c r="Y135" s="79"/>
      <c r="AC135" s="130"/>
      <c r="AE135" s="106"/>
    </row>
    <row r="136">
      <c r="C136" s="79"/>
      <c r="D136" s="79"/>
      <c r="E136" s="79"/>
      <c r="P136" s="79"/>
      <c r="Q136" s="79"/>
      <c r="R136" s="79"/>
      <c r="Y136" s="79"/>
      <c r="AC136" s="130"/>
      <c r="AE136" s="106"/>
    </row>
    <row r="137">
      <c r="C137" s="79"/>
      <c r="D137" s="79"/>
      <c r="E137" s="79"/>
      <c r="P137" s="79"/>
      <c r="Q137" s="79"/>
      <c r="R137" s="79"/>
      <c r="Y137" s="79"/>
      <c r="AC137" s="130"/>
      <c r="AE137" s="106"/>
    </row>
    <row r="138">
      <c r="C138" s="79"/>
      <c r="D138" s="79"/>
      <c r="E138" s="79"/>
      <c r="P138" s="79"/>
      <c r="Q138" s="79"/>
      <c r="R138" s="79"/>
      <c r="Y138" s="79"/>
      <c r="AC138" s="130"/>
      <c r="AE138" s="106"/>
    </row>
    <row r="139">
      <c r="C139" s="79"/>
      <c r="D139" s="79"/>
      <c r="E139" s="79"/>
      <c r="P139" s="79"/>
      <c r="Q139" s="79"/>
      <c r="R139" s="79"/>
      <c r="Y139" s="79"/>
      <c r="AC139" s="130"/>
      <c r="AE139" s="106"/>
    </row>
    <row r="140">
      <c r="C140" s="79"/>
      <c r="D140" s="79"/>
      <c r="E140" s="79"/>
      <c r="P140" s="79"/>
      <c r="Q140" s="79"/>
      <c r="R140" s="79"/>
      <c r="Y140" s="79"/>
      <c r="AC140" s="130"/>
      <c r="AE140" s="106"/>
    </row>
    <row r="141">
      <c r="C141" s="79"/>
      <c r="D141" s="79"/>
      <c r="E141" s="79"/>
      <c r="P141" s="79"/>
      <c r="Q141" s="79"/>
      <c r="R141" s="79"/>
      <c r="Y141" s="79"/>
      <c r="AC141" s="130"/>
      <c r="AE141" s="106"/>
    </row>
    <row r="142">
      <c r="C142" s="79"/>
      <c r="D142" s="79"/>
      <c r="E142" s="79"/>
      <c r="P142" s="79"/>
      <c r="Q142" s="79"/>
      <c r="R142" s="79"/>
      <c r="Y142" s="79"/>
      <c r="AC142" s="130"/>
      <c r="AE142" s="106"/>
    </row>
    <row r="143">
      <c r="C143" s="79"/>
      <c r="D143" s="79"/>
      <c r="E143" s="79"/>
      <c r="P143" s="79"/>
      <c r="Q143" s="79"/>
      <c r="R143" s="79"/>
      <c r="Y143" s="79"/>
      <c r="AC143" s="130"/>
      <c r="AE143" s="106"/>
    </row>
    <row r="144">
      <c r="C144" s="79"/>
      <c r="D144" s="79"/>
      <c r="E144" s="79"/>
      <c r="P144" s="79"/>
      <c r="Q144" s="79"/>
      <c r="R144" s="79"/>
      <c r="Y144" s="79"/>
      <c r="AC144" s="130"/>
      <c r="AE144" s="106"/>
    </row>
    <row r="145">
      <c r="C145" s="79"/>
      <c r="D145" s="79"/>
      <c r="E145" s="79"/>
      <c r="P145" s="79"/>
      <c r="Q145" s="79"/>
      <c r="R145" s="79"/>
      <c r="Y145" s="79"/>
      <c r="AC145" s="130"/>
      <c r="AE145" s="106"/>
    </row>
    <row r="146">
      <c r="C146" s="79"/>
      <c r="D146" s="79"/>
      <c r="E146" s="79"/>
      <c r="P146" s="79"/>
      <c r="Q146" s="79"/>
      <c r="R146" s="79"/>
      <c r="Y146" s="79"/>
      <c r="AC146" s="130"/>
      <c r="AE146" s="106"/>
    </row>
    <row r="147">
      <c r="C147" s="79"/>
      <c r="D147" s="79"/>
      <c r="E147" s="79"/>
      <c r="P147" s="79"/>
      <c r="Q147" s="79"/>
      <c r="R147" s="79"/>
      <c r="Y147" s="79"/>
      <c r="AC147" s="130"/>
      <c r="AE147" s="106"/>
    </row>
    <row r="148">
      <c r="C148" s="79"/>
      <c r="D148" s="79"/>
      <c r="E148" s="79"/>
      <c r="P148" s="79"/>
      <c r="Q148" s="79"/>
      <c r="R148" s="79"/>
      <c r="Y148" s="79"/>
      <c r="AC148" s="130"/>
      <c r="AE148" s="106"/>
    </row>
    <row r="149">
      <c r="C149" s="79"/>
      <c r="D149" s="79"/>
      <c r="E149" s="79"/>
      <c r="P149" s="79"/>
      <c r="Q149" s="79"/>
      <c r="R149" s="79"/>
      <c r="Y149" s="79"/>
      <c r="AC149" s="130"/>
      <c r="AE149" s="106"/>
    </row>
    <row r="150">
      <c r="C150" s="79"/>
      <c r="D150" s="79"/>
      <c r="E150" s="79"/>
      <c r="P150" s="79"/>
      <c r="Q150" s="79"/>
      <c r="R150" s="79"/>
      <c r="Y150" s="79"/>
      <c r="AC150" s="130"/>
      <c r="AE150" s="106"/>
    </row>
    <row r="151">
      <c r="C151" s="79"/>
      <c r="D151" s="79"/>
      <c r="E151" s="79"/>
      <c r="P151" s="79"/>
      <c r="Q151" s="79"/>
      <c r="R151" s="79"/>
      <c r="Y151" s="79"/>
      <c r="AC151" s="130"/>
      <c r="AE151" s="106"/>
    </row>
    <row r="152">
      <c r="C152" s="79"/>
      <c r="D152" s="79"/>
      <c r="E152" s="79"/>
      <c r="P152" s="79"/>
      <c r="Q152" s="79"/>
      <c r="R152" s="79"/>
      <c r="Y152" s="79"/>
      <c r="AC152" s="130"/>
      <c r="AE152" s="106"/>
    </row>
    <row r="153">
      <c r="C153" s="79"/>
      <c r="D153" s="79"/>
      <c r="E153" s="79"/>
      <c r="P153" s="79"/>
      <c r="Q153" s="79"/>
      <c r="R153" s="79"/>
      <c r="Y153" s="79"/>
      <c r="AC153" s="130"/>
      <c r="AE153" s="106"/>
    </row>
    <row r="154">
      <c r="C154" s="79"/>
      <c r="D154" s="79"/>
      <c r="E154" s="79"/>
      <c r="P154" s="79"/>
      <c r="Q154" s="79"/>
      <c r="R154" s="79"/>
      <c r="Y154" s="79"/>
      <c r="AC154" s="130"/>
      <c r="AE154" s="106"/>
    </row>
    <row r="155">
      <c r="C155" s="79"/>
      <c r="D155" s="79"/>
      <c r="E155" s="79"/>
      <c r="P155" s="79"/>
      <c r="Q155" s="79"/>
      <c r="R155" s="79"/>
      <c r="Y155" s="79"/>
      <c r="AC155" s="130"/>
      <c r="AE155" s="106"/>
    </row>
    <row r="156">
      <c r="C156" s="79"/>
      <c r="D156" s="79"/>
      <c r="E156" s="79"/>
      <c r="P156" s="79"/>
      <c r="Q156" s="79"/>
      <c r="R156" s="79"/>
      <c r="Y156" s="79"/>
      <c r="AC156" s="130"/>
      <c r="AE156" s="106"/>
    </row>
    <row r="157">
      <c r="C157" s="79"/>
      <c r="D157" s="79"/>
      <c r="E157" s="79"/>
      <c r="P157" s="79"/>
      <c r="Q157" s="79"/>
      <c r="R157" s="79"/>
      <c r="Y157" s="79"/>
      <c r="AC157" s="130"/>
      <c r="AE157" s="106"/>
    </row>
    <row r="158">
      <c r="C158" s="79"/>
      <c r="D158" s="79"/>
      <c r="E158" s="79"/>
      <c r="P158" s="79"/>
      <c r="Q158" s="79"/>
      <c r="R158" s="79"/>
      <c r="Y158" s="79"/>
      <c r="AC158" s="130"/>
      <c r="AE158" s="106"/>
    </row>
    <row r="159">
      <c r="C159" s="79"/>
      <c r="D159" s="79"/>
      <c r="E159" s="79"/>
      <c r="P159" s="79"/>
      <c r="Q159" s="79"/>
      <c r="R159" s="79"/>
      <c r="Y159" s="79"/>
      <c r="AC159" s="130"/>
      <c r="AE159" s="106"/>
    </row>
    <row r="160">
      <c r="C160" s="79"/>
      <c r="D160" s="79"/>
      <c r="E160" s="79"/>
      <c r="P160" s="79"/>
      <c r="Q160" s="79"/>
      <c r="R160" s="79"/>
      <c r="Y160" s="79"/>
      <c r="AC160" s="130"/>
      <c r="AE160" s="106"/>
    </row>
    <row r="161">
      <c r="C161" s="79"/>
      <c r="D161" s="79"/>
      <c r="E161" s="79"/>
      <c r="P161" s="79"/>
      <c r="Q161" s="79"/>
      <c r="R161" s="79"/>
      <c r="Y161" s="79"/>
      <c r="AC161" s="130"/>
      <c r="AE161" s="106"/>
    </row>
    <row r="162">
      <c r="C162" s="79"/>
      <c r="D162" s="79"/>
      <c r="E162" s="79"/>
      <c r="P162" s="79"/>
      <c r="Q162" s="79"/>
      <c r="R162" s="79"/>
      <c r="Y162" s="79"/>
      <c r="AC162" s="130"/>
      <c r="AE162" s="106"/>
    </row>
    <row r="163">
      <c r="C163" s="79"/>
      <c r="D163" s="79"/>
      <c r="E163" s="79"/>
      <c r="P163" s="79"/>
      <c r="Q163" s="79"/>
      <c r="R163" s="79"/>
      <c r="Y163" s="79"/>
      <c r="AC163" s="130"/>
      <c r="AE163" s="106"/>
    </row>
    <row r="164">
      <c r="C164" s="79"/>
      <c r="D164" s="79"/>
      <c r="E164" s="79"/>
      <c r="P164" s="79"/>
      <c r="Q164" s="79"/>
      <c r="R164" s="79"/>
      <c r="Y164" s="79"/>
      <c r="AC164" s="130"/>
      <c r="AE164" s="106"/>
    </row>
    <row r="165">
      <c r="C165" s="79"/>
      <c r="D165" s="79"/>
      <c r="E165" s="79"/>
      <c r="P165" s="79"/>
      <c r="Q165" s="79"/>
      <c r="R165" s="79"/>
      <c r="Y165" s="79"/>
      <c r="AC165" s="130"/>
      <c r="AE165" s="106"/>
    </row>
    <row r="166">
      <c r="C166" s="79"/>
      <c r="D166" s="79"/>
      <c r="E166" s="79"/>
      <c r="P166" s="79"/>
      <c r="Q166" s="79"/>
      <c r="R166" s="79"/>
      <c r="Y166" s="79"/>
      <c r="AC166" s="130"/>
      <c r="AE166" s="106"/>
    </row>
    <row r="167">
      <c r="C167" s="79"/>
      <c r="D167" s="79"/>
      <c r="E167" s="79"/>
      <c r="P167" s="79"/>
      <c r="Q167" s="79"/>
      <c r="R167" s="79"/>
      <c r="Y167" s="79"/>
      <c r="AC167" s="130"/>
      <c r="AE167" s="106"/>
    </row>
    <row r="168">
      <c r="C168" s="79"/>
      <c r="D168" s="79"/>
      <c r="E168" s="79"/>
      <c r="P168" s="79"/>
      <c r="Q168" s="79"/>
      <c r="R168" s="79"/>
      <c r="Y168" s="79"/>
      <c r="AC168" s="130"/>
      <c r="AE168" s="106"/>
    </row>
    <row r="169">
      <c r="C169" s="79"/>
      <c r="D169" s="79"/>
      <c r="E169" s="79"/>
      <c r="P169" s="79"/>
      <c r="Q169" s="79"/>
      <c r="R169" s="79"/>
      <c r="Y169" s="79"/>
      <c r="AC169" s="130"/>
      <c r="AE169" s="106"/>
    </row>
    <row r="170">
      <c r="C170" s="79"/>
      <c r="D170" s="79"/>
      <c r="E170" s="79"/>
      <c r="P170" s="79"/>
      <c r="Q170" s="79"/>
      <c r="R170" s="79"/>
      <c r="Y170" s="79"/>
      <c r="AC170" s="130"/>
      <c r="AE170" s="106"/>
    </row>
    <row r="171">
      <c r="C171" s="79"/>
      <c r="D171" s="79"/>
      <c r="E171" s="79"/>
      <c r="P171" s="79"/>
      <c r="Q171" s="79"/>
      <c r="R171" s="79"/>
      <c r="Y171" s="79"/>
      <c r="AC171" s="130"/>
      <c r="AE171" s="106"/>
    </row>
    <row r="172">
      <c r="C172" s="79"/>
      <c r="D172" s="79"/>
      <c r="E172" s="79"/>
      <c r="P172" s="79"/>
      <c r="Q172" s="79"/>
      <c r="R172" s="79"/>
      <c r="Y172" s="79"/>
      <c r="AC172" s="130"/>
      <c r="AE172" s="106"/>
    </row>
    <row r="173">
      <c r="C173" s="79"/>
      <c r="D173" s="79"/>
      <c r="E173" s="79"/>
      <c r="P173" s="79"/>
      <c r="Q173" s="79"/>
      <c r="R173" s="79"/>
      <c r="Y173" s="79"/>
      <c r="AC173" s="130"/>
      <c r="AE173" s="106"/>
    </row>
    <row r="174">
      <c r="C174" s="79"/>
      <c r="D174" s="79"/>
      <c r="E174" s="79"/>
      <c r="P174" s="79"/>
      <c r="Q174" s="79"/>
      <c r="R174" s="79"/>
      <c r="Y174" s="79"/>
      <c r="AC174" s="130"/>
      <c r="AE174" s="106"/>
    </row>
    <row r="175">
      <c r="C175" s="79"/>
      <c r="D175" s="79"/>
      <c r="E175" s="79"/>
      <c r="P175" s="79"/>
      <c r="Q175" s="79"/>
      <c r="R175" s="79"/>
      <c r="Y175" s="79"/>
      <c r="AC175" s="130"/>
      <c r="AE175" s="106"/>
    </row>
    <row r="176">
      <c r="C176" s="79"/>
      <c r="D176" s="79"/>
      <c r="E176" s="79"/>
      <c r="P176" s="79"/>
      <c r="Q176" s="79"/>
      <c r="R176" s="79"/>
      <c r="Y176" s="79"/>
      <c r="AC176" s="130"/>
      <c r="AE176" s="106"/>
    </row>
    <row r="177">
      <c r="C177" s="79"/>
      <c r="D177" s="79"/>
      <c r="E177" s="79"/>
      <c r="P177" s="79"/>
      <c r="Q177" s="79"/>
      <c r="R177" s="79"/>
      <c r="Y177" s="79"/>
      <c r="AC177" s="130"/>
      <c r="AE177" s="106"/>
    </row>
    <row r="178">
      <c r="C178" s="79"/>
      <c r="D178" s="79"/>
      <c r="E178" s="79"/>
      <c r="P178" s="79"/>
      <c r="Q178" s="79"/>
      <c r="R178" s="79"/>
      <c r="Y178" s="79"/>
      <c r="AC178" s="130"/>
      <c r="AE178" s="106"/>
    </row>
    <row r="179">
      <c r="C179" s="79"/>
      <c r="D179" s="79"/>
      <c r="E179" s="79"/>
      <c r="P179" s="79"/>
      <c r="Q179" s="79"/>
      <c r="R179" s="79"/>
      <c r="Y179" s="79"/>
      <c r="AC179" s="130"/>
      <c r="AE179" s="106"/>
    </row>
    <row r="180">
      <c r="C180" s="79"/>
      <c r="D180" s="79"/>
      <c r="E180" s="79"/>
      <c r="P180" s="79"/>
      <c r="Q180" s="79"/>
      <c r="R180" s="79"/>
      <c r="Y180" s="79"/>
      <c r="AC180" s="130"/>
      <c r="AE180" s="106"/>
    </row>
    <row r="181">
      <c r="C181" s="79"/>
      <c r="D181" s="79"/>
      <c r="E181" s="79"/>
      <c r="P181" s="79"/>
      <c r="Q181" s="79"/>
      <c r="R181" s="79"/>
      <c r="Y181" s="79"/>
      <c r="AC181" s="130"/>
      <c r="AE181" s="106"/>
    </row>
    <row r="182">
      <c r="C182" s="79"/>
      <c r="D182" s="79"/>
      <c r="E182" s="79"/>
      <c r="P182" s="79"/>
      <c r="Q182" s="79"/>
      <c r="R182" s="79"/>
      <c r="Y182" s="79"/>
      <c r="AC182" s="130"/>
      <c r="AE182" s="106"/>
    </row>
    <row r="183">
      <c r="C183" s="79"/>
      <c r="D183" s="79"/>
      <c r="E183" s="79"/>
      <c r="P183" s="79"/>
      <c r="Q183" s="79"/>
      <c r="R183" s="79"/>
      <c r="Y183" s="79"/>
      <c r="AC183" s="130"/>
      <c r="AE183" s="106"/>
    </row>
    <row r="184">
      <c r="C184" s="79"/>
      <c r="D184" s="79"/>
      <c r="E184" s="79"/>
      <c r="P184" s="79"/>
      <c r="Q184" s="79"/>
      <c r="R184" s="79"/>
      <c r="Y184" s="79"/>
      <c r="AC184" s="130"/>
      <c r="AE184" s="106"/>
    </row>
    <row r="185">
      <c r="C185" s="79"/>
      <c r="D185" s="79"/>
      <c r="E185" s="79"/>
      <c r="P185" s="79"/>
      <c r="Q185" s="79"/>
      <c r="R185" s="79"/>
      <c r="Y185" s="79"/>
      <c r="AC185" s="130"/>
      <c r="AE185" s="106"/>
    </row>
    <row r="186">
      <c r="C186" s="79"/>
      <c r="D186" s="79"/>
      <c r="E186" s="79"/>
      <c r="P186" s="79"/>
      <c r="Q186" s="79"/>
      <c r="R186" s="79"/>
      <c r="Y186" s="79"/>
      <c r="AC186" s="130"/>
      <c r="AE186" s="106"/>
    </row>
    <row r="187">
      <c r="C187" s="79"/>
      <c r="D187" s="79"/>
      <c r="E187" s="79"/>
      <c r="P187" s="79"/>
      <c r="Q187" s="79"/>
      <c r="R187" s="79"/>
      <c r="Y187" s="79"/>
      <c r="AC187" s="130"/>
      <c r="AE187" s="106"/>
    </row>
    <row r="188">
      <c r="C188" s="79"/>
      <c r="D188" s="79"/>
      <c r="E188" s="79"/>
      <c r="P188" s="79"/>
      <c r="Q188" s="79"/>
      <c r="R188" s="79"/>
      <c r="Y188" s="79"/>
      <c r="AC188" s="130"/>
      <c r="AE188" s="106"/>
    </row>
    <row r="189">
      <c r="C189" s="79"/>
      <c r="D189" s="79"/>
      <c r="E189" s="79"/>
      <c r="P189" s="79"/>
      <c r="Q189" s="79"/>
      <c r="R189" s="79"/>
      <c r="Y189" s="79"/>
      <c r="AC189" s="130"/>
      <c r="AE189" s="106"/>
    </row>
    <row r="190">
      <c r="C190" s="79"/>
      <c r="D190" s="79"/>
      <c r="E190" s="79"/>
      <c r="P190" s="79"/>
      <c r="Q190" s="79"/>
      <c r="R190" s="79"/>
      <c r="Y190" s="79"/>
      <c r="AC190" s="130"/>
      <c r="AE190" s="106"/>
    </row>
    <row r="191">
      <c r="C191" s="79"/>
      <c r="D191" s="79"/>
      <c r="E191" s="79"/>
      <c r="P191" s="79"/>
      <c r="Q191" s="79"/>
      <c r="R191" s="79"/>
      <c r="Y191" s="79"/>
      <c r="AC191" s="130"/>
      <c r="AE191" s="106"/>
    </row>
    <row r="192">
      <c r="C192" s="79"/>
      <c r="D192" s="79"/>
      <c r="E192" s="79"/>
      <c r="P192" s="79"/>
      <c r="Q192" s="79"/>
      <c r="R192" s="79"/>
      <c r="Y192" s="79"/>
      <c r="AC192" s="130"/>
      <c r="AE192" s="106"/>
    </row>
    <row r="193">
      <c r="C193" s="79"/>
      <c r="D193" s="79"/>
      <c r="E193" s="79"/>
      <c r="P193" s="79"/>
      <c r="Q193" s="79"/>
      <c r="R193" s="79"/>
      <c r="Y193" s="79"/>
      <c r="AC193" s="130"/>
      <c r="AE193" s="106"/>
    </row>
    <row r="194">
      <c r="C194" s="79"/>
      <c r="D194" s="79"/>
      <c r="E194" s="79"/>
      <c r="P194" s="79"/>
      <c r="Q194" s="79"/>
      <c r="R194" s="79"/>
      <c r="Y194" s="79"/>
      <c r="AC194" s="130"/>
      <c r="AE194" s="106"/>
    </row>
    <row r="195">
      <c r="C195" s="79"/>
      <c r="D195" s="79"/>
      <c r="E195" s="79"/>
      <c r="P195" s="79"/>
      <c r="Q195" s="79"/>
      <c r="R195" s="79"/>
      <c r="Y195" s="79"/>
      <c r="AC195" s="130"/>
      <c r="AE195" s="106"/>
    </row>
    <row r="196">
      <c r="C196" s="79"/>
      <c r="D196" s="79"/>
      <c r="E196" s="79"/>
      <c r="P196" s="79"/>
      <c r="Q196" s="79"/>
      <c r="R196" s="79"/>
      <c r="Y196" s="79"/>
      <c r="AC196" s="130"/>
      <c r="AE196" s="106"/>
    </row>
    <row r="197">
      <c r="C197" s="79"/>
      <c r="D197" s="79"/>
      <c r="E197" s="79"/>
      <c r="P197" s="79"/>
      <c r="Q197" s="79"/>
      <c r="R197" s="79"/>
      <c r="Y197" s="79"/>
      <c r="AC197" s="130"/>
      <c r="AE197" s="106"/>
    </row>
    <row r="198">
      <c r="C198" s="79"/>
      <c r="D198" s="79"/>
      <c r="E198" s="79"/>
      <c r="P198" s="79"/>
      <c r="Q198" s="79"/>
      <c r="R198" s="79"/>
      <c r="Y198" s="79"/>
      <c r="AC198" s="130"/>
      <c r="AE198" s="106"/>
    </row>
    <row r="199">
      <c r="C199" s="79"/>
      <c r="D199" s="79"/>
      <c r="E199" s="79"/>
      <c r="P199" s="79"/>
      <c r="Q199" s="79"/>
      <c r="R199" s="79"/>
      <c r="Y199" s="79"/>
      <c r="AC199" s="130"/>
      <c r="AE199" s="106"/>
    </row>
    <row r="200">
      <c r="C200" s="79"/>
      <c r="D200" s="79"/>
      <c r="E200" s="79"/>
      <c r="P200" s="79"/>
      <c r="Q200" s="79"/>
      <c r="R200" s="79"/>
      <c r="Y200" s="79"/>
      <c r="AC200" s="130"/>
      <c r="AE200" s="106"/>
    </row>
    <row r="201">
      <c r="C201" s="79"/>
      <c r="D201" s="79"/>
      <c r="E201" s="79"/>
      <c r="P201" s="79"/>
      <c r="Q201" s="79"/>
      <c r="R201" s="79"/>
      <c r="Y201" s="79"/>
      <c r="AC201" s="130"/>
      <c r="AE201" s="106"/>
    </row>
    <row r="202">
      <c r="C202" s="79"/>
      <c r="D202" s="79"/>
      <c r="E202" s="79"/>
      <c r="P202" s="79"/>
      <c r="Q202" s="79"/>
      <c r="R202" s="79"/>
      <c r="Y202" s="79"/>
      <c r="AC202" s="130"/>
      <c r="AE202" s="106"/>
    </row>
    <row r="203">
      <c r="C203" s="79"/>
      <c r="D203" s="79"/>
      <c r="E203" s="79"/>
      <c r="P203" s="79"/>
      <c r="Q203" s="79"/>
      <c r="R203" s="79"/>
      <c r="Y203" s="79"/>
      <c r="AC203" s="130"/>
      <c r="AE203" s="106"/>
    </row>
    <row r="204">
      <c r="C204" s="79"/>
      <c r="D204" s="79"/>
      <c r="E204" s="79"/>
      <c r="P204" s="79"/>
      <c r="Q204" s="79"/>
      <c r="R204" s="79"/>
      <c r="Y204" s="79"/>
      <c r="AC204" s="130"/>
      <c r="AE204" s="106"/>
    </row>
    <row r="205">
      <c r="C205" s="79"/>
      <c r="D205" s="79"/>
      <c r="E205" s="79"/>
      <c r="P205" s="79"/>
      <c r="Q205" s="79"/>
      <c r="R205" s="79"/>
      <c r="Y205" s="79"/>
      <c r="AC205" s="130"/>
      <c r="AE205" s="106"/>
    </row>
    <row r="206">
      <c r="C206" s="79"/>
      <c r="D206" s="79"/>
      <c r="E206" s="79"/>
      <c r="P206" s="79"/>
      <c r="Q206" s="79"/>
      <c r="R206" s="79"/>
      <c r="Y206" s="79"/>
      <c r="AC206" s="130"/>
      <c r="AE206" s="106"/>
    </row>
    <row r="207">
      <c r="C207" s="79"/>
      <c r="D207" s="79"/>
      <c r="E207" s="79"/>
      <c r="P207" s="79"/>
      <c r="Q207" s="79"/>
      <c r="R207" s="79"/>
      <c r="Y207" s="79"/>
      <c r="AC207" s="130"/>
      <c r="AE207" s="106"/>
    </row>
    <row r="208">
      <c r="C208" s="79"/>
      <c r="D208" s="79"/>
      <c r="E208" s="79"/>
      <c r="P208" s="79"/>
      <c r="Q208" s="79"/>
      <c r="R208" s="79"/>
      <c r="Y208" s="79"/>
      <c r="AC208" s="130"/>
      <c r="AE208" s="106"/>
    </row>
    <row r="209">
      <c r="C209" s="79"/>
      <c r="D209" s="79"/>
      <c r="E209" s="79"/>
      <c r="P209" s="79"/>
      <c r="Q209" s="79"/>
      <c r="R209" s="79"/>
      <c r="Y209" s="79"/>
      <c r="AC209" s="130"/>
      <c r="AE209" s="106"/>
    </row>
    <row r="210">
      <c r="C210" s="79"/>
      <c r="D210" s="79"/>
      <c r="E210" s="79"/>
      <c r="P210" s="79"/>
      <c r="Q210" s="79"/>
      <c r="R210" s="79"/>
      <c r="Y210" s="79"/>
      <c r="AC210" s="130"/>
      <c r="AE210" s="106"/>
    </row>
    <row r="211">
      <c r="C211" s="79"/>
      <c r="D211" s="79"/>
      <c r="E211" s="79"/>
      <c r="P211" s="79"/>
      <c r="Q211" s="79"/>
      <c r="R211" s="79"/>
      <c r="Y211" s="79"/>
      <c r="AC211" s="130"/>
      <c r="AE211" s="106"/>
    </row>
    <row r="212">
      <c r="C212" s="79"/>
      <c r="D212" s="79"/>
      <c r="E212" s="79"/>
      <c r="P212" s="79"/>
      <c r="Q212" s="79"/>
      <c r="R212" s="79"/>
      <c r="Y212" s="79"/>
      <c r="AC212" s="130"/>
      <c r="AE212" s="106"/>
    </row>
    <row r="213">
      <c r="C213" s="79"/>
      <c r="D213" s="79"/>
      <c r="E213" s="79"/>
      <c r="P213" s="79"/>
      <c r="Q213" s="79"/>
      <c r="R213" s="79"/>
      <c r="Y213" s="79"/>
      <c r="AC213" s="130"/>
      <c r="AE213" s="106"/>
    </row>
    <row r="214">
      <c r="C214" s="79"/>
      <c r="D214" s="79"/>
      <c r="E214" s="79"/>
      <c r="P214" s="79"/>
      <c r="Q214" s="79"/>
      <c r="R214" s="79"/>
      <c r="Y214" s="79"/>
      <c r="AC214" s="130"/>
      <c r="AE214" s="106"/>
    </row>
    <row r="215">
      <c r="C215" s="79"/>
      <c r="D215" s="79"/>
      <c r="E215" s="79"/>
      <c r="P215" s="79"/>
      <c r="Q215" s="79"/>
      <c r="R215" s="79"/>
      <c r="Y215" s="79"/>
      <c r="AC215" s="130"/>
      <c r="AE215" s="106"/>
    </row>
    <row r="216">
      <c r="C216" s="79"/>
      <c r="D216" s="79"/>
      <c r="E216" s="79"/>
      <c r="P216" s="79"/>
      <c r="Q216" s="79"/>
      <c r="R216" s="79"/>
      <c r="Y216" s="79"/>
      <c r="AC216" s="130"/>
      <c r="AE216" s="106"/>
    </row>
    <row r="217">
      <c r="C217" s="79"/>
      <c r="D217" s="79"/>
      <c r="E217" s="79"/>
      <c r="P217" s="79"/>
      <c r="Q217" s="79"/>
      <c r="R217" s="79"/>
      <c r="Y217" s="79"/>
      <c r="AC217" s="130"/>
      <c r="AE217" s="106"/>
    </row>
    <row r="218">
      <c r="C218" s="79"/>
      <c r="D218" s="79"/>
      <c r="E218" s="79"/>
      <c r="P218" s="79"/>
      <c r="Q218" s="79"/>
      <c r="R218" s="79"/>
      <c r="Y218" s="79"/>
      <c r="AC218" s="130"/>
      <c r="AE218" s="106"/>
    </row>
    <row r="219">
      <c r="C219" s="79"/>
      <c r="D219" s="79"/>
      <c r="E219" s="79"/>
      <c r="P219" s="79"/>
      <c r="Q219" s="79"/>
      <c r="R219" s="79"/>
      <c r="Y219" s="79"/>
      <c r="AC219" s="130"/>
      <c r="AE219" s="106"/>
    </row>
    <row r="220">
      <c r="C220" s="79"/>
      <c r="D220" s="79"/>
      <c r="E220" s="79"/>
      <c r="P220" s="79"/>
      <c r="Q220" s="79"/>
      <c r="R220" s="79"/>
      <c r="Y220" s="79"/>
      <c r="AC220" s="130"/>
      <c r="AE220" s="106"/>
    </row>
    <row r="221">
      <c r="C221" s="79"/>
      <c r="D221" s="79"/>
      <c r="E221" s="79"/>
      <c r="P221" s="79"/>
      <c r="Q221" s="79"/>
      <c r="R221" s="79"/>
      <c r="Y221" s="79"/>
      <c r="AC221" s="130"/>
      <c r="AE221" s="106"/>
    </row>
    <row r="222">
      <c r="C222" s="79"/>
      <c r="D222" s="79"/>
      <c r="E222" s="79"/>
      <c r="P222" s="79"/>
      <c r="Q222" s="79"/>
      <c r="R222" s="79"/>
      <c r="Y222" s="79"/>
      <c r="AC222" s="130"/>
      <c r="AE222" s="106"/>
    </row>
    <row r="223">
      <c r="C223" s="79"/>
      <c r="D223" s="79"/>
      <c r="E223" s="79"/>
      <c r="P223" s="79"/>
      <c r="Q223" s="79"/>
      <c r="R223" s="79"/>
      <c r="Y223" s="79"/>
      <c r="AC223" s="130"/>
      <c r="AE223" s="106"/>
    </row>
    <row r="224">
      <c r="C224" s="79"/>
      <c r="D224" s="79"/>
      <c r="E224" s="79"/>
      <c r="P224" s="79"/>
      <c r="Q224" s="79"/>
      <c r="R224" s="79"/>
      <c r="Y224" s="79"/>
      <c r="AC224" s="130"/>
      <c r="AE224" s="106"/>
    </row>
    <row r="225">
      <c r="C225" s="79"/>
      <c r="D225" s="79"/>
      <c r="E225" s="79"/>
      <c r="P225" s="79"/>
      <c r="Q225" s="79"/>
      <c r="R225" s="79"/>
      <c r="Y225" s="79"/>
      <c r="AC225" s="130"/>
      <c r="AE225" s="106"/>
    </row>
    <row r="226">
      <c r="C226" s="79"/>
      <c r="D226" s="79"/>
      <c r="E226" s="79"/>
      <c r="P226" s="79"/>
      <c r="Q226" s="79"/>
      <c r="R226" s="79"/>
      <c r="Y226" s="79"/>
      <c r="AC226" s="130"/>
      <c r="AE226" s="106"/>
    </row>
    <row r="227">
      <c r="C227" s="79"/>
      <c r="D227" s="79"/>
      <c r="E227" s="79"/>
      <c r="P227" s="79"/>
      <c r="Q227" s="79"/>
      <c r="R227" s="79"/>
      <c r="Y227" s="79"/>
      <c r="AC227" s="130"/>
      <c r="AE227" s="106"/>
    </row>
    <row r="228">
      <c r="C228" s="79"/>
      <c r="D228" s="79"/>
      <c r="E228" s="79"/>
      <c r="P228" s="79"/>
      <c r="Q228" s="79"/>
      <c r="R228" s="79"/>
      <c r="Y228" s="79"/>
      <c r="AC228" s="130"/>
      <c r="AE228" s="106"/>
    </row>
    <row r="229">
      <c r="C229" s="79"/>
      <c r="D229" s="79"/>
      <c r="E229" s="79"/>
      <c r="P229" s="79"/>
      <c r="Q229" s="79"/>
      <c r="R229" s="79"/>
      <c r="Y229" s="79"/>
      <c r="AC229" s="130"/>
      <c r="AE229" s="106"/>
    </row>
    <row r="230">
      <c r="C230" s="79"/>
      <c r="D230" s="79"/>
      <c r="E230" s="79"/>
      <c r="P230" s="79"/>
      <c r="Q230" s="79"/>
      <c r="R230" s="79"/>
      <c r="Y230" s="79"/>
      <c r="AC230" s="130"/>
      <c r="AE230" s="106"/>
    </row>
    <row r="231">
      <c r="C231" s="79"/>
      <c r="D231" s="79"/>
      <c r="E231" s="79"/>
      <c r="P231" s="79"/>
      <c r="Q231" s="79"/>
      <c r="R231" s="79"/>
      <c r="Y231" s="79"/>
      <c r="AC231" s="130"/>
      <c r="AE231" s="106"/>
    </row>
    <row r="232">
      <c r="C232" s="79"/>
      <c r="D232" s="79"/>
      <c r="E232" s="79"/>
      <c r="P232" s="79"/>
      <c r="Q232" s="79"/>
      <c r="R232" s="79"/>
      <c r="Y232" s="79"/>
      <c r="AC232" s="130"/>
      <c r="AE232" s="106"/>
    </row>
    <row r="233">
      <c r="C233" s="79"/>
      <c r="D233" s="79"/>
      <c r="E233" s="79"/>
      <c r="P233" s="79"/>
      <c r="Q233" s="79"/>
      <c r="R233" s="79"/>
      <c r="Y233" s="79"/>
      <c r="AC233" s="130"/>
      <c r="AE233" s="106"/>
    </row>
    <row r="234">
      <c r="C234" s="79"/>
      <c r="D234" s="79"/>
      <c r="E234" s="79"/>
      <c r="P234" s="79"/>
      <c r="Q234" s="79"/>
      <c r="R234" s="79"/>
      <c r="Y234" s="79"/>
      <c r="AC234" s="130"/>
      <c r="AE234" s="106"/>
    </row>
    <row r="235">
      <c r="C235" s="79"/>
      <c r="D235" s="79"/>
      <c r="E235" s="79"/>
      <c r="P235" s="79"/>
      <c r="Q235" s="79"/>
      <c r="R235" s="79"/>
      <c r="Y235" s="79"/>
      <c r="AC235" s="130"/>
      <c r="AE235" s="106"/>
    </row>
    <row r="236">
      <c r="C236" s="79"/>
      <c r="D236" s="79"/>
      <c r="E236" s="79"/>
      <c r="P236" s="79"/>
      <c r="Q236" s="79"/>
      <c r="R236" s="79"/>
      <c r="Y236" s="79"/>
      <c r="AC236" s="130"/>
      <c r="AE236" s="106"/>
    </row>
    <row r="237">
      <c r="C237" s="79"/>
      <c r="D237" s="79"/>
      <c r="E237" s="79"/>
      <c r="P237" s="79"/>
      <c r="Q237" s="79"/>
      <c r="R237" s="79"/>
      <c r="Y237" s="79"/>
      <c r="AC237" s="130"/>
      <c r="AE237" s="106"/>
    </row>
    <row r="238">
      <c r="C238" s="79"/>
      <c r="D238" s="79"/>
      <c r="E238" s="79"/>
      <c r="P238" s="79"/>
      <c r="Q238" s="79"/>
      <c r="R238" s="79"/>
      <c r="Y238" s="79"/>
      <c r="AC238" s="130"/>
      <c r="AE238" s="106"/>
    </row>
    <row r="239">
      <c r="C239" s="79"/>
      <c r="D239" s="79"/>
      <c r="E239" s="79"/>
      <c r="P239" s="79"/>
      <c r="Q239" s="79"/>
      <c r="R239" s="79"/>
      <c r="Y239" s="79"/>
      <c r="AC239" s="130"/>
      <c r="AE239" s="106"/>
    </row>
    <row r="240">
      <c r="C240" s="79"/>
      <c r="D240" s="79"/>
      <c r="E240" s="79"/>
      <c r="P240" s="79"/>
      <c r="Q240" s="79"/>
      <c r="R240" s="79"/>
      <c r="Y240" s="79"/>
      <c r="AC240" s="130"/>
      <c r="AE240" s="106"/>
    </row>
    <row r="241">
      <c r="C241" s="79"/>
      <c r="D241" s="79"/>
      <c r="E241" s="79"/>
      <c r="P241" s="79"/>
      <c r="Q241" s="79"/>
      <c r="R241" s="79"/>
      <c r="Y241" s="79"/>
      <c r="AC241" s="130"/>
      <c r="AE241" s="106"/>
    </row>
    <row r="242">
      <c r="C242" s="79"/>
      <c r="D242" s="79"/>
      <c r="E242" s="79"/>
      <c r="P242" s="79"/>
      <c r="Q242" s="79"/>
      <c r="R242" s="79"/>
      <c r="Y242" s="79"/>
      <c r="AC242" s="130"/>
      <c r="AE242" s="106"/>
    </row>
    <row r="243">
      <c r="C243" s="79"/>
      <c r="D243" s="79"/>
      <c r="E243" s="79"/>
      <c r="P243" s="79"/>
      <c r="Q243" s="79"/>
      <c r="R243" s="79"/>
      <c r="Y243" s="79"/>
      <c r="AC243" s="130"/>
      <c r="AE243" s="106"/>
    </row>
    <row r="244">
      <c r="C244" s="79"/>
      <c r="D244" s="79"/>
      <c r="E244" s="79"/>
      <c r="P244" s="79"/>
      <c r="Q244" s="79"/>
      <c r="R244" s="79"/>
      <c r="Y244" s="79"/>
      <c r="AC244" s="130"/>
      <c r="AE244" s="106"/>
    </row>
    <row r="245">
      <c r="C245" s="79"/>
      <c r="D245" s="79"/>
      <c r="E245" s="79"/>
      <c r="P245" s="79"/>
      <c r="Q245" s="79"/>
      <c r="R245" s="79"/>
      <c r="Y245" s="79"/>
      <c r="AC245" s="130"/>
      <c r="AE245" s="106"/>
    </row>
    <row r="246">
      <c r="C246" s="79"/>
      <c r="D246" s="79"/>
      <c r="E246" s="79"/>
      <c r="P246" s="79"/>
      <c r="Q246" s="79"/>
      <c r="R246" s="79"/>
      <c r="Y246" s="79"/>
      <c r="AC246" s="130"/>
      <c r="AE246" s="106"/>
    </row>
    <row r="247">
      <c r="C247" s="79"/>
      <c r="D247" s="79"/>
      <c r="E247" s="79"/>
      <c r="P247" s="79"/>
      <c r="Q247" s="79"/>
      <c r="R247" s="79"/>
      <c r="Y247" s="79"/>
      <c r="AC247" s="130"/>
      <c r="AE247" s="106"/>
    </row>
    <row r="248">
      <c r="C248" s="79"/>
      <c r="D248" s="79"/>
      <c r="E248" s="79"/>
      <c r="P248" s="79"/>
      <c r="Q248" s="79"/>
      <c r="R248" s="79"/>
      <c r="Y248" s="79"/>
      <c r="AC248" s="130"/>
      <c r="AE248" s="106"/>
    </row>
    <row r="249">
      <c r="C249" s="79"/>
      <c r="D249" s="79"/>
      <c r="E249" s="79"/>
      <c r="P249" s="79"/>
      <c r="Q249" s="79"/>
      <c r="R249" s="79"/>
      <c r="Y249" s="79"/>
      <c r="AC249" s="130"/>
      <c r="AE249" s="106"/>
    </row>
    <row r="250">
      <c r="C250" s="79"/>
      <c r="D250" s="79"/>
      <c r="E250" s="79"/>
      <c r="P250" s="79"/>
      <c r="Q250" s="79"/>
      <c r="R250" s="79"/>
      <c r="Y250" s="79"/>
      <c r="AC250" s="130"/>
      <c r="AE250" s="106"/>
    </row>
    <row r="251">
      <c r="C251" s="79"/>
      <c r="D251" s="79"/>
      <c r="E251" s="79"/>
      <c r="P251" s="79"/>
      <c r="Q251" s="79"/>
      <c r="R251" s="79"/>
      <c r="Y251" s="79"/>
      <c r="AC251" s="130"/>
      <c r="AE251" s="106"/>
    </row>
    <row r="252">
      <c r="C252" s="79"/>
      <c r="D252" s="79"/>
      <c r="E252" s="79"/>
      <c r="P252" s="79"/>
      <c r="Q252" s="79"/>
      <c r="R252" s="79"/>
      <c r="Y252" s="79"/>
      <c r="AC252" s="130"/>
      <c r="AE252" s="106"/>
    </row>
    <row r="253">
      <c r="C253" s="79"/>
      <c r="D253" s="79"/>
      <c r="E253" s="79"/>
      <c r="P253" s="79"/>
      <c r="Q253" s="79"/>
      <c r="R253" s="79"/>
      <c r="Y253" s="79"/>
      <c r="AC253" s="130"/>
      <c r="AE253" s="106"/>
    </row>
    <row r="254">
      <c r="C254" s="79"/>
      <c r="D254" s="79"/>
      <c r="E254" s="79"/>
      <c r="P254" s="79"/>
      <c r="Q254" s="79"/>
      <c r="R254" s="79"/>
      <c r="Y254" s="79"/>
      <c r="AC254" s="130"/>
      <c r="AE254" s="106"/>
    </row>
    <row r="255">
      <c r="C255" s="79"/>
      <c r="D255" s="79"/>
      <c r="E255" s="79"/>
      <c r="P255" s="79"/>
      <c r="Q255" s="79"/>
      <c r="R255" s="79"/>
      <c r="Y255" s="79"/>
      <c r="AC255" s="130"/>
      <c r="AE255" s="106"/>
    </row>
    <row r="256">
      <c r="C256" s="79"/>
      <c r="D256" s="79"/>
      <c r="E256" s="79"/>
      <c r="P256" s="79"/>
      <c r="Q256" s="79"/>
      <c r="R256" s="79"/>
      <c r="Y256" s="79"/>
      <c r="AC256" s="130"/>
      <c r="AE256" s="106"/>
    </row>
    <row r="257">
      <c r="C257" s="79"/>
      <c r="D257" s="79"/>
      <c r="E257" s="79"/>
      <c r="P257" s="79"/>
      <c r="Q257" s="79"/>
      <c r="R257" s="79"/>
      <c r="Y257" s="79"/>
      <c r="AC257" s="130"/>
      <c r="AE257" s="106"/>
    </row>
    <row r="258">
      <c r="C258" s="79"/>
      <c r="D258" s="79"/>
      <c r="E258" s="79"/>
      <c r="P258" s="79"/>
      <c r="Q258" s="79"/>
      <c r="R258" s="79"/>
      <c r="Y258" s="79"/>
      <c r="AC258" s="130"/>
      <c r="AE258" s="106"/>
    </row>
    <row r="259">
      <c r="C259" s="79"/>
      <c r="D259" s="79"/>
      <c r="E259" s="79"/>
      <c r="P259" s="79"/>
      <c r="Q259" s="79"/>
      <c r="R259" s="79"/>
      <c r="Y259" s="79"/>
      <c r="AC259" s="130"/>
      <c r="AE259" s="106"/>
    </row>
    <row r="260">
      <c r="C260" s="79"/>
      <c r="D260" s="79"/>
      <c r="E260" s="79"/>
      <c r="P260" s="79"/>
      <c r="Q260" s="79"/>
      <c r="R260" s="79"/>
      <c r="Y260" s="79"/>
      <c r="AC260" s="130"/>
      <c r="AE260" s="106"/>
    </row>
    <row r="261">
      <c r="C261" s="79"/>
      <c r="D261" s="79"/>
      <c r="E261" s="79"/>
      <c r="P261" s="79"/>
      <c r="Q261" s="79"/>
      <c r="R261" s="79"/>
      <c r="Y261" s="79"/>
      <c r="AC261" s="130"/>
      <c r="AE261" s="106"/>
    </row>
    <row r="262">
      <c r="C262" s="79"/>
      <c r="D262" s="79"/>
      <c r="E262" s="79"/>
      <c r="P262" s="79"/>
      <c r="Q262" s="79"/>
      <c r="R262" s="79"/>
      <c r="Y262" s="79"/>
      <c r="AC262" s="130"/>
      <c r="AE262" s="106"/>
    </row>
    <row r="263">
      <c r="C263" s="79"/>
      <c r="D263" s="79"/>
      <c r="E263" s="79"/>
      <c r="P263" s="79"/>
      <c r="Q263" s="79"/>
      <c r="R263" s="79"/>
      <c r="Y263" s="79"/>
      <c r="AC263" s="130"/>
      <c r="AE263" s="106"/>
    </row>
    <row r="264">
      <c r="C264" s="79"/>
      <c r="D264" s="79"/>
      <c r="E264" s="79"/>
      <c r="P264" s="79"/>
      <c r="Q264" s="79"/>
      <c r="R264" s="79"/>
      <c r="Y264" s="79"/>
      <c r="AC264" s="130"/>
      <c r="AE264" s="106"/>
    </row>
    <row r="265">
      <c r="C265" s="79"/>
      <c r="D265" s="79"/>
      <c r="E265" s="79"/>
      <c r="P265" s="79"/>
      <c r="Q265" s="79"/>
      <c r="R265" s="79"/>
      <c r="Y265" s="79"/>
      <c r="AC265" s="130"/>
      <c r="AE265" s="106"/>
    </row>
    <row r="266">
      <c r="C266" s="79"/>
      <c r="D266" s="79"/>
      <c r="E266" s="79"/>
      <c r="P266" s="79"/>
      <c r="Q266" s="79"/>
      <c r="R266" s="79"/>
      <c r="Y266" s="79"/>
      <c r="AC266" s="130"/>
      <c r="AE266" s="106"/>
    </row>
    <row r="267">
      <c r="C267" s="79"/>
      <c r="D267" s="79"/>
      <c r="E267" s="79"/>
      <c r="P267" s="79"/>
      <c r="Q267" s="79"/>
      <c r="R267" s="79"/>
      <c r="Y267" s="79"/>
      <c r="AC267" s="130"/>
      <c r="AE267" s="106"/>
    </row>
    <row r="268">
      <c r="C268" s="79"/>
      <c r="D268" s="79"/>
      <c r="E268" s="79"/>
      <c r="P268" s="79"/>
      <c r="Q268" s="79"/>
      <c r="R268" s="79"/>
      <c r="Y268" s="79"/>
      <c r="AC268" s="130"/>
      <c r="AE268" s="106"/>
    </row>
    <row r="269">
      <c r="C269" s="79"/>
      <c r="D269" s="79"/>
      <c r="E269" s="79"/>
      <c r="P269" s="79"/>
      <c r="Q269" s="79"/>
      <c r="R269" s="79"/>
      <c r="Y269" s="79"/>
      <c r="AC269" s="130"/>
      <c r="AE269" s="106"/>
    </row>
    <row r="270">
      <c r="C270" s="79"/>
      <c r="D270" s="79"/>
      <c r="E270" s="79"/>
      <c r="P270" s="79"/>
      <c r="Q270" s="79"/>
      <c r="R270" s="79"/>
      <c r="Y270" s="79"/>
      <c r="AC270" s="130"/>
      <c r="AE270" s="106"/>
    </row>
    <row r="271">
      <c r="C271" s="79"/>
      <c r="D271" s="79"/>
      <c r="E271" s="79"/>
      <c r="P271" s="79"/>
      <c r="Q271" s="79"/>
      <c r="R271" s="79"/>
      <c r="Y271" s="79"/>
      <c r="AC271" s="130"/>
      <c r="AE271" s="106"/>
    </row>
    <row r="272">
      <c r="C272" s="79"/>
      <c r="D272" s="79"/>
      <c r="E272" s="79"/>
      <c r="P272" s="79"/>
      <c r="Q272" s="79"/>
      <c r="R272" s="79"/>
      <c r="Y272" s="79"/>
      <c r="AC272" s="130"/>
      <c r="AE272" s="106"/>
    </row>
    <row r="273">
      <c r="C273" s="79"/>
      <c r="D273" s="79"/>
      <c r="E273" s="79"/>
      <c r="P273" s="79"/>
      <c r="Q273" s="79"/>
      <c r="R273" s="79"/>
      <c r="Y273" s="79"/>
      <c r="AC273" s="130"/>
      <c r="AE273" s="106"/>
    </row>
    <row r="274">
      <c r="C274" s="79"/>
      <c r="D274" s="79"/>
      <c r="E274" s="79"/>
      <c r="P274" s="79"/>
      <c r="Q274" s="79"/>
      <c r="R274" s="79"/>
      <c r="Y274" s="79"/>
      <c r="AC274" s="130"/>
      <c r="AE274" s="106"/>
    </row>
    <row r="275">
      <c r="C275" s="79"/>
      <c r="D275" s="79"/>
      <c r="E275" s="79"/>
      <c r="P275" s="79"/>
      <c r="Q275" s="79"/>
      <c r="R275" s="79"/>
      <c r="Y275" s="79"/>
      <c r="AC275" s="130"/>
      <c r="AE275" s="106"/>
    </row>
    <row r="276">
      <c r="C276" s="79"/>
      <c r="D276" s="79"/>
      <c r="E276" s="79"/>
      <c r="P276" s="79"/>
      <c r="Q276" s="79"/>
      <c r="R276" s="79"/>
      <c r="Y276" s="79"/>
      <c r="AC276" s="130"/>
      <c r="AE276" s="106"/>
    </row>
    <row r="277">
      <c r="C277" s="79"/>
      <c r="D277" s="79"/>
      <c r="E277" s="79"/>
      <c r="P277" s="79"/>
      <c r="Q277" s="79"/>
      <c r="R277" s="79"/>
      <c r="Y277" s="79"/>
      <c r="AC277" s="130"/>
      <c r="AE277" s="106"/>
    </row>
    <row r="278">
      <c r="C278" s="79"/>
      <c r="D278" s="79"/>
      <c r="E278" s="79"/>
      <c r="P278" s="79"/>
      <c r="Q278" s="79"/>
      <c r="R278" s="79"/>
      <c r="Y278" s="79"/>
      <c r="AC278" s="130"/>
      <c r="AE278" s="106"/>
    </row>
    <row r="279">
      <c r="C279" s="79"/>
      <c r="D279" s="79"/>
      <c r="E279" s="79"/>
      <c r="P279" s="79"/>
      <c r="Q279" s="79"/>
      <c r="R279" s="79"/>
      <c r="Y279" s="79"/>
      <c r="AC279" s="130"/>
      <c r="AE279" s="106"/>
    </row>
    <row r="280">
      <c r="C280" s="79"/>
      <c r="D280" s="79"/>
      <c r="E280" s="79"/>
      <c r="P280" s="79"/>
      <c r="Q280" s="79"/>
      <c r="R280" s="79"/>
      <c r="Y280" s="79"/>
      <c r="AC280" s="130"/>
      <c r="AE280" s="106"/>
    </row>
    <row r="281">
      <c r="C281" s="79"/>
      <c r="D281" s="79"/>
      <c r="E281" s="79"/>
      <c r="P281" s="79"/>
      <c r="Q281" s="79"/>
      <c r="R281" s="79"/>
      <c r="Y281" s="79"/>
      <c r="AC281" s="130"/>
      <c r="AE281" s="106"/>
    </row>
    <row r="282">
      <c r="C282" s="79"/>
      <c r="D282" s="79"/>
      <c r="E282" s="79"/>
      <c r="P282" s="79"/>
      <c r="Q282" s="79"/>
      <c r="R282" s="79"/>
      <c r="Y282" s="79"/>
      <c r="AC282" s="130"/>
      <c r="AE282" s="106"/>
    </row>
    <row r="283">
      <c r="C283" s="79"/>
      <c r="D283" s="79"/>
      <c r="E283" s="79"/>
      <c r="P283" s="79"/>
      <c r="Q283" s="79"/>
      <c r="R283" s="79"/>
      <c r="Y283" s="79"/>
      <c r="AC283" s="130"/>
      <c r="AE283" s="106"/>
    </row>
    <row r="284">
      <c r="C284" s="79"/>
      <c r="D284" s="79"/>
      <c r="E284" s="79"/>
      <c r="P284" s="79"/>
      <c r="Q284" s="79"/>
      <c r="R284" s="79"/>
      <c r="Y284" s="79"/>
      <c r="AC284" s="130"/>
      <c r="AE284" s="106"/>
    </row>
    <row r="285">
      <c r="C285" s="79"/>
      <c r="D285" s="79"/>
      <c r="E285" s="79"/>
      <c r="P285" s="79"/>
      <c r="Q285" s="79"/>
      <c r="R285" s="79"/>
      <c r="Y285" s="79"/>
      <c r="AC285" s="130"/>
      <c r="AE285" s="106"/>
    </row>
    <row r="286">
      <c r="C286" s="79"/>
      <c r="D286" s="79"/>
      <c r="E286" s="79"/>
      <c r="P286" s="79"/>
      <c r="Q286" s="79"/>
      <c r="R286" s="79"/>
      <c r="Y286" s="79"/>
      <c r="AC286" s="130"/>
      <c r="AE286" s="106"/>
    </row>
    <row r="287">
      <c r="C287" s="79"/>
      <c r="D287" s="79"/>
      <c r="E287" s="79"/>
      <c r="P287" s="79"/>
      <c r="Q287" s="79"/>
      <c r="R287" s="79"/>
      <c r="Y287" s="79"/>
      <c r="AC287" s="130"/>
      <c r="AE287" s="106"/>
    </row>
    <row r="288">
      <c r="C288" s="79"/>
      <c r="D288" s="79"/>
      <c r="E288" s="79"/>
      <c r="P288" s="79"/>
      <c r="Q288" s="79"/>
      <c r="R288" s="79"/>
      <c r="Y288" s="79"/>
      <c r="AC288" s="130"/>
      <c r="AE288" s="106"/>
    </row>
    <row r="289">
      <c r="C289" s="79"/>
      <c r="D289" s="79"/>
      <c r="E289" s="79"/>
      <c r="P289" s="79"/>
      <c r="Q289" s="79"/>
      <c r="R289" s="79"/>
      <c r="Y289" s="79"/>
      <c r="AC289" s="130"/>
      <c r="AE289" s="106"/>
    </row>
    <row r="290">
      <c r="C290" s="79"/>
      <c r="D290" s="79"/>
      <c r="E290" s="79"/>
      <c r="P290" s="79"/>
      <c r="Q290" s="79"/>
      <c r="R290" s="79"/>
      <c r="Y290" s="79"/>
      <c r="AC290" s="130"/>
      <c r="AE290" s="106"/>
    </row>
    <row r="291">
      <c r="C291" s="79"/>
      <c r="D291" s="79"/>
      <c r="E291" s="79"/>
      <c r="P291" s="79"/>
      <c r="Q291" s="79"/>
      <c r="R291" s="79"/>
      <c r="Y291" s="79"/>
      <c r="AC291" s="130"/>
      <c r="AE291" s="106"/>
    </row>
    <row r="292">
      <c r="C292" s="79"/>
      <c r="D292" s="79"/>
      <c r="E292" s="79"/>
      <c r="P292" s="79"/>
      <c r="Q292" s="79"/>
      <c r="R292" s="79"/>
      <c r="Y292" s="79"/>
      <c r="AC292" s="130"/>
      <c r="AE292" s="106"/>
    </row>
    <row r="293">
      <c r="C293" s="79"/>
      <c r="D293" s="79"/>
      <c r="E293" s="79"/>
      <c r="P293" s="79"/>
      <c r="Q293" s="79"/>
      <c r="R293" s="79"/>
      <c r="Y293" s="79"/>
      <c r="AC293" s="130"/>
      <c r="AE293" s="106"/>
    </row>
    <row r="294">
      <c r="C294" s="79"/>
      <c r="D294" s="79"/>
      <c r="E294" s="79"/>
      <c r="P294" s="79"/>
      <c r="Q294" s="79"/>
      <c r="R294" s="79"/>
      <c r="Y294" s="79"/>
      <c r="AC294" s="130"/>
      <c r="AE294" s="106"/>
    </row>
    <row r="295">
      <c r="C295" s="79"/>
      <c r="D295" s="79"/>
      <c r="E295" s="79"/>
      <c r="P295" s="79"/>
      <c r="Q295" s="79"/>
      <c r="R295" s="79"/>
      <c r="Y295" s="79"/>
      <c r="AC295" s="130"/>
      <c r="AE295" s="106"/>
    </row>
    <row r="296">
      <c r="C296" s="79"/>
      <c r="D296" s="79"/>
      <c r="E296" s="79"/>
      <c r="P296" s="79"/>
      <c r="Q296" s="79"/>
      <c r="R296" s="79"/>
      <c r="Y296" s="79"/>
      <c r="AC296" s="130"/>
      <c r="AE296" s="106"/>
    </row>
    <row r="297">
      <c r="C297" s="79"/>
      <c r="D297" s="79"/>
      <c r="E297" s="79"/>
      <c r="P297" s="79"/>
      <c r="Q297" s="79"/>
      <c r="R297" s="79"/>
      <c r="Y297" s="79"/>
      <c r="AC297" s="130"/>
      <c r="AE297" s="106"/>
    </row>
    <row r="298">
      <c r="C298" s="79"/>
      <c r="D298" s="79"/>
      <c r="E298" s="79"/>
      <c r="P298" s="79"/>
      <c r="Q298" s="79"/>
      <c r="R298" s="79"/>
      <c r="Y298" s="79"/>
      <c r="AC298" s="130"/>
      <c r="AE298" s="106"/>
    </row>
    <row r="299">
      <c r="C299" s="79"/>
      <c r="D299" s="79"/>
      <c r="E299" s="79"/>
      <c r="P299" s="79"/>
      <c r="Q299" s="79"/>
      <c r="R299" s="79"/>
      <c r="Y299" s="79"/>
      <c r="AC299" s="130"/>
      <c r="AE299" s="106"/>
    </row>
    <row r="300">
      <c r="C300" s="79"/>
      <c r="D300" s="79"/>
      <c r="E300" s="79"/>
      <c r="P300" s="79"/>
      <c r="Q300" s="79"/>
      <c r="R300" s="79"/>
      <c r="Y300" s="79"/>
      <c r="AC300" s="130"/>
      <c r="AE300" s="106"/>
    </row>
    <row r="301">
      <c r="C301" s="79"/>
      <c r="D301" s="79"/>
      <c r="E301" s="79"/>
      <c r="P301" s="79"/>
      <c r="Q301" s="79"/>
      <c r="R301" s="79"/>
      <c r="Y301" s="79"/>
      <c r="AC301" s="130"/>
      <c r="AE301" s="106"/>
    </row>
    <row r="302">
      <c r="C302" s="79"/>
      <c r="D302" s="79"/>
      <c r="E302" s="79"/>
      <c r="P302" s="79"/>
      <c r="Q302" s="79"/>
      <c r="R302" s="79"/>
      <c r="Y302" s="79"/>
      <c r="AC302" s="130"/>
      <c r="AE302" s="106"/>
    </row>
    <row r="303">
      <c r="C303" s="79"/>
      <c r="D303" s="79"/>
      <c r="E303" s="79"/>
      <c r="P303" s="79"/>
      <c r="Q303" s="79"/>
      <c r="R303" s="79"/>
      <c r="Y303" s="79"/>
      <c r="AC303" s="130"/>
      <c r="AE303" s="106"/>
    </row>
    <row r="304">
      <c r="C304" s="79"/>
      <c r="D304" s="79"/>
      <c r="E304" s="79"/>
      <c r="P304" s="79"/>
      <c r="Q304" s="79"/>
      <c r="R304" s="79"/>
      <c r="Y304" s="79"/>
      <c r="AC304" s="130"/>
      <c r="AE304" s="106"/>
    </row>
    <row r="305">
      <c r="C305" s="79"/>
      <c r="D305" s="79"/>
      <c r="E305" s="79"/>
      <c r="P305" s="79"/>
      <c r="Q305" s="79"/>
      <c r="R305" s="79"/>
      <c r="Y305" s="79"/>
      <c r="AC305" s="130"/>
      <c r="AE305" s="106"/>
    </row>
    <row r="306">
      <c r="C306" s="79"/>
      <c r="D306" s="79"/>
      <c r="E306" s="79"/>
      <c r="P306" s="79"/>
      <c r="Q306" s="79"/>
      <c r="R306" s="79"/>
      <c r="Y306" s="79"/>
      <c r="AC306" s="130"/>
      <c r="AE306" s="106"/>
    </row>
    <row r="307">
      <c r="C307" s="79"/>
      <c r="D307" s="79"/>
      <c r="E307" s="79"/>
      <c r="P307" s="79"/>
      <c r="Q307" s="79"/>
      <c r="R307" s="79"/>
      <c r="Y307" s="79"/>
      <c r="AC307" s="130"/>
      <c r="AE307" s="106"/>
    </row>
    <row r="308">
      <c r="C308" s="79"/>
      <c r="D308" s="79"/>
      <c r="E308" s="79"/>
      <c r="P308" s="79"/>
      <c r="Q308" s="79"/>
      <c r="R308" s="79"/>
      <c r="Y308" s="79"/>
      <c r="AC308" s="130"/>
      <c r="AE308" s="106"/>
    </row>
    <row r="309">
      <c r="C309" s="79"/>
      <c r="D309" s="79"/>
      <c r="E309" s="79"/>
      <c r="P309" s="79"/>
      <c r="Q309" s="79"/>
      <c r="R309" s="79"/>
      <c r="Y309" s="79"/>
      <c r="AC309" s="130"/>
      <c r="AE309" s="106"/>
    </row>
    <row r="310">
      <c r="C310" s="79"/>
      <c r="D310" s="79"/>
      <c r="E310" s="79"/>
      <c r="P310" s="79"/>
      <c r="Q310" s="79"/>
      <c r="R310" s="79"/>
      <c r="Y310" s="79"/>
      <c r="AC310" s="130"/>
      <c r="AE310" s="106"/>
    </row>
    <row r="311">
      <c r="C311" s="79"/>
      <c r="D311" s="79"/>
      <c r="E311" s="79"/>
      <c r="P311" s="79"/>
      <c r="Q311" s="79"/>
      <c r="R311" s="79"/>
      <c r="Y311" s="79"/>
      <c r="AC311" s="130"/>
      <c r="AE311" s="106"/>
    </row>
    <row r="312">
      <c r="C312" s="79"/>
      <c r="D312" s="79"/>
      <c r="E312" s="79"/>
      <c r="P312" s="79"/>
      <c r="Q312" s="79"/>
      <c r="R312" s="79"/>
      <c r="Y312" s="79"/>
      <c r="AC312" s="130"/>
      <c r="AE312" s="106"/>
    </row>
    <row r="313">
      <c r="C313" s="79"/>
      <c r="D313" s="79"/>
      <c r="E313" s="79"/>
      <c r="P313" s="79"/>
      <c r="Q313" s="79"/>
      <c r="R313" s="79"/>
      <c r="Y313" s="79"/>
      <c r="AC313" s="130"/>
      <c r="AE313" s="106"/>
    </row>
    <row r="314">
      <c r="C314" s="79"/>
      <c r="D314" s="79"/>
      <c r="E314" s="79"/>
      <c r="P314" s="79"/>
      <c r="Q314" s="79"/>
      <c r="R314" s="79"/>
      <c r="Y314" s="79"/>
      <c r="AC314" s="130"/>
      <c r="AE314" s="106"/>
    </row>
    <row r="315">
      <c r="C315" s="79"/>
      <c r="D315" s="79"/>
      <c r="E315" s="79"/>
      <c r="P315" s="79"/>
      <c r="Q315" s="79"/>
      <c r="R315" s="79"/>
      <c r="Y315" s="79"/>
      <c r="AC315" s="130"/>
      <c r="AE315" s="106"/>
    </row>
    <row r="316">
      <c r="C316" s="79"/>
      <c r="D316" s="79"/>
      <c r="E316" s="79"/>
      <c r="P316" s="79"/>
      <c r="Q316" s="79"/>
      <c r="R316" s="79"/>
      <c r="Y316" s="79"/>
      <c r="AC316" s="130"/>
      <c r="AE316" s="106"/>
    </row>
    <row r="317">
      <c r="C317" s="79"/>
      <c r="D317" s="79"/>
      <c r="E317" s="79"/>
      <c r="P317" s="79"/>
      <c r="Q317" s="79"/>
      <c r="R317" s="79"/>
      <c r="Y317" s="79"/>
      <c r="AC317" s="130"/>
      <c r="AE317" s="106"/>
    </row>
    <row r="318">
      <c r="C318" s="79"/>
      <c r="D318" s="79"/>
      <c r="E318" s="79"/>
      <c r="P318" s="79"/>
      <c r="Q318" s="79"/>
      <c r="R318" s="79"/>
      <c r="Y318" s="79"/>
      <c r="AC318" s="130"/>
      <c r="AE318" s="106"/>
    </row>
    <row r="319">
      <c r="C319" s="79"/>
      <c r="D319" s="79"/>
      <c r="E319" s="79"/>
      <c r="P319" s="79"/>
      <c r="Q319" s="79"/>
      <c r="R319" s="79"/>
      <c r="Y319" s="79"/>
      <c r="AC319" s="130"/>
      <c r="AE319" s="106"/>
    </row>
    <row r="320">
      <c r="C320" s="79"/>
      <c r="D320" s="79"/>
      <c r="E320" s="79"/>
      <c r="P320" s="79"/>
      <c r="Q320" s="79"/>
      <c r="R320" s="79"/>
      <c r="Y320" s="79"/>
      <c r="AC320" s="130"/>
      <c r="AE320" s="106"/>
    </row>
    <row r="321">
      <c r="C321" s="79"/>
      <c r="D321" s="79"/>
      <c r="E321" s="79"/>
      <c r="P321" s="79"/>
      <c r="Q321" s="79"/>
      <c r="R321" s="79"/>
      <c r="Y321" s="79"/>
      <c r="AC321" s="130"/>
      <c r="AE321" s="106"/>
    </row>
    <row r="322">
      <c r="C322" s="79"/>
      <c r="D322" s="79"/>
      <c r="E322" s="79"/>
      <c r="P322" s="79"/>
      <c r="Q322" s="79"/>
      <c r="R322" s="79"/>
      <c r="Y322" s="79"/>
      <c r="AC322" s="130"/>
      <c r="AE322" s="106"/>
    </row>
    <row r="323">
      <c r="C323" s="79"/>
      <c r="D323" s="79"/>
      <c r="E323" s="79"/>
      <c r="P323" s="79"/>
      <c r="Q323" s="79"/>
      <c r="R323" s="79"/>
      <c r="Y323" s="79"/>
      <c r="AC323" s="130"/>
      <c r="AE323" s="106"/>
    </row>
    <row r="324">
      <c r="C324" s="79"/>
      <c r="D324" s="79"/>
      <c r="E324" s="79"/>
      <c r="P324" s="79"/>
      <c r="Q324" s="79"/>
      <c r="R324" s="79"/>
      <c r="Y324" s="79"/>
      <c r="AC324" s="130"/>
      <c r="AE324" s="106"/>
    </row>
    <row r="325">
      <c r="C325" s="79"/>
      <c r="D325" s="79"/>
      <c r="E325" s="79"/>
      <c r="P325" s="79"/>
      <c r="Q325" s="79"/>
      <c r="R325" s="79"/>
      <c r="Y325" s="79"/>
      <c r="AC325" s="130"/>
      <c r="AE325" s="106"/>
    </row>
    <row r="326">
      <c r="C326" s="79"/>
      <c r="D326" s="79"/>
      <c r="E326" s="79"/>
      <c r="P326" s="79"/>
      <c r="Q326" s="79"/>
      <c r="R326" s="79"/>
      <c r="Y326" s="79"/>
      <c r="AC326" s="130"/>
      <c r="AE326" s="106"/>
    </row>
    <row r="327">
      <c r="C327" s="79"/>
      <c r="D327" s="79"/>
      <c r="E327" s="79"/>
      <c r="P327" s="79"/>
      <c r="Q327" s="79"/>
      <c r="R327" s="79"/>
      <c r="Y327" s="79"/>
      <c r="AC327" s="130"/>
      <c r="AE327" s="106"/>
    </row>
    <row r="328">
      <c r="C328" s="79"/>
      <c r="D328" s="79"/>
      <c r="E328" s="79"/>
      <c r="P328" s="79"/>
      <c r="Q328" s="79"/>
      <c r="R328" s="79"/>
      <c r="Y328" s="79"/>
      <c r="AC328" s="130"/>
      <c r="AE328" s="106"/>
    </row>
    <row r="329">
      <c r="C329" s="79"/>
      <c r="D329" s="79"/>
      <c r="E329" s="79"/>
      <c r="P329" s="79"/>
      <c r="Q329" s="79"/>
      <c r="R329" s="79"/>
      <c r="Y329" s="79"/>
      <c r="AC329" s="130"/>
      <c r="AE329" s="106"/>
    </row>
    <row r="330">
      <c r="C330" s="79"/>
      <c r="D330" s="79"/>
      <c r="E330" s="79"/>
      <c r="P330" s="79"/>
      <c r="Q330" s="79"/>
      <c r="R330" s="79"/>
      <c r="Y330" s="79"/>
      <c r="AC330" s="130"/>
      <c r="AE330" s="106"/>
    </row>
    <row r="331">
      <c r="C331" s="79"/>
      <c r="D331" s="79"/>
      <c r="E331" s="79"/>
      <c r="P331" s="79"/>
      <c r="Q331" s="79"/>
      <c r="R331" s="79"/>
      <c r="Y331" s="79"/>
      <c r="AC331" s="130"/>
      <c r="AE331" s="106"/>
    </row>
    <row r="332">
      <c r="C332" s="79"/>
      <c r="D332" s="79"/>
      <c r="E332" s="79"/>
      <c r="P332" s="79"/>
      <c r="Q332" s="79"/>
      <c r="R332" s="79"/>
      <c r="Y332" s="79"/>
      <c r="AC332" s="130"/>
      <c r="AE332" s="106"/>
    </row>
    <row r="333">
      <c r="C333" s="79"/>
      <c r="D333" s="79"/>
      <c r="E333" s="79"/>
      <c r="P333" s="79"/>
      <c r="Q333" s="79"/>
      <c r="R333" s="79"/>
      <c r="Y333" s="79"/>
      <c r="AC333" s="130"/>
      <c r="AE333" s="106"/>
    </row>
    <row r="334">
      <c r="C334" s="79"/>
      <c r="D334" s="79"/>
      <c r="E334" s="79"/>
      <c r="P334" s="79"/>
      <c r="Q334" s="79"/>
      <c r="R334" s="79"/>
      <c r="Y334" s="79"/>
      <c r="AC334" s="130"/>
      <c r="AE334" s="106"/>
    </row>
    <row r="335">
      <c r="C335" s="79"/>
      <c r="D335" s="79"/>
      <c r="E335" s="79"/>
      <c r="P335" s="79"/>
      <c r="Q335" s="79"/>
      <c r="R335" s="79"/>
      <c r="Y335" s="79"/>
      <c r="AC335" s="130"/>
      <c r="AE335" s="106"/>
    </row>
    <row r="336">
      <c r="C336" s="79"/>
      <c r="D336" s="79"/>
      <c r="E336" s="79"/>
      <c r="P336" s="79"/>
      <c r="Q336" s="79"/>
      <c r="R336" s="79"/>
      <c r="Y336" s="79"/>
      <c r="AC336" s="130"/>
      <c r="AE336" s="106"/>
    </row>
    <row r="337">
      <c r="C337" s="79"/>
      <c r="D337" s="79"/>
      <c r="E337" s="79"/>
      <c r="P337" s="79"/>
      <c r="Q337" s="79"/>
      <c r="R337" s="79"/>
      <c r="Y337" s="79"/>
      <c r="AC337" s="130"/>
      <c r="AE337" s="106"/>
    </row>
    <row r="338">
      <c r="C338" s="79"/>
      <c r="D338" s="79"/>
      <c r="E338" s="79"/>
      <c r="P338" s="79"/>
      <c r="Q338" s="79"/>
      <c r="R338" s="79"/>
      <c r="Y338" s="79"/>
      <c r="AC338" s="130"/>
      <c r="AE338" s="106"/>
    </row>
    <row r="339">
      <c r="C339" s="79"/>
      <c r="D339" s="79"/>
      <c r="E339" s="79"/>
      <c r="P339" s="79"/>
      <c r="Q339" s="79"/>
      <c r="R339" s="79"/>
      <c r="Y339" s="79"/>
      <c r="AC339" s="130"/>
      <c r="AE339" s="106"/>
    </row>
    <row r="340">
      <c r="C340" s="79"/>
      <c r="D340" s="79"/>
      <c r="E340" s="79"/>
      <c r="P340" s="79"/>
      <c r="Q340" s="79"/>
      <c r="R340" s="79"/>
      <c r="Y340" s="79"/>
      <c r="AC340" s="130"/>
      <c r="AE340" s="106"/>
    </row>
    <row r="341">
      <c r="C341" s="79"/>
      <c r="D341" s="79"/>
      <c r="E341" s="79"/>
      <c r="P341" s="79"/>
      <c r="Q341" s="79"/>
      <c r="R341" s="79"/>
      <c r="Y341" s="79"/>
      <c r="AC341" s="130"/>
      <c r="AE341" s="106"/>
    </row>
    <row r="342">
      <c r="C342" s="79"/>
      <c r="D342" s="79"/>
      <c r="E342" s="79"/>
      <c r="P342" s="79"/>
      <c r="Q342" s="79"/>
      <c r="R342" s="79"/>
      <c r="Y342" s="79"/>
      <c r="AC342" s="130"/>
      <c r="AE342" s="106"/>
    </row>
    <row r="343">
      <c r="C343" s="79"/>
      <c r="D343" s="79"/>
      <c r="E343" s="79"/>
      <c r="P343" s="79"/>
      <c r="Q343" s="79"/>
      <c r="R343" s="79"/>
      <c r="Y343" s="79"/>
      <c r="AC343" s="130"/>
      <c r="AE343" s="106"/>
    </row>
    <row r="344">
      <c r="C344" s="79"/>
      <c r="D344" s="79"/>
      <c r="E344" s="79"/>
      <c r="P344" s="79"/>
      <c r="Q344" s="79"/>
      <c r="R344" s="79"/>
      <c r="Y344" s="79"/>
      <c r="AC344" s="130"/>
      <c r="AE344" s="106"/>
    </row>
    <row r="345">
      <c r="C345" s="79"/>
      <c r="D345" s="79"/>
      <c r="E345" s="79"/>
      <c r="P345" s="79"/>
      <c r="Q345" s="79"/>
      <c r="R345" s="79"/>
      <c r="Y345" s="79"/>
      <c r="AC345" s="130"/>
      <c r="AE345" s="106"/>
    </row>
    <row r="346">
      <c r="C346" s="79"/>
      <c r="D346" s="79"/>
      <c r="E346" s="79"/>
      <c r="P346" s="79"/>
      <c r="Q346" s="79"/>
      <c r="R346" s="79"/>
      <c r="Y346" s="79"/>
      <c r="AC346" s="130"/>
      <c r="AE346" s="106"/>
    </row>
    <row r="347">
      <c r="C347" s="79"/>
      <c r="D347" s="79"/>
      <c r="E347" s="79"/>
      <c r="P347" s="79"/>
      <c r="Q347" s="79"/>
      <c r="R347" s="79"/>
      <c r="Y347" s="79"/>
      <c r="AC347" s="130"/>
      <c r="AE347" s="106"/>
    </row>
    <row r="348">
      <c r="C348" s="79"/>
      <c r="D348" s="79"/>
      <c r="E348" s="79"/>
      <c r="P348" s="79"/>
      <c r="Q348" s="79"/>
      <c r="R348" s="79"/>
      <c r="Y348" s="79"/>
      <c r="AC348" s="130"/>
      <c r="AE348" s="106"/>
    </row>
    <row r="349">
      <c r="C349" s="79"/>
      <c r="D349" s="79"/>
      <c r="E349" s="79"/>
      <c r="P349" s="79"/>
      <c r="Q349" s="79"/>
      <c r="R349" s="79"/>
      <c r="Y349" s="79"/>
      <c r="AC349" s="130"/>
      <c r="AE349" s="106"/>
    </row>
    <row r="350">
      <c r="C350" s="79"/>
      <c r="D350" s="79"/>
      <c r="E350" s="79"/>
      <c r="P350" s="79"/>
      <c r="Q350" s="79"/>
      <c r="R350" s="79"/>
      <c r="Y350" s="79"/>
      <c r="AC350" s="130"/>
      <c r="AE350" s="106"/>
    </row>
    <row r="351">
      <c r="C351" s="79"/>
      <c r="D351" s="79"/>
      <c r="E351" s="79"/>
      <c r="P351" s="79"/>
      <c r="Q351" s="79"/>
      <c r="R351" s="79"/>
      <c r="Y351" s="79"/>
      <c r="AC351" s="130"/>
      <c r="AE351" s="106"/>
    </row>
    <row r="352">
      <c r="C352" s="79"/>
      <c r="D352" s="79"/>
      <c r="E352" s="79"/>
      <c r="P352" s="79"/>
      <c r="Q352" s="79"/>
      <c r="R352" s="79"/>
      <c r="Y352" s="79"/>
      <c r="AC352" s="130"/>
      <c r="AE352" s="106"/>
    </row>
    <row r="353">
      <c r="C353" s="79"/>
      <c r="D353" s="79"/>
      <c r="E353" s="79"/>
      <c r="P353" s="79"/>
      <c r="Q353" s="79"/>
      <c r="R353" s="79"/>
      <c r="Y353" s="79"/>
      <c r="AC353" s="130"/>
      <c r="AE353" s="106"/>
    </row>
    <row r="354">
      <c r="C354" s="79"/>
      <c r="D354" s="79"/>
      <c r="E354" s="79"/>
      <c r="P354" s="79"/>
      <c r="Q354" s="79"/>
      <c r="R354" s="79"/>
      <c r="Y354" s="79"/>
      <c r="AC354" s="130"/>
      <c r="AE354" s="106"/>
    </row>
    <row r="355">
      <c r="C355" s="79"/>
      <c r="D355" s="79"/>
      <c r="E355" s="79"/>
      <c r="P355" s="79"/>
      <c r="Q355" s="79"/>
      <c r="R355" s="79"/>
      <c r="Y355" s="79"/>
      <c r="AC355" s="130"/>
      <c r="AE355" s="106"/>
    </row>
    <row r="356">
      <c r="C356" s="79"/>
      <c r="D356" s="79"/>
      <c r="E356" s="79"/>
      <c r="P356" s="79"/>
      <c r="Q356" s="79"/>
      <c r="R356" s="79"/>
      <c r="Y356" s="79"/>
      <c r="AC356" s="130"/>
      <c r="AE356" s="106"/>
    </row>
    <row r="357">
      <c r="C357" s="79"/>
      <c r="D357" s="79"/>
      <c r="E357" s="79"/>
      <c r="P357" s="79"/>
      <c r="Q357" s="79"/>
      <c r="R357" s="79"/>
      <c r="Y357" s="79"/>
      <c r="AC357" s="130"/>
      <c r="AE357" s="106"/>
    </row>
    <row r="358">
      <c r="C358" s="79"/>
      <c r="D358" s="79"/>
      <c r="E358" s="79"/>
      <c r="P358" s="79"/>
      <c r="Q358" s="79"/>
      <c r="R358" s="79"/>
      <c r="Y358" s="79"/>
      <c r="AC358" s="130"/>
      <c r="AE358" s="106"/>
    </row>
    <row r="359">
      <c r="C359" s="79"/>
      <c r="D359" s="79"/>
      <c r="E359" s="79"/>
      <c r="P359" s="79"/>
      <c r="Q359" s="79"/>
      <c r="R359" s="79"/>
      <c r="Y359" s="79"/>
      <c r="AC359" s="130"/>
      <c r="AE359" s="106"/>
    </row>
    <row r="360">
      <c r="C360" s="79"/>
      <c r="D360" s="79"/>
      <c r="E360" s="79"/>
      <c r="P360" s="79"/>
      <c r="Q360" s="79"/>
      <c r="R360" s="79"/>
      <c r="Y360" s="79"/>
      <c r="AC360" s="130"/>
      <c r="AE360" s="106"/>
    </row>
    <row r="361">
      <c r="C361" s="79"/>
      <c r="D361" s="79"/>
      <c r="E361" s="79"/>
      <c r="P361" s="79"/>
      <c r="Q361" s="79"/>
      <c r="R361" s="79"/>
      <c r="Y361" s="79"/>
      <c r="AC361" s="130"/>
      <c r="AE361" s="106"/>
    </row>
    <row r="362">
      <c r="C362" s="79"/>
      <c r="D362" s="79"/>
      <c r="E362" s="79"/>
      <c r="P362" s="79"/>
      <c r="Q362" s="79"/>
      <c r="R362" s="79"/>
      <c r="Y362" s="79"/>
      <c r="AC362" s="130"/>
      <c r="AE362" s="106"/>
    </row>
    <row r="363">
      <c r="C363" s="79"/>
      <c r="D363" s="79"/>
      <c r="E363" s="79"/>
      <c r="P363" s="79"/>
      <c r="Q363" s="79"/>
      <c r="R363" s="79"/>
      <c r="Y363" s="79"/>
      <c r="AC363" s="130"/>
      <c r="AE363" s="106"/>
    </row>
    <row r="364">
      <c r="C364" s="79"/>
      <c r="D364" s="79"/>
      <c r="E364" s="79"/>
      <c r="P364" s="79"/>
      <c r="Q364" s="79"/>
      <c r="R364" s="79"/>
      <c r="Y364" s="79"/>
      <c r="AC364" s="130"/>
      <c r="AE364" s="106"/>
    </row>
    <row r="365">
      <c r="C365" s="79"/>
      <c r="D365" s="79"/>
      <c r="E365" s="79"/>
      <c r="P365" s="79"/>
      <c r="Q365" s="79"/>
      <c r="R365" s="79"/>
      <c r="Y365" s="79"/>
      <c r="AC365" s="130"/>
      <c r="AE365" s="106"/>
    </row>
    <row r="366">
      <c r="C366" s="79"/>
      <c r="D366" s="79"/>
      <c r="E366" s="79"/>
      <c r="P366" s="79"/>
      <c r="Q366" s="79"/>
      <c r="R366" s="79"/>
      <c r="Y366" s="79"/>
      <c r="AC366" s="130"/>
      <c r="AE366" s="106"/>
    </row>
    <row r="367">
      <c r="C367" s="79"/>
      <c r="D367" s="79"/>
      <c r="E367" s="79"/>
      <c r="P367" s="79"/>
      <c r="Q367" s="79"/>
      <c r="R367" s="79"/>
      <c r="Y367" s="79"/>
      <c r="AC367" s="130"/>
      <c r="AE367" s="106"/>
    </row>
    <row r="368">
      <c r="C368" s="79"/>
      <c r="D368" s="79"/>
      <c r="E368" s="79"/>
      <c r="P368" s="79"/>
      <c r="Q368" s="79"/>
      <c r="R368" s="79"/>
      <c r="Y368" s="79"/>
      <c r="AC368" s="130"/>
      <c r="AE368" s="106"/>
    </row>
    <row r="369">
      <c r="C369" s="79"/>
      <c r="D369" s="79"/>
      <c r="E369" s="79"/>
      <c r="P369" s="79"/>
      <c r="Q369" s="79"/>
      <c r="R369" s="79"/>
      <c r="Y369" s="79"/>
      <c r="AC369" s="130"/>
      <c r="AE369" s="106"/>
    </row>
    <row r="370">
      <c r="C370" s="79"/>
      <c r="D370" s="79"/>
      <c r="E370" s="79"/>
      <c r="P370" s="79"/>
      <c r="Q370" s="79"/>
      <c r="R370" s="79"/>
      <c r="Y370" s="79"/>
      <c r="AC370" s="130"/>
      <c r="AE370" s="106"/>
    </row>
    <row r="371">
      <c r="C371" s="79"/>
      <c r="D371" s="79"/>
      <c r="E371" s="79"/>
      <c r="P371" s="79"/>
      <c r="Q371" s="79"/>
      <c r="R371" s="79"/>
      <c r="Y371" s="79"/>
      <c r="AC371" s="130"/>
      <c r="AE371" s="106"/>
    </row>
    <row r="372">
      <c r="C372" s="79"/>
      <c r="D372" s="79"/>
      <c r="E372" s="79"/>
      <c r="P372" s="79"/>
      <c r="Q372" s="79"/>
      <c r="R372" s="79"/>
      <c r="Y372" s="79"/>
      <c r="AC372" s="130"/>
      <c r="AE372" s="106"/>
    </row>
    <row r="373">
      <c r="C373" s="79"/>
      <c r="D373" s="79"/>
      <c r="E373" s="79"/>
      <c r="P373" s="79"/>
      <c r="Q373" s="79"/>
      <c r="R373" s="79"/>
      <c r="Y373" s="79"/>
      <c r="AC373" s="130"/>
      <c r="AE373" s="106"/>
    </row>
    <row r="374">
      <c r="C374" s="79"/>
      <c r="D374" s="79"/>
      <c r="E374" s="79"/>
      <c r="P374" s="79"/>
      <c r="Q374" s="79"/>
      <c r="R374" s="79"/>
      <c r="Y374" s="79"/>
      <c r="AC374" s="130"/>
      <c r="AE374" s="106"/>
    </row>
    <row r="375">
      <c r="C375" s="79"/>
      <c r="D375" s="79"/>
      <c r="E375" s="79"/>
      <c r="P375" s="79"/>
      <c r="Q375" s="79"/>
      <c r="R375" s="79"/>
      <c r="Y375" s="79"/>
      <c r="AC375" s="130"/>
      <c r="AE375" s="106"/>
    </row>
    <row r="376">
      <c r="C376" s="79"/>
      <c r="D376" s="79"/>
      <c r="E376" s="79"/>
      <c r="P376" s="79"/>
      <c r="Q376" s="79"/>
      <c r="R376" s="79"/>
      <c r="Y376" s="79"/>
      <c r="AC376" s="130"/>
      <c r="AE376" s="106"/>
    </row>
    <row r="377">
      <c r="C377" s="79"/>
      <c r="D377" s="79"/>
      <c r="E377" s="79"/>
      <c r="P377" s="79"/>
      <c r="Q377" s="79"/>
      <c r="R377" s="79"/>
      <c r="Y377" s="79"/>
      <c r="AC377" s="130"/>
      <c r="AE377" s="106"/>
    </row>
    <row r="378">
      <c r="C378" s="79"/>
      <c r="D378" s="79"/>
      <c r="E378" s="79"/>
      <c r="P378" s="79"/>
      <c r="Q378" s="79"/>
      <c r="R378" s="79"/>
      <c r="Y378" s="79"/>
      <c r="AC378" s="130"/>
      <c r="AE378" s="106"/>
    </row>
    <row r="379">
      <c r="C379" s="79"/>
      <c r="D379" s="79"/>
      <c r="E379" s="79"/>
      <c r="P379" s="79"/>
      <c r="Q379" s="79"/>
      <c r="R379" s="79"/>
      <c r="Y379" s="79"/>
      <c r="AC379" s="130"/>
      <c r="AE379" s="106"/>
    </row>
    <row r="380">
      <c r="C380" s="79"/>
      <c r="D380" s="79"/>
      <c r="E380" s="79"/>
      <c r="P380" s="79"/>
      <c r="Q380" s="79"/>
      <c r="R380" s="79"/>
      <c r="Y380" s="79"/>
      <c r="AC380" s="130"/>
      <c r="AE380" s="106"/>
    </row>
    <row r="381">
      <c r="C381" s="79"/>
      <c r="D381" s="79"/>
      <c r="E381" s="79"/>
      <c r="P381" s="79"/>
      <c r="Q381" s="79"/>
      <c r="R381" s="79"/>
      <c r="Y381" s="79"/>
      <c r="AC381" s="130"/>
      <c r="AE381" s="106"/>
    </row>
    <row r="382">
      <c r="C382" s="79"/>
      <c r="D382" s="79"/>
      <c r="E382" s="79"/>
      <c r="P382" s="79"/>
      <c r="Q382" s="79"/>
      <c r="R382" s="79"/>
      <c r="Y382" s="79"/>
      <c r="AC382" s="130"/>
      <c r="AE382" s="106"/>
    </row>
    <row r="383">
      <c r="C383" s="79"/>
      <c r="D383" s="79"/>
      <c r="E383" s="79"/>
      <c r="P383" s="79"/>
      <c r="Q383" s="79"/>
      <c r="R383" s="79"/>
      <c r="Y383" s="79"/>
      <c r="AC383" s="130"/>
      <c r="AE383" s="106"/>
    </row>
    <row r="384">
      <c r="C384" s="79"/>
      <c r="D384" s="79"/>
      <c r="E384" s="79"/>
      <c r="P384" s="79"/>
      <c r="Q384" s="79"/>
      <c r="R384" s="79"/>
      <c r="Y384" s="79"/>
      <c r="AC384" s="130"/>
      <c r="AE384" s="106"/>
    </row>
    <row r="385">
      <c r="C385" s="79"/>
      <c r="D385" s="79"/>
      <c r="E385" s="79"/>
      <c r="P385" s="79"/>
      <c r="Q385" s="79"/>
      <c r="R385" s="79"/>
      <c r="Y385" s="79"/>
      <c r="AC385" s="130"/>
      <c r="AE385" s="106"/>
    </row>
    <row r="386">
      <c r="C386" s="79"/>
      <c r="D386" s="79"/>
      <c r="E386" s="79"/>
      <c r="P386" s="79"/>
      <c r="Q386" s="79"/>
      <c r="R386" s="79"/>
      <c r="Y386" s="79"/>
      <c r="AC386" s="130"/>
      <c r="AE386" s="106"/>
    </row>
    <row r="387">
      <c r="C387" s="79"/>
      <c r="D387" s="79"/>
      <c r="E387" s="79"/>
      <c r="P387" s="79"/>
      <c r="Q387" s="79"/>
      <c r="R387" s="79"/>
      <c r="Y387" s="79"/>
      <c r="AC387" s="130"/>
      <c r="AE387" s="106"/>
    </row>
    <row r="388">
      <c r="C388" s="79"/>
      <c r="D388" s="79"/>
      <c r="E388" s="79"/>
      <c r="P388" s="79"/>
      <c r="Q388" s="79"/>
      <c r="R388" s="79"/>
      <c r="Y388" s="79"/>
      <c r="AC388" s="130"/>
      <c r="AE388" s="106"/>
    </row>
    <row r="389">
      <c r="C389" s="79"/>
      <c r="D389" s="79"/>
      <c r="E389" s="79"/>
      <c r="P389" s="79"/>
      <c r="Q389" s="79"/>
      <c r="R389" s="79"/>
      <c r="Y389" s="79"/>
      <c r="AC389" s="130"/>
      <c r="AE389" s="106"/>
    </row>
    <row r="390">
      <c r="C390" s="79"/>
      <c r="D390" s="79"/>
      <c r="E390" s="79"/>
      <c r="P390" s="79"/>
      <c r="Q390" s="79"/>
      <c r="R390" s="79"/>
      <c r="Y390" s="79"/>
      <c r="AC390" s="130"/>
      <c r="AE390" s="106"/>
    </row>
    <row r="391">
      <c r="C391" s="79"/>
      <c r="D391" s="79"/>
      <c r="E391" s="79"/>
      <c r="P391" s="79"/>
      <c r="Q391" s="79"/>
      <c r="R391" s="79"/>
      <c r="Y391" s="79"/>
      <c r="AC391" s="130"/>
      <c r="AE391" s="106"/>
    </row>
    <row r="392">
      <c r="C392" s="79"/>
      <c r="D392" s="79"/>
      <c r="E392" s="79"/>
      <c r="P392" s="79"/>
      <c r="Q392" s="79"/>
      <c r="R392" s="79"/>
      <c r="Y392" s="79"/>
      <c r="AC392" s="130"/>
      <c r="AE392" s="106"/>
    </row>
    <row r="393">
      <c r="C393" s="79"/>
      <c r="D393" s="79"/>
      <c r="E393" s="79"/>
      <c r="P393" s="79"/>
      <c r="Q393" s="79"/>
      <c r="R393" s="79"/>
      <c r="Y393" s="79"/>
      <c r="AC393" s="130"/>
      <c r="AE393" s="106"/>
    </row>
    <row r="394">
      <c r="C394" s="79"/>
      <c r="D394" s="79"/>
      <c r="E394" s="79"/>
      <c r="P394" s="79"/>
      <c r="Q394" s="79"/>
      <c r="R394" s="79"/>
      <c r="Y394" s="79"/>
      <c r="AC394" s="130"/>
      <c r="AE394" s="106"/>
    </row>
    <row r="395">
      <c r="C395" s="79"/>
      <c r="D395" s="79"/>
      <c r="E395" s="79"/>
      <c r="P395" s="79"/>
      <c r="Q395" s="79"/>
      <c r="R395" s="79"/>
      <c r="Y395" s="79"/>
      <c r="AC395" s="130"/>
      <c r="AE395" s="106"/>
    </row>
    <row r="396">
      <c r="C396" s="79"/>
      <c r="D396" s="79"/>
      <c r="E396" s="79"/>
      <c r="P396" s="79"/>
      <c r="Q396" s="79"/>
      <c r="R396" s="79"/>
      <c r="Y396" s="79"/>
      <c r="AC396" s="130"/>
      <c r="AE396" s="106"/>
    </row>
    <row r="397">
      <c r="C397" s="79"/>
      <c r="D397" s="79"/>
      <c r="E397" s="79"/>
      <c r="P397" s="79"/>
      <c r="Q397" s="79"/>
      <c r="R397" s="79"/>
      <c r="Y397" s="79"/>
      <c r="AC397" s="130"/>
      <c r="AE397" s="106"/>
    </row>
    <row r="398">
      <c r="C398" s="79"/>
      <c r="D398" s="79"/>
      <c r="E398" s="79"/>
      <c r="P398" s="79"/>
      <c r="Q398" s="79"/>
      <c r="R398" s="79"/>
      <c r="Y398" s="79"/>
      <c r="AC398" s="130"/>
      <c r="AE398" s="106"/>
    </row>
    <row r="399">
      <c r="C399" s="79"/>
      <c r="D399" s="79"/>
      <c r="E399" s="79"/>
      <c r="P399" s="79"/>
      <c r="Q399" s="79"/>
      <c r="R399" s="79"/>
      <c r="Y399" s="79"/>
      <c r="AC399" s="130"/>
      <c r="AE399" s="106"/>
    </row>
    <row r="400">
      <c r="C400" s="79"/>
      <c r="D400" s="79"/>
      <c r="E400" s="79"/>
      <c r="P400" s="79"/>
      <c r="Q400" s="79"/>
      <c r="R400" s="79"/>
      <c r="Y400" s="79"/>
      <c r="AC400" s="130"/>
      <c r="AE400" s="106"/>
    </row>
    <row r="401">
      <c r="C401" s="79"/>
      <c r="D401" s="79"/>
      <c r="E401" s="79"/>
      <c r="P401" s="79"/>
      <c r="Q401" s="79"/>
      <c r="R401" s="79"/>
      <c r="Y401" s="79"/>
      <c r="AC401" s="130"/>
      <c r="AE401" s="106"/>
    </row>
    <row r="402">
      <c r="C402" s="79"/>
      <c r="D402" s="79"/>
      <c r="E402" s="79"/>
      <c r="P402" s="79"/>
      <c r="Q402" s="79"/>
      <c r="R402" s="79"/>
      <c r="Y402" s="79"/>
      <c r="AC402" s="130"/>
      <c r="AE402" s="106"/>
    </row>
    <row r="403">
      <c r="C403" s="79"/>
      <c r="D403" s="79"/>
      <c r="E403" s="79"/>
      <c r="P403" s="79"/>
      <c r="Q403" s="79"/>
      <c r="R403" s="79"/>
      <c r="Y403" s="79"/>
      <c r="AC403" s="130"/>
      <c r="AE403" s="106"/>
    </row>
    <row r="404">
      <c r="C404" s="79"/>
      <c r="D404" s="79"/>
      <c r="E404" s="79"/>
      <c r="P404" s="79"/>
      <c r="Q404" s="79"/>
      <c r="R404" s="79"/>
      <c r="Y404" s="79"/>
      <c r="AC404" s="130"/>
      <c r="AE404" s="106"/>
    </row>
    <row r="405">
      <c r="C405" s="79"/>
      <c r="D405" s="79"/>
      <c r="E405" s="79"/>
      <c r="P405" s="79"/>
      <c r="Q405" s="79"/>
      <c r="R405" s="79"/>
      <c r="Y405" s="79"/>
      <c r="AC405" s="130"/>
      <c r="AE405" s="106"/>
    </row>
    <row r="406">
      <c r="C406" s="79"/>
      <c r="D406" s="79"/>
      <c r="E406" s="79"/>
      <c r="P406" s="79"/>
      <c r="Q406" s="79"/>
      <c r="R406" s="79"/>
      <c r="Y406" s="79"/>
      <c r="AC406" s="130"/>
      <c r="AE406" s="106"/>
    </row>
    <row r="407">
      <c r="C407" s="79"/>
      <c r="D407" s="79"/>
      <c r="E407" s="79"/>
      <c r="P407" s="79"/>
      <c r="Q407" s="79"/>
      <c r="R407" s="79"/>
      <c r="Y407" s="79"/>
      <c r="AC407" s="130"/>
      <c r="AE407" s="106"/>
    </row>
    <row r="408">
      <c r="C408" s="79"/>
      <c r="D408" s="79"/>
      <c r="E408" s="79"/>
      <c r="P408" s="79"/>
      <c r="Q408" s="79"/>
      <c r="R408" s="79"/>
      <c r="Y408" s="79"/>
      <c r="AC408" s="130"/>
      <c r="AE408" s="106"/>
    </row>
    <row r="409">
      <c r="C409" s="79"/>
      <c r="D409" s="79"/>
      <c r="E409" s="79"/>
      <c r="P409" s="79"/>
      <c r="Q409" s="79"/>
      <c r="R409" s="79"/>
      <c r="Y409" s="79"/>
      <c r="AC409" s="130"/>
      <c r="AE409" s="106"/>
    </row>
    <row r="410">
      <c r="C410" s="79"/>
      <c r="D410" s="79"/>
      <c r="E410" s="79"/>
      <c r="P410" s="79"/>
      <c r="Q410" s="79"/>
      <c r="R410" s="79"/>
      <c r="Y410" s="79"/>
      <c r="AC410" s="130"/>
      <c r="AE410" s="106"/>
    </row>
    <row r="411">
      <c r="C411" s="79"/>
      <c r="D411" s="79"/>
      <c r="E411" s="79"/>
      <c r="P411" s="79"/>
      <c r="Q411" s="79"/>
      <c r="R411" s="79"/>
      <c r="Y411" s="79"/>
      <c r="AC411" s="130"/>
      <c r="AE411" s="106"/>
    </row>
    <row r="412">
      <c r="C412" s="79"/>
      <c r="D412" s="79"/>
      <c r="E412" s="79"/>
      <c r="P412" s="79"/>
      <c r="Q412" s="79"/>
      <c r="R412" s="79"/>
      <c r="Y412" s="79"/>
      <c r="AC412" s="130"/>
      <c r="AE412" s="106"/>
    </row>
    <row r="413">
      <c r="C413" s="79"/>
      <c r="D413" s="79"/>
      <c r="E413" s="79"/>
      <c r="P413" s="79"/>
      <c r="Q413" s="79"/>
      <c r="R413" s="79"/>
      <c r="Y413" s="79"/>
      <c r="AC413" s="130"/>
      <c r="AE413" s="106"/>
    </row>
    <row r="414">
      <c r="C414" s="79"/>
      <c r="D414" s="79"/>
      <c r="E414" s="79"/>
      <c r="P414" s="79"/>
      <c r="Q414" s="79"/>
      <c r="R414" s="79"/>
      <c r="Y414" s="79"/>
      <c r="AC414" s="130"/>
      <c r="AE414" s="106"/>
    </row>
    <row r="415">
      <c r="C415" s="79"/>
      <c r="D415" s="79"/>
      <c r="E415" s="79"/>
      <c r="P415" s="79"/>
      <c r="Q415" s="79"/>
      <c r="R415" s="79"/>
      <c r="Y415" s="79"/>
      <c r="AC415" s="130"/>
      <c r="AE415" s="106"/>
    </row>
    <row r="416">
      <c r="C416" s="79"/>
      <c r="D416" s="79"/>
      <c r="E416" s="79"/>
      <c r="P416" s="79"/>
      <c r="Q416" s="79"/>
      <c r="R416" s="79"/>
      <c r="Y416" s="79"/>
      <c r="AC416" s="130"/>
      <c r="AE416" s="106"/>
    </row>
    <row r="417">
      <c r="C417" s="79"/>
      <c r="D417" s="79"/>
      <c r="E417" s="79"/>
      <c r="P417" s="79"/>
      <c r="Q417" s="79"/>
      <c r="R417" s="79"/>
      <c r="Y417" s="79"/>
      <c r="AC417" s="130"/>
      <c r="AE417" s="106"/>
    </row>
    <row r="418">
      <c r="C418" s="79"/>
      <c r="D418" s="79"/>
      <c r="E418" s="79"/>
      <c r="P418" s="79"/>
      <c r="Q418" s="79"/>
      <c r="R418" s="79"/>
      <c r="Y418" s="79"/>
      <c r="AC418" s="130"/>
      <c r="AE418" s="106"/>
    </row>
    <row r="419">
      <c r="C419" s="79"/>
      <c r="D419" s="79"/>
      <c r="E419" s="79"/>
      <c r="P419" s="79"/>
      <c r="Q419" s="79"/>
      <c r="R419" s="79"/>
      <c r="Y419" s="79"/>
      <c r="AC419" s="130"/>
      <c r="AE419" s="106"/>
    </row>
    <row r="420">
      <c r="C420" s="79"/>
      <c r="D420" s="79"/>
      <c r="E420" s="79"/>
      <c r="P420" s="79"/>
      <c r="Q420" s="79"/>
      <c r="R420" s="79"/>
      <c r="Y420" s="79"/>
      <c r="AC420" s="130"/>
      <c r="AE420" s="106"/>
    </row>
    <row r="421">
      <c r="C421" s="79"/>
      <c r="D421" s="79"/>
      <c r="E421" s="79"/>
      <c r="P421" s="79"/>
      <c r="Q421" s="79"/>
      <c r="R421" s="79"/>
      <c r="Y421" s="79"/>
      <c r="AC421" s="130"/>
      <c r="AE421" s="106"/>
    </row>
    <row r="422">
      <c r="C422" s="79"/>
      <c r="D422" s="79"/>
      <c r="E422" s="79"/>
      <c r="P422" s="79"/>
      <c r="Q422" s="79"/>
      <c r="R422" s="79"/>
      <c r="Y422" s="79"/>
      <c r="AC422" s="130"/>
      <c r="AE422" s="106"/>
    </row>
    <row r="423">
      <c r="C423" s="79"/>
      <c r="D423" s="79"/>
      <c r="E423" s="79"/>
      <c r="P423" s="79"/>
      <c r="Q423" s="79"/>
      <c r="R423" s="79"/>
      <c r="Y423" s="79"/>
      <c r="AC423" s="130"/>
      <c r="AE423" s="106"/>
    </row>
    <row r="424">
      <c r="C424" s="79"/>
      <c r="D424" s="79"/>
      <c r="E424" s="79"/>
      <c r="P424" s="79"/>
      <c r="Q424" s="79"/>
      <c r="R424" s="79"/>
      <c r="Y424" s="79"/>
      <c r="AC424" s="130"/>
      <c r="AE424" s="106"/>
    </row>
    <row r="425">
      <c r="C425" s="79"/>
      <c r="D425" s="79"/>
      <c r="E425" s="79"/>
      <c r="P425" s="79"/>
      <c r="Q425" s="79"/>
      <c r="R425" s="79"/>
      <c r="Y425" s="79"/>
      <c r="AC425" s="130"/>
      <c r="AE425" s="106"/>
    </row>
    <row r="426">
      <c r="C426" s="79"/>
      <c r="D426" s="79"/>
      <c r="E426" s="79"/>
      <c r="P426" s="79"/>
      <c r="Q426" s="79"/>
      <c r="R426" s="79"/>
      <c r="Y426" s="79"/>
      <c r="AC426" s="130"/>
      <c r="AE426" s="106"/>
    </row>
    <row r="427">
      <c r="C427" s="79"/>
      <c r="D427" s="79"/>
      <c r="E427" s="79"/>
      <c r="P427" s="79"/>
      <c r="Q427" s="79"/>
      <c r="R427" s="79"/>
      <c r="Y427" s="79"/>
      <c r="AC427" s="130"/>
      <c r="AE427" s="106"/>
    </row>
    <row r="428">
      <c r="C428" s="79"/>
      <c r="D428" s="79"/>
      <c r="E428" s="79"/>
      <c r="P428" s="79"/>
      <c r="Q428" s="79"/>
      <c r="R428" s="79"/>
      <c r="Y428" s="79"/>
      <c r="AC428" s="130"/>
      <c r="AE428" s="106"/>
    </row>
    <row r="429">
      <c r="C429" s="79"/>
      <c r="D429" s="79"/>
      <c r="E429" s="79"/>
      <c r="P429" s="79"/>
      <c r="Q429" s="79"/>
      <c r="R429" s="79"/>
      <c r="Y429" s="79"/>
      <c r="AC429" s="130"/>
      <c r="AE429" s="106"/>
    </row>
    <row r="430">
      <c r="C430" s="79"/>
      <c r="D430" s="79"/>
      <c r="E430" s="79"/>
      <c r="P430" s="79"/>
      <c r="Q430" s="79"/>
      <c r="R430" s="79"/>
      <c r="Y430" s="79"/>
      <c r="AC430" s="130"/>
      <c r="AE430" s="106"/>
    </row>
    <row r="431">
      <c r="C431" s="79"/>
      <c r="D431" s="79"/>
      <c r="E431" s="79"/>
      <c r="P431" s="79"/>
      <c r="Q431" s="79"/>
      <c r="R431" s="79"/>
      <c r="Y431" s="79"/>
      <c r="AC431" s="130"/>
      <c r="AE431" s="106"/>
    </row>
    <row r="432">
      <c r="C432" s="79"/>
      <c r="D432" s="79"/>
      <c r="E432" s="79"/>
      <c r="P432" s="79"/>
      <c r="Q432" s="79"/>
      <c r="R432" s="79"/>
      <c r="Y432" s="79"/>
      <c r="AC432" s="130"/>
      <c r="AE432" s="106"/>
    </row>
    <row r="433">
      <c r="C433" s="79"/>
      <c r="D433" s="79"/>
      <c r="E433" s="79"/>
      <c r="P433" s="79"/>
      <c r="Q433" s="79"/>
      <c r="R433" s="79"/>
      <c r="Y433" s="79"/>
      <c r="AC433" s="130"/>
      <c r="AE433" s="106"/>
    </row>
    <row r="434">
      <c r="C434" s="79"/>
      <c r="D434" s="79"/>
      <c r="E434" s="79"/>
      <c r="P434" s="79"/>
      <c r="Q434" s="79"/>
      <c r="R434" s="79"/>
      <c r="Y434" s="79"/>
      <c r="AC434" s="130"/>
      <c r="AE434" s="106"/>
    </row>
    <row r="435">
      <c r="C435" s="79"/>
      <c r="D435" s="79"/>
      <c r="E435" s="79"/>
      <c r="P435" s="79"/>
      <c r="Q435" s="79"/>
      <c r="R435" s="79"/>
      <c r="Y435" s="79"/>
      <c r="AC435" s="130"/>
      <c r="AE435" s="106"/>
    </row>
    <row r="436">
      <c r="C436" s="79"/>
      <c r="D436" s="79"/>
      <c r="E436" s="79"/>
      <c r="P436" s="79"/>
      <c r="Q436" s="79"/>
      <c r="R436" s="79"/>
      <c r="Y436" s="79"/>
      <c r="AC436" s="130"/>
      <c r="AE436" s="106"/>
    </row>
    <row r="437">
      <c r="C437" s="79"/>
      <c r="D437" s="79"/>
      <c r="E437" s="79"/>
      <c r="P437" s="79"/>
      <c r="Q437" s="79"/>
      <c r="R437" s="79"/>
      <c r="Y437" s="79"/>
      <c r="AC437" s="130"/>
      <c r="AE437" s="106"/>
    </row>
    <row r="438">
      <c r="C438" s="79"/>
      <c r="D438" s="79"/>
      <c r="E438" s="79"/>
      <c r="P438" s="79"/>
      <c r="Q438" s="79"/>
      <c r="R438" s="79"/>
      <c r="Y438" s="79"/>
      <c r="AC438" s="130"/>
      <c r="AE438" s="106"/>
    </row>
    <row r="439">
      <c r="C439" s="79"/>
      <c r="D439" s="79"/>
      <c r="E439" s="79"/>
      <c r="P439" s="79"/>
      <c r="Q439" s="79"/>
      <c r="R439" s="79"/>
      <c r="Y439" s="79"/>
      <c r="AC439" s="130"/>
      <c r="AE439" s="106"/>
    </row>
    <row r="440">
      <c r="C440" s="79"/>
      <c r="D440" s="79"/>
      <c r="E440" s="79"/>
      <c r="P440" s="79"/>
      <c r="Q440" s="79"/>
      <c r="R440" s="79"/>
      <c r="Y440" s="79"/>
      <c r="AC440" s="130"/>
      <c r="AE440" s="106"/>
    </row>
    <row r="441">
      <c r="C441" s="79"/>
      <c r="D441" s="79"/>
      <c r="E441" s="79"/>
      <c r="P441" s="79"/>
      <c r="Q441" s="79"/>
      <c r="R441" s="79"/>
      <c r="Y441" s="79"/>
      <c r="AC441" s="130"/>
      <c r="AE441" s="106"/>
    </row>
    <row r="442">
      <c r="C442" s="79"/>
      <c r="D442" s="79"/>
      <c r="E442" s="79"/>
      <c r="P442" s="79"/>
      <c r="Q442" s="79"/>
      <c r="R442" s="79"/>
      <c r="Y442" s="79"/>
      <c r="AC442" s="130"/>
      <c r="AE442" s="106"/>
    </row>
    <row r="443">
      <c r="C443" s="79"/>
      <c r="D443" s="79"/>
      <c r="E443" s="79"/>
      <c r="P443" s="79"/>
      <c r="Q443" s="79"/>
      <c r="R443" s="79"/>
      <c r="Y443" s="79"/>
      <c r="AC443" s="130"/>
      <c r="AE443" s="106"/>
    </row>
    <row r="444">
      <c r="C444" s="79"/>
      <c r="D444" s="79"/>
      <c r="E444" s="79"/>
      <c r="P444" s="79"/>
      <c r="Q444" s="79"/>
      <c r="R444" s="79"/>
      <c r="Y444" s="79"/>
      <c r="AC444" s="130"/>
      <c r="AE444" s="106"/>
    </row>
    <row r="445">
      <c r="C445" s="79"/>
      <c r="D445" s="79"/>
      <c r="E445" s="79"/>
      <c r="P445" s="79"/>
      <c r="Q445" s="79"/>
      <c r="R445" s="79"/>
      <c r="Y445" s="79"/>
      <c r="AC445" s="130"/>
      <c r="AE445" s="106"/>
    </row>
    <row r="446">
      <c r="C446" s="79"/>
      <c r="D446" s="79"/>
      <c r="E446" s="79"/>
      <c r="P446" s="79"/>
      <c r="Q446" s="79"/>
      <c r="R446" s="79"/>
      <c r="Y446" s="79"/>
      <c r="AC446" s="130"/>
      <c r="AE446" s="106"/>
    </row>
    <row r="447">
      <c r="C447" s="79"/>
      <c r="D447" s="79"/>
      <c r="E447" s="79"/>
      <c r="P447" s="79"/>
      <c r="Q447" s="79"/>
      <c r="R447" s="79"/>
      <c r="Y447" s="79"/>
      <c r="AC447" s="130"/>
      <c r="AE447" s="106"/>
    </row>
    <row r="448">
      <c r="C448" s="79"/>
      <c r="D448" s="79"/>
      <c r="E448" s="79"/>
      <c r="P448" s="79"/>
      <c r="Q448" s="79"/>
      <c r="R448" s="79"/>
      <c r="Y448" s="79"/>
      <c r="AC448" s="130"/>
      <c r="AE448" s="106"/>
    </row>
    <row r="449">
      <c r="C449" s="79"/>
      <c r="D449" s="79"/>
      <c r="E449" s="79"/>
      <c r="P449" s="79"/>
      <c r="Q449" s="79"/>
      <c r="R449" s="79"/>
      <c r="Y449" s="79"/>
      <c r="AC449" s="130"/>
      <c r="AE449" s="106"/>
    </row>
    <row r="450">
      <c r="C450" s="79"/>
      <c r="D450" s="79"/>
      <c r="E450" s="79"/>
      <c r="P450" s="79"/>
      <c r="Q450" s="79"/>
      <c r="R450" s="79"/>
      <c r="Y450" s="79"/>
      <c r="AC450" s="130"/>
      <c r="AE450" s="106"/>
    </row>
    <row r="451">
      <c r="C451" s="79"/>
      <c r="D451" s="79"/>
      <c r="E451" s="79"/>
      <c r="P451" s="79"/>
      <c r="Q451" s="79"/>
      <c r="R451" s="79"/>
      <c r="Y451" s="79"/>
      <c r="AC451" s="130"/>
      <c r="AE451" s="106"/>
    </row>
    <row r="452">
      <c r="C452" s="79"/>
      <c r="D452" s="79"/>
      <c r="E452" s="79"/>
      <c r="P452" s="79"/>
      <c r="Q452" s="79"/>
      <c r="R452" s="79"/>
      <c r="Y452" s="79"/>
      <c r="AC452" s="130"/>
      <c r="AE452" s="106"/>
    </row>
    <row r="453">
      <c r="C453" s="79"/>
      <c r="D453" s="79"/>
      <c r="E453" s="79"/>
      <c r="P453" s="79"/>
      <c r="Q453" s="79"/>
      <c r="R453" s="79"/>
      <c r="Y453" s="79"/>
      <c r="AC453" s="130"/>
      <c r="AE453" s="106"/>
    </row>
    <row r="454">
      <c r="C454" s="79"/>
      <c r="D454" s="79"/>
      <c r="E454" s="79"/>
      <c r="P454" s="79"/>
      <c r="Q454" s="79"/>
      <c r="R454" s="79"/>
      <c r="Y454" s="79"/>
      <c r="AC454" s="130"/>
      <c r="AE454" s="106"/>
    </row>
    <row r="455">
      <c r="C455" s="79"/>
      <c r="D455" s="79"/>
      <c r="E455" s="79"/>
      <c r="P455" s="79"/>
      <c r="Q455" s="79"/>
      <c r="R455" s="79"/>
      <c r="Y455" s="79"/>
      <c r="AC455" s="130"/>
      <c r="AE455" s="106"/>
    </row>
    <row r="456">
      <c r="C456" s="79"/>
      <c r="D456" s="79"/>
      <c r="E456" s="79"/>
      <c r="P456" s="79"/>
      <c r="Q456" s="79"/>
      <c r="R456" s="79"/>
      <c r="Y456" s="79"/>
      <c r="AC456" s="130"/>
      <c r="AE456" s="106"/>
    </row>
    <row r="457">
      <c r="C457" s="79"/>
      <c r="D457" s="79"/>
      <c r="E457" s="79"/>
      <c r="P457" s="79"/>
      <c r="Q457" s="79"/>
      <c r="R457" s="79"/>
      <c r="Y457" s="79"/>
      <c r="AC457" s="130"/>
      <c r="AE457" s="106"/>
    </row>
    <row r="458">
      <c r="C458" s="79"/>
      <c r="D458" s="79"/>
      <c r="E458" s="79"/>
      <c r="P458" s="79"/>
      <c r="Q458" s="79"/>
      <c r="R458" s="79"/>
      <c r="Y458" s="79"/>
      <c r="AC458" s="130"/>
      <c r="AE458" s="106"/>
    </row>
    <row r="459">
      <c r="C459" s="79"/>
      <c r="D459" s="79"/>
      <c r="E459" s="79"/>
      <c r="P459" s="79"/>
      <c r="Q459" s="79"/>
      <c r="R459" s="79"/>
      <c r="Y459" s="79"/>
      <c r="AC459" s="130"/>
      <c r="AE459" s="106"/>
    </row>
    <row r="460">
      <c r="C460" s="79"/>
      <c r="D460" s="79"/>
      <c r="E460" s="79"/>
      <c r="P460" s="79"/>
      <c r="Q460" s="79"/>
      <c r="R460" s="79"/>
      <c r="Y460" s="79"/>
      <c r="AC460" s="130"/>
      <c r="AE460" s="106"/>
    </row>
    <row r="461">
      <c r="C461" s="79"/>
      <c r="D461" s="79"/>
      <c r="E461" s="79"/>
      <c r="P461" s="79"/>
      <c r="Q461" s="79"/>
      <c r="R461" s="79"/>
      <c r="Y461" s="79"/>
      <c r="AC461" s="130"/>
      <c r="AE461" s="106"/>
    </row>
    <row r="462">
      <c r="C462" s="79"/>
      <c r="D462" s="79"/>
      <c r="E462" s="79"/>
      <c r="P462" s="79"/>
      <c r="Q462" s="79"/>
      <c r="R462" s="79"/>
      <c r="Y462" s="79"/>
      <c r="AC462" s="130"/>
      <c r="AE462" s="106"/>
    </row>
    <row r="463">
      <c r="C463" s="79"/>
      <c r="D463" s="79"/>
      <c r="E463" s="79"/>
      <c r="P463" s="79"/>
      <c r="Q463" s="79"/>
      <c r="R463" s="79"/>
      <c r="Y463" s="79"/>
      <c r="AC463" s="130"/>
      <c r="AE463" s="106"/>
    </row>
    <row r="464">
      <c r="C464" s="79"/>
      <c r="D464" s="79"/>
      <c r="E464" s="79"/>
      <c r="P464" s="79"/>
      <c r="Q464" s="79"/>
      <c r="R464" s="79"/>
      <c r="Y464" s="79"/>
      <c r="AC464" s="130"/>
      <c r="AE464" s="106"/>
    </row>
    <row r="465">
      <c r="C465" s="79"/>
      <c r="D465" s="79"/>
      <c r="E465" s="79"/>
      <c r="P465" s="79"/>
      <c r="Q465" s="79"/>
      <c r="R465" s="79"/>
      <c r="Y465" s="79"/>
      <c r="AC465" s="130"/>
      <c r="AE465" s="106"/>
    </row>
    <row r="466">
      <c r="C466" s="79"/>
      <c r="D466" s="79"/>
      <c r="E466" s="79"/>
      <c r="P466" s="79"/>
      <c r="Q466" s="79"/>
      <c r="R466" s="79"/>
      <c r="Y466" s="79"/>
      <c r="AC466" s="130"/>
      <c r="AE466" s="106"/>
    </row>
    <row r="467">
      <c r="C467" s="79"/>
      <c r="D467" s="79"/>
      <c r="E467" s="79"/>
      <c r="P467" s="79"/>
      <c r="Q467" s="79"/>
      <c r="R467" s="79"/>
      <c r="Y467" s="79"/>
      <c r="AC467" s="130"/>
      <c r="AE467" s="106"/>
    </row>
    <row r="468">
      <c r="C468" s="79"/>
      <c r="D468" s="79"/>
      <c r="E468" s="79"/>
      <c r="P468" s="79"/>
      <c r="Q468" s="79"/>
      <c r="R468" s="79"/>
      <c r="Y468" s="79"/>
      <c r="AC468" s="130"/>
      <c r="AE468" s="106"/>
    </row>
    <row r="469">
      <c r="C469" s="79"/>
      <c r="D469" s="79"/>
      <c r="E469" s="79"/>
      <c r="P469" s="79"/>
      <c r="Q469" s="79"/>
      <c r="R469" s="79"/>
      <c r="Y469" s="79"/>
      <c r="AC469" s="130"/>
      <c r="AE469" s="106"/>
    </row>
    <row r="470">
      <c r="C470" s="79"/>
      <c r="D470" s="79"/>
      <c r="E470" s="79"/>
      <c r="P470" s="79"/>
      <c r="Q470" s="79"/>
      <c r="R470" s="79"/>
      <c r="Y470" s="79"/>
      <c r="AC470" s="130"/>
      <c r="AE470" s="106"/>
    </row>
    <row r="471">
      <c r="C471" s="79"/>
      <c r="D471" s="79"/>
      <c r="E471" s="79"/>
      <c r="P471" s="79"/>
      <c r="Q471" s="79"/>
      <c r="R471" s="79"/>
      <c r="Y471" s="79"/>
      <c r="AC471" s="130"/>
      <c r="AE471" s="106"/>
    </row>
    <row r="472">
      <c r="C472" s="79"/>
      <c r="D472" s="79"/>
      <c r="E472" s="79"/>
      <c r="P472" s="79"/>
      <c r="Q472" s="79"/>
      <c r="R472" s="79"/>
      <c r="Y472" s="79"/>
      <c r="AC472" s="130"/>
      <c r="AE472" s="106"/>
    </row>
    <row r="473">
      <c r="C473" s="79"/>
      <c r="D473" s="79"/>
      <c r="E473" s="79"/>
      <c r="P473" s="79"/>
      <c r="Q473" s="79"/>
      <c r="R473" s="79"/>
      <c r="Y473" s="79"/>
      <c r="AC473" s="130"/>
      <c r="AE473" s="106"/>
    </row>
    <row r="474">
      <c r="C474" s="79"/>
      <c r="D474" s="79"/>
      <c r="E474" s="79"/>
      <c r="P474" s="79"/>
      <c r="Q474" s="79"/>
      <c r="R474" s="79"/>
      <c r="Y474" s="79"/>
      <c r="AC474" s="130"/>
      <c r="AE474" s="106"/>
    </row>
    <row r="475">
      <c r="C475" s="79"/>
      <c r="D475" s="79"/>
      <c r="E475" s="79"/>
      <c r="P475" s="79"/>
      <c r="Q475" s="79"/>
      <c r="R475" s="79"/>
      <c r="Y475" s="79"/>
      <c r="AC475" s="130"/>
      <c r="AE475" s="106"/>
    </row>
    <row r="476">
      <c r="C476" s="79"/>
      <c r="D476" s="79"/>
      <c r="E476" s="79"/>
      <c r="P476" s="79"/>
      <c r="Q476" s="79"/>
      <c r="R476" s="79"/>
      <c r="Y476" s="79"/>
      <c r="AC476" s="130"/>
      <c r="AE476" s="106"/>
    </row>
    <row r="477">
      <c r="C477" s="79"/>
      <c r="D477" s="79"/>
      <c r="E477" s="79"/>
      <c r="P477" s="79"/>
      <c r="Q477" s="79"/>
      <c r="R477" s="79"/>
      <c r="Y477" s="79"/>
      <c r="AC477" s="130"/>
      <c r="AE477" s="106"/>
    </row>
    <row r="478">
      <c r="C478" s="79"/>
      <c r="D478" s="79"/>
      <c r="E478" s="79"/>
      <c r="P478" s="79"/>
      <c r="Q478" s="79"/>
      <c r="R478" s="79"/>
      <c r="Y478" s="79"/>
      <c r="AC478" s="130"/>
      <c r="AE478" s="106"/>
    </row>
    <row r="479">
      <c r="C479" s="79"/>
      <c r="D479" s="79"/>
      <c r="E479" s="79"/>
      <c r="P479" s="79"/>
      <c r="Q479" s="79"/>
      <c r="R479" s="79"/>
      <c r="Y479" s="79"/>
      <c r="AC479" s="130"/>
      <c r="AE479" s="106"/>
    </row>
    <row r="480">
      <c r="C480" s="79"/>
      <c r="D480" s="79"/>
      <c r="E480" s="79"/>
      <c r="P480" s="79"/>
      <c r="Q480" s="79"/>
      <c r="R480" s="79"/>
      <c r="Y480" s="79"/>
      <c r="AC480" s="130"/>
      <c r="AE480" s="106"/>
    </row>
    <row r="481">
      <c r="C481" s="79"/>
      <c r="D481" s="79"/>
      <c r="E481" s="79"/>
      <c r="P481" s="79"/>
      <c r="Q481" s="79"/>
      <c r="R481" s="79"/>
      <c r="Y481" s="79"/>
      <c r="AC481" s="130"/>
      <c r="AE481" s="106"/>
    </row>
    <row r="482">
      <c r="C482" s="79"/>
      <c r="D482" s="79"/>
      <c r="E482" s="79"/>
      <c r="P482" s="79"/>
      <c r="Q482" s="79"/>
      <c r="R482" s="79"/>
      <c r="Y482" s="79"/>
      <c r="AC482" s="130"/>
      <c r="AE482" s="106"/>
    </row>
    <row r="483">
      <c r="C483" s="79"/>
      <c r="D483" s="79"/>
      <c r="E483" s="79"/>
      <c r="P483" s="79"/>
      <c r="Q483" s="79"/>
      <c r="R483" s="79"/>
      <c r="Y483" s="79"/>
      <c r="AC483" s="130"/>
      <c r="AE483" s="106"/>
    </row>
    <row r="484">
      <c r="C484" s="79"/>
      <c r="D484" s="79"/>
      <c r="E484" s="79"/>
      <c r="P484" s="79"/>
      <c r="Q484" s="79"/>
      <c r="R484" s="79"/>
      <c r="Y484" s="79"/>
      <c r="AC484" s="130"/>
      <c r="AE484" s="106"/>
    </row>
    <row r="485">
      <c r="C485" s="79"/>
      <c r="D485" s="79"/>
      <c r="E485" s="79"/>
      <c r="P485" s="79"/>
      <c r="Q485" s="79"/>
      <c r="R485" s="79"/>
      <c r="Y485" s="79"/>
      <c r="AC485" s="130"/>
      <c r="AE485" s="106"/>
    </row>
    <row r="486">
      <c r="C486" s="79"/>
      <c r="D486" s="79"/>
      <c r="E486" s="79"/>
      <c r="P486" s="79"/>
      <c r="Q486" s="79"/>
      <c r="R486" s="79"/>
      <c r="Y486" s="79"/>
      <c r="AC486" s="130"/>
      <c r="AE486" s="106"/>
    </row>
    <row r="487">
      <c r="C487" s="79"/>
      <c r="D487" s="79"/>
      <c r="E487" s="79"/>
      <c r="P487" s="79"/>
      <c r="Q487" s="79"/>
      <c r="R487" s="79"/>
      <c r="Y487" s="79"/>
      <c r="AC487" s="130"/>
      <c r="AE487" s="106"/>
    </row>
    <row r="488">
      <c r="C488" s="79"/>
      <c r="D488" s="79"/>
      <c r="E488" s="79"/>
      <c r="P488" s="79"/>
      <c r="Q488" s="79"/>
      <c r="R488" s="79"/>
      <c r="Y488" s="79"/>
      <c r="AC488" s="130"/>
      <c r="AE488" s="106"/>
    </row>
    <row r="489">
      <c r="C489" s="79"/>
      <c r="D489" s="79"/>
      <c r="E489" s="79"/>
      <c r="P489" s="79"/>
      <c r="Q489" s="79"/>
      <c r="R489" s="79"/>
      <c r="Y489" s="79"/>
      <c r="AC489" s="130"/>
      <c r="AE489" s="106"/>
    </row>
    <row r="490">
      <c r="C490" s="79"/>
      <c r="D490" s="79"/>
      <c r="E490" s="79"/>
      <c r="P490" s="79"/>
      <c r="Q490" s="79"/>
      <c r="R490" s="79"/>
      <c r="Y490" s="79"/>
      <c r="AC490" s="130"/>
      <c r="AE490" s="106"/>
    </row>
    <row r="491">
      <c r="C491" s="79"/>
      <c r="D491" s="79"/>
      <c r="E491" s="79"/>
      <c r="P491" s="79"/>
      <c r="Q491" s="79"/>
      <c r="R491" s="79"/>
      <c r="Y491" s="79"/>
      <c r="AC491" s="130"/>
      <c r="AE491" s="106"/>
    </row>
    <row r="492">
      <c r="C492" s="79"/>
      <c r="D492" s="79"/>
      <c r="E492" s="79"/>
      <c r="P492" s="79"/>
      <c r="Q492" s="79"/>
      <c r="R492" s="79"/>
      <c r="Y492" s="79"/>
      <c r="AC492" s="130"/>
      <c r="AE492" s="106"/>
    </row>
    <row r="493">
      <c r="C493" s="79"/>
      <c r="D493" s="79"/>
      <c r="E493" s="79"/>
      <c r="P493" s="79"/>
      <c r="Q493" s="79"/>
      <c r="R493" s="79"/>
      <c r="Y493" s="79"/>
      <c r="AC493" s="130"/>
      <c r="AE493" s="106"/>
    </row>
    <row r="494">
      <c r="C494" s="79"/>
      <c r="D494" s="79"/>
      <c r="E494" s="79"/>
      <c r="P494" s="79"/>
      <c r="Q494" s="79"/>
      <c r="R494" s="79"/>
      <c r="Y494" s="79"/>
      <c r="AC494" s="130"/>
      <c r="AE494" s="106"/>
    </row>
    <row r="495">
      <c r="C495" s="79"/>
      <c r="D495" s="79"/>
      <c r="E495" s="79"/>
      <c r="P495" s="79"/>
      <c r="Q495" s="79"/>
      <c r="R495" s="79"/>
      <c r="Y495" s="79"/>
      <c r="AC495" s="130"/>
      <c r="AE495" s="106"/>
    </row>
    <row r="496">
      <c r="C496" s="79"/>
      <c r="D496" s="79"/>
      <c r="E496" s="79"/>
      <c r="P496" s="79"/>
      <c r="Q496" s="79"/>
      <c r="R496" s="79"/>
      <c r="Y496" s="79"/>
      <c r="AC496" s="130"/>
      <c r="AE496" s="106"/>
    </row>
    <row r="497">
      <c r="C497" s="79"/>
      <c r="D497" s="79"/>
      <c r="E497" s="79"/>
      <c r="P497" s="79"/>
      <c r="Q497" s="79"/>
      <c r="R497" s="79"/>
      <c r="Y497" s="79"/>
      <c r="AC497" s="130"/>
      <c r="AE497" s="106"/>
    </row>
    <row r="498">
      <c r="C498" s="79"/>
      <c r="D498" s="79"/>
      <c r="E498" s="79"/>
      <c r="P498" s="79"/>
      <c r="Q498" s="79"/>
      <c r="R498" s="79"/>
      <c r="Y498" s="79"/>
      <c r="AC498" s="130"/>
      <c r="AE498" s="106"/>
    </row>
    <row r="499">
      <c r="C499" s="79"/>
      <c r="D499" s="79"/>
      <c r="E499" s="79"/>
      <c r="P499" s="79"/>
      <c r="Q499" s="79"/>
      <c r="R499" s="79"/>
      <c r="Y499" s="79"/>
      <c r="AC499" s="130"/>
      <c r="AE499" s="106"/>
    </row>
    <row r="500">
      <c r="C500" s="79"/>
      <c r="D500" s="79"/>
      <c r="E500" s="79"/>
      <c r="P500" s="79"/>
      <c r="Q500" s="79"/>
      <c r="R500" s="79"/>
      <c r="Y500" s="79"/>
      <c r="AC500" s="130"/>
      <c r="AE500" s="106"/>
    </row>
    <row r="501">
      <c r="C501" s="79"/>
      <c r="D501" s="79"/>
      <c r="E501" s="79"/>
      <c r="P501" s="79"/>
      <c r="Q501" s="79"/>
      <c r="R501" s="79"/>
      <c r="Y501" s="79"/>
      <c r="AC501" s="130"/>
      <c r="AE501" s="106"/>
    </row>
    <row r="502">
      <c r="C502" s="79"/>
      <c r="D502" s="79"/>
      <c r="E502" s="79"/>
      <c r="P502" s="79"/>
      <c r="Q502" s="79"/>
      <c r="R502" s="79"/>
      <c r="Y502" s="79"/>
      <c r="AC502" s="130"/>
      <c r="AE502" s="106"/>
    </row>
    <row r="503">
      <c r="C503" s="79"/>
      <c r="D503" s="79"/>
      <c r="E503" s="79"/>
      <c r="P503" s="79"/>
      <c r="Q503" s="79"/>
      <c r="R503" s="79"/>
      <c r="Y503" s="79"/>
      <c r="AC503" s="130"/>
      <c r="AE503" s="106"/>
    </row>
    <row r="504">
      <c r="C504" s="79"/>
      <c r="D504" s="79"/>
      <c r="E504" s="79"/>
      <c r="P504" s="79"/>
      <c r="Q504" s="79"/>
      <c r="R504" s="79"/>
      <c r="Y504" s="79"/>
      <c r="AC504" s="130"/>
      <c r="AE504" s="106"/>
    </row>
    <row r="505">
      <c r="C505" s="79"/>
      <c r="D505" s="79"/>
      <c r="E505" s="79"/>
      <c r="P505" s="79"/>
      <c r="Q505" s="79"/>
      <c r="R505" s="79"/>
      <c r="Y505" s="79"/>
      <c r="AC505" s="130"/>
      <c r="AE505" s="106"/>
    </row>
    <row r="506">
      <c r="C506" s="79"/>
      <c r="D506" s="79"/>
      <c r="E506" s="79"/>
      <c r="P506" s="79"/>
      <c r="Q506" s="79"/>
      <c r="R506" s="79"/>
      <c r="Y506" s="79"/>
      <c r="AC506" s="130"/>
      <c r="AE506" s="106"/>
    </row>
    <row r="507">
      <c r="C507" s="79"/>
      <c r="D507" s="79"/>
      <c r="E507" s="79"/>
      <c r="P507" s="79"/>
      <c r="Q507" s="79"/>
      <c r="R507" s="79"/>
      <c r="Y507" s="79"/>
      <c r="AC507" s="130"/>
      <c r="AE507" s="106"/>
    </row>
    <row r="508">
      <c r="C508" s="79"/>
      <c r="D508" s="79"/>
      <c r="E508" s="79"/>
      <c r="P508" s="79"/>
      <c r="Q508" s="79"/>
      <c r="R508" s="79"/>
      <c r="Y508" s="79"/>
      <c r="AC508" s="130"/>
      <c r="AE508" s="106"/>
    </row>
    <row r="509">
      <c r="C509" s="79"/>
      <c r="D509" s="79"/>
      <c r="E509" s="79"/>
      <c r="P509" s="79"/>
      <c r="Q509" s="79"/>
      <c r="R509" s="79"/>
      <c r="Y509" s="79"/>
      <c r="AC509" s="130"/>
      <c r="AE509" s="106"/>
    </row>
    <row r="510">
      <c r="C510" s="79"/>
      <c r="D510" s="79"/>
      <c r="E510" s="79"/>
      <c r="P510" s="79"/>
      <c r="Q510" s="79"/>
      <c r="R510" s="79"/>
      <c r="Y510" s="79"/>
      <c r="AC510" s="130"/>
      <c r="AE510" s="106"/>
    </row>
    <row r="511">
      <c r="C511" s="79"/>
      <c r="D511" s="79"/>
      <c r="E511" s="79"/>
      <c r="P511" s="79"/>
      <c r="Q511" s="79"/>
      <c r="R511" s="79"/>
      <c r="Y511" s="79"/>
      <c r="AC511" s="130"/>
      <c r="AE511" s="106"/>
    </row>
    <row r="512">
      <c r="C512" s="79"/>
      <c r="D512" s="79"/>
      <c r="E512" s="79"/>
      <c r="P512" s="79"/>
      <c r="Q512" s="79"/>
      <c r="R512" s="79"/>
      <c r="Y512" s="79"/>
      <c r="AC512" s="130"/>
      <c r="AE512" s="106"/>
    </row>
    <row r="513">
      <c r="C513" s="79"/>
      <c r="D513" s="79"/>
      <c r="E513" s="79"/>
      <c r="P513" s="79"/>
      <c r="Q513" s="79"/>
      <c r="R513" s="79"/>
      <c r="Y513" s="79"/>
      <c r="AC513" s="130"/>
      <c r="AE513" s="106"/>
    </row>
    <row r="514">
      <c r="C514" s="79"/>
      <c r="D514" s="79"/>
      <c r="E514" s="79"/>
      <c r="P514" s="79"/>
      <c r="Q514" s="79"/>
      <c r="R514" s="79"/>
      <c r="Y514" s="79"/>
      <c r="AC514" s="130"/>
      <c r="AE514" s="106"/>
    </row>
    <row r="515">
      <c r="C515" s="79"/>
      <c r="D515" s="79"/>
      <c r="E515" s="79"/>
      <c r="P515" s="79"/>
      <c r="Q515" s="79"/>
      <c r="R515" s="79"/>
      <c r="Y515" s="79"/>
      <c r="AC515" s="130"/>
      <c r="AE515" s="106"/>
    </row>
    <row r="516">
      <c r="C516" s="79"/>
      <c r="D516" s="79"/>
      <c r="E516" s="79"/>
      <c r="P516" s="79"/>
      <c r="Q516" s="79"/>
      <c r="R516" s="79"/>
      <c r="Y516" s="79"/>
      <c r="AC516" s="130"/>
      <c r="AE516" s="106"/>
    </row>
    <row r="517">
      <c r="C517" s="79"/>
      <c r="D517" s="79"/>
      <c r="E517" s="79"/>
      <c r="P517" s="79"/>
      <c r="Q517" s="79"/>
      <c r="R517" s="79"/>
      <c r="Y517" s="79"/>
      <c r="AC517" s="130"/>
      <c r="AE517" s="106"/>
    </row>
    <row r="518">
      <c r="C518" s="79"/>
      <c r="D518" s="79"/>
      <c r="E518" s="79"/>
      <c r="P518" s="79"/>
      <c r="Q518" s="79"/>
      <c r="R518" s="79"/>
      <c r="Y518" s="79"/>
      <c r="AC518" s="130"/>
      <c r="AE518" s="106"/>
    </row>
    <row r="519">
      <c r="C519" s="79"/>
      <c r="D519" s="79"/>
      <c r="E519" s="79"/>
      <c r="P519" s="79"/>
      <c r="Q519" s="79"/>
      <c r="R519" s="79"/>
      <c r="Y519" s="79"/>
      <c r="AC519" s="130"/>
      <c r="AE519" s="106"/>
    </row>
    <row r="520">
      <c r="C520" s="79"/>
      <c r="D520" s="79"/>
      <c r="E520" s="79"/>
      <c r="P520" s="79"/>
      <c r="Q520" s="79"/>
      <c r="R520" s="79"/>
      <c r="Y520" s="79"/>
      <c r="AC520" s="130"/>
      <c r="AE520" s="106"/>
    </row>
    <row r="521">
      <c r="C521" s="79"/>
      <c r="D521" s="79"/>
      <c r="E521" s="79"/>
      <c r="P521" s="79"/>
      <c r="Q521" s="79"/>
      <c r="R521" s="79"/>
      <c r="Y521" s="79"/>
      <c r="AC521" s="130"/>
      <c r="AE521" s="106"/>
    </row>
    <row r="522">
      <c r="C522" s="79"/>
      <c r="D522" s="79"/>
      <c r="E522" s="79"/>
      <c r="P522" s="79"/>
      <c r="Q522" s="79"/>
      <c r="R522" s="79"/>
      <c r="Y522" s="79"/>
      <c r="AC522" s="130"/>
      <c r="AE522" s="106"/>
    </row>
    <row r="523">
      <c r="C523" s="79"/>
      <c r="D523" s="79"/>
      <c r="E523" s="79"/>
      <c r="P523" s="79"/>
      <c r="Q523" s="79"/>
      <c r="R523" s="79"/>
      <c r="Y523" s="79"/>
      <c r="AC523" s="130"/>
      <c r="AE523" s="106"/>
    </row>
    <row r="524">
      <c r="C524" s="79"/>
      <c r="D524" s="79"/>
      <c r="E524" s="79"/>
      <c r="P524" s="79"/>
      <c r="Q524" s="79"/>
      <c r="R524" s="79"/>
      <c r="Y524" s="79"/>
      <c r="AC524" s="130"/>
      <c r="AE524" s="106"/>
    </row>
    <row r="525">
      <c r="C525" s="79"/>
      <c r="D525" s="79"/>
      <c r="E525" s="79"/>
      <c r="P525" s="79"/>
      <c r="Q525" s="79"/>
      <c r="R525" s="79"/>
      <c r="Y525" s="79"/>
      <c r="AC525" s="130"/>
      <c r="AE525" s="106"/>
    </row>
    <row r="526">
      <c r="C526" s="79"/>
      <c r="D526" s="79"/>
      <c r="E526" s="79"/>
      <c r="P526" s="79"/>
      <c r="Q526" s="79"/>
      <c r="R526" s="79"/>
      <c r="Y526" s="79"/>
      <c r="AC526" s="130"/>
      <c r="AE526" s="106"/>
    </row>
    <row r="527">
      <c r="C527" s="79"/>
      <c r="D527" s="79"/>
      <c r="E527" s="79"/>
      <c r="P527" s="79"/>
      <c r="Q527" s="79"/>
      <c r="R527" s="79"/>
      <c r="Y527" s="79"/>
      <c r="AC527" s="130"/>
      <c r="AE527" s="106"/>
    </row>
    <row r="528">
      <c r="C528" s="79"/>
      <c r="D528" s="79"/>
      <c r="E528" s="79"/>
      <c r="P528" s="79"/>
      <c r="Q528" s="79"/>
      <c r="R528" s="79"/>
      <c r="Y528" s="79"/>
      <c r="AC528" s="130"/>
      <c r="AE528" s="106"/>
    </row>
    <row r="529">
      <c r="C529" s="79"/>
      <c r="D529" s="79"/>
      <c r="E529" s="79"/>
      <c r="P529" s="79"/>
      <c r="Q529" s="79"/>
      <c r="R529" s="79"/>
      <c r="Y529" s="79"/>
      <c r="AC529" s="130"/>
      <c r="AE529" s="106"/>
    </row>
    <row r="530">
      <c r="C530" s="79"/>
      <c r="D530" s="79"/>
      <c r="E530" s="79"/>
      <c r="P530" s="79"/>
      <c r="Q530" s="79"/>
      <c r="R530" s="79"/>
      <c r="Y530" s="79"/>
      <c r="AC530" s="130"/>
      <c r="AE530" s="106"/>
    </row>
    <row r="531">
      <c r="C531" s="79"/>
      <c r="D531" s="79"/>
      <c r="E531" s="79"/>
      <c r="P531" s="79"/>
      <c r="Q531" s="79"/>
      <c r="R531" s="79"/>
      <c r="Y531" s="79"/>
      <c r="AC531" s="130"/>
      <c r="AE531" s="106"/>
    </row>
    <row r="532">
      <c r="C532" s="79"/>
      <c r="D532" s="79"/>
      <c r="E532" s="79"/>
      <c r="P532" s="79"/>
      <c r="Q532" s="79"/>
      <c r="R532" s="79"/>
      <c r="Y532" s="79"/>
      <c r="AC532" s="130"/>
      <c r="AE532" s="106"/>
    </row>
    <row r="533">
      <c r="C533" s="79"/>
      <c r="D533" s="79"/>
      <c r="E533" s="79"/>
      <c r="P533" s="79"/>
      <c r="Q533" s="79"/>
      <c r="R533" s="79"/>
      <c r="Y533" s="79"/>
      <c r="AC533" s="130"/>
      <c r="AE533" s="106"/>
    </row>
    <row r="534">
      <c r="C534" s="79"/>
      <c r="D534" s="79"/>
      <c r="E534" s="79"/>
      <c r="P534" s="79"/>
      <c r="Q534" s="79"/>
      <c r="R534" s="79"/>
      <c r="Y534" s="79"/>
      <c r="AC534" s="130"/>
      <c r="AE534" s="106"/>
    </row>
    <row r="535">
      <c r="C535" s="79"/>
      <c r="D535" s="79"/>
      <c r="E535" s="79"/>
      <c r="P535" s="79"/>
      <c r="Q535" s="79"/>
      <c r="R535" s="79"/>
      <c r="Y535" s="79"/>
      <c r="AC535" s="130"/>
      <c r="AE535" s="106"/>
    </row>
    <row r="536">
      <c r="C536" s="79"/>
      <c r="D536" s="79"/>
      <c r="E536" s="79"/>
      <c r="P536" s="79"/>
      <c r="Q536" s="79"/>
      <c r="R536" s="79"/>
      <c r="Y536" s="79"/>
      <c r="AC536" s="130"/>
      <c r="AE536" s="106"/>
    </row>
    <row r="537">
      <c r="C537" s="79"/>
      <c r="D537" s="79"/>
      <c r="E537" s="79"/>
      <c r="P537" s="79"/>
      <c r="Q537" s="79"/>
      <c r="R537" s="79"/>
      <c r="Y537" s="79"/>
      <c r="AC537" s="130"/>
      <c r="AE537" s="106"/>
    </row>
    <row r="538">
      <c r="C538" s="79"/>
      <c r="D538" s="79"/>
      <c r="E538" s="79"/>
      <c r="P538" s="79"/>
      <c r="Q538" s="79"/>
      <c r="R538" s="79"/>
      <c r="Y538" s="79"/>
      <c r="AC538" s="130"/>
      <c r="AE538" s="106"/>
    </row>
    <row r="539">
      <c r="C539" s="79"/>
      <c r="D539" s="79"/>
      <c r="E539" s="79"/>
      <c r="P539" s="79"/>
      <c r="Q539" s="79"/>
      <c r="R539" s="79"/>
      <c r="Y539" s="79"/>
      <c r="AC539" s="130"/>
      <c r="AE539" s="106"/>
    </row>
    <row r="540">
      <c r="C540" s="79"/>
      <c r="D540" s="79"/>
      <c r="E540" s="79"/>
      <c r="P540" s="79"/>
      <c r="Q540" s="79"/>
      <c r="R540" s="79"/>
      <c r="Y540" s="79"/>
      <c r="AC540" s="130"/>
      <c r="AE540" s="106"/>
    </row>
    <row r="541">
      <c r="C541" s="79"/>
      <c r="D541" s="79"/>
      <c r="E541" s="79"/>
      <c r="P541" s="79"/>
      <c r="Q541" s="79"/>
      <c r="R541" s="79"/>
      <c r="Y541" s="79"/>
      <c r="AC541" s="130"/>
      <c r="AE541" s="106"/>
    </row>
    <row r="542">
      <c r="C542" s="79"/>
      <c r="D542" s="79"/>
      <c r="E542" s="79"/>
      <c r="P542" s="79"/>
      <c r="Q542" s="79"/>
      <c r="R542" s="79"/>
      <c r="Y542" s="79"/>
      <c r="AC542" s="130"/>
      <c r="AE542" s="106"/>
    </row>
    <row r="543">
      <c r="C543" s="79"/>
      <c r="D543" s="79"/>
      <c r="E543" s="79"/>
      <c r="P543" s="79"/>
      <c r="Q543" s="79"/>
      <c r="R543" s="79"/>
      <c r="Y543" s="79"/>
      <c r="AC543" s="130"/>
      <c r="AE543" s="106"/>
    </row>
    <row r="544">
      <c r="C544" s="79"/>
      <c r="D544" s="79"/>
      <c r="E544" s="79"/>
      <c r="P544" s="79"/>
      <c r="Q544" s="79"/>
      <c r="R544" s="79"/>
      <c r="Y544" s="79"/>
      <c r="AC544" s="130"/>
      <c r="AE544" s="106"/>
    </row>
    <row r="545">
      <c r="C545" s="79"/>
      <c r="D545" s="79"/>
      <c r="E545" s="79"/>
      <c r="P545" s="79"/>
      <c r="Q545" s="79"/>
      <c r="R545" s="79"/>
      <c r="Y545" s="79"/>
      <c r="AC545" s="130"/>
      <c r="AE545" s="106"/>
    </row>
    <row r="546">
      <c r="C546" s="79"/>
      <c r="D546" s="79"/>
      <c r="E546" s="79"/>
      <c r="P546" s="79"/>
      <c r="Q546" s="79"/>
      <c r="R546" s="79"/>
      <c r="Y546" s="79"/>
      <c r="AC546" s="130"/>
      <c r="AE546" s="106"/>
    </row>
    <row r="547">
      <c r="C547" s="79"/>
      <c r="D547" s="79"/>
      <c r="E547" s="79"/>
      <c r="P547" s="79"/>
      <c r="Q547" s="79"/>
      <c r="R547" s="79"/>
      <c r="Y547" s="79"/>
      <c r="AC547" s="130"/>
      <c r="AE547" s="106"/>
    </row>
    <row r="548">
      <c r="C548" s="79"/>
      <c r="D548" s="79"/>
      <c r="E548" s="79"/>
      <c r="P548" s="79"/>
      <c r="Q548" s="79"/>
      <c r="R548" s="79"/>
      <c r="Y548" s="79"/>
      <c r="AC548" s="130"/>
      <c r="AE548" s="106"/>
    </row>
    <row r="549">
      <c r="C549" s="79"/>
      <c r="D549" s="79"/>
      <c r="E549" s="79"/>
      <c r="P549" s="79"/>
      <c r="Q549" s="79"/>
      <c r="R549" s="79"/>
      <c r="Y549" s="79"/>
      <c r="AC549" s="130"/>
      <c r="AE549" s="106"/>
    </row>
    <row r="550">
      <c r="C550" s="79"/>
      <c r="D550" s="79"/>
      <c r="E550" s="79"/>
      <c r="P550" s="79"/>
      <c r="Q550" s="79"/>
      <c r="R550" s="79"/>
      <c r="Y550" s="79"/>
      <c r="AC550" s="130"/>
      <c r="AE550" s="106"/>
    </row>
    <row r="551">
      <c r="C551" s="79"/>
      <c r="D551" s="79"/>
      <c r="E551" s="79"/>
      <c r="P551" s="79"/>
      <c r="Q551" s="79"/>
      <c r="R551" s="79"/>
      <c r="Y551" s="79"/>
      <c r="AC551" s="130"/>
      <c r="AE551" s="106"/>
    </row>
    <row r="552">
      <c r="C552" s="79"/>
      <c r="D552" s="79"/>
      <c r="E552" s="79"/>
      <c r="P552" s="79"/>
      <c r="Q552" s="79"/>
      <c r="R552" s="79"/>
      <c r="Y552" s="79"/>
      <c r="AC552" s="130"/>
      <c r="AE552" s="106"/>
    </row>
    <row r="553">
      <c r="C553" s="79"/>
      <c r="D553" s="79"/>
      <c r="E553" s="79"/>
      <c r="P553" s="79"/>
      <c r="Q553" s="79"/>
      <c r="R553" s="79"/>
      <c r="Y553" s="79"/>
      <c r="AC553" s="130"/>
      <c r="AE553" s="106"/>
    </row>
    <row r="554">
      <c r="C554" s="79"/>
      <c r="D554" s="79"/>
      <c r="E554" s="79"/>
      <c r="P554" s="79"/>
      <c r="Q554" s="79"/>
      <c r="R554" s="79"/>
      <c r="Y554" s="79"/>
      <c r="AC554" s="130"/>
      <c r="AE554" s="106"/>
    </row>
    <row r="555">
      <c r="C555" s="79"/>
      <c r="D555" s="79"/>
      <c r="E555" s="79"/>
      <c r="P555" s="79"/>
      <c r="Q555" s="79"/>
      <c r="R555" s="79"/>
      <c r="Y555" s="79"/>
      <c r="AC555" s="130"/>
      <c r="AE555" s="106"/>
    </row>
    <row r="556">
      <c r="C556" s="79"/>
      <c r="D556" s="79"/>
      <c r="E556" s="79"/>
      <c r="P556" s="79"/>
      <c r="Q556" s="79"/>
      <c r="R556" s="79"/>
      <c r="Y556" s="79"/>
      <c r="AC556" s="130"/>
      <c r="AE556" s="106"/>
    </row>
    <row r="557">
      <c r="C557" s="79"/>
      <c r="D557" s="79"/>
      <c r="E557" s="79"/>
      <c r="P557" s="79"/>
      <c r="Q557" s="79"/>
      <c r="R557" s="79"/>
      <c r="Y557" s="79"/>
      <c r="AC557" s="130"/>
      <c r="AE557" s="106"/>
    </row>
    <row r="558">
      <c r="C558" s="79"/>
      <c r="D558" s="79"/>
      <c r="E558" s="79"/>
      <c r="P558" s="79"/>
      <c r="Q558" s="79"/>
      <c r="R558" s="79"/>
      <c r="Y558" s="79"/>
      <c r="AC558" s="130"/>
      <c r="AE558" s="106"/>
    </row>
    <row r="559">
      <c r="C559" s="79"/>
      <c r="D559" s="79"/>
      <c r="E559" s="79"/>
      <c r="P559" s="79"/>
      <c r="Q559" s="79"/>
      <c r="R559" s="79"/>
      <c r="Y559" s="79"/>
      <c r="AC559" s="130"/>
      <c r="AE559" s="106"/>
    </row>
    <row r="560">
      <c r="C560" s="79"/>
      <c r="D560" s="79"/>
      <c r="E560" s="79"/>
      <c r="P560" s="79"/>
      <c r="Q560" s="79"/>
      <c r="R560" s="79"/>
      <c r="Y560" s="79"/>
      <c r="AC560" s="130"/>
      <c r="AE560" s="106"/>
    </row>
    <row r="561">
      <c r="C561" s="79"/>
      <c r="D561" s="79"/>
      <c r="E561" s="79"/>
      <c r="P561" s="79"/>
      <c r="Q561" s="79"/>
      <c r="R561" s="79"/>
      <c r="Y561" s="79"/>
      <c r="AC561" s="130"/>
      <c r="AE561" s="106"/>
    </row>
    <row r="562">
      <c r="C562" s="79"/>
      <c r="D562" s="79"/>
      <c r="E562" s="79"/>
      <c r="P562" s="79"/>
      <c r="Q562" s="79"/>
      <c r="R562" s="79"/>
      <c r="Y562" s="79"/>
      <c r="AC562" s="130"/>
      <c r="AE562" s="106"/>
    </row>
    <row r="563">
      <c r="C563" s="79"/>
      <c r="D563" s="79"/>
      <c r="E563" s="79"/>
      <c r="P563" s="79"/>
      <c r="Q563" s="79"/>
      <c r="R563" s="79"/>
      <c r="Y563" s="79"/>
      <c r="AC563" s="130"/>
      <c r="AE563" s="106"/>
    </row>
    <row r="564">
      <c r="C564" s="79"/>
      <c r="D564" s="79"/>
      <c r="E564" s="79"/>
      <c r="P564" s="79"/>
      <c r="Q564" s="79"/>
      <c r="R564" s="79"/>
      <c r="Y564" s="79"/>
      <c r="AC564" s="130"/>
      <c r="AE564" s="106"/>
    </row>
    <row r="565">
      <c r="C565" s="79"/>
      <c r="D565" s="79"/>
      <c r="E565" s="79"/>
      <c r="P565" s="79"/>
      <c r="Q565" s="79"/>
      <c r="R565" s="79"/>
      <c r="Y565" s="79"/>
      <c r="AC565" s="130"/>
      <c r="AE565" s="106"/>
    </row>
    <row r="566">
      <c r="C566" s="79"/>
      <c r="D566" s="79"/>
      <c r="E566" s="79"/>
      <c r="P566" s="79"/>
      <c r="Q566" s="79"/>
      <c r="R566" s="79"/>
      <c r="Y566" s="79"/>
      <c r="AC566" s="130"/>
      <c r="AE566" s="106"/>
    </row>
    <row r="567">
      <c r="C567" s="79"/>
      <c r="D567" s="79"/>
      <c r="E567" s="79"/>
      <c r="P567" s="79"/>
      <c r="Q567" s="79"/>
      <c r="R567" s="79"/>
      <c r="Y567" s="79"/>
      <c r="AC567" s="130"/>
      <c r="AE567" s="106"/>
    </row>
    <row r="568">
      <c r="C568" s="79"/>
      <c r="D568" s="79"/>
      <c r="E568" s="79"/>
      <c r="P568" s="79"/>
      <c r="Q568" s="79"/>
      <c r="R568" s="79"/>
      <c r="Y568" s="79"/>
      <c r="AC568" s="130"/>
      <c r="AE568" s="106"/>
    </row>
    <row r="569">
      <c r="C569" s="79"/>
      <c r="D569" s="79"/>
      <c r="E569" s="79"/>
      <c r="P569" s="79"/>
      <c r="Q569" s="79"/>
      <c r="R569" s="79"/>
      <c r="Y569" s="79"/>
      <c r="AC569" s="130"/>
      <c r="AE569" s="106"/>
    </row>
    <row r="570">
      <c r="C570" s="79"/>
      <c r="D570" s="79"/>
      <c r="E570" s="79"/>
      <c r="P570" s="79"/>
      <c r="Q570" s="79"/>
      <c r="R570" s="79"/>
      <c r="Y570" s="79"/>
      <c r="AC570" s="130"/>
      <c r="AE570" s="106"/>
    </row>
    <row r="571">
      <c r="C571" s="79"/>
      <c r="D571" s="79"/>
      <c r="E571" s="79"/>
      <c r="P571" s="79"/>
      <c r="Q571" s="79"/>
      <c r="R571" s="79"/>
      <c r="Y571" s="79"/>
      <c r="AC571" s="130"/>
      <c r="AE571" s="106"/>
    </row>
    <row r="572">
      <c r="C572" s="79"/>
      <c r="D572" s="79"/>
      <c r="E572" s="79"/>
      <c r="P572" s="79"/>
      <c r="Q572" s="79"/>
      <c r="R572" s="79"/>
      <c r="Y572" s="79"/>
      <c r="AC572" s="130"/>
      <c r="AE572" s="106"/>
    </row>
    <row r="573">
      <c r="C573" s="79"/>
      <c r="D573" s="79"/>
      <c r="E573" s="79"/>
      <c r="P573" s="79"/>
      <c r="Q573" s="79"/>
      <c r="R573" s="79"/>
      <c r="Y573" s="79"/>
      <c r="AC573" s="130"/>
      <c r="AE573" s="106"/>
    </row>
    <row r="574">
      <c r="C574" s="79"/>
      <c r="D574" s="79"/>
      <c r="E574" s="79"/>
      <c r="P574" s="79"/>
      <c r="Q574" s="79"/>
      <c r="R574" s="79"/>
      <c r="Y574" s="79"/>
      <c r="AC574" s="130"/>
      <c r="AE574" s="106"/>
    </row>
    <row r="575">
      <c r="C575" s="79"/>
      <c r="D575" s="79"/>
      <c r="E575" s="79"/>
      <c r="P575" s="79"/>
      <c r="Q575" s="79"/>
      <c r="R575" s="79"/>
      <c r="Y575" s="79"/>
      <c r="AC575" s="130"/>
      <c r="AE575" s="106"/>
    </row>
    <row r="576">
      <c r="C576" s="79"/>
      <c r="D576" s="79"/>
      <c r="E576" s="79"/>
      <c r="P576" s="79"/>
      <c r="Q576" s="79"/>
      <c r="R576" s="79"/>
      <c r="Y576" s="79"/>
      <c r="AC576" s="130"/>
      <c r="AE576" s="106"/>
    </row>
    <row r="577">
      <c r="C577" s="79"/>
      <c r="D577" s="79"/>
      <c r="E577" s="79"/>
      <c r="P577" s="79"/>
      <c r="Q577" s="79"/>
      <c r="R577" s="79"/>
      <c r="Y577" s="79"/>
      <c r="AC577" s="130"/>
      <c r="AE577" s="106"/>
    </row>
    <row r="578">
      <c r="C578" s="79"/>
      <c r="D578" s="79"/>
      <c r="E578" s="79"/>
      <c r="P578" s="79"/>
      <c r="Q578" s="79"/>
      <c r="R578" s="79"/>
      <c r="Y578" s="79"/>
      <c r="AC578" s="130"/>
      <c r="AE578" s="106"/>
    </row>
    <row r="579">
      <c r="C579" s="79"/>
      <c r="D579" s="79"/>
      <c r="E579" s="79"/>
      <c r="P579" s="79"/>
      <c r="Q579" s="79"/>
      <c r="R579" s="79"/>
      <c r="Y579" s="79"/>
      <c r="AC579" s="130"/>
      <c r="AE579" s="106"/>
    </row>
    <row r="580">
      <c r="C580" s="79"/>
      <c r="D580" s="79"/>
      <c r="E580" s="79"/>
      <c r="P580" s="79"/>
      <c r="Q580" s="79"/>
      <c r="R580" s="79"/>
      <c r="Y580" s="79"/>
      <c r="AC580" s="130"/>
      <c r="AE580" s="106"/>
    </row>
    <row r="581">
      <c r="C581" s="79"/>
      <c r="D581" s="79"/>
      <c r="E581" s="79"/>
      <c r="P581" s="79"/>
      <c r="Q581" s="79"/>
      <c r="R581" s="79"/>
      <c r="Y581" s="79"/>
      <c r="AC581" s="130"/>
      <c r="AE581" s="106"/>
    </row>
    <row r="582">
      <c r="C582" s="79"/>
      <c r="D582" s="79"/>
      <c r="E582" s="79"/>
      <c r="P582" s="79"/>
      <c r="Q582" s="79"/>
      <c r="R582" s="79"/>
      <c r="Y582" s="79"/>
      <c r="AC582" s="130"/>
      <c r="AE582" s="106"/>
    </row>
    <row r="583">
      <c r="C583" s="79"/>
      <c r="D583" s="79"/>
      <c r="E583" s="79"/>
      <c r="P583" s="79"/>
      <c r="Q583" s="79"/>
      <c r="R583" s="79"/>
      <c r="Y583" s="79"/>
      <c r="AC583" s="130"/>
      <c r="AE583" s="106"/>
    </row>
    <row r="584">
      <c r="C584" s="79"/>
      <c r="D584" s="79"/>
      <c r="E584" s="79"/>
      <c r="P584" s="79"/>
      <c r="Q584" s="79"/>
      <c r="R584" s="79"/>
      <c r="Y584" s="79"/>
      <c r="AC584" s="130"/>
      <c r="AE584" s="106"/>
    </row>
    <row r="585">
      <c r="C585" s="79"/>
      <c r="D585" s="79"/>
      <c r="E585" s="79"/>
      <c r="P585" s="79"/>
      <c r="Q585" s="79"/>
      <c r="R585" s="79"/>
      <c r="Y585" s="79"/>
      <c r="AC585" s="130"/>
      <c r="AE585" s="106"/>
    </row>
    <row r="586">
      <c r="C586" s="79"/>
      <c r="D586" s="79"/>
      <c r="E586" s="79"/>
      <c r="P586" s="79"/>
      <c r="Q586" s="79"/>
      <c r="R586" s="79"/>
      <c r="Y586" s="79"/>
      <c r="AC586" s="130"/>
      <c r="AE586" s="106"/>
    </row>
    <row r="587">
      <c r="C587" s="79"/>
      <c r="D587" s="79"/>
      <c r="E587" s="79"/>
      <c r="P587" s="79"/>
      <c r="Q587" s="79"/>
      <c r="R587" s="79"/>
      <c r="Y587" s="79"/>
      <c r="AC587" s="130"/>
      <c r="AE587" s="106"/>
    </row>
    <row r="588">
      <c r="C588" s="79"/>
      <c r="D588" s="79"/>
      <c r="E588" s="79"/>
      <c r="P588" s="79"/>
      <c r="Q588" s="79"/>
      <c r="R588" s="79"/>
      <c r="Y588" s="79"/>
      <c r="AC588" s="130"/>
      <c r="AE588" s="106"/>
    </row>
    <row r="589">
      <c r="C589" s="79"/>
      <c r="D589" s="79"/>
      <c r="E589" s="79"/>
      <c r="P589" s="79"/>
      <c r="Q589" s="79"/>
      <c r="R589" s="79"/>
      <c r="Y589" s="79"/>
      <c r="AC589" s="130"/>
      <c r="AE589" s="106"/>
    </row>
    <row r="590">
      <c r="C590" s="79"/>
      <c r="D590" s="79"/>
      <c r="E590" s="79"/>
      <c r="P590" s="79"/>
      <c r="Q590" s="79"/>
      <c r="R590" s="79"/>
      <c r="Y590" s="79"/>
      <c r="AC590" s="130"/>
      <c r="AE590" s="106"/>
    </row>
    <row r="591">
      <c r="C591" s="79"/>
      <c r="D591" s="79"/>
      <c r="E591" s="79"/>
      <c r="P591" s="79"/>
      <c r="Q591" s="79"/>
      <c r="R591" s="79"/>
      <c r="Y591" s="79"/>
      <c r="AC591" s="130"/>
      <c r="AE591" s="106"/>
    </row>
    <row r="592">
      <c r="C592" s="79"/>
      <c r="D592" s="79"/>
      <c r="E592" s="79"/>
      <c r="P592" s="79"/>
      <c r="Q592" s="79"/>
      <c r="R592" s="79"/>
      <c r="Y592" s="79"/>
      <c r="AC592" s="130"/>
      <c r="AE592" s="106"/>
    </row>
    <row r="593">
      <c r="C593" s="79"/>
      <c r="D593" s="79"/>
      <c r="E593" s="79"/>
      <c r="P593" s="79"/>
      <c r="Q593" s="79"/>
      <c r="R593" s="79"/>
      <c r="Y593" s="79"/>
      <c r="AC593" s="130"/>
      <c r="AE593" s="106"/>
    </row>
    <row r="594">
      <c r="C594" s="79"/>
      <c r="D594" s="79"/>
      <c r="E594" s="79"/>
      <c r="P594" s="79"/>
      <c r="Q594" s="79"/>
      <c r="R594" s="79"/>
      <c r="Y594" s="79"/>
      <c r="AC594" s="130"/>
      <c r="AE594" s="106"/>
    </row>
    <row r="595">
      <c r="C595" s="79"/>
      <c r="D595" s="79"/>
      <c r="E595" s="79"/>
      <c r="P595" s="79"/>
      <c r="Q595" s="79"/>
      <c r="R595" s="79"/>
      <c r="Y595" s="79"/>
      <c r="AC595" s="130"/>
      <c r="AE595" s="106"/>
    </row>
    <row r="596">
      <c r="C596" s="79"/>
      <c r="D596" s="79"/>
      <c r="E596" s="79"/>
      <c r="P596" s="79"/>
      <c r="Q596" s="79"/>
      <c r="R596" s="79"/>
      <c r="Y596" s="79"/>
      <c r="AC596" s="130"/>
      <c r="AE596" s="106"/>
    </row>
    <row r="597">
      <c r="C597" s="79"/>
      <c r="D597" s="79"/>
      <c r="E597" s="79"/>
      <c r="P597" s="79"/>
      <c r="Q597" s="79"/>
      <c r="R597" s="79"/>
      <c r="Y597" s="79"/>
      <c r="AC597" s="130"/>
      <c r="AE597" s="106"/>
    </row>
    <row r="598">
      <c r="C598" s="79"/>
      <c r="D598" s="79"/>
      <c r="E598" s="79"/>
      <c r="P598" s="79"/>
      <c r="Q598" s="79"/>
      <c r="R598" s="79"/>
      <c r="Y598" s="79"/>
      <c r="AC598" s="130"/>
      <c r="AE598" s="106"/>
    </row>
    <row r="599">
      <c r="C599" s="79"/>
      <c r="D599" s="79"/>
      <c r="E599" s="79"/>
      <c r="P599" s="79"/>
      <c r="Q599" s="79"/>
      <c r="R599" s="79"/>
      <c r="Y599" s="79"/>
      <c r="AC599" s="130"/>
      <c r="AE599" s="106"/>
    </row>
    <row r="600">
      <c r="C600" s="79"/>
      <c r="D600" s="79"/>
      <c r="E600" s="79"/>
      <c r="P600" s="79"/>
      <c r="Q600" s="79"/>
      <c r="R600" s="79"/>
      <c r="Y600" s="79"/>
      <c r="AC600" s="130"/>
      <c r="AE600" s="106"/>
    </row>
    <row r="601">
      <c r="C601" s="79"/>
      <c r="D601" s="79"/>
      <c r="E601" s="79"/>
      <c r="P601" s="79"/>
      <c r="Q601" s="79"/>
      <c r="R601" s="79"/>
      <c r="Y601" s="79"/>
      <c r="AC601" s="130"/>
      <c r="AE601" s="106"/>
    </row>
    <row r="602">
      <c r="C602" s="79"/>
      <c r="D602" s="79"/>
      <c r="E602" s="79"/>
      <c r="P602" s="79"/>
      <c r="Q602" s="79"/>
      <c r="R602" s="79"/>
      <c r="Y602" s="79"/>
      <c r="AC602" s="130"/>
      <c r="AE602" s="106"/>
    </row>
    <row r="603">
      <c r="C603" s="79"/>
      <c r="D603" s="79"/>
      <c r="E603" s="79"/>
      <c r="P603" s="79"/>
      <c r="Q603" s="79"/>
      <c r="R603" s="79"/>
      <c r="Y603" s="79"/>
      <c r="AC603" s="130"/>
      <c r="AE603" s="106"/>
    </row>
    <row r="604">
      <c r="C604" s="79"/>
      <c r="D604" s="79"/>
      <c r="E604" s="79"/>
      <c r="P604" s="79"/>
      <c r="Q604" s="79"/>
      <c r="R604" s="79"/>
      <c r="Y604" s="79"/>
      <c r="AC604" s="130"/>
      <c r="AE604" s="106"/>
    </row>
    <row r="605">
      <c r="C605" s="79"/>
      <c r="D605" s="79"/>
      <c r="E605" s="79"/>
      <c r="P605" s="79"/>
      <c r="Q605" s="79"/>
      <c r="R605" s="79"/>
      <c r="Y605" s="79"/>
      <c r="AC605" s="130"/>
      <c r="AE605" s="106"/>
    </row>
    <row r="606">
      <c r="C606" s="79"/>
      <c r="D606" s="79"/>
      <c r="E606" s="79"/>
      <c r="P606" s="79"/>
      <c r="Q606" s="79"/>
      <c r="R606" s="79"/>
      <c r="Y606" s="79"/>
      <c r="AC606" s="130"/>
      <c r="AE606" s="106"/>
    </row>
    <row r="607">
      <c r="C607" s="79"/>
      <c r="D607" s="79"/>
      <c r="E607" s="79"/>
      <c r="P607" s="79"/>
      <c r="Q607" s="79"/>
      <c r="R607" s="79"/>
      <c r="Y607" s="79"/>
      <c r="AC607" s="130"/>
      <c r="AE607" s="106"/>
    </row>
    <row r="608">
      <c r="C608" s="79"/>
      <c r="D608" s="79"/>
      <c r="E608" s="79"/>
      <c r="P608" s="79"/>
      <c r="Q608" s="79"/>
      <c r="R608" s="79"/>
      <c r="Y608" s="79"/>
      <c r="AC608" s="130"/>
      <c r="AE608" s="106"/>
    </row>
    <row r="609">
      <c r="C609" s="79"/>
      <c r="D609" s="79"/>
      <c r="E609" s="79"/>
      <c r="P609" s="79"/>
      <c r="Q609" s="79"/>
      <c r="R609" s="79"/>
      <c r="Y609" s="79"/>
      <c r="AC609" s="130"/>
      <c r="AE609" s="106"/>
    </row>
    <row r="610">
      <c r="C610" s="79"/>
      <c r="D610" s="79"/>
      <c r="E610" s="79"/>
      <c r="P610" s="79"/>
      <c r="Q610" s="79"/>
      <c r="R610" s="79"/>
      <c r="Y610" s="79"/>
      <c r="AC610" s="130"/>
      <c r="AE610" s="106"/>
    </row>
    <row r="611">
      <c r="C611" s="79"/>
      <c r="D611" s="79"/>
      <c r="E611" s="79"/>
      <c r="P611" s="79"/>
      <c r="Q611" s="79"/>
      <c r="R611" s="79"/>
      <c r="Y611" s="79"/>
      <c r="AC611" s="130"/>
      <c r="AE611" s="106"/>
    </row>
    <row r="612">
      <c r="C612" s="79"/>
      <c r="D612" s="79"/>
      <c r="E612" s="79"/>
      <c r="P612" s="79"/>
      <c r="Q612" s="79"/>
      <c r="R612" s="79"/>
      <c r="Y612" s="79"/>
      <c r="AC612" s="130"/>
      <c r="AE612" s="106"/>
    </row>
    <row r="613">
      <c r="C613" s="79"/>
      <c r="D613" s="79"/>
      <c r="E613" s="79"/>
      <c r="P613" s="79"/>
      <c r="Q613" s="79"/>
      <c r="R613" s="79"/>
      <c r="Y613" s="79"/>
      <c r="AC613" s="130"/>
      <c r="AE613" s="106"/>
    </row>
    <row r="614">
      <c r="C614" s="79"/>
      <c r="D614" s="79"/>
      <c r="E614" s="79"/>
      <c r="P614" s="79"/>
      <c r="Q614" s="79"/>
      <c r="R614" s="79"/>
      <c r="Y614" s="79"/>
      <c r="AC614" s="130"/>
      <c r="AE614" s="106"/>
    </row>
    <row r="615">
      <c r="C615" s="79"/>
      <c r="D615" s="79"/>
      <c r="E615" s="79"/>
      <c r="P615" s="79"/>
      <c r="Q615" s="79"/>
      <c r="R615" s="79"/>
      <c r="Y615" s="79"/>
      <c r="AC615" s="130"/>
      <c r="AE615" s="106"/>
    </row>
    <row r="616">
      <c r="C616" s="79"/>
      <c r="D616" s="79"/>
      <c r="E616" s="79"/>
      <c r="P616" s="79"/>
      <c r="Q616" s="79"/>
      <c r="R616" s="79"/>
      <c r="Y616" s="79"/>
      <c r="AC616" s="130"/>
      <c r="AE616" s="106"/>
    </row>
    <row r="617">
      <c r="C617" s="79"/>
      <c r="D617" s="79"/>
      <c r="E617" s="79"/>
      <c r="P617" s="79"/>
      <c r="Q617" s="79"/>
      <c r="R617" s="79"/>
      <c r="Y617" s="79"/>
      <c r="AC617" s="130"/>
      <c r="AE617" s="106"/>
    </row>
    <row r="618">
      <c r="C618" s="79"/>
      <c r="D618" s="79"/>
      <c r="E618" s="79"/>
      <c r="P618" s="79"/>
      <c r="Q618" s="79"/>
      <c r="R618" s="79"/>
      <c r="Y618" s="79"/>
      <c r="AC618" s="130"/>
      <c r="AE618" s="106"/>
    </row>
    <row r="619">
      <c r="C619" s="79"/>
      <c r="D619" s="79"/>
      <c r="E619" s="79"/>
      <c r="P619" s="79"/>
      <c r="Q619" s="79"/>
      <c r="R619" s="79"/>
      <c r="Y619" s="79"/>
      <c r="AC619" s="130"/>
      <c r="AE619" s="106"/>
    </row>
    <row r="620">
      <c r="C620" s="79"/>
      <c r="D620" s="79"/>
      <c r="E620" s="79"/>
      <c r="P620" s="79"/>
      <c r="Q620" s="79"/>
      <c r="R620" s="79"/>
      <c r="Y620" s="79"/>
      <c r="AC620" s="130"/>
      <c r="AE620" s="106"/>
    </row>
    <row r="621">
      <c r="C621" s="79"/>
      <c r="D621" s="79"/>
      <c r="E621" s="79"/>
      <c r="P621" s="79"/>
      <c r="Q621" s="79"/>
      <c r="R621" s="79"/>
      <c r="Y621" s="79"/>
      <c r="AC621" s="130"/>
      <c r="AE621" s="106"/>
    </row>
    <row r="622">
      <c r="C622" s="79"/>
      <c r="D622" s="79"/>
      <c r="E622" s="79"/>
      <c r="P622" s="79"/>
      <c r="Q622" s="79"/>
      <c r="R622" s="79"/>
      <c r="Y622" s="79"/>
      <c r="AC622" s="130"/>
      <c r="AE622" s="106"/>
    </row>
    <row r="623">
      <c r="C623" s="79"/>
      <c r="D623" s="79"/>
      <c r="E623" s="79"/>
      <c r="P623" s="79"/>
      <c r="Q623" s="79"/>
      <c r="R623" s="79"/>
      <c r="Y623" s="79"/>
      <c r="AC623" s="130"/>
      <c r="AE623" s="106"/>
    </row>
    <row r="624">
      <c r="C624" s="79"/>
      <c r="D624" s="79"/>
      <c r="E624" s="79"/>
      <c r="P624" s="79"/>
      <c r="Q624" s="79"/>
      <c r="R624" s="79"/>
      <c r="Y624" s="79"/>
      <c r="AC624" s="130"/>
      <c r="AE624" s="106"/>
    </row>
    <row r="625">
      <c r="C625" s="79"/>
      <c r="D625" s="79"/>
      <c r="E625" s="79"/>
      <c r="P625" s="79"/>
      <c r="Q625" s="79"/>
      <c r="R625" s="79"/>
      <c r="Y625" s="79"/>
      <c r="AC625" s="130"/>
      <c r="AE625" s="106"/>
    </row>
    <row r="626">
      <c r="C626" s="79"/>
      <c r="D626" s="79"/>
      <c r="E626" s="79"/>
      <c r="P626" s="79"/>
      <c r="Q626" s="79"/>
      <c r="R626" s="79"/>
      <c r="Y626" s="79"/>
      <c r="AC626" s="130"/>
      <c r="AE626" s="106"/>
    </row>
    <row r="627">
      <c r="C627" s="79"/>
      <c r="D627" s="79"/>
      <c r="E627" s="79"/>
      <c r="P627" s="79"/>
      <c r="Q627" s="79"/>
      <c r="R627" s="79"/>
      <c r="Y627" s="79"/>
      <c r="AC627" s="130"/>
      <c r="AE627" s="106"/>
    </row>
    <row r="628">
      <c r="C628" s="79"/>
      <c r="D628" s="79"/>
      <c r="E628" s="79"/>
      <c r="P628" s="79"/>
      <c r="Q628" s="79"/>
      <c r="R628" s="79"/>
      <c r="Y628" s="79"/>
      <c r="AC628" s="130"/>
      <c r="AE628" s="106"/>
    </row>
    <row r="629">
      <c r="C629" s="79"/>
      <c r="D629" s="79"/>
      <c r="E629" s="79"/>
      <c r="P629" s="79"/>
      <c r="Q629" s="79"/>
      <c r="R629" s="79"/>
      <c r="Y629" s="79"/>
      <c r="AC629" s="130"/>
      <c r="AE629" s="106"/>
    </row>
    <row r="630">
      <c r="C630" s="79"/>
      <c r="D630" s="79"/>
      <c r="E630" s="79"/>
      <c r="P630" s="79"/>
      <c r="Q630" s="79"/>
      <c r="R630" s="79"/>
      <c r="Y630" s="79"/>
      <c r="AC630" s="130"/>
      <c r="AE630" s="106"/>
    </row>
    <row r="631">
      <c r="C631" s="79"/>
      <c r="D631" s="79"/>
      <c r="E631" s="79"/>
      <c r="P631" s="79"/>
      <c r="Q631" s="79"/>
      <c r="R631" s="79"/>
      <c r="Y631" s="79"/>
      <c r="AC631" s="130"/>
      <c r="AE631" s="106"/>
    </row>
    <row r="632">
      <c r="C632" s="79"/>
      <c r="D632" s="79"/>
      <c r="E632" s="79"/>
      <c r="P632" s="79"/>
      <c r="Q632" s="79"/>
      <c r="R632" s="79"/>
      <c r="Y632" s="79"/>
      <c r="AC632" s="130"/>
      <c r="AE632" s="106"/>
    </row>
    <row r="633">
      <c r="C633" s="79"/>
      <c r="D633" s="79"/>
      <c r="E633" s="79"/>
      <c r="P633" s="79"/>
      <c r="Q633" s="79"/>
      <c r="R633" s="79"/>
      <c r="Y633" s="79"/>
      <c r="AC633" s="130"/>
      <c r="AE633" s="106"/>
    </row>
    <row r="634">
      <c r="C634" s="79"/>
      <c r="D634" s="79"/>
      <c r="E634" s="79"/>
      <c r="P634" s="79"/>
      <c r="Q634" s="79"/>
      <c r="R634" s="79"/>
      <c r="Y634" s="79"/>
      <c r="AC634" s="130"/>
      <c r="AE634" s="106"/>
    </row>
    <row r="635">
      <c r="C635" s="79"/>
      <c r="D635" s="79"/>
      <c r="E635" s="79"/>
      <c r="P635" s="79"/>
      <c r="Q635" s="79"/>
      <c r="R635" s="79"/>
      <c r="Y635" s="79"/>
      <c r="AC635" s="130"/>
      <c r="AE635" s="106"/>
    </row>
    <row r="636">
      <c r="C636" s="79"/>
      <c r="D636" s="79"/>
      <c r="E636" s="79"/>
      <c r="P636" s="79"/>
      <c r="Q636" s="79"/>
      <c r="R636" s="79"/>
      <c r="Y636" s="79"/>
      <c r="AC636" s="130"/>
      <c r="AE636" s="106"/>
    </row>
    <row r="637">
      <c r="C637" s="79"/>
      <c r="D637" s="79"/>
      <c r="E637" s="79"/>
      <c r="P637" s="79"/>
      <c r="Q637" s="79"/>
      <c r="R637" s="79"/>
      <c r="Y637" s="79"/>
      <c r="AC637" s="130"/>
      <c r="AE637" s="106"/>
    </row>
    <row r="638">
      <c r="C638" s="79"/>
      <c r="D638" s="79"/>
      <c r="E638" s="79"/>
      <c r="P638" s="79"/>
      <c r="Q638" s="79"/>
      <c r="R638" s="79"/>
      <c r="Y638" s="79"/>
      <c r="AC638" s="130"/>
      <c r="AE638" s="106"/>
    </row>
    <row r="639">
      <c r="C639" s="79"/>
      <c r="D639" s="79"/>
      <c r="E639" s="79"/>
      <c r="P639" s="79"/>
      <c r="Q639" s="79"/>
      <c r="R639" s="79"/>
      <c r="Y639" s="79"/>
      <c r="AC639" s="130"/>
      <c r="AE639" s="106"/>
    </row>
    <row r="640">
      <c r="C640" s="79"/>
      <c r="D640" s="79"/>
      <c r="E640" s="79"/>
      <c r="P640" s="79"/>
      <c r="Q640" s="79"/>
      <c r="R640" s="79"/>
      <c r="Y640" s="79"/>
      <c r="AC640" s="130"/>
      <c r="AE640" s="106"/>
    </row>
    <row r="641">
      <c r="C641" s="79"/>
      <c r="D641" s="79"/>
      <c r="E641" s="79"/>
      <c r="P641" s="79"/>
      <c r="Q641" s="79"/>
      <c r="R641" s="79"/>
      <c r="Y641" s="79"/>
      <c r="AC641" s="130"/>
      <c r="AE641" s="106"/>
    </row>
    <row r="642">
      <c r="C642" s="79"/>
      <c r="D642" s="79"/>
      <c r="E642" s="79"/>
      <c r="P642" s="79"/>
      <c r="Q642" s="79"/>
      <c r="R642" s="79"/>
      <c r="Y642" s="79"/>
      <c r="AC642" s="130"/>
      <c r="AE642" s="106"/>
    </row>
    <row r="643">
      <c r="C643" s="79"/>
      <c r="D643" s="79"/>
      <c r="E643" s="79"/>
      <c r="P643" s="79"/>
      <c r="Q643" s="79"/>
      <c r="R643" s="79"/>
      <c r="Y643" s="79"/>
      <c r="AC643" s="130"/>
      <c r="AE643" s="106"/>
    </row>
    <row r="644">
      <c r="C644" s="79"/>
      <c r="D644" s="79"/>
      <c r="E644" s="79"/>
      <c r="P644" s="79"/>
      <c r="Q644" s="79"/>
      <c r="R644" s="79"/>
      <c r="Y644" s="79"/>
      <c r="AC644" s="130"/>
      <c r="AE644" s="106"/>
    </row>
    <row r="645">
      <c r="C645" s="79"/>
      <c r="D645" s="79"/>
      <c r="E645" s="79"/>
      <c r="P645" s="79"/>
      <c r="Q645" s="79"/>
      <c r="R645" s="79"/>
      <c r="Y645" s="79"/>
      <c r="AC645" s="130"/>
      <c r="AE645" s="106"/>
    </row>
    <row r="646">
      <c r="C646" s="79"/>
      <c r="D646" s="79"/>
      <c r="E646" s="79"/>
      <c r="P646" s="79"/>
      <c r="Q646" s="79"/>
      <c r="R646" s="79"/>
      <c r="Y646" s="79"/>
      <c r="AC646" s="130"/>
      <c r="AE646" s="106"/>
    </row>
    <row r="647">
      <c r="C647" s="79"/>
      <c r="D647" s="79"/>
      <c r="E647" s="79"/>
      <c r="P647" s="79"/>
      <c r="Q647" s="79"/>
      <c r="R647" s="79"/>
      <c r="Y647" s="79"/>
      <c r="AC647" s="130"/>
      <c r="AE647" s="106"/>
    </row>
    <row r="648">
      <c r="C648" s="79"/>
      <c r="D648" s="79"/>
      <c r="E648" s="79"/>
      <c r="P648" s="79"/>
      <c r="Q648" s="79"/>
      <c r="R648" s="79"/>
      <c r="Y648" s="79"/>
      <c r="AC648" s="130"/>
      <c r="AE648" s="106"/>
    </row>
    <row r="649">
      <c r="C649" s="79"/>
      <c r="D649" s="79"/>
      <c r="E649" s="79"/>
      <c r="P649" s="79"/>
      <c r="Q649" s="79"/>
      <c r="R649" s="79"/>
      <c r="Y649" s="79"/>
      <c r="AC649" s="130"/>
      <c r="AE649" s="106"/>
    </row>
    <row r="650">
      <c r="C650" s="79"/>
      <c r="D650" s="79"/>
      <c r="E650" s="79"/>
      <c r="P650" s="79"/>
      <c r="Q650" s="79"/>
      <c r="R650" s="79"/>
      <c r="Y650" s="79"/>
      <c r="AC650" s="130"/>
      <c r="AE650" s="106"/>
    </row>
    <row r="651">
      <c r="C651" s="79"/>
      <c r="D651" s="79"/>
      <c r="E651" s="79"/>
      <c r="P651" s="79"/>
      <c r="Q651" s="79"/>
      <c r="R651" s="79"/>
      <c r="Y651" s="79"/>
      <c r="AC651" s="130"/>
      <c r="AE651" s="106"/>
    </row>
    <row r="652">
      <c r="C652" s="79"/>
      <c r="D652" s="79"/>
      <c r="E652" s="79"/>
      <c r="P652" s="79"/>
      <c r="Q652" s="79"/>
      <c r="R652" s="79"/>
      <c r="Y652" s="79"/>
      <c r="AC652" s="130"/>
      <c r="AE652" s="106"/>
    </row>
    <row r="653">
      <c r="C653" s="79"/>
      <c r="D653" s="79"/>
      <c r="E653" s="79"/>
      <c r="P653" s="79"/>
      <c r="Q653" s="79"/>
      <c r="R653" s="79"/>
      <c r="Y653" s="79"/>
      <c r="AC653" s="130"/>
      <c r="AE653" s="106"/>
    </row>
    <row r="654">
      <c r="C654" s="79"/>
      <c r="D654" s="79"/>
      <c r="E654" s="79"/>
      <c r="P654" s="79"/>
      <c r="Q654" s="79"/>
      <c r="R654" s="79"/>
      <c r="Y654" s="79"/>
      <c r="AC654" s="130"/>
      <c r="AE654" s="106"/>
    </row>
    <row r="655">
      <c r="C655" s="79"/>
      <c r="D655" s="79"/>
      <c r="E655" s="79"/>
      <c r="P655" s="79"/>
      <c r="Q655" s="79"/>
      <c r="R655" s="79"/>
      <c r="Y655" s="79"/>
      <c r="AC655" s="130"/>
      <c r="AE655" s="106"/>
    </row>
    <row r="656">
      <c r="C656" s="79"/>
      <c r="D656" s="79"/>
      <c r="E656" s="79"/>
      <c r="P656" s="79"/>
      <c r="Q656" s="79"/>
      <c r="R656" s="79"/>
      <c r="Y656" s="79"/>
      <c r="AC656" s="130"/>
      <c r="AE656" s="106"/>
    </row>
    <row r="657">
      <c r="C657" s="79"/>
      <c r="D657" s="79"/>
      <c r="E657" s="79"/>
      <c r="P657" s="79"/>
      <c r="Q657" s="79"/>
      <c r="R657" s="79"/>
      <c r="Y657" s="79"/>
      <c r="AC657" s="130"/>
      <c r="AE657" s="106"/>
    </row>
    <row r="658">
      <c r="C658" s="79"/>
      <c r="D658" s="79"/>
      <c r="E658" s="79"/>
      <c r="P658" s="79"/>
      <c r="Q658" s="79"/>
      <c r="R658" s="79"/>
      <c r="Y658" s="79"/>
      <c r="AC658" s="130"/>
      <c r="AE658" s="106"/>
    </row>
    <row r="659">
      <c r="C659" s="79"/>
      <c r="D659" s="79"/>
      <c r="E659" s="79"/>
      <c r="P659" s="79"/>
      <c r="Q659" s="79"/>
      <c r="R659" s="79"/>
      <c r="Y659" s="79"/>
      <c r="AC659" s="130"/>
      <c r="AE659" s="106"/>
    </row>
    <row r="660">
      <c r="C660" s="79"/>
      <c r="D660" s="79"/>
      <c r="E660" s="79"/>
      <c r="P660" s="79"/>
      <c r="Q660" s="79"/>
      <c r="R660" s="79"/>
      <c r="Y660" s="79"/>
      <c r="AC660" s="130"/>
      <c r="AE660" s="106"/>
    </row>
    <row r="661">
      <c r="C661" s="79"/>
      <c r="D661" s="79"/>
      <c r="E661" s="79"/>
      <c r="P661" s="79"/>
      <c r="Q661" s="79"/>
      <c r="R661" s="79"/>
      <c r="Y661" s="79"/>
      <c r="AC661" s="130"/>
      <c r="AE661" s="106"/>
    </row>
    <row r="662">
      <c r="C662" s="79"/>
      <c r="D662" s="79"/>
      <c r="E662" s="79"/>
      <c r="P662" s="79"/>
      <c r="Q662" s="79"/>
      <c r="R662" s="79"/>
      <c r="Y662" s="79"/>
      <c r="AC662" s="130"/>
      <c r="AE662" s="106"/>
    </row>
    <row r="663">
      <c r="C663" s="79"/>
      <c r="D663" s="79"/>
      <c r="E663" s="79"/>
      <c r="P663" s="79"/>
      <c r="Q663" s="79"/>
      <c r="R663" s="79"/>
      <c r="Y663" s="79"/>
      <c r="AC663" s="130"/>
      <c r="AE663" s="106"/>
    </row>
    <row r="664">
      <c r="C664" s="79"/>
      <c r="D664" s="79"/>
      <c r="E664" s="79"/>
      <c r="P664" s="79"/>
      <c r="Q664" s="79"/>
      <c r="R664" s="79"/>
      <c r="Y664" s="79"/>
      <c r="AC664" s="130"/>
      <c r="AE664" s="106"/>
    </row>
    <row r="665">
      <c r="C665" s="79"/>
      <c r="D665" s="79"/>
      <c r="E665" s="79"/>
      <c r="P665" s="79"/>
      <c r="Q665" s="79"/>
      <c r="R665" s="79"/>
      <c r="Y665" s="79"/>
      <c r="AC665" s="130"/>
      <c r="AE665" s="106"/>
    </row>
    <row r="666">
      <c r="C666" s="79"/>
      <c r="D666" s="79"/>
      <c r="E666" s="79"/>
      <c r="P666" s="79"/>
      <c r="Q666" s="79"/>
      <c r="R666" s="79"/>
      <c r="Y666" s="79"/>
      <c r="AC666" s="130"/>
      <c r="AE666" s="106"/>
    </row>
    <row r="667">
      <c r="C667" s="79"/>
      <c r="D667" s="79"/>
      <c r="E667" s="79"/>
      <c r="P667" s="79"/>
      <c r="Q667" s="79"/>
      <c r="R667" s="79"/>
      <c r="Y667" s="79"/>
      <c r="AC667" s="130"/>
      <c r="AE667" s="106"/>
    </row>
    <row r="668">
      <c r="C668" s="79"/>
      <c r="D668" s="79"/>
      <c r="E668" s="79"/>
      <c r="P668" s="79"/>
      <c r="Q668" s="79"/>
      <c r="R668" s="79"/>
      <c r="Y668" s="79"/>
      <c r="AC668" s="130"/>
      <c r="AE668" s="106"/>
    </row>
    <row r="669">
      <c r="C669" s="79"/>
      <c r="D669" s="79"/>
      <c r="E669" s="79"/>
      <c r="P669" s="79"/>
      <c r="Q669" s="79"/>
      <c r="R669" s="79"/>
      <c r="Y669" s="79"/>
      <c r="AC669" s="130"/>
      <c r="AE669" s="106"/>
    </row>
    <row r="670">
      <c r="C670" s="79"/>
      <c r="D670" s="79"/>
      <c r="E670" s="79"/>
      <c r="P670" s="79"/>
      <c r="Q670" s="79"/>
      <c r="R670" s="79"/>
      <c r="Y670" s="79"/>
      <c r="AC670" s="130"/>
      <c r="AE670" s="106"/>
    </row>
    <row r="671">
      <c r="C671" s="79"/>
      <c r="D671" s="79"/>
      <c r="E671" s="79"/>
      <c r="P671" s="79"/>
      <c r="Q671" s="79"/>
      <c r="R671" s="79"/>
      <c r="Y671" s="79"/>
      <c r="AC671" s="130"/>
      <c r="AE671" s="106"/>
    </row>
    <row r="672">
      <c r="C672" s="79"/>
      <c r="D672" s="79"/>
      <c r="E672" s="79"/>
      <c r="P672" s="79"/>
      <c r="Q672" s="79"/>
      <c r="R672" s="79"/>
      <c r="Y672" s="79"/>
      <c r="AC672" s="130"/>
      <c r="AE672" s="106"/>
    </row>
    <row r="673">
      <c r="C673" s="79"/>
      <c r="D673" s="79"/>
      <c r="E673" s="79"/>
      <c r="P673" s="79"/>
      <c r="Q673" s="79"/>
      <c r="R673" s="79"/>
      <c r="Y673" s="79"/>
      <c r="AC673" s="130"/>
      <c r="AE673" s="106"/>
    </row>
    <row r="674">
      <c r="C674" s="79"/>
      <c r="D674" s="79"/>
      <c r="E674" s="79"/>
      <c r="P674" s="79"/>
      <c r="Q674" s="79"/>
      <c r="R674" s="79"/>
      <c r="Y674" s="79"/>
      <c r="AC674" s="130"/>
      <c r="AE674" s="106"/>
    </row>
    <row r="675">
      <c r="C675" s="79"/>
      <c r="D675" s="79"/>
      <c r="E675" s="79"/>
      <c r="P675" s="79"/>
      <c r="Q675" s="79"/>
      <c r="R675" s="79"/>
      <c r="Y675" s="79"/>
      <c r="AC675" s="130"/>
      <c r="AE675" s="106"/>
    </row>
    <row r="676">
      <c r="C676" s="79"/>
      <c r="D676" s="79"/>
      <c r="E676" s="79"/>
      <c r="P676" s="79"/>
      <c r="Q676" s="79"/>
      <c r="R676" s="79"/>
      <c r="Y676" s="79"/>
      <c r="AC676" s="130"/>
      <c r="AE676" s="106"/>
    </row>
    <row r="677">
      <c r="C677" s="79"/>
      <c r="D677" s="79"/>
      <c r="E677" s="79"/>
      <c r="P677" s="79"/>
      <c r="Q677" s="79"/>
      <c r="R677" s="79"/>
      <c r="Y677" s="79"/>
      <c r="AC677" s="130"/>
      <c r="AE677" s="106"/>
    </row>
    <row r="678">
      <c r="C678" s="79"/>
      <c r="D678" s="79"/>
      <c r="E678" s="79"/>
      <c r="P678" s="79"/>
      <c r="Q678" s="79"/>
      <c r="R678" s="79"/>
      <c r="Y678" s="79"/>
      <c r="AC678" s="130"/>
      <c r="AE678" s="106"/>
    </row>
    <row r="679">
      <c r="C679" s="79"/>
      <c r="D679" s="79"/>
      <c r="E679" s="79"/>
      <c r="P679" s="79"/>
      <c r="Q679" s="79"/>
      <c r="R679" s="79"/>
      <c r="Y679" s="79"/>
      <c r="AC679" s="130"/>
      <c r="AE679" s="106"/>
    </row>
    <row r="680">
      <c r="C680" s="79"/>
      <c r="D680" s="79"/>
      <c r="E680" s="79"/>
      <c r="P680" s="79"/>
      <c r="Q680" s="79"/>
      <c r="R680" s="79"/>
      <c r="Y680" s="79"/>
      <c r="AC680" s="130"/>
      <c r="AE680" s="106"/>
    </row>
    <row r="681">
      <c r="C681" s="79"/>
      <c r="D681" s="79"/>
      <c r="E681" s="79"/>
      <c r="P681" s="79"/>
      <c r="Q681" s="79"/>
      <c r="R681" s="79"/>
      <c r="Y681" s="79"/>
      <c r="AC681" s="130"/>
      <c r="AE681" s="106"/>
    </row>
    <row r="682">
      <c r="C682" s="79"/>
      <c r="D682" s="79"/>
      <c r="E682" s="79"/>
      <c r="P682" s="79"/>
      <c r="Q682" s="79"/>
      <c r="R682" s="79"/>
      <c r="Y682" s="79"/>
      <c r="AC682" s="130"/>
      <c r="AE682" s="106"/>
    </row>
    <row r="683">
      <c r="C683" s="79"/>
      <c r="D683" s="79"/>
      <c r="E683" s="79"/>
      <c r="P683" s="79"/>
      <c r="Q683" s="79"/>
      <c r="R683" s="79"/>
      <c r="Y683" s="79"/>
      <c r="AC683" s="130"/>
      <c r="AE683" s="106"/>
    </row>
    <row r="684">
      <c r="C684" s="79"/>
      <c r="D684" s="79"/>
      <c r="E684" s="79"/>
      <c r="P684" s="79"/>
      <c r="Q684" s="79"/>
      <c r="R684" s="79"/>
      <c r="Y684" s="79"/>
      <c r="AC684" s="130"/>
      <c r="AE684" s="106"/>
    </row>
    <row r="685">
      <c r="C685" s="79"/>
      <c r="D685" s="79"/>
      <c r="E685" s="79"/>
      <c r="P685" s="79"/>
      <c r="Q685" s="79"/>
      <c r="R685" s="79"/>
      <c r="Y685" s="79"/>
      <c r="AC685" s="130"/>
      <c r="AE685" s="106"/>
    </row>
    <row r="686">
      <c r="C686" s="79"/>
      <c r="D686" s="79"/>
      <c r="E686" s="79"/>
      <c r="P686" s="79"/>
      <c r="Q686" s="79"/>
      <c r="R686" s="79"/>
      <c r="Y686" s="79"/>
      <c r="AC686" s="130"/>
      <c r="AE686" s="106"/>
    </row>
    <row r="687">
      <c r="C687" s="79"/>
      <c r="D687" s="79"/>
      <c r="E687" s="79"/>
      <c r="P687" s="79"/>
      <c r="Q687" s="79"/>
      <c r="R687" s="79"/>
      <c r="Y687" s="79"/>
      <c r="AC687" s="130"/>
      <c r="AE687" s="106"/>
    </row>
    <row r="688">
      <c r="C688" s="79"/>
      <c r="D688" s="79"/>
      <c r="E688" s="79"/>
      <c r="P688" s="79"/>
      <c r="Q688" s="79"/>
      <c r="R688" s="79"/>
      <c r="Y688" s="79"/>
      <c r="AC688" s="130"/>
      <c r="AE688" s="106"/>
    </row>
    <row r="689">
      <c r="C689" s="79"/>
      <c r="D689" s="79"/>
      <c r="E689" s="79"/>
      <c r="P689" s="79"/>
      <c r="Q689" s="79"/>
      <c r="R689" s="79"/>
      <c r="Y689" s="79"/>
      <c r="AC689" s="130"/>
      <c r="AE689" s="106"/>
    </row>
    <row r="690">
      <c r="C690" s="79"/>
      <c r="D690" s="79"/>
      <c r="E690" s="79"/>
      <c r="P690" s="79"/>
      <c r="Q690" s="79"/>
      <c r="R690" s="79"/>
      <c r="Y690" s="79"/>
      <c r="AC690" s="130"/>
      <c r="AE690" s="106"/>
    </row>
    <row r="691">
      <c r="C691" s="79"/>
      <c r="D691" s="79"/>
      <c r="E691" s="79"/>
      <c r="P691" s="79"/>
      <c r="Q691" s="79"/>
      <c r="R691" s="79"/>
      <c r="Y691" s="79"/>
      <c r="AC691" s="130"/>
      <c r="AE691" s="106"/>
    </row>
    <row r="692">
      <c r="C692" s="79"/>
      <c r="D692" s="79"/>
      <c r="E692" s="79"/>
      <c r="P692" s="79"/>
      <c r="Q692" s="79"/>
      <c r="R692" s="79"/>
      <c r="Y692" s="79"/>
      <c r="AC692" s="130"/>
      <c r="AE692" s="106"/>
    </row>
    <row r="693">
      <c r="C693" s="79"/>
      <c r="D693" s="79"/>
      <c r="E693" s="79"/>
      <c r="P693" s="79"/>
      <c r="Q693" s="79"/>
      <c r="R693" s="79"/>
      <c r="Y693" s="79"/>
      <c r="AC693" s="130"/>
      <c r="AE693" s="106"/>
    </row>
    <row r="694">
      <c r="C694" s="79"/>
      <c r="D694" s="79"/>
      <c r="E694" s="79"/>
      <c r="P694" s="79"/>
      <c r="Q694" s="79"/>
      <c r="R694" s="79"/>
      <c r="Y694" s="79"/>
      <c r="AC694" s="130"/>
      <c r="AE694" s="106"/>
    </row>
    <row r="695">
      <c r="C695" s="79"/>
      <c r="D695" s="79"/>
      <c r="E695" s="79"/>
      <c r="P695" s="79"/>
      <c r="Q695" s="79"/>
      <c r="R695" s="79"/>
      <c r="Y695" s="79"/>
      <c r="AC695" s="130"/>
      <c r="AE695" s="106"/>
    </row>
    <row r="696">
      <c r="C696" s="79"/>
      <c r="D696" s="79"/>
      <c r="E696" s="79"/>
      <c r="P696" s="79"/>
      <c r="Q696" s="79"/>
      <c r="R696" s="79"/>
      <c r="Y696" s="79"/>
      <c r="AC696" s="130"/>
      <c r="AE696" s="106"/>
    </row>
    <row r="697">
      <c r="C697" s="79"/>
      <c r="D697" s="79"/>
      <c r="E697" s="79"/>
      <c r="P697" s="79"/>
      <c r="Q697" s="79"/>
      <c r="R697" s="79"/>
      <c r="Y697" s="79"/>
      <c r="AC697" s="130"/>
      <c r="AE697" s="106"/>
    </row>
    <row r="698">
      <c r="C698" s="79"/>
      <c r="D698" s="79"/>
      <c r="E698" s="79"/>
      <c r="P698" s="79"/>
      <c r="Q698" s="79"/>
      <c r="R698" s="79"/>
      <c r="Y698" s="79"/>
      <c r="AC698" s="130"/>
      <c r="AE698" s="106"/>
    </row>
    <row r="699">
      <c r="C699" s="79"/>
      <c r="D699" s="79"/>
      <c r="E699" s="79"/>
      <c r="P699" s="79"/>
      <c r="Q699" s="79"/>
      <c r="R699" s="79"/>
      <c r="Y699" s="79"/>
      <c r="AC699" s="130"/>
      <c r="AE699" s="106"/>
    </row>
    <row r="700">
      <c r="C700" s="79"/>
      <c r="D700" s="79"/>
      <c r="E700" s="79"/>
      <c r="P700" s="79"/>
      <c r="Q700" s="79"/>
      <c r="R700" s="79"/>
      <c r="Y700" s="79"/>
      <c r="AC700" s="130"/>
      <c r="AE700" s="106"/>
    </row>
    <row r="701">
      <c r="C701" s="79"/>
      <c r="D701" s="79"/>
      <c r="E701" s="79"/>
      <c r="P701" s="79"/>
      <c r="Q701" s="79"/>
      <c r="R701" s="79"/>
      <c r="Y701" s="79"/>
      <c r="AC701" s="130"/>
      <c r="AE701" s="106"/>
    </row>
    <row r="702">
      <c r="C702" s="79"/>
      <c r="D702" s="79"/>
      <c r="E702" s="79"/>
      <c r="P702" s="79"/>
      <c r="Q702" s="79"/>
      <c r="R702" s="79"/>
      <c r="Y702" s="79"/>
      <c r="AC702" s="130"/>
      <c r="AE702" s="106"/>
    </row>
    <row r="703">
      <c r="C703" s="79"/>
      <c r="D703" s="79"/>
      <c r="E703" s="79"/>
      <c r="P703" s="79"/>
      <c r="Q703" s="79"/>
      <c r="R703" s="79"/>
      <c r="Y703" s="79"/>
      <c r="AC703" s="130"/>
      <c r="AE703" s="106"/>
    </row>
    <row r="704">
      <c r="C704" s="79"/>
      <c r="D704" s="79"/>
      <c r="E704" s="79"/>
      <c r="P704" s="79"/>
      <c r="Q704" s="79"/>
      <c r="R704" s="79"/>
      <c r="Y704" s="79"/>
      <c r="AC704" s="130"/>
      <c r="AE704" s="106"/>
    </row>
    <row r="705">
      <c r="C705" s="79"/>
      <c r="D705" s="79"/>
      <c r="E705" s="79"/>
      <c r="P705" s="79"/>
      <c r="Q705" s="79"/>
      <c r="R705" s="79"/>
      <c r="Y705" s="79"/>
      <c r="AC705" s="130"/>
      <c r="AE705" s="106"/>
    </row>
    <row r="706">
      <c r="C706" s="79"/>
      <c r="D706" s="79"/>
      <c r="E706" s="79"/>
      <c r="P706" s="79"/>
      <c r="Q706" s="79"/>
      <c r="R706" s="79"/>
      <c r="Y706" s="79"/>
      <c r="AC706" s="130"/>
      <c r="AE706" s="106"/>
    </row>
    <row r="707">
      <c r="C707" s="79"/>
      <c r="D707" s="79"/>
      <c r="E707" s="79"/>
      <c r="P707" s="79"/>
      <c r="Q707" s="79"/>
      <c r="R707" s="79"/>
      <c r="Y707" s="79"/>
      <c r="AC707" s="130"/>
      <c r="AE707" s="106"/>
    </row>
    <row r="708">
      <c r="C708" s="79"/>
      <c r="D708" s="79"/>
      <c r="E708" s="79"/>
      <c r="P708" s="79"/>
      <c r="Q708" s="79"/>
      <c r="R708" s="79"/>
      <c r="Y708" s="79"/>
      <c r="AC708" s="130"/>
      <c r="AE708" s="106"/>
    </row>
    <row r="709">
      <c r="C709" s="79"/>
      <c r="D709" s="79"/>
      <c r="E709" s="79"/>
      <c r="P709" s="79"/>
      <c r="Q709" s="79"/>
      <c r="R709" s="79"/>
      <c r="Y709" s="79"/>
      <c r="AC709" s="130"/>
      <c r="AE709" s="106"/>
    </row>
    <row r="710">
      <c r="C710" s="79"/>
      <c r="D710" s="79"/>
      <c r="E710" s="79"/>
      <c r="P710" s="79"/>
      <c r="Q710" s="79"/>
      <c r="R710" s="79"/>
      <c r="Y710" s="79"/>
      <c r="AC710" s="130"/>
      <c r="AE710" s="106"/>
    </row>
    <row r="711">
      <c r="C711" s="79"/>
      <c r="D711" s="79"/>
      <c r="E711" s="79"/>
      <c r="P711" s="79"/>
      <c r="Q711" s="79"/>
      <c r="R711" s="79"/>
      <c r="Y711" s="79"/>
      <c r="AC711" s="130"/>
      <c r="AE711" s="106"/>
    </row>
    <row r="712">
      <c r="C712" s="79"/>
      <c r="D712" s="79"/>
      <c r="E712" s="79"/>
      <c r="P712" s="79"/>
      <c r="Q712" s="79"/>
      <c r="R712" s="79"/>
      <c r="Y712" s="79"/>
      <c r="AC712" s="130"/>
      <c r="AE712" s="106"/>
    </row>
    <row r="713">
      <c r="C713" s="79"/>
      <c r="D713" s="79"/>
      <c r="E713" s="79"/>
      <c r="P713" s="79"/>
      <c r="Q713" s="79"/>
      <c r="R713" s="79"/>
      <c r="Y713" s="79"/>
      <c r="AC713" s="130"/>
      <c r="AE713" s="106"/>
    </row>
    <row r="714">
      <c r="C714" s="79"/>
      <c r="D714" s="79"/>
      <c r="E714" s="79"/>
      <c r="P714" s="79"/>
      <c r="Q714" s="79"/>
      <c r="R714" s="79"/>
      <c r="Y714" s="79"/>
      <c r="AC714" s="130"/>
      <c r="AE714" s="106"/>
    </row>
    <row r="715">
      <c r="C715" s="79"/>
      <c r="D715" s="79"/>
      <c r="E715" s="79"/>
      <c r="P715" s="79"/>
      <c r="Q715" s="79"/>
      <c r="R715" s="79"/>
      <c r="Y715" s="79"/>
      <c r="AC715" s="130"/>
      <c r="AE715" s="106"/>
    </row>
    <row r="716">
      <c r="C716" s="79"/>
      <c r="D716" s="79"/>
      <c r="E716" s="79"/>
      <c r="P716" s="79"/>
      <c r="Q716" s="79"/>
      <c r="R716" s="79"/>
      <c r="Y716" s="79"/>
      <c r="AC716" s="130"/>
      <c r="AE716" s="106"/>
    </row>
    <row r="717">
      <c r="C717" s="79"/>
      <c r="D717" s="79"/>
      <c r="E717" s="79"/>
      <c r="P717" s="79"/>
      <c r="Q717" s="79"/>
      <c r="R717" s="79"/>
      <c r="Y717" s="79"/>
      <c r="AC717" s="130"/>
      <c r="AE717" s="106"/>
    </row>
    <row r="718">
      <c r="C718" s="79"/>
      <c r="D718" s="79"/>
      <c r="E718" s="79"/>
      <c r="P718" s="79"/>
      <c r="Q718" s="79"/>
      <c r="R718" s="79"/>
      <c r="Y718" s="79"/>
      <c r="AC718" s="130"/>
      <c r="AE718" s="106"/>
    </row>
    <row r="719">
      <c r="C719" s="79"/>
      <c r="D719" s="79"/>
      <c r="E719" s="79"/>
      <c r="P719" s="79"/>
      <c r="Q719" s="79"/>
      <c r="R719" s="79"/>
      <c r="Y719" s="79"/>
      <c r="AC719" s="130"/>
      <c r="AE719" s="106"/>
    </row>
    <row r="720">
      <c r="C720" s="79"/>
      <c r="D720" s="79"/>
      <c r="E720" s="79"/>
      <c r="P720" s="79"/>
      <c r="Q720" s="79"/>
      <c r="R720" s="79"/>
      <c r="Y720" s="79"/>
      <c r="AC720" s="130"/>
      <c r="AE720" s="106"/>
    </row>
    <row r="721">
      <c r="C721" s="79"/>
      <c r="D721" s="79"/>
      <c r="E721" s="79"/>
      <c r="P721" s="79"/>
      <c r="Q721" s="79"/>
      <c r="R721" s="79"/>
      <c r="Y721" s="79"/>
      <c r="AC721" s="130"/>
      <c r="AE721" s="106"/>
    </row>
    <row r="722">
      <c r="C722" s="79"/>
      <c r="D722" s="79"/>
      <c r="E722" s="79"/>
      <c r="P722" s="79"/>
      <c r="Q722" s="79"/>
      <c r="R722" s="79"/>
      <c r="Y722" s="79"/>
      <c r="AC722" s="130"/>
      <c r="AE722" s="106"/>
    </row>
    <row r="723">
      <c r="C723" s="79"/>
      <c r="D723" s="79"/>
      <c r="E723" s="79"/>
      <c r="P723" s="79"/>
      <c r="Q723" s="79"/>
      <c r="R723" s="79"/>
      <c r="Y723" s="79"/>
      <c r="AC723" s="130"/>
      <c r="AE723" s="106"/>
    </row>
    <row r="724">
      <c r="C724" s="79"/>
      <c r="D724" s="79"/>
      <c r="E724" s="79"/>
      <c r="P724" s="79"/>
      <c r="Q724" s="79"/>
      <c r="R724" s="79"/>
      <c r="Y724" s="79"/>
      <c r="AC724" s="130"/>
      <c r="AE724" s="106"/>
    </row>
    <row r="725">
      <c r="C725" s="79"/>
      <c r="D725" s="79"/>
      <c r="E725" s="79"/>
      <c r="P725" s="79"/>
      <c r="Q725" s="79"/>
      <c r="R725" s="79"/>
      <c r="Y725" s="79"/>
      <c r="AC725" s="130"/>
      <c r="AE725" s="106"/>
    </row>
    <row r="726">
      <c r="C726" s="79"/>
      <c r="D726" s="79"/>
      <c r="E726" s="79"/>
      <c r="P726" s="79"/>
      <c r="Q726" s="79"/>
      <c r="R726" s="79"/>
      <c r="Y726" s="79"/>
      <c r="AC726" s="130"/>
      <c r="AE726" s="106"/>
    </row>
    <row r="727">
      <c r="C727" s="79"/>
      <c r="D727" s="79"/>
      <c r="E727" s="79"/>
      <c r="P727" s="79"/>
      <c r="Q727" s="79"/>
      <c r="R727" s="79"/>
      <c r="Y727" s="79"/>
      <c r="AC727" s="130"/>
      <c r="AE727" s="106"/>
    </row>
    <row r="728">
      <c r="C728" s="79"/>
      <c r="D728" s="79"/>
      <c r="E728" s="79"/>
      <c r="P728" s="79"/>
      <c r="Q728" s="79"/>
      <c r="R728" s="79"/>
      <c r="Y728" s="79"/>
      <c r="AC728" s="130"/>
      <c r="AE728" s="106"/>
    </row>
    <row r="729">
      <c r="C729" s="79"/>
      <c r="D729" s="79"/>
      <c r="E729" s="79"/>
      <c r="P729" s="79"/>
      <c r="Q729" s="79"/>
      <c r="R729" s="79"/>
      <c r="Y729" s="79"/>
      <c r="AC729" s="130"/>
      <c r="AE729" s="106"/>
    </row>
    <row r="730">
      <c r="C730" s="79"/>
      <c r="D730" s="79"/>
      <c r="E730" s="79"/>
      <c r="P730" s="79"/>
      <c r="Q730" s="79"/>
      <c r="R730" s="79"/>
      <c r="Y730" s="79"/>
      <c r="AC730" s="130"/>
      <c r="AE730" s="106"/>
    </row>
    <row r="731">
      <c r="C731" s="79"/>
      <c r="D731" s="79"/>
      <c r="E731" s="79"/>
      <c r="P731" s="79"/>
      <c r="Q731" s="79"/>
      <c r="R731" s="79"/>
      <c r="Y731" s="79"/>
      <c r="AC731" s="130"/>
      <c r="AE731" s="106"/>
    </row>
    <row r="732">
      <c r="C732" s="79"/>
      <c r="D732" s="79"/>
      <c r="E732" s="79"/>
      <c r="P732" s="79"/>
      <c r="Q732" s="79"/>
      <c r="R732" s="79"/>
      <c r="Y732" s="79"/>
      <c r="AC732" s="130"/>
      <c r="AE732" s="106"/>
    </row>
    <row r="733">
      <c r="C733" s="79"/>
      <c r="D733" s="79"/>
      <c r="E733" s="79"/>
      <c r="P733" s="79"/>
      <c r="Q733" s="79"/>
      <c r="R733" s="79"/>
      <c r="Y733" s="79"/>
      <c r="AC733" s="130"/>
      <c r="AE733" s="106"/>
    </row>
    <row r="734">
      <c r="C734" s="79"/>
      <c r="D734" s="79"/>
      <c r="E734" s="79"/>
      <c r="P734" s="79"/>
      <c r="Q734" s="79"/>
      <c r="R734" s="79"/>
      <c r="Y734" s="79"/>
      <c r="AC734" s="130"/>
      <c r="AE734" s="106"/>
    </row>
    <row r="735">
      <c r="C735" s="79"/>
      <c r="D735" s="79"/>
      <c r="E735" s="79"/>
      <c r="P735" s="79"/>
      <c r="Q735" s="79"/>
      <c r="R735" s="79"/>
      <c r="Y735" s="79"/>
      <c r="AC735" s="130"/>
      <c r="AE735" s="106"/>
    </row>
    <row r="736">
      <c r="C736" s="79"/>
      <c r="D736" s="79"/>
      <c r="E736" s="79"/>
      <c r="P736" s="79"/>
      <c r="Q736" s="79"/>
      <c r="R736" s="79"/>
      <c r="Y736" s="79"/>
      <c r="AC736" s="130"/>
      <c r="AE736" s="106"/>
    </row>
    <row r="737">
      <c r="C737" s="79"/>
      <c r="D737" s="79"/>
      <c r="E737" s="79"/>
      <c r="P737" s="79"/>
      <c r="Q737" s="79"/>
      <c r="R737" s="79"/>
      <c r="Y737" s="79"/>
      <c r="AC737" s="130"/>
      <c r="AE737" s="106"/>
    </row>
    <row r="738">
      <c r="C738" s="79"/>
      <c r="D738" s="79"/>
      <c r="E738" s="79"/>
      <c r="P738" s="79"/>
      <c r="Q738" s="79"/>
      <c r="R738" s="79"/>
      <c r="Y738" s="79"/>
      <c r="AC738" s="130"/>
      <c r="AE738" s="106"/>
    </row>
    <row r="739">
      <c r="C739" s="79"/>
      <c r="D739" s="79"/>
      <c r="E739" s="79"/>
      <c r="P739" s="79"/>
      <c r="Q739" s="79"/>
      <c r="R739" s="79"/>
      <c r="Y739" s="79"/>
      <c r="AC739" s="130"/>
      <c r="AE739" s="106"/>
    </row>
    <row r="740">
      <c r="C740" s="79"/>
      <c r="D740" s="79"/>
      <c r="E740" s="79"/>
      <c r="P740" s="79"/>
      <c r="Q740" s="79"/>
      <c r="R740" s="79"/>
      <c r="Y740" s="79"/>
      <c r="AC740" s="130"/>
      <c r="AE740" s="106"/>
    </row>
    <row r="741">
      <c r="C741" s="79"/>
      <c r="D741" s="79"/>
      <c r="E741" s="79"/>
      <c r="P741" s="79"/>
      <c r="Q741" s="79"/>
      <c r="R741" s="79"/>
      <c r="Y741" s="79"/>
      <c r="AC741" s="130"/>
      <c r="AE741" s="106"/>
    </row>
    <row r="742">
      <c r="C742" s="79"/>
      <c r="D742" s="79"/>
      <c r="E742" s="79"/>
      <c r="P742" s="79"/>
      <c r="Q742" s="79"/>
      <c r="R742" s="79"/>
      <c r="Y742" s="79"/>
      <c r="AC742" s="130"/>
      <c r="AE742" s="106"/>
    </row>
    <row r="743">
      <c r="C743" s="79"/>
      <c r="D743" s="79"/>
      <c r="E743" s="79"/>
      <c r="P743" s="79"/>
      <c r="Q743" s="79"/>
      <c r="R743" s="79"/>
      <c r="Y743" s="79"/>
      <c r="AC743" s="130"/>
      <c r="AE743" s="106"/>
    </row>
    <row r="744">
      <c r="C744" s="79"/>
      <c r="D744" s="79"/>
      <c r="E744" s="79"/>
      <c r="P744" s="79"/>
      <c r="Q744" s="79"/>
      <c r="R744" s="79"/>
      <c r="Y744" s="79"/>
      <c r="AC744" s="130"/>
      <c r="AE744" s="106"/>
    </row>
    <row r="745">
      <c r="C745" s="79"/>
      <c r="D745" s="79"/>
      <c r="E745" s="79"/>
      <c r="P745" s="79"/>
      <c r="Q745" s="79"/>
      <c r="R745" s="79"/>
      <c r="Y745" s="79"/>
      <c r="AC745" s="130"/>
      <c r="AE745" s="106"/>
    </row>
    <row r="746">
      <c r="C746" s="79"/>
      <c r="D746" s="79"/>
      <c r="E746" s="79"/>
      <c r="P746" s="79"/>
      <c r="Q746" s="79"/>
      <c r="R746" s="79"/>
      <c r="Y746" s="79"/>
      <c r="AC746" s="130"/>
      <c r="AE746" s="106"/>
    </row>
    <row r="747">
      <c r="C747" s="79"/>
      <c r="D747" s="79"/>
      <c r="E747" s="79"/>
      <c r="P747" s="79"/>
      <c r="Q747" s="79"/>
      <c r="R747" s="79"/>
      <c r="Y747" s="79"/>
      <c r="AC747" s="130"/>
      <c r="AE747" s="106"/>
    </row>
    <row r="748">
      <c r="C748" s="79"/>
      <c r="D748" s="79"/>
      <c r="E748" s="79"/>
      <c r="P748" s="79"/>
      <c r="Q748" s="79"/>
      <c r="R748" s="79"/>
      <c r="Y748" s="79"/>
      <c r="AC748" s="130"/>
      <c r="AE748" s="106"/>
    </row>
    <row r="749">
      <c r="C749" s="79"/>
      <c r="D749" s="79"/>
      <c r="E749" s="79"/>
      <c r="P749" s="79"/>
      <c r="Q749" s="79"/>
      <c r="R749" s="79"/>
      <c r="Y749" s="79"/>
      <c r="AC749" s="130"/>
      <c r="AE749" s="106"/>
    </row>
    <row r="750">
      <c r="C750" s="79"/>
      <c r="D750" s="79"/>
      <c r="E750" s="79"/>
      <c r="P750" s="79"/>
      <c r="Q750" s="79"/>
      <c r="R750" s="79"/>
      <c r="Y750" s="79"/>
      <c r="AC750" s="130"/>
      <c r="AE750" s="106"/>
    </row>
    <row r="751">
      <c r="C751" s="79"/>
      <c r="D751" s="79"/>
      <c r="E751" s="79"/>
      <c r="P751" s="79"/>
      <c r="Q751" s="79"/>
      <c r="R751" s="79"/>
      <c r="Y751" s="79"/>
      <c r="AC751" s="130"/>
      <c r="AE751" s="106"/>
    </row>
    <row r="752">
      <c r="C752" s="79"/>
      <c r="D752" s="79"/>
      <c r="E752" s="79"/>
      <c r="P752" s="79"/>
      <c r="Q752" s="79"/>
      <c r="R752" s="79"/>
      <c r="Y752" s="79"/>
      <c r="AC752" s="130"/>
      <c r="AE752" s="106"/>
    </row>
    <row r="753">
      <c r="C753" s="79"/>
      <c r="D753" s="79"/>
      <c r="E753" s="79"/>
      <c r="P753" s="79"/>
      <c r="Q753" s="79"/>
      <c r="R753" s="79"/>
      <c r="Y753" s="79"/>
      <c r="AC753" s="130"/>
      <c r="AE753" s="106"/>
    </row>
    <row r="754">
      <c r="C754" s="79"/>
      <c r="D754" s="79"/>
      <c r="E754" s="79"/>
      <c r="P754" s="79"/>
      <c r="Q754" s="79"/>
      <c r="R754" s="79"/>
      <c r="Y754" s="79"/>
      <c r="AC754" s="130"/>
      <c r="AE754" s="106"/>
    </row>
    <row r="755">
      <c r="C755" s="79"/>
      <c r="D755" s="79"/>
      <c r="E755" s="79"/>
      <c r="P755" s="79"/>
      <c r="Q755" s="79"/>
      <c r="R755" s="79"/>
      <c r="Y755" s="79"/>
      <c r="AC755" s="130"/>
      <c r="AE755" s="106"/>
    </row>
    <row r="756">
      <c r="C756" s="79"/>
      <c r="D756" s="79"/>
      <c r="E756" s="79"/>
      <c r="P756" s="79"/>
      <c r="Q756" s="79"/>
      <c r="R756" s="79"/>
      <c r="Y756" s="79"/>
      <c r="AC756" s="130"/>
      <c r="AE756" s="106"/>
    </row>
    <row r="757">
      <c r="C757" s="79"/>
      <c r="D757" s="79"/>
      <c r="E757" s="79"/>
      <c r="P757" s="79"/>
      <c r="Q757" s="79"/>
      <c r="R757" s="79"/>
      <c r="Y757" s="79"/>
      <c r="AC757" s="130"/>
      <c r="AE757" s="106"/>
    </row>
    <row r="758">
      <c r="C758" s="79"/>
      <c r="D758" s="79"/>
      <c r="E758" s="79"/>
      <c r="P758" s="79"/>
      <c r="Q758" s="79"/>
      <c r="R758" s="79"/>
      <c r="Y758" s="79"/>
      <c r="AC758" s="130"/>
      <c r="AE758" s="106"/>
    </row>
    <row r="759">
      <c r="C759" s="79"/>
      <c r="D759" s="79"/>
      <c r="E759" s="79"/>
      <c r="P759" s="79"/>
      <c r="Q759" s="79"/>
      <c r="R759" s="79"/>
      <c r="Y759" s="79"/>
      <c r="AC759" s="130"/>
      <c r="AE759" s="106"/>
    </row>
    <row r="760">
      <c r="C760" s="79"/>
      <c r="D760" s="79"/>
      <c r="E760" s="79"/>
      <c r="P760" s="79"/>
      <c r="Q760" s="79"/>
      <c r="R760" s="79"/>
      <c r="Y760" s="79"/>
      <c r="AC760" s="130"/>
      <c r="AE760" s="106"/>
    </row>
    <row r="761">
      <c r="C761" s="79"/>
      <c r="D761" s="79"/>
      <c r="E761" s="79"/>
      <c r="P761" s="79"/>
      <c r="Q761" s="79"/>
      <c r="R761" s="79"/>
      <c r="Y761" s="79"/>
      <c r="AC761" s="130"/>
      <c r="AE761" s="106"/>
    </row>
    <row r="762">
      <c r="C762" s="79"/>
      <c r="D762" s="79"/>
      <c r="E762" s="79"/>
      <c r="P762" s="79"/>
      <c r="Q762" s="79"/>
      <c r="R762" s="79"/>
      <c r="Y762" s="79"/>
      <c r="AC762" s="130"/>
      <c r="AE762" s="106"/>
    </row>
    <row r="763">
      <c r="C763" s="79"/>
      <c r="D763" s="79"/>
      <c r="E763" s="79"/>
      <c r="P763" s="79"/>
      <c r="Q763" s="79"/>
      <c r="R763" s="79"/>
      <c r="Y763" s="79"/>
      <c r="AC763" s="130"/>
      <c r="AE763" s="106"/>
    </row>
    <row r="764">
      <c r="C764" s="79"/>
      <c r="D764" s="79"/>
      <c r="E764" s="79"/>
      <c r="P764" s="79"/>
      <c r="Q764" s="79"/>
      <c r="R764" s="79"/>
      <c r="Y764" s="79"/>
      <c r="AC764" s="130"/>
      <c r="AE764" s="106"/>
    </row>
    <row r="765">
      <c r="C765" s="79"/>
      <c r="D765" s="79"/>
      <c r="E765" s="79"/>
      <c r="P765" s="79"/>
      <c r="Q765" s="79"/>
      <c r="R765" s="79"/>
      <c r="Y765" s="79"/>
      <c r="AC765" s="130"/>
      <c r="AE765" s="106"/>
    </row>
    <row r="766">
      <c r="C766" s="79"/>
      <c r="D766" s="79"/>
      <c r="E766" s="79"/>
      <c r="P766" s="79"/>
      <c r="Q766" s="79"/>
      <c r="R766" s="79"/>
      <c r="Y766" s="79"/>
      <c r="AC766" s="130"/>
      <c r="AE766" s="106"/>
    </row>
    <row r="767">
      <c r="C767" s="79"/>
      <c r="D767" s="79"/>
      <c r="E767" s="79"/>
      <c r="P767" s="79"/>
      <c r="Q767" s="79"/>
      <c r="R767" s="79"/>
      <c r="Y767" s="79"/>
      <c r="AC767" s="130"/>
      <c r="AE767" s="106"/>
    </row>
    <row r="768">
      <c r="C768" s="79"/>
      <c r="D768" s="79"/>
      <c r="E768" s="79"/>
      <c r="P768" s="79"/>
      <c r="Q768" s="79"/>
      <c r="R768" s="79"/>
      <c r="Y768" s="79"/>
      <c r="AC768" s="130"/>
      <c r="AE768" s="106"/>
    </row>
    <row r="769">
      <c r="C769" s="79"/>
      <c r="D769" s="79"/>
      <c r="E769" s="79"/>
      <c r="P769" s="79"/>
      <c r="Q769" s="79"/>
      <c r="R769" s="79"/>
      <c r="Y769" s="79"/>
      <c r="AC769" s="130"/>
      <c r="AE769" s="106"/>
    </row>
    <row r="770">
      <c r="C770" s="79"/>
      <c r="D770" s="79"/>
      <c r="E770" s="79"/>
      <c r="P770" s="79"/>
      <c r="Q770" s="79"/>
      <c r="R770" s="79"/>
      <c r="Y770" s="79"/>
      <c r="AC770" s="130"/>
      <c r="AE770" s="106"/>
    </row>
    <row r="771">
      <c r="C771" s="79"/>
      <c r="D771" s="79"/>
      <c r="E771" s="79"/>
      <c r="P771" s="79"/>
      <c r="Q771" s="79"/>
      <c r="R771" s="79"/>
      <c r="Y771" s="79"/>
      <c r="AC771" s="130"/>
      <c r="AE771" s="106"/>
    </row>
    <row r="772">
      <c r="C772" s="79"/>
      <c r="D772" s="79"/>
      <c r="E772" s="79"/>
      <c r="P772" s="79"/>
      <c r="Q772" s="79"/>
      <c r="R772" s="79"/>
      <c r="Y772" s="79"/>
      <c r="AC772" s="130"/>
      <c r="AE772" s="106"/>
    </row>
    <row r="773">
      <c r="C773" s="79"/>
      <c r="D773" s="79"/>
      <c r="E773" s="79"/>
      <c r="P773" s="79"/>
      <c r="Q773" s="79"/>
      <c r="R773" s="79"/>
      <c r="Y773" s="79"/>
      <c r="AC773" s="130"/>
      <c r="AE773" s="106"/>
    </row>
    <row r="774">
      <c r="C774" s="79"/>
      <c r="D774" s="79"/>
      <c r="E774" s="79"/>
      <c r="P774" s="79"/>
      <c r="Q774" s="79"/>
      <c r="R774" s="79"/>
      <c r="Y774" s="79"/>
      <c r="AC774" s="130"/>
      <c r="AE774" s="106"/>
    </row>
    <row r="775">
      <c r="C775" s="79"/>
      <c r="D775" s="79"/>
      <c r="E775" s="79"/>
      <c r="P775" s="79"/>
      <c r="Q775" s="79"/>
      <c r="R775" s="79"/>
      <c r="Y775" s="79"/>
      <c r="AC775" s="130"/>
      <c r="AE775" s="106"/>
    </row>
    <row r="776">
      <c r="C776" s="79"/>
      <c r="D776" s="79"/>
      <c r="E776" s="79"/>
      <c r="P776" s="79"/>
      <c r="Q776" s="79"/>
      <c r="R776" s="79"/>
      <c r="Y776" s="79"/>
      <c r="AC776" s="130"/>
      <c r="AE776" s="106"/>
    </row>
    <row r="777">
      <c r="C777" s="79"/>
      <c r="D777" s="79"/>
      <c r="E777" s="79"/>
      <c r="P777" s="79"/>
      <c r="Q777" s="79"/>
      <c r="R777" s="79"/>
      <c r="Y777" s="79"/>
      <c r="AC777" s="130"/>
      <c r="AE777" s="106"/>
    </row>
    <row r="778">
      <c r="C778" s="79"/>
      <c r="D778" s="79"/>
      <c r="E778" s="79"/>
      <c r="P778" s="79"/>
      <c r="Q778" s="79"/>
      <c r="R778" s="79"/>
      <c r="Y778" s="79"/>
      <c r="AC778" s="130"/>
      <c r="AE778" s="106"/>
    </row>
    <row r="779">
      <c r="C779" s="79"/>
      <c r="D779" s="79"/>
      <c r="E779" s="79"/>
      <c r="P779" s="79"/>
      <c r="Q779" s="79"/>
      <c r="R779" s="79"/>
      <c r="Y779" s="79"/>
      <c r="AC779" s="130"/>
      <c r="AE779" s="106"/>
    </row>
    <row r="780">
      <c r="C780" s="79"/>
      <c r="D780" s="79"/>
      <c r="E780" s="79"/>
      <c r="P780" s="79"/>
      <c r="Q780" s="79"/>
      <c r="R780" s="79"/>
      <c r="Y780" s="79"/>
      <c r="AC780" s="130"/>
      <c r="AE780" s="106"/>
    </row>
    <row r="781">
      <c r="C781" s="79"/>
      <c r="D781" s="79"/>
      <c r="E781" s="79"/>
      <c r="P781" s="79"/>
      <c r="Q781" s="79"/>
      <c r="R781" s="79"/>
      <c r="Y781" s="79"/>
      <c r="AC781" s="130"/>
      <c r="AE781" s="106"/>
    </row>
    <row r="782">
      <c r="C782" s="79"/>
      <c r="D782" s="79"/>
      <c r="E782" s="79"/>
      <c r="P782" s="79"/>
      <c r="Q782" s="79"/>
      <c r="R782" s="79"/>
      <c r="Y782" s="79"/>
      <c r="AC782" s="130"/>
      <c r="AE782" s="106"/>
    </row>
    <row r="783">
      <c r="C783" s="79"/>
      <c r="D783" s="79"/>
      <c r="E783" s="79"/>
      <c r="P783" s="79"/>
      <c r="Q783" s="79"/>
      <c r="R783" s="79"/>
      <c r="Y783" s="79"/>
      <c r="AC783" s="130"/>
      <c r="AE783" s="106"/>
    </row>
    <row r="784">
      <c r="C784" s="79"/>
      <c r="D784" s="79"/>
      <c r="E784" s="79"/>
      <c r="P784" s="79"/>
      <c r="Q784" s="79"/>
      <c r="R784" s="79"/>
      <c r="Y784" s="79"/>
      <c r="AC784" s="130"/>
      <c r="AE784" s="106"/>
    </row>
    <row r="785">
      <c r="C785" s="79"/>
      <c r="D785" s="79"/>
      <c r="E785" s="79"/>
      <c r="P785" s="79"/>
      <c r="Q785" s="79"/>
      <c r="R785" s="79"/>
      <c r="Y785" s="79"/>
      <c r="AC785" s="130"/>
      <c r="AE785" s="106"/>
    </row>
    <row r="786">
      <c r="C786" s="79"/>
      <c r="D786" s="79"/>
      <c r="E786" s="79"/>
      <c r="P786" s="79"/>
      <c r="Q786" s="79"/>
      <c r="R786" s="79"/>
      <c r="Y786" s="79"/>
      <c r="AC786" s="130"/>
      <c r="AE786" s="106"/>
    </row>
    <row r="787">
      <c r="C787" s="79"/>
      <c r="D787" s="79"/>
      <c r="E787" s="79"/>
      <c r="P787" s="79"/>
      <c r="Q787" s="79"/>
      <c r="R787" s="79"/>
      <c r="Y787" s="79"/>
      <c r="AC787" s="130"/>
      <c r="AE787" s="106"/>
    </row>
    <row r="788">
      <c r="C788" s="79"/>
      <c r="D788" s="79"/>
      <c r="E788" s="79"/>
      <c r="P788" s="79"/>
      <c r="Q788" s="79"/>
      <c r="R788" s="79"/>
      <c r="Y788" s="79"/>
      <c r="AC788" s="130"/>
      <c r="AE788" s="106"/>
    </row>
    <row r="789">
      <c r="C789" s="79"/>
      <c r="D789" s="79"/>
      <c r="E789" s="79"/>
      <c r="P789" s="79"/>
      <c r="Q789" s="79"/>
      <c r="R789" s="79"/>
      <c r="Y789" s="79"/>
      <c r="AC789" s="130"/>
      <c r="AE789" s="106"/>
    </row>
    <row r="790">
      <c r="C790" s="79"/>
      <c r="D790" s="79"/>
      <c r="E790" s="79"/>
      <c r="P790" s="79"/>
      <c r="Q790" s="79"/>
      <c r="R790" s="79"/>
      <c r="Y790" s="79"/>
      <c r="AC790" s="130"/>
      <c r="AE790" s="106"/>
    </row>
    <row r="791">
      <c r="C791" s="79"/>
      <c r="D791" s="79"/>
      <c r="E791" s="79"/>
      <c r="P791" s="79"/>
      <c r="Q791" s="79"/>
      <c r="R791" s="79"/>
      <c r="Y791" s="79"/>
      <c r="AC791" s="130"/>
      <c r="AE791" s="106"/>
    </row>
    <row r="792">
      <c r="C792" s="79"/>
      <c r="D792" s="79"/>
      <c r="E792" s="79"/>
      <c r="P792" s="79"/>
      <c r="Q792" s="79"/>
      <c r="R792" s="79"/>
      <c r="Y792" s="79"/>
      <c r="AC792" s="130"/>
      <c r="AE792" s="106"/>
    </row>
    <row r="793">
      <c r="C793" s="79"/>
      <c r="D793" s="79"/>
      <c r="E793" s="79"/>
      <c r="P793" s="79"/>
      <c r="Q793" s="79"/>
      <c r="R793" s="79"/>
      <c r="Y793" s="79"/>
      <c r="AC793" s="130"/>
      <c r="AE793" s="106"/>
    </row>
    <row r="794">
      <c r="C794" s="79"/>
      <c r="D794" s="79"/>
      <c r="E794" s="79"/>
      <c r="P794" s="79"/>
      <c r="Q794" s="79"/>
      <c r="R794" s="79"/>
      <c r="Y794" s="79"/>
      <c r="AC794" s="130"/>
      <c r="AE794" s="106"/>
    </row>
    <row r="795">
      <c r="C795" s="79"/>
      <c r="D795" s="79"/>
      <c r="E795" s="79"/>
      <c r="P795" s="79"/>
      <c r="Q795" s="79"/>
      <c r="R795" s="79"/>
      <c r="Y795" s="79"/>
      <c r="AC795" s="130"/>
      <c r="AE795" s="106"/>
    </row>
    <row r="796">
      <c r="C796" s="79"/>
      <c r="D796" s="79"/>
      <c r="E796" s="79"/>
      <c r="P796" s="79"/>
      <c r="Q796" s="79"/>
      <c r="R796" s="79"/>
      <c r="Y796" s="79"/>
      <c r="AC796" s="130"/>
      <c r="AE796" s="106"/>
    </row>
    <row r="797">
      <c r="C797" s="79"/>
      <c r="D797" s="79"/>
      <c r="E797" s="79"/>
      <c r="P797" s="79"/>
      <c r="Q797" s="79"/>
      <c r="R797" s="79"/>
      <c r="Y797" s="79"/>
      <c r="AC797" s="130"/>
      <c r="AE797" s="106"/>
    </row>
    <row r="798">
      <c r="C798" s="79"/>
      <c r="D798" s="79"/>
      <c r="E798" s="79"/>
      <c r="P798" s="79"/>
      <c r="Q798" s="79"/>
      <c r="R798" s="79"/>
      <c r="Y798" s="79"/>
      <c r="AC798" s="130"/>
      <c r="AE798" s="106"/>
    </row>
    <row r="799">
      <c r="C799" s="79"/>
      <c r="D799" s="79"/>
      <c r="E799" s="79"/>
      <c r="P799" s="79"/>
      <c r="Q799" s="79"/>
      <c r="R799" s="79"/>
      <c r="Y799" s="79"/>
      <c r="AC799" s="130"/>
      <c r="AE799" s="106"/>
    </row>
    <row r="800">
      <c r="C800" s="79"/>
      <c r="D800" s="79"/>
      <c r="E800" s="79"/>
      <c r="P800" s="79"/>
      <c r="Q800" s="79"/>
      <c r="R800" s="79"/>
      <c r="Y800" s="79"/>
      <c r="AC800" s="130"/>
      <c r="AE800" s="106"/>
    </row>
    <row r="801">
      <c r="C801" s="79"/>
      <c r="D801" s="79"/>
      <c r="E801" s="79"/>
      <c r="P801" s="79"/>
      <c r="Q801" s="79"/>
      <c r="R801" s="79"/>
      <c r="Y801" s="79"/>
      <c r="AC801" s="130"/>
      <c r="AE801" s="106"/>
    </row>
    <row r="802">
      <c r="C802" s="79"/>
      <c r="D802" s="79"/>
      <c r="E802" s="79"/>
      <c r="P802" s="79"/>
      <c r="Q802" s="79"/>
      <c r="R802" s="79"/>
      <c r="Y802" s="79"/>
      <c r="AC802" s="130"/>
      <c r="AE802" s="106"/>
    </row>
    <row r="803">
      <c r="C803" s="79"/>
      <c r="D803" s="79"/>
      <c r="E803" s="79"/>
      <c r="P803" s="79"/>
      <c r="Q803" s="79"/>
      <c r="R803" s="79"/>
      <c r="Y803" s="79"/>
      <c r="AC803" s="130"/>
      <c r="AE803" s="106"/>
    </row>
    <row r="804">
      <c r="C804" s="79"/>
      <c r="D804" s="79"/>
      <c r="E804" s="79"/>
      <c r="P804" s="79"/>
      <c r="Q804" s="79"/>
      <c r="R804" s="79"/>
      <c r="Y804" s="79"/>
      <c r="AC804" s="130"/>
      <c r="AE804" s="106"/>
    </row>
    <row r="805">
      <c r="C805" s="79"/>
      <c r="D805" s="79"/>
      <c r="E805" s="79"/>
      <c r="P805" s="79"/>
      <c r="Q805" s="79"/>
      <c r="R805" s="79"/>
      <c r="Y805" s="79"/>
      <c r="AC805" s="130"/>
      <c r="AE805" s="106"/>
    </row>
    <row r="806">
      <c r="C806" s="79"/>
      <c r="D806" s="79"/>
      <c r="E806" s="79"/>
      <c r="P806" s="79"/>
      <c r="Q806" s="79"/>
      <c r="R806" s="79"/>
      <c r="Y806" s="79"/>
      <c r="AC806" s="130"/>
      <c r="AE806" s="106"/>
    </row>
    <row r="807">
      <c r="C807" s="79"/>
      <c r="D807" s="79"/>
      <c r="E807" s="79"/>
      <c r="P807" s="79"/>
      <c r="Q807" s="79"/>
      <c r="R807" s="79"/>
      <c r="Y807" s="79"/>
      <c r="AC807" s="130"/>
      <c r="AE807" s="106"/>
    </row>
    <row r="808">
      <c r="C808" s="79"/>
      <c r="D808" s="79"/>
      <c r="E808" s="79"/>
      <c r="P808" s="79"/>
      <c r="Q808" s="79"/>
      <c r="R808" s="79"/>
      <c r="Y808" s="79"/>
      <c r="AC808" s="130"/>
      <c r="AE808" s="106"/>
    </row>
    <row r="809">
      <c r="C809" s="79"/>
      <c r="D809" s="79"/>
      <c r="E809" s="79"/>
      <c r="P809" s="79"/>
      <c r="Q809" s="79"/>
      <c r="R809" s="79"/>
      <c r="Y809" s="79"/>
      <c r="AC809" s="130"/>
      <c r="AE809" s="106"/>
    </row>
    <row r="810">
      <c r="C810" s="79"/>
      <c r="D810" s="79"/>
      <c r="E810" s="79"/>
      <c r="P810" s="79"/>
      <c r="Q810" s="79"/>
      <c r="R810" s="79"/>
      <c r="Y810" s="79"/>
      <c r="AC810" s="130"/>
      <c r="AE810" s="106"/>
    </row>
    <row r="811">
      <c r="C811" s="79"/>
      <c r="D811" s="79"/>
      <c r="E811" s="79"/>
      <c r="P811" s="79"/>
      <c r="Q811" s="79"/>
      <c r="R811" s="79"/>
      <c r="Y811" s="79"/>
      <c r="AC811" s="130"/>
      <c r="AE811" s="106"/>
    </row>
    <row r="812">
      <c r="C812" s="79"/>
      <c r="D812" s="79"/>
      <c r="E812" s="79"/>
      <c r="P812" s="79"/>
      <c r="Q812" s="79"/>
      <c r="R812" s="79"/>
      <c r="Y812" s="79"/>
      <c r="AC812" s="130"/>
      <c r="AE812" s="106"/>
    </row>
    <row r="813">
      <c r="C813" s="79"/>
      <c r="D813" s="79"/>
      <c r="E813" s="79"/>
      <c r="P813" s="79"/>
      <c r="Q813" s="79"/>
      <c r="R813" s="79"/>
      <c r="Y813" s="79"/>
      <c r="AC813" s="130"/>
      <c r="AE813" s="106"/>
    </row>
    <row r="814">
      <c r="C814" s="79"/>
      <c r="D814" s="79"/>
      <c r="E814" s="79"/>
      <c r="P814" s="79"/>
      <c r="Q814" s="79"/>
      <c r="R814" s="79"/>
      <c r="Y814" s="79"/>
      <c r="AC814" s="130"/>
      <c r="AE814" s="106"/>
    </row>
    <row r="815">
      <c r="C815" s="79"/>
      <c r="D815" s="79"/>
      <c r="E815" s="79"/>
      <c r="P815" s="79"/>
      <c r="Q815" s="79"/>
      <c r="R815" s="79"/>
      <c r="Y815" s="79"/>
      <c r="AC815" s="130"/>
      <c r="AE815" s="106"/>
    </row>
    <row r="816">
      <c r="C816" s="79"/>
      <c r="D816" s="79"/>
      <c r="E816" s="79"/>
      <c r="P816" s="79"/>
      <c r="Q816" s="79"/>
      <c r="R816" s="79"/>
      <c r="Y816" s="79"/>
      <c r="AC816" s="130"/>
      <c r="AE816" s="106"/>
    </row>
    <row r="817">
      <c r="C817" s="79"/>
      <c r="D817" s="79"/>
      <c r="E817" s="79"/>
      <c r="P817" s="79"/>
      <c r="Q817" s="79"/>
      <c r="R817" s="79"/>
      <c r="Y817" s="79"/>
      <c r="AC817" s="130"/>
      <c r="AE817" s="106"/>
    </row>
    <row r="818">
      <c r="C818" s="79"/>
      <c r="D818" s="79"/>
      <c r="E818" s="79"/>
      <c r="P818" s="79"/>
      <c r="Q818" s="79"/>
      <c r="R818" s="79"/>
      <c r="Y818" s="79"/>
      <c r="AC818" s="130"/>
      <c r="AE818" s="106"/>
    </row>
    <row r="819">
      <c r="C819" s="79"/>
      <c r="D819" s="79"/>
      <c r="E819" s="79"/>
      <c r="P819" s="79"/>
      <c r="Q819" s="79"/>
      <c r="R819" s="79"/>
      <c r="Y819" s="79"/>
      <c r="AC819" s="130"/>
      <c r="AE819" s="106"/>
    </row>
    <row r="820">
      <c r="C820" s="79"/>
      <c r="D820" s="79"/>
      <c r="E820" s="79"/>
      <c r="P820" s="79"/>
      <c r="Q820" s="79"/>
      <c r="R820" s="79"/>
      <c r="Y820" s="79"/>
      <c r="AC820" s="130"/>
      <c r="AE820" s="106"/>
    </row>
    <row r="821">
      <c r="C821" s="79"/>
      <c r="D821" s="79"/>
      <c r="E821" s="79"/>
      <c r="P821" s="79"/>
      <c r="Q821" s="79"/>
      <c r="R821" s="79"/>
      <c r="Y821" s="79"/>
      <c r="AC821" s="130"/>
      <c r="AE821" s="106"/>
    </row>
    <row r="822">
      <c r="C822" s="79"/>
      <c r="D822" s="79"/>
      <c r="E822" s="79"/>
      <c r="P822" s="79"/>
      <c r="Q822" s="79"/>
      <c r="R822" s="79"/>
      <c r="Y822" s="79"/>
      <c r="AC822" s="130"/>
      <c r="AE822" s="106"/>
    </row>
    <row r="823">
      <c r="C823" s="79"/>
      <c r="D823" s="79"/>
      <c r="E823" s="79"/>
      <c r="P823" s="79"/>
      <c r="Q823" s="79"/>
      <c r="R823" s="79"/>
      <c r="Y823" s="79"/>
      <c r="AC823" s="130"/>
      <c r="AE823" s="106"/>
    </row>
    <row r="824">
      <c r="C824" s="79"/>
      <c r="D824" s="79"/>
      <c r="E824" s="79"/>
      <c r="P824" s="79"/>
      <c r="Q824" s="79"/>
      <c r="R824" s="79"/>
      <c r="Y824" s="79"/>
      <c r="AC824" s="130"/>
      <c r="AE824" s="106"/>
    </row>
    <row r="825">
      <c r="C825" s="79"/>
      <c r="D825" s="79"/>
      <c r="E825" s="79"/>
      <c r="P825" s="79"/>
      <c r="Q825" s="79"/>
      <c r="R825" s="79"/>
      <c r="Y825" s="79"/>
      <c r="AC825" s="130"/>
      <c r="AE825" s="106"/>
    </row>
    <row r="826">
      <c r="C826" s="79"/>
      <c r="D826" s="79"/>
      <c r="E826" s="79"/>
      <c r="P826" s="79"/>
      <c r="Q826" s="79"/>
      <c r="R826" s="79"/>
      <c r="Y826" s="79"/>
      <c r="AC826" s="130"/>
      <c r="AE826" s="106"/>
    </row>
    <row r="827">
      <c r="C827" s="79"/>
      <c r="D827" s="79"/>
      <c r="E827" s="79"/>
      <c r="P827" s="79"/>
      <c r="Q827" s="79"/>
      <c r="R827" s="79"/>
      <c r="Y827" s="79"/>
      <c r="AC827" s="130"/>
      <c r="AE827" s="106"/>
    </row>
    <row r="828">
      <c r="C828" s="79"/>
      <c r="D828" s="79"/>
      <c r="E828" s="79"/>
      <c r="P828" s="79"/>
      <c r="Q828" s="79"/>
      <c r="R828" s="79"/>
      <c r="Y828" s="79"/>
      <c r="AC828" s="130"/>
      <c r="AE828" s="106"/>
    </row>
    <row r="829">
      <c r="C829" s="79"/>
      <c r="D829" s="79"/>
      <c r="E829" s="79"/>
      <c r="P829" s="79"/>
      <c r="Q829" s="79"/>
      <c r="R829" s="79"/>
      <c r="Y829" s="79"/>
      <c r="AC829" s="130"/>
      <c r="AE829" s="106"/>
    </row>
    <row r="830">
      <c r="C830" s="79"/>
      <c r="D830" s="79"/>
      <c r="E830" s="79"/>
      <c r="P830" s="79"/>
      <c r="Q830" s="79"/>
      <c r="R830" s="79"/>
      <c r="Y830" s="79"/>
      <c r="AC830" s="130"/>
      <c r="AE830" s="106"/>
    </row>
    <row r="831">
      <c r="C831" s="79"/>
      <c r="D831" s="79"/>
      <c r="E831" s="79"/>
      <c r="P831" s="79"/>
      <c r="Q831" s="79"/>
      <c r="R831" s="79"/>
      <c r="Y831" s="79"/>
      <c r="AC831" s="130"/>
      <c r="AE831" s="106"/>
    </row>
    <row r="832">
      <c r="C832" s="79"/>
      <c r="D832" s="79"/>
      <c r="E832" s="79"/>
      <c r="P832" s="79"/>
      <c r="Q832" s="79"/>
      <c r="R832" s="79"/>
      <c r="Y832" s="79"/>
      <c r="AC832" s="130"/>
      <c r="AE832" s="106"/>
    </row>
    <row r="833">
      <c r="C833" s="79"/>
      <c r="D833" s="79"/>
      <c r="E833" s="79"/>
      <c r="P833" s="79"/>
      <c r="Q833" s="79"/>
      <c r="R833" s="79"/>
      <c r="Y833" s="79"/>
      <c r="AC833" s="130"/>
      <c r="AE833" s="106"/>
    </row>
    <row r="834">
      <c r="C834" s="79"/>
      <c r="D834" s="79"/>
      <c r="E834" s="79"/>
      <c r="P834" s="79"/>
      <c r="Q834" s="79"/>
      <c r="R834" s="79"/>
      <c r="Y834" s="79"/>
      <c r="AC834" s="130"/>
      <c r="AE834" s="106"/>
    </row>
    <row r="835">
      <c r="C835" s="79"/>
      <c r="D835" s="79"/>
      <c r="E835" s="79"/>
      <c r="P835" s="79"/>
      <c r="Q835" s="79"/>
      <c r="R835" s="79"/>
      <c r="Y835" s="79"/>
      <c r="AC835" s="130"/>
      <c r="AE835" s="106"/>
    </row>
    <row r="836">
      <c r="C836" s="79"/>
      <c r="D836" s="79"/>
      <c r="E836" s="79"/>
      <c r="P836" s="79"/>
      <c r="Q836" s="79"/>
      <c r="R836" s="79"/>
      <c r="Y836" s="79"/>
      <c r="AC836" s="130"/>
      <c r="AE836" s="106"/>
    </row>
    <row r="837">
      <c r="C837" s="79"/>
      <c r="D837" s="79"/>
      <c r="E837" s="79"/>
      <c r="P837" s="79"/>
      <c r="Q837" s="79"/>
      <c r="R837" s="79"/>
      <c r="Y837" s="79"/>
      <c r="AC837" s="130"/>
      <c r="AE837" s="106"/>
    </row>
    <row r="838">
      <c r="C838" s="79"/>
      <c r="D838" s="79"/>
      <c r="E838" s="79"/>
      <c r="P838" s="79"/>
      <c r="Q838" s="79"/>
      <c r="R838" s="79"/>
      <c r="Y838" s="79"/>
      <c r="AC838" s="130"/>
      <c r="AE838" s="106"/>
    </row>
    <row r="839">
      <c r="C839" s="79"/>
      <c r="D839" s="79"/>
      <c r="E839" s="79"/>
      <c r="P839" s="79"/>
      <c r="Q839" s="79"/>
      <c r="R839" s="79"/>
      <c r="Y839" s="79"/>
      <c r="AC839" s="130"/>
      <c r="AE839" s="106"/>
    </row>
    <row r="840">
      <c r="C840" s="79"/>
      <c r="D840" s="79"/>
      <c r="E840" s="79"/>
      <c r="P840" s="79"/>
      <c r="Q840" s="79"/>
      <c r="R840" s="79"/>
      <c r="Y840" s="79"/>
      <c r="AC840" s="130"/>
      <c r="AE840" s="106"/>
    </row>
    <row r="841">
      <c r="C841" s="79"/>
      <c r="D841" s="79"/>
      <c r="E841" s="79"/>
      <c r="P841" s="79"/>
      <c r="Q841" s="79"/>
      <c r="R841" s="79"/>
      <c r="Y841" s="79"/>
      <c r="AC841" s="130"/>
      <c r="AE841" s="106"/>
    </row>
    <row r="842">
      <c r="C842" s="79"/>
      <c r="D842" s="79"/>
      <c r="E842" s="79"/>
      <c r="P842" s="79"/>
      <c r="Q842" s="79"/>
      <c r="R842" s="79"/>
      <c r="Y842" s="79"/>
      <c r="AC842" s="130"/>
      <c r="AE842" s="106"/>
    </row>
    <row r="843">
      <c r="C843" s="79"/>
      <c r="D843" s="79"/>
      <c r="E843" s="79"/>
      <c r="P843" s="79"/>
      <c r="Q843" s="79"/>
      <c r="R843" s="79"/>
      <c r="Y843" s="79"/>
      <c r="AC843" s="130"/>
      <c r="AE843" s="106"/>
    </row>
    <row r="844">
      <c r="C844" s="79"/>
      <c r="D844" s="79"/>
      <c r="E844" s="79"/>
      <c r="P844" s="79"/>
      <c r="Q844" s="79"/>
      <c r="R844" s="79"/>
      <c r="Y844" s="79"/>
      <c r="AC844" s="130"/>
      <c r="AE844" s="106"/>
    </row>
    <row r="845">
      <c r="C845" s="79"/>
      <c r="D845" s="79"/>
      <c r="E845" s="79"/>
      <c r="P845" s="79"/>
      <c r="Q845" s="79"/>
      <c r="R845" s="79"/>
      <c r="Y845" s="79"/>
      <c r="AC845" s="130"/>
      <c r="AE845" s="106"/>
    </row>
    <row r="846">
      <c r="C846" s="79"/>
      <c r="D846" s="79"/>
      <c r="E846" s="79"/>
      <c r="P846" s="79"/>
      <c r="Q846" s="79"/>
      <c r="R846" s="79"/>
      <c r="Y846" s="79"/>
      <c r="AC846" s="130"/>
      <c r="AE846" s="106"/>
    </row>
    <row r="847">
      <c r="C847" s="79"/>
      <c r="D847" s="79"/>
      <c r="E847" s="79"/>
      <c r="P847" s="79"/>
      <c r="Q847" s="79"/>
      <c r="R847" s="79"/>
      <c r="Y847" s="79"/>
      <c r="AC847" s="130"/>
      <c r="AE847" s="106"/>
    </row>
    <row r="848">
      <c r="C848" s="79"/>
      <c r="D848" s="79"/>
      <c r="E848" s="79"/>
      <c r="P848" s="79"/>
      <c r="Q848" s="79"/>
      <c r="R848" s="79"/>
      <c r="Y848" s="79"/>
      <c r="AC848" s="130"/>
      <c r="AE848" s="106"/>
    </row>
    <row r="849">
      <c r="C849" s="79"/>
      <c r="D849" s="79"/>
      <c r="E849" s="79"/>
      <c r="P849" s="79"/>
      <c r="Q849" s="79"/>
      <c r="R849" s="79"/>
      <c r="Y849" s="79"/>
      <c r="AC849" s="130"/>
      <c r="AE849" s="106"/>
    </row>
    <row r="850">
      <c r="C850" s="79"/>
      <c r="D850" s="79"/>
      <c r="E850" s="79"/>
      <c r="P850" s="79"/>
      <c r="Q850" s="79"/>
      <c r="R850" s="79"/>
      <c r="Y850" s="79"/>
      <c r="AC850" s="130"/>
      <c r="AE850" s="106"/>
    </row>
    <row r="851">
      <c r="C851" s="79"/>
      <c r="D851" s="79"/>
      <c r="E851" s="79"/>
      <c r="P851" s="79"/>
      <c r="Q851" s="79"/>
      <c r="R851" s="79"/>
      <c r="Y851" s="79"/>
      <c r="AC851" s="130"/>
      <c r="AE851" s="106"/>
    </row>
    <row r="852">
      <c r="C852" s="79"/>
      <c r="D852" s="79"/>
      <c r="E852" s="79"/>
      <c r="P852" s="79"/>
      <c r="Q852" s="79"/>
      <c r="R852" s="79"/>
      <c r="Y852" s="79"/>
      <c r="AC852" s="130"/>
      <c r="AE852" s="106"/>
    </row>
    <row r="853">
      <c r="C853" s="79"/>
      <c r="D853" s="79"/>
      <c r="E853" s="79"/>
      <c r="P853" s="79"/>
      <c r="Q853" s="79"/>
      <c r="R853" s="79"/>
      <c r="Y853" s="79"/>
      <c r="AC853" s="130"/>
      <c r="AE853" s="106"/>
    </row>
    <row r="854">
      <c r="C854" s="79"/>
      <c r="D854" s="79"/>
      <c r="E854" s="79"/>
      <c r="P854" s="79"/>
      <c r="Q854" s="79"/>
      <c r="R854" s="79"/>
      <c r="Y854" s="79"/>
      <c r="AC854" s="130"/>
      <c r="AE854" s="106"/>
    </row>
    <row r="855">
      <c r="C855" s="79"/>
      <c r="D855" s="79"/>
      <c r="E855" s="79"/>
      <c r="P855" s="79"/>
      <c r="Q855" s="79"/>
      <c r="R855" s="79"/>
      <c r="Y855" s="79"/>
      <c r="AC855" s="130"/>
      <c r="AE855" s="106"/>
    </row>
    <row r="856">
      <c r="C856" s="79"/>
      <c r="D856" s="79"/>
      <c r="E856" s="79"/>
      <c r="P856" s="79"/>
      <c r="Q856" s="79"/>
      <c r="R856" s="79"/>
      <c r="Y856" s="79"/>
      <c r="AC856" s="130"/>
      <c r="AE856" s="106"/>
    </row>
    <row r="857">
      <c r="C857" s="79"/>
      <c r="D857" s="79"/>
      <c r="E857" s="79"/>
      <c r="P857" s="79"/>
      <c r="Q857" s="79"/>
      <c r="R857" s="79"/>
      <c r="Y857" s="79"/>
      <c r="AC857" s="130"/>
      <c r="AE857" s="106"/>
    </row>
    <row r="858">
      <c r="C858" s="79"/>
      <c r="D858" s="79"/>
      <c r="E858" s="79"/>
      <c r="P858" s="79"/>
      <c r="Q858" s="79"/>
      <c r="R858" s="79"/>
      <c r="Y858" s="79"/>
      <c r="AC858" s="130"/>
      <c r="AE858" s="106"/>
    </row>
    <row r="859">
      <c r="C859" s="79"/>
      <c r="D859" s="79"/>
      <c r="E859" s="79"/>
      <c r="P859" s="79"/>
      <c r="Q859" s="79"/>
      <c r="R859" s="79"/>
      <c r="Y859" s="79"/>
      <c r="AC859" s="130"/>
      <c r="AE859" s="106"/>
    </row>
    <row r="860">
      <c r="C860" s="79"/>
      <c r="D860" s="79"/>
      <c r="E860" s="79"/>
      <c r="P860" s="79"/>
      <c r="Q860" s="79"/>
      <c r="R860" s="79"/>
      <c r="Y860" s="79"/>
      <c r="AC860" s="130"/>
      <c r="AE860" s="106"/>
    </row>
    <row r="861">
      <c r="C861" s="79"/>
      <c r="D861" s="79"/>
      <c r="E861" s="79"/>
      <c r="P861" s="79"/>
      <c r="Q861" s="79"/>
      <c r="R861" s="79"/>
      <c r="Y861" s="79"/>
      <c r="AC861" s="130"/>
      <c r="AE861" s="106"/>
    </row>
    <row r="862">
      <c r="C862" s="79"/>
      <c r="D862" s="79"/>
      <c r="E862" s="79"/>
      <c r="P862" s="79"/>
      <c r="Q862" s="79"/>
      <c r="R862" s="79"/>
      <c r="Y862" s="79"/>
      <c r="AC862" s="130"/>
      <c r="AE862" s="106"/>
    </row>
    <row r="863">
      <c r="C863" s="79"/>
      <c r="D863" s="79"/>
      <c r="E863" s="79"/>
      <c r="P863" s="79"/>
      <c r="Q863" s="79"/>
      <c r="R863" s="79"/>
      <c r="Y863" s="79"/>
      <c r="AC863" s="130"/>
      <c r="AE863" s="106"/>
    </row>
    <row r="864">
      <c r="C864" s="79"/>
      <c r="D864" s="79"/>
      <c r="E864" s="79"/>
      <c r="P864" s="79"/>
      <c r="Q864" s="79"/>
      <c r="R864" s="79"/>
      <c r="Y864" s="79"/>
      <c r="AC864" s="130"/>
      <c r="AE864" s="106"/>
    </row>
    <row r="865">
      <c r="C865" s="79"/>
      <c r="D865" s="79"/>
      <c r="E865" s="79"/>
      <c r="P865" s="79"/>
      <c r="Q865" s="79"/>
      <c r="R865" s="79"/>
      <c r="Y865" s="79"/>
      <c r="AC865" s="130"/>
      <c r="AE865" s="106"/>
    </row>
    <row r="866">
      <c r="C866" s="79"/>
      <c r="D866" s="79"/>
      <c r="E866" s="79"/>
      <c r="P866" s="79"/>
      <c r="Q866" s="79"/>
      <c r="R866" s="79"/>
      <c r="Y866" s="79"/>
      <c r="AC866" s="130"/>
      <c r="AE866" s="106"/>
    </row>
    <row r="867">
      <c r="C867" s="79"/>
      <c r="D867" s="79"/>
      <c r="E867" s="79"/>
      <c r="P867" s="79"/>
      <c r="Q867" s="79"/>
      <c r="R867" s="79"/>
      <c r="Y867" s="79"/>
      <c r="AC867" s="130"/>
      <c r="AE867" s="106"/>
    </row>
    <row r="868">
      <c r="C868" s="79"/>
      <c r="D868" s="79"/>
      <c r="E868" s="79"/>
      <c r="P868" s="79"/>
      <c r="Q868" s="79"/>
      <c r="R868" s="79"/>
      <c r="Y868" s="79"/>
      <c r="AC868" s="130"/>
      <c r="AE868" s="106"/>
    </row>
    <row r="869">
      <c r="C869" s="79"/>
      <c r="D869" s="79"/>
      <c r="E869" s="79"/>
      <c r="P869" s="79"/>
      <c r="Q869" s="79"/>
      <c r="R869" s="79"/>
      <c r="Y869" s="79"/>
      <c r="AC869" s="130"/>
      <c r="AE869" s="106"/>
    </row>
    <row r="870">
      <c r="C870" s="79"/>
      <c r="D870" s="79"/>
      <c r="E870" s="79"/>
      <c r="P870" s="79"/>
      <c r="Q870" s="79"/>
      <c r="R870" s="79"/>
      <c r="Y870" s="79"/>
      <c r="AC870" s="130"/>
      <c r="AE870" s="106"/>
    </row>
    <row r="871">
      <c r="C871" s="79"/>
      <c r="D871" s="79"/>
      <c r="E871" s="79"/>
      <c r="P871" s="79"/>
      <c r="Q871" s="79"/>
      <c r="R871" s="79"/>
      <c r="Y871" s="79"/>
      <c r="AC871" s="130"/>
      <c r="AE871" s="106"/>
    </row>
    <row r="872">
      <c r="C872" s="79"/>
      <c r="D872" s="79"/>
      <c r="E872" s="79"/>
      <c r="P872" s="79"/>
      <c r="Q872" s="79"/>
      <c r="R872" s="79"/>
      <c r="Y872" s="79"/>
      <c r="AC872" s="130"/>
      <c r="AE872" s="106"/>
    </row>
    <row r="873">
      <c r="C873" s="79"/>
      <c r="D873" s="79"/>
      <c r="E873" s="79"/>
      <c r="P873" s="79"/>
      <c r="Q873" s="79"/>
      <c r="R873" s="79"/>
      <c r="Y873" s="79"/>
      <c r="AC873" s="130"/>
      <c r="AE873" s="106"/>
    </row>
    <row r="874">
      <c r="C874" s="79"/>
      <c r="D874" s="79"/>
      <c r="E874" s="79"/>
      <c r="P874" s="79"/>
      <c r="Q874" s="79"/>
      <c r="R874" s="79"/>
      <c r="Y874" s="79"/>
      <c r="AC874" s="130"/>
      <c r="AE874" s="106"/>
    </row>
    <row r="875">
      <c r="C875" s="79"/>
      <c r="D875" s="79"/>
      <c r="E875" s="79"/>
      <c r="P875" s="79"/>
      <c r="Q875" s="79"/>
      <c r="R875" s="79"/>
      <c r="Y875" s="79"/>
      <c r="AC875" s="130"/>
      <c r="AE875" s="106"/>
    </row>
    <row r="876">
      <c r="C876" s="79"/>
      <c r="D876" s="79"/>
      <c r="E876" s="79"/>
      <c r="P876" s="79"/>
      <c r="Q876" s="79"/>
      <c r="R876" s="79"/>
      <c r="Y876" s="79"/>
      <c r="AC876" s="130"/>
      <c r="AE876" s="106"/>
    </row>
    <row r="877">
      <c r="C877" s="79"/>
      <c r="D877" s="79"/>
      <c r="E877" s="79"/>
      <c r="P877" s="79"/>
      <c r="Q877" s="79"/>
      <c r="R877" s="79"/>
      <c r="Y877" s="79"/>
      <c r="AC877" s="130"/>
      <c r="AE877" s="106"/>
    </row>
    <row r="878">
      <c r="C878" s="79"/>
      <c r="D878" s="79"/>
      <c r="E878" s="79"/>
      <c r="P878" s="79"/>
      <c r="Q878" s="79"/>
      <c r="R878" s="79"/>
      <c r="Y878" s="79"/>
      <c r="AC878" s="130"/>
      <c r="AE878" s="106"/>
    </row>
    <row r="879">
      <c r="C879" s="79"/>
      <c r="D879" s="79"/>
      <c r="E879" s="79"/>
      <c r="P879" s="79"/>
      <c r="Q879" s="79"/>
      <c r="R879" s="79"/>
      <c r="Y879" s="79"/>
      <c r="AC879" s="130"/>
      <c r="AE879" s="106"/>
    </row>
    <row r="880">
      <c r="C880" s="79"/>
      <c r="D880" s="79"/>
      <c r="E880" s="79"/>
      <c r="P880" s="79"/>
      <c r="Q880" s="79"/>
      <c r="R880" s="79"/>
      <c r="Y880" s="79"/>
      <c r="AC880" s="130"/>
      <c r="AE880" s="106"/>
    </row>
    <row r="881">
      <c r="C881" s="79"/>
      <c r="D881" s="79"/>
      <c r="E881" s="79"/>
      <c r="P881" s="79"/>
      <c r="Q881" s="79"/>
      <c r="R881" s="79"/>
      <c r="Y881" s="79"/>
      <c r="AC881" s="130"/>
      <c r="AE881" s="106"/>
    </row>
    <row r="882">
      <c r="C882" s="79"/>
      <c r="D882" s="79"/>
      <c r="E882" s="79"/>
      <c r="P882" s="79"/>
      <c r="Q882" s="79"/>
      <c r="R882" s="79"/>
      <c r="Y882" s="79"/>
      <c r="AC882" s="130"/>
      <c r="AE882" s="106"/>
    </row>
    <row r="883">
      <c r="C883" s="79"/>
      <c r="D883" s="79"/>
      <c r="E883" s="79"/>
      <c r="P883" s="79"/>
      <c r="Q883" s="79"/>
      <c r="R883" s="79"/>
      <c r="Y883" s="79"/>
      <c r="AC883" s="130"/>
      <c r="AE883" s="106"/>
    </row>
    <row r="884">
      <c r="C884" s="79"/>
      <c r="D884" s="79"/>
      <c r="E884" s="79"/>
      <c r="P884" s="79"/>
      <c r="Q884" s="79"/>
      <c r="R884" s="79"/>
      <c r="Y884" s="79"/>
      <c r="AC884" s="130"/>
      <c r="AE884" s="106"/>
    </row>
    <row r="885">
      <c r="C885" s="79"/>
      <c r="D885" s="79"/>
      <c r="E885" s="79"/>
      <c r="P885" s="79"/>
      <c r="Q885" s="79"/>
      <c r="R885" s="79"/>
      <c r="Y885" s="79"/>
      <c r="AC885" s="130"/>
      <c r="AE885" s="106"/>
    </row>
    <row r="886">
      <c r="C886" s="79"/>
      <c r="D886" s="79"/>
      <c r="E886" s="79"/>
      <c r="P886" s="79"/>
      <c r="Q886" s="79"/>
      <c r="R886" s="79"/>
      <c r="Y886" s="79"/>
      <c r="AC886" s="130"/>
      <c r="AE886" s="106"/>
    </row>
    <row r="887">
      <c r="C887" s="79"/>
      <c r="D887" s="79"/>
      <c r="E887" s="79"/>
      <c r="P887" s="79"/>
      <c r="Q887" s="79"/>
      <c r="R887" s="79"/>
      <c r="Y887" s="79"/>
      <c r="AC887" s="130"/>
      <c r="AE887" s="106"/>
    </row>
    <row r="888">
      <c r="C888" s="79"/>
      <c r="D888" s="79"/>
      <c r="E888" s="79"/>
      <c r="P888" s="79"/>
      <c r="Q888" s="79"/>
      <c r="R888" s="79"/>
      <c r="Y888" s="79"/>
      <c r="AC888" s="130"/>
      <c r="AE888" s="106"/>
    </row>
    <row r="889">
      <c r="C889" s="79"/>
      <c r="D889" s="79"/>
      <c r="E889" s="79"/>
      <c r="P889" s="79"/>
      <c r="Q889" s="79"/>
      <c r="R889" s="79"/>
      <c r="Y889" s="79"/>
      <c r="AC889" s="130"/>
      <c r="AE889" s="106"/>
    </row>
    <row r="890">
      <c r="C890" s="79"/>
      <c r="D890" s="79"/>
      <c r="E890" s="79"/>
      <c r="P890" s="79"/>
      <c r="Q890" s="79"/>
      <c r="R890" s="79"/>
      <c r="Y890" s="79"/>
      <c r="AC890" s="130"/>
      <c r="AE890" s="106"/>
    </row>
    <row r="891">
      <c r="C891" s="79"/>
      <c r="D891" s="79"/>
      <c r="E891" s="79"/>
      <c r="P891" s="79"/>
      <c r="Q891" s="79"/>
      <c r="R891" s="79"/>
      <c r="Y891" s="79"/>
      <c r="AC891" s="130"/>
      <c r="AE891" s="106"/>
    </row>
    <row r="892">
      <c r="C892" s="79"/>
      <c r="D892" s="79"/>
      <c r="E892" s="79"/>
      <c r="P892" s="79"/>
      <c r="Q892" s="79"/>
      <c r="R892" s="79"/>
      <c r="Y892" s="79"/>
      <c r="AC892" s="130"/>
      <c r="AE892" s="106"/>
    </row>
    <row r="893">
      <c r="C893" s="79"/>
      <c r="D893" s="79"/>
      <c r="E893" s="79"/>
      <c r="P893" s="79"/>
      <c r="Q893" s="79"/>
      <c r="R893" s="79"/>
      <c r="Y893" s="79"/>
      <c r="AC893" s="130"/>
      <c r="AE893" s="106"/>
    </row>
  </sheetData>
  <autoFilter ref="$A$36:$F$52">
    <sortState ref="A36:F52">
      <sortCondition descending="1" sortBy="cellColor" ref="E36:E52" dxfId="1"/>
      <sortCondition descending="1" sortBy="cellColor" ref="C36:C52" dxfId="1"/>
      <sortCondition descending="1" sortBy="cellColor" ref="A36:A52" dxfId="1"/>
    </sortState>
  </autoFilter>
  <mergeCells count="1">
    <mergeCell ref="B33:E33"/>
  </mergeCells>
  <drawing r:id="rId2"/>
  <legacyDrawing r:id="rId3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6.5"/>
    <col customWidth="1" min="3" max="3" width="24.0"/>
    <col customWidth="1" min="5" max="5" width="15.63"/>
    <col customWidth="1" min="7" max="7" width="13.5"/>
    <col customWidth="1" min="8" max="8" width="13.25"/>
    <col customWidth="1" min="18" max="18" width="27.38"/>
    <col customWidth="1" min="26" max="26" width="14.63"/>
    <col customWidth="1" min="31" max="31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4</v>
      </c>
      <c r="J1" s="2" t="s">
        <v>5</v>
      </c>
      <c r="K1" s="2" t="s">
        <v>303</v>
      </c>
      <c r="L1" s="2" t="s">
        <v>6</v>
      </c>
      <c r="M1" s="2" t="s">
        <v>12</v>
      </c>
      <c r="N1" s="2" t="s">
        <v>49</v>
      </c>
      <c r="O1" s="2" t="s">
        <v>42</v>
      </c>
      <c r="P1" s="105" t="s">
        <v>11</v>
      </c>
      <c r="Q1" s="105" t="s">
        <v>9</v>
      </c>
      <c r="R1" s="105" t="s">
        <v>304</v>
      </c>
      <c r="S1" s="2" t="s">
        <v>37</v>
      </c>
      <c r="T1" s="2" t="s">
        <v>10</v>
      </c>
      <c r="U1" s="2" t="s">
        <v>164</v>
      </c>
      <c r="V1" s="105" t="s">
        <v>40</v>
      </c>
      <c r="W1" s="2" t="s">
        <v>121</v>
      </c>
      <c r="X1" s="2" t="s">
        <v>204</v>
      </c>
      <c r="Y1" s="105" t="s">
        <v>205</v>
      </c>
      <c r="Z1" s="2" t="s">
        <v>206</v>
      </c>
      <c r="AA1" s="2" t="s">
        <v>305</v>
      </c>
      <c r="AB1" s="3" t="s">
        <v>13</v>
      </c>
      <c r="AC1" s="3" t="s">
        <v>14</v>
      </c>
      <c r="AD1" s="3" t="s">
        <v>15</v>
      </c>
      <c r="AE1" s="106"/>
      <c r="AF1" s="265" t="s">
        <v>306</v>
      </c>
      <c r="AG1" s="266" t="s">
        <v>80</v>
      </c>
    </row>
    <row r="2">
      <c r="A2" s="74">
        <v>45453.0</v>
      </c>
      <c r="B2" s="93">
        <f>1383.35-199.74-43.47-41.43-33.03-59.86+703.24</f>
        <v>1709.06</v>
      </c>
      <c r="C2" s="93"/>
      <c r="D2" s="193">
        <f>358.54-164.84</f>
        <v>193.7</v>
      </c>
      <c r="E2" s="93"/>
      <c r="F2" s="93"/>
      <c r="G2" s="93">
        <v>180.0</v>
      </c>
      <c r="H2" s="93"/>
      <c r="I2" s="93">
        <v>335.44</v>
      </c>
      <c r="J2" s="93"/>
      <c r="K2" s="93"/>
      <c r="L2" s="93"/>
      <c r="M2" s="93"/>
      <c r="N2" s="93">
        <f>168</f>
        <v>168</v>
      </c>
      <c r="O2" s="93">
        <v>156.52</v>
      </c>
      <c r="P2" s="93"/>
      <c r="Q2" s="93"/>
      <c r="R2" s="93"/>
      <c r="S2" s="72"/>
      <c r="T2" s="93"/>
      <c r="U2" s="93"/>
      <c r="V2" s="93"/>
      <c r="W2" s="93"/>
      <c r="X2" s="93"/>
      <c r="Y2" s="93"/>
      <c r="Z2" s="93"/>
      <c r="AA2" s="326"/>
      <c r="AB2" s="107">
        <f t="shared" ref="AB2:AB8" si="1">SUM(B2:Z2)</f>
        <v>2742.72</v>
      </c>
      <c r="AC2" s="158">
        <f>4972.4</f>
        <v>4972.4</v>
      </c>
      <c r="AD2" s="59">
        <f t="shared" ref="AD2:AD8" si="2">AB2/AC2</f>
        <v>0.55158877</v>
      </c>
      <c r="AE2" s="109">
        <f t="shared" ref="AE2:AE8" si="3">A2</f>
        <v>45453</v>
      </c>
      <c r="AF2" s="267"/>
      <c r="AG2" s="268">
        <f t="shared" ref="AG2:AG8" si="4">AC2-AF2</f>
        <v>4972.4</v>
      </c>
    </row>
    <row r="3">
      <c r="A3" s="74">
        <f t="shared" ref="A3:A8" si="5">A2+1</f>
        <v>45454</v>
      </c>
      <c r="B3" s="93">
        <f>710.45-32.86-13.35-71.41-11.33-20.18-77.39-20.9</f>
        <v>463.03</v>
      </c>
      <c r="C3" s="93">
        <f>969.38</f>
        <v>969.38</v>
      </c>
      <c r="D3" s="93">
        <v>285.8</v>
      </c>
      <c r="E3" s="93"/>
      <c r="F3" s="93"/>
      <c r="G3" s="93"/>
      <c r="H3" s="93"/>
      <c r="I3" s="93"/>
      <c r="J3" s="93"/>
      <c r="K3" s="93"/>
      <c r="L3" s="93"/>
      <c r="M3" s="93"/>
      <c r="N3" s="93">
        <v>216.0</v>
      </c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326"/>
      <c r="AB3" s="107">
        <f t="shared" si="1"/>
        <v>1934.21</v>
      </c>
      <c r="AC3" s="158">
        <v>13473.0</v>
      </c>
      <c r="AD3" s="59">
        <f t="shared" si="2"/>
        <v>0.1435619387</v>
      </c>
      <c r="AE3" s="109">
        <f t="shared" si="3"/>
        <v>45454</v>
      </c>
      <c r="AF3" s="267"/>
      <c r="AG3" s="268">
        <f t="shared" si="4"/>
        <v>13473</v>
      </c>
    </row>
    <row r="4">
      <c r="A4" s="74">
        <f t="shared" si="5"/>
        <v>45455</v>
      </c>
      <c r="B4" s="93">
        <f>631.25-35.71-57.55-44.5-359.29</f>
        <v>134.2</v>
      </c>
      <c r="C4" s="93">
        <v>157.55</v>
      </c>
      <c r="D4" s="93">
        <f>162.05-130.55</f>
        <v>31.5</v>
      </c>
      <c r="E4" s="93"/>
      <c r="F4" s="93"/>
      <c r="G4" s="93">
        <v>180.0</v>
      </c>
      <c r="H4" s="93"/>
      <c r="I4" s="93"/>
      <c r="J4" s="93">
        <f>581.9-198</f>
        <v>383.9</v>
      </c>
      <c r="K4" s="93"/>
      <c r="L4" s="93">
        <v>42.0</v>
      </c>
      <c r="M4" s="93"/>
      <c r="N4" s="93"/>
      <c r="O4" s="93"/>
      <c r="P4" s="93"/>
      <c r="Q4" s="93">
        <v>378.0</v>
      </c>
      <c r="R4" s="93"/>
      <c r="S4" s="160"/>
      <c r="T4" s="93"/>
      <c r="U4" s="93"/>
      <c r="V4" s="93"/>
      <c r="W4" s="93"/>
      <c r="X4" s="93"/>
      <c r="Y4" s="93"/>
      <c r="Z4" s="101"/>
      <c r="AA4" s="326"/>
      <c r="AB4" s="107">
        <f t="shared" si="1"/>
        <v>1307.15</v>
      </c>
      <c r="AC4" s="97">
        <f>2028+5306</f>
        <v>7334</v>
      </c>
      <c r="AD4" s="59">
        <f t="shared" si="2"/>
        <v>0.1782315244</v>
      </c>
      <c r="AE4" s="109">
        <f t="shared" si="3"/>
        <v>45455</v>
      </c>
      <c r="AF4" s="267"/>
      <c r="AG4" s="268">
        <f t="shared" si="4"/>
        <v>7334</v>
      </c>
    </row>
    <row r="5">
      <c r="A5" s="74">
        <f t="shared" si="5"/>
        <v>45456</v>
      </c>
      <c r="B5" s="93">
        <f>1313.1-179.52-11.08-61.39-11.22-35.26-54.93-82.15-56.57-6.12-19.8-56.57</f>
        <v>738.49</v>
      </c>
      <c r="C5" s="93">
        <f>380.82-98.07</f>
        <v>282.75</v>
      </c>
      <c r="D5" s="93"/>
      <c r="E5" s="93"/>
      <c r="F5" s="93"/>
      <c r="G5" s="93"/>
      <c r="H5" s="160"/>
      <c r="I5" s="93"/>
      <c r="J5" s="93"/>
      <c r="K5" s="93"/>
      <c r="L5" s="93">
        <v>166.4</v>
      </c>
      <c r="M5" s="93"/>
      <c r="N5" s="93"/>
      <c r="O5" s="93"/>
      <c r="P5" s="101"/>
      <c r="Q5" s="93"/>
      <c r="R5" s="93"/>
      <c r="S5" s="93"/>
      <c r="T5" s="93">
        <v>100.9</v>
      </c>
      <c r="U5" s="93"/>
      <c r="V5" s="93"/>
      <c r="W5" s="93"/>
      <c r="X5" s="93"/>
      <c r="Y5" s="101"/>
      <c r="Z5" s="101"/>
      <c r="AA5" s="327"/>
      <c r="AB5" s="7">
        <f t="shared" si="1"/>
        <v>1288.54</v>
      </c>
      <c r="AC5" s="97">
        <f>714.11+5674.89</f>
        <v>6389</v>
      </c>
      <c r="AD5" s="59">
        <f t="shared" si="2"/>
        <v>0.2016810142</v>
      </c>
      <c r="AE5" s="109">
        <f t="shared" si="3"/>
        <v>45456</v>
      </c>
      <c r="AF5" s="267"/>
      <c r="AG5" s="268">
        <f t="shared" si="4"/>
        <v>6389</v>
      </c>
    </row>
    <row r="6">
      <c r="A6" s="74">
        <f t="shared" si="5"/>
        <v>45457</v>
      </c>
      <c r="B6" s="93">
        <f>1153.69-34.03-41.79-97.9-23.65-20.68-35.52+118.56</f>
        <v>1018.68</v>
      </c>
      <c r="C6" s="93">
        <v>522.25</v>
      </c>
      <c r="D6" s="93">
        <v>495.89</v>
      </c>
      <c r="E6" s="250">
        <v>42.5</v>
      </c>
      <c r="F6" s="93"/>
      <c r="G6" s="93"/>
      <c r="H6" s="160"/>
      <c r="I6" s="93">
        <f>282.46</f>
        <v>282.46</v>
      </c>
      <c r="J6" s="93">
        <f>961.9-380</f>
        <v>581.9</v>
      </c>
      <c r="K6" s="93"/>
      <c r="L6" s="328">
        <v>102.5</v>
      </c>
      <c r="M6" s="93">
        <f>141.46-38.28-55.38</f>
        <v>47.8</v>
      </c>
      <c r="N6" s="93"/>
      <c r="O6" s="93"/>
      <c r="P6" s="93"/>
      <c r="Q6" s="93"/>
      <c r="R6" s="250">
        <v>190.0</v>
      </c>
      <c r="S6" s="93"/>
      <c r="T6" s="93">
        <v>38.0</v>
      </c>
      <c r="U6" s="93"/>
      <c r="V6" s="93"/>
      <c r="W6" s="93"/>
      <c r="X6" s="93"/>
      <c r="Y6" s="93"/>
      <c r="Z6" s="93"/>
      <c r="AA6" s="327"/>
      <c r="AB6" s="7">
        <f t="shared" si="1"/>
        <v>3321.98</v>
      </c>
      <c r="AC6" s="97">
        <f>1645+10405</f>
        <v>12050</v>
      </c>
      <c r="AD6" s="59">
        <f t="shared" si="2"/>
        <v>0.2756829876</v>
      </c>
      <c r="AE6" s="109">
        <f t="shared" si="3"/>
        <v>45457</v>
      </c>
      <c r="AF6" s="267"/>
      <c r="AG6" s="268">
        <f t="shared" si="4"/>
        <v>12050</v>
      </c>
    </row>
    <row r="7">
      <c r="A7" s="74">
        <f t="shared" si="5"/>
        <v>45458</v>
      </c>
      <c r="B7" s="93">
        <f>1618.78+126.51</f>
        <v>1745.29</v>
      </c>
      <c r="C7" s="93">
        <v>21.55</v>
      </c>
      <c r="D7" s="93">
        <f>977.16+586.6-228.8-96.7</f>
        <v>1238.26</v>
      </c>
      <c r="E7" s="93"/>
      <c r="F7" s="93"/>
      <c r="G7" s="93">
        <v>180.0</v>
      </c>
      <c r="H7" s="93"/>
      <c r="I7" s="93">
        <v>149.21</v>
      </c>
      <c r="J7" s="93"/>
      <c r="K7" s="93"/>
      <c r="L7" s="93"/>
      <c r="M7" s="93"/>
      <c r="N7" s="93"/>
      <c r="O7" s="93"/>
      <c r="P7" s="101"/>
      <c r="Q7" s="93"/>
      <c r="R7" s="250">
        <v>28.0</v>
      </c>
      <c r="S7" s="101"/>
      <c r="T7" s="93"/>
      <c r="U7" s="93"/>
      <c r="V7" s="93"/>
      <c r="W7" s="93"/>
      <c r="X7" s="93"/>
      <c r="Y7" s="101"/>
      <c r="Z7" s="93"/>
      <c r="AA7" s="327"/>
      <c r="AB7" s="7">
        <f t="shared" si="1"/>
        <v>3362.31</v>
      </c>
      <c r="AC7" s="97">
        <f>3562+9455</f>
        <v>13017</v>
      </c>
      <c r="AD7" s="59">
        <f t="shared" si="2"/>
        <v>0.2583014519</v>
      </c>
      <c r="AE7" s="109">
        <f t="shared" si="3"/>
        <v>45458</v>
      </c>
      <c r="AF7" s="267"/>
      <c r="AG7" s="268">
        <f t="shared" si="4"/>
        <v>13017</v>
      </c>
    </row>
    <row r="8">
      <c r="A8" s="74">
        <f t="shared" si="5"/>
        <v>45459</v>
      </c>
      <c r="B8" s="93"/>
      <c r="C8" s="93"/>
      <c r="D8" s="180">
        <f>641.41+1264.85</f>
        <v>1906.26</v>
      </c>
      <c r="E8" s="112"/>
      <c r="F8" s="180">
        <v>769.86</v>
      </c>
      <c r="G8" s="10"/>
      <c r="H8" s="180">
        <f>437.9+896.8</f>
        <v>1334.7</v>
      </c>
      <c r="I8" s="93"/>
      <c r="J8" s="93"/>
      <c r="K8" s="93"/>
      <c r="L8" s="112"/>
      <c r="M8" s="112"/>
      <c r="N8" s="93"/>
      <c r="O8" s="93"/>
      <c r="P8" s="112"/>
      <c r="Q8" s="93"/>
      <c r="R8" s="112"/>
      <c r="S8" s="93"/>
      <c r="T8" s="93"/>
      <c r="U8" s="93"/>
      <c r="V8" s="112"/>
      <c r="W8" s="112"/>
      <c r="X8" s="112"/>
      <c r="Y8" s="112"/>
      <c r="Z8" s="112"/>
      <c r="AA8" s="93">
        <f>207.74+60.19</f>
        <v>267.93</v>
      </c>
      <c r="AB8" s="7">
        <f t="shared" si="1"/>
        <v>4010.82</v>
      </c>
      <c r="AC8" s="97">
        <f>9919+4109</f>
        <v>14028</v>
      </c>
      <c r="AD8" s="59">
        <f t="shared" si="2"/>
        <v>0.2859153122</v>
      </c>
      <c r="AE8" s="109">
        <f t="shared" si="3"/>
        <v>45459</v>
      </c>
      <c r="AF8" s="267"/>
      <c r="AG8" s="268">
        <f t="shared" si="4"/>
        <v>14028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AC9" s="129"/>
      <c r="AE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AC10" s="129"/>
      <c r="AE10" s="106"/>
    </row>
    <row r="11">
      <c r="A11" s="165" t="s">
        <v>194</v>
      </c>
      <c r="B11" s="329">
        <f>43.47+41.43+33.03+59.86+32.86+13.35+11.33+20.18+77.39+20.9+57.55+44.5+179.52+11.08+56.57+6.12+19.8+56.57+20.68+35.52</f>
        <v>841.71</v>
      </c>
      <c r="C11" s="93">
        <v>98.07</v>
      </c>
      <c r="D11" s="93"/>
      <c r="E11" s="167"/>
      <c r="F11" s="168"/>
      <c r="G11" s="168"/>
      <c r="H11" s="166"/>
      <c r="I11" s="166"/>
      <c r="J11" s="93">
        <v>380.0</v>
      </c>
      <c r="K11" s="168"/>
      <c r="L11" s="93"/>
      <c r="M11" s="166">
        <f>38.28+55.38</f>
        <v>93.66</v>
      </c>
      <c r="N11" s="166"/>
      <c r="O11" s="168"/>
      <c r="P11" s="168"/>
      <c r="Q11" s="168"/>
      <c r="R11" s="168"/>
      <c r="S11" s="168"/>
      <c r="T11" s="168"/>
      <c r="U11" s="168"/>
      <c r="V11" s="168"/>
      <c r="W11" s="1"/>
      <c r="X11" s="168"/>
      <c r="Y11" s="168"/>
      <c r="Z11" s="1"/>
      <c r="AA11" s="1"/>
      <c r="AB11" s="1"/>
      <c r="AC11" s="169"/>
      <c r="AD11" s="1"/>
      <c r="AE11" s="170"/>
    </row>
    <row r="12">
      <c r="A12" s="165" t="s">
        <v>195</v>
      </c>
      <c r="B12" s="166">
        <f>199.74+71.41+359.29+61.39+11.22+34.26+54.93+34.04+41.79+97.9+23.65</f>
        <v>989.62</v>
      </c>
      <c r="C12" s="93"/>
      <c r="D12" s="93">
        <v>130.55</v>
      </c>
      <c r="E12" s="93"/>
      <c r="F12" s="93"/>
      <c r="G12" s="93"/>
      <c r="H12" s="93"/>
      <c r="I12" s="93">
        <v>181.69</v>
      </c>
      <c r="J12" s="93">
        <v>198.0</v>
      </c>
      <c r="K12" s="93"/>
      <c r="L12" s="93"/>
      <c r="M12" s="93"/>
      <c r="N12" s="166">
        <f>300+300</f>
        <v>600</v>
      </c>
      <c r="O12" s="166"/>
      <c r="P12" s="168"/>
      <c r="Q12" s="168"/>
      <c r="R12" s="168"/>
      <c r="S12" s="168"/>
      <c r="T12" s="166"/>
      <c r="U12" s="168"/>
      <c r="V12" s="168"/>
      <c r="W12" s="1"/>
      <c r="X12" s="93"/>
      <c r="Y12" s="168"/>
      <c r="Z12" s="1"/>
      <c r="AA12" s="1"/>
      <c r="AB12" s="1"/>
      <c r="AC12" s="171"/>
      <c r="AD12" s="1"/>
      <c r="AE12" s="170"/>
    </row>
    <row r="13">
      <c r="A13" s="172" t="s">
        <v>417</v>
      </c>
      <c r="B13" s="329"/>
      <c r="C13" s="93"/>
      <c r="D13" s="93"/>
      <c r="E13" s="168"/>
      <c r="F13" s="166"/>
      <c r="G13" s="166"/>
      <c r="H13" s="168"/>
      <c r="I13" s="168"/>
      <c r="J13" s="93"/>
      <c r="K13" s="168"/>
      <c r="L13" s="168"/>
      <c r="M13" s="168"/>
      <c r="N13" s="166"/>
      <c r="O13" s="168"/>
      <c r="P13" s="168"/>
      <c r="Q13" s="168"/>
      <c r="R13" s="168"/>
      <c r="S13" s="1"/>
      <c r="T13" s="96"/>
      <c r="U13" s="1"/>
      <c r="V13" s="1"/>
      <c r="W13" s="1"/>
      <c r="X13" s="168"/>
      <c r="Y13" s="168"/>
      <c r="Z13" s="1"/>
      <c r="AA13" s="1"/>
      <c r="AB13" s="1"/>
      <c r="AC13" s="174"/>
      <c r="AD13" s="1"/>
      <c r="AE13" s="170"/>
    </row>
    <row r="14">
      <c r="A14" s="165" t="s">
        <v>198</v>
      </c>
      <c r="B14" s="166">
        <f>35.71+82.15</f>
        <v>117.86</v>
      </c>
      <c r="C14" s="93"/>
      <c r="D14" s="93"/>
      <c r="E14" s="168"/>
      <c r="F14" s="166"/>
      <c r="G14" s="166"/>
      <c r="H14" s="168"/>
      <c r="I14" s="168"/>
      <c r="J14" s="93"/>
      <c r="K14" s="168"/>
      <c r="L14" s="168"/>
      <c r="M14" s="168"/>
      <c r="N14" s="166"/>
      <c r="O14" s="168"/>
      <c r="P14" s="168"/>
      <c r="Q14" s="168"/>
      <c r="R14" s="168"/>
      <c r="S14" s="1"/>
      <c r="T14" s="96"/>
      <c r="U14" s="1"/>
      <c r="V14" s="1"/>
      <c r="W14" s="1"/>
      <c r="X14" s="168"/>
      <c r="Y14" s="168"/>
      <c r="Z14" s="1"/>
      <c r="AA14" s="1"/>
      <c r="AB14" s="1"/>
      <c r="AC14" s="174"/>
      <c r="AD14" s="1"/>
      <c r="AE14" s="170"/>
    </row>
    <row r="15">
      <c r="A15" s="91"/>
      <c r="B15" s="92"/>
      <c r="C15" s="79"/>
      <c r="D15" s="79"/>
      <c r="E15" s="79"/>
      <c r="F15" s="78"/>
      <c r="G15" s="78"/>
      <c r="I15" s="78"/>
      <c r="L15" s="79"/>
      <c r="M15" s="79"/>
      <c r="N15" s="79"/>
      <c r="O15" s="79"/>
      <c r="P15" s="79"/>
      <c r="Q15" s="79"/>
      <c r="R15" s="79"/>
      <c r="Y15" s="79"/>
      <c r="AC15" s="131"/>
      <c r="AE15" s="106"/>
    </row>
    <row r="16">
      <c r="A16" s="91"/>
      <c r="B16" s="92"/>
      <c r="C16" s="78"/>
      <c r="D16" s="78"/>
      <c r="E16" s="78"/>
      <c r="F16" s="198"/>
      <c r="G16" s="198"/>
      <c r="H16" s="204"/>
      <c r="I16" s="198"/>
      <c r="J16" s="201"/>
      <c r="K16" s="199"/>
      <c r="L16" s="199"/>
      <c r="M16" s="200"/>
      <c r="N16" s="202"/>
      <c r="O16" s="198"/>
      <c r="P16" s="79"/>
      <c r="Q16" s="198"/>
      <c r="R16" s="198"/>
      <c r="U16" s="198"/>
      <c r="V16" s="198"/>
      <c r="W16" s="198"/>
      <c r="X16" s="199"/>
      <c r="Y16" s="79"/>
      <c r="AC16" s="131"/>
      <c r="AE16" s="106"/>
    </row>
    <row r="17">
      <c r="A17" s="4" t="s">
        <v>22</v>
      </c>
      <c r="B17" s="11">
        <v>10000.0</v>
      </c>
      <c r="C17" s="79"/>
      <c r="D17" s="79"/>
      <c r="E17" s="78"/>
      <c r="F17" s="198"/>
      <c r="G17" s="213"/>
      <c r="H17" s="78"/>
      <c r="K17" s="201"/>
      <c r="L17" s="201"/>
      <c r="M17" s="198"/>
      <c r="N17" s="200"/>
      <c r="O17" s="203"/>
      <c r="P17" s="79"/>
      <c r="Q17" s="198"/>
      <c r="R17" s="198"/>
      <c r="S17" s="204"/>
      <c r="U17" s="198"/>
      <c r="V17" s="198"/>
      <c r="W17" s="198"/>
      <c r="X17" s="201"/>
      <c r="Y17" s="79"/>
      <c r="AC17" s="131"/>
      <c r="AE17" s="106"/>
    </row>
    <row r="18">
      <c r="A18" s="4" t="s">
        <v>23</v>
      </c>
      <c r="B18" s="12">
        <f>SUM(B2:Z8)</f>
        <v>17967.73</v>
      </c>
      <c r="C18" s="192"/>
      <c r="D18" s="177"/>
      <c r="E18" s="78"/>
      <c r="F18" s="213"/>
      <c r="G18" s="213"/>
      <c r="H18" s="151"/>
      <c r="I18" s="203"/>
      <c r="K18" s="191"/>
      <c r="L18" s="201"/>
      <c r="M18" s="201"/>
      <c r="N18" s="201"/>
      <c r="O18" s="203"/>
      <c r="P18" s="79"/>
      <c r="Q18" s="198"/>
      <c r="R18" s="198"/>
      <c r="S18" s="204"/>
      <c r="U18" s="198"/>
      <c r="V18" s="198"/>
      <c r="W18" s="198"/>
      <c r="X18" s="191"/>
      <c r="Y18" s="79"/>
      <c r="AC18" s="131"/>
      <c r="AE18" s="106"/>
    </row>
    <row r="19">
      <c r="A19" s="4" t="s">
        <v>24</v>
      </c>
      <c r="B19" s="12">
        <f> SUM(B17-B18)</f>
        <v>-7967.73</v>
      </c>
      <c r="C19" s="79"/>
      <c r="D19" s="78"/>
      <c r="E19" s="78"/>
      <c r="F19" s="201"/>
      <c r="G19" s="151"/>
      <c r="H19" s="214"/>
      <c r="I19" s="203"/>
      <c r="K19" s="203"/>
      <c r="L19" s="199"/>
      <c r="M19" s="203"/>
      <c r="N19" s="200"/>
      <c r="O19" s="203"/>
      <c r="P19" s="79"/>
      <c r="Q19" s="198"/>
      <c r="R19" s="198"/>
      <c r="S19" s="204"/>
      <c r="U19" s="198"/>
      <c r="V19" s="198"/>
      <c r="W19" s="198"/>
      <c r="X19" s="203"/>
      <c r="Y19" s="79"/>
      <c r="AC19" s="131"/>
      <c r="AE19" s="106"/>
    </row>
    <row r="20">
      <c r="C20" s="79"/>
      <c r="D20" s="79"/>
      <c r="E20" s="78"/>
      <c r="F20" s="213"/>
      <c r="G20" s="201"/>
      <c r="H20" s="214"/>
      <c r="I20" s="203"/>
      <c r="J20" s="203"/>
      <c r="K20" s="203"/>
      <c r="M20" s="201"/>
      <c r="N20" s="198"/>
      <c r="O20" s="203"/>
      <c r="P20" s="79"/>
      <c r="Q20" s="198"/>
      <c r="R20" s="198"/>
      <c r="S20" s="204"/>
      <c r="U20" s="206"/>
      <c r="V20" s="198"/>
      <c r="W20" s="198"/>
      <c r="X20" s="203"/>
      <c r="Y20" s="79"/>
      <c r="AC20" s="131"/>
      <c r="AE20" s="106"/>
    </row>
    <row r="21">
      <c r="A21" s="13" t="s">
        <v>25</v>
      </c>
      <c r="B21" s="14">
        <f>SUM(AC2:AC8)</f>
        <v>71263.4</v>
      </c>
      <c r="C21" s="79"/>
      <c r="D21" s="79"/>
      <c r="E21" s="78"/>
      <c r="F21" s="201"/>
      <c r="G21" s="262"/>
      <c r="H21" s="262"/>
      <c r="I21" s="203"/>
      <c r="J21" s="78"/>
      <c r="K21" s="203"/>
      <c r="L21" s="203"/>
      <c r="M21" s="201"/>
      <c r="N21" s="198"/>
      <c r="O21" s="203"/>
      <c r="P21" s="79"/>
      <c r="Q21" s="198"/>
      <c r="R21" s="198"/>
      <c r="S21" s="204"/>
      <c r="U21" s="198"/>
      <c r="V21" s="198"/>
      <c r="W21" s="198"/>
      <c r="X21" s="203"/>
      <c r="Y21" s="79"/>
      <c r="AC21" s="181"/>
      <c r="AE21" s="106"/>
    </row>
    <row r="22">
      <c r="A22" s="13" t="s">
        <v>26</v>
      </c>
      <c r="B22" s="15">
        <f>B18/B21</f>
        <v>0.2521312483</v>
      </c>
      <c r="C22" s="79"/>
      <c r="D22" s="79"/>
      <c r="E22" s="78"/>
      <c r="F22" s="204"/>
      <c r="G22" s="78"/>
      <c r="H22" s="144"/>
      <c r="I22" s="203"/>
      <c r="J22" s="79"/>
      <c r="K22" s="203"/>
      <c r="L22" s="203"/>
      <c r="M22" s="201"/>
      <c r="N22" s="203"/>
      <c r="O22" s="203"/>
      <c r="P22" s="79"/>
      <c r="Q22" s="198"/>
      <c r="R22" s="198"/>
      <c r="S22" s="204"/>
      <c r="U22" s="198"/>
      <c r="V22" s="198"/>
      <c r="W22" s="198"/>
      <c r="X22" s="203"/>
      <c r="Y22" s="79"/>
      <c r="AC22" s="130"/>
      <c r="AE22" s="106"/>
    </row>
    <row r="23">
      <c r="C23" s="79"/>
      <c r="D23" s="79"/>
      <c r="E23" s="78"/>
      <c r="F23" s="204"/>
      <c r="G23" s="78"/>
      <c r="H23" s="78"/>
      <c r="I23" s="78"/>
      <c r="J23" s="78"/>
      <c r="K23" s="203"/>
      <c r="L23" s="203"/>
      <c r="M23" s="198"/>
      <c r="N23" s="201"/>
      <c r="O23" s="198"/>
      <c r="P23" s="79"/>
      <c r="Q23" s="198"/>
      <c r="R23" s="198"/>
      <c r="S23" s="204"/>
      <c r="U23" s="198"/>
      <c r="V23" s="198"/>
      <c r="W23" s="198"/>
      <c r="X23" s="203"/>
      <c r="Y23" s="79"/>
      <c r="AC23" s="182"/>
      <c r="AE23" s="106"/>
    </row>
    <row r="24">
      <c r="C24" s="79"/>
      <c r="D24" s="79"/>
      <c r="E24" s="79"/>
      <c r="F24" s="204"/>
      <c r="G24" s="78"/>
      <c r="H24" s="78"/>
      <c r="I24" s="212"/>
      <c r="J24" s="263"/>
      <c r="K24" s="203"/>
      <c r="L24" s="203"/>
      <c r="M24" s="198"/>
      <c r="N24" s="201"/>
      <c r="O24" s="198"/>
      <c r="P24" s="79"/>
      <c r="Q24" s="198"/>
      <c r="R24" s="198"/>
      <c r="S24" s="204"/>
      <c r="U24" s="198"/>
      <c r="V24" s="198"/>
      <c r="W24" s="198"/>
      <c r="X24" s="203"/>
      <c r="Y24" s="79"/>
      <c r="AC24" s="130"/>
      <c r="AE24" s="106"/>
    </row>
    <row r="25">
      <c r="A25" s="16" t="s">
        <v>27</v>
      </c>
      <c r="B25" s="17"/>
      <c r="C25" s="114"/>
      <c r="D25" s="114"/>
      <c r="E25" s="115"/>
      <c r="F25" s="204"/>
      <c r="G25" s="78"/>
      <c r="H25" s="78"/>
      <c r="I25" s="78"/>
      <c r="J25" s="79"/>
      <c r="K25" s="203"/>
      <c r="L25" s="217"/>
      <c r="M25" s="208"/>
      <c r="N25" s="198"/>
      <c r="O25" s="200"/>
      <c r="P25" s="79"/>
      <c r="Q25" s="198"/>
      <c r="R25" s="198"/>
      <c r="S25" s="204"/>
      <c r="U25" s="198"/>
      <c r="V25" s="198"/>
      <c r="W25" s="198"/>
      <c r="X25" s="203"/>
      <c r="Y25" s="79"/>
      <c r="AC25" s="130"/>
      <c r="AE25" s="106"/>
    </row>
    <row r="26">
      <c r="A26" s="19" t="s">
        <v>28</v>
      </c>
      <c r="B26" s="20"/>
      <c r="C26" s="116"/>
      <c r="D26" s="116"/>
      <c r="E26" s="117"/>
      <c r="F26" s="204"/>
      <c r="G26" s="78"/>
      <c r="H26" s="78"/>
      <c r="I26" s="79"/>
      <c r="J26" s="79"/>
      <c r="K26" s="203"/>
      <c r="L26" s="203"/>
      <c r="M26" s="209"/>
      <c r="N26" s="201"/>
      <c r="O26" s="198"/>
      <c r="P26" s="79"/>
      <c r="Q26" s="198"/>
      <c r="R26" s="198"/>
      <c r="S26" s="204"/>
      <c r="U26" s="198"/>
      <c r="V26" s="198"/>
      <c r="W26" s="198"/>
      <c r="X26" s="203"/>
      <c r="Y26" s="79"/>
      <c r="AC26" s="130"/>
      <c r="AE26" s="106"/>
    </row>
    <row r="27">
      <c r="A27" s="183" t="s">
        <v>29</v>
      </c>
      <c r="B27" s="184" t="s">
        <v>30</v>
      </c>
      <c r="C27" s="183"/>
      <c r="D27" s="183" t="s">
        <v>170</v>
      </c>
      <c r="E27" s="219" t="s">
        <v>171</v>
      </c>
      <c r="F27" s="204"/>
      <c r="G27" s="79"/>
      <c r="H27" s="79"/>
      <c r="I27" s="79"/>
      <c r="J27" s="79"/>
      <c r="K27" s="203"/>
      <c r="L27" s="201"/>
      <c r="M27" s="209"/>
      <c r="N27" s="198"/>
      <c r="O27" s="198"/>
      <c r="P27" s="79"/>
      <c r="Q27" s="198"/>
      <c r="R27" s="198"/>
      <c r="S27" s="204"/>
      <c r="U27" s="198"/>
      <c r="V27" s="198"/>
      <c r="W27" s="198"/>
      <c r="X27" s="203"/>
      <c r="Y27" s="79"/>
      <c r="Z27" s="195"/>
      <c r="AC27" s="130"/>
      <c r="AE27" s="106"/>
    </row>
    <row r="28">
      <c r="A28" s="234" t="s">
        <v>418</v>
      </c>
      <c r="B28" s="178">
        <f>1793.61-896.8-896.8+1348.79</f>
        <v>1348.8</v>
      </c>
      <c r="C28" s="235"/>
      <c r="D28" s="235"/>
      <c r="E28" s="234"/>
      <c r="P28" s="79"/>
      <c r="Q28" s="79"/>
      <c r="R28" s="79"/>
      <c r="Y28" s="79"/>
      <c r="AC28" s="130"/>
      <c r="AE28" s="106"/>
    </row>
    <row r="29">
      <c r="A29" s="245" t="s">
        <v>398</v>
      </c>
      <c r="B29" s="246">
        <v>1216.79</v>
      </c>
      <c r="C29" s="247"/>
      <c r="D29" s="247"/>
      <c r="E29" s="245"/>
      <c r="P29" s="79"/>
      <c r="Q29" s="79"/>
      <c r="R29" s="79"/>
      <c r="Y29" s="79"/>
      <c r="AC29" s="130"/>
      <c r="AE29" s="106"/>
    </row>
    <row r="30">
      <c r="A30" s="173" t="s">
        <v>419</v>
      </c>
      <c r="B30" s="180">
        <f>228.8+96.7</f>
        <v>325.5</v>
      </c>
      <c r="C30" s="241"/>
      <c r="D30" s="241"/>
      <c r="E30" s="173"/>
      <c r="P30" s="79"/>
      <c r="Q30" s="79"/>
      <c r="R30" s="79"/>
      <c r="Y30" s="79"/>
      <c r="AC30" s="130"/>
      <c r="AE30" s="106"/>
    </row>
    <row r="31">
      <c r="A31" s="173" t="s">
        <v>420</v>
      </c>
      <c r="B31" s="180">
        <v>688.36</v>
      </c>
      <c r="C31" s="241"/>
      <c r="D31" s="241"/>
      <c r="E31" s="173"/>
      <c r="P31" s="79"/>
      <c r="Q31" s="79"/>
      <c r="R31" s="79"/>
      <c r="Y31" s="79"/>
      <c r="AC31" s="130"/>
      <c r="AE31" s="106"/>
    </row>
    <row r="32">
      <c r="C32" s="79"/>
      <c r="D32" s="79"/>
      <c r="E32" s="79"/>
      <c r="P32" s="79"/>
      <c r="Q32" s="79"/>
      <c r="R32" s="79"/>
      <c r="Y32" s="79"/>
      <c r="AC32" s="130"/>
      <c r="AE32" s="106"/>
    </row>
    <row r="33">
      <c r="A33" s="274"/>
      <c r="B33" s="275" t="s">
        <v>315</v>
      </c>
      <c r="F33" s="274"/>
      <c r="G33" s="274"/>
      <c r="H33" s="274"/>
      <c r="I33" s="274"/>
      <c r="J33" s="274"/>
      <c r="K33" s="274"/>
      <c r="L33" s="274"/>
      <c r="M33" s="274"/>
      <c r="N33" s="274"/>
      <c r="O33" s="274"/>
      <c r="P33" s="274"/>
      <c r="Q33" s="274"/>
      <c r="R33" s="274"/>
      <c r="S33" s="274"/>
      <c r="T33" s="274"/>
      <c r="U33" s="274"/>
      <c r="V33" s="274"/>
      <c r="W33" s="274"/>
      <c r="X33" s="274"/>
      <c r="Y33" s="274"/>
      <c r="Z33" s="274"/>
      <c r="AA33" s="274"/>
      <c r="AB33" s="274"/>
      <c r="AC33" s="276"/>
      <c r="AD33" s="274"/>
      <c r="AE33" s="277"/>
      <c r="AF33" s="274"/>
      <c r="AG33" s="274"/>
      <c r="AH33" s="274"/>
    </row>
    <row r="34">
      <c r="A34" s="16" t="s">
        <v>316</v>
      </c>
      <c r="B34" s="17"/>
      <c r="C34" s="114"/>
      <c r="D34" s="114"/>
      <c r="E34" s="115"/>
      <c r="P34" s="79"/>
      <c r="Q34" s="79"/>
      <c r="R34" s="79"/>
      <c r="Y34" s="79"/>
      <c r="AC34" s="130"/>
      <c r="AE34" s="106"/>
    </row>
    <row r="35">
      <c r="A35" s="19" t="s">
        <v>317</v>
      </c>
      <c r="B35" s="20"/>
      <c r="C35" s="116"/>
      <c r="D35" s="116"/>
      <c r="E35" s="117"/>
      <c r="P35" s="79"/>
      <c r="Q35" s="79"/>
      <c r="R35" s="79"/>
      <c r="Y35" s="79"/>
      <c r="AC35" s="130"/>
      <c r="AE35" s="106"/>
    </row>
    <row r="36">
      <c r="A36" s="278" t="s">
        <v>318</v>
      </c>
      <c r="B36" s="279" t="s">
        <v>319</v>
      </c>
      <c r="C36" s="280" t="s">
        <v>285</v>
      </c>
      <c r="D36" s="280" t="s">
        <v>30</v>
      </c>
      <c r="E36" s="281" t="s">
        <v>320</v>
      </c>
      <c r="F36" s="281" t="s">
        <v>321</v>
      </c>
      <c r="P36" s="79"/>
      <c r="Q36" s="79"/>
      <c r="R36" s="79"/>
      <c r="Y36" s="79"/>
      <c r="AC36" s="130"/>
      <c r="AE36" s="106"/>
    </row>
    <row r="37">
      <c r="A37" s="330" t="s">
        <v>328</v>
      </c>
      <c r="B37" s="331">
        <v>45419.0</v>
      </c>
      <c r="C37" s="332" t="s">
        <v>325</v>
      </c>
      <c r="D37" s="333">
        <v>1282.82</v>
      </c>
      <c r="E37" s="334" t="s">
        <v>329</v>
      </c>
      <c r="F37" s="335">
        <f>D37/2</f>
        <v>641.41</v>
      </c>
      <c r="P37" s="79"/>
      <c r="Q37" s="79"/>
      <c r="R37" s="79"/>
      <c r="Y37" s="79"/>
      <c r="AC37" s="130"/>
      <c r="AE37" s="106"/>
    </row>
    <row r="38">
      <c r="A38" s="289" t="s">
        <v>371</v>
      </c>
      <c r="B38" s="290">
        <v>45433.0</v>
      </c>
      <c r="C38" s="173" t="s">
        <v>325</v>
      </c>
      <c r="D38" s="180">
        <v>1264.85</v>
      </c>
      <c r="E38" s="336">
        <v>45461.0</v>
      </c>
      <c r="F38" s="241"/>
      <c r="P38" s="79"/>
      <c r="Q38" s="79"/>
      <c r="R38" s="79"/>
      <c r="Y38" s="79"/>
      <c r="AC38" s="130"/>
      <c r="AE38" s="106"/>
    </row>
    <row r="39">
      <c r="A39" s="304" t="s">
        <v>372</v>
      </c>
      <c r="B39" s="305">
        <v>45433.0</v>
      </c>
      <c r="C39" s="234" t="s">
        <v>325</v>
      </c>
      <c r="D39" s="178">
        <v>1269.16</v>
      </c>
      <c r="E39" s="308">
        <v>45461.0</v>
      </c>
      <c r="F39" s="235"/>
      <c r="P39" s="79"/>
      <c r="Q39" s="79"/>
      <c r="R39" s="79"/>
      <c r="Y39" s="79"/>
      <c r="AC39" s="130"/>
      <c r="AE39" s="106"/>
    </row>
    <row r="40">
      <c r="A40" s="304" t="s">
        <v>399</v>
      </c>
      <c r="B40" s="305">
        <v>45440.0</v>
      </c>
      <c r="C40" s="234" t="s">
        <v>325</v>
      </c>
      <c r="D40" s="178">
        <v>1273.23</v>
      </c>
      <c r="E40" s="308">
        <v>45468.0</v>
      </c>
      <c r="F40" s="235"/>
      <c r="P40" s="79"/>
      <c r="Q40" s="79"/>
      <c r="R40" s="79"/>
      <c r="Y40" s="79"/>
      <c r="AC40" s="130"/>
      <c r="AE40" s="106"/>
    </row>
    <row r="41">
      <c r="A41" s="304" t="s">
        <v>413</v>
      </c>
      <c r="B41" s="305">
        <v>45447.0</v>
      </c>
      <c r="C41" s="234" t="s">
        <v>325</v>
      </c>
      <c r="D41" s="178">
        <v>1208.3</v>
      </c>
      <c r="E41" s="308">
        <v>45475.0</v>
      </c>
      <c r="F41" s="235"/>
      <c r="P41" s="79"/>
      <c r="Q41" s="79"/>
      <c r="R41" s="79"/>
      <c r="Y41" s="79"/>
      <c r="AC41" s="130"/>
      <c r="AE41" s="106"/>
    </row>
    <row r="42">
      <c r="A42" s="304" t="s">
        <v>421</v>
      </c>
      <c r="B42" s="305">
        <v>45454.0</v>
      </c>
      <c r="C42" s="234" t="s">
        <v>325</v>
      </c>
      <c r="D42" s="178">
        <v>1279.46</v>
      </c>
      <c r="E42" s="308"/>
      <c r="F42" s="235"/>
      <c r="P42" s="79"/>
      <c r="Q42" s="79"/>
      <c r="R42" s="79"/>
      <c r="Y42" s="79"/>
      <c r="AC42" s="130"/>
      <c r="AE42" s="106"/>
    </row>
    <row r="43">
      <c r="A43" s="32" t="s">
        <v>406</v>
      </c>
      <c r="B43" s="283">
        <v>45440.0</v>
      </c>
      <c r="C43" s="166" t="s">
        <v>111</v>
      </c>
      <c r="D43" s="93">
        <v>1216.79</v>
      </c>
      <c r="E43" s="285"/>
      <c r="F43" s="6"/>
      <c r="P43" s="79"/>
      <c r="Q43" s="79"/>
      <c r="R43" s="79"/>
      <c r="Y43" s="79"/>
      <c r="AC43" s="130"/>
      <c r="AE43" s="106"/>
    </row>
    <row r="44">
      <c r="A44" s="282" t="s">
        <v>416</v>
      </c>
      <c r="B44" s="283">
        <v>45450.0</v>
      </c>
      <c r="C44" s="166" t="s">
        <v>379</v>
      </c>
      <c r="D44" s="93">
        <v>1419.79</v>
      </c>
      <c r="E44" s="291"/>
      <c r="F44" s="6"/>
      <c r="P44" s="79"/>
      <c r="Q44" s="79"/>
      <c r="R44" s="79"/>
      <c r="Y44" s="79"/>
      <c r="AC44" s="130"/>
      <c r="AE44" s="106"/>
    </row>
    <row r="45">
      <c r="A45" s="282" t="s">
        <v>422</v>
      </c>
      <c r="B45" s="283">
        <v>45458.0</v>
      </c>
      <c r="C45" s="166" t="s">
        <v>423</v>
      </c>
      <c r="D45" s="93">
        <f>228.8+96.7</f>
        <v>325.5</v>
      </c>
      <c r="E45" s="337">
        <v>45465.0</v>
      </c>
      <c r="F45" s="6"/>
      <c r="P45" s="79"/>
      <c r="Q45" s="79"/>
      <c r="R45" s="79"/>
      <c r="Y45" s="79"/>
      <c r="AC45" s="130"/>
      <c r="AE45" s="106"/>
    </row>
    <row r="46">
      <c r="A46" s="282" t="s">
        <v>424</v>
      </c>
      <c r="B46" s="283">
        <v>45455.0</v>
      </c>
      <c r="C46" s="166" t="s">
        <v>355</v>
      </c>
      <c r="D46" s="93">
        <f>688.36-15</f>
        <v>673.36</v>
      </c>
      <c r="E46" s="337">
        <v>45462.0</v>
      </c>
      <c r="F46" s="6"/>
      <c r="P46" s="79"/>
      <c r="Q46" s="79"/>
      <c r="R46" s="79"/>
      <c r="Y46" s="79"/>
      <c r="AC46" s="130"/>
      <c r="AE46" s="106"/>
    </row>
    <row r="47">
      <c r="A47" s="282"/>
      <c r="B47" s="283"/>
      <c r="C47" s="166"/>
      <c r="D47" s="93"/>
      <c r="E47" s="291"/>
      <c r="F47" s="6"/>
      <c r="P47" s="79"/>
      <c r="Q47" s="79"/>
      <c r="R47" s="79"/>
      <c r="Y47" s="79"/>
      <c r="AC47" s="130"/>
      <c r="AE47" s="106"/>
    </row>
    <row r="48">
      <c r="A48" s="282"/>
      <c r="B48" s="283"/>
      <c r="C48" s="166"/>
      <c r="D48" s="93"/>
      <c r="E48" s="291"/>
      <c r="F48" s="6"/>
      <c r="P48" s="79"/>
      <c r="Q48" s="79"/>
      <c r="R48" s="79"/>
      <c r="Y48" s="79"/>
      <c r="AC48" s="130"/>
      <c r="AE48" s="106"/>
    </row>
    <row r="49">
      <c r="A49" s="282"/>
      <c r="B49" s="283"/>
      <c r="C49" s="166"/>
      <c r="D49" s="93"/>
      <c r="E49" s="291"/>
      <c r="F49" s="6"/>
      <c r="P49" s="79"/>
      <c r="Q49" s="79"/>
      <c r="R49" s="79"/>
      <c r="Y49" s="79"/>
      <c r="AC49" s="130"/>
      <c r="AE49" s="106"/>
    </row>
    <row r="50">
      <c r="C50" s="79"/>
      <c r="D50" s="79"/>
      <c r="E50" s="79"/>
      <c r="P50" s="79"/>
      <c r="Q50" s="79"/>
      <c r="R50" s="79"/>
      <c r="Y50" s="79"/>
      <c r="AC50" s="130"/>
      <c r="AE50" s="106"/>
    </row>
    <row r="51">
      <c r="C51" s="79"/>
      <c r="D51" s="79"/>
      <c r="E51" s="79"/>
      <c r="P51" s="79"/>
      <c r="Q51" s="79"/>
      <c r="R51" s="79"/>
      <c r="Y51" s="79"/>
      <c r="AC51" s="130"/>
      <c r="AE51" s="106"/>
    </row>
    <row r="52">
      <c r="C52" s="79"/>
      <c r="D52" s="79"/>
      <c r="E52" s="79"/>
      <c r="P52" s="79"/>
      <c r="Q52" s="79"/>
      <c r="R52" s="79"/>
      <c r="Y52" s="79"/>
      <c r="AC52" s="130"/>
      <c r="AE52" s="106"/>
    </row>
    <row r="53">
      <c r="C53" s="79"/>
      <c r="D53" s="79"/>
      <c r="E53" s="79"/>
      <c r="P53" s="79"/>
      <c r="Q53" s="79"/>
      <c r="R53" s="79"/>
      <c r="Y53" s="79"/>
      <c r="AC53" s="130"/>
      <c r="AE53" s="106"/>
    </row>
    <row r="54">
      <c r="C54" s="79"/>
      <c r="D54" s="79"/>
      <c r="E54" s="79"/>
      <c r="P54" s="79"/>
      <c r="Q54" s="79"/>
      <c r="R54" s="79"/>
      <c r="Y54" s="79"/>
      <c r="AC54" s="130"/>
      <c r="AE54" s="106"/>
    </row>
    <row r="55">
      <c r="C55" s="79"/>
      <c r="D55" s="79"/>
      <c r="E55" s="79"/>
      <c r="P55" s="79"/>
      <c r="Q55" s="79"/>
      <c r="R55" s="79"/>
      <c r="Y55" s="79"/>
      <c r="AC55" s="130"/>
      <c r="AE55" s="106"/>
    </row>
    <row r="56">
      <c r="C56" s="79"/>
      <c r="D56" s="79"/>
      <c r="E56" s="79"/>
      <c r="P56" s="79"/>
      <c r="Q56" s="79"/>
      <c r="R56" s="79"/>
      <c r="Y56" s="79"/>
      <c r="AC56" s="130"/>
      <c r="AE56" s="106"/>
    </row>
    <row r="57">
      <c r="C57" s="79"/>
      <c r="D57" s="79"/>
      <c r="E57" s="79"/>
      <c r="P57" s="79"/>
      <c r="Q57" s="79"/>
      <c r="R57" s="79"/>
      <c r="Y57" s="79"/>
      <c r="AC57" s="130"/>
      <c r="AE57" s="106"/>
    </row>
    <row r="58">
      <c r="C58" s="79"/>
      <c r="D58" s="79"/>
      <c r="E58" s="79"/>
      <c r="P58" s="79"/>
      <c r="Q58" s="79"/>
      <c r="R58" s="79"/>
      <c r="Y58" s="79"/>
      <c r="AC58" s="130"/>
      <c r="AE58" s="106"/>
    </row>
    <row r="59">
      <c r="C59" s="79"/>
      <c r="D59" s="79"/>
      <c r="E59" s="79"/>
      <c r="P59" s="79"/>
      <c r="Q59" s="79"/>
      <c r="R59" s="79"/>
      <c r="Y59" s="79"/>
      <c r="AC59" s="130"/>
      <c r="AE59" s="106"/>
    </row>
    <row r="60">
      <c r="C60" s="79"/>
      <c r="D60" s="79"/>
      <c r="E60" s="79"/>
      <c r="P60" s="79"/>
      <c r="Q60" s="79"/>
      <c r="R60" s="79"/>
      <c r="Y60" s="79"/>
      <c r="AC60" s="130"/>
      <c r="AE60" s="106"/>
    </row>
    <row r="61">
      <c r="C61" s="79"/>
      <c r="D61" s="79"/>
      <c r="E61" s="79"/>
      <c r="P61" s="79"/>
      <c r="Q61" s="79"/>
      <c r="R61" s="79"/>
      <c r="Y61" s="79"/>
      <c r="AC61" s="130"/>
      <c r="AE61" s="106"/>
    </row>
    <row r="62">
      <c r="C62" s="79"/>
      <c r="D62" s="79"/>
      <c r="E62" s="79"/>
      <c r="P62" s="79"/>
      <c r="Q62" s="79"/>
      <c r="R62" s="79"/>
      <c r="Y62" s="79"/>
      <c r="AC62" s="130"/>
      <c r="AE62" s="106"/>
    </row>
    <row r="63">
      <c r="C63" s="79"/>
      <c r="D63" s="79"/>
      <c r="E63" s="79"/>
      <c r="P63" s="79"/>
      <c r="Q63" s="79"/>
      <c r="R63" s="79"/>
      <c r="Y63" s="79"/>
      <c r="AC63" s="130"/>
      <c r="AE63" s="106"/>
    </row>
    <row r="64">
      <c r="C64" s="79"/>
      <c r="D64" s="79"/>
      <c r="E64" s="79"/>
      <c r="P64" s="79"/>
      <c r="Q64" s="79"/>
      <c r="R64" s="79"/>
      <c r="Y64" s="79"/>
      <c r="AC64" s="130"/>
      <c r="AE64" s="106"/>
    </row>
    <row r="65">
      <c r="C65" s="79"/>
      <c r="D65" s="79"/>
      <c r="E65" s="79"/>
      <c r="P65" s="79"/>
      <c r="Q65" s="79"/>
      <c r="R65" s="79"/>
      <c r="Y65" s="79"/>
      <c r="AC65" s="130"/>
      <c r="AE65" s="106"/>
    </row>
    <row r="66">
      <c r="C66" s="79"/>
      <c r="D66" s="79"/>
      <c r="E66" s="79"/>
      <c r="P66" s="79"/>
      <c r="Q66" s="79"/>
      <c r="R66" s="79"/>
      <c r="Y66" s="79"/>
      <c r="AC66" s="130"/>
      <c r="AE66" s="106"/>
    </row>
    <row r="67">
      <c r="C67" s="79"/>
      <c r="D67" s="79"/>
      <c r="E67" s="79"/>
      <c r="P67" s="79"/>
      <c r="Q67" s="79"/>
      <c r="R67" s="79"/>
      <c r="Y67" s="79"/>
      <c r="AC67" s="130"/>
      <c r="AE67" s="106"/>
    </row>
    <row r="68">
      <c r="C68" s="79"/>
      <c r="D68" s="79"/>
      <c r="E68" s="79"/>
      <c r="P68" s="79"/>
      <c r="Q68" s="79"/>
      <c r="R68" s="79"/>
      <c r="Y68" s="79"/>
      <c r="AC68" s="130"/>
      <c r="AE68" s="106"/>
    </row>
    <row r="69">
      <c r="C69" s="79"/>
      <c r="D69" s="79"/>
      <c r="E69" s="79"/>
      <c r="P69" s="79"/>
      <c r="Q69" s="79"/>
      <c r="R69" s="79"/>
      <c r="Y69" s="79"/>
      <c r="AC69" s="130"/>
      <c r="AE69" s="106"/>
    </row>
    <row r="70">
      <c r="C70" s="79"/>
      <c r="D70" s="79"/>
      <c r="E70" s="79"/>
      <c r="P70" s="79"/>
      <c r="Q70" s="79"/>
      <c r="R70" s="79"/>
      <c r="Y70" s="79"/>
      <c r="AC70" s="130"/>
      <c r="AE70" s="106"/>
    </row>
    <row r="71">
      <c r="C71" s="79"/>
      <c r="D71" s="79"/>
      <c r="E71" s="79"/>
      <c r="P71" s="79"/>
      <c r="Q71" s="79"/>
      <c r="R71" s="79"/>
      <c r="Y71" s="79"/>
      <c r="AC71" s="130"/>
      <c r="AE71" s="106"/>
    </row>
    <row r="72">
      <c r="C72" s="79"/>
      <c r="D72" s="79"/>
      <c r="E72" s="79"/>
      <c r="P72" s="79"/>
      <c r="Q72" s="79"/>
      <c r="R72" s="79"/>
      <c r="Y72" s="79"/>
      <c r="AC72" s="130"/>
      <c r="AE72" s="106"/>
    </row>
    <row r="73">
      <c r="C73" s="79"/>
      <c r="D73" s="79"/>
      <c r="E73" s="79"/>
      <c r="P73" s="79"/>
      <c r="Q73" s="79"/>
      <c r="R73" s="79"/>
      <c r="Y73" s="79"/>
      <c r="AC73" s="130"/>
      <c r="AE73" s="106"/>
    </row>
    <row r="74">
      <c r="C74" s="79"/>
      <c r="D74" s="79"/>
      <c r="E74" s="79"/>
      <c r="P74" s="79"/>
      <c r="Q74" s="79"/>
      <c r="R74" s="79"/>
      <c r="Y74" s="79"/>
      <c r="AC74" s="130"/>
      <c r="AE74" s="106"/>
    </row>
    <row r="75">
      <c r="C75" s="79"/>
      <c r="D75" s="79"/>
      <c r="E75" s="79"/>
      <c r="P75" s="79"/>
      <c r="Q75" s="79"/>
      <c r="R75" s="79"/>
      <c r="Y75" s="79"/>
      <c r="AC75" s="130"/>
      <c r="AE75" s="106"/>
    </row>
    <row r="76">
      <c r="C76" s="79"/>
      <c r="D76" s="79"/>
      <c r="E76" s="79"/>
      <c r="P76" s="79"/>
      <c r="Q76" s="79"/>
      <c r="R76" s="79"/>
      <c r="Y76" s="79"/>
      <c r="AC76" s="130"/>
      <c r="AE76" s="106"/>
    </row>
    <row r="77">
      <c r="C77" s="79"/>
      <c r="D77" s="79"/>
      <c r="E77" s="79"/>
      <c r="P77" s="79"/>
      <c r="Q77" s="79"/>
      <c r="R77" s="79"/>
      <c r="Y77" s="79"/>
      <c r="AC77" s="130"/>
      <c r="AE77" s="106"/>
    </row>
    <row r="78">
      <c r="C78" s="79"/>
      <c r="D78" s="79"/>
      <c r="E78" s="79"/>
      <c r="P78" s="79"/>
      <c r="Q78" s="79"/>
      <c r="R78" s="79"/>
      <c r="Y78" s="79"/>
      <c r="AC78" s="130"/>
      <c r="AE78" s="106"/>
    </row>
    <row r="79">
      <c r="C79" s="79"/>
      <c r="D79" s="79"/>
      <c r="E79" s="79"/>
      <c r="P79" s="79"/>
      <c r="Q79" s="79"/>
      <c r="R79" s="79"/>
      <c r="Y79" s="79"/>
      <c r="AC79" s="130"/>
      <c r="AE79" s="106"/>
    </row>
    <row r="80">
      <c r="C80" s="79"/>
      <c r="D80" s="79"/>
      <c r="E80" s="79"/>
      <c r="P80" s="79"/>
      <c r="Q80" s="79"/>
      <c r="R80" s="79"/>
      <c r="Y80" s="79"/>
      <c r="AC80" s="130"/>
      <c r="AE80" s="106"/>
    </row>
    <row r="81">
      <c r="C81" s="79"/>
      <c r="D81" s="79"/>
      <c r="E81" s="79"/>
      <c r="P81" s="79"/>
      <c r="Q81" s="79"/>
      <c r="R81" s="79"/>
      <c r="Y81" s="79"/>
      <c r="AC81" s="130"/>
      <c r="AE81" s="106"/>
    </row>
    <row r="82">
      <c r="C82" s="79"/>
      <c r="D82" s="79"/>
      <c r="E82" s="79"/>
      <c r="P82" s="79"/>
      <c r="Q82" s="79"/>
      <c r="R82" s="79"/>
      <c r="Y82" s="79"/>
      <c r="AC82" s="130"/>
      <c r="AE82" s="106"/>
    </row>
    <row r="83">
      <c r="C83" s="79"/>
      <c r="D83" s="79"/>
      <c r="E83" s="79"/>
      <c r="P83" s="79"/>
      <c r="Q83" s="79"/>
      <c r="R83" s="79"/>
      <c r="Y83" s="79"/>
      <c r="AC83" s="130"/>
      <c r="AE83" s="106"/>
    </row>
    <row r="84">
      <c r="C84" s="79"/>
      <c r="D84" s="79"/>
      <c r="E84" s="79"/>
      <c r="P84" s="79"/>
      <c r="Q84" s="79"/>
      <c r="R84" s="79"/>
      <c r="Y84" s="79"/>
      <c r="AC84" s="130"/>
      <c r="AE84" s="106"/>
    </row>
    <row r="85">
      <c r="C85" s="79"/>
      <c r="D85" s="79"/>
      <c r="E85" s="79"/>
      <c r="P85" s="79"/>
      <c r="Q85" s="79"/>
      <c r="R85" s="79"/>
      <c r="Y85" s="79"/>
      <c r="AC85" s="130"/>
      <c r="AE85" s="106"/>
    </row>
    <row r="86">
      <c r="C86" s="79"/>
      <c r="D86" s="79"/>
      <c r="E86" s="79"/>
      <c r="P86" s="79"/>
      <c r="Q86" s="79"/>
      <c r="R86" s="79"/>
      <c r="Y86" s="79"/>
      <c r="AC86" s="130"/>
      <c r="AE86" s="106"/>
    </row>
    <row r="87">
      <c r="C87" s="79"/>
      <c r="D87" s="79"/>
      <c r="E87" s="79"/>
      <c r="P87" s="79"/>
      <c r="Q87" s="79"/>
      <c r="R87" s="79"/>
      <c r="Y87" s="79"/>
      <c r="AC87" s="130"/>
      <c r="AE87" s="106"/>
    </row>
    <row r="88">
      <c r="C88" s="79"/>
      <c r="D88" s="79"/>
      <c r="E88" s="79"/>
      <c r="P88" s="79"/>
      <c r="Q88" s="79"/>
      <c r="R88" s="79"/>
      <c r="Y88" s="79"/>
      <c r="AC88" s="130"/>
      <c r="AE88" s="106"/>
    </row>
    <row r="89">
      <c r="C89" s="79"/>
      <c r="D89" s="79"/>
      <c r="E89" s="79"/>
      <c r="P89" s="79"/>
      <c r="Q89" s="79"/>
      <c r="R89" s="79"/>
      <c r="Y89" s="79"/>
      <c r="AC89" s="130"/>
      <c r="AE89" s="106"/>
    </row>
    <row r="90">
      <c r="C90" s="79"/>
      <c r="D90" s="79"/>
      <c r="E90" s="79"/>
      <c r="P90" s="79"/>
      <c r="Q90" s="79"/>
      <c r="R90" s="79"/>
      <c r="Y90" s="79"/>
      <c r="AC90" s="130"/>
      <c r="AE90" s="106"/>
    </row>
    <row r="91">
      <c r="C91" s="79"/>
      <c r="D91" s="79"/>
      <c r="E91" s="79"/>
      <c r="P91" s="79"/>
      <c r="Q91" s="79"/>
      <c r="R91" s="79"/>
      <c r="Y91" s="79"/>
      <c r="AC91" s="130"/>
      <c r="AE91" s="106"/>
    </row>
    <row r="92">
      <c r="C92" s="79"/>
      <c r="D92" s="79"/>
      <c r="E92" s="79"/>
      <c r="P92" s="79"/>
      <c r="Q92" s="79"/>
      <c r="R92" s="79"/>
      <c r="Y92" s="79"/>
      <c r="AC92" s="130"/>
      <c r="AE92" s="106"/>
    </row>
    <row r="93">
      <c r="C93" s="79"/>
      <c r="D93" s="79"/>
      <c r="E93" s="79"/>
      <c r="P93" s="79"/>
      <c r="Q93" s="79"/>
      <c r="R93" s="79"/>
      <c r="Y93" s="79"/>
      <c r="AC93" s="130"/>
      <c r="AE93" s="106"/>
    </row>
    <row r="94">
      <c r="C94" s="79"/>
      <c r="D94" s="79"/>
      <c r="E94" s="79"/>
      <c r="P94" s="79"/>
      <c r="Q94" s="79"/>
      <c r="R94" s="79"/>
      <c r="Y94" s="79"/>
      <c r="AC94" s="130"/>
      <c r="AE94" s="106"/>
    </row>
    <row r="95">
      <c r="C95" s="79"/>
      <c r="D95" s="79"/>
      <c r="E95" s="79"/>
      <c r="P95" s="79"/>
      <c r="Q95" s="79"/>
      <c r="R95" s="79"/>
      <c r="Y95" s="79"/>
      <c r="AC95" s="130"/>
      <c r="AE95" s="106"/>
    </row>
    <row r="96">
      <c r="C96" s="79"/>
      <c r="D96" s="79"/>
      <c r="E96" s="79"/>
      <c r="P96" s="79"/>
      <c r="Q96" s="79"/>
      <c r="R96" s="79"/>
      <c r="Y96" s="79"/>
      <c r="AC96" s="130"/>
      <c r="AE96" s="106"/>
    </row>
    <row r="97">
      <c r="C97" s="79"/>
      <c r="D97" s="79"/>
      <c r="E97" s="79"/>
      <c r="P97" s="79"/>
      <c r="Q97" s="79"/>
      <c r="R97" s="79"/>
      <c r="Y97" s="79"/>
      <c r="AC97" s="130"/>
      <c r="AE97" s="106"/>
    </row>
    <row r="98">
      <c r="C98" s="79"/>
      <c r="D98" s="79"/>
      <c r="E98" s="79"/>
      <c r="P98" s="79"/>
      <c r="Q98" s="79"/>
      <c r="R98" s="79"/>
      <c r="Y98" s="79"/>
      <c r="AC98" s="130"/>
      <c r="AE98" s="106"/>
    </row>
    <row r="99">
      <c r="C99" s="79"/>
      <c r="D99" s="79"/>
      <c r="E99" s="79"/>
      <c r="P99" s="79"/>
      <c r="Q99" s="79"/>
      <c r="R99" s="79"/>
      <c r="Y99" s="79"/>
      <c r="AC99" s="130"/>
      <c r="AE99" s="106"/>
    </row>
    <row r="100">
      <c r="C100" s="79"/>
      <c r="D100" s="79"/>
      <c r="E100" s="79"/>
      <c r="P100" s="79"/>
      <c r="Q100" s="79"/>
      <c r="R100" s="79"/>
      <c r="Y100" s="79"/>
      <c r="AC100" s="130"/>
      <c r="AE100" s="106"/>
    </row>
    <row r="101">
      <c r="C101" s="79"/>
      <c r="D101" s="79"/>
      <c r="E101" s="79"/>
      <c r="P101" s="79"/>
      <c r="Q101" s="79"/>
      <c r="R101" s="79"/>
      <c r="Y101" s="79"/>
      <c r="AC101" s="130"/>
      <c r="AE101" s="106"/>
    </row>
    <row r="102">
      <c r="C102" s="79"/>
      <c r="D102" s="79"/>
      <c r="E102" s="79"/>
      <c r="P102" s="79"/>
      <c r="Q102" s="79"/>
      <c r="R102" s="79"/>
      <c r="Y102" s="79"/>
      <c r="AC102" s="130"/>
      <c r="AE102" s="106"/>
    </row>
    <row r="103">
      <c r="C103" s="79"/>
      <c r="D103" s="79"/>
      <c r="E103" s="79"/>
      <c r="P103" s="79"/>
      <c r="Q103" s="79"/>
      <c r="R103" s="79"/>
      <c r="Y103" s="79"/>
      <c r="AC103" s="130"/>
      <c r="AE103" s="106"/>
    </row>
    <row r="104">
      <c r="C104" s="79"/>
      <c r="D104" s="79"/>
      <c r="E104" s="79"/>
      <c r="P104" s="79"/>
      <c r="Q104" s="79"/>
      <c r="R104" s="79"/>
      <c r="Y104" s="79"/>
      <c r="AC104" s="130"/>
      <c r="AE104" s="106"/>
    </row>
    <row r="105">
      <c r="C105" s="79"/>
      <c r="D105" s="79"/>
      <c r="E105" s="79"/>
      <c r="P105" s="79"/>
      <c r="Q105" s="79"/>
      <c r="R105" s="79"/>
      <c r="Y105" s="79"/>
      <c r="AC105" s="130"/>
      <c r="AE105" s="106"/>
    </row>
    <row r="106">
      <c r="C106" s="79"/>
      <c r="D106" s="79"/>
      <c r="E106" s="79"/>
      <c r="P106" s="79"/>
      <c r="Q106" s="79"/>
      <c r="R106" s="79"/>
      <c r="Y106" s="79"/>
      <c r="AC106" s="130"/>
      <c r="AE106" s="106"/>
    </row>
    <row r="107">
      <c r="C107" s="79"/>
      <c r="D107" s="79"/>
      <c r="E107" s="79"/>
      <c r="P107" s="79"/>
      <c r="Q107" s="79"/>
      <c r="R107" s="79"/>
      <c r="Y107" s="79"/>
      <c r="AC107" s="130"/>
      <c r="AE107" s="106"/>
    </row>
    <row r="108">
      <c r="C108" s="79"/>
      <c r="D108" s="79"/>
      <c r="E108" s="79"/>
      <c r="P108" s="79"/>
      <c r="Q108" s="79"/>
      <c r="R108" s="79"/>
      <c r="Y108" s="79"/>
      <c r="AC108" s="130"/>
      <c r="AE108" s="106"/>
    </row>
    <row r="109">
      <c r="C109" s="79"/>
      <c r="D109" s="79"/>
      <c r="E109" s="79"/>
      <c r="P109" s="79"/>
      <c r="Q109" s="79"/>
      <c r="R109" s="79"/>
      <c r="Y109" s="79"/>
      <c r="AC109" s="130"/>
      <c r="AE109" s="106"/>
    </row>
    <row r="110">
      <c r="C110" s="79"/>
      <c r="D110" s="79"/>
      <c r="E110" s="79"/>
      <c r="P110" s="79"/>
      <c r="Q110" s="79"/>
      <c r="R110" s="79"/>
      <c r="Y110" s="79"/>
      <c r="AC110" s="130"/>
      <c r="AE110" s="106"/>
    </row>
    <row r="111">
      <c r="C111" s="79"/>
      <c r="D111" s="79"/>
      <c r="E111" s="79"/>
      <c r="P111" s="79"/>
      <c r="Q111" s="79"/>
      <c r="R111" s="79"/>
      <c r="Y111" s="79"/>
      <c r="AC111" s="130"/>
      <c r="AE111" s="106"/>
    </row>
    <row r="112">
      <c r="C112" s="79"/>
      <c r="D112" s="79"/>
      <c r="E112" s="79"/>
      <c r="P112" s="79"/>
      <c r="Q112" s="79"/>
      <c r="R112" s="79"/>
      <c r="Y112" s="79"/>
      <c r="AC112" s="130"/>
      <c r="AE112" s="106"/>
    </row>
    <row r="113">
      <c r="C113" s="79"/>
      <c r="D113" s="79"/>
      <c r="E113" s="79"/>
      <c r="P113" s="79"/>
      <c r="Q113" s="79"/>
      <c r="R113" s="79"/>
      <c r="Y113" s="79"/>
      <c r="AC113" s="130"/>
      <c r="AE113" s="106"/>
    </row>
    <row r="114">
      <c r="C114" s="79"/>
      <c r="D114" s="79"/>
      <c r="E114" s="79"/>
      <c r="P114" s="79"/>
      <c r="Q114" s="79"/>
      <c r="R114" s="79"/>
      <c r="Y114" s="79"/>
      <c r="AC114" s="130"/>
      <c r="AE114" s="106"/>
    </row>
    <row r="115">
      <c r="C115" s="79"/>
      <c r="D115" s="79"/>
      <c r="E115" s="79"/>
      <c r="P115" s="79"/>
      <c r="Q115" s="79"/>
      <c r="R115" s="79"/>
      <c r="Y115" s="79"/>
      <c r="AC115" s="130"/>
      <c r="AE115" s="106"/>
    </row>
    <row r="116">
      <c r="C116" s="79"/>
      <c r="D116" s="79"/>
      <c r="E116" s="79"/>
      <c r="P116" s="79"/>
      <c r="Q116" s="79"/>
      <c r="R116" s="79"/>
      <c r="Y116" s="79"/>
      <c r="AC116" s="130"/>
      <c r="AE116" s="106"/>
    </row>
    <row r="117">
      <c r="C117" s="79"/>
      <c r="D117" s="79"/>
      <c r="E117" s="79"/>
      <c r="P117" s="79"/>
      <c r="Q117" s="79"/>
      <c r="R117" s="79"/>
      <c r="Y117" s="79"/>
      <c r="AC117" s="130"/>
      <c r="AE117" s="106"/>
    </row>
    <row r="118">
      <c r="C118" s="79"/>
      <c r="D118" s="79"/>
      <c r="E118" s="79"/>
      <c r="P118" s="79"/>
      <c r="Q118" s="79"/>
      <c r="R118" s="79"/>
      <c r="Y118" s="79"/>
      <c r="AC118" s="130"/>
      <c r="AE118" s="106"/>
    </row>
    <row r="119">
      <c r="C119" s="79"/>
      <c r="D119" s="79"/>
      <c r="E119" s="79"/>
      <c r="P119" s="79"/>
      <c r="Q119" s="79"/>
      <c r="R119" s="79"/>
      <c r="Y119" s="79"/>
      <c r="AC119" s="130"/>
      <c r="AE119" s="106"/>
    </row>
    <row r="120">
      <c r="C120" s="79"/>
      <c r="D120" s="79"/>
      <c r="E120" s="79"/>
      <c r="P120" s="79"/>
      <c r="Q120" s="79"/>
      <c r="R120" s="79"/>
      <c r="Y120" s="79"/>
      <c r="AC120" s="130"/>
      <c r="AE120" s="106"/>
    </row>
    <row r="121">
      <c r="C121" s="79"/>
      <c r="D121" s="79"/>
      <c r="E121" s="79"/>
      <c r="P121" s="79"/>
      <c r="Q121" s="79"/>
      <c r="R121" s="79"/>
      <c r="Y121" s="79"/>
      <c r="AC121" s="130"/>
      <c r="AE121" s="106"/>
    </row>
    <row r="122">
      <c r="C122" s="79"/>
      <c r="D122" s="79"/>
      <c r="E122" s="79"/>
      <c r="P122" s="79"/>
      <c r="Q122" s="79"/>
      <c r="R122" s="79"/>
      <c r="Y122" s="79"/>
      <c r="AC122" s="130"/>
      <c r="AE122" s="106"/>
    </row>
    <row r="123">
      <c r="C123" s="79"/>
      <c r="D123" s="79"/>
      <c r="E123" s="79"/>
      <c r="P123" s="79"/>
      <c r="Q123" s="79"/>
      <c r="R123" s="79"/>
      <c r="Y123" s="79"/>
      <c r="AC123" s="130"/>
      <c r="AE123" s="106"/>
    </row>
    <row r="124">
      <c r="C124" s="79"/>
      <c r="D124" s="79"/>
      <c r="E124" s="79"/>
      <c r="P124" s="79"/>
      <c r="Q124" s="79"/>
      <c r="R124" s="79"/>
      <c r="Y124" s="79"/>
      <c r="AC124" s="130"/>
      <c r="AE124" s="106"/>
    </row>
    <row r="125">
      <c r="C125" s="79"/>
      <c r="D125" s="79"/>
      <c r="E125" s="79"/>
      <c r="P125" s="79"/>
      <c r="Q125" s="79"/>
      <c r="R125" s="79"/>
      <c r="Y125" s="79"/>
      <c r="AC125" s="130"/>
      <c r="AE125" s="106"/>
    </row>
    <row r="126">
      <c r="C126" s="79"/>
      <c r="D126" s="79"/>
      <c r="E126" s="79"/>
      <c r="P126" s="79"/>
      <c r="Q126" s="79"/>
      <c r="R126" s="79"/>
      <c r="Y126" s="79"/>
      <c r="AC126" s="130"/>
      <c r="AE126" s="106"/>
    </row>
    <row r="127">
      <c r="C127" s="79"/>
      <c r="D127" s="79"/>
      <c r="E127" s="79"/>
      <c r="P127" s="79"/>
      <c r="Q127" s="79"/>
      <c r="R127" s="79"/>
      <c r="Y127" s="79"/>
      <c r="AC127" s="130"/>
      <c r="AE127" s="106"/>
    </row>
    <row r="128">
      <c r="C128" s="79"/>
      <c r="D128" s="79"/>
      <c r="E128" s="79"/>
      <c r="P128" s="79"/>
      <c r="Q128" s="79"/>
      <c r="R128" s="79"/>
      <c r="Y128" s="79"/>
      <c r="AC128" s="130"/>
      <c r="AE128" s="106"/>
    </row>
    <row r="129">
      <c r="C129" s="79"/>
      <c r="D129" s="79"/>
      <c r="E129" s="79"/>
      <c r="P129" s="79"/>
      <c r="Q129" s="79"/>
      <c r="R129" s="79"/>
      <c r="Y129" s="79"/>
      <c r="AC129" s="130"/>
      <c r="AE129" s="106"/>
    </row>
    <row r="130">
      <c r="C130" s="79"/>
      <c r="D130" s="79"/>
      <c r="E130" s="79"/>
      <c r="P130" s="79"/>
      <c r="Q130" s="79"/>
      <c r="R130" s="79"/>
      <c r="Y130" s="79"/>
      <c r="AC130" s="130"/>
      <c r="AE130" s="106"/>
    </row>
    <row r="131">
      <c r="C131" s="79"/>
      <c r="D131" s="79"/>
      <c r="E131" s="79"/>
      <c r="P131" s="79"/>
      <c r="Q131" s="79"/>
      <c r="R131" s="79"/>
      <c r="Y131" s="79"/>
      <c r="AC131" s="130"/>
      <c r="AE131" s="106"/>
    </row>
    <row r="132">
      <c r="C132" s="79"/>
      <c r="D132" s="79"/>
      <c r="E132" s="79"/>
      <c r="P132" s="79"/>
      <c r="Q132" s="79"/>
      <c r="R132" s="79"/>
      <c r="Y132" s="79"/>
      <c r="AC132" s="130"/>
      <c r="AE132" s="106"/>
    </row>
    <row r="133">
      <c r="C133" s="79"/>
      <c r="D133" s="79"/>
      <c r="E133" s="79"/>
      <c r="P133" s="79"/>
      <c r="Q133" s="79"/>
      <c r="R133" s="79"/>
      <c r="Y133" s="79"/>
      <c r="AC133" s="130"/>
      <c r="AE133" s="106"/>
    </row>
    <row r="134">
      <c r="C134" s="79"/>
      <c r="D134" s="79"/>
      <c r="E134" s="79"/>
      <c r="P134" s="79"/>
      <c r="Q134" s="79"/>
      <c r="R134" s="79"/>
      <c r="Y134" s="79"/>
      <c r="AC134" s="130"/>
      <c r="AE134" s="106"/>
    </row>
    <row r="135">
      <c r="C135" s="79"/>
      <c r="D135" s="79"/>
      <c r="E135" s="79"/>
      <c r="P135" s="79"/>
      <c r="Q135" s="79"/>
      <c r="R135" s="79"/>
      <c r="Y135" s="79"/>
      <c r="AC135" s="130"/>
      <c r="AE135" s="106"/>
    </row>
    <row r="136">
      <c r="C136" s="79"/>
      <c r="D136" s="79"/>
      <c r="E136" s="79"/>
      <c r="P136" s="79"/>
      <c r="Q136" s="79"/>
      <c r="R136" s="79"/>
      <c r="Y136" s="79"/>
      <c r="AC136" s="130"/>
      <c r="AE136" s="106"/>
    </row>
    <row r="137">
      <c r="C137" s="79"/>
      <c r="D137" s="79"/>
      <c r="E137" s="79"/>
      <c r="P137" s="79"/>
      <c r="Q137" s="79"/>
      <c r="R137" s="79"/>
      <c r="Y137" s="79"/>
      <c r="AC137" s="130"/>
      <c r="AE137" s="106"/>
    </row>
    <row r="138">
      <c r="C138" s="79"/>
      <c r="D138" s="79"/>
      <c r="E138" s="79"/>
      <c r="P138" s="79"/>
      <c r="Q138" s="79"/>
      <c r="R138" s="79"/>
      <c r="Y138" s="79"/>
      <c r="AC138" s="130"/>
      <c r="AE138" s="106"/>
    </row>
    <row r="139">
      <c r="C139" s="79"/>
      <c r="D139" s="79"/>
      <c r="E139" s="79"/>
      <c r="P139" s="79"/>
      <c r="Q139" s="79"/>
      <c r="R139" s="79"/>
      <c r="Y139" s="79"/>
      <c r="AC139" s="130"/>
      <c r="AE139" s="106"/>
    </row>
    <row r="140">
      <c r="C140" s="79"/>
      <c r="D140" s="79"/>
      <c r="E140" s="79"/>
      <c r="P140" s="79"/>
      <c r="Q140" s="79"/>
      <c r="R140" s="79"/>
      <c r="Y140" s="79"/>
      <c r="AC140" s="130"/>
      <c r="AE140" s="106"/>
    </row>
    <row r="141">
      <c r="C141" s="79"/>
      <c r="D141" s="79"/>
      <c r="E141" s="79"/>
      <c r="P141" s="79"/>
      <c r="Q141" s="79"/>
      <c r="R141" s="79"/>
      <c r="Y141" s="79"/>
      <c r="AC141" s="130"/>
      <c r="AE141" s="106"/>
    </row>
    <row r="142">
      <c r="C142" s="79"/>
      <c r="D142" s="79"/>
      <c r="E142" s="79"/>
      <c r="P142" s="79"/>
      <c r="Q142" s="79"/>
      <c r="R142" s="79"/>
      <c r="Y142" s="79"/>
      <c r="AC142" s="130"/>
      <c r="AE142" s="106"/>
    </row>
    <row r="143">
      <c r="C143" s="79"/>
      <c r="D143" s="79"/>
      <c r="E143" s="79"/>
      <c r="P143" s="79"/>
      <c r="Q143" s="79"/>
      <c r="R143" s="79"/>
      <c r="Y143" s="79"/>
      <c r="AC143" s="130"/>
      <c r="AE143" s="106"/>
    </row>
    <row r="144">
      <c r="C144" s="79"/>
      <c r="D144" s="79"/>
      <c r="E144" s="79"/>
      <c r="P144" s="79"/>
      <c r="Q144" s="79"/>
      <c r="R144" s="79"/>
      <c r="Y144" s="79"/>
      <c r="AC144" s="130"/>
      <c r="AE144" s="106"/>
    </row>
    <row r="145">
      <c r="C145" s="79"/>
      <c r="D145" s="79"/>
      <c r="E145" s="79"/>
      <c r="P145" s="79"/>
      <c r="Q145" s="79"/>
      <c r="R145" s="79"/>
      <c r="Y145" s="79"/>
      <c r="AC145" s="130"/>
      <c r="AE145" s="106"/>
    </row>
    <row r="146">
      <c r="C146" s="79"/>
      <c r="D146" s="79"/>
      <c r="E146" s="79"/>
      <c r="P146" s="79"/>
      <c r="Q146" s="79"/>
      <c r="R146" s="79"/>
      <c r="Y146" s="79"/>
      <c r="AC146" s="130"/>
      <c r="AE146" s="106"/>
    </row>
    <row r="147">
      <c r="C147" s="79"/>
      <c r="D147" s="79"/>
      <c r="E147" s="79"/>
      <c r="P147" s="79"/>
      <c r="Q147" s="79"/>
      <c r="R147" s="79"/>
      <c r="Y147" s="79"/>
      <c r="AC147" s="130"/>
      <c r="AE147" s="106"/>
    </row>
    <row r="148">
      <c r="C148" s="79"/>
      <c r="D148" s="79"/>
      <c r="E148" s="79"/>
      <c r="P148" s="79"/>
      <c r="Q148" s="79"/>
      <c r="R148" s="79"/>
      <c r="Y148" s="79"/>
      <c r="AC148" s="130"/>
      <c r="AE148" s="106"/>
    </row>
    <row r="149">
      <c r="C149" s="79"/>
      <c r="D149" s="79"/>
      <c r="E149" s="79"/>
      <c r="P149" s="79"/>
      <c r="Q149" s="79"/>
      <c r="R149" s="79"/>
      <c r="Y149" s="79"/>
      <c r="AC149" s="130"/>
      <c r="AE149" s="106"/>
    </row>
    <row r="150">
      <c r="C150" s="79"/>
      <c r="D150" s="79"/>
      <c r="E150" s="79"/>
      <c r="P150" s="79"/>
      <c r="Q150" s="79"/>
      <c r="R150" s="79"/>
      <c r="Y150" s="79"/>
      <c r="AC150" s="130"/>
      <c r="AE150" s="106"/>
    </row>
    <row r="151">
      <c r="C151" s="79"/>
      <c r="D151" s="79"/>
      <c r="E151" s="79"/>
      <c r="P151" s="79"/>
      <c r="Q151" s="79"/>
      <c r="R151" s="79"/>
      <c r="Y151" s="79"/>
      <c r="AC151" s="130"/>
      <c r="AE151" s="106"/>
    </row>
    <row r="152">
      <c r="C152" s="79"/>
      <c r="D152" s="79"/>
      <c r="E152" s="79"/>
      <c r="P152" s="79"/>
      <c r="Q152" s="79"/>
      <c r="R152" s="79"/>
      <c r="Y152" s="79"/>
      <c r="AC152" s="130"/>
      <c r="AE152" s="106"/>
    </row>
    <row r="153">
      <c r="C153" s="79"/>
      <c r="D153" s="79"/>
      <c r="E153" s="79"/>
      <c r="P153" s="79"/>
      <c r="Q153" s="79"/>
      <c r="R153" s="79"/>
      <c r="Y153" s="79"/>
      <c r="AC153" s="130"/>
      <c r="AE153" s="106"/>
    </row>
    <row r="154">
      <c r="C154" s="79"/>
      <c r="D154" s="79"/>
      <c r="E154" s="79"/>
      <c r="P154" s="79"/>
      <c r="Q154" s="79"/>
      <c r="R154" s="79"/>
      <c r="Y154" s="79"/>
      <c r="AC154" s="130"/>
      <c r="AE154" s="106"/>
    </row>
    <row r="155">
      <c r="C155" s="79"/>
      <c r="D155" s="79"/>
      <c r="E155" s="79"/>
      <c r="P155" s="79"/>
      <c r="Q155" s="79"/>
      <c r="R155" s="79"/>
      <c r="Y155" s="79"/>
      <c r="AC155" s="130"/>
      <c r="AE155" s="106"/>
    </row>
    <row r="156">
      <c r="C156" s="79"/>
      <c r="D156" s="79"/>
      <c r="E156" s="79"/>
      <c r="P156" s="79"/>
      <c r="Q156" s="79"/>
      <c r="R156" s="79"/>
      <c r="Y156" s="79"/>
      <c r="AC156" s="130"/>
      <c r="AE156" s="106"/>
    </row>
    <row r="157">
      <c r="C157" s="79"/>
      <c r="D157" s="79"/>
      <c r="E157" s="79"/>
      <c r="P157" s="79"/>
      <c r="Q157" s="79"/>
      <c r="R157" s="79"/>
      <c r="Y157" s="79"/>
      <c r="AC157" s="130"/>
      <c r="AE157" s="106"/>
    </row>
    <row r="158">
      <c r="C158" s="79"/>
      <c r="D158" s="79"/>
      <c r="E158" s="79"/>
      <c r="P158" s="79"/>
      <c r="Q158" s="79"/>
      <c r="R158" s="79"/>
      <c r="Y158" s="79"/>
      <c r="AC158" s="130"/>
      <c r="AE158" s="106"/>
    </row>
    <row r="159">
      <c r="C159" s="79"/>
      <c r="D159" s="79"/>
      <c r="E159" s="79"/>
      <c r="P159" s="79"/>
      <c r="Q159" s="79"/>
      <c r="R159" s="79"/>
      <c r="Y159" s="79"/>
      <c r="AC159" s="130"/>
      <c r="AE159" s="106"/>
    </row>
    <row r="160">
      <c r="C160" s="79"/>
      <c r="D160" s="79"/>
      <c r="E160" s="79"/>
      <c r="P160" s="79"/>
      <c r="Q160" s="79"/>
      <c r="R160" s="79"/>
      <c r="Y160" s="79"/>
      <c r="AC160" s="130"/>
      <c r="AE160" s="106"/>
    </row>
    <row r="161">
      <c r="C161" s="79"/>
      <c r="D161" s="79"/>
      <c r="E161" s="79"/>
      <c r="P161" s="79"/>
      <c r="Q161" s="79"/>
      <c r="R161" s="79"/>
      <c r="Y161" s="79"/>
      <c r="AC161" s="130"/>
      <c r="AE161" s="106"/>
    </row>
    <row r="162">
      <c r="C162" s="79"/>
      <c r="D162" s="79"/>
      <c r="E162" s="79"/>
      <c r="P162" s="79"/>
      <c r="Q162" s="79"/>
      <c r="R162" s="79"/>
      <c r="Y162" s="79"/>
      <c r="AC162" s="130"/>
      <c r="AE162" s="106"/>
    </row>
    <row r="163">
      <c r="C163" s="79"/>
      <c r="D163" s="79"/>
      <c r="E163" s="79"/>
      <c r="P163" s="79"/>
      <c r="Q163" s="79"/>
      <c r="R163" s="79"/>
      <c r="Y163" s="79"/>
      <c r="AC163" s="130"/>
      <c r="AE163" s="106"/>
    </row>
    <row r="164">
      <c r="C164" s="79"/>
      <c r="D164" s="79"/>
      <c r="E164" s="79"/>
      <c r="P164" s="79"/>
      <c r="Q164" s="79"/>
      <c r="R164" s="79"/>
      <c r="Y164" s="79"/>
      <c r="AC164" s="130"/>
      <c r="AE164" s="106"/>
    </row>
    <row r="165">
      <c r="C165" s="79"/>
      <c r="D165" s="79"/>
      <c r="E165" s="79"/>
      <c r="P165" s="79"/>
      <c r="Q165" s="79"/>
      <c r="R165" s="79"/>
      <c r="Y165" s="79"/>
      <c r="AC165" s="130"/>
      <c r="AE165" s="106"/>
    </row>
    <row r="166">
      <c r="C166" s="79"/>
      <c r="D166" s="79"/>
      <c r="E166" s="79"/>
      <c r="P166" s="79"/>
      <c r="Q166" s="79"/>
      <c r="R166" s="79"/>
      <c r="Y166" s="79"/>
      <c r="AC166" s="130"/>
      <c r="AE166" s="106"/>
    </row>
    <row r="167">
      <c r="C167" s="79"/>
      <c r="D167" s="79"/>
      <c r="E167" s="79"/>
      <c r="P167" s="79"/>
      <c r="Q167" s="79"/>
      <c r="R167" s="79"/>
      <c r="Y167" s="79"/>
      <c r="AC167" s="130"/>
      <c r="AE167" s="106"/>
    </row>
    <row r="168">
      <c r="C168" s="79"/>
      <c r="D168" s="79"/>
      <c r="E168" s="79"/>
      <c r="P168" s="79"/>
      <c r="Q168" s="79"/>
      <c r="R168" s="79"/>
      <c r="Y168" s="79"/>
      <c r="AC168" s="130"/>
      <c r="AE168" s="106"/>
    </row>
    <row r="169">
      <c r="C169" s="79"/>
      <c r="D169" s="79"/>
      <c r="E169" s="79"/>
      <c r="P169" s="79"/>
      <c r="Q169" s="79"/>
      <c r="R169" s="79"/>
      <c r="Y169" s="79"/>
      <c r="AC169" s="130"/>
      <c r="AE169" s="106"/>
    </row>
    <row r="170">
      <c r="C170" s="79"/>
      <c r="D170" s="79"/>
      <c r="E170" s="79"/>
      <c r="P170" s="79"/>
      <c r="Q170" s="79"/>
      <c r="R170" s="79"/>
      <c r="Y170" s="79"/>
      <c r="AC170" s="130"/>
      <c r="AE170" s="106"/>
    </row>
    <row r="171">
      <c r="C171" s="79"/>
      <c r="D171" s="79"/>
      <c r="E171" s="79"/>
      <c r="P171" s="79"/>
      <c r="Q171" s="79"/>
      <c r="R171" s="79"/>
      <c r="Y171" s="79"/>
      <c r="AC171" s="130"/>
      <c r="AE171" s="106"/>
    </row>
    <row r="172">
      <c r="C172" s="79"/>
      <c r="D172" s="79"/>
      <c r="E172" s="79"/>
      <c r="P172" s="79"/>
      <c r="Q172" s="79"/>
      <c r="R172" s="79"/>
      <c r="Y172" s="79"/>
      <c r="AC172" s="130"/>
      <c r="AE172" s="106"/>
    </row>
    <row r="173">
      <c r="C173" s="79"/>
      <c r="D173" s="79"/>
      <c r="E173" s="79"/>
      <c r="P173" s="79"/>
      <c r="Q173" s="79"/>
      <c r="R173" s="79"/>
      <c r="Y173" s="79"/>
      <c r="AC173" s="130"/>
      <c r="AE173" s="106"/>
    </row>
    <row r="174">
      <c r="C174" s="79"/>
      <c r="D174" s="79"/>
      <c r="E174" s="79"/>
      <c r="P174" s="79"/>
      <c r="Q174" s="79"/>
      <c r="R174" s="79"/>
      <c r="Y174" s="79"/>
      <c r="AC174" s="130"/>
      <c r="AE174" s="106"/>
    </row>
    <row r="175">
      <c r="C175" s="79"/>
      <c r="D175" s="79"/>
      <c r="E175" s="79"/>
      <c r="P175" s="79"/>
      <c r="Q175" s="79"/>
      <c r="R175" s="79"/>
      <c r="Y175" s="79"/>
      <c r="AC175" s="130"/>
      <c r="AE175" s="106"/>
    </row>
    <row r="176">
      <c r="C176" s="79"/>
      <c r="D176" s="79"/>
      <c r="E176" s="79"/>
      <c r="P176" s="79"/>
      <c r="Q176" s="79"/>
      <c r="R176" s="79"/>
      <c r="Y176" s="79"/>
      <c r="AC176" s="130"/>
      <c r="AE176" s="106"/>
    </row>
    <row r="177">
      <c r="C177" s="79"/>
      <c r="D177" s="79"/>
      <c r="E177" s="79"/>
      <c r="P177" s="79"/>
      <c r="Q177" s="79"/>
      <c r="R177" s="79"/>
      <c r="Y177" s="79"/>
      <c r="AC177" s="130"/>
      <c r="AE177" s="106"/>
    </row>
    <row r="178">
      <c r="C178" s="79"/>
      <c r="D178" s="79"/>
      <c r="E178" s="79"/>
      <c r="P178" s="79"/>
      <c r="Q178" s="79"/>
      <c r="R178" s="79"/>
      <c r="Y178" s="79"/>
      <c r="AC178" s="130"/>
      <c r="AE178" s="106"/>
    </row>
    <row r="179">
      <c r="C179" s="79"/>
      <c r="D179" s="79"/>
      <c r="E179" s="79"/>
      <c r="P179" s="79"/>
      <c r="Q179" s="79"/>
      <c r="R179" s="79"/>
      <c r="Y179" s="79"/>
      <c r="AC179" s="130"/>
      <c r="AE179" s="106"/>
    </row>
    <row r="180">
      <c r="C180" s="79"/>
      <c r="D180" s="79"/>
      <c r="E180" s="79"/>
      <c r="P180" s="79"/>
      <c r="Q180" s="79"/>
      <c r="R180" s="79"/>
      <c r="Y180" s="79"/>
      <c r="AC180" s="130"/>
      <c r="AE180" s="106"/>
    </row>
    <row r="181">
      <c r="C181" s="79"/>
      <c r="D181" s="79"/>
      <c r="E181" s="79"/>
      <c r="P181" s="79"/>
      <c r="Q181" s="79"/>
      <c r="R181" s="79"/>
      <c r="Y181" s="79"/>
      <c r="AC181" s="130"/>
      <c r="AE181" s="106"/>
    </row>
    <row r="182">
      <c r="C182" s="79"/>
      <c r="D182" s="79"/>
      <c r="E182" s="79"/>
      <c r="P182" s="79"/>
      <c r="Q182" s="79"/>
      <c r="R182" s="79"/>
      <c r="Y182" s="79"/>
      <c r="AC182" s="130"/>
      <c r="AE182" s="106"/>
    </row>
    <row r="183">
      <c r="C183" s="79"/>
      <c r="D183" s="79"/>
      <c r="E183" s="79"/>
      <c r="P183" s="79"/>
      <c r="Q183" s="79"/>
      <c r="R183" s="79"/>
      <c r="Y183" s="79"/>
      <c r="AC183" s="130"/>
      <c r="AE183" s="106"/>
    </row>
    <row r="184">
      <c r="C184" s="79"/>
      <c r="D184" s="79"/>
      <c r="E184" s="79"/>
      <c r="P184" s="79"/>
      <c r="Q184" s="79"/>
      <c r="R184" s="79"/>
      <c r="Y184" s="79"/>
      <c r="AC184" s="130"/>
      <c r="AE184" s="106"/>
    </row>
    <row r="185">
      <c r="C185" s="79"/>
      <c r="D185" s="79"/>
      <c r="E185" s="79"/>
      <c r="P185" s="79"/>
      <c r="Q185" s="79"/>
      <c r="R185" s="79"/>
      <c r="Y185" s="79"/>
      <c r="AC185" s="130"/>
      <c r="AE185" s="106"/>
    </row>
    <row r="186">
      <c r="C186" s="79"/>
      <c r="D186" s="79"/>
      <c r="E186" s="79"/>
      <c r="P186" s="79"/>
      <c r="Q186" s="79"/>
      <c r="R186" s="79"/>
      <c r="Y186" s="79"/>
      <c r="AC186" s="130"/>
      <c r="AE186" s="106"/>
    </row>
    <row r="187">
      <c r="C187" s="79"/>
      <c r="D187" s="79"/>
      <c r="E187" s="79"/>
      <c r="P187" s="79"/>
      <c r="Q187" s="79"/>
      <c r="R187" s="79"/>
      <c r="Y187" s="79"/>
      <c r="AC187" s="130"/>
      <c r="AE187" s="106"/>
    </row>
    <row r="188">
      <c r="C188" s="79"/>
      <c r="D188" s="79"/>
      <c r="E188" s="79"/>
      <c r="P188" s="79"/>
      <c r="Q188" s="79"/>
      <c r="R188" s="79"/>
      <c r="Y188" s="79"/>
      <c r="AC188" s="130"/>
      <c r="AE188" s="106"/>
    </row>
    <row r="189">
      <c r="C189" s="79"/>
      <c r="D189" s="79"/>
      <c r="E189" s="79"/>
      <c r="P189" s="79"/>
      <c r="Q189" s="79"/>
      <c r="R189" s="79"/>
      <c r="Y189" s="79"/>
      <c r="AC189" s="130"/>
      <c r="AE189" s="106"/>
    </row>
    <row r="190">
      <c r="C190" s="79"/>
      <c r="D190" s="79"/>
      <c r="E190" s="79"/>
      <c r="P190" s="79"/>
      <c r="Q190" s="79"/>
      <c r="R190" s="79"/>
      <c r="Y190" s="79"/>
      <c r="AC190" s="130"/>
      <c r="AE190" s="106"/>
    </row>
    <row r="191">
      <c r="C191" s="79"/>
      <c r="D191" s="79"/>
      <c r="E191" s="79"/>
      <c r="P191" s="79"/>
      <c r="Q191" s="79"/>
      <c r="R191" s="79"/>
      <c r="Y191" s="79"/>
      <c r="AC191" s="130"/>
      <c r="AE191" s="106"/>
    </row>
    <row r="192">
      <c r="C192" s="79"/>
      <c r="D192" s="79"/>
      <c r="E192" s="79"/>
      <c r="P192" s="79"/>
      <c r="Q192" s="79"/>
      <c r="R192" s="79"/>
      <c r="Y192" s="79"/>
      <c r="AC192" s="130"/>
      <c r="AE192" s="106"/>
    </row>
    <row r="193">
      <c r="C193" s="79"/>
      <c r="D193" s="79"/>
      <c r="E193" s="79"/>
      <c r="P193" s="79"/>
      <c r="Q193" s="79"/>
      <c r="R193" s="79"/>
      <c r="Y193" s="79"/>
      <c r="AC193" s="130"/>
      <c r="AE193" s="106"/>
    </row>
    <row r="194">
      <c r="C194" s="79"/>
      <c r="D194" s="79"/>
      <c r="E194" s="79"/>
      <c r="P194" s="79"/>
      <c r="Q194" s="79"/>
      <c r="R194" s="79"/>
      <c r="Y194" s="79"/>
      <c r="AC194" s="130"/>
      <c r="AE194" s="106"/>
    </row>
    <row r="195">
      <c r="C195" s="79"/>
      <c r="D195" s="79"/>
      <c r="E195" s="79"/>
      <c r="P195" s="79"/>
      <c r="Q195" s="79"/>
      <c r="R195" s="79"/>
      <c r="Y195" s="79"/>
      <c r="AC195" s="130"/>
      <c r="AE195" s="106"/>
    </row>
    <row r="196">
      <c r="C196" s="79"/>
      <c r="D196" s="79"/>
      <c r="E196" s="79"/>
      <c r="P196" s="79"/>
      <c r="Q196" s="79"/>
      <c r="R196" s="79"/>
      <c r="Y196" s="79"/>
      <c r="AC196" s="130"/>
      <c r="AE196" s="106"/>
    </row>
    <row r="197">
      <c r="C197" s="79"/>
      <c r="D197" s="79"/>
      <c r="E197" s="79"/>
      <c r="P197" s="79"/>
      <c r="Q197" s="79"/>
      <c r="R197" s="79"/>
      <c r="Y197" s="79"/>
      <c r="AC197" s="130"/>
      <c r="AE197" s="106"/>
    </row>
    <row r="198">
      <c r="C198" s="79"/>
      <c r="D198" s="79"/>
      <c r="E198" s="79"/>
      <c r="P198" s="79"/>
      <c r="Q198" s="79"/>
      <c r="R198" s="79"/>
      <c r="Y198" s="79"/>
      <c r="AC198" s="130"/>
      <c r="AE198" s="106"/>
    </row>
    <row r="199">
      <c r="C199" s="79"/>
      <c r="D199" s="79"/>
      <c r="E199" s="79"/>
      <c r="P199" s="79"/>
      <c r="Q199" s="79"/>
      <c r="R199" s="79"/>
      <c r="Y199" s="79"/>
      <c r="AC199" s="130"/>
      <c r="AE199" s="106"/>
    </row>
    <row r="200">
      <c r="C200" s="79"/>
      <c r="D200" s="79"/>
      <c r="E200" s="79"/>
      <c r="P200" s="79"/>
      <c r="Q200" s="79"/>
      <c r="R200" s="79"/>
      <c r="Y200" s="79"/>
      <c r="AC200" s="130"/>
      <c r="AE200" s="106"/>
    </row>
    <row r="201">
      <c r="C201" s="79"/>
      <c r="D201" s="79"/>
      <c r="E201" s="79"/>
      <c r="P201" s="79"/>
      <c r="Q201" s="79"/>
      <c r="R201" s="79"/>
      <c r="Y201" s="79"/>
      <c r="AC201" s="130"/>
      <c r="AE201" s="106"/>
    </row>
    <row r="202">
      <c r="C202" s="79"/>
      <c r="D202" s="79"/>
      <c r="E202" s="79"/>
      <c r="P202" s="79"/>
      <c r="Q202" s="79"/>
      <c r="R202" s="79"/>
      <c r="Y202" s="79"/>
      <c r="AC202" s="130"/>
      <c r="AE202" s="106"/>
    </row>
    <row r="203">
      <c r="C203" s="79"/>
      <c r="D203" s="79"/>
      <c r="E203" s="79"/>
      <c r="P203" s="79"/>
      <c r="Q203" s="79"/>
      <c r="R203" s="79"/>
      <c r="Y203" s="79"/>
      <c r="AC203" s="130"/>
      <c r="AE203" s="106"/>
    </row>
    <row r="204">
      <c r="C204" s="79"/>
      <c r="D204" s="79"/>
      <c r="E204" s="79"/>
      <c r="P204" s="79"/>
      <c r="Q204" s="79"/>
      <c r="R204" s="79"/>
      <c r="Y204" s="79"/>
      <c r="AC204" s="130"/>
      <c r="AE204" s="106"/>
    </row>
    <row r="205">
      <c r="C205" s="79"/>
      <c r="D205" s="79"/>
      <c r="E205" s="79"/>
      <c r="P205" s="79"/>
      <c r="Q205" s="79"/>
      <c r="R205" s="79"/>
      <c r="Y205" s="79"/>
      <c r="AC205" s="130"/>
      <c r="AE205" s="106"/>
    </row>
    <row r="206">
      <c r="C206" s="79"/>
      <c r="D206" s="79"/>
      <c r="E206" s="79"/>
      <c r="P206" s="79"/>
      <c r="Q206" s="79"/>
      <c r="R206" s="79"/>
      <c r="Y206" s="79"/>
      <c r="AC206" s="130"/>
      <c r="AE206" s="106"/>
    </row>
    <row r="207">
      <c r="C207" s="79"/>
      <c r="D207" s="79"/>
      <c r="E207" s="79"/>
      <c r="P207" s="79"/>
      <c r="Q207" s="79"/>
      <c r="R207" s="79"/>
      <c r="Y207" s="79"/>
      <c r="AC207" s="130"/>
      <c r="AE207" s="106"/>
    </row>
    <row r="208">
      <c r="C208" s="79"/>
      <c r="D208" s="79"/>
      <c r="E208" s="79"/>
      <c r="P208" s="79"/>
      <c r="Q208" s="79"/>
      <c r="R208" s="79"/>
      <c r="Y208" s="79"/>
      <c r="AC208" s="130"/>
      <c r="AE208" s="106"/>
    </row>
    <row r="209">
      <c r="C209" s="79"/>
      <c r="D209" s="79"/>
      <c r="E209" s="79"/>
      <c r="P209" s="79"/>
      <c r="Q209" s="79"/>
      <c r="R209" s="79"/>
      <c r="Y209" s="79"/>
      <c r="AC209" s="130"/>
      <c r="AE209" s="106"/>
    </row>
    <row r="210">
      <c r="C210" s="79"/>
      <c r="D210" s="79"/>
      <c r="E210" s="79"/>
      <c r="P210" s="79"/>
      <c r="Q210" s="79"/>
      <c r="R210" s="79"/>
      <c r="Y210" s="79"/>
      <c r="AC210" s="130"/>
      <c r="AE210" s="106"/>
    </row>
    <row r="211">
      <c r="C211" s="79"/>
      <c r="D211" s="79"/>
      <c r="E211" s="79"/>
      <c r="P211" s="79"/>
      <c r="Q211" s="79"/>
      <c r="R211" s="79"/>
      <c r="Y211" s="79"/>
      <c r="AC211" s="130"/>
      <c r="AE211" s="106"/>
    </row>
    <row r="212">
      <c r="C212" s="79"/>
      <c r="D212" s="79"/>
      <c r="E212" s="79"/>
      <c r="P212" s="79"/>
      <c r="Q212" s="79"/>
      <c r="R212" s="79"/>
      <c r="Y212" s="79"/>
      <c r="AC212" s="130"/>
      <c r="AE212" s="106"/>
    </row>
    <row r="213">
      <c r="C213" s="79"/>
      <c r="D213" s="79"/>
      <c r="E213" s="79"/>
      <c r="P213" s="79"/>
      <c r="Q213" s="79"/>
      <c r="R213" s="79"/>
      <c r="Y213" s="79"/>
      <c r="AC213" s="130"/>
      <c r="AE213" s="106"/>
    </row>
    <row r="214">
      <c r="C214" s="79"/>
      <c r="D214" s="79"/>
      <c r="E214" s="79"/>
      <c r="P214" s="79"/>
      <c r="Q214" s="79"/>
      <c r="R214" s="79"/>
      <c r="Y214" s="79"/>
      <c r="AC214" s="130"/>
      <c r="AE214" s="106"/>
    </row>
    <row r="215">
      <c r="C215" s="79"/>
      <c r="D215" s="79"/>
      <c r="E215" s="79"/>
      <c r="P215" s="79"/>
      <c r="Q215" s="79"/>
      <c r="R215" s="79"/>
      <c r="Y215" s="79"/>
      <c r="AC215" s="130"/>
      <c r="AE215" s="106"/>
    </row>
    <row r="216">
      <c r="C216" s="79"/>
      <c r="D216" s="79"/>
      <c r="E216" s="79"/>
      <c r="P216" s="79"/>
      <c r="Q216" s="79"/>
      <c r="R216" s="79"/>
      <c r="Y216" s="79"/>
      <c r="AC216" s="130"/>
      <c r="AE216" s="106"/>
    </row>
    <row r="217">
      <c r="C217" s="79"/>
      <c r="D217" s="79"/>
      <c r="E217" s="79"/>
      <c r="P217" s="79"/>
      <c r="Q217" s="79"/>
      <c r="R217" s="79"/>
      <c r="Y217" s="79"/>
      <c r="AC217" s="130"/>
      <c r="AE217" s="106"/>
    </row>
    <row r="218">
      <c r="C218" s="79"/>
      <c r="D218" s="79"/>
      <c r="E218" s="79"/>
      <c r="P218" s="79"/>
      <c r="Q218" s="79"/>
      <c r="R218" s="79"/>
      <c r="Y218" s="79"/>
      <c r="AC218" s="130"/>
      <c r="AE218" s="106"/>
    </row>
    <row r="219">
      <c r="C219" s="79"/>
      <c r="D219" s="79"/>
      <c r="E219" s="79"/>
      <c r="P219" s="79"/>
      <c r="Q219" s="79"/>
      <c r="R219" s="79"/>
      <c r="Y219" s="79"/>
      <c r="AC219" s="130"/>
      <c r="AE219" s="106"/>
    </row>
    <row r="220">
      <c r="C220" s="79"/>
      <c r="D220" s="79"/>
      <c r="E220" s="79"/>
      <c r="P220" s="79"/>
      <c r="Q220" s="79"/>
      <c r="R220" s="79"/>
      <c r="Y220" s="79"/>
      <c r="AC220" s="130"/>
      <c r="AE220" s="106"/>
    </row>
    <row r="221">
      <c r="C221" s="79"/>
      <c r="D221" s="79"/>
      <c r="E221" s="79"/>
      <c r="P221" s="79"/>
      <c r="Q221" s="79"/>
      <c r="R221" s="79"/>
      <c r="Y221" s="79"/>
      <c r="AC221" s="130"/>
      <c r="AE221" s="106"/>
    </row>
    <row r="222">
      <c r="C222" s="79"/>
      <c r="D222" s="79"/>
      <c r="E222" s="79"/>
      <c r="P222" s="79"/>
      <c r="Q222" s="79"/>
      <c r="R222" s="79"/>
      <c r="Y222" s="79"/>
      <c r="AC222" s="130"/>
      <c r="AE222" s="106"/>
    </row>
    <row r="223">
      <c r="C223" s="79"/>
      <c r="D223" s="79"/>
      <c r="E223" s="79"/>
      <c r="P223" s="79"/>
      <c r="Q223" s="79"/>
      <c r="R223" s="79"/>
      <c r="Y223" s="79"/>
      <c r="AC223" s="130"/>
      <c r="AE223" s="106"/>
    </row>
    <row r="224">
      <c r="C224" s="79"/>
      <c r="D224" s="79"/>
      <c r="E224" s="79"/>
      <c r="P224" s="79"/>
      <c r="Q224" s="79"/>
      <c r="R224" s="79"/>
      <c r="Y224" s="79"/>
      <c r="AC224" s="130"/>
      <c r="AE224" s="106"/>
    </row>
    <row r="225">
      <c r="C225" s="79"/>
      <c r="D225" s="79"/>
      <c r="E225" s="79"/>
      <c r="P225" s="79"/>
      <c r="Q225" s="79"/>
      <c r="R225" s="79"/>
      <c r="Y225" s="79"/>
      <c r="AC225" s="130"/>
      <c r="AE225" s="106"/>
    </row>
    <row r="226">
      <c r="C226" s="79"/>
      <c r="D226" s="79"/>
      <c r="E226" s="79"/>
      <c r="P226" s="79"/>
      <c r="Q226" s="79"/>
      <c r="R226" s="79"/>
      <c r="Y226" s="79"/>
      <c r="AC226" s="130"/>
      <c r="AE226" s="106"/>
    </row>
    <row r="227">
      <c r="C227" s="79"/>
      <c r="D227" s="79"/>
      <c r="E227" s="79"/>
      <c r="P227" s="79"/>
      <c r="Q227" s="79"/>
      <c r="R227" s="79"/>
      <c r="Y227" s="79"/>
      <c r="AC227" s="130"/>
      <c r="AE227" s="106"/>
    </row>
    <row r="228">
      <c r="C228" s="79"/>
      <c r="D228" s="79"/>
      <c r="E228" s="79"/>
      <c r="P228" s="79"/>
      <c r="Q228" s="79"/>
      <c r="R228" s="79"/>
      <c r="Y228" s="79"/>
      <c r="AC228" s="130"/>
      <c r="AE228" s="106"/>
    </row>
    <row r="229">
      <c r="C229" s="79"/>
      <c r="D229" s="79"/>
      <c r="E229" s="79"/>
      <c r="P229" s="79"/>
      <c r="Q229" s="79"/>
      <c r="R229" s="79"/>
      <c r="Y229" s="79"/>
      <c r="AC229" s="130"/>
      <c r="AE229" s="106"/>
    </row>
    <row r="230">
      <c r="C230" s="79"/>
      <c r="D230" s="79"/>
      <c r="E230" s="79"/>
      <c r="P230" s="79"/>
      <c r="Q230" s="79"/>
      <c r="R230" s="79"/>
      <c r="Y230" s="79"/>
      <c r="AC230" s="130"/>
      <c r="AE230" s="106"/>
    </row>
    <row r="231">
      <c r="C231" s="79"/>
      <c r="D231" s="79"/>
      <c r="E231" s="79"/>
      <c r="P231" s="79"/>
      <c r="Q231" s="79"/>
      <c r="R231" s="79"/>
      <c r="Y231" s="79"/>
      <c r="AC231" s="130"/>
      <c r="AE231" s="106"/>
    </row>
    <row r="232">
      <c r="C232" s="79"/>
      <c r="D232" s="79"/>
      <c r="E232" s="79"/>
      <c r="P232" s="79"/>
      <c r="Q232" s="79"/>
      <c r="R232" s="79"/>
      <c r="Y232" s="79"/>
      <c r="AC232" s="130"/>
      <c r="AE232" s="106"/>
    </row>
    <row r="233">
      <c r="C233" s="79"/>
      <c r="D233" s="79"/>
      <c r="E233" s="79"/>
      <c r="P233" s="79"/>
      <c r="Q233" s="79"/>
      <c r="R233" s="79"/>
      <c r="Y233" s="79"/>
      <c r="AC233" s="130"/>
      <c r="AE233" s="106"/>
    </row>
    <row r="234">
      <c r="C234" s="79"/>
      <c r="D234" s="79"/>
      <c r="E234" s="79"/>
      <c r="P234" s="79"/>
      <c r="Q234" s="79"/>
      <c r="R234" s="79"/>
      <c r="Y234" s="79"/>
      <c r="AC234" s="130"/>
      <c r="AE234" s="106"/>
    </row>
    <row r="235">
      <c r="C235" s="79"/>
      <c r="D235" s="79"/>
      <c r="E235" s="79"/>
      <c r="P235" s="79"/>
      <c r="Q235" s="79"/>
      <c r="R235" s="79"/>
      <c r="Y235" s="79"/>
      <c r="AC235" s="130"/>
      <c r="AE235" s="106"/>
    </row>
    <row r="236">
      <c r="C236" s="79"/>
      <c r="D236" s="79"/>
      <c r="E236" s="79"/>
      <c r="P236" s="79"/>
      <c r="Q236" s="79"/>
      <c r="R236" s="79"/>
      <c r="Y236" s="79"/>
      <c r="AC236" s="130"/>
      <c r="AE236" s="106"/>
    </row>
    <row r="237">
      <c r="C237" s="79"/>
      <c r="D237" s="79"/>
      <c r="E237" s="79"/>
      <c r="P237" s="79"/>
      <c r="Q237" s="79"/>
      <c r="R237" s="79"/>
      <c r="Y237" s="79"/>
      <c r="AC237" s="130"/>
      <c r="AE237" s="106"/>
    </row>
    <row r="238">
      <c r="C238" s="79"/>
      <c r="D238" s="79"/>
      <c r="E238" s="79"/>
      <c r="P238" s="79"/>
      <c r="Q238" s="79"/>
      <c r="R238" s="79"/>
      <c r="Y238" s="79"/>
      <c r="AC238" s="130"/>
      <c r="AE238" s="106"/>
    </row>
    <row r="239">
      <c r="C239" s="79"/>
      <c r="D239" s="79"/>
      <c r="E239" s="79"/>
      <c r="P239" s="79"/>
      <c r="Q239" s="79"/>
      <c r="R239" s="79"/>
      <c r="Y239" s="79"/>
      <c r="AC239" s="130"/>
      <c r="AE239" s="106"/>
    </row>
    <row r="240">
      <c r="C240" s="79"/>
      <c r="D240" s="79"/>
      <c r="E240" s="79"/>
      <c r="P240" s="79"/>
      <c r="Q240" s="79"/>
      <c r="R240" s="79"/>
      <c r="Y240" s="79"/>
      <c r="AC240" s="130"/>
      <c r="AE240" s="106"/>
    </row>
    <row r="241">
      <c r="C241" s="79"/>
      <c r="D241" s="79"/>
      <c r="E241" s="79"/>
      <c r="P241" s="79"/>
      <c r="Q241" s="79"/>
      <c r="R241" s="79"/>
      <c r="Y241" s="79"/>
      <c r="AC241" s="130"/>
      <c r="AE241" s="106"/>
    </row>
    <row r="242">
      <c r="C242" s="79"/>
      <c r="D242" s="79"/>
      <c r="E242" s="79"/>
      <c r="P242" s="79"/>
      <c r="Q242" s="79"/>
      <c r="R242" s="79"/>
      <c r="Y242" s="79"/>
      <c r="AC242" s="130"/>
      <c r="AE242" s="106"/>
    </row>
    <row r="243">
      <c r="C243" s="79"/>
      <c r="D243" s="79"/>
      <c r="E243" s="79"/>
      <c r="P243" s="79"/>
      <c r="Q243" s="79"/>
      <c r="R243" s="79"/>
      <c r="Y243" s="79"/>
      <c r="AC243" s="130"/>
      <c r="AE243" s="106"/>
    </row>
    <row r="244">
      <c r="C244" s="79"/>
      <c r="D244" s="79"/>
      <c r="E244" s="79"/>
      <c r="P244" s="79"/>
      <c r="Q244" s="79"/>
      <c r="R244" s="79"/>
      <c r="Y244" s="79"/>
      <c r="AC244" s="130"/>
      <c r="AE244" s="106"/>
    </row>
    <row r="245">
      <c r="C245" s="79"/>
      <c r="D245" s="79"/>
      <c r="E245" s="79"/>
      <c r="P245" s="79"/>
      <c r="Q245" s="79"/>
      <c r="R245" s="79"/>
      <c r="Y245" s="79"/>
      <c r="AC245" s="130"/>
      <c r="AE245" s="106"/>
    </row>
    <row r="246">
      <c r="C246" s="79"/>
      <c r="D246" s="79"/>
      <c r="E246" s="79"/>
      <c r="P246" s="79"/>
      <c r="Q246" s="79"/>
      <c r="R246" s="79"/>
      <c r="Y246" s="79"/>
      <c r="AC246" s="130"/>
      <c r="AE246" s="106"/>
    </row>
    <row r="247">
      <c r="C247" s="79"/>
      <c r="D247" s="79"/>
      <c r="E247" s="79"/>
      <c r="P247" s="79"/>
      <c r="Q247" s="79"/>
      <c r="R247" s="79"/>
      <c r="Y247" s="79"/>
      <c r="AC247" s="130"/>
      <c r="AE247" s="106"/>
    </row>
    <row r="248">
      <c r="C248" s="79"/>
      <c r="D248" s="79"/>
      <c r="E248" s="79"/>
      <c r="P248" s="79"/>
      <c r="Q248" s="79"/>
      <c r="R248" s="79"/>
      <c r="Y248" s="79"/>
      <c r="AC248" s="130"/>
      <c r="AE248" s="106"/>
    </row>
    <row r="249">
      <c r="C249" s="79"/>
      <c r="D249" s="79"/>
      <c r="E249" s="79"/>
      <c r="P249" s="79"/>
      <c r="Q249" s="79"/>
      <c r="R249" s="79"/>
      <c r="Y249" s="79"/>
      <c r="AC249" s="130"/>
      <c r="AE249" s="106"/>
    </row>
    <row r="250">
      <c r="C250" s="79"/>
      <c r="D250" s="79"/>
      <c r="E250" s="79"/>
      <c r="P250" s="79"/>
      <c r="Q250" s="79"/>
      <c r="R250" s="79"/>
      <c r="Y250" s="79"/>
      <c r="AC250" s="130"/>
      <c r="AE250" s="106"/>
    </row>
    <row r="251">
      <c r="C251" s="79"/>
      <c r="D251" s="79"/>
      <c r="E251" s="79"/>
      <c r="P251" s="79"/>
      <c r="Q251" s="79"/>
      <c r="R251" s="79"/>
      <c r="Y251" s="79"/>
      <c r="AC251" s="130"/>
      <c r="AE251" s="106"/>
    </row>
    <row r="252">
      <c r="C252" s="79"/>
      <c r="D252" s="79"/>
      <c r="E252" s="79"/>
      <c r="P252" s="79"/>
      <c r="Q252" s="79"/>
      <c r="R252" s="79"/>
      <c r="Y252" s="79"/>
      <c r="AC252" s="130"/>
      <c r="AE252" s="106"/>
    </row>
    <row r="253">
      <c r="C253" s="79"/>
      <c r="D253" s="79"/>
      <c r="E253" s="79"/>
      <c r="P253" s="79"/>
      <c r="Q253" s="79"/>
      <c r="R253" s="79"/>
      <c r="Y253" s="79"/>
      <c r="AC253" s="130"/>
      <c r="AE253" s="106"/>
    </row>
    <row r="254">
      <c r="C254" s="79"/>
      <c r="D254" s="79"/>
      <c r="E254" s="79"/>
      <c r="P254" s="79"/>
      <c r="Q254" s="79"/>
      <c r="R254" s="79"/>
      <c r="Y254" s="79"/>
      <c r="AC254" s="130"/>
      <c r="AE254" s="106"/>
    </row>
    <row r="255">
      <c r="C255" s="79"/>
      <c r="D255" s="79"/>
      <c r="E255" s="79"/>
      <c r="P255" s="79"/>
      <c r="Q255" s="79"/>
      <c r="R255" s="79"/>
      <c r="Y255" s="79"/>
      <c r="AC255" s="130"/>
      <c r="AE255" s="106"/>
    </row>
    <row r="256">
      <c r="C256" s="79"/>
      <c r="D256" s="79"/>
      <c r="E256" s="79"/>
      <c r="P256" s="79"/>
      <c r="Q256" s="79"/>
      <c r="R256" s="79"/>
      <c r="Y256" s="79"/>
      <c r="AC256" s="130"/>
      <c r="AE256" s="106"/>
    </row>
    <row r="257">
      <c r="C257" s="79"/>
      <c r="D257" s="79"/>
      <c r="E257" s="79"/>
      <c r="P257" s="79"/>
      <c r="Q257" s="79"/>
      <c r="R257" s="79"/>
      <c r="Y257" s="79"/>
      <c r="AC257" s="130"/>
      <c r="AE257" s="106"/>
    </row>
    <row r="258">
      <c r="C258" s="79"/>
      <c r="D258" s="79"/>
      <c r="E258" s="79"/>
      <c r="P258" s="79"/>
      <c r="Q258" s="79"/>
      <c r="R258" s="79"/>
      <c r="Y258" s="79"/>
      <c r="AC258" s="130"/>
      <c r="AE258" s="106"/>
    </row>
    <row r="259">
      <c r="C259" s="79"/>
      <c r="D259" s="79"/>
      <c r="E259" s="79"/>
      <c r="P259" s="79"/>
      <c r="Q259" s="79"/>
      <c r="R259" s="79"/>
      <c r="Y259" s="79"/>
      <c r="AC259" s="130"/>
      <c r="AE259" s="106"/>
    </row>
    <row r="260">
      <c r="C260" s="79"/>
      <c r="D260" s="79"/>
      <c r="E260" s="79"/>
      <c r="P260" s="79"/>
      <c r="Q260" s="79"/>
      <c r="R260" s="79"/>
      <c r="Y260" s="79"/>
      <c r="AC260" s="130"/>
      <c r="AE260" s="106"/>
    </row>
    <row r="261">
      <c r="C261" s="79"/>
      <c r="D261" s="79"/>
      <c r="E261" s="79"/>
      <c r="P261" s="79"/>
      <c r="Q261" s="79"/>
      <c r="R261" s="79"/>
      <c r="Y261" s="79"/>
      <c r="AC261" s="130"/>
      <c r="AE261" s="106"/>
    </row>
    <row r="262">
      <c r="C262" s="79"/>
      <c r="D262" s="79"/>
      <c r="E262" s="79"/>
      <c r="P262" s="79"/>
      <c r="Q262" s="79"/>
      <c r="R262" s="79"/>
      <c r="Y262" s="79"/>
      <c r="AC262" s="130"/>
      <c r="AE262" s="106"/>
    </row>
    <row r="263">
      <c r="C263" s="79"/>
      <c r="D263" s="79"/>
      <c r="E263" s="79"/>
      <c r="P263" s="79"/>
      <c r="Q263" s="79"/>
      <c r="R263" s="79"/>
      <c r="Y263" s="79"/>
      <c r="AC263" s="130"/>
      <c r="AE263" s="106"/>
    </row>
    <row r="264">
      <c r="C264" s="79"/>
      <c r="D264" s="79"/>
      <c r="E264" s="79"/>
      <c r="P264" s="79"/>
      <c r="Q264" s="79"/>
      <c r="R264" s="79"/>
      <c r="Y264" s="79"/>
      <c r="AC264" s="130"/>
      <c r="AE264" s="106"/>
    </row>
    <row r="265">
      <c r="C265" s="79"/>
      <c r="D265" s="79"/>
      <c r="E265" s="79"/>
      <c r="P265" s="79"/>
      <c r="Q265" s="79"/>
      <c r="R265" s="79"/>
      <c r="Y265" s="79"/>
      <c r="AC265" s="130"/>
      <c r="AE265" s="106"/>
    </row>
    <row r="266">
      <c r="C266" s="79"/>
      <c r="D266" s="79"/>
      <c r="E266" s="79"/>
      <c r="P266" s="79"/>
      <c r="Q266" s="79"/>
      <c r="R266" s="79"/>
      <c r="Y266" s="79"/>
      <c r="AC266" s="130"/>
      <c r="AE266" s="106"/>
    </row>
    <row r="267">
      <c r="C267" s="79"/>
      <c r="D267" s="79"/>
      <c r="E267" s="79"/>
      <c r="P267" s="79"/>
      <c r="Q267" s="79"/>
      <c r="R267" s="79"/>
      <c r="Y267" s="79"/>
      <c r="AC267" s="130"/>
      <c r="AE267" s="106"/>
    </row>
    <row r="268">
      <c r="C268" s="79"/>
      <c r="D268" s="79"/>
      <c r="E268" s="79"/>
      <c r="P268" s="79"/>
      <c r="Q268" s="79"/>
      <c r="R268" s="79"/>
      <c r="Y268" s="79"/>
      <c r="AC268" s="130"/>
      <c r="AE268" s="106"/>
    </row>
    <row r="269">
      <c r="C269" s="79"/>
      <c r="D269" s="79"/>
      <c r="E269" s="79"/>
      <c r="P269" s="79"/>
      <c r="Q269" s="79"/>
      <c r="R269" s="79"/>
      <c r="Y269" s="79"/>
      <c r="AC269" s="130"/>
      <c r="AE269" s="106"/>
    </row>
    <row r="270">
      <c r="C270" s="79"/>
      <c r="D270" s="79"/>
      <c r="E270" s="79"/>
      <c r="P270" s="79"/>
      <c r="Q270" s="79"/>
      <c r="R270" s="79"/>
      <c r="Y270" s="79"/>
      <c r="AC270" s="130"/>
      <c r="AE270" s="106"/>
    </row>
    <row r="271">
      <c r="C271" s="79"/>
      <c r="D271" s="79"/>
      <c r="E271" s="79"/>
      <c r="P271" s="79"/>
      <c r="Q271" s="79"/>
      <c r="R271" s="79"/>
      <c r="Y271" s="79"/>
      <c r="AC271" s="130"/>
      <c r="AE271" s="106"/>
    </row>
    <row r="272">
      <c r="C272" s="79"/>
      <c r="D272" s="79"/>
      <c r="E272" s="79"/>
      <c r="P272" s="79"/>
      <c r="Q272" s="79"/>
      <c r="R272" s="79"/>
      <c r="Y272" s="79"/>
      <c r="AC272" s="130"/>
      <c r="AE272" s="106"/>
    </row>
    <row r="273">
      <c r="C273" s="79"/>
      <c r="D273" s="79"/>
      <c r="E273" s="79"/>
      <c r="P273" s="79"/>
      <c r="Q273" s="79"/>
      <c r="R273" s="79"/>
      <c r="Y273" s="79"/>
      <c r="AC273" s="130"/>
      <c r="AE273" s="106"/>
    </row>
    <row r="274">
      <c r="C274" s="79"/>
      <c r="D274" s="79"/>
      <c r="E274" s="79"/>
      <c r="P274" s="79"/>
      <c r="Q274" s="79"/>
      <c r="R274" s="79"/>
      <c r="Y274" s="79"/>
      <c r="AC274" s="130"/>
      <c r="AE274" s="106"/>
    </row>
    <row r="275">
      <c r="C275" s="79"/>
      <c r="D275" s="79"/>
      <c r="E275" s="79"/>
      <c r="P275" s="79"/>
      <c r="Q275" s="79"/>
      <c r="R275" s="79"/>
      <c r="Y275" s="79"/>
      <c r="AC275" s="130"/>
      <c r="AE275" s="106"/>
    </row>
    <row r="276">
      <c r="C276" s="79"/>
      <c r="D276" s="79"/>
      <c r="E276" s="79"/>
      <c r="P276" s="79"/>
      <c r="Q276" s="79"/>
      <c r="R276" s="79"/>
      <c r="Y276" s="79"/>
      <c r="AC276" s="130"/>
      <c r="AE276" s="106"/>
    </row>
    <row r="277">
      <c r="C277" s="79"/>
      <c r="D277" s="79"/>
      <c r="E277" s="79"/>
      <c r="P277" s="79"/>
      <c r="Q277" s="79"/>
      <c r="R277" s="79"/>
      <c r="Y277" s="79"/>
      <c r="AC277" s="130"/>
      <c r="AE277" s="106"/>
    </row>
    <row r="278">
      <c r="C278" s="79"/>
      <c r="D278" s="79"/>
      <c r="E278" s="79"/>
      <c r="P278" s="79"/>
      <c r="Q278" s="79"/>
      <c r="R278" s="79"/>
      <c r="Y278" s="79"/>
      <c r="AC278" s="130"/>
      <c r="AE278" s="106"/>
    </row>
    <row r="279">
      <c r="C279" s="79"/>
      <c r="D279" s="79"/>
      <c r="E279" s="79"/>
      <c r="P279" s="79"/>
      <c r="Q279" s="79"/>
      <c r="R279" s="79"/>
      <c r="Y279" s="79"/>
      <c r="AC279" s="130"/>
      <c r="AE279" s="106"/>
    </row>
    <row r="280">
      <c r="C280" s="79"/>
      <c r="D280" s="79"/>
      <c r="E280" s="79"/>
      <c r="P280" s="79"/>
      <c r="Q280" s="79"/>
      <c r="R280" s="79"/>
      <c r="Y280" s="79"/>
      <c r="AC280" s="130"/>
      <c r="AE280" s="106"/>
    </row>
    <row r="281">
      <c r="C281" s="79"/>
      <c r="D281" s="79"/>
      <c r="E281" s="79"/>
      <c r="P281" s="79"/>
      <c r="Q281" s="79"/>
      <c r="R281" s="79"/>
      <c r="Y281" s="79"/>
      <c r="AC281" s="130"/>
      <c r="AE281" s="106"/>
    </row>
    <row r="282">
      <c r="C282" s="79"/>
      <c r="D282" s="79"/>
      <c r="E282" s="79"/>
      <c r="P282" s="79"/>
      <c r="Q282" s="79"/>
      <c r="R282" s="79"/>
      <c r="Y282" s="79"/>
      <c r="AC282" s="130"/>
      <c r="AE282" s="106"/>
    </row>
    <row r="283">
      <c r="C283" s="79"/>
      <c r="D283" s="79"/>
      <c r="E283" s="79"/>
      <c r="P283" s="79"/>
      <c r="Q283" s="79"/>
      <c r="R283" s="79"/>
      <c r="Y283" s="79"/>
      <c r="AC283" s="130"/>
      <c r="AE283" s="106"/>
    </row>
    <row r="284">
      <c r="C284" s="79"/>
      <c r="D284" s="79"/>
      <c r="E284" s="79"/>
      <c r="P284" s="79"/>
      <c r="Q284" s="79"/>
      <c r="R284" s="79"/>
      <c r="Y284" s="79"/>
      <c r="AC284" s="130"/>
      <c r="AE284" s="106"/>
    </row>
    <row r="285">
      <c r="C285" s="79"/>
      <c r="D285" s="79"/>
      <c r="E285" s="79"/>
      <c r="P285" s="79"/>
      <c r="Q285" s="79"/>
      <c r="R285" s="79"/>
      <c r="Y285" s="79"/>
      <c r="AC285" s="130"/>
      <c r="AE285" s="106"/>
    </row>
    <row r="286">
      <c r="C286" s="79"/>
      <c r="D286" s="79"/>
      <c r="E286" s="79"/>
      <c r="P286" s="79"/>
      <c r="Q286" s="79"/>
      <c r="R286" s="79"/>
      <c r="Y286" s="79"/>
      <c r="AC286" s="130"/>
      <c r="AE286" s="106"/>
    </row>
    <row r="287">
      <c r="C287" s="79"/>
      <c r="D287" s="79"/>
      <c r="E287" s="79"/>
      <c r="P287" s="79"/>
      <c r="Q287" s="79"/>
      <c r="R287" s="79"/>
      <c r="Y287" s="79"/>
      <c r="AC287" s="130"/>
      <c r="AE287" s="106"/>
    </row>
    <row r="288">
      <c r="C288" s="79"/>
      <c r="D288" s="79"/>
      <c r="E288" s="79"/>
      <c r="P288" s="79"/>
      <c r="Q288" s="79"/>
      <c r="R288" s="79"/>
      <c r="Y288" s="79"/>
      <c r="AC288" s="130"/>
      <c r="AE288" s="106"/>
    </row>
    <row r="289">
      <c r="C289" s="79"/>
      <c r="D289" s="79"/>
      <c r="E289" s="79"/>
      <c r="P289" s="79"/>
      <c r="Q289" s="79"/>
      <c r="R289" s="79"/>
      <c r="Y289" s="79"/>
      <c r="AC289" s="130"/>
      <c r="AE289" s="106"/>
    </row>
    <row r="290">
      <c r="C290" s="79"/>
      <c r="D290" s="79"/>
      <c r="E290" s="79"/>
      <c r="P290" s="79"/>
      <c r="Q290" s="79"/>
      <c r="R290" s="79"/>
      <c r="Y290" s="79"/>
      <c r="AC290" s="130"/>
      <c r="AE290" s="106"/>
    </row>
    <row r="291">
      <c r="C291" s="79"/>
      <c r="D291" s="79"/>
      <c r="E291" s="79"/>
      <c r="P291" s="79"/>
      <c r="Q291" s="79"/>
      <c r="R291" s="79"/>
      <c r="Y291" s="79"/>
      <c r="AC291" s="130"/>
      <c r="AE291" s="106"/>
    </row>
    <row r="292">
      <c r="C292" s="79"/>
      <c r="D292" s="79"/>
      <c r="E292" s="79"/>
      <c r="P292" s="79"/>
      <c r="Q292" s="79"/>
      <c r="R292" s="79"/>
      <c r="Y292" s="79"/>
      <c r="AC292" s="130"/>
      <c r="AE292" s="106"/>
    </row>
    <row r="293">
      <c r="C293" s="79"/>
      <c r="D293" s="79"/>
      <c r="E293" s="79"/>
      <c r="P293" s="79"/>
      <c r="Q293" s="79"/>
      <c r="R293" s="79"/>
      <c r="Y293" s="79"/>
      <c r="AC293" s="130"/>
      <c r="AE293" s="106"/>
    </row>
    <row r="294">
      <c r="C294" s="79"/>
      <c r="D294" s="79"/>
      <c r="E294" s="79"/>
      <c r="P294" s="79"/>
      <c r="Q294" s="79"/>
      <c r="R294" s="79"/>
      <c r="Y294" s="79"/>
      <c r="AC294" s="130"/>
      <c r="AE294" s="106"/>
    </row>
    <row r="295">
      <c r="C295" s="79"/>
      <c r="D295" s="79"/>
      <c r="E295" s="79"/>
      <c r="P295" s="79"/>
      <c r="Q295" s="79"/>
      <c r="R295" s="79"/>
      <c r="Y295" s="79"/>
      <c r="AC295" s="130"/>
      <c r="AE295" s="106"/>
    </row>
    <row r="296">
      <c r="C296" s="79"/>
      <c r="D296" s="79"/>
      <c r="E296" s="79"/>
      <c r="P296" s="79"/>
      <c r="Q296" s="79"/>
      <c r="R296" s="79"/>
      <c r="Y296" s="79"/>
      <c r="AC296" s="130"/>
      <c r="AE296" s="106"/>
    </row>
    <row r="297">
      <c r="C297" s="79"/>
      <c r="D297" s="79"/>
      <c r="E297" s="79"/>
      <c r="P297" s="79"/>
      <c r="Q297" s="79"/>
      <c r="R297" s="79"/>
      <c r="Y297" s="79"/>
      <c r="AC297" s="130"/>
      <c r="AE297" s="106"/>
    </row>
    <row r="298">
      <c r="C298" s="79"/>
      <c r="D298" s="79"/>
      <c r="E298" s="79"/>
      <c r="P298" s="79"/>
      <c r="Q298" s="79"/>
      <c r="R298" s="79"/>
      <c r="Y298" s="79"/>
      <c r="AC298" s="130"/>
      <c r="AE298" s="106"/>
    </row>
    <row r="299">
      <c r="C299" s="79"/>
      <c r="D299" s="79"/>
      <c r="E299" s="79"/>
      <c r="P299" s="79"/>
      <c r="Q299" s="79"/>
      <c r="R299" s="79"/>
      <c r="Y299" s="79"/>
      <c r="AC299" s="130"/>
      <c r="AE299" s="106"/>
    </row>
    <row r="300">
      <c r="C300" s="79"/>
      <c r="D300" s="79"/>
      <c r="E300" s="79"/>
      <c r="P300" s="79"/>
      <c r="Q300" s="79"/>
      <c r="R300" s="79"/>
      <c r="Y300" s="79"/>
      <c r="AC300" s="130"/>
      <c r="AE300" s="106"/>
    </row>
    <row r="301">
      <c r="C301" s="79"/>
      <c r="D301" s="79"/>
      <c r="E301" s="79"/>
      <c r="P301" s="79"/>
      <c r="Q301" s="79"/>
      <c r="R301" s="79"/>
      <c r="Y301" s="79"/>
      <c r="AC301" s="130"/>
      <c r="AE301" s="106"/>
    </row>
    <row r="302">
      <c r="C302" s="79"/>
      <c r="D302" s="79"/>
      <c r="E302" s="79"/>
      <c r="P302" s="79"/>
      <c r="Q302" s="79"/>
      <c r="R302" s="79"/>
      <c r="Y302" s="79"/>
      <c r="AC302" s="130"/>
      <c r="AE302" s="106"/>
    </row>
    <row r="303">
      <c r="C303" s="79"/>
      <c r="D303" s="79"/>
      <c r="E303" s="79"/>
      <c r="P303" s="79"/>
      <c r="Q303" s="79"/>
      <c r="R303" s="79"/>
      <c r="Y303" s="79"/>
      <c r="AC303" s="130"/>
      <c r="AE303" s="106"/>
    </row>
    <row r="304">
      <c r="C304" s="79"/>
      <c r="D304" s="79"/>
      <c r="E304" s="79"/>
      <c r="P304" s="79"/>
      <c r="Q304" s="79"/>
      <c r="R304" s="79"/>
      <c r="Y304" s="79"/>
      <c r="AC304" s="130"/>
      <c r="AE304" s="106"/>
    </row>
    <row r="305">
      <c r="C305" s="79"/>
      <c r="D305" s="79"/>
      <c r="E305" s="79"/>
      <c r="P305" s="79"/>
      <c r="Q305" s="79"/>
      <c r="R305" s="79"/>
      <c r="Y305" s="79"/>
      <c r="AC305" s="130"/>
      <c r="AE305" s="106"/>
    </row>
    <row r="306">
      <c r="C306" s="79"/>
      <c r="D306" s="79"/>
      <c r="E306" s="79"/>
      <c r="P306" s="79"/>
      <c r="Q306" s="79"/>
      <c r="R306" s="79"/>
      <c r="Y306" s="79"/>
      <c r="AC306" s="130"/>
      <c r="AE306" s="106"/>
    </row>
    <row r="307">
      <c r="C307" s="79"/>
      <c r="D307" s="79"/>
      <c r="E307" s="79"/>
      <c r="P307" s="79"/>
      <c r="Q307" s="79"/>
      <c r="R307" s="79"/>
      <c r="Y307" s="79"/>
      <c r="AC307" s="130"/>
      <c r="AE307" s="106"/>
    </row>
    <row r="308">
      <c r="C308" s="79"/>
      <c r="D308" s="79"/>
      <c r="E308" s="79"/>
      <c r="P308" s="79"/>
      <c r="Q308" s="79"/>
      <c r="R308" s="79"/>
      <c r="Y308" s="79"/>
      <c r="AC308" s="130"/>
      <c r="AE308" s="106"/>
    </row>
    <row r="309">
      <c r="C309" s="79"/>
      <c r="D309" s="79"/>
      <c r="E309" s="79"/>
      <c r="P309" s="79"/>
      <c r="Q309" s="79"/>
      <c r="R309" s="79"/>
      <c r="Y309" s="79"/>
      <c r="AC309" s="130"/>
      <c r="AE309" s="106"/>
    </row>
    <row r="310">
      <c r="C310" s="79"/>
      <c r="D310" s="79"/>
      <c r="E310" s="79"/>
      <c r="P310" s="79"/>
      <c r="Q310" s="79"/>
      <c r="R310" s="79"/>
      <c r="Y310" s="79"/>
      <c r="AC310" s="130"/>
      <c r="AE310" s="106"/>
    </row>
    <row r="311">
      <c r="C311" s="79"/>
      <c r="D311" s="79"/>
      <c r="E311" s="79"/>
      <c r="P311" s="79"/>
      <c r="Q311" s="79"/>
      <c r="R311" s="79"/>
      <c r="Y311" s="79"/>
      <c r="AC311" s="130"/>
      <c r="AE311" s="106"/>
    </row>
    <row r="312">
      <c r="C312" s="79"/>
      <c r="D312" s="79"/>
      <c r="E312" s="79"/>
      <c r="P312" s="79"/>
      <c r="Q312" s="79"/>
      <c r="R312" s="79"/>
      <c r="Y312" s="79"/>
      <c r="AC312" s="130"/>
      <c r="AE312" s="106"/>
    </row>
    <row r="313">
      <c r="C313" s="79"/>
      <c r="D313" s="79"/>
      <c r="E313" s="79"/>
      <c r="P313" s="79"/>
      <c r="Q313" s="79"/>
      <c r="R313" s="79"/>
      <c r="Y313" s="79"/>
      <c r="AC313" s="130"/>
      <c r="AE313" s="106"/>
    </row>
    <row r="314">
      <c r="C314" s="79"/>
      <c r="D314" s="79"/>
      <c r="E314" s="79"/>
      <c r="P314" s="79"/>
      <c r="Q314" s="79"/>
      <c r="R314" s="79"/>
      <c r="Y314" s="79"/>
      <c r="AC314" s="130"/>
      <c r="AE314" s="106"/>
    </row>
    <row r="315">
      <c r="C315" s="79"/>
      <c r="D315" s="79"/>
      <c r="E315" s="79"/>
      <c r="P315" s="79"/>
      <c r="Q315" s="79"/>
      <c r="R315" s="79"/>
      <c r="Y315" s="79"/>
      <c r="AC315" s="130"/>
      <c r="AE315" s="106"/>
    </row>
    <row r="316">
      <c r="C316" s="79"/>
      <c r="D316" s="79"/>
      <c r="E316" s="79"/>
      <c r="P316" s="79"/>
      <c r="Q316" s="79"/>
      <c r="R316" s="79"/>
      <c r="Y316" s="79"/>
      <c r="AC316" s="130"/>
      <c r="AE316" s="106"/>
    </row>
    <row r="317">
      <c r="C317" s="79"/>
      <c r="D317" s="79"/>
      <c r="E317" s="79"/>
      <c r="P317" s="79"/>
      <c r="Q317" s="79"/>
      <c r="R317" s="79"/>
      <c r="Y317" s="79"/>
      <c r="AC317" s="130"/>
      <c r="AE317" s="106"/>
    </row>
    <row r="318">
      <c r="C318" s="79"/>
      <c r="D318" s="79"/>
      <c r="E318" s="79"/>
      <c r="P318" s="79"/>
      <c r="Q318" s="79"/>
      <c r="R318" s="79"/>
      <c r="Y318" s="79"/>
      <c r="AC318" s="130"/>
      <c r="AE318" s="106"/>
    </row>
    <row r="319">
      <c r="C319" s="79"/>
      <c r="D319" s="79"/>
      <c r="E319" s="79"/>
      <c r="P319" s="79"/>
      <c r="Q319" s="79"/>
      <c r="R319" s="79"/>
      <c r="Y319" s="79"/>
      <c r="AC319" s="130"/>
      <c r="AE319" s="106"/>
    </row>
    <row r="320">
      <c r="C320" s="79"/>
      <c r="D320" s="79"/>
      <c r="E320" s="79"/>
      <c r="P320" s="79"/>
      <c r="Q320" s="79"/>
      <c r="R320" s="79"/>
      <c r="Y320" s="79"/>
      <c r="AC320" s="130"/>
      <c r="AE320" s="106"/>
    </row>
    <row r="321">
      <c r="C321" s="79"/>
      <c r="D321" s="79"/>
      <c r="E321" s="79"/>
      <c r="P321" s="79"/>
      <c r="Q321" s="79"/>
      <c r="R321" s="79"/>
      <c r="Y321" s="79"/>
      <c r="AC321" s="130"/>
      <c r="AE321" s="106"/>
    </row>
    <row r="322">
      <c r="C322" s="79"/>
      <c r="D322" s="79"/>
      <c r="E322" s="79"/>
      <c r="P322" s="79"/>
      <c r="Q322" s="79"/>
      <c r="R322" s="79"/>
      <c r="Y322" s="79"/>
      <c r="AC322" s="130"/>
      <c r="AE322" s="106"/>
    </row>
    <row r="323">
      <c r="C323" s="79"/>
      <c r="D323" s="79"/>
      <c r="E323" s="79"/>
      <c r="P323" s="79"/>
      <c r="Q323" s="79"/>
      <c r="R323" s="79"/>
      <c r="Y323" s="79"/>
      <c r="AC323" s="130"/>
      <c r="AE323" s="106"/>
    </row>
    <row r="324">
      <c r="C324" s="79"/>
      <c r="D324" s="79"/>
      <c r="E324" s="79"/>
      <c r="P324" s="79"/>
      <c r="Q324" s="79"/>
      <c r="R324" s="79"/>
      <c r="Y324" s="79"/>
      <c r="AC324" s="130"/>
      <c r="AE324" s="106"/>
    </row>
    <row r="325">
      <c r="C325" s="79"/>
      <c r="D325" s="79"/>
      <c r="E325" s="79"/>
      <c r="P325" s="79"/>
      <c r="Q325" s="79"/>
      <c r="R325" s="79"/>
      <c r="Y325" s="79"/>
      <c r="AC325" s="130"/>
      <c r="AE325" s="106"/>
    </row>
    <row r="326">
      <c r="C326" s="79"/>
      <c r="D326" s="79"/>
      <c r="E326" s="79"/>
      <c r="P326" s="79"/>
      <c r="Q326" s="79"/>
      <c r="R326" s="79"/>
      <c r="Y326" s="79"/>
      <c r="AC326" s="130"/>
      <c r="AE326" s="106"/>
    </row>
    <row r="327">
      <c r="C327" s="79"/>
      <c r="D327" s="79"/>
      <c r="E327" s="79"/>
      <c r="P327" s="79"/>
      <c r="Q327" s="79"/>
      <c r="R327" s="79"/>
      <c r="Y327" s="79"/>
      <c r="AC327" s="130"/>
      <c r="AE327" s="106"/>
    </row>
    <row r="328">
      <c r="C328" s="79"/>
      <c r="D328" s="79"/>
      <c r="E328" s="79"/>
      <c r="P328" s="79"/>
      <c r="Q328" s="79"/>
      <c r="R328" s="79"/>
      <c r="Y328" s="79"/>
      <c r="AC328" s="130"/>
      <c r="AE328" s="106"/>
    </row>
    <row r="329">
      <c r="C329" s="79"/>
      <c r="D329" s="79"/>
      <c r="E329" s="79"/>
      <c r="P329" s="79"/>
      <c r="Q329" s="79"/>
      <c r="R329" s="79"/>
      <c r="Y329" s="79"/>
      <c r="AC329" s="130"/>
      <c r="AE329" s="106"/>
    </row>
    <row r="330">
      <c r="C330" s="79"/>
      <c r="D330" s="79"/>
      <c r="E330" s="79"/>
      <c r="P330" s="79"/>
      <c r="Q330" s="79"/>
      <c r="R330" s="79"/>
      <c r="Y330" s="79"/>
      <c r="AC330" s="130"/>
      <c r="AE330" s="106"/>
    </row>
    <row r="331">
      <c r="C331" s="79"/>
      <c r="D331" s="79"/>
      <c r="E331" s="79"/>
      <c r="P331" s="79"/>
      <c r="Q331" s="79"/>
      <c r="R331" s="79"/>
      <c r="Y331" s="79"/>
      <c r="AC331" s="130"/>
      <c r="AE331" s="106"/>
    </row>
    <row r="332">
      <c r="C332" s="79"/>
      <c r="D332" s="79"/>
      <c r="E332" s="79"/>
      <c r="P332" s="79"/>
      <c r="Q332" s="79"/>
      <c r="R332" s="79"/>
      <c r="Y332" s="79"/>
      <c r="AC332" s="130"/>
      <c r="AE332" s="106"/>
    </row>
    <row r="333">
      <c r="C333" s="79"/>
      <c r="D333" s="79"/>
      <c r="E333" s="79"/>
      <c r="P333" s="79"/>
      <c r="Q333" s="79"/>
      <c r="R333" s="79"/>
      <c r="Y333" s="79"/>
      <c r="AC333" s="130"/>
      <c r="AE333" s="106"/>
    </row>
    <row r="334">
      <c r="C334" s="79"/>
      <c r="D334" s="79"/>
      <c r="E334" s="79"/>
      <c r="P334" s="79"/>
      <c r="Q334" s="79"/>
      <c r="R334" s="79"/>
      <c r="Y334" s="79"/>
      <c r="AC334" s="130"/>
      <c r="AE334" s="106"/>
    </row>
    <row r="335">
      <c r="C335" s="79"/>
      <c r="D335" s="79"/>
      <c r="E335" s="79"/>
      <c r="P335" s="79"/>
      <c r="Q335" s="79"/>
      <c r="R335" s="79"/>
      <c r="Y335" s="79"/>
      <c r="AC335" s="130"/>
      <c r="AE335" s="106"/>
    </row>
    <row r="336">
      <c r="C336" s="79"/>
      <c r="D336" s="79"/>
      <c r="E336" s="79"/>
      <c r="P336" s="79"/>
      <c r="Q336" s="79"/>
      <c r="R336" s="79"/>
      <c r="Y336" s="79"/>
      <c r="AC336" s="130"/>
      <c r="AE336" s="106"/>
    </row>
    <row r="337">
      <c r="C337" s="79"/>
      <c r="D337" s="79"/>
      <c r="E337" s="79"/>
      <c r="P337" s="79"/>
      <c r="Q337" s="79"/>
      <c r="R337" s="79"/>
      <c r="Y337" s="79"/>
      <c r="AC337" s="130"/>
      <c r="AE337" s="106"/>
    </row>
    <row r="338">
      <c r="C338" s="79"/>
      <c r="D338" s="79"/>
      <c r="E338" s="79"/>
      <c r="P338" s="79"/>
      <c r="Q338" s="79"/>
      <c r="R338" s="79"/>
      <c r="Y338" s="79"/>
      <c r="AC338" s="130"/>
      <c r="AE338" s="106"/>
    </row>
    <row r="339">
      <c r="C339" s="79"/>
      <c r="D339" s="79"/>
      <c r="E339" s="79"/>
      <c r="P339" s="79"/>
      <c r="Q339" s="79"/>
      <c r="R339" s="79"/>
      <c r="Y339" s="79"/>
      <c r="AC339" s="130"/>
      <c r="AE339" s="106"/>
    </row>
    <row r="340">
      <c r="C340" s="79"/>
      <c r="D340" s="79"/>
      <c r="E340" s="79"/>
      <c r="P340" s="79"/>
      <c r="Q340" s="79"/>
      <c r="R340" s="79"/>
      <c r="Y340" s="79"/>
      <c r="AC340" s="130"/>
      <c r="AE340" s="106"/>
    </row>
    <row r="341">
      <c r="C341" s="79"/>
      <c r="D341" s="79"/>
      <c r="E341" s="79"/>
      <c r="P341" s="79"/>
      <c r="Q341" s="79"/>
      <c r="R341" s="79"/>
      <c r="Y341" s="79"/>
      <c r="AC341" s="130"/>
      <c r="AE341" s="106"/>
    </row>
    <row r="342">
      <c r="C342" s="79"/>
      <c r="D342" s="79"/>
      <c r="E342" s="79"/>
      <c r="P342" s="79"/>
      <c r="Q342" s="79"/>
      <c r="R342" s="79"/>
      <c r="Y342" s="79"/>
      <c r="AC342" s="130"/>
      <c r="AE342" s="106"/>
    </row>
    <row r="343">
      <c r="C343" s="79"/>
      <c r="D343" s="79"/>
      <c r="E343" s="79"/>
      <c r="P343" s="79"/>
      <c r="Q343" s="79"/>
      <c r="R343" s="79"/>
      <c r="Y343" s="79"/>
      <c r="AC343" s="130"/>
      <c r="AE343" s="106"/>
    </row>
    <row r="344">
      <c r="C344" s="79"/>
      <c r="D344" s="79"/>
      <c r="E344" s="79"/>
      <c r="P344" s="79"/>
      <c r="Q344" s="79"/>
      <c r="R344" s="79"/>
      <c r="Y344" s="79"/>
      <c r="AC344" s="130"/>
      <c r="AE344" s="106"/>
    </row>
    <row r="345">
      <c r="C345" s="79"/>
      <c r="D345" s="79"/>
      <c r="E345" s="79"/>
      <c r="P345" s="79"/>
      <c r="Q345" s="79"/>
      <c r="R345" s="79"/>
      <c r="Y345" s="79"/>
      <c r="AC345" s="130"/>
      <c r="AE345" s="106"/>
    </row>
    <row r="346">
      <c r="C346" s="79"/>
      <c r="D346" s="79"/>
      <c r="E346" s="79"/>
      <c r="P346" s="79"/>
      <c r="Q346" s="79"/>
      <c r="R346" s="79"/>
      <c r="Y346" s="79"/>
      <c r="AC346" s="130"/>
      <c r="AE346" s="106"/>
    </row>
    <row r="347">
      <c r="C347" s="79"/>
      <c r="D347" s="79"/>
      <c r="E347" s="79"/>
      <c r="P347" s="79"/>
      <c r="Q347" s="79"/>
      <c r="R347" s="79"/>
      <c r="Y347" s="79"/>
      <c r="AC347" s="130"/>
      <c r="AE347" s="106"/>
    </row>
    <row r="348">
      <c r="C348" s="79"/>
      <c r="D348" s="79"/>
      <c r="E348" s="79"/>
      <c r="P348" s="79"/>
      <c r="Q348" s="79"/>
      <c r="R348" s="79"/>
      <c r="Y348" s="79"/>
      <c r="AC348" s="130"/>
      <c r="AE348" s="106"/>
    </row>
    <row r="349">
      <c r="C349" s="79"/>
      <c r="D349" s="79"/>
      <c r="E349" s="79"/>
      <c r="P349" s="79"/>
      <c r="Q349" s="79"/>
      <c r="R349" s="79"/>
      <c r="Y349" s="79"/>
      <c r="AC349" s="130"/>
      <c r="AE349" s="106"/>
    </row>
    <row r="350">
      <c r="C350" s="79"/>
      <c r="D350" s="79"/>
      <c r="E350" s="79"/>
      <c r="P350" s="79"/>
      <c r="Q350" s="79"/>
      <c r="R350" s="79"/>
      <c r="Y350" s="79"/>
      <c r="AC350" s="130"/>
      <c r="AE350" s="106"/>
    </row>
    <row r="351">
      <c r="C351" s="79"/>
      <c r="D351" s="79"/>
      <c r="E351" s="79"/>
      <c r="P351" s="79"/>
      <c r="Q351" s="79"/>
      <c r="R351" s="79"/>
      <c r="Y351" s="79"/>
      <c r="AC351" s="130"/>
      <c r="AE351" s="106"/>
    </row>
    <row r="352">
      <c r="C352" s="79"/>
      <c r="D352" s="79"/>
      <c r="E352" s="79"/>
      <c r="P352" s="79"/>
      <c r="Q352" s="79"/>
      <c r="R352" s="79"/>
      <c r="Y352" s="79"/>
      <c r="AC352" s="130"/>
      <c r="AE352" s="106"/>
    </row>
    <row r="353">
      <c r="C353" s="79"/>
      <c r="D353" s="79"/>
      <c r="E353" s="79"/>
      <c r="P353" s="79"/>
      <c r="Q353" s="79"/>
      <c r="R353" s="79"/>
      <c r="Y353" s="79"/>
      <c r="AC353" s="130"/>
      <c r="AE353" s="106"/>
    </row>
    <row r="354">
      <c r="C354" s="79"/>
      <c r="D354" s="79"/>
      <c r="E354" s="79"/>
      <c r="P354" s="79"/>
      <c r="Q354" s="79"/>
      <c r="R354" s="79"/>
      <c r="Y354" s="79"/>
      <c r="AC354" s="130"/>
      <c r="AE354" s="106"/>
    </row>
    <row r="355">
      <c r="C355" s="79"/>
      <c r="D355" s="79"/>
      <c r="E355" s="79"/>
      <c r="P355" s="79"/>
      <c r="Q355" s="79"/>
      <c r="R355" s="79"/>
      <c r="Y355" s="79"/>
      <c r="AC355" s="130"/>
      <c r="AE355" s="106"/>
    </row>
    <row r="356">
      <c r="C356" s="79"/>
      <c r="D356" s="79"/>
      <c r="E356" s="79"/>
      <c r="P356" s="79"/>
      <c r="Q356" s="79"/>
      <c r="R356" s="79"/>
      <c r="Y356" s="79"/>
      <c r="AC356" s="130"/>
      <c r="AE356" s="106"/>
    </row>
    <row r="357">
      <c r="C357" s="79"/>
      <c r="D357" s="79"/>
      <c r="E357" s="79"/>
      <c r="P357" s="79"/>
      <c r="Q357" s="79"/>
      <c r="R357" s="79"/>
      <c r="Y357" s="79"/>
      <c r="AC357" s="130"/>
      <c r="AE357" s="106"/>
    </row>
    <row r="358">
      <c r="C358" s="79"/>
      <c r="D358" s="79"/>
      <c r="E358" s="79"/>
      <c r="P358" s="79"/>
      <c r="Q358" s="79"/>
      <c r="R358" s="79"/>
      <c r="Y358" s="79"/>
      <c r="AC358" s="130"/>
      <c r="AE358" s="106"/>
    </row>
    <row r="359">
      <c r="C359" s="79"/>
      <c r="D359" s="79"/>
      <c r="E359" s="79"/>
      <c r="P359" s="79"/>
      <c r="Q359" s="79"/>
      <c r="R359" s="79"/>
      <c r="Y359" s="79"/>
      <c r="AC359" s="130"/>
      <c r="AE359" s="106"/>
    </row>
    <row r="360">
      <c r="C360" s="79"/>
      <c r="D360" s="79"/>
      <c r="E360" s="79"/>
      <c r="P360" s="79"/>
      <c r="Q360" s="79"/>
      <c r="R360" s="79"/>
      <c r="Y360" s="79"/>
      <c r="AC360" s="130"/>
      <c r="AE360" s="106"/>
    </row>
    <row r="361">
      <c r="C361" s="79"/>
      <c r="D361" s="79"/>
      <c r="E361" s="79"/>
      <c r="P361" s="79"/>
      <c r="Q361" s="79"/>
      <c r="R361" s="79"/>
      <c r="Y361" s="79"/>
      <c r="AC361" s="130"/>
      <c r="AE361" s="106"/>
    </row>
    <row r="362">
      <c r="C362" s="79"/>
      <c r="D362" s="79"/>
      <c r="E362" s="79"/>
      <c r="P362" s="79"/>
      <c r="Q362" s="79"/>
      <c r="R362" s="79"/>
      <c r="Y362" s="79"/>
      <c r="AC362" s="130"/>
      <c r="AE362" s="106"/>
    </row>
    <row r="363">
      <c r="C363" s="79"/>
      <c r="D363" s="79"/>
      <c r="E363" s="79"/>
      <c r="P363" s="79"/>
      <c r="Q363" s="79"/>
      <c r="R363" s="79"/>
      <c r="Y363" s="79"/>
      <c r="AC363" s="130"/>
      <c r="AE363" s="106"/>
    </row>
    <row r="364">
      <c r="C364" s="79"/>
      <c r="D364" s="79"/>
      <c r="E364" s="79"/>
      <c r="P364" s="79"/>
      <c r="Q364" s="79"/>
      <c r="R364" s="79"/>
      <c r="Y364" s="79"/>
      <c r="AC364" s="130"/>
      <c r="AE364" s="106"/>
    </row>
    <row r="365">
      <c r="C365" s="79"/>
      <c r="D365" s="79"/>
      <c r="E365" s="79"/>
      <c r="P365" s="79"/>
      <c r="Q365" s="79"/>
      <c r="R365" s="79"/>
      <c r="Y365" s="79"/>
      <c r="AC365" s="130"/>
      <c r="AE365" s="106"/>
    </row>
    <row r="366">
      <c r="C366" s="79"/>
      <c r="D366" s="79"/>
      <c r="E366" s="79"/>
      <c r="P366" s="79"/>
      <c r="Q366" s="79"/>
      <c r="R366" s="79"/>
      <c r="Y366" s="79"/>
      <c r="AC366" s="130"/>
      <c r="AE366" s="106"/>
    </row>
    <row r="367">
      <c r="C367" s="79"/>
      <c r="D367" s="79"/>
      <c r="E367" s="79"/>
      <c r="P367" s="79"/>
      <c r="Q367" s="79"/>
      <c r="R367" s="79"/>
      <c r="Y367" s="79"/>
      <c r="AC367" s="130"/>
      <c r="AE367" s="106"/>
    </row>
    <row r="368">
      <c r="C368" s="79"/>
      <c r="D368" s="79"/>
      <c r="E368" s="79"/>
      <c r="P368" s="79"/>
      <c r="Q368" s="79"/>
      <c r="R368" s="79"/>
      <c r="Y368" s="79"/>
      <c r="AC368" s="130"/>
      <c r="AE368" s="106"/>
    </row>
    <row r="369">
      <c r="C369" s="79"/>
      <c r="D369" s="79"/>
      <c r="E369" s="79"/>
      <c r="P369" s="79"/>
      <c r="Q369" s="79"/>
      <c r="R369" s="79"/>
      <c r="Y369" s="79"/>
      <c r="AC369" s="130"/>
      <c r="AE369" s="106"/>
    </row>
    <row r="370">
      <c r="C370" s="79"/>
      <c r="D370" s="79"/>
      <c r="E370" s="79"/>
      <c r="P370" s="79"/>
      <c r="Q370" s="79"/>
      <c r="R370" s="79"/>
      <c r="Y370" s="79"/>
      <c r="AC370" s="130"/>
      <c r="AE370" s="106"/>
    </row>
    <row r="371">
      <c r="C371" s="79"/>
      <c r="D371" s="79"/>
      <c r="E371" s="79"/>
      <c r="P371" s="79"/>
      <c r="Q371" s="79"/>
      <c r="R371" s="79"/>
      <c r="Y371" s="79"/>
      <c r="AC371" s="130"/>
      <c r="AE371" s="106"/>
    </row>
    <row r="372">
      <c r="C372" s="79"/>
      <c r="D372" s="79"/>
      <c r="E372" s="79"/>
      <c r="P372" s="79"/>
      <c r="Q372" s="79"/>
      <c r="R372" s="79"/>
      <c r="Y372" s="79"/>
      <c r="AC372" s="130"/>
      <c r="AE372" s="106"/>
    </row>
    <row r="373">
      <c r="C373" s="79"/>
      <c r="D373" s="79"/>
      <c r="E373" s="79"/>
      <c r="P373" s="79"/>
      <c r="Q373" s="79"/>
      <c r="R373" s="79"/>
      <c r="Y373" s="79"/>
      <c r="AC373" s="130"/>
      <c r="AE373" s="106"/>
    </row>
    <row r="374">
      <c r="C374" s="79"/>
      <c r="D374" s="79"/>
      <c r="E374" s="79"/>
      <c r="P374" s="79"/>
      <c r="Q374" s="79"/>
      <c r="R374" s="79"/>
      <c r="Y374" s="79"/>
      <c r="AC374" s="130"/>
      <c r="AE374" s="106"/>
    </row>
    <row r="375">
      <c r="C375" s="79"/>
      <c r="D375" s="79"/>
      <c r="E375" s="79"/>
      <c r="P375" s="79"/>
      <c r="Q375" s="79"/>
      <c r="R375" s="79"/>
      <c r="Y375" s="79"/>
      <c r="AC375" s="130"/>
      <c r="AE375" s="106"/>
    </row>
    <row r="376">
      <c r="C376" s="79"/>
      <c r="D376" s="79"/>
      <c r="E376" s="79"/>
      <c r="P376" s="79"/>
      <c r="Q376" s="79"/>
      <c r="R376" s="79"/>
      <c r="Y376" s="79"/>
      <c r="AC376" s="130"/>
      <c r="AE376" s="106"/>
    </row>
    <row r="377">
      <c r="C377" s="79"/>
      <c r="D377" s="79"/>
      <c r="E377" s="79"/>
      <c r="P377" s="79"/>
      <c r="Q377" s="79"/>
      <c r="R377" s="79"/>
      <c r="Y377" s="79"/>
      <c r="AC377" s="130"/>
      <c r="AE377" s="106"/>
    </row>
    <row r="378">
      <c r="C378" s="79"/>
      <c r="D378" s="79"/>
      <c r="E378" s="79"/>
      <c r="P378" s="79"/>
      <c r="Q378" s="79"/>
      <c r="R378" s="79"/>
      <c r="Y378" s="79"/>
      <c r="AC378" s="130"/>
      <c r="AE378" s="106"/>
    </row>
    <row r="379">
      <c r="C379" s="79"/>
      <c r="D379" s="79"/>
      <c r="E379" s="79"/>
      <c r="P379" s="79"/>
      <c r="Q379" s="79"/>
      <c r="R379" s="79"/>
      <c r="Y379" s="79"/>
      <c r="AC379" s="130"/>
      <c r="AE379" s="106"/>
    </row>
    <row r="380">
      <c r="C380" s="79"/>
      <c r="D380" s="79"/>
      <c r="E380" s="79"/>
      <c r="P380" s="79"/>
      <c r="Q380" s="79"/>
      <c r="R380" s="79"/>
      <c r="Y380" s="79"/>
      <c r="AC380" s="130"/>
      <c r="AE380" s="106"/>
    </row>
    <row r="381">
      <c r="C381" s="79"/>
      <c r="D381" s="79"/>
      <c r="E381" s="79"/>
      <c r="P381" s="79"/>
      <c r="Q381" s="79"/>
      <c r="R381" s="79"/>
      <c r="Y381" s="79"/>
      <c r="AC381" s="130"/>
      <c r="AE381" s="106"/>
    </row>
    <row r="382">
      <c r="C382" s="79"/>
      <c r="D382" s="79"/>
      <c r="E382" s="79"/>
      <c r="P382" s="79"/>
      <c r="Q382" s="79"/>
      <c r="R382" s="79"/>
      <c r="Y382" s="79"/>
      <c r="AC382" s="130"/>
      <c r="AE382" s="106"/>
    </row>
    <row r="383">
      <c r="C383" s="79"/>
      <c r="D383" s="79"/>
      <c r="E383" s="79"/>
      <c r="P383" s="79"/>
      <c r="Q383" s="79"/>
      <c r="R383" s="79"/>
      <c r="Y383" s="79"/>
      <c r="AC383" s="130"/>
      <c r="AE383" s="106"/>
    </row>
    <row r="384">
      <c r="C384" s="79"/>
      <c r="D384" s="79"/>
      <c r="E384" s="79"/>
      <c r="P384" s="79"/>
      <c r="Q384" s="79"/>
      <c r="R384" s="79"/>
      <c r="Y384" s="79"/>
      <c r="AC384" s="130"/>
      <c r="AE384" s="106"/>
    </row>
    <row r="385">
      <c r="C385" s="79"/>
      <c r="D385" s="79"/>
      <c r="E385" s="79"/>
      <c r="P385" s="79"/>
      <c r="Q385" s="79"/>
      <c r="R385" s="79"/>
      <c r="Y385" s="79"/>
      <c r="AC385" s="130"/>
      <c r="AE385" s="106"/>
    </row>
    <row r="386">
      <c r="C386" s="79"/>
      <c r="D386" s="79"/>
      <c r="E386" s="79"/>
      <c r="P386" s="79"/>
      <c r="Q386" s="79"/>
      <c r="R386" s="79"/>
      <c r="Y386" s="79"/>
      <c r="AC386" s="130"/>
      <c r="AE386" s="106"/>
    </row>
    <row r="387">
      <c r="C387" s="79"/>
      <c r="D387" s="79"/>
      <c r="E387" s="79"/>
      <c r="P387" s="79"/>
      <c r="Q387" s="79"/>
      <c r="R387" s="79"/>
      <c r="Y387" s="79"/>
      <c r="AC387" s="130"/>
      <c r="AE387" s="106"/>
    </row>
    <row r="388">
      <c r="C388" s="79"/>
      <c r="D388" s="79"/>
      <c r="E388" s="79"/>
      <c r="P388" s="79"/>
      <c r="Q388" s="79"/>
      <c r="R388" s="79"/>
      <c r="Y388" s="79"/>
      <c r="AC388" s="130"/>
      <c r="AE388" s="106"/>
    </row>
    <row r="389">
      <c r="C389" s="79"/>
      <c r="D389" s="79"/>
      <c r="E389" s="79"/>
      <c r="P389" s="79"/>
      <c r="Q389" s="79"/>
      <c r="R389" s="79"/>
      <c r="Y389" s="79"/>
      <c r="AC389" s="130"/>
      <c r="AE389" s="106"/>
    </row>
    <row r="390">
      <c r="C390" s="79"/>
      <c r="D390" s="79"/>
      <c r="E390" s="79"/>
      <c r="P390" s="79"/>
      <c r="Q390" s="79"/>
      <c r="R390" s="79"/>
      <c r="Y390" s="79"/>
      <c r="AC390" s="130"/>
      <c r="AE390" s="106"/>
    </row>
    <row r="391">
      <c r="C391" s="79"/>
      <c r="D391" s="79"/>
      <c r="E391" s="79"/>
      <c r="P391" s="79"/>
      <c r="Q391" s="79"/>
      <c r="R391" s="79"/>
      <c r="Y391" s="79"/>
      <c r="AC391" s="130"/>
      <c r="AE391" s="106"/>
    </row>
    <row r="392">
      <c r="C392" s="79"/>
      <c r="D392" s="79"/>
      <c r="E392" s="79"/>
      <c r="P392" s="79"/>
      <c r="Q392" s="79"/>
      <c r="R392" s="79"/>
      <c r="Y392" s="79"/>
      <c r="AC392" s="130"/>
      <c r="AE392" s="106"/>
    </row>
    <row r="393">
      <c r="C393" s="79"/>
      <c r="D393" s="79"/>
      <c r="E393" s="79"/>
      <c r="P393" s="79"/>
      <c r="Q393" s="79"/>
      <c r="R393" s="79"/>
      <c r="Y393" s="79"/>
      <c r="AC393" s="130"/>
      <c r="AE393" s="106"/>
    </row>
    <row r="394">
      <c r="C394" s="79"/>
      <c r="D394" s="79"/>
      <c r="E394" s="79"/>
      <c r="P394" s="79"/>
      <c r="Q394" s="79"/>
      <c r="R394" s="79"/>
      <c r="Y394" s="79"/>
      <c r="AC394" s="130"/>
      <c r="AE394" s="106"/>
    </row>
    <row r="395">
      <c r="C395" s="79"/>
      <c r="D395" s="79"/>
      <c r="E395" s="79"/>
      <c r="P395" s="79"/>
      <c r="Q395" s="79"/>
      <c r="R395" s="79"/>
      <c r="Y395" s="79"/>
      <c r="AC395" s="130"/>
      <c r="AE395" s="106"/>
    </row>
    <row r="396">
      <c r="C396" s="79"/>
      <c r="D396" s="79"/>
      <c r="E396" s="79"/>
      <c r="P396" s="79"/>
      <c r="Q396" s="79"/>
      <c r="R396" s="79"/>
      <c r="Y396" s="79"/>
      <c r="AC396" s="130"/>
      <c r="AE396" s="106"/>
    </row>
    <row r="397">
      <c r="C397" s="79"/>
      <c r="D397" s="79"/>
      <c r="E397" s="79"/>
      <c r="P397" s="79"/>
      <c r="Q397" s="79"/>
      <c r="R397" s="79"/>
      <c r="Y397" s="79"/>
      <c r="AC397" s="130"/>
      <c r="AE397" s="106"/>
    </row>
    <row r="398">
      <c r="C398" s="79"/>
      <c r="D398" s="79"/>
      <c r="E398" s="79"/>
      <c r="P398" s="79"/>
      <c r="Q398" s="79"/>
      <c r="R398" s="79"/>
      <c r="Y398" s="79"/>
      <c r="AC398" s="130"/>
      <c r="AE398" s="106"/>
    </row>
    <row r="399">
      <c r="C399" s="79"/>
      <c r="D399" s="79"/>
      <c r="E399" s="79"/>
      <c r="P399" s="79"/>
      <c r="Q399" s="79"/>
      <c r="R399" s="79"/>
      <c r="Y399" s="79"/>
      <c r="AC399" s="130"/>
      <c r="AE399" s="106"/>
    </row>
    <row r="400">
      <c r="C400" s="79"/>
      <c r="D400" s="79"/>
      <c r="E400" s="79"/>
      <c r="P400" s="79"/>
      <c r="Q400" s="79"/>
      <c r="R400" s="79"/>
      <c r="Y400" s="79"/>
      <c r="AC400" s="130"/>
      <c r="AE400" s="106"/>
    </row>
    <row r="401">
      <c r="C401" s="79"/>
      <c r="D401" s="79"/>
      <c r="E401" s="79"/>
      <c r="P401" s="79"/>
      <c r="Q401" s="79"/>
      <c r="R401" s="79"/>
      <c r="Y401" s="79"/>
      <c r="AC401" s="130"/>
      <c r="AE401" s="106"/>
    </row>
    <row r="402">
      <c r="C402" s="79"/>
      <c r="D402" s="79"/>
      <c r="E402" s="79"/>
      <c r="P402" s="79"/>
      <c r="Q402" s="79"/>
      <c r="R402" s="79"/>
      <c r="Y402" s="79"/>
      <c r="AC402" s="130"/>
      <c r="AE402" s="106"/>
    </row>
    <row r="403">
      <c r="C403" s="79"/>
      <c r="D403" s="79"/>
      <c r="E403" s="79"/>
      <c r="P403" s="79"/>
      <c r="Q403" s="79"/>
      <c r="R403" s="79"/>
      <c r="Y403" s="79"/>
      <c r="AC403" s="130"/>
      <c r="AE403" s="106"/>
    </row>
    <row r="404">
      <c r="C404" s="79"/>
      <c r="D404" s="79"/>
      <c r="E404" s="79"/>
      <c r="P404" s="79"/>
      <c r="Q404" s="79"/>
      <c r="R404" s="79"/>
      <c r="Y404" s="79"/>
      <c r="AC404" s="130"/>
      <c r="AE404" s="106"/>
    </row>
    <row r="405">
      <c r="C405" s="79"/>
      <c r="D405" s="79"/>
      <c r="E405" s="79"/>
      <c r="P405" s="79"/>
      <c r="Q405" s="79"/>
      <c r="R405" s="79"/>
      <c r="Y405" s="79"/>
      <c r="AC405" s="130"/>
      <c r="AE405" s="106"/>
    </row>
    <row r="406">
      <c r="C406" s="79"/>
      <c r="D406" s="79"/>
      <c r="E406" s="79"/>
      <c r="P406" s="79"/>
      <c r="Q406" s="79"/>
      <c r="R406" s="79"/>
      <c r="Y406" s="79"/>
      <c r="AC406" s="130"/>
      <c r="AE406" s="106"/>
    </row>
    <row r="407">
      <c r="C407" s="79"/>
      <c r="D407" s="79"/>
      <c r="E407" s="79"/>
      <c r="P407" s="79"/>
      <c r="Q407" s="79"/>
      <c r="R407" s="79"/>
      <c r="Y407" s="79"/>
      <c r="AC407" s="130"/>
      <c r="AE407" s="106"/>
    </row>
    <row r="408">
      <c r="C408" s="79"/>
      <c r="D408" s="79"/>
      <c r="E408" s="79"/>
      <c r="P408" s="79"/>
      <c r="Q408" s="79"/>
      <c r="R408" s="79"/>
      <c r="Y408" s="79"/>
      <c r="AC408" s="130"/>
      <c r="AE408" s="106"/>
    </row>
    <row r="409">
      <c r="C409" s="79"/>
      <c r="D409" s="79"/>
      <c r="E409" s="79"/>
      <c r="P409" s="79"/>
      <c r="Q409" s="79"/>
      <c r="R409" s="79"/>
      <c r="Y409" s="79"/>
      <c r="AC409" s="130"/>
      <c r="AE409" s="106"/>
    </row>
    <row r="410">
      <c r="C410" s="79"/>
      <c r="D410" s="79"/>
      <c r="E410" s="79"/>
      <c r="P410" s="79"/>
      <c r="Q410" s="79"/>
      <c r="R410" s="79"/>
      <c r="Y410" s="79"/>
      <c r="AC410" s="130"/>
      <c r="AE410" s="106"/>
    </row>
    <row r="411">
      <c r="C411" s="79"/>
      <c r="D411" s="79"/>
      <c r="E411" s="79"/>
      <c r="P411" s="79"/>
      <c r="Q411" s="79"/>
      <c r="R411" s="79"/>
      <c r="Y411" s="79"/>
      <c r="AC411" s="130"/>
      <c r="AE411" s="106"/>
    </row>
    <row r="412">
      <c r="C412" s="79"/>
      <c r="D412" s="79"/>
      <c r="E412" s="79"/>
      <c r="P412" s="79"/>
      <c r="Q412" s="79"/>
      <c r="R412" s="79"/>
      <c r="Y412" s="79"/>
      <c r="AC412" s="130"/>
      <c r="AE412" s="106"/>
    </row>
    <row r="413">
      <c r="C413" s="79"/>
      <c r="D413" s="79"/>
      <c r="E413" s="79"/>
      <c r="P413" s="79"/>
      <c r="Q413" s="79"/>
      <c r="R413" s="79"/>
      <c r="Y413" s="79"/>
      <c r="AC413" s="130"/>
      <c r="AE413" s="106"/>
    </row>
    <row r="414">
      <c r="C414" s="79"/>
      <c r="D414" s="79"/>
      <c r="E414" s="79"/>
      <c r="P414" s="79"/>
      <c r="Q414" s="79"/>
      <c r="R414" s="79"/>
      <c r="Y414" s="79"/>
      <c r="AC414" s="130"/>
      <c r="AE414" s="106"/>
    </row>
    <row r="415">
      <c r="C415" s="79"/>
      <c r="D415" s="79"/>
      <c r="E415" s="79"/>
      <c r="P415" s="79"/>
      <c r="Q415" s="79"/>
      <c r="R415" s="79"/>
      <c r="Y415" s="79"/>
      <c r="AC415" s="130"/>
      <c r="AE415" s="106"/>
    </row>
    <row r="416">
      <c r="C416" s="79"/>
      <c r="D416" s="79"/>
      <c r="E416" s="79"/>
      <c r="P416" s="79"/>
      <c r="Q416" s="79"/>
      <c r="R416" s="79"/>
      <c r="Y416" s="79"/>
      <c r="AC416" s="130"/>
      <c r="AE416" s="106"/>
    </row>
    <row r="417">
      <c r="C417" s="79"/>
      <c r="D417" s="79"/>
      <c r="E417" s="79"/>
      <c r="P417" s="79"/>
      <c r="Q417" s="79"/>
      <c r="R417" s="79"/>
      <c r="Y417" s="79"/>
      <c r="AC417" s="130"/>
      <c r="AE417" s="106"/>
    </row>
    <row r="418">
      <c r="C418" s="79"/>
      <c r="D418" s="79"/>
      <c r="E418" s="79"/>
      <c r="P418" s="79"/>
      <c r="Q418" s="79"/>
      <c r="R418" s="79"/>
      <c r="Y418" s="79"/>
      <c r="AC418" s="130"/>
      <c r="AE418" s="106"/>
    </row>
    <row r="419">
      <c r="C419" s="79"/>
      <c r="D419" s="79"/>
      <c r="E419" s="79"/>
      <c r="P419" s="79"/>
      <c r="Q419" s="79"/>
      <c r="R419" s="79"/>
      <c r="Y419" s="79"/>
      <c r="AC419" s="130"/>
      <c r="AE419" s="106"/>
    </row>
    <row r="420">
      <c r="C420" s="79"/>
      <c r="D420" s="79"/>
      <c r="E420" s="79"/>
      <c r="P420" s="79"/>
      <c r="Q420" s="79"/>
      <c r="R420" s="79"/>
      <c r="Y420" s="79"/>
      <c r="AC420" s="130"/>
      <c r="AE420" s="106"/>
    </row>
    <row r="421">
      <c r="C421" s="79"/>
      <c r="D421" s="79"/>
      <c r="E421" s="79"/>
      <c r="P421" s="79"/>
      <c r="Q421" s="79"/>
      <c r="R421" s="79"/>
      <c r="Y421" s="79"/>
      <c r="AC421" s="130"/>
      <c r="AE421" s="106"/>
    </row>
    <row r="422">
      <c r="C422" s="79"/>
      <c r="D422" s="79"/>
      <c r="E422" s="79"/>
      <c r="P422" s="79"/>
      <c r="Q422" s="79"/>
      <c r="R422" s="79"/>
      <c r="Y422" s="79"/>
      <c r="AC422" s="130"/>
      <c r="AE422" s="106"/>
    </row>
    <row r="423">
      <c r="C423" s="79"/>
      <c r="D423" s="79"/>
      <c r="E423" s="79"/>
      <c r="P423" s="79"/>
      <c r="Q423" s="79"/>
      <c r="R423" s="79"/>
      <c r="Y423" s="79"/>
      <c r="AC423" s="130"/>
      <c r="AE423" s="106"/>
    </row>
    <row r="424">
      <c r="C424" s="79"/>
      <c r="D424" s="79"/>
      <c r="E424" s="79"/>
      <c r="P424" s="79"/>
      <c r="Q424" s="79"/>
      <c r="R424" s="79"/>
      <c r="Y424" s="79"/>
      <c r="AC424" s="130"/>
      <c r="AE424" s="106"/>
    </row>
    <row r="425">
      <c r="C425" s="79"/>
      <c r="D425" s="79"/>
      <c r="E425" s="79"/>
      <c r="P425" s="79"/>
      <c r="Q425" s="79"/>
      <c r="R425" s="79"/>
      <c r="Y425" s="79"/>
      <c r="AC425" s="130"/>
      <c r="AE425" s="106"/>
    </row>
    <row r="426">
      <c r="C426" s="79"/>
      <c r="D426" s="79"/>
      <c r="E426" s="79"/>
      <c r="P426" s="79"/>
      <c r="Q426" s="79"/>
      <c r="R426" s="79"/>
      <c r="Y426" s="79"/>
      <c r="AC426" s="130"/>
      <c r="AE426" s="106"/>
    </row>
    <row r="427">
      <c r="C427" s="79"/>
      <c r="D427" s="79"/>
      <c r="E427" s="79"/>
      <c r="P427" s="79"/>
      <c r="Q427" s="79"/>
      <c r="R427" s="79"/>
      <c r="Y427" s="79"/>
      <c r="AC427" s="130"/>
      <c r="AE427" s="106"/>
    </row>
    <row r="428">
      <c r="C428" s="79"/>
      <c r="D428" s="79"/>
      <c r="E428" s="79"/>
      <c r="P428" s="79"/>
      <c r="Q428" s="79"/>
      <c r="R428" s="79"/>
      <c r="Y428" s="79"/>
      <c r="AC428" s="130"/>
      <c r="AE428" s="106"/>
    </row>
    <row r="429">
      <c r="C429" s="79"/>
      <c r="D429" s="79"/>
      <c r="E429" s="79"/>
      <c r="P429" s="79"/>
      <c r="Q429" s="79"/>
      <c r="R429" s="79"/>
      <c r="Y429" s="79"/>
      <c r="AC429" s="130"/>
      <c r="AE429" s="106"/>
    </row>
    <row r="430">
      <c r="C430" s="79"/>
      <c r="D430" s="79"/>
      <c r="E430" s="79"/>
      <c r="P430" s="79"/>
      <c r="Q430" s="79"/>
      <c r="R430" s="79"/>
      <c r="Y430" s="79"/>
      <c r="AC430" s="130"/>
      <c r="AE430" s="106"/>
    </row>
    <row r="431">
      <c r="C431" s="79"/>
      <c r="D431" s="79"/>
      <c r="E431" s="79"/>
      <c r="P431" s="79"/>
      <c r="Q431" s="79"/>
      <c r="R431" s="79"/>
      <c r="Y431" s="79"/>
      <c r="AC431" s="130"/>
      <c r="AE431" s="106"/>
    </row>
    <row r="432">
      <c r="C432" s="79"/>
      <c r="D432" s="79"/>
      <c r="E432" s="79"/>
      <c r="P432" s="79"/>
      <c r="Q432" s="79"/>
      <c r="R432" s="79"/>
      <c r="Y432" s="79"/>
      <c r="AC432" s="130"/>
      <c r="AE432" s="106"/>
    </row>
    <row r="433">
      <c r="C433" s="79"/>
      <c r="D433" s="79"/>
      <c r="E433" s="79"/>
      <c r="P433" s="79"/>
      <c r="Q433" s="79"/>
      <c r="R433" s="79"/>
      <c r="Y433" s="79"/>
      <c r="AC433" s="130"/>
      <c r="AE433" s="106"/>
    </row>
    <row r="434">
      <c r="C434" s="79"/>
      <c r="D434" s="79"/>
      <c r="E434" s="79"/>
      <c r="P434" s="79"/>
      <c r="Q434" s="79"/>
      <c r="R434" s="79"/>
      <c r="Y434" s="79"/>
      <c r="AC434" s="130"/>
      <c r="AE434" s="106"/>
    </row>
    <row r="435">
      <c r="C435" s="79"/>
      <c r="D435" s="79"/>
      <c r="E435" s="79"/>
      <c r="P435" s="79"/>
      <c r="Q435" s="79"/>
      <c r="R435" s="79"/>
      <c r="Y435" s="79"/>
      <c r="AC435" s="130"/>
      <c r="AE435" s="106"/>
    </row>
    <row r="436">
      <c r="C436" s="79"/>
      <c r="D436" s="79"/>
      <c r="E436" s="79"/>
      <c r="P436" s="79"/>
      <c r="Q436" s="79"/>
      <c r="R436" s="79"/>
      <c r="Y436" s="79"/>
      <c r="AC436" s="130"/>
      <c r="AE436" s="106"/>
    </row>
    <row r="437">
      <c r="C437" s="79"/>
      <c r="D437" s="79"/>
      <c r="E437" s="79"/>
      <c r="P437" s="79"/>
      <c r="Q437" s="79"/>
      <c r="R437" s="79"/>
      <c r="Y437" s="79"/>
      <c r="AC437" s="130"/>
      <c r="AE437" s="106"/>
    </row>
    <row r="438">
      <c r="C438" s="79"/>
      <c r="D438" s="79"/>
      <c r="E438" s="79"/>
      <c r="P438" s="79"/>
      <c r="Q438" s="79"/>
      <c r="R438" s="79"/>
      <c r="Y438" s="79"/>
      <c r="AC438" s="130"/>
      <c r="AE438" s="106"/>
    </row>
    <row r="439">
      <c r="C439" s="79"/>
      <c r="D439" s="79"/>
      <c r="E439" s="79"/>
      <c r="P439" s="79"/>
      <c r="Q439" s="79"/>
      <c r="R439" s="79"/>
      <c r="Y439" s="79"/>
      <c r="AC439" s="130"/>
      <c r="AE439" s="106"/>
    </row>
    <row r="440">
      <c r="C440" s="79"/>
      <c r="D440" s="79"/>
      <c r="E440" s="79"/>
      <c r="P440" s="79"/>
      <c r="Q440" s="79"/>
      <c r="R440" s="79"/>
      <c r="Y440" s="79"/>
      <c r="AC440" s="130"/>
      <c r="AE440" s="106"/>
    </row>
    <row r="441">
      <c r="C441" s="79"/>
      <c r="D441" s="79"/>
      <c r="E441" s="79"/>
      <c r="P441" s="79"/>
      <c r="Q441" s="79"/>
      <c r="R441" s="79"/>
      <c r="Y441" s="79"/>
      <c r="AC441" s="130"/>
      <c r="AE441" s="106"/>
    </row>
    <row r="442">
      <c r="C442" s="79"/>
      <c r="D442" s="79"/>
      <c r="E442" s="79"/>
      <c r="P442" s="79"/>
      <c r="Q442" s="79"/>
      <c r="R442" s="79"/>
      <c r="Y442" s="79"/>
      <c r="AC442" s="130"/>
      <c r="AE442" s="106"/>
    </row>
    <row r="443">
      <c r="C443" s="79"/>
      <c r="D443" s="79"/>
      <c r="E443" s="79"/>
      <c r="P443" s="79"/>
      <c r="Q443" s="79"/>
      <c r="R443" s="79"/>
      <c r="Y443" s="79"/>
      <c r="AC443" s="130"/>
      <c r="AE443" s="106"/>
    </row>
    <row r="444">
      <c r="C444" s="79"/>
      <c r="D444" s="79"/>
      <c r="E444" s="79"/>
      <c r="P444" s="79"/>
      <c r="Q444" s="79"/>
      <c r="R444" s="79"/>
      <c r="Y444" s="79"/>
      <c r="AC444" s="130"/>
      <c r="AE444" s="106"/>
    </row>
    <row r="445">
      <c r="C445" s="79"/>
      <c r="D445" s="79"/>
      <c r="E445" s="79"/>
      <c r="P445" s="79"/>
      <c r="Q445" s="79"/>
      <c r="R445" s="79"/>
      <c r="Y445" s="79"/>
      <c r="AC445" s="130"/>
      <c r="AE445" s="106"/>
    </row>
    <row r="446">
      <c r="C446" s="79"/>
      <c r="D446" s="79"/>
      <c r="E446" s="79"/>
      <c r="P446" s="79"/>
      <c r="Q446" s="79"/>
      <c r="R446" s="79"/>
      <c r="Y446" s="79"/>
      <c r="AC446" s="130"/>
      <c r="AE446" s="106"/>
    </row>
    <row r="447">
      <c r="C447" s="79"/>
      <c r="D447" s="79"/>
      <c r="E447" s="79"/>
      <c r="P447" s="79"/>
      <c r="Q447" s="79"/>
      <c r="R447" s="79"/>
      <c r="Y447" s="79"/>
      <c r="AC447" s="130"/>
      <c r="AE447" s="106"/>
    </row>
    <row r="448">
      <c r="C448" s="79"/>
      <c r="D448" s="79"/>
      <c r="E448" s="79"/>
      <c r="P448" s="79"/>
      <c r="Q448" s="79"/>
      <c r="R448" s="79"/>
      <c r="Y448" s="79"/>
      <c r="AC448" s="130"/>
      <c r="AE448" s="106"/>
    </row>
    <row r="449">
      <c r="C449" s="79"/>
      <c r="D449" s="79"/>
      <c r="E449" s="79"/>
      <c r="P449" s="79"/>
      <c r="Q449" s="79"/>
      <c r="R449" s="79"/>
      <c r="Y449" s="79"/>
      <c r="AC449" s="130"/>
      <c r="AE449" s="106"/>
    </row>
    <row r="450">
      <c r="C450" s="79"/>
      <c r="D450" s="79"/>
      <c r="E450" s="79"/>
      <c r="P450" s="79"/>
      <c r="Q450" s="79"/>
      <c r="R450" s="79"/>
      <c r="Y450" s="79"/>
      <c r="AC450" s="130"/>
      <c r="AE450" s="106"/>
    </row>
    <row r="451">
      <c r="C451" s="79"/>
      <c r="D451" s="79"/>
      <c r="E451" s="79"/>
      <c r="P451" s="79"/>
      <c r="Q451" s="79"/>
      <c r="R451" s="79"/>
      <c r="Y451" s="79"/>
      <c r="AC451" s="130"/>
      <c r="AE451" s="106"/>
    </row>
    <row r="452">
      <c r="C452" s="79"/>
      <c r="D452" s="79"/>
      <c r="E452" s="79"/>
      <c r="P452" s="79"/>
      <c r="Q452" s="79"/>
      <c r="R452" s="79"/>
      <c r="Y452" s="79"/>
      <c r="AC452" s="130"/>
      <c r="AE452" s="106"/>
    </row>
    <row r="453">
      <c r="C453" s="79"/>
      <c r="D453" s="79"/>
      <c r="E453" s="79"/>
      <c r="P453" s="79"/>
      <c r="Q453" s="79"/>
      <c r="R453" s="79"/>
      <c r="Y453" s="79"/>
      <c r="AC453" s="130"/>
      <c r="AE453" s="106"/>
    </row>
    <row r="454">
      <c r="C454" s="79"/>
      <c r="D454" s="79"/>
      <c r="E454" s="79"/>
      <c r="P454" s="79"/>
      <c r="Q454" s="79"/>
      <c r="R454" s="79"/>
      <c r="Y454" s="79"/>
      <c r="AC454" s="130"/>
      <c r="AE454" s="106"/>
    </row>
    <row r="455">
      <c r="C455" s="79"/>
      <c r="D455" s="79"/>
      <c r="E455" s="79"/>
      <c r="P455" s="79"/>
      <c r="Q455" s="79"/>
      <c r="R455" s="79"/>
      <c r="Y455" s="79"/>
      <c r="AC455" s="130"/>
      <c r="AE455" s="106"/>
    </row>
    <row r="456">
      <c r="C456" s="79"/>
      <c r="D456" s="79"/>
      <c r="E456" s="79"/>
      <c r="P456" s="79"/>
      <c r="Q456" s="79"/>
      <c r="R456" s="79"/>
      <c r="Y456" s="79"/>
      <c r="AC456" s="130"/>
      <c r="AE456" s="106"/>
    </row>
    <row r="457">
      <c r="C457" s="79"/>
      <c r="D457" s="79"/>
      <c r="E457" s="79"/>
      <c r="P457" s="79"/>
      <c r="Q457" s="79"/>
      <c r="R457" s="79"/>
      <c r="Y457" s="79"/>
      <c r="AC457" s="130"/>
      <c r="AE457" s="106"/>
    </row>
    <row r="458">
      <c r="C458" s="79"/>
      <c r="D458" s="79"/>
      <c r="E458" s="79"/>
      <c r="P458" s="79"/>
      <c r="Q458" s="79"/>
      <c r="R458" s="79"/>
      <c r="Y458" s="79"/>
      <c r="AC458" s="130"/>
      <c r="AE458" s="106"/>
    </row>
    <row r="459">
      <c r="C459" s="79"/>
      <c r="D459" s="79"/>
      <c r="E459" s="79"/>
      <c r="P459" s="79"/>
      <c r="Q459" s="79"/>
      <c r="R459" s="79"/>
      <c r="Y459" s="79"/>
      <c r="AC459" s="130"/>
      <c r="AE459" s="106"/>
    </row>
    <row r="460">
      <c r="C460" s="79"/>
      <c r="D460" s="79"/>
      <c r="E460" s="79"/>
      <c r="P460" s="79"/>
      <c r="Q460" s="79"/>
      <c r="R460" s="79"/>
      <c r="Y460" s="79"/>
      <c r="AC460" s="130"/>
      <c r="AE460" s="106"/>
    </row>
    <row r="461">
      <c r="C461" s="79"/>
      <c r="D461" s="79"/>
      <c r="E461" s="79"/>
      <c r="P461" s="79"/>
      <c r="Q461" s="79"/>
      <c r="R461" s="79"/>
      <c r="Y461" s="79"/>
      <c r="AC461" s="130"/>
      <c r="AE461" s="106"/>
    </row>
    <row r="462">
      <c r="C462" s="79"/>
      <c r="D462" s="79"/>
      <c r="E462" s="79"/>
      <c r="P462" s="79"/>
      <c r="Q462" s="79"/>
      <c r="R462" s="79"/>
      <c r="Y462" s="79"/>
      <c r="AC462" s="130"/>
      <c r="AE462" s="106"/>
    </row>
    <row r="463">
      <c r="C463" s="79"/>
      <c r="D463" s="79"/>
      <c r="E463" s="79"/>
      <c r="P463" s="79"/>
      <c r="Q463" s="79"/>
      <c r="R463" s="79"/>
      <c r="Y463" s="79"/>
      <c r="AC463" s="130"/>
      <c r="AE463" s="106"/>
    </row>
    <row r="464">
      <c r="C464" s="79"/>
      <c r="D464" s="79"/>
      <c r="E464" s="79"/>
      <c r="P464" s="79"/>
      <c r="Q464" s="79"/>
      <c r="R464" s="79"/>
      <c r="Y464" s="79"/>
      <c r="AC464" s="130"/>
      <c r="AE464" s="106"/>
    </row>
    <row r="465">
      <c r="C465" s="79"/>
      <c r="D465" s="79"/>
      <c r="E465" s="79"/>
      <c r="P465" s="79"/>
      <c r="Q465" s="79"/>
      <c r="R465" s="79"/>
      <c r="Y465" s="79"/>
      <c r="AC465" s="130"/>
      <c r="AE465" s="106"/>
    </row>
    <row r="466">
      <c r="C466" s="79"/>
      <c r="D466" s="79"/>
      <c r="E466" s="79"/>
      <c r="P466" s="79"/>
      <c r="Q466" s="79"/>
      <c r="R466" s="79"/>
      <c r="Y466" s="79"/>
      <c r="AC466" s="130"/>
      <c r="AE466" s="106"/>
    </row>
    <row r="467">
      <c r="C467" s="79"/>
      <c r="D467" s="79"/>
      <c r="E467" s="79"/>
      <c r="P467" s="79"/>
      <c r="Q467" s="79"/>
      <c r="R467" s="79"/>
      <c r="Y467" s="79"/>
      <c r="AC467" s="130"/>
      <c r="AE467" s="106"/>
    </row>
    <row r="468">
      <c r="C468" s="79"/>
      <c r="D468" s="79"/>
      <c r="E468" s="79"/>
      <c r="P468" s="79"/>
      <c r="Q468" s="79"/>
      <c r="R468" s="79"/>
      <c r="Y468" s="79"/>
      <c r="AC468" s="130"/>
      <c r="AE468" s="106"/>
    </row>
    <row r="469">
      <c r="C469" s="79"/>
      <c r="D469" s="79"/>
      <c r="E469" s="79"/>
      <c r="P469" s="79"/>
      <c r="Q469" s="79"/>
      <c r="R469" s="79"/>
      <c r="Y469" s="79"/>
      <c r="AC469" s="130"/>
      <c r="AE469" s="106"/>
    </row>
    <row r="470">
      <c r="C470" s="79"/>
      <c r="D470" s="79"/>
      <c r="E470" s="79"/>
      <c r="P470" s="79"/>
      <c r="Q470" s="79"/>
      <c r="R470" s="79"/>
      <c r="Y470" s="79"/>
      <c r="AC470" s="130"/>
      <c r="AE470" s="106"/>
    </row>
    <row r="471">
      <c r="C471" s="79"/>
      <c r="D471" s="79"/>
      <c r="E471" s="79"/>
      <c r="P471" s="79"/>
      <c r="Q471" s="79"/>
      <c r="R471" s="79"/>
      <c r="Y471" s="79"/>
      <c r="AC471" s="130"/>
      <c r="AE471" s="106"/>
    </row>
    <row r="472">
      <c r="C472" s="79"/>
      <c r="D472" s="79"/>
      <c r="E472" s="79"/>
      <c r="P472" s="79"/>
      <c r="Q472" s="79"/>
      <c r="R472" s="79"/>
      <c r="Y472" s="79"/>
      <c r="AC472" s="130"/>
      <c r="AE472" s="106"/>
    </row>
    <row r="473">
      <c r="C473" s="79"/>
      <c r="D473" s="79"/>
      <c r="E473" s="79"/>
      <c r="P473" s="79"/>
      <c r="Q473" s="79"/>
      <c r="R473" s="79"/>
      <c r="Y473" s="79"/>
      <c r="AC473" s="130"/>
      <c r="AE473" s="106"/>
    </row>
    <row r="474">
      <c r="C474" s="79"/>
      <c r="D474" s="79"/>
      <c r="E474" s="79"/>
      <c r="P474" s="79"/>
      <c r="Q474" s="79"/>
      <c r="R474" s="79"/>
      <c r="Y474" s="79"/>
      <c r="AC474" s="130"/>
      <c r="AE474" s="106"/>
    </row>
    <row r="475">
      <c r="C475" s="79"/>
      <c r="D475" s="79"/>
      <c r="E475" s="79"/>
      <c r="P475" s="79"/>
      <c r="Q475" s="79"/>
      <c r="R475" s="79"/>
      <c r="Y475" s="79"/>
      <c r="AC475" s="130"/>
      <c r="AE475" s="106"/>
    </row>
    <row r="476">
      <c r="C476" s="79"/>
      <c r="D476" s="79"/>
      <c r="E476" s="79"/>
      <c r="P476" s="79"/>
      <c r="Q476" s="79"/>
      <c r="R476" s="79"/>
      <c r="Y476" s="79"/>
      <c r="AC476" s="130"/>
      <c r="AE476" s="106"/>
    </row>
    <row r="477">
      <c r="C477" s="79"/>
      <c r="D477" s="79"/>
      <c r="E477" s="79"/>
      <c r="P477" s="79"/>
      <c r="Q477" s="79"/>
      <c r="R477" s="79"/>
      <c r="Y477" s="79"/>
      <c r="AC477" s="130"/>
      <c r="AE477" s="106"/>
    </row>
    <row r="478">
      <c r="C478" s="79"/>
      <c r="D478" s="79"/>
      <c r="E478" s="79"/>
      <c r="P478" s="79"/>
      <c r="Q478" s="79"/>
      <c r="R478" s="79"/>
      <c r="Y478" s="79"/>
      <c r="AC478" s="130"/>
      <c r="AE478" s="106"/>
    </row>
    <row r="479">
      <c r="C479" s="79"/>
      <c r="D479" s="79"/>
      <c r="E479" s="79"/>
      <c r="P479" s="79"/>
      <c r="Q479" s="79"/>
      <c r="R479" s="79"/>
      <c r="Y479" s="79"/>
      <c r="AC479" s="130"/>
      <c r="AE479" s="106"/>
    </row>
    <row r="480">
      <c r="C480" s="79"/>
      <c r="D480" s="79"/>
      <c r="E480" s="79"/>
      <c r="P480" s="79"/>
      <c r="Q480" s="79"/>
      <c r="R480" s="79"/>
      <c r="Y480" s="79"/>
      <c r="AC480" s="130"/>
      <c r="AE480" s="106"/>
    </row>
    <row r="481">
      <c r="C481" s="79"/>
      <c r="D481" s="79"/>
      <c r="E481" s="79"/>
      <c r="P481" s="79"/>
      <c r="Q481" s="79"/>
      <c r="R481" s="79"/>
      <c r="Y481" s="79"/>
      <c r="AC481" s="130"/>
      <c r="AE481" s="106"/>
    </row>
    <row r="482">
      <c r="C482" s="79"/>
      <c r="D482" s="79"/>
      <c r="E482" s="79"/>
      <c r="P482" s="79"/>
      <c r="Q482" s="79"/>
      <c r="R482" s="79"/>
      <c r="Y482" s="79"/>
      <c r="AC482" s="130"/>
      <c r="AE482" s="106"/>
    </row>
    <row r="483">
      <c r="C483" s="79"/>
      <c r="D483" s="79"/>
      <c r="E483" s="79"/>
      <c r="P483" s="79"/>
      <c r="Q483" s="79"/>
      <c r="R483" s="79"/>
      <c r="Y483" s="79"/>
      <c r="AC483" s="130"/>
      <c r="AE483" s="106"/>
    </row>
    <row r="484">
      <c r="C484" s="79"/>
      <c r="D484" s="79"/>
      <c r="E484" s="79"/>
      <c r="P484" s="79"/>
      <c r="Q484" s="79"/>
      <c r="R484" s="79"/>
      <c r="Y484" s="79"/>
      <c r="AC484" s="130"/>
      <c r="AE484" s="106"/>
    </row>
    <row r="485">
      <c r="C485" s="79"/>
      <c r="D485" s="79"/>
      <c r="E485" s="79"/>
      <c r="P485" s="79"/>
      <c r="Q485" s="79"/>
      <c r="R485" s="79"/>
      <c r="Y485" s="79"/>
      <c r="AC485" s="130"/>
      <c r="AE485" s="106"/>
    </row>
    <row r="486">
      <c r="C486" s="79"/>
      <c r="D486" s="79"/>
      <c r="E486" s="79"/>
      <c r="P486" s="79"/>
      <c r="Q486" s="79"/>
      <c r="R486" s="79"/>
      <c r="Y486" s="79"/>
      <c r="AC486" s="130"/>
      <c r="AE486" s="106"/>
    </row>
    <row r="487">
      <c r="C487" s="79"/>
      <c r="D487" s="79"/>
      <c r="E487" s="79"/>
      <c r="P487" s="79"/>
      <c r="Q487" s="79"/>
      <c r="R487" s="79"/>
      <c r="Y487" s="79"/>
      <c r="AC487" s="130"/>
      <c r="AE487" s="106"/>
    </row>
    <row r="488">
      <c r="C488" s="79"/>
      <c r="D488" s="79"/>
      <c r="E488" s="79"/>
      <c r="P488" s="79"/>
      <c r="Q488" s="79"/>
      <c r="R488" s="79"/>
      <c r="Y488" s="79"/>
      <c r="AC488" s="130"/>
      <c r="AE488" s="106"/>
    </row>
    <row r="489">
      <c r="C489" s="79"/>
      <c r="D489" s="79"/>
      <c r="E489" s="79"/>
      <c r="P489" s="79"/>
      <c r="Q489" s="79"/>
      <c r="R489" s="79"/>
      <c r="Y489" s="79"/>
      <c r="AC489" s="130"/>
      <c r="AE489" s="106"/>
    </row>
    <row r="490">
      <c r="C490" s="79"/>
      <c r="D490" s="79"/>
      <c r="E490" s="79"/>
      <c r="P490" s="79"/>
      <c r="Q490" s="79"/>
      <c r="R490" s="79"/>
      <c r="Y490" s="79"/>
      <c r="AC490" s="130"/>
      <c r="AE490" s="106"/>
    </row>
    <row r="491">
      <c r="C491" s="79"/>
      <c r="D491" s="79"/>
      <c r="E491" s="79"/>
      <c r="P491" s="79"/>
      <c r="Q491" s="79"/>
      <c r="R491" s="79"/>
      <c r="Y491" s="79"/>
      <c r="AC491" s="130"/>
      <c r="AE491" s="106"/>
    </row>
    <row r="492">
      <c r="C492" s="79"/>
      <c r="D492" s="79"/>
      <c r="E492" s="79"/>
      <c r="P492" s="79"/>
      <c r="Q492" s="79"/>
      <c r="R492" s="79"/>
      <c r="Y492" s="79"/>
      <c r="AC492" s="130"/>
      <c r="AE492" s="106"/>
    </row>
    <row r="493">
      <c r="C493" s="79"/>
      <c r="D493" s="79"/>
      <c r="E493" s="79"/>
      <c r="P493" s="79"/>
      <c r="Q493" s="79"/>
      <c r="R493" s="79"/>
      <c r="Y493" s="79"/>
      <c r="AC493" s="130"/>
      <c r="AE493" s="106"/>
    </row>
    <row r="494">
      <c r="C494" s="79"/>
      <c r="D494" s="79"/>
      <c r="E494" s="79"/>
      <c r="P494" s="79"/>
      <c r="Q494" s="79"/>
      <c r="R494" s="79"/>
      <c r="Y494" s="79"/>
      <c r="AC494" s="130"/>
      <c r="AE494" s="106"/>
    </row>
    <row r="495">
      <c r="C495" s="79"/>
      <c r="D495" s="79"/>
      <c r="E495" s="79"/>
      <c r="P495" s="79"/>
      <c r="Q495" s="79"/>
      <c r="R495" s="79"/>
      <c r="Y495" s="79"/>
      <c r="AC495" s="130"/>
      <c r="AE495" s="106"/>
    </row>
    <row r="496">
      <c r="C496" s="79"/>
      <c r="D496" s="79"/>
      <c r="E496" s="79"/>
      <c r="P496" s="79"/>
      <c r="Q496" s="79"/>
      <c r="R496" s="79"/>
      <c r="Y496" s="79"/>
      <c r="AC496" s="130"/>
      <c r="AE496" s="106"/>
    </row>
    <row r="497">
      <c r="C497" s="79"/>
      <c r="D497" s="79"/>
      <c r="E497" s="79"/>
      <c r="P497" s="79"/>
      <c r="Q497" s="79"/>
      <c r="R497" s="79"/>
      <c r="Y497" s="79"/>
      <c r="AC497" s="130"/>
      <c r="AE497" s="106"/>
    </row>
    <row r="498">
      <c r="C498" s="79"/>
      <c r="D498" s="79"/>
      <c r="E498" s="79"/>
      <c r="P498" s="79"/>
      <c r="Q498" s="79"/>
      <c r="R498" s="79"/>
      <c r="Y498" s="79"/>
      <c r="AC498" s="130"/>
      <c r="AE498" s="106"/>
    </row>
    <row r="499">
      <c r="C499" s="79"/>
      <c r="D499" s="79"/>
      <c r="E499" s="79"/>
      <c r="P499" s="79"/>
      <c r="Q499" s="79"/>
      <c r="R499" s="79"/>
      <c r="Y499" s="79"/>
      <c r="AC499" s="130"/>
      <c r="AE499" s="106"/>
    </row>
    <row r="500">
      <c r="C500" s="79"/>
      <c r="D500" s="79"/>
      <c r="E500" s="79"/>
      <c r="P500" s="79"/>
      <c r="Q500" s="79"/>
      <c r="R500" s="79"/>
      <c r="Y500" s="79"/>
      <c r="AC500" s="130"/>
      <c r="AE500" s="106"/>
    </row>
    <row r="501">
      <c r="C501" s="79"/>
      <c r="D501" s="79"/>
      <c r="E501" s="79"/>
      <c r="P501" s="79"/>
      <c r="Q501" s="79"/>
      <c r="R501" s="79"/>
      <c r="Y501" s="79"/>
      <c r="AC501" s="130"/>
      <c r="AE501" s="106"/>
    </row>
    <row r="502">
      <c r="C502" s="79"/>
      <c r="D502" s="79"/>
      <c r="E502" s="79"/>
      <c r="P502" s="79"/>
      <c r="Q502" s="79"/>
      <c r="R502" s="79"/>
      <c r="Y502" s="79"/>
      <c r="AC502" s="130"/>
      <c r="AE502" s="106"/>
    </row>
    <row r="503">
      <c r="C503" s="79"/>
      <c r="D503" s="79"/>
      <c r="E503" s="79"/>
      <c r="P503" s="79"/>
      <c r="Q503" s="79"/>
      <c r="R503" s="79"/>
      <c r="Y503" s="79"/>
      <c r="AC503" s="130"/>
      <c r="AE503" s="106"/>
    </row>
    <row r="504">
      <c r="C504" s="79"/>
      <c r="D504" s="79"/>
      <c r="E504" s="79"/>
      <c r="P504" s="79"/>
      <c r="Q504" s="79"/>
      <c r="R504" s="79"/>
      <c r="Y504" s="79"/>
      <c r="AC504" s="130"/>
      <c r="AE504" s="106"/>
    </row>
    <row r="505">
      <c r="C505" s="79"/>
      <c r="D505" s="79"/>
      <c r="E505" s="79"/>
      <c r="P505" s="79"/>
      <c r="Q505" s="79"/>
      <c r="R505" s="79"/>
      <c r="Y505" s="79"/>
      <c r="AC505" s="130"/>
      <c r="AE505" s="106"/>
    </row>
    <row r="506">
      <c r="C506" s="79"/>
      <c r="D506" s="79"/>
      <c r="E506" s="79"/>
      <c r="P506" s="79"/>
      <c r="Q506" s="79"/>
      <c r="R506" s="79"/>
      <c r="Y506" s="79"/>
      <c r="AC506" s="130"/>
      <c r="AE506" s="106"/>
    </row>
    <row r="507">
      <c r="C507" s="79"/>
      <c r="D507" s="79"/>
      <c r="E507" s="79"/>
      <c r="P507" s="79"/>
      <c r="Q507" s="79"/>
      <c r="R507" s="79"/>
      <c r="Y507" s="79"/>
      <c r="AC507" s="130"/>
      <c r="AE507" s="106"/>
    </row>
    <row r="508">
      <c r="C508" s="79"/>
      <c r="D508" s="79"/>
      <c r="E508" s="79"/>
      <c r="P508" s="79"/>
      <c r="Q508" s="79"/>
      <c r="R508" s="79"/>
      <c r="Y508" s="79"/>
      <c r="AC508" s="130"/>
      <c r="AE508" s="106"/>
    </row>
    <row r="509">
      <c r="C509" s="79"/>
      <c r="D509" s="79"/>
      <c r="E509" s="79"/>
      <c r="P509" s="79"/>
      <c r="Q509" s="79"/>
      <c r="R509" s="79"/>
      <c r="Y509" s="79"/>
      <c r="AC509" s="130"/>
      <c r="AE509" s="106"/>
    </row>
    <row r="510">
      <c r="C510" s="79"/>
      <c r="D510" s="79"/>
      <c r="E510" s="79"/>
      <c r="P510" s="79"/>
      <c r="Q510" s="79"/>
      <c r="R510" s="79"/>
      <c r="Y510" s="79"/>
      <c r="AC510" s="130"/>
      <c r="AE510" s="106"/>
    </row>
    <row r="511">
      <c r="C511" s="79"/>
      <c r="D511" s="79"/>
      <c r="E511" s="79"/>
      <c r="P511" s="79"/>
      <c r="Q511" s="79"/>
      <c r="R511" s="79"/>
      <c r="Y511" s="79"/>
      <c r="AC511" s="130"/>
      <c r="AE511" s="106"/>
    </row>
    <row r="512">
      <c r="C512" s="79"/>
      <c r="D512" s="79"/>
      <c r="E512" s="79"/>
      <c r="P512" s="79"/>
      <c r="Q512" s="79"/>
      <c r="R512" s="79"/>
      <c r="Y512" s="79"/>
      <c r="AC512" s="130"/>
      <c r="AE512" s="106"/>
    </row>
    <row r="513">
      <c r="C513" s="79"/>
      <c r="D513" s="79"/>
      <c r="E513" s="79"/>
      <c r="P513" s="79"/>
      <c r="Q513" s="79"/>
      <c r="R513" s="79"/>
      <c r="Y513" s="79"/>
      <c r="AC513" s="130"/>
      <c r="AE513" s="106"/>
    </row>
    <row r="514">
      <c r="C514" s="79"/>
      <c r="D514" s="79"/>
      <c r="E514" s="79"/>
      <c r="P514" s="79"/>
      <c r="Q514" s="79"/>
      <c r="R514" s="79"/>
      <c r="Y514" s="79"/>
      <c r="AC514" s="130"/>
      <c r="AE514" s="106"/>
    </row>
    <row r="515">
      <c r="C515" s="79"/>
      <c r="D515" s="79"/>
      <c r="E515" s="79"/>
      <c r="P515" s="79"/>
      <c r="Q515" s="79"/>
      <c r="R515" s="79"/>
      <c r="Y515" s="79"/>
      <c r="AC515" s="130"/>
      <c r="AE515" s="106"/>
    </row>
    <row r="516">
      <c r="C516" s="79"/>
      <c r="D516" s="79"/>
      <c r="E516" s="79"/>
      <c r="P516" s="79"/>
      <c r="Q516" s="79"/>
      <c r="R516" s="79"/>
      <c r="Y516" s="79"/>
      <c r="AC516" s="130"/>
      <c r="AE516" s="106"/>
    </row>
    <row r="517">
      <c r="C517" s="79"/>
      <c r="D517" s="79"/>
      <c r="E517" s="79"/>
      <c r="P517" s="79"/>
      <c r="Q517" s="79"/>
      <c r="R517" s="79"/>
      <c r="Y517" s="79"/>
      <c r="AC517" s="130"/>
      <c r="AE517" s="106"/>
    </row>
    <row r="518">
      <c r="C518" s="79"/>
      <c r="D518" s="79"/>
      <c r="E518" s="79"/>
      <c r="P518" s="79"/>
      <c r="Q518" s="79"/>
      <c r="R518" s="79"/>
      <c r="Y518" s="79"/>
      <c r="AC518" s="130"/>
      <c r="AE518" s="106"/>
    </row>
    <row r="519">
      <c r="C519" s="79"/>
      <c r="D519" s="79"/>
      <c r="E519" s="79"/>
      <c r="P519" s="79"/>
      <c r="Q519" s="79"/>
      <c r="R519" s="79"/>
      <c r="Y519" s="79"/>
      <c r="AC519" s="130"/>
      <c r="AE519" s="106"/>
    </row>
    <row r="520">
      <c r="C520" s="79"/>
      <c r="D520" s="79"/>
      <c r="E520" s="79"/>
      <c r="P520" s="79"/>
      <c r="Q520" s="79"/>
      <c r="R520" s="79"/>
      <c r="Y520" s="79"/>
      <c r="AC520" s="130"/>
      <c r="AE520" s="106"/>
    </row>
    <row r="521">
      <c r="C521" s="79"/>
      <c r="D521" s="79"/>
      <c r="E521" s="79"/>
      <c r="P521" s="79"/>
      <c r="Q521" s="79"/>
      <c r="R521" s="79"/>
      <c r="Y521" s="79"/>
      <c r="AC521" s="130"/>
      <c r="AE521" s="106"/>
    </row>
    <row r="522">
      <c r="C522" s="79"/>
      <c r="D522" s="79"/>
      <c r="E522" s="79"/>
      <c r="P522" s="79"/>
      <c r="Q522" s="79"/>
      <c r="R522" s="79"/>
      <c r="Y522" s="79"/>
      <c r="AC522" s="130"/>
      <c r="AE522" s="106"/>
    </row>
    <row r="523">
      <c r="C523" s="79"/>
      <c r="D523" s="79"/>
      <c r="E523" s="79"/>
      <c r="P523" s="79"/>
      <c r="Q523" s="79"/>
      <c r="R523" s="79"/>
      <c r="Y523" s="79"/>
      <c r="AC523" s="130"/>
      <c r="AE523" s="106"/>
    </row>
    <row r="524">
      <c r="C524" s="79"/>
      <c r="D524" s="79"/>
      <c r="E524" s="79"/>
      <c r="P524" s="79"/>
      <c r="Q524" s="79"/>
      <c r="R524" s="79"/>
      <c r="Y524" s="79"/>
      <c r="AC524" s="130"/>
      <c r="AE524" s="106"/>
    </row>
    <row r="525">
      <c r="C525" s="79"/>
      <c r="D525" s="79"/>
      <c r="E525" s="79"/>
      <c r="P525" s="79"/>
      <c r="Q525" s="79"/>
      <c r="R525" s="79"/>
      <c r="Y525" s="79"/>
      <c r="AC525" s="130"/>
      <c r="AE525" s="106"/>
    </row>
    <row r="526">
      <c r="C526" s="79"/>
      <c r="D526" s="79"/>
      <c r="E526" s="79"/>
      <c r="P526" s="79"/>
      <c r="Q526" s="79"/>
      <c r="R526" s="79"/>
      <c r="Y526" s="79"/>
      <c r="AC526" s="130"/>
      <c r="AE526" s="106"/>
    </row>
    <row r="527">
      <c r="C527" s="79"/>
      <c r="D527" s="79"/>
      <c r="E527" s="79"/>
      <c r="P527" s="79"/>
      <c r="Q527" s="79"/>
      <c r="R527" s="79"/>
      <c r="Y527" s="79"/>
      <c r="AC527" s="130"/>
      <c r="AE527" s="106"/>
    </row>
    <row r="528">
      <c r="C528" s="79"/>
      <c r="D528" s="79"/>
      <c r="E528" s="79"/>
      <c r="P528" s="79"/>
      <c r="Q528" s="79"/>
      <c r="R528" s="79"/>
      <c r="Y528" s="79"/>
      <c r="AC528" s="130"/>
      <c r="AE528" s="106"/>
    </row>
    <row r="529">
      <c r="C529" s="79"/>
      <c r="D529" s="79"/>
      <c r="E529" s="79"/>
      <c r="P529" s="79"/>
      <c r="Q529" s="79"/>
      <c r="R529" s="79"/>
      <c r="Y529" s="79"/>
      <c r="AC529" s="130"/>
      <c r="AE529" s="106"/>
    </row>
    <row r="530">
      <c r="C530" s="79"/>
      <c r="D530" s="79"/>
      <c r="E530" s="79"/>
      <c r="P530" s="79"/>
      <c r="Q530" s="79"/>
      <c r="R530" s="79"/>
      <c r="Y530" s="79"/>
      <c r="AC530" s="130"/>
      <c r="AE530" s="106"/>
    </row>
    <row r="531">
      <c r="C531" s="79"/>
      <c r="D531" s="79"/>
      <c r="E531" s="79"/>
      <c r="P531" s="79"/>
      <c r="Q531" s="79"/>
      <c r="R531" s="79"/>
      <c r="Y531" s="79"/>
      <c r="AC531" s="130"/>
      <c r="AE531" s="106"/>
    </row>
    <row r="532">
      <c r="C532" s="79"/>
      <c r="D532" s="79"/>
      <c r="E532" s="79"/>
      <c r="P532" s="79"/>
      <c r="Q532" s="79"/>
      <c r="R532" s="79"/>
      <c r="Y532" s="79"/>
      <c r="AC532" s="130"/>
      <c r="AE532" s="106"/>
    </row>
    <row r="533">
      <c r="C533" s="79"/>
      <c r="D533" s="79"/>
      <c r="E533" s="79"/>
      <c r="P533" s="79"/>
      <c r="Q533" s="79"/>
      <c r="R533" s="79"/>
      <c r="Y533" s="79"/>
      <c r="AC533" s="130"/>
      <c r="AE533" s="106"/>
    </row>
    <row r="534">
      <c r="C534" s="79"/>
      <c r="D534" s="79"/>
      <c r="E534" s="79"/>
      <c r="P534" s="79"/>
      <c r="Q534" s="79"/>
      <c r="R534" s="79"/>
      <c r="Y534" s="79"/>
      <c r="AC534" s="130"/>
      <c r="AE534" s="106"/>
    </row>
    <row r="535">
      <c r="C535" s="79"/>
      <c r="D535" s="79"/>
      <c r="E535" s="79"/>
      <c r="P535" s="79"/>
      <c r="Q535" s="79"/>
      <c r="R535" s="79"/>
      <c r="Y535" s="79"/>
      <c r="AC535" s="130"/>
      <c r="AE535" s="106"/>
    </row>
    <row r="536">
      <c r="C536" s="79"/>
      <c r="D536" s="79"/>
      <c r="E536" s="79"/>
      <c r="P536" s="79"/>
      <c r="Q536" s="79"/>
      <c r="R536" s="79"/>
      <c r="Y536" s="79"/>
      <c r="AC536" s="130"/>
      <c r="AE536" s="106"/>
    </row>
    <row r="537">
      <c r="C537" s="79"/>
      <c r="D537" s="79"/>
      <c r="E537" s="79"/>
      <c r="P537" s="79"/>
      <c r="Q537" s="79"/>
      <c r="R537" s="79"/>
      <c r="Y537" s="79"/>
      <c r="AC537" s="130"/>
      <c r="AE537" s="106"/>
    </row>
    <row r="538">
      <c r="C538" s="79"/>
      <c r="D538" s="79"/>
      <c r="E538" s="79"/>
      <c r="P538" s="79"/>
      <c r="Q538" s="79"/>
      <c r="R538" s="79"/>
      <c r="Y538" s="79"/>
      <c r="AC538" s="130"/>
      <c r="AE538" s="106"/>
    </row>
    <row r="539">
      <c r="C539" s="79"/>
      <c r="D539" s="79"/>
      <c r="E539" s="79"/>
      <c r="P539" s="79"/>
      <c r="Q539" s="79"/>
      <c r="R539" s="79"/>
      <c r="Y539" s="79"/>
      <c r="AC539" s="130"/>
      <c r="AE539" s="106"/>
    </row>
    <row r="540">
      <c r="C540" s="79"/>
      <c r="D540" s="79"/>
      <c r="E540" s="79"/>
      <c r="P540" s="79"/>
      <c r="Q540" s="79"/>
      <c r="R540" s="79"/>
      <c r="Y540" s="79"/>
      <c r="AC540" s="130"/>
      <c r="AE540" s="106"/>
    </row>
    <row r="541">
      <c r="C541" s="79"/>
      <c r="D541" s="79"/>
      <c r="E541" s="79"/>
      <c r="P541" s="79"/>
      <c r="Q541" s="79"/>
      <c r="R541" s="79"/>
      <c r="Y541" s="79"/>
      <c r="AC541" s="130"/>
      <c r="AE541" s="106"/>
    </row>
    <row r="542">
      <c r="C542" s="79"/>
      <c r="D542" s="79"/>
      <c r="E542" s="79"/>
      <c r="P542" s="79"/>
      <c r="Q542" s="79"/>
      <c r="R542" s="79"/>
      <c r="Y542" s="79"/>
      <c r="AC542" s="130"/>
      <c r="AE542" s="106"/>
    </row>
    <row r="543">
      <c r="C543" s="79"/>
      <c r="D543" s="79"/>
      <c r="E543" s="79"/>
      <c r="P543" s="79"/>
      <c r="Q543" s="79"/>
      <c r="R543" s="79"/>
      <c r="Y543" s="79"/>
      <c r="AC543" s="130"/>
      <c r="AE543" s="106"/>
    </row>
    <row r="544">
      <c r="C544" s="79"/>
      <c r="D544" s="79"/>
      <c r="E544" s="79"/>
      <c r="P544" s="79"/>
      <c r="Q544" s="79"/>
      <c r="R544" s="79"/>
      <c r="Y544" s="79"/>
      <c r="AC544" s="130"/>
      <c r="AE544" s="106"/>
    </row>
    <row r="545">
      <c r="C545" s="79"/>
      <c r="D545" s="79"/>
      <c r="E545" s="79"/>
      <c r="P545" s="79"/>
      <c r="Q545" s="79"/>
      <c r="R545" s="79"/>
      <c r="Y545" s="79"/>
      <c r="AC545" s="130"/>
      <c r="AE545" s="106"/>
    </row>
    <row r="546">
      <c r="C546" s="79"/>
      <c r="D546" s="79"/>
      <c r="E546" s="79"/>
      <c r="P546" s="79"/>
      <c r="Q546" s="79"/>
      <c r="R546" s="79"/>
      <c r="Y546" s="79"/>
      <c r="AC546" s="130"/>
      <c r="AE546" s="106"/>
    </row>
    <row r="547">
      <c r="C547" s="79"/>
      <c r="D547" s="79"/>
      <c r="E547" s="79"/>
      <c r="P547" s="79"/>
      <c r="Q547" s="79"/>
      <c r="R547" s="79"/>
      <c r="Y547" s="79"/>
      <c r="AC547" s="130"/>
      <c r="AE547" s="106"/>
    </row>
    <row r="548">
      <c r="C548" s="79"/>
      <c r="D548" s="79"/>
      <c r="E548" s="79"/>
      <c r="P548" s="79"/>
      <c r="Q548" s="79"/>
      <c r="R548" s="79"/>
      <c r="Y548" s="79"/>
      <c r="AC548" s="130"/>
      <c r="AE548" s="106"/>
    </row>
    <row r="549">
      <c r="C549" s="79"/>
      <c r="D549" s="79"/>
      <c r="E549" s="79"/>
      <c r="P549" s="79"/>
      <c r="Q549" s="79"/>
      <c r="R549" s="79"/>
      <c r="Y549" s="79"/>
      <c r="AC549" s="130"/>
      <c r="AE549" s="106"/>
    </row>
    <row r="550">
      <c r="C550" s="79"/>
      <c r="D550" s="79"/>
      <c r="E550" s="79"/>
      <c r="P550" s="79"/>
      <c r="Q550" s="79"/>
      <c r="R550" s="79"/>
      <c r="Y550" s="79"/>
      <c r="AC550" s="130"/>
      <c r="AE550" s="106"/>
    </row>
    <row r="551">
      <c r="C551" s="79"/>
      <c r="D551" s="79"/>
      <c r="E551" s="79"/>
      <c r="P551" s="79"/>
      <c r="Q551" s="79"/>
      <c r="R551" s="79"/>
      <c r="Y551" s="79"/>
      <c r="AC551" s="130"/>
      <c r="AE551" s="106"/>
    </row>
    <row r="552">
      <c r="C552" s="79"/>
      <c r="D552" s="79"/>
      <c r="E552" s="79"/>
      <c r="P552" s="79"/>
      <c r="Q552" s="79"/>
      <c r="R552" s="79"/>
      <c r="Y552" s="79"/>
      <c r="AC552" s="130"/>
      <c r="AE552" s="106"/>
    </row>
    <row r="553">
      <c r="C553" s="79"/>
      <c r="D553" s="79"/>
      <c r="E553" s="79"/>
      <c r="P553" s="79"/>
      <c r="Q553" s="79"/>
      <c r="R553" s="79"/>
      <c r="Y553" s="79"/>
      <c r="AC553" s="130"/>
      <c r="AE553" s="106"/>
    </row>
    <row r="554">
      <c r="C554" s="79"/>
      <c r="D554" s="79"/>
      <c r="E554" s="79"/>
      <c r="P554" s="79"/>
      <c r="Q554" s="79"/>
      <c r="R554" s="79"/>
      <c r="Y554" s="79"/>
      <c r="AC554" s="130"/>
      <c r="AE554" s="106"/>
    </row>
    <row r="555">
      <c r="C555" s="79"/>
      <c r="D555" s="79"/>
      <c r="E555" s="79"/>
      <c r="P555" s="79"/>
      <c r="Q555" s="79"/>
      <c r="R555" s="79"/>
      <c r="Y555" s="79"/>
      <c r="AC555" s="130"/>
      <c r="AE555" s="106"/>
    </row>
    <row r="556">
      <c r="C556" s="79"/>
      <c r="D556" s="79"/>
      <c r="E556" s="79"/>
      <c r="P556" s="79"/>
      <c r="Q556" s="79"/>
      <c r="R556" s="79"/>
      <c r="Y556" s="79"/>
      <c r="AC556" s="130"/>
      <c r="AE556" s="106"/>
    </row>
    <row r="557">
      <c r="C557" s="79"/>
      <c r="D557" s="79"/>
      <c r="E557" s="79"/>
      <c r="P557" s="79"/>
      <c r="Q557" s="79"/>
      <c r="R557" s="79"/>
      <c r="Y557" s="79"/>
      <c r="AC557" s="130"/>
      <c r="AE557" s="106"/>
    </row>
    <row r="558">
      <c r="C558" s="79"/>
      <c r="D558" s="79"/>
      <c r="E558" s="79"/>
      <c r="P558" s="79"/>
      <c r="Q558" s="79"/>
      <c r="R558" s="79"/>
      <c r="Y558" s="79"/>
      <c r="AC558" s="130"/>
      <c r="AE558" s="106"/>
    </row>
    <row r="559">
      <c r="C559" s="79"/>
      <c r="D559" s="79"/>
      <c r="E559" s="79"/>
      <c r="P559" s="79"/>
      <c r="Q559" s="79"/>
      <c r="R559" s="79"/>
      <c r="Y559" s="79"/>
      <c r="AC559" s="130"/>
      <c r="AE559" s="106"/>
    </row>
    <row r="560">
      <c r="C560" s="79"/>
      <c r="D560" s="79"/>
      <c r="E560" s="79"/>
      <c r="P560" s="79"/>
      <c r="Q560" s="79"/>
      <c r="R560" s="79"/>
      <c r="Y560" s="79"/>
      <c r="AC560" s="130"/>
      <c r="AE560" s="106"/>
    </row>
    <row r="561">
      <c r="C561" s="79"/>
      <c r="D561" s="79"/>
      <c r="E561" s="79"/>
      <c r="P561" s="79"/>
      <c r="Q561" s="79"/>
      <c r="R561" s="79"/>
      <c r="Y561" s="79"/>
      <c r="AC561" s="130"/>
      <c r="AE561" s="106"/>
    </row>
    <row r="562">
      <c r="C562" s="79"/>
      <c r="D562" s="79"/>
      <c r="E562" s="79"/>
      <c r="P562" s="79"/>
      <c r="Q562" s="79"/>
      <c r="R562" s="79"/>
      <c r="Y562" s="79"/>
      <c r="AC562" s="130"/>
      <c r="AE562" s="106"/>
    </row>
    <row r="563">
      <c r="C563" s="79"/>
      <c r="D563" s="79"/>
      <c r="E563" s="79"/>
      <c r="P563" s="79"/>
      <c r="Q563" s="79"/>
      <c r="R563" s="79"/>
      <c r="Y563" s="79"/>
      <c r="AC563" s="130"/>
      <c r="AE563" s="106"/>
    </row>
    <row r="564">
      <c r="C564" s="79"/>
      <c r="D564" s="79"/>
      <c r="E564" s="79"/>
      <c r="P564" s="79"/>
      <c r="Q564" s="79"/>
      <c r="R564" s="79"/>
      <c r="Y564" s="79"/>
      <c r="AC564" s="130"/>
      <c r="AE564" s="106"/>
    </row>
    <row r="565">
      <c r="C565" s="79"/>
      <c r="D565" s="79"/>
      <c r="E565" s="79"/>
      <c r="P565" s="79"/>
      <c r="Q565" s="79"/>
      <c r="R565" s="79"/>
      <c r="Y565" s="79"/>
      <c r="AC565" s="130"/>
      <c r="AE565" s="106"/>
    </row>
    <row r="566">
      <c r="C566" s="79"/>
      <c r="D566" s="79"/>
      <c r="E566" s="79"/>
      <c r="P566" s="79"/>
      <c r="Q566" s="79"/>
      <c r="R566" s="79"/>
      <c r="Y566" s="79"/>
      <c r="AC566" s="130"/>
      <c r="AE566" s="106"/>
    </row>
    <row r="567">
      <c r="C567" s="79"/>
      <c r="D567" s="79"/>
      <c r="E567" s="79"/>
      <c r="P567" s="79"/>
      <c r="Q567" s="79"/>
      <c r="R567" s="79"/>
      <c r="Y567" s="79"/>
      <c r="AC567" s="130"/>
      <c r="AE567" s="106"/>
    </row>
    <row r="568">
      <c r="C568" s="79"/>
      <c r="D568" s="79"/>
      <c r="E568" s="79"/>
      <c r="P568" s="79"/>
      <c r="Q568" s="79"/>
      <c r="R568" s="79"/>
      <c r="Y568" s="79"/>
      <c r="AC568" s="130"/>
      <c r="AE568" s="106"/>
    </row>
    <row r="569">
      <c r="C569" s="79"/>
      <c r="D569" s="79"/>
      <c r="E569" s="79"/>
      <c r="P569" s="79"/>
      <c r="Q569" s="79"/>
      <c r="R569" s="79"/>
      <c r="Y569" s="79"/>
      <c r="AC569" s="130"/>
      <c r="AE569" s="106"/>
    </row>
    <row r="570">
      <c r="C570" s="79"/>
      <c r="D570" s="79"/>
      <c r="E570" s="79"/>
      <c r="P570" s="79"/>
      <c r="Q570" s="79"/>
      <c r="R570" s="79"/>
      <c r="Y570" s="79"/>
      <c r="AC570" s="130"/>
      <c r="AE570" s="106"/>
    </row>
    <row r="571">
      <c r="C571" s="79"/>
      <c r="D571" s="79"/>
      <c r="E571" s="79"/>
      <c r="P571" s="79"/>
      <c r="Q571" s="79"/>
      <c r="R571" s="79"/>
      <c r="Y571" s="79"/>
      <c r="AC571" s="130"/>
      <c r="AE571" s="106"/>
    </row>
    <row r="572">
      <c r="C572" s="79"/>
      <c r="D572" s="79"/>
      <c r="E572" s="79"/>
      <c r="P572" s="79"/>
      <c r="Q572" s="79"/>
      <c r="R572" s="79"/>
      <c r="Y572" s="79"/>
      <c r="AC572" s="130"/>
      <c r="AE572" s="106"/>
    </row>
    <row r="573">
      <c r="C573" s="79"/>
      <c r="D573" s="79"/>
      <c r="E573" s="79"/>
      <c r="P573" s="79"/>
      <c r="Q573" s="79"/>
      <c r="R573" s="79"/>
      <c r="Y573" s="79"/>
      <c r="AC573" s="130"/>
      <c r="AE573" s="106"/>
    </row>
    <row r="574">
      <c r="C574" s="79"/>
      <c r="D574" s="79"/>
      <c r="E574" s="79"/>
      <c r="P574" s="79"/>
      <c r="Q574" s="79"/>
      <c r="R574" s="79"/>
      <c r="Y574" s="79"/>
      <c r="AC574" s="130"/>
      <c r="AE574" s="106"/>
    </row>
    <row r="575">
      <c r="C575" s="79"/>
      <c r="D575" s="79"/>
      <c r="E575" s="79"/>
      <c r="P575" s="79"/>
      <c r="Q575" s="79"/>
      <c r="R575" s="79"/>
      <c r="Y575" s="79"/>
      <c r="AC575" s="130"/>
      <c r="AE575" s="106"/>
    </row>
    <row r="576">
      <c r="C576" s="79"/>
      <c r="D576" s="79"/>
      <c r="E576" s="79"/>
      <c r="P576" s="79"/>
      <c r="Q576" s="79"/>
      <c r="R576" s="79"/>
      <c r="Y576" s="79"/>
      <c r="AC576" s="130"/>
      <c r="AE576" s="106"/>
    </row>
    <row r="577">
      <c r="C577" s="79"/>
      <c r="D577" s="79"/>
      <c r="E577" s="79"/>
      <c r="P577" s="79"/>
      <c r="Q577" s="79"/>
      <c r="R577" s="79"/>
      <c r="Y577" s="79"/>
      <c r="AC577" s="130"/>
      <c r="AE577" s="106"/>
    </row>
    <row r="578">
      <c r="C578" s="79"/>
      <c r="D578" s="79"/>
      <c r="E578" s="79"/>
      <c r="P578" s="79"/>
      <c r="Q578" s="79"/>
      <c r="R578" s="79"/>
      <c r="Y578" s="79"/>
      <c r="AC578" s="130"/>
      <c r="AE578" s="106"/>
    </row>
    <row r="579">
      <c r="C579" s="79"/>
      <c r="D579" s="79"/>
      <c r="E579" s="79"/>
      <c r="P579" s="79"/>
      <c r="Q579" s="79"/>
      <c r="R579" s="79"/>
      <c r="Y579" s="79"/>
      <c r="AC579" s="130"/>
      <c r="AE579" s="106"/>
    </row>
    <row r="580">
      <c r="C580" s="79"/>
      <c r="D580" s="79"/>
      <c r="E580" s="79"/>
      <c r="P580" s="79"/>
      <c r="Q580" s="79"/>
      <c r="R580" s="79"/>
      <c r="Y580" s="79"/>
      <c r="AC580" s="130"/>
      <c r="AE580" s="106"/>
    </row>
    <row r="581">
      <c r="C581" s="79"/>
      <c r="D581" s="79"/>
      <c r="E581" s="79"/>
      <c r="P581" s="79"/>
      <c r="Q581" s="79"/>
      <c r="R581" s="79"/>
      <c r="Y581" s="79"/>
      <c r="AC581" s="130"/>
      <c r="AE581" s="106"/>
    </row>
    <row r="582">
      <c r="C582" s="79"/>
      <c r="D582" s="79"/>
      <c r="E582" s="79"/>
      <c r="P582" s="79"/>
      <c r="Q582" s="79"/>
      <c r="R582" s="79"/>
      <c r="Y582" s="79"/>
      <c r="AC582" s="130"/>
      <c r="AE582" s="106"/>
    </row>
    <row r="583">
      <c r="C583" s="79"/>
      <c r="D583" s="79"/>
      <c r="E583" s="79"/>
      <c r="P583" s="79"/>
      <c r="Q583" s="79"/>
      <c r="R583" s="79"/>
      <c r="Y583" s="79"/>
      <c r="AC583" s="130"/>
      <c r="AE583" s="106"/>
    </row>
    <row r="584">
      <c r="C584" s="79"/>
      <c r="D584" s="79"/>
      <c r="E584" s="79"/>
      <c r="P584" s="79"/>
      <c r="Q584" s="79"/>
      <c r="R584" s="79"/>
      <c r="Y584" s="79"/>
      <c r="AC584" s="130"/>
      <c r="AE584" s="106"/>
    </row>
    <row r="585">
      <c r="C585" s="79"/>
      <c r="D585" s="79"/>
      <c r="E585" s="79"/>
      <c r="P585" s="79"/>
      <c r="Q585" s="79"/>
      <c r="R585" s="79"/>
      <c r="Y585" s="79"/>
      <c r="AC585" s="130"/>
      <c r="AE585" s="106"/>
    </row>
    <row r="586">
      <c r="C586" s="79"/>
      <c r="D586" s="79"/>
      <c r="E586" s="79"/>
      <c r="P586" s="79"/>
      <c r="Q586" s="79"/>
      <c r="R586" s="79"/>
      <c r="Y586" s="79"/>
      <c r="AC586" s="130"/>
      <c r="AE586" s="106"/>
    </row>
    <row r="587">
      <c r="C587" s="79"/>
      <c r="D587" s="79"/>
      <c r="E587" s="79"/>
      <c r="P587" s="79"/>
      <c r="Q587" s="79"/>
      <c r="R587" s="79"/>
      <c r="Y587" s="79"/>
      <c r="AC587" s="130"/>
      <c r="AE587" s="106"/>
    </row>
    <row r="588">
      <c r="C588" s="79"/>
      <c r="D588" s="79"/>
      <c r="E588" s="79"/>
      <c r="P588" s="79"/>
      <c r="Q588" s="79"/>
      <c r="R588" s="79"/>
      <c r="Y588" s="79"/>
      <c r="AC588" s="130"/>
      <c r="AE588" s="106"/>
    </row>
    <row r="589">
      <c r="C589" s="79"/>
      <c r="D589" s="79"/>
      <c r="E589" s="79"/>
      <c r="P589" s="79"/>
      <c r="Q589" s="79"/>
      <c r="R589" s="79"/>
      <c r="Y589" s="79"/>
      <c r="AC589" s="130"/>
      <c r="AE589" s="106"/>
    </row>
    <row r="590">
      <c r="C590" s="79"/>
      <c r="D590" s="79"/>
      <c r="E590" s="79"/>
      <c r="P590" s="79"/>
      <c r="Q590" s="79"/>
      <c r="R590" s="79"/>
      <c r="Y590" s="79"/>
      <c r="AC590" s="130"/>
      <c r="AE590" s="106"/>
    </row>
    <row r="591">
      <c r="C591" s="79"/>
      <c r="D591" s="79"/>
      <c r="E591" s="79"/>
      <c r="P591" s="79"/>
      <c r="Q591" s="79"/>
      <c r="R591" s="79"/>
      <c r="Y591" s="79"/>
      <c r="AC591" s="130"/>
      <c r="AE591" s="106"/>
    </row>
    <row r="592">
      <c r="C592" s="79"/>
      <c r="D592" s="79"/>
      <c r="E592" s="79"/>
      <c r="P592" s="79"/>
      <c r="Q592" s="79"/>
      <c r="R592" s="79"/>
      <c r="Y592" s="79"/>
      <c r="AC592" s="130"/>
      <c r="AE592" s="106"/>
    </row>
    <row r="593">
      <c r="C593" s="79"/>
      <c r="D593" s="79"/>
      <c r="E593" s="79"/>
      <c r="P593" s="79"/>
      <c r="Q593" s="79"/>
      <c r="R593" s="79"/>
      <c r="Y593" s="79"/>
      <c r="AC593" s="130"/>
      <c r="AE593" s="106"/>
    </row>
    <row r="594">
      <c r="C594" s="79"/>
      <c r="D594" s="79"/>
      <c r="E594" s="79"/>
      <c r="P594" s="79"/>
      <c r="Q594" s="79"/>
      <c r="R594" s="79"/>
      <c r="Y594" s="79"/>
      <c r="AC594" s="130"/>
      <c r="AE594" s="106"/>
    </row>
    <row r="595">
      <c r="C595" s="79"/>
      <c r="D595" s="79"/>
      <c r="E595" s="79"/>
      <c r="P595" s="79"/>
      <c r="Q595" s="79"/>
      <c r="R595" s="79"/>
      <c r="Y595" s="79"/>
      <c r="AC595" s="130"/>
      <c r="AE595" s="106"/>
    </row>
    <row r="596">
      <c r="C596" s="79"/>
      <c r="D596" s="79"/>
      <c r="E596" s="79"/>
      <c r="P596" s="79"/>
      <c r="Q596" s="79"/>
      <c r="R596" s="79"/>
      <c r="Y596" s="79"/>
      <c r="AC596" s="130"/>
      <c r="AE596" s="106"/>
    </row>
    <row r="597">
      <c r="C597" s="79"/>
      <c r="D597" s="79"/>
      <c r="E597" s="79"/>
      <c r="P597" s="79"/>
      <c r="Q597" s="79"/>
      <c r="R597" s="79"/>
      <c r="Y597" s="79"/>
      <c r="AC597" s="130"/>
      <c r="AE597" s="106"/>
    </row>
    <row r="598">
      <c r="C598" s="79"/>
      <c r="D598" s="79"/>
      <c r="E598" s="79"/>
      <c r="P598" s="79"/>
      <c r="Q598" s="79"/>
      <c r="R598" s="79"/>
      <c r="Y598" s="79"/>
      <c r="AC598" s="130"/>
      <c r="AE598" s="106"/>
    </row>
    <row r="599">
      <c r="C599" s="79"/>
      <c r="D599" s="79"/>
      <c r="E599" s="79"/>
      <c r="P599" s="79"/>
      <c r="Q599" s="79"/>
      <c r="R599" s="79"/>
      <c r="Y599" s="79"/>
      <c r="AC599" s="130"/>
      <c r="AE599" s="106"/>
    </row>
    <row r="600">
      <c r="C600" s="79"/>
      <c r="D600" s="79"/>
      <c r="E600" s="79"/>
      <c r="P600" s="79"/>
      <c r="Q600" s="79"/>
      <c r="R600" s="79"/>
      <c r="Y600" s="79"/>
      <c r="AC600" s="130"/>
      <c r="AE600" s="106"/>
    </row>
    <row r="601">
      <c r="C601" s="79"/>
      <c r="D601" s="79"/>
      <c r="E601" s="79"/>
      <c r="P601" s="79"/>
      <c r="Q601" s="79"/>
      <c r="R601" s="79"/>
      <c r="Y601" s="79"/>
      <c r="AC601" s="130"/>
      <c r="AE601" s="106"/>
    </row>
    <row r="602">
      <c r="C602" s="79"/>
      <c r="D602" s="79"/>
      <c r="E602" s="79"/>
      <c r="P602" s="79"/>
      <c r="Q602" s="79"/>
      <c r="R602" s="79"/>
      <c r="Y602" s="79"/>
      <c r="AC602" s="130"/>
      <c r="AE602" s="106"/>
    </row>
    <row r="603">
      <c r="C603" s="79"/>
      <c r="D603" s="79"/>
      <c r="E603" s="79"/>
      <c r="P603" s="79"/>
      <c r="Q603" s="79"/>
      <c r="R603" s="79"/>
      <c r="Y603" s="79"/>
      <c r="AC603" s="130"/>
      <c r="AE603" s="106"/>
    </row>
    <row r="604">
      <c r="C604" s="79"/>
      <c r="D604" s="79"/>
      <c r="E604" s="79"/>
      <c r="P604" s="79"/>
      <c r="Q604" s="79"/>
      <c r="R604" s="79"/>
      <c r="Y604" s="79"/>
      <c r="AC604" s="130"/>
      <c r="AE604" s="106"/>
    </row>
    <row r="605">
      <c r="C605" s="79"/>
      <c r="D605" s="79"/>
      <c r="E605" s="79"/>
      <c r="P605" s="79"/>
      <c r="Q605" s="79"/>
      <c r="R605" s="79"/>
      <c r="Y605" s="79"/>
      <c r="AC605" s="130"/>
      <c r="AE605" s="106"/>
    </row>
    <row r="606">
      <c r="C606" s="79"/>
      <c r="D606" s="79"/>
      <c r="E606" s="79"/>
      <c r="P606" s="79"/>
      <c r="Q606" s="79"/>
      <c r="R606" s="79"/>
      <c r="Y606" s="79"/>
      <c r="AC606" s="130"/>
      <c r="AE606" s="106"/>
    </row>
    <row r="607">
      <c r="C607" s="79"/>
      <c r="D607" s="79"/>
      <c r="E607" s="79"/>
      <c r="P607" s="79"/>
      <c r="Q607" s="79"/>
      <c r="R607" s="79"/>
      <c r="Y607" s="79"/>
      <c r="AC607" s="130"/>
      <c r="AE607" s="106"/>
    </row>
    <row r="608">
      <c r="C608" s="79"/>
      <c r="D608" s="79"/>
      <c r="E608" s="79"/>
      <c r="P608" s="79"/>
      <c r="Q608" s="79"/>
      <c r="R608" s="79"/>
      <c r="Y608" s="79"/>
      <c r="AC608" s="130"/>
      <c r="AE608" s="106"/>
    </row>
    <row r="609">
      <c r="C609" s="79"/>
      <c r="D609" s="79"/>
      <c r="E609" s="79"/>
      <c r="P609" s="79"/>
      <c r="Q609" s="79"/>
      <c r="R609" s="79"/>
      <c r="Y609" s="79"/>
      <c r="AC609" s="130"/>
      <c r="AE609" s="106"/>
    </row>
    <row r="610">
      <c r="C610" s="79"/>
      <c r="D610" s="79"/>
      <c r="E610" s="79"/>
      <c r="P610" s="79"/>
      <c r="Q610" s="79"/>
      <c r="R610" s="79"/>
      <c r="Y610" s="79"/>
      <c r="AC610" s="130"/>
      <c r="AE610" s="106"/>
    </row>
    <row r="611">
      <c r="C611" s="79"/>
      <c r="D611" s="79"/>
      <c r="E611" s="79"/>
      <c r="P611" s="79"/>
      <c r="Q611" s="79"/>
      <c r="R611" s="79"/>
      <c r="Y611" s="79"/>
      <c r="AC611" s="130"/>
      <c r="AE611" s="106"/>
    </row>
    <row r="612">
      <c r="C612" s="79"/>
      <c r="D612" s="79"/>
      <c r="E612" s="79"/>
      <c r="P612" s="79"/>
      <c r="Q612" s="79"/>
      <c r="R612" s="79"/>
      <c r="Y612" s="79"/>
      <c r="AC612" s="130"/>
      <c r="AE612" s="106"/>
    </row>
    <row r="613">
      <c r="C613" s="79"/>
      <c r="D613" s="79"/>
      <c r="E613" s="79"/>
      <c r="P613" s="79"/>
      <c r="Q613" s="79"/>
      <c r="R613" s="79"/>
      <c r="Y613" s="79"/>
      <c r="AC613" s="130"/>
      <c r="AE613" s="106"/>
    </row>
    <row r="614">
      <c r="C614" s="79"/>
      <c r="D614" s="79"/>
      <c r="E614" s="79"/>
      <c r="P614" s="79"/>
      <c r="Q614" s="79"/>
      <c r="R614" s="79"/>
      <c r="Y614" s="79"/>
      <c r="AC614" s="130"/>
      <c r="AE614" s="106"/>
    </row>
    <row r="615">
      <c r="C615" s="79"/>
      <c r="D615" s="79"/>
      <c r="E615" s="79"/>
      <c r="P615" s="79"/>
      <c r="Q615" s="79"/>
      <c r="R615" s="79"/>
      <c r="Y615" s="79"/>
      <c r="AC615" s="130"/>
      <c r="AE615" s="106"/>
    </row>
    <row r="616">
      <c r="C616" s="79"/>
      <c r="D616" s="79"/>
      <c r="E616" s="79"/>
      <c r="P616" s="79"/>
      <c r="Q616" s="79"/>
      <c r="R616" s="79"/>
      <c r="Y616" s="79"/>
      <c r="AC616" s="130"/>
      <c r="AE616" s="106"/>
    </row>
    <row r="617">
      <c r="C617" s="79"/>
      <c r="D617" s="79"/>
      <c r="E617" s="79"/>
      <c r="P617" s="79"/>
      <c r="Q617" s="79"/>
      <c r="R617" s="79"/>
      <c r="Y617" s="79"/>
      <c r="AC617" s="130"/>
      <c r="AE617" s="106"/>
    </row>
    <row r="618">
      <c r="C618" s="79"/>
      <c r="D618" s="79"/>
      <c r="E618" s="79"/>
      <c r="P618" s="79"/>
      <c r="Q618" s="79"/>
      <c r="R618" s="79"/>
      <c r="Y618" s="79"/>
      <c r="AC618" s="130"/>
      <c r="AE618" s="106"/>
    </row>
    <row r="619">
      <c r="C619" s="79"/>
      <c r="D619" s="79"/>
      <c r="E619" s="79"/>
      <c r="P619" s="79"/>
      <c r="Q619" s="79"/>
      <c r="R619" s="79"/>
      <c r="Y619" s="79"/>
      <c r="AC619" s="130"/>
      <c r="AE619" s="106"/>
    </row>
    <row r="620">
      <c r="C620" s="79"/>
      <c r="D620" s="79"/>
      <c r="E620" s="79"/>
      <c r="P620" s="79"/>
      <c r="Q620" s="79"/>
      <c r="R620" s="79"/>
      <c r="Y620" s="79"/>
      <c r="AC620" s="130"/>
      <c r="AE620" s="106"/>
    </row>
    <row r="621">
      <c r="C621" s="79"/>
      <c r="D621" s="79"/>
      <c r="E621" s="79"/>
      <c r="P621" s="79"/>
      <c r="Q621" s="79"/>
      <c r="R621" s="79"/>
      <c r="Y621" s="79"/>
      <c r="AC621" s="130"/>
      <c r="AE621" s="106"/>
    </row>
    <row r="622">
      <c r="C622" s="79"/>
      <c r="D622" s="79"/>
      <c r="E622" s="79"/>
      <c r="P622" s="79"/>
      <c r="Q622" s="79"/>
      <c r="R622" s="79"/>
      <c r="Y622" s="79"/>
      <c r="AC622" s="130"/>
      <c r="AE622" s="106"/>
    </row>
    <row r="623">
      <c r="C623" s="79"/>
      <c r="D623" s="79"/>
      <c r="E623" s="79"/>
      <c r="P623" s="79"/>
      <c r="Q623" s="79"/>
      <c r="R623" s="79"/>
      <c r="Y623" s="79"/>
      <c r="AC623" s="130"/>
      <c r="AE623" s="106"/>
    </row>
    <row r="624">
      <c r="C624" s="79"/>
      <c r="D624" s="79"/>
      <c r="E624" s="79"/>
      <c r="P624" s="79"/>
      <c r="Q624" s="79"/>
      <c r="R624" s="79"/>
      <c r="Y624" s="79"/>
      <c r="AC624" s="130"/>
      <c r="AE624" s="106"/>
    </row>
    <row r="625">
      <c r="C625" s="79"/>
      <c r="D625" s="79"/>
      <c r="E625" s="79"/>
      <c r="P625" s="79"/>
      <c r="Q625" s="79"/>
      <c r="R625" s="79"/>
      <c r="Y625" s="79"/>
      <c r="AC625" s="130"/>
      <c r="AE625" s="106"/>
    </row>
    <row r="626">
      <c r="C626" s="79"/>
      <c r="D626" s="79"/>
      <c r="E626" s="79"/>
      <c r="P626" s="79"/>
      <c r="Q626" s="79"/>
      <c r="R626" s="79"/>
      <c r="Y626" s="79"/>
      <c r="AC626" s="130"/>
      <c r="AE626" s="106"/>
    </row>
    <row r="627">
      <c r="C627" s="79"/>
      <c r="D627" s="79"/>
      <c r="E627" s="79"/>
      <c r="P627" s="79"/>
      <c r="Q627" s="79"/>
      <c r="R627" s="79"/>
      <c r="Y627" s="79"/>
      <c r="AC627" s="130"/>
      <c r="AE627" s="106"/>
    </row>
    <row r="628">
      <c r="C628" s="79"/>
      <c r="D628" s="79"/>
      <c r="E628" s="79"/>
      <c r="P628" s="79"/>
      <c r="Q628" s="79"/>
      <c r="R628" s="79"/>
      <c r="Y628" s="79"/>
      <c r="AC628" s="130"/>
      <c r="AE628" s="106"/>
    </row>
    <row r="629">
      <c r="C629" s="79"/>
      <c r="D629" s="79"/>
      <c r="E629" s="79"/>
      <c r="P629" s="79"/>
      <c r="Q629" s="79"/>
      <c r="R629" s="79"/>
      <c r="Y629" s="79"/>
      <c r="AC629" s="130"/>
      <c r="AE629" s="106"/>
    </row>
    <row r="630">
      <c r="C630" s="79"/>
      <c r="D630" s="79"/>
      <c r="E630" s="79"/>
      <c r="P630" s="79"/>
      <c r="Q630" s="79"/>
      <c r="R630" s="79"/>
      <c r="Y630" s="79"/>
      <c r="AC630" s="130"/>
      <c r="AE630" s="106"/>
    </row>
    <row r="631">
      <c r="C631" s="79"/>
      <c r="D631" s="79"/>
      <c r="E631" s="79"/>
      <c r="P631" s="79"/>
      <c r="Q631" s="79"/>
      <c r="R631" s="79"/>
      <c r="Y631" s="79"/>
      <c r="AC631" s="130"/>
      <c r="AE631" s="106"/>
    </row>
    <row r="632">
      <c r="C632" s="79"/>
      <c r="D632" s="79"/>
      <c r="E632" s="79"/>
      <c r="P632" s="79"/>
      <c r="Q632" s="79"/>
      <c r="R632" s="79"/>
      <c r="Y632" s="79"/>
      <c r="AC632" s="130"/>
      <c r="AE632" s="106"/>
    </row>
    <row r="633">
      <c r="C633" s="79"/>
      <c r="D633" s="79"/>
      <c r="E633" s="79"/>
      <c r="P633" s="79"/>
      <c r="Q633" s="79"/>
      <c r="R633" s="79"/>
      <c r="Y633" s="79"/>
      <c r="AC633" s="130"/>
      <c r="AE633" s="106"/>
    </row>
    <row r="634">
      <c r="C634" s="79"/>
      <c r="D634" s="79"/>
      <c r="E634" s="79"/>
      <c r="P634" s="79"/>
      <c r="Q634" s="79"/>
      <c r="R634" s="79"/>
      <c r="Y634" s="79"/>
      <c r="AC634" s="130"/>
      <c r="AE634" s="106"/>
    </row>
    <row r="635">
      <c r="C635" s="79"/>
      <c r="D635" s="79"/>
      <c r="E635" s="79"/>
      <c r="P635" s="79"/>
      <c r="Q635" s="79"/>
      <c r="R635" s="79"/>
      <c r="Y635" s="79"/>
      <c r="AC635" s="130"/>
      <c r="AE635" s="106"/>
    </row>
    <row r="636">
      <c r="C636" s="79"/>
      <c r="D636" s="79"/>
      <c r="E636" s="79"/>
      <c r="P636" s="79"/>
      <c r="Q636" s="79"/>
      <c r="R636" s="79"/>
      <c r="Y636" s="79"/>
      <c r="AC636" s="130"/>
      <c r="AE636" s="106"/>
    </row>
    <row r="637">
      <c r="C637" s="79"/>
      <c r="D637" s="79"/>
      <c r="E637" s="79"/>
      <c r="P637" s="79"/>
      <c r="Q637" s="79"/>
      <c r="R637" s="79"/>
      <c r="Y637" s="79"/>
      <c r="AC637" s="130"/>
      <c r="AE637" s="106"/>
    </row>
    <row r="638">
      <c r="C638" s="79"/>
      <c r="D638" s="79"/>
      <c r="E638" s="79"/>
      <c r="P638" s="79"/>
      <c r="Q638" s="79"/>
      <c r="R638" s="79"/>
      <c r="Y638" s="79"/>
      <c r="AC638" s="130"/>
      <c r="AE638" s="106"/>
    </row>
    <row r="639">
      <c r="C639" s="79"/>
      <c r="D639" s="79"/>
      <c r="E639" s="79"/>
      <c r="P639" s="79"/>
      <c r="Q639" s="79"/>
      <c r="R639" s="79"/>
      <c r="Y639" s="79"/>
      <c r="AC639" s="130"/>
      <c r="AE639" s="106"/>
    </row>
    <row r="640">
      <c r="C640" s="79"/>
      <c r="D640" s="79"/>
      <c r="E640" s="79"/>
      <c r="P640" s="79"/>
      <c r="Q640" s="79"/>
      <c r="R640" s="79"/>
      <c r="Y640" s="79"/>
      <c r="AC640" s="130"/>
      <c r="AE640" s="106"/>
    </row>
    <row r="641">
      <c r="C641" s="79"/>
      <c r="D641" s="79"/>
      <c r="E641" s="79"/>
      <c r="P641" s="79"/>
      <c r="Q641" s="79"/>
      <c r="R641" s="79"/>
      <c r="Y641" s="79"/>
      <c r="AC641" s="130"/>
      <c r="AE641" s="106"/>
    </row>
    <row r="642">
      <c r="C642" s="79"/>
      <c r="D642" s="79"/>
      <c r="E642" s="79"/>
      <c r="P642" s="79"/>
      <c r="Q642" s="79"/>
      <c r="R642" s="79"/>
      <c r="Y642" s="79"/>
      <c r="AC642" s="130"/>
      <c r="AE642" s="106"/>
    </row>
    <row r="643">
      <c r="C643" s="79"/>
      <c r="D643" s="79"/>
      <c r="E643" s="79"/>
      <c r="P643" s="79"/>
      <c r="Q643" s="79"/>
      <c r="R643" s="79"/>
      <c r="Y643" s="79"/>
      <c r="AC643" s="130"/>
      <c r="AE643" s="106"/>
    </row>
    <row r="644">
      <c r="C644" s="79"/>
      <c r="D644" s="79"/>
      <c r="E644" s="79"/>
      <c r="P644" s="79"/>
      <c r="Q644" s="79"/>
      <c r="R644" s="79"/>
      <c r="Y644" s="79"/>
      <c r="AC644" s="130"/>
      <c r="AE644" s="106"/>
    </row>
    <row r="645">
      <c r="C645" s="79"/>
      <c r="D645" s="79"/>
      <c r="E645" s="79"/>
      <c r="P645" s="79"/>
      <c r="Q645" s="79"/>
      <c r="R645" s="79"/>
      <c r="Y645" s="79"/>
      <c r="AC645" s="130"/>
      <c r="AE645" s="106"/>
    </row>
    <row r="646">
      <c r="C646" s="79"/>
      <c r="D646" s="79"/>
      <c r="E646" s="79"/>
      <c r="P646" s="79"/>
      <c r="Q646" s="79"/>
      <c r="R646" s="79"/>
      <c r="Y646" s="79"/>
      <c r="AC646" s="130"/>
      <c r="AE646" s="106"/>
    </row>
    <row r="647">
      <c r="C647" s="79"/>
      <c r="D647" s="79"/>
      <c r="E647" s="79"/>
      <c r="P647" s="79"/>
      <c r="Q647" s="79"/>
      <c r="R647" s="79"/>
      <c r="Y647" s="79"/>
      <c r="AC647" s="130"/>
      <c r="AE647" s="106"/>
    </row>
    <row r="648">
      <c r="C648" s="79"/>
      <c r="D648" s="79"/>
      <c r="E648" s="79"/>
      <c r="P648" s="79"/>
      <c r="Q648" s="79"/>
      <c r="R648" s="79"/>
      <c r="Y648" s="79"/>
      <c r="AC648" s="130"/>
      <c r="AE648" s="106"/>
    </row>
    <row r="649">
      <c r="C649" s="79"/>
      <c r="D649" s="79"/>
      <c r="E649" s="79"/>
      <c r="P649" s="79"/>
      <c r="Q649" s="79"/>
      <c r="R649" s="79"/>
      <c r="Y649" s="79"/>
      <c r="AC649" s="130"/>
      <c r="AE649" s="106"/>
    </row>
    <row r="650">
      <c r="C650" s="79"/>
      <c r="D650" s="79"/>
      <c r="E650" s="79"/>
      <c r="P650" s="79"/>
      <c r="Q650" s="79"/>
      <c r="R650" s="79"/>
      <c r="Y650" s="79"/>
      <c r="AC650" s="130"/>
      <c r="AE650" s="106"/>
    </row>
    <row r="651">
      <c r="C651" s="79"/>
      <c r="D651" s="79"/>
      <c r="E651" s="79"/>
      <c r="P651" s="79"/>
      <c r="Q651" s="79"/>
      <c r="R651" s="79"/>
      <c r="Y651" s="79"/>
      <c r="AC651" s="130"/>
      <c r="AE651" s="106"/>
    </row>
    <row r="652">
      <c r="C652" s="79"/>
      <c r="D652" s="79"/>
      <c r="E652" s="79"/>
      <c r="P652" s="79"/>
      <c r="Q652" s="79"/>
      <c r="R652" s="79"/>
      <c r="Y652" s="79"/>
      <c r="AC652" s="130"/>
      <c r="AE652" s="106"/>
    </row>
    <row r="653">
      <c r="C653" s="79"/>
      <c r="D653" s="79"/>
      <c r="E653" s="79"/>
      <c r="P653" s="79"/>
      <c r="Q653" s="79"/>
      <c r="R653" s="79"/>
      <c r="Y653" s="79"/>
      <c r="AC653" s="130"/>
      <c r="AE653" s="106"/>
    </row>
    <row r="654">
      <c r="C654" s="79"/>
      <c r="D654" s="79"/>
      <c r="E654" s="79"/>
      <c r="P654" s="79"/>
      <c r="Q654" s="79"/>
      <c r="R654" s="79"/>
      <c r="Y654" s="79"/>
      <c r="AC654" s="130"/>
      <c r="AE654" s="106"/>
    </row>
    <row r="655">
      <c r="C655" s="79"/>
      <c r="D655" s="79"/>
      <c r="E655" s="79"/>
      <c r="P655" s="79"/>
      <c r="Q655" s="79"/>
      <c r="R655" s="79"/>
      <c r="Y655" s="79"/>
      <c r="AC655" s="130"/>
      <c r="AE655" s="106"/>
    </row>
    <row r="656">
      <c r="C656" s="79"/>
      <c r="D656" s="79"/>
      <c r="E656" s="79"/>
      <c r="P656" s="79"/>
      <c r="Q656" s="79"/>
      <c r="R656" s="79"/>
      <c r="Y656" s="79"/>
      <c r="AC656" s="130"/>
      <c r="AE656" s="106"/>
    </row>
    <row r="657">
      <c r="C657" s="79"/>
      <c r="D657" s="79"/>
      <c r="E657" s="79"/>
      <c r="P657" s="79"/>
      <c r="Q657" s="79"/>
      <c r="R657" s="79"/>
      <c r="Y657" s="79"/>
      <c r="AC657" s="130"/>
      <c r="AE657" s="106"/>
    </row>
    <row r="658">
      <c r="C658" s="79"/>
      <c r="D658" s="79"/>
      <c r="E658" s="79"/>
      <c r="P658" s="79"/>
      <c r="Q658" s="79"/>
      <c r="R658" s="79"/>
      <c r="Y658" s="79"/>
      <c r="AC658" s="130"/>
      <c r="AE658" s="106"/>
    </row>
    <row r="659">
      <c r="C659" s="79"/>
      <c r="D659" s="79"/>
      <c r="E659" s="79"/>
      <c r="P659" s="79"/>
      <c r="Q659" s="79"/>
      <c r="R659" s="79"/>
      <c r="Y659" s="79"/>
      <c r="AC659" s="130"/>
      <c r="AE659" s="106"/>
    </row>
    <row r="660">
      <c r="C660" s="79"/>
      <c r="D660" s="79"/>
      <c r="E660" s="79"/>
      <c r="P660" s="79"/>
      <c r="Q660" s="79"/>
      <c r="R660" s="79"/>
      <c r="Y660" s="79"/>
      <c r="AC660" s="130"/>
      <c r="AE660" s="106"/>
    </row>
    <row r="661">
      <c r="C661" s="79"/>
      <c r="D661" s="79"/>
      <c r="E661" s="79"/>
      <c r="P661" s="79"/>
      <c r="Q661" s="79"/>
      <c r="R661" s="79"/>
      <c r="Y661" s="79"/>
      <c r="AC661" s="130"/>
      <c r="AE661" s="106"/>
    </row>
    <row r="662">
      <c r="C662" s="79"/>
      <c r="D662" s="79"/>
      <c r="E662" s="79"/>
      <c r="P662" s="79"/>
      <c r="Q662" s="79"/>
      <c r="R662" s="79"/>
      <c r="Y662" s="79"/>
      <c r="AC662" s="130"/>
      <c r="AE662" s="106"/>
    </row>
    <row r="663">
      <c r="C663" s="79"/>
      <c r="D663" s="79"/>
      <c r="E663" s="79"/>
      <c r="P663" s="79"/>
      <c r="Q663" s="79"/>
      <c r="R663" s="79"/>
      <c r="Y663" s="79"/>
      <c r="AC663" s="130"/>
      <c r="AE663" s="106"/>
    </row>
    <row r="664">
      <c r="C664" s="79"/>
      <c r="D664" s="79"/>
      <c r="E664" s="79"/>
      <c r="P664" s="79"/>
      <c r="Q664" s="79"/>
      <c r="R664" s="79"/>
      <c r="Y664" s="79"/>
      <c r="AC664" s="130"/>
      <c r="AE664" s="106"/>
    </row>
    <row r="665">
      <c r="C665" s="79"/>
      <c r="D665" s="79"/>
      <c r="E665" s="79"/>
      <c r="P665" s="79"/>
      <c r="Q665" s="79"/>
      <c r="R665" s="79"/>
      <c r="Y665" s="79"/>
      <c r="AC665" s="130"/>
      <c r="AE665" s="106"/>
    </row>
    <row r="666">
      <c r="C666" s="79"/>
      <c r="D666" s="79"/>
      <c r="E666" s="79"/>
      <c r="P666" s="79"/>
      <c r="Q666" s="79"/>
      <c r="R666" s="79"/>
      <c r="Y666" s="79"/>
      <c r="AC666" s="130"/>
      <c r="AE666" s="106"/>
    </row>
    <row r="667">
      <c r="C667" s="79"/>
      <c r="D667" s="79"/>
      <c r="E667" s="79"/>
      <c r="P667" s="79"/>
      <c r="Q667" s="79"/>
      <c r="R667" s="79"/>
      <c r="Y667" s="79"/>
      <c r="AC667" s="130"/>
      <c r="AE667" s="106"/>
    </row>
    <row r="668">
      <c r="C668" s="79"/>
      <c r="D668" s="79"/>
      <c r="E668" s="79"/>
      <c r="P668" s="79"/>
      <c r="Q668" s="79"/>
      <c r="R668" s="79"/>
      <c r="Y668" s="79"/>
      <c r="AC668" s="130"/>
      <c r="AE668" s="106"/>
    </row>
    <row r="669">
      <c r="C669" s="79"/>
      <c r="D669" s="79"/>
      <c r="E669" s="79"/>
      <c r="P669" s="79"/>
      <c r="Q669" s="79"/>
      <c r="R669" s="79"/>
      <c r="Y669" s="79"/>
      <c r="AC669" s="130"/>
      <c r="AE669" s="106"/>
    </row>
    <row r="670">
      <c r="C670" s="79"/>
      <c r="D670" s="79"/>
      <c r="E670" s="79"/>
      <c r="P670" s="79"/>
      <c r="Q670" s="79"/>
      <c r="R670" s="79"/>
      <c r="Y670" s="79"/>
      <c r="AC670" s="130"/>
      <c r="AE670" s="106"/>
    </row>
    <row r="671">
      <c r="C671" s="79"/>
      <c r="D671" s="79"/>
      <c r="E671" s="79"/>
      <c r="P671" s="79"/>
      <c r="Q671" s="79"/>
      <c r="R671" s="79"/>
      <c r="Y671" s="79"/>
      <c r="AC671" s="130"/>
      <c r="AE671" s="106"/>
    </row>
    <row r="672">
      <c r="C672" s="79"/>
      <c r="D672" s="79"/>
      <c r="E672" s="79"/>
      <c r="P672" s="79"/>
      <c r="Q672" s="79"/>
      <c r="R672" s="79"/>
      <c r="Y672" s="79"/>
      <c r="AC672" s="130"/>
      <c r="AE672" s="106"/>
    </row>
    <row r="673">
      <c r="C673" s="79"/>
      <c r="D673" s="79"/>
      <c r="E673" s="79"/>
      <c r="P673" s="79"/>
      <c r="Q673" s="79"/>
      <c r="R673" s="79"/>
      <c r="Y673" s="79"/>
      <c r="AC673" s="130"/>
      <c r="AE673" s="106"/>
    </row>
    <row r="674">
      <c r="C674" s="79"/>
      <c r="D674" s="79"/>
      <c r="E674" s="79"/>
      <c r="P674" s="79"/>
      <c r="Q674" s="79"/>
      <c r="R674" s="79"/>
      <c r="Y674" s="79"/>
      <c r="AC674" s="130"/>
      <c r="AE674" s="106"/>
    </row>
    <row r="675">
      <c r="C675" s="79"/>
      <c r="D675" s="79"/>
      <c r="E675" s="79"/>
      <c r="P675" s="79"/>
      <c r="Q675" s="79"/>
      <c r="R675" s="79"/>
      <c r="Y675" s="79"/>
      <c r="AC675" s="130"/>
      <c r="AE675" s="106"/>
    </row>
    <row r="676">
      <c r="C676" s="79"/>
      <c r="D676" s="79"/>
      <c r="E676" s="79"/>
      <c r="P676" s="79"/>
      <c r="Q676" s="79"/>
      <c r="R676" s="79"/>
      <c r="Y676" s="79"/>
      <c r="AC676" s="130"/>
      <c r="AE676" s="106"/>
    </row>
    <row r="677">
      <c r="C677" s="79"/>
      <c r="D677" s="79"/>
      <c r="E677" s="79"/>
      <c r="P677" s="79"/>
      <c r="Q677" s="79"/>
      <c r="R677" s="79"/>
      <c r="Y677" s="79"/>
      <c r="AC677" s="130"/>
      <c r="AE677" s="106"/>
    </row>
    <row r="678">
      <c r="C678" s="79"/>
      <c r="D678" s="79"/>
      <c r="E678" s="79"/>
      <c r="P678" s="79"/>
      <c r="Q678" s="79"/>
      <c r="R678" s="79"/>
      <c r="Y678" s="79"/>
      <c r="AC678" s="130"/>
      <c r="AE678" s="106"/>
    </row>
    <row r="679">
      <c r="C679" s="79"/>
      <c r="D679" s="79"/>
      <c r="E679" s="79"/>
      <c r="P679" s="79"/>
      <c r="Q679" s="79"/>
      <c r="R679" s="79"/>
      <c r="Y679" s="79"/>
      <c r="AC679" s="130"/>
      <c r="AE679" s="106"/>
    </row>
    <row r="680">
      <c r="C680" s="79"/>
      <c r="D680" s="79"/>
      <c r="E680" s="79"/>
      <c r="P680" s="79"/>
      <c r="Q680" s="79"/>
      <c r="R680" s="79"/>
      <c r="Y680" s="79"/>
      <c r="AC680" s="130"/>
      <c r="AE680" s="106"/>
    </row>
    <row r="681">
      <c r="C681" s="79"/>
      <c r="D681" s="79"/>
      <c r="E681" s="79"/>
      <c r="P681" s="79"/>
      <c r="Q681" s="79"/>
      <c r="R681" s="79"/>
      <c r="Y681" s="79"/>
      <c r="AC681" s="130"/>
      <c r="AE681" s="106"/>
    </row>
    <row r="682">
      <c r="C682" s="79"/>
      <c r="D682" s="79"/>
      <c r="E682" s="79"/>
      <c r="P682" s="79"/>
      <c r="Q682" s="79"/>
      <c r="R682" s="79"/>
      <c r="Y682" s="79"/>
      <c r="AC682" s="130"/>
      <c r="AE682" s="106"/>
    </row>
    <row r="683">
      <c r="C683" s="79"/>
      <c r="D683" s="79"/>
      <c r="E683" s="79"/>
      <c r="P683" s="79"/>
      <c r="Q683" s="79"/>
      <c r="R683" s="79"/>
      <c r="Y683" s="79"/>
      <c r="AC683" s="130"/>
      <c r="AE683" s="106"/>
    </row>
    <row r="684">
      <c r="C684" s="79"/>
      <c r="D684" s="79"/>
      <c r="E684" s="79"/>
      <c r="P684" s="79"/>
      <c r="Q684" s="79"/>
      <c r="R684" s="79"/>
      <c r="Y684" s="79"/>
      <c r="AC684" s="130"/>
      <c r="AE684" s="106"/>
    </row>
    <row r="685">
      <c r="C685" s="79"/>
      <c r="D685" s="79"/>
      <c r="E685" s="79"/>
      <c r="P685" s="79"/>
      <c r="Q685" s="79"/>
      <c r="R685" s="79"/>
      <c r="Y685" s="79"/>
      <c r="AC685" s="130"/>
      <c r="AE685" s="106"/>
    </row>
    <row r="686">
      <c r="C686" s="79"/>
      <c r="D686" s="79"/>
      <c r="E686" s="79"/>
      <c r="P686" s="79"/>
      <c r="Q686" s="79"/>
      <c r="R686" s="79"/>
      <c r="Y686" s="79"/>
      <c r="AC686" s="130"/>
      <c r="AE686" s="106"/>
    </row>
    <row r="687">
      <c r="C687" s="79"/>
      <c r="D687" s="79"/>
      <c r="E687" s="79"/>
      <c r="P687" s="79"/>
      <c r="Q687" s="79"/>
      <c r="R687" s="79"/>
      <c r="Y687" s="79"/>
      <c r="AC687" s="130"/>
      <c r="AE687" s="106"/>
    </row>
    <row r="688">
      <c r="C688" s="79"/>
      <c r="D688" s="79"/>
      <c r="E688" s="79"/>
      <c r="P688" s="79"/>
      <c r="Q688" s="79"/>
      <c r="R688" s="79"/>
      <c r="Y688" s="79"/>
      <c r="AC688" s="130"/>
      <c r="AE688" s="106"/>
    </row>
    <row r="689">
      <c r="C689" s="79"/>
      <c r="D689" s="79"/>
      <c r="E689" s="79"/>
      <c r="P689" s="79"/>
      <c r="Q689" s="79"/>
      <c r="R689" s="79"/>
      <c r="Y689" s="79"/>
      <c r="AC689" s="130"/>
      <c r="AE689" s="106"/>
    </row>
    <row r="690">
      <c r="C690" s="79"/>
      <c r="D690" s="79"/>
      <c r="E690" s="79"/>
      <c r="P690" s="79"/>
      <c r="Q690" s="79"/>
      <c r="R690" s="79"/>
      <c r="Y690" s="79"/>
      <c r="AC690" s="130"/>
      <c r="AE690" s="106"/>
    </row>
    <row r="691">
      <c r="C691" s="79"/>
      <c r="D691" s="79"/>
      <c r="E691" s="79"/>
      <c r="P691" s="79"/>
      <c r="Q691" s="79"/>
      <c r="R691" s="79"/>
      <c r="Y691" s="79"/>
      <c r="AC691" s="130"/>
      <c r="AE691" s="106"/>
    </row>
    <row r="692">
      <c r="C692" s="79"/>
      <c r="D692" s="79"/>
      <c r="E692" s="79"/>
      <c r="P692" s="79"/>
      <c r="Q692" s="79"/>
      <c r="R692" s="79"/>
      <c r="Y692" s="79"/>
      <c r="AC692" s="130"/>
      <c r="AE692" s="106"/>
    </row>
    <row r="693">
      <c r="C693" s="79"/>
      <c r="D693" s="79"/>
      <c r="E693" s="79"/>
      <c r="P693" s="79"/>
      <c r="Q693" s="79"/>
      <c r="R693" s="79"/>
      <c r="Y693" s="79"/>
      <c r="AC693" s="130"/>
      <c r="AE693" s="106"/>
    </row>
    <row r="694">
      <c r="C694" s="79"/>
      <c r="D694" s="79"/>
      <c r="E694" s="79"/>
      <c r="P694" s="79"/>
      <c r="Q694" s="79"/>
      <c r="R694" s="79"/>
      <c r="Y694" s="79"/>
      <c r="AC694" s="130"/>
      <c r="AE694" s="106"/>
    </row>
    <row r="695">
      <c r="C695" s="79"/>
      <c r="D695" s="79"/>
      <c r="E695" s="79"/>
      <c r="P695" s="79"/>
      <c r="Q695" s="79"/>
      <c r="R695" s="79"/>
      <c r="Y695" s="79"/>
      <c r="AC695" s="130"/>
      <c r="AE695" s="106"/>
    </row>
    <row r="696">
      <c r="C696" s="79"/>
      <c r="D696" s="79"/>
      <c r="E696" s="79"/>
      <c r="P696" s="79"/>
      <c r="Q696" s="79"/>
      <c r="R696" s="79"/>
      <c r="Y696" s="79"/>
      <c r="AC696" s="130"/>
      <c r="AE696" s="106"/>
    </row>
    <row r="697">
      <c r="C697" s="79"/>
      <c r="D697" s="79"/>
      <c r="E697" s="79"/>
      <c r="P697" s="79"/>
      <c r="Q697" s="79"/>
      <c r="R697" s="79"/>
      <c r="Y697" s="79"/>
      <c r="AC697" s="130"/>
      <c r="AE697" s="106"/>
    </row>
    <row r="698">
      <c r="C698" s="79"/>
      <c r="D698" s="79"/>
      <c r="E698" s="79"/>
      <c r="P698" s="79"/>
      <c r="Q698" s="79"/>
      <c r="R698" s="79"/>
      <c r="Y698" s="79"/>
      <c r="AC698" s="130"/>
      <c r="AE698" s="106"/>
    </row>
    <row r="699">
      <c r="C699" s="79"/>
      <c r="D699" s="79"/>
      <c r="E699" s="79"/>
      <c r="P699" s="79"/>
      <c r="Q699" s="79"/>
      <c r="R699" s="79"/>
      <c r="Y699" s="79"/>
      <c r="AC699" s="130"/>
      <c r="AE699" s="106"/>
    </row>
    <row r="700">
      <c r="C700" s="79"/>
      <c r="D700" s="79"/>
      <c r="E700" s="79"/>
      <c r="P700" s="79"/>
      <c r="Q700" s="79"/>
      <c r="R700" s="79"/>
      <c r="Y700" s="79"/>
      <c r="AC700" s="130"/>
      <c r="AE700" s="106"/>
    </row>
    <row r="701">
      <c r="C701" s="79"/>
      <c r="D701" s="79"/>
      <c r="E701" s="79"/>
      <c r="P701" s="79"/>
      <c r="Q701" s="79"/>
      <c r="R701" s="79"/>
      <c r="Y701" s="79"/>
      <c r="AC701" s="130"/>
      <c r="AE701" s="106"/>
    </row>
    <row r="702">
      <c r="C702" s="79"/>
      <c r="D702" s="79"/>
      <c r="E702" s="79"/>
      <c r="P702" s="79"/>
      <c r="Q702" s="79"/>
      <c r="R702" s="79"/>
      <c r="Y702" s="79"/>
      <c r="AC702" s="130"/>
      <c r="AE702" s="106"/>
    </row>
    <row r="703">
      <c r="C703" s="79"/>
      <c r="D703" s="79"/>
      <c r="E703" s="79"/>
      <c r="P703" s="79"/>
      <c r="Q703" s="79"/>
      <c r="R703" s="79"/>
      <c r="Y703" s="79"/>
      <c r="AC703" s="130"/>
      <c r="AE703" s="106"/>
    </row>
    <row r="704">
      <c r="C704" s="79"/>
      <c r="D704" s="79"/>
      <c r="E704" s="79"/>
      <c r="P704" s="79"/>
      <c r="Q704" s="79"/>
      <c r="R704" s="79"/>
      <c r="Y704" s="79"/>
      <c r="AC704" s="130"/>
      <c r="AE704" s="106"/>
    </row>
    <row r="705">
      <c r="C705" s="79"/>
      <c r="D705" s="79"/>
      <c r="E705" s="79"/>
      <c r="P705" s="79"/>
      <c r="Q705" s="79"/>
      <c r="R705" s="79"/>
      <c r="Y705" s="79"/>
      <c r="AC705" s="130"/>
      <c r="AE705" s="106"/>
    </row>
    <row r="706">
      <c r="C706" s="79"/>
      <c r="D706" s="79"/>
      <c r="E706" s="79"/>
      <c r="P706" s="79"/>
      <c r="Q706" s="79"/>
      <c r="R706" s="79"/>
      <c r="Y706" s="79"/>
      <c r="AC706" s="130"/>
      <c r="AE706" s="106"/>
    </row>
    <row r="707">
      <c r="C707" s="79"/>
      <c r="D707" s="79"/>
      <c r="E707" s="79"/>
      <c r="P707" s="79"/>
      <c r="Q707" s="79"/>
      <c r="R707" s="79"/>
      <c r="Y707" s="79"/>
      <c r="AC707" s="130"/>
      <c r="AE707" s="106"/>
    </row>
    <row r="708">
      <c r="C708" s="79"/>
      <c r="D708" s="79"/>
      <c r="E708" s="79"/>
      <c r="P708" s="79"/>
      <c r="Q708" s="79"/>
      <c r="R708" s="79"/>
      <c r="Y708" s="79"/>
      <c r="AC708" s="130"/>
      <c r="AE708" s="106"/>
    </row>
    <row r="709">
      <c r="C709" s="79"/>
      <c r="D709" s="79"/>
      <c r="E709" s="79"/>
      <c r="P709" s="79"/>
      <c r="Q709" s="79"/>
      <c r="R709" s="79"/>
      <c r="Y709" s="79"/>
      <c r="AC709" s="130"/>
      <c r="AE709" s="106"/>
    </row>
    <row r="710">
      <c r="C710" s="79"/>
      <c r="D710" s="79"/>
      <c r="E710" s="79"/>
      <c r="P710" s="79"/>
      <c r="Q710" s="79"/>
      <c r="R710" s="79"/>
      <c r="Y710" s="79"/>
      <c r="AC710" s="130"/>
      <c r="AE710" s="106"/>
    </row>
    <row r="711">
      <c r="C711" s="79"/>
      <c r="D711" s="79"/>
      <c r="E711" s="79"/>
      <c r="P711" s="79"/>
      <c r="Q711" s="79"/>
      <c r="R711" s="79"/>
      <c r="Y711" s="79"/>
      <c r="AC711" s="130"/>
      <c r="AE711" s="106"/>
    </row>
    <row r="712">
      <c r="C712" s="79"/>
      <c r="D712" s="79"/>
      <c r="E712" s="79"/>
      <c r="P712" s="79"/>
      <c r="Q712" s="79"/>
      <c r="R712" s="79"/>
      <c r="Y712" s="79"/>
      <c r="AC712" s="130"/>
      <c r="AE712" s="106"/>
    </row>
    <row r="713">
      <c r="C713" s="79"/>
      <c r="D713" s="79"/>
      <c r="E713" s="79"/>
      <c r="P713" s="79"/>
      <c r="Q713" s="79"/>
      <c r="R713" s="79"/>
      <c r="Y713" s="79"/>
      <c r="AC713" s="130"/>
      <c r="AE713" s="106"/>
    </row>
    <row r="714">
      <c r="C714" s="79"/>
      <c r="D714" s="79"/>
      <c r="E714" s="79"/>
      <c r="P714" s="79"/>
      <c r="Q714" s="79"/>
      <c r="R714" s="79"/>
      <c r="Y714" s="79"/>
      <c r="AC714" s="130"/>
      <c r="AE714" s="106"/>
    </row>
    <row r="715">
      <c r="C715" s="79"/>
      <c r="D715" s="79"/>
      <c r="E715" s="79"/>
      <c r="P715" s="79"/>
      <c r="Q715" s="79"/>
      <c r="R715" s="79"/>
      <c r="Y715" s="79"/>
      <c r="AC715" s="130"/>
      <c r="AE715" s="106"/>
    </row>
    <row r="716">
      <c r="C716" s="79"/>
      <c r="D716" s="79"/>
      <c r="E716" s="79"/>
      <c r="P716" s="79"/>
      <c r="Q716" s="79"/>
      <c r="R716" s="79"/>
      <c r="Y716" s="79"/>
      <c r="AC716" s="130"/>
      <c r="AE716" s="106"/>
    </row>
    <row r="717">
      <c r="C717" s="79"/>
      <c r="D717" s="79"/>
      <c r="E717" s="79"/>
      <c r="P717" s="79"/>
      <c r="Q717" s="79"/>
      <c r="R717" s="79"/>
      <c r="Y717" s="79"/>
      <c r="AC717" s="130"/>
      <c r="AE717" s="106"/>
    </row>
    <row r="718">
      <c r="C718" s="79"/>
      <c r="D718" s="79"/>
      <c r="E718" s="79"/>
      <c r="P718" s="79"/>
      <c r="Q718" s="79"/>
      <c r="R718" s="79"/>
      <c r="Y718" s="79"/>
      <c r="AC718" s="130"/>
      <c r="AE718" s="106"/>
    </row>
    <row r="719">
      <c r="C719" s="79"/>
      <c r="D719" s="79"/>
      <c r="E719" s="79"/>
      <c r="P719" s="79"/>
      <c r="Q719" s="79"/>
      <c r="R719" s="79"/>
      <c r="Y719" s="79"/>
      <c r="AC719" s="130"/>
      <c r="AE719" s="106"/>
    </row>
    <row r="720">
      <c r="C720" s="79"/>
      <c r="D720" s="79"/>
      <c r="E720" s="79"/>
      <c r="P720" s="79"/>
      <c r="Q720" s="79"/>
      <c r="R720" s="79"/>
      <c r="Y720" s="79"/>
      <c r="AC720" s="130"/>
      <c r="AE720" s="106"/>
    </row>
    <row r="721">
      <c r="C721" s="79"/>
      <c r="D721" s="79"/>
      <c r="E721" s="79"/>
      <c r="P721" s="79"/>
      <c r="Q721" s="79"/>
      <c r="R721" s="79"/>
      <c r="Y721" s="79"/>
      <c r="AC721" s="130"/>
      <c r="AE721" s="106"/>
    </row>
    <row r="722">
      <c r="C722" s="79"/>
      <c r="D722" s="79"/>
      <c r="E722" s="79"/>
      <c r="P722" s="79"/>
      <c r="Q722" s="79"/>
      <c r="R722" s="79"/>
      <c r="Y722" s="79"/>
      <c r="AC722" s="130"/>
      <c r="AE722" s="106"/>
    </row>
    <row r="723">
      <c r="C723" s="79"/>
      <c r="D723" s="79"/>
      <c r="E723" s="79"/>
      <c r="P723" s="79"/>
      <c r="Q723" s="79"/>
      <c r="R723" s="79"/>
      <c r="Y723" s="79"/>
      <c r="AC723" s="130"/>
      <c r="AE723" s="106"/>
    </row>
    <row r="724">
      <c r="C724" s="79"/>
      <c r="D724" s="79"/>
      <c r="E724" s="79"/>
      <c r="P724" s="79"/>
      <c r="Q724" s="79"/>
      <c r="R724" s="79"/>
      <c r="Y724" s="79"/>
      <c r="AC724" s="130"/>
      <c r="AE724" s="106"/>
    </row>
    <row r="725">
      <c r="C725" s="79"/>
      <c r="D725" s="79"/>
      <c r="E725" s="79"/>
      <c r="P725" s="79"/>
      <c r="Q725" s="79"/>
      <c r="R725" s="79"/>
      <c r="Y725" s="79"/>
      <c r="AC725" s="130"/>
      <c r="AE725" s="106"/>
    </row>
    <row r="726">
      <c r="C726" s="79"/>
      <c r="D726" s="79"/>
      <c r="E726" s="79"/>
      <c r="P726" s="79"/>
      <c r="Q726" s="79"/>
      <c r="R726" s="79"/>
      <c r="Y726" s="79"/>
      <c r="AC726" s="130"/>
      <c r="AE726" s="106"/>
    </row>
    <row r="727">
      <c r="C727" s="79"/>
      <c r="D727" s="79"/>
      <c r="E727" s="79"/>
      <c r="P727" s="79"/>
      <c r="Q727" s="79"/>
      <c r="R727" s="79"/>
      <c r="Y727" s="79"/>
      <c r="AC727" s="130"/>
      <c r="AE727" s="106"/>
    </row>
    <row r="728">
      <c r="C728" s="79"/>
      <c r="D728" s="79"/>
      <c r="E728" s="79"/>
      <c r="P728" s="79"/>
      <c r="Q728" s="79"/>
      <c r="R728" s="79"/>
      <c r="Y728" s="79"/>
      <c r="AC728" s="130"/>
      <c r="AE728" s="106"/>
    </row>
    <row r="729">
      <c r="C729" s="79"/>
      <c r="D729" s="79"/>
      <c r="E729" s="79"/>
      <c r="P729" s="79"/>
      <c r="Q729" s="79"/>
      <c r="R729" s="79"/>
      <c r="Y729" s="79"/>
      <c r="AC729" s="130"/>
      <c r="AE729" s="106"/>
    </row>
    <row r="730">
      <c r="C730" s="79"/>
      <c r="D730" s="79"/>
      <c r="E730" s="79"/>
      <c r="P730" s="79"/>
      <c r="Q730" s="79"/>
      <c r="R730" s="79"/>
      <c r="Y730" s="79"/>
      <c r="AC730" s="130"/>
      <c r="AE730" s="106"/>
    </row>
    <row r="731">
      <c r="C731" s="79"/>
      <c r="D731" s="79"/>
      <c r="E731" s="79"/>
      <c r="P731" s="79"/>
      <c r="Q731" s="79"/>
      <c r="R731" s="79"/>
      <c r="Y731" s="79"/>
      <c r="AC731" s="130"/>
      <c r="AE731" s="106"/>
    </row>
    <row r="732">
      <c r="C732" s="79"/>
      <c r="D732" s="79"/>
      <c r="E732" s="79"/>
      <c r="P732" s="79"/>
      <c r="Q732" s="79"/>
      <c r="R732" s="79"/>
      <c r="Y732" s="79"/>
      <c r="AC732" s="130"/>
      <c r="AE732" s="106"/>
    </row>
    <row r="733">
      <c r="C733" s="79"/>
      <c r="D733" s="79"/>
      <c r="E733" s="79"/>
      <c r="P733" s="79"/>
      <c r="Q733" s="79"/>
      <c r="R733" s="79"/>
      <c r="Y733" s="79"/>
      <c r="AC733" s="130"/>
      <c r="AE733" s="106"/>
    </row>
    <row r="734">
      <c r="C734" s="79"/>
      <c r="D734" s="79"/>
      <c r="E734" s="79"/>
      <c r="P734" s="79"/>
      <c r="Q734" s="79"/>
      <c r="R734" s="79"/>
      <c r="Y734" s="79"/>
      <c r="AC734" s="130"/>
      <c r="AE734" s="106"/>
    </row>
    <row r="735">
      <c r="C735" s="79"/>
      <c r="D735" s="79"/>
      <c r="E735" s="79"/>
      <c r="P735" s="79"/>
      <c r="Q735" s="79"/>
      <c r="R735" s="79"/>
      <c r="Y735" s="79"/>
      <c r="AC735" s="130"/>
      <c r="AE735" s="106"/>
    </row>
    <row r="736">
      <c r="C736" s="79"/>
      <c r="D736" s="79"/>
      <c r="E736" s="79"/>
      <c r="P736" s="79"/>
      <c r="Q736" s="79"/>
      <c r="R736" s="79"/>
      <c r="Y736" s="79"/>
      <c r="AC736" s="130"/>
      <c r="AE736" s="106"/>
    </row>
    <row r="737">
      <c r="C737" s="79"/>
      <c r="D737" s="79"/>
      <c r="E737" s="79"/>
      <c r="P737" s="79"/>
      <c r="Q737" s="79"/>
      <c r="R737" s="79"/>
      <c r="Y737" s="79"/>
      <c r="AC737" s="130"/>
      <c r="AE737" s="106"/>
    </row>
    <row r="738">
      <c r="C738" s="79"/>
      <c r="D738" s="79"/>
      <c r="E738" s="79"/>
      <c r="P738" s="79"/>
      <c r="Q738" s="79"/>
      <c r="R738" s="79"/>
      <c r="Y738" s="79"/>
      <c r="AC738" s="130"/>
      <c r="AE738" s="106"/>
    </row>
    <row r="739">
      <c r="C739" s="79"/>
      <c r="D739" s="79"/>
      <c r="E739" s="79"/>
      <c r="P739" s="79"/>
      <c r="Q739" s="79"/>
      <c r="R739" s="79"/>
      <c r="Y739" s="79"/>
      <c r="AC739" s="130"/>
      <c r="AE739" s="106"/>
    </row>
    <row r="740">
      <c r="C740" s="79"/>
      <c r="D740" s="79"/>
      <c r="E740" s="79"/>
      <c r="P740" s="79"/>
      <c r="Q740" s="79"/>
      <c r="R740" s="79"/>
      <c r="Y740" s="79"/>
      <c r="AC740" s="130"/>
      <c r="AE740" s="106"/>
    </row>
    <row r="741">
      <c r="C741" s="79"/>
      <c r="D741" s="79"/>
      <c r="E741" s="79"/>
      <c r="P741" s="79"/>
      <c r="Q741" s="79"/>
      <c r="R741" s="79"/>
      <c r="Y741" s="79"/>
      <c r="AC741" s="130"/>
      <c r="AE741" s="106"/>
    </row>
    <row r="742">
      <c r="C742" s="79"/>
      <c r="D742" s="79"/>
      <c r="E742" s="79"/>
      <c r="P742" s="79"/>
      <c r="Q742" s="79"/>
      <c r="R742" s="79"/>
      <c r="Y742" s="79"/>
      <c r="AC742" s="130"/>
      <c r="AE742" s="106"/>
    </row>
    <row r="743">
      <c r="C743" s="79"/>
      <c r="D743" s="79"/>
      <c r="E743" s="79"/>
      <c r="P743" s="79"/>
      <c r="Q743" s="79"/>
      <c r="R743" s="79"/>
      <c r="Y743" s="79"/>
      <c r="AC743" s="130"/>
      <c r="AE743" s="106"/>
    </row>
    <row r="744">
      <c r="C744" s="79"/>
      <c r="D744" s="79"/>
      <c r="E744" s="79"/>
      <c r="P744" s="79"/>
      <c r="Q744" s="79"/>
      <c r="R744" s="79"/>
      <c r="Y744" s="79"/>
      <c r="AC744" s="130"/>
      <c r="AE744" s="106"/>
    </row>
    <row r="745">
      <c r="C745" s="79"/>
      <c r="D745" s="79"/>
      <c r="E745" s="79"/>
      <c r="P745" s="79"/>
      <c r="Q745" s="79"/>
      <c r="R745" s="79"/>
      <c r="Y745" s="79"/>
      <c r="AC745" s="130"/>
      <c r="AE745" s="106"/>
    </row>
    <row r="746">
      <c r="C746" s="79"/>
      <c r="D746" s="79"/>
      <c r="E746" s="79"/>
      <c r="P746" s="79"/>
      <c r="Q746" s="79"/>
      <c r="R746" s="79"/>
      <c r="Y746" s="79"/>
      <c r="AC746" s="130"/>
      <c r="AE746" s="106"/>
    </row>
    <row r="747">
      <c r="C747" s="79"/>
      <c r="D747" s="79"/>
      <c r="E747" s="79"/>
      <c r="P747" s="79"/>
      <c r="Q747" s="79"/>
      <c r="R747" s="79"/>
      <c r="Y747" s="79"/>
      <c r="AC747" s="130"/>
      <c r="AE747" s="106"/>
    </row>
    <row r="748">
      <c r="C748" s="79"/>
      <c r="D748" s="79"/>
      <c r="E748" s="79"/>
      <c r="P748" s="79"/>
      <c r="Q748" s="79"/>
      <c r="R748" s="79"/>
      <c r="Y748" s="79"/>
      <c r="AC748" s="130"/>
      <c r="AE748" s="106"/>
    </row>
    <row r="749">
      <c r="C749" s="79"/>
      <c r="D749" s="79"/>
      <c r="E749" s="79"/>
      <c r="P749" s="79"/>
      <c r="Q749" s="79"/>
      <c r="R749" s="79"/>
      <c r="Y749" s="79"/>
      <c r="AC749" s="130"/>
      <c r="AE749" s="106"/>
    </row>
    <row r="750">
      <c r="C750" s="79"/>
      <c r="D750" s="79"/>
      <c r="E750" s="79"/>
      <c r="P750" s="79"/>
      <c r="Q750" s="79"/>
      <c r="R750" s="79"/>
      <c r="Y750" s="79"/>
      <c r="AC750" s="130"/>
      <c r="AE750" s="106"/>
    </row>
    <row r="751">
      <c r="C751" s="79"/>
      <c r="D751" s="79"/>
      <c r="E751" s="79"/>
      <c r="P751" s="79"/>
      <c r="Q751" s="79"/>
      <c r="R751" s="79"/>
      <c r="Y751" s="79"/>
      <c r="AC751" s="130"/>
      <c r="AE751" s="106"/>
    </row>
    <row r="752">
      <c r="C752" s="79"/>
      <c r="D752" s="79"/>
      <c r="E752" s="79"/>
      <c r="P752" s="79"/>
      <c r="Q752" s="79"/>
      <c r="R752" s="79"/>
      <c r="Y752" s="79"/>
      <c r="AC752" s="130"/>
      <c r="AE752" s="106"/>
    </row>
    <row r="753">
      <c r="C753" s="79"/>
      <c r="D753" s="79"/>
      <c r="E753" s="79"/>
      <c r="P753" s="79"/>
      <c r="Q753" s="79"/>
      <c r="R753" s="79"/>
      <c r="Y753" s="79"/>
      <c r="AC753" s="130"/>
      <c r="AE753" s="106"/>
    </row>
    <row r="754">
      <c r="C754" s="79"/>
      <c r="D754" s="79"/>
      <c r="E754" s="79"/>
      <c r="P754" s="79"/>
      <c r="Q754" s="79"/>
      <c r="R754" s="79"/>
      <c r="Y754" s="79"/>
      <c r="AC754" s="130"/>
      <c r="AE754" s="106"/>
    </row>
    <row r="755">
      <c r="C755" s="79"/>
      <c r="D755" s="79"/>
      <c r="E755" s="79"/>
      <c r="P755" s="79"/>
      <c r="Q755" s="79"/>
      <c r="R755" s="79"/>
      <c r="Y755" s="79"/>
      <c r="AC755" s="130"/>
      <c r="AE755" s="106"/>
    </row>
    <row r="756">
      <c r="C756" s="79"/>
      <c r="D756" s="79"/>
      <c r="E756" s="79"/>
      <c r="P756" s="79"/>
      <c r="Q756" s="79"/>
      <c r="R756" s="79"/>
      <c r="Y756" s="79"/>
      <c r="AC756" s="130"/>
      <c r="AE756" s="106"/>
    </row>
    <row r="757">
      <c r="C757" s="79"/>
      <c r="D757" s="79"/>
      <c r="E757" s="79"/>
      <c r="P757" s="79"/>
      <c r="Q757" s="79"/>
      <c r="R757" s="79"/>
      <c r="Y757" s="79"/>
      <c r="AC757" s="130"/>
      <c r="AE757" s="106"/>
    </row>
    <row r="758">
      <c r="C758" s="79"/>
      <c r="D758" s="79"/>
      <c r="E758" s="79"/>
      <c r="P758" s="79"/>
      <c r="Q758" s="79"/>
      <c r="R758" s="79"/>
      <c r="Y758" s="79"/>
      <c r="AC758" s="130"/>
      <c r="AE758" s="106"/>
    </row>
    <row r="759">
      <c r="C759" s="79"/>
      <c r="D759" s="79"/>
      <c r="E759" s="79"/>
      <c r="P759" s="79"/>
      <c r="Q759" s="79"/>
      <c r="R759" s="79"/>
      <c r="Y759" s="79"/>
      <c r="AC759" s="130"/>
      <c r="AE759" s="106"/>
    </row>
    <row r="760">
      <c r="C760" s="79"/>
      <c r="D760" s="79"/>
      <c r="E760" s="79"/>
      <c r="P760" s="79"/>
      <c r="Q760" s="79"/>
      <c r="R760" s="79"/>
      <c r="Y760" s="79"/>
      <c r="AC760" s="130"/>
      <c r="AE760" s="106"/>
    </row>
    <row r="761">
      <c r="C761" s="79"/>
      <c r="D761" s="79"/>
      <c r="E761" s="79"/>
      <c r="P761" s="79"/>
      <c r="Q761" s="79"/>
      <c r="R761" s="79"/>
      <c r="Y761" s="79"/>
      <c r="AC761" s="130"/>
      <c r="AE761" s="106"/>
    </row>
    <row r="762">
      <c r="C762" s="79"/>
      <c r="D762" s="79"/>
      <c r="E762" s="79"/>
      <c r="P762" s="79"/>
      <c r="Q762" s="79"/>
      <c r="R762" s="79"/>
      <c r="Y762" s="79"/>
      <c r="AC762" s="130"/>
      <c r="AE762" s="106"/>
    </row>
    <row r="763">
      <c r="C763" s="79"/>
      <c r="D763" s="79"/>
      <c r="E763" s="79"/>
      <c r="P763" s="79"/>
      <c r="Q763" s="79"/>
      <c r="R763" s="79"/>
      <c r="Y763" s="79"/>
      <c r="AC763" s="130"/>
      <c r="AE763" s="106"/>
    </row>
    <row r="764">
      <c r="C764" s="79"/>
      <c r="D764" s="79"/>
      <c r="E764" s="79"/>
      <c r="P764" s="79"/>
      <c r="Q764" s="79"/>
      <c r="R764" s="79"/>
      <c r="Y764" s="79"/>
      <c r="AC764" s="130"/>
      <c r="AE764" s="106"/>
    </row>
    <row r="765">
      <c r="C765" s="79"/>
      <c r="D765" s="79"/>
      <c r="E765" s="79"/>
      <c r="P765" s="79"/>
      <c r="Q765" s="79"/>
      <c r="R765" s="79"/>
      <c r="Y765" s="79"/>
      <c r="AC765" s="130"/>
      <c r="AE765" s="106"/>
    </row>
    <row r="766">
      <c r="C766" s="79"/>
      <c r="D766" s="79"/>
      <c r="E766" s="79"/>
      <c r="P766" s="79"/>
      <c r="Q766" s="79"/>
      <c r="R766" s="79"/>
      <c r="Y766" s="79"/>
      <c r="AC766" s="130"/>
      <c r="AE766" s="106"/>
    </row>
    <row r="767">
      <c r="C767" s="79"/>
      <c r="D767" s="79"/>
      <c r="E767" s="79"/>
      <c r="P767" s="79"/>
      <c r="Q767" s="79"/>
      <c r="R767" s="79"/>
      <c r="Y767" s="79"/>
      <c r="AC767" s="130"/>
      <c r="AE767" s="106"/>
    </row>
    <row r="768">
      <c r="C768" s="79"/>
      <c r="D768" s="79"/>
      <c r="E768" s="79"/>
      <c r="P768" s="79"/>
      <c r="Q768" s="79"/>
      <c r="R768" s="79"/>
      <c r="Y768" s="79"/>
      <c r="AC768" s="130"/>
      <c r="AE768" s="106"/>
    </row>
    <row r="769">
      <c r="C769" s="79"/>
      <c r="D769" s="79"/>
      <c r="E769" s="79"/>
      <c r="P769" s="79"/>
      <c r="Q769" s="79"/>
      <c r="R769" s="79"/>
      <c r="Y769" s="79"/>
      <c r="AC769" s="130"/>
      <c r="AE769" s="106"/>
    </row>
    <row r="770">
      <c r="C770" s="79"/>
      <c r="D770" s="79"/>
      <c r="E770" s="79"/>
      <c r="P770" s="79"/>
      <c r="Q770" s="79"/>
      <c r="R770" s="79"/>
      <c r="Y770" s="79"/>
      <c r="AC770" s="130"/>
      <c r="AE770" s="106"/>
    </row>
    <row r="771">
      <c r="C771" s="79"/>
      <c r="D771" s="79"/>
      <c r="E771" s="79"/>
      <c r="P771" s="79"/>
      <c r="Q771" s="79"/>
      <c r="R771" s="79"/>
      <c r="Y771" s="79"/>
      <c r="AC771" s="130"/>
      <c r="AE771" s="106"/>
    </row>
    <row r="772">
      <c r="C772" s="79"/>
      <c r="D772" s="79"/>
      <c r="E772" s="79"/>
      <c r="P772" s="79"/>
      <c r="Q772" s="79"/>
      <c r="R772" s="79"/>
      <c r="Y772" s="79"/>
      <c r="AC772" s="130"/>
      <c r="AE772" s="106"/>
    </row>
    <row r="773">
      <c r="C773" s="79"/>
      <c r="D773" s="79"/>
      <c r="E773" s="79"/>
      <c r="P773" s="79"/>
      <c r="Q773" s="79"/>
      <c r="R773" s="79"/>
      <c r="Y773" s="79"/>
      <c r="AC773" s="130"/>
      <c r="AE773" s="106"/>
    </row>
    <row r="774">
      <c r="C774" s="79"/>
      <c r="D774" s="79"/>
      <c r="E774" s="79"/>
      <c r="P774" s="79"/>
      <c r="Q774" s="79"/>
      <c r="R774" s="79"/>
      <c r="Y774" s="79"/>
      <c r="AC774" s="130"/>
      <c r="AE774" s="106"/>
    </row>
    <row r="775">
      <c r="C775" s="79"/>
      <c r="D775" s="79"/>
      <c r="E775" s="79"/>
      <c r="P775" s="79"/>
      <c r="Q775" s="79"/>
      <c r="R775" s="79"/>
      <c r="Y775" s="79"/>
      <c r="AC775" s="130"/>
      <c r="AE775" s="106"/>
    </row>
    <row r="776">
      <c r="C776" s="79"/>
      <c r="D776" s="79"/>
      <c r="E776" s="79"/>
      <c r="P776" s="79"/>
      <c r="Q776" s="79"/>
      <c r="R776" s="79"/>
      <c r="Y776" s="79"/>
      <c r="AC776" s="130"/>
      <c r="AE776" s="106"/>
    </row>
    <row r="777">
      <c r="C777" s="79"/>
      <c r="D777" s="79"/>
      <c r="E777" s="79"/>
      <c r="P777" s="79"/>
      <c r="Q777" s="79"/>
      <c r="R777" s="79"/>
      <c r="Y777" s="79"/>
      <c r="AC777" s="130"/>
      <c r="AE777" s="106"/>
    </row>
    <row r="778">
      <c r="C778" s="79"/>
      <c r="D778" s="79"/>
      <c r="E778" s="79"/>
      <c r="P778" s="79"/>
      <c r="Q778" s="79"/>
      <c r="R778" s="79"/>
      <c r="Y778" s="79"/>
      <c r="AC778" s="130"/>
      <c r="AE778" s="106"/>
    </row>
    <row r="779">
      <c r="C779" s="79"/>
      <c r="D779" s="79"/>
      <c r="E779" s="79"/>
      <c r="P779" s="79"/>
      <c r="Q779" s="79"/>
      <c r="R779" s="79"/>
      <c r="Y779" s="79"/>
      <c r="AC779" s="130"/>
      <c r="AE779" s="106"/>
    </row>
    <row r="780">
      <c r="C780" s="79"/>
      <c r="D780" s="79"/>
      <c r="E780" s="79"/>
      <c r="P780" s="79"/>
      <c r="Q780" s="79"/>
      <c r="R780" s="79"/>
      <c r="Y780" s="79"/>
      <c r="AC780" s="130"/>
      <c r="AE780" s="106"/>
    </row>
    <row r="781">
      <c r="C781" s="79"/>
      <c r="D781" s="79"/>
      <c r="E781" s="79"/>
      <c r="P781" s="79"/>
      <c r="Q781" s="79"/>
      <c r="R781" s="79"/>
      <c r="Y781" s="79"/>
      <c r="AC781" s="130"/>
      <c r="AE781" s="106"/>
    </row>
    <row r="782">
      <c r="C782" s="79"/>
      <c r="D782" s="79"/>
      <c r="E782" s="79"/>
      <c r="P782" s="79"/>
      <c r="Q782" s="79"/>
      <c r="R782" s="79"/>
      <c r="Y782" s="79"/>
      <c r="AC782" s="130"/>
      <c r="AE782" s="106"/>
    </row>
    <row r="783">
      <c r="C783" s="79"/>
      <c r="D783" s="79"/>
      <c r="E783" s="79"/>
      <c r="P783" s="79"/>
      <c r="Q783" s="79"/>
      <c r="R783" s="79"/>
      <c r="Y783" s="79"/>
      <c r="AC783" s="130"/>
      <c r="AE783" s="106"/>
    </row>
    <row r="784">
      <c r="C784" s="79"/>
      <c r="D784" s="79"/>
      <c r="E784" s="79"/>
      <c r="P784" s="79"/>
      <c r="Q784" s="79"/>
      <c r="R784" s="79"/>
      <c r="Y784" s="79"/>
      <c r="AC784" s="130"/>
      <c r="AE784" s="106"/>
    </row>
    <row r="785">
      <c r="C785" s="79"/>
      <c r="D785" s="79"/>
      <c r="E785" s="79"/>
      <c r="P785" s="79"/>
      <c r="Q785" s="79"/>
      <c r="R785" s="79"/>
      <c r="Y785" s="79"/>
      <c r="AC785" s="130"/>
      <c r="AE785" s="106"/>
    </row>
    <row r="786">
      <c r="C786" s="79"/>
      <c r="D786" s="79"/>
      <c r="E786" s="79"/>
      <c r="P786" s="79"/>
      <c r="Q786" s="79"/>
      <c r="R786" s="79"/>
      <c r="Y786" s="79"/>
      <c r="AC786" s="130"/>
      <c r="AE786" s="106"/>
    </row>
    <row r="787">
      <c r="C787" s="79"/>
      <c r="D787" s="79"/>
      <c r="E787" s="79"/>
      <c r="P787" s="79"/>
      <c r="Q787" s="79"/>
      <c r="R787" s="79"/>
      <c r="Y787" s="79"/>
      <c r="AC787" s="130"/>
      <c r="AE787" s="106"/>
    </row>
    <row r="788">
      <c r="C788" s="79"/>
      <c r="D788" s="79"/>
      <c r="E788" s="79"/>
      <c r="P788" s="79"/>
      <c r="Q788" s="79"/>
      <c r="R788" s="79"/>
      <c r="Y788" s="79"/>
      <c r="AC788" s="130"/>
      <c r="AE788" s="106"/>
    </row>
    <row r="789">
      <c r="C789" s="79"/>
      <c r="D789" s="79"/>
      <c r="E789" s="79"/>
      <c r="P789" s="79"/>
      <c r="Q789" s="79"/>
      <c r="R789" s="79"/>
      <c r="Y789" s="79"/>
      <c r="AC789" s="130"/>
      <c r="AE789" s="106"/>
    </row>
    <row r="790">
      <c r="C790" s="79"/>
      <c r="D790" s="79"/>
      <c r="E790" s="79"/>
      <c r="P790" s="79"/>
      <c r="Q790" s="79"/>
      <c r="R790" s="79"/>
      <c r="Y790" s="79"/>
      <c r="AC790" s="130"/>
      <c r="AE790" s="106"/>
    </row>
    <row r="791">
      <c r="C791" s="79"/>
      <c r="D791" s="79"/>
      <c r="E791" s="79"/>
      <c r="P791" s="79"/>
      <c r="Q791" s="79"/>
      <c r="R791" s="79"/>
      <c r="Y791" s="79"/>
      <c r="AC791" s="130"/>
      <c r="AE791" s="106"/>
    </row>
    <row r="792">
      <c r="C792" s="79"/>
      <c r="D792" s="79"/>
      <c r="E792" s="79"/>
      <c r="P792" s="79"/>
      <c r="Q792" s="79"/>
      <c r="R792" s="79"/>
      <c r="Y792" s="79"/>
      <c r="AC792" s="130"/>
      <c r="AE792" s="106"/>
    </row>
    <row r="793">
      <c r="C793" s="79"/>
      <c r="D793" s="79"/>
      <c r="E793" s="79"/>
      <c r="P793" s="79"/>
      <c r="Q793" s="79"/>
      <c r="R793" s="79"/>
      <c r="Y793" s="79"/>
      <c r="AC793" s="130"/>
      <c r="AE793" s="106"/>
    </row>
    <row r="794">
      <c r="C794" s="79"/>
      <c r="D794" s="79"/>
      <c r="E794" s="79"/>
      <c r="P794" s="79"/>
      <c r="Q794" s="79"/>
      <c r="R794" s="79"/>
      <c r="Y794" s="79"/>
      <c r="AC794" s="130"/>
      <c r="AE794" s="106"/>
    </row>
    <row r="795">
      <c r="C795" s="79"/>
      <c r="D795" s="79"/>
      <c r="E795" s="79"/>
      <c r="P795" s="79"/>
      <c r="Q795" s="79"/>
      <c r="R795" s="79"/>
      <c r="Y795" s="79"/>
      <c r="AC795" s="130"/>
      <c r="AE795" s="106"/>
    </row>
    <row r="796">
      <c r="C796" s="79"/>
      <c r="D796" s="79"/>
      <c r="E796" s="79"/>
      <c r="P796" s="79"/>
      <c r="Q796" s="79"/>
      <c r="R796" s="79"/>
      <c r="Y796" s="79"/>
      <c r="AC796" s="130"/>
      <c r="AE796" s="106"/>
    </row>
    <row r="797">
      <c r="C797" s="79"/>
      <c r="D797" s="79"/>
      <c r="E797" s="79"/>
      <c r="P797" s="79"/>
      <c r="Q797" s="79"/>
      <c r="R797" s="79"/>
      <c r="Y797" s="79"/>
      <c r="AC797" s="130"/>
      <c r="AE797" s="106"/>
    </row>
    <row r="798">
      <c r="C798" s="79"/>
      <c r="D798" s="79"/>
      <c r="E798" s="79"/>
      <c r="P798" s="79"/>
      <c r="Q798" s="79"/>
      <c r="R798" s="79"/>
      <c r="Y798" s="79"/>
      <c r="AC798" s="130"/>
      <c r="AE798" s="106"/>
    </row>
    <row r="799">
      <c r="C799" s="79"/>
      <c r="D799" s="79"/>
      <c r="E799" s="79"/>
      <c r="P799" s="79"/>
      <c r="Q799" s="79"/>
      <c r="R799" s="79"/>
      <c r="Y799" s="79"/>
      <c r="AC799" s="130"/>
      <c r="AE799" s="106"/>
    </row>
    <row r="800">
      <c r="C800" s="79"/>
      <c r="D800" s="79"/>
      <c r="E800" s="79"/>
      <c r="P800" s="79"/>
      <c r="Q800" s="79"/>
      <c r="R800" s="79"/>
      <c r="Y800" s="79"/>
      <c r="AC800" s="130"/>
      <c r="AE800" s="106"/>
    </row>
    <row r="801">
      <c r="C801" s="79"/>
      <c r="D801" s="79"/>
      <c r="E801" s="79"/>
      <c r="P801" s="79"/>
      <c r="Q801" s="79"/>
      <c r="R801" s="79"/>
      <c r="Y801" s="79"/>
      <c r="AC801" s="130"/>
      <c r="AE801" s="106"/>
    </row>
    <row r="802">
      <c r="C802" s="79"/>
      <c r="D802" s="79"/>
      <c r="E802" s="79"/>
      <c r="P802" s="79"/>
      <c r="Q802" s="79"/>
      <c r="R802" s="79"/>
      <c r="Y802" s="79"/>
      <c r="AC802" s="130"/>
      <c r="AE802" s="106"/>
    </row>
    <row r="803">
      <c r="C803" s="79"/>
      <c r="D803" s="79"/>
      <c r="E803" s="79"/>
      <c r="P803" s="79"/>
      <c r="Q803" s="79"/>
      <c r="R803" s="79"/>
      <c r="Y803" s="79"/>
      <c r="AC803" s="130"/>
      <c r="AE803" s="106"/>
    </row>
    <row r="804">
      <c r="C804" s="79"/>
      <c r="D804" s="79"/>
      <c r="E804" s="79"/>
      <c r="P804" s="79"/>
      <c r="Q804" s="79"/>
      <c r="R804" s="79"/>
      <c r="Y804" s="79"/>
      <c r="AC804" s="130"/>
      <c r="AE804" s="106"/>
    </row>
    <row r="805">
      <c r="C805" s="79"/>
      <c r="D805" s="79"/>
      <c r="E805" s="79"/>
      <c r="P805" s="79"/>
      <c r="Q805" s="79"/>
      <c r="R805" s="79"/>
      <c r="Y805" s="79"/>
      <c r="AC805" s="130"/>
      <c r="AE805" s="106"/>
    </row>
    <row r="806">
      <c r="C806" s="79"/>
      <c r="D806" s="79"/>
      <c r="E806" s="79"/>
      <c r="P806" s="79"/>
      <c r="Q806" s="79"/>
      <c r="R806" s="79"/>
      <c r="Y806" s="79"/>
      <c r="AC806" s="130"/>
      <c r="AE806" s="106"/>
    </row>
    <row r="807">
      <c r="C807" s="79"/>
      <c r="D807" s="79"/>
      <c r="E807" s="79"/>
      <c r="P807" s="79"/>
      <c r="Q807" s="79"/>
      <c r="R807" s="79"/>
      <c r="Y807" s="79"/>
      <c r="AC807" s="130"/>
      <c r="AE807" s="106"/>
    </row>
    <row r="808">
      <c r="C808" s="79"/>
      <c r="D808" s="79"/>
      <c r="E808" s="79"/>
      <c r="P808" s="79"/>
      <c r="Q808" s="79"/>
      <c r="R808" s="79"/>
      <c r="Y808" s="79"/>
      <c r="AC808" s="130"/>
      <c r="AE808" s="106"/>
    </row>
    <row r="809">
      <c r="C809" s="79"/>
      <c r="D809" s="79"/>
      <c r="E809" s="79"/>
      <c r="P809" s="79"/>
      <c r="Q809" s="79"/>
      <c r="R809" s="79"/>
      <c r="Y809" s="79"/>
      <c r="AC809" s="130"/>
      <c r="AE809" s="106"/>
    </row>
    <row r="810">
      <c r="C810" s="79"/>
      <c r="D810" s="79"/>
      <c r="E810" s="79"/>
      <c r="P810" s="79"/>
      <c r="Q810" s="79"/>
      <c r="R810" s="79"/>
      <c r="Y810" s="79"/>
      <c r="AC810" s="130"/>
      <c r="AE810" s="106"/>
    </row>
    <row r="811">
      <c r="C811" s="79"/>
      <c r="D811" s="79"/>
      <c r="E811" s="79"/>
      <c r="P811" s="79"/>
      <c r="Q811" s="79"/>
      <c r="R811" s="79"/>
      <c r="Y811" s="79"/>
      <c r="AC811" s="130"/>
      <c r="AE811" s="106"/>
    </row>
    <row r="812">
      <c r="C812" s="79"/>
      <c r="D812" s="79"/>
      <c r="E812" s="79"/>
      <c r="P812" s="79"/>
      <c r="Q812" s="79"/>
      <c r="R812" s="79"/>
      <c r="Y812" s="79"/>
      <c r="AC812" s="130"/>
      <c r="AE812" s="106"/>
    </row>
    <row r="813">
      <c r="C813" s="79"/>
      <c r="D813" s="79"/>
      <c r="E813" s="79"/>
      <c r="P813" s="79"/>
      <c r="Q813" s="79"/>
      <c r="R813" s="79"/>
      <c r="Y813" s="79"/>
      <c r="AC813" s="130"/>
      <c r="AE813" s="106"/>
    </row>
    <row r="814">
      <c r="C814" s="79"/>
      <c r="D814" s="79"/>
      <c r="E814" s="79"/>
      <c r="P814" s="79"/>
      <c r="Q814" s="79"/>
      <c r="R814" s="79"/>
      <c r="Y814" s="79"/>
      <c r="AC814" s="130"/>
      <c r="AE814" s="106"/>
    </row>
    <row r="815">
      <c r="C815" s="79"/>
      <c r="D815" s="79"/>
      <c r="E815" s="79"/>
      <c r="P815" s="79"/>
      <c r="Q815" s="79"/>
      <c r="R815" s="79"/>
      <c r="Y815" s="79"/>
      <c r="AC815" s="130"/>
      <c r="AE815" s="106"/>
    </row>
    <row r="816">
      <c r="C816" s="79"/>
      <c r="D816" s="79"/>
      <c r="E816" s="79"/>
      <c r="P816" s="79"/>
      <c r="Q816" s="79"/>
      <c r="R816" s="79"/>
      <c r="Y816" s="79"/>
      <c r="AC816" s="130"/>
      <c r="AE816" s="106"/>
    </row>
    <row r="817">
      <c r="C817" s="79"/>
      <c r="D817" s="79"/>
      <c r="E817" s="79"/>
      <c r="P817" s="79"/>
      <c r="Q817" s="79"/>
      <c r="R817" s="79"/>
      <c r="Y817" s="79"/>
      <c r="AC817" s="130"/>
      <c r="AE817" s="106"/>
    </row>
    <row r="818">
      <c r="C818" s="79"/>
      <c r="D818" s="79"/>
      <c r="E818" s="79"/>
      <c r="P818" s="79"/>
      <c r="Q818" s="79"/>
      <c r="R818" s="79"/>
      <c r="Y818" s="79"/>
      <c r="AC818" s="130"/>
      <c r="AE818" s="106"/>
    </row>
    <row r="819">
      <c r="C819" s="79"/>
      <c r="D819" s="79"/>
      <c r="E819" s="79"/>
      <c r="P819" s="79"/>
      <c r="Q819" s="79"/>
      <c r="R819" s="79"/>
      <c r="Y819" s="79"/>
      <c r="AC819" s="130"/>
      <c r="AE819" s="106"/>
    </row>
    <row r="820">
      <c r="C820" s="79"/>
      <c r="D820" s="79"/>
      <c r="E820" s="79"/>
      <c r="P820" s="79"/>
      <c r="Q820" s="79"/>
      <c r="R820" s="79"/>
      <c r="Y820" s="79"/>
      <c r="AC820" s="130"/>
      <c r="AE820" s="106"/>
    </row>
    <row r="821">
      <c r="C821" s="79"/>
      <c r="D821" s="79"/>
      <c r="E821" s="79"/>
      <c r="P821" s="79"/>
      <c r="Q821" s="79"/>
      <c r="R821" s="79"/>
      <c r="Y821" s="79"/>
      <c r="AC821" s="130"/>
      <c r="AE821" s="106"/>
    </row>
    <row r="822">
      <c r="C822" s="79"/>
      <c r="D822" s="79"/>
      <c r="E822" s="79"/>
      <c r="P822" s="79"/>
      <c r="Q822" s="79"/>
      <c r="R822" s="79"/>
      <c r="Y822" s="79"/>
      <c r="AC822" s="130"/>
      <c r="AE822" s="106"/>
    </row>
    <row r="823">
      <c r="C823" s="79"/>
      <c r="D823" s="79"/>
      <c r="E823" s="79"/>
      <c r="P823" s="79"/>
      <c r="Q823" s="79"/>
      <c r="R823" s="79"/>
      <c r="Y823" s="79"/>
      <c r="AC823" s="130"/>
      <c r="AE823" s="106"/>
    </row>
    <row r="824">
      <c r="C824" s="79"/>
      <c r="D824" s="79"/>
      <c r="E824" s="79"/>
      <c r="P824" s="79"/>
      <c r="Q824" s="79"/>
      <c r="R824" s="79"/>
      <c r="Y824" s="79"/>
      <c r="AC824" s="130"/>
      <c r="AE824" s="106"/>
    </row>
    <row r="825">
      <c r="C825" s="79"/>
      <c r="D825" s="79"/>
      <c r="E825" s="79"/>
      <c r="P825" s="79"/>
      <c r="Q825" s="79"/>
      <c r="R825" s="79"/>
      <c r="Y825" s="79"/>
      <c r="AC825" s="130"/>
      <c r="AE825" s="106"/>
    </row>
    <row r="826">
      <c r="C826" s="79"/>
      <c r="D826" s="79"/>
      <c r="E826" s="79"/>
      <c r="P826" s="79"/>
      <c r="Q826" s="79"/>
      <c r="R826" s="79"/>
      <c r="Y826" s="79"/>
      <c r="AC826" s="130"/>
      <c r="AE826" s="106"/>
    </row>
    <row r="827">
      <c r="C827" s="79"/>
      <c r="D827" s="79"/>
      <c r="E827" s="79"/>
      <c r="P827" s="79"/>
      <c r="Q827" s="79"/>
      <c r="R827" s="79"/>
      <c r="Y827" s="79"/>
      <c r="AC827" s="130"/>
      <c r="AE827" s="106"/>
    </row>
    <row r="828">
      <c r="C828" s="79"/>
      <c r="D828" s="79"/>
      <c r="E828" s="79"/>
      <c r="P828" s="79"/>
      <c r="Q828" s="79"/>
      <c r="R828" s="79"/>
      <c r="Y828" s="79"/>
      <c r="AC828" s="130"/>
      <c r="AE828" s="106"/>
    </row>
    <row r="829">
      <c r="C829" s="79"/>
      <c r="D829" s="79"/>
      <c r="E829" s="79"/>
      <c r="P829" s="79"/>
      <c r="Q829" s="79"/>
      <c r="R829" s="79"/>
      <c r="Y829" s="79"/>
      <c r="AC829" s="130"/>
      <c r="AE829" s="106"/>
    </row>
    <row r="830">
      <c r="C830" s="79"/>
      <c r="D830" s="79"/>
      <c r="E830" s="79"/>
      <c r="P830" s="79"/>
      <c r="Q830" s="79"/>
      <c r="R830" s="79"/>
      <c r="Y830" s="79"/>
      <c r="AC830" s="130"/>
      <c r="AE830" s="106"/>
    </row>
    <row r="831">
      <c r="C831" s="79"/>
      <c r="D831" s="79"/>
      <c r="E831" s="79"/>
      <c r="P831" s="79"/>
      <c r="Q831" s="79"/>
      <c r="R831" s="79"/>
      <c r="Y831" s="79"/>
      <c r="AC831" s="130"/>
      <c r="AE831" s="106"/>
    </row>
    <row r="832">
      <c r="C832" s="79"/>
      <c r="D832" s="79"/>
      <c r="E832" s="79"/>
      <c r="P832" s="79"/>
      <c r="Q832" s="79"/>
      <c r="R832" s="79"/>
      <c r="Y832" s="79"/>
      <c r="AC832" s="130"/>
      <c r="AE832" s="106"/>
    </row>
    <row r="833">
      <c r="C833" s="79"/>
      <c r="D833" s="79"/>
      <c r="E833" s="79"/>
      <c r="P833" s="79"/>
      <c r="Q833" s="79"/>
      <c r="R833" s="79"/>
      <c r="Y833" s="79"/>
      <c r="AC833" s="130"/>
      <c r="AE833" s="106"/>
    </row>
    <row r="834">
      <c r="C834" s="79"/>
      <c r="D834" s="79"/>
      <c r="E834" s="79"/>
      <c r="P834" s="79"/>
      <c r="Q834" s="79"/>
      <c r="R834" s="79"/>
      <c r="Y834" s="79"/>
      <c r="AC834" s="130"/>
      <c r="AE834" s="106"/>
    </row>
    <row r="835">
      <c r="C835" s="79"/>
      <c r="D835" s="79"/>
      <c r="E835" s="79"/>
      <c r="P835" s="79"/>
      <c r="Q835" s="79"/>
      <c r="R835" s="79"/>
      <c r="Y835" s="79"/>
      <c r="AC835" s="130"/>
      <c r="AE835" s="106"/>
    </row>
    <row r="836">
      <c r="C836" s="79"/>
      <c r="D836" s="79"/>
      <c r="E836" s="79"/>
      <c r="P836" s="79"/>
      <c r="Q836" s="79"/>
      <c r="R836" s="79"/>
      <c r="Y836" s="79"/>
      <c r="AC836" s="130"/>
      <c r="AE836" s="106"/>
    </row>
    <row r="837">
      <c r="C837" s="79"/>
      <c r="D837" s="79"/>
      <c r="E837" s="79"/>
      <c r="P837" s="79"/>
      <c r="Q837" s="79"/>
      <c r="R837" s="79"/>
      <c r="Y837" s="79"/>
      <c r="AC837" s="130"/>
      <c r="AE837" s="106"/>
    </row>
    <row r="838">
      <c r="C838" s="79"/>
      <c r="D838" s="79"/>
      <c r="E838" s="79"/>
      <c r="P838" s="79"/>
      <c r="Q838" s="79"/>
      <c r="R838" s="79"/>
      <c r="Y838" s="79"/>
      <c r="AC838" s="130"/>
      <c r="AE838" s="106"/>
    </row>
    <row r="839">
      <c r="C839" s="79"/>
      <c r="D839" s="79"/>
      <c r="E839" s="79"/>
      <c r="P839" s="79"/>
      <c r="Q839" s="79"/>
      <c r="R839" s="79"/>
      <c r="Y839" s="79"/>
      <c r="AC839" s="130"/>
      <c r="AE839" s="106"/>
    </row>
    <row r="840">
      <c r="C840" s="79"/>
      <c r="D840" s="79"/>
      <c r="E840" s="79"/>
      <c r="P840" s="79"/>
      <c r="Q840" s="79"/>
      <c r="R840" s="79"/>
      <c r="Y840" s="79"/>
      <c r="AC840" s="130"/>
      <c r="AE840" s="106"/>
    </row>
    <row r="841">
      <c r="C841" s="79"/>
      <c r="D841" s="79"/>
      <c r="E841" s="79"/>
      <c r="P841" s="79"/>
      <c r="Q841" s="79"/>
      <c r="R841" s="79"/>
      <c r="Y841" s="79"/>
      <c r="AC841" s="130"/>
      <c r="AE841" s="106"/>
    </row>
    <row r="842">
      <c r="C842" s="79"/>
      <c r="D842" s="79"/>
      <c r="E842" s="79"/>
      <c r="P842" s="79"/>
      <c r="Q842" s="79"/>
      <c r="R842" s="79"/>
      <c r="Y842" s="79"/>
      <c r="AC842" s="130"/>
      <c r="AE842" s="106"/>
    </row>
    <row r="843">
      <c r="C843" s="79"/>
      <c r="D843" s="79"/>
      <c r="E843" s="79"/>
      <c r="P843" s="79"/>
      <c r="Q843" s="79"/>
      <c r="R843" s="79"/>
      <c r="Y843" s="79"/>
      <c r="AC843" s="130"/>
      <c r="AE843" s="106"/>
    </row>
    <row r="844">
      <c r="C844" s="79"/>
      <c r="D844" s="79"/>
      <c r="E844" s="79"/>
      <c r="P844" s="79"/>
      <c r="Q844" s="79"/>
      <c r="R844" s="79"/>
      <c r="Y844" s="79"/>
      <c r="AC844" s="130"/>
      <c r="AE844" s="106"/>
    </row>
    <row r="845">
      <c r="C845" s="79"/>
      <c r="D845" s="79"/>
      <c r="E845" s="79"/>
      <c r="P845" s="79"/>
      <c r="Q845" s="79"/>
      <c r="R845" s="79"/>
      <c r="Y845" s="79"/>
      <c r="AC845" s="130"/>
      <c r="AE845" s="106"/>
    </row>
    <row r="846">
      <c r="C846" s="79"/>
      <c r="D846" s="79"/>
      <c r="E846" s="79"/>
      <c r="P846" s="79"/>
      <c r="Q846" s="79"/>
      <c r="R846" s="79"/>
      <c r="Y846" s="79"/>
      <c r="AC846" s="130"/>
      <c r="AE846" s="106"/>
    </row>
    <row r="847">
      <c r="C847" s="79"/>
      <c r="D847" s="79"/>
      <c r="E847" s="79"/>
      <c r="P847" s="79"/>
      <c r="Q847" s="79"/>
      <c r="R847" s="79"/>
      <c r="Y847" s="79"/>
      <c r="AC847" s="130"/>
      <c r="AE847" s="106"/>
    </row>
    <row r="848">
      <c r="C848" s="79"/>
      <c r="D848" s="79"/>
      <c r="E848" s="79"/>
      <c r="P848" s="79"/>
      <c r="Q848" s="79"/>
      <c r="R848" s="79"/>
      <c r="Y848" s="79"/>
      <c r="AC848" s="130"/>
      <c r="AE848" s="106"/>
    </row>
    <row r="849">
      <c r="C849" s="79"/>
      <c r="D849" s="79"/>
      <c r="E849" s="79"/>
      <c r="P849" s="79"/>
      <c r="Q849" s="79"/>
      <c r="R849" s="79"/>
      <c r="Y849" s="79"/>
      <c r="AC849" s="130"/>
      <c r="AE849" s="106"/>
    </row>
    <row r="850">
      <c r="C850" s="79"/>
      <c r="D850" s="79"/>
      <c r="E850" s="79"/>
      <c r="P850" s="79"/>
      <c r="Q850" s="79"/>
      <c r="R850" s="79"/>
      <c r="Y850" s="79"/>
      <c r="AC850" s="130"/>
      <c r="AE850" s="106"/>
    </row>
    <row r="851">
      <c r="C851" s="79"/>
      <c r="D851" s="79"/>
      <c r="E851" s="79"/>
      <c r="P851" s="79"/>
      <c r="Q851" s="79"/>
      <c r="R851" s="79"/>
      <c r="Y851" s="79"/>
      <c r="AC851" s="130"/>
      <c r="AE851" s="106"/>
    </row>
    <row r="852">
      <c r="C852" s="79"/>
      <c r="D852" s="79"/>
      <c r="E852" s="79"/>
      <c r="P852" s="79"/>
      <c r="Q852" s="79"/>
      <c r="R852" s="79"/>
      <c r="Y852" s="79"/>
      <c r="AC852" s="130"/>
      <c r="AE852" s="106"/>
    </row>
    <row r="853">
      <c r="C853" s="79"/>
      <c r="D853" s="79"/>
      <c r="E853" s="79"/>
      <c r="P853" s="79"/>
      <c r="Q853" s="79"/>
      <c r="R853" s="79"/>
      <c r="Y853" s="79"/>
      <c r="AC853" s="130"/>
      <c r="AE853" s="106"/>
    </row>
    <row r="854">
      <c r="C854" s="79"/>
      <c r="D854" s="79"/>
      <c r="E854" s="79"/>
      <c r="P854" s="79"/>
      <c r="Q854" s="79"/>
      <c r="R854" s="79"/>
      <c r="Y854" s="79"/>
      <c r="AC854" s="130"/>
      <c r="AE854" s="106"/>
    </row>
    <row r="855">
      <c r="C855" s="79"/>
      <c r="D855" s="79"/>
      <c r="E855" s="79"/>
      <c r="P855" s="79"/>
      <c r="Q855" s="79"/>
      <c r="R855" s="79"/>
      <c r="Y855" s="79"/>
      <c r="AC855" s="130"/>
      <c r="AE855" s="106"/>
    </row>
    <row r="856">
      <c r="C856" s="79"/>
      <c r="D856" s="79"/>
      <c r="E856" s="79"/>
      <c r="P856" s="79"/>
      <c r="Q856" s="79"/>
      <c r="R856" s="79"/>
      <c r="Y856" s="79"/>
      <c r="AC856" s="130"/>
      <c r="AE856" s="106"/>
    </row>
    <row r="857">
      <c r="C857" s="79"/>
      <c r="D857" s="79"/>
      <c r="E857" s="79"/>
      <c r="P857" s="79"/>
      <c r="Q857" s="79"/>
      <c r="R857" s="79"/>
      <c r="Y857" s="79"/>
      <c r="AC857" s="130"/>
      <c r="AE857" s="106"/>
    </row>
    <row r="858">
      <c r="C858" s="79"/>
      <c r="D858" s="79"/>
      <c r="E858" s="79"/>
      <c r="P858" s="79"/>
      <c r="Q858" s="79"/>
      <c r="R858" s="79"/>
      <c r="Y858" s="79"/>
      <c r="AC858" s="130"/>
      <c r="AE858" s="106"/>
    </row>
    <row r="859">
      <c r="C859" s="79"/>
      <c r="D859" s="79"/>
      <c r="E859" s="79"/>
      <c r="P859" s="79"/>
      <c r="Q859" s="79"/>
      <c r="R859" s="79"/>
      <c r="Y859" s="79"/>
      <c r="AC859" s="130"/>
      <c r="AE859" s="106"/>
    </row>
    <row r="860">
      <c r="C860" s="79"/>
      <c r="D860" s="79"/>
      <c r="E860" s="79"/>
      <c r="P860" s="79"/>
      <c r="Q860" s="79"/>
      <c r="R860" s="79"/>
      <c r="Y860" s="79"/>
      <c r="AC860" s="130"/>
      <c r="AE860" s="106"/>
    </row>
    <row r="861">
      <c r="C861" s="79"/>
      <c r="D861" s="79"/>
      <c r="E861" s="79"/>
      <c r="P861" s="79"/>
      <c r="Q861" s="79"/>
      <c r="R861" s="79"/>
      <c r="Y861" s="79"/>
      <c r="AC861" s="130"/>
      <c r="AE861" s="106"/>
    </row>
    <row r="862">
      <c r="C862" s="79"/>
      <c r="D862" s="79"/>
      <c r="E862" s="79"/>
      <c r="P862" s="79"/>
      <c r="Q862" s="79"/>
      <c r="R862" s="79"/>
      <c r="Y862" s="79"/>
      <c r="AC862" s="130"/>
      <c r="AE862" s="106"/>
    </row>
    <row r="863">
      <c r="C863" s="79"/>
      <c r="D863" s="79"/>
      <c r="E863" s="79"/>
      <c r="P863" s="79"/>
      <c r="Q863" s="79"/>
      <c r="R863" s="79"/>
      <c r="Y863" s="79"/>
      <c r="AC863" s="130"/>
      <c r="AE863" s="106"/>
    </row>
    <row r="864">
      <c r="C864" s="79"/>
      <c r="D864" s="79"/>
      <c r="E864" s="79"/>
      <c r="P864" s="79"/>
      <c r="Q864" s="79"/>
      <c r="R864" s="79"/>
      <c r="Y864" s="79"/>
      <c r="AC864" s="130"/>
      <c r="AE864" s="106"/>
    </row>
    <row r="865">
      <c r="C865" s="79"/>
      <c r="D865" s="79"/>
      <c r="E865" s="79"/>
      <c r="P865" s="79"/>
      <c r="Q865" s="79"/>
      <c r="R865" s="79"/>
      <c r="Y865" s="79"/>
      <c r="AC865" s="130"/>
      <c r="AE865" s="106"/>
    </row>
    <row r="866">
      <c r="C866" s="79"/>
      <c r="D866" s="79"/>
      <c r="E866" s="79"/>
      <c r="P866" s="79"/>
      <c r="Q866" s="79"/>
      <c r="R866" s="79"/>
      <c r="Y866" s="79"/>
      <c r="AC866" s="130"/>
      <c r="AE866" s="106"/>
    </row>
    <row r="867">
      <c r="C867" s="79"/>
      <c r="D867" s="79"/>
      <c r="E867" s="79"/>
      <c r="P867" s="79"/>
      <c r="Q867" s="79"/>
      <c r="R867" s="79"/>
      <c r="Y867" s="79"/>
      <c r="AC867" s="130"/>
      <c r="AE867" s="106"/>
    </row>
    <row r="868">
      <c r="C868" s="79"/>
      <c r="D868" s="79"/>
      <c r="E868" s="79"/>
      <c r="P868" s="79"/>
      <c r="Q868" s="79"/>
      <c r="R868" s="79"/>
      <c r="Y868" s="79"/>
      <c r="AC868" s="130"/>
      <c r="AE868" s="106"/>
    </row>
    <row r="869">
      <c r="C869" s="79"/>
      <c r="D869" s="79"/>
      <c r="E869" s="79"/>
      <c r="P869" s="79"/>
      <c r="Q869" s="79"/>
      <c r="R869" s="79"/>
      <c r="Y869" s="79"/>
      <c r="AC869" s="130"/>
      <c r="AE869" s="106"/>
    </row>
    <row r="870">
      <c r="C870" s="79"/>
      <c r="D870" s="79"/>
      <c r="E870" s="79"/>
      <c r="P870" s="79"/>
      <c r="Q870" s="79"/>
      <c r="R870" s="79"/>
      <c r="Y870" s="79"/>
      <c r="AC870" s="130"/>
      <c r="AE870" s="106"/>
    </row>
    <row r="871">
      <c r="C871" s="79"/>
      <c r="D871" s="79"/>
      <c r="E871" s="79"/>
      <c r="P871" s="79"/>
      <c r="Q871" s="79"/>
      <c r="R871" s="79"/>
      <c r="Y871" s="79"/>
      <c r="AC871" s="130"/>
      <c r="AE871" s="106"/>
    </row>
    <row r="872">
      <c r="C872" s="79"/>
      <c r="D872" s="79"/>
      <c r="E872" s="79"/>
      <c r="P872" s="79"/>
      <c r="Q872" s="79"/>
      <c r="R872" s="79"/>
      <c r="Y872" s="79"/>
      <c r="AC872" s="130"/>
      <c r="AE872" s="106"/>
    </row>
    <row r="873">
      <c r="C873" s="79"/>
      <c r="D873" s="79"/>
      <c r="E873" s="79"/>
      <c r="P873" s="79"/>
      <c r="Q873" s="79"/>
      <c r="R873" s="79"/>
      <c r="Y873" s="79"/>
      <c r="AC873" s="130"/>
      <c r="AE873" s="106"/>
    </row>
    <row r="874">
      <c r="C874" s="79"/>
      <c r="D874" s="79"/>
      <c r="E874" s="79"/>
      <c r="P874" s="79"/>
      <c r="Q874" s="79"/>
      <c r="R874" s="79"/>
      <c r="Y874" s="79"/>
      <c r="AC874" s="130"/>
      <c r="AE874" s="106"/>
    </row>
    <row r="875">
      <c r="C875" s="79"/>
      <c r="D875" s="79"/>
      <c r="E875" s="79"/>
      <c r="P875" s="79"/>
      <c r="Q875" s="79"/>
      <c r="R875" s="79"/>
      <c r="Y875" s="79"/>
      <c r="AC875" s="130"/>
      <c r="AE875" s="106"/>
    </row>
    <row r="876">
      <c r="C876" s="79"/>
      <c r="D876" s="79"/>
      <c r="E876" s="79"/>
      <c r="P876" s="79"/>
      <c r="Q876" s="79"/>
      <c r="R876" s="79"/>
      <c r="Y876" s="79"/>
      <c r="AC876" s="130"/>
      <c r="AE876" s="106"/>
    </row>
    <row r="877">
      <c r="C877" s="79"/>
      <c r="D877" s="79"/>
      <c r="E877" s="79"/>
      <c r="P877" s="79"/>
      <c r="Q877" s="79"/>
      <c r="R877" s="79"/>
      <c r="Y877" s="79"/>
      <c r="AC877" s="130"/>
      <c r="AE877" s="106"/>
    </row>
    <row r="878">
      <c r="C878" s="79"/>
      <c r="D878" s="79"/>
      <c r="E878" s="79"/>
      <c r="P878" s="79"/>
      <c r="Q878" s="79"/>
      <c r="R878" s="79"/>
      <c r="Y878" s="79"/>
      <c r="AC878" s="130"/>
      <c r="AE878" s="106"/>
    </row>
    <row r="879">
      <c r="C879" s="79"/>
      <c r="D879" s="79"/>
      <c r="E879" s="79"/>
      <c r="P879" s="79"/>
      <c r="Q879" s="79"/>
      <c r="R879" s="79"/>
      <c r="Y879" s="79"/>
      <c r="AC879" s="130"/>
      <c r="AE879" s="106"/>
    </row>
    <row r="880">
      <c r="C880" s="79"/>
      <c r="D880" s="79"/>
      <c r="E880" s="79"/>
      <c r="P880" s="79"/>
      <c r="Q880" s="79"/>
      <c r="R880" s="79"/>
      <c r="Y880" s="79"/>
      <c r="AC880" s="130"/>
      <c r="AE880" s="106"/>
    </row>
    <row r="881">
      <c r="C881" s="79"/>
      <c r="D881" s="79"/>
      <c r="E881" s="79"/>
      <c r="P881" s="79"/>
      <c r="Q881" s="79"/>
      <c r="R881" s="79"/>
      <c r="Y881" s="79"/>
      <c r="AC881" s="130"/>
      <c r="AE881" s="106"/>
    </row>
    <row r="882">
      <c r="C882" s="79"/>
      <c r="D882" s="79"/>
      <c r="E882" s="79"/>
      <c r="P882" s="79"/>
      <c r="Q882" s="79"/>
      <c r="R882" s="79"/>
      <c r="Y882" s="79"/>
      <c r="AC882" s="130"/>
      <c r="AE882" s="106"/>
    </row>
    <row r="883">
      <c r="C883" s="79"/>
      <c r="D883" s="79"/>
      <c r="E883" s="79"/>
      <c r="P883" s="79"/>
      <c r="Q883" s="79"/>
      <c r="R883" s="79"/>
      <c r="Y883" s="79"/>
      <c r="AC883" s="130"/>
      <c r="AE883" s="106"/>
    </row>
    <row r="884">
      <c r="C884" s="79"/>
      <c r="D884" s="79"/>
      <c r="E884" s="79"/>
      <c r="P884" s="79"/>
      <c r="Q884" s="79"/>
      <c r="R884" s="79"/>
      <c r="Y884" s="79"/>
      <c r="AC884" s="130"/>
      <c r="AE884" s="106"/>
    </row>
    <row r="885">
      <c r="C885" s="79"/>
      <c r="D885" s="79"/>
      <c r="E885" s="79"/>
      <c r="P885" s="79"/>
      <c r="Q885" s="79"/>
      <c r="R885" s="79"/>
      <c r="Y885" s="79"/>
      <c r="AC885" s="130"/>
      <c r="AE885" s="106"/>
    </row>
    <row r="886">
      <c r="C886" s="79"/>
      <c r="D886" s="79"/>
      <c r="E886" s="79"/>
      <c r="P886" s="79"/>
      <c r="Q886" s="79"/>
      <c r="R886" s="79"/>
      <c r="Y886" s="79"/>
      <c r="AC886" s="130"/>
      <c r="AE886" s="106"/>
    </row>
    <row r="887">
      <c r="C887" s="79"/>
      <c r="D887" s="79"/>
      <c r="E887" s="79"/>
      <c r="P887" s="79"/>
      <c r="Q887" s="79"/>
      <c r="R887" s="79"/>
      <c r="Y887" s="79"/>
      <c r="AC887" s="130"/>
      <c r="AE887" s="106"/>
    </row>
    <row r="888">
      <c r="C888" s="79"/>
      <c r="D888" s="79"/>
      <c r="E888" s="79"/>
      <c r="P888" s="79"/>
      <c r="Q888" s="79"/>
      <c r="R888" s="79"/>
      <c r="Y888" s="79"/>
      <c r="AC888" s="130"/>
      <c r="AE888" s="106"/>
    </row>
    <row r="889">
      <c r="C889" s="79"/>
      <c r="D889" s="79"/>
      <c r="E889" s="79"/>
      <c r="P889" s="79"/>
      <c r="Q889" s="79"/>
      <c r="R889" s="79"/>
      <c r="Y889" s="79"/>
      <c r="AC889" s="130"/>
      <c r="AE889" s="106"/>
    </row>
    <row r="890">
      <c r="C890" s="79"/>
      <c r="D890" s="79"/>
      <c r="E890" s="79"/>
      <c r="P890" s="79"/>
      <c r="Q890" s="79"/>
      <c r="R890" s="79"/>
      <c r="Y890" s="79"/>
      <c r="AC890" s="130"/>
      <c r="AE890" s="106"/>
    </row>
  </sheetData>
  <autoFilter ref="$A$36:$F$49">
    <sortState ref="A36:F49">
      <sortCondition descending="1" sortBy="cellColor" ref="E36:E49" dxfId="1"/>
      <sortCondition descending="1" sortBy="cellColor" ref="C36:C49" dxfId="1"/>
      <sortCondition descending="1" sortBy="cellColor" ref="A36:A49" dxfId="1"/>
    </sortState>
  </autoFilter>
  <mergeCells count="1">
    <mergeCell ref="B33:E33"/>
  </mergeCells>
  <drawing r:id="rId2"/>
  <legacyDrawing r:id="rId3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6.5"/>
    <col customWidth="1" min="3" max="3" width="17.38"/>
    <col customWidth="1" min="5" max="5" width="15.63"/>
    <col customWidth="1" min="7" max="7" width="13.5"/>
    <col customWidth="1" min="8" max="8" width="13.25"/>
    <col customWidth="1" min="18" max="18" width="27.38"/>
    <col customWidth="1" min="26" max="26" width="14.63"/>
    <col customWidth="1" min="31" max="31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4</v>
      </c>
      <c r="J1" s="2" t="s">
        <v>5</v>
      </c>
      <c r="K1" s="2" t="s">
        <v>303</v>
      </c>
      <c r="L1" s="2" t="s">
        <v>6</v>
      </c>
      <c r="M1" s="2" t="s">
        <v>12</v>
      </c>
      <c r="N1" s="2" t="s">
        <v>49</v>
      </c>
      <c r="O1" s="2" t="s">
        <v>42</v>
      </c>
      <c r="P1" s="105" t="s">
        <v>11</v>
      </c>
      <c r="Q1" s="105" t="s">
        <v>9</v>
      </c>
      <c r="R1" s="105" t="s">
        <v>304</v>
      </c>
      <c r="S1" s="2" t="s">
        <v>37</v>
      </c>
      <c r="T1" s="2" t="s">
        <v>10</v>
      </c>
      <c r="U1" s="2" t="s">
        <v>164</v>
      </c>
      <c r="V1" s="105" t="s">
        <v>40</v>
      </c>
      <c r="W1" s="2" t="s">
        <v>121</v>
      </c>
      <c r="X1" s="2" t="s">
        <v>204</v>
      </c>
      <c r="Y1" s="105" t="s">
        <v>205</v>
      </c>
      <c r="Z1" s="2" t="s">
        <v>206</v>
      </c>
      <c r="AA1" s="2" t="s">
        <v>305</v>
      </c>
      <c r="AB1" s="3" t="s">
        <v>13</v>
      </c>
      <c r="AC1" s="3" t="s">
        <v>14</v>
      </c>
      <c r="AD1" s="3" t="s">
        <v>15</v>
      </c>
      <c r="AE1" s="106"/>
      <c r="AF1" s="265" t="s">
        <v>306</v>
      </c>
      <c r="AG1" s="266" t="s">
        <v>80</v>
      </c>
    </row>
    <row r="2">
      <c r="A2" s="74">
        <v>45460.0</v>
      </c>
      <c r="B2" s="93">
        <f>1938.29-38.58-49-181.12-20.68-102.96-43.32-51.58+704.72-119.68</f>
        <v>2036.09</v>
      </c>
      <c r="C2" s="93"/>
      <c r="D2" s="193">
        <f>494.4-44.8-215.8</f>
        <v>233.8</v>
      </c>
      <c r="E2" s="93"/>
      <c r="F2" s="93"/>
      <c r="G2" s="93">
        <v>180.0</v>
      </c>
      <c r="H2" s="93"/>
      <c r="I2" s="93">
        <v>269.3</v>
      </c>
      <c r="J2" s="93"/>
      <c r="K2" s="93"/>
      <c r="L2" s="93"/>
      <c r="M2" s="93"/>
      <c r="N2" s="93">
        <f>168+216</f>
        <v>384</v>
      </c>
      <c r="O2" s="93"/>
      <c r="P2" s="93"/>
      <c r="Q2" s="93"/>
      <c r="R2" s="93"/>
      <c r="S2" s="72"/>
      <c r="T2" s="93">
        <v>235.9</v>
      </c>
      <c r="U2" s="93"/>
      <c r="V2" s="93"/>
      <c r="W2" s="93"/>
      <c r="X2" s="93"/>
      <c r="Y2" s="93"/>
      <c r="Z2" s="93"/>
      <c r="AA2" s="326"/>
      <c r="AB2" s="107">
        <f t="shared" ref="AB2:AB8" si="1">SUM(B2:Z2)</f>
        <v>3339.09</v>
      </c>
      <c r="AC2" s="158">
        <v>3912.0</v>
      </c>
      <c r="AD2" s="59">
        <f t="shared" ref="AD2:AD8" si="2">AB2/AC2</f>
        <v>0.8535506135</v>
      </c>
      <c r="AE2" s="109">
        <f t="shared" ref="AE2:AE8" si="3">A2</f>
        <v>45460</v>
      </c>
      <c r="AF2" s="267"/>
      <c r="AG2" s="268">
        <f t="shared" ref="AG2:AG8" si="4">AC2-AF2</f>
        <v>3912</v>
      </c>
    </row>
    <row r="3">
      <c r="A3" s="74">
        <f t="shared" ref="A3:A8" si="5">A2+1</f>
        <v>45461</v>
      </c>
      <c r="B3" s="93">
        <f>613.68-41.43-32.86-51.51-13.08-27.83-77.39-10.09</f>
        <v>359.49</v>
      </c>
      <c r="C3" s="93">
        <f>440.05-337.5</f>
        <v>102.55</v>
      </c>
      <c r="D3" s="180">
        <f>228.8+96.7</f>
        <v>325.5</v>
      </c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326"/>
      <c r="AB3" s="107">
        <f t="shared" si="1"/>
        <v>787.54</v>
      </c>
      <c r="AC3" s="158">
        <v>3487.0</v>
      </c>
      <c r="AD3" s="59">
        <f t="shared" si="2"/>
        <v>0.2258503011</v>
      </c>
      <c r="AE3" s="109">
        <f t="shared" si="3"/>
        <v>45461</v>
      </c>
      <c r="AF3" s="267"/>
      <c r="AG3" s="268">
        <f t="shared" si="4"/>
        <v>3487</v>
      </c>
    </row>
    <row r="4">
      <c r="A4" s="74">
        <f t="shared" si="5"/>
        <v>45462</v>
      </c>
      <c r="B4" s="93">
        <f>806.11-25.38-16.52-51.34-44.5-40.38-57.55</f>
        <v>570.44</v>
      </c>
      <c r="C4" s="93">
        <v>354.31</v>
      </c>
      <c r="D4" s="93"/>
      <c r="E4" s="93"/>
      <c r="F4" s="93"/>
      <c r="G4" s="93">
        <v>180.0</v>
      </c>
      <c r="H4" s="93"/>
      <c r="I4" s="93">
        <v>332.79</v>
      </c>
      <c r="J4" s="93">
        <f>938.3-190</f>
        <v>748.3</v>
      </c>
      <c r="K4" s="93"/>
      <c r="L4" s="93">
        <v>42.0</v>
      </c>
      <c r="M4" s="93"/>
      <c r="N4" s="93"/>
      <c r="O4" s="93"/>
      <c r="P4" s="93"/>
      <c r="Q4" s="93"/>
      <c r="R4" s="93"/>
      <c r="S4" s="160"/>
      <c r="T4" s="93"/>
      <c r="U4" s="93"/>
      <c r="V4" s="93"/>
      <c r="W4" s="93"/>
      <c r="X4" s="93"/>
      <c r="Y4" s="93"/>
      <c r="Z4" s="101"/>
      <c r="AA4" s="326"/>
      <c r="AB4" s="107">
        <f t="shared" si="1"/>
        <v>2227.84</v>
      </c>
      <c r="AC4" s="97">
        <f>206+6466.5</f>
        <v>6672.5</v>
      </c>
      <c r="AD4" s="59">
        <f t="shared" si="2"/>
        <v>0.3338838516</v>
      </c>
      <c r="AE4" s="109">
        <f t="shared" si="3"/>
        <v>45462</v>
      </c>
      <c r="AF4" s="267"/>
      <c r="AG4" s="268">
        <f t="shared" si="4"/>
        <v>6672.5</v>
      </c>
    </row>
    <row r="5">
      <c r="A5" s="74">
        <f t="shared" si="5"/>
        <v>45463</v>
      </c>
      <c r="B5" s="93">
        <f>1308.43-13-25.71-35.71-45.8-27.23-23.51-65.72-21.11-718.58</f>
        <v>332.06</v>
      </c>
      <c r="C5" s="93"/>
      <c r="D5" s="93">
        <f>404.08-170.28</f>
        <v>233.8</v>
      </c>
      <c r="E5" s="93"/>
      <c r="F5" s="93"/>
      <c r="G5" s="93"/>
      <c r="H5" s="160"/>
      <c r="I5" s="93"/>
      <c r="J5" s="93"/>
      <c r="K5" s="93"/>
      <c r="L5" s="93"/>
      <c r="M5" s="93">
        <v>47.8</v>
      </c>
      <c r="N5" s="93"/>
      <c r="O5" s="93"/>
      <c r="P5" s="101"/>
      <c r="Q5" s="93"/>
      <c r="R5" s="93"/>
      <c r="S5" s="93"/>
      <c r="T5" s="93">
        <v>216.9</v>
      </c>
      <c r="U5" s="93"/>
      <c r="V5" s="93"/>
      <c r="W5" s="93"/>
      <c r="X5" s="93"/>
      <c r="Y5" s="101"/>
      <c r="Z5" s="101"/>
      <c r="AA5" s="327"/>
      <c r="AB5" s="7">
        <f t="shared" si="1"/>
        <v>830.56</v>
      </c>
      <c r="AC5" s="97">
        <v>5820.45</v>
      </c>
      <c r="AD5" s="59">
        <f t="shared" si="2"/>
        <v>0.1426968705</v>
      </c>
      <c r="AE5" s="109">
        <f t="shared" si="3"/>
        <v>45463</v>
      </c>
      <c r="AF5" s="267"/>
      <c r="AG5" s="268">
        <f t="shared" si="4"/>
        <v>5820.45</v>
      </c>
    </row>
    <row r="6">
      <c r="A6" s="74">
        <f t="shared" si="5"/>
        <v>45464</v>
      </c>
      <c r="B6" s="93">
        <f>1234.26-31.55-51.25-92.3-93.13-49.29</f>
        <v>916.74</v>
      </c>
      <c r="C6" s="93">
        <v>630.86</v>
      </c>
      <c r="D6" s="93">
        <f>650.06-285.11</f>
        <v>364.95</v>
      </c>
      <c r="E6" s="93"/>
      <c r="F6" s="93"/>
      <c r="G6" s="93"/>
      <c r="H6" s="160"/>
      <c r="I6" s="93"/>
      <c r="J6" s="93"/>
      <c r="K6" s="93"/>
      <c r="L6" s="78">
        <v>166.4</v>
      </c>
      <c r="M6" s="93"/>
      <c r="N6" s="93">
        <v>108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327"/>
      <c r="AB6" s="7">
        <f t="shared" si="1"/>
        <v>2186.95</v>
      </c>
      <c r="AC6" s="97">
        <v>8863.2</v>
      </c>
      <c r="AD6" s="59">
        <f t="shared" si="2"/>
        <v>0.246744968</v>
      </c>
      <c r="AE6" s="109">
        <f t="shared" si="3"/>
        <v>45464</v>
      </c>
      <c r="AF6" s="267"/>
      <c r="AG6" s="268">
        <f t="shared" si="4"/>
        <v>8863.2</v>
      </c>
    </row>
    <row r="7">
      <c r="A7" s="74">
        <f t="shared" si="5"/>
        <v>45465</v>
      </c>
      <c r="B7" s="93">
        <v>1092.1</v>
      </c>
      <c r="C7" s="93"/>
      <c r="D7" s="93">
        <f>303.8-218.23</f>
        <v>85.57</v>
      </c>
      <c r="E7" s="93"/>
      <c r="F7" s="93"/>
      <c r="G7" s="93">
        <v>180.0</v>
      </c>
      <c r="H7" s="93"/>
      <c r="I7" s="93">
        <v>292.76</v>
      </c>
      <c r="J7" s="93"/>
      <c r="K7" s="93"/>
      <c r="L7" s="93"/>
      <c r="M7" s="93"/>
      <c r="N7" s="93"/>
      <c r="O7" s="93"/>
      <c r="P7" s="101"/>
      <c r="Q7" s="93"/>
      <c r="R7" s="93"/>
      <c r="S7" s="101"/>
      <c r="T7" s="93"/>
      <c r="U7" s="93"/>
      <c r="V7" s="93"/>
      <c r="W7" s="93"/>
      <c r="X7" s="93"/>
      <c r="Y7" s="101"/>
      <c r="Z7" s="93"/>
      <c r="AA7" s="327"/>
      <c r="AB7" s="7">
        <f t="shared" si="1"/>
        <v>1650.43</v>
      </c>
      <c r="AC7" s="97">
        <v>13800</v>
      </c>
      <c r="AD7" s="59">
        <f t="shared" si="2"/>
        <v>0.1195963768</v>
      </c>
      <c r="AE7" s="109">
        <f t="shared" si="3"/>
        <v>45465</v>
      </c>
      <c r="AF7" s="267"/>
      <c r="AG7" s="268">
        <f t="shared" si="4"/>
        <v>13800</v>
      </c>
    </row>
    <row r="8">
      <c r="A8" s="74">
        <f t="shared" si="5"/>
        <v>45466</v>
      </c>
      <c r="B8" s="93"/>
      <c r="C8" s="93"/>
      <c r="D8" s="180">
        <v>634.58</v>
      </c>
      <c r="E8" s="112"/>
      <c r="F8" s="180">
        <v>688.36</v>
      </c>
      <c r="G8" s="10"/>
      <c r="H8" s="93"/>
      <c r="I8" s="93"/>
      <c r="J8" s="93"/>
      <c r="K8" s="93"/>
      <c r="L8" s="112"/>
      <c r="M8" s="112"/>
      <c r="N8" s="93"/>
      <c r="O8" s="93"/>
      <c r="P8" s="112"/>
      <c r="Q8" s="93"/>
      <c r="R8" s="112"/>
      <c r="S8" s="93"/>
      <c r="T8" s="93"/>
      <c r="U8" s="93"/>
      <c r="V8" s="112"/>
      <c r="W8" s="112"/>
      <c r="X8" s="112"/>
      <c r="Y8" s="112"/>
      <c r="Z8" s="112"/>
      <c r="AA8" s="93">
        <f>71.41+60.15+78.46+146.28</f>
        <v>356.3</v>
      </c>
      <c r="AB8" s="7">
        <f t="shared" si="1"/>
        <v>1322.94</v>
      </c>
      <c r="AC8" s="97">
        <v>6610</v>
      </c>
      <c r="AD8" s="59">
        <f t="shared" si="2"/>
        <v>0.2001422088</v>
      </c>
      <c r="AE8" s="109">
        <f t="shared" si="3"/>
        <v>45466</v>
      </c>
      <c r="AF8" s="267"/>
      <c r="AG8" s="268">
        <f t="shared" si="4"/>
        <v>6610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AC9" s="129"/>
      <c r="AE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AC10" s="129"/>
      <c r="AE10" s="106"/>
    </row>
    <row r="11">
      <c r="A11" s="165" t="s">
        <v>194</v>
      </c>
      <c r="B11" s="338">
        <f>38.58+20.68+119.68+41.43+32.86+13.08+27.83+77.39+10.09+25.38+16.52+51.34+44.5+40.38+57.55+21.11+51.25</f>
        <v>689.65</v>
      </c>
      <c r="C11" s="93"/>
      <c r="D11" s="93">
        <f>44.8+170.28+285.11</f>
        <v>500.19</v>
      </c>
      <c r="E11" s="167"/>
      <c r="F11" s="168"/>
      <c r="G11" s="168"/>
      <c r="H11" s="166"/>
      <c r="I11" s="166"/>
      <c r="J11" s="93"/>
      <c r="K11" s="168"/>
      <c r="L11" s="93"/>
      <c r="M11" s="166"/>
      <c r="N11" s="166"/>
      <c r="O11" s="168"/>
      <c r="P11" s="168"/>
      <c r="Q11" s="168"/>
      <c r="R11" s="168"/>
      <c r="S11" s="168"/>
      <c r="T11" s="168"/>
      <c r="U11" s="168"/>
      <c r="V11" s="168"/>
      <c r="W11" s="1"/>
      <c r="X11" s="168"/>
      <c r="Y11" s="168"/>
      <c r="Z11" s="1"/>
      <c r="AA11" s="1"/>
      <c r="AB11" s="1"/>
      <c r="AC11" s="169"/>
      <c r="AD11" s="1"/>
      <c r="AE11" s="170"/>
    </row>
    <row r="12">
      <c r="A12" s="165" t="s">
        <v>195</v>
      </c>
      <c r="B12" s="213">
        <f>25.71+35.71+45.8+27.23+23.51+718.58+93.13+49.29</f>
        <v>1018.96</v>
      </c>
      <c r="C12" s="93">
        <f>337.5+236</f>
        <v>573.5</v>
      </c>
      <c r="D12" s="93">
        <v>215.8</v>
      </c>
      <c r="E12" s="93"/>
      <c r="F12" s="93"/>
      <c r="G12" s="93"/>
      <c r="H12" s="93"/>
      <c r="I12" s="93"/>
      <c r="J12" s="93"/>
      <c r="K12" s="93"/>
      <c r="L12" s="93"/>
      <c r="M12" s="93"/>
      <c r="N12" s="166">
        <f>144+156</f>
        <v>300</v>
      </c>
      <c r="O12" s="166"/>
      <c r="P12" s="168"/>
      <c r="Q12" s="168"/>
      <c r="R12" s="168"/>
      <c r="S12" s="168"/>
      <c r="T12" s="166"/>
      <c r="U12" s="168"/>
      <c r="V12" s="168"/>
      <c r="W12" s="1"/>
      <c r="X12" s="93"/>
      <c r="Y12" s="168"/>
      <c r="Z12" s="1"/>
      <c r="AA12" s="1"/>
      <c r="AB12" s="1"/>
      <c r="AC12" s="171"/>
      <c r="AD12" s="1"/>
      <c r="AE12" s="170"/>
    </row>
    <row r="13">
      <c r="A13" s="172" t="s">
        <v>425</v>
      </c>
      <c r="B13" s="166">
        <f>49+102.96</f>
        <v>151.96</v>
      </c>
      <c r="C13" s="93"/>
      <c r="D13" s="93">
        <v>608.39</v>
      </c>
      <c r="E13" s="168"/>
      <c r="F13" s="166"/>
      <c r="G13" s="166"/>
      <c r="H13" s="168"/>
      <c r="I13" s="168"/>
      <c r="J13" s="93"/>
      <c r="K13" s="168"/>
      <c r="L13" s="168"/>
      <c r="M13" s="168"/>
      <c r="N13" s="166"/>
      <c r="O13" s="168"/>
      <c r="P13" s="168"/>
      <c r="Q13" s="168"/>
      <c r="R13" s="168"/>
      <c r="S13" s="1"/>
      <c r="T13" s="96"/>
      <c r="U13" s="1"/>
      <c r="V13" s="1"/>
      <c r="W13" s="1"/>
      <c r="X13" s="168"/>
      <c r="Y13" s="168"/>
      <c r="Z13" s="1"/>
      <c r="AA13" s="1"/>
      <c r="AB13" s="1"/>
      <c r="AC13" s="174"/>
      <c r="AD13" s="1"/>
      <c r="AE13" s="170"/>
    </row>
    <row r="14">
      <c r="A14" s="165" t="s">
        <v>198</v>
      </c>
      <c r="B14" s="338">
        <f>181.12+43.32+51.58+51.51+65.72+13+31.55+92.3</f>
        <v>530.1</v>
      </c>
      <c r="C14" s="93"/>
      <c r="D14" s="93"/>
      <c r="E14" s="168"/>
      <c r="F14" s="166"/>
      <c r="G14" s="166"/>
      <c r="H14" s="168"/>
      <c r="I14" s="168"/>
      <c r="J14" s="93"/>
      <c r="K14" s="168"/>
      <c r="L14" s="168"/>
      <c r="M14" s="168"/>
      <c r="N14" s="166"/>
      <c r="O14" s="168"/>
      <c r="P14" s="168"/>
      <c r="Q14" s="168"/>
      <c r="R14" s="168"/>
      <c r="S14" s="1"/>
      <c r="T14" s="96"/>
      <c r="U14" s="1"/>
      <c r="V14" s="1"/>
      <c r="W14" s="1"/>
      <c r="X14" s="168"/>
      <c r="Y14" s="168"/>
      <c r="Z14" s="1"/>
      <c r="AA14" s="1"/>
      <c r="AB14" s="1"/>
      <c r="AC14" s="174"/>
      <c r="AD14" s="1"/>
      <c r="AE14" s="170"/>
    </row>
    <row r="15">
      <c r="A15" s="91"/>
      <c r="B15" s="92"/>
      <c r="C15" s="79"/>
      <c r="D15" s="79"/>
      <c r="E15" s="79"/>
      <c r="F15" s="78"/>
      <c r="G15" s="78"/>
      <c r="I15" s="78"/>
      <c r="L15" s="79"/>
      <c r="M15" s="79"/>
      <c r="N15" s="79"/>
      <c r="O15" s="79"/>
      <c r="P15" s="79"/>
      <c r="Q15" s="79"/>
      <c r="R15" s="79"/>
      <c r="Y15" s="79"/>
      <c r="AC15" s="131"/>
      <c r="AE15" s="106"/>
    </row>
    <row r="16">
      <c r="A16" s="91"/>
      <c r="B16" s="92"/>
      <c r="C16" s="78"/>
      <c r="D16" s="78"/>
      <c r="E16" s="78"/>
      <c r="F16" s="198"/>
      <c r="G16" s="240"/>
      <c r="H16" s="204"/>
      <c r="I16" s="198"/>
      <c r="J16" s="201"/>
      <c r="K16" s="199"/>
      <c r="L16" s="199"/>
      <c r="M16" s="200"/>
      <c r="N16" s="202"/>
      <c r="O16" s="198"/>
      <c r="P16" s="79"/>
      <c r="Q16" s="198"/>
      <c r="R16" s="198"/>
      <c r="U16" s="198"/>
      <c r="V16" s="198"/>
      <c r="W16" s="198"/>
      <c r="X16" s="199"/>
      <c r="Y16" s="79"/>
      <c r="AC16" s="131"/>
      <c r="AE16" s="106"/>
    </row>
    <row r="17">
      <c r="A17" s="4" t="s">
        <v>22</v>
      </c>
      <c r="B17" s="11">
        <v>10000.0</v>
      </c>
      <c r="C17" s="79"/>
      <c r="D17" s="79"/>
      <c r="E17" s="78"/>
      <c r="F17" s="198"/>
      <c r="G17" s="213"/>
      <c r="H17" s="78"/>
      <c r="K17" s="201"/>
      <c r="L17" s="201"/>
      <c r="M17" s="198"/>
      <c r="N17" s="200"/>
      <c r="O17" s="203"/>
      <c r="P17" s="79"/>
      <c r="Q17" s="198"/>
      <c r="R17" s="198"/>
      <c r="S17" s="204"/>
      <c r="U17" s="198"/>
      <c r="V17" s="198"/>
      <c r="W17" s="198"/>
      <c r="X17" s="201"/>
      <c r="Y17" s="79"/>
      <c r="AC17" s="131"/>
      <c r="AE17" s="106"/>
    </row>
    <row r="18">
      <c r="A18" s="4" t="s">
        <v>23</v>
      </c>
      <c r="B18" s="12">
        <f>SUM(B2:AA8)</f>
        <v>12701.65</v>
      </c>
      <c r="C18" s="192"/>
      <c r="D18" s="177"/>
      <c r="E18" s="78"/>
      <c r="F18" s="213"/>
      <c r="G18" s="213"/>
      <c r="H18" s="204"/>
      <c r="I18" s="203"/>
      <c r="K18" s="191"/>
      <c r="L18" s="201"/>
      <c r="M18" s="201"/>
      <c r="N18" s="201"/>
      <c r="O18" s="203"/>
      <c r="P18" s="79"/>
      <c r="Q18" s="198"/>
      <c r="R18" s="198"/>
      <c r="S18" s="204"/>
      <c r="U18" s="198"/>
      <c r="V18" s="198"/>
      <c r="W18" s="198"/>
      <c r="X18" s="191"/>
      <c r="Y18" s="79"/>
      <c r="AC18" s="131"/>
      <c r="AE18" s="106"/>
    </row>
    <row r="19">
      <c r="A19" s="4" t="s">
        <v>24</v>
      </c>
      <c r="B19" s="12">
        <f> SUM(B17-B18)</f>
        <v>-2701.65</v>
      </c>
      <c r="C19" s="79"/>
      <c r="D19" s="78"/>
      <c r="E19" s="78"/>
      <c r="F19" s="201"/>
      <c r="G19" s="151"/>
      <c r="H19" s="214"/>
      <c r="I19" s="203"/>
      <c r="K19" s="203"/>
      <c r="L19" s="199"/>
      <c r="M19" s="203"/>
      <c r="N19" s="200"/>
      <c r="O19" s="203"/>
      <c r="P19" s="79"/>
      <c r="Q19" s="198"/>
      <c r="R19" s="198"/>
      <c r="S19" s="204"/>
      <c r="U19" s="198"/>
      <c r="V19" s="198"/>
      <c r="W19" s="198"/>
      <c r="X19" s="203"/>
      <c r="Y19" s="79"/>
      <c r="AC19" s="131"/>
      <c r="AE19" s="106"/>
    </row>
    <row r="20">
      <c r="C20" s="79"/>
      <c r="D20" s="79"/>
      <c r="E20" s="78"/>
      <c r="F20" s="213"/>
      <c r="G20" s="201"/>
      <c r="H20" s="214"/>
      <c r="I20" s="203"/>
      <c r="J20" s="203"/>
      <c r="K20" s="203"/>
      <c r="M20" s="201"/>
      <c r="N20" s="198"/>
      <c r="O20" s="203"/>
      <c r="P20" s="79"/>
      <c r="Q20" s="198"/>
      <c r="R20" s="198"/>
      <c r="S20" s="204"/>
      <c r="U20" s="206"/>
      <c r="V20" s="198"/>
      <c r="W20" s="198"/>
      <c r="X20" s="203"/>
      <c r="Y20" s="79"/>
      <c r="AC20" s="131"/>
      <c r="AE20" s="106"/>
    </row>
    <row r="21">
      <c r="A21" s="13" t="s">
        <v>25</v>
      </c>
      <c r="B21" s="14">
        <f>SUM(AC2:AC8)</f>
        <v>49165.15</v>
      </c>
      <c r="C21" s="79"/>
      <c r="D21" s="79"/>
      <c r="E21" s="78"/>
      <c r="F21" s="201"/>
      <c r="G21" s="262"/>
      <c r="H21" s="262"/>
      <c r="I21" s="203"/>
      <c r="J21" s="78"/>
      <c r="K21" s="203"/>
      <c r="L21" s="203"/>
      <c r="M21" s="201"/>
      <c r="N21" s="198"/>
      <c r="O21" s="203"/>
      <c r="P21" s="79"/>
      <c r="Q21" s="198"/>
      <c r="R21" s="198"/>
      <c r="S21" s="204"/>
      <c r="U21" s="198"/>
      <c r="V21" s="198"/>
      <c r="W21" s="198"/>
      <c r="X21" s="203"/>
      <c r="Y21" s="79"/>
      <c r="AC21" s="181"/>
      <c r="AE21" s="106"/>
    </row>
    <row r="22">
      <c r="A22" s="13" t="s">
        <v>26</v>
      </c>
      <c r="B22" s="15">
        <f>B18/B21</f>
        <v>0.2583466134</v>
      </c>
      <c r="C22" s="79"/>
      <c r="D22" s="79"/>
      <c r="E22" s="78"/>
      <c r="F22" s="204"/>
      <c r="G22" s="78"/>
      <c r="H22" s="144"/>
      <c r="I22" s="203"/>
      <c r="J22" s="79"/>
      <c r="K22" s="203"/>
      <c r="L22" s="203"/>
      <c r="M22" s="201"/>
      <c r="N22" s="203"/>
      <c r="O22" s="203"/>
      <c r="P22" s="79"/>
      <c r="Q22" s="198"/>
      <c r="R22" s="198"/>
      <c r="S22" s="204"/>
      <c r="U22" s="198"/>
      <c r="V22" s="198"/>
      <c r="W22" s="198"/>
      <c r="X22" s="203"/>
      <c r="Y22" s="79"/>
      <c r="AC22" s="130"/>
      <c r="AE22" s="106"/>
    </row>
    <row r="23">
      <c r="C23" s="79"/>
      <c r="D23" s="79"/>
      <c r="E23" s="78"/>
      <c r="F23" s="204"/>
      <c r="G23" s="78"/>
      <c r="H23" s="78"/>
      <c r="I23" s="78"/>
      <c r="J23" s="78"/>
      <c r="K23" s="203"/>
      <c r="L23" s="203"/>
      <c r="M23" s="198"/>
      <c r="N23" s="201"/>
      <c r="O23" s="198"/>
      <c r="P23" s="79"/>
      <c r="Q23" s="198"/>
      <c r="R23" s="198"/>
      <c r="S23" s="204"/>
      <c r="U23" s="198"/>
      <c r="V23" s="198"/>
      <c r="W23" s="198"/>
      <c r="X23" s="203"/>
      <c r="Y23" s="79"/>
      <c r="AC23" s="182"/>
      <c r="AE23" s="106"/>
    </row>
    <row r="24">
      <c r="C24" s="79"/>
      <c r="D24" s="79"/>
      <c r="E24" s="79"/>
      <c r="F24" s="204"/>
      <c r="G24" s="78"/>
      <c r="H24" s="78"/>
      <c r="I24" s="212"/>
      <c r="J24" s="263"/>
      <c r="K24" s="203"/>
      <c r="L24" s="203"/>
      <c r="M24" s="198"/>
      <c r="N24" s="201"/>
      <c r="O24" s="198"/>
      <c r="P24" s="79"/>
      <c r="Q24" s="198"/>
      <c r="R24" s="198"/>
      <c r="S24" s="204"/>
      <c r="U24" s="198"/>
      <c r="V24" s="198"/>
      <c r="W24" s="198"/>
      <c r="X24" s="203"/>
      <c r="Y24" s="79"/>
      <c r="AC24" s="130"/>
      <c r="AE24" s="106"/>
    </row>
    <row r="25">
      <c r="A25" s="16" t="s">
        <v>27</v>
      </c>
      <c r="B25" s="17"/>
      <c r="C25" s="114"/>
      <c r="D25" s="114"/>
      <c r="E25" s="115"/>
      <c r="F25" s="204"/>
      <c r="G25" s="78"/>
      <c r="H25" s="78"/>
      <c r="I25" s="78"/>
      <c r="J25" s="79"/>
      <c r="K25" s="203"/>
      <c r="L25" s="217"/>
      <c r="M25" s="208"/>
      <c r="N25" s="198"/>
      <c r="O25" s="200"/>
      <c r="P25" s="79"/>
      <c r="Q25" s="198"/>
      <c r="R25" s="198"/>
      <c r="S25" s="204"/>
      <c r="U25" s="198"/>
      <c r="V25" s="198"/>
      <c r="W25" s="198"/>
      <c r="X25" s="203"/>
      <c r="Y25" s="79"/>
      <c r="AC25" s="130"/>
      <c r="AE25" s="106"/>
    </row>
    <row r="26">
      <c r="A26" s="19" t="s">
        <v>28</v>
      </c>
      <c r="B26" s="20"/>
      <c r="C26" s="116"/>
      <c r="D26" s="116"/>
      <c r="E26" s="117"/>
      <c r="F26" s="204"/>
      <c r="G26" s="78"/>
      <c r="H26" s="78"/>
      <c r="I26" s="79"/>
      <c r="J26" s="79"/>
      <c r="K26" s="203"/>
      <c r="L26" s="203"/>
      <c r="M26" s="209"/>
      <c r="N26" s="201"/>
      <c r="O26" s="198"/>
      <c r="P26" s="79"/>
      <c r="Q26" s="198"/>
      <c r="R26" s="198"/>
      <c r="S26" s="204"/>
      <c r="U26" s="198"/>
      <c r="V26" s="198"/>
      <c r="W26" s="198"/>
      <c r="X26" s="203"/>
      <c r="Y26" s="79"/>
      <c r="AC26" s="130"/>
      <c r="AE26" s="106"/>
    </row>
    <row r="27">
      <c r="A27" s="183" t="s">
        <v>29</v>
      </c>
      <c r="B27" s="184" t="s">
        <v>30</v>
      </c>
      <c r="C27" s="183"/>
      <c r="D27" s="183" t="s">
        <v>170</v>
      </c>
      <c r="E27" s="219" t="s">
        <v>171</v>
      </c>
      <c r="F27" s="204"/>
      <c r="G27" s="79"/>
      <c r="H27" s="79"/>
      <c r="I27" s="79"/>
      <c r="J27" s="79"/>
      <c r="K27" s="203"/>
      <c r="L27" s="201"/>
      <c r="M27" s="209"/>
      <c r="N27" s="198"/>
      <c r="O27" s="198"/>
      <c r="P27" s="79"/>
      <c r="Q27" s="198"/>
      <c r="R27" s="198"/>
      <c r="S27" s="204"/>
      <c r="U27" s="198"/>
      <c r="V27" s="198"/>
      <c r="W27" s="198"/>
      <c r="X27" s="203"/>
      <c r="Y27" s="79"/>
      <c r="Z27" s="195"/>
      <c r="AC27" s="130"/>
      <c r="AE27" s="106"/>
    </row>
    <row r="28">
      <c r="A28" s="234" t="s">
        <v>418</v>
      </c>
      <c r="B28" s="339">
        <f>1793.61-896.8-896.8+1348.79</f>
        <v>1348.8</v>
      </c>
      <c r="C28" s="235"/>
      <c r="D28" s="235"/>
      <c r="E28" s="234"/>
      <c r="P28" s="79"/>
      <c r="Q28" s="79"/>
      <c r="R28" s="79"/>
      <c r="Y28" s="79"/>
      <c r="AC28" s="130"/>
      <c r="AE28" s="106"/>
    </row>
    <row r="29">
      <c r="A29" s="245" t="s">
        <v>398</v>
      </c>
      <c r="B29" s="340">
        <f>1160-580</f>
        <v>580</v>
      </c>
      <c r="C29" s="247"/>
      <c r="D29" s="247"/>
      <c r="E29" s="245"/>
      <c r="P29" s="79"/>
      <c r="Q29" s="79"/>
      <c r="R29" s="79"/>
      <c r="Y29" s="79"/>
      <c r="AC29" s="130"/>
      <c r="AE29" s="106"/>
    </row>
    <row r="30">
      <c r="A30" s="221" t="s">
        <v>426</v>
      </c>
      <c r="B30" s="341">
        <v>1382.91</v>
      </c>
      <c r="C30" s="223"/>
      <c r="D30" s="223"/>
      <c r="E30" s="223"/>
      <c r="P30" s="79"/>
      <c r="Q30" s="79"/>
      <c r="R30" s="79"/>
      <c r="Y30" s="79"/>
      <c r="AC30" s="130"/>
      <c r="AE30" s="106"/>
    </row>
    <row r="31">
      <c r="A31" s="221" t="s">
        <v>427</v>
      </c>
      <c r="B31" s="341">
        <v>463.28</v>
      </c>
      <c r="C31" s="223"/>
      <c r="D31" s="223"/>
      <c r="E31" s="223"/>
      <c r="P31" s="79"/>
      <c r="Q31" s="79"/>
      <c r="R31" s="79"/>
      <c r="Y31" s="79"/>
      <c r="AC31" s="130"/>
      <c r="AE31" s="106"/>
    </row>
    <row r="32">
      <c r="A32" s="221" t="s">
        <v>428</v>
      </c>
      <c r="B32" s="341">
        <v>647.86</v>
      </c>
      <c r="C32" s="223"/>
      <c r="D32" s="223"/>
      <c r="E32" s="223"/>
      <c r="P32" s="79"/>
      <c r="Q32" s="79"/>
      <c r="R32" s="79"/>
      <c r="Y32" s="79"/>
      <c r="AC32" s="130"/>
      <c r="AE32" s="106"/>
    </row>
    <row r="33">
      <c r="A33" s="221" t="s">
        <v>429</v>
      </c>
      <c r="B33" s="341">
        <v>250.0</v>
      </c>
      <c r="C33" s="223"/>
      <c r="D33" s="223"/>
      <c r="E33" s="223"/>
      <c r="P33" s="79"/>
      <c r="Q33" s="79"/>
      <c r="R33" s="79"/>
      <c r="Y33" s="79"/>
      <c r="AC33" s="130"/>
      <c r="AE33" s="106"/>
    </row>
    <row r="34">
      <c r="A34" s="221" t="s">
        <v>430</v>
      </c>
      <c r="B34" s="341">
        <v>218.23</v>
      </c>
      <c r="C34" s="223"/>
      <c r="D34" s="223"/>
      <c r="E34" s="223"/>
      <c r="P34" s="79"/>
      <c r="Q34" s="79"/>
      <c r="R34" s="79"/>
      <c r="Y34" s="79"/>
      <c r="AC34" s="130"/>
      <c r="AE34" s="106"/>
    </row>
    <row r="35">
      <c r="C35" s="79"/>
      <c r="D35" s="79"/>
      <c r="E35" s="79"/>
      <c r="P35" s="79"/>
      <c r="Q35" s="79"/>
      <c r="R35" s="79"/>
      <c r="Y35" s="79"/>
      <c r="AC35" s="130"/>
      <c r="AE35" s="106"/>
    </row>
    <row r="36">
      <c r="A36" s="274"/>
      <c r="B36" s="275" t="s">
        <v>315</v>
      </c>
      <c r="F36" s="274"/>
      <c r="G36" s="274"/>
      <c r="H36" s="274"/>
      <c r="I36" s="274"/>
      <c r="J36" s="274"/>
      <c r="K36" s="274"/>
      <c r="L36" s="274"/>
      <c r="M36" s="274"/>
      <c r="N36" s="274"/>
      <c r="O36" s="274"/>
      <c r="P36" s="274"/>
      <c r="Q36" s="274"/>
      <c r="R36" s="274"/>
      <c r="S36" s="274"/>
      <c r="T36" s="274"/>
      <c r="U36" s="274"/>
      <c r="V36" s="274"/>
      <c r="W36" s="274"/>
      <c r="X36" s="274"/>
      <c r="Y36" s="274"/>
      <c r="Z36" s="274"/>
      <c r="AA36" s="274"/>
      <c r="AB36" s="274"/>
      <c r="AC36" s="276"/>
      <c r="AD36" s="274"/>
      <c r="AE36" s="277"/>
      <c r="AF36" s="274"/>
      <c r="AG36" s="274"/>
      <c r="AH36" s="274"/>
    </row>
    <row r="37">
      <c r="A37" s="16" t="s">
        <v>316</v>
      </c>
      <c r="B37" s="17"/>
      <c r="C37" s="114"/>
      <c r="D37" s="114"/>
      <c r="E37" s="115"/>
      <c r="P37" s="79"/>
      <c r="Q37" s="79"/>
      <c r="R37" s="79"/>
      <c r="Y37" s="79"/>
      <c r="AC37" s="130"/>
      <c r="AE37" s="106"/>
    </row>
    <row r="38">
      <c r="A38" s="19" t="s">
        <v>317</v>
      </c>
      <c r="B38" s="20"/>
      <c r="C38" s="116"/>
      <c r="D38" s="116"/>
      <c r="E38" s="117"/>
      <c r="P38" s="79"/>
      <c r="Q38" s="79"/>
      <c r="R38" s="79"/>
      <c r="Y38" s="79"/>
      <c r="AC38" s="130"/>
      <c r="AE38" s="106"/>
    </row>
    <row r="39">
      <c r="A39" s="278" t="s">
        <v>318</v>
      </c>
      <c r="B39" s="279" t="s">
        <v>319</v>
      </c>
      <c r="C39" s="280" t="s">
        <v>285</v>
      </c>
      <c r="D39" s="280" t="s">
        <v>30</v>
      </c>
      <c r="E39" s="281" t="s">
        <v>320</v>
      </c>
      <c r="F39" s="281" t="s">
        <v>321</v>
      </c>
      <c r="P39" s="79"/>
      <c r="Q39" s="79"/>
      <c r="R39" s="79"/>
      <c r="Y39" s="79"/>
      <c r="AC39" s="130"/>
      <c r="AE39" s="106"/>
    </row>
    <row r="40">
      <c r="A40" s="289" t="s">
        <v>372</v>
      </c>
      <c r="B40" s="290">
        <v>45433.0</v>
      </c>
      <c r="C40" s="173" t="s">
        <v>325</v>
      </c>
      <c r="D40" s="180">
        <v>1269.16</v>
      </c>
      <c r="E40" s="342" t="s">
        <v>431</v>
      </c>
      <c r="F40" s="343">
        <f>D40/2</f>
        <v>634.58</v>
      </c>
      <c r="P40" s="79"/>
      <c r="Q40" s="79"/>
      <c r="R40" s="79"/>
      <c r="Y40" s="79"/>
      <c r="AC40" s="130"/>
      <c r="AE40" s="106"/>
    </row>
    <row r="41">
      <c r="A41" s="304" t="s">
        <v>399</v>
      </c>
      <c r="B41" s="305">
        <v>45440.0</v>
      </c>
      <c r="C41" s="234" t="s">
        <v>325</v>
      </c>
      <c r="D41" s="178">
        <v>1273.23</v>
      </c>
      <c r="E41" s="308">
        <v>45468.0</v>
      </c>
      <c r="F41" s="235"/>
      <c r="P41" s="79"/>
      <c r="Q41" s="79"/>
      <c r="R41" s="79"/>
      <c r="Y41" s="79"/>
      <c r="AC41" s="130"/>
      <c r="AE41" s="106"/>
    </row>
    <row r="42">
      <c r="A42" s="304" t="s">
        <v>413</v>
      </c>
      <c r="B42" s="305">
        <v>45447.0</v>
      </c>
      <c r="C42" s="234" t="s">
        <v>325</v>
      </c>
      <c r="D42" s="178">
        <v>1208.3</v>
      </c>
      <c r="E42" s="308">
        <v>45475.0</v>
      </c>
      <c r="F42" s="235"/>
      <c r="P42" s="79"/>
      <c r="Q42" s="79"/>
      <c r="R42" s="79"/>
      <c r="Y42" s="79"/>
      <c r="AC42" s="130"/>
      <c r="AE42" s="106"/>
    </row>
    <row r="43">
      <c r="A43" s="304" t="s">
        <v>421</v>
      </c>
      <c r="B43" s="305">
        <v>45454.0</v>
      </c>
      <c r="C43" s="234" t="s">
        <v>325</v>
      </c>
      <c r="D43" s="178">
        <v>1279.46</v>
      </c>
      <c r="E43" s="308">
        <v>45482.0</v>
      </c>
      <c r="F43" s="235"/>
      <c r="P43" s="79"/>
      <c r="Q43" s="79"/>
      <c r="R43" s="79"/>
      <c r="Y43" s="79"/>
      <c r="AC43" s="130"/>
      <c r="AE43" s="106"/>
    </row>
    <row r="44">
      <c r="A44" s="304" t="s">
        <v>432</v>
      </c>
      <c r="B44" s="305">
        <v>45461.0</v>
      </c>
      <c r="C44" s="234" t="s">
        <v>325</v>
      </c>
      <c r="D44" s="178">
        <v>1211.18</v>
      </c>
      <c r="E44" s="308">
        <v>45489.0</v>
      </c>
      <c r="F44" s="235"/>
      <c r="P44" s="79"/>
      <c r="Q44" s="79"/>
      <c r="R44" s="79"/>
      <c r="Y44" s="79"/>
      <c r="AC44" s="130"/>
      <c r="AE44" s="106"/>
    </row>
    <row r="45">
      <c r="A45" s="32" t="s">
        <v>406</v>
      </c>
      <c r="B45" s="283">
        <v>45440.0</v>
      </c>
      <c r="C45" s="166" t="s">
        <v>111</v>
      </c>
      <c r="D45" s="93">
        <f>1160-580</f>
        <v>580</v>
      </c>
      <c r="E45" s="285"/>
      <c r="F45" s="6"/>
      <c r="P45" s="79"/>
      <c r="Q45" s="79"/>
      <c r="R45" s="79"/>
      <c r="Y45" s="79"/>
      <c r="AC45" s="130"/>
      <c r="AE45" s="106"/>
    </row>
    <row r="46">
      <c r="A46" s="282" t="s">
        <v>416</v>
      </c>
      <c r="B46" s="283">
        <v>45450.0</v>
      </c>
      <c r="C46" s="166" t="s">
        <v>379</v>
      </c>
      <c r="D46" s="93">
        <v>1419.79</v>
      </c>
      <c r="E46" s="291"/>
      <c r="F46" s="6"/>
      <c r="H46" s="32">
        <v>615.26</v>
      </c>
      <c r="I46" s="68">
        <f>H46*2</f>
        <v>1230.52</v>
      </c>
      <c r="P46" s="79"/>
      <c r="Q46" s="79"/>
      <c r="R46" s="79"/>
      <c r="Y46" s="79"/>
      <c r="AC46" s="130"/>
      <c r="AE46" s="106"/>
    </row>
    <row r="47">
      <c r="A47" s="282" t="s">
        <v>422</v>
      </c>
      <c r="B47" s="283">
        <v>45458.0</v>
      </c>
      <c r="C47" s="166" t="s">
        <v>423</v>
      </c>
      <c r="D47" s="93">
        <f>228.8+96.7</f>
        <v>325.5</v>
      </c>
      <c r="E47" s="337">
        <v>45465.0</v>
      </c>
      <c r="F47" s="6"/>
      <c r="P47" s="79"/>
      <c r="Q47" s="79"/>
      <c r="R47" s="79"/>
      <c r="Y47" s="79"/>
      <c r="AC47" s="130"/>
      <c r="AE47" s="106"/>
    </row>
    <row r="48">
      <c r="A48" s="282" t="s">
        <v>424</v>
      </c>
      <c r="B48" s="283">
        <v>45455.0</v>
      </c>
      <c r="C48" s="166" t="s">
        <v>355</v>
      </c>
      <c r="D48" s="93">
        <f>688.36-15</f>
        <v>673.36</v>
      </c>
      <c r="E48" s="337">
        <v>45462.0</v>
      </c>
      <c r="F48" s="6"/>
      <c r="P48" s="79"/>
      <c r="Q48" s="79"/>
      <c r="R48" s="79"/>
      <c r="Y48" s="79"/>
      <c r="AC48" s="130"/>
      <c r="AE48" s="106"/>
    </row>
    <row r="49">
      <c r="A49" s="282" t="s">
        <v>433</v>
      </c>
      <c r="B49" s="283">
        <v>45461.0</v>
      </c>
      <c r="C49" s="166" t="s">
        <v>434</v>
      </c>
      <c r="D49" s="93">
        <v>458.28</v>
      </c>
      <c r="E49" s="337">
        <v>45475.0</v>
      </c>
      <c r="F49" s="6"/>
      <c r="P49" s="79"/>
      <c r="Q49" s="79"/>
      <c r="R49" s="79"/>
      <c r="Y49" s="79"/>
      <c r="AC49" s="130"/>
      <c r="AE49" s="106"/>
    </row>
    <row r="50">
      <c r="A50" s="282" t="s">
        <v>435</v>
      </c>
      <c r="B50" s="283">
        <v>45461.0</v>
      </c>
      <c r="C50" s="166" t="s">
        <v>379</v>
      </c>
      <c r="D50" s="93">
        <v>1455.7</v>
      </c>
      <c r="E50" s="337">
        <v>45496.0</v>
      </c>
      <c r="F50" s="6"/>
      <c r="P50" s="79"/>
      <c r="Q50" s="79"/>
      <c r="R50" s="79"/>
      <c r="Y50" s="79"/>
      <c r="AC50" s="130"/>
      <c r="AE50" s="106"/>
    </row>
    <row r="51">
      <c r="A51" s="282" t="s">
        <v>436</v>
      </c>
      <c r="B51" s="283">
        <v>45462.0</v>
      </c>
      <c r="C51" s="166" t="s">
        <v>437</v>
      </c>
      <c r="D51" s="93">
        <v>2341.92</v>
      </c>
      <c r="E51" s="291"/>
      <c r="F51" s="6"/>
      <c r="P51" s="79"/>
      <c r="Q51" s="79"/>
      <c r="R51" s="79"/>
      <c r="Y51" s="79"/>
      <c r="AC51" s="130"/>
      <c r="AE51" s="106"/>
    </row>
    <row r="52">
      <c r="A52" s="282" t="s">
        <v>438</v>
      </c>
      <c r="B52" s="283">
        <v>45464.0</v>
      </c>
      <c r="C52" s="166" t="s">
        <v>437</v>
      </c>
      <c r="D52" s="93">
        <v>1204.97</v>
      </c>
      <c r="E52" s="291"/>
      <c r="P52" s="79"/>
      <c r="Q52" s="79"/>
      <c r="R52" s="79"/>
      <c r="Y52" s="79"/>
      <c r="AC52" s="130"/>
      <c r="AE52" s="106"/>
    </row>
    <row r="53">
      <c r="A53" s="282" t="s">
        <v>439</v>
      </c>
      <c r="B53" s="283">
        <v>45464.0</v>
      </c>
      <c r="C53" s="166" t="s">
        <v>408</v>
      </c>
      <c r="D53" s="93">
        <v>250.0</v>
      </c>
      <c r="E53" s="291" t="s">
        <v>440</v>
      </c>
      <c r="F53" s="45">
        <f>D53/2</f>
        <v>125</v>
      </c>
      <c r="P53" s="79"/>
      <c r="Q53" s="79"/>
      <c r="R53" s="79"/>
      <c r="Y53" s="79"/>
      <c r="AC53" s="130"/>
      <c r="AE53" s="106"/>
    </row>
    <row r="54">
      <c r="A54" s="282" t="s">
        <v>441</v>
      </c>
      <c r="B54" s="283">
        <v>45465.0</v>
      </c>
      <c r="C54" s="166" t="s">
        <v>159</v>
      </c>
      <c r="D54" s="93">
        <v>218.23</v>
      </c>
      <c r="E54" s="337">
        <v>45492.0</v>
      </c>
      <c r="P54" s="79"/>
      <c r="Q54" s="79"/>
      <c r="R54" s="79"/>
      <c r="Y54" s="79"/>
      <c r="AC54" s="130"/>
      <c r="AE54" s="106"/>
    </row>
    <row r="55">
      <c r="A55" s="282"/>
      <c r="B55" s="283"/>
      <c r="C55" s="166"/>
      <c r="D55" s="93"/>
      <c r="E55" s="291"/>
      <c r="P55" s="79"/>
      <c r="Q55" s="79"/>
      <c r="R55" s="79"/>
      <c r="Y55" s="79"/>
      <c r="AC55" s="130"/>
      <c r="AE55" s="106"/>
    </row>
    <row r="56">
      <c r="A56" s="282"/>
      <c r="B56" s="283"/>
      <c r="C56" s="166"/>
      <c r="D56" s="93"/>
      <c r="E56" s="291"/>
      <c r="P56" s="79"/>
      <c r="Q56" s="79"/>
      <c r="R56" s="79"/>
      <c r="Y56" s="79"/>
      <c r="AC56" s="130"/>
      <c r="AE56" s="106"/>
    </row>
    <row r="57">
      <c r="C57" s="79"/>
      <c r="D57" s="79"/>
      <c r="E57" s="79"/>
      <c r="P57" s="79"/>
      <c r="Q57" s="79"/>
      <c r="R57" s="79"/>
      <c r="Y57" s="79"/>
      <c r="AC57" s="130"/>
      <c r="AE57" s="106"/>
    </row>
    <row r="58">
      <c r="C58" s="79"/>
      <c r="D58" s="79"/>
      <c r="E58" s="79"/>
      <c r="P58" s="79"/>
      <c r="Q58" s="79"/>
      <c r="R58" s="79"/>
      <c r="Y58" s="79"/>
      <c r="AC58" s="130"/>
      <c r="AE58" s="106"/>
    </row>
    <row r="59">
      <c r="C59" s="79"/>
      <c r="D59" s="79"/>
      <c r="E59" s="79"/>
      <c r="P59" s="79"/>
      <c r="Q59" s="79"/>
      <c r="R59" s="79"/>
      <c r="Y59" s="79"/>
      <c r="AC59" s="130"/>
      <c r="AE59" s="106"/>
    </row>
    <row r="60">
      <c r="C60" s="79"/>
      <c r="D60" s="79"/>
      <c r="E60" s="79"/>
      <c r="P60" s="79"/>
      <c r="Q60" s="79"/>
      <c r="R60" s="79"/>
      <c r="Y60" s="79"/>
      <c r="AC60" s="130"/>
      <c r="AE60" s="106"/>
    </row>
    <row r="61">
      <c r="C61" s="79"/>
      <c r="D61" s="79"/>
      <c r="E61" s="79"/>
      <c r="P61" s="79"/>
      <c r="Q61" s="79"/>
      <c r="R61" s="79"/>
      <c r="Y61" s="79"/>
      <c r="AC61" s="130"/>
      <c r="AE61" s="106"/>
    </row>
    <row r="62">
      <c r="C62" s="79"/>
      <c r="D62" s="79"/>
      <c r="E62" s="79"/>
      <c r="P62" s="79"/>
      <c r="Q62" s="79"/>
      <c r="R62" s="79"/>
      <c r="Y62" s="79"/>
      <c r="AC62" s="130"/>
      <c r="AE62" s="106"/>
    </row>
    <row r="63">
      <c r="C63" s="79"/>
      <c r="D63" s="79"/>
      <c r="E63" s="79"/>
      <c r="P63" s="79"/>
      <c r="Q63" s="79"/>
      <c r="R63" s="79"/>
      <c r="Y63" s="79"/>
      <c r="AC63" s="130"/>
      <c r="AE63" s="106"/>
    </row>
    <row r="64">
      <c r="C64" s="79"/>
      <c r="D64" s="79"/>
      <c r="E64" s="79"/>
      <c r="P64" s="79"/>
      <c r="Q64" s="79"/>
      <c r="R64" s="79"/>
      <c r="Y64" s="79"/>
      <c r="AC64" s="130"/>
      <c r="AE64" s="106"/>
    </row>
    <row r="65">
      <c r="C65" s="79"/>
      <c r="D65" s="79"/>
      <c r="E65" s="79"/>
      <c r="P65" s="79"/>
      <c r="Q65" s="79"/>
      <c r="R65" s="79"/>
      <c r="Y65" s="79"/>
      <c r="AC65" s="130"/>
      <c r="AE65" s="106"/>
    </row>
    <row r="66">
      <c r="C66" s="79"/>
      <c r="D66" s="79"/>
      <c r="E66" s="79"/>
      <c r="P66" s="79"/>
      <c r="Q66" s="79"/>
      <c r="R66" s="79"/>
      <c r="Y66" s="79"/>
      <c r="AC66" s="130"/>
      <c r="AE66" s="106"/>
    </row>
    <row r="67">
      <c r="C67" s="79"/>
      <c r="D67" s="79"/>
      <c r="E67" s="79"/>
      <c r="P67" s="79"/>
      <c r="Q67" s="79"/>
      <c r="R67" s="79"/>
      <c r="Y67" s="79"/>
      <c r="AC67" s="130"/>
      <c r="AE67" s="106"/>
    </row>
    <row r="68">
      <c r="C68" s="79"/>
      <c r="D68" s="79"/>
      <c r="E68" s="79"/>
      <c r="P68" s="79"/>
      <c r="Q68" s="79"/>
      <c r="R68" s="79"/>
      <c r="Y68" s="79"/>
      <c r="AC68" s="130"/>
      <c r="AE68" s="106"/>
    </row>
    <row r="69">
      <c r="C69" s="79"/>
      <c r="D69" s="79"/>
      <c r="E69" s="79"/>
      <c r="P69" s="79"/>
      <c r="Q69" s="79"/>
      <c r="R69" s="79"/>
      <c r="Y69" s="79"/>
      <c r="AC69" s="130"/>
      <c r="AE69" s="106"/>
    </row>
    <row r="70">
      <c r="C70" s="79"/>
      <c r="D70" s="79"/>
      <c r="E70" s="79"/>
      <c r="P70" s="79"/>
      <c r="Q70" s="79"/>
      <c r="R70" s="79"/>
      <c r="Y70" s="79"/>
      <c r="AC70" s="130"/>
      <c r="AE70" s="106"/>
    </row>
    <row r="71">
      <c r="C71" s="79"/>
      <c r="D71" s="79"/>
      <c r="E71" s="79"/>
      <c r="P71" s="79"/>
      <c r="Q71" s="79"/>
      <c r="R71" s="79"/>
      <c r="Y71" s="79"/>
      <c r="AC71" s="130"/>
      <c r="AE71" s="106"/>
    </row>
    <row r="72">
      <c r="C72" s="79"/>
      <c r="D72" s="79"/>
      <c r="E72" s="79"/>
      <c r="P72" s="79"/>
      <c r="Q72" s="79"/>
      <c r="R72" s="79"/>
      <c r="Y72" s="79"/>
      <c r="AC72" s="130"/>
      <c r="AE72" s="106"/>
    </row>
    <row r="73">
      <c r="C73" s="79"/>
      <c r="D73" s="79"/>
      <c r="E73" s="79"/>
      <c r="P73" s="79"/>
      <c r="Q73" s="79"/>
      <c r="R73" s="79"/>
      <c r="Y73" s="79"/>
      <c r="AC73" s="130"/>
      <c r="AE73" s="106"/>
    </row>
    <row r="74">
      <c r="C74" s="79"/>
      <c r="D74" s="79"/>
      <c r="E74" s="79"/>
      <c r="P74" s="79"/>
      <c r="Q74" s="79"/>
      <c r="R74" s="79"/>
      <c r="Y74" s="79"/>
      <c r="AC74" s="130"/>
      <c r="AE74" s="106"/>
    </row>
    <row r="75">
      <c r="C75" s="79"/>
      <c r="D75" s="79"/>
      <c r="E75" s="79"/>
      <c r="P75" s="79"/>
      <c r="Q75" s="79"/>
      <c r="R75" s="79"/>
      <c r="Y75" s="79"/>
      <c r="AC75" s="130"/>
      <c r="AE75" s="106"/>
    </row>
    <row r="76">
      <c r="C76" s="79"/>
      <c r="D76" s="79"/>
      <c r="E76" s="79"/>
      <c r="P76" s="79"/>
      <c r="Q76" s="79"/>
      <c r="R76" s="79"/>
      <c r="Y76" s="79"/>
      <c r="AC76" s="130"/>
      <c r="AE76" s="106"/>
    </row>
    <row r="77">
      <c r="C77" s="79"/>
      <c r="D77" s="79"/>
      <c r="E77" s="79"/>
      <c r="P77" s="79"/>
      <c r="Q77" s="79"/>
      <c r="R77" s="79"/>
      <c r="Y77" s="79"/>
      <c r="AC77" s="130"/>
      <c r="AE77" s="106"/>
    </row>
    <row r="78">
      <c r="C78" s="79"/>
      <c r="D78" s="79"/>
      <c r="E78" s="79"/>
      <c r="P78" s="79"/>
      <c r="Q78" s="79"/>
      <c r="R78" s="79"/>
      <c r="Y78" s="79"/>
      <c r="AC78" s="130"/>
      <c r="AE78" s="106"/>
    </row>
    <row r="79">
      <c r="C79" s="79"/>
      <c r="D79" s="79"/>
      <c r="E79" s="79"/>
      <c r="P79" s="79"/>
      <c r="Q79" s="79"/>
      <c r="R79" s="79"/>
      <c r="Y79" s="79"/>
      <c r="AC79" s="130"/>
      <c r="AE79" s="106"/>
    </row>
    <row r="80">
      <c r="C80" s="79"/>
      <c r="D80" s="79"/>
      <c r="E80" s="79"/>
      <c r="P80" s="79"/>
      <c r="Q80" s="79"/>
      <c r="R80" s="79"/>
      <c r="Y80" s="79"/>
      <c r="AC80" s="130"/>
      <c r="AE80" s="106"/>
    </row>
    <row r="81">
      <c r="C81" s="79"/>
      <c r="D81" s="79"/>
      <c r="E81" s="79"/>
      <c r="P81" s="79"/>
      <c r="Q81" s="79"/>
      <c r="R81" s="79"/>
      <c r="Y81" s="79"/>
      <c r="AC81" s="130"/>
      <c r="AE81" s="106"/>
    </row>
    <row r="82">
      <c r="C82" s="79"/>
      <c r="D82" s="79"/>
      <c r="E82" s="79"/>
      <c r="P82" s="79"/>
      <c r="Q82" s="79"/>
      <c r="R82" s="79"/>
      <c r="Y82" s="79"/>
      <c r="AC82" s="130"/>
      <c r="AE82" s="106"/>
    </row>
    <row r="83">
      <c r="C83" s="79"/>
      <c r="D83" s="79"/>
      <c r="E83" s="79"/>
      <c r="P83" s="79"/>
      <c r="Q83" s="79"/>
      <c r="R83" s="79"/>
      <c r="Y83" s="79"/>
      <c r="AC83" s="130"/>
      <c r="AE83" s="106"/>
    </row>
    <row r="84">
      <c r="C84" s="79"/>
      <c r="D84" s="79"/>
      <c r="E84" s="79"/>
      <c r="P84" s="79"/>
      <c r="Q84" s="79"/>
      <c r="R84" s="79"/>
      <c r="Y84" s="79"/>
      <c r="AC84" s="130"/>
      <c r="AE84" s="106"/>
    </row>
    <row r="85">
      <c r="C85" s="79"/>
      <c r="D85" s="79"/>
      <c r="E85" s="79"/>
      <c r="P85" s="79"/>
      <c r="Q85" s="79"/>
      <c r="R85" s="79"/>
      <c r="Y85" s="79"/>
      <c r="AC85" s="130"/>
      <c r="AE85" s="106"/>
    </row>
    <row r="86">
      <c r="C86" s="79"/>
      <c r="D86" s="79"/>
      <c r="E86" s="79"/>
      <c r="P86" s="79"/>
      <c r="Q86" s="79"/>
      <c r="R86" s="79"/>
      <c r="Y86" s="79"/>
      <c r="AC86" s="130"/>
      <c r="AE86" s="106"/>
    </row>
    <row r="87">
      <c r="C87" s="79"/>
      <c r="D87" s="79"/>
      <c r="E87" s="79"/>
      <c r="P87" s="79"/>
      <c r="Q87" s="79"/>
      <c r="R87" s="79"/>
      <c r="Y87" s="79"/>
      <c r="AC87" s="130"/>
      <c r="AE87" s="106"/>
    </row>
    <row r="88">
      <c r="C88" s="79"/>
      <c r="D88" s="79"/>
      <c r="E88" s="79"/>
      <c r="P88" s="79"/>
      <c r="Q88" s="79"/>
      <c r="R88" s="79"/>
      <c r="Y88" s="79"/>
      <c r="AC88" s="130"/>
      <c r="AE88" s="106"/>
    </row>
    <row r="89">
      <c r="C89" s="79"/>
      <c r="D89" s="79"/>
      <c r="E89" s="79"/>
      <c r="P89" s="79"/>
      <c r="Q89" s="79"/>
      <c r="R89" s="79"/>
      <c r="Y89" s="79"/>
      <c r="AC89" s="130"/>
      <c r="AE89" s="106"/>
    </row>
    <row r="90">
      <c r="C90" s="79"/>
      <c r="D90" s="79"/>
      <c r="E90" s="79"/>
      <c r="P90" s="79"/>
      <c r="Q90" s="79"/>
      <c r="R90" s="79"/>
      <c r="Y90" s="79"/>
      <c r="AC90" s="130"/>
      <c r="AE90" s="106"/>
    </row>
    <row r="91">
      <c r="C91" s="79"/>
      <c r="D91" s="79"/>
      <c r="E91" s="79"/>
      <c r="P91" s="79"/>
      <c r="Q91" s="79"/>
      <c r="R91" s="79"/>
      <c r="Y91" s="79"/>
      <c r="AC91" s="130"/>
      <c r="AE91" s="106"/>
    </row>
    <row r="92">
      <c r="C92" s="79"/>
      <c r="D92" s="79"/>
      <c r="E92" s="79"/>
      <c r="P92" s="79"/>
      <c r="Q92" s="79"/>
      <c r="R92" s="79"/>
      <c r="Y92" s="79"/>
      <c r="AC92" s="130"/>
      <c r="AE92" s="106"/>
    </row>
    <row r="93">
      <c r="C93" s="79"/>
      <c r="D93" s="79"/>
      <c r="E93" s="79"/>
      <c r="P93" s="79"/>
      <c r="Q93" s="79"/>
      <c r="R93" s="79"/>
      <c r="Y93" s="79"/>
      <c r="AC93" s="130"/>
      <c r="AE93" s="106"/>
    </row>
    <row r="94">
      <c r="C94" s="79"/>
      <c r="D94" s="79"/>
      <c r="E94" s="79"/>
      <c r="P94" s="79"/>
      <c r="Q94" s="79"/>
      <c r="R94" s="79"/>
      <c r="Y94" s="79"/>
      <c r="AC94" s="130"/>
      <c r="AE94" s="106"/>
    </row>
    <row r="95">
      <c r="C95" s="79"/>
      <c r="D95" s="79"/>
      <c r="E95" s="79"/>
      <c r="P95" s="79"/>
      <c r="Q95" s="79"/>
      <c r="R95" s="79"/>
      <c r="Y95" s="79"/>
      <c r="AC95" s="130"/>
      <c r="AE95" s="106"/>
    </row>
    <row r="96">
      <c r="C96" s="79"/>
      <c r="D96" s="79"/>
      <c r="E96" s="79"/>
      <c r="P96" s="79"/>
      <c r="Q96" s="79"/>
      <c r="R96" s="79"/>
      <c r="Y96" s="79"/>
      <c r="AC96" s="130"/>
      <c r="AE96" s="106"/>
    </row>
    <row r="97">
      <c r="C97" s="79"/>
      <c r="D97" s="79"/>
      <c r="E97" s="79"/>
      <c r="P97" s="79"/>
      <c r="Q97" s="79"/>
      <c r="R97" s="79"/>
      <c r="Y97" s="79"/>
      <c r="AC97" s="130"/>
      <c r="AE97" s="106"/>
    </row>
    <row r="98">
      <c r="C98" s="79"/>
      <c r="D98" s="79"/>
      <c r="E98" s="79"/>
      <c r="P98" s="79"/>
      <c r="Q98" s="79"/>
      <c r="R98" s="79"/>
      <c r="Y98" s="79"/>
      <c r="AC98" s="130"/>
      <c r="AE98" s="106"/>
    </row>
    <row r="99">
      <c r="C99" s="79"/>
      <c r="D99" s="79"/>
      <c r="E99" s="79"/>
      <c r="P99" s="79"/>
      <c r="Q99" s="79"/>
      <c r="R99" s="79"/>
      <c r="Y99" s="79"/>
      <c r="AC99" s="130"/>
      <c r="AE99" s="106"/>
    </row>
    <row r="100">
      <c r="C100" s="79"/>
      <c r="D100" s="79"/>
      <c r="E100" s="79"/>
      <c r="P100" s="79"/>
      <c r="Q100" s="79"/>
      <c r="R100" s="79"/>
      <c r="Y100" s="79"/>
      <c r="AC100" s="130"/>
      <c r="AE100" s="106"/>
    </row>
    <row r="101">
      <c r="C101" s="79"/>
      <c r="D101" s="79"/>
      <c r="E101" s="79"/>
      <c r="P101" s="79"/>
      <c r="Q101" s="79"/>
      <c r="R101" s="79"/>
      <c r="Y101" s="79"/>
      <c r="AC101" s="130"/>
      <c r="AE101" s="106"/>
    </row>
    <row r="102">
      <c r="C102" s="79"/>
      <c r="D102" s="79"/>
      <c r="E102" s="79"/>
      <c r="P102" s="79"/>
      <c r="Q102" s="79"/>
      <c r="R102" s="79"/>
      <c r="Y102" s="79"/>
      <c r="AC102" s="130"/>
      <c r="AE102" s="106"/>
    </row>
    <row r="103">
      <c r="C103" s="79"/>
      <c r="D103" s="79"/>
      <c r="E103" s="79"/>
      <c r="P103" s="79"/>
      <c r="Q103" s="79"/>
      <c r="R103" s="79"/>
      <c r="Y103" s="79"/>
      <c r="AC103" s="130"/>
      <c r="AE103" s="106"/>
    </row>
    <row r="104">
      <c r="C104" s="79"/>
      <c r="D104" s="79"/>
      <c r="E104" s="79"/>
      <c r="P104" s="79"/>
      <c r="Q104" s="79"/>
      <c r="R104" s="79"/>
      <c r="Y104" s="79"/>
      <c r="AC104" s="130"/>
      <c r="AE104" s="106"/>
    </row>
    <row r="105">
      <c r="C105" s="79"/>
      <c r="D105" s="79"/>
      <c r="E105" s="79"/>
      <c r="P105" s="79"/>
      <c r="Q105" s="79"/>
      <c r="R105" s="79"/>
      <c r="Y105" s="79"/>
      <c r="AC105" s="130"/>
      <c r="AE105" s="106"/>
    </row>
    <row r="106">
      <c r="C106" s="79"/>
      <c r="D106" s="79"/>
      <c r="E106" s="79"/>
      <c r="P106" s="79"/>
      <c r="Q106" s="79"/>
      <c r="R106" s="79"/>
      <c r="Y106" s="79"/>
      <c r="AC106" s="130"/>
      <c r="AE106" s="106"/>
    </row>
    <row r="107">
      <c r="C107" s="79"/>
      <c r="D107" s="79"/>
      <c r="E107" s="79"/>
      <c r="P107" s="79"/>
      <c r="Q107" s="79"/>
      <c r="R107" s="79"/>
      <c r="Y107" s="79"/>
      <c r="AC107" s="130"/>
      <c r="AE107" s="106"/>
    </row>
    <row r="108">
      <c r="C108" s="79"/>
      <c r="D108" s="79"/>
      <c r="E108" s="79"/>
      <c r="P108" s="79"/>
      <c r="Q108" s="79"/>
      <c r="R108" s="79"/>
      <c r="Y108" s="79"/>
      <c r="AC108" s="130"/>
      <c r="AE108" s="106"/>
    </row>
    <row r="109">
      <c r="C109" s="79"/>
      <c r="D109" s="79"/>
      <c r="E109" s="79"/>
      <c r="P109" s="79"/>
      <c r="Q109" s="79"/>
      <c r="R109" s="79"/>
      <c r="Y109" s="79"/>
      <c r="AC109" s="130"/>
      <c r="AE109" s="106"/>
    </row>
    <row r="110">
      <c r="C110" s="79"/>
      <c r="D110" s="79"/>
      <c r="E110" s="79"/>
      <c r="P110" s="79"/>
      <c r="Q110" s="79"/>
      <c r="R110" s="79"/>
      <c r="Y110" s="79"/>
      <c r="AC110" s="130"/>
      <c r="AE110" s="106"/>
    </row>
    <row r="111">
      <c r="C111" s="79"/>
      <c r="D111" s="79"/>
      <c r="E111" s="79"/>
      <c r="P111" s="79"/>
      <c r="Q111" s="79"/>
      <c r="R111" s="79"/>
      <c r="Y111" s="79"/>
      <c r="AC111" s="130"/>
      <c r="AE111" s="106"/>
    </row>
    <row r="112">
      <c r="C112" s="79"/>
      <c r="D112" s="79"/>
      <c r="E112" s="79"/>
      <c r="P112" s="79"/>
      <c r="Q112" s="79"/>
      <c r="R112" s="79"/>
      <c r="Y112" s="79"/>
      <c r="AC112" s="130"/>
      <c r="AE112" s="106"/>
    </row>
    <row r="113">
      <c r="C113" s="79"/>
      <c r="D113" s="79"/>
      <c r="E113" s="79"/>
      <c r="P113" s="79"/>
      <c r="Q113" s="79"/>
      <c r="R113" s="79"/>
      <c r="Y113" s="79"/>
      <c r="AC113" s="130"/>
      <c r="AE113" s="106"/>
    </row>
    <row r="114">
      <c r="C114" s="79"/>
      <c r="D114" s="79"/>
      <c r="E114" s="79"/>
      <c r="P114" s="79"/>
      <c r="Q114" s="79"/>
      <c r="R114" s="79"/>
      <c r="Y114" s="79"/>
      <c r="AC114" s="130"/>
      <c r="AE114" s="106"/>
    </row>
    <row r="115">
      <c r="C115" s="79"/>
      <c r="D115" s="79"/>
      <c r="E115" s="79"/>
      <c r="P115" s="79"/>
      <c r="Q115" s="79"/>
      <c r="R115" s="79"/>
      <c r="Y115" s="79"/>
      <c r="AC115" s="130"/>
      <c r="AE115" s="106"/>
    </row>
    <row r="116">
      <c r="C116" s="79"/>
      <c r="D116" s="79"/>
      <c r="E116" s="79"/>
      <c r="P116" s="79"/>
      <c r="Q116" s="79"/>
      <c r="R116" s="79"/>
      <c r="Y116" s="79"/>
      <c r="AC116" s="130"/>
      <c r="AE116" s="106"/>
    </row>
    <row r="117">
      <c r="C117" s="79"/>
      <c r="D117" s="79"/>
      <c r="E117" s="79"/>
      <c r="P117" s="79"/>
      <c r="Q117" s="79"/>
      <c r="R117" s="79"/>
      <c r="Y117" s="79"/>
      <c r="AC117" s="130"/>
      <c r="AE117" s="106"/>
    </row>
    <row r="118">
      <c r="C118" s="79"/>
      <c r="D118" s="79"/>
      <c r="E118" s="79"/>
      <c r="P118" s="79"/>
      <c r="Q118" s="79"/>
      <c r="R118" s="79"/>
      <c r="Y118" s="79"/>
      <c r="AC118" s="130"/>
      <c r="AE118" s="106"/>
    </row>
    <row r="119">
      <c r="C119" s="79"/>
      <c r="D119" s="79"/>
      <c r="E119" s="79"/>
      <c r="P119" s="79"/>
      <c r="Q119" s="79"/>
      <c r="R119" s="79"/>
      <c r="Y119" s="79"/>
      <c r="AC119" s="130"/>
      <c r="AE119" s="106"/>
    </row>
    <row r="120">
      <c r="C120" s="79"/>
      <c r="D120" s="79"/>
      <c r="E120" s="79"/>
      <c r="P120" s="79"/>
      <c r="Q120" s="79"/>
      <c r="R120" s="79"/>
      <c r="Y120" s="79"/>
      <c r="AC120" s="130"/>
      <c r="AE120" s="106"/>
    </row>
    <row r="121">
      <c r="C121" s="79"/>
      <c r="D121" s="79"/>
      <c r="E121" s="79"/>
      <c r="P121" s="79"/>
      <c r="Q121" s="79"/>
      <c r="R121" s="79"/>
      <c r="Y121" s="79"/>
      <c r="AC121" s="130"/>
      <c r="AE121" s="106"/>
    </row>
    <row r="122">
      <c r="C122" s="79"/>
      <c r="D122" s="79"/>
      <c r="E122" s="79"/>
      <c r="P122" s="79"/>
      <c r="Q122" s="79"/>
      <c r="R122" s="79"/>
      <c r="Y122" s="79"/>
      <c r="AC122" s="130"/>
      <c r="AE122" s="106"/>
    </row>
    <row r="123">
      <c r="C123" s="79"/>
      <c r="D123" s="79"/>
      <c r="E123" s="79"/>
      <c r="P123" s="79"/>
      <c r="Q123" s="79"/>
      <c r="R123" s="79"/>
      <c r="Y123" s="79"/>
      <c r="AC123" s="130"/>
      <c r="AE123" s="106"/>
    </row>
    <row r="124">
      <c r="C124" s="79"/>
      <c r="D124" s="79"/>
      <c r="E124" s="79"/>
      <c r="P124" s="79"/>
      <c r="Q124" s="79"/>
      <c r="R124" s="79"/>
      <c r="Y124" s="79"/>
      <c r="AC124" s="130"/>
      <c r="AE124" s="106"/>
    </row>
    <row r="125">
      <c r="C125" s="79"/>
      <c r="D125" s="79"/>
      <c r="E125" s="79"/>
      <c r="P125" s="79"/>
      <c r="Q125" s="79"/>
      <c r="R125" s="79"/>
      <c r="Y125" s="79"/>
      <c r="AC125" s="130"/>
      <c r="AE125" s="106"/>
    </row>
    <row r="126">
      <c r="C126" s="79"/>
      <c r="D126" s="79"/>
      <c r="E126" s="79"/>
      <c r="P126" s="79"/>
      <c r="Q126" s="79"/>
      <c r="R126" s="79"/>
      <c r="Y126" s="79"/>
      <c r="AC126" s="130"/>
      <c r="AE126" s="106"/>
    </row>
    <row r="127">
      <c r="C127" s="79"/>
      <c r="D127" s="79"/>
      <c r="E127" s="79"/>
      <c r="P127" s="79"/>
      <c r="Q127" s="79"/>
      <c r="R127" s="79"/>
      <c r="Y127" s="79"/>
      <c r="AC127" s="130"/>
      <c r="AE127" s="106"/>
    </row>
    <row r="128">
      <c r="C128" s="79"/>
      <c r="D128" s="79"/>
      <c r="E128" s="79"/>
      <c r="P128" s="79"/>
      <c r="Q128" s="79"/>
      <c r="R128" s="79"/>
      <c r="Y128" s="79"/>
      <c r="AC128" s="130"/>
      <c r="AE128" s="106"/>
    </row>
    <row r="129">
      <c r="C129" s="79"/>
      <c r="D129" s="79"/>
      <c r="E129" s="79"/>
      <c r="P129" s="79"/>
      <c r="Q129" s="79"/>
      <c r="R129" s="79"/>
      <c r="Y129" s="79"/>
      <c r="AC129" s="130"/>
      <c r="AE129" s="106"/>
    </row>
    <row r="130">
      <c r="C130" s="79"/>
      <c r="D130" s="79"/>
      <c r="E130" s="79"/>
      <c r="P130" s="79"/>
      <c r="Q130" s="79"/>
      <c r="R130" s="79"/>
      <c r="Y130" s="79"/>
      <c r="AC130" s="130"/>
      <c r="AE130" s="106"/>
    </row>
    <row r="131">
      <c r="C131" s="79"/>
      <c r="D131" s="79"/>
      <c r="E131" s="79"/>
      <c r="P131" s="79"/>
      <c r="Q131" s="79"/>
      <c r="R131" s="79"/>
      <c r="Y131" s="79"/>
      <c r="AC131" s="130"/>
      <c r="AE131" s="106"/>
    </row>
    <row r="132">
      <c r="C132" s="79"/>
      <c r="D132" s="79"/>
      <c r="E132" s="79"/>
      <c r="P132" s="79"/>
      <c r="Q132" s="79"/>
      <c r="R132" s="79"/>
      <c r="Y132" s="79"/>
      <c r="AC132" s="130"/>
      <c r="AE132" s="106"/>
    </row>
    <row r="133">
      <c r="C133" s="79"/>
      <c r="D133" s="79"/>
      <c r="E133" s="79"/>
      <c r="P133" s="79"/>
      <c r="Q133" s="79"/>
      <c r="R133" s="79"/>
      <c r="Y133" s="79"/>
      <c r="AC133" s="130"/>
      <c r="AE133" s="106"/>
    </row>
    <row r="134">
      <c r="C134" s="79"/>
      <c r="D134" s="79"/>
      <c r="E134" s="79"/>
      <c r="P134" s="79"/>
      <c r="Q134" s="79"/>
      <c r="R134" s="79"/>
      <c r="Y134" s="79"/>
      <c r="AC134" s="130"/>
      <c r="AE134" s="106"/>
    </row>
    <row r="135">
      <c r="C135" s="79"/>
      <c r="D135" s="79"/>
      <c r="E135" s="79"/>
      <c r="P135" s="79"/>
      <c r="Q135" s="79"/>
      <c r="R135" s="79"/>
      <c r="Y135" s="79"/>
      <c r="AC135" s="130"/>
      <c r="AE135" s="106"/>
    </row>
    <row r="136">
      <c r="C136" s="79"/>
      <c r="D136" s="79"/>
      <c r="E136" s="79"/>
      <c r="P136" s="79"/>
      <c r="Q136" s="79"/>
      <c r="R136" s="79"/>
      <c r="Y136" s="79"/>
      <c r="AC136" s="130"/>
      <c r="AE136" s="106"/>
    </row>
    <row r="137">
      <c r="C137" s="79"/>
      <c r="D137" s="79"/>
      <c r="E137" s="79"/>
      <c r="P137" s="79"/>
      <c r="Q137" s="79"/>
      <c r="R137" s="79"/>
      <c r="Y137" s="79"/>
      <c r="AC137" s="130"/>
      <c r="AE137" s="106"/>
    </row>
    <row r="138">
      <c r="C138" s="79"/>
      <c r="D138" s="79"/>
      <c r="E138" s="79"/>
      <c r="P138" s="79"/>
      <c r="Q138" s="79"/>
      <c r="R138" s="79"/>
      <c r="Y138" s="79"/>
      <c r="AC138" s="130"/>
      <c r="AE138" s="106"/>
    </row>
    <row r="139">
      <c r="C139" s="79"/>
      <c r="D139" s="79"/>
      <c r="E139" s="79"/>
      <c r="P139" s="79"/>
      <c r="Q139" s="79"/>
      <c r="R139" s="79"/>
      <c r="Y139" s="79"/>
      <c r="AC139" s="130"/>
      <c r="AE139" s="106"/>
    </row>
    <row r="140">
      <c r="C140" s="79"/>
      <c r="D140" s="79"/>
      <c r="E140" s="79"/>
      <c r="P140" s="79"/>
      <c r="Q140" s="79"/>
      <c r="R140" s="79"/>
      <c r="Y140" s="79"/>
      <c r="AC140" s="130"/>
      <c r="AE140" s="106"/>
    </row>
    <row r="141">
      <c r="C141" s="79"/>
      <c r="D141" s="79"/>
      <c r="E141" s="79"/>
      <c r="P141" s="79"/>
      <c r="Q141" s="79"/>
      <c r="R141" s="79"/>
      <c r="Y141" s="79"/>
      <c r="AC141" s="130"/>
      <c r="AE141" s="106"/>
    </row>
    <row r="142">
      <c r="C142" s="79"/>
      <c r="D142" s="79"/>
      <c r="E142" s="79"/>
      <c r="P142" s="79"/>
      <c r="Q142" s="79"/>
      <c r="R142" s="79"/>
      <c r="Y142" s="79"/>
      <c r="AC142" s="130"/>
      <c r="AE142" s="106"/>
    </row>
    <row r="143">
      <c r="C143" s="79"/>
      <c r="D143" s="79"/>
      <c r="E143" s="79"/>
      <c r="P143" s="79"/>
      <c r="Q143" s="79"/>
      <c r="R143" s="79"/>
      <c r="Y143" s="79"/>
      <c r="AC143" s="130"/>
      <c r="AE143" s="106"/>
    </row>
    <row r="144">
      <c r="C144" s="79"/>
      <c r="D144" s="79"/>
      <c r="E144" s="79"/>
      <c r="P144" s="79"/>
      <c r="Q144" s="79"/>
      <c r="R144" s="79"/>
      <c r="Y144" s="79"/>
      <c r="AC144" s="130"/>
      <c r="AE144" s="106"/>
    </row>
    <row r="145">
      <c r="C145" s="79"/>
      <c r="D145" s="79"/>
      <c r="E145" s="79"/>
      <c r="P145" s="79"/>
      <c r="Q145" s="79"/>
      <c r="R145" s="79"/>
      <c r="Y145" s="79"/>
      <c r="AC145" s="130"/>
      <c r="AE145" s="106"/>
    </row>
    <row r="146">
      <c r="C146" s="79"/>
      <c r="D146" s="79"/>
      <c r="E146" s="79"/>
      <c r="P146" s="79"/>
      <c r="Q146" s="79"/>
      <c r="R146" s="79"/>
      <c r="Y146" s="79"/>
      <c r="AC146" s="130"/>
      <c r="AE146" s="106"/>
    </row>
    <row r="147">
      <c r="C147" s="79"/>
      <c r="D147" s="79"/>
      <c r="E147" s="79"/>
      <c r="P147" s="79"/>
      <c r="Q147" s="79"/>
      <c r="R147" s="79"/>
      <c r="Y147" s="79"/>
      <c r="AC147" s="130"/>
      <c r="AE147" s="106"/>
    </row>
    <row r="148">
      <c r="C148" s="79"/>
      <c r="D148" s="79"/>
      <c r="E148" s="79"/>
      <c r="P148" s="79"/>
      <c r="Q148" s="79"/>
      <c r="R148" s="79"/>
      <c r="Y148" s="79"/>
      <c r="AC148" s="130"/>
      <c r="AE148" s="106"/>
    </row>
    <row r="149">
      <c r="C149" s="79"/>
      <c r="D149" s="79"/>
      <c r="E149" s="79"/>
      <c r="P149" s="79"/>
      <c r="Q149" s="79"/>
      <c r="R149" s="79"/>
      <c r="Y149" s="79"/>
      <c r="AC149" s="130"/>
      <c r="AE149" s="106"/>
    </row>
    <row r="150">
      <c r="C150" s="79"/>
      <c r="D150" s="79"/>
      <c r="E150" s="79"/>
      <c r="P150" s="79"/>
      <c r="Q150" s="79"/>
      <c r="R150" s="79"/>
      <c r="Y150" s="79"/>
      <c r="AC150" s="130"/>
      <c r="AE150" s="106"/>
    </row>
    <row r="151">
      <c r="C151" s="79"/>
      <c r="D151" s="79"/>
      <c r="E151" s="79"/>
      <c r="P151" s="79"/>
      <c r="Q151" s="79"/>
      <c r="R151" s="79"/>
      <c r="Y151" s="79"/>
      <c r="AC151" s="130"/>
      <c r="AE151" s="106"/>
    </row>
    <row r="152">
      <c r="C152" s="79"/>
      <c r="D152" s="79"/>
      <c r="E152" s="79"/>
      <c r="P152" s="79"/>
      <c r="Q152" s="79"/>
      <c r="R152" s="79"/>
      <c r="Y152" s="79"/>
      <c r="AC152" s="130"/>
      <c r="AE152" s="106"/>
    </row>
    <row r="153">
      <c r="C153" s="79"/>
      <c r="D153" s="79"/>
      <c r="E153" s="79"/>
      <c r="P153" s="79"/>
      <c r="Q153" s="79"/>
      <c r="R153" s="79"/>
      <c r="Y153" s="79"/>
      <c r="AC153" s="130"/>
      <c r="AE153" s="106"/>
    </row>
    <row r="154">
      <c r="C154" s="79"/>
      <c r="D154" s="79"/>
      <c r="E154" s="79"/>
      <c r="P154" s="79"/>
      <c r="Q154" s="79"/>
      <c r="R154" s="79"/>
      <c r="Y154" s="79"/>
      <c r="AC154" s="130"/>
      <c r="AE154" s="106"/>
    </row>
    <row r="155">
      <c r="C155" s="79"/>
      <c r="D155" s="79"/>
      <c r="E155" s="79"/>
      <c r="P155" s="79"/>
      <c r="Q155" s="79"/>
      <c r="R155" s="79"/>
      <c r="Y155" s="79"/>
      <c r="AC155" s="130"/>
      <c r="AE155" s="106"/>
    </row>
    <row r="156">
      <c r="C156" s="79"/>
      <c r="D156" s="79"/>
      <c r="E156" s="79"/>
      <c r="P156" s="79"/>
      <c r="Q156" s="79"/>
      <c r="R156" s="79"/>
      <c r="Y156" s="79"/>
      <c r="AC156" s="130"/>
      <c r="AE156" s="106"/>
    </row>
    <row r="157">
      <c r="C157" s="79"/>
      <c r="D157" s="79"/>
      <c r="E157" s="79"/>
      <c r="P157" s="79"/>
      <c r="Q157" s="79"/>
      <c r="R157" s="79"/>
      <c r="Y157" s="79"/>
      <c r="AC157" s="130"/>
      <c r="AE157" s="106"/>
    </row>
    <row r="158">
      <c r="C158" s="79"/>
      <c r="D158" s="79"/>
      <c r="E158" s="79"/>
      <c r="P158" s="79"/>
      <c r="Q158" s="79"/>
      <c r="R158" s="79"/>
      <c r="Y158" s="79"/>
      <c r="AC158" s="130"/>
      <c r="AE158" s="106"/>
    </row>
    <row r="159">
      <c r="C159" s="79"/>
      <c r="D159" s="79"/>
      <c r="E159" s="79"/>
      <c r="P159" s="79"/>
      <c r="Q159" s="79"/>
      <c r="R159" s="79"/>
      <c r="Y159" s="79"/>
      <c r="AC159" s="130"/>
      <c r="AE159" s="106"/>
    </row>
    <row r="160">
      <c r="C160" s="79"/>
      <c r="D160" s="79"/>
      <c r="E160" s="79"/>
      <c r="P160" s="79"/>
      <c r="Q160" s="79"/>
      <c r="R160" s="79"/>
      <c r="Y160" s="79"/>
      <c r="AC160" s="130"/>
      <c r="AE160" s="106"/>
    </row>
    <row r="161">
      <c r="C161" s="79"/>
      <c r="D161" s="79"/>
      <c r="E161" s="79"/>
      <c r="P161" s="79"/>
      <c r="Q161" s="79"/>
      <c r="R161" s="79"/>
      <c r="Y161" s="79"/>
      <c r="AC161" s="130"/>
      <c r="AE161" s="106"/>
    </row>
    <row r="162">
      <c r="C162" s="79"/>
      <c r="D162" s="79"/>
      <c r="E162" s="79"/>
      <c r="P162" s="79"/>
      <c r="Q162" s="79"/>
      <c r="R162" s="79"/>
      <c r="Y162" s="79"/>
      <c r="AC162" s="130"/>
      <c r="AE162" s="106"/>
    </row>
    <row r="163">
      <c r="C163" s="79"/>
      <c r="D163" s="79"/>
      <c r="E163" s="79"/>
      <c r="P163" s="79"/>
      <c r="Q163" s="79"/>
      <c r="R163" s="79"/>
      <c r="Y163" s="79"/>
      <c r="AC163" s="130"/>
      <c r="AE163" s="106"/>
    </row>
    <row r="164">
      <c r="C164" s="79"/>
      <c r="D164" s="79"/>
      <c r="E164" s="79"/>
      <c r="P164" s="79"/>
      <c r="Q164" s="79"/>
      <c r="R164" s="79"/>
      <c r="Y164" s="79"/>
      <c r="AC164" s="130"/>
      <c r="AE164" s="106"/>
    </row>
    <row r="165">
      <c r="C165" s="79"/>
      <c r="D165" s="79"/>
      <c r="E165" s="79"/>
      <c r="P165" s="79"/>
      <c r="Q165" s="79"/>
      <c r="R165" s="79"/>
      <c r="Y165" s="79"/>
      <c r="AC165" s="130"/>
      <c r="AE165" s="106"/>
    </row>
    <row r="166">
      <c r="C166" s="79"/>
      <c r="D166" s="79"/>
      <c r="E166" s="79"/>
      <c r="P166" s="79"/>
      <c r="Q166" s="79"/>
      <c r="R166" s="79"/>
      <c r="Y166" s="79"/>
      <c r="AC166" s="130"/>
      <c r="AE166" s="106"/>
    </row>
    <row r="167">
      <c r="C167" s="79"/>
      <c r="D167" s="79"/>
      <c r="E167" s="79"/>
      <c r="P167" s="79"/>
      <c r="Q167" s="79"/>
      <c r="R167" s="79"/>
      <c r="Y167" s="79"/>
      <c r="AC167" s="130"/>
      <c r="AE167" s="106"/>
    </row>
    <row r="168">
      <c r="C168" s="79"/>
      <c r="D168" s="79"/>
      <c r="E168" s="79"/>
      <c r="P168" s="79"/>
      <c r="Q168" s="79"/>
      <c r="R168" s="79"/>
      <c r="Y168" s="79"/>
      <c r="AC168" s="130"/>
      <c r="AE168" s="106"/>
    </row>
    <row r="169">
      <c r="C169" s="79"/>
      <c r="D169" s="79"/>
      <c r="E169" s="79"/>
      <c r="P169" s="79"/>
      <c r="Q169" s="79"/>
      <c r="R169" s="79"/>
      <c r="Y169" s="79"/>
      <c r="AC169" s="130"/>
      <c r="AE169" s="106"/>
    </row>
    <row r="170">
      <c r="C170" s="79"/>
      <c r="D170" s="79"/>
      <c r="E170" s="79"/>
      <c r="P170" s="79"/>
      <c r="Q170" s="79"/>
      <c r="R170" s="79"/>
      <c r="Y170" s="79"/>
      <c r="AC170" s="130"/>
      <c r="AE170" s="106"/>
    </row>
    <row r="171">
      <c r="C171" s="79"/>
      <c r="D171" s="79"/>
      <c r="E171" s="79"/>
      <c r="P171" s="79"/>
      <c r="Q171" s="79"/>
      <c r="R171" s="79"/>
      <c r="Y171" s="79"/>
      <c r="AC171" s="130"/>
      <c r="AE171" s="106"/>
    </row>
    <row r="172">
      <c r="C172" s="79"/>
      <c r="D172" s="79"/>
      <c r="E172" s="79"/>
      <c r="P172" s="79"/>
      <c r="Q172" s="79"/>
      <c r="R172" s="79"/>
      <c r="Y172" s="79"/>
      <c r="AC172" s="130"/>
      <c r="AE172" s="106"/>
    </row>
    <row r="173">
      <c r="C173" s="79"/>
      <c r="D173" s="79"/>
      <c r="E173" s="79"/>
      <c r="P173" s="79"/>
      <c r="Q173" s="79"/>
      <c r="R173" s="79"/>
      <c r="Y173" s="79"/>
      <c r="AC173" s="130"/>
      <c r="AE173" s="106"/>
    </row>
    <row r="174">
      <c r="C174" s="79"/>
      <c r="D174" s="79"/>
      <c r="E174" s="79"/>
      <c r="P174" s="79"/>
      <c r="Q174" s="79"/>
      <c r="R174" s="79"/>
      <c r="Y174" s="79"/>
      <c r="AC174" s="130"/>
      <c r="AE174" s="106"/>
    </row>
    <row r="175">
      <c r="C175" s="79"/>
      <c r="D175" s="79"/>
      <c r="E175" s="79"/>
      <c r="P175" s="79"/>
      <c r="Q175" s="79"/>
      <c r="R175" s="79"/>
      <c r="Y175" s="79"/>
      <c r="AC175" s="130"/>
      <c r="AE175" s="106"/>
    </row>
    <row r="176">
      <c r="C176" s="79"/>
      <c r="D176" s="79"/>
      <c r="E176" s="79"/>
      <c r="P176" s="79"/>
      <c r="Q176" s="79"/>
      <c r="R176" s="79"/>
      <c r="Y176" s="79"/>
      <c r="AC176" s="130"/>
      <c r="AE176" s="106"/>
    </row>
    <row r="177">
      <c r="C177" s="79"/>
      <c r="D177" s="79"/>
      <c r="E177" s="79"/>
      <c r="P177" s="79"/>
      <c r="Q177" s="79"/>
      <c r="R177" s="79"/>
      <c r="Y177" s="79"/>
      <c r="AC177" s="130"/>
      <c r="AE177" s="106"/>
    </row>
    <row r="178">
      <c r="C178" s="79"/>
      <c r="D178" s="79"/>
      <c r="E178" s="79"/>
      <c r="P178" s="79"/>
      <c r="Q178" s="79"/>
      <c r="R178" s="79"/>
      <c r="Y178" s="79"/>
      <c r="AC178" s="130"/>
      <c r="AE178" s="106"/>
    </row>
    <row r="179">
      <c r="C179" s="79"/>
      <c r="D179" s="79"/>
      <c r="E179" s="79"/>
      <c r="P179" s="79"/>
      <c r="Q179" s="79"/>
      <c r="R179" s="79"/>
      <c r="Y179" s="79"/>
      <c r="AC179" s="130"/>
      <c r="AE179" s="106"/>
    </row>
    <row r="180">
      <c r="C180" s="79"/>
      <c r="D180" s="79"/>
      <c r="E180" s="79"/>
      <c r="P180" s="79"/>
      <c r="Q180" s="79"/>
      <c r="R180" s="79"/>
      <c r="Y180" s="79"/>
      <c r="AC180" s="130"/>
      <c r="AE180" s="106"/>
    </row>
    <row r="181">
      <c r="C181" s="79"/>
      <c r="D181" s="79"/>
      <c r="E181" s="79"/>
      <c r="P181" s="79"/>
      <c r="Q181" s="79"/>
      <c r="R181" s="79"/>
      <c r="Y181" s="79"/>
      <c r="AC181" s="130"/>
      <c r="AE181" s="106"/>
    </row>
    <row r="182">
      <c r="C182" s="79"/>
      <c r="D182" s="79"/>
      <c r="E182" s="79"/>
      <c r="P182" s="79"/>
      <c r="Q182" s="79"/>
      <c r="R182" s="79"/>
      <c r="Y182" s="79"/>
      <c r="AC182" s="130"/>
      <c r="AE182" s="106"/>
    </row>
    <row r="183">
      <c r="C183" s="79"/>
      <c r="D183" s="79"/>
      <c r="E183" s="79"/>
      <c r="P183" s="79"/>
      <c r="Q183" s="79"/>
      <c r="R183" s="79"/>
      <c r="Y183" s="79"/>
      <c r="AC183" s="130"/>
      <c r="AE183" s="106"/>
    </row>
    <row r="184">
      <c r="C184" s="79"/>
      <c r="D184" s="79"/>
      <c r="E184" s="79"/>
      <c r="P184" s="79"/>
      <c r="Q184" s="79"/>
      <c r="R184" s="79"/>
      <c r="Y184" s="79"/>
      <c r="AC184" s="130"/>
      <c r="AE184" s="106"/>
    </row>
    <row r="185">
      <c r="C185" s="79"/>
      <c r="D185" s="79"/>
      <c r="E185" s="79"/>
      <c r="P185" s="79"/>
      <c r="Q185" s="79"/>
      <c r="R185" s="79"/>
      <c r="Y185" s="79"/>
      <c r="AC185" s="130"/>
      <c r="AE185" s="106"/>
    </row>
    <row r="186">
      <c r="C186" s="79"/>
      <c r="D186" s="79"/>
      <c r="E186" s="79"/>
      <c r="P186" s="79"/>
      <c r="Q186" s="79"/>
      <c r="R186" s="79"/>
      <c r="Y186" s="79"/>
      <c r="AC186" s="130"/>
      <c r="AE186" s="106"/>
    </row>
    <row r="187">
      <c r="C187" s="79"/>
      <c r="D187" s="79"/>
      <c r="E187" s="79"/>
      <c r="P187" s="79"/>
      <c r="Q187" s="79"/>
      <c r="R187" s="79"/>
      <c r="Y187" s="79"/>
      <c r="AC187" s="130"/>
      <c r="AE187" s="106"/>
    </row>
    <row r="188">
      <c r="C188" s="79"/>
      <c r="D188" s="79"/>
      <c r="E188" s="79"/>
      <c r="P188" s="79"/>
      <c r="Q188" s="79"/>
      <c r="R188" s="79"/>
      <c r="Y188" s="79"/>
      <c r="AC188" s="130"/>
      <c r="AE188" s="106"/>
    </row>
    <row r="189">
      <c r="C189" s="79"/>
      <c r="D189" s="79"/>
      <c r="E189" s="79"/>
      <c r="P189" s="79"/>
      <c r="Q189" s="79"/>
      <c r="R189" s="79"/>
      <c r="Y189" s="79"/>
      <c r="AC189" s="130"/>
      <c r="AE189" s="106"/>
    </row>
    <row r="190">
      <c r="C190" s="79"/>
      <c r="D190" s="79"/>
      <c r="E190" s="79"/>
      <c r="P190" s="79"/>
      <c r="Q190" s="79"/>
      <c r="R190" s="79"/>
      <c r="Y190" s="79"/>
      <c r="AC190" s="130"/>
      <c r="AE190" s="106"/>
    </row>
    <row r="191">
      <c r="C191" s="79"/>
      <c r="D191" s="79"/>
      <c r="E191" s="79"/>
      <c r="P191" s="79"/>
      <c r="Q191" s="79"/>
      <c r="R191" s="79"/>
      <c r="Y191" s="79"/>
      <c r="AC191" s="130"/>
      <c r="AE191" s="106"/>
    </row>
    <row r="192">
      <c r="C192" s="79"/>
      <c r="D192" s="79"/>
      <c r="E192" s="79"/>
      <c r="P192" s="79"/>
      <c r="Q192" s="79"/>
      <c r="R192" s="79"/>
      <c r="Y192" s="79"/>
      <c r="AC192" s="130"/>
      <c r="AE192" s="106"/>
    </row>
    <row r="193">
      <c r="C193" s="79"/>
      <c r="D193" s="79"/>
      <c r="E193" s="79"/>
      <c r="P193" s="79"/>
      <c r="Q193" s="79"/>
      <c r="R193" s="79"/>
      <c r="Y193" s="79"/>
      <c r="AC193" s="130"/>
      <c r="AE193" s="106"/>
    </row>
    <row r="194">
      <c r="C194" s="79"/>
      <c r="D194" s="79"/>
      <c r="E194" s="79"/>
      <c r="P194" s="79"/>
      <c r="Q194" s="79"/>
      <c r="R194" s="79"/>
      <c r="Y194" s="79"/>
      <c r="AC194" s="130"/>
      <c r="AE194" s="106"/>
    </row>
    <row r="195">
      <c r="C195" s="79"/>
      <c r="D195" s="79"/>
      <c r="E195" s="79"/>
      <c r="P195" s="79"/>
      <c r="Q195" s="79"/>
      <c r="R195" s="79"/>
      <c r="Y195" s="79"/>
      <c r="AC195" s="130"/>
      <c r="AE195" s="106"/>
    </row>
    <row r="196">
      <c r="C196" s="79"/>
      <c r="D196" s="79"/>
      <c r="E196" s="79"/>
      <c r="P196" s="79"/>
      <c r="Q196" s="79"/>
      <c r="R196" s="79"/>
      <c r="Y196" s="79"/>
      <c r="AC196" s="130"/>
      <c r="AE196" s="106"/>
    </row>
    <row r="197">
      <c r="C197" s="79"/>
      <c r="D197" s="79"/>
      <c r="E197" s="79"/>
      <c r="P197" s="79"/>
      <c r="Q197" s="79"/>
      <c r="R197" s="79"/>
      <c r="Y197" s="79"/>
      <c r="AC197" s="130"/>
      <c r="AE197" s="106"/>
    </row>
    <row r="198">
      <c r="C198" s="79"/>
      <c r="D198" s="79"/>
      <c r="E198" s="79"/>
      <c r="P198" s="79"/>
      <c r="Q198" s="79"/>
      <c r="R198" s="79"/>
      <c r="Y198" s="79"/>
      <c r="AC198" s="130"/>
      <c r="AE198" s="106"/>
    </row>
    <row r="199">
      <c r="C199" s="79"/>
      <c r="D199" s="79"/>
      <c r="E199" s="79"/>
      <c r="P199" s="79"/>
      <c r="Q199" s="79"/>
      <c r="R199" s="79"/>
      <c r="Y199" s="79"/>
      <c r="AC199" s="130"/>
      <c r="AE199" s="106"/>
    </row>
    <row r="200">
      <c r="C200" s="79"/>
      <c r="D200" s="79"/>
      <c r="E200" s="79"/>
      <c r="P200" s="79"/>
      <c r="Q200" s="79"/>
      <c r="R200" s="79"/>
      <c r="Y200" s="79"/>
      <c r="AC200" s="130"/>
      <c r="AE200" s="106"/>
    </row>
    <row r="201">
      <c r="C201" s="79"/>
      <c r="D201" s="79"/>
      <c r="E201" s="79"/>
      <c r="P201" s="79"/>
      <c r="Q201" s="79"/>
      <c r="R201" s="79"/>
      <c r="Y201" s="79"/>
      <c r="AC201" s="130"/>
      <c r="AE201" s="106"/>
    </row>
    <row r="202">
      <c r="C202" s="79"/>
      <c r="D202" s="79"/>
      <c r="E202" s="79"/>
      <c r="P202" s="79"/>
      <c r="Q202" s="79"/>
      <c r="R202" s="79"/>
      <c r="Y202" s="79"/>
      <c r="AC202" s="130"/>
      <c r="AE202" s="106"/>
    </row>
    <row r="203">
      <c r="C203" s="79"/>
      <c r="D203" s="79"/>
      <c r="E203" s="79"/>
      <c r="P203" s="79"/>
      <c r="Q203" s="79"/>
      <c r="R203" s="79"/>
      <c r="Y203" s="79"/>
      <c r="AC203" s="130"/>
      <c r="AE203" s="106"/>
    </row>
    <row r="204">
      <c r="C204" s="79"/>
      <c r="D204" s="79"/>
      <c r="E204" s="79"/>
      <c r="P204" s="79"/>
      <c r="Q204" s="79"/>
      <c r="R204" s="79"/>
      <c r="Y204" s="79"/>
      <c r="AC204" s="130"/>
      <c r="AE204" s="106"/>
    </row>
    <row r="205">
      <c r="C205" s="79"/>
      <c r="D205" s="79"/>
      <c r="E205" s="79"/>
      <c r="P205" s="79"/>
      <c r="Q205" s="79"/>
      <c r="R205" s="79"/>
      <c r="Y205" s="79"/>
      <c r="AC205" s="130"/>
      <c r="AE205" s="106"/>
    </row>
    <row r="206">
      <c r="C206" s="79"/>
      <c r="D206" s="79"/>
      <c r="E206" s="79"/>
      <c r="P206" s="79"/>
      <c r="Q206" s="79"/>
      <c r="R206" s="79"/>
      <c r="Y206" s="79"/>
      <c r="AC206" s="130"/>
      <c r="AE206" s="106"/>
    </row>
    <row r="207">
      <c r="C207" s="79"/>
      <c r="D207" s="79"/>
      <c r="E207" s="79"/>
      <c r="P207" s="79"/>
      <c r="Q207" s="79"/>
      <c r="R207" s="79"/>
      <c r="Y207" s="79"/>
      <c r="AC207" s="130"/>
      <c r="AE207" s="106"/>
    </row>
    <row r="208">
      <c r="C208" s="79"/>
      <c r="D208" s="79"/>
      <c r="E208" s="79"/>
      <c r="P208" s="79"/>
      <c r="Q208" s="79"/>
      <c r="R208" s="79"/>
      <c r="Y208" s="79"/>
      <c r="AC208" s="130"/>
      <c r="AE208" s="106"/>
    </row>
    <row r="209">
      <c r="C209" s="79"/>
      <c r="D209" s="79"/>
      <c r="E209" s="79"/>
      <c r="P209" s="79"/>
      <c r="Q209" s="79"/>
      <c r="R209" s="79"/>
      <c r="Y209" s="79"/>
      <c r="AC209" s="130"/>
      <c r="AE209" s="106"/>
    </row>
    <row r="210">
      <c r="C210" s="79"/>
      <c r="D210" s="79"/>
      <c r="E210" s="79"/>
      <c r="P210" s="79"/>
      <c r="Q210" s="79"/>
      <c r="R210" s="79"/>
      <c r="Y210" s="79"/>
      <c r="AC210" s="130"/>
      <c r="AE210" s="106"/>
    </row>
    <row r="211">
      <c r="C211" s="79"/>
      <c r="D211" s="79"/>
      <c r="E211" s="79"/>
      <c r="P211" s="79"/>
      <c r="Q211" s="79"/>
      <c r="R211" s="79"/>
      <c r="Y211" s="79"/>
      <c r="AC211" s="130"/>
      <c r="AE211" s="106"/>
    </row>
    <row r="212">
      <c r="C212" s="79"/>
      <c r="D212" s="79"/>
      <c r="E212" s="79"/>
      <c r="P212" s="79"/>
      <c r="Q212" s="79"/>
      <c r="R212" s="79"/>
      <c r="Y212" s="79"/>
      <c r="AC212" s="130"/>
      <c r="AE212" s="106"/>
    </row>
    <row r="213">
      <c r="C213" s="79"/>
      <c r="D213" s="79"/>
      <c r="E213" s="79"/>
      <c r="P213" s="79"/>
      <c r="Q213" s="79"/>
      <c r="R213" s="79"/>
      <c r="Y213" s="79"/>
      <c r="AC213" s="130"/>
      <c r="AE213" s="106"/>
    </row>
    <row r="214">
      <c r="C214" s="79"/>
      <c r="D214" s="79"/>
      <c r="E214" s="79"/>
      <c r="P214" s="79"/>
      <c r="Q214" s="79"/>
      <c r="R214" s="79"/>
      <c r="Y214" s="79"/>
      <c r="AC214" s="130"/>
      <c r="AE214" s="106"/>
    </row>
    <row r="215">
      <c r="C215" s="79"/>
      <c r="D215" s="79"/>
      <c r="E215" s="79"/>
      <c r="P215" s="79"/>
      <c r="Q215" s="79"/>
      <c r="R215" s="79"/>
      <c r="Y215" s="79"/>
      <c r="AC215" s="130"/>
      <c r="AE215" s="106"/>
    </row>
    <row r="216">
      <c r="C216" s="79"/>
      <c r="D216" s="79"/>
      <c r="E216" s="79"/>
      <c r="P216" s="79"/>
      <c r="Q216" s="79"/>
      <c r="R216" s="79"/>
      <c r="Y216" s="79"/>
      <c r="AC216" s="130"/>
      <c r="AE216" s="106"/>
    </row>
    <row r="217">
      <c r="C217" s="79"/>
      <c r="D217" s="79"/>
      <c r="E217" s="79"/>
      <c r="P217" s="79"/>
      <c r="Q217" s="79"/>
      <c r="R217" s="79"/>
      <c r="Y217" s="79"/>
      <c r="AC217" s="130"/>
      <c r="AE217" s="106"/>
    </row>
    <row r="218">
      <c r="C218" s="79"/>
      <c r="D218" s="79"/>
      <c r="E218" s="79"/>
      <c r="P218" s="79"/>
      <c r="Q218" s="79"/>
      <c r="R218" s="79"/>
      <c r="Y218" s="79"/>
      <c r="AC218" s="130"/>
      <c r="AE218" s="106"/>
    </row>
    <row r="219">
      <c r="C219" s="79"/>
      <c r="D219" s="79"/>
      <c r="E219" s="79"/>
      <c r="P219" s="79"/>
      <c r="Q219" s="79"/>
      <c r="R219" s="79"/>
      <c r="Y219" s="79"/>
      <c r="AC219" s="130"/>
      <c r="AE219" s="106"/>
    </row>
    <row r="220">
      <c r="C220" s="79"/>
      <c r="D220" s="79"/>
      <c r="E220" s="79"/>
      <c r="P220" s="79"/>
      <c r="Q220" s="79"/>
      <c r="R220" s="79"/>
      <c r="Y220" s="79"/>
      <c r="AC220" s="130"/>
      <c r="AE220" s="106"/>
    </row>
    <row r="221">
      <c r="C221" s="79"/>
      <c r="D221" s="79"/>
      <c r="E221" s="79"/>
      <c r="P221" s="79"/>
      <c r="Q221" s="79"/>
      <c r="R221" s="79"/>
      <c r="Y221" s="79"/>
      <c r="AC221" s="130"/>
      <c r="AE221" s="106"/>
    </row>
    <row r="222">
      <c r="C222" s="79"/>
      <c r="D222" s="79"/>
      <c r="E222" s="79"/>
      <c r="P222" s="79"/>
      <c r="Q222" s="79"/>
      <c r="R222" s="79"/>
      <c r="Y222" s="79"/>
      <c r="AC222" s="130"/>
      <c r="AE222" s="106"/>
    </row>
    <row r="223">
      <c r="C223" s="79"/>
      <c r="D223" s="79"/>
      <c r="E223" s="79"/>
      <c r="P223" s="79"/>
      <c r="Q223" s="79"/>
      <c r="R223" s="79"/>
      <c r="Y223" s="79"/>
      <c r="AC223" s="130"/>
      <c r="AE223" s="106"/>
    </row>
    <row r="224">
      <c r="C224" s="79"/>
      <c r="D224" s="79"/>
      <c r="E224" s="79"/>
      <c r="P224" s="79"/>
      <c r="Q224" s="79"/>
      <c r="R224" s="79"/>
      <c r="Y224" s="79"/>
      <c r="AC224" s="130"/>
      <c r="AE224" s="106"/>
    </row>
    <row r="225">
      <c r="C225" s="79"/>
      <c r="D225" s="79"/>
      <c r="E225" s="79"/>
      <c r="P225" s="79"/>
      <c r="Q225" s="79"/>
      <c r="R225" s="79"/>
      <c r="Y225" s="79"/>
      <c r="AC225" s="130"/>
      <c r="AE225" s="106"/>
    </row>
    <row r="226">
      <c r="C226" s="79"/>
      <c r="D226" s="79"/>
      <c r="E226" s="79"/>
      <c r="P226" s="79"/>
      <c r="Q226" s="79"/>
      <c r="R226" s="79"/>
      <c r="Y226" s="79"/>
      <c r="AC226" s="130"/>
      <c r="AE226" s="106"/>
    </row>
    <row r="227">
      <c r="C227" s="79"/>
      <c r="D227" s="79"/>
      <c r="E227" s="79"/>
      <c r="P227" s="79"/>
      <c r="Q227" s="79"/>
      <c r="R227" s="79"/>
      <c r="Y227" s="79"/>
      <c r="AC227" s="130"/>
      <c r="AE227" s="106"/>
    </row>
    <row r="228">
      <c r="C228" s="79"/>
      <c r="D228" s="79"/>
      <c r="E228" s="79"/>
      <c r="P228" s="79"/>
      <c r="Q228" s="79"/>
      <c r="R228" s="79"/>
      <c r="Y228" s="79"/>
      <c r="AC228" s="130"/>
      <c r="AE228" s="106"/>
    </row>
    <row r="229">
      <c r="C229" s="79"/>
      <c r="D229" s="79"/>
      <c r="E229" s="79"/>
      <c r="P229" s="79"/>
      <c r="Q229" s="79"/>
      <c r="R229" s="79"/>
      <c r="Y229" s="79"/>
      <c r="AC229" s="130"/>
      <c r="AE229" s="106"/>
    </row>
    <row r="230">
      <c r="C230" s="79"/>
      <c r="D230" s="79"/>
      <c r="E230" s="79"/>
      <c r="P230" s="79"/>
      <c r="Q230" s="79"/>
      <c r="R230" s="79"/>
      <c r="Y230" s="79"/>
      <c r="AC230" s="130"/>
      <c r="AE230" s="106"/>
    </row>
    <row r="231">
      <c r="C231" s="79"/>
      <c r="D231" s="79"/>
      <c r="E231" s="79"/>
      <c r="P231" s="79"/>
      <c r="Q231" s="79"/>
      <c r="R231" s="79"/>
      <c r="Y231" s="79"/>
      <c r="AC231" s="130"/>
      <c r="AE231" s="106"/>
    </row>
    <row r="232">
      <c r="C232" s="79"/>
      <c r="D232" s="79"/>
      <c r="E232" s="79"/>
      <c r="P232" s="79"/>
      <c r="Q232" s="79"/>
      <c r="R232" s="79"/>
      <c r="Y232" s="79"/>
      <c r="AC232" s="130"/>
      <c r="AE232" s="106"/>
    </row>
    <row r="233">
      <c r="C233" s="79"/>
      <c r="D233" s="79"/>
      <c r="E233" s="79"/>
      <c r="P233" s="79"/>
      <c r="Q233" s="79"/>
      <c r="R233" s="79"/>
      <c r="Y233" s="79"/>
      <c r="AC233" s="130"/>
      <c r="AE233" s="106"/>
    </row>
    <row r="234">
      <c r="C234" s="79"/>
      <c r="D234" s="79"/>
      <c r="E234" s="79"/>
      <c r="P234" s="79"/>
      <c r="Q234" s="79"/>
      <c r="R234" s="79"/>
      <c r="Y234" s="79"/>
      <c r="AC234" s="130"/>
      <c r="AE234" s="106"/>
    </row>
    <row r="235">
      <c r="C235" s="79"/>
      <c r="D235" s="79"/>
      <c r="E235" s="79"/>
      <c r="P235" s="79"/>
      <c r="Q235" s="79"/>
      <c r="R235" s="79"/>
      <c r="Y235" s="79"/>
      <c r="AC235" s="130"/>
      <c r="AE235" s="106"/>
    </row>
    <row r="236">
      <c r="C236" s="79"/>
      <c r="D236" s="79"/>
      <c r="E236" s="79"/>
      <c r="P236" s="79"/>
      <c r="Q236" s="79"/>
      <c r="R236" s="79"/>
      <c r="Y236" s="79"/>
      <c r="AC236" s="130"/>
      <c r="AE236" s="106"/>
    </row>
    <row r="237">
      <c r="C237" s="79"/>
      <c r="D237" s="79"/>
      <c r="E237" s="79"/>
      <c r="P237" s="79"/>
      <c r="Q237" s="79"/>
      <c r="R237" s="79"/>
      <c r="Y237" s="79"/>
      <c r="AC237" s="130"/>
      <c r="AE237" s="106"/>
    </row>
    <row r="238">
      <c r="C238" s="79"/>
      <c r="D238" s="79"/>
      <c r="E238" s="79"/>
      <c r="P238" s="79"/>
      <c r="Q238" s="79"/>
      <c r="R238" s="79"/>
      <c r="Y238" s="79"/>
      <c r="AC238" s="130"/>
      <c r="AE238" s="106"/>
    </row>
    <row r="239">
      <c r="C239" s="79"/>
      <c r="D239" s="79"/>
      <c r="E239" s="79"/>
      <c r="P239" s="79"/>
      <c r="Q239" s="79"/>
      <c r="R239" s="79"/>
      <c r="Y239" s="79"/>
      <c r="AC239" s="130"/>
      <c r="AE239" s="106"/>
    </row>
    <row r="240">
      <c r="C240" s="79"/>
      <c r="D240" s="79"/>
      <c r="E240" s="79"/>
      <c r="P240" s="79"/>
      <c r="Q240" s="79"/>
      <c r="R240" s="79"/>
      <c r="Y240" s="79"/>
      <c r="AC240" s="130"/>
      <c r="AE240" s="106"/>
    </row>
    <row r="241">
      <c r="C241" s="79"/>
      <c r="D241" s="79"/>
      <c r="E241" s="79"/>
      <c r="P241" s="79"/>
      <c r="Q241" s="79"/>
      <c r="R241" s="79"/>
      <c r="Y241" s="79"/>
      <c r="AC241" s="130"/>
      <c r="AE241" s="106"/>
    </row>
    <row r="242">
      <c r="C242" s="79"/>
      <c r="D242" s="79"/>
      <c r="E242" s="79"/>
      <c r="P242" s="79"/>
      <c r="Q242" s="79"/>
      <c r="R242" s="79"/>
      <c r="Y242" s="79"/>
      <c r="AC242" s="130"/>
      <c r="AE242" s="106"/>
    </row>
    <row r="243">
      <c r="C243" s="79"/>
      <c r="D243" s="79"/>
      <c r="E243" s="79"/>
      <c r="P243" s="79"/>
      <c r="Q243" s="79"/>
      <c r="R243" s="79"/>
      <c r="Y243" s="79"/>
      <c r="AC243" s="130"/>
      <c r="AE243" s="106"/>
    </row>
    <row r="244">
      <c r="C244" s="79"/>
      <c r="D244" s="79"/>
      <c r="E244" s="79"/>
      <c r="P244" s="79"/>
      <c r="Q244" s="79"/>
      <c r="R244" s="79"/>
      <c r="Y244" s="79"/>
      <c r="AC244" s="130"/>
      <c r="AE244" s="106"/>
    </row>
    <row r="245">
      <c r="C245" s="79"/>
      <c r="D245" s="79"/>
      <c r="E245" s="79"/>
      <c r="P245" s="79"/>
      <c r="Q245" s="79"/>
      <c r="R245" s="79"/>
      <c r="Y245" s="79"/>
      <c r="AC245" s="130"/>
      <c r="AE245" s="106"/>
    </row>
    <row r="246">
      <c r="C246" s="79"/>
      <c r="D246" s="79"/>
      <c r="E246" s="79"/>
      <c r="P246" s="79"/>
      <c r="Q246" s="79"/>
      <c r="R246" s="79"/>
      <c r="Y246" s="79"/>
      <c r="AC246" s="130"/>
      <c r="AE246" s="106"/>
    </row>
    <row r="247">
      <c r="C247" s="79"/>
      <c r="D247" s="79"/>
      <c r="E247" s="79"/>
      <c r="P247" s="79"/>
      <c r="Q247" s="79"/>
      <c r="R247" s="79"/>
      <c r="Y247" s="79"/>
      <c r="AC247" s="130"/>
      <c r="AE247" s="106"/>
    </row>
    <row r="248">
      <c r="C248" s="79"/>
      <c r="D248" s="79"/>
      <c r="E248" s="79"/>
      <c r="P248" s="79"/>
      <c r="Q248" s="79"/>
      <c r="R248" s="79"/>
      <c r="Y248" s="79"/>
      <c r="AC248" s="130"/>
      <c r="AE248" s="106"/>
    </row>
    <row r="249">
      <c r="C249" s="79"/>
      <c r="D249" s="79"/>
      <c r="E249" s="79"/>
      <c r="P249" s="79"/>
      <c r="Q249" s="79"/>
      <c r="R249" s="79"/>
      <c r="Y249" s="79"/>
      <c r="AC249" s="130"/>
      <c r="AE249" s="106"/>
    </row>
    <row r="250">
      <c r="C250" s="79"/>
      <c r="D250" s="79"/>
      <c r="E250" s="79"/>
      <c r="P250" s="79"/>
      <c r="Q250" s="79"/>
      <c r="R250" s="79"/>
      <c r="Y250" s="79"/>
      <c r="AC250" s="130"/>
      <c r="AE250" s="106"/>
    </row>
    <row r="251">
      <c r="C251" s="79"/>
      <c r="D251" s="79"/>
      <c r="E251" s="79"/>
      <c r="P251" s="79"/>
      <c r="Q251" s="79"/>
      <c r="R251" s="79"/>
      <c r="Y251" s="79"/>
      <c r="AC251" s="130"/>
      <c r="AE251" s="106"/>
    </row>
    <row r="252">
      <c r="C252" s="79"/>
      <c r="D252" s="79"/>
      <c r="E252" s="79"/>
      <c r="P252" s="79"/>
      <c r="Q252" s="79"/>
      <c r="R252" s="79"/>
      <c r="Y252" s="79"/>
      <c r="AC252" s="130"/>
      <c r="AE252" s="106"/>
    </row>
    <row r="253">
      <c r="C253" s="79"/>
      <c r="D253" s="79"/>
      <c r="E253" s="79"/>
      <c r="P253" s="79"/>
      <c r="Q253" s="79"/>
      <c r="R253" s="79"/>
      <c r="Y253" s="79"/>
      <c r="AC253" s="130"/>
      <c r="AE253" s="106"/>
    </row>
    <row r="254">
      <c r="C254" s="79"/>
      <c r="D254" s="79"/>
      <c r="E254" s="79"/>
      <c r="P254" s="79"/>
      <c r="Q254" s="79"/>
      <c r="R254" s="79"/>
      <c r="Y254" s="79"/>
      <c r="AC254" s="130"/>
      <c r="AE254" s="106"/>
    </row>
    <row r="255">
      <c r="C255" s="79"/>
      <c r="D255" s="79"/>
      <c r="E255" s="79"/>
      <c r="P255" s="79"/>
      <c r="Q255" s="79"/>
      <c r="R255" s="79"/>
      <c r="Y255" s="79"/>
      <c r="AC255" s="130"/>
      <c r="AE255" s="106"/>
    </row>
    <row r="256">
      <c r="C256" s="79"/>
      <c r="D256" s="79"/>
      <c r="E256" s="79"/>
      <c r="P256" s="79"/>
      <c r="Q256" s="79"/>
      <c r="R256" s="79"/>
      <c r="Y256" s="79"/>
      <c r="AC256" s="130"/>
      <c r="AE256" s="106"/>
    </row>
    <row r="257">
      <c r="C257" s="79"/>
      <c r="D257" s="79"/>
      <c r="E257" s="79"/>
      <c r="P257" s="79"/>
      <c r="Q257" s="79"/>
      <c r="R257" s="79"/>
      <c r="Y257" s="79"/>
      <c r="AC257" s="130"/>
      <c r="AE257" s="106"/>
    </row>
    <row r="258">
      <c r="C258" s="79"/>
      <c r="D258" s="79"/>
      <c r="E258" s="79"/>
      <c r="P258" s="79"/>
      <c r="Q258" s="79"/>
      <c r="R258" s="79"/>
      <c r="Y258" s="79"/>
      <c r="AC258" s="130"/>
      <c r="AE258" s="106"/>
    </row>
    <row r="259">
      <c r="C259" s="79"/>
      <c r="D259" s="79"/>
      <c r="E259" s="79"/>
      <c r="P259" s="79"/>
      <c r="Q259" s="79"/>
      <c r="R259" s="79"/>
      <c r="Y259" s="79"/>
      <c r="AC259" s="130"/>
      <c r="AE259" s="106"/>
    </row>
    <row r="260">
      <c r="C260" s="79"/>
      <c r="D260" s="79"/>
      <c r="E260" s="79"/>
      <c r="P260" s="79"/>
      <c r="Q260" s="79"/>
      <c r="R260" s="79"/>
      <c r="Y260" s="79"/>
      <c r="AC260" s="130"/>
      <c r="AE260" s="106"/>
    </row>
    <row r="261">
      <c r="C261" s="79"/>
      <c r="D261" s="79"/>
      <c r="E261" s="79"/>
      <c r="P261" s="79"/>
      <c r="Q261" s="79"/>
      <c r="R261" s="79"/>
      <c r="Y261" s="79"/>
      <c r="AC261" s="130"/>
      <c r="AE261" s="106"/>
    </row>
    <row r="262">
      <c r="C262" s="79"/>
      <c r="D262" s="79"/>
      <c r="E262" s="79"/>
      <c r="P262" s="79"/>
      <c r="Q262" s="79"/>
      <c r="R262" s="79"/>
      <c r="Y262" s="79"/>
      <c r="AC262" s="130"/>
      <c r="AE262" s="106"/>
    </row>
    <row r="263">
      <c r="C263" s="79"/>
      <c r="D263" s="79"/>
      <c r="E263" s="79"/>
      <c r="P263" s="79"/>
      <c r="Q263" s="79"/>
      <c r="R263" s="79"/>
      <c r="Y263" s="79"/>
      <c r="AC263" s="130"/>
      <c r="AE263" s="106"/>
    </row>
    <row r="264">
      <c r="C264" s="79"/>
      <c r="D264" s="79"/>
      <c r="E264" s="79"/>
      <c r="P264" s="79"/>
      <c r="Q264" s="79"/>
      <c r="R264" s="79"/>
      <c r="Y264" s="79"/>
      <c r="AC264" s="130"/>
      <c r="AE264" s="106"/>
    </row>
    <row r="265">
      <c r="C265" s="79"/>
      <c r="D265" s="79"/>
      <c r="E265" s="79"/>
      <c r="P265" s="79"/>
      <c r="Q265" s="79"/>
      <c r="R265" s="79"/>
      <c r="Y265" s="79"/>
      <c r="AC265" s="130"/>
      <c r="AE265" s="106"/>
    </row>
    <row r="266">
      <c r="C266" s="79"/>
      <c r="D266" s="79"/>
      <c r="E266" s="79"/>
      <c r="P266" s="79"/>
      <c r="Q266" s="79"/>
      <c r="R266" s="79"/>
      <c r="Y266" s="79"/>
      <c r="AC266" s="130"/>
      <c r="AE266" s="106"/>
    </row>
    <row r="267">
      <c r="C267" s="79"/>
      <c r="D267" s="79"/>
      <c r="E267" s="79"/>
      <c r="P267" s="79"/>
      <c r="Q267" s="79"/>
      <c r="R267" s="79"/>
      <c r="Y267" s="79"/>
      <c r="AC267" s="130"/>
      <c r="AE267" s="106"/>
    </row>
    <row r="268">
      <c r="C268" s="79"/>
      <c r="D268" s="79"/>
      <c r="E268" s="79"/>
      <c r="P268" s="79"/>
      <c r="Q268" s="79"/>
      <c r="R268" s="79"/>
      <c r="Y268" s="79"/>
      <c r="AC268" s="130"/>
      <c r="AE268" s="106"/>
    </row>
    <row r="269">
      <c r="C269" s="79"/>
      <c r="D269" s="79"/>
      <c r="E269" s="79"/>
      <c r="P269" s="79"/>
      <c r="Q269" s="79"/>
      <c r="R269" s="79"/>
      <c r="Y269" s="79"/>
      <c r="AC269" s="130"/>
      <c r="AE269" s="106"/>
    </row>
    <row r="270">
      <c r="C270" s="79"/>
      <c r="D270" s="79"/>
      <c r="E270" s="79"/>
      <c r="P270" s="79"/>
      <c r="Q270" s="79"/>
      <c r="R270" s="79"/>
      <c r="Y270" s="79"/>
      <c r="AC270" s="130"/>
      <c r="AE270" s="106"/>
    </row>
    <row r="271">
      <c r="C271" s="79"/>
      <c r="D271" s="79"/>
      <c r="E271" s="79"/>
      <c r="P271" s="79"/>
      <c r="Q271" s="79"/>
      <c r="R271" s="79"/>
      <c r="Y271" s="79"/>
      <c r="AC271" s="130"/>
      <c r="AE271" s="106"/>
    </row>
    <row r="272">
      <c r="C272" s="79"/>
      <c r="D272" s="79"/>
      <c r="E272" s="79"/>
      <c r="P272" s="79"/>
      <c r="Q272" s="79"/>
      <c r="R272" s="79"/>
      <c r="Y272" s="79"/>
      <c r="AC272" s="130"/>
      <c r="AE272" s="106"/>
    </row>
    <row r="273">
      <c r="C273" s="79"/>
      <c r="D273" s="79"/>
      <c r="E273" s="79"/>
      <c r="P273" s="79"/>
      <c r="Q273" s="79"/>
      <c r="R273" s="79"/>
      <c r="Y273" s="79"/>
      <c r="AC273" s="130"/>
      <c r="AE273" s="106"/>
    </row>
    <row r="274">
      <c r="C274" s="79"/>
      <c r="D274" s="79"/>
      <c r="E274" s="79"/>
      <c r="P274" s="79"/>
      <c r="Q274" s="79"/>
      <c r="R274" s="79"/>
      <c r="Y274" s="79"/>
      <c r="AC274" s="130"/>
      <c r="AE274" s="106"/>
    </row>
    <row r="275">
      <c r="C275" s="79"/>
      <c r="D275" s="79"/>
      <c r="E275" s="79"/>
      <c r="P275" s="79"/>
      <c r="Q275" s="79"/>
      <c r="R275" s="79"/>
      <c r="Y275" s="79"/>
      <c r="AC275" s="130"/>
      <c r="AE275" s="106"/>
    </row>
    <row r="276">
      <c r="C276" s="79"/>
      <c r="D276" s="79"/>
      <c r="E276" s="79"/>
      <c r="P276" s="79"/>
      <c r="Q276" s="79"/>
      <c r="R276" s="79"/>
      <c r="Y276" s="79"/>
      <c r="AC276" s="130"/>
      <c r="AE276" s="106"/>
    </row>
    <row r="277">
      <c r="C277" s="79"/>
      <c r="D277" s="79"/>
      <c r="E277" s="79"/>
      <c r="P277" s="79"/>
      <c r="Q277" s="79"/>
      <c r="R277" s="79"/>
      <c r="Y277" s="79"/>
      <c r="AC277" s="130"/>
      <c r="AE277" s="106"/>
    </row>
    <row r="278">
      <c r="C278" s="79"/>
      <c r="D278" s="79"/>
      <c r="E278" s="79"/>
      <c r="P278" s="79"/>
      <c r="Q278" s="79"/>
      <c r="R278" s="79"/>
      <c r="Y278" s="79"/>
      <c r="AC278" s="130"/>
      <c r="AE278" s="106"/>
    </row>
    <row r="279">
      <c r="C279" s="79"/>
      <c r="D279" s="79"/>
      <c r="E279" s="79"/>
      <c r="P279" s="79"/>
      <c r="Q279" s="79"/>
      <c r="R279" s="79"/>
      <c r="Y279" s="79"/>
      <c r="AC279" s="130"/>
      <c r="AE279" s="106"/>
    </row>
    <row r="280">
      <c r="C280" s="79"/>
      <c r="D280" s="79"/>
      <c r="E280" s="79"/>
      <c r="P280" s="79"/>
      <c r="Q280" s="79"/>
      <c r="R280" s="79"/>
      <c r="Y280" s="79"/>
      <c r="AC280" s="130"/>
      <c r="AE280" s="106"/>
    </row>
    <row r="281">
      <c r="C281" s="79"/>
      <c r="D281" s="79"/>
      <c r="E281" s="79"/>
      <c r="P281" s="79"/>
      <c r="Q281" s="79"/>
      <c r="R281" s="79"/>
      <c r="Y281" s="79"/>
      <c r="AC281" s="130"/>
      <c r="AE281" s="106"/>
    </row>
    <row r="282">
      <c r="C282" s="79"/>
      <c r="D282" s="79"/>
      <c r="E282" s="79"/>
      <c r="P282" s="79"/>
      <c r="Q282" s="79"/>
      <c r="R282" s="79"/>
      <c r="Y282" s="79"/>
      <c r="AC282" s="130"/>
      <c r="AE282" s="106"/>
    </row>
    <row r="283">
      <c r="C283" s="79"/>
      <c r="D283" s="79"/>
      <c r="E283" s="79"/>
      <c r="P283" s="79"/>
      <c r="Q283" s="79"/>
      <c r="R283" s="79"/>
      <c r="Y283" s="79"/>
      <c r="AC283" s="130"/>
      <c r="AE283" s="106"/>
    </row>
    <row r="284">
      <c r="C284" s="79"/>
      <c r="D284" s="79"/>
      <c r="E284" s="79"/>
      <c r="P284" s="79"/>
      <c r="Q284" s="79"/>
      <c r="R284" s="79"/>
      <c r="Y284" s="79"/>
      <c r="AC284" s="130"/>
      <c r="AE284" s="106"/>
    </row>
    <row r="285">
      <c r="C285" s="79"/>
      <c r="D285" s="79"/>
      <c r="E285" s="79"/>
      <c r="P285" s="79"/>
      <c r="Q285" s="79"/>
      <c r="R285" s="79"/>
      <c r="Y285" s="79"/>
      <c r="AC285" s="130"/>
      <c r="AE285" s="106"/>
    </row>
    <row r="286">
      <c r="C286" s="79"/>
      <c r="D286" s="79"/>
      <c r="E286" s="79"/>
      <c r="P286" s="79"/>
      <c r="Q286" s="79"/>
      <c r="R286" s="79"/>
      <c r="Y286" s="79"/>
      <c r="AC286" s="130"/>
      <c r="AE286" s="106"/>
    </row>
    <row r="287">
      <c r="C287" s="79"/>
      <c r="D287" s="79"/>
      <c r="E287" s="79"/>
      <c r="P287" s="79"/>
      <c r="Q287" s="79"/>
      <c r="R287" s="79"/>
      <c r="Y287" s="79"/>
      <c r="AC287" s="130"/>
      <c r="AE287" s="106"/>
    </row>
    <row r="288">
      <c r="C288" s="79"/>
      <c r="D288" s="79"/>
      <c r="E288" s="79"/>
      <c r="P288" s="79"/>
      <c r="Q288" s="79"/>
      <c r="R288" s="79"/>
      <c r="Y288" s="79"/>
      <c r="AC288" s="130"/>
      <c r="AE288" s="106"/>
    </row>
    <row r="289">
      <c r="C289" s="79"/>
      <c r="D289" s="79"/>
      <c r="E289" s="79"/>
      <c r="P289" s="79"/>
      <c r="Q289" s="79"/>
      <c r="R289" s="79"/>
      <c r="Y289" s="79"/>
      <c r="AC289" s="130"/>
      <c r="AE289" s="106"/>
    </row>
    <row r="290">
      <c r="C290" s="79"/>
      <c r="D290" s="79"/>
      <c r="E290" s="79"/>
      <c r="P290" s="79"/>
      <c r="Q290" s="79"/>
      <c r="R290" s="79"/>
      <c r="Y290" s="79"/>
      <c r="AC290" s="130"/>
      <c r="AE290" s="106"/>
    </row>
    <row r="291">
      <c r="C291" s="79"/>
      <c r="D291" s="79"/>
      <c r="E291" s="79"/>
      <c r="P291" s="79"/>
      <c r="Q291" s="79"/>
      <c r="R291" s="79"/>
      <c r="Y291" s="79"/>
      <c r="AC291" s="130"/>
      <c r="AE291" s="106"/>
    </row>
    <row r="292">
      <c r="C292" s="79"/>
      <c r="D292" s="79"/>
      <c r="E292" s="79"/>
      <c r="P292" s="79"/>
      <c r="Q292" s="79"/>
      <c r="R292" s="79"/>
      <c r="Y292" s="79"/>
      <c r="AC292" s="130"/>
      <c r="AE292" s="106"/>
    </row>
    <row r="293">
      <c r="C293" s="79"/>
      <c r="D293" s="79"/>
      <c r="E293" s="79"/>
      <c r="P293" s="79"/>
      <c r="Q293" s="79"/>
      <c r="R293" s="79"/>
      <c r="Y293" s="79"/>
      <c r="AC293" s="130"/>
      <c r="AE293" s="106"/>
    </row>
    <row r="294">
      <c r="C294" s="79"/>
      <c r="D294" s="79"/>
      <c r="E294" s="79"/>
      <c r="P294" s="79"/>
      <c r="Q294" s="79"/>
      <c r="R294" s="79"/>
      <c r="Y294" s="79"/>
      <c r="AC294" s="130"/>
      <c r="AE294" s="106"/>
    </row>
    <row r="295">
      <c r="C295" s="79"/>
      <c r="D295" s="79"/>
      <c r="E295" s="79"/>
      <c r="P295" s="79"/>
      <c r="Q295" s="79"/>
      <c r="R295" s="79"/>
      <c r="Y295" s="79"/>
      <c r="AC295" s="130"/>
      <c r="AE295" s="106"/>
    </row>
    <row r="296">
      <c r="C296" s="79"/>
      <c r="D296" s="79"/>
      <c r="E296" s="79"/>
      <c r="P296" s="79"/>
      <c r="Q296" s="79"/>
      <c r="R296" s="79"/>
      <c r="Y296" s="79"/>
      <c r="AC296" s="130"/>
      <c r="AE296" s="106"/>
    </row>
    <row r="297">
      <c r="C297" s="79"/>
      <c r="D297" s="79"/>
      <c r="E297" s="79"/>
      <c r="P297" s="79"/>
      <c r="Q297" s="79"/>
      <c r="R297" s="79"/>
      <c r="Y297" s="79"/>
      <c r="AC297" s="130"/>
      <c r="AE297" s="106"/>
    </row>
    <row r="298">
      <c r="C298" s="79"/>
      <c r="D298" s="79"/>
      <c r="E298" s="79"/>
      <c r="P298" s="79"/>
      <c r="Q298" s="79"/>
      <c r="R298" s="79"/>
      <c r="Y298" s="79"/>
      <c r="AC298" s="130"/>
      <c r="AE298" s="106"/>
    </row>
    <row r="299">
      <c r="C299" s="79"/>
      <c r="D299" s="79"/>
      <c r="E299" s="79"/>
      <c r="P299" s="79"/>
      <c r="Q299" s="79"/>
      <c r="R299" s="79"/>
      <c r="Y299" s="79"/>
      <c r="AC299" s="130"/>
      <c r="AE299" s="106"/>
    </row>
    <row r="300">
      <c r="C300" s="79"/>
      <c r="D300" s="79"/>
      <c r="E300" s="79"/>
      <c r="P300" s="79"/>
      <c r="Q300" s="79"/>
      <c r="R300" s="79"/>
      <c r="Y300" s="79"/>
      <c r="AC300" s="130"/>
      <c r="AE300" s="106"/>
    </row>
    <row r="301">
      <c r="C301" s="79"/>
      <c r="D301" s="79"/>
      <c r="E301" s="79"/>
      <c r="P301" s="79"/>
      <c r="Q301" s="79"/>
      <c r="R301" s="79"/>
      <c r="Y301" s="79"/>
      <c r="AC301" s="130"/>
      <c r="AE301" s="106"/>
    </row>
    <row r="302">
      <c r="C302" s="79"/>
      <c r="D302" s="79"/>
      <c r="E302" s="79"/>
      <c r="P302" s="79"/>
      <c r="Q302" s="79"/>
      <c r="R302" s="79"/>
      <c r="Y302" s="79"/>
      <c r="AC302" s="130"/>
      <c r="AE302" s="106"/>
    </row>
    <row r="303">
      <c r="C303" s="79"/>
      <c r="D303" s="79"/>
      <c r="E303" s="79"/>
      <c r="P303" s="79"/>
      <c r="Q303" s="79"/>
      <c r="R303" s="79"/>
      <c r="Y303" s="79"/>
      <c r="AC303" s="130"/>
      <c r="AE303" s="106"/>
    </row>
    <row r="304">
      <c r="C304" s="79"/>
      <c r="D304" s="79"/>
      <c r="E304" s="79"/>
      <c r="P304" s="79"/>
      <c r="Q304" s="79"/>
      <c r="R304" s="79"/>
      <c r="Y304" s="79"/>
      <c r="AC304" s="130"/>
      <c r="AE304" s="106"/>
    </row>
    <row r="305">
      <c r="C305" s="79"/>
      <c r="D305" s="79"/>
      <c r="E305" s="79"/>
      <c r="P305" s="79"/>
      <c r="Q305" s="79"/>
      <c r="R305" s="79"/>
      <c r="Y305" s="79"/>
      <c r="AC305" s="130"/>
      <c r="AE305" s="106"/>
    </row>
    <row r="306">
      <c r="C306" s="79"/>
      <c r="D306" s="79"/>
      <c r="E306" s="79"/>
      <c r="P306" s="79"/>
      <c r="Q306" s="79"/>
      <c r="R306" s="79"/>
      <c r="Y306" s="79"/>
      <c r="AC306" s="130"/>
      <c r="AE306" s="106"/>
    </row>
    <row r="307">
      <c r="C307" s="79"/>
      <c r="D307" s="79"/>
      <c r="E307" s="79"/>
      <c r="P307" s="79"/>
      <c r="Q307" s="79"/>
      <c r="R307" s="79"/>
      <c r="Y307" s="79"/>
      <c r="AC307" s="130"/>
      <c r="AE307" s="106"/>
    </row>
    <row r="308">
      <c r="C308" s="79"/>
      <c r="D308" s="79"/>
      <c r="E308" s="79"/>
      <c r="P308" s="79"/>
      <c r="Q308" s="79"/>
      <c r="R308" s="79"/>
      <c r="Y308" s="79"/>
      <c r="AC308" s="130"/>
      <c r="AE308" s="106"/>
    </row>
    <row r="309">
      <c r="C309" s="79"/>
      <c r="D309" s="79"/>
      <c r="E309" s="79"/>
      <c r="P309" s="79"/>
      <c r="Q309" s="79"/>
      <c r="R309" s="79"/>
      <c r="Y309" s="79"/>
      <c r="AC309" s="130"/>
      <c r="AE309" s="106"/>
    </row>
    <row r="310">
      <c r="C310" s="79"/>
      <c r="D310" s="79"/>
      <c r="E310" s="79"/>
      <c r="P310" s="79"/>
      <c r="Q310" s="79"/>
      <c r="R310" s="79"/>
      <c r="Y310" s="79"/>
      <c r="AC310" s="130"/>
      <c r="AE310" s="106"/>
    </row>
    <row r="311">
      <c r="C311" s="79"/>
      <c r="D311" s="79"/>
      <c r="E311" s="79"/>
      <c r="P311" s="79"/>
      <c r="Q311" s="79"/>
      <c r="R311" s="79"/>
      <c r="Y311" s="79"/>
      <c r="AC311" s="130"/>
      <c r="AE311" s="106"/>
    </row>
    <row r="312">
      <c r="C312" s="79"/>
      <c r="D312" s="79"/>
      <c r="E312" s="79"/>
      <c r="P312" s="79"/>
      <c r="Q312" s="79"/>
      <c r="R312" s="79"/>
      <c r="Y312" s="79"/>
      <c r="AC312" s="130"/>
      <c r="AE312" s="106"/>
    </row>
    <row r="313">
      <c r="C313" s="79"/>
      <c r="D313" s="79"/>
      <c r="E313" s="79"/>
      <c r="P313" s="79"/>
      <c r="Q313" s="79"/>
      <c r="R313" s="79"/>
      <c r="Y313" s="79"/>
      <c r="AC313" s="130"/>
      <c r="AE313" s="106"/>
    </row>
    <row r="314">
      <c r="C314" s="79"/>
      <c r="D314" s="79"/>
      <c r="E314" s="79"/>
      <c r="P314" s="79"/>
      <c r="Q314" s="79"/>
      <c r="R314" s="79"/>
      <c r="Y314" s="79"/>
      <c r="AC314" s="130"/>
      <c r="AE314" s="106"/>
    </row>
    <row r="315">
      <c r="C315" s="79"/>
      <c r="D315" s="79"/>
      <c r="E315" s="79"/>
      <c r="P315" s="79"/>
      <c r="Q315" s="79"/>
      <c r="R315" s="79"/>
      <c r="Y315" s="79"/>
      <c r="AC315" s="130"/>
      <c r="AE315" s="106"/>
    </row>
    <row r="316">
      <c r="C316" s="79"/>
      <c r="D316" s="79"/>
      <c r="E316" s="79"/>
      <c r="P316" s="79"/>
      <c r="Q316" s="79"/>
      <c r="R316" s="79"/>
      <c r="Y316" s="79"/>
      <c r="AC316" s="130"/>
      <c r="AE316" s="106"/>
    </row>
    <row r="317">
      <c r="C317" s="79"/>
      <c r="D317" s="79"/>
      <c r="E317" s="79"/>
      <c r="P317" s="79"/>
      <c r="Q317" s="79"/>
      <c r="R317" s="79"/>
      <c r="Y317" s="79"/>
      <c r="AC317" s="130"/>
      <c r="AE317" s="106"/>
    </row>
    <row r="318">
      <c r="C318" s="79"/>
      <c r="D318" s="79"/>
      <c r="E318" s="79"/>
      <c r="P318" s="79"/>
      <c r="Q318" s="79"/>
      <c r="R318" s="79"/>
      <c r="Y318" s="79"/>
      <c r="AC318" s="130"/>
      <c r="AE318" s="106"/>
    </row>
    <row r="319">
      <c r="C319" s="79"/>
      <c r="D319" s="79"/>
      <c r="E319" s="79"/>
      <c r="P319" s="79"/>
      <c r="Q319" s="79"/>
      <c r="R319" s="79"/>
      <c r="Y319" s="79"/>
      <c r="AC319" s="130"/>
      <c r="AE319" s="106"/>
    </row>
    <row r="320">
      <c r="C320" s="79"/>
      <c r="D320" s="79"/>
      <c r="E320" s="79"/>
      <c r="P320" s="79"/>
      <c r="Q320" s="79"/>
      <c r="R320" s="79"/>
      <c r="Y320" s="79"/>
      <c r="AC320" s="130"/>
      <c r="AE320" s="106"/>
    </row>
    <row r="321">
      <c r="C321" s="79"/>
      <c r="D321" s="79"/>
      <c r="E321" s="79"/>
      <c r="P321" s="79"/>
      <c r="Q321" s="79"/>
      <c r="R321" s="79"/>
      <c r="Y321" s="79"/>
      <c r="AC321" s="130"/>
      <c r="AE321" s="106"/>
    </row>
    <row r="322">
      <c r="C322" s="79"/>
      <c r="D322" s="79"/>
      <c r="E322" s="79"/>
      <c r="P322" s="79"/>
      <c r="Q322" s="79"/>
      <c r="R322" s="79"/>
      <c r="Y322" s="79"/>
      <c r="AC322" s="130"/>
      <c r="AE322" s="106"/>
    </row>
    <row r="323">
      <c r="C323" s="79"/>
      <c r="D323" s="79"/>
      <c r="E323" s="79"/>
      <c r="P323" s="79"/>
      <c r="Q323" s="79"/>
      <c r="R323" s="79"/>
      <c r="Y323" s="79"/>
      <c r="AC323" s="130"/>
      <c r="AE323" s="106"/>
    </row>
    <row r="324">
      <c r="C324" s="79"/>
      <c r="D324" s="79"/>
      <c r="E324" s="79"/>
      <c r="P324" s="79"/>
      <c r="Q324" s="79"/>
      <c r="R324" s="79"/>
      <c r="Y324" s="79"/>
      <c r="AC324" s="130"/>
      <c r="AE324" s="106"/>
    </row>
    <row r="325">
      <c r="C325" s="79"/>
      <c r="D325" s="79"/>
      <c r="E325" s="79"/>
      <c r="P325" s="79"/>
      <c r="Q325" s="79"/>
      <c r="R325" s="79"/>
      <c r="Y325" s="79"/>
      <c r="AC325" s="130"/>
      <c r="AE325" s="106"/>
    </row>
    <row r="326">
      <c r="C326" s="79"/>
      <c r="D326" s="79"/>
      <c r="E326" s="79"/>
      <c r="P326" s="79"/>
      <c r="Q326" s="79"/>
      <c r="R326" s="79"/>
      <c r="Y326" s="79"/>
      <c r="AC326" s="130"/>
      <c r="AE326" s="106"/>
    </row>
    <row r="327">
      <c r="C327" s="79"/>
      <c r="D327" s="79"/>
      <c r="E327" s="79"/>
      <c r="P327" s="79"/>
      <c r="Q327" s="79"/>
      <c r="R327" s="79"/>
      <c r="Y327" s="79"/>
      <c r="AC327" s="130"/>
      <c r="AE327" s="106"/>
    </row>
    <row r="328">
      <c r="C328" s="79"/>
      <c r="D328" s="79"/>
      <c r="E328" s="79"/>
      <c r="P328" s="79"/>
      <c r="Q328" s="79"/>
      <c r="R328" s="79"/>
      <c r="Y328" s="79"/>
      <c r="AC328" s="130"/>
      <c r="AE328" s="106"/>
    </row>
    <row r="329">
      <c r="C329" s="79"/>
      <c r="D329" s="79"/>
      <c r="E329" s="79"/>
      <c r="P329" s="79"/>
      <c r="Q329" s="79"/>
      <c r="R329" s="79"/>
      <c r="Y329" s="79"/>
      <c r="AC329" s="130"/>
      <c r="AE329" s="106"/>
    </row>
    <row r="330">
      <c r="C330" s="79"/>
      <c r="D330" s="79"/>
      <c r="E330" s="79"/>
      <c r="P330" s="79"/>
      <c r="Q330" s="79"/>
      <c r="R330" s="79"/>
      <c r="Y330" s="79"/>
      <c r="AC330" s="130"/>
      <c r="AE330" s="106"/>
    </row>
    <row r="331">
      <c r="C331" s="79"/>
      <c r="D331" s="79"/>
      <c r="E331" s="79"/>
      <c r="P331" s="79"/>
      <c r="Q331" s="79"/>
      <c r="R331" s="79"/>
      <c r="Y331" s="79"/>
      <c r="AC331" s="130"/>
      <c r="AE331" s="106"/>
    </row>
    <row r="332">
      <c r="C332" s="79"/>
      <c r="D332" s="79"/>
      <c r="E332" s="79"/>
      <c r="P332" s="79"/>
      <c r="Q332" s="79"/>
      <c r="R332" s="79"/>
      <c r="Y332" s="79"/>
      <c r="AC332" s="130"/>
      <c r="AE332" s="106"/>
    </row>
    <row r="333">
      <c r="C333" s="79"/>
      <c r="D333" s="79"/>
      <c r="E333" s="79"/>
      <c r="P333" s="79"/>
      <c r="Q333" s="79"/>
      <c r="R333" s="79"/>
      <c r="Y333" s="79"/>
      <c r="AC333" s="130"/>
      <c r="AE333" s="106"/>
    </row>
    <row r="334">
      <c r="C334" s="79"/>
      <c r="D334" s="79"/>
      <c r="E334" s="79"/>
      <c r="P334" s="79"/>
      <c r="Q334" s="79"/>
      <c r="R334" s="79"/>
      <c r="Y334" s="79"/>
      <c r="AC334" s="130"/>
      <c r="AE334" s="106"/>
    </row>
    <row r="335">
      <c r="C335" s="79"/>
      <c r="D335" s="79"/>
      <c r="E335" s="79"/>
      <c r="P335" s="79"/>
      <c r="Q335" s="79"/>
      <c r="R335" s="79"/>
      <c r="Y335" s="79"/>
      <c r="AC335" s="130"/>
      <c r="AE335" s="106"/>
    </row>
    <row r="336">
      <c r="C336" s="79"/>
      <c r="D336" s="79"/>
      <c r="E336" s="79"/>
      <c r="P336" s="79"/>
      <c r="Q336" s="79"/>
      <c r="R336" s="79"/>
      <c r="Y336" s="79"/>
      <c r="AC336" s="130"/>
      <c r="AE336" s="106"/>
    </row>
    <row r="337">
      <c r="C337" s="79"/>
      <c r="D337" s="79"/>
      <c r="E337" s="79"/>
      <c r="P337" s="79"/>
      <c r="Q337" s="79"/>
      <c r="R337" s="79"/>
      <c r="Y337" s="79"/>
      <c r="AC337" s="130"/>
      <c r="AE337" s="106"/>
    </row>
    <row r="338">
      <c r="C338" s="79"/>
      <c r="D338" s="79"/>
      <c r="E338" s="79"/>
      <c r="P338" s="79"/>
      <c r="Q338" s="79"/>
      <c r="R338" s="79"/>
      <c r="Y338" s="79"/>
      <c r="AC338" s="130"/>
      <c r="AE338" s="106"/>
    </row>
    <row r="339">
      <c r="C339" s="79"/>
      <c r="D339" s="79"/>
      <c r="E339" s="79"/>
      <c r="P339" s="79"/>
      <c r="Q339" s="79"/>
      <c r="R339" s="79"/>
      <c r="Y339" s="79"/>
      <c r="AC339" s="130"/>
      <c r="AE339" s="106"/>
    </row>
    <row r="340">
      <c r="C340" s="79"/>
      <c r="D340" s="79"/>
      <c r="E340" s="79"/>
      <c r="P340" s="79"/>
      <c r="Q340" s="79"/>
      <c r="R340" s="79"/>
      <c r="Y340" s="79"/>
      <c r="AC340" s="130"/>
      <c r="AE340" s="106"/>
    </row>
    <row r="341">
      <c r="C341" s="79"/>
      <c r="D341" s="79"/>
      <c r="E341" s="79"/>
      <c r="P341" s="79"/>
      <c r="Q341" s="79"/>
      <c r="R341" s="79"/>
      <c r="Y341" s="79"/>
      <c r="AC341" s="130"/>
      <c r="AE341" s="106"/>
    </row>
    <row r="342">
      <c r="C342" s="79"/>
      <c r="D342" s="79"/>
      <c r="E342" s="79"/>
      <c r="P342" s="79"/>
      <c r="Q342" s="79"/>
      <c r="R342" s="79"/>
      <c r="Y342" s="79"/>
      <c r="AC342" s="130"/>
      <c r="AE342" s="106"/>
    </row>
    <row r="343">
      <c r="C343" s="79"/>
      <c r="D343" s="79"/>
      <c r="E343" s="79"/>
      <c r="P343" s="79"/>
      <c r="Q343" s="79"/>
      <c r="R343" s="79"/>
      <c r="Y343" s="79"/>
      <c r="AC343" s="130"/>
      <c r="AE343" s="106"/>
    </row>
    <row r="344">
      <c r="C344" s="79"/>
      <c r="D344" s="79"/>
      <c r="E344" s="79"/>
      <c r="P344" s="79"/>
      <c r="Q344" s="79"/>
      <c r="R344" s="79"/>
      <c r="Y344" s="79"/>
      <c r="AC344" s="130"/>
      <c r="AE344" s="106"/>
    </row>
    <row r="345">
      <c r="C345" s="79"/>
      <c r="D345" s="79"/>
      <c r="E345" s="79"/>
      <c r="P345" s="79"/>
      <c r="Q345" s="79"/>
      <c r="R345" s="79"/>
      <c r="Y345" s="79"/>
      <c r="AC345" s="130"/>
      <c r="AE345" s="106"/>
    </row>
    <row r="346">
      <c r="C346" s="79"/>
      <c r="D346" s="79"/>
      <c r="E346" s="79"/>
      <c r="P346" s="79"/>
      <c r="Q346" s="79"/>
      <c r="R346" s="79"/>
      <c r="Y346" s="79"/>
      <c r="AC346" s="130"/>
      <c r="AE346" s="106"/>
    </row>
    <row r="347">
      <c r="C347" s="79"/>
      <c r="D347" s="79"/>
      <c r="E347" s="79"/>
      <c r="P347" s="79"/>
      <c r="Q347" s="79"/>
      <c r="R347" s="79"/>
      <c r="Y347" s="79"/>
      <c r="AC347" s="130"/>
      <c r="AE347" s="106"/>
    </row>
    <row r="348">
      <c r="C348" s="79"/>
      <c r="D348" s="79"/>
      <c r="E348" s="79"/>
      <c r="P348" s="79"/>
      <c r="Q348" s="79"/>
      <c r="R348" s="79"/>
      <c r="Y348" s="79"/>
      <c r="AC348" s="130"/>
      <c r="AE348" s="106"/>
    </row>
    <row r="349">
      <c r="C349" s="79"/>
      <c r="D349" s="79"/>
      <c r="E349" s="79"/>
      <c r="P349" s="79"/>
      <c r="Q349" s="79"/>
      <c r="R349" s="79"/>
      <c r="Y349" s="79"/>
      <c r="AC349" s="130"/>
      <c r="AE349" s="106"/>
    </row>
    <row r="350">
      <c r="C350" s="79"/>
      <c r="D350" s="79"/>
      <c r="E350" s="79"/>
      <c r="P350" s="79"/>
      <c r="Q350" s="79"/>
      <c r="R350" s="79"/>
      <c r="Y350" s="79"/>
      <c r="AC350" s="130"/>
      <c r="AE350" s="106"/>
    </row>
    <row r="351">
      <c r="C351" s="79"/>
      <c r="D351" s="79"/>
      <c r="E351" s="79"/>
      <c r="P351" s="79"/>
      <c r="Q351" s="79"/>
      <c r="R351" s="79"/>
      <c r="Y351" s="79"/>
      <c r="AC351" s="130"/>
      <c r="AE351" s="106"/>
    </row>
    <row r="352">
      <c r="C352" s="79"/>
      <c r="D352" s="79"/>
      <c r="E352" s="79"/>
      <c r="P352" s="79"/>
      <c r="Q352" s="79"/>
      <c r="R352" s="79"/>
      <c r="Y352" s="79"/>
      <c r="AC352" s="130"/>
      <c r="AE352" s="106"/>
    </row>
    <row r="353">
      <c r="C353" s="79"/>
      <c r="D353" s="79"/>
      <c r="E353" s="79"/>
      <c r="P353" s="79"/>
      <c r="Q353" s="79"/>
      <c r="R353" s="79"/>
      <c r="Y353" s="79"/>
      <c r="AC353" s="130"/>
      <c r="AE353" s="106"/>
    </row>
    <row r="354">
      <c r="C354" s="79"/>
      <c r="D354" s="79"/>
      <c r="E354" s="79"/>
      <c r="P354" s="79"/>
      <c r="Q354" s="79"/>
      <c r="R354" s="79"/>
      <c r="Y354" s="79"/>
      <c r="AC354" s="130"/>
      <c r="AE354" s="106"/>
    </row>
    <row r="355">
      <c r="C355" s="79"/>
      <c r="D355" s="79"/>
      <c r="E355" s="79"/>
      <c r="P355" s="79"/>
      <c r="Q355" s="79"/>
      <c r="R355" s="79"/>
      <c r="Y355" s="79"/>
      <c r="AC355" s="130"/>
      <c r="AE355" s="106"/>
    </row>
    <row r="356">
      <c r="C356" s="79"/>
      <c r="D356" s="79"/>
      <c r="E356" s="79"/>
      <c r="P356" s="79"/>
      <c r="Q356" s="79"/>
      <c r="R356" s="79"/>
      <c r="Y356" s="79"/>
      <c r="AC356" s="130"/>
      <c r="AE356" s="106"/>
    </row>
    <row r="357">
      <c r="C357" s="79"/>
      <c r="D357" s="79"/>
      <c r="E357" s="79"/>
      <c r="P357" s="79"/>
      <c r="Q357" s="79"/>
      <c r="R357" s="79"/>
      <c r="Y357" s="79"/>
      <c r="AC357" s="130"/>
      <c r="AE357" s="106"/>
    </row>
    <row r="358">
      <c r="C358" s="79"/>
      <c r="D358" s="79"/>
      <c r="E358" s="79"/>
      <c r="P358" s="79"/>
      <c r="Q358" s="79"/>
      <c r="R358" s="79"/>
      <c r="Y358" s="79"/>
      <c r="AC358" s="130"/>
      <c r="AE358" s="106"/>
    </row>
    <row r="359">
      <c r="C359" s="79"/>
      <c r="D359" s="79"/>
      <c r="E359" s="79"/>
      <c r="P359" s="79"/>
      <c r="Q359" s="79"/>
      <c r="R359" s="79"/>
      <c r="Y359" s="79"/>
      <c r="AC359" s="130"/>
      <c r="AE359" s="106"/>
    </row>
    <row r="360">
      <c r="C360" s="79"/>
      <c r="D360" s="79"/>
      <c r="E360" s="79"/>
      <c r="P360" s="79"/>
      <c r="Q360" s="79"/>
      <c r="R360" s="79"/>
      <c r="Y360" s="79"/>
      <c r="AC360" s="130"/>
      <c r="AE360" s="106"/>
    </row>
    <row r="361">
      <c r="C361" s="79"/>
      <c r="D361" s="79"/>
      <c r="E361" s="79"/>
      <c r="P361" s="79"/>
      <c r="Q361" s="79"/>
      <c r="R361" s="79"/>
      <c r="Y361" s="79"/>
      <c r="AC361" s="130"/>
      <c r="AE361" s="106"/>
    </row>
    <row r="362">
      <c r="C362" s="79"/>
      <c r="D362" s="79"/>
      <c r="E362" s="79"/>
      <c r="P362" s="79"/>
      <c r="Q362" s="79"/>
      <c r="R362" s="79"/>
      <c r="Y362" s="79"/>
      <c r="AC362" s="130"/>
      <c r="AE362" s="106"/>
    </row>
    <row r="363">
      <c r="C363" s="79"/>
      <c r="D363" s="79"/>
      <c r="E363" s="79"/>
      <c r="P363" s="79"/>
      <c r="Q363" s="79"/>
      <c r="R363" s="79"/>
      <c r="Y363" s="79"/>
      <c r="AC363" s="130"/>
      <c r="AE363" s="106"/>
    </row>
    <row r="364">
      <c r="C364" s="79"/>
      <c r="D364" s="79"/>
      <c r="E364" s="79"/>
      <c r="P364" s="79"/>
      <c r="Q364" s="79"/>
      <c r="R364" s="79"/>
      <c r="Y364" s="79"/>
      <c r="AC364" s="130"/>
      <c r="AE364" s="106"/>
    </row>
    <row r="365">
      <c r="C365" s="79"/>
      <c r="D365" s="79"/>
      <c r="E365" s="79"/>
      <c r="P365" s="79"/>
      <c r="Q365" s="79"/>
      <c r="R365" s="79"/>
      <c r="Y365" s="79"/>
      <c r="AC365" s="130"/>
      <c r="AE365" s="106"/>
    </row>
    <row r="366">
      <c r="C366" s="79"/>
      <c r="D366" s="79"/>
      <c r="E366" s="79"/>
      <c r="P366" s="79"/>
      <c r="Q366" s="79"/>
      <c r="R366" s="79"/>
      <c r="Y366" s="79"/>
      <c r="AC366" s="130"/>
      <c r="AE366" s="106"/>
    </row>
    <row r="367">
      <c r="C367" s="79"/>
      <c r="D367" s="79"/>
      <c r="E367" s="79"/>
      <c r="P367" s="79"/>
      <c r="Q367" s="79"/>
      <c r="R367" s="79"/>
      <c r="Y367" s="79"/>
      <c r="AC367" s="130"/>
      <c r="AE367" s="106"/>
    </row>
    <row r="368">
      <c r="C368" s="79"/>
      <c r="D368" s="79"/>
      <c r="E368" s="79"/>
      <c r="P368" s="79"/>
      <c r="Q368" s="79"/>
      <c r="R368" s="79"/>
      <c r="Y368" s="79"/>
      <c r="AC368" s="130"/>
      <c r="AE368" s="106"/>
    </row>
    <row r="369">
      <c r="C369" s="79"/>
      <c r="D369" s="79"/>
      <c r="E369" s="79"/>
      <c r="P369" s="79"/>
      <c r="Q369" s="79"/>
      <c r="R369" s="79"/>
      <c r="Y369" s="79"/>
      <c r="AC369" s="130"/>
      <c r="AE369" s="106"/>
    </row>
    <row r="370">
      <c r="C370" s="79"/>
      <c r="D370" s="79"/>
      <c r="E370" s="79"/>
      <c r="P370" s="79"/>
      <c r="Q370" s="79"/>
      <c r="R370" s="79"/>
      <c r="Y370" s="79"/>
      <c r="AC370" s="130"/>
      <c r="AE370" s="106"/>
    </row>
    <row r="371">
      <c r="C371" s="79"/>
      <c r="D371" s="79"/>
      <c r="E371" s="79"/>
      <c r="P371" s="79"/>
      <c r="Q371" s="79"/>
      <c r="R371" s="79"/>
      <c r="Y371" s="79"/>
      <c r="AC371" s="130"/>
      <c r="AE371" s="106"/>
    </row>
    <row r="372">
      <c r="C372" s="79"/>
      <c r="D372" s="79"/>
      <c r="E372" s="79"/>
      <c r="P372" s="79"/>
      <c r="Q372" s="79"/>
      <c r="R372" s="79"/>
      <c r="Y372" s="79"/>
      <c r="AC372" s="130"/>
      <c r="AE372" s="106"/>
    </row>
    <row r="373">
      <c r="C373" s="79"/>
      <c r="D373" s="79"/>
      <c r="E373" s="79"/>
      <c r="P373" s="79"/>
      <c r="Q373" s="79"/>
      <c r="R373" s="79"/>
      <c r="Y373" s="79"/>
      <c r="AC373" s="130"/>
      <c r="AE373" s="106"/>
    </row>
    <row r="374">
      <c r="C374" s="79"/>
      <c r="D374" s="79"/>
      <c r="E374" s="79"/>
      <c r="P374" s="79"/>
      <c r="Q374" s="79"/>
      <c r="R374" s="79"/>
      <c r="Y374" s="79"/>
      <c r="AC374" s="130"/>
      <c r="AE374" s="106"/>
    </row>
    <row r="375">
      <c r="C375" s="79"/>
      <c r="D375" s="79"/>
      <c r="E375" s="79"/>
      <c r="P375" s="79"/>
      <c r="Q375" s="79"/>
      <c r="R375" s="79"/>
      <c r="Y375" s="79"/>
      <c r="AC375" s="130"/>
      <c r="AE375" s="106"/>
    </row>
    <row r="376">
      <c r="C376" s="79"/>
      <c r="D376" s="79"/>
      <c r="E376" s="79"/>
      <c r="P376" s="79"/>
      <c r="Q376" s="79"/>
      <c r="R376" s="79"/>
      <c r="Y376" s="79"/>
      <c r="AC376" s="130"/>
      <c r="AE376" s="106"/>
    </row>
    <row r="377">
      <c r="C377" s="79"/>
      <c r="D377" s="79"/>
      <c r="E377" s="79"/>
      <c r="P377" s="79"/>
      <c r="Q377" s="79"/>
      <c r="R377" s="79"/>
      <c r="Y377" s="79"/>
      <c r="AC377" s="130"/>
      <c r="AE377" s="106"/>
    </row>
    <row r="378">
      <c r="C378" s="79"/>
      <c r="D378" s="79"/>
      <c r="E378" s="79"/>
      <c r="P378" s="79"/>
      <c r="Q378" s="79"/>
      <c r="R378" s="79"/>
      <c r="Y378" s="79"/>
      <c r="AC378" s="130"/>
      <c r="AE378" s="106"/>
    </row>
    <row r="379">
      <c r="C379" s="79"/>
      <c r="D379" s="79"/>
      <c r="E379" s="79"/>
      <c r="P379" s="79"/>
      <c r="Q379" s="79"/>
      <c r="R379" s="79"/>
      <c r="Y379" s="79"/>
      <c r="AC379" s="130"/>
      <c r="AE379" s="106"/>
    </row>
    <row r="380">
      <c r="C380" s="79"/>
      <c r="D380" s="79"/>
      <c r="E380" s="79"/>
      <c r="P380" s="79"/>
      <c r="Q380" s="79"/>
      <c r="R380" s="79"/>
      <c r="Y380" s="79"/>
      <c r="AC380" s="130"/>
      <c r="AE380" s="106"/>
    </row>
    <row r="381">
      <c r="C381" s="79"/>
      <c r="D381" s="79"/>
      <c r="E381" s="79"/>
      <c r="P381" s="79"/>
      <c r="Q381" s="79"/>
      <c r="R381" s="79"/>
      <c r="Y381" s="79"/>
      <c r="AC381" s="130"/>
      <c r="AE381" s="106"/>
    </row>
    <row r="382">
      <c r="C382" s="79"/>
      <c r="D382" s="79"/>
      <c r="E382" s="79"/>
      <c r="P382" s="79"/>
      <c r="Q382" s="79"/>
      <c r="R382" s="79"/>
      <c r="Y382" s="79"/>
      <c r="AC382" s="130"/>
      <c r="AE382" s="106"/>
    </row>
    <row r="383">
      <c r="C383" s="79"/>
      <c r="D383" s="79"/>
      <c r="E383" s="79"/>
      <c r="P383" s="79"/>
      <c r="Q383" s="79"/>
      <c r="R383" s="79"/>
      <c r="Y383" s="79"/>
      <c r="AC383" s="130"/>
      <c r="AE383" s="106"/>
    </row>
    <row r="384">
      <c r="C384" s="79"/>
      <c r="D384" s="79"/>
      <c r="E384" s="79"/>
      <c r="P384" s="79"/>
      <c r="Q384" s="79"/>
      <c r="R384" s="79"/>
      <c r="Y384" s="79"/>
      <c r="AC384" s="130"/>
      <c r="AE384" s="106"/>
    </row>
    <row r="385">
      <c r="C385" s="79"/>
      <c r="D385" s="79"/>
      <c r="E385" s="79"/>
      <c r="P385" s="79"/>
      <c r="Q385" s="79"/>
      <c r="R385" s="79"/>
      <c r="Y385" s="79"/>
      <c r="AC385" s="130"/>
      <c r="AE385" s="106"/>
    </row>
    <row r="386">
      <c r="C386" s="79"/>
      <c r="D386" s="79"/>
      <c r="E386" s="79"/>
      <c r="P386" s="79"/>
      <c r="Q386" s="79"/>
      <c r="R386" s="79"/>
      <c r="Y386" s="79"/>
      <c r="AC386" s="130"/>
      <c r="AE386" s="106"/>
    </row>
    <row r="387">
      <c r="C387" s="79"/>
      <c r="D387" s="79"/>
      <c r="E387" s="79"/>
      <c r="P387" s="79"/>
      <c r="Q387" s="79"/>
      <c r="R387" s="79"/>
      <c r="Y387" s="79"/>
      <c r="AC387" s="130"/>
      <c r="AE387" s="106"/>
    </row>
    <row r="388">
      <c r="C388" s="79"/>
      <c r="D388" s="79"/>
      <c r="E388" s="79"/>
      <c r="P388" s="79"/>
      <c r="Q388" s="79"/>
      <c r="R388" s="79"/>
      <c r="Y388" s="79"/>
      <c r="AC388" s="130"/>
      <c r="AE388" s="106"/>
    </row>
    <row r="389">
      <c r="C389" s="79"/>
      <c r="D389" s="79"/>
      <c r="E389" s="79"/>
      <c r="P389" s="79"/>
      <c r="Q389" s="79"/>
      <c r="R389" s="79"/>
      <c r="Y389" s="79"/>
      <c r="AC389" s="130"/>
      <c r="AE389" s="106"/>
    </row>
    <row r="390">
      <c r="C390" s="79"/>
      <c r="D390" s="79"/>
      <c r="E390" s="79"/>
      <c r="P390" s="79"/>
      <c r="Q390" s="79"/>
      <c r="R390" s="79"/>
      <c r="Y390" s="79"/>
      <c r="AC390" s="130"/>
      <c r="AE390" s="106"/>
    </row>
    <row r="391">
      <c r="C391" s="79"/>
      <c r="D391" s="79"/>
      <c r="E391" s="79"/>
      <c r="P391" s="79"/>
      <c r="Q391" s="79"/>
      <c r="R391" s="79"/>
      <c r="Y391" s="79"/>
      <c r="AC391" s="130"/>
      <c r="AE391" s="106"/>
    </row>
    <row r="392">
      <c r="C392" s="79"/>
      <c r="D392" s="79"/>
      <c r="E392" s="79"/>
      <c r="P392" s="79"/>
      <c r="Q392" s="79"/>
      <c r="R392" s="79"/>
      <c r="Y392" s="79"/>
      <c r="AC392" s="130"/>
      <c r="AE392" s="106"/>
    </row>
    <row r="393">
      <c r="C393" s="79"/>
      <c r="D393" s="79"/>
      <c r="E393" s="79"/>
      <c r="P393" s="79"/>
      <c r="Q393" s="79"/>
      <c r="R393" s="79"/>
      <c r="Y393" s="79"/>
      <c r="AC393" s="130"/>
      <c r="AE393" s="106"/>
    </row>
    <row r="394">
      <c r="C394" s="79"/>
      <c r="D394" s="79"/>
      <c r="E394" s="79"/>
      <c r="P394" s="79"/>
      <c r="Q394" s="79"/>
      <c r="R394" s="79"/>
      <c r="Y394" s="79"/>
      <c r="AC394" s="130"/>
      <c r="AE394" s="106"/>
    </row>
    <row r="395">
      <c r="C395" s="79"/>
      <c r="D395" s="79"/>
      <c r="E395" s="79"/>
      <c r="P395" s="79"/>
      <c r="Q395" s="79"/>
      <c r="R395" s="79"/>
      <c r="Y395" s="79"/>
      <c r="AC395" s="130"/>
      <c r="AE395" s="106"/>
    </row>
    <row r="396">
      <c r="C396" s="79"/>
      <c r="D396" s="79"/>
      <c r="E396" s="79"/>
      <c r="P396" s="79"/>
      <c r="Q396" s="79"/>
      <c r="R396" s="79"/>
      <c r="Y396" s="79"/>
      <c r="AC396" s="130"/>
      <c r="AE396" s="106"/>
    </row>
    <row r="397">
      <c r="C397" s="79"/>
      <c r="D397" s="79"/>
      <c r="E397" s="79"/>
      <c r="P397" s="79"/>
      <c r="Q397" s="79"/>
      <c r="R397" s="79"/>
      <c r="Y397" s="79"/>
      <c r="AC397" s="130"/>
      <c r="AE397" s="106"/>
    </row>
    <row r="398">
      <c r="C398" s="79"/>
      <c r="D398" s="79"/>
      <c r="E398" s="79"/>
      <c r="P398" s="79"/>
      <c r="Q398" s="79"/>
      <c r="R398" s="79"/>
      <c r="Y398" s="79"/>
      <c r="AC398" s="130"/>
      <c r="AE398" s="106"/>
    </row>
    <row r="399">
      <c r="C399" s="79"/>
      <c r="D399" s="79"/>
      <c r="E399" s="79"/>
      <c r="P399" s="79"/>
      <c r="Q399" s="79"/>
      <c r="R399" s="79"/>
      <c r="Y399" s="79"/>
      <c r="AC399" s="130"/>
      <c r="AE399" s="106"/>
    </row>
    <row r="400">
      <c r="C400" s="79"/>
      <c r="D400" s="79"/>
      <c r="E400" s="79"/>
      <c r="P400" s="79"/>
      <c r="Q400" s="79"/>
      <c r="R400" s="79"/>
      <c r="Y400" s="79"/>
      <c r="AC400" s="130"/>
      <c r="AE400" s="106"/>
    </row>
    <row r="401">
      <c r="C401" s="79"/>
      <c r="D401" s="79"/>
      <c r="E401" s="79"/>
      <c r="P401" s="79"/>
      <c r="Q401" s="79"/>
      <c r="R401" s="79"/>
      <c r="Y401" s="79"/>
      <c r="AC401" s="130"/>
      <c r="AE401" s="106"/>
    </row>
    <row r="402">
      <c r="C402" s="79"/>
      <c r="D402" s="79"/>
      <c r="E402" s="79"/>
      <c r="P402" s="79"/>
      <c r="Q402" s="79"/>
      <c r="R402" s="79"/>
      <c r="Y402" s="79"/>
      <c r="AC402" s="130"/>
      <c r="AE402" s="106"/>
    </row>
    <row r="403">
      <c r="C403" s="79"/>
      <c r="D403" s="79"/>
      <c r="E403" s="79"/>
      <c r="P403" s="79"/>
      <c r="Q403" s="79"/>
      <c r="R403" s="79"/>
      <c r="Y403" s="79"/>
      <c r="AC403" s="130"/>
      <c r="AE403" s="106"/>
    </row>
    <row r="404">
      <c r="C404" s="79"/>
      <c r="D404" s="79"/>
      <c r="E404" s="79"/>
      <c r="P404" s="79"/>
      <c r="Q404" s="79"/>
      <c r="R404" s="79"/>
      <c r="Y404" s="79"/>
      <c r="AC404" s="130"/>
      <c r="AE404" s="106"/>
    </row>
    <row r="405">
      <c r="C405" s="79"/>
      <c r="D405" s="79"/>
      <c r="E405" s="79"/>
      <c r="P405" s="79"/>
      <c r="Q405" s="79"/>
      <c r="R405" s="79"/>
      <c r="Y405" s="79"/>
      <c r="AC405" s="130"/>
      <c r="AE405" s="106"/>
    </row>
    <row r="406">
      <c r="C406" s="79"/>
      <c r="D406" s="79"/>
      <c r="E406" s="79"/>
      <c r="P406" s="79"/>
      <c r="Q406" s="79"/>
      <c r="R406" s="79"/>
      <c r="Y406" s="79"/>
      <c r="AC406" s="130"/>
      <c r="AE406" s="106"/>
    </row>
    <row r="407">
      <c r="C407" s="79"/>
      <c r="D407" s="79"/>
      <c r="E407" s="79"/>
      <c r="P407" s="79"/>
      <c r="Q407" s="79"/>
      <c r="R407" s="79"/>
      <c r="Y407" s="79"/>
      <c r="AC407" s="130"/>
      <c r="AE407" s="106"/>
    </row>
    <row r="408">
      <c r="C408" s="79"/>
      <c r="D408" s="79"/>
      <c r="E408" s="79"/>
      <c r="P408" s="79"/>
      <c r="Q408" s="79"/>
      <c r="R408" s="79"/>
      <c r="Y408" s="79"/>
      <c r="AC408" s="130"/>
      <c r="AE408" s="106"/>
    </row>
    <row r="409">
      <c r="C409" s="79"/>
      <c r="D409" s="79"/>
      <c r="E409" s="79"/>
      <c r="P409" s="79"/>
      <c r="Q409" s="79"/>
      <c r="R409" s="79"/>
      <c r="Y409" s="79"/>
      <c r="AC409" s="130"/>
      <c r="AE409" s="106"/>
    </row>
    <row r="410">
      <c r="C410" s="79"/>
      <c r="D410" s="79"/>
      <c r="E410" s="79"/>
      <c r="P410" s="79"/>
      <c r="Q410" s="79"/>
      <c r="R410" s="79"/>
      <c r="Y410" s="79"/>
      <c r="AC410" s="130"/>
      <c r="AE410" s="106"/>
    </row>
    <row r="411">
      <c r="C411" s="79"/>
      <c r="D411" s="79"/>
      <c r="E411" s="79"/>
      <c r="P411" s="79"/>
      <c r="Q411" s="79"/>
      <c r="R411" s="79"/>
      <c r="Y411" s="79"/>
      <c r="AC411" s="130"/>
      <c r="AE411" s="106"/>
    </row>
    <row r="412">
      <c r="C412" s="79"/>
      <c r="D412" s="79"/>
      <c r="E412" s="79"/>
      <c r="P412" s="79"/>
      <c r="Q412" s="79"/>
      <c r="R412" s="79"/>
      <c r="Y412" s="79"/>
      <c r="AC412" s="130"/>
      <c r="AE412" s="106"/>
    </row>
    <row r="413">
      <c r="C413" s="79"/>
      <c r="D413" s="79"/>
      <c r="E413" s="79"/>
      <c r="P413" s="79"/>
      <c r="Q413" s="79"/>
      <c r="R413" s="79"/>
      <c r="Y413" s="79"/>
      <c r="AC413" s="130"/>
      <c r="AE413" s="106"/>
    </row>
    <row r="414">
      <c r="C414" s="79"/>
      <c r="D414" s="79"/>
      <c r="E414" s="79"/>
      <c r="P414" s="79"/>
      <c r="Q414" s="79"/>
      <c r="R414" s="79"/>
      <c r="Y414" s="79"/>
      <c r="AC414" s="130"/>
      <c r="AE414" s="106"/>
    </row>
    <row r="415">
      <c r="C415" s="79"/>
      <c r="D415" s="79"/>
      <c r="E415" s="79"/>
      <c r="P415" s="79"/>
      <c r="Q415" s="79"/>
      <c r="R415" s="79"/>
      <c r="Y415" s="79"/>
      <c r="AC415" s="130"/>
      <c r="AE415" s="106"/>
    </row>
    <row r="416">
      <c r="C416" s="79"/>
      <c r="D416" s="79"/>
      <c r="E416" s="79"/>
      <c r="P416" s="79"/>
      <c r="Q416" s="79"/>
      <c r="R416" s="79"/>
      <c r="Y416" s="79"/>
      <c r="AC416" s="130"/>
      <c r="AE416" s="106"/>
    </row>
    <row r="417">
      <c r="C417" s="79"/>
      <c r="D417" s="79"/>
      <c r="E417" s="79"/>
      <c r="P417" s="79"/>
      <c r="Q417" s="79"/>
      <c r="R417" s="79"/>
      <c r="Y417" s="79"/>
      <c r="AC417" s="130"/>
      <c r="AE417" s="106"/>
    </row>
    <row r="418">
      <c r="C418" s="79"/>
      <c r="D418" s="79"/>
      <c r="E418" s="79"/>
      <c r="P418" s="79"/>
      <c r="Q418" s="79"/>
      <c r="R418" s="79"/>
      <c r="Y418" s="79"/>
      <c r="AC418" s="130"/>
      <c r="AE418" s="106"/>
    </row>
    <row r="419">
      <c r="C419" s="79"/>
      <c r="D419" s="79"/>
      <c r="E419" s="79"/>
      <c r="P419" s="79"/>
      <c r="Q419" s="79"/>
      <c r="R419" s="79"/>
      <c r="Y419" s="79"/>
      <c r="AC419" s="130"/>
      <c r="AE419" s="106"/>
    </row>
    <row r="420">
      <c r="C420" s="79"/>
      <c r="D420" s="79"/>
      <c r="E420" s="79"/>
      <c r="P420" s="79"/>
      <c r="Q420" s="79"/>
      <c r="R420" s="79"/>
      <c r="Y420" s="79"/>
      <c r="AC420" s="130"/>
      <c r="AE420" s="106"/>
    </row>
    <row r="421">
      <c r="C421" s="79"/>
      <c r="D421" s="79"/>
      <c r="E421" s="79"/>
      <c r="P421" s="79"/>
      <c r="Q421" s="79"/>
      <c r="R421" s="79"/>
      <c r="Y421" s="79"/>
      <c r="AC421" s="130"/>
      <c r="AE421" s="106"/>
    </row>
    <row r="422">
      <c r="C422" s="79"/>
      <c r="D422" s="79"/>
      <c r="E422" s="79"/>
      <c r="P422" s="79"/>
      <c r="Q422" s="79"/>
      <c r="R422" s="79"/>
      <c r="Y422" s="79"/>
      <c r="AC422" s="130"/>
      <c r="AE422" s="106"/>
    </row>
    <row r="423">
      <c r="C423" s="79"/>
      <c r="D423" s="79"/>
      <c r="E423" s="79"/>
      <c r="P423" s="79"/>
      <c r="Q423" s="79"/>
      <c r="R423" s="79"/>
      <c r="Y423" s="79"/>
      <c r="AC423" s="130"/>
      <c r="AE423" s="106"/>
    </row>
    <row r="424">
      <c r="C424" s="79"/>
      <c r="D424" s="79"/>
      <c r="E424" s="79"/>
      <c r="P424" s="79"/>
      <c r="Q424" s="79"/>
      <c r="R424" s="79"/>
      <c r="Y424" s="79"/>
      <c r="AC424" s="130"/>
      <c r="AE424" s="106"/>
    </row>
    <row r="425">
      <c r="C425" s="79"/>
      <c r="D425" s="79"/>
      <c r="E425" s="79"/>
      <c r="P425" s="79"/>
      <c r="Q425" s="79"/>
      <c r="R425" s="79"/>
      <c r="Y425" s="79"/>
      <c r="AC425" s="130"/>
      <c r="AE425" s="106"/>
    </row>
    <row r="426">
      <c r="C426" s="79"/>
      <c r="D426" s="79"/>
      <c r="E426" s="79"/>
      <c r="P426" s="79"/>
      <c r="Q426" s="79"/>
      <c r="R426" s="79"/>
      <c r="Y426" s="79"/>
      <c r="AC426" s="130"/>
      <c r="AE426" s="106"/>
    </row>
    <row r="427">
      <c r="C427" s="79"/>
      <c r="D427" s="79"/>
      <c r="E427" s="79"/>
      <c r="P427" s="79"/>
      <c r="Q427" s="79"/>
      <c r="R427" s="79"/>
      <c r="Y427" s="79"/>
      <c r="AC427" s="130"/>
      <c r="AE427" s="106"/>
    </row>
    <row r="428">
      <c r="C428" s="79"/>
      <c r="D428" s="79"/>
      <c r="E428" s="79"/>
      <c r="P428" s="79"/>
      <c r="Q428" s="79"/>
      <c r="R428" s="79"/>
      <c r="Y428" s="79"/>
      <c r="AC428" s="130"/>
      <c r="AE428" s="106"/>
    </row>
    <row r="429">
      <c r="C429" s="79"/>
      <c r="D429" s="79"/>
      <c r="E429" s="79"/>
      <c r="P429" s="79"/>
      <c r="Q429" s="79"/>
      <c r="R429" s="79"/>
      <c r="Y429" s="79"/>
      <c r="AC429" s="130"/>
      <c r="AE429" s="106"/>
    </row>
    <row r="430">
      <c r="C430" s="79"/>
      <c r="D430" s="79"/>
      <c r="E430" s="79"/>
      <c r="P430" s="79"/>
      <c r="Q430" s="79"/>
      <c r="R430" s="79"/>
      <c r="Y430" s="79"/>
      <c r="AC430" s="130"/>
      <c r="AE430" s="106"/>
    </row>
    <row r="431">
      <c r="C431" s="79"/>
      <c r="D431" s="79"/>
      <c r="E431" s="79"/>
      <c r="P431" s="79"/>
      <c r="Q431" s="79"/>
      <c r="R431" s="79"/>
      <c r="Y431" s="79"/>
      <c r="AC431" s="130"/>
      <c r="AE431" s="106"/>
    </row>
    <row r="432">
      <c r="C432" s="79"/>
      <c r="D432" s="79"/>
      <c r="E432" s="79"/>
      <c r="P432" s="79"/>
      <c r="Q432" s="79"/>
      <c r="R432" s="79"/>
      <c r="Y432" s="79"/>
      <c r="AC432" s="130"/>
      <c r="AE432" s="106"/>
    </row>
    <row r="433">
      <c r="C433" s="79"/>
      <c r="D433" s="79"/>
      <c r="E433" s="79"/>
      <c r="P433" s="79"/>
      <c r="Q433" s="79"/>
      <c r="R433" s="79"/>
      <c r="Y433" s="79"/>
      <c r="AC433" s="130"/>
      <c r="AE433" s="106"/>
    </row>
    <row r="434">
      <c r="C434" s="79"/>
      <c r="D434" s="79"/>
      <c r="E434" s="79"/>
      <c r="P434" s="79"/>
      <c r="Q434" s="79"/>
      <c r="R434" s="79"/>
      <c r="Y434" s="79"/>
      <c r="AC434" s="130"/>
      <c r="AE434" s="106"/>
    </row>
    <row r="435">
      <c r="C435" s="79"/>
      <c r="D435" s="79"/>
      <c r="E435" s="79"/>
      <c r="P435" s="79"/>
      <c r="Q435" s="79"/>
      <c r="R435" s="79"/>
      <c r="Y435" s="79"/>
      <c r="AC435" s="130"/>
      <c r="AE435" s="106"/>
    </row>
    <row r="436">
      <c r="C436" s="79"/>
      <c r="D436" s="79"/>
      <c r="E436" s="79"/>
      <c r="P436" s="79"/>
      <c r="Q436" s="79"/>
      <c r="R436" s="79"/>
      <c r="Y436" s="79"/>
      <c r="AC436" s="130"/>
      <c r="AE436" s="106"/>
    </row>
    <row r="437">
      <c r="C437" s="79"/>
      <c r="D437" s="79"/>
      <c r="E437" s="79"/>
      <c r="P437" s="79"/>
      <c r="Q437" s="79"/>
      <c r="R437" s="79"/>
      <c r="Y437" s="79"/>
      <c r="AC437" s="130"/>
      <c r="AE437" s="106"/>
    </row>
    <row r="438">
      <c r="C438" s="79"/>
      <c r="D438" s="79"/>
      <c r="E438" s="79"/>
      <c r="P438" s="79"/>
      <c r="Q438" s="79"/>
      <c r="R438" s="79"/>
      <c r="Y438" s="79"/>
      <c r="AC438" s="130"/>
      <c r="AE438" s="106"/>
    </row>
    <row r="439">
      <c r="C439" s="79"/>
      <c r="D439" s="79"/>
      <c r="E439" s="79"/>
      <c r="P439" s="79"/>
      <c r="Q439" s="79"/>
      <c r="R439" s="79"/>
      <c r="Y439" s="79"/>
      <c r="AC439" s="130"/>
      <c r="AE439" s="106"/>
    </row>
    <row r="440">
      <c r="C440" s="79"/>
      <c r="D440" s="79"/>
      <c r="E440" s="79"/>
      <c r="P440" s="79"/>
      <c r="Q440" s="79"/>
      <c r="R440" s="79"/>
      <c r="Y440" s="79"/>
      <c r="AC440" s="130"/>
      <c r="AE440" s="106"/>
    </row>
    <row r="441">
      <c r="C441" s="79"/>
      <c r="D441" s="79"/>
      <c r="E441" s="79"/>
      <c r="P441" s="79"/>
      <c r="Q441" s="79"/>
      <c r="R441" s="79"/>
      <c r="Y441" s="79"/>
      <c r="AC441" s="130"/>
      <c r="AE441" s="106"/>
    </row>
    <row r="442">
      <c r="C442" s="79"/>
      <c r="D442" s="79"/>
      <c r="E442" s="79"/>
      <c r="P442" s="79"/>
      <c r="Q442" s="79"/>
      <c r="R442" s="79"/>
      <c r="Y442" s="79"/>
      <c r="AC442" s="130"/>
      <c r="AE442" s="106"/>
    </row>
    <row r="443">
      <c r="C443" s="79"/>
      <c r="D443" s="79"/>
      <c r="E443" s="79"/>
      <c r="P443" s="79"/>
      <c r="Q443" s="79"/>
      <c r="R443" s="79"/>
      <c r="Y443" s="79"/>
      <c r="AC443" s="130"/>
      <c r="AE443" s="106"/>
    </row>
    <row r="444">
      <c r="C444" s="79"/>
      <c r="D444" s="79"/>
      <c r="E444" s="79"/>
      <c r="P444" s="79"/>
      <c r="Q444" s="79"/>
      <c r="R444" s="79"/>
      <c r="Y444" s="79"/>
      <c r="AC444" s="130"/>
      <c r="AE444" s="106"/>
    </row>
    <row r="445">
      <c r="C445" s="79"/>
      <c r="D445" s="79"/>
      <c r="E445" s="79"/>
      <c r="P445" s="79"/>
      <c r="Q445" s="79"/>
      <c r="R445" s="79"/>
      <c r="Y445" s="79"/>
      <c r="AC445" s="130"/>
      <c r="AE445" s="106"/>
    </row>
    <row r="446">
      <c r="C446" s="79"/>
      <c r="D446" s="79"/>
      <c r="E446" s="79"/>
      <c r="P446" s="79"/>
      <c r="Q446" s="79"/>
      <c r="R446" s="79"/>
      <c r="Y446" s="79"/>
      <c r="AC446" s="130"/>
      <c r="AE446" s="106"/>
    </row>
    <row r="447">
      <c r="C447" s="79"/>
      <c r="D447" s="79"/>
      <c r="E447" s="79"/>
      <c r="P447" s="79"/>
      <c r="Q447" s="79"/>
      <c r="R447" s="79"/>
      <c r="Y447" s="79"/>
      <c r="AC447" s="130"/>
      <c r="AE447" s="106"/>
    </row>
    <row r="448">
      <c r="C448" s="79"/>
      <c r="D448" s="79"/>
      <c r="E448" s="79"/>
      <c r="P448" s="79"/>
      <c r="Q448" s="79"/>
      <c r="R448" s="79"/>
      <c r="Y448" s="79"/>
      <c r="AC448" s="130"/>
      <c r="AE448" s="106"/>
    </row>
    <row r="449">
      <c r="C449" s="79"/>
      <c r="D449" s="79"/>
      <c r="E449" s="79"/>
      <c r="P449" s="79"/>
      <c r="Q449" s="79"/>
      <c r="R449" s="79"/>
      <c r="Y449" s="79"/>
      <c r="AC449" s="130"/>
      <c r="AE449" s="106"/>
    </row>
    <row r="450">
      <c r="C450" s="79"/>
      <c r="D450" s="79"/>
      <c r="E450" s="79"/>
      <c r="P450" s="79"/>
      <c r="Q450" s="79"/>
      <c r="R450" s="79"/>
      <c r="Y450" s="79"/>
      <c r="AC450" s="130"/>
      <c r="AE450" s="106"/>
    </row>
    <row r="451">
      <c r="C451" s="79"/>
      <c r="D451" s="79"/>
      <c r="E451" s="79"/>
      <c r="P451" s="79"/>
      <c r="Q451" s="79"/>
      <c r="R451" s="79"/>
      <c r="Y451" s="79"/>
      <c r="AC451" s="130"/>
      <c r="AE451" s="106"/>
    </row>
    <row r="452">
      <c r="C452" s="79"/>
      <c r="D452" s="79"/>
      <c r="E452" s="79"/>
      <c r="P452" s="79"/>
      <c r="Q452" s="79"/>
      <c r="R452" s="79"/>
      <c r="Y452" s="79"/>
      <c r="AC452" s="130"/>
      <c r="AE452" s="106"/>
    </row>
    <row r="453">
      <c r="C453" s="79"/>
      <c r="D453" s="79"/>
      <c r="E453" s="79"/>
      <c r="P453" s="79"/>
      <c r="Q453" s="79"/>
      <c r="R453" s="79"/>
      <c r="Y453" s="79"/>
      <c r="AC453" s="130"/>
      <c r="AE453" s="106"/>
    </row>
    <row r="454">
      <c r="C454" s="79"/>
      <c r="D454" s="79"/>
      <c r="E454" s="79"/>
      <c r="P454" s="79"/>
      <c r="Q454" s="79"/>
      <c r="R454" s="79"/>
      <c r="Y454" s="79"/>
      <c r="AC454" s="130"/>
      <c r="AE454" s="106"/>
    </row>
    <row r="455">
      <c r="C455" s="79"/>
      <c r="D455" s="79"/>
      <c r="E455" s="79"/>
      <c r="P455" s="79"/>
      <c r="Q455" s="79"/>
      <c r="R455" s="79"/>
      <c r="Y455" s="79"/>
      <c r="AC455" s="130"/>
      <c r="AE455" s="106"/>
    </row>
    <row r="456">
      <c r="C456" s="79"/>
      <c r="D456" s="79"/>
      <c r="E456" s="79"/>
      <c r="P456" s="79"/>
      <c r="Q456" s="79"/>
      <c r="R456" s="79"/>
      <c r="Y456" s="79"/>
      <c r="AC456" s="130"/>
      <c r="AE456" s="106"/>
    </row>
    <row r="457">
      <c r="C457" s="79"/>
      <c r="D457" s="79"/>
      <c r="E457" s="79"/>
      <c r="P457" s="79"/>
      <c r="Q457" s="79"/>
      <c r="R457" s="79"/>
      <c r="Y457" s="79"/>
      <c r="AC457" s="130"/>
      <c r="AE457" s="106"/>
    </row>
    <row r="458">
      <c r="C458" s="79"/>
      <c r="D458" s="79"/>
      <c r="E458" s="79"/>
      <c r="P458" s="79"/>
      <c r="Q458" s="79"/>
      <c r="R458" s="79"/>
      <c r="Y458" s="79"/>
      <c r="AC458" s="130"/>
      <c r="AE458" s="106"/>
    </row>
    <row r="459">
      <c r="C459" s="79"/>
      <c r="D459" s="79"/>
      <c r="E459" s="79"/>
      <c r="P459" s="79"/>
      <c r="Q459" s="79"/>
      <c r="R459" s="79"/>
      <c r="Y459" s="79"/>
      <c r="AC459" s="130"/>
      <c r="AE459" s="106"/>
    </row>
    <row r="460">
      <c r="C460" s="79"/>
      <c r="D460" s="79"/>
      <c r="E460" s="79"/>
      <c r="P460" s="79"/>
      <c r="Q460" s="79"/>
      <c r="R460" s="79"/>
      <c r="Y460" s="79"/>
      <c r="AC460" s="130"/>
      <c r="AE460" s="106"/>
    </row>
    <row r="461">
      <c r="C461" s="79"/>
      <c r="D461" s="79"/>
      <c r="E461" s="79"/>
      <c r="P461" s="79"/>
      <c r="Q461" s="79"/>
      <c r="R461" s="79"/>
      <c r="Y461" s="79"/>
      <c r="AC461" s="130"/>
      <c r="AE461" s="106"/>
    </row>
    <row r="462">
      <c r="C462" s="79"/>
      <c r="D462" s="79"/>
      <c r="E462" s="79"/>
      <c r="P462" s="79"/>
      <c r="Q462" s="79"/>
      <c r="R462" s="79"/>
      <c r="Y462" s="79"/>
      <c r="AC462" s="130"/>
      <c r="AE462" s="106"/>
    </row>
    <row r="463">
      <c r="C463" s="79"/>
      <c r="D463" s="79"/>
      <c r="E463" s="79"/>
      <c r="P463" s="79"/>
      <c r="Q463" s="79"/>
      <c r="R463" s="79"/>
      <c r="Y463" s="79"/>
      <c r="AC463" s="130"/>
      <c r="AE463" s="106"/>
    </row>
    <row r="464">
      <c r="C464" s="79"/>
      <c r="D464" s="79"/>
      <c r="E464" s="79"/>
      <c r="P464" s="79"/>
      <c r="Q464" s="79"/>
      <c r="R464" s="79"/>
      <c r="Y464" s="79"/>
      <c r="AC464" s="130"/>
      <c r="AE464" s="106"/>
    </row>
    <row r="465">
      <c r="C465" s="79"/>
      <c r="D465" s="79"/>
      <c r="E465" s="79"/>
      <c r="P465" s="79"/>
      <c r="Q465" s="79"/>
      <c r="R465" s="79"/>
      <c r="Y465" s="79"/>
      <c r="AC465" s="130"/>
      <c r="AE465" s="106"/>
    </row>
    <row r="466">
      <c r="C466" s="79"/>
      <c r="D466" s="79"/>
      <c r="E466" s="79"/>
      <c r="P466" s="79"/>
      <c r="Q466" s="79"/>
      <c r="R466" s="79"/>
      <c r="Y466" s="79"/>
      <c r="AC466" s="130"/>
      <c r="AE466" s="106"/>
    </row>
    <row r="467">
      <c r="C467" s="79"/>
      <c r="D467" s="79"/>
      <c r="E467" s="79"/>
      <c r="P467" s="79"/>
      <c r="Q467" s="79"/>
      <c r="R467" s="79"/>
      <c r="Y467" s="79"/>
      <c r="AC467" s="130"/>
      <c r="AE467" s="106"/>
    </row>
    <row r="468">
      <c r="C468" s="79"/>
      <c r="D468" s="79"/>
      <c r="E468" s="79"/>
      <c r="P468" s="79"/>
      <c r="Q468" s="79"/>
      <c r="R468" s="79"/>
      <c r="Y468" s="79"/>
      <c r="AC468" s="130"/>
      <c r="AE468" s="106"/>
    </row>
    <row r="469">
      <c r="C469" s="79"/>
      <c r="D469" s="79"/>
      <c r="E469" s="79"/>
      <c r="P469" s="79"/>
      <c r="Q469" s="79"/>
      <c r="R469" s="79"/>
      <c r="Y469" s="79"/>
      <c r="AC469" s="130"/>
      <c r="AE469" s="106"/>
    </row>
    <row r="470">
      <c r="C470" s="79"/>
      <c r="D470" s="79"/>
      <c r="E470" s="79"/>
      <c r="P470" s="79"/>
      <c r="Q470" s="79"/>
      <c r="R470" s="79"/>
      <c r="Y470" s="79"/>
      <c r="AC470" s="130"/>
      <c r="AE470" s="106"/>
    </row>
    <row r="471">
      <c r="C471" s="79"/>
      <c r="D471" s="79"/>
      <c r="E471" s="79"/>
      <c r="P471" s="79"/>
      <c r="Q471" s="79"/>
      <c r="R471" s="79"/>
      <c r="Y471" s="79"/>
      <c r="AC471" s="130"/>
      <c r="AE471" s="106"/>
    </row>
    <row r="472">
      <c r="C472" s="79"/>
      <c r="D472" s="79"/>
      <c r="E472" s="79"/>
      <c r="P472" s="79"/>
      <c r="Q472" s="79"/>
      <c r="R472" s="79"/>
      <c r="Y472" s="79"/>
      <c r="AC472" s="130"/>
      <c r="AE472" s="106"/>
    </row>
    <row r="473">
      <c r="C473" s="79"/>
      <c r="D473" s="79"/>
      <c r="E473" s="79"/>
      <c r="P473" s="79"/>
      <c r="Q473" s="79"/>
      <c r="R473" s="79"/>
      <c r="Y473" s="79"/>
      <c r="AC473" s="130"/>
      <c r="AE473" s="106"/>
    </row>
    <row r="474">
      <c r="C474" s="79"/>
      <c r="D474" s="79"/>
      <c r="E474" s="79"/>
      <c r="P474" s="79"/>
      <c r="Q474" s="79"/>
      <c r="R474" s="79"/>
      <c r="Y474" s="79"/>
      <c r="AC474" s="130"/>
      <c r="AE474" s="106"/>
    </row>
    <row r="475">
      <c r="C475" s="79"/>
      <c r="D475" s="79"/>
      <c r="E475" s="79"/>
      <c r="P475" s="79"/>
      <c r="Q475" s="79"/>
      <c r="R475" s="79"/>
      <c r="Y475" s="79"/>
      <c r="AC475" s="130"/>
      <c r="AE475" s="106"/>
    </row>
    <row r="476">
      <c r="C476" s="79"/>
      <c r="D476" s="79"/>
      <c r="E476" s="79"/>
      <c r="P476" s="79"/>
      <c r="Q476" s="79"/>
      <c r="R476" s="79"/>
      <c r="Y476" s="79"/>
      <c r="AC476" s="130"/>
      <c r="AE476" s="106"/>
    </row>
    <row r="477">
      <c r="C477" s="79"/>
      <c r="D477" s="79"/>
      <c r="E477" s="79"/>
      <c r="P477" s="79"/>
      <c r="Q477" s="79"/>
      <c r="R477" s="79"/>
      <c r="Y477" s="79"/>
      <c r="AC477" s="130"/>
      <c r="AE477" s="106"/>
    </row>
    <row r="478">
      <c r="C478" s="79"/>
      <c r="D478" s="79"/>
      <c r="E478" s="79"/>
      <c r="P478" s="79"/>
      <c r="Q478" s="79"/>
      <c r="R478" s="79"/>
      <c r="Y478" s="79"/>
      <c r="AC478" s="130"/>
      <c r="AE478" s="106"/>
    </row>
    <row r="479">
      <c r="C479" s="79"/>
      <c r="D479" s="79"/>
      <c r="E479" s="79"/>
      <c r="P479" s="79"/>
      <c r="Q479" s="79"/>
      <c r="R479" s="79"/>
      <c r="Y479" s="79"/>
      <c r="AC479" s="130"/>
      <c r="AE479" s="106"/>
    </row>
    <row r="480">
      <c r="C480" s="79"/>
      <c r="D480" s="79"/>
      <c r="E480" s="79"/>
      <c r="P480" s="79"/>
      <c r="Q480" s="79"/>
      <c r="R480" s="79"/>
      <c r="Y480" s="79"/>
      <c r="AC480" s="130"/>
      <c r="AE480" s="106"/>
    </row>
    <row r="481">
      <c r="C481" s="79"/>
      <c r="D481" s="79"/>
      <c r="E481" s="79"/>
      <c r="P481" s="79"/>
      <c r="Q481" s="79"/>
      <c r="R481" s="79"/>
      <c r="Y481" s="79"/>
      <c r="AC481" s="130"/>
      <c r="AE481" s="106"/>
    </row>
    <row r="482">
      <c r="C482" s="79"/>
      <c r="D482" s="79"/>
      <c r="E482" s="79"/>
      <c r="P482" s="79"/>
      <c r="Q482" s="79"/>
      <c r="R482" s="79"/>
      <c r="Y482" s="79"/>
      <c r="AC482" s="130"/>
      <c r="AE482" s="106"/>
    </row>
    <row r="483">
      <c r="C483" s="79"/>
      <c r="D483" s="79"/>
      <c r="E483" s="79"/>
      <c r="P483" s="79"/>
      <c r="Q483" s="79"/>
      <c r="R483" s="79"/>
      <c r="Y483" s="79"/>
      <c r="AC483" s="130"/>
      <c r="AE483" s="106"/>
    </row>
    <row r="484">
      <c r="C484" s="79"/>
      <c r="D484" s="79"/>
      <c r="E484" s="79"/>
      <c r="P484" s="79"/>
      <c r="Q484" s="79"/>
      <c r="R484" s="79"/>
      <c r="Y484" s="79"/>
      <c r="AC484" s="130"/>
      <c r="AE484" s="106"/>
    </row>
    <row r="485">
      <c r="C485" s="79"/>
      <c r="D485" s="79"/>
      <c r="E485" s="79"/>
      <c r="P485" s="79"/>
      <c r="Q485" s="79"/>
      <c r="R485" s="79"/>
      <c r="Y485" s="79"/>
      <c r="AC485" s="130"/>
      <c r="AE485" s="106"/>
    </row>
    <row r="486">
      <c r="C486" s="79"/>
      <c r="D486" s="79"/>
      <c r="E486" s="79"/>
      <c r="P486" s="79"/>
      <c r="Q486" s="79"/>
      <c r="R486" s="79"/>
      <c r="Y486" s="79"/>
      <c r="AC486" s="130"/>
      <c r="AE486" s="106"/>
    </row>
    <row r="487">
      <c r="C487" s="79"/>
      <c r="D487" s="79"/>
      <c r="E487" s="79"/>
      <c r="P487" s="79"/>
      <c r="Q487" s="79"/>
      <c r="R487" s="79"/>
      <c r="Y487" s="79"/>
      <c r="AC487" s="130"/>
      <c r="AE487" s="106"/>
    </row>
    <row r="488">
      <c r="C488" s="79"/>
      <c r="D488" s="79"/>
      <c r="E488" s="79"/>
      <c r="P488" s="79"/>
      <c r="Q488" s="79"/>
      <c r="R488" s="79"/>
      <c r="Y488" s="79"/>
      <c r="AC488" s="130"/>
      <c r="AE488" s="106"/>
    </row>
    <row r="489">
      <c r="C489" s="79"/>
      <c r="D489" s="79"/>
      <c r="E489" s="79"/>
      <c r="P489" s="79"/>
      <c r="Q489" s="79"/>
      <c r="R489" s="79"/>
      <c r="Y489" s="79"/>
      <c r="AC489" s="130"/>
      <c r="AE489" s="106"/>
    </row>
    <row r="490">
      <c r="C490" s="79"/>
      <c r="D490" s="79"/>
      <c r="E490" s="79"/>
      <c r="P490" s="79"/>
      <c r="Q490" s="79"/>
      <c r="R490" s="79"/>
      <c r="Y490" s="79"/>
      <c r="AC490" s="130"/>
      <c r="AE490" s="106"/>
    </row>
    <row r="491">
      <c r="C491" s="79"/>
      <c r="D491" s="79"/>
      <c r="E491" s="79"/>
      <c r="P491" s="79"/>
      <c r="Q491" s="79"/>
      <c r="R491" s="79"/>
      <c r="Y491" s="79"/>
      <c r="AC491" s="130"/>
      <c r="AE491" s="106"/>
    </row>
    <row r="492">
      <c r="C492" s="79"/>
      <c r="D492" s="79"/>
      <c r="E492" s="79"/>
      <c r="P492" s="79"/>
      <c r="Q492" s="79"/>
      <c r="R492" s="79"/>
      <c r="Y492" s="79"/>
      <c r="AC492" s="130"/>
      <c r="AE492" s="106"/>
    </row>
    <row r="493">
      <c r="C493" s="79"/>
      <c r="D493" s="79"/>
      <c r="E493" s="79"/>
      <c r="P493" s="79"/>
      <c r="Q493" s="79"/>
      <c r="R493" s="79"/>
      <c r="Y493" s="79"/>
      <c r="AC493" s="130"/>
      <c r="AE493" s="106"/>
    </row>
    <row r="494">
      <c r="C494" s="79"/>
      <c r="D494" s="79"/>
      <c r="E494" s="79"/>
      <c r="P494" s="79"/>
      <c r="Q494" s="79"/>
      <c r="R494" s="79"/>
      <c r="Y494" s="79"/>
      <c r="AC494" s="130"/>
      <c r="AE494" s="106"/>
    </row>
    <row r="495">
      <c r="C495" s="79"/>
      <c r="D495" s="79"/>
      <c r="E495" s="79"/>
      <c r="P495" s="79"/>
      <c r="Q495" s="79"/>
      <c r="R495" s="79"/>
      <c r="Y495" s="79"/>
      <c r="AC495" s="130"/>
      <c r="AE495" s="106"/>
    </row>
    <row r="496">
      <c r="C496" s="79"/>
      <c r="D496" s="79"/>
      <c r="E496" s="79"/>
      <c r="P496" s="79"/>
      <c r="Q496" s="79"/>
      <c r="R496" s="79"/>
      <c r="Y496" s="79"/>
      <c r="AC496" s="130"/>
      <c r="AE496" s="106"/>
    </row>
    <row r="497">
      <c r="C497" s="79"/>
      <c r="D497" s="79"/>
      <c r="E497" s="79"/>
      <c r="P497" s="79"/>
      <c r="Q497" s="79"/>
      <c r="R497" s="79"/>
      <c r="Y497" s="79"/>
      <c r="AC497" s="130"/>
      <c r="AE497" s="106"/>
    </row>
    <row r="498">
      <c r="C498" s="79"/>
      <c r="D498" s="79"/>
      <c r="E498" s="79"/>
      <c r="P498" s="79"/>
      <c r="Q498" s="79"/>
      <c r="R498" s="79"/>
      <c r="Y498" s="79"/>
      <c r="AC498" s="130"/>
      <c r="AE498" s="106"/>
    </row>
    <row r="499">
      <c r="C499" s="79"/>
      <c r="D499" s="79"/>
      <c r="E499" s="79"/>
      <c r="P499" s="79"/>
      <c r="Q499" s="79"/>
      <c r="R499" s="79"/>
      <c r="Y499" s="79"/>
      <c r="AC499" s="130"/>
      <c r="AE499" s="106"/>
    </row>
    <row r="500">
      <c r="C500" s="79"/>
      <c r="D500" s="79"/>
      <c r="E500" s="79"/>
      <c r="P500" s="79"/>
      <c r="Q500" s="79"/>
      <c r="R500" s="79"/>
      <c r="Y500" s="79"/>
      <c r="AC500" s="130"/>
      <c r="AE500" s="106"/>
    </row>
    <row r="501">
      <c r="C501" s="79"/>
      <c r="D501" s="79"/>
      <c r="E501" s="79"/>
      <c r="P501" s="79"/>
      <c r="Q501" s="79"/>
      <c r="R501" s="79"/>
      <c r="Y501" s="79"/>
      <c r="AC501" s="130"/>
      <c r="AE501" s="106"/>
    </row>
    <row r="502">
      <c r="C502" s="79"/>
      <c r="D502" s="79"/>
      <c r="E502" s="79"/>
      <c r="P502" s="79"/>
      <c r="Q502" s="79"/>
      <c r="R502" s="79"/>
      <c r="Y502" s="79"/>
      <c r="AC502" s="130"/>
      <c r="AE502" s="106"/>
    </row>
    <row r="503">
      <c r="C503" s="79"/>
      <c r="D503" s="79"/>
      <c r="E503" s="79"/>
      <c r="P503" s="79"/>
      <c r="Q503" s="79"/>
      <c r="R503" s="79"/>
      <c r="Y503" s="79"/>
      <c r="AC503" s="130"/>
      <c r="AE503" s="106"/>
    </row>
    <row r="504">
      <c r="C504" s="79"/>
      <c r="D504" s="79"/>
      <c r="E504" s="79"/>
      <c r="P504" s="79"/>
      <c r="Q504" s="79"/>
      <c r="R504" s="79"/>
      <c r="Y504" s="79"/>
      <c r="AC504" s="130"/>
      <c r="AE504" s="106"/>
    </row>
    <row r="505">
      <c r="C505" s="79"/>
      <c r="D505" s="79"/>
      <c r="E505" s="79"/>
      <c r="P505" s="79"/>
      <c r="Q505" s="79"/>
      <c r="R505" s="79"/>
      <c r="Y505" s="79"/>
      <c r="AC505" s="130"/>
      <c r="AE505" s="106"/>
    </row>
    <row r="506">
      <c r="C506" s="79"/>
      <c r="D506" s="79"/>
      <c r="E506" s="79"/>
      <c r="P506" s="79"/>
      <c r="Q506" s="79"/>
      <c r="R506" s="79"/>
      <c r="Y506" s="79"/>
      <c r="AC506" s="130"/>
      <c r="AE506" s="106"/>
    </row>
    <row r="507">
      <c r="C507" s="79"/>
      <c r="D507" s="79"/>
      <c r="E507" s="79"/>
      <c r="P507" s="79"/>
      <c r="Q507" s="79"/>
      <c r="R507" s="79"/>
      <c r="Y507" s="79"/>
      <c r="AC507" s="130"/>
      <c r="AE507" s="106"/>
    </row>
    <row r="508">
      <c r="C508" s="79"/>
      <c r="D508" s="79"/>
      <c r="E508" s="79"/>
      <c r="P508" s="79"/>
      <c r="Q508" s="79"/>
      <c r="R508" s="79"/>
      <c r="Y508" s="79"/>
      <c r="AC508" s="130"/>
      <c r="AE508" s="106"/>
    </row>
    <row r="509">
      <c r="C509" s="79"/>
      <c r="D509" s="79"/>
      <c r="E509" s="79"/>
      <c r="P509" s="79"/>
      <c r="Q509" s="79"/>
      <c r="R509" s="79"/>
      <c r="Y509" s="79"/>
      <c r="AC509" s="130"/>
      <c r="AE509" s="106"/>
    </row>
    <row r="510">
      <c r="C510" s="79"/>
      <c r="D510" s="79"/>
      <c r="E510" s="79"/>
      <c r="P510" s="79"/>
      <c r="Q510" s="79"/>
      <c r="R510" s="79"/>
      <c r="Y510" s="79"/>
      <c r="AC510" s="130"/>
      <c r="AE510" s="106"/>
    </row>
    <row r="511">
      <c r="C511" s="79"/>
      <c r="D511" s="79"/>
      <c r="E511" s="79"/>
      <c r="P511" s="79"/>
      <c r="Q511" s="79"/>
      <c r="R511" s="79"/>
      <c r="Y511" s="79"/>
      <c r="AC511" s="130"/>
      <c r="AE511" s="106"/>
    </row>
    <row r="512">
      <c r="C512" s="79"/>
      <c r="D512" s="79"/>
      <c r="E512" s="79"/>
      <c r="P512" s="79"/>
      <c r="Q512" s="79"/>
      <c r="R512" s="79"/>
      <c r="Y512" s="79"/>
      <c r="AC512" s="130"/>
      <c r="AE512" s="106"/>
    </row>
    <row r="513">
      <c r="C513" s="79"/>
      <c r="D513" s="79"/>
      <c r="E513" s="79"/>
      <c r="P513" s="79"/>
      <c r="Q513" s="79"/>
      <c r="R513" s="79"/>
      <c r="Y513" s="79"/>
      <c r="AC513" s="130"/>
      <c r="AE513" s="106"/>
    </row>
    <row r="514">
      <c r="C514" s="79"/>
      <c r="D514" s="79"/>
      <c r="E514" s="79"/>
      <c r="P514" s="79"/>
      <c r="Q514" s="79"/>
      <c r="R514" s="79"/>
      <c r="Y514" s="79"/>
      <c r="AC514" s="130"/>
      <c r="AE514" s="106"/>
    </row>
    <row r="515">
      <c r="C515" s="79"/>
      <c r="D515" s="79"/>
      <c r="E515" s="79"/>
      <c r="P515" s="79"/>
      <c r="Q515" s="79"/>
      <c r="R515" s="79"/>
      <c r="Y515" s="79"/>
      <c r="AC515" s="130"/>
      <c r="AE515" s="106"/>
    </row>
    <row r="516">
      <c r="C516" s="79"/>
      <c r="D516" s="79"/>
      <c r="E516" s="79"/>
      <c r="P516" s="79"/>
      <c r="Q516" s="79"/>
      <c r="R516" s="79"/>
      <c r="Y516" s="79"/>
      <c r="AC516" s="130"/>
      <c r="AE516" s="106"/>
    </row>
    <row r="517">
      <c r="C517" s="79"/>
      <c r="D517" s="79"/>
      <c r="E517" s="79"/>
      <c r="P517" s="79"/>
      <c r="Q517" s="79"/>
      <c r="R517" s="79"/>
      <c r="Y517" s="79"/>
      <c r="AC517" s="130"/>
      <c r="AE517" s="106"/>
    </row>
    <row r="518">
      <c r="C518" s="79"/>
      <c r="D518" s="79"/>
      <c r="E518" s="79"/>
      <c r="P518" s="79"/>
      <c r="Q518" s="79"/>
      <c r="R518" s="79"/>
      <c r="Y518" s="79"/>
      <c r="AC518" s="130"/>
      <c r="AE518" s="106"/>
    </row>
    <row r="519">
      <c r="C519" s="79"/>
      <c r="D519" s="79"/>
      <c r="E519" s="79"/>
      <c r="P519" s="79"/>
      <c r="Q519" s="79"/>
      <c r="R519" s="79"/>
      <c r="Y519" s="79"/>
      <c r="AC519" s="130"/>
      <c r="AE519" s="106"/>
    </row>
    <row r="520">
      <c r="C520" s="79"/>
      <c r="D520" s="79"/>
      <c r="E520" s="79"/>
      <c r="P520" s="79"/>
      <c r="Q520" s="79"/>
      <c r="R520" s="79"/>
      <c r="Y520" s="79"/>
      <c r="AC520" s="130"/>
      <c r="AE520" s="106"/>
    </row>
    <row r="521">
      <c r="C521" s="79"/>
      <c r="D521" s="79"/>
      <c r="E521" s="79"/>
      <c r="P521" s="79"/>
      <c r="Q521" s="79"/>
      <c r="R521" s="79"/>
      <c r="Y521" s="79"/>
      <c r="AC521" s="130"/>
      <c r="AE521" s="106"/>
    </row>
    <row r="522">
      <c r="C522" s="79"/>
      <c r="D522" s="79"/>
      <c r="E522" s="79"/>
      <c r="P522" s="79"/>
      <c r="Q522" s="79"/>
      <c r="R522" s="79"/>
      <c r="Y522" s="79"/>
      <c r="AC522" s="130"/>
      <c r="AE522" s="106"/>
    </row>
    <row r="523">
      <c r="C523" s="79"/>
      <c r="D523" s="79"/>
      <c r="E523" s="79"/>
      <c r="P523" s="79"/>
      <c r="Q523" s="79"/>
      <c r="R523" s="79"/>
      <c r="Y523" s="79"/>
      <c r="AC523" s="130"/>
      <c r="AE523" s="106"/>
    </row>
    <row r="524">
      <c r="C524" s="79"/>
      <c r="D524" s="79"/>
      <c r="E524" s="79"/>
      <c r="P524" s="79"/>
      <c r="Q524" s="79"/>
      <c r="R524" s="79"/>
      <c r="Y524" s="79"/>
      <c r="AC524" s="130"/>
      <c r="AE524" s="106"/>
    </row>
    <row r="525">
      <c r="C525" s="79"/>
      <c r="D525" s="79"/>
      <c r="E525" s="79"/>
      <c r="P525" s="79"/>
      <c r="Q525" s="79"/>
      <c r="R525" s="79"/>
      <c r="Y525" s="79"/>
      <c r="AC525" s="130"/>
      <c r="AE525" s="106"/>
    </row>
    <row r="526">
      <c r="C526" s="79"/>
      <c r="D526" s="79"/>
      <c r="E526" s="79"/>
      <c r="P526" s="79"/>
      <c r="Q526" s="79"/>
      <c r="R526" s="79"/>
      <c r="Y526" s="79"/>
      <c r="AC526" s="130"/>
      <c r="AE526" s="106"/>
    </row>
    <row r="527">
      <c r="C527" s="79"/>
      <c r="D527" s="79"/>
      <c r="E527" s="79"/>
      <c r="P527" s="79"/>
      <c r="Q527" s="79"/>
      <c r="R527" s="79"/>
      <c r="Y527" s="79"/>
      <c r="AC527" s="130"/>
      <c r="AE527" s="106"/>
    </row>
    <row r="528">
      <c r="C528" s="79"/>
      <c r="D528" s="79"/>
      <c r="E528" s="79"/>
      <c r="P528" s="79"/>
      <c r="Q528" s="79"/>
      <c r="R528" s="79"/>
      <c r="Y528" s="79"/>
      <c r="AC528" s="130"/>
      <c r="AE528" s="106"/>
    </row>
    <row r="529">
      <c r="C529" s="79"/>
      <c r="D529" s="79"/>
      <c r="E529" s="79"/>
      <c r="P529" s="79"/>
      <c r="Q529" s="79"/>
      <c r="R529" s="79"/>
      <c r="Y529" s="79"/>
      <c r="AC529" s="130"/>
      <c r="AE529" s="106"/>
    </row>
    <row r="530">
      <c r="C530" s="79"/>
      <c r="D530" s="79"/>
      <c r="E530" s="79"/>
      <c r="P530" s="79"/>
      <c r="Q530" s="79"/>
      <c r="R530" s="79"/>
      <c r="Y530" s="79"/>
      <c r="AC530" s="130"/>
      <c r="AE530" s="106"/>
    </row>
    <row r="531">
      <c r="C531" s="79"/>
      <c r="D531" s="79"/>
      <c r="E531" s="79"/>
      <c r="P531" s="79"/>
      <c r="Q531" s="79"/>
      <c r="R531" s="79"/>
      <c r="Y531" s="79"/>
      <c r="AC531" s="130"/>
      <c r="AE531" s="106"/>
    </row>
    <row r="532">
      <c r="C532" s="79"/>
      <c r="D532" s="79"/>
      <c r="E532" s="79"/>
      <c r="P532" s="79"/>
      <c r="Q532" s="79"/>
      <c r="R532" s="79"/>
      <c r="Y532" s="79"/>
      <c r="AC532" s="130"/>
      <c r="AE532" s="106"/>
    </row>
    <row r="533">
      <c r="C533" s="79"/>
      <c r="D533" s="79"/>
      <c r="E533" s="79"/>
      <c r="P533" s="79"/>
      <c r="Q533" s="79"/>
      <c r="R533" s="79"/>
      <c r="Y533" s="79"/>
      <c r="AC533" s="130"/>
      <c r="AE533" s="106"/>
    </row>
    <row r="534">
      <c r="C534" s="79"/>
      <c r="D534" s="79"/>
      <c r="E534" s="79"/>
      <c r="P534" s="79"/>
      <c r="Q534" s="79"/>
      <c r="R534" s="79"/>
      <c r="Y534" s="79"/>
      <c r="AC534" s="130"/>
      <c r="AE534" s="106"/>
    </row>
    <row r="535">
      <c r="C535" s="79"/>
      <c r="D535" s="79"/>
      <c r="E535" s="79"/>
      <c r="P535" s="79"/>
      <c r="Q535" s="79"/>
      <c r="R535" s="79"/>
      <c r="Y535" s="79"/>
      <c r="AC535" s="130"/>
      <c r="AE535" s="106"/>
    </row>
    <row r="536">
      <c r="C536" s="79"/>
      <c r="D536" s="79"/>
      <c r="E536" s="79"/>
      <c r="P536" s="79"/>
      <c r="Q536" s="79"/>
      <c r="R536" s="79"/>
      <c r="Y536" s="79"/>
      <c r="AC536" s="130"/>
      <c r="AE536" s="106"/>
    </row>
    <row r="537">
      <c r="C537" s="79"/>
      <c r="D537" s="79"/>
      <c r="E537" s="79"/>
      <c r="P537" s="79"/>
      <c r="Q537" s="79"/>
      <c r="R537" s="79"/>
      <c r="Y537" s="79"/>
      <c r="AC537" s="130"/>
      <c r="AE537" s="106"/>
    </row>
    <row r="538">
      <c r="C538" s="79"/>
      <c r="D538" s="79"/>
      <c r="E538" s="79"/>
      <c r="P538" s="79"/>
      <c r="Q538" s="79"/>
      <c r="R538" s="79"/>
      <c r="Y538" s="79"/>
      <c r="AC538" s="130"/>
      <c r="AE538" s="106"/>
    </row>
    <row r="539">
      <c r="C539" s="79"/>
      <c r="D539" s="79"/>
      <c r="E539" s="79"/>
      <c r="P539" s="79"/>
      <c r="Q539" s="79"/>
      <c r="R539" s="79"/>
      <c r="Y539" s="79"/>
      <c r="AC539" s="130"/>
      <c r="AE539" s="106"/>
    </row>
    <row r="540">
      <c r="C540" s="79"/>
      <c r="D540" s="79"/>
      <c r="E540" s="79"/>
      <c r="P540" s="79"/>
      <c r="Q540" s="79"/>
      <c r="R540" s="79"/>
      <c r="Y540" s="79"/>
      <c r="AC540" s="130"/>
      <c r="AE540" s="106"/>
    </row>
    <row r="541">
      <c r="C541" s="79"/>
      <c r="D541" s="79"/>
      <c r="E541" s="79"/>
      <c r="P541" s="79"/>
      <c r="Q541" s="79"/>
      <c r="R541" s="79"/>
      <c r="Y541" s="79"/>
      <c r="AC541" s="130"/>
      <c r="AE541" s="106"/>
    </row>
    <row r="542">
      <c r="C542" s="79"/>
      <c r="D542" s="79"/>
      <c r="E542" s="79"/>
      <c r="P542" s="79"/>
      <c r="Q542" s="79"/>
      <c r="R542" s="79"/>
      <c r="Y542" s="79"/>
      <c r="AC542" s="130"/>
      <c r="AE542" s="106"/>
    </row>
    <row r="543">
      <c r="C543" s="79"/>
      <c r="D543" s="79"/>
      <c r="E543" s="79"/>
      <c r="P543" s="79"/>
      <c r="Q543" s="79"/>
      <c r="R543" s="79"/>
      <c r="Y543" s="79"/>
      <c r="AC543" s="130"/>
      <c r="AE543" s="106"/>
    </row>
    <row r="544">
      <c r="C544" s="79"/>
      <c r="D544" s="79"/>
      <c r="E544" s="79"/>
      <c r="P544" s="79"/>
      <c r="Q544" s="79"/>
      <c r="R544" s="79"/>
      <c r="Y544" s="79"/>
      <c r="AC544" s="130"/>
      <c r="AE544" s="106"/>
    </row>
    <row r="545">
      <c r="C545" s="79"/>
      <c r="D545" s="79"/>
      <c r="E545" s="79"/>
      <c r="P545" s="79"/>
      <c r="Q545" s="79"/>
      <c r="R545" s="79"/>
      <c r="Y545" s="79"/>
      <c r="AC545" s="130"/>
      <c r="AE545" s="106"/>
    </row>
    <row r="546">
      <c r="C546" s="79"/>
      <c r="D546" s="79"/>
      <c r="E546" s="79"/>
      <c r="P546" s="79"/>
      <c r="Q546" s="79"/>
      <c r="R546" s="79"/>
      <c r="Y546" s="79"/>
      <c r="AC546" s="130"/>
      <c r="AE546" s="106"/>
    </row>
    <row r="547">
      <c r="C547" s="79"/>
      <c r="D547" s="79"/>
      <c r="E547" s="79"/>
      <c r="P547" s="79"/>
      <c r="Q547" s="79"/>
      <c r="R547" s="79"/>
      <c r="Y547" s="79"/>
      <c r="AC547" s="130"/>
      <c r="AE547" s="106"/>
    </row>
    <row r="548">
      <c r="C548" s="79"/>
      <c r="D548" s="79"/>
      <c r="E548" s="79"/>
      <c r="P548" s="79"/>
      <c r="Q548" s="79"/>
      <c r="R548" s="79"/>
      <c r="Y548" s="79"/>
      <c r="AC548" s="130"/>
      <c r="AE548" s="106"/>
    </row>
    <row r="549">
      <c r="C549" s="79"/>
      <c r="D549" s="79"/>
      <c r="E549" s="79"/>
      <c r="P549" s="79"/>
      <c r="Q549" s="79"/>
      <c r="R549" s="79"/>
      <c r="Y549" s="79"/>
      <c r="AC549" s="130"/>
      <c r="AE549" s="106"/>
    </row>
    <row r="550">
      <c r="C550" s="79"/>
      <c r="D550" s="79"/>
      <c r="E550" s="79"/>
      <c r="P550" s="79"/>
      <c r="Q550" s="79"/>
      <c r="R550" s="79"/>
      <c r="Y550" s="79"/>
      <c r="AC550" s="130"/>
      <c r="AE550" s="106"/>
    </row>
    <row r="551">
      <c r="C551" s="79"/>
      <c r="D551" s="79"/>
      <c r="E551" s="79"/>
      <c r="P551" s="79"/>
      <c r="Q551" s="79"/>
      <c r="R551" s="79"/>
      <c r="Y551" s="79"/>
      <c r="AC551" s="130"/>
      <c r="AE551" s="106"/>
    </row>
    <row r="552">
      <c r="C552" s="79"/>
      <c r="D552" s="79"/>
      <c r="E552" s="79"/>
      <c r="P552" s="79"/>
      <c r="Q552" s="79"/>
      <c r="R552" s="79"/>
      <c r="Y552" s="79"/>
      <c r="AC552" s="130"/>
      <c r="AE552" s="106"/>
    </row>
    <row r="553">
      <c r="C553" s="79"/>
      <c r="D553" s="79"/>
      <c r="E553" s="79"/>
      <c r="P553" s="79"/>
      <c r="Q553" s="79"/>
      <c r="R553" s="79"/>
      <c r="Y553" s="79"/>
      <c r="AC553" s="130"/>
      <c r="AE553" s="106"/>
    </row>
    <row r="554">
      <c r="C554" s="79"/>
      <c r="D554" s="79"/>
      <c r="E554" s="79"/>
      <c r="P554" s="79"/>
      <c r="Q554" s="79"/>
      <c r="R554" s="79"/>
      <c r="Y554" s="79"/>
      <c r="AC554" s="130"/>
      <c r="AE554" s="106"/>
    </row>
    <row r="555">
      <c r="C555" s="79"/>
      <c r="D555" s="79"/>
      <c r="E555" s="79"/>
      <c r="P555" s="79"/>
      <c r="Q555" s="79"/>
      <c r="R555" s="79"/>
      <c r="Y555" s="79"/>
      <c r="AC555" s="130"/>
      <c r="AE555" s="106"/>
    </row>
    <row r="556">
      <c r="C556" s="79"/>
      <c r="D556" s="79"/>
      <c r="E556" s="79"/>
      <c r="P556" s="79"/>
      <c r="Q556" s="79"/>
      <c r="R556" s="79"/>
      <c r="Y556" s="79"/>
      <c r="AC556" s="130"/>
      <c r="AE556" s="106"/>
    </row>
    <row r="557">
      <c r="C557" s="79"/>
      <c r="D557" s="79"/>
      <c r="E557" s="79"/>
      <c r="P557" s="79"/>
      <c r="Q557" s="79"/>
      <c r="R557" s="79"/>
      <c r="Y557" s="79"/>
      <c r="AC557" s="130"/>
      <c r="AE557" s="106"/>
    </row>
    <row r="558">
      <c r="C558" s="79"/>
      <c r="D558" s="79"/>
      <c r="E558" s="79"/>
      <c r="P558" s="79"/>
      <c r="Q558" s="79"/>
      <c r="R558" s="79"/>
      <c r="Y558" s="79"/>
      <c r="AC558" s="130"/>
      <c r="AE558" s="106"/>
    </row>
    <row r="559">
      <c r="C559" s="79"/>
      <c r="D559" s="79"/>
      <c r="E559" s="79"/>
      <c r="P559" s="79"/>
      <c r="Q559" s="79"/>
      <c r="R559" s="79"/>
      <c r="Y559" s="79"/>
      <c r="AC559" s="130"/>
      <c r="AE559" s="106"/>
    </row>
    <row r="560">
      <c r="C560" s="79"/>
      <c r="D560" s="79"/>
      <c r="E560" s="79"/>
      <c r="P560" s="79"/>
      <c r="Q560" s="79"/>
      <c r="R560" s="79"/>
      <c r="Y560" s="79"/>
      <c r="AC560" s="130"/>
      <c r="AE560" s="106"/>
    </row>
    <row r="561">
      <c r="C561" s="79"/>
      <c r="D561" s="79"/>
      <c r="E561" s="79"/>
      <c r="P561" s="79"/>
      <c r="Q561" s="79"/>
      <c r="R561" s="79"/>
      <c r="Y561" s="79"/>
      <c r="AC561" s="130"/>
      <c r="AE561" s="106"/>
    </row>
    <row r="562">
      <c r="C562" s="79"/>
      <c r="D562" s="79"/>
      <c r="E562" s="79"/>
      <c r="P562" s="79"/>
      <c r="Q562" s="79"/>
      <c r="R562" s="79"/>
      <c r="Y562" s="79"/>
      <c r="AC562" s="130"/>
      <c r="AE562" s="106"/>
    </row>
    <row r="563">
      <c r="C563" s="79"/>
      <c r="D563" s="79"/>
      <c r="E563" s="79"/>
      <c r="P563" s="79"/>
      <c r="Q563" s="79"/>
      <c r="R563" s="79"/>
      <c r="Y563" s="79"/>
      <c r="AC563" s="130"/>
      <c r="AE563" s="106"/>
    </row>
    <row r="564">
      <c r="C564" s="79"/>
      <c r="D564" s="79"/>
      <c r="E564" s="79"/>
      <c r="P564" s="79"/>
      <c r="Q564" s="79"/>
      <c r="R564" s="79"/>
      <c r="Y564" s="79"/>
      <c r="AC564" s="130"/>
      <c r="AE564" s="106"/>
    </row>
    <row r="565">
      <c r="C565" s="79"/>
      <c r="D565" s="79"/>
      <c r="E565" s="79"/>
      <c r="P565" s="79"/>
      <c r="Q565" s="79"/>
      <c r="R565" s="79"/>
      <c r="Y565" s="79"/>
      <c r="AC565" s="130"/>
      <c r="AE565" s="106"/>
    </row>
    <row r="566">
      <c r="C566" s="79"/>
      <c r="D566" s="79"/>
      <c r="E566" s="79"/>
      <c r="P566" s="79"/>
      <c r="Q566" s="79"/>
      <c r="R566" s="79"/>
      <c r="Y566" s="79"/>
      <c r="AC566" s="130"/>
      <c r="AE566" s="106"/>
    </row>
    <row r="567">
      <c r="C567" s="79"/>
      <c r="D567" s="79"/>
      <c r="E567" s="79"/>
      <c r="P567" s="79"/>
      <c r="Q567" s="79"/>
      <c r="R567" s="79"/>
      <c r="Y567" s="79"/>
      <c r="AC567" s="130"/>
      <c r="AE567" s="106"/>
    </row>
    <row r="568">
      <c r="C568" s="79"/>
      <c r="D568" s="79"/>
      <c r="E568" s="79"/>
      <c r="P568" s="79"/>
      <c r="Q568" s="79"/>
      <c r="R568" s="79"/>
      <c r="Y568" s="79"/>
      <c r="AC568" s="130"/>
      <c r="AE568" s="106"/>
    </row>
    <row r="569">
      <c r="C569" s="79"/>
      <c r="D569" s="79"/>
      <c r="E569" s="79"/>
      <c r="P569" s="79"/>
      <c r="Q569" s="79"/>
      <c r="R569" s="79"/>
      <c r="Y569" s="79"/>
      <c r="AC569" s="130"/>
      <c r="AE569" s="106"/>
    </row>
    <row r="570">
      <c r="C570" s="79"/>
      <c r="D570" s="79"/>
      <c r="E570" s="79"/>
      <c r="P570" s="79"/>
      <c r="Q570" s="79"/>
      <c r="R570" s="79"/>
      <c r="Y570" s="79"/>
      <c r="AC570" s="130"/>
      <c r="AE570" s="106"/>
    </row>
    <row r="571">
      <c r="C571" s="79"/>
      <c r="D571" s="79"/>
      <c r="E571" s="79"/>
      <c r="P571" s="79"/>
      <c r="Q571" s="79"/>
      <c r="R571" s="79"/>
      <c r="Y571" s="79"/>
      <c r="AC571" s="130"/>
      <c r="AE571" s="106"/>
    </row>
    <row r="572">
      <c r="C572" s="79"/>
      <c r="D572" s="79"/>
      <c r="E572" s="79"/>
      <c r="P572" s="79"/>
      <c r="Q572" s="79"/>
      <c r="R572" s="79"/>
      <c r="Y572" s="79"/>
      <c r="AC572" s="130"/>
      <c r="AE572" s="106"/>
    </row>
    <row r="573">
      <c r="C573" s="79"/>
      <c r="D573" s="79"/>
      <c r="E573" s="79"/>
      <c r="P573" s="79"/>
      <c r="Q573" s="79"/>
      <c r="R573" s="79"/>
      <c r="Y573" s="79"/>
      <c r="AC573" s="130"/>
      <c r="AE573" s="106"/>
    </row>
    <row r="574">
      <c r="C574" s="79"/>
      <c r="D574" s="79"/>
      <c r="E574" s="79"/>
      <c r="P574" s="79"/>
      <c r="Q574" s="79"/>
      <c r="R574" s="79"/>
      <c r="Y574" s="79"/>
      <c r="AC574" s="130"/>
      <c r="AE574" s="106"/>
    </row>
    <row r="575">
      <c r="C575" s="79"/>
      <c r="D575" s="79"/>
      <c r="E575" s="79"/>
      <c r="P575" s="79"/>
      <c r="Q575" s="79"/>
      <c r="R575" s="79"/>
      <c r="Y575" s="79"/>
      <c r="AC575" s="130"/>
      <c r="AE575" s="106"/>
    </row>
    <row r="576">
      <c r="C576" s="79"/>
      <c r="D576" s="79"/>
      <c r="E576" s="79"/>
      <c r="P576" s="79"/>
      <c r="Q576" s="79"/>
      <c r="R576" s="79"/>
      <c r="Y576" s="79"/>
      <c r="AC576" s="130"/>
      <c r="AE576" s="106"/>
    </row>
    <row r="577">
      <c r="C577" s="79"/>
      <c r="D577" s="79"/>
      <c r="E577" s="79"/>
      <c r="P577" s="79"/>
      <c r="Q577" s="79"/>
      <c r="R577" s="79"/>
      <c r="Y577" s="79"/>
      <c r="AC577" s="130"/>
      <c r="AE577" s="106"/>
    </row>
    <row r="578">
      <c r="C578" s="79"/>
      <c r="D578" s="79"/>
      <c r="E578" s="79"/>
      <c r="P578" s="79"/>
      <c r="Q578" s="79"/>
      <c r="R578" s="79"/>
      <c r="Y578" s="79"/>
      <c r="AC578" s="130"/>
      <c r="AE578" s="106"/>
    </row>
    <row r="579">
      <c r="C579" s="79"/>
      <c r="D579" s="79"/>
      <c r="E579" s="79"/>
      <c r="P579" s="79"/>
      <c r="Q579" s="79"/>
      <c r="R579" s="79"/>
      <c r="Y579" s="79"/>
      <c r="AC579" s="130"/>
      <c r="AE579" s="106"/>
    </row>
    <row r="580">
      <c r="C580" s="79"/>
      <c r="D580" s="79"/>
      <c r="E580" s="79"/>
      <c r="P580" s="79"/>
      <c r="Q580" s="79"/>
      <c r="R580" s="79"/>
      <c r="Y580" s="79"/>
      <c r="AC580" s="130"/>
      <c r="AE580" s="106"/>
    </row>
    <row r="581">
      <c r="C581" s="79"/>
      <c r="D581" s="79"/>
      <c r="E581" s="79"/>
      <c r="P581" s="79"/>
      <c r="Q581" s="79"/>
      <c r="R581" s="79"/>
      <c r="Y581" s="79"/>
      <c r="AC581" s="130"/>
      <c r="AE581" s="106"/>
    </row>
    <row r="582">
      <c r="C582" s="79"/>
      <c r="D582" s="79"/>
      <c r="E582" s="79"/>
      <c r="P582" s="79"/>
      <c r="Q582" s="79"/>
      <c r="R582" s="79"/>
      <c r="Y582" s="79"/>
      <c r="AC582" s="130"/>
      <c r="AE582" s="106"/>
    </row>
    <row r="583">
      <c r="C583" s="79"/>
      <c r="D583" s="79"/>
      <c r="E583" s="79"/>
      <c r="P583" s="79"/>
      <c r="Q583" s="79"/>
      <c r="R583" s="79"/>
      <c r="Y583" s="79"/>
      <c r="AC583" s="130"/>
      <c r="AE583" s="106"/>
    </row>
    <row r="584">
      <c r="C584" s="79"/>
      <c r="D584" s="79"/>
      <c r="E584" s="79"/>
      <c r="P584" s="79"/>
      <c r="Q584" s="79"/>
      <c r="R584" s="79"/>
      <c r="Y584" s="79"/>
      <c r="AC584" s="130"/>
      <c r="AE584" s="106"/>
    </row>
    <row r="585">
      <c r="C585" s="79"/>
      <c r="D585" s="79"/>
      <c r="E585" s="79"/>
      <c r="P585" s="79"/>
      <c r="Q585" s="79"/>
      <c r="R585" s="79"/>
      <c r="Y585" s="79"/>
      <c r="AC585" s="130"/>
      <c r="AE585" s="106"/>
    </row>
    <row r="586">
      <c r="C586" s="79"/>
      <c r="D586" s="79"/>
      <c r="E586" s="79"/>
      <c r="P586" s="79"/>
      <c r="Q586" s="79"/>
      <c r="R586" s="79"/>
      <c r="Y586" s="79"/>
      <c r="AC586" s="130"/>
      <c r="AE586" s="106"/>
    </row>
    <row r="587">
      <c r="C587" s="79"/>
      <c r="D587" s="79"/>
      <c r="E587" s="79"/>
      <c r="P587" s="79"/>
      <c r="Q587" s="79"/>
      <c r="R587" s="79"/>
      <c r="Y587" s="79"/>
      <c r="AC587" s="130"/>
      <c r="AE587" s="106"/>
    </row>
    <row r="588">
      <c r="C588" s="79"/>
      <c r="D588" s="79"/>
      <c r="E588" s="79"/>
      <c r="P588" s="79"/>
      <c r="Q588" s="79"/>
      <c r="R588" s="79"/>
      <c r="Y588" s="79"/>
      <c r="AC588" s="130"/>
      <c r="AE588" s="106"/>
    </row>
    <row r="589">
      <c r="C589" s="79"/>
      <c r="D589" s="79"/>
      <c r="E589" s="79"/>
      <c r="P589" s="79"/>
      <c r="Q589" s="79"/>
      <c r="R589" s="79"/>
      <c r="Y589" s="79"/>
      <c r="AC589" s="130"/>
      <c r="AE589" s="106"/>
    </row>
    <row r="590">
      <c r="C590" s="79"/>
      <c r="D590" s="79"/>
      <c r="E590" s="79"/>
      <c r="P590" s="79"/>
      <c r="Q590" s="79"/>
      <c r="R590" s="79"/>
      <c r="Y590" s="79"/>
      <c r="AC590" s="130"/>
      <c r="AE590" s="106"/>
    </row>
    <row r="591">
      <c r="C591" s="79"/>
      <c r="D591" s="79"/>
      <c r="E591" s="79"/>
      <c r="P591" s="79"/>
      <c r="Q591" s="79"/>
      <c r="R591" s="79"/>
      <c r="Y591" s="79"/>
      <c r="AC591" s="130"/>
      <c r="AE591" s="106"/>
    </row>
    <row r="592">
      <c r="C592" s="79"/>
      <c r="D592" s="79"/>
      <c r="E592" s="79"/>
      <c r="P592" s="79"/>
      <c r="Q592" s="79"/>
      <c r="R592" s="79"/>
      <c r="Y592" s="79"/>
      <c r="AC592" s="130"/>
      <c r="AE592" s="106"/>
    </row>
    <row r="593">
      <c r="C593" s="79"/>
      <c r="D593" s="79"/>
      <c r="E593" s="79"/>
      <c r="P593" s="79"/>
      <c r="Q593" s="79"/>
      <c r="R593" s="79"/>
      <c r="Y593" s="79"/>
      <c r="AC593" s="130"/>
      <c r="AE593" s="106"/>
    </row>
    <row r="594">
      <c r="C594" s="79"/>
      <c r="D594" s="79"/>
      <c r="E594" s="79"/>
      <c r="P594" s="79"/>
      <c r="Q594" s="79"/>
      <c r="R594" s="79"/>
      <c r="Y594" s="79"/>
      <c r="AC594" s="130"/>
      <c r="AE594" s="106"/>
    </row>
    <row r="595">
      <c r="C595" s="79"/>
      <c r="D595" s="79"/>
      <c r="E595" s="79"/>
      <c r="P595" s="79"/>
      <c r="Q595" s="79"/>
      <c r="R595" s="79"/>
      <c r="Y595" s="79"/>
      <c r="AC595" s="130"/>
      <c r="AE595" s="106"/>
    </row>
    <row r="596">
      <c r="C596" s="79"/>
      <c r="D596" s="79"/>
      <c r="E596" s="79"/>
      <c r="P596" s="79"/>
      <c r="Q596" s="79"/>
      <c r="R596" s="79"/>
      <c r="Y596" s="79"/>
      <c r="AC596" s="130"/>
      <c r="AE596" s="106"/>
    </row>
    <row r="597">
      <c r="C597" s="79"/>
      <c r="D597" s="79"/>
      <c r="E597" s="79"/>
      <c r="P597" s="79"/>
      <c r="Q597" s="79"/>
      <c r="R597" s="79"/>
      <c r="Y597" s="79"/>
      <c r="AC597" s="130"/>
      <c r="AE597" s="106"/>
    </row>
    <row r="598">
      <c r="C598" s="79"/>
      <c r="D598" s="79"/>
      <c r="E598" s="79"/>
      <c r="P598" s="79"/>
      <c r="Q598" s="79"/>
      <c r="R598" s="79"/>
      <c r="Y598" s="79"/>
      <c r="AC598" s="130"/>
      <c r="AE598" s="106"/>
    </row>
    <row r="599">
      <c r="C599" s="79"/>
      <c r="D599" s="79"/>
      <c r="E599" s="79"/>
      <c r="P599" s="79"/>
      <c r="Q599" s="79"/>
      <c r="R599" s="79"/>
      <c r="Y599" s="79"/>
      <c r="AC599" s="130"/>
      <c r="AE599" s="106"/>
    </row>
    <row r="600">
      <c r="C600" s="79"/>
      <c r="D600" s="79"/>
      <c r="E600" s="79"/>
      <c r="P600" s="79"/>
      <c r="Q600" s="79"/>
      <c r="R600" s="79"/>
      <c r="Y600" s="79"/>
      <c r="AC600" s="130"/>
      <c r="AE600" s="106"/>
    </row>
    <row r="601">
      <c r="C601" s="79"/>
      <c r="D601" s="79"/>
      <c r="E601" s="79"/>
      <c r="P601" s="79"/>
      <c r="Q601" s="79"/>
      <c r="R601" s="79"/>
      <c r="Y601" s="79"/>
      <c r="AC601" s="130"/>
      <c r="AE601" s="106"/>
    </row>
    <row r="602">
      <c r="C602" s="79"/>
      <c r="D602" s="79"/>
      <c r="E602" s="79"/>
      <c r="P602" s="79"/>
      <c r="Q602" s="79"/>
      <c r="R602" s="79"/>
      <c r="Y602" s="79"/>
      <c r="AC602" s="130"/>
      <c r="AE602" s="106"/>
    </row>
    <row r="603">
      <c r="C603" s="79"/>
      <c r="D603" s="79"/>
      <c r="E603" s="79"/>
      <c r="P603" s="79"/>
      <c r="Q603" s="79"/>
      <c r="R603" s="79"/>
      <c r="Y603" s="79"/>
      <c r="AC603" s="130"/>
      <c r="AE603" s="106"/>
    </row>
    <row r="604">
      <c r="C604" s="79"/>
      <c r="D604" s="79"/>
      <c r="E604" s="79"/>
      <c r="P604" s="79"/>
      <c r="Q604" s="79"/>
      <c r="R604" s="79"/>
      <c r="Y604" s="79"/>
      <c r="AC604" s="130"/>
      <c r="AE604" s="106"/>
    </row>
    <row r="605">
      <c r="C605" s="79"/>
      <c r="D605" s="79"/>
      <c r="E605" s="79"/>
      <c r="P605" s="79"/>
      <c r="Q605" s="79"/>
      <c r="R605" s="79"/>
      <c r="Y605" s="79"/>
      <c r="AC605" s="130"/>
      <c r="AE605" s="106"/>
    </row>
    <row r="606">
      <c r="C606" s="79"/>
      <c r="D606" s="79"/>
      <c r="E606" s="79"/>
      <c r="P606" s="79"/>
      <c r="Q606" s="79"/>
      <c r="R606" s="79"/>
      <c r="Y606" s="79"/>
      <c r="AC606" s="130"/>
      <c r="AE606" s="106"/>
    </row>
    <row r="607">
      <c r="C607" s="79"/>
      <c r="D607" s="79"/>
      <c r="E607" s="79"/>
      <c r="P607" s="79"/>
      <c r="Q607" s="79"/>
      <c r="R607" s="79"/>
      <c r="Y607" s="79"/>
      <c r="AC607" s="130"/>
      <c r="AE607" s="106"/>
    </row>
    <row r="608">
      <c r="C608" s="79"/>
      <c r="D608" s="79"/>
      <c r="E608" s="79"/>
      <c r="P608" s="79"/>
      <c r="Q608" s="79"/>
      <c r="R608" s="79"/>
      <c r="Y608" s="79"/>
      <c r="AC608" s="130"/>
      <c r="AE608" s="106"/>
    </row>
    <row r="609">
      <c r="C609" s="79"/>
      <c r="D609" s="79"/>
      <c r="E609" s="79"/>
      <c r="P609" s="79"/>
      <c r="Q609" s="79"/>
      <c r="R609" s="79"/>
      <c r="Y609" s="79"/>
      <c r="AC609" s="130"/>
      <c r="AE609" s="106"/>
    </row>
    <row r="610">
      <c r="C610" s="79"/>
      <c r="D610" s="79"/>
      <c r="E610" s="79"/>
      <c r="P610" s="79"/>
      <c r="Q610" s="79"/>
      <c r="R610" s="79"/>
      <c r="Y610" s="79"/>
      <c r="AC610" s="130"/>
      <c r="AE610" s="106"/>
    </row>
    <row r="611">
      <c r="C611" s="79"/>
      <c r="D611" s="79"/>
      <c r="E611" s="79"/>
      <c r="P611" s="79"/>
      <c r="Q611" s="79"/>
      <c r="R611" s="79"/>
      <c r="Y611" s="79"/>
      <c r="AC611" s="130"/>
      <c r="AE611" s="106"/>
    </row>
    <row r="612">
      <c r="C612" s="79"/>
      <c r="D612" s="79"/>
      <c r="E612" s="79"/>
      <c r="P612" s="79"/>
      <c r="Q612" s="79"/>
      <c r="R612" s="79"/>
      <c r="Y612" s="79"/>
      <c r="AC612" s="130"/>
      <c r="AE612" s="106"/>
    </row>
    <row r="613">
      <c r="C613" s="79"/>
      <c r="D613" s="79"/>
      <c r="E613" s="79"/>
      <c r="P613" s="79"/>
      <c r="Q613" s="79"/>
      <c r="R613" s="79"/>
      <c r="Y613" s="79"/>
      <c r="AC613" s="130"/>
      <c r="AE613" s="106"/>
    </row>
    <row r="614">
      <c r="C614" s="79"/>
      <c r="D614" s="79"/>
      <c r="E614" s="79"/>
      <c r="P614" s="79"/>
      <c r="Q614" s="79"/>
      <c r="R614" s="79"/>
      <c r="Y614" s="79"/>
      <c r="AC614" s="130"/>
      <c r="AE614" s="106"/>
    </row>
    <row r="615">
      <c r="C615" s="79"/>
      <c r="D615" s="79"/>
      <c r="E615" s="79"/>
      <c r="P615" s="79"/>
      <c r="Q615" s="79"/>
      <c r="R615" s="79"/>
      <c r="Y615" s="79"/>
      <c r="AC615" s="130"/>
      <c r="AE615" s="106"/>
    </row>
    <row r="616">
      <c r="C616" s="79"/>
      <c r="D616" s="79"/>
      <c r="E616" s="79"/>
      <c r="P616" s="79"/>
      <c r="Q616" s="79"/>
      <c r="R616" s="79"/>
      <c r="Y616" s="79"/>
      <c r="AC616" s="130"/>
      <c r="AE616" s="106"/>
    </row>
    <row r="617">
      <c r="C617" s="79"/>
      <c r="D617" s="79"/>
      <c r="E617" s="79"/>
      <c r="P617" s="79"/>
      <c r="Q617" s="79"/>
      <c r="R617" s="79"/>
      <c r="Y617" s="79"/>
      <c r="AC617" s="130"/>
      <c r="AE617" s="106"/>
    </row>
    <row r="618">
      <c r="C618" s="79"/>
      <c r="D618" s="79"/>
      <c r="E618" s="79"/>
      <c r="P618" s="79"/>
      <c r="Q618" s="79"/>
      <c r="R618" s="79"/>
      <c r="Y618" s="79"/>
      <c r="AC618" s="130"/>
      <c r="AE618" s="106"/>
    </row>
    <row r="619">
      <c r="C619" s="79"/>
      <c r="D619" s="79"/>
      <c r="E619" s="79"/>
      <c r="P619" s="79"/>
      <c r="Q619" s="79"/>
      <c r="R619" s="79"/>
      <c r="Y619" s="79"/>
      <c r="AC619" s="130"/>
      <c r="AE619" s="106"/>
    </row>
    <row r="620">
      <c r="C620" s="79"/>
      <c r="D620" s="79"/>
      <c r="E620" s="79"/>
      <c r="P620" s="79"/>
      <c r="Q620" s="79"/>
      <c r="R620" s="79"/>
      <c r="Y620" s="79"/>
      <c r="AC620" s="130"/>
      <c r="AE620" s="106"/>
    </row>
    <row r="621">
      <c r="C621" s="79"/>
      <c r="D621" s="79"/>
      <c r="E621" s="79"/>
      <c r="P621" s="79"/>
      <c r="Q621" s="79"/>
      <c r="R621" s="79"/>
      <c r="Y621" s="79"/>
      <c r="AC621" s="130"/>
      <c r="AE621" s="106"/>
    </row>
    <row r="622">
      <c r="C622" s="79"/>
      <c r="D622" s="79"/>
      <c r="E622" s="79"/>
      <c r="P622" s="79"/>
      <c r="Q622" s="79"/>
      <c r="R622" s="79"/>
      <c r="Y622" s="79"/>
      <c r="AC622" s="130"/>
      <c r="AE622" s="106"/>
    </row>
    <row r="623">
      <c r="C623" s="79"/>
      <c r="D623" s="79"/>
      <c r="E623" s="79"/>
      <c r="P623" s="79"/>
      <c r="Q623" s="79"/>
      <c r="R623" s="79"/>
      <c r="Y623" s="79"/>
      <c r="AC623" s="130"/>
      <c r="AE623" s="106"/>
    </row>
    <row r="624">
      <c r="C624" s="79"/>
      <c r="D624" s="79"/>
      <c r="E624" s="79"/>
      <c r="P624" s="79"/>
      <c r="Q624" s="79"/>
      <c r="R624" s="79"/>
      <c r="Y624" s="79"/>
      <c r="AC624" s="130"/>
      <c r="AE624" s="106"/>
    </row>
    <row r="625">
      <c r="C625" s="79"/>
      <c r="D625" s="79"/>
      <c r="E625" s="79"/>
      <c r="P625" s="79"/>
      <c r="Q625" s="79"/>
      <c r="R625" s="79"/>
      <c r="Y625" s="79"/>
      <c r="AC625" s="130"/>
      <c r="AE625" s="106"/>
    </row>
    <row r="626">
      <c r="C626" s="79"/>
      <c r="D626" s="79"/>
      <c r="E626" s="79"/>
      <c r="P626" s="79"/>
      <c r="Q626" s="79"/>
      <c r="R626" s="79"/>
      <c r="Y626" s="79"/>
      <c r="AC626" s="130"/>
      <c r="AE626" s="106"/>
    </row>
    <row r="627">
      <c r="C627" s="79"/>
      <c r="D627" s="79"/>
      <c r="E627" s="79"/>
      <c r="P627" s="79"/>
      <c r="Q627" s="79"/>
      <c r="R627" s="79"/>
      <c r="Y627" s="79"/>
      <c r="AC627" s="130"/>
      <c r="AE627" s="106"/>
    </row>
    <row r="628">
      <c r="C628" s="79"/>
      <c r="D628" s="79"/>
      <c r="E628" s="79"/>
      <c r="P628" s="79"/>
      <c r="Q628" s="79"/>
      <c r="R628" s="79"/>
      <c r="Y628" s="79"/>
      <c r="AC628" s="130"/>
      <c r="AE628" s="106"/>
    </row>
    <row r="629">
      <c r="C629" s="79"/>
      <c r="D629" s="79"/>
      <c r="E629" s="79"/>
      <c r="P629" s="79"/>
      <c r="Q629" s="79"/>
      <c r="R629" s="79"/>
      <c r="Y629" s="79"/>
      <c r="AC629" s="130"/>
      <c r="AE629" s="106"/>
    </row>
    <row r="630">
      <c r="C630" s="79"/>
      <c r="D630" s="79"/>
      <c r="E630" s="79"/>
      <c r="P630" s="79"/>
      <c r="Q630" s="79"/>
      <c r="R630" s="79"/>
      <c r="Y630" s="79"/>
      <c r="AC630" s="130"/>
      <c r="AE630" s="106"/>
    </row>
    <row r="631">
      <c r="C631" s="79"/>
      <c r="D631" s="79"/>
      <c r="E631" s="79"/>
      <c r="P631" s="79"/>
      <c r="Q631" s="79"/>
      <c r="R631" s="79"/>
      <c r="Y631" s="79"/>
      <c r="AC631" s="130"/>
      <c r="AE631" s="106"/>
    </row>
    <row r="632">
      <c r="C632" s="79"/>
      <c r="D632" s="79"/>
      <c r="E632" s="79"/>
      <c r="P632" s="79"/>
      <c r="Q632" s="79"/>
      <c r="R632" s="79"/>
      <c r="Y632" s="79"/>
      <c r="AC632" s="130"/>
      <c r="AE632" s="106"/>
    </row>
    <row r="633">
      <c r="C633" s="79"/>
      <c r="D633" s="79"/>
      <c r="E633" s="79"/>
      <c r="P633" s="79"/>
      <c r="Q633" s="79"/>
      <c r="R633" s="79"/>
      <c r="Y633" s="79"/>
      <c r="AC633" s="130"/>
      <c r="AE633" s="106"/>
    </row>
    <row r="634">
      <c r="C634" s="79"/>
      <c r="D634" s="79"/>
      <c r="E634" s="79"/>
      <c r="P634" s="79"/>
      <c r="Q634" s="79"/>
      <c r="R634" s="79"/>
      <c r="Y634" s="79"/>
      <c r="AC634" s="130"/>
      <c r="AE634" s="106"/>
    </row>
    <row r="635">
      <c r="C635" s="79"/>
      <c r="D635" s="79"/>
      <c r="E635" s="79"/>
      <c r="P635" s="79"/>
      <c r="Q635" s="79"/>
      <c r="R635" s="79"/>
      <c r="Y635" s="79"/>
      <c r="AC635" s="130"/>
      <c r="AE635" s="106"/>
    </row>
    <row r="636">
      <c r="C636" s="79"/>
      <c r="D636" s="79"/>
      <c r="E636" s="79"/>
      <c r="P636" s="79"/>
      <c r="Q636" s="79"/>
      <c r="R636" s="79"/>
      <c r="Y636" s="79"/>
      <c r="AC636" s="130"/>
      <c r="AE636" s="106"/>
    </row>
    <row r="637">
      <c r="C637" s="79"/>
      <c r="D637" s="79"/>
      <c r="E637" s="79"/>
      <c r="P637" s="79"/>
      <c r="Q637" s="79"/>
      <c r="R637" s="79"/>
      <c r="Y637" s="79"/>
      <c r="AC637" s="130"/>
      <c r="AE637" s="106"/>
    </row>
    <row r="638">
      <c r="C638" s="79"/>
      <c r="D638" s="79"/>
      <c r="E638" s="79"/>
      <c r="P638" s="79"/>
      <c r="Q638" s="79"/>
      <c r="R638" s="79"/>
      <c r="Y638" s="79"/>
      <c r="AC638" s="130"/>
      <c r="AE638" s="106"/>
    </row>
    <row r="639">
      <c r="C639" s="79"/>
      <c r="D639" s="79"/>
      <c r="E639" s="79"/>
      <c r="P639" s="79"/>
      <c r="Q639" s="79"/>
      <c r="R639" s="79"/>
      <c r="Y639" s="79"/>
      <c r="AC639" s="130"/>
      <c r="AE639" s="106"/>
    </row>
    <row r="640">
      <c r="C640" s="79"/>
      <c r="D640" s="79"/>
      <c r="E640" s="79"/>
      <c r="P640" s="79"/>
      <c r="Q640" s="79"/>
      <c r="R640" s="79"/>
      <c r="Y640" s="79"/>
      <c r="AC640" s="130"/>
      <c r="AE640" s="106"/>
    </row>
    <row r="641">
      <c r="C641" s="79"/>
      <c r="D641" s="79"/>
      <c r="E641" s="79"/>
      <c r="P641" s="79"/>
      <c r="Q641" s="79"/>
      <c r="R641" s="79"/>
      <c r="Y641" s="79"/>
      <c r="AC641" s="130"/>
      <c r="AE641" s="106"/>
    </row>
    <row r="642">
      <c r="C642" s="79"/>
      <c r="D642" s="79"/>
      <c r="E642" s="79"/>
      <c r="P642" s="79"/>
      <c r="Q642" s="79"/>
      <c r="R642" s="79"/>
      <c r="Y642" s="79"/>
      <c r="AC642" s="130"/>
      <c r="AE642" s="106"/>
    </row>
    <row r="643">
      <c r="C643" s="79"/>
      <c r="D643" s="79"/>
      <c r="E643" s="79"/>
      <c r="P643" s="79"/>
      <c r="Q643" s="79"/>
      <c r="R643" s="79"/>
      <c r="Y643" s="79"/>
      <c r="AC643" s="130"/>
      <c r="AE643" s="106"/>
    </row>
    <row r="644">
      <c r="C644" s="79"/>
      <c r="D644" s="79"/>
      <c r="E644" s="79"/>
      <c r="P644" s="79"/>
      <c r="Q644" s="79"/>
      <c r="R644" s="79"/>
      <c r="Y644" s="79"/>
      <c r="AC644" s="130"/>
      <c r="AE644" s="106"/>
    </row>
    <row r="645">
      <c r="C645" s="79"/>
      <c r="D645" s="79"/>
      <c r="E645" s="79"/>
      <c r="P645" s="79"/>
      <c r="Q645" s="79"/>
      <c r="R645" s="79"/>
      <c r="Y645" s="79"/>
      <c r="AC645" s="130"/>
      <c r="AE645" s="106"/>
    </row>
    <row r="646">
      <c r="C646" s="79"/>
      <c r="D646" s="79"/>
      <c r="E646" s="79"/>
      <c r="P646" s="79"/>
      <c r="Q646" s="79"/>
      <c r="R646" s="79"/>
      <c r="Y646" s="79"/>
      <c r="AC646" s="130"/>
      <c r="AE646" s="106"/>
    </row>
    <row r="647">
      <c r="C647" s="79"/>
      <c r="D647" s="79"/>
      <c r="E647" s="79"/>
      <c r="P647" s="79"/>
      <c r="Q647" s="79"/>
      <c r="R647" s="79"/>
      <c r="Y647" s="79"/>
      <c r="AC647" s="130"/>
      <c r="AE647" s="106"/>
    </row>
    <row r="648">
      <c r="C648" s="79"/>
      <c r="D648" s="79"/>
      <c r="E648" s="79"/>
      <c r="P648" s="79"/>
      <c r="Q648" s="79"/>
      <c r="R648" s="79"/>
      <c r="Y648" s="79"/>
      <c r="AC648" s="130"/>
      <c r="AE648" s="106"/>
    </row>
    <row r="649">
      <c r="C649" s="79"/>
      <c r="D649" s="79"/>
      <c r="E649" s="79"/>
      <c r="P649" s="79"/>
      <c r="Q649" s="79"/>
      <c r="R649" s="79"/>
      <c r="Y649" s="79"/>
      <c r="AC649" s="130"/>
      <c r="AE649" s="106"/>
    </row>
    <row r="650">
      <c r="C650" s="79"/>
      <c r="D650" s="79"/>
      <c r="E650" s="79"/>
      <c r="P650" s="79"/>
      <c r="Q650" s="79"/>
      <c r="R650" s="79"/>
      <c r="Y650" s="79"/>
      <c r="AC650" s="130"/>
      <c r="AE650" s="106"/>
    </row>
    <row r="651">
      <c r="C651" s="79"/>
      <c r="D651" s="79"/>
      <c r="E651" s="79"/>
      <c r="P651" s="79"/>
      <c r="Q651" s="79"/>
      <c r="R651" s="79"/>
      <c r="Y651" s="79"/>
      <c r="AC651" s="130"/>
      <c r="AE651" s="106"/>
    </row>
    <row r="652">
      <c r="C652" s="79"/>
      <c r="D652" s="79"/>
      <c r="E652" s="79"/>
      <c r="P652" s="79"/>
      <c r="Q652" s="79"/>
      <c r="R652" s="79"/>
      <c r="Y652" s="79"/>
      <c r="AC652" s="130"/>
      <c r="AE652" s="106"/>
    </row>
    <row r="653">
      <c r="C653" s="79"/>
      <c r="D653" s="79"/>
      <c r="E653" s="79"/>
      <c r="P653" s="79"/>
      <c r="Q653" s="79"/>
      <c r="R653" s="79"/>
      <c r="Y653" s="79"/>
      <c r="AC653" s="130"/>
      <c r="AE653" s="106"/>
    </row>
    <row r="654">
      <c r="C654" s="79"/>
      <c r="D654" s="79"/>
      <c r="E654" s="79"/>
      <c r="P654" s="79"/>
      <c r="Q654" s="79"/>
      <c r="R654" s="79"/>
      <c r="Y654" s="79"/>
      <c r="AC654" s="130"/>
      <c r="AE654" s="106"/>
    </row>
    <row r="655">
      <c r="C655" s="79"/>
      <c r="D655" s="79"/>
      <c r="E655" s="79"/>
      <c r="P655" s="79"/>
      <c r="Q655" s="79"/>
      <c r="R655" s="79"/>
      <c r="Y655" s="79"/>
      <c r="AC655" s="130"/>
      <c r="AE655" s="106"/>
    </row>
    <row r="656">
      <c r="C656" s="79"/>
      <c r="D656" s="79"/>
      <c r="E656" s="79"/>
      <c r="P656" s="79"/>
      <c r="Q656" s="79"/>
      <c r="R656" s="79"/>
      <c r="Y656" s="79"/>
      <c r="AC656" s="130"/>
      <c r="AE656" s="106"/>
    </row>
    <row r="657">
      <c r="C657" s="79"/>
      <c r="D657" s="79"/>
      <c r="E657" s="79"/>
      <c r="P657" s="79"/>
      <c r="Q657" s="79"/>
      <c r="R657" s="79"/>
      <c r="Y657" s="79"/>
      <c r="AC657" s="130"/>
      <c r="AE657" s="106"/>
    </row>
    <row r="658">
      <c r="C658" s="79"/>
      <c r="D658" s="79"/>
      <c r="E658" s="79"/>
      <c r="P658" s="79"/>
      <c r="Q658" s="79"/>
      <c r="R658" s="79"/>
      <c r="Y658" s="79"/>
      <c r="AC658" s="130"/>
      <c r="AE658" s="106"/>
    </row>
    <row r="659">
      <c r="C659" s="79"/>
      <c r="D659" s="79"/>
      <c r="E659" s="79"/>
      <c r="P659" s="79"/>
      <c r="Q659" s="79"/>
      <c r="R659" s="79"/>
      <c r="Y659" s="79"/>
      <c r="AC659" s="130"/>
      <c r="AE659" s="106"/>
    </row>
    <row r="660">
      <c r="C660" s="79"/>
      <c r="D660" s="79"/>
      <c r="E660" s="79"/>
      <c r="P660" s="79"/>
      <c r="Q660" s="79"/>
      <c r="R660" s="79"/>
      <c r="Y660" s="79"/>
      <c r="AC660" s="130"/>
      <c r="AE660" s="106"/>
    </row>
    <row r="661">
      <c r="C661" s="79"/>
      <c r="D661" s="79"/>
      <c r="E661" s="79"/>
      <c r="P661" s="79"/>
      <c r="Q661" s="79"/>
      <c r="R661" s="79"/>
      <c r="Y661" s="79"/>
      <c r="AC661" s="130"/>
      <c r="AE661" s="106"/>
    </row>
    <row r="662">
      <c r="C662" s="79"/>
      <c r="D662" s="79"/>
      <c r="E662" s="79"/>
      <c r="P662" s="79"/>
      <c r="Q662" s="79"/>
      <c r="R662" s="79"/>
      <c r="Y662" s="79"/>
      <c r="AC662" s="130"/>
      <c r="AE662" s="106"/>
    </row>
    <row r="663">
      <c r="C663" s="79"/>
      <c r="D663" s="79"/>
      <c r="E663" s="79"/>
      <c r="P663" s="79"/>
      <c r="Q663" s="79"/>
      <c r="R663" s="79"/>
      <c r="Y663" s="79"/>
      <c r="AC663" s="130"/>
      <c r="AE663" s="106"/>
    </row>
    <row r="664">
      <c r="C664" s="79"/>
      <c r="D664" s="79"/>
      <c r="E664" s="79"/>
      <c r="P664" s="79"/>
      <c r="Q664" s="79"/>
      <c r="R664" s="79"/>
      <c r="Y664" s="79"/>
      <c r="AC664" s="130"/>
      <c r="AE664" s="106"/>
    </row>
    <row r="665">
      <c r="C665" s="79"/>
      <c r="D665" s="79"/>
      <c r="E665" s="79"/>
      <c r="P665" s="79"/>
      <c r="Q665" s="79"/>
      <c r="R665" s="79"/>
      <c r="Y665" s="79"/>
      <c r="AC665" s="130"/>
      <c r="AE665" s="106"/>
    </row>
    <row r="666">
      <c r="C666" s="79"/>
      <c r="D666" s="79"/>
      <c r="E666" s="79"/>
      <c r="P666" s="79"/>
      <c r="Q666" s="79"/>
      <c r="R666" s="79"/>
      <c r="Y666" s="79"/>
      <c r="AC666" s="130"/>
      <c r="AE666" s="106"/>
    </row>
    <row r="667">
      <c r="C667" s="79"/>
      <c r="D667" s="79"/>
      <c r="E667" s="79"/>
      <c r="P667" s="79"/>
      <c r="Q667" s="79"/>
      <c r="R667" s="79"/>
      <c r="Y667" s="79"/>
      <c r="AC667" s="130"/>
      <c r="AE667" s="106"/>
    </row>
    <row r="668">
      <c r="C668" s="79"/>
      <c r="D668" s="79"/>
      <c r="E668" s="79"/>
      <c r="P668" s="79"/>
      <c r="Q668" s="79"/>
      <c r="R668" s="79"/>
      <c r="Y668" s="79"/>
      <c r="AC668" s="130"/>
      <c r="AE668" s="106"/>
    </row>
    <row r="669">
      <c r="C669" s="79"/>
      <c r="D669" s="79"/>
      <c r="E669" s="79"/>
      <c r="P669" s="79"/>
      <c r="Q669" s="79"/>
      <c r="R669" s="79"/>
      <c r="Y669" s="79"/>
      <c r="AC669" s="130"/>
      <c r="AE669" s="106"/>
    </row>
    <row r="670">
      <c r="C670" s="79"/>
      <c r="D670" s="79"/>
      <c r="E670" s="79"/>
      <c r="P670" s="79"/>
      <c r="Q670" s="79"/>
      <c r="R670" s="79"/>
      <c r="Y670" s="79"/>
      <c r="AC670" s="130"/>
      <c r="AE670" s="106"/>
    </row>
    <row r="671">
      <c r="C671" s="79"/>
      <c r="D671" s="79"/>
      <c r="E671" s="79"/>
      <c r="P671" s="79"/>
      <c r="Q671" s="79"/>
      <c r="R671" s="79"/>
      <c r="Y671" s="79"/>
      <c r="AC671" s="130"/>
      <c r="AE671" s="106"/>
    </row>
    <row r="672">
      <c r="C672" s="79"/>
      <c r="D672" s="79"/>
      <c r="E672" s="79"/>
      <c r="P672" s="79"/>
      <c r="Q672" s="79"/>
      <c r="R672" s="79"/>
      <c r="Y672" s="79"/>
      <c r="AC672" s="130"/>
      <c r="AE672" s="106"/>
    </row>
    <row r="673">
      <c r="C673" s="79"/>
      <c r="D673" s="79"/>
      <c r="E673" s="79"/>
      <c r="P673" s="79"/>
      <c r="Q673" s="79"/>
      <c r="R673" s="79"/>
      <c r="Y673" s="79"/>
      <c r="AC673" s="130"/>
      <c r="AE673" s="106"/>
    </row>
    <row r="674">
      <c r="C674" s="79"/>
      <c r="D674" s="79"/>
      <c r="E674" s="79"/>
      <c r="P674" s="79"/>
      <c r="Q674" s="79"/>
      <c r="R674" s="79"/>
      <c r="Y674" s="79"/>
      <c r="AC674" s="130"/>
      <c r="AE674" s="106"/>
    </row>
    <row r="675">
      <c r="C675" s="79"/>
      <c r="D675" s="79"/>
      <c r="E675" s="79"/>
      <c r="P675" s="79"/>
      <c r="Q675" s="79"/>
      <c r="R675" s="79"/>
      <c r="Y675" s="79"/>
      <c r="AC675" s="130"/>
      <c r="AE675" s="106"/>
    </row>
    <row r="676">
      <c r="C676" s="79"/>
      <c r="D676" s="79"/>
      <c r="E676" s="79"/>
      <c r="P676" s="79"/>
      <c r="Q676" s="79"/>
      <c r="R676" s="79"/>
      <c r="Y676" s="79"/>
      <c r="AC676" s="130"/>
      <c r="AE676" s="106"/>
    </row>
    <row r="677">
      <c r="C677" s="79"/>
      <c r="D677" s="79"/>
      <c r="E677" s="79"/>
      <c r="P677" s="79"/>
      <c r="Q677" s="79"/>
      <c r="R677" s="79"/>
      <c r="Y677" s="79"/>
      <c r="AC677" s="130"/>
      <c r="AE677" s="106"/>
    </row>
    <row r="678">
      <c r="C678" s="79"/>
      <c r="D678" s="79"/>
      <c r="E678" s="79"/>
      <c r="P678" s="79"/>
      <c r="Q678" s="79"/>
      <c r="R678" s="79"/>
      <c r="Y678" s="79"/>
      <c r="AC678" s="130"/>
      <c r="AE678" s="106"/>
    </row>
    <row r="679">
      <c r="C679" s="79"/>
      <c r="D679" s="79"/>
      <c r="E679" s="79"/>
      <c r="P679" s="79"/>
      <c r="Q679" s="79"/>
      <c r="R679" s="79"/>
      <c r="Y679" s="79"/>
      <c r="AC679" s="130"/>
      <c r="AE679" s="106"/>
    </row>
    <row r="680">
      <c r="C680" s="79"/>
      <c r="D680" s="79"/>
      <c r="E680" s="79"/>
      <c r="P680" s="79"/>
      <c r="Q680" s="79"/>
      <c r="R680" s="79"/>
      <c r="Y680" s="79"/>
      <c r="AC680" s="130"/>
      <c r="AE680" s="106"/>
    </row>
    <row r="681">
      <c r="C681" s="79"/>
      <c r="D681" s="79"/>
      <c r="E681" s="79"/>
      <c r="P681" s="79"/>
      <c r="Q681" s="79"/>
      <c r="R681" s="79"/>
      <c r="Y681" s="79"/>
      <c r="AC681" s="130"/>
      <c r="AE681" s="106"/>
    </row>
    <row r="682">
      <c r="C682" s="79"/>
      <c r="D682" s="79"/>
      <c r="E682" s="79"/>
      <c r="P682" s="79"/>
      <c r="Q682" s="79"/>
      <c r="R682" s="79"/>
      <c r="Y682" s="79"/>
      <c r="AC682" s="130"/>
      <c r="AE682" s="106"/>
    </row>
    <row r="683">
      <c r="C683" s="79"/>
      <c r="D683" s="79"/>
      <c r="E683" s="79"/>
      <c r="P683" s="79"/>
      <c r="Q683" s="79"/>
      <c r="R683" s="79"/>
      <c r="Y683" s="79"/>
      <c r="AC683" s="130"/>
      <c r="AE683" s="106"/>
    </row>
    <row r="684">
      <c r="C684" s="79"/>
      <c r="D684" s="79"/>
      <c r="E684" s="79"/>
      <c r="P684" s="79"/>
      <c r="Q684" s="79"/>
      <c r="R684" s="79"/>
      <c r="Y684" s="79"/>
      <c r="AC684" s="130"/>
      <c r="AE684" s="106"/>
    </row>
    <row r="685">
      <c r="C685" s="79"/>
      <c r="D685" s="79"/>
      <c r="E685" s="79"/>
      <c r="P685" s="79"/>
      <c r="Q685" s="79"/>
      <c r="R685" s="79"/>
      <c r="Y685" s="79"/>
      <c r="AC685" s="130"/>
      <c r="AE685" s="106"/>
    </row>
    <row r="686">
      <c r="C686" s="79"/>
      <c r="D686" s="79"/>
      <c r="E686" s="79"/>
      <c r="P686" s="79"/>
      <c r="Q686" s="79"/>
      <c r="R686" s="79"/>
      <c r="Y686" s="79"/>
      <c r="AC686" s="130"/>
      <c r="AE686" s="106"/>
    </row>
    <row r="687">
      <c r="C687" s="79"/>
      <c r="D687" s="79"/>
      <c r="E687" s="79"/>
      <c r="P687" s="79"/>
      <c r="Q687" s="79"/>
      <c r="R687" s="79"/>
      <c r="Y687" s="79"/>
      <c r="AC687" s="130"/>
      <c r="AE687" s="106"/>
    </row>
    <row r="688">
      <c r="C688" s="79"/>
      <c r="D688" s="79"/>
      <c r="E688" s="79"/>
      <c r="P688" s="79"/>
      <c r="Q688" s="79"/>
      <c r="R688" s="79"/>
      <c r="Y688" s="79"/>
      <c r="AC688" s="130"/>
      <c r="AE688" s="106"/>
    </row>
    <row r="689">
      <c r="C689" s="79"/>
      <c r="D689" s="79"/>
      <c r="E689" s="79"/>
      <c r="P689" s="79"/>
      <c r="Q689" s="79"/>
      <c r="R689" s="79"/>
      <c r="Y689" s="79"/>
      <c r="AC689" s="130"/>
      <c r="AE689" s="106"/>
    </row>
    <row r="690">
      <c r="C690" s="79"/>
      <c r="D690" s="79"/>
      <c r="E690" s="79"/>
      <c r="P690" s="79"/>
      <c r="Q690" s="79"/>
      <c r="R690" s="79"/>
      <c r="Y690" s="79"/>
      <c r="AC690" s="130"/>
      <c r="AE690" s="106"/>
    </row>
    <row r="691">
      <c r="C691" s="79"/>
      <c r="D691" s="79"/>
      <c r="E691" s="79"/>
      <c r="P691" s="79"/>
      <c r="Q691" s="79"/>
      <c r="R691" s="79"/>
      <c r="Y691" s="79"/>
      <c r="AC691" s="130"/>
      <c r="AE691" s="106"/>
    </row>
    <row r="692">
      <c r="C692" s="79"/>
      <c r="D692" s="79"/>
      <c r="E692" s="79"/>
      <c r="P692" s="79"/>
      <c r="Q692" s="79"/>
      <c r="R692" s="79"/>
      <c r="Y692" s="79"/>
      <c r="AC692" s="130"/>
      <c r="AE692" s="106"/>
    </row>
    <row r="693">
      <c r="C693" s="79"/>
      <c r="D693" s="79"/>
      <c r="E693" s="79"/>
      <c r="P693" s="79"/>
      <c r="Q693" s="79"/>
      <c r="R693" s="79"/>
      <c r="Y693" s="79"/>
      <c r="AC693" s="130"/>
      <c r="AE693" s="106"/>
    </row>
    <row r="694">
      <c r="C694" s="79"/>
      <c r="D694" s="79"/>
      <c r="E694" s="79"/>
      <c r="P694" s="79"/>
      <c r="Q694" s="79"/>
      <c r="R694" s="79"/>
      <c r="Y694" s="79"/>
      <c r="AC694" s="130"/>
      <c r="AE694" s="106"/>
    </row>
    <row r="695">
      <c r="C695" s="79"/>
      <c r="D695" s="79"/>
      <c r="E695" s="79"/>
      <c r="P695" s="79"/>
      <c r="Q695" s="79"/>
      <c r="R695" s="79"/>
      <c r="Y695" s="79"/>
      <c r="AC695" s="130"/>
      <c r="AE695" s="106"/>
    </row>
    <row r="696">
      <c r="C696" s="79"/>
      <c r="D696" s="79"/>
      <c r="E696" s="79"/>
      <c r="P696" s="79"/>
      <c r="Q696" s="79"/>
      <c r="R696" s="79"/>
      <c r="Y696" s="79"/>
      <c r="AC696" s="130"/>
      <c r="AE696" s="106"/>
    </row>
    <row r="697">
      <c r="C697" s="79"/>
      <c r="D697" s="79"/>
      <c r="E697" s="79"/>
      <c r="P697" s="79"/>
      <c r="Q697" s="79"/>
      <c r="R697" s="79"/>
      <c r="Y697" s="79"/>
      <c r="AC697" s="130"/>
      <c r="AE697" s="106"/>
    </row>
    <row r="698">
      <c r="C698" s="79"/>
      <c r="D698" s="79"/>
      <c r="E698" s="79"/>
      <c r="P698" s="79"/>
      <c r="Q698" s="79"/>
      <c r="R698" s="79"/>
      <c r="Y698" s="79"/>
      <c r="AC698" s="130"/>
      <c r="AE698" s="106"/>
    </row>
    <row r="699">
      <c r="C699" s="79"/>
      <c r="D699" s="79"/>
      <c r="E699" s="79"/>
      <c r="P699" s="79"/>
      <c r="Q699" s="79"/>
      <c r="R699" s="79"/>
      <c r="Y699" s="79"/>
      <c r="AC699" s="130"/>
      <c r="AE699" s="106"/>
    </row>
    <row r="700">
      <c r="C700" s="79"/>
      <c r="D700" s="79"/>
      <c r="E700" s="79"/>
      <c r="P700" s="79"/>
      <c r="Q700" s="79"/>
      <c r="R700" s="79"/>
      <c r="Y700" s="79"/>
      <c r="AC700" s="130"/>
      <c r="AE700" s="106"/>
    </row>
    <row r="701">
      <c r="C701" s="79"/>
      <c r="D701" s="79"/>
      <c r="E701" s="79"/>
      <c r="P701" s="79"/>
      <c r="Q701" s="79"/>
      <c r="R701" s="79"/>
      <c r="Y701" s="79"/>
      <c r="AC701" s="130"/>
      <c r="AE701" s="106"/>
    </row>
    <row r="702">
      <c r="C702" s="79"/>
      <c r="D702" s="79"/>
      <c r="E702" s="79"/>
      <c r="P702" s="79"/>
      <c r="Q702" s="79"/>
      <c r="R702" s="79"/>
      <c r="Y702" s="79"/>
      <c r="AC702" s="130"/>
      <c r="AE702" s="106"/>
    </row>
    <row r="703">
      <c r="C703" s="79"/>
      <c r="D703" s="79"/>
      <c r="E703" s="79"/>
      <c r="P703" s="79"/>
      <c r="Q703" s="79"/>
      <c r="R703" s="79"/>
      <c r="Y703" s="79"/>
      <c r="AC703" s="130"/>
      <c r="AE703" s="106"/>
    </row>
    <row r="704">
      <c r="C704" s="79"/>
      <c r="D704" s="79"/>
      <c r="E704" s="79"/>
      <c r="P704" s="79"/>
      <c r="Q704" s="79"/>
      <c r="R704" s="79"/>
      <c r="Y704" s="79"/>
      <c r="AC704" s="130"/>
      <c r="AE704" s="106"/>
    </row>
    <row r="705">
      <c r="C705" s="79"/>
      <c r="D705" s="79"/>
      <c r="E705" s="79"/>
      <c r="P705" s="79"/>
      <c r="Q705" s="79"/>
      <c r="R705" s="79"/>
      <c r="Y705" s="79"/>
      <c r="AC705" s="130"/>
      <c r="AE705" s="106"/>
    </row>
    <row r="706">
      <c r="C706" s="79"/>
      <c r="D706" s="79"/>
      <c r="E706" s="79"/>
      <c r="P706" s="79"/>
      <c r="Q706" s="79"/>
      <c r="R706" s="79"/>
      <c r="Y706" s="79"/>
      <c r="AC706" s="130"/>
      <c r="AE706" s="106"/>
    </row>
    <row r="707">
      <c r="C707" s="79"/>
      <c r="D707" s="79"/>
      <c r="E707" s="79"/>
      <c r="P707" s="79"/>
      <c r="Q707" s="79"/>
      <c r="R707" s="79"/>
      <c r="Y707" s="79"/>
      <c r="AC707" s="130"/>
      <c r="AE707" s="106"/>
    </row>
    <row r="708">
      <c r="C708" s="79"/>
      <c r="D708" s="79"/>
      <c r="E708" s="79"/>
      <c r="P708" s="79"/>
      <c r="Q708" s="79"/>
      <c r="R708" s="79"/>
      <c r="Y708" s="79"/>
      <c r="AC708" s="130"/>
      <c r="AE708" s="106"/>
    </row>
    <row r="709">
      <c r="C709" s="79"/>
      <c r="D709" s="79"/>
      <c r="E709" s="79"/>
      <c r="P709" s="79"/>
      <c r="Q709" s="79"/>
      <c r="R709" s="79"/>
      <c r="Y709" s="79"/>
      <c r="AC709" s="130"/>
      <c r="AE709" s="106"/>
    </row>
    <row r="710">
      <c r="C710" s="79"/>
      <c r="D710" s="79"/>
      <c r="E710" s="79"/>
      <c r="P710" s="79"/>
      <c r="Q710" s="79"/>
      <c r="R710" s="79"/>
      <c r="Y710" s="79"/>
      <c r="AC710" s="130"/>
      <c r="AE710" s="106"/>
    </row>
    <row r="711">
      <c r="C711" s="79"/>
      <c r="D711" s="79"/>
      <c r="E711" s="79"/>
      <c r="P711" s="79"/>
      <c r="Q711" s="79"/>
      <c r="R711" s="79"/>
      <c r="Y711" s="79"/>
      <c r="AC711" s="130"/>
      <c r="AE711" s="106"/>
    </row>
    <row r="712">
      <c r="C712" s="79"/>
      <c r="D712" s="79"/>
      <c r="E712" s="79"/>
      <c r="P712" s="79"/>
      <c r="Q712" s="79"/>
      <c r="R712" s="79"/>
      <c r="Y712" s="79"/>
      <c r="AC712" s="130"/>
      <c r="AE712" s="106"/>
    </row>
    <row r="713">
      <c r="C713" s="79"/>
      <c r="D713" s="79"/>
      <c r="E713" s="79"/>
      <c r="P713" s="79"/>
      <c r="Q713" s="79"/>
      <c r="R713" s="79"/>
      <c r="Y713" s="79"/>
      <c r="AC713" s="130"/>
      <c r="AE713" s="106"/>
    </row>
    <row r="714">
      <c r="C714" s="79"/>
      <c r="D714" s="79"/>
      <c r="E714" s="79"/>
      <c r="P714" s="79"/>
      <c r="Q714" s="79"/>
      <c r="R714" s="79"/>
      <c r="Y714" s="79"/>
      <c r="AC714" s="130"/>
      <c r="AE714" s="106"/>
    </row>
    <row r="715">
      <c r="C715" s="79"/>
      <c r="D715" s="79"/>
      <c r="E715" s="79"/>
      <c r="P715" s="79"/>
      <c r="Q715" s="79"/>
      <c r="R715" s="79"/>
      <c r="Y715" s="79"/>
      <c r="AC715" s="130"/>
      <c r="AE715" s="106"/>
    </row>
    <row r="716">
      <c r="C716" s="79"/>
      <c r="D716" s="79"/>
      <c r="E716" s="79"/>
      <c r="P716" s="79"/>
      <c r="Q716" s="79"/>
      <c r="R716" s="79"/>
      <c r="Y716" s="79"/>
      <c r="AC716" s="130"/>
      <c r="AE716" s="106"/>
    </row>
    <row r="717">
      <c r="C717" s="79"/>
      <c r="D717" s="79"/>
      <c r="E717" s="79"/>
      <c r="P717" s="79"/>
      <c r="Q717" s="79"/>
      <c r="R717" s="79"/>
      <c r="Y717" s="79"/>
      <c r="AC717" s="130"/>
      <c r="AE717" s="106"/>
    </row>
    <row r="718">
      <c r="C718" s="79"/>
      <c r="D718" s="79"/>
      <c r="E718" s="79"/>
      <c r="P718" s="79"/>
      <c r="Q718" s="79"/>
      <c r="R718" s="79"/>
      <c r="Y718" s="79"/>
      <c r="AC718" s="130"/>
      <c r="AE718" s="106"/>
    </row>
    <row r="719">
      <c r="C719" s="79"/>
      <c r="D719" s="79"/>
      <c r="E719" s="79"/>
      <c r="P719" s="79"/>
      <c r="Q719" s="79"/>
      <c r="R719" s="79"/>
      <c r="Y719" s="79"/>
      <c r="AC719" s="130"/>
      <c r="AE719" s="106"/>
    </row>
    <row r="720">
      <c r="C720" s="79"/>
      <c r="D720" s="79"/>
      <c r="E720" s="79"/>
      <c r="P720" s="79"/>
      <c r="Q720" s="79"/>
      <c r="R720" s="79"/>
      <c r="Y720" s="79"/>
      <c r="AC720" s="130"/>
      <c r="AE720" s="106"/>
    </row>
    <row r="721">
      <c r="C721" s="79"/>
      <c r="D721" s="79"/>
      <c r="E721" s="79"/>
      <c r="P721" s="79"/>
      <c r="Q721" s="79"/>
      <c r="R721" s="79"/>
      <c r="Y721" s="79"/>
      <c r="AC721" s="130"/>
      <c r="AE721" s="106"/>
    </row>
    <row r="722">
      <c r="C722" s="79"/>
      <c r="D722" s="79"/>
      <c r="E722" s="79"/>
      <c r="P722" s="79"/>
      <c r="Q722" s="79"/>
      <c r="R722" s="79"/>
      <c r="Y722" s="79"/>
      <c r="AC722" s="130"/>
      <c r="AE722" s="106"/>
    </row>
    <row r="723">
      <c r="C723" s="79"/>
      <c r="D723" s="79"/>
      <c r="E723" s="79"/>
      <c r="P723" s="79"/>
      <c r="Q723" s="79"/>
      <c r="R723" s="79"/>
      <c r="Y723" s="79"/>
      <c r="AC723" s="130"/>
      <c r="AE723" s="106"/>
    </row>
    <row r="724">
      <c r="C724" s="79"/>
      <c r="D724" s="79"/>
      <c r="E724" s="79"/>
      <c r="P724" s="79"/>
      <c r="Q724" s="79"/>
      <c r="R724" s="79"/>
      <c r="Y724" s="79"/>
      <c r="AC724" s="130"/>
      <c r="AE724" s="106"/>
    </row>
    <row r="725">
      <c r="C725" s="79"/>
      <c r="D725" s="79"/>
      <c r="E725" s="79"/>
      <c r="P725" s="79"/>
      <c r="Q725" s="79"/>
      <c r="R725" s="79"/>
      <c r="Y725" s="79"/>
      <c r="AC725" s="130"/>
      <c r="AE725" s="106"/>
    </row>
    <row r="726">
      <c r="C726" s="79"/>
      <c r="D726" s="79"/>
      <c r="E726" s="79"/>
      <c r="P726" s="79"/>
      <c r="Q726" s="79"/>
      <c r="R726" s="79"/>
      <c r="Y726" s="79"/>
      <c r="AC726" s="130"/>
      <c r="AE726" s="106"/>
    </row>
    <row r="727">
      <c r="C727" s="79"/>
      <c r="D727" s="79"/>
      <c r="E727" s="79"/>
      <c r="P727" s="79"/>
      <c r="Q727" s="79"/>
      <c r="R727" s="79"/>
      <c r="Y727" s="79"/>
      <c r="AC727" s="130"/>
      <c r="AE727" s="106"/>
    </row>
    <row r="728">
      <c r="C728" s="79"/>
      <c r="D728" s="79"/>
      <c r="E728" s="79"/>
      <c r="P728" s="79"/>
      <c r="Q728" s="79"/>
      <c r="R728" s="79"/>
      <c r="Y728" s="79"/>
      <c r="AC728" s="130"/>
      <c r="AE728" s="106"/>
    </row>
    <row r="729">
      <c r="C729" s="79"/>
      <c r="D729" s="79"/>
      <c r="E729" s="79"/>
      <c r="P729" s="79"/>
      <c r="Q729" s="79"/>
      <c r="R729" s="79"/>
      <c r="Y729" s="79"/>
      <c r="AC729" s="130"/>
      <c r="AE729" s="106"/>
    </row>
    <row r="730">
      <c r="C730" s="79"/>
      <c r="D730" s="79"/>
      <c r="E730" s="79"/>
      <c r="P730" s="79"/>
      <c r="Q730" s="79"/>
      <c r="R730" s="79"/>
      <c r="Y730" s="79"/>
      <c r="AC730" s="130"/>
      <c r="AE730" s="106"/>
    </row>
    <row r="731">
      <c r="C731" s="79"/>
      <c r="D731" s="79"/>
      <c r="E731" s="79"/>
      <c r="P731" s="79"/>
      <c r="Q731" s="79"/>
      <c r="R731" s="79"/>
      <c r="Y731" s="79"/>
      <c r="AC731" s="130"/>
      <c r="AE731" s="106"/>
    </row>
    <row r="732">
      <c r="C732" s="79"/>
      <c r="D732" s="79"/>
      <c r="E732" s="79"/>
      <c r="P732" s="79"/>
      <c r="Q732" s="79"/>
      <c r="R732" s="79"/>
      <c r="Y732" s="79"/>
      <c r="AC732" s="130"/>
      <c r="AE732" s="106"/>
    </row>
    <row r="733">
      <c r="C733" s="79"/>
      <c r="D733" s="79"/>
      <c r="E733" s="79"/>
      <c r="P733" s="79"/>
      <c r="Q733" s="79"/>
      <c r="R733" s="79"/>
      <c r="Y733" s="79"/>
      <c r="AC733" s="130"/>
      <c r="AE733" s="106"/>
    </row>
    <row r="734">
      <c r="C734" s="79"/>
      <c r="D734" s="79"/>
      <c r="E734" s="79"/>
      <c r="P734" s="79"/>
      <c r="Q734" s="79"/>
      <c r="R734" s="79"/>
      <c r="Y734" s="79"/>
      <c r="AC734" s="130"/>
      <c r="AE734" s="106"/>
    </row>
    <row r="735">
      <c r="C735" s="79"/>
      <c r="D735" s="79"/>
      <c r="E735" s="79"/>
      <c r="P735" s="79"/>
      <c r="Q735" s="79"/>
      <c r="R735" s="79"/>
      <c r="Y735" s="79"/>
      <c r="AC735" s="130"/>
      <c r="AE735" s="106"/>
    </row>
    <row r="736">
      <c r="C736" s="79"/>
      <c r="D736" s="79"/>
      <c r="E736" s="79"/>
      <c r="P736" s="79"/>
      <c r="Q736" s="79"/>
      <c r="R736" s="79"/>
      <c r="Y736" s="79"/>
      <c r="AC736" s="130"/>
      <c r="AE736" s="106"/>
    </row>
    <row r="737">
      <c r="C737" s="79"/>
      <c r="D737" s="79"/>
      <c r="E737" s="79"/>
      <c r="P737" s="79"/>
      <c r="Q737" s="79"/>
      <c r="R737" s="79"/>
      <c r="Y737" s="79"/>
      <c r="AC737" s="130"/>
      <c r="AE737" s="106"/>
    </row>
    <row r="738">
      <c r="C738" s="79"/>
      <c r="D738" s="79"/>
      <c r="E738" s="79"/>
      <c r="P738" s="79"/>
      <c r="Q738" s="79"/>
      <c r="R738" s="79"/>
      <c r="Y738" s="79"/>
      <c r="AC738" s="130"/>
      <c r="AE738" s="106"/>
    </row>
    <row r="739">
      <c r="C739" s="79"/>
      <c r="D739" s="79"/>
      <c r="E739" s="79"/>
      <c r="P739" s="79"/>
      <c r="Q739" s="79"/>
      <c r="R739" s="79"/>
      <c r="Y739" s="79"/>
      <c r="AC739" s="130"/>
      <c r="AE739" s="106"/>
    </row>
    <row r="740">
      <c r="C740" s="79"/>
      <c r="D740" s="79"/>
      <c r="E740" s="79"/>
      <c r="P740" s="79"/>
      <c r="Q740" s="79"/>
      <c r="R740" s="79"/>
      <c r="Y740" s="79"/>
      <c r="AC740" s="130"/>
      <c r="AE740" s="106"/>
    </row>
    <row r="741">
      <c r="C741" s="79"/>
      <c r="D741" s="79"/>
      <c r="E741" s="79"/>
      <c r="P741" s="79"/>
      <c r="Q741" s="79"/>
      <c r="R741" s="79"/>
      <c r="Y741" s="79"/>
      <c r="AC741" s="130"/>
      <c r="AE741" s="106"/>
    </row>
    <row r="742">
      <c r="C742" s="79"/>
      <c r="D742" s="79"/>
      <c r="E742" s="79"/>
      <c r="P742" s="79"/>
      <c r="Q742" s="79"/>
      <c r="R742" s="79"/>
      <c r="Y742" s="79"/>
      <c r="AC742" s="130"/>
      <c r="AE742" s="106"/>
    </row>
    <row r="743">
      <c r="C743" s="79"/>
      <c r="D743" s="79"/>
      <c r="E743" s="79"/>
      <c r="P743" s="79"/>
      <c r="Q743" s="79"/>
      <c r="R743" s="79"/>
      <c r="Y743" s="79"/>
      <c r="AC743" s="130"/>
      <c r="AE743" s="106"/>
    </row>
    <row r="744">
      <c r="C744" s="79"/>
      <c r="D744" s="79"/>
      <c r="E744" s="79"/>
      <c r="P744" s="79"/>
      <c r="Q744" s="79"/>
      <c r="R744" s="79"/>
      <c r="Y744" s="79"/>
      <c r="AC744" s="130"/>
      <c r="AE744" s="106"/>
    </row>
    <row r="745">
      <c r="C745" s="79"/>
      <c r="D745" s="79"/>
      <c r="E745" s="79"/>
      <c r="P745" s="79"/>
      <c r="Q745" s="79"/>
      <c r="R745" s="79"/>
      <c r="Y745" s="79"/>
      <c r="AC745" s="130"/>
      <c r="AE745" s="106"/>
    </row>
    <row r="746">
      <c r="C746" s="79"/>
      <c r="D746" s="79"/>
      <c r="E746" s="79"/>
      <c r="P746" s="79"/>
      <c r="Q746" s="79"/>
      <c r="R746" s="79"/>
      <c r="Y746" s="79"/>
      <c r="AC746" s="130"/>
      <c r="AE746" s="106"/>
    </row>
    <row r="747">
      <c r="C747" s="79"/>
      <c r="D747" s="79"/>
      <c r="E747" s="79"/>
      <c r="P747" s="79"/>
      <c r="Q747" s="79"/>
      <c r="R747" s="79"/>
      <c r="Y747" s="79"/>
      <c r="AC747" s="130"/>
      <c r="AE747" s="106"/>
    </row>
    <row r="748">
      <c r="C748" s="79"/>
      <c r="D748" s="79"/>
      <c r="E748" s="79"/>
      <c r="P748" s="79"/>
      <c r="Q748" s="79"/>
      <c r="R748" s="79"/>
      <c r="Y748" s="79"/>
      <c r="AC748" s="130"/>
      <c r="AE748" s="106"/>
    </row>
    <row r="749">
      <c r="C749" s="79"/>
      <c r="D749" s="79"/>
      <c r="E749" s="79"/>
      <c r="P749" s="79"/>
      <c r="Q749" s="79"/>
      <c r="R749" s="79"/>
      <c r="Y749" s="79"/>
      <c r="AC749" s="130"/>
      <c r="AE749" s="106"/>
    </row>
    <row r="750">
      <c r="C750" s="79"/>
      <c r="D750" s="79"/>
      <c r="E750" s="79"/>
      <c r="P750" s="79"/>
      <c r="Q750" s="79"/>
      <c r="R750" s="79"/>
      <c r="Y750" s="79"/>
      <c r="AC750" s="130"/>
      <c r="AE750" s="106"/>
    </row>
    <row r="751">
      <c r="C751" s="79"/>
      <c r="D751" s="79"/>
      <c r="E751" s="79"/>
      <c r="P751" s="79"/>
      <c r="Q751" s="79"/>
      <c r="R751" s="79"/>
      <c r="Y751" s="79"/>
      <c r="AC751" s="130"/>
      <c r="AE751" s="106"/>
    </row>
    <row r="752">
      <c r="C752" s="79"/>
      <c r="D752" s="79"/>
      <c r="E752" s="79"/>
      <c r="P752" s="79"/>
      <c r="Q752" s="79"/>
      <c r="R752" s="79"/>
      <c r="Y752" s="79"/>
      <c r="AC752" s="130"/>
      <c r="AE752" s="106"/>
    </row>
    <row r="753">
      <c r="C753" s="79"/>
      <c r="D753" s="79"/>
      <c r="E753" s="79"/>
      <c r="P753" s="79"/>
      <c r="Q753" s="79"/>
      <c r="R753" s="79"/>
      <c r="Y753" s="79"/>
      <c r="AC753" s="130"/>
      <c r="AE753" s="106"/>
    </row>
    <row r="754">
      <c r="C754" s="79"/>
      <c r="D754" s="79"/>
      <c r="E754" s="79"/>
      <c r="P754" s="79"/>
      <c r="Q754" s="79"/>
      <c r="R754" s="79"/>
      <c r="Y754" s="79"/>
      <c r="AC754" s="130"/>
      <c r="AE754" s="106"/>
    </row>
    <row r="755">
      <c r="C755" s="79"/>
      <c r="D755" s="79"/>
      <c r="E755" s="79"/>
      <c r="P755" s="79"/>
      <c r="Q755" s="79"/>
      <c r="R755" s="79"/>
      <c r="Y755" s="79"/>
      <c r="AC755" s="130"/>
      <c r="AE755" s="106"/>
    </row>
    <row r="756">
      <c r="C756" s="79"/>
      <c r="D756" s="79"/>
      <c r="E756" s="79"/>
      <c r="P756" s="79"/>
      <c r="Q756" s="79"/>
      <c r="R756" s="79"/>
      <c r="Y756" s="79"/>
      <c r="AC756" s="130"/>
      <c r="AE756" s="106"/>
    </row>
    <row r="757">
      <c r="C757" s="79"/>
      <c r="D757" s="79"/>
      <c r="E757" s="79"/>
      <c r="P757" s="79"/>
      <c r="Q757" s="79"/>
      <c r="R757" s="79"/>
      <c r="Y757" s="79"/>
      <c r="AC757" s="130"/>
      <c r="AE757" s="106"/>
    </row>
    <row r="758">
      <c r="C758" s="79"/>
      <c r="D758" s="79"/>
      <c r="E758" s="79"/>
      <c r="P758" s="79"/>
      <c r="Q758" s="79"/>
      <c r="R758" s="79"/>
      <c r="Y758" s="79"/>
      <c r="AC758" s="130"/>
      <c r="AE758" s="106"/>
    </row>
    <row r="759">
      <c r="C759" s="79"/>
      <c r="D759" s="79"/>
      <c r="E759" s="79"/>
      <c r="P759" s="79"/>
      <c r="Q759" s="79"/>
      <c r="R759" s="79"/>
      <c r="Y759" s="79"/>
      <c r="AC759" s="130"/>
      <c r="AE759" s="106"/>
    </row>
    <row r="760">
      <c r="C760" s="79"/>
      <c r="D760" s="79"/>
      <c r="E760" s="79"/>
      <c r="P760" s="79"/>
      <c r="Q760" s="79"/>
      <c r="R760" s="79"/>
      <c r="Y760" s="79"/>
      <c r="AC760" s="130"/>
      <c r="AE760" s="106"/>
    </row>
    <row r="761">
      <c r="C761" s="79"/>
      <c r="D761" s="79"/>
      <c r="E761" s="79"/>
      <c r="P761" s="79"/>
      <c r="Q761" s="79"/>
      <c r="R761" s="79"/>
      <c r="Y761" s="79"/>
      <c r="AC761" s="130"/>
      <c r="AE761" s="106"/>
    </row>
    <row r="762">
      <c r="C762" s="79"/>
      <c r="D762" s="79"/>
      <c r="E762" s="79"/>
      <c r="P762" s="79"/>
      <c r="Q762" s="79"/>
      <c r="R762" s="79"/>
      <c r="Y762" s="79"/>
      <c r="AC762" s="130"/>
      <c r="AE762" s="106"/>
    </row>
    <row r="763">
      <c r="C763" s="79"/>
      <c r="D763" s="79"/>
      <c r="E763" s="79"/>
      <c r="P763" s="79"/>
      <c r="Q763" s="79"/>
      <c r="R763" s="79"/>
      <c r="Y763" s="79"/>
      <c r="AC763" s="130"/>
      <c r="AE763" s="106"/>
    </row>
    <row r="764">
      <c r="C764" s="79"/>
      <c r="D764" s="79"/>
      <c r="E764" s="79"/>
      <c r="P764" s="79"/>
      <c r="Q764" s="79"/>
      <c r="R764" s="79"/>
      <c r="Y764" s="79"/>
      <c r="AC764" s="130"/>
      <c r="AE764" s="106"/>
    </row>
    <row r="765">
      <c r="C765" s="79"/>
      <c r="D765" s="79"/>
      <c r="E765" s="79"/>
      <c r="P765" s="79"/>
      <c r="Q765" s="79"/>
      <c r="R765" s="79"/>
      <c r="Y765" s="79"/>
      <c r="AC765" s="130"/>
      <c r="AE765" s="106"/>
    </row>
    <row r="766">
      <c r="C766" s="79"/>
      <c r="D766" s="79"/>
      <c r="E766" s="79"/>
      <c r="P766" s="79"/>
      <c r="Q766" s="79"/>
      <c r="R766" s="79"/>
      <c r="Y766" s="79"/>
      <c r="AC766" s="130"/>
      <c r="AE766" s="106"/>
    </row>
    <row r="767">
      <c r="C767" s="79"/>
      <c r="D767" s="79"/>
      <c r="E767" s="79"/>
      <c r="P767" s="79"/>
      <c r="Q767" s="79"/>
      <c r="R767" s="79"/>
      <c r="Y767" s="79"/>
      <c r="AC767" s="130"/>
      <c r="AE767" s="106"/>
    </row>
    <row r="768">
      <c r="C768" s="79"/>
      <c r="D768" s="79"/>
      <c r="E768" s="79"/>
      <c r="P768" s="79"/>
      <c r="Q768" s="79"/>
      <c r="R768" s="79"/>
      <c r="Y768" s="79"/>
      <c r="AC768" s="130"/>
      <c r="AE768" s="106"/>
    </row>
    <row r="769">
      <c r="C769" s="79"/>
      <c r="D769" s="79"/>
      <c r="E769" s="79"/>
      <c r="P769" s="79"/>
      <c r="Q769" s="79"/>
      <c r="R769" s="79"/>
      <c r="Y769" s="79"/>
      <c r="AC769" s="130"/>
      <c r="AE769" s="106"/>
    </row>
    <row r="770">
      <c r="C770" s="79"/>
      <c r="D770" s="79"/>
      <c r="E770" s="79"/>
      <c r="P770" s="79"/>
      <c r="Q770" s="79"/>
      <c r="R770" s="79"/>
      <c r="Y770" s="79"/>
      <c r="AC770" s="130"/>
      <c r="AE770" s="106"/>
    </row>
    <row r="771">
      <c r="C771" s="79"/>
      <c r="D771" s="79"/>
      <c r="E771" s="79"/>
      <c r="P771" s="79"/>
      <c r="Q771" s="79"/>
      <c r="R771" s="79"/>
      <c r="Y771" s="79"/>
      <c r="AC771" s="130"/>
      <c r="AE771" s="106"/>
    </row>
    <row r="772">
      <c r="C772" s="79"/>
      <c r="D772" s="79"/>
      <c r="E772" s="79"/>
      <c r="P772" s="79"/>
      <c r="Q772" s="79"/>
      <c r="R772" s="79"/>
      <c r="Y772" s="79"/>
      <c r="AC772" s="130"/>
      <c r="AE772" s="106"/>
    </row>
    <row r="773">
      <c r="C773" s="79"/>
      <c r="D773" s="79"/>
      <c r="E773" s="79"/>
      <c r="P773" s="79"/>
      <c r="Q773" s="79"/>
      <c r="R773" s="79"/>
      <c r="Y773" s="79"/>
      <c r="AC773" s="130"/>
      <c r="AE773" s="106"/>
    </row>
    <row r="774">
      <c r="C774" s="79"/>
      <c r="D774" s="79"/>
      <c r="E774" s="79"/>
      <c r="P774" s="79"/>
      <c r="Q774" s="79"/>
      <c r="R774" s="79"/>
      <c r="Y774" s="79"/>
      <c r="AC774" s="130"/>
      <c r="AE774" s="106"/>
    </row>
    <row r="775">
      <c r="C775" s="79"/>
      <c r="D775" s="79"/>
      <c r="E775" s="79"/>
      <c r="P775" s="79"/>
      <c r="Q775" s="79"/>
      <c r="R775" s="79"/>
      <c r="Y775" s="79"/>
      <c r="AC775" s="130"/>
      <c r="AE775" s="106"/>
    </row>
    <row r="776">
      <c r="C776" s="79"/>
      <c r="D776" s="79"/>
      <c r="E776" s="79"/>
      <c r="P776" s="79"/>
      <c r="Q776" s="79"/>
      <c r="R776" s="79"/>
      <c r="Y776" s="79"/>
      <c r="AC776" s="130"/>
      <c r="AE776" s="106"/>
    </row>
    <row r="777">
      <c r="C777" s="79"/>
      <c r="D777" s="79"/>
      <c r="E777" s="79"/>
      <c r="P777" s="79"/>
      <c r="Q777" s="79"/>
      <c r="R777" s="79"/>
      <c r="Y777" s="79"/>
      <c r="AC777" s="130"/>
      <c r="AE777" s="106"/>
    </row>
    <row r="778">
      <c r="C778" s="79"/>
      <c r="D778" s="79"/>
      <c r="E778" s="79"/>
      <c r="P778" s="79"/>
      <c r="Q778" s="79"/>
      <c r="R778" s="79"/>
      <c r="Y778" s="79"/>
      <c r="AC778" s="130"/>
      <c r="AE778" s="106"/>
    </row>
    <row r="779">
      <c r="C779" s="79"/>
      <c r="D779" s="79"/>
      <c r="E779" s="79"/>
      <c r="P779" s="79"/>
      <c r="Q779" s="79"/>
      <c r="R779" s="79"/>
      <c r="Y779" s="79"/>
      <c r="AC779" s="130"/>
      <c r="AE779" s="106"/>
    </row>
    <row r="780">
      <c r="C780" s="79"/>
      <c r="D780" s="79"/>
      <c r="E780" s="79"/>
      <c r="P780" s="79"/>
      <c r="Q780" s="79"/>
      <c r="R780" s="79"/>
      <c r="Y780" s="79"/>
      <c r="AC780" s="130"/>
      <c r="AE780" s="106"/>
    </row>
    <row r="781">
      <c r="C781" s="79"/>
      <c r="D781" s="79"/>
      <c r="E781" s="79"/>
      <c r="P781" s="79"/>
      <c r="Q781" s="79"/>
      <c r="R781" s="79"/>
      <c r="Y781" s="79"/>
      <c r="AC781" s="130"/>
      <c r="AE781" s="106"/>
    </row>
    <row r="782">
      <c r="C782" s="79"/>
      <c r="D782" s="79"/>
      <c r="E782" s="79"/>
      <c r="P782" s="79"/>
      <c r="Q782" s="79"/>
      <c r="R782" s="79"/>
      <c r="Y782" s="79"/>
      <c r="AC782" s="130"/>
      <c r="AE782" s="106"/>
    </row>
    <row r="783">
      <c r="C783" s="79"/>
      <c r="D783" s="79"/>
      <c r="E783" s="79"/>
      <c r="P783" s="79"/>
      <c r="Q783" s="79"/>
      <c r="R783" s="79"/>
      <c r="Y783" s="79"/>
      <c r="AC783" s="130"/>
      <c r="AE783" s="106"/>
    </row>
    <row r="784">
      <c r="C784" s="79"/>
      <c r="D784" s="79"/>
      <c r="E784" s="79"/>
      <c r="P784" s="79"/>
      <c r="Q784" s="79"/>
      <c r="R784" s="79"/>
      <c r="Y784" s="79"/>
      <c r="AC784" s="130"/>
      <c r="AE784" s="106"/>
    </row>
    <row r="785">
      <c r="C785" s="79"/>
      <c r="D785" s="79"/>
      <c r="E785" s="79"/>
      <c r="P785" s="79"/>
      <c r="Q785" s="79"/>
      <c r="R785" s="79"/>
      <c r="Y785" s="79"/>
      <c r="AC785" s="130"/>
      <c r="AE785" s="106"/>
    </row>
    <row r="786">
      <c r="C786" s="79"/>
      <c r="D786" s="79"/>
      <c r="E786" s="79"/>
      <c r="P786" s="79"/>
      <c r="Q786" s="79"/>
      <c r="R786" s="79"/>
      <c r="Y786" s="79"/>
      <c r="AC786" s="130"/>
      <c r="AE786" s="106"/>
    </row>
    <row r="787">
      <c r="C787" s="79"/>
      <c r="D787" s="79"/>
      <c r="E787" s="79"/>
      <c r="P787" s="79"/>
      <c r="Q787" s="79"/>
      <c r="R787" s="79"/>
      <c r="Y787" s="79"/>
      <c r="AC787" s="130"/>
      <c r="AE787" s="106"/>
    </row>
    <row r="788">
      <c r="C788" s="79"/>
      <c r="D788" s="79"/>
      <c r="E788" s="79"/>
      <c r="P788" s="79"/>
      <c r="Q788" s="79"/>
      <c r="R788" s="79"/>
      <c r="Y788" s="79"/>
      <c r="AC788" s="130"/>
      <c r="AE788" s="106"/>
    </row>
    <row r="789">
      <c r="C789" s="79"/>
      <c r="D789" s="79"/>
      <c r="E789" s="79"/>
      <c r="P789" s="79"/>
      <c r="Q789" s="79"/>
      <c r="R789" s="79"/>
      <c r="Y789" s="79"/>
      <c r="AC789" s="130"/>
      <c r="AE789" s="106"/>
    </row>
    <row r="790">
      <c r="C790" s="79"/>
      <c r="D790" s="79"/>
      <c r="E790" s="79"/>
      <c r="P790" s="79"/>
      <c r="Q790" s="79"/>
      <c r="R790" s="79"/>
      <c r="Y790" s="79"/>
      <c r="AC790" s="130"/>
      <c r="AE790" s="106"/>
    </row>
    <row r="791">
      <c r="C791" s="79"/>
      <c r="D791" s="79"/>
      <c r="E791" s="79"/>
      <c r="P791" s="79"/>
      <c r="Q791" s="79"/>
      <c r="R791" s="79"/>
      <c r="Y791" s="79"/>
      <c r="AC791" s="130"/>
      <c r="AE791" s="106"/>
    </row>
    <row r="792">
      <c r="C792" s="79"/>
      <c r="D792" s="79"/>
      <c r="E792" s="79"/>
      <c r="P792" s="79"/>
      <c r="Q792" s="79"/>
      <c r="R792" s="79"/>
      <c r="Y792" s="79"/>
      <c r="AC792" s="130"/>
      <c r="AE792" s="106"/>
    </row>
    <row r="793">
      <c r="C793" s="79"/>
      <c r="D793" s="79"/>
      <c r="E793" s="79"/>
      <c r="P793" s="79"/>
      <c r="Q793" s="79"/>
      <c r="R793" s="79"/>
      <c r="Y793" s="79"/>
      <c r="AC793" s="130"/>
      <c r="AE793" s="106"/>
    </row>
    <row r="794">
      <c r="C794" s="79"/>
      <c r="D794" s="79"/>
      <c r="E794" s="79"/>
      <c r="P794" s="79"/>
      <c r="Q794" s="79"/>
      <c r="R794" s="79"/>
      <c r="Y794" s="79"/>
      <c r="AC794" s="130"/>
      <c r="AE794" s="106"/>
    </row>
    <row r="795">
      <c r="C795" s="79"/>
      <c r="D795" s="79"/>
      <c r="E795" s="79"/>
      <c r="P795" s="79"/>
      <c r="Q795" s="79"/>
      <c r="R795" s="79"/>
      <c r="Y795" s="79"/>
      <c r="AC795" s="130"/>
      <c r="AE795" s="106"/>
    </row>
    <row r="796">
      <c r="C796" s="79"/>
      <c r="D796" s="79"/>
      <c r="E796" s="79"/>
      <c r="P796" s="79"/>
      <c r="Q796" s="79"/>
      <c r="R796" s="79"/>
      <c r="Y796" s="79"/>
      <c r="AC796" s="130"/>
      <c r="AE796" s="106"/>
    </row>
    <row r="797">
      <c r="C797" s="79"/>
      <c r="D797" s="79"/>
      <c r="E797" s="79"/>
      <c r="P797" s="79"/>
      <c r="Q797" s="79"/>
      <c r="R797" s="79"/>
      <c r="Y797" s="79"/>
      <c r="AC797" s="130"/>
      <c r="AE797" s="106"/>
    </row>
    <row r="798">
      <c r="C798" s="79"/>
      <c r="D798" s="79"/>
      <c r="E798" s="79"/>
      <c r="P798" s="79"/>
      <c r="Q798" s="79"/>
      <c r="R798" s="79"/>
      <c r="Y798" s="79"/>
      <c r="AC798" s="130"/>
      <c r="AE798" s="106"/>
    </row>
    <row r="799">
      <c r="C799" s="79"/>
      <c r="D799" s="79"/>
      <c r="E799" s="79"/>
      <c r="P799" s="79"/>
      <c r="Q799" s="79"/>
      <c r="R799" s="79"/>
      <c r="Y799" s="79"/>
      <c r="AC799" s="130"/>
      <c r="AE799" s="106"/>
    </row>
    <row r="800">
      <c r="C800" s="79"/>
      <c r="D800" s="79"/>
      <c r="E800" s="79"/>
      <c r="P800" s="79"/>
      <c r="Q800" s="79"/>
      <c r="R800" s="79"/>
      <c r="Y800" s="79"/>
      <c r="AC800" s="130"/>
      <c r="AE800" s="106"/>
    </row>
    <row r="801">
      <c r="C801" s="79"/>
      <c r="D801" s="79"/>
      <c r="E801" s="79"/>
      <c r="P801" s="79"/>
      <c r="Q801" s="79"/>
      <c r="R801" s="79"/>
      <c r="Y801" s="79"/>
      <c r="AC801" s="130"/>
      <c r="AE801" s="106"/>
    </row>
    <row r="802">
      <c r="C802" s="79"/>
      <c r="D802" s="79"/>
      <c r="E802" s="79"/>
      <c r="P802" s="79"/>
      <c r="Q802" s="79"/>
      <c r="R802" s="79"/>
      <c r="Y802" s="79"/>
      <c r="AC802" s="130"/>
      <c r="AE802" s="106"/>
    </row>
    <row r="803">
      <c r="C803" s="79"/>
      <c r="D803" s="79"/>
      <c r="E803" s="79"/>
      <c r="P803" s="79"/>
      <c r="Q803" s="79"/>
      <c r="R803" s="79"/>
      <c r="Y803" s="79"/>
      <c r="AC803" s="130"/>
      <c r="AE803" s="106"/>
    </row>
    <row r="804">
      <c r="C804" s="79"/>
      <c r="D804" s="79"/>
      <c r="E804" s="79"/>
      <c r="P804" s="79"/>
      <c r="Q804" s="79"/>
      <c r="R804" s="79"/>
      <c r="Y804" s="79"/>
      <c r="AC804" s="130"/>
      <c r="AE804" s="106"/>
    </row>
    <row r="805">
      <c r="C805" s="79"/>
      <c r="D805" s="79"/>
      <c r="E805" s="79"/>
      <c r="P805" s="79"/>
      <c r="Q805" s="79"/>
      <c r="R805" s="79"/>
      <c r="Y805" s="79"/>
      <c r="AC805" s="130"/>
      <c r="AE805" s="106"/>
    </row>
    <row r="806">
      <c r="C806" s="79"/>
      <c r="D806" s="79"/>
      <c r="E806" s="79"/>
      <c r="P806" s="79"/>
      <c r="Q806" s="79"/>
      <c r="R806" s="79"/>
      <c r="Y806" s="79"/>
      <c r="AC806" s="130"/>
      <c r="AE806" s="106"/>
    </row>
    <row r="807">
      <c r="C807" s="79"/>
      <c r="D807" s="79"/>
      <c r="E807" s="79"/>
      <c r="P807" s="79"/>
      <c r="Q807" s="79"/>
      <c r="R807" s="79"/>
      <c r="Y807" s="79"/>
      <c r="AC807" s="130"/>
      <c r="AE807" s="106"/>
    </row>
    <row r="808">
      <c r="C808" s="79"/>
      <c r="D808" s="79"/>
      <c r="E808" s="79"/>
      <c r="P808" s="79"/>
      <c r="Q808" s="79"/>
      <c r="R808" s="79"/>
      <c r="Y808" s="79"/>
      <c r="AC808" s="130"/>
      <c r="AE808" s="106"/>
    </row>
    <row r="809">
      <c r="C809" s="79"/>
      <c r="D809" s="79"/>
      <c r="E809" s="79"/>
      <c r="P809" s="79"/>
      <c r="Q809" s="79"/>
      <c r="R809" s="79"/>
      <c r="Y809" s="79"/>
      <c r="AC809" s="130"/>
      <c r="AE809" s="106"/>
    </row>
    <row r="810">
      <c r="C810" s="79"/>
      <c r="D810" s="79"/>
      <c r="E810" s="79"/>
      <c r="P810" s="79"/>
      <c r="Q810" s="79"/>
      <c r="R810" s="79"/>
      <c r="Y810" s="79"/>
      <c r="AC810" s="130"/>
      <c r="AE810" s="106"/>
    </row>
    <row r="811">
      <c r="C811" s="79"/>
      <c r="D811" s="79"/>
      <c r="E811" s="79"/>
      <c r="P811" s="79"/>
      <c r="Q811" s="79"/>
      <c r="R811" s="79"/>
      <c r="Y811" s="79"/>
      <c r="AC811" s="130"/>
      <c r="AE811" s="106"/>
    </row>
    <row r="812">
      <c r="C812" s="79"/>
      <c r="D812" s="79"/>
      <c r="E812" s="79"/>
      <c r="P812" s="79"/>
      <c r="Q812" s="79"/>
      <c r="R812" s="79"/>
      <c r="Y812" s="79"/>
      <c r="AC812" s="130"/>
      <c r="AE812" s="106"/>
    </row>
    <row r="813">
      <c r="C813" s="79"/>
      <c r="D813" s="79"/>
      <c r="E813" s="79"/>
      <c r="P813" s="79"/>
      <c r="Q813" s="79"/>
      <c r="R813" s="79"/>
      <c r="Y813" s="79"/>
      <c r="AC813" s="130"/>
      <c r="AE813" s="106"/>
    </row>
    <row r="814">
      <c r="C814" s="79"/>
      <c r="D814" s="79"/>
      <c r="E814" s="79"/>
      <c r="P814" s="79"/>
      <c r="Q814" s="79"/>
      <c r="R814" s="79"/>
      <c r="Y814" s="79"/>
      <c r="AC814" s="130"/>
      <c r="AE814" s="106"/>
    </row>
    <row r="815">
      <c r="C815" s="79"/>
      <c r="D815" s="79"/>
      <c r="E815" s="79"/>
      <c r="P815" s="79"/>
      <c r="Q815" s="79"/>
      <c r="R815" s="79"/>
      <c r="Y815" s="79"/>
      <c r="AC815" s="130"/>
      <c r="AE815" s="106"/>
    </row>
    <row r="816">
      <c r="C816" s="79"/>
      <c r="D816" s="79"/>
      <c r="E816" s="79"/>
      <c r="P816" s="79"/>
      <c r="Q816" s="79"/>
      <c r="R816" s="79"/>
      <c r="Y816" s="79"/>
      <c r="AC816" s="130"/>
      <c r="AE816" s="106"/>
    </row>
    <row r="817">
      <c r="C817" s="79"/>
      <c r="D817" s="79"/>
      <c r="E817" s="79"/>
      <c r="P817" s="79"/>
      <c r="Q817" s="79"/>
      <c r="R817" s="79"/>
      <c r="Y817" s="79"/>
      <c r="AC817" s="130"/>
      <c r="AE817" s="106"/>
    </row>
    <row r="818">
      <c r="C818" s="79"/>
      <c r="D818" s="79"/>
      <c r="E818" s="79"/>
      <c r="P818" s="79"/>
      <c r="Q818" s="79"/>
      <c r="R818" s="79"/>
      <c r="Y818" s="79"/>
      <c r="AC818" s="130"/>
      <c r="AE818" s="106"/>
    </row>
    <row r="819">
      <c r="C819" s="79"/>
      <c r="D819" s="79"/>
      <c r="E819" s="79"/>
      <c r="P819" s="79"/>
      <c r="Q819" s="79"/>
      <c r="R819" s="79"/>
      <c r="Y819" s="79"/>
      <c r="AC819" s="130"/>
      <c r="AE819" s="106"/>
    </row>
    <row r="820">
      <c r="C820" s="79"/>
      <c r="D820" s="79"/>
      <c r="E820" s="79"/>
      <c r="P820" s="79"/>
      <c r="Q820" s="79"/>
      <c r="R820" s="79"/>
      <c r="Y820" s="79"/>
      <c r="AC820" s="130"/>
      <c r="AE820" s="106"/>
    </row>
    <row r="821">
      <c r="C821" s="79"/>
      <c r="D821" s="79"/>
      <c r="E821" s="79"/>
      <c r="P821" s="79"/>
      <c r="Q821" s="79"/>
      <c r="R821" s="79"/>
      <c r="Y821" s="79"/>
      <c r="AC821" s="130"/>
      <c r="AE821" s="106"/>
    </row>
    <row r="822">
      <c r="C822" s="79"/>
      <c r="D822" s="79"/>
      <c r="E822" s="79"/>
      <c r="P822" s="79"/>
      <c r="Q822" s="79"/>
      <c r="R822" s="79"/>
      <c r="Y822" s="79"/>
      <c r="AC822" s="130"/>
      <c r="AE822" s="106"/>
    </row>
    <row r="823">
      <c r="C823" s="79"/>
      <c r="D823" s="79"/>
      <c r="E823" s="79"/>
      <c r="P823" s="79"/>
      <c r="Q823" s="79"/>
      <c r="R823" s="79"/>
      <c r="Y823" s="79"/>
      <c r="AC823" s="130"/>
      <c r="AE823" s="106"/>
    </row>
    <row r="824">
      <c r="C824" s="79"/>
      <c r="D824" s="79"/>
      <c r="E824" s="79"/>
      <c r="P824" s="79"/>
      <c r="Q824" s="79"/>
      <c r="R824" s="79"/>
      <c r="Y824" s="79"/>
      <c r="AC824" s="130"/>
      <c r="AE824" s="106"/>
    </row>
    <row r="825">
      <c r="C825" s="79"/>
      <c r="D825" s="79"/>
      <c r="E825" s="79"/>
      <c r="P825" s="79"/>
      <c r="Q825" s="79"/>
      <c r="R825" s="79"/>
      <c r="Y825" s="79"/>
      <c r="AC825" s="130"/>
      <c r="AE825" s="106"/>
    </row>
    <row r="826">
      <c r="C826" s="79"/>
      <c r="D826" s="79"/>
      <c r="E826" s="79"/>
      <c r="P826" s="79"/>
      <c r="Q826" s="79"/>
      <c r="R826" s="79"/>
      <c r="Y826" s="79"/>
      <c r="AC826" s="130"/>
      <c r="AE826" s="106"/>
    </row>
    <row r="827">
      <c r="C827" s="79"/>
      <c r="D827" s="79"/>
      <c r="E827" s="79"/>
      <c r="P827" s="79"/>
      <c r="Q827" s="79"/>
      <c r="R827" s="79"/>
      <c r="Y827" s="79"/>
      <c r="AC827" s="130"/>
      <c r="AE827" s="106"/>
    </row>
    <row r="828">
      <c r="C828" s="79"/>
      <c r="D828" s="79"/>
      <c r="E828" s="79"/>
      <c r="P828" s="79"/>
      <c r="Q828" s="79"/>
      <c r="R828" s="79"/>
      <c r="Y828" s="79"/>
      <c r="AC828" s="130"/>
      <c r="AE828" s="106"/>
    </row>
    <row r="829">
      <c r="C829" s="79"/>
      <c r="D829" s="79"/>
      <c r="E829" s="79"/>
      <c r="P829" s="79"/>
      <c r="Q829" s="79"/>
      <c r="R829" s="79"/>
      <c r="Y829" s="79"/>
      <c r="AC829" s="130"/>
      <c r="AE829" s="106"/>
    </row>
    <row r="830">
      <c r="C830" s="79"/>
      <c r="D830" s="79"/>
      <c r="E830" s="79"/>
      <c r="P830" s="79"/>
      <c r="Q830" s="79"/>
      <c r="R830" s="79"/>
      <c r="Y830" s="79"/>
      <c r="AC830" s="130"/>
      <c r="AE830" s="106"/>
    </row>
    <row r="831">
      <c r="C831" s="79"/>
      <c r="D831" s="79"/>
      <c r="E831" s="79"/>
      <c r="P831" s="79"/>
      <c r="Q831" s="79"/>
      <c r="R831" s="79"/>
      <c r="Y831" s="79"/>
      <c r="AC831" s="130"/>
      <c r="AE831" s="106"/>
    </row>
    <row r="832">
      <c r="C832" s="79"/>
      <c r="D832" s="79"/>
      <c r="E832" s="79"/>
      <c r="P832" s="79"/>
      <c r="Q832" s="79"/>
      <c r="R832" s="79"/>
      <c r="Y832" s="79"/>
      <c r="AC832" s="130"/>
      <c r="AE832" s="106"/>
    </row>
    <row r="833">
      <c r="C833" s="79"/>
      <c r="D833" s="79"/>
      <c r="E833" s="79"/>
      <c r="P833" s="79"/>
      <c r="Q833" s="79"/>
      <c r="R833" s="79"/>
      <c r="Y833" s="79"/>
      <c r="AC833" s="130"/>
      <c r="AE833" s="106"/>
    </row>
    <row r="834">
      <c r="C834" s="79"/>
      <c r="D834" s="79"/>
      <c r="E834" s="79"/>
      <c r="P834" s="79"/>
      <c r="Q834" s="79"/>
      <c r="R834" s="79"/>
      <c r="Y834" s="79"/>
      <c r="AC834" s="130"/>
      <c r="AE834" s="106"/>
    </row>
    <row r="835">
      <c r="C835" s="79"/>
      <c r="D835" s="79"/>
      <c r="E835" s="79"/>
      <c r="P835" s="79"/>
      <c r="Q835" s="79"/>
      <c r="R835" s="79"/>
      <c r="Y835" s="79"/>
      <c r="AC835" s="130"/>
      <c r="AE835" s="106"/>
    </row>
    <row r="836">
      <c r="C836" s="79"/>
      <c r="D836" s="79"/>
      <c r="E836" s="79"/>
      <c r="P836" s="79"/>
      <c r="Q836" s="79"/>
      <c r="R836" s="79"/>
      <c r="Y836" s="79"/>
      <c r="AC836" s="130"/>
      <c r="AE836" s="106"/>
    </row>
    <row r="837">
      <c r="C837" s="79"/>
      <c r="D837" s="79"/>
      <c r="E837" s="79"/>
      <c r="P837" s="79"/>
      <c r="Q837" s="79"/>
      <c r="R837" s="79"/>
      <c r="Y837" s="79"/>
      <c r="AC837" s="130"/>
      <c r="AE837" s="106"/>
    </row>
    <row r="838">
      <c r="C838" s="79"/>
      <c r="D838" s="79"/>
      <c r="E838" s="79"/>
      <c r="P838" s="79"/>
      <c r="Q838" s="79"/>
      <c r="R838" s="79"/>
      <c r="Y838" s="79"/>
      <c r="AC838" s="130"/>
      <c r="AE838" s="106"/>
    </row>
    <row r="839">
      <c r="C839" s="79"/>
      <c r="D839" s="79"/>
      <c r="E839" s="79"/>
      <c r="P839" s="79"/>
      <c r="Q839" s="79"/>
      <c r="R839" s="79"/>
      <c r="Y839" s="79"/>
      <c r="AC839" s="130"/>
      <c r="AE839" s="106"/>
    </row>
    <row r="840">
      <c r="C840" s="79"/>
      <c r="D840" s="79"/>
      <c r="E840" s="79"/>
      <c r="P840" s="79"/>
      <c r="Q840" s="79"/>
      <c r="R840" s="79"/>
      <c r="Y840" s="79"/>
      <c r="AC840" s="130"/>
      <c r="AE840" s="106"/>
    </row>
    <row r="841">
      <c r="C841" s="79"/>
      <c r="D841" s="79"/>
      <c r="E841" s="79"/>
      <c r="P841" s="79"/>
      <c r="Q841" s="79"/>
      <c r="R841" s="79"/>
      <c r="Y841" s="79"/>
      <c r="AC841" s="130"/>
      <c r="AE841" s="106"/>
    </row>
    <row r="842">
      <c r="C842" s="79"/>
      <c r="D842" s="79"/>
      <c r="E842" s="79"/>
      <c r="P842" s="79"/>
      <c r="Q842" s="79"/>
      <c r="R842" s="79"/>
      <c r="Y842" s="79"/>
      <c r="AC842" s="130"/>
      <c r="AE842" s="106"/>
    </row>
    <row r="843">
      <c r="C843" s="79"/>
      <c r="D843" s="79"/>
      <c r="E843" s="79"/>
      <c r="P843" s="79"/>
      <c r="Q843" s="79"/>
      <c r="R843" s="79"/>
      <c r="Y843" s="79"/>
      <c r="AC843" s="130"/>
      <c r="AE843" s="106"/>
    </row>
    <row r="844">
      <c r="C844" s="79"/>
      <c r="D844" s="79"/>
      <c r="E844" s="79"/>
      <c r="P844" s="79"/>
      <c r="Q844" s="79"/>
      <c r="R844" s="79"/>
      <c r="Y844" s="79"/>
      <c r="AC844" s="130"/>
      <c r="AE844" s="106"/>
    </row>
    <row r="845">
      <c r="C845" s="79"/>
      <c r="D845" s="79"/>
      <c r="E845" s="79"/>
      <c r="P845" s="79"/>
      <c r="Q845" s="79"/>
      <c r="R845" s="79"/>
      <c r="Y845" s="79"/>
      <c r="AC845" s="130"/>
      <c r="AE845" s="106"/>
    </row>
    <row r="846">
      <c r="C846" s="79"/>
      <c r="D846" s="79"/>
      <c r="E846" s="79"/>
      <c r="P846" s="79"/>
      <c r="Q846" s="79"/>
      <c r="R846" s="79"/>
      <c r="Y846" s="79"/>
      <c r="AC846" s="130"/>
      <c r="AE846" s="106"/>
    </row>
    <row r="847">
      <c r="C847" s="79"/>
      <c r="D847" s="79"/>
      <c r="E847" s="79"/>
      <c r="P847" s="79"/>
      <c r="Q847" s="79"/>
      <c r="R847" s="79"/>
      <c r="Y847" s="79"/>
      <c r="AC847" s="130"/>
      <c r="AE847" s="106"/>
    </row>
    <row r="848">
      <c r="C848" s="79"/>
      <c r="D848" s="79"/>
      <c r="E848" s="79"/>
      <c r="P848" s="79"/>
      <c r="Q848" s="79"/>
      <c r="R848" s="79"/>
      <c r="Y848" s="79"/>
      <c r="AC848" s="130"/>
      <c r="AE848" s="106"/>
    </row>
    <row r="849">
      <c r="C849" s="79"/>
      <c r="D849" s="79"/>
      <c r="E849" s="79"/>
      <c r="P849" s="79"/>
      <c r="Q849" s="79"/>
      <c r="R849" s="79"/>
      <c r="Y849" s="79"/>
      <c r="AC849" s="130"/>
      <c r="AE849" s="106"/>
    </row>
    <row r="850">
      <c r="C850" s="79"/>
      <c r="D850" s="79"/>
      <c r="E850" s="79"/>
      <c r="P850" s="79"/>
      <c r="Q850" s="79"/>
      <c r="R850" s="79"/>
      <c r="Y850" s="79"/>
      <c r="AC850" s="130"/>
      <c r="AE850" s="106"/>
    </row>
    <row r="851">
      <c r="C851" s="79"/>
      <c r="D851" s="79"/>
      <c r="E851" s="79"/>
      <c r="P851" s="79"/>
      <c r="Q851" s="79"/>
      <c r="R851" s="79"/>
      <c r="Y851" s="79"/>
      <c r="AC851" s="130"/>
      <c r="AE851" s="106"/>
    </row>
    <row r="852">
      <c r="C852" s="79"/>
      <c r="D852" s="79"/>
      <c r="E852" s="79"/>
      <c r="P852" s="79"/>
      <c r="Q852" s="79"/>
      <c r="R852" s="79"/>
      <c r="Y852" s="79"/>
      <c r="AC852" s="130"/>
      <c r="AE852" s="106"/>
    </row>
    <row r="853">
      <c r="C853" s="79"/>
      <c r="D853" s="79"/>
      <c r="E853" s="79"/>
      <c r="P853" s="79"/>
      <c r="Q853" s="79"/>
      <c r="R853" s="79"/>
      <c r="Y853" s="79"/>
      <c r="AC853" s="130"/>
      <c r="AE853" s="106"/>
    </row>
    <row r="854">
      <c r="C854" s="79"/>
      <c r="D854" s="79"/>
      <c r="E854" s="79"/>
      <c r="P854" s="79"/>
      <c r="Q854" s="79"/>
      <c r="R854" s="79"/>
      <c r="Y854" s="79"/>
      <c r="AC854" s="130"/>
      <c r="AE854" s="106"/>
    </row>
    <row r="855">
      <c r="C855" s="79"/>
      <c r="D855" s="79"/>
      <c r="E855" s="79"/>
      <c r="P855" s="79"/>
      <c r="Q855" s="79"/>
      <c r="R855" s="79"/>
      <c r="Y855" s="79"/>
      <c r="AC855" s="130"/>
      <c r="AE855" s="106"/>
    </row>
    <row r="856">
      <c r="C856" s="79"/>
      <c r="D856" s="79"/>
      <c r="E856" s="79"/>
      <c r="P856" s="79"/>
      <c r="Q856" s="79"/>
      <c r="R856" s="79"/>
      <c r="Y856" s="79"/>
      <c r="AC856" s="130"/>
      <c r="AE856" s="106"/>
    </row>
    <row r="857">
      <c r="C857" s="79"/>
      <c r="D857" s="79"/>
      <c r="E857" s="79"/>
      <c r="P857" s="79"/>
      <c r="Q857" s="79"/>
      <c r="R857" s="79"/>
      <c r="Y857" s="79"/>
      <c r="AC857" s="130"/>
      <c r="AE857" s="106"/>
    </row>
    <row r="858">
      <c r="C858" s="79"/>
      <c r="D858" s="79"/>
      <c r="E858" s="79"/>
      <c r="P858" s="79"/>
      <c r="Q858" s="79"/>
      <c r="R858" s="79"/>
      <c r="Y858" s="79"/>
      <c r="AC858" s="130"/>
      <c r="AE858" s="106"/>
    </row>
    <row r="859">
      <c r="C859" s="79"/>
      <c r="D859" s="79"/>
      <c r="E859" s="79"/>
      <c r="P859" s="79"/>
      <c r="Q859" s="79"/>
      <c r="R859" s="79"/>
      <c r="Y859" s="79"/>
      <c r="AC859" s="130"/>
      <c r="AE859" s="106"/>
    </row>
    <row r="860">
      <c r="C860" s="79"/>
      <c r="D860" s="79"/>
      <c r="E860" s="79"/>
      <c r="P860" s="79"/>
      <c r="Q860" s="79"/>
      <c r="R860" s="79"/>
      <c r="Y860" s="79"/>
      <c r="AC860" s="130"/>
      <c r="AE860" s="106"/>
    </row>
    <row r="861">
      <c r="C861" s="79"/>
      <c r="D861" s="79"/>
      <c r="E861" s="79"/>
      <c r="P861" s="79"/>
      <c r="Q861" s="79"/>
      <c r="R861" s="79"/>
      <c r="Y861" s="79"/>
      <c r="AC861" s="130"/>
      <c r="AE861" s="106"/>
    </row>
    <row r="862">
      <c r="C862" s="79"/>
      <c r="D862" s="79"/>
      <c r="E862" s="79"/>
      <c r="P862" s="79"/>
      <c r="Q862" s="79"/>
      <c r="R862" s="79"/>
      <c r="Y862" s="79"/>
      <c r="AC862" s="130"/>
      <c r="AE862" s="106"/>
    </row>
    <row r="863">
      <c r="C863" s="79"/>
      <c r="D863" s="79"/>
      <c r="E863" s="79"/>
      <c r="P863" s="79"/>
      <c r="Q863" s="79"/>
      <c r="R863" s="79"/>
      <c r="Y863" s="79"/>
      <c r="AC863" s="130"/>
      <c r="AE863" s="106"/>
    </row>
    <row r="864">
      <c r="C864" s="79"/>
      <c r="D864" s="79"/>
      <c r="E864" s="79"/>
      <c r="P864" s="79"/>
      <c r="Q864" s="79"/>
      <c r="R864" s="79"/>
      <c r="Y864" s="79"/>
      <c r="AC864" s="130"/>
      <c r="AE864" s="106"/>
    </row>
    <row r="865">
      <c r="C865" s="79"/>
      <c r="D865" s="79"/>
      <c r="E865" s="79"/>
      <c r="P865" s="79"/>
      <c r="Q865" s="79"/>
      <c r="R865" s="79"/>
      <c r="Y865" s="79"/>
      <c r="AC865" s="130"/>
      <c r="AE865" s="106"/>
    </row>
    <row r="866">
      <c r="C866" s="79"/>
      <c r="D866" s="79"/>
      <c r="E866" s="79"/>
      <c r="P866" s="79"/>
      <c r="Q866" s="79"/>
      <c r="R866" s="79"/>
      <c r="Y866" s="79"/>
      <c r="AC866" s="130"/>
      <c r="AE866" s="106"/>
    </row>
    <row r="867">
      <c r="C867" s="79"/>
      <c r="D867" s="79"/>
      <c r="E867" s="79"/>
      <c r="P867" s="79"/>
      <c r="Q867" s="79"/>
      <c r="R867" s="79"/>
      <c r="Y867" s="79"/>
      <c r="AC867" s="130"/>
      <c r="AE867" s="106"/>
    </row>
    <row r="868">
      <c r="C868" s="79"/>
      <c r="D868" s="79"/>
      <c r="E868" s="79"/>
      <c r="P868" s="79"/>
      <c r="Q868" s="79"/>
      <c r="R868" s="79"/>
      <c r="Y868" s="79"/>
      <c r="AC868" s="130"/>
      <c r="AE868" s="106"/>
    </row>
    <row r="869">
      <c r="C869" s="79"/>
      <c r="D869" s="79"/>
      <c r="E869" s="79"/>
      <c r="P869" s="79"/>
      <c r="Q869" s="79"/>
      <c r="R869" s="79"/>
      <c r="Y869" s="79"/>
      <c r="AC869" s="130"/>
      <c r="AE869" s="106"/>
    </row>
    <row r="870">
      <c r="C870" s="79"/>
      <c r="D870" s="79"/>
      <c r="E870" s="79"/>
      <c r="P870" s="79"/>
      <c r="Q870" s="79"/>
      <c r="R870" s="79"/>
      <c r="Y870" s="79"/>
      <c r="AC870" s="130"/>
      <c r="AE870" s="106"/>
    </row>
    <row r="871">
      <c r="C871" s="79"/>
      <c r="D871" s="79"/>
      <c r="E871" s="79"/>
      <c r="P871" s="79"/>
      <c r="Q871" s="79"/>
      <c r="R871" s="79"/>
      <c r="Y871" s="79"/>
      <c r="AC871" s="130"/>
      <c r="AE871" s="106"/>
    </row>
    <row r="872">
      <c r="C872" s="79"/>
      <c r="D872" s="79"/>
      <c r="E872" s="79"/>
      <c r="P872" s="79"/>
      <c r="Q872" s="79"/>
      <c r="R872" s="79"/>
      <c r="Y872" s="79"/>
      <c r="AC872" s="130"/>
      <c r="AE872" s="106"/>
    </row>
    <row r="873">
      <c r="C873" s="79"/>
      <c r="D873" s="79"/>
      <c r="E873" s="79"/>
      <c r="P873" s="79"/>
      <c r="Q873" s="79"/>
      <c r="R873" s="79"/>
      <c r="Y873" s="79"/>
      <c r="AC873" s="130"/>
      <c r="AE873" s="106"/>
    </row>
    <row r="874">
      <c r="C874" s="79"/>
      <c r="D874" s="79"/>
      <c r="E874" s="79"/>
      <c r="P874" s="79"/>
      <c r="Q874" s="79"/>
      <c r="R874" s="79"/>
      <c r="Y874" s="79"/>
      <c r="AC874" s="130"/>
      <c r="AE874" s="106"/>
    </row>
    <row r="875">
      <c r="C875" s="79"/>
      <c r="D875" s="79"/>
      <c r="E875" s="79"/>
      <c r="P875" s="79"/>
      <c r="Q875" s="79"/>
      <c r="R875" s="79"/>
      <c r="Y875" s="79"/>
      <c r="AC875" s="130"/>
      <c r="AE875" s="106"/>
    </row>
    <row r="876">
      <c r="C876" s="79"/>
      <c r="D876" s="79"/>
      <c r="E876" s="79"/>
      <c r="P876" s="79"/>
      <c r="Q876" s="79"/>
      <c r="R876" s="79"/>
      <c r="Y876" s="79"/>
      <c r="AC876" s="130"/>
      <c r="AE876" s="106"/>
    </row>
    <row r="877">
      <c r="C877" s="79"/>
      <c r="D877" s="79"/>
      <c r="E877" s="79"/>
      <c r="P877" s="79"/>
      <c r="Q877" s="79"/>
      <c r="R877" s="79"/>
      <c r="Y877" s="79"/>
      <c r="AC877" s="130"/>
      <c r="AE877" s="106"/>
    </row>
    <row r="878">
      <c r="C878" s="79"/>
      <c r="D878" s="79"/>
      <c r="E878" s="79"/>
      <c r="P878" s="79"/>
      <c r="Q878" s="79"/>
      <c r="R878" s="79"/>
      <c r="Y878" s="79"/>
      <c r="AC878" s="130"/>
      <c r="AE878" s="106"/>
    </row>
    <row r="879">
      <c r="C879" s="79"/>
      <c r="D879" s="79"/>
      <c r="E879" s="79"/>
      <c r="P879" s="79"/>
      <c r="Q879" s="79"/>
      <c r="R879" s="79"/>
      <c r="Y879" s="79"/>
      <c r="AC879" s="130"/>
      <c r="AE879" s="106"/>
    </row>
    <row r="880">
      <c r="C880" s="79"/>
      <c r="D880" s="79"/>
      <c r="E880" s="79"/>
      <c r="P880" s="79"/>
      <c r="Q880" s="79"/>
      <c r="R880" s="79"/>
      <c r="Y880" s="79"/>
      <c r="AC880" s="130"/>
      <c r="AE880" s="106"/>
    </row>
    <row r="881">
      <c r="C881" s="79"/>
      <c r="D881" s="79"/>
      <c r="E881" s="79"/>
      <c r="P881" s="79"/>
      <c r="Q881" s="79"/>
      <c r="R881" s="79"/>
      <c r="Y881" s="79"/>
      <c r="AC881" s="130"/>
      <c r="AE881" s="106"/>
    </row>
    <row r="882">
      <c r="C882" s="79"/>
      <c r="D882" s="79"/>
      <c r="E882" s="79"/>
      <c r="P882" s="79"/>
      <c r="Q882" s="79"/>
      <c r="R882" s="79"/>
      <c r="Y882" s="79"/>
      <c r="AC882" s="130"/>
      <c r="AE882" s="106"/>
    </row>
    <row r="883">
      <c r="C883" s="79"/>
      <c r="D883" s="79"/>
      <c r="E883" s="79"/>
      <c r="P883" s="79"/>
      <c r="Q883" s="79"/>
      <c r="R883" s="79"/>
      <c r="Y883" s="79"/>
      <c r="AC883" s="130"/>
      <c r="AE883" s="106"/>
    </row>
    <row r="884">
      <c r="C884" s="79"/>
      <c r="D884" s="79"/>
      <c r="E884" s="79"/>
      <c r="P884" s="79"/>
      <c r="Q884" s="79"/>
      <c r="R884" s="79"/>
      <c r="Y884" s="79"/>
      <c r="AC884" s="130"/>
      <c r="AE884" s="106"/>
    </row>
    <row r="885">
      <c r="C885" s="79"/>
      <c r="D885" s="79"/>
      <c r="E885" s="79"/>
      <c r="P885" s="79"/>
      <c r="Q885" s="79"/>
      <c r="R885" s="79"/>
      <c r="Y885" s="79"/>
      <c r="AC885" s="130"/>
      <c r="AE885" s="106"/>
    </row>
    <row r="886">
      <c r="C886" s="79"/>
      <c r="D886" s="79"/>
      <c r="E886" s="79"/>
      <c r="P886" s="79"/>
      <c r="Q886" s="79"/>
      <c r="R886" s="79"/>
      <c r="Y886" s="79"/>
      <c r="AC886" s="130"/>
      <c r="AE886" s="106"/>
    </row>
    <row r="887">
      <c r="C887" s="79"/>
      <c r="D887" s="79"/>
      <c r="E887" s="79"/>
      <c r="P887" s="79"/>
      <c r="Q887" s="79"/>
      <c r="R887" s="79"/>
      <c r="Y887" s="79"/>
      <c r="AC887" s="130"/>
      <c r="AE887" s="106"/>
    </row>
    <row r="888">
      <c r="C888" s="79"/>
      <c r="D888" s="79"/>
      <c r="E888" s="79"/>
      <c r="P888" s="79"/>
      <c r="Q888" s="79"/>
      <c r="R888" s="79"/>
      <c r="Y888" s="79"/>
      <c r="AC888" s="130"/>
      <c r="AE888" s="106"/>
    </row>
    <row r="889">
      <c r="C889" s="79"/>
      <c r="D889" s="79"/>
      <c r="E889" s="79"/>
      <c r="P889" s="79"/>
      <c r="Q889" s="79"/>
      <c r="R889" s="79"/>
      <c r="Y889" s="79"/>
      <c r="AC889" s="130"/>
      <c r="AE889" s="106"/>
    </row>
    <row r="890">
      <c r="C890" s="79"/>
      <c r="D890" s="79"/>
      <c r="E890" s="79"/>
      <c r="P890" s="79"/>
      <c r="Q890" s="79"/>
      <c r="R890" s="79"/>
      <c r="Y890" s="79"/>
      <c r="AC890" s="130"/>
      <c r="AE890" s="106"/>
    </row>
    <row r="891">
      <c r="C891" s="79"/>
      <c r="D891" s="79"/>
      <c r="E891" s="79"/>
      <c r="P891" s="79"/>
      <c r="Q891" s="79"/>
      <c r="R891" s="79"/>
      <c r="Y891" s="79"/>
      <c r="AC891" s="130"/>
      <c r="AE891" s="106"/>
    </row>
    <row r="892">
      <c r="C892" s="79"/>
      <c r="D892" s="79"/>
      <c r="E892" s="79"/>
      <c r="P892" s="79"/>
      <c r="Q892" s="79"/>
      <c r="R892" s="79"/>
      <c r="Y892" s="79"/>
      <c r="AC892" s="130"/>
      <c r="AE892" s="106"/>
    </row>
  </sheetData>
  <autoFilter ref="$A$39:$F$56">
    <sortState ref="A39:F56">
      <sortCondition descending="1" sortBy="cellColor" ref="E39:E56" dxfId="1"/>
      <sortCondition descending="1" sortBy="cellColor" ref="C39:C56" dxfId="1"/>
      <sortCondition descending="1" sortBy="cellColor" ref="A39:A56" dxfId="1"/>
    </sortState>
  </autoFilter>
  <mergeCells count="1">
    <mergeCell ref="B36:E36"/>
  </mergeCells>
  <drawing r:id="rId2"/>
  <legacyDrawing r:id="rId3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6.5"/>
    <col customWidth="1" min="3" max="3" width="17.38"/>
    <col customWidth="1" min="5" max="5" width="15.63"/>
    <col customWidth="1" min="7" max="7" width="13.5"/>
    <col customWidth="1" min="8" max="8" width="13.25"/>
    <col customWidth="1" min="18" max="18" width="27.38"/>
    <col customWidth="1" min="26" max="26" width="14.63"/>
    <col customWidth="1" min="31" max="31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4</v>
      </c>
      <c r="J1" s="2" t="s">
        <v>5</v>
      </c>
      <c r="K1" s="2" t="s">
        <v>303</v>
      </c>
      <c r="L1" s="2" t="s">
        <v>6</v>
      </c>
      <c r="M1" s="2" t="s">
        <v>12</v>
      </c>
      <c r="N1" s="2" t="s">
        <v>49</v>
      </c>
      <c r="O1" s="2" t="s">
        <v>42</v>
      </c>
      <c r="P1" s="105" t="s">
        <v>11</v>
      </c>
      <c r="Q1" s="105" t="s">
        <v>9</v>
      </c>
      <c r="R1" s="105" t="s">
        <v>304</v>
      </c>
      <c r="S1" s="2" t="s">
        <v>37</v>
      </c>
      <c r="T1" s="2" t="s">
        <v>10</v>
      </c>
      <c r="U1" s="2" t="s">
        <v>164</v>
      </c>
      <c r="V1" s="105" t="s">
        <v>40</v>
      </c>
      <c r="W1" s="2" t="s">
        <v>83</v>
      </c>
      <c r="X1" s="2" t="s">
        <v>204</v>
      </c>
      <c r="Y1" s="105" t="s">
        <v>205</v>
      </c>
      <c r="Z1" s="2" t="s">
        <v>206</v>
      </c>
      <c r="AA1" s="2" t="s">
        <v>305</v>
      </c>
      <c r="AB1" s="3" t="s">
        <v>13</v>
      </c>
      <c r="AC1" s="3" t="s">
        <v>14</v>
      </c>
      <c r="AD1" s="3" t="s">
        <v>15</v>
      </c>
      <c r="AE1" s="106"/>
      <c r="AF1" s="265" t="s">
        <v>306</v>
      </c>
      <c r="AG1" s="266" t="s">
        <v>80</v>
      </c>
    </row>
    <row r="2">
      <c r="A2" s="74">
        <v>45467.0</v>
      </c>
      <c r="B2" s="93">
        <f>1377.63-88.88-38.94-170.34-43.32-62.83+823.28-119.68-16.52-34.82</f>
        <v>1625.58</v>
      </c>
      <c r="C2" s="93">
        <f>665.41-225-146.16</f>
        <v>294.25</v>
      </c>
      <c r="D2" s="193"/>
      <c r="E2" s="93"/>
      <c r="F2" s="93"/>
      <c r="G2" s="93">
        <v>180.0</v>
      </c>
      <c r="H2" s="93"/>
      <c r="I2" s="93">
        <v>476.26</v>
      </c>
      <c r="J2" s="93"/>
      <c r="K2" s="93"/>
      <c r="L2" s="93"/>
      <c r="M2" s="93"/>
      <c r="N2" s="93">
        <f>684-144-156</f>
        <v>384</v>
      </c>
      <c r="O2" s="93"/>
      <c r="P2" s="93"/>
      <c r="Q2" s="93"/>
      <c r="R2" s="93"/>
      <c r="S2" s="72"/>
      <c r="T2" s="93">
        <v>156.0</v>
      </c>
      <c r="U2" s="93"/>
      <c r="V2" s="93"/>
      <c r="W2" s="93"/>
      <c r="X2" s="93"/>
      <c r="Y2" s="93"/>
      <c r="Z2" s="93"/>
      <c r="AA2" s="326"/>
      <c r="AB2" s="107">
        <f t="shared" ref="AB2:AB8" si="1">SUM(B2:Z2)</f>
        <v>3116.09</v>
      </c>
      <c r="AC2" s="158">
        <v>6239.33</v>
      </c>
      <c r="AD2" s="59">
        <f t="shared" ref="AD2:AD8" si="2">AB2/AC2</f>
        <v>0.4994270218</v>
      </c>
      <c r="AE2" s="109">
        <f t="shared" ref="AE2:AE8" si="3">A2</f>
        <v>45467</v>
      </c>
      <c r="AF2" s="267"/>
      <c r="AG2" s="268">
        <f t="shared" ref="AG2:AG8" si="4">AC2-AF2</f>
        <v>6239.33</v>
      </c>
    </row>
    <row r="3">
      <c r="A3" s="74">
        <f t="shared" ref="A3:A8" si="5">A2+1</f>
        <v>45468</v>
      </c>
      <c r="B3" s="93">
        <f>382.03-27.83-20.68-35.71-8.46-13.64+126.51</f>
        <v>402.22</v>
      </c>
      <c r="C3" s="93">
        <v>446.15</v>
      </c>
      <c r="D3" s="93">
        <v>231.06</v>
      </c>
      <c r="E3" s="93"/>
      <c r="F3" s="93"/>
      <c r="G3" s="93"/>
      <c r="H3" s="93"/>
      <c r="I3" s="93">
        <v>319.64</v>
      </c>
      <c r="J3" s="93"/>
      <c r="K3" s="93"/>
      <c r="L3" s="93">
        <v>42.0</v>
      </c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326"/>
      <c r="AB3" s="107">
        <f t="shared" si="1"/>
        <v>1441.07</v>
      </c>
      <c r="AC3" s="158">
        <v>3952.0</v>
      </c>
      <c r="AD3" s="59">
        <f t="shared" si="2"/>
        <v>0.3646432186</v>
      </c>
      <c r="AE3" s="109">
        <f t="shared" si="3"/>
        <v>45468</v>
      </c>
      <c r="AF3" s="267"/>
      <c r="AG3" s="268">
        <f t="shared" si="4"/>
        <v>3952</v>
      </c>
    </row>
    <row r="4">
      <c r="A4" s="74">
        <f t="shared" si="5"/>
        <v>45469</v>
      </c>
      <c r="B4" s="93">
        <f>687.13-12.99-20.9-57.55+57.55</f>
        <v>653.24</v>
      </c>
      <c r="C4" s="93">
        <v>50.75</v>
      </c>
      <c r="D4" s="93">
        <f>261.7-130.85+122.46</f>
        <v>253.31</v>
      </c>
      <c r="E4" s="93"/>
      <c r="F4" s="93"/>
      <c r="G4" s="93">
        <v>180.0</v>
      </c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160"/>
      <c r="T4" s="93">
        <v>276.0</v>
      </c>
      <c r="U4" s="93"/>
      <c r="V4" s="93"/>
      <c r="W4" s="93"/>
      <c r="X4" s="93"/>
      <c r="Y4" s="93"/>
      <c r="Z4" s="101"/>
      <c r="AA4" s="326"/>
      <c r="AB4" s="107">
        <f t="shared" si="1"/>
        <v>1413.3</v>
      </c>
      <c r="AC4" s="97">
        <f>729+3592</f>
        <v>4321</v>
      </c>
      <c r="AD4" s="59">
        <f t="shared" si="2"/>
        <v>0.3270770655</v>
      </c>
      <c r="AE4" s="109">
        <f t="shared" si="3"/>
        <v>45469</v>
      </c>
      <c r="AF4" s="267"/>
      <c r="AG4" s="268">
        <f t="shared" si="4"/>
        <v>4321</v>
      </c>
    </row>
    <row r="5">
      <c r="A5" s="74">
        <f t="shared" si="5"/>
        <v>45470</v>
      </c>
      <c r="B5" s="93">
        <f>1454.07-65.91-54.02-24.91-33.63-66.34-11.37-35.64-45.8-44.96-84.5-18.98</f>
        <v>968.01</v>
      </c>
      <c r="C5" s="93"/>
      <c r="D5" s="93">
        <f>364.44-130.64</f>
        <v>233.8</v>
      </c>
      <c r="E5" s="93"/>
      <c r="F5" s="93"/>
      <c r="G5" s="93"/>
      <c r="H5" s="160"/>
      <c r="I5" s="93">
        <v>257.24</v>
      </c>
      <c r="J5" s="93"/>
      <c r="K5" s="93"/>
      <c r="L5" s="250">
        <v>188.1</v>
      </c>
      <c r="M5" s="93">
        <v>71.7</v>
      </c>
      <c r="N5" s="93"/>
      <c r="O5" s="93"/>
      <c r="P5" s="101"/>
      <c r="Q5" s="93"/>
      <c r="R5" s="93"/>
      <c r="S5" s="93"/>
      <c r="T5" s="93"/>
      <c r="U5" s="93"/>
      <c r="V5" s="93"/>
      <c r="W5" s="250">
        <v>76.72</v>
      </c>
      <c r="X5" s="93"/>
      <c r="Y5" s="101"/>
      <c r="Z5" s="101"/>
      <c r="AA5" s="327"/>
      <c r="AB5" s="7">
        <f t="shared" si="1"/>
        <v>1795.57</v>
      </c>
      <c r="AC5" s="97">
        <f>567+4438.09</f>
        <v>5005.09</v>
      </c>
      <c r="AD5" s="59">
        <f t="shared" si="2"/>
        <v>0.3587487937</v>
      </c>
      <c r="AE5" s="109">
        <f t="shared" si="3"/>
        <v>45470</v>
      </c>
      <c r="AF5" s="267"/>
      <c r="AG5" s="268">
        <f t="shared" si="4"/>
        <v>5005.09</v>
      </c>
    </row>
    <row r="6">
      <c r="A6" s="74">
        <f t="shared" si="5"/>
        <v>45471</v>
      </c>
      <c r="B6" s="93">
        <f>1384.09-17.64-65.91-37.82-61.81-23.3-24.91-49.45-10.09-718.58-63.11-33.12</f>
        <v>278.35</v>
      </c>
      <c r="C6" s="93">
        <v>696.88</v>
      </c>
      <c r="D6" s="93"/>
      <c r="E6" s="250">
        <v>42.5</v>
      </c>
      <c r="F6" s="93"/>
      <c r="G6" s="93"/>
      <c r="H6" s="160"/>
      <c r="I6" s="93"/>
      <c r="J6" s="250">
        <v>747.9</v>
      </c>
      <c r="K6" s="93"/>
      <c r="L6" s="78"/>
      <c r="M6" s="93"/>
      <c r="N6" s="93">
        <v>108.0</v>
      </c>
      <c r="O6" s="93"/>
      <c r="P6" s="93"/>
      <c r="Q6" s="93"/>
      <c r="R6" s="250">
        <v>253.0</v>
      </c>
      <c r="S6" s="93"/>
      <c r="T6" s="93"/>
      <c r="U6" s="93"/>
      <c r="V6" s="93"/>
      <c r="W6" s="93"/>
      <c r="X6" s="93"/>
      <c r="Y6" s="93"/>
      <c r="Z6" s="93"/>
      <c r="AA6" s="327"/>
      <c r="AB6" s="7">
        <f t="shared" si="1"/>
        <v>2126.63</v>
      </c>
      <c r="AC6" s="97">
        <f>971.8+6086.86</f>
        <v>7058.66</v>
      </c>
      <c r="AD6" s="59">
        <f t="shared" si="2"/>
        <v>0.301279563</v>
      </c>
      <c r="AE6" s="109">
        <f t="shared" si="3"/>
        <v>45471</v>
      </c>
      <c r="AF6" s="267"/>
      <c r="AG6" s="268">
        <f t="shared" si="4"/>
        <v>7058.66</v>
      </c>
    </row>
    <row r="7">
      <c r="A7" s="74">
        <f t="shared" si="5"/>
        <v>45472</v>
      </c>
      <c r="B7" s="93">
        <f>782.71-23.91-60.96-13.43-46.56-46.84-34.82-30.08-41.43</f>
        <v>484.68</v>
      </c>
      <c r="C7" s="93"/>
      <c r="D7" s="93">
        <f>392.56-154.6-79.2-68.46</f>
        <v>90.3</v>
      </c>
      <c r="E7" s="93"/>
      <c r="F7" s="93"/>
      <c r="G7" s="93">
        <v>180.0</v>
      </c>
      <c r="H7" s="93"/>
      <c r="I7" s="93"/>
      <c r="J7" s="93"/>
      <c r="K7" s="93"/>
      <c r="L7" s="93"/>
      <c r="M7" s="93"/>
      <c r="N7" s="93"/>
      <c r="O7" s="93"/>
      <c r="P7" s="101"/>
      <c r="Q7" s="93"/>
      <c r="R7" s="93"/>
      <c r="S7" s="101"/>
      <c r="T7" s="93"/>
      <c r="U7" s="93"/>
      <c r="V7" s="93"/>
      <c r="W7" s="93"/>
      <c r="X7" s="93"/>
      <c r="Y7" s="101"/>
      <c r="Z7" s="93"/>
      <c r="AA7" s="327"/>
      <c r="AB7" s="7">
        <f t="shared" si="1"/>
        <v>754.98</v>
      </c>
      <c r="AC7" s="97">
        <f>2458.4+6239</f>
        <v>8697.4</v>
      </c>
      <c r="AD7" s="59">
        <f t="shared" si="2"/>
        <v>0.08680525214</v>
      </c>
      <c r="AE7" s="109">
        <f t="shared" si="3"/>
        <v>45472</v>
      </c>
      <c r="AF7" s="267"/>
      <c r="AG7" s="268">
        <f t="shared" si="4"/>
        <v>8697.4</v>
      </c>
    </row>
    <row r="8">
      <c r="A8" s="74">
        <f t="shared" si="5"/>
        <v>45473</v>
      </c>
      <c r="B8" s="93"/>
      <c r="C8" s="93"/>
      <c r="D8" s="173">
        <v>634.58</v>
      </c>
      <c r="E8" s="112"/>
      <c r="F8" s="344">
        <v>647.86</v>
      </c>
      <c r="G8" s="10"/>
      <c r="H8" s="93"/>
      <c r="I8" s="93"/>
      <c r="J8" s="93"/>
      <c r="K8" s="93"/>
      <c r="L8" s="112"/>
      <c r="M8" s="112"/>
      <c r="N8" s="93"/>
      <c r="O8" s="93"/>
      <c r="P8" s="112"/>
      <c r="Q8" s="93"/>
      <c r="R8" s="112"/>
      <c r="S8" s="101"/>
      <c r="T8" s="93"/>
      <c r="U8" s="93"/>
      <c r="V8" s="112"/>
      <c r="W8" s="112"/>
      <c r="X8" s="112"/>
      <c r="Y8" s="112"/>
      <c r="Z8" s="112"/>
      <c r="AA8" s="93"/>
      <c r="AB8" s="7">
        <f t="shared" si="1"/>
        <v>1282.44</v>
      </c>
      <c r="AC8" s="97">
        <f>2594+2689</f>
        <v>5283</v>
      </c>
      <c r="AD8" s="59">
        <f t="shared" si="2"/>
        <v>0.2427484384</v>
      </c>
      <c r="AE8" s="109">
        <f t="shared" si="3"/>
        <v>45473</v>
      </c>
      <c r="AF8" s="267"/>
      <c r="AG8" s="268">
        <f t="shared" si="4"/>
        <v>5283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AC9" s="129"/>
      <c r="AE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AC10" s="129"/>
      <c r="AE10" s="106"/>
    </row>
    <row r="11">
      <c r="A11" s="165" t="s">
        <v>194</v>
      </c>
      <c r="B11" s="338">
        <f>88.88+38.94+119.68+16.52+34.82+27.82+20.68+13.64+65.91+24.91+49.45+10.09+23.91+60.96+13.43+34.82+30.08+41.42</f>
        <v>715.96</v>
      </c>
      <c r="C11" s="93"/>
      <c r="D11" s="93">
        <f>130.64+154.6+79.2+68.46+71.6</f>
        <v>504.5</v>
      </c>
      <c r="E11" s="167"/>
      <c r="F11" s="168"/>
      <c r="G11" s="168"/>
      <c r="H11" s="166"/>
      <c r="I11" s="166"/>
      <c r="J11" s="93"/>
      <c r="K11" s="168"/>
      <c r="L11" s="93"/>
      <c r="M11" s="166"/>
      <c r="N11" s="166"/>
      <c r="O11" s="168"/>
      <c r="P11" s="168"/>
      <c r="Q11" s="168"/>
      <c r="R11" s="168"/>
      <c r="S11" s="168"/>
      <c r="T11" s="168"/>
      <c r="U11" s="168"/>
      <c r="V11" s="168"/>
      <c r="W11" s="1"/>
      <c r="X11" s="168"/>
      <c r="Y11" s="168"/>
      <c r="Z11" s="1"/>
      <c r="AA11" s="1"/>
      <c r="AB11" s="1"/>
      <c r="AC11" s="169"/>
      <c r="AD11" s="1"/>
      <c r="AE11" s="170"/>
    </row>
    <row r="12">
      <c r="A12" s="165" t="s">
        <v>195</v>
      </c>
      <c r="B12" s="338">
        <f>35.71+12.99+20.9+54.02+24.91+33.63+66.34+11.37+35.64+45.8+44.96+84.5+18.98+17.64+65.91+37.62+51.51+23.3+718.58+63.11+46.56+46.84</f>
        <v>1560.82</v>
      </c>
      <c r="C12" s="93">
        <f>225+146.16</f>
        <v>371.16</v>
      </c>
      <c r="D12" s="93">
        <v>130.85</v>
      </c>
      <c r="E12" s="93"/>
      <c r="F12" s="93"/>
      <c r="G12" s="93"/>
      <c r="H12" s="93"/>
      <c r="I12" s="93"/>
      <c r="J12" s="93"/>
      <c r="K12" s="93"/>
      <c r="L12" s="93"/>
      <c r="M12" s="93"/>
      <c r="N12" s="166">
        <f>144+156</f>
        <v>300</v>
      </c>
      <c r="O12" s="166"/>
      <c r="P12" s="168"/>
      <c r="Q12" s="168"/>
      <c r="R12" s="168"/>
      <c r="S12" s="168"/>
      <c r="T12" s="166"/>
      <c r="U12" s="168"/>
      <c r="V12" s="168"/>
      <c r="W12" s="1"/>
      <c r="X12" s="93"/>
      <c r="Y12" s="168"/>
      <c r="Z12" s="1"/>
      <c r="AA12" s="1"/>
      <c r="AB12" s="1"/>
      <c r="AC12" s="171"/>
      <c r="AD12" s="1"/>
      <c r="AE12" s="170"/>
    </row>
    <row r="13">
      <c r="A13" s="172" t="s">
        <v>425</v>
      </c>
      <c r="B13" s="166"/>
      <c r="C13" s="93"/>
      <c r="D13" s="93"/>
      <c r="E13" s="168"/>
      <c r="F13" s="166"/>
      <c r="G13" s="166"/>
      <c r="H13" s="168"/>
      <c r="I13" s="168"/>
      <c r="J13" s="93"/>
      <c r="K13" s="168"/>
      <c r="L13" s="168"/>
      <c r="M13" s="168"/>
      <c r="N13" s="166"/>
      <c r="O13" s="168"/>
      <c r="P13" s="168"/>
      <c r="Q13" s="168"/>
      <c r="R13" s="168"/>
      <c r="S13" s="1"/>
      <c r="T13" s="96"/>
      <c r="U13" s="1"/>
      <c r="V13" s="1"/>
      <c r="W13" s="1"/>
      <c r="X13" s="168"/>
      <c r="Y13" s="168"/>
      <c r="Z13" s="1"/>
      <c r="AA13" s="1"/>
      <c r="AB13" s="1"/>
      <c r="AC13" s="174"/>
      <c r="AD13" s="1"/>
      <c r="AE13" s="170"/>
    </row>
    <row r="14">
      <c r="A14" s="165" t="s">
        <v>198</v>
      </c>
      <c r="B14" s="338">
        <f>170.34+43.32+62.82+8.46+33.13</f>
        <v>318.07</v>
      </c>
      <c r="C14" s="93"/>
      <c r="D14" s="93"/>
      <c r="E14" s="168"/>
      <c r="F14" s="166"/>
      <c r="G14" s="166"/>
      <c r="H14" s="168"/>
      <c r="I14" s="168"/>
      <c r="J14" s="93"/>
      <c r="K14" s="168"/>
      <c r="L14" s="168"/>
      <c r="M14" s="168"/>
      <c r="N14" s="166"/>
      <c r="O14" s="168"/>
      <c r="P14" s="168"/>
      <c r="Q14" s="168"/>
      <c r="R14" s="168"/>
      <c r="S14" s="1"/>
      <c r="T14" s="96"/>
      <c r="U14" s="1"/>
      <c r="V14" s="1"/>
      <c r="W14" s="1"/>
      <c r="X14" s="168"/>
      <c r="Y14" s="168"/>
      <c r="Z14" s="1"/>
      <c r="AA14" s="1"/>
      <c r="AB14" s="1"/>
      <c r="AC14" s="174"/>
      <c r="AD14" s="1"/>
      <c r="AE14" s="170"/>
    </row>
    <row r="15">
      <c r="A15" s="91"/>
      <c r="B15" s="92"/>
      <c r="C15" s="79"/>
      <c r="D15" s="79"/>
      <c r="E15" s="79"/>
      <c r="F15" s="78"/>
      <c r="G15" s="78"/>
      <c r="I15" s="78"/>
      <c r="L15" s="79"/>
      <c r="M15" s="79"/>
      <c r="N15" s="79"/>
      <c r="O15" s="79"/>
      <c r="P15" s="79"/>
      <c r="Q15" s="79"/>
      <c r="R15" s="79"/>
      <c r="Y15" s="79"/>
      <c r="AC15" s="131"/>
      <c r="AE15" s="106"/>
    </row>
    <row r="16">
      <c r="A16" s="91"/>
      <c r="B16" s="92"/>
      <c r="C16" s="78"/>
      <c r="D16" s="78"/>
      <c r="E16" s="78"/>
      <c r="F16" s="201"/>
      <c r="G16" s="240"/>
      <c r="H16" s="204"/>
      <c r="I16" s="198"/>
      <c r="J16" s="201"/>
      <c r="K16" s="199"/>
      <c r="L16" s="199"/>
      <c r="M16" s="200"/>
      <c r="N16" s="202"/>
      <c r="O16" s="198"/>
      <c r="P16" s="79"/>
      <c r="Q16" s="198"/>
      <c r="R16" s="198"/>
      <c r="U16" s="198"/>
      <c r="V16" s="198"/>
      <c r="W16" s="198"/>
      <c r="X16" s="199"/>
      <c r="Y16" s="79"/>
      <c r="AC16" s="131"/>
      <c r="AE16" s="106"/>
    </row>
    <row r="17">
      <c r="A17" s="4" t="s">
        <v>22</v>
      </c>
      <c r="B17" s="11">
        <v>10000.0</v>
      </c>
      <c r="C17" s="79"/>
      <c r="D17" s="79"/>
      <c r="E17" s="78"/>
      <c r="F17" s="213"/>
      <c r="G17" s="213"/>
      <c r="H17" s="78"/>
      <c r="K17" s="201"/>
      <c r="L17" s="201"/>
      <c r="M17" s="198"/>
      <c r="N17" s="200"/>
      <c r="O17" s="203"/>
      <c r="P17" s="79"/>
      <c r="Q17" s="198"/>
      <c r="R17" s="198"/>
      <c r="S17" s="204"/>
      <c r="U17" s="198"/>
      <c r="V17" s="198"/>
      <c r="W17" s="198"/>
      <c r="X17" s="201"/>
      <c r="Y17" s="79"/>
      <c r="AC17" s="131"/>
      <c r="AE17" s="106"/>
    </row>
    <row r="18">
      <c r="A18" s="4" t="s">
        <v>23</v>
      </c>
      <c r="B18" s="12">
        <f>SUM(B2:AA8)</f>
        <v>11930.08</v>
      </c>
      <c r="C18" s="192"/>
      <c r="D18" s="177"/>
      <c r="E18" s="78"/>
      <c r="F18" s="213"/>
      <c r="G18" s="213"/>
      <c r="H18" s="204"/>
      <c r="I18" s="203"/>
      <c r="K18" s="191"/>
      <c r="L18" s="201"/>
      <c r="M18" s="201"/>
      <c r="N18" s="201"/>
      <c r="O18" s="203"/>
      <c r="P18" s="79"/>
      <c r="Q18" s="198"/>
      <c r="R18" s="198"/>
      <c r="S18" s="204"/>
      <c r="U18" s="198"/>
      <c r="V18" s="198"/>
      <c r="W18" s="198"/>
      <c r="X18" s="191"/>
      <c r="Y18" s="79"/>
      <c r="AC18" s="131"/>
      <c r="AE18" s="106"/>
    </row>
    <row r="19">
      <c r="A19" s="4" t="s">
        <v>24</v>
      </c>
      <c r="B19" s="12">
        <f> SUM(B17-B18)</f>
        <v>-1930.08</v>
      </c>
      <c r="C19" s="79"/>
      <c r="D19" s="78"/>
      <c r="E19" s="78"/>
      <c r="F19" s="201"/>
      <c r="G19" s="151"/>
      <c r="H19" s="214"/>
      <c r="I19" s="203"/>
      <c r="K19" s="203"/>
      <c r="L19" s="199"/>
      <c r="M19" s="203"/>
      <c r="N19" s="200"/>
      <c r="O19" s="203"/>
      <c r="P19" s="79"/>
      <c r="Q19" s="198"/>
      <c r="R19" s="198"/>
      <c r="S19" s="204"/>
      <c r="U19" s="198"/>
      <c r="V19" s="198"/>
      <c r="W19" s="198"/>
      <c r="X19" s="203"/>
      <c r="Y19" s="79"/>
      <c r="AC19" s="131"/>
      <c r="AE19" s="106"/>
    </row>
    <row r="20">
      <c r="C20" s="79"/>
      <c r="D20" s="79"/>
      <c r="E20" s="78"/>
      <c r="F20" s="213"/>
      <c r="G20" s="201"/>
      <c r="H20" s="214"/>
      <c r="I20" s="345"/>
      <c r="J20" s="203"/>
      <c r="K20" s="203"/>
      <c r="M20" s="201"/>
      <c r="N20" s="198"/>
      <c r="O20" s="203"/>
      <c r="P20" s="79"/>
      <c r="Q20" s="198"/>
      <c r="R20" s="198"/>
      <c r="S20" s="204"/>
      <c r="U20" s="206"/>
      <c r="V20" s="198"/>
      <c r="W20" s="198"/>
      <c r="X20" s="203"/>
      <c r="Y20" s="79"/>
      <c r="AC20" s="131"/>
      <c r="AE20" s="106"/>
    </row>
    <row r="21">
      <c r="A21" s="13" t="s">
        <v>25</v>
      </c>
      <c r="B21" s="14">
        <f>SUM(AC2:AC8)</f>
        <v>40556.48</v>
      </c>
      <c r="C21" s="79"/>
      <c r="D21" s="79"/>
      <c r="E21" s="78"/>
      <c r="F21" s="201"/>
      <c r="G21" s="262"/>
      <c r="H21" s="262"/>
      <c r="I21" s="203"/>
      <c r="J21" s="78"/>
      <c r="K21" s="203"/>
      <c r="L21" s="203"/>
      <c r="M21" s="201"/>
      <c r="N21" s="198"/>
      <c r="O21" s="203"/>
      <c r="P21" s="79"/>
      <c r="Q21" s="198"/>
      <c r="R21" s="198"/>
      <c r="S21" s="204"/>
      <c r="U21" s="198"/>
      <c r="V21" s="198"/>
      <c r="W21" s="198"/>
      <c r="X21" s="203"/>
      <c r="Y21" s="79"/>
      <c r="AC21" s="181"/>
      <c r="AE21" s="106"/>
    </row>
    <row r="22">
      <c r="A22" s="13" t="s">
        <v>26</v>
      </c>
      <c r="B22" s="15">
        <f>B18/B21</f>
        <v>0.2941596509</v>
      </c>
      <c r="C22" s="79"/>
      <c r="D22" s="79"/>
      <c r="E22" s="78"/>
      <c r="F22" s="204"/>
      <c r="G22" s="78"/>
      <c r="H22" s="144"/>
      <c r="I22" s="203"/>
      <c r="J22" s="79"/>
      <c r="K22" s="203"/>
      <c r="L22" s="203"/>
      <c r="M22" s="201"/>
      <c r="N22" s="203"/>
      <c r="O22" s="203"/>
      <c r="P22" s="79"/>
      <c r="Q22" s="198"/>
      <c r="R22" s="198"/>
      <c r="S22" s="204"/>
      <c r="U22" s="198"/>
      <c r="V22" s="198"/>
      <c r="W22" s="198"/>
      <c r="X22" s="203"/>
      <c r="Y22" s="79"/>
      <c r="AC22" s="130"/>
      <c r="AE22" s="106"/>
    </row>
    <row r="23">
      <c r="C23" s="79"/>
      <c r="D23" s="79"/>
      <c r="E23" s="78"/>
      <c r="F23" s="204"/>
      <c r="G23" s="78"/>
      <c r="H23" s="78"/>
      <c r="I23" s="78"/>
      <c r="J23" s="78"/>
      <c r="K23" s="203"/>
      <c r="L23" s="203"/>
      <c r="M23" s="198"/>
      <c r="N23" s="201"/>
      <c r="O23" s="198"/>
      <c r="P23" s="79"/>
      <c r="Q23" s="198"/>
      <c r="R23" s="198"/>
      <c r="S23" s="204"/>
      <c r="U23" s="198"/>
      <c r="V23" s="198"/>
      <c r="W23" s="198"/>
      <c r="X23" s="203"/>
      <c r="Y23" s="79"/>
      <c r="AC23" s="182"/>
      <c r="AE23" s="106"/>
    </row>
    <row r="24">
      <c r="C24" s="79"/>
      <c r="D24" s="79"/>
      <c r="E24" s="79"/>
      <c r="F24" s="204"/>
      <c r="G24" s="78"/>
      <c r="H24" s="78"/>
      <c r="I24" s="212"/>
      <c r="J24" s="263"/>
      <c r="K24" s="203"/>
      <c r="L24" s="203"/>
      <c r="M24" s="198"/>
      <c r="N24" s="201"/>
      <c r="O24" s="198"/>
      <c r="P24" s="79"/>
      <c r="Q24" s="198"/>
      <c r="R24" s="198"/>
      <c r="S24" s="204"/>
      <c r="U24" s="198"/>
      <c r="V24" s="198"/>
      <c r="W24" s="198"/>
      <c r="X24" s="203"/>
      <c r="Y24" s="79"/>
      <c r="AC24" s="130"/>
      <c r="AE24" s="106"/>
    </row>
    <row r="25">
      <c r="A25" s="16" t="s">
        <v>27</v>
      </c>
      <c r="B25" s="17"/>
      <c r="C25" s="114"/>
      <c r="D25" s="114"/>
      <c r="E25" s="115"/>
      <c r="F25" s="204"/>
      <c r="G25" s="78"/>
      <c r="H25" s="78"/>
      <c r="I25" s="78"/>
      <c r="J25" s="79"/>
      <c r="K25" s="203"/>
      <c r="L25" s="217"/>
      <c r="M25" s="208"/>
      <c r="N25" s="198"/>
      <c r="O25" s="200"/>
      <c r="P25" s="79"/>
      <c r="Q25" s="198"/>
      <c r="R25" s="198"/>
      <c r="S25" s="204"/>
      <c r="U25" s="198"/>
      <c r="V25" s="198"/>
      <c r="W25" s="198"/>
      <c r="X25" s="203"/>
      <c r="Y25" s="79"/>
      <c r="AC25" s="130"/>
      <c r="AE25" s="106"/>
    </row>
    <row r="26">
      <c r="A26" s="19" t="s">
        <v>28</v>
      </c>
      <c r="B26" s="20"/>
      <c r="C26" s="116"/>
      <c r="D26" s="116"/>
      <c r="E26" s="117"/>
      <c r="F26" s="204"/>
      <c r="G26" s="78"/>
      <c r="H26" s="78"/>
      <c r="I26" s="79"/>
      <c r="J26" s="79"/>
      <c r="K26" s="203"/>
      <c r="L26" s="203"/>
      <c r="M26" s="209"/>
      <c r="N26" s="201"/>
      <c r="O26" s="198"/>
      <c r="P26" s="79"/>
      <c r="Q26" s="198"/>
      <c r="R26" s="198"/>
      <c r="S26" s="204"/>
      <c r="U26" s="198"/>
      <c r="V26" s="198"/>
      <c r="W26" s="198"/>
      <c r="X26" s="203"/>
      <c r="Y26" s="79"/>
      <c r="AC26" s="130"/>
      <c r="AE26" s="106"/>
    </row>
    <row r="27">
      <c r="A27" s="183" t="s">
        <v>29</v>
      </c>
      <c r="B27" s="184" t="s">
        <v>30</v>
      </c>
      <c r="C27" s="183"/>
      <c r="D27" s="183" t="s">
        <v>170</v>
      </c>
      <c r="E27" s="219" t="s">
        <v>171</v>
      </c>
      <c r="F27" s="204"/>
      <c r="G27" s="79"/>
      <c r="H27" s="79"/>
      <c r="I27" s="79"/>
      <c r="J27" s="79"/>
      <c r="K27" s="203"/>
      <c r="L27" s="201"/>
      <c r="M27" s="209"/>
      <c r="N27" s="198"/>
      <c r="O27" s="198"/>
      <c r="P27" s="79"/>
      <c r="Q27" s="198"/>
      <c r="R27" s="198"/>
      <c r="S27" s="204"/>
      <c r="U27" s="198"/>
      <c r="V27" s="198"/>
      <c r="W27" s="198"/>
      <c r="X27" s="203"/>
      <c r="Y27" s="79"/>
      <c r="Z27" s="195"/>
      <c r="AC27" s="130"/>
      <c r="AE27" s="106"/>
    </row>
    <row r="28">
      <c r="A28" s="234" t="s">
        <v>442</v>
      </c>
      <c r="B28" s="339">
        <f>1793.61-896.8-896.8+1348.79+1382.91</f>
        <v>2731.71</v>
      </c>
      <c r="C28" s="235"/>
      <c r="D28" s="235"/>
      <c r="E28" s="234"/>
      <c r="P28" s="79"/>
      <c r="Q28" s="79"/>
      <c r="R28" s="79"/>
      <c r="Y28" s="79"/>
      <c r="AC28" s="130"/>
      <c r="AE28" s="106"/>
    </row>
    <row r="29">
      <c r="A29" s="245" t="s">
        <v>398</v>
      </c>
      <c r="B29" s="340">
        <f>1160-580</f>
        <v>580</v>
      </c>
      <c r="C29" s="247"/>
      <c r="D29" s="247"/>
      <c r="E29" s="245"/>
      <c r="P29" s="79"/>
      <c r="Q29" s="79"/>
      <c r="R29" s="79"/>
      <c r="Y29" s="79"/>
      <c r="AC29" s="130"/>
      <c r="AE29" s="106"/>
    </row>
    <row r="30">
      <c r="A30" s="221" t="s">
        <v>427</v>
      </c>
      <c r="B30" s="341">
        <v>463.28</v>
      </c>
      <c r="C30" s="223"/>
      <c r="D30" s="223"/>
      <c r="E30" s="223"/>
      <c r="P30" s="79"/>
      <c r="Q30" s="79"/>
      <c r="R30" s="79"/>
      <c r="Y30" s="79"/>
      <c r="AC30" s="130"/>
      <c r="AE30" s="106"/>
    </row>
    <row r="31">
      <c r="A31" s="221" t="s">
        <v>443</v>
      </c>
      <c r="B31" s="341">
        <f>250+366</f>
        <v>616</v>
      </c>
      <c r="C31" s="223"/>
      <c r="D31" s="223"/>
      <c r="E31" s="223"/>
      <c r="P31" s="79"/>
      <c r="Q31" s="79"/>
      <c r="R31" s="79"/>
      <c r="Y31" s="79"/>
      <c r="AC31" s="130"/>
      <c r="AE31" s="106"/>
    </row>
    <row r="32">
      <c r="A32" s="221" t="s">
        <v>430</v>
      </c>
      <c r="B32" s="341">
        <v>218.23</v>
      </c>
      <c r="C32" s="223"/>
      <c r="D32" s="223"/>
      <c r="E32" s="223"/>
      <c r="P32" s="79"/>
      <c r="Q32" s="79"/>
      <c r="R32" s="79"/>
      <c r="Y32" s="79"/>
      <c r="AC32" s="130"/>
      <c r="AE32" s="106"/>
    </row>
    <row r="33">
      <c r="A33" s="173" t="s">
        <v>444</v>
      </c>
      <c r="B33" s="344">
        <v>647.86</v>
      </c>
      <c r="C33" s="241"/>
      <c r="D33" s="241"/>
      <c r="E33" s="241"/>
      <c r="P33" s="79"/>
      <c r="Q33" s="79"/>
      <c r="R33" s="79"/>
      <c r="Y33" s="79"/>
      <c r="AC33" s="130"/>
      <c r="AE33" s="106"/>
    </row>
    <row r="34">
      <c r="A34" s="173" t="s">
        <v>445</v>
      </c>
      <c r="B34" s="344">
        <f>67+396+284.9</f>
        <v>747.9</v>
      </c>
      <c r="C34" s="241"/>
      <c r="D34" s="241"/>
      <c r="E34" s="241"/>
      <c r="P34" s="79"/>
      <c r="Q34" s="79"/>
      <c r="R34" s="79"/>
      <c r="Y34" s="79"/>
      <c r="AC34" s="130"/>
      <c r="AE34" s="106"/>
    </row>
    <row r="35">
      <c r="A35" s="173" t="s">
        <v>446</v>
      </c>
      <c r="B35" s="344">
        <v>325.92</v>
      </c>
      <c r="C35" s="241"/>
      <c r="D35" s="241"/>
      <c r="E35" s="241"/>
      <c r="P35" s="79"/>
      <c r="Q35" s="79"/>
      <c r="R35" s="79"/>
      <c r="Y35" s="79"/>
      <c r="AC35" s="130"/>
      <c r="AE35" s="106"/>
    </row>
    <row r="36">
      <c r="C36" s="79"/>
      <c r="D36" s="79"/>
      <c r="E36" s="79"/>
      <c r="P36" s="79"/>
      <c r="Q36" s="79"/>
      <c r="R36" s="79"/>
      <c r="Y36" s="79"/>
      <c r="AC36" s="130"/>
      <c r="AE36" s="106"/>
    </row>
    <row r="37">
      <c r="A37" s="274"/>
      <c r="B37" s="275" t="s">
        <v>315</v>
      </c>
      <c r="F37" s="274"/>
      <c r="G37" s="274"/>
      <c r="H37" s="274"/>
      <c r="I37" s="274"/>
      <c r="J37" s="274"/>
      <c r="K37" s="274"/>
      <c r="L37" s="274"/>
      <c r="M37" s="274"/>
      <c r="N37" s="274"/>
      <c r="O37" s="274"/>
      <c r="P37" s="274"/>
      <c r="Q37" s="274"/>
      <c r="R37" s="274"/>
      <c r="S37" s="274"/>
      <c r="T37" s="274"/>
      <c r="U37" s="274"/>
      <c r="V37" s="274"/>
      <c r="W37" s="274"/>
      <c r="X37" s="274"/>
      <c r="Y37" s="274"/>
      <c r="Z37" s="274"/>
      <c r="AA37" s="274"/>
      <c r="AB37" s="274"/>
      <c r="AC37" s="276"/>
      <c r="AD37" s="274"/>
      <c r="AE37" s="277"/>
      <c r="AF37" s="274"/>
      <c r="AG37" s="274"/>
      <c r="AH37" s="274"/>
    </row>
    <row r="38">
      <c r="A38" s="16" t="s">
        <v>316</v>
      </c>
      <c r="B38" s="17"/>
      <c r="C38" s="114"/>
      <c r="D38" s="114"/>
      <c r="E38" s="115"/>
      <c r="P38" s="79"/>
      <c r="Q38" s="79"/>
      <c r="R38" s="79"/>
      <c r="Y38" s="79"/>
      <c r="AC38" s="130"/>
      <c r="AE38" s="106"/>
    </row>
    <row r="39">
      <c r="A39" s="19" t="s">
        <v>317</v>
      </c>
      <c r="B39" s="20"/>
      <c r="C39" s="116"/>
      <c r="D39" s="116"/>
      <c r="E39" s="117"/>
      <c r="P39" s="79"/>
      <c r="Q39" s="79"/>
      <c r="R39" s="79"/>
      <c r="Y39" s="79"/>
      <c r="AC39" s="130"/>
      <c r="AE39" s="106"/>
    </row>
    <row r="40">
      <c r="A40" s="278" t="s">
        <v>318</v>
      </c>
      <c r="B40" s="279" t="s">
        <v>319</v>
      </c>
      <c r="C40" s="280" t="s">
        <v>285</v>
      </c>
      <c r="D40" s="280" t="s">
        <v>30</v>
      </c>
      <c r="E40" s="281" t="s">
        <v>320</v>
      </c>
      <c r="F40" s="281" t="s">
        <v>321</v>
      </c>
      <c r="P40" s="79"/>
      <c r="Q40" s="79"/>
      <c r="R40" s="79"/>
      <c r="Y40" s="79"/>
      <c r="AC40" s="130"/>
      <c r="AE40" s="106"/>
    </row>
    <row r="41">
      <c r="A41" s="289" t="s">
        <v>372</v>
      </c>
      <c r="B41" s="290">
        <v>45433.0</v>
      </c>
      <c r="C41" s="173" t="s">
        <v>325</v>
      </c>
      <c r="D41" s="180">
        <v>1269.16</v>
      </c>
      <c r="E41" s="342" t="s">
        <v>431</v>
      </c>
      <c r="F41" s="343">
        <f>D41/2</f>
        <v>634.58</v>
      </c>
      <c r="P41" s="79"/>
      <c r="Q41" s="79"/>
      <c r="R41" s="79"/>
      <c r="Y41" s="79"/>
      <c r="AC41" s="130"/>
      <c r="AE41" s="106"/>
    </row>
    <row r="42">
      <c r="A42" s="304" t="s">
        <v>399</v>
      </c>
      <c r="B42" s="305">
        <v>45440.0</v>
      </c>
      <c r="C42" s="234" t="s">
        <v>325</v>
      </c>
      <c r="D42" s="178">
        <v>1273.23</v>
      </c>
      <c r="E42" s="308">
        <v>45468.0</v>
      </c>
      <c r="F42" s="235"/>
      <c r="P42" s="79"/>
      <c r="Q42" s="79"/>
      <c r="R42" s="79"/>
      <c r="Y42" s="79"/>
      <c r="AC42" s="130"/>
      <c r="AE42" s="106"/>
    </row>
    <row r="43">
      <c r="A43" s="304" t="s">
        <v>413</v>
      </c>
      <c r="B43" s="305">
        <v>45447.0</v>
      </c>
      <c r="C43" s="234" t="s">
        <v>325</v>
      </c>
      <c r="D43" s="178">
        <v>1208.3</v>
      </c>
      <c r="E43" s="308">
        <v>45475.0</v>
      </c>
      <c r="F43" s="235"/>
      <c r="P43" s="79"/>
      <c r="Q43" s="79"/>
      <c r="R43" s="79"/>
      <c r="Y43" s="79"/>
      <c r="AC43" s="130"/>
      <c r="AE43" s="106"/>
    </row>
    <row r="44">
      <c r="A44" s="304" t="s">
        <v>421</v>
      </c>
      <c r="B44" s="305">
        <v>45454.0</v>
      </c>
      <c r="C44" s="234" t="s">
        <v>325</v>
      </c>
      <c r="D44" s="178">
        <v>1279.46</v>
      </c>
      <c r="E44" s="308">
        <v>45482.0</v>
      </c>
      <c r="F44" s="235"/>
      <c r="P44" s="79"/>
      <c r="Q44" s="79"/>
      <c r="R44" s="79"/>
      <c r="Y44" s="79"/>
      <c r="AC44" s="130"/>
      <c r="AE44" s="106"/>
    </row>
    <row r="45">
      <c r="A45" s="304" t="s">
        <v>432</v>
      </c>
      <c r="B45" s="305">
        <v>45461.0</v>
      </c>
      <c r="C45" s="234" t="s">
        <v>325</v>
      </c>
      <c r="D45" s="178">
        <v>1211.18</v>
      </c>
      <c r="E45" s="308">
        <v>45489.0</v>
      </c>
      <c r="F45" s="235"/>
      <c r="P45" s="79"/>
      <c r="Q45" s="79"/>
      <c r="R45" s="79"/>
      <c r="Y45" s="79"/>
      <c r="AC45" s="130"/>
      <c r="AE45" s="106"/>
    </row>
    <row r="46">
      <c r="A46" s="304" t="s">
        <v>447</v>
      </c>
      <c r="B46" s="305">
        <v>45468.0</v>
      </c>
      <c r="C46" s="234" t="s">
        <v>325</v>
      </c>
      <c r="D46" s="178">
        <v>1263.05</v>
      </c>
      <c r="E46" s="308">
        <v>45496.0</v>
      </c>
      <c r="F46" s="235"/>
      <c r="P46" s="79"/>
      <c r="Q46" s="79"/>
      <c r="R46" s="79"/>
      <c r="Y46" s="79"/>
      <c r="AC46" s="130"/>
      <c r="AE46" s="106"/>
    </row>
    <row r="47">
      <c r="A47" s="32" t="s">
        <v>406</v>
      </c>
      <c r="B47" s="283">
        <v>45440.0</v>
      </c>
      <c r="C47" s="166" t="s">
        <v>111</v>
      </c>
      <c r="D47" s="93">
        <f>1160-580</f>
        <v>580</v>
      </c>
      <c r="E47" s="285"/>
      <c r="F47" s="6"/>
      <c r="P47" s="79"/>
      <c r="Q47" s="79"/>
      <c r="R47" s="79"/>
      <c r="Y47" s="79"/>
      <c r="AC47" s="130"/>
      <c r="AE47" s="106"/>
    </row>
    <row r="48">
      <c r="A48" s="282" t="s">
        <v>416</v>
      </c>
      <c r="B48" s="283">
        <v>45450.0</v>
      </c>
      <c r="C48" s="166" t="s">
        <v>379</v>
      </c>
      <c r="D48" s="93">
        <v>1419.79</v>
      </c>
      <c r="E48" s="291"/>
      <c r="F48" s="6"/>
      <c r="P48" s="79"/>
      <c r="Q48" s="79"/>
      <c r="R48" s="79"/>
      <c r="Y48" s="79"/>
      <c r="AC48" s="130"/>
      <c r="AE48" s="106"/>
    </row>
    <row r="49">
      <c r="A49" s="282" t="s">
        <v>433</v>
      </c>
      <c r="B49" s="283">
        <v>45461.0</v>
      </c>
      <c r="C49" s="166" t="s">
        <v>434</v>
      </c>
      <c r="D49" s="93">
        <v>458.28</v>
      </c>
      <c r="E49" s="337">
        <v>45475.0</v>
      </c>
      <c r="F49" s="6"/>
      <c r="P49" s="79"/>
      <c r="Q49" s="79"/>
      <c r="R49" s="79"/>
      <c r="Y49" s="79"/>
      <c r="AC49" s="130"/>
      <c r="AE49" s="106"/>
    </row>
    <row r="50">
      <c r="A50" s="282" t="s">
        <v>435</v>
      </c>
      <c r="B50" s="283">
        <v>45461.0</v>
      </c>
      <c r="C50" s="166" t="s">
        <v>379</v>
      </c>
      <c r="D50" s="93">
        <v>1455.7</v>
      </c>
      <c r="E50" s="337">
        <v>45496.0</v>
      </c>
      <c r="F50" s="6"/>
      <c r="P50" s="79"/>
      <c r="Q50" s="79"/>
      <c r="R50" s="79"/>
      <c r="Y50" s="79"/>
      <c r="AC50" s="130"/>
      <c r="AE50" s="106"/>
    </row>
    <row r="51">
      <c r="A51" s="282" t="s">
        <v>436</v>
      </c>
      <c r="B51" s="283">
        <v>45462.0</v>
      </c>
      <c r="C51" s="166" t="s">
        <v>437</v>
      </c>
      <c r="D51" s="93">
        <v>2341.92</v>
      </c>
      <c r="E51" s="291"/>
      <c r="F51" s="6"/>
      <c r="P51" s="79"/>
      <c r="Q51" s="79"/>
      <c r="R51" s="79"/>
      <c r="Y51" s="79"/>
      <c r="AC51" s="130"/>
      <c r="AE51" s="106"/>
    </row>
    <row r="52">
      <c r="A52" s="346" t="s">
        <v>438</v>
      </c>
      <c r="B52" s="347">
        <v>45464.0</v>
      </c>
      <c r="C52" s="329" t="s">
        <v>437</v>
      </c>
      <c r="D52" s="348">
        <v>1204.97</v>
      </c>
      <c r="E52" s="349"/>
      <c r="P52" s="79"/>
      <c r="Q52" s="79"/>
      <c r="R52" s="79"/>
      <c r="Y52" s="79"/>
      <c r="AC52" s="130"/>
      <c r="AE52" s="106"/>
    </row>
    <row r="53">
      <c r="A53" s="346" t="s">
        <v>439</v>
      </c>
      <c r="B53" s="347">
        <v>45464.0</v>
      </c>
      <c r="C53" s="329" t="s">
        <v>408</v>
      </c>
      <c r="D53" s="348">
        <v>250.0</v>
      </c>
      <c r="E53" s="349" t="s">
        <v>440</v>
      </c>
      <c r="F53" s="45">
        <f>D53/2</f>
        <v>125</v>
      </c>
      <c r="P53" s="79"/>
      <c r="Q53" s="79"/>
      <c r="R53" s="79"/>
      <c r="Y53" s="79"/>
      <c r="AC53" s="130"/>
      <c r="AE53" s="106"/>
    </row>
    <row r="54">
      <c r="A54" s="282" t="s">
        <v>441</v>
      </c>
      <c r="B54" s="283">
        <v>45465.0</v>
      </c>
      <c r="C54" s="166" t="s">
        <v>159</v>
      </c>
      <c r="D54" s="93">
        <v>218.23</v>
      </c>
      <c r="E54" s="337">
        <v>45492.0</v>
      </c>
      <c r="P54" s="79"/>
      <c r="Q54" s="79"/>
      <c r="R54" s="79"/>
      <c r="Y54" s="79"/>
      <c r="AC54" s="130"/>
      <c r="AE54" s="106"/>
    </row>
    <row r="55">
      <c r="A55" s="282" t="s">
        <v>448</v>
      </c>
      <c r="B55" s="283">
        <v>45469.0</v>
      </c>
      <c r="C55" s="166" t="s">
        <v>408</v>
      </c>
      <c r="D55" s="93">
        <v>364.0</v>
      </c>
      <c r="E55" s="291" t="s">
        <v>359</v>
      </c>
      <c r="P55" s="79"/>
      <c r="Q55" s="79"/>
      <c r="R55" s="79"/>
      <c r="Y55" s="79"/>
      <c r="AC55" s="130"/>
      <c r="AE55" s="106"/>
    </row>
    <row r="56">
      <c r="A56" s="282" t="s">
        <v>449</v>
      </c>
      <c r="B56" s="283">
        <v>45469.0</v>
      </c>
      <c r="C56" s="166" t="s">
        <v>437</v>
      </c>
      <c r="D56" s="93">
        <v>2389.23</v>
      </c>
      <c r="E56" s="291"/>
      <c r="P56" s="79"/>
      <c r="Q56" s="79"/>
      <c r="R56" s="79"/>
      <c r="Y56" s="79"/>
      <c r="AC56" s="130"/>
      <c r="AE56" s="106"/>
    </row>
    <row r="57">
      <c r="A57" s="282" t="s">
        <v>450</v>
      </c>
      <c r="B57" s="283">
        <v>45469.0</v>
      </c>
      <c r="C57" s="166" t="s">
        <v>355</v>
      </c>
      <c r="D57" s="93">
        <v>647.86</v>
      </c>
      <c r="E57" s="337">
        <v>45483.0</v>
      </c>
      <c r="P57" s="79"/>
      <c r="Q57" s="79"/>
      <c r="R57" s="79"/>
      <c r="Y57" s="79"/>
      <c r="AC57" s="130"/>
      <c r="AE57" s="106"/>
    </row>
    <row r="58">
      <c r="P58" s="79"/>
      <c r="Q58" s="79"/>
      <c r="R58" s="79"/>
      <c r="Y58" s="79"/>
      <c r="AC58" s="130"/>
      <c r="AE58" s="106"/>
    </row>
    <row r="59">
      <c r="P59" s="79"/>
      <c r="Q59" s="79"/>
      <c r="R59" s="79"/>
      <c r="Y59" s="79"/>
      <c r="AC59" s="130"/>
      <c r="AE59" s="106"/>
    </row>
    <row r="60">
      <c r="A60" s="282"/>
      <c r="B60" s="283"/>
      <c r="C60" s="166"/>
      <c r="D60" s="93"/>
      <c r="E60" s="291"/>
      <c r="P60" s="79"/>
      <c r="Q60" s="79"/>
      <c r="R60" s="79"/>
      <c r="Y60" s="79"/>
      <c r="AC60" s="130"/>
      <c r="AE60" s="106"/>
    </row>
    <row r="61">
      <c r="A61" s="282"/>
      <c r="B61" s="283"/>
      <c r="C61" s="166"/>
      <c r="D61" s="93"/>
      <c r="E61" s="291"/>
      <c r="P61" s="79"/>
      <c r="Q61" s="79"/>
      <c r="R61" s="79"/>
      <c r="Y61" s="79"/>
      <c r="AC61" s="130"/>
      <c r="AE61" s="106"/>
    </row>
    <row r="62">
      <c r="A62" s="282"/>
      <c r="B62" s="283"/>
      <c r="C62" s="166"/>
      <c r="D62" s="93"/>
      <c r="E62" s="291"/>
      <c r="P62" s="79"/>
      <c r="Q62" s="79"/>
      <c r="R62" s="79"/>
      <c r="Y62" s="79"/>
      <c r="AC62" s="130"/>
      <c r="AE62" s="106"/>
    </row>
    <row r="63">
      <c r="A63" s="282"/>
      <c r="B63" s="283"/>
      <c r="C63" s="166"/>
      <c r="D63" s="93"/>
      <c r="E63" s="291"/>
      <c r="P63" s="79"/>
      <c r="Q63" s="79"/>
      <c r="R63" s="79"/>
      <c r="Y63" s="79"/>
      <c r="AC63" s="130"/>
      <c r="AE63" s="106"/>
    </row>
    <row r="64">
      <c r="A64" s="282"/>
      <c r="B64" s="283"/>
      <c r="C64" s="166"/>
      <c r="D64" s="93"/>
      <c r="E64" s="291"/>
      <c r="P64" s="79"/>
      <c r="Q64" s="79"/>
      <c r="R64" s="79"/>
      <c r="Y64" s="79"/>
      <c r="AC64" s="130"/>
      <c r="AE64" s="106"/>
    </row>
    <row r="65">
      <c r="A65" s="282"/>
      <c r="B65" s="283"/>
      <c r="C65" s="166"/>
      <c r="D65" s="93"/>
      <c r="E65" s="291"/>
      <c r="P65" s="79"/>
      <c r="Q65" s="79"/>
      <c r="R65" s="79"/>
      <c r="Y65" s="79"/>
      <c r="AC65" s="130"/>
      <c r="AE65" s="106"/>
    </row>
    <row r="66">
      <c r="A66" s="282"/>
      <c r="B66" s="283"/>
      <c r="C66" s="166"/>
      <c r="D66" s="93"/>
      <c r="E66" s="291"/>
      <c r="P66" s="79"/>
      <c r="Q66" s="79"/>
      <c r="R66" s="79"/>
      <c r="Y66" s="79"/>
      <c r="AC66" s="130"/>
      <c r="AE66" s="106"/>
    </row>
    <row r="67">
      <c r="C67" s="79"/>
      <c r="D67" s="79"/>
      <c r="E67" s="79"/>
      <c r="P67" s="79"/>
      <c r="Q67" s="79"/>
      <c r="R67" s="79"/>
      <c r="Y67" s="79"/>
      <c r="AC67" s="130"/>
      <c r="AE67" s="106"/>
    </row>
    <row r="68">
      <c r="C68" s="79"/>
      <c r="D68" s="79"/>
      <c r="E68" s="79"/>
      <c r="P68" s="79"/>
      <c r="Q68" s="79"/>
      <c r="R68" s="79"/>
      <c r="Y68" s="79"/>
      <c r="AC68" s="130"/>
      <c r="AE68" s="106"/>
    </row>
    <row r="69">
      <c r="C69" s="79"/>
      <c r="D69" s="79"/>
      <c r="E69" s="79"/>
      <c r="P69" s="79"/>
      <c r="Q69" s="79"/>
      <c r="R69" s="79"/>
      <c r="Y69" s="79"/>
      <c r="AC69" s="130"/>
      <c r="AE69" s="106"/>
    </row>
    <row r="70">
      <c r="C70" s="79"/>
      <c r="D70" s="79"/>
      <c r="E70" s="79"/>
      <c r="P70" s="79"/>
      <c r="Q70" s="79"/>
      <c r="R70" s="79"/>
      <c r="Y70" s="79"/>
      <c r="AC70" s="130"/>
      <c r="AE70" s="106"/>
    </row>
    <row r="71">
      <c r="C71" s="79"/>
      <c r="D71" s="79"/>
      <c r="E71" s="79"/>
      <c r="P71" s="79"/>
      <c r="Q71" s="79"/>
      <c r="R71" s="79"/>
      <c r="Y71" s="79"/>
      <c r="AC71" s="130"/>
      <c r="AE71" s="106"/>
    </row>
    <row r="72">
      <c r="C72" s="79"/>
      <c r="D72" s="79"/>
      <c r="E72" s="79"/>
      <c r="P72" s="79"/>
      <c r="Q72" s="79"/>
      <c r="R72" s="79"/>
      <c r="Y72" s="79"/>
      <c r="AC72" s="130"/>
      <c r="AE72" s="106"/>
    </row>
    <row r="73">
      <c r="C73" s="79"/>
      <c r="D73" s="79"/>
      <c r="E73" s="79"/>
      <c r="P73" s="79"/>
      <c r="Q73" s="79"/>
      <c r="R73" s="79"/>
      <c r="Y73" s="79"/>
      <c r="AC73" s="130"/>
      <c r="AE73" s="106"/>
    </row>
    <row r="74">
      <c r="C74" s="79"/>
      <c r="D74" s="79"/>
      <c r="E74" s="79"/>
      <c r="P74" s="79"/>
      <c r="Q74" s="79"/>
      <c r="R74" s="79"/>
      <c r="Y74" s="79"/>
      <c r="AC74" s="130"/>
      <c r="AE74" s="106"/>
    </row>
    <row r="75">
      <c r="C75" s="79"/>
      <c r="D75" s="79"/>
      <c r="E75" s="79"/>
      <c r="P75" s="79"/>
      <c r="Q75" s="79"/>
      <c r="R75" s="79"/>
      <c r="Y75" s="79"/>
      <c r="AC75" s="130"/>
      <c r="AE75" s="106"/>
    </row>
    <row r="76">
      <c r="C76" s="79"/>
      <c r="D76" s="79"/>
      <c r="E76" s="79"/>
      <c r="P76" s="79"/>
      <c r="Q76" s="79"/>
      <c r="R76" s="79"/>
      <c r="Y76" s="79"/>
      <c r="AC76" s="130"/>
      <c r="AE76" s="106"/>
    </row>
    <row r="77">
      <c r="C77" s="79"/>
      <c r="D77" s="79"/>
      <c r="E77" s="79"/>
      <c r="P77" s="79"/>
      <c r="Q77" s="79"/>
      <c r="R77" s="79"/>
      <c r="Y77" s="79"/>
      <c r="AC77" s="130"/>
      <c r="AE77" s="106"/>
    </row>
    <row r="78">
      <c r="C78" s="79"/>
      <c r="D78" s="79"/>
      <c r="E78" s="79"/>
      <c r="P78" s="79"/>
      <c r="Q78" s="79"/>
      <c r="R78" s="79"/>
      <c r="Y78" s="79"/>
      <c r="AC78" s="130"/>
      <c r="AE78" s="106"/>
    </row>
    <row r="79">
      <c r="C79" s="79"/>
      <c r="D79" s="79"/>
      <c r="E79" s="79"/>
      <c r="P79" s="79"/>
      <c r="Q79" s="79"/>
      <c r="R79" s="79"/>
      <c r="Y79" s="79"/>
      <c r="AC79" s="130"/>
      <c r="AE79" s="106"/>
    </row>
    <row r="80">
      <c r="C80" s="79"/>
      <c r="D80" s="79"/>
      <c r="E80" s="79"/>
      <c r="P80" s="79"/>
      <c r="Q80" s="79"/>
      <c r="R80" s="79"/>
      <c r="Y80" s="79"/>
      <c r="AC80" s="130"/>
      <c r="AE80" s="106"/>
    </row>
    <row r="81">
      <c r="C81" s="79"/>
      <c r="D81" s="79"/>
      <c r="E81" s="79"/>
      <c r="P81" s="79"/>
      <c r="Q81" s="79"/>
      <c r="R81" s="79"/>
      <c r="Y81" s="79"/>
      <c r="AC81" s="130"/>
      <c r="AE81" s="106"/>
    </row>
    <row r="82">
      <c r="C82" s="79"/>
      <c r="D82" s="79"/>
      <c r="E82" s="79"/>
      <c r="P82" s="79"/>
      <c r="Q82" s="79"/>
      <c r="R82" s="79"/>
      <c r="Y82" s="79"/>
      <c r="AC82" s="130"/>
      <c r="AE82" s="106"/>
    </row>
    <row r="83">
      <c r="C83" s="79"/>
      <c r="D83" s="79"/>
      <c r="E83" s="79"/>
      <c r="P83" s="79"/>
      <c r="Q83" s="79"/>
      <c r="R83" s="79"/>
      <c r="Y83" s="79"/>
      <c r="AC83" s="130"/>
      <c r="AE83" s="106"/>
    </row>
    <row r="84">
      <c r="C84" s="79"/>
      <c r="D84" s="79"/>
      <c r="E84" s="79"/>
      <c r="P84" s="79"/>
      <c r="Q84" s="79"/>
      <c r="R84" s="79"/>
      <c r="Y84" s="79"/>
      <c r="AC84" s="130"/>
      <c r="AE84" s="106"/>
    </row>
    <row r="85">
      <c r="C85" s="79"/>
      <c r="D85" s="79"/>
      <c r="E85" s="79"/>
      <c r="P85" s="79"/>
      <c r="Q85" s="79"/>
      <c r="R85" s="79"/>
      <c r="Y85" s="79"/>
      <c r="AC85" s="130"/>
      <c r="AE85" s="106"/>
    </row>
    <row r="86">
      <c r="C86" s="79"/>
      <c r="D86" s="79"/>
      <c r="E86" s="79"/>
      <c r="P86" s="79"/>
      <c r="Q86" s="79"/>
      <c r="R86" s="79"/>
      <c r="Y86" s="79"/>
      <c r="AC86" s="130"/>
      <c r="AE86" s="106"/>
    </row>
    <row r="87">
      <c r="C87" s="79"/>
      <c r="D87" s="79"/>
      <c r="E87" s="79"/>
      <c r="P87" s="79"/>
      <c r="Q87" s="79"/>
      <c r="R87" s="79"/>
      <c r="Y87" s="79"/>
      <c r="AC87" s="130"/>
      <c r="AE87" s="106"/>
    </row>
    <row r="88">
      <c r="C88" s="79"/>
      <c r="D88" s="79"/>
      <c r="E88" s="79"/>
      <c r="P88" s="79"/>
      <c r="Q88" s="79"/>
      <c r="R88" s="79"/>
      <c r="Y88" s="79"/>
      <c r="AC88" s="130"/>
      <c r="AE88" s="106"/>
    </row>
    <row r="89">
      <c r="C89" s="79"/>
      <c r="D89" s="79"/>
      <c r="E89" s="79"/>
      <c r="P89" s="79"/>
      <c r="Q89" s="79"/>
      <c r="R89" s="79"/>
      <c r="Y89" s="79"/>
      <c r="AC89" s="130"/>
      <c r="AE89" s="106"/>
    </row>
    <row r="90">
      <c r="C90" s="79"/>
      <c r="D90" s="79"/>
      <c r="E90" s="79"/>
      <c r="P90" s="79"/>
      <c r="Q90" s="79"/>
      <c r="R90" s="79"/>
      <c r="Y90" s="79"/>
      <c r="AC90" s="130"/>
      <c r="AE90" s="106"/>
    </row>
    <row r="91">
      <c r="C91" s="79"/>
      <c r="D91" s="79"/>
      <c r="E91" s="79"/>
      <c r="P91" s="79"/>
      <c r="Q91" s="79"/>
      <c r="R91" s="79"/>
      <c r="Y91" s="79"/>
      <c r="AC91" s="130"/>
      <c r="AE91" s="106"/>
    </row>
    <row r="92">
      <c r="C92" s="79"/>
      <c r="D92" s="79"/>
      <c r="E92" s="79"/>
      <c r="P92" s="79"/>
      <c r="Q92" s="79"/>
      <c r="R92" s="79"/>
      <c r="Y92" s="79"/>
      <c r="AC92" s="130"/>
      <c r="AE92" s="106"/>
    </row>
    <row r="93">
      <c r="C93" s="79"/>
      <c r="D93" s="79"/>
      <c r="E93" s="79"/>
      <c r="P93" s="79"/>
      <c r="Q93" s="79"/>
      <c r="R93" s="79"/>
      <c r="Y93" s="79"/>
      <c r="AC93" s="130"/>
      <c r="AE93" s="106"/>
    </row>
    <row r="94">
      <c r="C94" s="79"/>
      <c r="D94" s="79"/>
      <c r="E94" s="79"/>
      <c r="P94" s="79"/>
      <c r="Q94" s="79"/>
      <c r="R94" s="79"/>
      <c r="Y94" s="79"/>
      <c r="AC94" s="130"/>
      <c r="AE94" s="106"/>
    </row>
    <row r="95">
      <c r="C95" s="79"/>
      <c r="D95" s="79"/>
      <c r="E95" s="79"/>
      <c r="P95" s="79"/>
      <c r="Q95" s="79"/>
      <c r="R95" s="79"/>
      <c r="Y95" s="79"/>
      <c r="AC95" s="130"/>
      <c r="AE95" s="106"/>
    </row>
    <row r="96">
      <c r="C96" s="79"/>
      <c r="D96" s="79"/>
      <c r="E96" s="79"/>
      <c r="P96" s="79"/>
      <c r="Q96" s="79"/>
      <c r="R96" s="79"/>
      <c r="Y96" s="79"/>
      <c r="AC96" s="130"/>
      <c r="AE96" s="106"/>
    </row>
    <row r="97">
      <c r="C97" s="79"/>
      <c r="D97" s="79"/>
      <c r="E97" s="79"/>
      <c r="P97" s="79"/>
      <c r="Q97" s="79"/>
      <c r="R97" s="79"/>
      <c r="Y97" s="79"/>
      <c r="AC97" s="130"/>
      <c r="AE97" s="106"/>
    </row>
    <row r="98">
      <c r="C98" s="79"/>
      <c r="D98" s="79"/>
      <c r="E98" s="79"/>
      <c r="P98" s="79"/>
      <c r="Q98" s="79"/>
      <c r="R98" s="79"/>
      <c r="Y98" s="79"/>
      <c r="AC98" s="130"/>
      <c r="AE98" s="106"/>
    </row>
    <row r="99">
      <c r="C99" s="79"/>
      <c r="D99" s="79"/>
      <c r="E99" s="79"/>
      <c r="P99" s="79"/>
      <c r="Q99" s="79"/>
      <c r="R99" s="79"/>
      <c r="Y99" s="79"/>
      <c r="AC99" s="130"/>
      <c r="AE99" s="106"/>
    </row>
    <row r="100">
      <c r="C100" s="79"/>
      <c r="D100" s="79"/>
      <c r="E100" s="79"/>
      <c r="P100" s="79"/>
      <c r="Q100" s="79"/>
      <c r="R100" s="79"/>
      <c r="Y100" s="79"/>
      <c r="AC100" s="130"/>
      <c r="AE100" s="106"/>
    </row>
    <row r="101">
      <c r="C101" s="79"/>
      <c r="D101" s="79"/>
      <c r="E101" s="79"/>
      <c r="P101" s="79"/>
      <c r="Q101" s="79"/>
      <c r="R101" s="79"/>
      <c r="Y101" s="79"/>
      <c r="AC101" s="130"/>
      <c r="AE101" s="106"/>
    </row>
    <row r="102">
      <c r="C102" s="79"/>
      <c r="D102" s="79"/>
      <c r="E102" s="79"/>
      <c r="P102" s="79"/>
      <c r="Q102" s="79"/>
      <c r="R102" s="79"/>
      <c r="Y102" s="79"/>
      <c r="AC102" s="130"/>
      <c r="AE102" s="106"/>
    </row>
    <row r="103">
      <c r="C103" s="79"/>
      <c r="D103" s="79"/>
      <c r="E103" s="79"/>
      <c r="P103" s="79"/>
      <c r="Q103" s="79"/>
      <c r="R103" s="79"/>
      <c r="Y103" s="79"/>
      <c r="AC103" s="130"/>
      <c r="AE103" s="106"/>
    </row>
    <row r="104">
      <c r="C104" s="79"/>
      <c r="D104" s="79"/>
      <c r="E104" s="79"/>
      <c r="P104" s="79"/>
      <c r="Q104" s="79"/>
      <c r="R104" s="79"/>
      <c r="Y104" s="79"/>
      <c r="AC104" s="130"/>
      <c r="AE104" s="106"/>
    </row>
    <row r="105">
      <c r="C105" s="79"/>
      <c r="D105" s="79"/>
      <c r="E105" s="79"/>
      <c r="P105" s="79"/>
      <c r="Q105" s="79"/>
      <c r="R105" s="79"/>
      <c r="Y105" s="79"/>
      <c r="AC105" s="130"/>
      <c r="AE105" s="106"/>
    </row>
    <row r="106">
      <c r="C106" s="79"/>
      <c r="D106" s="79"/>
      <c r="E106" s="79"/>
      <c r="P106" s="79"/>
      <c r="Q106" s="79"/>
      <c r="R106" s="79"/>
      <c r="Y106" s="79"/>
      <c r="AC106" s="130"/>
      <c r="AE106" s="106"/>
    </row>
    <row r="107">
      <c r="C107" s="79"/>
      <c r="D107" s="79"/>
      <c r="E107" s="79"/>
      <c r="P107" s="79"/>
      <c r="Q107" s="79"/>
      <c r="R107" s="79"/>
      <c r="Y107" s="79"/>
      <c r="AC107" s="130"/>
      <c r="AE107" s="106"/>
    </row>
    <row r="108">
      <c r="C108" s="79"/>
      <c r="D108" s="79"/>
      <c r="E108" s="79"/>
      <c r="P108" s="79"/>
      <c r="Q108" s="79"/>
      <c r="R108" s="79"/>
      <c r="Y108" s="79"/>
      <c r="AC108" s="130"/>
      <c r="AE108" s="106"/>
    </row>
    <row r="109">
      <c r="C109" s="79"/>
      <c r="D109" s="79"/>
      <c r="E109" s="79"/>
      <c r="P109" s="79"/>
      <c r="Q109" s="79"/>
      <c r="R109" s="79"/>
      <c r="Y109" s="79"/>
      <c r="AC109" s="130"/>
      <c r="AE109" s="106"/>
    </row>
    <row r="110">
      <c r="C110" s="79"/>
      <c r="D110" s="79"/>
      <c r="E110" s="79"/>
      <c r="P110" s="79"/>
      <c r="Q110" s="79"/>
      <c r="R110" s="79"/>
      <c r="Y110" s="79"/>
      <c r="AC110" s="130"/>
      <c r="AE110" s="106"/>
    </row>
    <row r="111">
      <c r="C111" s="79"/>
      <c r="D111" s="79"/>
      <c r="E111" s="79"/>
      <c r="P111" s="79"/>
      <c r="Q111" s="79"/>
      <c r="R111" s="79"/>
      <c r="Y111" s="79"/>
      <c r="AC111" s="130"/>
      <c r="AE111" s="106"/>
    </row>
    <row r="112">
      <c r="C112" s="79"/>
      <c r="D112" s="79"/>
      <c r="E112" s="79"/>
      <c r="P112" s="79"/>
      <c r="Q112" s="79"/>
      <c r="R112" s="79"/>
      <c r="Y112" s="79"/>
      <c r="AC112" s="130"/>
      <c r="AE112" s="106"/>
    </row>
    <row r="113">
      <c r="C113" s="79"/>
      <c r="D113" s="79"/>
      <c r="E113" s="79"/>
      <c r="P113" s="79"/>
      <c r="Q113" s="79"/>
      <c r="R113" s="79"/>
      <c r="Y113" s="79"/>
      <c r="AC113" s="130"/>
      <c r="AE113" s="106"/>
    </row>
    <row r="114">
      <c r="C114" s="79"/>
      <c r="D114" s="79"/>
      <c r="E114" s="79"/>
      <c r="P114" s="79"/>
      <c r="Q114" s="79"/>
      <c r="R114" s="79"/>
      <c r="Y114" s="79"/>
      <c r="AC114" s="130"/>
      <c r="AE114" s="106"/>
    </row>
    <row r="115">
      <c r="C115" s="79"/>
      <c r="D115" s="79"/>
      <c r="E115" s="79"/>
      <c r="P115" s="79"/>
      <c r="Q115" s="79"/>
      <c r="R115" s="79"/>
      <c r="Y115" s="79"/>
      <c r="AC115" s="130"/>
      <c r="AE115" s="106"/>
    </row>
    <row r="116">
      <c r="C116" s="79"/>
      <c r="D116" s="79"/>
      <c r="E116" s="79"/>
      <c r="P116" s="79"/>
      <c r="Q116" s="79"/>
      <c r="R116" s="79"/>
      <c r="Y116" s="79"/>
      <c r="AC116" s="130"/>
      <c r="AE116" s="106"/>
    </row>
    <row r="117">
      <c r="C117" s="79"/>
      <c r="D117" s="79"/>
      <c r="E117" s="79"/>
      <c r="P117" s="79"/>
      <c r="Q117" s="79"/>
      <c r="R117" s="79"/>
      <c r="Y117" s="79"/>
      <c r="AC117" s="130"/>
      <c r="AE117" s="106"/>
    </row>
    <row r="118">
      <c r="C118" s="79"/>
      <c r="D118" s="79"/>
      <c r="E118" s="79"/>
      <c r="P118" s="79"/>
      <c r="Q118" s="79"/>
      <c r="R118" s="79"/>
      <c r="Y118" s="79"/>
      <c r="AC118" s="130"/>
      <c r="AE118" s="106"/>
    </row>
    <row r="119">
      <c r="C119" s="79"/>
      <c r="D119" s="79"/>
      <c r="E119" s="79"/>
      <c r="P119" s="79"/>
      <c r="Q119" s="79"/>
      <c r="R119" s="79"/>
      <c r="Y119" s="79"/>
      <c r="AC119" s="130"/>
      <c r="AE119" s="106"/>
    </row>
    <row r="120">
      <c r="C120" s="79"/>
      <c r="D120" s="79"/>
      <c r="E120" s="79"/>
      <c r="P120" s="79"/>
      <c r="Q120" s="79"/>
      <c r="R120" s="79"/>
      <c r="Y120" s="79"/>
      <c r="AC120" s="130"/>
      <c r="AE120" s="106"/>
    </row>
    <row r="121">
      <c r="C121" s="79"/>
      <c r="D121" s="79"/>
      <c r="E121" s="79"/>
      <c r="P121" s="79"/>
      <c r="Q121" s="79"/>
      <c r="R121" s="79"/>
      <c r="Y121" s="79"/>
      <c r="AC121" s="130"/>
      <c r="AE121" s="106"/>
    </row>
    <row r="122">
      <c r="C122" s="79"/>
      <c r="D122" s="79"/>
      <c r="E122" s="79"/>
      <c r="P122" s="79"/>
      <c r="Q122" s="79"/>
      <c r="R122" s="79"/>
      <c r="Y122" s="79"/>
      <c r="AC122" s="130"/>
      <c r="AE122" s="106"/>
    </row>
    <row r="123">
      <c r="C123" s="79"/>
      <c r="D123" s="79"/>
      <c r="E123" s="79"/>
      <c r="P123" s="79"/>
      <c r="Q123" s="79"/>
      <c r="R123" s="79"/>
      <c r="Y123" s="79"/>
      <c r="AC123" s="130"/>
      <c r="AE123" s="106"/>
    </row>
    <row r="124">
      <c r="C124" s="79"/>
      <c r="D124" s="79"/>
      <c r="E124" s="79"/>
      <c r="P124" s="79"/>
      <c r="Q124" s="79"/>
      <c r="R124" s="79"/>
      <c r="Y124" s="79"/>
      <c r="AC124" s="130"/>
      <c r="AE124" s="106"/>
    </row>
    <row r="125">
      <c r="C125" s="79"/>
      <c r="D125" s="79"/>
      <c r="E125" s="79"/>
      <c r="P125" s="79"/>
      <c r="Q125" s="79"/>
      <c r="R125" s="79"/>
      <c r="Y125" s="79"/>
      <c r="AC125" s="130"/>
      <c r="AE125" s="106"/>
    </row>
    <row r="126">
      <c r="C126" s="79"/>
      <c r="D126" s="79"/>
      <c r="E126" s="79"/>
      <c r="P126" s="79"/>
      <c r="Q126" s="79"/>
      <c r="R126" s="79"/>
      <c r="Y126" s="79"/>
      <c r="AC126" s="130"/>
      <c r="AE126" s="106"/>
    </row>
    <row r="127">
      <c r="C127" s="79"/>
      <c r="D127" s="79"/>
      <c r="E127" s="79"/>
      <c r="P127" s="79"/>
      <c r="Q127" s="79"/>
      <c r="R127" s="79"/>
      <c r="Y127" s="79"/>
      <c r="AC127" s="130"/>
      <c r="AE127" s="106"/>
    </row>
    <row r="128">
      <c r="C128" s="79"/>
      <c r="D128" s="79"/>
      <c r="E128" s="79"/>
      <c r="P128" s="79"/>
      <c r="Q128" s="79"/>
      <c r="R128" s="79"/>
      <c r="Y128" s="79"/>
      <c r="AC128" s="130"/>
      <c r="AE128" s="106"/>
    </row>
    <row r="129">
      <c r="C129" s="79"/>
      <c r="D129" s="79"/>
      <c r="E129" s="79"/>
      <c r="P129" s="79"/>
      <c r="Q129" s="79"/>
      <c r="R129" s="79"/>
      <c r="Y129" s="79"/>
      <c r="AC129" s="130"/>
      <c r="AE129" s="106"/>
    </row>
    <row r="130">
      <c r="C130" s="79"/>
      <c r="D130" s="79"/>
      <c r="E130" s="79"/>
      <c r="P130" s="79"/>
      <c r="Q130" s="79"/>
      <c r="R130" s="79"/>
      <c r="Y130" s="79"/>
      <c r="AC130" s="130"/>
      <c r="AE130" s="106"/>
    </row>
    <row r="131">
      <c r="C131" s="79"/>
      <c r="D131" s="79"/>
      <c r="E131" s="79"/>
      <c r="P131" s="79"/>
      <c r="Q131" s="79"/>
      <c r="R131" s="79"/>
      <c r="Y131" s="79"/>
      <c r="AC131" s="130"/>
      <c r="AE131" s="106"/>
    </row>
    <row r="132">
      <c r="C132" s="79"/>
      <c r="D132" s="79"/>
      <c r="E132" s="79"/>
      <c r="P132" s="79"/>
      <c r="Q132" s="79"/>
      <c r="R132" s="79"/>
      <c r="Y132" s="79"/>
      <c r="AC132" s="130"/>
      <c r="AE132" s="106"/>
    </row>
    <row r="133">
      <c r="C133" s="79"/>
      <c r="D133" s="79"/>
      <c r="E133" s="79"/>
      <c r="P133" s="79"/>
      <c r="Q133" s="79"/>
      <c r="R133" s="79"/>
      <c r="Y133" s="79"/>
      <c r="AC133" s="130"/>
      <c r="AE133" s="106"/>
    </row>
    <row r="134">
      <c r="C134" s="79"/>
      <c r="D134" s="79"/>
      <c r="E134" s="79"/>
      <c r="P134" s="79"/>
      <c r="Q134" s="79"/>
      <c r="R134" s="79"/>
      <c r="Y134" s="79"/>
      <c r="AC134" s="130"/>
      <c r="AE134" s="106"/>
    </row>
    <row r="135">
      <c r="C135" s="79"/>
      <c r="D135" s="79"/>
      <c r="E135" s="79"/>
      <c r="P135" s="79"/>
      <c r="Q135" s="79"/>
      <c r="R135" s="79"/>
      <c r="Y135" s="79"/>
      <c r="AC135" s="130"/>
      <c r="AE135" s="106"/>
    </row>
    <row r="136">
      <c r="C136" s="79"/>
      <c r="D136" s="79"/>
      <c r="E136" s="79"/>
      <c r="P136" s="79"/>
      <c r="Q136" s="79"/>
      <c r="R136" s="79"/>
      <c r="Y136" s="79"/>
      <c r="AC136" s="130"/>
      <c r="AE136" s="106"/>
    </row>
    <row r="137">
      <c r="C137" s="79"/>
      <c r="D137" s="79"/>
      <c r="E137" s="79"/>
      <c r="P137" s="79"/>
      <c r="Q137" s="79"/>
      <c r="R137" s="79"/>
      <c r="Y137" s="79"/>
      <c r="AC137" s="130"/>
      <c r="AE137" s="106"/>
    </row>
    <row r="138">
      <c r="C138" s="79"/>
      <c r="D138" s="79"/>
      <c r="E138" s="79"/>
      <c r="P138" s="79"/>
      <c r="Q138" s="79"/>
      <c r="R138" s="79"/>
      <c r="Y138" s="79"/>
      <c r="AC138" s="130"/>
      <c r="AE138" s="106"/>
    </row>
    <row r="139">
      <c r="C139" s="79"/>
      <c r="D139" s="79"/>
      <c r="E139" s="79"/>
      <c r="P139" s="79"/>
      <c r="Q139" s="79"/>
      <c r="R139" s="79"/>
      <c r="Y139" s="79"/>
      <c r="AC139" s="130"/>
      <c r="AE139" s="106"/>
    </row>
    <row r="140">
      <c r="C140" s="79"/>
      <c r="D140" s="79"/>
      <c r="E140" s="79"/>
      <c r="P140" s="79"/>
      <c r="Q140" s="79"/>
      <c r="R140" s="79"/>
      <c r="Y140" s="79"/>
      <c r="AC140" s="130"/>
      <c r="AE140" s="106"/>
    </row>
    <row r="141">
      <c r="C141" s="79"/>
      <c r="D141" s="79"/>
      <c r="E141" s="79"/>
      <c r="P141" s="79"/>
      <c r="Q141" s="79"/>
      <c r="R141" s="79"/>
      <c r="Y141" s="79"/>
      <c r="AC141" s="130"/>
      <c r="AE141" s="106"/>
    </row>
    <row r="142">
      <c r="C142" s="79"/>
      <c r="D142" s="79"/>
      <c r="E142" s="79"/>
      <c r="P142" s="79"/>
      <c r="Q142" s="79"/>
      <c r="R142" s="79"/>
      <c r="Y142" s="79"/>
      <c r="AC142" s="130"/>
      <c r="AE142" s="106"/>
    </row>
    <row r="143">
      <c r="C143" s="79"/>
      <c r="D143" s="79"/>
      <c r="E143" s="79"/>
      <c r="P143" s="79"/>
      <c r="Q143" s="79"/>
      <c r="R143" s="79"/>
      <c r="Y143" s="79"/>
      <c r="AC143" s="130"/>
      <c r="AE143" s="106"/>
    </row>
    <row r="144">
      <c r="C144" s="79"/>
      <c r="D144" s="79"/>
      <c r="E144" s="79"/>
      <c r="P144" s="79"/>
      <c r="Q144" s="79"/>
      <c r="R144" s="79"/>
      <c r="Y144" s="79"/>
      <c r="AC144" s="130"/>
      <c r="AE144" s="106"/>
    </row>
    <row r="145">
      <c r="C145" s="79"/>
      <c r="D145" s="79"/>
      <c r="E145" s="79"/>
      <c r="P145" s="79"/>
      <c r="Q145" s="79"/>
      <c r="R145" s="79"/>
      <c r="Y145" s="79"/>
      <c r="AC145" s="130"/>
      <c r="AE145" s="106"/>
    </row>
    <row r="146">
      <c r="C146" s="79"/>
      <c r="D146" s="79"/>
      <c r="E146" s="79"/>
      <c r="P146" s="79"/>
      <c r="Q146" s="79"/>
      <c r="R146" s="79"/>
      <c r="Y146" s="79"/>
      <c r="AC146" s="130"/>
      <c r="AE146" s="106"/>
    </row>
    <row r="147">
      <c r="C147" s="79"/>
      <c r="D147" s="79"/>
      <c r="E147" s="79"/>
      <c r="P147" s="79"/>
      <c r="Q147" s="79"/>
      <c r="R147" s="79"/>
      <c r="Y147" s="79"/>
      <c r="AC147" s="130"/>
      <c r="AE147" s="106"/>
    </row>
    <row r="148">
      <c r="C148" s="79"/>
      <c r="D148" s="79"/>
      <c r="E148" s="79"/>
      <c r="P148" s="79"/>
      <c r="Q148" s="79"/>
      <c r="R148" s="79"/>
      <c r="Y148" s="79"/>
      <c r="AC148" s="130"/>
      <c r="AE148" s="106"/>
    </row>
    <row r="149">
      <c r="C149" s="79"/>
      <c r="D149" s="79"/>
      <c r="E149" s="79"/>
      <c r="P149" s="79"/>
      <c r="Q149" s="79"/>
      <c r="R149" s="79"/>
      <c r="Y149" s="79"/>
      <c r="AC149" s="130"/>
      <c r="AE149" s="106"/>
    </row>
    <row r="150">
      <c r="C150" s="79"/>
      <c r="D150" s="79"/>
      <c r="E150" s="79"/>
      <c r="P150" s="79"/>
      <c r="Q150" s="79"/>
      <c r="R150" s="79"/>
      <c r="Y150" s="79"/>
      <c r="AC150" s="130"/>
      <c r="AE150" s="106"/>
    </row>
    <row r="151">
      <c r="C151" s="79"/>
      <c r="D151" s="79"/>
      <c r="E151" s="79"/>
      <c r="P151" s="79"/>
      <c r="Q151" s="79"/>
      <c r="R151" s="79"/>
      <c r="Y151" s="79"/>
      <c r="AC151" s="130"/>
      <c r="AE151" s="106"/>
    </row>
    <row r="152">
      <c r="C152" s="79"/>
      <c r="D152" s="79"/>
      <c r="E152" s="79"/>
      <c r="P152" s="79"/>
      <c r="Q152" s="79"/>
      <c r="R152" s="79"/>
      <c r="Y152" s="79"/>
      <c r="AC152" s="130"/>
      <c r="AE152" s="106"/>
    </row>
    <row r="153">
      <c r="C153" s="79"/>
      <c r="D153" s="79"/>
      <c r="E153" s="79"/>
      <c r="P153" s="79"/>
      <c r="Q153" s="79"/>
      <c r="R153" s="79"/>
      <c r="Y153" s="79"/>
      <c r="AC153" s="130"/>
      <c r="AE153" s="106"/>
    </row>
    <row r="154">
      <c r="C154" s="79"/>
      <c r="D154" s="79"/>
      <c r="E154" s="79"/>
      <c r="P154" s="79"/>
      <c r="Q154" s="79"/>
      <c r="R154" s="79"/>
      <c r="Y154" s="79"/>
      <c r="AC154" s="130"/>
      <c r="AE154" s="106"/>
    </row>
    <row r="155">
      <c r="C155" s="79"/>
      <c r="D155" s="79"/>
      <c r="E155" s="79"/>
      <c r="P155" s="79"/>
      <c r="Q155" s="79"/>
      <c r="R155" s="79"/>
      <c r="Y155" s="79"/>
      <c r="AC155" s="130"/>
      <c r="AE155" s="106"/>
    </row>
    <row r="156">
      <c r="C156" s="79"/>
      <c r="D156" s="79"/>
      <c r="E156" s="79"/>
      <c r="P156" s="79"/>
      <c r="Q156" s="79"/>
      <c r="R156" s="79"/>
      <c r="Y156" s="79"/>
      <c r="AC156" s="130"/>
      <c r="AE156" s="106"/>
    </row>
    <row r="157">
      <c r="C157" s="79"/>
      <c r="D157" s="79"/>
      <c r="E157" s="79"/>
      <c r="P157" s="79"/>
      <c r="Q157" s="79"/>
      <c r="R157" s="79"/>
      <c r="Y157" s="79"/>
      <c r="AC157" s="130"/>
      <c r="AE157" s="106"/>
    </row>
    <row r="158">
      <c r="C158" s="79"/>
      <c r="D158" s="79"/>
      <c r="E158" s="79"/>
      <c r="P158" s="79"/>
      <c r="Q158" s="79"/>
      <c r="R158" s="79"/>
      <c r="Y158" s="79"/>
      <c r="AC158" s="130"/>
      <c r="AE158" s="106"/>
    </row>
    <row r="159">
      <c r="C159" s="79"/>
      <c r="D159" s="79"/>
      <c r="E159" s="79"/>
      <c r="P159" s="79"/>
      <c r="Q159" s="79"/>
      <c r="R159" s="79"/>
      <c r="Y159" s="79"/>
      <c r="AC159" s="130"/>
      <c r="AE159" s="106"/>
    </row>
    <row r="160">
      <c r="C160" s="79"/>
      <c r="D160" s="79"/>
      <c r="E160" s="79"/>
      <c r="P160" s="79"/>
      <c r="Q160" s="79"/>
      <c r="R160" s="79"/>
      <c r="Y160" s="79"/>
      <c r="AC160" s="130"/>
      <c r="AE160" s="106"/>
    </row>
    <row r="161">
      <c r="C161" s="79"/>
      <c r="D161" s="79"/>
      <c r="E161" s="79"/>
      <c r="P161" s="79"/>
      <c r="Q161" s="79"/>
      <c r="R161" s="79"/>
      <c r="Y161" s="79"/>
      <c r="AC161" s="130"/>
      <c r="AE161" s="106"/>
    </row>
    <row r="162">
      <c r="C162" s="79"/>
      <c r="D162" s="79"/>
      <c r="E162" s="79"/>
      <c r="P162" s="79"/>
      <c r="Q162" s="79"/>
      <c r="R162" s="79"/>
      <c r="Y162" s="79"/>
      <c r="AC162" s="130"/>
      <c r="AE162" s="106"/>
    </row>
    <row r="163">
      <c r="C163" s="79"/>
      <c r="D163" s="79"/>
      <c r="E163" s="79"/>
      <c r="P163" s="79"/>
      <c r="Q163" s="79"/>
      <c r="R163" s="79"/>
      <c r="Y163" s="79"/>
      <c r="AC163" s="130"/>
      <c r="AE163" s="106"/>
    </row>
    <row r="164">
      <c r="C164" s="79"/>
      <c r="D164" s="79"/>
      <c r="E164" s="79"/>
      <c r="P164" s="79"/>
      <c r="Q164" s="79"/>
      <c r="R164" s="79"/>
      <c r="Y164" s="79"/>
      <c r="AC164" s="130"/>
      <c r="AE164" s="106"/>
    </row>
    <row r="165">
      <c r="C165" s="79"/>
      <c r="D165" s="79"/>
      <c r="E165" s="79"/>
      <c r="P165" s="79"/>
      <c r="Q165" s="79"/>
      <c r="R165" s="79"/>
      <c r="Y165" s="79"/>
      <c r="AC165" s="130"/>
      <c r="AE165" s="106"/>
    </row>
    <row r="166">
      <c r="C166" s="79"/>
      <c r="D166" s="79"/>
      <c r="E166" s="79"/>
      <c r="P166" s="79"/>
      <c r="Q166" s="79"/>
      <c r="R166" s="79"/>
      <c r="Y166" s="79"/>
      <c r="AC166" s="130"/>
      <c r="AE166" s="106"/>
    </row>
    <row r="167">
      <c r="C167" s="79"/>
      <c r="D167" s="79"/>
      <c r="E167" s="79"/>
      <c r="P167" s="79"/>
      <c r="Q167" s="79"/>
      <c r="R167" s="79"/>
      <c r="Y167" s="79"/>
      <c r="AC167" s="130"/>
      <c r="AE167" s="106"/>
    </row>
    <row r="168">
      <c r="C168" s="79"/>
      <c r="D168" s="79"/>
      <c r="E168" s="79"/>
      <c r="P168" s="79"/>
      <c r="Q168" s="79"/>
      <c r="R168" s="79"/>
      <c r="Y168" s="79"/>
      <c r="AC168" s="130"/>
      <c r="AE168" s="106"/>
    </row>
    <row r="169">
      <c r="C169" s="79"/>
      <c r="D169" s="79"/>
      <c r="E169" s="79"/>
      <c r="P169" s="79"/>
      <c r="Q169" s="79"/>
      <c r="R169" s="79"/>
      <c r="Y169" s="79"/>
      <c r="AC169" s="130"/>
      <c r="AE169" s="106"/>
    </row>
    <row r="170">
      <c r="C170" s="79"/>
      <c r="D170" s="79"/>
      <c r="E170" s="79"/>
      <c r="P170" s="79"/>
      <c r="Q170" s="79"/>
      <c r="R170" s="79"/>
      <c r="Y170" s="79"/>
      <c r="AC170" s="130"/>
      <c r="AE170" s="106"/>
    </row>
    <row r="171">
      <c r="C171" s="79"/>
      <c r="D171" s="79"/>
      <c r="E171" s="79"/>
      <c r="P171" s="79"/>
      <c r="Q171" s="79"/>
      <c r="R171" s="79"/>
      <c r="Y171" s="79"/>
      <c r="AC171" s="130"/>
      <c r="AE171" s="106"/>
    </row>
    <row r="172">
      <c r="C172" s="79"/>
      <c r="D172" s="79"/>
      <c r="E172" s="79"/>
      <c r="P172" s="79"/>
      <c r="Q172" s="79"/>
      <c r="R172" s="79"/>
      <c r="Y172" s="79"/>
      <c r="AC172" s="130"/>
      <c r="AE172" s="106"/>
    </row>
    <row r="173">
      <c r="C173" s="79"/>
      <c r="D173" s="79"/>
      <c r="E173" s="79"/>
      <c r="P173" s="79"/>
      <c r="Q173" s="79"/>
      <c r="R173" s="79"/>
      <c r="Y173" s="79"/>
      <c r="AC173" s="130"/>
      <c r="AE173" s="106"/>
    </row>
    <row r="174">
      <c r="C174" s="79"/>
      <c r="D174" s="79"/>
      <c r="E174" s="79"/>
      <c r="P174" s="79"/>
      <c r="Q174" s="79"/>
      <c r="R174" s="79"/>
      <c r="Y174" s="79"/>
      <c r="AC174" s="130"/>
      <c r="AE174" s="106"/>
    </row>
    <row r="175">
      <c r="C175" s="79"/>
      <c r="D175" s="79"/>
      <c r="E175" s="79"/>
      <c r="P175" s="79"/>
      <c r="Q175" s="79"/>
      <c r="R175" s="79"/>
      <c r="Y175" s="79"/>
      <c r="AC175" s="130"/>
      <c r="AE175" s="106"/>
    </row>
    <row r="176">
      <c r="C176" s="79"/>
      <c r="D176" s="79"/>
      <c r="E176" s="79"/>
      <c r="P176" s="79"/>
      <c r="Q176" s="79"/>
      <c r="R176" s="79"/>
      <c r="Y176" s="79"/>
      <c r="AC176" s="130"/>
      <c r="AE176" s="106"/>
    </row>
    <row r="177">
      <c r="C177" s="79"/>
      <c r="D177" s="79"/>
      <c r="E177" s="79"/>
      <c r="P177" s="79"/>
      <c r="Q177" s="79"/>
      <c r="R177" s="79"/>
      <c r="Y177" s="79"/>
      <c r="AC177" s="130"/>
      <c r="AE177" s="106"/>
    </row>
    <row r="178">
      <c r="C178" s="79"/>
      <c r="D178" s="79"/>
      <c r="E178" s="79"/>
      <c r="P178" s="79"/>
      <c r="Q178" s="79"/>
      <c r="R178" s="79"/>
      <c r="Y178" s="79"/>
      <c r="AC178" s="130"/>
      <c r="AE178" s="106"/>
    </row>
    <row r="179">
      <c r="C179" s="79"/>
      <c r="D179" s="79"/>
      <c r="E179" s="79"/>
      <c r="P179" s="79"/>
      <c r="Q179" s="79"/>
      <c r="R179" s="79"/>
      <c r="Y179" s="79"/>
      <c r="AC179" s="130"/>
      <c r="AE179" s="106"/>
    </row>
    <row r="180">
      <c r="C180" s="79"/>
      <c r="D180" s="79"/>
      <c r="E180" s="79"/>
      <c r="P180" s="79"/>
      <c r="Q180" s="79"/>
      <c r="R180" s="79"/>
      <c r="Y180" s="79"/>
      <c r="AC180" s="130"/>
      <c r="AE180" s="106"/>
    </row>
    <row r="181">
      <c r="C181" s="79"/>
      <c r="D181" s="79"/>
      <c r="E181" s="79"/>
      <c r="P181" s="79"/>
      <c r="Q181" s="79"/>
      <c r="R181" s="79"/>
      <c r="Y181" s="79"/>
      <c r="AC181" s="130"/>
      <c r="AE181" s="106"/>
    </row>
    <row r="182">
      <c r="C182" s="79"/>
      <c r="D182" s="79"/>
      <c r="E182" s="79"/>
      <c r="P182" s="79"/>
      <c r="Q182" s="79"/>
      <c r="R182" s="79"/>
      <c r="Y182" s="79"/>
      <c r="AC182" s="130"/>
      <c r="AE182" s="106"/>
    </row>
    <row r="183">
      <c r="C183" s="79"/>
      <c r="D183" s="79"/>
      <c r="E183" s="79"/>
      <c r="P183" s="79"/>
      <c r="Q183" s="79"/>
      <c r="R183" s="79"/>
      <c r="Y183" s="79"/>
      <c r="AC183" s="130"/>
      <c r="AE183" s="106"/>
    </row>
    <row r="184">
      <c r="C184" s="79"/>
      <c r="D184" s="79"/>
      <c r="E184" s="79"/>
      <c r="P184" s="79"/>
      <c r="Q184" s="79"/>
      <c r="R184" s="79"/>
      <c r="Y184" s="79"/>
      <c r="AC184" s="130"/>
      <c r="AE184" s="106"/>
    </row>
    <row r="185">
      <c r="C185" s="79"/>
      <c r="D185" s="79"/>
      <c r="E185" s="79"/>
      <c r="P185" s="79"/>
      <c r="Q185" s="79"/>
      <c r="R185" s="79"/>
      <c r="Y185" s="79"/>
      <c r="AC185" s="130"/>
      <c r="AE185" s="106"/>
    </row>
    <row r="186">
      <c r="C186" s="79"/>
      <c r="D186" s="79"/>
      <c r="E186" s="79"/>
      <c r="P186" s="79"/>
      <c r="Q186" s="79"/>
      <c r="R186" s="79"/>
      <c r="Y186" s="79"/>
      <c r="AC186" s="130"/>
      <c r="AE186" s="106"/>
    </row>
    <row r="187">
      <c r="C187" s="79"/>
      <c r="D187" s="79"/>
      <c r="E187" s="79"/>
      <c r="P187" s="79"/>
      <c r="Q187" s="79"/>
      <c r="R187" s="79"/>
      <c r="Y187" s="79"/>
      <c r="AC187" s="130"/>
      <c r="AE187" s="106"/>
    </row>
    <row r="188">
      <c r="C188" s="79"/>
      <c r="D188" s="79"/>
      <c r="E188" s="79"/>
      <c r="P188" s="79"/>
      <c r="Q188" s="79"/>
      <c r="R188" s="79"/>
      <c r="Y188" s="79"/>
      <c r="AC188" s="130"/>
      <c r="AE188" s="106"/>
    </row>
    <row r="189">
      <c r="C189" s="79"/>
      <c r="D189" s="79"/>
      <c r="E189" s="79"/>
      <c r="P189" s="79"/>
      <c r="Q189" s="79"/>
      <c r="R189" s="79"/>
      <c r="Y189" s="79"/>
      <c r="AC189" s="130"/>
      <c r="AE189" s="106"/>
    </row>
    <row r="190">
      <c r="C190" s="79"/>
      <c r="D190" s="79"/>
      <c r="E190" s="79"/>
      <c r="P190" s="79"/>
      <c r="Q190" s="79"/>
      <c r="R190" s="79"/>
      <c r="Y190" s="79"/>
      <c r="AC190" s="130"/>
      <c r="AE190" s="106"/>
    </row>
    <row r="191">
      <c r="C191" s="79"/>
      <c r="D191" s="79"/>
      <c r="E191" s="79"/>
      <c r="P191" s="79"/>
      <c r="Q191" s="79"/>
      <c r="R191" s="79"/>
      <c r="Y191" s="79"/>
      <c r="AC191" s="130"/>
      <c r="AE191" s="106"/>
    </row>
    <row r="192">
      <c r="C192" s="79"/>
      <c r="D192" s="79"/>
      <c r="E192" s="79"/>
      <c r="P192" s="79"/>
      <c r="Q192" s="79"/>
      <c r="R192" s="79"/>
      <c r="Y192" s="79"/>
      <c r="AC192" s="130"/>
      <c r="AE192" s="106"/>
    </row>
    <row r="193">
      <c r="C193" s="79"/>
      <c r="D193" s="79"/>
      <c r="E193" s="79"/>
      <c r="P193" s="79"/>
      <c r="Q193" s="79"/>
      <c r="R193" s="79"/>
      <c r="Y193" s="79"/>
      <c r="AC193" s="130"/>
      <c r="AE193" s="106"/>
    </row>
    <row r="194">
      <c r="C194" s="79"/>
      <c r="D194" s="79"/>
      <c r="E194" s="79"/>
      <c r="P194" s="79"/>
      <c r="Q194" s="79"/>
      <c r="R194" s="79"/>
      <c r="Y194" s="79"/>
      <c r="AC194" s="130"/>
      <c r="AE194" s="106"/>
    </row>
    <row r="195">
      <c r="C195" s="79"/>
      <c r="D195" s="79"/>
      <c r="E195" s="79"/>
      <c r="P195" s="79"/>
      <c r="Q195" s="79"/>
      <c r="R195" s="79"/>
      <c r="Y195" s="79"/>
      <c r="AC195" s="130"/>
      <c r="AE195" s="106"/>
    </row>
    <row r="196">
      <c r="C196" s="79"/>
      <c r="D196" s="79"/>
      <c r="E196" s="79"/>
      <c r="P196" s="79"/>
      <c r="Q196" s="79"/>
      <c r="R196" s="79"/>
      <c r="Y196" s="79"/>
      <c r="AC196" s="130"/>
      <c r="AE196" s="106"/>
    </row>
    <row r="197">
      <c r="C197" s="79"/>
      <c r="D197" s="79"/>
      <c r="E197" s="79"/>
      <c r="P197" s="79"/>
      <c r="Q197" s="79"/>
      <c r="R197" s="79"/>
      <c r="Y197" s="79"/>
      <c r="AC197" s="130"/>
      <c r="AE197" s="106"/>
    </row>
    <row r="198">
      <c r="C198" s="79"/>
      <c r="D198" s="79"/>
      <c r="E198" s="79"/>
      <c r="P198" s="79"/>
      <c r="Q198" s="79"/>
      <c r="R198" s="79"/>
      <c r="Y198" s="79"/>
      <c r="AC198" s="130"/>
      <c r="AE198" s="106"/>
    </row>
    <row r="199">
      <c r="C199" s="79"/>
      <c r="D199" s="79"/>
      <c r="E199" s="79"/>
      <c r="P199" s="79"/>
      <c r="Q199" s="79"/>
      <c r="R199" s="79"/>
      <c r="Y199" s="79"/>
      <c r="AC199" s="130"/>
      <c r="AE199" s="106"/>
    </row>
    <row r="200">
      <c r="C200" s="79"/>
      <c r="D200" s="79"/>
      <c r="E200" s="79"/>
      <c r="P200" s="79"/>
      <c r="Q200" s="79"/>
      <c r="R200" s="79"/>
      <c r="Y200" s="79"/>
      <c r="AC200" s="130"/>
      <c r="AE200" s="106"/>
    </row>
    <row r="201">
      <c r="C201" s="79"/>
      <c r="D201" s="79"/>
      <c r="E201" s="79"/>
      <c r="P201" s="79"/>
      <c r="Q201" s="79"/>
      <c r="R201" s="79"/>
      <c r="Y201" s="79"/>
      <c r="AC201" s="130"/>
      <c r="AE201" s="106"/>
    </row>
    <row r="202">
      <c r="C202" s="79"/>
      <c r="D202" s="79"/>
      <c r="E202" s="79"/>
      <c r="P202" s="79"/>
      <c r="Q202" s="79"/>
      <c r="R202" s="79"/>
      <c r="Y202" s="79"/>
      <c r="AC202" s="130"/>
      <c r="AE202" s="106"/>
    </row>
    <row r="203">
      <c r="C203" s="79"/>
      <c r="D203" s="79"/>
      <c r="E203" s="79"/>
      <c r="P203" s="79"/>
      <c r="Q203" s="79"/>
      <c r="R203" s="79"/>
      <c r="Y203" s="79"/>
      <c r="AC203" s="130"/>
      <c r="AE203" s="106"/>
    </row>
    <row r="204">
      <c r="C204" s="79"/>
      <c r="D204" s="79"/>
      <c r="E204" s="79"/>
      <c r="P204" s="79"/>
      <c r="Q204" s="79"/>
      <c r="R204" s="79"/>
      <c r="Y204" s="79"/>
      <c r="AC204" s="130"/>
      <c r="AE204" s="106"/>
    </row>
    <row r="205">
      <c r="C205" s="79"/>
      <c r="D205" s="79"/>
      <c r="E205" s="79"/>
      <c r="P205" s="79"/>
      <c r="Q205" s="79"/>
      <c r="R205" s="79"/>
      <c r="Y205" s="79"/>
      <c r="AC205" s="130"/>
      <c r="AE205" s="106"/>
    </row>
    <row r="206">
      <c r="C206" s="79"/>
      <c r="D206" s="79"/>
      <c r="E206" s="79"/>
      <c r="P206" s="79"/>
      <c r="Q206" s="79"/>
      <c r="R206" s="79"/>
      <c r="Y206" s="79"/>
      <c r="AC206" s="130"/>
      <c r="AE206" s="106"/>
    </row>
    <row r="207">
      <c r="C207" s="79"/>
      <c r="D207" s="79"/>
      <c r="E207" s="79"/>
      <c r="P207" s="79"/>
      <c r="Q207" s="79"/>
      <c r="R207" s="79"/>
      <c r="Y207" s="79"/>
      <c r="AC207" s="130"/>
      <c r="AE207" s="106"/>
    </row>
    <row r="208">
      <c r="C208" s="79"/>
      <c r="D208" s="79"/>
      <c r="E208" s="79"/>
      <c r="P208" s="79"/>
      <c r="Q208" s="79"/>
      <c r="R208" s="79"/>
      <c r="Y208" s="79"/>
      <c r="AC208" s="130"/>
      <c r="AE208" s="106"/>
    </row>
    <row r="209">
      <c r="C209" s="79"/>
      <c r="D209" s="79"/>
      <c r="E209" s="79"/>
      <c r="P209" s="79"/>
      <c r="Q209" s="79"/>
      <c r="R209" s="79"/>
      <c r="Y209" s="79"/>
      <c r="AC209" s="130"/>
      <c r="AE209" s="106"/>
    </row>
    <row r="210">
      <c r="C210" s="79"/>
      <c r="D210" s="79"/>
      <c r="E210" s="79"/>
      <c r="P210" s="79"/>
      <c r="Q210" s="79"/>
      <c r="R210" s="79"/>
      <c r="Y210" s="79"/>
      <c r="AC210" s="130"/>
      <c r="AE210" s="106"/>
    </row>
    <row r="211">
      <c r="C211" s="79"/>
      <c r="D211" s="79"/>
      <c r="E211" s="79"/>
      <c r="P211" s="79"/>
      <c r="Q211" s="79"/>
      <c r="R211" s="79"/>
      <c r="Y211" s="79"/>
      <c r="AC211" s="130"/>
      <c r="AE211" s="106"/>
    </row>
    <row r="212">
      <c r="C212" s="79"/>
      <c r="D212" s="79"/>
      <c r="E212" s="79"/>
      <c r="P212" s="79"/>
      <c r="Q212" s="79"/>
      <c r="R212" s="79"/>
      <c r="Y212" s="79"/>
      <c r="AC212" s="130"/>
      <c r="AE212" s="106"/>
    </row>
    <row r="213">
      <c r="C213" s="79"/>
      <c r="D213" s="79"/>
      <c r="E213" s="79"/>
      <c r="P213" s="79"/>
      <c r="Q213" s="79"/>
      <c r="R213" s="79"/>
      <c r="Y213" s="79"/>
      <c r="AC213" s="130"/>
      <c r="AE213" s="106"/>
    </row>
    <row r="214">
      <c r="C214" s="79"/>
      <c r="D214" s="79"/>
      <c r="E214" s="79"/>
      <c r="P214" s="79"/>
      <c r="Q214" s="79"/>
      <c r="R214" s="79"/>
      <c r="Y214" s="79"/>
      <c r="AC214" s="130"/>
      <c r="AE214" s="106"/>
    </row>
    <row r="215">
      <c r="C215" s="79"/>
      <c r="D215" s="79"/>
      <c r="E215" s="79"/>
      <c r="P215" s="79"/>
      <c r="Q215" s="79"/>
      <c r="R215" s="79"/>
      <c r="Y215" s="79"/>
      <c r="AC215" s="130"/>
      <c r="AE215" s="106"/>
    </row>
    <row r="216">
      <c r="C216" s="79"/>
      <c r="D216" s="79"/>
      <c r="E216" s="79"/>
      <c r="P216" s="79"/>
      <c r="Q216" s="79"/>
      <c r="R216" s="79"/>
      <c r="Y216" s="79"/>
      <c r="AC216" s="130"/>
      <c r="AE216" s="106"/>
    </row>
    <row r="217">
      <c r="C217" s="79"/>
      <c r="D217" s="79"/>
      <c r="E217" s="79"/>
      <c r="P217" s="79"/>
      <c r="Q217" s="79"/>
      <c r="R217" s="79"/>
      <c r="Y217" s="79"/>
      <c r="AC217" s="130"/>
      <c r="AE217" s="106"/>
    </row>
    <row r="218">
      <c r="C218" s="79"/>
      <c r="D218" s="79"/>
      <c r="E218" s="79"/>
      <c r="P218" s="79"/>
      <c r="Q218" s="79"/>
      <c r="R218" s="79"/>
      <c r="Y218" s="79"/>
      <c r="AC218" s="130"/>
      <c r="AE218" s="106"/>
    </row>
    <row r="219">
      <c r="C219" s="79"/>
      <c r="D219" s="79"/>
      <c r="E219" s="79"/>
      <c r="P219" s="79"/>
      <c r="Q219" s="79"/>
      <c r="R219" s="79"/>
      <c r="Y219" s="79"/>
      <c r="AC219" s="130"/>
      <c r="AE219" s="106"/>
    </row>
    <row r="220">
      <c r="C220" s="79"/>
      <c r="D220" s="79"/>
      <c r="E220" s="79"/>
      <c r="P220" s="79"/>
      <c r="Q220" s="79"/>
      <c r="R220" s="79"/>
      <c r="Y220" s="79"/>
      <c r="AC220" s="130"/>
      <c r="AE220" s="106"/>
    </row>
    <row r="221">
      <c r="C221" s="79"/>
      <c r="D221" s="79"/>
      <c r="E221" s="79"/>
      <c r="P221" s="79"/>
      <c r="Q221" s="79"/>
      <c r="R221" s="79"/>
      <c r="Y221" s="79"/>
      <c r="AC221" s="130"/>
      <c r="AE221" s="106"/>
    </row>
    <row r="222">
      <c r="C222" s="79"/>
      <c r="D222" s="79"/>
      <c r="E222" s="79"/>
      <c r="P222" s="79"/>
      <c r="Q222" s="79"/>
      <c r="R222" s="79"/>
      <c r="Y222" s="79"/>
      <c r="AC222" s="130"/>
      <c r="AE222" s="106"/>
    </row>
    <row r="223">
      <c r="C223" s="79"/>
      <c r="D223" s="79"/>
      <c r="E223" s="79"/>
      <c r="P223" s="79"/>
      <c r="Q223" s="79"/>
      <c r="R223" s="79"/>
      <c r="Y223" s="79"/>
      <c r="AC223" s="130"/>
      <c r="AE223" s="106"/>
    </row>
    <row r="224">
      <c r="C224" s="79"/>
      <c r="D224" s="79"/>
      <c r="E224" s="79"/>
      <c r="P224" s="79"/>
      <c r="Q224" s="79"/>
      <c r="R224" s="79"/>
      <c r="Y224" s="79"/>
      <c r="AC224" s="130"/>
      <c r="AE224" s="106"/>
    </row>
    <row r="225">
      <c r="C225" s="79"/>
      <c r="D225" s="79"/>
      <c r="E225" s="79"/>
      <c r="P225" s="79"/>
      <c r="Q225" s="79"/>
      <c r="R225" s="79"/>
      <c r="Y225" s="79"/>
      <c r="AC225" s="130"/>
      <c r="AE225" s="106"/>
    </row>
    <row r="226">
      <c r="C226" s="79"/>
      <c r="D226" s="79"/>
      <c r="E226" s="79"/>
      <c r="P226" s="79"/>
      <c r="Q226" s="79"/>
      <c r="R226" s="79"/>
      <c r="Y226" s="79"/>
      <c r="AC226" s="130"/>
      <c r="AE226" s="106"/>
    </row>
    <row r="227">
      <c r="C227" s="79"/>
      <c r="D227" s="79"/>
      <c r="E227" s="79"/>
      <c r="P227" s="79"/>
      <c r="Q227" s="79"/>
      <c r="R227" s="79"/>
      <c r="Y227" s="79"/>
      <c r="AC227" s="130"/>
      <c r="AE227" s="106"/>
    </row>
    <row r="228">
      <c r="C228" s="79"/>
      <c r="D228" s="79"/>
      <c r="E228" s="79"/>
      <c r="P228" s="79"/>
      <c r="Q228" s="79"/>
      <c r="R228" s="79"/>
      <c r="Y228" s="79"/>
      <c r="AC228" s="130"/>
      <c r="AE228" s="106"/>
    </row>
    <row r="229">
      <c r="C229" s="79"/>
      <c r="D229" s="79"/>
      <c r="E229" s="79"/>
      <c r="P229" s="79"/>
      <c r="Q229" s="79"/>
      <c r="R229" s="79"/>
      <c r="Y229" s="79"/>
      <c r="AC229" s="130"/>
      <c r="AE229" s="106"/>
    </row>
    <row r="230">
      <c r="C230" s="79"/>
      <c r="D230" s="79"/>
      <c r="E230" s="79"/>
      <c r="P230" s="79"/>
      <c r="Q230" s="79"/>
      <c r="R230" s="79"/>
      <c r="Y230" s="79"/>
      <c r="AC230" s="130"/>
      <c r="AE230" s="106"/>
    </row>
    <row r="231">
      <c r="C231" s="79"/>
      <c r="D231" s="79"/>
      <c r="E231" s="79"/>
      <c r="P231" s="79"/>
      <c r="Q231" s="79"/>
      <c r="R231" s="79"/>
      <c r="Y231" s="79"/>
      <c r="AC231" s="130"/>
      <c r="AE231" s="106"/>
    </row>
    <row r="232">
      <c r="C232" s="79"/>
      <c r="D232" s="79"/>
      <c r="E232" s="79"/>
      <c r="P232" s="79"/>
      <c r="Q232" s="79"/>
      <c r="R232" s="79"/>
      <c r="Y232" s="79"/>
      <c r="AC232" s="130"/>
      <c r="AE232" s="106"/>
    </row>
    <row r="233">
      <c r="C233" s="79"/>
      <c r="D233" s="79"/>
      <c r="E233" s="79"/>
      <c r="P233" s="79"/>
      <c r="Q233" s="79"/>
      <c r="R233" s="79"/>
      <c r="Y233" s="79"/>
      <c r="AC233" s="130"/>
      <c r="AE233" s="106"/>
    </row>
    <row r="234">
      <c r="C234" s="79"/>
      <c r="D234" s="79"/>
      <c r="E234" s="79"/>
      <c r="P234" s="79"/>
      <c r="Q234" s="79"/>
      <c r="R234" s="79"/>
      <c r="Y234" s="79"/>
      <c r="AC234" s="130"/>
      <c r="AE234" s="106"/>
    </row>
    <row r="235">
      <c r="C235" s="79"/>
      <c r="D235" s="79"/>
      <c r="E235" s="79"/>
      <c r="P235" s="79"/>
      <c r="Q235" s="79"/>
      <c r="R235" s="79"/>
      <c r="Y235" s="79"/>
      <c r="AC235" s="130"/>
      <c r="AE235" s="106"/>
    </row>
    <row r="236">
      <c r="C236" s="79"/>
      <c r="D236" s="79"/>
      <c r="E236" s="79"/>
      <c r="P236" s="79"/>
      <c r="Q236" s="79"/>
      <c r="R236" s="79"/>
      <c r="Y236" s="79"/>
      <c r="AC236" s="130"/>
      <c r="AE236" s="106"/>
    </row>
    <row r="237">
      <c r="C237" s="79"/>
      <c r="D237" s="79"/>
      <c r="E237" s="79"/>
      <c r="P237" s="79"/>
      <c r="Q237" s="79"/>
      <c r="R237" s="79"/>
      <c r="Y237" s="79"/>
      <c r="AC237" s="130"/>
      <c r="AE237" s="106"/>
    </row>
    <row r="238">
      <c r="C238" s="79"/>
      <c r="D238" s="79"/>
      <c r="E238" s="79"/>
      <c r="P238" s="79"/>
      <c r="Q238" s="79"/>
      <c r="R238" s="79"/>
      <c r="Y238" s="79"/>
      <c r="AC238" s="130"/>
      <c r="AE238" s="106"/>
    </row>
    <row r="239">
      <c r="C239" s="79"/>
      <c r="D239" s="79"/>
      <c r="E239" s="79"/>
      <c r="P239" s="79"/>
      <c r="Q239" s="79"/>
      <c r="R239" s="79"/>
      <c r="Y239" s="79"/>
      <c r="AC239" s="130"/>
      <c r="AE239" s="106"/>
    </row>
    <row r="240">
      <c r="C240" s="79"/>
      <c r="D240" s="79"/>
      <c r="E240" s="79"/>
      <c r="P240" s="79"/>
      <c r="Q240" s="79"/>
      <c r="R240" s="79"/>
      <c r="Y240" s="79"/>
      <c r="AC240" s="130"/>
      <c r="AE240" s="106"/>
    </row>
    <row r="241">
      <c r="C241" s="79"/>
      <c r="D241" s="79"/>
      <c r="E241" s="79"/>
      <c r="P241" s="79"/>
      <c r="Q241" s="79"/>
      <c r="R241" s="79"/>
      <c r="Y241" s="79"/>
      <c r="AC241" s="130"/>
      <c r="AE241" s="106"/>
    </row>
    <row r="242">
      <c r="C242" s="79"/>
      <c r="D242" s="79"/>
      <c r="E242" s="79"/>
      <c r="P242" s="79"/>
      <c r="Q242" s="79"/>
      <c r="R242" s="79"/>
      <c r="Y242" s="79"/>
      <c r="AC242" s="130"/>
      <c r="AE242" s="106"/>
    </row>
    <row r="243">
      <c r="C243" s="79"/>
      <c r="D243" s="79"/>
      <c r="E243" s="79"/>
      <c r="P243" s="79"/>
      <c r="Q243" s="79"/>
      <c r="R243" s="79"/>
      <c r="Y243" s="79"/>
      <c r="AC243" s="130"/>
      <c r="AE243" s="106"/>
    </row>
    <row r="244">
      <c r="C244" s="79"/>
      <c r="D244" s="79"/>
      <c r="E244" s="79"/>
      <c r="P244" s="79"/>
      <c r="Q244" s="79"/>
      <c r="R244" s="79"/>
      <c r="Y244" s="79"/>
      <c r="AC244" s="130"/>
      <c r="AE244" s="106"/>
    </row>
    <row r="245">
      <c r="C245" s="79"/>
      <c r="D245" s="79"/>
      <c r="E245" s="79"/>
      <c r="P245" s="79"/>
      <c r="Q245" s="79"/>
      <c r="R245" s="79"/>
      <c r="Y245" s="79"/>
      <c r="AC245" s="130"/>
      <c r="AE245" s="106"/>
    </row>
    <row r="246">
      <c r="C246" s="79"/>
      <c r="D246" s="79"/>
      <c r="E246" s="79"/>
      <c r="P246" s="79"/>
      <c r="Q246" s="79"/>
      <c r="R246" s="79"/>
      <c r="Y246" s="79"/>
      <c r="AC246" s="130"/>
      <c r="AE246" s="106"/>
    </row>
    <row r="247">
      <c r="C247" s="79"/>
      <c r="D247" s="79"/>
      <c r="E247" s="79"/>
      <c r="P247" s="79"/>
      <c r="Q247" s="79"/>
      <c r="R247" s="79"/>
      <c r="Y247" s="79"/>
      <c r="AC247" s="130"/>
      <c r="AE247" s="106"/>
    </row>
    <row r="248">
      <c r="C248" s="79"/>
      <c r="D248" s="79"/>
      <c r="E248" s="79"/>
      <c r="P248" s="79"/>
      <c r="Q248" s="79"/>
      <c r="R248" s="79"/>
      <c r="Y248" s="79"/>
      <c r="AC248" s="130"/>
      <c r="AE248" s="106"/>
    </row>
    <row r="249">
      <c r="C249" s="79"/>
      <c r="D249" s="79"/>
      <c r="E249" s="79"/>
      <c r="P249" s="79"/>
      <c r="Q249" s="79"/>
      <c r="R249" s="79"/>
      <c r="Y249" s="79"/>
      <c r="AC249" s="130"/>
      <c r="AE249" s="106"/>
    </row>
    <row r="250">
      <c r="C250" s="79"/>
      <c r="D250" s="79"/>
      <c r="E250" s="79"/>
      <c r="P250" s="79"/>
      <c r="Q250" s="79"/>
      <c r="R250" s="79"/>
      <c r="Y250" s="79"/>
      <c r="AC250" s="130"/>
      <c r="AE250" s="106"/>
    </row>
    <row r="251">
      <c r="C251" s="79"/>
      <c r="D251" s="79"/>
      <c r="E251" s="79"/>
      <c r="P251" s="79"/>
      <c r="Q251" s="79"/>
      <c r="R251" s="79"/>
      <c r="Y251" s="79"/>
      <c r="AC251" s="130"/>
      <c r="AE251" s="106"/>
    </row>
    <row r="252">
      <c r="C252" s="79"/>
      <c r="D252" s="79"/>
      <c r="E252" s="79"/>
      <c r="P252" s="79"/>
      <c r="Q252" s="79"/>
      <c r="R252" s="79"/>
      <c r="Y252" s="79"/>
      <c r="AC252" s="130"/>
      <c r="AE252" s="106"/>
    </row>
    <row r="253">
      <c r="C253" s="79"/>
      <c r="D253" s="79"/>
      <c r="E253" s="79"/>
      <c r="P253" s="79"/>
      <c r="Q253" s="79"/>
      <c r="R253" s="79"/>
      <c r="Y253" s="79"/>
      <c r="AC253" s="130"/>
      <c r="AE253" s="106"/>
    </row>
    <row r="254">
      <c r="C254" s="79"/>
      <c r="D254" s="79"/>
      <c r="E254" s="79"/>
      <c r="P254" s="79"/>
      <c r="Q254" s="79"/>
      <c r="R254" s="79"/>
      <c r="Y254" s="79"/>
      <c r="AC254" s="130"/>
      <c r="AE254" s="106"/>
    </row>
    <row r="255">
      <c r="C255" s="79"/>
      <c r="D255" s="79"/>
      <c r="E255" s="79"/>
      <c r="P255" s="79"/>
      <c r="Q255" s="79"/>
      <c r="R255" s="79"/>
      <c r="Y255" s="79"/>
      <c r="AC255" s="130"/>
      <c r="AE255" s="106"/>
    </row>
    <row r="256">
      <c r="C256" s="79"/>
      <c r="D256" s="79"/>
      <c r="E256" s="79"/>
      <c r="P256" s="79"/>
      <c r="Q256" s="79"/>
      <c r="R256" s="79"/>
      <c r="Y256" s="79"/>
      <c r="AC256" s="130"/>
      <c r="AE256" s="106"/>
    </row>
    <row r="257">
      <c r="C257" s="79"/>
      <c r="D257" s="79"/>
      <c r="E257" s="79"/>
      <c r="P257" s="79"/>
      <c r="Q257" s="79"/>
      <c r="R257" s="79"/>
      <c r="Y257" s="79"/>
      <c r="AC257" s="130"/>
      <c r="AE257" s="106"/>
    </row>
    <row r="258">
      <c r="C258" s="79"/>
      <c r="D258" s="79"/>
      <c r="E258" s="79"/>
      <c r="P258" s="79"/>
      <c r="Q258" s="79"/>
      <c r="R258" s="79"/>
      <c r="Y258" s="79"/>
      <c r="AC258" s="130"/>
      <c r="AE258" s="106"/>
    </row>
    <row r="259">
      <c r="C259" s="79"/>
      <c r="D259" s="79"/>
      <c r="E259" s="79"/>
      <c r="P259" s="79"/>
      <c r="Q259" s="79"/>
      <c r="R259" s="79"/>
      <c r="Y259" s="79"/>
      <c r="AC259" s="130"/>
      <c r="AE259" s="106"/>
    </row>
    <row r="260">
      <c r="C260" s="79"/>
      <c r="D260" s="79"/>
      <c r="E260" s="79"/>
      <c r="P260" s="79"/>
      <c r="Q260" s="79"/>
      <c r="R260" s="79"/>
      <c r="Y260" s="79"/>
      <c r="AC260" s="130"/>
      <c r="AE260" s="106"/>
    </row>
    <row r="261">
      <c r="C261" s="79"/>
      <c r="D261" s="79"/>
      <c r="E261" s="79"/>
      <c r="P261" s="79"/>
      <c r="Q261" s="79"/>
      <c r="R261" s="79"/>
      <c r="Y261" s="79"/>
      <c r="AC261" s="130"/>
      <c r="AE261" s="106"/>
    </row>
    <row r="262">
      <c r="C262" s="79"/>
      <c r="D262" s="79"/>
      <c r="E262" s="79"/>
      <c r="P262" s="79"/>
      <c r="Q262" s="79"/>
      <c r="R262" s="79"/>
      <c r="Y262" s="79"/>
      <c r="AC262" s="130"/>
      <c r="AE262" s="106"/>
    </row>
    <row r="263">
      <c r="C263" s="79"/>
      <c r="D263" s="79"/>
      <c r="E263" s="79"/>
      <c r="P263" s="79"/>
      <c r="Q263" s="79"/>
      <c r="R263" s="79"/>
      <c r="Y263" s="79"/>
      <c r="AC263" s="130"/>
      <c r="AE263" s="106"/>
    </row>
    <row r="264">
      <c r="C264" s="79"/>
      <c r="D264" s="79"/>
      <c r="E264" s="79"/>
      <c r="P264" s="79"/>
      <c r="Q264" s="79"/>
      <c r="R264" s="79"/>
      <c r="Y264" s="79"/>
      <c r="AC264" s="130"/>
      <c r="AE264" s="106"/>
    </row>
    <row r="265">
      <c r="C265" s="79"/>
      <c r="D265" s="79"/>
      <c r="E265" s="79"/>
      <c r="P265" s="79"/>
      <c r="Q265" s="79"/>
      <c r="R265" s="79"/>
      <c r="Y265" s="79"/>
      <c r="AC265" s="130"/>
      <c r="AE265" s="106"/>
    </row>
    <row r="266">
      <c r="C266" s="79"/>
      <c r="D266" s="79"/>
      <c r="E266" s="79"/>
      <c r="P266" s="79"/>
      <c r="Q266" s="79"/>
      <c r="R266" s="79"/>
      <c r="Y266" s="79"/>
      <c r="AC266" s="130"/>
      <c r="AE266" s="106"/>
    </row>
    <row r="267">
      <c r="C267" s="79"/>
      <c r="D267" s="79"/>
      <c r="E267" s="79"/>
      <c r="P267" s="79"/>
      <c r="Q267" s="79"/>
      <c r="R267" s="79"/>
      <c r="Y267" s="79"/>
      <c r="AC267" s="130"/>
      <c r="AE267" s="106"/>
    </row>
    <row r="268">
      <c r="C268" s="79"/>
      <c r="D268" s="79"/>
      <c r="E268" s="79"/>
      <c r="P268" s="79"/>
      <c r="Q268" s="79"/>
      <c r="R268" s="79"/>
      <c r="Y268" s="79"/>
      <c r="AC268" s="130"/>
      <c r="AE268" s="106"/>
    </row>
    <row r="269">
      <c r="C269" s="79"/>
      <c r="D269" s="79"/>
      <c r="E269" s="79"/>
      <c r="P269" s="79"/>
      <c r="Q269" s="79"/>
      <c r="R269" s="79"/>
      <c r="Y269" s="79"/>
      <c r="AC269" s="130"/>
      <c r="AE269" s="106"/>
    </row>
    <row r="270">
      <c r="C270" s="79"/>
      <c r="D270" s="79"/>
      <c r="E270" s="79"/>
      <c r="P270" s="79"/>
      <c r="Q270" s="79"/>
      <c r="R270" s="79"/>
      <c r="Y270" s="79"/>
      <c r="AC270" s="130"/>
      <c r="AE270" s="106"/>
    </row>
    <row r="271">
      <c r="C271" s="79"/>
      <c r="D271" s="79"/>
      <c r="E271" s="79"/>
      <c r="P271" s="79"/>
      <c r="Q271" s="79"/>
      <c r="R271" s="79"/>
      <c r="Y271" s="79"/>
      <c r="AC271" s="130"/>
      <c r="AE271" s="106"/>
    </row>
    <row r="272">
      <c r="C272" s="79"/>
      <c r="D272" s="79"/>
      <c r="E272" s="79"/>
      <c r="P272" s="79"/>
      <c r="Q272" s="79"/>
      <c r="R272" s="79"/>
      <c r="Y272" s="79"/>
      <c r="AC272" s="130"/>
      <c r="AE272" s="106"/>
    </row>
    <row r="273">
      <c r="C273" s="79"/>
      <c r="D273" s="79"/>
      <c r="E273" s="79"/>
      <c r="P273" s="79"/>
      <c r="Q273" s="79"/>
      <c r="R273" s="79"/>
      <c r="Y273" s="79"/>
      <c r="AC273" s="130"/>
      <c r="AE273" s="106"/>
    </row>
    <row r="274">
      <c r="C274" s="79"/>
      <c r="D274" s="79"/>
      <c r="E274" s="79"/>
      <c r="P274" s="79"/>
      <c r="Q274" s="79"/>
      <c r="R274" s="79"/>
      <c r="Y274" s="79"/>
      <c r="AC274" s="130"/>
      <c r="AE274" s="106"/>
    </row>
    <row r="275">
      <c r="C275" s="79"/>
      <c r="D275" s="79"/>
      <c r="E275" s="79"/>
      <c r="P275" s="79"/>
      <c r="Q275" s="79"/>
      <c r="R275" s="79"/>
      <c r="Y275" s="79"/>
      <c r="AC275" s="130"/>
      <c r="AE275" s="106"/>
    </row>
    <row r="276">
      <c r="C276" s="79"/>
      <c r="D276" s="79"/>
      <c r="E276" s="79"/>
      <c r="P276" s="79"/>
      <c r="Q276" s="79"/>
      <c r="R276" s="79"/>
      <c r="Y276" s="79"/>
      <c r="AC276" s="130"/>
      <c r="AE276" s="106"/>
    </row>
    <row r="277">
      <c r="C277" s="79"/>
      <c r="D277" s="79"/>
      <c r="E277" s="79"/>
      <c r="P277" s="79"/>
      <c r="Q277" s="79"/>
      <c r="R277" s="79"/>
      <c r="Y277" s="79"/>
      <c r="AC277" s="130"/>
      <c r="AE277" s="106"/>
    </row>
    <row r="278">
      <c r="C278" s="79"/>
      <c r="D278" s="79"/>
      <c r="E278" s="79"/>
      <c r="P278" s="79"/>
      <c r="Q278" s="79"/>
      <c r="R278" s="79"/>
      <c r="Y278" s="79"/>
      <c r="AC278" s="130"/>
      <c r="AE278" s="106"/>
    </row>
    <row r="279">
      <c r="C279" s="79"/>
      <c r="D279" s="79"/>
      <c r="E279" s="79"/>
      <c r="P279" s="79"/>
      <c r="Q279" s="79"/>
      <c r="R279" s="79"/>
      <c r="Y279" s="79"/>
      <c r="AC279" s="130"/>
      <c r="AE279" s="106"/>
    </row>
    <row r="280">
      <c r="C280" s="79"/>
      <c r="D280" s="79"/>
      <c r="E280" s="79"/>
      <c r="P280" s="79"/>
      <c r="Q280" s="79"/>
      <c r="R280" s="79"/>
      <c r="Y280" s="79"/>
      <c r="AC280" s="130"/>
      <c r="AE280" s="106"/>
    </row>
    <row r="281">
      <c r="C281" s="79"/>
      <c r="D281" s="79"/>
      <c r="E281" s="79"/>
      <c r="P281" s="79"/>
      <c r="Q281" s="79"/>
      <c r="R281" s="79"/>
      <c r="Y281" s="79"/>
      <c r="AC281" s="130"/>
      <c r="AE281" s="106"/>
    </row>
    <row r="282">
      <c r="C282" s="79"/>
      <c r="D282" s="79"/>
      <c r="E282" s="79"/>
      <c r="P282" s="79"/>
      <c r="Q282" s="79"/>
      <c r="R282" s="79"/>
      <c r="Y282" s="79"/>
      <c r="AC282" s="130"/>
      <c r="AE282" s="106"/>
    </row>
    <row r="283">
      <c r="C283" s="79"/>
      <c r="D283" s="79"/>
      <c r="E283" s="79"/>
      <c r="P283" s="79"/>
      <c r="Q283" s="79"/>
      <c r="R283" s="79"/>
      <c r="Y283" s="79"/>
      <c r="AC283" s="130"/>
      <c r="AE283" s="106"/>
    </row>
    <row r="284">
      <c r="C284" s="79"/>
      <c r="D284" s="79"/>
      <c r="E284" s="79"/>
      <c r="P284" s="79"/>
      <c r="Q284" s="79"/>
      <c r="R284" s="79"/>
      <c r="Y284" s="79"/>
      <c r="AC284" s="130"/>
      <c r="AE284" s="106"/>
    </row>
    <row r="285">
      <c r="C285" s="79"/>
      <c r="D285" s="79"/>
      <c r="E285" s="79"/>
      <c r="P285" s="79"/>
      <c r="Q285" s="79"/>
      <c r="R285" s="79"/>
      <c r="Y285" s="79"/>
      <c r="AC285" s="130"/>
      <c r="AE285" s="106"/>
    </row>
    <row r="286">
      <c r="C286" s="79"/>
      <c r="D286" s="79"/>
      <c r="E286" s="79"/>
      <c r="P286" s="79"/>
      <c r="Q286" s="79"/>
      <c r="R286" s="79"/>
      <c r="Y286" s="79"/>
      <c r="AC286" s="130"/>
      <c r="AE286" s="106"/>
    </row>
    <row r="287">
      <c r="C287" s="79"/>
      <c r="D287" s="79"/>
      <c r="E287" s="79"/>
      <c r="P287" s="79"/>
      <c r="Q287" s="79"/>
      <c r="R287" s="79"/>
      <c r="Y287" s="79"/>
      <c r="AC287" s="130"/>
      <c r="AE287" s="106"/>
    </row>
    <row r="288">
      <c r="C288" s="79"/>
      <c r="D288" s="79"/>
      <c r="E288" s="79"/>
      <c r="P288" s="79"/>
      <c r="Q288" s="79"/>
      <c r="R288" s="79"/>
      <c r="Y288" s="79"/>
      <c r="AC288" s="130"/>
      <c r="AE288" s="106"/>
    </row>
    <row r="289">
      <c r="C289" s="79"/>
      <c r="D289" s="79"/>
      <c r="E289" s="79"/>
      <c r="P289" s="79"/>
      <c r="Q289" s="79"/>
      <c r="R289" s="79"/>
      <c r="Y289" s="79"/>
      <c r="AC289" s="130"/>
      <c r="AE289" s="106"/>
    </row>
    <row r="290">
      <c r="C290" s="79"/>
      <c r="D290" s="79"/>
      <c r="E290" s="79"/>
      <c r="P290" s="79"/>
      <c r="Q290" s="79"/>
      <c r="R290" s="79"/>
      <c r="Y290" s="79"/>
      <c r="AC290" s="130"/>
      <c r="AE290" s="106"/>
    </row>
    <row r="291">
      <c r="C291" s="79"/>
      <c r="D291" s="79"/>
      <c r="E291" s="79"/>
      <c r="P291" s="79"/>
      <c r="Q291" s="79"/>
      <c r="R291" s="79"/>
      <c r="Y291" s="79"/>
      <c r="AC291" s="130"/>
      <c r="AE291" s="106"/>
    </row>
    <row r="292">
      <c r="C292" s="79"/>
      <c r="D292" s="79"/>
      <c r="E292" s="79"/>
      <c r="P292" s="79"/>
      <c r="Q292" s="79"/>
      <c r="R292" s="79"/>
      <c r="Y292" s="79"/>
      <c r="AC292" s="130"/>
      <c r="AE292" s="106"/>
    </row>
    <row r="293">
      <c r="C293" s="79"/>
      <c r="D293" s="79"/>
      <c r="E293" s="79"/>
      <c r="P293" s="79"/>
      <c r="Q293" s="79"/>
      <c r="R293" s="79"/>
      <c r="Y293" s="79"/>
      <c r="AC293" s="130"/>
      <c r="AE293" s="106"/>
    </row>
    <row r="294">
      <c r="C294" s="79"/>
      <c r="D294" s="79"/>
      <c r="E294" s="79"/>
      <c r="P294" s="79"/>
      <c r="Q294" s="79"/>
      <c r="R294" s="79"/>
      <c r="Y294" s="79"/>
      <c r="AC294" s="130"/>
      <c r="AE294" s="106"/>
    </row>
    <row r="295">
      <c r="C295" s="79"/>
      <c r="D295" s="79"/>
      <c r="E295" s="79"/>
      <c r="P295" s="79"/>
      <c r="Q295" s="79"/>
      <c r="R295" s="79"/>
      <c r="Y295" s="79"/>
      <c r="AC295" s="130"/>
      <c r="AE295" s="106"/>
    </row>
    <row r="296">
      <c r="C296" s="79"/>
      <c r="D296" s="79"/>
      <c r="E296" s="79"/>
      <c r="P296" s="79"/>
      <c r="Q296" s="79"/>
      <c r="R296" s="79"/>
      <c r="Y296" s="79"/>
      <c r="AC296" s="130"/>
      <c r="AE296" s="106"/>
    </row>
    <row r="297">
      <c r="C297" s="79"/>
      <c r="D297" s="79"/>
      <c r="E297" s="79"/>
      <c r="P297" s="79"/>
      <c r="Q297" s="79"/>
      <c r="R297" s="79"/>
      <c r="Y297" s="79"/>
      <c r="AC297" s="130"/>
      <c r="AE297" s="106"/>
    </row>
    <row r="298">
      <c r="C298" s="79"/>
      <c r="D298" s="79"/>
      <c r="E298" s="79"/>
      <c r="P298" s="79"/>
      <c r="Q298" s="79"/>
      <c r="R298" s="79"/>
      <c r="Y298" s="79"/>
      <c r="AC298" s="130"/>
      <c r="AE298" s="106"/>
    </row>
    <row r="299">
      <c r="C299" s="79"/>
      <c r="D299" s="79"/>
      <c r="E299" s="79"/>
      <c r="P299" s="79"/>
      <c r="Q299" s="79"/>
      <c r="R299" s="79"/>
      <c r="Y299" s="79"/>
      <c r="AC299" s="130"/>
      <c r="AE299" s="106"/>
    </row>
    <row r="300">
      <c r="C300" s="79"/>
      <c r="D300" s="79"/>
      <c r="E300" s="79"/>
      <c r="P300" s="79"/>
      <c r="Q300" s="79"/>
      <c r="R300" s="79"/>
      <c r="Y300" s="79"/>
      <c r="AC300" s="130"/>
      <c r="AE300" s="106"/>
    </row>
    <row r="301">
      <c r="C301" s="79"/>
      <c r="D301" s="79"/>
      <c r="E301" s="79"/>
      <c r="P301" s="79"/>
      <c r="Q301" s="79"/>
      <c r="R301" s="79"/>
      <c r="Y301" s="79"/>
      <c r="AC301" s="130"/>
      <c r="AE301" s="106"/>
    </row>
    <row r="302">
      <c r="C302" s="79"/>
      <c r="D302" s="79"/>
      <c r="E302" s="79"/>
      <c r="P302" s="79"/>
      <c r="Q302" s="79"/>
      <c r="R302" s="79"/>
      <c r="Y302" s="79"/>
      <c r="AC302" s="130"/>
      <c r="AE302" s="106"/>
    </row>
    <row r="303">
      <c r="C303" s="79"/>
      <c r="D303" s="79"/>
      <c r="E303" s="79"/>
      <c r="P303" s="79"/>
      <c r="Q303" s="79"/>
      <c r="R303" s="79"/>
      <c r="Y303" s="79"/>
      <c r="AC303" s="130"/>
      <c r="AE303" s="106"/>
    </row>
    <row r="304">
      <c r="C304" s="79"/>
      <c r="D304" s="79"/>
      <c r="E304" s="79"/>
      <c r="P304" s="79"/>
      <c r="Q304" s="79"/>
      <c r="R304" s="79"/>
      <c r="Y304" s="79"/>
      <c r="AC304" s="130"/>
      <c r="AE304" s="106"/>
    </row>
    <row r="305">
      <c r="C305" s="79"/>
      <c r="D305" s="79"/>
      <c r="E305" s="79"/>
      <c r="P305" s="79"/>
      <c r="Q305" s="79"/>
      <c r="R305" s="79"/>
      <c r="Y305" s="79"/>
      <c r="AC305" s="130"/>
      <c r="AE305" s="106"/>
    </row>
    <row r="306">
      <c r="C306" s="79"/>
      <c r="D306" s="79"/>
      <c r="E306" s="79"/>
      <c r="P306" s="79"/>
      <c r="Q306" s="79"/>
      <c r="R306" s="79"/>
      <c r="Y306" s="79"/>
      <c r="AC306" s="130"/>
      <c r="AE306" s="106"/>
    </row>
    <row r="307">
      <c r="C307" s="79"/>
      <c r="D307" s="79"/>
      <c r="E307" s="79"/>
      <c r="P307" s="79"/>
      <c r="Q307" s="79"/>
      <c r="R307" s="79"/>
      <c r="Y307" s="79"/>
      <c r="AC307" s="130"/>
      <c r="AE307" s="106"/>
    </row>
    <row r="308">
      <c r="C308" s="79"/>
      <c r="D308" s="79"/>
      <c r="E308" s="79"/>
      <c r="P308" s="79"/>
      <c r="Q308" s="79"/>
      <c r="R308" s="79"/>
      <c r="Y308" s="79"/>
      <c r="AC308" s="130"/>
      <c r="AE308" s="106"/>
    </row>
    <row r="309">
      <c r="C309" s="79"/>
      <c r="D309" s="79"/>
      <c r="E309" s="79"/>
      <c r="P309" s="79"/>
      <c r="Q309" s="79"/>
      <c r="R309" s="79"/>
      <c r="Y309" s="79"/>
      <c r="AC309" s="130"/>
      <c r="AE309" s="106"/>
    </row>
    <row r="310">
      <c r="C310" s="79"/>
      <c r="D310" s="79"/>
      <c r="E310" s="79"/>
      <c r="P310" s="79"/>
      <c r="Q310" s="79"/>
      <c r="R310" s="79"/>
      <c r="Y310" s="79"/>
      <c r="AC310" s="130"/>
      <c r="AE310" s="106"/>
    </row>
    <row r="311">
      <c r="C311" s="79"/>
      <c r="D311" s="79"/>
      <c r="E311" s="79"/>
      <c r="P311" s="79"/>
      <c r="Q311" s="79"/>
      <c r="R311" s="79"/>
      <c r="Y311" s="79"/>
      <c r="AC311" s="130"/>
      <c r="AE311" s="106"/>
    </row>
    <row r="312">
      <c r="C312" s="79"/>
      <c r="D312" s="79"/>
      <c r="E312" s="79"/>
      <c r="P312" s="79"/>
      <c r="Q312" s="79"/>
      <c r="R312" s="79"/>
      <c r="Y312" s="79"/>
      <c r="AC312" s="130"/>
      <c r="AE312" s="106"/>
    </row>
    <row r="313">
      <c r="C313" s="79"/>
      <c r="D313" s="79"/>
      <c r="E313" s="79"/>
      <c r="P313" s="79"/>
      <c r="Q313" s="79"/>
      <c r="R313" s="79"/>
      <c r="Y313" s="79"/>
      <c r="AC313" s="130"/>
      <c r="AE313" s="106"/>
    </row>
    <row r="314">
      <c r="C314" s="79"/>
      <c r="D314" s="79"/>
      <c r="E314" s="79"/>
      <c r="P314" s="79"/>
      <c r="Q314" s="79"/>
      <c r="R314" s="79"/>
      <c r="Y314" s="79"/>
      <c r="AC314" s="130"/>
      <c r="AE314" s="106"/>
    </row>
    <row r="315">
      <c r="C315" s="79"/>
      <c r="D315" s="79"/>
      <c r="E315" s="79"/>
      <c r="P315" s="79"/>
      <c r="Q315" s="79"/>
      <c r="R315" s="79"/>
      <c r="Y315" s="79"/>
      <c r="AC315" s="130"/>
      <c r="AE315" s="106"/>
    </row>
    <row r="316">
      <c r="C316" s="79"/>
      <c r="D316" s="79"/>
      <c r="E316" s="79"/>
      <c r="P316" s="79"/>
      <c r="Q316" s="79"/>
      <c r="R316" s="79"/>
      <c r="Y316" s="79"/>
      <c r="AC316" s="130"/>
      <c r="AE316" s="106"/>
    </row>
    <row r="317">
      <c r="C317" s="79"/>
      <c r="D317" s="79"/>
      <c r="E317" s="79"/>
      <c r="P317" s="79"/>
      <c r="Q317" s="79"/>
      <c r="R317" s="79"/>
      <c r="Y317" s="79"/>
      <c r="AC317" s="130"/>
      <c r="AE317" s="106"/>
    </row>
    <row r="318">
      <c r="C318" s="79"/>
      <c r="D318" s="79"/>
      <c r="E318" s="79"/>
      <c r="P318" s="79"/>
      <c r="Q318" s="79"/>
      <c r="R318" s="79"/>
      <c r="Y318" s="79"/>
      <c r="AC318" s="130"/>
      <c r="AE318" s="106"/>
    </row>
    <row r="319">
      <c r="C319" s="79"/>
      <c r="D319" s="79"/>
      <c r="E319" s="79"/>
      <c r="P319" s="79"/>
      <c r="Q319" s="79"/>
      <c r="R319" s="79"/>
      <c r="Y319" s="79"/>
      <c r="AC319" s="130"/>
      <c r="AE319" s="106"/>
    </row>
    <row r="320">
      <c r="C320" s="79"/>
      <c r="D320" s="79"/>
      <c r="E320" s="79"/>
      <c r="P320" s="79"/>
      <c r="Q320" s="79"/>
      <c r="R320" s="79"/>
      <c r="Y320" s="79"/>
      <c r="AC320" s="130"/>
      <c r="AE320" s="106"/>
    </row>
    <row r="321">
      <c r="C321" s="79"/>
      <c r="D321" s="79"/>
      <c r="E321" s="79"/>
      <c r="P321" s="79"/>
      <c r="Q321" s="79"/>
      <c r="R321" s="79"/>
      <c r="Y321" s="79"/>
      <c r="AC321" s="130"/>
      <c r="AE321" s="106"/>
    </row>
    <row r="322">
      <c r="C322" s="79"/>
      <c r="D322" s="79"/>
      <c r="E322" s="79"/>
      <c r="P322" s="79"/>
      <c r="Q322" s="79"/>
      <c r="R322" s="79"/>
      <c r="Y322" s="79"/>
      <c r="AC322" s="130"/>
      <c r="AE322" s="106"/>
    </row>
    <row r="323">
      <c r="C323" s="79"/>
      <c r="D323" s="79"/>
      <c r="E323" s="79"/>
      <c r="P323" s="79"/>
      <c r="Q323" s="79"/>
      <c r="R323" s="79"/>
      <c r="Y323" s="79"/>
      <c r="AC323" s="130"/>
      <c r="AE323" s="106"/>
    </row>
    <row r="324">
      <c r="C324" s="79"/>
      <c r="D324" s="79"/>
      <c r="E324" s="79"/>
      <c r="P324" s="79"/>
      <c r="Q324" s="79"/>
      <c r="R324" s="79"/>
      <c r="Y324" s="79"/>
      <c r="AC324" s="130"/>
      <c r="AE324" s="106"/>
    </row>
    <row r="325">
      <c r="C325" s="79"/>
      <c r="D325" s="79"/>
      <c r="E325" s="79"/>
      <c r="P325" s="79"/>
      <c r="Q325" s="79"/>
      <c r="R325" s="79"/>
      <c r="Y325" s="79"/>
      <c r="AC325" s="130"/>
      <c r="AE325" s="106"/>
    </row>
    <row r="326">
      <c r="C326" s="79"/>
      <c r="D326" s="79"/>
      <c r="E326" s="79"/>
      <c r="P326" s="79"/>
      <c r="Q326" s="79"/>
      <c r="R326" s="79"/>
      <c r="Y326" s="79"/>
      <c r="AC326" s="130"/>
      <c r="AE326" s="106"/>
    </row>
    <row r="327">
      <c r="C327" s="79"/>
      <c r="D327" s="79"/>
      <c r="E327" s="79"/>
      <c r="P327" s="79"/>
      <c r="Q327" s="79"/>
      <c r="R327" s="79"/>
      <c r="Y327" s="79"/>
      <c r="AC327" s="130"/>
      <c r="AE327" s="106"/>
    </row>
    <row r="328">
      <c r="C328" s="79"/>
      <c r="D328" s="79"/>
      <c r="E328" s="79"/>
      <c r="P328" s="79"/>
      <c r="Q328" s="79"/>
      <c r="R328" s="79"/>
      <c r="Y328" s="79"/>
      <c r="AC328" s="130"/>
      <c r="AE328" s="106"/>
    </row>
    <row r="329">
      <c r="C329" s="79"/>
      <c r="D329" s="79"/>
      <c r="E329" s="79"/>
      <c r="P329" s="79"/>
      <c r="Q329" s="79"/>
      <c r="R329" s="79"/>
      <c r="Y329" s="79"/>
      <c r="AC329" s="130"/>
      <c r="AE329" s="106"/>
    </row>
    <row r="330">
      <c r="C330" s="79"/>
      <c r="D330" s="79"/>
      <c r="E330" s="79"/>
      <c r="P330" s="79"/>
      <c r="Q330" s="79"/>
      <c r="R330" s="79"/>
      <c r="Y330" s="79"/>
      <c r="AC330" s="130"/>
      <c r="AE330" s="106"/>
    </row>
    <row r="331">
      <c r="C331" s="79"/>
      <c r="D331" s="79"/>
      <c r="E331" s="79"/>
      <c r="P331" s="79"/>
      <c r="Q331" s="79"/>
      <c r="R331" s="79"/>
      <c r="Y331" s="79"/>
      <c r="AC331" s="130"/>
      <c r="AE331" s="106"/>
    </row>
    <row r="332">
      <c r="C332" s="79"/>
      <c r="D332" s="79"/>
      <c r="E332" s="79"/>
      <c r="P332" s="79"/>
      <c r="Q332" s="79"/>
      <c r="R332" s="79"/>
      <c r="Y332" s="79"/>
      <c r="AC332" s="130"/>
      <c r="AE332" s="106"/>
    </row>
    <row r="333">
      <c r="C333" s="79"/>
      <c r="D333" s="79"/>
      <c r="E333" s="79"/>
      <c r="P333" s="79"/>
      <c r="Q333" s="79"/>
      <c r="R333" s="79"/>
      <c r="Y333" s="79"/>
      <c r="AC333" s="130"/>
      <c r="AE333" s="106"/>
    </row>
    <row r="334">
      <c r="C334" s="79"/>
      <c r="D334" s="79"/>
      <c r="E334" s="79"/>
      <c r="P334" s="79"/>
      <c r="Q334" s="79"/>
      <c r="R334" s="79"/>
      <c r="Y334" s="79"/>
      <c r="AC334" s="130"/>
      <c r="AE334" s="106"/>
    </row>
    <row r="335">
      <c r="C335" s="79"/>
      <c r="D335" s="79"/>
      <c r="E335" s="79"/>
      <c r="P335" s="79"/>
      <c r="Q335" s="79"/>
      <c r="R335" s="79"/>
      <c r="Y335" s="79"/>
      <c r="AC335" s="130"/>
      <c r="AE335" s="106"/>
    </row>
    <row r="336">
      <c r="C336" s="79"/>
      <c r="D336" s="79"/>
      <c r="E336" s="79"/>
      <c r="P336" s="79"/>
      <c r="Q336" s="79"/>
      <c r="R336" s="79"/>
      <c r="Y336" s="79"/>
      <c r="AC336" s="130"/>
      <c r="AE336" s="106"/>
    </row>
    <row r="337">
      <c r="C337" s="79"/>
      <c r="D337" s="79"/>
      <c r="E337" s="79"/>
      <c r="P337" s="79"/>
      <c r="Q337" s="79"/>
      <c r="R337" s="79"/>
      <c r="Y337" s="79"/>
      <c r="AC337" s="130"/>
      <c r="AE337" s="106"/>
    </row>
    <row r="338">
      <c r="C338" s="79"/>
      <c r="D338" s="79"/>
      <c r="E338" s="79"/>
      <c r="P338" s="79"/>
      <c r="Q338" s="79"/>
      <c r="R338" s="79"/>
      <c r="Y338" s="79"/>
      <c r="AC338" s="130"/>
      <c r="AE338" s="106"/>
    </row>
    <row r="339">
      <c r="C339" s="79"/>
      <c r="D339" s="79"/>
      <c r="E339" s="79"/>
      <c r="P339" s="79"/>
      <c r="Q339" s="79"/>
      <c r="R339" s="79"/>
      <c r="Y339" s="79"/>
      <c r="AC339" s="130"/>
      <c r="AE339" s="106"/>
    </row>
    <row r="340">
      <c r="C340" s="79"/>
      <c r="D340" s="79"/>
      <c r="E340" s="79"/>
      <c r="P340" s="79"/>
      <c r="Q340" s="79"/>
      <c r="R340" s="79"/>
      <c r="Y340" s="79"/>
      <c r="AC340" s="130"/>
      <c r="AE340" s="106"/>
    </row>
    <row r="341">
      <c r="C341" s="79"/>
      <c r="D341" s="79"/>
      <c r="E341" s="79"/>
      <c r="P341" s="79"/>
      <c r="Q341" s="79"/>
      <c r="R341" s="79"/>
      <c r="Y341" s="79"/>
      <c r="AC341" s="130"/>
      <c r="AE341" s="106"/>
    </row>
    <row r="342">
      <c r="C342" s="79"/>
      <c r="D342" s="79"/>
      <c r="E342" s="79"/>
      <c r="P342" s="79"/>
      <c r="Q342" s="79"/>
      <c r="R342" s="79"/>
      <c r="Y342" s="79"/>
      <c r="AC342" s="130"/>
      <c r="AE342" s="106"/>
    </row>
    <row r="343">
      <c r="C343" s="79"/>
      <c r="D343" s="79"/>
      <c r="E343" s="79"/>
      <c r="P343" s="79"/>
      <c r="Q343" s="79"/>
      <c r="R343" s="79"/>
      <c r="Y343" s="79"/>
      <c r="AC343" s="130"/>
      <c r="AE343" s="106"/>
    </row>
    <row r="344">
      <c r="C344" s="79"/>
      <c r="D344" s="79"/>
      <c r="E344" s="79"/>
      <c r="P344" s="79"/>
      <c r="Q344" s="79"/>
      <c r="R344" s="79"/>
      <c r="Y344" s="79"/>
      <c r="AC344" s="130"/>
      <c r="AE344" s="106"/>
    </row>
    <row r="345">
      <c r="C345" s="79"/>
      <c r="D345" s="79"/>
      <c r="E345" s="79"/>
      <c r="P345" s="79"/>
      <c r="Q345" s="79"/>
      <c r="R345" s="79"/>
      <c r="Y345" s="79"/>
      <c r="AC345" s="130"/>
      <c r="AE345" s="106"/>
    </row>
    <row r="346">
      <c r="C346" s="79"/>
      <c r="D346" s="79"/>
      <c r="E346" s="79"/>
      <c r="P346" s="79"/>
      <c r="Q346" s="79"/>
      <c r="R346" s="79"/>
      <c r="Y346" s="79"/>
      <c r="AC346" s="130"/>
      <c r="AE346" s="106"/>
    </row>
    <row r="347">
      <c r="C347" s="79"/>
      <c r="D347" s="79"/>
      <c r="E347" s="79"/>
      <c r="P347" s="79"/>
      <c r="Q347" s="79"/>
      <c r="R347" s="79"/>
      <c r="Y347" s="79"/>
      <c r="AC347" s="130"/>
      <c r="AE347" s="106"/>
    </row>
    <row r="348">
      <c r="C348" s="79"/>
      <c r="D348" s="79"/>
      <c r="E348" s="79"/>
      <c r="P348" s="79"/>
      <c r="Q348" s="79"/>
      <c r="R348" s="79"/>
      <c r="Y348" s="79"/>
      <c r="AC348" s="130"/>
      <c r="AE348" s="106"/>
    </row>
    <row r="349">
      <c r="C349" s="79"/>
      <c r="D349" s="79"/>
      <c r="E349" s="79"/>
      <c r="P349" s="79"/>
      <c r="Q349" s="79"/>
      <c r="R349" s="79"/>
      <c r="Y349" s="79"/>
      <c r="AC349" s="130"/>
      <c r="AE349" s="106"/>
    </row>
    <row r="350">
      <c r="C350" s="79"/>
      <c r="D350" s="79"/>
      <c r="E350" s="79"/>
      <c r="P350" s="79"/>
      <c r="Q350" s="79"/>
      <c r="R350" s="79"/>
      <c r="Y350" s="79"/>
      <c r="AC350" s="130"/>
      <c r="AE350" s="106"/>
    </row>
    <row r="351">
      <c r="C351" s="79"/>
      <c r="D351" s="79"/>
      <c r="E351" s="79"/>
      <c r="P351" s="79"/>
      <c r="Q351" s="79"/>
      <c r="R351" s="79"/>
      <c r="Y351" s="79"/>
      <c r="AC351" s="130"/>
      <c r="AE351" s="106"/>
    </row>
    <row r="352">
      <c r="C352" s="79"/>
      <c r="D352" s="79"/>
      <c r="E352" s="79"/>
      <c r="P352" s="79"/>
      <c r="Q352" s="79"/>
      <c r="R352" s="79"/>
      <c r="Y352" s="79"/>
      <c r="AC352" s="130"/>
      <c r="AE352" s="106"/>
    </row>
    <row r="353">
      <c r="C353" s="79"/>
      <c r="D353" s="79"/>
      <c r="E353" s="79"/>
      <c r="P353" s="79"/>
      <c r="Q353" s="79"/>
      <c r="R353" s="79"/>
      <c r="Y353" s="79"/>
      <c r="AC353" s="130"/>
      <c r="AE353" s="106"/>
    </row>
    <row r="354">
      <c r="C354" s="79"/>
      <c r="D354" s="79"/>
      <c r="E354" s="79"/>
      <c r="P354" s="79"/>
      <c r="Q354" s="79"/>
      <c r="R354" s="79"/>
      <c r="Y354" s="79"/>
      <c r="AC354" s="130"/>
      <c r="AE354" s="106"/>
    </row>
    <row r="355">
      <c r="C355" s="79"/>
      <c r="D355" s="79"/>
      <c r="E355" s="79"/>
      <c r="P355" s="79"/>
      <c r="Q355" s="79"/>
      <c r="R355" s="79"/>
      <c r="Y355" s="79"/>
      <c r="AC355" s="130"/>
      <c r="AE355" s="106"/>
    </row>
    <row r="356">
      <c r="C356" s="79"/>
      <c r="D356" s="79"/>
      <c r="E356" s="79"/>
      <c r="P356" s="79"/>
      <c r="Q356" s="79"/>
      <c r="R356" s="79"/>
      <c r="Y356" s="79"/>
      <c r="AC356" s="130"/>
      <c r="AE356" s="106"/>
    </row>
    <row r="357">
      <c r="C357" s="79"/>
      <c r="D357" s="79"/>
      <c r="E357" s="79"/>
      <c r="P357" s="79"/>
      <c r="Q357" s="79"/>
      <c r="R357" s="79"/>
      <c r="Y357" s="79"/>
      <c r="AC357" s="130"/>
      <c r="AE357" s="106"/>
    </row>
    <row r="358">
      <c r="C358" s="79"/>
      <c r="D358" s="79"/>
      <c r="E358" s="79"/>
      <c r="P358" s="79"/>
      <c r="Q358" s="79"/>
      <c r="R358" s="79"/>
      <c r="Y358" s="79"/>
      <c r="AC358" s="130"/>
      <c r="AE358" s="106"/>
    </row>
    <row r="359">
      <c r="C359" s="79"/>
      <c r="D359" s="79"/>
      <c r="E359" s="79"/>
      <c r="P359" s="79"/>
      <c r="Q359" s="79"/>
      <c r="R359" s="79"/>
      <c r="Y359" s="79"/>
      <c r="AC359" s="130"/>
      <c r="AE359" s="106"/>
    </row>
    <row r="360">
      <c r="C360" s="79"/>
      <c r="D360" s="79"/>
      <c r="E360" s="79"/>
      <c r="P360" s="79"/>
      <c r="Q360" s="79"/>
      <c r="R360" s="79"/>
      <c r="Y360" s="79"/>
      <c r="AC360" s="130"/>
      <c r="AE360" s="106"/>
    </row>
    <row r="361">
      <c r="C361" s="79"/>
      <c r="D361" s="79"/>
      <c r="E361" s="79"/>
      <c r="P361" s="79"/>
      <c r="Q361" s="79"/>
      <c r="R361" s="79"/>
      <c r="Y361" s="79"/>
      <c r="AC361" s="130"/>
      <c r="AE361" s="106"/>
    </row>
    <row r="362">
      <c r="C362" s="79"/>
      <c r="D362" s="79"/>
      <c r="E362" s="79"/>
      <c r="P362" s="79"/>
      <c r="Q362" s="79"/>
      <c r="R362" s="79"/>
      <c r="Y362" s="79"/>
      <c r="AC362" s="130"/>
      <c r="AE362" s="106"/>
    </row>
    <row r="363">
      <c r="C363" s="79"/>
      <c r="D363" s="79"/>
      <c r="E363" s="79"/>
      <c r="P363" s="79"/>
      <c r="Q363" s="79"/>
      <c r="R363" s="79"/>
      <c r="Y363" s="79"/>
      <c r="AC363" s="130"/>
      <c r="AE363" s="106"/>
    </row>
    <row r="364">
      <c r="C364" s="79"/>
      <c r="D364" s="79"/>
      <c r="E364" s="79"/>
      <c r="P364" s="79"/>
      <c r="Q364" s="79"/>
      <c r="R364" s="79"/>
      <c r="Y364" s="79"/>
      <c r="AC364" s="130"/>
      <c r="AE364" s="106"/>
    </row>
    <row r="365">
      <c r="C365" s="79"/>
      <c r="D365" s="79"/>
      <c r="E365" s="79"/>
      <c r="P365" s="79"/>
      <c r="Q365" s="79"/>
      <c r="R365" s="79"/>
      <c r="Y365" s="79"/>
      <c r="AC365" s="130"/>
      <c r="AE365" s="106"/>
    </row>
    <row r="366">
      <c r="C366" s="79"/>
      <c r="D366" s="79"/>
      <c r="E366" s="79"/>
      <c r="P366" s="79"/>
      <c r="Q366" s="79"/>
      <c r="R366" s="79"/>
      <c r="Y366" s="79"/>
      <c r="AC366" s="130"/>
      <c r="AE366" s="106"/>
    </row>
    <row r="367">
      <c r="C367" s="79"/>
      <c r="D367" s="79"/>
      <c r="E367" s="79"/>
      <c r="P367" s="79"/>
      <c r="Q367" s="79"/>
      <c r="R367" s="79"/>
      <c r="Y367" s="79"/>
      <c r="AC367" s="130"/>
      <c r="AE367" s="106"/>
    </row>
    <row r="368">
      <c r="C368" s="79"/>
      <c r="D368" s="79"/>
      <c r="E368" s="79"/>
      <c r="P368" s="79"/>
      <c r="Q368" s="79"/>
      <c r="R368" s="79"/>
      <c r="Y368" s="79"/>
      <c r="AC368" s="130"/>
      <c r="AE368" s="106"/>
    </row>
    <row r="369">
      <c r="C369" s="79"/>
      <c r="D369" s="79"/>
      <c r="E369" s="79"/>
      <c r="P369" s="79"/>
      <c r="Q369" s="79"/>
      <c r="R369" s="79"/>
      <c r="Y369" s="79"/>
      <c r="AC369" s="130"/>
      <c r="AE369" s="106"/>
    </row>
    <row r="370">
      <c r="C370" s="79"/>
      <c r="D370" s="79"/>
      <c r="E370" s="79"/>
      <c r="P370" s="79"/>
      <c r="Q370" s="79"/>
      <c r="R370" s="79"/>
      <c r="Y370" s="79"/>
      <c r="AC370" s="130"/>
      <c r="AE370" s="106"/>
    </row>
    <row r="371">
      <c r="C371" s="79"/>
      <c r="D371" s="79"/>
      <c r="E371" s="79"/>
      <c r="P371" s="79"/>
      <c r="Q371" s="79"/>
      <c r="R371" s="79"/>
      <c r="Y371" s="79"/>
      <c r="AC371" s="130"/>
      <c r="AE371" s="106"/>
    </row>
    <row r="372">
      <c r="C372" s="79"/>
      <c r="D372" s="79"/>
      <c r="E372" s="79"/>
      <c r="P372" s="79"/>
      <c r="Q372" s="79"/>
      <c r="R372" s="79"/>
      <c r="Y372" s="79"/>
      <c r="AC372" s="130"/>
      <c r="AE372" s="106"/>
    </row>
    <row r="373">
      <c r="C373" s="79"/>
      <c r="D373" s="79"/>
      <c r="E373" s="79"/>
      <c r="P373" s="79"/>
      <c r="Q373" s="79"/>
      <c r="R373" s="79"/>
      <c r="Y373" s="79"/>
      <c r="AC373" s="130"/>
      <c r="AE373" s="106"/>
    </row>
    <row r="374">
      <c r="C374" s="79"/>
      <c r="D374" s="79"/>
      <c r="E374" s="79"/>
      <c r="P374" s="79"/>
      <c r="Q374" s="79"/>
      <c r="R374" s="79"/>
      <c r="Y374" s="79"/>
      <c r="AC374" s="130"/>
      <c r="AE374" s="106"/>
    </row>
    <row r="375">
      <c r="C375" s="79"/>
      <c r="D375" s="79"/>
      <c r="E375" s="79"/>
      <c r="P375" s="79"/>
      <c r="Q375" s="79"/>
      <c r="R375" s="79"/>
      <c r="Y375" s="79"/>
      <c r="AC375" s="130"/>
      <c r="AE375" s="106"/>
    </row>
    <row r="376">
      <c r="C376" s="79"/>
      <c r="D376" s="79"/>
      <c r="E376" s="79"/>
      <c r="P376" s="79"/>
      <c r="Q376" s="79"/>
      <c r="R376" s="79"/>
      <c r="Y376" s="79"/>
      <c r="AC376" s="130"/>
      <c r="AE376" s="106"/>
    </row>
    <row r="377">
      <c r="C377" s="79"/>
      <c r="D377" s="79"/>
      <c r="E377" s="79"/>
      <c r="P377" s="79"/>
      <c r="Q377" s="79"/>
      <c r="R377" s="79"/>
      <c r="Y377" s="79"/>
      <c r="AC377" s="130"/>
      <c r="AE377" s="106"/>
    </row>
    <row r="378">
      <c r="C378" s="79"/>
      <c r="D378" s="79"/>
      <c r="E378" s="79"/>
      <c r="P378" s="79"/>
      <c r="Q378" s="79"/>
      <c r="R378" s="79"/>
      <c r="Y378" s="79"/>
      <c r="AC378" s="130"/>
      <c r="AE378" s="106"/>
    </row>
    <row r="379">
      <c r="C379" s="79"/>
      <c r="D379" s="79"/>
      <c r="E379" s="79"/>
      <c r="P379" s="79"/>
      <c r="Q379" s="79"/>
      <c r="R379" s="79"/>
      <c r="Y379" s="79"/>
      <c r="AC379" s="130"/>
      <c r="AE379" s="106"/>
    </row>
    <row r="380">
      <c r="C380" s="79"/>
      <c r="D380" s="79"/>
      <c r="E380" s="79"/>
      <c r="P380" s="79"/>
      <c r="Q380" s="79"/>
      <c r="R380" s="79"/>
      <c r="Y380" s="79"/>
      <c r="AC380" s="130"/>
      <c r="AE380" s="106"/>
    </row>
    <row r="381">
      <c r="C381" s="79"/>
      <c r="D381" s="79"/>
      <c r="E381" s="79"/>
      <c r="P381" s="79"/>
      <c r="Q381" s="79"/>
      <c r="R381" s="79"/>
      <c r="Y381" s="79"/>
      <c r="AC381" s="130"/>
      <c r="AE381" s="106"/>
    </row>
    <row r="382">
      <c r="C382" s="79"/>
      <c r="D382" s="79"/>
      <c r="E382" s="79"/>
      <c r="P382" s="79"/>
      <c r="Q382" s="79"/>
      <c r="R382" s="79"/>
      <c r="Y382" s="79"/>
      <c r="AC382" s="130"/>
      <c r="AE382" s="106"/>
    </row>
    <row r="383">
      <c r="C383" s="79"/>
      <c r="D383" s="79"/>
      <c r="E383" s="79"/>
      <c r="P383" s="79"/>
      <c r="Q383" s="79"/>
      <c r="R383" s="79"/>
      <c r="Y383" s="79"/>
      <c r="AC383" s="130"/>
      <c r="AE383" s="106"/>
    </row>
    <row r="384">
      <c r="C384" s="79"/>
      <c r="D384" s="79"/>
      <c r="E384" s="79"/>
      <c r="P384" s="79"/>
      <c r="Q384" s="79"/>
      <c r="R384" s="79"/>
      <c r="Y384" s="79"/>
      <c r="AC384" s="130"/>
      <c r="AE384" s="106"/>
    </row>
    <row r="385">
      <c r="C385" s="79"/>
      <c r="D385" s="79"/>
      <c r="E385" s="79"/>
      <c r="P385" s="79"/>
      <c r="Q385" s="79"/>
      <c r="R385" s="79"/>
      <c r="Y385" s="79"/>
      <c r="AC385" s="130"/>
      <c r="AE385" s="106"/>
    </row>
    <row r="386">
      <c r="C386" s="79"/>
      <c r="D386" s="79"/>
      <c r="E386" s="79"/>
      <c r="P386" s="79"/>
      <c r="Q386" s="79"/>
      <c r="R386" s="79"/>
      <c r="Y386" s="79"/>
      <c r="AC386" s="130"/>
      <c r="AE386" s="106"/>
    </row>
    <row r="387">
      <c r="C387" s="79"/>
      <c r="D387" s="79"/>
      <c r="E387" s="79"/>
      <c r="P387" s="79"/>
      <c r="Q387" s="79"/>
      <c r="R387" s="79"/>
      <c r="Y387" s="79"/>
      <c r="AC387" s="130"/>
      <c r="AE387" s="106"/>
    </row>
    <row r="388">
      <c r="C388" s="79"/>
      <c r="D388" s="79"/>
      <c r="E388" s="79"/>
      <c r="P388" s="79"/>
      <c r="Q388" s="79"/>
      <c r="R388" s="79"/>
      <c r="Y388" s="79"/>
      <c r="AC388" s="130"/>
      <c r="AE388" s="106"/>
    </row>
    <row r="389">
      <c r="C389" s="79"/>
      <c r="D389" s="79"/>
      <c r="E389" s="79"/>
      <c r="P389" s="79"/>
      <c r="Q389" s="79"/>
      <c r="R389" s="79"/>
      <c r="Y389" s="79"/>
      <c r="AC389" s="130"/>
      <c r="AE389" s="106"/>
    </row>
    <row r="390">
      <c r="C390" s="79"/>
      <c r="D390" s="79"/>
      <c r="E390" s="79"/>
      <c r="P390" s="79"/>
      <c r="Q390" s="79"/>
      <c r="R390" s="79"/>
      <c r="Y390" s="79"/>
      <c r="AC390" s="130"/>
      <c r="AE390" s="106"/>
    </row>
    <row r="391">
      <c r="C391" s="79"/>
      <c r="D391" s="79"/>
      <c r="E391" s="79"/>
      <c r="P391" s="79"/>
      <c r="Q391" s="79"/>
      <c r="R391" s="79"/>
      <c r="Y391" s="79"/>
      <c r="AC391" s="130"/>
      <c r="AE391" s="106"/>
    </row>
    <row r="392">
      <c r="C392" s="79"/>
      <c r="D392" s="79"/>
      <c r="E392" s="79"/>
      <c r="P392" s="79"/>
      <c r="Q392" s="79"/>
      <c r="R392" s="79"/>
      <c r="Y392" s="79"/>
      <c r="AC392" s="130"/>
      <c r="AE392" s="106"/>
    </row>
    <row r="393">
      <c r="C393" s="79"/>
      <c r="D393" s="79"/>
      <c r="E393" s="79"/>
      <c r="P393" s="79"/>
      <c r="Q393" s="79"/>
      <c r="R393" s="79"/>
      <c r="Y393" s="79"/>
      <c r="AC393" s="130"/>
      <c r="AE393" s="106"/>
    </row>
    <row r="394">
      <c r="C394" s="79"/>
      <c r="D394" s="79"/>
      <c r="E394" s="79"/>
      <c r="P394" s="79"/>
      <c r="Q394" s="79"/>
      <c r="R394" s="79"/>
      <c r="Y394" s="79"/>
      <c r="AC394" s="130"/>
      <c r="AE394" s="106"/>
    </row>
    <row r="395">
      <c r="C395" s="79"/>
      <c r="D395" s="79"/>
      <c r="E395" s="79"/>
      <c r="P395" s="79"/>
      <c r="Q395" s="79"/>
      <c r="R395" s="79"/>
      <c r="Y395" s="79"/>
      <c r="AC395" s="130"/>
      <c r="AE395" s="106"/>
    </row>
    <row r="396">
      <c r="C396" s="79"/>
      <c r="D396" s="79"/>
      <c r="E396" s="79"/>
      <c r="P396" s="79"/>
      <c r="Q396" s="79"/>
      <c r="R396" s="79"/>
      <c r="Y396" s="79"/>
      <c r="AC396" s="130"/>
      <c r="AE396" s="106"/>
    </row>
    <row r="397">
      <c r="C397" s="79"/>
      <c r="D397" s="79"/>
      <c r="E397" s="79"/>
      <c r="P397" s="79"/>
      <c r="Q397" s="79"/>
      <c r="R397" s="79"/>
      <c r="Y397" s="79"/>
      <c r="AC397" s="130"/>
      <c r="AE397" s="106"/>
    </row>
    <row r="398">
      <c r="C398" s="79"/>
      <c r="D398" s="79"/>
      <c r="E398" s="79"/>
      <c r="P398" s="79"/>
      <c r="Q398" s="79"/>
      <c r="R398" s="79"/>
      <c r="Y398" s="79"/>
      <c r="AC398" s="130"/>
      <c r="AE398" s="106"/>
    </row>
    <row r="399">
      <c r="C399" s="79"/>
      <c r="D399" s="79"/>
      <c r="E399" s="79"/>
      <c r="P399" s="79"/>
      <c r="Q399" s="79"/>
      <c r="R399" s="79"/>
      <c r="Y399" s="79"/>
      <c r="AC399" s="130"/>
      <c r="AE399" s="106"/>
    </row>
    <row r="400">
      <c r="C400" s="79"/>
      <c r="D400" s="79"/>
      <c r="E400" s="79"/>
      <c r="P400" s="79"/>
      <c r="Q400" s="79"/>
      <c r="R400" s="79"/>
      <c r="Y400" s="79"/>
      <c r="AC400" s="130"/>
      <c r="AE400" s="106"/>
    </row>
    <row r="401">
      <c r="C401" s="79"/>
      <c r="D401" s="79"/>
      <c r="E401" s="79"/>
      <c r="P401" s="79"/>
      <c r="Q401" s="79"/>
      <c r="R401" s="79"/>
      <c r="Y401" s="79"/>
      <c r="AC401" s="130"/>
      <c r="AE401" s="106"/>
    </row>
    <row r="402">
      <c r="C402" s="79"/>
      <c r="D402" s="79"/>
      <c r="E402" s="79"/>
      <c r="P402" s="79"/>
      <c r="Q402" s="79"/>
      <c r="R402" s="79"/>
      <c r="Y402" s="79"/>
      <c r="AC402" s="130"/>
      <c r="AE402" s="106"/>
    </row>
    <row r="403">
      <c r="C403" s="79"/>
      <c r="D403" s="79"/>
      <c r="E403" s="79"/>
      <c r="P403" s="79"/>
      <c r="Q403" s="79"/>
      <c r="R403" s="79"/>
      <c r="Y403" s="79"/>
      <c r="AC403" s="130"/>
      <c r="AE403" s="106"/>
    </row>
    <row r="404">
      <c r="C404" s="79"/>
      <c r="D404" s="79"/>
      <c r="E404" s="79"/>
      <c r="P404" s="79"/>
      <c r="Q404" s="79"/>
      <c r="R404" s="79"/>
      <c r="Y404" s="79"/>
      <c r="AC404" s="130"/>
      <c r="AE404" s="106"/>
    </row>
    <row r="405">
      <c r="C405" s="79"/>
      <c r="D405" s="79"/>
      <c r="E405" s="79"/>
      <c r="P405" s="79"/>
      <c r="Q405" s="79"/>
      <c r="R405" s="79"/>
      <c r="Y405" s="79"/>
      <c r="AC405" s="130"/>
      <c r="AE405" s="106"/>
    </row>
    <row r="406">
      <c r="C406" s="79"/>
      <c r="D406" s="79"/>
      <c r="E406" s="79"/>
      <c r="P406" s="79"/>
      <c r="Q406" s="79"/>
      <c r="R406" s="79"/>
      <c r="Y406" s="79"/>
      <c r="AC406" s="130"/>
      <c r="AE406" s="106"/>
    </row>
    <row r="407">
      <c r="C407" s="79"/>
      <c r="D407" s="79"/>
      <c r="E407" s="79"/>
      <c r="P407" s="79"/>
      <c r="Q407" s="79"/>
      <c r="R407" s="79"/>
      <c r="Y407" s="79"/>
      <c r="AC407" s="130"/>
      <c r="AE407" s="106"/>
    </row>
    <row r="408">
      <c r="C408" s="79"/>
      <c r="D408" s="79"/>
      <c r="E408" s="79"/>
      <c r="P408" s="79"/>
      <c r="Q408" s="79"/>
      <c r="R408" s="79"/>
      <c r="Y408" s="79"/>
      <c r="AC408" s="130"/>
      <c r="AE408" s="106"/>
    </row>
    <row r="409">
      <c r="C409" s="79"/>
      <c r="D409" s="79"/>
      <c r="E409" s="79"/>
      <c r="P409" s="79"/>
      <c r="Q409" s="79"/>
      <c r="R409" s="79"/>
      <c r="Y409" s="79"/>
      <c r="AC409" s="130"/>
      <c r="AE409" s="106"/>
    </row>
    <row r="410">
      <c r="C410" s="79"/>
      <c r="D410" s="79"/>
      <c r="E410" s="79"/>
      <c r="P410" s="79"/>
      <c r="Q410" s="79"/>
      <c r="R410" s="79"/>
      <c r="Y410" s="79"/>
      <c r="AC410" s="130"/>
      <c r="AE410" s="106"/>
    </row>
    <row r="411">
      <c r="C411" s="79"/>
      <c r="D411" s="79"/>
      <c r="E411" s="79"/>
      <c r="P411" s="79"/>
      <c r="Q411" s="79"/>
      <c r="R411" s="79"/>
      <c r="Y411" s="79"/>
      <c r="AC411" s="130"/>
      <c r="AE411" s="106"/>
    </row>
    <row r="412">
      <c r="C412" s="79"/>
      <c r="D412" s="79"/>
      <c r="E412" s="79"/>
      <c r="P412" s="79"/>
      <c r="Q412" s="79"/>
      <c r="R412" s="79"/>
      <c r="Y412" s="79"/>
      <c r="AC412" s="130"/>
      <c r="AE412" s="106"/>
    </row>
    <row r="413">
      <c r="C413" s="79"/>
      <c r="D413" s="79"/>
      <c r="E413" s="79"/>
      <c r="P413" s="79"/>
      <c r="Q413" s="79"/>
      <c r="R413" s="79"/>
      <c r="Y413" s="79"/>
      <c r="AC413" s="130"/>
      <c r="AE413" s="106"/>
    </row>
    <row r="414">
      <c r="C414" s="79"/>
      <c r="D414" s="79"/>
      <c r="E414" s="79"/>
      <c r="P414" s="79"/>
      <c r="Q414" s="79"/>
      <c r="R414" s="79"/>
      <c r="Y414" s="79"/>
      <c r="AC414" s="130"/>
      <c r="AE414" s="106"/>
    </row>
    <row r="415">
      <c r="C415" s="79"/>
      <c r="D415" s="79"/>
      <c r="E415" s="79"/>
      <c r="P415" s="79"/>
      <c r="Q415" s="79"/>
      <c r="R415" s="79"/>
      <c r="Y415" s="79"/>
      <c r="AC415" s="130"/>
      <c r="AE415" s="106"/>
    </row>
    <row r="416">
      <c r="C416" s="79"/>
      <c r="D416" s="79"/>
      <c r="E416" s="79"/>
      <c r="P416" s="79"/>
      <c r="Q416" s="79"/>
      <c r="R416" s="79"/>
      <c r="Y416" s="79"/>
      <c r="AC416" s="130"/>
      <c r="AE416" s="106"/>
    </row>
    <row r="417">
      <c r="C417" s="79"/>
      <c r="D417" s="79"/>
      <c r="E417" s="79"/>
      <c r="P417" s="79"/>
      <c r="Q417" s="79"/>
      <c r="R417" s="79"/>
      <c r="Y417" s="79"/>
      <c r="AC417" s="130"/>
      <c r="AE417" s="106"/>
    </row>
    <row r="418">
      <c r="C418" s="79"/>
      <c r="D418" s="79"/>
      <c r="E418" s="79"/>
      <c r="P418" s="79"/>
      <c r="Q418" s="79"/>
      <c r="R418" s="79"/>
      <c r="Y418" s="79"/>
      <c r="AC418" s="130"/>
      <c r="AE418" s="106"/>
    </row>
    <row r="419">
      <c r="C419" s="79"/>
      <c r="D419" s="79"/>
      <c r="E419" s="79"/>
      <c r="P419" s="79"/>
      <c r="Q419" s="79"/>
      <c r="R419" s="79"/>
      <c r="Y419" s="79"/>
      <c r="AC419" s="130"/>
      <c r="AE419" s="106"/>
    </row>
    <row r="420">
      <c r="C420" s="79"/>
      <c r="D420" s="79"/>
      <c r="E420" s="79"/>
      <c r="P420" s="79"/>
      <c r="Q420" s="79"/>
      <c r="R420" s="79"/>
      <c r="Y420" s="79"/>
      <c r="AC420" s="130"/>
      <c r="AE420" s="106"/>
    </row>
    <row r="421">
      <c r="C421" s="79"/>
      <c r="D421" s="79"/>
      <c r="E421" s="79"/>
      <c r="P421" s="79"/>
      <c r="Q421" s="79"/>
      <c r="R421" s="79"/>
      <c r="Y421" s="79"/>
      <c r="AC421" s="130"/>
      <c r="AE421" s="106"/>
    </row>
    <row r="422">
      <c r="C422" s="79"/>
      <c r="D422" s="79"/>
      <c r="E422" s="79"/>
      <c r="P422" s="79"/>
      <c r="Q422" s="79"/>
      <c r="R422" s="79"/>
      <c r="Y422" s="79"/>
      <c r="AC422" s="130"/>
      <c r="AE422" s="106"/>
    </row>
    <row r="423">
      <c r="C423" s="79"/>
      <c r="D423" s="79"/>
      <c r="E423" s="79"/>
      <c r="P423" s="79"/>
      <c r="Q423" s="79"/>
      <c r="R423" s="79"/>
      <c r="Y423" s="79"/>
      <c r="AC423" s="130"/>
      <c r="AE423" s="106"/>
    </row>
    <row r="424">
      <c r="C424" s="79"/>
      <c r="D424" s="79"/>
      <c r="E424" s="79"/>
      <c r="P424" s="79"/>
      <c r="Q424" s="79"/>
      <c r="R424" s="79"/>
      <c r="Y424" s="79"/>
      <c r="AC424" s="130"/>
      <c r="AE424" s="106"/>
    </row>
    <row r="425">
      <c r="C425" s="79"/>
      <c r="D425" s="79"/>
      <c r="E425" s="79"/>
      <c r="P425" s="79"/>
      <c r="Q425" s="79"/>
      <c r="R425" s="79"/>
      <c r="Y425" s="79"/>
      <c r="AC425" s="130"/>
      <c r="AE425" s="106"/>
    </row>
    <row r="426">
      <c r="C426" s="79"/>
      <c r="D426" s="79"/>
      <c r="E426" s="79"/>
      <c r="P426" s="79"/>
      <c r="Q426" s="79"/>
      <c r="R426" s="79"/>
      <c r="Y426" s="79"/>
      <c r="AC426" s="130"/>
      <c r="AE426" s="106"/>
    </row>
    <row r="427">
      <c r="C427" s="79"/>
      <c r="D427" s="79"/>
      <c r="E427" s="79"/>
      <c r="P427" s="79"/>
      <c r="Q427" s="79"/>
      <c r="R427" s="79"/>
      <c r="Y427" s="79"/>
      <c r="AC427" s="130"/>
      <c r="AE427" s="106"/>
    </row>
    <row r="428">
      <c r="C428" s="79"/>
      <c r="D428" s="79"/>
      <c r="E428" s="79"/>
      <c r="P428" s="79"/>
      <c r="Q428" s="79"/>
      <c r="R428" s="79"/>
      <c r="Y428" s="79"/>
      <c r="AC428" s="130"/>
      <c r="AE428" s="106"/>
    </row>
    <row r="429">
      <c r="C429" s="79"/>
      <c r="D429" s="79"/>
      <c r="E429" s="79"/>
      <c r="P429" s="79"/>
      <c r="Q429" s="79"/>
      <c r="R429" s="79"/>
      <c r="Y429" s="79"/>
      <c r="AC429" s="130"/>
      <c r="AE429" s="106"/>
    </row>
    <row r="430">
      <c r="C430" s="79"/>
      <c r="D430" s="79"/>
      <c r="E430" s="79"/>
      <c r="P430" s="79"/>
      <c r="Q430" s="79"/>
      <c r="R430" s="79"/>
      <c r="Y430" s="79"/>
      <c r="AC430" s="130"/>
      <c r="AE430" s="106"/>
    </row>
    <row r="431">
      <c r="C431" s="79"/>
      <c r="D431" s="79"/>
      <c r="E431" s="79"/>
      <c r="P431" s="79"/>
      <c r="Q431" s="79"/>
      <c r="R431" s="79"/>
      <c r="Y431" s="79"/>
      <c r="AC431" s="130"/>
      <c r="AE431" s="106"/>
    </row>
    <row r="432">
      <c r="C432" s="79"/>
      <c r="D432" s="79"/>
      <c r="E432" s="79"/>
      <c r="P432" s="79"/>
      <c r="Q432" s="79"/>
      <c r="R432" s="79"/>
      <c r="Y432" s="79"/>
      <c r="AC432" s="130"/>
      <c r="AE432" s="106"/>
    </row>
    <row r="433">
      <c r="C433" s="79"/>
      <c r="D433" s="79"/>
      <c r="E433" s="79"/>
      <c r="P433" s="79"/>
      <c r="Q433" s="79"/>
      <c r="R433" s="79"/>
      <c r="Y433" s="79"/>
      <c r="AC433" s="130"/>
      <c r="AE433" s="106"/>
    </row>
    <row r="434">
      <c r="C434" s="79"/>
      <c r="D434" s="79"/>
      <c r="E434" s="79"/>
      <c r="P434" s="79"/>
      <c r="Q434" s="79"/>
      <c r="R434" s="79"/>
      <c r="Y434" s="79"/>
      <c r="AC434" s="130"/>
      <c r="AE434" s="106"/>
    </row>
    <row r="435">
      <c r="C435" s="79"/>
      <c r="D435" s="79"/>
      <c r="E435" s="79"/>
      <c r="P435" s="79"/>
      <c r="Q435" s="79"/>
      <c r="R435" s="79"/>
      <c r="Y435" s="79"/>
      <c r="AC435" s="130"/>
      <c r="AE435" s="106"/>
    </row>
    <row r="436">
      <c r="C436" s="79"/>
      <c r="D436" s="79"/>
      <c r="E436" s="79"/>
      <c r="P436" s="79"/>
      <c r="Q436" s="79"/>
      <c r="R436" s="79"/>
      <c r="Y436" s="79"/>
      <c r="AC436" s="130"/>
      <c r="AE436" s="106"/>
    </row>
    <row r="437">
      <c r="C437" s="79"/>
      <c r="D437" s="79"/>
      <c r="E437" s="79"/>
      <c r="P437" s="79"/>
      <c r="Q437" s="79"/>
      <c r="R437" s="79"/>
      <c r="Y437" s="79"/>
      <c r="AC437" s="130"/>
      <c r="AE437" s="106"/>
    </row>
    <row r="438">
      <c r="C438" s="79"/>
      <c r="D438" s="79"/>
      <c r="E438" s="79"/>
      <c r="P438" s="79"/>
      <c r="Q438" s="79"/>
      <c r="R438" s="79"/>
      <c r="Y438" s="79"/>
      <c r="AC438" s="130"/>
      <c r="AE438" s="106"/>
    </row>
    <row r="439">
      <c r="C439" s="79"/>
      <c r="D439" s="79"/>
      <c r="E439" s="79"/>
      <c r="P439" s="79"/>
      <c r="Q439" s="79"/>
      <c r="R439" s="79"/>
      <c r="Y439" s="79"/>
      <c r="AC439" s="130"/>
      <c r="AE439" s="106"/>
    </row>
    <row r="440">
      <c r="C440" s="79"/>
      <c r="D440" s="79"/>
      <c r="E440" s="79"/>
      <c r="P440" s="79"/>
      <c r="Q440" s="79"/>
      <c r="R440" s="79"/>
      <c r="Y440" s="79"/>
      <c r="AC440" s="130"/>
      <c r="AE440" s="106"/>
    </row>
    <row r="441">
      <c r="C441" s="79"/>
      <c r="D441" s="79"/>
      <c r="E441" s="79"/>
      <c r="P441" s="79"/>
      <c r="Q441" s="79"/>
      <c r="R441" s="79"/>
      <c r="Y441" s="79"/>
      <c r="AC441" s="130"/>
      <c r="AE441" s="106"/>
    </row>
    <row r="442">
      <c r="C442" s="79"/>
      <c r="D442" s="79"/>
      <c r="E442" s="79"/>
      <c r="P442" s="79"/>
      <c r="Q442" s="79"/>
      <c r="R442" s="79"/>
      <c r="Y442" s="79"/>
      <c r="AC442" s="130"/>
      <c r="AE442" s="106"/>
    </row>
    <row r="443">
      <c r="C443" s="79"/>
      <c r="D443" s="79"/>
      <c r="E443" s="79"/>
      <c r="P443" s="79"/>
      <c r="Q443" s="79"/>
      <c r="R443" s="79"/>
      <c r="Y443" s="79"/>
      <c r="AC443" s="130"/>
      <c r="AE443" s="106"/>
    </row>
    <row r="444">
      <c r="C444" s="79"/>
      <c r="D444" s="79"/>
      <c r="E444" s="79"/>
      <c r="P444" s="79"/>
      <c r="Q444" s="79"/>
      <c r="R444" s="79"/>
      <c r="Y444" s="79"/>
      <c r="AC444" s="130"/>
      <c r="AE444" s="106"/>
    </row>
    <row r="445">
      <c r="C445" s="79"/>
      <c r="D445" s="79"/>
      <c r="E445" s="79"/>
      <c r="P445" s="79"/>
      <c r="Q445" s="79"/>
      <c r="R445" s="79"/>
      <c r="Y445" s="79"/>
      <c r="AC445" s="130"/>
      <c r="AE445" s="106"/>
    </row>
    <row r="446">
      <c r="C446" s="79"/>
      <c r="D446" s="79"/>
      <c r="E446" s="79"/>
      <c r="P446" s="79"/>
      <c r="Q446" s="79"/>
      <c r="R446" s="79"/>
      <c r="Y446" s="79"/>
      <c r="AC446" s="130"/>
      <c r="AE446" s="106"/>
    </row>
    <row r="447">
      <c r="C447" s="79"/>
      <c r="D447" s="79"/>
      <c r="E447" s="79"/>
      <c r="P447" s="79"/>
      <c r="Q447" s="79"/>
      <c r="R447" s="79"/>
      <c r="Y447" s="79"/>
      <c r="AC447" s="130"/>
      <c r="AE447" s="106"/>
    </row>
    <row r="448">
      <c r="C448" s="79"/>
      <c r="D448" s="79"/>
      <c r="E448" s="79"/>
      <c r="P448" s="79"/>
      <c r="Q448" s="79"/>
      <c r="R448" s="79"/>
      <c r="Y448" s="79"/>
      <c r="AC448" s="130"/>
      <c r="AE448" s="106"/>
    </row>
    <row r="449">
      <c r="C449" s="79"/>
      <c r="D449" s="79"/>
      <c r="E449" s="79"/>
      <c r="P449" s="79"/>
      <c r="Q449" s="79"/>
      <c r="R449" s="79"/>
      <c r="Y449" s="79"/>
      <c r="AC449" s="130"/>
      <c r="AE449" s="106"/>
    </row>
    <row r="450">
      <c r="C450" s="79"/>
      <c r="D450" s="79"/>
      <c r="E450" s="79"/>
      <c r="P450" s="79"/>
      <c r="Q450" s="79"/>
      <c r="R450" s="79"/>
      <c r="Y450" s="79"/>
      <c r="AC450" s="130"/>
      <c r="AE450" s="106"/>
    </row>
    <row r="451">
      <c r="C451" s="79"/>
      <c r="D451" s="79"/>
      <c r="E451" s="79"/>
      <c r="P451" s="79"/>
      <c r="Q451" s="79"/>
      <c r="R451" s="79"/>
      <c r="Y451" s="79"/>
      <c r="AC451" s="130"/>
      <c r="AE451" s="106"/>
    </row>
    <row r="452">
      <c r="C452" s="79"/>
      <c r="D452" s="79"/>
      <c r="E452" s="79"/>
      <c r="P452" s="79"/>
      <c r="Q452" s="79"/>
      <c r="R452" s="79"/>
      <c r="Y452" s="79"/>
      <c r="AC452" s="130"/>
      <c r="AE452" s="106"/>
    </row>
    <row r="453">
      <c r="C453" s="79"/>
      <c r="D453" s="79"/>
      <c r="E453" s="79"/>
      <c r="P453" s="79"/>
      <c r="Q453" s="79"/>
      <c r="R453" s="79"/>
      <c r="Y453" s="79"/>
      <c r="AC453" s="130"/>
      <c r="AE453" s="106"/>
    </row>
    <row r="454">
      <c r="C454" s="79"/>
      <c r="D454" s="79"/>
      <c r="E454" s="79"/>
      <c r="P454" s="79"/>
      <c r="Q454" s="79"/>
      <c r="R454" s="79"/>
      <c r="Y454" s="79"/>
      <c r="AC454" s="130"/>
      <c r="AE454" s="106"/>
    </row>
    <row r="455">
      <c r="C455" s="79"/>
      <c r="D455" s="79"/>
      <c r="E455" s="79"/>
      <c r="P455" s="79"/>
      <c r="Q455" s="79"/>
      <c r="R455" s="79"/>
      <c r="Y455" s="79"/>
      <c r="AC455" s="130"/>
      <c r="AE455" s="106"/>
    </row>
    <row r="456">
      <c r="C456" s="79"/>
      <c r="D456" s="79"/>
      <c r="E456" s="79"/>
      <c r="P456" s="79"/>
      <c r="Q456" s="79"/>
      <c r="R456" s="79"/>
      <c r="Y456" s="79"/>
      <c r="AC456" s="130"/>
      <c r="AE456" s="106"/>
    </row>
    <row r="457">
      <c r="C457" s="79"/>
      <c r="D457" s="79"/>
      <c r="E457" s="79"/>
      <c r="P457" s="79"/>
      <c r="Q457" s="79"/>
      <c r="R457" s="79"/>
      <c r="Y457" s="79"/>
      <c r="AC457" s="130"/>
      <c r="AE457" s="106"/>
    </row>
    <row r="458">
      <c r="C458" s="79"/>
      <c r="D458" s="79"/>
      <c r="E458" s="79"/>
      <c r="P458" s="79"/>
      <c r="Q458" s="79"/>
      <c r="R458" s="79"/>
      <c r="Y458" s="79"/>
      <c r="AC458" s="130"/>
      <c r="AE458" s="106"/>
    </row>
    <row r="459">
      <c r="C459" s="79"/>
      <c r="D459" s="79"/>
      <c r="E459" s="79"/>
      <c r="P459" s="79"/>
      <c r="Q459" s="79"/>
      <c r="R459" s="79"/>
      <c r="Y459" s="79"/>
      <c r="AC459" s="130"/>
      <c r="AE459" s="106"/>
    </row>
    <row r="460">
      <c r="C460" s="79"/>
      <c r="D460" s="79"/>
      <c r="E460" s="79"/>
      <c r="P460" s="79"/>
      <c r="Q460" s="79"/>
      <c r="R460" s="79"/>
      <c r="Y460" s="79"/>
      <c r="AC460" s="130"/>
      <c r="AE460" s="106"/>
    </row>
    <row r="461">
      <c r="C461" s="79"/>
      <c r="D461" s="79"/>
      <c r="E461" s="79"/>
      <c r="P461" s="79"/>
      <c r="Q461" s="79"/>
      <c r="R461" s="79"/>
      <c r="Y461" s="79"/>
      <c r="AC461" s="130"/>
      <c r="AE461" s="106"/>
    </row>
    <row r="462">
      <c r="C462" s="79"/>
      <c r="D462" s="79"/>
      <c r="E462" s="79"/>
      <c r="P462" s="79"/>
      <c r="Q462" s="79"/>
      <c r="R462" s="79"/>
      <c r="Y462" s="79"/>
      <c r="AC462" s="130"/>
      <c r="AE462" s="106"/>
    </row>
    <row r="463">
      <c r="C463" s="79"/>
      <c r="D463" s="79"/>
      <c r="E463" s="79"/>
      <c r="P463" s="79"/>
      <c r="Q463" s="79"/>
      <c r="R463" s="79"/>
      <c r="Y463" s="79"/>
      <c r="AC463" s="130"/>
      <c r="AE463" s="106"/>
    </row>
    <row r="464">
      <c r="C464" s="79"/>
      <c r="D464" s="79"/>
      <c r="E464" s="79"/>
      <c r="P464" s="79"/>
      <c r="Q464" s="79"/>
      <c r="R464" s="79"/>
      <c r="Y464" s="79"/>
      <c r="AC464" s="130"/>
      <c r="AE464" s="106"/>
    </row>
    <row r="465">
      <c r="C465" s="79"/>
      <c r="D465" s="79"/>
      <c r="E465" s="79"/>
      <c r="P465" s="79"/>
      <c r="Q465" s="79"/>
      <c r="R465" s="79"/>
      <c r="Y465" s="79"/>
      <c r="AC465" s="130"/>
      <c r="AE465" s="106"/>
    </row>
    <row r="466">
      <c r="C466" s="79"/>
      <c r="D466" s="79"/>
      <c r="E466" s="79"/>
      <c r="P466" s="79"/>
      <c r="Q466" s="79"/>
      <c r="R466" s="79"/>
      <c r="Y466" s="79"/>
      <c r="AC466" s="130"/>
      <c r="AE466" s="106"/>
    </row>
    <row r="467">
      <c r="C467" s="79"/>
      <c r="D467" s="79"/>
      <c r="E467" s="79"/>
      <c r="P467" s="79"/>
      <c r="Q467" s="79"/>
      <c r="R467" s="79"/>
      <c r="Y467" s="79"/>
      <c r="AC467" s="130"/>
      <c r="AE467" s="106"/>
    </row>
    <row r="468">
      <c r="C468" s="79"/>
      <c r="D468" s="79"/>
      <c r="E468" s="79"/>
      <c r="P468" s="79"/>
      <c r="Q468" s="79"/>
      <c r="R468" s="79"/>
      <c r="Y468" s="79"/>
      <c r="AC468" s="130"/>
      <c r="AE468" s="106"/>
    </row>
    <row r="469">
      <c r="C469" s="79"/>
      <c r="D469" s="79"/>
      <c r="E469" s="79"/>
      <c r="P469" s="79"/>
      <c r="Q469" s="79"/>
      <c r="R469" s="79"/>
      <c r="Y469" s="79"/>
      <c r="AC469" s="130"/>
      <c r="AE469" s="106"/>
    </row>
    <row r="470">
      <c r="C470" s="79"/>
      <c r="D470" s="79"/>
      <c r="E470" s="79"/>
      <c r="P470" s="79"/>
      <c r="Q470" s="79"/>
      <c r="R470" s="79"/>
      <c r="Y470" s="79"/>
      <c r="AC470" s="130"/>
      <c r="AE470" s="106"/>
    </row>
    <row r="471">
      <c r="C471" s="79"/>
      <c r="D471" s="79"/>
      <c r="E471" s="79"/>
      <c r="P471" s="79"/>
      <c r="Q471" s="79"/>
      <c r="R471" s="79"/>
      <c r="Y471" s="79"/>
      <c r="AC471" s="130"/>
      <c r="AE471" s="106"/>
    </row>
    <row r="472">
      <c r="C472" s="79"/>
      <c r="D472" s="79"/>
      <c r="E472" s="79"/>
      <c r="P472" s="79"/>
      <c r="Q472" s="79"/>
      <c r="R472" s="79"/>
      <c r="Y472" s="79"/>
      <c r="AC472" s="130"/>
      <c r="AE472" s="106"/>
    </row>
    <row r="473">
      <c r="C473" s="79"/>
      <c r="D473" s="79"/>
      <c r="E473" s="79"/>
      <c r="P473" s="79"/>
      <c r="Q473" s="79"/>
      <c r="R473" s="79"/>
      <c r="Y473" s="79"/>
      <c r="AC473" s="130"/>
      <c r="AE473" s="106"/>
    </row>
    <row r="474">
      <c r="C474" s="79"/>
      <c r="D474" s="79"/>
      <c r="E474" s="79"/>
      <c r="P474" s="79"/>
      <c r="Q474" s="79"/>
      <c r="R474" s="79"/>
      <c r="Y474" s="79"/>
      <c r="AC474" s="130"/>
      <c r="AE474" s="106"/>
    </row>
    <row r="475">
      <c r="C475" s="79"/>
      <c r="D475" s="79"/>
      <c r="E475" s="79"/>
      <c r="P475" s="79"/>
      <c r="Q475" s="79"/>
      <c r="R475" s="79"/>
      <c r="Y475" s="79"/>
      <c r="AC475" s="130"/>
      <c r="AE475" s="106"/>
    </row>
    <row r="476">
      <c r="C476" s="79"/>
      <c r="D476" s="79"/>
      <c r="E476" s="79"/>
      <c r="P476" s="79"/>
      <c r="Q476" s="79"/>
      <c r="R476" s="79"/>
      <c r="Y476" s="79"/>
      <c r="AC476" s="130"/>
      <c r="AE476" s="106"/>
    </row>
    <row r="477">
      <c r="C477" s="79"/>
      <c r="D477" s="79"/>
      <c r="E477" s="79"/>
      <c r="P477" s="79"/>
      <c r="Q477" s="79"/>
      <c r="R477" s="79"/>
      <c r="Y477" s="79"/>
      <c r="AC477" s="130"/>
      <c r="AE477" s="106"/>
    </row>
    <row r="478">
      <c r="C478" s="79"/>
      <c r="D478" s="79"/>
      <c r="E478" s="79"/>
      <c r="P478" s="79"/>
      <c r="Q478" s="79"/>
      <c r="R478" s="79"/>
      <c r="Y478" s="79"/>
      <c r="AC478" s="130"/>
      <c r="AE478" s="106"/>
    </row>
    <row r="479">
      <c r="C479" s="79"/>
      <c r="D479" s="79"/>
      <c r="E479" s="79"/>
      <c r="P479" s="79"/>
      <c r="Q479" s="79"/>
      <c r="R479" s="79"/>
      <c r="Y479" s="79"/>
      <c r="AC479" s="130"/>
      <c r="AE479" s="106"/>
    </row>
    <row r="480">
      <c r="C480" s="79"/>
      <c r="D480" s="79"/>
      <c r="E480" s="79"/>
      <c r="P480" s="79"/>
      <c r="Q480" s="79"/>
      <c r="R480" s="79"/>
      <c r="Y480" s="79"/>
      <c r="AC480" s="130"/>
      <c r="AE480" s="106"/>
    </row>
    <row r="481">
      <c r="C481" s="79"/>
      <c r="D481" s="79"/>
      <c r="E481" s="79"/>
      <c r="P481" s="79"/>
      <c r="Q481" s="79"/>
      <c r="R481" s="79"/>
      <c r="Y481" s="79"/>
      <c r="AC481" s="130"/>
      <c r="AE481" s="106"/>
    </row>
    <row r="482">
      <c r="C482" s="79"/>
      <c r="D482" s="79"/>
      <c r="E482" s="79"/>
      <c r="P482" s="79"/>
      <c r="Q482" s="79"/>
      <c r="R482" s="79"/>
      <c r="Y482" s="79"/>
      <c r="AC482" s="130"/>
      <c r="AE482" s="106"/>
    </row>
    <row r="483">
      <c r="C483" s="79"/>
      <c r="D483" s="79"/>
      <c r="E483" s="79"/>
      <c r="P483" s="79"/>
      <c r="Q483" s="79"/>
      <c r="R483" s="79"/>
      <c r="Y483" s="79"/>
      <c r="AC483" s="130"/>
      <c r="AE483" s="106"/>
    </row>
    <row r="484">
      <c r="C484" s="79"/>
      <c r="D484" s="79"/>
      <c r="E484" s="79"/>
      <c r="P484" s="79"/>
      <c r="Q484" s="79"/>
      <c r="R484" s="79"/>
      <c r="Y484" s="79"/>
      <c r="AC484" s="130"/>
      <c r="AE484" s="106"/>
    </row>
    <row r="485">
      <c r="C485" s="79"/>
      <c r="D485" s="79"/>
      <c r="E485" s="79"/>
      <c r="P485" s="79"/>
      <c r="Q485" s="79"/>
      <c r="R485" s="79"/>
      <c r="Y485" s="79"/>
      <c r="AC485" s="130"/>
      <c r="AE485" s="106"/>
    </row>
    <row r="486">
      <c r="C486" s="79"/>
      <c r="D486" s="79"/>
      <c r="E486" s="79"/>
      <c r="P486" s="79"/>
      <c r="Q486" s="79"/>
      <c r="R486" s="79"/>
      <c r="Y486" s="79"/>
      <c r="AC486" s="130"/>
      <c r="AE486" s="106"/>
    </row>
    <row r="487">
      <c r="C487" s="79"/>
      <c r="D487" s="79"/>
      <c r="E487" s="79"/>
      <c r="P487" s="79"/>
      <c r="Q487" s="79"/>
      <c r="R487" s="79"/>
      <c r="Y487" s="79"/>
      <c r="AC487" s="130"/>
      <c r="AE487" s="106"/>
    </row>
    <row r="488">
      <c r="C488" s="79"/>
      <c r="D488" s="79"/>
      <c r="E488" s="79"/>
      <c r="P488" s="79"/>
      <c r="Q488" s="79"/>
      <c r="R488" s="79"/>
      <c r="Y488" s="79"/>
      <c r="AC488" s="130"/>
      <c r="AE488" s="106"/>
    </row>
    <row r="489">
      <c r="C489" s="79"/>
      <c r="D489" s="79"/>
      <c r="E489" s="79"/>
      <c r="P489" s="79"/>
      <c r="Q489" s="79"/>
      <c r="R489" s="79"/>
      <c r="Y489" s="79"/>
      <c r="AC489" s="130"/>
      <c r="AE489" s="106"/>
    </row>
    <row r="490">
      <c r="C490" s="79"/>
      <c r="D490" s="79"/>
      <c r="E490" s="79"/>
      <c r="P490" s="79"/>
      <c r="Q490" s="79"/>
      <c r="R490" s="79"/>
      <c r="Y490" s="79"/>
      <c r="AC490" s="130"/>
      <c r="AE490" s="106"/>
    </row>
    <row r="491">
      <c r="C491" s="79"/>
      <c r="D491" s="79"/>
      <c r="E491" s="79"/>
      <c r="P491" s="79"/>
      <c r="Q491" s="79"/>
      <c r="R491" s="79"/>
      <c r="Y491" s="79"/>
      <c r="AC491" s="130"/>
      <c r="AE491" s="106"/>
    </row>
    <row r="492">
      <c r="C492" s="79"/>
      <c r="D492" s="79"/>
      <c r="E492" s="79"/>
      <c r="P492" s="79"/>
      <c r="Q492" s="79"/>
      <c r="R492" s="79"/>
      <c r="Y492" s="79"/>
      <c r="AC492" s="130"/>
      <c r="AE492" s="106"/>
    </row>
    <row r="493">
      <c r="C493" s="79"/>
      <c r="D493" s="79"/>
      <c r="E493" s="79"/>
      <c r="P493" s="79"/>
      <c r="Q493" s="79"/>
      <c r="R493" s="79"/>
      <c r="Y493" s="79"/>
      <c r="AC493" s="130"/>
      <c r="AE493" s="106"/>
    </row>
    <row r="494">
      <c r="C494" s="79"/>
      <c r="D494" s="79"/>
      <c r="E494" s="79"/>
      <c r="P494" s="79"/>
      <c r="Q494" s="79"/>
      <c r="R494" s="79"/>
      <c r="Y494" s="79"/>
      <c r="AC494" s="130"/>
      <c r="AE494" s="106"/>
    </row>
    <row r="495">
      <c r="C495" s="79"/>
      <c r="D495" s="79"/>
      <c r="E495" s="79"/>
      <c r="P495" s="79"/>
      <c r="Q495" s="79"/>
      <c r="R495" s="79"/>
      <c r="Y495" s="79"/>
      <c r="AC495" s="130"/>
      <c r="AE495" s="106"/>
    </row>
    <row r="496">
      <c r="C496" s="79"/>
      <c r="D496" s="79"/>
      <c r="E496" s="79"/>
      <c r="P496" s="79"/>
      <c r="Q496" s="79"/>
      <c r="R496" s="79"/>
      <c r="Y496" s="79"/>
      <c r="AC496" s="130"/>
      <c r="AE496" s="106"/>
    </row>
    <row r="497">
      <c r="C497" s="79"/>
      <c r="D497" s="79"/>
      <c r="E497" s="79"/>
      <c r="P497" s="79"/>
      <c r="Q497" s="79"/>
      <c r="R497" s="79"/>
      <c r="Y497" s="79"/>
      <c r="AC497" s="130"/>
      <c r="AE497" s="106"/>
    </row>
    <row r="498">
      <c r="C498" s="79"/>
      <c r="D498" s="79"/>
      <c r="E498" s="79"/>
      <c r="P498" s="79"/>
      <c r="Q498" s="79"/>
      <c r="R498" s="79"/>
      <c r="Y498" s="79"/>
      <c r="AC498" s="130"/>
      <c r="AE498" s="106"/>
    </row>
    <row r="499">
      <c r="C499" s="79"/>
      <c r="D499" s="79"/>
      <c r="E499" s="79"/>
      <c r="P499" s="79"/>
      <c r="Q499" s="79"/>
      <c r="R499" s="79"/>
      <c r="Y499" s="79"/>
      <c r="AC499" s="130"/>
      <c r="AE499" s="106"/>
    </row>
    <row r="500">
      <c r="C500" s="79"/>
      <c r="D500" s="79"/>
      <c r="E500" s="79"/>
      <c r="P500" s="79"/>
      <c r="Q500" s="79"/>
      <c r="R500" s="79"/>
      <c r="Y500" s="79"/>
      <c r="AC500" s="130"/>
      <c r="AE500" s="106"/>
    </row>
    <row r="501">
      <c r="C501" s="79"/>
      <c r="D501" s="79"/>
      <c r="E501" s="79"/>
      <c r="P501" s="79"/>
      <c r="Q501" s="79"/>
      <c r="R501" s="79"/>
      <c r="Y501" s="79"/>
      <c r="AC501" s="130"/>
      <c r="AE501" s="106"/>
    </row>
    <row r="502">
      <c r="C502" s="79"/>
      <c r="D502" s="79"/>
      <c r="E502" s="79"/>
      <c r="P502" s="79"/>
      <c r="Q502" s="79"/>
      <c r="R502" s="79"/>
      <c r="Y502" s="79"/>
      <c r="AC502" s="130"/>
      <c r="AE502" s="106"/>
    </row>
    <row r="503">
      <c r="C503" s="79"/>
      <c r="D503" s="79"/>
      <c r="E503" s="79"/>
      <c r="P503" s="79"/>
      <c r="Q503" s="79"/>
      <c r="R503" s="79"/>
      <c r="Y503" s="79"/>
      <c r="AC503" s="130"/>
      <c r="AE503" s="106"/>
    </row>
    <row r="504">
      <c r="C504" s="79"/>
      <c r="D504" s="79"/>
      <c r="E504" s="79"/>
      <c r="P504" s="79"/>
      <c r="Q504" s="79"/>
      <c r="R504" s="79"/>
      <c r="Y504" s="79"/>
      <c r="AC504" s="130"/>
      <c r="AE504" s="106"/>
    </row>
    <row r="505">
      <c r="C505" s="79"/>
      <c r="D505" s="79"/>
      <c r="E505" s="79"/>
      <c r="P505" s="79"/>
      <c r="Q505" s="79"/>
      <c r="R505" s="79"/>
      <c r="Y505" s="79"/>
      <c r="AC505" s="130"/>
      <c r="AE505" s="106"/>
    </row>
    <row r="506">
      <c r="C506" s="79"/>
      <c r="D506" s="79"/>
      <c r="E506" s="79"/>
      <c r="P506" s="79"/>
      <c r="Q506" s="79"/>
      <c r="R506" s="79"/>
      <c r="Y506" s="79"/>
      <c r="AC506" s="130"/>
      <c r="AE506" s="106"/>
    </row>
    <row r="507">
      <c r="C507" s="79"/>
      <c r="D507" s="79"/>
      <c r="E507" s="79"/>
      <c r="P507" s="79"/>
      <c r="Q507" s="79"/>
      <c r="R507" s="79"/>
      <c r="Y507" s="79"/>
      <c r="AC507" s="130"/>
      <c r="AE507" s="106"/>
    </row>
    <row r="508">
      <c r="C508" s="79"/>
      <c r="D508" s="79"/>
      <c r="E508" s="79"/>
      <c r="P508" s="79"/>
      <c r="Q508" s="79"/>
      <c r="R508" s="79"/>
      <c r="Y508" s="79"/>
      <c r="AC508" s="130"/>
      <c r="AE508" s="106"/>
    </row>
    <row r="509">
      <c r="C509" s="79"/>
      <c r="D509" s="79"/>
      <c r="E509" s="79"/>
      <c r="P509" s="79"/>
      <c r="Q509" s="79"/>
      <c r="R509" s="79"/>
      <c r="Y509" s="79"/>
      <c r="AC509" s="130"/>
      <c r="AE509" s="106"/>
    </row>
    <row r="510">
      <c r="C510" s="79"/>
      <c r="D510" s="79"/>
      <c r="E510" s="79"/>
      <c r="P510" s="79"/>
      <c r="Q510" s="79"/>
      <c r="R510" s="79"/>
      <c r="Y510" s="79"/>
      <c r="AC510" s="130"/>
      <c r="AE510" s="106"/>
    </row>
    <row r="511">
      <c r="C511" s="79"/>
      <c r="D511" s="79"/>
      <c r="E511" s="79"/>
      <c r="P511" s="79"/>
      <c r="Q511" s="79"/>
      <c r="R511" s="79"/>
      <c r="Y511" s="79"/>
      <c r="AC511" s="130"/>
      <c r="AE511" s="106"/>
    </row>
    <row r="512">
      <c r="C512" s="79"/>
      <c r="D512" s="79"/>
      <c r="E512" s="79"/>
      <c r="P512" s="79"/>
      <c r="Q512" s="79"/>
      <c r="R512" s="79"/>
      <c r="Y512" s="79"/>
      <c r="AC512" s="130"/>
      <c r="AE512" s="106"/>
    </row>
    <row r="513">
      <c r="C513" s="79"/>
      <c r="D513" s="79"/>
      <c r="E513" s="79"/>
      <c r="P513" s="79"/>
      <c r="Q513" s="79"/>
      <c r="R513" s="79"/>
      <c r="Y513" s="79"/>
      <c r="AC513" s="130"/>
      <c r="AE513" s="106"/>
    </row>
    <row r="514">
      <c r="C514" s="79"/>
      <c r="D514" s="79"/>
      <c r="E514" s="79"/>
      <c r="P514" s="79"/>
      <c r="Q514" s="79"/>
      <c r="R514" s="79"/>
      <c r="Y514" s="79"/>
      <c r="AC514" s="130"/>
      <c r="AE514" s="106"/>
    </row>
    <row r="515">
      <c r="C515" s="79"/>
      <c r="D515" s="79"/>
      <c r="E515" s="79"/>
      <c r="P515" s="79"/>
      <c r="Q515" s="79"/>
      <c r="R515" s="79"/>
      <c r="Y515" s="79"/>
      <c r="AC515" s="130"/>
      <c r="AE515" s="106"/>
    </row>
    <row r="516">
      <c r="C516" s="79"/>
      <c r="D516" s="79"/>
      <c r="E516" s="79"/>
      <c r="P516" s="79"/>
      <c r="Q516" s="79"/>
      <c r="R516" s="79"/>
      <c r="Y516" s="79"/>
      <c r="AC516" s="130"/>
      <c r="AE516" s="106"/>
    </row>
    <row r="517">
      <c r="C517" s="79"/>
      <c r="D517" s="79"/>
      <c r="E517" s="79"/>
      <c r="P517" s="79"/>
      <c r="Q517" s="79"/>
      <c r="R517" s="79"/>
      <c r="Y517" s="79"/>
      <c r="AC517" s="130"/>
      <c r="AE517" s="106"/>
    </row>
    <row r="518">
      <c r="C518" s="79"/>
      <c r="D518" s="79"/>
      <c r="E518" s="79"/>
      <c r="P518" s="79"/>
      <c r="Q518" s="79"/>
      <c r="R518" s="79"/>
      <c r="Y518" s="79"/>
      <c r="AC518" s="130"/>
      <c r="AE518" s="106"/>
    </row>
    <row r="519">
      <c r="C519" s="79"/>
      <c r="D519" s="79"/>
      <c r="E519" s="79"/>
      <c r="P519" s="79"/>
      <c r="Q519" s="79"/>
      <c r="R519" s="79"/>
      <c r="Y519" s="79"/>
      <c r="AC519" s="130"/>
      <c r="AE519" s="106"/>
    </row>
    <row r="520">
      <c r="C520" s="79"/>
      <c r="D520" s="79"/>
      <c r="E520" s="79"/>
      <c r="P520" s="79"/>
      <c r="Q520" s="79"/>
      <c r="R520" s="79"/>
      <c r="Y520" s="79"/>
      <c r="AC520" s="130"/>
      <c r="AE520" s="106"/>
    </row>
    <row r="521">
      <c r="C521" s="79"/>
      <c r="D521" s="79"/>
      <c r="E521" s="79"/>
      <c r="P521" s="79"/>
      <c r="Q521" s="79"/>
      <c r="R521" s="79"/>
      <c r="Y521" s="79"/>
      <c r="AC521" s="130"/>
      <c r="AE521" s="106"/>
    </row>
    <row r="522">
      <c r="C522" s="79"/>
      <c r="D522" s="79"/>
      <c r="E522" s="79"/>
      <c r="P522" s="79"/>
      <c r="Q522" s="79"/>
      <c r="R522" s="79"/>
      <c r="Y522" s="79"/>
      <c r="AC522" s="130"/>
      <c r="AE522" s="106"/>
    </row>
    <row r="523">
      <c r="C523" s="79"/>
      <c r="D523" s="79"/>
      <c r="E523" s="79"/>
      <c r="P523" s="79"/>
      <c r="Q523" s="79"/>
      <c r="R523" s="79"/>
      <c r="Y523" s="79"/>
      <c r="AC523" s="130"/>
      <c r="AE523" s="106"/>
    </row>
    <row r="524">
      <c r="C524" s="79"/>
      <c r="D524" s="79"/>
      <c r="E524" s="79"/>
      <c r="P524" s="79"/>
      <c r="Q524" s="79"/>
      <c r="R524" s="79"/>
      <c r="Y524" s="79"/>
      <c r="AC524" s="130"/>
      <c r="AE524" s="106"/>
    </row>
    <row r="525">
      <c r="C525" s="79"/>
      <c r="D525" s="79"/>
      <c r="E525" s="79"/>
      <c r="P525" s="79"/>
      <c r="Q525" s="79"/>
      <c r="R525" s="79"/>
      <c r="Y525" s="79"/>
      <c r="AC525" s="130"/>
      <c r="AE525" s="106"/>
    </row>
    <row r="526">
      <c r="C526" s="79"/>
      <c r="D526" s="79"/>
      <c r="E526" s="79"/>
      <c r="P526" s="79"/>
      <c r="Q526" s="79"/>
      <c r="R526" s="79"/>
      <c r="Y526" s="79"/>
      <c r="AC526" s="130"/>
      <c r="AE526" s="106"/>
    </row>
    <row r="527">
      <c r="C527" s="79"/>
      <c r="D527" s="79"/>
      <c r="E527" s="79"/>
      <c r="P527" s="79"/>
      <c r="Q527" s="79"/>
      <c r="R527" s="79"/>
      <c r="Y527" s="79"/>
      <c r="AC527" s="130"/>
      <c r="AE527" s="106"/>
    </row>
    <row r="528">
      <c r="C528" s="79"/>
      <c r="D528" s="79"/>
      <c r="E528" s="79"/>
      <c r="P528" s="79"/>
      <c r="Q528" s="79"/>
      <c r="R528" s="79"/>
      <c r="Y528" s="79"/>
      <c r="AC528" s="130"/>
      <c r="AE528" s="106"/>
    </row>
    <row r="529">
      <c r="C529" s="79"/>
      <c r="D529" s="79"/>
      <c r="E529" s="79"/>
      <c r="P529" s="79"/>
      <c r="Q529" s="79"/>
      <c r="R529" s="79"/>
      <c r="Y529" s="79"/>
      <c r="AC529" s="130"/>
      <c r="AE529" s="106"/>
    </row>
    <row r="530">
      <c r="C530" s="79"/>
      <c r="D530" s="79"/>
      <c r="E530" s="79"/>
      <c r="P530" s="79"/>
      <c r="Q530" s="79"/>
      <c r="R530" s="79"/>
      <c r="Y530" s="79"/>
      <c r="AC530" s="130"/>
      <c r="AE530" s="106"/>
    </row>
    <row r="531">
      <c r="C531" s="79"/>
      <c r="D531" s="79"/>
      <c r="E531" s="79"/>
      <c r="P531" s="79"/>
      <c r="Q531" s="79"/>
      <c r="R531" s="79"/>
      <c r="Y531" s="79"/>
      <c r="AC531" s="130"/>
      <c r="AE531" s="106"/>
    </row>
    <row r="532">
      <c r="C532" s="79"/>
      <c r="D532" s="79"/>
      <c r="E532" s="79"/>
      <c r="P532" s="79"/>
      <c r="Q532" s="79"/>
      <c r="R532" s="79"/>
      <c r="Y532" s="79"/>
      <c r="AC532" s="130"/>
      <c r="AE532" s="106"/>
    </row>
    <row r="533">
      <c r="C533" s="79"/>
      <c r="D533" s="79"/>
      <c r="E533" s="79"/>
      <c r="P533" s="79"/>
      <c r="Q533" s="79"/>
      <c r="R533" s="79"/>
      <c r="Y533" s="79"/>
      <c r="AC533" s="130"/>
      <c r="AE533" s="106"/>
    </row>
    <row r="534">
      <c r="C534" s="79"/>
      <c r="D534" s="79"/>
      <c r="E534" s="79"/>
      <c r="P534" s="79"/>
      <c r="Q534" s="79"/>
      <c r="R534" s="79"/>
      <c r="Y534" s="79"/>
      <c r="AC534" s="130"/>
      <c r="AE534" s="106"/>
    </row>
    <row r="535">
      <c r="C535" s="79"/>
      <c r="D535" s="79"/>
      <c r="E535" s="79"/>
      <c r="P535" s="79"/>
      <c r="Q535" s="79"/>
      <c r="R535" s="79"/>
      <c r="Y535" s="79"/>
      <c r="AC535" s="130"/>
      <c r="AE535" s="106"/>
    </row>
    <row r="536">
      <c r="C536" s="79"/>
      <c r="D536" s="79"/>
      <c r="E536" s="79"/>
      <c r="P536" s="79"/>
      <c r="Q536" s="79"/>
      <c r="R536" s="79"/>
      <c r="Y536" s="79"/>
      <c r="AC536" s="130"/>
      <c r="AE536" s="106"/>
    </row>
    <row r="537">
      <c r="C537" s="79"/>
      <c r="D537" s="79"/>
      <c r="E537" s="79"/>
      <c r="P537" s="79"/>
      <c r="Q537" s="79"/>
      <c r="R537" s="79"/>
      <c r="Y537" s="79"/>
      <c r="AC537" s="130"/>
      <c r="AE537" s="106"/>
    </row>
    <row r="538">
      <c r="C538" s="79"/>
      <c r="D538" s="79"/>
      <c r="E538" s="79"/>
      <c r="P538" s="79"/>
      <c r="Q538" s="79"/>
      <c r="R538" s="79"/>
      <c r="Y538" s="79"/>
      <c r="AC538" s="130"/>
      <c r="AE538" s="106"/>
    </row>
    <row r="539">
      <c r="C539" s="79"/>
      <c r="D539" s="79"/>
      <c r="E539" s="79"/>
      <c r="P539" s="79"/>
      <c r="Q539" s="79"/>
      <c r="R539" s="79"/>
      <c r="Y539" s="79"/>
      <c r="AC539" s="130"/>
      <c r="AE539" s="106"/>
    </row>
    <row r="540">
      <c r="C540" s="79"/>
      <c r="D540" s="79"/>
      <c r="E540" s="79"/>
      <c r="P540" s="79"/>
      <c r="Q540" s="79"/>
      <c r="R540" s="79"/>
      <c r="Y540" s="79"/>
      <c r="AC540" s="130"/>
      <c r="AE540" s="106"/>
    </row>
    <row r="541">
      <c r="C541" s="79"/>
      <c r="D541" s="79"/>
      <c r="E541" s="79"/>
      <c r="P541" s="79"/>
      <c r="Q541" s="79"/>
      <c r="R541" s="79"/>
      <c r="Y541" s="79"/>
      <c r="AC541" s="130"/>
      <c r="AE541" s="106"/>
    </row>
    <row r="542">
      <c r="C542" s="79"/>
      <c r="D542" s="79"/>
      <c r="E542" s="79"/>
      <c r="P542" s="79"/>
      <c r="Q542" s="79"/>
      <c r="R542" s="79"/>
      <c r="Y542" s="79"/>
      <c r="AC542" s="130"/>
      <c r="AE542" s="106"/>
    </row>
    <row r="543">
      <c r="C543" s="79"/>
      <c r="D543" s="79"/>
      <c r="E543" s="79"/>
      <c r="P543" s="79"/>
      <c r="Q543" s="79"/>
      <c r="R543" s="79"/>
      <c r="Y543" s="79"/>
      <c r="AC543" s="130"/>
      <c r="AE543" s="106"/>
    </row>
    <row r="544">
      <c r="C544" s="79"/>
      <c r="D544" s="79"/>
      <c r="E544" s="79"/>
      <c r="P544" s="79"/>
      <c r="Q544" s="79"/>
      <c r="R544" s="79"/>
      <c r="Y544" s="79"/>
      <c r="AC544" s="130"/>
      <c r="AE544" s="106"/>
    </row>
    <row r="545">
      <c r="C545" s="79"/>
      <c r="D545" s="79"/>
      <c r="E545" s="79"/>
      <c r="P545" s="79"/>
      <c r="Q545" s="79"/>
      <c r="R545" s="79"/>
      <c r="Y545" s="79"/>
      <c r="AC545" s="130"/>
      <c r="AE545" s="106"/>
    </row>
    <row r="546">
      <c r="C546" s="79"/>
      <c r="D546" s="79"/>
      <c r="E546" s="79"/>
      <c r="P546" s="79"/>
      <c r="Q546" s="79"/>
      <c r="R546" s="79"/>
      <c r="Y546" s="79"/>
      <c r="AC546" s="130"/>
      <c r="AE546" s="106"/>
    </row>
    <row r="547">
      <c r="C547" s="79"/>
      <c r="D547" s="79"/>
      <c r="E547" s="79"/>
      <c r="P547" s="79"/>
      <c r="Q547" s="79"/>
      <c r="R547" s="79"/>
      <c r="Y547" s="79"/>
      <c r="AC547" s="130"/>
      <c r="AE547" s="106"/>
    </row>
    <row r="548">
      <c r="C548" s="79"/>
      <c r="D548" s="79"/>
      <c r="E548" s="79"/>
      <c r="P548" s="79"/>
      <c r="Q548" s="79"/>
      <c r="R548" s="79"/>
      <c r="Y548" s="79"/>
      <c r="AC548" s="130"/>
      <c r="AE548" s="106"/>
    </row>
    <row r="549">
      <c r="C549" s="79"/>
      <c r="D549" s="79"/>
      <c r="E549" s="79"/>
      <c r="P549" s="79"/>
      <c r="Q549" s="79"/>
      <c r="R549" s="79"/>
      <c r="Y549" s="79"/>
      <c r="AC549" s="130"/>
      <c r="AE549" s="106"/>
    </row>
    <row r="550">
      <c r="C550" s="79"/>
      <c r="D550" s="79"/>
      <c r="E550" s="79"/>
      <c r="P550" s="79"/>
      <c r="Q550" s="79"/>
      <c r="R550" s="79"/>
      <c r="Y550" s="79"/>
      <c r="AC550" s="130"/>
      <c r="AE550" s="106"/>
    </row>
    <row r="551">
      <c r="C551" s="79"/>
      <c r="D551" s="79"/>
      <c r="E551" s="79"/>
      <c r="P551" s="79"/>
      <c r="Q551" s="79"/>
      <c r="R551" s="79"/>
      <c r="Y551" s="79"/>
      <c r="AC551" s="130"/>
      <c r="AE551" s="106"/>
    </row>
    <row r="552">
      <c r="C552" s="79"/>
      <c r="D552" s="79"/>
      <c r="E552" s="79"/>
      <c r="P552" s="79"/>
      <c r="Q552" s="79"/>
      <c r="R552" s="79"/>
      <c r="Y552" s="79"/>
      <c r="AC552" s="130"/>
      <c r="AE552" s="106"/>
    </row>
    <row r="553">
      <c r="C553" s="79"/>
      <c r="D553" s="79"/>
      <c r="E553" s="79"/>
      <c r="P553" s="79"/>
      <c r="Q553" s="79"/>
      <c r="R553" s="79"/>
      <c r="Y553" s="79"/>
      <c r="AC553" s="130"/>
      <c r="AE553" s="106"/>
    </row>
    <row r="554">
      <c r="C554" s="79"/>
      <c r="D554" s="79"/>
      <c r="E554" s="79"/>
      <c r="P554" s="79"/>
      <c r="Q554" s="79"/>
      <c r="R554" s="79"/>
      <c r="Y554" s="79"/>
      <c r="AC554" s="130"/>
      <c r="AE554" s="106"/>
    </row>
    <row r="555">
      <c r="C555" s="79"/>
      <c r="D555" s="79"/>
      <c r="E555" s="79"/>
      <c r="P555" s="79"/>
      <c r="Q555" s="79"/>
      <c r="R555" s="79"/>
      <c r="Y555" s="79"/>
      <c r="AC555" s="130"/>
      <c r="AE555" s="106"/>
    </row>
    <row r="556">
      <c r="C556" s="79"/>
      <c r="D556" s="79"/>
      <c r="E556" s="79"/>
      <c r="P556" s="79"/>
      <c r="Q556" s="79"/>
      <c r="R556" s="79"/>
      <c r="Y556" s="79"/>
      <c r="AC556" s="130"/>
      <c r="AE556" s="106"/>
    </row>
    <row r="557">
      <c r="C557" s="79"/>
      <c r="D557" s="79"/>
      <c r="E557" s="79"/>
      <c r="P557" s="79"/>
      <c r="Q557" s="79"/>
      <c r="R557" s="79"/>
      <c r="Y557" s="79"/>
      <c r="AC557" s="130"/>
      <c r="AE557" s="106"/>
    </row>
    <row r="558">
      <c r="C558" s="79"/>
      <c r="D558" s="79"/>
      <c r="E558" s="79"/>
      <c r="P558" s="79"/>
      <c r="Q558" s="79"/>
      <c r="R558" s="79"/>
      <c r="Y558" s="79"/>
      <c r="AC558" s="130"/>
      <c r="AE558" s="106"/>
    </row>
    <row r="559">
      <c r="C559" s="79"/>
      <c r="D559" s="79"/>
      <c r="E559" s="79"/>
      <c r="P559" s="79"/>
      <c r="Q559" s="79"/>
      <c r="R559" s="79"/>
      <c r="Y559" s="79"/>
      <c r="AC559" s="130"/>
      <c r="AE559" s="106"/>
    </row>
    <row r="560">
      <c r="C560" s="79"/>
      <c r="D560" s="79"/>
      <c r="E560" s="79"/>
      <c r="P560" s="79"/>
      <c r="Q560" s="79"/>
      <c r="R560" s="79"/>
      <c r="Y560" s="79"/>
      <c r="AC560" s="130"/>
      <c r="AE560" s="106"/>
    </row>
    <row r="561">
      <c r="C561" s="79"/>
      <c r="D561" s="79"/>
      <c r="E561" s="79"/>
      <c r="P561" s="79"/>
      <c r="Q561" s="79"/>
      <c r="R561" s="79"/>
      <c r="Y561" s="79"/>
      <c r="AC561" s="130"/>
      <c r="AE561" s="106"/>
    </row>
    <row r="562">
      <c r="C562" s="79"/>
      <c r="D562" s="79"/>
      <c r="E562" s="79"/>
      <c r="P562" s="79"/>
      <c r="Q562" s="79"/>
      <c r="R562" s="79"/>
      <c r="Y562" s="79"/>
      <c r="AC562" s="130"/>
      <c r="AE562" s="106"/>
    </row>
    <row r="563">
      <c r="C563" s="79"/>
      <c r="D563" s="79"/>
      <c r="E563" s="79"/>
      <c r="P563" s="79"/>
      <c r="Q563" s="79"/>
      <c r="R563" s="79"/>
      <c r="Y563" s="79"/>
      <c r="AC563" s="130"/>
      <c r="AE563" s="106"/>
    </row>
    <row r="564">
      <c r="C564" s="79"/>
      <c r="D564" s="79"/>
      <c r="E564" s="79"/>
      <c r="P564" s="79"/>
      <c r="Q564" s="79"/>
      <c r="R564" s="79"/>
      <c r="Y564" s="79"/>
      <c r="AC564" s="130"/>
      <c r="AE564" s="106"/>
    </row>
    <row r="565">
      <c r="C565" s="79"/>
      <c r="D565" s="79"/>
      <c r="E565" s="79"/>
      <c r="P565" s="79"/>
      <c r="Q565" s="79"/>
      <c r="R565" s="79"/>
      <c r="Y565" s="79"/>
      <c r="AC565" s="130"/>
      <c r="AE565" s="106"/>
    </row>
    <row r="566">
      <c r="C566" s="79"/>
      <c r="D566" s="79"/>
      <c r="E566" s="79"/>
      <c r="P566" s="79"/>
      <c r="Q566" s="79"/>
      <c r="R566" s="79"/>
      <c r="Y566" s="79"/>
      <c r="AC566" s="130"/>
      <c r="AE566" s="106"/>
    </row>
    <row r="567">
      <c r="C567" s="79"/>
      <c r="D567" s="79"/>
      <c r="E567" s="79"/>
      <c r="P567" s="79"/>
      <c r="Q567" s="79"/>
      <c r="R567" s="79"/>
      <c r="Y567" s="79"/>
      <c r="AC567" s="130"/>
      <c r="AE567" s="106"/>
    </row>
    <row r="568">
      <c r="C568" s="79"/>
      <c r="D568" s="79"/>
      <c r="E568" s="79"/>
      <c r="P568" s="79"/>
      <c r="Q568" s="79"/>
      <c r="R568" s="79"/>
      <c r="Y568" s="79"/>
      <c r="AC568" s="130"/>
      <c r="AE568" s="106"/>
    </row>
    <row r="569">
      <c r="C569" s="79"/>
      <c r="D569" s="79"/>
      <c r="E569" s="79"/>
      <c r="P569" s="79"/>
      <c r="Q569" s="79"/>
      <c r="R569" s="79"/>
      <c r="Y569" s="79"/>
      <c r="AC569" s="130"/>
      <c r="AE569" s="106"/>
    </row>
    <row r="570">
      <c r="C570" s="79"/>
      <c r="D570" s="79"/>
      <c r="E570" s="79"/>
      <c r="P570" s="79"/>
      <c r="Q570" s="79"/>
      <c r="R570" s="79"/>
      <c r="Y570" s="79"/>
      <c r="AC570" s="130"/>
      <c r="AE570" s="106"/>
    </row>
    <row r="571">
      <c r="C571" s="79"/>
      <c r="D571" s="79"/>
      <c r="E571" s="79"/>
      <c r="P571" s="79"/>
      <c r="Q571" s="79"/>
      <c r="R571" s="79"/>
      <c r="Y571" s="79"/>
      <c r="AC571" s="130"/>
      <c r="AE571" s="106"/>
    </row>
    <row r="572">
      <c r="C572" s="79"/>
      <c r="D572" s="79"/>
      <c r="E572" s="79"/>
      <c r="P572" s="79"/>
      <c r="Q572" s="79"/>
      <c r="R572" s="79"/>
      <c r="Y572" s="79"/>
      <c r="AC572" s="130"/>
      <c r="AE572" s="106"/>
    </row>
    <row r="573">
      <c r="C573" s="79"/>
      <c r="D573" s="79"/>
      <c r="E573" s="79"/>
      <c r="P573" s="79"/>
      <c r="Q573" s="79"/>
      <c r="R573" s="79"/>
      <c r="Y573" s="79"/>
      <c r="AC573" s="130"/>
      <c r="AE573" s="106"/>
    </row>
    <row r="574">
      <c r="C574" s="79"/>
      <c r="D574" s="79"/>
      <c r="E574" s="79"/>
      <c r="P574" s="79"/>
      <c r="Q574" s="79"/>
      <c r="R574" s="79"/>
      <c r="Y574" s="79"/>
      <c r="AC574" s="130"/>
      <c r="AE574" s="106"/>
    </row>
    <row r="575">
      <c r="C575" s="79"/>
      <c r="D575" s="79"/>
      <c r="E575" s="79"/>
      <c r="P575" s="79"/>
      <c r="Q575" s="79"/>
      <c r="R575" s="79"/>
      <c r="Y575" s="79"/>
      <c r="AC575" s="130"/>
      <c r="AE575" s="106"/>
    </row>
    <row r="576">
      <c r="C576" s="79"/>
      <c r="D576" s="79"/>
      <c r="E576" s="79"/>
      <c r="P576" s="79"/>
      <c r="Q576" s="79"/>
      <c r="R576" s="79"/>
      <c r="Y576" s="79"/>
      <c r="AC576" s="130"/>
      <c r="AE576" s="106"/>
    </row>
    <row r="577">
      <c r="C577" s="79"/>
      <c r="D577" s="79"/>
      <c r="E577" s="79"/>
      <c r="P577" s="79"/>
      <c r="Q577" s="79"/>
      <c r="R577" s="79"/>
      <c r="Y577" s="79"/>
      <c r="AC577" s="130"/>
      <c r="AE577" s="106"/>
    </row>
    <row r="578">
      <c r="C578" s="79"/>
      <c r="D578" s="79"/>
      <c r="E578" s="79"/>
      <c r="P578" s="79"/>
      <c r="Q578" s="79"/>
      <c r="R578" s="79"/>
      <c r="Y578" s="79"/>
      <c r="AC578" s="130"/>
      <c r="AE578" s="106"/>
    </row>
    <row r="579">
      <c r="C579" s="79"/>
      <c r="D579" s="79"/>
      <c r="E579" s="79"/>
      <c r="P579" s="79"/>
      <c r="Q579" s="79"/>
      <c r="R579" s="79"/>
      <c r="Y579" s="79"/>
      <c r="AC579" s="130"/>
      <c r="AE579" s="106"/>
    </row>
    <row r="580">
      <c r="C580" s="79"/>
      <c r="D580" s="79"/>
      <c r="E580" s="79"/>
      <c r="P580" s="79"/>
      <c r="Q580" s="79"/>
      <c r="R580" s="79"/>
      <c r="Y580" s="79"/>
      <c r="AC580" s="130"/>
      <c r="AE580" s="106"/>
    </row>
    <row r="581">
      <c r="C581" s="79"/>
      <c r="D581" s="79"/>
      <c r="E581" s="79"/>
      <c r="P581" s="79"/>
      <c r="Q581" s="79"/>
      <c r="R581" s="79"/>
      <c r="Y581" s="79"/>
      <c r="AC581" s="130"/>
      <c r="AE581" s="106"/>
    </row>
    <row r="582">
      <c r="C582" s="79"/>
      <c r="D582" s="79"/>
      <c r="E582" s="79"/>
      <c r="P582" s="79"/>
      <c r="Q582" s="79"/>
      <c r="R582" s="79"/>
      <c r="Y582" s="79"/>
      <c r="AC582" s="130"/>
      <c r="AE582" s="106"/>
    </row>
    <row r="583">
      <c r="C583" s="79"/>
      <c r="D583" s="79"/>
      <c r="E583" s="79"/>
      <c r="P583" s="79"/>
      <c r="Q583" s="79"/>
      <c r="R583" s="79"/>
      <c r="Y583" s="79"/>
      <c r="AC583" s="130"/>
      <c r="AE583" s="106"/>
    </row>
    <row r="584">
      <c r="C584" s="79"/>
      <c r="D584" s="79"/>
      <c r="E584" s="79"/>
      <c r="P584" s="79"/>
      <c r="Q584" s="79"/>
      <c r="R584" s="79"/>
      <c r="Y584" s="79"/>
      <c r="AC584" s="130"/>
      <c r="AE584" s="106"/>
    </row>
    <row r="585">
      <c r="C585" s="79"/>
      <c r="D585" s="79"/>
      <c r="E585" s="79"/>
      <c r="P585" s="79"/>
      <c r="Q585" s="79"/>
      <c r="R585" s="79"/>
      <c r="Y585" s="79"/>
      <c r="AC585" s="130"/>
      <c r="AE585" s="106"/>
    </row>
    <row r="586">
      <c r="C586" s="79"/>
      <c r="D586" s="79"/>
      <c r="E586" s="79"/>
      <c r="P586" s="79"/>
      <c r="Q586" s="79"/>
      <c r="R586" s="79"/>
      <c r="Y586" s="79"/>
      <c r="AC586" s="130"/>
      <c r="AE586" s="106"/>
    </row>
    <row r="587">
      <c r="C587" s="79"/>
      <c r="D587" s="79"/>
      <c r="E587" s="79"/>
      <c r="P587" s="79"/>
      <c r="Q587" s="79"/>
      <c r="R587" s="79"/>
      <c r="Y587" s="79"/>
      <c r="AC587" s="130"/>
      <c r="AE587" s="106"/>
    </row>
    <row r="588">
      <c r="C588" s="79"/>
      <c r="D588" s="79"/>
      <c r="E588" s="79"/>
      <c r="P588" s="79"/>
      <c r="Q588" s="79"/>
      <c r="R588" s="79"/>
      <c r="Y588" s="79"/>
      <c r="AC588" s="130"/>
      <c r="AE588" s="106"/>
    </row>
    <row r="589">
      <c r="C589" s="79"/>
      <c r="D589" s="79"/>
      <c r="E589" s="79"/>
      <c r="P589" s="79"/>
      <c r="Q589" s="79"/>
      <c r="R589" s="79"/>
      <c r="Y589" s="79"/>
      <c r="AC589" s="130"/>
      <c r="AE589" s="106"/>
    </row>
    <row r="590">
      <c r="C590" s="79"/>
      <c r="D590" s="79"/>
      <c r="E590" s="79"/>
      <c r="P590" s="79"/>
      <c r="Q590" s="79"/>
      <c r="R590" s="79"/>
      <c r="Y590" s="79"/>
      <c r="AC590" s="130"/>
      <c r="AE590" s="106"/>
    </row>
    <row r="591">
      <c r="C591" s="79"/>
      <c r="D591" s="79"/>
      <c r="E591" s="79"/>
      <c r="P591" s="79"/>
      <c r="Q591" s="79"/>
      <c r="R591" s="79"/>
      <c r="Y591" s="79"/>
      <c r="AC591" s="130"/>
      <c r="AE591" s="106"/>
    </row>
    <row r="592">
      <c r="C592" s="79"/>
      <c r="D592" s="79"/>
      <c r="E592" s="79"/>
      <c r="P592" s="79"/>
      <c r="Q592" s="79"/>
      <c r="R592" s="79"/>
      <c r="Y592" s="79"/>
      <c r="AC592" s="130"/>
      <c r="AE592" s="106"/>
    </row>
    <row r="593">
      <c r="C593" s="79"/>
      <c r="D593" s="79"/>
      <c r="E593" s="79"/>
      <c r="P593" s="79"/>
      <c r="Q593" s="79"/>
      <c r="R593" s="79"/>
      <c r="Y593" s="79"/>
      <c r="AC593" s="130"/>
      <c r="AE593" s="106"/>
    </row>
    <row r="594">
      <c r="C594" s="79"/>
      <c r="D594" s="79"/>
      <c r="E594" s="79"/>
      <c r="P594" s="79"/>
      <c r="Q594" s="79"/>
      <c r="R594" s="79"/>
      <c r="Y594" s="79"/>
      <c r="AC594" s="130"/>
      <c r="AE594" s="106"/>
    </row>
    <row r="595">
      <c r="C595" s="79"/>
      <c r="D595" s="79"/>
      <c r="E595" s="79"/>
      <c r="P595" s="79"/>
      <c r="Q595" s="79"/>
      <c r="R595" s="79"/>
      <c r="Y595" s="79"/>
      <c r="AC595" s="130"/>
      <c r="AE595" s="106"/>
    </row>
    <row r="596">
      <c r="C596" s="79"/>
      <c r="D596" s="79"/>
      <c r="E596" s="79"/>
      <c r="P596" s="79"/>
      <c r="Q596" s="79"/>
      <c r="R596" s="79"/>
      <c r="Y596" s="79"/>
      <c r="AC596" s="130"/>
      <c r="AE596" s="106"/>
    </row>
    <row r="597">
      <c r="C597" s="79"/>
      <c r="D597" s="79"/>
      <c r="E597" s="79"/>
      <c r="P597" s="79"/>
      <c r="Q597" s="79"/>
      <c r="R597" s="79"/>
      <c r="Y597" s="79"/>
      <c r="AC597" s="130"/>
      <c r="AE597" s="106"/>
    </row>
    <row r="598">
      <c r="C598" s="79"/>
      <c r="D598" s="79"/>
      <c r="E598" s="79"/>
      <c r="P598" s="79"/>
      <c r="Q598" s="79"/>
      <c r="R598" s="79"/>
      <c r="Y598" s="79"/>
      <c r="AC598" s="130"/>
      <c r="AE598" s="106"/>
    </row>
    <row r="599">
      <c r="C599" s="79"/>
      <c r="D599" s="79"/>
      <c r="E599" s="79"/>
      <c r="P599" s="79"/>
      <c r="Q599" s="79"/>
      <c r="R599" s="79"/>
      <c r="Y599" s="79"/>
      <c r="AC599" s="130"/>
      <c r="AE599" s="106"/>
    </row>
    <row r="600">
      <c r="C600" s="79"/>
      <c r="D600" s="79"/>
      <c r="E600" s="79"/>
      <c r="P600" s="79"/>
      <c r="Q600" s="79"/>
      <c r="R600" s="79"/>
      <c r="Y600" s="79"/>
      <c r="AC600" s="130"/>
      <c r="AE600" s="106"/>
    </row>
    <row r="601">
      <c r="C601" s="79"/>
      <c r="D601" s="79"/>
      <c r="E601" s="79"/>
      <c r="P601" s="79"/>
      <c r="Q601" s="79"/>
      <c r="R601" s="79"/>
      <c r="Y601" s="79"/>
      <c r="AC601" s="130"/>
      <c r="AE601" s="106"/>
    </row>
    <row r="602">
      <c r="C602" s="79"/>
      <c r="D602" s="79"/>
      <c r="E602" s="79"/>
      <c r="P602" s="79"/>
      <c r="Q602" s="79"/>
      <c r="R602" s="79"/>
      <c r="Y602" s="79"/>
      <c r="AC602" s="130"/>
      <c r="AE602" s="106"/>
    </row>
    <row r="603">
      <c r="C603" s="79"/>
      <c r="D603" s="79"/>
      <c r="E603" s="79"/>
      <c r="P603" s="79"/>
      <c r="Q603" s="79"/>
      <c r="R603" s="79"/>
      <c r="Y603" s="79"/>
      <c r="AC603" s="130"/>
      <c r="AE603" s="106"/>
    </row>
    <row r="604">
      <c r="C604" s="79"/>
      <c r="D604" s="79"/>
      <c r="E604" s="79"/>
      <c r="P604" s="79"/>
      <c r="Q604" s="79"/>
      <c r="R604" s="79"/>
      <c r="Y604" s="79"/>
      <c r="AC604" s="130"/>
      <c r="AE604" s="106"/>
    </row>
    <row r="605">
      <c r="C605" s="79"/>
      <c r="D605" s="79"/>
      <c r="E605" s="79"/>
      <c r="P605" s="79"/>
      <c r="Q605" s="79"/>
      <c r="R605" s="79"/>
      <c r="Y605" s="79"/>
      <c r="AC605" s="130"/>
      <c r="AE605" s="106"/>
    </row>
    <row r="606">
      <c r="C606" s="79"/>
      <c r="D606" s="79"/>
      <c r="E606" s="79"/>
      <c r="P606" s="79"/>
      <c r="Q606" s="79"/>
      <c r="R606" s="79"/>
      <c r="Y606" s="79"/>
      <c r="AC606" s="130"/>
      <c r="AE606" s="106"/>
    </row>
    <row r="607">
      <c r="C607" s="79"/>
      <c r="D607" s="79"/>
      <c r="E607" s="79"/>
      <c r="P607" s="79"/>
      <c r="Q607" s="79"/>
      <c r="R607" s="79"/>
      <c r="Y607" s="79"/>
      <c r="AC607" s="130"/>
      <c r="AE607" s="106"/>
    </row>
    <row r="608">
      <c r="C608" s="79"/>
      <c r="D608" s="79"/>
      <c r="E608" s="79"/>
      <c r="P608" s="79"/>
      <c r="Q608" s="79"/>
      <c r="R608" s="79"/>
      <c r="Y608" s="79"/>
      <c r="AC608" s="130"/>
      <c r="AE608" s="106"/>
    </row>
    <row r="609">
      <c r="C609" s="79"/>
      <c r="D609" s="79"/>
      <c r="E609" s="79"/>
      <c r="P609" s="79"/>
      <c r="Q609" s="79"/>
      <c r="R609" s="79"/>
      <c r="Y609" s="79"/>
      <c r="AC609" s="130"/>
      <c r="AE609" s="106"/>
    </row>
    <row r="610">
      <c r="C610" s="79"/>
      <c r="D610" s="79"/>
      <c r="E610" s="79"/>
      <c r="P610" s="79"/>
      <c r="Q610" s="79"/>
      <c r="R610" s="79"/>
      <c r="Y610" s="79"/>
      <c r="AC610" s="130"/>
      <c r="AE610" s="106"/>
    </row>
    <row r="611">
      <c r="C611" s="79"/>
      <c r="D611" s="79"/>
      <c r="E611" s="79"/>
      <c r="P611" s="79"/>
      <c r="Q611" s="79"/>
      <c r="R611" s="79"/>
      <c r="Y611" s="79"/>
      <c r="AC611" s="130"/>
      <c r="AE611" s="106"/>
    </row>
    <row r="612">
      <c r="C612" s="79"/>
      <c r="D612" s="79"/>
      <c r="E612" s="79"/>
      <c r="P612" s="79"/>
      <c r="Q612" s="79"/>
      <c r="R612" s="79"/>
      <c r="Y612" s="79"/>
      <c r="AC612" s="130"/>
      <c r="AE612" s="106"/>
    </row>
    <row r="613">
      <c r="C613" s="79"/>
      <c r="D613" s="79"/>
      <c r="E613" s="79"/>
      <c r="P613" s="79"/>
      <c r="Q613" s="79"/>
      <c r="R613" s="79"/>
      <c r="Y613" s="79"/>
      <c r="AC613" s="130"/>
      <c r="AE613" s="106"/>
    </row>
    <row r="614">
      <c r="C614" s="79"/>
      <c r="D614" s="79"/>
      <c r="E614" s="79"/>
      <c r="P614" s="79"/>
      <c r="Q614" s="79"/>
      <c r="R614" s="79"/>
      <c r="Y614" s="79"/>
      <c r="AC614" s="130"/>
      <c r="AE614" s="106"/>
    </row>
    <row r="615">
      <c r="C615" s="79"/>
      <c r="D615" s="79"/>
      <c r="E615" s="79"/>
      <c r="P615" s="79"/>
      <c r="Q615" s="79"/>
      <c r="R615" s="79"/>
      <c r="Y615" s="79"/>
      <c r="AC615" s="130"/>
      <c r="AE615" s="106"/>
    </row>
    <row r="616">
      <c r="C616" s="79"/>
      <c r="D616" s="79"/>
      <c r="E616" s="79"/>
      <c r="P616" s="79"/>
      <c r="Q616" s="79"/>
      <c r="R616" s="79"/>
      <c r="Y616" s="79"/>
      <c r="AC616" s="130"/>
      <c r="AE616" s="106"/>
    </row>
    <row r="617">
      <c r="C617" s="79"/>
      <c r="D617" s="79"/>
      <c r="E617" s="79"/>
      <c r="P617" s="79"/>
      <c r="Q617" s="79"/>
      <c r="R617" s="79"/>
      <c r="Y617" s="79"/>
      <c r="AC617" s="130"/>
      <c r="AE617" s="106"/>
    </row>
    <row r="618">
      <c r="C618" s="79"/>
      <c r="D618" s="79"/>
      <c r="E618" s="79"/>
      <c r="P618" s="79"/>
      <c r="Q618" s="79"/>
      <c r="R618" s="79"/>
      <c r="Y618" s="79"/>
      <c r="AC618" s="130"/>
      <c r="AE618" s="106"/>
    </row>
    <row r="619">
      <c r="C619" s="79"/>
      <c r="D619" s="79"/>
      <c r="E619" s="79"/>
      <c r="P619" s="79"/>
      <c r="Q619" s="79"/>
      <c r="R619" s="79"/>
      <c r="Y619" s="79"/>
      <c r="AC619" s="130"/>
      <c r="AE619" s="106"/>
    </row>
    <row r="620">
      <c r="C620" s="79"/>
      <c r="D620" s="79"/>
      <c r="E620" s="79"/>
      <c r="P620" s="79"/>
      <c r="Q620" s="79"/>
      <c r="R620" s="79"/>
      <c r="Y620" s="79"/>
      <c r="AC620" s="130"/>
      <c r="AE620" s="106"/>
    </row>
    <row r="621">
      <c r="C621" s="79"/>
      <c r="D621" s="79"/>
      <c r="E621" s="79"/>
      <c r="P621" s="79"/>
      <c r="Q621" s="79"/>
      <c r="R621" s="79"/>
      <c r="Y621" s="79"/>
      <c r="AC621" s="130"/>
      <c r="AE621" s="106"/>
    </row>
    <row r="622">
      <c r="C622" s="79"/>
      <c r="D622" s="79"/>
      <c r="E622" s="79"/>
      <c r="P622" s="79"/>
      <c r="Q622" s="79"/>
      <c r="R622" s="79"/>
      <c r="Y622" s="79"/>
      <c r="AC622" s="130"/>
      <c r="AE622" s="106"/>
    </row>
    <row r="623">
      <c r="C623" s="79"/>
      <c r="D623" s="79"/>
      <c r="E623" s="79"/>
      <c r="P623" s="79"/>
      <c r="Q623" s="79"/>
      <c r="R623" s="79"/>
      <c r="Y623" s="79"/>
      <c r="AC623" s="130"/>
      <c r="AE623" s="106"/>
    </row>
    <row r="624">
      <c r="C624" s="79"/>
      <c r="D624" s="79"/>
      <c r="E624" s="79"/>
      <c r="P624" s="79"/>
      <c r="Q624" s="79"/>
      <c r="R624" s="79"/>
      <c r="Y624" s="79"/>
      <c r="AC624" s="130"/>
      <c r="AE624" s="106"/>
    </row>
    <row r="625">
      <c r="C625" s="79"/>
      <c r="D625" s="79"/>
      <c r="E625" s="79"/>
      <c r="P625" s="79"/>
      <c r="Q625" s="79"/>
      <c r="R625" s="79"/>
      <c r="Y625" s="79"/>
      <c r="AC625" s="130"/>
      <c r="AE625" s="106"/>
    </row>
    <row r="626">
      <c r="C626" s="79"/>
      <c r="D626" s="79"/>
      <c r="E626" s="79"/>
      <c r="P626" s="79"/>
      <c r="Q626" s="79"/>
      <c r="R626" s="79"/>
      <c r="Y626" s="79"/>
      <c r="AC626" s="130"/>
      <c r="AE626" s="106"/>
    </row>
    <row r="627">
      <c r="C627" s="79"/>
      <c r="D627" s="79"/>
      <c r="E627" s="79"/>
      <c r="P627" s="79"/>
      <c r="Q627" s="79"/>
      <c r="R627" s="79"/>
      <c r="Y627" s="79"/>
      <c r="AC627" s="130"/>
      <c r="AE627" s="106"/>
    </row>
    <row r="628">
      <c r="C628" s="79"/>
      <c r="D628" s="79"/>
      <c r="E628" s="79"/>
      <c r="P628" s="79"/>
      <c r="Q628" s="79"/>
      <c r="R628" s="79"/>
      <c r="Y628" s="79"/>
      <c r="AC628" s="130"/>
      <c r="AE628" s="106"/>
    </row>
    <row r="629">
      <c r="C629" s="79"/>
      <c r="D629" s="79"/>
      <c r="E629" s="79"/>
      <c r="P629" s="79"/>
      <c r="Q629" s="79"/>
      <c r="R629" s="79"/>
      <c r="Y629" s="79"/>
      <c r="AC629" s="130"/>
      <c r="AE629" s="106"/>
    </row>
    <row r="630">
      <c r="C630" s="79"/>
      <c r="D630" s="79"/>
      <c r="E630" s="79"/>
      <c r="P630" s="79"/>
      <c r="Q630" s="79"/>
      <c r="R630" s="79"/>
      <c r="Y630" s="79"/>
      <c r="AC630" s="130"/>
      <c r="AE630" s="106"/>
    </row>
    <row r="631">
      <c r="C631" s="79"/>
      <c r="D631" s="79"/>
      <c r="E631" s="79"/>
      <c r="P631" s="79"/>
      <c r="Q631" s="79"/>
      <c r="R631" s="79"/>
      <c r="Y631" s="79"/>
      <c r="AC631" s="130"/>
      <c r="AE631" s="106"/>
    </row>
    <row r="632">
      <c r="C632" s="79"/>
      <c r="D632" s="79"/>
      <c r="E632" s="79"/>
      <c r="P632" s="79"/>
      <c r="Q632" s="79"/>
      <c r="R632" s="79"/>
      <c r="Y632" s="79"/>
      <c r="AC632" s="130"/>
      <c r="AE632" s="106"/>
    </row>
    <row r="633">
      <c r="C633" s="79"/>
      <c r="D633" s="79"/>
      <c r="E633" s="79"/>
      <c r="P633" s="79"/>
      <c r="Q633" s="79"/>
      <c r="R633" s="79"/>
      <c r="Y633" s="79"/>
      <c r="AC633" s="130"/>
      <c r="AE633" s="106"/>
    </row>
    <row r="634">
      <c r="C634" s="79"/>
      <c r="D634" s="79"/>
      <c r="E634" s="79"/>
      <c r="P634" s="79"/>
      <c r="Q634" s="79"/>
      <c r="R634" s="79"/>
      <c r="Y634" s="79"/>
      <c r="AC634" s="130"/>
      <c r="AE634" s="106"/>
    </row>
    <row r="635">
      <c r="C635" s="79"/>
      <c r="D635" s="79"/>
      <c r="E635" s="79"/>
      <c r="P635" s="79"/>
      <c r="Q635" s="79"/>
      <c r="R635" s="79"/>
      <c r="Y635" s="79"/>
      <c r="AC635" s="130"/>
      <c r="AE635" s="106"/>
    </row>
    <row r="636">
      <c r="C636" s="79"/>
      <c r="D636" s="79"/>
      <c r="E636" s="79"/>
      <c r="P636" s="79"/>
      <c r="Q636" s="79"/>
      <c r="R636" s="79"/>
      <c r="Y636" s="79"/>
      <c r="AC636" s="130"/>
      <c r="AE636" s="106"/>
    </row>
    <row r="637">
      <c r="C637" s="79"/>
      <c r="D637" s="79"/>
      <c r="E637" s="79"/>
      <c r="P637" s="79"/>
      <c r="Q637" s="79"/>
      <c r="R637" s="79"/>
      <c r="Y637" s="79"/>
      <c r="AC637" s="130"/>
      <c r="AE637" s="106"/>
    </row>
    <row r="638">
      <c r="C638" s="79"/>
      <c r="D638" s="79"/>
      <c r="E638" s="79"/>
      <c r="P638" s="79"/>
      <c r="Q638" s="79"/>
      <c r="R638" s="79"/>
      <c r="Y638" s="79"/>
      <c r="AC638" s="130"/>
      <c r="AE638" s="106"/>
    </row>
    <row r="639">
      <c r="C639" s="79"/>
      <c r="D639" s="79"/>
      <c r="E639" s="79"/>
      <c r="P639" s="79"/>
      <c r="Q639" s="79"/>
      <c r="R639" s="79"/>
      <c r="Y639" s="79"/>
      <c r="AC639" s="130"/>
      <c r="AE639" s="106"/>
    </row>
    <row r="640">
      <c r="C640" s="79"/>
      <c r="D640" s="79"/>
      <c r="E640" s="79"/>
      <c r="P640" s="79"/>
      <c r="Q640" s="79"/>
      <c r="R640" s="79"/>
      <c r="Y640" s="79"/>
      <c r="AC640" s="130"/>
      <c r="AE640" s="106"/>
    </row>
    <row r="641">
      <c r="C641" s="79"/>
      <c r="D641" s="79"/>
      <c r="E641" s="79"/>
      <c r="P641" s="79"/>
      <c r="Q641" s="79"/>
      <c r="R641" s="79"/>
      <c r="Y641" s="79"/>
      <c r="AC641" s="130"/>
      <c r="AE641" s="106"/>
    </row>
    <row r="642">
      <c r="C642" s="79"/>
      <c r="D642" s="79"/>
      <c r="E642" s="79"/>
      <c r="P642" s="79"/>
      <c r="Q642" s="79"/>
      <c r="R642" s="79"/>
      <c r="Y642" s="79"/>
      <c r="AC642" s="130"/>
      <c r="AE642" s="106"/>
    </row>
    <row r="643">
      <c r="C643" s="79"/>
      <c r="D643" s="79"/>
      <c r="E643" s="79"/>
      <c r="P643" s="79"/>
      <c r="Q643" s="79"/>
      <c r="R643" s="79"/>
      <c r="Y643" s="79"/>
      <c r="AC643" s="130"/>
      <c r="AE643" s="106"/>
    </row>
    <row r="644">
      <c r="C644" s="79"/>
      <c r="D644" s="79"/>
      <c r="E644" s="79"/>
      <c r="P644" s="79"/>
      <c r="Q644" s="79"/>
      <c r="R644" s="79"/>
      <c r="Y644" s="79"/>
      <c r="AC644" s="130"/>
      <c r="AE644" s="106"/>
    </row>
    <row r="645">
      <c r="C645" s="79"/>
      <c r="D645" s="79"/>
      <c r="E645" s="79"/>
      <c r="P645" s="79"/>
      <c r="Q645" s="79"/>
      <c r="R645" s="79"/>
      <c r="Y645" s="79"/>
      <c r="AC645" s="130"/>
      <c r="AE645" s="106"/>
    </row>
    <row r="646">
      <c r="C646" s="79"/>
      <c r="D646" s="79"/>
      <c r="E646" s="79"/>
      <c r="P646" s="79"/>
      <c r="Q646" s="79"/>
      <c r="R646" s="79"/>
      <c r="Y646" s="79"/>
      <c r="AC646" s="130"/>
      <c r="AE646" s="106"/>
    </row>
    <row r="647">
      <c r="C647" s="79"/>
      <c r="D647" s="79"/>
      <c r="E647" s="79"/>
      <c r="P647" s="79"/>
      <c r="Q647" s="79"/>
      <c r="R647" s="79"/>
      <c r="Y647" s="79"/>
      <c r="AC647" s="130"/>
      <c r="AE647" s="106"/>
    </row>
    <row r="648">
      <c r="C648" s="79"/>
      <c r="D648" s="79"/>
      <c r="E648" s="79"/>
      <c r="P648" s="79"/>
      <c r="Q648" s="79"/>
      <c r="R648" s="79"/>
      <c r="Y648" s="79"/>
      <c r="AC648" s="130"/>
      <c r="AE648" s="106"/>
    </row>
    <row r="649">
      <c r="C649" s="79"/>
      <c r="D649" s="79"/>
      <c r="E649" s="79"/>
      <c r="P649" s="79"/>
      <c r="Q649" s="79"/>
      <c r="R649" s="79"/>
      <c r="Y649" s="79"/>
      <c r="AC649" s="130"/>
      <c r="AE649" s="106"/>
    </row>
    <row r="650">
      <c r="C650" s="79"/>
      <c r="D650" s="79"/>
      <c r="E650" s="79"/>
      <c r="P650" s="79"/>
      <c r="Q650" s="79"/>
      <c r="R650" s="79"/>
      <c r="Y650" s="79"/>
      <c r="AC650" s="130"/>
      <c r="AE650" s="106"/>
    </row>
    <row r="651">
      <c r="C651" s="79"/>
      <c r="D651" s="79"/>
      <c r="E651" s="79"/>
      <c r="P651" s="79"/>
      <c r="Q651" s="79"/>
      <c r="R651" s="79"/>
      <c r="Y651" s="79"/>
      <c r="AC651" s="130"/>
      <c r="AE651" s="106"/>
    </row>
    <row r="652">
      <c r="C652" s="79"/>
      <c r="D652" s="79"/>
      <c r="E652" s="79"/>
      <c r="P652" s="79"/>
      <c r="Q652" s="79"/>
      <c r="R652" s="79"/>
      <c r="Y652" s="79"/>
      <c r="AC652" s="130"/>
      <c r="AE652" s="106"/>
    </row>
    <row r="653">
      <c r="C653" s="79"/>
      <c r="D653" s="79"/>
      <c r="E653" s="79"/>
      <c r="P653" s="79"/>
      <c r="Q653" s="79"/>
      <c r="R653" s="79"/>
      <c r="Y653" s="79"/>
      <c r="AC653" s="130"/>
      <c r="AE653" s="106"/>
    </row>
    <row r="654">
      <c r="C654" s="79"/>
      <c r="D654" s="79"/>
      <c r="E654" s="79"/>
      <c r="P654" s="79"/>
      <c r="Q654" s="79"/>
      <c r="R654" s="79"/>
      <c r="Y654" s="79"/>
      <c r="AC654" s="130"/>
      <c r="AE654" s="106"/>
    </row>
    <row r="655">
      <c r="C655" s="79"/>
      <c r="D655" s="79"/>
      <c r="E655" s="79"/>
      <c r="P655" s="79"/>
      <c r="Q655" s="79"/>
      <c r="R655" s="79"/>
      <c r="Y655" s="79"/>
      <c r="AC655" s="130"/>
      <c r="AE655" s="106"/>
    </row>
    <row r="656">
      <c r="C656" s="79"/>
      <c r="D656" s="79"/>
      <c r="E656" s="79"/>
      <c r="P656" s="79"/>
      <c r="Q656" s="79"/>
      <c r="R656" s="79"/>
      <c r="Y656" s="79"/>
      <c r="AC656" s="130"/>
      <c r="AE656" s="106"/>
    </row>
    <row r="657">
      <c r="C657" s="79"/>
      <c r="D657" s="79"/>
      <c r="E657" s="79"/>
      <c r="P657" s="79"/>
      <c r="Q657" s="79"/>
      <c r="R657" s="79"/>
      <c r="Y657" s="79"/>
      <c r="AC657" s="130"/>
      <c r="AE657" s="106"/>
    </row>
    <row r="658">
      <c r="C658" s="79"/>
      <c r="D658" s="79"/>
      <c r="E658" s="79"/>
      <c r="P658" s="79"/>
      <c r="Q658" s="79"/>
      <c r="R658" s="79"/>
      <c r="Y658" s="79"/>
      <c r="AC658" s="130"/>
      <c r="AE658" s="106"/>
    </row>
    <row r="659">
      <c r="C659" s="79"/>
      <c r="D659" s="79"/>
      <c r="E659" s="79"/>
      <c r="P659" s="79"/>
      <c r="Q659" s="79"/>
      <c r="R659" s="79"/>
      <c r="Y659" s="79"/>
      <c r="AC659" s="130"/>
      <c r="AE659" s="106"/>
    </row>
    <row r="660">
      <c r="C660" s="79"/>
      <c r="D660" s="79"/>
      <c r="E660" s="79"/>
      <c r="P660" s="79"/>
      <c r="Q660" s="79"/>
      <c r="R660" s="79"/>
      <c r="Y660" s="79"/>
      <c r="AC660" s="130"/>
      <c r="AE660" s="106"/>
    </row>
    <row r="661">
      <c r="C661" s="79"/>
      <c r="D661" s="79"/>
      <c r="E661" s="79"/>
      <c r="P661" s="79"/>
      <c r="Q661" s="79"/>
      <c r="R661" s="79"/>
      <c r="Y661" s="79"/>
      <c r="AC661" s="130"/>
      <c r="AE661" s="106"/>
    </row>
    <row r="662">
      <c r="C662" s="79"/>
      <c r="D662" s="79"/>
      <c r="E662" s="79"/>
      <c r="P662" s="79"/>
      <c r="Q662" s="79"/>
      <c r="R662" s="79"/>
      <c r="Y662" s="79"/>
      <c r="AC662" s="130"/>
      <c r="AE662" s="106"/>
    </row>
    <row r="663">
      <c r="C663" s="79"/>
      <c r="D663" s="79"/>
      <c r="E663" s="79"/>
      <c r="P663" s="79"/>
      <c r="Q663" s="79"/>
      <c r="R663" s="79"/>
      <c r="Y663" s="79"/>
      <c r="AC663" s="130"/>
      <c r="AE663" s="106"/>
    </row>
    <row r="664">
      <c r="C664" s="79"/>
      <c r="D664" s="79"/>
      <c r="E664" s="79"/>
      <c r="P664" s="79"/>
      <c r="Q664" s="79"/>
      <c r="R664" s="79"/>
      <c r="Y664" s="79"/>
      <c r="AC664" s="130"/>
      <c r="AE664" s="106"/>
    </row>
    <row r="665">
      <c r="C665" s="79"/>
      <c r="D665" s="79"/>
      <c r="E665" s="79"/>
      <c r="P665" s="79"/>
      <c r="Q665" s="79"/>
      <c r="R665" s="79"/>
      <c r="Y665" s="79"/>
      <c r="AC665" s="130"/>
      <c r="AE665" s="106"/>
    </row>
    <row r="666">
      <c r="C666" s="79"/>
      <c r="D666" s="79"/>
      <c r="E666" s="79"/>
      <c r="P666" s="79"/>
      <c r="Q666" s="79"/>
      <c r="R666" s="79"/>
      <c r="Y666" s="79"/>
      <c r="AC666" s="130"/>
      <c r="AE666" s="106"/>
    </row>
    <row r="667">
      <c r="C667" s="79"/>
      <c r="D667" s="79"/>
      <c r="E667" s="79"/>
      <c r="P667" s="79"/>
      <c r="Q667" s="79"/>
      <c r="R667" s="79"/>
      <c r="Y667" s="79"/>
      <c r="AC667" s="130"/>
      <c r="AE667" s="106"/>
    </row>
    <row r="668">
      <c r="C668" s="79"/>
      <c r="D668" s="79"/>
      <c r="E668" s="79"/>
      <c r="P668" s="79"/>
      <c r="Q668" s="79"/>
      <c r="R668" s="79"/>
      <c r="Y668" s="79"/>
      <c r="AC668" s="130"/>
      <c r="AE668" s="106"/>
    </row>
    <row r="669">
      <c r="C669" s="79"/>
      <c r="D669" s="79"/>
      <c r="E669" s="79"/>
      <c r="P669" s="79"/>
      <c r="Q669" s="79"/>
      <c r="R669" s="79"/>
      <c r="Y669" s="79"/>
      <c r="AC669" s="130"/>
      <c r="AE669" s="106"/>
    </row>
    <row r="670">
      <c r="C670" s="79"/>
      <c r="D670" s="79"/>
      <c r="E670" s="79"/>
      <c r="P670" s="79"/>
      <c r="Q670" s="79"/>
      <c r="R670" s="79"/>
      <c r="Y670" s="79"/>
      <c r="AC670" s="130"/>
      <c r="AE670" s="106"/>
    </row>
    <row r="671">
      <c r="C671" s="79"/>
      <c r="D671" s="79"/>
      <c r="E671" s="79"/>
      <c r="P671" s="79"/>
      <c r="Q671" s="79"/>
      <c r="R671" s="79"/>
      <c r="Y671" s="79"/>
      <c r="AC671" s="130"/>
      <c r="AE671" s="106"/>
    </row>
    <row r="672">
      <c r="C672" s="79"/>
      <c r="D672" s="79"/>
      <c r="E672" s="79"/>
      <c r="P672" s="79"/>
      <c r="Q672" s="79"/>
      <c r="R672" s="79"/>
      <c r="Y672" s="79"/>
      <c r="AC672" s="130"/>
      <c r="AE672" s="106"/>
    </row>
    <row r="673">
      <c r="C673" s="79"/>
      <c r="D673" s="79"/>
      <c r="E673" s="79"/>
      <c r="P673" s="79"/>
      <c r="Q673" s="79"/>
      <c r="R673" s="79"/>
      <c r="Y673" s="79"/>
      <c r="AC673" s="130"/>
      <c r="AE673" s="106"/>
    </row>
    <row r="674">
      <c r="C674" s="79"/>
      <c r="D674" s="79"/>
      <c r="E674" s="79"/>
      <c r="P674" s="79"/>
      <c r="Q674" s="79"/>
      <c r="R674" s="79"/>
      <c r="Y674" s="79"/>
      <c r="AC674" s="130"/>
      <c r="AE674" s="106"/>
    </row>
    <row r="675">
      <c r="C675" s="79"/>
      <c r="D675" s="79"/>
      <c r="E675" s="79"/>
      <c r="P675" s="79"/>
      <c r="Q675" s="79"/>
      <c r="R675" s="79"/>
      <c r="Y675" s="79"/>
      <c r="AC675" s="130"/>
      <c r="AE675" s="106"/>
    </row>
    <row r="676">
      <c r="C676" s="79"/>
      <c r="D676" s="79"/>
      <c r="E676" s="79"/>
      <c r="P676" s="79"/>
      <c r="Q676" s="79"/>
      <c r="R676" s="79"/>
      <c r="Y676" s="79"/>
      <c r="AC676" s="130"/>
      <c r="AE676" s="106"/>
    </row>
    <row r="677">
      <c r="C677" s="79"/>
      <c r="D677" s="79"/>
      <c r="E677" s="79"/>
      <c r="P677" s="79"/>
      <c r="Q677" s="79"/>
      <c r="R677" s="79"/>
      <c r="Y677" s="79"/>
      <c r="AC677" s="130"/>
      <c r="AE677" s="106"/>
    </row>
    <row r="678">
      <c r="C678" s="79"/>
      <c r="D678" s="79"/>
      <c r="E678" s="79"/>
      <c r="P678" s="79"/>
      <c r="Q678" s="79"/>
      <c r="R678" s="79"/>
      <c r="Y678" s="79"/>
      <c r="AC678" s="130"/>
      <c r="AE678" s="106"/>
    </row>
    <row r="679">
      <c r="C679" s="79"/>
      <c r="D679" s="79"/>
      <c r="E679" s="79"/>
      <c r="P679" s="79"/>
      <c r="Q679" s="79"/>
      <c r="R679" s="79"/>
      <c r="Y679" s="79"/>
      <c r="AC679" s="130"/>
      <c r="AE679" s="106"/>
    </row>
    <row r="680">
      <c r="C680" s="79"/>
      <c r="D680" s="79"/>
      <c r="E680" s="79"/>
      <c r="P680" s="79"/>
      <c r="Q680" s="79"/>
      <c r="R680" s="79"/>
      <c r="Y680" s="79"/>
      <c r="AC680" s="130"/>
      <c r="AE680" s="106"/>
    </row>
    <row r="681">
      <c r="C681" s="79"/>
      <c r="D681" s="79"/>
      <c r="E681" s="79"/>
      <c r="P681" s="79"/>
      <c r="Q681" s="79"/>
      <c r="R681" s="79"/>
      <c r="Y681" s="79"/>
      <c r="AC681" s="130"/>
      <c r="AE681" s="106"/>
    </row>
    <row r="682">
      <c r="C682" s="79"/>
      <c r="D682" s="79"/>
      <c r="E682" s="79"/>
      <c r="P682" s="79"/>
      <c r="Q682" s="79"/>
      <c r="R682" s="79"/>
      <c r="Y682" s="79"/>
      <c r="AC682" s="130"/>
      <c r="AE682" s="106"/>
    </row>
    <row r="683">
      <c r="C683" s="79"/>
      <c r="D683" s="79"/>
      <c r="E683" s="79"/>
      <c r="P683" s="79"/>
      <c r="Q683" s="79"/>
      <c r="R683" s="79"/>
      <c r="Y683" s="79"/>
      <c r="AC683" s="130"/>
      <c r="AE683" s="106"/>
    </row>
    <row r="684">
      <c r="C684" s="79"/>
      <c r="D684" s="79"/>
      <c r="E684" s="79"/>
      <c r="P684" s="79"/>
      <c r="Q684" s="79"/>
      <c r="R684" s="79"/>
      <c r="Y684" s="79"/>
      <c r="AC684" s="130"/>
      <c r="AE684" s="106"/>
    </row>
    <row r="685">
      <c r="C685" s="79"/>
      <c r="D685" s="79"/>
      <c r="E685" s="79"/>
      <c r="P685" s="79"/>
      <c r="Q685" s="79"/>
      <c r="R685" s="79"/>
      <c r="Y685" s="79"/>
      <c r="AC685" s="130"/>
      <c r="AE685" s="106"/>
    </row>
    <row r="686">
      <c r="C686" s="79"/>
      <c r="D686" s="79"/>
      <c r="E686" s="79"/>
      <c r="P686" s="79"/>
      <c r="Q686" s="79"/>
      <c r="R686" s="79"/>
      <c r="Y686" s="79"/>
      <c r="AC686" s="130"/>
      <c r="AE686" s="106"/>
    </row>
    <row r="687">
      <c r="C687" s="79"/>
      <c r="D687" s="79"/>
      <c r="E687" s="79"/>
      <c r="P687" s="79"/>
      <c r="Q687" s="79"/>
      <c r="R687" s="79"/>
      <c r="Y687" s="79"/>
      <c r="AC687" s="130"/>
      <c r="AE687" s="106"/>
    </row>
    <row r="688">
      <c r="C688" s="79"/>
      <c r="D688" s="79"/>
      <c r="E688" s="79"/>
      <c r="P688" s="79"/>
      <c r="Q688" s="79"/>
      <c r="R688" s="79"/>
      <c r="Y688" s="79"/>
      <c r="AC688" s="130"/>
      <c r="AE688" s="106"/>
    </row>
    <row r="689">
      <c r="C689" s="79"/>
      <c r="D689" s="79"/>
      <c r="E689" s="79"/>
      <c r="P689" s="79"/>
      <c r="Q689" s="79"/>
      <c r="R689" s="79"/>
      <c r="Y689" s="79"/>
      <c r="AC689" s="130"/>
      <c r="AE689" s="106"/>
    </row>
    <row r="690">
      <c r="C690" s="79"/>
      <c r="D690" s="79"/>
      <c r="E690" s="79"/>
      <c r="P690" s="79"/>
      <c r="Q690" s="79"/>
      <c r="R690" s="79"/>
      <c r="Y690" s="79"/>
      <c r="AC690" s="130"/>
      <c r="AE690" s="106"/>
    </row>
    <row r="691">
      <c r="C691" s="79"/>
      <c r="D691" s="79"/>
      <c r="E691" s="79"/>
      <c r="P691" s="79"/>
      <c r="Q691" s="79"/>
      <c r="R691" s="79"/>
      <c r="Y691" s="79"/>
      <c r="AC691" s="130"/>
      <c r="AE691" s="106"/>
    </row>
    <row r="692">
      <c r="C692" s="79"/>
      <c r="D692" s="79"/>
      <c r="E692" s="79"/>
      <c r="P692" s="79"/>
      <c r="Q692" s="79"/>
      <c r="R692" s="79"/>
      <c r="Y692" s="79"/>
      <c r="AC692" s="130"/>
      <c r="AE692" s="106"/>
    </row>
    <row r="693">
      <c r="C693" s="79"/>
      <c r="D693" s="79"/>
      <c r="E693" s="79"/>
      <c r="P693" s="79"/>
      <c r="Q693" s="79"/>
      <c r="R693" s="79"/>
      <c r="Y693" s="79"/>
      <c r="AC693" s="130"/>
      <c r="AE693" s="106"/>
    </row>
    <row r="694">
      <c r="C694" s="79"/>
      <c r="D694" s="79"/>
      <c r="E694" s="79"/>
      <c r="P694" s="79"/>
      <c r="Q694" s="79"/>
      <c r="R694" s="79"/>
      <c r="Y694" s="79"/>
      <c r="AC694" s="130"/>
      <c r="AE694" s="106"/>
    </row>
    <row r="695">
      <c r="C695" s="79"/>
      <c r="D695" s="79"/>
      <c r="E695" s="79"/>
      <c r="P695" s="79"/>
      <c r="Q695" s="79"/>
      <c r="R695" s="79"/>
      <c r="Y695" s="79"/>
      <c r="AC695" s="130"/>
      <c r="AE695" s="106"/>
    </row>
    <row r="696">
      <c r="C696" s="79"/>
      <c r="D696" s="79"/>
      <c r="E696" s="79"/>
      <c r="P696" s="79"/>
      <c r="Q696" s="79"/>
      <c r="R696" s="79"/>
      <c r="Y696" s="79"/>
      <c r="AC696" s="130"/>
      <c r="AE696" s="106"/>
    </row>
    <row r="697">
      <c r="C697" s="79"/>
      <c r="D697" s="79"/>
      <c r="E697" s="79"/>
      <c r="P697" s="79"/>
      <c r="Q697" s="79"/>
      <c r="R697" s="79"/>
      <c r="Y697" s="79"/>
      <c r="AC697" s="130"/>
      <c r="AE697" s="106"/>
    </row>
    <row r="698">
      <c r="C698" s="79"/>
      <c r="D698" s="79"/>
      <c r="E698" s="79"/>
      <c r="P698" s="79"/>
      <c r="Q698" s="79"/>
      <c r="R698" s="79"/>
      <c r="Y698" s="79"/>
      <c r="AC698" s="130"/>
      <c r="AE698" s="106"/>
    </row>
    <row r="699">
      <c r="C699" s="79"/>
      <c r="D699" s="79"/>
      <c r="E699" s="79"/>
      <c r="P699" s="79"/>
      <c r="Q699" s="79"/>
      <c r="R699" s="79"/>
      <c r="Y699" s="79"/>
      <c r="AC699" s="130"/>
      <c r="AE699" s="106"/>
    </row>
    <row r="700">
      <c r="C700" s="79"/>
      <c r="D700" s="79"/>
      <c r="E700" s="79"/>
      <c r="P700" s="79"/>
      <c r="Q700" s="79"/>
      <c r="R700" s="79"/>
      <c r="Y700" s="79"/>
      <c r="AC700" s="130"/>
      <c r="AE700" s="106"/>
    </row>
    <row r="701">
      <c r="C701" s="79"/>
      <c r="D701" s="79"/>
      <c r="E701" s="79"/>
      <c r="P701" s="79"/>
      <c r="Q701" s="79"/>
      <c r="R701" s="79"/>
      <c r="Y701" s="79"/>
      <c r="AC701" s="130"/>
      <c r="AE701" s="106"/>
    </row>
    <row r="702">
      <c r="C702" s="79"/>
      <c r="D702" s="79"/>
      <c r="E702" s="79"/>
      <c r="P702" s="79"/>
      <c r="Q702" s="79"/>
      <c r="R702" s="79"/>
      <c r="Y702" s="79"/>
      <c r="AC702" s="130"/>
      <c r="AE702" s="106"/>
    </row>
    <row r="703">
      <c r="C703" s="79"/>
      <c r="D703" s="79"/>
      <c r="E703" s="79"/>
      <c r="P703" s="79"/>
      <c r="Q703" s="79"/>
      <c r="R703" s="79"/>
      <c r="Y703" s="79"/>
      <c r="AC703" s="130"/>
      <c r="AE703" s="106"/>
    </row>
    <row r="704">
      <c r="C704" s="79"/>
      <c r="D704" s="79"/>
      <c r="E704" s="79"/>
      <c r="P704" s="79"/>
      <c r="Q704" s="79"/>
      <c r="R704" s="79"/>
      <c r="Y704" s="79"/>
      <c r="AC704" s="130"/>
      <c r="AE704" s="106"/>
    </row>
    <row r="705">
      <c r="C705" s="79"/>
      <c r="D705" s="79"/>
      <c r="E705" s="79"/>
      <c r="P705" s="79"/>
      <c r="Q705" s="79"/>
      <c r="R705" s="79"/>
      <c r="Y705" s="79"/>
      <c r="AC705" s="130"/>
      <c r="AE705" s="106"/>
    </row>
    <row r="706">
      <c r="C706" s="79"/>
      <c r="D706" s="79"/>
      <c r="E706" s="79"/>
      <c r="P706" s="79"/>
      <c r="Q706" s="79"/>
      <c r="R706" s="79"/>
      <c r="Y706" s="79"/>
      <c r="AC706" s="130"/>
      <c r="AE706" s="106"/>
    </row>
    <row r="707">
      <c r="C707" s="79"/>
      <c r="D707" s="79"/>
      <c r="E707" s="79"/>
      <c r="P707" s="79"/>
      <c r="Q707" s="79"/>
      <c r="R707" s="79"/>
      <c r="Y707" s="79"/>
      <c r="AC707" s="130"/>
      <c r="AE707" s="106"/>
    </row>
    <row r="708">
      <c r="C708" s="79"/>
      <c r="D708" s="79"/>
      <c r="E708" s="79"/>
      <c r="P708" s="79"/>
      <c r="Q708" s="79"/>
      <c r="R708" s="79"/>
      <c r="Y708" s="79"/>
      <c r="AC708" s="130"/>
      <c r="AE708" s="106"/>
    </row>
    <row r="709">
      <c r="C709" s="79"/>
      <c r="D709" s="79"/>
      <c r="E709" s="79"/>
      <c r="P709" s="79"/>
      <c r="Q709" s="79"/>
      <c r="R709" s="79"/>
      <c r="Y709" s="79"/>
      <c r="AC709" s="130"/>
      <c r="AE709" s="106"/>
    </row>
    <row r="710">
      <c r="C710" s="79"/>
      <c r="D710" s="79"/>
      <c r="E710" s="79"/>
      <c r="P710" s="79"/>
      <c r="Q710" s="79"/>
      <c r="R710" s="79"/>
      <c r="Y710" s="79"/>
      <c r="AC710" s="130"/>
      <c r="AE710" s="106"/>
    </row>
    <row r="711">
      <c r="C711" s="79"/>
      <c r="D711" s="79"/>
      <c r="E711" s="79"/>
      <c r="P711" s="79"/>
      <c r="Q711" s="79"/>
      <c r="R711" s="79"/>
      <c r="Y711" s="79"/>
      <c r="AC711" s="130"/>
      <c r="AE711" s="106"/>
    </row>
    <row r="712">
      <c r="C712" s="79"/>
      <c r="D712" s="79"/>
      <c r="E712" s="79"/>
      <c r="P712" s="79"/>
      <c r="Q712" s="79"/>
      <c r="R712" s="79"/>
      <c r="Y712" s="79"/>
      <c r="AC712" s="130"/>
      <c r="AE712" s="106"/>
    </row>
    <row r="713">
      <c r="C713" s="79"/>
      <c r="D713" s="79"/>
      <c r="E713" s="79"/>
      <c r="P713" s="79"/>
      <c r="Q713" s="79"/>
      <c r="R713" s="79"/>
      <c r="Y713" s="79"/>
      <c r="AC713" s="130"/>
      <c r="AE713" s="106"/>
    </row>
    <row r="714">
      <c r="C714" s="79"/>
      <c r="D714" s="79"/>
      <c r="E714" s="79"/>
      <c r="P714" s="79"/>
      <c r="Q714" s="79"/>
      <c r="R714" s="79"/>
      <c r="Y714" s="79"/>
      <c r="AC714" s="130"/>
      <c r="AE714" s="106"/>
    </row>
    <row r="715">
      <c r="C715" s="79"/>
      <c r="D715" s="79"/>
      <c r="E715" s="79"/>
      <c r="P715" s="79"/>
      <c r="Q715" s="79"/>
      <c r="R715" s="79"/>
      <c r="Y715" s="79"/>
      <c r="AC715" s="130"/>
      <c r="AE715" s="106"/>
    </row>
    <row r="716">
      <c r="C716" s="79"/>
      <c r="D716" s="79"/>
      <c r="E716" s="79"/>
      <c r="P716" s="79"/>
      <c r="Q716" s="79"/>
      <c r="R716" s="79"/>
      <c r="Y716" s="79"/>
      <c r="AC716" s="130"/>
      <c r="AE716" s="106"/>
    </row>
    <row r="717">
      <c r="C717" s="79"/>
      <c r="D717" s="79"/>
      <c r="E717" s="79"/>
      <c r="P717" s="79"/>
      <c r="Q717" s="79"/>
      <c r="R717" s="79"/>
      <c r="Y717" s="79"/>
      <c r="AC717" s="130"/>
      <c r="AE717" s="106"/>
    </row>
    <row r="718">
      <c r="C718" s="79"/>
      <c r="D718" s="79"/>
      <c r="E718" s="79"/>
      <c r="P718" s="79"/>
      <c r="Q718" s="79"/>
      <c r="R718" s="79"/>
      <c r="Y718" s="79"/>
      <c r="AC718" s="130"/>
      <c r="AE718" s="106"/>
    </row>
    <row r="719">
      <c r="C719" s="79"/>
      <c r="D719" s="79"/>
      <c r="E719" s="79"/>
      <c r="P719" s="79"/>
      <c r="Q719" s="79"/>
      <c r="R719" s="79"/>
      <c r="Y719" s="79"/>
      <c r="AC719" s="130"/>
      <c r="AE719" s="106"/>
    </row>
    <row r="720">
      <c r="C720" s="79"/>
      <c r="D720" s="79"/>
      <c r="E720" s="79"/>
      <c r="P720" s="79"/>
      <c r="Q720" s="79"/>
      <c r="R720" s="79"/>
      <c r="Y720" s="79"/>
      <c r="AC720" s="130"/>
      <c r="AE720" s="106"/>
    </row>
    <row r="721">
      <c r="C721" s="79"/>
      <c r="D721" s="79"/>
      <c r="E721" s="79"/>
      <c r="P721" s="79"/>
      <c r="Q721" s="79"/>
      <c r="R721" s="79"/>
      <c r="Y721" s="79"/>
      <c r="AC721" s="130"/>
      <c r="AE721" s="106"/>
    </row>
    <row r="722">
      <c r="C722" s="79"/>
      <c r="D722" s="79"/>
      <c r="E722" s="79"/>
      <c r="P722" s="79"/>
      <c r="Q722" s="79"/>
      <c r="R722" s="79"/>
      <c r="Y722" s="79"/>
      <c r="AC722" s="130"/>
      <c r="AE722" s="106"/>
    </row>
    <row r="723">
      <c r="C723" s="79"/>
      <c r="D723" s="79"/>
      <c r="E723" s="79"/>
      <c r="P723" s="79"/>
      <c r="Q723" s="79"/>
      <c r="R723" s="79"/>
      <c r="Y723" s="79"/>
      <c r="AC723" s="130"/>
      <c r="AE723" s="106"/>
    </row>
    <row r="724">
      <c r="C724" s="79"/>
      <c r="D724" s="79"/>
      <c r="E724" s="79"/>
      <c r="P724" s="79"/>
      <c r="Q724" s="79"/>
      <c r="R724" s="79"/>
      <c r="Y724" s="79"/>
      <c r="AC724" s="130"/>
      <c r="AE724" s="106"/>
    </row>
    <row r="725">
      <c r="C725" s="79"/>
      <c r="D725" s="79"/>
      <c r="E725" s="79"/>
      <c r="P725" s="79"/>
      <c r="Q725" s="79"/>
      <c r="R725" s="79"/>
      <c r="Y725" s="79"/>
      <c r="AC725" s="130"/>
      <c r="AE725" s="106"/>
    </row>
    <row r="726">
      <c r="C726" s="79"/>
      <c r="D726" s="79"/>
      <c r="E726" s="79"/>
      <c r="P726" s="79"/>
      <c r="Q726" s="79"/>
      <c r="R726" s="79"/>
      <c r="Y726" s="79"/>
      <c r="AC726" s="130"/>
      <c r="AE726" s="106"/>
    </row>
    <row r="727">
      <c r="C727" s="79"/>
      <c r="D727" s="79"/>
      <c r="E727" s="79"/>
      <c r="P727" s="79"/>
      <c r="Q727" s="79"/>
      <c r="R727" s="79"/>
      <c r="Y727" s="79"/>
      <c r="AC727" s="130"/>
      <c r="AE727" s="106"/>
    </row>
    <row r="728">
      <c r="C728" s="79"/>
      <c r="D728" s="79"/>
      <c r="E728" s="79"/>
      <c r="P728" s="79"/>
      <c r="Q728" s="79"/>
      <c r="R728" s="79"/>
      <c r="Y728" s="79"/>
      <c r="AC728" s="130"/>
      <c r="AE728" s="106"/>
    </row>
    <row r="729">
      <c r="C729" s="79"/>
      <c r="D729" s="79"/>
      <c r="E729" s="79"/>
      <c r="P729" s="79"/>
      <c r="Q729" s="79"/>
      <c r="R729" s="79"/>
      <c r="Y729" s="79"/>
      <c r="AC729" s="130"/>
      <c r="AE729" s="106"/>
    </row>
    <row r="730">
      <c r="C730" s="79"/>
      <c r="D730" s="79"/>
      <c r="E730" s="79"/>
      <c r="P730" s="79"/>
      <c r="Q730" s="79"/>
      <c r="R730" s="79"/>
      <c r="Y730" s="79"/>
      <c r="AC730" s="130"/>
      <c r="AE730" s="106"/>
    </row>
    <row r="731">
      <c r="C731" s="79"/>
      <c r="D731" s="79"/>
      <c r="E731" s="79"/>
      <c r="P731" s="79"/>
      <c r="Q731" s="79"/>
      <c r="R731" s="79"/>
      <c r="Y731" s="79"/>
      <c r="AC731" s="130"/>
      <c r="AE731" s="106"/>
    </row>
    <row r="732">
      <c r="C732" s="79"/>
      <c r="D732" s="79"/>
      <c r="E732" s="79"/>
      <c r="P732" s="79"/>
      <c r="Q732" s="79"/>
      <c r="R732" s="79"/>
      <c r="Y732" s="79"/>
      <c r="AC732" s="130"/>
      <c r="AE732" s="106"/>
    </row>
    <row r="733">
      <c r="C733" s="79"/>
      <c r="D733" s="79"/>
      <c r="E733" s="79"/>
      <c r="P733" s="79"/>
      <c r="Q733" s="79"/>
      <c r="R733" s="79"/>
      <c r="Y733" s="79"/>
      <c r="AC733" s="130"/>
      <c r="AE733" s="106"/>
    </row>
    <row r="734">
      <c r="C734" s="79"/>
      <c r="D734" s="79"/>
      <c r="E734" s="79"/>
      <c r="P734" s="79"/>
      <c r="Q734" s="79"/>
      <c r="R734" s="79"/>
      <c r="Y734" s="79"/>
      <c r="AC734" s="130"/>
      <c r="AE734" s="106"/>
    </row>
    <row r="735">
      <c r="C735" s="79"/>
      <c r="D735" s="79"/>
      <c r="E735" s="79"/>
      <c r="P735" s="79"/>
      <c r="Q735" s="79"/>
      <c r="R735" s="79"/>
      <c r="Y735" s="79"/>
      <c r="AC735" s="130"/>
      <c r="AE735" s="106"/>
    </row>
    <row r="736">
      <c r="C736" s="79"/>
      <c r="D736" s="79"/>
      <c r="E736" s="79"/>
      <c r="P736" s="79"/>
      <c r="Q736" s="79"/>
      <c r="R736" s="79"/>
      <c r="Y736" s="79"/>
      <c r="AC736" s="130"/>
      <c r="AE736" s="106"/>
    </row>
    <row r="737">
      <c r="C737" s="79"/>
      <c r="D737" s="79"/>
      <c r="E737" s="79"/>
      <c r="P737" s="79"/>
      <c r="Q737" s="79"/>
      <c r="R737" s="79"/>
      <c r="Y737" s="79"/>
      <c r="AC737" s="130"/>
      <c r="AE737" s="106"/>
    </row>
    <row r="738">
      <c r="C738" s="79"/>
      <c r="D738" s="79"/>
      <c r="E738" s="79"/>
      <c r="P738" s="79"/>
      <c r="Q738" s="79"/>
      <c r="R738" s="79"/>
      <c r="Y738" s="79"/>
      <c r="AC738" s="130"/>
      <c r="AE738" s="106"/>
    </row>
    <row r="739">
      <c r="C739" s="79"/>
      <c r="D739" s="79"/>
      <c r="E739" s="79"/>
      <c r="P739" s="79"/>
      <c r="Q739" s="79"/>
      <c r="R739" s="79"/>
      <c r="Y739" s="79"/>
      <c r="AC739" s="130"/>
      <c r="AE739" s="106"/>
    </row>
    <row r="740">
      <c r="C740" s="79"/>
      <c r="D740" s="79"/>
      <c r="E740" s="79"/>
      <c r="P740" s="79"/>
      <c r="Q740" s="79"/>
      <c r="R740" s="79"/>
      <c r="Y740" s="79"/>
      <c r="AC740" s="130"/>
      <c r="AE740" s="106"/>
    </row>
    <row r="741">
      <c r="C741" s="79"/>
      <c r="D741" s="79"/>
      <c r="E741" s="79"/>
      <c r="P741" s="79"/>
      <c r="Q741" s="79"/>
      <c r="R741" s="79"/>
      <c r="Y741" s="79"/>
      <c r="AC741" s="130"/>
      <c r="AE741" s="106"/>
    </row>
    <row r="742">
      <c r="C742" s="79"/>
      <c r="D742" s="79"/>
      <c r="E742" s="79"/>
      <c r="P742" s="79"/>
      <c r="Q742" s="79"/>
      <c r="R742" s="79"/>
      <c r="Y742" s="79"/>
      <c r="AC742" s="130"/>
      <c r="AE742" s="106"/>
    </row>
    <row r="743">
      <c r="C743" s="79"/>
      <c r="D743" s="79"/>
      <c r="E743" s="79"/>
      <c r="P743" s="79"/>
      <c r="Q743" s="79"/>
      <c r="R743" s="79"/>
      <c r="Y743" s="79"/>
      <c r="AC743" s="130"/>
      <c r="AE743" s="106"/>
    </row>
    <row r="744">
      <c r="C744" s="79"/>
      <c r="D744" s="79"/>
      <c r="E744" s="79"/>
      <c r="P744" s="79"/>
      <c r="Q744" s="79"/>
      <c r="R744" s="79"/>
      <c r="Y744" s="79"/>
      <c r="AC744" s="130"/>
      <c r="AE744" s="106"/>
    </row>
    <row r="745">
      <c r="C745" s="79"/>
      <c r="D745" s="79"/>
      <c r="E745" s="79"/>
      <c r="P745" s="79"/>
      <c r="Q745" s="79"/>
      <c r="R745" s="79"/>
      <c r="Y745" s="79"/>
      <c r="AC745" s="130"/>
      <c r="AE745" s="106"/>
    </row>
    <row r="746">
      <c r="C746" s="79"/>
      <c r="D746" s="79"/>
      <c r="E746" s="79"/>
      <c r="P746" s="79"/>
      <c r="Q746" s="79"/>
      <c r="R746" s="79"/>
      <c r="Y746" s="79"/>
      <c r="AC746" s="130"/>
      <c r="AE746" s="106"/>
    </row>
    <row r="747">
      <c r="C747" s="79"/>
      <c r="D747" s="79"/>
      <c r="E747" s="79"/>
      <c r="P747" s="79"/>
      <c r="Q747" s="79"/>
      <c r="R747" s="79"/>
      <c r="Y747" s="79"/>
      <c r="AC747" s="130"/>
      <c r="AE747" s="106"/>
    </row>
    <row r="748">
      <c r="C748" s="79"/>
      <c r="D748" s="79"/>
      <c r="E748" s="79"/>
      <c r="P748" s="79"/>
      <c r="Q748" s="79"/>
      <c r="R748" s="79"/>
      <c r="Y748" s="79"/>
      <c r="AC748" s="130"/>
      <c r="AE748" s="106"/>
    </row>
    <row r="749">
      <c r="C749" s="79"/>
      <c r="D749" s="79"/>
      <c r="E749" s="79"/>
      <c r="P749" s="79"/>
      <c r="Q749" s="79"/>
      <c r="R749" s="79"/>
      <c r="Y749" s="79"/>
      <c r="AC749" s="130"/>
      <c r="AE749" s="106"/>
    </row>
    <row r="750">
      <c r="C750" s="79"/>
      <c r="D750" s="79"/>
      <c r="E750" s="79"/>
      <c r="P750" s="79"/>
      <c r="Q750" s="79"/>
      <c r="R750" s="79"/>
      <c r="Y750" s="79"/>
      <c r="AC750" s="130"/>
      <c r="AE750" s="106"/>
    </row>
    <row r="751">
      <c r="C751" s="79"/>
      <c r="D751" s="79"/>
      <c r="E751" s="79"/>
      <c r="P751" s="79"/>
      <c r="Q751" s="79"/>
      <c r="R751" s="79"/>
      <c r="Y751" s="79"/>
      <c r="AC751" s="130"/>
      <c r="AE751" s="106"/>
    </row>
    <row r="752">
      <c r="C752" s="79"/>
      <c r="D752" s="79"/>
      <c r="E752" s="79"/>
      <c r="P752" s="79"/>
      <c r="Q752" s="79"/>
      <c r="R752" s="79"/>
      <c r="Y752" s="79"/>
      <c r="AC752" s="130"/>
      <c r="AE752" s="106"/>
    </row>
    <row r="753">
      <c r="C753" s="79"/>
      <c r="D753" s="79"/>
      <c r="E753" s="79"/>
      <c r="P753" s="79"/>
      <c r="Q753" s="79"/>
      <c r="R753" s="79"/>
      <c r="Y753" s="79"/>
      <c r="AC753" s="130"/>
      <c r="AE753" s="106"/>
    </row>
    <row r="754">
      <c r="C754" s="79"/>
      <c r="D754" s="79"/>
      <c r="E754" s="79"/>
      <c r="P754" s="79"/>
      <c r="Q754" s="79"/>
      <c r="R754" s="79"/>
      <c r="Y754" s="79"/>
      <c r="AC754" s="130"/>
      <c r="AE754" s="106"/>
    </row>
    <row r="755">
      <c r="C755" s="79"/>
      <c r="D755" s="79"/>
      <c r="E755" s="79"/>
      <c r="P755" s="79"/>
      <c r="Q755" s="79"/>
      <c r="R755" s="79"/>
      <c r="Y755" s="79"/>
      <c r="AC755" s="130"/>
      <c r="AE755" s="106"/>
    </row>
    <row r="756">
      <c r="C756" s="79"/>
      <c r="D756" s="79"/>
      <c r="E756" s="79"/>
      <c r="P756" s="79"/>
      <c r="Q756" s="79"/>
      <c r="R756" s="79"/>
      <c r="Y756" s="79"/>
      <c r="AC756" s="130"/>
      <c r="AE756" s="106"/>
    </row>
    <row r="757">
      <c r="C757" s="79"/>
      <c r="D757" s="79"/>
      <c r="E757" s="79"/>
      <c r="P757" s="79"/>
      <c r="Q757" s="79"/>
      <c r="R757" s="79"/>
      <c r="Y757" s="79"/>
      <c r="AC757" s="130"/>
      <c r="AE757" s="106"/>
    </row>
    <row r="758">
      <c r="C758" s="79"/>
      <c r="D758" s="79"/>
      <c r="E758" s="79"/>
      <c r="P758" s="79"/>
      <c r="Q758" s="79"/>
      <c r="R758" s="79"/>
      <c r="Y758" s="79"/>
      <c r="AC758" s="130"/>
      <c r="AE758" s="106"/>
    </row>
    <row r="759">
      <c r="C759" s="79"/>
      <c r="D759" s="79"/>
      <c r="E759" s="79"/>
      <c r="P759" s="79"/>
      <c r="Q759" s="79"/>
      <c r="R759" s="79"/>
      <c r="Y759" s="79"/>
      <c r="AC759" s="130"/>
      <c r="AE759" s="106"/>
    </row>
    <row r="760">
      <c r="C760" s="79"/>
      <c r="D760" s="79"/>
      <c r="E760" s="79"/>
      <c r="P760" s="79"/>
      <c r="Q760" s="79"/>
      <c r="R760" s="79"/>
      <c r="Y760" s="79"/>
      <c r="AC760" s="130"/>
      <c r="AE760" s="106"/>
    </row>
    <row r="761">
      <c r="C761" s="79"/>
      <c r="D761" s="79"/>
      <c r="E761" s="79"/>
      <c r="P761" s="79"/>
      <c r="Q761" s="79"/>
      <c r="R761" s="79"/>
      <c r="Y761" s="79"/>
      <c r="AC761" s="130"/>
      <c r="AE761" s="106"/>
    </row>
    <row r="762">
      <c r="C762" s="79"/>
      <c r="D762" s="79"/>
      <c r="E762" s="79"/>
      <c r="P762" s="79"/>
      <c r="Q762" s="79"/>
      <c r="R762" s="79"/>
      <c r="Y762" s="79"/>
      <c r="AC762" s="130"/>
      <c r="AE762" s="106"/>
    </row>
    <row r="763">
      <c r="C763" s="79"/>
      <c r="D763" s="79"/>
      <c r="E763" s="79"/>
      <c r="P763" s="79"/>
      <c r="Q763" s="79"/>
      <c r="R763" s="79"/>
      <c r="Y763" s="79"/>
      <c r="AC763" s="130"/>
      <c r="AE763" s="106"/>
    </row>
    <row r="764">
      <c r="C764" s="79"/>
      <c r="D764" s="79"/>
      <c r="E764" s="79"/>
      <c r="P764" s="79"/>
      <c r="Q764" s="79"/>
      <c r="R764" s="79"/>
      <c r="Y764" s="79"/>
      <c r="AC764" s="130"/>
      <c r="AE764" s="106"/>
    </row>
    <row r="765">
      <c r="C765" s="79"/>
      <c r="D765" s="79"/>
      <c r="E765" s="79"/>
      <c r="P765" s="79"/>
      <c r="Q765" s="79"/>
      <c r="R765" s="79"/>
      <c r="Y765" s="79"/>
      <c r="AC765" s="130"/>
      <c r="AE765" s="106"/>
    </row>
    <row r="766">
      <c r="C766" s="79"/>
      <c r="D766" s="79"/>
      <c r="E766" s="79"/>
      <c r="P766" s="79"/>
      <c r="Q766" s="79"/>
      <c r="R766" s="79"/>
      <c r="Y766" s="79"/>
      <c r="AC766" s="130"/>
      <c r="AE766" s="106"/>
    </row>
    <row r="767">
      <c r="C767" s="79"/>
      <c r="D767" s="79"/>
      <c r="E767" s="79"/>
      <c r="P767" s="79"/>
      <c r="Q767" s="79"/>
      <c r="R767" s="79"/>
      <c r="Y767" s="79"/>
      <c r="AC767" s="130"/>
      <c r="AE767" s="106"/>
    </row>
    <row r="768">
      <c r="C768" s="79"/>
      <c r="D768" s="79"/>
      <c r="E768" s="79"/>
      <c r="P768" s="79"/>
      <c r="Q768" s="79"/>
      <c r="R768" s="79"/>
      <c r="Y768" s="79"/>
      <c r="AC768" s="130"/>
      <c r="AE768" s="106"/>
    </row>
    <row r="769">
      <c r="C769" s="79"/>
      <c r="D769" s="79"/>
      <c r="E769" s="79"/>
      <c r="P769" s="79"/>
      <c r="Q769" s="79"/>
      <c r="R769" s="79"/>
      <c r="Y769" s="79"/>
      <c r="AC769" s="130"/>
      <c r="AE769" s="106"/>
    </row>
    <row r="770">
      <c r="C770" s="79"/>
      <c r="D770" s="79"/>
      <c r="E770" s="79"/>
      <c r="P770" s="79"/>
      <c r="Q770" s="79"/>
      <c r="R770" s="79"/>
      <c r="Y770" s="79"/>
      <c r="AC770" s="130"/>
      <c r="AE770" s="106"/>
    </row>
    <row r="771">
      <c r="C771" s="79"/>
      <c r="D771" s="79"/>
      <c r="E771" s="79"/>
      <c r="P771" s="79"/>
      <c r="Q771" s="79"/>
      <c r="R771" s="79"/>
      <c r="Y771" s="79"/>
      <c r="AC771" s="130"/>
      <c r="AE771" s="106"/>
    </row>
    <row r="772">
      <c r="C772" s="79"/>
      <c r="D772" s="79"/>
      <c r="E772" s="79"/>
      <c r="P772" s="79"/>
      <c r="Q772" s="79"/>
      <c r="R772" s="79"/>
      <c r="Y772" s="79"/>
      <c r="AC772" s="130"/>
      <c r="AE772" s="106"/>
    </row>
    <row r="773">
      <c r="C773" s="79"/>
      <c r="D773" s="79"/>
      <c r="E773" s="79"/>
      <c r="P773" s="79"/>
      <c r="Q773" s="79"/>
      <c r="R773" s="79"/>
      <c r="Y773" s="79"/>
      <c r="AC773" s="130"/>
      <c r="AE773" s="106"/>
    </row>
    <row r="774">
      <c r="C774" s="79"/>
      <c r="D774" s="79"/>
      <c r="E774" s="79"/>
      <c r="P774" s="79"/>
      <c r="Q774" s="79"/>
      <c r="R774" s="79"/>
      <c r="Y774" s="79"/>
      <c r="AC774" s="130"/>
      <c r="AE774" s="106"/>
    </row>
    <row r="775">
      <c r="C775" s="79"/>
      <c r="D775" s="79"/>
      <c r="E775" s="79"/>
      <c r="P775" s="79"/>
      <c r="Q775" s="79"/>
      <c r="R775" s="79"/>
      <c r="Y775" s="79"/>
      <c r="AC775" s="130"/>
      <c r="AE775" s="106"/>
    </row>
    <row r="776">
      <c r="C776" s="79"/>
      <c r="D776" s="79"/>
      <c r="E776" s="79"/>
      <c r="P776" s="79"/>
      <c r="Q776" s="79"/>
      <c r="R776" s="79"/>
      <c r="Y776" s="79"/>
      <c r="AC776" s="130"/>
      <c r="AE776" s="106"/>
    </row>
    <row r="777">
      <c r="C777" s="79"/>
      <c r="D777" s="79"/>
      <c r="E777" s="79"/>
      <c r="P777" s="79"/>
      <c r="Q777" s="79"/>
      <c r="R777" s="79"/>
      <c r="Y777" s="79"/>
      <c r="AC777" s="130"/>
      <c r="AE777" s="106"/>
    </row>
    <row r="778">
      <c r="C778" s="79"/>
      <c r="D778" s="79"/>
      <c r="E778" s="79"/>
      <c r="P778" s="79"/>
      <c r="Q778" s="79"/>
      <c r="R778" s="79"/>
      <c r="Y778" s="79"/>
      <c r="AC778" s="130"/>
      <c r="AE778" s="106"/>
    </row>
    <row r="779">
      <c r="C779" s="79"/>
      <c r="D779" s="79"/>
      <c r="E779" s="79"/>
      <c r="P779" s="79"/>
      <c r="Q779" s="79"/>
      <c r="R779" s="79"/>
      <c r="Y779" s="79"/>
      <c r="AC779" s="130"/>
      <c r="AE779" s="106"/>
    </row>
    <row r="780">
      <c r="C780" s="79"/>
      <c r="D780" s="79"/>
      <c r="E780" s="79"/>
      <c r="P780" s="79"/>
      <c r="Q780" s="79"/>
      <c r="R780" s="79"/>
      <c r="Y780" s="79"/>
      <c r="AC780" s="130"/>
      <c r="AE780" s="106"/>
    </row>
    <row r="781">
      <c r="C781" s="79"/>
      <c r="D781" s="79"/>
      <c r="E781" s="79"/>
      <c r="P781" s="79"/>
      <c r="Q781" s="79"/>
      <c r="R781" s="79"/>
      <c r="Y781" s="79"/>
      <c r="AC781" s="130"/>
      <c r="AE781" s="106"/>
    </row>
    <row r="782">
      <c r="C782" s="79"/>
      <c r="D782" s="79"/>
      <c r="E782" s="79"/>
      <c r="P782" s="79"/>
      <c r="Q782" s="79"/>
      <c r="R782" s="79"/>
      <c r="Y782" s="79"/>
      <c r="AC782" s="130"/>
      <c r="AE782" s="106"/>
    </row>
    <row r="783">
      <c r="C783" s="79"/>
      <c r="D783" s="79"/>
      <c r="E783" s="79"/>
      <c r="P783" s="79"/>
      <c r="Q783" s="79"/>
      <c r="R783" s="79"/>
      <c r="Y783" s="79"/>
      <c r="AC783" s="130"/>
      <c r="AE783" s="106"/>
    </row>
    <row r="784">
      <c r="C784" s="79"/>
      <c r="D784" s="79"/>
      <c r="E784" s="79"/>
      <c r="P784" s="79"/>
      <c r="Q784" s="79"/>
      <c r="R784" s="79"/>
      <c r="Y784" s="79"/>
      <c r="AC784" s="130"/>
      <c r="AE784" s="106"/>
    </row>
    <row r="785">
      <c r="C785" s="79"/>
      <c r="D785" s="79"/>
      <c r="E785" s="79"/>
      <c r="P785" s="79"/>
      <c r="Q785" s="79"/>
      <c r="R785" s="79"/>
      <c r="Y785" s="79"/>
      <c r="AC785" s="130"/>
      <c r="AE785" s="106"/>
    </row>
    <row r="786">
      <c r="C786" s="79"/>
      <c r="D786" s="79"/>
      <c r="E786" s="79"/>
      <c r="P786" s="79"/>
      <c r="Q786" s="79"/>
      <c r="R786" s="79"/>
      <c r="Y786" s="79"/>
      <c r="AC786" s="130"/>
      <c r="AE786" s="106"/>
    </row>
    <row r="787">
      <c r="C787" s="79"/>
      <c r="D787" s="79"/>
      <c r="E787" s="79"/>
      <c r="P787" s="79"/>
      <c r="Q787" s="79"/>
      <c r="R787" s="79"/>
      <c r="Y787" s="79"/>
      <c r="AC787" s="130"/>
      <c r="AE787" s="106"/>
    </row>
    <row r="788">
      <c r="C788" s="79"/>
      <c r="D788" s="79"/>
      <c r="E788" s="79"/>
      <c r="P788" s="79"/>
      <c r="Q788" s="79"/>
      <c r="R788" s="79"/>
      <c r="Y788" s="79"/>
      <c r="AC788" s="130"/>
      <c r="AE788" s="106"/>
    </row>
    <row r="789">
      <c r="C789" s="79"/>
      <c r="D789" s="79"/>
      <c r="E789" s="79"/>
      <c r="P789" s="79"/>
      <c r="Q789" s="79"/>
      <c r="R789" s="79"/>
      <c r="Y789" s="79"/>
      <c r="AC789" s="130"/>
      <c r="AE789" s="106"/>
    </row>
    <row r="790">
      <c r="C790" s="79"/>
      <c r="D790" s="79"/>
      <c r="E790" s="79"/>
      <c r="P790" s="79"/>
      <c r="Q790" s="79"/>
      <c r="R790" s="79"/>
      <c r="Y790" s="79"/>
      <c r="AC790" s="130"/>
      <c r="AE790" s="106"/>
    </row>
    <row r="791">
      <c r="C791" s="79"/>
      <c r="D791" s="79"/>
      <c r="E791" s="79"/>
      <c r="P791" s="79"/>
      <c r="Q791" s="79"/>
      <c r="R791" s="79"/>
      <c r="Y791" s="79"/>
      <c r="AC791" s="130"/>
      <c r="AE791" s="106"/>
    </row>
    <row r="792">
      <c r="C792" s="79"/>
      <c r="D792" s="79"/>
      <c r="E792" s="79"/>
      <c r="P792" s="79"/>
      <c r="Q792" s="79"/>
      <c r="R792" s="79"/>
      <c r="Y792" s="79"/>
      <c r="AC792" s="130"/>
      <c r="AE792" s="106"/>
    </row>
    <row r="793">
      <c r="C793" s="79"/>
      <c r="D793" s="79"/>
      <c r="E793" s="79"/>
      <c r="P793" s="79"/>
      <c r="Q793" s="79"/>
      <c r="R793" s="79"/>
      <c r="Y793" s="79"/>
      <c r="AC793" s="130"/>
      <c r="AE793" s="106"/>
    </row>
    <row r="794">
      <c r="C794" s="79"/>
      <c r="D794" s="79"/>
      <c r="E794" s="79"/>
      <c r="P794" s="79"/>
      <c r="Q794" s="79"/>
      <c r="R794" s="79"/>
      <c r="Y794" s="79"/>
      <c r="AC794" s="130"/>
      <c r="AE794" s="106"/>
    </row>
    <row r="795">
      <c r="C795" s="79"/>
      <c r="D795" s="79"/>
      <c r="E795" s="79"/>
      <c r="P795" s="79"/>
      <c r="Q795" s="79"/>
      <c r="R795" s="79"/>
      <c r="Y795" s="79"/>
      <c r="AC795" s="130"/>
      <c r="AE795" s="106"/>
    </row>
    <row r="796">
      <c r="C796" s="79"/>
      <c r="D796" s="79"/>
      <c r="E796" s="79"/>
      <c r="P796" s="79"/>
      <c r="Q796" s="79"/>
      <c r="R796" s="79"/>
      <c r="Y796" s="79"/>
      <c r="AC796" s="130"/>
      <c r="AE796" s="106"/>
    </row>
    <row r="797">
      <c r="C797" s="79"/>
      <c r="D797" s="79"/>
      <c r="E797" s="79"/>
      <c r="P797" s="79"/>
      <c r="Q797" s="79"/>
      <c r="R797" s="79"/>
      <c r="Y797" s="79"/>
      <c r="AC797" s="130"/>
      <c r="AE797" s="106"/>
    </row>
    <row r="798">
      <c r="C798" s="79"/>
      <c r="D798" s="79"/>
      <c r="E798" s="79"/>
      <c r="P798" s="79"/>
      <c r="Q798" s="79"/>
      <c r="R798" s="79"/>
      <c r="Y798" s="79"/>
      <c r="AC798" s="130"/>
      <c r="AE798" s="106"/>
    </row>
    <row r="799">
      <c r="C799" s="79"/>
      <c r="D799" s="79"/>
      <c r="E799" s="79"/>
      <c r="P799" s="79"/>
      <c r="Q799" s="79"/>
      <c r="R799" s="79"/>
      <c r="Y799" s="79"/>
      <c r="AC799" s="130"/>
      <c r="AE799" s="106"/>
    </row>
    <row r="800">
      <c r="C800" s="79"/>
      <c r="D800" s="79"/>
      <c r="E800" s="79"/>
      <c r="P800" s="79"/>
      <c r="Q800" s="79"/>
      <c r="R800" s="79"/>
      <c r="Y800" s="79"/>
      <c r="AC800" s="130"/>
      <c r="AE800" s="106"/>
    </row>
    <row r="801">
      <c r="C801" s="79"/>
      <c r="D801" s="79"/>
      <c r="E801" s="79"/>
      <c r="P801" s="79"/>
      <c r="Q801" s="79"/>
      <c r="R801" s="79"/>
      <c r="Y801" s="79"/>
      <c r="AC801" s="130"/>
      <c r="AE801" s="106"/>
    </row>
    <row r="802">
      <c r="C802" s="79"/>
      <c r="D802" s="79"/>
      <c r="E802" s="79"/>
      <c r="P802" s="79"/>
      <c r="Q802" s="79"/>
      <c r="R802" s="79"/>
      <c r="Y802" s="79"/>
      <c r="AC802" s="130"/>
      <c r="AE802" s="106"/>
    </row>
    <row r="803">
      <c r="C803" s="79"/>
      <c r="D803" s="79"/>
      <c r="E803" s="79"/>
      <c r="P803" s="79"/>
      <c r="Q803" s="79"/>
      <c r="R803" s="79"/>
      <c r="Y803" s="79"/>
      <c r="AC803" s="130"/>
      <c r="AE803" s="106"/>
    </row>
    <row r="804">
      <c r="C804" s="79"/>
      <c r="D804" s="79"/>
      <c r="E804" s="79"/>
      <c r="P804" s="79"/>
      <c r="Q804" s="79"/>
      <c r="R804" s="79"/>
      <c r="Y804" s="79"/>
      <c r="AC804" s="130"/>
      <c r="AE804" s="106"/>
    </row>
    <row r="805">
      <c r="C805" s="79"/>
      <c r="D805" s="79"/>
      <c r="E805" s="79"/>
      <c r="P805" s="79"/>
      <c r="Q805" s="79"/>
      <c r="R805" s="79"/>
      <c r="Y805" s="79"/>
      <c r="AC805" s="130"/>
      <c r="AE805" s="106"/>
    </row>
    <row r="806">
      <c r="C806" s="79"/>
      <c r="D806" s="79"/>
      <c r="E806" s="79"/>
      <c r="P806" s="79"/>
      <c r="Q806" s="79"/>
      <c r="R806" s="79"/>
      <c r="Y806" s="79"/>
      <c r="AC806" s="130"/>
      <c r="AE806" s="106"/>
    </row>
    <row r="807">
      <c r="C807" s="79"/>
      <c r="D807" s="79"/>
      <c r="E807" s="79"/>
      <c r="P807" s="79"/>
      <c r="Q807" s="79"/>
      <c r="R807" s="79"/>
      <c r="Y807" s="79"/>
      <c r="AC807" s="130"/>
      <c r="AE807" s="106"/>
    </row>
    <row r="808">
      <c r="C808" s="79"/>
      <c r="D808" s="79"/>
      <c r="E808" s="79"/>
      <c r="P808" s="79"/>
      <c r="Q808" s="79"/>
      <c r="R808" s="79"/>
      <c r="Y808" s="79"/>
      <c r="AC808" s="130"/>
      <c r="AE808" s="106"/>
    </row>
    <row r="809">
      <c r="C809" s="79"/>
      <c r="D809" s="79"/>
      <c r="E809" s="79"/>
      <c r="P809" s="79"/>
      <c r="Q809" s="79"/>
      <c r="R809" s="79"/>
      <c r="Y809" s="79"/>
      <c r="AC809" s="130"/>
      <c r="AE809" s="106"/>
    </row>
    <row r="810">
      <c r="C810" s="79"/>
      <c r="D810" s="79"/>
      <c r="E810" s="79"/>
      <c r="P810" s="79"/>
      <c r="Q810" s="79"/>
      <c r="R810" s="79"/>
      <c r="Y810" s="79"/>
      <c r="AC810" s="130"/>
      <c r="AE810" s="106"/>
    </row>
    <row r="811">
      <c r="C811" s="79"/>
      <c r="D811" s="79"/>
      <c r="E811" s="79"/>
      <c r="P811" s="79"/>
      <c r="Q811" s="79"/>
      <c r="R811" s="79"/>
      <c r="Y811" s="79"/>
      <c r="AC811" s="130"/>
      <c r="AE811" s="106"/>
    </row>
    <row r="812">
      <c r="C812" s="79"/>
      <c r="D812" s="79"/>
      <c r="E812" s="79"/>
      <c r="P812" s="79"/>
      <c r="Q812" s="79"/>
      <c r="R812" s="79"/>
      <c r="Y812" s="79"/>
      <c r="AC812" s="130"/>
      <c r="AE812" s="106"/>
    </row>
    <row r="813">
      <c r="C813" s="79"/>
      <c r="D813" s="79"/>
      <c r="E813" s="79"/>
      <c r="P813" s="79"/>
      <c r="Q813" s="79"/>
      <c r="R813" s="79"/>
      <c r="Y813" s="79"/>
      <c r="AC813" s="130"/>
      <c r="AE813" s="106"/>
    </row>
    <row r="814">
      <c r="C814" s="79"/>
      <c r="D814" s="79"/>
      <c r="E814" s="79"/>
      <c r="P814" s="79"/>
      <c r="Q814" s="79"/>
      <c r="R814" s="79"/>
      <c r="Y814" s="79"/>
      <c r="AC814" s="130"/>
      <c r="AE814" s="106"/>
    </row>
    <row r="815">
      <c r="C815" s="79"/>
      <c r="D815" s="79"/>
      <c r="E815" s="79"/>
      <c r="P815" s="79"/>
      <c r="Q815" s="79"/>
      <c r="R815" s="79"/>
      <c r="Y815" s="79"/>
      <c r="AC815" s="130"/>
      <c r="AE815" s="106"/>
    </row>
    <row r="816">
      <c r="C816" s="79"/>
      <c r="D816" s="79"/>
      <c r="E816" s="79"/>
      <c r="P816" s="79"/>
      <c r="Q816" s="79"/>
      <c r="R816" s="79"/>
      <c r="Y816" s="79"/>
      <c r="AC816" s="130"/>
      <c r="AE816" s="106"/>
    </row>
    <row r="817">
      <c r="C817" s="79"/>
      <c r="D817" s="79"/>
      <c r="E817" s="79"/>
      <c r="P817" s="79"/>
      <c r="Q817" s="79"/>
      <c r="R817" s="79"/>
      <c r="Y817" s="79"/>
      <c r="AC817" s="130"/>
      <c r="AE817" s="106"/>
    </row>
    <row r="818">
      <c r="C818" s="79"/>
      <c r="D818" s="79"/>
      <c r="E818" s="79"/>
      <c r="P818" s="79"/>
      <c r="Q818" s="79"/>
      <c r="R818" s="79"/>
      <c r="Y818" s="79"/>
      <c r="AC818" s="130"/>
      <c r="AE818" s="106"/>
    </row>
    <row r="819">
      <c r="C819" s="79"/>
      <c r="D819" s="79"/>
      <c r="E819" s="79"/>
      <c r="P819" s="79"/>
      <c r="Q819" s="79"/>
      <c r="R819" s="79"/>
      <c r="Y819" s="79"/>
      <c r="AC819" s="130"/>
      <c r="AE819" s="106"/>
    </row>
    <row r="820">
      <c r="C820" s="79"/>
      <c r="D820" s="79"/>
      <c r="E820" s="79"/>
      <c r="P820" s="79"/>
      <c r="Q820" s="79"/>
      <c r="R820" s="79"/>
      <c r="Y820" s="79"/>
      <c r="AC820" s="130"/>
      <c r="AE820" s="106"/>
    </row>
    <row r="821">
      <c r="C821" s="79"/>
      <c r="D821" s="79"/>
      <c r="E821" s="79"/>
      <c r="P821" s="79"/>
      <c r="Q821" s="79"/>
      <c r="R821" s="79"/>
      <c r="Y821" s="79"/>
      <c r="AC821" s="130"/>
      <c r="AE821" s="106"/>
    </row>
    <row r="822">
      <c r="C822" s="79"/>
      <c r="D822" s="79"/>
      <c r="E822" s="79"/>
      <c r="P822" s="79"/>
      <c r="Q822" s="79"/>
      <c r="R822" s="79"/>
      <c r="Y822" s="79"/>
      <c r="AC822" s="130"/>
      <c r="AE822" s="106"/>
    </row>
    <row r="823">
      <c r="C823" s="79"/>
      <c r="D823" s="79"/>
      <c r="E823" s="79"/>
      <c r="P823" s="79"/>
      <c r="Q823" s="79"/>
      <c r="R823" s="79"/>
      <c r="Y823" s="79"/>
      <c r="AC823" s="130"/>
      <c r="AE823" s="106"/>
    </row>
    <row r="824">
      <c r="C824" s="79"/>
      <c r="D824" s="79"/>
      <c r="E824" s="79"/>
      <c r="P824" s="79"/>
      <c r="Q824" s="79"/>
      <c r="R824" s="79"/>
      <c r="Y824" s="79"/>
      <c r="AC824" s="130"/>
      <c r="AE824" s="106"/>
    </row>
    <row r="825">
      <c r="C825" s="79"/>
      <c r="D825" s="79"/>
      <c r="E825" s="79"/>
      <c r="P825" s="79"/>
      <c r="Q825" s="79"/>
      <c r="R825" s="79"/>
      <c r="Y825" s="79"/>
      <c r="AC825" s="130"/>
      <c r="AE825" s="106"/>
    </row>
    <row r="826">
      <c r="C826" s="79"/>
      <c r="D826" s="79"/>
      <c r="E826" s="79"/>
      <c r="P826" s="79"/>
      <c r="Q826" s="79"/>
      <c r="R826" s="79"/>
      <c r="Y826" s="79"/>
      <c r="AC826" s="130"/>
      <c r="AE826" s="106"/>
    </row>
    <row r="827">
      <c r="C827" s="79"/>
      <c r="D827" s="79"/>
      <c r="E827" s="79"/>
      <c r="P827" s="79"/>
      <c r="Q827" s="79"/>
      <c r="R827" s="79"/>
      <c r="Y827" s="79"/>
      <c r="AC827" s="130"/>
      <c r="AE827" s="106"/>
    </row>
    <row r="828">
      <c r="C828" s="79"/>
      <c r="D828" s="79"/>
      <c r="E828" s="79"/>
      <c r="P828" s="79"/>
      <c r="Q828" s="79"/>
      <c r="R828" s="79"/>
      <c r="Y828" s="79"/>
      <c r="AC828" s="130"/>
      <c r="AE828" s="106"/>
    </row>
    <row r="829">
      <c r="C829" s="79"/>
      <c r="D829" s="79"/>
      <c r="E829" s="79"/>
      <c r="P829" s="79"/>
      <c r="Q829" s="79"/>
      <c r="R829" s="79"/>
      <c r="Y829" s="79"/>
      <c r="AC829" s="130"/>
      <c r="AE829" s="106"/>
    </row>
    <row r="830">
      <c r="C830" s="79"/>
      <c r="D830" s="79"/>
      <c r="E830" s="79"/>
      <c r="P830" s="79"/>
      <c r="Q830" s="79"/>
      <c r="R830" s="79"/>
      <c r="Y830" s="79"/>
      <c r="AC830" s="130"/>
      <c r="AE830" s="106"/>
    </row>
    <row r="831">
      <c r="C831" s="79"/>
      <c r="D831" s="79"/>
      <c r="E831" s="79"/>
      <c r="P831" s="79"/>
      <c r="Q831" s="79"/>
      <c r="R831" s="79"/>
      <c r="Y831" s="79"/>
      <c r="AC831" s="130"/>
      <c r="AE831" s="106"/>
    </row>
    <row r="832">
      <c r="C832" s="79"/>
      <c r="D832" s="79"/>
      <c r="E832" s="79"/>
      <c r="P832" s="79"/>
      <c r="Q832" s="79"/>
      <c r="R832" s="79"/>
      <c r="Y832" s="79"/>
      <c r="AC832" s="130"/>
      <c r="AE832" s="106"/>
    </row>
    <row r="833">
      <c r="C833" s="79"/>
      <c r="D833" s="79"/>
      <c r="E833" s="79"/>
      <c r="P833" s="79"/>
      <c r="Q833" s="79"/>
      <c r="R833" s="79"/>
      <c r="Y833" s="79"/>
      <c r="AC833" s="130"/>
      <c r="AE833" s="106"/>
    </row>
    <row r="834">
      <c r="C834" s="79"/>
      <c r="D834" s="79"/>
      <c r="E834" s="79"/>
      <c r="P834" s="79"/>
      <c r="Q834" s="79"/>
      <c r="R834" s="79"/>
      <c r="Y834" s="79"/>
      <c r="AC834" s="130"/>
      <c r="AE834" s="106"/>
    </row>
    <row r="835">
      <c r="C835" s="79"/>
      <c r="D835" s="79"/>
      <c r="E835" s="79"/>
      <c r="P835" s="79"/>
      <c r="Q835" s="79"/>
      <c r="R835" s="79"/>
      <c r="Y835" s="79"/>
      <c r="AC835" s="130"/>
      <c r="AE835" s="106"/>
    </row>
    <row r="836">
      <c r="C836" s="79"/>
      <c r="D836" s="79"/>
      <c r="E836" s="79"/>
      <c r="P836" s="79"/>
      <c r="Q836" s="79"/>
      <c r="R836" s="79"/>
      <c r="Y836" s="79"/>
      <c r="AC836" s="130"/>
      <c r="AE836" s="106"/>
    </row>
    <row r="837">
      <c r="C837" s="79"/>
      <c r="D837" s="79"/>
      <c r="E837" s="79"/>
      <c r="P837" s="79"/>
      <c r="Q837" s="79"/>
      <c r="R837" s="79"/>
      <c r="Y837" s="79"/>
      <c r="AC837" s="130"/>
      <c r="AE837" s="106"/>
    </row>
    <row r="838">
      <c r="C838" s="79"/>
      <c r="D838" s="79"/>
      <c r="E838" s="79"/>
      <c r="P838" s="79"/>
      <c r="Q838" s="79"/>
      <c r="R838" s="79"/>
      <c r="Y838" s="79"/>
      <c r="AC838" s="130"/>
      <c r="AE838" s="106"/>
    </row>
    <row r="839">
      <c r="C839" s="79"/>
      <c r="D839" s="79"/>
      <c r="E839" s="79"/>
      <c r="P839" s="79"/>
      <c r="Q839" s="79"/>
      <c r="R839" s="79"/>
      <c r="Y839" s="79"/>
      <c r="AC839" s="130"/>
      <c r="AE839" s="106"/>
    </row>
    <row r="840">
      <c r="C840" s="79"/>
      <c r="D840" s="79"/>
      <c r="E840" s="79"/>
      <c r="P840" s="79"/>
      <c r="Q840" s="79"/>
      <c r="R840" s="79"/>
      <c r="Y840" s="79"/>
      <c r="AC840" s="130"/>
      <c r="AE840" s="106"/>
    </row>
    <row r="841">
      <c r="C841" s="79"/>
      <c r="D841" s="79"/>
      <c r="E841" s="79"/>
      <c r="P841" s="79"/>
      <c r="Q841" s="79"/>
      <c r="R841" s="79"/>
      <c r="Y841" s="79"/>
      <c r="AC841" s="130"/>
      <c r="AE841" s="106"/>
    </row>
    <row r="842">
      <c r="C842" s="79"/>
      <c r="D842" s="79"/>
      <c r="E842" s="79"/>
      <c r="P842" s="79"/>
      <c r="Q842" s="79"/>
      <c r="R842" s="79"/>
      <c r="Y842" s="79"/>
      <c r="AC842" s="130"/>
      <c r="AE842" s="106"/>
    </row>
    <row r="843">
      <c r="C843" s="79"/>
      <c r="D843" s="79"/>
      <c r="E843" s="79"/>
      <c r="P843" s="79"/>
      <c r="Q843" s="79"/>
      <c r="R843" s="79"/>
      <c r="Y843" s="79"/>
      <c r="AC843" s="130"/>
      <c r="AE843" s="106"/>
    </row>
    <row r="844">
      <c r="C844" s="79"/>
      <c r="D844" s="79"/>
      <c r="E844" s="79"/>
      <c r="P844" s="79"/>
      <c r="Q844" s="79"/>
      <c r="R844" s="79"/>
      <c r="Y844" s="79"/>
      <c r="AC844" s="130"/>
      <c r="AE844" s="106"/>
    </row>
    <row r="845">
      <c r="C845" s="79"/>
      <c r="D845" s="79"/>
      <c r="E845" s="79"/>
      <c r="P845" s="79"/>
      <c r="Q845" s="79"/>
      <c r="R845" s="79"/>
      <c r="Y845" s="79"/>
      <c r="AC845" s="130"/>
      <c r="AE845" s="106"/>
    </row>
    <row r="846">
      <c r="C846" s="79"/>
      <c r="D846" s="79"/>
      <c r="E846" s="79"/>
      <c r="P846" s="79"/>
      <c r="Q846" s="79"/>
      <c r="R846" s="79"/>
      <c r="Y846" s="79"/>
      <c r="AC846" s="130"/>
      <c r="AE846" s="106"/>
    </row>
    <row r="847">
      <c r="C847" s="79"/>
      <c r="D847" s="79"/>
      <c r="E847" s="79"/>
      <c r="P847" s="79"/>
      <c r="Q847" s="79"/>
      <c r="R847" s="79"/>
      <c r="Y847" s="79"/>
      <c r="AC847" s="130"/>
      <c r="AE847" s="106"/>
    </row>
    <row r="848">
      <c r="C848" s="79"/>
      <c r="D848" s="79"/>
      <c r="E848" s="79"/>
      <c r="P848" s="79"/>
      <c r="Q848" s="79"/>
      <c r="R848" s="79"/>
      <c r="Y848" s="79"/>
      <c r="AC848" s="130"/>
      <c r="AE848" s="106"/>
    </row>
    <row r="849">
      <c r="C849" s="79"/>
      <c r="D849" s="79"/>
      <c r="E849" s="79"/>
      <c r="P849" s="79"/>
      <c r="Q849" s="79"/>
      <c r="R849" s="79"/>
      <c r="Y849" s="79"/>
      <c r="AC849" s="130"/>
      <c r="AE849" s="106"/>
    </row>
    <row r="850">
      <c r="C850" s="79"/>
      <c r="D850" s="79"/>
      <c r="E850" s="79"/>
      <c r="P850" s="79"/>
      <c r="Q850" s="79"/>
      <c r="R850" s="79"/>
      <c r="Y850" s="79"/>
      <c r="AC850" s="130"/>
      <c r="AE850" s="106"/>
    </row>
    <row r="851">
      <c r="C851" s="79"/>
      <c r="D851" s="79"/>
      <c r="E851" s="79"/>
      <c r="P851" s="79"/>
      <c r="Q851" s="79"/>
      <c r="R851" s="79"/>
      <c r="Y851" s="79"/>
      <c r="AC851" s="130"/>
      <c r="AE851" s="106"/>
    </row>
    <row r="852">
      <c r="C852" s="79"/>
      <c r="D852" s="79"/>
      <c r="E852" s="79"/>
      <c r="P852" s="79"/>
      <c r="Q852" s="79"/>
      <c r="R852" s="79"/>
      <c r="Y852" s="79"/>
      <c r="AC852" s="130"/>
      <c r="AE852" s="106"/>
    </row>
    <row r="853">
      <c r="C853" s="79"/>
      <c r="D853" s="79"/>
      <c r="E853" s="79"/>
      <c r="P853" s="79"/>
      <c r="Q853" s="79"/>
      <c r="R853" s="79"/>
      <c r="Y853" s="79"/>
      <c r="AC853" s="130"/>
      <c r="AE853" s="106"/>
    </row>
    <row r="854">
      <c r="C854" s="79"/>
      <c r="D854" s="79"/>
      <c r="E854" s="79"/>
      <c r="P854" s="79"/>
      <c r="Q854" s="79"/>
      <c r="R854" s="79"/>
      <c r="Y854" s="79"/>
      <c r="AC854" s="130"/>
      <c r="AE854" s="106"/>
    </row>
    <row r="855">
      <c r="C855" s="79"/>
      <c r="D855" s="79"/>
      <c r="E855" s="79"/>
      <c r="P855" s="79"/>
      <c r="Q855" s="79"/>
      <c r="R855" s="79"/>
      <c r="Y855" s="79"/>
      <c r="AC855" s="130"/>
      <c r="AE855" s="106"/>
    </row>
    <row r="856">
      <c r="C856" s="79"/>
      <c r="D856" s="79"/>
      <c r="E856" s="79"/>
      <c r="P856" s="79"/>
      <c r="Q856" s="79"/>
      <c r="R856" s="79"/>
      <c r="Y856" s="79"/>
      <c r="AC856" s="130"/>
      <c r="AE856" s="106"/>
    </row>
    <row r="857">
      <c r="C857" s="79"/>
      <c r="D857" s="79"/>
      <c r="E857" s="79"/>
      <c r="P857" s="79"/>
      <c r="Q857" s="79"/>
      <c r="R857" s="79"/>
      <c r="Y857" s="79"/>
      <c r="AC857" s="130"/>
      <c r="AE857" s="106"/>
    </row>
    <row r="858">
      <c r="C858" s="79"/>
      <c r="D858" s="79"/>
      <c r="E858" s="79"/>
      <c r="P858" s="79"/>
      <c r="Q858" s="79"/>
      <c r="R858" s="79"/>
      <c r="Y858" s="79"/>
      <c r="AC858" s="130"/>
      <c r="AE858" s="106"/>
    </row>
    <row r="859">
      <c r="C859" s="79"/>
      <c r="D859" s="79"/>
      <c r="E859" s="79"/>
      <c r="P859" s="79"/>
      <c r="Q859" s="79"/>
      <c r="R859" s="79"/>
      <c r="Y859" s="79"/>
      <c r="AC859" s="130"/>
      <c r="AE859" s="106"/>
    </row>
    <row r="860">
      <c r="C860" s="79"/>
      <c r="D860" s="79"/>
      <c r="E860" s="79"/>
      <c r="P860" s="79"/>
      <c r="Q860" s="79"/>
      <c r="R860" s="79"/>
      <c r="Y860" s="79"/>
      <c r="AC860" s="130"/>
      <c r="AE860" s="106"/>
    </row>
    <row r="861">
      <c r="C861" s="79"/>
      <c r="D861" s="79"/>
      <c r="E861" s="79"/>
      <c r="P861" s="79"/>
      <c r="Q861" s="79"/>
      <c r="R861" s="79"/>
      <c r="Y861" s="79"/>
      <c r="AC861" s="130"/>
      <c r="AE861" s="106"/>
    </row>
    <row r="862">
      <c r="C862" s="79"/>
      <c r="D862" s="79"/>
      <c r="E862" s="79"/>
      <c r="P862" s="79"/>
      <c r="Q862" s="79"/>
      <c r="R862" s="79"/>
      <c r="Y862" s="79"/>
      <c r="AC862" s="130"/>
      <c r="AE862" s="106"/>
    </row>
    <row r="863">
      <c r="C863" s="79"/>
      <c r="D863" s="79"/>
      <c r="E863" s="79"/>
      <c r="P863" s="79"/>
      <c r="Q863" s="79"/>
      <c r="R863" s="79"/>
      <c r="Y863" s="79"/>
      <c r="AC863" s="130"/>
      <c r="AE863" s="106"/>
    </row>
    <row r="864">
      <c r="C864" s="79"/>
      <c r="D864" s="79"/>
      <c r="E864" s="79"/>
      <c r="P864" s="79"/>
      <c r="Q864" s="79"/>
      <c r="R864" s="79"/>
      <c r="Y864" s="79"/>
      <c r="AC864" s="130"/>
      <c r="AE864" s="106"/>
    </row>
    <row r="865">
      <c r="C865" s="79"/>
      <c r="D865" s="79"/>
      <c r="E865" s="79"/>
      <c r="P865" s="79"/>
      <c r="Q865" s="79"/>
      <c r="R865" s="79"/>
      <c r="Y865" s="79"/>
      <c r="AC865" s="130"/>
      <c r="AE865" s="106"/>
    </row>
    <row r="866">
      <c r="C866" s="79"/>
      <c r="D866" s="79"/>
      <c r="E866" s="79"/>
      <c r="P866" s="79"/>
      <c r="Q866" s="79"/>
      <c r="R866" s="79"/>
      <c r="Y866" s="79"/>
      <c r="AC866" s="130"/>
      <c r="AE866" s="106"/>
    </row>
    <row r="867">
      <c r="C867" s="79"/>
      <c r="D867" s="79"/>
      <c r="E867" s="79"/>
      <c r="P867" s="79"/>
      <c r="Q867" s="79"/>
      <c r="R867" s="79"/>
      <c r="Y867" s="79"/>
      <c r="AC867" s="130"/>
      <c r="AE867" s="106"/>
    </row>
    <row r="868">
      <c r="C868" s="79"/>
      <c r="D868" s="79"/>
      <c r="E868" s="79"/>
      <c r="P868" s="79"/>
      <c r="Q868" s="79"/>
      <c r="R868" s="79"/>
      <c r="Y868" s="79"/>
      <c r="AC868" s="130"/>
      <c r="AE868" s="106"/>
    </row>
    <row r="869">
      <c r="C869" s="79"/>
      <c r="D869" s="79"/>
      <c r="E869" s="79"/>
      <c r="P869" s="79"/>
      <c r="Q869" s="79"/>
      <c r="R869" s="79"/>
      <c r="Y869" s="79"/>
      <c r="AC869" s="130"/>
      <c r="AE869" s="106"/>
    </row>
    <row r="870">
      <c r="C870" s="79"/>
      <c r="D870" s="79"/>
      <c r="E870" s="79"/>
      <c r="P870" s="79"/>
      <c r="Q870" s="79"/>
      <c r="R870" s="79"/>
      <c r="Y870" s="79"/>
      <c r="AC870" s="130"/>
      <c r="AE870" s="106"/>
    </row>
    <row r="871">
      <c r="C871" s="79"/>
      <c r="D871" s="79"/>
      <c r="E871" s="79"/>
      <c r="P871" s="79"/>
      <c r="Q871" s="79"/>
      <c r="R871" s="79"/>
      <c r="Y871" s="79"/>
      <c r="AC871" s="130"/>
      <c r="AE871" s="106"/>
    </row>
    <row r="872">
      <c r="C872" s="79"/>
      <c r="D872" s="79"/>
      <c r="E872" s="79"/>
      <c r="P872" s="79"/>
      <c r="Q872" s="79"/>
      <c r="R872" s="79"/>
      <c r="Y872" s="79"/>
      <c r="AC872" s="130"/>
      <c r="AE872" s="106"/>
    </row>
    <row r="873">
      <c r="C873" s="79"/>
      <c r="D873" s="79"/>
      <c r="E873" s="79"/>
      <c r="P873" s="79"/>
      <c r="Q873" s="79"/>
      <c r="R873" s="79"/>
      <c r="Y873" s="79"/>
      <c r="AC873" s="130"/>
      <c r="AE873" s="106"/>
    </row>
    <row r="874">
      <c r="C874" s="79"/>
      <c r="D874" s="79"/>
      <c r="E874" s="79"/>
      <c r="P874" s="79"/>
      <c r="Q874" s="79"/>
      <c r="R874" s="79"/>
      <c r="Y874" s="79"/>
      <c r="AC874" s="130"/>
      <c r="AE874" s="106"/>
    </row>
    <row r="875">
      <c r="C875" s="79"/>
      <c r="D875" s="79"/>
      <c r="E875" s="79"/>
      <c r="P875" s="79"/>
      <c r="Q875" s="79"/>
      <c r="R875" s="79"/>
      <c r="Y875" s="79"/>
      <c r="AC875" s="130"/>
      <c r="AE875" s="106"/>
    </row>
    <row r="876">
      <c r="C876" s="79"/>
      <c r="D876" s="79"/>
      <c r="E876" s="79"/>
      <c r="P876" s="79"/>
      <c r="Q876" s="79"/>
      <c r="R876" s="79"/>
      <c r="Y876" s="79"/>
      <c r="AC876" s="130"/>
      <c r="AE876" s="106"/>
    </row>
    <row r="877">
      <c r="C877" s="79"/>
      <c r="D877" s="79"/>
      <c r="E877" s="79"/>
      <c r="P877" s="79"/>
      <c r="Q877" s="79"/>
      <c r="R877" s="79"/>
      <c r="Y877" s="79"/>
      <c r="AC877" s="130"/>
      <c r="AE877" s="106"/>
    </row>
    <row r="878">
      <c r="C878" s="79"/>
      <c r="D878" s="79"/>
      <c r="E878" s="79"/>
      <c r="P878" s="79"/>
      <c r="Q878" s="79"/>
      <c r="R878" s="79"/>
      <c r="Y878" s="79"/>
      <c r="AC878" s="130"/>
      <c r="AE878" s="106"/>
    </row>
    <row r="879">
      <c r="C879" s="79"/>
      <c r="D879" s="79"/>
      <c r="E879" s="79"/>
      <c r="P879" s="79"/>
      <c r="Q879" s="79"/>
      <c r="R879" s="79"/>
      <c r="Y879" s="79"/>
      <c r="AC879" s="130"/>
      <c r="AE879" s="106"/>
    </row>
    <row r="880">
      <c r="C880" s="79"/>
      <c r="D880" s="79"/>
      <c r="E880" s="79"/>
      <c r="P880" s="79"/>
      <c r="Q880" s="79"/>
      <c r="R880" s="79"/>
      <c r="Y880" s="79"/>
      <c r="AC880" s="130"/>
      <c r="AE880" s="106"/>
    </row>
    <row r="881">
      <c r="C881" s="79"/>
      <c r="D881" s="79"/>
      <c r="E881" s="79"/>
      <c r="P881" s="79"/>
      <c r="Q881" s="79"/>
      <c r="R881" s="79"/>
      <c r="Y881" s="79"/>
      <c r="AC881" s="130"/>
      <c r="AE881" s="106"/>
    </row>
    <row r="882">
      <c r="C882" s="79"/>
      <c r="D882" s="79"/>
      <c r="E882" s="79"/>
      <c r="P882" s="79"/>
      <c r="Q882" s="79"/>
      <c r="R882" s="79"/>
      <c r="Y882" s="79"/>
      <c r="AC882" s="130"/>
      <c r="AE882" s="106"/>
    </row>
    <row r="883">
      <c r="C883" s="79"/>
      <c r="D883" s="79"/>
      <c r="E883" s="79"/>
      <c r="P883" s="79"/>
      <c r="Q883" s="79"/>
      <c r="R883" s="79"/>
      <c r="Y883" s="79"/>
      <c r="AC883" s="130"/>
      <c r="AE883" s="106"/>
    </row>
    <row r="884">
      <c r="C884" s="79"/>
      <c r="D884" s="79"/>
      <c r="E884" s="79"/>
      <c r="P884" s="79"/>
      <c r="Q884" s="79"/>
      <c r="R884" s="79"/>
      <c r="Y884" s="79"/>
      <c r="AC884" s="130"/>
      <c r="AE884" s="106"/>
    </row>
    <row r="885">
      <c r="C885" s="79"/>
      <c r="D885" s="79"/>
      <c r="E885" s="79"/>
      <c r="P885" s="79"/>
      <c r="Q885" s="79"/>
      <c r="R885" s="79"/>
      <c r="Y885" s="79"/>
      <c r="AC885" s="130"/>
      <c r="AE885" s="106"/>
    </row>
    <row r="886">
      <c r="C886" s="79"/>
      <c r="D886" s="79"/>
      <c r="E886" s="79"/>
      <c r="P886" s="79"/>
      <c r="Q886" s="79"/>
      <c r="R886" s="79"/>
      <c r="Y886" s="79"/>
      <c r="AC886" s="130"/>
      <c r="AE886" s="106"/>
    </row>
    <row r="887">
      <c r="C887" s="79"/>
      <c r="D887" s="79"/>
      <c r="E887" s="79"/>
      <c r="P887" s="79"/>
      <c r="Q887" s="79"/>
      <c r="R887" s="79"/>
      <c r="Y887" s="79"/>
      <c r="AC887" s="130"/>
      <c r="AE887" s="106"/>
    </row>
    <row r="888">
      <c r="C888" s="79"/>
      <c r="D888" s="79"/>
      <c r="E888" s="79"/>
      <c r="P888" s="79"/>
      <c r="Q888" s="79"/>
      <c r="R888" s="79"/>
      <c r="Y888" s="79"/>
      <c r="AC888" s="130"/>
      <c r="AE888" s="106"/>
    </row>
    <row r="889">
      <c r="C889" s="79"/>
      <c r="D889" s="79"/>
      <c r="E889" s="79"/>
      <c r="P889" s="79"/>
      <c r="Q889" s="79"/>
      <c r="R889" s="79"/>
      <c r="Y889" s="79"/>
      <c r="AC889" s="130"/>
      <c r="AE889" s="106"/>
    </row>
    <row r="890">
      <c r="C890" s="79"/>
      <c r="D890" s="79"/>
      <c r="E890" s="79"/>
      <c r="P890" s="79"/>
      <c r="Q890" s="79"/>
      <c r="R890" s="79"/>
      <c r="Y890" s="79"/>
      <c r="AC890" s="130"/>
      <c r="AE890" s="106"/>
    </row>
    <row r="891">
      <c r="C891" s="79"/>
      <c r="D891" s="79"/>
      <c r="E891" s="79"/>
      <c r="P891" s="79"/>
      <c r="Q891" s="79"/>
      <c r="R891" s="79"/>
      <c r="Y891" s="79"/>
      <c r="AC891" s="130"/>
      <c r="AE891" s="106"/>
    </row>
    <row r="892">
      <c r="C892" s="79"/>
      <c r="D892" s="79"/>
      <c r="E892" s="79"/>
      <c r="P892" s="79"/>
      <c r="Q892" s="79"/>
      <c r="R892" s="79"/>
      <c r="Y892" s="79"/>
      <c r="AC892" s="130"/>
      <c r="AE892" s="106"/>
    </row>
    <row r="893">
      <c r="C893" s="79"/>
      <c r="D893" s="79"/>
      <c r="E893" s="79"/>
      <c r="P893" s="79"/>
      <c r="Q893" s="79"/>
      <c r="R893" s="79"/>
      <c r="Y893" s="79"/>
      <c r="AC893" s="130"/>
      <c r="AE893" s="106"/>
    </row>
    <row r="894">
      <c r="C894" s="79"/>
      <c r="D894" s="79"/>
      <c r="E894" s="79"/>
      <c r="P894" s="79"/>
      <c r="Q894" s="79"/>
      <c r="R894" s="79"/>
      <c r="Y894" s="79"/>
      <c r="AC894" s="130"/>
      <c r="AE894" s="106"/>
    </row>
  </sheetData>
  <autoFilter ref="$A$40:$F$66">
    <sortState ref="A40:F66">
      <sortCondition descending="1" sortBy="cellColor" ref="E40:E66" dxfId="1"/>
      <sortCondition descending="1" sortBy="cellColor" ref="C40:C66" dxfId="1"/>
      <sortCondition descending="1" sortBy="cellColor" ref="A40:A66" dxfId="1"/>
    </sortState>
  </autoFilter>
  <mergeCells count="1">
    <mergeCell ref="B37:E37"/>
  </mergeCells>
  <drawing r:id="rId2"/>
  <legacyDrawing r:id="rId3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3" max="3" width="17.38"/>
    <col customWidth="1" min="5" max="5" width="15.63"/>
    <col customWidth="1" min="7" max="7" width="13.5"/>
    <col customWidth="1" min="8" max="8" width="13.25"/>
    <col customWidth="1" min="18" max="18" width="27.38"/>
    <col customWidth="1" min="26" max="26" width="14.63"/>
    <col customWidth="1" min="31" max="31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4</v>
      </c>
      <c r="J1" s="2" t="s">
        <v>5</v>
      </c>
      <c r="K1" s="2" t="s">
        <v>303</v>
      </c>
      <c r="L1" s="2" t="s">
        <v>6</v>
      </c>
      <c r="M1" s="2" t="s">
        <v>12</v>
      </c>
      <c r="N1" s="2" t="s">
        <v>49</v>
      </c>
      <c r="O1" s="2" t="s">
        <v>42</v>
      </c>
      <c r="P1" s="105" t="s">
        <v>11</v>
      </c>
      <c r="Q1" s="105" t="s">
        <v>9</v>
      </c>
      <c r="R1" s="105" t="s">
        <v>304</v>
      </c>
      <c r="S1" s="2" t="s">
        <v>37</v>
      </c>
      <c r="T1" s="2" t="s">
        <v>10</v>
      </c>
      <c r="U1" s="2" t="s">
        <v>164</v>
      </c>
      <c r="V1" s="105" t="s">
        <v>40</v>
      </c>
      <c r="W1" s="2" t="s">
        <v>83</v>
      </c>
      <c r="X1" s="2" t="s">
        <v>204</v>
      </c>
      <c r="Y1" s="105" t="s">
        <v>205</v>
      </c>
      <c r="Z1" s="2" t="s">
        <v>206</v>
      </c>
      <c r="AA1" s="2" t="s">
        <v>305</v>
      </c>
      <c r="AB1" s="3" t="s">
        <v>13</v>
      </c>
      <c r="AC1" s="3" t="s">
        <v>14</v>
      </c>
      <c r="AD1" s="3" t="s">
        <v>15</v>
      </c>
      <c r="AE1" s="106"/>
      <c r="AF1" s="265" t="s">
        <v>306</v>
      </c>
      <c r="AG1" s="266" t="s">
        <v>80</v>
      </c>
    </row>
    <row r="2">
      <c r="A2" s="74">
        <v>45474.0</v>
      </c>
      <c r="B2" s="93"/>
      <c r="C2" s="93"/>
      <c r="D2" s="193"/>
      <c r="E2" s="93"/>
      <c r="F2" s="93"/>
      <c r="G2" s="93">
        <v>180.0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72"/>
      <c r="T2" s="93"/>
      <c r="U2" s="93"/>
      <c r="V2" s="93"/>
      <c r="W2" s="93"/>
      <c r="X2" s="93"/>
      <c r="Y2" s="93"/>
      <c r="Z2" s="93"/>
      <c r="AA2" s="326"/>
      <c r="AB2" s="107">
        <f t="shared" ref="AB2:AB8" si="1">SUM(B2:Z2)</f>
        <v>180</v>
      </c>
      <c r="AC2" s="158">
        <v>0.0</v>
      </c>
      <c r="AD2" s="59" t="str">
        <f t="shared" ref="AD2:AD8" si="2">AB2/AC2</f>
        <v>#DIV/0!</v>
      </c>
      <c r="AE2" s="109">
        <f t="shared" ref="AE2:AE8" si="3">A2</f>
        <v>45474</v>
      </c>
      <c r="AF2" s="267"/>
      <c r="AG2" s="268">
        <f t="shared" ref="AG2:AG8" si="4">AC2-AF2</f>
        <v>0</v>
      </c>
    </row>
    <row r="3">
      <c r="A3" s="74">
        <f t="shared" ref="A3:A8" si="5">A2+1</f>
        <v>45475</v>
      </c>
      <c r="B3" s="93">
        <f>1006.01-36.22-56.84-41.43-20.68-41.79-30.08+826.24-60.36</f>
        <v>1544.85</v>
      </c>
      <c r="C3" s="93"/>
      <c r="D3" s="93">
        <v>164.4</v>
      </c>
      <c r="E3" s="93"/>
      <c r="F3" s="93"/>
      <c r="G3" s="93"/>
      <c r="H3" s="93"/>
      <c r="I3" s="93"/>
      <c r="J3" s="93"/>
      <c r="K3" s="93"/>
      <c r="L3" s="93"/>
      <c r="M3" s="93"/>
      <c r="N3" s="93">
        <f>684-144-156</f>
        <v>384</v>
      </c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326"/>
      <c r="AB3" s="107">
        <f t="shared" si="1"/>
        <v>2093.25</v>
      </c>
      <c r="AC3" s="158">
        <v>4314.0</v>
      </c>
      <c r="AD3" s="59">
        <f t="shared" si="2"/>
        <v>0.4852225313</v>
      </c>
      <c r="AE3" s="109">
        <f t="shared" si="3"/>
        <v>45475</v>
      </c>
      <c r="AF3" s="267"/>
      <c r="AG3" s="268">
        <f t="shared" si="4"/>
        <v>4314</v>
      </c>
    </row>
    <row r="4">
      <c r="A4" s="74">
        <f t="shared" si="5"/>
        <v>45476</v>
      </c>
      <c r="B4" s="93">
        <f>1269.69-95-32.84-18.61-26-36.31-17.34-34.82-46.84-27.83-44.5</f>
        <v>889.6</v>
      </c>
      <c r="C4" s="93">
        <f>455.9-337.5</f>
        <v>118.4</v>
      </c>
      <c r="D4" s="93">
        <f>281.2-130.85</f>
        <v>150.35</v>
      </c>
      <c r="E4" s="93"/>
      <c r="F4" s="93"/>
      <c r="G4" s="93">
        <v>180.0</v>
      </c>
      <c r="H4" s="93"/>
      <c r="I4" s="93"/>
      <c r="J4" s="93">
        <f>654.5-99-190</f>
        <v>365.5</v>
      </c>
      <c r="K4" s="93"/>
      <c r="L4" s="93">
        <v>43.37</v>
      </c>
      <c r="M4" s="93"/>
      <c r="N4" s="93"/>
      <c r="O4" s="93"/>
      <c r="P4" s="93"/>
      <c r="Q4" s="93"/>
      <c r="R4" s="93"/>
      <c r="S4" s="160"/>
      <c r="T4" s="93"/>
      <c r="U4" s="93"/>
      <c r="V4" s="93"/>
      <c r="W4" s="93"/>
      <c r="X4" s="93"/>
      <c r="Y4" s="93"/>
      <c r="Z4" s="101"/>
      <c r="AA4" s="326"/>
      <c r="AB4" s="107">
        <f t="shared" si="1"/>
        <v>1747.22</v>
      </c>
      <c r="AC4" s="97">
        <f>596+4905.8</f>
        <v>5501.8</v>
      </c>
      <c r="AD4" s="59">
        <f t="shared" si="2"/>
        <v>0.3175724308</v>
      </c>
      <c r="AE4" s="109">
        <f t="shared" si="3"/>
        <v>45476</v>
      </c>
      <c r="AF4" s="267"/>
      <c r="AG4" s="268">
        <f t="shared" si="4"/>
        <v>5501.8</v>
      </c>
    </row>
    <row r="5">
      <c r="A5" s="74">
        <f t="shared" si="5"/>
        <v>45477</v>
      </c>
      <c r="B5" s="93"/>
      <c r="C5" s="93"/>
      <c r="D5" s="93"/>
      <c r="E5" s="93"/>
      <c r="F5" s="93"/>
      <c r="G5" s="93"/>
      <c r="H5" s="160"/>
      <c r="I5" s="93"/>
      <c r="J5" s="93"/>
      <c r="K5" s="93"/>
      <c r="L5" s="93">
        <v>21.7</v>
      </c>
      <c r="M5" s="93"/>
      <c r="N5" s="93"/>
      <c r="O5" s="93"/>
      <c r="P5" s="101"/>
      <c r="Q5" s="93"/>
      <c r="R5" s="93"/>
      <c r="S5" s="93"/>
      <c r="T5" s="93"/>
      <c r="U5" s="93"/>
      <c r="V5" s="93"/>
      <c r="W5" s="93"/>
      <c r="X5" s="93"/>
      <c r="Y5" s="101"/>
      <c r="Z5" s="101"/>
      <c r="AA5" s="327"/>
      <c r="AB5" s="7">
        <f t="shared" si="1"/>
        <v>21.7</v>
      </c>
      <c r="AC5" s="97">
        <f>1015+3434</f>
        <v>4449</v>
      </c>
      <c r="AD5" s="59">
        <f t="shared" si="2"/>
        <v>0.004877500562</v>
      </c>
      <c r="AE5" s="109">
        <f t="shared" si="3"/>
        <v>45477</v>
      </c>
      <c r="AF5" s="267"/>
      <c r="AG5" s="268">
        <f t="shared" si="4"/>
        <v>4449</v>
      </c>
    </row>
    <row r="6">
      <c r="A6" s="74">
        <f t="shared" si="5"/>
        <v>45478</v>
      </c>
      <c r="B6" s="93">
        <f>1595.65-60.19-30.08-69.84-95.86-40.47-20.18-13.94-24.08-18.93-124.38-34.46</f>
        <v>1063.24</v>
      </c>
      <c r="C6" s="93">
        <v>86.8</v>
      </c>
      <c r="D6" s="93"/>
      <c r="E6" s="93"/>
      <c r="F6" s="93"/>
      <c r="G6" s="93"/>
      <c r="H6" s="160"/>
      <c r="I6" s="93"/>
      <c r="J6" s="93"/>
      <c r="K6" s="93"/>
      <c r="L6" s="78">
        <v>166.4</v>
      </c>
      <c r="M6" s="93">
        <v>71.7</v>
      </c>
      <c r="N6" s="93">
        <v>108.0</v>
      </c>
      <c r="O6" s="93"/>
      <c r="P6" s="93"/>
      <c r="Q6" s="93"/>
      <c r="R6" s="93">
        <v>180.0</v>
      </c>
      <c r="S6" s="93"/>
      <c r="T6" s="93">
        <v>130.85</v>
      </c>
      <c r="U6" s="93"/>
      <c r="V6" s="93"/>
      <c r="W6" s="93"/>
      <c r="X6" s="93"/>
      <c r="Y6" s="93"/>
      <c r="Z6" s="93"/>
      <c r="AA6" s="327"/>
      <c r="AB6" s="7">
        <f t="shared" si="1"/>
        <v>1806.99</v>
      </c>
      <c r="AC6" s="97">
        <f>520+8424</f>
        <v>8944</v>
      </c>
      <c r="AD6" s="59">
        <f t="shared" si="2"/>
        <v>0.2020337657</v>
      </c>
      <c r="AE6" s="109">
        <f t="shared" si="3"/>
        <v>45478</v>
      </c>
      <c r="AF6" s="267"/>
      <c r="AG6" s="268">
        <f t="shared" si="4"/>
        <v>8944</v>
      </c>
    </row>
    <row r="7">
      <c r="A7" s="74">
        <f t="shared" si="5"/>
        <v>45479</v>
      </c>
      <c r="B7" s="93">
        <f>716.83-87.5-40.38-23.91-57.55</f>
        <v>507.49</v>
      </c>
      <c r="C7" s="93">
        <v>306.96</v>
      </c>
      <c r="D7" s="93"/>
      <c r="E7" s="93"/>
      <c r="F7" s="93"/>
      <c r="G7" s="93">
        <v>180.0</v>
      </c>
      <c r="H7" s="93"/>
      <c r="I7" s="93"/>
      <c r="J7" s="93"/>
      <c r="K7" s="93"/>
      <c r="L7" s="93">
        <v>21.7</v>
      </c>
      <c r="M7" s="93"/>
      <c r="N7" s="93"/>
      <c r="O7" s="93"/>
      <c r="P7" s="101"/>
      <c r="Q7" s="93"/>
      <c r="R7" s="93"/>
      <c r="S7" s="101"/>
      <c r="T7" s="93"/>
      <c r="U7" s="93"/>
      <c r="V7" s="93"/>
      <c r="W7" s="93"/>
      <c r="X7" s="93"/>
      <c r="Y7" s="101"/>
      <c r="Z7" s="93"/>
      <c r="AA7" s="327"/>
      <c r="AB7" s="7">
        <f t="shared" si="1"/>
        <v>1016.15</v>
      </c>
      <c r="AC7" s="97">
        <f>2007+5873</f>
        <v>7880</v>
      </c>
      <c r="AD7" s="59">
        <f t="shared" si="2"/>
        <v>0.1289530457</v>
      </c>
      <c r="AE7" s="109">
        <f t="shared" si="3"/>
        <v>45479</v>
      </c>
      <c r="AF7" s="267"/>
      <c r="AG7" s="268">
        <f t="shared" si="4"/>
        <v>7880</v>
      </c>
    </row>
    <row r="8">
      <c r="A8" s="74">
        <f t="shared" si="5"/>
        <v>45480</v>
      </c>
      <c r="B8" s="93"/>
      <c r="C8" s="93"/>
      <c r="D8" s="344">
        <f>218.23+636.62</f>
        <v>854.85</v>
      </c>
      <c r="E8" s="112"/>
      <c r="F8" s="340">
        <v>323.93</v>
      </c>
      <c r="G8" s="10"/>
      <c r="H8" s="93"/>
      <c r="I8" s="340">
        <v>325.92</v>
      </c>
      <c r="J8" s="93"/>
      <c r="K8" s="246">
        <v>580.0</v>
      </c>
      <c r="L8" s="112"/>
      <c r="M8" s="112"/>
      <c r="N8" s="93"/>
      <c r="O8" s="93"/>
      <c r="P8" s="112"/>
      <c r="Q8" s="93"/>
      <c r="R8" s="112"/>
      <c r="S8" s="340">
        <v>125.0</v>
      </c>
      <c r="T8" s="93"/>
      <c r="U8" s="93"/>
      <c r="V8" s="112"/>
      <c r="W8" s="112"/>
      <c r="X8" s="112"/>
      <c r="Y8" s="112"/>
      <c r="Z8" s="112"/>
      <c r="AA8" s="93"/>
      <c r="AB8" s="7">
        <f t="shared" si="1"/>
        <v>2209.7</v>
      </c>
      <c r="AC8" s="97">
        <f>1412+1707</f>
        <v>3119</v>
      </c>
      <c r="AD8" s="59">
        <f t="shared" si="2"/>
        <v>0.7084642514</v>
      </c>
      <c r="AE8" s="109">
        <f t="shared" si="3"/>
        <v>45480</v>
      </c>
      <c r="AF8" s="267"/>
      <c r="AG8" s="268">
        <f t="shared" si="4"/>
        <v>3119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AC9" s="129"/>
      <c r="AE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AC10" s="129"/>
      <c r="AE10" s="106"/>
    </row>
    <row r="11">
      <c r="A11" s="165" t="s">
        <v>194</v>
      </c>
      <c r="B11" s="93">
        <f>36.22+56.84+41.43+20.68+30.08+36.31+17.34+34.82+46.84+27.83+44.5+65.13+60.19+30.08+69.84+95.86+40.47+20.18+13.94+24.08+18.93+124.38+34.46+87.5+40.38+23.91+57.55</f>
        <v>1199.77</v>
      </c>
      <c r="C11" s="93"/>
      <c r="D11" s="93">
        <v>98.47</v>
      </c>
      <c r="E11" s="167"/>
      <c r="F11" s="168"/>
      <c r="G11" s="168"/>
      <c r="H11" s="166"/>
      <c r="I11" s="166"/>
      <c r="J11" s="93"/>
      <c r="K11" s="168"/>
      <c r="L11" s="93"/>
      <c r="M11" s="166"/>
      <c r="N11" s="166"/>
      <c r="O11" s="168"/>
      <c r="P11" s="168"/>
      <c r="Q11" s="168"/>
      <c r="R11" s="168"/>
      <c r="S11" s="168"/>
      <c r="T11" s="168"/>
      <c r="U11" s="168"/>
      <c r="V11" s="168"/>
      <c r="W11" s="1"/>
      <c r="X11" s="168"/>
      <c r="Y11" s="168"/>
      <c r="Z11" s="1"/>
      <c r="AA11" s="1"/>
      <c r="AB11" s="1"/>
      <c r="AC11" s="169"/>
      <c r="AD11" s="1"/>
      <c r="AE11" s="170"/>
    </row>
    <row r="12">
      <c r="A12" s="165" t="s">
        <v>195</v>
      </c>
      <c r="B12" s="350">
        <f>41.79+95+32.84+18.61+26</f>
        <v>214.24</v>
      </c>
      <c r="C12" s="93">
        <v>337.5</v>
      </c>
      <c r="D12" s="93">
        <v>130.85</v>
      </c>
      <c r="E12" s="93"/>
      <c r="F12" s="93"/>
      <c r="G12" s="93"/>
      <c r="H12" s="93"/>
      <c r="I12" s="93"/>
      <c r="J12" s="93">
        <f>99+190</f>
        <v>289</v>
      </c>
      <c r="K12" s="93"/>
      <c r="L12" s="93"/>
      <c r="M12" s="93"/>
      <c r="N12" s="166">
        <v>300.0</v>
      </c>
      <c r="O12" s="166"/>
      <c r="P12" s="168"/>
      <c r="Q12" s="168"/>
      <c r="R12" s="168"/>
      <c r="S12" s="168"/>
      <c r="T12" s="166"/>
      <c r="U12" s="168"/>
      <c r="V12" s="168"/>
      <c r="W12" s="1"/>
      <c r="X12" s="93"/>
      <c r="Y12" s="168"/>
      <c r="Z12" s="1"/>
      <c r="AA12" s="1"/>
      <c r="AB12" s="1"/>
      <c r="AC12" s="171"/>
      <c r="AD12" s="1"/>
      <c r="AE12" s="170"/>
    </row>
    <row r="13">
      <c r="A13" s="172" t="s">
        <v>425</v>
      </c>
      <c r="B13" s="166"/>
      <c r="C13" s="93"/>
      <c r="D13" s="93"/>
      <c r="E13" s="168"/>
      <c r="F13" s="166"/>
      <c r="G13" s="166"/>
      <c r="H13" s="168"/>
      <c r="I13" s="168"/>
      <c r="J13" s="93"/>
      <c r="K13" s="168"/>
      <c r="L13" s="168"/>
      <c r="M13" s="168"/>
      <c r="N13" s="166"/>
      <c r="O13" s="168"/>
      <c r="P13" s="168"/>
      <c r="Q13" s="168"/>
      <c r="R13" s="168"/>
      <c r="S13" s="1"/>
      <c r="T13" s="96"/>
      <c r="U13" s="1"/>
      <c r="V13" s="1"/>
      <c r="W13" s="1"/>
      <c r="X13" s="168"/>
      <c r="Y13" s="168"/>
      <c r="Z13" s="1"/>
      <c r="AA13" s="1"/>
      <c r="AB13" s="1"/>
      <c r="AC13" s="174"/>
      <c r="AD13" s="1"/>
      <c r="AE13" s="170"/>
    </row>
    <row r="14">
      <c r="A14" s="165" t="s">
        <v>198</v>
      </c>
      <c r="B14" s="350">
        <v>60.36</v>
      </c>
      <c r="C14" s="93"/>
      <c r="D14" s="93"/>
      <c r="E14" s="168"/>
      <c r="F14" s="166"/>
      <c r="G14" s="166"/>
      <c r="H14" s="168"/>
      <c r="I14" s="168"/>
      <c r="J14" s="93"/>
      <c r="K14" s="168"/>
      <c r="L14" s="168"/>
      <c r="M14" s="168"/>
      <c r="N14" s="166"/>
      <c r="O14" s="168"/>
      <c r="P14" s="168"/>
      <c r="Q14" s="168"/>
      <c r="R14" s="168"/>
      <c r="S14" s="1"/>
      <c r="T14" s="96"/>
      <c r="U14" s="1"/>
      <c r="V14" s="1"/>
      <c r="W14" s="1"/>
      <c r="X14" s="168"/>
      <c r="Y14" s="168"/>
      <c r="Z14" s="1"/>
      <c r="AA14" s="1"/>
      <c r="AB14" s="1"/>
      <c r="AC14" s="174"/>
      <c r="AD14" s="1"/>
      <c r="AE14" s="170"/>
    </row>
    <row r="15">
      <c r="A15" s="91"/>
      <c r="B15" s="92"/>
      <c r="C15" s="79"/>
      <c r="D15" s="79"/>
      <c r="E15" s="79"/>
      <c r="F15" s="78"/>
      <c r="G15" s="78"/>
      <c r="I15" s="78"/>
      <c r="L15" s="79"/>
      <c r="M15" s="79"/>
      <c r="N15" s="79"/>
      <c r="O15" s="79"/>
      <c r="P15" s="79"/>
      <c r="Q15" s="79"/>
      <c r="R15" s="79"/>
      <c r="Y15" s="79"/>
      <c r="AC15" s="131"/>
      <c r="AE15" s="106"/>
    </row>
    <row r="16">
      <c r="A16" s="91"/>
      <c r="B16" s="92"/>
      <c r="C16" s="78"/>
      <c r="D16" s="78"/>
      <c r="E16" s="151"/>
      <c r="F16" s="201"/>
      <c r="G16" s="240"/>
      <c r="H16" s="204"/>
      <c r="I16" s="198"/>
      <c r="J16" s="201"/>
      <c r="K16" s="199"/>
      <c r="L16" s="199"/>
      <c r="M16" s="200"/>
      <c r="N16" s="202"/>
      <c r="O16" s="198"/>
      <c r="P16" s="79"/>
      <c r="Q16" s="198"/>
      <c r="R16" s="198"/>
      <c r="U16" s="198"/>
      <c r="V16" s="198"/>
      <c r="W16" s="198"/>
      <c r="X16" s="199"/>
      <c r="Y16" s="79"/>
      <c r="AC16" s="131"/>
      <c r="AE16" s="106"/>
    </row>
    <row r="17">
      <c r="A17" s="4" t="s">
        <v>22</v>
      </c>
      <c r="B17" s="11">
        <v>10000.0</v>
      </c>
      <c r="C17" s="79"/>
      <c r="D17" s="79"/>
      <c r="E17" s="78"/>
      <c r="F17" s="213"/>
      <c r="G17" s="213"/>
      <c r="H17" s="78"/>
      <c r="K17" s="201"/>
      <c r="L17" s="201"/>
      <c r="M17" s="198"/>
      <c r="N17" s="200"/>
      <c r="O17" s="203"/>
      <c r="P17" s="79"/>
      <c r="Q17" s="198"/>
      <c r="R17" s="198"/>
      <c r="S17" s="204"/>
      <c r="U17" s="198"/>
      <c r="V17" s="198"/>
      <c r="W17" s="198"/>
      <c r="X17" s="201"/>
      <c r="Y17" s="79"/>
      <c r="AC17" s="131"/>
      <c r="AE17" s="106"/>
    </row>
    <row r="18">
      <c r="A18" s="4" t="s">
        <v>23</v>
      </c>
      <c r="B18" s="12">
        <f>SUM(B2:AA8)</f>
        <v>9075.01</v>
      </c>
      <c r="C18" s="192"/>
      <c r="D18" s="177"/>
      <c r="E18" s="151"/>
      <c r="F18" s="213"/>
      <c r="G18" s="213"/>
      <c r="H18" s="213"/>
      <c r="I18" s="203"/>
      <c r="K18" s="191"/>
      <c r="L18" s="201"/>
      <c r="M18" s="201"/>
      <c r="N18" s="201"/>
      <c r="O18" s="203"/>
      <c r="P18" s="79"/>
      <c r="Q18" s="198"/>
      <c r="R18" s="198"/>
      <c r="S18" s="204"/>
      <c r="U18" s="198"/>
      <c r="V18" s="198"/>
      <c r="W18" s="198"/>
      <c r="X18" s="191"/>
      <c r="Y18" s="79"/>
      <c r="AC18" s="131"/>
      <c r="AE18" s="106"/>
    </row>
    <row r="19">
      <c r="A19" s="4" t="s">
        <v>24</v>
      </c>
      <c r="B19" s="12">
        <f> SUM(B17-B18)</f>
        <v>924.99</v>
      </c>
      <c r="C19" s="79"/>
      <c r="D19" s="78"/>
      <c r="E19" s="78"/>
      <c r="F19" s="201"/>
      <c r="G19" s="151"/>
      <c r="H19" s="214"/>
      <c r="I19" s="203"/>
      <c r="K19" s="203"/>
      <c r="L19" s="199"/>
      <c r="M19" s="203"/>
      <c r="N19" s="200"/>
      <c r="O19" s="203"/>
      <c r="P19" s="79"/>
      <c r="Q19" s="198"/>
      <c r="R19" s="198"/>
      <c r="S19" s="204"/>
      <c r="U19" s="198"/>
      <c r="V19" s="198"/>
      <c r="W19" s="198"/>
      <c r="X19" s="203"/>
      <c r="Y19" s="79"/>
      <c r="AC19" s="131"/>
      <c r="AE19" s="106"/>
    </row>
    <row r="20">
      <c r="C20" s="79"/>
      <c r="D20" s="79"/>
      <c r="E20" s="78"/>
      <c r="F20" s="213"/>
      <c r="G20" s="201"/>
      <c r="H20" s="214"/>
      <c r="I20" s="345"/>
      <c r="J20" s="203"/>
      <c r="K20" s="351"/>
      <c r="M20" s="201"/>
      <c r="N20" s="198"/>
      <c r="O20" s="203"/>
      <c r="P20" s="79"/>
      <c r="Q20" s="198"/>
      <c r="R20" s="198"/>
      <c r="S20" s="204"/>
      <c r="U20" s="206"/>
      <c r="V20" s="198"/>
      <c r="W20" s="198"/>
      <c r="X20" s="203"/>
      <c r="Y20" s="79"/>
      <c r="AC20" s="131"/>
      <c r="AE20" s="106"/>
    </row>
    <row r="21">
      <c r="A21" s="13" t="s">
        <v>25</v>
      </c>
      <c r="B21" s="14">
        <f>SUM(AC2:AC8)</f>
        <v>34207.8</v>
      </c>
      <c r="C21" s="79"/>
      <c r="D21" s="79"/>
      <c r="E21" s="78"/>
      <c r="F21" s="201"/>
      <c r="G21" s="262"/>
      <c r="H21" s="262"/>
      <c r="I21" s="203"/>
      <c r="J21" s="78"/>
      <c r="K21" s="203"/>
      <c r="L21" s="203"/>
      <c r="M21" s="201"/>
      <c r="N21" s="198"/>
      <c r="O21" s="203"/>
      <c r="P21" s="79"/>
      <c r="Q21" s="198"/>
      <c r="R21" s="198"/>
      <c r="S21" s="204"/>
      <c r="U21" s="198"/>
      <c r="V21" s="198"/>
      <c r="W21" s="198"/>
      <c r="X21" s="203"/>
      <c r="Y21" s="79"/>
      <c r="AC21" s="181"/>
      <c r="AE21" s="106"/>
    </row>
    <row r="22">
      <c r="A22" s="13" t="s">
        <v>26</v>
      </c>
      <c r="B22" s="15">
        <f>B18/B21</f>
        <v>0.2652906647</v>
      </c>
      <c r="C22" s="79"/>
      <c r="D22" s="79"/>
      <c r="E22" s="78"/>
      <c r="F22" s="204"/>
      <c r="G22" s="78"/>
      <c r="H22" s="144"/>
      <c r="I22" s="203"/>
      <c r="J22" s="79"/>
      <c r="K22" s="203"/>
      <c r="L22" s="203"/>
      <c r="M22" s="201"/>
      <c r="N22" s="203"/>
      <c r="O22" s="203"/>
      <c r="P22" s="79"/>
      <c r="Q22" s="198"/>
      <c r="R22" s="198"/>
      <c r="S22" s="204"/>
      <c r="U22" s="198"/>
      <c r="V22" s="198"/>
      <c r="W22" s="198"/>
      <c r="X22" s="203"/>
      <c r="Y22" s="79"/>
      <c r="AC22" s="130"/>
      <c r="AE22" s="106"/>
    </row>
    <row r="23">
      <c r="C23" s="79"/>
      <c r="D23" s="79"/>
      <c r="E23" s="78"/>
      <c r="F23" s="204"/>
      <c r="G23" s="78"/>
      <c r="H23" s="78"/>
      <c r="I23" s="78"/>
      <c r="J23" s="78"/>
      <c r="K23" s="203"/>
      <c r="L23" s="203"/>
      <c r="M23" s="198"/>
      <c r="N23" s="201"/>
      <c r="O23" s="198"/>
      <c r="P23" s="79"/>
      <c r="Q23" s="198"/>
      <c r="R23" s="198"/>
      <c r="S23" s="204"/>
      <c r="U23" s="198"/>
      <c r="V23" s="198"/>
      <c r="W23" s="198"/>
      <c r="X23" s="203"/>
      <c r="Y23" s="79"/>
      <c r="AC23" s="182"/>
      <c r="AE23" s="106"/>
    </row>
    <row r="24">
      <c r="C24" s="79"/>
      <c r="D24" s="79"/>
      <c r="E24" s="79"/>
      <c r="F24" s="204"/>
      <c r="G24" s="78"/>
      <c r="H24" s="78"/>
      <c r="I24" s="212"/>
      <c r="J24" s="263"/>
      <c r="K24" s="203"/>
      <c r="L24" s="203"/>
      <c r="M24" s="198"/>
      <c r="N24" s="201"/>
      <c r="O24" s="198"/>
      <c r="P24" s="79"/>
      <c r="Q24" s="198"/>
      <c r="R24" s="198"/>
      <c r="S24" s="204"/>
      <c r="U24" s="198"/>
      <c r="V24" s="198"/>
      <c r="W24" s="198"/>
      <c r="X24" s="203"/>
      <c r="Y24" s="79"/>
      <c r="AC24" s="130"/>
      <c r="AE24" s="106"/>
    </row>
    <row r="25">
      <c r="A25" s="16" t="s">
        <v>27</v>
      </c>
      <c r="B25" s="17"/>
      <c r="C25" s="114"/>
      <c r="D25" s="114"/>
      <c r="E25" s="115"/>
      <c r="F25" s="204"/>
      <c r="G25" s="78"/>
      <c r="H25" s="78"/>
      <c r="I25" s="78"/>
      <c r="J25" s="79"/>
      <c r="K25" s="203"/>
      <c r="L25" s="217"/>
      <c r="M25" s="208"/>
      <c r="N25" s="198"/>
      <c r="O25" s="200"/>
      <c r="P25" s="79"/>
      <c r="Q25" s="198"/>
      <c r="R25" s="198"/>
      <c r="S25" s="204"/>
      <c r="U25" s="198"/>
      <c r="V25" s="198"/>
      <c r="W25" s="198"/>
      <c r="X25" s="203"/>
      <c r="Y25" s="79"/>
      <c r="AC25" s="130"/>
      <c r="AE25" s="106"/>
    </row>
    <row r="26">
      <c r="A26" s="19" t="s">
        <v>28</v>
      </c>
      <c r="B26" s="20"/>
      <c r="C26" s="116"/>
      <c r="D26" s="116"/>
      <c r="E26" s="117"/>
      <c r="F26" s="204"/>
      <c r="G26" s="78"/>
      <c r="H26" s="78"/>
      <c r="I26" s="79"/>
      <c r="J26" s="79"/>
      <c r="K26" s="203"/>
      <c r="L26" s="203"/>
      <c r="M26" s="209"/>
      <c r="N26" s="201"/>
      <c r="O26" s="198"/>
      <c r="P26" s="79"/>
      <c r="Q26" s="198"/>
      <c r="R26" s="198"/>
      <c r="S26" s="204"/>
      <c r="U26" s="198"/>
      <c r="V26" s="198"/>
      <c r="W26" s="198"/>
      <c r="X26" s="203"/>
      <c r="Y26" s="79"/>
      <c r="AC26" s="130"/>
      <c r="AE26" s="106"/>
    </row>
    <row r="27">
      <c r="A27" s="183" t="s">
        <v>29</v>
      </c>
      <c r="B27" s="184" t="s">
        <v>30</v>
      </c>
      <c r="C27" s="183"/>
      <c r="D27" s="183" t="s">
        <v>170</v>
      </c>
      <c r="E27" s="219" t="s">
        <v>171</v>
      </c>
      <c r="F27" s="204"/>
      <c r="G27" s="79"/>
      <c r="H27" s="79"/>
      <c r="I27" s="79"/>
      <c r="J27" s="79"/>
      <c r="K27" s="203"/>
      <c r="L27" s="201"/>
      <c r="M27" s="209"/>
      <c r="N27" s="198"/>
      <c r="O27" s="198"/>
      <c r="P27" s="79"/>
      <c r="Q27" s="198"/>
      <c r="R27" s="198"/>
      <c r="S27" s="204"/>
      <c r="U27" s="198"/>
      <c r="V27" s="198"/>
      <c r="W27" s="198"/>
      <c r="X27" s="203"/>
      <c r="Y27" s="79"/>
      <c r="Z27" s="195"/>
      <c r="AC27" s="130"/>
      <c r="AE27" s="106"/>
    </row>
    <row r="28">
      <c r="A28" s="234" t="s">
        <v>451</v>
      </c>
      <c r="B28" s="339">
        <f>1348.79+1382.91</f>
        <v>2731.7</v>
      </c>
      <c r="C28" s="235"/>
      <c r="D28" s="235"/>
      <c r="E28" s="234"/>
      <c r="P28" s="79"/>
      <c r="Q28" s="79"/>
      <c r="R28" s="79"/>
      <c r="Y28" s="79"/>
      <c r="AC28" s="130"/>
      <c r="AE28" s="106"/>
    </row>
    <row r="29">
      <c r="A29" s="221" t="s">
        <v>444</v>
      </c>
      <c r="B29" s="341">
        <f>647.86-323.93</f>
        <v>323.93</v>
      </c>
      <c r="C29" s="223"/>
      <c r="D29" s="223"/>
      <c r="E29" s="223"/>
      <c r="P29" s="79"/>
      <c r="Q29" s="79"/>
      <c r="R29" s="79"/>
      <c r="Y29" s="79"/>
      <c r="AC29" s="130"/>
      <c r="AE29" s="106"/>
    </row>
    <row r="30">
      <c r="A30" s="221" t="s">
        <v>427</v>
      </c>
      <c r="B30" s="341">
        <v>463.28</v>
      </c>
      <c r="C30" s="223"/>
      <c r="D30" s="223"/>
      <c r="E30" s="223"/>
      <c r="P30" s="79"/>
      <c r="Q30" s="79"/>
      <c r="R30" s="79"/>
      <c r="Y30" s="79"/>
      <c r="AC30" s="130"/>
      <c r="AE30" s="106"/>
    </row>
    <row r="31">
      <c r="A31" s="221" t="s">
        <v>452</v>
      </c>
      <c r="B31" s="341">
        <v>366.0</v>
      </c>
      <c r="C31" s="223"/>
      <c r="D31" s="223"/>
      <c r="E31" s="223"/>
      <c r="P31" s="79"/>
      <c r="Q31" s="79"/>
      <c r="R31" s="79"/>
      <c r="Y31" s="79"/>
      <c r="AC31" s="130"/>
      <c r="AE31" s="106"/>
    </row>
    <row r="32">
      <c r="A32" s="173" t="s">
        <v>453</v>
      </c>
      <c r="B32" s="344">
        <v>663.43</v>
      </c>
      <c r="C32" s="241"/>
      <c r="D32" s="241"/>
      <c r="E32" s="241"/>
      <c r="P32" s="79"/>
      <c r="Q32" s="79"/>
      <c r="R32" s="79"/>
      <c r="Y32" s="79"/>
      <c r="AC32" s="130"/>
      <c r="AE32" s="106"/>
    </row>
    <row r="33">
      <c r="A33" s="173" t="s">
        <v>454</v>
      </c>
      <c r="B33" s="344">
        <v>266.0</v>
      </c>
      <c r="C33" s="241"/>
      <c r="D33" s="241"/>
      <c r="E33" s="241"/>
      <c r="P33" s="79"/>
      <c r="Q33" s="79"/>
      <c r="R33" s="79"/>
      <c r="Y33" s="79"/>
      <c r="AC33" s="130"/>
      <c r="AE33" s="106"/>
    </row>
    <row r="34">
      <c r="A34" s="173" t="s">
        <v>455</v>
      </c>
      <c r="B34" s="344">
        <v>353.43</v>
      </c>
      <c r="C34" s="241"/>
      <c r="D34" s="241"/>
      <c r="E34" s="241"/>
      <c r="P34" s="79"/>
      <c r="Q34" s="79"/>
      <c r="R34" s="79"/>
      <c r="Y34" s="79"/>
      <c r="AC34" s="130"/>
      <c r="AE34" s="106"/>
    </row>
    <row r="35">
      <c r="A35" s="173" t="s">
        <v>456</v>
      </c>
      <c r="B35" s="344">
        <v>680.9</v>
      </c>
      <c r="C35" s="241"/>
      <c r="D35" s="241"/>
      <c r="E35" s="241"/>
      <c r="P35" s="79"/>
      <c r="Q35" s="79"/>
      <c r="R35" s="79"/>
      <c r="Y35" s="79"/>
      <c r="AC35" s="130"/>
      <c r="AE35" s="106"/>
    </row>
    <row r="36">
      <c r="A36" s="173" t="s">
        <v>457</v>
      </c>
      <c r="B36" s="344">
        <f>300.76+151.49</f>
        <v>452.25</v>
      </c>
      <c r="C36" s="241"/>
      <c r="D36" s="241"/>
      <c r="E36" s="241"/>
      <c r="P36" s="79"/>
      <c r="Q36" s="79"/>
      <c r="R36" s="79"/>
      <c r="Y36" s="79"/>
      <c r="AC36" s="130"/>
      <c r="AE36" s="106"/>
    </row>
    <row r="37">
      <c r="C37" s="79"/>
      <c r="D37" s="79"/>
      <c r="E37" s="79"/>
      <c r="P37" s="79"/>
      <c r="Q37" s="79"/>
      <c r="R37" s="79"/>
      <c r="Y37" s="79"/>
      <c r="AC37" s="130"/>
      <c r="AE37" s="106"/>
    </row>
    <row r="38">
      <c r="A38" s="274"/>
      <c r="B38" s="275" t="s">
        <v>315</v>
      </c>
      <c r="F38" s="274"/>
      <c r="G38" s="274"/>
      <c r="H38" s="274"/>
      <c r="I38" s="274"/>
      <c r="J38" s="274"/>
      <c r="K38" s="274"/>
      <c r="L38" s="274"/>
      <c r="M38" s="274"/>
      <c r="N38" s="274"/>
      <c r="O38" s="274"/>
      <c r="P38" s="274"/>
      <c r="Q38" s="274"/>
      <c r="R38" s="274"/>
      <c r="S38" s="274"/>
      <c r="T38" s="274"/>
      <c r="U38" s="274"/>
      <c r="V38" s="274"/>
      <c r="W38" s="274"/>
      <c r="X38" s="274"/>
      <c r="Y38" s="274"/>
      <c r="Z38" s="274"/>
      <c r="AA38" s="274"/>
      <c r="AB38" s="274"/>
      <c r="AC38" s="276"/>
      <c r="AD38" s="274"/>
      <c r="AE38" s="277"/>
      <c r="AF38" s="274"/>
      <c r="AG38" s="274"/>
      <c r="AH38" s="274"/>
    </row>
    <row r="39">
      <c r="A39" s="16" t="s">
        <v>316</v>
      </c>
      <c r="B39" s="17"/>
      <c r="C39" s="114"/>
      <c r="D39" s="114"/>
      <c r="E39" s="115"/>
      <c r="P39" s="79"/>
      <c r="Q39" s="79"/>
      <c r="R39" s="79"/>
      <c r="Y39" s="79"/>
      <c r="AC39" s="130"/>
      <c r="AE39" s="106"/>
    </row>
    <row r="40">
      <c r="A40" s="19" t="s">
        <v>317</v>
      </c>
      <c r="B40" s="20"/>
      <c r="C40" s="116"/>
      <c r="D40" s="116"/>
      <c r="E40" s="117"/>
      <c r="P40" s="79"/>
      <c r="Q40" s="79"/>
      <c r="R40" s="79"/>
      <c r="Y40" s="79"/>
      <c r="AC40" s="130"/>
      <c r="AE40" s="106"/>
    </row>
    <row r="41">
      <c r="A41" s="278" t="s">
        <v>318</v>
      </c>
      <c r="B41" s="279" t="s">
        <v>319</v>
      </c>
      <c r="C41" s="280" t="s">
        <v>285</v>
      </c>
      <c r="D41" s="280" t="s">
        <v>30</v>
      </c>
      <c r="E41" s="281" t="s">
        <v>320</v>
      </c>
      <c r="F41" s="281" t="s">
        <v>321</v>
      </c>
      <c r="P41" s="79"/>
      <c r="Q41" s="79"/>
      <c r="R41" s="79"/>
      <c r="Y41" s="79"/>
      <c r="AC41" s="130"/>
      <c r="AE41" s="106"/>
    </row>
    <row r="42">
      <c r="A42" s="304" t="s">
        <v>399</v>
      </c>
      <c r="B42" s="305">
        <v>45440.0</v>
      </c>
      <c r="C42" s="234" t="s">
        <v>325</v>
      </c>
      <c r="D42" s="178">
        <v>1273.23</v>
      </c>
      <c r="E42" s="308">
        <v>45468.0</v>
      </c>
      <c r="F42" s="307">
        <f>D42/2</f>
        <v>636.615</v>
      </c>
      <c r="P42" s="79"/>
      <c r="Q42" s="79"/>
      <c r="R42" s="79"/>
      <c r="Y42" s="79"/>
      <c r="AC42" s="130"/>
      <c r="AE42" s="106"/>
    </row>
    <row r="43">
      <c r="A43" s="304" t="s">
        <v>413</v>
      </c>
      <c r="B43" s="305">
        <v>45447.0</v>
      </c>
      <c r="C43" s="234" t="s">
        <v>325</v>
      </c>
      <c r="D43" s="178">
        <v>1208.3</v>
      </c>
      <c r="E43" s="308">
        <v>45475.0</v>
      </c>
      <c r="F43" s="235"/>
      <c r="P43" s="79"/>
      <c r="Q43" s="79"/>
      <c r="R43" s="79"/>
      <c r="Y43" s="79"/>
      <c r="AC43" s="130"/>
      <c r="AE43" s="106"/>
    </row>
    <row r="44">
      <c r="A44" s="304" t="s">
        <v>421</v>
      </c>
      <c r="B44" s="305">
        <v>45454.0</v>
      </c>
      <c r="C44" s="234" t="s">
        <v>325</v>
      </c>
      <c r="D44" s="178">
        <v>1279.46</v>
      </c>
      <c r="E44" s="308">
        <v>45482.0</v>
      </c>
      <c r="F44" s="235"/>
      <c r="P44" s="79"/>
      <c r="Q44" s="79"/>
      <c r="R44" s="79"/>
      <c r="Y44" s="79"/>
      <c r="AC44" s="130"/>
      <c r="AE44" s="106"/>
    </row>
    <row r="45">
      <c r="A45" s="304" t="s">
        <v>432</v>
      </c>
      <c r="B45" s="305">
        <v>45461.0</v>
      </c>
      <c r="C45" s="234" t="s">
        <v>325</v>
      </c>
      <c r="D45" s="178">
        <v>1211.18</v>
      </c>
      <c r="E45" s="308">
        <v>45489.0</v>
      </c>
      <c r="F45" s="235"/>
      <c r="P45" s="79"/>
      <c r="Q45" s="79"/>
      <c r="R45" s="79"/>
      <c r="Y45" s="79"/>
      <c r="AC45" s="130"/>
      <c r="AE45" s="106"/>
    </row>
    <row r="46">
      <c r="A46" s="304" t="s">
        <v>447</v>
      </c>
      <c r="B46" s="305">
        <v>45468.0</v>
      </c>
      <c r="C46" s="234" t="s">
        <v>325</v>
      </c>
      <c r="D46" s="178">
        <v>1263.05</v>
      </c>
      <c r="E46" s="308">
        <v>45496.0</v>
      </c>
      <c r="F46" s="235"/>
      <c r="P46" s="79"/>
      <c r="Q46" s="79"/>
      <c r="R46" s="79"/>
      <c r="Y46" s="79"/>
      <c r="AC46" s="130"/>
      <c r="AE46" s="106"/>
    </row>
    <row r="47">
      <c r="A47" s="304" t="s">
        <v>458</v>
      </c>
      <c r="B47" s="305">
        <v>45475.0</v>
      </c>
      <c r="C47" s="234" t="s">
        <v>325</v>
      </c>
      <c r="D47" s="178">
        <v>1254.27</v>
      </c>
      <c r="E47" s="308"/>
      <c r="F47" s="235"/>
      <c r="P47" s="79"/>
      <c r="Q47" s="79"/>
      <c r="R47" s="79"/>
      <c r="Y47" s="79"/>
      <c r="AC47" s="130"/>
      <c r="AE47" s="106"/>
    </row>
    <row r="48">
      <c r="A48" s="352" t="s">
        <v>406</v>
      </c>
      <c r="B48" s="321">
        <v>45440.0</v>
      </c>
      <c r="C48" s="322" t="s">
        <v>111</v>
      </c>
      <c r="D48" s="323">
        <f>1160-580</f>
        <v>580</v>
      </c>
      <c r="E48" s="353" t="s">
        <v>459</v>
      </c>
      <c r="F48" s="6"/>
      <c r="P48" s="79"/>
      <c r="Q48" s="79"/>
      <c r="R48" s="79"/>
      <c r="Y48" s="79"/>
      <c r="AC48" s="130"/>
      <c r="AE48" s="106"/>
    </row>
    <row r="49">
      <c r="A49" s="282" t="s">
        <v>416</v>
      </c>
      <c r="B49" s="283">
        <v>45450.0</v>
      </c>
      <c r="C49" s="166" t="s">
        <v>379</v>
      </c>
      <c r="D49" s="93">
        <v>1419.79</v>
      </c>
      <c r="E49" s="291"/>
      <c r="F49" s="6"/>
      <c r="P49" s="79"/>
      <c r="Q49" s="79"/>
      <c r="R49" s="79"/>
      <c r="Y49" s="79"/>
      <c r="AC49" s="130"/>
      <c r="AE49" s="106"/>
    </row>
    <row r="50">
      <c r="A50" s="282" t="s">
        <v>433</v>
      </c>
      <c r="B50" s="283">
        <v>45461.0</v>
      </c>
      <c r="C50" s="166" t="s">
        <v>434</v>
      </c>
      <c r="D50" s="93">
        <v>458.28</v>
      </c>
      <c r="E50" s="337">
        <v>45483.0</v>
      </c>
      <c r="F50" s="6"/>
      <c r="P50" s="79"/>
      <c r="Q50" s="79"/>
      <c r="R50" s="79"/>
      <c r="Y50" s="79"/>
      <c r="AC50" s="130"/>
      <c r="AE50" s="106"/>
    </row>
    <row r="51">
      <c r="A51" s="282" t="s">
        <v>435</v>
      </c>
      <c r="B51" s="283">
        <v>45461.0</v>
      </c>
      <c r="C51" s="166" t="s">
        <v>379</v>
      </c>
      <c r="D51" s="93">
        <v>1455.7</v>
      </c>
      <c r="E51" s="337">
        <v>45496.0</v>
      </c>
      <c r="F51" s="6"/>
      <c r="P51" s="79"/>
      <c r="Q51" s="79"/>
      <c r="R51" s="79"/>
      <c r="Y51" s="79"/>
      <c r="AC51" s="130"/>
      <c r="AE51" s="106"/>
    </row>
    <row r="52">
      <c r="A52" s="282" t="s">
        <v>436</v>
      </c>
      <c r="B52" s="283">
        <v>45462.0</v>
      </c>
      <c r="C52" s="166" t="s">
        <v>437</v>
      </c>
      <c r="D52" s="93">
        <v>2341.92</v>
      </c>
      <c r="E52" s="291"/>
      <c r="F52" s="6"/>
      <c r="P52" s="79"/>
      <c r="Q52" s="79"/>
      <c r="R52" s="79"/>
      <c r="Y52" s="79"/>
      <c r="AC52" s="130"/>
      <c r="AE52" s="106"/>
    </row>
    <row r="53">
      <c r="A53" s="346" t="s">
        <v>438</v>
      </c>
      <c r="B53" s="347">
        <v>45464.0</v>
      </c>
      <c r="C53" s="329" t="s">
        <v>437</v>
      </c>
      <c r="D53" s="348">
        <v>1204.97</v>
      </c>
      <c r="E53" s="349"/>
      <c r="P53" s="79"/>
      <c r="Q53" s="79"/>
      <c r="R53" s="79"/>
      <c r="Y53" s="79"/>
      <c r="AC53" s="130"/>
      <c r="AE53" s="106"/>
    </row>
    <row r="54">
      <c r="A54" s="320" t="s">
        <v>439</v>
      </c>
      <c r="B54" s="321">
        <v>45464.0</v>
      </c>
      <c r="C54" s="322" t="s">
        <v>408</v>
      </c>
      <c r="D54" s="323">
        <v>250.0</v>
      </c>
      <c r="E54" s="353" t="s">
        <v>440</v>
      </c>
      <c r="F54" s="268">
        <f>D54/2</f>
        <v>125</v>
      </c>
      <c r="P54" s="79"/>
      <c r="Q54" s="79"/>
      <c r="R54" s="79"/>
      <c r="Y54" s="79"/>
      <c r="AC54" s="130"/>
      <c r="AE54" s="106"/>
    </row>
    <row r="55">
      <c r="A55" s="320" t="s">
        <v>441</v>
      </c>
      <c r="B55" s="321">
        <v>45465.0</v>
      </c>
      <c r="C55" s="322" t="s">
        <v>159</v>
      </c>
      <c r="D55" s="323">
        <v>218.23</v>
      </c>
      <c r="E55" s="354">
        <v>45474.0</v>
      </c>
      <c r="F55" s="355"/>
      <c r="P55" s="79"/>
      <c r="Q55" s="79"/>
      <c r="R55" s="79"/>
      <c r="Y55" s="79"/>
      <c r="AC55" s="130"/>
      <c r="AE55" s="106"/>
    </row>
    <row r="56">
      <c r="A56" s="282" t="s">
        <v>448</v>
      </c>
      <c r="B56" s="283">
        <v>45469.0</v>
      </c>
      <c r="C56" s="166" t="s">
        <v>408</v>
      </c>
      <c r="D56" s="93">
        <v>364.0</v>
      </c>
      <c r="E56" s="291" t="s">
        <v>359</v>
      </c>
      <c r="P56" s="79"/>
      <c r="Q56" s="79"/>
      <c r="R56" s="79"/>
      <c r="Y56" s="79"/>
      <c r="AC56" s="130"/>
      <c r="AE56" s="106"/>
    </row>
    <row r="57">
      <c r="A57" s="282" t="s">
        <v>449</v>
      </c>
      <c r="B57" s="283">
        <v>45469.0</v>
      </c>
      <c r="C57" s="166" t="s">
        <v>437</v>
      </c>
      <c r="D57" s="93">
        <v>2389.23</v>
      </c>
      <c r="E57" s="291"/>
      <c r="P57" s="79"/>
      <c r="Q57" s="79"/>
      <c r="R57" s="79"/>
      <c r="Y57" s="79"/>
      <c r="AC57" s="130"/>
      <c r="AE57" s="106"/>
    </row>
    <row r="58">
      <c r="A58" s="282" t="s">
        <v>450</v>
      </c>
      <c r="B58" s="283">
        <v>45469.0</v>
      </c>
      <c r="C58" s="166" t="s">
        <v>355</v>
      </c>
      <c r="D58" s="93">
        <v>647.86</v>
      </c>
      <c r="E58" s="337">
        <v>45483.0</v>
      </c>
      <c r="P58" s="79"/>
      <c r="Q58" s="79"/>
      <c r="R58" s="79"/>
      <c r="Y58" s="79"/>
      <c r="AC58" s="130"/>
      <c r="AE58" s="106"/>
    </row>
    <row r="59">
      <c r="A59" s="282" t="s">
        <v>460</v>
      </c>
      <c r="B59" s="283">
        <v>45477.0</v>
      </c>
      <c r="C59" s="166" t="s">
        <v>408</v>
      </c>
      <c r="D59" s="93">
        <v>266.0</v>
      </c>
      <c r="E59" s="291"/>
      <c r="P59" s="79"/>
      <c r="Q59" s="79"/>
      <c r="R59" s="79"/>
      <c r="Y59" s="79"/>
      <c r="AC59" s="130"/>
      <c r="AE59" s="106"/>
    </row>
    <row r="60">
      <c r="P60" s="79"/>
      <c r="Q60" s="79"/>
      <c r="R60" s="79"/>
      <c r="Y60" s="79"/>
      <c r="AC60" s="130"/>
      <c r="AE60" s="106"/>
    </row>
    <row r="61">
      <c r="A61" s="282"/>
      <c r="B61" s="283"/>
      <c r="C61" s="166"/>
      <c r="D61" s="93"/>
      <c r="E61" s="291"/>
      <c r="P61" s="79"/>
      <c r="Q61" s="79"/>
      <c r="R61" s="79"/>
      <c r="Y61" s="79"/>
      <c r="AC61" s="130"/>
      <c r="AE61" s="106"/>
    </row>
    <row r="62">
      <c r="A62" s="282"/>
      <c r="B62" s="283"/>
      <c r="C62" s="166"/>
      <c r="D62" s="93"/>
      <c r="E62" s="291"/>
      <c r="P62" s="79"/>
      <c r="Q62" s="79"/>
      <c r="R62" s="79"/>
      <c r="Y62" s="79"/>
      <c r="AC62" s="130"/>
      <c r="AE62" s="106"/>
    </row>
    <row r="63">
      <c r="A63" s="356" t="s">
        <v>450</v>
      </c>
      <c r="B63" s="357">
        <v>45469.0</v>
      </c>
      <c r="C63" s="46" t="s">
        <v>355</v>
      </c>
      <c r="D63" s="44">
        <v>647.86</v>
      </c>
      <c r="E63" s="358" t="s">
        <v>461</v>
      </c>
      <c r="F63" s="139">
        <f>D63/2</f>
        <v>323.93</v>
      </c>
      <c r="P63" s="79"/>
      <c r="Q63" s="79"/>
      <c r="R63" s="79"/>
      <c r="Y63" s="79"/>
      <c r="AC63" s="130"/>
      <c r="AE63" s="106"/>
    </row>
    <row r="64">
      <c r="A64" s="356" t="s">
        <v>462</v>
      </c>
      <c r="B64" s="357">
        <v>45469.0</v>
      </c>
      <c r="C64" s="46" t="s">
        <v>463</v>
      </c>
      <c r="D64" s="44">
        <v>334.71</v>
      </c>
      <c r="E64" s="359">
        <v>45467.0</v>
      </c>
      <c r="F64" s="53"/>
      <c r="P64" s="79"/>
      <c r="Q64" s="79"/>
      <c r="R64" s="79"/>
      <c r="Y64" s="79"/>
      <c r="AC64" s="130"/>
      <c r="AE64" s="106"/>
    </row>
    <row r="65">
      <c r="A65" s="356" t="s">
        <v>464</v>
      </c>
      <c r="B65" s="357">
        <v>45440.0</v>
      </c>
      <c r="C65" s="46" t="s">
        <v>111</v>
      </c>
      <c r="D65" s="44">
        <v>1160.0</v>
      </c>
      <c r="E65" s="360" t="s">
        <v>465</v>
      </c>
      <c r="F65" s="53"/>
      <c r="P65" s="79"/>
      <c r="Q65" s="79"/>
      <c r="R65" s="79"/>
      <c r="Y65" s="79"/>
      <c r="AC65" s="130"/>
      <c r="AE65" s="106"/>
    </row>
    <row r="66">
      <c r="A66" s="356">
        <v>562116.0</v>
      </c>
      <c r="B66" s="357">
        <v>45464.0</v>
      </c>
      <c r="C66" s="46" t="s">
        <v>37</v>
      </c>
      <c r="D66" s="44">
        <v>250.0</v>
      </c>
      <c r="E66" s="360" t="s">
        <v>465</v>
      </c>
      <c r="F66" s="139">
        <f>D66/2</f>
        <v>125</v>
      </c>
      <c r="P66" s="79"/>
      <c r="Q66" s="79"/>
      <c r="R66" s="79"/>
      <c r="Y66" s="79"/>
      <c r="AC66" s="130"/>
      <c r="AE66" s="106"/>
    </row>
    <row r="67">
      <c r="A67" s="356"/>
      <c r="B67" s="357"/>
      <c r="C67" s="46"/>
      <c r="D67" s="44"/>
      <c r="E67" s="360"/>
      <c r="F67" s="53"/>
      <c r="P67" s="79"/>
      <c r="Q67" s="79"/>
      <c r="R67" s="79"/>
      <c r="Y67" s="79"/>
      <c r="AC67" s="130"/>
      <c r="AE67" s="106"/>
    </row>
    <row r="68">
      <c r="C68" s="79"/>
      <c r="D68" s="79"/>
      <c r="E68" s="79"/>
      <c r="P68" s="79"/>
      <c r="Q68" s="79"/>
      <c r="R68" s="79"/>
      <c r="Y68" s="79"/>
      <c r="AC68" s="130"/>
      <c r="AE68" s="106"/>
    </row>
    <row r="69">
      <c r="C69" s="79"/>
      <c r="D69" s="79"/>
      <c r="E69" s="79"/>
      <c r="P69" s="79"/>
      <c r="Q69" s="79"/>
      <c r="R69" s="79"/>
      <c r="Y69" s="79"/>
      <c r="AC69" s="130"/>
      <c r="AE69" s="106"/>
    </row>
    <row r="70">
      <c r="C70" s="79"/>
      <c r="D70" s="79"/>
      <c r="E70" s="79"/>
      <c r="P70" s="79"/>
      <c r="Q70" s="79"/>
      <c r="R70" s="79"/>
      <c r="Y70" s="79"/>
      <c r="AC70" s="130"/>
      <c r="AE70" s="106"/>
    </row>
    <row r="71">
      <c r="C71" s="79"/>
      <c r="D71" s="79"/>
      <c r="E71" s="79"/>
      <c r="P71" s="79"/>
      <c r="Q71" s="79"/>
      <c r="R71" s="79"/>
      <c r="Y71" s="79"/>
      <c r="AC71" s="130"/>
      <c r="AE71" s="106"/>
    </row>
    <row r="72">
      <c r="C72" s="79"/>
      <c r="D72" s="79"/>
      <c r="E72" s="79"/>
      <c r="P72" s="79"/>
      <c r="Q72" s="79"/>
      <c r="R72" s="79"/>
      <c r="Y72" s="79"/>
      <c r="AC72" s="130"/>
      <c r="AE72" s="106"/>
    </row>
    <row r="73">
      <c r="C73" s="79"/>
      <c r="D73" s="79"/>
      <c r="E73" s="79"/>
      <c r="P73" s="79"/>
      <c r="Q73" s="79"/>
      <c r="R73" s="79"/>
      <c r="Y73" s="79"/>
      <c r="AC73" s="130"/>
      <c r="AE73" s="106"/>
    </row>
    <row r="74">
      <c r="C74" s="79"/>
      <c r="D74" s="79"/>
      <c r="E74" s="79"/>
      <c r="P74" s="79"/>
      <c r="Q74" s="79"/>
      <c r="R74" s="79"/>
      <c r="Y74" s="79"/>
      <c r="AC74" s="130"/>
      <c r="AE74" s="106"/>
    </row>
    <row r="75">
      <c r="C75" s="79"/>
      <c r="D75" s="79"/>
      <c r="E75" s="79"/>
      <c r="P75" s="79"/>
      <c r="Q75" s="79"/>
      <c r="R75" s="79"/>
      <c r="Y75" s="79"/>
      <c r="AC75" s="130"/>
      <c r="AE75" s="106"/>
    </row>
    <row r="76">
      <c r="C76" s="79"/>
      <c r="D76" s="79"/>
      <c r="E76" s="79"/>
      <c r="P76" s="79"/>
      <c r="Q76" s="79"/>
      <c r="R76" s="79"/>
      <c r="Y76" s="79"/>
      <c r="AC76" s="130"/>
      <c r="AE76" s="106"/>
    </row>
    <row r="77">
      <c r="C77" s="79"/>
      <c r="D77" s="79"/>
      <c r="E77" s="79"/>
      <c r="P77" s="79"/>
      <c r="Q77" s="79"/>
      <c r="R77" s="79"/>
      <c r="Y77" s="79"/>
      <c r="AC77" s="130"/>
      <c r="AE77" s="106"/>
    </row>
    <row r="78">
      <c r="C78" s="79"/>
      <c r="D78" s="79"/>
      <c r="E78" s="79"/>
      <c r="P78" s="79"/>
      <c r="Q78" s="79"/>
      <c r="R78" s="79"/>
      <c r="Y78" s="79"/>
      <c r="AC78" s="130"/>
      <c r="AE78" s="106"/>
    </row>
    <row r="79">
      <c r="C79" s="79"/>
      <c r="D79" s="79"/>
      <c r="E79" s="79"/>
      <c r="P79" s="79"/>
      <c r="Q79" s="79"/>
      <c r="R79" s="79"/>
      <c r="Y79" s="79"/>
      <c r="AC79" s="130"/>
      <c r="AE79" s="106"/>
    </row>
    <row r="80">
      <c r="C80" s="79"/>
      <c r="D80" s="79"/>
      <c r="E80" s="79"/>
      <c r="P80" s="79"/>
      <c r="Q80" s="79"/>
      <c r="R80" s="79"/>
      <c r="Y80" s="79"/>
      <c r="AC80" s="130"/>
      <c r="AE80" s="106"/>
    </row>
    <row r="81">
      <c r="C81" s="79"/>
      <c r="D81" s="79"/>
      <c r="E81" s="79"/>
      <c r="P81" s="79"/>
      <c r="Q81" s="79"/>
      <c r="R81" s="79"/>
      <c r="Y81" s="79"/>
      <c r="AC81" s="130"/>
      <c r="AE81" s="106"/>
    </row>
    <row r="82">
      <c r="C82" s="79"/>
      <c r="D82" s="79"/>
      <c r="E82" s="79"/>
      <c r="P82" s="79"/>
      <c r="Q82" s="79"/>
      <c r="R82" s="79"/>
      <c r="Y82" s="79"/>
      <c r="AC82" s="130"/>
      <c r="AE82" s="106"/>
    </row>
    <row r="83">
      <c r="C83" s="79"/>
      <c r="D83" s="79"/>
      <c r="E83" s="79"/>
      <c r="P83" s="79"/>
      <c r="Q83" s="79"/>
      <c r="R83" s="79"/>
      <c r="Y83" s="79"/>
      <c r="AC83" s="130"/>
      <c r="AE83" s="106"/>
    </row>
    <row r="84">
      <c r="C84" s="79"/>
      <c r="D84" s="79"/>
      <c r="E84" s="79"/>
      <c r="P84" s="79"/>
      <c r="Q84" s="79"/>
      <c r="R84" s="79"/>
      <c r="Y84" s="79"/>
      <c r="AC84" s="130"/>
      <c r="AE84" s="106"/>
    </row>
    <row r="85">
      <c r="C85" s="79"/>
      <c r="D85" s="79"/>
      <c r="E85" s="79"/>
      <c r="P85" s="79"/>
      <c r="Q85" s="79"/>
      <c r="R85" s="79"/>
      <c r="Y85" s="79"/>
      <c r="AC85" s="130"/>
      <c r="AE85" s="106"/>
    </row>
    <row r="86">
      <c r="C86" s="79"/>
      <c r="D86" s="79"/>
      <c r="E86" s="79"/>
      <c r="P86" s="79"/>
      <c r="Q86" s="79"/>
      <c r="R86" s="79"/>
      <c r="Y86" s="79"/>
      <c r="AC86" s="130"/>
      <c r="AE86" s="106"/>
    </row>
    <row r="87">
      <c r="C87" s="79"/>
      <c r="D87" s="79"/>
      <c r="E87" s="79"/>
      <c r="P87" s="79"/>
      <c r="Q87" s="79"/>
      <c r="R87" s="79"/>
      <c r="Y87" s="79"/>
      <c r="AC87" s="130"/>
      <c r="AE87" s="106"/>
    </row>
    <row r="88">
      <c r="C88" s="79"/>
      <c r="D88" s="79"/>
      <c r="E88" s="79"/>
      <c r="P88" s="79"/>
      <c r="Q88" s="79"/>
      <c r="R88" s="79"/>
      <c r="Y88" s="79"/>
      <c r="AC88" s="130"/>
      <c r="AE88" s="106"/>
    </row>
    <row r="89">
      <c r="C89" s="79"/>
      <c r="D89" s="79"/>
      <c r="E89" s="79"/>
      <c r="P89" s="79"/>
      <c r="Q89" s="79"/>
      <c r="R89" s="79"/>
      <c r="Y89" s="79"/>
      <c r="AC89" s="130"/>
      <c r="AE89" s="106"/>
    </row>
    <row r="90">
      <c r="C90" s="79"/>
      <c r="D90" s="79"/>
      <c r="E90" s="79"/>
      <c r="P90" s="79"/>
      <c r="Q90" s="79"/>
      <c r="R90" s="79"/>
      <c r="Y90" s="79"/>
      <c r="AC90" s="130"/>
      <c r="AE90" s="106"/>
    </row>
    <row r="91">
      <c r="C91" s="79"/>
      <c r="D91" s="79"/>
      <c r="E91" s="79"/>
      <c r="P91" s="79"/>
      <c r="Q91" s="79"/>
      <c r="R91" s="79"/>
      <c r="Y91" s="79"/>
      <c r="AC91" s="130"/>
      <c r="AE91" s="106"/>
    </row>
    <row r="92">
      <c r="C92" s="79"/>
      <c r="D92" s="79"/>
      <c r="E92" s="79"/>
      <c r="P92" s="79"/>
      <c r="Q92" s="79"/>
      <c r="R92" s="79"/>
      <c r="Y92" s="79"/>
      <c r="AC92" s="130"/>
      <c r="AE92" s="106"/>
    </row>
    <row r="93">
      <c r="C93" s="79"/>
      <c r="D93" s="79"/>
      <c r="E93" s="79"/>
      <c r="P93" s="79"/>
      <c r="Q93" s="79"/>
      <c r="R93" s="79"/>
      <c r="Y93" s="79"/>
      <c r="AC93" s="130"/>
      <c r="AE93" s="106"/>
    </row>
    <row r="94">
      <c r="C94" s="79"/>
      <c r="D94" s="79"/>
      <c r="E94" s="79"/>
      <c r="P94" s="79"/>
      <c r="Q94" s="79"/>
      <c r="R94" s="79"/>
      <c r="Y94" s="79"/>
      <c r="AC94" s="130"/>
      <c r="AE94" s="106"/>
    </row>
    <row r="95">
      <c r="C95" s="79"/>
      <c r="D95" s="79"/>
      <c r="E95" s="79"/>
      <c r="P95" s="79"/>
      <c r="Q95" s="79"/>
      <c r="R95" s="79"/>
      <c r="Y95" s="79"/>
      <c r="AC95" s="130"/>
      <c r="AE95" s="106"/>
    </row>
    <row r="96">
      <c r="C96" s="79"/>
      <c r="D96" s="79"/>
      <c r="E96" s="79"/>
      <c r="P96" s="79"/>
      <c r="Q96" s="79"/>
      <c r="R96" s="79"/>
      <c r="Y96" s="79"/>
      <c r="AC96" s="130"/>
      <c r="AE96" s="106"/>
    </row>
    <row r="97">
      <c r="C97" s="79"/>
      <c r="D97" s="79"/>
      <c r="E97" s="79"/>
      <c r="P97" s="79"/>
      <c r="Q97" s="79"/>
      <c r="R97" s="79"/>
      <c r="Y97" s="79"/>
      <c r="AC97" s="130"/>
      <c r="AE97" s="106"/>
    </row>
    <row r="98">
      <c r="C98" s="79"/>
      <c r="D98" s="79"/>
      <c r="E98" s="79"/>
      <c r="P98" s="79"/>
      <c r="Q98" s="79"/>
      <c r="R98" s="79"/>
      <c r="Y98" s="79"/>
      <c r="AC98" s="130"/>
      <c r="AE98" s="106"/>
    </row>
    <row r="99">
      <c r="C99" s="79"/>
      <c r="D99" s="79"/>
      <c r="E99" s="79"/>
      <c r="P99" s="79"/>
      <c r="Q99" s="79"/>
      <c r="R99" s="79"/>
      <c r="Y99" s="79"/>
      <c r="AC99" s="130"/>
      <c r="AE99" s="106"/>
    </row>
    <row r="100">
      <c r="C100" s="79"/>
      <c r="D100" s="79"/>
      <c r="E100" s="79"/>
      <c r="P100" s="79"/>
      <c r="Q100" s="79"/>
      <c r="R100" s="79"/>
      <c r="Y100" s="79"/>
      <c r="AC100" s="130"/>
      <c r="AE100" s="106"/>
    </row>
    <row r="101">
      <c r="C101" s="79"/>
      <c r="D101" s="79"/>
      <c r="E101" s="79"/>
      <c r="P101" s="79"/>
      <c r="Q101" s="79"/>
      <c r="R101" s="79"/>
      <c r="Y101" s="79"/>
      <c r="AC101" s="130"/>
      <c r="AE101" s="106"/>
    </row>
    <row r="102">
      <c r="C102" s="79"/>
      <c r="D102" s="79"/>
      <c r="E102" s="79"/>
      <c r="P102" s="79"/>
      <c r="Q102" s="79"/>
      <c r="R102" s="79"/>
      <c r="Y102" s="79"/>
      <c r="AC102" s="130"/>
      <c r="AE102" s="106"/>
    </row>
    <row r="103">
      <c r="C103" s="79"/>
      <c r="D103" s="79"/>
      <c r="E103" s="79"/>
      <c r="P103" s="79"/>
      <c r="Q103" s="79"/>
      <c r="R103" s="79"/>
      <c r="Y103" s="79"/>
      <c r="AC103" s="130"/>
      <c r="AE103" s="106"/>
    </row>
    <row r="104">
      <c r="C104" s="79"/>
      <c r="D104" s="79"/>
      <c r="E104" s="79"/>
      <c r="P104" s="79"/>
      <c r="Q104" s="79"/>
      <c r="R104" s="79"/>
      <c r="Y104" s="79"/>
      <c r="AC104" s="130"/>
      <c r="AE104" s="106"/>
    </row>
    <row r="105">
      <c r="C105" s="79"/>
      <c r="D105" s="79"/>
      <c r="E105" s="79"/>
      <c r="P105" s="79"/>
      <c r="Q105" s="79"/>
      <c r="R105" s="79"/>
      <c r="Y105" s="79"/>
      <c r="AC105" s="130"/>
      <c r="AE105" s="106"/>
    </row>
    <row r="106">
      <c r="C106" s="79"/>
      <c r="D106" s="79"/>
      <c r="E106" s="79"/>
      <c r="P106" s="79"/>
      <c r="Q106" s="79"/>
      <c r="R106" s="79"/>
      <c r="Y106" s="79"/>
      <c r="AC106" s="130"/>
      <c r="AE106" s="106"/>
    </row>
    <row r="107">
      <c r="C107" s="79"/>
      <c r="D107" s="79"/>
      <c r="E107" s="79"/>
      <c r="P107" s="79"/>
      <c r="Q107" s="79"/>
      <c r="R107" s="79"/>
      <c r="Y107" s="79"/>
      <c r="AC107" s="130"/>
      <c r="AE107" s="106"/>
    </row>
    <row r="108">
      <c r="C108" s="79"/>
      <c r="D108" s="79"/>
      <c r="E108" s="79"/>
      <c r="P108" s="79"/>
      <c r="Q108" s="79"/>
      <c r="R108" s="79"/>
      <c r="Y108" s="79"/>
      <c r="AC108" s="130"/>
      <c r="AE108" s="106"/>
    </row>
    <row r="109">
      <c r="C109" s="79"/>
      <c r="D109" s="79"/>
      <c r="E109" s="79"/>
      <c r="P109" s="79"/>
      <c r="Q109" s="79"/>
      <c r="R109" s="79"/>
      <c r="Y109" s="79"/>
      <c r="AC109" s="130"/>
      <c r="AE109" s="106"/>
    </row>
    <row r="110">
      <c r="C110" s="79"/>
      <c r="D110" s="79"/>
      <c r="E110" s="79"/>
      <c r="P110" s="79"/>
      <c r="Q110" s="79"/>
      <c r="R110" s="79"/>
      <c r="Y110" s="79"/>
      <c r="AC110" s="130"/>
      <c r="AE110" s="106"/>
    </row>
    <row r="111">
      <c r="C111" s="79"/>
      <c r="D111" s="79"/>
      <c r="E111" s="79"/>
      <c r="P111" s="79"/>
      <c r="Q111" s="79"/>
      <c r="R111" s="79"/>
      <c r="Y111" s="79"/>
      <c r="AC111" s="130"/>
      <c r="AE111" s="106"/>
    </row>
    <row r="112">
      <c r="C112" s="79"/>
      <c r="D112" s="79"/>
      <c r="E112" s="79"/>
      <c r="P112" s="79"/>
      <c r="Q112" s="79"/>
      <c r="R112" s="79"/>
      <c r="Y112" s="79"/>
      <c r="AC112" s="130"/>
      <c r="AE112" s="106"/>
    </row>
    <row r="113">
      <c r="C113" s="79"/>
      <c r="D113" s="79"/>
      <c r="E113" s="79"/>
      <c r="P113" s="79"/>
      <c r="Q113" s="79"/>
      <c r="R113" s="79"/>
      <c r="Y113" s="79"/>
      <c r="AC113" s="130"/>
      <c r="AE113" s="106"/>
    </row>
    <row r="114">
      <c r="C114" s="79"/>
      <c r="D114" s="79"/>
      <c r="E114" s="79"/>
      <c r="P114" s="79"/>
      <c r="Q114" s="79"/>
      <c r="R114" s="79"/>
      <c r="Y114" s="79"/>
      <c r="AC114" s="130"/>
      <c r="AE114" s="106"/>
    </row>
    <row r="115">
      <c r="C115" s="79"/>
      <c r="D115" s="79"/>
      <c r="E115" s="79"/>
      <c r="P115" s="79"/>
      <c r="Q115" s="79"/>
      <c r="R115" s="79"/>
      <c r="Y115" s="79"/>
      <c r="AC115" s="130"/>
      <c r="AE115" s="106"/>
    </row>
    <row r="116">
      <c r="C116" s="79"/>
      <c r="D116" s="79"/>
      <c r="E116" s="79"/>
      <c r="P116" s="79"/>
      <c r="Q116" s="79"/>
      <c r="R116" s="79"/>
      <c r="Y116" s="79"/>
      <c r="AC116" s="130"/>
      <c r="AE116" s="106"/>
    </row>
    <row r="117">
      <c r="C117" s="79"/>
      <c r="D117" s="79"/>
      <c r="E117" s="79"/>
      <c r="P117" s="79"/>
      <c r="Q117" s="79"/>
      <c r="R117" s="79"/>
      <c r="Y117" s="79"/>
      <c r="AC117" s="130"/>
      <c r="AE117" s="106"/>
    </row>
    <row r="118">
      <c r="C118" s="79"/>
      <c r="D118" s="79"/>
      <c r="E118" s="79"/>
      <c r="P118" s="79"/>
      <c r="Q118" s="79"/>
      <c r="R118" s="79"/>
      <c r="Y118" s="79"/>
      <c r="AC118" s="130"/>
      <c r="AE118" s="106"/>
    </row>
    <row r="119">
      <c r="C119" s="79"/>
      <c r="D119" s="79"/>
      <c r="E119" s="79"/>
      <c r="P119" s="79"/>
      <c r="Q119" s="79"/>
      <c r="R119" s="79"/>
      <c r="Y119" s="79"/>
      <c r="AC119" s="130"/>
      <c r="AE119" s="106"/>
    </row>
    <row r="120">
      <c r="C120" s="79"/>
      <c r="D120" s="79"/>
      <c r="E120" s="79"/>
      <c r="P120" s="79"/>
      <c r="Q120" s="79"/>
      <c r="R120" s="79"/>
      <c r="Y120" s="79"/>
      <c r="AC120" s="130"/>
      <c r="AE120" s="106"/>
    </row>
    <row r="121">
      <c r="C121" s="79"/>
      <c r="D121" s="79"/>
      <c r="E121" s="79"/>
      <c r="P121" s="79"/>
      <c r="Q121" s="79"/>
      <c r="R121" s="79"/>
      <c r="Y121" s="79"/>
      <c r="AC121" s="130"/>
      <c r="AE121" s="106"/>
    </row>
    <row r="122">
      <c r="C122" s="79"/>
      <c r="D122" s="79"/>
      <c r="E122" s="79"/>
      <c r="P122" s="79"/>
      <c r="Q122" s="79"/>
      <c r="R122" s="79"/>
      <c r="Y122" s="79"/>
      <c r="AC122" s="130"/>
      <c r="AE122" s="106"/>
    </row>
    <row r="123">
      <c r="C123" s="79"/>
      <c r="D123" s="79"/>
      <c r="E123" s="79"/>
      <c r="P123" s="79"/>
      <c r="Q123" s="79"/>
      <c r="R123" s="79"/>
      <c r="Y123" s="79"/>
      <c r="AC123" s="130"/>
      <c r="AE123" s="106"/>
    </row>
    <row r="124">
      <c r="C124" s="79"/>
      <c r="D124" s="79"/>
      <c r="E124" s="79"/>
      <c r="P124" s="79"/>
      <c r="Q124" s="79"/>
      <c r="R124" s="79"/>
      <c r="Y124" s="79"/>
      <c r="AC124" s="130"/>
      <c r="AE124" s="106"/>
    </row>
    <row r="125">
      <c r="C125" s="79"/>
      <c r="D125" s="79"/>
      <c r="E125" s="79"/>
      <c r="P125" s="79"/>
      <c r="Q125" s="79"/>
      <c r="R125" s="79"/>
      <c r="Y125" s="79"/>
      <c r="AC125" s="130"/>
      <c r="AE125" s="106"/>
    </row>
    <row r="126">
      <c r="C126" s="79"/>
      <c r="D126" s="79"/>
      <c r="E126" s="79"/>
      <c r="P126" s="79"/>
      <c r="Q126" s="79"/>
      <c r="R126" s="79"/>
      <c r="Y126" s="79"/>
      <c r="AC126" s="130"/>
      <c r="AE126" s="106"/>
    </row>
    <row r="127">
      <c r="C127" s="79"/>
      <c r="D127" s="79"/>
      <c r="E127" s="79"/>
      <c r="P127" s="79"/>
      <c r="Q127" s="79"/>
      <c r="R127" s="79"/>
      <c r="Y127" s="79"/>
      <c r="AC127" s="130"/>
      <c r="AE127" s="106"/>
    </row>
    <row r="128">
      <c r="C128" s="79"/>
      <c r="D128" s="79"/>
      <c r="E128" s="79"/>
      <c r="P128" s="79"/>
      <c r="Q128" s="79"/>
      <c r="R128" s="79"/>
      <c r="Y128" s="79"/>
      <c r="AC128" s="130"/>
      <c r="AE128" s="106"/>
    </row>
    <row r="129">
      <c r="C129" s="79"/>
      <c r="D129" s="79"/>
      <c r="E129" s="79"/>
      <c r="P129" s="79"/>
      <c r="Q129" s="79"/>
      <c r="R129" s="79"/>
      <c r="Y129" s="79"/>
      <c r="AC129" s="130"/>
      <c r="AE129" s="106"/>
    </row>
    <row r="130">
      <c r="C130" s="79"/>
      <c r="D130" s="79"/>
      <c r="E130" s="79"/>
      <c r="P130" s="79"/>
      <c r="Q130" s="79"/>
      <c r="R130" s="79"/>
      <c r="Y130" s="79"/>
      <c r="AC130" s="130"/>
      <c r="AE130" s="106"/>
    </row>
    <row r="131">
      <c r="C131" s="79"/>
      <c r="D131" s="79"/>
      <c r="E131" s="79"/>
      <c r="P131" s="79"/>
      <c r="Q131" s="79"/>
      <c r="R131" s="79"/>
      <c r="Y131" s="79"/>
      <c r="AC131" s="130"/>
      <c r="AE131" s="106"/>
    </row>
    <row r="132">
      <c r="C132" s="79"/>
      <c r="D132" s="79"/>
      <c r="E132" s="79"/>
      <c r="P132" s="79"/>
      <c r="Q132" s="79"/>
      <c r="R132" s="79"/>
      <c r="Y132" s="79"/>
      <c r="AC132" s="130"/>
      <c r="AE132" s="106"/>
    </row>
    <row r="133">
      <c r="C133" s="79"/>
      <c r="D133" s="79"/>
      <c r="E133" s="79"/>
      <c r="P133" s="79"/>
      <c r="Q133" s="79"/>
      <c r="R133" s="79"/>
      <c r="Y133" s="79"/>
      <c r="AC133" s="130"/>
      <c r="AE133" s="106"/>
    </row>
    <row r="134">
      <c r="C134" s="79"/>
      <c r="D134" s="79"/>
      <c r="E134" s="79"/>
      <c r="P134" s="79"/>
      <c r="Q134" s="79"/>
      <c r="R134" s="79"/>
      <c r="Y134" s="79"/>
      <c r="AC134" s="130"/>
      <c r="AE134" s="106"/>
    </row>
    <row r="135">
      <c r="C135" s="79"/>
      <c r="D135" s="79"/>
      <c r="E135" s="79"/>
      <c r="P135" s="79"/>
      <c r="Q135" s="79"/>
      <c r="R135" s="79"/>
      <c r="Y135" s="79"/>
      <c r="AC135" s="130"/>
      <c r="AE135" s="106"/>
    </row>
    <row r="136">
      <c r="C136" s="79"/>
      <c r="D136" s="79"/>
      <c r="E136" s="79"/>
      <c r="P136" s="79"/>
      <c r="Q136" s="79"/>
      <c r="R136" s="79"/>
      <c r="Y136" s="79"/>
      <c r="AC136" s="130"/>
      <c r="AE136" s="106"/>
    </row>
    <row r="137">
      <c r="C137" s="79"/>
      <c r="D137" s="79"/>
      <c r="E137" s="79"/>
      <c r="P137" s="79"/>
      <c r="Q137" s="79"/>
      <c r="R137" s="79"/>
      <c r="Y137" s="79"/>
      <c r="AC137" s="130"/>
      <c r="AE137" s="106"/>
    </row>
    <row r="138">
      <c r="C138" s="79"/>
      <c r="D138" s="79"/>
      <c r="E138" s="79"/>
      <c r="P138" s="79"/>
      <c r="Q138" s="79"/>
      <c r="R138" s="79"/>
      <c r="Y138" s="79"/>
      <c r="AC138" s="130"/>
      <c r="AE138" s="106"/>
    </row>
    <row r="139">
      <c r="C139" s="79"/>
      <c r="D139" s="79"/>
      <c r="E139" s="79"/>
      <c r="P139" s="79"/>
      <c r="Q139" s="79"/>
      <c r="R139" s="79"/>
      <c r="Y139" s="79"/>
      <c r="AC139" s="130"/>
      <c r="AE139" s="106"/>
    </row>
    <row r="140">
      <c r="C140" s="79"/>
      <c r="D140" s="79"/>
      <c r="E140" s="79"/>
      <c r="P140" s="79"/>
      <c r="Q140" s="79"/>
      <c r="R140" s="79"/>
      <c r="Y140" s="79"/>
      <c r="AC140" s="130"/>
      <c r="AE140" s="106"/>
    </row>
    <row r="141">
      <c r="C141" s="79"/>
      <c r="D141" s="79"/>
      <c r="E141" s="79"/>
      <c r="P141" s="79"/>
      <c r="Q141" s="79"/>
      <c r="R141" s="79"/>
      <c r="Y141" s="79"/>
      <c r="AC141" s="130"/>
      <c r="AE141" s="106"/>
    </row>
    <row r="142">
      <c r="C142" s="79"/>
      <c r="D142" s="79"/>
      <c r="E142" s="79"/>
      <c r="P142" s="79"/>
      <c r="Q142" s="79"/>
      <c r="R142" s="79"/>
      <c r="Y142" s="79"/>
      <c r="AC142" s="130"/>
      <c r="AE142" s="106"/>
    </row>
    <row r="143">
      <c r="C143" s="79"/>
      <c r="D143" s="79"/>
      <c r="E143" s="79"/>
      <c r="P143" s="79"/>
      <c r="Q143" s="79"/>
      <c r="R143" s="79"/>
      <c r="Y143" s="79"/>
      <c r="AC143" s="130"/>
      <c r="AE143" s="106"/>
    </row>
    <row r="144">
      <c r="C144" s="79"/>
      <c r="D144" s="79"/>
      <c r="E144" s="79"/>
      <c r="P144" s="79"/>
      <c r="Q144" s="79"/>
      <c r="R144" s="79"/>
      <c r="Y144" s="79"/>
      <c r="AC144" s="130"/>
      <c r="AE144" s="106"/>
    </row>
    <row r="145">
      <c r="C145" s="79"/>
      <c r="D145" s="79"/>
      <c r="E145" s="79"/>
      <c r="P145" s="79"/>
      <c r="Q145" s="79"/>
      <c r="R145" s="79"/>
      <c r="Y145" s="79"/>
      <c r="AC145" s="130"/>
      <c r="AE145" s="106"/>
    </row>
    <row r="146">
      <c r="C146" s="79"/>
      <c r="D146" s="79"/>
      <c r="E146" s="79"/>
      <c r="P146" s="79"/>
      <c r="Q146" s="79"/>
      <c r="R146" s="79"/>
      <c r="Y146" s="79"/>
      <c r="AC146" s="130"/>
      <c r="AE146" s="106"/>
    </row>
    <row r="147">
      <c r="C147" s="79"/>
      <c r="D147" s="79"/>
      <c r="E147" s="79"/>
      <c r="P147" s="79"/>
      <c r="Q147" s="79"/>
      <c r="R147" s="79"/>
      <c r="Y147" s="79"/>
      <c r="AC147" s="130"/>
      <c r="AE147" s="106"/>
    </row>
    <row r="148">
      <c r="C148" s="79"/>
      <c r="D148" s="79"/>
      <c r="E148" s="79"/>
      <c r="P148" s="79"/>
      <c r="Q148" s="79"/>
      <c r="R148" s="79"/>
      <c r="Y148" s="79"/>
      <c r="AC148" s="130"/>
      <c r="AE148" s="106"/>
    </row>
    <row r="149">
      <c r="C149" s="79"/>
      <c r="D149" s="79"/>
      <c r="E149" s="79"/>
      <c r="P149" s="79"/>
      <c r="Q149" s="79"/>
      <c r="R149" s="79"/>
      <c r="Y149" s="79"/>
      <c r="AC149" s="130"/>
      <c r="AE149" s="106"/>
    </row>
    <row r="150">
      <c r="C150" s="79"/>
      <c r="D150" s="79"/>
      <c r="E150" s="79"/>
      <c r="P150" s="79"/>
      <c r="Q150" s="79"/>
      <c r="R150" s="79"/>
      <c r="Y150" s="79"/>
      <c r="AC150" s="130"/>
      <c r="AE150" s="106"/>
    </row>
    <row r="151">
      <c r="C151" s="79"/>
      <c r="D151" s="79"/>
      <c r="E151" s="79"/>
      <c r="P151" s="79"/>
      <c r="Q151" s="79"/>
      <c r="R151" s="79"/>
      <c r="Y151" s="79"/>
      <c r="AC151" s="130"/>
      <c r="AE151" s="106"/>
    </row>
    <row r="152">
      <c r="C152" s="79"/>
      <c r="D152" s="79"/>
      <c r="E152" s="79"/>
      <c r="P152" s="79"/>
      <c r="Q152" s="79"/>
      <c r="R152" s="79"/>
      <c r="Y152" s="79"/>
      <c r="AC152" s="130"/>
      <c r="AE152" s="106"/>
    </row>
    <row r="153">
      <c r="C153" s="79"/>
      <c r="D153" s="79"/>
      <c r="E153" s="79"/>
      <c r="P153" s="79"/>
      <c r="Q153" s="79"/>
      <c r="R153" s="79"/>
      <c r="Y153" s="79"/>
      <c r="AC153" s="130"/>
      <c r="AE153" s="106"/>
    </row>
    <row r="154">
      <c r="C154" s="79"/>
      <c r="D154" s="79"/>
      <c r="E154" s="79"/>
      <c r="P154" s="79"/>
      <c r="Q154" s="79"/>
      <c r="R154" s="79"/>
      <c r="Y154" s="79"/>
      <c r="AC154" s="130"/>
      <c r="AE154" s="106"/>
    </row>
    <row r="155">
      <c r="C155" s="79"/>
      <c r="D155" s="79"/>
      <c r="E155" s="79"/>
      <c r="P155" s="79"/>
      <c r="Q155" s="79"/>
      <c r="R155" s="79"/>
      <c r="Y155" s="79"/>
      <c r="AC155" s="130"/>
      <c r="AE155" s="106"/>
    </row>
    <row r="156">
      <c r="C156" s="79"/>
      <c r="D156" s="79"/>
      <c r="E156" s="79"/>
      <c r="P156" s="79"/>
      <c r="Q156" s="79"/>
      <c r="R156" s="79"/>
      <c r="Y156" s="79"/>
      <c r="AC156" s="130"/>
      <c r="AE156" s="106"/>
    </row>
    <row r="157">
      <c r="C157" s="79"/>
      <c r="D157" s="79"/>
      <c r="E157" s="79"/>
      <c r="P157" s="79"/>
      <c r="Q157" s="79"/>
      <c r="R157" s="79"/>
      <c r="Y157" s="79"/>
      <c r="AC157" s="130"/>
      <c r="AE157" s="106"/>
    </row>
    <row r="158">
      <c r="C158" s="79"/>
      <c r="D158" s="79"/>
      <c r="E158" s="79"/>
      <c r="P158" s="79"/>
      <c r="Q158" s="79"/>
      <c r="R158" s="79"/>
      <c r="Y158" s="79"/>
      <c r="AC158" s="130"/>
      <c r="AE158" s="106"/>
    </row>
    <row r="159">
      <c r="C159" s="79"/>
      <c r="D159" s="79"/>
      <c r="E159" s="79"/>
      <c r="P159" s="79"/>
      <c r="Q159" s="79"/>
      <c r="R159" s="79"/>
      <c r="Y159" s="79"/>
      <c r="AC159" s="130"/>
      <c r="AE159" s="106"/>
    </row>
    <row r="160">
      <c r="C160" s="79"/>
      <c r="D160" s="79"/>
      <c r="E160" s="79"/>
      <c r="P160" s="79"/>
      <c r="Q160" s="79"/>
      <c r="R160" s="79"/>
      <c r="Y160" s="79"/>
      <c r="AC160" s="130"/>
      <c r="AE160" s="106"/>
    </row>
    <row r="161">
      <c r="C161" s="79"/>
      <c r="D161" s="79"/>
      <c r="E161" s="79"/>
      <c r="P161" s="79"/>
      <c r="Q161" s="79"/>
      <c r="R161" s="79"/>
      <c r="Y161" s="79"/>
      <c r="AC161" s="130"/>
      <c r="AE161" s="106"/>
    </row>
    <row r="162">
      <c r="C162" s="79"/>
      <c r="D162" s="79"/>
      <c r="E162" s="79"/>
      <c r="P162" s="79"/>
      <c r="Q162" s="79"/>
      <c r="R162" s="79"/>
      <c r="Y162" s="79"/>
      <c r="AC162" s="130"/>
      <c r="AE162" s="106"/>
    </row>
    <row r="163">
      <c r="C163" s="79"/>
      <c r="D163" s="79"/>
      <c r="E163" s="79"/>
      <c r="P163" s="79"/>
      <c r="Q163" s="79"/>
      <c r="R163" s="79"/>
      <c r="Y163" s="79"/>
      <c r="AC163" s="130"/>
      <c r="AE163" s="106"/>
    </row>
    <row r="164">
      <c r="C164" s="79"/>
      <c r="D164" s="79"/>
      <c r="E164" s="79"/>
      <c r="P164" s="79"/>
      <c r="Q164" s="79"/>
      <c r="R164" s="79"/>
      <c r="Y164" s="79"/>
      <c r="AC164" s="130"/>
      <c r="AE164" s="106"/>
    </row>
    <row r="165">
      <c r="C165" s="79"/>
      <c r="D165" s="79"/>
      <c r="E165" s="79"/>
      <c r="P165" s="79"/>
      <c r="Q165" s="79"/>
      <c r="R165" s="79"/>
      <c r="Y165" s="79"/>
      <c r="AC165" s="130"/>
      <c r="AE165" s="106"/>
    </row>
    <row r="166">
      <c r="C166" s="79"/>
      <c r="D166" s="79"/>
      <c r="E166" s="79"/>
      <c r="P166" s="79"/>
      <c r="Q166" s="79"/>
      <c r="R166" s="79"/>
      <c r="Y166" s="79"/>
      <c r="AC166" s="130"/>
      <c r="AE166" s="106"/>
    </row>
    <row r="167">
      <c r="C167" s="79"/>
      <c r="D167" s="79"/>
      <c r="E167" s="79"/>
      <c r="P167" s="79"/>
      <c r="Q167" s="79"/>
      <c r="R167" s="79"/>
      <c r="Y167" s="79"/>
      <c r="AC167" s="130"/>
      <c r="AE167" s="106"/>
    </row>
    <row r="168">
      <c r="C168" s="79"/>
      <c r="D168" s="79"/>
      <c r="E168" s="79"/>
      <c r="P168" s="79"/>
      <c r="Q168" s="79"/>
      <c r="R168" s="79"/>
      <c r="Y168" s="79"/>
      <c r="AC168" s="130"/>
      <c r="AE168" s="106"/>
    </row>
    <row r="169">
      <c r="C169" s="79"/>
      <c r="D169" s="79"/>
      <c r="E169" s="79"/>
      <c r="P169" s="79"/>
      <c r="Q169" s="79"/>
      <c r="R169" s="79"/>
      <c r="Y169" s="79"/>
      <c r="AC169" s="130"/>
      <c r="AE169" s="106"/>
    </row>
    <row r="170">
      <c r="C170" s="79"/>
      <c r="D170" s="79"/>
      <c r="E170" s="79"/>
      <c r="P170" s="79"/>
      <c r="Q170" s="79"/>
      <c r="R170" s="79"/>
      <c r="Y170" s="79"/>
      <c r="AC170" s="130"/>
      <c r="AE170" s="106"/>
    </row>
    <row r="171">
      <c r="C171" s="79"/>
      <c r="D171" s="79"/>
      <c r="E171" s="79"/>
      <c r="P171" s="79"/>
      <c r="Q171" s="79"/>
      <c r="R171" s="79"/>
      <c r="Y171" s="79"/>
      <c r="AC171" s="130"/>
      <c r="AE171" s="106"/>
    </row>
    <row r="172">
      <c r="C172" s="79"/>
      <c r="D172" s="79"/>
      <c r="E172" s="79"/>
      <c r="P172" s="79"/>
      <c r="Q172" s="79"/>
      <c r="R172" s="79"/>
      <c r="Y172" s="79"/>
      <c r="AC172" s="130"/>
      <c r="AE172" s="106"/>
    </row>
    <row r="173">
      <c r="C173" s="79"/>
      <c r="D173" s="79"/>
      <c r="E173" s="79"/>
      <c r="P173" s="79"/>
      <c r="Q173" s="79"/>
      <c r="R173" s="79"/>
      <c r="Y173" s="79"/>
      <c r="AC173" s="130"/>
      <c r="AE173" s="106"/>
    </row>
    <row r="174">
      <c r="C174" s="79"/>
      <c r="D174" s="79"/>
      <c r="E174" s="79"/>
      <c r="P174" s="79"/>
      <c r="Q174" s="79"/>
      <c r="R174" s="79"/>
      <c r="Y174" s="79"/>
      <c r="AC174" s="130"/>
      <c r="AE174" s="106"/>
    </row>
    <row r="175">
      <c r="C175" s="79"/>
      <c r="D175" s="79"/>
      <c r="E175" s="79"/>
      <c r="P175" s="79"/>
      <c r="Q175" s="79"/>
      <c r="R175" s="79"/>
      <c r="Y175" s="79"/>
      <c r="AC175" s="130"/>
      <c r="AE175" s="106"/>
    </row>
    <row r="176">
      <c r="C176" s="79"/>
      <c r="D176" s="79"/>
      <c r="E176" s="79"/>
      <c r="P176" s="79"/>
      <c r="Q176" s="79"/>
      <c r="R176" s="79"/>
      <c r="Y176" s="79"/>
      <c r="AC176" s="130"/>
      <c r="AE176" s="106"/>
    </row>
    <row r="177">
      <c r="C177" s="79"/>
      <c r="D177" s="79"/>
      <c r="E177" s="79"/>
      <c r="P177" s="79"/>
      <c r="Q177" s="79"/>
      <c r="R177" s="79"/>
      <c r="Y177" s="79"/>
      <c r="AC177" s="130"/>
      <c r="AE177" s="106"/>
    </row>
    <row r="178">
      <c r="C178" s="79"/>
      <c r="D178" s="79"/>
      <c r="E178" s="79"/>
      <c r="P178" s="79"/>
      <c r="Q178" s="79"/>
      <c r="R178" s="79"/>
      <c r="Y178" s="79"/>
      <c r="AC178" s="130"/>
      <c r="AE178" s="106"/>
    </row>
    <row r="179">
      <c r="C179" s="79"/>
      <c r="D179" s="79"/>
      <c r="E179" s="79"/>
      <c r="P179" s="79"/>
      <c r="Q179" s="79"/>
      <c r="R179" s="79"/>
      <c r="Y179" s="79"/>
      <c r="AC179" s="130"/>
      <c r="AE179" s="106"/>
    </row>
    <row r="180">
      <c r="C180" s="79"/>
      <c r="D180" s="79"/>
      <c r="E180" s="79"/>
      <c r="P180" s="79"/>
      <c r="Q180" s="79"/>
      <c r="R180" s="79"/>
      <c r="Y180" s="79"/>
      <c r="AC180" s="130"/>
      <c r="AE180" s="106"/>
    </row>
    <row r="181">
      <c r="C181" s="79"/>
      <c r="D181" s="79"/>
      <c r="E181" s="79"/>
      <c r="P181" s="79"/>
      <c r="Q181" s="79"/>
      <c r="R181" s="79"/>
      <c r="Y181" s="79"/>
      <c r="AC181" s="130"/>
      <c r="AE181" s="106"/>
    </row>
    <row r="182">
      <c r="C182" s="79"/>
      <c r="D182" s="79"/>
      <c r="E182" s="79"/>
      <c r="P182" s="79"/>
      <c r="Q182" s="79"/>
      <c r="R182" s="79"/>
      <c r="Y182" s="79"/>
      <c r="AC182" s="130"/>
      <c r="AE182" s="106"/>
    </row>
    <row r="183">
      <c r="C183" s="79"/>
      <c r="D183" s="79"/>
      <c r="E183" s="79"/>
      <c r="P183" s="79"/>
      <c r="Q183" s="79"/>
      <c r="R183" s="79"/>
      <c r="Y183" s="79"/>
      <c r="AC183" s="130"/>
      <c r="AE183" s="106"/>
    </row>
    <row r="184">
      <c r="C184" s="79"/>
      <c r="D184" s="79"/>
      <c r="E184" s="79"/>
      <c r="P184" s="79"/>
      <c r="Q184" s="79"/>
      <c r="R184" s="79"/>
      <c r="Y184" s="79"/>
      <c r="AC184" s="130"/>
      <c r="AE184" s="106"/>
    </row>
    <row r="185">
      <c r="C185" s="79"/>
      <c r="D185" s="79"/>
      <c r="E185" s="79"/>
      <c r="P185" s="79"/>
      <c r="Q185" s="79"/>
      <c r="R185" s="79"/>
      <c r="Y185" s="79"/>
      <c r="AC185" s="130"/>
      <c r="AE185" s="106"/>
    </row>
    <row r="186">
      <c r="C186" s="79"/>
      <c r="D186" s="79"/>
      <c r="E186" s="79"/>
      <c r="P186" s="79"/>
      <c r="Q186" s="79"/>
      <c r="R186" s="79"/>
      <c r="Y186" s="79"/>
      <c r="AC186" s="130"/>
      <c r="AE186" s="106"/>
    </row>
    <row r="187">
      <c r="C187" s="79"/>
      <c r="D187" s="79"/>
      <c r="E187" s="79"/>
      <c r="P187" s="79"/>
      <c r="Q187" s="79"/>
      <c r="R187" s="79"/>
      <c r="Y187" s="79"/>
      <c r="AC187" s="130"/>
      <c r="AE187" s="106"/>
    </row>
    <row r="188">
      <c r="C188" s="79"/>
      <c r="D188" s="79"/>
      <c r="E188" s="79"/>
      <c r="P188" s="79"/>
      <c r="Q188" s="79"/>
      <c r="R188" s="79"/>
      <c r="Y188" s="79"/>
      <c r="AC188" s="130"/>
      <c r="AE188" s="106"/>
    </row>
    <row r="189">
      <c r="C189" s="79"/>
      <c r="D189" s="79"/>
      <c r="E189" s="79"/>
      <c r="P189" s="79"/>
      <c r="Q189" s="79"/>
      <c r="R189" s="79"/>
      <c r="Y189" s="79"/>
      <c r="AC189" s="130"/>
      <c r="AE189" s="106"/>
    </row>
    <row r="190">
      <c r="C190" s="79"/>
      <c r="D190" s="79"/>
      <c r="E190" s="79"/>
      <c r="P190" s="79"/>
      <c r="Q190" s="79"/>
      <c r="R190" s="79"/>
      <c r="Y190" s="79"/>
      <c r="AC190" s="130"/>
      <c r="AE190" s="106"/>
    </row>
    <row r="191">
      <c r="C191" s="79"/>
      <c r="D191" s="79"/>
      <c r="E191" s="79"/>
      <c r="P191" s="79"/>
      <c r="Q191" s="79"/>
      <c r="R191" s="79"/>
      <c r="Y191" s="79"/>
      <c r="AC191" s="130"/>
      <c r="AE191" s="106"/>
    </row>
    <row r="192">
      <c r="C192" s="79"/>
      <c r="D192" s="79"/>
      <c r="E192" s="79"/>
      <c r="P192" s="79"/>
      <c r="Q192" s="79"/>
      <c r="R192" s="79"/>
      <c r="Y192" s="79"/>
      <c r="AC192" s="130"/>
      <c r="AE192" s="106"/>
    </row>
    <row r="193">
      <c r="C193" s="79"/>
      <c r="D193" s="79"/>
      <c r="E193" s="79"/>
      <c r="P193" s="79"/>
      <c r="Q193" s="79"/>
      <c r="R193" s="79"/>
      <c r="Y193" s="79"/>
      <c r="AC193" s="130"/>
      <c r="AE193" s="106"/>
    </row>
    <row r="194">
      <c r="C194" s="79"/>
      <c r="D194" s="79"/>
      <c r="E194" s="79"/>
      <c r="P194" s="79"/>
      <c r="Q194" s="79"/>
      <c r="R194" s="79"/>
      <c r="Y194" s="79"/>
      <c r="AC194" s="130"/>
      <c r="AE194" s="106"/>
    </row>
    <row r="195">
      <c r="C195" s="79"/>
      <c r="D195" s="79"/>
      <c r="E195" s="79"/>
      <c r="P195" s="79"/>
      <c r="Q195" s="79"/>
      <c r="R195" s="79"/>
      <c r="Y195" s="79"/>
      <c r="AC195" s="130"/>
      <c r="AE195" s="106"/>
    </row>
    <row r="196">
      <c r="C196" s="79"/>
      <c r="D196" s="79"/>
      <c r="E196" s="79"/>
      <c r="P196" s="79"/>
      <c r="Q196" s="79"/>
      <c r="R196" s="79"/>
      <c r="Y196" s="79"/>
      <c r="AC196" s="130"/>
      <c r="AE196" s="106"/>
    </row>
    <row r="197">
      <c r="C197" s="79"/>
      <c r="D197" s="79"/>
      <c r="E197" s="79"/>
      <c r="P197" s="79"/>
      <c r="Q197" s="79"/>
      <c r="R197" s="79"/>
      <c r="Y197" s="79"/>
      <c r="AC197" s="130"/>
      <c r="AE197" s="106"/>
    </row>
    <row r="198">
      <c r="C198" s="79"/>
      <c r="D198" s="79"/>
      <c r="E198" s="79"/>
      <c r="P198" s="79"/>
      <c r="Q198" s="79"/>
      <c r="R198" s="79"/>
      <c r="Y198" s="79"/>
      <c r="AC198" s="130"/>
      <c r="AE198" s="106"/>
    </row>
    <row r="199">
      <c r="C199" s="79"/>
      <c r="D199" s="79"/>
      <c r="E199" s="79"/>
      <c r="P199" s="79"/>
      <c r="Q199" s="79"/>
      <c r="R199" s="79"/>
      <c r="Y199" s="79"/>
      <c r="AC199" s="130"/>
      <c r="AE199" s="106"/>
    </row>
    <row r="200">
      <c r="C200" s="79"/>
      <c r="D200" s="79"/>
      <c r="E200" s="79"/>
      <c r="P200" s="79"/>
      <c r="Q200" s="79"/>
      <c r="R200" s="79"/>
      <c r="Y200" s="79"/>
      <c r="AC200" s="130"/>
      <c r="AE200" s="106"/>
    </row>
    <row r="201">
      <c r="C201" s="79"/>
      <c r="D201" s="79"/>
      <c r="E201" s="79"/>
      <c r="P201" s="79"/>
      <c r="Q201" s="79"/>
      <c r="R201" s="79"/>
      <c r="Y201" s="79"/>
      <c r="AC201" s="130"/>
      <c r="AE201" s="106"/>
    </row>
    <row r="202">
      <c r="C202" s="79"/>
      <c r="D202" s="79"/>
      <c r="E202" s="79"/>
      <c r="P202" s="79"/>
      <c r="Q202" s="79"/>
      <c r="R202" s="79"/>
      <c r="Y202" s="79"/>
      <c r="AC202" s="130"/>
      <c r="AE202" s="106"/>
    </row>
    <row r="203">
      <c r="C203" s="79"/>
      <c r="D203" s="79"/>
      <c r="E203" s="79"/>
      <c r="P203" s="79"/>
      <c r="Q203" s="79"/>
      <c r="R203" s="79"/>
      <c r="Y203" s="79"/>
      <c r="AC203" s="130"/>
      <c r="AE203" s="106"/>
    </row>
    <row r="204">
      <c r="C204" s="79"/>
      <c r="D204" s="79"/>
      <c r="E204" s="79"/>
      <c r="P204" s="79"/>
      <c r="Q204" s="79"/>
      <c r="R204" s="79"/>
      <c r="Y204" s="79"/>
      <c r="AC204" s="130"/>
      <c r="AE204" s="106"/>
    </row>
    <row r="205">
      <c r="C205" s="79"/>
      <c r="D205" s="79"/>
      <c r="E205" s="79"/>
      <c r="P205" s="79"/>
      <c r="Q205" s="79"/>
      <c r="R205" s="79"/>
      <c r="Y205" s="79"/>
      <c r="AC205" s="130"/>
      <c r="AE205" s="106"/>
    </row>
    <row r="206">
      <c r="C206" s="79"/>
      <c r="D206" s="79"/>
      <c r="E206" s="79"/>
      <c r="P206" s="79"/>
      <c r="Q206" s="79"/>
      <c r="R206" s="79"/>
      <c r="Y206" s="79"/>
      <c r="AC206" s="130"/>
      <c r="AE206" s="106"/>
    </row>
    <row r="207">
      <c r="C207" s="79"/>
      <c r="D207" s="79"/>
      <c r="E207" s="79"/>
      <c r="P207" s="79"/>
      <c r="Q207" s="79"/>
      <c r="R207" s="79"/>
      <c r="Y207" s="79"/>
      <c r="AC207" s="130"/>
      <c r="AE207" s="106"/>
    </row>
    <row r="208">
      <c r="C208" s="79"/>
      <c r="D208" s="79"/>
      <c r="E208" s="79"/>
      <c r="P208" s="79"/>
      <c r="Q208" s="79"/>
      <c r="R208" s="79"/>
      <c r="Y208" s="79"/>
      <c r="AC208" s="130"/>
      <c r="AE208" s="106"/>
    </row>
    <row r="209">
      <c r="C209" s="79"/>
      <c r="D209" s="79"/>
      <c r="E209" s="79"/>
      <c r="P209" s="79"/>
      <c r="Q209" s="79"/>
      <c r="R209" s="79"/>
      <c r="Y209" s="79"/>
      <c r="AC209" s="130"/>
      <c r="AE209" s="106"/>
    </row>
    <row r="210">
      <c r="C210" s="79"/>
      <c r="D210" s="79"/>
      <c r="E210" s="79"/>
      <c r="P210" s="79"/>
      <c r="Q210" s="79"/>
      <c r="R210" s="79"/>
      <c r="Y210" s="79"/>
      <c r="AC210" s="130"/>
      <c r="AE210" s="106"/>
    </row>
    <row r="211">
      <c r="C211" s="79"/>
      <c r="D211" s="79"/>
      <c r="E211" s="79"/>
      <c r="P211" s="79"/>
      <c r="Q211" s="79"/>
      <c r="R211" s="79"/>
      <c r="Y211" s="79"/>
      <c r="AC211" s="130"/>
      <c r="AE211" s="106"/>
    </row>
    <row r="212">
      <c r="C212" s="79"/>
      <c r="D212" s="79"/>
      <c r="E212" s="79"/>
      <c r="P212" s="79"/>
      <c r="Q212" s="79"/>
      <c r="R212" s="79"/>
      <c r="Y212" s="79"/>
      <c r="AC212" s="130"/>
      <c r="AE212" s="106"/>
    </row>
    <row r="213">
      <c r="C213" s="79"/>
      <c r="D213" s="79"/>
      <c r="E213" s="79"/>
      <c r="P213" s="79"/>
      <c r="Q213" s="79"/>
      <c r="R213" s="79"/>
      <c r="Y213" s="79"/>
      <c r="AC213" s="130"/>
      <c r="AE213" s="106"/>
    </row>
    <row r="214">
      <c r="C214" s="79"/>
      <c r="D214" s="79"/>
      <c r="E214" s="79"/>
      <c r="P214" s="79"/>
      <c r="Q214" s="79"/>
      <c r="R214" s="79"/>
      <c r="Y214" s="79"/>
      <c r="AC214" s="130"/>
      <c r="AE214" s="106"/>
    </row>
    <row r="215">
      <c r="C215" s="79"/>
      <c r="D215" s="79"/>
      <c r="E215" s="79"/>
      <c r="P215" s="79"/>
      <c r="Q215" s="79"/>
      <c r="R215" s="79"/>
      <c r="Y215" s="79"/>
      <c r="AC215" s="130"/>
      <c r="AE215" s="106"/>
    </row>
    <row r="216">
      <c r="C216" s="79"/>
      <c r="D216" s="79"/>
      <c r="E216" s="79"/>
      <c r="P216" s="79"/>
      <c r="Q216" s="79"/>
      <c r="R216" s="79"/>
      <c r="Y216" s="79"/>
      <c r="AC216" s="130"/>
      <c r="AE216" s="106"/>
    </row>
    <row r="217">
      <c r="C217" s="79"/>
      <c r="D217" s="79"/>
      <c r="E217" s="79"/>
      <c r="P217" s="79"/>
      <c r="Q217" s="79"/>
      <c r="R217" s="79"/>
      <c r="Y217" s="79"/>
      <c r="AC217" s="130"/>
      <c r="AE217" s="106"/>
    </row>
    <row r="218">
      <c r="C218" s="79"/>
      <c r="D218" s="79"/>
      <c r="E218" s="79"/>
      <c r="P218" s="79"/>
      <c r="Q218" s="79"/>
      <c r="R218" s="79"/>
      <c r="Y218" s="79"/>
      <c r="AC218" s="130"/>
      <c r="AE218" s="106"/>
    </row>
    <row r="219">
      <c r="C219" s="79"/>
      <c r="D219" s="79"/>
      <c r="E219" s="79"/>
      <c r="P219" s="79"/>
      <c r="Q219" s="79"/>
      <c r="R219" s="79"/>
      <c r="Y219" s="79"/>
      <c r="AC219" s="130"/>
      <c r="AE219" s="106"/>
    </row>
    <row r="220">
      <c r="C220" s="79"/>
      <c r="D220" s="79"/>
      <c r="E220" s="79"/>
      <c r="P220" s="79"/>
      <c r="Q220" s="79"/>
      <c r="R220" s="79"/>
      <c r="Y220" s="79"/>
      <c r="AC220" s="130"/>
      <c r="AE220" s="106"/>
    </row>
    <row r="221">
      <c r="C221" s="79"/>
      <c r="D221" s="79"/>
      <c r="E221" s="79"/>
      <c r="P221" s="79"/>
      <c r="Q221" s="79"/>
      <c r="R221" s="79"/>
      <c r="Y221" s="79"/>
      <c r="AC221" s="130"/>
      <c r="AE221" s="106"/>
    </row>
    <row r="222">
      <c r="C222" s="79"/>
      <c r="D222" s="79"/>
      <c r="E222" s="79"/>
      <c r="P222" s="79"/>
      <c r="Q222" s="79"/>
      <c r="R222" s="79"/>
      <c r="Y222" s="79"/>
      <c r="AC222" s="130"/>
      <c r="AE222" s="106"/>
    </row>
    <row r="223">
      <c r="C223" s="79"/>
      <c r="D223" s="79"/>
      <c r="E223" s="79"/>
      <c r="P223" s="79"/>
      <c r="Q223" s="79"/>
      <c r="R223" s="79"/>
      <c r="Y223" s="79"/>
      <c r="AC223" s="130"/>
      <c r="AE223" s="106"/>
    </row>
    <row r="224">
      <c r="C224" s="79"/>
      <c r="D224" s="79"/>
      <c r="E224" s="79"/>
      <c r="P224" s="79"/>
      <c r="Q224" s="79"/>
      <c r="R224" s="79"/>
      <c r="Y224" s="79"/>
      <c r="AC224" s="130"/>
      <c r="AE224" s="106"/>
    </row>
    <row r="225">
      <c r="C225" s="79"/>
      <c r="D225" s="79"/>
      <c r="E225" s="79"/>
      <c r="P225" s="79"/>
      <c r="Q225" s="79"/>
      <c r="R225" s="79"/>
      <c r="Y225" s="79"/>
      <c r="AC225" s="130"/>
      <c r="AE225" s="106"/>
    </row>
    <row r="226">
      <c r="C226" s="79"/>
      <c r="D226" s="79"/>
      <c r="E226" s="79"/>
      <c r="P226" s="79"/>
      <c r="Q226" s="79"/>
      <c r="R226" s="79"/>
      <c r="Y226" s="79"/>
      <c r="AC226" s="130"/>
      <c r="AE226" s="106"/>
    </row>
    <row r="227">
      <c r="C227" s="79"/>
      <c r="D227" s="79"/>
      <c r="E227" s="79"/>
      <c r="P227" s="79"/>
      <c r="Q227" s="79"/>
      <c r="R227" s="79"/>
      <c r="Y227" s="79"/>
      <c r="AC227" s="130"/>
      <c r="AE227" s="106"/>
    </row>
    <row r="228">
      <c r="C228" s="79"/>
      <c r="D228" s="79"/>
      <c r="E228" s="79"/>
      <c r="P228" s="79"/>
      <c r="Q228" s="79"/>
      <c r="R228" s="79"/>
      <c r="Y228" s="79"/>
      <c r="AC228" s="130"/>
      <c r="AE228" s="106"/>
    </row>
    <row r="229">
      <c r="C229" s="79"/>
      <c r="D229" s="79"/>
      <c r="E229" s="79"/>
      <c r="P229" s="79"/>
      <c r="Q229" s="79"/>
      <c r="R229" s="79"/>
      <c r="Y229" s="79"/>
      <c r="AC229" s="130"/>
      <c r="AE229" s="106"/>
    </row>
    <row r="230">
      <c r="C230" s="79"/>
      <c r="D230" s="79"/>
      <c r="E230" s="79"/>
      <c r="P230" s="79"/>
      <c r="Q230" s="79"/>
      <c r="R230" s="79"/>
      <c r="Y230" s="79"/>
      <c r="AC230" s="130"/>
      <c r="AE230" s="106"/>
    </row>
    <row r="231">
      <c r="C231" s="79"/>
      <c r="D231" s="79"/>
      <c r="E231" s="79"/>
      <c r="P231" s="79"/>
      <c r="Q231" s="79"/>
      <c r="R231" s="79"/>
      <c r="Y231" s="79"/>
      <c r="AC231" s="130"/>
      <c r="AE231" s="106"/>
    </row>
    <row r="232">
      <c r="C232" s="79"/>
      <c r="D232" s="79"/>
      <c r="E232" s="79"/>
      <c r="P232" s="79"/>
      <c r="Q232" s="79"/>
      <c r="R232" s="79"/>
      <c r="Y232" s="79"/>
      <c r="AC232" s="130"/>
      <c r="AE232" s="106"/>
    </row>
    <row r="233">
      <c r="C233" s="79"/>
      <c r="D233" s="79"/>
      <c r="E233" s="79"/>
      <c r="P233" s="79"/>
      <c r="Q233" s="79"/>
      <c r="R233" s="79"/>
      <c r="Y233" s="79"/>
      <c r="AC233" s="130"/>
      <c r="AE233" s="106"/>
    </row>
    <row r="234">
      <c r="C234" s="79"/>
      <c r="D234" s="79"/>
      <c r="E234" s="79"/>
      <c r="P234" s="79"/>
      <c r="Q234" s="79"/>
      <c r="R234" s="79"/>
      <c r="Y234" s="79"/>
      <c r="AC234" s="130"/>
      <c r="AE234" s="106"/>
    </row>
    <row r="235">
      <c r="C235" s="79"/>
      <c r="D235" s="79"/>
      <c r="E235" s="79"/>
      <c r="P235" s="79"/>
      <c r="Q235" s="79"/>
      <c r="R235" s="79"/>
      <c r="Y235" s="79"/>
      <c r="AC235" s="130"/>
      <c r="AE235" s="106"/>
    </row>
    <row r="236">
      <c r="C236" s="79"/>
      <c r="D236" s="79"/>
      <c r="E236" s="79"/>
      <c r="P236" s="79"/>
      <c r="Q236" s="79"/>
      <c r="R236" s="79"/>
      <c r="Y236" s="79"/>
      <c r="AC236" s="130"/>
      <c r="AE236" s="106"/>
    </row>
    <row r="237">
      <c r="C237" s="79"/>
      <c r="D237" s="79"/>
      <c r="E237" s="79"/>
      <c r="P237" s="79"/>
      <c r="Q237" s="79"/>
      <c r="R237" s="79"/>
      <c r="Y237" s="79"/>
      <c r="AC237" s="130"/>
      <c r="AE237" s="106"/>
    </row>
    <row r="238">
      <c r="C238" s="79"/>
      <c r="D238" s="79"/>
      <c r="E238" s="79"/>
      <c r="P238" s="79"/>
      <c r="Q238" s="79"/>
      <c r="R238" s="79"/>
      <c r="Y238" s="79"/>
      <c r="AC238" s="130"/>
      <c r="AE238" s="106"/>
    </row>
    <row r="239">
      <c r="C239" s="79"/>
      <c r="D239" s="79"/>
      <c r="E239" s="79"/>
      <c r="P239" s="79"/>
      <c r="Q239" s="79"/>
      <c r="R239" s="79"/>
      <c r="Y239" s="79"/>
      <c r="AC239" s="130"/>
      <c r="AE239" s="106"/>
    </row>
    <row r="240">
      <c r="C240" s="79"/>
      <c r="D240" s="79"/>
      <c r="E240" s="79"/>
      <c r="P240" s="79"/>
      <c r="Q240" s="79"/>
      <c r="R240" s="79"/>
      <c r="Y240" s="79"/>
      <c r="AC240" s="130"/>
      <c r="AE240" s="106"/>
    </row>
    <row r="241">
      <c r="C241" s="79"/>
      <c r="D241" s="79"/>
      <c r="E241" s="79"/>
      <c r="P241" s="79"/>
      <c r="Q241" s="79"/>
      <c r="R241" s="79"/>
      <c r="Y241" s="79"/>
      <c r="AC241" s="130"/>
      <c r="AE241" s="106"/>
    </row>
    <row r="242">
      <c r="C242" s="79"/>
      <c r="D242" s="79"/>
      <c r="E242" s="79"/>
      <c r="P242" s="79"/>
      <c r="Q242" s="79"/>
      <c r="R242" s="79"/>
      <c r="Y242" s="79"/>
      <c r="AC242" s="130"/>
      <c r="AE242" s="106"/>
    </row>
    <row r="243">
      <c r="C243" s="79"/>
      <c r="D243" s="79"/>
      <c r="E243" s="79"/>
      <c r="P243" s="79"/>
      <c r="Q243" s="79"/>
      <c r="R243" s="79"/>
      <c r="Y243" s="79"/>
      <c r="AC243" s="130"/>
      <c r="AE243" s="106"/>
    </row>
    <row r="244">
      <c r="C244" s="79"/>
      <c r="D244" s="79"/>
      <c r="E244" s="79"/>
      <c r="P244" s="79"/>
      <c r="Q244" s="79"/>
      <c r="R244" s="79"/>
      <c r="Y244" s="79"/>
      <c r="AC244" s="130"/>
      <c r="AE244" s="106"/>
    </row>
    <row r="245">
      <c r="C245" s="79"/>
      <c r="D245" s="79"/>
      <c r="E245" s="79"/>
      <c r="P245" s="79"/>
      <c r="Q245" s="79"/>
      <c r="R245" s="79"/>
      <c r="Y245" s="79"/>
      <c r="AC245" s="130"/>
      <c r="AE245" s="106"/>
    </row>
    <row r="246">
      <c r="C246" s="79"/>
      <c r="D246" s="79"/>
      <c r="E246" s="79"/>
      <c r="P246" s="79"/>
      <c r="Q246" s="79"/>
      <c r="R246" s="79"/>
      <c r="Y246" s="79"/>
      <c r="AC246" s="130"/>
      <c r="AE246" s="106"/>
    </row>
    <row r="247">
      <c r="C247" s="79"/>
      <c r="D247" s="79"/>
      <c r="E247" s="79"/>
      <c r="P247" s="79"/>
      <c r="Q247" s="79"/>
      <c r="R247" s="79"/>
      <c r="Y247" s="79"/>
      <c r="AC247" s="130"/>
      <c r="AE247" s="106"/>
    </row>
    <row r="248">
      <c r="C248" s="79"/>
      <c r="D248" s="79"/>
      <c r="E248" s="79"/>
      <c r="P248" s="79"/>
      <c r="Q248" s="79"/>
      <c r="R248" s="79"/>
      <c r="Y248" s="79"/>
      <c r="AC248" s="130"/>
      <c r="AE248" s="106"/>
    </row>
    <row r="249">
      <c r="C249" s="79"/>
      <c r="D249" s="79"/>
      <c r="E249" s="79"/>
      <c r="P249" s="79"/>
      <c r="Q249" s="79"/>
      <c r="R249" s="79"/>
      <c r="Y249" s="79"/>
      <c r="AC249" s="130"/>
      <c r="AE249" s="106"/>
    </row>
    <row r="250">
      <c r="C250" s="79"/>
      <c r="D250" s="79"/>
      <c r="E250" s="79"/>
      <c r="P250" s="79"/>
      <c r="Q250" s="79"/>
      <c r="R250" s="79"/>
      <c r="Y250" s="79"/>
      <c r="AC250" s="130"/>
      <c r="AE250" s="106"/>
    </row>
    <row r="251">
      <c r="C251" s="79"/>
      <c r="D251" s="79"/>
      <c r="E251" s="79"/>
      <c r="P251" s="79"/>
      <c r="Q251" s="79"/>
      <c r="R251" s="79"/>
      <c r="Y251" s="79"/>
      <c r="AC251" s="130"/>
      <c r="AE251" s="106"/>
    </row>
    <row r="252">
      <c r="C252" s="79"/>
      <c r="D252" s="79"/>
      <c r="E252" s="79"/>
      <c r="P252" s="79"/>
      <c r="Q252" s="79"/>
      <c r="R252" s="79"/>
      <c r="Y252" s="79"/>
      <c r="AC252" s="130"/>
      <c r="AE252" s="106"/>
    </row>
    <row r="253">
      <c r="C253" s="79"/>
      <c r="D253" s="79"/>
      <c r="E253" s="79"/>
      <c r="P253" s="79"/>
      <c r="Q253" s="79"/>
      <c r="R253" s="79"/>
      <c r="Y253" s="79"/>
      <c r="AC253" s="130"/>
      <c r="AE253" s="106"/>
    </row>
    <row r="254">
      <c r="C254" s="79"/>
      <c r="D254" s="79"/>
      <c r="E254" s="79"/>
      <c r="P254" s="79"/>
      <c r="Q254" s="79"/>
      <c r="R254" s="79"/>
      <c r="Y254" s="79"/>
      <c r="AC254" s="130"/>
      <c r="AE254" s="106"/>
    </row>
    <row r="255">
      <c r="C255" s="79"/>
      <c r="D255" s="79"/>
      <c r="E255" s="79"/>
      <c r="P255" s="79"/>
      <c r="Q255" s="79"/>
      <c r="R255" s="79"/>
      <c r="Y255" s="79"/>
      <c r="AC255" s="130"/>
      <c r="AE255" s="106"/>
    </row>
    <row r="256">
      <c r="C256" s="79"/>
      <c r="D256" s="79"/>
      <c r="E256" s="79"/>
      <c r="P256" s="79"/>
      <c r="Q256" s="79"/>
      <c r="R256" s="79"/>
      <c r="Y256" s="79"/>
      <c r="AC256" s="130"/>
      <c r="AE256" s="106"/>
    </row>
    <row r="257">
      <c r="C257" s="79"/>
      <c r="D257" s="79"/>
      <c r="E257" s="79"/>
      <c r="P257" s="79"/>
      <c r="Q257" s="79"/>
      <c r="R257" s="79"/>
      <c r="Y257" s="79"/>
      <c r="AC257" s="130"/>
      <c r="AE257" s="106"/>
    </row>
    <row r="258">
      <c r="C258" s="79"/>
      <c r="D258" s="79"/>
      <c r="E258" s="79"/>
      <c r="P258" s="79"/>
      <c r="Q258" s="79"/>
      <c r="R258" s="79"/>
      <c r="Y258" s="79"/>
      <c r="AC258" s="130"/>
      <c r="AE258" s="106"/>
    </row>
    <row r="259">
      <c r="C259" s="79"/>
      <c r="D259" s="79"/>
      <c r="E259" s="79"/>
      <c r="P259" s="79"/>
      <c r="Q259" s="79"/>
      <c r="R259" s="79"/>
      <c r="Y259" s="79"/>
      <c r="AC259" s="130"/>
      <c r="AE259" s="106"/>
    </row>
    <row r="260">
      <c r="C260" s="79"/>
      <c r="D260" s="79"/>
      <c r="E260" s="79"/>
      <c r="P260" s="79"/>
      <c r="Q260" s="79"/>
      <c r="R260" s="79"/>
      <c r="Y260" s="79"/>
      <c r="AC260" s="130"/>
      <c r="AE260" s="106"/>
    </row>
    <row r="261">
      <c r="C261" s="79"/>
      <c r="D261" s="79"/>
      <c r="E261" s="79"/>
      <c r="P261" s="79"/>
      <c r="Q261" s="79"/>
      <c r="R261" s="79"/>
      <c r="Y261" s="79"/>
      <c r="AC261" s="130"/>
      <c r="AE261" s="106"/>
    </row>
    <row r="262">
      <c r="C262" s="79"/>
      <c r="D262" s="79"/>
      <c r="E262" s="79"/>
      <c r="P262" s="79"/>
      <c r="Q262" s="79"/>
      <c r="R262" s="79"/>
      <c r="Y262" s="79"/>
      <c r="AC262" s="130"/>
      <c r="AE262" s="106"/>
    </row>
    <row r="263">
      <c r="C263" s="79"/>
      <c r="D263" s="79"/>
      <c r="E263" s="79"/>
      <c r="P263" s="79"/>
      <c r="Q263" s="79"/>
      <c r="R263" s="79"/>
      <c r="Y263" s="79"/>
      <c r="AC263" s="130"/>
      <c r="AE263" s="106"/>
    </row>
    <row r="264">
      <c r="C264" s="79"/>
      <c r="D264" s="79"/>
      <c r="E264" s="79"/>
      <c r="P264" s="79"/>
      <c r="Q264" s="79"/>
      <c r="R264" s="79"/>
      <c r="Y264" s="79"/>
      <c r="AC264" s="130"/>
      <c r="AE264" s="106"/>
    </row>
    <row r="265">
      <c r="C265" s="79"/>
      <c r="D265" s="79"/>
      <c r="E265" s="79"/>
      <c r="P265" s="79"/>
      <c r="Q265" s="79"/>
      <c r="R265" s="79"/>
      <c r="Y265" s="79"/>
      <c r="AC265" s="130"/>
      <c r="AE265" s="106"/>
    </row>
    <row r="266">
      <c r="C266" s="79"/>
      <c r="D266" s="79"/>
      <c r="E266" s="79"/>
      <c r="P266" s="79"/>
      <c r="Q266" s="79"/>
      <c r="R266" s="79"/>
      <c r="Y266" s="79"/>
      <c r="AC266" s="130"/>
      <c r="AE266" s="106"/>
    </row>
    <row r="267">
      <c r="C267" s="79"/>
      <c r="D267" s="79"/>
      <c r="E267" s="79"/>
      <c r="P267" s="79"/>
      <c r="Q267" s="79"/>
      <c r="R267" s="79"/>
      <c r="Y267" s="79"/>
      <c r="AC267" s="130"/>
      <c r="AE267" s="106"/>
    </row>
    <row r="268">
      <c r="C268" s="79"/>
      <c r="D268" s="79"/>
      <c r="E268" s="79"/>
      <c r="P268" s="79"/>
      <c r="Q268" s="79"/>
      <c r="R268" s="79"/>
      <c r="Y268" s="79"/>
      <c r="AC268" s="130"/>
      <c r="AE268" s="106"/>
    </row>
    <row r="269">
      <c r="C269" s="79"/>
      <c r="D269" s="79"/>
      <c r="E269" s="79"/>
      <c r="P269" s="79"/>
      <c r="Q269" s="79"/>
      <c r="R269" s="79"/>
      <c r="Y269" s="79"/>
      <c r="AC269" s="130"/>
      <c r="AE269" s="106"/>
    </row>
    <row r="270">
      <c r="C270" s="79"/>
      <c r="D270" s="79"/>
      <c r="E270" s="79"/>
      <c r="P270" s="79"/>
      <c r="Q270" s="79"/>
      <c r="R270" s="79"/>
      <c r="Y270" s="79"/>
      <c r="AC270" s="130"/>
      <c r="AE270" s="106"/>
    </row>
    <row r="271">
      <c r="C271" s="79"/>
      <c r="D271" s="79"/>
      <c r="E271" s="79"/>
      <c r="P271" s="79"/>
      <c r="Q271" s="79"/>
      <c r="R271" s="79"/>
      <c r="Y271" s="79"/>
      <c r="AC271" s="130"/>
      <c r="AE271" s="106"/>
    </row>
    <row r="272">
      <c r="C272" s="79"/>
      <c r="D272" s="79"/>
      <c r="E272" s="79"/>
      <c r="P272" s="79"/>
      <c r="Q272" s="79"/>
      <c r="R272" s="79"/>
      <c r="Y272" s="79"/>
      <c r="AC272" s="130"/>
      <c r="AE272" s="106"/>
    </row>
    <row r="273">
      <c r="C273" s="79"/>
      <c r="D273" s="79"/>
      <c r="E273" s="79"/>
      <c r="P273" s="79"/>
      <c r="Q273" s="79"/>
      <c r="R273" s="79"/>
      <c r="Y273" s="79"/>
      <c r="AC273" s="130"/>
      <c r="AE273" s="106"/>
    </row>
    <row r="274">
      <c r="C274" s="79"/>
      <c r="D274" s="79"/>
      <c r="E274" s="79"/>
      <c r="P274" s="79"/>
      <c r="Q274" s="79"/>
      <c r="R274" s="79"/>
      <c r="Y274" s="79"/>
      <c r="AC274" s="130"/>
      <c r="AE274" s="106"/>
    </row>
    <row r="275">
      <c r="C275" s="79"/>
      <c r="D275" s="79"/>
      <c r="E275" s="79"/>
      <c r="P275" s="79"/>
      <c r="Q275" s="79"/>
      <c r="R275" s="79"/>
      <c r="Y275" s="79"/>
      <c r="AC275" s="130"/>
      <c r="AE275" s="106"/>
    </row>
    <row r="276">
      <c r="C276" s="79"/>
      <c r="D276" s="79"/>
      <c r="E276" s="79"/>
      <c r="P276" s="79"/>
      <c r="Q276" s="79"/>
      <c r="R276" s="79"/>
      <c r="Y276" s="79"/>
      <c r="AC276" s="130"/>
      <c r="AE276" s="106"/>
    </row>
    <row r="277">
      <c r="C277" s="79"/>
      <c r="D277" s="79"/>
      <c r="E277" s="79"/>
      <c r="P277" s="79"/>
      <c r="Q277" s="79"/>
      <c r="R277" s="79"/>
      <c r="Y277" s="79"/>
      <c r="AC277" s="130"/>
      <c r="AE277" s="106"/>
    </row>
    <row r="278">
      <c r="C278" s="79"/>
      <c r="D278" s="79"/>
      <c r="E278" s="79"/>
      <c r="P278" s="79"/>
      <c r="Q278" s="79"/>
      <c r="R278" s="79"/>
      <c r="Y278" s="79"/>
      <c r="AC278" s="130"/>
      <c r="AE278" s="106"/>
    </row>
    <row r="279">
      <c r="C279" s="79"/>
      <c r="D279" s="79"/>
      <c r="E279" s="79"/>
      <c r="P279" s="79"/>
      <c r="Q279" s="79"/>
      <c r="R279" s="79"/>
      <c r="Y279" s="79"/>
      <c r="AC279" s="130"/>
      <c r="AE279" s="106"/>
    </row>
    <row r="280">
      <c r="C280" s="79"/>
      <c r="D280" s="79"/>
      <c r="E280" s="79"/>
      <c r="P280" s="79"/>
      <c r="Q280" s="79"/>
      <c r="R280" s="79"/>
      <c r="Y280" s="79"/>
      <c r="AC280" s="130"/>
      <c r="AE280" s="106"/>
    </row>
    <row r="281">
      <c r="C281" s="79"/>
      <c r="D281" s="79"/>
      <c r="E281" s="79"/>
      <c r="P281" s="79"/>
      <c r="Q281" s="79"/>
      <c r="R281" s="79"/>
      <c r="Y281" s="79"/>
      <c r="AC281" s="130"/>
      <c r="AE281" s="106"/>
    </row>
    <row r="282">
      <c r="C282" s="79"/>
      <c r="D282" s="79"/>
      <c r="E282" s="79"/>
      <c r="P282" s="79"/>
      <c r="Q282" s="79"/>
      <c r="R282" s="79"/>
      <c r="Y282" s="79"/>
      <c r="AC282" s="130"/>
      <c r="AE282" s="106"/>
    </row>
    <row r="283">
      <c r="C283" s="79"/>
      <c r="D283" s="79"/>
      <c r="E283" s="79"/>
      <c r="P283" s="79"/>
      <c r="Q283" s="79"/>
      <c r="R283" s="79"/>
      <c r="Y283" s="79"/>
      <c r="AC283" s="130"/>
      <c r="AE283" s="106"/>
    </row>
    <row r="284">
      <c r="C284" s="79"/>
      <c r="D284" s="79"/>
      <c r="E284" s="79"/>
      <c r="P284" s="79"/>
      <c r="Q284" s="79"/>
      <c r="R284" s="79"/>
      <c r="Y284" s="79"/>
      <c r="AC284" s="130"/>
      <c r="AE284" s="106"/>
    </row>
    <row r="285">
      <c r="C285" s="79"/>
      <c r="D285" s="79"/>
      <c r="E285" s="79"/>
      <c r="P285" s="79"/>
      <c r="Q285" s="79"/>
      <c r="R285" s="79"/>
      <c r="Y285" s="79"/>
      <c r="AC285" s="130"/>
      <c r="AE285" s="106"/>
    </row>
    <row r="286">
      <c r="C286" s="79"/>
      <c r="D286" s="79"/>
      <c r="E286" s="79"/>
      <c r="P286" s="79"/>
      <c r="Q286" s="79"/>
      <c r="R286" s="79"/>
      <c r="Y286" s="79"/>
      <c r="AC286" s="130"/>
      <c r="AE286" s="106"/>
    </row>
    <row r="287">
      <c r="C287" s="79"/>
      <c r="D287" s="79"/>
      <c r="E287" s="79"/>
      <c r="P287" s="79"/>
      <c r="Q287" s="79"/>
      <c r="R287" s="79"/>
      <c r="Y287" s="79"/>
      <c r="AC287" s="130"/>
      <c r="AE287" s="106"/>
    </row>
    <row r="288">
      <c r="C288" s="79"/>
      <c r="D288" s="79"/>
      <c r="E288" s="79"/>
      <c r="P288" s="79"/>
      <c r="Q288" s="79"/>
      <c r="R288" s="79"/>
      <c r="Y288" s="79"/>
      <c r="AC288" s="130"/>
      <c r="AE288" s="106"/>
    </row>
    <row r="289">
      <c r="C289" s="79"/>
      <c r="D289" s="79"/>
      <c r="E289" s="79"/>
      <c r="P289" s="79"/>
      <c r="Q289" s="79"/>
      <c r="R289" s="79"/>
      <c r="Y289" s="79"/>
      <c r="AC289" s="130"/>
      <c r="AE289" s="106"/>
    </row>
    <row r="290">
      <c r="C290" s="79"/>
      <c r="D290" s="79"/>
      <c r="E290" s="79"/>
      <c r="P290" s="79"/>
      <c r="Q290" s="79"/>
      <c r="R290" s="79"/>
      <c r="Y290" s="79"/>
      <c r="AC290" s="130"/>
      <c r="AE290" s="106"/>
    </row>
    <row r="291">
      <c r="C291" s="79"/>
      <c r="D291" s="79"/>
      <c r="E291" s="79"/>
      <c r="P291" s="79"/>
      <c r="Q291" s="79"/>
      <c r="R291" s="79"/>
      <c r="Y291" s="79"/>
      <c r="AC291" s="130"/>
      <c r="AE291" s="106"/>
    </row>
    <row r="292">
      <c r="C292" s="79"/>
      <c r="D292" s="79"/>
      <c r="E292" s="79"/>
      <c r="P292" s="79"/>
      <c r="Q292" s="79"/>
      <c r="R292" s="79"/>
      <c r="Y292" s="79"/>
      <c r="AC292" s="130"/>
      <c r="AE292" s="106"/>
    </row>
    <row r="293">
      <c r="C293" s="79"/>
      <c r="D293" s="79"/>
      <c r="E293" s="79"/>
      <c r="P293" s="79"/>
      <c r="Q293" s="79"/>
      <c r="R293" s="79"/>
      <c r="Y293" s="79"/>
      <c r="AC293" s="130"/>
      <c r="AE293" s="106"/>
    </row>
    <row r="294">
      <c r="C294" s="79"/>
      <c r="D294" s="79"/>
      <c r="E294" s="79"/>
      <c r="P294" s="79"/>
      <c r="Q294" s="79"/>
      <c r="R294" s="79"/>
      <c r="Y294" s="79"/>
      <c r="AC294" s="130"/>
      <c r="AE294" s="106"/>
    </row>
    <row r="295">
      <c r="C295" s="79"/>
      <c r="D295" s="79"/>
      <c r="E295" s="79"/>
      <c r="P295" s="79"/>
      <c r="Q295" s="79"/>
      <c r="R295" s="79"/>
      <c r="Y295" s="79"/>
      <c r="AC295" s="130"/>
      <c r="AE295" s="106"/>
    </row>
    <row r="296">
      <c r="C296" s="79"/>
      <c r="D296" s="79"/>
      <c r="E296" s="79"/>
      <c r="P296" s="79"/>
      <c r="Q296" s="79"/>
      <c r="R296" s="79"/>
      <c r="Y296" s="79"/>
      <c r="AC296" s="130"/>
      <c r="AE296" s="106"/>
    </row>
    <row r="297">
      <c r="C297" s="79"/>
      <c r="D297" s="79"/>
      <c r="E297" s="79"/>
      <c r="P297" s="79"/>
      <c r="Q297" s="79"/>
      <c r="R297" s="79"/>
      <c r="Y297" s="79"/>
      <c r="AC297" s="130"/>
      <c r="AE297" s="106"/>
    </row>
    <row r="298">
      <c r="C298" s="79"/>
      <c r="D298" s="79"/>
      <c r="E298" s="79"/>
      <c r="P298" s="79"/>
      <c r="Q298" s="79"/>
      <c r="R298" s="79"/>
      <c r="Y298" s="79"/>
      <c r="AC298" s="130"/>
      <c r="AE298" s="106"/>
    </row>
    <row r="299">
      <c r="C299" s="79"/>
      <c r="D299" s="79"/>
      <c r="E299" s="79"/>
      <c r="P299" s="79"/>
      <c r="Q299" s="79"/>
      <c r="R299" s="79"/>
      <c r="Y299" s="79"/>
      <c r="AC299" s="130"/>
      <c r="AE299" s="106"/>
    </row>
    <row r="300">
      <c r="C300" s="79"/>
      <c r="D300" s="79"/>
      <c r="E300" s="79"/>
      <c r="P300" s="79"/>
      <c r="Q300" s="79"/>
      <c r="R300" s="79"/>
      <c r="Y300" s="79"/>
      <c r="AC300" s="130"/>
      <c r="AE300" s="106"/>
    </row>
    <row r="301">
      <c r="C301" s="79"/>
      <c r="D301" s="79"/>
      <c r="E301" s="79"/>
      <c r="P301" s="79"/>
      <c r="Q301" s="79"/>
      <c r="R301" s="79"/>
      <c r="Y301" s="79"/>
      <c r="AC301" s="130"/>
      <c r="AE301" s="106"/>
    </row>
    <row r="302">
      <c r="C302" s="79"/>
      <c r="D302" s="79"/>
      <c r="E302" s="79"/>
      <c r="P302" s="79"/>
      <c r="Q302" s="79"/>
      <c r="R302" s="79"/>
      <c r="Y302" s="79"/>
      <c r="AC302" s="130"/>
      <c r="AE302" s="106"/>
    </row>
    <row r="303">
      <c r="C303" s="79"/>
      <c r="D303" s="79"/>
      <c r="E303" s="79"/>
      <c r="P303" s="79"/>
      <c r="Q303" s="79"/>
      <c r="R303" s="79"/>
      <c r="Y303" s="79"/>
      <c r="AC303" s="130"/>
      <c r="AE303" s="106"/>
    </row>
    <row r="304">
      <c r="C304" s="79"/>
      <c r="D304" s="79"/>
      <c r="E304" s="79"/>
      <c r="P304" s="79"/>
      <c r="Q304" s="79"/>
      <c r="R304" s="79"/>
      <c r="Y304" s="79"/>
      <c r="AC304" s="130"/>
      <c r="AE304" s="106"/>
    </row>
    <row r="305">
      <c r="C305" s="79"/>
      <c r="D305" s="79"/>
      <c r="E305" s="79"/>
      <c r="P305" s="79"/>
      <c r="Q305" s="79"/>
      <c r="R305" s="79"/>
      <c r="Y305" s="79"/>
      <c r="AC305" s="130"/>
      <c r="AE305" s="106"/>
    </row>
    <row r="306">
      <c r="C306" s="79"/>
      <c r="D306" s="79"/>
      <c r="E306" s="79"/>
      <c r="P306" s="79"/>
      <c r="Q306" s="79"/>
      <c r="R306" s="79"/>
      <c r="Y306" s="79"/>
      <c r="AC306" s="130"/>
      <c r="AE306" s="106"/>
    </row>
    <row r="307">
      <c r="C307" s="79"/>
      <c r="D307" s="79"/>
      <c r="E307" s="79"/>
      <c r="P307" s="79"/>
      <c r="Q307" s="79"/>
      <c r="R307" s="79"/>
      <c r="Y307" s="79"/>
      <c r="AC307" s="130"/>
      <c r="AE307" s="106"/>
    </row>
    <row r="308">
      <c r="C308" s="79"/>
      <c r="D308" s="79"/>
      <c r="E308" s="79"/>
      <c r="P308" s="79"/>
      <c r="Q308" s="79"/>
      <c r="R308" s="79"/>
      <c r="Y308" s="79"/>
      <c r="AC308" s="130"/>
      <c r="AE308" s="106"/>
    </row>
    <row r="309">
      <c r="C309" s="79"/>
      <c r="D309" s="79"/>
      <c r="E309" s="79"/>
      <c r="P309" s="79"/>
      <c r="Q309" s="79"/>
      <c r="R309" s="79"/>
      <c r="Y309" s="79"/>
      <c r="AC309" s="130"/>
      <c r="AE309" s="106"/>
    </row>
    <row r="310">
      <c r="C310" s="79"/>
      <c r="D310" s="79"/>
      <c r="E310" s="79"/>
      <c r="P310" s="79"/>
      <c r="Q310" s="79"/>
      <c r="R310" s="79"/>
      <c r="Y310" s="79"/>
      <c r="AC310" s="130"/>
      <c r="AE310" s="106"/>
    </row>
    <row r="311">
      <c r="C311" s="79"/>
      <c r="D311" s="79"/>
      <c r="E311" s="79"/>
      <c r="P311" s="79"/>
      <c r="Q311" s="79"/>
      <c r="R311" s="79"/>
      <c r="Y311" s="79"/>
      <c r="AC311" s="130"/>
      <c r="AE311" s="106"/>
    </row>
    <row r="312">
      <c r="C312" s="79"/>
      <c r="D312" s="79"/>
      <c r="E312" s="79"/>
      <c r="P312" s="79"/>
      <c r="Q312" s="79"/>
      <c r="R312" s="79"/>
      <c r="Y312" s="79"/>
      <c r="AC312" s="130"/>
      <c r="AE312" s="106"/>
    </row>
    <row r="313">
      <c r="C313" s="79"/>
      <c r="D313" s="79"/>
      <c r="E313" s="79"/>
      <c r="P313" s="79"/>
      <c r="Q313" s="79"/>
      <c r="R313" s="79"/>
      <c r="Y313" s="79"/>
      <c r="AC313" s="130"/>
      <c r="AE313" s="106"/>
    </row>
    <row r="314">
      <c r="C314" s="79"/>
      <c r="D314" s="79"/>
      <c r="E314" s="79"/>
      <c r="P314" s="79"/>
      <c r="Q314" s="79"/>
      <c r="R314" s="79"/>
      <c r="Y314" s="79"/>
      <c r="AC314" s="130"/>
      <c r="AE314" s="106"/>
    </row>
    <row r="315">
      <c r="C315" s="79"/>
      <c r="D315" s="79"/>
      <c r="E315" s="79"/>
      <c r="P315" s="79"/>
      <c r="Q315" s="79"/>
      <c r="R315" s="79"/>
      <c r="Y315" s="79"/>
      <c r="AC315" s="130"/>
      <c r="AE315" s="106"/>
    </row>
    <row r="316">
      <c r="C316" s="79"/>
      <c r="D316" s="79"/>
      <c r="E316" s="79"/>
      <c r="P316" s="79"/>
      <c r="Q316" s="79"/>
      <c r="R316" s="79"/>
      <c r="Y316" s="79"/>
      <c r="AC316" s="130"/>
      <c r="AE316" s="106"/>
    </row>
    <row r="317">
      <c r="C317" s="79"/>
      <c r="D317" s="79"/>
      <c r="E317" s="79"/>
      <c r="P317" s="79"/>
      <c r="Q317" s="79"/>
      <c r="R317" s="79"/>
      <c r="Y317" s="79"/>
      <c r="AC317" s="130"/>
      <c r="AE317" s="106"/>
    </row>
    <row r="318">
      <c r="C318" s="79"/>
      <c r="D318" s="79"/>
      <c r="E318" s="79"/>
      <c r="P318" s="79"/>
      <c r="Q318" s="79"/>
      <c r="R318" s="79"/>
      <c r="Y318" s="79"/>
      <c r="AC318" s="130"/>
      <c r="AE318" s="106"/>
    </row>
    <row r="319">
      <c r="C319" s="79"/>
      <c r="D319" s="79"/>
      <c r="E319" s="79"/>
      <c r="P319" s="79"/>
      <c r="Q319" s="79"/>
      <c r="R319" s="79"/>
      <c r="Y319" s="79"/>
      <c r="AC319" s="130"/>
      <c r="AE319" s="106"/>
    </row>
    <row r="320">
      <c r="C320" s="79"/>
      <c r="D320" s="79"/>
      <c r="E320" s="79"/>
      <c r="P320" s="79"/>
      <c r="Q320" s="79"/>
      <c r="R320" s="79"/>
      <c r="Y320" s="79"/>
      <c r="AC320" s="130"/>
      <c r="AE320" s="106"/>
    </row>
    <row r="321">
      <c r="C321" s="79"/>
      <c r="D321" s="79"/>
      <c r="E321" s="79"/>
      <c r="P321" s="79"/>
      <c r="Q321" s="79"/>
      <c r="R321" s="79"/>
      <c r="Y321" s="79"/>
      <c r="AC321" s="130"/>
      <c r="AE321" s="106"/>
    </row>
    <row r="322">
      <c r="C322" s="79"/>
      <c r="D322" s="79"/>
      <c r="E322" s="79"/>
      <c r="P322" s="79"/>
      <c r="Q322" s="79"/>
      <c r="R322" s="79"/>
      <c r="Y322" s="79"/>
      <c r="AC322" s="130"/>
      <c r="AE322" s="106"/>
    </row>
    <row r="323">
      <c r="C323" s="79"/>
      <c r="D323" s="79"/>
      <c r="E323" s="79"/>
      <c r="P323" s="79"/>
      <c r="Q323" s="79"/>
      <c r="R323" s="79"/>
      <c r="Y323" s="79"/>
      <c r="AC323" s="130"/>
      <c r="AE323" s="106"/>
    </row>
    <row r="324">
      <c r="C324" s="79"/>
      <c r="D324" s="79"/>
      <c r="E324" s="79"/>
      <c r="P324" s="79"/>
      <c r="Q324" s="79"/>
      <c r="R324" s="79"/>
      <c r="Y324" s="79"/>
      <c r="AC324" s="130"/>
      <c r="AE324" s="106"/>
    </row>
    <row r="325">
      <c r="C325" s="79"/>
      <c r="D325" s="79"/>
      <c r="E325" s="79"/>
      <c r="P325" s="79"/>
      <c r="Q325" s="79"/>
      <c r="R325" s="79"/>
      <c r="Y325" s="79"/>
      <c r="AC325" s="130"/>
      <c r="AE325" s="106"/>
    </row>
    <row r="326">
      <c r="C326" s="79"/>
      <c r="D326" s="79"/>
      <c r="E326" s="79"/>
      <c r="P326" s="79"/>
      <c r="Q326" s="79"/>
      <c r="R326" s="79"/>
      <c r="Y326" s="79"/>
      <c r="AC326" s="130"/>
      <c r="AE326" s="106"/>
    </row>
    <row r="327">
      <c r="C327" s="79"/>
      <c r="D327" s="79"/>
      <c r="E327" s="79"/>
      <c r="P327" s="79"/>
      <c r="Q327" s="79"/>
      <c r="R327" s="79"/>
      <c r="Y327" s="79"/>
      <c r="AC327" s="130"/>
      <c r="AE327" s="106"/>
    </row>
    <row r="328">
      <c r="C328" s="79"/>
      <c r="D328" s="79"/>
      <c r="E328" s="79"/>
      <c r="P328" s="79"/>
      <c r="Q328" s="79"/>
      <c r="R328" s="79"/>
      <c r="Y328" s="79"/>
      <c r="AC328" s="130"/>
      <c r="AE328" s="106"/>
    </row>
    <row r="329">
      <c r="C329" s="79"/>
      <c r="D329" s="79"/>
      <c r="E329" s="79"/>
      <c r="P329" s="79"/>
      <c r="Q329" s="79"/>
      <c r="R329" s="79"/>
      <c r="Y329" s="79"/>
      <c r="AC329" s="130"/>
      <c r="AE329" s="106"/>
    </row>
    <row r="330">
      <c r="C330" s="79"/>
      <c r="D330" s="79"/>
      <c r="E330" s="79"/>
      <c r="P330" s="79"/>
      <c r="Q330" s="79"/>
      <c r="R330" s="79"/>
      <c r="Y330" s="79"/>
      <c r="AC330" s="130"/>
      <c r="AE330" s="106"/>
    </row>
    <row r="331">
      <c r="C331" s="79"/>
      <c r="D331" s="79"/>
      <c r="E331" s="79"/>
      <c r="P331" s="79"/>
      <c r="Q331" s="79"/>
      <c r="R331" s="79"/>
      <c r="Y331" s="79"/>
      <c r="AC331" s="130"/>
      <c r="AE331" s="106"/>
    </row>
    <row r="332">
      <c r="C332" s="79"/>
      <c r="D332" s="79"/>
      <c r="E332" s="79"/>
      <c r="P332" s="79"/>
      <c r="Q332" s="79"/>
      <c r="R332" s="79"/>
      <c r="Y332" s="79"/>
      <c r="AC332" s="130"/>
      <c r="AE332" s="106"/>
    </row>
    <row r="333">
      <c r="C333" s="79"/>
      <c r="D333" s="79"/>
      <c r="E333" s="79"/>
      <c r="P333" s="79"/>
      <c r="Q333" s="79"/>
      <c r="R333" s="79"/>
      <c r="Y333" s="79"/>
      <c r="AC333" s="130"/>
      <c r="AE333" s="106"/>
    </row>
    <row r="334">
      <c r="C334" s="79"/>
      <c r="D334" s="79"/>
      <c r="E334" s="79"/>
      <c r="P334" s="79"/>
      <c r="Q334" s="79"/>
      <c r="R334" s="79"/>
      <c r="Y334" s="79"/>
      <c r="AC334" s="130"/>
      <c r="AE334" s="106"/>
    </row>
    <row r="335">
      <c r="C335" s="79"/>
      <c r="D335" s="79"/>
      <c r="E335" s="79"/>
      <c r="P335" s="79"/>
      <c r="Q335" s="79"/>
      <c r="R335" s="79"/>
      <c r="Y335" s="79"/>
      <c r="AC335" s="130"/>
      <c r="AE335" s="106"/>
    </row>
    <row r="336">
      <c r="C336" s="79"/>
      <c r="D336" s="79"/>
      <c r="E336" s="79"/>
      <c r="P336" s="79"/>
      <c r="Q336" s="79"/>
      <c r="R336" s="79"/>
      <c r="Y336" s="79"/>
      <c r="AC336" s="130"/>
      <c r="AE336" s="106"/>
    </row>
    <row r="337">
      <c r="C337" s="79"/>
      <c r="D337" s="79"/>
      <c r="E337" s="79"/>
      <c r="P337" s="79"/>
      <c r="Q337" s="79"/>
      <c r="R337" s="79"/>
      <c r="Y337" s="79"/>
      <c r="AC337" s="130"/>
      <c r="AE337" s="106"/>
    </row>
    <row r="338">
      <c r="C338" s="79"/>
      <c r="D338" s="79"/>
      <c r="E338" s="79"/>
      <c r="P338" s="79"/>
      <c r="Q338" s="79"/>
      <c r="R338" s="79"/>
      <c r="Y338" s="79"/>
      <c r="AC338" s="130"/>
      <c r="AE338" s="106"/>
    </row>
    <row r="339">
      <c r="C339" s="79"/>
      <c r="D339" s="79"/>
      <c r="E339" s="79"/>
      <c r="P339" s="79"/>
      <c r="Q339" s="79"/>
      <c r="R339" s="79"/>
      <c r="Y339" s="79"/>
      <c r="AC339" s="130"/>
      <c r="AE339" s="106"/>
    </row>
    <row r="340">
      <c r="C340" s="79"/>
      <c r="D340" s="79"/>
      <c r="E340" s="79"/>
      <c r="P340" s="79"/>
      <c r="Q340" s="79"/>
      <c r="R340" s="79"/>
      <c r="Y340" s="79"/>
      <c r="AC340" s="130"/>
      <c r="AE340" s="106"/>
    </row>
    <row r="341">
      <c r="C341" s="79"/>
      <c r="D341" s="79"/>
      <c r="E341" s="79"/>
      <c r="P341" s="79"/>
      <c r="Q341" s="79"/>
      <c r="R341" s="79"/>
      <c r="Y341" s="79"/>
      <c r="AC341" s="130"/>
      <c r="AE341" s="106"/>
    </row>
    <row r="342">
      <c r="C342" s="79"/>
      <c r="D342" s="79"/>
      <c r="E342" s="79"/>
      <c r="P342" s="79"/>
      <c r="Q342" s="79"/>
      <c r="R342" s="79"/>
      <c r="Y342" s="79"/>
      <c r="AC342" s="130"/>
      <c r="AE342" s="106"/>
    </row>
    <row r="343">
      <c r="C343" s="79"/>
      <c r="D343" s="79"/>
      <c r="E343" s="79"/>
      <c r="P343" s="79"/>
      <c r="Q343" s="79"/>
      <c r="R343" s="79"/>
      <c r="Y343" s="79"/>
      <c r="AC343" s="130"/>
      <c r="AE343" s="106"/>
    </row>
    <row r="344">
      <c r="C344" s="79"/>
      <c r="D344" s="79"/>
      <c r="E344" s="79"/>
      <c r="P344" s="79"/>
      <c r="Q344" s="79"/>
      <c r="R344" s="79"/>
      <c r="Y344" s="79"/>
      <c r="AC344" s="130"/>
      <c r="AE344" s="106"/>
    </row>
    <row r="345">
      <c r="C345" s="79"/>
      <c r="D345" s="79"/>
      <c r="E345" s="79"/>
      <c r="P345" s="79"/>
      <c r="Q345" s="79"/>
      <c r="R345" s="79"/>
      <c r="Y345" s="79"/>
      <c r="AC345" s="130"/>
      <c r="AE345" s="106"/>
    </row>
    <row r="346">
      <c r="C346" s="79"/>
      <c r="D346" s="79"/>
      <c r="E346" s="79"/>
      <c r="P346" s="79"/>
      <c r="Q346" s="79"/>
      <c r="R346" s="79"/>
      <c r="Y346" s="79"/>
      <c r="AC346" s="130"/>
      <c r="AE346" s="106"/>
    </row>
    <row r="347">
      <c r="C347" s="79"/>
      <c r="D347" s="79"/>
      <c r="E347" s="79"/>
      <c r="P347" s="79"/>
      <c r="Q347" s="79"/>
      <c r="R347" s="79"/>
      <c r="Y347" s="79"/>
      <c r="AC347" s="130"/>
      <c r="AE347" s="106"/>
    </row>
    <row r="348">
      <c r="C348" s="79"/>
      <c r="D348" s="79"/>
      <c r="E348" s="79"/>
      <c r="P348" s="79"/>
      <c r="Q348" s="79"/>
      <c r="R348" s="79"/>
      <c r="Y348" s="79"/>
      <c r="AC348" s="130"/>
      <c r="AE348" s="106"/>
    </row>
    <row r="349">
      <c r="C349" s="79"/>
      <c r="D349" s="79"/>
      <c r="E349" s="79"/>
      <c r="P349" s="79"/>
      <c r="Q349" s="79"/>
      <c r="R349" s="79"/>
      <c r="Y349" s="79"/>
      <c r="AC349" s="130"/>
      <c r="AE349" s="106"/>
    </row>
    <row r="350">
      <c r="C350" s="79"/>
      <c r="D350" s="79"/>
      <c r="E350" s="79"/>
      <c r="P350" s="79"/>
      <c r="Q350" s="79"/>
      <c r="R350" s="79"/>
      <c r="Y350" s="79"/>
      <c r="AC350" s="130"/>
      <c r="AE350" s="106"/>
    </row>
    <row r="351">
      <c r="C351" s="79"/>
      <c r="D351" s="79"/>
      <c r="E351" s="79"/>
      <c r="P351" s="79"/>
      <c r="Q351" s="79"/>
      <c r="R351" s="79"/>
      <c r="Y351" s="79"/>
      <c r="AC351" s="130"/>
      <c r="AE351" s="106"/>
    </row>
    <row r="352">
      <c r="C352" s="79"/>
      <c r="D352" s="79"/>
      <c r="E352" s="79"/>
      <c r="P352" s="79"/>
      <c r="Q352" s="79"/>
      <c r="R352" s="79"/>
      <c r="Y352" s="79"/>
      <c r="AC352" s="130"/>
      <c r="AE352" s="106"/>
    </row>
    <row r="353">
      <c r="C353" s="79"/>
      <c r="D353" s="79"/>
      <c r="E353" s="79"/>
      <c r="P353" s="79"/>
      <c r="Q353" s="79"/>
      <c r="R353" s="79"/>
      <c r="Y353" s="79"/>
      <c r="AC353" s="130"/>
      <c r="AE353" s="106"/>
    </row>
    <row r="354">
      <c r="C354" s="79"/>
      <c r="D354" s="79"/>
      <c r="E354" s="79"/>
      <c r="P354" s="79"/>
      <c r="Q354" s="79"/>
      <c r="R354" s="79"/>
      <c r="Y354" s="79"/>
      <c r="AC354" s="130"/>
      <c r="AE354" s="106"/>
    </row>
    <row r="355">
      <c r="C355" s="79"/>
      <c r="D355" s="79"/>
      <c r="E355" s="79"/>
      <c r="P355" s="79"/>
      <c r="Q355" s="79"/>
      <c r="R355" s="79"/>
      <c r="Y355" s="79"/>
      <c r="AC355" s="130"/>
      <c r="AE355" s="106"/>
    </row>
    <row r="356">
      <c r="C356" s="79"/>
      <c r="D356" s="79"/>
      <c r="E356" s="79"/>
      <c r="P356" s="79"/>
      <c r="Q356" s="79"/>
      <c r="R356" s="79"/>
      <c r="Y356" s="79"/>
      <c r="AC356" s="130"/>
      <c r="AE356" s="106"/>
    </row>
    <row r="357">
      <c r="C357" s="79"/>
      <c r="D357" s="79"/>
      <c r="E357" s="79"/>
      <c r="P357" s="79"/>
      <c r="Q357" s="79"/>
      <c r="R357" s="79"/>
      <c r="Y357" s="79"/>
      <c r="AC357" s="130"/>
      <c r="AE357" s="106"/>
    </row>
    <row r="358">
      <c r="C358" s="79"/>
      <c r="D358" s="79"/>
      <c r="E358" s="79"/>
      <c r="P358" s="79"/>
      <c r="Q358" s="79"/>
      <c r="R358" s="79"/>
      <c r="Y358" s="79"/>
      <c r="AC358" s="130"/>
      <c r="AE358" s="106"/>
    </row>
    <row r="359">
      <c r="C359" s="79"/>
      <c r="D359" s="79"/>
      <c r="E359" s="79"/>
      <c r="P359" s="79"/>
      <c r="Q359" s="79"/>
      <c r="R359" s="79"/>
      <c r="Y359" s="79"/>
      <c r="AC359" s="130"/>
      <c r="AE359" s="106"/>
    </row>
    <row r="360">
      <c r="C360" s="79"/>
      <c r="D360" s="79"/>
      <c r="E360" s="79"/>
      <c r="P360" s="79"/>
      <c r="Q360" s="79"/>
      <c r="R360" s="79"/>
      <c r="Y360" s="79"/>
      <c r="AC360" s="130"/>
      <c r="AE360" s="106"/>
    </row>
    <row r="361">
      <c r="C361" s="79"/>
      <c r="D361" s="79"/>
      <c r="E361" s="79"/>
      <c r="P361" s="79"/>
      <c r="Q361" s="79"/>
      <c r="R361" s="79"/>
      <c r="Y361" s="79"/>
      <c r="AC361" s="130"/>
      <c r="AE361" s="106"/>
    </row>
    <row r="362">
      <c r="C362" s="79"/>
      <c r="D362" s="79"/>
      <c r="E362" s="79"/>
      <c r="P362" s="79"/>
      <c r="Q362" s="79"/>
      <c r="R362" s="79"/>
      <c r="Y362" s="79"/>
      <c r="AC362" s="130"/>
      <c r="AE362" s="106"/>
    </row>
    <row r="363">
      <c r="C363" s="79"/>
      <c r="D363" s="79"/>
      <c r="E363" s="79"/>
      <c r="P363" s="79"/>
      <c r="Q363" s="79"/>
      <c r="R363" s="79"/>
      <c r="Y363" s="79"/>
      <c r="AC363" s="130"/>
      <c r="AE363" s="106"/>
    </row>
    <row r="364">
      <c r="C364" s="79"/>
      <c r="D364" s="79"/>
      <c r="E364" s="79"/>
      <c r="P364" s="79"/>
      <c r="Q364" s="79"/>
      <c r="R364" s="79"/>
      <c r="Y364" s="79"/>
      <c r="AC364" s="130"/>
      <c r="AE364" s="106"/>
    </row>
    <row r="365">
      <c r="C365" s="79"/>
      <c r="D365" s="79"/>
      <c r="E365" s="79"/>
      <c r="P365" s="79"/>
      <c r="Q365" s="79"/>
      <c r="R365" s="79"/>
      <c r="Y365" s="79"/>
      <c r="AC365" s="130"/>
      <c r="AE365" s="106"/>
    </row>
    <row r="366">
      <c r="C366" s="79"/>
      <c r="D366" s="79"/>
      <c r="E366" s="79"/>
      <c r="P366" s="79"/>
      <c r="Q366" s="79"/>
      <c r="R366" s="79"/>
      <c r="Y366" s="79"/>
      <c r="AC366" s="130"/>
      <c r="AE366" s="106"/>
    </row>
    <row r="367">
      <c r="C367" s="79"/>
      <c r="D367" s="79"/>
      <c r="E367" s="79"/>
      <c r="P367" s="79"/>
      <c r="Q367" s="79"/>
      <c r="R367" s="79"/>
      <c r="Y367" s="79"/>
      <c r="AC367" s="130"/>
      <c r="AE367" s="106"/>
    </row>
    <row r="368">
      <c r="C368" s="79"/>
      <c r="D368" s="79"/>
      <c r="E368" s="79"/>
      <c r="P368" s="79"/>
      <c r="Q368" s="79"/>
      <c r="R368" s="79"/>
      <c r="Y368" s="79"/>
      <c r="AC368" s="130"/>
      <c r="AE368" s="106"/>
    </row>
    <row r="369">
      <c r="C369" s="79"/>
      <c r="D369" s="79"/>
      <c r="E369" s="79"/>
      <c r="P369" s="79"/>
      <c r="Q369" s="79"/>
      <c r="R369" s="79"/>
      <c r="Y369" s="79"/>
      <c r="AC369" s="130"/>
      <c r="AE369" s="106"/>
    </row>
    <row r="370">
      <c r="C370" s="79"/>
      <c r="D370" s="79"/>
      <c r="E370" s="79"/>
      <c r="P370" s="79"/>
      <c r="Q370" s="79"/>
      <c r="R370" s="79"/>
      <c r="Y370" s="79"/>
      <c r="AC370" s="130"/>
      <c r="AE370" s="106"/>
    </row>
    <row r="371">
      <c r="C371" s="79"/>
      <c r="D371" s="79"/>
      <c r="E371" s="79"/>
      <c r="P371" s="79"/>
      <c r="Q371" s="79"/>
      <c r="R371" s="79"/>
      <c r="Y371" s="79"/>
      <c r="AC371" s="130"/>
      <c r="AE371" s="106"/>
    </row>
    <row r="372">
      <c r="C372" s="79"/>
      <c r="D372" s="79"/>
      <c r="E372" s="79"/>
      <c r="P372" s="79"/>
      <c r="Q372" s="79"/>
      <c r="R372" s="79"/>
      <c r="Y372" s="79"/>
      <c r="AC372" s="130"/>
      <c r="AE372" s="106"/>
    </row>
    <row r="373">
      <c r="C373" s="79"/>
      <c r="D373" s="79"/>
      <c r="E373" s="79"/>
      <c r="P373" s="79"/>
      <c r="Q373" s="79"/>
      <c r="R373" s="79"/>
      <c r="Y373" s="79"/>
      <c r="AC373" s="130"/>
      <c r="AE373" s="106"/>
    </row>
    <row r="374">
      <c r="C374" s="79"/>
      <c r="D374" s="79"/>
      <c r="E374" s="79"/>
      <c r="P374" s="79"/>
      <c r="Q374" s="79"/>
      <c r="R374" s="79"/>
      <c r="Y374" s="79"/>
      <c r="AC374" s="130"/>
      <c r="AE374" s="106"/>
    </row>
    <row r="375">
      <c r="C375" s="79"/>
      <c r="D375" s="79"/>
      <c r="E375" s="79"/>
      <c r="P375" s="79"/>
      <c r="Q375" s="79"/>
      <c r="R375" s="79"/>
      <c r="Y375" s="79"/>
      <c r="AC375" s="130"/>
      <c r="AE375" s="106"/>
    </row>
    <row r="376">
      <c r="C376" s="79"/>
      <c r="D376" s="79"/>
      <c r="E376" s="79"/>
      <c r="P376" s="79"/>
      <c r="Q376" s="79"/>
      <c r="R376" s="79"/>
      <c r="Y376" s="79"/>
      <c r="AC376" s="130"/>
      <c r="AE376" s="106"/>
    </row>
    <row r="377">
      <c r="C377" s="79"/>
      <c r="D377" s="79"/>
      <c r="E377" s="79"/>
      <c r="P377" s="79"/>
      <c r="Q377" s="79"/>
      <c r="R377" s="79"/>
      <c r="Y377" s="79"/>
      <c r="AC377" s="130"/>
      <c r="AE377" s="106"/>
    </row>
    <row r="378">
      <c r="C378" s="79"/>
      <c r="D378" s="79"/>
      <c r="E378" s="79"/>
      <c r="P378" s="79"/>
      <c r="Q378" s="79"/>
      <c r="R378" s="79"/>
      <c r="Y378" s="79"/>
      <c r="AC378" s="130"/>
      <c r="AE378" s="106"/>
    </row>
    <row r="379">
      <c r="C379" s="79"/>
      <c r="D379" s="79"/>
      <c r="E379" s="79"/>
      <c r="P379" s="79"/>
      <c r="Q379" s="79"/>
      <c r="R379" s="79"/>
      <c r="Y379" s="79"/>
      <c r="AC379" s="130"/>
      <c r="AE379" s="106"/>
    </row>
    <row r="380">
      <c r="C380" s="79"/>
      <c r="D380" s="79"/>
      <c r="E380" s="79"/>
      <c r="P380" s="79"/>
      <c r="Q380" s="79"/>
      <c r="R380" s="79"/>
      <c r="Y380" s="79"/>
      <c r="AC380" s="130"/>
      <c r="AE380" s="106"/>
    </row>
    <row r="381">
      <c r="C381" s="79"/>
      <c r="D381" s="79"/>
      <c r="E381" s="79"/>
      <c r="P381" s="79"/>
      <c r="Q381" s="79"/>
      <c r="R381" s="79"/>
      <c r="Y381" s="79"/>
      <c r="AC381" s="130"/>
      <c r="AE381" s="106"/>
    </row>
    <row r="382">
      <c r="C382" s="79"/>
      <c r="D382" s="79"/>
      <c r="E382" s="79"/>
      <c r="P382" s="79"/>
      <c r="Q382" s="79"/>
      <c r="R382" s="79"/>
      <c r="Y382" s="79"/>
      <c r="AC382" s="130"/>
      <c r="AE382" s="106"/>
    </row>
    <row r="383">
      <c r="C383" s="79"/>
      <c r="D383" s="79"/>
      <c r="E383" s="79"/>
      <c r="P383" s="79"/>
      <c r="Q383" s="79"/>
      <c r="R383" s="79"/>
      <c r="Y383" s="79"/>
      <c r="AC383" s="130"/>
      <c r="AE383" s="106"/>
    </row>
    <row r="384">
      <c r="C384" s="79"/>
      <c r="D384" s="79"/>
      <c r="E384" s="79"/>
      <c r="P384" s="79"/>
      <c r="Q384" s="79"/>
      <c r="R384" s="79"/>
      <c r="Y384" s="79"/>
      <c r="AC384" s="130"/>
      <c r="AE384" s="106"/>
    </row>
    <row r="385">
      <c r="C385" s="79"/>
      <c r="D385" s="79"/>
      <c r="E385" s="79"/>
      <c r="P385" s="79"/>
      <c r="Q385" s="79"/>
      <c r="R385" s="79"/>
      <c r="Y385" s="79"/>
      <c r="AC385" s="130"/>
      <c r="AE385" s="106"/>
    </row>
    <row r="386">
      <c r="C386" s="79"/>
      <c r="D386" s="79"/>
      <c r="E386" s="79"/>
      <c r="P386" s="79"/>
      <c r="Q386" s="79"/>
      <c r="R386" s="79"/>
      <c r="Y386" s="79"/>
      <c r="AC386" s="130"/>
      <c r="AE386" s="106"/>
    </row>
    <row r="387">
      <c r="C387" s="79"/>
      <c r="D387" s="79"/>
      <c r="E387" s="79"/>
      <c r="P387" s="79"/>
      <c r="Q387" s="79"/>
      <c r="R387" s="79"/>
      <c r="Y387" s="79"/>
      <c r="AC387" s="130"/>
      <c r="AE387" s="106"/>
    </row>
    <row r="388">
      <c r="C388" s="79"/>
      <c r="D388" s="79"/>
      <c r="E388" s="79"/>
      <c r="P388" s="79"/>
      <c r="Q388" s="79"/>
      <c r="R388" s="79"/>
      <c r="Y388" s="79"/>
      <c r="AC388" s="130"/>
      <c r="AE388" s="106"/>
    </row>
    <row r="389">
      <c r="C389" s="79"/>
      <c r="D389" s="79"/>
      <c r="E389" s="79"/>
      <c r="P389" s="79"/>
      <c r="Q389" s="79"/>
      <c r="R389" s="79"/>
      <c r="Y389" s="79"/>
      <c r="AC389" s="130"/>
      <c r="AE389" s="106"/>
    </row>
    <row r="390">
      <c r="C390" s="79"/>
      <c r="D390" s="79"/>
      <c r="E390" s="79"/>
      <c r="P390" s="79"/>
      <c r="Q390" s="79"/>
      <c r="R390" s="79"/>
      <c r="Y390" s="79"/>
      <c r="AC390" s="130"/>
      <c r="AE390" s="106"/>
    </row>
    <row r="391">
      <c r="C391" s="79"/>
      <c r="D391" s="79"/>
      <c r="E391" s="79"/>
      <c r="P391" s="79"/>
      <c r="Q391" s="79"/>
      <c r="R391" s="79"/>
      <c r="Y391" s="79"/>
      <c r="AC391" s="130"/>
      <c r="AE391" s="106"/>
    </row>
    <row r="392">
      <c r="C392" s="79"/>
      <c r="D392" s="79"/>
      <c r="E392" s="79"/>
      <c r="P392" s="79"/>
      <c r="Q392" s="79"/>
      <c r="R392" s="79"/>
      <c r="Y392" s="79"/>
      <c r="AC392" s="130"/>
      <c r="AE392" s="106"/>
    </row>
    <row r="393">
      <c r="C393" s="79"/>
      <c r="D393" s="79"/>
      <c r="E393" s="79"/>
      <c r="P393" s="79"/>
      <c r="Q393" s="79"/>
      <c r="R393" s="79"/>
      <c r="Y393" s="79"/>
      <c r="AC393" s="130"/>
      <c r="AE393" s="106"/>
    </row>
    <row r="394">
      <c r="C394" s="79"/>
      <c r="D394" s="79"/>
      <c r="E394" s="79"/>
      <c r="P394" s="79"/>
      <c r="Q394" s="79"/>
      <c r="R394" s="79"/>
      <c r="Y394" s="79"/>
      <c r="AC394" s="130"/>
      <c r="AE394" s="106"/>
    </row>
    <row r="395">
      <c r="C395" s="79"/>
      <c r="D395" s="79"/>
      <c r="E395" s="79"/>
      <c r="P395" s="79"/>
      <c r="Q395" s="79"/>
      <c r="R395" s="79"/>
      <c r="Y395" s="79"/>
      <c r="AC395" s="130"/>
      <c r="AE395" s="106"/>
    </row>
    <row r="396">
      <c r="C396" s="79"/>
      <c r="D396" s="79"/>
      <c r="E396" s="79"/>
      <c r="P396" s="79"/>
      <c r="Q396" s="79"/>
      <c r="R396" s="79"/>
      <c r="Y396" s="79"/>
      <c r="AC396" s="130"/>
      <c r="AE396" s="106"/>
    </row>
    <row r="397">
      <c r="C397" s="79"/>
      <c r="D397" s="79"/>
      <c r="E397" s="79"/>
      <c r="P397" s="79"/>
      <c r="Q397" s="79"/>
      <c r="R397" s="79"/>
      <c r="Y397" s="79"/>
      <c r="AC397" s="130"/>
      <c r="AE397" s="106"/>
    </row>
    <row r="398">
      <c r="C398" s="79"/>
      <c r="D398" s="79"/>
      <c r="E398" s="79"/>
      <c r="P398" s="79"/>
      <c r="Q398" s="79"/>
      <c r="R398" s="79"/>
      <c r="Y398" s="79"/>
      <c r="AC398" s="130"/>
      <c r="AE398" s="106"/>
    </row>
    <row r="399">
      <c r="C399" s="79"/>
      <c r="D399" s="79"/>
      <c r="E399" s="79"/>
      <c r="P399" s="79"/>
      <c r="Q399" s="79"/>
      <c r="R399" s="79"/>
      <c r="Y399" s="79"/>
      <c r="AC399" s="130"/>
      <c r="AE399" s="106"/>
    </row>
    <row r="400">
      <c r="C400" s="79"/>
      <c r="D400" s="79"/>
      <c r="E400" s="79"/>
      <c r="P400" s="79"/>
      <c r="Q400" s="79"/>
      <c r="R400" s="79"/>
      <c r="Y400" s="79"/>
      <c r="AC400" s="130"/>
      <c r="AE400" s="106"/>
    </row>
    <row r="401">
      <c r="C401" s="79"/>
      <c r="D401" s="79"/>
      <c r="E401" s="79"/>
      <c r="P401" s="79"/>
      <c r="Q401" s="79"/>
      <c r="R401" s="79"/>
      <c r="Y401" s="79"/>
      <c r="AC401" s="130"/>
      <c r="AE401" s="106"/>
    </row>
    <row r="402">
      <c r="C402" s="79"/>
      <c r="D402" s="79"/>
      <c r="E402" s="79"/>
      <c r="P402" s="79"/>
      <c r="Q402" s="79"/>
      <c r="R402" s="79"/>
      <c r="Y402" s="79"/>
      <c r="AC402" s="130"/>
      <c r="AE402" s="106"/>
    </row>
    <row r="403">
      <c r="C403" s="79"/>
      <c r="D403" s="79"/>
      <c r="E403" s="79"/>
      <c r="P403" s="79"/>
      <c r="Q403" s="79"/>
      <c r="R403" s="79"/>
      <c r="Y403" s="79"/>
      <c r="AC403" s="130"/>
      <c r="AE403" s="106"/>
    </row>
    <row r="404">
      <c r="C404" s="79"/>
      <c r="D404" s="79"/>
      <c r="E404" s="79"/>
      <c r="P404" s="79"/>
      <c r="Q404" s="79"/>
      <c r="R404" s="79"/>
      <c r="Y404" s="79"/>
      <c r="AC404" s="130"/>
      <c r="AE404" s="106"/>
    </row>
    <row r="405">
      <c r="C405" s="79"/>
      <c r="D405" s="79"/>
      <c r="E405" s="79"/>
      <c r="P405" s="79"/>
      <c r="Q405" s="79"/>
      <c r="R405" s="79"/>
      <c r="Y405" s="79"/>
      <c r="AC405" s="130"/>
      <c r="AE405" s="106"/>
    </row>
    <row r="406">
      <c r="C406" s="79"/>
      <c r="D406" s="79"/>
      <c r="E406" s="79"/>
      <c r="P406" s="79"/>
      <c r="Q406" s="79"/>
      <c r="R406" s="79"/>
      <c r="Y406" s="79"/>
      <c r="AC406" s="130"/>
      <c r="AE406" s="106"/>
    </row>
    <row r="407">
      <c r="C407" s="79"/>
      <c r="D407" s="79"/>
      <c r="E407" s="79"/>
      <c r="P407" s="79"/>
      <c r="Q407" s="79"/>
      <c r="R407" s="79"/>
      <c r="Y407" s="79"/>
      <c r="AC407" s="130"/>
      <c r="AE407" s="106"/>
    </row>
    <row r="408">
      <c r="C408" s="79"/>
      <c r="D408" s="79"/>
      <c r="E408" s="79"/>
      <c r="P408" s="79"/>
      <c r="Q408" s="79"/>
      <c r="R408" s="79"/>
      <c r="Y408" s="79"/>
      <c r="AC408" s="130"/>
      <c r="AE408" s="106"/>
    </row>
    <row r="409">
      <c r="C409" s="79"/>
      <c r="D409" s="79"/>
      <c r="E409" s="79"/>
      <c r="P409" s="79"/>
      <c r="Q409" s="79"/>
      <c r="R409" s="79"/>
      <c r="Y409" s="79"/>
      <c r="AC409" s="130"/>
      <c r="AE409" s="106"/>
    </row>
    <row r="410">
      <c r="C410" s="79"/>
      <c r="D410" s="79"/>
      <c r="E410" s="79"/>
      <c r="P410" s="79"/>
      <c r="Q410" s="79"/>
      <c r="R410" s="79"/>
      <c r="Y410" s="79"/>
      <c r="AC410" s="130"/>
      <c r="AE410" s="106"/>
    </row>
    <row r="411">
      <c r="C411" s="79"/>
      <c r="D411" s="79"/>
      <c r="E411" s="79"/>
      <c r="P411" s="79"/>
      <c r="Q411" s="79"/>
      <c r="R411" s="79"/>
      <c r="Y411" s="79"/>
      <c r="AC411" s="130"/>
      <c r="AE411" s="106"/>
    </row>
    <row r="412">
      <c r="C412" s="79"/>
      <c r="D412" s="79"/>
      <c r="E412" s="79"/>
      <c r="P412" s="79"/>
      <c r="Q412" s="79"/>
      <c r="R412" s="79"/>
      <c r="Y412" s="79"/>
      <c r="AC412" s="130"/>
      <c r="AE412" s="106"/>
    </row>
    <row r="413">
      <c r="C413" s="79"/>
      <c r="D413" s="79"/>
      <c r="E413" s="79"/>
      <c r="P413" s="79"/>
      <c r="Q413" s="79"/>
      <c r="R413" s="79"/>
      <c r="Y413" s="79"/>
      <c r="AC413" s="130"/>
      <c r="AE413" s="106"/>
    </row>
    <row r="414">
      <c r="C414" s="79"/>
      <c r="D414" s="79"/>
      <c r="E414" s="79"/>
      <c r="P414" s="79"/>
      <c r="Q414" s="79"/>
      <c r="R414" s="79"/>
      <c r="Y414" s="79"/>
      <c r="AC414" s="130"/>
      <c r="AE414" s="106"/>
    </row>
    <row r="415">
      <c r="C415" s="79"/>
      <c r="D415" s="79"/>
      <c r="E415" s="79"/>
      <c r="P415" s="79"/>
      <c r="Q415" s="79"/>
      <c r="R415" s="79"/>
      <c r="Y415" s="79"/>
      <c r="AC415" s="130"/>
      <c r="AE415" s="106"/>
    </row>
    <row r="416">
      <c r="C416" s="79"/>
      <c r="D416" s="79"/>
      <c r="E416" s="79"/>
      <c r="P416" s="79"/>
      <c r="Q416" s="79"/>
      <c r="R416" s="79"/>
      <c r="Y416" s="79"/>
      <c r="AC416" s="130"/>
      <c r="AE416" s="106"/>
    </row>
    <row r="417">
      <c r="C417" s="79"/>
      <c r="D417" s="79"/>
      <c r="E417" s="79"/>
      <c r="P417" s="79"/>
      <c r="Q417" s="79"/>
      <c r="R417" s="79"/>
      <c r="Y417" s="79"/>
      <c r="AC417" s="130"/>
      <c r="AE417" s="106"/>
    </row>
    <row r="418">
      <c r="C418" s="79"/>
      <c r="D418" s="79"/>
      <c r="E418" s="79"/>
      <c r="P418" s="79"/>
      <c r="Q418" s="79"/>
      <c r="R418" s="79"/>
      <c r="Y418" s="79"/>
      <c r="AC418" s="130"/>
      <c r="AE418" s="106"/>
    </row>
    <row r="419">
      <c r="C419" s="79"/>
      <c r="D419" s="79"/>
      <c r="E419" s="79"/>
      <c r="P419" s="79"/>
      <c r="Q419" s="79"/>
      <c r="R419" s="79"/>
      <c r="Y419" s="79"/>
      <c r="AC419" s="130"/>
      <c r="AE419" s="106"/>
    </row>
    <row r="420">
      <c r="C420" s="79"/>
      <c r="D420" s="79"/>
      <c r="E420" s="79"/>
      <c r="P420" s="79"/>
      <c r="Q420" s="79"/>
      <c r="R420" s="79"/>
      <c r="Y420" s="79"/>
      <c r="AC420" s="130"/>
      <c r="AE420" s="106"/>
    </row>
    <row r="421">
      <c r="C421" s="79"/>
      <c r="D421" s="79"/>
      <c r="E421" s="79"/>
      <c r="P421" s="79"/>
      <c r="Q421" s="79"/>
      <c r="R421" s="79"/>
      <c r="Y421" s="79"/>
      <c r="AC421" s="130"/>
      <c r="AE421" s="106"/>
    </row>
    <row r="422">
      <c r="C422" s="79"/>
      <c r="D422" s="79"/>
      <c r="E422" s="79"/>
      <c r="P422" s="79"/>
      <c r="Q422" s="79"/>
      <c r="R422" s="79"/>
      <c r="Y422" s="79"/>
      <c r="AC422" s="130"/>
      <c r="AE422" s="106"/>
    </row>
    <row r="423">
      <c r="C423" s="79"/>
      <c r="D423" s="79"/>
      <c r="E423" s="79"/>
      <c r="P423" s="79"/>
      <c r="Q423" s="79"/>
      <c r="R423" s="79"/>
      <c r="Y423" s="79"/>
      <c r="AC423" s="130"/>
      <c r="AE423" s="106"/>
    </row>
    <row r="424">
      <c r="C424" s="79"/>
      <c r="D424" s="79"/>
      <c r="E424" s="79"/>
      <c r="P424" s="79"/>
      <c r="Q424" s="79"/>
      <c r="R424" s="79"/>
      <c r="Y424" s="79"/>
      <c r="AC424" s="130"/>
      <c r="AE424" s="106"/>
    </row>
    <row r="425">
      <c r="C425" s="79"/>
      <c r="D425" s="79"/>
      <c r="E425" s="79"/>
      <c r="P425" s="79"/>
      <c r="Q425" s="79"/>
      <c r="R425" s="79"/>
      <c r="Y425" s="79"/>
      <c r="AC425" s="130"/>
      <c r="AE425" s="106"/>
    </row>
    <row r="426">
      <c r="C426" s="79"/>
      <c r="D426" s="79"/>
      <c r="E426" s="79"/>
      <c r="P426" s="79"/>
      <c r="Q426" s="79"/>
      <c r="R426" s="79"/>
      <c r="Y426" s="79"/>
      <c r="AC426" s="130"/>
      <c r="AE426" s="106"/>
    </row>
    <row r="427">
      <c r="C427" s="79"/>
      <c r="D427" s="79"/>
      <c r="E427" s="79"/>
      <c r="P427" s="79"/>
      <c r="Q427" s="79"/>
      <c r="R427" s="79"/>
      <c r="Y427" s="79"/>
      <c r="AC427" s="130"/>
      <c r="AE427" s="106"/>
    </row>
    <row r="428">
      <c r="C428" s="79"/>
      <c r="D428" s="79"/>
      <c r="E428" s="79"/>
      <c r="P428" s="79"/>
      <c r="Q428" s="79"/>
      <c r="R428" s="79"/>
      <c r="Y428" s="79"/>
      <c r="AC428" s="130"/>
      <c r="AE428" s="106"/>
    </row>
    <row r="429">
      <c r="C429" s="79"/>
      <c r="D429" s="79"/>
      <c r="E429" s="79"/>
      <c r="P429" s="79"/>
      <c r="Q429" s="79"/>
      <c r="R429" s="79"/>
      <c r="Y429" s="79"/>
      <c r="AC429" s="130"/>
      <c r="AE429" s="106"/>
    </row>
    <row r="430">
      <c r="C430" s="79"/>
      <c r="D430" s="79"/>
      <c r="E430" s="79"/>
      <c r="P430" s="79"/>
      <c r="Q430" s="79"/>
      <c r="R430" s="79"/>
      <c r="Y430" s="79"/>
      <c r="AC430" s="130"/>
      <c r="AE430" s="106"/>
    </row>
    <row r="431">
      <c r="C431" s="79"/>
      <c r="D431" s="79"/>
      <c r="E431" s="79"/>
      <c r="P431" s="79"/>
      <c r="Q431" s="79"/>
      <c r="R431" s="79"/>
      <c r="Y431" s="79"/>
      <c r="AC431" s="130"/>
      <c r="AE431" s="106"/>
    </row>
    <row r="432">
      <c r="C432" s="79"/>
      <c r="D432" s="79"/>
      <c r="E432" s="79"/>
      <c r="P432" s="79"/>
      <c r="Q432" s="79"/>
      <c r="R432" s="79"/>
      <c r="Y432" s="79"/>
      <c r="AC432" s="130"/>
      <c r="AE432" s="106"/>
    </row>
    <row r="433">
      <c r="C433" s="79"/>
      <c r="D433" s="79"/>
      <c r="E433" s="79"/>
      <c r="P433" s="79"/>
      <c r="Q433" s="79"/>
      <c r="R433" s="79"/>
      <c r="Y433" s="79"/>
      <c r="AC433" s="130"/>
      <c r="AE433" s="106"/>
    </row>
    <row r="434">
      <c r="C434" s="79"/>
      <c r="D434" s="79"/>
      <c r="E434" s="79"/>
      <c r="P434" s="79"/>
      <c r="Q434" s="79"/>
      <c r="R434" s="79"/>
      <c r="Y434" s="79"/>
      <c r="AC434" s="130"/>
      <c r="AE434" s="106"/>
    </row>
    <row r="435">
      <c r="C435" s="79"/>
      <c r="D435" s="79"/>
      <c r="E435" s="79"/>
      <c r="P435" s="79"/>
      <c r="Q435" s="79"/>
      <c r="R435" s="79"/>
      <c r="Y435" s="79"/>
      <c r="AC435" s="130"/>
      <c r="AE435" s="106"/>
    </row>
    <row r="436">
      <c r="C436" s="79"/>
      <c r="D436" s="79"/>
      <c r="E436" s="79"/>
      <c r="P436" s="79"/>
      <c r="Q436" s="79"/>
      <c r="R436" s="79"/>
      <c r="Y436" s="79"/>
      <c r="AC436" s="130"/>
      <c r="AE436" s="106"/>
    </row>
    <row r="437">
      <c r="C437" s="79"/>
      <c r="D437" s="79"/>
      <c r="E437" s="79"/>
      <c r="P437" s="79"/>
      <c r="Q437" s="79"/>
      <c r="R437" s="79"/>
      <c r="Y437" s="79"/>
      <c r="AC437" s="130"/>
      <c r="AE437" s="106"/>
    </row>
    <row r="438">
      <c r="C438" s="79"/>
      <c r="D438" s="79"/>
      <c r="E438" s="79"/>
      <c r="P438" s="79"/>
      <c r="Q438" s="79"/>
      <c r="R438" s="79"/>
      <c r="Y438" s="79"/>
      <c r="AC438" s="130"/>
      <c r="AE438" s="106"/>
    </row>
    <row r="439">
      <c r="C439" s="79"/>
      <c r="D439" s="79"/>
      <c r="E439" s="79"/>
      <c r="P439" s="79"/>
      <c r="Q439" s="79"/>
      <c r="R439" s="79"/>
      <c r="Y439" s="79"/>
      <c r="AC439" s="130"/>
      <c r="AE439" s="106"/>
    </row>
    <row r="440">
      <c r="C440" s="79"/>
      <c r="D440" s="79"/>
      <c r="E440" s="79"/>
      <c r="P440" s="79"/>
      <c r="Q440" s="79"/>
      <c r="R440" s="79"/>
      <c r="Y440" s="79"/>
      <c r="AC440" s="130"/>
      <c r="AE440" s="106"/>
    </row>
    <row r="441">
      <c r="C441" s="79"/>
      <c r="D441" s="79"/>
      <c r="E441" s="79"/>
      <c r="P441" s="79"/>
      <c r="Q441" s="79"/>
      <c r="R441" s="79"/>
      <c r="Y441" s="79"/>
      <c r="AC441" s="130"/>
      <c r="AE441" s="106"/>
    </row>
    <row r="442">
      <c r="C442" s="79"/>
      <c r="D442" s="79"/>
      <c r="E442" s="79"/>
      <c r="P442" s="79"/>
      <c r="Q442" s="79"/>
      <c r="R442" s="79"/>
      <c r="Y442" s="79"/>
      <c r="AC442" s="130"/>
      <c r="AE442" s="106"/>
    </row>
    <row r="443">
      <c r="C443" s="79"/>
      <c r="D443" s="79"/>
      <c r="E443" s="79"/>
      <c r="P443" s="79"/>
      <c r="Q443" s="79"/>
      <c r="R443" s="79"/>
      <c r="Y443" s="79"/>
      <c r="AC443" s="130"/>
      <c r="AE443" s="106"/>
    </row>
    <row r="444">
      <c r="C444" s="79"/>
      <c r="D444" s="79"/>
      <c r="E444" s="79"/>
      <c r="P444" s="79"/>
      <c r="Q444" s="79"/>
      <c r="R444" s="79"/>
      <c r="Y444" s="79"/>
      <c r="AC444" s="130"/>
      <c r="AE444" s="106"/>
    </row>
    <row r="445">
      <c r="C445" s="79"/>
      <c r="D445" s="79"/>
      <c r="E445" s="79"/>
      <c r="P445" s="79"/>
      <c r="Q445" s="79"/>
      <c r="R445" s="79"/>
      <c r="Y445" s="79"/>
      <c r="AC445" s="130"/>
      <c r="AE445" s="106"/>
    </row>
    <row r="446">
      <c r="C446" s="79"/>
      <c r="D446" s="79"/>
      <c r="E446" s="79"/>
      <c r="P446" s="79"/>
      <c r="Q446" s="79"/>
      <c r="R446" s="79"/>
      <c r="Y446" s="79"/>
      <c r="AC446" s="130"/>
      <c r="AE446" s="106"/>
    </row>
    <row r="447">
      <c r="C447" s="79"/>
      <c r="D447" s="79"/>
      <c r="E447" s="79"/>
      <c r="P447" s="79"/>
      <c r="Q447" s="79"/>
      <c r="R447" s="79"/>
      <c r="Y447" s="79"/>
      <c r="AC447" s="130"/>
      <c r="AE447" s="106"/>
    </row>
    <row r="448">
      <c r="C448" s="79"/>
      <c r="D448" s="79"/>
      <c r="E448" s="79"/>
      <c r="P448" s="79"/>
      <c r="Q448" s="79"/>
      <c r="R448" s="79"/>
      <c r="Y448" s="79"/>
      <c r="AC448" s="130"/>
      <c r="AE448" s="106"/>
    </row>
    <row r="449">
      <c r="C449" s="79"/>
      <c r="D449" s="79"/>
      <c r="E449" s="79"/>
      <c r="P449" s="79"/>
      <c r="Q449" s="79"/>
      <c r="R449" s="79"/>
      <c r="Y449" s="79"/>
      <c r="AC449" s="130"/>
      <c r="AE449" s="106"/>
    </row>
    <row r="450">
      <c r="C450" s="79"/>
      <c r="D450" s="79"/>
      <c r="E450" s="79"/>
      <c r="P450" s="79"/>
      <c r="Q450" s="79"/>
      <c r="R450" s="79"/>
      <c r="Y450" s="79"/>
      <c r="AC450" s="130"/>
      <c r="AE450" s="106"/>
    </row>
    <row r="451">
      <c r="C451" s="79"/>
      <c r="D451" s="79"/>
      <c r="E451" s="79"/>
      <c r="P451" s="79"/>
      <c r="Q451" s="79"/>
      <c r="R451" s="79"/>
      <c r="Y451" s="79"/>
      <c r="AC451" s="130"/>
      <c r="AE451" s="106"/>
    </row>
    <row r="452">
      <c r="C452" s="79"/>
      <c r="D452" s="79"/>
      <c r="E452" s="79"/>
      <c r="P452" s="79"/>
      <c r="Q452" s="79"/>
      <c r="R452" s="79"/>
      <c r="Y452" s="79"/>
      <c r="AC452" s="130"/>
      <c r="AE452" s="106"/>
    </row>
    <row r="453">
      <c r="C453" s="79"/>
      <c r="D453" s="79"/>
      <c r="E453" s="79"/>
      <c r="P453" s="79"/>
      <c r="Q453" s="79"/>
      <c r="R453" s="79"/>
      <c r="Y453" s="79"/>
      <c r="AC453" s="130"/>
      <c r="AE453" s="106"/>
    </row>
    <row r="454">
      <c r="C454" s="79"/>
      <c r="D454" s="79"/>
      <c r="E454" s="79"/>
      <c r="P454" s="79"/>
      <c r="Q454" s="79"/>
      <c r="R454" s="79"/>
      <c r="Y454" s="79"/>
      <c r="AC454" s="130"/>
      <c r="AE454" s="106"/>
    </row>
    <row r="455">
      <c r="C455" s="79"/>
      <c r="D455" s="79"/>
      <c r="E455" s="79"/>
      <c r="P455" s="79"/>
      <c r="Q455" s="79"/>
      <c r="R455" s="79"/>
      <c r="Y455" s="79"/>
      <c r="AC455" s="130"/>
      <c r="AE455" s="106"/>
    </row>
    <row r="456">
      <c r="C456" s="79"/>
      <c r="D456" s="79"/>
      <c r="E456" s="79"/>
      <c r="P456" s="79"/>
      <c r="Q456" s="79"/>
      <c r="R456" s="79"/>
      <c r="Y456" s="79"/>
      <c r="AC456" s="130"/>
      <c r="AE456" s="106"/>
    </row>
    <row r="457">
      <c r="C457" s="79"/>
      <c r="D457" s="79"/>
      <c r="E457" s="79"/>
      <c r="P457" s="79"/>
      <c r="Q457" s="79"/>
      <c r="R457" s="79"/>
      <c r="Y457" s="79"/>
      <c r="AC457" s="130"/>
      <c r="AE457" s="106"/>
    </row>
    <row r="458">
      <c r="C458" s="79"/>
      <c r="D458" s="79"/>
      <c r="E458" s="79"/>
      <c r="P458" s="79"/>
      <c r="Q458" s="79"/>
      <c r="R458" s="79"/>
      <c r="Y458" s="79"/>
      <c r="AC458" s="130"/>
      <c r="AE458" s="106"/>
    </row>
    <row r="459">
      <c r="C459" s="79"/>
      <c r="D459" s="79"/>
      <c r="E459" s="79"/>
      <c r="P459" s="79"/>
      <c r="Q459" s="79"/>
      <c r="R459" s="79"/>
      <c r="Y459" s="79"/>
      <c r="AC459" s="130"/>
      <c r="AE459" s="106"/>
    </row>
    <row r="460">
      <c r="C460" s="79"/>
      <c r="D460" s="79"/>
      <c r="E460" s="79"/>
      <c r="P460" s="79"/>
      <c r="Q460" s="79"/>
      <c r="R460" s="79"/>
      <c r="Y460" s="79"/>
      <c r="AC460" s="130"/>
      <c r="AE460" s="106"/>
    </row>
    <row r="461">
      <c r="C461" s="79"/>
      <c r="D461" s="79"/>
      <c r="E461" s="79"/>
      <c r="P461" s="79"/>
      <c r="Q461" s="79"/>
      <c r="R461" s="79"/>
      <c r="Y461" s="79"/>
      <c r="AC461" s="130"/>
      <c r="AE461" s="106"/>
    </row>
    <row r="462">
      <c r="C462" s="79"/>
      <c r="D462" s="79"/>
      <c r="E462" s="79"/>
      <c r="P462" s="79"/>
      <c r="Q462" s="79"/>
      <c r="R462" s="79"/>
      <c r="Y462" s="79"/>
      <c r="AC462" s="130"/>
      <c r="AE462" s="106"/>
    </row>
    <row r="463">
      <c r="C463" s="79"/>
      <c r="D463" s="79"/>
      <c r="E463" s="79"/>
      <c r="P463" s="79"/>
      <c r="Q463" s="79"/>
      <c r="R463" s="79"/>
      <c r="Y463" s="79"/>
      <c r="AC463" s="130"/>
      <c r="AE463" s="106"/>
    </row>
    <row r="464">
      <c r="C464" s="79"/>
      <c r="D464" s="79"/>
      <c r="E464" s="79"/>
      <c r="P464" s="79"/>
      <c r="Q464" s="79"/>
      <c r="R464" s="79"/>
      <c r="Y464" s="79"/>
      <c r="AC464" s="130"/>
      <c r="AE464" s="106"/>
    </row>
    <row r="465">
      <c r="C465" s="79"/>
      <c r="D465" s="79"/>
      <c r="E465" s="79"/>
      <c r="P465" s="79"/>
      <c r="Q465" s="79"/>
      <c r="R465" s="79"/>
      <c r="Y465" s="79"/>
      <c r="AC465" s="130"/>
      <c r="AE465" s="106"/>
    </row>
    <row r="466">
      <c r="C466" s="79"/>
      <c r="D466" s="79"/>
      <c r="E466" s="79"/>
      <c r="P466" s="79"/>
      <c r="Q466" s="79"/>
      <c r="R466" s="79"/>
      <c r="Y466" s="79"/>
      <c r="AC466" s="130"/>
      <c r="AE466" s="106"/>
    </row>
    <row r="467">
      <c r="C467" s="79"/>
      <c r="D467" s="79"/>
      <c r="E467" s="79"/>
      <c r="P467" s="79"/>
      <c r="Q467" s="79"/>
      <c r="R467" s="79"/>
      <c r="Y467" s="79"/>
      <c r="AC467" s="130"/>
      <c r="AE467" s="106"/>
    </row>
    <row r="468">
      <c r="C468" s="79"/>
      <c r="D468" s="79"/>
      <c r="E468" s="79"/>
      <c r="P468" s="79"/>
      <c r="Q468" s="79"/>
      <c r="R468" s="79"/>
      <c r="Y468" s="79"/>
      <c r="AC468" s="130"/>
      <c r="AE468" s="106"/>
    </row>
    <row r="469">
      <c r="C469" s="79"/>
      <c r="D469" s="79"/>
      <c r="E469" s="79"/>
      <c r="P469" s="79"/>
      <c r="Q469" s="79"/>
      <c r="R469" s="79"/>
      <c r="Y469" s="79"/>
      <c r="AC469" s="130"/>
      <c r="AE469" s="106"/>
    </row>
    <row r="470">
      <c r="C470" s="79"/>
      <c r="D470" s="79"/>
      <c r="E470" s="79"/>
      <c r="P470" s="79"/>
      <c r="Q470" s="79"/>
      <c r="R470" s="79"/>
      <c r="Y470" s="79"/>
      <c r="AC470" s="130"/>
      <c r="AE470" s="106"/>
    </row>
    <row r="471">
      <c r="C471" s="79"/>
      <c r="D471" s="79"/>
      <c r="E471" s="79"/>
      <c r="P471" s="79"/>
      <c r="Q471" s="79"/>
      <c r="R471" s="79"/>
      <c r="Y471" s="79"/>
      <c r="AC471" s="130"/>
      <c r="AE471" s="106"/>
    </row>
    <row r="472">
      <c r="C472" s="79"/>
      <c r="D472" s="79"/>
      <c r="E472" s="79"/>
      <c r="P472" s="79"/>
      <c r="Q472" s="79"/>
      <c r="R472" s="79"/>
      <c r="Y472" s="79"/>
      <c r="AC472" s="130"/>
      <c r="AE472" s="106"/>
    </row>
    <row r="473">
      <c r="C473" s="79"/>
      <c r="D473" s="79"/>
      <c r="E473" s="79"/>
      <c r="P473" s="79"/>
      <c r="Q473" s="79"/>
      <c r="R473" s="79"/>
      <c r="Y473" s="79"/>
      <c r="AC473" s="130"/>
      <c r="AE473" s="106"/>
    </row>
    <row r="474">
      <c r="C474" s="79"/>
      <c r="D474" s="79"/>
      <c r="E474" s="79"/>
      <c r="P474" s="79"/>
      <c r="Q474" s="79"/>
      <c r="R474" s="79"/>
      <c r="Y474" s="79"/>
      <c r="AC474" s="130"/>
      <c r="AE474" s="106"/>
    </row>
    <row r="475">
      <c r="C475" s="79"/>
      <c r="D475" s="79"/>
      <c r="E475" s="79"/>
      <c r="P475" s="79"/>
      <c r="Q475" s="79"/>
      <c r="R475" s="79"/>
      <c r="Y475" s="79"/>
      <c r="AC475" s="130"/>
      <c r="AE475" s="106"/>
    </row>
    <row r="476">
      <c r="C476" s="79"/>
      <c r="D476" s="79"/>
      <c r="E476" s="79"/>
      <c r="P476" s="79"/>
      <c r="Q476" s="79"/>
      <c r="R476" s="79"/>
      <c r="Y476" s="79"/>
      <c r="AC476" s="130"/>
      <c r="AE476" s="106"/>
    </row>
    <row r="477">
      <c r="C477" s="79"/>
      <c r="D477" s="79"/>
      <c r="E477" s="79"/>
      <c r="P477" s="79"/>
      <c r="Q477" s="79"/>
      <c r="R477" s="79"/>
      <c r="Y477" s="79"/>
      <c r="AC477" s="130"/>
      <c r="AE477" s="106"/>
    </row>
    <row r="478">
      <c r="C478" s="79"/>
      <c r="D478" s="79"/>
      <c r="E478" s="79"/>
      <c r="P478" s="79"/>
      <c r="Q478" s="79"/>
      <c r="R478" s="79"/>
      <c r="Y478" s="79"/>
      <c r="AC478" s="130"/>
      <c r="AE478" s="106"/>
    </row>
    <row r="479">
      <c r="C479" s="79"/>
      <c r="D479" s="79"/>
      <c r="E479" s="79"/>
      <c r="P479" s="79"/>
      <c r="Q479" s="79"/>
      <c r="R479" s="79"/>
      <c r="Y479" s="79"/>
      <c r="AC479" s="130"/>
      <c r="AE479" s="106"/>
    </row>
    <row r="480">
      <c r="C480" s="79"/>
      <c r="D480" s="79"/>
      <c r="E480" s="79"/>
      <c r="P480" s="79"/>
      <c r="Q480" s="79"/>
      <c r="R480" s="79"/>
      <c r="Y480" s="79"/>
      <c r="AC480" s="130"/>
      <c r="AE480" s="106"/>
    </row>
    <row r="481">
      <c r="C481" s="79"/>
      <c r="D481" s="79"/>
      <c r="E481" s="79"/>
      <c r="P481" s="79"/>
      <c r="Q481" s="79"/>
      <c r="R481" s="79"/>
      <c r="Y481" s="79"/>
      <c r="AC481" s="130"/>
      <c r="AE481" s="106"/>
    </row>
    <row r="482">
      <c r="C482" s="79"/>
      <c r="D482" s="79"/>
      <c r="E482" s="79"/>
      <c r="P482" s="79"/>
      <c r="Q482" s="79"/>
      <c r="R482" s="79"/>
      <c r="Y482" s="79"/>
      <c r="AC482" s="130"/>
      <c r="AE482" s="106"/>
    </row>
    <row r="483">
      <c r="C483" s="79"/>
      <c r="D483" s="79"/>
      <c r="E483" s="79"/>
      <c r="P483" s="79"/>
      <c r="Q483" s="79"/>
      <c r="R483" s="79"/>
      <c r="Y483" s="79"/>
      <c r="AC483" s="130"/>
      <c r="AE483" s="106"/>
    </row>
    <row r="484">
      <c r="C484" s="79"/>
      <c r="D484" s="79"/>
      <c r="E484" s="79"/>
      <c r="P484" s="79"/>
      <c r="Q484" s="79"/>
      <c r="R484" s="79"/>
      <c r="Y484" s="79"/>
      <c r="AC484" s="130"/>
      <c r="AE484" s="106"/>
    </row>
    <row r="485">
      <c r="C485" s="79"/>
      <c r="D485" s="79"/>
      <c r="E485" s="79"/>
      <c r="P485" s="79"/>
      <c r="Q485" s="79"/>
      <c r="R485" s="79"/>
      <c r="Y485" s="79"/>
      <c r="AC485" s="130"/>
      <c r="AE485" s="106"/>
    </row>
    <row r="486">
      <c r="C486" s="79"/>
      <c r="D486" s="79"/>
      <c r="E486" s="79"/>
      <c r="P486" s="79"/>
      <c r="Q486" s="79"/>
      <c r="R486" s="79"/>
      <c r="Y486" s="79"/>
      <c r="AC486" s="130"/>
      <c r="AE486" s="106"/>
    </row>
    <row r="487">
      <c r="C487" s="79"/>
      <c r="D487" s="79"/>
      <c r="E487" s="79"/>
      <c r="P487" s="79"/>
      <c r="Q487" s="79"/>
      <c r="R487" s="79"/>
      <c r="Y487" s="79"/>
      <c r="AC487" s="130"/>
      <c r="AE487" s="106"/>
    </row>
    <row r="488">
      <c r="C488" s="79"/>
      <c r="D488" s="79"/>
      <c r="E488" s="79"/>
      <c r="P488" s="79"/>
      <c r="Q488" s="79"/>
      <c r="R488" s="79"/>
      <c r="Y488" s="79"/>
      <c r="AC488" s="130"/>
      <c r="AE488" s="106"/>
    </row>
    <row r="489">
      <c r="C489" s="79"/>
      <c r="D489" s="79"/>
      <c r="E489" s="79"/>
      <c r="P489" s="79"/>
      <c r="Q489" s="79"/>
      <c r="R489" s="79"/>
      <c r="Y489" s="79"/>
      <c r="AC489" s="130"/>
      <c r="AE489" s="106"/>
    </row>
    <row r="490">
      <c r="C490" s="79"/>
      <c r="D490" s="79"/>
      <c r="E490" s="79"/>
      <c r="P490" s="79"/>
      <c r="Q490" s="79"/>
      <c r="R490" s="79"/>
      <c r="Y490" s="79"/>
      <c r="AC490" s="130"/>
      <c r="AE490" s="106"/>
    </row>
    <row r="491">
      <c r="C491" s="79"/>
      <c r="D491" s="79"/>
      <c r="E491" s="79"/>
      <c r="P491" s="79"/>
      <c r="Q491" s="79"/>
      <c r="R491" s="79"/>
      <c r="Y491" s="79"/>
      <c r="AC491" s="130"/>
      <c r="AE491" s="106"/>
    </row>
    <row r="492">
      <c r="C492" s="79"/>
      <c r="D492" s="79"/>
      <c r="E492" s="79"/>
      <c r="P492" s="79"/>
      <c r="Q492" s="79"/>
      <c r="R492" s="79"/>
      <c r="Y492" s="79"/>
      <c r="AC492" s="130"/>
      <c r="AE492" s="106"/>
    </row>
    <row r="493">
      <c r="C493" s="79"/>
      <c r="D493" s="79"/>
      <c r="E493" s="79"/>
      <c r="P493" s="79"/>
      <c r="Q493" s="79"/>
      <c r="R493" s="79"/>
      <c r="Y493" s="79"/>
      <c r="AC493" s="130"/>
      <c r="AE493" s="106"/>
    </row>
    <row r="494">
      <c r="C494" s="79"/>
      <c r="D494" s="79"/>
      <c r="E494" s="79"/>
      <c r="P494" s="79"/>
      <c r="Q494" s="79"/>
      <c r="R494" s="79"/>
      <c r="Y494" s="79"/>
      <c r="AC494" s="130"/>
      <c r="AE494" s="106"/>
    </row>
    <row r="495">
      <c r="C495" s="79"/>
      <c r="D495" s="79"/>
      <c r="E495" s="79"/>
      <c r="P495" s="79"/>
      <c r="Q495" s="79"/>
      <c r="R495" s="79"/>
      <c r="Y495" s="79"/>
      <c r="AC495" s="130"/>
      <c r="AE495" s="106"/>
    </row>
    <row r="496">
      <c r="C496" s="79"/>
      <c r="D496" s="79"/>
      <c r="E496" s="79"/>
      <c r="P496" s="79"/>
      <c r="Q496" s="79"/>
      <c r="R496" s="79"/>
      <c r="Y496" s="79"/>
      <c r="AC496" s="130"/>
      <c r="AE496" s="106"/>
    </row>
    <row r="497">
      <c r="C497" s="79"/>
      <c r="D497" s="79"/>
      <c r="E497" s="79"/>
      <c r="P497" s="79"/>
      <c r="Q497" s="79"/>
      <c r="R497" s="79"/>
      <c r="Y497" s="79"/>
      <c r="AC497" s="130"/>
      <c r="AE497" s="106"/>
    </row>
    <row r="498">
      <c r="C498" s="79"/>
      <c r="D498" s="79"/>
      <c r="E498" s="79"/>
      <c r="P498" s="79"/>
      <c r="Q498" s="79"/>
      <c r="R498" s="79"/>
      <c r="Y498" s="79"/>
      <c r="AC498" s="130"/>
      <c r="AE498" s="106"/>
    </row>
    <row r="499">
      <c r="C499" s="79"/>
      <c r="D499" s="79"/>
      <c r="E499" s="79"/>
      <c r="P499" s="79"/>
      <c r="Q499" s="79"/>
      <c r="R499" s="79"/>
      <c r="Y499" s="79"/>
      <c r="AC499" s="130"/>
      <c r="AE499" s="106"/>
    </row>
    <row r="500">
      <c r="C500" s="79"/>
      <c r="D500" s="79"/>
      <c r="E500" s="79"/>
      <c r="P500" s="79"/>
      <c r="Q500" s="79"/>
      <c r="R500" s="79"/>
      <c r="Y500" s="79"/>
      <c r="AC500" s="130"/>
      <c r="AE500" s="106"/>
    </row>
    <row r="501">
      <c r="C501" s="79"/>
      <c r="D501" s="79"/>
      <c r="E501" s="79"/>
      <c r="P501" s="79"/>
      <c r="Q501" s="79"/>
      <c r="R501" s="79"/>
      <c r="Y501" s="79"/>
      <c r="AC501" s="130"/>
      <c r="AE501" s="106"/>
    </row>
    <row r="502">
      <c r="C502" s="79"/>
      <c r="D502" s="79"/>
      <c r="E502" s="79"/>
      <c r="P502" s="79"/>
      <c r="Q502" s="79"/>
      <c r="R502" s="79"/>
      <c r="Y502" s="79"/>
      <c r="AC502" s="130"/>
      <c r="AE502" s="106"/>
    </row>
    <row r="503">
      <c r="C503" s="79"/>
      <c r="D503" s="79"/>
      <c r="E503" s="79"/>
      <c r="P503" s="79"/>
      <c r="Q503" s="79"/>
      <c r="R503" s="79"/>
      <c r="Y503" s="79"/>
      <c r="AC503" s="130"/>
      <c r="AE503" s="106"/>
    </row>
    <row r="504">
      <c r="C504" s="79"/>
      <c r="D504" s="79"/>
      <c r="E504" s="79"/>
      <c r="P504" s="79"/>
      <c r="Q504" s="79"/>
      <c r="R504" s="79"/>
      <c r="Y504" s="79"/>
      <c r="AC504" s="130"/>
      <c r="AE504" s="106"/>
    </row>
    <row r="505">
      <c r="C505" s="79"/>
      <c r="D505" s="79"/>
      <c r="E505" s="79"/>
      <c r="P505" s="79"/>
      <c r="Q505" s="79"/>
      <c r="R505" s="79"/>
      <c r="Y505" s="79"/>
      <c r="AC505" s="130"/>
      <c r="AE505" s="106"/>
    </row>
    <row r="506">
      <c r="C506" s="79"/>
      <c r="D506" s="79"/>
      <c r="E506" s="79"/>
      <c r="P506" s="79"/>
      <c r="Q506" s="79"/>
      <c r="R506" s="79"/>
      <c r="Y506" s="79"/>
      <c r="AC506" s="130"/>
      <c r="AE506" s="106"/>
    </row>
    <row r="507">
      <c r="C507" s="79"/>
      <c r="D507" s="79"/>
      <c r="E507" s="79"/>
      <c r="P507" s="79"/>
      <c r="Q507" s="79"/>
      <c r="R507" s="79"/>
      <c r="Y507" s="79"/>
      <c r="AC507" s="130"/>
      <c r="AE507" s="106"/>
    </row>
    <row r="508">
      <c r="C508" s="79"/>
      <c r="D508" s="79"/>
      <c r="E508" s="79"/>
      <c r="P508" s="79"/>
      <c r="Q508" s="79"/>
      <c r="R508" s="79"/>
      <c r="Y508" s="79"/>
      <c r="AC508" s="130"/>
      <c r="AE508" s="106"/>
    </row>
    <row r="509">
      <c r="C509" s="79"/>
      <c r="D509" s="79"/>
      <c r="E509" s="79"/>
      <c r="P509" s="79"/>
      <c r="Q509" s="79"/>
      <c r="R509" s="79"/>
      <c r="Y509" s="79"/>
      <c r="AC509" s="130"/>
      <c r="AE509" s="106"/>
    </row>
    <row r="510">
      <c r="C510" s="79"/>
      <c r="D510" s="79"/>
      <c r="E510" s="79"/>
      <c r="P510" s="79"/>
      <c r="Q510" s="79"/>
      <c r="R510" s="79"/>
      <c r="Y510" s="79"/>
      <c r="AC510" s="130"/>
      <c r="AE510" s="106"/>
    </row>
    <row r="511">
      <c r="C511" s="79"/>
      <c r="D511" s="79"/>
      <c r="E511" s="79"/>
      <c r="P511" s="79"/>
      <c r="Q511" s="79"/>
      <c r="R511" s="79"/>
      <c r="Y511" s="79"/>
      <c r="AC511" s="130"/>
      <c r="AE511" s="106"/>
    </row>
    <row r="512">
      <c r="C512" s="79"/>
      <c r="D512" s="79"/>
      <c r="E512" s="79"/>
      <c r="P512" s="79"/>
      <c r="Q512" s="79"/>
      <c r="R512" s="79"/>
      <c r="Y512" s="79"/>
      <c r="AC512" s="130"/>
      <c r="AE512" s="106"/>
    </row>
    <row r="513">
      <c r="C513" s="79"/>
      <c r="D513" s="79"/>
      <c r="E513" s="79"/>
      <c r="P513" s="79"/>
      <c r="Q513" s="79"/>
      <c r="R513" s="79"/>
      <c r="Y513" s="79"/>
      <c r="AC513" s="130"/>
      <c r="AE513" s="106"/>
    </row>
    <row r="514">
      <c r="C514" s="79"/>
      <c r="D514" s="79"/>
      <c r="E514" s="79"/>
      <c r="P514" s="79"/>
      <c r="Q514" s="79"/>
      <c r="R514" s="79"/>
      <c r="Y514" s="79"/>
      <c r="AC514" s="130"/>
      <c r="AE514" s="106"/>
    </row>
    <row r="515">
      <c r="C515" s="79"/>
      <c r="D515" s="79"/>
      <c r="E515" s="79"/>
      <c r="P515" s="79"/>
      <c r="Q515" s="79"/>
      <c r="R515" s="79"/>
      <c r="Y515" s="79"/>
      <c r="AC515" s="130"/>
      <c r="AE515" s="106"/>
    </row>
    <row r="516">
      <c r="C516" s="79"/>
      <c r="D516" s="79"/>
      <c r="E516" s="79"/>
      <c r="P516" s="79"/>
      <c r="Q516" s="79"/>
      <c r="R516" s="79"/>
      <c r="Y516" s="79"/>
      <c r="AC516" s="130"/>
      <c r="AE516" s="106"/>
    </row>
    <row r="517">
      <c r="C517" s="79"/>
      <c r="D517" s="79"/>
      <c r="E517" s="79"/>
      <c r="P517" s="79"/>
      <c r="Q517" s="79"/>
      <c r="R517" s="79"/>
      <c r="Y517" s="79"/>
      <c r="AC517" s="130"/>
      <c r="AE517" s="106"/>
    </row>
    <row r="518">
      <c r="C518" s="79"/>
      <c r="D518" s="79"/>
      <c r="E518" s="79"/>
      <c r="P518" s="79"/>
      <c r="Q518" s="79"/>
      <c r="R518" s="79"/>
      <c r="Y518" s="79"/>
      <c r="AC518" s="130"/>
      <c r="AE518" s="106"/>
    </row>
    <row r="519">
      <c r="C519" s="79"/>
      <c r="D519" s="79"/>
      <c r="E519" s="79"/>
      <c r="P519" s="79"/>
      <c r="Q519" s="79"/>
      <c r="R519" s="79"/>
      <c r="Y519" s="79"/>
      <c r="AC519" s="130"/>
      <c r="AE519" s="106"/>
    </row>
    <row r="520">
      <c r="C520" s="79"/>
      <c r="D520" s="79"/>
      <c r="E520" s="79"/>
      <c r="P520" s="79"/>
      <c r="Q520" s="79"/>
      <c r="R520" s="79"/>
      <c r="Y520" s="79"/>
      <c r="AC520" s="130"/>
      <c r="AE520" s="106"/>
    </row>
    <row r="521">
      <c r="C521" s="79"/>
      <c r="D521" s="79"/>
      <c r="E521" s="79"/>
      <c r="P521" s="79"/>
      <c r="Q521" s="79"/>
      <c r="R521" s="79"/>
      <c r="Y521" s="79"/>
      <c r="AC521" s="130"/>
      <c r="AE521" s="106"/>
    </row>
    <row r="522">
      <c r="C522" s="79"/>
      <c r="D522" s="79"/>
      <c r="E522" s="79"/>
      <c r="P522" s="79"/>
      <c r="Q522" s="79"/>
      <c r="R522" s="79"/>
      <c r="Y522" s="79"/>
      <c r="AC522" s="130"/>
      <c r="AE522" s="106"/>
    </row>
    <row r="523">
      <c r="C523" s="79"/>
      <c r="D523" s="79"/>
      <c r="E523" s="79"/>
      <c r="P523" s="79"/>
      <c r="Q523" s="79"/>
      <c r="R523" s="79"/>
      <c r="Y523" s="79"/>
      <c r="AC523" s="130"/>
      <c r="AE523" s="106"/>
    </row>
    <row r="524">
      <c r="C524" s="79"/>
      <c r="D524" s="79"/>
      <c r="E524" s="79"/>
      <c r="P524" s="79"/>
      <c r="Q524" s="79"/>
      <c r="R524" s="79"/>
      <c r="Y524" s="79"/>
      <c r="AC524" s="130"/>
      <c r="AE524" s="106"/>
    </row>
    <row r="525">
      <c r="C525" s="79"/>
      <c r="D525" s="79"/>
      <c r="E525" s="79"/>
      <c r="P525" s="79"/>
      <c r="Q525" s="79"/>
      <c r="R525" s="79"/>
      <c r="Y525" s="79"/>
      <c r="AC525" s="130"/>
      <c r="AE525" s="106"/>
    </row>
    <row r="526">
      <c r="C526" s="79"/>
      <c r="D526" s="79"/>
      <c r="E526" s="79"/>
      <c r="P526" s="79"/>
      <c r="Q526" s="79"/>
      <c r="R526" s="79"/>
      <c r="Y526" s="79"/>
      <c r="AC526" s="130"/>
      <c r="AE526" s="106"/>
    </row>
    <row r="527">
      <c r="C527" s="79"/>
      <c r="D527" s="79"/>
      <c r="E527" s="79"/>
      <c r="P527" s="79"/>
      <c r="Q527" s="79"/>
      <c r="R527" s="79"/>
      <c r="Y527" s="79"/>
      <c r="AC527" s="130"/>
      <c r="AE527" s="106"/>
    </row>
    <row r="528">
      <c r="C528" s="79"/>
      <c r="D528" s="79"/>
      <c r="E528" s="79"/>
      <c r="P528" s="79"/>
      <c r="Q528" s="79"/>
      <c r="R528" s="79"/>
      <c r="Y528" s="79"/>
      <c r="AC528" s="130"/>
      <c r="AE528" s="106"/>
    </row>
    <row r="529">
      <c r="C529" s="79"/>
      <c r="D529" s="79"/>
      <c r="E529" s="79"/>
      <c r="P529" s="79"/>
      <c r="Q529" s="79"/>
      <c r="R529" s="79"/>
      <c r="Y529" s="79"/>
      <c r="AC529" s="130"/>
      <c r="AE529" s="106"/>
    </row>
    <row r="530">
      <c r="C530" s="79"/>
      <c r="D530" s="79"/>
      <c r="E530" s="79"/>
      <c r="P530" s="79"/>
      <c r="Q530" s="79"/>
      <c r="R530" s="79"/>
      <c r="Y530" s="79"/>
      <c r="AC530" s="130"/>
      <c r="AE530" s="106"/>
    </row>
    <row r="531">
      <c r="C531" s="79"/>
      <c r="D531" s="79"/>
      <c r="E531" s="79"/>
      <c r="P531" s="79"/>
      <c r="Q531" s="79"/>
      <c r="R531" s="79"/>
      <c r="Y531" s="79"/>
      <c r="AC531" s="130"/>
      <c r="AE531" s="106"/>
    </row>
    <row r="532">
      <c r="C532" s="79"/>
      <c r="D532" s="79"/>
      <c r="E532" s="79"/>
      <c r="P532" s="79"/>
      <c r="Q532" s="79"/>
      <c r="R532" s="79"/>
      <c r="Y532" s="79"/>
      <c r="AC532" s="130"/>
      <c r="AE532" s="106"/>
    </row>
    <row r="533">
      <c r="C533" s="79"/>
      <c r="D533" s="79"/>
      <c r="E533" s="79"/>
      <c r="P533" s="79"/>
      <c r="Q533" s="79"/>
      <c r="R533" s="79"/>
      <c r="Y533" s="79"/>
      <c r="AC533" s="130"/>
      <c r="AE533" s="106"/>
    </row>
    <row r="534">
      <c r="C534" s="79"/>
      <c r="D534" s="79"/>
      <c r="E534" s="79"/>
      <c r="P534" s="79"/>
      <c r="Q534" s="79"/>
      <c r="R534" s="79"/>
      <c r="Y534" s="79"/>
      <c r="AC534" s="130"/>
      <c r="AE534" s="106"/>
    </row>
    <row r="535">
      <c r="C535" s="79"/>
      <c r="D535" s="79"/>
      <c r="E535" s="79"/>
      <c r="P535" s="79"/>
      <c r="Q535" s="79"/>
      <c r="R535" s="79"/>
      <c r="Y535" s="79"/>
      <c r="AC535" s="130"/>
      <c r="AE535" s="106"/>
    </row>
    <row r="536">
      <c r="C536" s="79"/>
      <c r="D536" s="79"/>
      <c r="E536" s="79"/>
      <c r="P536" s="79"/>
      <c r="Q536" s="79"/>
      <c r="R536" s="79"/>
      <c r="Y536" s="79"/>
      <c r="AC536" s="130"/>
      <c r="AE536" s="106"/>
    </row>
    <row r="537">
      <c r="C537" s="79"/>
      <c r="D537" s="79"/>
      <c r="E537" s="79"/>
      <c r="P537" s="79"/>
      <c r="Q537" s="79"/>
      <c r="R537" s="79"/>
      <c r="Y537" s="79"/>
      <c r="AC537" s="130"/>
      <c r="AE537" s="106"/>
    </row>
    <row r="538">
      <c r="C538" s="79"/>
      <c r="D538" s="79"/>
      <c r="E538" s="79"/>
      <c r="P538" s="79"/>
      <c r="Q538" s="79"/>
      <c r="R538" s="79"/>
      <c r="Y538" s="79"/>
      <c r="AC538" s="130"/>
      <c r="AE538" s="106"/>
    </row>
    <row r="539">
      <c r="C539" s="79"/>
      <c r="D539" s="79"/>
      <c r="E539" s="79"/>
      <c r="P539" s="79"/>
      <c r="Q539" s="79"/>
      <c r="R539" s="79"/>
      <c r="Y539" s="79"/>
      <c r="AC539" s="130"/>
      <c r="AE539" s="106"/>
    </row>
    <row r="540">
      <c r="C540" s="79"/>
      <c r="D540" s="79"/>
      <c r="E540" s="79"/>
      <c r="P540" s="79"/>
      <c r="Q540" s="79"/>
      <c r="R540" s="79"/>
      <c r="Y540" s="79"/>
      <c r="AC540" s="130"/>
      <c r="AE540" s="106"/>
    </row>
    <row r="541">
      <c r="C541" s="79"/>
      <c r="D541" s="79"/>
      <c r="E541" s="79"/>
      <c r="P541" s="79"/>
      <c r="Q541" s="79"/>
      <c r="R541" s="79"/>
      <c r="Y541" s="79"/>
      <c r="AC541" s="130"/>
      <c r="AE541" s="106"/>
    </row>
    <row r="542">
      <c r="C542" s="79"/>
      <c r="D542" s="79"/>
      <c r="E542" s="79"/>
      <c r="P542" s="79"/>
      <c r="Q542" s="79"/>
      <c r="R542" s="79"/>
      <c r="Y542" s="79"/>
      <c r="AC542" s="130"/>
      <c r="AE542" s="106"/>
    </row>
    <row r="543">
      <c r="C543" s="79"/>
      <c r="D543" s="79"/>
      <c r="E543" s="79"/>
      <c r="P543" s="79"/>
      <c r="Q543" s="79"/>
      <c r="R543" s="79"/>
      <c r="Y543" s="79"/>
      <c r="AC543" s="130"/>
      <c r="AE543" s="106"/>
    </row>
    <row r="544">
      <c r="C544" s="79"/>
      <c r="D544" s="79"/>
      <c r="E544" s="79"/>
      <c r="P544" s="79"/>
      <c r="Q544" s="79"/>
      <c r="R544" s="79"/>
      <c r="Y544" s="79"/>
      <c r="AC544" s="130"/>
      <c r="AE544" s="106"/>
    </row>
    <row r="545">
      <c r="C545" s="79"/>
      <c r="D545" s="79"/>
      <c r="E545" s="79"/>
      <c r="P545" s="79"/>
      <c r="Q545" s="79"/>
      <c r="R545" s="79"/>
      <c r="Y545" s="79"/>
      <c r="AC545" s="130"/>
      <c r="AE545" s="106"/>
    </row>
    <row r="546">
      <c r="C546" s="79"/>
      <c r="D546" s="79"/>
      <c r="E546" s="79"/>
      <c r="P546" s="79"/>
      <c r="Q546" s="79"/>
      <c r="R546" s="79"/>
      <c r="Y546" s="79"/>
      <c r="AC546" s="130"/>
      <c r="AE546" s="106"/>
    </row>
    <row r="547">
      <c r="C547" s="79"/>
      <c r="D547" s="79"/>
      <c r="E547" s="79"/>
      <c r="P547" s="79"/>
      <c r="Q547" s="79"/>
      <c r="R547" s="79"/>
      <c r="Y547" s="79"/>
      <c r="AC547" s="130"/>
      <c r="AE547" s="106"/>
    </row>
    <row r="548">
      <c r="C548" s="79"/>
      <c r="D548" s="79"/>
      <c r="E548" s="79"/>
      <c r="P548" s="79"/>
      <c r="Q548" s="79"/>
      <c r="R548" s="79"/>
      <c r="Y548" s="79"/>
      <c r="AC548" s="130"/>
      <c r="AE548" s="106"/>
    </row>
    <row r="549">
      <c r="C549" s="79"/>
      <c r="D549" s="79"/>
      <c r="E549" s="79"/>
      <c r="P549" s="79"/>
      <c r="Q549" s="79"/>
      <c r="R549" s="79"/>
      <c r="Y549" s="79"/>
      <c r="AC549" s="130"/>
      <c r="AE549" s="106"/>
    </row>
    <row r="550">
      <c r="C550" s="79"/>
      <c r="D550" s="79"/>
      <c r="E550" s="79"/>
      <c r="P550" s="79"/>
      <c r="Q550" s="79"/>
      <c r="R550" s="79"/>
      <c r="Y550" s="79"/>
      <c r="AC550" s="130"/>
      <c r="AE550" s="106"/>
    </row>
    <row r="551">
      <c r="C551" s="79"/>
      <c r="D551" s="79"/>
      <c r="E551" s="79"/>
      <c r="P551" s="79"/>
      <c r="Q551" s="79"/>
      <c r="R551" s="79"/>
      <c r="Y551" s="79"/>
      <c r="AC551" s="130"/>
      <c r="AE551" s="106"/>
    </row>
    <row r="552">
      <c r="C552" s="79"/>
      <c r="D552" s="79"/>
      <c r="E552" s="79"/>
      <c r="P552" s="79"/>
      <c r="Q552" s="79"/>
      <c r="R552" s="79"/>
      <c r="Y552" s="79"/>
      <c r="AC552" s="130"/>
      <c r="AE552" s="106"/>
    </row>
    <row r="553">
      <c r="C553" s="79"/>
      <c r="D553" s="79"/>
      <c r="E553" s="79"/>
      <c r="P553" s="79"/>
      <c r="Q553" s="79"/>
      <c r="R553" s="79"/>
      <c r="Y553" s="79"/>
      <c r="AC553" s="130"/>
      <c r="AE553" s="106"/>
    </row>
    <row r="554">
      <c r="C554" s="79"/>
      <c r="D554" s="79"/>
      <c r="E554" s="79"/>
      <c r="P554" s="79"/>
      <c r="Q554" s="79"/>
      <c r="R554" s="79"/>
      <c r="Y554" s="79"/>
      <c r="AC554" s="130"/>
      <c r="AE554" s="106"/>
    </row>
    <row r="555">
      <c r="C555" s="79"/>
      <c r="D555" s="79"/>
      <c r="E555" s="79"/>
      <c r="P555" s="79"/>
      <c r="Q555" s="79"/>
      <c r="R555" s="79"/>
      <c r="Y555" s="79"/>
      <c r="AC555" s="130"/>
      <c r="AE555" s="106"/>
    </row>
    <row r="556">
      <c r="C556" s="79"/>
      <c r="D556" s="79"/>
      <c r="E556" s="79"/>
      <c r="P556" s="79"/>
      <c r="Q556" s="79"/>
      <c r="R556" s="79"/>
      <c r="Y556" s="79"/>
      <c r="AC556" s="130"/>
      <c r="AE556" s="106"/>
    </row>
    <row r="557">
      <c r="C557" s="79"/>
      <c r="D557" s="79"/>
      <c r="E557" s="79"/>
      <c r="P557" s="79"/>
      <c r="Q557" s="79"/>
      <c r="R557" s="79"/>
      <c r="Y557" s="79"/>
      <c r="AC557" s="130"/>
      <c r="AE557" s="106"/>
    </row>
    <row r="558">
      <c r="C558" s="79"/>
      <c r="D558" s="79"/>
      <c r="E558" s="79"/>
      <c r="P558" s="79"/>
      <c r="Q558" s="79"/>
      <c r="R558" s="79"/>
      <c r="Y558" s="79"/>
      <c r="AC558" s="130"/>
      <c r="AE558" s="106"/>
    </row>
    <row r="559">
      <c r="C559" s="79"/>
      <c r="D559" s="79"/>
      <c r="E559" s="79"/>
      <c r="P559" s="79"/>
      <c r="Q559" s="79"/>
      <c r="R559" s="79"/>
      <c r="Y559" s="79"/>
      <c r="AC559" s="130"/>
      <c r="AE559" s="106"/>
    </row>
    <row r="560">
      <c r="C560" s="79"/>
      <c r="D560" s="79"/>
      <c r="E560" s="79"/>
      <c r="P560" s="79"/>
      <c r="Q560" s="79"/>
      <c r="R560" s="79"/>
      <c r="Y560" s="79"/>
      <c r="AC560" s="130"/>
      <c r="AE560" s="106"/>
    </row>
    <row r="561">
      <c r="C561" s="79"/>
      <c r="D561" s="79"/>
      <c r="E561" s="79"/>
      <c r="P561" s="79"/>
      <c r="Q561" s="79"/>
      <c r="R561" s="79"/>
      <c r="Y561" s="79"/>
      <c r="AC561" s="130"/>
      <c r="AE561" s="106"/>
    </row>
    <row r="562">
      <c r="C562" s="79"/>
      <c r="D562" s="79"/>
      <c r="E562" s="79"/>
      <c r="P562" s="79"/>
      <c r="Q562" s="79"/>
      <c r="R562" s="79"/>
      <c r="Y562" s="79"/>
      <c r="AC562" s="130"/>
      <c r="AE562" s="106"/>
    </row>
    <row r="563">
      <c r="C563" s="79"/>
      <c r="D563" s="79"/>
      <c r="E563" s="79"/>
      <c r="P563" s="79"/>
      <c r="Q563" s="79"/>
      <c r="R563" s="79"/>
      <c r="Y563" s="79"/>
      <c r="AC563" s="130"/>
      <c r="AE563" s="106"/>
    </row>
    <row r="564">
      <c r="C564" s="79"/>
      <c r="D564" s="79"/>
      <c r="E564" s="79"/>
      <c r="P564" s="79"/>
      <c r="Q564" s="79"/>
      <c r="R564" s="79"/>
      <c r="Y564" s="79"/>
      <c r="AC564" s="130"/>
      <c r="AE564" s="106"/>
    </row>
    <row r="565">
      <c r="C565" s="79"/>
      <c r="D565" s="79"/>
      <c r="E565" s="79"/>
      <c r="P565" s="79"/>
      <c r="Q565" s="79"/>
      <c r="R565" s="79"/>
      <c r="Y565" s="79"/>
      <c r="AC565" s="130"/>
      <c r="AE565" s="106"/>
    </row>
    <row r="566">
      <c r="C566" s="79"/>
      <c r="D566" s="79"/>
      <c r="E566" s="79"/>
      <c r="P566" s="79"/>
      <c r="Q566" s="79"/>
      <c r="R566" s="79"/>
      <c r="Y566" s="79"/>
      <c r="AC566" s="130"/>
      <c r="AE566" s="106"/>
    </row>
    <row r="567">
      <c r="C567" s="79"/>
      <c r="D567" s="79"/>
      <c r="E567" s="79"/>
      <c r="P567" s="79"/>
      <c r="Q567" s="79"/>
      <c r="R567" s="79"/>
      <c r="Y567" s="79"/>
      <c r="AC567" s="130"/>
      <c r="AE567" s="106"/>
    </row>
    <row r="568">
      <c r="C568" s="79"/>
      <c r="D568" s="79"/>
      <c r="E568" s="79"/>
      <c r="P568" s="79"/>
      <c r="Q568" s="79"/>
      <c r="R568" s="79"/>
      <c r="Y568" s="79"/>
      <c r="AC568" s="130"/>
      <c r="AE568" s="106"/>
    </row>
    <row r="569">
      <c r="C569" s="79"/>
      <c r="D569" s="79"/>
      <c r="E569" s="79"/>
      <c r="P569" s="79"/>
      <c r="Q569" s="79"/>
      <c r="R569" s="79"/>
      <c r="Y569" s="79"/>
      <c r="AC569" s="130"/>
      <c r="AE569" s="106"/>
    </row>
    <row r="570">
      <c r="C570" s="79"/>
      <c r="D570" s="79"/>
      <c r="E570" s="79"/>
      <c r="P570" s="79"/>
      <c r="Q570" s="79"/>
      <c r="R570" s="79"/>
      <c r="Y570" s="79"/>
      <c r="AC570" s="130"/>
      <c r="AE570" s="106"/>
    </row>
    <row r="571">
      <c r="C571" s="79"/>
      <c r="D571" s="79"/>
      <c r="E571" s="79"/>
      <c r="P571" s="79"/>
      <c r="Q571" s="79"/>
      <c r="R571" s="79"/>
      <c r="Y571" s="79"/>
      <c r="AC571" s="130"/>
      <c r="AE571" s="106"/>
    </row>
    <row r="572">
      <c r="C572" s="79"/>
      <c r="D572" s="79"/>
      <c r="E572" s="79"/>
      <c r="P572" s="79"/>
      <c r="Q572" s="79"/>
      <c r="R572" s="79"/>
      <c r="Y572" s="79"/>
      <c r="AC572" s="130"/>
      <c r="AE572" s="106"/>
    </row>
    <row r="573">
      <c r="C573" s="79"/>
      <c r="D573" s="79"/>
      <c r="E573" s="79"/>
      <c r="P573" s="79"/>
      <c r="Q573" s="79"/>
      <c r="R573" s="79"/>
      <c r="Y573" s="79"/>
      <c r="AC573" s="130"/>
      <c r="AE573" s="106"/>
    </row>
    <row r="574">
      <c r="C574" s="79"/>
      <c r="D574" s="79"/>
      <c r="E574" s="79"/>
      <c r="P574" s="79"/>
      <c r="Q574" s="79"/>
      <c r="R574" s="79"/>
      <c r="Y574" s="79"/>
      <c r="AC574" s="130"/>
      <c r="AE574" s="106"/>
    </row>
    <row r="575">
      <c r="C575" s="79"/>
      <c r="D575" s="79"/>
      <c r="E575" s="79"/>
      <c r="P575" s="79"/>
      <c r="Q575" s="79"/>
      <c r="R575" s="79"/>
      <c r="Y575" s="79"/>
      <c r="AC575" s="130"/>
      <c r="AE575" s="106"/>
    </row>
    <row r="576">
      <c r="C576" s="79"/>
      <c r="D576" s="79"/>
      <c r="E576" s="79"/>
      <c r="P576" s="79"/>
      <c r="Q576" s="79"/>
      <c r="R576" s="79"/>
      <c r="Y576" s="79"/>
      <c r="AC576" s="130"/>
      <c r="AE576" s="106"/>
    </row>
    <row r="577">
      <c r="C577" s="79"/>
      <c r="D577" s="79"/>
      <c r="E577" s="79"/>
      <c r="P577" s="79"/>
      <c r="Q577" s="79"/>
      <c r="R577" s="79"/>
      <c r="Y577" s="79"/>
      <c r="AC577" s="130"/>
      <c r="AE577" s="106"/>
    </row>
    <row r="578">
      <c r="C578" s="79"/>
      <c r="D578" s="79"/>
      <c r="E578" s="79"/>
      <c r="P578" s="79"/>
      <c r="Q578" s="79"/>
      <c r="R578" s="79"/>
      <c r="Y578" s="79"/>
      <c r="AC578" s="130"/>
      <c r="AE578" s="106"/>
    </row>
    <row r="579">
      <c r="C579" s="79"/>
      <c r="D579" s="79"/>
      <c r="E579" s="79"/>
      <c r="P579" s="79"/>
      <c r="Q579" s="79"/>
      <c r="R579" s="79"/>
      <c r="Y579" s="79"/>
      <c r="AC579" s="130"/>
      <c r="AE579" s="106"/>
    </row>
    <row r="580">
      <c r="C580" s="79"/>
      <c r="D580" s="79"/>
      <c r="E580" s="79"/>
      <c r="P580" s="79"/>
      <c r="Q580" s="79"/>
      <c r="R580" s="79"/>
      <c r="Y580" s="79"/>
      <c r="AC580" s="130"/>
      <c r="AE580" s="106"/>
    </row>
    <row r="581">
      <c r="C581" s="79"/>
      <c r="D581" s="79"/>
      <c r="E581" s="79"/>
      <c r="P581" s="79"/>
      <c r="Q581" s="79"/>
      <c r="R581" s="79"/>
      <c r="Y581" s="79"/>
      <c r="AC581" s="130"/>
      <c r="AE581" s="106"/>
    </row>
    <row r="582">
      <c r="C582" s="79"/>
      <c r="D582" s="79"/>
      <c r="E582" s="79"/>
      <c r="P582" s="79"/>
      <c r="Q582" s="79"/>
      <c r="R582" s="79"/>
      <c r="Y582" s="79"/>
      <c r="AC582" s="130"/>
      <c r="AE582" s="106"/>
    </row>
    <row r="583">
      <c r="C583" s="79"/>
      <c r="D583" s="79"/>
      <c r="E583" s="79"/>
      <c r="P583" s="79"/>
      <c r="Q583" s="79"/>
      <c r="R583" s="79"/>
      <c r="Y583" s="79"/>
      <c r="AC583" s="130"/>
      <c r="AE583" s="106"/>
    </row>
    <row r="584">
      <c r="C584" s="79"/>
      <c r="D584" s="79"/>
      <c r="E584" s="79"/>
      <c r="P584" s="79"/>
      <c r="Q584" s="79"/>
      <c r="R584" s="79"/>
      <c r="Y584" s="79"/>
      <c r="AC584" s="130"/>
      <c r="AE584" s="106"/>
    </row>
    <row r="585">
      <c r="C585" s="79"/>
      <c r="D585" s="79"/>
      <c r="E585" s="79"/>
      <c r="P585" s="79"/>
      <c r="Q585" s="79"/>
      <c r="R585" s="79"/>
      <c r="Y585" s="79"/>
      <c r="AC585" s="130"/>
      <c r="AE585" s="106"/>
    </row>
    <row r="586">
      <c r="C586" s="79"/>
      <c r="D586" s="79"/>
      <c r="E586" s="79"/>
      <c r="P586" s="79"/>
      <c r="Q586" s="79"/>
      <c r="R586" s="79"/>
      <c r="Y586" s="79"/>
      <c r="AC586" s="130"/>
      <c r="AE586" s="106"/>
    </row>
    <row r="587">
      <c r="C587" s="79"/>
      <c r="D587" s="79"/>
      <c r="E587" s="79"/>
      <c r="P587" s="79"/>
      <c r="Q587" s="79"/>
      <c r="R587" s="79"/>
      <c r="Y587" s="79"/>
      <c r="AC587" s="130"/>
      <c r="AE587" s="106"/>
    </row>
    <row r="588">
      <c r="C588" s="79"/>
      <c r="D588" s="79"/>
      <c r="E588" s="79"/>
      <c r="P588" s="79"/>
      <c r="Q588" s="79"/>
      <c r="R588" s="79"/>
      <c r="Y588" s="79"/>
      <c r="AC588" s="130"/>
      <c r="AE588" s="106"/>
    </row>
    <row r="589">
      <c r="C589" s="79"/>
      <c r="D589" s="79"/>
      <c r="E589" s="79"/>
      <c r="P589" s="79"/>
      <c r="Q589" s="79"/>
      <c r="R589" s="79"/>
      <c r="Y589" s="79"/>
      <c r="AC589" s="130"/>
      <c r="AE589" s="106"/>
    </row>
    <row r="590">
      <c r="C590" s="79"/>
      <c r="D590" s="79"/>
      <c r="E590" s="79"/>
      <c r="P590" s="79"/>
      <c r="Q590" s="79"/>
      <c r="R590" s="79"/>
      <c r="Y590" s="79"/>
      <c r="AC590" s="130"/>
      <c r="AE590" s="106"/>
    </row>
    <row r="591">
      <c r="C591" s="79"/>
      <c r="D591" s="79"/>
      <c r="E591" s="79"/>
      <c r="P591" s="79"/>
      <c r="Q591" s="79"/>
      <c r="R591" s="79"/>
      <c r="Y591" s="79"/>
      <c r="AC591" s="130"/>
      <c r="AE591" s="106"/>
    </row>
    <row r="592">
      <c r="C592" s="79"/>
      <c r="D592" s="79"/>
      <c r="E592" s="79"/>
      <c r="P592" s="79"/>
      <c r="Q592" s="79"/>
      <c r="R592" s="79"/>
      <c r="Y592" s="79"/>
      <c r="AC592" s="130"/>
      <c r="AE592" s="106"/>
    </row>
    <row r="593">
      <c r="C593" s="79"/>
      <c r="D593" s="79"/>
      <c r="E593" s="79"/>
      <c r="P593" s="79"/>
      <c r="Q593" s="79"/>
      <c r="R593" s="79"/>
      <c r="Y593" s="79"/>
      <c r="AC593" s="130"/>
      <c r="AE593" s="106"/>
    </row>
    <row r="594">
      <c r="C594" s="79"/>
      <c r="D594" s="79"/>
      <c r="E594" s="79"/>
      <c r="P594" s="79"/>
      <c r="Q594" s="79"/>
      <c r="R594" s="79"/>
      <c r="Y594" s="79"/>
      <c r="AC594" s="130"/>
      <c r="AE594" s="106"/>
    </row>
    <row r="595">
      <c r="C595" s="79"/>
      <c r="D595" s="79"/>
      <c r="E595" s="79"/>
      <c r="P595" s="79"/>
      <c r="Q595" s="79"/>
      <c r="R595" s="79"/>
      <c r="Y595" s="79"/>
      <c r="AC595" s="130"/>
      <c r="AE595" s="106"/>
    </row>
    <row r="596">
      <c r="C596" s="79"/>
      <c r="D596" s="79"/>
      <c r="E596" s="79"/>
      <c r="P596" s="79"/>
      <c r="Q596" s="79"/>
      <c r="R596" s="79"/>
      <c r="Y596" s="79"/>
      <c r="AC596" s="130"/>
      <c r="AE596" s="106"/>
    </row>
    <row r="597">
      <c r="C597" s="79"/>
      <c r="D597" s="79"/>
      <c r="E597" s="79"/>
      <c r="P597" s="79"/>
      <c r="Q597" s="79"/>
      <c r="R597" s="79"/>
      <c r="Y597" s="79"/>
      <c r="AC597" s="130"/>
      <c r="AE597" s="106"/>
    </row>
    <row r="598">
      <c r="C598" s="79"/>
      <c r="D598" s="79"/>
      <c r="E598" s="79"/>
      <c r="P598" s="79"/>
      <c r="Q598" s="79"/>
      <c r="R598" s="79"/>
      <c r="Y598" s="79"/>
      <c r="AC598" s="130"/>
      <c r="AE598" s="106"/>
    </row>
    <row r="599">
      <c r="C599" s="79"/>
      <c r="D599" s="79"/>
      <c r="E599" s="79"/>
      <c r="P599" s="79"/>
      <c r="Q599" s="79"/>
      <c r="R599" s="79"/>
      <c r="Y599" s="79"/>
      <c r="AC599" s="130"/>
      <c r="AE599" s="106"/>
    </row>
    <row r="600">
      <c r="C600" s="79"/>
      <c r="D600" s="79"/>
      <c r="E600" s="79"/>
      <c r="P600" s="79"/>
      <c r="Q600" s="79"/>
      <c r="R600" s="79"/>
      <c r="Y600" s="79"/>
      <c r="AC600" s="130"/>
      <c r="AE600" s="106"/>
    </row>
    <row r="601">
      <c r="C601" s="79"/>
      <c r="D601" s="79"/>
      <c r="E601" s="79"/>
      <c r="P601" s="79"/>
      <c r="Q601" s="79"/>
      <c r="R601" s="79"/>
      <c r="Y601" s="79"/>
      <c r="AC601" s="130"/>
      <c r="AE601" s="106"/>
    </row>
    <row r="602">
      <c r="C602" s="79"/>
      <c r="D602" s="79"/>
      <c r="E602" s="79"/>
      <c r="P602" s="79"/>
      <c r="Q602" s="79"/>
      <c r="R602" s="79"/>
      <c r="Y602" s="79"/>
      <c r="AC602" s="130"/>
      <c r="AE602" s="106"/>
    </row>
    <row r="603">
      <c r="C603" s="79"/>
      <c r="D603" s="79"/>
      <c r="E603" s="79"/>
      <c r="P603" s="79"/>
      <c r="Q603" s="79"/>
      <c r="R603" s="79"/>
      <c r="Y603" s="79"/>
      <c r="AC603" s="130"/>
      <c r="AE603" s="106"/>
    </row>
    <row r="604">
      <c r="C604" s="79"/>
      <c r="D604" s="79"/>
      <c r="E604" s="79"/>
      <c r="P604" s="79"/>
      <c r="Q604" s="79"/>
      <c r="R604" s="79"/>
      <c r="Y604" s="79"/>
      <c r="AC604" s="130"/>
      <c r="AE604" s="106"/>
    </row>
    <row r="605">
      <c r="C605" s="79"/>
      <c r="D605" s="79"/>
      <c r="E605" s="79"/>
      <c r="P605" s="79"/>
      <c r="Q605" s="79"/>
      <c r="R605" s="79"/>
      <c r="Y605" s="79"/>
      <c r="AC605" s="130"/>
      <c r="AE605" s="106"/>
    </row>
    <row r="606">
      <c r="C606" s="79"/>
      <c r="D606" s="79"/>
      <c r="E606" s="79"/>
      <c r="P606" s="79"/>
      <c r="Q606" s="79"/>
      <c r="R606" s="79"/>
      <c r="Y606" s="79"/>
      <c r="AC606" s="130"/>
      <c r="AE606" s="106"/>
    </row>
    <row r="607">
      <c r="C607" s="79"/>
      <c r="D607" s="79"/>
      <c r="E607" s="79"/>
      <c r="P607" s="79"/>
      <c r="Q607" s="79"/>
      <c r="R607" s="79"/>
      <c r="Y607" s="79"/>
      <c r="AC607" s="130"/>
      <c r="AE607" s="106"/>
    </row>
    <row r="608">
      <c r="C608" s="79"/>
      <c r="D608" s="79"/>
      <c r="E608" s="79"/>
      <c r="P608" s="79"/>
      <c r="Q608" s="79"/>
      <c r="R608" s="79"/>
      <c r="Y608" s="79"/>
      <c r="AC608" s="130"/>
      <c r="AE608" s="106"/>
    </row>
    <row r="609">
      <c r="C609" s="79"/>
      <c r="D609" s="79"/>
      <c r="E609" s="79"/>
      <c r="P609" s="79"/>
      <c r="Q609" s="79"/>
      <c r="R609" s="79"/>
      <c r="Y609" s="79"/>
      <c r="AC609" s="130"/>
      <c r="AE609" s="106"/>
    </row>
    <row r="610">
      <c r="C610" s="79"/>
      <c r="D610" s="79"/>
      <c r="E610" s="79"/>
      <c r="P610" s="79"/>
      <c r="Q610" s="79"/>
      <c r="R610" s="79"/>
      <c r="Y610" s="79"/>
      <c r="AC610" s="130"/>
      <c r="AE610" s="106"/>
    </row>
    <row r="611">
      <c r="C611" s="79"/>
      <c r="D611" s="79"/>
      <c r="E611" s="79"/>
      <c r="P611" s="79"/>
      <c r="Q611" s="79"/>
      <c r="R611" s="79"/>
      <c r="Y611" s="79"/>
      <c r="AC611" s="130"/>
      <c r="AE611" s="106"/>
    </row>
    <row r="612">
      <c r="C612" s="79"/>
      <c r="D612" s="79"/>
      <c r="E612" s="79"/>
      <c r="P612" s="79"/>
      <c r="Q612" s="79"/>
      <c r="R612" s="79"/>
      <c r="Y612" s="79"/>
      <c r="AC612" s="130"/>
      <c r="AE612" s="106"/>
    </row>
    <row r="613">
      <c r="C613" s="79"/>
      <c r="D613" s="79"/>
      <c r="E613" s="79"/>
      <c r="P613" s="79"/>
      <c r="Q613" s="79"/>
      <c r="R613" s="79"/>
      <c r="Y613" s="79"/>
      <c r="AC613" s="130"/>
      <c r="AE613" s="106"/>
    </row>
    <row r="614">
      <c r="C614" s="79"/>
      <c r="D614" s="79"/>
      <c r="E614" s="79"/>
      <c r="P614" s="79"/>
      <c r="Q614" s="79"/>
      <c r="R614" s="79"/>
      <c r="Y614" s="79"/>
      <c r="AC614" s="130"/>
      <c r="AE614" s="106"/>
    </row>
    <row r="615">
      <c r="C615" s="79"/>
      <c r="D615" s="79"/>
      <c r="E615" s="79"/>
      <c r="P615" s="79"/>
      <c r="Q615" s="79"/>
      <c r="R615" s="79"/>
      <c r="Y615" s="79"/>
      <c r="AC615" s="130"/>
      <c r="AE615" s="106"/>
    </row>
    <row r="616">
      <c r="C616" s="79"/>
      <c r="D616" s="79"/>
      <c r="E616" s="79"/>
      <c r="P616" s="79"/>
      <c r="Q616" s="79"/>
      <c r="R616" s="79"/>
      <c r="Y616" s="79"/>
      <c r="AC616" s="130"/>
      <c r="AE616" s="106"/>
    </row>
    <row r="617">
      <c r="C617" s="79"/>
      <c r="D617" s="79"/>
      <c r="E617" s="79"/>
      <c r="P617" s="79"/>
      <c r="Q617" s="79"/>
      <c r="R617" s="79"/>
      <c r="Y617" s="79"/>
      <c r="AC617" s="130"/>
      <c r="AE617" s="106"/>
    </row>
    <row r="618">
      <c r="C618" s="79"/>
      <c r="D618" s="79"/>
      <c r="E618" s="79"/>
      <c r="P618" s="79"/>
      <c r="Q618" s="79"/>
      <c r="R618" s="79"/>
      <c r="Y618" s="79"/>
      <c r="AC618" s="130"/>
      <c r="AE618" s="106"/>
    </row>
    <row r="619">
      <c r="C619" s="79"/>
      <c r="D619" s="79"/>
      <c r="E619" s="79"/>
      <c r="P619" s="79"/>
      <c r="Q619" s="79"/>
      <c r="R619" s="79"/>
      <c r="Y619" s="79"/>
      <c r="AC619" s="130"/>
      <c r="AE619" s="106"/>
    </row>
    <row r="620">
      <c r="C620" s="79"/>
      <c r="D620" s="79"/>
      <c r="E620" s="79"/>
      <c r="P620" s="79"/>
      <c r="Q620" s="79"/>
      <c r="R620" s="79"/>
      <c r="Y620" s="79"/>
      <c r="AC620" s="130"/>
      <c r="AE620" s="106"/>
    </row>
    <row r="621">
      <c r="C621" s="79"/>
      <c r="D621" s="79"/>
      <c r="E621" s="79"/>
      <c r="P621" s="79"/>
      <c r="Q621" s="79"/>
      <c r="R621" s="79"/>
      <c r="Y621" s="79"/>
      <c r="AC621" s="130"/>
      <c r="AE621" s="106"/>
    </row>
    <row r="622">
      <c r="C622" s="79"/>
      <c r="D622" s="79"/>
      <c r="E622" s="79"/>
      <c r="P622" s="79"/>
      <c r="Q622" s="79"/>
      <c r="R622" s="79"/>
      <c r="Y622" s="79"/>
      <c r="AC622" s="130"/>
      <c r="AE622" s="106"/>
    </row>
    <row r="623">
      <c r="C623" s="79"/>
      <c r="D623" s="79"/>
      <c r="E623" s="79"/>
      <c r="P623" s="79"/>
      <c r="Q623" s="79"/>
      <c r="R623" s="79"/>
      <c r="Y623" s="79"/>
      <c r="AC623" s="130"/>
      <c r="AE623" s="106"/>
    </row>
    <row r="624">
      <c r="C624" s="79"/>
      <c r="D624" s="79"/>
      <c r="E624" s="79"/>
      <c r="P624" s="79"/>
      <c r="Q624" s="79"/>
      <c r="R624" s="79"/>
      <c r="Y624" s="79"/>
      <c r="AC624" s="130"/>
      <c r="AE624" s="106"/>
    </row>
    <row r="625">
      <c r="C625" s="79"/>
      <c r="D625" s="79"/>
      <c r="E625" s="79"/>
      <c r="P625" s="79"/>
      <c r="Q625" s="79"/>
      <c r="R625" s="79"/>
      <c r="Y625" s="79"/>
      <c r="AC625" s="130"/>
      <c r="AE625" s="106"/>
    </row>
    <row r="626">
      <c r="C626" s="79"/>
      <c r="D626" s="79"/>
      <c r="E626" s="79"/>
      <c r="P626" s="79"/>
      <c r="Q626" s="79"/>
      <c r="R626" s="79"/>
      <c r="Y626" s="79"/>
      <c r="AC626" s="130"/>
      <c r="AE626" s="106"/>
    </row>
    <row r="627">
      <c r="C627" s="79"/>
      <c r="D627" s="79"/>
      <c r="E627" s="79"/>
      <c r="P627" s="79"/>
      <c r="Q627" s="79"/>
      <c r="R627" s="79"/>
      <c r="Y627" s="79"/>
      <c r="AC627" s="130"/>
      <c r="AE627" s="106"/>
    </row>
    <row r="628">
      <c r="C628" s="79"/>
      <c r="D628" s="79"/>
      <c r="E628" s="79"/>
      <c r="P628" s="79"/>
      <c r="Q628" s="79"/>
      <c r="R628" s="79"/>
      <c r="Y628" s="79"/>
      <c r="AC628" s="130"/>
      <c r="AE628" s="106"/>
    </row>
    <row r="629">
      <c r="C629" s="79"/>
      <c r="D629" s="79"/>
      <c r="E629" s="79"/>
      <c r="P629" s="79"/>
      <c r="Q629" s="79"/>
      <c r="R629" s="79"/>
      <c r="Y629" s="79"/>
      <c r="AC629" s="130"/>
      <c r="AE629" s="106"/>
    </row>
    <row r="630">
      <c r="C630" s="79"/>
      <c r="D630" s="79"/>
      <c r="E630" s="79"/>
      <c r="P630" s="79"/>
      <c r="Q630" s="79"/>
      <c r="R630" s="79"/>
      <c r="Y630" s="79"/>
      <c r="AC630" s="130"/>
      <c r="AE630" s="106"/>
    </row>
    <row r="631">
      <c r="C631" s="79"/>
      <c r="D631" s="79"/>
      <c r="E631" s="79"/>
      <c r="P631" s="79"/>
      <c r="Q631" s="79"/>
      <c r="R631" s="79"/>
      <c r="Y631" s="79"/>
      <c r="AC631" s="130"/>
      <c r="AE631" s="106"/>
    </row>
    <row r="632">
      <c r="C632" s="79"/>
      <c r="D632" s="79"/>
      <c r="E632" s="79"/>
      <c r="P632" s="79"/>
      <c r="Q632" s="79"/>
      <c r="R632" s="79"/>
      <c r="Y632" s="79"/>
      <c r="AC632" s="130"/>
      <c r="AE632" s="106"/>
    </row>
    <row r="633">
      <c r="C633" s="79"/>
      <c r="D633" s="79"/>
      <c r="E633" s="79"/>
      <c r="P633" s="79"/>
      <c r="Q633" s="79"/>
      <c r="R633" s="79"/>
      <c r="Y633" s="79"/>
      <c r="AC633" s="130"/>
      <c r="AE633" s="106"/>
    </row>
    <row r="634">
      <c r="C634" s="79"/>
      <c r="D634" s="79"/>
      <c r="E634" s="79"/>
      <c r="P634" s="79"/>
      <c r="Q634" s="79"/>
      <c r="R634" s="79"/>
      <c r="Y634" s="79"/>
      <c r="AC634" s="130"/>
      <c r="AE634" s="106"/>
    </row>
    <row r="635">
      <c r="C635" s="79"/>
      <c r="D635" s="79"/>
      <c r="E635" s="79"/>
      <c r="P635" s="79"/>
      <c r="Q635" s="79"/>
      <c r="R635" s="79"/>
      <c r="Y635" s="79"/>
      <c r="AC635" s="130"/>
      <c r="AE635" s="106"/>
    </row>
    <row r="636">
      <c r="C636" s="79"/>
      <c r="D636" s="79"/>
      <c r="E636" s="79"/>
      <c r="P636" s="79"/>
      <c r="Q636" s="79"/>
      <c r="R636" s="79"/>
      <c r="Y636" s="79"/>
      <c r="AC636" s="130"/>
      <c r="AE636" s="106"/>
    </row>
    <row r="637">
      <c r="C637" s="79"/>
      <c r="D637" s="79"/>
      <c r="E637" s="79"/>
      <c r="P637" s="79"/>
      <c r="Q637" s="79"/>
      <c r="R637" s="79"/>
      <c r="Y637" s="79"/>
      <c r="AC637" s="130"/>
      <c r="AE637" s="106"/>
    </row>
    <row r="638">
      <c r="C638" s="79"/>
      <c r="D638" s="79"/>
      <c r="E638" s="79"/>
      <c r="P638" s="79"/>
      <c r="Q638" s="79"/>
      <c r="R638" s="79"/>
      <c r="Y638" s="79"/>
      <c r="AC638" s="130"/>
      <c r="AE638" s="106"/>
    </row>
    <row r="639">
      <c r="C639" s="79"/>
      <c r="D639" s="79"/>
      <c r="E639" s="79"/>
      <c r="P639" s="79"/>
      <c r="Q639" s="79"/>
      <c r="R639" s="79"/>
      <c r="Y639" s="79"/>
      <c r="AC639" s="130"/>
      <c r="AE639" s="106"/>
    </row>
    <row r="640">
      <c r="C640" s="79"/>
      <c r="D640" s="79"/>
      <c r="E640" s="79"/>
      <c r="P640" s="79"/>
      <c r="Q640" s="79"/>
      <c r="R640" s="79"/>
      <c r="Y640" s="79"/>
      <c r="AC640" s="130"/>
      <c r="AE640" s="106"/>
    </row>
    <row r="641">
      <c r="C641" s="79"/>
      <c r="D641" s="79"/>
      <c r="E641" s="79"/>
      <c r="P641" s="79"/>
      <c r="Q641" s="79"/>
      <c r="R641" s="79"/>
      <c r="Y641" s="79"/>
      <c r="AC641" s="130"/>
      <c r="AE641" s="106"/>
    </row>
    <row r="642">
      <c r="C642" s="79"/>
      <c r="D642" s="79"/>
      <c r="E642" s="79"/>
      <c r="P642" s="79"/>
      <c r="Q642" s="79"/>
      <c r="R642" s="79"/>
      <c r="Y642" s="79"/>
      <c r="AC642" s="130"/>
      <c r="AE642" s="106"/>
    </row>
    <row r="643">
      <c r="C643" s="79"/>
      <c r="D643" s="79"/>
      <c r="E643" s="79"/>
      <c r="P643" s="79"/>
      <c r="Q643" s="79"/>
      <c r="R643" s="79"/>
      <c r="Y643" s="79"/>
      <c r="AC643" s="130"/>
      <c r="AE643" s="106"/>
    </row>
    <row r="644">
      <c r="C644" s="79"/>
      <c r="D644" s="79"/>
      <c r="E644" s="79"/>
      <c r="P644" s="79"/>
      <c r="Q644" s="79"/>
      <c r="R644" s="79"/>
      <c r="Y644" s="79"/>
      <c r="AC644" s="130"/>
      <c r="AE644" s="106"/>
    </row>
    <row r="645">
      <c r="C645" s="79"/>
      <c r="D645" s="79"/>
      <c r="E645" s="79"/>
      <c r="P645" s="79"/>
      <c r="Q645" s="79"/>
      <c r="R645" s="79"/>
      <c r="Y645" s="79"/>
      <c r="AC645" s="130"/>
      <c r="AE645" s="106"/>
    </row>
    <row r="646">
      <c r="C646" s="79"/>
      <c r="D646" s="79"/>
      <c r="E646" s="79"/>
      <c r="P646" s="79"/>
      <c r="Q646" s="79"/>
      <c r="R646" s="79"/>
      <c r="Y646" s="79"/>
      <c r="AC646" s="130"/>
      <c r="AE646" s="106"/>
    </row>
    <row r="647">
      <c r="C647" s="79"/>
      <c r="D647" s="79"/>
      <c r="E647" s="79"/>
      <c r="P647" s="79"/>
      <c r="Q647" s="79"/>
      <c r="R647" s="79"/>
      <c r="Y647" s="79"/>
      <c r="AC647" s="130"/>
      <c r="AE647" s="106"/>
    </row>
    <row r="648">
      <c r="C648" s="79"/>
      <c r="D648" s="79"/>
      <c r="E648" s="79"/>
      <c r="P648" s="79"/>
      <c r="Q648" s="79"/>
      <c r="R648" s="79"/>
      <c r="Y648" s="79"/>
      <c r="AC648" s="130"/>
      <c r="AE648" s="106"/>
    </row>
    <row r="649">
      <c r="C649" s="79"/>
      <c r="D649" s="79"/>
      <c r="E649" s="79"/>
      <c r="P649" s="79"/>
      <c r="Q649" s="79"/>
      <c r="R649" s="79"/>
      <c r="Y649" s="79"/>
      <c r="AC649" s="130"/>
      <c r="AE649" s="106"/>
    </row>
    <row r="650">
      <c r="C650" s="79"/>
      <c r="D650" s="79"/>
      <c r="E650" s="79"/>
      <c r="P650" s="79"/>
      <c r="Q650" s="79"/>
      <c r="R650" s="79"/>
      <c r="Y650" s="79"/>
      <c r="AC650" s="130"/>
      <c r="AE650" s="106"/>
    </row>
    <row r="651">
      <c r="C651" s="79"/>
      <c r="D651" s="79"/>
      <c r="E651" s="79"/>
      <c r="P651" s="79"/>
      <c r="Q651" s="79"/>
      <c r="R651" s="79"/>
      <c r="Y651" s="79"/>
      <c r="AC651" s="130"/>
      <c r="AE651" s="106"/>
    </row>
    <row r="652">
      <c r="C652" s="79"/>
      <c r="D652" s="79"/>
      <c r="E652" s="79"/>
      <c r="P652" s="79"/>
      <c r="Q652" s="79"/>
      <c r="R652" s="79"/>
      <c r="Y652" s="79"/>
      <c r="AC652" s="130"/>
      <c r="AE652" s="106"/>
    </row>
    <row r="653">
      <c r="C653" s="79"/>
      <c r="D653" s="79"/>
      <c r="E653" s="79"/>
      <c r="P653" s="79"/>
      <c r="Q653" s="79"/>
      <c r="R653" s="79"/>
      <c r="Y653" s="79"/>
      <c r="AC653" s="130"/>
      <c r="AE653" s="106"/>
    </row>
    <row r="654">
      <c r="C654" s="79"/>
      <c r="D654" s="79"/>
      <c r="E654" s="79"/>
      <c r="P654" s="79"/>
      <c r="Q654" s="79"/>
      <c r="R654" s="79"/>
      <c r="Y654" s="79"/>
      <c r="AC654" s="130"/>
      <c r="AE654" s="106"/>
    </row>
    <row r="655">
      <c r="C655" s="79"/>
      <c r="D655" s="79"/>
      <c r="E655" s="79"/>
      <c r="P655" s="79"/>
      <c r="Q655" s="79"/>
      <c r="R655" s="79"/>
      <c r="Y655" s="79"/>
      <c r="AC655" s="130"/>
      <c r="AE655" s="106"/>
    </row>
    <row r="656">
      <c r="C656" s="79"/>
      <c r="D656" s="79"/>
      <c r="E656" s="79"/>
      <c r="P656" s="79"/>
      <c r="Q656" s="79"/>
      <c r="R656" s="79"/>
      <c r="Y656" s="79"/>
      <c r="AC656" s="130"/>
      <c r="AE656" s="106"/>
    </row>
    <row r="657">
      <c r="C657" s="79"/>
      <c r="D657" s="79"/>
      <c r="E657" s="79"/>
      <c r="P657" s="79"/>
      <c r="Q657" s="79"/>
      <c r="R657" s="79"/>
      <c r="Y657" s="79"/>
      <c r="AC657" s="130"/>
      <c r="AE657" s="106"/>
    </row>
    <row r="658">
      <c r="C658" s="79"/>
      <c r="D658" s="79"/>
      <c r="E658" s="79"/>
      <c r="P658" s="79"/>
      <c r="Q658" s="79"/>
      <c r="R658" s="79"/>
      <c r="Y658" s="79"/>
      <c r="AC658" s="130"/>
      <c r="AE658" s="106"/>
    </row>
    <row r="659">
      <c r="C659" s="79"/>
      <c r="D659" s="79"/>
      <c r="E659" s="79"/>
      <c r="P659" s="79"/>
      <c r="Q659" s="79"/>
      <c r="R659" s="79"/>
      <c r="Y659" s="79"/>
      <c r="AC659" s="130"/>
      <c r="AE659" s="106"/>
    </row>
    <row r="660">
      <c r="C660" s="79"/>
      <c r="D660" s="79"/>
      <c r="E660" s="79"/>
      <c r="P660" s="79"/>
      <c r="Q660" s="79"/>
      <c r="R660" s="79"/>
      <c r="Y660" s="79"/>
      <c r="AC660" s="130"/>
      <c r="AE660" s="106"/>
    </row>
    <row r="661">
      <c r="C661" s="79"/>
      <c r="D661" s="79"/>
      <c r="E661" s="79"/>
      <c r="P661" s="79"/>
      <c r="Q661" s="79"/>
      <c r="R661" s="79"/>
      <c r="Y661" s="79"/>
      <c r="AC661" s="130"/>
      <c r="AE661" s="106"/>
    </row>
    <row r="662">
      <c r="C662" s="79"/>
      <c r="D662" s="79"/>
      <c r="E662" s="79"/>
      <c r="P662" s="79"/>
      <c r="Q662" s="79"/>
      <c r="R662" s="79"/>
      <c r="Y662" s="79"/>
      <c r="AC662" s="130"/>
      <c r="AE662" s="106"/>
    </row>
    <row r="663">
      <c r="C663" s="79"/>
      <c r="D663" s="79"/>
      <c r="E663" s="79"/>
      <c r="P663" s="79"/>
      <c r="Q663" s="79"/>
      <c r="R663" s="79"/>
      <c r="Y663" s="79"/>
      <c r="AC663" s="130"/>
      <c r="AE663" s="106"/>
    </row>
    <row r="664">
      <c r="C664" s="79"/>
      <c r="D664" s="79"/>
      <c r="E664" s="79"/>
      <c r="P664" s="79"/>
      <c r="Q664" s="79"/>
      <c r="R664" s="79"/>
      <c r="Y664" s="79"/>
      <c r="AC664" s="130"/>
      <c r="AE664" s="106"/>
    </row>
    <row r="665">
      <c r="C665" s="79"/>
      <c r="D665" s="79"/>
      <c r="E665" s="79"/>
      <c r="P665" s="79"/>
      <c r="Q665" s="79"/>
      <c r="R665" s="79"/>
      <c r="Y665" s="79"/>
      <c r="AC665" s="130"/>
      <c r="AE665" s="106"/>
    </row>
    <row r="666">
      <c r="C666" s="79"/>
      <c r="D666" s="79"/>
      <c r="E666" s="79"/>
      <c r="P666" s="79"/>
      <c r="Q666" s="79"/>
      <c r="R666" s="79"/>
      <c r="Y666" s="79"/>
      <c r="AC666" s="130"/>
      <c r="AE666" s="106"/>
    </row>
    <row r="667">
      <c r="C667" s="79"/>
      <c r="D667" s="79"/>
      <c r="E667" s="79"/>
      <c r="P667" s="79"/>
      <c r="Q667" s="79"/>
      <c r="R667" s="79"/>
      <c r="Y667" s="79"/>
      <c r="AC667" s="130"/>
      <c r="AE667" s="106"/>
    </row>
    <row r="668">
      <c r="C668" s="79"/>
      <c r="D668" s="79"/>
      <c r="E668" s="79"/>
      <c r="P668" s="79"/>
      <c r="Q668" s="79"/>
      <c r="R668" s="79"/>
      <c r="Y668" s="79"/>
      <c r="AC668" s="130"/>
      <c r="AE668" s="106"/>
    </row>
    <row r="669">
      <c r="C669" s="79"/>
      <c r="D669" s="79"/>
      <c r="E669" s="79"/>
      <c r="P669" s="79"/>
      <c r="Q669" s="79"/>
      <c r="R669" s="79"/>
      <c r="Y669" s="79"/>
      <c r="AC669" s="130"/>
      <c r="AE669" s="106"/>
    </row>
    <row r="670">
      <c r="C670" s="79"/>
      <c r="D670" s="79"/>
      <c r="E670" s="79"/>
      <c r="P670" s="79"/>
      <c r="Q670" s="79"/>
      <c r="R670" s="79"/>
      <c r="Y670" s="79"/>
      <c r="AC670" s="130"/>
      <c r="AE670" s="106"/>
    </row>
    <row r="671">
      <c r="C671" s="79"/>
      <c r="D671" s="79"/>
      <c r="E671" s="79"/>
      <c r="P671" s="79"/>
      <c r="Q671" s="79"/>
      <c r="R671" s="79"/>
      <c r="Y671" s="79"/>
      <c r="AC671" s="130"/>
      <c r="AE671" s="106"/>
    </row>
    <row r="672">
      <c r="C672" s="79"/>
      <c r="D672" s="79"/>
      <c r="E672" s="79"/>
      <c r="P672" s="79"/>
      <c r="Q672" s="79"/>
      <c r="R672" s="79"/>
      <c r="Y672" s="79"/>
      <c r="AC672" s="130"/>
      <c r="AE672" s="106"/>
    </row>
    <row r="673">
      <c r="C673" s="79"/>
      <c r="D673" s="79"/>
      <c r="E673" s="79"/>
      <c r="P673" s="79"/>
      <c r="Q673" s="79"/>
      <c r="R673" s="79"/>
      <c r="Y673" s="79"/>
      <c r="AC673" s="130"/>
      <c r="AE673" s="106"/>
    </row>
    <row r="674">
      <c r="C674" s="79"/>
      <c r="D674" s="79"/>
      <c r="E674" s="79"/>
      <c r="P674" s="79"/>
      <c r="Q674" s="79"/>
      <c r="R674" s="79"/>
      <c r="Y674" s="79"/>
      <c r="AC674" s="130"/>
      <c r="AE674" s="106"/>
    </row>
    <row r="675">
      <c r="C675" s="79"/>
      <c r="D675" s="79"/>
      <c r="E675" s="79"/>
      <c r="P675" s="79"/>
      <c r="Q675" s="79"/>
      <c r="R675" s="79"/>
      <c r="Y675" s="79"/>
      <c r="AC675" s="130"/>
      <c r="AE675" s="106"/>
    </row>
    <row r="676">
      <c r="C676" s="79"/>
      <c r="D676" s="79"/>
      <c r="E676" s="79"/>
      <c r="P676" s="79"/>
      <c r="Q676" s="79"/>
      <c r="R676" s="79"/>
      <c r="Y676" s="79"/>
      <c r="AC676" s="130"/>
      <c r="AE676" s="106"/>
    </row>
    <row r="677">
      <c r="C677" s="79"/>
      <c r="D677" s="79"/>
      <c r="E677" s="79"/>
      <c r="P677" s="79"/>
      <c r="Q677" s="79"/>
      <c r="R677" s="79"/>
      <c r="Y677" s="79"/>
      <c r="AC677" s="130"/>
      <c r="AE677" s="106"/>
    </row>
    <row r="678">
      <c r="C678" s="79"/>
      <c r="D678" s="79"/>
      <c r="E678" s="79"/>
      <c r="P678" s="79"/>
      <c r="Q678" s="79"/>
      <c r="R678" s="79"/>
      <c r="Y678" s="79"/>
      <c r="AC678" s="130"/>
      <c r="AE678" s="106"/>
    </row>
    <row r="679">
      <c r="C679" s="79"/>
      <c r="D679" s="79"/>
      <c r="E679" s="79"/>
      <c r="P679" s="79"/>
      <c r="Q679" s="79"/>
      <c r="R679" s="79"/>
      <c r="Y679" s="79"/>
      <c r="AC679" s="130"/>
      <c r="AE679" s="106"/>
    </row>
    <row r="680">
      <c r="C680" s="79"/>
      <c r="D680" s="79"/>
      <c r="E680" s="79"/>
      <c r="P680" s="79"/>
      <c r="Q680" s="79"/>
      <c r="R680" s="79"/>
      <c r="Y680" s="79"/>
      <c r="AC680" s="130"/>
      <c r="AE680" s="106"/>
    </row>
    <row r="681">
      <c r="C681" s="79"/>
      <c r="D681" s="79"/>
      <c r="E681" s="79"/>
      <c r="P681" s="79"/>
      <c r="Q681" s="79"/>
      <c r="R681" s="79"/>
      <c r="Y681" s="79"/>
      <c r="AC681" s="130"/>
      <c r="AE681" s="106"/>
    </row>
    <row r="682">
      <c r="C682" s="79"/>
      <c r="D682" s="79"/>
      <c r="E682" s="79"/>
      <c r="P682" s="79"/>
      <c r="Q682" s="79"/>
      <c r="R682" s="79"/>
      <c r="Y682" s="79"/>
      <c r="AC682" s="130"/>
      <c r="AE682" s="106"/>
    </row>
    <row r="683">
      <c r="C683" s="79"/>
      <c r="D683" s="79"/>
      <c r="E683" s="79"/>
      <c r="P683" s="79"/>
      <c r="Q683" s="79"/>
      <c r="R683" s="79"/>
      <c r="Y683" s="79"/>
      <c r="AC683" s="130"/>
      <c r="AE683" s="106"/>
    </row>
    <row r="684">
      <c r="C684" s="79"/>
      <c r="D684" s="79"/>
      <c r="E684" s="79"/>
      <c r="P684" s="79"/>
      <c r="Q684" s="79"/>
      <c r="R684" s="79"/>
      <c r="Y684" s="79"/>
      <c r="AC684" s="130"/>
      <c r="AE684" s="106"/>
    </row>
    <row r="685">
      <c r="C685" s="79"/>
      <c r="D685" s="79"/>
      <c r="E685" s="79"/>
      <c r="P685" s="79"/>
      <c r="Q685" s="79"/>
      <c r="R685" s="79"/>
      <c r="Y685" s="79"/>
      <c r="AC685" s="130"/>
      <c r="AE685" s="106"/>
    </row>
    <row r="686">
      <c r="C686" s="79"/>
      <c r="D686" s="79"/>
      <c r="E686" s="79"/>
      <c r="P686" s="79"/>
      <c r="Q686" s="79"/>
      <c r="R686" s="79"/>
      <c r="Y686" s="79"/>
      <c r="AC686" s="130"/>
      <c r="AE686" s="106"/>
    </row>
    <row r="687">
      <c r="C687" s="79"/>
      <c r="D687" s="79"/>
      <c r="E687" s="79"/>
      <c r="P687" s="79"/>
      <c r="Q687" s="79"/>
      <c r="R687" s="79"/>
      <c r="Y687" s="79"/>
      <c r="AC687" s="130"/>
      <c r="AE687" s="106"/>
    </row>
    <row r="688">
      <c r="C688" s="79"/>
      <c r="D688" s="79"/>
      <c r="E688" s="79"/>
      <c r="P688" s="79"/>
      <c r="Q688" s="79"/>
      <c r="R688" s="79"/>
      <c r="Y688" s="79"/>
      <c r="AC688" s="130"/>
      <c r="AE688" s="106"/>
    </row>
    <row r="689">
      <c r="C689" s="79"/>
      <c r="D689" s="79"/>
      <c r="E689" s="79"/>
      <c r="P689" s="79"/>
      <c r="Q689" s="79"/>
      <c r="R689" s="79"/>
      <c r="Y689" s="79"/>
      <c r="AC689" s="130"/>
      <c r="AE689" s="106"/>
    </row>
    <row r="690">
      <c r="C690" s="79"/>
      <c r="D690" s="79"/>
      <c r="E690" s="79"/>
      <c r="P690" s="79"/>
      <c r="Q690" s="79"/>
      <c r="R690" s="79"/>
      <c r="Y690" s="79"/>
      <c r="AC690" s="130"/>
      <c r="AE690" s="106"/>
    </row>
    <row r="691">
      <c r="C691" s="79"/>
      <c r="D691" s="79"/>
      <c r="E691" s="79"/>
      <c r="P691" s="79"/>
      <c r="Q691" s="79"/>
      <c r="R691" s="79"/>
      <c r="Y691" s="79"/>
      <c r="AC691" s="130"/>
      <c r="AE691" s="106"/>
    </row>
    <row r="692">
      <c r="C692" s="79"/>
      <c r="D692" s="79"/>
      <c r="E692" s="79"/>
      <c r="P692" s="79"/>
      <c r="Q692" s="79"/>
      <c r="R692" s="79"/>
      <c r="Y692" s="79"/>
      <c r="AC692" s="130"/>
      <c r="AE692" s="106"/>
    </row>
    <row r="693">
      <c r="C693" s="79"/>
      <c r="D693" s="79"/>
      <c r="E693" s="79"/>
      <c r="P693" s="79"/>
      <c r="Q693" s="79"/>
      <c r="R693" s="79"/>
      <c r="Y693" s="79"/>
      <c r="AC693" s="130"/>
      <c r="AE693" s="106"/>
    </row>
    <row r="694">
      <c r="C694" s="79"/>
      <c r="D694" s="79"/>
      <c r="E694" s="79"/>
      <c r="P694" s="79"/>
      <c r="Q694" s="79"/>
      <c r="R694" s="79"/>
      <c r="Y694" s="79"/>
      <c r="AC694" s="130"/>
      <c r="AE694" s="106"/>
    </row>
    <row r="695">
      <c r="C695" s="79"/>
      <c r="D695" s="79"/>
      <c r="E695" s="79"/>
      <c r="P695" s="79"/>
      <c r="Q695" s="79"/>
      <c r="R695" s="79"/>
      <c r="Y695" s="79"/>
      <c r="AC695" s="130"/>
      <c r="AE695" s="106"/>
    </row>
    <row r="696">
      <c r="C696" s="79"/>
      <c r="D696" s="79"/>
      <c r="E696" s="79"/>
      <c r="P696" s="79"/>
      <c r="Q696" s="79"/>
      <c r="R696" s="79"/>
      <c r="Y696" s="79"/>
      <c r="AC696" s="130"/>
      <c r="AE696" s="106"/>
    </row>
    <row r="697">
      <c r="C697" s="79"/>
      <c r="D697" s="79"/>
      <c r="E697" s="79"/>
      <c r="P697" s="79"/>
      <c r="Q697" s="79"/>
      <c r="R697" s="79"/>
      <c r="Y697" s="79"/>
      <c r="AC697" s="130"/>
      <c r="AE697" s="106"/>
    </row>
    <row r="698">
      <c r="C698" s="79"/>
      <c r="D698" s="79"/>
      <c r="E698" s="79"/>
      <c r="P698" s="79"/>
      <c r="Q698" s="79"/>
      <c r="R698" s="79"/>
      <c r="Y698" s="79"/>
      <c r="AC698" s="130"/>
      <c r="AE698" s="106"/>
    </row>
    <row r="699">
      <c r="C699" s="79"/>
      <c r="D699" s="79"/>
      <c r="E699" s="79"/>
      <c r="P699" s="79"/>
      <c r="Q699" s="79"/>
      <c r="R699" s="79"/>
      <c r="Y699" s="79"/>
      <c r="AC699" s="130"/>
      <c r="AE699" s="106"/>
    </row>
    <row r="700">
      <c r="C700" s="79"/>
      <c r="D700" s="79"/>
      <c r="E700" s="79"/>
      <c r="P700" s="79"/>
      <c r="Q700" s="79"/>
      <c r="R700" s="79"/>
      <c r="Y700" s="79"/>
      <c r="AC700" s="130"/>
      <c r="AE700" s="106"/>
    </row>
    <row r="701">
      <c r="C701" s="79"/>
      <c r="D701" s="79"/>
      <c r="E701" s="79"/>
      <c r="P701" s="79"/>
      <c r="Q701" s="79"/>
      <c r="R701" s="79"/>
      <c r="Y701" s="79"/>
      <c r="AC701" s="130"/>
      <c r="AE701" s="106"/>
    </row>
    <row r="702">
      <c r="C702" s="79"/>
      <c r="D702" s="79"/>
      <c r="E702" s="79"/>
      <c r="P702" s="79"/>
      <c r="Q702" s="79"/>
      <c r="R702" s="79"/>
      <c r="Y702" s="79"/>
      <c r="AC702" s="130"/>
      <c r="AE702" s="106"/>
    </row>
    <row r="703">
      <c r="C703" s="79"/>
      <c r="D703" s="79"/>
      <c r="E703" s="79"/>
      <c r="P703" s="79"/>
      <c r="Q703" s="79"/>
      <c r="R703" s="79"/>
      <c r="Y703" s="79"/>
      <c r="AC703" s="130"/>
      <c r="AE703" s="106"/>
    </row>
    <row r="704">
      <c r="C704" s="79"/>
      <c r="D704" s="79"/>
      <c r="E704" s="79"/>
      <c r="P704" s="79"/>
      <c r="Q704" s="79"/>
      <c r="R704" s="79"/>
      <c r="Y704" s="79"/>
      <c r="AC704" s="130"/>
      <c r="AE704" s="106"/>
    </row>
    <row r="705">
      <c r="C705" s="79"/>
      <c r="D705" s="79"/>
      <c r="E705" s="79"/>
      <c r="P705" s="79"/>
      <c r="Q705" s="79"/>
      <c r="R705" s="79"/>
      <c r="Y705" s="79"/>
      <c r="AC705" s="130"/>
      <c r="AE705" s="106"/>
    </row>
    <row r="706">
      <c r="C706" s="79"/>
      <c r="D706" s="79"/>
      <c r="E706" s="79"/>
      <c r="P706" s="79"/>
      <c r="Q706" s="79"/>
      <c r="R706" s="79"/>
      <c r="Y706" s="79"/>
      <c r="AC706" s="130"/>
      <c r="AE706" s="106"/>
    </row>
    <row r="707">
      <c r="C707" s="79"/>
      <c r="D707" s="79"/>
      <c r="E707" s="79"/>
      <c r="P707" s="79"/>
      <c r="Q707" s="79"/>
      <c r="R707" s="79"/>
      <c r="Y707" s="79"/>
      <c r="AC707" s="130"/>
      <c r="AE707" s="106"/>
    </row>
    <row r="708">
      <c r="C708" s="79"/>
      <c r="D708" s="79"/>
      <c r="E708" s="79"/>
      <c r="P708" s="79"/>
      <c r="Q708" s="79"/>
      <c r="R708" s="79"/>
      <c r="Y708" s="79"/>
      <c r="AC708" s="130"/>
      <c r="AE708" s="106"/>
    </row>
    <row r="709">
      <c r="C709" s="79"/>
      <c r="D709" s="79"/>
      <c r="E709" s="79"/>
      <c r="P709" s="79"/>
      <c r="Q709" s="79"/>
      <c r="R709" s="79"/>
      <c r="Y709" s="79"/>
      <c r="AC709" s="130"/>
      <c r="AE709" s="106"/>
    </row>
    <row r="710">
      <c r="C710" s="79"/>
      <c r="D710" s="79"/>
      <c r="E710" s="79"/>
      <c r="P710" s="79"/>
      <c r="Q710" s="79"/>
      <c r="R710" s="79"/>
      <c r="Y710" s="79"/>
      <c r="AC710" s="130"/>
      <c r="AE710" s="106"/>
    </row>
    <row r="711">
      <c r="C711" s="79"/>
      <c r="D711" s="79"/>
      <c r="E711" s="79"/>
      <c r="P711" s="79"/>
      <c r="Q711" s="79"/>
      <c r="R711" s="79"/>
      <c r="Y711" s="79"/>
      <c r="AC711" s="130"/>
      <c r="AE711" s="106"/>
    </row>
    <row r="712">
      <c r="C712" s="79"/>
      <c r="D712" s="79"/>
      <c r="E712" s="79"/>
      <c r="P712" s="79"/>
      <c r="Q712" s="79"/>
      <c r="R712" s="79"/>
      <c r="Y712" s="79"/>
      <c r="AC712" s="130"/>
      <c r="AE712" s="106"/>
    </row>
    <row r="713">
      <c r="C713" s="79"/>
      <c r="D713" s="79"/>
      <c r="E713" s="79"/>
      <c r="P713" s="79"/>
      <c r="Q713" s="79"/>
      <c r="R713" s="79"/>
      <c r="Y713" s="79"/>
      <c r="AC713" s="130"/>
      <c r="AE713" s="106"/>
    </row>
    <row r="714">
      <c r="C714" s="79"/>
      <c r="D714" s="79"/>
      <c r="E714" s="79"/>
      <c r="P714" s="79"/>
      <c r="Q714" s="79"/>
      <c r="R714" s="79"/>
      <c r="Y714" s="79"/>
      <c r="AC714" s="130"/>
      <c r="AE714" s="106"/>
    </row>
    <row r="715">
      <c r="C715" s="79"/>
      <c r="D715" s="79"/>
      <c r="E715" s="79"/>
      <c r="P715" s="79"/>
      <c r="Q715" s="79"/>
      <c r="R715" s="79"/>
      <c r="Y715" s="79"/>
      <c r="AC715" s="130"/>
      <c r="AE715" s="106"/>
    </row>
    <row r="716">
      <c r="C716" s="79"/>
      <c r="D716" s="79"/>
      <c r="E716" s="79"/>
      <c r="P716" s="79"/>
      <c r="Q716" s="79"/>
      <c r="R716" s="79"/>
      <c r="Y716" s="79"/>
      <c r="AC716" s="130"/>
      <c r="AE716" s="106"/>
    </row>
    <row r="717">
      <c r="C717" s="79"/>
      <c r="D717" s="79"/>
      <c r="E717" s="79"/>
      <c r="P717" s="79"/>
      <c r="Q717" s="79"/>
      <c r="R717" s="79"/>
      <c r="Y717" s="79"/>
      <c r="AC717" s="130"/>
      <c r="AE717" s="106"/>
    </row>
    <row r="718">
      <c r="C718" s="79"/>
      <c r="D718" s="79"/>
      <c r="E718" s="79"/>
      <c r="P718" s="79"/>
      <c r="Q718" s="79"/>
      <c r="R718" s="79"/>
      <c r="Y718" s="79"/>
      <c r="AC718" s="130"/>
      <c r="AE718" s="106"/>
    </row>
    <row r="719">
      <c r="C719" s="79"/>
      <c r="D719" s="79"/>
      <c r="E719" s="79"/>
      <c r="P719" s="79"/>
      <c r="Q719" s="79"/>
      <c r="R719" s="79"/>
      <c r="Y719" s="79"/>
      <c r="AC719" s="130"/>
      <c r="AE719" s="106"/>
    </row>
    <row r="720">
      <c r="C720" s="79"/>
      <c r="D720" s="79"/>
      <c r="E720" s="79"/>
      <c r="P720" s="79"/>
      <c r="Q720" s="79"/>
      <c r="R720" s="79"/>
      <c r="Y720" s="79"/>
      <c r="AC720" s="130"/>
      <c r="AE720" s="106"/>
    </row>
    <row r="721">
      <c r="C721" s="79"/>
      <c r="D721" s="79"/>
      <c r="E721" s="79"/>
      <c r="P721" s="79"/>
      <c r="Q721" s="79"/>
      <c r="R721" s="79"/>
      <c r="Y721" s="79"/>
      <c r="AC721" s="130"/>
      <c r="AE721" s="106"/>
    </row>
    <row r="722">
      <c r="C722" s="79"/>
      <c r="D722" s="79"/>
      <c r="E722" s="79"/>
      <c r="P722" s="79"/>
      <c r="Q722" s="79"/>
      <c r="R722" s="79"/>
      <c r="Y722" s="79"/>
      <c r="AC722" s="130"/>
      <c r="AE722" s="106"/>
    </row>
    <row r="723">
      <c r="C723" s="79"/>
      <c r="D723" s="79"/>
      <c r="E723" s="79"/>
      <c r="P723" s="79"/>
      <c r="Q723" s="79"/>
      <c r="R723" s="79"/>
      <c r="Y723" s="79"/>
      <c r="AC723" s="130"/>
      <c r="AE723" s="106"/>
    </row>
    <row r="724">
      <c r="C724" s="79"/>
      <c r="D724" s="79"/>
      <c r="E724" s="79"/>
      <c r="P724" s="79"/>
      <c r="Q724" s="79"/>
      <c r="R724" s="79"/>
      <c r="Y724" s="79"/>
      <c r="AC724" s="130"/>
      <c r="AE724" s="106"/>
    </row>
    <row r="725">
      <c r="C725" s="79"/>
      <c r="D725" s="79"/>
      <c r="E725" s="79"/>
      <c r="P725" s="79"/>
      <c r="Q725" s="79"/>
      <c r="R725" s="79"/>
      <c r="Y725" s="79"/>
      <c r="AC725" s="130"/>
      <c r="AE725" s="106"/>
    </row>
    <row r="726">
      <c r="C726" s="79"/>
      <c r="D726" s="79"/>
      <c r="E726" s="79"/>
      <c r="P726" s="79"/>
      <c r="Q726" s="79"/>
      <c r="R726" s="79"/>
      <c r="Y726" s="79"/>
      <c r="AC726" s="130"/>
      <c r="AE726" s="106"/>
    </row>
    <row r="727">
      <c r="C727" s="79"/>
      <c r="D727" s="79"/>
      <c r="E727" s="79"/>
      <c r="P727" s="79"/>
      <c r="Q727" s="79"/>
      <c r="R727" s="79"/>
      <c r="Y727" s="79"/>
      <c r="AC727" s="130"/>
      <c r="AE727" s="106"/>
    </row>
    <row r="728">
      <c r="C728" s="79"/>
      <c r="D728" s="79"/>
      <c r="E728" s="79"/>
      <c r="P728" s="79"/>
      <c r="Q728" s="79"/>
      <c r="R728" s="79"/>
      <c r="Y728" s="79"/>
      <c r="AC728" s="130"/>
      <c r="AE728" s="106"/>
    </row>
    <row r="729">
      <c r="C729" s="79"/>
      <c r="D729" s="79"/>
      <c r="E729" s="79"/>
      <c r="P729" s="79"/>
      <c r="Q729" s="79"/>
      <c r="R729" s="79"/>
      <c r="Y729" s="79"/>
      <c r="AC729" s="130"/>
      <c r="AE729" s="106"/>
    </row>
    <row r="730">
      <c r="C730" s="79"/>
      <c r="D730" s="79"/>
      <c r="E730" s="79"/>
      <c r="P730" s="79"/>
      <c r="Q730" s="79"/>
      <c r="R730" s="79"/>
      <c r="Y730" s="79"/>
      <c r="AC730" s="130"/>
      <c r="AE730" s="106"/>
    </row>
    <row r="731">
      <c r="C731" s="79"/>
      <c r="D731" s="79"/>
      <c r="E731" s="79"/>
      <c r="P731" s="79"/>
      <c r="Q731" s="79"/>
      <c r="R731" s="79"/>
      <c r="Y731" s="79"/>
      <c r="AC731" s="130"/>
      <c r="AE731" s="106"/>
    </row>
    <row r="732">
      <c r="C732" s="79"/>
      <c r="D732" s="79"/>
      <c r="E732" s="79"/>
      <c r="P732" s="79"/>
      <c r="Q732" s="79"/>
      <c r="R732" s="79"/>
      <c r="Y732" s="79"/>
      <c r="AC732" s="130"/>
      <c r="AE732" s="106"/>
    </row>
    <row r="733">
      <c r="C733" s="79"/>
      <c r="D733" s="79"/>
      <c r="E733" s="79"/>
      <c r="P733" s="79"/>
      <c r="Q733" s="79"/>
      <c r="R733" s="79"/>
      <c r="Y733" s="79"/>
      <c r="AC733" s="130"/>
      <c r="AE733" s="106"/>
    </row>
    <row r="734">
      <c r="C734" s="79"/>
      <c r="D734" s="79"/>
      <c r="E734" s="79"/>
      <c r="P734" s="79"/>
      <c r="Q734" s="79"/>
      <c r="R734" s="79"/>
      <c r="Y734" s="79"/>
      <c r="AC734" s="130"/>
      <c r="AE734" s="106"/>
    </row>
    <row r="735">
      <c r="C735" s="79"/>
      <c r="D735" s="79"/>
      <c r="E735" s="79"/>
      <c r="P735" s="79"/>
      <c r="Q735" s="79"/>
      <c r="R735" s="79"/>
      <c r="Y735" s="79"/>
      <c r="AC735" s="130"/>
      <c r="AE735" s="106"/>
    </row>
    <row r="736">
      <c r="C736" s="79"/>
      <c r="D736" s="79"/>
      <c r="E736" s="79"/>
      <c r="P736" s="79"/>
      <c r="Q736" s="79"/>
      <c r="R736" s="79"/>
      <c r="Y736" s="79"/>
      <c r="AC736" s="130"/>
      <c r="AE736" s="106"/>
    </row>
    <row r="737">
      <c r="C737" s="79"/>
      <c r="D737" s="79"/>
      <c r="E737" s="79"/>
      <c r="P737" s="79"/>
      <c r="Q737" s="79"/>
      <c r="R737" s="79"/>
      <c r="Y737" s="79"/>
      <c r="AC737" s="130"/>
      <c r="AE737" s="106"/>
    </row>
    <row r="738">
      <c r="C738" s="79"/>
      <c r="D738" s="79"/>
      <c r="E738" s="79"/>
      <c r="P738" s="79"/>
      <c r="Q738" s="79"/>
      <c r="R738" s="79"/>
      <c r="Y738" s="79"/>
      <c r="AC738" s="130"/>
      <c r="AE738" s="106"/>
    </row>
    <row r="739">
      <c r="C739" s="79"/>
      <c r="D739" s="79"/>
      <c r="E739" s="79"/>
      <c r="P739" s="79"/>
      <c r="Q739" s="79"/>
      <c r="R739" s="79"/>
      <c r="Y739" s="79"/>
      <c r="AC739" s="130"/>
      <c r="AE739" s="106"/>
    </row>
    <row r="740">
      <c r="C740" s="79"/>
      <c r="D740" s="79"/>
      <c r="E740" s="79"/>
      <c r="P740" s="79"/>
      <c r="Q740" s="79"/>
      <c r="R740" s="79"/>
      <c r="Y740" s="79"/>
      <c r="AC740" s="130"/>
      <c r="AE740" s="106"/>
    </row>
    <row r="741">
      <c r="C741" s="79"/>
      <c r="D741" s="79"/>
      <c r="E741" s="79"/>
      <c r="P741" s="79"/>
      <c r="Q741" s="79"/>
      <c r="R741" s="79"/>
      <c r="Y741" s="79"/>
      <c r="AC741" s="130"/>
      <c r="AE741" s="106"/>
    </row>
    <row r="742">
      <c r="C742" s="79"/>
      <c r="D742" s="79"/>
      <c r="E742" s="79"/>
      <c r="P742" s="79"/>
      <c r="Q742" s="79"/>
      <c r="R742" s="79"/>
      <c r="Y742" s="79"/>
      <c r="AC742" s="130"/>
      <c r="AE742" s="106"/>
    </row>
    <row r="743">
      <c r="C743" s="79"/>
      <c r="D743" s="79"/>
      <c r="E743" s="79"/>
      <c r="P743" s="79"/>
      <c r="Q743" s="79"/>
      <c r="R743" s="79"/>
      <c r="Y743" s="79"/>
      <c r="AC743" s="130"/>
      <c r="AE743" s="106"/>
    </row>
    <row r="744">
      <c r="C744" s="79"/>
      <c r="D744" s="79"/>
      <c r="E744" s="79"/>
      <c r="P744" s="79"/>
      <c r="Q744" s="79"/>
      <c r="R744" s="79"/>
      <c r="Y744" s="79"/>
      <c r="AC744" s="130"/>
      <c r="AE744" s="106"/>
    </row>
    <row r="745">
      <c r="C745" s="79"/>
      <c r="D745" s="79"/>
      <c r="E745" s="79"/>
      <c r="P745" s="79"/>
      <c r="Q745" s="79"/>
      <c r="R745" s="79"/>
      <c r="Y745" s="79"/>
      <c r="AC745" s="130"/>
      <c r="AE745" s="106"/>
    </row>
    <row r="746">
      <c r="C746" s="79"/>
      <c r="D746" s="79"/>
      <c r="E746" s="79"/>
      <c r="P746" s="79"/>
      <c r="Q746" s="79"/>
      <c r="R746" s="79"/>
      <c r="Y746" s="79"/>
      <c r="AC746" s="130"/>
      <c r="AE746" s="106"/>
    </row>
    <row r="747">
      <c r="C747" s="79"/>
      <c r="D747" s="79"/>
      <c r="E747" s="79"/>
      <c r="P747" s="79"/>
      <c r="Q747" s="79"/>
      <c r="R747" s="79"/>
      <c r="Y747" s="79"/>
      <c r="AC747" s="130"/>
      <c r="AE747" s="106"/>
    </row>
    <row r="748">
      <c r="C748" s="79"/>
      <c r="D748" s="79"/>
      <c r="E748" s="79"/>
      <c r="P748" s="79"/>
      <c r="Q748" s="79"/>
      <c r="R748" s="79"/>
      <c r="Y748" s="79"/>
      <c r="AC748" s="130"/>
      <c r="AE748" s="106"/>
    </row>
    <row r="749">
      <c r="C749" s="79"/>
      <c r="D749" s="79"/>
      <c r="E749" s="79"/>
      <c r="P749" s="79"/>
      <c r="Q749" s="79"/>
      <c r="R749" s="79"/>
      <c r="Y749" s="79"/>
      <c r="AC749" s="130"/>
      <c r="AE749" s="106"/>
    </row>
    <row r="750">
      <c r="C750" s="79"/>
      <c r="D750" s="79"/>
      <c r="E750" s="79"/>
      <c r="P750" s="79"/>
      <c r="Q750" s="79"/>
      <c r="R750" s="79"/>
      <c r="Y750" s="79"/>
      <c r="AC750" s="130"/>
      <c r="AE750" s="106"/>
    </row>
    <row r="751">
      <c r="C751" s="79"/>
      <c r="D751" s="79"/>
      <c r="E751" s="79"/>
      <c r="P751" s="79"/>
      <c r="Q751" s="79"/>
      <c r="R751" s="79"/>
      <c r="Y751" s="79"/>
      <c r="AC751" s="130"/>
      <c r="AE751" s="106"/>
    </row>
    <row r="752">
      <c r="C752" s="79"/>
      <c r="D752" s="79"/>
      <c r="E752" s="79"/>
      <c r="P752" s="79"/>
      <c r="Q752" s="79"/>
      <c r="R752" s="79"/>
      <c r="Y752" s="79"/>
      <c r="AC752" s="130"/>
      <c r="AE752" s="106"/>
    </row>
    <row r="753">
      <c r="C753" s="79"/>
      <c r="D753" s="79"/>
      <c r="E753" s="79"/>
      <c r="P753" s="79"/>
      <c r="Q753" s="79"/>
      <c r="R753" s="79"/>
      <c r="Y753" s="79"/>
      <c r="AC753" s="130"/>
      <c r="AE753" s="106"/>
    </row>
    <row r="754">
      <c r="C754" s="79"/>
      <c r="D754" s="79"/>
      <c r="E754" s="79"/>
      <c r="P754" s="79"/>
      <c r="Q754" s="79"/>
      <c r="R754" s="79"/>
      <c r="Y754" s="79"/>
      <c r="AC754" s="130"/>
      <c r="AE754" s="106"/>
    </row>
    <row r="755">
      <c r="C755" s="79"/>
      <c r="D755" s="79"/>
      <c r="E755" s="79"/>
      <c r="P755" s="79"/>
      <c r="Q755" s="79"/>
      <c r="R755" s="79"/>
      <c r="Y755" s="79"/>
      <c r="AC755" s="130"/>
      <c r="AE755" s="106"/>
    </row>
    <row r="756">
      <c r="C756" s="79"/>
      <c r="D756" s="79"/>
      <c r="E756" s="79"/>
      <c r="P756" s="79"/>
      <c r="Q756" s="79"/>
      <c r="R756" s="79"/>
      <c r="Y756" s="79"/>
      <c r="AC756" s="130"/>
      <c r="AE756" s="106"/>
    </row>
    <row r="757">
      <c r="C757" s="79"/>
      <c r="D757" s="79"/>
      <c r="E757" s="79"/>
      <c r="P757" s="79"/>
      <c r="Q757" s="79"/>
      <c r="R757" s="79"/>
      <c r="Y757" s="79"/>
      <c r="AC757" s="130"/>
      <c r="AE757" s="106"/>
    </row>
    <row r="758">
      <c r="C758" s="79"/>
      <c r="D758" s="79"/>
      <c r="E758" s="79"/>
      <c r="P758" s="79"/>
      <c r="Q758" s="79"/>
      <c r="R758" s="79"/>
      <c r="Y758" s="79"/>
      <c r="AC758" s="130"/>
      <c r="AE758" s="106"/>
    </row>
    <row r="759">
      <c r="C759" s="79"/>
      <c r="D759" s="79"/>
      <c r="E759" s="79"/>
      <c r="P759" s="79"/>
      <c r="Q759" s="79"/>
      <c r="R759" s="79"/>
      <c r="Y759" s="79"/>
      <c r="AC759" s="130"/>
      <c r="AE759" s="106"/>
    </row>
    <row r="760">
      <c r="C760" s="79"/>
      <c r="D760" s="79"/>
      <c r="E760" s="79"/>
      <c r="P760" s="79"/>
      <c r="Q760" s="79"/>
      <c r="R760" s="79"/>
      <c r="Y760" s="79"/>
      <c r="AC760" s="130"/>
      <c r="AE760" s="106"/>
    </row>
    <row r="761">
      <c r="C761" s="79"/>
      <c r="D761" s="79"/>
      <c r="E761" s="79"/>
      <c r="P761" s="79"/>
      <c r="Q761" s="79"/>
      <c r="R761" s="79"/>
      <c r="Y761" s="79"/>
      <c r="AC761" s="130"/>
      <c r="AE761" s="106"/>
    </row>
    <row r="762">
      <c r="C762" s="79"/>
      <c r="D762" s="79"/>
      <c r="E762" s="79"/>
      <c r="P762" s="79"/>
      <c r="Q762" s="79"/>
      <c r="R762" s="79"/>
      <c r="Y762" s="79"/>
      <c r="AC762" s="130"/>
      <c r="AE762" s="106"/>
    </row>
    <row r="763">
      <c r="C763" s="79"/>
      <c r="D763" s="79"/>
      <c r="E763" s="79"/>
      <c r="P763" s="79"/>
      <c r="Q763" s="79"/>
      <c r="R763" s="79"/>
      <c r="Y763" s="79"/>
      <c r="AC763" s="130"/>
      <c r="AE763" s="106"/>
    </row>
    <row r="764">
      <c r="C764" s="79"/>
      <c r="D764" s="79"/>
      <c r="E764" s="79"/>
      <c r="P764" s="79"/>
      <c r="Q764" s="79"/>
      <c r="R764" s="79"/>
      <c r="Y764" s="79"/>
      <c r="AC764" s="130"/>
      <c r="AE764" s="106"/>
    </row>
    <row r="765">
      <c r="C765" s="79"/>
      <c r="D765" s="79"/>
      <c r="E765" s="79"/>
      <c r="P765" s="79"/>
      <c r="Q765" s="79"/>
      <c r="R765" s="79"/>
      <c r="Y765" s="79"/>
      <c r="AC765" s="130"/>
      <c r="AE765" s="106"/>
    </row>
    <row r="766">
      <c r="C766" s="79"/>
      <c r="D766" s="79"/>
      <c r="E766" s="79"/>
      <c r="P766" s="79"/>
      <c r="Q766" s="79"/>
      <c r="R766" s="79"/>
      <c r="Y766" s="79"/>
      <c r="AC766" s="130"/>
      <c r="AE766" s="106"/>
    </row>
    <row r="767">
      <c r="C767" s="79"/>
      <c r="D767" s="79"/>
      <c r="E767" s="79"/>
      <c r="P767" s="79"/>
      <c r="Q767" s="79"/>
      <c r="R767" s="79"/>
      <c r="Y767" s="79"/>
      <c r="AC767" s="130"/>
      <c r="AE767" s="106"/>
    </row>
    <row r="768">
      <c r="C768" s="79"/>
      <c r="D768" s="79"/>
      <c r="E768" s="79"/>
      <c r="P768" s="79"/>
      <c r="Q768" s="79"/>
      <c r="R768" s="79"/>
      <c r="Y768" s="79"/>
      <c r="AC768" s="130"/>
      <c r="AE768" s="106"/>
    </row>
    <row r="769">
      <c r="C769" s="79"/>
      <c r="D769" s="79"/>
      <c r="E769" s="79"/>
      <c r="P769" s="79"/>
      <c r="Q769" s="79"/>
      <c r="R769" s="79"/>
      <c r="Y769" s="79"/>
      <c r="AC769" s="130"/>
      <c r="AE769" s="106"/>
    </row>
    <row r="770">
      <c r="C770" s="79"/>
      <c r="D770" s="79"/>
      <c r="E770" s="79"/>
      <c r="P770" s="79"/>
      <c r="Q770" s="79"/>
      <c r="R770" s="79"/>
      <c r="Y770" s="79"/>
      <c r="AC770" s="130"/>
      <c r="AE770" s="106"/>
    </row>
    <row r="771">
      <c r="C771" s="79"/>
      <c r="D771" s="79"/>
      <c r="E771" s="79"/>
      <c r="P771" s="79"/>
      <c r="Q771" s="79"/>
      <c r="R771" s="79"/>
      <c r="Y771" s="79"/>
      <c r="AC771" s="130"/>
      <c r="AE771" s="106"/>
    </row>
    <row r="772">
      <c r="C772" s="79"/>
      <c r="D772" s="79"/>
      <c r="E772" s="79"/>
      <c r="P772" s="79"/>
      <c r="Q772" s="79"/>
      <c r="R772" s="79"/>
      <c r="Y772" s="79"/>
      <c r="AC772" s="130"/>
      <c r="AE772" s="106"/>
    </row>
    <row r="773">
      <c r="C773" s="79"/>
      <c r="D773" s="79"/>
      <c r="E773" s="79"/>
      <c r="P773" s="79"/>
      <c r="Q773" s="79"/>
      <c r="R773" s="79"/>
      <c r="Y773" s="79"/>
      <c r="AC773" s="130"/>
      <c r="AE773" s="106"/>
    </row>
    <row r="774">
      <c r="C774" s="79"/>
      <c r="D774" s="79"/>
      <c r="E774" s="79"/>
      <c r="P774" s="79"/>
      <c r="Q774" s="79"/>
      <c r="R774" s="79"/>
      <c r="Y774" s="79"/>
      <c r="AC774" s="130"/>
      <c r="AE774" s="106"/>
    </row>
    <row r="775">
      <c r="C775" s="79"/>
      <c r="D775" s="79"/>
      <c r="E775" s="79"/>
      <c r="P775" s="79"/>
      <c r="Q775" s="79"/>
      <c r="R775" s="79"/>
      <c r="Y775" s="79"/>
      <c r="AC775" s="130"/>
      <c r="AE775" s="106"/>
    </row>
    <row r="776">
      <c r="C776" s="79"/>
      <c r="D776" s="79"/>
      <c r="E776" s="79"/>
      <c r="P776" s="79"/>
      <c r="Q776" s="79"/>
      <c r="R776" s="79"/>
      <c r="Y776" s="79"/>
      <c r="AC776" s="130"/>
      <c r="AE776" s="106"/>
    </row>
    <row r="777">
      <c r="C777" s="79"/>
      <c r="D777" s="79"/>
      <c r="E777" s="79"/>
      <c r="P777" s="79"/>
      <c r="Q777" s="79"/>
      <c r="R777" s="79"/>
      <c r="Y777" s="79"/>
      <c r="AC777" s="130"/>
      <c r="AE777" s="106"/>
    </row>
    <row r="778">
      <c r="C778" s="79"/>
      <c r="D778" s="79"/>
      <c r="E778" s="79"/>
      <c r="P778" s="79"/>
      <c r="Q778" s="79"/>
      <c r="R778" s="79"/>
      <c r="Y778" s="79"/>
      <c r="AC778" s="130"/>
      <c r="AE778" s="106"/>
    </row>
    <row r="779">
      <c r="C779" s="79"/>
      <c r="D779" s="79"/>
      <c r="E779" s="79"/>
      <c r="P779" s="79"/>
      <c r="Q779" s="79"/>
      <c r="R779" s="79"/>
      <c r="Y779" s="79"/>
      <c r="AC779" s="130"/>
      <c r="AE779" s="106"/>
    </row>
    <row r="780">
      <c r="C780" s="79"/>
      <c r="D780" s="79"/>
      <c r="E780" s="79"/>
      <c r="P780" s="79"/>
      <c r="Q780" s="79"/>
      <c r="R780" s="79"/>
      <c r="Y780" s="79"/>
      <c r="AC780" s="130"/>
      <c r="AE780" s="106"/>
    </row>
    <row r="781">
      <c r="C781" s="79"/>
      <c r="D781" s="79"/>
      <c r="E781" s="79"/>
      <c r="P781" s="79"/>
      <c r="Q781" s="79"/>
      <c r="R781" s="79"/>
      <c r="Y781" s="79"/>
      <c r="AC781" s="130"/>
      <c r="AE781" s="106"/>
    </row>
    <row r="782">
      <c r="C782" s="79"/>
      <c r="D782" s="79"/>
      <c r="E782" s="79"/>
      <c r="P782" s="79"/>
      <c r="Q782" s="79"/>
      <c r="R782" s="79"/>
      <c r="Y782" s="79"/>
      <c r="AC782" s="130"/>
      <c r="AE782" s="106"/>
    </row>
    <row r="783">
      <c r="C783" s="79"/>
      <c r="D783" s="79"/>
      <c r="E783" s="79"/>
      <c r="P783" s="79"/>
      <c r="Q783" s="79"/>
      <c r="R783" s="79"/>
      <c r="Y783" s="79"/>
      <c r="AC783" s="130"/>
      <c r="AE783" s="106"/>
    </row>
    <row r="784">
      <c r="C784" s="79"/>
      <c r="D784" s="79"/>
      <c r="E784" s="79"/>
      <c r="P784" s="79"/>
      <c r="Q784" s="79"/>
      <c r="R784" s="79"/>
      <c r="Y784" s="79"/>
      <c r="AC784" s="130"/>
      <c r="AE784" s="106"/>
    </row>
    <row r="785">
      <c r="C785" s="79"/>
      <c r="D785" s="79"/>
      <c r="E785" s="79"/>
      <c r="P785" s="79"/>
      <c r="Q785" s="79"/>
      <c r="R785" s="79"/>
      <c r="Y785" s="79"/>
      <c r="AC785" s="130"/>
      <c r="AE785" s="106"/>
    </row>
    <row r="786">
      <c r="C786" s="79"/>
      <c r="D786" s="79"/>
      <c r="E786" s="79"/>
      <c r="P786" s="79"/>
      <c r="Q786" s="79"/>
      <c r="R786" s="79"/>
      <c r="Y786" s="79"/>
      <c r="AC786" s="130"/>
      <c r="AE786" s="106"/>
    </row>
    <row r="787">
      <c r="C787" s="79"/>
      <c r="D787" s="79"/>
      <c r="E787" s="79"/>
      <c r="P787" s="79"/>
      <c r="Q787" s="79"/>
      <c r="R787" s="79"/>
      <c r="Y787" s="79"/>
      <c r="AC787" s="130"/>
      <c r="AE787" s="106"/>
    </row>
    <row r="788">
      <c r="C788" s="79"/>
      <c r="D788" s="79"/>
      <c r="E788" s="79"/>
      <c r="P788" s="79"/>
      <c r="Q788" s="79"/>
      <c r="R788" s="79"/>
      <c r="Y788" s="79"/>
      <c r="AC788" s="130"/>
      <c r="AE788" s="106"/>
    </row>
    <row r="789">
      <c r="C789" s="79"/>
      <c r="D789" s="79"/>
      <c r="E789" s="79"/>
      <c r="P789" s="79"/>
      <c r="Q789" s="79"/>
      <c r="R789" s="79"/>
      <c r="Y789" s="79"/>
      <c r="AC789" s="130"/>
      <c r="AE789" s="106"/>
    </row>
    <row r="790">
      <c r="C790" s="79"/>
      <c r="D790" s="79"/>
      <c r="E790" s="79"/>
      <c r="P790" s="79"/>
      <c r="Q790" s="79"/>
      <c r="R790" s="79"/>
      <c r="Y790" s="79"/>
      <c r="AC790" s="130"/>
      <c r="AE790" s="106"/>
    </row>
    <row r="791">
      <c r="C791" s="79"/>
      <c r="D791" s="79"/>
      <c r="E791" s="79"/>
      <c r="P791" s="79"/>
      <c r="Q791" s="79"/>
      <c r="R791" s="79"/>
      <c r="Y791" s="79"/>
      <c r="AC791" s="130"/>
      <c r="AE791" s="106"/>
    </row>
    <row r="792">
      <c r="C792" s="79"/>
      <c r="D792" s="79"/>
      <c r="E792" s="79"/>
      <c r="P792" s="79"/>
      <c r="Q792" s="79"/>
      <c r="R792" s="79"/>
      <c r="Y792" s="79"/>
      <c r="AC792" s="130"/>
      <c r="AE792" s="106"/>
    </row>
    <row r="793">
      <c r="C793" s="79"/>
      <c r="D793" s="79"/>
      <c r="E793" s="79"/>
      <c r="P793" s="79"/>
      <c r="Q793" s="79"/>
      <c r="R793" s="79"/>
      <c r="Y793" s="79"/>
      <c r="AC793" s="130"/>
      <c r="AE793" s="106"/>
    </row>
    <row r="794">
      <c r="C794" s="79"/>
      <c r="D794" s="79"/>
      <c r="E794" s="79"/>
      <c r="P794" s="79"/>
      <c r="Q794" s="79"/>
      <c r="R794" s="79"/>
      <c r="Y794" s="79"/>
      <c r="AC794" s="130"/>
      <c r="AE794" s="106"/>
    </row>
    <row r="795">
      <c r="C795" s="79"/>
      <c r="D795" s="79"/>
      <c r="E795" s="79"/>
      <c r="P795" s="79"/>
      <c r="Q795" s="79"/>
      <c r="R795" s="79"/>
      <c r="Y795" s="79"/>
      <c r="AC795" s="130"/>
      <c r="AE795" s="106"/>
    </row>
    <row r="796">
      <c r="C796" s="79"/>
      <c r="D796" s="79"/>
      <c r="E796" s="79"/>
      <c r="P796" s="79"/>
      <c r="Q796" s="79"/>
      <c r="R796" s="79"/>
      <c r="Y796" s="79"/>
      <c r="AC796" s="130"/>
      <c r="AE796" s="106"/>
    </row>
    <row r="797">
      <c r="C797" s="79"/>
      <c r="D797" s="79"/>
      <c r="E797" s="79"/>
      <c r="P797" s="79"/>
      <c r="Q797" s="79"/>
      <c r="R797" s="79"/>
      <c r="Y797" s="79"/>
      <c r="AC797" s="130"/>
      <c r="AE797" s="106"/>
    </row>
    <row r="798">
      <c r="C798" s="79"/>
      <c r="D798" s="79"/>
      <c r="E798" s="79"/>
      <c r="P798" s="79"/>
      <c r="Q798" s="79"/>
      <c r="R798" s="79"/>
      <c r="Y798" s="79"/>
      <c r="AC798" s="130"/>
      <c r="AE798" s="106"/>
    </row>
    <row r="799">
      <c r="C799" s="79"/>
      <c r="D799" s="79"/>
      <c r="E799" s="79"/>
      <c r="P799" s="79"/>
      <c r="Q799" s="79"/>
      <c r="R799" s="79"/>
      <c r="Y799" s="79"/>
      <c r="AC799" s="130"/>
      <c r="AE799" s="106"/>
    </row>
    <row r="800">
      <c r="C800" s="79"/>
      <c r="D800" s="79"/>
      <c r="E800" s="79"/>
      <c r="P800" s="79"/>
      <c r="Q800" s="79"/>
      <c r="R800" s="79"/>
      <c r="Y800" s="79"/>
      <c r="AC800" s="130"/>
      <c r="AE800" s="106"/>
    </row>
    <row r="801">
      <c r="C801" s="79"/>
      <c r="D801" s="79"/>
      <c r="E801" s="79"/>
      <c r="P801" s="79"/>
      <c r="Q801" s="79"/>
      <c r="R801" s="79"/>
      <c r="Y801" s="79"/>
      <c r="AC801" s="130"/>
      <c r="AE801" s="106"/>
    </row>
    <row r="802">
      <c r="C802" s="79"/>
      <c r="D802" s="79"/>
      <c r="E802" s="79"/>
      <c r="P802" s="79"/>
      <c r="Q802" s="79"/>
      <c r="R802" s="79"/>
      <c r="Y802" s="79"/>
      <c r="AC802" s="130"/>
      <c r="AE802" s="106"/>
    </row>
    <row r="803">
      <c r="C803" s="79"/>
      <c r="D803" s="79"/>
      <c r="E803" s="79"/>
      <c r="P803" s="79"/>
      <c r="Q803" s="79"/>
      <c r="R803" s="79"/>
      <c r="Y803" s="79"/>
      <c r="AC803" s="130"/>
      <c r="AE803" s="106"/>
    </row>
    <row r="804">
      <c r="C804" s="79"/>
      <c r="D804" s="79"/>
      <c r="E804" s="79"/>
      <c r="P804" s="79"/>
      <c r="Q804" s="79"/>
      <c r="R804" s="79"/>
      <c r="Y804" s="79"/>
      <c r="AC804" s="130"/>
      <c r="AE804" s="106"/>
    </row>
    <row r="805">
      <c r="C805" s="79"/>
      <c r="D805" s="79"/>
      <c r="E805" s="79"/>
      <c r="P805" s="79"/>
      <c r="Q805" s="79"/>
      <c r="R805" s="79"/>
      <c r="Y805" s="79"/>
      <c r="AC805" s="130"/>
      <c r="AE805" s="106"/>
    </row>
    <row r="806">
      <c r="C806" s="79"/>
      <c r="D806" s="79"/>
      <c r="E806" s="79"/>
      <c r="P806" s="79"/>
      <c r="Q806" s="79"/>
      <c r="R806" s="79"/>
      <c r="Y806" s="79"/>
      <c r="AC806" s="130"/>
      <c r="AE806" s="106"/>
    </row>
    <row r="807">
      <c r="C807" s="79"/>
      <c r="D807" s="79"/>
      <c r="E807" s="79"/>
      <c r="P807" s="79"/>
      <c r="Q807" s="79"/>
      <c r="R807" s="79"/>
      <c r="Y807" s="79"/>
      <c r="AC807" s="130"/>
      <c r="AE807" s="106"/>
    </row>
    <row r="808">
      <c r="C808" s="79"/>
      <c r="D808" s="79"/>
      <c r="E808" s="79"/>
      <c r="P808" s="79"/>
      <c r="Q808" s="79"/>
      <c r="R808" s="79"/>
      <c r="Y808" s="79"/>
      <c r="AC808" s="130"/>
      <c r="AE808" s="106"/>
    </row>
    <row r="809">
      <c r="C809" s="79"/>
      <c r="D809" s="79"/>
      <c r="E809" s="79"/>
      <c r="P809" s="79"/>
      <c r="Q809" s="79"/>
      <c r="R809" s="79"/>
      <c r="Y809" s="79"/>
      <c r="AC809" s="130"/>
      <c r="AE809" s="106"/>
    </row>
    <row r="810">
      <c r="C810" s="79"/>
      <c r="D810" s="79"/>
      <c r="E810" s="79"/>
      <c r="P810" s="79"/>
      <c r="Q810" s="79"/>
      <c r="R810" s="79"/>
      <c r="Y810" s="79"/>
      <c r="AC810" s="130"/>
      <c r="AE810" s="106"/>
    </row>
    <row r="811">
      <c r="C811" s="79"/>
      <c r="D811" s="79"/>
      <c r="E811" s="79"/>
      <c r="P811" s="79"/>
      <c r="Q811" s="79"/>
      <c r="R811" s="79"/>
      <c r="Y811" s="79"/>
      <c r="AC811" s="130"/>
      <c r="AE811" s="106"/>
    </row>
    <row r="812">
      <c r="C812" s="79"/>
      <c r="D812" s="79"/>
      <c r="E812" s="79"/>
      <c r="P812" s="79"/>
      <c r="Q812" s="79"/>
      <c r="R812" s="79"/>
      <c r="Y812" s="79"/>
      <c r="AC812" s="130"/>
      <c r="AE812" s="106"/>
    </row>
    <row r="813">
      <c r="C813" s="79"/>
      <c r="D813" s="79"/>
      <c r="E813" s="79"/>
      <c r="P813" s="79"/>
      <c r="Q813" s="79"/>
      <c r="R813" s="79"/>
      <c r="Y813" s="79"/>
      <c r="AC813" s="130"/>
      <c r="AE813" s="106"/>
    </row>
    <row r="814">
      <c r="C814" s="79"/>
      <c r="D814" s="79"/>
      <c r="E814" s="79"/>
      <c r="P814" s="79"/>
      <c r="Q814" s="79"/>
      <c r="R814" s="79"/>
      <c r="Y814" s="79"/>
      <c r="AC814" s="130"/>
      <c r="AE814" s="106"/>
    </row>
    <row r="815">
      <c r="C815" s="79"/>
      <c r="D815" s="79"/>
      <c r="E815" s="79"/>
      <c r="P815" s="79"/>
      <c r="Q815" s="79"/>
      <c r="R815" s="79"/>
      <c r="Y815" s="79"/>
      <c r="AC815" s="130"/>
      <c r="AE815" s="106"/>
    </row>
    <row r="816">
      <c r="C816" s="79"/>
      <c r="D816" s="79"/>
      <c r="E816" s="79"/>
      <c r="P816" s="79"/>
      <c r="Q816" s="79"/>
      <c r="R816" s="79"/>
      <c r="Y816" s="79"/>
      <c r="AC816" s="130"/>
      <c r="AE816" s="106"/>
    </row>
    <row r="817">
      <c r="C817" s="79"/>
      <c r="D817" s="79"/>
      <c r="E817" s="79"/>
      <c r="P817" s="79"/>
      <c r="Q817" s="79"/>
      <c r="R817" s="79"/>
      <c r="Y817" s="79"/>
      <c r="AC817" s="130"/>
      <c r="AE817" s="106"/>
    </row>
    <row r="818">
      <c r="C818" s="79"/>
      <c r="D818" s="79"/>
      <c r="E818" s="79"/>
      <c r="P818" s="79"/>
      <c r="Q818" s="79"/>
      <c r="R818" s="79"/>
      <c r="Y818" s="79"/>
      <c r="AC818" s="130"/>
      <c r="AE818" s="106"/>
    </row>
    <row r="819">
      <c r="C819" s="79"/>
      <c r="D819" s="79"/>
      <c r="E819" s="79"/>
      <c r="P819" s="79"/>
      <c r="Q819" s="79"/>
      <c r="R819" s="79"/>
      <c r="Y819" s="79"/>
      <c r="AC819" s="130"/>
      <c r="AE819" s="106"/>
    </row>
    <row r="820">
      <c r="C820" s="79"/>
      <c r="D820" s="79"/>
      <c r="E820" s="79"/>
      <c r="P820" s="79"/>
      <c r="Q820" s="79"/>
      <c r="R820" s="79"/>
      <c r="Y820" s="79"/>
      <c r="AC820" s="130"/>
      <c r="AE820" s="106"/>
    </row>
    <row r="821">
      <c r="C821" s="79"/>
      <c r="D821" s="79"/>
      <c r="E821" s="79"/>
      <c r="P821" s="79"/>
      <c r="Q821" s="79"/>
      <c r="R821" s="79"/>
      <c r="Y821" s="79"/>
      <c r="AC821" s="130"/>
      <c r="AE821" s="106"/>
    </row>
    <row r="822">
      <c r="C822" s="79"/>
      <c r="D822" s="79"/>
      <c r="E822" s="79"/>
      <c r="P822" s="79"/>
      <c r="Q822" s="79"/>
      <c r="R822" s="79"/>
      <c r="Y822" s="79"/>
      <c r="AC822" s="130"/>
      <c r="AE822" s="106"/>
    </row>
    <row r="823">
      <c r="C823" s="79"/>
      <c r="D823" s="79"/>
      <c r="E823" s="79"/>
      <c r="P823" s="79"/>
      <c r="Q823" s="79"/>
      <c r="R823" s="79"/>
      <c r="Y823" s="79"/>
      <c r="AC823" s="130"/>
      <c r="AE823" s="106"/>
    </row>
    <row r="824">
      <c r="C824" s="79"/>
      <c r="D824" s="79"/>
      <c r="E824" s="79"/>
      <c r="P824" s="79"/>
      <c r="Q824" s="79"/>
      <c r="R824" s="79"/>
      <c r="Y824" s="79"/>
      <c r="AC824" s="130"/>
      <c r="AE824" s="106"/>
    </row>
    <row r="825">
      <c r="C825" s="79"/>
      <c r="D825" s="79"/>
      <c r="E825" s="79"/>
      <c r="P825" s="79"/>
      <c r="Q825" s="79"/>
      <c r="R825" s="79"/>
      <c r="Y825" s="79"/>
      <c r="AC825" s="130"/>
      <c r="AE825" s="106"/>
    </row>
    <row r="826">
      <c r="C826" s="79"/>
      <c r="D826" s="79"/>
      <c r="E826" s="79"/>
      <c r="P826" s="79"/>
      <c r="Q826" s="79"/>
      <c r="R826" s="79"/>
      <c r="Y826" s="79"/>
      <c r="AC826" s="130"/>
      <c r="AE826" s="106"/>
    </row>
    <row r="827">
      <c r="C827" s="79"/>
      <c r="D827" s="79"/>
      <c r="E827" s="79"/>
      <c r="P827" s="79"/>
      <c r="Q827" s="79"/>
      <c r="R827" s="79"/>
      <c r="Y827" s="79"/>
      <c r="AC827" s="130"/>
      <c r="AE827" s="106"/>
    </row>
    <row r="828">
      <c r="C828" s="79"/>
      <c r="D828" s="79"/>
      <c r="E828" s="79"/>
      <c r="P828" s="79"/>
      <c r="Q828" s="79"/>
      <c r="R828" s="79"/>
      <c r="Y828" s="79"/>
      <c r="AC828" s="130"/>
      <c r="AE828" s="106"/>
    </row>
    <row r="829">
      <c r="C829" s="79"/>
      <c r="D829" s="79"/>
      <c r="E829" s="79"/>
      <c r="P829" s="79"/>
      <c r="Q829" s="79"/>
      <c r="R829" s="79"/>
      <c r="Y829" s="79"/>
      <c r="AC829" s="130"/>
      <c r="AE829" s="106"/>
    </row>
    <row r="830">
      <c r="C830" s="79"/>
      <c r="D830" s="79"/>
      <c r="E830" s="79"/>
      <c r="P830" s="79"/>
      <c r="Q830" s="79"/>
      <c r="R830" s="79"/>
      <c r="Y830" s="79"/>
      <c r="AC830" s="130"/>
      <c r="AE830" s="106"/>
    </row>
    <row r="831">
      <c r="C831" s="79"/>
      <c r="D831" s="79"/>
      <c r="E831" s="79"/>
      <c r="P831" s="79"/>
      <c r="Q831" s="79"/>
      <c r="R831" s="79"/>
      <c r="Y831" s="79"/>
      <c r="AC831" s="130"/>
      <c r="AE831" s="106"/>
    </row>
    <row r="832">
      <c r="C832" s="79"/>
      <c r="D832" s="79"/>
      <c r="E832" s="79"/>
      <c r="P832" s="79"/>
      <c r="Q832" s="79"/>
      <c r="R832" s="79"/>
      <c r="Y832" s="79"/>
      <c r="AC832" s="130"/>
      <c r="AE832" s="106"/>
    </row>
    <row r="833">
      <c r="C833" s="79"/>
      <c r="D833" s="79"/>
      <c r="E833" s="79"/>
      <c r="P833" s="79"/>
      <c r="Q833" s="79"/>
      <c r="R833" s="79"/>
      <c r="Y833" s="79"/>
      <c r="AC833" s="130"/>
      <c r="AE833" s="106"/>
    </row>
    <row r="834">
      <c r="C834" s="79"/>
      <c r="D834" s="79"/>
      <c r="E834" s="79"/>
      <c r="P834" s="79"/>
      <c r="Q834" s="79"/>
      <c r="R834" s="79"/>
      <c r="Y834" s="79"/>
      <c r="AC834" s="130"/>
      <c r="AE834" s="106"/>
    </row>
    <row r="835">
      <c r="C835" s="79"/>
      <c r="D835" s="79"/>
      <c r="E835" s="79"/>
      <c r="P835" s="79"/>
      <c r="Q835" s="79"/>
      <c r="R835" s="79"/>
      <c r="Y835" s="79"/>
      <c r="AC835" s="130"/>
      <c r="AE835" s="106"/>
    </row>
    <row r="836">
      <c r="C836" s="79"/>
      <c r="D836" s="79"/>
      <c r="E836" s="79"/>
      <c r="P836" s="79"/>
      <c r="Q836" s="79"/>
      <c r="R836" s="79"/>
      <c r="Y836" s="79"/>
      <c r="AC836" s="130"/>
      <c r="AE836" s="106"/>
    </row>
    <row r="837">
      <c r="C837" s="79"/>
      <c r="D837" s="79"/>
      <c r="E837" s="79"/>
      <c r="P837" s="79"/>
      <c r="Q837" s="79"/>
      <c r="R837" s="79"/>
      <c r="Y837" s="79"/>
      <c r="AC837" s="130"/>
      <c r="AE837" s="106"/>
    </row>
    <row r="838">
      <c r="C838" s="79"/>
      <c r="D838" s="79"/>
      <c r="E838" s="79"/>
      <c r="P838" s="79"/>
      <c r="Q838" s="79"/>
      <c r="R838" s="79"/>
      <c r="Y838" s="79"/>
      <c r="AC838" s="130"/>
      <c r="AE838" s="106"/>
    </row>
    <row r="839">
      <c r="C839" s="79"/>
      <c r="D839" s="79"/>
      <c r="E839" s="79"/>
      <c r="P839" s="79"/>
      <c r="Q839" s="79"/>
      <c r="R839" s="79"/>
      <c r="Y839" s="79"/>
      <c r="AC839" s="130"/>
      <c r="AE839" s="106"/>
    </row>
    <row r="840">
      <c r="C840" s="79"/>
      <c r="D840" s="79"/>
      <c r="E840" s="79"/>
      <c r="P840" s="79"/>
      <c r="Q840" s="79"/>
      <c r="R840" s="79"/>
      <c r="Y840" s="79"/>
      <c r="AC840" s="130"/>
      <c r="AE840" s="106"/>
    </row>
    <row r="841">
      <c r="C841" s="79"/>
      <c r="D841" s="79"/>
      <c r="E841" s="79"/>
      <c r="P841" s="79"/>
      <c r="Q841" s="79"/>
      <c r="R841" s="79"/>
      <c r="Y841" s="79"/>
      <c r="AC841" s="130"/>
      <c r="AE841" s="106"/>
    </row>
    <row r="842">
      <c r="C842" s="79"/>
      <c r="D842" s="79"/>
      <c r="E842" s="79"/>
      <c r="P842" s="79"/>
      <c r="Q842" s="79"/>
      <c r="R842" s="79"/>
      <c r="Y842" s="79"/>
      <c r="AC842" s="130"/>
      <c r="AE842" s="106"/>
    </row>
    <row r="843">
      <c r="C843" s="79"/>
      <c r="D843" s="79"/>
      <c r="E843" s="79"/>
      <c r="P843" s="79"/>
      <c r="Q843" s="79"/>
      <c r="R843" s="79"/>
      <c r="Y843" s="79"/>
      <c r="AC843" s="130"/>
      <c r="AE843" s="106"/>
    </row>
    <row r="844">
      <c r="C844" s="79"/>
      <c r="D844" s="79"/>
      <c r="E844" s="79"/>
      <c r="P844" s="79"/>
      <c r="Q844" s="79"/>
      <c r="R844" s="79"/>
      <c r="Y844" s="79"/>
      <c r="AC844" s="130"/>
      <c r="AE844" s="106"/>
    </row>
    <row r="845">
      <c r="C845" s="79"/>
      <c r="D845" s="79"/>
      <c r="E845" s="79"/>
      <c r="P845" s="79"/>
      <c r="Q845" s="79"/>
      <c r="R845" s="79"/>
      <c r="Y845" s="79"/>
      <c r="AC845" s="130"/>
      <c r="AE845" s="106"/>
    </row>
    <row r="846">
      <c r="C846" s="79"/>
      <c r="D846" s="79"/>
      <c r="E846" s="79"/>
      <c r="P846" s="79"/>
      <c r="Q846" s="79"/>
      <c r="R846" s="79"/>
      <c r="Y846" s="79"/>
      <c r="AC846" s="130"/>
      <c r="AE846" s="106"/>
    </row>
    <row r="847">
      <c r="C847" s="79"/>
      <c r="D847" s="79"/>
      <c r="E847" s="79"/>
      <c r="P847" s="79"/>
      <c r="Q847" s="79"/>
      <c r="R847" s="79"/>
      <c r="Y847" s="79"/>
      <c r="AC847" s="130"/>
      <c r="AE847" s="106"/>
    </row>
    <row r="848">
      <c r="C848" s="79"/>
      <c r="D848" s="79"/>
      <c r="E848" s="79"/>
      <c r="P848" s="79"/>
      <c r="Q848" s="79"/>
      <c r="R848" s="79"/>
      <c r="Y848" s="79"/>
      <c r="AC848" s="130"/>
      <c r="AE848" s="106"/>
    </row>
    <row r="849">
      <c r="C849" s="79"/>
      <c r="D849" s="79"/>
      <c r="E849" s="79"/>
      <c r="P849" s="79"/>
      <c r="Q849" s="79"/>
      <c r="R849" s="79"/>
      <c r="Y849" s="79"/>
      <c r="AC849" s="130"/>
      <c r="AE849" s="106"/>
    </row>
    <row r="850">
      <c r="C850" s="79"/>
      <c r="D850" s="79"/>
      <c r="E850" s="79"/>
      <c r="P850" s="79"/>
      <c r="Q850" s="79"/>
      <c r="R850" s="79"/>
      <c r="Y850" s="79"/>
      <c r="AC850" s="130"/>
      <c r="AE850" s="106"/>
    </row>
    <row r="851">
      <c r="C851" s="79"/>
      <c r="D851" s="79"/>
      <c r="E851" s="79"/>
      <c r="P851" s="79"/>
      <c r="Q851" s="79"/>
      <c r="R851" s="79"/>
      <c r="Y851" s="79"/>
      <c r="AC851" s="130"/>
      <c r="AE851" s="106"/>
    </row>
    <row r="852">
      <c r="C852" s="79"/>
      <c r="D852" s="79"/>
      <c r="E852" s="79"/>
      <c r="P852" s="79"/>
      <c r="Q852" s="79"/>
      <c r="R852" s="79"/>
      <c r="Y852" s="79"/>
      <c r="AC852" s="130"/>
      <c r="AE852" s="106"/>
    </row>
    <row r="853">
      <c r="C853" s="79"/>
      <c r="D853" s="79"/>
      <c r="E853" s="79"/>
      <c r="P853" s="79"/>
      <c r="Q853" s="79"/>
      <c r="R853" s="79"/>
      <c r="Y853" s="79"/>
      <c r="AC853" s="130"/>
      <c r="AE853" s="106"/>
    </row>
    <row r="854">
      <c r="C854" s="79"/>
      <c r="D854" s="79"/>
      <c r="E854" s="79"/>
      <c r="P854" s="79"/>
      <c r="Q854" s="79"/>
      <c r="R854" s="79"/>
      <c r="Y854" s="79"/>
      <c r="AC854" s="130"/>
      <c r="AE854" s="106"/>
    </row>
    <row r="855">
      <c r="C855" s="79"/>
      <c r="D855" s="79"/>
      <c r="E855" s="79"/>
      <c r="P855" s="79"/>
      <c r="Q855" s="79"/>
      <c r="R855" s="79"/>
      <c r="Y855" s="79"/>
      <c r="AC855" s="130"/>
      <c r="AE855" s="106"/>
    </row>
    <row r="856">
      <c r="C856" s="79"/>
      <c r="D856" s="79"/>
      <c r="E856" s="79"/>
      <c r="P856" s="79"/>
      <c r="Q856" s="79"/>
      <c r="R856" s="79"/>
      <c r="Y856" s="79"/>
      <c r="AC856" s="130"/>
      <c r="AE856" s="106"/>
    </row>
    <row r="857">
      <c r="C857" s="79"/>
      <c r="D857" s="79"/>
      <c r="E857" s="79"/>
      <c r="P857" s="79"/>
      <c r="Q857" s="79"/>
      <c r="R857" s="79"/>
      <c r="Y857" s="79"/>
      <c r="AC857" s="130"/>
      <c r="AE857" s="106"/>
    </row>
    <row r="858">
      <c r="C858" s="79"/>
      <c r="D858" s="79"/>
      <c r="E858" s="79"/>
      <c r="P858" s="79"/>
      <c r="Q858" s="79"/>
      <c r="R858" s="79"/>
      <c r="Y858" s="79"/>
      <c r="AC858" s="130"/>
      <c r="AE858" s="106"/>
    </row>
    <row r="859">
      <c r="C859" s="79"/>
      <c r="D859" s="79"/>
      <c r="E859" s="79"/>
      <c r="P859" s="79"/>
      <c r="Q859" s="79"/>
      <c r="R859" s="79"/>
      <c r="Y859" s="79"/>
      <c r="AC859" s="130"/>
      <c r="AE859" s="106"/>
    </row>
    <row r="860">
      <c r="C860" s="79"/>
      <c r="D860" s="79"/>
      <c r="E860" s="79"/>
      <c r="P860" s="79"/>
      <c r="Q860" s="79"/>
      <c r="R860" s="79"/>
      <c r="Y860" s="79"/>
      <c r="AC860" s="130"/>
      <c r="AE860" s="106"/>
    </row>
    <row r="861">
      <c r="C861" s="79"/>
      <c r="D861" s="79"/>
      <c r="E861" s="79"/>
      <c r="P861" s="79"/>
      <c r="Q861" s="79"/>
      <c r="R861" s="79"/>
      <c r="Y861" s="79"/>
      <c r="AC861" s="130"/>
      <c r="AE861" s="106"/>
    </row>
    <row r="862">
      <c r="C862" s="79"/>
      <c r="D862" s="79"/>
      <c r="E862" s="79"/>
      <c r="P862" s="79"/>
      <c r="Q862" s="79"/>
      <c r="R862" s="79"/>
      <c r="Y862" s="79"/>
      <c r="AC862" s="130"/>
      <c r="AE862" s="106"/>
    </row>
    <row r="863">
      <c r="C863" s="79"/>
      <c r="D863" s="79"/>
      <c r="E863" s="79"/>
      <c r="P863" s="79"/>
      <c r="Q863" s="79"/>
      <c r="R863" s="79"/>
      <c r="Y863" s="79"/>
      <c r="AC863" s="130"/>
      <c r="AE863" s="106"/>
    </row>
    <row r="864">
      <c r="C864" s="79"/>
      <c r="D864" s="79"/>
      <c r="E864" s="79"/>
      <c r="P864" s="79"/>
      <c r="Q864" s="79"/>
      <c r="R864" s="79"/>
      <c r="Y864" s="79"/>
      <c r="AC864" s="130"/>
      <c r="AE864" s="106"/>
    </row>
    <row r="865">
      <c r="C865" s="79"/>
      <c r="D865" s="79"/>
      <c r="E865" s="79"/>
      <c r="P865" s="79"/>
      <c r="Q865" s="79"/>
      <c r="R865" s="79"/>
      <c r="Y865" s="79"/>
      <c r="AC865" s="130"/>
      <c r="AE865" s="106"/>
    </row>
    <row r="866">
      <c r="C866" s="79"/>
      <c r="D866" s="79"/>
      <c r="E866" s="79"/>
      <c r="P866" s="79"/>
      <c r="Q866" s="79"/>
      <c r="R866" s="79"/>
      <c r="Y866" s="79"/>
      <c r="AC866" s="130"/>
      <c r="AE866" s="106"/>
    </row>
    <row r="867">
      <c r="C867" s="79"/>
      <c r="D867" s="79"/>
      <c r="E867" s="79"/>
      <c r="P867" s="79"/>
      <c r="Q867" s="79"/>
      <c r="R867" s="79"/>
      <c r="Y867" s="79"/>
      <c r="AC867" s="130"/>
      <c r="AE867" s="106"/>
    </row>
    <row r="868">
      <c r="C868" s="79"/>
      <c r="D868" s="79"/>
      <c r="E868" s="79"/>
      <c r="P868" s="79"/>
      <c r="Q868" s="79"/>
      <c r="R868" s="79"/>
      <c r="Y868" s="79"/>
      <c r="AC868" s="130"/>
      <c r="AE868" s="106"/>
    </row>
    <row r="869">
      <c r="C869" s="79"/>
      <c r="D869" s="79"/>
      <c r="E869" s="79"/>
      <c r="P869" s="79"/>
      <c r="Q869" s="79"/>
      <c r="R869" s="79"/>
      <c r="Y869" s="79"/>
      <c r="AC869" s="130"/>
      <c r="AE869" s="106"/>
    </row>
    <row r="870">
      <c r="C870" s="79"/>
      <c r="D870" s="79"/>
      <c r="E870" s="79"/>
      <c r="P870" s="79"/>
      <c r="Q870" s="79"/>
      <c r="R870" s="79"/>
      <c r="Y870" s="79"/>
      <c r="AC870" s="130"/>
      <c r="AE870" s="106"/>
    </row>
    <row r="871">
      <c r="C871" s="79"/>
      <c r="D871" s="79"/>
      <c r="E871" s="79"/>
      <c r="P871" s="79"/>
      <c r="Q871" s="79"/>
      <c r="R871" s="79"/>
      <c r="Y871" s="79"/>
      <c r="AC871" s="130"/>
      <c r="AE871" s="106"/>
    </row>
    <row r="872">
      <c r="C872" s="79"/>
      <c r="D872" s="79"/>
      <c r="E872" s="79"/>
      <c r="P872" s="79"/>
      <c r="Q872" s="79"/>
      <c r="R872" s="79"/>
      <c r="Y872" s="79"/>
      <c r="AC872" s="130"/>
      <c r="AE872" s="106"/>
    </row>
    <row r="873">
      <c r="C873" s="79"/>
      <c r="D873" s="79"/>
      <c r="E873" s="79"/>
      <c r="P873" s="79"/>
      <c r="Q873" s="79"/>
      <c r="R873" s="79"/>
      <c r="Y873" s="79"/>
      <c r="AC873" s="130"/>
      <c r="AE873" s="106"/>
    </row>
    <row r="874">
      <c r="C874" s="79"/>
      <c r="D874" s="79"/>
      <c r="E874" s="79"/>
      <c r="P874" s="79"/>
      <c r="Q874" s="79"/>
      <c r="R874" s="79"/>
      <c r="Y874" s="79"/>
      <c r="AC874" s="130"/>
      <c r="AE874" s="106"/>
    </row>
    <row r="875">
      <c r="C875" s="79"/>
      <c r="D875" s="79"/>
      <c r="E875" s="79"/>
      <c r="P875" s="79"/>
      <c r="Q875" s="79"/>
      <c r="R875" s="79"/>
      <c r="Y875" s="79"/>
      <c r="AC875" s="130"/>
      <c r="AE875" s="106"/>
    </row>
    <row r="876">
      <c r="C876" s="79"/>
      <c r="D876" s="79"/>
      <c r="E876" s="79"/>
      <c r="P876" s="79"/>
      <c r="Q876" s="79"/>
      <c r="R876" s="79"/>
      <c r="Y876" s="79"/>
      <c r="AC876" s="130"/>
      <c r="AE876" s="106"/>
    </row>
    <row r="877">
      <c r="C877" s="79"/>
      <c r="D877" s="79"/>
      <c r="E877" s="79"/>
      <c r="P877" s="79"/>
      <c r="Q877" s="79"/>
      <c r="R877" s="79"/>
      <c r="Y877" s="79"/>
      <c r="AC877" s="130"/>
      <c r="AE877" s="106"/>
    </row>
    <row r="878">
      <c r="C878" s="79"/>
      <c r="D878" s="79"/>
      <c r="E878" s="79"/>
      <c r="P878" s="79"/>
      <c r="Q878" s="79"/>
      <c r="R878" s="79"/>
      <c r="Y878" s="79"/>
      <c r="AC878" s="130"/>
      <c r="AE878" s="106"/>
    </row>
    <row r="879">
      <c r="C879" s="79"/>
      <c r="D879" s="79"/>
      <c r="E879" s="79"/>
      <c r="P879" s="79"/>
      <c r="Q879" s="79"/>
      <c r="R879" s="79"/>
      <c r="Y879" s="79"/>
      <c r="AC879" s="130"/>
      <c r="AE879" s="106"/>
    </row>
    <row r="880">
      <c r="C880" s="79"/>
      <c r="D880" s="79"/>
      <c r="E880" s="79"/>
      <c r="P880" s="79"/>
      <c r="Q880" s="79"/>
      <c r="R880" s="79"/>
      <c r="Y880" s="79"/>
      <c r="AC880" s="130"/>
      <c r="AE880" s="106"/>
    </row>
    <row r="881">
      <c r="C881" s="79"/>
      <c r="D881" s="79"/>
      <c r="E881" s="79"/>
      <c r="P881" s="79"/>
      <c r="Q881" s="79"/>
      <c r="R881" s="79"/>
      <c r="Y881" s="79"/>
      <c r="AC881" s="130"/>
      <c r="AE881" s="106"/>
    </row>
    <row r="882">
      <c r="C882" s="79"/>
      <c r="D882" s="79"/>
      <c r="E882" s="79"/>
      <c r="P882" s="79"/>
      <c r="Q882" s="79"/>
      <c r="R882" s="79"/>
      <c r="Y882" s="79"/>
      <c r="AC882" s="130"/>
      <c r="AE882" s="106"/>
    </row>
    <row r="883">
      <c r="C883" s="79"/>
      <c r="D883" s="79"/>
      <c r="E883" s="79"/>
      <c r="P883" s="79"/>
      <c r="Q883" s="79"/>
      <c r="R883" s="79"/>
      <c r="Y883" s="79"/>
      <c r="AC883" s="130"/>
      <c r="AE883" s="106"/>
    </row>
    <row r="884">
      <c r="C884" s="79"/>
      <c r="D884" s="79"/>
      <c r="E884" s="79"/>
      <c r="P884" s="79"/>
      <c r="Q884" s="79"/>
      <c r="R884" s="79"/>
      <c r="Y884" s="79"/>
      <c r="AC884" s="130"/>
      <c r="AE884" s="106"/>
    </row>
    <row r="885">
      <c r="C885" s="79"/>
      <c r="D885" s="79"/>
      <c r="E885" s="79"/>
      <c r="P885" s="79"/>
      <c r="Q885" s="79"/>
      <c r="R885" s="79"/>
      <c r="Y885" s="79"/>
      <c r="AC885" s="130"/>
      <c r="AE885" s="106"/>
    </row>
    <row r="886">
      <c r="C886" s="79"/>
      <c r="D886" s="79"/>
      <c r="E886" s="79"/>
      <c r="P886" s="79"/>
      <c r="Q886" s="79"/>
      <c r="R886" s="79"/>
      <c r="Y886" s="79"/>
      <c r="AC886" s="130"/>
      <c r="AE886" s="106"/>
    </row>
    <row r="887">
      <c r="C887" s="79"/>
      <c r="D887" s="79"/>
      <c r="E887" s="79"/>
      <c r="P887" s="79"/>
      <c r="Q887" s="79"/>
      <c r="R887" s="79"/>
      <c r="Y887" s="79"/>
      <c r="AC887" s="130"/>
      <c r="AE887" s="106"/>
    </row>
    <row r="888">
      <c r="C888" s="79"/>
      <c r="D888" s="79"/>
      <c r="E888" s="79"/>
      <c r="P888" s="79"/>
      <c r="Q888" s="79"/>
      <c r="R888" s="79"/>
      <c r="Y888" s="79"/>
      <c r="AC888" s="130"/>
      <c r="AE888" s="106"/>
    </row>
    <row r="889">
      <c r="C889" s="79"/>
      <c r="D889" s="79"/>
      <c r="E889" s="79"/>
      <c r="P889" s="79"/>
      <c r="Q889" s="79"/>
      <c r="R889" s="79"/>
      <c r="Y889" s="79"/>
      <c r="AC889" s="130"/>
      <c r="AE889" s="106"/>
    </row>
    <row r="890">
      <c r="C890" s="79"/>
      <c r="D890" s="79"/>
      <c r="E890" s="79"/>
      <c r="P890" s="79"/>
      <c r="Q890" s="79"/>
      <c r="R890" s="79"/>
      <c r="Y890" s="79"/>
      <c r="AC890" s="130"/>
      <c r="AE890" s="106"/>
    </row>
    <row r="891">
      <c r="C891" s="79"/>
      <c r="D891" s="79"/>
      <c r="E891" s="79"/>
      <c r="P891" s="79"/>
      <c r="Q891" s="79"/>
      <c r="R891" s="79"/>
      <c r="Y891" s="79"/>
      <c r="AC891" s="130"/>
      <c r="AE891" s="106"/>
    </row>
    <row r="892">
      <c r="C892" s="79"/>
      <c r="D892" s="79"/>
      <c r="E892" s="79"/>
      <c r="P892" s="79"/>
      <c r="Q892" s="79"/>
      <c r="R892" s="79"/>
      <c r="Y892" s="79"/>
      <c r="AC892" s="130"/>
      <c r="AE892" s="106"/>
    </row>
    <row r="893">
      <c r="C893" s="79"/>
      <c r="D893" s="79"/>
      <c r="E893" s="79"/>
      <c r="P893" s="79"/>
      <c r="Q893" s="79"/>
      <c r="R893" s="79"/>
      <c r="Y893" s="79"/>
      <c r="AC893" s="130"/>
      <c r="AE893" s="106"/>
    </row>
    <row r="894">
      <c r="C894" s="79"/>
      <c r="D894" s="79"/>
      <c r="E894" s="79"/>
      <c r="P894" s="79"/>
      <c r="Q894" s="79"/>
      <c r="R894" s="79"/>
      <c r="Y894" s="79"/>
      <c r="AC894" s="130"/>
      <c r="AE894" s="106"/>
    </row>
    <row r="895">
      <c r="C895" s="79"/>
      <c r="D895" s="79"/>
      <c r="E895" s="79"/>
      <c r="P895" s="79"/>
      <c r="Q895" s="79"/>
      <c r="R895" s="79"/>
      <c r="Y895" s="79"/>
      <c r="AC895" s="130"/>
      <c r="AE895" s="106"/>
    </row>
  </sheetData>
  <autoFilter ref="$A$41:$F$67">
    <sortState ref="A41:F67">
      <sortCondition descending="1" sortBy="cellColor" ref="E41:E67" dxfId="1"/>
      <sortCondition descending="1" sortBy="cellColor" ref="C41:C67" dxfId="1"/>
      <sortCondition descending="1" sortBy="cellColor" ref="A41:A67" dxfId="1"/>
    </sortState>
  </autoFilter>
  <mergeCells count="1">
    <mergeCell ref="B38:E38"/>
  </mergeCells>
  <drawing r:id="rId2"/>
  <legacyDrawing r:id="rId3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3" max="3" width="17.38"/>
    <col customWidth="1" min="5" max="5" width="15.63"/>
    <col customWidth="1" min="7" max="7" width="13.5"/>
    <col customWidth="1" min="8" max="8" width="13.25"/>
    <col customWidth="1" min="18" max="18" width="27.38"/>
    <col customWidth="1" min="26" max="26" width="14.63"/>
    <col customWidth="1" min="31" max="31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4</v>
      </c>
      <c r="J1" s="2" t="s">
        <v>5</v>
      </c>
      <c r="K1" s="2" t="s">
        <v>303</v>
      </c>
      <c r="L1" s="2" t="s">
        <v>6</v>
      </c>
      <c r="M1" s="2" t="s">
        <v>12</v>
      </c>
      <c r="N1" s="2" t="s">
        <v>49</v>
      </c>
      <c r="O1" s="2" t="s">
        <v>42</v>
      </c>
      <c r="P1" s="105" t="s">
        <v>11</v>
      </c>
      <c r="Q1" s="105" t="s">
        <v>9</v>
      </c>
      <c r="R1" s="105" t="s">
        <v>304</v>
      </c>
      <c r="S1" s="2" t="s">
        <v>37</v>
      </c>
      <c r="T1" s="2" t="s">
        <v>10</v>
      </c>
      <c r="U1" s="2" t="s">
        <v>164</v>
      </c>
      <c r="V1" s="105" t="s">
        <v>40</v>
      </c>
      <c r="W1" s="2" t="s">
        <v>83</v>
      </c>
      <c r="X1" s="2" t="s">
        <v>204</v>
      </c>
      <c r="Y1" s="105" t="s">
        <v>205</v>
      </c>
      <c r="Z1" s="2" t="s">
        <v>206</v>
      </c>
      <c r="AA1" s="2" t="s">
        <v>305</v>
      </c>
      <c r="AB1" s="3" t="s">
        <v>13</v>
      </c>
      <c r="AC1" s="3" t="s">
        <v>14</v>
      </c>
      <c r="AD1" s="3" t="s">
        <v>15</v>
      </c>
      <c r="AE1" s="106"/>
      <c r="AF1" s="265" t="s">
        <v>306</v>
      </c>
      <c r="AG1" s="266" t="s">
        <v>80</v>
      </c>
    </row>
    <row r="2">
      <c r="A2" s="74">
        <v>45481.0</v>
      </c>
      <c r="B2" s="93">
        <f>763.77-18.98-19.88-55.28-24.39-41.79-34.99+826.24-120.72+40.2+43.07</f>
        <v>1357.25</v>
      </c>
      <c r="C2" s="93">
        <f>467.35-24.4-43.5-225</f>
        <v>174.45</v>
      </c>
      <c r="D2" s="193"/>
      <c r="E2" s="93"/>
      <c r="F2" s="93"/>
      <c r="G2" s="93">
        <v>180.0</v>
      </c>
      <c r="H2" s="93"/>
      <c r="I2" s="93"/>
      <c r="J2" s="93"/>
      <c r="K2" s="93"/>
      <c r="L2" s="93"/>
      <c r="M2" s="93"/>
      <c r="N2" s="93">
        <f>168</f>
        <v>168</v>
      </c>
      <c r="O2" s="93"/>
      <c r="P2" s="93"/>
      <c r="Q2" s="93"/>
      <c r="R2" s="93"/>
      <c r="S2" s="72"/>
      <c r="T2" s="93"/>
      <c r="U2" s="93"/>
      <c r="V2" s="93"/>
      <c r="W2" s="93"/>
      <c r="X2" s="93"/>
      <c r="Y2" s="93"/>
      <c r="Z2" s="93"/>
      <c r="AA2" s="326"/>
      <c r="AB2" s="107">
        <f t="shared" ref="AB2:AB8" si="1">SUM(B2:Z2)</f>
        <v>1879.7</v>
      </c>
      <c r="AC2" s="158">
        <v>2199.4</v>
      </c>
      <c r="AD2" s="59">
        <f t="shared" ref="AD2:AD8" si="2">AB2/AC2</f>
        <v>0.8546421751</v>
      </c>
      <c r="AE2" s="109">
        <f t="shared" ref="AE2:AE8" si="3">A2</f>
        <v>45481</v>
      </c>
      <c r="AF2" s="267"/>
      <c r="AG2" s="268">
        <f t="shared" ref="AG2:AG8" si="4">AC2-AF2</f>
        <v>2199.4</v>
      </c>
    </row>
    <row r="3">
      <c r="A3" s="74">
        <f t="shared" ref="A3:A8" si="5">A2+1</f>
        <v>45482</v>
      </c>
      <c r="B3" s="93">
        <f>721.45-25.7-13.64-36.31-19.33-64.22-17.41-57.55-45.14-26.21-70.84-69.84-20.18-9.33</f>
        <v>245.75</v>
      </c>
      <c r="C3" s="93"/>
      <c r="D3" s="93">
        <f>212.01-45.2</f>
        <v>166.81</v>
      </c>
      <c r="E3" s="93"/>
      <c r="F3" s="93"/>
      <c r="G3" s="93"/>
      <c r="I3" s="93">
        <f>670.46-138.72</f>
        <v>531.74</v>
      </c>
      <c r="J3" s="93"/>
      <c r="K3" s="93"/>
      <c r="L3" s="93"/>
      <c r="M3" s="93"/>
      <c r="N3" s="93">
        <v>324.0</v>
      </c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326"/>
      <c r="AB3" s="107">
        <f t="shared" si="1"/>
        <v>1268.3</v>
      </c>
      <c r="AC3" s="158">
        <v>4649.0</v>
      </c>
      <c r="AD3" s="59">
        <f t="shared" si="2"/>
        <v>0.2728113573</v>
      </c>
      <c r="AE3" s="109">
        <f t="shared" si="3"/>
        <v>45482</v>
      </c>
      <c r="AF3" s="267"/>
      <c r="AG3" s="268">
        <f t="shared" si="4"/>
        <v>4649</v>
      </c>
    </row>
    <row r="4">
      <c r="A4" s="74">
        <f t="shared" si="5"/>
        <v>45483</v>
      </c>
      <c r="B4" s="93">
        <f>354.2-12.3-35.38-17.41+464.37-50.67-359.29</f>
        <v>343.52</v>
      </c>
      <c r="C4" s="93">
        <f>322.3-52.5</f>
        <v>269.8</v>
      </c>
      <c r="D4" s="93"/>
      <c r="E4" s="93"/>
      <c r="F4" s="93"/>
      <c r="G4" s="93">
        <v>180.0</v>
      </c>
      <c r="I4" s="93"/>
      <c r="J4" s="93"/>
      <c r="K4" s="93"/>
      <c r="L4" s="93">
        <v>42.0</v>
      </c>
      <c r="M4" s="93"/>
      <c r="N4" s="93"/>
      <c r="O4" s="93"/>
      <c r="P4" s="93"/>
      <c r="Q4" s="93"/>
      <c r="R4" s="93"/>
      <c r="S4" s="160"/>
      <c r="T4" s="93"/>
      <c r="U4" s="93"/>
      <c r="V4" s="93"/>
      <c r="W4" s="93"/>
      <c r="X4" s="93"/>
      <c r="Y4" s="93"/>
      <c r="Z4" s="101"/>
      <c r="AA4" s="326"/>
      <c r="AB4" s="107">
        <f t="shared" si="1"/>
        <v>835.32</v>
      </c>
      <c r="AC4" s="97">
        <f>516+8900</f>
        <v>9416</v>
      </c>
      <c r="AD4" s="59">
        <f t="shared" si="2"/>
        <v>0.08871282923</v>
      </c>
      <c r="AE4" s="109">
        <f t="shared" si="3"/>
        <v>45483</v>
      </c>
      <c r="AF4" s="267"/>
      <c r="AG4" s="268">
        <f t="shared" si="4"/>
        <v>9416</v>
      </c>
    </row>
    <row r="5">
      <c r="A5" s="74">
        <f t="shared" si="5"/>
        <v>45484</v>
      </c>
      <c r="B5" s="93">
        <f>785.43-55.11-54.02-17.41</f>
        <v>658.89</v>
      </c>
      <c r="C5" s="93"/>
      <c r="D5" s="93">
        <f>238.1-45.2</f>
        <v>192.9</v>
      </c>
      <c r="E5" s="93"/>
      <c r="F5" s="93"/>
      <c r="G5" s="93"/>
      <c r="H5" s="160"/>
      <c r="I5" s="93"/>
      <c r="J5" s="93"/>
      <c r="K5" s="93"/>
      <c r="L5" s="93"/>
      <c r="M5" s="93"/>
      <c r="N5" s="93"/>
      <c r="O5" s="93"/>
      <c r="P5" s="101"/>
      <c r="Q5" s="93"/>
      <c r="R5" s="93"/>
      <c r="S5" s="93"/>
      <c r="T5" s="93"/>
      <c r="U5" s="93"/>
      <c r="V5" s="93"/>
      <c r="W5" s="93"/>
      <c r="X5" s="93"/>
      <c r="Y5" s="101"/>
      <c r="Z5" s="101"/>
      <c r="AA5" s="327"/>
      <c r="AB5" s="7">
        <f t="shared" si="1"/>
        <v>851.79</v>
      </c>
      <c r="AC5" s="97">
        <f>449+5445</f>
        <v>5894</v>
      </c>
      <c r="AD5" s="59">
        <f t="shared" si="2"/>
        <v>0.1445181541</v>
      </c>
      <c r="AE5" s="109">
        <f t="shared" si="3"/>
        <v>45484</v>
      </c>
      <c r="AF5" s="267"/>
      <c r="AG5" s="268">
        <f t="shared" si="4"/>
        <v>5894</v>
      </c>
    </row>
    <row r="6">
      <c r="A6" s="74">
        <f t="shared" si="5"/>
        <v>45485</v>
      </c>
      <c r="B6" s="93">
        <f>1061.01-93.13-36.4-25.71-13.15-65.84-41.08-17.17-53.97-24.91-7.05-27.83-31.55-65.91-20.44-8.52</f>
        <v>528.35</v>
      </c>
      <c r="C6" s="361">
        <f>601.51-62.5</f>
        <v>539.01</v>
      </c>
      <c r="D6" s="93">
        <f>123.02+361.48-122-103.63</f>
        <v>258.87</v>
      </c>
      <c r="E6" s="250">
        <v>177.0</v>
      </c>
      <c r="F6" s="93"/>
      <c r="G6" s="93"/>
      <c r="H6" s="160"/>
      <c r="I6" s="93"/>
      <c r="J6" s="93">
        <v>297.0</v>
      </c>
      <c r="K6" s="93"/>
      <c r="L6" s="93">
        <v>166.4</v>
      </c>
      <c r="M6" s="93">
        <v>47.8</v>
      </c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327"/>
      <c r="AB6" s="7">
        <f t="shared" si="1"/>
        <v>2014.43</v>
      </c>
      <c r="AC6" s="97">
        <f>635+8704.3</f>
        <v>9339.3</v>
      </c>
      <c r="AD6" s="59">
        <f t="shared" si="2"/>
        <v>0.2156938957</v>
      </c>
      <c r="AE6" s="109">
        <f t="shared" si="3"/>
        <v>45485</v>
      </c>
      <c r="AF6" s="267"/>
      <c r="AG6" s="268">
        <f t="shared" si="4"/>
        <v>9339.3</v>
      </c>
    </row>
    <row r="7">
      <c r="A7" s="74">
        <f t="shared" si="5"/>
        <v>45486</v>
      </c>
      <c r="B7" s="250">
        <f>1308.92-718.58-69.84</f>
        <v>520.5</v>
      </c>
      <c r="C7" s="93">
        <v>281.25</v>
      </c>
      <c r="D7" s="93">
        <v>452.16</v>
      </c>
      <c r="E7" s="93"/>
      <c r="F7" s="93"/>
      <c r="G7" s="93">
        <v>180.0</v>
      </c>
      <c r="H7" s="93"/>
      <c r="I7" s="93"/>
      <c r="J7" s="93"/>
      <c r="K7" s="93"/>
      <c r="L7" s="93"/>
      <c r="M7" s="93"/>
      <c r="N7" s="93"/>
      <c r="O7" s="93"/>
      <c r="P7" s="101"/>
      <c r="Q7" s="93"/>
      <c r="R7" s="250">
        <v>218.0</v>
      </c>
      <c r="S7" s="101"/>
      <c r="T7" s="93"/>
      <c r="U7" s="93"/>
      <c r="V7" s="93"/>
      <c r="W7" s="93"/>
      <c r="X7" s="93"/>
      <c r="Y7" s="101"/>
      <c r="Z7" s="93"/>
      <c r="AA7" s="327"/>
      <c r="AB7" s="7">
        <f t="shared" si="1"/>
        <v>1651.91</v>
      </c>
      <c r="AC7" s="97">
        <f>1776+13083</f>
        <v>14859</v>
      </c>
      <c r="AD7" s="59">
        <f t="shared" si="2"/>
        <v>0.1111723535</v>
      </c>
      <c r="AE7" s="109">
        <f t="shared" si="3"/>
        <v>45486</v>
      </c>
      <c r="AF7" s="267"/>
      <c r="AG7" s="268">
        <f t="shared" si="4"/>
        <v>14859</v>
      </c>
    </row>
    <row r="8">
      <c r="A8" s="74">
        <f t="shared" si="5"/>
        <v>45487</v>
      </c>
      <c r="B8" s="93"/>
      <c r="C8" s="93"/>
      <c r="D8" s="344">
        <f>463.28+636.52-212.21</f>
        <v>887.59</v>
      </c>
      <c r="E8" s="112"/>
      <c r="F8" s="344">
        <f>323.93+353.43</f>
        <v>677.36</v>
      </c>
      <c r="G8" s="10"/>
      <c r="H8" s="180">
        <v>1151.76</v>
      </c>
      <c r="I8" s="344">
        <f>300.76+151.49</f>
        <v>452.25</v>
      </c>
      <c r="J8" s="344">
        <v>680.9</v>
      </c>
      <c r="K8" s="93"/>
      <c r="L8" s="112"/>
      <c r="M8" s="112"/>
      <c r="N8" s="93"/>
      <c r="O8" s="93"/>
      <c r="P8" s="112"/>
      <c r="Q8" s="93"/>
      <c r="R8" s="250">
        <v>25.0</v>
      </c>
      <c r="S8" s="344">
        <f>366+266</f>
        <v>632</v>
      </c>
      <c r="T8" s="93"/>
      <c r="U8" s="93"/>
      <c r="V8" s="112"/>
      <c r="W8" s="112"/>
      <c r="X8" s="112"/>
      <c r="Y8" s="112"/>
      <c r="Z8" s="112"/>
      <c r="AA8" s="93"/>
      <c r="AB8" s="7">
        <f t="shared" si="1"/>
        <v>4506.86</v>
      </c>
      <c r="AC8" s="97">
        <f>2267+4284.6</f>
        <v>6551.6</v>
      </c>
      <c r="AD8" s="59">
        <f t="shared" si="2"/>
        <v>0.6879021918</v>
      </c>
      <c r="AE8" s="109">
        <f t="shared" si="3"/>
        <v>45487</v>
      </c>
      <c r="AF8" s="267"/>
      <c r="AG8" s="268">
        <f t="shared" si="4"/>
        <v>6551.6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AC9" s="129"/>
      <c r="AE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AC10" s="129"/>
      <c r="AE10" s="106"/>
    </row>
    <row r="11">
      <c r="A11" s="165" t="s">
        <v>194</v>
      </c>
      <c r="B11" s="93">
        <f>19.88+55.28+24.39+34.99+120.72+13.64+36.31+19.33+64.22+57.55+45.14+26.21+70.84+20.18+9.33+50.67+55.11+17.41+13.15+41.08+17.17+53.97+24.91+7.05+27.83+31.55+8.52+69.84</f>
        <v>1036.27</v>
      </c>
      <c r="C11" s="93"/>
      <c r="D11" s="93">
        <f>45.2+103.63</f>
        <v>148.83</v>
      </c>
      <c r="E11" s="167"/>
      <c r="F11" s="168"/>
      <c r="G11" s="168"/>
      <c r="H11" s="166"/>
      <c r="I11" s="166"/>
      <c r="J11" s="93"/>
      <c r="K11" s="168"/>
      <c r="L11" s="93"/>
      <c r="M11" s="166"/>
      <c r="N11" s="166"/>
      <c r="O11" s="168"/>
      <c r="P11" s="168"/>
      <c r="Q11" s="168"/>
      <c r="R11" s="168"/>
      <c r="S11" s="168"/>
      <c r="T11" s="168"/>
      <c r="U11" s="168"/>
      <c r="V11" s="168"/>
      <c r="W11" s="1"/>
      <c r="X11" s="168"/>
      <c r="Y11" s="168"/>
      <c r="Z11" s="1"/>
      <c r="AA11" s="1"/>
      <c r="AB11" s="1"/>
      <c r="AC11" s="169"/>
      <c r="AD11" s="1"/>
      <c r="AE11" s="170"/>
    </row>
    <row r="12">
      <c r="A12" s="165" t="s">
        <v>195</v>
      </c>
      <c r="B12" s="93">
        <f>18.98+41.79+25.7+17.41+12.3+179.65+54.02+93.13+36.4+65.84+65.91+25.71+718.58</f>
        <v>1355.42</v>
      </c>
      <c r="C12" s="93">
        <f>24.4+225+62.5</f>
        <v>311.9</v>
      </c>
      <c r="D12" s="93">
        <v>122.0</v>
      </c>
      <c r="E12" s="93"/>
      <c r="F12" s="93"/>
      <c r="G12" s="93"/>
      <c r="H12" s="93">
        <v>171.83</v>
      </c>
      <c r="I12" s="93"/>
      <c r="J12" s="93"/>
      <c r="K12" s="93"/>
      <c r="L12" s="93"/>
      <c r="M12" s="93"/>
      <c r="N12" s="166">
        <f>156+144</f>
        <v>300</v>
      </c>
      <c r="O12" s="166"/>
      <c r="P12" s="168"/>
      <c r="Q12" s="168"/>
      <c r="R12" s="168"/>
      <c r="S12" s="168"/>
      <c r="T12" s="166"/>
      <c r="U12" s="168"/>
      <c r="V12" s="168"/>
      <c r="W12" s="1"/>
      <c r="X12" s="93"/>
      <c r="Y12" s="168"/>
      <c r="Z12" s="1"/>
      <c r="AA12" s="1"/>
      <c r="AB12" s="1"/>
      <c r="AC12" s="171"/>
      <c r="AD12" s="1"/>
      <c r="AE12" s="170"/>
    </row>
    <row r="13">
      <c r="A13" s="172" t="s">
        <v>466</v>
      </c>
      <c r="B13" s="166">
        <f>35.38+17.41+179.65</f>
        <v>232.44</v>
      </c>
      <c r="C13" s="93">
        <f>43.5+74.05+52.5</f>
        <v>170.05</v>
      </c>
      <c r="D13" s="238">
        <f>D41/6</f>
        <v>212.205</v>
      </c>
      <c r="E13" s="168"/>
      <c r="F13" s="166"/>
      <c r="G13" s="166"/>
      <c r="H13" s="239">
        <f>17*11.59</f>
        <v>197.03</v>
      </c>
      <c r="I13" s="166">
        <v>138.72</v>
      </c>
      <c r="J13" s="93"/>
      <c r="K13" s="168"/>
      <c r="L13" s="168"/>
      <c r="M13" s="168"/>
      <c r="N13" s="166">
        <v>180.0</v>
      </c>
      <c r="O13" s="168"/>
      <c r="P13" s="168"/>
      <c r="Q13" s="168"/>
      <c r="R13" s="168"/>
      <c r="S13" s="168"/>
      <c r="T13" s="166"/>
      <c r="U13" s="1"/>
      <c r="V13" s="1"/>
      <c r="W13" s="1"/>
      <c r="X13" s="168"/>
      <c r="Y13" s="168"/>
      <c r="Z13" s="1"/>
      <c r="AA13" s="1"/>
      <c r="AB13" s="1"/>
      <c r="AC13" s="174"/>
      <c r="AD13" s="1"/>
      <c r="AE13" s="170"/>
    </row>
    <row r="14">
      <c r="A14" s="165" t="s">
        <v>198</v>
      </c>
      <c r="B14" s="350">
        <f>69.84+20.44+120.91</f>
        <v>211.19</v>
      </c>
      <c r="C14" s="93"/>
      <c r="D14" s="93"/>
      <c r="E14" s="168"/>
      <c r="F14" s="166"/>
      <c r="G14" s="166"/>
      <c r="H14" s="168"/>
      <c r="I14" s="168"/>
      <c r="J14" s="93"/>
      <c r="K14" s="168"/>
      <c r="L14" s="168"/>
      <c r="M14" s="168"/>
      <c r="N14" s="166"/>
      <c r="O14" s="168"/>
      <c r="P14" s="168"/>
      <c r="Q14" s="168"/>
      <c r="R14" s="168"/>
      <c r="S14" s="168"/>
      <c r="T14" s="166"/>
      <c r="U14" s="1"/>
      <c r="V14" s="1"/>
      <c r="W14" s="1"/>
      <c r="X14" s="168"/>
      <c r="Y14" s="168"/>
      <c r="Z14" s="1"/>
      <c r="AA14" s="1"/>
      <c r="AB14" s="1"/>
      <c r="AC14" s="174"/>
      <c r="AD14" s="1"/>
      <c r="AE14" s="170"/>
    </row>
    <row r="15">
      <c r="A15" s="91"/>
      <c r="B15" s="92"/>
      <c r="C15" s="79"/>
      <c r="D15" s="79"/>
      <c r="E15" s="79"/>
      <c r="F15" s="78"/>
      <c r="G15" s="78"/>
      <c r="I15" s="78"/>
      <c r="L15" s="79"/>
      <c r="M15" s="79"/>
      <c r="N15" s="79"/>
      <c r="O15" s="79"/>
      <c r="P15" s="79"/>
      <c r="Q15" s="79"/>
      <c r="R15" s="79"/>
      <c r="Y15" s="79"/>
      <c r="AC15" s="131"/>
      <c r="AE15" s="106"/>
    </row>
    <row r="16">
      <c r="A16" s="91"/>
      <c r="B16" s="92"/>
      <c r="C16" s="78"/>
      <c r="D16" s="78"/>
      <c r="E16" s="151"/>
      <c r="F16" s="201"/>
      <c r="G16" s="240"/>
      <c r="H16" s="204"/>
      <c r="I16" s="198"/>
      <c r="J16" s="201"/>
      <c r="K16" s="199"/>
      <c r="L16" s="199"/>
      <c r="M16" s="200"/>
      <c r="N16" s="202"/>
      <c r="O16" s="198"/>
      <c r="P16" s="79"/>
      <c r="Q16" s="198"/>
      <c r="R16" s="198"/>
      <c r="U16" s="198"/>
      <c r="V16" s="198"/>
      <c r="W16" s="198"/>
      <c r="X16" s="199"/>
      <c r="Y16" s="79"/>
      <c r="AC16" s="131"/>
      <c r="AE16" s="106"/>
    </row>
    <row r="17">
      <c r="A17" s="4" t="s">
        <v>22</v>
      </c>
      <c r="B17" s="11">
        <v>10000.0</v>
      </c>
      <c r="C17" s="79"/>
      <c r="D17" s="79"/>
      <c r="E17" s="78"/>
      <c r="F17" s="213"/>
      <c r="G17" s="213"/>
      <c r="H17" s="78"/>
      <c r="K17" s="201"/>
      <c r="L17" s="201"/>
      <c r="M17" s="198"/>
      <c r="N17" s="200"/>
      <c r="O17" s="203"/>
      <c r="P17" s="79"/>
      <c r="Q17" s="198"/>
      <c r="R17" s="198"/>
      <c r="S17" s="204"/>
      <c r="U17" s="198"/>
      <c r="V17" s="198"/>
      <c r="W17" s="198"/>
      <c r="X17" s="201"/>
      <c r="Y17" s="79"/>
      <c r="AC17" s="131"/>
      <c r="AE17" s="106"/>
    </row>
    <row r="18">
      <c r="A18" s="4" t="s">
        <v>23</v>
      </c>
      <c r="B18" s="12">
        <f>SUM(B2:AA8)</f>
        <v>13008.31</v>
      </c>
      <c r="C18" s="192"/>
      <c r="D18" s="177"/>
      <c r="E18" s="151"/>
      <c r="F18" s="213"/>
      <c r="G18" s="213"/>
      <c r="H18" s="213"/>
      <c r="I18" s="175"/>
      <c r="K18" s="191"/>
      <c r="L18" s="201"/>
      <c r="M18" s="201"/>
      <c r="N18" s="201"/>
      <c r="O18" s="203"/>
      <c r="P18" s="79"/>
      <c r="Q18" s="198"/>
      <c r="R18" s="198"/>
      <c r="S18" s="204"/>
      <c r="U18" s="198"/>
      <c r="V18" s="198"/>
      <c r="W18" s="198"/>
      <c r="X18" s="191"/>
      <c r="Y18" s="79"/>
      <c r="AC18" s="131"/>
      <c r="AE18" s="106"/>
    </row>
    <row r="19">
      <c r="A19" s="4" t="s">
        <v>24</v>
      </c>
      <c r="B19" s="12">
        <f> SUM(B17-B18)</f>
        <v>-3008.31</v>
      </c>
      <c r="C19" s="79"/>
      <c r="D19" s="78"/>
      <c r="E19" s="78"/>
      <c r="F19" s="201"/>
      <c r="G19" s="151"/>
      <c r="H19" s="214"/>
      <c r="I19" s="203"/>
      <c r="K19" s="203"/>
      <c r="L19" s="199"/>
      <c r="M19" s="203"/>
      <c r="N19" s="200"/>
      <c r="O19" s="203"/>
      <c r="P19" s="79"/>
      <c r="Q19" s="198"/>
      <c r="R19" s="198"/>
      <c r="S19" s="204"/>
      <c r="U19" s="198"/>
      <c r="V19" s="198"/>
      <c r="W19" s="198"/>
      <c r="X19" s="203"/>
      <c r="Y19" s="79"/>
      <c r="AC19" s="131"/>
      <c r="AE19" s="106"/>
    </row>
    <row r="20">
      <c r="C20" s="79"/>
      <c r="D20" s="79"/>
      <c r="E20" s="78"/>
      <c r="F20" s="213"/>
      <c r="G20" s="201"/>
      <c r="H20" s="362"/>
      <c r="I20" s="345"/>
      <c r="J20" s="203"/>
      <c r="K20" s="351"/>
      <c r="M20" s="201"/>
      <c r="N20" s="198"/>
      <c r="O20" s="203"/>
      <c r="P20" s="79"/>
      <c r="Q20" s="198"/>
      <c r="R20" s="198"/>
      <c r="S20" s="204"/>
      <c r="U20" s="206"/>
      <c r="V20" s="198"/>
      <c r="W20" s="198"/>
      <c r="X20" s="203"/>
      <c r="Y20" s="79"/>
      <c r="AC20" s="131"/>
      <c r="AE20" s="106"/>
    </row>
    <row r="21">
      <c r="A21" s="13" t="s">
        <v>25</v>
      </c>
      <c r="B21" s="14">
        <f>SUM(AC2:AC8)</f>
        <v>52908.3</v>
      </c>
      <c r="C21" s="79"/>
      <c r="D21" s="79"/>
      <c r="E21" s="78"/>
      <c r="F21" s="201"/>
      <c r="G21" s="262"/>
      <c r="H21" s="262"/>
      <c r="I21" s="203"/>
      <c r="J21" s="78"/>
      <c r="K21" s="203"/>
      <c r="L21" s="203"/>
      <c r="M21" s="201"/>
      <c r="N21" s="198"/>
      <c r="O21" s="203"/>
      <c r="P21" s="79"/>
      <c r="Q21" s="198"/>
      <c r="R21" s="198"/>
      <c r="S21" s="204"/>
      <c r="U21" s="198"/>
      <c r="V21" s="198"/>
      <c r="W21" s="198"/>
      <c r="X21" s="203"/>
      <c r="Y21" s="79"/>
      <c r="AC21" s="181"/>
      <c r="AE21" s="106"/>
    </row>
    <row r="22">
      <c r="A22" s="13" t="s">
        <v>26</v>
      </c>
      <c r="B22" s="15">
        <f>B18/B21</f>
        <v>0.2458652045</v>
      </c>
      <c r="C22" s="79"/>
      <c r="D22" s="79"/>
      <c r="E22" s="78"/>
      <c r="F22" s="204"/>
      <c r="G22" s="78"/>
      <c r="H22" s="144"/>
      <c r="I22" s="203"/>
      <c r="J22" s="79"/>
      <c r="K22" s="203"/>
      <c r="L22" s="203"/>
      <c r="M22" s="201"/>
      <c r="N22" s="203"/>
      <c r="O22" s="203"/>
      <c r="P22" s="79"/>
      <c r="Q22" s="198"/>
      <c r="R22" s="198"/>
      <c r="S22" s="204"/>
      <c r="U22" s="198"/>
      <c r="V22" s="198"/>
      <c r="W22" s="198"/>
      <c r="X22" s="203"/>
      <c r="Y22" s="79"/>
      <c r="AC22" s="130"/>
      <c r="AE22" s="106"/>
    </row>
    <row r="23">
      <c r="C23" s="79"/>
      <c r="D23" s="79"/>
      <c r="E23" s="78"/>
      <c r="F23" s="204"/>
      <c r="G23" s="78"/>
      <c r="H23" s="78"/>
      <c r="I23" s="78"/>
      <c r="J23" s="78"/>
      <c r="K23" s="203"/>
      <c r="L23" s="203"/>
      <c r="M23" s="198"/>
      <c r="N23" s="201"/>
      <c r="O23" s="198"/>
      <c r="P23" s="79"/>
      <c r="Q23" s="198"/>
      <c r="R23" s="198"/>
      <c r="S23" s="204"/>
      <c r="U23" s="198"/>
      <c r="V23" s="198"/>
      <c r="W23" s="198"/>
      <c r="X23" s="203"/>
      <c r="Y23" s="79"/>
      <c r="AC23" s="182"/>
      <c r="AE23" s="106"/>
    </row>
    <row r="24">
      <c r="C24" s="79"/>
      <c r="D24" s="79"/>
      <c r="E24" s="79"/>
      <c r="F24" s="204"/>
      <c r="G24" s="78"/>
      <c r="H24" s="78"/>
      <c r="I24" s="212"/>
      <c r="J24" s="212"/>
      <c r="K24" s="203"/>
      <c r="L24" s="203"/>
      <c r="M24" s="198"/>
      <c r="N24" s="201"/>
      <c r="O24" s="198"/>
      <c r="P24" s="79"/>
      <c r="Q24" s="198"/>
      <c r="R24" s="198"/>
      <c r="S24" s="204"/>
      <c r="U24" s="198"/>
      <c r="V24" s="198"/>
      <c r="W24" s="198"/>
      <c r="X24" s="203"/>
      <c r="Y24" s="79"/>
      <c r="AC24" s="130"/>
      <c r="AE24" s="106"/>
    </row>
    <row r="25">
      <c r="A25" s="16" t="s">
        <v>27</v>
      </c>
      <c r="B25" s="17"/>
      <c r="C25" s="114"/>
      <c r="D25" s="114"/>
      <c r="E25" s="115"/>
      <c r="F25" s="204"/>
      <c r="G25" s="78"/>
      <c r="H25" s="363"/>
      <c r="I25" s="78"/>
      <c r="J25" s="79"/>
      <c r="K25" s="203"/>
      <c r="L25" s="217"/>
      <c r="M25" s="208"/>
      <c r="N25" s="198"/>
      <c r="O25" s="200"/>
      <c r="P25" s="79"/>
      <c r="Q25" s="198"/>
      <c r="R25" s="198"/>
      <c r="S25" s="204"/>
      <c r="T25" s="68">
        <f>180+188</f>
        <v>368</v>
      </c>
      <c r="U25" s="198"/>
      <c r="V25" s="198"/>
      <c r="W25" s="198"/>
      <c r="X25" s="203"/>
      <c r="Y25" s="79"/>
      <c r="AC25" s="130"/>
      <c r="AE25" s="106"/>
    </row>
    <row r="26">
      <c r="A26" s="19" t="s">
        <v>28</v>
      </c>
      <c r="B26" s="20"/>
      <c r="C26" s="116"/>
      <c r="D26" s="116"/>
      <c r="E26" s="117"/>
      <c r="F26" s="204"/>
      <c r="G26" s="78"/>
      <c r="H26" s="78"/>
      <c r="I26" s="79"/>
      <c r="J26" s="79"/>
      <c r="K26" s="203"/>
      <c r="L26" s="203"/>
      <c r="M26" s="209"/>
      <c r="N26" s="201"/>
      <c r="O26" s="198"/>
      <c r="P26" s="79"/>
      <c r="Q26" s="198"/>
      <c r="R26" s="198"/>
      <c r="S26" s="204"/>
      <c r="U26" s="198"/>
      <c r="V26" s="198"/>
      <c r="W26" s="198"/>
      <c r="X26" s="203"/>
      <c r="Y26" s="79"/>
      <c r="AC26" s="130"/>
      <c r="AE26" s="106"/>
    </row>
    <row r="27">
      <c r="A27" s="183" t="s">
        <v>29</v>
      </c>
      <c r="B27" s="184" t="s">
        <v>30</v>
      </c>
      <c r="C27" s="183"/>
      <c r="D27" s="183" t="s">
        <v>170</v>
      </c>
      <c r="E27" s="219" t="s">
        <v>171</v>
      </c>
      <c r="F27" s="204"/>
      <c r="G27" s="79"/>
      <c r="H27" s="79"/>
      <c r="I27" s="79"/>
      <c r="J27" s="79"/>
      <c r="K27" s="203"/>
      <c r="L27" s="201"/>
      <c r="M27" s="209"/>
      <c r="N27" s="198"/>
      <c r="O27" s="198"/>
      <c r="P27" s="79"/>
      <c r="Q27" s="198"/>
      <c r="R27" s="198"/>
      <c r="S27" s="204"/>
      <c r="U27" s="198"/>
      <c r="V27" s="198"/>
      <c r="W27" s="198"/>
      <c r="X27" s="203"/>
      <c r="Y27" s="79"/>
      <c r="Z27" s="195"/>
      <c r="AC27" s="130"/>
      <c r="AE27" s="106"/>
    </row>
    <row r="28">
      <c r="A28" s="234" t="s">
        <v>451</v>
      </c>
      <c r="B28" s="339">
        <f>1348.79-H8-H13+1382.91</f>
        <v>1382.91</v>
      </c>
      <c r="C28" s="235"/>
      <c r="D28" s="235"/>
      <c r="E28" s="234"/>
      <c r="P28" s="79"/>
      <c r="Q28" s="79"/>
      <c r="R28" s="79"/>
      <c r="Y28" s="79"/>
      <c r="AC28" s="130"/>
      <c r="AE28" s="106"/>
    </row>
    <row r="29">
      <c r="A29" s="173" t="s">
        <v>453</v>
      </c>
      <c r="B29" s="344">
        <v>663.43</v>
      </c>
      <c r="C29" s="241"/>
      <c r="D29" s="241"/>
      <c r="E29" s="241"/>
      <c r="P29" s="79"/>
      <c r="Q29" s="79"/>
      <c r="R29" s="79"/>
      <c r="Y29" s="79"/>
      <c r="AC29" s="130"/>
      <c r="AE29" s="106"/>
    </row>
    <row r="30">
      <c r="A30" s="173" t="s">
        <v>467</v>
      </c>
      <c r="B30" s="344">
        <v>713.2</v>
      </c>
      <c r="C30" s="241"/>
      <c r="D30" s="241"/>
      <c r="E30" s="241"/>
      <c r="P30" s="79"/>
      <c r="Q30" s="79"/>
      <c r="R30" s="79"/>
      <c r="Y30" s="79"/>
      <c r="AC30" s="130"/>
      <c r="AE30" s="106"/>
    </row>
    <row r="31">
      <c r="A31" s="221" t="s">
        <v>468</v>
      </c>
      <c r="B31" s="341">
        <f>(11.59*40)+923.72</f>
        <v>1387.32</v>
      </c>
      <c r="C31" s="223"/>
      <c r="D31" s="223"/>
      <c r="E31" s="223"/>
      <c r="P31" s="79"/>
      <c r="Q31" s="79"/>
      <c r="R31" s="79"/>
      <c r="Y31" s="79"/>
      <c r="AC31" s="130"/>
      <c r="AE31" s="106"/>
    </row>
    <row r="32">
      <c r="A32" s="221" t="s">
        <v>469</v>
      </c>
      <c r="B32" s="341">
        <v>199.9</v>
      </c>
      <c r="C32" s="223"/>
      <c r="D32" s="223"/>
      <c r="E32" s="223"/>
      <c r="P32" s="79"/>
      <c r="Q32" s="79"/>
      <c r="R32" s="79"/>
      <c r="Y32" s="79"/>
      <c r="AC32" s="130"/>
      <c r="AE32" s="106"/>
    </row>
    <row r="33">
      <c r="A33" s="221" t="s">
        <v>470</v>
      </c>
      <c r="B33" s="341">
        <v>300.0</v>
      </c>
      <c r="C33" s="223"/>
      <c r="D33" s="223"/>
      <c r="E33" s="223"/>
      <c r="P33" s="79"/>
      <c r="Q33" s="79"/>
      <c r="R33" s="79"/>
      <c r="Y33" s="79"/>
      <c r="AC33" s="130"/>
      <c r="AE33" s="106"/>
    </row>
    <row r="34">
      <c r="A34" s="221" t="s">
        <v>471</v>
      </c>
      <c r="B34" s="341">
        <f>425.93-95.4</f>
        <v>330.53</v>
      </c>
      <c r="C34" s="223"/>
      <c r="D34" s="223"/>
      <c r="E34" s="223"/>
      <c r="P34" s="79"/>
      <c r="Q34" s="79"/>
      <c r="R34" s="79"/>
      <c r="Y34" s="79"/>
      <c r="AC34" s="130"/>
      <c r="AE34" s="106"/>
    </row>
    <row r="35">
      <c r="C35" s="79"/>
      <c r="D35" s="79"/>
      <c r="E35" s="79"/>
      <c r="P35" s="79"/>
      <c r="Q35" s="79"/>
      <c r="R35" s="79"/>
      <c r="Y35" s="79"/>
      <c r="AC35" s="130"/>
      <c r="AE35" s="106"/>
    </row>
    <row r="36">
      <c r="C36" s="79"/>
      <c r="D36" s="79"/>
      <c r="E36" s="79"/>
      <c r="P36" s="79"/>
      <c r="Q36" s="79"/>
      <c r="R36" s="79"/>
      <c r="Y36" s="79"/>
      <c r="AC36" s="130"/>
      <c r="AE36" s="106"/>
    </row>
    <row r="37">
      <c r="A37" s="274"/>
      <c r="B37" s="275" t="s">
        <v>315</v>
      </c>
      <c r="F37" s="274"/>
      <c r="G37" s="274"/>
      <c r="H37" s="274"/>
      <c r="I37" s="274"/>
      <c r="J37" s="274"/>
      <c r="K37" s="274"/>
      <c r="L37" s="274"/>
      <c r="M37" s="274"/>
      <c r="N37" s="274"/>
      <c r="O37" s="274"/>
      <c r="P37" s="274"/>
      <c r="Q37" s="274"/>
      <c r="R37" s="274"/>
      <c r="S37" s="274"/>
      <c r="T37" s="274"/>
      <c r="U37" s="274"/>
      <c r="V37" s="274"/>
      <c r="W37" s="274"/>
      <c r="X37" s="274"/>
      <c r="Y37" s="274"/>
      <c r="Z37" s="274"/>
      <c r="AA37" s="274"/>
      <c r="AB37" s="274"/>
      <c r="AC37" s="276"/>
      <c r="AD37" s="274"/>
      <c r="AE37" s="277"/>
      <c r="AF37" s="274"/>
      <c r="AG37" s="274"/>
      <c r="AH37" s="274"/>
    </row>
    <row r="38">
      <c r="A38" s="16" t="s">
        <v>316</v>
      </c>
      <c r="B38" s="17"/>
      <c r="C38" s="114"/>
      <c r="D38" s="114"/>
      <c r="E38" s="115"/>
      <c r="P38" s="79"/>
      <c r="Q38" s="79"/>
      <c r="R38" s="79"/>
      <c r="Y38" s="79"/>
      <c r="AC38" s="130"/>
      <c r="AE38" s="106"/>
    </row>
    <row r="39">
      <c r="A39" s="19" t="s">
        <v>317</v>
      </c>
      <c r="B39" s="20"/>
      <c r="C39" s="116"/>
      <c r="D39" s="116"/>
      <c r="E39" s="117"/>
      <c r="P39" s="79"/>
      <c r="Q39" s="79"/>
      <c r="R39" s="79"/>
      <c r="Y39" s="79"/>
      <c r="AC39" s="130"/>
      <c r="AE39" s="106"/>
    </row>
    <row r="40">
      <c r="A40" s="278" t="s">
        <v>318</v>
      </c>
      <c r="B40" s="279" t="s">
        <v>319</v>
      </c>
      <c r="C40" s="280" t="s">
        <v>285</v>
      </c>
      <c r="D40" s="280" t="s">
        <v>30</v>
      </c>
      <c r="E40" s="281" t="s">
        <v>320</v>
      </c>
      <c r="F40" s="281" t="s">
        <v>321</v>
      </c>
      <c r="P40" s="79"/>
      <c r="Q40" s="79"/>
      <c r="R40" s="79"/>
      <c r="Y40" s="79"/>
      <c r="AC40" s="130"/>
      <c r="AE40" s="106"/>
    </row>
    <row r="41" hidden="1">
      <c r="A41" s="304" t="s">
        <v>399</v>
      </c>
      <c r="B41" s="305">
        <v>45440.0</v>
      </c>
      <c r="C41" s="234" t="s">
        <v>325</v>
      </c>
      <c r="D41" s="178">
        <v>1273.23</v>
      </c>
      <c r="E41" s="308">
        <v>45468.0</v>
      </c>
      <c r="F41" s="307">
        <f>D41/2</f>
        <v>636.615</v>
      </c>
      <c r="P41" s="79"/>
      <c r="Q41" s="79"/>
      <c r="R41" s="79"/>
      <c r="Y41" s="79"/>
      <c r="AC41" s="130"/>
      <c r="AE41" s="106"/>
    </row>
    <row r="42">
      <c r="A42" s="304" t="s">
        <v>413</v>
      </c>
      <c r="B42" s="305">
        <v>45447.0</v>
      </c>
      <c r="C42" s="234" t="s">
        <v>325</v>
      </c>
      <c r="D42" s="178">
        <v>1208.3</v>
      </c>
      <c r="E42" s="308">
        <v>45475.0</v>
      </c>
      <c r="F42" s="235"/>
      <c r="H42" s="304" t="s">
        <v>399</v>
      </c>
      <c r="I42" s="305">
        <v>45440.0</v>
      </c>
      <c r="J42" s="234" t="s">
        <v>325</v>
      </c>
      <c r="K42" s="178">
        <v>1273.23</v>
      </c>
      <c r="L42" s="308">
        <v>45468.0</v>
      </c>
      <c r="M42" s="307">
        <f>K42/2</f>
        <v>636.615</v>
      </c>
      <c r="N42" s="45">
        <f>M42/3</f>
        <v>212.205</v>
      </c>
      <c r="P42" s="79"/>
      <c r="Q42" s="79"/>
      <c r="R42" s="79"/>
      <c r="Y42" s="79"/>
      <c r="AC42" s="130"/>
      <c r="AE42" s="106"/>
    </row>
    <row r="43">
      <c r="A43" s="304" t="s">
        <v>421</v>
      </c>
      <c r="B43" s="305">
        <v>45454.0</v>
      </c>
      <c r="C43" s="234" t="s">
        <v>325</v>
      </c>
      <c r="D43" s="178">
        <v>1279.46</v>
      </c>
      <c r="E43" s="308">
        <v>45482.0</v>
      </c>
      <c r="F43" s="235"/>
      <c r="H43" s="282" t="s">
        <v>433</v>
      </c>
      <c r="I43" s="283">
        <v>45461.0</v>
      </c>
      <c r="J43" s="166" t="s">
        <v>434</v>
      </c>
      <c r="K43" s="93">
        <v>458.28</v>
      </c>
      <c r="L43" s="337">
        <v>45483.0</v>
      </c>
      <c r="N43" s="45">
        <f>N42*2</f>
        <v>424.41</v>
      </c>
      <c r="P43" s="79"/>
      <c r="Q43" s="79"/>
      <c r="R43" s="79"/>
      <c r="Y43" s="79"/>
      <c r="AC43" s="130"/>
      <c r="AE43" s="106"/>
    </row>
    <row r="44">
      <c r="A44" s="304" t="s">
        <v>432</v>
      </c>
      <c r="B44" s="305">
        <v>45461.0</v>
      </c>
      <c r="C44" s="234" t="s">
        <v>325</v>
      </c>
      <c r="D44" s="178">
        <v>1211.18</v>
      </c>
      <c r="E44" s="308">
        <v>45489.0</v>
      </c>
      <c r="F44" s="235"/>
      <c r="P44" s="79"/>
      <c r="Q44" s="79"/>
      <c r="R44" s="79"/>
      <c r="Y44" s="79"/>
      <c r="AC44" s="130"/>
      <c r="AE44" s="106"/>
    </row>
    <row r="45">
      <c r="A45" s="304" t="s">
        <v>447</v>
      </c>
      <c r="B45" s="305">
        <v>45468.0</v>
      </c>
      <c r="C45" s="234" t="s">
        <v>325</v>
      </c>
      <c r="D45" s="178">
        <v>1263.05</v>
      </c>
      <c r="E45" s="308">
        <v>45496.0</v>
      </c>
      <c r="F45" s="235"/>
      <c r="P45" s="79"/>
      <c r="Q45" s="79"/>
      <c r="R45" s="79"/>
      <c r="Y45" s="79"/>
      <c r="AC45" s="130"/>
      <c r="AE45" s="106"/>
    </row>
    <row r="46">
      <c r="A46" s="304" t="s">
        <v>458</v>
      </c>
      <c r="B46" s="305">
        <v>45475.0</v>
      </c>
      <c r="C46" s="234" t="s">
        <v>325</v>
      </c>
      <c r="D46" s="178">
        <v>1249.27</v>
      </c>
      <c r="E46" s="308">
        <v>45503.0</v>
      </c>
      <c r="F46" s="235"/>
      <c r="P46" s="79"/>
      <c r="Q46" s="79"/>
      <c r="R46" s="79"/>
      <c r="Y46" s="79"/>
      <c r="AC46" s="130"/>
      <c r="AE46" s="106"/>
    </row>
    <row r="47">
      <c r="A47" s="304" t="s">
        <v>472</v>
      </c>
      <c r="B47" s="305">
        <v>45482.0</v>
      </c>
      <c r="C47" s="234" t="s">
        <v>325</v>
      </c>
      <c r="D47" s="178">
        <v>1248.68</v>
      </c>
      <c r="E47" s="308">
        <v>45510.0</v>
      </c>
      <c r="F47" s="235"/>
      <c r="P47" s="79"/>
      <c r="Q47" s="79"/>
      <c r="R47" s="79"/>
      <c r="Y47" s="79"/>
      <c r="AC47" s="130"/>
      <c r="AE47" s="106"/>
    </row>
    <row r="48">
      <c r="A48" s="282" t="s">
        <v>416</v>
      </c>
      <c r="B48" s="283">
        <v>45450.0</v>
      </c>
      <c r="C48" s="166" t="s">
        <v>379</v>
      </c>
      <c r="D48" s="93">
        <v>1419.79</v>
      </c>
      <c r="E48" s="291"/>
      <c r="F48" s="6"/>
      <c r="P48" s="79"/>
      <c r="Q48" s="79"/>
      <c r="R48" s="79"/>
      <c r="Y48" s="79"/>
      <c r="AC48" s="130"/>
      <c r="AE48" s="106"/>
    </row>
    <row r="49">
      <c r="A49" s="282" t="s">
        <v>435</v>
      </c>
      <c r="B49" s="283">
        <v>45461.0</v>
      </c>
      <c r="C49" s="166" t="s">
        <v>379</v>
      </c>
      <c r="D49" s="93">
        <v>1455.7</v>
      </c>
      <c r="E49" s="337">
        <v>45496.0</v>
      </c>
      <c r="F49" s="6"/>
      <c r="P49" s="79"/>
      <c r="Q49" s="79"/>
      <c r="R49" s="79"/>
      <c r="Y49" s="79"/>
      <c r="AC49" s="130"/>
      <c r="AE49" s="106"/>
    </row>
    <row r="50">
      <c r="A50" s="282" t="s">
        <v>436</v>
      </c>
      <c r="B50" s="283">
        <v>45462.0</v>
      </c>
      <c r="C50" s="166" t="s">
        <v>437</v>
      </c>
      <c r="D50" s="93">
        <v>2341.92</v>
      </c>
      <c r="E50" s="291"/>
      <c r="F50" s="6"/>
      <c r="P50" s="79"/>
      <c r="Q50" s="79"/>
      <c r="R50" s="79"/>
      <c r="Y50" s="79"/>
      <c r="AC50" s="130"/>
      <c r="AE50" s="106"/>
    </row>
    <row r="51">
      <c r="A51" s="282" t="s">
        <v>438</v>
      </c>
      <c r="B51" s="283">
        <v>45464.0</v>
      </c>
      <c r="C51" s="166" t="s">
        <v>437</v>
      </c>
      <c r="D51" s="93">
        <v>1204.97</v>
      </c>
      <c r="E51" s="291"/>
      <c r="F51" s="6"/>
      <c r="P51" s="79"/>
      <c r="Q51" s="79"/>
      <c r="R51" s="79"/>
      <c r="Y51" s="79"/>
      <c r="AC51" s="130"/>
      <c r="AE51" s="106"/>
    </row>
    <row r="52">
      <c r="A52" s="364" t="s">
        <v>460</v>
      </c>
      <c r="B52" s="365">
        <v>45477.0</v>
      </c>
      <c r="C52" s="366" t="s">
        <v>408</v>
      </c>
      <c r="D52" s="367">
        <v>266.0</v>
      </c>
      <c r="E52" s="291"/>
      <c r="F52" s="6"/>
      <c r="P52" s="79"/>
      <c r="Q52" s="79"/>
      <c r="R52" s="79"/>
      <c r="Y52" s="79"/>
      <c r="AC52" s="130"/>
      <c r="AE52" s="106"/>
    </row>
    <row r="53">
      <c r="A53" s="282" t="s">
        <v>449</v>
      </c>
      <c r="B53" s="283">
        <v>45469.0</v>
      </c>
      <c r="C53" s="166" t="s">
        <v>437</v>
      </c>
      <c r="D53" s="93">
        <v>2389.23</v>
      </c>
      <c r="E53" s="291"/>
      <c r="F53" s="6"/>
      <c r="P53" s="79"/>
      <c r="Q53" s="79"/>
      <c r="R53" s="79"/>
      <c r="Y53" s="79"/>
      <c r="AC53" s="130"/>
      <c r="AE53" s="106"/>
    </row>
    <row r="54">
      <c r="A54" s="282" t="s">
        <v>473</v>
      </c>
      <c r="B54" s="283">
        <v>45476.0</v>
      </c>
      <c r="C54" s="166" t="s">
        <v>111</v>
      </c>
      <c r="D54" s="93">
        <v>663.43</v>
      </c>
      <c r="E54" s="291"/>
      <c r="F54" s="6"/>
      <c r="P54" s="79"/>
      <c r="Q54" s="79"/>
      <c r="R54" s="79"/>
      <c r="Y54" s="79"/>
      <c r="AC54" s="130"/>
      <c r="AE54" s="106"/>
    </row>
    <row r="55">
      <c r="A55" s="368" t="s">
        <v>474</v>
      </c>
      <c r="B55" s="369">
        <v>45479.0</v>
      </c>
      <c r="C55" s="370" t="s">
        <v>475</v>
      </c>
      <c r="D55" s="371">
        <f>713.2-5</f>
        <v>708.2</v>
      </c>
      <c r="E55" s="291"/>
      <c r="F55" s="6"/>
      <c r="P55" s="79"/>
      <c r="Q55" s="79"/>
      <c r="R55" s="79"/>
      <c r="Y55" s="79"/>
      <c r="AC55" s="130"/>
      <c r="AE55" s="106"/>
    </row>
    <row r="56">
      <c r="A56" s="282" t="s">
        <v>476</v>
      </c>
      <c r="B56" s="283">
        <v>45477.0</v>
      </c>
      <c r="C56" s="166" t="s">
        <v>408</v>
      </c>
      <c r="D56" s="93">
        <v>300.0</v>
      </c>
      <c r="E56" s="291"/>
      <c r="F56" s="6"/>
      <c r="P56" s="79"/>
      <c r="Q56" s="79"/>
      <c r="R56" s="79"/>
      <c r="Y56" s="79"/>
      <c r="AC56" s="130"/>
      <c r="AE56" s="106"/>
    </row>
    <row r="57">
      <c r="A57" s="282" t="s">
        <v>477</v>
      </c>
      <c r="B57" s="283">
        <v>45481.0</v>
      </c>
      <c r="C57" s="166" t="s">
        <v>478</v>
      </c>
      <c r="D57" s="93">
        <v>199.9</v>
      </c>
      <c r="E57" s="291" t="s">
        <v>479</v>
      </c>
      <c r="F57" s="6">
        <f>D57/2</f>
        <v>99.95</v>
      </c>
      <c r="P57" s="79"/>
      <c r="Q57" s="79"/>
      <c r="R57" s="79"/>
      <c r="Y57" s="79"/>
      <c r="AC57" s="130"/>
      <c r="AE57" s="106"/>
    </row>
    <row r="58">
      <c r="A58" s="282" t="s">
        <v>480</v>
      </c>
      <c r="B58" s="283">
        <v>45483.0</v>
      </c>
      <c r="C58" s="166" t="s">
        <v>355</v>
      </c>
      <c r="D58" s="93">
        <f>425.93-94.5</f>
        <v>331.43</v>
      </c>
      <c r="E58" s="291"/>
      <c r="F58" s="6"/>
      <c r="P58" s="79"/>
      <c r="Q58" s="79"/>
      <c r="R58" s="79"/>
      <c r="Y58" s="79"/>
      <c r="AC58" s="130"/>
      <c r="AE58" s="106"/>
    </row>
    <row r="59">
      <c r="A59" s="282" t="s">
        <v>481</v>
      </c>
      <c r="B59" s="283">
        <v>45485.0</v>
      </c>
      <c r="C59" s="166" t="s">
        <v>482</v>
      </c>
      <c r="D59" s="93">
        <v>923.72</v>
      </c>
      <c r="E59" s="291"/>
      <c r="F59" s="6"/>
      <c r="P59" s="79"/>
      <c r="Q59" s="79"/>
      <c r="R59" s="79"/>
      <c r="Y59" s="79"/>
      <c r="AC59" s="130"/>
      <c r="AE59" s="106"/>
    </row>
    <row r="60">
      <c r="A60" s="282" t="s">
        <v>483</v>
      </c>
      <c r="B60" s="283">
        <v>45482.0</v>
      </c>
      <c r="C60" s="166" t="s">
        <v>482</v>
      </c>
      <c r="D60" s="93">
        <v>463.6</v>
      </c>
      <c r="E60" s="291"/>
      <c r="F60" s="6"/>
      <c r="P60" s="79"/>
      <c r="Q60" s="79"/>
      <c r="R60" s="79"/>
      <c r="Y60" s="79"/>
      <c r="AC60" s="130"/>
      <c r="AE60" s="106"/>
    </row>
    <row r="61">
      <c r="A61" s="282"/>
      <c r="B61" s="283"/>
      <c r="C61" s="166"/>
      <c r="D61" s="93"/>
      <c r="E61" s="291"/>
      <c r="F61" s="6"/>
      <c r="P61" s="79"/>
      <c r="Q61" s="79"/>
      <c r="R61" s="79"/>
      <c r="Y61" s="79"/>
      <c r="AC61" s="130"/>
      <c r="AE61" s="106"/>
    </row>
    <row r="62">
      <c r="C62" s="79"/>
      <c r="D62" s="79"/>
      <c r="E62" s="79"/>
      <c r="P62" s="79"/>
      <c r="Q62" s="79"/>
      <c r="R62" s="79"/>
      <c r="Y62" s="79"/>
      <c r="AC62" s="130"/>
      <c r="AE62" s="106"/>
    </row>
    <row r="63">
      <c r="C63" s="79"/>
      <c r="D63" s="79"/>
      <c r="E63" s="79"/>
      <c r="P63" s="79"/>
      <c r="Q63" s="79"/>
      <c r="R63" s="79"/>
      <c r="Y63" s="79"/>
      <c r="AC63" s="130"/>
      <c r="AE63" s="106"/>
    </row>
    <row r="64">
      <c r="C64" s="79"/>
      <c r="D64" s="79"/>
      <c r="E64" s="79"/>
      <c r="P64" s="79"/>
      <c r="Q64" s="79"/>
      <c r="R64" s="79"/>
      <c r="Y64" s="79"/>
      <c r="AC64" s="130"/>
      <c r="AE64" s="106"/>
    </row>
    <row r="65">
      <c r="C65" s="79"/>
      <c r="D65" s="79"/>
      <c r="E65" s="79"/>
      <c r="P65" s="79"/>
      <c r="Q65" s="79"/>
      <c r="R65" s="79"/>
      <c r="Y65" s="79"/>
      <c r="AC65" s="130"/>
      <c r="AE65" s="106"/>
    </row>
    <row r="66">
      <c r="C66" s="79"/>
      <c r="D66" s="79"/>
      <c r="E66" s="79"/>
      <c r="P66" s="79"/>
      <c r="Q66" s="79"/>
      <c r="R66" s="79"/>
      <c r="Y66" s="79"/>
      <c r="AC66" s="130"/>
      <c r="AE66" s="106"/>
    </row>
    <row r="67">
      <c r="C67" s="79"/>
      <c r="D67" s="79"/>
      <c r="E67" s="79"/>
      <c r="P67" s="79"/>
      <c r="Q67" s="79"/>
      <c r="R67" s="79"/>
      <c r="Y67" s="79"/>
      <c r="AC67" s="130"/>
      <c r="AE67" s="106"/>
    </row>
    <row r="68">
      <c r="C68" s="79"/>
      <c r="D68" s="79"/>
      <c r="E68" s="79"/>
      <c r="P68" s="79"/>
      <c r="Q68" s="79"/>
      <c r="R68" s="79"/>
      <c r="Y68" s="79"/>
      <c r="AC68" s="130"/>
      <c r="AE68" s="106"/>
    </row>
    <row r="69">
      <c r="C69" s="79"/>
      <c r="D69" s="79"/>
      <c r="E69" s="79"/>
      <c r="P69" s="79"/>
      <c r="Q69" s="79"/>
      <c r="R69" s="79"/>
      <c r="Y69" s="79"/>
      <c r="AC69" s="130"/>
      <c r="AE69" s="106"/>
    </row>
    <row r="70">
      <c r="C70" s="79"/>
      <c r="D70" s="79"/>
      <c r="E70" s="79"/>
      <c r="P70" s="79"/>
      <c r="Q70" s="79"/>
      <c r="R70" s="79"/>
      <c r="Y70" s="79"/>
      <c r="AC70" s="130"/>
      <c r="AE70" s="106"/>
    </row>
    <row r="71">
      <c r="C71" s="79"/>
      <c r="D71" s="79"/>
      <c r="E71" s="79"/>
      <c r="P71" s="79"/>
      <c r="Q71" s="79"/>
      <c r="R71" s="79"/>
      <c r="Y71" s="79"/>
      <c r="AC71" s="130"/>
      <c r="AE71" s="106"/>
    </row>
    <row r="72">
      <c r="C72" s="79"/>
      <c r="D72" s="79"/>
      <c r="E72" s="79"/>
      <c r="P72" s="79"/>
      <c r="Q72" s="79"/>
      <c r="R72" s="79"/>
      <c r="Y72" s="79"/>
      <c r="AC72" s="130"/>
      <c r="AE72" s="106"/>
    </row>
    <row r="73">
      <c r="C73" s="79"/>
      <c r="D73" s="79"/>
      <c r="E73" s="79"/>
      <c r="P73" s="79"/>
      <c r="Q73" s="79"/>
      <c r="R73" s="79"/>
      <c r="Y73" s="79"/>
      <c r="AC73" s="130"/>
      <c r="AE73" s="106"/>
    </row>
    <row r="74">
      <c r="C74" s="79"/>
      <c r="D74" s="79"/>
      <c r="E74" s="79"/>
      <c r="P74" s="79"/>
      <c r="Q74" s="79"/>
      <c r="R74" s="79"/>
      <c r="Y74" s="79"/>
      <c r="AC74" s="130"/>
      <c r="AE74" s="106"/>
    </row>
    <row r="75">
      <c r="C75" s="79"/>
      <c r="D75" s="79"/>
      <c r="E75" s="79"/>
      <c r="P75" s="79"/>
      <c r="Q75" s="79"/>
      <c r="R75" s="79"/>
      <c r="Y75" s="79"/>
      <c r="AC75" s="130"/>
      <c r="AE75" s="106"/>
    </row>
    <row r="76">
      <c r="C76" s="79"/>
      <c r="D76" s="79"/>
      <c r="E76" s="79"/>
      <c r="P76" s="79"/>
      <c r="Q76" s="79"/>
      <c r="R76" s="79"/>
      <c r="Y76" s="79"/>
      <c r="AC76" s="130"/>
      <c r="AE76" s="106"/>
    </row>
    <row r="77">
      <c r="C77" s="79"/>
      <c r="D77" s="79"/>
      <c r="E77" s="79"/>
      <c r="P77" s="79"/>
      <c r="Q77" s="79"/>
      <c r="R77" s="79"/>
      <c r="Y77" s="79"/>
      <c r="AC77" s="130"/>
      <c r="AE77" s="106"/>
    </row>
    <row r="78">
      <c r="C78" s="79"/>
      <c r="D78" s="79"/>
      <c r="E78" s="79"/>
      <c r="P78" s="79"/>
      <c r="Q78" s="79"/>
      <c r="R78" s="79"/>
      <c r="Y78" s="79"/>
      <c r="AC78" s="130"/>
      <c r="AE78" s="106"/>
    </row>
    <row r="79">
      <c r="C79" s="79"/>
      <c r="D79" s="79"/>
      <c r="E79" s="79"/>
      <c r="P79" s="79"/>
      <c r="Q79" s="79"/>
      <c r="R79" s="79"/>
      <c r="Y79" s="79"/>
      <c r="AC79" s="130"/>
      <c r="AE79" s="106"/>
    </row>
    <row r="80">
      <c r="C80" s="79"/>
      <c r="D80" s="79"/>
      <c r="E80" s="79"/>
      <c r="P80" s="79"/>
      <c r="Q80" s="79"/>
      <c r="R80" s="79"/>
      <c r="Y80" s="79"/>
      <c r="AC80" s="130"/>
      <c r="AE80" s="106"/>
    </row>
    <row r="81">
      <c r="C81" s="79"/>
      <c r="D81" s="79"/>
      <c r="E81" s="79"/>
      <c r="P81" s="79"/>
      <c r="Q81" s="79"/>
      <c r="R81" s="79"/>
      <c r="Y81" s="79"/>
      <c r="AC81" s="130"/>
      <c r="AE81" s="106"/>
    </row>
    <row r="82">
      <c r="C82" s="79"/>
      <c r="D82" s="79"/>
      <c r="E82" s="79"/>
      <c r="P82" s="79"/>
      <c r="Q82" s="79"/>
      <c r="R82" s="79"/>
      <c r="Y82" s="79"/>
      <c r="AC82" s="130"/>
      <c r="AE82" s="106"/>
    </row>
    <row r="83">
      <c r="C83" s="79"/>
      <c r="D83" s="79"/>
      <c r="E83" s="79"/>
      <c r="P83" s="79"/>
      <c r="Q83" s="79"/>
      <c r="R83" s="79"/>
      <c r="Y83" s="79"/>
      <c r="AC83" s="130"/>
      <c r="AE83" s="106"/>
    </row>
    <row r="84">
      <c r="C84" s="79"/>
      <c r="D84" s="79"/>
      <c r="E84" s="79"/>
      <c r="P84" s="79"/>
      <c r="Q84" s="79"/>
      <c r="R84" s="79"/>
      <c r="Y84" s="79"/>
      <c r="AC84" s="130"/>
      <c r="AE84" s="106"/>
    </row>
    <row r="85">
      <c r="C85" s="79"/>
      <c r="D85" s="79"/>
      <c r="E85" s="79"/>
      <c r="P85" s="79"/>
      <c r="Q85" s="79"/>
      <c r="R85" s="79"/>
      <c r="Y85" s="79"/>
      <c r="AC85" s="130"/>
      <c r="AE85" s="106"/>
    </row>
    <row r="86">
      <c r="C86" s="79"/>
      <c r="D86" s="79"/>
      <c r="E86" s="79"/>
      <c r="P86" s="79"/>
      <c r="Q86" s="79"/>
      <c r="R86" s="79"/>
      <c r="Y86" s="79"/>
      <c r="AC86" s="130"/>
      <c r="AE86" s="106"/>
    </row>
    <row r="87">
      <c r="C87" s="79"/>
      <c r="D87" s="79"/>
      <c r="E87" s="79"/>
      <c r="P87" s="79"/>
      <c r="Q87" s="79"/>
      <c r="R87" s="79"/>
      <c r="Y87" s="79"/>
      <c r="AC87" s="130"/>
      <c r="AE87" s="106"/>
    </row>
    <row r="88">
      <c r="C88" s="79"/>
      <c r="D88" s="79"/>
      <c r="E88" s="79"/>
      <c r="P88" s="79"/>
      <c r="Q88" s="79"/>
      <c r="R88" s="79"/>
      <c r="Y88" s="79"/>
      <c r="AC88" s="130"/>
      <c r="AE88" s="106"/>
    </row>
    <row r="89">
      <c r="C89" s="79"/>
      <c r="D89" s="79"/>
      <c r="E89" s="79"/>
      <c r="P89" s="79"/>
      <c r="Q89" s="79"/>
      <c r="R89" s="79"/>
      <c r="Y89" s="79"/>
      <c r="AC89" s="130"/>
      <c r="AE89" s="106"/>
    </row>
    <row r="90">
      <c r="C90" s="79"/>
      <c r="D90" s="79"/>
      <c r="E90" s="79"/>
      <c r="P90" s="79"/>
      <c r="Q90" s="79"/>
      <c r="R90" s="79"/>
      <c r="Y90" s="79"/>
      <c r="AC90" s="130"/>
      <c r="AE90" s="106"/>
    </row>
    <row r="91">
      <c r="C91" s="79"/>
      <c r="D91" s="79"/>
      <c r="E91" s="79"/>
      <c r="P91" s="79"/>
      <c r="Q91" s="79"/>
      <c r="R91" s="79"/>
      <c r="Y91" s="79"/>
      <c r="AC91" s="130"/>
      <c r="AE91" s="106"/>
    </row>
    <row r="92">
      <c r="C92" s="79"/>
      <c r="D92" s="79"/>
      <c r="E92" s="79"/>
      <c r="P92" s="79"/>
      <c r="Q92" s="79"/>
      <c r="R92" s="79"/>
      <c r="Y92" s="79"/>
      <c r="AC92" s="130"/>
      <c r="AE92" s="106"/>
    </row>
    <row r="93">
      <c r="C93" s="79"/>
      <c r="D93" s="79"/>
      <c r="E93" s="79"/>
      <c r="P93" s="79"/>
      <c r="Q93" s="79"/>
      <c r="R93" s="79"/>
      <c r="Y93" s="79"/>
      <c r="AC93" s="130"/>
      <c r="AE93" s="106"/>
    </row>
    <row r="94">
      <c r="C94" s="79"/>
      <c r="D94" s="79"/>
      <c r="E94" s="79"/>
      <c r="P94" s="79"/>
      <c r="Q94" s="79"/>
      <c r="R94" s="79"/>
      <c r="Y94" s="79"/>
      <c r="AC94" s="130"/>
      <c r="AE94" s="106"/>
    </row>
    <row r="95">
      <c r="C95" s="79"/>
      <c r="D95" s="79"/>
      <c r="E95" s="79"/>
      <c r="P95" s="79"/>
      <c r="Q95" s="79"/>
      <c r="R95" s="79"/>
      <c r="Y95" s="79"/>
      <c r="AC95" s="130"/>
      <c r="AE95" s="106"/>
    </row>
    <row r="96">
      <c r="C96" s="79"/>
      <c r="D96" s="79"/>
      <c r="E96" s="79"/>
      <c r="P96" s="79"/>
      <c r="Q96" s="79"/>
      <c r="R96" s="79"/>
      <c r="Y96" s="79"/>
      <c r="AC96" s="130"/>
      <c r="AE96" s="106"/>
    </row>
    <row r="97">
      <c r="C97" s="79"/>
      <c r="D97" s="79"/>
      <c r="E97" s="79"/>
      <c r="P97" s="79"/>
      <c r="Q97" s="79"/>
      <c r="R97" s="79"/>
      <c r="Y97" s="79"/>
      <c r="AC97" s="130"/>
      <c r="AE97" s="106"/>
    </row>
    <row r="98">
      <c r="C98" s="79"/>
      <c r="D98" s="79"/>
      <c r="E98" s="79"/>
      <c r="P98" s="79"/>
      <c r="Q98" s="79"/>
      <c r="R98" s="79"/>
      <c r="Y98" s="79"/>
      <c r="AC98" s="130"/>
      <c r="AE98" s="106"/>
    </row>
    <row r="99">
      <c r="C99" s="79"/>
      <c r="D99" s="79"/>
      <c r="E99" s="79"/>
      <c r="P99" s="79"/>
      <c r="Q99" s="79"/>
      <c r="R99" s="79"/>
      <c r="Y99" s="79"/>
      <c r="AC99" s="130"/>
      <c r="AE99" s="106"/>
    </row>
    <row r="100">
      <c r="C100" s="79"/>
      <c r="D100" s="79"/>
      <c r="E100" s="79"/>
      <c r="P100" s="79"/>
      <c r="Q100" s="79"/>
      <c r="R100" s="79"/>
      <c r="Y100" s="79"/>
      <c r="AC100" s="130"/>
      <c r="AE100" s="106"/>
    </row>
    <row r="101">
      <c r="C101" s="79"/>
      <c r="D101" s="79"/>
      <c r="E101" s="79"/>
      <c r="P101" s="79"/>
      <c r="Q101" s="79"/>
      <c r="R101" s="79"/>
      <c r="Y101" s="79"/>
      <c r="AC101" s="130"/>
      <c r="AE101" s="106"/>
    </row>
    <row r="102">
      <c r="C102" s="79"/>
      <c r="D102" s="79"/>
      <c r="E102" s="79"/>
      <c r="P102" s="79"/>
      <c r="Q102" s="79"/>
      <c r="R102" s="79"/>
      <c r="Y102" s="79"/>
      <c r="AC102" s="130"/>
      <c r="AE102" s="106"/>
    </row>
    <row r="103">
      <c r="C103" s="79"/>
      <c r="D103" s="79"/>
      <c r="E103" s="79"/>
      <c r="P103" s="79"/>
      <c r="Q103" s="79"/>
      <c r="R103" s="79"/>
      <c r="Y103" s="79"/>
      <c r="AC103" s="130"/>
      <c r="AE103" s="106"/>
    </row>
    <row r="104">
      <c r="C104" s="79"/>
      <c r="D104" s="79"/>
      <c r="E104" s="79"/>
      <c r="P104" s="79"/>
      <c r="Q104" s="79"/>
      <c r="R104" s="79"/>
      <c r="Y104" s="79"/>
      <c r="AC104" s="130"/>
      <c r="AE104" s="106"/>
    </row>
    <row r="105">
      <c r="C105" s="79"/>
      <c r="D105" s="79"/>
      <c r="E105" s="79"/>
      <c r="P105" s="79"/>
      <c r="Q105" s="79"/>
      <c r="R105" s="79"/>
      <c r="Y105" s="79"/>
      <c r="AC105" s="130"/>
      <c r="AE105" s="106"/>
    </row>
    <row r="106">
      <c r="C106" s="79"/>
      <c r="D106" s="79"/>
      <c r="E106" s="79"/>
      <c r="P106" s="79"/>
      <c r="Q106" s="79"/>
      <c r="R106" s="79"/>
      <c r="Y106" s="79"/>
      <c r="AC106" s="130"/>
      <c r="AE106" s="106"/>
    </row>
    <row r="107">
      <c r="C107" s="79"/>
      <c r="D107" s="79"/>
      <c r="E107" s="79"/>
      <c r="P107" s="79"/>
      <c r="Q107" s="79"/>
      <c r="R107" s="79"/>
      <c r="Y107" s="79"/>
      <c r="AC107" s="130"/>
      <c r="AE107" s="106"/>
    </row>
    <row r="108">
      <c r="C108" s="79"/>
      <c r="D108" s="79"/>
      <c r="E108" s="79"/>
      <c r="P108" s="79"/>
      <c r="Q108" s="79"/>
      <c r="R108" s="79"/>
      <c r="Y108" s="79"/>
      <c r="AC108" s="130"/>
      <c r="AE108" s="106"/>
    </row>
    <row r="109">
      <c r="C109" s="79"/>
      <c r="D109" s="79"/>
      <c r="E109" s="79"/>
      <c r="P109" s="79"/>
      <c r="Q109" s="79"/>
      <c r="R109" s="79"/>
      <c r="Y109" s="79"/>
      <c r="AC109" s="130"/>
      <c r="AE109" s="106"/>
    </row>
    <row r="110">
      <c r="C110" s="79"/>
      <c r="D110" s="79"/>
      <c r="E110" s="79"/>
      <c r="P110" s="79"/>
      <c r="Q110" s="79"/>
      <c r="R110" s="79"/>
      <c r="Y110" s="79"/>
      <c r="AC110" s="130"/>
      <c r="AE110" s="106"/>
    </row>
    <row r="111">
      <c r="C111" s="79"/>
      <c r="D111" s="79"/>
      <c r="E111" s="79"/>
      <c r="P111" s="79"/>
      <c r="Q111" s="79"/>
      <c r="R111" s="79"/>
      <c r="Y111" s="79"/>
      <c r="AC111" s="130"/>
      <c r="AE111" s="106"/>
    </row>
    <row r="112">
      <c r="C112" s="79"/>
      <c r="D112" s="79"/>
      <c r="E112" s="79"/>
      <c r="P112" s="79"/>
      <c r="Q112" s="79"/>
      <c r="R112" s="79"/>
      <c r="Y112" s="79"/>
      <c r="AC112" s="130"/>
      <c r="AE112" s="106"/>
    </row>
    <row r="113">
      <c r="C113" s="79"/>
      <c r="D113" s="79"/>
      <c r="E113" s="79"/>
      <c r="P113" s="79"/>
      <c r="Q113" s="79"/>
      <c r="R113" s="79"/>
      <c r="Y113" s="79"/>
      <c r="AC113" s="130"/>
      <c r="AE113" s="106"/>
    </row>
    <row r="114">
      <c r="C114" s="79"/>
      <c r="D114" s="79"/>
      <c r="E114" s="79"/>
      <c r="P114" s="79"/>
      <c r="Q114" s="79"/>
      <c r="R114" s="79"/>
      <c r="Y114" s="79"/>
      <c r="AC114" s="130"/>
      <c r="AE114" s="106"/>
    </row>
    <row r="115">
      <c r="C115" s="79"/>
      <c r="D115" s="79"/>
      <c r="E115" s="79"/>
      <c r="P115" s="79"/>
      <c r="Q115" s="79"/>
      <c r="R115" s="79"/>
      <c r="Y115" s="79"/>
      <c r="AC115" s="130"/>
      <c r="AE115" s="106"/>
    </row>
    <row r="116">
      <c r="C116" s="79"/>
      <c r="D116" s="79"/>
      <c r="E116" s="79"/>
      <c r="P116" s="79"/>
      <c r="Q116" s="79"/>
      <c r="R116" s="79"/>
      <c r="Y116" s="79"/>
      <c r="AC116" s="130"/>
      <c r="AE116" s="106"/>
    </row>
    <row r="117">
      <c r="C117" s="79"/>
      <c r="D117" s="79"/>
      <c r="E117" s="79"/>
      <c r="P117" s="79"/>
      <c r="Q117" s="79"/>
      <c r="R117" s="79"/>
      <c r="Y117" s="79"/>
      <c r="AC117" s="130"/>
      <c r="AE117" s="106"/>
    </row>
    <row r="118">
      <c r="C118" s="79"/>
      <c r="D118" s="79"/>
      <c r="E118" s="79"/>
      <c r="P118" s="79"/>
      <c r="Q118" s="79"/>
      <c r="R118" s="79"/>
      <c r="Y118" s="79"/>
      <c r="AC118" s="130"/>
      <c r="AE118" s="106"/>
    </row>
    <row r="119">
      <c r="C119" s="79"/>
      <c r="D119" s="79"/>
      <c r="E119" s="79"/>
      <c r="P119" s="79"/>
      <c r="Q119" s="79"/>
      <c r="R119" s="79"/>
      <c r="Y119" s="79"/>
      <c r="AC119" s="130"/>
      <c r="AE119" s="106"/>
    </row>
    <row r="120">
      <c r="C120" s="79"/>
      <c r="D120" s="79"/>
      <c r="E120" s="79"/>
      <c r="P120" s="79"/>
      <c r="Q120" s="79"/>
      <c r="R120" s="79"/>
      <c r="Y120" s="79"/>
      <c r="AC120" s="130"/>
      <c r="AE120" s="106"/>
    </row>
    <row r="121">
      <c r="C121" s="79"/>
      <c r="D121" s="79"/>
      <c r="E121" s="79"/>
      <c r="P121" s="79"/>
      <c r="Q121" s="79"/>
      <c r="R121" s="79"/>
      <c r="Y121" s="79"/>
      <c r="AC121" s="130"/>
      <c r="AE121" s="106"/>
    </row>
    <row r="122">
      <c r="C122" s="79"/>
      <c r="D122" s="79"/>
      <c r="E122" s="79"/>
      <c r="P122" s="79"/>
      <c r="Q122" s="79"/>
      <c r="R122" s="79"/>
      <c r="Y122" s="79"/>
      <c r="AC122" s="130"/>
      <c r="AE122" s="106"/>
    </row>
    <row r="123">
      <c r="C123" s="79"/>
      <c r="D123" s="79"/>
      <c r="E123" s="79"/>
      <c r="P123" s="79"/>
      <c r="Q123" s="79"/>
      <c r="R123" s="79"/>
      <c r="Y123" s="79"/>
      <c r="AC123" s="130"/>
      <c r="AE123" s="106"/>
    </row>
    <row r="124">
      <c r="C124" s="79"/>
      <c r="D124" s="79"/>
      <c r="E124" s="79"/>
      <c r="P124" s="79"/>
      <c r="Q124" s="79"/>
      <c r="R124" s="79"/>
      <c r="Y124" s="79"/>
      <c r="AC124" s="130"/>
      <c r="AE124" s="106"/>
    </row>
    <row r="125">
      <c r="C125" s="79"/>
      <c r="D125" s="79"/>
      <c r="E125" s="79"/>
      <c r="P125" s="79"/>
      <c r="Q125" s="79"/>
      <c r="R125" s="79"/>
      <c r="Y125" s="79"/>
      <c r="AC125" s="130"/>
      <c r="AE125" s="106"/>
    </row>
    <row r="126">
      <c r="C126" s="79"/>
      <c r="D126" s="79"/>
      <c r="E126" s="79"/>
      <c r="P126" s="79"/>
      <c r="Q126" s="79"/>
      <c r="R126" s="79"/>
      <c r="Y126" s="79"/>
      <c r="AC126" s="130"/>
      <c r="AE126" s="106"/>
    </row>
    <row r="127">
      <c r="C127" s="79"/>
      <c r="D127" s="79"/>
      <c r="E127" s="79"/>
      <c r="P127" s="79"/>
      <c r="Q127" s="79"/>
      <c r="R127" s="79"/>
      <c r="Y127" s="79"/>
      <c r="AC127" s="130"/>
      <c r="AE127" s="106"/>
    </row>
    <row r="128">
      <c r="C128" s="79"/>
      <c r="D128" s="79"/>
      <c r="E128" s="79"/>
      <c r="P128" s="79"/>
      <c r="Q128" s="79"/>
      <c r="R128" s="79"/>
      <c r="Y128" s="79"/>
      <c r="AC128" s="130"/>
      <c r="AE128" s="106"/>
    </row>
    <row r="129">
      <c r="C129" s="79"/>
      <c r="D129" s="79"/>
      <c r="E129" s="79"/>
      <c r="P129" s="79"/>
      <c r="Q129" s="79"/>
      <c r="R129" s="79"/>
      <c r="Y129" s="79"/>
      <c r="AC129" s="130"/>
      <c r="AE129" s="106"/>
    </row>
    <row r="130">
      <c r="C130" s="79"/>
      <c r="D130" s="79"/>
      <c r="E130" s="79"/>
      <c r="P130" s="79"/>
      <c r="Q130" s="79"/>
      <c r="R130" s="79"/>
      <c r="Y130" s="79"/>
      <c r="AC130" s="130"/>
      <c r="AE130" s="106"/>
    </row>
    <row r="131">
      <c r="C131" s="79"/>
      <c r="D131" s="79"/>
      <c r="E131" s="79"/>
      <c r="P131" s="79"/>
      <c r="Q131" s="79"/>
      <c r="R131" s="79"/>
      <c r="Y131" s="79"/>
      <c r="AC131" s="130"/>
      <c r="AE131" s="106"/>
    </row>
    <row r="132">
      <c r="C132" s="79"/>
      <c r="D132" s="79"/>
      <c r="E132" s="79"/>
      <c r="P132" s="79"/>
      <c r="Q132" s="79"/>
      <c r="R132" s="79"/>
      <c r="Y132" s="79"/>
      <c r="AC132" s="130"/>
      <c r="AE132" s="106"/>
    </row>
    <row r="133">
      <c r="C133" s="79"/>
      <c r="D133" s="79"/>
      <c r="E133" s="79"/>
      <c r="P133" s="79"/>
      <c r="Q133" s="79"/>
      <c r="R133" s="79"/>
      <c r="Y133" s="79"/>
      <c r="AC133" s="130"/>
      <c r="AE133" s="106"/>
    </row>
    <row r="134">
      <c r="C134" s="79"/>
      <c r="D134" s="79"/>
      <c r="E134" s="79"/>
      <c r="P134" s="79"/>
      <c r="Q134" s="79"/>
      <c r="R134" s="79"/>
      <c r="Y134" s="79"/>
      <c r="AC134" s="130"/>
      <c r="AE134" s="106"/>
    </row>
    <row r="135">
      <c r="C135" s="79"/>
      <c r="D135" s="79"/>
      <c r="E135" s="79"/>
      <c r="P135" s="79"/>
      <c r="Q135" s="79"/>
      <c r="R135" s="79"/>
      <c r="Y135" s="79"/>
      <c r="AC135" s="130"/>
      <c r="AE135" s="106"/>
    </row>
    <row r="136">
      <c r="C136" s="79"/>
      <c r="D136" s="79"/>
      <c r="E136" s="79"/>
      <c r="P136" s="79"/>
      <c r="Q136" s="79"/>
      <c r="R136" s="79"/>
      <c r="Y136" s="79"/>
      <c r="AC136" s="130"/>
      <c r="AE136" s="106"/>
    </row>
    <row r="137">
      <c r="C137" s="79"/>
      <c r="D137" s="79"/>
      <c r="E137" s="79"/>
      <c r="P137" s="79"/>
      <c r="Q137" s="79"/>
      <c r="R137" s="79"/>
      <c r="Y137" s="79"/>
      <c r="AC137" s="130"/>
      <c r="AE137" s="106"/>
    </row>
    <row r="138">
      <c r="C138" s="79"/>
      <c r="D138" s="79"/>
      <c r="E138" s="79"/>
      <c r="P138" s="79"/>
      <c r="Q138" s="79"/>
      <c r="R138" s="79"/>
      <c r="Y138" s="79"/>
      <c r="AC138" s="130"/>
      <c r="AE138" s="106"/>
    </row>
    <row r="139">
      <c r="C139" s="79"/>
      <c r="D139" s="79"/>
      <c r="E139" s="79"/>
      <c r="P139" s="79"/>
      <c r="Q139" s="79"/>
      <c r="R139" s="79"/>
      <c r="Y139" s="79"/>
      <c r="AC139" s="130"/>
      <c r="AE139" s="106"/>
    </row>
    <row r="140">
      <c r="C140" s="79"/>
      <c r="D140" s="79"/>
      <c r="E140" s="79"/>
      <c r="P140" s="79"/>
      <c r="Q140" s="79"/>
      <c r="R140" s="79"/>
      <c r="Y140" s="79"/>
      <c r="AC140" s="130"/>
      <c r="AE140" s="106"/>
    </row>
    <row r="141">
      <c r="C141" s="79"/>
      <c r="D141" s="79"/>
      <c r="E141" s="79"/>
      <c r="P141" s="79"/>
      <c r="Q141" s="79"/>
      <c r="R141" s="79"/>
      <c r="Y141" s="79"/>
      <c r="AC141" s="130"/>
      <c r="AE141" s="106"/>
    </row>
    <row r="142">
      <c r="C142" s="79"/>
      <c r="D142" s="79"/>
      <c r="E142" s="79"/>
      <c r="P142" s="79"/>
      <c r="Q142" s="79"/>
      <c r="R142" s="79"/>
      <c r="Y142" s="79"/>
      <c r="AC142" s="130"/>
      <c r="AE142" s="106"/>
    </row>
    <row r="143">
      <c r="C143" s="79"/>
      <c r="D143" s="79"/>
      <c r="E143" s="79"/>
      <c r="P143" s="79"/>
      <c r="Q143" s="79"/>
      <c r="R143" s="79"/>
      <c r="Y143" s="79"/>
      <c r="AC143" s="130"/>
      <c r="AE143" s="106"/>
    </row>
    <row r="144">
      <c r="C144" s="79"/>
      <c r="D144" s="79"/>
      <c r="E144" s="79"/>
      <c r="P144" s="79"/>
      <c r="Q144" s="79"/>
      <c r="R144" s="79"/>
      <c r="Y144" s="79"/>
      <c r="AC144" s="130"/>
      <c r="AE144" s="106"/>
    </row>
    <row r="145">
      <c r="C145" s="79"/>
      <c r="D145" s="79"/>
      <c r="E145" s="79"/>
      <c r="P145" s="79"/>
      <c r="Q145" s="79"/>
      <c r="R145" s="79"/>
      <c r="Y145" s="79"/>
      <c r="AC145" s="130"/>
      <c r="AE145" s="106"/>
    </row>
    <row r="146">
      <c r="C146" s="79"/>
      <c r="D146" s="79"/>
      <c r="E146" s="79"/>
      <c r="P146" s="79"/>
      <c r="Q146" s="79"/>
      <c r="R146" s="79"/>
      <c r="Y146" s="79"/>
      <c r="AC146" s="130"/>
      <c r="AE146" s="106"/>
    </row>
    <row r="147">
      <c r="C147" s="79"/>
      <c r="D147" s="79"/>
      <c r="E147" s="79"/>
      <c r="P147" s="79"/>
      <c r="Q147" s="79"/>
      <c r="R147" s="79"/>
      <c r="Y147" s="79"/>
      <c r="AC147" s="130"/>
      <c r="AE147" s="106"/>
    </row>
    <row r="148">
      <c r="C148" s="79"/>
      <c r="D148" s="79"/>
      <c r="E148" s="79"/>
      <c r="P148" s="79"/>
      <c r="Q148" s="79"/>
      <c r="R148" s="79"/>
      <c r="Y148" s="79"/>
      <c r="AC148" s="130"/>
      <c r="AE148" s="106"/>
    </row>
    <row r="149">
      <c r="C149" s="79"/>
      <c r="D149" s="79"/>
      <c r="E149" s="79"/>
      <c r="P149" s="79"/>
      <c r="Q149" s="79"/>
      <c r="R149" s="79"/>
      <c r="Y149" s="79"/>
      <c r="AC149" s="130"/>
      <c r="AE149" s="106"/>
    </row>
    <row r="150">
      <c r="C150" s="79"/>
      <c r="D150" s="79"/>
      <c r="E150" s="79"/>
      <c r="P150" s="79"/>
      <c r="Q150" s="79"/>
      <c r="R150" s="79"/>
      <c r="Y150" s="79"/>
      <c r="AC150" s="130"/>
      <c r="AE150" s="106"/>
    </row>
    <row r="151">
      <c r="C151" s="79"/>
      <c r="D151" s="79"/>
      <c r="E151" s="79"/>
      <c r="P151" s="79"/>
      <c r="Q151" s="79"/>
      <c r="R151" s="79"/>
      <c r="Y151" s="79"/>
      <c r="AC151" s="130"/>
      <c r="AE151" s="106"/>
    </row>
    <row r="152">
      <c r="C152" s="79"/>
      <c r="D152" s="79"/>
      <c r="E152" s="79"/>
      <c r="P152" s="79"/>
      <c r="Q152" s="79"/>
      <c r="R152" s="79"/>
      <c r="Y152" s="79"/>
      <c r="AC152" s="130"/>
      <c r="AE152" s="106"/>
    </row>
    <row r="153">
      <c r="C153" s="79"/>
      <c r="D153" s="79"/>
      <c r="E153" s="79"/>
      <c r="P153" s="79"/>
      <c r="Q153" s="79"/>
      <c r="R153" s="79"/>
      <c r="Y153" s="79"/>
      <c r="AC153" s="130"/>
      <c r="AE153" s="106"/>
    </row>
    <row r="154">
      <c r="C154" s="79"/>
      <c r="D154" s="79"/>
      <c r="E154" s="79"/>
      <c r="P154" s="79"/>
      <c r="Q154" s="79"/>
      <c r="R154" s="79"/>
      <c r="Y154" s="79"/>
      <c r="AC154" s="130"/>
      <c r="AE154" s="106"/>
    </row>
    <row r="155">
      <c r="C155" s="79"/>
      <c r="D155" s="79"/>
      <c r="E155" s="79"/>
      <c r="P155" s="79"/>
      <c r="Q155" s="79"/>
      <c r="R155" s="79"/>
      <c r="Y155" s="79"/>
      <c r="AC155" s="130"/>
      <c r="AE155" s="106"/>
    </row>
    <row r="156">
      <c r="C156" s="79"/>
      <c r="D156" s="79"/>
      <c r="E156" s="79"/>
      <c r="P156" s="79"/>
      <c r="Q156" s="79"/>
      <c r="R156" s="79"/>
      <c r="Y156" s="79"/>
      <c r="AC156" s="130"/>
      <c r="AE156" s="106"/>
    </row>
    <row r="157">
      <c r="C157" s="79"/>
      <c r="D157" s="79"/>
      <c r="E157" s="79"/>
      <c r="P157" s="79"/>
      <c r="Q157" s="79"/>
      <c r="R157" s="79"/>
      <c r="Y157" s="79"/>
      <c r="AC157" s="130"/>
      <c r="AE157" s="106"/>
    </row>
    <row r="158">
      <c r="C158" s="79"/>
      <c r="D158" s="79"/>
      <c r="E158" s="79"/>
      <c r="P158" s="79"/>
      <c r="Q158" s="79"/>
      <c r="R158" s="79"/>
      <c r="Y158" s="79"/>
      <c r="AC158" s="130"/>
      <c r="AE158" s="106"/>
    </row>
    <row r="159">
      <c r="C159" s="79"/>
      <c r="D159" s="79"/>
      <c r="E159" s="79"/>
      <c r="P159" s="79"/>
      <c r="Q159" s="79"/>
      <c r="R159" s="79"/>
      <c r="Y159" s="79"/>
      <c r="AC159" s="130"/>
      <c r="AE159" s="106"/>
    </row>
    <row r="160">
      <c r="C160" s="79"/>
      <c r="D160" s="79"/>
      <c r="E160" s="79"/>
      <c r="P160" s="79"/>
      <c r="Q160" s="79"/>
      <c r="R160" s="79"/>
      <c r="Y160" s="79"/>
      <c r="AC160" s="130"/>
      <c r="AE160" s="106"/>
    </row>
    <row r="161">
      <c r="C161" s="79"/>
      <c r="D161" s="79"/>
      <c r="E161" s="79"/>
      <c r="P161" s="79"/>
      <c r="Q161" s="79"/>
      <c r="R161" s="79"/>
      <c r="Y161" s="79"/>
      <c r="AC161" s="130"/>
      <c r="AE161" s="106"/>
    </row>
    <row r="162">
      <c r="C162" s="79"/>
      <c r="D162" s="79"/>
      <c r="E162" s="79"/>
      <c r="P162" s="79"/>
      <c r="Q162" s="79"/>
      <c r="R162" s="79"/>
      <c r="Y162" s="79"/>
      <c r="AC162" s="130"/>
      <c r="AE162" s="106"/>
    </row>
    <row r="163">
      <c r="C163" s="79"/>
      <c r="D163" s="79"/>
      <c r="E163" s="79"/>
      <c r="P163" s="79"/>
      <c r="Q163" s="79"/>
      <c r="R163" s="79"/>
      <c r="Y163" s="79"/>
      <c r="AC163" s="130"/>
      <c r="AE163" s="106"/>
    </row>
    <row r="164">
      <c r="C164" s="79"/>
      <c r="D164" s="79"/>
      <c r="E164" s="79"/>
      <c r="P164" s="79"/>
      <c r="Q164" s="79"/>
      <c r="R164" s="79"/>
      <c r="Y164" s="79"/>
      <c r="AC164" s="130"/>
      <c r="AE164" s="106"/>
    </row>
    <row r="165">
      <c r="C165" s="79"/>
      <c r="D165" s="79"/>
      <c r="E165" s="79"/>
      <c r="P165" s="79"/>
      <c r="Q165" s="79"/>
      <c r="R165" s="79"/>
      <c r="Y165" s="79"/>
      <c r="AC165" s="130"/>
      <c r="AE165" s="106"/>
    </row>
    <row r="166">
      <c r="C166" s="79"/>
      <c r="D166" s="79"/>
      <c r="E166" s="79"/>
      <c r="P166" s="79"/>
      <c r="Q166" s="79"/>
      <c r="R166" s="79"/>
      <c r="Y166" s="79"/>
      <c r="AC166" s="130"/>
      <c r="AE166" s="106"/>
    </row>
    <row r="167">
      <c r="C167" s="79"/>
      <c r="D167" s="79"/>
      <c r="E167" s="79"/>
      <c r="P167" s="79"/>
      <c r="Q167" s="79"/>
      <c r="R167" s="79"/>
      <c r="Y167" s="79"/>
      <c r="AC167" s="130"/>
      <c r="AE167" s="106"/>
    </row>
    <row r="168">
      <c r="C168" s="79"/>
      <c r="D168" s="79"/>
      <c r="E168" s="79"/>
      <c r="P168" s="79"/>
      <c r="Q168" s="79"/>
      <c r="R168" s="79"/>
      <c r="Y168" s="79"/>
      <c r="AC168" s="130"/>
      <c r="AE168" s="106"/>
    </row>
    <row r="169">
      <c r="C169" s="79"/>
      <c r="D169" s="79"/>
      <c r="E169" s="79"/>
      <c r="P169" s="79"/>
      <c r="Q169" s="79"/>
      <c r="R169" s="79"/>
      <c r="Y169" s="79"/>
      <c r="AC169" s="130"/>
      <c r="AE169" s="106"/>
    </row>
    <row r="170">
      <c r="C170" s="79"/>
      <c r="D170" s="79"/>
      <c r="E170" s="79"/>
      <c r="P170" s="79"/>
      <c r="Q170" s="79"/>
      <c r="R170" s="79"/>
      <c r="Y170" s="79"/>
      <c r="AC170" s="130"/>
      <c r="AE170" s="106"/>
    </row>
    <row r="171">
      <c r="C171" s="79"/>
      <c r="D171" s="79"/>
      <c r="E171" s="79"/>
      <c r="P171" s="79"/>
      <c r="Q171" s="79"/>
      <c r="R171" s="79"/>
      <c r="Y171" s="79"/>
      <c r="AC171" s="130"/>
      <c r="AE171" s="106"/>
    </row>
    <row r="172">
      <c r="C172" s="79"/>
      <c r="D172" s="79"/>
      <c r="E172" s="79"/>
      <c r="P172" s="79"/>
      <c r="Q172" s="79"/>
      <c r="R172" s="79"/>
      <c r="Y172" s="79"/>
      <c r="AC172" s="130"/>
      <c r="AE172" s="106"/>
    </row>
    <row r="173">
      <c r="C173" s="79"/>
      <c r="D173" s="79"/>
      <c r="E173" s="79"/>
      <c r="P173" s="79"/>
      <c r="Q173" s="79"/>
      <c r="R173" s="79"/>
      <c r="Y173" s="79"/>
      <c r="AC173" s="130"/>
      <c r="AE173" s="106"/>
    </row>
    <row r="174">
      <c r="C174" s="79"/>
      <c r="D174" s="79"/>
      <c r="E174" s="79"/>
      <c r="P174" s="79"/>
      <c r="Q174" s="79"/>
      <c r="R174" s="79"/>
      <c r="Y174" s="79"/>
      <c r="AC174" s="130"/>
      <c r="AE174" s="106"/>
    </row>
    <row r="175">
      <c r="C175" s="79"/>
      <c r="D175" s="79"/>
      <c r="E175" s="79"/>
      <c r="P175" s="79"/>
      <c r="Q175" s="79"/>
      <c r="R175" s="79"/>
      <c r="Y175" s="79"/>
      <c r="AC175" s="130"/>
      <c r="AE175" s="106"/>
    </row>
    <row r="176">
      <c r="C176" s="79"/>
      <c r="D176" s="79"/>
      <c r="E176" s="79"/>
      <c r="P176" s="79"/>
      <c r="Q176" s="79"/>
      <c r="R176" s="79"/>
      <c r="Y176" s="79"/>
      <c r="AC176" s="130"/>
      <c r="AE176" s="106"/>
    </row>
    <row r="177">
      <c r="C177" s="79"/>
      <c r="D177" s="79"/>
      <c r="E177" s="79"/>
      <c r="P177" s="79"/>
      <c r="Q177" s="79"/>
      <c r="R177" s="79"/>
      <c r="Y177" s="79"/>
      <c r="AC177" s="130"/>
      <c r="AE177" s="106"/>
    </row>
    <row r="178">
      <c r="C178" s="79"/>
      <c r="D178" s="79"/>
      <c r="E178" s="79"/>
      <c r="P178" s="79"/>
      <c r="Q178" s="79"/>
      <c r="R178" s="79"/>
      <c r="Y178" s="79"/>
      <c r="AC178" s="130"/>
      <c r="AE178" s="106"/>
    </row>
    <row r="179">
      <c r="C179" s="79"/>
      <c r="D179" s="79"/>
      <c r="E179" s="79"/>
      <c r="P179" s="79"/>
      <c r="Q179" s="79"/>
      <c r="R179" s="79"/>
      <c r="Y179" s="79"/>
      <c r="AC179" s="130"/>
      <c r="AE179" s="106"/>
    </row>
    <row r="180">
      <c r="C180" s="79"/>
      <c r="D180" s="79"/>
      <c r="E180" s="79"/>
      <c r="P180" s="79"/>
      <c r="Q180" s="79"/>
      <c r="R180" s="79"/>
      <c r="Y180" s="79"/>
      <c r="AC180" s="130"/>
      <c r="AE180" s="106"/>
    </row>
    <row r="181">
      <c r="C181" s="79"/>
      <c r="D181" s="79"/>
      <c r="E181" s="79"/>
      <c r="P181" s="79"/>
      <c r="Q181" s="79"/>
      <c r="R181" s="79"/>
      <c r="Y181" s="79"/>
      <c r="AC181" s="130"/>
      <c r="AE181" s="106"/>
    </row>
    <row r="182">
      <c r="C182" s="79"/>
      <c r="D182" s="79"/>
      <c r="E182" s="79"/>
      <c r="P182" s="79"/>
      <c r="Q182" s="79"/>
      <c r="R182" s="79"/>
      <c r="Y182" s="79"/>
      <c r="AC182" s="130"/>
      <c r="AE182" s="106"/>
    </row>
    <row r="183">
      <c r="C183" s="79"/>
      <c r="D183" s="79"/>
      <c r="E183" s="79"/>
      <c r="P183" s="79"/>
      <c r="Q183" s="79"/>
      <c r="R183" s="79"/>
      <c r="Y183" s="79"/>
      <c r="AC183" s="130"/>
      <c r="AE183" s="106"/>
    </row>
    <row r="184">
      <c r="C184" s="79"/>
      <c r="D184" s="79"/>
      <c r="E184" s="79"/>
      <c r="P184" s="79"/>
      <c r="Q184" s="79"/>
      <c r="R184" s="79"/>
      <c r="Y184" s="79"/>
      <c r="AC184" s="130"/>
      <c r="AE184" s="106"/>
    </row>
    <row r="185">
      <c r="C185" s="79"/>
      <c r="D185" s="79"/>
      <c r="E185" s="79"/>
      <c r="P185" s="79"/>
      <c r="Q185" s="79"/>
      <c r="R185" s="79"/>
      <c r="Y185" s="79"/>
      <c r="AC185" s="130"/>
      <c r="AE185" s="106"/>
    </row>
    <row r="186">
      <c r="C186" s="79"/>
      <c r="D186" s="79"/>
      <c r="E186" s="79"/>
      <c r="P186" s="79"/>
      <c r="Q186" s="79"/>
      <c r="R186" s="79"/>
      <c r="Y186" s="79"/>
      <c r="AC186" s="130"/>
      <c r="AE186" s="106"/>
    </row>
    <row r="187">
      <c r="C187" s="79"/>
      <c r="D187" s="79"/>
      <c r="E187" s="79"/>
      <c r="P187" s="79"/>
      <c r="Q187" s="79"/>
      <c r="R187" s="79"/>
      <c r="Y187" s="79"/>
      <c r="AC187" s="130"/>
      <c r="AE187" s="106"/>
    </row>
    <row r="188">
      <c r="C188" s="79"/>
      <c r="D188" s="79"/>
      <c r="E188" s="79"/>
      <c r="P188" s="79"/>
      <c r="Q188" s="79"/>
      <c r="R188" s="79"/>
      <c r="Y188" s="79"/>
      <c r="AC188" s="130"/>
      <c r="AE188" s="106"/>
    </row>
    <row r="189">
      <c r="C189" s="79"/>
      <c r="D189" s="79"/>
      <c r="E189" s="79"/>
      <c r="P189" s="79"/>
      <c r="Q189" s="79"/>
      <c r="R189" s="79"/>
      <c r="Y189" s="79"/>
      <c r="AC189" s="130"/>
      <c r="AE189" s="106"/>
    </row>
    <row r="190">
      <c r="C190" s="79"/>
      <c r="D190" s="79"/>
      <c r="E190" s="79"/>
      <c r="P190" s="79"/>
      <c r="Q190" s="79"/>
      <c r="R190" s="79"/>
      <c r="Y190" s="79"/>
      <c r="AC190" s="130"/>
      <c r="AE190" s="106"/>
    </row>
    <row r="191">
      <c r="C191" s="79"/>
      <c r="D191" s="79"/>
      <c r="E191" s="79"/>
      <c r="P191" s="79"/>
      <c r="Q191" s="79"/>
      <c r="R191" s="79"/>
      <c r="Y191" s="79"/>
      <c r="AC191" s="130"/>
      <c r="AE191" s="106"/>
    </row>
    <row r="192">
      <c r="C192" s="79"/>
      <c r="D192" s="79"/>
      <c r="E192" s="79"/>
      <c r="P192" s="79"/>
      <c r="Q192" s="79"/>
      <c r="R192" s="79"/>
      <c r="Y192" s="79"/>
      <c r="AC192" s="130"/>
      <c r="AE192" s="106"/>
    </row>
    <row r="193">
      <c r="C193" s="79"/>
      <c r="D193" s="79"/>
      <c r="E193" s="79"/>
      <c r="P193" s="79"/>
      <c r="Q193" s="79"/>
      <c r="R193" s="79"/>
      <c r="Y193" s="79"/>
      <c r="AC193" s="130"/>
      <c r="AE193" s="106"/>
    </row>
    <row r="194">
      <c r="C194" s="79"/>
      <c r="D194" s="79"/>
      <c r="E194" s="79"/>
      <c r="P194" s="79"/>
      <c r="Q194" s="79"/>
      <c r="R194" s="79"/>
      <c r="Y194" s="79"/>
      <c r="AC194" s="130"/>
      <c r="AE194" s="106"/>
    </row>
    <row r="195">
      <c r="C195" s="79"/>
      <c r="D195" s="79"/>
      <c r="E195" s="79"/>
      <c r="P195" s="79"/>
      <c r="Q195" s="79"/>
      <c r="R195" s="79"/>
      <c r="Y195" s="79"/>
      <c r="AC195" s="130"/>
      <c r="AE195" s="106"/>
    </row>
    <row r="196">
      <c r="C196" s="79"/>
      <c r="D196" s="79"/>
      <c r="E196" s="79"/>
      <c r="P196" s="79"/>
      <c r="Q196" s="79"/>
      <c r="R196" s="79"/>
      <c r="Y196" s="79"/>
      <c r="AC196" s="130"/>
      <c r="AE196" s="106"/>
    </row>
    <row r="197">
      <c r="C197" s="79"/>
      <c r="D197" s="79"/>
      <c r="E197" s="79"/>
      <c r="P197" s="79"/>
      <c r="Q197" s="79"/>
      <c r="R197" s="79"/>
      <c r="Y197" s="79"/>
      <c r="AC197" s="130"/>
      <c r="AE197" s="106"/>
    </row>
    <row r="198">
      <c r="C198" s="79"/>
      <c r="D198" s="79"/>
      <c r="E198" s="79"/>
      <c r="P198" s="79"/>
      <c r="Q198" s="79"/>
      <c r="R198" s="79"/>
      <c r="Y198" s="79"/>
      <c r="AC198" s="130"/>
      <c r="AE198" s="106"/>
    </row>
    <row r="199">
      <c r="C199" s="79"/>
      <c r="D199" s="79"/>
      <c r="E199" s="79"/>
      <c r="P199" s="79"/>
      <c r="Q199" s="79"/>
      <c r="R199" s="79"/>
      <c r="Y199" s="79"/>
      <c r="AC199" s="130"/>
      <c r="AE199" s="106"/>
    </row>
    <row r="200">
      <c r="C200" s="79"/>
      <c r="D200" s="79"/>
      <c r="E200" s="79"/>
      <c r="P200" s="79"/>
      <c r="Q200" s="79"/>
      <c r="R200" s="79"/>
      <c r="Y200" s="79"/>
      <c r="AC200" s="130"/>
      <c r="AE200" s="106"/>
    </row>
    <row r="201">
      <c r="C201" s="79"/>
      <c r="D201" s="79"/>
      <c r="E201" s="79"/>
      <c r="P201" s="79"/>
      <c r="Q201" s="79"/>
      <c r="R201" s="79"/>
      <c r="Y201" s="79"/>
      <c r="AC201" s="130"/>
      <c r="AE201" s="106"/>
    </row>
    <row r="202">
      <c r="C202" s="79"/>
      <c r="D202" s="79"/>
      <c r="E202" s="79"/>
      <c r="P202" s="79"/>
      <c r="Q202" s="79"/>
      <c r="R202" s="79"/>
      <c r="Y202" s="79"/>
      <c r="AC202" s="130"/>
      <c r="AE202" s="106"/>
    </row>
    <row r="203">
      <c r="C203" s="79"/>
      <c r="D203" s="79"/>
      <c r="E203" s="79"/>
      <c r="P203" s="79"/>
      <c r="Q203" s="79"/>
      <c r="R203" s="79"/>
      <c r="Y203" s="79"/>
      <c r="AC203" s="130"/>
      <c r="AE203" s="106"/>
    </row>
    <row r="204">
      <c r="C204" s="79"/>
      <c r="D204" s="79"/>
      <c r="E204" s="79"/>
      <c r="P204" s="79"/>
      <c r="Q204" s="79"/>
      <c r="R204" s="79"/>
      <c r="Y204" s="79"/>
      <c r="AC204" s="130"/>
      <c r="AE204" s="106"/>
    </row>
    <row r="205">
      <c r="C205" s="79"/>
      <c r="D205" s="79"/>
      <c r="E205" s="79"/>
      <c r="P205" s="79"/>
      <c r="Q205" s="79"/>
      <c r="R205" s="79"/>
      <c r="Y205" s="79"/>
      <c r="AC205" s="130"/>
      <c r="AE205" s="106"/>
    </row>
    <row r="206">
      <c r="C206" s="79"/>
      <c r="D206" s="79"/>
      <c r="E206" s="79"/>
      <c r="P206" s="79"/>
      <c r="Q206" s="79"/>
      <c r="R206" s="79"/>
      <c r="Y206" s="79"/>
      <c r="AC206" s="130"/>
      <c r="AE206" s="106"/>
    </row>
    <row r="207">
      <c r="C207" s="79"/>
      <c r="D207" s="79"/>
      <c r="E207" s="79"/>
      <c r="P207" s="79"/>
      <c r="Q207" s="79"/>
      <c r="R207" s="79"/>
      <c r="Y207" s="79"/>
      <c r="AC207" s="130"/>
      <c r="AE207" s="106"/>
    </row>
    <row r="208">
      <c r="C208" s="79"/>
      <c r="D208" s="79"/>
      <c r="E208" s="79"/>
      <c r="P208" s="79"/>
      <c r="Q208" s="79"/>
      <c r="R208" s="79"/>
      <c r="Y208" s="79"/>
      <c r="AC208" s="130"/>
      <c r="AE208" s="106"/>
    </row>
    <row r="209">
      <c r="C209" s="79"/>
      <c r="D209" s="79"/>
      <c r="E209" s="79"/>
      <c r="P209" s="79"/>
      <c r="Q209" s="79"/>
      <c r="R209" s="79"/>
      <c r="Y209" s="79"/>
      <c r="AC209" s="130"/>
      <c r="AE209" s="106"/>
    </row>
    <row r="210">
      <c r="C210" s="79"/>
      <c r="D210" s="79"/>
      <c r="E210" s="79"/>
      <c r="P210" s="79"/>
      <c r="Q210" s="79"/>
      <c r="R210" s="79"/>
      <c r="Y210" s="79"/>
      <c r="AC210" s="130"/>
      <c r="AE210" s="106"/>
    </row>
    <row r="211">
      <c r="C211" s="79"/>
      <c r="D211" s="79"/>
      <c r="E211" s="79"/>
      <c r="P211" s="79"/>
      <c r="Q211" s="79"/>
      <c r="R211" s="79"/>
      <c r="Y211" s="79"/>
      <c r="AC211" s="130"/>
      <c r="AE211" s="106"/>
    </row>
    <row r="212">
      <c r="C212" s="79"/>
      <c r="D212" s="79"/>
      <c r="E212" s="79"/>
      <c r="P212" s="79"/>
      <c r="Q212" s="79"/>
      <c r="R212" s="79"/>
      <c r="Y212" s="79"/>
      <c r="AC212" s="130"/>
      <c r="AE212" s="106"/>
    </row>
    <row r="213">
      <c r="C213" s="79"/>
      <c r="D213" s="79"/>
      <c r="E213" s="79"/>
      <c r="P213" s="79"/>
      <c r="Q213" s="79"/>
      <c r="R213" s="79"/>
      <c r="Y213" s="79"/>
      <c r="AC213" s="130"/>
      <c r="AE213" s="106"/>
    </row>
    <row r="214">
      <c r="C214" s="79"/>
      <c r="D214" s="79"/>
      <c r="E214" s="79"/>
      <c r="P214" s="79"/>
      <c r="Q214" s="79"/>
      <c r="R214" s="79"/>
      <c r="Y214" s="79"/>
      <c r="AC214" s="130"/>
      <c r="AE214" s="106"/>
    </row>
    <row r="215">
      <c r="C215" s="79"/>
      <c r="D215" s="79"/>
      <c r="E215" s="79"/>
      <c r="P215" s="79"/>
      <c r="Q215" s="79"/>
      <c r="R215" s="79"/>
      <c r="Y215" s="79"/>
      <c r="AC215" s="130"/>
      <c r="AE215" s="106"/>
    </row>
    <row r="216">
      <c r="C216" s="79"/>
      <c r="D216" s="79"/>
      <c r="E216" s="79"/>
      <c r="P216" s="79"/>
      <c r="Q216" s="79"/>
      <c r="R216" s="79"/>
      <c r="Y216" s="79"/>
      <c r="AC216" s="130"/>
      <c r="AE216" s="106"/>
    </row>
    <row r="217">
      <c r="C217" s="79"/>
      <c r="D217" s="79"/>
      <c r="E217" s="79"/>
      <c r="P217" s="79"/>
      <c r="Q217" s="79"/>
      <c r="R217" s="79"/>
      <c r="Y217" s="79"/>
      <c r="AC217" s="130"/>
      <c r="AE217" s="106"/>
    </row>
    <row r="218">
      <c r="C218" s="79"/>
      <c r="D218" s="79"/>
      <c r="E218" s="79"/>
      <c r="P218" s="79"/>
      <c r="Q218" s="79"/>
      <c r="R218" s="79"/>
      <c r="Y218" s="79"/>
      <c r="AC218" s="130"/>
      <c r="AE218" s="106"/>
    </row>
    <row r="219">
      <c r="C219" s="79"/>
      <c r="D219" s="79"/>
      <c r="E219" s="79"/>
      <c r="P219" s="79"/>
      <c r="Q219" s="79"/>
      <c r="R219" s="79"/>
      <c r="Y219" s="79"/>
      <c r="AC219" s="130"/>
      <c r="AE219" s="106"/>
    </row>
    <row r="220">
      <c r="C220" s="79"/>
      <c r="D220" s="79"/>
      <c r="E220" s="79"/>
      <c r="P220" s="79"/>
      <c r="Q220" s="79"/>
      <c r="R220" s="79"/>
      <c r="Y220" s="79"/>
      <c r="AC220" s="130"/>
      <c r="AE220" s="106"/>
    </row>
    <row r="221">
      <c r="C221" s="79"/>
      <c r="D221" s="79"/>
      <c r="E221" s="79"/>
      <c r="P221" s="79"/>
      <c r="Q221" s="79"/>
      <c r="R221" s="79"/>
      <c r="Y221" s="79"/>
      <c r="AC221" s="130"/>
      <c r="AE221" s="106"/>
    </row>
    <row r="222">
      <c r="C222" s="79"/>
      <c r="D222" s="79"/>
      <c r="E222" s="79"/>
      <c r="P222" s="79"/>
      <c r="Q222" s="79"/>
      <c r="R222" s="79"/>
      <c r="Y222" s="79"/>
      <c r="AC222" s="130"/>
      <c r="AE222" s="106"/>
    </row>
    <row r="223">
      <c r="C223" s="79"/>
      <c r="D223" s="79"/>
      <c r="E223" s="79"/>
      <c r="P223" s="79"/>
      <c r="Q223" s="79"/>
      <c r="R223" s="79"/>
      <c r="Y223" s="79"/>
      <c r="AC223" s="130"/>
      <c r="AE223" s="106"/>
    </row>
    <row r="224">
      <c r="C224" s="79"/>
      <c r="D224" s="79"/>
      <c r="E224" s="79"/>
      <c r="P224" s="79"/>
      <c r="Q224" s="79"/>
      <c r="R224" s="79"/>
      <c r="Y224" s="79"/>
      <c r="AC224" s="130"/>
      <c r="AE224" s="106"/>
    </row>
    <row r="225">
      <c r="C225" s="79"/>
      <c r="D225" s="79"/>
      <c r="E225" s="79"/>
      <c r="P225" s="79"/>
      <c r="Q225" s="79"/>
      <c r="R225" s="79"/>
      <c r="Y225" s="79"/>
      <c r="AC225" s="130"/>
      <c r="AE225" s="106"/>
    </row>
    <row r="226">
      <c r="C226" s="79"/>
      <c r="D226" s="79"/>
      <c r="E226" s="79"/>
      <c r="P226" s="79"/>
      <c r="Q226" s="79"/>
      <c r="R226" s="79"/>
      <c r="Y226" s="79"/>
      <c r="AC226" s="130"/>
      <c r="AE226" s="106"/>
    </row>
    <row r="227">
      <c r="C227" s="79"/>
      <c r="D227" s="79"/>
      <c r="E227" s="79"/>
      <c r="P227" s="79"/>
      <c r="Q227" s="79"/>
      <c r="R227" s="79"/>
      <c r="Y227" s="79"/>
      <c r="AC227" s="130"/>
      <c r="AE227" s="106"/>
    </row>
    <row r="228">
      <c r="C228" s="79"/>
      <c r="D228" s="79"/>
      <c r="E228" s="79"/>
      <c r="P228" s="79"/>
      <c r="Q228" s="79"/>
      <c r="R228" s="79"/>
      <c r="Y228" s="79"/>
      <c r="AC228" s="130"/>
      <c r="AE228" s="106"/>
    </row>
    <row r="229">
      <c r="C229" s="79"/>
      <c r="D229" s="79"/>
      <c r="E229" s="79"/>
      <c r="P229" s="79"/>
      <c r="Q229" s="79"/>
      <c r="R229" s="79"/>
      <c r="Y229" s="79"/>
      <c r="AC229" s="130"/>
      <c r="AE229" s="106"/>
    </row>
    <row r="230">
      <c r="C230" s="79"/>
      <c r="D230" s="79"/>
      <c r="E230" s="79"/>
      <c r="P230" s="79"/>
      <c r="Q230" s="79"/>
      <c r="R230" s="79"/>
      <c r="Y230" s="79"/>
      <c r="AC230" s="130"/>
      <c r="AE230" s="106"/>
    </row>
    <row r="231">
      <c r="C231" s="79"/>
      <c r="D231" s="79"/>
      <c r="E231" s="79"/>
      <c r="P231" s="79"/>
      <c r="Q231" s="79"/>
      <c r="R231" s="79"/>
      <c r="Y231" s="79"/>
      <c r="AC231" s="130"/>
      <c r="AE231" s="106"/>
    </row>
    <row r="232">
      <c r="C232" s="79"/>
      <c r="D232" s="79"/>
      <c r="E232" s="79"/>
      <c r="P232" s="79"/>
      <c r="Q232" s="79"/>
      <c r="R232" s="79"/>
      <c r="Y232" s="79"/>
      <c r="AC232" s="130"/>
      <c r="AE232" s="106"/>
    </row>
    <row r="233">
      <c r="C233" s="79"/>
      <c r="D233" s="79"/>
      <c r="E233" s="79"/>
      <c r="P233" s="79"/>
      <c r="Q233" s="79"/>
      <c r="R233" s="79"/>
      <c r="Y233" s="79"/>
      <c r="AC233" s="130"/>
      <c r="AE233" s="106"/>
    </row>
    <row r="234">
      <c r="C234" s="79"/>
      <c r="D234" s="79"/>
      <c r="E234" s="79"/>
      <c r="P234" s="79"/>
      <c r="Q234" s="79"/>
      <c r="R234" s="79"/>
      <c r="Y234" s="79"/>
      <c r="AC234" s="130"/>
      <c r="AE234" s="106"/>
    </row>
    <row r="235">
      <c r="C235" s="79"/>
      <c r="D235" s="79"/>
      <c r="E235" s="79"/>
      <c r="P235" s="79"/>
      <c r="Q235" s="79"/>
      <c r="R235" s="79"/>
      <c r="Y235" s="79"/>
      <c r="AC235" s="130"/>
      <c r="AE235" s="106"/>
    </row>
    <row r="236">
      <c r="C236" s="79"/>
      <c r="D236" s="79"/>
      <c r="E236" s="79"/>
      <c r="P236" s="79"/>
      <c r="Q236" s="79"/>
      <c r="R236" s="79"/>
      <c r="Y236" s="79"/>
      <c r="AC236" s="130"/>
      <c r="AE236" s="106"/>
    </row>
    <row r="237">
      <c r="C237" s="79"/>
      <c r="D237" s="79"/>
      <c r="E237" s="79"/>
      <c r="P237" s="79"/>
      <c r="Q237" s="79"/>
      <c r="R237" s="79"/>
      <c r="Y237" s="79"/>
      <c r="AC237" s="130"/>
      <c r="AE237" s="106"/>
    </row>
    <row r="238">
      <c r="C238" s="79"/>
      <c r="D238" s="79"/>
      <c r="E238" s="79"/>
      <c r="P238" s="79"/>
      <c r="Q238" s="79"/>
      <c r="R238" s="79"/>
      <c r="Y238" s="79"/>
      <c r="AC238" s="130"/>
      <c r="AE238" s="106"/>
    </row>
    <row r="239">
      <c r="C239" s="79"/>
      <c r="D239" s="79"/>
      <c r="E239" s="79"/>
      <c r="P239" s="79"/>
      <c r="Q239" s="79"/>
      <c r="R239" s="79"/>
      <c r="Y239" s="79"/>
      <c r="AC239" s="130"/>
      <c r="AE239" s="106"/>
    </row>
    <row r="240">
      <c r="C240" s="79"/>
      <c r="D240" s="79"/>
      <c r="E240" s="79"/>
      <c r="P240" s="79"/>
      <c r="Q240" s="79"/>
      <c r="R240" s="79"/>
      <c r="Y240" s="79"/>
      <c r="AC240" s="130"/>
      <c r="AE240" s="106"/>
    </row>
    <row r="241">
      <c r="C241" s="79"/>
      <c r="D241" s="79"/>
      <c r="E241" s="79"/>
      <c r="P241" s="79"/>
      <c r="Q241" s="79"/>
      <c r="R241" s="79"/>
      <c r="Y241" s="79"/>
      <c r="AC241" s="130"/>
      <c r="AE241" s="106"/>
    </row>
    <row r="242">
      <c r="C242" s="79"/>
      <c r="D242" s="79"/>
      <c r="E242" s="79"/>
      <c r="P242" s="79"/>
      <c r="Q242" s="79"/>
      <c r="R242" s="79"/>
      <c r="Y242" s="79"/>
      <c r="AC242" s="130"/>
      <c r="AE242" s="106"/>
    </row>
    <row r="243">
      <c r="C243" s="79"/>
      <c r="D243" s="79"/>
      <c r="E243" s="79"/>
      <c r="P243" s="79"/>
      <c r="Q243" s="79"/>
      <c r="R243" s="79"/>
      <c r="Y243" s="79"/>
      <c r="AC243" s="130"/>
      <c r="AE243" s="106"/>
    </row>
    <row r="244">
      <c r="C244" s="79"/>
      <c r="D244" s="79"/>
      <c r="E244" s="79"/>
      <c r="P244" s="79"/>
      <c r="Q244" s="79"/>
      <c r="R244" s="79"/>
      <c r="Y244" s="79"/>
      <c r="AC244" s="130"/>
      <c r="AE244" s="106"/>
    </row>
    <row r="245">
      <c r="C245" s="79"/>
      <c r="D245" s="79"/>
      <c r="E245" s="79"/>
      <c r="P245" s="79"/>
      <c r="Q245" s="79"/>
      <c r="R245" s="79"/>
      <c r="Y245" s="79"/>
      <c r="AC245" s="130"/>
      <c r="AE245" s="106"/>
    </row>
    <row r="246">
      <c r="C246" s="79"/>
      <c r="D246" s="79"/>
      <c r="E246" s="79"/>
      <c r="P246" s="79"/>
      <c r="Q246" s="79"/>
      <c r="R246" s="79"/>
      <c r="Y246" s="79"/>
      <c r="AC246" s="130"/>
      <c r="AE246" s="106"/>
    </row>
    <row r="247">
      <c r="C247" s="79"/>
      <c r="D247" s="79"/>
      <c r="E247" s="79"/>
      <c r="P247" s="79"/>
      <c r="Q247" s="79"/>
      <c r="R247" s="79"/>
      <c r="Y247" s="79"/>
      <c r="AC247" s="130"/>
      <c r="AE247" s="106"/>
    </row>
    <row r="248">
      <c r="C248" s="79"/>
      <c r="D248" s="79"/>
      <c r="E248" s="79"/>
      <c r="P248" s="79"/>
      <c r="Q248" s="79"/>
      <c r="R248" s="79"/>
      <c r="Y248" s="79"/>
      <c r="AC248" s="130"/>
      <c r="AE248" s="106"/>
    </row>
    <row r="249">
      <c r="C249" s="79"/>
      <c r="D249" s="79"/>
      <c r="E249" s="79"/>
      <c r="P249" s="79"/>
      <c r="Q249" s="79"/>
      <c r="R249" s="79"/>
      <c r="Y249" s="79"/>
      <c r="AC249" s="130"/>
      <c r="AE249" s="106"/>
    </row>
    <row r="250">
      <c r="C250" s="79"/>
      <c r="D250" s="79"/>
      <c r="E250" s="79"/>
      <c r="P250" s="79"/>
      <c r="Q250" s="79"/>
      <c r="R250" s="79"/>
      <c r="Y250" s="79"/>
      <c r="AC250" s="130"/>
      <c r="AE250" s="106"/>
    </row>
    <row r="251">
      <c r="C251" s="79"/>
      <c r="D251" s="79"/>
      <c r="E251" s="79"/>
      <c r="P251" s="79"/>
      <c r="Q251" s="79"/>
      <c r="R251" s="79"/>
      <c r="Y251" s="79"/>
      <c r="AC251" s="130"/>
      <c r="AE251" s="106"/>
    </row>
    <row r="252">
      <c r="C252" s="79"/>
      <c r="D252" s="79"/>
      <c r="E252" s="79"/>
      <c r="P252" s="79"/>
      <c r="Q252" s="79"/>
      <c r="R252" s="79"/>
      <c r="Y252" s="79"/>
      <c r="AC252" s="130"/>
      <c r="AE252" s="106"/>
    </row>
    <row r="253">
      <c r="C253" s="79"/>
      <c r="D253" s="79"/>
      <c r="E253" s="79"/>
      <c r="P253" s="79"/>
      <c r="Q253" s="79"/>
      <c r="R253" s="79"/>
      <c r="Y253" s="79"/>
      <c r="AC253" s="130"/>
      <c r="AE253" s="106"/>
    </row>
    <row r="254">
      <c r="C254" s="79"/>
      <c r="D254" s="79"/>
      <c r="E254" s="79"/>
      <c r="P254" s="79"/>
      <c r="Q254" s="79"/>
      <c r="R254" s="79"/>
      <c r="Y254" s="79"/>
      <c r="AC254" s="130"/>
      <c r="AE254" s="106"/>
    </row>
    <row r="255">
      <c r="C255" s="79"/>
      <c r="D255" s="79"/>
      <c r="E255" s="79"/>
      <c r="P255" s="79"/>
      <c r="Q255" s="79"/>
      <c r="R255" s="79"/>
      <c r="Y255" s="79"/>
      <c r="AC255" s="130"/>
      <c r="AE255" s="106"/>
    </row>
    <row r="256">
      <c r="C256" s="79"/>
      <c r="D256" s="79"/>
      <c r="E256" s="79"/>
      <c r="P256" s="79"/>
      <c r="Q256" s="79"/>
      <c r="R256" s="79"/>
      <c r="Y256" s="79"/>
      <c r="AC256" s="130"/>
      <c r="AE256" s="106"/>
    </row>
    <row r="257">
      <c r="C257" s="79"/>
      <c r="D257" s="79"/>
      <c r="E257" s="79"/>
      <c r="P257" s="79"/>
      <c r="Q257" s="79"/>
      <c r="R257" s="79"/>
      <c r="Y257" s="79"/>
      <c r="AC257" s="130"/>
      <c r="AE257" s="106"/>
    </row>
    <row r="258">
      <c r="C258" s="79"/>
      <c r="D258" s="79"/>
      <c r="E258" s="79"/>
      <c r="P258" s="79"/>
      <c r="Q258" s="79"/>
      <c r="R258" s="79"/>
      <c r="Y258" s="79"/>
      <c r="AC258" s="130"/>
      <c r="AE258" s="106"/>
    </row>
    <row r="259">
      <c r="C259" s="79"/>
      <c r="D259" s="79"/>
      <c r="E259" s="79"/>
      <c r="P259" s="79"/>
      <c r="Q259" s="79"/>
      <c r="R259" s="79"/>
      <c r="Y259" s="79"/>
      <c r="AC259" s="130"/>
      <c r="AE259" s="106"/>
    </row>
    <row r="260">
      <c r="C260" s="79"/>
      <c r="D260" s="79"/>
      <c r="E260" s="79"/>
      <c r="P260" s="79"/>
      <c r="Q260" s="79"/>
      <c r="R260" s="79"/>
      <c r="Y260" s="79"/>
      <c r="AC260" s="130"/>
      <c r="AE260" s="106"/>
    </row>
    <row r="261">
      <c r="C261" s="79"/>
      <c r="D261" s="79"/>
      <c r="E261" s="79"/>
      <c r="P261" s="79"/>
      <c r="Q261" s="79"/>
      <c r="R261" s="79"/>
      <c r="Y261" s="79"/>
      <c r="AC261" s="130"/>
      <c r="AE261" s="106"/>
    </row>
    <row r="262">
      <c r="C262" s="79"/>
      <c r="D262" s="79"/>
      <c r="E262" s="79"/>
      <c r="P262" s="79"/>
      <c r="Q262" s="79"/>
      <c r="R262" s="79"/>
      <c r="Y262" s="79"/>
      <c r="AC262" s="130"/>
      <c r="AE262" s="106"/>
    </row>
    <row r="263">
      <c r="C263" s="79"/>
      <c r="D263" s="79"/>
      <c r="E263" s="79"/>
      <c r="P263" s="79"/>
      <c r="Q263" s="79"/>
      <c r="R263" s="79"/>
      <c r="Y263" s="79"/>
      <c r="AC263" s="130"/>
      <c r="AE263" s="106"/>
    </row>
    <row r="264">
      <c r="C264" s="79"/>
      <c r="D264" s="79"/>
      <c r="E264" s="79"/>
      <c r="P264" s="79"/>
      <c r="Q264" s="79"/>
      <c r="R264" s="79"/>
      <c r="Y264" s="79"/>
      <c r="AC264" s="130"/>
      <c r="AE264" s="106"/>
    </row>
    <row r="265">
      <c r="C265" s="79"/>
      <c r="D265" s="79"/>
      <c r="E265" s="79"/>
      <c r="P265" s="79"/>
      <c r="Q265" s="79"/>
      <c r="R265" s="79"/>
      <c r="Y265" s="79"/>
      <c r="AC265" s="130"/>
      <c r="AE265" s="106"/>
    </row>
    <row r="266">
      <c r="C266" s="79"/>
      <c r="D266" s="79"/>
      <c r="E266" s="79"/>
      <c r="P266" s="79"/>
      <c r="Q266" s="79"/>
      <c r="R266" s="79"/>
      <c r="Y266" s="79"/>
      <c r="AC266" s="130"/>
      <c r="AE266" s="106"/>
    </row>
    <row r="267">
      <c r="C267" s="79"/>
      <c r="D267" s="79"/>
      <c r="E267" s="79"/>
      <c r="P267" s="79"/>
      <c r="Q267" s="79"/>
      <c r="R267" s="79"/>
      <c r="Y267" s="79"/>
      <c r="AC267" s="130"/>
      <c r="AE267" s="106"/>
    </row>
    <row r="268">
      <c r="C268" s="79"/>
      <c r="D268" s="79"/>
      <c r="E268" s="79"/>
      <c r="P268" s="79"/>
      <c r="Q268" s="79"/>
      <c r="R268" s="79"/>
      <c r="Y268" s="79"/>
      <c r="AC268" s="130"/>
      <c r="AE268" s="106"/>
    </row>
    <row r="269">
      <c r="C269" s="79"/>
      <c r="D269" s="79"/>
      <c r="E269" s="79"/>
      <c r="P269" s="79"/>
      <c r="Q269" s="79"/>
      <c r="R269" s="79"/>
      <c r="Y269" s="79"/>
      <c r="AC269" s="130"/>
      <c r="AE269" s="106"/>
    </row>
    <row r="270">
      <c r="C270" s="79"/>
      <c r="D270" s="79"/>
      <c r="E270" s="79"/>
      <c r="P270" s="79"/>
      <c r="Q270" s="79"/>
      <c r="R270" s="79"/>
      <c r="Y270" s="79"/>
      <c r="AC270" s="130"/>
      <c r="AE270" s="106"/>
    </row>
    <row r="271">
      <c r="C271" s="79"/>
      <c r="D271" s="79"/>
      <c r="E271" s="79"/>
      <c r="P271" s="79"/>
      <c r="Q271" s="79"/>
      <c r="R271" s="79"/>
      <c r="Y271" s="79"/>
      <c r="AC271" s="130"/>
      <c r="AE271" s="106"/>
    </row>
    <row r="272">
      <c r="C272" s="79"/>
      <c r="D272" s="79"/>
      <c r="E272" s="79"/>
      <c r="P272" s="79"/>
      <c r="Q272" s="79"/>
      <c r="R272" s="79"/>
      <c r="Y272" s="79"/>
      <c r="AC272" s="130"/>
      <c r="AE272" s="106"/>
    </row>
    <row r="273">
      <c r="C273" s="79"/>
      <c r="D273" s="79"/>
      <c r="E273" s="79"/>
      <c r="P273" s="79"/>
      <c r="Q273" s="79"/>
      <c r="R273" s="79"/>
      <c r="Y273" s="79"/>
      <c r="AC273" s="130"/>
      <c r="AE273" s="106"/>
    </row>
    <row r="274">
      <c r="C274" s="79"/>
      <c r="D274" s="79"/>
      <c r="E274" s="79"/>
      <c r="P274" s="79"/>
      <c r="Q274" s="79"/>
      <c r="R274" s="79"/>
      <c r="Y274" s="79"/>
      <c r="AC274" s="130"/>
      <c r="AE274" s="106"/>
    </row>
    <row r="275">
      <c r="C275" s="79"/>
      <c r="D275" s="79"/>
      <c r="E275" s="79"/>
      <c r="P275" s="79"/>
      <c r="Q275" s="79"/>
      <c r="R275" s="79"/>
      <c r="Y275" s="79"/>
      <c r="AC275" s="130"/>
      <c r="AE275" s="106"/>
    </row>
    <row r="276">
      <c r="C276" s="79"/>
      <c r="D276" s="79"/>
      <c r="E276" s="79"/>
      <c r="P276" s="79"/>
      <c r="Q276" s="79"/>
      <c r="R276" s="79"/>
      <c r="Y276" s="79"/>
      <c r="AC276" s="130"/>
      <c r="AE276" s="106"/>
    </row>
    <row r="277">
      <c r="C277" s="79"/>
      <c r="D277" s="79"/>
      <c r="E277" s="79"/>
      <c r="P277" s="79"/>
      <c r="Q277" s="79"/>
      <c r="R277" s="79"/>
      <c r="Y277" s="79"/>
      <c r="AC277" s="130"/>
      <c r="AE277" s="106"/>
    </row>
    <row r="278">
      <c r="C278" s="79"/>
      <c r="D278" s="79"/>
      <c r="E278" s="79"/>
      <c r="P278" s="79"/>
      <c r="Q278" s="79"/>
      <c r="R278" s="79"/>
      <c r="Y278" s="79"/>
      <c r="AC278" s="130"/>
      <c r="AE278" s="106"/>
    </row>
    <row r="279">
      <c r="C279" s="79"/>
      <c r="D279" s="79"/>
      <c r="E279" s="79"/>
      <c r="P279" s="79"/>
      <c r="Q279" s="79"/>
      <c r="R279" s="79"/>
      <c r="Y279" s="79"/>
      <c r="AC279" s="130"/>
      <c r="AE279" s="106"/>
    </row>
    <row r="280">
      <c r="C280" s="79"/>
      <c r="D280" s="79"/>
      <c r="E280" s="79"/>
      <c r="P280" s="79"/>
      <c r="Q280" s="79"/>
      <c r="R280" s="79"/>
      <c r="Y280" s="79"/>
      <c r="AC280" s="130"/>
      <c r="AE280" s="106"/>
    </row>
    <row r="281">
      <c r="C281" s="79"/>
      <c r="D281" s="79"/>
      <c r="E281" s="79"/>
      <c r="P281" s="79"/>
      <c r="Q281" s="79"/>
      <c r="R281" s="79"/>
      <c r="Y281" s="79"/>
      <c r="AC281" s="130"/>
      <c r="AE281" s="106"/>
    </row>
    <row r="282">
      <c r="C282" s="79"/>
      <c r="D282" s="79"/>
      <c r="E282" s="79"/>
      <c r="P282" s="79"/>
      <c r="Q282" s="79"/>
      <c r="R282" s="79"/>
      <c r="Y282" s="79"/>
      <c r="AC282" s="130"/>
      <c r="AE282" s="106"/>
    </row>
    <row r="283">
      <c r="C283" s="79"/>
      <c r="D283" s="79"/>
      <c r="E283" s="79"/>
      <c r="P283" s="79"/>
      <c r="Q283" s="79"/>
      <c r="R283" s="79"/>
      <c r="Y283" s="79"/>
      <c r="AC283" s="130"/>
      <c r="AE283" s="106"/>
    </row>
    <row r="284">
      <c r="C284" s="79"/>
      <c r="D284" s="79"/>
      <c r="E284" s="79"/>
      <c r="P284" s="79"/>
      <c r="Q284" s="79"/>
      <c r="R284" s="79"/>
      <c r="Y284" s="79"/>
      <c r="AC284" s="130"/>
      <c r="AE284" s="106"/>
    </row>
    <row r="285">
      <c r="C285" s="79"/>
      <c r="D285" s="79"/>
      <c r="E285" s="79"/>
      <c r="P285" s="79"/>
      <c r="Q285" s="79"/>
      <c r="R285" s="79"/>
      <c r="Y285" s="79"/>
      <c r="AC285" s="130"/>
      <c r="AE285" s="106"/>
    </row>
    <row r="286">
      <c r="C286" s="79"/>
      <c r="D286" s="79"/>
      <c r="E286" s="79"/>
      <c r="P286" s="79"/>
      <c r="Q286" s="79"/>
      <c r="R286" s="79"/>
      <c r="Y286" s="79"/>
      <c r="AC286" s="130"/>
      <c r="AE286" s="106"/>
    </row>
    <row r="287">
      <c r="C287" s="79"/>
      <c r="D287" s="79"/>
      <c r="E287" s="79"/>
      <c r="P287" s="79"/>
      <c r="Q287" s="79"/>
      <c r="R287" s="79"/>
      <c r="Y287" s="79"/>
      <c r="AC287" s="130"/>
      <c r="AE287" s="106"/>
    </row>
    <row r="288">
      <c r="C288" s="79"/>
      <c r="D288" s="79"/>
      <c r="E288" s="79"/>
      <c r="P288" s="79"/>
      <c r="Q288" s="79"/>
      <c r="R288" s="79"/>
      <c r="Y288" s="79"/>
      <c r="AC288" s="130"/>
      <c r="AE288" s="106"/>
    </row>
    <row r="289">
      <c r="C289" s="79"/>
      <c r="D289" s="79"/>
      <c r="E289" s="79"/>
      <c r="P289" s="79"/>
      <c r="Q289" s="79"/>
      <c r="R289" s="79"/>
      <c r="Y289" s="79"/>
      <c r="AC289" s="130"/>
      <c r="AE289" s="106"/>
    </row>
    <row r="290">
      <c r="C290" s="79"/>
      <c r="D290" s="79"/>
      <c r="E290" s="79"/>
      <c r="P290" s="79"/>
      <c r="Q290" s="79"/>
      <c r="R290" s="79"/>
      <c r="Y290" s="79"/>
      <c r="AC290" s="130"/>
      <c r="AE290" s="106"/>
    </row>
    <row r="291">
      <c r="C291" s="79"/>
      <c r="D291" s="79"/>
      <c r="E291" s="79"/>
      <c r="P291" s="79"/>
      <c r="Q291" s="79"/>
      <c r="R291" s="79"/>
      <c r="Y291" s="79"/>
      <c r="AC291" s="130"/>
      <c r="AE291" s="106"/>
    </row>
    <row r="292">
      <c r="C292" s="79"/>
      <c r="D292" s="79"/>
      <c r="E292" s="79"/>
      <c r="P292" s="79"/>
      <c r="Q292" s="79"/>
      <c r="R292" s="79"/>
      <c r="Y292" s="79"/>
      <c r="AC292" s="130"/>
      <c r="AE292" s="106"/>
    </row>
    <row r="293">
      <c r="C293" s="79"/>
      <c r="D293" s="79"/>
      <c r="E293" s="79"/>
      <c r="P293" s="79"/>
      <c r="Q293" s="79"/>
      <c r="R293" s="79"/>
      <c r="Y293" s="79"/>
      <c r="AC293" s="130"/>
      <c r="AE293" s="106"/>
    </row>
    <row r="294">
      <c r="C294" s="79"/>
      <c r="D294" s="79"/>
      <c r="E294" s="79"/>
      <c r="P294" s="79"/>
      <c r="Q294" s="79"/>
      <c r="R294" s="79"/>
      <c r="Y294" s="79"/>
      <c r="AC294" s="130"/>
      <c r="AE294" s="106"/>
    </row>
    <row r="295">
      <c r="C295" s="79"/>
      <c r="D295" s="79"/>
      <c r="E295" s="79"/>
      <c r="P295" s="79"/>
      <c r="Q295" s="79"/>
      <c r="R295" s="79"/>
      <c r="Y295" s="79"/>
      <c r="AC295" s="130"/>
      <c r="AE295" s="106"/>
    </row>
    <row r="296">
      <c r="C296" s="79"/>
      <c r="D296" s="79"/>
      <c r="E296" s="79"/>
      <c r="P296" s="79"/>
      <c r="Q296" s="79"/>
      <c r="R296" s="79"/>
      <c r="Y296" s="79"/>
      <c r="AC296" s="130"/>
      <c r="AE296" s="106"/>
    </row>
    <row r="297">
      <c r="C297" s="79"/>
      <c r="D297" s="79"/>
      <c r="E297" s="79"/>
      <c r="P297" s="79"/>
      <c r="Q297" s="79"/>
      <c r="R297" s="79"/>
      <c r="Y297" s="79"/>
      <c r="AC297" s="130"/>
      <c r="AE297" s="106"/>
    </row>
    <row r="298">
      <c r="C298" s="79"/>
      <c r="D298" s="79"/>
      <c r="E298" s="79"/>
      <c r="P298" s="79"/>
      <c r="Q298" s="79"/>
      <c r="R298" s="79"/>
      <c r="Y298" s="79"/>
      <c r="AC298" s="130"/>
      <c r="AE298" s="106"/>
    </row>
    <row r="299">
      <c r="C299" s="79"/>
      <c r="D299" s="79"/>
      <c r="E299" s="79"/>
      <c r="P299" s="79"/>
      <c r="Q299" s="79"/>
      <c r="R299" s="79"/>
      <c r="Y299" s="79"/>
      <c r="AC299" s="130"/>
      <c r="AE299" s="106"/>
    </row>
    <row r="300">
      <c r="C300" s="79"/>
      <c r="D300" s="79"/>
      <c r="E300" s="79"/>
      <c r="P300" s="79"/>
      <c r="Q300" s="79"/>
      <c r="R300" s="79"/>
      <c r="Y300" s="79"/>
      <c r="AC300" s="130"/>
      <c r="AE300" s="106"/>
    </row>
    <row r="301">
      <c r="C301" s="79"/>
      <c r="D301" s="79"/>
      <c r="E301" s="79"/>
      <c r="P301" s="79"/>
      <c r="Q301" s="79"/>
      <c r="R301" s="79"/>
      <c r="Y301" s="79"/>
      <c r="AC301" s="130"/>
      <c r="AE301" s="106"/>
    </row>
    <row r="302">
      <c r="C302" s="79"/>
      <c r="D302" s="79"/>
      <c r="E302" s="79"/>
      <c r="P302" s="79"/>
      <c r="Q302" s="79"/>
      <c r="R302" s="79"/>
      <c r="Y302" s="79"/>
      <c r="AC302" s="130"/>
      <c r="AE302" s="106"/>
    </row>
    <row r="303">
      <c r="C303" s="79"/>
      <c r="D303" s="79"/>
      <c r="E303" s="79"/>
      <c r="P303" s="79"/>
      <c r="Q303" s="79"/>
      <c r="R303" s="79"/>
      <c r="Y303" s="79"/>
      <c r="AC303" s="130"/>
      <c r="AE303" s="106"/>
    </row>
    <row r="304">
      <c r="C304" s="79"/>
      <c r="D304" s="79"/>
      <c r="E304" s="79"/>
      <c r="P304" s="79"/>
      <c r="Q304" s="79"/>
      <c r="R304" s="79"/>
      <c r="Y304" s="79"/>
      <c r="AC304" s="130"/>
      <c r="AE304" s="106"/>
    </row>
    <row r="305">
      <c r="C305" s="79"/>
      <c r="D305" s="79"/>
      <c r="E305" s="79"/>
      <c r="P305" s="79"/>
      <c r="Q305" s="79"/>
      <c r="R305" s="79"/>
      <c r="Y305" s="79"/>
      <c r="AC305" s="130"/>
      <c r="AE305" s="106"/>
    </row>
    <row r="306">
      <c r="C306" s="79"/>
      <c r="D306" s="79"/>
      <c r="E306" s="79"/>
      <c r="P306" s="79"/>
      <c r="Q306" s="79"/>
      <c r="R306" s="79"/>
      <c r="Y306" s="79"/>
      <c r="AC306" s="130"/>
      <c r="AE306" s="106"/>
    </row>
    <row r="307">
      <c r="C307" s="79"/>
      <c r="D307" s="79"/>
      <c r="E307" s="79"/>
      <c r="P307" s="79"/>
      <c r="Q307" s="79"/>
      <c r="R307" s="79"/>
      <c r="Y307" s="79"/>
      <c r="AC307" s="130"/>
      <c r="AE307" s="106"/>
    </row>
    <row r="308">
      <c r="C308" s="79"/>
      <c r="D308" s="79"/>
      <c r="E308" s="79"/>
      <c r="P308" s="79"/>
      <c r="Q308" s="79"/>
      <c r="R308" s="79"/>
      <c r="Y308" s="79"/>
      <c r="AC308" s="130"/>
      <c r="AE308" s="106"/>
    </row>
    <row r="309">
      <c r="C309" s="79"/>
      <c r="D309" s="79"/>
      <c r="E309" s="79"/>
      <c r="P309" s="79"/>
      <c r="Q309" s="79"/>
      <c r="R309" s="79"/>
      <c r="Y309" s="79"/>
      <c r="AC309" s="130"/>
      <c r="AE309" s="106"/>
    </row>
    <row r="310">
      <c r="C310" s="79"/>
      <c r="D310" s="79"/>
      <c r="E310" s="79"/>
      <c r="P310" s="79"/>
      <c r="Q310" s="79"/>
      <c r="R310" s="79"/>
      <c r="Y310" s="79"/>
      <c r="AC310" s="130"/>
      <c r="AE310" s="106"/>
    </row>
    <row r="311">
      <c r="C311" s="79"/>
      <c r="D311" s="79"/>
      <c r="E311" s="79"/>
      <c r="P311" s="79"/>
      <c r="Q311" s="79"/>
      <c r="R311" s="79"/>
      <c r="Y311" s="79"/>
      <c r="AC311" s="130"/>
      <c r="AE311" s="106"/>
    </row>
    <row r="312">
      <c r="C312" s="79"/>
      <c r="D312" s="79"/>
      <c r="E312" s="79"/>
      <c r="P312" s="79"/>
      <c r="Q312" s="79"/>
      <c r="R312" s="79"/>
      <c r="Y312" s="79"/>
      <c r="AC312" s="130"/>
      <c r="AE312" s="106"/>
    </row>
    <row r="313">
      <c r="C313" s="79"/>
      <c r="D313" s="79"/>
      <c r="E313" s="79"/>
      <c r="P313" s="79"/>
      <c r="Q313" s="79"/>
      <c r="R313" s="79"/>
      <c r="Y313" s="79"/>
      <c r="AC313" s="130"/>
      <c r="AE313" s="106"/>
    </row>
    <row r="314">
      <c r="C314" s="79"/>
      <c r="D314" s="79"/>
      <c r="E314" s="79"/>
      <c r="P314" s="79"/>
      <c r="Q314" s="79"/>
      <c r="R314" s="79"/>
      <c r="Y314" s="79"/>
      <c r="AC314" s="130"/>
      <c r="AE314" s="106"/>
    </row>
    <row r="315">
      <c r="C315" s="79"/>
      <c r="D315" s="79"/>
      <c r="E315" s="79"/>
      <c r="P315" s="79"/>
      <c r="Q315" s="79"/>
      <c r="R315" s="79"/>
      <c r="Y315" s="79"/>
      <c r="AC315" s="130"/>
      <c r="AE315" s="106"/>
    </row>
    <row r="316">
      <c r="C316" s="79"/>
      <c r="D316" s="79"/>
      <c r="E316" s="79"/>
      <c r="P316" s="79"/>
      <c r="Q316" s="79"/>
      <c r="R316" s="79"/>
      <c r="Y316" s="79"/>
      <c r="AC316" s="130"/>
      <c r="AE316" s="106"/>
    </row>
    <row r="317">
      <c r="C317" s="79"/>
      <c r="D317" s="79"/>
      <c r="E317" s="79"/>
      <c r="P317" s="79"/>
      <c r="Q317" s="79"/>
      <c r="R317" s="79"/>
      <c r="Y317" s="79"/>
      <c r="AC317" s="130"/>
      <c r="AE317" s="106"/>
    </row>
    <row r="318">
      <c r="C318" s="79"/>
      <c r="D318" s="79"/>
      <c r="E318" s="79"/>
      <c r="P318" s="79"/>
      <c r="Q318" s="79"/>
      <c r="R318" s="79"/>
      <c r="Y318" s="79"/>
      <c r="AC318" s="130"/>
      <c r="AE318" s="106"/>
    </row>
    <row r="319">
      <c r="C319" s="79"/>
      <c r="D319" s="79"/>
      <c r="E319" s="79"/>
      <c r="P319" s="79"/>
      <c r="Q319" s="79"/>
      <c r="R319" s="79"/>
      <c r="Y319" s="79"/>
      <c r="AC319" s="130"/>
      <c r="AE319" s="106"/>
    </row>
    <row r="320">
      <c r="C320" s="79"/>
      <c r="D320" s="79"/>
      <c r="E320" s="79"/>
      <c r="P320" s="79"/>
      <c r="Q320" s="79"/>
      <c r="R320" s="79"/>
      <c r="Y320" s="79"/>
      <c r="AC320" s="130"/>
      <c r="AE320" s="106"/>
    </row>
    <row r="321">
      <c r="C321" s="79"/>
      <c r="D321" s="79"/>
      <c r="E321" s="79"/>
      <c r="P321" s="79"/>
      <c r="Q321" s="79"/>
      <c r="R321" s="79"/>
      <c r="Y321" s="79"/>
      <c r="AC321" s="130"/>
      <c r="AE321" s="106"/>
    </row>
    <row r="322">
      <c r="C322" s="79"/>
      <c r="D322" s="79"/>
      <c r="E322" s="79"/>
      <c r="P322" s="79"/>
      <c r="Q322" s="79"/>
      <c r="R322" s="79"/>
      <c r="Y322" s="79"/>
      <c r="AC322" s="130"/>
      <c r="AE322" s="106"/>
    </row>
    <row r="323">
      <c r="C323" s="79"/>
      <c r="D323" s="79"/>
      <c r="E323" s="79"/>
      <c r="P323" s="79"/>
      <c r="Q323" s="79"/>
      <c r="R323" s="79"/>
      <c r="Y323" s="79"/>
      <c r="AC323" s="130"/>
      <c r="AE323" s="106"/>
    </row>
    <row r="324">
      <c r="C324" s="79"/>
      <c r="D324" s="79"/>
      <c r="E324" s="79"/>
      <c r="P324" s="79"/>
      <c r="Q324" s="79"/>
      <c r="R324" s="79"/>
      <c r="Y324" s="79"/>
      <c r="AC324" s="130"/>
      <c r="AE324" s="106"/>
    </row>
    <row r="325">
      <c r="C325" s="79"/>
      <c r="D325" s="79"/>
      <c r="E325" s="79"/>
      <c r="P325" s="79"/>
      <c r="Q325" s="79"/>
      <c r="R325" s="79"/>
      <c r="Y325" s="79"/>
      <c r="AC325" s="130"/>
      <c r="AE325" s="106"/>
    </row>
    <row r="326">
      <c r="C326" s="79"/>
      <c r="D326" s="79"/>
      <c r="E326" s="79"/>
      <c r="P326" s="79"/>
      <c r="Q326" s="79"/>
      <c r="R326" s="79"/>
      <c r="Y326" s="79"/>
      <c r="AC326" s="130"/>
      <c r="AE326" s="106"/>
    </row>
    <row r="327">
      <c r="C327" s="79"/>
      <c r="D327" s="79"/>
      <c r="E327" s="79"/>
      <c r="P327" s="79"/>
      <c r="Q327" s="79"/>
      <c r="R327" s="79"/>
      <c r="Y327" s="79"/>
      <c r="AC327" s="130"/>
      <c r="AE327" s="106"/>
    </row>
    <row r="328">
      <c r="C328" s="79"/>
      <c r="D328" s="79"/>
      <c r="E328" s="79"/>
      <c r="P328" s="79"/>
      <c r="Q328" s="79"/>
      <c r="R328" s="79"/>
      <c r="Y328" s="79"/>
      <c r="AC328" s="130"/>
      <c r="AE328" s="106"/>
    </row>
    <row r="329">
      <c r="C329" s="79"/>
      <c r="D329" s="79"/>
      <c r="E329" s="79"/>
      <c r="P329" s="79"/>
      <c r="Q329" s="79"/>
      <c r="R329" s="79"/>
      <c r="Y329" s="79"/>
      <c r="AC329" s="130"/>
      <c r="AE329" s="106"/>
    </row>
    <row r="330">
      <c r="C330" s="79"/>
      <c r="D330" s="79"/>
      <c r="E330" s="79"/>
      <c r="P330" s="79"/>
      <c r="Q330" s="79"/>
      <c r="R330" s="79"/>
      <c r="Y330" s="79"/>
      <c r="AC330" s="130"/>
      <c r="AE330" s="106"/>
    </row>
    <row r="331">
      <c r="C331" s="79"/>
      <c r="D331" s="79"/>
      <c r="E331" s="79"/>
      <c r="P331" s="79"/>
      <c r="Q331" s="79"/>
      <c r="R331" s="79"/>
      <c r="Y331" s="79"/>
      <c r="AC331" s="130"/>
      <c r="AE331" s="106"/>
    </row>
    <row r="332">
      <c r="C332" s="79"/>
      <c r="D332" s="79"/>
      <c r="E332" s="79"/>
      <c r="P332" s="79"/>
      <c r="Q332" s="79"/>
      <c r="R332" s="79"/>
      <c r="Y332" s="79"/>
      <c r="AC332" s="130"/>
      <c r="AE332" s="106"/>
    </row>
    <row r="333">
      <c r="C333" s="79"/>
      <c r="D333" s="79"/>
      <c r="E333" s="79"/>
      <c r="P333" s="79"/>
      <c r="Q333" s="79"/>
      <c r="R333" s="79"/>
      <c r="Y333" s="79"/>
      <c r="AC333" s="130"/>
      <c r="AE333" s="106"/>
    </row>
    <row r="334">
      <c r="C334" s="79"/>
      <c r="D334" s="79"/>
      <c r="E334" s="79"/>
      <c r="P334" s="79"/>
      <c r="Q334" s="79"/>
      <c r="R334" s="79"/>
      <c r="Y334" s="79"/>
      <c r="AC334" s="130"/>
      <c r="AE334" s="106"/>
    </row>
    <row r="335">
      <c r="C335" s="79"/>
      <c r="D335" s="79"/>
      <c r="E335" s="79"/>
      <c r="P335" s="79"/>
      <c r="Q335" s="79"/>
      <c r="R335" s="79"/>
      <c r="Y335" s="79"/>
      <c r="AC335" s="130"/>
      <c r="AE335" s="106"/>
    </row>
    <row r="336">
      <c r="C336" s="79"/>
      <c r="D336" s="79"/>
      <c r="E336" s="79"/>
      <c r="P336" s="79"/>
      <c r="Q336" s="79"/>
      <c r="R336" s="79"/>
      <c r="Y336" s="79"/>
      <c r="AC336" s="130"/>
      <c r="AE336" s="106"/>
    </row>
    <row r="337">
      <c r="C337" s="79"/>
      <c r="D337" s="79"/>
      <c r="E337" s="79"/>
      <c r="P337" s="79"/>
      <c r="Q337" s="79"/>
      <c r="R337" s="79"/>
      <c r="Y337" s="79"/>
      <c r="AC337" s="130"/>
      <c r="AE337" s="106"/>
    </row>
    <row r="338">
      <c r="C338" s="79"/>
      <c r="D338" s="79"/>
      <c r="E338" s="79"/>
      <c r="P338" s="79"/>
      <c r="Q338" s="79"/>
      <c r="R338" s="79"/>
      <c r="Y338" s="79"/>
      <c r="AC338" s="130"/>
      <c r="AE338" s="106"/>
    </row>
    <row r="339">
      <c r="C339" s="79"/>
      <c r="D339" s="79"/>
      <c r="E339" s="79"/>
      <c r="P339" s="79"/>
      <c r="Q339" s="79"/>
      <c r="R339" s="79"/>
      <c r="Y339" s="79"/>
      <c r="AC339" s="130"/>
      <c r="AE339" s="106"/>
    </row>
    <row r="340">
      <c r="C340" s="79"/>
      <c r="D340" s="79"/>
      <c r="E340" s="79"/>
      <c r="P340" s="79"/>
      <c r="Q340" s="79"/>
      <c r="R340" s="79"/>
      <c r="Y340" s="79"/>
      <c r="AC340" s="130"/>
      <c r="AE340" s="106"/>
    </row>
    <row r="341">
      <c r="C341" s="79"/>
      <c r="D341" s="79"/>
      <c r="E341" s="79"/>
      <c r="P341" s="79"/>
      <c r="Q341" s="79"/>
      <c r="R341" s="79"/>
      <c r="Y341" s="79"/>
      <c r="AC341" s="130"/>
      <c r="AE341" s="106"/>
    </row>
    <row r="342">
      <c r="C342" s="79"/>
      <c r="D342" s="79"/>
      <c r="E342" s="79"/>
      <c r="P342" s="79"/>
      <c r="Q342" s="79"/>
      <c r="R342" s="79"/>
      <c r="Y342" s="79"/>
      <c r="AC342" s="130"/>
      <c r="AE342" s="106"/>
    </row>
    <row r="343">
      <c r="C343" s="79"/>
      <c r="D343" s="79"/>
      <c r="E343" s="79"/>
      <c r="P343" s="79"/>
      <c r="Q343" s="79"/>
      <c r="R343" s="79"/>
      <c r="Y343" s="79"/>
      <c r="AC343" s="130"/>
      <c r="AE343" s="106"/>
    </row>
    <row r="344">
      <c r="C344" s="79"/>
      <c r="D344" s="79"/>
      <c r="E344" s="79"/>
      <c r="P344" s="79"/>
      <c r="Q344" s="79"/>
      <c r="R344" s="79"/>
      <c r="Y344" s="79"/>
      <c r="AC344" s="130"/>
      <c r="AE344" s="106"/>
    </row>
    <row r="345">
      <c r="C345" s="79"/>
      <c r="D345" s="79"/>
      <c r="E345" s="79"/>
      <c r="P345" s="79"/>
      <c r="Q345" s="79"/>
      <c r="R345" s="79"/>
      <c r="Y345" s="79"/>
      <c r="AC345" s="130"/>
      <c r="AE345" s="106"/>
    </row>
    <row r="346">
      <c r="C346" s="79"/>
      <c r="D346" s="79"/>
      <c r="E346" s="79"/>
      <c r="P346" s="79"/>
      <c r="Q346" s="79"/>
      <c r="R346" s="79"/>
      <c r="Y346" s="79"/>
      <c r="AC346" s="130"/>
      <c r="AE346" s="106"/>
    </row>
    <row r="347">
      <c r="C347" s="79"/>
      <c r="D347" s="79"/>
      <c r="E347" s="79"/>
      <c r="P347" s="79"/>
      <c r="Q347" s="79"/>
      <c r="R347" s="79"/>
      <c r="Y347" s="79"/>
      <c r="AC347" s="130"/>
      <c r="AE347" s="106"/>
    </row>
    <row r="348">
      <c r="C348" s="79"/>
      <c r="D348" s="79"/>
      <c r="E348" s="79"/>
      <c r="P348" s="79"/>
      <c r="Q348" s="79"/>
      <c r="R348" s="79"/>
      <c r="Y348" s="79"/>
      <c r="AC348" s="130"/>
      <c r="AE348" s="106"/>
    </row>
    <row r="349">
      <c r="C349" s="79"/>
      <c r="D349" s="79"/>
      <c r="E349" s="79"/>
      <c r="P349" s="79"/>
      <c r="Q349" s="79"/>
      <c r="R349" s="79"/>
      <c r="Y349" s="79"/>
      <c r="AC349" s="130"/>
      <c r="AE349" s="106"/>
    </row>
    <row r="350">
      <c r="C350" s="79"/>
      <c r="D350" s="79"/>
      <c r="E350" s="79"/>
      <c r="P350" s="79"/>
      <c r="Q350" s="79"/>
      <c r="R350" s="79"/>
      <c r="Y350" s="79"/>
      <c r="AC350" s="130"/>
      <c r="AE350" s="106"/>
    </row>
    <row r="351">
      <c r="C351" s="79"/>
      <c r="D351" s="79"/>
      <c r="E351" s="79"/>
      <c r="P351" s="79"/>
      <c r="Q351" s="79"/>
      <c r="R351" s="79"/>
      <c r="Y351" s="79"/>
      <c r="AC351" s="130"/>
      <c r="AE351" s="106"/>
    </row>
    <row r="352">
      <c r="C352" s="79"/>
      <c r="D352" s="79"/>
      <c r="E352" s="79"/>
      <c r="P352" s="79"/>
      <c r="Q352" s="79"/>
      <c r="R352" s="79"/>
      <c r="Y352" s="79"/>
      <c r="AC352" s="130"/>
      <c r="AE352" s="106"/>
    </row>
    <row r="353">
      <c r="C353" s="79"/>
      <c r="D353" s="79"/>
      <c r="E353" s="79"/>
      <c r="P353" s="79"/>
      <c r="Q353" s="79"/>
      <c r="R353" s="79"/>
      <c r="Y353" s="79"/>
      <c r="AC353" s="130"/>
      <c r="AE353" s="106"/>
    </row>
    <row r="354">
      <c r="C354" s="79"/>
      <c r="D354" s="79"/>
      <c r="E354" s="79"/>
      <c r="P354" s="79"/>
      <c r="Q354" s="79"/>
      <c r="R354" s="79"/>
      <c r="Y354" s="79"/>
      <c r="AC354" s="130"/>
      <c r="AE354" s="106"/>
    </row>
    <row r="355">
      <c r="C355" s="79"/>
      <c r="D355" s="79"/>
      <c r="E355" s="79"/>
      <c r="P355" s="79"/>
      <c r="Q355" s="79"/>
      <c r="R355" s="79"/>
      <c r="Y355" s="79"/>
      <c r="AC355" s="130"/>
      <c r="AE355" s="106"/>
    </row>
    <row r="356">
      <c r="C356" s="79"/>
      <c r="D356" s="79"/>
      <c r="E356" s="79"/>
      <c r="P356" s="79"/>
      <c r="Q356" s="79"/>
      <c r="R356" s="79"/>
      <c r="Y356" s="79"/>
      <c r="AC356" s="130"/>
      <c r="AE356" s="106"/>
    </row>
    <row r="357">
      <c r="C357" s="79"/>
      <c r="D357" s="79"/>
      <c r="E357" s="79"/>
      <c r="P357" s="79"/>
      <c r="Q357" s="79"/>
      <c r="R357" s="79"/>
      <c r="Y357" s="79"/>
      <c r="AC357" s="130"/>
      <c r="AE357" s="106"/>
    </row>
    <row r="358">
      <c r="C358" s="79"/>
      <c r="D358" s="79"/>
      <c r="E358" s="79"/>
      <c r="P358" s="79"/>
      <c r="Q358" s="79"/>
      <c r="R358" s="79"/>
      <c r="Y358" s="79"/>
      <c r="AC358" s="130"/>
      <c r="AE358" s="106"/>
    </row>
    <row r="359">
      <c r="C359" s="79"/>
      <c r="D359" s="79"/>
      <c r="E359" s="79"/>
      <c r="P359" s="79"/>
      <c r="Q359" s="79"/>
      <c r="R359" s="79"/>
      <c r="Y359" s="79"/>
      <c r="AC359" s="130"/>
      <c r="AE359" s="106"/>
    </row>
    <row r="360">
      <c r="C360" s="79"/>
      <c r="D360" s="79"/>
      <c r="E360" s="79"/>
      <c r="P360" s="79"/>
      <c r="Q360" s="79"/>
      <c r="R360" s="79"/>
      <c r="Y360" s="79"/>
      <c r="AC360" s="130"/>
      <c r="AE360" s="106"/>
    </row>
    <row r="361">
      <c r="C361" s="79"/>
      <c r="D361" s="79"/>
      <c r="E361" s="79"/>
      <c r="P361" s="79"/>
      <c r="Q361" s="79"/>
      <c r="R361" s="79"/>
      <c r="Y361" s="79"/>
      <c r="AC361" s="130"/>
      <c r="AE361" s="106"/>
    </row>
    <row r="362">
      <c r="C362" s="79"/>
      <c r="D362" s="79"/>
      <c r="E362" s="79"/>
      <c r="P362" s="79"/>
      <c r="Q362" s="79"/>
      <c r="R362" s="79"/>
      <c r="Y362" s="79"/>
      <c r="AC362" s="130"/>
      <c r="AE362" s="106"/>
    </row>
    <row r="363">
      <c r="C363" s="79"/>
      <c r="D363" s="79"/>
      <c r="E363" s="79"/>
      <c r="P363" s="79"/>
      <c r="Q363" s="79"/>
      <c r="R363" s="79"/>
      <c r="Y363" s="79"/>
      <c r="AC363" s="130"/>
      <c r="AE363" s="106"/>
    </row>
    <row r="364">
      <c r="C364" s="79"/>
      <c r="D364" s="79"/>
      <c r="E364" s="79"/>
      <c r="P364" s="79"/>
      <c r="Q364" s="79"/>
      <c r="R364" s="79"/>
      <c r="Y364" s="79"/>
      <c r="AC364" s="130"/>
      <c r="AE364" s="106"/>
    </row>
    <row r="365">
      <c r="C365" s="79"/>
      <c r="D365" s="79"/>
      <c r="E365" s="79"/>
      <c r="P365" s="79"/>
      <c r="Q365" s="79"/>
      <c r="R365" s="79"/>
      <c r="Y365" s="79"/>
      <c r="AC365" s="130"/>
      <c r="AE365" s="106"/>
    </row>
    <row r="366">
      <c r="C366" s="79"/>
      <c r="D366" s="79"/>
      <c r="E366" s="79"/>
      <c r="P366" s="79"/>
      <c r="Q366" s="79"/>
      <c r="R366" s="79"/>
      <c r="Y366" s="79"/>
      <c r="AC366" s="130"/>
      <c r="AE366" s="106"/>
    </row>
    <row r="367">
      <c r="C367" s="79"/>
      <c r="D367" s="79"/>
      <c r="E367" s="79"/>
      <c r="P367" s="79"/>
      <c r="Q367" s="79"/>
      <c r="R367" s="79"/>
      <c r="Y367" s="79"/>
      <c r="AC367" s="130"/>
      <c r="AE367" s="106"/>
    </row>
    <row r="368">
      <c r="C368" s="79"/>
      <c r="D368" s="79"/>
      <c r="E368" s="79"/>
      <c r="P368" s="79"/>
      <c r="Q368" s="79"/>
      <c r="R368" s="79"/>
      <c r="Y368" s="79"/>
      <c r="AC368" s="130"/>
      <c r="AE368" s="106"/>
    </row>
    <row r="369">
      <c r="C369" s="79"/>
      <c r="D369" s="79"/>
      <c r="E369" s="79"/>
      <c r="P369" s="79"/>
      <c r="Q369" s="79"/>
      <c r="R369" s="79"/>
      <c r="Y369" s="79"/>
      <c r="AC369" s="130"/>
      <c r="AE369" s="106"/>
    </row>
    <row r="370">
      <c r="C370" s="79"/>
      <c r="D370" s="79"/>
      <c r="E370" s="79"/>
      <c r="P370" s="79"/>
      <c r="Q370" s="79"/>
      <c r="R370" s="79"/>
      <c r="Y370" s="79"/>
      <c r="AC370" s="130"/>
      <c r="AE370" s="106"/>
    </row>
    <row r="371">
      <c r="C371" s="79"/>
      <c r="D371" s="79"/>
      <c r="E371" s="79"/>
      <c r="P371" s="79"/>
      <c r="Q371" s="79"/>
      <c r="R371" s="79"/>
      <c r="Y371" s="79"/>
      <c r="AC371" s="130"/>
      <c r="AE371" s="106"/>
    </row>
    <row r="372">
      <c r="C372" s="79"/>
      <c r="D372" s="79"/>
      <c r="E372" s="79"/>
      <c r="P372" s="79"/>
      <c r="Q372" s="79"/>
      <c r="R372" s="79"/>
      <c r="Y372" s="79"/>
      <c r="AC372" s="130"/>
      <c r="AE372" s="106"/>
    </row>
    <row r="373">
      <c r="C373" s="79"/>
      <c r="D373" s="79"/>
      <c r="E373" s="79"/>
      <c r="P373" s="79"/>
      <c r="Q373" s="79"/>
      <c r="R373" s="79"/>
      <c r="Y373" s="79"/>
      <c r="AC373" s="130"/>
      <c r="AE373" s="106"/>
    </row>
    <row r="374">
      <c r="C374" s="79"/>
      <c r="D374" s="79"/>
      <c r="E374" s="79"/>
      <c r="P374" s="79"/>
      <c r="Q374" s="79"/>
      <c r="R374" s="79"/>
      <c r="Y374" s="79"/>
      <c r="AC374" s="130"/>
      <c r="AE374" s="106"/>
    </row>
    <row r="375">
      <c r="C375" s="79"/>
      <c r="D375" s="79"/>
      <c r="E375" s="79"/>
      <c r="P375" s="79"/>
      <c r="Q375" s="79"/>
      <c r="R375" s="79"/>
      <c r="Y375" s="79"/>
      <c r="AC375" s="130"/>
      <c r="AE375" s="106"/>
    </row>
    <row r="376">
      <c r="C376" s="79"/>
      <c r="D376" s="79"/>
      <c r="E376" s="79"/>
      <c r="P376" s="79"/>
      <c r="Q376" s="79"/>
      <c r="R376" s="79"/>
      <c r="Y376" s="79"/>
      <c r="AC376" s="130"/>
      <c r="AE376" s="106"/>
    </row>
    <row r="377">
      <c r="C377" s="79"/>
      <c r="D377" s="79"/>
      <c r="E377" s="79"/>
      <c r="P377" s="79"/>
      <c r="Q377" s="79"/>
      <c r="R377" s="79"/>
      <c r="Y377" s="79"/>
      <c r="AC377" s="130"/>
      <c r="AE377" s="106"/>
    </row>
    <row r="378">
      <c r="C378" s="79"/>
      <c r="D378" s="79"/>
      <c r="E378" s="79"/>
      <c r="P378" s="79"/>
      <c r="Q378" s="79"/>
      <c r="R378" s="79"/>
      <c r="Y378" s="79"/>
      <c r="AC378" s="130"/>
      <c r="AE378" s="106"/>
    </row>
    <row r="379">
      <c r="C379" s="79"/>
      <c r="D379" s="79"/>
      <c r="E379" s="79"/>
      <c r="P379" s="79"/>
      <c r="Q379" s="79"/>
      <c r="R379" s="79"/>
      <c r="Y379" s="79"/>
      <c r="AC379" s="130"/>
      <c r="AE379" s="106"/>
    </row>
    <row r="380">
      <c r="C380" s="79"/>
      <c r="D380" s="79"/>
      <c r="E380" s="79"/>
      <c r="P380" s="79"/>
      <c r="Q380" s="79"/>
      <c r="R380" s="79"/>
      <c r="Y380" s="79"/>
      <c r="AC380" s="130"/>
      <c r="AE380" s="106"/>
    </row>
    <row r="381">
      <c r="C381" s="79"/>
      <c r="D381" s="79"/>
      <c r="E381" s="79"/>
      <c r="P381" s="79"/>
      <c r="Q381" s="79"/>
      <c r="R381" s="79"/>
      <c r="Y381" s="79"/>
      <c r="AC381" s="130"/>
      <c r="AE381" s="106"/>
    </row>
    <row r="382">
      <c r="C382" s="79"/>
      <c r="D382" s="79"/>
      <c r="E382" s="79"/>
      <c r="P382" s="79"/>
      <c r="Q382" s="79"/>
      <c r="R382" s="79"/>
      <c r="Y382" s="79"/>
      <c r="AC382" s="130"/>
      <c r="AE382" s="106"/>
    </row>
    <row r="383">
      <c r="C383" s="79"/>
      <c r="D383" s="79"/>
      <c r="E383" s="79"/>
      <c r="P383" s="79"/>
      <c r="Q383" s="79"/>
      <c r="R383" s="79"/>
      <c r="Y383" s="79"/>
      <c r="AC383" s="130"/>
      <c r="AE383" s="106"/>
    </row>
    <row r="384">
      <c r="C384" s="79"/>
      <c r="D384" s="79"/>
      <c r="E384" s="79"/>
      <c r="P384" s="79"/>
      <c r="Q384" s="79"/>
      <c r="R384" s="79"/>
      <c r="Y384" s="79"/>
      <c r="AC384" s="130"/>
      <c r="AE384" s="106"/>
    </row>
    <row r="385">
      <c r="C385" s="79"/>
      <c r="D385" s="79"/>
      <c r="E385" s="79"/>
      <c r="P385" s="79"/>
      <c r="Q385" s="79"/>
      <c r="R385" s="79"/>
      <c r="Y385" s="79"/>
      <c r="AC385" s="130"/>
      <c r="AE385" s="106"/>
    </row>
    <row r="386">
      <c r="C386" s="79"/>
      <c r="D386" s="79"/>
      <c r="E386" s="79"/>
      <c r="P386" s="79"/>
      <c r="Q386" s="79"/>
      <c r="R386" s="79"/>
      <c r="Y386" s="79"/>
      <c r="AC386" s="130"/>
      <c r="AE386" s="106"/>
    </row>
    <row r="387">
      <c r="C387" s="79"/>
      <c r="D387" s="79"/>
      <c r="E387" s="79"/>
      <c r="P387" s="79"/>
      <c r="Q387" s="79"/>
      <c r="R387" s="79"/>
      <c r="Y387" s="79"/>
      <c r="AC387" s="130"/>
      <c r="AE387" s="106"/>
    </row>
    <row r="388">
      <c r="C388" s="79"/>
      <c r="D388" s="79"/>
      <c r="E388" s="79"/>
      <c r="P388" s="79"/>
      <c r="Q388" s="79"/>
      <c r="R388" s="79"/>
      <c r="Y388" s="79"/>
      <c r="AC388" s="130"/>
      <c r="AE388" s="106"/>
    </row>
    <row r="389">
      <c r="C389" s="79"/>
      <c r="D389" s="79"/>
      <c r="E389" s="79"/>
      <c r="P389" s="79"/>
      <c r="Q389" s="79"/>
      <c r="R389" s="79"/>
      <c r="Y389" s="79"/>
      <c r="AC389" s="130"/>
      <c r="AE389" s="106"/>
    </row>
    <row r="390">
      <c r="C390" s="79"/>
      <c r="D390" s="79"/>
      <c r="E390" s="79"/>
      <c r="P390" s="79"/>
      <c r="Q390" s="79"/>
      <c r="R390" s="79"/>
      <c r="Y390" s="79"/>
      <c r="AC390" s="130"/>
      <c r="AE390" s="106"/>
    </row>
    <row r="391">
      <c r="C391" s="79"/>
      <c r="D391" s="79"/>
      <c r="E391" s="79"/>
      <c r="P391" s="79"/>
      <c r="Q391" s="79"/>
      <c r="R391" s="79"/>
      <c r="Y391" s="79"/>
      <c r="AC391" s="130"/>
      <c r="AE391" s="106"/>
    </row>
    <row r="392">
      <c r="C392" s="79"/>
      <c r="D392" s="79"/>
      <c r="E392" s="79"/>
      <c r="P392" s="79"/>
      <c r="Q392" s="79"/>
      <c r="R392" s="79"/>
      <c r="Y392" s="79"/>
      <c r="AC392" s="130"/>
      <c r="AE392" s="106"/>
    </row>
    <row r="393">
      <c r="C393" s="79"/>
      <c r="D393" s="79"/>
      <c r="E393" s="79"/>
      <c r="P393" s="79"/>
      <c r="Q393" s="79"/>
      <c r="R393" s="79"/>
      <c r="Y393" s="79"/>
      <c r="AC393" s="130"/>
      <c r="AE393" s="106"/>
    </row>
    <row r="394">
      <c r="C394" s="79"/>
      <c r="D394" s="79"/>
      <c r="E394" s="79"/>
      <c r="P394" s="79"/>
      <c r="Q394" s="79"/>
      <c r="R394" s="79"/>
      <c r="Y394" s="79"/>
      <c r="AC394" s="130"/>
      <c r="AE394" s="106"/>
    </row>
    <row r="395">
      <c r="C395" s="79"/>
      <c r="D395" s="79"/>
      <c r="E395" s="79"/>
      <c r="P395" s="79"/>
      <c r="Q395" s="79"/>
      <c r="R395" s="79"/>
      <c r="Y395" s="79"/>
      <c r="AC395" s="130"/>
      <c r="AE395" s="106"/>
    </row>
    <row r="396">
      <c r="C396" s="79"/>
      <c r="D396" s="79"/>
      <c r="E396" s="79"/>
      <c r="P396" s="79"/>
      <c r="Q396" s="79"/>
      <c r="R396" s="79"/>
      <c r="Y396" s="79"/>
      <c r="AC396" s="130"/>
      <c r="AE396" s="106"/>
    </row>
    <row r="397">
      <c r="C397" s="79"/>
      <c r="D397" s="79"/>
      <c r="E397" s="79"/>
      <c r="P397" s="79"/>
      <c r="Q397" s="79"/>
      <c r="R397" s="79"/>
      <c r="Y397" s="79"/>
      <c r="AC397" s="130"/>
      <c r="AE397" s="106"/>
    </row>
    <row r="398">
      <c r="C398" s="79"/>
      <c r="D398" s="79"/>
      <c r="E398" s="79"/>
      <c r="P398" s="79"/>
      <c r="Q398" s="79"/>
      <c r="R398" s="79"/>
      <c r="Y398" s="79"/>
      <c r="AC398" s="130"/>
      <c r="AE398" s="106"/>
    </row>
    <row r="399">
      <c r="C399" s="79"/>
      <c r="D399" s="79"/>
      <c r="E399" s="79"/>
      <c r="P399" s="79"/>
      <c r="Q399" s="79"/>
      <c r="R399" s="79"/>
      <c r="Y399" s="79"/>
      <c r="AC399" s="130"/>
      <c r="AE399" s="106"/>
    </row>
    <row r="400">
      <c r="C400" s="79"/>
      <c r="D400" s="79"/>
      <c r="E400" s="79"/>
      <c r="P400" s="79"/>
      <c r="Q400" s="79"/>
      <c r="R400" s="79"/>
      <c r="Y400" s="79"/>
      <c r="AC400" s="130"/>
      <c r="AE400" s="106"/>
    </row>
    <row r="401">
      <c r="C401" s="79"/>
      <c r="D401" s="79"/>
      <c r="E401" s="79"/>
      <c r="P401" s="79"/>
      <c r="Q401" s="79"/>
      <c r="R401" s="79"/>
      <c r="Y401" s="79"/>
      <c r="AC401" s="130"/>
      <c r="AE401" s="106"/>
    </row>
    <row r="402">
      <c r="C402" s="79"/>
      <c r="D402" s="79"/>
      <c r="E402" s="79"/>
      <c r="P402" s="79"/>
      <c r="Q402" s="79"/>
      <c r="R402" s="79"/>
      <c r="Y402" s="79"/>
      <c r="AC402" s="130"/>
      <c r="AE402" s="106"/>
    </row>
    <row r="403">
      <c r="C403" s="79"/>
      <c r="D403" s="79"/>
      <c r="E403" s="79"/>
      <c r="P403" s="79"/>
      <c r="Q403" s="79"/>
      <c r="R403" s="79"/>
      <c r="Y403" s="79"/>
      <c r="AC403" s="130"/>
      <c r="AE403" s="106"/>
    </row>
    <row r="404">
      <c r="C404" s="79"/>
      <c r="D404" s="79"/>
      <c r="E404" s="79"/>
      <c r="P404" s="79"/>
      <c r="Q404" s="79"/>
      <c r="R404" s="79"/>
      <c r="Y404" s="79"/>
      <c r="AC404" s="130"/>
      <c r="AE404" s="106"/>
    </row>
    <row r="405">
      <c r="C405" s="79"/>
      <c r="D405" s="79"/>
      <c r="E405" s="79"/>
      <c r="P405" s="79"/>
      <c r="Q405" s="79"/>
      <c r="R405" s="79"/>
      <c r="Y405" s="79"/>
      <c r="AC405" s="130"/>
      <c r="AE405" s="106"/>
    </row>
    <row r="406">
      <c r="C406" s="79"/>
      <c r="D406" s="79"/>
      <c r="E406" s="79"/>
      <c r="P406" s="79"/>
      <c r="Q406" s="79"/>
      <c r="R406" s="79"/>
      <c r="Y406" s="79"/>
      <c r="AC406" s="130"/>
      <c r="AE406" s="106"/>
    </row>
    <row r="407">
      <c r="C407" s="79"/>
      <c r="D407" s="79"/>
      <c r="E407" s="79"/>
      <c r="P407" s="79"/>
      <c r="Q407" s="79"/>
      <c r="R407" s="79"/>
      <c r="Y407" s="79"/>
      <c r="AC407" s="130"/>
      <c r="AE407" s="106"/>
    </row>
    <row r="408">
      <c r="C408" s="79"/>
      <c r="D408" s="79"/>
      <c r="E408" s="79"/>
      <c r="P408" s="79"/>
      <c r="Q408" s="79"/>
      <c r="R408" s="79"/>
      <c r="Y408" s="79"/>
      <c r="AC408" s="130"/>
      <c r="AE408" s="106"/>
    </row>
    <row r="409">
      <c r="C409" s="79"/>
      <c r="D409" s="79"/>
      <c r="E409" s="79"/>
      <c r="P409" s="79"/>
      <c r="Q409" s="79"/>
      <c r="R409" s="79"/>
      <c r="Y409" s="79"/>
      <c r="AC409" s="130"/>
      <c r="AE409" s="106"/>
    </row>
    <row r="410">
      <c r="C410" s="79"/>
      <c r="D410" s="79"/>
      <c r="E410" s="79"/>
      <c r="P410" s="79"/>
      <c r="Q410" s="79"/>
      <c r="R410" s="79"/>
      <c r="Y410" s="79"/>
      <c r="AC410" s="130"/>
      <c r="AE410" s="106"/>
    </row>
    <row r="411">
      <c r="C411" s="79"/>
      <c r="D411" s="79"/>
      <c r="E411" s="79"/>
      <c r="P411" s="79"/>
      <c r="Q411" s="79"/>
      <c r="R411" s="79"/>
      <c r="Y411" s="79"/>
      <c r="AC411" s="130"/>
      <c r="AE411" s="106"/>
    </row>
    <row r="412">
      <c r="C412" s="79"/>
      <c r="D412" s="79"/>
      <c r="E412" s="79"/>
      <c r="P412" s="79"/>
      <c r="Q412" s="79"/>
      <c r="R412" s="79"/>
      <c r="Y412" s="79"/>
      <c r="AC412" s="130"/>
      <c r="AE412" s="106"/>
    </row>
    <row r="413">
      <c r="C413" s="79"/>
      <c r="D413" s="79"/>
      <c r="E413" s="79"/>
      <c r="P413" s="79"/>
      <c r="Q413" s="79"/>
      <c r="R413" s="79"/>
      <c r="Y413" s="79"/>
      <c r="AC413" s="130"/>
      <c r="AE413" s="106"/>
    </row>
    <row r="414">
      <c r="C414" s="79"/>
      <c r="D414" s="79"/>
      <c r="E414" s="79"/>
      <c r="P414" s="79"/>
      <c r="Q414" s="79"/>
      <c r="R414" s="79"/>
      <c r="Y414" s="79"/>
      <c r="AC414" s="130"/>
      <c r="AE414" s="106"/>
    </row>
    <row r="415">
      <c r="C415" s="79"/>
      <c r="D415" s="79"/>
      <c r="E415" s="79"/>
      <c r="P415" s="79"/>
      <c r="Q415" s="79"/>
      <c r="R415" s="79"/>
      <c r="Y415" s="79"/>
      <c r="AC415" s="130"/>
      <c r="AE415" s="106"/>
    </row>
    <row r="416">
      <c r="C416" s="79"/>
      <c r="D416" s="79"/>
      <c r="E416" s="79"/>
      <c r="P416" s="79"/>
      <c r="Q416" s="79"/>
      <c r="R416" s="79"/>
      <c r="Y416" s="79"/>
      <c r="AC416" s="130"/>
      <c r="AE416" s="106"/>
    </row>
    <row r="417">
      <c r="C417" s="79"/>
      <c r="D417" s="79"/>
      <c r="E417" s="79"/>
      <c r="P417" s="79"/>
      <c r="Q417" s="79"/>
      <c r="R417" s="79"/>
      <c r="Y417" s="79"/>
      <c r="AC417" s="130"/>
      <c r="AE417" s="106"/>
    </row>
    <row r="418">
      <c r="C418" s="79"/>
      <c r="D418" s="79"/>
      <c r="E418" s="79"/>
      <c r="P418" s="79"/>
      <c r="Q418" s="79"/>
      <c r="R418" s="79"/>
      <c r="Y418" s="79"/>
      <c r="AC418" s="130"/>
      <c r="AE418" s="106"/>
    </row>
    <row r="419">
      <c r="C419" s="79"/>
      <c r="D419" s="79"/>
      <c r="E419" s="79"/>
      <c r="P419" s="79"/>
      <c r="Q419" s="79"/>
      <c r="R419" s="79"/>
      <c r="Y419" s="79"/>
      <c r="AC419" s="130"/>
      <c r="AE419" s="106"/>
    </row>
    <row r="420">
      <c r="C420" s="79"/>
      <c r="D420" s="79"/>
      <c r="E420" s="79"/>
      <c r="P420" s="79"/>
      <c r="Q420" s="79"/>
      <c r="R420" s="79"/>
      <c r="Y420" s="79"/>
      <c r="AC420" s="130"/>
      <c r="AE420" s="106"/>
    </row>
    <row r="421">
      <c r="C421" s="79"/>
      <c r="D421" s="79"/>
      <c r="E421" s="79"/>
      <c r="P421" s="79"/>
      <c r="Q421" s="79"/>
      <c r="R421" s="79"/>
      <c r="Y421" s="79"/>
      <c r="AC421" s="130"/>
      <c r="AE421" s="106"/>
    </row>
    <row r="422">
      <c r="C422" s="79"/>
      <c r="D422" s="79"/>
      <c r="E422" s="79"/>
      <c r="P422" s="79"/>
      <c r="Q422" s="79"/>
      <c r="R422" s="79"/>
      <c r="Y422" s="79"/>
      <c r="AC422" s="130"/>
      <c r="AE422" s="106"/>
    </row>
    <row r="423">
      <c r="C423" s="79"/>
      <c r="D423" s="79"/>
      <c r="E423" s="79"/>
      <c r="P423" s="79"/>
      <c r="Q423" s="79"/>
      <c r="R423" s="79"/>
      <c r="Y423" s="79"/>
      <c r="AC423" s="130"/>
      <c r="AE423" s="106"/>
    </row>
    <row r="424">
      <c r="C424" s="79"/>
      <c r="D424" s="79"/>
      <c r="E424" s="79"/>
      <c r="P424" s="79"/>
      <c r="Q424" s="79"/>
      <c r="R424" s="79"/>
      <c r="Y424" s="79"/>
      <c r="AC424" s="130"/>
      <c r="AE424" s="106"/>
    </row>
    <row r="425">
      <c r="C425" s="79"/>
      <c r="D425" s="79"/>
      <c r="E425" s="79"/>
      <c r="P425" s="79"/>
      <c r="Q425" s="79"/>
      <c r="R425" s="79"/>
      <c r="Y425" s="79"/>
      <c r="AC425" s="130"/>
      <c r="AE425" s="106"/>
    </row>
    <row r="426">
      <c r="C426" s="79"/>
      <c r="D426" s="79"/>
      <c r="E426" s="79"/>
      <c r="P426" s="79"/>
      <c r="Q426" s="79"/>
      <c r="R426" s="79"/>
      <c r="Y426" s="79"/>
      <c r="AC426" s="130"/>
      <c r="AE426" s="106"/>
    </row>
    <row r="427">
      <c r="C427" s="79"/>
      <c r="D427" s="79"/>
      <c r="E427" s="79"/>
      <c r="P427" s="79"/>
      <c r="Q427" s="79"/>
      <c r="R427" s="79"/>
      <c r="Y427" s="79"/>
      <c r="AC427" s="130"/>
      <c r="AE427" s="106"/>
    </row>
    <row r="428">
      <c r="C428" s="79"/>
      <c r="D428" s="79"/>
      <c r="E428" s="79"/>
      <c r="P428" s="79"/>
      <c r="Q428" s="79"/>
      <c r="R428" s="79"/>
      <c r="Y428" s="79"/>
      <c r="AC428" s="130"/>
      <c r="AE428" s="106"/>
    </row>
    <row r="429">
      <c r="C429" s="79"/>
      <c r="D429" s="79"/>
      <c r="E429" s="79"/>
      <c r="P429" s="79"/>
      <c r="Q429" s="79"/>
      <c r="R429" s="79"/>
      <c r="Y429" s="79"/>
      <c r="AC429" s="130"/>
      <c r="AE429" s="106"/>
    </row>
    <row r="430">
      <c r="C430" s="79"/>
      <c r="D430" s="79"/>
      <c r="E430" s="79"/>
      <c r="P430" s="79"/>
      <c r="Q430" s="79"/>
      <c r="R430" s="79"/>
      <c r="Y430" s="79"/>
      <c r="AC430" s="130"/>
      <c r="AE430" s="106"/>
    </row>
    <row r="431">
      <c r="C431" s="79"/>
      <c r="D431" s="79"/>
      <c r="E431" s="79"/>
      <c r="P431" s="79"/>
      <c r="Q431" s="79"/>
      <c r="R431" s="79"/>
      <c r="Y431" s="79"/>
      <c r="AC431" s="130"/>
      <c r="AE431" s="106"/>
    </row>
    <row r="432">
      <c r="C432" s="79"/>
      <c r="D432" s="79"/>
      <c r="E432" s="79"/>
      <c r="P432" s="79"/>
      <c r="Q432" s="79"/>
      <c r="R432" s="79"/>
      <c r="Y432" s="79"/>
      <c r="AC432" s="130"/>
      <c r="AE432" s="106"/>
    </row>
    <row r="433">
      <c r="C433" s="79"/>
      <c r="D433" s="79"/>
      <c r="E433" s="79"/>
      <c r="P433" s="79"/>
      <c r="Q433" s="79"/>
      <c r="R433" s="79"/>
      <c r="Y433" s="79"/>
      <c r="AC433" s="130"/>
      <c r="AE433" s="106"/>
    </row>
    <row r="434">
      <c r="C434" s="79"/>
      <c r="D434" s="79"/>
      <c r="E434" s="79"/>
      <c r="P434" s="79"/>
      <c r="Q434" s="79"/>
      <c r="R434" s="79"/>
      <c r="Y434" s="79"/>
      <c r="AC434" s="130"/>
      <c r="AE434" s="106"/>
    </row>
    <row r="435">
      <c r="C435" s="79"/>
      <c r="D435" s="79"/>
      <c r="E435" s="79"/>
      <c r="P435" s="79"/>
      <c r="Q435" s="79"/>
      <c r="R435" s="79"/>
      <c r="Y435" s="79"/>
      <c r="AC435" s="130"/>
      <c r="AE435" s="106"/>
    </row>
    <row r="436">
      <c r="C436" s="79"/>
      <c r="D436" s="79"/>
      <c r="E436" s="79"/>
      <c r="P436" s="79"/>
      <c r="Q436" s="79"/>
      <c r="R436" s="79"/>
      <c r="Y436" s="79"/>
      <c r="AC436" s="130"/>
      <c r="AE436" s="106"/>
    </row>
    <row r="437">
      <c r="C437" s="79"/>
      <c r="D437" s="79"/>
      <c r="E437" s="79"/>
      <c r="P437" s="79"/>
      <c r="Q437" s="79"/>
      <c r="R437" s="79"/>
      <c r="Y437" s="79"/>
      <c r="AC437" s="130"/>
      <c r="AE437" s="106"/>
    </row>
    <row r="438">
      <c r="C438" s="79"/>
      <c r="D438" s="79"/>
      <c r="E438" s="79"/>
      <c r="P438" s="79"/>
      <c r="Q438" s="79"/>
      <c r="R438" s="79"/>
      <c r="Y438" s="79"/>
      <c r="AC438" s="130"/>
      <c r="AE438" s="106"/>
    </row>
    <row r="439">
      <c r="C439" s="79"/>
      <c r="D439" s="79"/>
      <c r="E439" s="79"/>
      <c r="P439" s="79"/>
      <c r="Q439" s="79"/>
      <c r="R439" s="79"/>
      <c r="Y439" s="79"/>
      <c r="AC439" s="130"/>
      <c r="AE439" s="106"/>
    </row>
    <row r="440">
      <c r="C440" s="79"/>
      <c r="D440" s="79"/>
      <c r="E440" s="79"/>
      <c r="P440" s="79"/>
      <c r="Q440" s="79"/>
      <c r="R440" s="79"/>
      <c r="Y440" s="79"/>
      <c r="AC440" s="130"/>
      <c r="AE440" s="106"/>
    </row>
    <row r="441">
      <c r="C441" s="79"/>
      <c r="D441" s="79"/>
      <c r="E441" s="79"/>
      <c r="P441" s="79"/>
      <c r="Q441" s="79"/>
      <c r="R441" s="79"/>
      <c r="Y441" s="79"/>
      <c r="AC441" s="130"/>
      <c r="AE441" s="106"/>
    </row>
    <row r="442">
      <c r="C442" s="79"/>
      <c r="D442" s="79"/>
      <c r="E442" s="79"/>
      <c r="P442" s="79"/>
      <c r="Q442" s="79"/>
      <c r="R442" s="79"/>
      <c r="Y442" s="79"/>
      <c r="AC442" s="130"/>
      <c r="AE442" s="106"/>
    </row>
    <row r="443">
      <c r="C443" s="79"/>
      <c r="D443" s="79"/>
      <c r="E443" s="79"/>
      <c r="P443" s="79"/>
      <c r="Q443" s="79"/>
      <c r="R443" s="79"/>
      <c r="Y443" s="79"/>
      <c r="AC443" s="130"/>
      <c r="AE443" s="106"/>
    </row>
    <row r="444">
      <c r="C444" s="79"/>
      <c r="D444" s="79"/>
      <c r="E444" s="79"/>
      <c r="P444" s="79"/>
      <c r="Q444" s="79"/>
      <c r="R444" s="79"/>
      <c r="Y444" s="79"/>
      <c r="AC444" s="130"/>
      <c r="AE444" s="106"/>
    </row>
    <row r="445">
      <c r="C445" s="79"/>
      <c r="D445" s="79"/>
      <c r="E445" s="79"/>
      <c r="P445" s="79"/>
      <c r="Q445" s="79"/>
      <c r="R445" s="79"/>
      <c r="Y445" s="79"/>
      <c r="AC445" s="130"/>
      <c r="AE445" s="106"/>
    </row>
    <row r="446">
      <c r="C446" s="79"/>
      <c r="D446" s="79"/>
      <c r="E446" s="79"/>
      <c r="P446" s="79"/>
      <c r="Q446" s="79"/>
      <c r="R446" s="79"/>
      <c r="Y446" s="79"/>
      <c r="AC446" s="130"/>
      <c r="AE446" s="106"/>
    </row>
    <row r="447">
      <c r="C447" s="79"/>
      <c r="D447" s="79"/>
      <c r="E447" s="79"/>
      <c r="P447" s="79"/>
      <c r="Q447" s="79"/>
      <c r="R447" s="79"/>
      <c r="Y447" s="79"/>
      <c r="AC447" s="130"/>
      <c r="AE447" s="106"/>
    </row>
    <row r="448">
      <c r="C448" s="79"/>
      <c r="D448" s="79"/>
      <c r="E448" s="79"/>
      <c r="P448" s="79"/>
      <c r="Q448" s="79"/>
      <c r="R448" s="79"/>
      <c r="Y448" s="79"/>
      <c r="AC448" s="130"/>
      <c r="AE448" s="106"/>
    </row>
    <row r="449">
      <c r="C449" s="79"/>
      <c r="D449" s="79"/>
      <c r="E449" s="79"/>
      <c r="P449" s="79"/>
      <c r="Q449" s="79"/>
      <c r="R449" s="79"/>
      <c r="Y449" s="79"/>
      <c r="AC449" s="130"/>
      <c r="AE449" s="106"/>
    </row>
    <row r="450">
      <c r="C450" s="79"/>
      <c r="D450" s="79"/>
      <c r="E450" s="79"/>
      <c r="P450" s="79"/>
      <c r="Q450" s="79"/>
      <c r="R450" s="79"/>
      <c r="Y450" s="79"/>
      <c r="AC450" s="130"/>
      <c r="AE450" s="106"/>
    </row>
    <row r="451">
      <c r="C451" s="79"/>
      <c r="D451" s="79"/>
      <c r="E451" s="79"/>
      <c r="P451" s="79"/>
      <c r="Q451" s="79"/>
      <c r="R451" s="79"/>
      <c r="Y451" s="79"/>
      <c r="AC451" s="130"/>
      <c r="AE451" s="106"/>
    </row>
    <row r="452">
      <c r="C452" s="79"/>
      <c r="D452" s="79"/>
      <c r="E452" s="79"/>
      <c r="P452" s="79"/>
      <c r="Q452" s="79"/>
      <c r="R452" s="79"/>
      <c r="Y452" s="79"/>
      <c r="AC452" s="130"/>
      <c r="AE452" s="106"/>
    </row>
    <row r="453">
      <c r="C453" s="79"/>
      <c r="D453" s="79"/>
      <c r="E453" s="79"/>
      <c r="P453" s="79"/>
      <c r="Q453" s="79"/>
      <c r="R453" s="79"/>
      <c r="Y453" s="79"/>
      <c r="AC453" s="130"/>
      <c r="AE453" s="106"/>
    </row>
    <row r="454">
      <c r="C454" s="79"/>
      <c r="D454" s="79"/>
      <c r="E454" s="79"/>
      <c r="P454" s="79"/>
      <c r="Q454" s="79"/>
      <c r="R454" s="79"/>
      <c r="Y454" s="79"/>
      <c r="AC454" s="130"/>
      <c r="AE454" s="106"/>
    </row>
    <row r="455">
      <c r="C455" s="79"/>
      <c r="D455" s="79"/>
      <c r="E455" s="79"/>
      <c r="P455" s="79"/>
      <c r="Q455" s="79"/>
      <c r="R455" s="79"/>
      <c r="Y455" s="79"/>
      <c r="AC455" s="130"/>
      <c r="AE455" s="106"/>
    </row>
    <row r="456">
      <c r="C456" s="79"/>
      <c r="D456" s="79"/>
      <c r="E456" s="79"/>
      <c r="P456" s="79"/>
      <c r="Q456" s="79"/>
      <c r="R456" s="79"/>
      <c r="Y456" s="79"/>
      <c r="AC456" s="130"/>
      <c r="AE456" s="106"/>
    </row>
    <row r="457">
      <c r="C457" s="79"/>
      <c r="D457" s="79"/>
      <c r="E457" s="79"/>
      <c r="P457" s="79"/>
      <c r="Q457" s="79"/>
      <c r="R457" s="79"/>
      <c r="Y457" s="79"/>
      <c r="AC457" s="130"/>
      <c r="AE457" s="106"/>
    </row>
    <row r="458">
      <c r="C458" s="79"/>
      <c r="D458" s="79"/>
      <c r="E458" s="79"/>
      <c r="P458" s="79"/>
      <c r="Q458" s="79"/>
      <c r="R458" s="79"/>
      <c r="Y458" s="79"/>
      <c r="AC458" s="130"/>
      <c r="AE458" s="106"/>
    </row>
    <row r="459">
      <c r="C459" s="79"/>
      <c r="D459" s="79"/>
      <c r="E459" s="79"/>
      <c r="P459" s="79"/>
      <c r="Q459" s="79"/>
      <c r="R459" s="79"/>
      <c r="Y459" s="79"/>
      <c r="AC459" s="130"/>
      <c r="AE459" s="106"/>
    </row>
    <row r="460">
      <c r="C460" s="79"/>
      <c r="D460" s="79"/>
      <c r="E460" s="79"/>
      <c r="P460" s="79"/>
      <c r="Q460" s="79"/>
      <c r="R460" s="79"/>
      <c r="Y460" s="79"/>
      <c r="AC460" s="130"/>
      <c r="AE460" s="106"/>
    </row>
    <row r="461">
      <c r="C461" s="79"/>
      <c r="D461" s="79"/>
      <c r="E461" s="79"/>
      <c r="P461" s="79"/>
      <c r="Q461" s="79"/>
      <c r="R461" s="79"/>
      <c r="Y461" s="79"/>
      <c r="AC461" s="130"/>
      <c r="AE461" s="106"/>
    </row>
    <row r="462">
      <c r="C462" s="79"/>
      <c r="D462" s="79"/>
      <c r="E462" s="79"/>
      <c r="P462" s="79"/>
      <c r="Q462" s="79"/>
      <c r="R462" s="79"/>
      <c r="Y462" s="79"/>
      <c r="AC462" s="130"/>
      <c r="AE462" s="106"/>
    </row>
    <row r="463">
      <c r="C463" s="79"/>
      <c r="D463" s="79"/>
      <c r="E463" s="79"/>
      <c r="P463" s="79"/>
      <c r="Q463" s="79"/>
      <c r="R463" s="79"/>
      <c r="Y463" s="79"/>
      <c r="AC463" s="130"/>
      <c r="AE463" s="106"/>
    </row>
    <row r="464">
      <c r="C464" s="79"/>
      <c r="D464" s="79"/>
      <c r="E464" s="79"/>
      <c r="P464" s="79"/>
      <c r="Q464" s="79"/>
      <c r="R464" s="79"/>
      <c r="Y464" s="79"/>
      <c r="AC464" s="130"/>
      <c r="AE464" s="106"/>
    </row>
    <row r="465">
      <c r="C465" s="79"/>
      <c r="D465" s="79"/>
      <c r="E465" s="79"/>
      <c r="P465" s="79"/>
      <c r="Q465" s="79"/>
      <c r="R465" s="79"/>
      <c r="Y465" s="79"/>
      <c r="AC465" s="130"/>
      <c r="AE465" s="106"/>
    </row>
    <row r="466">
      <c r="C466" s="79"/>
      <c r="D466" s="79"/>
      <c r="E466" s="79"/>
      <c r="P466" s="79"/>
      <c r="Q466" s="79"/>
      <c r="R466" s="79"/>
      <c r="Y466" s="79"/>
      <c r="AC466" s="130"/>
      <c r="AE466" s="106"/>
    </row>
    <row r="467">
      <c r="C467" s="79"/>
      <c r="D467" s="79"/>
      <c r="E467" s="79"/>
      <c r="P467" s="79"/>
      <c r="Q467" s="79"/>
      <c r="R467" s="79"/>
      <c r="Y467" s="79"/>
      <c r="AC467" s="130"/>
      <c r="AE467" s="106"/>
    </row>
    <row r="468">
      <c r="C468" s="79"/>
      <c r="D468" s="79"/>
      <c r="E468" s="79"/>
      <c r="P468" s="79"/>
      <c r="Q468" s="79"/>
      <c r="R468" s="79"/>
      <c r="Y468" s="79"/>
      <c r="AC468" s="130"/>
      <c r="AE468" s="106"/>
    </row>
    <row r="469">
      <c r="C469" s="79"/>
      <c r="D469" s="79"/>
      <c r="E469" s="79"/>
      <c r="P469" s="79"/>
      <c r="Q469" s="79"/>
      <c r="R469" s="79"/>
      <c r="Y469" s="79"/>
      <c r="AC469" s="130"/>
      <c r="AE469" s="106"/>
    </row>
    <row r="470">
      <c r="C470" s="79"/>
      <c r="D470" s="79"/>
      <c r="E470" s="79"/>
      <c r="P470" s="79"/>
      <c r="Q470" s="79"/>
      <c r="R470" s="79"/>
      <c r="Y470" s="79"/>
      <c r="AC470" s="130"/>
      <c r="AE470" s="106"/>
    </row>
    <row r="471">
      <c r="C471" s="79"/>
      <c r="D471" s="79"/>
      <c r="E471" s="79"/>
      <c r="P471" s="79"/>
      <c r="Q471" s="79"/>
      <c r="R471" s="79"/>
      <c r="Y471" s="79"/>
      <c r="AC471" s="130"/>
      <c r="AE471" s="106"/>
    </row>
    <row r="472">
      <c r="C472" s="79"/>
      <c r="D472" s="79"/>
      <c r="E472" s="79"/>
      <c r="P472" s="79"/>
      <c r="Q472" s="79"/>
      <c r="R472" s="79"/>
      <c r="Y472" s="79"/>
      <c r="AC472" s="130"/>
      <c r="AE472" s="106"/>
    </row>
    <row r="473">
      <c r="C473" s="79"/>
      <c r="D473" s="79"/>
      <c r="E473" s="79"/>
      <c r="P473" s="79"/>
      <c r="Q473" s="79"/>
      <c r="R473" s="79"/>
      <c r="Y473" s="79"/>
      <c r="AC473" s="130"/>
      <c r="AE473" s="106"/>
    </row>
    <row r="474">
      <c r="C474" s="79"/>
      <c r="D474" s="79"/>
      <c r="E474" s="79"/>
      <c r="P474" s="79"/>
      <c r="Q474" s="79"/>
      <c r="R474" s="79"/>
      <c r="Y474" s="79"/>
      <c r="AC474" s="130"/>
      <c r="AE474" s="106"/>
    </row>
    <row r="475">
      <c r="C475" s="79"/>
      <c r="D475" s="79"/>
      <c r="E475" s="79"/>
      <c r="P475" s="79"/>
      <c r="Q475" s="79"/>
      <c r="R475" s="79"/>
      <c r="Y475" s="79"/>
      <c r="AC475" s="130"/>
      <c r="AE475" s="106"/>
    </row>
    <row r="476">
      <c r="C476" s="79"/>
      <c r="D476" s="79"/>
      <c r="E476" s="79"/>
      <c r="P476" s="79"/>
      <c r="Q476" s="79"/>
      <c r="R476" s="79"/>
      <c r="Y476" s="79"/>
      <c r="AC476" s="130"/>
      <c r="AE476" s="106"/>
    </row>
    <row r="477">
      <c r="C477" s="79"/>
      <c r="D477" s="79"/>
      <c r="E477" s="79"/>
      <c r="P477" s="79"/>
      <c r="Q477" s="79"/>
      <c r="R477" s="79"/>
      <c r="Y477" s="79"/>
      <c r="AC477" s="130"/>
      <c r="AE477" s="106"/>
    </row>
    <row r="478">
      <c r="C478" s="79"/>
      <c r="D478" s="79"/>
      <c r="E478" s="79"/>
      <c r="P478" s="79"/>
      <c r="Q478" s="79"/>
      <c r="R478" s="79"/>
      <c r="Y478" s="79"/>
      <c r="AC478" s="130"/>
      <c r="AE478" s="106"/>
    </row>
    <row r="479">
      <c r="C479" s="79"/>
      <c r="D479" s="79"/>
      <c r="E479" s="79"/>
      <c r="P479" s="79"/>
      <c r="Q479" s="79"/>
      <c r="R479" s="79"/>
      <c r="Y479" s="79"/>
      <c r="AC479" s="130"/>
      <c r="AE479" s="106"/>
    </row>
    <row r="480">
      <c r="C480" s="79"/>
      <c r="D480" s="79"/>
      <c r="E480" s="79"/>
      <c r="P480" s="79"/>
      <c r="Q480" s="79"/>
      <c r="R480" s="79"/>
      <c r="Y480" s="79"/>
      <c r="AC480" s="130"/>
      <c r="AE480" s="106"/>
    </row>
    <row r="481">
      <c r="C481" s="79"/>
      <c r="D481" s="79"/>
      <c r="E481" s="79"/>
      <c r="P481" s="79"/>
      <c r="Q481" s="79"/>
      <c r="R481" s="79"/>
      <c r="Y481" s="79"/>
      <c r="AC481" s="130"/>
      <c r="AE481" s="106"/>
    </row>
    <row r="482">
      <c r="C482" s="79"/>
      <c r="D482" s="79"/>
      <c r="E482" s="79"/>
      <c r="P482" s="79"/>
      <c r="Q482" s="79"/>
      <c r="R482" s="79"/>
      <c r="Y482" s="79"/>
      <c r="AC482" s="130"/>
      <c r="AE482" s="106"/>
    </row>
    <row r="483">
      <c r="C483" s="79"/>
      <c r="D483" s="79"/>
      <c r="E483" s="79"/>
      <c r="P483" s="79"/>
      <c r="Q483" s="79"/>
      <c r="R483" s="79"/>
      <c r="Y483" s="79"/>
      <c r="AC483" s="130"/>
      <c r="AE483" s="106"/>
    </row>
    <row r="484">
      <c r="C484" s="79"/>
      <c r="D484" s="79"/>
      <c r="E484" s="79"/>
      <c r="P484" s="79"/>
      <c r="Q484" s="79"/>
      <c r="R484" s="79"/>
      <c r="Y484" s="79"/>
      <c r="AC484" s="130"/>
      <c r="AE484" s="106"/>
    </row>
    <row r="485">
      <c r="C485" s="79"/>
      <c r="D485" s="79"/>
      <c r="E485" s="79"/>
      <c r="P485" s="79"/>
      <c r="Q485" s="79"/>
      <c r="R485" s="79"/>
      <c r="Y485" s="79"/>
      <c r="AC485" s="130"/>
      <c r="AE485" s="106"/>
    </row>
    <row r="486">
      <c r="C486" s="79"/>
      <c r="D486" s="79"/>
      <c r="E486" s="79"/>
      <c r="P486" s="79"/>
      <c r="Q486" s="79"/>
      <c r="R486" s="79"/>
      <c r="Y486" s="79"/>
      <c r="AC486" s="130"/>
      <c r="AE486" s="106"/>
    </row>
    <row r="487">
      <c r="C487" s="79"/>
      <c r="D487" s="79"/>
      <c r="E487" s="79"/>
      <c r="P487" s="79"/>
      <c r="Q487" s="79"/>
      <c r="R487" s="79"/>
      <c r="Y487" s="79"/>
      <c r="AC487" s="130"/>
      <c r="AE487" s="106"/>
    </row>
    <row r="488">
      <c r="C488" s="79"/>
      <c r="D488" s="79"/>
      <c r="E488" s="79"/>
      <c r="P488" s="79"/>
      <c r="Q488" s="79"/>
      <c r="R488" s="79"/>
      <c r="Y488" s="79"/>
      <c r="AC488" s="130"/>
      <c r="AE488" s="106"/>
    </row>
    <row r="489">
      <c r="C489" s="79"/>
      <c r="D489" s="79"/>
      <c r="E489" s="79"/>
      <c r="P489" s="79"/>
      <c r="Q489" s="79"/>
      <c r="R489" s="79"/>
      <c r="Y489" s="79"/>
      <c r="AC489" s="130"/>
      <c r="AE489" s="106"/>
    </row>
    <row r="490">
      <c r="C490" s="79"/>
      <c r="D490" s="79"/>
      <c r="E490" s="79"/>
      <c r="P490" s="79"/>
      <c r="Q490" s="79"/>
      <c r="R490" s="79"/>
      <c r="Y490" s="79"/>
      <c r="AC490" s="130"/>
      <c r="AE490" s="106"/>
    </row>
    <row r="491">
      <c r="C491" s="79"/>
      <c r="D491" s="79"/>
      <c r="E491" s="79"/>
      <c r="P491" s="79"/>
      <c r="Q491" s="79"/>
      <c r="R491" s="79"/>
      <c r="Y491" s="79"/>
      <c r="AC491" s="130"/>
      <c r="AE491" s="106"/>
    </row>
    <row r="492">
      <c r="C492" s="79"/>
      <c r="D492" s="79"/>
      <c r="E492" s="79"/>
      <c r="P492" s="79"/>
      <c r="Q492" s="79"/>
      <c r="R492" s="79"/>
      <c r="Y492" s="79"/>
      <c r="AC492" s="130"/>
      <c r="AE492" s="106"/>
    </row>
    <row r="493">
      <c r="C493" s="79"/>
      <c r="D493" s="79"/>
      <c r="E493" s="79"/>
      <c r="P493" s="79"/>
      <c r="Q493" s="79"/>
      <c r="R493" s="79"/>
      <c r="Y493" s="79"/>
      <c r="AC493" s="130"/>
      <c r="AE493" s="106"/>
    </row>
    <row r="494">
      <c r="C494" s="79"/>
      <c r="D494" s="79"/>
      <c r="E494" s="79"/>
      <c r="P494" s="79"/>
      <c r="Q494" s="79"/>
      <c r="R494" s="79"/>
      <c r="Y494" s="79"/>
      <c r="AC494" s="130"/>
      <c r="AE494" s="106"/>
    </row>
    <row r="495">
      <c r="C495" s="79"/>
      <c r="D495" s="79"/>
      <c r="E495" s="79"/>
      <c r="P495" s="79"/>
      <c r="Q495" s="79"/>
      <c r="R495" s="79"/>
      <c r="Y495" s="79"/>
      <c r="AC495" s="130"/>
      <c r="AE495" s="106"/>
    </row>
    <row r="496">
      <c r="C496" s="79"/>
      <c r="D496" s="79"/>
      <c r="E496" s="79"/>
      <c r="P496" s="79"/>
      <c r="Q496" s="79"/>
      <c r="R496" s="79"/>
      <c r="Y496" s="79"/>
      <c r="AC496" s="130"/>
      <c r="AE496" s="106"/>
    </row>
    <row r="497">
      <c r="C497" s="79"/>
      <c r="D497" s="79"/>
      <c r="E497" s="79"/>
      <c r="P497" s="79"/>
      <c r="Q497" s="79"/>
      <c r="R497" s="79"/>
      <c r="Y497" s="79"/>
      <c r="AC497" s="130"/>
      <c r="AE497" s="106"/>
    </row>
    <row r="498">
      <c r="C498" s="79"/>
      <c r="D498" s="79"/>
      <c r="E498" s="79"/>
      <c r="P498" s="79"/>
      <c r="Q498" s="79"/>
      <c r="R498" s="79"/>
      <c r="Y498" s="79"/>
      <c r="AC498" s="130"/>
      <c r="AE498" s="106"/>
    </row>
    <row r="499">
      <c r="C499" s="79"/>
      <c r="D499" s="79"/>
      <c r="E499" s="79"/>
      <c r="P499" s="79"/>
      <c r="Q499" s="79"/>
      <c r="R499" s="79"/>
      <c r="Y499" s="79"/>
      <c r="AC499" s="130"/>
      <c r="AE499" s="106"/>
    </row>
    <row r="500">
      <c r="C500" s="79"/>
      <c r="D500" s="79"/>
      <c r="E500" s="79"/>
      <c r="P500" s="79"/>
      <c r="Q500" s="79"/>
      <c r="R500" s="79"/>
      <c r="Y500" s="79"/>
      <c r="AC500" s="130"/>
      <c r="AE500" s="106"/>
    </row>
    <row r="501">
      <c r="C501" s="79"/>
      <c r="D501" s="79"/>
      <c r="E501" s="79"/>
      <c r="P501" s="79"/>
      <c r="Q501" s="79"/>
      <c r="R501" s="79"/>
      <c r="Y501" s="79"/>
      <c r="AC501" s="130"/>
      <c r="AE501" s="106"/>
    </row>
    <row r="502">
      <c r="C502" s="79"/>
      <c r="D502" s="79"/>
      <c r="E502" s="79"/>
      <c r="P502" s="79"/>
      <c r="Q502" s="79"/>
      <c r="R502" s="79"/>
      <c r="Y502" s="79"/>
      <c r="AC502" s="130"/>
      <c r="AE502" s="106"/>
    </row>
    <row r="503">
      <c r="C503" s="79"/>
      <c r="D503" s="79"/>
      <c r="E503" s="79"/>
      <c r="P503" s="79"/>
      <c r="Q503" s="79"/>
      <c r="R503" s="79"/>
      <c r="Y503" s="79"/>
      <c r="AC503" s="130"/>
      <c r="AE503" s="106"/>
    </row>
    <row r="504">
      <c r="C504" s="79"/>
      <c r="D504" s="79"/>
      <c r="E504" s="79"/>
      <c r="P504" s="79"/>
      <c r="Q504" s="79"/>
      <c r="R504" s="79"/>
      <c r="Y504" s="79"/>
      <c r="AC504" s="130"/>
      <c r="AE504" s="106"/>
    </row>
    <row r="505">
      <c r="C505" s="79"/>
      <c r="D505" s="79"/>
      <c r="E505" s="79"/>
      <c r="P505" s="79"/>
      <c r="Q505" s="79"/>
      <c r="R505" s="79"/>
      <c r="Y505" s="79"/>
      <c r="AC505" s="130"/>
      <c r="AE505" s="106"/>
    </row>
    <row r="506">
      <c r="C506" s="79"/>
      <c r="D506" s="79"/>
      <c r="E506" s="79"/>
      <c r="P506" s="79"/>
      <c r="Q506" s="79"/>
      <c r="R506" s="79"/>
      <c r="Y506" s="79"/>
      <c r="AC506" s="130"/>
      <c r="AE506" s="106"/>
    </row>
    <row r="507">
      <c r="C507" s="79"/>
      <c r="D507" s="79"/>
      <c r="E507" s="79"/>
      <c r="P507" s="79"/>
      <c r="Q507" s="79"/>
      <c r="R507" s="79"/>
      <c r="Y507" s="79"/>
      <c r="AC507" s="130"/>
      <c r="AE507" s="106"/>
    </row>
    <row r="508">
      <c r="C508" s="79"/>
      <c r="D508" s="79"/>
      <c r="E508" s="79"/>
      <c r="P508" s="79"/>
      <c r="Q508" s="79"/>
      <c r="R508" s="79"/>
      <c r="Y508" s="79"/>
      <c r="AC508" s="130"/>
      <c r="AE508" s="106"/>
    </row>
    <row r="509">
      <c r="C509" s="79"/>
      <c r="D509" s="79"/>
      <c r="E509" s="79"/>
      <c r="P509" s="79"/>
      <c r="Q509" s="79"/>
      <c r="R509" s="79"/>
      <c r="Y509" s="79"/>
      <c r="AC509" s="130"/>
      <c r="AE509" s="106"/>
    </row>
    <row r="510">
      <c r="C510" s="79"/>
      <c r="D510" s="79"/>
      <c r="E510" s="79"/>
      <c r="P510" s="79"/>
      <c r="Q510" s="79"/>
      <c r="R510" s="79"/>
      <c r="Y510" s="79"/>
      <c r="AC510" s="130"/>
      <c r="AE510" s="106"/>
    </row>
    <row r="511">
      <c r="C511" s="79"/>
      <c r="D511" s="79"/>
      <c r="E511" s="79"/>
      <c r="P511" s="79"/>
      <c r="Q511" s="79"/>
      <c r="R511" s="79"/>
      <c r="Y511" s="79"/>
      <c r="AC511" s="130"/>
      <c r="AE511" s="106"/>
    </row>
    <row r="512">
      <c r="C512" s="79"/>
      <c r="D512" s="79"/>
      <c r="E512" s="79"/>
      <c r="P512" s="79"/>
      <c r="Q512" s="79"/>
      <c r="R512" s="79"/>
      <c r="Y512" s="79"/>
      <c r="AC512" s="130"/>
      <c r="AE512" s="106"/>
    </row>
    <row r="513">
      <c r="C513" s="79"/>
      <c r="D513" s="79"/>
      <c r="E513" s="79"/>
      <c r="P513" s="79"/>
      <c r="Q513" s="79"/>
      <c r="R513" s="79"/>
      <c r="Y513" s="79"/>
      <c r="AC513" s="130"/>
      <c r="AE513" s="106"/>
    </row>
    <row r="514">
      <c r="C514" s="79"/>
      <c r="D514" s="79"/>
      <c r="E514" s="79"/>
      <c r="P514" s="79"/>
      <c r="Q514" s="79"/>
      <c r="R514" s="79"/>
      <c r="Y514" s="79"/>
      <c r="AC514" s="130"/>
      <c r="AE514" s="106"/>
    </row>
    <row r="515">
      <c r="C515" s="79"/>
      <c r="D515" s="79"/>
      <c r="E515" s="79"/>
      <c r="P515" s="79"/>
      <c r="Q515" s="79"/>
      <c r="R515" s="79"/>
      <c r="Y515" s="79"/>
      <c r="AC515" s="130"/>
      <c r="AE515" s="106"/>
    </row>
    <row r="516">
      <c r="C516" s="79"/>
      <c r="D516" s="79"/>
      <c r="E516" s="79"/>
      <c r="P516" s="79"/>
      <c r="Q516" s="79"/>
      <c r="R516" s="79"/>
      <c r="Y516" s="79"/>
      <c r="AC516" s="130"/>
      <c r="AE516" s="106"/>
    </row>
    <row r="517">
      <c r="C517" s="79"/>
      <c r="D517" s="79"/>
      <c r="E517" s="79"/>
      <c r="P517" s="79"/>
      <c r="Q517" s="79"/>
      <c r="R517" s="79"/>
      <c r="Y517" s="79"/>
      <c r="AC517" s="130"/>
      <c r="AE517" s="106"/>
    </row>
    <row r="518">
      <c r="C518" s="79"/>
      <c r="D518" s="79"/>
      <c r="E518" s="79"/>
      <c r="P518" s="79"/>
      <c r="Q518" s="79"/>
      <c r="R518" s="79"/>
      <c r="Y518" s="79"/>
      <c r="AC518" s="130"/>
      <c r="AE518" s="106"/>
    </row>
    <row r="519">
      <c r="C519" s="79"/>
      <c r="D519" s="79"/>
      <c r="E519" s="79"/>
      <c r="P519" s="79"/>
      <c r="Q519" s="79"/>
      <c r="R519" s="79"/>
      <c r="Y519" s="79"/>
      <c r="AC519" s="130"/>
      <c r="AE519" s="106"/>
    </row>
    <row r="520">
      <c r="C520" s="79"/>
      <c r="D520" s="79"/>
      <c r="E520" s="79"/>
      <c r="P520" s="79"/>
      <c r="Q520" s="79"/>
      <c r="R520" s="79"/>
      <c r="Y520" s="79"/>
      <c r="AC520" s="130"/>
      <c r="AE520" s="106"/>
    </row>
    <row r="521">
      <c r="C521" s="79"/>
      <c r="D521" s="79"/>
      <c r="E521" s="79"/>
      <c r="P521" s="79"/>
      <c r="Q521" s="79"/>
      <c r="R521" s="79"/>
      <c r="Y521" s="79"/>
      <c r="AC521" s="130"/>
      <c r="AE521" s="106"/>
    </row>
    <row r="522">
      <c r="C522" s="79"/>
      <c r="D522" s="79"/>
      <c r="E522" s="79"/>
      <c r="P522" s="79"/>
      <c r="Q522" s="79"/>
      <c r="R522" s="79"/>
      <c r="Y522" s="79"/>
      <c r="AC522" s="130"/>
      <c r="AE522" s="106"/>
    </row>
    <row r="523">
      <c r="C523" s="79"/>
      <c r="D523" s="79"/>
      <c r="E523" s="79"/>
      <c r="P523" s="79"/>
      <c r="Q523" s="79"/>
      <c r="R523" s="79"/>
      <c r="Y523" s="79"/>
      <c r="AC523" s="130"/>
      <c r="AE523" s="106"/>
    </row>
    <row r="524">
      <c r="C524" s="79"/>
      <c r="D524" s="79"/>
      <c r="E524" s="79"/>
      <c r="P524" s="79"/>
      <c r="Q524" s="79"/>
      <c r="R524" s="79"/>
      <c r="Y524" s="79"/>
      <c r="AC524" s="130"/>
      <c r="AE524" s="106"/>
    </row>
    <row r="525">
      <c r="C525" s="79"/>
      <c r="D525" s="79"/>
      <c r="E525" s="79"/>
      <c r="P525" s="79"/>
      <c r="Q525" s="79"/>
      <c r="R525" s="79"/>
      <c r="Y525" s="79"/>
      <c r="AC525" s="130"/>
      <c r="AE525" s="106"/>
    </row>
    <row r="526">
      <c r="C526" s="79"/>
      <c r="D526" s="79"/>
      <c r="E526" s="79"/>
      <c r="P526" s="79"/>
      <c r="Q526" s="79"/>
      <c r="R526" s="79"/>
      <c r="Y526" s="79"/>
      <c r="AC526" s="130"/>
      <c r="AE526" s="106"/>
    </row>
    <row r="527">
      <c r="C527" s="79"/>
      <c r="D527" s="79"/>
      <c r="E527" s="79"/>
      <c r="P527" s="79"/>
      <c r="Q527" s="79"/>
      <c r="R527" s="79"/>
      <c r="Y527" s="79"/>
      <c r="AC527" s="130"/>
      <c r="AE527" s="106"/>
    </row>
    <row r="528">
      <c r="C528" s="79"/>
      <c r="D528" s="79"/>
      <c r="E528" s="79"/>
      <c r="P528" s="79"/>
      <c r="Q528" s="79"/>
      <c r="R528" s="79"/>
      <c r="Y528" s="79"/>
      <c r="AC528" s="130"/>
      <c r="AE528" s="106"/>
    </row>
    <row r="529">
      <c r="C529" s="79"/>
      <c r="D529" s="79"/>
      <c r="E529" s="79"/>
      <c r="P529" s="79"/>
      <c r="Q529" s="79"/>
      <c r="R529" s="79"/>
      <c r="Y529" s="79"/>
      <c r="AC529" s="130"/>
      <c r="AE529" s="106"/>
    </row>
    <row r="530">
      <c r="C530" s="79"/>
      <c r="D530" s="79"/>
      <c r="E530" s="79"/>
      <c r="P530" s="79"/>
      <c r="Q530" s="79"/>
      <c r="R530" s="79"/>
      <c r="Y530" s="79"/>
      <c r="AC530" s="130"/>
      <c r="AE530" s="106"/>
    </row>
    <row r="531">
      <c r="C531" s="79"/>
      <c r="D531" s="79"/>
      <c r="E531" s="79"/>
      <c r="P531" s="79"/>
      <c r="Q531" s="79"/>
      <c r="R531" s="79"/>
      <c r="Y531" s="79"/>
      <c r="AC531" s="130"/>
      <c r="AE531" s="106"/>
    </row>
    <row r="532">
      <c r="C532" s="79"/>
      <c r="D532" s="79"/>
      <c r="E532" s="79"/>
      <c r="P532" s="79"/>
      <c r="Q532" s="79"/>
      <c r="R532" s="79"/>
      <c r="Y532" s="79"/>
      <c r="AC532" s="130"/>
      <c r="AE532" s="106"/>
    </row>
    <row r="533">
      <c r="C533" s="79"/>
      <c r="D533" s="79"/>
      <c r="E533" s="79"/>
      <c r="P533" s="79"/>
      <c r="Q533" s="79"/>
      <c r="R533" s="79"/>
      <c r="Y533" s="79"/>
      <c r="AC533" s="130"/>
      <c r="AE533" s="106"/>
    </row>
    <row r="534">
      <c r="C534" s="79"/>
      <c r="D534" s="79"/>
      <c r="E534" s="79"/>
      <c r="P534" s="79"/>
      <c r="Q534" s="79"/>
      <c r="R534" s="79"/>
      <c r="Y534" s="79"/>
      <c r="AC534" s="130"/>
      <c r="AE534" s="106"/>
    </row>
    <row r="535">
      <c r="C535" s="79"/>
      <c r="D535" s="79"/>
      <c r="E535" s="79"/>
      <c r="P535" s="79"/>
      <c r="Q535" s="79"/>
      <c r="R535" s="79"/>
      <c r="Y535" s="79"/>
      <c r="AC535" s="130"/>
      <c r="AE535" s="106"/>
    </row>
    <row r="536">
      <c r="C536" s="79"/>
      <c r="D536" s="79"/>
      <c r="E536" s="79"/>
      <c r="P536" s="79"/>
      <c r="Q536" s="79"/>
      <c r="R536" s="79"/>
      <c r="Y536" s="79"/>
      <c r="AC536" s="130"/>
      <c r="AE536" s="106"/>
    </row>
    <row r="537">
      <c r="C537" s="79"/>
      <c r="D537" s="79"/>
      <c r="E537" s="79"/>
      <c r="P537" s="79"/>
      <c r="Q537" s="79"/>
      <c r="R537" s="79"/>
      <c r="Y537" s="79"/>
      <c r="AC537" s="130"/>
      <c r="AE537" s="106"/>
    </row>
    <row r="538">
      <c r="C538" s="79"/>
      <c r="D538" s="79"/>
      <c r="E538" s="79"/>
      <c r="P538" s="79"/>
      <c r="Q538" s="79"/>
      <c r="R538" s="79"/>
      <c r="Y538" s="79"/>
      <c r="AC538" s="130"/>
      <c r="AE538" s="106"/>
    </row>
    <row r="539">
      <c r="C539" s="79"/>
      <c r="D539" s="79"/>
      <c r="E539" s="79"/>
      <c r="P539" s="79"/>
      <c r="Q539" s="79"/>
      <c r="R539" s="79"/>
      <c r="Y539" s="79"/>
      <c r="AC539" s="130"/>
      <c r="AE539" s="106"/>
    </row>
    <row r="540">
      <c r="C540" s="79"/>
      <c r="D540" s="79"/>
      <c r="E540" s="79"/>
      <c r="P540" s="79"/>
      <c r="Q540" s="79"/>
      <c r="R540" s="79"/>
      <c r="Y540" s="79"/>
      <c r="AC540" s="130"/>
      <c r="AE540" s="106"/>
    </row>
    <row r="541">
      <c r="C541" s="79"/>
      <c r="D541" s="79"/>
      <c r="E541" s="79"/>
      <c r="P541" s="79"/>
      <c r="Q541" s="79"/>
      <c r="R541" s="79"/>
      <c r="Y541" s="79"/>
      <c r="AC541" s="130"/>
      <c r="AE541" s="106"/>
    </row>
    <row r="542">
      <c r="C542" s="79"/>
      <c r="D542" s="79"/>
      <c r="E542" s="79"/>
      <c r="P542" s="79"/>
      <c r="Q542" s="79"/>
      <c r="R542" s="79"/>
      <c r="Y542" s="79"/>
      <c r="AC542" s="130"/>
      <c r="AE542" s="106"/>
    </row>
    <row r="543">
      <c r="C543" s="79"/>
      <c r="D543" s="79"/>
      <c r="E543" s="79"/>
      <c r="P543" s="79"/>
      <c r="Q543" s="79"/>
      <c r="R543" s="79"/>
      <c r="Y543" s="79"/>
      <c r="AC543" s="130"/>
      <c r="AE543" s="106"/>
    </row>
    <row r="544">
      <c r="C544" s="79"/>
      <c r="D544" s="79"/>
      <c r="E544" s="79"/>
      <c r="P544" s="79"/>
      <c r="Q544" s="79"/>
      <c r="R544" s="79"/>
      <c r="Y544" s="79"/>
      <c r="AC544" s="130"/>
      <c r="AE544" s="106"/>
    </row>
    <row r="545">
      <c r="C545" s="79"/>
      <c r="D545" s="79"/>
      <c r="E545" s="79"/>
      <c r="P545" s="79"/>
      <c r="Q545" s="79"/>
      <c r="R545" s="79"/>
      <c r="Y545" s="79"/>
      <c r="AC545" s="130"/>
      <c r="AE545" s="106"/>
    </row>
    <row r="546">
      <c r="C546" s="79"/>
      <c r="D546" s="79"/>
      <c r="E546" s="79"/>
      <c r="P546" s="79"/>
      <c r="Q546" s="79"/>
      <c r="R546" s="79"/>
      <c r="Y546" s="79"/>
      <c r="AC546" s="130"/>
      <c r="AE546" s="106"/>
    </row>
    <row r="547">
      <c r="C547" s="79"/>
      <c r="D547" s="79"/>
      <c r="E547" s="79"/>
      <c r="P547" s="79"/>
      <c r="Q547" s="79"/>
      <c r="R547" s="79"/>
      <c r="Y547" s="79"/>
      <c r="AC547" s="130"/>
      <c r="AE547" s="106"/>
    </row>
    <row r="548">
      <c r="C548" s="79"/>
      <c r="D548" s="79"/>
      <c r="E548" s="79"/>
      <c r="P548" s="79"/>
      <c r="Q548" s="79"/>
      <c r="R548" s="79"/>
      <c r="Y548" s="79"/>
      <c r="AC548" s="130"/>
      <c r="AE548" s="106"/>
    </row>
    <row r="549">
      <c r="C549" s="79"/>
      <c r="D549" s="79"/>
      <c r="E549" s="79"/>
      <c r="P549" s="79"/>
      <c r="Q549" s="79"/>
      <c r="R549" s="79"/>
      <c r="Y549" s="79"/>
      <c r="AC549" s="130"/>
      <c r="AE549" s="106"/>
    </row>
    <row r="550">
      <c r="C550" s="79"/>
      <c r="D550" s="79"/>
      <c r="E550" s="79"/>
      <c r="P550" s="79"/>
      <c r="Q550" s="79"/>
      <c r="R550" s="79"/>
      <c r="Y550" s="79"/>
      <c r="AC550" s="130"/>
      <c r="AE550" s="106"/>
    </row>
    <row r="551">
      <c r="C551" s="79"/>
      <c r="D551" s="79"/>
      <c r="E551" s="79"/>
      <c r="P551" s="79"/>
      <c r="Q551" s="79"/>
      <c r="R551" s="79"/>
      <c r="Y551" s="79"/>
      <c r="AC551" s="130"/>
      <c r="AE551" s="106"/>
    </row>
    <row r="552">
      <c r="C552" s="79"/>
      <c r="D552" s="79"/>
      <c r="E552" s="79"/>
      <c r="P552" s="79"/>
      <c r="Q552" s="79"/>
      <c r="R552" s="79"/>
      <c r="Y552" s="79"/>
      <c r="AC552" s="130"/>
      <c r="AE552" s="106"/>
    </row>
    <row r="553">
      <c r="C553" s="79"/>
      <c r="D553" s="79"/>
      <c r="E553" s="79"/>
      <c r="P553" s="79"/>
      <c r="Q553" s="79"/>
      <c r="R553" s="79"/>
      <c r="Y553" s="79"/>
      <c r="AC553" s="130"/>
      <c r="AE553" s="106"/>
    </row>
    <row r="554">
      <c r="C554" s="79"/>
      <c r="D554" s="79"/>
      <c r="E554" s="79"/>
      <c r="P554" s="79"/>
      <c r="Q554" s="79"/>
      <c r="R554" s="79"/>
      <c r="Y554" s="79"/>
      <c r="AC554" s="130"/>
      <c r="AE554" s="106"/>
    </row>
    <row r="555">
      <c r="C555" s="79"/>
      <c r="D555" s="79"/>
      <c r="E555" s="79"/>
      <c r="P555" s="79"/>
      <c r="Q555" s="79"/>
      <c r="R555" s="79"/>
      <c r="Y555" s="79"/>
      <c r="AC555" s="130"/>
      <c r="AE555" s="106"/>
    </row>
    <row r="556">
      <c r="C556" s="79"/>
      <c r="D556" s="79"/>
      <c r="E556" s="79"/>
      <c r="P556" s="79"/>
      <c r="Q556" s="79"/>
      <c r="R556" s="79"/>
      <c r="Y556" s="79"/>
      <c r="AC556" s="130"/>
      <c r="AE556" s="106"/>
    </row>
    <row r="557">
      <c r="C557" s="79"/>
      <c r="D557" s="79"/>
      <c r="E557" s="79"/>
      <c r="P557" s="79"/>
      <c r="Q557" s="79"/>
      <c r="R557" s="79"/>
      <c r="Y557" s="79"/>
      <c r="AC557" s="130"/>
      <c r="AE557" s="106"/>
    </row>
    <row r="558">
      <c r="C558" s="79"/>
      <c r="D558" s="79"/>
      <c r="E558" s="79"/>
      <c r="P558" s="79"/>
      <c r="Q558" s="79"/>
      <c r="R558" s="79"/>
      <c r="Y558" s="79"/>
      <c r="AC558" s="130"/>
      <c r="AE558" s="106"/>
    </row>
    <row r="559">
      <c r="C559" s="79"/>
      <c r="D559" s="79"/>
      <c r="E559" s="79"/>
      <c r="P559" s="79"/>
      <c r="Q559" s="79"/>
      <c r="R559" s="79"/>
      <c r="Y559" s="79"/>
      <c r="AC559" s="130"/>
      <c r="AE559" s="106"/>
    </row>
    <row r="560">
      <c r="C560" s="79"/>
      <c r="D560" s="79"/>
      <c r="E560" s="79"/>
      <c r="P560" s="79"/>
      <c r="Q560" s="79"/>
      <c r="R560" s="79"/>
      <c r="Y560" s="79"/>
      <c r="AC560" s="130"/>
      <c r="AE560" s="106"/>
    </row>
    <row r="561">
      <c r="C561" s="79"/>
      <c r="D561" s="79"/>
      <c r="E561" s="79"/>
      <c r="P561" s="79"/>
      <c r="Q561" s="79"/>
      <c r="R561" s="79"/>
      <c r="Y561" s="79"/>
      <c r="AC561" s="130"/>
      <c r="AE561" s="106"/>
    </row>
    <row r="562">
      <c r="C562" s="79"/>
      <c r="D562" s="79"/>
      <c r="E562" s="79"/>
      <c r="P562" s="79"/>
      <c r="Q562" s="79"/>
      <c r="R562" s="79"/>
      <c r="Y562" s="79"/>
      <c r="AC562" s="130"/>
      <c r="AE562" s="106"/>
    </row>
    <row r="563">
      <c r="C563" s="79"/>
      <c r="D563" s="79"/>
      <c r="E563" s="79"/>
      <c r="P563" s="79"/>
      <c r="Q563" s="79"/>
      <c r="R563" s="79"/>
      <c r="Y563" s="79"/>
      <c r="AC563" s="130"/>
      <c r="AE563" s="106"/>
    </row>
    <row r="564">
      <c r="C564" s="79"/>
      <c r="D564" s="79"/>
      <c r="E564" s="79"/>
      <c r="P564" s="79"/>
      <c r="Q564" s="79"/>
      <c r="R564" s="79"/>
      <c r="Y564" s="79"/>
      <c r="AC564" s="130"/>
      <c r="AE564" s="106"/>
    </row>
    <row r="565">
      <c r="C565" s="79"/>
      <c r="D565" s="79"/>
      <c r="E565" s="79"/>
      <c r="P565" s="79"/>
      <c r="Q565" s="79"/>
      <c r="R565" s="79"/>
      <c r="Y565" s="79"/>
      <c r="AC565" s="130"/>
      <c r="AE565" s="106"/>
    </row>
    <row r="566">
      <c r="C566" s="79"/>
      <c r="D566" s="79"/>
      <c r="E566" s="79"/>
      <c r="P566" s="79"/>
      <c r="Q566" s="79"/>
      <c r="R566" s="79"/>
      <c r="Y566" s="79"/>
      <c r="AC566" s="130"/>
      <c r="AE566" s="106"/>
    </row>
    <row r="567">
      <c r="C567" s="79"/>
      <c r="D567" s="79"/>
      <c r="E567" s="79"/>
      <c r="P567" s="79"/>
      <c r="Q567" s="79"/>
      <c r="R567" s="79"/>
      <c r="Y567" s="79"/>
      <c r="AC567" s="130"/>
      <c r="AE567" s="106"/>
    </row>
    <row r="568">
      <c r="C568" s="79"/>
      <c r="D568" s="79"/>
      <c r="E568" s="79"/>
      <c r="P568" s="79"/>
      <c r="Q568" s="79"/>
      <c r="R568" s="79"/>
      <c r="Y568" s="79"/>
      <c r="AC568" s="130"/>
      <c r="AE568" s="106"/>
    </row>
    <row r="569">
      <c r="C569" s="79"/>
      <c r="D569" s="79"/>
      <c r="E569" s="79"/>
      <c r="P569" s="79"/>
      <c r="Q569" s="79"/>
      <c r="R569" s="79"/>
      <c r="Y569" s="79"/>
      <c r="AC569" s="130"/>
      <c r="AE569" s="106"/>
    </row>
    <row r="570">
      <c r="C570" s="79"/>
      <c r="D570" s="79"/>
      <c r="E570" s="79"/>
      <c r="P570" s="79"/>
      <c r="Q570" s="79"/>
      <c r="R570" s="79"/>
      <c r="Y570" s="79"/>
      <c r="AC570" s="130"/>
      <c r="AE570" s="106"/>
    </row>
    <row r="571">
      <c r="C571" s="79"/>
      <c r="D571" s="79"/>
      <c r="E571" s="79"/>
      <c r="P571" s="79"/>
      <c r="Q571" s="79"/>
      <c r="R571" s="79"/>
      <c r="Y571" s="79"/>
      <c r="AC571" s="130"/>
      <c r="AE571" s="106"/>
    </row>
    <row r="572">
      <c r="C572" s="79"/>
      <c r="D572" s="79"/>
      <c r="E572" s="79"/>
      <c r="P572" s="79"/>
      <c r="Q572" s="79"/>
      <c r="R572" s="79"/>
      <c r="Y572" s="79"/>
      <c r="AC572" s="130"/>
      <c r="AE572" s="106"/>
    </row>
    <row r="573">
      <c r="C573" s="79"/>
      <c r="D573" s="79"/>
      <c r="E573" s="79"/>
      <c r="P573" s="79"/>
      <c r="Q573" s="79"/>
      <c r="R573" s="79"/>
      <c r="Y573" s="79"/>
      <c r="AC573" s="130"/>
      <c r="AE573" s="106"/>
    </row>
    <row r="574">
      <c r="C574" s="79"/>
      <c r="D574" s="79"/>
      <c r="E574" s="79"/>
      <c r="P574" s="79"/>
      <c r="Q574" s="79"/>
      <c r="R574" s="79"/>
      <c r="Y574" s="79"/>
      <c r="AC574" s="130"/>
      <c r="AE574" s="106"/>
    </row>
    <row r="575">
      <c r="C575" s="79"/>
      <c r="D575" s="79"/>
      <c r="E575" s="79"/>
      <c r="P575" s="79"/>
      <c r="Q575" s="79"/>
      <c r="R575" s="79"/>
      <c r="Y575" s="79"/>
      <c r="AC575" s="130"/>
      <c r="AE575" s="106"/>
    </row>
    <row r="576">
      <c r="C576" s="79"/>
      <c r="D576" s="79"/>
      <c r="E576" s="79"/>
      <c r="P576" s="79"/>
      <c r="Q576" s="79"/>
      <c r="R576" s="79"/>
      <c r="Y576" s="79"/>
      <c r="AC576" s="130"/>
      <c r="AE576" s="106"/>
    </row>
    <row r="577">
      <c r="C577" s="79"/>
      <c r="D577" s="79"/>
      <c r="E577" s="79"/>
      <c r="P577" s="79"/>
      <c r="Q577" s="79"/>
      <c r="R577" s="79"/>
      <c r="Y577" s="79"/>
      <c r="AC577" s="130"/>
      <c r="AE577" s="106"/>
    </row>
    <row r="578">
      <c r="C578" s="79"/>
      <c r="D578" s="79"/>
      <c r="E578" s="79"/>
      <c r="P578" s="79"/>
      <c r="Q578" s="79"/>
      <c r="R578" s="79"/>
      <c r="Y578" s="79"/>
      <c r="AC578" s="130"/>
      <c r="AE578" s="106"/>
    </row>
    <row r="579">
      <c r="C579" s="79"/>
      <c r="D579" s="79"/>
      <c r="E579" s="79"/>
      <c r="P579" s="79"/>
      <c r="Q579" s="79"/>
      <c r="R579" s="79"/>
      <c r="Y579" s="79"/>
      <c r="AC579" s="130"/>
      <c r="AE579" s="106"/>
    </row>
    <row r="580">
      <c r="C580" s="79"/>
      <c r="D580" s="79"/>
      <c r="E580" s="79"/>
      <c r="P580" s="79"/>
      <c r="Q580" s="79"/>
      <c r="R580" s="79"/>
      <c r="Y580" s="79"/>
      <c r="AC580" s="130"/>
      <c r="AE580" s="106"/>
    </row>
    <row r="581">
      <c r="C581" s="79"/>
      <c r="D581" s="79"/>
      <c r="E581" s="79"/>
      <c r="P581" s="79"/>
      <c r="Q581" s="79"/>
      <c r="R581" s="79"/>
      <c r="Y581" s="79"/>
      <c r="AC581" s="130"/>
      <c r="AE581" s="106"/>
    </row>
    <row r="582">
      <c r="C582" s="79"/>
      <c r="D582" s="79"/>
      <c r="E582" s="79"/>
      <c r="P582" s="79"/>
      <c r="Q582" s="79"/>
      <c r="R582" s="79"/>
      <c r="Y582" s="79"/>
      <c r="AC582" s="130"/>
      <c r="AE582" s="106"/>
    </row>
    <row r="583">
      <c r="C583" s="79"/>
      <c r="D583" s="79"/>
      <c r="E583" s="79"/>
      <c r="P583" s="79"/>
      <c r="Q583" s="79"/>
      <c r="R583" s="79"/>
      <c r="Y583" s="79"/>
      <c r="AC583" s="130"/>
      <c r="AE583" s="106"/>
    </row>
    <row r="584">
      <c r="C584" s="79"/>
      <c r="D584" s="79"/>
      <c r="E584" s="79"/>
      <c r="P584" s="79"/>
      <c r="Q584" s="79"/>
      <c r="R584" s="79"/>
      <c r="Y584" s="79"/>
      <c r="AC584" s="130"/>
      <c r="AE584" s="106"/>
    </row>
    <row r="585">
      <c r="C585" s="79"/>
      <c r="D585" s="79"/>
      <c r="E585" s="79"/>
      <c r="P585" s="79"/>
      <c r="Q585" s="79"/>
      <c r="R585" s="79"/>
      <c r="Y585" s="79"/>
      <c r="AC585" s="130"/>
      <c r="AE585" s="106"/>
    </row>
    <row r="586">
      <c r="C586" s="79"/>
      <c r="D586" s="79"/>
      <c r="E586" s="79"/>
      <c r="P586" s="79"/>
      <c r="Q586" s="79"/>
      <c r="R586" s="79"/>
      <c r="Y586" s="79"/>
      <c r="AC586" s="130"/>
      <c r="AE586" s="106"/>
    </row>
    <row r="587">
      <c r="C587" s="79"/>
      <c r="D587" s="79"/>
      <c r="E587" s="79"/>
      <c r="P587" s="79"/>
      <c r="Q587" s="79"/>
      <c r="R587" s="79"/>
      <c r="Y587" s="79"/>
      <c r="AC587" s="130"/>
      <c r="AE587" s="106"/>
    </row>
    <row r="588">
      <c r="C588" s="79"/>
      <c r="D588" s="79"/>
      <c r="E588" s="79"/>
      <c r="P588" s="79"/>
      <c r="Q588" s="79"/>
      <c r="R588" s="79"/>
      <c r="Y588" s="79"/>
      <c r="AC588" s="130"/>
      <c r="AE588" s="106"/>
    </row>
    <row r="589">
      <c r="C589" s="79"/>
      <c r="D589" s="79"/>
      <c r="E589" s="79"/>
      <c r="P589" s="79"/>
      <c r="Q589" s="79"/>
      <c r="R589" s="79"/>
      <c r="Y589" s="79"/>
      <c r="AC589" s="130"/>
      <c r="AE589" s="106"/>
    </row>
    <row r="590">
      <c r="C590" s="79"/>
      <c r="D590" s="79"/>
      <c r="E590" s="79"/>
      <c r="P590" s="79"/>
      <c r="Q590" s="79"/>
      <c r="R590" s="79"/>
      <c r="Y590" s="79"/>
      <c r="AC590" s="130"/>
      <c r="AE590" s="106"/>
    </row>
    <row r="591">
      <c r="C591" s="79"/>
      <c r="D591" s="79"/>
      <c r="E591" s="79"/>
      <c r="P591" s="79"/>
      <c r="Q591" s="79"/>
      <c r="R591" s="79"/>
      <c r="Y591" s="79"/>
      <c r="AC591" s="130"/>
      <c r="AE591" s="106"/>
    </row>
    <row r="592">
      <c r="C592" s="79"/>
      <c r="D592" s="79"/>
      <c r="E592" s="79"/>
      <c r="P592" s="79"/>
      <c r="Q592" s="79"/>
      <c r="R592" s="79"/>
      <c r="Y592" s="79"/>
      <c r="AC592" s="130"/>
      <c r="AE592" s="106"/>
    </row>
    <row r="593">
      <c r="C593" s="79"/>
      <c r="D593" s="79"/>
      <c r="E593" s="79"/>
      <c r="P593" s="79"/>
      <c r="Q593" s="79"/>
      <c r="R593" s="79"/>
      <c r="Y593" s="79"/>
      <c r="AC593" s="130"/>
      <c r="AE593" s="106"/>
    </row>
    <row r="594">
      <c r="C594" s="79"/>
      <c r="D594" s="79"/>
      <c r="E594" s="79"/>
      <c r="P594" s="79"/>
      <c r="Q594" s="79"/>
      <c r="R594" s="79"/>
      <c r="Y594" s="79"/>
      <c r="AC594" s="130"/>
      <c r="AE594" s="106"/>
    </row>
    <row r="595">
      <c r="C595" s="79"/>
      <c r="D595" s="79"/>
      <c r="E595" s="79"/>
      <c r="P595" s="79"/>
      <c r="Q595" s="79"/>
      <c r="R595" s="79"/>
      <c r="Y595" s="79"/>
      <c r="AC595" s="130"/>
      <c r="AE595" s="106"/>
    </row>
    <row r="596">
      <c r="C596" s="79"/>
      <c r="D596" s="79"/>
      <c r="E596" s="79"/>
      <c r="P596" s="79"/>
      <c r="Q596" s="79"/>
      <c r="R596" s="79"/>
      <c r="Y596" s="79"/>
      <c r="AC596" s="130"/>
      <c r="AE596" s="106"/>
    </row>
    <row r="597">
      <c r="C597" s="79"/>
      <c r="D597" s="79"/>
      <c r="E597" s="79"/>
      <c r="P597" s="79"/>
      <c r="Q597" s="79"/>
      <c r="R597" s="79"/>
      <c r="Y597" s="79"/>
      <c r="AC597" s="130"/>
      <c r="AE597" s="106"/>
    </row>
    <row r="598">
      <c r="C598" s="79"/>
      <c r="D598" s="79"/>
      <c r="E598" s="79"/>
      <c r="P598" s="79"/>
      <c r="Q598" s="79"/>
      <c r="R598" s="79"/>
      <c r="Y598" s="79"/>
      <c r="AC598" s="130"/>
      <c r="AE598" s="106"/>
    </row>
    <row r="599">
      <c r="C599" s="79"/>
      <c r="D599" s="79"/>
      <c r="E599" s="79"/>
      <c r="P599" s="79"/>
      <c r="Q599" s="79"/>
      <c r="R599" s="79"/>
      <c r="Y599" s="79"/>
      <c r="AC599" s="130"/>
      <c r="AE599" s="106"/>
    </row>
    <row r="600">
      <c r="C600" s="79"/>
      <c r="D600" s="79"/>
      <c r="E600" s="79"/>
      <c r="P600" s="79"/>
      <c r="Q600" s="79"/>
      <c r="R600" s="79"/>
      <c r="Y600" s="79"/>
      <c r="AC600" s="130"/>
      <c r="AE600" s="106"/>
    </row>
    <row r="601">
      <c r="C601" s="79"/>
      <c r="D601" s="79"/>
      <c r="E601" s="79"/>
      <c r="P601" s="79"/>
      <c r="Q601" s="79"/>
      <c r="R601" s="79"/>
      <c r="Y601" s="79"/>
      <c r="AC601" s="130"/>
      <c r="AE601" s="106"/>
    </row>
    <row r="602">
      <c r="C602" s="79"/>
      <c r="D602" s="79"/>
      <c r="E602" s="79"/>
      <c r="P602" s="79"/>
      <c r="Q602" s="79"/>
      <c r="R602" s="79"/>
      <c r="Y602" s="79"/>
      <c r="AC602" s="130"/>
      <c r="AE602" s="106"/>
    </row>
    <row r="603">
      <c r="C603" s="79"/>
      <c r="D603" s="79"/>
      <c r="E603" s="79"/>
      <c r="P603" s="79"/>
      <c r="Q603" s="79"/>
      <c r="R603" s="79"/>
      <c r="Y603" s="79"/>
      <c r="AC603" s="130"/>
      <c r="AE603" s="106"/>
    </row>
    <row r="604">
      <c r="C604" s="79"/>
      <c r="D604" s="79"/>
      <c r="E604" s="79"/>
      <c r="P604" s="79"/>
      <c r="Q604" s="79"/>
      <c r="R604" s="79"/>
      <c r="Y604" s="79"/>
      <c r="AC604" s="130"/>
      <c r="AE604" s="106"/>
    </row>
    <row r="605">
      <c r="C605" s="79"/>
      <c r="D605" s="79"/>
      <c r="E605" s="79"/>
      <c r="P605" s="79"/>
      <c r="Q605" s="79"/>
      <c r="R605" s="79"/>
      <c r="Y605" s="79"/>
      <c r="AC605" s="130"/>
      <c r="AE605" s="106"/>
    </row>
    <row r="606">
      <c r="C606" s="79"/>
      <c r="D606" s="79"/>
      <c r="E606" s="79"/>
      <c r="P606" s="79"/>
      <c r="Q606" s="79"/>
      <c r="R606" s="79"/>
      <c r="Y606" s="79"/>
      <c r="AC606" s="130"/>
      <c r="AE606" s="106"/>
    </row>
    <row r="607">
      <c r="C607" s="79"/>
      <c r="D607" s="79"/>
      <c r="E607" s="79"/>
      <c r="P607" s="79"/>
      <c r="Q607" s="79"/>
      <c r="R607" s="79"/>
      <c r="Y607" s="79"/>
      <c r="AC607" s="130"/>
      <c r="AE607" s="106"/>
    </row>
    <row r="608">
      <c r="C608" s="79"/>
      <c r="D608" s="79"/>
      <c r="E608" s="79"/>
      <c r="P608" s="79"/>
      <c r="Q608" s="79"/>
      <c r="R608" s="79"/>
      <c r="Y608" s="79"/>
      <c r="AC608" s="130"/>
      <c r="AE608" s="106"/>
    </row>
    <row r="609">
      <c r="C609" s="79"/>
      <c r="D609" s="79"/>
      <c r="E609" s="79"/>
      <c r="P609" s="79"/>
      <c r="Q609" s="79"/>
      <c r="R609" s="79"/>
      <c r="Y609" s="79"/>
      <c r="AC609" s="130"/>
      <c r="AE609" s="106"/>
    </row>
    <row r="610">
      <c r="C610" s="79"/>
      <c r="D610" s="79"/>
      <c r="E610" s="79"/>
      <c r="P610" s="79"/>
      <c r="Q610" s="79"/>
      <c r="R610" s="79"/>
      <c r="Y610" s="79"/>
      <c r="AC610" s="130"/>
      <c r="AE610" s="106"/>
    </row>
    <row r="611">
      <c r="C611" s="79"/>
      <c r="D611" s="79"/>
      <c r="E611" s="79"/>
      <c r="P611" s="79"/>
      <c r="Q611" s="79"/>
      <c r="R611" s="79"/>
      <c r="Y611" s="79"/>
      <c r="AC611" s="130"/>
      <c r="AE611" s="106"/>
    </row>
    <row r="612">
      <c r="C612" s="79"/>
      <c r="D612" s="79"/>
      <c r="E612" s="79"/>
      <c r="P612" s="79"/>
      <c r="Q612" s="79"/>
      <c r="R612" s="79"/>
      <c r="Y612" s="79"/>
      <c r="AC612" s="130"/>
      <c r="AE612" s="106"/>
    </row>
    <row r="613">
      <c r="C613" s="79"/>
      <c r="D613" s="79"/>
      <c r="E613" s="79"/>
      <c r="P613" s="79"/>
      <c r="Q613" s="79"/>
      <c r="R613" s="79"/>
      <c r="Y613" s="79"/>
      <c r="AC613" s="130"/>
      <c r="AE613" s="106"/>
    </row>
    <row r="614">
      <c r="C614" s="79"/>
      <c r="D614" s="79"/>
      <c r="E614" s="79"/>
      <c r="P614" s="79"/>
      <c r="Q614" s="79"/>
      <c r="R614" s="79"/>
      <c r="Y614" s="79"/>
      <c r="AC614" s="130"/>
      <c r="AE614" s="106"/>
    </row>
    <row r="615">
      <c r="C615" s="79"/>
      <c r="D615" s="79"/>
      <c r="E615" s="79"/>
      <c r="P615" s="79"/>
      <c r="Q615" s="79"/>
      <c r="R615" s="79"/>
      <c r="Y615" s="79"/>
      <c r="AC615" s="130"/>
      <c r="AE615" s="106"/>
    </row>
    <row r="616">
      <c r="C616" s="79"/>
      <c r="D616" s="79"/>
      <c r="E616" s="79"/>
      <c r="P616" s="79"/>
      <c r="Q616" s="79"/>
      <c r="R616" s="79"/>
      <c r="Y616" s="79"/>
      <c r="AC616" s="130"/>
      <c r="AE616" s="106"/>
    </row>
    <row r="617">
      <c r="C617" s="79"/>
      <c r="D617" s="79"/>
      <c r="E617" s="79"/>
      <c r="P617" s="79"/>
      <c r="Q617" s="79"/>
      <c r="R617" s="79"/>
      <c r="Y617" s="79"/>
      <c r="AC617" s="130"/>
      <c r="AE617" s="106"/>
    </row>
    <row r="618">
      <c r="C618" s="79"/>
      <c r="D618" s="79"/>
      <c r="E618" s="79"/>
      <c r="P618" s="79"/>
      <c r="Q618" s="79"/>
      <c r="R618" s="79"/>
      <c r="Y618" s="79"/>
      <c r="AC618" s="130"/>
      <c r="AE618" s="106"/>
    </row>
    <row r="619">
      <c r="C619" s="79"/>
      <c r="D619" s="79"/>
      <c r="E619" s="79"/>
      <c r="P619" s="79"/>
      <c r="Q619" s="79"/>
      <c r="R619" s="79"/>
      <c r="Y619" s="79"/>
      <c r="AC619" s="130"/>
      <c r="AE619" s="106"/>
    </row>
    <row r="620">
      <c r="C620" s="79"/>
      <c r="D620" s="79"/>
      <c r="E620" s="79"/>
      <c r="P620" s="79"/>
      <c r="Q620" s="79"/>
      <c r="R620" s="79"/>
      <c r="Y620" s="79"/>
      <c r="AC620" s="130"/>
      <c r="AE620" s="106"/>
    </row>
    <row r="621">
      <c r="C621" s="79"/>
      <c r="D621" s="79"/>
      <c r="E621" s="79"/>
      <c r="P621" s="79"/>
      <c r="Q621" s="79"/>
      <c r="R621" s="79"/>
      <c r="Y621" s="79"/>
      <c r="AC621" s="130"/>
      <c r="AE621" s="106"/>
    </row>
    <row r="622">
      <c r="C622" s="79"/>
      <c r="D622" s="79"/>
      <c r="E622" s="79"/>
      <c r="P622" s="79"/>
      <c r="Q622" s="79"/>
      <c r="R622" s="79"/>
      <c r="Y622" s="79"/>
      <c r="AC622" s="130"/>
      <c r="AE622" s="106"/>
    </row>
    <row r="623">
      <c r="C623" s="79"/>
      <c r="D623" s="79"/>
      <c r="E623" s="79"/>
      <c r="P623" s="79"/>
      <c r="Q623" s="79"/>
      <c r="R623" s="79"/>
      <c r="Y623" s="79"/>
      <c r="AC623" s="130"/>
      <c r="AE623" s="106"/>
    </row>
    <row r="624">
      <c r="C624" s="79"/>
      <c r="D624" s="79"/>
      <c r="E624" s="79"/>
      <c r="P624" s="79"/>
      <c r="Q624" s="79"/>
      <c r="R624" s="79"/>
      <c r="Y624" s="79"/>
      <c r="AC624" s="130"/>
      <c r="AE624" s="106"/>
    </row>
    <row r="625">
      <c r="C625" s="79"/>
      <c r="D625" s="79"/>
      <c r="E625" s="79"/>
      <c r="P625" s="79"/>
      <c r="Q625" s="79"/>
      <c r="R625" s="79"/>
      <c r="Y625" s="79"/>
      <c r="AC625" s="130"/>
      <c r="AE625" s="106"/>
    </row>
    <row r="626">
      <c r="C626" s="79"/>
      <c r="D626" s="79"/>
      <c r="E626" s="79"/>
      <c r="P626" s="79"/>
      <c r="Q626" s="79"/>
      <c r="R626" s="79"/>
      <c r="Y626" s="79"/>
      <c r="AC626" s="130"/>
      <c r="AE626" s="106"/>
    </row>
    <row r="627">
      <c r="C627" s="79"/>
      <c r="D627" s="79"/>
      <c r="E627" s="79"/>
      <c r="P627" s="79"/>
      <c r="Q627" s="79"/>
      <c r="R627" s="79"/>
      <c r="Y627" s="79"/>
      <c r="AC627" s="130"/>
      <c r="AE627" s="106"/>
    </row>
    <row r="628">
      <c r="C628" s="79"/>
      <c r="D628" s="79"/>
      <c r="E628" s="79"/>
      <c r="P628" s="79"/>
      <c r="Q628" s="79"/>
      <c r="R628" s="79"/>
      <c r="Y628" s="79"/>
      <c r="AC628" s="130"/>
      <c r="AE628" s="106"/>
    </row>
    <row r="629">
      <c r="C629" s="79"/>
      <c r="D629" s="79"/>
      <c r="E629" s="79"/>
      <c r="P629" s="79"/>
      <c r="Q629" s="79"/>
      <c r="R629" s="79"/>
      <c r="Y629" s="79"/>
      <c r="AC629" s="130"/>
      <c r="AE629" s="106"/>
    </row>
    <row r="630">
      <c r="C630" s="79"/>
      <c r="D630" s="79"/>
      <c r="E630" s="79"/>
      <c r="P630" s="79"/>
      <c r="Q630" s="79"/>
      <c r="R630" s="79"/>
      <c r="Y630" s="79"/>
      <c r="AC630" s="130"/>
      <c r="AE630" s="106"/>
    </row>
    <row r="631">
      <c r="C631" s="79"/>
      <c r="D631" s="79"/>
      <c r="E631" s="79"/>
      <c r="P631" s="79"/>
      <c r="Q631" s="79"/>
      <c r="R631" s="79"/>
      <c r="Y631" s="79"/>
      <c r="AC631" s="130"/>
      <c r="AE631" s="106"/>
    </row>
    <row r="632">
      <c r="C632" s="79"/>
      <c r="D632" s="79"/>
      <c r="E632" s="79"/>
      <c r="P632" s="79"/>
      <c r="Q632" s="79"/>
      <c r="R632" s="79"/>
      <c r="Y632" s="79"/>
      <c r="AC632" s="130"/>
      <c r="AE632" s="106"/>
    </row>
    <row r="633">
      <c r="C633" s="79"/>
      <c r="D633" s="79"/>
      <c r="E633" s="79"/>
      <c r="P633" s="79"/>
      <c r="Q633" s="79"/>
      <c r="R633" s="79"/>
      <c r="Y633" s="79"/>
      <c r="AC633" s="130"/>
      <c r="AE633" s="106"/>
    </row>
    <row r="634">
      <c r="C634" s="79"/>
      <c r="D634" s="79"/>
      <c r="E634" s="79"/>
      <c r="P634" s="79"/>
      <c r="Q634" s="79"/>
      <c r="R634" s="79"/>
      <c r="Y634" s="79"/>
      <c r="AC634" s="130"/>
      <c r="AE634" s="106"/>
    </row>
    <row r="635">
      <c r="C635" s="79"/>
      <c r="D635" s="79"/>
      <c r="E635" s="79"/>
      <c r="P635" s="79"/>
      <c r="Q635" s="79"/>
      <c r="R635" s="79"/>
      <c r="Y635" s="79"/>
      <c r="AC635" s="130"/>
      <c r="AE635" s="106"/>
    </row>
    <row r="636">
      <c r="C636" s="79"/>
      <c r="D636" s="79"/>
      <c r="E636" s="79"/>
      <c r="P636" s="79"/>
      <c r="Q636" s="79"/>
      <c r="R636" s="79"/>
      <c r="Y636" s="79"/>
      <c r="AC636" s="130"/>
      <c r="AE636" s="106"/>
    </row>
    <row r="637">
      <c r="C637" s="79"/>
      <c r="D637" s="79"/>
      <c r="E637" s="79"/>
      <c r="P637" s="79"/>
      <c r="Q637" s="79"/>
      <c r="R637" s="79"/>
      <c r="Y637" s="79"/>
      <c r="AC637" s="130"/>
      <c r="AE637" s="106"/>
    </row>
    <row r="638">
      <c r="C638" s="79"/>
      <c r="D638" s="79"/>
      <c r="E638" s="79"/>
      <c r="P638" s="79"/>
      <c r="Q638" s="79"/>
      <c r="R638" s="79"/>
      <c r="Y638" s="79"/>
      <c r="AC638" s="130"/>
      <c r="AE638" s="106"/>
    </row>
    <row r="639">
      <c r="C639" s="79"/>
      <c r="D639" s="79"/>
      <c r="E639" s="79"/>
      <c r="P639" s="79"/>
      <c r="Q639" s="79"/>
      <c r="R639" s="79"/>
      <c r="Y639" s="79"/>
      <c r="AC639" s="130"/>
      <c r="AE639" s="106"/>
    </row>
    <row r="640">
      <c r="C640" s="79"/>
      <c r="D640" s="79"/>
      <c r="E640" s="79"/>
      <c r="P640" s="79"/>
      <c r="Q640" s="79"/>
      <c r="R640" s="79"/>
      <c r="Y640" s="79"/>
      <c r="AC640" s="130"/>
      <c r="AE640" s="106"/>
    </row>
    <row r="641">
      <c r="C641" s="79"/>
      <c r="D641" s="79"/>
      <c r="E641" s="79"/>
      <c r="P641" s="79"/>
      <c r="Q641" s="79"/>
      <c r="R641" s="79"/>
      <c r="Y641" s="79"/>
      <c r="AC641" s="130"/>
      <c r="AE641" s="106"/>
    </row>
    <row r="642">
      <c r="C642" s="79"/>
      <c r="D642" s="79"/>
      <c r="E642" s="79"/>
      <c r="P642" s="79"/>
      <c r="Q642" s="79"/>
      <c r="R642" s="79"/>
      <c r="Y642" s="79"/>
      <c r="AC642" s="130"/>
      <c r="AE642" s="106"/>
    </row>
    <row r="643">
      <c r="C643" s="79"/>
      <c r="D643" s="79"/>
      <c r="E643" s="79"/>
      <c r="P643" s="79"/>
      <c r="Q643" s="79"/>
      <c r="R643" s="79"/>
      <c r="Y643" s="79"/>
      <c r="AC643" s="130"/>
      <c r="AE643" s="106"/>
    </row>
    <row r="644">
      <c r="C644" s="79"/>
      <c r="D644" s="79"/>
      <c r="E644" s="79"/>
      <c r="P644" s="79"/>
      <c r="Q644" s="79"/>
      <c r="R644" s="79"/>
      <c r="Y644" s="79"/>
      <c r="AC644" s="130"/>
      <c r="AE644" s="106"/>
    </row>
    <row r="645">
      <c r="C645" s="79"/>
      <c r="D645" s="79"/>
      <c r="E645" s="79"/>
      <c r="P645" s="79"/>
      <c r="Q645" s="79"/>
      <c r="R645" s="79"/>
      <c r="Y645" s="79"/>
      <c r="AC645" s="130"/>
      <c r="AE645" s="106"/>
    </row>
    <row r="646">
      <c r="C646" s="79"/>
      <c r="D646" s="79"/>
      <c r="E646" s="79"/>
      <c r="P646" s="79"/>
      <c r="Q646" s="79"/>
      <c r="R646" s="79"/>
      <c r="Y646" s="79"/>
      <c r="AC646" s="130"/>
      <c r="AE646" s="106"/>
    </row>
    <row r="647">
      <c r="C647" s="79"/>
      <c r="D647" s="79"/>
      <c r="E647" s="79"/>
      <c r="P647" s="79"/>
      <c r="Q647" s="79"/>
      <c r="R647" s="79"/>
      <c r="Y647" s="79"/>
      <c r="AC647" s="130"/>
      <c r="AE647" s="106"/>
    </row>
    <row r="648">
      <c r="C648" s="79"/>
      <c r="D648" s="79"/>
      <c r="E648" s="79"/>
      <c r="P648" s="79"/>
      <c r="Q648" s="79"/>
      <c r="R648" s="79"/>
      <c r="Y648" s="79"/>
      <c r="AC648" s="130"/>
      <c r="AE648" s="106"/>
    </row>
    <row r="649">
      <c r="C649" s="79"/>
      <c r="D649" s="79"/>
      <c r="E649" s="79"/>
      <c r="P649" s="79"/>
      <c r="Q649" s="79"/>
      <c r="R649" s="79"/>
      <c r="Y649" s="79"/>
      <c r="AC649" s="130"/>
      <c r="AE649" s="106"/>
    </row>
    <row r="650">
      <c r="C650" s="79"/>
      <c r="D650" s="79"/>
      <c r="E650" s="79"/>
      <c r="P650" s="79"/>
      <c r="Q650" s="79"/>
      <c r="R650" s="79"/>
      <c r="Y650" s="79"/>
      <c r="AC650" s="130"/>
      <c r="AE650" s="106"/>
    </row>
    <row r="651">
      <c r="C651" s="79"/>
      <c r="D651" s="79"/>
      <c r="E651" s="79"/>
      <c r="P651" s="79"/>
      <c r="Q651" s="79"/>
      <c r="R651" s="79"/>
      <c r="Y651" s="79"/>
      <c r="AC651" s="130"/>
      <c r="AE651" s="106"/>
    </row>
    <row r="652">
      <c r="C652" s="79"/>
      <c r="D652" s="79"/>
      <c r="E652" s="79"/>
      <c r="P652" s="79"/>
      <c r="Q652" s="79"/>
      <c r="R652" s="79"/>
      <c r="Y652" s="79"/>
      <c r="AC652" s="130"/>
      <c r="AE652" s="106"/>
    </row>
    <row r="653">
      <c r="C653" s="79"/>
      <c r="D653" s="79"/>
      <c r="E653" s="79"/>
      <c r="P653" s="79"/>
      <c r="Q653" s="79"/>
      <c r="R653" s="79"/>
      <c r="Y653" s="79"/>
      <c r="AC653" s="130"/>
      <c r="AE653" s="106"/>
    </row>
    <row r="654">
      <c r="C654" s="79"/>
      <c r="D654" s="79"/>
      <c r="E654" s="79"/>
      <c r="P654" s="79"/>
      <c r="Q654" s="79"/>
      <c r="R654" s="79"/>
      <c r="Y654" s="79"/>
      <c r="AC654" s="130"/>
      <c r="AE654" s="106"/>
    </row>
    <row r="655">
      <c r="C655" s="79"/>
      <c r="D655" s="79"/>
      <c r="E655" s="79"/>
      <c r="P655" s="79"/>
      <c r="Q655" s="79"/>
      <c r="R655" s="79"/>
      <c r="Y655" s="79"/>
      <c r="AC655" s="130"/>
      <c r="AE655" s="106"/>
    </row>
    <row r="656">
      <c r="C656" s="79"/>
      <c r="D656" s="79"/>
      <c r="E656" s="79"/>
      <c r="P656" s="79"/>
      <c r="Q656" s="79"/>
      <c r="R656" s="79"/>
      <c r="Y656" s="79"/>
      <c r="AC656" s="130"/>
      <c r="AE656" s="106"/>
    </row>
    <row r="657">
      <c r="C657" s="79"/>
      <c r="D657" s="79"/>
      <c r="E657" s="79"/>
      <c r="P657" s="79"/>
      <c r="Q657" s="79"/>
      <c r="R657" s="79"/>
      <c r="Y657" s="79"/>
      <c r="AC657" s="130"/>
      <c r="AE657" s="106"/>
    </row>
    <row r="658">
      <c r="C658" s="79"/>
      <c r="D658" s="79"/>
      <c r="E658" s="79"/>
      <c r="P658" s="79"/>
      <c r="Q658" s="79"/>
      <c r="R658" s="79"/>
      <c r="Y658" s="79"/>
      <c r="AC658" s="130"/>
      <c r="AE658" s="106"/>
    </row>
    <row r="659">
      <c r="C659" s="79"/>
      <c r="D659" s="79"/>
      <c r="E659" s="79"/>
      <c r="P659" s="79"/>
      <c r="Q659" s="79"/>
      <c r="R659" s="79"/>
      <c r="Y659" s="79"/>
      <c r="AC659" s="130"/>
      <c r="AE659" s="106"/>
    </row>
    <row r="660">
      <c r="C660" s="79"/>
      <c r="D660" s="79"/>
      <c r="E660" s="79"/>
      <c r="P660" s="79"/>
      <c r="Q660" s="79"/>
      <c r="R660" s="79"/>
      <c r="Y660" s="79"/>
      <c r="AC660" s="130"/>
      <c r="AE660" s="106"/>
    </row>
    <row r="661">
      <c r="C661" s="79"/>
      <c r="D661" s="79"/>
      <c r="E661" s="79"/>
      <c r="P661" s="79"/>
      <c r="Q661" s="79"/>
      <c r="R661" s="79"/>
      <c r="Y661" s="79"/>
      <c r="AC661" s="130"/>
      <c r="AE661" s="106"/>
    </row>
    <row r="662">
      <c r="C662" s="79"/>
      <c r="D662" s="79"/>
      <c r="E662" s="79"/>
      <c r="P662" s="79"/>
      <c r="Q662" s="79"/>
      <c r="R662" s="79"/>
      <c r="Y662" s="79"/>
      <c r="AC662" s="130"/>
      <c r="AE662" s="106"/>
    </row>
    <row r="663">
      <c r="C663" s="79"/>
      <c r="D663" s="79"/>
      <c r="E663" s="79"/>
      <c r="P663" s="79"/>
      <c r="Q663" s="79"/>
      <c r="R663" s="79"/>
      <c r="Y663" s="79"/>
      <c r="AC663" s="130"/>
      <c r="AE663" s="106"/>
    </row>
    <row r="664">
      <c r="C664" s="79"/>
      <c r="D664" s="79"/>
      <c r="E664" s="79"/>
      <c r="P664" s="79"/>
      <c r="Q664" s="79"/>
      <c r="R664" s="79"/>
      <c r="Y664" s="79"/>
      <c r="AC664" s="130"/>
      <c r="AE664" s="106"/>
    </row>
    <row r="665">
      <c r="C665" s="79"/>
      <c r="D665" s="79"/>
      <c r="E665" s="79"/>
      <c r="P665" s="79"/>
      <c r="Q665" s="79"/>
      <c r="R665" s="79"/>
      <c r="Y665" s="79"/>
      <c r="AC665" s="130"/>
      <c r="AE665" s="106"/>
    </row>
    <row r="666">
      <c r="C666" s="79"/>
      <c r="D666" s="79"/>
      <c r="E666" s="79"/>
      <c r="P666" s="79"/>
      <c r="Q666" s="79"/>
      <c r="R666" s="79"/>
      <c r="Y666" s="79"/>
      <c r="AC666" s="130"/>
      <c r="AE666" s="106"/>
    </row>
    <row r="667">
      <c r="C667" s="79"/>
      <c r="D667" s="79"/>
      <c r="E667" s="79"/>
      <c r="P667" s="79"/>
      <c r="Q667" s="79"/>
      <c r="R667" s="79"/>
      <c r="Y667" s="79"/>
      <c r="AC667" s="130"/>
      <c r="AE667" s="106"/>
    </row>
    <row r="668">
      <c r="C668" s="79"/>
      <c r="D668" s="79"/>
      <c r="E668" s="79"/>
      <c r="P668" s="79"/>
      <c r="Q668" s="79"/>
      <c r="R668" s="79"/>
      <c r="Y668" s="79"/>
      <c r="AC668" s="130"/>
      <c r="AE668" s="106"/>
    </row>
    <row r="669">
      <c r="C669" s="79"/>
      <c r="D669" s="79"/>
      <c r="E669" s="79"/>
      <c r="P669" s="79"/>
      <c r="Q669" s="79"/>
      <c r="R669" s="79"/>
      <c r="Y669" s="79"/>
      <c r="AC669" s="130"/>
      <c r="AE669" s="106"/>
    </row>
    <row r="670">
      <c r="C670" s="79"/>
      <c r="D670" s="79"/>
      <c r="E670" s="79"/>
      <c r="P670" s="79"/>
      <c r="Q670" s="79"/>
      <c r="R670" s="79"/>
      <c r="Y670" s="79"/>
      <c r="AC670" s="130"/>
      <c r="AE670" s="106"/>
    </row>
    <row r="671">
      <c r="C671" s="79"/>
      <c r="D671" s="79"/>
      <c r="E671" s="79"/>
      <c r="P671" s="79"/>
      <c r="Q671" s="79"/>
      <c r="R671" s="79"/>
      <c r="Y671" s="79"/>
      <c r="AC671" s="130"/>
      <c r="AE671" s="106"/>
    </row>
    <row r="672">
      <c r="C672" s="79"/>
      <c r="D672" s="79"/>
      <c r="E672" s="79"/>
      <c r="P672" s="79"/>
      <c r="Q672" s="79"/>
      <c r="R672" s="79"/>
      <c r="Y672" s="79"/>
      <c r="AC672" s="130"/>
      <c r="AE672" s="106"/>
    </row>
    <row r="673">
      <c r="C673" s="79"/>
      <c r="D673" s="79"/>
      <c r="E673" s="79"/>
      <c r="P673" s="79"/>
      <c r="Q673" s="79"/>
      <c r="R673" s="79"/>
      <c r="Y673" s="79"/>
      <c r="AC673" s="130"/>
      <c r="AE673" s="106"/>
    </row>
    <row r="674">
      <c r="C674" s="79"/>
      <c r="D674" s="79"/>
      <c r="E674" s="79"/>
      <c r="P674" s="79"/>
      <c r="Q674" s="79"/>
      <c r="R674" s="79"/>
      <c r="Y674" s="79"/>
      <c r="AC674" s="130"/>
      <c r="AE674" s="106"/>
    </row>
    <row r="675">
      <c r="C675" s="79"/>
      <c r="D675" s="79"/>
      <c r="E675" s="79"/>
      <c r="P675" s="79"/>
      <c r="Q675" s="79"/>
      <c r="R675" s="79"/>
      <c r="Y675" s="79"/>
      <c r="AC675" s="130"/>
      <c r="AE675" s="106"/>
    </row>
    <row r="676">
      <c r="C676" s="79"/>
      <c r="D676" s="79"/>
      <c r="E676" s="79"/>
      <c r="P676" s="79"/>
      <c r="Q676" s="79"/>
      <c r="R676" s="79"/>
      <c r="Y676" s="79"/>
      <c r="AC676" s="130"/>
      <c r="AE676" s="106"/>
    </row>
    <row r="677">
      <c r="C677" s="79"/>
      <c r="D677" s="79"/>
      <c r="E677" s="79"/>
      <c r="P677" s="79"/>
      <c r="Q677" s="79"/>
      <c r="R677" s="79"/>
      <c r="Y677" s="79"/>
      <c r="AC677" s="130"/>
      <c r="AE677" s="106"/>
    </row>
    <row r="678">
      <c r="C678" s="79"/>
      <c r="D678" s="79"/>
      <c r="E678" s="79"/>
      <c r="P678" s="79"/>
      <c r="Q678" s="79"/>
      <c r="R678" s="79"/>
      <c r="Y678" s="79"/>
      <c r="AC678" s="130"/>
      <c r="AE678" s="106"/>
    </row>
    <row r="679">
      <c r="C679" s="79"/>
      <c r="D679" s="79"/>
      <c r="E679" s="79"/>
      <c r="P679" s="79"/>
      <c r="Q679" s="79"/>
      <c r="R679" s="79"/>
      <c r="Y679" s="79"/>
      <c r="AC679" s="130"/>
      <c r="AE679" s="106"/>
    </row>
    <row r="680">
      <c r="C680" s="79"/>
      <c r="D680" s="79"/>
      <c r="E680" s="79"/>
      <c r="P680" s="79"/>
      <c r="Q680" s="79"/>
      <c r="R680" s="79"/>
      <c r="Y680" s="79"/>
      <c r="AC680" s="130"/>
      <c r="AE680" s="106"/>
    </row>
    <row r="681">
      <c r="C681" s="79"/>
      <c r="D681" s="79"/>
      <c r="E681" s="79"/>
      <c r="P681" s="79"/>
      <c r="Q681" s="79"/>
      <c r="R681" s="79"/>
      <c r="Y681" s="79"/>
      <c r="AC681" s="130"/>
      <c r="AE681" s="106"/>
    </row>
    <row r="682">
      <c r="C682" s="79"/>
      <c r="D682" s="79"/>
      <c r="E682" s="79"/>
      <c r="P682" s="79"/>
      <c r="Q682" s="79"/>
      <c r="R682" s="79"/>
      <c r="Y682" s="79"/>
      <c r="AC682" s="130"/>
      <c r="AE682" s="106"/>
    </row>
    <row r="683">
      <c r="C683" s="79"/>
      <c r="D683" s="79"/>
      <c r="E683" s="79"/>
      <c r="P683" s="79"/>
      <c r="Q683" s="79"/>
      <c r="R683" s="79"/>
      <c r="Y683" s="79"/>
      <c r="AC683" s="130"/>
      <c r="AE683" s="106"/>
    </row>
    <row r="684">
      <c r="C684" s="79"/>
      <c r="D684" s="79"/>
      <c r="E684" s="79"/>
      <c r="P684" s="79"/>
      <c r="Q684" s="79"/>
      <c r="R684" s="79"/>
      <c r="Y684" s="79"/>
      <c r="AC684" s="130"/>
      <c r="AE684" s="106"/>
    </row>
    <row r="685">
      <c r="C685" s="79"/>
      <c r="D685" s="79"/>
      <c r="E685" s="79"/>
      <c r="P685" s="79"/>
      <c r="Q685" s="79"/>
      <c r="R685" s="79"/>
      <c r="Y685" s="79"/>
      <c r="AC685" s="130"/>
      <c r="AE685" s="106"/>
    </row>
    <row r="686">
      <c r="C686" s="79"/>
      <c r="D686" s="79"/>
      <c r="E686" s="79"/>
      <c r="P686" s="79"/>
      <c r="Q686" s="79"/>
      <c r="R686" s="79"/>
      <c r="Y686" s="79"/>
      <c r="AC686" s="130"/>
      <c r="AE686" s="106"/>
    </row>
    <row r="687">
      <c r="C687" s="79"/>
      <c r="D687" s="79"/>
      <c r="E687" s="79"/>
      <c r="P687" s="79"/>
      <c r="Q687" s="79"/>
      <c r="R687" s="79"/>
      <c r="Y687" s="79"/>
      <c r="AC687" s="130"/>
      <c r="AE687" s="106"/>
    </row>
    <row r="688">
      <c r="C688" s="79"/>
      <c r="D688" s="79"/>
      <c r="E688" s="79"/>
      <c r="P688" s="79"/>
      <c r="Q688" s="79"/>
      <c r="R688" s="79"/>
      <c r="Y688" s="79"/>
      <c r="AC688" s="130"/>
      <c r="AE688" s="106"/>
    </row>
    <row r="689">
      <c r="C689" s="79"/>
      <c r="D689" s="79"/>
      <c r="E689" s="79"/>
      <c r="P689" s="79"/>
      <c r="Q689" s="79"/>
      <c r="R689" s="79"/>
      <c r="Y689" s="79"/>
      <c r="AC689" s="130"/>
      <c r="AE689" s="106"/>
    </row>
    <row r="690">
      <c r="C690" s="79"/>
      <c r="D690" s="79"/>
      <c r="E690" s="79"/>
      <c r="P690" s="79"/>
      <c r="Q690" s="79"/>
      <c r="R690" s="79"/>
      <c r="Y690" s="79"/>
      <c r="AC690" s="130"/>
      <c r="AE690" s="106"/>
    </row>
    <row r="691">
      <c r="C691" s="79"/>
      <c r="D691" s="79"/>
      <c r="E691" s="79"/>
      <c r="P691" s="79"/>
      <c r="Q691" s="79"/>
      <c r="R691" s="79"/>
      <c r="Y691" s="79"/>
      <c r="AC691" s="130"/>
      <c r="AE691" s="106"/>
    </row>
    <row r="692">
      <c r="C692" s="79"/>
      <c r="D692" s="79"/>
      <c r="E692" s="79"/>
      <c r="P692" s="79"/>
      <c r="Q692" s="79"/>
      <c r="R692" s="79"/>
      <c r="Y692" s="79"/>
      <c r="AC692" s="130"/>
      <c r="AE692" s="106"/>
    </row>
    <row r="693">
      <c r="C693" s="79"/>
      <c r="D693" s="79"/>
      <c r="E693" s="79"/>
      <c r="P693" s="79"/>
      <c r="Q693" s="79"/>
      <c r="R693" s="79"/>
      <c r="Y693" s="79"/>
      <c r="AC693" s="130"/>
      <c r="AE693" s="106"/>
    </row>
    <row r="694">
      <c r="C694" s="79"/>
      <c r="D694" s="79"/>
      <c r="E694" s="79"/>
      <c r="P694" s="79"/>
      <c r="Q694" s="79"/>
      <c r="R694" s="79"/>
      <c r="Y694" s="79"/>
      <c r="AC694" s="130"/>
      <c r="AE694" s="106"/>
    </row>
    <row r="695">
      <c r="C695" s="79"/>
      <c r="D695" s="79"/>
      <c r="E695" s="79"/>
      <c r="P695" s="79"/>
      <c r="Q695" s="79"/>
      <c r="R695" s="79"/>
      <c r="Y695" s="79"/>
      <c r="AC695" s="130"/>
      <c r="AE695" s="106"/>
    </row>
    <row r="696">
      <c r="C696" s="79"/>
      <c r="D696" s="79"/>
      <c r="E696" s="79"/>
      <c r="P696" s="79"/>
      <c r="Q696" s="79"/>
      <c r="R696" s="79"/>
      <c r="Y696" s="79"/>
      <c r="AC696" s="130"/>
      <c r="AE696" s="106"/>
    </row>
    <row r="697">
      <c r="C697" s="79"/>
      <c r="D697" s="79"/>
      <c r="E697" s="79"/>
      <c r="P697" s="79"/>
      <c r="Q697" s="79"/>
      <c r="R697" s="79"/>
      <c r="Y697" s="79"/>
      <c r="AC697" s="130"/>
      <c r="AE697" s="106"/>
    </row>
    <row r="698">
      <c r="C698" s="79"/>
      <c r="D698" s="79"/>
      <c r="E698" s="79"/>
      <c r="P698" s="79"/>
      <c r="Q698" s="79"/>
      <c r="R698" s="79"/>
      <c r="Y698" s="79"/>
      <c r="AC698" s="130"/>
      <c r="AE698" s="106"/>
    </row>
    <row r="699">
      <c r="C699" s="79"/>
      <c r="D699" s="79"/>
      <c r="E699" s="79"/>
      <c r="P699" s="79"/>
      <c r="Q699" s="79"/>
      <c r="R699" s="79"/>
      <c r="Y699" s="79"/>
      <c r="AC699" s="130"/>
      <c r="AE699" s="106"/>
    </row>
    <row r="700">
      <c r="C700" s="79"/>
      <c r="D700" s="79"/>
      <c r="E700" s="79"/>
      <c r="P700" s="79"/>
      <c r="Q700" s="79"/>
      <c r="R700" s="79"/>
      <c r="Y700" s="79"/>
      <c r="AC700" s="130"/>
      <c r="AE700" s="106"/>
    </row>
    <row r="701">
      <c r="C701" s="79"/>
      <c r="D701" s="79"/>
      <c r="E701" s="79"/>
      <c r="P701" s="79"/>
      <c r="Q701" s="79"/>
      <c r="R701" s="79"/>
      <c r="Y701" s="79"/>
      <c r="AC701" s="130"/>
      <c r="AE701" s="106"/>
    </row>
    <row r="702">
      <c r="C702" s="79"/>
      <c r="D702" s="79"/>
      <c r="E702" s="79"/>
      <c r="P702" s="79"/>
      <c r="Q702" s="79"/>
      <c r="R702" s="79"/>
      <c r="Y702" s="79"/>
      <c r="AC702" s="130"/>
      <c r="AE702" s="106"/>
    </row>
    <row r="703">
      <c r="C703" s="79"/>
      <c r="D703" s="79"/>
      <c r="E703" s="79"/>
      <c r="P703" s="79"/>
      <c r="Q703" s="79"/>
      <c r="R703" s="79"/>
      <c r="Y703" s="79"/>
      <c r="AC703" s="130"/>
      <c r="AE703" s="106"/>
    </row>
    <row r="704">
      <c r="C704" s="79"/>
      <c r="D704" s="79"/>
      <c r="E704" s="79"/>
      <c r="P704" s="79"/>
      <c r="Q704" s="79"/>
      <c r="R704" s="79"/>
      <c r="Y704" s="79"/>
      <c r="AC704" s="130"/>
      <c r="AE704" s="106"/>
    </row>
    <row r="705">
      <c r="C705" s="79"/>
      <c r="D705" s="79"/>
      <c r="E705" s="79"/>
      <c r="P705" s="79"/>
      <c r="Q705" s="79"/>
      <c r="R705" s="79"/>
      <c r="Y705" s="79"/>
      <c r="AC705" s="130"/>
      <c r="AE705" s="106"/>
    </row>
    <row r="706">
      <c r="C706" s="79"/>
      <c r="D706" s="79"/>
      <c r="E706" s="79"/>
      <c r="P706" s="79"/>
      <c r="Q706" s="79"/>
      <c r="R706" s="79"/>
      <c r="Y706" s="79"/>
      <c r="AC706" s="130"/>
      <c r="AE706" s="106"/>
    </row>
    <row r="707">
      <c r="C707" s="79"/>
      <c r="D707" s="79"/>
      <c r="E707" s="79"/>
      <c r="P707" s="79"/>
      <c r="Q707" s="79"/>
      <c r="R707" s="79"/>
      <c r="Y707" s="79"/>
      <c r="AC707" s="130"/>
      <c r="AE707" s="106"/>
    </row>
    <row r="708">
      <c r="C708" s="79"/>
      <c r="D708" s="79"/>
      <c r="E708" s="79"/>
      <c r="P708" s="79"/>
      <c r="Q708" s="79"/>
      <c r="R708" s="79"/>
      <c r="Y708" s="79"/>
      <c r="AC708" s="130"/>
      <c r="AE708" s="106"/>
    </row>
    <row r="709">
      <c r="C709" s="79"/>
      <c r="D709" s="79"/>
      <c r="E709" s="79"/>
      <c r="P709" s="79"/>
      <c r="Q709" s="79"/>
      <c r="R709" s="79"/>
      <c r="Y709" s="79"/>
      <c r="AC709" s="130"/>
      <c r="AE709" s="106"/>
    </row>
    <row r="710">
      <c r="C710" s="79"/>
      <c r="D710" s="79"/>
      <c r="E710" s="79"/>
      <c r="P710" s="79"/>
      <c r="Q710" s="79"/>
      <c r="R710" s="79"/>
      <c r="Y710" s="79"/>
      <c r="AC710" s="130"/>
      <c r="AE710" s="106"/>
    </row>
    <row r="711">
      <c r="C711" s="79"/>
      <c r="D711" s="79"/>
      <c r="E711" s="79"/>
      <c r="P711" s="79"/>
      <c r="Q711" s="79"/>
      <c r="R711" s="79"/>
      <c r="Y711" s="79"/>
      <c r="AC711" s="130"/>
      <c r="AE711" s="106"/>
    </row>
    <row r="712">
      <c r="C712" s="79"/>
      <c r="D712" s="79"/>
      <c r="E712" s="79"/>
      <c r="P712" s="79"/>
      <c r="Q712" s="79"/>
      <c r="R712" s="79"/>
      <c r="Y712" s="79"/>
      <c r="AC712" s="130"/>
      <c r="AE712" s="106"/>
    </row>
    <row r="713">
      <c r="C713" s="79"/>
      <c r="D713" s="79"/>
      <c r="E713" s="79"/>
      <c r="P713" s="79"/>
      <c r="Q713" s="79"/>
      <c r="R713" s="79"/>
      <c r="Y713" s="79"/>
      <c r="AC713" s="130"/>
      <c r="AE713" s="106"/>
    </row>
    <row r="714">
      <c r="C714" s="79"/>
      <c r="D714" s="79"/>
      <c r="E714" s="79"/>
      <c r="P714" s="79"/>
      <c r="Q714" s="79"/>
      <c r="R714" s="79"/>
      <c r="Y714" s="79"/>
      <c r="AC714" s="130"/>
      <c r="AE714" s="106"/>
    </row>
    <row r="715">
      <c r="C715" s="79"/>
      <c r="D715" s="79"/>
      <c r="E715" s="79"/>
      <c r="P715" s="79"/>
      <c r="Q715" s="79"/>
      <c r="R715" s="79"/>
      <c r="Y715" s="79"/>
      <c r="AC715" s="130"/>
      <c r="AE715" s="106"/>
    </row>
    <row r="716">
      <c r="C716" s="79"/>
      <c r="D716" s="79"/>
      <c r="E716" s="79"/>
      <c r="P716" s="79"/>
      <c r="Q716" s="79"/>
      <c r="R716" s="79"/>
      <c r="Y716" s="79"/>
      <c r="AC716" s="130"/>
      <c r="AE716" s="106"/>
    </row>
    <row r="717">
      <c r="C717" s="79"/>
      <c r="D717" s="79"/>
      <c r="E717" s="79"/>
      <c r="P717" s="79"/>
      <c r="Q717" s="79"/>
      <c r="R717" s="79"/>
      <c r="Y717" s="79"/>
      <c r="AC717" s="130"/>
      <c r="AE717" s="106"/>
    </row>
    <row r="718">
      <c r="C718" s="79"/>
      <c r="D718" s="79"/>
      <c r="E718" s="79"/>
      <c r="P718" s="79"/>
      <c r="Q718" s="79"/>
      <c r="R718" s="79"/>
      <c r="Y718" s="79"/>
      <c r="AC718" s="130"/>
      <c r="AE718" s="106"/>
    </row>
    <row r="719">
      <c r="C719" s="79"/>
      <c r="D719" s="79"/>
      <c r="E719" s="79"/>
      <c r="P719" s="79"/>
      <c r="Q719" s="79"/>
      <c r="R719" s="79"/>
      <c r="Y719" s="79"/>
      <c r="AC719" s="130"/>
      <c r="AE719" s="106"/>
    </row>
    <row r="720">
      <c r="C720" s="79"/>
      <c r="D720" s="79"/>
      <c r="E720" s="79"/>
      <c r="P720" s="79"/>
      <c r="Q720" s="79"/>
      <c r="R720" s="79"/>
      <c r="Y720" s="79"/>
      <c r="AC720" s="130"/>
      <c r="AE720" s="106"/>
    </row>
    <row r="721">
      <c r="C721" s="79"/>
      <c r="D721" s="79"/>
      <c r="E721" s="79"/>
      <c r="P721" s="79"/>
      <c r="Q721" s="79"/>
      <c r="R721" s="79"/>
      <c r="Y721" s="79"/>
      <c r="AC721" s="130"/>
      <c r="AE721" s="106"/>
    </row>
    <row r="722">
      <c r="C722" s="79"/>
      <c r="D722" s="79"/>
      <c r="E722" s="79"/>
      <c r="P722" s="79"/>
      <c r="Q722" s="79"/>
      <c r="R722" s="79"/>
      <c r="Y722" s="79"/>
      <c r="AC722" s="130"/>
      <c r="AE722" s="106"/>
    </row>
    <row r="723">
      <c r="C723" s="79"/>
      <c r="D723" s="79"/>
      <c r="E723" s="79"/>
      <c r="P723" s="79"/>
      <c r="Q723" s="79"/>
      <c r="R723" s="79"/>
      <c r="Y723" s="79"/>
      <c r="AC723" s="130"/>
      <c r="AE723" s="106"/>
    </row>
    <row r="724">
      <c r="C724" s="79"/>
      <c r="D724" s="79"/>
      <c r="E724" s="79"/>
      <c r="P724" s="79"/>
      <c r="Q724" s="79"/>
      <c r="R724" s="79"/>
      <c r="Y724" s="79"/>
      <c r="AC724" s="130"/>
      <c r="AE724" s="106"/>
    </row>
    <row r="725">
      <c r="C725" s="79"/>
      <c r="D725" s="79"/>
      <c r="E725" s="79"/>
      <c r="P725" s="79"/>
      <c r="Q725" s="79"/>
      <c r="R725" s="79"/>
      <c r="Y725" s="79"/>
      <c r="AC725" s="130"/>
      <c r="AE725" s="106"/>
    </row>
    <row r="726">
      <c r="C726" s="79"/>
      <c r="D726" s="79"/>
      <c r="E726" s="79"/>
      <c r="P726" s="79"/>
      <c r="Q726" s="79"/>
      <c r="R726" s="79"/>
      <c r="Y726" s="79"/>
      <c r="AC726" s="130"/>
      <c r="AE726" s="106"/>
    </row>
    <row r="727">
      <c r="C727" s="79"/>
      <c r="D727" s="79"/>
      <c r="E727" s="79"/>
      <c r="P727" s="79"/>
      <c r="Q727" s="79"/>
      <c r="R727" s="79"/>
      <c r="Y727" s="79"/>
      <c r="AC727" s="130"/>
      <c r="AE727" s="106"/>
    </row>
    <row r="728">
      <c r="C728" s="79"/>
      <c r="D728" s="79"/>
      <c r="E728" s="79"/>
      <c r="P728" s="79"/>
      <c r="Q728" s="79"/>
      <c r="R728" s="79"/>
      <c r="Y728" s="79"/>
      <c r="AC728" s="130"/>
      <c r="AE728" s="106"/>
    </row>
    <row r="729">
      <c r="C729" s="79"/>
      <c r="D729" s="79"/>
      <c r="E729" s="79"/>
      <c r="P729" s="79"/>
      <c r="Q729" s="79"/>
      <c r="R729" s="79"/>
      <c r="Y729" s="79"/>
      <c r="AC729" s="130"/>
      <c r="AE729" s="106"/>
    </row>
    <row r="730">
      <c r="C730" s="79"/>
      <c r="D730" s="79"/>
      <c r="E730" s="79"/>
      <c r="P730" s="79"/>
      <c r="Q730" s="79"/>
      <c r="R730" s="79"/>
      <c r="Y730" s="79"/>
      <c r="AC730" s="130"/>
      <c r="AE730" s="106"/>
    </row>
    <row r="731">
      <c r="C731" s="79"/>
      <c r="D731" s="79"/>
      <c r="E731" s="79"/>
      <c r="P731" s="79"/>
      <c r="Q731" s="79"/>
      <c r="R731" s="79"/>
      <c r="Y731" s="79"/>
      <c r="AC731" s="130"/>
      <c r="AE731" s="106"/>
    </row>
    <row r="732">
      <c r="C732" s="79"/>
      <c r="D732" s="79"/>
      <c r="E732" s="79"/>
      <c r="P732" s="79"/>
      <c r="Q732" s="79"/>
      <c r="R732" s="79"/>
      <c r="Y732" s="79"/>
      <c r="AC732" s="130"/>
      <c r="AE732" s="106"/>
    </row>
    <row r="733">
      <c r="C733" s="79"/>
      <c r="D733" s="79"/>
      <c r="E733" s="79"/>
      <c r="P733" s="79"/>
      <c r="Q733" s="79"/>
      <c r="R733" s="79"/>
      <c r="Y733" s="79"/>
      <c r="AC733" s="130"/>
      <c r="AE733" s="106"/>
    </row>
    <row r="734">
      <c r="C734" s="79"/>
      <c r="D734" s="79"/>
      <c r="E734" s="79"/>
      <c r="P734" s="79"/>
      <c r="Q734" s="79"/>
      <c r="R734" s="79"/>
      <c r="Y734" s="79"/>
      <c r="AC734" s="130"/>
      <c r="AE734" s="106"/>
    </row>
    <row r="735">
      <c r="C735" s="79"/>
      <c r="D735" s="79"/>
      <c r="E735" s="79"/>
      <c r="P735" s="79"/>
      <c r="Q735" s="79"/>
      <c r="R735" s="79"/>
      <c r="Y735" s="79"/>
      <c r="AC735" s="130"/>
      <c r="AE735" s="106"/>
    </row>
    <row r="736">
      <c r="C736" s="79"/>
      <c r="D736" s="79"/>
      <c r="E736" s="79"/>
      <c r="P736" s="79"/>
      <c r="Q736" s="79"/>
      <c r="R736" s="79"/>
      <c r="Y736" s="79"/>
      <c r="AC736" s="130"/>
      <c r="AE736" s="106"/>
    </row>
    <row r="737">
      <c r="C737" s="79"/>
      <c r="D737" s="79"/>
      <c r="E737" s="79"/>
      <c r="P737" s="79"/>
      <c r="Q737" s="79"/>
      <c r="R737" s="79"/>
      <c r="Y737" s="79"/>
      <c r="AC737" s="130"/>
      <c r="AE737" s="106"/>
    </row>
    <row r="738">
      <c r="C738" s="79"/>
      <c r="D738" s="79"/>
      <c r="E738" s="79"/>
      <c r="P738" s="79"/>
      <c r="Q738" s="79"/>
      <c r="R738" s="79"/>
      <c r="Y738" s="79"/>
      <c r="AC738" s="130"/>
      <c r="AE738" s="106"/>
    </row>
    <row r="739">
      <c r="C739" s="79"/>
      <c r="D739" s="79"/>
      <c r="E739" s="79"/>
      <c r="P739" s="79"/>
      <c r="Q739" s="79"/>
      <c r="R739" s="79"/>
      <c r="Y739" s="79"/>
      <c r="AC739" s="130"/>
      <c r="AE739" s="106"/>
    </row>
    <row r="740">
      <c r="C740" s="79"/>
      <c r="D740" s="79"/>
      <c r="E740" s="79"/>
      <c r="P740" s="79"/>
      <c r="Q740" s="79"/>
      <c r="R740" s="79"/>
      <c r="Y740" s="79"/>
      <c r="AC740" s="130"/>
      <c r="AE740" s="106"/>
    </row>
    <row r="741">
      <c r="C741" s="79"/>
      <c r="D741" s="79"/>
      <c r="E741" s="79"/>
      <c r="P741" s="79"/>
      <c r="Q741" s="79"/>
      <c r="R741" s="79"/>
      <c r="Y741" s="79"/>
      <c r="AC741" s="130"/>
      <c r="AE741" s="106"/>
    </row>
    <row r="742">
      <c r="C742" s="79"/>
      <c r="D742" s="79"/>
      <c r="E742" s="79"/>
      <c r="P742" s="79"/>
      <c r="Q742" s="79"/>
      <c r="R742" s="79"/>
      <c r="Y742" s="79"/>
      <c r="AC742" s="130"/>
      <c r="AE742" s="106"/>
    </row>
    <row r="743">
      <c r="C743" s="79"/>
      <c r="D743" s="79"/>
      <c r="E743" s="79"/>
      <c r="P743" s="79"/>
      <c r="Q743" s="79"/>
      <c r="R743" s="79"/>
      <c r="Y743" s="79"/>
      <c r="AC743" s="130"/>
      <c r="AE743" s="106"/>
    </row>
    <row r="744">
      <c r="C744" s="79"/>
      <c r="D744" s="79"/>
      <c r="E744" s="79"/>
      <c r="P744" s="79"/>
      <c r="Q744" s="79"/>
      <c r="R744" s="79"/>
      <c r="Y744" s="79"/>
      <c r="AC744" s="130"/>
      <c r="AE744" s="106"/>
    </row>
    <row r="745">
      <c r="C745" s="79"/>
      <c r="D745" s="79"/>
      <c r="E745" s="79"/>
      <c r="P745" s="79"/>
      <c r="Q745" s="79"/>
      <c r="R745" s="79"/>
      <c r="Y745" s="79"/>
      <c r="AC745" s="130"/>
      <c r="AE745" s="106"/>
    </row>
    <row r="746">
      <c r="C746" s="79"/>
      <c r="D746" s="79"/>
      <c r="E746" s="79"/>
      <c r="P746" s="79"/>
      <c r="Q746" s="79"/>
      <c r="R746" s="79"/>
      <c r="Y746" s="79"/>
      <c r="AC746" s="130"/>
      <c r="AE746" s="106"/>
    </row>
    <row r="747">
      <c r="C747" s="79"/>
      <c r="D747" s="79"/>
      <c r="E747" s="79"/>
      <c r="P747" s="79"/>
      <c r="Q747" s="79"/>
      <c r="R747" s="79"/>
      <c r="Y747" s="79"/>
      <c r="AC747" s="130"/>
      <c r="AE747" s="106"/>
    </row>
    <row r="748">
      <c r="C748" s="79"/>
      <c r="D748" s="79"/>
      <c r="E748" s="79"/>
      <c r="P748" s="79"/>
      <c r="Q748" s="79"/>
      <c r="R748" s="79"/>
      <c r="Y748" s="79"/>
      <c r="AC748" s="130"/>
      <c r="AE748" s="106"/>
    </row>
    <row r="749">
      <c r="C749" s="79"/>
      <c r="D749" s="79"/>
      <c r="E749" s="79"/>
      <c r="P749" s="79"/>
      <c r="Q749" s="79"/>
      <c r="R749" s="79"/>
      <c r="Y749" s="79"/>
      <c r="AC749" s="130"/>
      <c r="AE749" s="106"/>
    </row>
    <row r="750">
      <c r="C750" s="79"/>
      <c r="D750" s="79"/>
      <c r="E750" s="79"/>
      <c r="P750" s="79"/>
      <c r="Q750" s="79"/>
      <c r="R750" s="79"/>
      <c r="Y750" s="79"/>
      <c r="AC750" s="130"/>
      <c r="AE750" s="106"/>
    </row>
    <row r="751">
      <c r="C751" s="79"/>
      <c r="D751" s="79"/>
      <c r="E751" s="79"/>
      <c r="P751" s="79"/>
      <c r="Q751" s="79"/>
      <c r="R751" s="79"/>
      <c r="Y751" s="79"/>
      <c r="AC751" s="130"/>
      <c r="AE751" s="106"/>
    </row>
    <row r="752">
      <c r="C752" s="79"/>
      <c r="D752" s="79"/>
      <c r="E752" s="79"/>
      <c r="P752" s="79"/>
      <c r="Q752" s="79"/>
      <c r="R752" s="79"/>
      <c r="Y752" s="79"/>
      <c r="AC752" s="130"/>
      <c r="AE752" s="106"/>
    </row>
    <row r="753">
      <c r="C753" s="79"/>
      <c r="D753" s="79"/>
      <c r="E753" s="79"/>
      <c r="P753" s="79"/>
      <c r="Q753" s="79"/>
      <c r="R753" s="79"/>
      <c r="Y753" s="79"/>
      <c r="AC753" s="130"/>
      <c r="AE753" s="106"/>
    </row>
    <row r="754">
      <c r="C754" s="79"/>
      <c r="D754" s="79"/>
      <c r="E754" s="79"/>
      <c r="P754" s="79"/>
      <c r="Q754" s="79"/>
      <c r="R754" s="79"/>
      <c r="Y754" s="79"/>
      <c r="AC754" s="130"/>
      <c r="AE754" s="106"/>
    </row>
    <row r="755">
      <c r="C755" s="79"/>
      <c r="D755" s="79"/>
      <c r="E755" s="79"/>
      <c r="P755" s="79"/>
      <c r="Q755" s="79"/>
      <c r="R755" s="79"/>
      <c r="Y755" s="79"/>
      <c r="AC755" s="130"/>
      <c r="AE755" s="106"/>
    </row>
    <row r="756">
      <c r="C756" s="79"/>
      <c r="D756" s="79"/>
      <c r="E756" s="79"/>
      <c r="P756" s="79"/>
      <c r="Q756" s="79"/>
      <c r="R756" s="79"/>
      <c r="Y756" s="79"/>
      <c r="AC756" s="130"/>
      <c r="AE756" s="106"/>
    </row>
    <row r="757">
      <c r="C757" s="79"/>
      <c r="D757" s="79"/>
      <c r="E757" s="79"/>
      <c r="P757" s="79"/>
      <c r="Q757" s="79"/>
      <c r="R757" s="79"/>
      <c r="Y757" s="79"/>
      <c r="AC757" s="130"/>
      <c r="AE757" s="106"/>
    </row>
    <row r="758">
      <c r="C758" s="79"/>
      <c r="D758" s="79"/>
      <c r="E758" s="79"/>
      <c r="P758" s="79"/>
      <c r="Q758" s="79"/>
      <c r="R758" s="79"/>
      <c r="Y758" s="79"/>
      <c r="AC758" s="130"/>
      <c r="AE758" s="106"/>
    </row>
    <row r="759">
      <c r="C759" s="79"/>
      <c r="D759" s="79"/>
      <c r="E759" s="79"/>
      <c r="P759" s="79"/>
      <c r="Q759" s="79"/>
      <c r="R759" s="79"/>
      <c r="Y759" s="79"/>
      <c r="AC759" s="130"/>
      <c r="AE759" s="106"/>
    </row>
    <row r="760">
      <c r="C760" s="79"/>
      <c r="D760" s="79"/>
      <c r="E760" s="79"/>
      <c r="P760" s="79"/>
      <c r="Q760" s="79"/>
      <c r="R760" s="79"/>
      <c r="Y760" s="79"/>
      <c r="AC760" s="130"/>
      <c r="AE760" s="106"/>
    </row>
    <row r="761">
      <c r="C761" s="79"/>
      <c r="D761" s="79"/>
      <c r="E761" s="79"/>
      <c r="P761" s="79"/>
      <c r="Q761" s="79"/>
      <c r="R761" s="79"/>
      <c r="Y761" s="79"/>
      <c r="AC761" s="130"/>
      <c r="AE761" s="106"/>
    </row>
    <row r="762">
      <c r="C762" s="79"/>
      <c r="D762" s="79"/>
      <c r="E762" s="79"/>
      <c r="P762" s="79"/>
      <c r="Q762" s="79"/>
      <c r="R762" s="79"/>
      <c r="Y762" s="79"/>
      <c r="AC762" s="130"/>
      <c r="AE762" s="106"/>
    </row>
    <row r="763">
      <c r="C763" s="79"/>
      <c r="D763" s="79"/>
      <c r="E763" s="79"/>
      <c r="P763" s="79"/>
      <c r="Q763" s="79"/>
      <c r="R763" s="79"/>
      <c r="Y763" s="79"/>
      <c r="AC763" s="130"/>
      <c r="AE763" s="106"/>
    </row>
    <row r="764">
      <c r="C764" s="79"/>
      <c r="D764" s="79"/>
      <c r="E764" s="79"/>
      <c r="P764" s="79"/>
      <c r="Q764" s="79"/>
      <c r="R764" s="79"/>
      <c r="Y764" s="79"/>
      <c r="AC764" s="130"/>
      <c r="AE764" s="106"/>
    </row>
    <row r="765">
      <c r="C765" s="79"/>
      <c r="D765" s="79"/>
      <c r="E765" s="79"/>
      <c r="P765" s="79"/>
      <c r="Q765" s="79"/>
      <c r="R765" s="79"/>
      <c r="Y765" s="79"/>
      <c r="AC765" s="130"/>
      <c r="AE765" s="106"/>
    </row>
    <row r="766">
      <c r="C766" s="79"/>
      <c r="D766" s="79"/>
      <c r="E766" s="79"/>
      <c r="P766" s="79"/>
      <c r="Q766" s="79"/>
      <c r="R766" s="79"/>
      <c r="Y766" s="79"/>
      <c r="AC766" s="130"/>
      <c r="AE766" s="106"/>
    </row>
    <row r="767">
      <c r="C767" s="79"/>
      <c r="D767" s="79"/>
      <c r="E767" s="79"/>
      <c r="P767" s="79"/>
      <c r="Q767" s="79"/>
      <c r="R767" s="79"/>
      <c r="Y767" s="79"/>
      <c r="AC767" s="130"/>
      <c r="AE767" s="106"/>
    </row>
    <row r="768">
      <c r="C768" s="79"/>
      <c r="D768" s="79"/>
      <c r="E768" s="79"/>
      <c r="P768" s="79"/>
      <c r="Q768" s="79"/>
      <c r="R768" s="79"/>
      <c r="Y768" s="79"/>
      <c r="AC768" s="130"/>
      <c r="AE768" s="106"/>
    </row>
    <row r="769">
      <c r="C769" s="79"/>
      <c r="D769" s="79"/>
      <c r="E769" s="79"/>
      <c r="P769" s="79"/>
      <c r="Q769" s="79"/>
      <c r="R769" s="79"/>
      <c r="Y769" s="79"/>
      <c r="AC769" s="130"/>
      <c r="AE769" s="106"/>
    </row>
    <row r="770">
      <c r="C770" s="79"/>
      <c r="D770" s="79"/>
      <c r="E770" s="79"/>
      <c r="P770" s="79"/>
      <c r="Q770" s="79"/>
      <c r="R770" s="79"/>
      <c r="Y770" s="79"/>
      <c r="AC770" s="130"/>
      <c r="AE770" s="106"/>
    </row>
    <row r="771">
      <c r="C771" s="79"/>
      <c r="D771" s="79"/>
      <c r="E771" s="79"/>
      <c r="P771" s="79"/>
      <c r="Q771" s="79"/>
      <c r="R771" s="79"/>
      <c r="Y771" s="79"/>
      <c r="AC771" s="130"/>
      <c r="AE771" s="106"/>
    </row>
    <row r="772">
      <c r="C772" s="79"/>
      <c r="D772" s="79"/>
      <c r="E772" s="79"/>
      <c r="P772" s="79"/>
      <c r="Q772" s="79"/>
      <c r="R772" s="79"/>
      <c r="Y772" s="79"/>
      <c r="AC772" s="130"/>
      <c r="AE772" s="106"/>
    </row>
    <row r="773">
      <c r="C773" s="79"/>
      <c r="D773" s="79"/>
      <c r="E773" s="79"/>
      <c r="P773" s="79"/>
      <c r="Q773" s="79"/>
      <c r="R773" s="79"/>
      <c r="Y773" s="79"/>
      <c r="AC773" s="130"/>
      <c r="AE773" s="106"/>
    </row>
    <row r="774">
      <c r="C774" s="79"/>
      <c r="D774" s="79"/>
      <c r="E774" s="79"/>
      <c r="P774" s="79"/>
      <c r="Q774" s="79"/>
      <c r="R774" s="79"/>
      <c r="Y774" s="79"/>
      <c r="AC774" s="130"/>
      <c r="AE774" s="106"/>
    </row>
    <row r="775">
      <c r="C775" s="79"/>
      <c r="D775" s="79"/>
      <c r="E775" s="79"/>
      <c r="P775" s="79"/>
      <c r="Q775" s="79"/>
      <c r="R775" s="79"/>
      <c r="Y775" s="79"/>
      <c r="AC775" s="130"/>
      <c r="AE775" s="106"/>
    </row>
    <row r="776">
      <c r="C776" s="79"/>
      <c r="D776" s="79"/>
      <c r="E776" s="79"/>
      <c r="P776" s="79"/>
      <c r="Q776" s="79"/>
      <c r="R776" s="79"/>
      <c r="Y776" s="79"/>
      <c r="AC776" s="130"/>
      <c r="AE776" s="106"/>
    </row>
    <row r="777">
      <c r="C777" s="79"/>
      <c r="D777" s="79"/>
      <c r="E777" s="79"/>
      <c r="P777" s="79"/>
      <c r="Q777" s="79"/>
      <c r="R777" s="79"/>
      <c r="Y777" s="79"/>
      <c r="AC777" s="130"/>
      <c r="AE777" s="106"/>
    </row>
    <row r="778">
      <c r="C778" s="79"/>
      <c r="D778" s="79"/>
      <c r="E778" s="79"/>
      <c r="P778" s="79"/>
      <c r="Q778" s="79"/>
      <c r="R778" s="79"/>
      <c r="Y778" s="79"/>
      <c r="AC778" s="130"/>
      <c r="AE778" s="106"/>
    </row>
    <row r="779">
      <c r="C779" s="79"/>
      <c r="D779" s="79"/>
      <c r="E779" s="79"/>
      <c r="P779" s="79"/>
      <c r="Q779" s="79"/>
      <c r="R779" s="79"/>
      <c r="Y779" s="79"/>
      <c r="AC779" s="130"/>
      <c r="AE779" s="106"/>
    </row>
    <row r="780">
      <c r="C780" s="79"/>
      <c r="D780" s="79"/>
      <c r="E780" s="79"/>
      <c r="P780" s="79"/>
      <c r="Q780" s="79"/>
      <c r="R780" s="79"/>
      <c r="Y780" s="79"/>
      <c r="AC780" s="130"/>
      <c r="AE780" s="106"/>
    </row>
    <row r="781">
      <c r="C781" s="79"/>
      <c r="D781" s="79"/>
      <c r="E781" s="79"/>
      <c r="P781" s="79"/>
      <c r="Q781" s="79"/>
      <c r="R781" s="79"/>
      <c r="Y781" s="79"/>
      <c r="AC781" s="130"/>
      <c r="AE781" s="106"/>
    </row>
    <row r="782">
      <c r="C782" s="79"/>
      <c r="D782" s="79"/>
      <c r="E782" s="79"/>
      <c r="P782" s="79"/>
      <c r="Q782" s="79"/>
      <c r="R782" s="79"/>
      <c r="Y782" s="79"/>
      <c r="AC782" s="130"/>
      <c r="AE782" s="106"/>
    </row>
    <row r="783">
      <c r="C783" s="79"/>
      <c r="D783" s="79"/>
      <c r="E783" s="79"/>
      <c r="P783" s="79"/>
      <c r="Q783" s="79"/>
      <c r="R783" s="79"/>
      <c r="Y783" s="79"/>
      <c r="AC783" s="130"/>
      <c r="AE783" s="106"/>
    </row>
    <row r="784">
      <c r="C784" s="79"/>
      <c r="D784" s="79"/>
      <c r="E784" s="79"/>
      <c r="P784" s="79"/>
      <c r="Q784" s="79"/>
      <c r="R784" s="79"/>
      <c r="Y784" s="79"/>
      <c r="AC784" s="130"/>
      <c r="AE784" s="106"/>
    </row>
    <row r="785">
      <c r="C785" s="79"/>
      <c r="D785" s="79"/>
      <c r="E785" s="79"/>
      <c r="P785" s="79"/>
      <c r="Q785" s="79"/>
      <c r="R785" s="79"/>
      <c r="Y785" s="79"/>
      <c r="AC785" s="130"/>
      <c r="AE785" s="106"/>
    </row>
    <row r="786">
      <c r="C786" s="79"/>
      <c r="D786" s="79"/>
      <c r="E786" s="79"/>
      <c r="P786" s="79"/>
      <c r="Q786" s="79"/>
      <c r="R786" s="79"/>
      <c r="Y786" s="79"/>
      <c r="AC786" s="130"/>
      <c r="AE786" s="106"/>
    </row>
    <row r="787">
      <c r="C787" s="79"/>
      <c r="D787" s="79"/>
      <c r="E787" s="79"/>
      <c r="P787" s="79"/>
      <c r="Q787" s="79"/>
      <c r="R787" s="79"/>
      <c r="Y787" s="79"/>
      <c r="AC787" s="130"/>
      <c r="AE787" s="106"/>
    </row>
    <row r="788">
      <c r="C788" s="79"/>
      <c r="D788" s="79"/>
      <c r="E788" s="79"/>
      <c r="P788" s="79"/>
      <c r="Q788" s="79"/>
      <c r="R788" s="79"/>
      <c r="Y788" s="79"/>
      <c r="AC788" s="130"/>
      <c r="AE788" s="106"/>
    </row>
    <row r="789">
      <c r="C789" s="79"/>
      <c r="D789" s="79"/>
      <c r="E789" s="79"/>
      <c r="P789" s="79"/>
      <c r="Q789" s="79"/>
      <c r="R789" s="79"/>
      <c r="Y789" s="79"/>
      <c r="AC789" s="130"/>
      <c r="AE789" s="106"/>
    </row>
    <row r="790">
      <c r="C790" s="79"/>
      <c r="D790" s="79"/>
      <c r="E790" s="79"/>
      <c r="P790" s="79"/>
      <c r="Q790" s="79"/>
      <c r="R790" s="79"/>
      <c r="Y790" s="79"/>
      <c r="AC790" s="130"/>
      <c r="AE790" s="106"/>
    </row>
    <row r="791">
      <c r="C791" s="79"/>
      <c r="D791" s="79"/>
      <c r="E791" s="79"/>
      <c r="P791" s="79"/>
      <c r="Q791" s="79"/>
      <c r="R791" s="79"/>
      <c r="Y791" s="79"/>
      <c r="AC791" s="130"/>
      <c r="AE791" s="106"/>
    </row>
    <row r="792">
      <c r="C792" s="79"/>
      <c r="D792" s="79"/>
      <c r="E792" s="79"/>
      <c r="P792" s="79"/>
      <c r="Q792" s="79"/>
      <c r="R792" s="79"/>
      <c r="Y792" s="79"/>
      <c r="AC792" s="130"/>
      <c r="AE792" s="106"/>
    </row>
    <row r="793">
      <c r="C793" s="79"/>
      <c r="D793" s="79"/>
      <c r="E793" s="79"/>
      <c r="P793" s="79"/>
      <c r="Q793" s="79"/>
      <c r="R793" s="79"/>
      <c r="Y793" s="79"/>
      <c r="AC793" s="130"/>
      <c r="AE793" s="106"/>
    </row>
    <row r="794">
      <c r="C794" s="79"/>
      <c r="D794" s="79"/>
      <c r="E794" s="79"/>
      <c r="P794" s="79"/>
      <c r="Q794" s="79"/>
      <c r="R794" s="79"/>
      <c r="Y794" s="79"/>
      <c r="AC794" s="130"/>
      <c r="AE794" s="106"/>
    </row>
    <row r="795">
      <c r="C795" s="79"/>
      <c r="D795" s="79"/>
      <c r="E795" s="79"/>
      <c r="P795" s="79"/>
      <c r="Q795" s="79"/>
      <c r="R795" s="79"/>
      <c r="Y795" s="79"/>
      <c r="AC795" s="130"/>
      <c r="AE795" s="106"/>
    </row>
    <row r="796">
      <c r="C796" s="79"/>
      <c r="D796" s="79"/>
      <c r="E796" s="79"/>
      <c r="P796" s="79"/>
      <c r="Q796" s="79"/>
      <c r="R796" s="79"/>
      <c r="Y796" s="79"/>
      <c r="AC796" s="130"/>
      <c r="AE796" s="106"/>
    </row>
    <row r="797">
      <c r="C797" s="79"/>
      <c r="D797" s="79"/>
      <c r="E797" s="79"/>
      <c r="P797" s="79"/>
      <c r="Q797" s="79"/>
      <c r="R797" s="79"/>
      <c r="Y797" s="79"/>
      <c r="AC797" s="130"/>
      <c r="AE797" s="106"/>
    </row>
    <row r="798">
      <c r="C798" s="79"/>
      <c r="D798" s="79"/>
      <c r="E798" s="79"/>
      <c r="P798" s="79"/>
      <c r="Q798" s="79"/>
      <c r="R798" s="79"/>
      <c r="Y798" s="79"/>
      <c r="AC798" s="130"/>
      <c r="AE798" s="106"/>
    </row>
    <row r="799">
      <c r="C799" s="79"/>
      <c r="D799" s="79"/>
      <c r="E799" s="79"/>
      <c r="P799" s="79"/>
      <c r="Q799" s="79"/>
      <c r="R799" s="79"/>
      <c r="Y799" s="79"/>
      <c r="AC799" s="130"/>
      <c r="AE799" s="106"/>
    </row>
    <row r="800">
      <c r="C800" s="79"/>
      <c r="D800" s="79"/>
      <c r="E800" s="79"/>
      <c r="P800" s="79"/>
      <c r="Q800" s="79"/>
      <c r="R800" s="79"/>
      <c r="Y800" s="79"/>
      <c r="AC800" s="130"/>
      <c r="AE800" s="106"/>
    </row>
    <row r="801">
      <c r="C801" s="79"/>
      <c r="D801" s="79"/>
      <c r="E801" s="79"/>
      <c r="P801" s="79"/>
      <c r="Q801" s="79"/>
      <c r="R801" s="79"/>
      <c r="Y801" s="79"/>
      <c r="AC801" s="130"/>
      <c r="AE801" s="106"/>
    </row>
    <row r="802">
      <c r="C802" s="79"/>
      <c r="D802" s="79"/>
      <c r="E802" s="79"/>
      <c r="P802" s="79"/>
      <c r="Q802" s="79"/>
      <c r="R802" s="79"/>
      <c r="Y802" s="79"/>
      <c r="AC802" s="130"/>
      <c r="AE802" s="106"/>
    </row>
    <row r="803">
      <c r="C803" s="79"/>
      <c r="D803" s="79"/>
      <c r="E803" s="79"/>
      <c r="P803" s="79"/>
      <c r="Q803" s="79"/>
      <c r="R803" s="79"/>
      <c r="Y803" s="79"/>
      <c r="AC803" s="130"/>
      <c r="AE803" s="106"/>
    </row>
    <row r="804">
      <c r="C804" s="79"/>
      <c r="D804" s="79"/>
      <c r="E804" s="79"/>
      <c r="P804" s="79"/>
      <c r="Q804" s="79"/>
      <c r="R804" s="79"/>
      <c r="Y804" s="79"/>
      <c r="AC804" s="130"/>
      <c r="AE804" s="106"/>
    </row>
    <row r="805">
      <c r="C805" s="79"/>
      <c r="D805" s="79"/>
      <c r="E805" s="79"/>
      <c r="P805" s="79"/>
      <c r="Q805" s="79"/>
      <c r="R805" s="79"/>
      <c r="Y805" s="79"/>
      <c r="AC805" s="130"/>
      <c r="AE805" s="106"/>
    </row>
    <row r="806">
      <c r="C806" s="79"/>
      <c r="D806" s="79"/>
      <c r="E806" s="79"/>
      <c r="P806" s="79"/>
      <c r="Q806" s="79"/>
      <c r="R806" s="79"/>
      <c r="Y806" s="79"/>
      <c r="AC806" s="130"/>
      <c r="AE806" s="106"/>
    </row>
    <row r="807">
      <c r="C807" s="79"/>
      <c r="D807" s="79"/>
      <c r="E807" s="79"/>
      <c r="P807" s="79"/>
      <c r="Q807" s="79"/>
      <c r="R807" s="79"/>
      <c r="Y807" s="79"/>
      <c r="AC807" s="130"/>
      <c r="AE807" s="106"/>
    </row>
    <row r="808">
      <c r="C808" s="79"/>
      <c r="D808" s="79"/>
      <c r="E808" s="79"/>
      <c r="P808" s="79"/>
      <c r="Q808" s="79"/>
      <c r="R808" s="79"/>
      <c r="Y808" s="79"/>
      <c r="AC808" s="130"/>
      <c r="AE808" s="106"/>
    </row>
    <row r="809">
      <c r="C809" s="79"/>
      <c r="D809" s="79"/>
      <c r="E809" s="79"/>
      <c r="P809" s="79"/>
      <c r="Q809" s="79"/>
      <c r="R809" s="79"/>
      <c r="Y809" s="79"/>
      <c r="AC809" s="130"/>
      <c r="AE809" s="106"/>
    </row>
    <row r="810">
      <c r="C810" s="79"/>
      <c r="D810" s="79"/>
      <c r="E810" s="79"/>
      <c r="P810" s="79"/>
      <c r="Q810" s="79"/>
      <c r="R810" s="79"/>
      <c r="Y810" s="79"/>
      <c r="AC810" s="130"/>
      <c r="AE810" s="106"/>
    </row>
    <row r="811">
      <c r="C811" s="79"/>
      <c r="D811" s="79"/>
      <c r="E811" s="79"/>
      <c r="P811" s="79"/>
      <c r="Q811" s="79"/>
      <c r="R811" s="79"/>
      <c r="Y811" s="79"/>
      <c r="AC811" s="130"/>
      <c r="AE811" s="106"/>
    </row>
    <row r="812">
      <c r="C812" s="79"/>
      <c r="D812" s="79"/>
      <c r="E812" s="79"/>
      <c r="P812" s="79"/>
      <c r="Q812" s="79"/>
      <c r="R812" s="79"/>
      <c r="Y812" s="79"/>
      <c r="AC812" s="130"/>
      <c r="AE812" s="106"/>
    </row>
    <row r="813">
      <c r="C813" s="79"/>
      <c r="D813" s="79"/>
      <c r="E813" s="79"/>
      <c r="P813" s="79"/>
      <c r="Q813" s="79"/>
      <c r="R813" s="79"/>
      <c r="Y813" s="79"/>
      <c r="AC813" s="130"/>
      <c r="AE813" s="106"/>
    </row>
    <row r="814">
      <c r="C814" s="79"/>
      <c r="D814" s="79"/>
      <c r="E814" s="79"/>
      <c r="P814" s="79"/>
      <c r="Q814" s="79"/>
      <c r="R814" s="79"/>
      <c r="Y814" s="79"/>
      <c r="AC814" s="130"/>
      <c r="AE814" s="106"/>
    </row>
    <row r="815">
      <c r="C815" s="79"/>
      <c r="D815" s="79"/>
      <c r="E815" s="79"/>
      <c r="P815" s="79"/>
      <c r="Q815" s="79"/>
      <c r="R815" s="79"/>
      <c r="Y815" s="79"/>
      <c r="AC815" s="130"/>
      <c r="AE815" s="106"/>
    </row>
    <row r="816">
      <c r="C816" s="79"/>
      <c r="D816" s="79"/>
      <c r="E816" s="79"/>
      <c r="P816" s="79"/>
      <c r="Q816" s="79"/>
      <c r="R816" s="79"/>
      <c r="Y816" s="79"/>
      <c r="AC816" s="130"/>
      <c r="AE816" s="106"/>
    </row>
    <row r="817">
      <c r="C817" s="79"/>
      <c r="D817" s="79"/>
      <c r="E817" s="79"/>
      <c r="P817" s="79"/>
      <c r="Q817" s="79"/>
      <c r="R817" s="79"/>
      <c r="Y817" s="79"/>
      <c r="AC817" s="130"/>
      <c r="AE817" s="106"/>
    </row>
    <row r="818">
      <c r="C818" s="79"/>
      <c r="D818" s="79"/>
      <c r="E818" s="79"/>
      <c r="P818" s="79"/>
      <c r="Q818" s="79"/>
      <c r="R818" s="79"/>
      <c r="Y818" s="79"/>
      <c r="AC818" s="130"/>
      <c r="AE818" s="106"/>
    </row>
    <row r="819">
      <c r="C819" s="79"/>
      <c r="D819" s="79"/>
      <c r="E819" s="79"/>
      <c r="P819" s="79"/>
      <c r="Q819" s="79"/>
      <c r="R819" s="79"/>
      <c r="Y819" s="79"/>
      <c r="AC819" s="130"/>
      <c r="AE819" s="106"/>
    </row>
    <row r="820">
      <c r="C820" s="79"/>
      <c r="D820" s="79"/>
      <c r="E820" s="79"/>
      <c r="P820" s="79"/>
      <c r="Q820" s="79"/>
      <c r="R820" s="79"/>
      <c r="Y820" s="79"/>
      <c r="AC820" s="130"/>
      <c r="AE820" s="106"/>
    </row>
    <row r="821">
      <c r="C821" s="79"/>
      <c r="D821" s="79"/>
      <c r="E821" s="79"/>
      <c r="P821" s="79"/>
      <c r="Q821" s="79"/>
      <c r="R821" s="79"/>
      <c r="Y821" s="79"/>
      <c r="AC821" s="130"/>
      <c r="AE821" s="106"/>
    </row>
    <row r="822">
      <c r="C822" s="79"/>
      <c r="D822" s="79"/>
      <c r="E822" s="79"/>
      <c r="P822" s="79"/>
      <c r="Q822" s="79"/>
      <c r="R822" s="79"/>
      <c r="Y822" s="79"/>
      <c r="AC822" s="130"/>
      <c r="AE822" s="106"/>
    </row>
    <row r="823">
      <c r="C823" s="79"/>
      <c r="D823" s="79"/>
      <c r="E823" s="79"/>
      <c r="P823" s="79"/>
      <c r="Q823" s="79"/>
      <c r="R823" s="79"/>
      <c r="Y823" s="79"/>
      <c r="AC823" s="130"/>
      <c r="AE823" s="106"/>
    </row>
    <row r="824">
      <c r="C824" s="79"/>
      <c r="D824" s="79"/>
      <c r="E824" s="79"/>
      <c r="P824" s="79"/>
      <c r="Q824" s="79"/>
      <c r="R824" s="79"/>
      <c r="Y824" s="79"/>
      <c r="AC824" s="130"/>
      <c r="AE824" s="106"/>
    </row>
    <row r="825">
      <c r="C825" s="79"/>
      <c r="D825" s="79"/>
      <c r="E825" s="79"/>
      <c r="P825" s="79"/>
      <c r="Q825" s="79"/>
      <c r="R825" s="79"/>
      <c r="Y825" s="79"/>
      <c r="AC825" s="130"/>
      <c r="AE825" s="106"/>
    </row>
    <row r="826">
      <c r="C826" s="79"/>
      <c r="D826" s="79"/>
      <c r="E826" s="79"/>
      <c r="P826" s="79"/>
      <c r="Q826" s="79"/>
      <c r="R826" s="79"/>
      <c r="Y826" s="79"/>
      <c r="AC826" s="130"/>
      <c r="AE826" s="106"/>
    </row>
    <row r="827">
      <c r="C827" s="79"/>
      <c r="D827" s="79"/>
      <c r="E827" s="79"/>
      <c r="P827" s="79"/>
      <c r="Q827" s="79"/>
      <c r="R827" s="79"/>
      <c r="Y827" s="79"/>
      <c r="AC827" s="130"/>
      <c r="AE827" s="106"/>
    </row>
    <row r="828">
      <c r="C828" s="79"/>
      <c r="D828" s="79"/>
      <c r="E828" s="79"/>
      <c r="P828" s="79"/>
      <c r="Q828" s="79"/>
      <c r="R828" s="79"/>
      <c r="Y828" s="79"/>
      <c r="AC828" s="130"/>
      <c r="AE828" s="106"/>
    </row>
    <row r="829">
      <c r="C829" s="79"/>
      <c r="D829" s="79"/>
      <c r="E829" s="79"/>
      <c r="P829" s="79"/>
      <c r="Q829" s="79"/>
      <c r="R829" s="79"/>
      <c r="Y829" s="79"/>
      <c r="AC829" s="130"/>
      <c r="AE829" s="106"/>
    </row>
    <row r="830">
      <c r="C830" s="79"/>
      <c r="D830" s="79"/>
      <c r="E830" s="79"/>
      <c r="P830" s="79"/>
      <c r="Q830" s="79"/>
      <c r="R830" s="79"/>
      <c r="Y830" s="79"/>
      <c r="AC830" s="130"/>
      <c r="AE830" s="106"/>
    </row>
    <row r="831">
      <c r="C831" s="79"/>
      <c r="D831" s="79"/>
      <c r="E831" s="79"/>
      <c r="P831" s="79"/>
      <c r="Q831" s="79"/>
      <c r="R831" s="79"/>
      <c r="Y831" s="79"/>
      <c r="AC831" s="130"/>
      <c r="AE831" s="106"/>
    </row>
    <row r="832">
      <c r="C832" s="79"/>
      <c r="D832" s="79"/>
      <c r="E832" s="79"/>
      <c r="P832" s="79"/>
      <c r="Q832" s="79"/>
      <c r="R832" s="79"/>
      <c r="Y832" s="79"/>
      <c r="AC832" s="130"/>
      <c r="AE832" s="106"/>
    </row>
    <row r="833">
      <c r="C833" s="79"/>
      <c r="D833" s="79"/>
      <c r="E833" s="79"/>
      <c r="P833" s="79"/>
      <c r="Q833" s="79"/>
      <c r="R833" s="79"/>
      <c r="Y833" s="79"/>
      <c r="AC833" s="130"/>
      <c r="AE833" s="106"/>
    </row>
    <row r="834">
      <c r="C834" s="79"/>
      <c r="D834" s="79"/>
      <c r="E834" s="79"/>
      <c r="P834" s="79"/>
      <c r="Q834" s="79"/>
      <c r="R834" s="79"/>
      <c r="Y834" s="79"/>
      <c r="AC834" s="130"/>
      <c r="AE834" s="106"/>
    </row>
    <row r="835">
      <c r="C835" s="79"/>
      <c r="D835" s="79"/>
      <c r="E835" s="79"/>
      <c r="P835" s="79"/>
      <c r="Q835" s="79"/>
      <c r="R835" s="79"/>
      <c r="Y835" s="79"/>
      <c r="AC835" s="130"/>
      <c r="AE835" s="106"/>
    </row>
    <row r="836">
      <c r="C836" s="79"/>
      <c r="D836" s="79"/>
      <c r="E836" s="79"/>
      <c r="P836" s="79"/>
      <c r="Q836" s="79"/>
      <c r="R836" s="79"/>
      <c r="Y836" s="79"/>
      <c r="AC836" s="130"/>
      <c r="AE836" s="106"/>
    </row>
    <row r="837">
      <c r="C837" s="79"/>
      <c r="D837" s="79"/>
      <c r="E837" s="79"/>
      <c r="P837" s="79"/>
      <c r="Q837" s="79"/>
      <c r="R837" s="79"/>
      <c r="Y837" s="79"/>
      <c r="AC837" s="130"/>
      <c r="AE837" s="106"/>
    </row>
    <row r="838">
      <c r="C838" s="79"/>
      <c r="D838" s="79"/>
      <c r="E838" s="79"/>
      <c r="P838" s="79"/>
      <c r="Q838" s="79"/>
      <c r="R838" s="79"/>
      <c r="Y838" s="79"/>
      <c r="AC838" s="130"/>
      <c r="AE838" s="106"/>
    </row>
    <row r="839">
      <c r="C839" s="79"/>
      <c r="D839" s="79"/>
      <c r="E839" s="79"/>
      <c r="P839" s="79"/>
      <c r="Q839" s="79"/>
      <c r="R839" s="79"/>
      <c r="Y839" s="79"/>
      <c r="AC839" s="130"/>
      <c r="AE839" s="106"/>
    </row>
    <row r="840">
      <c r="C840" s="79"/>
      <c r="D840" s="79"/>
      <c r="E840" s="79"/>
      <c r="P840" s="79"/>
      <c r="Q840" s="79"/>
      <c r="R840" s="79"/>
      <c r="Y840" s="79"/>
      <c r="AC840" s="130"/>
      <c r="AE840" s="106"/>
    </row>
    <row r="841">
      <c r="C841" s="79"/>
      <c r="D841" s="79"/>
      <c r="E841" s="79"/>
      <c r="P841" s="79"/>
      <c r="Q841" s="79"/>
      <c r="R841" s="79"/>
      <c r="Y841" s="79"/>
      <c r="AC841" s="130"/>
      <c r="AE841" s="106"/>
    </row>
    <row r="842">
      <c r="C842" s="79"/>
      <c r="D842" s="79"/>
      <c r="E842" s="79"/>
      <c r="P842" s="79"/>
      <c r="Q842" s="79"/>
      <c r="R842" s="79"/>
      <c r="Y842" s="79"/>
      <c r="AC842" s="130"/>
      <c r="AE842" s="106"/>
    </row>
    <row r="843">
      <c r="C843" s="79"/>
      <c r="D843" s="79"/>
      <c r="E843" s="79"/>
      <c r="P843" s="79"/>
      <c r="Q843" s="79"/>
      <c r="R843" s="79"/>
      <c r="Y843" s="79"/>
      <c r="AC843" s="130"/>
      <c r="AE843" s="106"/>
    </row>
    <row r="844">
      <c r="C844" s="79"/>
      <c r="D844" s="79"/>
      <c r="E844" s="79"/>
      <c r="P844" s="79"/>
      <c r="Q844" s="79"/>
      <c r="R844" s="79"/>
      <c r="Y844" s="79"/>
      <c r="AC844" s="130"/>
      <c r="AE844" s="106"/>
    </row>
    <row r="845">
      <c r="C845" s="79"/>
      <c r="D845" s="79"/>
      <c r="E845" s="79"/>
      <c r="P845" s="79"/>
      <c r="Q845" s="79"/>
      <c r="R845" s="79"/>
      <c r="Y845" s="79"/>
      <c r="AC845" s="130"/>
      <c r="AE845" s="106"/>
    </row>
    <row r="846">
      <c r="C846" s="79"/>
      <c r="D846" s="79"/>
      <c r="E846" s="79"/>
      <c r="P846" s="79"/>
      <c r="Q846" s="79"/>
      <c r="R846" s="79"/>
      <c r="Y846" s="79"/>
      <c r="AC846" s="130"/>
      <c r="AE846" s="106"/>
    </row>
    <row r="847">
      <c r="C847" s="79"/>
      <c r="D847" s="79"/>
      <c r="E847" s="79"/>
      <c r="P847" s="79"/>
      <c r="Q847" s="79"/>
      <c r="R847" s="79"/>
      <c r="Y847" s="79"/>
      <c r="AC847" s="130"/>
      <c r="AE847" s="106"/>
    </row>
    <row r="848">
      <c r="C848" s="79"/>
      <c r="D848" s="79"/>
      <c r="E848" s="79"/>
      <c r="P848" s="79"/>
      <c r="Q848" s="79"/>
      <c r="R848" s="79"/>
      <c r="Y848" s="79"/>
      <c r="AC848" s="130"/>
      <c r="AE848" s="106"/>
    </row>
    <row r="849">
      <c r="C849" s="79"/>
      <c r="D849" s="79"/>
      <c r="E849" s="79"/>
      <c r="P849" s="79"/>
      <c r="Q849" s="79"/>
      <c r="R849" s="79"/>
      <c r="Y849" s="79"/>
      <c r="AC849" s="130"/>
      <c r="AE849" s="106"/>
    </row>
    <row r="850">
      <c r="C850" s="79"/>
      <c r="D850" s="79"/>
      <c r="E850" s="79"/>
      <c r="P850" s="79"/>
      <c r="Q850" s="79"/>
      <c r="R850" s="79"/>
      <c r="Y850" s="79"/>
      <c r="AC850" s="130"/>
      <c r="AE850" s="106"/>
    </row>
    <row r="851">
      <c r="C851" s="79"/>
      <c r="D851" s="79"/>
      <c r="E851" s="79"/>
      <c r="P851" s="79"/>
      <c r="Q851" s="79"/>
      <c r="R851" s="79"/>
      <c r="Y851" s="79"/>
      <c r="AC851" s="130"/>
      <c r="AE851" s="106"/>
    </row>
    <row r="852">
      <c r="C852" s="79"/>
      <c r="D852" s="79"/>
      <c r="E852" s="79"/>
      <c r="P852" s="79"/>
      <c r="Q852" s="79"/>
      <c r="R852" s="79"/>
      <c r="Y852" s="79"/>
      <c r="AC852" s="130"/>
      <c r="AE852" s="106"/>
    </row>
    <row r="853">
      <c r="C853" s="79"/>
      <c r="D853" s="79"/>
      <c r="E853" s="79"/>
      <c r="P853" s="79"/>
      <c r="Q853" s="79"/>
      <c r="R853" s="79"/>
      <c r="Y853" s="79"/>
      <c r="AC853" s="130"/>
      <c r="AE853" s="106"/>
    </row>
    <row r="854">
      <c r="C854" s="79"/>
      <c r="D854" s="79"/>
      <c r="E854" s="79"/>
      <c r="P854" s="79"/>
      <c r="Q854" s="79"/>
      <c r="R854" s="79"/>
      <c r="Y854" s="79"/>
      <c r="AC854" s="130"/>
      <c r="AE854" s="106"/>
    </row>
    <row r="855">
      <c r="C855" s="79"/>
      <c r="D855" s="79"/>
      <c r="E855" s="79"/>
      <c r="P855" s="79"/>
      <c r="Q855" s="79"/>
      <c r="R855" s="79"/>
      <c r="Y855" s="79"/>
      <c r="AC855" s="130"/>
      <c r="AE855" s="106"/>
    </row>
    <row r="856">
      <c r="C856" s="79"/>
      <c r="D856" s="79"/>
      <c r="E856" s="79"/>
      <c r="P856" s="79"/>
      <c r="Q856" s="79"/>
      <c r="R856" s="79"/>
      <c r="Y856" s="79"/>
      <c r="AC856" s="130"/>
      <c r="AE856" s="106"/>
    </row>
    <row r="857">
      <c r="C857" s="79"/>
      <c r="D857" s="79"/>
      <c r="E857" s="79"/>
      <c r="P857" s="79"/>
      <c r="Q857" s="79"/>
      <c r="R857" s="79"/>
      <c r="Y857" s="79"/>
      <c r="AC857" s="130"/>
      <c r="AE857" s="106"/>
    </row>
    <row r="858">
      <c r="C858" s="79"/>
      <c r="D858" s="79"/>
      <c r="E858" s="79"/>
      <c r="P858" s="79"/>
      <c r="Q858" s="79"/>
      <c r="R858" s="79"/>
      <c r="Y858" s="79"/>
      <c r="AC858" s="130"/>
      <c r="AE858" s="106"/>
    </row>
    <row r="859">
      <c r="C859" s="79"/>
      <c r="D859" s="79"/>
      <c r="E859" s="79"/>
      <c r="P859" s="79"/>
      <c r="Q859" s="79"/>
      <c r="R859" s="79"/>
      <c r="Y859" s="79"/>
      <c r="AC859" s="130"/>
      <c r="AE859" s="106"/>
    </row>
    <row r="860">
      <c r="C860" s="79"/>
      <c r="D860" s="79"/>
      <c r="E860" s="79"/>
      <c r="P860" s="79"/>
      <c r="Q860" s="79"/>
      <c r="R860" s="79"/>
      <c r="Y860" s="79"/>
      <c r="AC860" s="130"/>
      <c r="AE860" s="106"/>
    </row>
    <row r="861">
      <c r="C861" s="79"/>
      <c r="D861" s="79"/>
      <c r="E861" s="79"/>
      <c r="P861" s="79"/>
      <c r="Q861" s="79"/>
      <c r="R861" s="79"/>
      <c r="Y861" s="79"/>
      <c r="AC861" s="130"/>
      <c r="AE861" s="106"/>
    </row>
    <row r="862">
      <c r="C862" s="79"/>
      <c r="D862" s="79"/>
      <c r="E862" s="79"/>
      <c r="P862" s="79"/>
      <c r="Q862" s="79"/>
      <c r="R862" s="79"/>
      <c r="Y862" s="79"/>
      <c r="AC862" s="130"/>
      <c r="AE862" s="106"/>
    </row>
    <row r="863">
      <c r="C863" s="79"/>
      <c r="D863" s="79"/>
      <c r="E863" s="79"/>
      <c r="P863" s="79"/>
      <c r="Q863" s="79"/>
      <c r="R863" s="79"/>
      <c r="Y863" s="79"/>
      <c r="AC863" s="130"/>
      <c r="AE863" s="106"/>
    </row>
    <row r="864">
      <c r="C864" s="79"/>
      <c r="D864" s="79"/>
      <c r="E864" s="79"/>
      <c r="P864" s="79"/>
      <c r="Q864" s="79"/>
      <c r="R864" s="79"/>
      <c r="Y864" s="79"/>
      <c r="AC864" s="130"/>
      <c r="AE864" s="106"/>
    </row>
    <row r="865">
      <c r="C865" s="79"/>
      <c r="D865" s="79"/>
      <c r="E865" s="79"/>
      <c r="P865" s="79"/>
      <c r="Q865" s="79"/>
      <c r="R865" s="79"/>
      <c r="Y865" s="79"/>
      <c r="AC865" s="130"/>
      <c r="AE865" s="106"/>
    </row>
    <row r="866">
      <c r="C866" s="79"/>
      <c r="D866" s="79"/>
      <c r="E866" s="79"/>
      <c r="P866" s="79"/>
      <c r="Q866" s="79"/>
      <c r="R866" s="79"/>
      <c r="Y866" s="79"/>
      <c r="AC866" s="130"/>
      <c r="AE866" s="106"/>
    </row>
    <row r="867">
      <c r="C867" s="79"/>
      <c r="D867" s="79"/>
      <c r="E867" s="79"/>
      <c r="P867" s="79"/>
      <c r="Q867" s="79"/>
      <c r="R867" s="79"/>
      <c r="Y867" s="79"/>
      <c r="AC867" s="130"/>
      <c r="AE867" s="106"/>
    </row>
    <row r="868">
      <c r="C868" s="79"/>
      <c r="D868" s="79"/>
      <c r="E868" s="79"/>
      <c r="P868" s="79"/>
      <c r="Q868" s="79"/>
      <c r="R868" s="79"/>
      <c r="Y868" s="79"/>
      <c r="AC868" s="130"/>
      <c r="AE868" s="106"/>
    </row>
    <row r="869">
      <c r="C869" s="79"/>
      <c r="D869" s="79"/>
      <c r="E869" s="79"/>
      <c r="P869" s="79"/>
      <c r="Q869" s="79"/>
      <c r="R869" s="79"/>
      <c r="Y869" s="79"/>
      <c r="AC869" s="130"/>
      <c r="AE869" s="106"/>
    </row>
    <row r="870">
      <c r="C870" s="79"/>
      <c r="D870" s="79"/>
      <c r="E870" s="79"/>
      <c r="P870" s="79"/>
      <c r="Q870" s="79"/>
      <c r="R870" s="79"/>
      <c r="Y870" s="79"/>
      <c r="AC870" s="130"/>
      <c r="AE870" s="106"/>
    </row>
    <row r="871">
      <c r="C871" s="79"/>
      <c r="D871" s="79"/>
      <c r="E871" s="79"/>
      <c r="P871" s="79"/>
      <c r="Q871" s="79"/>
      <c r="R871" s="79"/>
      <c r="Y871" s="79"/>
      <c r="AC871" s="130"/>
      <c r="AE871" s="106"/>
    </row>
    <row r="872">
      <c r="C872" s="79"/>
      <c r="D872" s="79"/>
      <c r="E872" s="79"/>
      <c r="P872" s="79"/>
      <c r="Q872" s="79"/>
      <c r="R872" s="79"/>
      <c r="Y872" s="79"/>
      <c r="AC872" s="130"/>
      <c r="AE872" s="106"/>
    </row>
    <row r="873">
      <c r="C873" s="79"/>
      <c r="D873" s="79"/>
      <c r="E873" s="79"/>
      <c r="P873" s="79"/>
      <c r="Q873" s="79"/>
      <c r="R873" s="79"/>
      <c r="Y873" s="79"/>
      <c r="AC873" s="130"/>
      <c r="AE873" s="106"/>
    </row>
    <row r="874">
      <c r="C874" s="79"/>
      <c r="D874" s="79"/>
      <c r="E874" s="79"/>
      <c r="P874" s="79"/>
      <c r="Q874" s="79"/>
      <c r="R874" s="79"/>
      <c r="Y874" s="79"/>
      <c r="AC874" s="130"/>
      <c r="AE874" s="106"/>
    </row>
    <row r="875">
      <c r="C875" s="79"/>
      <c r="D875" s="79"/>
      <c r="E875" s="79"/>
      <c r="P875" s="79"/>
      <c r="Q875" s="79"/>
      <c r="R875" s="79"/>
      <c r="Y875" s="79"/>
      <c r="AC875" s="130"/>
      <c r="AE875" s="106"/>
    </row>
    <row r="876">
      <c r="C876" s="79"/>
      <c r="D876" s="79"/>
      <c r="E876" s="79"/>
      <c r="P876" s="79"/>
      <c r="Q876" s="79"/>
      <c r="R876" s="79"/>
      <c r="Y876" s="79"/>
      <c r="AC876" s="130"/>
      <c r="AE876" s="106"/>
    </row>
    <row r="877">
      <c r="C877" s="79"/>
      <c r="D877" s="79"/>
      <c r="E877" s="79"/>
      <c r="P877" s="79"/>
      <c r="Q877" s="79"/>
      <c r="R877" s="79"/>
      <c r="Y877" s="79"/>
      <c r="AC877" s="130"/>
      <c r="AE877" s="106"/>
    </row>
    <row r="878">
      <c r="C878" s="79"/>
      <c r="D878" s="79"/>
      <c r="E878" s="79"/>
      <c r="P878" s="79"/>
      <c r="Q878" s="79"/>
      <c r="R878" s="79"/>
      <c r="Y878" s="79"/>
      <c r="AC878" s="130"/>
      <c r="AE878" s="106"/>
    </row>
    <row r="879">
      <c r="C879" s="79"/>
      <c r="D879" s="79"/>
      <c r="E879" s="79"/>
      <c r="P879" s="79"/>
      <c r="Q879" s="79"/>
      <c r="R879" s="79"/>
      <c r="Y879" s="79"/>
      <c r="AC879" s="130"/>
      <c r="AE879" s="106"/>
    </row>
    <row r="880">
      <c r="C880" s="79"/>
      <c r="D880" s="79"/>
      <c r="E880" s="79"/>
      <c r="P880" s="79"/>
      <c r="Q880" s="79"/>
      <c r="R880" s="79"/>
      <c r="Y880" s="79"/>
      <c r="AC880" s="130"/>
      <c r="AE880" s="106"/>
    </row>
    <row r="881">
      <c r="C881" s="79"/>
      <c r="D881" s="79"/>
      <c r="E881" s="79"/>
      <c r="P881" s="79"/>
      <c r="Q881" s="79"/>
      <c r="R881" s="79"/>
      <c r="Y881" s="79"/>
      <c r="AC881" s="130"/>
      <c r="AE881" s="106"/>
    </row>
    <row r="882">
      <c r="C882" s="79"/>
      <c r="D882" s="79"/>
      <c r="E882" s="79"/>
      <c r="P882" s="79"/>
      <c r="Q882" s="79"/>
      <c r="R882" s="79"/>
      <c r="Y882" s="79"/>
      <c r="AC882" s="130"/>
      <c r="AE882" s="106"/>
    </row>
    <row r="883">
      <c r="C883" s="79"/>
      <c r="D883" s="79"/>
      <c r="E883" s="79"/>
      <c r="P883" s="79"/>
      <c r="Q883" s="79"/>
      <c r="R883" s="79"/>
      <c r="Y883" s="79"/>
      <c r="AC883" s="130"/>
      <c r="AE883" s="106"/>
    </row>
    <row r="884">
      <c r="C884" s="79"/>
      <c r="D884" s="79"/>
      <c r="E884" s="79"/>
      <c r="P884" s="79"/>
      <c r="Q884" s="79"/>
      <c r="R884" s="79"/>
      <c r="Y884" s="79"/>
      <c r="AC884" s="130"/>
      <c r="AE884" s="106"/>
    </row>
    <row r="885">
      <c r="C885" s="79"/>
      <c r="D885" s="79"/>
      <c r="E885" s="79"/>
      <c r="P885" s="79"/>
      <c r="Q885" s="79"/>
      <c r="R885" s="79"/>
      <c r="Y885" s="79"/>
      <c r="AC885" s="130"/>
      <c r="AE885" s="106"/>
    </row>
    <row r="886">
      <c r="C886" s="79"/>
      <c r="D886" s="79"/>
      <c r="E886" s="79"/>
      <c r="P886" s="79"/>
      <c r="Q886" s="79"/>
      <c r="R886" s="79"/>
      <c r="Y886" s="79"/>
      <c r="AC886" s="130"/>
      <c r="AE886" s="106"/>
    </row>
    <row r="887">
      <c r="C887" s="79"/>
      <c r="D887" s="79"/>
      <c r="E887" s="79"/>
      <c r="P887" s="79"/>
      <c r="Q887" s="79"/>
      <c r="R887" s="79"/>
      <c r="Y887" s="79"/>
      <c r="AC887" s="130"/>
      <c r="AE887" s="106"/>
    </row>
    <row r="888">
      <c r="C888" s="79"/>
      <c r="D888" s="79"/>
      <c r="E888" s="79"/>
      <c r="P888" s="79"/>
      <c r="Q888" s="79"/>
      <c r="R888" s="79"/>
      <c r="Y888" s="79"/>
      <c r="AC888" s="130"/>
      <c r="AE888" s="106"/>
    </row>
    <row r="889">
      <c r="C889" s="79"/>
      <c r="D889" s="79"/>
      <c r="E889" s="79"/>
      <c r="P889" s="79"/>
      <c r="Q889" s="79"/>
      <c r="R889" s="79"/>
      <c r="Y889" s="79"/>
      <c r="AC889" s="130"/>
      <c r="AE889" s="106"/>
    </row>
  </sheetData>
  <autoFilter ref="$A$40:$F$61">
    <sortState ref="A40:F61">
      <sortCondition descending="1" sortBy="cellColor" ref="E40:E61" dxfId="1"/>
      <sortCondition descending="1" sortBy="cellColor" ref="C40:C61" dxfId="1"/>
      <sortCondition descending="1" sortBy="cellColor" ref="A40:A61" dxfId="1"/>
    </sortState>
  </autoFilter>
  <mergeCells count="1">
    <mergeCell ref="B37:E37"/>
  </mergeCells>
  <drawing r:id="rId2"/>
  <legacyDrawing r:id="rId3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3" max="3" width="17.38"/>
    <col customWidth="1" min="5" max="5" width="15.63"/>
    <col customWidth="1" min="7" max="7" width="13.5"/>
    <col customWidth="1" min="8" max="8" width="13.25"/>
    <col customWidth="1" min="18" max="18" width="27.38"/>
    <col customWidth="1" min="26" max="26" width="14.63"/>
    <col customWidth="1" min="31" max="31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4</v>
      </c>
      <c r="J1" s="2" t="s">
        <v>5</v>
      </c>
      <c r="K1" s="2" t="s">
        <v>303</v>
      </c>
      <c r="L1" s="2" t="s">
        <v>6</v>
      </c>
      <c r="M1" s="2" t="s">
        <v>12</v>
      </c>
      <c r="N1" s="2" t="s">
        <v>49</v>
      </c>
      <c r="O1" s="2" t="s">
        <v>42</v>
      </c>
      <c r="P1" s="105" t="s">
        <v>484</v>
      </c>
      <c r="Q1" s="105" t="s">
        <v>9</v>
      </c>
      <c r="R1" s="105" t="s">
        <v>304</v>
      </c>
      <c r="S1" s="2" t="s">
        <v>37</v>
      </c>
      <c r="T1" s="2" t="s">
        <v>10</v>
      </c>
      <c r="U1" s="2" t="s">
        <v>164</v>
      </c>
      <c r="V1" s="105" t="s">
        <v>40</v>
      </c>
      <c r="W1" s="2" t="s">
        <v>83</v>
      </c>
      <c r="X1" s="2" t="s">
        <v>204</v>
      </c>
      <c r="Y1" s="105" t="s">
        <v>205</v>
      </c>
      <c r="Z1" s="2" t="s">
        <v>206</v>
      </c>
      <c r="AA1" s="2" t="s">
        <v>305</v>
      </c>
      <c r="AB1" s="3" t="s">
        <v>13</v>
      </c>
      <c r="AC1" s="3" t="s">
        <v>14</v>
      </c>
      <c r="AD1" s="3" t="s">
        <v>15</v>
      </c>
      <c r="AE1" s="106"/>
      <c r="AF1" s="265" t="s">
        <v>306</v>
      </c>
      <c r="AG1" s="266" t="s">
        <v>80</v>
      </c>
    </row>
    <row r="2">
      <c r="A2" s="74">
        <v>45488.0</v>
      </c>
      <c r="B2" s="93">
        <f>970.04-75.6-39.78-18.26-17.41-21.11-14.47-22.56+886.03-127.3-24.91-51.3-28.41-90.57-43.21+49</f>
        <v>1330.18</v>
      </c>
      <c r="C2" s="93">
        <f>718.87-43-23-337.5-79.92-5.8</f>
        <v>229.65</v>
      </c>
      <c r="D2" s="180">
        <v>604.15</v>
      </c>
      <c r="E2" s="93"/>
      <c r="F2" s="93"/>
      <c r="G2" s="93">
        <v>180.0</v>
      </c>
      <c r="H2" s="93"/>
      <c r="I2" s="93">
        <v>246.68</v>
      </c>
      <c r="J2" s="93"/>
      <c r="K2" s="93"/>
      <c r="L2" s="93"/>
      <c r="M2" s="93"/>
      <c r="N2" s="93">
        <f>792-144-156</f>
        <v>492</v>
      </c>
      <c r="O2" s="93"/>
      <c r="P2" s="93"/>
      <c r="Q2" s="93"/>
      <c r="R2" s="93"/>
      <c r="S2" s="72"/>
      <c r="T2" s="93"/>
      <c r="U2" s="93"/>
      <c r="V2" s="93"/>
      <c r="W2" s="93"/>
      <c r="X2" s="93"/>
      <c r="Y2" s="93"/>
      <c r="Z2" s="93"/>
      <c r="AA2" s="326"/>
      <c r="AB2" s="107">
        <f t="shared" ref="AB2:AB8" si="1">SUM(B2:Z2)</f>
        <v>3082.66</v>
      </c>
      <c r="AC2" s="158">
        <f>5651</f>
        <v>5651</v>
      </c>
      <c r="AD2" s="59">
        <f t="shared" ref="AD2:AD8" si="2">AB2/AC2</f>
        <v>0.5455069899</v>
      </c>
      <c r="AE2" s="109">
        <f t="shared" ref="AE2:AE8" si="3">A2</f>
        <v>45488</v>
      </c>
      <c r="AF2" s="267"/>
      <c r="AG2" s="268">
        <f t="shared" ref="AG2:AG8" si="4">AC2-AF2</f>
        <v>5651</v>
      </c>
    </row>
    <row r="3">
      <c r="A3" s="74">
        <f t="shared" ref="A3:A8" si="5">A2+1</f>
        <v>45489</v>
      </c>
      <c r="B3" s="93">
        <f>817.92-140.84-102.82-43.84-13.92</f>
        <v>516.5</v>
      </c>
      <c r="C3" s="93">
        <v>110.0</v>
      </c>
      <c r="D3" s="93">
        <f>781.09-261.7-441.39</f>
        <v>78</v>
      </c>
      <c r="E3" s="93"/>
      <c r="F3" s="93"/>
      <c r="G3" s="93"/>
      <c r="H3" s="168"/>
      <c r="I3" s="93"/>
      <c r="J3" s="93">
        <f>877.55-198</f>
        <v>679.55</v>
      </c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326"/>
      <c r="AB3" s="107">
        <f t="shared" si="1"/>
        <v>1384.05</v>
      </c>
      <c r="AC3" s="158">
        <v>5268.0</v>
      </c>
      <c r="AD3" s="59">
        <f t="shared" si="2"/>
        <v>0.2627277904</v>
      </c>
      <c r="AE3" s="109">
        <f t="shared" si="3"/>
        <v>45489</v>
      </c>
      <c r="AF3" s="267"/>
      <c r="AG3" s="268">
        <f t="shared" si="4"/>
        <v>5268</v>
      </c>
    </row>
    <row r="4">
      <c r="A4" s="74">
        <f t="shared" si="5"/>
        <v>45490</v>
      </c>
      <c r="B4" s="93">
        <f>837.03-77.39-30.79-138.38-45.84-27.83-89.89-39.71-16.52+43.64</f>
        <v>414.32</v>
      </c>
      <c r="C4" s="93"/>
      <c r="D4" s="93"/>
      <c r="E4" s="93"/>
      <c r="F4" s="93"/>
      <c r="G4" s="93">
        <v>180.0</v>
      </c>
      <c r="H4" s="168"/>
      <c r="I4" s="93">
        <v>278.24</v>
      </c>
      <c r="J4" s="93"/>
      <c r="K4" s="93"/>
      <c r="L4" s="93">
        <v>42.0</v>
      </c>
      <c r="M4" s="93"/>
      <c r="N4" s="93"/>
      <c r="O4" s="93"/>
      <c r="P4" s="93"/>
      <c r="Q4" s="93"/>
      <c r="R4" s="93"/>
      <c r="S4" s="160"/>
      <c r="T4" s="93"/>
      <c r="U4" s="93"/>
      <c r="V4" s="93"/>
      <c r="W4" s="93"/>
      <c r="X4" s="93"/>
      <c r="Y4" s="93"/>
      <c r="Z4" s="101"/>
      <c r="AA4" s="326"/>
      <c r="AB4" s="107">
        <f t="shared" si="1"/>
        <v>914.56</v>
      </c>
      <c r="AC4" s="97">
        <f>549+4672.4</f>
        <v>5221.4</v>
      </c>
      <c r="AD4" s="59">
        <f t="shared" si="2"/>
        <v>0.1751560884</v>
      </c>
      <c r="AE4" s="109">
        <f t="shared" si="3"/>
        <v>45490</v>
      </c>
      <c r="AF4" s="267"/>
      <c r="AG4" s="268">
        <f t="shared" si="4"/>
        <v>5221.4</v>
      </c>
    </row>
    <row r="5">
      <c r="A5" s="74">
        <f t="shared" si="5"/>
        <v>45491</v>
      </c>
      <c r="B5" s="93">
        <f>1580.03-44.87-4.4-3.36-57.55-82.96-22.56-87.05-22.16-52.73-7.77-46.29-66-90.78-15.96-20.04-27.87-18.46</f>
        <v>909.22</v>
      </c>
      <c r="C5" s="93">
        <v>569.8</v>
      </c>
      <c r="D5" s="93"/>
      <c r="E5" s="93"/>
      <c r="F5" s="93"/>
      <c r="G5" s="93"/>
      <c r="H5" s="160"/>
      <c r="I5" s="93"/>
      <c r="J5" s="93"/>
      <c r="K5" s="93"/>
      <c r="L5" s="93"/>
      <c r="M5" s="93"/>
      <c r="N5" s="93"/>
      <c r="O5" s="93"/>
      <c r="P5" s="101"/>
      <c r="Q5" s="93"/>
      <c r="R5" s="93"/>
      <c r="S5" s="93"/>
      <c r="T5" s="93">
        <v>64.0</v>
      </c>
      <c r="U5" s="93"/>
      <c r="V5" s="93"/>
      <c r="W5" s="93"/>
      <c r="X5" s="93"/>
      <c r="Y5" s="101"/>
      <c r="Z5" s="101"/>
      <c r="AA5" s="327"/>
      <c r="AB5" s="7">
        <f t="shared" si="1"/>
        <v>1543.02</v>
      </c>
      <c r="AC5" s="372">
        <f>1051+6402-415</f>
        <v>7038</v>
      </c>
      <c r="AD5" s="59">
        <f t="shared" si="2"/>
        <v>0.2192412617</v>
      </c>
      <c r="AE5" s="109">
        <f t="shared" si="3"/>
        <v>45491</v>
      </c>
      <c r="AF5" s="267">
        <v>7038.0</v>
      </c>
      <c r="AG5" s="268">
        <f t="shared" si="4"/>
        <v>0</v>
      </c>
    </row>
    <row r="6">
      <c r="A6" s="74">
        <f t="shared" si="5"/>
        <v>45492</v>
      </c>
      <c r="B6" s="93">
        <f>1075.95-156.96-67.66-15.57-20.54-28.44-7.05-11.05-47.2-26.5</f>
        <v>694.98</v>
      </c>
      <c r="C6" s="361"/>
      <c r="D6" s="93"/>
      <c r="E6" s="93">
        <v>198.0</v>
      </c>
      <c r="F6" s="93"/>
      <c r="G6" s="93"/>
      <c r="H6" s="160"/>
      <c r="I6" s="93"/>
      <c r="J6" s="93"/>
      <c r="K6" s="93"/>
      <c r="L6" s="93">
        <v>166.4</v>
      </c>
      <c r="M6" s="93">
        <v>47.8</v>
      </c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327"/>
      <c r="AB6" s="7">
        <f t="shared" si="1"/>
        <v>1107.18</v>
      </c>
      <c r="AC6" s="97">
        <f>527+9175</f>
        <v>9702</v>
      </c>
      <c r="AD6" s="59">
        <f t="shared" si="2"/>
        <v>0.1141187384</v>
      </c>
      <c r="AE6" s="109">
        <f t="shared" si="3"/>
        <v>45492</v>
      </c>
      <c r="AF6" s="267"/>
      <c r="AG6" s="268">
        <f t="shared" si="4"/>
        <v>9702</v>
      </c>
    </row>
    <row r="7">
      <c r="A7" s="74">
        <f t="shared" si="5"/>
        <v>45493</v>
      </c>
      <c r="B7" s="93">
        <f>1148.22-36.4-17.41-122.77-5.82-7.95-34.26-27.04-32.84-69.84-37.8-18.98-31.85-43.4</f>
        <v>661.86</v>
      </c>
      <c r="D7" s="93">
        <f>734.01-90.4</f>
        <v>643.61</v>
      </c>
      <c r="E7" s="93"/>
      <c r="F7" s="93"/>
      <c r="G7" s="93">
        <v>180.0</v>
      </c>
      <c r="H7" s="93"/>
      <c r="I7" s="93"/>
      <c r="J7" s="93"/>
      <c r="K7" s="93"/>
      <c r="L7" s="93"/>
      <c r="M7" s="93"/>
      <c r="N7" s="93">
        <v>97.2</v>
      </c>
      <c r="O7" s="93"/>
      <c r="P7" s="101"/>
      <c r="Q7" s="93"/>
      <c r="R7" s="93"/>
      <c r="S7" s="101"/>
      <c r="T7" s="93"/>
      <c r="U7" s="93"/>
      <c r="V7" s="93"/>
      <c r="W7" s="93"/>
      <c r="X7" s="93"/>
      <c r="Y7" s="101"/>
      <c r="Z7" s="93"/>
      <c r="AA7" s="327"/>
      <c r="AB7" s="7">
        <f t="shared" si="1"/>
        <v>1582.67</v>
      </c>
      <c r="AC7" s="97">
        <f>2335+7348</f>
        <v>9683</v>
      </c>
      <c r="AD7" s="59">
        <f t="shared" si="2"/>
        <v>0.1634483115</v>
      </c>
      <c r="AE7" s="109">
        <f t="shared" si="3"/>
        <v>45493</v>
      </c>
      <c r="AF7" s="267"/>
      <c r="AG7" s="268">
        <f t="shared" si="4"/>
        <v>9683</v>
      </c>
    </row>
    <row r="8">
      <c r="A8" s="74">
        <f t="shared" si="5"/>
        <v>45494</v>
      </c>
      <c r="B8" s="93"/>
      <c r="C8" s="93"/>
      <c r="D8" s="344">
        <v>713.2</v>
      </c>
      <c r="E8" s="112"/>
      <c r="F8" s="344">
        <f>425.93-94.5-15</f>
        <v>316.43</v>
      </c>
      <c r="G8" s="10"/>
      <c r="H8" s="373">
        <v>727.85</v>
      </c>
      <c r="I8" s="374"/>
      <c r="J8" s="374"/>
      <c r="K8" s="93"/>
      <c r="L8" s="112"/>
      <c r="M8" s="112"/>
      <c r="N8" s="93"/>
      <c r="O8" s="344">
        <v>331.715</v>
      </c>
      <c r="P8" s="112"/>
      <c r="Q8" s="93"/>
      <c r="R8" s="93"/>
      <c r="S8" s="344">
        <v>300.0</v>
      </c>
      <c r="T8" s="344">
        <v>199.9</v>
      </c>
      <c r="U8" s="93"/>
      <c r="V8" s="112"/>
      <c r="W8" s="112"/>
      <c r="X8" s="112"/>
      <c r="Y8" s="112"/>
      <c r="Z8" s="112"/>
      <c r="AA8" s="93"/>
      <c r="AB8" s="7">
        <f t="shared" si="1"/>
        <v>2589.095</v>
      </c>
      <c r="AC8" s="97">
        <v>6068</v>
      </c>
      <c r="AD8" s="59">
        <f t="shared" si="2"/>
        <v>0.4266801252</v>
      </c>
      <c r="AE8" s="109">
        <f t="shared" si="3"/>
        <v>45494</v>
      </c>
      <c r="AF8" s="267"/>
      <c r="AG8" s="268">
        <f t="shared" si="4"/>
        <v>6068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AC9" s="129"/>
      <c r="AE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AC10" s="129"/>
      <c r="AE10" s="106"/>
    </row>
    <row r="11">
      <c r="A11" s="165" t="s">
        <v>194</v>
      </c>
      <c r="B11" s="93">
        <f>37.8+39.78+18.26+17.41+21.11+14.47+22.56+127.3+13.92+77.39+30.79+27.83+89.89+39.71+16.52+44.87+4.4+22.56+3.36+57.55+27.86+20.54+28.44+7.05+11.05+47.2+26.5+31.85+43.4</f>
        <v>971.37</v>
      </c>
      <c r="C11" s="93">
        <f>43+23+90.4</f>
        <v>156.4</v>
      </c>
      <c r="D11" s="93">
        <f>292.55+104.7</f>
        <v>397.25</v>
      </c>
      <c r="E11" s="167"/>
      <c r="F11" s="168"/>
      <c r="G11" s="168"/>
      <c r="H11" s="166"/>
      <c r="I11" s="166"/>
      <c r="J11" s="93">
        <v>570.0</v>
      </c>
      <c r="K11" s="168"/>
      <c r="L11" s="93"/>
      <c r="M11" s="166"/>
      <c r="N11" s="166"/>
      <c r="O11" s="168"/>
      <c r="P11" s="168"/>
      <c r="Q11" s="168"/>
      <c r="R11" s="168"/>
      <c r="S11" s="168"/>
      <c r="T11" s="168"/>
      <c r="U11" s="168"/>
      <c r="V11" s="168"/>
      <c r="W11" s="1"/>
      <c r="X11" s="168"/>
      <c r="Y11" s="168"/>
      <c r="Z11" s="1"/>
      <c r="AA11" s="1"/>
      <c r="AB11" s="1"/>
      <c r="AC11" s="169"/>
      <c r="AD11" s="1"/>
      <c r="AE11" s="170"/>
    </row>
    <row r="12">
      <c r="A12" s="165" t="s">
        <v>195</v>
      </c>
      <c r="B12" s="93">
        <f>37.8+45.84+82.96+87.5+22.16+52.73+7.77+46.29+156.96+67.66+36.4+17.41+5.82+7.95+34.26+27.04+32.84+69.84+37.8+18.98+24.91+51.3+28.41+90.57+43.21+18.46</f>
        <v>1152.87</v>
      </c>
      <c r="C12" s="93">
        <f>337.5+79.92</f>
        <v>417.42</v>
      </c>
      <c r="D12" s="93">
        <v>261.7</v>
      </c>
      <c r="E12" s="93"/>
      <c r="F12" s="93"/>
      <c r="G12" s="93"/>
      <c r="H12" s="93"/>
      <c r="I12" s="93"/>
      <c r="J12" s="93">
        <v>198.0</v>
      </c>
      <c r="K12" s="93"/>
      <c r="L12" s="93"/>
      <c r="M12" s="93"/>
      <c r="N12" s="166">
        <v>300.0</v>
      </c>
      <c r="O12" s="166"/>
      <c r="P12" s="168"/>
      <c r="Q12" s="168"/>
      <c r="R12" s="168"/>
      <c r="S12" s="168"/>
      <c r="T12" s="166"/>
      <c r="U12" s="168"/>
      <c r="V12" s="168"/>
      <c r="W12" s="1"/>
      <c r="X12" s="93"/>
      <c r="Y12" s="168"/>
      <c r="Z12" s="1"/>
      <c r="AA12" s="1"/>
      <c r="AB12" s="1"/>
      <c r="AC12" s="171"/>
      <c r="AD12" s="1"/>
      <c r="AE12" s="170"/>
    </row>
    <row r="13">
      <c r="A13" s="172" t="s">
        <v>485</v>
      </c>
      <c r="B13" s="166">
        <f>140.84+102.82+43.84+66+90.78+15.96+20.04</f>
        <v>480.28</v>
      </c>
      <c r="C13" s="93"/>
      <c r="D13" s="93"/>
      <c r="E13" s="168"/>
      <c r="F13" s="166"/>
      <c r="G13" s="166"/>
      <c r="H13" s="168"/>
      <c r="I13" s="166"/>
      <c r="J13" s="93"/>
      <c r="K13" s="168"/>
      <c r="L13" s="168"/>
      <c r="M13" s="168"/>
      <c r="N13" s="166"/>
      <c r="O13" s="168"/>
      <c r="P13" s="166">
        <v>275.5</v>
      </c>
      <c r="Q13" s="168"/>
      <c r="R13" s="168"/>
      <c r="S13" s="168"/>
      <c r="T13" s="166"/>
      <c r="U13" s="96">
        <v>279.0</v>
      </c>
      <c r="V13" s="1"/>
      <c r="W13" s="1"/>
      <c r="X13" s="168"/>
      <c r="Y13" s="168"/>
      <c r="Z13" s="1"/>
      <c r="AA13" s="1"/>
      <c r="AB13" s="1"/>
      <c r="AC13" s="174"/>
      <c r="AD13" s="1"/>
      <c r="AE13" s="170"/>
    </row>
    <row r="14">
      <c r="A14" s="172" t="s">
        <v>197</v>
      </c>
      <c r="B14" s="93">
        <v>15.57</v>
      </c>
      <c r="C14" s="93"/>
      <c r="D14" s="93"/>
      <c r="E14" s="168"/>
      <c r="F14" s="166"/>
      <c r="G14" s="166"/>
      <c r="H14" s="168"/>
      <c r="I14" s="168"/>
      <c r="J14" s="93"/>
      <c r="K14" s="168"/>
      <c r="L14" s="168"/>
      <c r="M14" s="168"/>
      <c r="N14" s="166"/>
      <c r="O14" s="168"/>
      <c r="P14" s="168"/>
      <c r="Q14" s="168"/>
      <c r="R14" s="168"/>
      <c r="S14" s="168"/>
      <c r="T14" s="166"/>
      <c r="U14" s="1"/>
      <c r="V14" s="1"/>
      <c r="W14" s="1"/>
      <c r="X14" s="168"/>
      <c r="Y14" s="168"/>
      <c r="Z14" s="1"/>
      <c r="AA14" s="1"/>
      <c r="AB14" s="1"/>
      <c r="AC14" s="174"/>
      <c r="AD14" s="1"/>
      <c r="AE14" s="170"/>
    </row>
    <row r="15">
      <c r="A15" s="165" t="s">
        <v>198</v>
      </c>
      <c r="B15" s="93">
        <f>138.38+122.77</f>
        <v>261.15</v>
      </c>
      <c r="C15" s="93"/>
      <c r="D15" s="93"/>
      <c r="E15" s="168"/>
      <c r="F15" s="166"/>
      <c r="G15" s="166"/>
      <c r="H15" s="168"/>
      <c r="I15" s="168"/>
      <c r="J15" s="93"/>
      <c r="K15" s="168"/>
      <c r="L15" s="168"/>
      <c r="M15" s="168"/>
      <c r="N15" s="166"/>
      <c r="O15" s="168"/>
      <c r="P15" s="168"/>
      <c r="Q15" s="168"/>
      <c r="R15" s="168"/>
      <c r="S15" s="168"/>
      <c r="T15" s="166"/>
      <c r="U15" s="1"/>
      <c r="V15" s="1"/>
      <c r="W15" s="1"/>
      <c r="X15" s="168"/>
      <c r="Y15" s="168"/>
      <c r="Z15" s="1"/>
      <c r="AA15" s="1"/>
      <c r="AB15" s="1"/>
      <c r="AC15" s="174"/>
      <c r="AD15" s="1"/>
      <c r="AE15" s="170"/>
    </row>
    <row r="16">
      <c r="A16" s="91"/>
      <c r="B16" s="375"/>
      <c r="C16" s="79"/>
      <c r="D16" s="79"/>
      <c r="E16" s="79"/>
      <c r="F16" s="78"/>
      <c r="G16" s="78"/>
      <c r="H16" s="79"/>
      <c r="I16" s="78"/>
      <c r="J16" s="79"/>
      <c r="K16" s="79"/>
      <c r="L16" s="79"/>
      <c r="M16" s="79"/>
      <c r="N16" s="79"/>
      <c r="O16" s="79"/>
      <c r="P16" s="79"/>
      <c r="Q16" s="79"/>
      <c r="R16" s="79"/>
      <c r="Y16" s="79"/>
      <c r="AC16" s="131"/>
      <c r="AE16" s="106"/>
    </row>
    <row r="17">
      <c r="A17" s="91"/>
      <c r="B17" s="92"/>
      <c r="C17" s="78"/>
      <c r="D17" s="78"/>
      <c r="E17" s="151"/>
      <c r="F17" s="201"/>
      <c r="G17" s="240"/>
      <c r="H17" s="204"/>
      <c r="I17" s="198"/>
      <c r="J17" s="201"/>
      <c r="K17" s="199"/>
      <c r="L17" s="199"/>
      <c r="M17" s="200"/>
      <c r="N17" s="202"/>
      <c r="O17" s="198"/>
      <c r="P17" s="79"/>
      <c r="Q17" s="198"/>
      <c r="R17" s="198"/>
      <c r="U17" s="198"/>
      <c r="V17" s="198"/>
      <c r="W17" s="198"/>
      <c r="X17" s="199"/>
      <c r="Y17" s="79"/>
      <c r="AC17" s="131"/>
      <c r="AE17" s="106"/>
    </row>
    <row r="18">
      <c r="A18" s="4" t="s">
        <v>22</v>
      </c>
      <c r="B18" s="11">
        <v>10000.0</v>
      </c>
      <c r="C18" s="79"/>
      <c r="D18" s="79"/>
      <c r="E18" s="78"/>
      <c r="F18" s="213"/>
      <c r="G18" s="213"/>
      <c r="H18" s="192"/>
      <c r="K18" s="201"/>
      <c r="L18" s="201"/>
      <c r="M18" s="198"/>
      <c r="N18" s="200"/>
      <c r="O18" s="203"/>
      <c r="P18" s="79"/>
      <c r="Q18" s="198"/>
      <c r="R18" s="198"/>
      <c r="S18" s="204"/>
      <c r="U18" s="198"/>
      <c r="V18" s="198"/>
      <c r="W18" s="198"/>
      <c r="X18" s="201"/>
      <c r="Y18" s="79"/>
      <c r="AC18" s="131"/>
      <c r="AE18" s="106"/>
    </row>
    <row r="19">
      <c r="A19" s="4" t="s">
        <v>23</v>
      </c>
      <c r="B19" s="12">
        <f>SUM(B2:AA8)</f>
        <v>12203.235</v>
      </c>
      <c r="C19" s="192"/>
      <c r="D19" s="177"/>
      <c r="E19" s="151"/>
      <c r="F19" s="213"/>
      <c r="G19" s="213"/>
      <c r="H19" s="224"/>
      <c r="I19" s="175"/>
      <c r="K19" s="191"/>
      <c r="L19" s="201"/>
      <c r="M19" s="201"/>
      <c r="N19" s="201"/>
      <c r="O19" s="203"/>
      <c r="P19" s="79"/>
      <c r="Q19" s="198"/>
      <c r="R19" s="198"/>
      <c r="S19" s="204"/>
      <c r="U19" s="198"/>
      <c r="V19" s="198"/>
      <c r="W19" s="198"/>
      <c r="X19" s="191"/>
      <c r="Y19" s="79"/>
      <c r="AC19" s="131"/>
      <c r="AE19" s="106"/>
    </row>
    <row r="20">
      <c r="A20" s="4" t="s">
        <v>24</v>
      </c>
      <c r="B20" s="12">
        <f> SUM(B18-B19)</f>
        <v>-2203.235</v>
      </c>
      <c r="C20" s="79"/>
      <c r="D20" s="78"/>
      <c r="E20" s="78"/>
      <c r="F20" s="201"/>
      <c r="G20" s="240"/>
      <c r="H20" s="203"/>
      <c r="I20" s="203">
        <v>713.2</v>
      </c>
      <c r="K20" s="203"/>
      <c r="L20" s="199"/>
      <c r="M20" s="203"/>
      <c r="N20" s="200"/>
      <c r="O20" s="203"/>
      <c r="P20" s="79"/>
      <c r="Q20" s="198"/>
      <c r="R20" s="198"/>
      <c r="S20" s="204"/>
      <c r="U20" s="198"/>
      <c r="V20" s="198"/>
      <c r="W20" s="198"/>
      <c r="X20" s="203"/>
      <c r="Y20" s="79"/>
      <c r="AC20" s="131"/>
      <c r="AE20" s="106"/>
    </row>
    <row r="21">
      <c r="C21" s="79"/>
      <c r="D21" s="79"/>
      <c r="E21" s="78"/>
      <c r="F21" s="213"/>
      <c r="G21" s="201"/>
      <c r="H21" s="224"/>
      <c r="I21" s="345">
        <v>727.85</v>
      </c>
      <c r="J21" s="203"/>
      <c r="K21" s="351"/>
      <c r="M21" s="201"/>
      <c r="N21" s="198"/>
      <c r="O21" s="203"/>
      <c r="P21" s="79"/>
      <c r="Q21" s="198"/>
      <c r="R21" s="198"/>
      <c r="S21" s="204"/>
      <c r="U21" s="206"/>
      <c r="V21" s="198"/>
      <c r="W21" s="198"/>
      <c r="X21" s="203"/>
      <c r="Y21" s="79"/>
      <c r="AC21" s="131"/>
      <c r="AE21" s="106"/>
    </row>
    <row r="22">
      <c r="A22" s="13" t="s">
        <v>25</v>
      </c>
      <c r="B22" s="14">
        <f>SUM(AC2:AC8)</f>
        <v>48631.4</v>
      </c>
      <c r="C22" s="79"/>
      <c r="D22" s="79"/>
      <c r="E22" s="78"/>
      <c r="F22" s="201"/>
      <c r="G22" s="262"/>
      <c r="H22" s="376"/>
      <c r="I22" s="203"/>
      <c r="J22" s="78"/>
      <c r="K22" s="203"/>
      <c r="L22" s="203"/>
      <c r="M22" s="201"/>
      <c r="N22" s="198"/>
      <c r="O22" s="203"/>
      <c r="P22" s="79"/>
      <c r="Q22" s="198"/>
      <c r="R22" s="198"/>
      <c r="S22" s="204"/>
      <c r="U22" s="198"/>
      <c r="V22" s="198"/>
      <c r="W22" s="198"/>
      <c r="X22" s="203"/>
      <c r="Y22" s="79"/>
      <c r="AC22" s="181"/>
      <c r="AE22" s="106"/>
    </row>
    <row r="23">
      <c r="A23" s="13" t="s">
        <v>26</v>
      </c>
      <c r="B23" s="15">
        <f>B19/B22</f>
        <v>0.2509332448</v>
      </c>
      <c r="C23" s="79"/>
      <c r="D23" s="79"/>
      <c r="E23" s="78"/>
      <c r="F23" s="204"/>
      <c r="G23" s="78"/>
      <c r="H23" s="144"/>
      <c r="I23" s="203"/>
      <c r="J23" s="79"/>
      <c r="K23" s="203"/>
      <c r="L23" s="203"/>
      <c r="M23" s="201"/>
      <c r="N23" s="203"/>
      <c r="O23" s="203"/>
      <c r="P23" s="79"/>
      <c r="Q23" s="198"/>
      <c r="R23" s="198"/>
      <c r="S23" s="204"/>
      <c r="U23" s="198"/>
      <c r="V23" s="198"/>
      <c r="W23" s="198"/>
      <c r="X23" s="203"/>
      <c r="Y23" s="79"/>
      <c r="AC23" s="130"/>
      <c r="AE23" s="106"/>
    </row>
    <row r="24">
      <c r="C24" s="79"/>
      <c r="D24" s="79"/>
      <c r="E24" s="78"/>
      <c r="F24" s="204"/>
      <c r="G24" s="78"/>
      <c r="H24" s="78"/>
      <c r="I24" s="78"/>
      <c r="J24" s="78"/>
      <c r="K24" s="203"/>
      <c r="L24" s="203"/>
      <c r="M24" s="198"/>
      <c r="N24" s="201"/>
      <c r="O24" s="198"/>
      <c r="P24" s="79"/>
      <c r="Q24" s="198"/>
      <c r="R24" s="198"/>
      <c r="S24" s="204"/>
      <c r="U24" s="198"/>
      <c r="V24" s="198"/>
      <c r="W24" s="198"/>
      <c r="X24" s="203"/>
      <c r="Y24" s="79"/>
      <c r="AC24" s="182"/>
      <c r="AE24" s="106"/>
    </row>
    <row r="25">
      <c r="C25" s="79"/>
      <c r="D25" s="79"/>
      <c r="E25" s="79"/>
      <c r="F25" s="204"/>
      <c r="G25" s="78"/>
      <c r="H25" s="78"/>
      <c r="I25" s="212"/>
      <c r="J25" s="212"/>
      <c r="K25" s="203"/>
      <c r="L25" s="203"/>
      <c r="M25" s="198"/>
      <c r="N25" s="201"/>
      <c r="O25" s="198"/>
      <c r="P25" s="79"/>
      <c r="Q25" s="198"/>
      <c r="R25" s="198"/>
      <c r="S25" s="204"/>
      <c r="U25" s="198"/>
      <c r="V25" s="198"/>
      <c r="W25" s="198"/>
      <c r="X25" s="203"/>
      <c r="Y25" s="79"/>
      <c r="AC25" s="130"/>
      <c r="AE25" s="106"/>
    </row>
    <row r="26">
      <c r="A26" s="16" t="s">
        <v>27</v>
      </c>
      <c r="B26" s="17"/>
      <c r="C26" s="114"/>
      <c r="D26" s="114"/>
      <c r="E26" s="115"/>
      <c r="F26" s="204"/>
      <c r="G26" s="78"/>
      <c r="H26" s="192"/>
      <c r="I26" s="78"/>
      <c r="J26" s="79"/>
      <c r="K26" s="203"/>
      <c r="L26" s="217"/>
      <c r="M26" s="208"/>
      <c r="N26" s="198"/>
      <c r="O26" s="200"/>
      <c r="P26" s="79"/>
      <c r="Q26" s="198"/>
      <c r="R26" s="198"/>
      <c r="S26" s="204"/>
      <c r="U26" s="198"/>
      <c r="V26" s="198"/>
      <c r="W26" s="198"/>
      <c r="X26" s="203"/>
      <c r="Y26" s="79"/>
      <c r="AC26" s="130"/>
      <c r="AE26" s="106"/>
    </row>
    <row r="27">
      <c r="A27" s="19" t="s">
        <v>28</v>
      </c>
      <c r="B27" s="20"/>
      <c r="C27" s="116"/>
      <c r="D27" s="116"/>
      <c r="E27" s="117"/>
      <c r="F27" s="204"/>
      <c r="G27" s="78"/>
      <c r="H27" s="78"/>
      <c r="I27" s="79"/>
      <c r="J27" s="79"/>
      <c r="K27" s="203"/>
      <c r="L27" s="203"/>
      <c r="M27" s="209"/>
      <c r="N27" s="201"/>
      <c r="O27" s="198"/>
      <c r="P27" s="79"/>
      <c r="Q27" s="198"/>
      <c r="R27" s="198"/>
      <c r="S27" s="204"/>
      <c r="U27" s="198"/>
      <c r="V27" s="198"/>
      <c r="W27" s="198"/>
      <c r="X27" s="203"/>
      <c r="Y27" s="79"/>
      <c r="AC27" s="130"/>
      <c r="AE27" s="106"/>
    </row>
    <row r="28">
      <c r="A28" s="183" t="s">
        <v>29</v>
      </c>
      <c r="B28" s="184" t="s">
        <v>30</v>
      </c>
      <c r="C28" s="183"/>
      <c r="D28" s="183" t="s">
        <v>170</v>
      </c>
      <c r="E28" s="219" t="s">
        <v>171</v>
      </c>
      <c r="F28" s="204"/>
      <c r="G28" s="79"/>
      <c r="H28" s="79"/>
      <c r="I28" s="79"/>
      <c r="J28" s="79"/>
      <c r="K28" s="203"/>
      <c r="L28" s="201"/>
      <c r="M28" s="209"/>
      <c r="N28" s="198"/>
      <c r="O28" s="198"/>
      <c r="P28" s="79"/>
      <c r="Q28" s="198"/>
      <c r="R28" s="198"/>
      <c r="S28" s="204"/>
      <c r="U28" s="198"/>
      <c r="V28" s="198"/>
      <c r="W28" s="198"/>
      <c r="X28" s="203"/>
      <c r="Y28" s="79"/>
      <c r="Z28" s="195"/>
      <c r="AC28" s="130"/>
      <c r="AE28" s="106"/>
    </row>
    <row r="29">
      <c r="A29" s="234" t="s">
        <v>486</v>
      </c>
      <c r="B29" s="339">
        <f>+1455.7-H8</f>
        <v>727.85</v>
      </c>
      <c r="C29" s="235"/>
      <c r="D29" s="235"/>
      <c r="E29" s="234"/>
      <c r="P29" s="79"/>
      <c r="Q29" s="79"/>
      <c r="R29" s="79"/>
      <c r="Y29" s="79"/>
      <c r="AC29" s="130"/>
      <c r="AE29" s="106"/>
    </row>
    <row r="30">
      <c r="A30" s="173" t="s">
        <v>453</v>
      </c>
      <c r="B30" s="344">
        <f>663.43-O8</f>
        <v>331.715</v>
      </c>
      <c r="C30" s="241"/>
      <c r="D30" s="241"/>
      <c r="E30" s="241"/>
      <c r="P30" s="79"/>
      <c r="Q30" s="79"/>
      <c r="R30" s="79"/>
      <c r="Y30" s="79"/>
      <c r="AC30" s="130"/>
      <c r="AE30" s="106"/>
    </row>
    <row r="31">
      <c r="A31" s="221" t="s">
        <v>487</v>
      </c>
      <c r="B31" s="341">
        <f>(11.59*40)+923.72</f>
        <v>1387.32</v>
      </c>
      <c r="C31" s="223"/>
      <c r="D31" s="223"/>
      <c r="E31" s="223"/>
      <c r="P31" s="79"/>
      <c r="Q31" s="79"/>
      <c r="R31" s="79"/>
      <c r="Y31" s="79"/>
      <c r="AC31" s="130"/>
      <c r="AE31" s="106"/>
    </row>
    <row r="32">
      <c r="A32" s="377" t="s">
        <v>488</v>
      </c>
      <c r="B32" s="378">
        <v>441.39</v>
      </c>
      <c r="C32" s="379"/>
      <c r="D32" s="379"/>
      <c r="E32" s="379"/>
      <c r="P32" s="79"/>
      <c r="Q32" s="79"/>
      <c r="R32" s="79"/>
      <c r="Y32" s="79"/>
      <c r="AC32" s="130"/>
      <c r="AE32" s="106"/>
    </row>
    <row r="33">
      <c r="A33" s="377" t="s">
        <v>489</v>
      </c>
      <c r="B33" s="378">
        <v>230.85</v>
      </c>
      <c r="C33" s="379"/>
      <c r="D33" s="379"/>
      <c r="E33" s="379"/>
      <c r="P33" s="79"/>
      <c r="Q33" s="79"/>
      <c r="R33" s="79"/>
      <c r="Y33" s="79"/>
      <c r="AC33" s="130"/>
      <c r="AE33" s="106"/>
    </row>
    <row r="34">
      <c r="A34" s="377" t="s">
        <v>490</v>
      </c>
      <c r="B34" s="378">
        <v>337.0</v>
      </c>
      <c r="C34" s="379"/>
      <c r="D34" s="379"/>
      <c r="E34" s="379"/>
      <c r="P34" s="79"/>
      <c r="Q34" s="79"/>
      <c r="R34" s="79"/>
      <c r="Y34" s="79"/>
      <c r="AC34" s="130"/>
      <c r="AE34" s="106"/>
    </row>
    <row r="35">
      <c r="A35" s="377" t="s">
        <v>491</v>
      </c>
      <c r="B35" s="378">
        <v>1218.8</v>
      </c>
      <c r="C35" s="379"/>
      <c r="D35" s="379"/>
      <c r="E35" s="379"/>
      <c r="P35" s="79"/>
      <c r="Q35" s="79"/>
      <c r="R35" s="79"/>
      <c r="Y35" s="79"/>
      <c r="AC35" s="130"/>
      <c r="AE35" s="106"/>
    </row>
    <row r="36">
      <c r="A36" s="377" t="s">
        <v>492</v>
      </c>
      <c r="B36" s="378">
        <f>297+284.9</f>
        <v>581.9</v>
      </c>
      <c r="C36" s="379"/>
      <c r="D36" s="379"/>
      <c r="E36" s="379"/>
      <c r="P36" s="79"/>
      <c r="Q36" s="79"/>
      <c r="R36" s="79"/>
      <c r="Y36" s="79"/>
      <c r="AC36" s="130"/>
      <c r="AE36" s="106"/>
    </row>
    <row r="37">
      <c r="A37" s="377" t="s">
        <v>493</v>
      </c>
      <c r="B37" s="378">
        <v>822.91</v>
      </c>
      <c r="C37" s="379"/>
      <c r="D37" s="379"/>
      <c r="E37" s="379"/>
      <c r="P37" s="79"/>
      <c r="Q37" s="79"/>
      <c r="R37" s="79"/>
      <c r="Y37" s="79"/>
      <c r="AC37" s="130"/>
      <c r="AE37" s="106"/>
    </row>
    <row r="38">
      <c r="A38" s="377" t="s">
        <v>494</v>
      </c>
      <c r="B38" s="378">
        <v>647.86</v>
      </c>
      <c r="C38" s="379"/>
      <c r="D38" s="379"/>
      <c r="E38" s="379"/>
      <c r="P38" s="79"/>
      <c r="Q38" s="79"/>
      <c r="R38" s="79"/>
      <c r="Y38" s="79"/>
      <c r="AC38" s="130"/>
      <c r="AE38" s="106"/>
    </row>
    <row r="39">
      <c r="C39" s="79"/>
      <c r="D39" s="79"/>
      <c r="E39" s="79"/>
      <c r="P39" s="79"/>
      <c r="Q39" s="79"/>
      <c r="R39" s="79"/>
      <c r="Y39" s="79"/>
      <c r="AC39" s="130"/>
      <c r="AE39" s="106"/>
    </row>
    <row r="40">
      <c r="A40" s="274"/>
      <c r="B40" s="275" t="s">
        <v>315</v>
      </c>
      <c r="F40" s="274"/>
      <c r="G40" s="274"/>
      <c r="H40" s="274"/>
      <c r="I40" s="274"/>
      <c r="J40" s="274"/>
      <c r="K40" s="274"/>
      <c r="L40" s="274"/>
      <c r="M40" s="274"/>
      <c r="N40" s="274"/>
      <c r="O40" s="274"/>
      <c r="P40" s="274"/>
      <c r="Q40" s="274"/>
      <c r="R40" s="274"/>
      <c r="S40" s="274"/>
      <c r="T40" s="274"/>
      <c r="U40" s="274"/>
      <c r="V40" s="274"/>
      <c r="W40" s="274"/>
      <c r="X40" s="274"/>
      <c r="Y40" s="274"/>
      <c r="Z40" s="274"/>
      <c r="AA40" s="274"/>
      <c r="AB40" s="274"/>
      <c r="AC40" s="276"/>
      <c r="AD40" s="274"/>
      <c r="AE40" s="277"/>
      <c r="AF40" s="274"/>
      <c r="AG40" s="274"/>
      <c r="AH40" s="274"/>
    </row>
    <row r="41">
      <c r="A41" s="16" t="s">
        <v>316</v>
      </c>
      <c r="B41" s="17"/>
      <c r="C41" s="114"/>
      <c r="D41" s="114"/>
      <c r="E41" s="115"/>
      <c r="P41" s="79"/>
      <c r="Q41" s="79"/>
      <c r="R41" s="79"/>
      <c r="Y41" s="79"/>
      <c r="AC41" s="130"/>
      <c r="AE41" s="106"/>
    </row>
    <row r="42">
      <c r="A42" s="19" t="s">
        <v>317</v>
      </c>
      <c r="B42" s="20"/>
      <c r="C42" s="116"/>
      <c r="D42" s="116"/>
      <c r="E42" s="117"/>
      <c r="P42" s="79"/>
      <c r="Q42" s="79"/>
      <c r="R42" s="79"/>
      <c r="Y42" s="79"/>
      <c r="AC42" s="130"/>
      <c r="AE42" s="106"/>
    </row>
    <row r="43">
      <c r="A43" s="278" t="s">
        <v>318</v>
      </c>
      <c r="B43" s="279" t="s">
        <v>319</v>
      </c>
      <c r="C43" s="280" t="s">
        <v>285</v>
      </c>
      <c r="D43" s="280" t="s">
        <v>30</v>
      </c>
      <c r="E43" s="281" t="s">
        <v>320</v>
      </c>
      <c r="F43" s="281" t="s">
        <v>321</v>
      </c>
      <c r="P43" s="79"/>
      <c r="Q43" s="79"/>
      <c r="R43" s="79"/>
      <c r="Y43" s="79"/>
      <c r="AC43" s="130"/>
      <c r="AE43" s="106"/>
    </row>
    <row r="44">
      <c r="A44" s="289" t="s">
        <v>413</v>
      </c>
      <c r="B44" s="290">
        <v>45447.0</v>
      </c>
      <c r="C44" s="173" t="s">
        <v>325</v>
      </c>
      <c r="D44" s="180">
        <v>1208.3</v>
      </c>
      <c r="E44" s="336">
        <v>45488.0</v>
      </c>
      <c r="F44" s="343">
        <f>D44/2</f>
        <v>604.15</v>
      </c>
      <c r="P44" s="79"/>
      <c r="Q44" s="79"/>
      <c r="R44" s="79"/>
      <c r="Y44" s="79"/>
      <c r="AC44" s="130"/>
      <c r="AE44" s="106"/>
    </row>
    <row r="45">
      <c r="A45" s="304" t="s">
        <v>421</v>
      </c>
      <c r="B45" s="305">
        <v>45454.0</v>
      </c>
      <c r="C45" s="234" t="s">
        <v>325</v>
      </c>
      <c r="D45" s="178">
        <v>1279.46</v>
      </c>
      <c r="E45" s="308">
        <v>45482.0</v>
      </c>
      <c r="F45" s="235"/>
      <c r="P45" s="79"/>
      <c r="Q45" s="79"/>
      <c r="R45" s="79"/>
      <c r="Y45" s="79"/>
      <c r="AC45" s="130"/>
      <c r="AE45" s="106"/>
    </row>
    <row r="46">
      <c r="A46" s="304" t="s">
        <v>432</v>
      </c>
      <c r="B46" s="305">
        <v>45461.0</v>
      </c>
      <c r="C46" s="234" t="s">
        <v>325</v>
      </c>
      <c r="D46" s="178">
        <v>1211.18</v>
      </c>
      <c r="E46" s="308">
        <v>45489.0</v>
      </c>
      <c r="F46" s="235"/>
      <c r="P46" s="79"/>
      <c r="Q46" s="79"/>
      <c r="R46" s="79"/>
      <c r="Y46" s="79"/>
      <c r="AC46" s="130"/>
      <c r="AE46" s="106"/>
    </row>
    <row r="47">
      <c r="A47" s="304" t="s">
        <v>447</v>
      </c>
      <c r="B47" s="305">
        <v>45468.0</v>
      </c>
      <c r="C47" s="234" t="s">
        <v>325</v>
      </c>
      <c r="D47" s="178">
        <v>1263.05</v>
      </c>
      <c r="E47" s="308">
        <v>45496.0</v>
      </c>
      <c r="F47" s="235"/>
      <c r="P47" s="79"/>
      <c r="Q47" s="79"/>
      <c r="R47" s="79"/>
      <c r="Y47" s="79"/>
      <c r="AC47" s="130"/>
      <c r="AE47" s="106"/>
    </row>
    <row r="48">
      <c r="A48" s="304" t="s">
        <v>458</v>
      </c>
      <c r="B48" s="305">
        <v>45475.0</v>
      </c>
      <c r="C48" s="234" t="s">
        <v>325</v>
      </c>
      <c r="D48" s="178">
        <v>1249.27</v>
      </c>
      <c r="E48" s="308">
        <v>45503.0</v>
      </c>
      <c r="F48" s="235"/>
      <c r="P48" s="79"/>
      <c r="Q48" s="79"/>
      <c r="R48" s="79"/>
      <c r="Y48" s="79"/>
      <c r="AC48" s="130"/>
      <c r="AE48" s="106"/>
    </row>
    <row r="49">
      <c r="A49" s="304" t="s">
        <v>472</v>
      </c>
      <c r="B49" s="305">
        <v>45482.0</v>
      </c>
      <c r="C49" s="234" t="s">
        <v>325</v>
      </c>
      <c r="D49" s="178">
        <v>1248.68</v>
      </c>
      <c r="E49" s="308">
        <v>45510.0</v>
      </c>
      <c r="F49" s="235"/>
      <c r="P49" s="79"/>
      <c r="Q49" s="79"/>
      <c r="R49" s="79"/>
      <c r="Y49" s="79"/>
      <c r="AC49" s="130"/>
      <c r="AE49" s="106"/>
    </row>
    <row r="50">
      <c r="A50" s="304" t="s">
        <v>495</v>
      </c>
      <c r="B50" s="305">
        <v>45489.0</v>
      </c>
      <c r="C50" s="234" t="s">
        <v>325</v>
      </c>
      <c r="D50" s="178">
        <v>1228.43</v>
      </c>
      <c r="E50" s="308"/>
      <c r="F50" s="235"/>
      <c r="P50" s="79"/>
      <c r="Q50" s="79"/>
      <c r="R50" s="79"/>
      <c r="Y50" s="79"/>
      <c r="AC50" s="130"/>
      <c r="AE50" s="106"/>
    </row>
    <row r="51">
      <c r="A51" s="282" t="s">
        <v>435</v>
      </c>
      <c r="B51" s="283">
        <v>45461.0</v>
      </c>
      <c r="C51" s="166" t="s">
        <v>379</v>
      </c>
      <c r="D51" s="93">
        <v>1455.7</v>
      </c>
      <c r="E51" s="337">
        <v>45496.0</v>
      </c>
      <c r="F51" s="6"/>
      <c r="P51" s="79"/>
      <c r="Q51" s="79"/>
      <c r="R51" s="79"/>
      <c r="Y51" s="79"/>
      <c r="AC51" s="130"/>
      <c r="AE51" s="106"/>
    </row>
    <row r="52">
      <c r="A52" s="282" t="s">
        <v>473</v>
      </c>
      <c r="B52" s="283">
        <v>45476.0</v>
      </c>
      <c r="C52" s="166" t="s">
        <v>111</v>
      </c>
      <c r="D52" s="93">
        <v>663.43</v>
      </c>
      <c r="E52" s="291"/>
      <c r="F52" s="6"/>
      <c r="P52" s="79"/>
      <c r="Q52" s="79"/>
      <c r="R52" s="79"/>
      <c r="Y52" s="79"/>
      <c r="AC52" s="130"/>
      <c r="AE52" s="106"/>
    </row>
    <row r="53">
      <c r="A53" s="282" t="s">
        <v>477</v>
      </c>
      <c r="B53" s="283">
        <v>45481.0</v>
      </c>
      <c r="C53" s="166" t="s">
        <v>478</v>
      </c>
      <c r="D53" s="93">
        <v>199.9</v>
      </c>
      <c r="E53" s="291" t="s">
        <v>479</v>
      </c>
      <c r="F53" s="6">
        <f>D53/2</f>
        <v>99.95</v>
      </c>
      <c r="P53" s="79"/>
      <c r="Q53" s="79"/>
      <c r="R53" s="79"/>
      <c r="Y53" s="79"/>
      <c r="AC53" s="130"/>
      <c r="AE53" s="106"/>
    </row>
    <row r="54">
      <c r="A54" s="282" t="s">
        <v>480</v>
      </c>
      <c r="B54" s="283">
        <v>45483.0</v>
      </c>
      <c r="C54" s="166" t="s">
        <v>355</v>
      </c>
      <c r="D54" s="93">
        <f>425.93-94.5</f>
        <v>331.43</v>
      </c>
      <c r="E54" s="291"/>
      <c r="F54" s="6"/>
      <c r="P54" s="79"/>
      <c r="Q54" s="79"/>
      <c r="R54" s="79"/>
      <c r="Y54" s="79"/>
      <c r="AC54" s="130"/>
      <c r="AE54" s="106"/>
    </row>
    <row r="55">
      <c r="A55" s="282" t="s">
        <v>481</v>
      </c>
      <c r="B55" s="283">
        <v>45485.0</v>
      </c>
      <c r="C55" s="166" t="s">
        <v>482</v>
      </c>
      <c r="D55" s="93">
        <v>923.72</v>
      </c>
      <c r="E55" s="291"/>
      <c r="F55" s="6"/>
      <c r="P55" s="79"/>
      <c r="Q55" s="79"/>
      <c r="R55" s="79"/>
      <c r="Y55" s="79"/>
      <c r="AC55" s="130"/>
      <c r="AE55" s="106"/>
    </row>
    <row r="56">
      <c r="A56" s="282" t="s">
        <v>483</v>
      </c>
      <c r="B56" s="283">
        <v>45482.0</v>
      </c>
      <c r="C56" s="166" t="s">
        <v>482</v>
      </c>
      <c r="D56" s="93">
        <v>463.6</v>
      </c>
      <c r="E56" s="291"/>
      <c r="F56" s="6"/>
      <c r="P56" s="79"/>
      <c r="Q56" s="79"/>
      <c r="R56" s="79"/>
      <c r="Y56" s="79"/>
      <c r="AC56" s="130"/>
      <c r="AE56" s="106"/>
    </row>
    <row r="57">
      <c r="A57" s="282" t="s">
        <v>496</v>
      </c>
      <c r="B57" s="283">
        <v>45492.0</v>
      </c>
      <c r="C57" s="166" t="s">
        <v>497</v>
      </c>
      <c r="D57" s="93">
        <f>297+284.9</f>
        <v>581.9</v>
      </c>
      <c r="E57" s="291"/>
      <c r="F57" s="6"/>
      <c r="P57" s="79"/>
      <c r="Q57" s="79"/>
      <c r="R57" s="79"/>
      <c r="Y57" s="79"/>
      <c r="AC57" s="130"/>
      <c r="AE57" s="106"/>
    </row>
    <row r="58">
      <c r="A58" s="282" t="s">
        <v>498</v>
      </c>
      <c r="B58" s="283">
        <v>45489.0</v>
      </c>
      <c r="C58" s="166" t="s">
        <v>489</v>
      </c>
      <c r="D58" s="93">
        <v>230.85</v>
      </c>
      <c r="E58" s="291"/>
      <c r="F58" s="6"/>
      <c r="P58" s="79"/>
      <c r="Q58" s="79"/>
      <c r="R58" s="79"/>
      <c r="Y58" s="79"/>
      <c r="AC58" s="130"/>
      <c r="AE58" s="106"/>
    </row>
    <row r="59">
      <c r="A59" s="282" t="s">
        <v>499</v>
      </c>
      <c r="B59" s="283">
        <v>45490.0</v>
      </c>
      <c r="C59" s="166" t="s">
        <v>355</v>
      </c>
      <c r="D59" s="93">
        <v>647.86</v>
      </c>
      <c r="E59" s="291"/>
      <c r="F59" s="6"/>
      <c r="P59" s="79"/>
      <c r="Q59" s="79"/>
      <c r="R59" s="79"/>
      <c r="Y59" s="79"/>
      <c r="AC59" s="130"/>
      <c r="AE59" s="106"/>
    </row>
    <row r="60">
      <c r="A60" s="282" t="s">
        <v>491</v>
      </c>
      <c r="B60" s="283">
        <v>45488.0</v>
      </c>
      <c r="C60" s="166" t="s">
        <v>111</v>
      </c>
      <c r="D60" s="93">
        <v>1218.8</v>
      </c>
      <c r="E60" s="291"/>
      <c r="F60" s="6"/>
      <c r="P60" s="79"/>
      <c r="Q60" s="79"/>
      <c r="R60" s="79"/>
      <c r="Y60" s="79"/>
      <c r="AC60" s="130"/>
      <c r="AE60" s="106"/>
    </row>
    <row r="61">
      <c r="A61" s="282" t="s">
        <v>500</v>
      </c>
      <c r="B61" s="283">
        <v>45489.0</v>
      </c>
      <c r="C61" s="166" t="s">
        <v>427</v>
      </c>
      <c r="D61" s="93">
        <v>441.39</v>
      </c>
      <c r="E61" s="291"/>
      <c r="F61" s="6"/>
      <c r="P61" s="79"/>
      <c r="Q61" s="79"/>
      <c r="R61" s="79"/>
      <c r="Y61" s="79"/>
      <c r="AC61" s="130"/>
      <c r="AE61" s="106"/>
    </row>
    <row r="62">
      <c r="A62" s="282" t="s">
        <v>501</v>
      </c>
      <c r="B62" s="283">
        <v>45491.0</v>
      </c>
      <c r="C62" s="166" t="s">
        <v>493</v>
      </c>
      <c r="D62" s="93">
        <v>857.85</v>
      </c>
      <c r="E62" s="291"/>
      <c r="F62" s="6"/>
      <c r="P62" s="79"/>
      <c r="Q62" s="79"/>
      <c r="R62" s="79"/>
      <c r="Y62" s="79"/>
      <c r="AC62" s="130"/>
      <c r="AE62" s="106"/>
    </row>
    <row r="63">
      <c r="A63" s="282" t="s">
        <v>502</v>
      </c>
      <c r="B63" s="283">
        <v>45490.0</v>
      </c>
      <c r="C63" s="166" t="s">
        <v>408</v>
      </c>
      <c r="D63" s="93">
        <v>337.0</v>
      </c>
      <c r="E63" s="291"/>
      <c r="F63" s="6"/>
      <c r="P63" s="79"/>
      <c r="Q63" s="79"/>
      <c r="R63" s="79"/>
      <c r="Y63" s="79"/>
      <c r="AC63" s="130"/>
      <c r="AE63" s="106"/>
    </row>
    <row r="64">
      <c r="A64" s="282"/>
      <c r="B64" s="283"/>
      <c r="C64" s="166"/>
      <c r="D64" s="93"/>
      <c r="E64" s="291"/>
      <c r="F64" s="6"/>
      <c r="P64" s="79"/>
      <c r="Q64" s="79"/>
      <c r="R64" s="79"/>
      <c r="Y64" s="79"/>
      <c r="AC64" s="130"/>
      <c r="AE64" s="106"/>
    </row>
    <row r="65">
      <c r="A65" s="282"/>
      <c r="B65" s="283"/>
      <c r="C65" s="166"/>
      <c r="D65" s="93"/>
      <c r="E65" s="291"/>
      <c r="F65" s="6"/>
      <c r="P65" s="79"/>
      <c r="Q65" s="79"/>
      <c r="R65" s="79"/>
      <c r="Y65" s="79"/>
      <c r="AC65" s="130"/>
      <c r="AE65" s="106"/>
    </row>
    <row r="66">
      <c r="A66" s="282"/>
      <c r="B66" s="283"/>
      <c r="C66" s="166"/>
      <c r="D66" s="93"/>
      <c r="E66" s="291"/>
      <c r="F66" s="6"/>
      <c r="P66" s="79"/>
      <c r="Q66" s="79"/>
      <c r="R66" s="79"/>
      <c r="Y66" s="79"/>
      <c r="AC66" s="130"/>
      <c r="AE66" s="106"/>
    </row>
    <row r="67">
      <c r="A67" s="282"/>
      <c r="B67" s="283"/>
      <c r="C67" s="166"/>
      <c r="D67" s="93"/>
      <c r="E67" s="291"/>
      <c r="F67" s="6"/>
      <c r="P67" s="79"/>
      <c r="Q67" s="79"/>
      <c r="R67" s="79"/>
      <c r="Y67" s="79"/>
      <c r="AC67" s="130"/>
      <c r="AE67" s="106"/>
    </row>
    <row r="68">
      <c r="A68" s="282"/>
      <c r="B68" s="283"/>
      <c r="C68" s="166"/>
      <c r="D68" s="93"/>
      <c r="E68" s="291"/>
      <c r="F68" s="6"/>
      <c r="P68" s="79"/>
      <c r="Q68" s="79"/>
      <c r="R68" s="79"/>
      <c r="Y68" s="79"/>
      <c r="AC68" s="130"/>
      <c r="AE68" s="106"/>
    </row>
    <row r="69">
      <c r="A69" s="282"/>
      <c r="B69" s="283"/>
      <c r="C69" s="166"/>
      <c r="D69" s="93"/>
      <c r="E69" s="291"/>
      <c r="F69" s="6"/>
      <c r="P69" s="79"/>
      <c r="Q69" s="79"/>
      <c r="R69" s="79"/>
      <c r="Y69" s="79"/>
      <c r="AC69" s="130"/>
      <c r="AE69" s="106"/>
    </row>
    <row r="70">
      <c r="A70" s="282"/>
      <c r="B70" s="283"/>
      <c r="C70" s="166"/>
      <c r="D70" s="93"/>
      <c r="E70" s="291"/>
      <c r="F70" s="6"/>
      <c r="P70" s="79"/>
      <c r="Q70" s="79"/>
      <c r="R70" s="79"/>
      <c r="Y70" s="79"/>
      <c r="AC70" s="130"/>
      <c r="AE70" s="106"/>
    </row>
    <row r="71">
      <c r="A71" s="282"/>
      <c r="B71" s="283"/>
      <c r="C71" s="166"/>
      <c r="D71" s="93"/>
      <c r="E71" s="291"/>
      <c r="F71" s="6"/>
      <c r="P71" s="79"/>
      <c r="Q71" s="79"/>
      <c r="R71" s="79"/>
      <c r="Y71" s="79"/>
      <c r="AC71" s="130"/>
      <c r="AE71" s="106"/>
    </row>
    <row r="72">
      <c r="A72" s="282"/>
      <c r="B72" s="283"/>
      <c r="C72" s="166"/>
      <c r="D72" s="93"/>
      <c r="E72" s="291"/>
      <c r="F72" s="6"/>
      <c r="P72" s="79"/>
      <c r="Q72" s="79"/>
      <c r="R72" s="79"/>
      <c r="Y72" s="79"/>
      <c r="AC72" s="130"/>
      <c r="AE72" s="106"/>
    </row>
    <row r="73">
      <c r="A73" s="282"/>
      <c r="B73" s="283"/>
      <c r="C73" s="166"/>
      <c r="D73" s="93"/>
      <c r="E73" s="291"/>
      <c r="F73" s="6"/>
      <c r="P73" s="79"/>
      <c r="Q73" s="79"/>
      <c r="R73" s="79"/>
      <c r="Y73" s="79"/>
      <c r="AC73" s="130"/>
      <c r="AE73" s="106"/>
    </row>
    <row r="74">
      <c r="A74" s="282"/>
      <c r="B74" s="283"/>
      <c r="C74" s="166"/>
      <c r="D74" s="93"/>
      <c r="E74" s="291"/>
      <c r="F74" s="6"/>
      <c r="P74" s="79"/>
      <c r="Q74" s="79"/>
      <c r="R74" s="79"/>
      <c r="Y74" s="79"/>
      <c r="AC74" s="130"/>
      <c r="AE74" s="106"/>
    </row>
    <row r="75">
      <c r="A75" s="282"/>
      <c r="B75" s="283"/>
      <c r="C75" s="166"/>
      <c r="D75" s="93"/>
      <c r="E75" s="291"/>
      <c r="F75" s="6"/>
      <c r="P75" s="79"/>
      <c r="Q75" s="79"/>
      <c r="R75" s="79"/>
      <c r="Y75" s="79"/>
      <c r="AC75" s="130"/>
      <c r="AE75" s="106"/>
    </row>
    <row r="76">
      <c r="A76" s="282"/>
      <c r="B76" s="283"/>
      <c r="C76" s="166"/>
      <c r="D76" s="93"/>
      <c r="E76" s="291"/>
      <c r="F76" s="6"/>
      <c r="P76" s="79"/>
      <c r="Q76" s="79"/>
      <c r="R76" s="79"/>
      <c r="Y76" s="79"/>
      <c r="AC76" s="130"/>
      <c r="AE76" s="106"/>
    </row>
    <row r="77">
      <c r="A77" s="282"/>
      <c r="B77" s="283"/>
      <c r="C77" s="166"/>
      <c r="D77" s="93"/>
      <c r="E77" s="291"/>
      <c r="F77" s="6"/>
      <c r="P77" s="79"/>
      <c r="Q77" s="79"/>
      <c r="R77" s="79"/>
      <c r="Y77" s="79"/>
      <c r="AC77" s="130"/>
      <c r="AE77" s="106"/>
    </row>
    <row r="78">
      <c r="A78" s="282"/>
      <c r="B78" s="283"/>
      <c r="C78" s="166"/>
      <c r="D78" s="93"/>
      <c r="E78" s="291"/>
      <c r="F78" s="6"/>
      <c r="P78" s="79"/>
      <c r="Q78" s="79"/>
      <c r="R78" s="79"/>
      <c r="Y78" s="79"/>
      <c r="AC78" s="130"/>
      <c r="AE78" s="106"/>
    </row>
    <row r="79">
      <c r="A79" s="282"/>
      <c r="B79" s="283"/>
      <c r="C79" s="166"/>
      <c r="D79" s="93"/>
      <c r="E79" s="291"/>
      <c r="F79" s="6"/>
      <c r="P79" s="79"/>
      <c r="Q79" s="79"/>
      <c r="R79" s="79"/>
      <c r="Y79" s="79"/>
      <c r="AC79" s="130"/>
      <c r="AE79" s="106"/>
    </row>
    <row r="80">
      <c r="A80" s="282"/>
      <c r="B80" s="283"/>
      <c r="C80" s="166"/>
      <c r="D80" s="93"/>
      <c r="E80" s="291"/>
      <c r="F80" s="6"/>
      <c r="P80" s="79"/>
      <c r="Q80" s="79"/>
      <c r="R80" s="79"/>
      <c r="Y80" s="79"/>
      <c r="AC80" s="130"/>
      <c r="AE80" s="106"/>
    </row>
    <row r="81">
      <c r="A81" s="282"/>
      <c r="B81" s="283"/>
      <c r="C81" s="166"/>
      <c r="D81" s="93"/>
      <c r="E81" s="291"/>
      <c r="F81" s="6"/>
      <c r="P81" s="79"/>
      <c r="Q81" s="79"/>
      <c r="R81" s="79"/>
      <c r="Y81" s="79"/>
      <c r="AC81" s="130"/>
      <c r="AE81" s="106"/>
    </row>
    <row r="82">
      <c r="A82" s="282"/>
      <c r="B82" s="283"/>
      <c r="C82" s="166"/>
      <c r="D82" s="93"/>
      <c r="E82" s="291"/>
      <c r="F82" s="6"/>
      <c r="P82" s="79"/>
      <c r="Q82" s="79"/>
      <c r="R82" s="79"/>
      <c r="Y82" s="79"/>
      <c r="AC82" s="130"/>
      <c r="AE82" s="106"/>
    </row>
    <row r="83">
      <c r="A83" s="282"/>
      <c r="B83" s="283"/>
      <c r="C83" s="166"/>
      <c r="D83" s="93"/>
      <c r="E83" s="291"/>
      <c r="F83" s="6"/>
      <c r="P83" s="79"/>
      <c r="Q83" s="79"/>
      <c r="R83" s="79"/>
      <c r="Y83" s="79"/>
      <c r="AC83" s="130"/>
      <c r="AE83" s="106"/>
    </row>
    <row r="84">
      <c r="A84" s="282"/>
      <c r="B84" s="283"/>
      <c r="C84" s="166"/>
      <c r="D84" s="93"/>
      <c r="E84" s="291"/>
      <c r="F84" s="6"/>
      <c r="P84" s="79"/>
      <c r="Q84" s="79"/>
      <c r="R84" s="79"/>
      <c r="Y84" s="79"/>
      <c r="AC84" s="130"/>
      <c r="AE84" s="106"/>
    </row>
    <row r="85">
      <c r="A85" s="282"/>
      <c r="B85" s="283"/>
      <c r="C85" s="166"/>
      <c r="D85" s="93"/>
      <c r="E85" s="291"/>
      <c r="F85" s="6"/>
      <c r="P85" s="79"/>
      <c r="Q85" s="79"/>
      <c r="R85" s="79"/>
      <c r="Y85" s="79"/>
      <c r="AC85" s="130"/>
      <c r="AE85" s="106"/>
    </row>
    <row r="86">
      <c r="A86" s="282"/>
      <c r="B86" s="283"/>
      <c r="C86" s="166"/>
      <c r="D86" s="93"/>
      <c r="E86" s="291"/>
      <c r="F86" s="6"/>
      <c r="P86" s="79"/>
      <c r="Q86" s="79"/>
      <c r="R86" s="79"/>
      <c r="Y86" s="79"/>
      <c r="AC86" s="130"/>
      <c r="AE86" s="106"/>
    </row>
    <row r="87">
      <c r="A87" s="282"/>
      <c r="B87" s="283"/>
      <c r="C87" s="166"/>
      <c r="D87" s="93"/>
      <c r="E87" s="291"/>
      <c r="F87" s="6"/>
      <c r="P87" s="79"/>
      <c r="Q87" s="79"/>
      <c r="R87" s="79"/>
      <c r="Y87" s="79"/>
      <c r="AC87" s="130"/>
      <c r="AE87" s="106"/>
    </row>
    <row r="88">
      <c r="A88" s="282"/>
      <c r="B88" s="283"/>
      <c r="C88" s="166"/>
      <c r="D88" s="93"/>
      <c r="E88" s="291"/>
      <c r="F88" s="6"/>
      <c r="P88" s="79"/>
      <c r="Q88" s="79"/>
      <c r="R88" s="79"/>
      <c r="Y88" s="79"/>
      <c r="AC88" s="130"/>
      <c r="AE88" s="106"/>
    </row>
    <row r="89">
      <c r="A89" s="282"/>
      <c r="B89" s="283"/>
      <c r="C89" s="166"/>
      <c r="D89" s="93"/>
      <c r="E89" s="291"/>
      <c r="F89" s="6"/>
      <c r="P89" s="79"/>
      <c r="Q89" s="79"/>
      <c r="R89" s="79"/>
      <c r="Y89" s="79"/>
      <c r="AC89" s="130"/>
      <c r="AE89" s="106"/>
    </row>
    <row r="90">
      <c r="A90" s="282"/>
      <c r="B90" s="283"/>
      <c r="C90" s="166"/>
      <c r="D90" s="93"/>
      <c r="E90" s="291"/>
      <c r="F90" s="6"/>
      <c r="P90" s="79"/>
      <c r="Q90" s="79"/>
      <c r="R90" s="79"/>
      <c r="Y90" s="79"/>
      <c r="AC90" s="130"/>
      <c r="AE90" s="106"/>
    </row>
    <row r="91">
      <c r="A91" s="282"/>
      <c r="B91" s="283"/>
      <c r="C91" s="166"/>
      <c r="D91" s="93"/>
      <c r="E91" s="291"/>
      <c r="F91" s="6"/>
      <c r="P91" s="79"/>
      <c r="Q91" s="79"/>
      <c r="R91" s="79"/>
      <c r="Y91" s="79"/>
      <c r="AC91" s="130"/>
      <c r="AE91" s="106"/>
    </row>
    <row r="92">
      <c r="A92" s="282"/>
      <c r="B92" s="283"/>
      <c r="C92" s="166"/>
      <c r="D92" s="93"/>
      <c r="E92" s="291"/>
      <c r="F92" s="6"/>
      <c r="P92" s="79"/>
      <c r="Q92" s="79"/>
      <c r="R92" s="79"/>
      <c r="Y92" s="79"/>
      <c r="AC92" s="130"/>
      <c r="AE92" s="106"/>
    </row>
    <row r="93">
      <c r="A93" s="282"/>
      <c r="B93" s="283"/>
      <c r="C93" s="166"/>
      <c r="D93" s="93"/>
      <c r="E93" s="291"/>
      <c r="F93" s="6"/>
      <c r="P93" s="79"/>
      <c r="Q93" s="79"/>
      <c r="R93" s="79"/>
      <c r="Y93" s="79"/>
      <c r="AC93" s="130"/>
      <c r="AE93" s="106"/>
    </row>
    <row r="94">
      <c r="C94" s="79"/>
      <c r="D94" s="79"/>
      <c r="E94" s="79"/>
      <c r="P94" s="79"/>
      <c r="Q94" s="79"/>
      <c r="R94" s="79"/>
      <c r="Y94" s="79"/>
      <c r="AC94" s="130"/>
      <c r="AE94" s="106"/>
    </row>
    <row r="95">
      <c r="C95" s="79"/>
      <c r="D95" s="79"/>
      <c r="E95" s="79"/>
      <c r="P95" s="79"/>
      <c r="Q95" s="79"/>
      <c r="R95" s="79"/>
      <c r="Y95" s="79"/>
      <c r="AC95" s="130"/>
      <c r="AE95" s="106"/>
    </row>
    <row r="96">
      <c r="C96" s="79"/>
      <c r="D96" s="79"/>
      <c r="E96" s="79"/>
      <c r="P96" s="79"/>
      <c r="Q96" s="79"/>
      <c r="R96" s="79"/>
      <c r="Y96" s="79"/>
      <c r="AC96" s="130"/>
      <c r="AE96" s="106"/>
    </row>
    <row r="97">
      <c r="C97" s="79"/>
      <c r="D97" s="79"/>
      <c r="E97" s="79"/>
      <c r="P97" s="79"/>
      <c r="Q97" s="79"/>
      <c r="R97" s="79"/>
      <c r="Y97" s="79"/>
      <c r="AC97" s="130"/>
      <c r="AE97" s="106"/>
    </row>
    <row r="98">
      <c r="C98" s="79"/>
      <c r="D98" s="79"/>
      <c r="E98" s="79"/>
      <c r="P98" s="79"/>
      <c r="Q98" s="79"/>
      <c r="R98" s="79"/>
      <c r="Y98" s="79"/>
      <c r="AC98" s="130"/>
      <c r="AE98" s="106"/>
    </row>
    <row r="99">
      <c r="C99" s="79"/>
      <c r="D99" s="79"/>
      <c r="E99" s="79"/>
      <c r="P99" s="79"/>
      <c r="Q99" s="79"/>
      <c r="R99" s="79"/>
      <c r="Y99" s="79"/>
      <c r="AC99" s="130"/>
      <c r="AE99" s="106"/>
    </row>
    <row r="100">
      <c r="C100" s="79"/>
      <c r="D100" s="79"/>
      <c r="E100" s="79"/>
      <c r="P100" s="79"/>
      <c r="Q100" s="79"/>
      <c r="R100" s="79"/>
      <c r="Y100" s="79"/>
      <c r="AC100" s="130"/>
      <c r="AE100" s="106"/>
    </row>
    <row r="101">
      <c r="C101" s="79"/>
      <c r="D101" s="79"/>
      <c r="E101" s="79"/>
      <c r="P101" s="79"/>
      <c r="Q101" s="79"/>
      <c r="R101" s="79"/>
      <c r="Y101" s="79"/>
      <c r="AC101" s="130"/>
      <c r="AE101" s="106"/>
    </row>
    <row r="102">
      <c r="C102" s="79"/>
      <c r="D102" s="79"/>
      <c r="E102" s="79"/>
      <c r="P102" s="79"/>
      <c r="Q102" s="79"/>
      <c r="R102" s="79"/>
      <c r="Y102" s="79"/>
      <c r="AC102" s="130"/>
      <c r="AE102" s="106"/>
    </row>
    <row r="103">
      <c r="C103" s="79"/>
      <c r="D103" s="79"/>
      <c r="E103" s="79"/>
      <c r="P103" s="79"/>
      <c r="Q103" s="79"/>
      <c r="R103" s="79"/>
      <c r="Y103" s="79"/>
      <c r="AC103" s="130"/>
      <c r="AE103" s="106"/>
    </row>
    <row r="104">
      <c r="C104" s="79"/>
      <c r="D104" s="79"/>
      <c r="E104" s="79"/>
      <c r="P104" s="79"/>
      <c r="Q104" s="79"/>
      <c r="R104" s="79"/>
      <c r="Y104" s="79"/>
      <c r="AC104" s="130"/>
      <c r="AE104" s="106"/>
    </row>
    <row r="105">
      <c r="C105" s="79"/>
      <c r="D105" s="79"/>
      <c r="E105" s="79"/>
      <c r="P105" s="79"/>
      <c r="Q105" s="79"/>
      <c r="R105" s="79"/>
      <c r="Y105" s="79"/>
      <c r="AC105" s="130"/>
      <c r="AE105" s="106"/>
    </row>
    <row r="106">
      <c r="C106" s="79"/>
      <c r="D106" s="79"/>
      <c r="E106" s="79"/>
      <c r="P106" s="79"/>
      <c r="Q106" s="79"/>
      <c r="R106" s="79"/>
      <c r="Y106" s="79"/>
      <c r="AC106" s="130"/>
      <c r="AE106" s="106"/>
    </row>
    <row r="107">
      <c r="C107" s="79"/>
      <c r="D107" s="79"/>
      <c r="E107" s="79"/>
      <c r="P107" s="79"/>
      <c r="Q107" s="79"/>
      <c r="R107" s="79"/>
      <c r="Y107" s="79"/>
      <c r="AC107" s="130"/>
      <c r="AE107" s="106"/>
    </row>
    <row r="108">
      <c r="C108" s="79"/>
      <c r="D108" s="79"/>
      <c r="E108" s="79"/>
      <c r="P108" s="79"/>
      <c r="Q108" s="79"/>
      <c r="R108" s="79"/>
      <c r="Y108" s="79"/>
      <c r="AC108" s="130"/>
      <c r="AE108" s="106"/>
    </row>
    <row r="109">
      <c r="C109" s="79"/>
      <c r="D109" s="79"/>
      <c r="E109" s="79"/>
      <c r="P109" s="79"/>
      <c r="Q109" s="79"/>
      <c r="R109" s="79"/>
      <c r="Y109" s="79"/>
      <c r="AC109" s="130"/>
      <c r="AE109" s="106"/>
    </row>
    <row r="110">
      <c r="C110" s="79"/>
      <c r="D110" s="79"/>
      <c r="E110" s="79"/>
      <c r="P110" s="79"/>
      <c r="Q110" s="79"/>
      <c r="R110" s="79"/>
      <c r="Y110" s="79"/>
      <c r="AC110" s="130"/>
      <c r="AE110" s="106"/>
    </row>
    <row r="111">
      <c r="C111" s="79"/>
      <c r="D111" s="79"/>
      <c r="E111" s="79"/>
      <c r="P111" s="79"/>
      <c r="Q111" s="79"/>
      <c r="R111" s="79"/>
      <c r="Y111" s="79"/>
      <c r="AC111" s="130"/>
      <c r="AE111" s="106"/>
    </row>
    <row r="112">
      <c r="C112" s="79"/>
      <c r="D112" s="79"/>
      <c r="E112" s="79"/>
      <c r="P112" s="79"/>
      <c r="Q112" s="79"/>
      <c r="R112" s="79"/>
      <c r="Y112" s="79"/>
      <c r="AC112" s="130"/>
      <c r="AE112" s="106"/>
    </row>
    <row r="113">
      <c r="C113" s="79"/>
      <c r="D113" s="79"/>
      <c r="E113" s="79"/>
      <c r="P113" s="79"/>
      <c r="Q113" s="79"/>
      <c r="R113" s="79"/>
      <c r="Y113" s="79"/>
      <c r="AC113" s="130"/>
      <c r="AE113" s="106"/>
    </row>
    <row r="114">
      <c r="C114" s="79"/>
      <c r="D114" s="79"/>
      <c r="E114" s="79"/>
      <c r="P114" s="79"/>
      <c r="Q114" s="79"/>
      <c r="R114" s="79"/>
      <c r="Y114" s="79"/>
      <c r="AC114" s="130"/>
      <c r="AE114" s="106"/>
    </row>
    <row r="115">
      <c r="C115" s="79"/>
      <c r="D115" s="79"/>
      <c r="E115" s="79"/>
      <c r="P115" s="79"/>
      <c r="Q115" s="79"/>
      <c r="R115" s="79"/>
      <c r="Y115" s="79"/>
      <c r="AC115" s="130"/>
      <c r="AE115" s="106"/>
    </row>
    <row r="116">
      <c r="C116" s="79"/>
      <c r="D116" s="79"/>
      <c r="E116" s="79"/>
      <c r="P116" s="79"/>
      <c r="Q116" s="79"/>
      <c r="R116" s="79"/>
      <c r="Y116" s="79"/>
      <c r="AC116" s="130"/>
      <c r="AE116" s="106"/>
    </row>
    <row r="117">
      <c r="C117" s="79"/>
      <c r="D117" s="79"/>
      <c r="E117" s="79"/>
      <c r="P117" s="79"/>
      <c r="Q117" s="79"/>
      <c r="R117" s="79"/>
      <c r="Y117" s="79"/>
      <c r="AC117" s="130"/>
      <c r="AE117" s="106"/>
    </row>
    <row r="118">
      <c r="C118" s="79"/>
      <c r="D118" s="79"/>
      <c r="E118" s="79"/>
      <c r="P118" s="79"/>
      <c r="Q118" s="79"/>
      <c r="R118" s="79"/>
      <c r="Y118" s="79"/>
      <c r="AC118" s="130"/>
      <c r="AE118" s="106"/>
    </row>
    <row r="119">
      <c r="C119" s="79"/>
      <c r="D119" s="79"/>
      <c r="E119" s="79"/>
      <c r="P119" s="79"/>
      <c r="Q119" s="79"/>
      <c r="R119" s="79"/>
      <c r="Y119" s="79"/>
      <c r="AC119" s="130"/>
      <c r="AE119" s="106"/>
    </row>
    <row r="120">
      <c r="C120" s="79"/>
      <c r="D120" s="79"/>
      <c r="E120" s="79"/>
      <c r="P120" s="79"/>
      <c r="Q120" s="79"/>
      <c r="R120" s="79"/>
      <c r="Y120" s="79"/>
      <c r="AC120" s="130"/>
      <c r="AE120" s="106"/>
    </row>
    <row r="121">
      <c r="C121" s="79"/>
      <c r="D121" s="79"/>
      <c r="E121" s="79"/>
      <c r="P121" s="79"/>
      <c r="Q121" s="79"/>
      <c r="R121" s="79"/>
      <c r="Y121" s="79"/>
      <c r="AC121" s="130"/>
      <c r="AE121" s="106"/>
    </row>
    <row r="122">
      <c r="C122" s="79"/>
      <c r="D122" s="79"/>
      <c r="E122" s="79"/>
      <c r="P122" s="79"/>
      <c r="Q122" s="79"/>
      <c r="R122" s="79"/>
      <c r="Y122" s="79"/>
      <c r="AC122" s="130"/>
      <c r="AE122" s="106"/>
    </row>
    <row r="123">
      <c r="C123" s="79"/>
      <c r="D123" s="79"/>
      <c r="E123" s="79"/>
      <c r="P123" s="79"/>
      <c r="Q123" s="79"/>
      <c r="R123" s="79"/>
      <c r="Y123" s="79"/>
      <c r="AC123" s="130"/>
      <c r="AE123" s="106"/>
    </row>
    <row r="124">
      <c r="C124" s="79"/>
      <c r="D124" s="79"/>
      <c r="E124" s="79"/>
      <c r="P124" s="79"/>
      <c r="Q124" s="79"/>
      <c r="R124" s="79"/>
      <c r="Y124" s="79"/>
      <c r="AC124" s="130"/>
      <c r="AE124" s="106"/>
    </row>
    <row r="125">
      <c r="C125" s="79"/>
      <c r="D125" s="79"/>
      <c r="E125" s="79"/>
      <c r="P125" s="79"/>
      <c r="Q125" s="79"/>
      <c r="R125" s="79"/>
      <c r="Y125" s="79"/>
      <c r="AC125" s="130"/>
      <c r="AE125" s="106"/>
    </row>
    <row r="126">
      <c r="C126" s="79"/>
      <c r="D126" s="79"/>
      <c r="E126" s="79"/>
      <c r="P126" s="79"/>
      <c r="Q126" s="79"/>
      <c r="R126" s="79"/>
      <c r="Y126" s="79"/>
      <c r="AC126" s="130"/>
      <c r="AE126" s="106"/>
    </row>
    <row r="127">
      <c r="C127" s="79"/>
      <c r="D127" s="79"/>
      <c r="E127" s="79"/>
      <c r="P127" s="79"/>
      <c r="Q127" s="79"/>
      <c r="R127" s="79"/>
      <c r="Y127" s="79"/>
      <c r="AC127" s="130"/>
      <c r="AE127" s="106"/>
    </row>
    <row r="128">
      <c r="C128" s="79"/>
      <c r="D128" s="79"/>
      <c r="E128" s="79"/>
      <c r="P128" s="79"/>
      <c r="Q128" s="79"/>
      <c r="R128" s="79"/>
      <c r="Y128" s="79"/>
      <c r="AC128" s="130"/>
      <c r="AE128" s="106"/>
    </row>
    <row r="129">
      <c r="C129" s="79"/>
      <c r="D129" s="79"/>
      <c r="E129" s="79"/>
      <c r="P129" s="79"/>
      <c r="Q129" s="79"/>
      <c r="R129" s="79"/>
      <c r="Y129" s="79"/>
      <c r="AC129" s="130"/>
      <c r="AE129" s="106"/>
    </row>
    <row r="130">
      <c r="C130" s="79"/>
      <c r="D130" s="79"/>
      <c r="E130" s="79"/>
      <c r="P130" s="79"/>
      <c r="Q130" s="79"/>
      <c r="R130" s="79"/>
      <c r="Y130" s="79"/>
      <c r="AC130" s="130"/>
      <c r="AE130" s="106"/>
    </row>
    <row r="131">
      <c r="C131" s="79"/>
      <c r="D131" s="79"/>
      <c r="E131" s="79"/>
      <c r="P131" s="79"/>
      <c r="Q131" s="79"/>
      <c r="R131" s="79"/>
      <c r="Y131" s="79"/>
      <c r="AC131" s="130"/>
      <c r="AE131" s="106"/>
    </row>
    <row r="132">
      <c r="C132" s="79"/>
      <c r="D132" s="79"/>
      <c r="E132" s="79"/>
      <c r="P132" s="79"/>
      <c r="Q132" s="79"/>
      <c r="R132" s="79"/>
      <c r="Y132" s="79"/>
      <c r="AC132" s="130"/>
      <c r="AE132" s="106"/>
    </row>
    <row r="133">
      <c r="C133" s="79"/>
      <c r="D133" s="79"/>
      <c r="E133" s="79"/>
      <c r="P133" s="79"/>
      <c r="Q133" s="79"/>
      <c r="R133" s="79"/>
      <c r="Y133" s="79"/>
      <c r="AC133" s="130"/>
      <c r="AE133" s="106"/>
    </row>
    <row r="134">
      <c r="C134" s="79"/>
      <c r="D134" s="79"/>
      <c r="E134" s="79"/>
      <c r="P134" s="79"/>
      <c r="Q134" s="79"/>
      <c r="R134" s="79"/>
      <c r="Y134" s="79"/>
      <c r="AC134" s="130"/>
      <c r="AE134" s="106"/>
    </row>
    <row r="135">
      <c r="C135" s="79"/>
      <c r="D135" s="79"/>
      <c r="E135" s="79"/>
      <c r="P135" s="79"/>
      <c r="Q135" s="79"/>
      <c r="R135" s="79"/>
      <c r="Y135" s="79"/>
      <c r="AC135" s="130"/>
      <c r="AE135" s="106"/>
    </row>
    <row r="136">
      <c r="C136" s="79"/>
      <c r="D136" s="79"/>
      <c r="E136" s="79"/>
      <c r="P136" s="79"/>
      <c r="Q136" s="79"/>
      <c r="R136" s="79"/>
      <c r="Y136" s="79"/>
      <c r="AC136" s="130"/>
      <c r="AE136" s="106"/>
    </row>
    <row r="137">
      <c r="C137" s="79"/>
      <c r="D137" s="79"/>
      <c r="E137" s="79"/>
      <c r="P137" s="79"/>
      <c r="Q137" s="79"/>
      <c r="R137" s="79"/>
      <c r="Y137" s="79"/>
      <c r="AC137" s="130"/>
      <c r="AE137" s="106"/>
    </row>
    <row r="138">
      <c r="C138" s="79"/>
      <c r="D138" s="79"/>
      <c r="E138" s="79"/>
      <c r="P138" s="79"/>
      <c r="Q138" s="79"/>
      <c r="R138" s="79"/>
      <c r="Y138" s="79"/>
      <c r="AC138" s="130"/>
      <c r="AE138" s="106"/>
    </row>
    <row r="139">
      <c r="C139" s="79"/>
      <c r="D139" s="79"/>
      <c r="E139" s="79"/>
      <c r="P139" s="79"/>
      <c r="Q139" s="79"/>
      <c r="R139" s="79"/>
      <c r="Y139" s="79"/>
      <c r="AC139" s="130"/>
      <c r="AE139" s="106"/>
    </row>
    <row r="140">
      <c r="C140" s="79"/>
      <c r="D140" s="79"/>
      <c r="E140" s="79"/>
      <c r="P140" s="79"/>
      <c r="Q140" s="79"/>
      <c r="R140" s="79"/>
      <c r="Y140" s="79"/>
      <c r="AC140" s="130"/>
      <c r="AE140" s="106"/>
    </row>
    <row r="141">
      <c r="C141" s="79"/>
      <c r="D141" s="79"/>
      <c r="E141" s="79"/>
      <c r="P141" s="79"/>
      <c r="Q141" s="79"/>
      <c r="R141" s="79"/>
      <c r="Y141" s="79"/>
      <c r="AC141" s="130"/>
      <c r="AE141" s="106"/>
    </row>
    <row r="142">
      <c r="C142" s="79"/>
      <c r="D142" s="79"/>
      <c r="E142" s="79"/>
      <c r="P142" s="79"/>
      <c r="Q142" s="79"/>
      <c r="R142" s="79"/>
      <c r="Y142" s="79"/>
      <c r="AC142" s="130"/>
      <c r="AE142" s="106"/>
    </row>
    <row r="143">
      <c r="C143" s="79"/>
      <c r="D143" s="79"/>
      <c r="E143" s="79"/>
      <c r="P143" s="79"/>
      <c r="Q143" s="79"/>
      <c r="R143" s="79"/>
      <c r="Y143" s="79"/>
      <c r="AC143" s="130"/>
      <c r="AE143" s="106"/>
    </row>
    <row r="144">
      <c r="C144" s="79"/>
      <c r="D144" s="79"/>
      <c r="E144" s="79"/>
      <c r="P144" s="79"/>
      <c r="Q144" s="79"/>
      <c r="R144" s="79"/>
      <c r="Y144" s="79"/>
      <c r="AC144" s="130"/>
      <c r="AE144" s="106"/>
    </row>
    <row r="145">
      <c r="C145" s="79"/>
      <c r="D145" s="79"/>
      <c r="E145" s="79"/>
      <c r="P145" s="79"/>
      <c r="Q145" s="79"/>
      <c r="R145" s="79"/>
      <c r="Y145" s="79"/>
      <c r="AC145" s="130"/>
      <c r="AE145" s="106"/>
    </row>
    <row r="146">
      <c r="C146" s="79"/>
      <c r="D146" s="79"/>
      <c r="E146" s="79"/>
      <c r="P146" s="79"/>
      <c r="Q146" s="79"/>
      <c r="R146" s="79"/>
      <c r="Y146" s="79"/>
      <c r="AC146" s="130"/>
      <c r="AE146" s="106"/>
    </row>
    <row r="147">
      <c r="C147" s="79"/>
      <c r="D147" s="79"/>
      <c r="E147" s="79"/>
      <c r="P147" s="79"/>
      <c r="Q147" s="79"/>
      <c r="R147" s="79"/>
      <c r="Y147" s="79"/>
      <c r="AC147" s="130"/>
      <c r="AE147" s="106"/>
    </row>
    <row r="148">
      <c r="C148" s="79"/>
      <c r="D148" s="79"/>
      <c r="E148" s="79"/>
      <c r="P148" s="79"/>
      <c r="Q148" s="79"/>
      <c r="R148" s="79"/>
      <c r="Y148" s="79"/>
      <c r="AC148" s="130"/>
      <c r="AE148" s="106"/>
    </row>
    <row r="149">
      <c r="C149" s="79"/>
      <c r="D149" s="79"/>
      <c r="E149" s="79"/>
      <c r="P149" s="79"/>
      <c r="Q149" s="79"/>
      <c r="R149" s="79"/>
      <c r="Y149" s="79"/>
      <c r="AC149" s="130"/>
      <c r="AE149" s="106"/>
    </row>
    <row r="150">
      <c r="C150" s="79"/>
      <c r="D150" s="79"/>
      <c r="E150" s="79"/>
      <c r="P150" s="79"/>
      <c r="Q150" s="79"/>
      <c r="R150" s="79"/>
      <c r="Y150" s="79"/>
      <c r="AC150" s="130"/>
      <c r="AE150" s="106"/>
    </row>
    <row r="151">
      <c r="C151" s="79"/>
      <c r="D151" s="79"/>
      <c r="E151" s="79"/>
      <c r="P151" s="79"/>
      <c r="Q151" s="79"/>
      <c r="R151" s="79"/>
      <c r="Y151" s="79"/>
      <c r="AC151" s="130"/>
      <c r="AE151" s="106"/>
    </row>
    <row r="152">
      <c r="C152" s="79"/>
      <c r="D152" s="79"/>
      <c r="E152" s="79"/>
      <c r="P152" s="79"/>
      <c r="Q152" s="79"/>
      <c r="R152" s="79"/>
      <c r="Y152" s="79"/>
      <c r="AC152" s="130"/>
      <c r="AE152" s="106"/>
    </row>
    <row r="153">
      <c r="C153" s="79"/>
      <c r="D153" s="79"/>
      <c r="E153" s="79"/>
      <c r="P153" s="79"/>
      <c r="Q153" s="79"/>
      <c r="R153" s="79"/>
      <c r="Y153" s="79"/>
      <c r="AC153" s="130"/>
      <c r="AE153" s="106"/>
    </row>
    <row r="154">
      <c r="C154" s="79"/>
      <c r="D154" s="79"/>
      <c r="E154" s="79"/>
      <c r="P154" s="79"/>
      <c r="Q154" s="79"/>
      <c r="R154" s="79"/>
      <c r="Y154" s="79"/>
      <c r="AC154" s="130"/>
      <c r="AE154" s="106"/>
    </row>
    <row r="155">
      <c r="C155" s="79"/>
      <c r="D155" s="79"/>
      <c r="E155" s="79"/>
      <c r="P155" s="79"/>
      <c r="Q155" s="79"/>
      <c r="R155" s="79"/>
      <c r="Y155" s="79"/>
      <c r="AC155" s="130"/>
      <c r="AE155" s="106"/>
    </row>
    <row r="156">
      <c r="C156" s="79"/>
      <c r="D156" s="79"/>
      <c r="E156" s="79"/>
      <c r="P156" s="79"/>
      <c r="Q156" s="79"/>
      <c r="R156" s="79"/>
      <c r="Y156" s="79"/>
      <c r="AC156" s="130"/>
      <c r="AE156" s="106"/>
    </row>
    <row r="157">
      <c r="C157" s="79"/>
      <c r="D157" s="79"/>
      <c r="E157" s="79"/>
      <c r="P157" s="79"/>
      <c r="Q157" s="79"/>
      <c r="R157" s="79"/>
      <c r="Y157" s="79"/>
      <c r="AC157" s="130"/>
      <c r="AE157" s="106"/>
    </row>
    <row r="158">
      <c r="C158" s="79"/>
      <c r="D158" s="79"/>
      <c r="E158" s="79"/>
      <c r="P158" s="79"/>
      <c r="Q158" s="79"/>
      <c r="R158" s="79"/>
      <c r="Y158" s="79"/>
      <c r="AC158" s="130"/>
      <c r="AE158" s="106"/>
    </row>
    <row r="159">
      <c r="C159" s="79"/>
      <c r="D159" s="79"/>
      <c r="E159" s="79"/>
      <c r="P159" s="79"/>
      <c r="Q159" s="79"/>
      <c r="R159" s="79"/>
      <c r="Y159" s="79"/>
      <c r="AC159" s="130"/>
      <c r="AE159" s="106"/>
    </row>
    <row r="160">
      <c r="C160" s="79"/>
      <c r="D160" s="79"/>
      <c r="E160" s="79"/>
      <c r="P160" s="79"/>
      <c r="Q160" s="79"/>
      <c r="R160" s="79"/>
      <c r="Y160" s="79"/>
      <c r="AC160" s="130"/>
      <c r="AE160" s="106"/>
    </row>
    <row r="161">
      <c r="C161" s="79"/>
      <c r="D161" s="79"/>
      <c r="E161" s="79"/>
      <c r="P161" s="79"/>
      <c r="Q161" s="79"/>
      <c r="R161" s="79"/>
      <c r="Y161" s="79"/>
      <c r="AC161" s="130"/>
      <c r="AE161" s="106"/>
    </row>
    <row r="162">
      <c r="C162" s="79"/>
      <c r="D162" s="79"/>
      <c r="E162" s="79"/>
      <c r="P162" s="79"/>
      <c r="Q162" s="79"/>
      <c r="R162" s="79"/>
      <c r="Y162" s="79"/>
      <c r="AC162" s="130"/>
      <c r="AE162" s="106"/>
    </row>
    <row r="163">
      <c r="C163" s="79"/>
      <c r="D163" s="79"/>
      <c r="E163" s="79"/>
      <c r="P163" s="79"/>
      <c r="Q163" s="79"/>
      <c r="R163" s="79"/>
      <c r="Y163" s="79"/>
      <c r="AC163" s="130"/>
      <c r="AE163" s="106"/>
    </row>
    <row r="164">
      <c r="C164" s="79"/>
      <c r="D164" s="79"/>
      <c r="E164" s="79"/>
      <c r="P164" s="79"/>
      <c r="Q164" s="79"/>
      <c r="R164" s="79"/>
      <c r="Y164" s="79"/>
      <c r="AC164" s="130"/>
      <c r="AE164" s="106"/>
    </row>
    <row r="165">
      <c r="C165" s="79"/>
      <c r="D165" s="79"/>
      <c r="E165" s="79"/>
      <c r="P165" s="79"/>
      <c r="Q165" s="79"/>
      <c r="R165" s="79"/>
      <c r="Y165" s="79"/>
      <c r="AC165" s="130"/>
      <c r="AE165" s="106"/>
    </row>
    <row r="166">
      <c r="C166" s="79"/>
      <c r="D166" s="79"/>
      <c r="E166" s="79"/>
      <c r="P166" s="79"/>
      <c r="Q166" s="79"/>
      <c r="R166" s="79"/>
      <c r="Y166" s="79"/>
      <c r="AC166" s="130"/>
      <c r="AE166" s="106"/>
    </row>
    <row r="167">
      <c r="C167" s="79"/>
      <c r="D167" s="79"/>
      <c r="E167" s="79"/>
      <c r="P167" s="79"/>
      <c r="Q167" s="79"/>
      <c r="R167" s="79"/>
      <c r="Y167" s="79"/>
      <c r="AC167" s="130"/>
      <c r="AE167" s="106"/>
    </row>
    <row r="168">
      <c r="C168" s="79"/>
      <c r="D168" s="79"/>
      <c r="E168" s="79"/>
      <c r="P168" s="79"/>
      <c r="Q168" s="79"/>
      <c r="R168" s="79"/>
      <c r="Y168" s="79"/>
      <c r="AC168" s="130"/>
      <c r="AE168" s="106"/>
    </row>
    <row r="169">
      <c r="C169" s="79"/>
      <c r="D169" s="79"/>
      <c r="E169" s="79"/>
      <c r="P169" s="79"/>
      <c r="Q169" s="79"/>
      <c r="R169" s="79"/>
      <c r="Y169" s="79"/>
      <c r="AC169" s="130"/>
      <c r="AE169" s="106"/>
    </row>
    <row r="170">
      <c r="C170" s="79"/>
      <c r="D170" s="79"/>
      <c r="E170" s="79"/>
      <c r="P170" s="79"/>
      <c r="Q170" s="79"/>
      <c r="R170" s="79"/>
      <c r="Y170" s="79"/>
      <c r="AC170" s="130"/>
      <c r="AE170" s="106"/>
    </row>
    <row r="171">
      <c r="C171" s="79"/>
      <c r="D171" s="79"/>
      <c r="E171" s="79"/>
      <c r="P171" s="79"/>
      <c r="Q171" s="79"/>
      <c r="R171" s="79"/>
      <c r="Y171" s="79"/>
      <c r="AC171" s="130"/>
      <c r="AE171" s="106"/>
    </row>
    <row r="172">
      <c r="C172" s="79"/>
      <c r="D172" s="79"/>
      <c r="E172" s="79"/>
      <c r="P172" s="79"/>
      <c r="Q172" s="79"/>
      <c r="R172" s="79"/>
      <c r="Y172" s="79"/>
      <c r="AC172" s="130"/>
      <c r="AE172" s="106"/>
    </row>
    <row r="173">
      <c r="C173" s="79"/>
      <c r="D173" s="79"/>
      <c r="E173" s="79"/>
      <c r="P173" s="79"/>
      <c r="Q173" s="79"/>
      <c r="R173" s="79"/>
      <c r="Y173" s="79"/>
      <c r="AC173" s="130"/>
      <c r="AE173" s="106"/>
    </row>
    <row r="174">
      <c r="C174" s="79"/>
      <c r="D174" s="79"/>
      <c r="E174" s="79"/>
      <c r="P174" s="79"/>
      <c r="Q174" s="79"/>
      <c r="R174" s="79"/>
      <c r="Y174" s="79"/>
      <c r="AC174" s="130"/>
      <c r="AE174" s="106"/>
    </row>
    <row r="175">
      <c r="C175" s="79"/>
      <c r="D175" s="79"/>
      <c r="E175" s="79"/>
      <c r="P175" s="79"/>
      <c r="Q175" s="79"/>
      <c r="R175" s="79"/>
      <c r="Y175" s="79"/>
      <c r="AC175" s="130"/>
      <c r="AE175" s="106"/>
    </row>
    <row r="176">
      <c r="C176" s="79"/>
      <c r="D176" s="79"/>
      <c r="E176" s="79"/>
      <c r="P176" s="79"/>
      <c r="Q176" s="79"/>
      <c r="R176" s="79"/>
      <c r="Y176" s="79"/>
      <c r="AC176" s="130"/>
      <c r="AE176" s="106"/>
    </row>
    <row r="177">
      <c r="C177" s="79"/>
      <c r="D177" s="79"/>
      <c r="E177" s="79"/>
      <c r="P177" s="79"/>
      <c r="Q177" s="79"/>
      <c r="R177" s="79"/>
      <c r="Y177" s="79"/>
      <c r="AC177" s="130"/>
      <c r="AE177" s="106"/>
    </row>
    <row r="178">
      <c r="C178" s="79"/>
      <c r="D178" s="79"/>
      <c r="E178" s="79"/>
      <c r="P178" s="79"/>
      <c r="Q178" s="79"/>
      <c r="R178" s="79"/>
      <c r="Y178" s="79"/>
      <c r="AC178" s="130"/>
      <c r="AE178" s="106"/>
    </row>
    <row r="179">
      <c r="C179" s="79"/>
      <c r="D179" s="79"/>
      <c r="E179" s="79"/>
      <c r="P179" s="79"/>
      <c r="Q179" s="79"/>
      <c r="R179" s="79"/>
      <c r="Y179" s="79"/>
      <c r="AC179" s="130"/>
      <c r="AE179" s="106"/>
    </row>
    <row r="180">
      <c r="C180" s="79"/>
      <c r="D180" s="79"/>
      <c r="E180" s="79"/>
      <c r="P180" s="79"/>
      <c r="Q180" s="79"/>
      <c r="R180" s="79"/>
      <c r="Y180" s="79"/>
      <c r="AC180" s="130"/>
      <c r="AE180" s="106"/>
    </row>
    <row r="181">
      <c r="C181" s="79"/>
      <c r="D181" s="79"/>
      <c r="E181" s="79"/>
      <c r="P181" s="79"/>
      <c r="Q181" s="79"/>
      <c r="R181" s="79"/>
      <c r="Y181" s="79"/>
      <c r="AC181" s="130"/>
      <c r="AE181" s="106"/>
    </row>
    <row r="182">
      <c r="C182" s="79"/>
      <c r="D182" s="79"/>
      <c r="E182" s="79"/>
      <c r="P182" s="79"/>
      <c r="Q182" s="79"/>
      <c r="R182" s="79"/>
      <c r="Y182" s="79"/>
      <c r="AC182" s="130"/>
      <c r="AE182" s="106"/>
    </row>
    <row r="183">
      <c r="C183" s="79"/>
      <c r="D183" s="79"/>
      <c r="E183" s="79"/>
      <c r="P183" s="79"/>
      <c r="Q183" s="79"/>
      <c r="R183" s="79"/>
      <c r="Y183" s="79"/>
      <c r="AC183" s="130"/>
      <c r="AE183" s="106"/>
    </row>
    <row r="184">
      <c r="C184" s="79"/>
      <c r="D184" s="79"/>
      <c r="E184" s="79"/>
      <c r="P184" s="79"/>
      <c r="Q184" s="79"/>
      <c r="R184" s="79"/>
      <c r="Y184" s="79"/>
      <c r="AC184" s="130"/>
      <c r="AE184" s="106"/>
    </row>
    <row r="185">
      <c r="C185" s="79"/>
      <c r="D185" s="79"/>
      <c r="E185" s="79"/>
      <c r="P185" s="79"/>
      <c r="Q185" s="79"/>
      <c r="R185" s="79"/>
      <c r="Y185" s="79"/>
      <c r="AC185" s="130"/>
      <c r="AE185" s="106"/>
    </row>
    <row r="186">
      <c r="C186" s="79"/>
      <c r="D186" s="79"/>
      <c r="E186" s="79"/>
      <c r="P186" s="79"/>
      <c r="Q186" s="79"/>
      <c r="R186" s="79"/>
      <c r="Y186" s="79"/>
      <c r="AC186" s="130"/>
      <c r="AE186" s="106"/>
    </row>
    <row r="187">
      <c r="C187" s="79"/>
      <c r="D187" s="79"/>
      <c r="E187" s="79"/>
      <c r="P187" s="79"/>
      <c r="Q187" s="79"/>
      <c r="R187" s="79"/>
      <c r="Y187" s="79"/>
      <c r="AC187" s="130"/>
      <c r="AE187" s="106"/>
    </row>
    <row r="188">
      <c r="C188" s="79"/>
      <c r="D188" s="79"/>
      <c r="E188" s="79"/>
      <c r="P188" s="79"/>
      <c r="Q188" s="79"/>
      <c r="R188" s="79"/>
      <c r="Y188" s="79"/>
      <c r="AC188" s="130"/>
      <c r="AE188" s="106"/>
    </row>
    <row r="189">
      <c r="C189" s="79"/>
      <c r="D189" s="79"/>
      <c r="E189" s="79"/>
      <c r="P189" s="79"/>
      <c r="Q189" s="79"/>
      <c r="R189" s="79"/>
      <c r="Y189" s="79"/>
      <c r="AC189" s="130"/>
      <c r="AE189" s="106"/>
    </row>
    <row r="190">
      <c r="C190" s="79"/>
      <c r="D190" s="79"/>
      <c r="E190" s="79"/>
      <c r="P190" s="79"/>
      <c r="Q190" s="79"/>
      <c r="R190" s="79"/>
      <c r="Y190" s="79"/>
      <c r="AC190" s="130"/>
      <c r="AE190" s="106"/>
    </row>
    <row r="191">
      <c r="C191" s="79"/>
      <c r="D191" s="79"/>
      <c r="E191" s="79"/>
      <c r="P191" s="79"/>
      <c r="Q191" s="79"/>
      <c r="R191" s="79"/>
      <c r="Y191" s="79"/>
      <c r="AC191" s="130"/>
      <c r="AE191" s="106"/>
    </row>
    <row r="192">
      <c r="C192" s="79"/>
      <c r="D192" s="79"/>
      <c r="E192" s="79"/>
      <c r="P192" s="79"/>
      <c r="Q192" s="79"/>
      <c r="R192" s="79"/>
      <c r="Y192" s="79"/>
      <c r="AC192" s="130"/>
      <c r="AE192" s="106"/>
    </row>
    <row r="193">
      <c r="C193" s="79"/>
      <c r="D193" s="79"/>
      <c r="E193" s="79"/>
      <c r="P193" s="79"/>
      <c r="Q193" s="79"/>
      <c r="R193" s="79"/>
      <c r="Y193" s="79"/>
      <c r="AC193" s="130"/>
      <c r="AE193" s="106"/>
    </row>
    <row r="194">
      <c r="C194" s="79"/>
      <c r="D194" s="79"/>
      <c r="E194" s="79"/>
      <c r="P194" s="79"/>
      <c r="Q194" s="79"/>
      <c r="R194" s="79"/>
      <c r="Y194" s="79"/>
      <c r="AC194" s="130"/>
      <c r="AE194" s="106"/>
    </row>
    <row r="195">
      <c r="C195" s="79"/>
      <c r="D195" s="79"/>
      <c r="E195" s="79"/>
      <c r="P195" s="79"/>
      <c r="Q195" s="79"/>
      <c r="R195" s="79"/>
      <c r="Y195" s="79"/>
      <c r="AC195" s="130"/>
      <c r="AE195" s="106"/>
    </row>
    <row r="196">
      <c r="C196" s="79"/>
      <c r="D196" s="79"/>
      <c r="E196" s="79"/>
      <c r="P196" s="79"/>
      <c r="Q196" s="79"/>
      <c r="R196" s="79"/>
      <c r="Y196" s="79"/>
      <c r="AC196" s="130"/>
      <c r="AE196" s="106"/>
    </row>
    <row r="197">
      <c r="C197" s="79"/>
      <c r="D197" s="79"/>
      <c r="E197" s="79"/>
      <c r="P197" s="79"/>
      <c r="Q197" s="79"/>
      <c r="R197" s="79"/>
      <c r="Y197" s="79"/>
      <c r="AC197" s="130"/>
      <c r="AE197" s="106"/>
    </row>
    <row r="198">
      <c r="C198" s="79"/>
      <c r="D198" s="79"/>
      <c r="E198" s="79"/>
      <c r="P198" s="79"/>
      <c r="Q198" s="79"/>
      <c r="R198" s="79"/>
      <c r="Y198" s="79"/>
      <c r="AC198" s="130"/>
      <c r="AE198" s="106"/>
    </row>
    <row r="199">
      <c r="C199" s="79"/>
      <c r="D199" s="79"/>
      <c r="E199" s="79"/>
      <c r="P199" s="79"/>
      <c r="Q199" s="79"/>
      <c r="R199" s="79"/>
      <c r="Y199" s="79"/>
      <c r="AC199" s="130"/>
      <c r="AE199" s="106"/>
    </row>
    <row r="200">
      <c r="C200" s="79"/>
      <c r="D200" s="79"/>
      <c r="E200" s="79"/>
      <c r="P200" s="79"/>
      <c r="Q200" s="79"/>
      <c r="R200" s="79"/>
      <c r="Y200" s="79"/>
      <c r="AC200" s="130"/>
      <c r="AE200" s="106"/>
    </row>
    <row r="201">
      <c r="C201" s="79"/>
      <c r="D201" s="79"/>
      <c r="E201" s="79"/>
      <c r="P201" s="79"/>
      <c r="Q201" s="79"/>
      <c r="R201" s="79"/>
      <c r="Y201" s="79"/>
      <c r="AC201" s="130"/>
      <c r="AE201" s="106"/>
    </row>
    <row r="202">
      <c r="C202" s="79"/>
      <c r="D202" s="79"/>
      <c r="E202" s="79"/>
      <c r="P202" s="79"/>
      <c r="Q202" s="79"/>
      <c r="R202" s="79"/>
      <c r="Y202" s="79"/>
      <c r="AC202" s="130"/>
      <c r="AE202" s="106"/>
    </row>
    <row r="203">
      <c r="C203" s="79"/>
      <c r="D203" s="79"/>
      <c r="E203" s="79"/>
      <c r="P203" s="79"/>
      <c r="Q203" s="79"/>
      <c r="R203" s="79"/>
      <c r="Y203" s="79"/>
      <c r="AC203" s="130"/>
      <c r="AE203" s="106"/>
    </row>
    <row r="204">
      <c r="C204" s="79"/>
      <c r="D204" s="79"/>
      <c r="E204" s="79"/>
      <c r="P204" s="79"/>
      <c r="Q204" s="79"/>
      <c r="R204" s="79"/>
      <c r="Y204" s="79"/>
      <c r="AC204" s="130"/>
      <c r="AE204" s="106"/>
    </row>
    <row r="205">
      <c r="C205" s="79"/>
      <c r="D205" s="79"/>
      <c r="E205" s="79"/>
      <c r="P205" s="79"/>
      <c r="Q205" s="79"/>
      <c r="R205" s="79"/>
      <c r="Y205" s="79"/>
      <c r="AC205" s="130"/>
      <c r="AE205" s="106"/>
    </row>
    <row r="206">
      <c r="C206" s="79"/>
      <c r="D206" s="79"/>
      <c r="E206" s="79"/>
      <c r="P206" s="79"/>
      <c r="Q206" s="79"/>
      <c r="R206" s="79"/>
      <c r="Y206" s="79"/>
      <c r="AC206" s="130"/>
      <c r="AE206" s="106"/>
    </row>
    <row r="207">
      <c r="C207" s="79"/>
      <c r="D207" s="79"/>
      <c r="E207" s="79"/>
      <c r="P207" s="79"/>
      <c r="Q207" s="79"/>
      <c r="R207" s="79"/>
      <c r="Y207" s="79"/>
      <c r="AC207" s="130"/>
      <c r="AE207" s="106"/>
    </row>
    <row r="208">
      <c r="C208" s="79"/>
      <c r="D208" s="79"/>
      <c r="E208" s="79"/>
      <c r="P208" s="79"/>
      <c r="Q208" s="79"/>
      <c r="R208" s="79"/>
      <c r="Y208" s="79"/>
      <c r="AC208" s="130"/>
      <c r="AE208" s="106"/>
    </row>
    <row r="209">
      <c r="C209" s="79"/>
      <c r="D209" s="79"/>
      <c r="E209" s="79"/>
      <c r="P209" s="79"/>
      <c r="Q209" s="79"/>
      <c r="R209" s="79"/>
      <c r="Y209" s="79"/>
      <c r="AC209" s="130"/>
      <c r="AE209" s="106"/>
    </row>
    <row r="210">
      <c r="C210" s="79"/>
      <c r="D210" s="79"/>
      <c r="E210" s="79"/>
      <c r="P210" s="79"/>
      <c r="Q210" s="79"/>
      <c r="R210" s="79"/>
      <c r="Y210" s="79"/>
      <c r="AC210" s="130"/>
      <c r="AE210" s="106"/>
    </row>
    <row r="211">
      <c r="C211" s="79"/>
      <c r="D211" s="79"/>
      <c r="E211" s="79"/>
      <c r="P211" s="79"/>
      <c r="Q211" s="79"/>
      <c r="R211" s="79"/>
      <c r="Y211" s="79"/>
      <c r="AC211" s="130"/>
      <c r="AE211" s="106"/>
    </row>
    <row r="212">
      <c r="C212" s="79"/>
      <c r="D212" s="79"/>
      <c r="E212" s="79"/>
      <c r="P212" s="79"/>
      <c r="Q212" s="79"/>
      <c r="R212" s="79"/>
      <c r="Y212" s="79"/>
      <c r="AC212" s="130"/>
      <c r="AE212" s="106"/>
    </row>
    <row r="213">
      <c r="C213" s="79"/>
      <c r="D213" s="79"/>
      <c r="E213" s="79"/>
      <c r="P213" s="79"/>
      <c r="Q213" s="79"/>
      <c r="R213" s="79"/>
      <c r="Y213" s="79"/>
      <c r="AC213" s="130"/>
      <c r="AE213" s="106"/>
    </row>
    <row r="214">
      <c r="C214" s="79"/>
      <c r="D214" s="79"/>
      <c r="E214" s="79"/>
      <c r="P214" s="79"/>
      <c r="Q214" s="79"/>
      <c r="R214" s="79"/>
      <c r="Y214" s="79"/>
      <c r="AC214" s="130"/>
      <c r="AE214" s="106"/>
    </row>
    <row r="215">
      <c r="C215" s="79"/>
      <c r="D215" s="79"/>
      <c r="E215" s="79"/>
      <c r="P215" s="79"/>
      <c r="Q215" s="79"/>
      <c r="R215" s="79"/>
      <c r="Y215" s="79"/>
      <c r="AC215" s="130"/>
      <c r="AE215" s="106"/>
    </row>
    <row r="216">
      <c r="C216" s="79"/>
      <c r="D216" s="79"/>
      <c r="E216" s="79"/>
      <c r="P216" s="79"/>
      <c r="Q216" s="79"/>
      <c r="R216" s="79"/>
      <c r="Y216" s="79"/>
      <c r="AC216" s="130"/>
      <c r="AE216" s="106"/>
    </row>
    <row r="217">
      <c r="C217" s="79"/>
      <c r="D217" s="79"/>
      <c r="E217" s="79"/>
      <c r="P217" s="79"/>
      <c r="Q217" s="79"/>
      <c r="R217" s="79"/>
      <c r="Y217" s="79"/>
      <c r="AC217" s="130"/>
      <c r="AE217" s="106"/>
    </row>
    <row r="218">
      <c r="C218" s="79"/>
      <c r="D218" s="79"/>
      <c r="E218" s="79"/>
      <c r="P218" s="79"/>
      <c r="Q218" s="79"/>
      <c r="R218" s="79"/>
      <c r="Y218" s="79"/>
      <c r="AC218" s="130"/>
      <c r="AE218" s="106"/>
    </row>
    <row r="219">
      <c r="C219" s="79"/>
      <c r="D219" s="79"/>
      <c r="E219" s="79"/>
      <c r="P219" s="79"/>
      <c r="Q219" s="79"/>
      <c r="R219" s="79"/>
      <c r="Y219" s="79"/>
      <c r="AC219" s="130"/>
      <c r="AE219" s="106"/>
    </row>
    <row r="220">
      <c r="C220" s="79"/>
      <c r="D220" s="79"/>
      <c r="E220" s="79"/>
      <c r="P220" s="79"/>
      <c r="Q220" s="79"/>
      <c r="R220" s="79"/>
      <c r="Y220" s="79"/>
      <c r="AC220" s="130"/>
      <c r="AE220" s="106"/>
    </row>
    <row r="221">
      <c r="C221" s="79"/>
      <c r="D221" s="79"/>
      <c r="E221" s="79"/>
      <c r="P221" s="79"/>
      <c r="Q221" s="79"/>
      <c r="R221" s="79"/>
      <c r="Y221" s="79"/>
      <c r="AC221" s="130"/>
      <c r="AE221" s="106"/>
    </row>
    <row r="222">
      <c r="C222" s="79"/>
      <c r="D222" s="79"/>
      <c r="E222" s="79"/>
      <c r="P222" s="79"/>
      <c r="Q222" s="79"/>
      <c r="R222" s="79"/>
      <c r="Y222" s="79"/>
      <c r="AC222" s="130"/>
      <c r="AE222" s="106"/>
    </row>
    <row r="223">
      <c r="C223" s="79"/>
      <c r="D223" s="79"/>
      <c r="E223" s="79"/>
      <c r="P223" s="79"/>
      <c r="Q223" s="79"/>
      <c r="R223" s="79"/>
      <c r="Y223" s="79"/>
      <c r="AC223" s="130"/>
      <c r="AE223" s="106"/>
    </row>
    <row r="224">
      <c r="C224" s="79"/>
      <c r="D224" s="79"/>
      <c r="E224" s="79"/>
      <c r="P224" s="79"/>
      <c r="Q224" s="79"/>
      <c r="R224" s="79"/>
      <c r="Y224" s="79"/>
      <c r="AC224" s="130"/>
      <c r="AE224" s="106"/>
    </row>
    <row r="225">
      <c r="C225" s="79"/>
      <c r="D225" s="79"/>
      <c r="E225" s="79"/>
      <c r="P225" s="79"/>
      <c r="Q225" s="79"/>
      <c r="R225" s="79"/>
      <c r="Y225" s="79"/>
      <c r="AC225" s="130"/>
      <c r="AE225" s="106"/>
    </row>
    <row r="226">
      <c r="C226" s="79"/>
      <c r="D226" s="79"/>
      <c r="E226" s="79"/>
      <c r="P226" s="79"/>
      <c r="Q226" s="79"/>
      <c r="R226" s="79"/>
      <c r="Y226" s="79"/>
      <c r="AC226" s="130"/>
      <c r="AE226" s="106"/>
    </row>
    <row r="227">
      <c r="C227" s="79"/>
      <c r="D227" s="79"/>
      <c r="E227" s="79"/>
      <c r="P227" s="79"/>
      <c r="Q227" s="79"/>
      <c r="R227" s="79"/>
      <c r="Y227" s="79"/>
      <c r="AC227" s="130"/>
      <c r="AE227" s="106"/>
    </row>
    <row r="228">
      <c r="C228" s="79"/>
      <c r="D228" s="79"/>
      <c r="E228" s="79"/>
      <c r="P228" s="79"/>
      <c r="Q228" s="79"/>
      <c r="R228" s="79"/>
      <c r="Y228" s="79"/>
      <c r="AC228" s="130"/>
      <c r="AE228" s="106"/>
    </row>
    <row r="229">
      <c r="C229" s="79"/>
      <c r="D229" s="79"/>
      <c r="E229" s="79"/>
      <c r="P229" s="79"/>
      <c r="Q229" s="79"/>
      <c r="R229" s="79"/>
      <c r="Y229" s="79"/>
      <c r="AC229" s="130"/>
      <c r="AE229" s="106"/>
    </row>
    <row r="230">
      <c r="C230" s="79"/>
      <c r="D230" s="79"/>
      <c r="E230" s="79"/>
      <c r="P230" s="79"/>
      <c r="Q230" s="79"/>
      <c r="R230" s="79"/>
      <c r="Y230" s="79"/>
      <c r="AC230" s="130"/>
      <c r="AE230" s="106"/>
    </row>
    <row r="231">
      <c r="C231" s="79"/>
      <c r="D231" s="79"/>
      <c r="E231" s="79"/>
      <c r="P231" s="79"/>
      <c r="Q231" s="79"/>
      <c r="R231" s="79"/>
      <c r="Y231" s="79"/>
      <c r="AC231" s="130"/>
      <c r="AE231" s="106"/>
    </row>
    <row r="232">
      <c r="C232" s="79"/>
      <c r="D232" s="79"/>
      <c r="E232" s="79"/>
      <c r="P232" s="79"/>
      <c r="Q232" s="79"/>
      <c r="R232" s="79"/>
      <c r="Y232" s="79"/>
      <c r="AC232" s="130"/>
      <c r="AE232" s="106"/>
    </row>
    <row r="233">
      <c r="C233" s="79"/>
      <c r="D233" s="79"/>
      <c r="E233" s="79"/>
      <c r="P233" s="79"/>
      <c r="Q233" s="79"/>
      <c r="R233" s="79"/>
      <c r="Y233" s="79"/>
      <c r="AC233" s="130"/>
      <c r="AE233" s="106"/>
    </row>
    <row r="234">
      <c r="C234" s="79"/>
      <c r="D234" s="79"/>
      <c r="E234" s="79"/>
      <c r="P234" s="79"/>
      <c r="Q234" s="79"/>
      <c r="R234" s="79"/>
      <c r="Y234" s="79"/>
      <c r="AC234" s="130"/>
      <c r="AE234" s="106"/>
    </row>
    <row r="235">
      <c r="C235" s="79"/>
      <c r="D235" s="79"/>
      <c r="E235" s="79"/>
      <c r="P235" s="79"/>
      <c r="Q235" s="79"/>
      <c r="R235" s="79"/>
      <c r="Y235" s="79"/>
      <c r="AC235" s="130"/>
      <c r="AE235" s="106"/>
    </row>
    <row r="236">
      <c r="C236" s="79"/>
      <c r="D236" s="79"/>
      <c r="E236" s="79"/>
      <c r="P236" s="79"/>
      <c r="Q236" s="79"/>
      <c r="R236" s="79"/>
      <c r="Y236" s="79"/>
      <c r="AC236" s="130"/>
      <c r="AE236" s="106"/>
    </row>
    <row r="237">
      <c r="C237" s="79"/>
      <c r="D237" s="79"/>
      <c r="E237" s="79"/>
      <c r="P237" s="79"/>
      <c r="Q237" s="79"/>
      <c r="R237" s="79"/>
      <c r="Y237" s="79"/>
      <c r="AC237" s="130"/>
      <c r="AE237" s="106"/>
    </row>
    <row r="238">
      <c r="C238" s="79"/>
      <c r="D238" s="79"/>
      <c r="E238" s="79"/>
      <c r="P238" s="79"/>
      <c r="Q238" s="79"/>
      <c r="R238" s="79"/>
      <c r="Y238" s="79"/>
      <c r="AC238" s="130"/>
      <c r="AE238" s="106"/>
    </row>
    <row r="239">
      <c r="C239" s="79"/>
      <c r="D239" s="79"/>
      <c r="E239" s="79"/>
      <c r="P239" s="79"/>
      <c r="Q239" s="79"/>
      <c r="R239" s="79"/>
      <c r="Y239" s="79"/>
      <c r="AC239" s="130"/>
      <c r="AE239" s="106"/>
    </row>
    <row r="240">
      <c r="C240" s="79"/>
      <c r="D240" s="79"/>
      <c r="E240" s="79"/>
      <c r="P240" s="79"/>
      <c r="Q240" s="79"/>
      <c r="R240" s="79"/>
      <c r="Y240" s="79"/>
      <c r="AC240" s="130"/>
      <c r="AE240" s="106"/>
    </row>
    <row r="241">
      <c r="C241" s="79"/>
      <c r="D241" s="79"/>
      <c r="E241" s="79"/>
      <c r="P241" s="79"/>
      <c r="Q241" s="79"/>
      <c r="R241" s="79"/>
      <c r="Y241" s="79"/>
      <c r="AC241" s="130"/>
      <c r="AE241" s="106"/>
    </row>
    <row r="242">
      <c r="C242" s="79"/>
      <c r="D242" s="79"/>
      <c r="E242" s="79"/>
      <c r="P242" s="79"/>
      <c r="Q242" s="79"/>
      <c r="R242" s="79"/>
      <c r="Y242" s="79"/>
      <c r="AC242" s="130"/>
      <c r="AE242" s="106"/>
    </row>
    <row r="243">
      <c r="C243" s="79"/>
      <c r="D243" s="79"/>
      <c r="E243" s="79"/>
      <c r="P243" s="79"/>
      <c r="Q243" s="79"/>
      <c r="R243" s="79"/>
      <c r="Y243" s="79"/>
      <c r="AC243" s="130"/>
      <c r="AE243" s="106"/>
    </row>
    <row r="244">
      <c r="C244" s="79"/>
      <c r="D244" s="79"/>
      <c r="E244" s="79"/>
      <c r="P244" s="79"/>
      <c r="Q244" s="79"/>
      <c r="R244" s="79"/>
      <c r="Y244" s="79"/>
      <c r="AC244" s="130"/>
      <c r="AE244" s="106"/>
    </row>
    <row r="245">
      <c r="C245" s="79"/>
      <c r="D245" s="79"/>
      <c r="E245" s="79"/>
      <c r="P245" s="79"/>
      <c r="Q245" s="79"/>
      <c r="R245" s="79"/>
      <c r="Y245" s="79"/>
      <c r="AC245" s="130"/>
      <c r="AE245" s="106"/>
    </row>
    <row r="246">
      <c r="C246" s="79"/>
      <c r="D246" s="79"/>
      <c r="E246" s="79"/>
      <c r="P246" s="79"/>
      <c r="Q246" s="79"/>
      <c r="R246" s="79"/>
      <c r="Y246" s="79"/>
      <c r="AC246" s="130"/>
      <c r="AE246" s="106"/>
    </row>
    <row r="247">
      <c r="C247" s="79"/>
      <c r="D247" s="79"/>
      <c r="E247" s="79"/>
      <c r="P247" s="79"/>
      <c r="Q247" s="79"/>
      <c r="R247" s="79"/>
      <c r="Y247" s="79"/>
      <c r="AC247" s="130"/>
      <c r="AE247" s="106"/>
    </row>
    <row r="248">
      <c r="C248" s="79"/>
      <c r="D248" s="79"/>
      <c r="E248" s="79"/>
      <c r="P248" s="79"/>
      <c r="Q248" s="79"/>
      <c r="R248" s="79"/>
      <c r="Y248" s="79"/>
      <c r="AC248" s="130"/>
      <c r="AE248" s="106"/>
    </row>
    <row r="249">
      <c r="C249" s="79"/>
      <c r="D249" s="79"/>
      <c r="E249" s="79"/>
      <c r="P249" s="79"/>
      <c r="Q249" s="79"/>
      <c r="R249" s="79"/>
      <c r="Y249" s="79"/>
      <c r="AC249" s="130"/>
      <c r="AE249" s="106"/>
    </row>
    <row r="250">
      <c r="C250" s="79"/>
      <c r="D250" s="79"/>
      <c r="E250" s="79"/>
      <c r="P250" s="79"/>
      <c r="Q250" s="79"/>
      <c r="R250" s="79"/>
      <c r="Y250" s="79"/>
      <c r="AC250" s="130"/>
      <c r="AE250" s="106"/>
    </row>
    <row r="251">
      <c r="C251" s="79"/>
      <c r="D251" s="79"/>
      <c r="E251" s="79"/>
      <c r="P251" s="79"/>
      <c r="Q251" s="79"/>
      <c r="R251" s="79"/>
      <c r="Y251" s="79"/>
      <c r="AC251" s="130"/>
      <c r="AE251" s="106"/>
    </row>
    <row r="252">
      <c r="C252" s="79"/>
      <c r="D252" s="79"/>
      <c r="E252" s="79"/>
      <c r="P252" s="79"/>
      <c r="Q252" s="79"/>
      <c r="R252" s="79"/>
      <c r="Y252" s="79"/>
      <c r="AC252" s="130"/>
      <c r="AE252" s="106"/>
    </row>
    <row r="253">
      <c r="C253" s="79"/>
      <c r="D253" s="79"/>
      <c r="E253" s="79"/>
      <c r="P253" s="79"/>
      <c r="Q253" s="79"/>
      <c r="R253" s="79"/>
      <c r="Y253" s="79"/>
      <c r="AC253" s="130"/>
      <c r="AE253" s="106"/>
    </row>
    <row r="254">
      <c r="C254" s="79"/>
      <c r="D254" s="79"/>
      <c r="E254" s="79"/>
      <c r="P254" s="79"/>
      <c r="Q254" s="79"/>
      <c r="R254" s="79"/>
      <c r="Y254" s="79"/>
      <c r="AC254" s="130"/>
      <c r="AE254" s="106"/>
    </row>
    <row r="255">
      <c r="C255" s="79"/>
      <c r="D255" s="79"/>
      <c r="E255" s="79"/>
      <c r="P255" s="79"/>
      <c r="Q255" s="79"/>
      <c r="R255" s="79"/>
      <c r="Y255" s="79"/>
      <c r="AC255" s="130"/>
      <c r="AE255" s="106"/>
    </row>
    <row r="256">
      <c r="C256" s="79"/>
      <c r="D256" s="79"/>
      <c r="E256" s="79"/>
      <c r="P256" s="79"/>
      <c r="Q256" s="79"/>
      <c r="R256" s="79"/>
      <c r="Y256" s="79"/>
      <c r="AC256" s="130"/>
      <c r="AE256" s="106"/>
    </row>
    <row r="257">
      <c r="C257" s="79"/>
      <c r="D257" s="79"/>
      <c r="E257" s="79"/>
      <c r="P257" s="79"/>
      <c r="Q257" s="79"/>
      <c r="R257" s="79"/>
      <c r="Y257" s="79"/>
      <c r="AC257" s="130"/>
      <c r="AE257" s="106"/>
    </row>
    <row r="258">
      <c r="C258" s="79"/>
      <c r="D258" s="79"/>
      <c r="E258" s="79"/>
      <c r="P258" s="79"/>
      <c r="Q258" s="79"/>
      <c r="R258" s="79"/>
      <c r="Y258" s="79"/>
      <c r="AC258" s="130"/>
      <c r="AE258" s="106"/>
    </row>
    <row r="259">
      <c r="C259" s="79"/>
      <c r="D259" s="79"/>
      <c r="E259" s="79"/>
      <c r="P259" s="79"/>
      <c r="Q259" s="79"/>
      <c r="R259" s="79"/>
      <c r="Y259" s="79"/>
      <c r="AC259" s="130"/>
      <c r="AE259" s="106"/>
    </row>
    <row r="260">
      <c r="C260" s="79"/>
      <c r="D260" s="79"/>
      <c r="E260" s="79"/>
      <c r="P260" s="79"/>
      <c r="Q260" s="79"/>
      <c r="R260" s="79"/>
      <c r="Y260" s="79"/>
      <c r="AC260" s="130"/>
      <c r="AE260" s="106"/>
    </row>
    <row r="261">
      <c r="C261" s="79"/>
      <c r="D261" s="79"/>
      <c r="E261" s="79"/>
      <c r="P261" s="79"/>
      <c r="Q261" s="79"/>
      <c r="R261" s="79"/>
      <c r="Y261" s="79"/>
      <c r="AC261" s="130"/>
      <c r="AE261" s="106"/>
    </row>
    <row r="262">
      <c r="C262" s="79"/>
      <c r="D262" s="79"/>
      <c r="E262" s="79"/>
      <c r="P262" s="79"/>
      <c r="Q262" s="79"/>
      <c r="R262" s="79"/>
      <c r="Y262" s="79"/>
      <c r="AC262" s="130"/>
      <c r="AE262" s="106"/>
    </row>
    <row r="263">
      <c r="C263" s="79"/>
      <c r="D263" s="79"/>
      <c r="E263" s="79"/>
      <c r="P263" s="79"/>
      <c r="Q263" s="79"/>
      <c r="R263" s="79"/>
      <c r="Y263" s="79"/>
      <c r="AC263" s="130"/>
      <c r="AE263" s="106"/>
    </row>
    <row r="264">
      <c r="C264" s="79"/>
      <c r="D264" s="79"/>
      <c r="E264" s="79"/>
      <c r="P264" s="79"/>
      <c r="Q264" s="79"/>
      <c r="R264" s="79"/>
      <c r="Y264" s="79"/>
      <c r="AC264" s="130"/>
      <c r="AE264" s="106"/>
    </row>
    <row r="265">
      <c r="C265" s="79"/>
      <c r="D265" s="79"/>
      <c r="E265" s="79"/>
      <c r="P265" s="79"/>
      <c r="Q265" s="79"/>
      <c r="R265" s="79"/>
      <c r="Y265" s="79"/>
      <c r="AC265" s="130"/>
      <c r="AE265" s="106"/>
    </row>
    <row r="266">
      <c r="C266" s="79"/>
      <c r="D266" s="79"/>
      <c r="E266" s="79"/>
      <c r="P266" s="79"/>
      <c r="Q266" s="79"/>
      <c r="R266" s="79"/>
      <c r="Y266" s="79"/>
      <c r="AC266" s="130"/>
      <c r="AE266" s="106"/>
    </row>
    <row r="267">
      <c r="C267" s="79"/>
      <c r="D267" s="79"/>
      <c r="E267" s="79"/>
      <c r="P267" s="79"/>
      <c r="Q267" s="79"/>
      <c r="R267" s="79"/>
      <c r="Y267" s="79"/>
      <c r="AC267" s="130"/>
      <c r="AE267" s="106"/>
    </row>
    <row r="268">
      <c r="C268" s="79"/>
      <c r="D268" s="79"/>
      <c r="E268" s="79"/>
      <c r="P268" s="79"/>
      <c r="Q268" s="79"/>
      <c r="R268" s="79"/>
      <c r="Y268" s="79"/>
      <c r="AC268" s="130"/>
      <c r="AE268" s="106"/>
    </row>
    <row r="269">
      <c r="C269" s="79"/>
      <c r="D269" s="79"/>
      <c r="E269" s="79"/>
      <c r="P269" s="79"/>
      <c r="Q269" s="79"/>
      <c r="R269" s="79"/>
      <c r="Y269" s="79"/>
      <c r="AC269" s="130"/>
      <c r="AE269" s="106"/>
    </row>
    <row r="270">
      <c r="C270" s="79"/>
      <c r="D270" s="79"/>
      <c r="E270" s="79"/>
      <c r="P270" s="79"/>
      <c r="Q270" s="79"/>
      <c r="R270" s="79"/>
      <c r="Y270" s="79"/>
      <c r="AC270" s="130"/>
      <c r="AE270" s="106"/>
    </row>
    <row r="271">
      <c r="C271" s="79"/>
      <c r="D271" s="79"/>
      <c r="E271" s="79"/>
      <c r="P271" s="79"/>
      <c r="Q271" s="79"/>
      <c r="R271" s="79"/>
      <c r="Y271" s="79"/>
      <c r="AC271" s="130"/>
      <c r="AE271" s="106"/>
    </row>
    <row r="272">
      <c r="C272" s="79"/>
      <c r="D272" s="79"/>
      <c r="E272" s="79"/>
      <c r="P272" s="79"/>
      <c r="Q272" s="79"/>
      <c r="R272" s="79"/>
      <c r="Y272" s="79"/>
      <c r="AC272" s="130"/>
      <c r="AE272" s="106"/>
    </row>
    <row r="273">
      <c r="C273" s="79"/>
      <c r="D273" s="79"/>
      <c r="E273" s="79"/>
      <c r="P273" s="79"/>
      <c r="Q273" s="79"/>
      <c r="R273" s="79"/>
      <c r="Y273" s="79"/>
      <c r="AC273" s="130"/>
      <c r="AE273" s="106"/>
    </row>
    <row r="274">
      <c r="C274" s="79"/>
      <c r="D274" s="79"/>
      <c r="E274" s="79"/>
      <c r="P274" s="79"/>
      <c r="Q274" s="79"/>
      <c r="R274" s="79"/>
      <c r="Y274" s="79"/>
      <c r="AC274" s="130"/>
      <c r="AE274" s="106"/>
    </row>
    <row r="275">
      <c r="C275" s="79"/>
      <c r="D275" s="79"/>
      <c r="E275" s="79"/>
      <c r="P275" s="79"/>
      <c r="Q275" s="79"/>
      <c r="R275" s="79"/>
      <c r="Y275" s="79"/>
      <c r="AC275" s="130"/>
      <c r="AE275" s="106"/>
    </row>
    <row r="276">
      <c r="C276" s="79"/>
      <c r="D276" s="79"/>
      <c r="E276" s="79"/>
      <c r="P276" s="79"/>
      <c r="Q276" s="79"/>
      <c r="R276" s="79"/>
      <c r="Y276" s="79"/>
      <c r="AC276" s="130"/>
      <c r="AE276" s="106"/>
    </row>
    <row r="277">
      <c r="C277" s="79"/>
      <c r="D277" s="79"/>
      <c r="E277" s="79"/>
      <c r="P277" s="79"/>
      <c r="Q277" s="79"/>
      <c r="R277" s="79"/>
      <c r="Y277" s="79"/>
      <c r="AC277" s="130"/>
      <c r="AE277" s="106"/>
    </row>
    <row r="278">
      <c r="C278" s="79"/>
      <c r="D278" s="79"/>
      <c r="E278" s="79"/>
      <c r="P278" s="79"/>
      <c r="Q278" s="79"/>
      <c r="R278" s="79"/>
      <c r="Y278" s="79"/>
      <c r="AC278" s="130"/>
      <c r="AE278" s="106"/>
    </row>
    <row r="279">
      <c r="C279" s="79"/>
      <c r="D279" s="79"/>
      <c r="E279" s="79"/>
      <c r="P279" s="79"/>
      <c r="Q279" s="79"/>
      <c r="R279" s="79"/>
      <c r="Y279" s="79"/>
      <c r="AC279" s="130"/>
      <c r="AE279" s="106"/>
    </row>
    <row r="280">
      <c r="C280" s="79"/>
      <c r="D280" s="79"/>
      <c r="E280" s="79"/>
      <c r="P280" s="79"/>
      <c r="Q280" s="79"/>
      <c r="R280" s="79"/>
      <c r="Y280" s="79"/>
      <c r="AC280" s="130"/>
      <c r="AE280" s="106"/>
    </row>
    <row r="281">
      <c r="C281" s="79"/>
      <c r="D281" s="79"/>
      <c r="E281" s="79"/>
      <c r="P281" s="79"/>
      <c r="Q281" s="79"/>
      <c r="R281" s="79"/>
      <c r="Y281" s="79"/>
      <c r="AC281" s="130"/>
      <c r="AE281" s="106"/>
    </row>
    <row r="282">
      <c r="C282" s="79"/>
      <c r="D282" s="79"/>
      <c r="E282" s="79"/>
      <c r="P282" s="79"/>
      <c r="Q282" s="79"/>
      <c r="R282" s="79"/>
      <c r="Y282" s="79"/>
      <c r="AC282" s="130"/>
      <c r="AE282" s="106"/>
    </row>
    <row r="283">
      <c r="C283" s="79"/>
      <c r="D283" s="79"/>
      <c r="E283" s="79"/>
      <c r="P283" s="79"/>
      <c r="Q283" s="79"/>
      <c r="R283" s="79"/>
      <c r="Y283" s="79"/>
      <c r="AC283" s="130"/>
      <c r="AE283" s="106"/>
    </row>
    <row r="284">
      <c r="C284" s="79"/>
      <c r="D284" s="79"/>
      <c r="E284" s="79"/>
      <c r="P284" s="79"/>
      <c r="Q284" s="79"/>
      <c r="R284" s="79"/>
      <c r="Y284" s="79"/>
      <c r="AC284" s="130"/>
      <c r="AE284" s="106"/>
    </row>
    <row r="285">
      <c r="C285" s="79"/>
      <c r="D285" s="79"/>
      <c r="E285" s="79"/>
      <c r="P285" s="79"/>
      <c r="Q285" s="79"/>
      <c r="R285" s="79"/>
      <c r="Y285" s="79"/>
      <c r="AC285" s="130"/>
      <c r="AE285" s="106"/>
    </row>
    <row r="286">
      <c r="C286" s="79"/>
      <c r="D286" s="79"/>
      <c r="E286" s="79"/>
      <c r="P286" s="79"/>
      <c r="Q286" s="79"/>
      <c r="R286" s="79"/>
      <c r="Y286" s="79"/>
      <c r="AC286" s="130"/>
      <c r="AE286" s="106"/>
    </row>
    <row r="287">
      <c r="C287" s="79"/>
      <c r="D287" s="79"/>
      <c r="E287" s="79"/>
      <c r="P287" s="79"/>
      <c r="Q287" s="79"/>
      <c r="R287" s="79"/>
      <c r="Y287" s="79"/>
      <c r="AC287" s="130"/>
      <c r="AE287" s="106"/>
    </row>
    <row r="288">
      <c r="C288" s="79"/>
      <c r="D288" s="79"/>
      <c r="E288" s="79"/>
      <c r="P288" s="79"/>
      <c r="Q288" s="79"/>
      <c r="R288" s="79"/>
      <c r="Y288" s="79"/>
      <c r="AC288" s="130"/>
      <c r="AE288" s="106"/>
    </row>
    <row r="289">
      <c r="C289" s="79"/>
      <c r="D289" s="79"/>
      <c r="E289" s="79"/>
      <c r="P289" s="79"/>
      <c r="Q289" s="79"/>
      <c r="R289" s="79"/>
      <c r="Y289" s="79"/>
      <c r="AC289" s="130"/>
      <c r="AE289" s="106"/>
    </row>
    <row r="290">
      <c r="C290" s="79"/>
      <c r="D290" s="79"/>
      <c r="E290" s="79"/>
      <c r="P290" s="79"/>
      <c r="Q290" s="79"/>
      <c r="R290" s="79"/>
      <c r="Y290" s="79"/>
      <c r="AC290" s="130"/>
      <c r="AE290" s="106"/>
    </row>
    <row r="291">
      <c r="C291" s="79"/>
      <c r="D291" s="79"/>
      <c r="E291" s="79"/>
      <c r="P291" s="79"/>
      <c r="Q291" s="79"/>
      <c r="R291" s="79"/>
      <c r="Y291" s="79"/>
      <c r="AC291" s="130"/>
      <c r="AE291" s="106"/>
    </row>
    <row r="292">
      <c r="C292" s="79"/>
      <c r="D292" s="79"/>
      <c r="E292" s="79"/>
      <c r="P292" s="79"/>
      <c r="Q292" s="79"/>
      <c r="R292" s="79"/>
      <c r="Y292" s="79"/>
      <c r="AC292" s="130"/>
      <c r="AE292" s="106"/>
    </row>
    <row r="293">
      <c r="C293" s="79"/>
      <c r="D293" s="79"/>
      <c r="E293" s="79"/>
      <c r="P293" s="79"/>
      <c r="Q293" s="79"/>
      <c r="R293" s="79"/>
      <c r="Y293" s="79"/>
      <c r="AC293" s="130"/>
      <c r="AE293" s="106"/>
    </row>
    <row r="294">
      <c r="C294" s="79"/>
      <c r="D294" s="79"/>
      <c r="E294" s="79"/>
      <c r="P294" s="79"/>
      <c r="Q294" s="79"/>
      <c r="R294" s="79"/>
      <c r="Y294" s="79"/>
      <c r="AC294" s="130"/>
      <c r="AE294" s="106"/>
    </row>
    <row r="295">
      <c r="C295" s="79"/>
      <c r="D295" s="79"/>
      <c r="E295" s="79"/>
      <c r="P295" s="79"/>
      <c r="Q295" s="79"/>
      <c r="R295" s="79"/>
      <c r="Y295" s="79"/>
      <c r="AC295" s="130"/>
      <c r="AE295" s="106"/>
    </row>
    <row r="296">
      <c r="C296" s="79"/>
      <c r="D296" s="79"/>
      <c r="E296" s="79"/>
      <c r="P296" s="79"/>
      <c r="Q296" s="79"/>
      <c r="R296" s="79"/>
      <c r="Y296" s="79"/>
      <c r="AC296" s="130"/>
      <c r="AE296" s="106"/>
    </row>
    <row r="297">
      <c r="C297" s="79"/>
      <c r="D297" s="79"/>
      <c r="E297" s="79"/>
      <c r="P297" s="79"/>
      <c r="Q297" s="79"/>
      <c r="R297" s="79"/>
      <c r="Y297" s="79"/>
      <c r="AC297" s="130"/>
      <c r="AE297" s="106"/>
    </row>
    <row r="298">
      <c r="C298" s="79"/>
      <c r="D298" s="79"/>
      <c r="E298" s="79"/>
      <c r="P298" s="79"/>
      <c r="Q298" s="79"/>
      <c r="R298" s="79"/>
      <c r="Y298" s="79"/>
      <c r="AC298" s="130"/>
      <c r="AE298" s="106"/>
    </row>
    <row r="299">
      <c r="C299" s="79"/>
      <c r="D299" s="79"/>
      <c r="E299" s="79"/>
      <c r="P299" s="79"/>
      <c r="Q299" s="79"/>
      <c r="R299" s="79"/>
      <c r="Y299" s="79"/>
      <c r="AC299" s="130"/>
      <c r="AE299" s="106"/>
    </row>
    <row r="300">
      <c r="C300" s="79"/>
      <c r="D300" s="79"/>
      <c r="E300" s="79"/>
      <c r="P300" s="79"/>
      <c r="Q300" s="79"/>
      <c r="R300" s="79"/>
      <c r="Y300" s="79"/>
      <c r="AC300" s="130"/>
      <c r="AE300" s="106"/>
    </row>
    <row r="301">
      <c r="C301" s="79"/>
      <c r="D301" s="79"/>
      <c r="E301" s="79"/>
      <c r="P301" s="79"/>
      <c r="Q301" s="79"/>
      <c r="R301" s="79"/>
      <c r="Y301" s="79"/>
      <c r="AC301" s="130"/>
      <c r="AE301" s="106"/>
    </row>
    <row r="302">
      <c r="C302" s="79"/>
      <c r="D302" s="79"/>
      <c r="E302" s="79"/>
      <c r="P302" s="79"/>
      <c r="Q302" s="79"/>
      <c r="R302" s="79"/>
      <c r="Y302" s="79"/>
      <c r="AC302" s="130"/>
      <c r="AE302" s="106"/>
    </row>
    <row r="303">
      <c r="C303" s="79"/>
      <c r="D303" s="79"/>
      <c r="E303" s="79"/>
      <c r="P303" s="79"/>
      <c r="Q303" s="79"/>
      <c r="R303" s="79"/>
      <c r="Y303" s="79"/>
      <c r="AC303" s="130"/>
      <c r="AE303" s="106"/>
    </row>
    <row r="304">
      <c r="C304" s="79"/>
      <c r="D304" s="79"/>
      <c r="E304" s="79"/>
      <c r="P304" s="79"/>
      <c r="Q304" s="79"/>
      <c r="R304" s="79"/>
      <c r="Y304" s="79"/>
      <c r="AC304" s="130"/>
      <c r="AE304" s="106"/>
    </row>
    <row r="305">
      <c r="C305" s="79"/>
      <c r="D305" s="79"/>
      <c r="E305" s="79"/>
      <c r="P305" s="79"/>
      <c r="Q305" s="79"/>
      <c r="R305" s="79"/>
      <c r="Y305" s="79"/>
      <c r="AC305" s="130"/>
      <c r="AE305" s="106"/>
    </row>
    <row r="306">
      <c r="C306" s="79"/>
      <c r="D306" s="79"/>
      <c r="E306" s="79"/>
      <c r="P306" s="79"/>
      <c r="Q306" s="79"/>
      <c r="R306" s="79"/>
      <c r="Y306" s="79"/>
      <c r="AC306" s="130"/>
      <c r="AE306" s="106"/>
    </row>
    <row r="307">
      <c r="C307" s="79"/>
      <c r="D307" s="79"/>
      <c r="E307" s="79"/>
      <c r="P307" s="79"/>
      <c r="Q307" s="79"/>
      <c r="R307" s="79"/>
      <c r="Y307" s="79"/>
      <c r="AC307" s="130"/>
      <c r="AE307" s="106"/>
    </row>
    <row r="308">
      <c r="C308" s="79"/>
      <c r="D308" s="79"/>
      <c r="E308" s="79"/>
      <c r="P308" s="79"/>
      <c r="Q308" s="79"/>
      <c r="R308" s="79"/>
      <c r="Y308" s="79"/>
      <c r="AC308" s="130"/>
      <c r="AE308" s="106"/>
    </row>
    <row r="309">
      <c r="C309" s="79"/>
      <c r="D309" s="79"/>
      <c r="E309" s="79"/>
      <c r="P309" s="79"/>
      <c r="Q309" s="79"/>
      <c r="R309" s="79"/>
      <c r="Y309" s="79"/>
      <c r="AC309" s="130"/>
      <c r="AE309" s="106"/>
    </row>
    <row r="310">
      <c r="C310" s="79"/>
      <c r="D310" s="79"/>
      <c r="E310" s="79"/>
      <c r="P310" s="79"/>
      <c r="Q310" s="79"/>
      <c r="R310" s="79"/>
      <c r="Y310" s="79"/>
      <c r="AC310" s="130"/>
      <c r="AE310" s="106"/>
    </row>
    <row r="311">
      <c r="C311" s="79"/>
      <c r="D311" s="79"/>
      <c r="E311" s="79"/>
      <c r="P311" s="79"/>
      <c r="Q311" s="79"/>
      <c r="R311" s="79"/>
      <c r="Y311" s="79"/>
      <c r="AC311" s="130"/>
      <c r="AE311" s="106"/>
    </row>
    <row r="312">
      <c r="C312" s="79"/>
      <c r="D312" s="79"/>
      <c r="E312" s="79"/>
      <c r="P312" s="79"/>
      <c r="Q312" s="79"/>
      <c r="R312" s="79"/>
      <c r="Y312" s="79"/>
      <c r="AC312" s="130"/>
      <c r="AE312" s="106"/>
    </row>
    <row r="313">
      <c r="C313" s="79"/>
      <c r="D313" s="79"/>
      <c r="E313" s="79"/>
      <c r="P313" s="79"/>
      <c r="Q313" s="79"/>
      <c r="R313" s="79"/>
      <c r="Y313" s="79"/>
      <c r="AC313" s="130"/>
      <c r="AE313" s="106"/>
    </row>
    <row r="314">
      <c r="C314" s="79"/>
      <c r="D314" s="79"/>
      <c r="E314" s="79"/>
      <c r="P314" s="79"/>
      <c r="Q314" s="79"/>
      <c r="R314" s="79"/>
      <c r="Y314" s="79"/>
      <c r="AC314" s="130"/>
      <c r="AE314" s="106"/>
    </row>
    <row r="315">
      <c r="C315" s="79"/>
      <c r="D315" s="79"/>
      <c r="E315" s="79"/>
      <c r="P315" s="79"/>
      <c r="Q315" s="79"/>
      <c r="R315" s="79"/>
      <c r="Y315" s="79"/>
      <c r="AC315" s="130"/>
      <c r="AE315" s="106"/>
    </row>
    <row r="316">
      <c r="C316" s="79"/>
      <c r="D316" s="79"/>
      <c r="E316" s="79"/>
      <c r="P316" s="79"/>
      <c r="Q316" s="79"/>
      <c r="R316" s="79"/>
      <c r="Y316" s="79"/>
      <c r="AC316" s="130"/>
      <c r="AE316" s="106"/>
    </row>
    <row r="317">
      <c r="C317" s="79"/>
      <c r="D317" s="79"/>
      <c r="E317" s="79"/>
      <c r="P317" s="79"/>
      <c r="Q317" s="79"/>
      <c r="R317" s="79"/>
      <c r="Y317" s="79"/>
      <c r="AC317" s="130"/>
      <c r="AE317" s="106"/>
    </row>
    <row r="318">
      <c r="C318" s="79"/>
      <c r="D318" s="79"/>
      <c r="E318" s="79"/>
      <c r="P318" s="79"/>
      <c r="Q318" s="79"/>
      <c r="R318" s="79"/>
      <c r="Y318" s="79"/>
      <c r="AC318" s="130"/>
      <c r="AE318" s="106"/>
    </row>
    <row r="319">
      <c r="C319" s="79"/>
      <c r="D319" s="79"/>
      <c r="E319" s="79"/>
      <c r="P319" s="79"/>
      <c r="Q319" s="79"/>
      <c r="R319" s="79"/>
      <c r="Y319" s="79"/>
      <c r="AC319" s="130"/>
      <c r="AE319" s="106"/>
    </row>
    <row r="320">
      <c r="C320" s="79"/>
      <c r="D320" s="79"/>
      <c r="E320" s="79"/>
      <c r="P320" s="79"/>
      <c r="Q320" s="79"/>
      <c r="R320" s="79"/>
      <c r="Y320" s="79"/>
      <c r="AC320" s="130"/>
      <c r="AE320" s="106"/>
    </row>
    <row r="321">
      <c r="C321" s="79"/>
      <c r="D321" s="79"/>
      <c r="E321" s="79"/>
      <c r="P321" s="79"/>
      <c r="Q321" s="79"/>
      <c r="R321" s="79"/>
      <c r="Y321" s="79"/>
      <c r="AC321" s="130"/>
      <c r="AE321" s="106"/>
    </row>
    <row r="322">
      <c r="C322" s="79"/>
      <c r="D322" s="79"/>
      <c r="E322" s="79"/>
      <c r="P322" s="79"/>
      <c r="Q322" s="79"/>
      <c r="R322" s="79"/>
      <c r="Y322" s="79"/>
      <c r="AC322" s="130"/>
      <c r="AE322" s="106"/>
    </row>
    <row r="323">
      <c r="C323" s="79"/>
      <c r="D323" s="79"/>
      <c r="E323" s="79"/>
      <c r="P323" s="79"/>
      <c r="Q323" s="79"/>
      <c r="R323" s="79"/>
      <c r="Y323" s="79"/>
      <c r="AC323" s="130"/>
      <c r="AE323" s="106"/>
    </row>
    <row r="324">
      <c r="C324" s="79"/>
      <c r="D324" s="79"/>
      <c r="E324" s="79"/>
      <c r="P324" s="79"/>
      <c r="Q324" s="79"/>
      <c r="R324" s="79"/>
      <c r="Y324" s="79"/>
      <c r="AC324" s="130"/>
      <c r="AE324" s="106"/>
    </row>
    <row r="325">
      <c r="C325" s="79"/>
      <c r="D325" s="79"/>
      <c r="E325" s="79"/>
      <c r="P325" s="79"/>
      <c r="Q325" s="79"/>
      <c r="R325" s="79"/>
      <c r="Y325" s="79"/>
      <c r="AC325" s="130"/>
      <c r="AE325" s="106"/>
    </row>
    <row r="326">
      <c r="C326" s="79"/>
      <c r="D326" s="79"/>
      <c r="E326" s="79"/>
      <c r="P326" s="79"/>
      <c r="Q326" s="79"/>
      <c r="R326" s="79"/>
      <c r="Y326" s="79"/>
      <c r="AC326" s="130"/>
      <c r="AE326" s="106"/>
    </row>
    <row r="327">
      <c r="C327" s="79"/>
      <c r="D327" s="79"/>
      <c r="E327" s="79"/>
      <c r="P327" s="79"/>
      <c r="Q327" s="79"/>
      <c r="R327" s="79"/>
      <c r="Y327" s="79"/>
      <c r="AC327" s="130"/>
      <c r="AE327" s="106"/>
    </row>
    <row r="328">
      <c r="C328" s="79"/>
      <c r="D328" s="79"/>
      <c r="E328" s="79"/>
      <c r="P328" s="79"/>
      <c r="Q328" s="79"/>
      <c r="R328" s="79"/>
      <c r="Y328" s="79"/>
      <c r="AC328" s="130"/>
      <c r="AE328" s="106"/>
    </row>
    <row r="329">
      <c r="C329" s="79"/>
      <c r="D329" s="79"/>
      <c r="E329" s="79"/>
      <c r="P329" s="79"/>
      <c r="Q329" s="79"/>
      <c r="R329" s="79"/>
      <c r="Y329" s="79"/>
      <c r="AC329" s="130"/>
      <c r="AE329" s="106"/>
    </row>
    <row r="330">
      <c r="C330" s="79"/>
      <c r="D330" s="79"/>
      <c r="E330" s="79"/>
      <c r="P330" s="79"/>
      <c r="Q330" s="79"/>
      <c r="R330" s="79"/>
      <c r="Y330" s="79"/>
      <c r="AC330" s="130"/>
      <c r="AE330" s="106"/>
    </row>
    <row r="331">
      <c r="C331" s="79"/>
      <c r="D331" s="79"/>
      <c r="E331" s="79"/>
      <c r="P331" s="79"/>
      <c r="Q331" s="79"/>
      <c r="R331" s="79"/>
      <c r="Y331" s="79"/>
      <c r="AC331" s="130"/>
      <c r="AE331" s="106"/>
    </row>
    <row r="332">
      <c r="C332" s="79"/>
      <c r="D332" s="79"/>
      <c r="E332" s="79"/>
      <c r="P332" s="79"/>
      <c r="Q332" s="79"/>
      <c r="R332" s="79"/>
      <c r="Y332" s="79"/>
      <c r="AC332" s="130"/>
      <c r="AE332" s="106"/>
    </row>
    <row r="333">
      <c r="C333" s="79"/>
      <c r="D333" s="79"/>
      <c r="E333" s="79"/>
      <c r="P333" s="79"/>
      <c r="Q333" s="79"/>
      <c r="R333" s="79"/>
      <c r="Y333" s="79"/>
      <c r="AC333" s="130"/>
      <c r="AE333" s="106"/>
    </row>
    <row r="334">
      <c r="C334" s="79"/>
      <c r="D334" s="79"/>
      <c r="E334" s="79"/>
      <c r="P334" s="79"/>
      <c r="Q334" s="79"/>
      <c r="R334" s="79"/>
      <c r="Y334" s="79"/>
      <c r="AC334" s="130"/>
      <c r="AE334" s="106"/>
    </row>
    <row r="335">
      <c r="C335" s="79"/>
      <c r="D335" s="79"/>
      <c r="E335" s="79"/>
      <c r="P335" s="79"/>
      <c r="Q335" s="79"/>
      <c r="R335" s="79"/>
      <c r="Y335" s="79"/>
      <c r="AC335" s="130"/>
      <c r="AE335" s="106"/>
    </row>
    <row r="336">
      <c r="C336" s="79"/>
      <c r="D336" s="79"/>
      <c r="E336" s="79"/>
      <c r="P336" s="79"/>
      <c r="Q336" s="79"/>
      <c r="R336" s="79"/>
      <c r="Y336" s="79"/>
      <c r="AC336" s="130"/>
      <c r="AE336" s="106"/>
    </row>
    <row r="337">
      <c r="C337" s="79"/>
      <c r="D337" s="79"/>
      <c r="E337" s="79"/>
      <c r="P337" s="79"/>
      <c r="Q337" s="79"/>
      <c r="R337" s="79"/>
      <c r="Y337" s="79"/>
      <c r="AC337" s="130"/>
      <c r="AE337" s="106"/>
    </row>
    <row r="338">
      <c r="C338" s="79"/>
      <c r="D338" s="79"/>
      <c r="E338" s="79"/>
      <c r="P338" s="79"/>
      <c r="Q338" s="79"/>
      <c r="R338" s="79"/>
      <c r="Y338" s="79"/>
      <c r="AC338" s="130"/>
      <c r="AE338" s="106"/>
    </row>
    <row r="339">
      <c r="C339" s="79"/>
      <c r="D339" s="79"/>
      <c r="E339" s="79"/>
      <c r="P339" s="79"/>
      <c r="Q339" s="79"/>
      <c r="R339" s="79"/>
      <c r="Y339" s="79"/>
      <c r="AC339" s="130"/>
      <c r="AE339" s="106"/>
    </row>
    <row r="340">
      <c r="C340" s="79"/>
      <c r="D340" s="79"/>
      <c r="E340" s="79"/>
      <c r="P340" s="79"/>
      <c r="Q340" s="79"/>
      <c r="R340" s="79"/>
      <c r="Y340" s="79"/>
      <c r="AC340" s="130"/>
      <c r="AE340" s="106"/>
    </row>
    <row r="341">
      <c r="C341" s="79"/>
      <c r="D341" s="79"/>
      <c r="E341" s="79"/>
      <c r="P341" s="79"/>
      <c r="Q341" s="79"/>
      <c r="R341" s="79"/>
      <c r="Y341" s="79"/>
      <c r="AC341" s="130"/>
      <c r="AE341" s="106"/>
    </row>
    <row r="342">
      <c r="C342" s="79"/>
      <c r="D342" s="79"/>
      <c r="E342" s="79"/>
      <c r="P342" s="79"/>
      <c r="Q342" s="79"/>
      <c r="R342" s="79"/>
      <c r="Y342" s="79"/>
      <c r="AC342" s="130"/>
      <c r="AE342" s="106"/>
    </row>
    <row r="343">
      <c r="C343" s="79"/>
      <c r="D343" s="79"/>
      <c r="E343" s="79"/>
      <c r="P343" s="79"/>
      <c r="Q343" s="79"/>
      <c r="R343" s="79"/>
      <c r="Y343" s="79"/>
      <c r="AC343" s="130"/>
      <c r="AE343" s="106"/>
    </row>
    <row r="344">
      <c r="C344" s="79"/>
      <c r="D344" s="79"/>
      <c r="E344" s="79"/>
      <c r="P344" s="79"/>
      <c r="Q344" s="79"/>
      <c r="R344" s="79"/>
      <c r="Y344" s="79"/>
      <c r="AC344" s="130"/>
      <c r="AE344" s="106"/>
    </row>
    <row r="345">
      <c r="C345" s="79"/>
      <c r="D345" s="79"/>
      <c r="E345" s="79"/>
      <c r="P345" s="79"/>
      <c r="Q345" s="79"/>
      <c r="R345" s="79"/>
      <c r="Y345" s="79"/>
      <c r="AC345" s="130"/>
      <c r="AE345" s="106"/>
    </row>
    <row r="346">
      <c r="C346" s="79"/>
      <c r="D346" s="79"/>
      <c r="E346" s="79"/>
      <c r="P346" s="79"/>
      <c r="Q346" s="79"/>
      <c r="R346" s="79"/>
      <c r="Y346" s="79"/>
      <c r="AC346" s="130"/>
      <c r="AE346" s="106"/>
    </row>
    <row r="347">
      <c r="C347" s="79"/>
      <c r="D347" s="79"/>
      <c r="E347" s="79"/>
      <c r="P347" s="79"/>
      <c r="Q347" s="79"/>
      <c r="R347" s="79"/>
      <c r="Y347" s="79"/>
      <c r="AC347" s="130"/>
      <c r="AE347" s="106"/>
    </row>
    <row r="348">
      <c r="C348" s="79"/>
      <c r="D348" s="79"/>
      <c r="E348" s="79"/>
      <c r="P348" s="79"/>
      <c r="Q348" s="79"/>
      <c r="R348" s="79"/>
      <c r="Y348" s="79"/>
      <c r="AC348" s="130"/>
      <c r="AE348" s="106"/>
    </row>
    <row r="349">
      <c r="C349" s="79"/>
      <c r="D349" s="79"/>
      <c r="E349" s="79"/>
      <c r="P349" s="79"/>
      <c r="Q349" s="79"/>
      <c r="R349" s="79"/>
      <c r="Y349" s="79"/>
      <c r="AC349" s="130"/>
      <c r="AE349" s="106"/>
    </row>
    <row r="350">
      <c r="C350" s="79"/>
      <c r="D350" s="79"/>
      <c r="E350" s="79"/>
      <c r="P350" s="79"/>
      <c r="Q350" s="79"/>
      <c r="R350" s="79"/>
      <c r="Y350" s="79"/>
      <c r="AC350" s="130"/>
      <c r="AE350" s="106"/>
    </row>
    <row r="351">
      <c r="C351" s="79"/>
      <c r="D351" s="79"/>
      <c r="E351" s="79"/>
      <c r="P351" s="79"/>
      <c r="Q351" s="79"/>
      <c r="R351" s="79"/>
      <c r="Y351" s="79"/>
      <c r="AC351" s="130"/>
      <c r="AE351" s="106"/>
    </row>
    <row r="352">
      <c r="C352" s="79"/>
      <c r="D352" s="79"/>
      <c r="E352" s="79"/>
      <c r="P352" s="79"/>
      <c r="Q352" s="79"/>
      <c r="R352" s="79"/>
      <c r="Y352" s="79"/>
      <c r="AC352" s="130"/>
      <c r="AE352" s="106"/>
    </row>
    <row r="353">
      <c r="C353" s="79"/>
      <c r="D353" s="79"/>
      <c r="E353" s="79"/>
      <c r="P353" s="79"/>
      <c r="Q353" s="79"/>
      <c r="R353" s="79"/>
      <c r="Y353" s="79"/>
      <c r="AC353" s="130"/>
      <c r="AE353" s="106"/>
    </row>
    <row r="354">
      <c r="C354" s="79"/>
      <c r="D354" s="79"/>
      <c r="E354" s="79"/>
      <c r="P354" s="79"/>
      <c r="Q354" s="79"/>
      <c r="R354" s="79"/>
      <c r="Y354" s="79"/>
      <c r="AC354" s="130"/>
      <c r="AE354" s="106"/>
    </row>
    <row r="355">
      <c r="C355" s="79"/>
      <c r="D355" s="79"/>
      <c r="E355" s="79"/>
      <c r="P355" s="79"/>
      <c r="Q355" s="79"/>
      <c r="R355" s="79"/>
      <c r="Y355" s="79"/>
      <c r="AC355" s="130"/>
      <c r="AE355" s="106"/>
    </row>
    <row r="356">
      <c r="C356" s="79"/>
      <c r="D356" s="79"/>
      <c r="E356" s="79"/>
      <c r="P356" s="79"/>
      <c r="Q356" s="79"/>
      <c r="R356" s="79"/>
      <c r="Y356" s="79"/>
      <c r="AC356" s="130"/>
      <c r="AE356" s="106"/>
    </row>
    <row r="357">
      <c r="C357" s="79"/>
      <c r="D357" s="79"/>
      <c r="E357" s="79"/>
      <c r="P357" s="79"/>
      <c r="Q357" s="79"/>
      <c r="R357" s="79"/>
      <c r="Y357" s="79"/>
      <c r="AC357" s="130"/>
      <c r="AE357" s="106"/>
    </row>
    <row r="358">
      <c r="C358" s="79"/>
      <c r="D358" s="79"/>
      <c r="E358" s="79"/>
      <c r="P358" s="79"/>
      <c r="Q358" s="79"/>
      <c r="R358" s="79"/>
      <c r="Y358" s="79"/>
      <c r="AC358" s="130"/>
      <c r="AE358" s="106"/>
    </row>
    <row r="359">
      <c r="C359" s="79"/>
      <c r="D359" s="79"/>
      <c r="E359" s="79"/>
      <c r="P359" s="79"/>
      <c r="Q359" s="79"/>
      <c r="R359" s="79"/>
      <c r="Y359" s="79"/>
      <c r="AC359" s="130"/>
      <c r="AE359" s="106"/>
    </row>
    <row r="360">
      <c r="C360" s="79"/>
      <c r="D360" s="79"/>
      <c r="E360" s="79"/>
      <c r="P360" s="79"/>
      <c r="Q360" s="79"/>
      <c r="R360" s="79"/>
      <c r="Y360" s="79"/>
      <c r="AC360" s="130"/>
      <c r="AE360" s="106"/>
    </row>
    <row r="361">
      <c r="C361" s="79"/>
      <c r="D361" s="79"/>
      <c r="E361" s="79"/>
      <c r="P361" s="79"/>
      <c r="Q361" s="79"/>
      <c r="R361" s="79"/>
      <c r="Y361" s="79"/>
      <c r="AC361" s="130"/>
      <c r="AE361" s="106"/>
    </row>
    <row r="362">
      <c r="C362" s="79"/>
      <c r="D362" s="79"/>
      <c r="E362" s="79"/>
      <c r="P362" s="79"/>
      <c r="Q362" s="79"/>
      <c r="R362" s="79"/>
      <c r="Y362" s="79"/>
      <c r="AC362" s="130"/>
      <c r="AE362" s="106"/>
    </row>
    <row r="363">
      <c r="C363" s="79"/>
      <c r="D363" s="79"/>
      <c r="E363" s="79"/>
      <c r="P363" s="79"/>
      <c r="Q363" s="79"/>
      <c r="R363" s="79"/>
      <c r="Y363" s="79"/>
      <c r="AC363" s="130"/>
      <c r="AE363" s="106"/>
    </row>
    <row r="364">
      <c r="C364" s="79"/>
      <c r="D364" s="79"/>
      <c r="E364" s="79"/>
      <c r="P364" s="79"/>
      <c r="Q364" s="79"/>
      <c r="R364" s="79"/>
      <c r="Y364" s="79"/>
      <c r="AC364" s="130"/>
      <c r="AE364" s="106"/>
    </row>
    <row r="365">
      <c r="C365" s="79"/>
      <c r="D365" s="79"/>
      <c r="E365" s="79"/>
      <c r="P365" s="79"/>
      <c r="Q365" s="79"/>
      <c r="R365" s="79"/>
      <c r="Y365" s="79"/>
      <c r="AC365" s="130"/>
      <c r="AE365" s="106"/>
    </row>
    <row r="366">
      <c r="C366" s="79"/>
      <c r="D366" s="79"/>
      <c r="E366" s="79"/>
      <c r="P366" s="79"/>
      <c r="Q366" s="79"/>
      <c r="R366" s="79"/>
      <c r="Y366" s="79"/>
      <c r="AC366" s="130"/>
      <c r="AE366" s="106"/>
    </row>
    <row r="367">
      <c r="C367" s="79"/>
      <c r="D367" s="79"/>
      <c r="E367" s="79"/>
      <c r="P367" s="79"/>
      <c r="Q367" s="79"/>
      <c r="R367" s="79"/>
      <c r="Y367" s="79"/>
      <c r="AC367" s="130"/>
      <c r="AE367" s="106"/>
    </row>
    <row r="368">
      <c r="C368" s="79"/>
      <c r="D368" s="79"/>
      <c r="E368" s="79"/>
      <c r="P368" s="79"/>
      <c r="Q368" s="79"/>
      <c r="R368" s="79"/>
      <c r="Y368" s="79"/>
      <c r="AC368" s="130"/>
      <c r="AE368" s="106"/>
    </row>
    <row r="369">
      <c r="C369" s="79"/>
      <c r="D369" s="79"/>
      <c r="E369" s="79"/>
      <c r="P369" s="79"/>
      <c r="Q369" s="79"/>
      <c r="R369" s="79"/>
      <c r="Y369" s="79"/>
      <c r="AC369" s="130"/>
      <c r="AE369" s="106"/>
    </row>
    <row r="370">
      <c r="C370" s="79"/>
      <c r="D370" s="79"/>
      <c r="E370" s="79"/>
      <c r="P370" s="79"/>
      <c r="Q370" s="79"/>
      <c r="R370" s="79"/>
      <c r="Y370" s="79"/>
      <c r="AC370" s="130"/>
      <c r="AE370" s="106"/>
    </row>
    <row r="371">
      <c r="C371" s="79"/>
      <c r="D371" s="79"/>
      <c r="E371" s="79"/>
      <c r="P371" s="79"/>
      <c r="Q371" s="79"/>
      <c r="R371" s="79"/>
      <c r="Y371" s="79"/>
      <c r="AC371" s="130"/>
      <c r="AE371" s="106"/>
    </row>
    <row r="372">
      <c r="C372" s="79"/>
      <c r="D372" s="79"/>
      <c r="E372" s="79"/>
      <c r="P372" s="79"/>
      <c r="Q372" s="79"/>
      <c r="R372" s="79"/>
      <c r="Y372" s="79"/>
      <c r="AC372" s="130"/>
      <c r="AE372" s="106"/>
    </row>
    <row r="373">
      <c r="C373" s="79"/>
      <c r="D373" s="79"/>
      <c r="E373" s="79"/>
      <c r="P373" s="79"/>
      <c r="Q373" s="79"/>
      <c r="R373" s="79"/>
      <c r="Y373" s="79"/>
      <c r="AC373" s="130"/>
      <c r="AE373" s="106"/>
    </row>
    <row r="374">
      <c r="C374" s="79"/>
      <c r="D374" s="79"/>
      <c r="E374" s="79"/>
      <c r="P374" s="79"/>
      <c r="Q374" s="79"/>
      <c r="R374" s="79"/>
      <c r="Y374" s="79"/>
      <c r="AC374" s="130"/>
      <c r="AE374" s="106"/>
    </row>
    <row r="375">
      <c r="C375" s="79"/>
      <c r="D375" s="79"/>
      <c r="E375" s="79"/>
      <c r="P375" s="79"/>
      <c r="Q375" s="79"/>
      <c r="R375" s="79"/>
      <c r="Y375" s="79"/>
      <c r="AC375" s="130"/>
      <c r="AE375" s="106"/>
    </row>
    <row r="376">
      <c r="C376" s="79"/>
      <c r="D376" s="79"/>
      <c r="E376" s="79"/>
      <c r="P376" s="79"/>
      <c r="Q376" s="79"/>
      <c r="R376" s="79"/>
      <c r="Y376" s="79"/>
      <c r="AC376" s="130"/>
      <c r="AE376" s="106"/>
    </row>
    <row r="377">
      <c r="C377" s="79"/>
      <c r="D377" s="79"/>
      <c r="E377" s="79"/>
      <c r="P377" s="79"/>
      <c r="Q377" s="79"/>
      <c r="R377" s="79"/>
      <c r="Y377" s="79"/>
      <c r="AC377" s="130"/>
      <c r="AE377" s="106"/>
    </row>
    <row r="378">
      <c r="C378" s="79"/>
      <c r="D378" s="79"/>
      <c r="E378" s="79"/>
      <c r="P378" s="79"/>
      <c r="Q378" s="79"/>
      <c r="R378" s="79"/>
      <c r="Y378" s="79"/>
      <c r="AC378" s="130"/>
      <c r="AE378" s="106"/>
    </row>
    <row r="379">
      <c r="C379" s="79"/>
      <c r="D379" s="79"/>
      <c r="E379" s="79"/>
      <c r="P379" s="79"/>
      <c r="Q379" s="79"/>
      <c r="R379" s="79"/>
      <c r="Y379" s="79"/>
      <c r="AC379" s="130"/>
      <c r="AE379" s="106"/>
    </row>
    <row r="380">
      <c r="C380" s="79"/>
      <c r="D380" s="79"/>
      <c r="E380" s="79"/>
      <c r="P380" s="79"/>
      <c r="Q380" s="79"/>
      <c r="R380" s="79"/>
      <c r="Y380" s="79"/>
      <c r="AC380" s="130"/>
      <c r="AE380" s="106"/>
    </row>
    <row r="381">
      <c r="C381" s="79"/>
      <c r="D381" s="79"/>
      <c r="E381" s="79"/>
      <c r="P381" s="79"/>
      <c r="Q381" s="79"/>
      <c r="R381" s="79"/>
      <c r="Y381" s="79"/>
      <c r="AC381" s="130"/>
      <c r="AE381" s="106"/>
    </row>
    <row r="382">
      <c r="C382" s="79"/>
      <c r="D382" s="79"/>
      <c r="E382" s="79"/>
      <c r="P382" s="79"/>
      <c r="Q382" s="79"/>
      <c r="R382" s="79"/>
      <c r="Y382" s="79"/>
      <c r="AC382" s="130"/>
      <c r="AE382" s="106"/>
    </row>
    <row r="383">
      <c r="C383" s="79"/>
      <c r="D383" s="79"/>
      <c r="E383" s="79"/>
      <c r="P383" s="79"/>
      <c r="Q383" s="79"/>
      <c r="R383" s="79"/>
      <c r="Y383" s="79"/>
      <c r="AC383" s="130"/>
      <c r="AE383" s="106"/>
    </row>
    <row r="384">
      <c r="C384" s="79"/>
      <c r="D384" s="79"/>
      <c r="E384" s="79"/>
      <c r="P384" s="79"/>
      <c r="Q384" s="79"/>
      <c r="R384" s="79"/>
      <c r="Y384" s="79"/>
      <c r="AC384" s="130"/>
      <c r="AE384" s="106"/>
    </row>
    <row r="385">
      <c r="C385" s="79"/>
      <c r="D385" s="79"/>
      <c r="E385" s="79"/>
      <c r="P385" s="79"/>
      <c r="Q385" s="79"/>
      <c r="R385" s="79"/>
      <c r="Y385" s="79"/>
      <c r="AC385" s="130"/>
      <c r="AE385" s="106"/>
    </row>
    <row r="386">
      <c r="C386" s="79"/>
      <c r="D386" s="79"/>
      <c r="E386" s="79"/>
      <c r="P386" s="79"/>
      <c r="Q386" s="79"/>
      <c r="R386" s="79"/>
      <c r="Y386" s="79"/>
      <c r="AC386" s="130"/>
      <c r="AE386" s="106"/>
    </row>
    <row r="387">
      <c r="C387" s="79"/>
      <c r="D387" s="79"/>
      <c r="E387" s="79"/>
      <c r="P387" s="79"/>
      <c r="Q387" s="79"/>
      <c r="R387" s="79"/>
      <c r="Y387" s="79"/>
      <c r="AC387" s="130"/>
      <c r="AE387" s="106"/>
    </row>
    <row r="388">
      <c r="C388" s="79"/>
      <c r="D388" s="79"/>
      <c r="E388" s="79"/>
      <c r="P388" s="79"/>
      <c r="Q388" s="79"/>
      <c r="R388" s="79"/>
      <c r="Y388" s="79"/>
      <c r="AC388" s="130"/>
      <c r="AE388" s="106"/>
    </row>
    <row r="389">
      <c r="C389" s="79"/>
      <c r="D389" s="79"/>
      <c r="E389" s="79"/>
      <c r="P389" s="79"/>
      <c r="Q389" s="79"/>
      <c r="R389" s="79"/>
      <c r="Y389" s="79"/>
      <c r="AC389" s="130"/>
      <c r="AE389" s="106"/>
    </row>
    <row r="390">
      <c r="C390" s="79"/>
      <c r="D390" s="79"/>
      <c r="E390" s="79"/>
      <c r="P390" s="79"/>
      <c r="Q390" s="79"/>
      <c r="R390" s="79"/>
      <c r="Y390" s="79"/>
      <c r="AC390" s="130"/>
      <c r="AE390" s="106"/>
    </row>
    <row r="391">
      <c r="C391" s="79"/>
      <c r="D391" s="79"/>
      <c r="E391" s="79"/>
      <c r="P391" s="79"/>
      <c r="Q391" s="79"/>
      <c r="R391" s="79"/>
      <c r="Y391" s="79"/>
      <c r="AC391" s="130"/>
      <c r="AE391" s="106"/>
    </row>
    <row r="392">
      <c r="C392" s="79"/>
      <c r="D392" s="79"/>
      <c r="E392" s="79"/>
      <c r="P392" s="79"/>
      <c r="Q392" s="79"/>
      <c r="R392" s="79"/>
      <c r="Y392" s="79"/>
      <c r="AC392" s="130"/>
      <c r="AE392" s="106"/>
    </row>
    <row r="393">
      <c r="C393" s="79"/>
      <c r="D393" s="79"/>
      <c r="E393" s="79"/>
      <c r="P393" s="79"/>
      <c r="Q393" s="79"/>
      <c r="R393" s="79"/>
      <c r="Y393" s="79"/>
      <c r="AC393" s="130"/>
      <c r="AE393" s="106"/>
    </row>
    <row r="394">
      <c r="C394" s="79"/>
      <c r="D394" s="79"/>
      <c r="E394" s="79"/>
      <c r="P394" s="79"/>
      <c r="Q394" s="79"/>
      <c r="R394" s="79"/>
      <c r="Y394" s="79"/>
      <c r="AC394" s="130"/>
      <c r="AE394" s="106"/>
    </row>
    <row r="395">
      <c r="C395" s="79"/>
      <c r="D395" s="79"/>
      <c r="E395" s="79"/>
      <c r="P395" s="79"/>
      <c r="Q395" s="79"/>
      <c r="R395" s="79"/>
      <c r="Y395" s="79"/>
      <c r="AC395" s="130"/>
      <c r="AE395" s="106"/>
    </row>
    <row r="396">
      <c r="C396" s="79"/>
      <c r="D396" s="79"/>
      <c r="E396" s="79"/>
      <c r="P396" s="79"/>
      <c r="Q396" s="79"/>
      <c r="R396" s="79"/>
      <c r="Y396" s="79"/>
      <c r="AC396" s="130"/>
      <c r="AE396" s="106"/>
    </row>
    <row r="397">
      <c r="C397" s="79"/>
      <c r="D397" s="79"/>
      <c r="E397" s="79"/>
      <c r="P397" s="79"/>
      <c r="Q397" s="79"/>
      <c r="R397" s="79"/>
      <c r="Y397" s="79"/>
      <c r="AC397" s="130"/>
      <c r="AE397" s="106"/>
    </row>
    <row r="398">
      <c r="C398" s="79"/>
      <c r="D398" s="79"/>
      <c r="E398" s="79"/>
      <c r="P398" s="79"/>
      <c r="Q398" s="79"/>
      <c r="R398" s="79"/>
      <c r="Y398" s="79"/>
      <c r="AC398" s="130"/>
      <c r="AE398" s="106"/>
    </row>
    <row r="399">
      <c r="C399" s="79"/>
      <c r="D399" s="79"/>
      <c r="E399" s="79"/>
      <c r="P399" s="79"/>
      <c r="Q399" s="79"/>
      <c r="R399" s="79"/>
      <c r="Y399" s="79"/>
      <c r="AC399" s="130"/>
      <c r="AE399" s="106"/>
    </row>
    <row r="400">
      <c r="C400" s="79"/>
      <c r="D400" s="79"/>
      <c r="E400" s="79"/>
      <c r="P400" s="79"/>
      <c r="Q400" s="79"/>
      <c r="R400" s="79"/>
      <c r="Y400" s="79"/>
      <c r="AC400" s="130"/>
      <c r="AE400" s="106"/>
    </row>
    <row r="401">
      <c r="C401" s="79"/>
      <c r="D401" s="79"/>
      <c r="E401" s="79"/>
      <c r="P401" s="79"/>
      <c r="Q401" s="79"/>
      <c r="R401" s="79"/>
      <c r="Y401" s="79"/>
      <c r="AC401" s="130"/>
      <c r="AE401" s="106"/>
    </row>
    <row r="402">
      <c r="C402" s="79"/>
      <c r="D402" s="79"/>
      <c r="E402" s="79"/>
      <c r="P402" s="79"/>
      <c r="Q402" s="79"/>
      <c r="R402" s="79"/>
      <c r="Y402" s="79"/>
      <c r="AC402" s="130"/>
      <c r="AE402" s="106"/>
    </row>
    <row r="403">
      <c r="C403" s="79"/>
      <c r="D403" s="79"/>
      <c r="E403" s="79"/>
      <c r="P403" s="79"/>
      <c r="Q403" s="79"/>
      <c r="R403" s="79"/>
      <c r="Y403" s="79"/>
      <c r="AC403" s="130"/>
      <c r="AE403" s="106"/>
    </row>
    <row r="404">
      <c r="C404" s="79"/>
      <c r="D404" s="79"/>
      <c r="E404" s="79"/>
      <c r="P404" s="79"/>
      <c r="Q404" s="79"/>
      <c r="R404" s="79"/>
      <c r="Y404" s="79"/>
      <c r="AC404" s="130"/>
      <c r="AE404" s="106"/>
    </row>
    <row r="405">
      <c r="C405" s="79"/>
      <c r="D405" s="79"/>
      <c r="E405" s="79"/>
      <c r="P405" s="79"/>
      <c r="Q405" s="79"/>
      <c r="R405" s="79"/>
      <c r="Y405" s="79"/>
      <c r="AC405" s="130"/>
      <c r="AE405" s="106"/>
    </row>
    <row r="406">
      <c r="C406" s="79"/>
      <c r="D406" s="79"/>
      <c r="E406" s="79"/>
      <c r="P406" s="79"/>
      <c r="Q406" s="79"/>
      <c r="R406" s="79"/>
      <c r="Y406" s="79"/>
      <c r="AC406" s="130"/>
      <c r="AE406" s="106"/>
    </row>
    <row r="407">
      <c r="C407" s="79"/>
      <c r="D407" s="79"/>
      <c r="E407" s="79"/>
      <c r="P407" s="79"/>
      <c r="Q407" s="79"/>
      <c r="R407" s="79"/>
      <c r="Y407" s="79"/>
      <c r="AC407" s="130"/>
      <c r="AE407" s="106"/>
    </row>
    <row r="408">
      <c r="C408" s="79"/>
      <c r="D408" s="79"/>
      <c r="E408" s="79"/>
      <c r="P408" s="79"/>
      <c r="Q408" s="79"/>
      <c r="R408" s="79"/>
      <c r="Y408" s="79"/>
      <c r="AC408" s="130"/>
      <c r="AE408" s="106"/>
    </row>
    <row r="409">
      <c r="C409" s="79"/>
      <c r="D409" s="79"/>
      <c r="E409" s="79"/>
      <c r="P409" s="79"/>
      <c r="Q409" s="79"/>
      <c r="R409" s="79"/>
      <c r="Y409" s="79"/>
      <c r="AC409" s="130"/>
      <c r="AE409" s="106"/>
    </row>
    <row r="410">
      <c r="C410" s="79"/>
      <c r="D410" s="79"/>
      <c r="E410" s="79"/>
      <c r="P410" s="79"/>
      <c r="Q410" s="79"/>
      <c r="R410" s="79"/>
      <c r="Y410" s="79"/>
      <c r="AC410" s="130"/>
      <c r="AE410" s="106"/>
    </row>
    <row r="411">
      <c r="C411" s="79"/>
      <c r="D411" s="79"/>
      <c r="E411" s="79"/>
      <c r="P411" s="79"/>
      <c r="Q411" s="79"/>
      <c r="R411" s="79"/>
      <c r="Y411" s="79"/>
      <c r="AC411" s="130"/>
      <c r="AE411" s="106"/>
    </row>
    <row r="412">
      <c r="C412" s="79"/>
      <c r="D412" s="79"/>
      <c r="E412" s="79"/>
      <c r="P412" s="79"/>
      <c r="Q412" s="79"/>
      <c r="R412" s="79"/>
      <c r="Y412" s="79"/>
      <c r="AC412" s="130"/>
      <c r="AE412" s="106"/>
    </row>
    <row r="413">
      <c r="C413" s="79"/>
      <c r="D413" s="79"/>
      <c r="E413" s="79"/>
      <c r="P413" s="79"/>
      <c r="Q413" s="79"/>
      <c r="R413" s="79"/>
      <c r="Y413" s="79"/>
      <c r="AC413" s="130"/>
      <c r="AE413" s="106"/>
    </row>
    <row r="414">
      <c r="C414" s="79"/>
      <c r="D414" s="79"/>
      <c r="E414" s="79"/>
      <c r="P414" s="79"/>
      <c r="Q414" s="79"/>
      <c r="R414" s="79"/>
      <c r="Y414" s="79"/>
      <c r="AC414" s="130"/>
      <c r="AE414" s="106"/>
    </row>
    <row r="415">
      <c r="C415" s="79"/>
      <c r="D415" s="79"/>
      <c r="E415" s="79"/>
      <c r="P415" s="79"/>
      <c r="Q415" s="79"/>
      <c r="R415" s="79"/>
      <c r="Y415" s="79"/>
      <c r="AC415" s="130"/>
      <c r="AE415" s="106"/>
    </row>
    <row r="416">
      <c r="C416" s="79"/>
      <c r="D416" s="79"/>
      <c r="E416" s="79"/>
      <c r="P416" s="79"/>
      <c r="Q416" s="79"/>
      <c r="R416" s="79"/>
      <c r="Y416" s="79"/>
      <c r="AC416" s="130"/>
      <c r="AE416" s="106"/>
    </row>
    <row r="417">
      <c r="C417" s="79"/>
      <c r="D417" s="79"/>
      <c r="E417" s="79"/>
      <c r="P417" s="79"/>
      <c r="Q417" s="79"/>
      <c r="R417" s="79"/>
      <c r="Y417" s="79"/>
      <c r="AC417" s="130"/>
      <c r="AE417" s="106"/>
    </row>
    <row r="418">
      <c r="C418" s="79"/>
      <c r="D418" s="79"/>
      <c r="E418" s="79"/>
      <c r="P418" s="79"/>
      <c r="Q418" s="79"/>
      <c r="R418" s="79"/>
      <c r="Y418" s="79"/>
      <c r="AC418" s="130"/>
      <c r="AE418" s="106"/>
    </row>
    <row r="419">
      <c r="C419" s="79"/>
      <c r="D419" s="79"/>
      <c r="E419" s="79"/>
      <c r="P419" s="79"/>
      <c r="Q419" s="79"/>
      <c r="R419" s="79"/>
      <c r="Y419" s="79"/>
      <c r="AC419" s="130"/>
      <c r="AE419" s="106"/>
    </row>
    <row r="420">
      <c r="C420" s="79"/>
      <c r="D420" s="79"/>
      <c r="E420" s="79"/>
      <c r="P420" s="79"/>
      <c r="Q420" s="79"/>
      <c r="R420" s="79"/>
      <c r="Y420" s="79"/>
      <c r="AC420" s="130"/>
      <c r="AE420" s="106"/>
    </row>
    <row r="421">
      <c r="C421" s="79"/>
      <c r="D421" s="79"/>
      <c r="E421" s="79"/>
      <c r="P421" s="79"/>
      <c r="Q421" s="79"/>
      <c r="R421" s="79"/>
      <c r="Y421" s="79"/>
      <c r="AC421" s="130"/>
      <c r="AE421" s="106"/>
    </row>
    <row r="422">
      <c r="C422" s="79"/>
      <c r="D422" s="79"/>
      <c r="E422" s="79"/>
      <c r="P422" s="79"/>
      <c r="Q422" s="79"/>
      <c r="R422" s="79"/>
      <c r="Y422" s="79"/>
      <c r="AC422" s="130"/>
      <c r="AE422" s="106"/>
    </row>
    <row r="423">
      <c r="C423" s="79"/>
      <c r="D423" s="79"/>
      <c r="E423" s="79"/>
      <c r="P423" s="79"/>
      <c r="Q423" s="79"/>
      <c r="R423" s="79"/>
      <c r="Y423" s="79"/>
      <c r="AC423" s="130"/>
      <c r="AE423" s="106"/>
    </row>
    <row r="424">
      <c r="C424" s="79"/>
      <c r="D424" s="79"/>
      <c r="E424" s="79"/>
      <c r="P424" s="79"/>
      <c r="Q424" s="79"/>
      <c r="R424" s="79"/>
      <c r="Y424" s="79"/>
      <c r="AC424" s="130"/>
      <c r="AE424" s="106"/>
    </row>
    <row r="425">
      <c r="C425" s="79"/>
      <c r="D425" s="79"/>
      <c r="E425" s="79"/>
      <c r="P425" s="79"/>
      <c r="Q425" s="79"/>
      <c r="R425" s="79"/>
      <c r="Y425" s="79"/>
      <c r="AC425" s="130"/>
      <c r="AE425" s="106"/>
    </row>
    <row r="426">
      <c r="C426" s="79"/>
      <c r="D426" s="79"/>
      <c r="E426" s="79"/>
      <c r="P426" s="79"/>
      <c r="Q426" s="79"/>
      <c r="R426" s="79"/>
      <c r="Y426" s="79"/>
      <c r="AC426" s="130"/>
      <c r="AE426" s="106"/>
    </row>
    <row r="427">
      <c r="C427" s="79"/>
      <c r="D427" s="79"/>
      <c r="E427" s="79"/>
      <c r="P427" s="79"/>
      <c r="Q427" s="79"/>
      <c r="R427" s="79"/>
      <c r="Y427" s="79"/>
      <c r="AC427" s="130"/>
      <c r="AE427" s="106"/>
    </row>
    <row r="428">
      <c r="C428" s="79"/>
      <c r="D428" s="79"/>
      <c r="E428" s="79"/>
      <c r="P428" s="79"/>
      <c r="Q428" s="79"/>
      <c r="R428" s="79"/>
      <c r="Y428" s="79"/>
      <c r="AC428" s="130"/>
      <c r="AE428" s="106"/>
    </row>
    <row r="429">
      <c r="C429" s="79"/>
      <c r="D429" s="79"/>
      <c r="E429" s="79"/>
      <c r="P429" s="79"/>
      <c r="Q429" s="79"/>
      <c r="R429" s="79"/>
      <c r="Y429" s="79"/>
      <c r="AC429" s="130"/>
      <c r="AE429" s="106"/>
    </row>
    <row r="430">
      <c r="C430" s="79"/>
      <c r="D430" s="79"/>
      <c r="E430" s="79"/>
      <c r="P430" s="79"/>
      <c r="Q430" s="79"/>
      <c r="R430" s="79"/>
      <c r="Y430" s="79"/>
      <c r="AC430" s="130"/>
      <c r="AE430" s="106"/>
    </row>
    <row r="431">
      <c r="C431" s="79"/>
      <c r="D431" s="79"/>
      <c r="E431" s="79"/>
      <c r="P431" s="79"/>
      <c r="Q431" s="79"/>
      <c r="R431" s="79"/>
      <c r="Y431" s="79"/>
      <c r="AC431" s="130"/>
      <c r="AE431" s="106"/>
    </row>
    <row r="432">
      <c r="C432" s="79"/>
      <c r="D432" s="79"/>
      <c r="E432" s="79"/>
      <c r="P432" s="79"/>
      <c r="Q432" s="79"/>
      <c r="R432" s="79"/>
      <c r="Y432" s="79"/>
      <c r="AC432" s="130"/>
      <c r="AE432" s="106"/>
    </row>
    <row r="433">
      <c r="C433" s="79"/>
      <c r="D433" s="79"/>
      <c r="E433" s="79"/>
      <c r="P433" s="79"/>
      <c r="Q433" s="79"/>
      <c r="R433" s="79"/>
      <c r="Y433" s="79"/>
      <c r="AC433" s="130"/>
      <c r="AE433" s="106"/>
    </row>
    <row r="434">
      <c r="C434" s="79"/>
      <c r="D434" s="79"/>
      <c r="E434" s="79"/>
      <c r="P434" s="79"/>
      <c r="Q434" s="79"/>
      <c r="R434" s="79"/>
      <c r="Y434" s="79"/>
      <c r="AC434" s="130"/>
      <c r="AE434" s="106"/>
    </row>
    <row r="435">
      <c r="C435" s="79"/>
      <c r="D435" s="79"/>
      <c r="E435" s="79"/>
      <c r="P435" s="79"/>
      <c r="Q435" s="79"/>
      <c r="R435" s="79"/>
      <c r="Y435" s="79"/>
      <c r="AC435" s="130"/>
      <c r="AE435" s="106"/>
    </row>
    <row r="436">
      <c r="C436" s="79"/>
      <c r="D436" s="79"/>
      <c r="E436" s="79"/>
      <c r="P436" s="79"/>
      <c r="Q436" s="79"/>
      <c r="R436" s="79"/>
      <c r="Y436" s="79"/>
      <c r="AC436" s="130"/>
      <c r="AE436" s="106"/>
    </row>
    <row r="437">
      <c r="C437" s="79"/>
      <c r="D437" s="79"/>
      <c r="E437" s="79"/>
      <c r="P437" s="79"/>
      <c r="Q437" s="79"/>
      <c r="R437" s="79"/>
      <c r="Y437" s="79"/>
      <c r="AC437" s="130"/>
      <c r="AE437" s="106"/>
    </row>
    <row r="438">
      <c r="C438" s="79"/>
      <c r="D438" s="79"/>
      <c r="E438" s="79"/>
      <c r="P438" s="79"/>
      <c r="Q438" s="79"/>
      <c r="R438" s="79"/>
      <c r="Y438" s="79"/>
      <c r="AC438" s="130"/>
      <c r="AE438" s="106"/>
    </row>
    <row r="439">
      <c r="C439" s="79"/>
      <c r="D439" s="79"/>
      <c r="E439" s="79"/>
      <c r="P439" s="79"/>
      <c r="Q439" s="79"/>
      <c r="R439" s="79"/>
      <c r="Y439" s="79"/>
      <c r="AC439" s="130"/>
      <c r="AE439" s="106"/>
    </row>
    <row r="440">
      <c r="C440" s="79"/>
      <c r="D440" s="79"/>
      <c r="E440" s="79"/>
      <c r="P440" s="79"/>
      <c r="Q440" s="79"/>
      <c r="R440" s="79"/>
      <c r="Y440" s="79"/>
      <c r="AC440" s="130"/>
      <c r="AE440" s="106"/>
    </row>
    <row r="441">
      <c r="C441" s="79"/>
      <c r="D441" s="79"/>
      <c r="E441" s="79"/>
      <c r="P441" s="79"/>
      <c r="Q441" s="79"/>
      <c r="R441" s="79"/>
      <c r="Y441" s="79"/>
      <c r="AC441" s="130"/>
      <c r="AE441" s="106"/>
    </row>
    <row r="442">
      <c r="C442" s="79"/>
      <c r="D442" s="79"/>
      <c r="E442" s="79"/>
      <c r="P442" s="79"/>
      <c r="Q442" s="79"/>
      <c r="R442" s="79"/>
      <c r="Y442" s="79"/>
      <c r="AC442" s="130"/>
      <c r="AE442" s="106"/>
    </row>
    <row r="443">
      <c r="C443" s="79"/>
      <c r="D443" s="79"/>
      <c r="E443" s="79"/>
      <c r="P443" s="79"/>
      <c r="Q443" s="79"/>
      <c r="R443" s="79"/>
      <c r="Y443" s="79"/>
      <c r="AC443" s="130"/>
      <c r="AE443" s="106"/>
    </row>
    <row r="444">
      <c r="C444" s="79"/>
      <c r="D444" s="79"/>
      <c r="E444" s="79"/>
      <c r="P444" s="79"/>
      <c r="Q444" s="79"/>
      <c r="R444" s="79"/>
      <c r="Y444" s="79"/>
      <c r="AC444" s="130"/>
      <c r="AE444" s="106"/>
    </row>
    <row r="445">
      <c r="C445" s="79"/>
      <c r="D445" s="79"/>
      <c r="E445" s="79"/>
      <c r="P445" s="79"/>
      <c r="Q445" s="79"/>
      <c r="R445" s="79"/>
      <c r="Y445" s="79"/>
      <c r="AC445" s="130"/>
      <c r="AE445" s="106"/>
    </row>
    <row r="446">
      <c r="C446" s="79"/>
      <c r="D446" s="79"/>
      <c r="E446" s="79"/>
      <c r="P446" s="79"/>
      <c r="Q446" s="79"/>
      <c r="R446" s="79"/>
      <c r="Y446" s="79"/>
      <c r="AC446" s="130"/>
      <c r="AE446" s="106"/>
    </row>
    <row r="447">
      <c r="C447" s="79"/>
      <c r="D447" s="79"/>
      <c r="E447" s="79"/>
      <c r="P447" s="79"/>
      <c r="Q447" s="79"/>
      <c r="R447" s="79"/>
      <c r="Y447" s="79"/>
      <c r="AC447" s="130"/>
      <c r="AE447" s="106"/>
    </row>
    <row r="448">
      <c r="C448" s="79"/>
      <c r="D448" s="79"/>
      <c r="E448" s="79"/>
      <c r="P448" s="79"/>
      <c r="Q448" s="79"/>
      <c r="R448" s="79"/>
      <c r="Y448" s="79"/>
      <c r="AC448" s="130"/>
      <c r="AE448" s="106"/>
    </row>
    <row r="449">
      <c r="C449" s="79"/>
      <c r="D449" s="79"/>
      <c r="E449" s="79"/>
      <c r="P449" s="79"/>
      <c r="Q449" s="79"/>
      <c r="R449" s="79"/>
      <c r="Y449" s="79"/>
      <c r="AC449" s="130"/>
      <c r="AE449" s="106"/>
    </row>
    <row r="450">
      <c r="C450" s="79"/>
      <c r="D450" s="79"/>
      <c r="E450" s="79"/>
      <c r="P450" s="79"/>
      <c r="Q450" s="79"/>
      <c r="R450" s="79"/>
      <c r="Y450" s="79"/>
      <c r="AC450" s="130"/>
      <c r="AE450" s="106"/>
    </row>
    <row r="451">
      <c r="C451" s="79"/>
      <c r="D451" s="79"/>
      <c r="E451" s="79"/>
      <c r="P451" s="79"/>
      <c r="Q451" s="79"/>
      <c r="R451" s="79"/>
      <c r="Y451" s="79"/>
      <c r="AC451" s="130"/>
      <c r="AE451" s="106"/>
    </row>
    <row r="452">
      <c r="C452" s="79"/>
      <c r="D452" s="79"/>
      <c r="E452" s="79"/>
      <c r="P452" s="79"/>
      <c r="Q452" s="79"/>
      <c r="R452" s="79"/>
      <c r="Y452" s="79"/>
      <c r="AC452" s="130"/>
      <c r="AE452" s="106"/>
    </row>
    <row r="453">
      <c r="C453" s="79"/>
      <c r="D453" s="79"/>
      <c r="E453" s="79"/>
      <c r="P453" s="79"/>
      <c r="Q453" s="79"/>
      <c r="R453" s="79"/>
      <c r="Y453" s="79"/>
      <c r="AC453" s="130"/>
      <c r="AE453" s="106"/>
    </row>
    <row r="454">
      <c r="C454" s="79"/>
      <c r="D454" s="79"/>
      <c r="E454" s="79"/>
      <c r="P454" s="79"/>
      <c r="Q454" s="79"/>
      <c r="R454" s="79"/>
      <c r="Y454" s="79"/>
      <c r="AC454" s="130"/>
      <c r="AE454" s="106"/>
    </row>
    <row r="455">
      <c r="C455" s="79"/>
      <c r="D455" s="79"/>
      <c r="E455" s="79"/>
      <c r="P455" s="79"/>
      <c r="Q455" s="79"/>
      <c r="R455" s="79"/>
      <c r="Y455" s="79"/>
      <c r="AC455" s="130"/>
      <c r="AE455" s="106"/>
    </row>
    <row r="456">
      <c r="C456" s="79"/>
      <c r="D456" s="79"/>
      <c r="E456" s="79"/>
      <c r="P456" s="79"/>
      <c r="Q456" s="79"/>
      <c r="R456" s="79"/>
      <c r="Y456" s="79"/>
      <c r="AC456" s="130"/>
      <c r="AE456" s="106"/>
    </row>
    <row r="457">
      <c r="C457" s="79"/>
      <c r="D457" s="79"/>
      <c r="E457" s="79"/>
      <c r="P457" s="79"/>
      <c r="Q457" s="79"/>
      <c r="R457" s="79"/>
      <c r="Y457" s="79"/>
      <c r="AC457" s="130"/>
      <c r="AE457" s="106"/>
    </row>
    <row r="458">
      <c r="C458" s="79"/>
      <c r="D458" s="79"/>
      <c r="E458" s="79"/>
      <c r="P458" s="79"/>
      <c r="Q458" s="79"/>
      <c r="R458" s="79"/>
      <c r="Y458" s="79"/>
      <c r="AC458" s="130"/>
      <c r="AE458" s="106"/>
    </row>
    <row r="459">
      <c r="C459" s="79"/>
      <c r="D459" s="79"/>
      <c r="E459" s="79"/>
      <c r="P459" s="79"/>
      <c r="Q459" s="79"/>
      <c r="R459" s="79"/>
      <c r="Y459" s="79"/>
      <c r="AC459" s="130"/>
      <c r="AE459" s="106"/>
    </row>
    <row r="460">
      <c r="C460" s="79"/>
      <c r="D460" s="79"/>
      <c r="E460" s="79"/>
      <c r="P460" s="79"/>
      <c r="Q460" s="79"/>
      <c r="R460" s="79"/>
      <c r="Y460" s="79"/>
      <c r="AC460" s="130"/>
      <c r="AE460" s="106"/>
    </row>
    <row r="461">
      <c r="C461" s="79"/>
      <c r="D461" s="79"/>
      <c r="E461" s="79"/>
      <c r="P461" s="79"/>
      <c r="Q461" s="79"/>
      <c r="R461" s="79"/>
      <c r="Y461" s="79"/>
      <c r="AC461" s="130"/>
      <c r="AE461" s="106"/>
    </row>
    <row r="462">
      <c r="C462" s="79"/>
      <c r="D462" s="79"/>
      <c r="E462" s="79"/>
      <c r="P462" s="79"/>
      <c r="Q462" s="79"/>
      <c r="R462" s="79"/>
      <c r="Y462" s="79"/>
      <c r="AC462" s="130"/>
      <c r="AE462" s="106"/>
    </row>
    <row r="463">
      <c r="C463" s="79"/>
      <c r="D463" s="79"/>
      <c r="E463" s="79"/>
      <c r="P463" s="79"/>
      <c r="Q463" s="79"/>
      <c r="R463" s="79"/>
      <c r="Y463" s="79"/>
      <c r="AC463" s="130"/>
      <c r="AE463" s="106"/>
    </row>
    <row r="464">
      <c r="C464" s="79"/>
      <c r="D464" s="79"/>
      <c r="E464" s="79"/>
      <c r="P464" s="79"/>
      <c r="Q464" s="79"/>
      <c r="R464" s="79"/>
      <c r="Y464" s="79"/>
      <c r="AC464" s="130"/>
      <c r="AE464" s="106"/>
    </row>
    <row r="465">
      <c r="C465" s="79"/>
      <c r="D465" s="79"/>
      <c r="E465" s="79"/>
      <c r="P465" s="79"/>
      <c r="Q465" s="79"/>
      <c r="R465" s="79"/>
      <c r="Y465" s="79"/>
      <c r="AC465" s="130"/>
      <c r="AE465" s="106"/>
    </row>
    <row r="466">
      <c r="C466" s="79"/>
      <c r="D466" s="79"/>
      <c r="E466" s="79"/>
      <c r="P466" s="79"/>
      <c r="Q466" s="79"/>
      <c r="R466" s="79"/>
      <c r="Y466" s="79"/>
      <c r="AC466" s="130"/>
      <c r="AE466" s="106"/>
    </row>
    <row r="467">
      <c r="C467" s="79"/>
      <c r="D467" s="79"/>
      <c r="E467" s="79"/>
      <c r="P467" s="79"/>
      <c r="Q467" s="79"/>
      <c r="R467" s="79"/>
      <c r="Y467" s="79"/>
      <c r="AC467" s="130"/>
      <c r="AE467" s="106"/>
    </row>
    <row r="468">
      <c r="C468" s="79"/>
      <c r="D468" s="79"/>
      <c r="E468" s="79"/>
      <c r="P468" s="79"/>
      <c r="Q468" s="79"/>
      <c r="R468" s="79"/>
      <c r="Y468" s="79"/>
      <c r="AC468" s="130"/>
      <c r="AE468" s="106"/>
    </row>
    <row r="469">
      <c r="C469" s="79"/>
      <c r="D469" s="79"/>
      <c r="E469" s="79"/>
      <c r="P469" s="79"/>
      <c r="Q469" s="79"/>
      <c r="R469" s="79"/>
      <c r="Y469" s="79"/>
      <c r="AC469" s="130"/>
      <c r="AE469" s="106"/>
    </row>
    <row r="470">
      <c r="C470" s="79"/>
      <c r="D470" s="79"/>
      <c r="E470" s="79"/>
      <c r="P470" s="79"/>
      <c r="Q470" s="79"/>
      <c r="R470" s="79"/>
      <c r="Y470" s="79"/>
      <c r="AC470" s="130"/>
      <c r="AE470" s="106"/>
    </row>
    <row r="471">
      <c r="C471" s="79"/>
      <c r="D471" s="79"/>
      <c r="E471" s="79"/>
      <c r="P471" s="79"/>
      <c r="Q471" s="79"/>
      <c r="R471" s="79"/>
      <c r="Y471" s="79"/>
      <c r="AC471" s="130"/>
      <c r="AE471" s="106"/>
    </row>
    <row r="472">
      <c r="C472" s="79"/>
      <c r="D472" s="79"/>
      <c r="E472" s="79"/>
      <c r="P472" s="79"/>
      <c r="Q472" s="79"/>
      <c r="R472" s="79"/>
      <c r="Y472" s="79"/>
      <c r="AC472" s="130"/>
      <c r="AE472" s="106"/>
    </row>
    <row r="473">
      <c r="C473" s="79"/>
      <c r="D473" s="79"/>
      <c r="E473" s="79"/>
      <c r="P473" s="79"/>
      <c r="Q473" s="79"/>
      <c r="R473" s="79"/>
      <c r="Y473" s="79"/>
      <c r="AC473" s="130"/>
      <c r="AE473" s="106"/>
    </row>
    <row r="474">
      <c r="C474" s="79"/>
      <c r="D474" s="79"/>
      <c r="E474" s="79"/>
      <c r="P474" s="79"/>
      <c r="Q474" s="79"/>
      <c r="R474" s="79"/>
      <c r="Y474" s="79"/>
      <c r="AC474" s="130"/>
      <c r="AE474" s="106"/>
    </row>
    <row r="475">
      <c r="C475" s="79"/>
      <c r="D475" s="79"/>
      <c r="E475" s="79"/>
      <c r="P475" s="79"/>
      <c r="Q475" s="79"/>
      <c r="R475" s="79"/>
      <c r="Y475" s="79"/>
      <c r="AC475" s="130"/>
      <c r="AE475" s="106"/>
    </row>
    <row r="476">
      <c r="C476" s="79"/>
      <c r="D476" s="79"/>
      <c r="E476" s="79"/>
      <c r="P476" s="79"/>
      <c r="Q476" s="79"/>
      <c r="R476" s="79"/>
      <c r="Y476" s="79"/>
      <c r="AC476" s="130"/>
      <c r="AE476" s="106"/>
    </row>
    <row r="477">
      <c r="C477" s="79"/>
      <c r="D477" s="79"/>
      <c r="E477" s="79"/>
      <c r="P477" s="79"/>
      <c r="Q477" s="79"/>
      <c r="R477" s="79"/>
      <c r="Y477" s="79"/>
      <c r="AC477" s="130"/>
      <c r="AE477" s="106"/>
    </row>
    <row r="478">
      <c r="C478" s="79"/>
      <c r="D478" s="79"/>
      <c r="E478" s="79"/>
      <c r="P478" s="79"/>
      <c r="Q478" s="79"/>
      <c r="R478" s="79"/>
      <c r="Y478" s="79"/>
      <c r="AC478" s="130"/>
      <c r="AE478" s="106"/>
    </row>
    <row r="479">
      <c r="C479" s="79"/>
      <c r="D479" s="79"/>
      <c r="E479" s="79"/>
      <c r="P479" s="79"/>
      <c r="Q479" s="79"/>
      <c r="R479" s="79"/>
      <c r="Y479" s="79"/>
      <c r="AC479" s="130"/>
      <c r="AE479" s="106"/>
    </row>
    <row r="480">
      <c r="C480" s="79"/>
      <c r="D480" s="79"/>
      <c r="E480" s="79"/>
      <c r="P480" s="79"/>
      <c r="Q480" s="79"/>
      <c r="R480" s="79"/>
      <c r="Y480" s="79"/>
      <c r="AC480" s="130"/>
      <c r="AE480" s="106"/>
    </row>
    <row r="481">
      <c r="C481" s="79"/>
      <c r="D481" s="79"/>
      <c r="E481" s="79"/>
      <c r="P481" s="79"/>
      <c r="Q481" s="79"/>
      <c r="R481" s="79"/>
      <c r="Y481" s="79"/>
      <c r="AC481" s="130"/>
      <c r="AE481" s="106"/>
    </row>
    <row r="482">
      <c r="C482" s="79"/>
      <c r="D482" s="79"/>
      <c r="E482" s="79"/>
      <c r="P482" s="79"/>
      <c r="Q482" s="79"/>
      <c r="R482" s="79"/>
      <c r="Y482" s="79"/>
      <c r="AC482" s="130"/>
      <c r="AE482" s="106"/>
    </row>
    <row r="483">
      <c r="C483" s="79"/>
      <c r="D483" s="79"/>
      <c r="E483" s="79"/>
      <c r="P483" s="79"/>
      <c r="Q483" s="79"/>
      <c r="R483" s="79"/>
      <c r="Y483" s="79"/>
      <c r="AC483" s="130"/>
      <c r="AE483" s="106"/>
    </row>
    <row r="484">
      <c r="C484" s="79"/>
      <c r="D484" s="79"/>
      <c r="E484" s="79"/>
      <c r="P484" s="79"/>
      <c r="Q484" s="79"/>
      <c r="R484" s="79"/>
      <c r="Y484" s="79"/>
      <c r="AC484" s="130"/>
      <c r="AE484" s="106"/>
    </row>
    <row r="485">
      <c r="C485" s="79"/>
      <c r="D485" s="79"/>
      <c r="E485" s="79"/>
      <c r="P485" s="79"/>
      <c r="Q485" s="79"/>
      <c r="R485" s="79"/>
      <c r="Y485" s="79"/>
      <c r="AC485" s="130"/>
      <c r="AE485" s="106"/>
    </row>
    <row r="486">
      <c r="C486" s="79"/>
      <c r="D486" s="79"/>
      <c r="E486" s="79"/>
      <c r="P486" s="79"/>
      <c r="Q486" s="79"/>
      <c r="R486" s="79"/>
      <c r="Y486" s="79"/>
      <c r="AC486" s="130"/>
      <c r="AE486" s="106"/>
    </row>
    <row r="487">
      <c r="C487" s="79"/>
      <c r="D487" s="79"/>
      <c r="E487" s="79"/>
      <c r="P487" s="79"/>
      <c r="Q487" s="79"/>
      <c r="R487" s="79"/>
      <c r="Y487" s="79"/>
      <c r="AC487" s="130"/>
      <c r="AE487" s="106"/>
    </row>
    <row r="488">
      <c r="C488" s="79"/>
      <c r="D488" s="79"/>
      <c r="E488" s="79"/>
      <c r="P488" s="79"/>
      <c r="Q488" s="79"/>
      <c r="R488" s="79"/>
      <c r="Y488" s="79"/>
      <c r="AC488" s="130"/>
      <c r="AE488" s="106"/>
    </row>
    <row r="489">
      <c r="C489" s="79"/>
      <c r="D489" s="79"/>
      <c r="E489" s="79"/>
      <c r="P489" s="79"/>
      <c r="Q489" s="79"/>
      <c r="R489" s="79"/>
      <c r="Y489" s="79"/>
      <c r="AC489" s="130"/>
      <c r="AE489" s="106"/>
    </row>
    <row r="490">
      <c r="C490" s="79"/>
      <c r="D490" s="79"/>
      <c r="E490" s="79"/>
      <c r="P490" s="79"/>
      <c r="Q490" s="79"/>
      <c r="R490" s="79"/>
      <c r="Y490" s="79"/>
      <c r="AC490" s="130"/>
      <c r="AE490" s="106"/>
    </row>
    <row r="491">
      <c r="C491" s="79"/>
      <c r="D491" s="79"/>
      <c r="E491" s="79"/>
      <c r="P491" s="79"/>
      <c r="Q491" s="79"/>
      <c r="R491" s="79"/>
      <c r="Y491" s="79"/>
      <c r="AC491" s="130"/>
      <c r="AE491" s="106"/>
    </row>
    <row r="492">
      <c r="C492" s="79"/>
      <c r="D492" s="79"/>
      <c r="E492" s="79"/>
      <c r="P492" s="79"/>
      <c r="Q492" s="79"/>
      <c r="R492" s="79"/>
      <c r="Y492" s="79"/>
      <c r="AC492" s="130"/>
      <c r="AE492" s="106"/>
    </row>
    <row r="493">
      <c r="C493" s="79"/>
      <c r="D493" s="79"/>
      <c r="E493" s="79"/>
      <c r="P493" s="79"/>
      <c r="Q493" s="79"/>
      <c r="R493" s="79"/>
      <c r="Y493" s="79"/>
      <c r="AC493" s="130"/>
      <c r="AE493" s="106"/>
    </row>
    <row r="494">
      <c r="C494" s="79"/>
      <c r="D494" s="79"/>
      <c r="E494" s="79"/>
      <c r="P494" s="79"/>
      <c r="Q494" s="79"/>
      <c r="R494" s="79"/>
      <c r="Y494" s="79"/>
      <c r="AC494" s="130"/>
      <c r="AE494" s="106"/>
    </row>
    <row r="495">
      <c r="C495" s="79"/>
      <c r="D495" s="79"/>
      <c r="E495" s="79"/>
      <c r="P495" s="79"/>
      <c r="Q495" s="79"/>
      <c r="R495" s="79"/>
      <c r="Y495" s="79"/>
      <c r="AC495" s="130"/>
      <c r="AE495" s="106"/>
    </row>
    <row r="496">
      <c r="C496" s="79"/>
      <c r="D496" s="79"/>
      <c r="E496" s="79"/>
      <c r="P496" s="79"/>
      <c r="Q496" s="79"/>
      <c r="R496" s="79"/>
      <c r="Y496" s="79"/>
      <c r="AC496" s="130"/>
      <c r="AE496" s="106"/>
    </row>
    <row r="497">
      <c r="C497" s="79"/>
      <c r="D497" s="79"/>
      <c r="E497" s="79"/>
      <c r="P497" s="79"/>
      <c r="Q497" s="79"/>
      <c r="R497" s="79"/>
      <c r="Y497" s="79"/>
      <c r="AC497" s="130"/>
      <c r="AE497" s="106"/>
    </row>
    <row r="498">
      <c r="C498" s="79"/>
      <c r="D498" s="79"/>
      <c r="E498" s="79"/>
      <c r="P498" s="79"/>
      <c r="Q498" s="79"/>
      <c r="R498" s="79"/>
      <c r="Y498" s="79"/>
      <c r="AC498" s="130"/>
      <c r="AE498" s="106"/>
    </row>
    <row r="499">
      <c r="C499" s="79"/>
      <c r="D499" s="79"/>
      <c r="E499" s="79"/>
      <c r="P499" s="79"/>
      <c r="Q499" s="79"/>
      <c r="R499" s="79"/>
      <c r="Y499" s="79"/>
      <c r="AC499" s="130"/>
      <c r="AE499" s="106"/>
    </row>
    <row r="500">
      <c r="C500" s="79"/>
      <c r="D500" s="79"/>
      <c r="E500" s="79"/>
      <c r="P500" s="79"/>
      <c r="Q500" s="79"/>
      <c r="R500" s="79"/>
      <c r="Y500" s="79"/>
      <c r="AC500" s="130"/>
      <c r="AE500" s="106"/>
    </row>
    <row r="501">
      <c r="C501" s="79"/>
      <c r="D501" s="79"/>
      <c r="E501" s="79"/>
      <c r="P501" s="79"/>
      <c r="Q501" s="79"/>
      <c r="R501" s="79"/>
      <c r="Y501" s="79"/>
      <c r="AC501" s="130"/>
      <c r="AE501" s="106"/>
    </row>
    <row r="502">
      <c r="C502" s="79"/>
      <c r="D502" s="79"/>
      <c r="E502" s="79"/>
      <c r="P502" s="79"/>
      <c r="Q502" s="79"/>
      <c r="R502" s="79"/>
      <c r="Y502" s="79"/>
      <c r="AC502" s="130"/>
      <c r="AE502" s="106"/>
    </row>
    <row r="503">
      <c r="C503" s="79"/>
      <c r="D503" s="79"/>
      <c r="E503" s="79"/>
      <c r="P503" s="79"/>
      <c r="Q503" s="79"/>
      <c r="R503" s="79"/>
      <c r="Y503" s="79"/>
      <c r="AC503" s="130"/>
      <c r="AE503" s="106"/>
    </row>
    <row r="504">
      <c r="C504" s="79"/>
      <c r="D504" s="79"/>
      <c r="E504" s="79"/>
      <c r="P504" s="79"/>
      <c r="Q504" s="79"/>
      <c r="R504" s="79"/>
      <c r="Y504" s="79"/>
      <c r="AC504" s="130"/>
      <c r="AE504" s="106"/>
    </row>
    <row r="505">
      <c r="C505" s="79"/>
      <c r="D505" s="79"/>
      <c r="E505" s="79"/>
      <c r="P505" s="79"/>
      <c r="Q505" s="79"/>
      <c r="R505" s="79"/>
      <c r="Y505" s="79"/>
      <c r="AC505" s="130"/>
      <c r="AE505" s="106"/>
    </row>
    <row r="506">
      <c r="C506" s="79"/>
      <c r="D506" s="79"/>
      <c r="E506" s="79"/>
      <c r="P506" s="79"/>
      <c r="Q506" s="79"/>
      <c r="R506" s="79"/>
      <c r="Y506" s="79"/>
      <c r="AC506" s="130"/>
      <c r="AE506" s="106"/>
    </row>
    <row r="507">
      <c r="C507" s="79"/>
      <c r="D507" s="79"/>
      <c r="E507" s="79"/>
      <c r="P507" s="79"/>
      <c r="Q507" s="79"/>
      <c r="R507" s="79"/>
      <c r="Y507" s="79"/>
      <c r="AC507" s="130"/>
      <c r="AE507" s="106"/>
    </row>
    <row r="508">
      <c r="C508" s="79"/>
      <c r="D508" s="79"/>
      <c r="E508" s="79"/>
      <c r="P508" s="79"/>
      <c r="Q508" s="79"/>
      <c r="R508" s="79"/>
      <c r="Y508" s="79"/>
      <c r="AC508" s="130"/>
      <c r="AE508" s="106"/>
    </row>
    <row r="509">
      <c r="C509" s="79"/>
      <c r="D509" s="79"/>
      <c r="E509" s="79"/>
      <c r="P509" s="79"/>
      <c r="Q509" s="79"/>
      <c r="R509" s="79"/>
      <c r="Y509" s="79"/>
      <c r="AC509" s="130"/>
      <c r="AE509" s="106"/>
    </row>
    <row r="510">
      <c r="C510" s="79"/>
      <c r="D510" s="79"/>
      <c r="E510" s="79"/>
      <c r="P510" s="79"/>
      <c r="Q510" s="79"/>
      <c r="R510" s="79"/>
      <c r="Y510" s="79"/>
      <c r="AC510" s="130"/>
      <c r="AE510" s="106"/>
    </row>
    <row r="511">
      <c r="C511" s="79"/>
      <c r="D511" s="79"/>
      <c r="E511" s="79"/>
      <c r="P511" s="79"/>
      <c r="Q511" s="79"/>
      <c r="R511" s="79"/>
      <c r="Y511" s="79"/>
      <c r="AC511" s="130"/>
      <c r="AE511" s="106"/>
    </row>
    <row r="512">
      <c r="C512" s="79"/>
      <c r="D512" s="79"/>
      <c r="E512" s="79"/>
      <c r="P512" s="79"/>
      <c r="Q512" s="79"/>
      <c r="R512" s="79"/>
      <c r="Y512" s="79"/>
      <c r="AC512" s="130"/>
      <c r="AE512" s="106"/>
    </row>
    <row r="513">
      <c r="C513" s="79"/>
      <c r="D513" s="79"/>
      <c r="E513" s="79"/>
      <c r="P513" s="79"/>
      <c r="Q513" s="79"/>
      <c r="R513" s="79"/>
      <c r="Y513" s="79"/>
      <c r="AC513" s="130"/>
      <c r="AE513" s="106"/>
    </row>
    <row r="514">
      <c r="C514" s="79"/>
      <c r="D514" s="79"/>
      <c r="E514" s="79"/>
      <c r="P514" s="79"/>
      <c r="Q514" s="79"/>
      <c r="R514" s="79"/>
      <c r="Y514" s="79"/>
      <c r="AC514" s="130"/>
      <c r="AE514" s="106"/>
    </row>
    <row r="515">
      <c r="C515" s="79"/>
      <c r="D515" s="79"/>
      <c r="E515" s="79"/>
      <c r="P515" s="79"/>
      <c r="Q515" s="79"/>
      <c r="R515" s="79"/>
      <c r="Y515" s="79"/>
      <c r="AC515" s="130"/>
      <c r="AE515" s="106"/>
    </row>
    <row r="516">
      <c r="C516" s="79"/>
      <c r="D516" s="79"/>
      <c r="E516" s="79"/>
      <c r="P516" s="79"/>
      <c r="Q516" s="79"/>
      <c r="R516" s="79"/>
      <c r="Y516" s="79"/>
      <c r="AC516" s="130"/>
      <c r="AE516" s="106"/>
    </row>
    <row r="517">
      <c r="C517" s="79"/>
      <c r="D517" s="79"/>
      <c r="E517" s="79"/>
      <c r="P517" s="79"/>
      <c r="Q517" s="79"/>
      <c r="R517" s="79"/>
      <c r="Y517" s="79"/>
      <c r="AC517" s="130"/>
      <c r="AE517" s="106"/>
    </row>
    <row r="518">
      <c r="C518" s="79"/>
      <c r="D518" s="79"/>
      <c r="E518" s="79"/>
      <c r="P518" s="79"/>
      <c r="Q518" s="79"/>
      <c r="R518" s="79"/>
      <c r="Y518" s="79"/>
      <c r="AC518" s="130"/>
      <c r="AE518" s="106"/>
    </row>
    <row r="519">
      <c r="C519" s="79"/>
      <c r="D519" s="79"/>
      <c r="E519" s="79"/>
      <c r="P519" s="79"/>
      <c r="Q519" s="79"/>
      <c r="R519" s="79"/>
      <c r="Y519" s="79"/>
      <c r="AC519" s="130"/>
      <c r="AE519" s="106"/>
    </row>
    <row r="520">
      <c r="C520" s="79"/>
      <c r="D520" s="79"/>
      <c r="E520" s="79"/>
      <c r="P520" s="79"/>
      <c r="Q520" s="79"/>
      <c r="R520" s="79"/>
      <c r="Y520" s="79"/>
      <c r="AC520" s="130"/>
      <c r="AE520" s="106"/>
    </row>
    <row r="521">
      <c r="C521" s="79"/>
      <c r="D521" s="79"/>
      <c r="E521" s="79"/>
      <c r="P521" s="79"/>
      <c r="Q521" s="79"/>
      <c r="R521" s="79"/>
      <c r="Y521" s="79"/>
      <c r="AC521" s="130"/>
      <c r="AE521" s="106"/>
    </row>
    <row r="522">
      <c r="C522" s="79"/>
      <c r="D522" s="79"/>
      <c r="E522" s="79"/>
      <c r="P522" s="79"/>
      <c r="Q522" s="79"/>
      <c r="R522" s="79"/>
      <c r="Y522" s="79"/>
      <c r="AC522" s="130"/>
      <c r="AE522" s="106"/>
    </row>
    <row r="523">
      <c r="C523" s="79"/>
      <c r="D523" s="79"/>
      <c r="E523" s="79"/>
      <c r="P523" s="79"/>
      <c r="Q523" s="79"/>
      <c r="R523" s="79"/>
      <c r="Y523" s="79"/>
      <c r="AC523" s="130"/>
      <c r="AE523" s="106"/>
    </row>
    <row r="524">
      <c r="C524" s="79"/>
      <c r="D524" s="79"/>
      <c r="E524" s="79"/>
      <c r="P524" s="79"/>
      <c r="Q524" s="79"/>
      <c r="R524" s="79"/>
      <c r="Y524" s="79"/>
      <c r="AC524" s="130"/>
      <c r="AE524" s="106"/>
    </row>
    <row r="525">
      <c r="C525" s="79"/>
      <c r="D525" s="79"/>
      <c r="E525" s="79"/>
      <c r="P525" s="79"/>
      <c r="Q525" s="79"/>
      <c r="R525" s="79"/>
      <c r="Y525" s="79"/>
      <c r="AC525" s="130"/>
      <c r="AE525" s="106"/>
    </row>
    <row r="526">
      <c r="C526" s="79"/>
      <c r="D526" s="79"/>
      <c r="E526" s="79"/>
      <c r="P526" s="79"/>
      <c r="Q526" s="79"/>
      <c r="R526" s="79"/>
      <c r="Y526" s="79"/>
      <c r="AC526" s="130"/>
      <c r="AE526" s="106"/>
    </row>
    <row r="527">
      <c r="C527" s="79"/>
      <c r="D527" s="79"/>
      <c r="E527" s="79"/>
      <c r="P527" s="79"/>
      <c r="Q527" s="79"/>
      <c r="R527" s="79"/>
      <c r="Y527" s="79"/>
      <c r="AC527" s="130"/>
      <c r="AE527" s="106"/>
    </row>
    <row r="528">
      <c r="C528" s="79"/>
      <c r="D528" s="79"/>
      <c r="E528" s="79"/>
      <c r="P528" s="79"/>
      <c r="Q528" s="79"/>
      <c r="R528" s="79"/>
      <c r="Y528" s="79"/>
      <c r="AC528" s="130"/>
      <c r="AE528" s="106"/>
    </row>
    <row r="529">
      <c r="C529" s="79"/>
      <c r="D529" s="79"/>
      <c r="E529" s="79"/>
      <c r="P529" s="79"/>
      <c r="Q529" s="79"/>
      <c r="R529" s="79"/>
      <c r="Y529" s="79"/>
      <c r="AC529" s="130"/>
      <c r="AE529" s="106"/>
    </row>
    <row r="530">
      <c r="C530" s="79"/>
      <c r="D530" s="79"/>
      <c r="E530" s="79"/>
      <c r="P530" s="79"/>
      <c r="Q530" s="79"/>
      <c r="R530" s="79"/>
      <c r="Y530" s="79"/>
      <c r="AC530" s="130"/>
      <c r="AE530" s="106"/>
    </row>
    <row r="531">
      <c r="C531" s="79"/>
      <c r="D531" s="79"/>
      <c r="E531" s="79"/>
      <c r="P531" s="79"/>
      <c r="Q531" s="79"/>
      <c r="R531" s="79"/>
      <c r="Y531" s="79"/>
      <c r="AC531" s="130"/>
      <c r="AE531" s="106"/>
    </row>
    <row r="532">
      <c r="C532" s="79"/>
      <c r="D532" s="79"/>
      <c r="E532" s="79"/>
      <c r="P532" s="79"/>
      <c r="Q532" s="79"/>
      <c r="R532" s="79"/>
      <c r="Y532" s="79"/>
      <c r="AC532" s="130"/>
      <c r="AE532" s="106"/>
    </row>
    <row r="533">
      <c r="C533" s="79"/>
      <c r="D533" s="79"/>
      <c r="E533" s="79"/>
      <c r="P533" s="79"/>
      <c r="Q533" s="79"/>
      <c r="R533" s="79"/>
      <c r="Y533" s="79"/>
      <c r="AC533" s="130"/>
      <c r="AE533" s="106"/>
    </row>
    <row r="534">
      <c r="C534" s="79"/>
      <c r="D534" s="79"/>
      <c r="E534" s="79"/>
      <c r="P534" s="79"/>
      <c r="Q534" s="79"/>
      <c r="R534" s="79"/>
      <c r="Y534" s="79"/>
      <c r="AC534" s="130"/>
      <c r="AE534" s="106"/>
    </row>
    <row r="535">
      <c r="C535" s="79"/>
      <c r="D535" s="79"/>
      <c r="E535" s="79"/>
      <c r="P535" s="79"/>
      <c r="Q535" s="79"/>
      <c r="R535" s="79"/>
      <c r="Y535" s="79"/>
      <c r="AC535" s="130"/>
      <c r="AE535" s="106"/>
    </row>
    <row r="536">
      <c r="C536" s="79"/>
      <c r="D536" s="79"/>
      <c r="E536" s="79"/>
      <c r="P536" s="79"/>
      <c r="Q536" s="79"/>
      <c r="R536" s="79"/>
      <c r="Y536" s="79"/>
      <c r="AC536" s="130"/>
      <c r="AE536" s="106"/>
    </row>
    <row r="537">
      <c r="C537" s="79"/>
      <c r="D537" s="79"/>
      <c r="E537" s="79"/>
      <c r="P537" s="79"/>
      <c r="Q537" s="79"/>
      <c r="R537" s="79"/>
      <c r="Y537" s="79"/>
      <c r="AC537" s="130"/>
      <c r="AE537" s="106"/>
    </row>
    <row r="538">
      <c r="C538" s="79"/>
      <c r="D538" s="79"/>
      <c r="E538" s="79"/>
      <c r="P538" s="79"/>
      <c r="Q538" s="79"/>
      <c r="R538" s="79"/>
      <c r="Y538" s="79"/>
      <c r="AC538" s="130"/>
      <c r="AE538" s="106"/>
    </row>
    <row r="539">
      <c r="C539" s="79"/>
      <c r="D539" s="79"/>
      <c r="E539" s="79"/>
      <c r="P539" s="79"/>
      <c r="Q539" s="79"/>
      <c r="R539" s="79"/>
      <c r="Y539" s="79"/>
      <c r="AC539" s="130"/>
      <c r="AE539" s="106"/>
    </row>
    <row r="540">
      <c r="C540" s="79"/>
      <c r="D540" s="79"/>
      <c r="E540" s="79"/>
      <c r="P540" s="79"/>
      <c r="Q540" s="79"/>
      <c r="R540" s="79"/>
      <c r="Y540" s="79"/>
      <c r="AC540" s="130"/>
      <c r="AE540" s="106"/>
    </row>
    <row r="541">
      <c r="C541" s="79"/>
      <c r="D541" s="79"/>
      <c r="E541" s="79"/>
      <c r="P541" s="79"/>
      <c r="Q541" s="79"/>
      <c r="R541" s="79"/>
      <c r="Y541" s="79"/>
      <c r="AC541" s="130"/>
      <c r="AE541" s="106"/>
    </row>
    <row r="542">
      <c r="C542" s="79"/>
      <c r="D542" s="79"/>
      <c r="E542" s="79"/>
      <c r="P542" s="79"/>
      <c r="Q542" s="79"/>
      <c r="R542" s="79"/>
      <c r="Y542" s="79"/>
      <c r="AC542" s="130"/>
      <c r="AE542" s="106"/>
    </row>
    <row r="543">
      <c r="C543" s="79"/>
      <c r="D543" s="79"/>
      <c r="E543" s="79"/>
      <c r="P543" s="79"/>
      <c r="Q543" s="79"/>
      <c r="R543" s="79"/>
      <c r="Y543" s="79"/>
      <c r="AC543" s="130"/>
      <c r="AE543" s="106"/>
    </row>
    <row r="544">
      <c r="C544" s="79"/>
      <c r="D544" s="79"/>
      <c r="E544" s="79"/>
      <c r="P544" s="79"/>
      <c r="Q544" s="79"/>
      <c r="R544" s="79"/>
      <c r="Y544" s="79"/>
      <c r="AC544" s="130"/>
      <c r="AE544" s="106"/>
    </row>
    <row r="545">
      <c r="C545" s="79"/>
      <c r="D545" s="79"/>
      <c r="E545" s="79"/>
      <c r="P545" s="79"/>
      <c r="Q545" s="79"/>
      <c r="R545" s="79"/>
      <c r="Y545" s="79"/>
      <c r="AC545" s="130"/>
      <c r="AE545" s="106"/>
    </row>
    <row r="546">
      <c r="C546" s="79"/>
      <c r="D546" s="79"/>
      <c r="E546" s="79"/>
      <c r="P546" s="79"/>
      <c r="Q546" s="79"/>
      <c r="R546" s="79"/>
      <c r="Y546" s="79"/>
      <c r="AC546" s="130"/>
      <c r="AE546" s="106"/>
    </row>
    <row r="547">
      <c r="C547" s="79"/>
      <c r="D547" s="79"/>
      <c r="E547" s="79"/>
      <c r="P547" s="79"/>
      <c r="Q547" s="79"/>
      <c r="R547" s="79"/>
      <c r="Y547" s="79"/>
      <c r="AC547" s="130"/>
      <c r="AE547" s="106"/>
    </row>
    <row r="548">
      <c r="C548" s="79"/>
      <c r="D548" s="79"/>
      <c r="E548" s="79"/>
      <c r="P548" s="79"/>
      <c r="Q548" s="79"/>
      <c r="R548" s="79"/>
      <c r="Y548" s="79"/>
      <c r="AC548" s="130"/>
      <c r="AE548" s="106"/>
    </row>
    <row r="549">
      <c r="C549" s="79"/>
      <c r="D549" s="79"/>
      <c r="E549" s="79"/>
      <c r="P549" s="79"/>
      <c r="Q549" s="79"/>
      <c r="R549" s="79"/>
      <c r="Y549" s="79"/>
      <c r="AC549" s="130"/>
      <c r="AE549" s="106"/>
    </row>
    <row r="550">
      <c r="C550" s="79"/>
      <c r="D550" s="79"/>
      <c r="E550" s="79"/>
      <c r="P550" s="79"/>
      <c r="Q550" s="79"/>
      <c r="R550" s="79"/>
      <c r="Y550" s="79"/>
      <c r="AC550" s="130"/>
      <c r="AE550" s="106"/>
    </row>
    <row r="551">
      <c r="C551" s="79"/>
      <c r="D551" s="79"/>
      <c r="E551" s="79"/>
      <c r="P551" s="79"/>
      <c r="Q551" s="79"/>
      <c r="R551" s="79"/>
      <c r="Y551" s="79"/>
      <c r="AC551" s="130"/>
      <c r="AE551" s="106"/>
    </row>
    <row r="552">
      <c r="C552" s="79"/>
      <c r="D552" s="79"/>
      <c r="E552" s="79"/>
      <c r="P552" s="79"/>
      <c r="Q552" s="79"/>
      <c r="R552" s="79"/>
      <c r="Y552" s="79"/>
      <c r="AC552" s="130"/>
      <c r="AE552" s="106"/>
    </row>
    <row r="553">
      <c r="C553" s="79"/>
      <c r="D553" s="79"/>
      <c r="E553" s="79"/>
      <c r="P553" s="79"/>
      <c r="Q553" s="79"/>
      <c r="R553" s="79"/>
      <c r="Y553" s="79"/>
      <c r="AC553" s="130"/>
      <c r="AE553" s="106"/>
    </row>
    <row r="554">
      <c r="C554" s="79"/>
      <c r="D554" s="79"/>
      <c r="E554" s="79"/>
      <c r="P554" s="79"/>
      <c r="Q554" s="79"/>
      <c r="R554" s="79"/>
      <c r="Y554" s="79"/>
      <c r="AC554" s="130"/>
      <c r="AE554" s="106"/>
    </row>
    <row r="555">
      <c r="C555" s="79"/>
      <c r="D555" s="79"/>
      <c r="E555" s="79"/>
      <c r="P555" s="79"/>
      <c r="Q555" s="79"/>
      <c r="R555" s="79"/>
      <c r="Y555" s="79"/>
      <c r="AC555" s="130"/>
      <c r="AE555" s="106"/>
    </row>
    <row r="556">
      <c r="C556" s="79"/>
      <c r="D556" s="79"/>
      <c r="E556" s="79"/>
      <c r="P556" s="79"/>
      <c r="Q556" s="79"/>
      <c r="R556" s="79"/>
      <c r="Y556" s="79"/>
      <c r="AC556" s="130"/>
      <c r="AE556" s="106"/>
    </row>
    <row r="557">
      <c r="C557" s="79"/>
      <c r="D557" s="79"/>
      <c r="E557" s="79"/>
      <c r="P557" s="79"/>
      <c r="Q557" s="79"/>
      <c r="R557" s="79"/>
      <c r="Y557" s="79"/>
      <c r="AC557" s="130"/>
      <c r="AE557" s="106"/>
    </row>
    <row r="558">
      <c r="C558" s="79"/>
      <c r="D558" s="79"/>
      <c r="E558" s="79"/>
      <c r="P558" s="79"/>
      <c r="Q558" s="79"/>
      <c r="R558" s="79"/>
      <c r="Y558" s="79"/>
      <c r="AC558" s="130"/>
      <c r="AE558" s="106"/>
    </row>
    <row r="559">
      <c r="C559" s="79"/>
      <c r="D559" s="79"/>
      <c r="E559" s="79"/>
      <c r="P559" s="79"/>
      <c r="Q559" s="79"/>
      <c r="R559" s="79"/>
      <c r="Y559" s="79"/>
      <c r="AC559" s="130"/>
      <c r="AE559" s="106"/>
    </row>
    <row r="560">
      <c r="C560" s="79"/>
      <c r="D560" s="79"/>
      <c r="E560" s="79"/>
      <c r="P560" s="79"/>
      <c r="Q560" s="79"/>
      <c r="R560" s="79"/>
      <c r="Y560" s="79"/>
      <c r="AC560" s="130"/>
      <c r="AE560" s="106"/>
    </row>
    <row r="561">
      <c r="C561" s="79"/>
      <c r="D561" s="79"/>
      <c r="E561" s="79"/>
      <c r="P561" s="79"/>
      <c r="Q561" s="79"/>
      <c r="R561" s="79"/>
      <c r="Y561" s="79"/>
      <c r="AC561" s="130"/>
      <c r="AE561" s="106"/>
    </row>
    <row r="562">
      <c r="C562" s="79"/>
      <c r="D562" s="79"/>
      <c r="E562" s="79"/>
      <c r="P562" s="79"/>
      <c r="Q562" s="79"/>
      <c r="R562" s="79"/>
      <c r="Y562" s="79"/>
      <c r="AC562" s="130"/>
      <c r="AE562" s="106"/>
    </row>
    <row r="563">
      <c r="C563" s="79"/>
      <c r="D563" s="79"/>
      <c r="E563" s="79"/>
      <c r="P563" s="79"/>
      <c r="Q563" s="79"/>
      <c r="R563" s="79"/>
      <c r="Y563" s="79"/>
      <c r="AC563" s="130"/>
      <c r="AE563" s="106"/>
    </row>
    <row r="564">
      <c r="C564" s="79"/>
      <c r="D564" s="79"/>
      <c r="E564" s="79"/>
      <c r="P564" s="79"/>
      <c r="Q564" s="79"/>
      <c r="R564" s="79"/>
      <c r="Y564" s="79"/>
      <c r="AC564" s="130"/>
      <c r="AE564" s="106"/>
    </row>
    <row r="565">
      <c r="C565" s="79"/>
      <c r="D565" s="79"/>
      <c r="E565" s="79"/>
      <c r="P565" s="79"/>
      <c r="Q565" s="79"/>
      <c r="R565" s="79"/>
      <c r="Y565" s="79"/>
      <c r="AC565" s="130"/>
      <c r="AE565" s="106"/>
    </row>
    <row r="566">
      <c r="C566" s="79"/>
      <c r="D566" s="79"/>
      <c r="E566" s="79"/>
      <c r="P566" s="79"/>
      <c r="Q566" s="79"/>
      <c r="R566" s="79"/>
      <c r="Y566" s="79"/>
      <c r="AC566" s="130"/>
      <c r="AE566" s="106"/>
    </row>
    <row r="567">
      <c r="C567" s="79"/>
      <c r="D567" s="79"/>
      <c r="E567" s="79"/>
      <c r="P567" s="79"/>
      <c r="Q567" s="79"/>
      <c r="R567" s="79"/>
      <c r="Y567" s="79"/>
      <c r="AC567" s="130"/>
      <c r="AE567" s="106"/>
    </row>
    <row r="568">
      <c r="C568" s="79"/>
      <c r="D568" s="79"/>
      <c r="E568" s="79"/>
      <c r="P568" s="79"/>
      <c r="Q568" s="79"/>
      <c r="R568" s="79"/>
      <c r="Y568" s="79"/>
      <c r="AC568" s="130"/>
      <c r="AE568" s="106"/>
    </row>
    <row r="569">
      <c r="C569" s="79"/>
      <c r="D569" s="79"/>
      <c r="E569" s="79"/>
      <c r="P569" s="79"/>
      <c r="Q569" s="79"/>
      <c r="R569" s="79"/>
      <c r="Y569" s="79"/>
      <c r="AC569" s="130"/>
      <c r="AE569" s="106"/>
    </row>
    <row r="570">
      <c r="C570" s="79"/>
      <c r="D570" s="79"/>
      <c r="E570" s="79"/>
      <c r="P570" s="79"/>
      <c r="Q570" s="79"/>
      <c r="R570" s="79"/>
      <c r="Y570" s="79"/>
      <c r="AC570" s="130"/>
      <c r="AE570" s="106"/>
    </row>
    <row r="571">
      <c r="C571" s="79"/>
      <c r="D571" s="79"/>
      <c r="E571" s="79"/>
      <c r="P571" s="79"/>
      <c r="Q571" s="79"/>
      <c r="R571" s="79"/>
      <c r="Y571" s="79"/>
      <c r="AC571" s="130"/>
      <c r="AE571" s="106"/>
    </row>
    <row r="572">
      <c r="C572" s="79"/>
      <c r="D572" s="79"/>
      <c r="E572" s="79"/>
      <c r="P572" s="79"/>
      <c r="Q572" s="79"/>
      <c r="R572" s="79"/>
      <c r="Y572" s="79"/>
      <c r="AC572" s="130"/>
      <c r="AE572" s="106"/>
    </row>
    <row r="573">
      <c r="C573" s="79"/>
      <c r="D573" s="79"/>
      <c r="E573" s="79"/>
      <c r="P573" s="79"/>
      <c r="Q573" s="79"/>
      <c r="R573" s="79"/>
      <c r="Y573" s="79"/>
      <c r="AC573" s="130"/>
      <c r="AE573" s="106"/>
    </row>
    <row r="574">
      <c r="C574" s="79"/>
      <c r="D574" s="79"/>
      <c r="E574" s="79"/>
      <c r="P574" s="79"/>
      <c r="Q574" s="79"/>
      <c r="R574" s="79"/>
      <c r="Y574" s="79"/>
      <c r="AC574" s="130"/>
      <c r="AE574" s="106"/>
    </row>
    <row r="575">
      <c r="C575" s="79"/>
      <c r="D575" s="79"/>
      <c r="E575" s="79"/>
      <c r="P575" s="79"/>
      <c r="Q575" s="79"/>
      <c r="R575" s="79"/>
      <c r="Y575" s="79"/>
      <c r="AC575" s="130"/>
      <c r="AE575" s="106"/>
    </row>
    <row r="576">
      <c r="C576" s="79"/>
      <c r="D576" s="79"/>
      <c r="E576" s="79"/>
      <c r="P576" s="79"/>
      <c r="Q576" s="79"/>
      <c r="R576" s="79"/>
      <c r="Y576" s="79"/>
      <c r="AC576" s="130"/>
      <c r="AE576" s="106"/>
    </row>
    <row r="577">
      <c r="C577" s="79"/>
      <c r="D577" s="79"/>
      <c r="E577" s="79"/>
      <c r="P577" s="79"/>
      <c r="Q577" s="79"/>
      <c r="R577" s="79"/>
      <c r="Y577" s="79"/>
      <c r="AC577" s="130"/>
      <c r="AE577" s="106"/>
    </row>
    <row r="578">
      <c r="C578" s="79"/>
      <c r="D578" s="79"/>
      <c r="E578" s="79"/>
      <c r="P578" s="79"/>
      <c r="Q578" s="79"/>
      <c r="R578" s="79"/>
      <c r="Y578" s="79"/>
      <c r="AC578" s="130"/>
      <c r="AE578" s="106"/>
    </row>
    <row r="579">
      <c r="C579" s="79"/>
      <c r="D579" s="79"/>
      <c r="E579" s="79"/>
      <c r="P579" s="79"/>
      <c r="Q579" s="79"/>
      <c r="R579" s="79"/>
      <c r="Y579" s="79"/>
      <c r="AC579" s="130"/>
      <c r="AE579" s="106"/>
    </row>
    <row r="580">
      <c r="C580" s="79"/>
      <c r="D580" s="79"/>
      <c r="E580" s="79"/>
      <c r="P580" s="79"/>
      <c r="Q580" s="79"/>
      <c r="R580" s="79"/>
      <c r="Y580" s="79"/>
      <c r="AC580" s="130"/>
      <c r="AE580" s="106"/>
    </row>
    <row r="581">
      <c r="C581" s="79"/>
      <c r="D581" s="79"/>
      <c r="E581" s="79"/>
      <c r="P581" s="79"/>
      <c r="Q581" s="79"/>
      <c r="R581" s="79"/>
      <c r="Y581" s="79"/>
      <c r="AC581" s="130"/>
      <c r="AE581" s="106"/>
    </row>
    <row r="582">
      <c r="C582" s="79"/>
      <c r="D582" s="79"/>
      <c r="E582" s="79"/>
      <c r="P582" s="79"/>
      <c r="Q582" s="79"/>
      <c r="R582" s="79"/>
      <c r="Y582" s="79"/>
      <c r="AC582" s="130"/>
      <c r="AE582" s="106"/>
    </row>
    <row r="583">
      <c r="C583" s="79"/>
      <c r="D583" s="79"/>
      <c r="E583" s="79"/>
      <c r="P583" s="79"/>
      <c r="Q583" s="79"/>
      <c r="R583" s="79"/>
      <c r="Y583" s="79"/>
      <c r="AC583" s="130"/>
      <c r="AE583" s="106"/>
    </row>
    <row r="584">
      <c r="C584" s="79"/>
      <c r="D584" s="79"/>
      <c r="E584" s="79"/>
      <c r="P584" s="79"/>
      <c r="Q584" s="79"/>
      <c r="R584" s="79"/>
      <c r="Y584" s="79"/>
      <c r="AC584" s="130"/>
      <c r="AE584" s="106"/>
    </row>
    <row r="585">
      <c r="C585" s="79"/>
      <c r="D585" s="79"/>
      <c r="E585" s="79"/>
      <c r="P585" s="79"/>
      <c r="Q585" s="79"/>
      <c r="R585" s="79"/>
      <c r="Y585" s="79"/>
      <c r="AC585" s="130"/>
      <c r="AE585" s="106"/>
    </row>
    <row r="586">
      <c r="C586" s="79"/>
      <c r="D586" s="79"/>
      <c r="E586" s="79"/>
      <c r="P586" s="79"/>
      <c r="Q586" s="79"/>
      <c r="R586" s="79"/>
      <c r="Y586" s="79"/>
      <c r="AC586" s="130"/>
      <c r="AE586" s="106"/>
    </row>
    <row r="587">
      <c r="C587" s="79"/>
      <c r="D587" s="79"/>
      <c r="E587" s="79"/>
      <c r="P587" s="79"/>
      <c r="Q587" s="79"/>
      <c r="R587" s="79"/>
      <c r="Y587" s="79"/>
      <c r="AC587" s="130"/>
      <c r="AE587" s="106"/>
    </row>
    <row r="588">
      <c r="C588" s="79"/>
      <c r="D588" s="79"/>
      <c r="E588" s="79"/>
      <c r="P588" s="79"/>
      <c r="Q588" s="79"/>
      <c r="R588" s="79"/>
      <c r="Y588" s="79"/>
      <c r="AC588" s="130"/>
      <c r="AE588" s="106"/>
    </row>
    <row r="589">
      <c r="C589" s="79"/>
      <c r="D589" s="79"/>
      <c r="E589" s="79"/>
      <c r="P589" s="79"/>
      <c r="Q589" s="79"/>
      <c r="R589" s="79"/>
      <c r="Y589" s="79"/>
      <c r="AC589" s="130"/>
      <c r="AE589" s="106"/>
    </row>
    <row r="590">
      <c r="C590" s="79"/>
      <c r="D590" s="79"/>
      <c r="E590" s="79"/>
      <c r="P590" s="79"/>
      <c r="Q590" s="79"/>
      <c r="R590" s="79"/>
      <c r="Y590" s="79"/>
      <c r="AC590" s="130"/>
      <c r="AE590" s="106"/>
    </row>
    <row r="591">
      <c r="C591" s="79"/>
      <c r="D591" s="79"/>
      <c r="E591" s="79"/>
      <c r="P591" s="79"/>
      <c r="Q591" s="79"/>
      <c r="R591" s="79"/>
      <c r="Y591" s="79"/>
      <c r="AC591" s="130"/>
      <c r="AE591" s="106"/>
    </row>
    <row r="592">
      <c r="C592" s="79"/>
      <c r="D592" s="79"/>
      <c r="E592" s="79"/>
      <c r="P592" s="79"/>
      <c r="Q592" s="79"/>
      <c r="R592" s="79"/>
      <c r="Y592" s="79"/>
      <c r="AC592" s="130"/>
      <c r="AE592" s="106"/>
    </row>
    <row r="593">
      <c r="C593" s="79"/>
      <c r="D593" s="79"/>
      <c r="E593" s="79"/>
      <c r="P593" s="79"/>
      <c r="Q593" s="79"/>
      <c r="R593" s="79"/>
      <c r="Y593" s="79"/>
      <c r="AC593" s="130"/>
      <c r="AE593" s="106"/>
    </row>
    <row r="594">
      <c r="C594" s="79"/>
      <c r="D594" s="79"/>
      <c r="E594" s="79"/>
      <c r="P594" s="79"/>
      <c r="Q594" s="79"/>
      <c r="R594" s="79"/>
      <c r="Y594" s="79"/>
      <c r="AC594" s="130"/>
      <c r="AE594" s="106"/>
    </row>
    <row r="595">
      <c r="C595" s="79"/>
      <c r="D595" s="79"/>
      <c r="E595" s="79"/>
      <c r="P595" s="79"/>
      <c r="Q595" s="79"/>
      <c r="R595" s="79"/>
      <c r="Y595" s="79"/>
      <c r="AC595" s="130"/>
      <c r="AE595" s="106"/>
    </row>
    <row r="596">
      <c r="C596" s="79"/>
      <c r="D596" s="79"/>
      <c r="E596" s="79"/>
      <c r="P596" s="79"/>
      <c r="Q596" s="79"/>
      <c r="R596" s="79"/>
      <c r="Y596" s="79"/>
      <c r="AC596" s="130"/>
      <c r="AE596" s="106"/>
    </row>
    <row r="597">
      <c r="C597" s="79"/>
      <c r="D597" s="79"/>
      <c r="E597" s="79"/>
      <c r="P597" s="79"/>
      <c r="Q597" s="79"/>
      <c r="R597" s="79"/>
      <c r="Y597" s="79"/>
      <c r="AC597" s="130"/>
      <c r="AE597" s="106"/>
    </row>
    <row r="598">
      <c r="C598" s="79"/>
      <c r="D598" s="79"/>
      <c r="E598" s="79"/>
      <c r="P598" s="79"/>
      <c r="Q598" s="79"/>
      <c r="R598" s="79"/>
      <c r="Y598" s="79"/>
      <c r="AC598" s="130"/>
      <c r="AE598" s="106"/>
    </row>
    <row r="599">
      <c r="C599" s="79"/>
      <c r="D599" s="79"/>
      <c r="E599" s="79"/>
      <c r="P599" s="79"/>
      <c r="Q599" s="79"/>
      <c r="R599" s="79"/>
      <c r="Y599" s="79"/>
      <c r="AC599" s="130"/>
      <c r="AE599" s="106"/>
    </row>
    <row r="600">
      <c r="C600" s="79"/>
      <c r="D600" s="79"/>
      <c r="E600" s="79"/>
      <c r="P600" s="79"/>
      <c r="Q600" s="79"/>
      <c r="R600" s="79"/>
      <c r="Y600" s="79"/>
      <c r="AC600" s="130"/>
      <c r="AE600" s="106"/>
    </row>
    <row r="601">
      <c r="C601" s="79"/>
      <c r="D601" s="79"/>
      <c r="E601" s="79"/>
      <c r="P601" s="79"/>
      <c r="Q601" s="79"/>
      <c r="R601" s="79"/>
      <c r="Y601" s="79"/>
      <c r="AC601" s="130"/>
      <c r="AE601" s="106"/>
    </row>
    <row r="602">
      <c r="C602" s="79"/>
      <c r="D602" s="79"/>
      <c r="E602" s="79"/>
      <c r="P602" s="79"/>
      <c r="Q602" s="79"/>
      <c r="R602" s="79"/>
      <c r="Y602" s="79"/>
      <c r="AC602" s="130"/>
      <c r="AE602" s="106"/>
    </row>
    <row r="603">
      <c r="C603" s="79"/>
      <c r="D603" s="79"/>
      <c r="E603" s="79"/>
      <c r="P603" s="79"/>
      <c r="Q603" s="79"/>
      <c r="R603" s="79"/>
      <c r="Y603" s="79"/>
      <c r="AC603" s="130"/>
      <c r="AE603" s="106"/>
    </row>
    <row r="604">
      <c r="C604" s="79"/>
      <c r="D604" s="79"/>
      <c r="E604" s="79"/>
      <c r="P604" s="79"/>
      <c r="Q604" s="79"/>
      <c r="R604" s="79"/>
      <c r="Y604" s="79"/>
      <c r="AC604" s="130"/>
      <c r="AE604" s="106"/>
    </row>
    <row r="605">
      <c r="C605" s="79"/>
      <c r="D605" s="79"/>
      <c r="E605" s="79"/>
      <c r="P605" s="79"/>
      <c r="Q605" s="79"/>
      <c r="R605" s="79"/>
      <c r="Y605" s="79"/>
      <c r="AC605" s="130"/>
      <c r="AE605" s="106"/>
    </row>
    <row r="606">
      <c r="C606" s="79"/>
      <c r="D606" s="79"/>
      <c r="E606" s="79"/>
      <c r="P606" s="79"/>
      <c r="Q606" s="79"/>
      <c r="R606" s="79"/>
      <c r="Y606" s="79"/>
      <c r="AC606" s="130"/>
      <c r="AE606" s="106"/>
    </row>
    <row r="607">
      <c r="C607" s="79"/>
      <c r="D607" s="79"/>
      <c r="E607" s="79"/>
      <c r="P607" s="79"/>
      <c r="Q607" s="79"/>
      <c r="R607" s="79"/>
      <c r="Y607" s="79"/>
      <c r="AC607" s="130"/>
      <c r="AE607" s="106"/>
    </row>
    <row r="608">
      <c r="C608" s="79"/>
      <c r="D608" s="79"/>
      <c r="E608" s="79"/>
      <c r="P608" s="79"/>
      <c r="Q608" s="79"/>
      <c r="R608" s="79"/>
      <c r="Y608" s="79"/>
      <c r="AC608" s="130"/>
      <c r="AE608" s="106"/>
    </row>
    <row r="609">
      <c r="C609" s="79"/>
      <c r="D609" s="79"/>
      <c r="E609" s="79"/>
      <c r="P609" s="79"/>
      <c r="Q609" s="79"/>
      <c r="R609" s="79"/>
      <c r="Y609" s="79"/>
      <c r="AC609" s="130"/>
      <c r="AE609" s="106"/>
    </row>
    <row r="610">
      <c r="C610" s="79"/>
      <c r="D610" s="79"/>
      <c r="E610" s="79"/>
      <c r="P610" s="79"/>
      <c r="Q610" s="79"/>
      <c r="R610" s="79"/>
      <c r="Y610" s="79"/>
      <c r="AC610" s="130"/>
      <c r="AE610" s="106"/>
    </row>
    <row r="611">
      <c r="C611" s="79"/>
      <c r="D611" s="79"/>
      <c r="E611" s="79"/>
      <c r="P611" s="79"/>
      <c r="Q611" s="79"/>
      <c r="R611" s="79"/>
      <c r="Y611" s="79"/>
      <c r="AC611" s="130"/>
      <c r="AE611" s="106"/>
    </row>
    <row r="612">
      <c r="C612" s="79"/>
      <c r="D612" s="79"/>
      <c r="E612" s="79"/>
      <c r="P612" s="79"/>
      <c r="Q612" s="79"/>
      <c r="R612" s="79"/>
      <c r="Y612" s="79"/>
      <c r="AC612" s="130"/>
      <c r="AE612" s="106"/>
    </row>
    <row r="613">
      <c r="C613" s="79"/>
      <c r="D613" s="79"/>
      <c r="E613" s="79"/>
      <c r="P613" s="79"/>
      <c r="Q613" s="79"/>
      <c r="R613" s="79"/>
      <c r="Y613" s="79"/>
      <c r="AC613" s="130"/>
      <c r="AE613" s="106"/>
    </row>
    <row r="614">
      <c r="C614" s="79"/>
      <c r="D614" s="79"/>
      <c r="E614" s="79"/>
      <c r="P614" s="79"/>
      <c r="Q614" s="79"/>
      <c r="R614" s="79"/>
      <c r="Y614" s="79"/>
      <c r="AC614" s="130"/>
      <c r="AE614" s="106"/>
    </row>
    <row r="615">
      <c r="C615" s="79"/>
      <c r="D615" s="79"/>
      <c r="E615" s="79"/>
      <c r="P615" s="79"/>
      <c r="Q615" s="79"/>
      <c r="R615" s="79"/>
      <c r="Y615" s="79"/>
      <c r="AC615" s="130"/>
      <c r="AE615" s="106"/>
    </row>
    <row r="616">
      <c r="C616" s="79"/>
      <c r="D616" s="79"/>
      <c r="E616" s="79"/>
      <c r="P616" s="79"/>
      <c r="Q616" s="79"/>
      <c r="R616" s="79"/>
      <c r="Y616" s="79"/>
      <c r="AC616" s="130"/>
      <c r="AE616" s="106"/>
    </row>
    <row r="617">
      <c r="C617" s="79"/>
      <c r="D617" s="79"/>
      <c r="E617" s="79"/>
      <c r="P617" s="79"/>
      <c r="Q617" s="79"/>
      <c r="R617" s="79"/>
      <c r="Y617" s="79"/>
      <c r="AC617" s="130"/>
      <c r="AE617" s="106"/>
    </row>
    <row r="618">
      <c r="C618" s="79"/>
      <c r="D618" s="79"/>
      <c r="E618" s="79"/>
      <c r="P618" s="79"/>
      <c r="Q618" s="79"/>
      <c r="R618" s="79"/>
      <c r="Y618" s="79"/>
      <c r="AC618" s="130"/>
      <c r="AE618" s="106"/>
    </row>
    <row r="619">
      <c r="C619" s="79"/>
      <c r="D619" s="79"/>
      <c r="E619" s="79"/>
      <c r="P619" s="79"/>
      <c r="Q619" s="79"/>
      <c r="R619" s="79"/>
      <c r="Y619" s="79"/>
      <c r="AC619" s="130"/>
      <c r="AE619" s="106"/>
    </row>
    <row r="620">
      <c r="C620" s="79"/>
      <c r="D620" s="79"/>
      <c r="E620" s="79"/>
      <c r="P620" s="79"/>
      <c r="Q620" s="79"/>
      <c r="R620" s="79"/>
      <c r="Y620" s="79"/>
      <c r="AC620" s="130"/>
      <c r="AE620" s="106"/>
    </row>
    <row r="621">
      <c r="C621" s="79"/>
      <c r="D621" s="79"/>
      <c r="E621" s="79"/>
      <c r="P621" s="79"/>
      <c r="Q621" s="79"/>
      <c r="R621" s="79"/>
      <c r="Y621" s="79"/>
      <c r="AC621" s="130"/>
      <c r="AE621" s="106"/>
    </row>
    <row r="622">
      <c r="C622" s="79"/>
      <c r="D622" s="79"/>
      <c r="E622" s="79"/>
      <c r="P622" s="79"/>
      <c r="Q622" s="79"/>
      <c r="R622" s="79"/>
      <c r="Y622" s="79"/>
      <c r="AC622" s="130"/>
      <c r="AE622" s="106"/>
    </row>
    <row r="623">
      <c r="C623" s="79"/>
      <c r="D623" s="79"/>
      <c r="E623" s="79"/>
      <c r="P623" s="79"/>
      <c r="Q623" s="79"/>
      <c r="R623" s="79"/>
      <c r="Y623" s="79"/>
      <c r="AC623" s="130"/>
      <c r="AE623" s="106"/>
    </row>
    <row r="624">
      <c r="C624" s="79"/>
      <c r="D624" s="79"/>
      <c r="E624" s="79"/>
      <c r="P624" s="79"/>
      <c r="Q624" s="79"/>
      <c r="R624" s="79"/>
      <c r="Y624" s="79"/>
      <c r="AC624" s="130"/>
      <c r="AE624" s="106"/>
    </row>
    <row r="625">
      <c r="C625" s="79"/>
      <c r="D625" s="79"/>
      <c r="E625" s="79"/>
      <c r="P625" s="79"/>
      <c r="Q625" s="79"/>
      <c r="R625" s="79"/>
      <c r="Y625" s="79"/>
      <c r="AC625" s="130"/>
      <c r="AE625" s="106"/>
    </row>
    <row r="626">
      <c r="C626" s="79"/>
      <c r="D626" s="79"/>
      <c r="E626" s="79"/>
      <c r="P626" s="79"/>
      <c r="Q626" s="79"/>
      <c r="R626" s="79"/>
      <c r="Y626" s="79"/>
      <c r="AC626" s="130"/>
      <c r="AE626" s="106"/>
    </row>
    <row r="627">
      <c r="C627" s="79"/>
      <c r="D627" s="79"/>
      <c r="E627" s="79"/>
      <c r="P627" s="79"/>
      <c r="Q627" s="79"/>
      <c r="R627" s="79"/>
      <c r="Y627" s="79"/>
      <c r="AC627" s="130"/>
      <c r="AE627" s="106"/>
    </row>
    <row r="628">
      <c r="C628" s="79"/>
      <c r="D628" s="79"/>
      <c r="E628" s="79"/>
      <c r="P628" s="79"/>
      <c r="Q628" s="79"/>
      <c r="R628" s="79"/>
      <c r="Y628" s="79"/>
      <c r="AC628" s="130"/>
      <c r="AE628" s="106"/>
    </row>
    <row r="629">
      <c r="C629" s="79"/>
      <c r="D629" s="79"/>
      <c r="E629" s="79"/>
      <c r="P629" s="79"/>
      <c r="Q629" s="79"/>
      <c r="R629" s="79"/>
      <c r="Y629" s="79"/>
      <c r="AC629" s="130"/>
      <c r="AE629" s="106"/>
    </row>
    <row r="630">
      <c r="C630" s="79"/>
      <c r="D630" s="79"/>
      <c r="E630" s="79"/>
      <c r="P630" s="79"/>
      <c r="Q630" s="79"/>
      <c r="R630" s="79"/>
      <c r="Y630" s="79"/>
      <c r="AC630" s="130"/>
      <c r="AE630" s="106"/>
    </row>
    <row r="631">
      <c r="C631" s="79"/>
      <c r="D631" s="79"/>
      <c r="E631" s="79"/>
      <c r="P631" s="79"/>
      <c r="Q631" s="79"/>
      <c r="R631" s="79"/>
      <c r="Y631" s="79"/>
      <c r="AC631" s="130"/>
      <c r="AE631" s="106"/>
    </row>
    <row r="632">
      <c r="C632" s="79"/>
      <c r="D632" s="79"/>
      <c r="E632" s="79"/>
      <c r="P632" s="79"/>
      <c r="Q632" s="79"/>
      <c r="R632" s="79"/>
      <c r="Y632" s="79"/>
      <c r="AC632" s="130"/>
      <c r="AE632" s="106"/>
    </row>
    <row r="633">
      <c r="C633" s="79"/>
      <c r="D633" s="79"/>
      <c r="E633" s="79"/>
      <c r="P633" s="79"/>
      <c r="Q633" s="79"/>
      <c r="R633" s="79"/>
      <c r="Y633" s="79"/>
      <c r="AC633" s="130"/>
      <c r="AE633" s="106"/>
    </row>
    <row r="634">
      <c r="C634" s="79"/>
      <c r="D634" s="79"/>
      <c r="E634" s="79"/>
      <c r="P634" s="79"/>
      <c r="Q634" s="79"/>
      <c r="R634" s="79"/>
      <c r="Y634" s="79"/>
      <c r="AC634" s="130"/>
      <c r="AE634" s="106"/>
    </row>
    <row r="635">
      <c r="C635" s="79"/>
      <c r="D635" s="79"/>
      <c r="E635" s="79"/>
      <c r="P635" s="79"/>
      <c r="Q635" s="79"/>
      <c r="R635" s="79"/>
      <c r="Y635" s="79"/>
      <c r="AC635" s="130"/>
      <c r="AE635" s="106"/>
    </row>
    <row r="636">
      <c r="C636" s="79"/>
      <c r="D636" s="79"/>
      <c r="E636" s="79"/>
      <c r="P636" s="79"/>
      <c r="Q636" s="79"/>
      <c r="R636" s="79"/>
      <c r="Y636" s="79"/>
      <c r="AC636" s="130"/>
      <c r="AE636" s="106"/>
    </row>
    <row r="637">
      <c r="C637" s="79"/>
      <c r="D637" s="79"/>
      <c r="E637" s="79"/>
      <c r="P637" s="79"/>
      <c r="Q637" s="79"/>
      <c r="R637" s="79"/>
      <c r="Y637" s="79"/>
      <c r="AC637" s="130"/>
      <c r="AE637" s="106"/>
    </row>
    <row r="638">
      <c r="C638" s="79"/>
      <c r="D638" s="79"/>
      <c r="E638" s="79"/>
      <c r="P638" s="79"/>
      <c r="Q638" s="79"/>
      <c r="R638" s="79"/>
      <c r="Y638" s="79"/>
      <c r="AC638" s="130"/>
      <c r="AE638" s="106"/>
    </row>
    <row r="639">
      <c r="C639" s="79"/>
      <c r="D639" s="79"/>
      <c r="E639" s="79"/>
      <c r="P639" s="79"/>
      <c r="Q639" s="79"/>
      <c r="R639" s="79"/>
      <c r="Y639" s="79"/>
      <c r="AC639" s="130"/>
      <c r="AE639" s="106"/>
    </row>
    <row r="640">
      <c r="C640" s="79"/>
      <c r="D640" s="79"/>
      <c r="E640" s="79"/>
      <c r="P640" s="79"/>
      <c r="Q640" s="79"/>
      <c r="R640" s="79"/>
      <c r="Y640" s="79"/>
      <c r="AC640" s="130"/>
      <c r="AE640" s="106"/>
    </row>
    <row r="641">
      <c r="C641" s="79"/>
      <c r="D641" s="79"/>
      <c r="E641" s="79"/>
      <c r="P641" s="79"/>
      <c r="Q641" s="79"/>
      <c r="R641" s="79"/>
      <c r="Y641" s="79"/>
      <c r="AC641" s="130"/>
      <c r="AE641" s="106"/>
    </row>
    <row r="642">
      <c r="C642" s="79"/>
      <c r="D642" s="79"/>
      <c r="E642" s="79"/>
      <c r="P642" s="79"/>
      <c r="Q642" s="79"/>
      <c r="R642" s="79"/>
      <c r="Y642" s="79"/>
      <c r="AC642" s="130"/>
      <c r="AE642" s="106"/>
    </row>
    <row r="643">
      <c r="C643" s="79"/>
      <c r="D643" s="79"/>
      <c r="E643" s="79"/>
      <c r="P643" s="79"/>
      <c r="Q643" s="79"/>
      <c r="R643" s="79"/>
      <c r="Y643" s="79"/>
      <c r="AC643" s="130"/>
      <c r="AE643" s="106"/>
    </row>
    <row r="644">
      <c r="C644" s="79"/>
      <c r="D644" s="79"/>
      <c r="E644" s="79"/>
      <c r="P644" s="79"/>
      <c r="Q644" s="79"/>
      <c r="R644" s="79"/>
      <c r="Y644" s="79"/>
      <c r="AC644" s="130"/>
      <c r="AE644" s="106"/>
    </row>
    <row r="645">
      <c r="C645" s="79"/>
      <c r="D645" s="79"/>
      <c r="E645" s="79"/>
      <c r="P645" s="79"/>
      <c r="Q645" s="79"/>
      <c r="R645" s="79"/>
      <c r="Y645" s="79"/>
      <c r="AC645" s="130"/>
      <c r="AE645" s="106"/>
    </row>
    <row r="646">
      <c r="C646" s="79"/>
      <c r="D646" s="79"/>
      <c r="E646" s="79"/>
      <c r="P646" s="79"/>
      <c r="Q646" s="79"/>
      <c r="R646" s="79"/>
      <c r="Y646" s="79"/>
      <c r="AC646" s="130"/>
      <c r="AE646" s="106"/>
    </row>
    <row r="647">
      <c r="C647" s="79"/>
      <c r="D647" s="79"/>
      <c r="E647" s="79"/>
      <c r="P647" s="79"/>
      <c r="Q647" s="79"/>
      <c r="R647" s="79"/>
      <c r="Y647" s="79"/>
      <c r="AC647" s="130"/>
      <c r="AE647" s="106"/>
    </row>
    <row r="648">
      <c r="C648" s="79"/>
      <c r="D648" s="79"/>
      <c r="E648" s="79"/>
      <c r="P648" s="79"/>
      <c r="Q648" s="79"/>
      <c r="R648" s="79"/>
      <c r="Y648" s="79"/>
      <c r="AC648" s="130"/>
      <c r="AE648" s="106"/>
    </row>
    <row r="649">
      <c r="C649" s="79"/>
      <c r="D649" s="79"/>
      <c r="E649" s="79"/>
      <c r="P649" s="79"/>
      <c r="Q649" s="79"/>
      <c r="R649" s="79"/>
      <c r="Y649" s="79"/>
      <c r="AC649" s="130"/>
      <c r="AE649" s="106"/>
    </row>
    <row r="650">
      <c r="C650" s="79"/>
      <c r="D650" s="79"/>
      <c r="E650" s="79"/>
      <c r="P650" s="79"/>
      <c r="Q650" s="79"/>
      <c r="R650" s="79"/>
      <c r="Y650" s="79"/>
      <c r="AC650" s="130"/>
      <c r="AE650" s="106"/>
    </row>
    <row r="651">
      <c r="C651" s="79"/>
      <c r="D651" s="79"/>
      <c r="E651" s="79"/>
      <c r="P651" s="79"/>
      <c r="Q651" s="79"/>
      <c r="R651" s="79"/>
      <c r="Y651" s="79"/>
      <c r="AC651" s="130"/>
      <c r="AE651" s="106"/>
    </row>
    <row r="652">
      <c r="C652" s="79"/>
      <c r="D652" s="79"/>
      <c r="E652" s="79"/>
      <c r="P652" s="79"/>
      <c r="Q652" s="79"/>
      <c r="R652" s="79"/>
      <c r="Y652" s="79"/>
      <c r="AC652" s="130"/>
      <c r="AE652" s="106"/>
    </row>
    <row r="653">
      <c r="C653" s="79"/>
      <c r="D653" s="79"/>
      <c r="E653" s="79"/>
      <c r="P653" s="79"/>
      <c r="Q653" s="79"/>
      <c r="R653" s="79"/>
      <c r="Y653" s="79"/>
      <c r="AC653" s="130"/>
      <c r="AE653" s="106"/>
    </row>
    <row r="654">
      <c r="C654" s="79"/>
      <c r="D654" s="79"/>
      <c r="E654" s="79"/>
      <c r="P654" s="79"/>
      <c r="Q654" s="79"/>
      <c r="R654" s="79"/>
      <c r="Y654" s="79"/>
      <c r="AC654" s="130"/>
      <c r="AE654" s="106"/>
    </row>
    <row r="655">
      <c r="C655" s="79"/>
      <c r="D655" s="79"/>
      <c r="E655" s="79"/>
      <c r="P655" s="79"/>
      <c r="Q655" s="79"/>
      <c r="R655" s="79"/>
      <c r="Y655" s="79"/>
      <c r="AC655" s="130"/>
      <c r="AE655" s="106"/>
    </row>
    <row r="656">
      <c r="C656" s="79"/>
      <c r="D656" s="79"/>
      <c r="E656" s="79"/>
      <c r="P656" s="79"/>
      <c r="Q656" s="79"/>
      <c r="R656" s="79"/>
      <c r="Y656" s="79"/>
      <c r="AC656" s="130"/>
      <c r="AE656" s="106"/>
    </row>
    <row r="657">
      <c r="C657" s="79"/>
      <c r="D657" s="79"/>
      <c r="E657" s="79"/>
      <c r="P657" s="79"/>
      <c r="Q657" s="79"/>
      <c r="R657" s="79"/>
      <c r="Y657" s="79"/>
      <c r="AC657" s="130"/>
      <c r="AE657" s="106"/>
    </row>
    <row r="658">
      <c r="C658" s="79"/>
      <c r="D658" s="79"/>
      <c r="E658" s="79"/>
      <c r="P658" s="79"/>
      <c r="Q658" s="79"/>
      <c r="R658" s="79"/>
      <c r="Y658" s="79"/>
      <c r="AC658" s="130"/>
      <c r="AE658" s="106"/>
    </row>
    <row r="659">
      <c r="C659" s="79"/>
      <c r="D659" s="79"/>
      <c r="E659" s="79"/>
      <c r="P659" s="79"/>
      <c r="Q659" s="79"/>
      <c r="R659" s="79"/>
      <c r="Y659" s="79"/>
      <c r="AC659" s="130"/>
      <c r="AE659" s="106"/>
    </row>
    <row r="660">
      <c r="C660" s="79"/>
      <c r="D660" s="79"/>
      <c r="E660" s="79"/>
      <c r="P660" s="79"/>
      <c r="Q660" s="79"/>
      <c r="R660" s="79"/>
      <c r="Y660" s="79"/>
      <c r="AC660" s="130"/>
      <c r="AE660" s="106"/>
    </row>
    <row r="661">
      <c r="C661" s="79"/>
      <c r="D661" s="79"/>
      <c r="E661" s="79"/>
      <c r="P661" s="79"/>
      <c r="Q661" s="79"/>
      <c r="R661" s="79"/>
      <c r="Y661" s="79"/>
      <c r="AC661" s="130"/>
      <c r="AE661" s="106"/>
    </row>
    <row r="662">
      <c r="C662" s="79"/>
      <c r="D662" s="79"/>
      <c r="E662" s="79"/>
      <c r="P662" s="79"/>
      <c r="Q662" s="79"/>
      <c r="R662" s="79"/>
      <c r="Y662" s="79"/>
      <c r="AC662" s="130"/>
      <c r="AE662" s="106"/>
    </row>
    <row r="663">
      <c r="C663" s="79"/>
      <c r="D663" s="79"/>
      <c r="E663" s="79"/>
      <c r="P663" s="79"/>
      <c r="Q663" s="79"/>
      <c r="R663" s="79"/>
      <c r="Y663" s="79"/>
      <c r="AC663" s="130"/>
      <c r="AE663" s="106"/>
    </row>
    <row r="664">
      <c r="C664" s="79"/>
      <c r="D664" s="79"/>
      <c r="E664" s="79"/>
      <c r="P664" s="79"/>
      <c r="Q664" s="79"/>
      <c r="R664" s="79"/>
      <c r="Y664" s="79"/>
      <c r="AC664" s="130"/>
      <c r="AE664" s="106"/>
    </row>
    <row r="665">
      <c r="C665" s="79"/>
      <c r="D665" s="79"/>
      <c r="E665" s="79"/>
      <c r="P665" s="79"/>
      <c r="Q665" s="79"/>
      <c r="R665" s="79"/>
      <c r="Y665" s="79"/>
      <c r="AC665" s="130"/>
      <c r="AE665" s="106"/>
    </row>
    <row r="666">
      <c r="C666" s="79"/>
      <c r="D666" s="79"/>
      <c r="E666" s="79"/>
      <c r="P666" s="79"/>
      <c r="Q666" s="79"/>
      <c r="R666" s="79"/>
      <c r="Y666" s="79"/>
      <c r="AC666" s="130"/>
      <c r="AE666" s="106"/>
    </row>
    <row r="667">
      <c r="C667" s="79"/>
      <c r="D667" s="79"/>
      <c r="E667" s="79"/>
      <c r="P667" s="79"/>
      <c r="Q667" s="79"/>
      <c r="R667" s="79"/>
      <c r="Y667" s="79"/>
      <c r="AC667" s="130"/>
      <c r="AE667" s="106"/>
    </row>
    <row r="668">
      <c r="C668" s="79"/>
      <c r="D668" s="79"/>
      <c r="E668" s="79"/>
      <c r="P668" s="79"/>
      <c r="Q668" s="79"/>
      <c r="R668" s="79"/>
      <c r="Y668" s="79"/>
      <c r="AC668" s="130"/>
      <c r="AE668" s="106"/>
    </row>
    <row r="669">
      <c r="C669" s="79"/>
      <c r="D669" s="79"/>
      <c r="E669" s="79"/>
      <c r="P669" s="79"/>
      <c r="Q669" s="79"/>
      <c r="R669" s="79"/>
      <c r="Y669" s="79"/>
      <c r="AC669" s="130"/>
      <c r="AE669" s="106"/>
    </row>
    <row r="670">
      <c r="C670" s="79"/>
      <c r="D670" s="79"/>
      <c r="E670" s="79"/>
      <c r="P670" s="79"/>
      <c r="Q670" s="79"/>
      <c r="R670" s="79"/>
      <c r="Y670" s="79"/>
      <c r="AC670" s="130"/>
      <c r="AE670" s="106"/>
    </row>
    <row r="671">
      <c r="C671" s="79"/>
      <c r="D671" s="79"/>
      <c r="E671" s="79"/>
      <c r="P671" s="79"/>
      <c r="Q671" s="79"/>
      <c r="R671" s="79"/>
      <c r="Y671" s="79"/>
      <c r="AC671" s="130"/>
      <c r="AE671" s="106"/>
    </row>
    <row r="672">
      <c r="C672" s="79"/>
      <c r="D672" s="79"/>
      <c r="E672" s="79"/>
      <c r="P672" s="79"/>
      <c r="Q672" s="79"/>
      <c r="R672" s="79"/>
      <c r="Y672" s="79"/>
      <c r="AC672" s="130"/>
      <c r="AE672" s="106"/>
    </row>
    <row r="673">
      <c r="C673" s="79"/>
      <c r="D673" s="79"/>
      <c r="E673" s="79"/>
      <c r="P673" s="79"/>
      <c r="Q673" s="79"/>
      <c r="R673" s="79"/>
      <c r="Y673" s="79"/>
      <c r="AC673" s="130"/>
      <c r="AE673" s="106"/>
    </row>
    <row r="674">
      <c r="C674" s="79"/>
      <c r="D674" s="79"/>
      <c r="E674" s="79"/>
      <c r="P674" s="79"/>
      <c r="Q674" s="79"/>
      <c r="R674" s="79"/>
      <c r="Y674" s="79"/>
      <c r="AC674" s="130"/>
      <c r="AE674" s="106"/>
    </row>
    <row r="675">
      <c r="C675" s="79"/>
      <c r="D675" s="79"/>
      <c r="E675" s="79"/>
      <c r="P675" s="79"/>
      <c r="Q675" s="79"/>
      <c r="R675" s="79"/>
      <c r="Y675" s="79"/>
      <c r="AC675" s="130"/>
      <c r="AE675" s="106"/>
    </row>
    <row r="676">
      <c r="C676" s="79"/>
      <c r="D676" s="79"/>
      <c r="E676" s="79"/>
      <c r="P676" s="79"/>
      <c r="Q676" s="79"/>
      <c r="R676" s="79"/>
      <c r="Y676" s="79"/>
      <c r="AC676" s="130"/>
      <c r="AE676" s="106"/>
    </row>
    <row r="677">
      <c r="C677" s="79"/>
      <c r="D677" s="79"/>
      <c r="E677" s="79"/>
      <c r="P677" s="79"/>
      <c r="Q677" s="79"/>
      <c r="R677" s="79"/>
      <c r="Y677" s="79"/>
      <c r="AC677" s="130"/>
      <c r="AE677" s="106"/>
    </row>
    <row r="678">
      <c r="C678" s="79"/>
      <c r="D678" s="79"/>
      <c r="E678" s="79"/>
      <c r="P678" s="79"/>
      <c r="Q678" s="79"/>
      <c r="R678" s="79"/>
      <c r="Y678" s="79"/>
      <c r="AC678" s="130"/>
      <c r="AE678" s="106"/>
    </row>
    <row r="679">
      <c r="C679" s="79"/>
      <c r="D679" s="79"/>
      <c r="E679" s="79"/>
      <c r="P679" s="79"/>
      <c r="Q679" s="79"/>
      <c r="R679" s="79"/>
      <c r="Y679" s="79"/>
      <c r="AC679" s="130"/>
      <c r="AE679" s="106"/>
    </row>
    <row r="680">
      <c r="C680" s="79"/>
      <c r="D680" s="79"/>
      <c r="E680" s="79"/>
      <c r="P680" s="79"/>
      <c r="Q680" s="79"/>
      <c r="R680" s="79"/>
      <c r="Y680" s="79"/>
      <c r="AC680" s="130"/>
      <c r="AE680" s="106"/>
    </row>
    <row r="681">
      <c r="C681" s="79"/>
      <c r="D681" s="79"/>
      <c r="E681" s="79"/>
      <c r="P681" s="79"/>
      <c r="Q681" s="79"/>
      <c r="R681" s="79"/>
      <c r="Y681" s="79"/>
      <c r="AC681" s="130"/>
      <c r="AE681" s="106"/>
    </row>
    <row r="682">
      <c r="C682" s="79"/>
      <c r="D682" s="79"/>
      <c r="E682" s="79"/>
      <c r="P682" s="79"/>
      <c r="Q682" s="79"/>
      <c r="R682" s="79"/>
      <c r="Y682" s="79"/>
      <c r="AC682" s="130"/>
      <c r="AE682" s="106"/>
    </row>
    <row r="683">
      <c r="C683" s="79"/>
      <c r="D683" s="79"/>
      <c r="E683" s="79"/>
      <c r="P683" s="79"/>
      <c r="Q683" s="79"/>
      <c r="R683" s="79"/>
      <c r="Y683" s="79"/>
      <c r="AC683" s="130"/>
      <c r="AE683" s="106"/>
    </row>
    <row r="684">
      <c r="C684" s="79"/>
      <c r="D684" s="79"/>
      <c r="E684" s="79"/>
      <c r="P684" s="79"/>
      <c r="Q684" s="79"/>
      <c r="R684" s="79"/>
      <c r="Y684" s="79"/>
      <c r="AC684" s="130"/>
      <c r="AE684" s="106"/>
    </row>
    <row r="685">
      <c r="C685" s="79"/>
      <c r="D685" s="79"/>
      <c r="E685" s="79"/>
      <c r="P685" s="79"/>
      <c r="Q685" s="79"/>
      <c r="R685" s="79"/>
      <c r="Y685" s="79"/>
      <c r="AC685" s="130"/>
      <c r="AE685" s="106"/>
    </row>
    <row r="686">
      <c r="C686" s="79"/>
      <c r="D686" s="79"/>
      <c r="E686" s="79"/>
      <c r="P686" s="79"/>
      <c r="Q686" s="79"/>
      <c r="R686" s="79"/>
      <c r="Y686" s="79"/>
      <c r="AC686" s="130"/>
      <c r="AE686" s="106"/>
    </row>
    <row r="687">
      <c r="C687" s="79"/>
      <c r="D687" s="79"/>
      <c r="E687" s="79"/>
      <c r="P687" s="79"/>
      <c r="Q687" s="79"/>
      <c r="R687" s="79"/>
      <c r="Y687" s="79"/>
      <c r="AC687" s="130"/>
      <c r="AE687" s="106"/>
    </row>
    <row r="688">
      <c r="C688" s="79"/>
      <c r="D688" s="79"/>
      <c r="E688" s="79"/>
      <c r="P688" s="79"/>
      <c r="Q688" s="79"/>
      <c r="R688" s="79"/>
      <c r="Y688" s="79"/>
      <c r="AC688" s="130"/>
      <c r="AE688" s="106"/>
    </row>
    <row r="689">
      <c r="C689" s="79"/>
      <c r="D689" s="79"/>
      <c r="E689" s="79"/>
      <c r="P689" s="79"/>
      <c r="Q689" s="79"/>
      <c r="R689" s="79"/>
      <c r="Y689" s="79"/>
      <c r="AC689" s="130"/>
      <c r="AE689" s="106"/>
    </row>
    <row r="690">
      <c r="C690" s="79"/>
      <c r="D690" s="79"/>
      <c r="E690" s="79"/>
      <c r="P690" s="79"/>
      <c r="Q690" s="79"/>
      <c r="R690" s="79"/>
      <c r="Y690" s="79"/>
      <c r="AC690" s="130"/>
      <c r="AE690" s="106"/>
    </row>
    <row r="691">
      <c r="C691" s="79"/>
      <c r="D691" s="79"/>
      <c r="E691" s="79"/>
      <c r="P691" s="79"/>
      <c r="Q691" s="79"/>
      <c r="R691" s="79"/>
      <c r="Y691" s="79"/>
      <c r="AC691" s="130"/>
      <c r="AE691" s="106"/>
    </row>
    <row r="692">
      <c r="C692" s="79"/>
      <c r="D692" s="79"/>
      <c r="E692" s="79"/>
      <c r="P692" s="79"/>
      <c r="Q692" s="79"/>
      <c r="R692" s="79"/>
      <c r="Y692" s="79"/>
      <c r="AC692" s="130"/>
      <c r="AE692" s="106"/>
    </row>
    <row r="693">
      <c r="C693" s="79"/>
      <c r="D693" s="79"/>
      <c r="E693" s="79"/>
      <c r="P693" s="79"/>
      <c r="Q693" s="79"/>
      <c r="R693" s="79"/>
      <c r="Y693" s="79"/>
      <c r="AC693" s="130"/>
      <c r="AE693" s="106"/>
    </row>
    <row r="694">
      <c r="C694" s="79"/>
      <c r="D694" s="79"/>
      <c r="E694" s="79"/>
      <c r="P694" s="79"/>
      <c r="Q694" s="79"/>
      <c r="R694" s="79"/>
      <c r="Y694" s="79"/>
      <c r="AC694" s="130"/>
      <c r="AE694" s="106"/>
    </row>
    <row r="695">
      <c r="C695" s="79"/>
      <c r="D695" s="79"/>
      <c r="E695" s="79"/>
      <c r="P695" s="79"/>
      <c r="Q695" s="79"/>
      <c r="R695" s="79"/>
      <c r="Y695" s="79"/>
      <c r="AC695" s="130"/>
      <c r="AE695" s="106"/>
    </row>
    <row r="696">
      <c r="C696" s="79"/>
      <c r="D696" s="79"/>
      <c r="E696" s="79"/>
      <c r="P696" s="79"/>
      <c r="Q696" s="79"/>
      <c r="R696" s="79"/>
      <c r="Y696" s="79"/>
      <c r="AC696" s="130"/>
      <c r="AE696" s="106"/>
    </row>
    <row r="697">
      <c r="C697" s="79"/>
      <c r="D697" s="79"/>
      <c r="E697" s="79"/>
      <c r="P697" s="79"/>
      <c r="Q697" s="79"/>
      <c r="R697" s="79"/>
      <c r="Y697" s="79"/>
      <c r="AC697" s="130"/>
      <c r="AE697" s="106"/>
    </row>
    <row r="698">
      <c r="C698" s="79"/>
      <c r="D698" s="79"/>
      <c r="E698" s="79"/>
      <c r="P698" s="79"/>
      <c r="Q698" s="79"/>
      <c r="R698" s="79"/>
      <c r="Y698" s="79"/>
      <c r="AC698" s="130"/>
      <c r="AE698" s="106"/>
    </row>
    <row r="699">
      <c r="C699" s="79"/>
      <c r="D699" s="79"/>
      <c r="E699" s="79"/>
      <c r="P699" s="79"/>
      <c r="Q699" s="79"/>
      <c r="R699" s="79"/>
      <c r="Y699" s="79"/>
      <c r="AC699" s="130"/>
      <c r="AE699" s="106"/>
    </row>
    <row r="700">
      <c r="C700" s="79"/>
      <c r="D700" s="79"/>
      <c r="E700" s="79"/>
      <c r="P700" s="79"/>
      <c r="Q700" s="79"/>
      <c r="R700" s="79"/>
      <c r="Y700" s="79"/>
      <c r="AC700" s="130"/>
      <c r="AE700" s="106"/>
    </row>
    <row r="701">
      <c r="C701" s="79"/>
      <c r="D701" s="79"/>
      <c r="E701" s="79"/>
      <c r="P701" s="79"/>
      <c r="Q701" s="79"/>
      <c r="R701" s="79"/>
      <c r="Y701" s="79"/>
      <c r="AC701" s="130"/>
      <c r="AE701" s="106"/>
    </row>
    <row r="702">
      <c r="C702" s="79"/>
      <c r="D702" s="79"/>
      <c r="E702" s="79"/>
      <c r="P702" s="79"/>
      <c r="Q702" s="79"/>
      <c r="R702" s="79"/>
      <c r="Y702" s="79"/>
      <c r="AC702" s="130"/>
      <c r="AE702" s="106"/>
    </row>
    <row r="703">
      <c r="C703" s="79"/>
      <c r="D703" s="79"/>
      <c r="E703" s="79"/>
      <c r="P703" s="79"/>
      <c r="Q703" s="79"/>
      <c r="R703" s="79"/>
      <c r="Y703" s="79"/>
      <c r="AC703" s="130"/>
      <c r="AE703" s="106"/>
    </row>
    <row r="704">
      <c r="C704" s="79"/>
      <c r="D704" s="79"/>
      <c r="E704" s="79"/>
      <c r="P704" s="79"/>
      <c r="Q704" s="79"/>
      <c r="R704" s="79"/>
      <c r="Y704" s="79"/>
      <c r="AC704" s="130"/>
      <c r="AE704" s="106"/>
    </row>
    <row r="705">
      <c r="C705" s="79"/>
      <c r="D705" s="79"/>
      <c r="E705" s="79"/>
      <c r="P705" s="79"/>
      <c r="Q705" s="79"/>
      <c r="R705" s="79"/>
      <c r="Y705" s="79"/>
      <c r="AC705" s="130"/>
      <c r="AE705" s="106"/>
    </row>
    <row r="706">
      <c r="C706" s="79"/>
      <c r="D706" s="79"/>
      <c r="E706" s="79"/>
      <c r="P706" s="79"/>
      <c r="Q706" s="79"/>
      <c r="R706" s="79"/>
      <c r="Y706" s="79"/>
      <c r="AC706" s="130"/>
      <c r="AE706" s="106"/>
    </row>
    <row r="707">
      <c r="C707" s="79"/>
      <c r="D707" s="79"/>
      <c r="E707" s="79"/>
      <c r="P707" s="79"/>
      <c r="Q707" s="79"/>
      <c r="R707" s="79"/>
      <c r="Y707" s="79"/>
      <c r="AC707" s="130"/>
      <c r="AE707" s="106"/>
    </row>
    <row r="708">
      <c r="C708" s="79"/>
      <c r="D708" s="79"/>
      <c r="E708" s="79"/>
      <c r="P708" s="79"/>
      <c r="Q708" s="79"/>
      <c r="R708" s="79"/>
      <c r="Y708" s="79"/>
      <c r="AC708" s="130"/>
      <c r="AE708" s="106"/>
    </row>
    <row r="709">
      <c r="C709" s="79"/>
      <c r="D709" s="79"/>
      <c r="E709" s="79"/>
      <c r="P709" s="79"/>
      <c r="Q709" s="79"/>
      <c r="R709" s="79"/>
      <c r="Y709" s="79"/>
      <c r="AC709" s="130"/>
      <c r="AE709" s="106"/>
    </row>
    <row r="710">
      <c r="C710" s="79"/>
      <c r="D710" s="79"/>
      <c r="E710" s="79"/>
      <c r="P710" s="79"/>
      <c r="Q710" s="79"/>
      <c r="R710" s="79"/>
      <c r="Y710" s="79"/>
      <c r="AC710" s="130"/>
      <c r="AE710" s="106"/>
    </row>
    <row r="711">
      <c r="C711" s="79"/>
      <c r="D711" s="79"/>
      <c r="E711" s="79"/>
      <c r="P711" s="79"/>
      <c r="Q711" s="79"/>
      <c r="R711" s="79"/>
      <c r="Y711" s="79"/>
      <c r="AC711" s="130"/>
      <c r="AE711" s="106"/>
    </row>
    <row r="712">
      <c r="C712" s="79"/>
      <c r="D712" s="79"/>
      <c r="E712" s="79"/>
      <c r="P712" s="79"/>
      <c r="Q712" s="79"/>
      <c r="R712" s="79"/>
      <c r="Y712" s="79"/>
      <c r="AC712" s="130"/>
      <c r="AE712" s="106"/>
    </row>
    <row r="713">
      <c r="C713" s="79"/>
      <c r="D713" s="79"/>
      <c r="E713" s="79"/>
      <c r="P713" s="79"/>
      <c r="Q713" s="79"/>
      <c r="R713" s="79"/>
      <c r="Y713" s="79"/>
      <c r="AC713" s="130"/>
      <c r="AE713" s="106"/>
    </row>
    <row r="714">
      <c r="C714" s="79"/>
      <c r="D714" s="79"/>
      <c r="E714" s="79"/>
      <c r="P714" s="79"/>
      <c r="Q714" s="79"/>
      <c r="R714" s="79"/>
      <c r="Y714" s="79"/>
      <c r="AC714" s="130"/>
      <c r="AE714" s="106"/>
    </row>
    <row r="715">
      <c r="C715" s="79"/>
      <c r="D715" s="79"/>
      <c r="E715" s="79"/>
      <c r="P715" s="79"/>
      <c r="Q715" s="79"/>
      <c r="R715" s="79"/>
      <c r="Y715" s="79"/>
      <c r="AC715" s="130"/>
      <c r="AE715" s="106"/>
    </row>
    <row r="716">
      <c r="C716" s="79"/>
      <c r="D716" s="79"/>
      <c r="E716" s="79"/>
      <c r="P716" s="79"/>
      <c r="Q716" s="79"/>
      <c r="R716" s="79"/>
      <c r="Y716" s="79"/>
      <c r="AC716" s="130"/>
      <c r="AE716" s="106"/>
    </row>
    <row r="717">
      <c r="C717" s="79"/>
      <c r="D717" s="79"/>
      <c r="E717" s="79"/>
      <c r="P717" s="79"/>
      <c r="Q717" s="79"/>
      <c r="R717" s="79"/>
      <c r="Y717" s="79"/>
      <c r="AC717" s="130"/>
      <c r="AE717" s="106"/>
    </row>
    <row r="718">
      <c r="C718" s="79"/>
      <c r="D718" s="79"/>
      <c r="E718" s="79"/>
      <c r="P718" s="79"/>
      <c r="Q718" s="79"/>
      <c r="R718" s="79"/>
      <c r="Y718" s="79"/>
      <c r="AC718" s="130"/>
      <c r="AE718" s="106"/>
    </row>
    <row r="719">
      <c r="C719" s="79"/>
      <c r="D719" s="79"/>
      <c r="E719" s="79"/>
      <c r="P719" s="79"/>
      <c r="Q719" s="79"/>
      <c r="R719" s="79"/>
      <c r="Y719" s="79"/>
      <c r="AC719" s="130"/>
      <c r="AE719" s="106"/>
    </row>
    <row r="720">
      <c r="C720" s="79"/>
      <c r="D720" s="79"/>
      <c r="E720" s="79"/>
      <c r="P720" s="79"/>
      <c r="Q720" s="79"/>
      <c r="R720" s="79"/>
      <c r="Y720" s="79"/>
      <c r="AC720" s="130"/>
      <c r="AE720" s="106"/>
    </row>
    <row r="721">
      <c r="C721" s="79"/>
      <c r="D721" s="79"/>
      <c r="E721" s="79"/>
      <c r="P721" s="79"/>
      <c r="Q721" s="79"/>
      <c r="R721" s="79"/>
      <c r="Y721" s="79"/>
      <c r="AC721" s="130"/>
      <c r="AE721" s="106"/>
    </row>
    <row r="722">
      <c r="C722" s="79"/>
      <c r="D722" s="79"/>
      <c r="E722" s="79"/>
      <c r="P722" s="79"/>
      <c r="Q722" s="79"/>
      <c r="R722" s="79"/>
      <c r="Y722" s="79"/>
      <c r="AC722" s="130"/>
      <c r="AE722" s="106"/>
    </row>
    <row r="723">
      <c r="C723" s="79"/>
      <c r="D723" s="79"/>
      <c r="E723" s="79"/>
      <c r="P723" s="79"/>
      <c r="Q723" s="79"/>
      <c r="R723" s="79"/>
      <c r="Y723" s="79"/>
      <c r="AC723" s="130"/>
      <c r="AE723" s="106"/>
    </row>
    <row r="724">
      <c r="C724" s="79"/>
      <c r="D724" s="79"/>
      <c r="E724" s="79"/>
      <c r="P724" s="79"/>
      <c r="Q724" s="79"/>
      <c r="R724" s="79"/>
      <c r="Y724" s="79"/>
      <c r="AC724" s="130"/>
      <c r="AE724" s="106"/>
    </row>
    <row r="725">
      <c r="C725" s="79"/>
      <c r="D725" s="79"/>
      <c r="E725" s="79"/>
      <c r="P725" s="79"/>
      <c r="Q725" s="79"/>
      <c r="R725" s="79"/>
      <c r="Y725" s="79"/>
      <c r="AC725" s="130"/>
      <c r="AE725" s="106"/>
    </row>
    <row r="726">
      <c r="C726" s="79"/>
      <c r="D726" s="79"/>
      <c r="E726" s="79"/>
      <c r="P726" s="79"/>
      <c r="Q726" s="79"/>
      <c r="R726" s="79"/>
      <c r="Y726" s="79"/>
      <c r="AC726" s="130"/>
      <c r="AE726" s="106"/>
    </row>
    <row r="727">
      <c r="C727" s="79"/>
      <c r="D727" s="79"/>
      <c r="E727" s="79"/>
      <c r="P727" s="79"/>
      <c r="Q727" s="79"/>
      <c r="R727" s="79"/>
      <c r="Y727" s="79"/>
      <c r="AC727" s="130"/>
      <c r="AE727" s="106"/>
    </row>
    <row r="728">
      <c r="C728" s="79"/>
      <c r="D728" s="79"/>
      <c r="E728" s="79"/>
      <c r="P728" s="79"/>
      <c r="Q728" s="79"/>
      <c r="R728" s="79"/>
      <c r="Y728" s="79"/>
      <c r="AC728" s="130"/>
      <c r="AE728" s="106"/>
    </row>
    <row r="729">
      <c r="C729" s="79"/>
      <c r="D729" s="79"/>
      <c r="E729" s="79"/>
      <c r="P729" s="79"/>
      <c r="Q729" s="79"/>
      <c r="R729" s="79"/>
      <c r="Y729" s="79"/>
      <c r="AC729" s="130"/>
      <c r="AE729" s="106"/>
    </row>
    <row r="730">
      <c r="C730" s="79"/>
      <c r="D730" s="79"/>
      <c r="E730" s="79"/>
      <c r="P730" s="79"/>
      <c r="Q730" s="79"/>
      <c r="R730" s="79"/>
      <c r="Y730" s="79"/>
      <c r="AC730" s="130"/>
      <c r="AE730" s="106"/>
    </row>
    <row r="731">
      <c r="C731" s="79"/>
      <c r="D731" s="79"/>
      <c r="E731" s="79"/>
      <c r="P731" s="79"/>
      <c r="Q731" s="79"/>
      <c r="R731" s="79"/>
      <c r="Y731" s="79"/>
      <c r="AC731" s="130"/>
      <c r="AE731" s="106"/>
    </row>
    <row r="732">
      <c r="C732" s="79"/>
      <c r="D732" s="79"/>
      <c r="E732" s="79"/>
      <c r="P732" s="79"/>
      <c r="Q732" s="79"/>
      <c r="R732" s="79"/>
      <c r="Y732" s="79"/>
      <c r="AC732" s="130"/>
      <c r="AE732" s="106"/>
    </row>
    <row r="733">
      <c r="C733" s="79"/>
      <c r="D733" s="79"/>
      <c r="E733" s="79"/>
      <c r="P733" s="79"/>
      <c r="Q733" s="79"/>
      <c r="R733" s="79"/>
      <c r="Y733" s="79"/>
      <c r="AC733" s="130"/>
      <c r="AE733" s="106"/>
    </row>
    <row r="734">
      <c r="C734" s="79"/>
      <c r="D734" s="79"/>
      <c r="E734" s="79"/>
      <c r="P734" s="79"/>
      <c r="Q734" s="79"/>
      <c r="R734" s="79"/>
      <c r="Y734" s="79"/>
      <c r="AC734" s="130"/>
      <c r="AE734" s="106"/>
    </row>
    <row r="735">
      <c r="C735" s="79"/>
      <c r="D735" s="79"/>
      <c r="E735" s="79"/>
      <c r="P735" s="79"/>
      <c r="Q735" s="79"/>
      <c r="R735" s="79"/>
      <c r="Y735" s="79"/>
      <c r="AC735" s="130"/>
      <c r="AE735" s="106"/>
    </row>
    <row r="736">
      <c r="C736" s="79"/>
      <c r="D736" s="79"/>
      <c r="E736" s="79"/>
      <c r="P736" s="79"/>
      <c r="Q736" s="79"/>
      <c r="R736" s="79"/>
      <c r="Y736" s="79"/>
      <c r="AC736" s="130"/>
      <c r="AE736" s="106"/>
    </row>
    <row r="737">
      <c r="C737" s="79"/>
      <c r="D737" s="79"/>
      <c r="E737" s="79"/>
      <c r="P737" s="79"/>
      <c r="Q737" s="79"/>
      <c r="R737" s="79"/>
      <c r="Y737" s="79"/>
      <c r="AC737" s="130"/>
      <c r="AE737" s="106"/>
    </row>
    <row r="738">
      <c r="C738" s="79"/>
      <c r="D738" s="79"/>
      <c r="E738" s="79"/>
      <c r="P738" s="79"/>
      <c r="Q738" s="79"/>
      <c r="R738" s="79"/>
      <c r="Y738" s="79"/>
      <c r="AC738" s="130"/>
      <c r="AE738" s="106"/>
    </row>
    <row r="739">
      <c r="C739" s="79"/>
      <c r="D739" s="79"/>
      <c r="E739" s="79"/>
      <c r="P739" s="79"/>
      <c r="Q739" s="79"/>
      <c r="R739" s="79"/>
      <c r="Y739" s="79"/>
      <c r="AC739" s="130"/>
      <c r="AE739" s="106"/>
    </row>
    <row r="740">
      <c r="C740" s="79"/>
      <c r="D740" s="79"/>
      <c r="E740" s="79"/>
      <c r="P740" s="79"/>
      <c r="Q740" s="79"/>
      <c r="R740" s="79"/>
      <c r="Y740" s="79"/>
      <c r="AC740" s="130"/>
      <c r="AE740" s="106"/>
    </row>
    <row r="741">
      <c r="C741" s="79"/>
      <c r="D741" s="79"/>
      <c r="E741" s="79"/>
      <c r="P741" s="79"/>
      <c r="Q741" s="79"/>
      <c r="R741" s="79"/>
      <c r="Y741" s="79"/>
      <c r="AC741" s="130"/>
      <c r="AE741" s="106"/>
    </row>
    <row r="742">
      <c r="C742" s="79"/>
      <c r="D742" s="79"/>
      <c r="E742" s="79"/>
      <c r="P742" s="79"/>
      <c r="Q742" s="79"/>
      <c r="R742" s="79"/>
      <c r="Y742" s="79"/>
      <c r="AC742" s="130"/>
      <c r="AE742" s="106"/>
    </row>
    <row r="743">
      <c r="C743" s="79"/>
      <c r="D743" s="79"/>
      <c r="E743" s="79"/>
      <c r="P743" s="79"/>
      <c r="Q743" s="79"/>
      <c r="R743" s="79"/>
      <c r="Y743" s="79"/>
      <c r="AC743" s="130"/>
      <c r="AE743" s="106"/>
    </row>
    <row r="744">
      <c r="C744" s="79"/>
      <c r="D744" s="79"/>
      <c r="E744" s="79"/>
      <c r="P744" s="79"/>
      <c r="Q744" s="79"/>
      <c r="R744" s="79"/>
      <c r="Y744" s="79"/>
      <c r="AC744" s="130"/>
      <c r="AE744" s="106"/>
    </row>
    <row r="745">
      <c r="C745" s="79"/>
      <c r="D745" s="79"/>
      <c r="E745" s="79"/>
      <c r="P745" s="79"/>
      <c r="Q745" s="79"/>
      <c r="R745" s="79"/>
      <c r="Y745" s="79"/>
      <c r="AC745" s="130"/>
      <c r="AE745" s="106"/>
    </row>
    <row r="746">
      <c r="C746" s="79"/>
      <c r="D746" s="79"/>
      <c r="E746" s="79"/>
      <c r="P746" s="79"/>
      <c r="Q746" s="79"/>
      <c r="R746" s="79"/>
      <c r="Y746" s="79"/>
      <c r="AC746" s="130"/>
      <c r="AE746" s="106"/>
    </row>
    <row r="747">
      <c r="C747" s="79"/>
      <c r="D747" s="79"/>
      <c r="E747" s="79"/>
      <c r="P747" s="79"/>
      <c r="Q747" s="79"/>
      <c r="R747" s="79"/>
      <c r="Y747" s="79"/>
      <c r="AC747" s="130"/>
      <c r="AE747" s="106"/>
    </row>
    <row r="748">
      <c r="C748" s="79"/>
      <c r="D748" s="79"/>
      <c r="E748" s="79"/>
      <c r="P748" s="79"/>
      <c r="Q748" s="79"/>
      <c r="R748" s="79"/>
      <c r="Y748" s="79"/>
      <c r="AC748" s="130"/>
      <c r="AE748" s="106"/>
    </row>
    <row r="749">
      <c r="C749" s="79"/>
      <c r="D749" s="79"/>
      <c r="E749" s="79"/>
      <c r="P749" s="79"/>
      <c r="Q749" s="79"/>
      <c r="R749" s="79"/>
      <c r="Y749" s="79"/>
      <c r="AC749" s="130"/>
      <c r="AE749" s="106"/>
    </row>
    <row r="750">
      <c r="C750" s="79"/>
      <c r="D750" s="79"/>
      <c r="E750" s="79"/>
      <c r="P750" s="79"/>
      <c r="Q750" s="79"/>
      <c r="R750" s="79"/>
      <c r="Y750" s="79"/>
      <c r="AC750" s="130"/>
      <c r="AE750" s="106"/>
    </row>
    <row r="751">
      <c r="C751" s="79"/>
      <c r="D751" s="79"/>
      <c r="E751" s="79"/>
      <c r="P751" s="79"/>
      <c r="Q751" s="79"/>
      <c r="R751" s="79"/>
      <c r="Y751" s="79"/>
      <c r="AC751" s="130"/>
      <c r="AE751" s="106"/>
    </row>
    <row r="752">
      <c r="C752" s="79"/>
      <c r="D752" s="79"/>
      <c r="E752" s="79"/>
      <c r="P752" s="79"/>
      <c r="Q752" s="79"/>
      <c r="R752" s="79"/>
      <c r="Y752" s="79"/>
      <c r="AC752" s="130"/>
      <c r="AE752" s="106"/>
    </row>
    <row r="753">
      <c r="C753" s="79"/>
      <c r="D753" s="79"/>
      <c r="E753" s="79"/>
      <c r="P753" s="79"/>
      <c r="Q753" s="79"/>
      <c r="R753" s="79"/>
      <c r="Y753" s="79"/>
      <c r="AC753" s="130"/>
      <c r="AE753" s="106"/>
    </row>
    <row r="754">
      <c r="C754" s="79"/>
      <c r="D754" s="79"/>
      <c r="E754" s="79"/>
      <c r="P754" s="79"/>
      <c r="Q754" s="79"/>
      <c r="R754" s="79"/>
      <c r="Y754" s="79"/>
      <c r="AC754" s="130"/>
      <c r="AE754" s="106"/>
    </row>
    <row r="755">
      <c r="C755" s="79"/>
      <c r="D755" s="79"/>
      <c r="E755" s="79"/>
      <c r="P755" s="79"/>
      <c r="Q755" s="79"/>
      <c r="R755" s="79"/>
      <c r="Y755" s="79"/>
      <c r="AC755" s="130"/>
      <c r="AE755" s="106"/>
    </row>
    <row r="756">
      <c r="C756" s="79"/>
      <c r="D756" s="79"/>
      <c r="E756" s="79"/>
      <c r="P756" s="79"/>
      <c r="Q756" s="79"/>
      <c r="R756" s="79"/>
      <c r="Y756" s="79"/>
      <c r="AC756" s="130"/>
      <c r="AE756" s="106"/>
    </row>
    <row r="757">
      <c r="C757" s="79"/>
      <c r="D757" s="79"/>
      <c r="E757" s="79"/>
      <c r="P757" s="79"/>
      <c r="Q757" s="79"/>
      <c r="R757" s="79"/>
      <c r="Y757" s="79"/>
      <c r="AC757" s="130"/>
      <c r="AE757" s="106"/>
    </row>
    <row r="758">
      <c r="C758" s="79"/>
      <c r="D758" s="79"/>
      <c r="E758" s="79"/>
      <c r="P758" s="79"/>
      <c r="Q758" s="79"/>
      <c r="R758" s="79"/>
      <c r="Y758" s="79"/>
      <c r="AC758" s="130"/>
      <c r="AE758" s="106"/>
    </row>
    <row r="759">
      <c r="C759" s="79"/>
      <c r="D759" s="79"/>
      <c r="E759" s="79"/>
      <c r="P759" s="79"/>
      <c r="Q759" s="79"/>
      <c r="R759" s="79"/>
      <c r="Y759" s="79"/>
      <c r="AC759" s="130"/>
      <c r="AE759" s="106"/>
    </row>
    <row r="760">
      <c r="C760" s="79"/>
      <c r="D760" s="79"/>
      <c r="E760" s="79"/>
      <c r="P760" s="79"/>
      <c r="Q760" s="79"/>
      <c r="R760" s="79"/>
      <c r="Y760" s="79"/>
      <c r="AC760" s="130"/>
      <c r="AE760" s="106"/>
    </row>
    <row r="761">
      <c r="C761" s="79"/>
      <c r="D761" s="79"/>
      <c r="E761" s="79"/>
      <c r="P761" s="79"/>
      <c r="Q761" s="79"/>
      <c r="R761" s="79"/>
      <c r="Y761" s="79"/>
      <c r="AC761" s="130"/>
      <c r="AE761" s="106"/>
    </row>
    <row r="762">
      <c r="C762" s="79"/>
      <c r="D762" s="79"/>
      <c r="E762" s="79"/>
      <c r="P762" s="79"/>
      <c r="Q762" s="79"/>
      <c r="R762" s="79"/>
      <c r="Y762" s="79"/>
      <c r="AC762" s="130"/>
      <c r="AE762" s="106"/>
    </row>
    <row r="763">
      <c r="C763" s="79"/>
      <c r="D763" s="79"/>
      <c r="E763" s="79"/>
      <c r="P763" s="79"/>
      <c r="Q763" s="79"/>
      <c r="R763" s="79"/>
      <c r="Y763" s="79"/>
      <c r="AC763" s="130"/>
      <c r="AE763" s="106"/>
    </row>
    <row r="764">
      <c r="C764" s="79"/>
      <c r="D764" s="79"/>
      <c r="E764" s="79"/>
      <c r="P764" s="79"/>
      <c r="Q764" s="79"/>
      <c r="R764" s="79"/>
      <c r="Y764" s="79"/>
      <c r="AC764" s="130"/>
      <c r="AE764" s="106"/>
    </row>
    <row r="765">
      <c r="C765" s="79"/>
      <c r="D765" s="79"/>
      <c r="E765" s="79"/>
      <c r="P765" s="79"/>
      <c r="Q765" s="79"/>
      <c r="R765" s="79"/>
      <c r="Y765" s="79"/>
      <c r="AC765" s="130"/>
      <c r="AE765" s="106"/>
    </row>
    <row r="766">
      <c r="C766" s="79"/>
      <c r="D766" s="79"/>
      <c r="E766" s="79"/>
      <c r="P766" s="79"/>
      <c r="Q766" s="79"/>
      <c r="R766" s="79"/>
      <c r="Y766" s="79"/>
      <c r="AC766" s="130"/>
      <c r="AE766" s="106"/>
    </row>
    <row r="767">
      <c r="C767" s="79"/>
      <c r="D767" s="79"/>
      <c r="E767" s="79"/>
      <c r="P767" s="79"/>
      <c r="Q767" s="79"/>
      <c r="R767" s="79"/>
      <c r="Y767" s="79"/>
      <c r="AC767" s="130"/>
      <c r="AE767" s="106"/>
    </row>
    <row r="768">
      <c r="C768" s="79"/>
      <c r="D768" s="79"/>
      <c r="E768" s="79"/>
      <c r="P768" s="79"/>
      <c r="Q768" s="79"/>
      <c r="R768" s="79"/>
      <c r="Y768" s="79"/>
      <c r="AC768" s="130"/>
      <c r="AE768" s="106"/>
    </row>
    <row r="769">
      <c r="C769" s="79"/>
      <c r="D769" s="79"/>
      <c r="E769" s="79"/>
      <c r="P769" s="79"/>
      <c r="Q769" s="79"/>
      <c r="R769" s="79"/>
      <c r="Y769" s="79"/>
      <c r="AC769" s="130"/>
      <c r="AE769" s="106"/>
    </row>
    <row r="770">
      <c r="C770" s="79"/>
      <c r="D770" s="79"/>
      <c r="E770" s="79"/>
      <c r="P770" s="79"/>
      <c r="Q770" s="79"/>
      <c r="R770" s="79"/>
      <c r="Y770" s="79"/>
      <c r="AC770" s="130"/>
      <c r="AE770" s="106"/>
    </row>
    <row r="771">
      <c r="C771" s="79"/>
      <c r="D771" s="79"/>
      <c r="E771" s="79"/>
      <c r="P771" s="79"/>
      <c r="Q771" s="79"/>
      <c r="R771" s="79"/>
      <c r="Y771" s="79"/>
      <c r="AC771" s="130"/>
      <c r="AE771" s="106"/>
    </row>
    <row r="772">
      <c r="C772" s="79"/>
      <c r="D772" s="79"/>
      <c r="E772" s="79"/>
      <c r="P772" s="79"/>
      <c r="Q772" s="79"/>
      <c r="R772" s="79"/>
      <c r="Y772" s="79"/>
      <c r="AC772" s="130"/>
      <c r="AE772" s="106"/>
    </row>
    <row r="773">
      <c r="C773" s="79"/>
      <c r="D773" s="79"/>
      <c r="E773" s="79"/>
      <c r="P773" s="79"/>
      <c r="Q773" s="79"/>
      <c r="R773" s="79"/>
      <c r="Y773" s="79"/>
      <c r="AC773" s="130"/>
      <c r="AE773" s="106"/>
    </row>
    <row r="774">
      <c r="C774" s="79"/>
      <c r="D774" s="79"/>
      <c r="E774" s="79"/>
      <c r="P774" s="79"/>
      <c r="Q774" s="79"/>
      <c r="R774" s="79"/>
      <c r="Y774" s="79"/>
      <c r="AC774" s="130"/>
      <c r="AE774" s="106"/>
    </row>
    <row r="775">
      <c r="C775" s="79"/>
      <c r="D775" s="79"/>
      <c r="E775" s="79"/>
      <c r="P775" s="79"/>
      <c r="Q775" s="79"/>
      <c r="R775" s="79"/>
      <c r="Y775" s="79"/>
      <c r="AC775" s="130"/>
      <c r="AE775" s="106"/>
    </row>
    <row r="776">
      <c r="C776" s="79"/>
      <c r="D776" s="79"/>
      <c r="E776" s="79"/>
      <c r="P776" s="79"/>
      <c r="Q776" s="79"/>
      <c r="R776" s="79"/>
      <c r="Y776" s="79"/>
      <c r="AC776" s="130"/>
      <c r="AE776" s="106"/>
    </row>
    <row r="777">
      <c r="C777" s="79"/>
      <c r="D777" s="79"/>
      <c r="E777" s="79"/>
      <c r="P777" s="79"/>
      <c r="Q777" s="79"/>
      <c r="R777" s="79"/>
      <c r="Y777" s="79"/>
      <c r="AC777" s="130"/>
      <c r="AE777" s="106"/>
    </row>
    <row r="778">
      <c r="C778" s="79"/>
      <c r="D778" s="79"/>
      <c r="E778" s="79"/>
      <c r="P778" s="79"/>
      <c r="Q778" s="79"/>
      <c r="R778" s="79"/>
      <c r="Y778" s="79"/>
      <c r="AC778" s="130"/>
      <c r="AE778" s="106"/>
    </row>
    <row r="779">
      <c r="C779" s="79"/>
      <c r="D779" s="79"/>
      <c r="E779" s="79"/>
      <c r="P779" s="79"/>
      <c r="Q779" s="79"/>
      <c r="R779" s="79"/>
      <c r="Y779" s="79"/>
      <c r="AC779" s="130"/>
      <c r="AE779" s="106"/>
    </row>
    <row r="780">
      <c r="C780" s="79"/>
      <c r="D780" s="79"/>
      <c r="E780" s="79"/>
      <c r="P780" s="79"/>
      <c r="Q780" s="79"/>
      <c r="R780" s="79"/>
      <c r="Y780" s="79"/>
      <c r="AC780" s="130"/>
      <c r="AE780" s="106"/>
    </row>
    <row r="781">
      <c r="C781" s="79"/>
      <c r="D781" s="79"/>
      <c r="E781" s="79"/>
      <c r="P781" s="79"/>
      <c r="Q781" s="79"/>
      <c r="R781" s="79"/>
      <c r="Y781" s="79"/>
      <c r="AC781" s="130"/>
      <c r="AE781" s="106"/>
    </row>
    <row r="782">
      <c r="C782" s="79"/>
      <c r="D782" s="79"/>
      <c r="E782" s="79"/>
      <c r="P782" s="79"/>
      <c r="Q782" s="79"/>
      <c r="R782" s="79"/>
      <c r="Y782" s="79"/>
      <c r="AC782" s="130"/>
      <c r="AE782" s="106"/>
    </row>
    <row r="783">
      <c r="C783" s="79"/>
      <c r="D783" s="79"/>
      <c r="E783" s="79"/>
      <c r="P783" s="79"/>
      <c r="Q783" s="79"/>
      <c r="R783" s="79"/>
      <c r="Y783" s="79"/>
      <c r="AC783" s="130"/>
      <c r="AE783" s="106"/>
    </row>
    <row r="784">
      <c r="C784" s="79"/>
      <c r="D784" s="79"/>
      <c r="E784" s="79"/>
      <c r="P784" s="79"/>
      <c r="Q784" s="79"/>
      <c r="R784" s="79"/>
      <c r="Y784" s="79"/>
      <c r="AC784" s="130"/>
      <c r="AE784" s="106"/>
    </row>
    <row r="785">
      <c r="C785" s="79"/>
      <c r="D785" s="79"/>
      <c r="E785" s="79"/>
      <c r="P785" s="79"/>
      <c r="Q785" s="79"/>
      <c r="R785" s="79"/>
      <c r="Y785" s="79"/>
      <c r="AC785" s="130"/>
      <c r="AE785" s="106"/>
    </row>
    <row r="786">
      <c r="C786" s="79"/>
      <c r="D786" s="79"/>
      <c r="E786" s="79"/>
      <c r="P786" s="79"/>
      <c r="Q786" s="79"/>
      <c r="R786" s="79"/>
      <c r="Y786" s="79"/>
      <c r="AC786" s="130"/>
      <c r="AE786" s="106"/>
    </row>
    <row r="787">
      <c r="C787" s="79"/>
      <c r="D787" s="79"/>
      <c r="E787" s="79"/>
      <c r="P787" s="79"/>
      <c r="Q787" s="79"/>
      <c r="R787" s="79"/>
      <c r="Y787" s="79"/>
      <c r="AC787" s="130"/>
      <c r="AE787" s="106"/>
    </row>
    <row r="788">
      <c r="C788" s="79"/>
      <c r="D788" s="79"/>
      <c r="E788" s="79"/>
      <c r="P788" s="79"/>
      <c r="Q788" s="79"/>
      <c r="R788" s="79"/>
      <c r="Y788" s="79"/>
      <c r="AC788" s="130"/>
      <c r="AE788" s="106"/>
    </row>
    <row r="789">
      <c r="C789" s="79"/>
      <c r="D789" s="79"/>
      <c r="E789" s="79"/>
      <c r="P789" s="79"/>
      <c r="Q789" s="79"/>
      <c r="R789" s="79"/>
      <c r="Y789" s="79"/>
      <c r="AC789" s="130"/>
      <c r="AE789" s="106"/>
    </row>
    <row r="790">
      <c r="C790" s="79"/>
      <c r="D790" s="79"/>
      <c r="E790" s="79"/>
      <c r="P790" s="79"/>
      <c r="Q790" s="79"/>
      <c r="R790" s="79"/>
      <c r="Y790" s="79"/>
      <c r="AC790" s="130"/>
      <c r="AE790" s="106"/>
    </row>
    <row r="791">
      <c r="C791" s="79"/>
      <c r="D791" s="79"/>
      <c r="E791" s="79"/>
      <c r="P791" s="79"/>
      <c r="Q791" s="79"/>
      <c r="R791" s="79"/>
      <c r="Y791" s="79"/>
      <c r="AC791" s="130"/>
      <c r="AE791" s="106"/>
    </row>
    <row r="792">
      <c r="C792" s="79"/>
      <c r="D792" s="79"/>
      <c r="E792" s="79"/>
      <c r="P792" s="79"/>
      <c r="Q792" s="79"/>
      <c r="R792" s="79"/>
      <c r="Y792" s="79"/>
      <c r="AC792" s="130"/>
      <c r="AE792" s="106"/>
    </row>
    <row r="793">
      <c r="C793" s="79"/>
      <c r="D793" s="79"/>
      <c r="E793" s="79"/>
      <c r="P793" s="79"/>
      <c r="Q793" s="79"/>
      <c r="R793" s="79"/>
      <c r="Y793" s="79"/>
      <c r="AC793" s="130"/>
      <c r="AE793" s="106"/>
    </row>
    <row r="794">
      <c r="C794" s="79"/>
      <c r="D794" s="79"/>
      <c r="E794" s="79"/>
      <c r="P794" s="79"/>
      <c r="Q794" s="79"/>
      <c r="R794" s="79"/>
      <c r="Y794" s="79"/>
      <c r="AC794" s="130"/>
      <c r="AE794" s="106"/>
    </row>
    <row r="795">
      <c r="C795" s="79"/>
      <c r="D795" s="79"/>
      <c r="E795" s="79"/>
      <c r="P795" s="79"/>
      <c r="Q795" s="79"/>
      <c r="R795" s="79"/>
      <c r="Y795" s="79"/>
      <c r="AC795" s="130"/>
      <c r="AE795" s="106"/>
    </row>
    <row r="796">
      <c r="C796" s="79"/>
      <c r="D796" s="79"/>
      <c r="E796" s="79"/>
      <c r="P796" s="79"/>
      <c r="Q796" s="79"/>
      <c r="R796" s="79"/>
      <c r="Y796" s="79"/>
      <c r="AC796" s="130"/>
      <c r="AE796" s="106"/>
    </row>
    <row r="797">
      <c r="C797" s="79"/>
      <c r="D797" s="79"/>
      <c r="E797" s="79"/>
      <c r="P797" s="79"/>
      <c r="Q797" s="79"/>
      <c r="R797" s="79"/>
      <c r="Y797" s="79"/>
      <c r="AC797" s="130"/>
      <c r="AE797" s="106"/>
    </row>
    <row r="798">
      <c r="C798" s="79"/>
      <c r="D798" s="79"/>
      <c r="E798" s="79"/>
      <c r="P798" s="79"/>
      <c r="Q798" s="79"/>
      <c r="R798" s="79"/>
      <c r="Y798" s="79"/>
      <c r="AC798" s="130"/>
      <c r="AE798" s="106"/>
    </row>
    <row r="799">
      <c r="C799" s="79"/>
      <c r="D799" s="79"/>
      <c r="E799" s="79"/>
      <c r="P799" s="79"/>
      <c r="Q799" s="79"/>
      <c r="R799" s="79"/>
      <c r="Y799" s="79"/>
      <c r="AC799" s="130"/>
      <c r="AE799" s="106"/>
    </row>
    <row r="800">
      <c r="C800" s="79"/>
      <c r="D800" s="79"/>
      <c r="E800" s="79"/>
      <c r="P800" s="79"/>
      <c r="Q800" s="79"/>
      <c r="R800" s="79"/>
      <c r="Y800" s="79"/>
      <c r="AC800" s="130"/>
      <c r="AE800" s="106"/>
    </row>
    <row r="801">
      <c r="C801" s="79"/>
      <c r="D801" s="79"/>
      <c r="E801" s="79"/>
      <c r="P801" s="79"/>
      <c r="Q801" s="79"/>
      <c r="R801" s="79"/>
      <c r="Y801" s="79"/>
      <c r="AC801" s="130"/>
      <c r="AE801" s="106"/>
    </row>
    <row r="802">
      <c r="C802" s="79"/>
      <c r="D802" s="79"/>
      <c r="E802" s="79"/>
      <c r="P802" s="79"/>
      <c r="Q802" s="79"/>
      <c r="R802" s="79"/>
      <c r="Y802" s="79"/>
      <c r="AC802" s="130"/>
      <c r="AE802" s="106"/>
    </row>
    <row r="803">
      <c r="C803" s="79"/>
      <c r="D803" s="79"/>
      <c r="E803" s="79"/>
      <c r="P803" s="79"/>
      <c r="Q803" s="79"/>
      <c r="R803" s="79"/>
      <c r="Y803" s="79"/>
      <c r="AC803" s="130"/>
      <c r="AE803" s="106"/>
    </row>
    <row r="804">
      <c r="C804" s="79"/>
      <c r="D804" s="79"/>
      <c r="E804" s="79"/>
      <c r="P804" s="79"/>
      <c r="Q804" s="79"/>
      <c r="R804" s="79"/>
      <c r="Y804" s="79"/>
      <c r="AC804" s="130"/>
      <c r="AE804" s="106"/>
    </row>
    <row r="805">
      <c r="C805" s="79"/>
      <c r="D805" s="79"/>
      <c r="E805" s="79"/>
      <c r="P805" s="79"/>
      <c r="Q805" s="79"/>
      <c r="R805" s="79"/>
      <c r="Y805" s="79"/>
      <c r="AC805" s="130"/>
      <c r="AE805" s="106"/>
    </row>
    <row r="806">
      <c r="C806" s="79"/>
      <c r="D806" s="79"/>
      <c r="E806" s="79"/>
      <c r="P806" s="79"/>
      <c r="Q806" s="79"/>
      <c r="R806" s="79"/>
      <c r="Y806" s="79"/>
      <c r="AC806" s="130"/>
      <c r="AE806" s="106"/>
    </row>
    <row r="807">
      <c r="C807" s="79"/>
      <c r="D807" s="79"/>
      <c r="E807" s="79"/>
      <c r="P807" s="79"/>
      <c r="Q807" s="79"/>
      <c r="R807" s="79"/>
      <c r="Y807" s="79"/>
      <c r="AC807" s="130"/>
      <c r="AE807" s="106"/>
    </row>
    <row r="808">
      <c r="C808" s="79"/>
      <c r="D808" s="79"/>
      <c r="E808" s="79"/>
      <c r="P808" s="79"/>
      <c r="Q808" s="79"/>
      <c r="R808" s="79"/>
      <c r="Y808" s="79"/>
      <c r="AC808" s="130"/>
      <c r="AE808" s="106"/>
    </row>
    <row r="809">
      <c r="C809" s="79"/>
      <c r="D809" s="79"/>
      <c r="E809" s="79"/>
      <c r="P809" s="79"/>
      <c r="Q809" s="79"/>
      <c r="R809" s="79"/>
      <c r="Y809" s="79"/>
      <c r="AC809" s="130"/>
      <c r="AE809" s="106"/>
    </row>
    <row r="810">
      <c r="C810" s="79"/>
      <c r="D810" s="79"/>
      <c r="E810" s="79"/>
      <c r="P810" s="79"/>
      <c r="Q810" s="79"/>
      <c r="R810" s="79"/>
      <c r="Y810" s="79"/>
      <c r="AC810" s="130"/>
      <c r="AE810" s="106"/>
    </row>
    <row r="811">
      <c r="C811" s="79"/>
      <c r="D811" s="79"/>
      <c r="E811" s="79"/>
      <c r="P811" s="79"/>
      <c r="Q811" s="79"/>
      <c r="R811" s="79"/>
      <c r="Y811" s="79"/>
      <c r="AC811" s="130"/>
      <c r="AE811" s="106"/>
    </row>
    <row r="812">
      <c r="C812" s="79"/>
      <c r="D812" s="79"/>
      <c r="E812" s="79"/>
      <c r="P812" s="79"/>
      <c r="Q812" s="79"/>
      <c r="R812" s="79"/>
      <c r="Y812" s="79"/>
      <c r="AC812" s="130"/>
      <c r="AE812" s="106"/>
    </row>
    <row r="813">
      <c r="C813" s="79"/>
      <c r="D813" s="79"/>
      <c r="E813" s="79"/>
      <c r="P813" s="79"/>
      <c r="Q813" s="79"/>
      <c r="R813" s="79"/>
      <c r="Y813" s="79"/>
      <c r="AC813" s="130"/>
      <c r="AE813" s="106"/>
    </row>
    <row r="814">
      <c r="C814" s="79"/>
      <c r="D814" s="79"/>
      <c r="E814" s="79"/>
      <c r="P814" s="79"/>
      <c r="Q814" s="79"/>
      <c r="R814" s="79"/>
      <c r="Y814" s="79"/>
      <c r="AC814" s="130"/>
      <c r="AE814" s="106"/>
    </row>
    <row r="815">
      <c r="C815" s="79"/>
      <c r="D815" s="79"/>
      <c r="E815" s="79"/>
      <c r="P815" s="79"/>
      <c r="Q815" s="79"/>
      <c r="R815" s="79"/>
      <c r="Y815" s="79"/>
      <c r="AC815" s="130"/>
      <c r="AE815" s="106"/>
    </row>
    <row r="816">
      <c r="C816" s="79"/>
      <c r="D816" s="79"/>
      <c r="E816" s="79"/>
      <c r="P816" s="79"/>
      <c r="Q816" s="79"/>
      <c r="R816" s="79"/>
      <c r="Y816" s="79"/>
      <c r="AC816" s="130"/>
      <c r="AE816" s="106"/>
    </row>
    <row r="817">
      <c r="C817" s="79"/>
      <c r="D817" s="79"/>
      <c r="E817" s="79"/>
      <c r="P817" s="79"/>
      <c r="Q817" s="79"/>
      <c r="R817" s="79"/>
      <c r="Y817" s="79"/>
      <c r="AC817" s="130"/>
      <c r="AE817" s="106"/>
    </row>
    <row r="818">
      <c r="C818" s="79"/>
      <c r="D818" s="79"/>
      <c r="E818" s="79"/>
      <c r="P818" s="79"/>
      <c r="Q818" s="79"/>
      <c r="R818" s="79"/>
      <c r="Y818" s="79"/>
      <c r="AC818" s="130"/>
      <c r="AE818" s="106"/>
    </row>
    <row r="819">
      <c r="C819" s="79"/>
      <c r="D819" s="79"/>
      <c r="E819" s="79"/>
      <c r="P819" s="79"/>
      <c r="Q819" s="79"/>
      <c r="R819" s="79"/>
      <c r="Y819" s="79"/>
      <c r="AC819" s="130"/>
      <c r="AE819" s="106"/>
    </row>
    <row r="820">
      <c r="C820" s="79"/>
      <c r="D820" s="79"/>
      <c r="E820" s="79"/>
      <c r="P820" s="79"/>
      <c r="Q820" s="79"/>
      <c r="R820" s="79"/>
      <c r="Y820" s="79"/>
      <c r="AC820" s="130"/>
      <c r="AE820" s="106"/>
    </row>
    <row r="821">
      <c r="C821" s="79"/>
      <c r="D821" s="79"/>
      <c r="E821" s="79"/>
      <c r="P821" s="79"/>
      <c r="Q821" s="79"/>
      <c r="R821" s="79"/>
      <c r="Y821" s="79"/>
      <c r="AC821" s="130"/>
      <c r="AE821" s="106"/>
    </row>
    <row r="822">
      <c r="C822" s="79"/>
      <c r="D822" s="79"/>
      <c r="E822" s="79"/>
      <c r="P822" s="79"/>
      <c r="Q822" s="79"/>
      <c r="R822" s="79"/>
      <c r="Y822" s="79"/>
      <c r="AC822" s="130"/>
      <c r="AE822" s="106"/>
    </row>
    <row r="823">
      <c r="C823" s="79"/>
      <c r="D823" s="79"/>
      <c r="E823" s="79"/>
      <c r="P823" s="79"/>
      <c r="Q823" s="79"/>
      <c r="R823" s="79"/>
      <c r="Y823" s="79"/>
      <c r="AC823" s="130"/>
      <c r="AE823" s="106"/>
    </row>
    <row r="824">
      <c r="C824" s="79"/>
      <c r="D824" s="79"/>
      <c r="E824" s="79"/>
      <c r="P824" s="79"/>
      <c r="Q824" s="79"/>
      <c r="R824" s="79"/>
      <c r="Y824" s="79"/>
      <c r="AC824" s="130"/>
      <c r="AE824" s="106"/>
    </row>
    <row r="825">
      <c r="C825" s="79"/>
      <c r="D825" s="79"/>
      <c r="E825" s="79"/>
      <c r="P825" s="79"/>
      <c r="Q825" s="79"/>
      <c r="R825" s="79"/>
      <c r="Y825" s="79"/>
      <c r="AC825" s="130"/>
      <c r="AE825" s="106"/>
    </row>
    <row r="826">
      <c r="C826" s="79"/>
      <c r="D826" s="79"/>
      <c r="E826" s="79"/>
      <c r="P826" s="79"/>
      <c r="Q826" s="79"/>
      <c r="R826" s="79"/>
      <c r="Y826" s="79"/>
      <c r="AC826" s="130"/>
      <c r="AE826" s="106"/>
    </row>
    <row r="827">
      <c r="C827" s="79"/>
      <c r="D827" s="79"/>
      <c r="E827" s="79"/>
      <c r="P827" s="79"/>
      <c r="Q827" s="79"/>
      <c r="R827" s="79"/>
      <c r="Y827" s="79"/>
      <c r="AC827" s="130"/>
      <c r="AE827" s="106"/>
    </row>
    <row r="828">
      <c r="C828" s="79"/>
      <c r="D828" s="79"/>
      <c r="E828" s="79"/>
      <c r="P828" s="79"/>
      <c r="Q828" s="79"/>
      <c r="R828" s="79"/>
      <c r="Y828" s="79"/>
      <c r="AC828" s="130"/>
      <c r="AE828" s="106"/>
    </row>
    <row r="829">
      <c r="C829" s="79"/>
      <c r="D829" s="79"/>
      <c r="E829" s="79"/>
      <c r="P829" s="79"/>
      <c r="Q829" s="79"/>
      <c r="R829" s="79"/>
      <c r="Y829" s="79"/>
      <c r="AC829" s="130"/>
      <c r="AE829" s="106"/>
    </row>
    <row r="830">
      <c r="C830" s="79"/>
      <c r="D830" s="79"/>
      <c r="E830" s="79"/>
      <c r="P830" s="79"/>
      <c r="Q830" s="79"/>
      <c r="R830" s="79"/>
      <c r="Y830" s="79"/>
      <c r="AC830" s="130"/>
      <c r="AE830" s="106"/>
    </row>
    <row r="831">
      <c r="C831" s="79"/>
      <c r="D831" s="79"/>
      <c r="E831" s="79"/>
      <c r="P831" s="79"/>
      <c r="Q831" s="79"/>
      <c r="R831" s="79"/>
      <c r="Y831" s="79"/>
      <c r="AC831" s="130"/>
      <c r="AE831" s="106"/>
    </row>
    <row r="832">
      <c r="C832" s="79"/>
      <c r="D832" s="79"/>
      <c r="E832" s="79"/>
      <c r="P832" s="79"/>
      <c r="Q832" s="79"/>
      <c r="R832" s="79"/>
      <c r="Y832" s="79"/>
      <c r="AC832" s="130"/>
      <c r="AE832" s="106"/>
    </row>
    <row r="833">
      <c r="C833" s="79"/>
      <c r="D833" s="79"/>
      <c r="E833" s="79"/>
      <c r="P833" s="79"/>
      <c r="Q833" s="79"/>
      <c r="R833" s="79"/>
      <c r="Y833" s="79"/>
      <c r="AC833" s="130"/>
      <c r="AE833" s="106"/>
    </row>
    <row r="834">
      <c r="C834" s="79"/>
      <c r="D834" s="79"/>
      <c r="E834" s="79"/>
      <c r="P834" s="79"/>
      <c r="Q834" s="79"/>
      <c r="R834" s="79"/>
      <c r="Y834" s="79"/>
      <c r="AC834" s="130"/>
      <c r="AE834" s="106"/>
    </row>
    <row r="835">
      <c r="C835" s="79"/>
      <c r="D835" s="79"/>
      <c r="E835" s="79"/>
      <c r="P835" s="79"/>
      <c r="Q835" s="79"/>
      <c r="R835" s="79"/>
      <c r="Y835" s="79"/>
      <c r="AC835" s="130"/>
      <c r="AE835" s="106"/>
    </row>
    <row r="836">
      <c r="C836" s="79"/>
      <c r="D836" s="79"/>
      <c r="E836" s="79"/>
      <c r="P836" s="79"/>
      <c r="Q836" s="79"/>
      <c r="R836" s="79"/>
      <c r="Y836" s="79"/>
      <c r="AC836" s="130"/>
      <c r="AE836" s="106"/>
    </row>
    <row r="837">
      <c r="C837" s="79"/>
      <c r="D837" s="79"/>
      <c r="E837" s="79"/>
      <c r="P837" s="79"/>
      <c r="Q837" s="79"/>
      <c r="R837" s="79"/>
      <c r="Y837" s="79"/>
      <c r="AC837" s="130"/>
      <c r="AE837" s="106"/>
    </row>
    <row r="838">
      <c r="C838" s="79"/>
      <c r="D838" s="79"/>
      <c r="E838" s="79"/>
      <c r="P838" s="79"/>
      <c r="Q838" s="79"/>
      <c r="R838" s="79"/>
      <c r="Y838" s="79"/>
      <c r="AC838" s="130"/>
      <c r="AE838" s="106"/>
    </row>
    <row r="839">
      <c r="C839" s="79"/>
      <c r="D839" s="79"/>
      <c r="E839" s="79"/>
      <c r="P839" s="79"/>
      <c r="Q839" s="79"/>
      <c r="R839" s="79"/>
      <c r="Y839" s="79"/>
      <c r="AC839" s="130"/>
      <c r="AE839" s="106"/>
    </row>
    <row r="840">
      <c r="C840" s="79"/>
      <c r="D840" s="79"/>
      <c r="E840" s="79"/>
      <c r="P840" s="79"/>
      <c r="Q840" s="79"/>
      <c r="R840" s="79"/>
      <c r="Y840" s="79"/>
      <c r="AC840" s="130"/>
      <c r="AE840" s="106"/>
    </row>
    <row r="841">
      <c r="C841" s="79"/>
      <c r="D841" s="79"/>
      <c r="E841" s="79"/>
      <c r="P841" s="79"/>
      <c r="Q841" s="79"/>
      <c r="R841" s="79"/>
      <c r="Y841" s="79"/>
      <c r="AC841" s="130"/>
      <c r="AE841" s="106"/>
    </row>
    <row r="842">
      <c r="C842" s="79"/>
      <c r="D842" s="79"/>
      <c r="E842" s="79"/>
      <c r="P842" s="79"/>
      <c r="Q842" s="79"/>
      <c r="R842" s="79"/>
      <c r="Y842" s="79"/>
      <c r="AC842" s="130"/>
      <c r="AE842" s="106"/>
    </row>
    <row r="843">
      <c r="C843" s="79"/>
      <c r="D843" s="79"/>
      <c r="E843" s="79"/>
      <c r="P843" s="79"/>
      <c r="Q843" s="79"/>
      <c r="R843" s="79"/>
      <c r="Y843" s="79"/>
      <c r="AC843" s="130"/>
      <c r="AE843" s="106"/>
    </row>
    <row r="844">
      <c r="C844" s="79"/>
      <c r="D844" s="79"/>
      <c r="E844" s="79"/>
      <c r="P844" s="79"/>
      <c r="Q844" s="79"/>
      <c r="R844" s="79"/>
      <c r="Y844" s="79"/>
      <c r="AC844" s="130"/>
      <c r="AE844" s="106"/>
    </row>
    <row r="845">
      <c r="C845" s="79"/>
      <c r="D845" s="79"/>
      <c r="E845" s="79"/>
      <c r="P845" s="79"/>
      <c r="Q845" s="79"/>
      <c r="R845" s="79"/>
      <c r="Y845" s="79"/>
      <c r="AC845" s="130"/>
      <c r="AE845" s="106"/>
    </row>
    <row r="846">
      <c r="C846" s="79"/>
      <c r="D846" s="79"/>
      <c r="E846" s="79"/>
      <c r="P846" s="79"/>
      <c r="Q846" s="79"/>
      <c r="R846" s="79"/>
      <c r="Y846" s="79"/>
      <c r="AC846" s="130"/>
      <c r="AE846" s="106"/>
    </row>
    <row r="847">
      <c r="C847" s="79"/>
      <c r="D847" s="79"/>
      <c r="E847" s="79"/>
      <c r="P847" s="79"/>
      <c r="Q847" s="79"/>
      <c r="R847" s="79"/>
      <c r="Y847" s="79"/>
      <c r="AC847" s="130"/>
      <c r="AE847" s="106"/>
    </row>
    <row r="848">
      <c r="C848" s="79"/>
      <c r="D848" s="79"/>
      <c r="E848" s="79"/>
      <c r="P848" s="79"/>
      <c r="Q848" s="79"/>
      <c r="R848" s="79"/>
      <c r="Y848" s="79"/>
      <c r="AC848" s="130"/>
      <c r="AE848" s="106"/>
    </row>
    <row r="849">
      <c r="C849" s="79"/>
      <c r="D849" s="79"/>
      <c r="E849" s="79"/>
      <c r="P849" s="79"/>
      <c r="Q849" s="79"/>
      <c r="R849" s="79"/>
      <c r="Y849" s="79"/>
      <c r="AC849" s="130"/>
      <c r="AE849" s="106"/>
    </row>
    <row r="850">
      <c r="C850" s="79"/>
      <c r="D850" s="79"/>
      <c r="E850" s="79"/>
      <c r="P850" s="79"/>
      <c r="Q850" s="79"/>
      <c r="R850" s="79"/>
      <c r="Y850" s="79"/>
      <c r="AC850" s="130"/>
      <c r="AE850" s="106"/>
    </row>
    <row r="851">
      <c r="C851" s="79"/>
      <c r="D851" s="79"/>
      <c r="E851" s="79"/>
      <c r="P851" s="79"/>
      <c r="Q851" s="79"/>
      <c r="R851" s="79"/>
      <c r="Y851" s="79"/>
      <c r="AC851" s="130"/>
      <c r="AE851" s="106"/>
    </row>
    <row r="852">
      <c r="C852" s="79"/>
      <c r="D852" s="79"/>
      <c r="E852" s="79"/>
      <c r="P852" s="79"/>
      <c r="Q852" s="79"/>
      <c r="R852" s="79"/>
      <c r="Y852" s="79"/>
      <c r="AC852" s="130"/>
      <c r="AE852" s="106"/>
    </row>
    <row r="853">
      <c r="C853" s="79"/>
      <c r="D853" s="79"/>
      <c r="E853" s="79"/>
      <c r="P853" s="79"/>
      <c r="Q853" s="79"/>
      <c r="R853" s="79"/>
      <c r="Y853" s="79"/>
      <c r="AC853" s="130"/>
      <c r="AE853" s="106"/>
    </row>
    <row r="854">
      <c r="C854" s="79"/>
      <c r="D854" s="79"/>
      <c r="E854" s="79"/>
      <c r="P854" s="79"/>
      <c r="Q854" s="79"/>
      <c r="R854" s="79"/>
      <c r="Y854" s="79"/>
      <c r="AC854" s="130"/>
      <c r="AE854" s="106"/>
    </row>
    <row r="855">
      <c r="C855" s="79"/>
      <c r="D855" s="79"/>
      <c r="E855" s="79"/>
      <c r="P855" s="79"/>
      <c r="Q855" s="79"/>
      <c r="R855" s="79"/>
      <c r="Y855" s="79"/>
      <c r="AC855" s="130"/>
      <c r="AE855" s="106"/>
    </row>
    <row r="856">
      <c r="C856" s="79"/>
      <c r="D856" s="79"/>
      <c r="E856" s="79"/>
      <c r="P856" s="79"/>
      <c r="Q856" s="79"/>
      <c r="R856" s="79"/>
      <c r="Y856" s="79"/>
      <c r="AC856" s="130"/>
      <c r="AE856" s="106"/>
    </row>
    <row r="857">
      <c r="C857" s="79"/>
      <c r="D857" s="79"/>
      <c r="E857" s="79"/>
      <c r="P857" s="79"/>
      <c r="Q857" s="79"/>
      <c r="R857" s="79"/>
      <c r="Y857" s="79"/>
      <c r="AC857" s="130"/>
      <c r="AE857" s="106"/>
    </row>
    <row r="858">
      <c r="C858" s="79"/>
      <c r="D858" s="79"/>
      <c r="E858" s="79"/>
      <c r="P858" s="79"/>
      <c r="Q858" s="79"/>
      <c r="R858" s="79"/>
      <c r="Y858" s="79"/>
      <c r="AC858" s="130"/>
      <c r="AE858" s="106"/>
    </row>
    <row r="859">
      <c r="C859" s="79"/>
      <c r="D859" s="79"/>
      <c r="E859" s="79"/>
      <c r="P859" s="79"/>
      <c r="Q859" s="79"/>
      <c r="R859" s="79"/>
      <c r="Y859" s="79"/>
      <c r="AC859" s="130"/>
      <c r="AE859" s="106"/>
    </row>
    <row r="860">
      <c r="C860" s="79"/>
      <c r="D860" s="79"/>
      <c r="E860" s="79"/>
      <c r="P860" s="79"/>
      <c r="Q860" s="79"/>
      <c r="R860" s="79"/>
      <c r="Y860" s="79"/>
      <c r="AC860" s="130"/>
      <c r="AE860" s="106"/>
    </row>
    <row r="861">
      <c r="C861" s="79"/>
      <c r="D861" s="79"/>
      <c r="E861" s="79"/>
      <c r="P861" s="79"/>
      <c r="Q861" s="79"/>
      <c r="R861" s="79"/>
      <c r="Y861" s="79"/>
      <c r="AC861" s="130"/>
      <c r="AE861" s="106"/>
    </row>
    <row r="862">
      <c r="C862" s="79"/>
      <c r="D862" s="79"/>
      <c r="E862" s="79"/>
      <c r="P862" s="79"/>
      <c r="Q862" s="79"/>
      <c r="R862" s="79"/>
      <c r="Y862" s="79"/>
      <c r="AC862" s="130"/>
      <c r="AE862" s="106"/>
    </row>
    <row r="863">
      <c r="C863" s="79"/>
      <c r="D863" s="79"/>
      <c r="E863" s="79"/>
      <c r="P863" s="79"/>
      <c r="Q863" s="79"/>
      <c r="R863" s="79"/>
      <c r="Y863" s="79"/>
      <c r="AC863" s="130"/>
      <c r="AE863" s="106"/>
    </row>
    <row r="864">
      <c r="C864" s="79"/>
      <c r="D864" s="79"/>
      <c r="E864" s="79"/>
      <c r="P864" s="79"/>
      <c r="Q864" s="79"/>
      <c r="R864" s="79"/>
      <c r="Y864" s="79"/>
      <c r="AC864" s="130"/>
      <c r="AE864" s="106"/>
    </row>
    <row r="865">
      <c r="C865" s="79"/>
      <c r="D865" s="79"/>
      <c r="E865" s="79"/>
      <c r="P865" s="79"/>
      <c r="Q865" s="79"/>
      <c r="R865" s="79"/>
      <c r="Y865" s="79"/>
      <c r="AC865" s="130"/>
      <c r="AE865" s="106"/>
    </row>
    <row r="866">
      <c r="C866" s="79"/>
      <c r="D866" s="79"/>
      <c r="E866" s="79"/>
      <c r="P866" s="79"/>
      <c r="Q866" s="79"/>
      <c r="R866" s="79"/>
      <c r="Y866" s="79"/>
      <c r="AC866" s="130"/>
      <c r="AE866" s="106"/>
    </row>
    <row r="867">
      <c r="C867" s="79"/>
      <c r="D867" s="79"/>
      <c r="E867" s="79"/>
      <c r="P867" s="79"/>
      <c r="Q867" s="79"/>
      <c r="R867" s="79"/>
      <c r="Y867" s="79"/>
      <c r="AC867" s="130"/>
      <c r="AE867" s="106"/>
    </row>
    <row r="868">
      <c r="C868" s="79"/>
      <c r="D868" s="79"/>
      <c r="E868" s="79"/>
      <c r="P868" s="79"/>
      <c r="Q868" s="79"/>
      <c r="R868" s="79"/>
      <c r="Y868" s="79"/>
      <c r="AC868" s="130"/>
      <c r="AE868" s="106"/>
    </row>
    <row r="869">
      <c r="C869" s="79"/>
      <c r="D869" s="79"/>
      <c r="E869" s="79"/>
      <c r="P869" s="79"/>
      <c r="Q869" s="79"/>
      <c r="R869" s="79"/>
      <c r="Y869" s="79"/>
      <c r="AC869" s="130"/>
      <c r="AE869" s="106"/>
    </row>
    <row r="870">
      <c r="C870" s="79"/>
      <c r="D870" s="79"/>
      <c r="E870" s="79"/>
      <c r="P870" s="79"/>
      <c r="Q870" s="79"/>
      <c r="R870" s="79"/>
      <c r="Y870" s="79"/>
      <c r="AC870" s="130"/>
      <c r="AE870" s="106"/>
    </row>
    <row r="871">
      <c r="C871" s="79"/>
      <c r="D871" s="79"/>
      <c r="E871" s="79"/>
      <c r="P871" s="79"/>
      <c r="Q871" s="79"/>
      <c r="R871" s="79"/>
      <c r="Y871" s="79"/>
      <c r="AC871" s="130"/>
      <c r="AE871" s="106"/>
    </row>
    <row r="872">
      <c r="C872" s="79"/>
      <c r="D872" s="79"/>
      <c r="E872" s="79"/>
      <c r="P872" s="79"/>
      <c r="Q872" s="79"/>
      <c r="R872" s="79"/>
      <c r="Y872" s="79"/>
      <c r="AC872" s="130"/>
      <c r="AE872" s="106"/>
    </row>
    <row r="873">
      <c r="C873" s="79"/>
      <c r="D873" s="79"/>
      <c r="E873" s="79"/>
      <c r="P873" s="79"/>
      <c r="Q873" s="79"/>
      <c r="R873" s="79"/>
      <c r="Y873" s="79"/>
      <c r="AC873" s="130"/>
      <c r="AE873" s="106"/>
    </row>
    <row r="874">
      <c r="C874" s="79"/>
      <c r="D874" s="79"/>
      <c r="E874" s="79"/>
      <c r="P874" s="79"/>
      <c r="Q874" s="79"/>
      <c r="R874" s="79"/>
      <c r="Y874" s="79"/>
      <c r="AC874" s="130"/>
      <c r="AE874" s="106"/>
    </row>
    <row r="875">
      <c r="C875" s="79"/>
      <c r="D875" s="79"/>
      <c r="E875" s="79"/>
      <c r="P875" s="79"/>
      <c r="Q875" s="79"/>
      <c r="R875" s="79"/>
      <c r="Y875" s="79"/>
      <c r="AC875" s="130"/>
      <c r="AE875" s="106"/>
    </row>
    <row r="876">
      <c r="C876" s="79"/>
      <c r="D876" s="79"/>
      <c r="E876" s="79"/>
      <c r="P876" s="79"/>
      <c r="Q876" s="79"/>
      <c r="R876" s="79"/>
      <c r="Y876" s="79"/>
      <c r="AC876" s="130"/>
      <c r="AE876" s="106"/>
    </row>
    <row r="877">
      <c r="C877" s="79"/>
      <c r="D877" s="79"/>
      <c r="E877" s="79"/>
      <c r="P877" s="79"/>
      <c r="Q877" s="79"/>
      <c r="R877" s="79"/>
      <c r="Y877" s="79"/>
      <c r="AC877" s="130"/>
      <c r="AE877" s="106"/>
    </row>
    <row r="878">
      <c r="C878" s="79"/>
      <c r="D878" s="79"/>
      <c r="E878" s="79"/>
      <c r="P878" s="79"/>
      <c r="Q878" s="79"/>
      <c r="R878" s="79"/>
      <c r="Y878" s="79"/>
      <c r="AC878" s="130"/>
      <c r="AE878" s="106"/>
    </row>
    <row r="879">
      <c r="C879" s="79"/>
      <c r="D879" s="79"/>
      <c r="E879" s="79"/>
      <c r="P879" s="79"/>
      <c r="Q879" s="79"/>
      <c r="R879" s="79"/>
      <c r="Y879" s="79"/>
      <c r="AC879" s="130"/>
      <c r="AE879" s="106"/>
    </row>
    <row r="880">
      <c r="C880" s="79"/>
      <c r="D880" s="79"/>
      <c r="E880" s="79"/>
      <c r="P880" s="79"/>
      <c r="Q880" s="79"/>
      <c r="R880" s="79"/>
      <c r="Y880" s="79"/>
      <c r="AC880" s="130"/>
      <c r="AE880" s="106"/>
    </row>
    <row r="881">
      <c r="C881" s="79"/>
      <c r="D881" s="79"/>
      <c r="E881" s="79"/>
      <c r="P881" s="79"/>
      <c r="Q881" s="79"/>
      <c r="R881" s="79"/>
      <c r="Y881" s="79"/>
      <c r="AC881" s="130"/>
      <c r="AE881" s="106"/>
    </row>
    <row r="882">
      <c r="C882" s="79"/>
      <c r="D882" s="79"/>
      <c r="E882" s="79"/>
      <c r="P882" s="79"/>
      <c r="Q882" s="79"/>
      <c r="R882" s="79"/>
      <c r="Y882" s="79"/>
      <c r="AC882" s="130"/>
      <c r="AE882" s="106"/>
    </row>
    <row r="883">
      <c r="C883" s="79"/>
      <c r="D883" s="79"/>
      <c r="E883" s="79"/>
      <c r="P883" s="79"/>
      <c r="Q883" s="79"/>
      <c r="R883" s="79"/>
      <c r="Y883" s="79"/>
      <c r="AC883" s="130"/>
      <c r="AE883" s="106"/>
    </row>
    <row r="884">
      <c r="C884" s="79"/>
      <c r="D884" s="79"/>
      <c r="E884" s="79"/>
      <c r="P884" s="79"/>
      <c r="Q884" s="79"/>
      <c r="R884" s="79"/>
      <c r="Y884" s="79"/>
      <c r="AC884" s="130"/>
      <c r="AE884" s="106"/>
    </row>
    <row r="885">
      <c r="C885" s="79"/>
      <c r="D885" s="79"/>
      <c r="E885" s="79"/>
      <c r="P885" s="79"/>
      <c r="Q885" s="79"/>
      <c r="R885" s="79"/>
      <c r="Y885" s="79"/>
      <c r="AC885" s="130"/>
      <c r="AE885" s="106"/>
    </row>
    <row r="886">
      <c r="C886" s="79"/>
      <c r="D886" s="79"/>
      <c r="E886" s="79"/>
      <c r="P886" s="79"/>
      <c r="Q886" s="79"/>
      <c r="R886" s="79"/>
      <c r="Y886" s="79"/>
      <c r="AC886" s="130"/>
      <c r="AE886" s="106"/>
    </row>
    <row r="887">
      <c r="C887" s="79"/>
      <c r="D887" s="79"/>
      <c r="E887" s="79"/>
      <c r="P887" s="79"/>
      <c r="Q887" s="79"/>
      <c r="R887" s="79"/>
      <c r="Y887" s="79"/>
      <c r="AC887" s="130"/>
      <c r="AE887" s="106"/>
    </row>
    <row r="888">
      <c r="C888" s="79"/>
      <c r="D888" s="79"/>
      <c r="E888" s="79"/>
      <c r="P888" s="79"/>
      <c r="Q888" s="79"/>
      <c r="R888" s="79"/>
      <c r="Y888" s="79"/>
      <c r="AC888" s="130"/>
      <c r="AE888" s="106"/>
    </row>
  </sheetData>
  <autoFilter ref="$A$43:$F$93">
    <sortState ref="A43:F93">
      <sortCondition descending="1" sortBy="cellColor" ref="E43:E93" dxfId="1"/>
      <sortCondition descending="1" sortBy="cellColor" ref="C43:C93" dxfId="1"/>
      <sortCondition descending="1" sortBy="cellColor" ref="A43:A93" dxfId="1"/>
    </sortState>
  </autoFilter>
  <mergeCells count="1">
    <mergeCell ref="B40:E40"/>
  </mergeCells>
  <drawing r:id="rId2"/>
  <legacyDrawing r:id="rId3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3" max="3" width="17.38"/>
    <col customWidth="1" min="5" max="5" width="15.63"/>
    <col customWidth="1" min="7" max="7" width="13.5"/>
    <col customWidth="1" min="8" max="8" width="13.25"/>
    <col customWidth="1" min="18" max="18" width="27.38"/>
    <col customWidth="1" min="26" max="26" width="14.63"/>
    <col customWidth="1" min="31" max="31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4</v>
      </c>
      <c r="J1" s="2" t="s">
        <v>5</v>
      </c>
      <c r="K1" s="2" t="s">
        <v>303</v>
      </c>
      <c r="L1" s="2" t="s">
        <v>6</v>
      </c>
      <c r="M1" s="2" t="s">
        <v>12</v>
      </c>
      <c r="N1" s="2" t="s">
        <v>49</v>
      </c>
      <c r="O1" s="2" t="s">
        <v>42</v>
      </c>
      <c r="P1" s="105" t="s">
        <v>484</v>
      </c>
      <c r="Q1" s="105" t="s">
        <v>9</v>
      </c>
      <c r="R1" s="105" t="s">
        <v>304</v>
      </c>
      <c r="S1" s="2" t="s">
        <v>37</v>
      </c>
      <c r="T1" s="2" t="s">
        <v>10</v>
      </c>
      <c r="U1" s="2" t="s">
        <v>164</v>
      </c>
      <c r="V1" s="105" t="s">
        <v>40</v>
      </c>
      <c r="W1" s="2" t="s">
        <v>83</v>
      </c>
      <c r="X1" s="2" t="s">
        <v>204</v>
      </c>
      <c r="Y1" s="105" t="s">
        <v>205</v>
      </c>
      <c r="Z1" s="2" t="s">
        <v>206</v>
      </c>
      <c r="AA1" s="2" t="s">
        <v>305</v>
      </c>
      <c r="AB1" s="3" t="s">
        <v>13</v>
      </c>
      <c r="AC1" s="3" t="s">
        <v>14</v>
      </c>
      <c r="AD1" s="3" t="s">
        <v>15</v>
      </c>
      <c r="AE1" s="106"/>
      <c r="AF1" s="265" t="s">
        <v>306</v>
      </c>
      <c r="AG1" s="266" t="s">
        <v>80</v>
      </c>
    </row>
    <row r="2">
      <c r="A2" s="74">
        <v>45495.0</v>
      </c>
      <c r="B2" s="93">
        <f>628.39-127.3+1096.17-60.15-322.11-156.96</f>
        <v>1058.04</v>
      </c>
      <c r="C2" s="93"/>
      <c r="D2" s="93"/>
      <c r="E2" s="93"/>
      <c r="F2" s="93"/>
      <c r="G2" s="93">
        <v>180.0</v>
      </c>
      <c r="H2" s="93"/>
      <c r="I2" s="93">
        <v>589.68</v>
      </c>
      <c r="J2" s="93"/>
      <c r="K2" s="93"/>
      <c r="L2" s="93"/>
      <c r="M2" s="93"/>
      <c r="N2" s="93">
        <v>168.0</v>
      </c>
      <c r="O2" s="93"/>
      <c r="P2" s="93"/>
      <c r="Q2" s="93"/>
      <c r="R2" s="93"/>
      <c r="S2" s="72"/>
      <c r="T2" s="93">
        <v>231.85</v>
      </c>
      <c r="U2" s="93"/>
      <c r="V2" s="93"/>
      <c r="W2" s="93"/>
      <c r="X2" s="93"/>
      <c r="Y2" s="93"/>
      <c r="Z2" s="93"/>
      <c r="AA2" s="326"/>
      <c r="AB2" s="107">
        <f t="shared" ref="AB2:AB8" si="1">SUM(B2:Z2)</f>
        <v>2227.57</v>
      </c>
      <c r="AC2" s="158">
        <v>4535.25</v>
      </c>
      <c r="AD2" s="59">
        <f t="shared" ref="AD2:AD8" si="2">AB2/AC2</f>
        <v>0.4911680723</v>
      </c>
      <c r="AE2" s="109">
        <f t="shared" ref="AE2:AE8" si="3">A2</f>
        <v>45495</v>
      </c>
      <c r="AF2" s="267"/>
      <c r="AG2" s="268">
        <f t="shared" ref="AG2:AG8" si="4">AC2-AF2</f>
        <v>4535.25</v>
      </c>
    </row>
    <row r="3">
      <c r="A3" s="74">
        <f t="shared" ref="A3:A8" si="5">A2+1</f>
        <v>45496</v>
      </c>
      <c r="B3" s="93">
        <f>592.87-9.14-17.41-51.41-99.11-16.23-33.83-27.83</f>
        <v>337.91</v>
      </c>
      <c r="C3" s="93">
        <v>292.8</v>
      </c>
      <c r="D3" s="93">
        <f>827.53-105.3-130.85-460.53</f>
        <v>130.85</v>
      </c>
      <c r="E3" s="93"/>
      <c r="F3" s="93"/>
      <c r="G3" s="93"/>
      <c r="H3" s="168"/>
      <c r="I3" s="93"/>
      <c r="J3" s="93">
        <f>297-198</f>
        <v>99</v>
      </c>
      <c r="K3" s="93"/>
      <c r="L3" s="93">
        <v>42.0</v>
      </c>
      <c r="M3" s="93"/>
      <c r="N3" s="93">
        <v>84.0</v>
      </c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326"/>
      <c r="AB3" s="107">
        <f t="shared" si="1"/>
        <v>986.56</v>
      </c>
      <c r="AC3" s="158">
        <v>7301.0</v>
      </c>
      <c r="AD3" s="59">
        <f t="shared" si="2"/>
        <v>0.135126695</v>
      </c>
      <c r="AE3" s="109">
        <f t="shared" si="3"/>
        <v>45496</v>
      </c>
      <c r="AF3" s="267"/>
      <c r="AG3" s="268">
        <f t="shared" si="4"/>
        <v>7301</v>
      </c>
    </row>
    <row r="4">
      <c r="A4" s="74">
        <f t="shared" si="5"/>
        <v>45497</v>
      </c>
      <c r="B4" s="93">
        <f>756.06-34.82-65.91-7.47-72.8-9.21-39.71-69.64-18.71-54.02</f>
        <v>383.77</v>
      </c>
      <c r="C4" s="250">
        <v>384.7</v>
      </c>
      <c r="D4" s="93"/>
      <c r="E4" s="93"/>
      <c r="F4" s="93"/>
      <c r="G4" s="93">
        <v>180.0</v>
      </c>
      <c r="H4" s="168"/>
      <c r="I4" s="93">
        <f>71.74+819.53</f>
        <v>891.27</v>
      </c>
      <c r="J4" s="93"/>
      <c r="K4" s="93"/>
      <c r="L4" s="93"/>
      <c r="M4" s="93"/>
      <c r="N4" s="93"/>
      <c r="O4" s="93"/>
      <c r="P4" s="93"/>
      <c r="Q4" s="93"/>
      <c r="R4" s="93"/>
      <c r="S4" s="160"/>
      <c r="T4" s="93">
        <v>57.0</v>
      </c>
      <c r="U4" s="93"/>
      <c r="V4" s="93"/>
      <c r="W4" s="93"/>
      <c r="X4" s="250">
        <f>161.8-161.8</f>
        <v>0</v>
      </c>
      <c r="Y4" s="250">
        <v>187.54</v>
      </c>
      <c r="Z4" s="101"/>
      <c r="AA4" s="326"/>
      <c r="AB4" s="107">
        <f t="shared" si="1"/>
        <v>2084.28</v>
      </c>
      <c r="AC4" s="380">
        <f>237+8033</f>
        <v>8270</v>
      </c>
      <c r="AD4" s="59">
        <f t="shared" si="2"/>
        <v>0.2520290206</v>
      </c>
      <c r="AE4" s="109">
        <f t="shared" si="3"/>
        <v>45497</v>
      </c>
      <c r="AF4" s="267"/>
      <c r="AG4" s="268">
        <f t="shared" si="4"/>
        <v>8270</v>
      </c>
    </row>
    <row r="5">
      <c r="A5" s="74">
        <f t="shared" si="5"/>
        <v>45498</v>
      </c>
      <c r="B5" s="93">
        <f>1136.09-38.59-8.59-56.84-69.64-20.44-69.64+74.54</f>
        <v>946.89</v>
      </c>
      <c r="C5" s="93">
        <f>534.9-21-28.5</f>
        <v>485.4</v>
      </c>
      <c r="D5" s="93"/>
      <c r="E5" s="93"/>
      <c r="F5" s="93"/>
      <c r="G5" s="93"/>
      <c r="H5" s="160"/>
      <c r="I5" s="93"/>
      <c r="J5" s="93"/>
      <c r="K5" s="93"/>
      <c r="L5" s="93"/>
      <c r="M5" s="93"/>
      <c r="N5" s="93"/>
      <c r="O5" s="93"/>
      <c r="P5" s="101"/>
      <c r="Q5" s="93"/>
      <c r="R5" s="93">
        <v>180.0</v>
      </c>
      <c r="S5" s="93"/>
      <c r="T5" s="93"/>
      <c r="U5" s="93"/>
      <c r="V5" s="93"/>
      <c r="W5" s="93"/>
      <c r="X5" s="93"/>
      <c r="Y5" s="101"/>
      <c r="Z5" s="101"/>
      <c r="AA5" s="327"/>
      <c r="AB5" s="7">
        <f t="shared" si="1"/>
        <v>1612.29</v>
      </c>
      <c r="AC5" s="380">
        <f>1605+6736</f>
        <v>8341</v>
      </c>
      <c r="AD5" s="59">
        <f t="shared" si="2"/>
        <v>0.1932969668</v>
      </c>
      <c r="AE5" s="109">
        <f t="shared" si="3"/>
        <v>45498</v>
      </c>
      <c r="AF5" s="267"/>
      <c r="AG5" s="268">
        <f t="shared" si="4"/>
        <v>8341</v>
      </c>
    </row>
    <row r="6">
      <c r="A6" s="74">
        <f t="shared" si="5"/>
        <v>45499</v>
      </c>
      <c r="B6" s="93">
        <f>1044.12-359.29-13.92-51.3+265.59</f>
        <v>885.2</v>
      </c>
      <c r="C6" s="361"/>
      <c r="D6" s="93">
        <f>296.2+493.48-265.53</f>
        <v>524.15</v>
      </c>
      <c r="E6" s="93">
        <v>198.0</v>
      </c>
      <c r="F6" s="93"/>
      <c r="G6" s="93"/>
      <c r="H6" s="160"/>
      <c r="I6" s="93"/>
      <c r="J6" s="44">
        <f>680.9-680.9</f>
        <v>0</v>
      </c>
      <c r="K6" s="93"/>
      <c r="L6" s="93">
        <v>166.4</v>
      </c>
      <c r="M6" s="93"/>
      <c r="N6" s="250">
        <v>168.0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327"/>
      <c r="AB6" s="7">
        <f t="shared" si="1"/>
        <v>1941.75</v>
      </c>
      <c r="AC6" s="380">
        <f>852+7698</f>
        <v>8550</v>
      </c>
      <c r="AD6" s="59">
        <f t="shared" si="2"/>
        <v>0.2271052632</v>
      </c>
      <c r="AE6" s="109">
        <f t="shared" si="3"/>
        <v>45499</v>
      </c>
      <c r="AF6" s="267"/>
      <c r="AG6" s="268">
        <f t="shared" si="4"/>
        <v>8550</v>
      </c>
    </row>
    <row r="7">
      <c r="A7" s="74">
        <f t="shared" si="5"/>
        <v>45500</v>
      </c>
      <c r="B7" s="93">
        <f>1078.9-25.3-30.08-236.64+417.2-12.49-42.67-60.96-23.91-24.67-66.7</f>
        <v>972.68</v>
      </c>
      <c r="C7" s="79"/>
      <c r="D7" s="93"/>
      <c r="E7" s="93"/>
      <c r="F7" s="93"/>
      <c r="G7" s="93">
        <v>180.0</v>
      </c>
      <c r="H7" s="93"/>
      <c r="I7" s="93"/>
      <c r="J7" s="344">
        <f>297+284.9</f>
        <v>581.9</v>
      </c>
      <c r="K7" s="93"/>
      <c r="L7" s="93"/>
      <c r="M7" s="250">
        <v>47.8</v>
      </c>
      <c r="N7" s="93"/>
      <c r="O7" s="93"/>
      <c r="P7" s="101"/>
      <c r="Q7" s="93"/>
      <c r="R7" s="93"/>
      <c r="S7" s="101"/>
      <c r="T7" s="93">
        <v>117.0</v>
      </c>
      <c r="U7" s="93"/>
      <c r="V7" s="93"/>
      <c r="W7" s="93"/>
      <c r="X7" s="93"/>
      <c r="Y7" s="101"/>
      <c r="Z7" s="93"/>
      <c r="AA7" s="327"/>
      <c r="AB7" s="7">
        <f t="shared" si="1"/>
        <v>1899.38</v>
      </c>
      <c r="AC7" s="380">
        <f>2087+13117.7</f>
        <v>15204.7</v>
      </c>
      <c r="AD7" s="59">
        <f t="shared" si="2"/>
        <v>0.1249205838</v>
      </c>
      <c r="AE7" s="109">
        <f t="shared" si="3"/>
        <v>45500</v>
      </c>
      <c r="AF7" s="267"/>
      <c r="AG7" s="268">
        <f t="shared" si="4"/>
        <v>15204.7</v>
      </c>
    </row>
    <row r="8">
      <c r="A8" s="74">
        <f t="shared" si="5"/>
        <v>45501</v>
      </c>
      <c r="B8" s="93"/>
      <c r="C8" s="93"/>
      <c r="D8" s="344">
        <v>604.5</v>
      </c>
      <c r="E8" s="112"/>
      <c r="F8" s="344">
        <v>647.86</v>
      </c>
      <c r="G8" s="10"/>
      <c r="H8" s="344">
        <v>727.85</v>
      </c>
      <c r="I8" s="344">
        <v>822.91</v>
      </c>
      <c r="J8" s="374"/>
      <c r="K8" s="93"/>
      <c r="L8" s="112"/>
      <c r="M8" s="112"/>
      <c r="N8" s="93"/>
      <c r="O8" s="344">
        <v>331.72</v>
      </c>
      <c r="P8" s="112"/>
      <c r="Q8" s="93"/>
      <c r="R8" s="93">
        <v>162.0</v>
      </c>
      <c r="S8" s="344">
        <v>337.0</v>
      </c>
      <c r="T8" s="344">
        <v>230.85</v>
      </c>
      <c r="U8" s="93"/>
      <c r="V8" s="112"/>
      <c r="W8" s="112"/>
      <c r="X8" s="112"/>
      <c r="Y8" s="112"/>
      <c r="Z8" s="112"/>
      <c r="AA8" s="93"/>
      <c r="AB8" s="7">
        <f t="shared" si="1"/>
        <v>3864.69</v>
      </c>
      <c r="AC8" s="380">
        <f>3291.2+3953.6</f>
        <v>7244.8</v>
      </c>
      <c r="AD8" s="59">
        <f t="shared" si="2"/>
        <v>0.5334432973</v>
      </c>
      <c r="AE8" s="109">
        <f t="shared" si="3"/>
        <v>45501</v>
      </c>
      <c r="AF8" s="267"/>
      <c r="AG8" s="268">
        <f t="shared" si="4"/>
        <v>7244.8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AC9" s="129"/>
      <c r="AE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AC10" s="129"/>
      <c r="AE10" s="106"/>
    </row>
    <row r="11">
      <c r="A11" s="165" t="s">
        <v>194</v>
      </c>
      <c r="B11" s="93">
        <f>60.15+9.14+17.41+16.23+33.83+27.83+39.71+18.71+38.59+8.59+56.84+69.64+20.44+13.92+51.3+25.3+30.08+12.49+42.67+60.96+23.91+24.67+66.7</f>
        <v>769.11</v>
      </c>
      <c r="C11" s="93">
        <f>21+28.5</f>
        <v>49.5</v>
      </c>
      <c r="D11" s="93">
        <f>105.3+158.4+59.9</f>
        <v>323.6</v>
      </c>
      <c r="E11" s="167"/>
      <c r="F11" s="168"/>
      <c r="G11" s="168"/>
      <c r="H11" s="166"/>
      <c r="I11" s="166"/>
      <c r="J11" s="93"/>
      <c r="K11" s="168"/>
      <c r="L11" s="93"/>
      <c r="M11" s="166"/>
      <c r="N11" s="166"/>
      <c r="O11" s="168"/>
      <c r="P11" s="168"/>
      <c r="Q11" s="168"/>
      <c r="R11" s="168"/>
      <c r="S11" s="168"/>
      <c r="T11" s="168"/>
      <c r="U11" s="168"/>
      <c r="V11" s="168"/>
      <c r="W11" s="1"/>
      <c r="X11" s="168"/>
      <c r="Y11" s="168"/>
      <c r="Z11" s="1"/>
      <c r="AA11" s="1"/>
      <c r="AB11" s="1"/>
      <c r="AC11" s="169"/>
      <c r="AD11" s="1"/>
      <c r="AE11" s="170"/>
    </row>
    <row r="12">
      <c r="A12" s="165" t="s">
        <v>195</v>
      </c>
      <c r="B12" s="93">
        <f>322.11+156.96+51.41+34.82+65.91+7.47+72.8+9.21+69.64+54.02+69.64+359.29+236.64</f>
        <v>1509.92</v>
      </c>
      <c r="C12" s="93"/>
      <c r="D12" s="93">
        <f>130.85+122+265.53</f>
        <v>518.38</v>
      </c>
      <c r="E12" s="93"/>
      <c r="F12" s="93"/>
      <c r="G12" s="93"/>
      <c r="H12" s="93"/>
      <c r="I12" s="93"/>
      <c r="J12" s="93">
        <v>198.0</v>
      </c>
      <c r="K12" s="93"/>
      <c r="L12" s="93"/>
      <c r="M12" s="93"/>
      <c r="N12" s="166">
        <v>300.0</v>
      </c>
      <c r="O12" s="166"/>
      <c r="P12" s="168"/>
      <c r="Q12" s="168"/>
      <c r="R12" s="168"/>
      <c r="S12" s="168"/>
      <c r="T12" s="166"/>
      <c r="U12" s="168"/>
      <c r="V12" s="168"/>
      <c r="W12" s="1"/>
      <c r="X12" s="93"/>
      <c r="Y12" s="168"/>
      <c r="Z12" s="1"/>
      <c r="AA12" s="1"/>
      <c r="AB12" s="1"/>
      <c r="AC12" s="171"/>
      <c r="AD12" s="1"/>
      <c r="AE12" s="170"/>
    </row>
    <row r="13">
      <c r="A13" s="172" t="s">
        <v>503</v>
      </c>
      <c r="B13" s="166">
        <f>236.64+45.13</f>
        <v>281.77</v>
      </c>
      <c r="C13" s="93"/>
      <c r="D13" s="93"/>
      <c r="E13" s="168"/>
      <c r="F13" s="166"/>
      <c r="G13" s="166"/>
      <c r="H13" s="168"/>
      <c r="I13" s="166"/>
      <c r="J13" s="93"/>
      <c r="K13" s="168"/>
      <c r="L13" s="168"/>
      <c r="M13" s="168"/>
      <c r="N13" s="166"/>
      <c r="O13" s="168"/>
      <c r="P13" s="166"/>
      <c r="Q13" s="168"/>
      <c r="R13" s="168"/>
      <c r="S13" s="168"/>
      <c r="T13" s="166"/>
      <c r="U13" s="96"/>
      <c r="V13" s="1"/>
      <c r="W13" s="1"/>
      <c r="X13" s="168"/>
      <c r="Y13" s="168"/>
      <c r="Z13" s="1"/>
      <c r="AA13" s="1"/>
      <c r="AB13" s="1"/>
      <c r="AC13" s="174"/>
      <c r="AD13" s="1"/>
      <c r="AE13" s="170"/>
    </row>
    <row r="14">
      <c r="A14" s="172" t="s">
        <v>197</v>
      </c>
      <c r="B14" s="93"/>
      <c r="C14" s="93"/>
      <c r="D14" s="93"/>
      <c r="E14" s="168"/>
      <c r="F14" s="166"/>
      <c r="G14" s="166"/>
      <c r="H14" s="168"/>
      <c r="I14" s="168"/>
      <c r="J14" s="93"/>
      <c r="K14" s="168"/>
      <c r="L14" s="168"/>
      <c r="M14" s="168"/>
      <c r="N14" s="166"/>
      <c r="O14" s="168"/>
      <c r="P14" s="168"/>
      <c r="Q14" s="168"/>
      <c r="R14" s="168"/>
      <c r="S14" s="168"/>
      <c r="T14" s="166"/>
      <c r="U14" s="1"/>
      <c r="V14" s="1"/>
      <c r="W14" s="1"/>
      <c r="X14" s="168"/>
      <c r="Y14" s="168"/>
      <c r="Z14" s="1"/>
      <c r="AA14" s="1"/>
      <c r="AB14" s="1"/>
      <c r="AC14" s="174"/>
      <c r="AD14" s="1"/>
      <c r="AE14" s="170"/>
    </row>
    <row r="15">
      <c r="A15" s="165" t="s">
        <v>198</v>
      </c>
      <c r="B15" s="93">
        <v>99.11</v>
      </c>
      <c r="C15" s="93"/>
      <c r="D15" s="93"/>
      <c r="E15" s="168"/>
      <c r="F15" s="166"/>
      <c r="G15" s="166"/>
      <c r="H15" s="168"/>
      <c r="I15" s="168"/>
      <c r="J15" s="93"/>
      <c r="K15" s="168"/>
      <c r="L15" s="168"/>
      <c r="M15" s="168"/>
      <c r="N15" s="166"/>
      <c r="O15" s="168"/>
      <c r="P15" s="168"/>
      <c r="Q15" s="168"/>
      <c r="R15" s="168"/>
      <c r="S15" s="168"/>
      <c r="T15" s="166"/>
      <c r="U15" s="1"/>
      <c r="V15" s="1"/>
      <c r="W15" s="1"/>
      <c r="X15" s="168"/>
      <c r="Y15" s="168"/>
      <c r="Z15" s="1"/>
      <c r="AA15" s="1"/>
      <c r="AB15" s="1"/>
      <c r="AC15" s="174"/>
      <c r="AD15" s="1"/>
      <c r="AE15" s="170"/>
    </row>
    <row r="16">
      <c r="A16" s="91"/>
      <c r="B16" s="375"/>
      <c r="C16" s="79"/>
      <c r="D16" s="79"/>
      <c r="E16" s="79"/>
      <c r="F16" s="78"/>
      <c r="G16" s="78"/>
      <c r="H16" s="79"/>
      <c r="I16" s="78"/>
      <c r="J16" s="79"/>
      <c r="K16" s="79"/>
      <c r="L16" s="79"/>
      <c r="M16" s="79"/>
      <c r="N16" s="79"/>
      <c r="O16" s="79"/>
      <c r="P16" s="79"/>
      <c r="Q16" s="79"/>
      <c r="R16" s="79"/>
      <c r="Y16" s="79"/>
      <c r="AC16" s="131"/>
      <c r="AE16" s="106"/>
    </row>
    <row r="17">
      <c r="A17" s="91"/>
      <c r="B17" s="92"/>
      <c r="C17" s="78"/>
      <c r="D17" s="78"/>
      <c r="E17" s="151"/>
      <c r="F17" s="201"/>
      <c r="G17" s="240"/>
      <c r="H17" s="204"/>
      <c r="I17" s="198"/>
      <c r="J17" s="201"/>
      <c r="K17" s="199"/>
      <c r="L17" s="199"/>
      <c r="M17" s="200"/>
      <c r="N17" s="202"/>
      <c r="O17" s="198"/>
      <c r="P17" s="79"/>
      <c r="Q17" s="198"/>
      <c r="R17" s="198"/>
      <c r="U17" s="198"/>
      <c r="V17" s="198"/>
      <c r="W17" s="198"/>
      <c r="X17" s="199"/>
      <c r="Y17" s="79"/>
      <c r="AC17" s="131"/>
      <c r="AE17" s="106"/>
    </row>
    <row r="18">
      <c r="A18" s="4" t="s">
        <v>22</v>
      </c>
      <c r="B18" s="11">
        <v>10000.0</v>
      </c>
      <c r="C18" s="79"/>
      <c r="D18" s="79"/>
      <c r="E18" s="78"/>
      <c r="F18" s="213"/>
      <c r="G18" s="213"/>
      <c r="H18" s="192"/>
      <c r="K18" s="201"/>
      <c r="L18" s="201"/>
      <c r="M18" s="198"/>
      <c r="N18" s="200"/>
      <c r="O18" s="203"/>
      <c r="P18" s="79"/>
      <c r="Q18" s="198"/>
      <c r="R18" s="198"/>
      <c r="S18" s="204"/>
      <c r="U18" s="198"/>
      <c r="V18" s="198"/>
      <c r="W18" s="198"/>
      <c r="X18" s="201"/>
      <c r="Y18" s="79"/>
      <c r="AC18" s="131"/>
      <c r="AE18" s="106"/>
    </row>
    <row r="19">
      <c r="A19" s="4" t="s">
        <v>23</v>
      </c>
      <c r="B19" s="12">
        <f>SUM(B2:AA8)</f>
        <v>14616.52</v>
      </c>
      <c r="C19" s="192"/>
      <c r="D19" s="177"/>
      <c r="E19" s="151"/>
      <c r="F19" s="213"/>
      <c r="G19" s="213"/>
      <c r="H19" s="224"/>
      <c r="I19" s="175"/>
      <c r="K19" s="191"/>
      <c r="L19" s="201"/>
      <c r="M19" s="201"/>
      <c r="N19" s="201"/>
      <c r="O19" s="203"/>
      <c r="P19" s="79"/>
      <c r="Q19" s="198"/>
      <c r="R19" s="198"/>
      <c r="S19" s="204"/>
      <c r="U19" s="198"/>
      <c r="V19" s="198"/>
      <c r="W19" s="198"/>
      <c r="X19" s="191"/>
      <c r="Y19" s="79"/>
      <c r="AC19" s="131"/>
      <c r="AE19" s="106"/>
    </row>
    <row r="20">
      <c r="A20" s="4" t="s">
        <v>24</v>
      </c>
      <c r="B20" s="12">
        <f> SUM(B18-B19)</f>
        <v>-4616.52</v>
      </c>
      <c r="C20" s="79"/>
      <c r="D20" s="78"/>
      <c r="E20" s="78"/>
      <c r="F20" s="201"/>
      <c r="G20" s="240"/>
      <c r="H20" s="203"/>
      <c r="I20" s="203"/>
      <c r="K20" s="203"/>
      <c r="L20" s="199"/>
      <c r="M20" s="203"/>
      <c r="N20" s="200"/>
      <c r="O20" s="203"/>
      <c r="P20" s="79"/>
      <c r="Q20" s="198"/>
      <c r="R20" s="198"/>
      <c r="S20" s="204"/>
      <c r="U20" s="198"/>
      <c r="V20" s="198"/>
      <c r="W20" s="198"/>
      <c r="X20" s="203"/>
      <c r="Y20" s="79"/>
      <c r="AC20" s="131"/>
      <c r="AE20" s="106"/>
    </row>
    <row r="21">
      <c r="C21" s="79"/>
      <c r="D21" s="79"/>
      <c r="E21" s="78"/>
      <c r="F21" s="213"/>
      <c r="G21" s="201"/>
      <c r="H21" s="224"/>
      <c r="I21" s="345"/>
      <c r="J21" s="203"/>
      <c r="K21" s="351"/>
      <c r="M21" s="203"/>
      <c r="N21" s="198"/>
      <c r="O21" s="203"/>
      <c r="P21" s="79"/>
      <c r="Q21" s="198"/>
      <c r="R21" s="198"/>
      <c r="S21" s="204"/>
      <c r="U21" s="206"/>
      <c r="V21" s="198"/>
      <c r="W21" s="198"/>
      <c r="X21" s="203"/>
      <c r="Y21" s="79"/>
      <c r="AC21" s="131"/>
      <c r="AE21" s="106"/>
    </row>
    <row r="22">
      <c r="A22" s="13" t="s">
        <v>25</v>
      </c>
      <c r="B22" s="14">
        <f>SUM(AC2:AC8)</f>
        <v>59446.75</v>
      </c>
      <c r="C22" s="79"/>
      <c r="D22" s="79"/>
      <c r="E22" s="78"/>
      <c r="F22" s="201"/>
      <c r="G22" s="262"/>
      <c r="H22" s="376"/>
      <c r="I22" s="203"/>
      <c r="J22" s="78"/>
      <c r="K22" s="203"/>
      <c r="L22" s="203"/>
      <c r="M22" s="203"/>
      <c r="N22" s="198"/>
      <c r="O22" s="203"/>
      <c r="P22" s="79"/>
      <c r="Q22" s="198"/>
      <c r="R22" s="198"/>
      <c r="S22" s="204"/>
      <c r="U22" s="198"/>
      <c r="V22" s="198"/>
      <c r="W22" s="198"/>
      <c r="X22" s="203"/>
      <c r="Y22" s="79"/>
      <c r="AC22" s="181"/>
      <c r="AE22" s="106"/>
    </row>
    <row r="23">
      <c r="A23" s="13" t="s">
        <v>26</v>
      </c>
      <c r="B23" s="15">
        <f>B19/B22</f>
        <v>0.2458758469</v>
      </c>
      <c r="C23" s="79"/>
      <c r="D23" s="79"/>
      <c r="E23" s="78"/>
      <c r="F23" s="204"/>
      <c r="G23" s="78"/>
      <c r="H23" s="144"/>
      <c r="I23" s="203"/>
      <c r="J23" s="79"/>
      <c r="K23" s="203"/>
      <c r="L23" s="203"/>
      <c r="M23" s="203"/>
      <c r="N23" s="203"/>
      <c r="O23" s="203"/>
      <c r="P23" s="79"/>
      <c r="Q23" s="198"/>
      <c r="R23" s="198"/>
      <c r="S23" s="204"/>
      <c r="U23" s="198"/>
      <c r="V23" s="198"/>
      <c r="W23" s="198"/>
      <c r="X23" s="203"/>
      <c r="Y23" s="79"/>
      <c r="AC23" s="130"/>
      <c r="AE23" s="106"/>
    </row>
    <row r="24">
      <c r="C24" s="79"/>
      <c r="D24" s="79"/>
      <c r="E24" s="78"/>
      <c r="F24" s="204"/>
      <c r="G24" s="78"/>
      <c r="H24" s="78"/>
      <c r="I24" s="78"/>
      <c r="J24" s="78"/>
      <c r="K24" s="203"/>
      <c r="L24" s="203"/>
      <c r="M24" s="203"/>
      <c r="N24" s="201"/>
      <c r="O24" s="198"/>
      <c r="P24" s="79"/>
      <c r="Q24" s="198"/>
      <c r="R24" s="198"/>
      <c r="S24" s="204"/>
      <c r="U24" s="198"/>
      <c r="V24" s="198"/>
      <c r="W24" s="198"/>
      <c r="X24" s="203"/>
      <c r="Y24" s="79"/>
      <c r="AC24" s="182"/>
      <c r="AE24" s="106"/>
    </row>
    <row r="25">
      <c r="C25" s="79"/>
      <c r="D25" s="79"/>
      <c r="E25" s="79"/>
      <c r="F25" s="204"/>
      <c r="G25" s="78"/>
      <c r="H25" s="78"/>
      <c r="I25" s="212"/>
      <c r="J25" s="212"/>
      <c r="K25" s="203"/>
      <c r="L25" s="203"/>
      <c r="M25" s="203"/>
      <c r="N25" s="201"/>
      <c r="O25" s="198"/>
      <c r="P25" s="79"/>
      <c r="Q25" s="198"/>
      <c r="R25" s="198"/>
      <c r="S25" s="204"/>
      <c r="U25" s="198"/>
      <c r="V25" s="198"/>
      <c r="W25" s="198"/>
      <c r="X25" s="203"/>
      <c r="Y25" s="79"/>
      <c r="AC25" s="130"/>
      <c r="AE25" s="106"/>
    </row>
    <row r="26">
      <c r="A26" s="16" t="s">
        <v>27</v>
      </c>
      <c r="B26" s="17"/>
      <c r="C26" s="114"/>
      <c r="D26" s="114"/>
      <c r="E26" s="115"/>
      <c r="F26" s="204"/>
      <c r="G26" s="78"/>
      <c r="H26" s="192"/>
      <c r="I26" s="78"/>
      <c r="J26" s="79"/>
      <c r="K26" s="203"/>
      <c r="L26" s="217"/>
      <c r="M26" s="208"/>
      <c r="N26" s="198"/>
      <c r="O26" s="200"/>
      <c r="P26" s="79"/>
      <c r="Q26" s="198"/>
      <c r="R26" s="198"/>
      <c r="S26" s="204"/>
      <c r="U26" s="198"/>
      <c r="V26" s="198"/>
      <c r="W26" s="198"/>
      <c r="X26" s="203"/>
      <c r="Y26" s="79"/>
      <c r="AC26" s="130"/>
      <c r="AE26" s="106"/>
    </row>
    <row r="27">
      <c r="A27" s="19" t="s">
        <v>28</v>
      </c>
      <c r="B27" s="20"/>
      <c r="C27" s="116"/>
      <c r="D27" s="116"/>
      <c r="E27" s="117"/>
      <c r="F27" s="204"/>
      <c r="G27" s="78"/>
      <c r="H27" s="78"/>
      <c r="I27" s="79"/>
      <c r="J27" s="79"/>
      <c r="K27" s="203"/>
      <c r="L27" s="203"/>
      <c r="M27" s="209"/>
      <c r="N27" s="201"/>
      <c r="O27" s="198"/>
      <c r="P27" s="79"/>
      <c r="Q27" s="198"/>
      <c r="R27" s="198"/>
      <c r="S27" s="204"/>
      <c r="U27" s="198"/>
      <c r="V27" s="198"/>
      <c r="W27" s="198"/>
      <c r="X27" s="203"/>
      <c r="Y27" s="79"/>
      <c r="AC27" s="130"/>
      <c r="AE27" s="106"/>
    </row>
    <row r="28">
      <c r="A28" s="183" t="s">
        <v>29</v>
      </c>
      <c r="B28" s="184" t="s">
        <v>30</v>
      </c>
      <c r="C28" s="183"/>
      <c r="D28" s="183" t="s">
        <v>170</v>
      </c>
      <c r="E28" s="219" t="s">
        <v>171</v>
      </c>
      <c r="F28" s="204"/>
      <c r="G28" s="79"/>
      <c r="H28" s="79"/>
      <c r="I28" s="79"/>
      <c r="J28" s="79"/>
      <c r="K28" s="203"/>
      <c r="L28" s="201"/>
      <c r="M28" s="209"/>
      <c r="N28" s="198"/>
      <c r="O28" s="198"/>
      <c r="P28" s="79"/>
      <c r="Q28" s="198"/>
      <c r="R28" s="198"/>
      <c r="S28" s="204"/>
      <c r="U28" s="198"/>
      <c r="V28" s="198"/>
      <c r="W28" s="198"/>
      <c r="X28" s="203"/>
      <c r="Y28" s="79"/>
      <c r="Z28" s="195"/>
      <c r="AC28" s="130"/>
      <c r="AE28" s="106"/>
    </row>
    <row r="29">
      <c r="A29" s="221" t="s">
        <v>504</v>
      </c>
      <c r="B29" s="341">
        <f>(11.59*40)+923.72+1386</f>
        <v>2773.32</v>
      </c>
      <c r="C29" s="223"/>
      <c r="D29" s="223"/>
      <c r="E29" s="223"/>
      <c r="P29" s="79"/>
      <c r="Q29" s="79"/>
      <c r="R29" s="79"/>
      <c r="Y29" s="79"/>
      <c r="AC29" s="130"/>
      <c r="AE29" s="106"/>
    </row>
    <row r="30">
      <c r="A30" s="377" t="s">
        <v>505</v>
      </c>
      <c r="B30" s="378">
        <f>441.39+460.53</f>
        <v>901.92</v>
      </c>
      <c r="C30" s="379"/>
      <c r="D30" s="379"/>
      <c r="E30" s="379"/>
      <c r="P30" s="79"/>
      <c r="Q30" s="79"/>
      <c r="R30" s="79"/>
      <c r="Y30" s="79"/>
      <c r="AC30" s="130"/>
      <c r="AE30" s="106"/>
    </row>
    <row r="31">
      <c r="A31" s="377" t="s">
        <v>491</v>
      </c>
      <c r="B31" s="378">
        <v>1218.8</v>
      </c>
      <c r="C31" s="379"/>
      <c r="D31" s="379"/>
      <c r="E31" s="379"/>
      <c r="P31" s="79"/>
      <c r="Q31" s="79"/>
      <c r="R31" s="79"/>
      <c r="Y31" s="79"/>
      <c r="AC31" s="130"/>
      <c r="AE31" s="106"/>
    </row>
    <row r="32">
      <c r="A32" s="237" t="s">
        <v>506</v>
      </c>
      <c r="B32" s="381">
        <v>300.0</v>
      </c>
      <c r="C32" s="239"/>
      <c r="D32" s="239"/>
      <c r="E32" s="239"/>
      <c r="P32" s="79"/>
      <c r="Q32" s="79"/>
      <c r="R32" s="79"/>
      <c r="Y32" s="79"/>
      <c r="AC32" s="130"/>
      <c r="AE32" s="106"/>
    </row>
    <row r="33">
      <c r="A33" s="237" t="s">
        <v>507</v>
      </c>
      <c r="B33" s="381">
        <v>469.86</v>
      </c>
      <c r="C33" s="239"/>
      <c r="D33" s="239"/>
      <c r="E33" s="239"/>
      <c r="P33" s="79"/>
      <c r="Q33" s="79"/>
      <c r="R33" s="79"/>
      <c r="Y33" s="79"/>
      <c r="AC33" s="130"/>
      <c r="AE33" s="106"/>
    </row>
    <row r="34">
      <c r="A34" s="237" t="s">
        <v>508</v>
      </c>
      <c r="B34" s="381">
        <v>336.0</v>
      </c>
      <c r="C34" s="239"/>
      <c r="D34" s="239"/>
      <c r="E34" s="239"/>
      <c r="P34" s="79"/>
      <c r="Q34" s="79"/>
      <c r="R34" s="79"/>
      <c r="Y34" s="79"/>
      <c r="AC34" s="130"/>
      <c r="AE34" s="106"/>
    </row>
    <row r="35">
      <c r="A35" s="237" t="s">
        <v>509</v>
      </c>
      <c r="B35" s="381">
        <v>149.21</v>
      </c>
      <c r="C35" s="239"/>
      <c r="D35" s="239"/>
      <c r="E35" s="239"/>
      <c r="P35" s="79"/>
      <c r="Q35" s="79"/>
      <c r="R35" s="79"/>
      <c r="Y35" s="79"/>
      <c r="AC35" s="130"/>
      <c r="AE35" s="106"/>
    </row>
    <row r="36">
      <c r="C36" s="79"/>
      <c r="D36" s="79"/>
      <c r="E36" s="79"/>
      <c r="P36" s="79"/>
      <c r="Q36" s="79"/>
      <c r="R36" s="79"/>
      <c r="Y36" s="79"/>
      <c r="AC36" s="130"/>
      <c r="AE36" s="106"/>
    </row>
    <row r="37">
      <c r="A37" s="274"/>
      <c r="B37" s="275" t="s">
        <v>315</v>
      </c>
      <c r="F37" s="274"/>
      <c r="G37" s="274"/>
      <c r="H37" s="274"/>
      <c r="I37" s="274"/>
      <c r="J37" s="274"/>
      <c r="K37" s="274"/>
      <c r="L37" s="274"/>
      <c r="M37" s="274"/>
      <c r="N37" s="274"/>
      <c r="O37" s="274"/>
      <c r="P37" s="274"/>
      <c r="Q37" s="274"/>
      <c r="R37" s="274"/>
      <c r="S37" s="274"/>
      <c r="T37" s="274"/>
      <c r="U37" s="274"/>
      <c r="V37" s="274"/>
      <c r="W37" s="274"/>
      <c r="X37" s="274"/>
      <c r="Y37" s="274"/>
      <c r="Z37" s="274"/>
      <c r="AA37" s="274"/>
      <c r="AB37" s="274"/>
      <c r="AC37" s="276"/>
      <c r="AD37" s="274"/>
      <c r="AE37" s="277"/>
      <c r="AF37" s="274"/>
      <c r="AG37" s="274"/>
      <c r="AH37" s="274"/>
    </row>
    <row r="38">
      <c r="A38" s="16" t="s">
        <v>316</v>
      </c>
      <c r="B38" s="17"/>
      <c r="C38" s="114"/>
      <c r="D38" s="114"/>
      <c r="E38" s="115"/>
      <c r="P38" s="79"/>
      <c r="Q38" s="79"/>
      <c r="R38" s="79"/>
      <c r="Y38" s="79"/>
      <c r="AC38" s="130"/>
      <c r="AE38" s="106"/>
    </row>
    <row r="39">
      <c r="A39" s="19" t="s">
        <v>317</v>
      </c>
      <c r="B39" s="20"/>
      <c r="C39" s="116"/>
      <c r="D39" s="116"/>
      <c r="E39" s="117"/>
      <c r="P39" s="79"/>
      <c r="Q39" s="79"/>
      <c r="R39" s="79"/>
      <c r="Y39" s="79"/>
      <c r="AC39" s="130"/>
      <c r="AE39" s="106"/>
    </row>
    <row r="40">
      <c r="A40" s="278" t="s">
        <v>318</v>
      </c>
      <c r="B40" s="279" t="s">
        <v>319</v>
      </c>
      <c r="C40" s="280" t="s">
        <v>285</v>
      </c>
      <c r="D40" s="280" t="s">
        <v>30</v>
      </c>
      <c r="E40" s="281" t="s">
        <v>320</v>
      </c>
      <c r="F40" s="281" t="s">
        <v>321</v>
      </c>
      <c r="P40" s="79"/>
      <c r="Q40" s="79"/>
      <c r="R40" s="79"/>
      <c r="Y40" s="79"/>
      <c r="AC40" s="130"/>
      <c r="AE40" s="106"/>
    </row>
    <row r="41" hidden="1">
      <c r="A41" s="289" t="s">
        <v>413</v>
      </c>
      <c r="B41" s="290">
        <v>45447.0</v>
      </c>
      <c r="C41" s="173" t="s">
        <v>325</v>
      </c>
      <c r="D41" s="180">
        <v>1208.3</v>
      </c>
      <c r="E41" s="336">
        <v>45488.0</v>
      </c>
      <c r="F41" s="343">
        <f>D41/2</f>
        <v>604.15</v>
      </c>
      <c r="P41" s="79"/>
      <c r="Q41" s="79"/>
      <c r="R41" s="79"/>
      <c r="Y41" s="79"/>
      <c r="AC41" s="130"/>
      <c r="AE41" s="106"/>
    </row>
    <row r="42">
      <c r="A42" s="304" t="s">
        <v>421</v>
      </c>
      <c r="B42" s="305">
        <v>45454.0</v>
      </c>
      <c r="C42" s="234" t="s">
        <v>325</v>
      </c>
      <c r="D42" s="178">
        <v>1279.46</v>
      </c>
      <c r="E42" s="308">
        <v>45482.0</v>
      </c>
      <c r="F42" s="235"/>
      <c r="P42" s="79"/>
      <c r="Q42" s="79"/>
      <c r="R42" s="79"/>
      <c r="Y42" s="79"/>
      <c r="AC42" s="130"/>
      <c r="AE42" s="106"/>
    </row>
    <row r="43">
      <c r="A43" s="304" t="s">
        <v>432</v>
      </c>
      <c r="B43" s="305">
        <v>45461.0</v>
      </c>
      <c r="C43" s="234" t="s">
        <v>325</v>
      </c>
      <c r="D43" s="178">
        <v>1211.18</v>
      </c>
      <c r="E43" s="308">
        <v>45489.0</v>
      </c>
      <c r="F43" s="235"/>
      <c r="P43" s="79"/>
      <c r="Q43" s="79"/>
      <c r="R43" s="79"/>
      <c r="Y43" s="79"/>
      <c r="AC43" s="130"/>
      <c r="AE43" s="106"/>
    </row>
    <row r="44">
      <c r="A44" s="304" t="s">
        <v>447</v>
      </c>
      <c r="B44" s="305">
        <v>45468.0</v>
      </c>
      <c r="C44" s="234" t="s">
        <v>325</v>
      </c>
      <c r="D44" s="178">
        <v>1263.05</v>
      </c>
      <c r="E44" s="308">
        <v>45496.0</v>
      </c>
      <c r="F44" s="235"/>
      <c r="P44" s="79"/>
      <c r="Q44" s="79"/>
      <c r="R44" s="79"/>
      <c r="Y44" s="79"/>
      <c r="AC44" s="130"/>
      <c r="AE44" s="106"/>
    </row>
    <row r="45">
      <c r="A45" s="304" t="s">
        <v>458</v>
      </c>
      <c r="B45" s="305">
        <v>45475.0</v>
      </c>
      <c r="C45" s="234" t="s">
        <v>325</v>
      </c>
      <c r="D45" s="178">
        <v>1249.27</v>
      </c>
      <c r="E45" s="308">
        <v>45503.0</v>
      </c>
      <c r="F45" s="235"/>
      <c r="P45" s="79"/>
      <c r="Q45" s="79"/>
      <c r="R45" s="79"/>
      <c r="Y45" s="79"/>
      <c r="AC45" s="130"/>
      <c r="AE45" s="106"/>
    </row>
    <row r="46">
      <c r="A46" s="304" t="s">
        <v>472</v>
      </c>
      <c r="B46" s="305">
        <v>45482.0</v>
      </c>
      <c r="C46" s="234" t="s">
        <v>325</v>
      </c>
      <c r="D46" s="178">
        <v>1248.68</v>
      </c>
      <c r="E46" s="308">
        <v>45510.0</v>
      </c>
      <c r="F46" s="235"/>
      <c r="P46" s="79"/>
      <c r="Q46" s="79"/>
      <c r="R46" s="79"/>
      <c r="Y46" s="79"/>
      <c r="AC46" s="130"/>
      <c r="AE46" s="106"/>
    </row>
    <row r="47">
      <c r="A47" s="304" t="s">
        <v>495</v>
      </c>
      <c r="B47" s="305">
        <v>45489.0</v>
      </c>
      <c r="C47" s="234" t="s">
        <v>325</v>
      </c>
      <c r="D47" s="178">
        <v>1228.43</v>
      </c>
      <c r="E47" s="308"/>
      <c r="F47" s="235"/>
      <c r="P47" s="79"/>
      <c r="Q47" s="79"/>
      <c r="R47" s="79"/>
      <c r="Y47" s="79"/>
      <c r="AC47" s="130"/>
      <c r="AE47" s="106"/>
    </row>
    <row r="48">
      <c r="A48" s="304" t="s">
        <v>510</v>
      </c>
      <c r="B48" s="305">
        <v>45496.0</v>
      </c>
      <c r="C48" s="234" t="s">
        <v>325</v>
      </c>
      <c r="D48" s="178">
        <v>1194.77</v>
      </c>
      <c r="E48" s="308"/>
      <c r="F48" s="235"/>
      <c r="P48" s="79"/>
      <c r="Q48" s="79"/>
      <c r="R48" s="79"/>
      <c r="Y48" s="79"/>
      <c r="AC48" s="130"/>
      <c r="AE48" s="106"/>
    </row>
    <row r="49">
      <c r="A49" s="282" t="s">
        <v>435</v>
      </c>
      <c r="B49" s="283">
        <v>45461.0</v>
      </c>
      <c r="C49" s="166" t="s">
        <v>379</v>
      </c>
      <c r="D49" s="93">
        <v>1455.7</v>
      </c>
      <c r="E49" s="337">
        <v>45496.0</v>
      </c>
      <c r="F49" s="6"/>
      <c r="P49" s="79"/>
      <c r="Q49" s="79"/>
      <c r="R49" s="79"/>
      <c r="Y49" s="79"/>
      <c r="AC49" s="130"/>
      <c r="AE49" s="106"/>
    </row>
    <row r="50">
      <c r="A50" s="282" t="s">
        <v>473</v>
      </c>
      <c r="B50" s="283">
        <v>45476.0</v>
      </c>
      <c r="C50" s="166" t="s">
        <v>111</v>
      </c>
      <c r="D50" s="93">
        <v>663.43</v>
      </c>
      <c r="E50" s="291"/>
      <c r="F50" s="6"/>
      <c r="P50" s="79"/>
      <c r="Q50" s="79"/>
      <c r="R50" s="79"/>
      <c r="Y50" s="79"/>
      <c r="AC50" s="130"/>
      <c r="AE50" s="106"/>
    </row>
    <row r="51">
      <c r="A51" s="282" t="s">
        <v>477</v>
      </c>
      <c r="B51" s="283">
        <v>45481.0</v>
      </c>
      <c r="C51" s="166" t="s">
        <v>478</v>
      </c>
      <c r="D51" s="93">
        <v>199.9</v>
      </c>
      <c r="E51" s="291" t="s">
        <v>479</v>
      </c>
      <c r="F51" s="6">
        <f>D51/2</f>
        <v>99.95</v>
      </c>
      <c r="P51" s="79"/>
      <c r="Q51" s="79"/>
      <c r="R51" s="79"/>
      <c r="Y51" s="79"/>
      <c r="AC51" s="130"/>
      <c r="AE51" s="106"/>
    </row>
    <row r="52">
      <c r="A52" s="282" t="s">
        <v>480</v>
      </c>
      <c r="B52" s="283">
        <v>45483.0</v>
      </c>
      <c r="C52" s="166" t="s">
        <v>355</v>
      </c>
      <c r="D52" s="93">
        <f>425.93-94.5</f>
        <v>331.43</v>
      </c>
      <c r="E52" s="291"/>
      <c r="F52" s="6"/>
      <c r="P52" s="79"/>
      <c r="Q52" s="79"/>
      <c r="R52" s="79"/>
      <c r="Y52" s="79"/>
      <c r="AC52" s="130"/>
      <c r="AE52" s="106"/>
    </row>
    <row r="53">
      <c r="A53" s="282" t="s">
        <v>481</v>
      </c>
      <c r="B53" s="283">
        <v>45485.0</v>
      </c>
      <c r="C53" s="166" t="s">
        <v>482</v>
      </c>
      <c r="D53" s="93">
        <v>923.72</v>
      </c>
      <c r="E53" s="291"/>
      <c r="F53" s="6"/>
      <c r="P53" s="79"/>
      <c r="Q53" s="79"/>
      <c r="R53" s="79"/>
      <c r="Y53" s="79"/>
      <c r="AC53" s="130"/>
      <c r="AE53" s="106"/>
    </row>
    <row r="54">
      <c r="A54" s="282" t="s">
        <v>483</v>
      </c>
      <c r="B54" s="283">
        <v>45482.0</v>
      </c>
      <c r="C54" s="166" t="s">
        <v>482</v>
      </c>
      <c r="D54" s="93">
        <v>463.6</v>
      </c>
      <c r="E54" s="291"/>
      <c r="F54" s="6"/>
      <c r="P54" s="79"/>
      <c r="Q54" s="79"/>
      <c r="R54" s="79"/>
      <c r="Y54" s="79"/>
      <c r="AC54" s="130"/>
      <c r="AE54" s="106"/>
    </row>
    <row r="55">
      <c r="A55" s="282" t="s">
        <v>496</v>
      </c>
      <c r="B55" s="283">
        <v>45492.0</v>
      </c>
      <c r="C55" s="166" t="s">
        <v>497</v>
      </c>
      <c r="D55" s="93">
        <f>297+284.9</f>
        <v>581.9</v>
      </c>
      <c r="E55" s="291"/>
      <c r="F55" s="6"/>
      <c r="P55" s="79"/>
      <c r="Q55" s="79"/>
      <c r="R55" s="79"/>
      <c r="Y55" s="79"/>
      <c r="AC55" s="130"/>
      <c r="AE55" s="106"/>
    </row>
    <row r="56">
      <c r="A56" s="282" t="s">
        <v>498</v>
      </c>
      <c r="B56" s="283">
        <v>45489.0</v>
      </c>
      <c r="C56" s="166" t="s">
        <v>489</v>
      </c>
      <c r="D56" s="93">
        <v>230.85</v>
      </c>
      <c r="E56" s="291"/>
      <c r="F56" s="6"/>
      <c r="P56" s="79"/>
      <c r="Q56" s="79"/>
      <c r="R56" s="79"/>
      <c r="Y56" s="79"/>
      <c r="AC56" s="130"/>
      <c r="AE56" s="106"/>
    </row>
    <row r="57">
      <c r="A57" s="282" t="s">
        <v>499</v>
      </c>
      <c r="B57" s="283">
        <v>45490.0</v>
      </c>
      <c r="C57" s="166" t="s">
        <v>355</v>
      </c>
      <c r="D57" s="93">
        <v>647.86</v>
      </c>
      <c r="E57" s="291"/>
      <c r="F57" s="6"/>
      <c r="P57" s="79"/>
      <c r="Q57" s="79"/>
      <c r="R57" s="79"/>
      <c r="Y57" s="79"/>
      <c r="AC57" s="130"/>
      <c r="AE57" s="106"/>
    </row>
    <row r="58">
      <c r="A58" s="282" t="s">
        <v>491</v>
      </c>
      <c r="B58" s="283">
        <v>45488.0</v>
      </c>
      <c r="C58" s="166" t="s">
        <v>111</v>
      </c>
      <c r="D58" s="93">
        <v>1218.8</v>
      </c>
      <c r="E58" s="291"/>
      <c r="F58" s="6"/>
      <c r="P58" s="79"/>
      <c r="Q58" s="79"/>
      <c r="R58" s="79"/>
      <c r="Y58" s="79"/>
      <c r="AC58" s="130"/>
      <c r="AE58" s="106"/>
    </row>
    <row r="59">
      <c r="A59" s="282" t="s">
        <v>500</v>
      </c>
      <c r="B59" s="283">
        <v>45489.0</v>
      </c>
      <c r="C59" s="166" t="s">
        <v>427</v>
      </c>
      <c r="D59" s="93">
        <v>441.39</v>
      </c>
      <c r="E59" s="291"/>
      <c r="F59" s="6"/>
      <c r="P59" s="79"/>
      <c r="Q59" s="79"/>
      <c r="R59" s="79"/>
      <c r="Y59" s="79"/>
      <c r="AC59" s="130"/>
      <c r="AE59" s="106"/>
    </row>
    <row r="60">
      <c r="A60" s="282" t="s">
        <v>501</v>
      </c>
      <c r="B60" s="283">
        <v>45491.0</v>
      </c>
      <c r="C60" s="166" t="s">
        <v>493</v>
      </c>
      <c r="D60" s="93">
        <v>857.85</v>
      </c>
      <c r="E60" s="291"/>
      <c r="F60" s="6"/>
      <c r="P60" s="79"/>
      <c r="Q60" s="79"/>
      <c r="R60" s="79"/>
      <c r="Y60" s="79"/>
      <c r="AC60" s="130"/>
      <c r="AE60" s="106"/>
    </row>
    <row r="61">
      <c r="A61" s="282" t="s">
        <v>502</v>
      </c>
      <c r="B61" s="283">
        <v>45490.0</v>
      </c>
      <c r="C61" s="166" t="s">
        <v>408</v>
      </c>
      <c r="D61" s="93">
        <v>337.0</v>
      </c>
      <c r="E61" s="291"/>
      <c r="F61" s="6"/>
      <c r="P61" s="79"/>
      <c r="Q61" s="79"/>
      <c r="R61" s="79"/>
      <c r="Y61" s="79"/>
      <c r="AC61" s="130"/>
      <c r="AE61" s="106"/>
    </row>
    <row r="62">
      <c r="A62" s="282" t="s">
        <v>511</v>
      </c>
      <c r="B62" s="283">
        <v>45498.0</v>
      </c>
      <c r="C62" s="166" t="s">
        <v>408</v>
      </c>
      <c r="D62" s="93">
        <v>300.0</v>
      </c>
      <c r="E62" s="291"/>
      <c r="F62" s="6"/>
      <c r="P62" s="79"/>
      <c r="Q62" s="79"/>
      <c r="R62" s="79"/>
      <c r="Y62" s="79"/>
      <c r="AC62" s="130"/>
      <c r="AE62" s="106"/>
    </row>
    <row r="63">
      <c r="A63" s="282" t="s">
        <v>512</v>
      </c>
      <c r="B63" s="283">
        <v>45496.0</v>
      </c>
      <c r="C63" s="166" t="s">
        <v>427</v>
      </c>
      <c r="D63" s="93">
        <v>460.53</v>
      </c>
      <c r="E63" s="291"/>
      <c r="F63" s="6"/>
      <c r="P63" s="79"/>
      <c r="Q63" s="79"/>
      <c r="R63" s="79"/>
      <c r="Y63" s="79"/>
      <c r="AC63" s="130"/>
      <c r="AE63" s="106"/>
    </row>
    <row r="64">
      <c r="A64" s="282" t="s">
        <v>513</v>
      </c>
      <c r="B64" s="283">
        <v>45499.0</v>
      </c>
      <c r="C64" s="166" t="s">
        <v>482</v>
      </c>
      <c r="D64" s="93">
        <v>1458.95</v>
      </c>
      <c r="E64" s="291"/>
      <c r="F64" s="6"/>
      <c r="P64" s="79"/>
      <c r="Q64" s="79"/>
      <c r="R64" s="79"/>
      <c r="Y64" s="79"/>
      <c r="AC64" s="130"/>
      <c r="AE64" s="106"/>
    </row>
    <row r="65">
      <c r="A65" s="282" t="s">
        <v>514</v>
      </c>
      <c r="B65" s="283">
        <v>45500.0</v>
      </c>
      <c r="C65" s="166" t="s">
        <v>515</v>
      </c>
      <c r="D65" s="93">
        <v>336.0</v>
      </c>
      <c r="E65" s="291"/>
      <c r="F65" s="6"/>
      <c r="P65" s="79"/>
      <c r="Q65" s="79"/>
      <c r="R65" s="79"/>
      <c r="Y65" s="79"/>
      <c r="AC65" s="130"/>
      <c r="AE65" s="106"/>
    </row>
    <row r="66">
      <c r="A66" s="282" t="s">
        <v>516</v>
      </c>
      <c r="B66" s="283">
        <v>45500.0</v>
      </c>
      <c r="C66" s="166" t="s">
        <v>463</v>
      </c>
      <c r="D66" s="93">
        <v>148.69</v>
      </c>
      <c r="E66" s="291"/>
      <c r="F66" s="6"/>
      <c r="P66" s="79"/>
      <c r="Q66" s="79"/>
      <c r="R66" s="79"/>
      <c r="Y66" s="79"/>
      <c r="AC66" s="130"/>
      <c r="AE66" s="106"/>
    </row>
    <row r="67">
      <c r="A67" s="282" t="s">
        <v>517</v>
      </c>
      <c r="B67" s="283">
        <v>45497.0</v>
      </c>
      <c r="C67" s="166" t="s">
        <v>355</v>
      </c>
      <c r="D67" s="93">
        <f>90+230.94+133.92</f>
        <v>454.86</v>
      </c>
      <c r="E67" s="291"/>
      <c r="F67" s="6"/>
      <c r="P67" s="79"/>
      <c r="Q67" s="79"/>
      <c r="R67" s="79"/>
      <c r="Y67" s="79"/>
      <c r="AC67" s="130"/>
      <c r="AE67" s="106"/>
    </row>
    <row r="68">
      <c r="A68" s="356" t="s">
        <v>518</v>
      </c>
      <c r="B68" s="357">
        <v>45499.0</v>
      </c>
      <c r="C68" s="46" t="s">
        <v>519</v>
      </c>
      <c r="D68" s="44">
        <v>680.9</v>
      </c>
      <c r="E68" s="291"/>
      <c r="F68" s="6"/>
      <c r="P68" s="79"/>
      <c r="Q68" s="79"/>
      <c r="R68" s="79"/>
      <c r="Y68" s="79"/>
      <c r="AC68" s="130"/>
      <c r="AE68" s="106"/>
    </row>
    <row r="69">
      <c r="A69" s="356" t="s">
        <v>520</v>
      </c>
      <c r="B69" s="357">
        <v>45503.0</v>
      </c>
      <c r="C69" s="46" t="s">
        <v>521</v>
      </c>
      <c r="D69" s="44">
        <v>396.0</v>
      </c>
      <c r="E69" s="291"/>
      <c r="F69" s="6"/>
      <c r="P69" s="79"/>
      <c r="Q69" s="79"/>
      <c r="R69" s="79"/>
      <c r="Y69" s="79"/>
      <c r="AC69" s="130"/>
      <c r="AE69" s="106"/>
    </row>
    <row r="70">
      <c r="A70" s="282"/>
      <c r="B70" s="283"/>
      <c r="C70" s="166"/>
      <c r="D70" s="93"/>
      <c r="E70" s="291"/>
      <c r="F70" s="6"/>
      <c r="P70" s="79"/>
      <c r="Q70" s="79"/>
      <c r="R70" s="79"/>
      <c r="Y70" s="79"/>
      <c r="AC70" s="130"/>
      <c r="AE70" s="106"/>
    </row>
    <row r="71">
      <c r="A71" s="282"/>
      <c r="B71" s="283"/>
      <c r="C71" s="166"/>
      <c r="D71" s="93"/>
      <c r="E71" s="291"/>
      <c r="F71" s="6"/>
      <c r="P71" s="79"/>
      <c r="Q71" s="79"/>
      <c r="R71" s="79"/>
      <c r="Y71" s="79"/>
      <c r="AC71" s="130"/>
      <c r="AE71" s="106"/>
    </row>
    <row r="72">
      <c r="A72" s="282"/>
      <c r="B72" s="283"/>
      <c r="C72" s="166"/>
      <c r="D72" s="93"/>
      <c r="E72" s="291"/>
      <c r="F72" s="6"/>
      <c r="P72" s="79"/>
      <c r="Q72" s="79"/>
      <c r="R72" s="79"/>
      <c r="Y72" s="79"/>
      <c r="AC72" s="130"/>
      <c r="AE72" s="106"/>
    </row>
    <row r="73">
      <c r="A73" s="282"/>
      <c r="B73" s="283"/>
      <c r="C73" s="166"/>
      <c r="D73" s="93"/>
      <c r="E73" s="291"/>
      <c r="F73" s="6"/>
      <c r="P73" s="79"/>
      <c r="Q73" s="79"/>
      <c r="R73" s="79"/>
      <c r="Y73" s="79"/>
      <c r="AC73" s="130"/>
      <c r="AE73" s="106"/>
    </row>
    <row r="74">
      <c r="A74" s="282"/>
      <c r="B74" s="283"/>
      <c r="C74" s="166"/>
      <c r="D74" s="93"/>
      <c r="E74" s="291"/>
      <c r="F74" s="6"/>
      <c r="P74" s="79"/>
      <c r="Q74" s="79"/>
      <c r="R74" s="79"/>
      <c r="Y74" s="79"/>
      <c r="AC74" s="130"/>
      <c r="AE74" s="106"/>
    </row>
    <row r="75">
      <c r="A75" s="282"/>
      <c r="B75" s="283"/>
      <c r="C75" s="166"/>
      <c r="D75" s="93"/>
      <c r="E75" s="291"/>
      <c r="F75" s="6"/>
      <c r="P75" s="79"/>
      <c r="Q75" s="79"/>
      <c r="R75" s="79"/>
      <c r="Y75" s="79"/>
      <c r="AC75" s="130"/>
      <c r="AE75" s="106"/>
    </row>
    <row r="76">
      <c r="A76" s="282"/>
      <c r="B76" s="283"/>
      <c r="C76" s="166"/>
      <c r="D76" s="93"/>
      <c r="E76" s="291"/>
      <c r="F76" s="6"/>
      <c r="P76" s="79"/>
      <c r="Q76" s="79"/>
      <c r="R76" s="79"/>
      <c r="Y76" s="79"/>
      <c r="AC76" s="130"/>
      <c r="AE76" s="106"/>
    </row>
    <row r="77">
      <c r="A77" s="282"/>
      <c r="B77" s="283"/>
      <c r="C77" s="166"/>
      <c r="D77" s="93"/>
      <c r="E77" s="291"/>
      <c r="F77" s="6"/>
      <c r="P77" s="79"/>
      <c r="Q77" s="79"/>
      <c r="R77" s="79"/>
      <c r="Y77" s="79"/>
      <c r="AC77" s="130"/>
      <c r="AE77" s="106"/>
    </row>
    <row r="78">
      <c r="A78" s="282"/>
      <c r="B78" s="283"/>
      <c r="C78" s="166"/>
      <c r="D78" s="93"/>
      <c r="E78" s="291"/>
      <c r="F78" s="6"/>
      <c r="P78" s="79"/>
      <c r="Q78" s="79"/>
      <c r="R78" s="79"/>
      <c r="Y78" s="79"/>
      <c r="AC78" s="130"/>
      <c r="AE78" s="106"/>
    </row>
    <row r="79">
      <c r="A79" s="282"/>
      <c r="B79" s="283"/>
      <c r="C79" s="166"/>
      <c r="D79" s="93"/>
      <c r="E79" s="291"/>
      <c r="F79" s="6"/>
      <c r="P79" s="79"/>
      <c r="Q79" s="79"/>
      <c r="R79" s="79"/>
      <c r="Y79" s="79"/>
      <c r="AC79" s="130"/>
      <c r="AE79" s="106"/>
    </row>
    <row r="80">
      <c r="A80" s="282"/>
      <c r="B80" s="283"/>
      <c r="C80" s="166"/>
      <c r="D80" s="93"/>
      <c r="E80" s="291"/>
      <c r="F80" s="6"/>
      <c r="P80" s="79"/>
      <c r="Q80" s="79"/>
      <c r="R80" s="79"/>
      <c r="Y80" s="79"/>
      <c r="AC80" s="130"/>
      <c r="AE80" s="106"/>
    </row>
    <row r="81">
      <c r="A81" s="282"/>
      <c r="B81" s="283"/>
      <c r="C81" s="166"/>
      <c r="D81" s="93"/>
      <c r="E81" s="291"/>
      <c r="F81" s="6"/>
      <c r="P81" s="79"/>
      <c r="Q81" s="79"/>
      <c r="R81" s="79"/>
      <c r="Y81" s="79"/>
      <c r="AC81" s="130"/>
      <c r="AE81" s="106"/>
    </row>
    <row r="82">
      <c r="A82" s="282"/>
      <c r="B82" s="283"/>
      <c r="C82" s="166"/>
      <c r="D82" s="93"/>
      <c r="E82" s="291"/>
      <c r="F82" s="6"/>
      <c r="P82" s="79"/>
      <c r="Q82" s="79"/>
      <c r="R82" s="79"/>
      <c r="Y82" s="79"/>
      <c r="AC82" s="130"/>
      <c r="AE82" s="106"/>
    </row>
    <row r="83">
      <c r="A83" s="282"/>
      <c r="B83" s="283"/>
      <c r="C83" s="166"/>
      <c r="D83" s="93"/>
      <c r="E83" s="291"/>
      <c r="F83" s="6"/>
      <c r="P83" s="79"/>
      <c r="Q83" s="79"/>
      <c r="R83" s="79"/>
      <c r="Y83" s="79"/>
      <c r="AC83" s="130"/>
      <c r="AE83" s="106"/>
    </row>
    <row r="84">
      <c r="A84" s="282"/>
      <c r="B84" s="283"/>
      <c r="C84" s="166"/>
      <c r="D84" s="93"/>
      <c r="E84" s="291"/>
      <c r="F84" s="6"/>
      <c r="P84" s="79"/>
      <c r="Q84" s="79"/>
      <c r="R84" s="79"/>
      <c r="Y84" s="79"/>
      <c r="AC84" s="130"/>
      <c r="AE84" s="106"/>
    </row>
    <row r="85">
      <c r="A85" s="282"/>
      <c r="B85" s="283"/>
      <c r="C85" s="166"/>
      <c r="D85" s="93"/>
      <c r="E85" s="291"/>
      <c r="F85" s="6"/>
      <c r="P85" s="79"/>
      <c r="Q85" s="79"/>
      <c r="R85" s="79"/>
      <c r="Y85" s="79"/>
      <c r="AC85" s="130"/>
      <c r="AE85" s="106"/>
    </row>
    <row r="86">
      <c r="A86" s="282"/>
      <c r="B86" s="283"/>
      <c r="C86" s="166"/>
      <c r="D86" s="93"/>
      <c r="E86" s="291"/>
      <c r="F86" s="6"/>
      <c r="P86" s="79"/>
      <c r="Q86" s="79"/>
      <c r="R86" s="79"/>
      <c r="Y86" s="79"/>
      <c r="AC86" s="130"/>
      <c r="AE86" s="106"/>
    </row>
    <row r="87">
      <c r="A87" s="282"/>
      <c r="B87" s="283"/>
      <c r="C87" s="166"/>
      <c r="D87" s="93"/>
      <c r="E87" s="291"/>
      <c r="F87" s="6"/>
      <c r="P87" s="79"/>
      <c r="Q87" s="79"/>
      <c r="R87" s="79"/>
      <c r="Y87" s="79"/>
      <c r="AC87" s="130"/>
      <c r="AE87" s="106"/>
    </row>
    <row r="88">
      <c r="A88" s="282"/>
      <c r="B88" s="283"/>
      <c r="C88" s="166"/>
      <c r="D88" s="93"/>
      <c r="E88" s="291"/>
      <c r="F88" s="6"/>
      <c r="P88" s="79"/>
      <c r="Q88" s="79"/>
      <c r="R88" s="79"/>
      <c r="Y88" s="79"/>
      <c r="AC88" s="130"/>
      <c r="AE88" s="106"/>
    </row>
    <row r="89">
      <c r="A89" s="282"/>
      <c r="B89" s="283"/>
      <c r="C89" s="166"/>
      <c r="D89" s="93"/>
      <c r="E89" s="291"/>
      <c r="F89" s="6"/>
      <c r="P89" s="79"/>
      <c r="Q89" s="79"/>
      <c r="R89" s="79"/>
      <c r="Y89" s="79"/>
      <c r="AC89" s="130"/>
      <c r="AE89" s="106"/>
    </row>
    <row r="90">
      <c r="A90" s="282"/>
      <c r="B90" s="283"/>
      <c r="C90" s="166"/>
      <c r="D90" s="93"/>
      <c r="E90" s="291"/>
      <c r="F90" s="6"/>
      <c r="P90" s="79"/>
      <c r="Q90" s="79"/>
      <c r="R90" s="79"/>
      <c r="Y90" s="79"/>
      <c r="AC90" s="130"/>
      <c r="AE90" s="106"/>
    </row>
    <row r="91">
      <c r="A91" s="282"/>
      <c r="B91" s="283"/>
      <c r="C91" s="166"/>
      <c r="D91" s="93"/>
      <c r="E91" s="291"/>
      <c r="F91" s="6"/>
      <c r="P91" s="79"/>
      <c r="Q91" s="79"/>
      <c r="R91" s="79"/>
      <c r="Y91" s="79"/>
      <c r="AC91" s="130"/>
      <c r="AE91" s="106"/>
    </row>
    <row r="92">
      <c r="C92" s="79"/>
      <c r="D92" s="79"/>
      <c r="E92" s="79"/>
      <c r="P92" s="79"/>
      <c r="Q92" s="79"/>
      <c r="R92" s="79"/>
      <c r="Y92" s="79"/>
      <c r="AC92" s="130"/>
      <c r="AE92" s="106"/>
    </row>
    <row r="93">
      <c r="C93" s="79"/>
      <c r="D93" s="79"/>
      <c r="E93" s="79"/>
      <c r="P93" s="79"/>
      <c r="Q93" s="79"/>
      <c r="R93" s="79"/>
      <c r="Y93" s="79"/>
      <c r="AC93" s="130"/>
      <c r="AE93" s="106"/>
    </row>
    <row r="94">
      <c r="C94" s="79"/>
      <c r="D94" s="79"/>
      <c r="E94" s="79"/>
      <c r="P94" s="79"/>
      <c r="Q94" s="79"/>
      <c r="R94" s="79"/>
      <c r="Y94" s="79"/>
      <c r="AC94" s="130"/>
      <c r="AE94" s="106"/>
    </row>
    <row r="95">
      <c r="C95" s="79"/>
      <c r="D95" s="79"/>
      <c r="E95" s="79"/>
      <c r="P95" s="79"/>
      <c r="Q95" s="79"/>
      <c r="R95" s="79"/>
      <c r="Y95" s="79"/>
      <c r="AC95" s="130"/>
      <c r="AE95" s="106"/>
    </row>
    <row r="96">
      <c r="C96" s="79"/>
      <c r="D96" s="79"/>
      <c r="E96" s="79"/>
      <c r="P96" s="79"/>
      <c r="Q96" s="79"/>
      <c r="R96" s="79"/>
      <c r="Y96" s="79"/>
      <c r="AC96" s="130"/>
      <c r="AE96" s="106"/>
    </row>
    <row r="97">
      <c r="C97" s="79"/>
      <c r="D97" s="79"/>
      <c r="E97" s="79"/>
      <c r="P97" s="79"/>
      <c r="Q97" s="79"/>
      <c r="R97" s="79"/>
      <c r="Y97" s="79"/>
      <c r="AC97" s="130"/>
      <c r="AE97" s="106"/>
    </row>
    <row r="98">
      <c r="C98" s="79"/>
      <c r="D98" s="79"/>
      <c r="E98" s="79"/>
      <c r="P98" s="79"/>
      <c r="Q98" s="79"/>
      <c r="R98" s="79"/>
      <c r="Y98" s="79"/>
      <c r="AC98" s="130"/>
      <c r="AE98" s="106"/>
    </row>
    <row r="99">
      <c r="C99" s="79"/>
      <c r="D99" s="79"/>
      <c r="E99" s="79"/>
      <c r="P99" s="79"/>
      <c r="Q99" s="79"/>
      <c r="R99" s="79"/>
      <c r="Y99" s="79"/>
      <c r="AC99" s="130"/>
      <c r="AE99" s="106"/>
    </row>
    <row r="100">
      <c r="C100" s="79"/>
      <c r="D100" s="79"/>
      <c r="E100" s="79"/>
      <c r="P100" s="79"/>
      <c r="Q100" s="79"/>
      <c r="R100" s="79"/>
      <c r="Y100" s="79"/>
      <c r="AC100" s="130"/>
      <c r="AE100" s="106"/>
    </row>
    <row r="101">
      <c r="C101" s="79"/>
      <c r="D101" s="79"/>
      <c r="E101" s="79"/>
      <c r="P101" s="79"/>
      <c r="Q101" s="79"/>
      <c r="R101" s="79"/>
      <c r="Y101" s="79"/>
      <c r="AC101" s="130"/>
      <c r="AE101" s="106"/>
    </row>
    <row r="102">
      <c r="C102" s="79"/>
      <c r="D102" s="79"/>
      <c r="E102" s="79"/>
      <c r="P102" s="79"/>
      <c r="Q102" s="79"/>
      <c r="R102" s="79"/>
      <c r="Y102" s="79"/>
      <c r="AC102" s="130"/>
      <c r="AE102" s="106"/>
    </row>
    <row r="103">
      <c r="C103" s="79"/>
      <c r="D103" s="79"/>
      <c r="E103" s="79"/>
      <c r="P103" s="79"/>
      <c r="Q103" s="79"/>
      <c r="R103" s="79"/>
      <c r="Y103" s="79"/>
      <c r="AC103" s="130"/>
      <c r="AE103" s="106"/>
    </row>
    <row r="104">
      <c r="C104" s="79"/>
      <c r="D104" s="79"/>
      <c r="E104" s="79"/>
      <c r="P104" s="79"/>
      <c r="Q104" s="79"/>
      <c r="R104" s="79"/>
      <c r="Y104" s="79"/>
      <c r="AC104" s="130"/>
      <c r="AE104" s="106"/>
    </row>
    <row r="105">
      <c r="C105" s="79"/>
      <c r="D105" s="79"/>
      <c r="E105" s="79"/>
      <c r="P105" s="79"/>
      <c r="Q105" s="79"/>
      <c r="R105" s="79"/>
      <c r="Y105" s="79"/>
      <c r="AC105" s="130"/>
      <c r="AE105" s="106"/>
    </row>
    <row r="106">
      <c r="C106" s="79"/>
      <c r="D106" s="79"/>
      <c r="E106" s="79"/>
      <c r="P106" s="79"/>
      <c r="Q106" s="79"/>
      <c r="R106" s="79"/>
      <c r="Y106" s="79"/>
      <c r="AC106" s="130"/>
      <c r="AE106" s="106"/>
    </row>
    <row r="107">
      <c r="C107" s="79"/>
      <c r="D107" s="79"/>
      <c r="E107" s="79"/>
      <c r="P107" s="79"/>
      <c r="Q107" s="79"/>
      <c r="R107" s="79"/>
      <c r="Y107" s="79"/>
      <c r="AC107" s="130"/>
      <c r="AE107" s="106"/>
    </row>
    <row r="108">
      <c r="C108" s="79"/>
      <c r="D108" s="79"/>
      <c r="E108" s="79"/>
      <c r="P108" s="79"/>
      <c r="Q108" s="79"/>
      <c r="R108" s="79"/>
      <c r="Y108" s="79"/>
      <c r="AC108" s="130"/>
      <c r="AE108" s="106"/>
    </row>
    <row r="109">
      <c r="C109" s="79"/>
      <c r="D109" s="79"/>
      <c r="E109" s="79"/>
      <c r="P109" s="79"/>
      <c r="Q109" s="79"/>
      <c r="R109" s="79"/>
      <c r="Y109" s="79"/>
      <c r="AC109" s="130"/>
      <c r="AE109" s="106"/>
    </row>
    <row r="110">
      <c r="C110" s="79"/>
      <c r="D110" s="79"/>
      <c r="E110" s="79"/>
      <c r="P110" s="79"/>
      <c r="Q110" s="79"/>
      <c r="R110" s="79"/>
      <c r="Y110" s="79"/>
      <c r="AC110" s="130"/>
      <c r="AE110" s="106"/>
    </row>
    <row r="111">
      <c r="C111" s="79"/>
      <c r="D111" s="79"/>
      <c r="E111" s="79"/>
      <c r="P111" s="79"/>
      <c r="Q111" s="79"/>
      <c r="R111" s="79"/>
      <c r="Y111" s="79"/>
      <c r="AC111" s="130"/>
      <c r="AE111" s="106"/>
    </row>
    <row r="112">
      <c r="C112" s="79"/>
      <c r="D112" s="79"/>
      <c r="E112" s="79"/>
      <c r="P112" s="79"/>
      <c r="Q112" s="79"/>
      <c r="R112" s="79"/>
      <c r="Y112" s="79"/>
      <c r="AC112" s="130"/>
      <c r="AE112" s="106"/>
    </row>
    <row r="113">
      <c r="C113" s="79"/>
      <c r="D113" s="79"/>
      <c r="E113" s="79"/>
      <c r="P113" s="79"/>
      <c r="Q113" s="79"/>
      <c r="R113" s="79"/>
      <c r="Y113" s="79"/>
      <c r="AC113" s="130"/>
      <c r="AE113" s="106"/>
    </row>
    <row r="114">
      <c r="C114" s="79"/>
      <c r="D114" s="79"/>
      <c r="E114" s="79"/>
      <c r="P114" s="79"/>
      <c r="Q114" s="79"/>
      <c r="R114" s="79"/>
      <c r="Y114" s="79"/>
      <c r="AC114" s="130"/>
      <c r="AE114" s="106"/>
    </row>
    <row r="115">
      <c r="C115" s="79"/>
      <c r="D115" s="79"/>
      <c r="E115" s="79"/>
      <c r="P115" s="79"/>
      <c r="Q115" s="79"/>
      <c r="R115" s="79"/>
      <c r="Y115" s="79"/>
      <c r="AC115" s="130"/>
      <c r="AE115" s="106"/>
    </row>
    <row r="116">
      <c r="C116" s="79"/>
      <c r="D116" s="79"/>
      <c r="E116" s="79"/>
      <c r="P116" s="79"/>
      <c r="Q116" s="79"/>
      <c r="R116" s="79"/>
      <c r="Y116" s="79"/>
      <c r="AC116" s="130"/>
      <c r="AE116" s="106"/>
    </row>
    <row r="117">
      <c r="C117" s="79"/>
      <c r="D117" s="79"/>
      <c r="E117" s="79"/>
      <c r="P117" s="79"/>
      <c r="Q117" s="79"/>
      <c r="R117" s="79"/>
      <c r="Y117" s="79"/>
      <c r="AC117" s="130"/>
      <c r="AE117" s="106"/>
    </row>
    <row r="118">
      <c r="C118" s="79"/>
      <c r="D118" s="79"/>
      <c r="E118" s="79"/>
      <c r="P118" s="79"/>
      <c r="Q118" s="79"/>
      <c r="R118" s="79"/>
      <c r="Y118" s="79"/>
      <c r="AC118" s="130"/>
      <c r="AE118" s="106"/>
    </row>
    <row r="119">
      <c r="C119" s="79"/>
      <c r="D119" s="79"/>
      <c r="E119" s="79"/>
      <c r="P119" s="79"/>
      <c r="Q119" s="79"/>
      <c r="R119" s="79"/>
      <c r="Y119" s="79"/>
      <c r="AC119" s="130"/>
      <c r="AE119" s="106"/>
    </row>
    <row r="120">
      <c r="C120" s="79"/>
      <c r="D120" s="79"/>
      <c r="E120" s="79"/>
      <c r="P120" s="79"/>
      <c r="Q120" s="79"/>
      <c r="R120" s="79"/>
      <c r="Y120" s="79"/>
      <c r="AC120" s="130"/>
      <c r="AE120" s="106"/>
    </row>
    <row r="121">
      <c r="C121" s="79"/>
      <c r="D121" s="79"/>
      <c r="E121" s="79"/>
      <c r="P121" s="79"/>
      <c r="Q121" s="79"/>
      <c r="R121" s="79"/>
      <c r="Y121" s="79"/>
      <c r="AC121" s="130"/>
      <c r="AE121" s="106"/>
    </row>
    <row r="122">
      <c r="C122" s="79"/>
      <c r="D122" s="79"/>
      <c r="E122" s="79"/>
      <c r="P122" s="79"/>
      <c r="Q122" s="79"/>
      <c r="R122" s="79"/>
      <c r="Y122" s="79"/>
      <c r="AC122" s="130"/>
      <c r="AE122" s="106"/>
    </row>
    <row r="123">
      <c r="C123" s="79"/>
      <c r="D123" s="79"/>
      <c r="E123" s="79"/>
      <c r="P123" s="79"/>
      <c r="Q123" s="79"/>
      <c r="R123" s="79"/>
      <c r="Y123" s="79"/>
      <c r="AC123" s="130"/>
      <c r="AE123" s="106"/>
    </row>
    <row r="124">
      <c r="C124" s="79"/>
      <c r="D124" s="79"/>
      <c r="E124" s="79"/>
      <c r="P124" s="79"/>
      <c r="Q124" s="79"/>
      <c r="R124" s="79"/>
      <c r="Y124" s="79"/>
      <c r="AC124" s="130"/>
      <c r="AE124" s="106"/>
    </row>
    <row r="125">
      <c r="C125" s="79"/>
      <c r="D125" s="79"/>
      <c r="E125" s="79"/>
      <c r="P125" s="79"/>
      <c r="Q125" s="79"/>
      <c r="R125" s="79"/>
      <c r="Y125" s="79"/>
      <c r="AC125" s="130"/>
      <c r="AE125" s="106"/>
    </row>
    <row r="126">
      <c r="C126" s="79"/>
      <c r="D126" s="79"/>
      <c r="E126" s="79"/>
      <c r="P126" s="79"/>
      <c r="Q126" s="79"/>
      <c r="R126" s="79"/>
      <c r="Y126" s="79"/>
      <c r="AC126" s="130"/>
      <c r="AE126" s="106"/>
    </row>
    <row r="127">
      <c r="C127" s="79"/>
      <c r="D127" s="79"/>
      <c r="E127" s="79"/>
      <c r="P127" s="79"/>
      <c r="Q127" s="79"/>
      <c r="R127" s="79"/>
      <c r="Y127" s="79"/>
      <c r="AC127" s="130"/>
      <c r="AE127" s="106"/>
    </row>
    <row r="128">
      <c r="C128" s="79"/>
      <c r="D128" s="79"/>
      <c r="E128" s="79"/>
      <c r="P128" s="79"/>
      <c r="Q128" s="79"/>
      <c r="R128" s="79"/>
      <c r="Y128" s="79"/>
      <c r="AC128" s="130"/>
      <c r="AE128" s="106"/>
    </row>
    <row r="129">
      <c r="C129" s="79"/>
      <c r="D129" s="79"/>
      <c r="E129" s="79"/>
      <c r="P129" s="79"/>
      <c r="Q129" s="79"/>
      <c r="R129" s="79"/>
      <c r="Y129" s="79"/>
      <c r="AC129" s="130"/>
      <c r="AE129" s="106"/>
    </row>
    <row r="130">
      <c r="C130" s="79"/>
      <c r="D130" s="79"/>
      <c r="E130" s="79"/>
      <c r="P130" s="79"/>
      <c r="Q130" s="79"/>
      <c r="R130" s="79"/>
      <c r="Y130" s="79"/>
      <c r="AC130" s="130"/>
      <c r="AE130" s="106"/>
    </row>
    <row r="131">
      <c r="C131" s="79"/>
      <c r="D131" s="79"/>
      <c r="E131" s="79"/>
      <c r="P131" s="79"/>
      <c r="Q131" s="79"/>
      <c r="R131" s="79"/>
      <c r="Y131" s="79"/>
      <c r="AC131" s="130"/>
      <c r="AE131" s="106"/>
    </row>
    <row r="132">
      <c r="C132" s="79"/>
      <c r="D132" s="79"/>
      <c r="E132" s="79"/>
      <c r="P132" s="79"/>
      <c r="Q132" s="79"/>
      <c r="R132" s="79"/>
      <c r="Y132" s="79"/>
      <c r="AC132" s="130"/>
      <c r="AE132" s="106"/>
    </row>
    <row r="133">
      <c r="C133" s="79"/>
      <c r="D133" s="79"/>
      <c r="E133" s="79"/>
      <c r="P133" s="79"/>
      <c r="Q133" s="79"/>
      <c r="R133" s="79"/>
      <c r="Y133" s="79"/>
      <c r="AC133" s="130"/>
      <c r="AE133" s="106"/>
    </row>
    <row r="134">
      <c r="C134" s="79"/>
      <c r="D134" s="79"/>
      <c r="E134" s="79"/>
      <c r="P134" s="79"/>
      <c r="Q134" s="79"/>
      <c r="R134" s="79"/>
      <c r="Y134" s="79"/>
      <c r="AC134" s="130"/>
      <c r="AE134" s="106"/>
    </row>
    <row r="135">
      <c r="C135" s="79"/>
      <c r="D135" s="79"/>
      <c r="E135" s="79"/>
      <c r="P135" s="79"/>
      <c r="Q135" s="79"/>
      <c r="R135" s="79"/>
      <c r="Y135" s="79"/>
      <c r="AC135" s="130"/>
      <c r="AE135" s="106"/>
    </row>
    <row r="136">
      <c r="C136" s="79"/>
      <c r="D136" s="79"/>
      <c r="E136" s="79"/>
      <c r="P136" s="79"/>
      <c r="Q136" s="79"/>
      <c r="R136" s="79"/>
      <c r="Y136" s="79"/>
      <c r="AC136" s="130"/>
      <c r="AE136" s="106"/>
    </row>
    <row r="137">
      <c r="C137" s="79"/>
      <c r="D137" s="79"/>
      <c r="E137" s="79"/>
      <c r="P137" s="79"/>
      <c r="Q137" s="79"/>
      <c r="R137" s="79"/>
      <c r="Y137" s="79"/>
      <c r="AC137" s="130"/>
      <c r="AE137" s="106"/>
    </row>
    <row r="138">
      <c r="C138" s="79"/>
      <c r="D138" s="79"/>
      <c r="E138" s="79"/>
      <c r="P138" s="79"/>
      <c r="Q138" s="79"/>
      <c r="R138" s="79"/>
      <c r="Y138" s="79"/>
      <c r="AC138" s="130"/>
      <c r="AE138" s="106"/>
    </row>
    <row r="139">
      <c r="C139" s="79"/>
      <c r="D139" s="79"/>
      <c r="E139" s="79"/>
      <c r="P139" s="79"/>
      <c r="Q139" s="79"/>
      <c r="R139" s="79"/>
      <c r="Y139" s="79"/>
      <c r="AC139" s="130"/>
      <c r="AE139" s="106"/>
    </row>
    <row r="140">
      <c r="C140" s="79"/>
      <c r="D140" s="79"/>
      <c r="E140" s="79"/>
      <c r="P140" s="79"/>
      <c r="Q140" s="79"/>
      <c r="R140" s="79"/>
      <c r="Y140" s="79"/>
      <c r="AC140" s="130"/>
      <c r="AE140" s="106"/>
    </row>
    <row r="141">
      <c r="C141" s="79"/>
      <c r="D141" s="79"/>
      <c r="E141" s="79"/>
      <c r="P141" s="79"/>
      <c r="Q141" s="79"/>
      <c r="R141" s="79"/>
      <c r="Y141" s="79"/>
      <c r="AC141" s="130"/>
      <c r="AE141" s="106"/>
    </row>
    <row r="142">
      <c r="C142" s="79"/>
      <c r="D142" s="79"/>
      <c r="E142" s="79"/>
      <c r="P142" s="79"/>
      <c r="Q142" s="79"/>
      <c r="R142" s="79"/>
      <c r="Y142" s="79"/>
      <c r="AC142" s="130"/>
      <c r="AE142" s="106"/>
    </row>
    <row r="143">
      <c r="C143" s="79"/>
      <c r="D143" s="79"/>
      <c r="E143" s="79"/>
      <c r="P143" s="79"/>
      <c r="Q143" s="79"/>
      <c r="R143" s="79"/>
      <c r="Y143" s="79"/>
      <c r="AC143" s="130"/>
      <c r="AE143" s="106"/>
    </row>
    <row r="144">
      <c r="C144" s="79"/>
      <c r="D144" s="79"/>
      <c r="E144" s="79"/>
      <c r="P144" s="79"/>
      <c r="Q144" s="79"/>
      <c r="R144" s="79"/>
      <c r="Y144" s="79"/>
      <c r="AC144" s="130"/>
      <c r="AE144" s="106"/>
    </row>
    <row r="145">
      <c r="C145" s="79"/>
      <c r="D145" s="79"/>
      <c r="E145" s="79"/>
      <c r="P145" s="79"/>
      <c r="Q145" s="79"/>
      <c r="R145" s="79"/>
      <c r="Y145" s="79"/>
      <c r="AC145" s="130"/>
      <c r="AE145" s="106"/>
    </row>
    <row r="146">
      <c r="C146" s="79"/>
      <c r="D146" s="79"/>
      <c r="E146" s="79"/>
      <c r="P146" s="79"/>
      <c r="Q146" s="79"/>
      <c r="R146" s="79"/>
      <c r="Y146" s="79"/>
      <c r="AC146" s="130"/>
      <c r="AE146" s="106"/>
    </row>
    <row r="147">
      <c r="C147" s="79"/>
      <c r="D147" s="79"/>
      <c r="E147" s="79"/>
      <c r="P147" s="79"/>
      <c r="Q147" s="79"/>
      <c r="R147" s="79"/>
      <c r="Y147" s="79"/>
      <c r="AC147" s="130"/>
      <c r="AE147" s="106"/>
    </row>
    <row r="148">
      <c r="C148" s="79"/>
      <c r="D148" s="79"/>
      <c r="E148" s="79"/>
      <c r="P148" s="79"/>
      <c r="Q148" s="79"/>
      <c r="R148" s="79"/>
      <c r="Y148" s="79"/>
      <c r="AC148" s="130"/>
      <c r="AE148" s="106"/>
    </row>
    <row r="149">
      <c r="C149" s="79"/>
      <c r="D149" s="79"/>
      <c r="E149" s="79"/>
      <c r="P149" s="79"/>
      <c r="Q149" s="79"/>
      <c r="R149" s="79"/>
      <c r="Y149" s="79"/>
      <c r="AC149" s="130"/>
      <c r="AE149" s="106"/>
    </row>
    <row r="150">
      <c r="C150" s="79"/>
      <c r="D150" s="79"/>
      <c r="E150" s="79"/>
      <c r="P150" s="79"/>
      <c r="Q150" s="79"/>
      <c r="R150" s="79"/>
      <c r="Y150" s="79"/>
      <c r="AC150" s="130"/>
      <c r="AE150" s="106"/>
    </row>
    <row r="151">
      <c r="C151" s="79"/>
      <c r="D151" s="79"/>
      <c r="E151" s="79"/>
      <c r="P151" s="79"/>
      <c r="Q151" s="79"/>
      <c r="R151" s="79"/>
      <c r="Y151" s="79"/>
      <c r="AC151" s="130"/>
      <c r="AE151" s="106"/>
    </row>
    <row r="152">
      <c r="C152" s="79"/>
      <c r="D152" s="79"/>
      <c r="E152" s="79"/>
      <c r="P152" s="79"/>
      <c r="Q152" s="79"/>
      <c r="R152" s="79"/>
      <c r="Y152" s="79"/>
      <c r="AC152" s="130"/>
      <c r="AE152" s="106"/>
    </row>
    <row r="153">
      <c r="C153" s="79"/>
      <c r="D153" s="79"/>
      <c r="E153" s="79"/>
      <c r="P153" s="79"/>
      <c r="Q153" s="79"/>
      <c r="R153" s="79"/>
      <c r="Y153" s="79"/>
      <c r="AC153" s="130"/>
      <c r="AE153" s="106"/>
    </row>
    <row r="154">
      <c r="C154" s="79"/>
      <c r="D154" s="79"/>
      <c r="E154" s="79"/>
      <c r="P154" s="79"/>
      <c r="Q154" s="79"/>
      <c r="R154" s="79"/>
      <c r="Y154" s="79"/>
      <c r="AC154" s="130"/>
      <c r="AE154" s="106"/>
    </row>
    <row r="155">
      <c r="C155" s="79"/>
      <c r="D155" s="79"/>
      <c r="E155" s="79"/>
      <c r="P155" s="79"/>
      <c r="Q155" s="79"/>
      <c r="R155" s="79"/>
      <c r="Y155" s="79"/>
      <c r="AC155" s="130"/>
      <c r="AE155" s="106"/>
    </row>
    <row r="156">
      <c r="C156" s="79"/>
      <c r="D156" s="79"/>
      <c r="E156" s="79"/>
      <c r="P156" s="79"/>
      <c r="Q156" s="79"/>
      <c r="R156" s="79"/>
      <c r="Y156" s="79"/>
      <c r="AC156" s="130"/>
      <c r="AE156" s="106"/>
    </row>
    <row r="157">
      <c r="C157" s="79"/>
      <c r="D157" s="79"/>
      <c r="E157" s="79"/>
      <c r="P157" s="79"/>
      <c r="Q157" s="79"/>
      <c r="R157" s="79"/>
      <c r="Y157" s="79"/>
      <c r="AC157" s="130"/>
      <c r="AE157" s="106"/>
    </row>
    <row r="158">
      <c r="C158" s="79"/>
      <c r="D158" s="79"/>
      <c r="E158" s="79"/>
      <c r="P158" s="79"/>
      <c r="Q158" s="79"/>
      <c r="R158" s="79"/>
      <c r="Y158" s="79"/>
      <c r="AC158" s="130"/>
      <c r="AE158" s="106"/>
    </row>
    <row r="159">
      <c r="C159" s="79"/>
      <c r="D159" s="79"/>
      <c r="E159" s="79"/>
      <c r="P159" s="79"/>
      <c r="Q159" s="79"/>
      <c r="R159" s="79"/>
      <c r="Y159" s="79"/>
      <c r="AC159" s="130"/>
      <c r="AE159" s="106"/>
    </row>
    <row r="160">
      <c r="C160" s="79"/>
      <c r="D160" s="79"/>
      <c r="E160" s="79"/>
      <c r="P160" s="79"/>
      <c r="Q160" s="79"/>
      <c r="R160" s="79"/>
      <c r="Y160" s="79"/>
      <c r="AC160" s="130"/>
      <c r="AE160" s="106"/>
    </row>
    <row r="161">
      <c r="C161" s="79"/>
      <c r="D161" s="79"/>
      <c r="E161" s="79"/>
      <c r="P161" s="79"/>
      <c r="Q161" s="79"/>
      <c r="R161" s="79"/>
      <c r="Y161" s="79"/>
      <c r="AC161" s="130"/>
      <c r="AE161" s="106"/>
    </row>
    <row r="162">
      <c r="C162" s="79"/>
      <c r="D162" s="79"/>
      <c r="E162" s="79"/>
      <c r="P162" s="79"/>
      <c r="Q162" s="79"/>
      <c r="R162" s="79"/>
      <c r="Y162" s="79"/>
      <c r="AC162" s="130"/>
      <c r="AE162" s="106"/>
    </row>
    <row r="163">
      <c r="C163" s="79"/>
      <c r="D163" s="79"/>
      <c r="E163" s="79"/>
      <c r="P163" s="79"/>
      <c r="Q163" s="79"/>
      <c r="R163" s="79"/>
      <c r="Y163" s="79"/>
      <c r="AC163" s="130"/>
      <c r="AE163" s="106"/>
    </row>
    <row r="164">
      <c r="C164" s="79"/>
      <c r="D164" s="79"/>
      <c r="E164" s="79"/>
      <c r="P164" s="79"/>
      <c r="Q164" s="79"/>
      <c r="R164" s="79"/>
      <c r="Y164" s="79"/>
      <c r="AC164" s="130"/>
      <c r="AE164" s="106"/>
    </row>
    <row r="165">
      <c r="C165" s="79"/>
      <c r="D165" s="79"/>
      <c r="E165" s="79"/>
      <c r="P165" s="79"/>
      <c r="Q165" s="79"/>
      <c r="R165" s="79"/>
      <c r="Y165" s="79"/>
      <c r="AC165" s="130"/>
      <c r="AE165" s="106"/>
    </row>
    <row r="166">
      <c r="C166" s="79"/>
      <c r="D166" s="79"/>
      <c r="E166" s="79"/>
      <c r="P166" s="79"/>
      <c r="Q166" s="79"/>
      <c r="R166" s="79"/>
      <c r="Y166" s="79"/>
      <c r="AC166" s="130"/>
      <c r="AE166" s="106"/>
    </row>
    <row r="167">
      <c r="C167" s="79"/>
      <c r="D167" s="79"/>
      <c r="E167" s="79"/>
      <c r="P167" s="79"/>
      <c r="Q167" s="79"/>
      <c r="R167" s="79"/>
      <c r="Y167" s="79"/>
      <c r="AC167" s="130"/>
      <c r="AE167" s="106"/>
    </row>
    <row r="168">
      <c r="C168" s="79"/>
      <c r="D168" s="79"/>
      <c r="E168" s="79"/>
      <c r="P168" s="79"/>
      <c r="Q168" s="79"/>
      <c r="R168" s="79"/>
      <c r="Y168" s="79"/>
      <c r="AC168" s="130"/>
      <c r="AE168" s="106"/>
    </row>
    <row r="169">
      <c r="C169" s="79"/>
      <c r="D169" s="79"/>
      <c r="E169" s="79"/>
      <c r="P169" s="79"/>
      <c r="Q169" s="79"/>
      <c r="R169" s="79"/>
      <c r="Y169" s="79"/>
      <c r="AC169" s="130"/>
      <c r="AE169" s="106"/>
    </row>
    <row r="170">
      <c r="C170" s="79"/>
      <c r="D170" s="79"/>
      <c r="E170" s="79"/>
      <c r="P170" s="79"/>
      <c r="Q170" s="79"/>
      <c r="R170" s="79"/>
      <c r="Y170" s="79"/>
      <c r="AC170" s="130"/>
      <c r="AE170" s="106"/>
    </row>
    <row r="171">
      <c r="C171" s="79"/>
      <c r="D171" s="79"/>
      <c r="E171" s="79"/>
      <c r="P171" s="79"/>
      <c r="Q171" s="79"/>
      <c r="R171" s="79"/>
      <c r="Y171" s="79"/>
      <c r="AC171" s="130"/>
      <c r="AE171" s="106"/>
    </row>
    <row r="172">
      <c r="C172" s="79"/>
      <c r="D172" s="79"/>
      <c r="E172" s="79"/>
      <c r="P172" s="79"/>
      <c r="Q172" s="79"/>
      <c r="R172" s="79"/>
      <c r="Y172" s="79"/>
      <c r="AC172" s="130"/>
      <c r="AE172" s="106"/>
    </row>
    <row r="173">
      <c r="C173" s="79"/>
      <c r="D173" s="79"/>
      <c r="E173" s="79"/>
      <c r="P173" s="79"/>
      <c r="Q173" s="79"/>
      <c r="R173" s="79"/>
      <c r="Y173" s="79"/>
      <c r="AC173" s="130"/>
      <c r="AE173" s="106"/>
    </row>
    <row r="174">
      <c r="C174" s="79"/>
      <c r="D174" s="79"/>
      <c r="E174" s="79"/>
      <c r="P174" s="79"/>
      <c r="Q174" s="79"/>
      <c r="R174" s="79"/>
      <c r="Y174" s="79"/>
      <c r="AC174" s="130"/>
      <c r="AE174" s="106"/>
    </row>
    <row r="175">
      <c r="C175" s="79"/>
      <c r="D175" s="79"/>
      <c r="E175" s="79"/>
      <c r="P175" s="79"/>
      <c r="Q175" s="79"/>
      <c r="R175" s="79"/>
      <c r="Y175" s="79"/>
      <c r="AC175" s="130"/>
      <c r="AE175" s="106"/>
    </row>
    <row r="176">
      <c r="C176" s="79"/>
      <c r="D176" s="79"/>
      <c r="E176" s="79"/>
      <c r="P176" s="79"/>
      <c r="Q176" s="79"/>
      <c r="R176" s="79"/>
      <c r="Y176" s="79"/>
      <c r="AC176" s="130"/>
      <c r="AE176" s="106"/>
    </row>
    <row r="177">
      <c r="C177" s="79"/>
      <c r="D177" s="79"/>
      <c r="E177" s="79"/>
      <c r="P177" s="79"/>
      <c r="Q177" s="79"/>
      <c r="R177" s="79"/>
      <c r="Y177" s="79"/>
      <c r="AC177" s="130"/>
      <c r="AE177" s="106"/>
    </row>
    <row r="178">
      <c r="C178" s="79"/>
      <c r="D178" s="79"/>
      <c r="E178" s="79"/>
      <c r="P178" s="79"/>
      <c r="Q178" s="79"/>
      <c r="R178" s="79"/>
      <c r="Y178" s="79"/>
      <c r="AC178" s="130"/>
      <c r="AE178" s="106"/>
    </row>
    <row r="179">
      <c r="C179" s="79"/>
      <c r="D179" s="79"/>
      <c r="E179" s="79"/>
      <c r="P179" s="79"/>
      <c r="Q179" s="79"/>
      <c r="R179" s="79"/>
      <c r="Y179" s="79"/>
      <c r="AC179" s="130"/>
      <c r="AE179" s="106"/>
    </row>
    <row r="180">
      <c r="C180" s="79"/>
      <c r="D180" s="79"/>
      <c r="E180" s="79"/>
      <c r="P180" s="79"/>
      <c r="Q180" s="79"/>
      <c r="R180" s="79"/>
      <c r="Y180" s="79"/>
      <c r="AC180" s="130"/>
      <c r="AE180" s="106"/>
    </row>
    <row r="181">
      <c r="C181" s="79"/>
      <c r="D181" s="79"/>
      <c r="E181" s="79"/>
      <c r="P181" s="79"/>
      <c r="Q181" s="79"/>
      <c r="R181" s="79"/>
      <c r="Y181" s="79"/>
      <c r="AC181" s="130"/>
      <c r="AE181" s="106"/>
    </row>
    <row r="182">
      <c r="C182" s="79"/>
      <c r="D182" s="79"/>
      <c r="E182" s="79"/>
      <c r="P182" s="79"/>
      <c r="Q182" s="79"/>
      <c r="R182" s="79"/>
      <c r="Y182" s="79"/>
      <c r="AC182" s="130"/>
      <c r="AE182" s="106"/>
    </row>
    <row r="183">
      <c r="C183" s="79"/>
      <c r="D183" s="79"/>
      <c r="E183" s="79"/>
      <c r="P183" s="79"/>
      <c r="Q183" s="79"/>
      <c r="R183" s="79"/>
      <c r="Y183" s="79"/>
      <c r="AC183" s="130"/>
      <c r="AE183" s="106"/>
    </row>
    <row r="184">
      <c r="C184" s="79"/>
      <c r="D184" s="79"/>
      <c r="E184" s="79"/>
      <c r="P184" s="79"/>
      <c r="Q184" s="79"/>
      <c r="R184" s="79"/>
      <c r="Y184" s="79"/>
      <c r="AC184" s="130"/>
      <c r="AE184" s="106"/>
    </row>
    <row r="185">
      <c r="C185" s="79"/>
      <c r="D185" s="79"/>
      <c r="E185" s="79"/>
      <c r="P185" s="79"/>
      <c r="Q185" s="79"/>
      <c r="R185" s="79"/>
      <c r="Y185" s="79"/>
      <c r="AC185" s="130"/>
      <c r="AE185" s="106"/>
    </row>
    <row r="186">
      <c r="C186" s="79"/>
      <c r="D186" s="79"/>
      <c r="E186" s="79"/>
      <c r="P186" s="79"/>
      <c r="Q186" s="79"/>
      <c r="R186" s="79"/>
      <c r="Y186" s="79"/>
      <c r="AC186" s="130"/>
      <c r="AE186" s="106"/>
    </row>
    <row r="187">
      <c r="C187" s="79"/>
      <c r="D187" s="79"/>
      <c r="E187" s="79"/>
      <c r="P187" s="79"/>
      <c r="Q187" s="79"/>
      <c r="R187" s="79"/>
      <c r="Y187" s="79"/>
      <c r="AC187" s="130"/>
      <c r="AE187" s="106"/>
    </row>
    <row r="188">
      <c r="C188" s="79"/>
      <c r="D188" s="79"/>
      <c r="E188" s="79"/>
      <c r="P188" s="79"/>
      <c r="Q188" s="79"/>
      <c r="R188" s="79"/>
      <c r="Y188" s="79"/>
      <c r="AC188" s="130"/>
      <c r="AE188" s="106"/>
    </row>
    <row r="189">
      <c r="C189" s="79"/>
      <c r="D189" s="79"/>
      <c r="E189" s="79"/>
      <c r="P189" s="79"/>
      <c r="Q189" s="79"/>
      <c r="R189" s="79"/>
      <c r="Y189" s="79"/>
      <c r="AC189" s="130"/>
      <c r="AE189" s="106"/>
    </row>
    <row r="190">
      <c r="C190" s="79"/>
      <c r="D190" s="79"/>
      <c r="E190" s="79"/>
      <c r="P190" s="79"/>
      <c r="Q190" s="79"/>
      <c r="R190" s="79"/>
      <c r="Y190" s="79"/>
      <c r="AC190" s="130"/>
      <c r="AE190" s="106"/>
    </row>
    <row r="191">
      <c r="C191" s="79"/>
      <c r="D191" s="79"/>
      <c r="E191" s="79"/>
      <c r="P191" s="79"/>
      <c r="Q191" s="79"/>
      <c r="R191" s="79"/>
      <c r="Y191" s="79"/>
      <c r="AC191" s="130"/>
      <c r="AE191" s="106"/>
    </row>
    <row r="192">
      <c r="C192" s="79"/>
      <c r="D192" s="79"/>
      <c r="E192" s="79"/>
      <c r="P192" s="79"/>
      <c r="Q192" s="79"/>
      <c r="R192" s="79"/>
      <c r="Y192" s="79"/>
      <c r="AC192" s="130"/>
      <c r="AE192" s="106"/>
    </row>
    <row r="193">
      <c r="C193" s="79"/>
      <c r="D193" s="79"/>
      <c r="E193" s="79"/>
      <c r="P193" s="79"/>
      <c r="Q193" s="79"/>
      <c r="R193" s="79"/>
      <c r="Y193" s="79"/>
      <c r="AC193" s="130"/>
      <c r="AE193" s="106"/>
    </row>
    <row r="194">
      <c r="C194" s="79"/>
      <c r="D194" s="79"/>
      <c r="E194" s="79"/>
      <c r="P194" s="79"/>
      <c r="Q194" s="79"/>
      <c r="R194" s="79"/>
      <c r="Y194" s="79"/>
      <c r="AC194" s="130"/>
      <c r="AE194" s="106"/>
    </row>
    <row r="195">
      <c r="C195" s="79"/>
      <c r="D195" s="79"/>
      <c r="E195" s="79"/>
      <c r="P195" s="79"/>
      <c r="Q195" s="79"/>
      <c r="R195" s="79"/>
      <c r="Y195" s="79"/>
      <c r="AC195" s="130"/>
      <c r="AE195" s="106"/>
    </row>
    <row r="196">
      <c r="C196" s="79"/>
      <c r="D196" s="79"/>
      <c r="E196" s="79"/>
      <c r="P196" s="79"/>
      <c r="Q196" s="79"/>
      <c r="R196" s="79"/>
      <c r="Y196" s="79"/>
      <c r="AC196" s="130"/>
      <c r="AE196" s="106"/>
    </row>
    <row r="197">
      <c r="C197" s="79"/>
      <c r="D197" s="79"/>
      <c r="E197" s="79"/>
      <c r="P197" s="79"/>
      <c r="Q197" s="79"/>
      <c r="R197" s="79"/>
      <c r="Y197" s="79"/>
      <c r="AC197" s="130"/>
      <c r="AE197" s="106"/>
    </row>
    <row r="198">
      <c r="C198" s="79"/>
      <c r="D198" s="79"/>
      <c r="E198" s="79"/>
      <c r="P198" s="79"/>
      <c r="Q198" s="79"/>
      <c r="R198" s="79"/>
      <c r="Y198" s="79"/>
      <c r="AC198" s="130"/>
      <c r="AE198" s="106"/>
    </row>
    <row r="199">
      <c r="C199" s="79"/>
      <c r="D199" s="79"/>
      <c r="E199" s="79"/>
      <c r="P199" s="79"/>
      <c r="Q199" s="79"/>
      <c r="R199" s="79"/>
      <c r="Y199" s="79"/>
      <c r="AC199" s="130"/>
      <c r="AE199" s="106"/>
    </row>
    <row r="200">
      <c r="C200" s="79"/>
      <c r="D200" s="79"/>
      <c r="E200" s="79"/>
      <c r="P200" s="79"/>
      <c r="Q200" s="79"/>
      <c r="R200" s="79"/>
      <c r="Y200" s="79"/>
      <c r="AC200" s="130"/>
      <c r="AE200" s="106"/>
    </row>
    <row r="201">
      <c r="C201" s="79"/>
      <c r="D201" s="79"/>
      <c r="E201" s="79"/>
      <c r="P201" s="79"/>
      <c r="Q201" s="79"/>
      <c r="R201" s="79"/>
      <c r="Y201" s="79"/>
      <c r="AC201" s="130"/>
      <c r="AE201" s="106"/>
    </row>
    <row r="202">
      <c r="C202" s="79"/>
      <c r="D202" s="79"/>
      <c r="E202" s="79"/>
      <c r="P202" s="79"/>
      <c r="Q202" s="79"/>
      <c r="R202" s="79"/>
      <c r="Y202" s="79"/>
      <c r="AC202" s="130"/>
      <c r="AE202" s="106"/>
    </row>
    <row r="203">
      <c r="C203" s="79"/>
      <c r="D203" s="79"/>
      <c r="E203" s="79"/>
      <c r="P203" s="79"/>
      <c r="Q203" s="79"/>
      <c r="R203" s="79"/>
      <c r="Y203" s="79"/>
      <c r="AC203" s="130"/>
      <c r="AE203" s="106"/>
    </row>
    <row r="204">
      <c r="C204" s="79"/>
      <c r="D204" s="79"/>
      <c r="E204" s="79"/>
      <c r="P204" s="79"/>
      <c r="Q204" s="79"/>
      <c r="R204" s="79"/>
      <c r="Y204" s="79"/>
      <c r="AC204" s="130"/>
      <c r="AE204" s="106"/>
    </row>
    <row r="205">
      <c r="C205" s="79"/>
      <c r="D205" s="79"/>
      <c r="E205" s="79"/>
      <c r="P205" s="79"/>
      <c r="Q205" s="79"/>
      <c r="R205" s="79"/>
      <c r="Y205" s="79"/>
      <c r="AC205" s="130"/>
      <c r="AE205" s="106"/>
    </row>
    <row r="206">
      <c r="C206" s="79"/>
      <c r="D206" s="79"/>
      <c r="E206" s="79"/>
      <c r="P206" s="79"/>
      <c r="Q206" s="79"/>
      <c r="R206" s="79"/>
      <c r="Y206" s="79"/>
      <c r="AC206" s="130"/>
      <c r="AE206" s="106"/>
    </row>
    <row r="207">
      <c r="C207" s="79"/>
      <c r="D207" s="79"/>
      <c r="E207" s="79"/>
      <c r="P207" s="79"/>
      <c r="Q207" s="79"/>
      <c r="R207" s="79"/>
      <c r="Y207" s="79"/>
      <c r="AC207" s="130"/>
      <c r="AE207" s="106"/>
    </row>
    <row r="208">
      <c r="C208" s="79"/>
      <c r="D208" s="79"/>
      <c r="E208" s="79"/>
      <c r="P208" s="79"/>
      <c r="Q208" s="79"/>
      <c r="R208" s="79"/>
      <c r="Y208" s="79"/>
      <c r="AC208" s="130"/>
      <c r="AE208" s="106"/>
    </row>
    <row r="209">
      <c r="C209" s="79"/>
      <c r="D209" s="79"/>
      <c r="E209" s="79"/>
      <c r="P209" s="79"/>
      <c r="Q209" s="79"/>
      <c r="R209" s="79"/>
      <c r="Y209" s="79"/>
      <c r="AC209" s="130"/>
      <c r="AE209" s="106"/>
    </row>
    <row r="210">
      <c r="C210" s="79"/>
      <c r="D210" s="79"/>
      <c r="E210" s="79"/>
      <c r="P210" s="79"/>
      <c r="Q210" s="79"/>
      <c r="R210" s="79"/>
      <c r="Y210" s="79"/>
      <c r="AC210" s="130"/>
      <c r="AE210" s="106"/>
    </row>
    <row r="211">
      <c r="C211" s="79"/>
      <c r="D211" s="79"/>
      <c r="E211" s="79"/>
      <c r="P211" s="79"/>
      <c r="Q211" s="79"/>
      <c r="R211" s="79"/>
      <c r="Y211" s="79"/>
      <c r="AC211" s="130"/>
      <c r="AE211" s="106"/>
    </row>
    <row r="212">
      <c r="C212" s="79"/>
      <c r="D212" s="79"/>
      <c r="E212" s="79"/>
      <c r="P212" s="79"/>
      <c r="Q212" s="79"/>
      <c r="R212" s="79"/>
      <c r="Y212" s="79"/>
      <c r="AC212" s="130"/>
      <c r="AE212" s="106"/>
    </row>
    <row r="213">
      <c r="C213" s="79"/>
      <c r="D213" s="79"/>
      <c r="E213" s="79"/>
      <c r="P213" s="79"/>
      <c r="Q213" s="79"/>
      <c r="R213" s="79"/>
      <c r="Y213" s="79"/>
      <c r="AC213" s="130"/>
      <c r="AE213" s="106"/>
    </row>
    <row r="214">
      <c r="C214" s="79"/>
      <c r="D214" s="79"/>
      <c r="E214" s="79"/>
      <c r="P214" s="79"/>
      <c r="Q214" s="79"/>
      <c r="R214" s="79"/>
      <c r="Y214" s="79"/>
      <c r="AC214" s="130"/>
      <c r="AE214" s="106"/>
    </row>
    <row r="215">
      <c r="C215" s="79"/>
      <c r="D215" s="79"/>
      <c r="E215" s="79"/>
      <c r="P215" s="79"/>
      <c r="Q215" s="79"/>
      <c r="R215" s="79"/>
      <c r="Y215" s="79"/>
      <c r="AC215" s="130"/>
      <c r="AE215" s="106"/>
    </row>
    <row r="216">
      <c r="C216" s="79"/>
      <c r="D216" s="79"/>
      <c r="E216" s="79"/>
      <c r="P216" s="79"/>
      <c r="Q216" s="79"/>
      <c r="R216" s="79"/>
      <c r="Y216" s="79"/>
      <c r="AC216" s="130"/>
      <c r="AE216" s="106"/>
    </row>
    <row r="217">
      <c r="C217" s="79"/>
      <c r="D217" s="79"/>
      <c r="E217" s="79"/>
      <c r="P217" s="79"/>
      <c r="Q217" s="79"/>
      <c r="R217" s="79"/>
      <c r="Y217" s="79"/>
      <c r="AC217" s="130"/>
      <c r="AE217" s="106"/>
    </row>
    <row r="218">
      <c r="C218" s="79"/>
      <c r="D218" s="79"/>
      <c r="E218" s="79"/>
      <c r="P218" s="79"/>
      <c r="Q218" s="79"/>
      <c r="R218" s="79"/>
      <c r="Y218" s="79"/>
      <c r="AC218" s="130"/>
      <c r="AE218" s="106"/>
    </row>
    <row r="219">
      <c r="C219" s="79"/>
      <c r="D219" s="79"/>
      <c r="E219" s="79"/>
      <c r="P219" s="79"/>
      <c r="Q219" s="79"/>
      <c r="R219" s="79"/>
      <c r="Y219" s="79"/>
      <c r="AC219" s="130"/>
      <c r="AE219" s="106"/>
    </row>
    <row r="220">
      <c r="C220" s="79"/>
      <c r="D220" s="79"/>
      <c r="E220" s="79"/>
      <c r="P220" s="79"/>
      <c r="Q220" s="79"/>
      <c r="R220" s="79"/>
      <c r="Y220" s="79"/>
      <c r="AC220" s="130"/>
      <c r="AE220" s="106"/>
    </row>
    <row r="221">
      <c r="C221" s="79"/>
      <c r="D221" s="79"/>
      <c r="E221" s="79"/>
      <c r="P221" s="79"/>
      <c r="Q221" s="79"/>
      <c r="R221" s="79"/>
      <c r="Y221" s="79"/>
      <c r="AC221" s="130"/>
      <c r="AE221" s="106"/>
    </row>
    <row r="222">
      <c r="C222" s="79"/>
      <c r="D222" s="79"/>
      <c r="E222" s="79"/>
      <c r="P222" s="79"/>
      <c r="Q222" s="79"/>
      <c r="R222" s="79"/>
      <c r="Y222" s="79"/>
      <c r="AC222" s="130"/>
      <c r="AE222" s="106"/>
    </row>
    <row r="223">
      <c r="C223" s="79"/>
      <c r="D223" s="79"/>
      <c r="E223" s="79"/>
      <c r="P223" s="79"/>
      <c r="Q223" s="79"/>
      <c r="R223" s="79"/>
      <c r="Y223" s="79"/>
      <c r="AC223" s="130"/>
      <c r="AE223" s="106"/>
    </row>
    <row r="224">
      <c r="C224" s="79"/>
      <c r="D224" s="79"/>
      <c r="E224" s="79"/>
      <c r="P224" s="79"/>
      <c r="Q224" s="79"/>
      <c r="R224" s="79"/>
      <c r="Y224" s="79"/>
      <c r="AC224" s="130"/>
      <c r="AE224" s="106"/>
    </row>
    <row r="225">
      <c r="C225" s="79"/>
      <c r="D225" s="79"/>
      <c r="E225" s="79"/>
      <c r="P225" s="79"/>
      <c r="Q225" s="79"/>
      <c r="R225" s="79"/>
      <c r="Y225" s="79"/>
      <c r="AC225" s="130"/>
      <c r="AE225" s="106"/>
    </row>
    <row r="226">
      <c r="C226" s="79"/>
      <c r="D226" s="79"/>
      <c r="E226" s="79"/>
      <c r="P226" s="79"/>
      <c r="Q226" s="79"/>
      <c r="R226" s="79"/>
      <c r="Y226" s="79"/>
      <c r="AC226" s="130"/>
      <c r="AE226" s="106"/>
    </row>
    <row r="227">
      <c r="C227" s="79"/>
      <c r="D227" s="79"/>
      <c r="E227" s="79"/>
      <c r="P227" s="79"/>
      <c r="Q227" s="79"/>
      <c r="R227" s="79"/>
      <c r="Y227" s="79"/>
      <c r="AC227" s="130"/>
      <c r="AE227" s="106"/>
    </row>
    <row r="228">
      <c r="C228" s="79"/>
      <c r="D228" s="79"/>
      <c r="E228" s="79"/>
      <c r="P228" s="79"/>
      <c r="Q228" s="79"/>
      <c r="R228" s="79"/>
      <c r="Y228" s="79"/>
      <c r="AC228" s="130"/>
      <c r="AE228" s="106"/>
    </row>
    <row r="229">
      <c r="C229" s="79"/>
      <c r="D229" s="79"/>
      <c r="E229" s="79"/>
      <c r="P229" s="79"/>
      <c r="Q229" s="79"/>
      <c r="R229" s="79"/>
      <c r="Y229" s="79"/>
      <c r="AC229" s="130"/>
      <c r="AE229" s="106"/>
    </row>
    <row r="230">
      <c r="C230" s="79"/>
      <c r="D230" s="79"/>
      <c r="E230" s="79"/>
      <c r="P230" s="79"/>
      <c r="Q230" s="79"/>
      <c r="R230" s="79"/>
      <c r="Y230" s="79"/>
      <c r="AC230" s="130"/>
      <c r="AE230" s="106"/>
    </row>
    <row r="231">
      <c r="C231" s="79"/>
      <c r="D231" s="79"/>
      <c r="E231" s="79"/>
      <c r="P231" s="79"/>
      <c r="Q231" s="79"/>
      <c r="R231" s="79"/>
      <c r="Y231" s="79"/>
      <c r="AC231" s="130"/>
      <c r="AE231" s="106"/>
    </row>
    <row r="232">
      <c r="C232" s="79"/>
      <c r="D232" s="79"/>
      <c r="E232" s="79"/>
      <c r="P232" s="79"/>
      <c r="Q232" s="79"/>
      <c r="R232" s="79"/>
      <c r="Y232" s="79"/>
      <c r="AC232" s="130"/>
      <c r="AE232" s="106"/>
    </row>
    <row r="233">
      <c r="C233" s="79"/>
      <c r="D233" s="79"/>
      <c r="E233" s="79"/>
      <c r="P233" s="79"/>
      <c r="Q233" s="79"/>
      <c r="R233" s="79"/>
      <c r="Y233" s="79"/>
      <c r="AC233" s="130"/>
      <c r="AE233" s="106"/>
    </row>
    <row r="234">
      <c r="C234" s="79"/>
      <c r="D234" s="79"/>
      <c r="E234" s="79"/>
      <c r="P234" s="79"/>
      <c r="Q234" s="79"/>
      <c r="R234" s="79"/>
      <c r="Y234" s="79"/>
      <c r="AC234" s="130"/>
      <c r="AE234" s="106"/>
    </row>
    <row r="235">
      <c r="C235" s="79"/>
      <c r="D235" s="79"/>
      <c r="E235" s="79"/>
      <c r="P235" s="79"/>
      <c r="Q235" s="79"/>
      <c r="R235" s="79"/>
      <c r="Y235" s="79"/>
      <c r="AC235" s="130"/>
      <c r="AE235" s="106"/>
    </row>
    <row r="236">
      <c r="C236" s="79"/>
      <c r="D236" s="79"/>
      <c r="E236" s="79"/>
      <c r="P236" s="79"/>
      <c r="Q236" s="79"/>
      <c r="R236" s="79"/>
      <c r="Y236" s="79"/>
      <c r="AC236" s="130"/>
      <c r="AE236" s="106"/>
    </row>
    <row r="237">
      <c r="C237" s="79"/>
      <c r="D237" s="79"/>
      <c r="E237" s="79"/>
      <c r="P237" s="79"/>
      <c r="Q237" s="79"/>
      <c r="R237" s="79"/>
      <c r="Y237" s="79"/>
      <c r="AC237" s="130"/>
      <c r="AE237" s="106"/>
    </row>
    <row r="238">
      <c r="C238" s="79"/>
      <c r="D238" s="79"/>
      <c r="E238" s="79"/>
      <c r="P238" s="79"/>
      <c r="Q238" s="79"/>
      <c r="R238" s="79"/>
      <c r="Y238" s="79"/>
      <c r="AC238" s="130"/>
      <c r="AE238" s="106"/>
    </row>
    <row r="239">
      <c r="C239" s="79"/>
      <c r="D239" s="79"/>
      <c r="E239" s="79"/>
      <c r="P239" s="79"/>
      <c r="Q239" s="79"/>
      <c r="R239" s="79"/>
      <c r="Y239" s="79"/>
      <c r="AC239" s="130"/>
      <c r="AE239" s="106"/>
    </row>
    <row r="240">
      <c r="C240" s="79"/>
      <c r="D240" s="79"/>
      <c r="E240" s="79"/>
      <c r="P240" s="79"/>
      <c r="Q240" s="79"/>
      <c r="R240" s="79"/>
      <c r="Y240" s="79"/>
      <c r="AC240" s="130"/>
      <c r="AE240" s="106"/>
    </row>
    <row r="241">
      <c r="C241" s="79"/>
      <c r="D241" s="79"/>
      <c r="E241" s="79"/>
      <c r="P241" s="79"/>
      <c r="Q241" s="79"/>
      <c r="R241" s="79"/>
      <c r="Y241" s="79"/>
      <c r="AC241" s="130"/>
      <c r="AE241" s="106"/>
    </row>
    <row r="242">
      <c r="C242" s="79"/>
      <c r="D242" s="79"/>
      <c r="E242" s="79"/>
      <c r="P242" s="79"/>
      <c r="Q242" s="79"/>
      <c r="R242" s="79"/>
      <c r="Y242" s="79"/>
      <c r="AC242" s="130"/>
      <c r="AE242" s="106"/>
    </row>
    <row r="243">
      <c r="C243" s="79"/>
      <c r="D243" s="79"/>
      <c r="E243" s="79"/>
      <c r="P243" s="79"/>
      <c r="Q243" s="79"/>
      <c r="R243" s="79"/>
      <c r="Y243" s="79"/>
      <c r="AC243" s="130"/>
      <c r="AE243" s="106"/>
    </row>
    <row r="244">
      <c r="C244" s="79"/>
      <c r="D244" s="79"/>
      <c r="E244" s="79"/>
      <c r="P244" s="79"/>
      <c r="Q244" s="79"/>
      <c r="R244" s="79"/>
      <c r="Y244" s="79"/>
      <c r="AC244" s="130"/>
      <c r="AE244" s="106"/>
    </row>
    <row r="245">
      <c r="C245" s="79"/>
      <c r="D245" s="79"/>
      <c r="E245" s="79"/>
      <c r="P245" s="79"/>
      <c r="Q245" s="79"/>
      <c r="R245" s="79"/>
      <c r="Y245" s="79"/>
      <c r="AC245" s="130"/>
      <c r="AE245" s="106"/>
    </row>
    <row r="246">
      <c r="C246" s="79"/>
      <c r="D246" s="79"/>
      <c r="E246" s="79"/>
      <c r="P246" s="79"/>
      <c r="Q246" s="79"/>
      <c r="R246" s="79"/>
      <c r="Y246" s="79"/>
      <c r="AC246" s="130"/>
      <c r="AE246" s="106"/>
    </row>
    <row r="247">
      <c r="C247" s="79"/>
      <c r="D247" s="79"/>
      <c r="E247" s="79"/>
      <c r="P247" s="79"/>
      <c r="Q247" s="79"/>
      <c r="R247" s="79"/>
      <c r="Y247" s="79"/>
      <c r="AC247" s="130"/>
      <c r="AE247" s="106"/>
    </row>
    <row r="248">
      <c r="C248" s="79"/>
      <c r="D248" s="79"/>
      <c r="E248" s="79"/>
      <c r="P248" s="79"/>
      <c r="Q248" s="79"/>
      <c r="R248" s="79"/>
      <c r="Y248" s="79"/>
      <c r="AC248" s="130"/>
      <c r="AE248" s="106"/>
    </row>
    <row r="249">
      <c r="C249" s="79"/>
      <c r="D249" s="79"/>
      <c r="E249" s="79"/>
      <c r="P249" s="79"/>
      <c r="Q249" s="79"/>
      <c r="R249" s="79"/>
      <c r="Y249" s="79"/>
      <c r="AC249" s="130"/>
      <c r="AE249" s="106"/>
    </row>
    <row r="250">
      <c r="C250" s="79"/>
      <c r="D250" s="79"/>
      <c r="E250" s="79"/>
      <c r="P250" s="79"/>
      <c r="Q250" s="79"/>
      <c r="R250" s="79"/>
      <c r="Y250" s="79"/>
      <c r="AC250" s="130"/>
      <c r="AE250" s="106"/>
    </row>
    <row r="251">
      <c r="C251" s="79"/>
      <c r="D251" s="79"/>
      <c r="E251" s="79"/>
      <c r="P251" s="79"/>
      <c r="Q251" s="79"/>
      <c r="R251" s="79"/>
      <c r="Y251" s="79"/>
      <c r="AC251" s="130"/>
      <c r="AE251" s="106"/>
    </row>
    <row r="252">
      <c r="C252" s="79"/>
      <c r="D252" s="79"/>
      <c r="E252" s="79"/>
      <c r="P252" s="79"/>
      <c r="Q252" s="79"/>
      <c r="R252" s="79"/>
      <c r="Y252" s="79"/>
      <c r="AC252" s="130"/>
      <c r="AE252" s="106"/>
    </row>
    <row r="253">
      <c r="C253" s="79"/>
      <c r="D253" s="79"/>
      <c r="E253" s="79"/>
      <c r="P253" s="79"/>
      <c r="Q253" s="79"/>
      <c r="R253" s="79"/>
      <c r="Y253" s="79"/>
      <c r="AC253" s="130"/>
      <c r="AE253" s="106"/>
    </row>
    <row r="254">
      <c r="C254" s="79"/>
      <c r="D254" s="79"/>
      <c r="E254" s="79"/>
      <c r="P254" s="79"/>
      <c r="Q254" s="79"/>
      <c r="R254" s="79"/>
      <c r="Y254" s="79"/>
      <c r="AC254" s="130"/>
      <c r="AE254" s="106"/>
    </row>
    <row r="255">
      <c r="C255" s="79"/>
      <c r="D255" s="79"/>
      <c r="E255" s="79"/>
      <c r="P255" s="79"/>
      <c r="Q255" s="79"/>
      <c r="R255" s="79"/>
      <c r="Y255" s="79"/>
      <c r="AC255" s="130"/>
      <c r="AE255" s="106"/>
    </row>
    <row r="256">
      <c r="C256" s="79"/>
      <c r="D256" s="79"/>
      <c r="E256" s="79"/>
      <c r="P256" s="79"/>
      <c r="Q256" s="79"/>
      <c r="R256" s="79"/>
      <c r="Y256" s="79"/>
      <c r="AC256" s="130"/>
      <c r="AE256" s="106"/>
    </row>
    <row r="257">
      <c r="C257" s="79"/>
      <c r="D257" s="79"/>
      <c r="E257" s="79"/>
      <c r="P257" s="79"/>
      <c r="Q257" s="79"/>
      <c r="R257" s="79"/>
      <c r="Y257" s="79"/>
      <c r="AC257" s="130"/>
      <c r="AE257" s="106"/>
    </row>
    <row r="258">
      <c r="C258" s="79"/>
      <c r="D258" s="79"/>
      <c r="E258" s="79"/>
      <c r="P258" s="79"/>
      <c r="Q258" s="79"/>
      <c r="R258" s="79"/>
      <c r="Y258" s="79"/>
      <c r="AC258" s="130"/>
      <c r="AE258" s="106"/>
    </row>
    <row r="259">
      <c r="C259" s="79"/>
      <c r="D259" s="79"/>
      <c r="E259" s="79"/>
      <c r="P259" s="79"/>
      <c r="Q259" s="79"/>
      <c r="R259" s="79"/>
      <c r="Y259" s="79"/>
      <c r="AC259" s="130"/>
      <c r="AE259" s="106"/>
    </row>
    <row r="260">
      <c r="C260" s="79"/>
      <c r="D260" s="79"/>
      <c r="E260" s="79"/>
      <c r="P260" s="79"/>
      <c r="Q260" s="79"/>
      <c r="R260" s="79"/>
      <c r="Y260" s="79"/>
      <c r="AC260" s="130"/>
      <c r="AE260" s="106"/>
    </row>
    <row r="261">
      <c r="C261" s="79"/>
      <c r="D261" s="79"/>
      <c r="E261" s="79"/>
      <c r="P261" s="79"/>
      <c r="Q261" s="79"/>
      <c r="R261" s="79"/>
      <c r="Y261" s="79"/>
      <c r="AC261" s="130"/>
      <c r="AE261" s="106"/>
    </row>
    <row r="262">
      <c r="C262" s="79"/>
      <c r="D262" s="79"/>
      <c r="E262" s="79"/>
      <c r="P262" s="79"/>
      <c r="Q262" s="79"/>
      <c r="R262" s="79"/>
      <c r="Y262" s="79"/>
      <c r="AC262" s="130"/>
      <c r="AE262" s="106"/>
    </row>
    <row r="263">
      <c r="C263" s="79"/>
      <c r="D263" s="79"/>
      <c r="E263" s="79"/>
      <c r="P263" s="79"/>
      <c r="Q263" s="79"/>
      <c r="R263" s="79"/>
      <c r="Y263" s="79"/>
      <c r="AC263" s="130"/>
      <c r="AE263" s="106"/>
    </row>
    <row r="264">
      <c r="C264" s="79"/>
      <c r="D264" s="79"/>
      <c r="E264" s="79"/>
      <c r="P264" s="79"/>
      <c r="Q264" s="79"/>
      <c r="R264" s="79"/>
      <c r="Y264" s="79"/>
      <c r="AC264" s="130"/>
      <c r="AE264" s="106"/>
    </row>
    <row r="265">
      <c r="C265" s="79"/>
      <c r="D265" s="79"/>
      <c r="E265" s="79"/>
      <c r="P265" s="79"/>
      <c r="Q265" s="79"/>
      <c r="R265" s="79"/>
      <c r="Y265" s="79"/>
      <c r="AC265" s="130"/>
      <c r="AE265" s="106"/>
    </row>
    <row r="266">
      <c r="C266" s="79"/>
      <c r="D266" s="79"/>
      <c r="E266" s="79"/>
      <c r="P266" s="79"/>
      <c r="Q266" s="79"/>
      <c r="R266" s="79"/>
      <c r="Y266" s="79"/>
      <c r="AC266" s="130"/>
      <c r="AE266" s="106"/>
    </row>
    <row r="267">
      <c r="C267" s="79"/>
      <c r="D267" s="79"/>
      <c r="E267" s="79"/>
      <c r="P267" s="79"/>
      <c r="Q267" s="79"/>
      <c r="R267" s="79"/>
      <c r="Y267" s="79"/>
      <c r="AC267" s="130"/>
      <c r="AE267" s="106"/>
    </row>
    <row r="268">
      <c r="C268" s="79"/>
      <c r="D268" s="79"/>
      <c r="E268" s="79"/>
      <c r="P268" s="79"/>
      <c r="Q268" s="79"/>
      <c r="R268" s="79"/>
      <c r="Y268" s="79"/>
      <c r="AC268" s="130"/>
      <c r="AE268" s="106"/>
    </row>
    <row r="269">
      <c r="C269" s="79"/>
      <c r="D269" s="79"/>
      <c r="E269" s="79"/>
      <c r="P269" s="79"/>
      <c r="Q269" s="79"/>
      <c r="R269" s="79"/>
      <c r="Y269" s="79"/>
      <c r="AC269" s="130"/>
      <c r="AE269" s="106"/>
    </row>
    <row r="270">
      <c r="C270" s="79"/>
      <c r="D270" s="79"/>
      <c r="E270" s="79"/>
      <c r="P270" s="79"/>
      <c r="Q270" s="79"/>
      <c r="R270" s="79"/>
      <c r="Y270" s="79"/>
      <c r="AC270" s="130"/>
      <c r="AE270" s="106"/>
    </row>
    <row r="271">
      <c r="C271" s="79"/>
      <c r="D271" s="79"/>
      <c r="E271" s="79"/>
      <c r="P271" s="79"/>
      <c r="Q271" s="79"/>
      <c r="R271" s="79"/>
      <c r="Y271" s="79"/>
      <c r="AC271" s="130"/>
      <c r="AE271" s="106"/>
    </row>
    <row r="272">
      <c r="C272" s="79"/>
      <c r="D272" s="79"/>
      <c r="E272" s="79"/>
      <c r="P272" s="79"/>
      <c r="Q272" s="79"/>
      <c r="R272" s="79"/>
      <c r="Y272" s="79"/>
      <c r="AC272" s="130"/>
      <c r="AE272" s="106"/>
    </row>
    <row r="273">
      <c r="C273" s="79"/>
      <c r="D273" s="79"/>
      <c r="E273" s="79"/>
      <c r="P273" s="79"/>
      <c r="Q273" s="79"/>
      <c r="R273" s="79"/>
      <c r="Y273" s="79"/>
      <c r="AC273" s="130"/>
      <c r="AE273" s="106"/>
    </row>
    <row r="274">
      <c r="C274" s="79"/>
      <c r="D274" s="79"/>
      <c r="E274" s="79"/>
      <c r="P274" s="79"/>
      <c r="Q274" s="79"/>
      <c r="R274" s="79"/>
      <c r="Y274" s="79"/>
      <c r="AC274" s="130"/>
      <c r="AE274" s="106"/>
    </row>
    <row r="275">
      <c r="C275" s="79"/>
      <c r="D275" s="79"/>
      <c r="E275" s="79"/>
      <c r="P275" s="79"/>
      <c r="Q275" s="79"/>
      <c r="R275" s="79"/>
      <c r="Y275" s="79"/>
      <c r="AC275" s="130"/>
      <c r="AE275" s="106"/>
    </row>
    <row r="276">
      <c r="C276" s="79"/>
      <c r="D276" s="79"/>
      <c r="E276" s="79"/>
      <c r="P276" s="79"/>
      <c r="Q276" s="79"/>
      <c r="R276" s="79"/>
      <c r="Y276" s="79"/>
      <c r="AC276" s="130"/>
      <c r="AE276" s="106"/>
    </row>
    <row r="277">
      <c r="C277" s="79"/>
      <c r="D277" s="79"/>
      <c r="E277" s="79"/>
      <c r="P277" s="79"/>
      <c r="Q277" s="79"/>
      <c r="R277" s="79"/>
      <c r="Y277" s="79"/>
      <c r="AC277" s="130"/>
      <c r="AE277" s="106"/>
    </row>
    <row r="278">
      <c r="C278" s="79"/>
      <c r="D278" s="79"/>
      <c r="E278" s="79"/>
      <c r="P278" s="79"/>
      <c r="Q278" s="79"/>
      <c r="R278" s="79"/>
      <c r="Y278" s="79"/>
      <c r="AC278" s="130"/>
      <c r="AE278" s="106"/>
    </row>
    <row r="279">
      <c r="C279" s="79"/>
      <c r="D279" s="79"/>
      <c r="E279" s="79"/>
      <c r="P279" s="79"/>
      <c r="Q279" s="79"/>
      <c r="R279" s="79"/>
      <c r="Y279" s="79"/>
      <c r="AC279" s="130"/>
      <c r="AE279" s="106"/>
    </row>
    <row r="280">
      <c r="C280" s="79"/>
      <c r="D280" s="79"/>
      <c r="E280" s="79"/>
      <c r="P280" s="79"/>
      <c r="Q280" s="79"/>
      <c r="R280" s="79"/>
      <c r="Y280" s="79"/>
      <c r="AC280" s="130"/>
      <c r="AE280" s="106"/>
    </row>
    <row r="281">
      <c r="C281" s="79"/>
      <c r="D281" s="79"/>
      <c r="E281" s="79"/>
      <c r="P281" s="79"/>
      <c r="Q281" s="79"/>
      <c r="R281" s="79"/>
      <c r="Y281" s="79"/>
      <c r="AC281" s="130"/>
      <c r="AE281" s="106"/>
    </row>
    <row r="282">
      <c r="C282" s="79"/>
      <c r="D282" s="79"/>
      <c r="E282" s="79"/>
      <c r="P282" s="79"/>
      <c r="Q282" s="79"/>
      <c r="R282" s="79"/>
      <c r="Y282" s="79"/>
      <c r="AC282" s="130"/>
      <c r="AE282" s="106"/>
    </row>
    <row r="283">
      <c r="C283" s="79"/>
      <c r="D283" s="79"/>
      <c r="E283" s="79"/>
      <c r="P283" s="79"/>
      <c r="Q283" s="79"/>
      <c r="R283" s="79"/>
      <c r="Y283" s="79"/>
      <c r="AC283" s="130"/>
      <c r="AE283" s="106"/>
    </row>
    <row r="284">
      <c r="C284" s="79"/>
      <c r="D284" s="79"/>
      <c r="E284" s="79"/>
      <c r="P284" s="79"/>
      <c r="Q284" s="79"/>
      <c r="R284" s="79"/>
      <c r="Y284" s="79"/>
      <c r="AC284" s="130"/>
      <c r="AE284" s="106"/>
    </row>
    <row r="285">
      <c r="C285" s="79"/>
      <c r="D285" s="79"/>
      <c r="E285" s="79"/>
      <c r="P285" s="79"/>
      <c r="Q285" s="79"/>
      <c r="R285" s="79"/>
      <c r="Y285" s="79"/>
      <c r="AC285" s="130"/>
      <c r="AE285" s="106"/>
    </row>
    <row r="286">
      <c r="C286" s="79"/>
      <c r="D286" s="79"/>
      <c r="E286" s="79"/>
      <c r="P286" s="79"/>
      <c r="Q286" s="79"/>
      <c r="R286" s="79"/>
      <c r="Y286" s="79"/>
      <c r="AC286" s="130"/>
      <c r="AE286" s="106"/>
    </row>
    <row r="287">
      <c r="C287" s="79"/>
      <c r="D287" s="79"/>
      <c r="E287" s="79"/>
      <c r="P287" s="79"/>
      <c r="Q287" s="79"/>
      <c r="R287" s="79"/>
      <c r="Y287" s="79"/>
      <c r="AC287" s="130"/>
      <c r="AE287" s="106"/>
    </row>
    <row r="288">
      <c r="C288" s="79"/>
      <c r="D288" s="79"/>
      <c r="E288" s="79"/>
      <c r="P288" s="79"/>
      <c r="Q288" s="79"/>
      <c r="R288" s="79"/>
      <c r="Y288" s="79"/>
      <c r="AC288" s="130"/>
      <c r="AE288" s="106"/>
    </row>
    <row r="289">
      <c r="C289" s="79"/>
      <c r="D289" s="79"/>
      <c r="E289" s="79"/>
      <c r="P289" s="79"/>
      <c r="Q289" s="79"/>
      <c r="R289" s="79"/>
      <c r="Y289" s="79"/>
      <c r="AC289" s="130"/>
      <c r="AE289" s="106"/>
    </row>
    <row r="290">
      <c r="C290" s="79"/>
      <c r="D290" s="79"/>
      <c r="E290" s="79"/>
      <c r="P290" s="79"/>
      <c r="Q290" s="79"/>
      <c r="R290" s="79"/>
      <c r="Y290" s="79"/>
      <c r="AC290" s="130"/>
      <c r="AE290" s="106"/>
    </row>
    <row r="291">
      <c r="C291" s="79"/>
      <c r="D291" s="79"/>
      <c r="E291" s="79"/>
      <c r="P291" s="79"/>
      <c r="Q291" s="79"/>
      <c r="R291" s="79"/>
      <c r="Y291" s="79"/>
      <c r="AC291" s="130"/>
      <c r="AE291" s="106"/>
    </row>
    <row r="292">
      <c r="C292" s="79"/>
      <c r="D292" s="79"/>
      <c r="E292" s="79"/>
      <c r="P292" s="79"/>
      <c r="Q292" s="79"/>
      <c r="R292" s="79"/>
      <c r="Y292" s="79"/>
      <c r="AC292" s="130"/>
      <c r="AE292" s="106"/>
    </row>
    <row r="293">
      <c r="C293" s="79"/>
      <c r="D293" s="79"/>
      <c r="E293" s="79"/>
      <c r="P293" s="79"/>
      <c r="Q293" s="79"/>
      <c r="R293" s="79"/>
      <c r="Y293" s="79"/>
      <c r="AC293" s="130"/>
      <c r="AE293" s="106"/>
    </row>
    <row r="294">
      <c r="C294" s="79"/>
      <c r="D294" s="79"/>
      <c r="E294" s="79"/>
      <c r="P294" s="79"/>
      <c r="Q294" s="79"/>
      <c r="R294" s="79"/>
      <c r="Y294" s="79"/>
      <c r="AC294" s="130"/>
      <c r="AE294" s="106"/>
    </row>
    <row r="295">
      <c r="C295" s="79"/>
      <c r="D295" s="79"/>
      <c r="E295" s="79"/>
      <c r="P295" s="79"/>
      <c r="Q295" s="79"/>
      <c r="R295" s="79"/>
      <c r="Y295" s="79"/>
      <c r="AC295" s="130"/>
      <c r="AE295" s="106"/>
    </row>
    <row r="296">
      <c r="C296" s="79"/>
      <c r="D296" s="79"/>
      <c r="E296" s="79"/>
      <c r="P296" s="79"/>
      <c r="Q296" s="79"/>
      <c r="R296" s="79"/>
      <c r="Y296" s="79"/>
      <c r="AC296" s="130"/>
      <c r="AE296" s="106"/>
    </row>
    <row r="297">
      <c r="C297" s="79"/>
      <c r="D297" s="79"/>
      <c r="E297" s="79"/>
      <c r="P297" s="79"/>
      <c r="Q297" s="79"/>
      <c r="R297" s="79"/>
      <c r="Y297" s="79"/>
      <c r="AC297" s="130"/>
      <c r="AE297" s="106"/>
    </row>
    <row r="298">
      <c r="C298" s="79"/>
      <c r="D298" s="79"/>
      <c r="E298" s="79"/>
      <c r="P298" s="79"/>
      <c r="Q298" s="79"/>
      <c r="R298" s="79"/>
      <c r="Y298" s="79"/>
      <c r="AC298" s="130"/>
      <c r="AE298" s="106"/>
    </row>
    <row r="299">
      <c r="C299" s="79"/>
      <c r="D299" s="79"/>
      <c r="E299" s="79"/>
      <c r="P299" s="79"/>
      <c r="Q299" s="79"/>
      <c r="R299" s="79"/>
      <c r="Y299" s="79"/>
      <c r="AC299" s="130"/>
      <c r="AE299" s="106"/>
    </row>
    <row r="300">
      <c r="C300" s="79"/>
      <c r="D300" s="79"/>
      <c r="E300" s="79"/>
      <c r="P300" s="79"/>
      <c r="Q300" s="79"/>
      <c r="R300" s="79"/>
      <c r="Y300" s="79"/>
      <c r="AC300" s="130"/>
      <c r="AE300" s="106"/>
    </row>
    <row r="301">
      <c r="C301" s="79"/>
      <c r="D301" s="79"/>
      <c r="E301" s="79"/>
      <c r="P301" s="79"/>
      <c r="Q301" s="79"/>
      <c r="R301" s="79"/>
      <c r="Y301" s="79"/>
      <c r="AC301" s="130"/>
      <c r="AE301" s="106"/>
    </row>
    <row r="302">
      <c r="C302" s="79"/>
      <c r="D302" s="79"/>
      <c r="E302" s="79"/>
      <c r="P302" s="79"/>
      <c r="Q302" s="79"/>
      <c r="R302" s="79"/>
      <c r="Y302" s="79"/>
      <c r="AC302" s="130"/>
      <c r="AE302" s="106"/>
    </row>
    <row r="303">
      <c r="C303" s="79"/>
      <c r="D303" s="79"/>
      <c r="E303" s="79"/>
      <c r="P303" s="79"/>
      <c r="Q303" s="79"/>
      <c r="R303" s="79"/>
      <c r="Y303" s="79"/>
      <c r="AC303" s="130"/>
      <c r="AE303" s="106"/>
    </row>
    <row r="304">
      <c r="C304" s="79"/>
      <c r="D304" s="79"/>
      <c r="E304" s="79"/>
      <c r="P304" s="79"/>
      <c r="Q304" s="79"/>
      <c r="R304" s="79"/>
      <c r="Y304" s="79"/>
      <c r="AC304" s="130"/>
      <c r="AE304" s="106"/>
    </row>
    <row r="305">
      <c r="C305" s="79"/>
      <c r="D305" s="79"/>
      <c r="E305" s="79"/>
      <c r="P305" s="79"/>
      <c r="Q305" s="79"/>
      <c r="R305" s="79"/>
      <c r="Y305" s="79"/>
      <c r="AC305" s="130"/>
      <c r="AE305" s="106"/>
    </row>
    <row r="306">
      <c r="C306" s="79"/>
      <c r="D306" s="79"/>
      <c r="E306" s="79"/>
      <c r="P306" s="79"/>
      <c r="Q306" s="79"/>
      <c r="R306" s="79"/>
      <c r="Y306" s="79"/>
      <c r="AC306" s="130"/>
      <c r="AE306" s="106"/>
    </row>
    <row r="307">
      <c r="C307" s="79"/>
      <c r="D307" s="79"/>
      <c r="E307" s="79"/>
      <c r="P307" s="79"/>
      <c r="Q307" s="79"/>
      <c r="R307" s="79"/>
      <c r="Y307" s="79"/>
      <c r="AC307" s="130"/>
      <c r="AE307" s="106"/>
    </row>
    <row r="308">
      <c r="C308" s="79"/>
      <c r="D308" s="79"/>
      <c r="E308" s="79"/>
      <c r="P308" s="79"/>
      <c r="Q308" s="79"/>
      <c r="R308" s="79"/>
      <c r="Y308" s="79"/>
      <c r="AC308" s="130"/>
      <c r="AE308" s="106"/>
    </row>
    <row r="309">
      <c r="C309" s="79"/>
      <c r="D309" s="79"/>
      <c r="E309" s="79"/>
      <c r="P309" s="79"/>
      <c r="Q309" s="79"/>
      <c r="R309" s="79"/>
      <c r="Y309" s="79"/>
      <c r="AC309" s="130"/>
      <c r="AE309" s="106"/>
    </row>
    <row r="310">
      <c r="C310" s="79"/>
      <c r="D310" s="79"/>
      <c r="E310" s="79"/>
      <c r="P310" s="79"/>
      <c r="Q310" s="79"/>
      <c r="R310" s="79"/>
      <c r="Y310" s="79"/>
      <c r="AC310" s="130"/>
      <c r="AE310" s="106"/>
    </row>
    <row r="311">
      <c r="C311" s="79"/>
      <c r="D311" s="79"/>
      <c r="E311" s="79"/>
      <c r="P311" s="79"/>
      <c r="Q311" s="79"/>
      <c r="R311" s="79"/>
      <c r="Y311" s="79"/>
      <c r="AC311" s="130"/>
      <c r="AE311" s="106"/>
    </row>
    <row r="312">
      <c r="C312" s="79"/>
      <c r="D312" s="79"/>
      <c r="E312" s="79"/>
      <c r="P312" s="79"/>
      <c r="Q312" s="79"/>
      <c r="R312" s="79"/>
      <c r="Y312" s="79"/>
      <c r="AC312" s="130"/>
      <c r="AE312" s="106"/>
    </row>
    <row r="313">
      <c r="C313" s="79"/>
      <c r="D313" s="79"/>
      <c r="E313" s="79"/>
      <c r="P313" s="79"/>
      <c r="Q313" s="79"/>
      <c r="R313" s="79"/>
      <c r="Y313" s="79"/>
      <c r="AC313" s="130"/>
      <c r="AE313" s="106"/>
    </row>
    <row r="314">
      <c r="C314" s="79"/>
      <c r="D314" s="79"/>
      <c r="E314" s="79"/>
      <c r="P314" s="79"/>
      <c r="Q314" s="79"/>
      <c r="R314" s="79"/>
      <c r="Y314" s="79"/>
      <c r="AC314" s="130"/>
      <c r="AE314" s="106"/>
    </row>
    <row r="315">
      <c r="C315" s="79"/>
      <c r="D315" s="79"/>
      <c r="E315" s="79"/>
      <c r="P315" s="79"/>
      <c r="Q315" s="79"/>
      <c r="R315" s="79"/>
      <c r="Y315" s="79"/>
      <c r="AC315" s="130"/>
      <c r="AE315" s="106"/>
    </row>
    <row r="316">
      <c r="C316" s="79"/>
      <c r="D316" s="79"/>
      <c r="E316" s="79"/>
      <c r="P316" s="79"/>
      <c r="Q316" s="79"/>
      <c r="R316" s="79"/>
      <c r="Y316" s="79"/>
      <c r="AC316" s="130"/>
      <c r="AE316" s="106"/>
    </row>
    <row r="317">
      <c r="C317" s="79"/>
      <c r="D317" s="79"/>
      <c r="E317" s="79"/>
      <c r="P317" s="79"/>
      <c r="Q317" s="79"/>
      <c r="R317" s="79"/>
      <c r="Y317" s="79"/>
      <c r="AC317" s="130"/>
      <c r="AE317" s="106"/>
    </row>
    <row r="318">
      <c r="C318" s="79"/>
      <c r="D318" s="79"/>
      <c r="E318" s="79"/>
      <c r="P318" s="79"/>
      <c r="Q318" s="79"/>
      <c r="R318" s="79"/>
      <c r="Y318" s="79"/>
      <c r="AC318" s="130"/>
      <c r="AE318" s="106"/>
    </row>
    <row r="319">
      <c r="C319" s="79"/>
      <c r="D319" s="79"/>
      <c r="E319" s="79"/>
      <c r="P319" s="79"/>
      <c r="Q319" s="79"/>
      <c r="R319" s="79"/>
      <c r="Y319" s="79"/>
      <c r="AC319" s="130"/>
      <c r="AE319" s="106"/>
    </row>
    <row r="320">
      <c r="C320" s="79"/>
      <c r="D320" s="79"/>
      <c r="E320" s="79"/>
      <c r="P320" s="79"/>
      <c r="Q320" s="79"/>
      <c r="R320" s="79"/>
      <c r="Y320" s="79"/>
      <c r="AC320" s="130"/>
      <c r="AE320" s="106"/>
    </row>
    <row r="321">
      <c r="C321" s="79"/>
      <c r="D321" s="79"/>
      <c r="E321" s="79"/>
      <c r="P321" s="79"/>
      <c r="Q321" s="79"/>
      <c r="R321" s="79"/>
      <c r="Y321" s="79"/>
      <c r="AC321" s="130"/>
      <c r="AE321" s="106"/>
    </row>
    <row r="322">
      <c r="C322" s="79"/>
      <c r="D322" s="79"/>
      <c r="E322" s="79"/>
      <c r="P322" s="79"/>
      <c r="Q322" s="79"/>
      <c r="R322" s="79"/>
      <c r="Y322" s="79"/>
      <c r="AC322" s="130"/>
      <c r="AE322" s="106"/>
    </row>
    <row r="323">
      <c r="C323" s="79"/>
      <c r="D323" s="79"/>
      <c r="E323" s="79"/>
      <c r="P323" s="79"/>
      <c r="Q323" s="79"/>
      <c r="R323" s="79"/>
      <c r="Y323" s="79"/>
      <c r="AC323" s="130"/>
      <c r="AE323" s="106"/>
    </row>
    <row r="324">
      <c r="C324" s="79"/>
      <c r="D324" s="79"/>
      <c r="E324" s="79"/>
      <c r="P324" s="79"/>
      <c r="Q324" s="79"/>
      <c r="R324" s="79"/>
      <c r="Y324" s="79"/>
      <c r="AC324" s="130"/>
      <c r="AE324" s="106"/>
    </row>
    <row r="325">
      <c r="C325" s="79"/>
      <c r="D325" s="79"/>
      <c r="E325" s="79"/>
      <c r="P325" s="79"/>
      <c r="Q325" s="79"/>
      <c r="R325" s="79"/>
      <c r="Y325" s="79"/>
      <c r="AC325" s="130"/>
      <c r="AE325" s="106"/>
    </row>
    <row r="326">
      <c r="C326" s="79"/>
      <c r="D326" s="79"/>
      <c r="E326" s="79"/>
      <c r="P326" s="79"/>
      <c r="Q326" s="79"/>
      <c r="R326" s="79"/>
      <c r="Y326" s="79"/>
      <c r="AC326" s="130"/>
      <c r="AE326" s="106"/>
    </row>
    <row r="327">
      <c r="C327" s="79"/>
      <c r="D327" s="79"/>
      <c r="E327" s="79"/>
      <c r="P327" s="79"/>
      <c r="Q327" s="79"/>
      <c r="R327" s="79"/>
      <c r="Y327" s="79"/>
      <c r="AC327" s="130"/>
      <c r="AE327" s="106"/>
    </row>
    <row r="328">
      <c r="C328" s="79"/>
      <c r="D328" s="79"/>
      <c r="E328" s="79"/>
      <c r="P328" s="79"/>
      <c r="Q328" s="79"/>
      <c r="R328" s="79"/>
      <c r="Y328" s="79"/>
      <c r="AC328" s="130"/>
      <c r="AE328" s="106"/>
    </row>
    <row r="329">
      <c r="C329" s="79"/>
      <c r="D329" s="79"/>
      <c r="E329" s="79"/>
      <c r="P329" s="79"/>
      <c r="Q329" s="79"/>
      <c r="R329" s="79"/>
      <c r="Y329" s="79"/>
      <c r="AC329" s="130"/>
      <c r="AE329" s="106"/>
    </row>
    <row r="330">
      <c r="C330" s="79"/>
      <c r="D330" s="79"/>
      <c r="E330" s="79"/>
      <c r="P330" s="79"/>
      <c r="Q330" s="79"/>
      <c r="R330" s="79"/>
      <c r="Y330" s="79"/>
      <c r="AC330" s="130"/>
      <c r="AE330" s="106"/>
    </row>
    <row r="331">
      <c r="C331" s="79"/>
      <c r="D331" s="79"/>
      <c r="E331" s="79"/>
      <c r="P331" s="79"/>
      <c r="Q331" s="79"/>
      <c r="R331" s="79"/>
      <c r="Y331" s="79"/>
      <c r="AC331" s="130"/>
      <c r="AE331" s="106"/>
    </row>
    <row r="332">
      <c r="C332" s="79"/>
      <c r="D332" s="79"/>
      <c r="E332" s="79"/>
      <c r="P332" s="79"/>
      <c r="Q332" s="79"/>
      <c r="R332" s="79"/>
      <c r="Y332" s="79"/>
      <c r="AC332" s="130"/>
      <c r="AE332" s="106"/>
    </row>
    <row r="333">
      <c r="C333" s="79"/>
      <c r="D333" s="79"/>
      <c r="E333" s="79"/>
      <c r="P333" s="79"/>
      <c r="Q333" s="79"/>
      <c r="R333" s="79"/>
      <c r="Y333" s="79"/>
      <c r="AC333" s="130"/>
      <c r="AE333" s="106"/>
    </row>
    <row r="334">
      <c r="C334" s="79"/>
      <c r="D334" s="79"/>
      <c r="E334" s="79"/>
      <c r="P334" s="79"/>
      <c r="Q334" s="79"/>
      <c r="R334" s="79"/>
      <c r="Y334" s="79"/>
      <c r="AC334" s="130"/>
      <c r="AE334" s="106"/>
    </row>
    <row r="335">
      <c r="C335" s="79"/>
      <c r="D335" s="79"/>
      <c r="E335" s="79"/>
      <c r="P335" s="79"/>
      <c r="Q335" s="79"/>
      <c r="R335" s="79"/>
      <c r="Y335" s="79"/>
      <c r="AC335" s="130"/>
      <c r="AE335" s="106"/>
    </row>
    <row r="336">
      <c r="C336" s="79"/>
      <c r="D336" s="79"/>
      <c r="E336" s="79"/>
      <c r="P336" s="79"/>
      <c r="Q336" s="79"/>
      <c r="R336" s="79"/>
      <c r="Y336" s="79"/>
      <c r="AC336" s="130"/>
      <c r="AE336" s="106"/>
    </row>
    <row r="337">
      <c r="C337" s="79"/>
      <c r="D337" s="79"/>
      <c r="E337" s="79"/>
      <c r="P337" s="79"/>
      <c r="Q337" s="79"/>
      <c r="R337" s="79"/>
      <c r="Y337" s="79"/>
      <c r="AC337" s="130"/>
      <c r="AE337" s="106"/>
    </row>
    <row r="338">
      <c r="C338" s="79"/>
      <c r="D338" s="79"/>
      <c r="E338" s="79"/>
      <c r="P338" s="79"/>
      <c r="Q338" s="79"/>
      <c r="R338" s="79"/>
      <c r="Y338" s="79"/>
      <c r="AC338" s="130"/>
      <c r="AE338" s="106"/>
    </row>
    <row r="339">
      <c r="C339" s="79"/>
      <c r="D339" s="79"/>
      <c r="E339" s="79"/>
      <c r="P339" s="79"/>
      <c r="Q339" s="79"/>
      <c r="R339" s="79"/>
      <c r="Y339" s="79"/>
      <c r="AC339" s="130"/>
      <c r="AE339" s="106"/>
    </row>
    <row r="340">
      <c r="C340" s="79"/>
      <c r="D340" s="79"/>
      <c r="E340" s="79"/>
      <c r="P340" s="79"/>
      <c r="Q340" s="79"/>
      <c r="R340" s="79"/>
      <c r="Y340" s="79"/>
      <c r="AC340" s="130"/>
      <c r="AE340" s="106"/>
    </row>
    <row r="341">
      <c r="C341" s="79"/>
      <c r="D341" s="79"/>
      <c r="E341" s="79"/>
      <c r="P341" s="79"/>
      <c r="Q341" s="79"/>
      <c r="R341" s="79"/>
      <c r="Y341" s="79"/>
      <c r="AC341" s="130"/>
      <c r="AE341" s="106"/>
    </row>
    <row r="342">
      <c r="C342" s="79"/>
      <c r="D342" s="79"/>
      <c r="E342" s="79"/>
      <c r="P342" s="79"/>
      <c r="Q342" s="79"/>
      <c r="R342" s="79"/>
      <c r="Y342" s="79"/>
      <c r="AC342" s="130"/>
      <c r="AE342" s="106"/>
    </row>
    <row r="343">
      <c r="C343" s="79"/>
      <c r="D343" s="79"/>
      <c r="E343" s="79"/>
      <c r="P343" s="79"/>
      <c r="Q343" s="79"/>
      <c r="R343" s="79"/>
      <c r="Y343" s="79"/>
      <c r="AC343" s="130"/>
      <c r="AE343" s="106"/>
    </row>
    <row r="344">
      <c r="C344" s="79"/>
      <c r="D344" s="79"/>
      <c r="E344" s="79"/>
      <c r="P344" s="79"/>
      <c r="Q344" s="79"/>
      <c r="R344" s="79"/>
      <c r="Y344" s="79"/>
      <c r="AC344" s="130"/>
      <c r="AE344" s="106"/>
    </row>
    <row r="345">
      <c r="C345" s="79"/>
      <c r="D345" s="79"/>
      <c r="E345" s="79"/>
      <c r="P345" s="79"/>
      <c r="Q345" s="79"/>
      <c r="R345" s="79"/>
      <c r="Y345" s="79"/>
      <c r="AC345" s="130"/>
      <c r="AE345" s="106"/>
    </row>
    <row r="346">
      <c r="C346" s="79"/>
      <c r="D346" s="79"/>
      <c r="E346" s="79"/>
      <c r="P346" s="79"/>
      <c r="Q346" s="79"/>
      <c r="R346" s="79"/>
      <c r="Y346" s="79"/>
      <c r="AC346" s="130"/>
      <c r="AE346" s="106"/>
    </row>
    <row r="347">
      <c r="C347" s="79"/>
      <c r="D347" s="79"/>
      <c r="E347" s="79"/>
      <c r="P347" s="79"/>
      <c r="Q347" s="79"/>
      <c r="R347" s="79"/>
      <c r="Y347" s="79"/>
      <c r="AC347" s="130"/>
      <c r="AE347" s="106"/>
    </row>
    <row r="348">
      <c r="C348" s="79"/>
      <c r="D348" s="79"/>
      <c r="E348" s="79"/>
      <c r="P348" s="79"/>
      <c r="Q348" s="79"/>
      <c r="R348" s="79"/>
      <c r="Y348" s="79"/>
      <c r="AC348" s="130"/>
      <c r="AE348" s="106"/>
    </row>
    <row r="349">
      <c r="C349" s="79"/>
      <c r="D349" s="79"/>
      <c r="E349" s="79"/>
      <c r="P349" s="79"/>
      <c r="Q349" s="79"/>
      <c r="R349" s="79"/>
      <c r="Y349" s="79"/>
      <c r="AC349" s="130"/>
      <c r="AE349" s="106"/>
    </row>
    <row r="350">
      <c r="C350" s="79"/>
      <c r="D350" s="79"/>
      <c r="E350" s="79"/>
      <c r="P350" s="79"/>
      <c r="Q350" s="79"/>
      <c r="R350" s="79"/>
      <c r="Y350" s="79"/>
      <c r="AC350" s="130"/>
      <c r="AE350" s="106"/>
    </row>
    <row r="351">
      <c r="C351" s="79"/>
      <c r="D351" s="79"/>
      <c r="E351" s="79"/>
      <c r="P351" s="79"/>
      <c r="Q351" s="79"/>
      <c r="R351" s="79"/>
      <c r="Y351" s="79"/>
      <c r="AC351" s="130"/>
      <c r="AE351" s="106"/>
    </row>
    <row r="352">
      <c r="C352" s="79"/>
      <c r="D352" s="79"/>
      <c r="E352" s="79"/>
      <c r="P352" s="79"/>
      <c r="Q352" s="79"/>
      <c r="R352" s="79"/>
      <c r="Y352" s="79"/>
      <c r="AC352" s="130"/>
      <c r="AE352" s="106"/>
    </row>
    <row r="353">
      <c r="C353" s="79"/>
      <c r="D353" s="79"/>
      <c r="E353" s="79"/>
      <c r="P353" s="79"/>
      <c r="Q353" s="79"/>
      <c r="R353" s="79"/>
      <c r="Y353" s="79"/>
      <c r="AC353" s="130"/>
      <c r="AE353" s="106"/>
    </row>
    <row r="354">
      <c r="C354" s="79"/>
      <c r="D354" s="79"/>
      <c r="E354" s="79"/>
      <c r="P354" s="79"/>
      <c r="Q354" s="79"/>
      <c r="R354" s="79"/>
      <c r="Y354" s="79"/>
      <c r="AC354" s="130"/>
      <c r="AE354" s="106"/>
    </row>
    <row r="355">
      <c r="C355" s="79"/>
      <c r="D355" s="79"/>
      <c r="E355" s="79"/>
      <c r="P355" s="79"/>
      <c r="Q355" s="79"/>
      <c r="R355" s="79"/>
      <c r="Y355" s="79"/>
      <c r="AC355" s="130"/>
      <c r="AE355" s="106"/>
    </row>
    <row r="356">
      <c r="C356" s="79"/>
      <c r="D356" s="79"/>
      <c r="E356" s="79"/>
      <c r="P356" s="79"/>
      <c r="Q356" s="79"/>
      <c r="R356" s="79"/>
      <c r="Y356" s="79"/>
      <c r="AC356" s="130"/>
      <c r="AE356" s="106"/>
    </row>
    <row r="357">
      <c r="C357" s="79"/>
      <c r="D357" s="79"/>
      <c r="E357" s="79"/>
      <c r="P357" s="79"/>
      <c r="Q357" s="79"/>
      <c r="R357" s="79"/>
      <c r="Y357" s="79"/>
      <c r="AC357" s="130"/>
      <c r="AE357" s="106"/>
    </row>
    <row r="358">
      <c r="C358" s="79"/>
      <c r="D358" s="79"/>
      <c r="E358" s="79"/>
      <c r="P358" s="79"/>
      <c r="Q358" s="79"/>
      <c r="R358" s="79"/>
      <c r="Y358" s="79"/>
      <c r="AC358" s="130"/>
      <c r="AE358" s="106"/>
    </row>
    <row r="359">
      <c r="C359" s="79"/>
      <c r="D359" s="79"/>
      <c r="E359" s="79"/>
      <c r="P359" s="79"/>
      <c r="Q359" s="79"/>
      <c r="R359" s="79"/>
      <c r="Y359" s="79"/>
      <c r="AC359" s="130"/>
      <c r="AE359" s="106"/>
    </row>
    <row r="360">
      <c r="C360" s="79"/>
      <c r="D360" s="79"/>
      <c r="E360" s="79"/>
      <c r="P360" s="79"/>
      <c r="Q360" s="79"/>
      <c r="R360" s="79"/>
      <c r="Y360" s="79"/>
      <c r="AC360" s="130"/>
      <c r="AE360" s="106"/>
    </row>
    <row r="361">
      <c r="C361" s="79"/>
      <c r="D361" s="79"/>
      <c r="E361" s="79"/>
      <c r="P361" s="79"/>
      <c r="Q361" s="79"/>
      <c r="R361" s="79"/>
      <c r="Y361" s="79"/>
      <c r="AC361" s="130"/>
      <c r="AE361" s="106"/>
    </row>
    <row r="362">
      <c r="C362" s="79"/>
      <c r="D362" s="79"/>
      <c r="E362" s="79"/>
      <c r="P362" s="79"/>
      <c r="Q362" s="79"/>
      <c r="R362" s="79"/>
      <c r="Y362" s="79"/>
      <c r="AC362" s="130"/>
      <c r="AE362" s="106"/>
    </row>
    <row r="363">
      <c r="C363" s="79"/>
      <c r="D363" s="79"/>
      <c r="E363" s="79"/>
      <c r="P363" s="79"/>
      <c r="Q363" s="79"/>
      <c r="R363" s="79"/>
      <c r="Y363" s="79"/>
      <c r="AC363" s="130"/>
      <c r="AE363" s="106"/>
    </row>
    <row r="364">
      <c r="C364" s="79"/>
      <c r="D364" s="79"/>
      <c r="E364" s="79"/>
      <c r="P364" s="79"/>
      <c r="Q364" s="79"/>
      <c r="R364" s="79"/>
      <c r="Y364" s="79"/>
      <c r="AC364" s="130"/>
      <c r="AE364" s="106"/>
    </row>
    <row r="365">
      <c r="C365" s="79"/>
      <c r="D365" s="79"/>
      <c r="E365" s="79"/>
      <c r="P365" s="79"/>
      <c r="Q365" s="79"/>
      <c r="R365" s="79"/>
      <c r="Y365" s="79"/>
      <c r="AC365" s="130"/>
      <c r="AE365" s="106"/>
    </row>
    <row r="366">
      <c r="C366" s="79"/>
      <c r="D366" s="79"/>
      <c r="E366" s="79"/>
      <c r="P366" s="79"/>
      <c r="Q366" s="79"/>
      <c r="R366" s="79"/>
      <c r="Y366" s="79"/>
      <c r="AC366" s="130"/>
      <c r="AE366" s="106"/>
    </row>
    <row r="367">
      <c r="C367" s="79"/>
      <c r="D367" s="79"/>
      <c r="E367" s="79"/>
      <c r="P367" s="79"/>
      <c r="Q367" s="79"/>
      <c r="R367" s="79"/>
      <c r="Y367" s="79"/>
      <c r="AC367" s="130"/>
      <c r="AE367" s="106"/>
    </row>
    <row r="368">
      <c r="C368" s="79"/>
      <c r="D368" s="79"/>
      <c r="E368" s="79"/>
      <c r="P368" s="79"/>
      <c r="Q368" s="79"/>
      <c r="R368" s="79"/>
      <c r="Y368" s="79"/>
      <c r="AC368" s="130"/>
      <c r="AE368" s="106"/>
    </row>
    <row r="369">
      <c r="C369" s="79"/>
      <c r="D369" s="79"/>
      <c r="E369" s="79"/>
      <c r="P369" s="79"/>
      <c r="Q369" s="79"/>
      <c r="R369" s="79"/>
      <c r="Y369" s="79"/>
      <c r="AC369" s="130"/>
      <c r="AE369" s="106"/>
    </row>
    <row r="370">
      <c r="C370" s="79"/>
      <c r="D370" s="79"/>
      <c r="E370" s="79"/>
      <c r="P370" s="79"/>
      <c r="Q370" s="79"/>
      <c r="R370" s="79"/>
      <c r="Y370" s="79"/>
      <c r="AC370" s="130"/>
      <c r="AE370" s="106"/>
    </row>
    <row r="371">
      <c r="C371" s="79"/>
      <c r="D371" s="79"/>
      <c r="E371" s="79"/>
      <c r="P371" s="79"/>
      <c r="Q371" s="79"/>
      <c r="R371" s="79"/>
      <c r="Y371" s="79"/>
      <c r="AC371" s="130"/>
      <c r="AE371" s="106"/>
    </row>
    <row r="372">
      <c r="C372" s="79"/>
      <c r="D372" s="79"/>
      <c r="E372" s="79"/>
      <c r="P372" s="79"/>
      <c r="Q372" s="79"/>
      <c r="R372" s="79"/>
      <c r="Y372" s="79"/>
      <c r="AC372" s="130"/>
      <c r="AE372" s="106"/>
    </row>
    <row r="373">
      <c r="C373" s="79"/>
      <c r="D373" s="79"/>
      <c r="E373" s="79"/>
      <c r="P373" s="79"/>
      <c r="Q373" s="79"/>
      <c r="R373" s="79"/>
      <c r="Y373" s="79"/>
      <c r="AC373" s="130"/>
      <c r="AE373" s="106"/>
    </row>
    <row r="374">
      <c r="C374" s="79"/>
      <c r="D374" s="79"/>
      <c r="E374" s="79"/>
      <c r="P374" s="79"/>
      <c r="Q374" s="79"/>
      <c r="R374" s="79"/>
      <c r="Y374" s="79"/>
      <c r="AC374" s="130"/>
      <c r="AE374" s="106"/>
    </row>
    <row r="375">
      <c r="C375" s="79"/>
      <c r="D375" s="79"/>
      <c r="E375" s="79"/>
      <c r="P375" s="79"/>
      <c r="Q375" s="79"/>
      <c r="R375" s="79"/>
      <c r="Y375" s="79"/>
      <c r="AC375" s="130"/>
      <c r="AE375" s="106"/>
    </row>
    <row r="376">
      <c r="C376" s="79"/>
      <c r="D376" s="79"/>
      <c r="E376" s="79"/>
      <c r="P376" s="79"/>
      <c r="Q376" s="79"/>
      <c r="R376" s="79"/>
      <c r="Y376" s="79"/>
      <c r="AC376" s="130"/>
      <c r="AE376" s="106"/>
    </row>
    <row r="377">
      <c r="C377" s="79"/>
      <c r="D377" s="79"/>
      <c r="E377" s="79"/>
      <c r="P377" s="79"/>
      <c r="Q377" s="79"/>
      <c r="R377" s="79"/>
      <c r="Y377" s="79"/>
      <c r="AC377" s="130"/>
      <c r="AE377" s="106"/>
    </row>
    <row r="378">
      <c r="C378" s="79"/>
      <c r="D378" s="79"/>
      <c r="E378" s="79"/>
      <c r="P378" s="79"/>
      <c r="Q378" s="79"/>
      <c r="R378" s="79"/>
      <c r="Y378" s="79"/>
      <c r="AC378" s="130"/>
      <c r="AE378" s="106"/>
    </row>
    <row r="379">
      <c r="C379" s="79"/>
      <c r="D379" s="79"/>
      <c r="E379" s="79"/>
      <c r="P379" s="79"/>
      <c r="Q379" s="79"/>
      <c r="R379" s="79"/>
      <c r="Y379" s="79"/>
      <c r="AC379" s="130"/>
      <c r="AE379" s="106"/>
    </row>
    <row r="380">
      <c r="C380" s="79"/>
      <c r="D380" s="79"/>
      <c r="E380" s="79"/>
      <c r="P380" s="79"/>
      <c r="Q380" s="79"/>
      <c r="R380" s="79"/>
      <c r="Y380" s="79"/>
      <c r="AC380" s="130"/>
      <c r="AE380" s="106"/>
    </row>
    <row r="381">
      <c r="C381" s="79"/>
      <c r="D381" s="79"/>
      <c r="E381" s="79"/>
      <c r="P381" s="79"/>
      <c r="Q381" s="79"/>
      <c r="R381" s="79"/>
      <c r="Y381" s="79"/>
      <c r="AC381" s="130"/>
      <c r="AE381" s="106"/>
    </row>
    <row r="382">
      <c r="C382" s="79"/>
      <c r="D382" s="79"/>
      <c r="E382" s="79"/>
      <c r="P382" s="79"/>
      <c r="Q382" s="79"/>
      <c r="R382" s="79"/>
      <c r="Y382" s="79"/>
      <c r="AC382" s="130"/>
      <c r="AE382" s="106"/>
    </row>
    <row r="383">
      <c r="C383" s="79"/>
      <c r="D383" s="79"/>
      <c r="E383" s="79"/>
      <c r="P383" s="79"/>
      <c r="Q383" s="79"/>
      <c r="R383" s="79"/>
      <c r="Y383" s="79"/>
      <c r="AC383" s="130"/>
      <c r="AE383" s="106"/>
    </row>
    <row r="384">
      <c r="C384" s="79"/>
      <c r="D384" s="79"/>
      <c r="E384" s="79"/>
      <c r="P384" s="79"/>
      <c r="Q384" s="79"/>
      <c r="R384" s="79"/>
      <c r="Y384" s="79"/>
      <c r="AC384" s="130"/>
      <c r="AE384" s="106"/>
    </row>
    <row r="385">
      <c r="C385" s="79"/>
      <c r="D385" s="79"/>
      <c r="E385" s="79"/>
      <c r="P385" s="79"/>
      <c r="Q385" s="79"/>
      <c r="R385" s="79"/>
      <c r="Y385" s="79"/>
      <c r="AC385" s="130"/>
      <c r="AE385" s="106"/>
    </row>
    <row r="386">
      <c r="C386" s="79"/>
      <c r="D386" s="79"/>
      <c r="E386" s="79"/>
      <c r="P386" s="79"/>
      <c r="Q386" s="79"/>
      <c r="R386" s="79"/>
      <c r="Y386" s="79"/>
      <c r="AC386" s="130"/>
      <c r="AE386" s="106"/>
    </row>
    <row r="387">
      <c r="C387" s="79"/>
      <c r="D387" s="79"/>
      <c r="E387" s="79"/>
      <c r="P387" s="79"/>
      <c r="Q387" s="79"/>
      <c r="R387" s="79"/>
      <c r="Y387" s="79"/>
      <c r="AC387" s="130"/>
      <c r="AE387" s="106"/>
    </row>
    <row r="388">
      <c r="C388" s="79"/>
      <c r="D388" s="79"/>
      <c r="E388" s="79"/>
      <c r="P388" s="79"/>
      <c r="Q388" s="79"/>
      <c r="R388" s="79"/>
      <c r="Y388" s="79"/>
      <c r="AC388" s="130"/>
      <c r="AE388" s="106"/>
    </row>
    <row r="389">
      <c r="C389" s="79"/>
      <c r="D389" s="79"/>
      <c r="E389" s="79"/>
      <c r="P389" s="79"/>
      <c r="Q389" s="79"/>
      <c r="R389" s="79"/>
      <c r="Y389" s="79"/>
      <c r="AC389" s="130"/>
      <c r="AE389" s="106"/>
    </row>
    <row r="390">
      <c r="C390" s="79"/>
      <c r="D390" s="79"/>
      <c r="E390" s="79"/>
      <c r="P390" s="79"/>
      <c r="Q390" s="79"/>
      <c r="R390" s="79"/>
      <c r="Y390" s="79"/>
      <c r="AC390" s="130"/>
      <c r="AE390" s="106"/>
    </row>
    <row r="391">
      <c r="C391" s="79"/>
      <c r="D391" s="79"/>
      <c r="E391" s="79"/>
      <c r="P391" s="79"/>
      <c r="Q391" s="79"/>
      <c r="R391" s="79"/>
      <c r="Y391" s="79"/>
      <c r="AC391" s="130"/>
      <c r="AE391" s="106"/>
    </row>
    <row r="392">
      <c r="C392" s="79"/>
      <c r="D392" s="79"/>
      <c r="E392" s="79"/>
      <c r="P392" s="79"/>
      <c r="Q392" s="79"/>
      <c r="R392" s="79"/>
      <c r="Y392" s="79"/>
      <c r="AC392" s="130"/>
      <c r="AE392" s="106"/>
    </row>
    <row r="393">
      <c r="C393" s="79"/>
      <c r="D393" s="79"/>
      <c r="E393" s="79"/>
      <c r="P393" s="79"/>
      <c r="Q393" s="79"/>
      <c r="R393" s="79"/>
      <c r="Y393" s="79"/>
      <c r="AC393" s="130"/>
      <c r="AE393" s="106"/>
    </row>
    <row r="394">
      <c r="C394" s="79"/>
      <c r="D394" s="79"/>
      <c r="E394" s="79"/>
      <c r="P394" s="79"/>
      <c r="Q394" s="79"/>
      <c r="R394" s="79"/>
      <c r="Y394" s="79"/>
      <c r="AC394" s="130"/>
      <c r="AE394" s="106"/>
    </row>
    <row r="395">
      <c r="C395" s="79"/>
      <c r="D395" s="79"/>
      <c r="E395" s="79"/>
      <c r="P395" s="79"/>
      <c r="Q395" s="79"/>
      <c r="R395" s="79"/>
      <c r="Y395" s="79"/>
      <c r="AC395" s="130"/>
      <c r="AE395" s="106"/>
    </row>
    <row r="396">
      <c r="C396" s="79"/>
      <c r="D396" s="79"/>
      <c r="E396" s="79"/>
      <c r="P396" s="79"/>
      <c r="Q396" s="79"/>
      <c r="R396" s="79"/>
      <c r="Y396" s="79"/>
      <c r="AC396" s="130"/>
      <c r="AE396" s="106"/>
    </row>
    <row r="397">
      <c r="C397" s="79"/>
      <c r="D397" s="79"/>
      <c r="E397" s="79"/>
      <c r="P397" s="79"/>
      <c r="Q397" s="79"/>
      <c r="R397" s="79"/>
      <c r="Y397" s="79"/>
      <c r="AC397" s="130"/>
      <c r="AE397" s="106"/>
    </row>
    <row r="398">
      <c r="C398" s="79"/>
      <c r="D398" s="79"/>
      <c r="E398" s="79"/>
      <c r="P398" s="79"/>
      <c r="Q398" s="79"/>
      <c r="R398" s="79"/>
      <c r="Y398" s="79"/>
      <c r="AC398" s="130"/>
      <c r="AE398" s="106"/>
    </row>
    <row r="399">
      <c r="C399" s="79"/>
      <c r="D399" s="79"/>
      <c r="E399" s="79"/>
      <c r="P399" s="79"/>
      <c r="Q399" s="79"/>
      <c r="R399" s="79"/>
      <c r="Y399" s="79"/>
      <c r="AC399" s="130"/>
      <c r="AE399" s="106"/>
    </row>
    <row r="400">
      <c r="C400" s="79"/>
      <c r="D400" s="79"/>
      <c r="E400" s="79"/>
      <c r="P400" s="79"/>
      <c r="Q400" s="79"/>
      <c r="R400" s="79"/>
      <c r="Y400" s="79"/>
      <c r="AC400" s="130"/>
      <c r="AE400" s="106"/>
    </row>
    <row r="401">
      <c r="C401" s="79"/>
      <c r="D401" s="79"/>
      <c r="E401" s="79"/>
      <c r="P401" s="79"/>
      <c r="Q401" s="79"/>
      <c r="R401" s="79"/>
      <c r="Y401" s="79"/>
      <c r="AC401" s="130"/>
      <c r="AE401" s="106"/>
    </row>
    <row r="402">
      <c r="C402" s="79"/>
      <c r="D402" s="79"/>
      <c r="E402" s="79"/>
      <c r="P402" s="79"/>
      <c r="Q402" s="79"/>
      <c r="R402" s="79"/>
      <c r="Y402" s="79"/>
      <c r="AC402" s="130"/>
      <c r="AE402" s="106"/>
    </row>
    <row r="403">
      <c r="C403" s="79"/>
      <c r="D403" s="79"/>
      <c r="E403" s="79"/>
      <c r="P403" s="79"/>
      <c r="Q403" s="79"/>
      <c r="R403" s="79"/>
      <c r="Y403" s="79"/>
      <c r="AC403" s="130"/>
      <c r="AE403" s="106"/>
    </row>
    <row r="404">
      <c r="C404" s="79"/>
      <c r="D404" s="79"/>
      <c r="E404" s="79"/>
      <c r="P404" s="79"/>
      <c r="Q404" s="79"/>
      <c r="R404" s="79"/>
      <c r="Y404" s="79"/>
      <c r="AC404" s="130"/>
      <c r="AE404" s="106"/>
    </row>
    <row r="405">
      <c r="C405" s="79"/>
      <c r="D405" s="79"/>
      <c r="E405" s="79"/>
      <c r="P405" s="79"/>
      <c r="Q405" s="79"/>
      <c r="R405" s="79"/>
      <c r="Y405" s="79"/>
      <c r="AC405" s="130"/>
      <c r="AE405" s="106"/>
    </row>
    <row r="406">
      <c r="C406" s="79"/>
      <c r="D406" s="79"/>
      <c r="E406" s="79"/>
      <c r="P406" s="79"/>
      <c r="Q406" s="79"/>
      <c r="R406" s="79"/>
      <c r="Y406" s="79"/>
      <c r="AC406" s="130"/>
      <c r="AE406" s="106"/>
    </row>
    <row r="407">
      <c r="C407" s="79"/>
      <c r="D407" s="79"/>
      <c r="E407" s="79"/>
      <c r="P407" s="79"/>
      <c r="Q407" s="79"/>
      <c r="R407" s="79"/>
      <c r="Y407" s="79"/>
      <c r="AC407" s="130"/>
      <c r="AE407" s="106"/>
    </row>
    <row r="408">
      <c r="C408" s="79"/>
      <c r="D408" s="79"/>
      <c r="E408" s="79"/>
      <c r="P408" s="79"/>
      <c r="Q408" s="79"/>
      <c r="R408" s="79"/>
      <c r="Y408" s="79"/>
      <c r="AC408" s="130"/>
      <c r="AE408" s="106"/>
    </row>
    <row r="409">
      <c r="C409" s="79"/>
      <c r="D409" s="79"/>
      <c r="E409" s="79"/>
      <c r="P409" s="79"/>
      <c r="Q409" s="79"/>
      <c r="R409" s="79"/>
      <c r="Y409" s="79"/>
      <c r="AC409" s="130"/>
      <c r="AE409" s="106"/>
    </row>
    <row r="410">
      <c r="C410" s="79"/>
      <c r="D410" s="79"/>
      <c r="E410" s="79"/>
      <c r="P410" s="79"/>
      <c r="Q410" s="79"/>
      <c r="R410" s="79"/>
      <c r="Y410" s="79"/>
      <c r="AC410" s="130"/>
      <c r="AE410" s="106"/>
    </row>
    <row r="411">
      <c r="C411" s="79"/>
      <c r="D411" s="79"/>
      <c r="E411" s="79"/>
      <c r="P411" s="79"/>
      <c r="Q411" s="79"/>
      <c r="R411" s="79"/>
      <c r="Y411" s="79"/>
      <c r="AC411" s="130"/>
      <c r="AE411" s="106"/>
    </row>
    <row r="412">
      <c r="C412" s="79"/>
      <c r="D412" s="79"/>
      <c r="E412" s="79"/>
      <c r="P412" s="79"/>
      <c r="Q412" s="79"/>
      <c r="R412" s="79"/>
      <c r="Y412" s="79"/>
      <c r="AC412" s="130"/>
      <c r="AE412" s="106"/>
    </row>
    <row r="413">
      <c r="C413" s="79"/>
      <c r="D413" s="79"/>
      <c r="E413" s="79"/>
      <c r="P413" s="79"/>
      <c r="Q413" s="79"/>
      <c r="R413" s="79"/>
      <c r="Y413" s="79"/>
      <c r="AC413" s="130"/>
      <c r="AE413" s="106"/>
    </row>
    <row r="414">
      <c r="C414" s="79"/>
      <c r="D414" s="79"/>
      <c r="E414" s="79"/>
      <c r="P414" s="79"/>
      <c r="Q414" s="79"/>
      <c r="R414" s="79"/>
      <c r="Y414" s="79"/>
      <c r="AC414" s="130"/>
      <c r="AE414" s="106"/>
    </row>
    <row r="415">
      <c r="C415" s="79"/>
      <c r="D415" s="79"/>
      <c r="E415" s="79"/>
      <c r="P415" s="79"/>
      <c r="Q415" s="79"/>
      <c r="R415" s="79"/>
      <c r="Y415" s="79"/>
      <c r="AC415" s="130"/>
      <c r="AE415" s="106"/>
    </row>
    <row r="416">
      <c r="C416" s="79"/>
      <c r="D416" s="79"/>
      <c r="E416" s="79"/>
      <c r="P416" s="79"/>
      <c r="Q416" s="79"/>
      <c r="R416" s="79"/>
      <c r="Y416" s="79"/>
      <c r="AC416" s="130"/>
      <c r="AE416" s="106"/>
    </row>
    <row r="417">
      <c r="C417" s="79"/>
      <c r="D417" s="79"/>
      <c r="E417" s="79"/>
      <c r="P417" s="79"/>
      <c r="Q417" s="79"/>
      <c r="R417" s="79"/>
      <c r="Y417" s="79"/>
      <c r="AC417" s="130"/>
      <c r="AE417" s="106"/>
    </row>
    <row r="418">
      <c r="C418" s="79"/>
      <c r="D418" s="79"/>
      <c r="E418" s="79"/>
      <c r="P418" s="79"/>
      <c r="Q418" s="79"/>
      <c r="R418" s="79"/>
      <c r="Y418" s="79"/>
      <c r="AC418" s="130"/>
      <c r="AE418" s="106"/>
    </row>
    <row r="419">
      <c r="C419" s="79"/>
      <c r="D419" s="79"/>
      <c r="E419" s="79"/>
      <c r="P419" s="79"/>
      <c r="Q419" s="79"/>
      <c r="R419" s="79"/>
      <c r="Y419" s="79"/>
      <c r="AC419" s="130"/>
      <c r="AE419" s="106"/>
    </row>
    <row r="420">
      <c r="C420" s="79"/>
      <c r="D420" s="79"/>
      <c r="E420" s="79"/>
      <c r="P420" s="79"/>
      <c r="Q420" s="79"/>
      <c r="R420" s="79"/>
      <c r="Y420" s="79"/>
      <c r="AC420" s="130"/>
      <c r="AE420" s="106"/>
    </row>
    <row r="421">
      <c r="C421" s="79"/>
      <c r="D421" s="79"/>
      <c r="E421" s="79"/>
      <c r="P421" s="79"/>
      <c r="Q421" s="79"/>
      <c r="R421" s="79"/>
      <c r="Y421" s="79"/>
      <c r="AC421" s="130"/>
      <c r="AE421" s="106"/>
    </row>
    <row r="422">
      <c r="C422" s="79"/>
      <c r="D422" s="79"/>
      <c r="E422" s="79"/>
      <c r="P422" s="79"/>
      <c r="Q422" s="79"/>
      <c r="R422" s="79"/>
      <c r="Y422" s="79"/>
      <c r="AC422" s="130"/>
      <c r="AE422" s="106"/>
    </row>
    <row r="423">
      <c r="C423" s="79"/>
      <c r="D423" s="79"/>
      <c r="E423" s="79"/>
      <c r="P423" s="79"/>
      <c r="Q423" s="79"/>
      <c r="R423" s="79"/>
      <c r="Y423" s="79"/>
      <c r="AC423" s="130"/>
      <c r="AE423" s="106"/>
    </row>
    <row r="424">
      <c r="C424" s="79"/>
      <c r="D424" s="79"/>
      <c r="E424" s="79"/>
      <c r="P424" s="79"/>
      <c r="Q424" s="79"/>
      <c r="R424" s="79"/>
      <c r="Y424" s="79"/>
      <c r="AC424" s="130"/>
      <c r="AE424" s="106"/>
    </row>
    <row r="425">
      <c r="C425" s="79"/>
      <c r="D425" s="79"/>
      <c r="E425" s="79"/>
      <c r="P425" s="79"/>
      <c r="Q425" s="79"/>
      <c r="R425" s="79"/>
      <c r="Y425" s="79"/>
      <c r="AC425" s="130"/>
      <c r="AE425" s="106"/>
    </row>
    <row r="426">
      <c r="C426" s="79"/>
      <c r="D426" s="79"/>
      <c r="E426" s="79"/>
      <c r="P426" s="79"/>
      <c r="Q426" s="79"/>
      <c r="R426" s="79"/>
      <c r="Y426" s="79"/>
      <c r="AC426" s="130"/>
      <c r="AE426" s="106"/>
    </row>
    <row r="427">
      <c r="C427" s="79"/>
      <c r="D427" s="79"/>
      <c r="E427" s="79"/>
      <c r="P427" s="79"/>
      <c r="Q427" s="79"/>
      <c r="R427" s="79"/>
      <c r="Y427" s="79"/>
      <c r="AC427" s="130"/>
      <c r="AE427" s="106"/>
    </row>
    <row r="428">
      <c r="C428" s="79"/>
      <c r="D428" s="79"/>
      <c r="E428" s="79"/>
      <c r="P428" s="79"/>
      <c r="Q428" s="79"/>
      <c r="R428" s="79"/>
      <c r="Y428" s="79"/>
      <c r="AC428" s="130"/>
      <c r="AE428" s="106"/>
    </row>
    <row r="429">
      <c r="C429" s="79"/>
      <c r="D429" s="79"/>
      <c r="E429" s="79"/>
      <c r="P429" s="79"/>
      <c r="Q429" s="79"/>
      <c r="R429" s="79"/>
      <c r="Y429" s="79"/>
      <c r="AC429" s="130"/>
      <c r="AE429" s="106"/>
    </row>
    <row r="430">
      <c r="C430" s="79"/>
      <c r="D430" s="79"/>
      <c r="E430" s="79"/>
      <c r="P430" s="79"/>
      <c r="Q430" s="79"/>
      <c r="R430" s="79"/>
      <c r="Y430" s="79"/>
      <c r="AC430" s="130"/>
      <c r="AE430" s="106"/>
    </row>
    <row r="431">
      <c r="C431" s="79"/>
      <c r="D431" s="79"/>
      <c r="E431" s="79"/>
      <c r="P431" s="79"/>
      <c r="Q431" s="79"/>
      <c r="R431" s="79"/>
      <c r="Y431" s="79"/>
      <c r="AC431" s="130"/>
      <c r="AE431" s="106"/>
    </row>
    <row r="432">
      <c r="C432" s="79"/>
      <c r="D432" s="79"/>
      <c r="E432" s="79"/>
      <c r="P432" s="79"/>
      <c r="Q432" s="79"/>
      <c r="R432" s="79"/>
      <c r="Y432" s="79"/>
      <c r="AC432" s="130"/>
      <c r="AE432" s="106"/>
    </row>
    <row r="433">
      <c r="C433" s="79"/>
      <c r="D433" s="79"/>
      <c r="E433" s="79"/>
      <c r="P433" s="79"/>
      <c r="Q433" s="79"/>
      <c r="R433" s="79"/>
      <c r="Y433" s="79"/>
      <c r="AC433" s="130"/>
      <c r="AE433" s="106"/>
    </row>
    <row r="434">
      <c r="C434" s="79"/>
      <c r="D434" s="79"/>
      <c r="E434" s="79"/>
      <c r="P434" s="79"/>
      <c r="Q434" s="79"/>
      <c r="R434" s="79"/>
      <c r="Y434" s="79"/>
      <c r="AC434" s="130"/>
      <c r="AE434" s="106"/>
    </row>
    <row r="435">
      <c r="C435" s="79"/>
      <c r="D435" s="79"/>
      <c r="E435" s="79"/>
      <c r="P435" s="79"/>
      <c r="Q435" s="79"/>
      <c r="R435" s="79"/>
      <c r="Y435" s="79"/>
      <c r="AC435" s="130"/>
      <c r="AE435" s="106"/>
    </row>
    <row r="436">
      <c r="C436" s="79"/>
      <c r="D436" s="79"/>
      <c r="E436" s="79"/>
      <c r="P436" s="79"/>
      <c r="Q436" s="79"/>
      <c r="R436" s="79"/>
      <c r="Y436" s="79"/>
      <c r="AC436" s="130"/>
      <c r="AE436" s="106"/>
    </row>
    <row r="437">
      <c r="C437" s="79"/>
      <c r="D437" s="79"/>
      <c r="E437" s="79"/>
      <c r="P437" s="79"/>
      <c r="Q437" s="79"/>
      <c r="R437" s="79"/>
      <c r="Y437" s="79"/>
      <c r="AC437" s="130"/>
      <c r="AE437" s="106"/>
    </row>
    <row r="438">
      <c r="C438" s="79"/>
      <c r="D438" s="79"/>
      <c r="E438" s="79"/>
      <c r="P438" s="79"/>
      <c r="Q438" s="79"/>
      <c r="R438" s="79"/>
      <c r="Y438" s="79"/>
      <c r="AC438" s="130"/>
      <c r="AE438" s="106"/>
    </row>
    <row r="439">
      <c r="C439" s="79"/>
      <c r="D439" s="79"/>
      <c r="E439" s="79"/>
      <c r="P439" s="79"/>
      <c r="Q439" s="79"/>
      <c r="R439" s="79"/>
      <c r="Y439" s="79"/>
      <c r="AC439" s="130"/>
      <c r="AE439" s="106"/>
    </row>
    <row r="440">
      <c r="C440" s="79"/>
      <c r="D440" s="79"/>
      <c r="E440" s="79"/>
      <c r="P440" s="79"/>
      <c r="Q440" s="79"/>
      <c r="R440" s="79"/>
      <c r="Y440" s="79"/>
      <c r="AC440" s="130"/>
      <c r="AE440" s="106"/>
    </row>
    <row r="441">
      <c r="C441" s="79"/>
      <c r="D441" s="79"/>
      <c r="E441" s="79"/>
      <c r="P441" s="79"/>
      <c r="Q441" s="79"/>
      <c r="R441" s="79"/>
      <c r="Y441" s="79"/>
      <c r="AC441" s="130"/>
      <c r="AE441" s="106"/>
    </row>
    <row r="442">
      <c r="C442" s="79"/>
      <c r="D442" s="79"/>
      <c r="E442" s="79"/>
      <c r="P442" s="79"/>
      <c r="Q442" s="79"/>
      <c r="R442" s="79"/>
      <c r="Y442" s="79"/>
      <c r="AC442" s="130"/>
      <c r="AE442" s="106"/>
    </row>
    <row r="443">
      <c r="C443" s="79"/>
      <c r="D443" s="79"/>
      <c r="E443" s="79"/>
      <c r="P443" s="79"/>
      <c r="Q443" s="79"/>
      <c r="R443" s="79"/>
      <c r="Y443" s="79"/>
      <c r="AC443" s="130"/>
      <c r="AE443" s="106"/>
    </row>
    <row r="444">
      <c r="C444" s="79"/>
      <c r="D444" s="79"/>
      <c r="E444" s="79"/>
      <c r="P444" s="79"/>
      <c r="Q444" s="79"/>
      <c r="R444" s="79"/>
      <c r="Y444" s="79"/>
      <c r="AC444" s="130"/>
      <c r="AE444" s="106"/>
    </row>
    <row r="445">
      <c r="C445" s="79"/>
      <c r="D445" s="79"/>
      <c r="E445" s="79"/>
      <c r="P445" s="79"/>
      <c r="Q445" s="79"/>
      <c r="R445" s="79"/>
      <c r="Y445" s="79"/>
      <c r="AC445" s="130"/>
      <c r="AE445" s="106"/>
    </row>
    <row r="446">
      <c r="C446" s="79"/>
      <c r="D446" s="79"/>
      <c r="E446" s="79"/>
      <c r="P446" s="79"/>
      <c r="Q446" s="79"/>
      <c r="R446" s="79"/>
      <c r="Y446" s="79"/>
      <c r="AC446" s="130"/>
      <c r="AE446" s="106"/>
    </row>
    <row r="447">
      <c r="C447" s="79"/>
      <c r="D447" s="79"/>
      <c r="E447" s="79"/>
      <c r="P447" s="79"/>
      <c r="Q447" s="79"/>
      <c r="R447" s="79"/>
      <c r="Y447" s="79"/>
      <c r="AC447" s="130"/>
      <c r="AE447" s="106"/>
    </row>
    <row r="448">
      <c r="C448" s="79"/>
      <c r="D448" s="79"/>
      <c r="E448" s="79"/>
      <c r="P448" s="79"/>
      <c r="Q448" s="79"/>
      <c r="R448" s="79"/>
      <c r="Y448" s="79"/>
      <c r="AC448" s="130"/>
      <c r="AE448" s="106"/>
    </row>
    <row r="449">
      <c r="C449" s="79"/>
      <c r="D449" s="79"/>
      <c r="E449" s="79"/>
      <c r="P449" s="79"/>
      <c r="Q449" s="79"/>
      <c r="R449" s="79"/>
      <c r="Y449" s="79"/>
      <c r="AC449" s="130"/>
      <c r="AE449" s="106"/>
    </row>
    <row r="450">
      <c r="C450" s="79"/>
      <c r="D450" s="79"/>
      <c r="E450" s="79"/>
      <c r="P450" s="79"/>
      <c r="Q450" s="79"/>
      <c r="R450" s="79"/>
      <c r="Y450" s="79"/>
      <c r="AC450" s="130"/>
      <c r="AE450" s="106"/>
    </row>
    <row r="451">
      <c r="C451" s="79"/>
      <c r="D451" s="79"/>
      <c r="E451" s="79"/>
      <c r="P451" s="79"/>
      <c r="Q451" s="79"/>
      <c r="R451" s="79"/>
      <c r="Y451" s="79"/>
      <c r="AC451" s="130"/>
      <c r="AE451" s="106"/>
    </row>
    <row r="452">
      <c r="C452" s="79"/>
      <c r="D452" s="79"/>
      <c r="E452" s="79"/>
      <c r="P452" s="79"/>
      <c r="Q452" s="79"/>
      <c r="R452" s="79"/>
      <c r="Y452" s="79"/>
      <c r="AC452" s="130"/>
      <c r="AE452" s="106"/>
    </row>
    <row r="453">
      <c r="C453" s="79"/>
      <c r="D453" s="79"/>
      <c r="E453" s="79"/>
      <c r="P453" s="79"/>
      <c r="Q453" s="79"/>
      <c r="R453" s="79"/>
      <c r="Y453" s="79"/>
      <c r="AC453" s="130"/>
      <c r="AE453" s="106"/>
    </row>
    <row r="454">
      <c r="C454" s="79"/>
      <c r="D454" s="79"/>
      <c r="E454" s="79"/>
      <c r="P454" s="79"/>
      <c r="Q454" s="79"/>
      <c r="R454" s="79"/>
      <c r="Y454" s="79"/>
      <c r="AC454" s="130"/>
      <c r="AE454" s="106"/>
    </row>
    <row r="455">
      <c r="C455" s="79"/>
      <c r="D455" s="79"/>
      <c r="E455" s="79"/>
      <c r="P455" s="79"/>
      <c r="Q455" s="79"/>
      <c r="R455" s="79"/>
      <c r="Y455" s="79"/>
      <c r="AC455" s="130"/>
      <c r="AE455" s="106"/>
    </row>
    <row r="456">
      <c r="C456" s="79"/>
      <c r="D456" s="79"/>
      <c r="E456" s="79"/>
      <c r="P456" s="79"/>
      <c r="Q456" s="79"/>
      <c r="R456" s="79"/>
      <c r="Y456" s="79"/>
      <c r="AC456" s="130"/>
      <c r="AE456" s="106"/>
    </row>
    <row r="457">
      <c r="C457" s="79"/>
      <c r="D457" s="79"/>
      <c r="E457" s="79"/>
      <c r="P457" s="79"/>
      <c r="Q457" s="79"/>
      <c r="R457" s="79"/>
      <c r="Y457" s="79"/>
      <c r="AC457" s="130"/>
      <c r="AE457" s="106"/>
    </row>
    <row r="458">
      <c r="C458" s="79"/>
      <c r="D458" s="79"/>
      <c r="E458" s="79"/>
      <c r="P458" s="79"/>
      <c r="Q458" s="79"/>
      <c r="R458" s="79"/>
      <c r="Y458" s="79"/>
      <c r="AC458" s="130"/>
      <c r="AE458" s="106"/>
    </row>
    <row r="459">
      <c r="C459" s="79"/>
      <c r="D459" s="79"/>
      <c r="E459" s="79"/>
      <c r="P459" s="79"/>
      <c r="Q459" s="79"/>
      <c r="R459" s="79"/>
      <c r="Y459" s="79"/>
      <c r="AC459" s="130"/>
      <c r="AE459" s="106"/>
    </row>
    <row r="460">
      <c r="C460" s="79"/>
      <c r="D460" s="79"/>
      <c r="E460" s="79"/>
      <c r="P460" s="79"/>
      <c r="Q460" s="79"/>
      <c r="R460" s="79"/>
      <c r="Y460" s="79"/>
      <c r="AC460" s="130"/>
      <c r="AE460" s="106"/>
    </row>
    <row r="461">
      <c r="C461" s="79"/>
      <c r="D461" s="79"/>
      <c r="E461" s="79"/>
      <c r="P461" s="79"/>
      <c r="Q461" s="79"/>
      <c r="R461" s="79"/>
      <c r="Y461" s="79"/>
      <c r="AC461" s="130"/>
      <c r="AE461" s="106"/>
    </row>
    <row r="462">
      <c r="C462" s="79"/>
      <c r="D462" s="79"/>
      <c r="E462" s="79"/>
      <c r="P462" s="79"/>
      <c r="Q462" s="79"/>
      <c r="R462" s="79"/>
      <c r="Y462" s="79"/>
      <c r="AC462" s="130"/>
      <c r="AE462" s="106"/>
    </row>
    <row r="463">
      <c r="C463" s="79"/>
      <c r="D463" s="79"/>
      <c r="E463" s="79"/>
      <c r="P463" s="79"/>
      <c r="Q463" s="79"/>
      <c r="R463" s="79"/>
      <c r="Y463" s="79"/>
      <c r="AC463" s="130"/>
      <c r="AE463" s="106"/>
    </row>
    <row r="464">
      <c r="C464" s="79"/>
      <c r="D464" s="79"/>
      <c r="E464" s="79"/>
      <c r="P464" s="79"/>
      <c r="Q464" s="79"/>
      <c r="R464" s="79"/>
      <c r="Y464" s="79"/>
      <c r="AC464" s="130"/>
      <c r="AE464" s="106"/>
    </row>
    <row r="465">
      <c r="C465" s="79"/>
      <c r="D465" s="79"/>
      <c r="E465" s="79"/>
      <c r="P465" s="79"/>
      <c r="Q465" s="79"/>
      <c r="R465" s="79"/>
      <c r="Y465" s="79"/>
      <c r="AC465" s="130"/>
      <c r="AE465" s="106"/>
    </row>
    <row r="466">
      <c r="C466" s="79"/>
      <c r="D466" s="79"/>
      <c r="E466" s="79"/>
      <c r="P466" s="79"/>
      <c r="Q466" s="79"/>
      <c r="R466" s="79"/>
      <c r="Y466" s="79"/>
      <c r="AC466" s="130"/>
      <c r="AE466" s="106"/>
    </row>
    <row r="467">
      <c r="C467" s="79"/>
      <c r="D467" s="79"/>
      <c r="E467" s="79"/>
      <c r="P467" s="79"/>
      <c r="Q467" s="79"/>
      <c r="R467" s="79"/>
      <c r="Y467" s="79"/>
      <c r="AC467" s="130"/>
      <c r="AE467" s="106"/>
    </row>
    <row r="468">
      <c r="C468" s="79"/>
      <c r="D468" s="79"/>
      <c r="E468" s="79"/>
      <c r="P468" s="79"/>
      <c r="Q468" s="79"/>
      <c r="R468" s="79"/>
      <c r="Y468" s="79"/>
      <c r="AC468" s="130"/>
      <c r="AE468" s="106"/>
    </row>
    <row r="469">
      <c r="C469" s="79"/>
      <c r="D469" s="79"/>
      <c r="E469" s="79"/>
      <c r="P469" s="79"/>
      <c r="Q469" s="79"/>
      <c r="R469" s="79"/>
      <c r="Y469" s="79"/>
      <c r="AC469" s="130"/>
      <c r="AE469" s="106"/>
    </row>
    <row r="470">
      <c r="C470" s="79"/>
      <c r="D470" s="79"/>
      <c r="E470" s="79"/>
      <c r="P470" s="79"/>
      <c r="Q470" s="79"/>
      <c r="R470" s="79"/>
      <c r="Y470" s="79"/>
      <c r="AC470" s="130"/>
      <c r="AE470" s="106"/>
    </row>
    <row r="471">
      <c r="C471" s="79"/>
      <c r="D471" s="79"/>
      <c r="E471" s="79"/>
      <c r="P471" s="79"/>
      <c r="Q471" s="79"/>
      <c r="R471" s="79"/>
      <c r="Y471" s="79"/>
      <c r="AC471" s="130"/>
      <c r="AE471" s="106"/>
    </row>
    <row r="472">
      <c r="C472" s="79"/>
      <c r="D472" s="79"/>
      <c r="E472" s="79"/>
      <c r="P472" s="79"/>
      <c r="Q472" s="79"/>
      <c r="R472" s="79"/>
      <c r="Y472" s="79"/>
      <c r="AC472" s="130"/>
      <c r="AE472" s="106"/>
    </row>
    <row r="473">
      <c r="C473" s="79"/>
      <c r="D473" s="79"/>
      <c r="E473" s="79"/>
      <c r="P473" s="79"/>
      <c r="Q473" s="79"/>
      <c r="R473" s="79"/>
      <c r="Y473" s="79"/>
      <c r="AC473" s="130"/>
      <c r="AE473" s="106"/>
    </row>
    <row r="474">
      <c r="C474" s="79"/>
      <c r="D474" s="79"/>
      <c r="E474" s="79"/>
      <c r="P474" s="79"/>
      <c r="Q474" s="79"/>
      <c r="R474" s="79"/>
      <c r="Y474" s="79"/>
      <c r="AC474" s="130"/>
      <c r="AE474" s="106"/>
    </row>
    <row r="475">
      <c r="C475" s="79"/>
      <c r="D475" s="79"/>
      <c r="E475" s="79"/>
      <c r="P475" s="79"/>
      <c r="Q475" s="79"/>
      <c r="R475" s="79"/>
      <c r="Y475" s="79"/>
      <c r="AC475" s="130"/>
      <c r="AE475" s="106"/>
    </row>
    <row r="476">
      <c r="C476" s="79"/>
      <c r="D476" s="79"/>
      <c r="E476" s="79"/>
      <c r="P476" s="79"/>
      <c r="Q476" s="79"/>
      <c r="R476" s="79"/>
      <c r="Y476" s="79"/>
      <c r="AC476" s="130"/>
      <c r="AE476" s="106"/>
    </row>
    <row r="477">
      <c r="C477" s="79"/>
      <c r="D477" s="79"/>
      <c r="E477" s="79"/>
      <c r="P477" s="79"/>
      <c r="Q477" s="79"/>
      <c r="R477" s="79"/>
      <c r="Y477" s="79"/>
      <c r="AC477" s="130"/>
      <c r="AE477" s="106"/>
    </row>
    <row r="478">
      <c r="C478" s="79"/>
      <c r="D478" s="79"/>
      <c r="E478" s="79"/>
      <c r="P478" s="79"/>
      <c r="Q478" s="79"/>
      <c r="R478" s="79"/>
      <c r="Y478" s="79"/>
      <c r="AC478" s="130"/>
      <c r="AE478" s="106"/>
    </row>
    <row r="479">
      <c r="C479" s="79"/>
      <c r="D479" s="79"/>
      <c r="E479" s="79"/>
      <c r="P479" s="79"/>
      <c r="Q479" s="79"/>
      <c r="R479" s="79"/>
      <c r="Y479" s="79"/>
      <c r="AC479" s="130"/>
      <c r="AE479" s="106"/>
    </row>
    <row r="480">
      <c r="C480" s="79"/>
      <c r="D480" s="79"/>
      <c r="E480" s="79"/>
      <c r="P480" s="79"/>
      <c r="Q480" s="79"/>
      <c r="R480" s="79"/>
      <c r="Y480" s="79"/>
      <c r="AC480" s="130"/>
      <c r="AE480" s="106"/>
    </row>
    <row r="481">
      <c r="C481" s="79"/>
      <c r="D481" s="79"/>
      <c r="E481" s="79"/>
      <c r="P481" s="79"/>
      <c r="Q481" s="79"/>
      <c r="R481" s="79"/>
      <c r="Y481" s="79"/>
      <c r="AC481" s="130"/>
      <c r="AE481" s="106"/>
    </row>
    <row r="482">
      <c r="C482" s="79"/>
      <c r="D482" s="79"/>
      <c r="E482" s="79"/>
      <c r="P482" s="79"/>
      <c r="Q482" s="79"/>
      <c r="R482" s="79"/>
      <c r="Y482" s="79"/>
      <c r="AC482" s="130"/>
      <c r="AE482" s="106"/>
    </row>
    <row r="483">
      <c r="C483" s="79"/>
      <c r="D483" s="79"/>
      <c r="E483" s="79"/>
      <c r="P483" s="79"/>
      <c r="Q483" s="79"/>
      <c r="R483" s="79"/>
      <c r="Y483" s="79"/>
      <c r="AC483" s="130"/>
      <c r="AE483" s="106"/>
    </row>
    <row r="484">
      <c r="C484" s="79"/>
      <c r="D484" s="79"/>
      <c r="E484" s="79"/>
      <c r="P484" s="79"/>
      <c r="Q484" s="79"/>
      <c r="R484" s="79"/>
      <c r="Y484" s="79"/>
      <c r="AC484" s="130"/>
      <c r="AE484" s="106"/>
    </row>
    <row r="485">
      <c r="C485" s="79"/>
      <c r="D485" s="79"/>
      <c r="E485" s="79"/>
      <c r="P485" s="79"/>
      <c r="Q485" s="79"/>
      <c r="R485" s="79"/>
      <c r="Y485" s="79"/>
      <c r="AC485" s="130"/>
      <c r="AE485" s="106"/>
    </row>
    <row r="486">
      <c r="C486" s="79"/>
      <c r="D486" s="79"/>
      <c r="E486" s="79"/>
      <c r="P486" s="79"/>
      <c r="Q486" s="79"/>
      <c r="R486" s="79"/>
      <c r="Y486" s="79"/>
      <c r="AC486" s="130"/>
      <c r="AE486" s="106"/>
    </row>
    <row r="487">
      <c r="C487" s="79"/>
      <c r="D487" s="79"/>
      <c r="E487" s="79"/>
      <c r="P487" s="79"/>
      <c r="Q487" s="79"/>
      <c r="R487" s="79"/>
      <c r="Y487" s="79"/>
      <c r="AC487" s="130"/>
      <c r="AE487" s="106"/>
    </row>
    <row r="488">
      <c r="C488" s="79"/>
      <c r="D488" s="79"/>
      <c r="E488" s="79"/>
      <c r="P488" s="79"/>
      <c r="Q488" s="79"/>
      <c r="R488" s="79"/>
      <c r="Y488" s="79"/>
      <c r="AC488" s="130"/>
      <c r="AE488" s="106"/>
    </row>
    <row r="489">
      <c r="C489" s="79"/>
      <c r="D489" s="79"/>
      <c r="E489" s="79"/>
      <c r="P489" s="79"/>
      <c r="Q489" s="79"/>
      <c r="R489" s="79"/>
      <c r="Y489" s="79"/>
      <c r="AC489" s="130"/>
      <c r="AE489" s="106"/>
    </row>
    <row r="490">
      <c r="C490" s="79"/>
      <c r="D490" s="79"/>
      <c r="E490" s="79"/>
      <c r="P490" s="79"/>
      <c r="Q490" s="79"/>
      <c r="R490" s="79"/>
      <c r="Y490" s="79"/>
      <c r="AC490" s="130"/>
      <c r="AE490" s="106"/>
    </row>
    <row r="491">
      <c r="C491" s="79"/>
      <c r="D491" s="79"/>
      <c r="E491" s="79"/>
      <c r="P491" s="79"/>
      <c r="Q491" s="79"/>
      <c r="R491" s="79"/>
      <c r="Y491" s="79"/>
      <c r="AC491" s="130"/>
      <c r="AE491" s="106"/>
    </row>
    <row r="492">
      <c r="C492" s="79"/>
      <c r="D492" s="79"/>
      <c r="E492" s="79"/>
      <c r="P492" s="79"/>
      <c r="Q492" s="79"/>
      <c r="R492" s="79"/>
      <c r="Y492" s="79"/>
      <c r="AC492" s="130"/>
      <c r="AE492" s="106"/>
    </row>
    <row r="493">
      <c r="C493" s="79"/>
      <c r="D493" s="79"/>
      <c r="E493" s="79"/>
      <c r="P493" s="79"/>
      <c r="Q493" s="79"/>
      <c r="R493" s="79"/>
      <c r="Y493" s="79"/>
      <c r="AC493" s="130"/>
      <c r="AE493" s="106"/>
    </row>
    <row r="494">
      <c r="C494" s="79"/>
      <c r="D494" s="79"/>
      <c r="E494" s="79"/>
      <c r="P494" s="79"/>
      <c r="Q494" s="79"/>
      <c r="R494" s="79"/>
      <c r="Y494" s="79"/>
      <c r="AC494" s="130"/>
      <c r="AE494" s="106"/>
    </row>
    <row r="495">
      <c r="C495" s="79"/>
      <c r="D495" s="79"/>
      <c r="E495" s="79"/>
      <c r="P495" s="79"/>
      <c r="Q495" s="79"/>
      <c r="R495" s="79"/>
      <c r="Y495" s="79"/>
      <c r="AC495" s="130"/>
      <c r="AE495" s="106"/>
    </row>
    <row r="496">
      <c r="C496" s="79"/>
      <c r="D496" s="79"/>
      <c r="E496" s="79"/>
      <c r="P496" s="79"/>
      <c r="Q496" s="79"/>
      <c r="R496" s="79"/>
      <c r="Y496" s="79"/>
      <c r="AC496" s="130"/>
      <c r="AE496" s="106"/>
    </row>
    <row r="497">
      <c r="C497" s="79"/>
      <c r="D497" s="79"/>
      <c r="E497" s="79"/>
      <c r="P497" s="79"/>
      <c r="Q497" s="79"/>
      <c r="R497" s="79"/>
      <c r="Y497" s="79"/>
      <c r="AC497" s="130"/>
      <c r="AE497" s="106"/>
    </row>
    <row r="498">
      <c r="C498" s="79"/>
      <c r="D498" s="79"/>
      <c r="E498" s="79"/>
      <c r="P498" s="79"/>
      <c r="Q498" s="79"/>
      <c r="R498" s="79"/>
      <c r="Y498" s="79"/>
      <c r="AC498" s="130"/>
      <c r="AE498" s="106"/>
    </row>
    <row r="499">
      <c r="C499" s="79"/>
      <c r="D499" s="79"/>
      <c r="E499" s="79"/>
      <c r="P499" s="79"/>
      <c r="Q499" s="79"/>
      <c r="R499" s="79"/>
      <c r="Y499" s="79"/>
      <c r="AC499" s="130"/>
      <c r="AE499" s="106"/>
    </row>
    <row r="500">
      <c r="C500" s="79"/>
      <c r="D500" s="79"/>
      <c r="E500" s="79"/>
      <c r="P500" s="79"/>
      <c r="Q500" s="79"/>
      <c r="R500" s="79"/>
      <c r="Y500" s="79"/>
      <c r="AC500" s="130"/>
      <c r="AE500" s="106"/>
    </row>
    <row r="501">
      <c r="C501" s="79"/>
      <c r="D501" s="79"/>
      <c r="E501" s="79"/>
      <c r="P501" s="79"/>
      <c r="Q501" s="79"/>
      <c r="R501" s="79"/>
      <c r="Y501" s="79"/>
      <c r="AC501" s="130"/>
      <c r="AE501" s="106"/>
    </row>
    <row r="502">
      <c r="C502" s="79"/>
      <c r="D502" s="79"/>
      <c r="E502" s="79"/>
      <c r="P502" s="79"/>
      <c r="Q502" s="79"/>
      <c r="R502" s="79"/>
      <c r="Y502" s="79"/>
      <c r="AC502" s="130"/>
      <c r="AE502" s="106"/>
    </row>
    <row r="503">
      <c r="C503" s="79"/>
      <c r="D503" s="79"/>
      <c r="E503" s="79"/>
      <c r="P503" s="79"/>
      <c r="Q503" s="79"/>
      <c r="R503" s="79"/>
      <c r="Y503" s="79"/>
      <c r="AC503" s="130"/>
      <c r="AE503" s="106"/>
    </row>
    <row r="504">
      <c r="C504" s="79"/>
      <c r="D504" s="79"/>
      <c r="E504" s="79"/>
      <c r="P504" s="79"/>
      <c r="Q504" s="79"/>
      <c r="R504" s="79"/>
      <c r="Y504" s="79"/>
      <c r="AC504" s="130"/>
      <c r="AE504" s="106"/>
    </row>
    <row r="505">
      <c r="C505" s="79"/>
      <c r="D505" s="79"/>
      <c r="E505" s="79"/>
      <c r="P505" s="79"/>
      <c r="Q505" s="79"/>
      <c r="R505" s="79"/>
      <c r="Y505" s="79"/>
      <c r="AC505" s="130"/>
      <c r="AE505" s="106"/>
    </row>
    <row r="506">
      <c r="C506" s="79"/>
      <c r="D506" s="79"/>
      <c r="E506" s="79"/>
      <c r="P506" s="79"/>
      <c r="Q506" s="79"/>
      <c r="R506" s="79"/>
      <c r="Y506" s="79"/>
      <c r="AC506" s="130"/>
      <c r="AE506" s="106"/>
    </row>
    <row r="507">
      <c r="C507" s="79"/>
      <c r="D507" s="79"/>
      <c r="E507" s="79"/>
      <c r="P507" s="79"/>
      <c r="Q507" s="79"/>
      <c r="R507" s="79"/>
      <c r="Y507" s="79"/>
      <c r="AC507" s="130"/>
      <c r="AE507" s="106"/>
    </row>
    <row r="508">
      <c r="C508" s="79"/>
      <c r="D508" s="79"/>
      <c r="E508" s="79"/>
      <c r="P508" s="79"/>
      <c r="Q508" s="79"/>
      <c r="R508" s="79"/>
      <c r="Y508" s="79"/>
      <c r="AC508" s="130"/>
      <c r="AE508" s="106"/>
    </row>
    <row r="509">
      <c r="C509" s="79"/>
      <c r="D509" s="79"/>
      <c r="E509" s="79"/>
      <c r="P509" s="79"/>
      <c r="Q509" s="79"/>
      <c r="R509" s="79"/>
      <c r="Y509" s="79"/>
      <c r="AC509" s="130"/>
      <c r="AE509" s="106"/>
    </row>
    <row r="510">
      <c r="C510" s="79"/>
      <c r="D510" s="79"/>
      <c r="E510" s="79"/>
      <c r="P510" s="79"/>
      <c r="Q510" s="79"/>
      <c r="R510" s="79"/>
      <c r="Y510" s="79"/>
      <c r="AC510" s="130"/>
      <c r="AE510" s="106"/>
    </row>
    <row r="511">
      <c r="C511" s="79"/>
      <c r="D511" s="79"/>
      <c r="E511" s="79"/>
      <c r="P511" s="79"/>
      <c r="Q511" s="79"/>
      <c r="R511" s="79"/>
      <c r="Y511" s="79"/>
      <c r="AC511" s="130"/>
      <c r="AE511" s="106"/>
    </row>
    <row r="512">
      <c r="C512" s="79"/>
      <c r="D512" s="79"/>
      <c r="E512" s="79"/>
      <c r="P512" s="79"/>
      <c r="Q512" s="79"/>
      <c r="R512" s="79"/>
      <c r="Y512" s="79"/>
      <c r="AC512" s="130"/>
      <c r="AE512" s="106"/>
    </row>
    <row r="513">
      <c r="C513" s="79"/>
      <c r="D513" s="79"/>
      <c r="E513" s="79"/>
      <c r="P513" s="79"/>
      <c r="Q513" s="79"/>
      <c r="R513" s="79"/>
      <c r="Y513" s="79"/>
      <c r="AC513" s="130"/>
      <c r="AE513" s="106"/>
    </row>
    <row r="514">
      <c r="C514" s="79"/>
      <c r="D514" s="79"/>
      <c r="E514" s="79"/>
      <c r="P514" s="79"/>
      <c r="Q514" s="79"/>
      <c r="R514" s="79"/>
      <c r="Y514" s="79"/>
      <c r="AC514" s="130"/>
      <c r="AE514" s="106"/>
    </row>
    <row r="515">
      <c r="C515" s="79"/>
      <c r="D515" s="79"/>
      <c r="E515" s="79"/>
      <c r="P515" s="79"/>
      <c r="Q515" s="79"/>
      <c r="R515" s="79"/>
      <c r="Y515" s="79"/>
      <c r="AC515" s="130"/>
      <c r="AE515" s="106"/>
    </row>
    <row r="516">
      <c r="C516" s="79"/>
      <c r="D516" s="79"/>
      <c r="E516" s="79"/>
      <c r="P516" s="79"/>
      <c r="Q516" s="79"/>
      <c r="R516" s="79"/>
      <c r="Y516" s="79"/>
      <c r="AC516" s="130"/>
      <c r="AE516" s="106"/>
    </row>
    <row r="517">
      <c r="C517" s="79"/>
      <c r="D517" s="79"/>
      <c r="E517" s="79"/>
      <c r="P517" s="79"/>
      <c r="Q517" s="79"/>
      <c r="R517" s="79"/>
      <c r="Y517" s="79"/>
      <c r="AC517" s="130"/>
      <c r="AE517" s="106"/>
    </row>
    <row r="518">
      <c r="C518" s="79"/>
      <c r="D518" s="79"/>
      <c r="E518" s="79"/>
      <c r="P518" s="79"/>
      <c r="Q518" s="79"/>
      <c r="R518" s="79"/>
      <c r="Y518" s="79"/>
      <c r="AC518" s="130"/>
      <c r="AE518" s="106"/>
    </row>
    <row r="519">
      <c r="C519" s="79"/>
      <c r="D519" s="79"/>
      <c r="E519" s="79"/>
      <c r="P519" s="79"/>
      <c r="Q519" s="79"/>
      <c r="R519" s="79"/>
      <c r="Y519" s="79"/>
      <c r="AC519" s="130"/>
      <c r="AE519" s="106"/>
    </row>
    <row r="520">
      <c r="C520" s="79"/>
      <c r="D520" s="79"/>
      <c r="E520" s="79"/>
      <c r="P520" s="79"/>
      <c r="Q520" s="79"/>
      <c r="R520" s="79"/>
      <c r="Y520" s="79"/>
      <c r="AC520" s="130"/>
      <c r="AE520" s="106"/>
    </row>
    <row r="521">
      <c r="C521" s="79"/>
      <c r="D521" s="79"/>
      <c r="E521" s="79"/>
      <c r="P521" s="79"/>
      <c r="Q521" s="79"/>
      <c r="R521" s="79"/>
      <c r="Y521" s="79"/>
      <c r="AC521" s="130"/>
      <c r="AE521" s="106"/>
    </row>
    <row r="522">
      <c r="C522" s="79"/>
      <c r="D522" s="79"/>
      <c r="E522" s="79"/>
      <c r="P522" s="79"/>
      <c r="Q522" s="79"/>
      <c r="R522" s="79"/>
      <c r="Y522" s="79"/>
      <c r="AC522" s="130"/>
      <c r="AE522" s="106"/>
    </row>
    <row r="523">
      <c r="C523" s="79"/>
      <c r="D523" s="79"/>
      <c r="E523" s="79"/>
      <c r="P523" s="79"/>
      <c r="Q523" s="79"/>
      <c r="R523" s="79"/>
      <c r="Y523" s="79"/>
      <c r="AC523" s="130"/>
      <c r="AE523" s="106"/>
    </row>
    <row r="524">
      <c r="C524" s="79"/>
      <c r="D524" s="79"/>
      <c r="E524" s="79"/>
      <c r="P524" s="79"/>
      <c r="Q524" s="79"/>
      <c r="R524" s="79"/>
      <c r="Y524" s="79"/>
      <c r="AC524" s="130"/>
      <c r="AE524" s="106"/>
    </row>
    <row r="525">
      <c r="C525" s="79"/>
      <c r="D525" s="79"/>
      <c r="E525" s="79"/>
      <c r="P525" s="79"/>
      <c r="Q525" s="79"/>
      <c r="R525" s="79"/>
      <c r="Y525" s="79"/>
      <c r="AC525" s="130"/>
      <c r="AE525" s="106"/>
    </row>
    <row r="526">
      <c r="C526" s="79"/>
      <c r="D526" s="79"/>
      <c r="E526" s="79"/>
      <c r="P526" s="79"/>
      <c r="Q526" s="79"/>
      <c r="R526" s="79"/>
      <c r="Y526" s="79"/>
      <c r="AC526" s="130"/>
      <c r="AE526" s="106"/>
    </row>
    <row r="527">
      <c r="C527" s="79"/>
      <c r="D527" s="79"/>
      <c r="E527" s="79"/>
      <c r="P527" s="79"/>
      <c r="Q527" s="79"/>
      <c r="R527" s="79"/>
      <c r="Y527" s="79"/>
      <c r="AC527" s="130"/>
      <c r="AE527" s="106"/>
    </row>
    <row r="528">
      <c r="C528" s="79"/>
      <c r="D528" s="79"/>
      <c r="E528" s="79"/>
      <c r="P528" s="79"/>
      <c r="Q528" s="79"/>
      <c r="R528" s="79"/>
      <c r="Y528" s="79"/>
      <c r="AC528" s="130"/>
      <c r="AE528" s="106"/>
    </row>
    <row r="529">
      <c r="C529" s="79"/>
      <c r="D529" s="79"/>
      <c r="E529" s="79"/>
      <c r="P529" s="79"/>
      <c r="Q529" s="79"/>
      <c r="R529" s="79"/>
      <c r="Y529" s="79"/>
      <c r="AC529" s="130"/>
      <c r="AE529" s="106"/>
    </row>
    <row r="530">
      <c r="C530" s="79"/>
      <c r="D530" s="79"/>
      <c r="E530" s="79"/>
      <c r="P530" s="79"/>
      <c r="Q530" s="79"/>
      <c r="R530" s="79"/>
      <c r="Y530" s="79"/>
      <c r="AC530" s="130"/>
      <c r="AE530" s="106"/>
    </row>
    <row r="531">
      <c r="C531" s="79"/>
      <c r="D531" s="79"/>
      <c r="E531" s="79"/>
      <c r="P531" s="79"/>
      <c r="Q531" s="79"/>
      <c r="R531" s="79"/>
      <c r="Y531" s="79"/>
      <c r="AC531" s="130"/>
      <c r="AE531" s="106"/>
    </row>
    <row r="532">
      <c r="C532" s="79"/>
      <c r="D532" s="79"/>
      <c r="E532" s="79"/>
      <c r="P532" s="79"/>
      <c r="Q532" s="79"/>
      <c r="R532" s="79"/>
      <c r="Y532" s="79"/>
      <c r="AC532" s="130"/>
      <c r="AE532" s="106"/>
    </row>
    <row r="533">
      <c r="C533" s="79"/>
      <c r="D533" s="79"/>
      <c r="E533" s="79"/>
      <c r="P533" s="79"/>
      <c r="Q533" s="79"/>
      <c r="R533" s="79"/>
      <c r="Y533" s="79"/>
      <c r="AC533" s="130"/>
      <c r="AE533" s="106"/>
    </row>
    <row r="534">
      <c r="C534" s="79"/>
      <c r="D534" s="79"/>
      <c r="E534" s="79"/>
      <c r="P534" s="79"/>
      <c r="Q534" s="79"/>
      <c r="R534" s="79"/>
      <c r="Y534" s="79"/>
      <c r="AC534" s="130"/>
      <c r="AE534" s="106"/>
    </row>
    <row r="535">
      <c r="C535" s="79"/>
      <c r="D535" s="79"/>
      <c r="E535" s="79"/>
      <c r="P535" s="79"/>
      <c r="Q535" s="79"/>
      <c r="R535" s="79"/>
      <c r="Y535" s="79"/>
      <c r="AC535" s="130"/>
      <c r="AE535" s="106"/>
    </row>
    <row r="536">
      <c r="C536" s="79"/>
      <c r="D536" s="79"/>
      <c r="E536" s="79"/>
      <c r="P536" s="79"/>
      <c r="Q536" s="79"/>
      <c r="R536" s="79"/>
      <c r="Y536" s="79"/>
      <c r="AC536" s="130"/>
      <c r="AE536" s="106"/>
    </row>
    <row r="537">
      <c r="C537" s="79"/>
      <c r="D537" s="79"/>
      <c r="E537" s="79"/>
      <c r="P537" s="79"/>
      <c r="Q537" s="79"/>
      <c r="R537" s="79"/>
      <c r="Y537" s="79"/>
      <c r="AC537" s="130"/>
      <c r="AE537" s="106"/>
    </row>
    <row r="538">
      <c r="C538" s="79"/>
      <c r="D538" s="79"/>
      <c r="E538" s="79"/>
      <c r="P538" s="79"/>
      <c r="Q538" s="79"/>
      <c r="R538" s="79"/>
      <c r="Y538" s="79"/>
      <c r="AC538" s="130"/>
      <c r="AE538" s="106"/>
    </row>
    <row r="539">
      <c r="C539" s="79"/>
      <c r="D539" s="79"/>
      <c r="E539" s="79"/>
      <c r="P539" s="79"/>
      <c r="Q539" s="79"/>
      <c r="R539" s="79"/>
      <c r="Y539" s="79"/>
      <c r="AC539" s="130"/>
      <c r="AE539" s="106"/>
    </row>
    <row r="540">
      <c r="C540" s="79"/>
      <c r="D540" s="79"/>
      <c r="E540" s="79"/>
      <c r="P540" s="79"/>
      <c r="Q540" s="79"/>
      <c r="R540" s="79"/>
      <c r="Y540" s="79"/>
      <c r="AC540" s="130"/>
      <c r="AE540" s="106"/>
    </row>
    <row r="541">
      <c r="C541" s="79"/>
      <c r="D541" s="79"/>
      <c r="E541" s="79"/>
      <c r="P541" s="79"/>
      <c r="Q541" s="79"/>
      <c r="R541" s="79"/>
      <c r="Y541" s="79"/>
      <c r="AC541" s="130"/>
      <c r="AE541" s="106"/>
    </row>
    <row r="542">
      <c r="C542" s="79"/>
      <c r="D542" s="79"/>
      <c r="E542" s="79"/>
      <c r="P542" s="79"/>
      <c r="Q542" s="79"/>
      <c r="R542" s="79"/>
      <c r="Y542" s="79"/>
      <c r="AC542" s="130"/>
      <c r="AE542" s="106"/>
    </row>
    <row r="543">
      <c r="C543" s="79"/>
      <c r="D543" s="79"/>
      <c r="E543" s="79"/>
      <c r="P543" s="79"/>
      <c r="Q543" s="79"/>
      <c r="R543" s="79"/>
      <c r="Y543" s="79"/>
      <c r="AC543" s="130"/>
      <c r="AE543" s="106"/>
    </row>
    <row r="544">
      <c r="C544" s="79"/>
      <c r="D544" s="79"/>
      <c r="E544" s="79"/>
      <c r="P544" s="79"/>
      <c r="Q544" s="79"/>
      <c r="R544" s="79"/>
      <c r="Y544" s="79"/>
      <c r="AC544" s="130"/>
      <c r="AE544" s="106"/>
    </row>
    <row r="545">
      <c r="C545" s="79"/>
      <c r="D545" s="79"/>
      <c r="E545" s="79"/>
      <c r="P545" s="79"/>
      <c r="Q545" s="79"/>
      <c r="R545" s="79"/>
      <c r="Y545" s="79"/>
      <c r="AC545" s="130"/>
      <c r="AE545" s="106"/>
    </row>
    <row r="546">
      <c r="C546" s="79"/>
      <c r="D546" s="79"/>
      <c r="E546" s="79"/>
      <c r="P546" s="79"/>
      <c r="Q546" s="79"/>
      <c r="R546" s="79"/>
      <c r="Y546" s="79"/>
      <c r="AC546" s="130"/>
      <c r="AE546" s="106"/>
    </row>
    <row r="547">
      <c r="C547" s="79"/>
      <c r="D547" s="79"/>
      <c r="E547" s="79"/>
      <c r="P547" s="79"/>
      <c r="Q547" s="79"/>
      <c r="R547" s="79"/>
      <c r="Y547" s="79"/>
      <c r="AC547" s="130"/>
      <c r="AE547" s="106"/>
    </row>
    <row r="548">
      <c r="C548" s="79"/>
      <c r="D548" s="79"/>
      <c r="E548" s="79"/>
      <c r="P548" s="79"/>
      <c r="Q548" s="79"/>
      <c r="R548" s="79"/>
      <c r="Y548" s="79"/>
      <c r="AC548" s="130"/>
      <c r="AE548" s="106"/>
    </row>
    <row r="549">
      <c r="C549" s="79"/>
      <c r="D549" s="79"/>
      <c r="E549" s="79"/>
      <c r="P549" s="79"/>
      <c r="Q549" s="79"/>
      <c r="R549" s="79"/>
      <c r="Y549" s="79"/>
      <c r="AC549" s="130"/>
      <c r="AE549" s="106"/>
    </row>
    <row r="550">
      <c r="C550" s="79"/>
      <c r="D550" s="79"/>
      <c r="E550" s="79"/>
      <c r="P550" s="79"/>
      <c r="Q550" s="79"/>
      <c r="R550" s="79"/>
      <c r="Y550" s="79"/>
      <c r="AC550" s="130"/>
      <c r="AE550" s="106"/>
    </row>
    <row r="551">
      <c r="C551" s="79"/>
      <c r="D551" s="79"/>
      <c r="E551" s="79"/>
      <c r="P551" s="79"/>
      <c r="Q551" s="79"/>
      <c r="R551" s="79"/>
      <c r="Y551" s="79"/>
      <c r="AC551" s="130"/>
      <c r="AE551" s="106"/>
    </row>
    <row r="552">
      <c r="C552" s="79"/>
      <c r="D552" s="79"/>
      <c r="E552" s="79"/>
      <c r="P552" s="79"/>
      <c r="Q552" s="79"/>
      <c r="R552" s="79"/>
      <c r="Y552" s="79"/>
      <c r="AC552" s="130"/>
      <c r="AE552" s="106"/>
    </row>
    <row r="553">
      <c r="C553" s="79"/>
      <c r="D553" s="79"/>
      <c r="E553" s="79"/>
      <c r="P553" s="79"/>
      <c r="Q553" s="79"/>
      <c r="R553" s="79"/>
      <c r="Y553" s="79"/>
      <c r="AC553" s="130"/>
      <c r="AE553" s="106"/>
    </row>
    <row r="554">
      <c r="C554" s="79"/>
      <c r="D554" s="79"/>
      <c r="E554" s="79"/>
      <c r="P554" s="79"/>
      <c r="Q554" s="79"/>
      <c r="R554" s="79"/>
      <c r="Y554" s="79"/>
      <c r="AC554" s="130"/>
      <c r="AE554" s="106"/>
    </row>
    <row r="555">
      <c r="C555" s="79"/>
      <c r="D555" s="79"/>
      <c r="E555" s="79"/>
      <c r="P555" s="79"/>
      <c r="Q555" s="79"/>
      <c r="R555" s="79"/>
      <c r="Y555" s="79"/>
      <c r="AC555" s="130"/>
      <c r="AE555" s="106"/>
    </row>
    <row r="556">
      <c r="C556" s="79"/>
      <c r="D556" s="79"/>
      <c r="E556" s="79"/>
      <c r="P556" s="79"/>
      <c r="Q556" s="79"/>
      <c r="R556" s="79"/>
      <c r="Y556" s="79"/>
      <c r="AC556" s="130"/>
      <c r="AE556" s="106"/>
    </row>
    <row r="557">
      <c r="C557" s="79"/>
      <c r="D557" s="79"/>
      <c r="E557" s="79"/>
      <c r="P557" s="79"/>
      <c r="Q557" s="79"/>
      <c r="R557" s="79"/>
      <c r="Y557" s="79"/>
      <c r="AC557" s="130"/>
      <c r="AE557" s="106"/>
    </row>
    <row r="558">
      <c r="C558" s="79"/>
      <c r="D558" s="79"/>
      <c r="E558" s="79"/>
      <c r="P558" s="79"/>
      <c r="Q558" s="79"/>
      <c r="R558" s="79"/>
      <c r="Y558" s="79"/>
      <c r="AC558" s="130"/>
      <c r="AE558" s="106"/>
    </row>
    <row r="559">
      <c r="C559" s="79"/>
      <c r="D559" s="79"/>
      <c r="E559" s="79"/>
      <c r="P559" s="79"/>
      <c r="Q559" s="79"/>
      <c r="R559" s="79"/>
      <c r="Y559" s="79"/>
      <c r="AC559" s="130"/>
      <c r="AE559" s="106"/>
    </row>
    <row r="560">
      <c r="C560" s="79"/>
      <c r="D560" s="79"/>
      <c r="E560" s="79"/>
      <c r="P560" s="79"/>
      <c r="Q560" s="79"/>
      <c r="R560" s="79"/>
      <c r="Y560" s="79"/>
      <c r="AC560" s="130"/>
      <c r="AE560" s="106"/>
    </row>
    <row r="561">
      <c r="C561" s="79"/>
      <c r="D561" s="79"/>
      <c r="E561" s="79"/>
      <c r="P561" s="79"/>
      <c r="Q561" s="79"/>
      <c r="R561" s="79"/>
      <c r="Y561" s="79"/>
      <c r="AC561" s="130"/>
      <c r="AE561" s="106"/>
    </row>
    <row r="562">
      <c r="C562" s="79"/>
      <c r="D562" s="79"/>
      <c r="E562" s="79"/>
      <c r="P562" s="79"/>
      <c r="Q562" s="79"/>
      <c r="R562" s="79"/>
      <c r="Y562" s="79"/>
      <c r="AC562" s="130"/>
      <c r="AE562" s="106"/>
    </row>
    <row r="563">
      <c r="C563" s="79"/>
      <c r="D563" s="79"/>
      <c r="E563" s="79"/>
      <c r="P563" s="79"/>
      <c r="Q563" s="79"/>
      <c r="R563" s="79"/>
      <c r="Y563" s="79"/>
      <c r="AC563" s="130"/>
      <c r="AE563" s="106"/>
    </row>
    <row r="564">
      <c r="C564" s="79"/>
      <c r="D564" s="79"/>
      <c r="E564" s="79"/>
      <c r="P564" s="79"/>
      <c r="Q564" s="79"/>
      <c r="R564" s="79"/>
      <c r="Y564" s="79"/>
      <c r="AC564" s="130"/>
      <c r="AE564" s="106"/>
    </row>
    <row r="565">
      <c r="C565" s="79"/>
      <c r="D565" s="79"/>
      <c r="E565" s="79"/>
      <c r="P565" s="79"/>
      <c r="Q565" s="79"/>
      <c r="R565" s="79"/>
      <c r="Y565" s="79"/>
      <c r="AC565" s="130"/>
      <c r="AE565" s="106"/>
    </row>
    <row r="566">
      <c r="C566" s="79"/>
      <c r="D566" s="79"/>
      <c r="E566" s="79"/>
      <c r="P566" s="79"/>
      <c r="Q566" s="79"/>
      <c r="R566" s="79"/>
      <c r="Y566" s="79"/>
      <c r="AC566" s="130"/>
      <c r="AE566" s="106"/>
    </row>
    <row r="567">
      <c r="C567" s="79"/>
      <c r="D567" s="79"/>
      <c r="E567" s="79"/>
      <c r="P567" s="79"/>
      <c r="Q567" s="79"/>
      <c r="R567" s="79"/>
      <c r="Y567" s="79"/>
      <c r="AC567" s="130"/>
      <c r="AE567" s="106"/>
    </row>
    <row r="568">
      <c r="C568" s="79"/>
      <c r="D568" s="79"/>
      <c r="E568" s="79"/>
      <c r="P568" s="79"/>
      <c r="Q568" s="79"/>
      <c r="R568" s="79"/>
      <c r="Y568" s="79"/>
      <c r="AC568" s="130"/>
      <c r="AE568" s="106"/>
    </row>
    <row r="569">
      <c r="C569" s="79"/>
      <c r="D569" s="79"/>
      <c r="E569" s="79"/>
      <c r="P569" s="79"/>
      <c r="Q569" s="79"/>
      <c r="R569" s="79"/>
      <c r="Y569" s="79"/>
      <c r="AC569" s="130"/>
      <c r="AE569" s="106"/>
    </row>
    <row r="570">
      <c r="C570" s="79"/>
      <c r="D570" s="79"/>
      <c r="E570" s="79"/>
      <c r="P570" s="79"/>
      <c r="Q570" s="79"/>
      <c r="R570" s="79"/>
      <c r="Y570" s="79"/>
      <c r="AC570" s="130"/>
      <c r="AE570" s="106"/>
    </row>
    <row r="571">
      <c r="C571" s="79"/>
      <c r="D571" s="79"/>
      <c r="E571" s="79"/>
      <c r="P571" s="79"/>
      <c r="Q571" s="79"/>
      <c r="R571" s="79"/>
      <c r="Y571" s="79"/>
      <c r="AC571" s="130"/>
      <c r="AE571" s="106"/>
    </row>
    <row r="572">
      <c r="C572" s="79"/>
      <c r="D572" s="79"/>
      <c r="E572" s="79"/>
      <c r="P572" s="79"/>
      <c r="Q572" s="79"/>
      <c r="R572" s="79"/>
      <c r="Y572" s="79"/>
      <c r="AC572" s="130"/>
      <c r="AE572" s="106"/>
    </row>
    <row r="573">
      <c r="C573" s="79"/>
      <c r="D573" s="79"/>
      <c r="E573" s="79"/>
      <c r="P573" s="79"/>
      <c r="Q573" s="79"/>
      <c r="R573" s="79"/>
      <c r="Y573" s="79"/>
      <c r="AC573" s="130"/>
      <c r="AE573" s="106"/>
    </row>
    <row r="574">
      <c r="C574" s="79"/>
      <c r="D574" s="79"/>
      <c r="E574" s="79"/>
      <c r="P574" s="79"/>
      <c r="Q574" s="79"/>
      <c r="R574" s="79"/>
      <c r="Y574" s="79"/>
      <c r="AC574" s="130"/>
      <c r="AE574" s="106"/>
    </row>
    <row r="575">
      <c r="C575" s="79"/>
      <c r="D575" s="79"/>
      <c r="E575" s="79"/>
      <c r="P575" s="79"/>
      <c r="Q575" s="79"/>
      <c r="R575" s="79"/>
      <c r="Y575" s="79"/>
      <c r="AC575" s="130"/>
      <c r="AE575" s="106"/>
    </row>
    <row r="576">
      <c r="C576" s="79"/>
      <c r="D576" s="79"/>
      <c r="E576" s="79"/>
      <c r="P576" s="79"/>
      <c r="Q576" s="79"/>
      <c r="R576" s="79"/>
      <c r="Y576" s="79"/>
      <c r="AC576" s="130"/>
      <c r="AE576" s="106"/>
    </row>
    <row r="577">
      <c r="C577" s="79"/>
      <c r="D577" s="79"/>
      <c r="E577" s="79"/>
      <c r="P577" s="79"/>
      <c r="Q577" s="79"/>
      <c r="R577" s="79"/>
      <c r="Y577" s="79"/>
      <c r="AC577" s="130"/>
      <c r="AE577" s="106"/>
    </row>
    <row r="578">
      <c r="C578" s="79"/>
      <c r="D578" s="79"/>
      <c r="E578" s="79"/>
      <c r="P578" s="79"/>
      <c r="Q578" s="79"/>
      <c r="R578" s="79"/>
      <c r="Y578" s="79"/>
      <c r="AC578" s="130"/>
      <c r="AE578" s="106"/>
    </row>
    <row r="579">
      <c r="C579" s="79"/>
      <c r="D579" s="79"/>
      <c r="E579" s="79"/>
      <c r="P579" s="79"/>
      <c r="Q579" s="79"/>
      <c r="R579" s="79"/>
      <c r="Y579" s="79"/>
      <c r="AC579" s="130"/>
      <c r="AE579" s="106"/>
    </row>
    <row r="580">
      <c r="C580" s="79"/>
      <c r="D580" s="79"/>
      <c r="E580" s="79"/>
      <c r="P580" s="79"/>
      <c r="Q580" s="79"/>
      <c r="R580" s="79"/>
      <c r="Y580" s="79"/>
      <c r="AC580" s="130"/>
      <c r="AE580" s="106"/>
    </row>
    <row r="581">
      <c r="C581" s="79"/>
      <c r="D581" s="79"/>
      <c r="E581" s="79"/>
      <c r="P581" s="79"/>
      <c r="Q581" s="79"/>
      <c r="R581" s="79"/>
      <c r="Y581" s="79"/>
      <c r="AC581" s="130"/>
      <c r="AE581" s="106"/>
    </row>
    <row r="582">
      <c r="C582" s="79"/>
      <c r="D582" s="79"/>
      <c r="E582" s="79"/>
      <c r="P582" s="79"/>
      <c r="Q582" s="79"/>
      <c r="R582" s="79"/>
      <c r="Y582" s="79"/>
      <c r="AC582" s="130"/>
      <c r="AE582" s="106"/>
    </row>
    <row r="583">
      <c r="C583" s="79"/>
      <c r="D583" s="79"/>
      <c r="E583" s="79"/>
      <c r="P583" s="79"/>
      <c r="Q583" s="79"/>
      <c r="R583" s="79"/>
      <c r="Y583" s="79"/>
      <c r="AC583" s="130"/>
      <c r="AE583" s="106"/>
    </row>
    <row r="584">
      <c r="C584" s="79"/>
      <c r="D584" s="79"/>
      <c r="E584" s="79"/>
      <c r="P584" s="79"/>
      <c r="Q584" s="79"/>
      <c r="R584" s="79"/>
      <c r="Y584" s="79"/>
      <c r="AC584" s="130"/>
      <c r="AE584" s="106"/>
    </row>
    <row r="585">
      <c r="C585" s="79"/>
      <c r="D585" s="79"/>
      <c r="E585" s="79"/>
      <c r="P585" s="79"/>
      <c r="Q585" s="79"/>
      <c r="R585" s="79"/>
      <c r="Y585" s="79"/>
      <c r="AC585" s="130"/>
      <c r="AE585" s="106"/>
    </row>
    <row r="586">
      <c r="C586" s="79"/>
      <c r="D586" s="79"/>
      <c r="E586" s="79"/>
      <c r="P586" s="79"/>
      <c r="Q586" s="79"/>
      <c r="R586" s="79"/>
      <c r="Y586" s="79"/>
      <c r="AC586" s="130"/>
      <c r="AE586" s="106"/>
    </row>
    <row r="587">
      <c r="C587" s="79"/>
      <c r="D587" s="79"/>
      <c r="E587" s="79"/>
      <c r="P587" s="79"/>
      <c r="Q587" s="79"/>
      <c r="R587" s="79"/>
      <c r="Y587" s="79"/>
      <c r="AC587" s="130"/>
      <c r="AE587" s="106"/>
    </row>
    <row r="588">
      <c r="C588" s="79"/>
      <c r="D588" s="79"/>
      <c r="E588" s="79"/>
      <c r="P588" s="79"/>
      <c r="Q588" s="79"/>
      <c r="R588" s="79"/>
      <c r="Y588" s="79"/>
      <c r="AC588" s="130"/>
      <c r="AE588" s="106"/>
    </row>
    <row r="589">
      <c r="C589" s="79"/>
      <c r="D589" s="79"/>
      <c r="E589" s="79"/>
      <c r="P589" s="79"/>
      <c r="Q589" s="79"/>
      <c r="R589" s="79"/>
      <c r="Y589" s="79"/>
      <c r="AC589" s="130"/>
      <c r="AE589" s="106"/>
    </row>
    <row r="590">
      <c r="C590" s="79"/>
      <c r="D590" s="79"/>
      <c r="E590" s="79"/>
      <c r="P590" s="79"/>
      <c r="Q590" s="79"/>
      <c r="R590" s="79"/>
      <c r="Y590" s="79"/>
      <c r="AC590" s="130"/>
      <c r="AE590" s="106"/>
    </row>
    <row r="591">
      <c r="C591" s="79"/>
      <c r="D591" s="79"/>
      <c r="E591" s="79"/>
      <c r="P591" s="79"/>
      <c r="Q591" s="79"/>
      <c r="R591" s="79"/>
      <c r="Y591" s="79"/>
      <c r="AC591" s="130"/>
      <c r="AE591" s="106"/>
    </row>
    <row r="592">
      <c r="C592" s="79"/>
      <c r="D592" s="79"/>
      <c r="E592" s="79"/>
      <c r="P592" s="79"/>
      <c r="Q592" s="79"/>
      <c r="R592" s="79"/>
      <c r="Y592" s="79"/>
      <c r="AC592" s="130"/>
      <c r="AE592" s="106"/>
    </row>
    <row r="593">
      <c r="C593" s="79"/>
      <c r="D593" s="79"/>
      <c r="E593" s="79"/>
      <c r="P593" s="79"/>
      <c r="Q593" s="79"/>
      <c r="R593" s="79"/>
      <c r="Y593" s="79"/>
      <c r="AC593" s="130"/>
      <c r="AE593" s="106"/>
    </row>
    <row r="594">
      <c r="C594" s="79"/>
      <c r="D594" s="79"/>
      <c r="E594" s="79"/>
      <c r="P594" s="79"/>
      <c r="Q594" s="79"/>
      <c r="R594" s="79"/>
      <c r="Y594" s="79"/>
      <c r="AC594" s="130"/>
      <c r="AE594" s="106"/>
    </row>
    <row r="595">
      <c r="C595" s="79"/>
      <c r="D595" s="79"/>
      <c r="E595" s="79"/>
      <c r="P595" s="79"/>
      <c r="Q595" s="79"/>
      <c r="R595" s="79"/>
      <c r="Y595" s="79"/>
      <c r="AC595" s="130"/>
      <c r="AE595" s="106"/>
    </row>
    <row r="596">
      <c r="C596" s="79"/>
      <c r="D596" s="79"/>
      <c r="E596" s="79"/>
      <c r="P596" s="79"/>
      <c r="Q596" s="79"/>
      <c r="R596" s="79"/>
      <c r="Y596" s="79"/>
      <c r="AC596" s="130"/>
      <c r="AE596" s="106"/>
    </row>
    <row r="597">
      <c r="C597" s="79"/>
      <c r="D597" s="79"/>
      <c r="E597" s="79"/>
      <c r="P597" s="79"/>
      <c r="Q597" s="79"/>
      <c r="R597" s="79"/>
      <c r="Y597" s="79"/>
      <c r="AC597" s="130"/>
      <c r="AE597" s="106"/>
    </row>
    <row r="598">
      <c r="C598" s="79"/>
      <c r="D598" s="79"/>
      <c r="E598" s="79"/>
      <c r="P598" s="79"/>
      <c r="Q598" s="79"/>
      <c r="R598" s="79"/>
      <c r="Y598" s="79"/>
      <c r="AC598" s="130"/>
      <c r="AE598" s="106"/>
    </row>
    <row r="599">
      <c r="C599" s="79"/>
      <c r="D599" s="79"/>
      <c r="E599" s="79"/>
      <c r="P599" s="79"/>
      <c r="Q599" s="79"/>
      <c r="R599" s="79"/>
      <c r="Y599" s="79"/>
      <c r="AC599" s="130"/>
      <c r="AE599" s="106"/>
    </row>
    <row r="600">
      <c r="C600" s="79"/>
      <c r="D600" s="79"/>
      <c r="E600" s="79"/>
      <c r="P600" s="79"/>
      <c r="Q600" s="79"/>
      <c r="R600" s="79"/>
      <c r="Y600" s="79"/>
      <c r="AC600" s="130"/>
      <c r="AE600" s="106"/>
    </row>
    <row r="601">
      <c r="C601" s="79"/>
      <c r="D601" s="79"/>
      <c r="E601" s="79"/>
      <c r="P601" s="79"/>
      <c r="Q601" s="79"/>
      <c r="R601" s="79"/>
      <c r="Y601" s="79"/>
      <c r="AC601" s="130"/>
      <c r="AE601" s="106"/>
    </row>
    <row r="602">
      <c r="C602" s="79"/>
      <c r="D602" s="79"/>
      <c r="E602" s="79"/>
      <c r="P602" s="79"/>
      <c r="Q602" s="79"/>
      <c r="R602" s="79"/>
      <c r="Y602" s="79"/>
      <c r="AC602" s="130"/>
      <c r="AE602" s="106"/>
    </row>
    <row r="603">
      <c r="C603" s="79"/>
      <c r="D603" s="79"/>
      <c r="E603" s="79"/>
      <c r="P603" s="79"/>
      <c r="Q603" s="79"/>
      <c r="R603" s="79"/>
      <c r="Y603" s="79"/>
      <c r="AC603" s="130"/>
      <c r="AE603" s="106"/>
    </row>
    <row r="604">
      <c r="C604" s="79"/>
      <c r="D604" s="79"/>
      <c r="E604" s="79"/>
      <c r="P604" s="79"/>
      <c r="Q604" s="79"/>
      <c r="R604" s="79"/>
      <c r="Y604" s="79"/>
      <c r="AC604" s="130"/>
      <c r="AE604" s="106"/>
    </row>
    <row r="605">
      <c r="C605" s="79"/>
      <c r="D605" s="79"/>
      <c r="E605" s="79"/>
      <c r="P605" s="79"/>
      <c r="Q605" s="79"/>
      <c r="R605" s="79"/>
      <c r="Y605" s="79"/>
      <c r="AC605" s="130"/>
      <c r="AE605" s="106"/>
    </row>
    <row r="606">
      <c r="C606" s="79"/>
      <c r="D606" s="79"/>
      <c r="E606" s="79"/>
      <c r="P606" s="79"/>
      <c r="Q606" s="79"/>
      <c r="R606" s="79"/>
      <c r="Y606" s="79"/>
      <c r="AC606" s="130"/>
      <c r="AE606" s="106"/>
    </row>
    <row r="607">
      <c r="C607" s="79"/>
      <c r="D607" s="79"/>
      <c r="E607" s="79"/>
      <c r="P607" s="79"/>
      <c r="Q607" s="79"/>
      <c r="R607" s="79"/>
      <c r="Y607" s="79"/>
      <c r="AC607" s="130"/>
      <c r="AE607" s="106"/>
    </row>
    <row r="608">
      <c r="C608" s="79"/>
      <c r="D608" s="79"/>
      <c r="E608" s="79"/>
      <c r="P608" s="79"/>
      <c r="Q608" s="79"/>
      <c r="R608" s="79"/>
      <c r="Y608" s="79"/>
      <c r="AC608" s="130"/>
      <c r="AE608" s="106"/>
    </row>
    <row r="609">
      <c r="C609" s="79"/>
      <c r="D609" s="79"/>
      <c r="E609" s="79"/>
      <c r="P609" s="79"/>
      <c r="Q609" s="79"/>
      <c r="R609" s="79"/>
      <c r="Y609" s="79"/>
      <c r="AC609" s="130"/>
      <c r="AE609" s="106"/>
    </row>
    <row r="610">
      <c r="C610" s="79"/>
      <c r="D610" s="79"/>
      <c r="E610" s="79"/>
      <c r="P610" s="79"/>
      <c r="Q610" s="79"/>
      <c r="R610" s="79"/>
      <c r="Y610" s="79"/>
      <c r="AC610" s="130"/>
      <c r="AE610" s="106"/>
    </row>
    <row r="611">
      <c r="C611" s="79"/>
      <c r="D611" s="79"/>
      <c r="E611" s="79"/>
      <c r="P611" s="79"/>
      <c r="Q611" s="79"/>
      <c r="R611" s="79"/>
      <c r="Y611" s="79"/>
      <c r="AC611" s="130"/>
      <c r="AE611" s="106"/>
    </row>
    <row r="612">
      <c r="C612" s="79"/>
      <c r="D612" s="79"/>
      <c r="E612" s="79"/>
      <c r="P612" s="79"/>
      <c r="Q612" s="79"/>
      <c r="R612" s="79"/>
      <c r="Y612" s="79"/>
      <c r="AC612" s="130"/>
      <c r="AE612" s="106"/>
    </row>
    <row r="613">
      <c r="C613" s="79"/>
      <c r="D613" s="79"/>
      <c r="E613" s="79"/>
      <c r="P613" s="79"/>
      <c r="Q613" s="79"/>
      <c r="R613" s="79"/>
      <c r="Y613" s="79"/>
      <c r="AC613" s="130"/>
      <c r="AE613" s="106"/>
    </row>
    <row r="614">
      <c r="C614" s="79"/>
      <c r="D614" s="79"/>
      <c r="E614" s="79"/>
      <c r="P614" s="79"/>
      <c r="Q614" s="79"/>
      <c r="R614" s="79"/>
      <c r="Y614" s="79"/>
      <c r="AC614" s="130"/>
      <c r="AE614" s="106"/>
    </row>
    <row r="615">
      <c r="C615" s="79"/>
      <c r="D615" s="79"/>
      <c r="E615" s="79"/>
      <c r="P615" s="79"/>
      <c r="Q615" s="79"/>
      <c r="R615" s="79"/>
      <c r="Y615" s="79"/>
      <c r="AC615" s="130"/>
      <c r="AE615" s="106"/>
    </row>
    <row r="616">
      <c r="C616" s="79"/>
      <c r="D616" s="79"/>
      <c r="E616" s="79"/>
      <c r="P616" s="79"/>
      <c r="Q616" s="79"/>
      <c r="R616" s="79"/>
      <c r="Y616" s="79"/>
      <c r="AC616" s="130"/>
      <c r="AE616" s="106"/>
    </row>
    <row r="617">
      <c r="C617" s="79"/>
      <c r="D617" s="79"/>
      <c r="E617" s="79"/>
      <c r="P617" s="79"/>
      <c r="Q617" s="79"/>
      <c r="R617" s="79"/>
      <c r="Y617" s="79"/>
      <c r="AC617" s="130"/>
      <c r="AE617" s="106"/>
    </row>
    <row r="618">
      <c r="C618" s="79"/>
      <c r="D618" s="79"/>
      <c r="E618" s="79"/>
      <c r="P618" s="79"/>
      <c r="Q618" s="79"/>
      <c r="R618" s="79"/>
      <c r="Y618" s="79"/>
      <c r="AC618" s="130"/>
      <c r="AE618" s="106"/>
    </row>
    <row r="619">
      <c r="C619" s="79"/>
      <c r="D619" s="79"/>
      <c r="E619" s="79"/>
      <c r="P619" s="79"/>
      <c r="Q619" s="79"/>
      <c r="R619" s="79"/>
      <c r="Y619" s="79"/>
      <c r="AC619" s="130"/>
      <c r="AE619" s="106"/>
    </row>
    <row r="620">
      <c r="C620" s="79"/>
      <c r="D620" s="79"/>
      <c r="E620" s="79"/>
      <c r="P620" s="79"/>
      <c r="Q620" s="79"/>
      <c r="R620" s="79"/>
      <c r="Y620" s="79"/>
      <c r="AC620" s="130"/>
      <c r="AE620" s="106"/>
    </row>
    <row r="621">
      <c r="C621" s="79"/>
      <c r="D621" s="79"/>
      <c r="E621" s="79"/>
      <c r="P621" s="79"/>
      <c r="Q621" s="79"/>
      <c r="R621" s="79"/>
      <c r="Y621" s="79"/>
      <c r="AC621" s="130"/>
      <c r="AE621" s="106"/>
    </row>
    <row r="622">
      <c r="C622" s="79"/>
      <c r="D622" s="79"/>
      <c r="E622" s="79"/>
      <c r="P622" s="79"/>
      <c r="Q622" s="79"/>
      <c r="R622" s="79"/>
      <c r="Y622" s="79"/>
      <c r="AC622" s="130"/>
      <c r="AE622" s="106"/>
    </row>
    <row r="623">
      <c r="C623" s="79"/>
      <c r="D623" s="79"/>
      <c r="E623" s="79"/>
      <c r="P623" s="79"/>
      <c r="Q623" s="79"/>
      <c r="R623" s="79"/>
      <c r="Y623" s="79"/>
      <c r="AC623" s="130"/>
      <c r="AE623" s="106"/>
    </row>
    <row r="624">
      <c r="C624" s="79"/>
      <c r="D624" s="79"/>
      <c r="E624" s="79"/>
      <c r="P624" s="79"/>
      <c r="Q624" s="79"/>
      <c r="R624" s="79"/>
      <c r="Y624" s="79"/>
      <c r="AC624" s="130"/>
      <c r="AE624" s="106"/>
    </row>
    <row r="625">
      <c r="C625" s="79"/>
      <c r="D625" s="79"/>
      <c r="E625" s="79"/>
      <c r="P625" s="79"/>
      <c r="Q625" s="79"/>
      <c r="R625" s="79"/>
      <c r="Y625" s="79"/>
      <c r="AC625" s="130"/>
      <c r="AE625" s="106"/>
    </row>
    <row r="626">
      <c r="C626" s="79"/>
      <c r="D626" s="79"/>
      <c r="E626" s="79"/>
      <c r="P626" s="79"/>
      <c r="Q626" s="79"/>
      <c r="R626" s="79"/>
      <c r="Y626" s="79"/>
      <c r="AC626" s="130"/>
      <c r="AE626" s="106"/>
    </row>
    <row r="627">
      <c r="C627" s="79"/>
      <c r="D627" s="79"/>
      <c r="E627" s="79"/>
      <c r="P627" s="79"/>
      <c r="Q627" s="79"/>
      <c r="R627" s="79"/>
      <c r="Y627" s="79"/>
      <c r="AC627" s="130"/>
      <c r="AE627" s="106"/>
    </row>
    <row r="628">
      <c r="C628" s="79"/>
      <c r="D628" s="79"/>
      <c r="E628" s="79"/>
      <c r="P628" s="79"/>
      <c r="Q628" s="79"/>
      <c r="R628" s="79"/>
      <c r="Y628" s="79"/>
      <c r="AC628" s="130"/>
      <c r="AE628" s="106"/>
    </row>
    <row r="629">
      <c r="C629" s="79"/>
      <c r="D629" s="79"/>
      <c r="E629" s="79"/>
      <c r="P629" s="79"/>
      <c r="Q629" s="79"/>
      <c r="R629" s="79"/>
      <c r="Y629" s="79"/>
      <c r="AC629" s="130"/>
      <c r="AE629" s="106"/>
    </row>
    <row r="630">
      <c r="C630" s="79"/>
      <c r="D630" s="79"/>
      <c r="E630" s="79"/>
      <c r="P630" s="79"/>
      <c r="Q630" s="79"/>
      <c r="R630" s="79"/>
      <c r="Y630" s="79"/>
      <c r="AC630" s="130"/>
      <c r="AE630" s="106"/>
    </row>
    <row r="631">
      <c r="C631" s="79"/>
      <c r="D631" s="79"/>
      <c r="E631" s="79"/>
      <c r="P631" s="79"/>
      <c r="Q631" s="79"/>
      <c r="R631" s="79"/>
      <c r="Y631" s="79"/>
      <c r="AC631" s="130"/>
      <c r="AE631" s="106"/>
    </row>
    <row r="632">
      <c r="C632" s="79"/>
      <c r="D632" s="79"/>
      <c r="E632" s="79"/>
      <c r="P632" s="79"/>
      <c r="Q632" s="79"/>
      <c r="R632" s="79"/>
      <c r="Y632" s="79"/>
      <c r="AC632" s="130"/>
      <c r="AE632" s="106"/>
    </row>
    <row r="633">
      <c r="C633" s="79"/>
      <c r="D633" s="79"/>
      <c r="E633" s="79"/>
      <c r="P633" s="79"/>
      <c r="Q633" s="79"/>
      <c r="R633" s="79"/>
      <c r="Y633" s="79"/>
      <c r="AC633" s="130"/>
      <c r="AE633" s="106"/>
    </row>
    <row r="634">
      <c r="C634" s="79"/>
      <c r="D634" s="79"/>
      <c r="E634" s="79"/>
      <c r="P634" s="79"/>
      <c r="Q634" s="79"/>
      <c r="R634" s="79"/>
      <c r="Y634" s="79"/>
      <c r="AC634" s="130"/>
      <c r="AE634" s="106"/>
    </row>
    <row r="635">
      <c r="C635" s="79"/>
      <c r="D635" s="79"/>
      <c r="E635" s="79"/>
      <c r="P635" s="79"/>
      <c r="Q635" s="79"/>
      <c r="R635" s="79"/>
      <c r="Y635" s="79"/>
      <c r="AC635" s="130"/>
      <c r="AE635" s="106"/>
    </row>
    <row r="636">
      <c r="C636" s="79"/>
      <c r="D636" s="79"/>
      <c r="E636" s="79"/>
      <c r="P636" s="79"/>
      <c r="Q636" s="79"/>
      <c r="R636" s="79"/>
      <c r="Y636" s="79"/>
      <c r="AC636" s="130"/>
      <c r="AE636" s="106"/>
    </row>
    <row r="637">
      <c r="C637" s="79"/>
      <c r="D637" s="79"/>
      <c r="E637" s="79"/>
      <c r="P637" s="79"/>
      <c r="Q637" s="79"/>
      <c r="R637" s="79"/>
      <c r="Y637" s="79"/>
      <c r="AC637" s="130"/>
      <c r="AE637" s="106"/>
    </row>
    <row r="638">
      <c r="C638" s="79"/>
      <c r="D638" s="79"/>
      <c r="E638" s="79"/>
      <c r="P638" s="79"/>
      <c r="Q638" s="79"/>
      <c r="R638" s="79"/>
      <c r="Y638" s="79"/>
      <c r="AC638" s="130"/>
      <c r="AE638" s="106"/>
    </row>
    <row r="639">
      <c r="C639" s="79"/>
      <c r="D639" s="79"/>
      <c r="E639" s="79"/>
      <c r="P639" s="79"/>
      <c r="Q639" s="79"/>
      <c r="R639" s="79"/>
      <c r="Y639" s="79"/>
      <c r="AC639" s="130"/>
      <c r="AE639" s="106"/>
    </row>
    <row r="640">
      <c r="C640" s="79"/>
      <c r="D640" s="79"/>
      <c r="E640" s="79"/>
      <c r="P640" s="79"/>
      <c r="Q640" s="79"/>
      <c r="R640" s="79"/>
      <c r="Y640" s="79"/>
      <c r="AC640" s="130"/>
      <c r="AE640" s="106"/>
    </row>
    <row r="641">
      <c r="C641" s="79"/>
      <c r="D641" s="79"/>
      <c r="E641" s="79"/>
      <c r="P641" s="79"/>
      <c r="Q641" s="79"/>
      <c r="R641" s="79"/>
      <c r="Y641" s="79"/>
      <c r="AC641" s="130"/>
      <c r="AE641" s="106"/>
    </row>
    <row r="642">
      <c r="C642" s="79"/>
      <c r="D642" s="79"/>
      <c r="E642" s="79"/>
      <c r="P642" s="79"/>
      <c r="Q642" s="79"/>
      <c r="R642" s="79"/>
      <c r="Y642" s="79"/>
      <c r="AC642" s="130"/>
      <c r="AE642" s="106"/>
    </row>
    <row r="643">
      <c r="C643" s="79"/>
      <c r="D643" s="79"/>
      <c r="E643" s="79"/>
      <c r="P643" s="79"/>
      <c r="Q643" s="79"/>
      <c r="R643" s="79"/>
      <c r="Y643" s="79"/>
      <c r="AC643" s="130"/>
      <c r="AE643" s="106"/>
    </row>
    <row r="644">
      <c r="C644" s="79"/>
      <c r="D644" s="79"/>
      <c r="E644" s="79"/>
      <c r="P644" s="79"/>
      <c r="Q644" s="79"/>
      <c r="R644" s="79"/>
      <c r="Y644" s="79"/>
      <c r="AC644" s="130"/>
      <c r="AE644" s="106"/>
    </row>
    <row r="645">
      <c r="C645" s="79"/>
      <c r="D645" s="79"/>
      <c r="E645" s="79"/>
      <c r="P645" s="79"/>
      <c r="Q645" s="79"/>
      <c r="R645" s="79"/>
      <c r="Y645" s="79"/>
      <c r="AC645" s="130"/>
      <c r="AE645" s="106"/>
    </row>
    <row r="646">
      <c r="C646" s="79"/>
      <c r="D646" s="79"/>
      <c r="E646" s="79"/>
      <c r="P646" s="79"/>
      <c r="Q646" s="79"/>
      <c r="R646" s="79"/>
      <c r="Y646" s="79"/>
      <c r="AC646" s="130"/>
      <c r="AE646" s="106"/>
    </row>
    <row r="647">
      <c r="C647" s="79"/>
      <c r="D647" s="79"/>
      <c r="E647" s="79"/>
      <c r="P647" s="79"/>
      <c r="Q647" s="79"/>
      <c r="R647" s="79"/>
      <c r="Y647" s="79"/>
      <c r="AC647" s="130"/>
      <c r="AE647" s="106"/>
    </row>
    <row r="648">
      <c r="C648" s="79"/>
      <c r="D648" s="79"/>
      <c r="E648" s="79"/>
      <c r="P648" s="79"/>
      <c r="Q648" s="79"/>
      <c r="R648" s="79"/>
      <c r="Y648" s="79"/>
      <c r="AC648" s="130"/>
      <c r="AE648" s="106"/>
    </row>
    <row r="649">
      <c r="C649" s="79"/>
      <c r="D649" s="79"/>
      <c r="E649" s="79"/>
      <c r="P649" s="79"/>
      <c r="Q649" s="79"/>
      <c r="R649" s="79"/>
      <c r="Y649" s="79"/>
      <c r="AC649" s="130"/>
      <c r="AE649" s="106"/>
    </row>
    <row r="650">
      <c r="C650" s="79"/>
      <c r="D650" s="79"/>
      <c r="E650" s="79"/>
      <c r="P650" s="79"/>
      <c r="Q650" s="79"/>
      <c r="R650" s="79"/>
      <c r="Y650" s="79"/>
      <c r="AC650" s="130"/>
      <c r="AE650" s="106"/>
    </row>
    <row r="651">
      <c r="C651" s="79"/>
      <c r="D651" s="79"/>
      <c r="E651" s="79"/>
      <c r="P651" s="79"/>
      <c r="Q651" s="79"/>
      <c r="R651" s="79"/>
      <c r="Y651" s="79"/>
      <c r="AC651" s="130"/>
      <c r="AE651" s="106"/>
    </row>
    <row r="652">
      <c r="C652" s="79"/>
      <c r="D652" s="79"/>
      <c r="E652" s="79"/>
      <c r="P652" s="79"/>
      <c r="Q652" s="79"/>
      <c r="R652" s="79"/>
      <c r="Y652" s="79"/>
      <c r="AC652" s="130"/>
      <c r="AE652" s="106"/>
    </row>
    <row r="653">
      <c r="C653" s="79"/>
      <c r="D653" s="79"/>
      <c r="E653" s="79"/>
      <c r="P653" s="79"/>
      <c r="Q653" s="79"/>
      <c r="R653" s="79"/>
      <c r="Y653" s="79"/>
      <c r="AC653" s="130"/>
      <c r="AE653" s="106"/>
    </row>
    <row r="654">
      <c r="C654" s="79"/>
      <c r="D654" s="79"/>
      <c r="E654" s="79"/>
      <c r="P654" s="79"/>
      <c r="Q654" s="79"/>
      <c r="R654" s="79"/>
      <c r="Y654" s="79"/>
      <c r="AC654" s="130"/>
      <c r="AE654" s="106"/>
    </row>
    <row r="655">
      <c r="C655" s="79"/>
      <c r="D655" s="79"/>
      <c r="E655" s="79"/>
      <c r="P655" s="79"/>
      <c r="Q655" s="79"/>
      <c r="R655" s="79"/>
      <c r="Y655" s="79"/>
      <c r="AC655" s="130"/>
      <c r="AE655" s="106"/>
    </row>
    <row r="656">
      <c r="C656" s="79"/>
      <c r="D656" s="79"/>
      <c r="E656" s="79"/>
      <c r="P656" s="79"/>
      <c r="Q656" s="79"/>
      <c r="R656" s="79"/>
      <c r="Y656" s="79"/>
      <c r="AC656" s="130"/>
      <c r="AE656" s="106"/>
    </row>
    <row r="657">
      <c r="C657" s="79"/>
      <c r="D657" s="79"/>
      <c r="E657" s="79"/>
      <c r="P657" s="79"/>
      <c r="Q657" s="79"/>
      <c r="R657" s="79"/>
      <c r="Y657" s="79"/>
      <c r="AC657" s="130"/>
      <c r="AE657" s="106"/>
    </row>
    <row r="658">
      <c r="C658" s="79"/>
      <c r="D658" s="79"/>
      <c r="E658" s="79"/>
      <c r="P658" s="79"/>
      <c r="Q658" s="79"/>
      <c r="R658" s="79"/>
      <c r="Y658" s="79"/>
      <c r="AC658" s="130"/>
      <c r="AE658" s="106"/>
    </row>
    <row r="659">
      <c r="C659" s="79"/>
      <c r="D659" s="79"/>
      <c r="E659" s="79"/>
      <c r="P659" s="79"/>
      <c r="Q659" s="79"/>
      <c r="R659" s="79"/>
      <c r="Y659" s="79"/>
      <c r="AC659" s="130"/>
      <c r="AE659" s="106"/>
    </row>
    <row r="660">
      <c r="C660" s="79"/>
      <c r="D660" s="79"/>
      <c r="E660" s="79"/>
      <c r="P660" s="79"/>
      <c r="Q660" s="79"/>
      <c r="R660" s="79"/>
      <c r="Y660" s="79"/>
      <c r="AC660" s="130"/>
      <c r="AE660" s="106"/>
    </row>
    <row r="661">
      <c r="C661" s="79"/>
      <c r="D661" s="79"/>
      <c r="E661" s="79"/>
      <c r="P661" s="79"/>
      <c r="Q661" s="79"/>
      <c r="R661" s="79"/>
      <c r="Y661" s="79"/>
      <c r="AC661" s="130"/>
      <c r="AE661" s="106"/>
    </row>
    <row r="662">
      <c r="C662" s="79"/>
      <c r="D662" s="79"/>
      <c r="E662" s="79"/>
      <c r="P662" s="79"/>
      <c r="Q662" s="79"/>
      <c r="R662" s="79"/>
      <c r="Y662" s="79"/>
      <c r="AC662" s="130"/>
      <c r="AE662" s="106"/>
    </row>
    <row r="663">
      <c r="C663" s="79"/>
      <c r="D663" s="79"/>
      <c r="E663" s="79"/>
      <c r="P663" s="79"/>
      <c r="Q663" s="79"/>
      <c r="R663" s="79"/>
      <c r="Y663" s="79"/>
      <c r="AC663" s="130"/>
      <c r="AE663" s="106"/>
    </row>
    <row r="664">
      <c r="C664" s="79"/>
      <c r="D664" s="79"/>
      <c r="E664" s="79"/>
      <c r="P664" s="79"/>
      <c r="Q664" s="79"/>
      <c r="R664" s="79"/>
      <c r="Y664" s="79"/>
      <c r="AC664" s="130"/>
      <c r="AE664" s="106"/>
    </row>
    <row r="665">
      <c r="C665" s="79"/>
      <c r="D665" s="79"/>
      <c r="E665" s="79"/>
      <c r="P665" s="79"/>
      <c r="Q665" s="79"/>
      <c r="R665" s="79"/>
      <c r="Y665" s="79"/>
      <c r="AC665" s="130"/>
      <c r="AE665" s="106"/>
    </row>
    <row r="666">
      <c r="C666" s="79"/>
      <c r="D666" s="79"/>
      <c r="E666" s="79"/>
      <c r="P666" s="79"/>
      <c r="Q666" s="79"/>
      <c r="R666" s="79"/>
      <c r="Y666" s="79"/>
      <c r="AC666" s="130"/>
      <c r="AE666" s="106"/>
    </row>
    <row r="667">
      <c r="C667" s="79"/>
      <c r="D667" s="79"/>
      <c r="E667" s="79"/>
      <c r="P667" s="79"/>
      <c r="Q667" s="79"/>
      <c r="R667" s="79"/>
      <c r="Y667" s="79"/>
      <c r="AC667" s="130"/>
      <c r="AE667" s="106"/>
    </row>
    <row r="668">
      <c r="C668" s="79"/>
      <c r="D668" s="79"/>
      <c r="E668" s="79"/>
      <c r="P668" s="79"/>
      <c r="Q668" s="79"/>
      <c r="R668" s="79"/>
      <c r="Y668" s="79"/>
      <c r="AC668" s="130"/>
      <c r="AE668" s="106"/>
    </row>
    <row r="669">
      <c r="C669" s="79"/>
      <c r="D669" s="79"/>
      <c r="E669" s="79"/>
      <c r="P669" s="79"/>
      <c r="Q669" s="79"/>
      <c r="R669" s="79"/>
      <c r="Y669" s="79"/>
      <c r="AC669" s="130"/>
      <c r="AE669" s="106"/>
    </row>
    <row r="670">
      <c r="C670" s="79"/>
      <c r="D670" s="79"/>
      <c r="E670" s="79"/>
      <c r="P670" s="79"/>
      <c r="Q670" s="79"/>
      <c r="R670" s="79"/>
      <c r="Y670" s="79"/>
      <c r="AC670" s="130"/>
      <c r="AE670" s="106"/>
    </row>
    <row r="671">
      <c r="C671" s="79"/>
      <c r="D671" s="79"/>
      <c r="E671" s="79"/>
      <c r="P671" s="79"/>
      <c r="Q671" s="79"/>
      <c r="R671" s="79"/>
      <c r="Y671" s="79"/>
      <c r="AC671" s="130"/>
      <c r="AE671" s="106"/>
    </row>
    <row r="672">
      <c r="C672" s="79"/>
      <c r="D672" s="79"/>
      <c r="E672" s="79"/>
      <c r="P672" s="79"/>
      <c r="Q672" s="79"/>
      <c r="R672" s="79"/>
      <c r="Y672" s="79"/>
      <c r="AC672" s="130"/>
      <c r="AE672" s="106"/>
    </row>
    <row r="673">
      <c r="C673" s="79"/>
      <c r="D673" s="79"/>
      <c r="E673" s="79"/>
      <c r="P673" s="79"/>
      <c r="Q673" s="79"/>
      <c r="R673" s="79"/>
      <c r="Y673" s="79"/>
      <c r="AC673" s="130"/>
      <c r="AE673" s="106"/>
    </row>
    <row r="674">
      <c r="C674" s="79"/>
      <c r="D674" s="79"/>
      <c r="E674" s="79"/>
      <c r="P674" s="79"/>
      <c r="Q674" s="79"/>
      <c r="R674" s="79"/>
      <c r="Y674" s="79"/>
      <c r="AC674" s="130"/>
      <c r="AE674" s="106"/>
    </row>
    <row r="675">
      <c r="C675" s="79"/>
      <c r="D675" s="79"/>
      <c r="E675" s="79"/>
      <c r="P675" s="79"/>
      <c r="Q675" s="79"/>
      <c r="R675" s="79"/>
      <c r="Y675" s="79"/>
      <c r="AC675" s="130"/>
      <c r="AE675" s="106"/>
    </row>
    <row r="676">
      <c r="C676" s="79"/>
      <c r="D676" s="79"/>
      <c r="E676" s="79"/>
      <c r="P676" s="79"/>
      <c r="Q676" s="79"/>
      <c r="R676" s="79"/>
      <c r="Y676" s="79"/>
      <c r="AC676" s="130"/>
      <c r="AE676" s="106"/>
    </row>
    <row r="677">
      <c r="C677" s="79"/>
      <c r="D677" s="79"/>
      <c r="E677" s="79"/>
      <c r="P677" s="79"/>
      <c r="Q677" s="79"/>
      <c r="R677" s="79"/>
      <c r="Y677" s="79"/>
      <c r="AC677" s="130"/>
      <c r="AE677" s="106"/>
    </row>
    <row r="678">
      <c r="C678" s="79"/>
      <c r="D678" s="79"/>
      <c r="E678" s="79"/>
      <c r="P678" s="79"/>
      <c r="Q678" s="79"/>
      <c r="R678" s="79"/>
      <c r="Y678" s="79"/>
      <c r="AC678" s="130"/>
      <c r="AE678" s="106"/>
    </row>
    <row r="679">
      <c r="C679" s="79"/>
      <c r="D679" s="79"/>
      <c r="E679" s="79"/>
      <c r="P679" s="79"/>
      <c r="Q679" s="79"/>
      <c r="R679" s="79"/>
      <c r="Y679" s="79"/>
      <c r="AC679" s="130"/>
      <c r="AE679" s="106"/>
    </row>
    <row r="680">
      <c r="C680" s="79"/>
      <c r="D680" s="79"/>
      <c r="E680" s="79"/>
      <c r="P680" s="79"/>
      <c r="Q680" s="79"/>
      <c r="R680" s="79"/>
      <c r="Y680" s="79"/>
      <c r="AC680" s="130"/>
      <c r="AE680" s="106"/>
    </row>
    <row r="681">
      <c r="C681" s="79"/>
      <c r="D681" s="79"/>
      <c r="E681" s="79"/>
      <c r="P681" s="79"/>
      <c r="Q681" s="79"/>
      <c r="R681" s="79"/>
      <c r="Y681" s="79"/>
      <c r="AC681" s="130"/>
      <c r="AE681" s="106"/>
    </row>
    <row r="682">
      <c r="C682" s="79"/>
      <c r="D682" s="79"/>
      <c r="E682" s="79"/>
      <c r="P682" s="79"/>
      <c r="Q682" s="79"/>
      <c r="R682" s="79"/>
      <c r="Y682" s="79"/>
      <c r="AC682" s="130"/>
      <c r="AE682" s="106"/>
    </row>
    <row r="683">
      <c r="C683" s="79"/>
      <c r="D683" s="79"/>
      <c r="E683" s="79"/>
      <c r="P683" s="79"/>
      <c r="Q683" s="79"/>
      <c r="R683" s="79"/>
      <c r="Y683" s="79"/>
      <c r="AC683" s="130"/>
      <c r="AE683" s="106"/>
    </row>
    <row r="684">
      <c r="C684" s="79"/>
      <c r="D684" s="79"/>
      <c r="E684" s="79"/>
      <c r="P684" s="79"/>
      <c r="Q684" s="79"/>
      <c r="R684" s="79"/>
      <c r="Y684" s="79"/>
      <c r="AC684" s="130"/>
      <c r="AE684" s="106"/>
    </row>
    <row r="685">
      <c r="C685" s="79"/>
      <c r="D685" s="79"/>
      <c r="E685" s="79"/>
      <c r="P685" s="79"/>
      <c r="Q685" s="79"/>
      <c r="R685" s="79"/>
      <c r="Y685" s="79"/>
      <c r="AC685" s="130"/>
      <c r="AE685" s="106"/>
    </row>
    <row r="686">
      <c r="C686" s="79"/>
      <c r="D686" s="79"/>
      <c r="E686" s="79"/>
      <c r="P686" s="79"/>
      <c r="Q686" s="79"/>
      <c r="R686" s="79"/>
      <c r="Y686" s="79"/>
      <c r="AC686" s="130"/>
      <c r="AE686" s="106"/>
    </row>
    <row r="687">
      <c r="C687" s="79"/>
      <c r="D687" s="79"/>
      <c r="E687" s="79"/>
      <c r="P687" s="79"/>
      <c r="Q687" s="79"/>
      <c r="R687" s="79"/>
      <c r="Y687" s="79"/>
      <c r="AC687" s="130"/>
      <c r="AE687" s="106"/>
    </row>
    <row r="688">
      <c r="C688" s="79"/>
      <c r="D688" s="79"/>
      <c r="E688" s="79"/>
      <c r="P688" s="79"/>
      <c r="Q688" s="79"/>
      <c r="R688" s="79"/>
      <c r="Y688" s="79"/>
      <c r="AC688" s="130"/>
      <c r="AE688" s="106"/>
    </row>
    <row r="689">
      <c r="C689" s="79"/>
      <c r="D689" s="79"/>
      <c r="E689" s="79"/>
      <c r="P689" s="79"/>
      <c r="Q689" s="79"/>
      <c r="R689" s="79"/>
      <c r="Y689" s="79"/>
      <c r="AC689" s="130"/>
      <c r="AE689" s="106"/>
    </row>
    <row r="690">
      <c r="C690" s="79"/>
      <c r="D690" s="79"/>
      <c r="E690" s="79"/>
      <c r="P690" s="79"/>
      <c r="Q690" s="79"/>
      <c r="R690" s="79"/>
      <c r="Y690" s="79"/>
      <c r="AC690" s="130"/>
      <c r="AE690" s="106"/>
    </row>
    <row r="691">
      <c r="C691" s="79"/>
      <c r="D691" s="79"/>
      <c r="E691" s="79"/>
      <c r="P691" s="79"/>
      <c r="Q691" s="79"/>
      <c r="R691" s="79"/>
      <c r="Y691" s="79"/>
      <c r="AC691" s="130"/>
      <c r="AE691" s="106"/>
    </row>
    <row r="692">
      <c r="C692" s="79"/>
      <c r="D692" s="79"/>
      <c r="E692" s="79"/>
      <c r="P692" s="79"/>
      <c r="Q692" s="79"/>
      <c r="R692" s="79"/>
      <c r="Y692" s="79"/>
      <c r="AC692" s="130"/>
      <c r="AE692" s="106"/>
    </row>
    <row r="693">
      <c r="C693" s="79"/>
      <c r="D693" s="79"/>
      <c r="E693" s="79"/>
      <c r="P693" s="79"/>
      <c r="Q693" s="79"/>
      <c r="R693" s="79"/>
      <c r="Y693" s="79"/>
      <c r="AC693" s="130"/>
      <c r="AE693" s="106"/>
    </row>
    <row r="694">
      <c r="C694" s="79"/>
      <c r="D694" s="79"/>
      <c r="E694" s="79"/>
      <c r="P694" s="79"/>
      <c r="Q694" s="79"/>
      <c r="R694" s="79"/>
      <c r="Y694" s="79"/>
      <c r="AC694" s="130"/>
      <c r="AE694" s="106"/>
    </row>
    <row r="695">
      <c r="C695" s="79"/>
      <c r="D695" s="79"/>
      <c r="E695" s="79"/>
      <c r="P695" s="79"/>
      <c r="Q695" s="79"/>
      <c r="R695" s="79"/>
      <c r="Y695" s="79"/>
      <c r="AC695" s="130"/>
      <c r="AE695" s="106"/>
    </row>
    <row r="696">
      <c r="C696" s="79"/>
      <c r="D696" s="79"/>
      <c r="E696" s="79"/>
      <c r="P696" s="79"/>
      <c r="Q696" s="79"/>
      <c r="R696" s="79"/>
      <c r="Y696" s="79"/>
      <c r="AC696" s="130"/>
      <c r="AE696" s="106"/>
    </row>
    <row r="697">
      <c r="C697" s="79"/>
      <c r="D697" s="79"/>
      <c r="E697" s="79"/>
      <c r="P697" s="79"/>
      <c r="Q697" s="79"/>
      <c r="R697" s="79"/>
      <c r="Y697" s="79"/>
      <c r="AC697" s="130"/>
      <c r="AE697" s="106"/>
    </row>
    <row r="698">
      <c r="C698" s="79"/>
      <c r="D698" s="79"/>
      <c r="E698" s="79"/>
      <c r="P698" s="79"/>
      <c r="Q698" s="79"/>
      <c r="R698" s="79"/>
      <c r="Y698" s="79"/>
      <c r="AC698" s="130"/>
      <c r="AE698" s="106"/>
    </row>
    <row r="699">
      <c r="C699" s="79"/>
      <c r="D699" s="79"/>
      <c r="E699" s="79"/>
      <c r="P699" s="79"/>
      <c r="Q699" s="79"/>
      <c r="R699" s="79"/>
      <c r="Y699" s="79"/>
      <c r="AC699" s="130"/>
      <c r="AE699" s="106"/>
    </row>
    <row r="700">
      <c r="C700" s="79"/>
      <c r="D700" s="79"/>
      <c r="E700" s="79"/>
      <c r="P700" s="79"/>
      <c r="Q700" s="79"/>
      <c r="R700" s="79"/>
      <c r="Y700" s="79"/>
      <c r="AC700" s="130"/>
      <c r="AE700" s="106"/>
    </row>
    <row r="701">
      <c r="C701" s="79"/>
      <c r="D701" s="79"/>
      <c r="E701" s="79"/>
      <c r="P701" s="79"/>
      <c r="Q701" s="79"/>
      <c r="R701" s="79"/>
      <c r="Y701" s="79"/>
      <c r="AC701" s="130"/>
      <c r="AE701" s="106"/>
    </row>
    <row r="702">
      <c r="C702" s="79"/>
      <c r="D702" s="79"/>
      <c r="E702" s="79"/>
      <c r="P702" s="79"/>
      <c r="Q702" s="79"/>
      <c r="R702" s="79"/>
      <c r="Y702" s="79"/>
      <c r="AC702" s="130"/>
      <c r="AE702" s="106"/>
    </row>
    <row r="703">
      <c r="C703" s="79"/>
      <c r="D703" s="79"/>
      <c r="E703" s="79"/>
      <c r="P703" s="79"/>
      <c r="Q703" s="79"/>
      <c r="R703" s="79"/>
      <c r="Y703" s="79"/>
      <c r="AC703" s="130"/>
      <c r="AE703" s="106"/>
    </row>
    <row r="704">
      <c r="C704" s="79"/>
      <c r="D704" s="79"/>
      <c r="E704" s="79"/>
      <c r="P704" s="79"/>
      <c r="Q704" s="79"/>
      <c r="R704" s="79"/>
      <c r="Y704" s="79"/>
      <c r="AC704" s="130"/>
      <c r="AE704" s="106"/>
    </row>
    <row r="705">
      <c r="C705" s="79"/>
      <c r="D705" s="79"/>
      <c r="E705" s="79"/>
      <c r="P705" s="79"/>
      <c r="Q705" s="79"/>
      <c r="R705" s="79"/>
      <c r="Y705" s="79"/>
      <c r="AC705" s="130"/>
      <c r="AE705" s="106"/>
    </row>
    <row r="706">
      <c r="C706" s="79"/>
      <c r="D706" s="79"/>
      <c r="E706" s="79"/>
      <c r="P706" s="79"/>
      <c r="Q706" s="79"/>
      <c r="R706" s="79"/>
      <c r="Y706" s="79"/>
      <c r="AC706" s="130"/>
      <c r="AE706" s="106"/>
    </row>
    <row r="707">
      <c r="C707" s="79"/>
      <c r="D707" s="79"/>
      <c r="E707" s="79"/>
      <c r="P707" s="79"/>
      <c r="Q707" s="79"/>
      <c r="R707" s="79"/>
      <c r="Y707" s="79"/>
      <c r="AC707" s="130"/>
      <c r="AE707" s="106"/>
    </row>
    <row r="708">
      <c r="C708" s="79"/>
      <c r="D708" s="79"/>
      <c r="E708" s="79"/>
      <c r="P708" s="79"/>
      <c r="Q708" s="79"/>
      <c r="R708" s="79"/>
      <c r="Y708" s="79"/>
      <c r="AC708" s="130"/>
      <c r="AE708" s="106"/>
    </row>
    <row r="709">
      <c r="C709" s="79"/>
      <c r="D709" s="79"/>
      <c r="E709" s="79"/>
      <c r="P709" s="79"/>
      <c r="Q709" s="79"/>
      <c r="R709" s="79"/>
      <c r="Y709" s="79"/>
      <c r="AC709" s="130"/>
      <c r="AE709" s="106"/>
    </row>
    <row r="710">
      <c r="C710" s="79"/>
      <c r="D710" s="79"/>
      <c r="E710" s="79"/>
      <c r="P710" s="79"/>
      <c r="Q710" s="79"/>
      <c r="R710" s="79"/>
      <c r="Y710" s="79"/>
      <c r="AC710" s="130"/>
      <c r="AE710" s="106"/>
    </row>
    <row r="711">
      <c r="C711" s="79"/>
      <c r="D711" s="79"/>
      <c r="E711" s="79"/>
      <c r="P711" s="79"/>
      <c r="Q711" s="79"/>
      <c r="R711" s="79"/>
      <c r="Y711" s="79"/>
      <c r="AC711" s="130"/>
      <c r="AE711" s="106"/>
    </row>
    <row r="712">
      <c r="C712" s="79"/>
      <c r="D712" s="79"/>
      <c r="E712" s="79"/>
      <c r="P712" s="79"/>
      <c r="Q712" s="79"/>
      <c r="R712" s="79"/>
      <c r="Y712" s="79"/>
      <c r="AC712" s="130"/>
      <c r="AE712" s="106"/>
    </row>
    <row r="713">
      <c r="C713" s="79"/>
      <c r="D713" s="79"/>
      <c r="E713" s="79"/>
      <c r="P713" s="79"/>
      <c r="Q713" s="79"/>
      <c r="R713" s="79"/>
      <c r="Y713" s="79"/>
      <c r="AC713" s="130"/>
      <c r="AE713" s="106"/>
    </row>
    <row r="714">
      <c r="C714" s="79"/>
      <c r="D714" s="79"/>
      <c r="E714" s="79"/>
      <c r="P714" s="79"/>
      <c r="Q714" s="79"/>
      <c r="R714" s="79"/>
      <c r="Y714" s="79"/>
      <c r="AC714" s="130"/>
      <c r="AE714" s="106"/>
    </row>
    <row r="715">
      <c r="C715" s="79"/>
      <c r="D715" s="79"/>
      <c r="E715" s="79"/>
      <c r="P715" s="79"/>
      <c r="Q715" s="79"/>
      <c r="R715" s="79"/>
      <c r="Y715" s="79"/>
      <c r="AC715" s="130"/>
      <c r="AE715" s="106"/>
    </row>
    <row r="716">
      <c r="C716" s="79"/>
      <c r="D716" s="79"/>
      <c r="E716" s="79"/>
      <c r="P716" s="79"/>
      <c r="Q716" s="79"/>
      <c r="R716" s="79"/>
      <c r="Y716" s="79"/>
      <c r="AC716" s="130"/>
      <c r="AE716" s="106"/>
    </row>
    <row r="717">
      <c r="C717" s="79"/>
      <c r="D717" s="79"/>
      <c r="E717" s="79"/>
      <c r="P717" s="79"/>
      <c r="Q717" s="79"/>
      <c r="R717" s="79"/>
      <c r="Y717" s="79"/>
      <c r="AC717" s="130"/>
      <c r="AE717" s="106"/>
    </row>
    <row r="718">
      <c r="C718" s="79"/>
      <c r="D718" s="79"/>
      <c r="E718" s="79"/>
      <c r="P718" s="79"/>
      <c r="Q718" s="79"/>
      <c r="R718" s="79"/>
      <c r="Y718" s="79"/>
      <c r="AC718" s="130"/>
      <c r="AE718" s="106"/>
    </row>
    <row r="719">
      <c r="C719" s="79"/>
      <c r="D719" s="79"/>
      <c r="E719" s="79"/>
      <c r="P719" s="79"/>
      <c r="Q719" s="79"/>
      <c r="R719" s="79"/>
      <c r="Y719" s="79"/>
      <c r="AC719" s="130"/>
      <c r="AE719" s="106"/>
    </row>
    <row r="720">
      <c r="C720" s="79"/>
      <c r="D720" s="79"/>
      <c r="E720" s="79"/>
      <c r="P720" s="79"/>
      <c r="Q720" s="79"/>
      <c r="R720" s="79"/>
      <c r="Y720" s="79"/>
      <c r="AC720" s="130"/>
      <c r="AE720" s="106"/>
    </row>
    <row r="721">
      <c r="C721" s="79"/>
      <c r="D721" s="79"/>
      <c r="E721" s="79"/>
      <c r="P721" s="79"/>
      <c r="Q721" s="79"/>
      <c r="R721" s="79"/>
      <c r="Y721" s="79"/>
      <c r="AC721" s="130"/>
      <c r="AE721" s="106"/>
    </row>
    <row r="722">
      <c r="C722" s="79"/>
      <c r="D722" s="79"/>
      <c r="E722" s="79"/>
      <c r="P722" s="79"/>
      <c r="Q722" s="79"/>
      <c r="R722" s="79"/>
      <c r="Y722" s="79"/>
      <c r="AC722" s="130"/>
      <c r="AE722" s="106"/>
    </row>
    <row r="723">
      <c r="C723" s="79"/>
      <c r="D723" s="79"/>
      <c r="E723" s="79"/>
      <c r="P723" s="79"/>
      <c r="Q723" s="79"/>
      <c r="R723" s="79"/>
      <c r="Y723" s="79"/>
      <c r="AC723" s="130"/>
      <c r="AE723" s="106"/>
    </row>
    <row r="724">
      <c r="C724" s="79"/>
      <c r="D724" s="79"/>
      <c r="E724" s="79"/>
      <c r="P724" s="79"/>
      <c r="Q724" s="79"/>
      <c r="R724" s="79"/>
      <c r="Y724" s="79"/>
      <c r="AC724" s="130"/>
      <c r="AE724" s="106"/>
    </row>
    <row r="725">
      <c r="C725" s="79"/>
      <c r="D725" s="79"/>
      <c r="E725" s="79"/>
      <c r="P725" s="79"/>
      <c r="Q725" s="79"/>
      <c r="R725" s="79"/>
      <c r="Y725" s="79"/>
      <c r="AC725" s="130"/>
      <c r="AE725" s="106"/>
    </row>
    <row r="726">
      <c r="C726" s="79"/>
      <c r="D726" s="79"/>
      <c r="E726" s="79"/>
      <c r="P726" s="79"/>
      <c r="Q726" s="79"/>
      <c r="R726" s="79"/>
      <c r="Y726" s="79"/>
      <c r="AC726" s="130"/>
      <c r="AE726" s="106"/>
    </row>
    <row r="727">
      <c r="C727" s="79"/>
      <c r="D727" s="79"/>
      <c r="E727" s="79"/>
      <c r="P727" s="79"/>
      <c r="Q727" s="79"/>
      <c r="R727" s="79"/>
      <c r="Y727" s="79"/>
      <c r="AC727" s="130"/>
      <c r="AE727" s="106"/>
    </row>
    <row r="728">
      <c r="C728" s="79"/>
      <c r="D728" s="79"/>
      <c r="E728" s="79"/>
      <c r="P728" s="79"/>
      <c r="Q728" s="79"/>
      <c r="R728" s="79"/>
      <c r="Y728" s="79"/>
      <c r="AC728" s="130"/>
      <c r="AE728" s="106"/>
    </row>
    <row r="729">
      <c r="C729" s="79"/>
      <c r="D729" s="79"/>
      <c r="E729" s="79"/>
      <c r="P729" s="79"/>
      <c r="Q729" s="79"/>
      <c r="R729" s="79"/>
      <c r="Y729" s="79"/>
      <c r="AC729" s="130"/>
      <c r="AE729" s="106"/>
    </row>
    <row r="730">
      <c r="C730" s="79"/>
      <c r="D730" s="79"/>
      <c r="E730" s="79"/>
      <c r="P730" s="79"/>
      <c r="Q730" s="79"/>
      <c r="R730" s="79"/>
      <c r="Y730" s="79"/>
      <c r="AC730" s="130"/>
      <c r="AE730" s="106"/>
    </row>
    <row r="731">
      <c r="C731" s="79"/>
      <c r="D731" s="79"/>
      <c r="E731" s="79"/>
      <c r="P731" s="79"/>
      <c r="Q731" s="79"/>
      <c r="R731" s="79"/>
      <c r="Y731" s="79"/>
      <c r="AC731" s="130"/>
      <c r="AE731" s="106"/>
    </row>
    <row r="732">
      <c r="C732" s="79"/>
      <c r="D732" s="79"/>
      <c r="E732" s="79"/>
      <c r="P732" s="79"/>
      <c r="Q732" s="79"/>
      <c r="R732" s="79"/>
      <c r="Y732" s="79"/>
      <c r="AC732" s="130"/>
      <c r="AE732" s="106"/>
    </row>
    <row r="733">
      <c r="C733" s="79"/>
      <c r="D733" s="79"/>
      <c r="E733" s="79"/>
      <c r="P733" s="79"/>
      <c r="Q733" s="79"/>
      <c r="R733" s="79"/>
      <c r="Y733" s="79"/>
      <c r="AC733" s="130"/>
      <c r="AE733" s="106"/>
    </row>
    <row r="734">
      <c r="C734" s="79"/>
      <c r="D734" s="79"/>
      <c r="E734" s="79"/>
      <c r="P734" s="79"/>
      <c r="Q734" s="79"/>
      <c r="R734" s="79"/>
      <c r="Y734" s="79"/>
      <c r="AC734" s="130"/>
      <c r="AE734" s="106"/>
    </row>
    <row r="735">
      <c r="C735" s="79"/>
      <c r="D735" s="79"/>
      <c r="E735" s="79"/>
      <c r="P735" s="79"/>
      <c r="Q735" s="79"/>
      <c r="R735" s="79"/>
      <c r="Y735" s="79"/>
      <c r="AC735" s="130"/>
      <c r="AE735" s="106"/>
    </row>
    <row r="736">
      <c r="C736" s="79"/>
      <c r="D736" s="79"/>
      <c r="E736" s="79"/>
      <c r="P736" s="79"/>
      <c r="Q736" s="79"/>
      <c r="R736" s="79"/>
      <c r="Y736" s="79"/>
      <c r="AC736" s="130"/>
      <c r="AE736" s="106"/>
    </row>
    <row r="737">
      <c r="C737" s="79"/>
      <c r="D737" s="79"/>
      <c r="E737" s="79"/>
      <c r="P737" s="79"/>
      <c r="Q737" s="79"/>
      <c r="R737" s="79"/>
      <c r="Y737" s="79"/>
      <c r="AC737" s="130"/>
      <c r="AE737" s="106"/>
    </row>
    <row r="738">
      <c r="C738" s="79"/>
      <c r="D738" s="79"/>
      <c r="E738" s="79"/>
      <c r="P738" s="79"/>
      <c r="Q738" s="79"/>
      <c r="R738" s="79"/>
      <c r="Y738" s="79"/>
      <c r="AC738" s="130"/>
      <c r="AE738" s="106"/>
    </row>
    <row r="739">
      <c r="C739" s="79"/>
      <c r="D739" s="79"/>
      <c r="E739" s="79"/>
      <c r="P739" s="79"/>
      <c r="Q739" s="79"/>
      <c r="R739" s="79"/>
      <c r="Y739" s="79"/>
      <c r="AC739" s="130"/>
      <c r="AE739" s="106"/>
    </row>
    <row r="740">
      <c r="C740" s="79"/>
      <c r="D740" s="79"/>
      <c r="E740" s="79"/>
      <c r="P740" s="79"/>
      <c r="Q740" s="79"/>
      <c r="R740" s="79"/>
      <c r="Y740" s="79"/>
      <c r="AC740" s="130"/>
      <c r="AE740" s="106"/>
    </row>
    <row r="741">
      <c r="C741" s="79"/>
      <c r="D741" s="79"/>
      <c r="E741" s="79"/>
      <c r="P741" s="79"/>
      <c r="Q741" s="79"/>
      <c r="R741" s="79"/>
      <c r="Y741" s="79"/>
      <c r="AC741" s="130"/>
      <c r="AE741" s="106"/>
    </row>
    <row r="742">
      <c r="C742" s="79"/>
      <c r="D742" s="79"/>
      <c r="E742" s="79"/>
      <c r="P742" s="79"/>
      <c r="Q742" s="79"/>
      <c r="R742" s="79"/>
      <c r="Y742" s="79"/>
      <c r="AC742" s="130"/>
      <c r="AE742" s="106"/>
    </row>
    <row r="743">
      <c r="C743" s="79"/>
      <c r="D743" s="79"/>
      <c r="E743" s="79"/>
      <c r="P743" s="79"/>
      <c r="Q743" s="79"/>
      <c r="R743" s="79"/>
      <c r="Y743" s="79"/>
      <c r="AC743" s="130"/>
      <c r="AE743" s="106"/>
    </row>
    <row r="744">
      <c r="C744" s="79"/>
      <c r="D744" s="79"/>
      <c r="E744" s="79"/>
      <c r="P744" s="79"/>
      <c r="Q744" s="79"/>
      <c r="R744" s="79"/>
      <c r="Y744" s="79"/>
      <c r="AC744" s="130"/>
      <c r="AE744" s="106"/>
    </row>
    <row r="745">
      <c r="C745" s="79"/>
      <c r="D745" s="79"/>
      <c r="E745" s="79"/>
      <c r="P745" s="79"/>
      <c r="Q745" s="79"/>
      <c r="R745" s="79"/>
      <c r="Y745" s="79"/>
      <c r="AC745" s="130"/>
      <c r="AE745" s="106"/>
    </row>
    <row r="746">
      <c r="C746" s="79"/>
      <c r="D746" s="79"/>
      <c r="E746" s="79"/>
      <c r="P746" s="79"/>
      <c r="Q746" s="79"/>
      <c r="R746" s="79"/>
      <c r="Y746" s="79"/>
      <c r="AC746" s="130"/>
      <c r="AE746" s="106"/>
    </row>
    <row r="747">
      <c r="C747" s="79"/>
      <c r="D747" s="79"/>
      <c r="E747" s="79"/>
      <c r="P747" s="79"/>
      <c r="Q747" s="79"/>
      <c r="R747" s="79"/>
      <c r="Y747" s="79"/>
      <c r="AC747" s="130"/>
      <c r="AE747" s="106"/>
    </row>
    <row r="748">
      <c r="C748" s="79"/>
      <c r="D748" s="79"/>
      <c r="E748" s="79"/>
      <c r="P748" s="79"/>
      <c r="Q748" s="79"/>
      <c r="R748" s="79"/>
      <c r="Y748" s="79"/>
      <c r="AC748" s="130"/>
      <c r="AE748" s="106"/>
    </row>
    <row r="749">
      <c r="C749" s="79"/>
      <c r="D749" s="79"/>
      <c r="E749" s="79"/>
      <c r="P749" s="79"/>
      <c r="Q749" s="79"/>
      <c r="R749" s="79"/>
      <c r="Y749" s="79"/>
      <c r="AC749" s="130"/>
      <c r="AE749" s="106"/>
    </row>
    <row r="750">
      <c r="C750" s="79"/>
      <c r="D750" s="79"/>
      <c r="E750" s="79"/>
      <c r="P750" s="79"/>
      <c r="Q750" s="79"/>
      <c r="R750" s="79"/>
      <c r="Y750" s="79"/>
      <c r="AC750" s="130"/>
      <c r="AE750" s="106"/>
    </row>
    <row r="751">
      <c r="C751" s="79"/>
      <c r="D751" s="79"/>
      <c r="E751" s="79"/>
      <c r="P751" s="79"/>
      <c r="Q751" s="79"/>
      <c r="R751" s="79"/>
      <c r="Y751" s="79"/>
      <c r="AC751" s="130"/>
      <c r="AE751" s="106"/>
    </row>
    <row r="752">
      <c r="C752" s="79"/>
      <c r="D752" s="79"/>
      <c r="E752" s="79"/>
      <c r="P752" s="79"/>
      <c r="Q752" s="79"/>
      <c r="R752" s="79"/>
      <c r="Y752" s="79"/>
      <c r="AC752" s="130"/>
      <c r="AE752" s="106"/>
    </row>
    <row r="753">
      <c r="C753" s="79"/>
      <c r="D753" s="79"/>
      <c r="E753" s="79"/>
      <c r="P753" s="79"/>
      <c r="Q753" s="79"/>
      <c r="R753" s="79"/>
      <c r="Y753" s="79"/>
      <c r="AC753" s="130"/>
      <c r="AE753" s="106"/>
    </row>
    <row r="754">
      <c r="C754" s="79"/>
      <c r="D754" s="79"/>
      <c r="E754" s="79"/>
      <c r="P754" s="79"/>
      <c r="Q754" s="79"/>
      <c r="R754" s="79"/>
      <c r="Y754" s="79"/>
      <c r="AC754" s="130"/>
      <c r="AE754" s="106"/>
    </row>
    <row r="755">
      <c r="C755" s="79"/>
      <c r="D755" s="79"/>
      <c r="E755" s="79"/>
      <c r="P755" s="79"/>
      <c r="Q755" s="79"/>
      <c r="R755" s="79"/>
      <c r="Y755" s="79"/>
      <c r="AC755" s="130"/>
      <c r="AE755" s="106"/>
    </row>
    <row r="756">
      <c r="C756" s="79"/>
      <c r="D756" s="79"/>
      <c r="E756" s="79"/>
      <c r="P756" s="79"/>
      <c r="Q756" s="79"/>
      <c r="R756" s="79"/>
      <c r="Y756" s="79"/>
      <c r="AC756" s="130"/>
      <c r="AE756" s="106"/>
    </row>
    <row r="757">
      <c r="C757" s="79"/>
      <c r="D757" s="79"/>
      <c r="E757" s="79"/>
      <c r="P757" s="79"/>
      <c r="Q757" s="79"/>
      <c r="R757" s="79"/>
      <c r="Y757" s="79"/>
      <c r="AC757" s="130"/>
      <c r="AE757" s="106"/>
    </row>
    <row r="758">
      <c r="C758" s="79"/>
      <c r="D758" s="79"/>
      <c r="E758" s="79"/>
      <c r="P758" s="79"/>
      <c r="Q758" s="79"/>
      <c r="R758" s="79"/>
      <c r="Y758" s="79"/>
      <c r="AC758" s="130"/>
      <c r="AE758" s="106"/>
    </row>
    <row r="759">
      <c r="C759" s="79"/>
      <c r="D759" s="79"/>
      <c r="E759" s="79"/>
      <c r="P759" s="79"/>
      <c r="Q759" s="79"/>
      <c r="R759" s="79"/>
      <c r="Y759" s="79"/>
      <c r="AC759" s="130"/>
      <c r="AE759" s="106"/>
    </row>
    <row r="760">
      <c r="C760" s="79"/>
      <c r="D760" s="79"/>
      <c r="E760" s="79"/>
      <c r="P760" s="79"/>
      <c r="Q760" s="79"/>
      <c r="R760" s="79"/>
      <c r="Y760" s="79"/>
      <c r="AC760" s="130"/>
      <c r="AE760" s="106"/>
    </row>
    <row r="761">
      <c r="C761" s="79"/>
      <c r="D761" s="79"/>
      <c r="E761" s="79"/>
      <c r="P761" s="79"/>
      <c r="Q761" s="79"/>
      <c r="R761" s="79"/>
      <c r="Y761" s="79"/>
      <c r="AC761" s="130"/>
      <c r="AE761" s="106"/>
    </row>
    <row r="762">
      <c r="C762" s="79"/>
      <c r="D762" s="79"/>
      <c r="E762" s="79"/>
      <c r="P762" s="79"/>
      <c r="Q762" s="79"/>
      <c r="R762" s="79"/>
      <c r="Y762" s="79"/>
      <c r="AC762" s="130"/>
      <c r="AE762" s="106"/>
    </row>
    <row r="763">
      <c r="C763" s="79"/>
      <c r="D763" s="79"/>
      <c r="E763" s="79"/>
      <c r="P763" s="79"/>
      <c r="Q763" s="79"/>
      <c r="R763" s="79"/>
      <c r="Y763" s="79"/>
      <c r="AC763" s="130"/>
      <c r="AE763" s="106"/>
    </row>
    <row r="764">
      <c r="C764" s="79"/>
      <c r="D764" s="79"/>
      <c r="E764" s="79"/>
      <c r="P764" s="79"/>
      <c r="Q764" s="79"/>
      <c r="R764" s="79"/>
      <c r="Y764" s="79"/>
      <c r="AC764" s="130"/>
      <c r="AE764" s="106"/>
    </row>
    <row r="765">
      <c r="C765" s="79"/>
      <c r="D765" s="79"/>
      <c r="E765" s="79"/>
      <c r="P765" s="79"/>
      <c r="Q765" s="79"/>
      <c r="R765" s="79"/>
      <c r="Y765" s="79"/>
      <c r="AC765" s="130"/>
      <c r="AE765" s="106"/>
    </row>
    <row r="766">
      <c r="C766" s="79"/>
      <c r="D766" s="79"/>
      <c r="E766" s="79"/>
      <c r="P766" s="79"/>
      <c r="Q766" s="79"/>
      <c r="R766" s="79"/>
      <c r="Y766" s="79"/>
      <c r="AC766" s="130"/>
      <c r="AE766" s="106"/>
    </row>
    <row r="767">
      <c r="C767" s="79"/>
      <c r="D767" s="79"/>
      <c r="E767" s="79"/>
      <c r="P767" s="79"/>
      <c r="Q767" s="79"/>
      <c r="R767" s="79"/>
      <c r="Y767" s="79"/>
      <c r="AC767" s="130"/>
      <c r="AE767" s="106"/>
    </row>
    <row r="768">
      <c r="C768" s="79"/>
      <c r="D768" s="79"/>
      <c r="E768" s="79"/>
      <c r="P768" s="79"/>
      <c r="Q768" s="79"/>
      <c r="R768" s="79"/>
      <c r="Y768" s="79"/>
      <c r="AC768" s="130"/>
      <c r="AE768" s="106"/>
    </row>
    <row r="769">
      <c r="C769" s="79"/>
      <c r="D769" s="79"/>
      <c r="E769" s="79"/>
      <c r="P769" s="79"/>
      <c r="Q769" s="79"/>
      <c r="R769" s="79"/>
      <c r="Y769" s="79"/>
      <c r="AC769" s="130"/>
      <c r="AE769" s="106"/>
    </row>
    <row r="770">
      <c r="C770" s="79"/>
      <c r="D770" s="79"/>
      <c r="E770" s="79"/>
      <c r="P770" s="79"/>
      <c r="Q770" s="79"/>
      <c r="R770" s="79"/>
      <c r="Y770" s="79"/>
      <c r="AC770" s="130"/>
      <c r="AE770" s="106"/>
    </row>
    <row r="771">
      <c r="C771" s="79"/>
      <c r="D771" s="79"/>
      <c r="E771" s="79"/>
      <c r="P771" s="79"/>
      <c r="Q771" s="79"/>
      <c r="R771" s="79"/>
      <c r="Y771" s="79"/>
      <c r="AC771" s="130"/>
      <c r="AE771" s="106"/>
    </row>
    <row r="772">
      <c r="C772" s="79"/>
      <c r="D772" s="79"/>
      <c r="E772" s="79"/>
      <c r="P772" s="79"/>
      <c r="Q772" s="79"/>
      <c r="R772" s="79"/>
      <c r="Y772" s="79"/>
      <c r="AC772" s="130"/>
      <c r="AE772" s="106"/>
    </row>
    <row r="773">
      <c r="C773" s="79"/>
      <c r="D773" s="79"/>
      <c r="E773" s="79"/>
      <c r="P773" s="79"/>
      <c r="Q773" s="79"/>
      <c r="R773" s="79"/>
      <c r="Y773" s="79"/>
      <c r="AC773" s="130"/>
      <c r="AE773" s="106"/>
    </row>
    <row r="774">
      <c r="C774" s="79"/>
      <c r="D774" s="79"/>
      <c r="E774" s="79"/>
      <c r="P774" s="79"/>
      <c r="Q774" s="79"/>
      <c r="R774" s="79"/>
      <c r="Y774" s="79"/>
      <c r="AC774" s="130"/>
      <c r="AE774" s="106"/>
    </row>
    <row r="775">
      <c r="C775" s="79"/>
      <c r="D775" s="79"/>
      <c r="E775" s="79"/>
      <c r="P775" s="79"/>
      <c r="Q775" s="79"/>
      <c r="R775" s="79"/>
      <c r="Y775" s="79"/>
      <c r="AC775" s="130"/>
      <c r="AE775" s="106"/>
    </row>
    <row r="776">
      <c r="C776" s="79"/>
      <c r="D776" s="79"/>
      <c r="E776" s="79"/>
      <c r="P776" s="79"/>
      <c r="Q776" s="79"/>
      <c r="R776" s="79"/>
      <c r="Y776" s="79"/>
      <c r="AC776" s="130"/>
      <c r="AE776" s="106"/>
    </row>
    <row r="777">
      <c r="C777" s="79"/>
      <c r="D777" s="79"/>
      <c r="E777" s="79"/>
      <c r="P777" s="79"/>
      <c r="Q777" s="79"/>
      <c r="R777" s="79"/>
      <c r="Y777" s="79"/>
      <c r="AC777" s="130"/>
      <c r="AE777" s="106"/>
    </row>
    <row r="778">
      <c r="C778" s="79"/>
      <c r="D778" s="79"/>
      <c r="E778" s="79"/>
      <c r="P778" s="79"/>
      <c r="Q778" s="79"/>
      <c r="R778" s="79"/>
      <c r="Y778" s="79"/>
      <c r="AC778" s="130"/>
      <c r="AE778" s="106"/>
    </row>
    <row r="779">
      <c r="C779" s="79"/>
      <c r="D779" s="79"/>
      <c r="E779" s="79"/>
      <c r="P779" s="79"/>
      <c r="Q779" s="79"/>
      <c r="R779" s="79"/>
      <c r="Y779" s="79"/>
      <c r="AC779" s="130"/>
      <c r="AE779" s="106"/>
    </row>
    <row r="780">
      <c r="C780" s="79"/>
      <c r="D780" s="79"/>
      <c r="E780" s="79"/>
      <c r="P780" s="79"/>
      <c r="Q780" s="79"/>
      <c r="R780" s="79"/>
      <c r="Y780" s="79"/>
      <c r="AC780" s="130"/>
      <c r="AE780" s="106"/>
    </row>
    <row r="781">
      <c r="C781" s="79"/>
      <c r="D781" s="79"/>
      <c r="E781" s="79"/>
      <c r="P781" s="79"/>
      <c r="Q781" s="79"/>
      <c r="R781" s="79"/>
      <c r="Y781" s="79"/>
      <c r="AC781" s="130"/>
      <c r="AE781" s="106"/>
    </row>
    <row r="782">
      <c r="C782" s="79"/>
      <c r="D782" s="79"/>
      <c r="E782" s="79"/>
      <c r="P782" s="79"/>
      <c r="Q782" s="79"/>
      <c r="R782" s="79"/>
      <c r="Y782" s="79"/>
      <c r="AC782" s="130"/>
      <c r="AE782" s="106"/>
    </row>
    <row r="783">
      <c r="C783" s="79"/>
      <c r="D783" s="79"/>
      <c r="E783" s="79"/>
      <c r="P783" s="79"/>
      <c r="Q783" s="79"/>
      <c r="R783" s="79"/>
      <c r="Y783" s="79"/>
      <c r="AC783" s="130"/>
      <c r="AE783" s="106"/>
    </row>
    <row r="784">
      <c r="C784" s="79"/>
      <c r="D784" s="79"/>
      <c r="E784" s="79"/>
      <c r="P784" s="79"/>
      <c r="Q784" s="79"/>
      <c r="R784" s="79"/>
      <c r="Y784" s="79"/>
      <c r="AC784" s="130"/>
      <c r="AE784" s="106"/>
    </row>
    <row r="785">
      <c r="C785" s="79"/>
      <c r="D785" s="79"/>
      <c r="E785" s="79"/>
      <c r="P785" s="79"/>
      <c r="Q785" s="79"/>
      <c r="R785" s="79"/>
      <c r="Y785" s="79"/>
      <c r="AC785" s="130"/>
      <c r="AE785" s="106"/>
    </row>
    <row r="786">
      <c r="C786" s="79"/>
      <c r="D786" s="79"/>
      <c r="E786" s="79"/>
      <c r="P786" s="79"/>
      <c r="Q786" s="79"/>
      <c r="R786" s="79"/>
      <c r="Y786" s="79"/>
      <c r="AC786" s="130"/>
      <c r="AE786" s="106"/>
    </row>
    <row r="787">
      <c r="C787" s="79"/>
      <c r="D787" s="79"/>
      <c r="E787" s="79"/>
      <c r="P787" s="79"/>
      <c r="Q787" s="79"/>
      <c r="R787" s="79"/>
      <c r="Y787" s="79"/>
      <c r="AC787" s="130"/>
      <c r="AE787" s="106"/>
    </row>
    <row r="788">
      <c r="C788" s="79"/>
      <c r="D788" s="79"/>
      <c r="E788" s="79"/>
      <c r="P788" s="79"/>
      <c r="Q788" s="79"/>
      <c r="R788" s="79"/>
      <c r="Y788" s="79"/>
      <c r="AC788" s="130"/>
      <c r="AE788" s="106"/>
    </row>
    <row r="789">
      <c r="C789" s="79"/>
      <c r="D789" s="79"/>
      <c r="E789" s="79"/>
      <c r="P789" s="79"/>
      <c r="Q789" s="79"/>
      <c r="R789" s="79"/>
      <c r="Y789" s="79"/>
      <c r="AC789" s="130"/>
      <c r="AE789" s="106"/>
    </row>
    <row r="790">
      <c r="C790" s="79"/>
      <c r="D790" s="79"/>
      <c r="E790" s="79"/>
      <c r="P790" s="79"/>
      <c r="Q790" s="79"/>
      <c r="R790" s="79"/>
      <c r="Y790" s="79"/>
      <c r="AC790" s="130"/>
      <c r="AE790" s="106"/>
    </row>
    <row r="791">
      <c r="C791" s="79"/>
      <c r="D791" s="79"/>
      <c r="E791" s="79"/>
      <c r="P791" s="79"/>
      <c r="Q791" s="79"/>
      <c r="R791" s="79"/>
      <c r="Y791" s="79"/>
      <c r="AC791" s="130"/>
      <c r="AE791" s="106"/>
    </row>
    <row r="792">
      <c r="C792" s="79"/>
      <c r="D792" s="79"/>
      <c r="E792" s="79"/>
      <c r="P792" s="79"/>
      <c r="Q792" s="79"/>
      <c r="R792" s="79"/>
      <c r="Y792" s="79"/>
      <c r="AC792" s="130"/>
      <c r="AE792" s="106"/>
    </row>
    <row r="793">
      <c r="C793" s="79"/>
      <c r="D793" s="79"/>
      <c r="E793" s="79"/>
      <c r="P793" s="79"/>
      <c r="Q793" s="79"/>
      <c r="R793" s="79"/>
      <c r="Y793" s="79"/>
      <c r="AC793" s="130"/>
      <c r="AE793" s="106"/>
    </row>
    <row r="794">
      <c r="C794" s="79"/>
      <c r="D794" s="79"/>
      <c r="E794" s="79"/>
      <c r="P794" s="79"/>
      <c r="Q794" s="79"/>
      <c r="R794" s="79"/>
      <c r="Y794" s="79"/>
      <c r="AC794" s="130"/>
      <c r="AE794" s="106"/>
    </row>
    <row r="795">
      <c r="C795" s="79"/>
      <c r="D795" s="79"/>
      <c r="E795" s="79"/>
      <c r="P795" s="79"/>
      <c r="Q795" s="79"/>
      <c r="R795" s="79"/>
      <c r="Y795" s="79"/>
      <c r="AC795" s="130"/>
      <c r="AE795" s="106"/>
    </row>
    <row r="796">
      <c r="C796" s="79"/>
      <c r="D796" s="79"/>
      <c r="E796" s="79"/>
      <c r="P796" s="79"/>
      <c r="Q796" s="79"/>
      <c r="R796" s="79"/>
      <c r="Y796" s="79"/>
      <c r="AC796" s="130"/>
      <c r="AE796" s="106"/>
    </row>
    <row r="797">
      <c r="C797" s="79"/>
      <c r="D797" s="79"/>
      <c r="E797" s="79"/>
      <c r="P797" s="79"/>
      <c r="Q797" s="79"/>
      <c r="R797" s="79"/>
      <c r="Y797" s="79"/>
      <c r="AC797" s="130"/>
      <c r="AE797" s="106"/>
    </row>
    <row r="798">
      <c r="C798" s="79"/>
      <c r="D798" s="79"/>
      <c r="E798" s="79"/>
      <c r="P798" s="79"/>
      <c r="Q798" s="79"/>
      <c r="R798" s="79"/>
      <c r="Y798" s="79"/>
      <c r="AC798" s="130"/>
      <c r="AE798" s="106"/>
    </row>
    <row r="799">
      <c r="C799" s="79"/>
      <c r="D799" s="79"/>
      <c r="E799" s="79"/>
      <c r="P799" s="79"/>
      <c r="Q799" s="79"/>
      <c r="R799" s="79"/>
      <c r="Y799" s="79"/>
      <c r="AC799" s="130"/>
      <c r="AE799" s="106"/>
    </row>
    <row r="800">
      <c r="C800" s="79"/>
      <c r="D800" s="79"/>
      <c r="E800" s="79"/>
      <c r="P800" s="79"/>
      <c r="Q800" s="79"/>
      <c r="R800" s="79"/>
      <c r="Y800" s="79"/>
      <c r="AC800" s="130"/>
      <c r="AE800" s="106"/>
    </row>
    <row r="801">
      <c r="C801" s="79"/>
      <c r="D801" s="79"/>
      <c r="E801" s="79"/>
      <c r="P801" s="79"/>
      <c r="Q801" s="79"/>
      <c r="R801" s="79"/>
      <c r="Y801" s="79"/>
      <c r="AC801" s="130"/>
      <c r="AE801" s="106"/>
    </row>
    <row r="802">
      <c r="C802" s="79"/>
      <c r="D802" s="79"/>
      <c r="E802" s="79"/>
      <c r="P802" s="79"/>
      <c r="Q802" s="79"/>
      <c r="R802" s="79"/>
      <c r="Y802" s="79"/>
      <c r="AC802" s="130"/>
      <c r="AE802" s="106"/>
    </row>
    <row r="803">
      <c r="C803" s="79"/>
      <c r="D803" s="79"/>
      <c r="E803" s="79"/>
      <c r="P803" s="79"/>
      <c r="Q803" s="79"/>
      <c r="R803" s="79"/>
      <c r="Y803" s="79"/>
      <c r="AC803" s="130"/>
      <c r="AE803" s="106"/>
    </row>
    <row r="804">
      <c r="C804" s="79"/>
      <c r="D804" s="79"/>
      <c r="E804" s="79"/>
      <c r="P804" s="79"/>
      <c r="Q804" s="79"/>
      <c r="R804" s="79"/>
      <c r="Y804" s="79"/>
      <c r="AC804" s="130"/>
      <c r="AE804" s="106"/>
    </row>
    <row r="805">
      <c r="C805" s="79"/>
      <c r="D805" s="79"/>
      <c r="E805" s="79"/>
      <c r="P805" s="79"/>
      <c r="Q805" s="79"/>
      <c r="R805" s="79"/>
      <c r="Y805" s="79"/>
      <c r="AC805" s="130"/>
      <c r="AE805" s="106"/>
    </row>
    <row r="806">
      <c r="C806" s="79"/>
      <c r="D806" s="79"/>
      <c r="E806" s="79"/>
      <c r="P806" s="79"/>
      <c r="Q806" s="79"/>
      <c r="R806" s="79"/>
      <c r="Y806" s="79"/>
      <c r="AC806" s="130"/>
      <c r="AE806" s="106"/>
    </row>
    <row r="807">
      <c r="C807" s="79"/>
      <c r="D807" s="79"/>
      <c r="E807" s="79"/>
      <c r="P807" s="79"/>
      <c r="Q807" s="79"/>
      <c r="R807" s="79"/>
      <c r="Y807" s="79"/>
      <c r="AC807" s="130"/>
      <c r="AE807" s="106"/>
    </row>
    <row r="808">
      <c r="C808" s="79"/>
      <c r="D808" s="79"/>
      <c r="E808" s="79"/>
      <c r="P808" s="79"/>
      <c r="Q808" s="79"/>
      <c r="R808" s="79"/>
      <c r="Y808" s="79"/>
      <c r="AC808" s="130"/>
      <c r="AE808" s="106"/>
    </row>
    <row r="809">
      <c r="C809" s="79"/>
      <c r="D809" s="79"/>
      <c r="E809" s="79"/>
      <c r="P809" s="79"/>
      <c r="Q809" s="79"/>
      <c r="R809" s="79"/>
      <c r="Y809" s="79"/>
      <c r="AC809" s="130"/>
      <c r="AE809" s="106"/>
    </row>
    <row r="810">
      <c r="C810" s="79"/>
      <c r="D810" s="79"/>
      <c r="E810" s="79"/>
      <c r="P810" s="79"/>
      <c r="Q810" s="79"/>
      <c r="R810" s="79"/>
      <c r="Y810" s="79"/>
      <c r="AC810" s="130"/>
      <c r="AE810" s="106"/>
    </row>
    <row r="811">
      <c r="C811" s="79"/>
      <c r="D811" s="79"/>
      <c r="E811" s="79"/>
      <c r="P811" s="79"/>
      <c r="Q811" s="79"/>
      <c r="R811" s="79"/>
      <c r="Y811" s="79"/>
      <c r="AC811" s="130"/>
      <c r="AE811" s="106"/>
    </row>
    <row r="812">
      <c r="C812" s="79"/>
      <c r="D812" s="79"/>
      <c r="E812" s="79"/>
      <c r="P812" s="79"/>
      <c r="Q812" s="79"/>
      <c r="R812" s="79"/>
      <c r="Y812" s="79"/>
      <c r="AC812" s="130"/>
      <c r="AE812" s="106"/>
    </row>
    <row r="813">
      <c r="C813" s="79"/>
      <c r="D813" s="79"/>
      <c r="E813" s="79"/>
      <c r="P813" s="79"/>
      <c r="Q813" s="79"/>
      <c r="R813" s="79"/>
      <c r="Y813" s="79"/>
      <c r="AC813" s="130"/>
      <c r="AE813" s="106"/>
    </row>
    <row r="814">
      <c r="C814" s="79"/>
      <c r="D814" s="79"/>
      <c r="E814" s="79"/>
      <c r="P814" s="79"/>
      <c r="Q814" s="79"/>
      <c r="R814" s="79"/>
      <c r="Y814" s="79"/>
      <c r="AC814" s="130"/>
      <c r="AE814" s="106"/>
    </row>
    <row r="815">
      <c r="C815" s="79"/>
      <c r="D815" s="79"/>
      <c r="E815" s="79"/>
      <c r="P815" s="79"/>
      <c r="Q815" s="79"/>
      <c r="R815" s="79"/>
      <c r="Y815" s="79"/>
      <c r="AC815" s="130"/>
      <c r="AE815" s="106"/>
    </row>
    <row r="816">
      <c r="C816" s="79"/>
      <c r="D816" s="79"/>
      <c r="E816" s="79"/>
      <c r="P816" s="79"/>
      <c r="Q816" s="79"/>
      <c r="R816" s="79"/>
      <c r="Y816" s="79"/>
      <c r="AC816" s="130"/>
      <c r="AE816" s="106"/>
    </row>
    <row r="817">
      <c r="C817" s="79"/>
      <c r="D817" s="79"/>
      <c r="E817" s="79"/>
      <c r="P817" s="79"/>
      <c r="Q817" s="79"/>
      <c r="R817" s="79"/>
      <c r="Y817" s="79"/>
      <c r="AC817" s="130"/>
      <c r="AE817" s="106"/>
    </row>
    <row r="818">
      <c r="C818" s="79"/>
      <c r="D818" s="79"/>
      <c r="E818" s="79"/>
      <c r="P818" s="79"/>
      <c r="Q818" s="79"/>
      <c r="R818" s="79"/>
      <c r="Y818" s="79"/>
      <c r="AC818" s="130"/>
      <c r="AE818" s="106"/>
    </row>
    <row r="819">
      <c r="C819" s="79"/>
      <c r="D819" s="79"/>
      <c r="E819" s="79"/>
      <c r="P819" s="79"/>
      <c r="Q819" s="79"/>
      <c r="R819" s="79"/>
      <c r="Y819" s="79"/>
      <c r="AC819" s="130"/>
      <c r="AE819" s="106"/>
    </row>
    <row r="820">
      <c r="C820" s="79"/>
      <c r="D820" s="79"/>
      <c r="E820" s="79"/>
      <c r="P820" s="79"/>
      <c r="Q820" s="79"/>
      <c r="R820" s="79"/>
      <c r="Y820" s="79"/>
      <c r="AC820" s="130"/>
      <c r="AE820" s="106"/>
    </row>
    <row r="821">
      <c r="C821" s="79"/>
      <c r="D821" s="79"/>
      <c r="E821" s="79"/>
      <c r="P821" s="79"/>
      <c r="Q821" s="79"/>
      <c r="R821" s="79"/>
      <c r="Y821" s="79"/>
      <c r="AC821" s="130"/>
      <c r="AE821" s="106"/>
    </row>
    <row r="822">
      <c r="C822" s="79"/>
      <c r="D822" s="79"/>
      <c r="E822" s="79"/>
      <c r="P822" s="79"/>
      <c r="Q822" s="79"/>
      <c r="R822" s="79"/>
      <c r="Y822" s="79"/>
      <c r="AC822" s="130"/>
      <c r="AE822" s="106"/>
    </row>
    <row r="823">
      <c r="C823" s="79"/>
      <c r="D823" s="79"/>
      <c r="E823" s="79"/>
      <c r="P823" s="79"/>
      <c r="Q823" s="79"/>
      <c r="R823" s="79"/>
      <c r="Y823" s="79"/>
      <c r="AC823" s="130"/>
      <c r="AE823" s="106"/>
    </row>
    <row r="824">
      <c r="C824" s="79"/>
      <c r="D824" s="79"/>
      <c r="E824" s="79"/>
      <c r="P824" s="79"/>
      <c r="Q824" s="79"/>
      <c r="R824" s="79"/>
      <c r="Y824" s="79"/>
      <c r="AC824" s="130"/>
      <c r="AE824" s="106"/>
    </row>
    <row r="825">
      <c r="C825" s="79"/>
      <c r="D825" s="79"/>
      <c r="E825" s="79"/>
      <c r="P825" s="79"/>
      <c r="Q825" s="79"/>
      <c r="R825" s="79"/>
      <c r="Y825" s="79"/>
      <c r="AC825" s="130"/>
      <c r="AE825" s="106"/>
    </row>
    <row r="826">
      <c r="C826" s="79"/>
      <c r="D826" s="79"/>
      <c r="E826" s="79"/>
      <c r="P826" s="79"/>
      <c r="Q826" s="79"/>
      <c r="R826" s="79"/>
      <c r="Y826" s="79"/>
      <c r="AC826" s="130"/>
      <c r="AE826" s="106"/>
    </row>
    <row r="827">
      <c r="C827" s="79"/>
      <c r="D827" s="79"/>
      <c r="E827" s="79"/>
      <c r="P827" s="79"/>
      <c r="Q827" s="79"/>
      <c r="R827" s="79"/>
      <c r="Y827" s="79"/>
      <c r="AC827" s="130"/>
      <c r="AE827" s="106"/>
    </row>
    <row r="828">
      <c r="C828" s="79"/>
      <c r="D828" s="79"/>
      <c r="E828" s="79"/>
      <c r="P828" s="79"/>
      <c r="Q828" s="79"/>
      <c r="R828" s="79"/>
      <c r="Y828" s="79"/>
      <c r="AC828" s="130"/>
      <c r="AE828" s="106"/>
    </row>
    <row r="829">
      <c r="C829" s="79"/>
      <c r="D829" s="79"/>
      <c r="E829" s="79"/>
      <c r="P829" s="79"/>
      <c r="Q829" s="79"/>
      <c r="R829" s="79"/>
      <c r="Y829" s="79"/>
      <c r="AC829" s="130"/>
      <c r="AE829" s="106"/>
    </row>
    <row r="830">
      <c r="C830" s="79"/>
      <c r="D830" s="79"/>
      <c r="E830" s="79"/>
      <c r="P830" s="79"/>
      <c r="Q830" s="79"/>
      <c r="R830" s="79"/>
      <c r="Y830" s="79"/>
      <c r="AC830" s="130"/>
      <c r="AE830" s="106"/>
    </row>
    <row r="831">
      <c r="C831" s="79"/>
      <c r="D831" s="79"/>
      <c r="E831" s="79"/>
      <c r="P831" s="79"/>
      <c r="Q831" s="79"/>
      <c r="R831" s="79"/>
      <c r="Y831" s="79"/>
      <c r="AC831" s="130"/>
      <c r="AE831" s="106"/>
    </row>
    <row r="832">
      <c r="C832" s="79"/>
      <c r="D832" s="79"/>
      <c r="E832" s="79"/>
      <c r="P832" s="79"/>
      <c r="Q832" s="79"/>
      <c r="R832" s="79"/>
      <c r="Y832" s="79"/>
      <c r="AC832" s="130"/>
      <c r="AE832" s="106"/>
    </row>
    <row r="833">
      <c r="C833" s="79"/>
      <c r="D833" s="79"/>
      <c r="E833" s="79"/>
      <c r="P833" s="79"/>
      <c r="Q833" s="79"/>
      <c r="R833" s="79"/>
      <c r="Y833" s="79"/>
      <c r="AC833" s="130"/>
      <c r="AE833" s="106"/>
    </row>
    <row r="834">
      <c r="C834" s="79"/>
      <c r="D834" s="79"/>
      <c r="E834" s="79"/>
      <c r="P834" s="79"/>
      <c r="Q834" s="79"/>
      <c r="R834" s="79"/>
      <c r="Y834" s="79"/>
      <c r="AC834" s="130"/>
      <c r="AE834" s="106"/>
    </row>
    <row r="835">
      <c r="C835" s="79"/>
      <c r="D835" s="79"/>
      <c r="E835" s="79"/>
      <c r="P835" s="79"/>
      <c r="Q835" s="79"/>
      <c r="R835" s="79"/>
      <c r="Y835" s="79"/>
      <c r="AC835" s="130"/>
      <c r="AE835" s="106"/>
    </row>
    <row r="836">
      <c r="C836" s="79"/>
      <c r="D836" s="79"/>
      <c r="E836" s="79"/>
      <c r="P836" s="79"/>
      <c r="Q836" s="79"/>
      <c r="R836" s="79"/>
      <c r="Y836" s="79"/>
      <c r="AC836" s="130"/>
      <c r="AE836" s="106"/>
    </row>
    <row r="837">
      <c r="C837" s="79"/>
      <c r="D837" s="79"/>
      <c r="E837" s="79"/>
      <c r="P837" s="79"/>
      <c r="Q837" s="79"/>
      <c r="R837" s="79"/>
      <c r="Y837" s="79"/>
      <c r="AC837" s="130"/>
      <c r="AE837" s="106"/>
    </row>
    <row r="838">
      <c r="C838" s="79"/>
      <c r="D838" s="79"/>
      <c r="E838" s="79"/>
      <c r="P838" s="79"/>
      <c r="Q838" s="79"/>
      <c r="R838" s="79"/>
      <c r="Y838" s="79"/>
      <c r="AC838" s="130"/>
      <c r="AE838" s="106"/>
    </row>
    <row r="839">
      <c r="C839" s="79"/>
      <c r="D839" s="79"/>
      <c r="E839" s="79"/>
      <c r="P839" s="79"/>
      <c r="Q839" s="79"/>
      <c r="R839" s="79"/>
      <c r="Y839" s="79"/>
      <c r="AC839" s="130"/>
      <c r="AE839" s="106"/>
    </row>
    <row r="840">
      <c r="C840" s="79"/>
      <c r="D840" s="79"/>
      <c r="E840" s="79"/>
      <c r="P840" s="79"/>
      <c r="Q840" s="79"/>
      <c r="R840" s="79"/>
      <c r="Y840" s="79"/>
      <c r="AC840" s="130"/>
      <c r="AE840" s="106"/>
    </row>
    <row r="841">
      <c r="C841" s="79"/>
      <c r="D841" s="79"/>
      <c r="E841" s="79"/>
      <c r="P841" s="79"/>
      <c r="Q841" s="79"/>
      <c r="R841" s="79"/>
      <c r="Y841" s="79"/>
      <c r="AC841" s="130"/>
      <c r="AE841" s="106"/>
    </row>
    <row r="842">
      <c r="C842" s="79"/>
      <c r="D842" s="79"/>
      <c r="E842" s="79"/>
      <c r="P842" s="79"/>
      <c r="Q842" s="79"/>
      <c r="R842" s="79"/>
      <c r="Y842" s="79"/>
      <c r="AC842" s="130"/>
      <c r="AE842" s="106"/>
    </row>
    <row r="843">
      <c r="C843" s="79"/>
      <c r="D843" s="79"/>
      <c r="E843" s="79"/>
      <c r="P843" s="79"/>
      <c r="Q843" s="79"/>
      <c r="R843" s="79"/>
      <c r="Y843" s="79"/>
      <c r="AC843" s="130"/>
      <c r="AE843" s="106"/>
    </row>
    <row r="844">
      <c r="C844" s="79"/>
      <c r="D844" s="79"/>
      <c r="E844" s="79"/>
      <c r="P844" s="79"/>
      <c r="Q844" s="79"/>
      <c r="R844" s="79"/>
      <c r="Y844" s="79"/>
      <c r="AC844" s="130"/>
      <c r="AE844" s="106"/>
    </row>
    <row r="845">
      <c r="C845" s="79"/>
      <c r="D845" s="79"/>
      <c r="E845" s="79"/>
      <c r="P845" s="79"/>
      <c r="Q845" s="79"/>
      <c r="R845" s="79"/>
      <c r="Y845" s="79"/>
      <c r="AC845" s="130"/>
      <c r="AE845" s="106"/>
    </row>
    <row r="846">
      <c r="C846" s="79"/>
      <c r="D846" s="79"/>
      <c r="E846" s="79"/>
      <c r="P846" s="79"/>
      <c r="Q846" s="79"/>
      <c r="R846" s="79"/>
      <c r="Y846" s="79"/>
      <c r="AC846" s="130"/>
      <c r="AE846" s="106"/>
    </row>
    <row r="847">
      <c r="C847" s="79"/>
      <c r="D847" s="79"/>
      <c r="E847" s="79"/>
      <c r="P847" s="79"/>
      <c r="Q847" s="79"/>
      <c r="R847" s="79"/>
      <c r="Y847" s="79"/>
      <c r="AC847" s="130"/>
      <c r="AE847" s="106"/>
    </row>
    <row r="848">
      <c r="C848" s="79"/>
      <c r="D848" s="79"/>
      <c r="E848" s="79"/>
      <c r="P848" s="79"/>
      <c r="Q848" s="79"/>
      <c r="R848" s="79"/>
      <c r="Y848" s="79"/>
      <c r="AC848" s="130"/>
      <c r="AE848" s="106"/>
    </row>
    <row r="849">
      <c r="C849" s="79"/>
      <c r="D849" s="79"/>
      <c r="E849" s="79"/>
      <c r="P849" s="79"/>
      <c r="Q849" s="79"/>
      <c r="R849" s="79"/>
      <c r="Y849" s="79"/>
      <c r="AC849" s="130"/>
      <c r="AE849" s="106"/>
    </row>
    <row r="850">
      <c r="C850" s="79"/>
      <c r="D850" s="79"/>
      <c r="E850" s="79"/>
      <c r="P850" s="79"/>
      <c r="Q850" s="79"/>
      <c r="R850" s="79"/>
      <c r="Y850" s="79"/>
      <c r="AC850" s="130"/>
      <c r="AE850" s="106"/>
    </row>
    <row r="851">
      <c r="C851" s="79"/>
      <c r="D851" s="79"/>
      <c r="E851" s="79"/>
      <c r="P851" s="79"/>
      <c r="Q851" s="79"/>
      <c r="R851" s="79"/>
      <c r="Y851" s="79"/>
      <c r="AC851" s="130"/>
      <c r="AE851" s="106"/>
    </row>
    <row r="852">
      <c r="C852" s="79"/>
      <c r="D852" s="79"/>
      <c r="E852" s="79"/>
      <c r="P852" s="79"/>
      <c r="Q852" s="79"/>
      <c r="R852" s="79"/>
      <c r="Y852" s="79"/>
      <c r="AC852" s="130"/>
      <c r="AE852" s="106"/>
    </row>
    <row r="853">
      <c r="C853" s="79"/>
      <c r="D853" s="79"/>
      <c r="E853" s="79"/>
      <c r="P853" s="79"/>
      <c r="Q853" s="79"/>
      <c r="R853" s="79"/>
      <c r="Y853" s="79"/>
      <c r="AC853" s="130"/>
      <c r="AE853" s="106"/>
    </row>
    <row r="854">
      <c r="C854" s="79"/>
      <c r="D854" s="79"/>
      <c r="E854" s="79"/>
      <c r="P854" s="79"/>
      <c r="Q854" s="79"/>
      <c r="R854" s="79"/>
      <c r="Y854" s="79"/>
      <c r="AC854" s="130"/>
      <c r="AE854" s="106"/>
    </row>
    <row r="855">
      <c r="C855" s="79"/>
      <c r="D855" s="79"/>
      <c r="E855" s="79"/>
      <c r="P855" s="79"/>
      <c r="Q855" s="79"/>
      <c r="R855" s="79"/>
      <c r="Y855" s="79"/>
      <c r="AC855" s="130"/>
      <c r="AE855" s="106"/>
    </row>
    <row r="856">
      <c r="C856" s="79"/>
      <c r="D856" s="79"/>
      <c r="E856" s="79"/>
      <c r="P856" s="79"/>
      <c r="Q856" s="79"/>
      <c r="R856" s="79"/>
      <c r="Y856" s="79"/>
      <c r="AC856" s="130"/>
      <c r="AE856" s="106"/>
    </row>
    <row r="857">
      <c r="C857" s="79"/>
      <c r="D857" s="79"/>
      <c r="E857" s="79"/>
      <c r="P857" s="79"/>
      <c r="Q857" s="79"/>
      <c r="R857" s="79"/>
      <c r="Y857" s="79"/>
      <c r="AC857" s="130"/>
      <c r="AE857" s="106"/>
    </row>
    <row r="858">
      <c r="C858" s="79"/>
      <c r="D858" s="79"/>
      <c r="E858" s="79"/>
      <c r="P858" s="79"/>
      <c r="Q858" s="79"/>
      <c r="R858" s="79"/>
      <c r="Y858" s="79"/>
      <c r="AC858" s="130"/>
      <c r="AE858" s="106"/>
    </row>
    <row r="859">
      <c r="C859" s="79"/>
      <c r="D859" s="79"/>
      <c r="E859" s="79"/>
      <c r="P859" s="79"/>
      <c r="Q859" s="79"/>
      <c r="R859" s="79"/>
      <c r="Y859" s="79"/>
      <c r="AC859" s="130"/>
      <c r="AE859" s="106"/>
    </row>
    <row r="860">
      <c r="C860" s="79"/>
      <c r="D860" s="79"/>
      <c r="E860" s="79"/>
      <c r="P860" s="79"/>
      <c r="Q860" s="79"/>
      <c r="R860" s="79"/>
      <c r="Y860" s="79"/>
      <c r="AC860" s="130"/>
      <c r="AE860" s="106"/>
    </row>
    <row r="861">
      <c r="C861" s="79"/>
      <c r="D861" s="79"/>
      <c r="E861" s="79"/>
      <c r="P861" s="79"/>
      <c r="Q861" s="79"/>
      <c r="R861" s="79"/>
      <c r="Y861" s="79"/>
      <c r="AC861" s="130"/>
      <c r="AE861" s="106"/>
    </row>
    <row r="862">
      <c r="C862" s="79"/>
      <c r="D862" s="79"/>
      <c r="E862" s="79"/>
      <c r="P862" s="79"/>
      <c r="Q862" s="79"/>
      <c r="R862" s="79"/>
      <c r="Y862" s="79"/>
      <c r="AC862" s="130"/>
      <c r="AE862" s="106"/>
    </row>
    <row r="863">
      <c r="C863" s="79"/>
      <c r="D863" s="79"/>
      <c r="E863" s="79"/>
      <c r="P863" s="79"/>
      <c r="Q863" s="79"/>
      <c r="R863" s="79"/>
      <c r="Y863" s="79"/>
      <c r="AC863" s="130"/>
      <c r="AE863" s="106"/>
    </row>
    <row r="864">
      <c r="C864" s="79"/>
      <c r="D864" s="79"/>
      <c r="E864" s="79"/>
      <c r="P864" s="79"/>
      <c r="Q864" s="79"/>
      <c r="R864" s="79"/>
      <c r="Y864" s="79"/>
      <c r="AC864" s="130"/>
      <c r="AE864" s="106"/>
    </row>
    <row r="865">
      <c r="C865" s="79"/>
      <c r="D865" s="79"/>
      <c r="E865" s="79"/>
      <c r="P865" s="79"/>
      <c r="Q865" s="79"/>
      <c r="R865" s="79"/>
      <c r="Y865" s="79"/>
      <c r="AC865" s="130"/>
      <c r="AE865" s="106"/>
    </row>
    <row r="866">
      <c r="C866" s="79"/>
      <c r="D866" s="79"/>
      <c r="E866" s="79"/>
      <c r="P866" s="79"/>
      <c r="Q866" s="79"/>
      <c r="R866" s="79"/>
      <c r="Y866" s="79"/>
      <c r="AC866" s="130"/>
      <c r="AE866" s="106"/>
    </row>
    <row r="867">
      <c r="C867" s="79"/>
      <c r="D867" s="79"/>
      <c r="E867" s="79"/>
      <c r="P867" s="79"/>
      <c r="Q867" s="79"/>
      <c r="R867" s="79"/>
      <c r="Y867" s="79"/>
      <c r="AC867" s="130"/>
      <c r="AE867" s="106"/>
    </row>
    <row r="868">
      <c r="C868" s="79"/>
      <c r="D868" s="79"/>
      <c r="E868" s="79"/>
      <c r="P868" s="79"/>
      <c r="Q868" s="79"/>
      <c r="R868" s="79"/>
      <c r="Y868" s="79"/>
      <c r="AC868" s="130"/>
      <c r="AE868" s="106"/>
    </row>
    <row r="869">
      <c r="C869" s="79"/>
      <c r="D869" s="79"/>
      <c r="E869" s="79"/>
      <c r="P869" s="79"/>
      <c r="Q869" s="79"/>
      <c r="R869" s="79"/>
      <c r="Y869" s="79"/>
      <c r="AC869" s="130"/>
      <c r="AE869" s="106"/>
    </row>
    <row r="870">
      <c r="C870" s="79"/>
      <c r="D870" s="79"/>
      <c r="E870" s="79"/>
      <c r="P870" s="79"/>
      <c r="Q870" s="79"/>
      <c r="R870" s="79"/>
      <c r="Y870" s="79"/>
      <c r="AC870" s="130"/>
      <c r="AE870" s="106"/>
    </row>
    <row r="871">
      <c r="C871" s="79"/>
      <c r="D871" s="79"/>
      <c r="E871" s="79"/>
      <c r="P871" s="79"/>
      <c r="Q871" s="79"/>
      <c r="R871" s="79"/>
      <c r="Y871" s="79"/>
      <c r="AC871" s="130"/>
      <c r="AE871" s="106"/>
    </row>
    <row r="872">
      <c r="C872" s="79"/>
      <c r="D872" s="79"/>
      <c r="E872" s="79"/>
      <c r="P872" s="79"/>
      <c r="Q872" s="79"/>
      <c r="R872" s="79"/>
      <c r="Y872" s="79"/>
      <c r="AC872" s="130"/>
      <c r="AE872" s="106"/>
    </row>
    <row r="873">
      <c r="C873" s="79"/>
      <c r="D873" s="79"/>
      <c r="E873" s="79"/>
      <c r="P873" s="79"/>
      <c r="Q873" s="79"/>
      <c r="R873" s="79"/>
      <c r="Y873" s="79"/>
      <c r="AC873" s="130"/>
      <c r="AE873" s="106"/>
    </row>
    <row r="874">
      <c r="C874" s="79"/>
      <c r="D874" s="79"/>
      <c r="E874" s="79"/>
      <c r="P874" s="79"/>
      <c r="Q874" s="79"/>
      <c r="R874" s="79"/>
      <c r="Y874" s="79"/>
      <c r="AC874" s="130"/>
      <c r="AE874" s="106"/>
    </row>
    <row r="875">
      <c r="C875" s="79"/>
      <c r="D875" s="79"/>
      <c r="E875" s="79"/>
      <c r="P875" s="79"/>
      <c r="Q875" s="79"/>
      <c r="R875" s="79"/>
      <c r="Y875" s="79"/>
      <c r="AC875" s="130"/>
      <c r="AE875" s="106"/>
    </row>
    <row r="876">
      <c r="C876" s="79"/>
      <c r="D876" s="79"/>
      <c r="E876" s="79"/>
      <c r="P876" s="79"/>
      <c r="Q876" s="79"/>
      <c r="R876" s="79"/>
      <c r="Y876" s="79"/>
      <c r="AC876" s="130"/>
      <c r="AE876" s="106"/>
    </row>
    <row r="877">
      <c r="C877" s="79"/>
      <c r="D877" s="79"/>
      <c r="E877" s="79"/>
      <c r="P877" s="79"/>
      <c r="Q877" s="79"/>
      <c r="R877" s="79"/>
      <c r="Y877" s="79"/>
      <c r="AC877" s="130"/>
      <c r="AE877" s="106"/>
    </row>
    <row r="878">
      <c r="C878" s="79"/>
      <c r="D878" s="79"/>
      <c r="E878" s="79"/>
      <c r="P878" s="79"/>
      <c r="Q878" s="79"/>
      <c r="R878" s="79"/>
      <c r="Y878" s="79"/>
      <c r="AC878" s="130"/>
      <c r="AE878" s="106"/>
    </row>
    <row r="879">
      <c r="C879" s="79"/>
      <c r="D879" s="79"/>
      <c r="E879" s="79"/>
      <c r="P879" s="79"/>
      <c r="Q879" s="79"/>
      <c r="R879" s="79"/>
      <c r="Y879" s="79"/>
      <c r="AC879" s="130"/>
      <c r="AE879" s="106"/>
    </row>
    <row r="880">
      <c r="C880" s="79"/>
      <c r="D880" s="79"/>
      <c r="E880" s="79"/>
      <c r="P880" s="79"/>
      <c r="Q880" s="79"/>
      <c r="R880" s="79"/>
      <c r="Y880" s="79"/>
      <c r="AC880" s="130"/>
      <c r="AE880" s="106"/>
    </row>
    <row r="881">
      <c r="C881" s="79"/>
      <c r="D881" s="79"/>
      <c r="E881" s="79"/>
      <c r="P881" s="79"/>
      <c r="Q881" s="79"/>
      <c r="R881" s="79"/>
      <c r="Y881" s="79"/>
      <c r="AC881" s="130"/>
      <c r="AE881" s="106"/>
    </row>
    <row r="882">
      <c r="C882" s="79"/>
      <c r="D882" s="79"/>
      <c r="E882" s="79"/>
      <c r="P882" s="79"/>
      <c r="Q882" s="79"/>
      <c r="R882" s="79"/>
      <c r="Y882" s="79"/>
      <c r="AC882" s="130"/>
      <c r="AE882" s="106"/>
    </row>
    <row r="883">
      <c r="C883" s="79"/>
      <c r="D883" s="79"/>
      <c r="E883" s="79"/>
      <c r="P883" s="79"/>
      <c r="Q883" s="79"/>
      <c r="R883" s="79"/>
      <c r="Y883" s="79"/>
      <c r="AC883" s="130"/>
      <c r="AE883" s="106"/>
    </row>
    <row r="884">
      <c r="C884" s="79"/>
      <c r="D884" s="79"/>
      <c r="E884" s="79"/>
      <c r="P884" s="79"/>
      <c r="Q884" s="79"/>
      <c r="R884" s="79"/>
      <c r="Y884" s="79"/>
      <c r="AC884" s="130"/>
      <c r="AE884" s="106"/>
    </row>
    <row r="885">
      <c r="C885" s="79"/>
      <c r="D885" s="79"/>
      <c r="E885" s="79"/>
      <c r="P885" s="79"/>
      <c r="Q885" s="79"/>
      <c r="R885" s="79"/>
      <c r="Y885" s="79"/>
      <c r="AC885" s="130"/>
      <c r="AE885" s="106"/>
    </row>
    <row r="886">
      <c r="C886" s="79"/>
      <c r="D886" s="79"/>
      <c r="E886" s="79"/>
      <c r="P886" s="79"/>
      <c r="Q886" s="79"/>
      <c r="R886" s="79"/>
      <c r="Y886" s="79"/>
      <c r="AC886" s="130"/>
      <c r="AE886" s="106"/>
    </row>
  </sheetData>
  <autoFilter ref="$A$40:$F$91">
    <sortState ref="A40:F91">
      <sortCondition descending="1" sortBy="cellColor" ref="E40:E91" dxfId="1"/>
      <sortCondition descending="1" sortBy="cellColor" ref="C40:C91" dxfId="1"/>
      <sortCondition descending="1" sortBy="cellColor" ref="A40:A91" dxfId="1"/>
    </sortState>
  </autoFilter>
  <mergeCells count="1">
    <mergeCell ref="B37:E37"/>
  </mergeCells>
  <drawing r:id="rId2"/>
  <legacyDrawing r:id="rId3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3" max="3" width="37.38"/>
    <col customWidth="1" min="5" max="5" width="15.63"/>
    <col customWidth="1" min="7" max="7" width="13.5"/>
    <col customWidth="1" min="8" max="8" width="13.25"/>
    <col customWidth="1" min="18" max="18" width="27.38"/>
    <col customWidth="1" min="26" max="26" width="14.63"/>
    <col customWidth="1" min="31" max="31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4</v>
      </c>
      <c r="J1" s="2" t="s">
        <v>5</v>
      </c>
      <c r="K1" s="2" t="s">
        <v>303</v>
      </c>
      <c r="L1" s="2" t="s">
        <v>6</v>
      </c>
      <c r="M1" s="2" t="s">
        <v>12</v>
      </c>
      <c r="N1" s="2" t="s">
        <v>49</v>
      </c>
      <c r="O1" s="2" t="s">
        <v>42</v>
      </c>
      <c r="P1" s="105" t="s">
        <v>484</v>
      </c>
      <c r="Q1" s="105" t="s">
        <v>9</v>
      </c>
      <c r="R1" s="105" t="s">
        <v>304</v>
      </c>
      <c r="S1" s="2" t="s">
        <v>37</v>
      </c>
      <c r="T1" s="2" t="s">
        <v>10</v>
      </c>
      <c r="U1" s="2" t="s">
        <v>164</v>
      </c>
      <c r="V1" s="105" t="s">
        <v>40</v>
      </c>
      <c r="W1" s="2" t="s">
        <v>83</v>
      </c>
      <c r="X1" s="2" t="s">
        <v>204</v>
      </c>
      <c r="Y1" s="105" t="s">
        <v>205</v>
      </c>
      <c r="Z1" s="2" t="s">
        <v>206</v>
      </c>
      <c r="AA1" s="2" t="s">
        <v>305</v>
      </c>
      <c r="AB1" s="3" t="s">
        <v>13</v>
      </c>
      <c r="AC1" s="3" t="s">
        <v>14</v>
      </c>
      <c r="AD1" s="3" t="s">
        <v>15</v>
      </c>
      <c r="AE1" s="106"/>
      <c r="AF1" s="265" t="s">
        <v>306</v>
      </c>
      <c r="AG1" s="266" t="s">
        <v>80</v>
      </c>
    </row>
    <row r="2">
      <c r="A2" s="74">
        <v>45502.0</v>
      </c>
      <c r="B2" s="93">
        <f>1784.65-62.27-36.42-46.08-14.47-77.4-27.28-51.41-8.52-718.58-102.72-58.55-7.36-20.66-5.92-32.8+628.38-127.3</f>
        <v>1015.29</v>
      </c>
      <c r="C2" s="93">
        <f>809.38-25-79.92-337.5</f>
        <v>366.96</v>
      </c>
      <c r="D2" s="93">
        <v>317.8</v>
      </c>
      <c r="E2" s="93"/>
      <c r="F2" s="93"/>
      <c r="G2" s="93">
        <v>180.0</v>
      </c>
      <c r="H2" s="93"/>
      <c r="I2" s="93"/>
      <c r="J2" s="93"/>
      <c r="K2" s="93"/>
      <c r="L2" s="93"/>
      <c r="M2" s="93"/>
      <c r="N2" s="93">
        <v>168.0</v>
      </c>
      <c r="O2" s="93"/>
      <c r="P2" s="93"/>
      <c r="Q2" s="93"/>
      <c r="R2" s="93"/>
      <c r="S2" s="72"/>
      <c r="T2" s="93"/>
      <c r="U2" s="93"/>
      <c r="V2" s="93"/>
      <c r="W2" s="93"/>
      <c r="X2" s="93"/>
      <c r="Y2" s="93"/>
      <c r="Z2" s="93"/>
      <c r="AA2" s="382">
        <v>34.14</v>
      </c>
      <c r="AB2" s="107">
        <f>SUM(B2:AA2)</f>
        <v>2082.19</v>
      </c>
      <c r="AC2" s="158">
        <v>7743.73</v>
      </c>
      <c r="AD2" s="59">
        <f t="shared" ref="AD2:AD8" si="1">AB2/AC2</f>
        <v>0.2688872159</v>
      </c>
      <c r="AE2" s="109">
        <f t="shared" ref="AE2:AE8" si="2">A2</f>
        <v>45502</v>
      </c>
      <c r="AF2" s="267"/>
      <c r="AG2" s="268">
        <f t="shared" ref="AG2:AG8" si="3">AC2-AF2</f>
        <v>7743.73</v>
      </c>
    </row>
    <row r="3">
      <c r="A3" s="74">
        <f t="shared" ref="A3:A8" si="4">A2+1</f>
        <v>45503</v>
      </c>
      <c r="B3" s="93">
        <f>841.53-94.8-12.72-34.82-45.68</f>
        <v>653.51</v>
      </c>
      <c r="C3" s="93">
        <v>129.5</v>
      </c>
      <c r="D3" s="93"/>
      <c r="E3" s="93"/>
      <c r="F3" s="93"/>
      <c r="G3" s="93"/>
      <c r="H3" s="168"/>
      <c r="I3" s="93">
        <v>258.45</v>
      </c>
      <c r="J3" s="93">
        <v>396.0</v>
      </c>
      <c r="K3" s="93"/>
      <c r="L3" s="93"/>
      <c r="M3" s="93"/>
      <c r="N3" s="93">
        <v>84.0</v>
      </c>
      <c r="O3" s="93"/>
      <c r="P3" s="93"/>
      <c r="Q3" s="93"/>
      <c r="R3" s="93">
        <v>256.0</v>
      </c>
      <c r="S3" s="93"/>
      <c r="T3" s="93"/>
      <c r="U3" s="93"/>
      <c r="V3" s="93"/>
      <c r="W3" s="93"/>
      <c r="X3" s="93"/>
      <c r="Y3" s="93"/>
      <c r="Z3" s="93"/>
      <c r="AA3" s="383">
        <f>51.9+36.02</f>
        <v>87.92</v>
      </c>
      <c r="AB3" s="107">
        <f t="shared" ref="AB3:AB8" si="5">SUM(B3:Z3)</f>
        <v>1777.46</v>
      </c>
      <c r="AC3" s="158">
        <v>4589.0</v>
      </c>
      <c r="AD3" s="59">
        <f t="shared" si="1"/>
        <v>0.3873305731</v>
      </c>
      <c r="AE3" s="109">
        <f t="shared" si="2"/>
        <v>45503</v>
      </c>
      <c r="AF3" s="267"/>
      <c r="AG3" s="268">
        <f t="shared" si="3"/>
        <v>4589</v>
      </c>
    </row>
    <row r="4">
      <c r="A4" s="74">
        <f t="shared" si="4"/>
        <v>45504</v>
      </c>
      <c r="B4" s="93">
        <f>135.6+762.29-72.8-33.12-73.5-57.55-39.71-13.92</f>
        <v>607.29</v>
      </c>
      <c r="C4" s="93">
        <f>421.85-57</f>
        <v>364.85</v>
      </c>
      <c r="D4" s="93">
        <v>219.29</v>
      </c>
      <c r="E4" s="93"/>
      <c r="F4" s="93"/>
      <c r="G4" s="93">
        <v>180.0</v>
      </c>
      <c r="H4" s="168"/>
      <c r="I4" s="93"/>
      <c r="J4" s="93"/>
      <c r="K4" s="93"/>
      <c r="L4" s="93">
        <v>42.0</v>
      </c>
      <c r="M4" s="93"/>
      <c r="N4" s="93"/>
      <c r="O4" s="93"/>
      <c r="P4" s="93"/>
      <c r="Q4" s="93"/>
      <c r="R4" s="93"/>
      <c r="S4" s="160"/>
      <c r="T4" s="93">
        <v>285.9</v>
      </c>
      <c r="U4" s="93"/>
      <c r="V4" s="93"/>
      <c r="W4" s="93"/>
      <c r="X4" s="93"/>
      <c r="Y4" s="93"/>
      <c r="Z4" s="101"/>
      <c r="AA4" s="326"/>
      <c r="AB4" s="107">
        <f t="shared" si="5"/>
        <v>1699.33</v>
      </c>
      <c r="AC4" s="380">
        <f>1016+3179</f>
        <v>4195</v>
      </c>
      <c r="AD4" s="59">
        <f t="shared" si="1"/>
        <v>0.4050846246</v>
      </c>
      <c r="AE4" s="109">
        <f t="shared" si="2"/>
        <v>45504</v>
      </c>
      <c r="AF4" s="267"/>
      <c r="AG4" s="268">
        <f t="shared" si="3"/>
        <v>4195</v>
      </c>
    </row>
    <row r="5">
      <c r="A5" s="74">
        <f t="shared" si="4"/>
        <v>45505</v>
      </c>
      <c r="B5" s="93">
        <f>1166.11-46.56-65.91-54.02-32.84-18.61-69.64-46.08-36.42-39.71-39.76</f>
        <v>716.56</v>
      </c>
      <c r="C5" s="93">
        <v>230.3</v>
      </c>
      <c r="D5" s="93"/>
      <c r="E5" s="93"/>
      <c r="F5" s="93"/>
      <c r="G5" s="93"/>
      <c r="H5" s="160"/>
      <c r="I5" s="93"/>
      <c r="J5" s="93"/>
      <c r="K5" s="93"/>
      <c r="L5" s="93"/>
      <c r="M5" s="93"/>
      <c r="N5" s="93">
        <v>84.0</v>
      </c>
      <c r="O5" s="93"/>
      <c r="P5" s="101"/>
      <c r="Q5" s="93"/>
      <c r="R5" s="93"/>
      <c r="S5" s="93"/>
      <c r="T5" s="93"/>
      <c r="U5" s="93"/>
      <c r="V5" s="93"/>
      <c r="W5" s="93"/>
      <c r="X5" s="93"/>
      <c r="Y5" s="101"/>
      <c r="Z5" s="101"/>
      <c r="AA5" s="327"/>
      <c r="AB5" s="7">
        <f t="shared" si="5"/>
        <v>1030.86</v>
      </c>
      <c r="AC5" s="380">
        <f>548+2986</f>
        <v>3534</v>
      </c>
      <c r="AD5" s="59">
        <f t="shared" si="1"/>
        <v>0.2916977929</v>
      </c>
      <c r="AE5" s="109">
        <f t="shared" si="2"/>
        <v>45505</v>
      </c>
      <c r="AF5" s="267"/>
      <c r="AG5" s="268">
        <f t="shared" si="3"/>
        <v>3534</v>
      </c>
    </row>
    <row r="6">
      <c r="A6" s="74">
        <f t="shared" si="4"/>
        <v>45506</v>
      </c>
      <c r="B6" s="93">
        <f>658.98-51.25-36.4-51.41-63.65</f>
        <v>456.27</v>
      </c>
      <c r="C6" s="361"/>
      <c r="D6" s="93"/>
      <c r="E6" s="93">
        <v>175.0</v>
      </c>
      <c r="F6" s="93"/>
      <c r="G6" s="93"/>
      <c r="H6" s="160"/>
      <c r="I6" s="93"/>
      <c r="J6" s="93">
        <f>475+190</f>
        <v>665</v>
      </c>
      <c r="K6" s="93"/>
      <c r="L6" s="93"/>
      <c r="M6" s="93"/>
      <c r="N6" s="93"/>
      <c r="O6" s="93"/>
      <c r="P6" s="93"/>
      <c r="Q6" s="93"/>
      <c r="R6" s="93">
        <v>90.0</v>
      </c>
      <c r="S6" s="93"/>
      <c r="T6" s="93"/>
      <c r="U6" s="93"/>
      <c r="V6" s="93"/>
      <c r="W6" s="93"/>
      <c r="X6" s="93"/>
      <c r="Y6" s="93"/>
      <c r="Z6" s="93"/>
      <c r="AA6" s="327"/>
      <c r="AB6" s="7">
        <f t="shared" si="5"/>
        <v>1386.27</v>
      </c>
      <c r="AC6" s="380">
        <v>10433.5</v>
      </c>
      <c r="AD6" s="59">
        <f t="shared" si="1"/>
        <v>0.1328672066</v>
      </c>
      <c r="AE6" s="109">
        <f t="shared" si="2"/>
        <v>45506</v>
      </c>
      <c r="AF6" s="267"/>
      <c r="AG6" s="268">
        <f t="shared" si="3"/>
        <v>10433.5</v>
      </c>
    </row>
    <row r="7">
      <c r="A7" s="74">
        <f t="shared" si="4"/>
        <v>45507</v>
      </c>
      <c r="B7" s="93">
        <f>961.33-36.22-33.83-46.84-26.03-28.44-41.69-200.14</f>
        <v>548.14</v>
      </c>
      <c r="C7" s="79"/>
      <c r="D7" s="93"/>
      <c r="E7" s="93"/>
      <c r="F7" s="93"/>
      <c r="G7" s="93">
        <v>180.0</v>
      </c>
      <c r="H7" s="93"/>
      <c r="I7" s="93"/>
      <c r="J7" s="374"/>
      <c r="K7" s="93"/>
      <c r="L7" s="93"/>
      <c r="M7" s="93"/>
      <c r="N7" s="93">
        <v>84.0</v>
      </c>
      <c r="O7" s="93"/>
      <c r="P7" s="101"/>
      <c r="Q7" s="93"/>
      <c r="R7" s="93"/>
      <c r="S7" s="101"/>
      <c r="T7" s="93"/>
      <c r="U7" s="93"/>
      <c r="V7" s="93"/>
      <c r="W7" s="93"/>
      <c r="X7" s="93"/>
      <c r="Y7" s="101"/>
      <c r="Z7" s="93"/>
      <c r="AA7" s="327"/>
      <c r="AB7" s="7">
        <f t="shared" si="5"/>
        <v>812.14</v>
      </c>
      <c r="AC7" s="380">
        <v>10804</v>
      </c>
      <c r="AD7" s="59">
        <f t="shared" si="1"/>
        <v>0.07517030729</v>
      </c>
      <c r="AE7" s="109">
        <f t="shared" si="2"/>
        <v>45507</v>
      </c>
      <c r="AF7" s="267"/>
      <c r="AG7" s="268">
        <f t="shared" si="3"/>
        <v>10804</v>
      </c>
    </row>
    <row r="8">
      <c r="A8" s="74">
        <f t="shared" si="4"/>
        <v>45508</v>
      </c>
      <c r="B8" s="93"/>
      <c r="C8" s="93"/>
      <c r="D8" s="180">
        <v>639.73</v>
      </c>
      <c r="E8" s="112"/>
      <c r="F8" s="180">
        <v>469.86</v>
      </c>
      <c r="G8" s="10"/>
      <c r="H8" s="93"/>
      <c r="I8" s="180">
        <v>149.21</v>
      </c>
      <c r="J8" s="180">
        <v>680.9</v>
      </c>
      <c r="K8" s="93"/>
      <c r="L8" s="112"/>
      <c r="M8" s="112"/>
      <c r="N8" s="180">
        <v>336.0</v>
      </c>
      <c r="O8" s="374"/>
      <c r="P8" s="112"/>
      <c r="Q8" s="93"/>
      <c r="R8" s="93"/>
      <c r="S8" s="180">
        <v>300.0</v>
      </c>
      <c r="T8" s="374"/>
      <c r="U8" s="93"/>
      <c r="V8" s="112"/>
      <c r="W8" s="112"/>
      <c r="X8" s="112"/>
      <c r="Y8" s="112"/>
      <c r="Z8" s="112"/>
      <c r="AA8" s="93"/>
      <c r="AB8" s="7">
        <f t="shared" si="5"/>
        <v>2575.7</v>
      </c>
      <c r="AC8" s="380">
        <f>2744+1653</f>
        <v>4397</v>
      </c>
      <c r="AD8" s="59">
        <f t="shared" si="1"/>
        <v>0.585785763</v>
      </c>
      <c r="AE8" s="109">
        <f t="shared" si="2"/>
        <v>45508</v>
      </c>
      <c r="AF8" s="267"/>
      <c r="AG8" s="268">
        <f t="shared" si="3"/>
        <v>4397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AC9" s="129"/>
      <c r="AE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AC10" s="129"/>
      <c r="AE10" s="106"/>
    </row>
    <row r="11">
      <c r="A11" s="165" t="s">
        <v>194</v>
      </c>
      <c r="B11" s="93">
        <f>62.27+36.42+46.08+14.47+27.28+8.52+127.3+12.72+57.55+39.71+13.92+46.08+36.42+39.71+51.25+36.4+51.41+63.65+36.22+33.83+46.84+26.03+28.44+41.69+200.14</f>
        <v>1184.35</v>
      </c>
      <c r="C11" s="93">
        <f>25</f>
        <v>25</v>
      </c>
      <c r="D11" s="93"/>
      <c r="E11" s="167"/>
      <c r="F11" s="168"/>
      <c r="G11" s="168"/>
      <c r="H11" s="166"/>
      <c r="I11" s="166"/>
      <c r="J11" s="93"/>
      <c r="K11" s="168"/>
      <c r="L11" s="93">
        <v>166.4</v>
      </c>
      <c r="M11" s="166"/>
      <c r="N11" s="166"/>
      <c r="O11" s="168"/>
      <c r="P11" s="168"/>
      <c r="Q11" s="168"/>
      <c r="R11" s="168"/>
      <c r="S11" s="168"/>
      <c r="T11" s="168"/>
      <c r="U11" s="168"/>
      <c r="V11" s="168"/>
      <c r="W11" s="1"/>
      <c r="X11" s="168"/>
      <c r="Y11" s="168"/>
      <c r="Z11" s="1"/>
      <c r="AA11" s="1"/>
      <c r="AB11" s="1"/>
      <c r="AC11" s="169"/>
      <c r="AD11" s="1"/>
      <c r="AE11" s="170"/>
    </row>
    <row r="12">
      <c r="A12" s="165" t="s">
        <v>195</v>
      </c>
      <c r="B12" s="93">
        <f>77.4+51.41+359.29+94.8+34.82+46.56+32.84+18.61+69.64+65.91</f>
        <v>851.28</v>
      </c>
      <c r="C12" s="93">
        <f>79.92+337.5+57</f>
        <v>474.42</v>
      </c>
      <c r="D12" s="93"/>
      <c r="E12" s="93"/>
      <c r="F12" s="93"/>
      <c r="G12" s="93"/>
      <c r="H12" s="93"/>
      <c r="I12" s="93">
        <v>272.28</v>
      </c>
      <c r="J12" s="93"/>
      <c r="K12" s="93"/>
      <c r="L12" s="93"/>
      <c r="M12" s="93"/>
      <c r="N12" s="166">
        <v>300.0</v>
      </c>
      <c r="O12" s="166"/>
      <c r="P12" s="168"/>
      <c r="Q12" s="168"/>
      <c r="R12" s="168"/>
      <c r="S12" s="168"/>
      <c r="T12" s="166"/>
      <c r="U12" s="168"/>
      <c r="V12" s="168"/>
      <c r="W12" s="1"/>
      <c r="X12" s="93"/>
      <c r="Y12" s="168"/>
      <c r="Z12" s="1"/>
      <c r="AA12" s="1"/>
      <c r="AB12" s="1"/>
      <c r="AC12" s="171"/>
      <c r="AD12" s="1"/>
      <c r="AE12" s="170"/>
    </row>
    <row r="13">
      <c r="A13" s="172" t="s">
        <v>503</v>
      </c>
      <c r="B13" s="93">
        <f>359.29+102.72+58.55+7.36+20.66+5.92+32.8+45.68+72.8+33.12+73.5+54.02+39.76</f>
        <v>906.18</v>
      </c>
      <c r="C13" s="93">
        <v>91.0</v>
      </c>
      <c r="D13" s="93"/>
      <c r="E13" s="168"/>
      <c r="F13" s="166"/>
      <c r="G13" s="166"/>
      <c r="H13" s="93">
        <f>441.39+693.3</f>
        <v>1134.69</v>
      </c>
      <c r="I13" s="166"/>
      <c r="J13" s="93"/>
      <c r="K13" s="166">
        <v>609.0</v>
      </c>
      <c r="L13" s="168"/>
      <c r="M13" s="168"/>
      <c r="N13" s="166"/>
      <c r="O13" s="168"/>
      <c r="P13" s="166"/>
      <c r="Q13" s="168"/>
      <c r="R13" s="93">
        <v>256.0</v>
      </c>
      <c r="S13" s="168"/>
      <c r="T13" s="166"/>
      <c r="U13" s="96"/>
      <c r="V13" s="1"/>
      <c r="W13" s="1"/>
      <c r="X13" s="168"/>
      <c r="Y13" s="168"/>
      <c r="Z13" s="1"/>
      <c r="AA13" s="96">
        <v>76.29</v>
      </c>
      <c r="AB13" s="1"/>
      <c r="AC13" s="174"/>
      <c r="AD13" s="1"/>
      <c r="AE13" s="170"/>
    </row>
    <row r="14">
      <c r="A14" s="172" t="s">
        <v>197</v>
      </c>
      <c r="B14" s="93"/>
      <c r="C14" s="93"/>
      <c r="D14" s="93"/>
      <c r="E14" s="168"/>
      <c r="F14" s="166"/>
      <c r="G14" s="166"/>
      <c r="H14" s="168"/>
      <c r="I14" s="168"/>
      <c r="J14" s="93"/>
      <c r="K14" s="168"/>
      <c r="L14" s="168"/>
      <c r="M14" s="168"/>
      <c r="N14" s="166"/>
      <c r="O14" s="168"/>
      <c r="P14" s="168"/>
      <c r="Q14" s="168"/>
      <c r="R14" s="168"/>
      <c r="S14" s="168"/>
      <c r="T14" s="166"/>
      <c r="U14" s="1"/>
      <c r="V14" s="1"/>
      <c r="W14" s="1"/>
      <c r="X14" s="168"/>
      <c r="Y14" s="168"/>
      <c r="Z14" s="1"/>
      <c r="AA14" s="1"/>
      <c r="AB14" s="1"/>
      <c r="AC14" s="174"/>
      <c r="AD14" s="1"/>
      <c r="AE14" s="170"/>
    </row>
    <row r="15">
      <c r="A15" s="165" t="s">
        <v>198</v>
      </c>
      <c r="B15" s="93"/>
      <c r="C15" s="93"/>
      <c r="D15" s="93"/>
      <c r="E15" s="168"/>
      <c r="F15" s="166"/>
      <c r="G15" s="166"/>
      <c r="H15" s="168"/>
      <c r="I15" s="168"/>
      <c r="J15" s="93"/>
      <c r="K15" s="168"/>
      <c r="L15" s="168"/>
      <c r="M15" s="168"/>
      <c r="N15" s="166"/>
      <c r="O15" s="168"/>
      <c r="P15" s="168"/>
      <c r="Q15" s="168"/>
      <c r="R15" s="168"/>
      <c r="S15" s="168"/>
      <c r="T15" s="166"/>
      <c r="U15" s="1"/>
      <c r="V15" s="1"/>
      <c r="W15" s="1"/>
      <c r="X15" s="168"/>
      <c r="Y15" s="168"/>
      <c r="Z15" s="1"/>
      <c r="AA15" s="1"/>
      <c r="AB15" s="1"/>
      <c r="AC15" s="174"/>
      <c r="AD15" s="1"/>
      <c r="AE15" s="170"/>
    </row>
    <row r="16">
      <c r="A16" s="91"/>
      <c r="B16" s="375"/>
      <c r="C16" s="79"/>
      <c r="D16" s="79"/>
      <c r="E16" s="79"/>
      <c r="F16" s="78"/>
      <c r="G16" s="78"/>
      <c r="H16" s="79"/>
      <c r="I16" s="78"/>
      <c r="J16" s="79"/>
      <c r="K16" s="79"/>
      <c r="L16" s="79"/>
      <c r="M16" s="79"/>
      <c r="N16" s="79"/>
      <c r="O16" s="79"/>
      <c r="P16" s="79"/>
      <c r="Q16" s="79"/>
      <c r="R16" s="79"/>
      <c r="Y16" s="79"/>
      <c r="AC16" s="131"/>
      <c r="AE16" s="106"/>
    </row>
    <row r="17">
      <c r="A17" s="91"/>
      <c r="B17" s="92"/>
      <c r="C17" s="78"/>
      <c r="D17" s="78"/>
      <c r="E17" s="151"/>
      <c r="F17" s="201"/>
      <c r="G17" s="240"/>
      <c r="H17" s="204"/>
      <c r="I17" s="198"/>
      <c r="J17" s="201"/>
      <c r="K17" s="199"/>
      <c r="L17" s="199"/>
      <c r="M17" s="200"/>
      <c r="N17" s="202"/>
      <c r="O17" s="198"/>
      <c r="P17" s="79"/>
      <c r="Q17" s="198"/>
      <c r="R17" s="198"/>
      <c r="U17" s="198"/>
      <c r="V17" s="198"/>
      <c r="W17" s="198"/>
      <c r="X17" s="199"/>
      <c r="Y17" s="79"/>
      <c r="AC17" s="131"/>
      <c r="AE17" s="106"/>
    </row>
    <row r="18">
      <c r="A18" s="4" t="s">
        <v>22</v>
      </c>
      <c r="B18" s="11">
        <v>10000.0</v>
      </c>
      <c r="C18" s="249" t="s">
        <v>522</v>
      </c>
      <c r="D18" s="250">
        <v>18000.0</v>
      </c>
      <c r="E18" s="151"/>
      <c r="F18" s="151"/>
      <c r="G18" s="213"/>
      <c r="H18" s="192"/>
      <c r="K18" s="201"/>
      <c r="L18" s="201"/>
      <c r="M18" s="198"/>
      <c r="N18" s="200"/>
      <c r="O18" s="203"/>
      <c r="P18" s="79"/>
      <c r="Q18" s="198"/>
      <c r="R18" s="198"/>
      <c r="S18" s="204"/>
      <c r="U18" s="198"/>
      <c r="V18" s="198"/>
      <c r="W18" s="198"/>
      <c r="X18" s="201"/>
      <c r="Y18" s="79"/>
      <c r="AC18" s="131"/>
      <c r="AE18" s="106"/>
    </row>
    <row r="19">
      <c r="A19" s="4" t="s">
        <v>23</v>
      </c>
      <c r="B19" s="12">
        <f>SUM(B2:AA8)</f>
        <v>11451.87</v>
      </c>
      <c r="C19" s="249" t="s">
        <v>523</v>
      </c>
      <c r="D19" s="250">
        <f>sum(B13:AA13)</f>
        <v>3073.16</v>
      </c>
      <c r="E19" s="151"/>
      <c r="F19" s="151"/>
      <c r="G19" s="213"/>
      <c r="H19" s="224">
        <v>1999.0</v>
      </c>
      <c r="I19" s="175"/>
      <c r="K19" s="384"/>
      <c r="L19" s="201"/>
      <c r="M19" s="201"/>
      <c r="N19" s="201"/>
      <c r="O19" s="203"/>
      <c r="P19" s="79"/>
      <c r="Q19" s="198"/>
      <c r="R19" s="198"/>
      <c r="S19" s="204"/>
      <c r="U19" s="198"/>
      <c r="V19" s="198"/>
      <c r="W19" s="198"/>
      <c r="X19" s="191"/>
      <c r="Y19" s="79"/>
      <c r="AC19" s="131"/>
      <c r="AE19" s="106"/>
    </row>
    <row r="20">
      <c r="A20" s="4" t="s">
        <v>24</v>
      </c>
      <c r="B20" s="12">
        <f> SUM(B18-B19)</f>
        <v>-1451.87</v>
      </c>
      <c r="C20" s="251"/>
      <c r="D20" s="249"/>
      <c r="E20" s="151"/>
      <c r="F20" s="151"/>
      <c r="G20" s="240"/>
      <c r="H20" s="203">
        <v>450.0</v>
      </c>
      <c r="I20" s="203"/>
      <c r="K20" s="203"/>
      <c r="L20" s="199"/>
      <c r="M20" s="203"/>
      <c r="N20" s="200"/>
      <c r="O20" s="203"/>
      <c r="P20" s="79"/>
      <c r="Q20" s="198"/>
      <c r="R20" s="198"/>
      <c r="S20" s="204"/>
      <c r="U20" s="198"/>
      <c r="V20" s="198"/>
      <c r="W20" s="198"/>
      <c r="X20" s="203"/>
      <c r="Y20" s="79"/>
      <c r="AC20" s="131"/>
      <c r="AE20" s="106"/>
    </row>
    <row r="21">
      <c r="C21" s="251"/>
      <c r="D21" s="251"/>
      <c r="E21" s="151"/>
      <c r="F21" s="151"/>
      <c r="G21" s="201"/>
      <c r="H21" s="224">
        <v>1030.0</v>
      </c>
      <c r="I21" s="345"/>
      <c r="J21" s="203"/>
      <c r="K21" s="351"/>
      <c r="M21" s="203"/>
      <c r="N21" s="198"/>
      <c r="O21" s="203"/>
      <c r="P21" s="79"/>
      <c r="Q21" s="198"/>
      <c r="R21" s="198"/>
      <c r="S21" s="204"/>
      <c r="U21" s="206"/>
      <c r="V21" s="198"/>
      <c r="W21" s="198"/>
      <c r="X21" s="203"/>
      <c r="Y21" s="79"/>
      <c r="AC21" s="131"/>
      <c r="AE21" s="106"/>
    </row>
    <row r="22">
      <c r="A22" s="13" t="s">
        <v>25</v>
      </c>
      <c r="B22" s="14">
        <f>SUM(AC2:AC8)</f>
        <v>45696.23</v>
      </c>
      <c r="C22" s="251"/>
      <c r="D22" s="251"/>
      <c r="E22" s="151"/>
      <c r="F22" s="151"/>
      <c r="G22" s="148"/>
      <c r="H22" s="224">
        <v>497.0</v>
      </c>
      <c r="I22" s="203"/>
      <c r="J22" s="78"/>
      <c r="K22" s="203"/>
      <c r="L22" s="203"/>
      <c r="M22" s="203"/>
      <c r="N22" s="198"/>
      <c r="O22" s="203"/>
      <c r="P22" s="79"/>
      <c r="Q22" s="198"/>
      <c r="R22" s="198"/>
      <c r="S22" s="204"/>
      <c r="U22" s="198"/>
      <c r="V22" s="198"/>
      <c r="W22" s="198"/>
      <c r="X22" s="203"/>
      <c r="Y22" s="79"/>
      <c r="AC22" s="181"/>
      <c r="AE22" s="106"/>
    </row>
    <row r="23">
      <c r="A23" s="13" t="s">
        <v>26</v>
      </c>
      <c r="B23" s="15">
        <f>B19/B22</f>
        <v>0.2506086388</v>
      </c>
      <c r="C23" s="273" t="s">
        <v>26</v>
      </c>
      <c r="D23" s="273">
        <f>D19/D18</f>
        <v>0.1707311111</v>
      </c>
      <c r="E23" s="151"/>
      <c r="F23" s="151"/>
      <c r="G23" s="78"/>
      <c r="H23" s="144">
        <f>SUM(H19:H22)</f>
        <v>3976</v>
      </c>
      <c r="I23" s="203"/>
      <c r="J23" s="79"/>
      <c r="K23" s="203"/>
      <c r="L23" s="203"/>
      <c r="M23" s="203"/>
      <c r="N23" s="203"/>
      <c r="O23" s="203"/>
      <c r="P23" s="79"/>
      <c r="Q23" s="198"/>
      <c r="R23" s="198"/>
      <c r="S23" s="204"/>
      <c r="U23" s="198"/>
      <c r="V23" s="198"/>
      <c r="W23" s="198"/>
      <c r="X23" s="203"/>
      <c r="Y23" s="79"/>
      <c r="AC23" s="130"/>
      <c r="AE23" s="106"/>
    </row>
    <row r="24">
      <c r="C24" s="79"/>
      <c r="D24" s="79"/>
      <c r="E24" s="78"/>
      <c r="F24" s="204"/>
      <c r="G24" s="78"/>
      <c r="H24" s="78"/>
      <c r="I24" s="78"/>
      <c r="J24" s="78"/>
      <c r="K24" s="203"/>
      <c r="L24" s="203"/>
      <c r="M24" s="203"/>
      <c r="N24" s="201"/>
      <c r="O24" s="198"/>
      <c r="P24" s="79"/>
      <c r="Q24" s="198"/>
      <c r="R24" s="198"/>
      <c r="S24" s="204"/>
      <c r="U24" s="198"/>
      <c r="V24" s="198"/>
      <c r="W24" s="198"/>
      <c r="X24" s="203"/>
      <c r="Y24" s="79"/>
      <c r="AC24" s="182"/>
      <c r="AE24" s="106"/>
    </row>
    <row r="25">
      <c r="C25" s="79"/>
      <c r="D25" s="79"/>
      <c r="E25" s="79"/>
      <c r="F25" s="204"/>
      <c r="G25" s="78"/>
      <c r="H25" s="192">
        <f>SUM(B12:N12)</f>
        <v>1897.98</v>
      </c>
      <c r="I25" s="212"/>
      <c r="J25" s="212"/>
      <c r="K25" s="203"/>
      <c r="L25" s="203"/>
      <c r="M25" s="203"/>
      <c r="N25" s="201"/>
      <c r="O25" s="198"/>
      <c r="P25" s="79"/>
      <c r="Q25" s="198"/>
      <c r="R25" s="198"/>
      <c r="S25" s="204"/>
      <c r="U25" s="198"/>
      <c r="V25" s="198"/>
      <c r="W25" s="198"/>
      <c r="X25" s="203"/>
      <c r="Y25" s="79"/>
      <c r="AC25" s="130"/>
      <c r="AE25" s="106"/>
    </row>
    <row r="26">
      <c r="A26" s="16" t="s">
        <v>27</v>
      </c>
      <c r="B26" s="17"/>
      <c r="C26" s="114"/>
      <c r="D26" s="114"/>
      <c r="E26" s="115"/>
      <c r="F26" s="204"/>
      <c r="G26" s="78"/>
      <c r="H26" s="192"/>
      <c r="I26" s="78"/>
      <c r="J26" s="79"/>
      <c r="K26" s="203"/>
      <c r="L26" s="217"/>
      <c r="M26" s="208"/>
      <c r="N26" s="198"/>
      <c r="O26" s="200"/>
      <c r="P26" s="79"/>
      <c r="Q26" s="198"/>
      <c r="R26" s="198"/>
      <c r="S26" s="204"/>
      <c r="U26" s="198"/>
      <c r="V26" s="198"/>
      <c r="W26" s="198"/>
      <c r="X26" s="203"/>
      <c r="Y26" s="79"/>
      <c r="AC26" s="130"/>
      <c r="AE26" s="106"/>
    </row>
    <row r="27">
      <c r="A27" s="19" t="s">
        <v>28</v>
      </c>
      <c r="B27" s="20"/>
      <c r="C27" s="116"/>
      <c r="D27" s="116"/>
      <c r="E27" s="117"/>
      <c r="F27" s="204"/>
      <c r="G27" s="78"/>
      <c r="H27" s="192">
        <f>H25/H23</f>
        <v>0.4773591549</v>
      </c>
      <c r="I27" s="224">
        <f>11.59*40+923</f>
        <v>1386.6</v>
      </c>
      <c r="J27" s="79"/>
      <c r="K27" s="203"/>
      <c r="L27" s="203"/>
      <c r="M27" s="209"/>
      <c r="N27" s="201"/>
      <c r="O27" s="198"/>
      <c r="P27" s="79"/>
      <c r="Q27" s="198"/>
      <c r="R27" s="198"/>
      <c r="S27" s="204"/>
      <c r="U27" s="198"/>
      <c r="V27" s="198"/>
      <c r="W27" s="198"/>
      <c r="X27" s="203"/>
      <c r="Y27" s="79"/>
      <c r="AC27" s="130"/>
      <c r="AE27" s="106"/>
    </row>
    <row r="28">
      <c r="A28" s="183" t="s">
        <v>29</v>
      </c>
      <c r="B28" s="184" t="s">
        <v>30</v>
      </c>
      <c r="C28" s="183"/>
      <c r="D28" s="183" t="s">
        <v>170</v>
      </c>
      <c r="E28" s="219" t="s">
        <v>171</v>
      </c>
      <c r="F28" s="204"/>
      <c r="G28" s="79"/>
      <c r="H28" s="79"/>
      <c r="I28" s="79"/>
      <c r="J28" s="79"/>
      <c r="K28" s="203"/>
      <c r="L28" s="201"/>
      <c r="M28" s="209"/>
      <c r="N28" s="198"/>
      <c r="O28" s="198"/>
      <c r="P28" s="79"/>
      <c r="Q28" s="198"/>
      <c r="R28" s="198"/>
      <c r="S28" s="204"/>
      <c r="U28" s="198"/>
      <c r="V28" s="198"/>
      <c r="W28" s="198"/>
      <c r="X28" s="203"/>
      <c r="Y28" s="79"/>
      <c r="Z28" s="195"/>
      <c r="AC28" s="130"/>
      <c r="AE28" s="106"/>
    </row>
    <row r="29">
      <c r="A29" s="221" t="s">
        <v>524</v>
      </c>
      <c r="B29" s="341">
        <f>693+1386+1578</f>
        <v>3657</v>
      </c>
      <c r="C29" s="223"/>
      <c r="D29" s="223"/>
      <c r="E29" s="223"/>
      <c r="I29" s="45">
        <f>I27/2</f>
        <v>693.3</v>
      </c>
      <c r="K29" s="68">
        <f>168*38</f>
        <v>6384</v>
      </c>
      <c r="P29" s="79"/>
      <c r="Q29" s="79"/>
      <c r="R29" s="79"/>
      <c r="Y29" s="79"/>
      <c r="AC29" s="130"/>
      <c r="AE29" s="106"/>
    </row>
    <row r="30">
      <c r="A30" s="377" t="s">
        <v>525</v>
      </c>
      <c r="B30" s="378">
        <f>+460.53</f>
        <v>460.53</v>
      </c>
      <c r="C30" s="379"/>
      <c r="D30" s="379"/>
      <c r="E30" s="379"/>
      <c r="P30" s="79"/>
      <c r="Q30" s="79"/>
      <c r="R30" s="79"/>
      <c r="Y30" s="79"/>
      <c r="AC30" s="130"/>
      <c r="AE30" s="106"/>
    </row>
    <row r="31">
      <c r="A31" s="377" t="s">
        <v>491</v>
      </c>
      <c r="B31" s="378">
        <f>1218.8-609.4</f>
        <v>609.4</v>
      </c>
      <c r="C31" s="379"/>
      <c r="D31" s="379"/>
      <c r="E31" s="379"/>
      <c r="P31" s="79"/>
      <c r="Q31" s="79"/>
      <c r="R31" s="79"/>
      <c r="Y31" s="79"/>
      <c r="AC31" s="130"/>
      <c r="AE31" s="106"/>
    </row>
    <row r="32">
      <c r="A32" s="245" t="s">
        <v>526</v>
      </c>
      <c r="B32" s="340">
        <v>346.0</v>
      </c>
      <c r="C32" s="247"/>
      <c r="D32" s="247"/>
      <c r="E32" s="247"/>
      <c r="P32" s="79"/>
      <c r="Q32" s="79"/>
      <c r="R32" s="79"/>
      <c r="Y32" s="79"/>
      <c r="AC32" s="130"/>
      <c r="AE32" s="106"/>
    </row>
    <row r="33">
      <c r="A33" s="245" t="s">
        <v>527</v>
      </c>
      <c r="B33" s="340">
        <v>1220.02</v>
      </c>
      <c r="C33" s="247"/>
      <c r="D33" s="247"/>
      <c r="E33" s="247"/>
      <c r="P33" s="79"/>
      <c r="Q33" s="79"/>
      <c r="R33" s="79"/>
      <c r="Y33" s="79"/>
      <c r="AC33" s="130"/>
      <c r="AE33" s="106"/>
    </row>
    <row r="34">
      <c r="A34" s="245" t="s">
        <v>528</v>
      </c>
      <c r="B34" s="340">
        <v>866.8</v>
      </c>
      <c r="C34" s="247"/>
      <c r="D34" s="247"/>
      <c r="E34" s="247"/>
      <c r="P34" s="79"/>
      <c r="Q34" s="79"/>
      <c r="R34" s="79"/>
      <c r="Y34" s="79"/>
      <c r="AC34" s="130"/>
      <c r="AE34" s="106"/>
    </row>
    <row r="35">
      <c r="A35" s="245" t="s">
        <v>529</v>
      </c>
      <c r="B35" s="340">
        <v>513.86</v>
      </c>
      <c r="C35" s="247"/>
      <c r="D35" s="247"/>
      <c r="E35" s="247"/>
      <c r="P35" s="79"/>
      <c r="Q35" s="79"/>
      <c r="R35" s="79"/>
      <c r="Y35" s="79"/>
      <c r="AC35" s="130"/>
      <c r="AE35" s="106"/>
    </row>
    <row r="36">
      <c r="C36" s="79"/>
      <c r="D36" s="79"/>
      <c r="E36" s="79"/>
      <c r="P36" s="79"/>
      <c r="Q36" s="79"/>
      <c r="R36" s="79"/>
      <c r="Y36" s="79"/>
      <c r="AC36" s="130"/>
      <c r="AE36" s="106"/>
    </row>
    <row r="37">
      <c r="C37" s="79"/>
      <c r="D37" s="79"/>
      <c r="E37" s="79"/>
      <c r="P37" s="79"/>
      <c r="Q37" s="79"/>
      <c r="R37" s="79"/>
      <c r="Y37" s="79"/>
      <c r="AC37" s="130"/>
      <c r="AE37" s="106"/>
    </row>
    <row r="38">
      <c r="A38" s="274"/>
      <c r="B38" s="275" t="s">
        <v>315</v>
      </c>
      <c r="F38" s="274"/>
      <c r="G38" s="274"/>
      <c r="H38" s="274"/>
      <c r="I38" s="274"/>
      <c r="J38" s="274"/>
      <c r="K38" s="274"/>
      <c r="L38" s="274"/>
      <c r="M38" s="274"/>
      <c r="N38" s="274"/>
      <c r="O38" s="274"/>
      <c r="P38" s="274"/>
      <c r="Q38" s="274"/>
      <c r="R38" s="274"/>
      <c r="S38" s="274"/>
      <c r="T38" s="274"/>
      <c r="U38" s="274"/>
      <c r="V38" s="274"/>
      <c r="W38" s="274"/>
      <c r="X38" s="274"/>
      <c r="Y38" s="274"/>
      <c r="Z38" s="274"/>
      <c r="AA38" s="274"/>
      <c r="AB38" s="274"/>
      <c r="AC38" s="276"/>
      <c r="AD38" s="274"/>
      <c r="AE38" s="277"/>
      <c r="AF38" s="274"/>
      <c r="AG38" s="274"/>
      <c r="AH38" s="274"/>
    </row>
    <row r="39">
      <c r="A39" s="16" t="s">
        <v>316</v>
      </c>
      <c r="B39" s="17"/>
      <c r="C39" s="114"/>
      <c r="D39" s="114"/>
      <c r="E39" s="115"/>
      <c r="P39" s="79"/>
      <c r="Q39" s="79"/>
      <c r="R39" s="79"/>
      <c r="Y39" s="79"/>
      <c r="AC39" s="130"/>
      <c r="AE39" s="106"/>
    </row>
    <row r="40">
      <c r="A40" s="19" t="s">
        <v>317</v>
      </c>
      <c r="B40" s="20"/>
      <c r="C40" s="116"/>
      <c r="D40" s="116"/>
      <c r="E40" s="117"/>
      <c r="P40" s="79"/>
      <c r="Q40" s="79"/>
      <c r="R40" s="79"/>
      <c r="Y40" s="79"/>
      <c r="AC40" s="130"/>
      <c r="AE40" s="106"/>
    </row>
    <row r="41">
      <c r="A41" s="278" t="s">
        <v>318</v>
      </c>
      <c r="B41" s="279" t="s">
        <v>319</v>
      </c>
      <c r="C41" s="280" t="s">
        <v>285</v>
      </c>
      <c r="D41" s="280" t="s">
        <v>30</v>
      </c>
      <c r="E41" s="281" t="s">
        <v>320</v>
      </c>
      <c r="F41" s="281" t="s">
        <v>321</v>
      </c>
      <c r="P41" s="79"/>
      <c r="Q41" s="79"/>
      <c r="R41" s="79"/>
      <c r="Y41" s="79"/>
      <c r="AC41" s="130"/>
      <c r="AE41" s="106"/>
    </row>
    <row r="42">
      <c r="A42" s="304" t="s">
        <v>421</v>
      </c>
      <c r="B42" s="305">
        <v>45454.0</v>
      </c>
      <c r="C42" s="234" t="s">
        <v>325</v>
      </c>
      <c r="D42" s="178">
        <v>1279.46</v>
      </c>
      <c r="E42" s="308">
        <v>45482.0</v>
      </c>
      <c r="F42" s="307">
        <f>D42/2</f>
        <v>639.73</v>
      </c>
      <c r="P42" s="79"/>
      <c r="Q42" s="79"/>
      <c r="R42" s="79"/>
      <c r="Y42" s="79"/>
      <c r="AC42" s="130"/>
      <c r="AE42" s="106"/>
    </row>
    <row r="43">
      <c r="A43" s="304" t="s">
        <v>432</v>
      </c>
      <c r="B43" s="305">
        <v>45461.0</v>
      </c>
      <c r="C43" s="234" t="s">
        <v>325</v>
      </c>
      <c r="D43" s="178">
        <v>1211.18</v>
      </c>
      <c r="E43" s="308">
        <v>45489.0</v>
      </c>
      <c r="F43" s="235"/>
      <c r="P43" s="79"/>
      <c r="Q43" s="79"/>
      <c r="R43" s="79"/>
      <c r="Y43" s="79"/>
      <c r="AC43" s="130"/>
      <c r="AE43" s="106"/>
    </row>
    <row r="44">
      <c r="A44" s="304" t="s">
        <v>447</v>
      </c>
      <c r="B44" s="305">
        <v>45468.0</v>
      </c>
      <c r="C44" s="234" t="s">
        <v>325</v>
      </c>
      <c r="D44" s="178">
        <v>1263.05</v>
      </c>
      <c r="E44" s="308">
        <v>45496.0</v>
      </c>
      <c r="F44" s="235"/>
      <c r="P44" s="79"/>
      <c r="Q44" s="79"/>
      <c r="R44" s="79"/>
      <c r="Y44" s="79"/>
      <c r="AC44" s="130"/>
      <c r="AE44" s="106"/>
    </row>
    <row r="45">
      <c r="A45" s="304" t="s">
        <v>458</v>
      </c>
      <c r="B45" s="305">
        <v>45475.0</v>
      </c>
      <c r="C45" s="234" t="s">
        <v>325</v>
      </c>
      <c r="D45" s="178">
        <v>1249.27</v>
      </c>
      <c r="E45" s="308">
        <v>45503.0</v>
      </c>
      <c r="F45" s="235"/>
      <c r="P45" s="79"/>
      <c r="Q45" s="79"/>
      <c r="R45" s="79"/>
      <c r="Y45" s="79"/>
      <c r="AC45" s="130"/>
      <c r="AE45" s="106"/>
    </row>
    <row r="46">
      <c r="A46" s="304" t="s">
        <v>472</v>
      </c>
      <c r="B46" s="305">
        <v>45482.0</v>
      </c>
      <c r="C46" s="234" t="s">
        <v>325</v>
      </c>
      <c r="D46" s="178">
        <v>1248.68</v>
      </c>
      <c r="E46" s="308">
        <v>45510.0</v>
      </c>
      <c r="F46" s="235"/>
      <c r="P46" s="79"/>
      <c r="Q46" s="79"/>
      <c r="R46" s="79"/>
      <c r="Y46" s="79"/>
      <c r="AC46" s="130"/>
      <c r="AE46" s="106"/>
    </row>
    <row r="47">
      <c r="A47" s="304" t="s">
        <v>495</v>
      </c>
      <c r="B47" s="305">
        <v>45489.0</v>
      </c>
      <c r="C47" s="234" t="s">
        <v>325</v>
      </c>
      <c r="D47" s="178">
        <v>1228.43</v>
      </c>
      <c r="E47" s="308"/>
      <c r="F47" s="235"/>
      <c r="P47" s="79"/>
      <c r="Q47" s="79"/>
      <c r="R47" s="79"/>
      <c r="Y47" s="79"/>
      <c r="AC47" s="130"/>
      <c r="AE47" s="106"/>
    </row>
    <row r="48">
      <c r="A48" s="304" t="s">
        <v>510</v>
      </c>
      <c r="B48" s="305">
        <v>45496.0</v>
      </c>
      <c r="C48" s="234" t="s">
        <v>325</v>
      </c>
      <c r="D48" s="178">
        <v>1194.77</v>
      </c>
      <c r="E48" s="308"/>
      <c r="F48" s="235"/>
      <c r="P48" s="79"/>
      <c r="Q48" s="79"/>
      <c r="R48" s="79"/>
      <c r="Y48" s="79"/>
      <c r="AC48" s="130"/>
      <c r="AE48" s="106"/>
    </row>
    <row r="49">
      <c r="A49" s="304" t="s">
        <v>530</v>
      </c>
      <c r="B49" s="305">
        <v>45503.0</v>
      </c>
      <c r="C49" s="234" t="s">
        <v>325</v>
      </c>
      <c r="D49" s="178">
        <v>1211.18</v>
      </c>
      <c r="E49" s="308"/>
      <c r="F49" s="235"/>
      <c r="P49" s="79"/>
      <c r="Q49" s="79"/>
      <c r="R49" s="79"/>
      <c r="Y49" s="79"/>
      <c r="AC49" s="130"/>
      <c r="AE49" s="106"/>
    </row>
    <row r="50">
      <c r="A50" s="282" t="s">
        <v>435</v>
      </c>
      <c r="B50" s="283">
        <v>45461.0</v>
      </c>
      <c r="C50" s="166" t="s">
        <v>379</v>
      </c>
      <c r="D50" s="93">
        <v>1455.7</v>
      </c>
      <c r="E50" s="337">
        <v>45496.0</v>
      </c>
      <c r="F50" s="6"/>
      <c r="P50" s="79"/>
      <c r="Q50" s="79"/>
      <c r="R50" s="79"/>
      <c r="Y50" s="79"/>
      <c r="AC50" s="130"/>
      <c r="AE50" s="106"/>
    </row>
    <row r="51">
      <c r="A51" s="282" t="s">
        <v>473</v>
      </c>
      <c r="B51" s="283">
        <v>45476.0</v>
      </c>
      <c r="C51" s="166" t="s">
        <v>111</v>
      </c>
      <c r="D51" s="93">
        <v>663.43</v>
      </c>
      <c r="E51" s="291"/>
      <c r="F51" s="6"/>
      <c r="P51" s="79"/>
      <c r="Q51" s="79"/>
      <c r="R51" s="79"/>
      <c r="Y51" s="79"/>
      <c r="AC51" s="130"/>
      <c r="AE51" s="106"/>
    </row>
    <row r="52">
      <c r="A52" s="282" t="s">
        <v>477</v>
      </c>
      <c r="B52" s="283">
        <v>45481.0</v>
      </c>
      <c r="C52" s="166" t="s">
        <v>478</v>
      </c>
      <c r="D52" s="93">
        <v>199.9</v>
      </c>
      <c r="E52" s="291" t="s">
        <v>479</v>
      </c>
      <c r="F52" s="6">
        <f>D52/2</f>
        <v>99.95</v>
      </c>
      <c r="P52" s="79"/>
      <c r="Q52" s="79"/>
      <c r="R52" s="79"/>
      <c r="Y52" s="79"/>
      <c r="AC52" s="130"/>
      <c r="AE52" s="106"/>
    </row>
    <row r="53">
      <c r="A53" s="282" t="s">
        <v>480</v>
      </c>
      <c r="B53" s="283">
        <v>45483.0</v>
      </c>
      <c r="C53" s="166" t="s">
        <v>355</v>
      </c>
      <c r="D53" s="93">
        <f>425.93-94.5</f>
        <v>331.43</v>
      </c>
      <c r="E53" s="291"/>
      <c r="F53" s="6"/>
      <c r="P53" s="79"/>
      <c r="Q53" s="79"/>
      <c r="R53" s="79"/>
      <c r="Y53" s="79"/>
      <c r="AC53" s="130"/>
      <c r="AE53" s="106"/>
    </row>
    <row r="54">
      <c r="A54" s="282" t="s">
        <v>481</v>
      </c>
      <c r="B54" s="283">
        <v>45485.0</v>
      </c>
      <c r="C54" s="166" t="s">
        <v>482</v>
      </c>
      <c r="D54" s="93">
        <f>923.72-693.3</f>
        <v>230.42</v>
      </c>
      <c r="E54" s="291" t="s">
        <v>531</v>
      </c>
      <c r="F54" s="6"/>
      <c r="P54" s="79"/>
      <c r="Q54" s="79"/>
      <c r="R54" s="79"/>
      <c r="Y54" s="79"/>
      <c r="AC54" s="130"/>
      <c r="AE54" s="106"/>
    </row>
    <row r="55">
      <c r="A55" s="282" t="s">
        <v>483</v>
      </c>
      <c r="B55" s="283">
        <v>45482.0</v>
      </c>
      <c r="C55" s="166" t="s">
        <v>482</v>
      </c>
      <c r="D55" s="93">
        <v>463.6</v>
      </c>
      <c r="E55" s="291"/>
      <c r="F55" s="6"/>
      <c r="P55" s="79"/>
      <c r="Q55" s="79"/>
      <c r="R55" s="79"/>
      <c r="Y55" s="79"/>
      <c r="AC55" s="130"/>
      <c r="AE55" s="106"/>
    </row>
    <row r="56">
      <c r="A56" s="282" t="s">
        <v>496</v>
      </c>
      <c r="B56" s="283">
        <v>45492.0</v>
      </c>
      <c r="C56" s="166" t="s">
        <v>497</v>
      </c>
      <c r="D56" s="93">
        <f>297+284.9</f>
        <v>581.9</v>
      </c>
      <c r="E56" s="291"/>
      <c r="F56" s="6"/>
      <c r="P56" s="79"/>
      <c r="Q56" s="79"/>
      <c r="R56" s="79"/>
      <c r="Y56" s="79"/>
      <c r="AC56" s="130"/>
      <c r="AE56" s="106"/>
    </row>
    <row r="57">
      <c r="A57" s="282" t="s">
        <v>498</v>
      </c>
      <c r="B57" s="283">
        <v>45489.0</v>
      </c>
      <c r="C57" s="166" t="s">
        <v>489</v>
      </c>
      <c r="D57" s="93">
        <v>230.85</v>
      </c>
      <c r="E57" s="291"/>
      <c r="F57" s="6"/>
      <c r="P57" s="79"/>
      <c r="Q57" s="79"/>
      <c r="R57" s="79"/>
      <c r="Y57" s="79"/>
      <c r="AC57" s="130"/>
      <c r="AE57" s="106"/>
    </row>
    <row r="58">
      <c r="A58" s="282" t="s">
        <v>499</v>
      </c>
      <c r="B58" s="283">
        <v>45490.0</v>
      </c>
      <c r="C58" s="166" t="s">
        <v>355</v>
      </c>
      <c r="D58" s="93">
        <v>647.86</v>
      </c>
      <c r="E58" s="291"/>
      <c r="F58" s="6"/>
      <c r="P58" s="79"/>
      <c r="Q58" s="79"/>
      <c r="R58" s="79"/>
      <c r="Y58" s="79"/>
      <c r="AC58" s="130"/>
      <c r="AE58" s="106"/>
    </row>
    <row r="59">
      <c r="A59" s="282" t="s">
        <v>491</v>
      </c>
      <c r="B59" s="283">
        <v>45488.0</v>
      </c>
      <c r="C59" s="166" t="s">
        <v>111</v>
      </c>
      <c r="D59" s="93">
        <v>1218.8</v>
      </c>
      <c r="E59" s="291"/>
      <c r="F59" s="6"/>
      <c r="P59" s="79"/>
      <c r="Q59" s="79"/>
      <c r="R59" s="79"/>
      <c r="Y59" s="79"/>
      <c r="AC59" s="130"/>
      <c r="AE59" s="106"/>
    </row>
    <row r="60">
      <c r="A60" s="282" t="s">
        <v>500</v>
      </c>
      <c r="B60" s="283">
        <v>45489.0</v>
      </c>
      <c r="C60" s="166" t="s">
        <v>427</v>
      </c>
      <c r="D60" s="93">
        <v>441.39</v>
      </c>
      <c r="E60" s="291"/>
      <c r="F60" s="6"/>
      <c r="P60" s="79"/>
      <c r="Q60" s="79"/>
      <c r="R60" s="79"/>
      <c r="Y60" s="79"/>
      <c r="AC60" s="130"/>
      <c r="AE60" s="106"/>
    </row>
    <row r="61">
      <c r="A61" s="282" t="s">
        <v>501</v>
      </c>
      <c r="B61" s="283">
        <v>45491.0</v>
      </c>
      <c r="C61" s="166" t="s">
        <v>493</v>
      </c>
      <c r="D61" s="93">
        <v>857.85</v>
      </c>
      <c r="E61" s="291"/>
      <c r="F61" s="6"/>
      <c r="P61" s="79"/>
      <c r="Q61" s="79"/>
      <c r="R61" s="79"/>
      <c r="Y61" s="79"/>
      <c r="AC61" s="130"/>
      <c r="AE61" s="106"/>
    </row>
    <row r="62">
      <c r="A62" s="282" t="s">
        <v>502</v>
      </c>
      <c r="B62" s="283">
        <v>45490.0</v>
      </c>
      <c r="C62" s="166" t="s">
        <v>408</v>
      </c>
      <c r="D62" s="93">
        <v>337.0</v>
      </c>
      <c r="E62" s="291"/>
      <c r="F62" s="6"/>
      <c r="P62" s="79"/>
      <c r="Q62" s="79"/>
      <c r="R62" s="79"/>
      <c r="Y62" s="79"/>
      <c r="AC62" s="130"/>
      <c r="AE62" s="106"/>
    </row>
    <row r="63">
      <c r="A63" s="282" t="s">
        <v>532</v>
      </c>
      <c r="B63" s="283">
        <v>45503.0</v>
      </c>
      <c r="C63" s="166" t="s">
        <v>497</v>
      </c>
      <c r="D63" s="93">
        <v>866.8</v>
      </c>
      <c r="E63" s="291"/>
      <c r="F63" s="6"/>
      <c r="P63" s="79"/>
      <c r="Q63" s="79"/>
      <c r="R63" s="79"/>
      <c r="Y63" s="79"/>
      <c r="AC63" s="130"/>
      <c r="AE63" s="106"/>
    </row>
    <row r="64">
      <c r="A64" s="282" t="s">
        <v>533</v>
      </c>
      <c r="B64" s="283">
        <v>45505.0</v>
      </c>
      <c r="C64" s="166" t="s">
        <v>534</v>
      </c>
      <c r="D64" s="93">
        <f>200.1+60.1</f>
        <v>260.2</v>
      </c>
      <c r="E64" s="285">
        <v>45512.0</v>
      </c>
      <c r="F64" s="5" t="s">
        <v>195</v>
      </c>
      <c r="P64" s="79"/>
      <c r="Q64" s="79"/>
      <c r="R64" s="79"/>
      <c r="Y64" s="79"/>
      <c r="AC64" s="130"/>
      <c r="AE64" s="106"/>
    </row>
    <row r="65">
      <c r="A65" s="282" t="s">
        <v>535</v>
      </c>
      <c r="B65" s="283">
        <v>45500.0</v>
      </c>
      <c r="C65" s="166" t="s">
        <v>463</v>
      </c>
      <c r="D65" s="93">
        <v>148.69</v>
      </c>
      <c r="E65" s="285"/>
      <c r="F65" s="6"/>
      <c r="P65" s="79"/>
      <c r="Q65" s="79"/>
      <c r="R65" s="79"/>
      <c r="Y65" s="79"/>
      <c r="AC65" s="130"/>
      <c r="AE65" s="106"/>
    </row>
    <row r="66">
      <c r="A66" s="282" t="s">
        <v>527</v>
      </c>
      <c r="B66" s="283">
        <v>45503.0</v>
      </c>
      <c r="C66" s="166" t="s">
        <v>536</v>
      </c>
      <c r="D66" s="93">
        <v>1220.02</v>
      </c>
      <c r="E66" s="291"/>
      <c r="F66" s="6"/>
      <c r="P66" s="79"/>
      <c r="Q66" s="79"/>
      <c r="R66" s="79"/>
      <c r="Y66" s="79"/>
      <c r="AC66" s="130"/>
      <c r="AE66" s="106"/>
    </row>
    <row r="67">
      <c r="A67" s="282" t="s">
        <v>537</v>
      </c>
      <c r="B67" s="283">
        <v>45506.0</v>
      </c>
      <c r="C67" s="166" t="s">
        <v>538</v>
      </c>
      <c r="D67" s="93">
        <v>1662.01</v>
      </c>
      <c r="E67" s="291"/>
      <c r="F67" s="6"/>
      <c r="P67" s="79"/>
      <c r="Q67" s="79"/>
      <c r="R67" s="79"/>
      <c r="Y67" s="79"/>
      <c r="AC67" s="130"/>
      <c r="AE67" s="106"/>
    </row>
    <row r="68">
      <c r="A68" s="282" t="s">
        <v>539</v>
      </c>
      <c r="B68" s="385">
        <v>45504.0</v>
      </c>
      <c r="C68" s="166" t="s">
        <v>355</v>
      </c>
      <c r="D68" s="93">
        <v>513.86</v>
      </c>
      <c r="E68" s="291"/>
      <c r="F68" s="6"/>
      <c r="P68" s="79"/>
      <c r="Q68" s="79"/>
      <c r="R68" s="79"/>
      <c r="Y68" s="79"/>
      <c r="AC68" s="130"/>
      <c r="AE68" s="106"/>
    </row>
    <row r="69">
      <c r="A69" s="282"/>
      <c r="B69" s="283"/>
      <c r="C69" s="166"/>
      <c r="D69" s="93"/>
      <c r="E69" s="291"/>
      <c r="F69" s="6"/>
      <c r="P69" s="79"/>
      <c r="Q69" s="79"/>
      <c r="R69" s="79"/>
      <c r="Y69" s="79"/>
      <c r="AC69" s="130"/>
      <c r="AE69" s="106"/>
    </row>
    <row r="70">
      <c r="A70" s="282"/>
      <c r="B70" s="283"/>
      <c r="C70" s="166"/>
      <c r="D70" s="93"/>
      <c r="E70" s="291"/>
      <c r="F70" s="6"/>
      <c r="P70" s="79"/>
      <c r="Q70" s="79"/>
      <c r="R70" s="79"/>
      <c r="Y70" s="79"/>
      <c r="AC70" s="130"/>
      <c r="AE70" s="106"/>
    </row>
    <row r="71">
      <c r="A71" s="282"/>
      <c r="B71" s="283"/>
      <c r="C71" s="166"/>
      <c r="D71" s="93"/>
      <c r="E71" s="291"/>
      <c r="F71" s="6"/>
      <c r="P71" s="79"/>
      <c r="Q71" s="79"/>
      <c r="R71" s="79"/>
      <c r="Y71" s="79"/>
      <c r="AC71" s="130"/>
      <c r="AE71" s="106"/>
    </row>
    <row r="72">
      <c r="A72" s="282"/>
      <c r="B72" s="283"/>
      <c r="C72" s="166"/>
      <c r="D72" s="93"/>
      <c r="E72" s="291"/>
      <c r="F72" s="6"/>
      <c r="P72" s="79"/>
      <c r="Q72" s="79"/>
      <c r="R72" s="79"/>
      <c r="Y72" s="79"/>
      <c r="AC72" s="130"/>
      <c r="AE72" s="106"/>
    </row>
    <row r="73">
      <c r="A73" s="282"/>
      <c r="B73" s="283"/>
      <c r="C73" s="166"/>
      <c r="D73" s="93"/>
      <c r="E73" s="291"/>
      <c r="F73" s="6"/>
      <c r="P73" s="79"/>
      <c r="Q73" s="79"/>
      <c r="R73" s="79"/>
      <c r="Y73" s="79"/>
      <c r="AC73" s="130"/>
      <c r="AE73" s="106"/>
    </row>
    <row r="74">
      <c r="A74" s="282"/>
      <c r="B74" s="283"/>
      <c r="C74" s="166"/>
      <c r="D74" s="93"/>
      <c r="E74" s="291"/>
      <c r="F74" s="6"/>
      <c r="P74" s="79"/>
      <c r="Q74" s="79"/>
      <c r="R74" s="79"/>
      <c r="Y74" s="79"/>
      <c r="AC74" s="130"/>
      <c r="AE74" s="106"/>
    </row>
    <row r="75">
      <c r="A75" s="282"/>
      <c r="B75" s="283"/>
      <c r="C75" s="166"/>
      <c r="D75" s="93"/>
      <c r="E75" s="291"/>
      <c r="F75" s="6"/>
      <c r="P75" s="79"/>
      <c r="Q75" s="79"/>
      <c r="R75" s="79"/>
      <c r="Y75" s="79"/>
      <c r="AC75" s="130"/>
      <c r="AE75" s="106"/>
    </row>
    <row r="76">
      <c r="A76" s="282"/>
      <c r="B76" s="283"/>
      <c r="C76" s="166"/>
      <c r="D76" s="93"/>
      <c r="E76" s="291"/>
      <c r="F76" s="6"/>
      <c r="P76" s="79"/>
      <c r="Q76" s="79"/>
      <c r="R76" s="79"/>
      <c r="Y76" s="79"/>
      <c r="AC76" s="130"/>
      <c r="AE76" s="106"/>
    </row>
    <row r="77">
      <c r="A77" s="282"/>
      <c r="B77" s="283"/>
      <c r="C77" s="166"/>
      <c r="D77" s="93"/>
      <c r="E77" s="291"/>
      <c r="F77" s="6"/>
      <c r="P77" s="79"/>
      <c r="Q77" s="79"/>
      <c r="R77" s="79"/>
      <c r="Y77" s="79"/>
      <c r="AC77" s="130"/>
      <c r="AE77" s="106"/>
    </row>
    <row r="78">
      <c r="A78" s="282"/>
      <c r="B78" s="283"/>
      <c r="C78" s="166"/>
      <c r="D78" s="93"/>
      <c r="E78" s="291"/>
      <c r="F78" s="6"/>
      <c r="P78" s="79"/>
      <c r="Q78" s="79"/>
      <c r="R78" s="79"/>
      <c r="Y78" s="79"/>
      <c r="AC78" s="130"/>
      <c r="AE78" s="106"/>
    </row>
    <row r="79">
      <c r="A79" s="282"/>
      <c r="B79" s="283"/>
      <c r="C79" s="166"/>
      <c r="D79" s="93"/>
      <c r="E79" s="291"/>
      <c r="F79" s="6"/>
      <c r="P79" s="79"/>
      <c r="Q79" s="79"/>
      <c r="R79" s="79"/>
      <c r="Y79" s="79"/>
      <c r="AC79" s="130"/>
      <c r="AE79" s="106"/>
    </row>
    <row r="80">
      <c r="A80" s="282"/>
      <c r="B80" s="283"/>
      <c r="C80" s="166"/>
      <c r="D80" s="93"/>
      <c r="E80" s="291"/>
      <c r="F80" s="6"/>
      <c r="P80" s="79"/>
      <c r="Q80" s="79"/>
      <c r="R80" s="79"/>
      <c r="Y80" s="79"/>
      <c r="AC80" s="130"/>
      <c r="AE80" s="106"/>
    </row>
    <row r="81">
      <c r="A81" s="282"/>
      <c r="B81" s="283"/>
      <c r="C81" s="166"/>
      <c r="D81" s="93"/>
      <c r="E81" s="291"/>
      <c r="F81" s="6"/>
      <c r="P81" s="79"/>
      <c r="Q81" s="79"/>
      <c r="R81" s="79"/>
      <c r="Y81" s="79"/>
      <c r="AC81" s="130"/>
      <c r="AE81" s="106"/>
    </row>
    <row r="82">
      <c r="A82" s="282"/>
      <c r="B82" s="283"/>
      <c r="C82" s="166"/>
      <c r="D82" s="93"/>
      <c r="E82" s="291"/>
      <c r="F82" s="6"/>
      <c r="P82" s="79"/>
      <c r="Q82" s="79"/>
      <c r="R82" s="79"/>
      <c r="Y82" s="79"/>
      <c r="AC82" s="130"/>
      <c r="AE82" s="106"/>
    </row>
    <row r="83">
      <c r="A83" s="282"/>
      <c r="B83" s="283"/>
      <c r="C83" s="166"/>
      <c r="D83" s="93"/>
      <c r="E83" s="291"/>
      <c r="F83" s="6"/>
      <c r="P83" s="79"/>
      <c r="Q83" s="79"/>
      <c r="R83" s="79"/>
      <c r="Y83" s="79"/>
      <c r="AC83" s="130"/>
      <c r="AE83" s="106"/>
    </row>
    <row r="84">
      <c r="A84" s="282"/>
      <c r="B84" s="283"/>
      <c r="C84" s="166"/>
      <c r="D84" s="93"/>
      <c r="E84" s="291"/>
      <c r="F84" s="6"/>
      <c r="P84" s="79"/>
      <c r="Q84" s="79"/>
      <c r="R84" s="79"/>
      <c r="Y84" s="79"/>
      <c r="AC84" s="130"/>
      <c r="AE84" s="106"/>
    </row>
    <row r="85">
      <c r="A85" s="282"/>
      <c r="B85" s="283"/>
      <c r="C85" s="166"/>
      <c r="D85" s="93"/>
      <c r="E85" s="291"/>
      <c r="F85" s="6"/>
      <c r="P85" s="79"/>
      <c r="Q85" s="79"/>
      <c r="R85" s="79"/>
      <c r="Y85" s="79"/>
      <c r="AC85" s="130"/>
      <c r="AE85" s="106"/>
    </row>
    <row r="86">
      <c r="A86" s="282"/>
      <c r="B86" s="283"/>
      <c r="C86" s="166"/>
      <c r="D86" s="93"/>
      <c r="E86" s="291"/>
      <c r="F86" s="6"/>
      <c r="P86" s="79"/>
      <c r="Q86" s="79"/>
      <c r="R86" s="79"/>
      <c r="Y86" s="79"/>
      <c r="AC86" s="130"/>
      <c r="AE86" s="106"/>
    </row>
    <row r="87">
      <c r="A87" s="282"/>
      <c r="B87" s="283"/>
      <c r="C87" s="166"/>
      <c r="D87" s="93"/>
      <c r="E87" s="291"/>
      <c r="F87" s="6"/>
      <c r="P87" s="79"/>
      <c r="Q87" s="79"/>
      <c r="R87" s="79"/>
      <c r="Y87" s="79"/>
      <c r="AC87" s="130"/>
      <c r="AE87" s="106"/>
    </row>
    <row r="88">
      <c r="A88" s="282"/>
      <c r="B88" s="283"/>
      <c r="C88" s="166"/>
      <c r="D88" s="93"/>
      <c r="E88" s="291"/>
      <c r="F88" s="6"/>
      <c r="P88" s="79"/>
      <c r="Q88" s="79"/>
      <c r="R88" s="79"/>
      <c r="Y88" s="79"/>
      <c r="AC88" s="130"/>
      <c r="AE88" s="106"/>
    </row>
    <row r="89">
      <c r="A89" s="282"/>
      <c r="B89" s="283"/>
      <c r="C89" s="166"/>
      <c r="D89" s="93"/>
      <c r="E89" s="291"/>
      <c r="F89" s="6"/>
      <c r="P89" s="79"/>
      <c r="Q89" s="79"/>
      <c r="R89" s="79"/>
      <c r="Y89" s="79"/>
      <c r="AC89" s="130"/>
      <c r="AE89" s="106"/>
    </row>
    <row r="90">
      <c r="A90" s="282"/>
      <c r="B90" s="283"/>
      <c r="C90" s="166"/>
      <c r="D90" s="93"/>
      <c r="E90" s="291"/>
      <c r="F90" s="6"/>
      <c r="P90" s="79"/>
      <c r="Q90" s="79"/>
      <c r="R90" s="79"/>
      <c r="Y90" s="79"/>
      <c r="AC90" s="130"/>
      <c r="AE90" s="106"/>
    </row>
    <row r="91">
      <c r="A91" s="282"/>
      <c r="B91" s="283"/>
      <c r="C91" s="166"/>
      <c r="D91" s="93"/>
      <c r="E91" s="291"/>
      <c r="F91" s="6"/>
      <c r="P91" s="79"/>
      <c r="Q91" s="79"/>
      <c r="R91" s="79"/>
      <c r="Y91" s="79"/>
      <c r="AC91" s="130"/>
      <c r="AE91" s="106"/>
    </row>
    <row r="92">
      <c r="A92" s="282"/>
      <c r="B92" s="283"/>
      <c r="C92" s="166"/>
      <c r="D92" s="93"/>
      <c r="E92" s="291"/>
      <c r="F92" s="6"/>
      <c r="P92" s="79"/>
      <c r="Q92" s="79"/>
      <c r="R92" s="79"/>
      <c r="Y92" s="79"/>
      <c r="AC92" s="130"/>
      <c r="AE92" s="106"/>
    </row>
    <row r="93">
      <c r="C93" s="79"/>
      <c r="D93" s="79"/>
      <c r="E93" s="79"/>
      <c r="P93" s="79"/>
      <c r="Q93" s="79"/>
      <c r="R93" s="79"/>
      <c r="Y93" s="79"/>
      <c r="AC93" s="130"/>
      <c r="AE93" s="106"/>
    </row>
    <row r="94">
      <c r="C94" s="79"/>
      <c r="D94" s="79"/>
      <c r="E94" s="79"/>
      <c r="P94" s="79"/>
      <c r="Q94" s="79"/>
      <c r="R94" s="79"/>
      <c r="Y94" s="79"/>
      <c r="AC94" s="130"/>
      <c r="AE94" s="106"/>
    </row>
    <row r="95">
      <c r="C95" s="79"/>
      <c r="D95" s="79"/>
      <c r="E95" s="79"/>
      <c r="P95" s="79"/>
      <c r="Q95" s="79"/>
      <c r="R95" s="79"/>
      <c r="Y95" s="79"/>
      <c r="AC95" s="130"/>
      <c r="AE95" s="106"/>
    </row>
    <row r="96">
      <c r="C96" s="79"/>
      <c r="D96" s="79"/>
      <c r="E96" s="79"/>
      <c r="P96" s="79"/>
      <c r="Q96" s="79"/>
      <c r="R96" s="79"/>
      <c r="Y96" s="79"/>
      <c r="AC96" s="130"/>
      <c r="AE96" s="106"/>
    </row>
    <row r="97">
      <c r="C97" s="79"/>
      <c r="D97" s="79"/>
      <c r="E97" s="79"/>
      <c r="P97" s="79"/>
      <c r="Q97" s="79"/>
      <c r="R97" s="79"/>
      <c r="Y97" s="79"/>
      <c r="AC97" s="130"/>
      <c r="AE97" s="106"/>
    </row>
    <row r="98">
      <c r="C98" s="79"/>
      <c r="D98" s="79"/>
      <c r="E98" s="79"/>
      <c r="P98" s="79"/>
      <c r="Q98" s="79"/>
      <c r="R98" s="79"/>
      <c r="Y98" s="79"/>
      <c r="AC98" s="130"/>
      <c r="AE98" s="106"/>
    </row>
    <row r="99">
      <c r="C99" s="79"/>
      <c r="D99" s="79"/>
      <c r="E99" s="79"/>
      <c r="P99" s="79"/>
      <c r="Q99" s="79"/>
      <c r="R99" s="79"/>
      <c r="Y99" s="79"/>
      <c r="AC99" s="130"/>
      <c r="AE99" s="106"/>
    </row>
    <row r="100">
      <c r="C100" s="79"/>
      <c r="D100" s="79"/>
      <c r="E100" s="79"/>
      <c r="P100" s="79"/>
      <c r="Q100" s="79"/>
      <c r="R100" s="79"/>
      <c r="Y100" s="79"/>
      <c r="AC100" s="130"/>
      <c r="AE100" s="106"/>
    </row>
    <row r="101">
      <c r="C101" s="79"/>
      <c r="D101" s="79"/>
      <c r="E101" s="79"/>
      <c r="P101" s="79"/>
      <c r="Q101" s="79"/>
      <c r="R101" s="79"/>
      <c r="Y101" s="79"/>
      <c r="AC101" s="130"/>
      <c r="AE101" s="106"/>
    </row>
    <row r="102">
      <c r="C102" s="79"/>
      <c r="D102" s="79"/>
      <c r="E102" s="79"/>
      <c r="P102" s="79"/>
      <c r="Q102" s="79"/>
      <c r="R102" s="79"/>
      <c r="Y102" s="79"/>
      <c r="AC102" s="130"/>
      <c r="AE102" s="106"/>
    </row>
    <row r="103">
      <c r="C103" s="79"/>
      <c r="D103" s="79"/>
      <c r="E103" s="79"/>
      <c r="P103" s="79"/>
      <c r="Q103" s="79"/>
      <c r="R103" s="79"/>
      <c r="Y103" s="79"/>
      <c r="AC103" s="130"/>
      <c r="AE103" s="106"/>
    </row>
    <row r="104">
      <c r="C104" s="79"/>
      <c r="D104" s="79"/>
      <c r="E104" s="79"/>
      <c r="P104" s="79"/>
      <c r="Q104" s="79"/>
      <c r="R104" s="79"/>
      <c r="Y104" s="79"/>
      <c r="AC104" s="130"/>
      <c r="AE104" s="106"/>
    </row>
    <row r="105">
      <c r="C105" s="79"/>
      <c r="D105" s="79"/>
      <c r="E105" s="79"/>
      <c r="P105" s="79"/>
      <c r="Q105" s="79"/>
      <c r="R105" s="79"/>
      <c r="Y105" s="79"/>
      <c r="AC105" s="130"/>
      <c r="AE105" s="106"/>
    </row>
    <row r="106">
      <c r="C106" s="79"/>
      <c r="D106" s="79"/>
      <c r="E106" s="79"/>
      <c r="P106" s="79"/>
      <c r="Q106" s="79"/>
      <c r="R106" s="79"/>
      <c r="Y106" s="79"/>
      <c r="AC106" s="130"/>
      <c r="AE106" s="106"/>
    </row>
    <row r="107">
      <c r="C107" s="79"/>
      <c r="D107" s="79"/>
      <c r="E107" s="79"/>
      <c r="P107" s="79"/>
      <c r="Q107" s="79"/>
      <c r="R107" s="79"/>
      <c r="Y107" s="79"/>
      <c r="AC107" s="130"/>
      <c r="AE107" s="106"/>
    </row>
    <row r="108">
      <c r="C108" s="79"/>
      <c r="D108" s="79"/>
      <c r="E108" s="79"/>
      <c r="P108" s="79"/>
      <c r="Q108" s="79"/>
      <c r="R108" s="79"/>
      <c r="Y108" s="79"/>
      <c r="AC108" s="130"/>
      <c r="AE108" s="106"/>
    </row>
    <row r="109">
      <c r="C109" s="79"/>
      <c r="D109" s="79"/>
      <c r="E109" s="79"/>
      <c r="P109" s="79"/>
      <c r="Q109" s="79"/>
      <c r="R109" s="79"/>
      <c r="Y109" s="79"/>
      <c r="AC109" s="130"/>
      <c r="AE109" s="106"/>
    </row>
    <row r="110">
      <c r="C110" s="79"/>
      <c r="D110" s="79"/>
      <c r="E110" s="79"/>
      <c r="P110" s="79"/>
      <c r="Q110" s="79"/>
      <c r="R110" s="79"/>
      <c r="Y110" s="79"/>
      <c r="AC110" s="130"/>
      <c r="AE110" s="106"/>
    </row>
    <row r="111">
      <c r="C111" s="79"/>
      <c r="D111" s="79"/>
      <c r="E111" s="79"/>
      <c r="P111" s="79"/>
      <c r="Q111" s="79"/>
      <c r="R111" s="79"/>
      <c r="Y111" s="79"/>
      <c r="AC111" s="130"/>
      <c r="AE111" s="106"/>
    </row>
    <row r="112">
      <c r="C112" s="79"/>
      <c r="D112" s="79"/>
      <c r="E112" s="79"/>
      <c r="P112" s="79"/>
      <c r="Q112" s="79"/>
      <c r="R112" s="79"/>
      <c r="Y112" s="79"/>
      <c r="AC112" s="130"/>
      <c r="AE112" s="106"/>
    </row>
    <row r="113">
      <c r="C113" s="79"/>
      <c r="D113" s="79"/>
      <c r="E113" s="79"/>
      <c r="P113" s="79"/>
      <c r="Q113" s="79"/>
      <c r="R113" s="79"/>
      <c r="Y113" s="79"/>
      <c r="AC113" s="130"/>
      <c r="AE113" s="106"/>
    </row>
    <row r="114">
      <c r="C114" s="79"/>
      <c r="D114" s="79"/>
      <c r="E114" s="79"/>
      <c r="P114" s="79"/>
      <c r="Q114" s="79"/>
      <c r="R114" s="79"/>
      <c r="Y114" s="79"/>
      <c r="AC114" s="130"/>
      <c r="AE114" s="106"/>
    </row>
    <row r="115">
      <c r="C115" s="79"/>
      <c r="D115" s="79"/>
      <c r="E115" s="79"/>
      <c r="P115" s="79"/>
      <c r="Q115" s="79"/>
      <c r="R115" s="79"/>
      <c r="Y115" s="79"/>
      <c r="AC115" s="130"/>
      <c r="AE115" s="106"/>
    </row>
    <row r="116">
      <c r="C116" s="79"/>
      <c r="D116" s="79"/>
      <c r="E116" s="79"/>
      <c r="P116" s="79"/>
      <c r="Q116" s="79"/>
      <c r="R116" s="79"/>
      <c r="Y116" s="79"/>
      <c r="AC116" s="130"/>
      <c r="AE116" s="106"/>
    </row>
    <row r="117">
      <c r="C117" s="79"/>
      <c r="D117" s="79"/>
      <c r="E117" s="79"/>
      <c r="P117" s="79"/>
      <c r="Q117" s="79"/>
      <c r="R117" s="79"/>
      <c r="Y117" s="79"/>
      <c r="AC117" s="130"/>
      <c r="AE117" s="106"/>
    </row>
    <row r="118">
      <c r="C118" s="79"/>
      <c r="D118" s="79"/>
      <c r="E118" s="79"/>
      <c r="P118" s="79"/>
      <c r="Q118" s="79"/>
      <c r="R118" s="79"/>
      <c r="Y118" s="79"/>
      <c r="AC118" s="130"/>
      <c r="AE118" s="106"/>
    </row>
    <row r="119">
      <c r="C119" s="79"/>
      <c r="D119" s="79"/>
      <c r="E119" s="79"/>
      <c r="P119" s="79"/>
      <c r="Q119" s="79"/>
      <c r="R119" s="79"/>
      <c r="Y119" s="79"/>
      <c r="AC119" s="130"/>
      <c r="AE119" s="106"/>
    </row>
    <row r="120">
      <c r="C120" s="79"/>
      <c r="D120" s="79"/>
      <c r="E120" s="79"/>
      <c r="P120" s="79"/>
      <c r="Q120" s="79"/>
      <c r="R120" s="79"/>
      <c r="Y120" s="79"/>
      <c r="AC120" s="130"/>
      <c r="AE120" s="106"/>
    </row>
    <row r="121">
      <c r="C121" s="79"/>
      <c r="D121" s="79"/>
      <c r="E121" s="79"/>
      <c r="P121" s="79"/>
      <c r="Q121" s="79"/>
      <c r="R121" s="79"/>
      <c r="Y121" s="79"/>
      <c r="AC121" s="130"/>
      <c r="AE121" s="106"/>
    </row>
    <row r="122">
      <c r="C122" s="79"/>
      <c r="D122" s="79"/>
      <c r="E122" s="79"/>
      <c r="P122" s="79"/>
      <c r="Q122" s="79"/>
      <c r="R122" s="79"/>
      <c r="Y122" s="79"/>
      <c r="AC122" s="130"/>
      <c r="AE122" s="106"/>
    </row>
    <row r="123">
      <c r="C123" s="79"/>
      <c r="D123" s="79"/>
      <c r="E123" s="79"/>
      <c r="P123" s="79"/>
      <c r="Q123" s="79"/>
      <c r="R123" s="79"/>
      <c r="Y123" s="79"/>
      <c r="AC123" s="130"/>
      <c r="AE123" s="106"/>
    </row>
    <row r="124">
      <c r="C124" s="79"/>
      <c r="D124" s="79"/>
      <c r="E124" s="79"/>
      <c r="P124" s="79"/>
      <c r="Q124" s="79"/>
      <c r="R124" s="79"/>
      <c r="Y124" s="79"/>
      <c r="AC124" s="130"/>
      <c r="AE124" s="106"/>
    </row>
    <row r="125">
      <c r="C125" s="79"/>
      <c r="D125" s="79"/>
      <c r="E125" s="79"/>
      <c r="P125" s="79"/>
      <c r="Q125" s="79"/>
      <c r="R125" s="79"/>
      <c r="Y125" s="79"/>
      <c r="AC125" s="130"/>
      <c r="AE125" s="106"/>
    </row>
    <row r="126">
      <c r="C126" s="79"/>
      <c r="D126" s="79"/>
      <c r="E126" s="79"/>
      <c r="P126" s="79"/>
      <c r="Q126" s="79"/>
      <c r="R126" s="79"/>
      <c r="Y126" s="79"/>
      <c r="AC126" s="130"/>
      <c r="AE126" s="106"/>
    </row>
    <row r="127">
      <c r="C127" s="79"/>
      <c r="D127" s="79"/>
      <c r="E127" s="79"/>
      <c r="P127" s="79"/>
      <c r="Q127" s="79"/>
      <c r="R127" s="79"/>
      <c r="Y127" s="79"/>
      <c r="AC127" s="130"/>
      <c r="AE127" s="106"/>
    </row>
    <row r="128">
      <c r="C128" s="79"/>
      <c r="D128" s="79"/>
      <c r="E128" s="79"/>
      <c r="P128" s="79"/>
      <c r="Q128" s="79"/>
      <c r="R128" s="79"/>
      <c r="Y128" s="79"/>
      <c r="AC128" s="130"/>
      <c r="AE128" s="106"/>
    </row>
    <row r="129">
      <c r="C129" s="79"/>
      <c r="D129" s="79"/>
      <c r="E129" s="79"/>
      <c r="P129" s="79"/>
      <c r="Q129" s="79"/>
      <c r="R129" s="79"/>
      <c r="Y129" s="79"/>
      <c r="AC129" s="130"/>
      <c r="AE129" s="106"/>
    </row>
    <row r="130">
      <c r="C130" s="79"/>
      <c r="D130" s="79"/>
      <c r="E130" s="79"/>
      <c r="P130" s="79"/>
      <c r="Q130" s="79"/>
      <c r="R130" s="79"/>
      <c r="Y130" s="79"/>
      <c r="AC130" s="130"/>
      <c r="AE130" s="106"/>
    </row>
    <row r="131">
      <c r="C131" s="79"/>
      <c r="D131" s="79"/>
      <c r="E131" s="79"/>
      <c r="P131" s="79"/>
      <c r="Q131" s="79"/>
      <c r="R131" s="79"/>
      <c r="Y131" s="79"/>
      <c r="AC131" s="130"/>
      <c r="AE131" s="106"/>
    </row>
    <row r="132">
      <c r="C132" s="79"/>
      <c r="D132" s="79"/>
      <c r="E132" s="79"/>
      <c r="P132" s="79"/>
      <c r="Q132" s="79"/>
      <c r="R132" s="79"/>
      <c r="Y132" s="79"/>
      <c r="AC132" s="130"/>
      <c r="AE132" s="106"/>
    </row>
    <row r="133">
      <c r="C133" s="79"/>
      <c r="D133" s="79"/>
      <c r="E133" s="79"/>
      <c r="P133" s="79"/>
      <c r="Q133" s="79"/>
      <c r="R133" s="79"/>
      <c r="Y133" s="79"/>
      <c r="AC133" s="130"/>
      <c r="AE133" s="106"/>
    </row>
    <row r="134">
      <c r="C134" s="79"/>
      <c r="D134" s="79"/>
      <c r="E134" s="79"/>
      <c r="P134" s="79"/>
      <c r="Q134" s="79"/>
      <c r="R134" s="79"/>
      <c r="Y134" s="79"/>
      <c r="AC134" s="130"/>
      <c r="AE134" s="106"/>
    </row>
    <row r="135">
      <c r="C135" s="79"/>
      <c r="D135" s="79"/>
      <c r="E135" s="79"/>
      <c r="P135" s="79"/>
      <c r="Q135" s="79"/>
      <c r="R135" s="79"/>
      <c r="Y135" s="79"/>
      <c r="AC135" s="130"/>
      <c r="AE135" s="106"/>
    </row>
    <row r="136">
      <c r="C136" s="79"/>
      <c r="D136" s="79"/>
      <c r="E136" s="79"/>
      <c r="P136" s="79"/>
      <c r="Q136" s="79"/>
      <c r="R136" s="79"/>
      <c r="Y136" s="79"/>
      <c r="AC136" s="130"/>
      <c r="AE136" s="106"/>
    </row>
    <row r="137">
      <c r="C137" s="79"/>
      <c r="D137" s="79"/>
      <c r="E137" s="79"/>
      <c r="P137" s="79"/>
      <c r="Q137" s="79"/>
      <c r="R137" s="79"/>
      <c r="Y137" s="79"/>
      <c r="AC137" s="130"/>
      <c r="AE137" s="106"/>
    </row>
    <row r="138">
      <c r="C138" s="79"/>
      <c r="D138" s="79"/>
      <c r="E138" s="79"/>
      <c r="P138" s="79"/>
      <c r="Q138" s="79"/>
      <c r="R138" s="79"/>
      <c r="Y138" s="79"/>
      <c r="AC138" s="130"/>
      <c r="AE138" s="106"/>
    </row>
    <row r="139">
      <c r="C139" s="79"/>
      <c r="D139" s="79"/>
      <c r="E139" s="79"/>
      <c r="P139" s="79"/>
      <c r="Q139" s="79"/>
      <c r="R139" s="79"/>
      <c r="Y139" s="79"/>
      <c r="AC139" s="130"/>
      <c r="AE139" s="106"/>
    </row>
    <row r="140">
      <c r="C140" s="79"/>
      <c r="D140" s="79"/>
      <c r="E140" s="79"/>
      <c r="P140" s="79"/>
      <c r="Q140" s="79"/>
      <c r="R140" s="79"/>
      <c r="Y140" s="79"/>
      <c r="AC140" s="130"/>
      <c r="AE140" s="106"/>
    </row>
    <row r="141">
      <c r="C141" s="79"/>
      <c r="D141" s="79"/>
      <c r="E141" s="79"/>
      <c r="P141" s="79"/>
      <c r="Q141" s="79"/>
      <c r="R141" s="79"/>
      <c r="Y141" s="79"/>
      <c r="AC141" s="130"/>
      <c r="AE141" s="106"/>
    </row>
    <row r="142">
      <c r="C142" s="79"/>
      <c r="D142" s="79"/>
      <c r="E142" s="79"/>
      <c r="P142" s="79"/>
      <c r="Q142" s="79"/>
      <c r="R142" s="79"/>
      <c r="Y142" s="79"/>
      <c r="AC142" s="130"/>
      <c r="AE142" s="106"/>
    </row>
    <row r="143">
      <c r="C143" s="79"/>
      <c r="D143" s="79"/>
      <c r="E143" s="79"/>
      <c r="P143" s="79"/>
      <c r="Q143" s="79"/>
      <c r="R143" s="79"/>
      <c r="Y143" s="79"/>
      <c r="AC143" s="130"/>
      <c r="AE143" s="106"/>
    </row>
    <row r="144">
      <c r="C144" s="79"/>
      <c r="D144" s="79"/>
      <c r="E144" s="79"/>
      <c r="P144" s="79"/>
      <c r="Q144" s="79"/>
      <c r="R144" s="79"/>
      <c r="Y144" s="79"/>
      <c r="AC144" s="130"/>
      <c r="AE144" s="106"/>
    </row>
    <row r="145">
      <c r="C145" s="79"/>
      <c r="D145" s="79"/>
      <c r="E145" s="79"/>
      <c r="P145" s="79"/>
      <c r="Q145" s="79"/>
      <c r="R145" s="79"/>
      <c r="Y145" s="79"/>
      <c r="AC145" s="130"/>
      <c r="AE145" s="106"/>
    </row>
    <row r="146">
      <c r="C146" s="79"/>
      <c r="D146" s="79"/>
      <c r="E146" s="79"/>
      <c r="P146" s="79"/>
      <c r="Q146" s="79"/>
      <c r="R146" s="79"/>
      <c r="Y146" s="79"/>
      <c r="AC146" s="130"/>
      <c r="AE146" s="106"/>
    </row>
    <row r="147">
      <c r="C147" s="79"/>
      <c r="D147" s="79"/>
      <c r="E147" s="79"/>
      <c r="P147" s="79"/>
      <c r="Q147" s="79"/>
      <c r="R147" s="79"/>
      <c r="Y147" s="79"/>
      <c r="AC147" s="130"/>
      <c r="AE147" s="106"/>
    </row>
    <row r="148">
      <c r="C148" s="79"/>
      <c r="D148" s="79"/>
      <c r="E148" s="79"/>
      <c r="P148" s="79"/>
      <c r="Q148" s="79"/>
      <c r="R148" s="79"/>
      <c r="Y148" s="79"/>
      <c r="AC148" s="130"/>
      <c r="AE148" s="106"/>
    </row>
    <row r="149">
      <c r="C149" s="79"/>
      <c r="D149" s="79"/>
      <c r="E149" s="79"/>
      <c r="P149" s="79"/>
      <c r="Q149" s="79"/>
      <c r="R149" s="79"/>
      <c r="Y149" s="79"/>
      <c r="AC149" s="130"/>
      <c r="AE149" s="106"/>
    </row>
    <row r="150">
      <c r="C150" s="79"/>
      <c r="D150" s="79"/>
      <c r="E150" s="79"/>
      <c r="P150" s="79"/>
      <c r="Q150" s="79"/>
      <c r="R150" s="79"/>
      <c r="Y150" s="79"/>
      <c r="AC150" s="130"/>
      <c r="AE150" s="106"/>
    </row>
    <row r="151">
      <c r="C151" s="79"/>
      <c r="D151" s="79"/>
      <c r="E151" s="79"/>
      <c r="P151" s="79"/>
      <c r="Q151" s="79"/>
      <c r="R151" s="79"/>
      <c r="Y151" s="79"/>
      <c r="AC151" s="130"/>
      <c r="AE151" s="106"/>
    </row>
    <row r="152">
      <c r="C152" s="79"/>
      <c r="D152" s="79"/>
      <c r="E152" s="79"/>
      <c r="P152" s="79"/>
      <c r="Q152" s="79"/>
      <c r="R152" s="79"/>
      <c r="Y152" s="79"/>
      <c r="AC152" s="130"/>
      <c r="AE152" s="106"/>
    </row>
    <row r="153">
      <c r="C153" s="79"/>
      <c r="D153" s="79"/>
      <c r="E153" s="79"/>
      <c r="P153" s="79"/>
      <c r="Q153" s="79"/>
      <c r="R153" s="79"/>
      <c r="Y153" s="79"/>
      <c r="AC153" s="130"/>
      <c r="AE153" s="106"/>
    </row>
    <row r="154">
      <c r="C154" s="79"/>
      <c r="D154" s="79"/>
      <c r="E154" s="79"/>
      <c r="P154" s="79"/>
      <c r="Q154" s="79"/>
      <c r="R154" s="79"/>
      <c r="Y154" s="79"/>
      <c r="AC154" s="130"/>
      <c r="AE154" s="106"/>
    </row>
    <row r="155">
      <c r="C155" s="79"/>
      <c r="D155" s="79"/>
      <c r="E155" s="79"/>
      <c r="P155" s="79"/>
      <c r="Q155" s="79"/>
      <c r="R155" s="79"/>
      <c r="Y155" s="79"/>
      <c r="AC155" s="130"/>
      <c r="AE155" s="106"/>
    </row>
    <row r="156">
      <c r="C156" s="79"/>
      <c r="D156" s="79"/>
      <c r="E156" s="79"/>
      <c r="P156" s="79"/>
      <c r="Q156" s="79"/>
      <c r="R156" s="79"/>
      <c r="Y156" s="79"/>
      <c r="AC156" s="130"/>
      <c r="AE156" s="106"/>
    </row>
    <row r="157">
      <c r="C157" s="79"/>
      <c r="D157" s="79"/>
      <c r="E157" s="79"/>
      <c r="P157" s="79"/>
      <c r="Q157" s="79"/>
      <c r="R157" s="79"/>
      <c r="Y157" s="79"/>
      <c r="AC157" s="130"/>
      <c r="AE157" s="106"/>
    </row>
    <row r="158">
      <c r="C158" s="79"/>
      <c r="D158" s="79"/>
      <c r="E158" s="79"/>
      <c r="P158" s="79"/>
      <c r="Q158" s="79"/>
      <c r="R158" s="79"/>
      <c r="Y158" s="79"/>
      <c r="AC158" s="130"/>
      <c r="AE158" s="106"/>
    </row>
    <row r="159">
      <c r="C159" s="79"/>
      <c r="D159" s="79"/>
      <c r="E159" s="79"/>
      <c r="P159" s="79"/>
      <c r="Q159" s="79"/>
      <c r="R159" s="79"/>
      <c r="Y159" s="79"/>
      <c r="AC159" s="130"/>
      <c r="AE159" s="106"/>
    </row>
    <row r="160">
      <c r="C160" s="79"/>
      <c r="D160" s="79"/>
      <c r="E160" s="79"/>
      <c r="P160" s="79"/>
      <c r="Q160" s="79"/>
      <c r="R160" s="79"/>
      <c r="Y160" s="79"/>
      <c r="AC160" s="130"/>
      <c r="AE160" s="106"/>
    </row>
    <row r="161">
      <c r="C161" s="79"/>
      <c r="D161" s="79"/>
      <c r="E161" s="79"/>
      <c r="P161" s="79"/>
      <c r="Q161" s="79"/>
      <c r="R161" s="79"/>
      <c r="Y161" s="79"/>
      <c r="AC161" s="130"/>
      <c r="AE161" s="106"/>
    </row>
    <row r="162">
      <c r="C162" s="79"/>
      <c r="D162" s="79"/>
      <c r="E162" s="79"/>
      <c r="P162" s="79"/>
      <c r="Q162" s="79"/>
      <c r="R162" s="79"/>
      <c r="Y162" s="79"/>
      <c r="AC162" s="130"/>
      <c r="AE162" s="106"/>
    </row>
    <row r="163">
      <c r="C163" s="79"/>
      <c r="D163" s="79"/>
      <c r="E163" s="79"/>
      <c r="P163" s="79"/>
      <c r="Q163" s="79"/>
      <c r="R163" s="79"/>
      <c r="Y163" s="79"/>
      <c r="AC163" s="130"/>
      <c r="AE163" s="106"/>
    </row>
    <row r="164">
      <c r="C164" s="79"/>
      <c r="D164" s="79"/>
      <c r="E164" s="79"/>
      <c r="P164" s="79"/>
      <c r="Q164" s="79"/>
      <c r="R164" s="79"/>
      <c r="Y164" s="79"/>
      <c r="AC164" s="130"/>
      <c r="AE164" s="106"/>
    </row>
    <row r="165">
      <c r="C165" s="79"/>
      <c r="D165" s="79"/>
      <c r="E165" s="79"/>
      <c r="P165" s="79"/>
      <c r="Q165" s="79"/>
      <c r="R165" s="79"/>
      <c r="Y165" s="79"/>
      <c r="AC165" s="130"/>
      <c r="AE165" s="106"/>
    </row>
    <row r="166">
      <c r="C166" s="79"/>
      <c r="D166" s="79"/>
      <c r="E166" s="79"/>
      <c r="P166" s="79"/>
      <c r="Q166" s="79"/>
      <c r="R166" s="79"/>
      <c r="Y166" s="79"/>
      <c r="AC166" s="130"/>
      <c r="AE166" s="106"/>
    </row>
    <row r="167">
      <c r="C167" s="79"/>
      <c r="D167" s="79"/>
      <c r="E167" s="79"/>
      <c r="P167" s="79"/>
      <c r="Q167" s="79"/>
      <c r="R167" s="79"/>
      <c r="Y167" s="79"/>
      <c r="AC167" s="130"/>
      <c r="AE167" s="106"/>
    </row>
    <row r="168">
      <c r="C168" s="79"/>
      <c r="D168" s="79"/>
      <c r="E168" s="79"/>
      <c r="P168" s="79"/>
      <c r="Q168" s="79"/>
      <c r="R168" s="79"/>
      <c r="Y168" s="79"/>
      <c r="AC168" s="130"/>
      <c r="AE168" s="106"/>
    </row>
    <row r="169">
      <c r="C169" s="79"/>
      <c r="D169" s="79"/>
      <c r="E169" s="79"/>
      <c r="P169" s="79"/>
      <c r="Q169" s="79"/>
      <c r="R169" s="79"/>
      <c r="Y169" s="79"/>
      <c r="AC169" s="130"/>
      <c r="AE169" s="106"/>
    </row>
    <row r="170">
      <c r="C170" s="79"/>
      <c r="D170" s="79"/>
      <c r="E170" s="79"/>
      <c r="P170" s="79"/>
      <c r="Q170" s="79"/>
      <c r="R170" s="79"/>
      <c r="Y170" s="79"/>
      <c r="AC170" s="130"/>
      <c r="AE170" s="106"/>
    </row>
    <row r="171">
      <c r="C171" s="79"/>
      <c r="D171" s="79"/>
      <c r="E171" s="79"/>
      <c r="P171" s="79"/>
      <c r="Q171" s="79"/>
      <c r="R171" s="79"/>
      <c r="Y171" s="79"/>
      <c r="AC171" s="130"/>
      <c r="AE171" s="106"/>
    </row>
    <row r="172">
      <c r="C172" s="79"/>
      <c r="D172" s="79"/>
      <c r="E172" s="79"/>
      <c r="P172" s="79"/>
      <c r="Q172" s="79"/>
      <c r="R172" s="79"/>
      <c r="Y172" s="79"/>
      <c r="AC172" s="130"/>
      <c r="AE172" s="106"/>
    </row>
    <row r="173">
      <c r="C173" s="79"/>
      <c r="D173" s="79"/>
      <c r="E173" s="79"/>
      <c r="P173" s="79"/>
      <c r="Q173" s="79"/>
      <c r="R173" s="79"/>
      <c r="Y173" s="79"/>
      <c r="AC173" s="130"/>
      <c r="AE173" s="106"/>
    </row>
    <row r="174">
      <c r="C174" s="79"/>
      <c r="D174" s="79"/>
      <c r="E174" s="79"/>
      <c r="P174" s="79"/>
      <c r="Q174" s="79"/>
      <c r="R174" s="79"/>
      <c r="Y174" s="79"/>
      <c r="AC174" s="130"/>
      <c r="AE174" s="106"/>
    </row>
    <row r="175">
      <c r="C175" s="79"/>
      <c r="D175" s="79"/>
      <c r="E175" s="79"/>
      <c r="P175" s="79"/>
      <c r="Q175" s="79"/>
      <c r="R175" s="79"/>
      <c r="Y175" s="79"/>
      <c r="AC175" s="130"/>
      <c r="AE175" s="106"/>
    </row>
    <row r="176">
      <c r="C176" s="79"/>
      <c r="D176" s="79"/>
      <c r="E176" s="79"/>
      <c r="P176" s="79"/>
      <c r="Q176" s="79"/>
      <c r="R176" s="79"/>
      <c r="Y176" s="79"/>
      <c r="AC176" s="130"/>
      <c r="AE176" s="106"/>
    </row>
    <row r="177">
      <c r="C177" s="79"/>
      <c r="D177" s="79"/>
      <c r="E177" s="79"/>
      <c r="P177" s="79"/>
      <c r="Q177" s="79"/>
      <c r="R177" s="79"/>
      <c r="Y177" s="79"/>
      <c r="AC177" s="130"/>
      <c r="AE177" s="106"/>
    </row>
    <row r="178">
      <c r="C178" s="79"/>
      <c r="D178" s="79"/>
      <c r="E178" s="79"/>
      <c r="P178" s="79"/>
      <c r="Q178" s="79"/>
      <c r="R178" s="79"/>
      <c r="Y178" s="79"/>
      <c r="AC178" s="130"/>
      <c r="AE178" s="106"/>
    </row>
    <row r="179">
      <c r="C179" s="79"/>
      <c r="D179" s="79"/>
      <c r="E179" s="79"/>
      <c r="P179" s="79"/>
      <c r="Q179" s="79"/>
      <c r="R179" s="79"/>
      <c r="Y179" s="79"/>
      <c r="AC179" s="130"/>
      <c r="AE179" s="106"/>
    </row>
    <row r="180">
      <c r="C180" s="79"/>
      <c r="D180" s="79"/>
      <c r="E180" s="79"/>
      <c r="P180" s="79"/>
      <c r="Q180" s="79"/>
      <c r="R180" s="79"/>
      <c r="Y180" s="79"/>
      <c r="AC180" s="130"/>
      <c r="AE180" s="106"/>
    </row>
    <row r="181">
      <c r="C181" s="79"/>
      <c r="D181" s="79"/>
      <c r="E181" s="79"/>
      <c r="P181" s="79"/>
      <c r="Q181" s="79"/>
      <c r="R181" s="79"/>
      <c r="Y181" s="79"/>
      <c r="AC181" s="130"/>
      <c r="AE181" s="106"/>
    </row>
    <row r="182">
      <c r="C182" s="79"/>
      <c r="D182" s="79"/>
      <c r="E182" s="79"/>
      <c r="P182" s="79"/>
      <c r="Q182" s="79"/>
      <c r="R182" s="79"/>
      <c r="Y182" s="79"/>
      <c r="AC182" s="130"/>
      <c r="AE182" s="106"/>
    </row>
    <row r="183">
      <c r="C183" s="79"/>
      <c r="D183" s="79"/>
      <c r="E183" s="79"/>
      <c r="P183" s="79"/>
      <c r="Q183" s="79"/>
      <c r="R183" s="79"/>
      <c r="Y183" s="79"/>
      <c r="AC183" s="130"/>
      <c r="AE183" s="106"/>
    </row>
    <row r="184">
      <c r="C184" s="79"/>
      <c r="D184" s="79"/>
      <c r="E184" s="79"/>
      <c r="P184" s="79"/>
      <c r="Q184" s="79"/>
      <c r="R184" s="79"/>
      <c r="Y184" s="79"/>
      <c r="AC184" s="130"/>
      <c r="AE184" s="106"/>
    </row>
    <row r="185">
      <c r="C185" s="79"/>
      <c r="D185" s="79"/>
      <c r="E185" s="79"/>
      <c r="P185" s="79"/>
      <c r="Q185" s="79"/>
      <c r="R185" s="79"/>
      <c r="Y185" s="79"/>
      <c r="AC185" s="130"/>
      <c r="AE185" s="106"/>
    </row>
    <row r="186">
      <c r="C186" s="79"/>
      <c r="D186" s="79"/>
      <c r="E186" s="79"/>
      <c r="P186" s="79"/>
      <c r="Q186" s="79"/>
      <c r="R186" s="79"/>
      <c r="Y186" s="79"/>
      <c r="AC186" s="130"/>
      <c r="AE186" s="106"/>
    </row>
    <row r="187">
      <c r="C187" s="79"/>
      <c r="D187" s="79"/>
      <c r="E187" s="79"/>
      <c r="P187" s="79"/>
      <c r="Q187" s="79"/>
      <c r="R187" s="79"/>
      <c r="Y187" s="79"/>
      <c r="AC187" s="130"/>
      <c r="AE187" s="106"/>
    </row>
    <row r="188">
      <c r="C188" s="79"/>
      <c r="D188" s="79"/>
      <c r="E188" s="79"/>
      <c r="P188" s="79"/>
      <c r="Q188" s="79"/>
      <c r="R188" s="79"/>
      <c r="Y188" s="79"/>
      <c r="AC188" s="130"/>
      <c r="AE188" s="106"/>
    </row>
    <row r="189">
      <c r="C189" s="79"/>
      <c r="D189" s="79"/>
      <c r="E189" s="79"/>
      <c r="P189" s="79"/>
      <c r="Q189" s="79"/>
      <c r="R189" s="79"/>
      <c r="Y189" s="79"/>
      <c r="AC189" s="130"/>
      <c r="AE189" s="106"/>
    </row>
    <row r="190">
      <c r="C190" s="79"/>
      <c r="D190" s="79"/>
      <c r="E190" s="79"/>
      <c r="P190" s="79"/>
      <c r="Q190" s="79"/>
      <c r="R190" s="79"/>
      <c r="Y190" s="79"/>
      <c r="AC190" s="130"/>
      <c r="AE190" s="106"/>
    </row>
    <row r="191">
      <c r="C191" s="79"/>
      <c r="D191" s="79"/>
      <c r="E191" s="79"/>
      <c r="P191" s="79"/>
      <c r="Q191" s="79"/>
      <c r="R191" s="79"/>
      <c r="Y191" s="79"/>
      <c r="AC191" s="130"/>
      <c r="AE191" s="106"/>
    </row>
    <row r="192">
      <c r="C192" s="79"/>
      <c r="D192" s="79"/>
      <c r="E192" s="79"/>
      <c r="P192" s="79"/>
      <c r="Q192" s="79"/>
      <c r="R192" s="79"/>
      <c r="Y192" s="79"/>
      <c r="AC192" s="130"/>
      <c r="AE192" s="106"/>
    </row>
    <row r="193">
      <c r="C193" s="79"/>
      <c r="D193" s="79"/>
      <c r="E193" s="79"/>
      <c r="P193" s="79"/>
      <c r="Q193" s="79"/>
      <c r="R193" s="79"/>
      <c r="Y193" s="79"/>
      <c r="AC193" s="130"/>
      <c r="AE193" s="106"/>
    </row>
    <row r="194">
      <c r="C194" s="79"/>
      <c r="D194" s="79"/>
      <c r="E194" s="79"/>
      <c r="P194" s="79"/>
      <c r="Q194" s="79"/>
      <c r="R194" s="79"/>
      <c r="Y194" s="79"/>
      <c r="AC194" s="130"/>
      <c r="AE194" s="106"/>
    </row>
    <row r="195">
      <c r="C195" s="79"/>
      <c r="D195" s="79"/>
      <c r="E195" s="79"/>
      <c r="P195" s="79"/>
      <c r="Q195" s="79"/>
      <c r="R195" s="79"/>
      <c r="Y195" s="79"/>
      <c r="AC195" s="130"/>
      <c r="AE195" s="106"/>
    </row>
    <row r="196">
      <c r="C196" s="79"/>
      <c r="D196" s="79"/>
      <c r="E196" s="79"/>
      <c r="P196" s="79"/>
      <c r="Q196" s="79"/>
      <c r="R196" s="79"/>
      <c r="Y196" s="79"/>
      <c r="AC196" s="130"/>
      <c r="AE196" s="106"/>
    </row>
    <row r="197">
      <c r="C197" s="79"/>
      <c r="D197" s="79"/>
      <c r="E197" s="79"/>
      <c r="P197" s="79"/>
      <c r="Q197" s="79"/>
      <c r="R197" s="79"/>
      <c r="Y197" s="79"/>
      <c r="AC197" s="130"/>
      <c r="AE197" s="106"/>
    </row>
    <row r="198">
      <c r="C198" s="79"/>
      <c r="D198" s="79"/>
      <c r="E198" s="79"/>
      <c r="P198" s="79"/>
      <c r="Q198" s="79"/>
      <c r="R198" s="79"/>
      <c r="Y198" s="79"/>
      <c r="AC198" s="130"/>
      <c r="AE198" s="106"/>
    </row>
    <row r="199">
      <c r="C199" s="79"/>
      <c r="D199" s="79"/>
      <c r="E199" s="79"/>
      <c r="P199" s="79"/>
      <c r="Q199" s="79"/>
      <c r="R199" s="79"/>
      <c r="Y199" s="79"/>
      <c r="AC199" s="130"/>
      <c r="AE199" s="106"/>
    </row>
    <row r="200">
      <c r="C200" s="79"/>
      <c r="D200" s="79"/>
      <c r="E200" s="79"/>
      <c r="P200" s="79"/>
      <c r="Q200" s="79"/>
      <c r="R200" s="79"/>
      <c r="Y200" s="79"/>
      <c r="AC200" s="130"/>
      <c r="AE200" s="106"/>
    </row>
    <row r="201">
      <c r="C201" s="79"/>
      <c r="D201" s="79"/>
      <c r="E201" s="79"/>
      <c r="P201" s="79"/>
      <c r="Q201" s="79"/>
      <c r="R201" s="79"/>
      <c r="Y201" s="79"/>
      <c r="AC201" s="130"/>
      <c r="AE201" s="106"/>
    </row>
    <row r="202">
      <c r="C202" s="79"/>
      <c r="D202" s="79"/>
      <c r="E202" s="79"/>
      <c r="P202" s="79"/>
      <c r="Q202" s="79"/>
      <c r="R202" s="79"/>
      <c r="Y202" s="79"/>
      <c r="AC202" s="130"/>
      <c r="AE202" s="106"/>
    </row>
    <row r="203">
      <c r="C203" s="79"/>
      <c r="D203" s="79"/>
      <c r="E203" s="79"/>
      <c r="P203" s="79"/>
      <c r="Q203" s="79"/>
      <c r="R203" s="79"/>
      <c r="Y203" s="79"/>
      <c r="AC203" s="130"/>
      <c r="AE203" s="106"/>
    </row>
    <row r="204">
      <c r="C204" s="79"/>
      <c r="D204" s="79"/>
      <c r="E204" s="79"/>
      <c r="P204" s="79"/>
      <c r="Q204" s="79"/>
      <c r="R204" s="79"/>
      <c r="Y204" s="79"/>
      <c r="AC204" s="130"/>
      <c r="AE204" s="106"/>
    </row>
    <row r="205">
      <c r="C205" s="79"/>
      <c r="D205" s="79"/>
      <c r="E205" s="79"/>
      <c r="P205" s="79"/>
      <c r="Q205" s="79"/>
      <c r="R205" s="79"/>
      <c r="Y205" s="79"/>
      <c r="AC205" s="130"/>
      <c r="AE205" s="106"/>
    </row>
    <row r="206">
      <c r="C206" s="79"/>
      <c r="D206" s="79"/>
      <c r="E206" s="79"/>
      <c r="P206" s="79"/>
      <c r="Q206" s="79"/>
      <c r="R206" s="79"/>
      <c r="Y206" s="79"/>
      <c r="AC206" s="130"/>
      <c r="AE206" s="106"/>
    </row>
    <row r="207">
      <c r="C207" s="79"/>
      <c r="D207" s="79"/>
      <c r="E207" s="79"/>
      <c r="P207" s="79"/>
      <c r="Q207" s="79"/>
      <c r="R207" s="79"/>
      <c r="Y207" s="79"/>
      <c r="AC207" s="130"/>
      <c r="AE207" s="106"/>
    </row>
    <row r="208">
      <c r="C208" s="79"/>
      <c r="D208" s="79"/>
      <c r="E208" s="79"/>
      <c r="P208" s="79"/>
      <c r="Q208" s="79"/>
      <c r="R208" s="79"/>
      <c r="Y208" s="79"/>
      <c r="AC208" s="130"/>
      <c r="AE208" s="106"/>
    </row>
    <row r="209">
      <c r="C209" s="79"/>
      <c r="D209" s="79"/>
      <c r="E209" s="79"/>
      <c r="P209" s="79"/>
      <c r="Q209" s="79"/>
      <c r="R209" s="79"/>
      <c r="Y209" s="79"/>
      <c r="AC209" s="130"/>
      <c r="AE209" s="106"/>
    </row>
    <row r="210">
      <c r="C210" s="79"/>
      <c r="D210" s="79"/>
      <c r="E210" s="79"/>
      <c r="P210" s="79"/>
      <c r="Q210" s="79"/>
      <c r="R210" s="79"/>
      <c r="Y210" s="79"/>
      <c r="AC210" s="130"/>
      <c r="AE210" s="106"/>
    </row>
    <row r="211">
      <c r="C211" s="79"/>
      <c r="D211" s="79"/>
      <c r="E211" s="79"/>
      <c r="P211" s="79"/>
      <c r="Q211" s="79"/>
      <c r="R211" s="79"/>
      <c r="Y211" s="79"/>
      <c r="AC211" s="130"/>
      <c r="AE211" s="106"/>
    </row>
    <row r="212">
      <c r="C212" s="79"/>
      <c r="D212" s="79"/>
      <c r="E212" s="79"/>
      <c r="P212" s="79"/>
      <c r="Q212" s="79"/>
      <c r="R212" s="79"/>
      <c r="Y212" s="79"/>
      <c r="AC212" s="130"/>
      <c r="AE212" s="106"/>
    </row>
    <row r="213">
      <c r="C213" s="79"/>
      <c r="D213" s="79"/>
      <c r="E213" s="79"/>
      <c r="P213" s="79"/>
      <c r="Q213" s="79"/>
      <c r="R213" s="79"/>
      <c r="Y213" s="79"/>
      <c r="AC213" s="130"/>
      <c r="AE213" s="106"/>
    </row>
    <row r="214">
      <c r="C214" s="79"/>
      <c r="D214" s="79"/>
      <c r="E214" s="79"/>
      <c r="P214" s="79"/>
      <c r="Q214" s="79"/>
      <c r="R214" s="79"/>
      <c r="Y214" s="79"/>
      <c r="AC214" s="130"/>
      <c r="AE214" s="106"/>
    </row>
    <row r="215">
      <c r="C215" s="79"/>
      <c r="D215" s="79"/>
      <c r="E215" s="79"/>
      <c r="P215" s="79"/>
      <c r="Q215" s="79"/>
      <c r="R215" s="79"/>
      <c r="Y215" s="79"/>
      <c r="AC215" s="130"/>
      <c r="AE215" s="106"/>
    </row>
    <row r="216">
      <c r="C216" s="79"/>
      <c r="D216" s="79"/>
      <c r="E216" s="79"/>
      <c r="P216" s="79"/>
      <c r="Q216" s="79"/>
      <c r="R216" s="79"/>
      <c r="Y216" s="79"/>
      <c r="AC216" s="130"/>
      <c r="AE216" s="106"/>
    </row>
    <row r="217">
      <c r="C217" s="79"/>
      <c r="D217" s="79"/>
      <c r="E217" s="79"/>
      <c r="P217" s="79"/>
      <c r="Q217" s="79"/>
      <c r="R217" s="79"/>
      <c r="Y217" s="79"/>
      <c r="AC217" s="130"/>
      <c r="AE217" s="106"/>
    </row>
    <row r="218">
      <c r="C218" s="79"/>
      <c r="D218" s="79"/>
      <c r="E218" s="79"/>
      <c r="P218" s="79"/>
      <c r="Q218" s="79"/>
      <c r="R218" s="79"/>
      <c r="Y218" s="79"/>
      <c r="AC218" s="130"/>
      <c r="AE218" s="106"/>
    </row>
    <row r="219">
      <c r="C219" s="79"/>
      <c r="D219" s="79"/>
      <c r="E219" s="79"/>
      <c r="P219" s="79"/>
      <c r="Q219" s="79"/>
      <c r="R219" s="79"/>
      <c r="Y219" s="79"/>
      <c r="AC219" s="130"/>
      <c r="AE219" s="106"/>
    </row>
    <row r="220">
      <c r="C220" s="79"/>
      <c r="D220" s="79"/>
      <c r="E220" s="79"/>
      <c r="P220" s="79"/>
      <c r="Q220" s="79"/>
      <c r="R220" s="79"/>
      <c r="Y220" s="79"/>
      <c r="AC220" s="130"/>
      <c r="AE220" s="106"/>
    </row>
    <row r="221">
      <c r="C221" s="79"/>
      <c r="D221" s="79"/>
      <c r="E221" s="79"/>
      <c r="P221" s="79"/>
      <c r="Q221" s="79"/>
      <c r="R221" s="79"/>
      <c r="Y221" s="79"/>
      <c r="AC221" s="130"/>
      <c r="AE221" s="106"/>
    </row>
    <row r="222">
      <c r="C222" s="79"/>
      <c r="D222" s="79"/>
      <c r="E222" s="79"/>
      <c r="P222" s="79"/>
      <c r="Q222" s="79"/>
      <c r="R222" s="79"/>
      <c r="Y222" s="79"/>
      <c r="AC222" s="130"/>
      <c r="AE222" s="106"/>
    </row>
    <row r="223">
      <c r="C223" s="79"/>
      <c r="D223" s="79"/>
      <c r="E223" s="79"/>
      <c r="P223" s="79"/>
      <c r="Q223" s="79"/>
      <c r="R223" s="79"/>
      <c r="Y223" s="79"/>
      <c r="AC223" s="130"/>
      <c r="AE223" s="106"/>
    </row>
    <row r="224">
      <c r="C224" s="79"/>
      <c r="D224" s="79"/>
      <c r="E224" s="79"/>
      <c r="P224" s="79"/>
      <c r="Q224" s="79"/>
      <c r="R224" s="79"/>
      <c r="Y224" s="79"/>
      <c r="AC224" s="130"/>
      <c r="AE224" s="106"/>
    </row>
    <row r="225">
      <c r="C225" s="79"/>
      <c r="D225" s="79"/>
      <c r="E225" s="79"/>
      <c r="P225" s="79"/>
      <c r="Q225" s="79"/>
      <c r="R225" s="79"/>
      <c r="Y225" s="79"/>
      <c r="AC225" s="130"/>
      <c r="AE225" s="106"/>
    </row>
    <row r="226">
      <c r="C226" s="79"/>
      <c r="D226" s="79"/>
      <c r="E226" s="79"/>
      <c r="P226" s="79"/>
      <c r="Q226" s="79"/>
      <c r="R226" s="79"/>
      <c r="Y226" s="79"/>
      <c r="AC226" s="130"/>
      <c r="AE226" s="106"/>
    </row>
    <row r="227">
      <c r="C227" s="79"/>
      <c r="D227" s="79"/>
      <c r="E227" s="79"/>
      <c r="P227" s="79"/>
      <c r="Q227" s="79"/>
      <c r="R227" s="79"/>
      <c r="Y227" s="79"/>
      <c r="AC227" s="130"/>
      <c r="AE227" s="106"/>
    </row>
    <row r="228">
      <c r="C228" s="79"/>
      <c r="D228" s="79"/>
      <c r="E228" s="79"/>
      <c r="P228" s="79"/>
      <c r="Q228" s="79"/>
      <c r="R228" s="79"/>
      <c r="Y228" s="79"/>
      <c r="AC228" s="130"/>
      <c r="AE228" s="106"/>
    </row>
    <row r="229">
      <c r="C229" s="79"/>
      <c r="D229" s="79"/>
      <c r="E229" s="79"/>
      <c r="P229" s="79"/>
      <c r="Q229" s="79"/>
      <c r="R229" s="79"/>
      <c r="Y229" s="79"/>
      <c r="AC229" s="130"/>
      <c r="AE229" s="106"/>
    </row>
    <row r="230">
      <c r="C230" s="79"/>
      <c r="D230" s="79"/>
      <c r="E230" s="79"/>
      <c r="P230" s="79"/>
      <c r="Q230" s="79"/>
      <c r="R230" s="79"/>
      <c r="Y230" s="79"/>
      <c r="AC230" s="130"/>
      <c r="AE230" s="106"/>
    </row>
    <row r="231">
      <c r="C231" s="79"/>
      <c r="D231" s="79"/>
      <c r="E231" s="79"/>
      <c r="P231" s="79"/>
      <c r="Q231" s="79"/>
      <c r="R231" s="79"/>
      <c r="Y231" s="79"/>
      <c r="AC231" s="130"/>
      <c r="AE231" s="106"/>
    </row>
    <row r="232">
      <c r="C232" s="79"/>
      <c r="D232" s="79"/>
      <c r="E232" s="79"/>
      <c r="P232" s="79"/>
      <c r="Q232" s="79"/>
      <c r="R232" s="79"/>
      <c r="Y232" s="79"/>
      <c r="AC232" s="130"/>
      <c r="AE232" s="106"/>
    </row>
    <row r="233">
      <c r="C233" s="79"/>
      <c r="D233" s="79"/>
      <c r="E233" s="79"/>
      <c r="P233" s="79"/>
      <c r="Q233" s="79"/>
      <c r="R233" s="79"/>
      <c r="Y233" s="79"/>
      <c r="AC233" s="130"/>
      <c r="AE233" s="106"/>
    </row>
    <row r="234">
      <c r="C234" s="79"/>
      <c r="D234" s="79"/>
      <c r="E234" s="79"/>
      <c r="P234" s="79"/>
      <c r="Q234" s="79"/>
      <c r="R234" s="79"/>
      <c r="Y234" s="79"/>
      <c r="AC234" s="130"/>
      <c r="AE234" s="106"/>
    </row>
    <row r="235">
      <c r="C235" s="79"/>
      <c r="D235" s="79"/>
      <c r="E235" s="79"/>
      <c r="P235" s="79"/>
      <c r="Q235" s="79"/>
      <c r="R235" s="79"/>
      <c r="Y235" s="79"/>
      <c r="AC235" s="130"/>
      <c r="AE235" s="106"/>
    </row>
    <row r="236">
      <c r="C236" s="79"/>
      <c r="D236" s="79"/>
      <c r="E236" s="79"/>
      <c r="P236" s="79"/>
      <c r="Q236" s="79"/>
      <c r="R236" s="79"/>
      <c r="Y236" s="79"/>
      <c r="AC236" s="130"/>
      <c r="AE236" s="106"/>
    </row>
    <row r="237">
      <c r="C237" s="79"/>
      <c r="D237" s="79"/>
      <c r="E237" s="79"/>
      <c r="P237" s="79"/>
      <c r="Q237" s="79"/>
      <c r="R237" s="79"/>
      <c r="Y237" s="79"/>
      <c r="AC237" s="130"/>
      <c r="AE237" s="106"/>
    </row>
    <row r="238">
      <c r="C238" s="79"/>
      <c r="D238" s="79"/>
      <c r="E238" s="79"/>
      <c r="P238" s="79"/>
      <c r="Q238" s="79"/>
      <c r="R238" s="79"/>
      <c r="Y238" s="79"/>
      <c r="AC238" s="130"/>
      <c r="AE238" s="106"/>
    </row>
    <row r="239">
      <c r="C239" s="79"/>
      <c r="D239" s="79"/>
      <c r="E239" s="79"/>
      <c r="P239" s="79"/>
      <c r="Q239" s="79"/>
      <c r="R239" s="79"/>
      <c r="Y239" s="79"/>
      <c r="AC239" s="130"/>
      <c r="AE239" s="106"/>
    </row>
    <row r="240">
      <c r="C240" s="79"/>
      <c r="D240" s="79"/>
      <c r="E240" s="79"/>
      <c r="P240" s="79"/>
      <c r="Q240" s="79"/>
      <c r="R240" s="79"/>
      <c r="Y240" s="79"/>
      <c r="AC240" s="130"/>
      <c r="AE240" s="106"/>
    </row>
    <row r="241">
      <c r="C241" s="79"/>
      <c r="D241" s="79"/>
      <c r="E241" s="79"/>
      <c r="P241" s="79"/>
      <c r="Q241" s="79"/>
      <c r="R241" s="79"/>
      <c r="Y241" s="79"/>
      <c r="AC241" s="130"/>
      <c r="AE241" s="106"/>
    </row>
    <row r="242">
      <c r="C242" s="79"/>
      <c r="D242" s="79"/>
      <c r="E242" s="79"/>
      <c r="P242" s="79"/>
      <c r="Q242" s="79"/>
      <c r="R242" s="79"/>
      <c r="Y242" s="79"/>
      <c r="AC242" s="130"/>
      <c r="AE242" s="106"/>
    </row>
    <row r="243">
      <c r="C243" s="79"/>
      <c r="D243" s="79"/>
      <c r="E243" s="79"/>
      <c r="P243" s="79"/>
      <c r="Q243" s="79"/>
      <c r="R243" s="79"/>
      <c r="Y243" s="79"/>
      <c r="AC243" s="130"/>
      <c r="AE243" s="106"/>
    </row>
    <row r="244">
      <c r="C244" s="79"/>
      <c r="D244" s="79"/>
      <c r="E244" s="79"/>
      <c r="P244" s="79"/>
      <c r="Q244" s="79"/>
      <c r="R244" s="79"/>
      <c r="Y244" s="79"/>
      <c r="AC244" s="130"/>
      <c r="AE244" s="106"/>
    </row>
    <row r="245">
      <c r="C245" s="79"/>
      <c r="D245" s="79"/>
      <c r="E245" s="79"/>
      <c r="P245" s="79"/>
      <c r="Q245" s="79"/>
      <c r="R245" s="79"/>
      <c r="Y245" s="79"/>
      <c r="AC245" s="130"/>
      <c r="AE245" s="106"/>
    </row>
    <row r="246">
      <c r="C246" s="79"/>
      <c r="D246" s="79"/>
      <c r="E246" s="79"/>
      <c r="P246" s="79"/>
      <c r="Q246" s="79"/>
      <c r="R246" s="79"/>
      <c r="Y246" s="79"/>
      <c r="AC246" s="130"/>
      <c r="AE246" s="106"/>
    </row>
    <row r="247">
      <c r="C247" s="79"/>
      <c r="D247" s="79"/>
      <c r="E247" s="79"/>
      <c r="P247" s="79"/>
      <c r="Q247" s="79"/>
      <c r="R247" s="79"/>
      <c r="Y247" s="79"/>
      <c r="AC247" s="130"/>
      <c r="AE247" s="106"/>
    </row>
    <row r="248">
      <c r="C248" s="79"/>
      <c r="D248" s="79"/>
      <c r="E248" s="79"/>
      <c r="P248" s="79"/>
      <c r="Q248" s="79"/>
      <c r="R248" s="79"/>
      <c r="Y248" s="79"/>
      <c r="AC248" s="130"/>
      <c r="AE248" s="106"/>
    </row>
    <row r="249">
      <c r="C249" s="79"/>
      <c r="D249" s="79"/>
      <c r="E249" s="79"/>
      <c r="P249" s="79"/>
      <c r="Q249" s="79"/>
      <c r="R249" s="79"/>
      <c r="Y249" s="79"/>
      <c r="AC249" s="130"/>
      <c r="AE249" s="106"/>
    </row>
    <row r="250">
      <c r="C250" s="79"/>
      <c r="D250" s="79"/>
      <c r="E250" s="79"/>
      <c r="P250" s="79"/>
      <c r="Q250" s="79"/>
      <c r="R250" s="79"/>
      <c r="Y250" s="79"/>
      <c r="AC250" s="130"/>
      <c r="AE250" s="106"/>
    </row>
    <row r="251">
      <c r="C251" s="79"/>
      <c r="D251" s="79"/>
      <c r="E251" s="79"/>
      <c r="P251" s="79"/>
      <c r="Q251" s="79"/>
      <c r="R251" s="79"/>
      <c r="Y251" s="79"/>
      <c r="AC251" s="130"/>
      <c r="AE251" s="106"/>
    </row>
    <row r="252">
      <c r="C252" s="79"/>
      <c r="D252" s="79"/>
      <c r="E252" s="79"/>
      <c r="P252" s="79"/>
      <c r="Q252" s="79"/>
      <c r="R252" s="79"/>
      <c r="Y252" s="79"/>
      <c r="AC252" s="130"/>
      <c r="AE252" s="106"/>
    </row>
    <row r="253">
      <c r="C253" s="79"/>
      <c r="D253" s="79"/>
      <c r="E253" s="79"/>
      <c r="P253" s="79"/>
      <c r="Q253" s="79"/>
      <c r="R253" s="79"/>
      <c r="Y253" s="79"/>
      <c r="AC253" s="130"/>
      <c r="AE253" s="106"/>
    </row>
    <row r="254">
      <c r="C254" s="79"/>
      <c r="D254" s="79"/>
      <c r="E254" s="79"/>
      <c r="P254" s="79"/>
      <c r="Q254" s="79"/>
      <c r="R254" s="79"/>
      <c r="Y254" s="79"/>
      <c r="AC254" s="130"/>
      <c r="AE254" s="106"/>
    </row>
    <row r="255">
      <c r="C255" s="79"/>
      <c r="D255" s="79"/>
      <c r="E255" s="79"/>
      <c r="P255" s="79"/>
      <c r="Q255" s="79"/>
      <c r="R255" s="79"/>
      <c r="Y255" s="79"/>
      <c r="AC255" s="130"/>
      <c r="AE255" s="106"/>
    </row>
    <row r="256">
      <c r="C256" s="79"/>
      <c r="D256" s="79"/>
      <c r="E256" s="79"/>
      <c r="P256" s="79"/>
      <c r="Q256" s="79"/>
      <c r="R256" s="79"/>
      <c r="Y256" s="79"/>
      <c r="AC256" s="130"/>
      <c r="AE256" s="106"/>
    </row>
    <row r="257">
      <c r="C257" s="79"/>
      <c r="D257" s="79"/>
      <c r="E257" s="79"/>
      <c r="P257" s="79"/>
      <c r="Q257" s="79"/>
      <c r="R257" s="79"/>
      <c r="Y257" s="79"/>
      <c r="AC257" s="130"/>
      <c r="AE257" s="106"/>
    </row>
    <row r="258">
      <c r="C258" s="79"/>
      <c r="D258" s="79"/>
      <c r="E258" s="79"/>
      <c r="P258" s="79"/>
      <c r="Q258" s="79"/>
      <c r="R258" s="79"/>
      <c r="Y258" s="79"/>
      <c r="AC258" s="130"/>
      <c r="AE258" s="106"/>
    </row>
    <row r="259">
      <c r="C259" s="79"/>
      <c r="D259" s="79"/>
      <c r="E259" s="79"/>
      <c r="P259" s="79"/>
      <c r="Q259" s="79"/>
      <c r="R259" s="79"/>
      <c r="Y259" s="79"/>
      <c r="AC259" s="130"/>
      <c r="AE259" s="106"/>
    </row>
    <row r="260">
      <c r="C260" s="79"/>
      <c r="D260" s="79"/>
      <c r="E260" s="79"/>
      <c r="P260" s="79"/>
      <c r="Q260" s="79"/>
      <c r="R260" s="79"/>
      <c r="Y260" s="79"/>
      <c r="AC260" s="130"/>
      <c r="AE260" s="106"/>
    </row>
    <row r="261">
      <c r="C261" s="79"/>
      <c r="D261" s="79"/>
      <c r="E261" s="79"/>
      <c r="P261" s="79"/>
      <c r="Q261" s="79"/>
      <c r="R261" s="79"/>
      <c r="Y261" s="79"/>
      <c r="AC261" s="130"/>
      <c r="AE261" s="106"/>
    </row>
    <row r="262">
      <c r="C262" s="79"/>
      <c r="D262" s="79"/>
      <c r="E262" s="79"/>
      <c r="P262" s="79"/>
      <c r="Q262" s="79"/>
      <c r="R262" s="79"/>
      <c r="Y262" s="79"/>
      <c r="AC262" s="130"/>
      <c r="AE262" s="106"/>
    </row>
    <row r="263">
      <c r="C263" s="79"/>
      <c r="D263" s="79"/>
      <c r="E263" s="79"/>
      <c r="P263" s="79"/>
      <c r="Q263" s="79"/>
      <c r="R263" s="79"/>
      <c r="Y263" s="79"/>
      <c r="AC263" s="130"/>
      <c r="AE263" s="106"/>
    </row>
    <row r="264">
      <c r="C264" s="79"/>
      <c r="D264" s="79"/>
      <c r="E264" s="79"/>
      <c r="P264" s="79"/>
      <c r="Q264" s="79"/>
      <c r="R264" s="79"/>
      <c r="Y264" s="79"/>
      <c r="AC264" s="130"/>
      <c r="AE264" s="106"/>
    </row>
    <row r="265">
      <c r="C265" s="79"/>
      <c r="D265" s="79"/>
      <c r="E265" s="79"/>
      <c r="P265" s="79"/>
      <c r="Q265" s="79"/>
      <c r="R265" s="79"/>
      <c r="Y265" s="79"/>
      <c r="AC265" s="130"/>
      <c r="AE265" s="106"/>
    </row>
    <row r="266">
      <c r="C266" s="79"/>
      <c r="D266" s="79"/>
      <c r="E266" s="79"/>
      <c r="P266" s="79"/>
      <c r="Q266" s="79"/>
      <c r="R266" s="79"/>
      <c r="Y266" s="79"/>
      <c r="AC266" s="130"/>
      <c r="AE266" s="106"/>
    </row>
    <row r="267">
      <c r="C267" s="79"/>
      <c r="D267" s="79"/>
      <c r="E267" s="79"/>
      <c r="P267" s="79"/>
      <c r="Q267" s="79"/>
      <c r="R267" s="79"/>
      <c r="Y267" s="79"/>
      <c r="AC267" s="130"/>
      <c r="AE267" s="106"/>
    </row>
    <row r="268">
      <c r="C268" s="79"/>
      <c r="D268" s="79"/>
      <c r="E268" s="79"/>
      <c r="P268" s="79"/>
      <c r="Q268" s="79"/>
      <c r="R268" s="79"/>
      <c r="Y268" s="79"/>
      <c r="AC268" s="130"/>
      <c r="AE268" s="106"/>
    </row>
    <row r="269">
      <c r="C269" s="79"/>
      <c r="D269" s="79"/>
      <c r="E269" s="79"/>
      <c r="P269" s="79"/>
      <c r="Q269" s="79"/>
      <c r="R269" s="79"/>
      <c r="Y269" s="79"/>
      <c r="AC269" s="130"/>
      <c r="AE269" s="106"/>
    </row>
    <row r="270">
      <c r="C270" s="79"/>
      <c r="D270" s="79"/>
      <c r="E270" s="79"/>
      <c r="P270" s="79"/>
      <c r="Q270" s="79"/>
      <c r="R270" s="79"/>
      <c r="Y270" s="79"/>
      <c r="AC270" s="130"/>
      <c r="AE270" s="106"/>
    </row>
    <row r="271">
      <c r="C271" s="79"/>
      <c r="D271" s="79"/>
      <c r="E271" s="79"/>
      <c r="P271" s="79"/>
      <c r="Q271" s="79"/>
      <c r="R271" s="79"/>
      <c r="Y271" s="79"/>
      <c r="AC271" s="130"/>
      <c r="AE271" s="106"/>
    </row>
    <row r="272">
      <c r="C272" s="79"/>
      <c r="D272" s="79"/>
      <c r="E272" s="79"/>
      <c r="P272" s="79"/>
      <c r="Q272" s="79"/>
      <c r="R272" s="79"/>
      <c r="Y272" s="79"/>
      <c r="AC272" s="130"/>
      <c r="AE272" s="106"/>
    </row>
    <row r="273">
      <c r="C273" s="79"/>
      <c r="D273" s="79"/>
      <c r="E273" s="79"/>
      <c r="P273" s="79"/>
      <c r="Q273" s="79"/>
      <c r="R273" s="79"/>
      <c r="Y273" s="79"/>
      <c r="AC273" s="130"/>
      <c r="AE273" s="106"/>
    </row>
    <row r="274">
      <c r="C274" s="79"/>
      <c r="D274" s="79"/>
      <c r="E274" s="79"/>
      <c r="P274" s="79"/>
      <c r="Q274" s="79"/>
      <c r="R274" s="79"/>
      <c r="Y274" s="79"/>
      <c r="AC274" s="130"/>
      <c r="AE274" s="106"/>
    </row>
    <row r="275">
      <c r="C275" s="79"/>
      <c r="D275" s="79"/>
      <c r="E275" s="79"/>
      <c r="P275" s="79"/>
      <c r="Q275" s="79"/>
      <c r="R275" s="79"/>
      <c r="Y275" s="79"/>
      <c r="AC275" s="130"/>
      <c r="AE275" s="106"/>
    </row>
    <row r="276">
      <c r="C276" s="79"/>
      <c r="D276" s="79"/>
      <c r="E276" s="79"/>
      <c r="P276" s="79"/>
      <c r="Q276" s="79"/>
      <c r="R276" s="79"/>
      <c r="Y276" s="79"/>
      <c r="AC276" s="130"/>
      <c r="AE276" s="106"/>
    </row>
    <row r="277">
      <c r="C277" s="79"/>
      <c r="D277" s="79"/>
      <c r="E277" s="79"/>
      <c r="P277" s="79"/>
      <c r="Q277" s="79"/>
      <c r="R277" s="79"/>
      <c r="Y277" s="79"/>
      <c r="AC277" s="130"/>
      <c r="AE277" s="106"/>
    </row>
    <row r="278">
      <c r="C278" s="79"/>
      <c r="D278" s="79"/>
      <c r="E278" s="79"/>
      <c r="P278" s="79"/>
      <c r="Q278" s="79"/>
      <c r="R278" s="79"/>
      <c r="Y278" s="79"/>
      <c r="AC278" s="130"/>
      <c r="AE278" s="106"/>
    </row>
    <row r="279">
      <c r="C279" s="79"/>
      <c r="D279" s="79"/>
      <c r="E279" s="79"/>
      <c r="P279" s="79"/>
      <c r="Q279" s="79"/>
      <c r="R279" s="79"/>
      <c r="Y279" s="79"/>
      <c r="AC279" s="130"/>
      <c r="AE279" s="106"/>
    </row>
    <row r="280">
      <c r="C280" s="79"/>
      <c r="D280" s="79"/>
      <c r="E280" s="79"/>
      <c r="P280" s="79"/>
      <c r="Q280" s="79"/>
      <c r="R280" s="79"/>
      <c r="Y280" s="79"/>
      <c r="AC280" s="130"/>
      <c r="AE280" s="106"/>
    </row>
    <row r="281">
      <c r="C281" s="79"/>
      <c r="D281" s="79"/>
      <c r="E281" s="79"/>
      <c r="P281" s="79"/>
      <c r="Q281" s="79"/>
      <c r="R281" s="79"/>
      <c r="Y281" s="79"/>
      <c r="AC281" s="130"/>
      <c r="AE281" s="106"/>
    </row>
    <row r="282">
      <c r="C282" s="79"/>
      <c r="D282" s="79"/>
      <c r="E282" s="79"/>
      <c r="P282" s="79"/>
      <c r="Q282" s="79"/>
      <c r="R282" s="79"/>
      <c r="Y282" s="79"/>
      <c r="AC282" s="130"/>
      <c r="AE282" s="106"/>
    </row>
    <row r="283">
      <c r="C283" s="79"/>
      <c r="D283" s="79"/>
      <c r="E283" s="79"/>
      <c r="P283" s="79"/>
      <c r="Q283" s="79"/>
      <c r="R283" s="79"/>
      <c r="Y283" s="79"/>
      <c r="AC283" s="130"/>
      <c r="AE283" s="106"/>
    </row>
    <row r="284">
      <c r="C284" s="79"/>
      <c r="D284" s="79"/>
      <c r="E284" s="79"/>
      <c r="P284" s="79"/>
      <c r="Q284" s="79"/>
      <c r="R284" s="79"/>
      <c r="Y284" s="79"/>
      <c r="AC284" s="130"/>
      <c r="AE284" s="106"/>
    </row>
    <row r="285">
      <c r="C285" s="79"/>
      <c r="D285" s="79"/>
      <c r="E285" s="79"/>
      <c r="P285" s="79"/>
      <c r="Q285" s="79"/>
      <c r="R285" s="79"/>
      <c r="Y285" s="79"/>
      <c r="AC285" s="130"/>
      <c r="AE285" s="106"/>
    </row>
    <row r="286">
      <c r="C286" s="79"/>
      <c r="D286" s="79"/>
      <c r="E286" s="79"/>
      <c r="P286" s="79"/>
      <c r="Q286" s="79"/>
      <c r="R286" s="79"/>
      <c r="Y286" s="79"/>
      <c r="AC286" s="130"/>
      <c r="AE286" s="106"/>
    </row>
    <row r="287">
      <c r="C287" s="79"/>
      <c r="D287" s="79"/>
      <c r="E287" s="79"/>
      <c r="P287" s="79"/>
      <c r="Q287" s="79"/>
      <c r="R287" s="79"/>
      <c r="Y287" s="79"/>
      <c r="AC287" s="130"/>
      <c r="AE287" s="106"/>
    </row>
    <row r="288">
      <c r="C288" s="79"/>
      <c r="D288" s="79"/>
      <c r="E288" s="79"/>
      <c r="P288" s="79"/>
      <c r="Q288" s="79"/>
      <c r="R288" s="79"/>
      <c r="Y288" s="79"/>
      <c r="AC288" s="130"/>
      <c r="AE288" s="106"/>
    </row>
    <row r="289">
      <c r="C289" s="79"/>
      <c r="D289" s="79"/>
      <c r="E289" s="79"/>
      <c r="P289" s="79"/>
      <c r="Q289" s="79"/>
      <c r="R289" s="79"/>
      <c r="Y289" s="79"/>
      <c r="AC289" s="130"/>
      <c r="AE289" s="106"/>
    </row>
    <row r="290">
      <c r="C290" s="79"/>
      <c r="D290" s="79"/>
      <c r="E290" s="79"/>
      <c r="P290" s="79"/>
      <c r="Q290" s="79"/>
      <c r="R290" s="79"/>
      <c r="Y290" s="79"/>
      <c r="AC290" s="130"/>
      <c r="AE290" s="106"/>
    </row>
    <row r="291">
      <c r="C291" s="79"/>
      <c r="D291" s="79"/>
      <c r="E291" s="79"/>
      <c r="P291" s="79"/>
      <c r="Q291" s="79"/>
      <c r="R291" s="79"/>
      <c r="Y291" s="79"/>
      <c r="AC291" s="130"/>
      <c r="AE291" s="106"/>
    </row>
    <row r="292">
      <c r="C292" s="79"/>
      <c r="D292" s="79"/>
      <c r="E292" s="79"/>
      <c r="P292" s="79"/>
      <c r="Q292" s="79"/>
      <c r="R292" s="79"/>
      <c r="Y292" s="79"/>
      <c r="AC292" s="130"/>
      <c r="AE292" s="106"/>
    </row>
    <row r="293">
      <c r="C293" s="79"/>
      <c r="D293" s="79"/>
      <c r="E293" s="79"/>
      <c r="P293" s="79"/>
      <c r="Q293" s="79"/>
      <c r="R293" s="79"/>
      <c r="Y293" s="79"/>
      <c r="AC293" s="130"/>
      <c r="AE293" s="106"/>
    </row>
    <row r="294">
      <c r="C294" s="79"/>
      <c r="D294" s="79"/>
      <c r="E294" s="79"/>
      <c r="P294" s="79"/>
      <c r="Q294" s="79"/>
      <c r="R294" s="79"/>
      <c r="Y294" s="79"/>
      <c r="AC294" s="130"/>
      <c r="AE294" s="106"/>
    </row>
    <row r="295">
      <c r="C295" s="79"/>
      <c r="D295" s="79"/>
      <c r="E295" s="79"/>
      <c r="P295" s="79"/>
      <c r="Q295" s="79"/>
      <c r="R295" s="79"/>
      <c r="Y295" s="79"/>
      <c r="AC295" s="130"/>
      <c r="AE295" s="106"/>
    </row>
    <row r="296">
      <c r="C296" s="79"/>
      <c r="D296" s="79"/>
      <c r="E296" s="79"/>
      <c r="P296" s="79"/>
      <c r="Q296" s="79"/>
      <c r="R296" s="79"/>
      <c r="Y296" s="79"/>
      <c r="AC296" s="130"/>
      <c r="AE296" s="106"/>
    </row>
    <row r="297">
      <c r="C297" s="79"/>
      <c r="D297" s="79"/>
      <c r="E297" s="79"/>
      <c r="P297" s="79"/>
      <c r="Q297" s="79"/>
      <c r="R297" s="79"/>
      <c r="Y297" s="79"/>
      <c r="AC297" s="130"/>
      <c r="AE297" s="106"/>
    </row>
    <row r="298">
      <c r="C298" s="79"/>
      <c r="D298" s="79"/>
      <c r="E298" s="79"/>
      <c r="P298" s="79"/>
      <c r="Q298" s="79"/>
      <c r="R298" s="79"/>
      <c r="Y298" s="79"/>
      <c r="AC298" s="130"/>
      <c r="AE298" s="106"/>
    </row>
    <row r="299">
      <c r="C299" s="79"/>
      <c r="D299" s="79"/>
      <c r="E299" s="79"/>
      <c r="P299" s="79"/>
      <c r="Q299" s="79"/>
      <c r="R299" s="79"/>
      <c r="Y299" s="79"/>
      <c r="AC299" s="130"/>
      <c r="AE299" s="106"/>
    </row>
    <row r="300">
      <c r="C300" s="79"/>
      <c r="D300" s="79"/>
      <c r="E300" s="79"/>
      <c r="P300" s="79"/>
      <c r="Q300" s="79"/>
      <c r="R300" s="79"/>
      <c r="Y300" s="79"/>
      <c r="AC300" s="130"/>
      <c r="AE300" s="106"/>
    </row>
    <row r="301">
      <c r="C301" s="79"/>
      <c r="D301" s="79"/>
      <c r="E301" s="79"/>
      <c r="P301" s="79"/>
      <c r="Q301" s="79"/>
      <c r="R301" s="79"/>
      <c r="Y301" s="79"/>
      <c r="AC301" s="130"/>
      <c r="AE301" s="106"/>
    </row>
    <row r="302">
      <c r="C302" s="79"/>
      <c r="D302" s="79"/>
      <c r="E302" s="79"/>
      <c r="P302" s="79"/>
      <c r="Q302" s="79"/>
      <c r="R302" s="79"/>
      <c r="Y302" s="79"/>
      <c r="AC302" s="130"/>
      <c r="AE302" s="106"/>
    </row>
    <row r="303">
      <c r="C303" s="79"/>
      <c r="D303" s="79"/>
      <c r="E303" s="79"/>
      <c r="P303" s="79"/>
      <c r="Q303" s="79"/>
      <c r="R303" s="79"/>
      <c r="Y303" s="79"/>
      <c r="AC303" s="130"/>
      <c r="AE303" s="106"/>
    </row>
    <row r="304">
      <c r="C304" s="79"/>
      <c r="D304" s="79"/>
      <c r="E304" s="79"/>
      <c r="P304" s="79"/>
      <c r="Q304" s="79"/>
      <c r="R304" s="79"/>
      <c r="Y304" s="79"/>
      <c r="AC304" s="130"/>
      <c r="AE304" s="106"/>
    </row>
    <row r="305">
      <c r="C305" s="79"/>
      <c r="D305" s="79"/>
      <c r="E305" s="79"/>
      <c r="P305" s="79"/>
      <c r="Q305" s="79"/>
      <c r="R305" s="79"/>
      <c r="Y305" s="79"/>
      <c r="AC305" s="130"/>
      <c r="AE305" s="106"/>
    </row>
    <row r="306">
      <c r="C306" s="79"/>
      <c r="D306" s="79"/>
      <c r="E306" s="79"/>
      <c r="P306" s="79"/>
      <c r="Q306" s="79"/>
      <c r="R306" s="79"/>
      <c r="Y306" s="79"/>
      <c r="AC306" s="130"/>
      <c r="AE306" s="106"/>
    </row>
    <row r="307">
      <c r="C307" s="79"/>
      <c r="D307" s="79"/>
      <c r="E307" s="79"/>
      <c r="P307" s="79"/>
      <c r="Q307" s="79"/>
      <c r="R307" s="79"/>
      <c r="Y307" s="79"/>
      <c r="AC307" s="130"/>
      <c r="AE307" s="106"/>
    </row>
    <row r="308">
      <c r="C308" s="79"/>
      <c r="D308" s="79"/>
      <c r="E308" s="79"/>
      <c r="P308" s="79"/>
      <c r="Q308" s="79"/>
      <c r="R308" s="79"/>
      <c r="Y308" s="79"/>
      <c r="AC308" s="130"/>
      <c r="AE308" s="106"/>
    </row>
    <row r="309">
      <c r="C309" s="79"/>
      <c r="D309" s="79"/>
      <c r="E309" s="79"/>
      <c r="P309" s="79"/>
      <c r="Q309" s="79"/>
      <c r="R309" s="79"/>
      <c r="Y309" s="79"/>
      <c r="AC309" s="130"/>
      <c r="AE309" s="106"/>
    </row>
    <row r="310">
      <c r="C310" s="79"/>
      <c r="D310" s="79"/>
      <c r="E310" s="79"/>
      <c r="P310" s="79"/>
      <c r="Q310" s="79"/>
      <c r="R310" s="79"/>
      <c r="Y310" s="79"/>
      <c r="AC310" s="130"/>
      <c r="AE310" s="106"/>
    </row>
    <row r="311">
      <c r="C311" s="79"/>
      <c r="D311" s="79"/>
      <c r="E311" s="79"/>
      <c r="P311" s="79"/>
      <c r="Q311" s="79"/>
      <c r="R311" s="79"/>
      <c r="Y311" s="79"/>
      <c r="AC311" s="130"/>
      <c r="AE311" s="106"/>
    </row>
    <row r="312">
      <c r="C312" s="79"/>
      <c r="D312" s="79"/>
      <c r="E312" s="79"/>
      <c r="P312" s="79"/>
      <c r="Q312" s="79"/>
      <c r="R312" s="79"/>
      <c r="Y312" s="79"/>
      <c r="AC312" s="130"/>
      <c r="AE312" s="106"/>
    </row>
    <row r="313">
      <c r="C313" s="79"/>
      <c r="D313" s="79"/>
      <c r="E313" s="79"/>
      <c r="P313" s="79"/>
      <c r="Q313" s="79"/>
      <c r="R313" s="79"/>
      <c r="Y313" s="79"/>
      <c r="AC313" s="130"/>
      <c r="AE313" s="106"/>
    </row>
    <row r="314">
      <c r="C314" s="79"/>
      <c r="D314" s="79"/>
      <c r="E314" s="79"/>
      <c r="P314" s="79"/>
      <c r="Q314" s="79"/>
      <c r="R314" s="79"/>
      <c r="Y314" s="79"/>
      <c r="AC314" s="130"/>
      <c r="AE314" s="106"/>
    </row>
    <row r="315">
      <c r="C315" s="79"/>
      <c r="D315" s="79"/>
      <c r="E315" s="79"/>
      <c r="P315" s="79"/>
      <c r="Q315" s="79"/>
      <c r="R315" s="79"/>
      <c r="Y315" s="79"/>
      <c r="AC315" s="130"/>
      <c r="AE315" s="106"/>
    </row>
    <row r="316">
      <c r="C316" s="79"/>
      <c r="D316" s="79"/>
      <c r="E316" s="79"/>
      <c r="P316" s="79"/>
      <c r="Q316" s="79"/>
      <c r="R316" s="79"/>
      <c r="Y316" s="79"/>
      <c r="AC316" s="130"/>
      <c r="AE316" s="106"/>
    </row>
    <row r="317">
      <c r="C317" s="79"/>
      <c r="D317" s="79"/>
      <c r="E317" s="79"/>
      <c r="P317" s="79"/>
      <c r="Q317" s="79"/>
      <c r="R317" s="79"/>
      <c r="Y317" s="79"/>
      <c r="AC317" s="130"/>
      <c r="AE317" s="106"/>
    </row>
    <row r="318">
      <c r="C318" s="79"/>
      <c r="D318" s="79"/>
      <c r="E318" s="79"/>
      <c r="P318" s="79"/>
      <c r="Q318" s="79"/>
      <c r="R318" s="79"/>
      <c r="Y318" s="79"/>
      <c r="AC318" s="130"/>
      <c r="AE318" s="106"/>
    </row>
    <row r="319">
      <c r="C319" s="79"/>
      <c r="D319" s="79"/>
      <c r="E319" s="79"/>
      <c r="P319" s="79"/>
      <c r="Q319" s="79"/>
      <c r="R319" s="79"/>
      <c r="Y319" s="79"/>
      <c r="AC319" s="130"/>
      <c r="AE319" s="106"/>
    </row>
    <row r="320">
      <c r="C320" s="79"/>
      <c r="D320" s="79"/>
      <c r="E320" s="79"/>
      <c r="P320" s="79"/>
      <c r="Q320" s="79"/>
      <c r="R320" s="79"/>
      <c r="Y320" s="79"/>
      <c r="AC320" s="130"/>
      <c r="AE320" s="106"/>
    </row>
    <row r="321">
      <c r="C321" s="79"/>
      <c r="D321" s="79"/>
      <c r="E321" s="79"/>
      <c r="P321" s="79"/>
      <c r="Q321" s="79"/>
      <c r="R321" s="79"/>
      <c r="Y321" s="79"/>
      <c r="AC321" s="130"/>
      <c r="AE321" s="106"/>
    </row>
    <row r="322">
      <c r="C322" s="79"/>
      <c r="D322" s="79"/>
      <c r="E322" s="79"/>
      <c r="P322" s="79"/>
      <c r="Q322" s="79"/>
      <c r="R322" s="79"/>
      <c r="Y322" s="79"/>
      <c r="AC322" s="130"/>
      <c r="AE322" s="106"/>
    </row>
    <row r="323">
      <c r="C323" s="79"/>
      <c r="D323" s="79"/>
      <c r="E323" s="79"/>
      <c r="P323" s="79"/>
      <c r="Q323" s="79"/>
      <c r="R323" s="79"/>
      <c r="Y323" s="79"/>
      <c r="AC323" s="130"/>
      <c r="AE323" s="106"/>
    </row>
    <row r="324">
      <c r="C324" s="79"/>
      <c r="D324" s="79"/>
      <c r="E324" s="79"/>
      <c r="P324" s="79"/>
      <c r="Q324" s="79"/>
      <c r="R324" s="79"/>
      <c r="Y324" s="79"/>
      <c r="AC324" s="130"/>
      <c r="AE324" s="106"/>
    </row>
    <row r="325">
      <c r="C325" s="79"/>
      <c r="D325" s="79"/>
      <c r="E325" s="79"/>
      <c r="P325" s="79"/>
      <c r="Q325" s="79"/>
      <c r="R325" s="79"/>
      <c r="Y325" s="79"/>
      <c r="AC325" s="130"/>
      <c r="AE325" s="106"/>
    </row>
    <row r="326">
      <c r="C326" s="79"/>
      <c r="D326" s="79"/>
      <c r="E326" s="79"/>
      <c r="P326" s="79"/>
      <c r="Q326" s="79"/>
      <c r="R326" s="79"/>
      <c r="Y326" s="79"/>
      <c r="AC326" s="130"/>
      <c r="AE326" s="106"/>
    </row>
    <row r="327">
      <c r="C327" s="79"/>
      <c r="D327" s="79"/>
      <c r="E327" s="79"/>
      <c r="P327" s="79"/>
      <c r="Q327" s="79"/>
      <c r="R327" s="79"/>
      <c r="Y327" s="79"/>
      <c r="AC327" s="130"/>
      <c r="AE327" s="106"/>
    </row>
    <row r="328">
      <c r="C328" s="79"/>
      <c r="D328" s="79"/>
      <c r="E328" s="79"/>
      <c r="P328" s="79"/>
      <c r="Q328" s="79"/>
      <c r="R328" s="79"/>
      <c r="Y328" s="79"/>
      <c r="AC328" s="130"/>
      <c r="AE328" s="106"/>
    </row>
    <row r="329">
      <c r="C329" s="79"/>
      <c r="D329" s="79"/>
      <c r="E329" s="79"/>
      <c r="P329" s="79"/>
      <c r="Q329" s="79"/>
      <c r="R329" s="79"/>
      <c r="Y329" s="79"/>
      <c r="AC329" s="130"/>
      <c r="AE329" s="106"/>
    </row>
    <row r="330">
      <c r="C330" s="79"/>
      <c r="D330" s="79"/>
      <c r="E330" s="79"/>
      <c r="P330" s="79"/>
      <c r="Q330" s="79"/>
      <c r="R330" s="79"/>
      <c r="Y330" s="79"/>
      <c r="AC330" s="130"/>
      <c r="AE330" s="106"/>
    </row>
    <row r="331">
      <c r="C331" s="79"/>
      <c r="D331" s="79"/>
      <c r="E331" s="79"/>
      <c r="P331" s="79"/>
      <c r="Q331" s="79"/>
      <c r="R331" s="79"/>
      <c r="Y331" s="79"/>
      <c r="AC331" s="130"/>
      <c r="AE331" s="106"/>
    </row>
    <row r="332">
      <c r="C332" s="79"/>
      <c r="D332" s="79"/>
      <c r="E332" s="79"/>
      <c r="P332" s="79"/>
      <c r="Q332" s="79"/>
      <c r="R332" s="79"/>
      <c r="Y332" s="79"/>
      <c r="AC332" s="130"/>
      <c r="AE332" s="106"/>
    </row>
    <row r="333">
      <c r="C333" s="79"/>
      <c r="D333" s="79"/>
      <c r="E333" s="79"/>
      <c r="P333" s="79"/>
      <c r="Q333" s="79"/>
      <c r="R333" s="79"/>
      <c r="Y333" s="79"/>
      <c r="AC333" s="130"/>
      <c r="AE333" s="106"/>
    </row>
    <row r="334">
      <c r="C334" s="79"/>
      <c r="D334" s="79"/>
      <c r="E334" s="79"/>
      <c r="P334" s="79"/>
      <c r="Q334" s="79"/>
      <c r="R334" s="79"/>
      <c r="Y334" s="79"/>
      <c r="AC334" s="130"/>
      <c r="AE334" s="106"/>
    </row>
    <row r="335">
      <c r="C335" s="79"/>
      <c r="D335" s="79"/>
      <c r="E335" s="79"/>
      <c r="P335" s="79"/>
      <c r="Q335" s="79"/>
      <c r="R335" s="79"/>
      <c r="Y335" s="79"/>
      <c r="AC335" s="130"/>
      <c r="AE335" s="106"/>
    </row>
    <row r="336">
      <c r="C336" s="79"/>
      <c r="D336" s="79"/>
      <c r="E336" s="79"/>
      <c r="P336" s="79"/>
      <c r="Q336" s="79"/>
      <c r="R336" s="79"/>
      <c r="Y336" s="79"/>
      <c r="AC336" s="130"/>
      <c r="AE336" s="106"/>
    </row>
    <row r="337">
      <c r="C337" s="79"/>
      <c r="D337" s="79"/>
      <c r="E337" s="79"/>
      <c r="P337" s="79"/>
      <c r="Q337" s="79"/>
      <c r="R337" s="79"/>
      <c r="Y337" s="79"/>
      <c r="AC337" s="130"/>
      <c r="AE337" s="106"/>
    </row>
    <row r="338">
      <c r="C338" s="79"/>
      <c r="D338" s="79"/>
      <c r="E338" s="79"/>
      <c r="P338" s="79"/>
      <c r="Q338" s="79"/>
      <c r="R338" s="79"/>
      <c r="Y338" s="79"/>
      <c r="AC338" s="130"/>
      <c r="AE338" s="106"/>
    </row>
    <row r="339">
      <c r="C339" s="79"/>
      <c r="D339" s="79"/>
      <c r="E339" s="79"/>
      <c r="P339" s="79"/>
      <c r="Q339" s="79"/>
      <c r="R339" s="79"/>
      <c r="Y339" s="79"/>
      <c r="AC339" s="130"/>
      <c r="AE339" s="106"/>
    </row>
    <row r="340">
      <c r="C340" s="79"/>
      <c r="D340" s="79"/>
      <c r="E340" s="79"/>
      <c r="P340" s="79"/>
      <c r="Q340" s="79"/>
      <c r="R340" s="79"/>
      <c r="Y340" s="79"/>
      <c r="AC340" s="130"/>
      <c r="AE340" s="106"/>
    </row>
    <row r="341">
      <c r="C341" s="79"/>
      <c r="D341" s="79"/>
      <c r="E341" s="79"/>
      <c r="P341" s="79"/>
      <c r="Q341" s="79"/>
      <c r="R341" s="79"/>
      <c r="Y341" s="79"/>
      <c r="AC341" s="130"/>
      <c r="AE341" s="106"/>
    </row>
    <row r="342">
      <c r="C342" s="79"/>
      <c r="D342" s="79"/>
      <c r="E342" s="79"/>
      <c r="P342" s="79"/>
      <c r="Q342" s="79"/>
      <c r="R342" s="79"/>
      <c r="Y342" s="79"/>
      <c r="AC342" s="130"/>
      <c r="AE342" s="106"/>
    </row>
    <row r="343">
      <c r="C343" s="79"/>
      <c r="D343" s="79"/>
      <c r="E343" s="79"/>
      <c r="P343" s="79"/>
      <c r="Q343" s="79"/>
      <c r="R343" s="79"/>
      <c r="Y343" s="79"/>
      <c r="AC343" s="130"/>
      <c r="AE343" s="106"/>
    </row>
    <row r="344">
      <c r="C344" s="79"/>
      <c r="D344" s="79"/>
      <c r="E344" s="79"/>
      <c r="P344" s="79"/>
      <c r="Q344" s="79"/>
      <c r="R344" s="79"/>
      <c r="Y344" s="79"/>
      <c r="AC344" s="130"/>
      <c r="AE344" s="106"/>
    </row>
    <row r="345">
      <c r="C345" s="79"/>
      <c r="D345" s="79"/>
      <c r="E345" s="79"/>
      <c r="P345" s="79"/>
      <c r="Q345" s="79"/>
      <c r="R345" s="79"/>
      <c r="Y345" s="79"/>
      <c r="AC345" s="130"/>
      <c r="AE345" s="106"/>
    </row>
    <row r="346">
      <c r="C346" s="79"/>
      <c r="D346" s="79"/>
      <c r="E346" s="79"/>
      <c r="P346" s="79"/>
      <c r="Q346" s="79"/>
      <c r="R346" s="79"/>
      <c r="Y346" s="79"/>
      <c r="AC346" s="130"/>
      <c r="AE346" s="106"/>
    </row>
    <row r="347">
      <c r="C347" s="79"/>
      <c r="D347" s="79"/>
      <c r="E347" s="79"/>
      <c r="P347" s="79"/>
      <c r="Q347" s="79"/>
      <c r="R347" s="79"/>
      <c r="Y347" s="79"/>
      <c r="AC347" s="130"/>
      <c r="AE347" s="106"/>
    </row>
    <row r="348">
      <c r="C348" s="79"/>
      <c r="D348" s="79"/>
      <c r="E348" s="79"/>
      <c r="P348" s="79"/>
      <c r="Q348" s="79"/>
      <c r="R348" s="79"/>
      <c r="Y348" s="79"/>
      <c r="AC348" s="130"/>
      <c r="AE348" s="106"/>
    </row>
    <row r="349">
      <c r="C349" s="79"/>
      <c r="D349" s="79"/>
      <c r="E349" s="79"/>
      <c r="P349" s="79"/>
      <c r="Q349" s="79"/>
      <c r="R349" s="79"/>
      <c r="Y349" s="79"/>
      <c r="AC349" s="130"/>
      <c r="AE349" s="106"/>
    </row>
    <row r="350">
      <c r="C350" s="79"/>
      <c r="D350" s="79"/>
      <c r="E350" s="79"/>
      <c r="P350" s="79"/>
      <c r="Q350" s="79"/>
      <c r="R350" s="79"/>
      <c r="Y350" s="79"/>
      <c r="AC350" s="130"/>
      <c r="AE350" s="106"/>
    </row>
    <row r="351">
      <c r="C351" s="79"/>
      <c r="D351" s="79"/>
      <c r="E351" s="79"/>
      <c r="P351" s="79"/>
      <c r="Q351" s="79"/>
      <c r="R351" s="79"/>
      <c r="Y351" s="79"/>
      <c r="AC351" s="130"/>
      <c r="AE351" s="106"/>
    </row>
    <row r="352">
      <c r="C352" s="79"/>
      <c r="D352" s="79"/>
      <c r="E352" s="79"/>
      <c r="P352" s="79"/>
      <c r="Q352" s="79"/>
      <c r="R352" s="79"/>
      <c r="Y352" s="79"/>
      <c r="AC352" s="130"/>
      <c r="AE352" s="106"/>
    </row>
    <row r="353">
      <c r="C353" s="79"/>
      <c r="D353" s="79"/>
      <c r="E353" s="79"/>
      <c r="P353" s="79"/>
      <c r="Q353" s="79"/>
      <c r="R353" s="79"/>
      <c r="Y353" s="79"/>
      <c r="AC353" s="130"/>
      <c r="AE353" s="106"/>
    </row>
    <row r="354">
      <c r="C354" s="79"/>
      <c r="D354" s="79"/>
      <c r="E354" s="79"/>
      <c r="P354" s="79"/>
      <c r="Q354" s="79"/>
      <c r="R354" s="79"/>
      <c r="Y354" s="79"/>
      <c r="AC354" s="130"/>
      <c r="AE354" s="106"/>
    </row>
    <row r="355">
      <c r="C355" s="79"/>
      <c r="D355" s="79"/>
      <c r="E355" s="79"/>
      <c r="P355" s="79"/>
      <c r="Q355" s="79"/>
      <c r="R355" s="79"/>
      <c r="Y355" s="79"/>
      <c r="AC355" s="130"/>
      <c r="AE355" s="106"/>
    </row>
    <row r="356">
      <c r="C356" s="79"/>
      <c r="D356" s="79"/>
      <c r="E356" s="79"/>
      <c r="P356" s="79"/>
      <c r="Q356" s="79"/>
      <c r="R356" s="79"/>
      <c r="Y356" s="79"/>
      <c r="AC356" s="130"/>
      <c r="AE356" s="106"/>
    </row>
    <row r="357">
      <c r="C357" s="79"/>
      <c r="D357" s="79"/>
      <c r="E357" s="79"/>
      <c r="P357" s="79"/>
      <c r="Q357" s="79"/>
      <c r="R357" s="79"/>
      <c r="Y357" s="79"/>
      <c r="AC357" s="130"/>
      <c r="AE357" s="106"/>
    </row>
    <row r="358">
      <c r="C358" s="79"/>
      <c r="D358" s="79"/>
      <c r="E358" s="79"/>
      <c r="P358" s="79"/>
      <c r="Q358" s="79"/>
      <c r="R358" s="79"/>
      <c r="Y358" s="79"/>
      <c r="AC358" s="130"/>
      <c r="AE358" s="106"/>
    </row>
    <row r="359">
      <c r="C359" s="79"/>
      <c r="D359" s="79"/>
      <c r="E359" s="79"/>
      <c r="P359" s="79"/>
      <c r="Q359" s="79"/>
      <c r="R359" s="79"/>
      <c r="Y359" s="79"/>
      <c r="AC359" s="130"/>
      <c r="AE359" s="106"/>
    </row>
    <row r="360">
      <c r="C360" s="79"/>
      <c r="D360" s="79"/>
      <c r="E360" s="79"/>
      <c r="P360" s="79"/>
      <c r="Q360" s="79"/>
      <c r="R360" s="79"/>
      <c r="Y360" s="79"/>
      <c r="AC360" s="130"/>
      <c r="AE360" s="106"/>
    </row>
    <row r="361">
      <c r="C361" s="79"/>
      <c r="D361" s="79"/>
      <c r="E361" s="79"/>
      <c r="P361" s="79"/>
      <c r="Q361" s="79"/>
      <c r="R361" s="79"/>
      <c r="Y361" s="79"/>
      <c r="AC361" s="130"/>
      <c r="AE361" s="106"/>
    </row>
    <row r="362">
      <c r="C362" s="79"/>
      <c r="D362" s="79"/>
      <c r="E362" s="79"/>
      <c r="P362" s="79"/>
      <c r="Q362" s="79"/>
      <c r="R362" s="79"/>
      <c r="Y362" s="79"/>
      <c r="AC362" s="130"/>
      <c r="AE362" s="106"/>
    </row>
    <row r="363">
      <c r="C363" s="79"/>
      <c r="D363" s="79"/>
      <c r="E363" s="79"/>
      <c r="P363" s="79"/>
      <c r="Q363" s="79"/>
      <c r="R363" s="79"/>
      <c r="Y363" s="79"/>
      <c r="AC363" s="130"/>
      <c r="AE363" s="106"/>
    </row>
    <row r="364">
      <c r="C364" s="79"/>
      <c r="D364" s="79"/>
      <c r="E364" s="79"/>
      <c r="P364" s="79"/>
      <c r="Q364" s="79"/>
      <c r="R364" s="79"/>
      <c r="Y364" s="79"/>
      <c r="AC364" s="130"/>
      <c r="AE364" s="106"/>
    </row>
    <row r="365">
      <c r="C365" s="79"/>
      <c r="D365" s="79"/>
      <c r="E365" s="79"/>
      <c r="P365" s="79"/>
      <c r="Q365" s="79"/>
      <c r="R365" s="79"/>
      <c r="Y365" s="79"/>
      <c r="AC365" s="130"/>
      <c r="AE365" s="106"/>
    </row>
    <row r="366">
      <c r="C366" s="79"/>
      <c r="D366" s="79"/>
      <c r="E366" s="79"/>
      <c r="P366" s="79"/>
      <c r="Q366" s="79"/>
      <c r="R366" s="79"/>
      <c r="Y366" s="79"/>
      <c r="AC366" s="130"/>
      <c r="AE366" s="106"/>
    </row>
    <row r="367">
      <c r="C367" s="79"/>
      <c r="D367" s="79"/>
      <c r="E367" s="79"/>
      <c r="P367" s="79"/>
      <c r="Q367" s="79"/>
      <c r="R367" s="79"/>
      <c r="Y367" s="79"/>
      <c r="AC367" s="130"/>
      <c r="AE367" s="106"/>
    </row>
    <row r="368">
      <c r="C368" s="79"/>
      <c r="D368" s="79"/>
      <c r="E368" s="79"/>
      <c r="P368" s="79"/>
      <c r="Q368" s="79"/>
      <c r="R368" s="79"/>
      <c r="Y368" s="79"/>
      <c r="AC368" s="130"/>
      <c r="AE368" s="106"/>
    </row>
    <row r="369">
      <c r="C369" s="79"/>
      <c r="D369" s="79"/>
      <c r="E369" s="79"/>
      <c r="P369" s="79"/>
      <c r="Q369" s="79"/>
      <c r="R369" s="79"/>
      <c r="Y369" s="79"/>
      <c r="AC369" s="130"/>
      <c r="AE369" s="106"/>
    </row>
    <row r="370">
      <c r="C370" s="79"/>
      <c r="D370" s="79"/>
      <c r="E370" s="79"/>
      <c r="P370" s="79"/>
      <c r="Q370" s="79"/>
      <c r="R370" s="79"/>
      <c r="Y370" s="79"/>
      <c r="AC370" s="130"/>
      <c r="AE370" s="106"/>
    </row>
    <row r="371">
      <c r="C371" s="79"/>
      <c r="D371" s="79"/>
      <c r="E371" s="79"/>
      <c r="P371" s="79"/>
      <c r="Q371" s="79"/>
      <c r="R371" s="79"/>
      <c r="Y371" s="79"/>
      <c r="AC371" s="130"/>
      <c r="AE371" s="106"/>
    </row>
    <row r="372">
      <c r="C372" s="79"/>
      <c r="D372" s="79"/>
      <c r="E372" s="79"/>
      <c r="P372" s="79"/>
      <c r="Q372" s="79"/>
      <c r="R372" s="79"/>
      <c r="Y372" s="79"/>
      <c r="AC372" s="130"/>
      <c r="AE372" s="106"/>
    </row>
    <row r="373">
      <c r="C373" s="79"/>
      <c r="D373" s="79"/>
      <c r="E373" s="79"/>
      <c r="P373" s="79"/>
      <c r="Q373" s="79"/>
      <c r="R373" s="79"/>
      <c r="Y373" s="79"/>
      <c r="AC373" s="130"/>
      <c r="AE373" s="106"/>
    </row>
    <row r="374">
      <c r="C374" s="79"/>
      <c r="D374" s="79"/>
      <c r="E374" s="79"/>
      <c r="P374" s="79"/>
      <c r="Q374" s="79"/>
      <c r="R374" s="79"/>
      <c r="Y374" s="79"/>
      <c r="AC374" s="130"/>
      <c r="AE374" s="106"/>
    </row>
    <row r="375">
      <c r="C375" s="79"/>
      <c r="D375" s="79"/>
      <c r="E375" s="79"/>
      <c r="P375" s="79"/>
      <c r="Q375" s="79"/>
      <c r="R375" s="79"/>
      <c r="Y375" s="79"/>
      <c r="AC375" s="130"/>
      <c r="AE375" s="106"/>
    </row>
    <row r="376">
      <c r="C376" s="79"/>
      <c r="D376" s="79"/>
      <c r="E376" s="79"/>
      <c r="P376" s="79"/>
      <c r="Q376" s="79"/>
      <c r="R376" s="79"/>
      <c r="Y376" s="79"/>
      <c r="AC376" s="130"/>
      <c r="AE376" s="106"/>
    </row>
    <row r="377">
      <c r="C377" s="79"/>
      <c r="D377" s="79"/>
      <c r="E377" s="79"/>
      <c r="P377" s="79"/>
      <c r="Q377" s="79"/>
      <c r="R377" s="79"/>
      <c r="Y377" s="79"/>
      <c r="AC377" s="130"/>
      <c r="AE377" s="106"/>
    </row>
    <row r="378">
      <c r="C378" s="79"/>
      <c r="D378" s="79"/>
      <c r="E378" s="79"/>
      <c r="P378" s="79"/>
      <c r="Q378" s="79"/>
      <c r="R378" s="79"/>
      <c r="Y378" s="79"/>
      <c r="AC378" s="130"/>
      <c r="AE378" s="106"/>
    </row>
    <row r="379">
      <c r="C379" s="79"/>
      <c r="D379" s="79"/>
      <c r="E379" s="79"/>
      <c r="P379" s="79"/>
      <c r="Q379" s="79"/>
      <c r="R379" s="79"/>
      <c r="Y379" s="79"/>
      <c r="AC379" s="130"/>
      <c r="AE379" s="106"/>
    </row>
    <row r="380">
      <c r="C380" s="79"/>
      <c r="D380" s="79"/>
      <c r="E380" s="79"/>
      <c r="P380" s="79"/>
      <c r="Q380" s="79"/>
      <c r="R380" s="79"/>
      <c r="Y380" s="79"/>
      <c r="AC380" s="130"/>
      <c r="AE380" s="106"/>
    </row>
    <row r="381">
      <c r="C381" s="79"/>
      <c r="D381" s="79"/>
      <c r="E381" s="79"/>
      <c r="P381" s="79"/>
      <c r="Q381" s="79"/>
      <c r="R381" s="79"/>
      <c r="Y381" s="79"/>
      <c r="AC381" s="130"/>
      <c r="AE381" s="106"/>
    </row>
    <row r="382">
      <c r="C382" s="79"/>
      <c r="D382" s="79"/>
      <c r="E382" s="79"/>
      <c r="P382" s="79"/>
      <c r="Q382" s="79"/>
      <c r="R382" s="79"/>
      <c r="Y382" s="79"/>
      <c r="AC382" s="130"/>
      <c r="AE382" s="106"/>
    </row>
    <row r="383">
      <c r="C383" s="79"/>
      <c r="D383" s="79"/>
      <c r="E383" s="79"/>
      <c r="P383" s="79"/>
      <c r="Q383" s="79"/>
      <c r="R383" s="79"/>
      <c r="Y383" s="79"/>
      <c r="AC383" s="130"/>
      <c r="AE383" s="106"/>
    </row>
    <row r="384">
      <c r="C384" s="79"/>
      <c r="D384" s="79"/>
      <c r="E384" s="79"/>
      <c r="P384" s="79"/>
      <c r="Q384" s="79"/>
      <c r="R384" s="79"/>
      <c r="Y384" s="79"/>
      <c r="AC384" s="130"/>
      <c r="AE384" s="106"/>
    </row>
    <row r="385">
      <c r="C385" s="79"/>
      <c r="D385" s="79"/>
      <c r="E385" s="79"/>
      <c r="P385" s="79"/>
      <c r="Q385" s="79"/>
      <c r="R385" s="79"/>
      <c r="Y385" s="79"/>
      <c r="AC385" s="130"/>
      <c r="AE385" s="106"/>
    </row>
    <row r="386">
      <c r="C386" s="79"/>
      <c r="D386" s="79"/>
      <c r="E386" s="79"/>
      <c r="P386" s="79"/>
      <c r="Q386" s="79"/>
      <c r="R386" s="79"/>
      <c r="Y386" s="79"/>
      <c r="AC386" s="130"/>
      <c r="AE386" s="106"/>
    </row>
    <row r="387">
      <c r="C387" s="79"/>
      <c r="D387" s="79"/>
      <c r="E387" s="79"/>
      <c r="P387" s="79"/>
      <c r="Q387" s="79"/>
      <c r="R387" s="79"/>
      <c r="Y387" s="79"/>
      <c r="AC387" s="130"/>
      <c r="AE387" s="106"/>
    </row>
    <row r="388">
      <c r="C388" s="79"/>
      <c r="D388" s="79"/>
      <c r="E388" s="79"/>
      <c r="P388" s="79"/>
      <c r="Q388" s="79"/>
      <c r="R388" s="79"/>
      <c r="Y388" s="79"/>
      <c r="AC388" s="130"/>
      <c r="AE388" s="106"/>
    </row>
    <row r="389">
      <c r="C389" s="79"/>
      <c r="D389" s="79"/>
      <c r="E389" s="79"/>
      <c r="P389" s="79"/>
      <c r="Q389" s="79"/>
      <c r="R389" s="79"/>
      <c r="Y389" s="79"/>
      <c r="AC389" s="130"/>
      <c r="AE389" s="106"/>
    </row>
    <row r="390">
      <c r="C390" s="79"/>
      <c r="D390" s="79"/>
      <c r="E390" s="79"/>
      <c r="P390" s="79"/>
      <c r="Q390" s="79"/>
      <c r="R390" s="79"/>
      <c r="Y390" s="79"/>
      <c r="AC390" s="130"/>
      <c r="AE390" s="106"/>
    </row>
    <row r="391">
      <c r="C391" s="79"/>
      <c r="D391" s="79"/>
      <c r="E391" s="79"/>
      <c r="P391" s="79"/>
      <c r="Q391" s="79"/>
      <c r="R391" s="79"/>
      <c r="Y391" s="79"/>
      <c r="AC391" s="130"/>
      <c r="AE391" s="106"/>
    </row>
    <row r="392">
      <c r="C392" s="79"/>
      <c r="D392" s="79"/>
      <c r="E392" s="79"/>
      <c r="P392" s="79"/>
      <c r="Q392" s="79"/>
      <c r="R392" s="79"/>
      <c r="Y392" s="79"/>
      <c r="AC392" s="130"/>
      <c r="AE392" s="106"/>
    </row>
    <row r="393">
      <c r="C393" s="79"/>
      <c r="D393" s="79"/>
      <c r="E393" s="79"/>
      <c r="P393" s="79"/>
      <c r="Q393" s="79"/>
      <c r="R393" s="79"/>
      <c r="Y393" s="79"/>
      <c r="AC393" s="130"/>
      <c r="AE393" s="106"/>
    </row>
    <row r="394">
      <c r="C394" s="79"/>
      <c r="D394" s="79"/>
      <c r="E394" s="79"/>
      <c r="P394" s="79"/>
      <c r="Q394" s="79"/>
      <c r="R394" s="79"/>
      <c r="Y394" s="79"/>
      <c r="AC394" s="130"/>
      <c r="AE394" s="106"/>
    </row>
    <row r="395">
      <c r="C395" s="79"/>
      <c r="D395" s="79"/>
      <c r="E395" s="79"/>
      <c r="P395" s="79"/>
      <c r="Q395" s="79"/>
      <c r="R395" s="79"/>
      <c r="Y395" s="79"/>
      <c r="AC395" s="130"/>
      <c r="AE395" s="106"/>
    </row>
    <row r="396">
      <c r="C396" s="79"/>
      <c r="D396" s="79"/>
      <c r="E396" s="79"/>
      <c r="P396" s="79"/>
      <c r="Q396" s="79"/>
      <c r="R396" s="79"/>
      <c r="Y396" s="79"/>
      <c r="AC396" s="130"/>
      <c r="AE396" s="106"/>
    </row>
    <row r="397">
      <c r="C397" s="79"/>
      <c r="D397" s="79"/>
      <c r="E397" s="79"/>
      <c r="P397" s="79"/>
      <c r="Q397" s="79"/>
      <c r="R397" s="79"/>
      <c r="Y397" s="79"/>
      <c r="AC397" s="130"/>
      <c r="AE397" s="106"/>
    </row>
    <row r="398">
      <c r="C398" s="79"/>
      <c r="D398" s="79"/>
      <c r="E398" s="79"/>
      <c r="P398" s="79"/>
      <c r="Q398" s="79"/>
      <c r="R398" s="79"/>
      <c r="Y398" s="79"/>
      <c r="AC398" s="130"/>
      <c r="AE398" s="106"/>
    </row>
    <row r="399">
      <c r="C399" s="79"/>
      <c r="D399" s="79"/>
      <c r="E399" s="79"/>
      <c r="P399" s="79"/>
      <c r="Q399" s="79"/>
      <c r="R399" s="79"/>
      <c r="Y399" s="79"/>
      <c r="AC399" s="130"/>
      <c r="AE399" s="106"/>
    </row>
    <row r="400">
      <c r="C400" s="79"/>
      <c r="D400" s="79"/>
      <c r="E400" s="79"/>
      <c r="P400" s="79"/>
      <c r="Q400" s="79"/>
      <c r="R400" s="79"/>
      <c r="Y400" s="79"/>
      <c r="AC400" s="130"/>
      <c r="AE400" s="106"/>
    </row>
    <row r="401">
      <c r="C401" s="79"/>
      <c r="D401" s="79"/>
      <c r="E401" s="79"/>
      <c r="P401" s="79"/>
      <c r="Q401" s="79"/>
      <c r="R401" s="79"/>
      <c r="Y401" s="79"/>
      <c r="AC401" s="130"/>
      <c r="AE401" s="106"/>
    </row>
    <row r="402">
      <c r="C402" s="79"/>
      <c r="D402" s="79"/>
      <c r="E402" s="79"/>
      <c r="P402" s="79"/>
      <c r="Q402" s="79"/>
      <c r="R402" s="79"/>
      <c r="Y402" s="79"/>
      <c r="AC402" s="130"/>
      <c r="AE402" s="106"/>
    </row>
    <row r="403">
      <c r="C403" s="79"/>
      <c r="D403" s="79"/>
      <c r="E403" s="79"/>
      <c r="P403" s="79"/>
      <c r="Q403" s="79"/>
      <c r="R403" s="79"/>
      <c r="Y403" s="79"/>
      <c r="AC403" s="130"/>
      <c r="AE403" s="106"/>
    </row>
    <row r="404">
      <c r="C404" s="79"/>
      <c r="D404" s="79"/>
      <c r="E404" s="79"/>
      <c r="P404" s="79"/>
      <c r="Q404" s="79"/>
      <c r="R404" s="79"/>
      <c r="Y404" s="79"/>
      <c r="AC404" s="130"/>
      <c r="AE404" s="106"/>
    </row>
    <row r="405">
      <c r="C405" s="79"/>
      <c r="D405" s="79"/>
      <c r="E405" s="79"/>
      <c r="P405" s="79"/>
      <c r="Q405" s="79"/>
      <c r="R405" s="79"/>
      <c r="Y405" s="79"/>
      <c r="AC405" s="130"/>
      <c r="AE405" s="106"/>
    </row>
    <row r="406">
      <c r="C406" s="79"/>
      <c r="D406" s="79"/>
      <c r="E406" s="79"/>
      <c r="P406" s="79"/>
      <c r="Q406" s="79"/>
      <c r="R406" s="79"/>
      <c r="Y406" s="79"/>
      <c r="AC406" s="130"/>
      <c r="AE406" s="106"/>
    </row>
    <row r="407">
      <c r="C407" s="79"/>
      <c r="D407" s="79"/>
      <c r="E407" s="79"/>
      <c r="P407" s="79"/>
      <c r="Q407" s="79"/>
      <c r="R407" s="79"/>
      <c r="Y407" s="79"/>
      <c r="AC407" s="130"/>
      <c r="AE407" s="106"/>
    </row>
    <row r="408">
      <c r="C408" s="79"/>
      <c r="D408" s="79"/>
      <c r="E408" s="79"/>
      <c r="P408" s="79"/>
      <c r="Q408" s="79"/>
      <c r="R408" s="79"/>
      <c r="Y408" s="79"/>
      <c r="AC408" s="130"/>
      <c r="AE408" s="106"/>
    </row>
    <row r="409">
      <c r="C409" s="79"/>
      <c r="D409" s="79"/>
      <c r="E409" s="79"/>
      <c r="P409" s="79"/>
      <c r="Q409" s="79"/>
      <c r="R409" s="79"/>
      <c r="Y409" s="79"/>
      <c r="AC409" s="130"/>
      <c r="AE409" s="106"/>
    </row>
    <row r="410">
      <c r="C410" s="79"/>
      <c r="D410" s="79"/>
      <c r="E410" s="79"/>
      <c r="P410" s="79"/>
      <c r="Q410" s="79"/>
      <c r="R410" s="79"/>
      <c r="Y410" s="79"/>
      <c r="AC410" s="130"/>
      <c r="AE410" s="106"/>
    </row>
    <row r="411">
      <c r="C411" s="79"/>
      <c r="D411" s="79"/>
      <c r="E411" s="79"/>
      <c r="P411" s="79"/>
      <c r="Q411" s="79"/>
      <c r="R411" s="79"/>
      <c r="Y411" s="79"/>
      <c r="AC411" s="130"/>
      <c r="AE411" s="106"/>
    </row>
    <row r="412">
      <c r="C412" s="79"/>
      <c r="D412" s="79"/>
      <c r="E412" s="79"/>
      <c r="P412" s="79"/>
      <c r="Q412" s="79"/>
      <c r="R412" s="79"/>
      <c r="Y412" s="79"/>
      <c r="AC412" s="130"/>
      <c r="AE412" s="106"/>
    </row>
    <row r="413">
      <c r="C413" s="79"/>
      <c r="D413" s="79"/>
      <c r="E413" s="79"/>
      <c r="P413" s="79"/>
      <c r="Q413" s="79"/>
      <c r="R413" s="79"/>
      <c r="Y413" s="79"/>
      <c r="AC413" s="130"/>
      <c r="AE413" s="106"/>
    </row>
    <row r="414">
      <c r="C414" s="79"/>
      <c r="D414" s="79"/>
      <c r="E414" s="79"/>
      <c r="P414" s="79"/>
      <c r="Q414" s="79"/>
      <c r="R414" s="79"/>
      <c r="Y414" s="79"/>
      <c r="AC414" s="130"/>
      <c r="AE414" s="106"/>
    </row>
    <row r="415">
      <c r="C415" s="79"/>
      <c r="D415" s="79"/>
      <c r="E415" s="79"/>
      <c r="P415" s="79"/>
      <c r="Q415" s="79"/>
      <c r="R415" s="79"/>
      <c r="Y415" s="79"/>
      <c r="AC415" s="130"/>
      <c r="AE415" s="106"/>
    </row>
    <row r="416">
      <c r="C416" s="79"/>
      <c r="D416" s="79"/>
      <c r="E416" s="79"/>
      <c r="P416" s="79"/>
      <c r="Q416" s="79"/>
      <c r="R416" s="79"/>
      <c r="Y416" s="79"/>
      <c r="AC416" s="130"/>
      <c r="AE416" s="106"/>
    </row>
    <row r="417">
      <c r="C417" s="79"/>
      <c r="D417" s="79"/>
      <c r="E417" s="79"/>
      <c r="P417" s="79"/>
      <c r="Q417" s="79"/>
      <c r="R417" s="79"/>
      <c r="Y417" s="79"/>
      <c r="AC417" s="130"/>
      <c r="AE417" s="106"/>
    </row>
    <row r="418">
      <c r="C418" s="79"/>
      <c r="D418" s="79"/>
      <c r="E418" s="79"/>
      <c r="P418" s="79"/>
      <c r="Q418" s="79"/>
      <c r="R418" s="79"/>
      <c r="Y418" s="79"/>
      <c r="AC418" s="130"/>
      <c r="AE418" s="106"/>
    </row>
    <row r="419">
      <c r="C419" s="79"/>
      <c r="D419" s="79"/>
      <c r="E419" s="79"/>
      <c r="P419" s="79"/>
      <c r="Q419" s="79"/>
      <c r="R419" s="79"/>
      <c r="Y419" s="79"/>
      <c r="AC419" s="130"/>
      <c r="AE419" s="106"/>
    </row>
    <row r="420">
      <c r="C420" s="79"/>
      <c r="D420" s="79"/>
      <c r="E420" s="79"/>
      <c r="P420" s="79"/>
      <c r="Q420" s="79"/>
      <c r="R420" s="79"/>
      <c r="Y420" s="79"/>
      <c r="AC420" s="130"/>
      <c r="AE420" s="106"/>
    </row>
    <row r="421">
      <c r="C421" s="79"/>
      <c r="D421" s="79"/>
      <c r="E421" s="79"/>
      <c r="P421" s="79"/>
      <c r="Q421" s="79"/>
      <c r="R421" s="79"/>
      <c r="Y421" s="79"/>
      <c r="AC421" s="130"/>
      <c r="AE421" s="106"/>
    </row>
    <row r="422">
      <c r="C422" s="79"/>
      <c r="D422" s="79"/>
      <c r="E422" s="79"/>
      <c r="P422" s="79"/>
      <c r="Q422" s="79"/>
      <c r="R422" s="79"/>
      <c r="Y422" s="79"/>
      <c r="AC422" s="130"/>
      <c r="AE422" s="106"/>
    </row>
    <row r="423">
      <c r="C423" s="79"/>
      <c r="D423" s="79"/>
      <c r="E423" s="79"/>
      <c r="P423" s="79"/>
      <c r="Q423" s="79"/>
      <c r="R423" s="79"/>
      <c r="Y423" s="79"/>
      <c r="AC423" s="130"/>
      <c r="AE423" s="106"/>
    </row>
    <row r="424">
      <c r="C424" s="79"/>
      <c r="D424" s="79"/>
      <c r="E424" s="79"/>
      <c r="P424" s="79"/>
      <c r="Q424" s="79"/>
      <c r="R424" s="79"/>
      <c r="Y424" s="79"/>
      <c r="AC424" s="130"/>
      <c r="AE424" s="106"/>
    </row>
    <row r="425">
      <c r="C425" s="79"/>
      <c r="D425" s="79"/>
      <c r="E425" s="79"/>
      <c r="P425" s="79"/>
      <c r="Q425" s="79"/>
      <c r="R425" s="79"/>
      <c r="Y425" s="79"/>
      <c r="AC425" s="130"/>
      <c r="AE425" s="106"/>
    </row>
    <row r="426">
      <c r="C426" s="79"/>
      <c r="D426" s="79"/>
      <c r="E426" s="79"/>
      <c r="P426" s="79"/>
      <c r="Q426" s="79"/>
      <c r="R426" s="79"/>
      <c r="Y426" s="79"/>
      <c r="AC426" s="130"/>
      <c r="AE426" s="106"/>
    </row>
    <row r="427">
      <c r="C427" s="79"/>
      <c r="D427" s="79"/>
      <c r="E427" s="79"/>
      <c r="P427" s="79"/>
      <c r="Q427" s="79"/>
      <c r="R427" s="79"/>
      <c r="Y427" s="79"/>
      <c r="AC427" s="130"/>
      <c r="AE427" s="106"/>
    </row>
    <row r="428">
      <c r="C428" s="79"/>
      <c r="D428" s="79"/>
      <c r="E428" s="79"/>
      <c r="P428" s="79"/>
      <c r="Q428" s="79"/>
      <c r="R428" s="79"/>
      <c r="Y428" s="79"/>
      <c r="AC428" s="130"/>
      <c r="AE428" s="106"/>
    </row>
    <row r="429">
      <c r="C429" s="79"/>
      <c r="D429" s="79"/>
      <c r="E429" s="79"/>
      <c r="P429" s="79"/>
      <c r="Q429" s="79"/>
      <c r="R429" s="79"/>
      <c r="Y429" s="79"/>
      <c r="AC429" s="130"/>
      <c r="AE429" s="106"/>
    </row>
    <row r="430">
      <c r="C430" s="79"/>
      <c r="D430" s="79"/>
      <c r="E430" s="79"/>
      <c r="P430" s="79"/>
      <c r="Q430" s="79"/>
      <c r="R430" s="79"/>
      <c r="Y430" s="79"/>
      <c r="AC430" s="130"/>
      <c r="AE430" s="106"/>
    </row>
    <row r="431">
      <c r="C431" s="79"/>
      <c r="D431" s="79"/>
      <c r="E431" s="79"/>
      <c r="P431" s="79"/>
      <c r="Q431" s="79"/>
      <c r="R431" s="79"/>
      <c r="Y431" s="79"/>
      <c r="AC431" s="130"/>
      <c r="AE431" s="106"/>
    </row>
    <row r="432">
      <c r="C432" s="79"/>
      <c r="D432" s="79"/>
      <c r="E432" s="79"/>
      <c r="P432" s="79"/>
      <c r="Q432" s="79"/>
      <c r="R432" s="79"/>
      <c r="Y432" s="79"/>
      <c r="AC432" s="130"/>
      <c r="AE432" s="106"/>
    </row>
    <row r="433">
      <c r="C433" s="79"/>
      <c r="D433" s="79"/>
      <c r="E433" s="79"/>
      <c r="P433" s="79"/>
      <c r="Q433" s="79"/>
      <c r="R433" s="79"/>
      <c r="Y433" s="79"/>
      <c r="AC433" s="130"/>
      <c r="AE433" s="106"/>
    </row>
    <row r="434">
      <c r="C434" s="79"/>
      <c r="D434" s="79"/>
      <c r="E434" s="79"/>
      <c r="P434" s="79"/>
      <c r="Q434" s="79"/>
      <c r="R434" s="79"/>
      <c r="Y434" s="79"/>
      <c r="AC434" s="130"/>
      <c r="AE434" s="106"/>
    </row>
    <row r="435">
      <c r="C435" s="79"/>
      <c r="D435" s="79"/>
      <c r="E435" s="79"/>
      <c r="P435" s="79"/>
      <c r="Q435" s="79"/>
      <c r="R435" s="79"/>
      <c r="Y435" s="79"/>
      <c r="AC435" s="130"/>
      <c r="AE435" s="106"/>
    </row>
    <row r="436">
      <c r="C436" s="79"/>
      <c r="D436" s="79"/>
      <c r="E436" s="79"/>
      <c r="P436" s="79"/>
      <c r="Q436" s="79"/>
      <c r="R436" s="79"/>
      <c r="Y436" s="79"/>
      <c r="AC436" s="130"/>
      <c r="AE436" s="106"/>
    </row>
    <row r="437">
      <c r="C437" s="79"/>
      <c r="D437" s="79"/>
      <c r="E437" s="79"/>
      <c r="P437" s="79"/>
      <c r="Q437" s="79"/>
      <c r="R437" s="79"/>
      <c r="Y437" s="79"/>
      <c r="AC437" s="130"/>
      <c r="AE437" s="106"/>
    </row>
    <row r="438">
      <c r="C438" s="79"/>
      <c r="D438" s="79"/>
      <c r="E438" s="79"/>
      <c r="P438" s="79"/>
      <c r="Q438" s="79"/>
      <c r="R438" s="79"/>
      <c r="Y438" s="79"/>
      <c r="AC438" s="130"/>
      <c r="AE438" s="106"/>
    </row>
    <row r="439">
      <c r="C439" s="79"/>
      <c r="D439" s="79"/>
      <c r="E439" s="79"/>
      <c r="P439" s="79"/>
      <c r="Q439" s="79"/>
      <c r="R439" s="79"/>
      <c r="Y439" s="79"/>
      <c r="AC439" s="130"/>
      <c r="AE439" s="106"/>
    </row>
    <row r="440">
      <c r="C440" s="79"/>
      <c r="D440" s="79"/>
      <c r="E440" s="79"/>
      <c r="P440" s="79"/>
      <c r="Q440" s="79"/>
      <c r="R440" s="79"/>
      <c r="Y440" s="79"/>
      <c r="AC440" s="130"/>
      <c r="AE440" s="106"/>
    </row>
    <row r="441">
      <c r="C441" s="79"/>
      <c r="D441" s="79"/>
      <c r="E441" s="79"/>
      <c r="P441" s="79"/>
      <c r="Q441" s="79"/>
      <c r="R441" s="79"/>
      <c r="Y441" s="79"/>
      <c r="AC441" s="130"/>
      <c r="AE441" s="106"/>
    </row>
    <row r="442">
      <c r="C442" s="79"/>
      <c r="D442" s="79"/>
      <c r="E442" s="79"/>
      <c r="P442" s="79"/>
      <c r="Q442" s="79"/>
      <c r="R442" s="79"/>
      <c r="Y442" s="79"/>
      <c r="AC442" s="130"/>
      <c r="AE442" s="106"/>
    </row>
    <row r="443">
      <c r="C443" s="79"/>
      <c r="D443" s="79"/>
      <c r="E443" s="79"/>
      <c r="P443" s="79"/>
      <c r="Q443" s="79"/>
      <c r="R443" s="79"/>
      <c r="Y443" s="79"/>
      <c r="AC443" s="130"/>
      <c r="AE443" s="106"/>
    </row>
    <row r="444">
      <c r="C444" s="79"/>
      <c r="D444" s="79"/>
      <c r="E444" s="79"/>
      <c r="P444" s="79"/>
      <c r="Q444" s="79"/>
      <c r="R444" s="79"/>
      <c r="Y444" s="79"/>
      <c r="AC444" s="130"/>
      <c r="AE444" s="106"/>
    </row>
    <row r="445">
      <c r="C445" s="79"/>
      <c r="D445" s="79"/>
      <c r="E445" s="79"/>
      <c r="P445" s="79"/>
      <c r="Q445" s="79"/>
      <c r="R445" s="79"/>
      <c r="Y445" s="79"/>
      <c r="AC445" s="130"/>
      <c r="AE445" s="106"/>
    </row>
    <row r="446">
      <c r="C446" s="79"/>
      <c r="D446" s="79"/>
      <c r="E446" s="79"/>
      <c r="P446" s="79"/>
      <c r="Q446" s="79"/>
      <c r="R446" s="79"/>
      <c r="Y446" s="79"/>
      <c r="AC446" s="130"/>
      <c r="AE446" s="106"/>
    </row>
    <row r="447">
      <c r="C447" s="79"/>
      <c r="D447" s="79"/>
      <c r="E447" s="79"/>
      <c r="P447" s="79"/>
      <c r="Q447" s="79"/>
      <c r="R447" s="79"/>
      <c r="Y447" s="79"/>
      <c r="AC447" s="130"/>
      <c r="AE447" s="106"/>
    </row>
    <row r="448">
      <c r="C448" s="79"/>
      <c r="D448" s="79"/>
      <c r="E448" s="79"/>
      <c r="P448" s="79"/>
      <c r="Q448" s="79"/>
      <c r="R448" s="79"/>
      <c r="Y448" s="79"/>
      <c r="AC448" s="130"/>
      <c r="AE448" s="106"/>
    </row>
    <row r="449">
      <c r="C449" s="79"/>
      <c r="D449" s="79"/>
      <c r="E449" s="79"/>
      <c r="P449" s="79"/>
      <c r="Q449" s="79"/>
      <c r="R449" s="79"/>
      <c r="Y449" s="79"/>
      <c r="AC449" s="130"/>
      <c r="AE449" s="106"/>
    </row>
    <row r="450">
      <c r="C450" s="79"/>
      <c r="D450" s="79"/>
      <c r="E450" s="79"/>
      <c r="P450" s="79"/>
      <c r="Q450" s="79"/>
      <c r="R450" s="79"/>
      <c r="Y450" s="79"/>
      <c r="AC450" s="130"/>
      <c r="AE450" s="106"/>
    </row>
    <row r="451">
      <c r="C451" s="79"/>
      <c r="D451" s="79"/>
      <c r="E451" s="79"/>
      <c r="P451" s="79"/>
      <c r="Q451" s="79"/>
      <c r="R451" s="79"/>
      <c r="Y451" s="79"/>
      <c r="AC451" s="130"/>
      <c r="AE451" s="106"/>
    </row>
    <row r="452">
      <c r="C452" s="79"/>
      <c r="D452" s="79"/>
      <c r="E452" s="79"/>
      <c r="P452" s="79"/>
      <c r="Q452" s="79"/>
      <c r="R452" s="79"/>
      <c r="Y452" s="79"/>
      <c r="AC452" s="130"/>
      <c r="AE452" s="106"/>
    </row>
    <row r="453">
      <c r="C453" s="79"/>
      <c r="D453" s="79"/>
      <c r="E453" s="79"/>
      <c r="P453" s="79"/>
      <c r="Q453" s="79"/>
      <c r="R453" s="79"/>
      <c r="Y453" s="79"/>
      <c r="AC453" s="130"/>
      <c r="AE453" s="106"/>
    </row>
    <row r="454">
      <c r="C454" s="79"/>
      <c r="D454" s="79"/>
      <c r="E454" s="79"/>
      <c r="P454" s="79"/>
      <c r="Q454" s="79"/>
      <c r="R454" s="79"/>
      <c r="Y454" s="79"/>
      <c r="AC454" s="130"/>
      <c r="AE454" s="106"/>
    </row>
    <row r="455">
      <c r="C455" s="79"/>
      <c r="D455" s="79"/>
      <c r="E455" s="79"/>
      <c r="P455" s="79"/>
      <c r="Q455" s="79"/>
      <c r="R455" s="79"/>
      <c r="Y455" s="79"/>
      <c r="AC455" s="130"/>
      <c r="AE455" s="106"/>
    </row>
    <row r="456">
      <c r="C456" s="79"/>
      <c r="D456" s="79"/>
      <c r="E456" s="79"/>
      <c r="P456" s="79"/>
      <c r="Q456" s="79"/>
      <c r="R456" s="79"/>
      <c r="Y456" s="79"/>
      <c r="AC456" s="130"/>
      <c r="AE456" s="106"/>
    </row>
    <row r="457">
      <c r="C457" s="79"/>
      <c r="D457" s="79"/>
      <c r="E457" s="79"/>
      <c r="P457" s="79"/>
      <c r="Q457" s="79"/>
      <c r="R457" s="79"/>
      <c r="Y457" s="79"/>
      <c r="AC457" s="130"/>
      <c r="AE457" s="106"/>
    </row>
    <row r="458">
      <c r="C458" s="79"/>
      <c r="D458" s="79"/>
      <c r="E458" s="79"/>
      <c r="P458" s="79"/>
      <c r="Q458" s="79"/>
      <c r="R458" s="79"/>
      <c r="Y458" s="79"/>
      <c r="AC458" s="130"/>
      <c r="AE458" s="106"/>
    </row>
    <row r="459">
      <c r="C459" s="79"/>
      <c r="D459" s="79"/>
      <c r="E459" s="79"/>
      <c r="P459" s="79"/>
      <c r="Q459" s="79"/>
      <c r="R459" s="79"/>
      <c r="Y459" s="79"/>
      <c r="AC459" s="130"/>
      <c r="AE459" s="106"/>
    </row>
    <row r="460">
      <c r="C460" s="79"/>
      <c r="D460" s="79"/>
      <c r="E460" s="79"/>
      <c r="P460" s="79"/>
      <c r="Q460" s="79"/>
      <c r="R460" s="79"/>
      <c r="Y460" s="79"/>
      <c r="AC460" s="130"/>
      <c r="AE460" s="106"/>
    </row>
    <row r="461">
      <c r="C461" s="79"/>
      <c r="D461" s="79"/>
      <c r="E461" s="79"/>
      <c r="P461" s="79"/>
      <c r="Q461" s="79"/>
      <c r="R461" s="79"/>
      <c r="Y461" s="79"/>
      <c r="AC461" s="130"/>
      <c r="AE461" s="106"/>
    </row>
    <row r="462">
      <c r="C462" s="79"/>
      <c r="D462" s="79"/>
      <c r="E462" s="79"/>
      <c r="P462" s="79"/>
      <c r="Q462" s="79"/>
      <c r="R462" s="79"/>
      <c r="Y462" s="79"/>
      <c r="AC462" s="130"/>
      <c r="AE462" s="106"/>
    </row>
    <row r="463">
      <c r="C463" s="79"/>
      <c r="D463" s="79"/>
      <c r="E463" s="79"/>
      <c r="P463" s="79"/>
      <c r="Q463" s="79"/>
      <c r="R463" s="79"/>
      <c r="Y463" s="79"/>
      <c r="AC463" s="130"/>
      <c r="AE463" s="106"/>
    </row>
    <row r="464">
      <c r="C464" s="79"/>
      <c r="D464" s="79"/>
      <c r="E464" s="79"/>
      <c r="P464" s="79"/>
      <c r="Q464" s="79"/>
      <c r="R464" s="79"/>
      <c r="Y464" s="79"/>
      <c r="AC464" s="130"/>
      <c r="AE464" s="106"/>
    </row>
    <row r="465">
      <c r="C465" s="79"/>
      <c r="D465" s="79"/>
      <c r="E465" s="79"/>
      <c r="P465" s="79"/>
      <c r="Q465" s="79"/>
      <c r="R465" s="79"/>
      <c r="Y465" s="79"/>
      <c r="AC465" s="130"/>
      <c r="AE465" s="106"/>
    </row>
    <row r="466">
      <c r="C466" s="79"/>
      <c r="D466" s="79"/>
      <c r="E466" s="79"/>
      <c r="P466" s="79"/>
      <c r="Q466" s="79"/>
      <c r="R466" s="79"/>
      <c r="Y466" s="79"/>
      <c r="AC466" s="130"/>
      <c r="AE466" s="106"/>
    </row>
    <row r="467">
      <c r="C467" s="79"/>
      <c r="D467" s="79"/>
      <c r="E467" s="79"/>
      <c r="P467" s="79"/>
      <c r="Q467" s="79"/>
      <c r="R467" s="79"/>
      <c r="Y467" s="79"/>
      <c r="AC467" s="130"/>
      <c r="AE467" s="106"/>
    </row>
    <row r="468">
      <c r="C468" s="79"/>
      <c r="D468" s="79"/>
      <c r="E468" s="79"/>
      <c r="P468" s="79"/>
      <c r="Q468" s="79"/>
      <c r="R468" s="79"/>
      <c r="Y468" s="79"/>
      <c r="AC468" s="130"/>
      <c r="AE468" s="106"/>
    </row>
    <row r="469">
      <c r="C469" s="79"/>
      <c r="D469" s="79"/>
      <c r="E469" s="79"/>
      <c r="P469" s="79"/>
      <c r="Q469" s="79"/>
      <c r="R469" s="79"/>
      <c r="Y469" s="79"/>
      <c r="AC469" s="130"/>
      <c r="AE469" s="106"/>
    </row>
    <row r="470">
      <c r="C470" s="79"/>
      <c r="D470" s="79"/>
      <c r="E470" s="79"/>
      <c r="P470" s="79"/>
      <c r="Q470" s="79"/>
      <c r="R470" s="79"/>
      <c r="Y470" s="79"/>
      <c r="AC470" s="130"/>
      <c r="AE470" s="106"/>
    </row>
    <row r="471">
      <c r="C471" s="79"/>
      <c r="D471" s="79"/>
      <c r="E471" s="79"/>
      <c r="P471" s="79"/>
      <c r="Q471" s="79"/>
      <c r="R471" s="79"/>
      <c r="Y471" s="79"/>
      <c r="AC471" s="130"/>
      <c r="AE471" s="106"/>
    </row>
    <row r="472">
      <c r="C472" s="79"/>
      <c r="D472" s="79"/>
      <c r="E472" s="79"/>
      <c r="P472" s="79"/>
      <c r="Q472" s="79"/>
      <c r="R472" s="79"/>
      <c r="Y472" s="79"/>
      <c r="AC472" s="130"/>
      <c r="AE472" s="106"/>
    </row>
    <row r="473">
      <c r="C473" s="79"/>
      <c r="D473" s="79"/>
      <c r="E473" s="79"/>
      <c r="P473" s="79"/>
      <c r="Q473" s="79"/>
      <c r="R473" s="79"/>
      <c r="Y473" s="79"/>
      <c r="AC473" s="130"/>
      <c r="AE473" s="106"/>
    </row>
    <row r="474">
      <c r="C474" s="79"/>
      <c r="D474" s="79"/>
      <c r="E474" s="79"/>
      <c r="P474" s="79"/>
      <c r="Q474" s="79"/>
      <c r="R474" s="79"/>
      <c r="Y474" s="79"/>
      <c r="AC474" s="130"/>
      <c r="AE474" s="106"/>
    </row>
    <row r="475">
      <c r="C475" s="79"/>
      <c r="D475" s="79"/>
      <c r="E475" s="79"/>
      <c r="P475" s="79"/>
      <c r="Q475" s="79"/>
      <c r="R475" s="79"/>
      <c r="Y475" s="79"/>
      <c r="AC475" s="130"/>
      <c r="AE475" s="106"/>
    </row>
    <row r="476">
      <c r="C476" s="79"/>
      <c r="D476" s="79"/>
      <c r="E476" s="79"/>
      <c r="P476" s="79"/>
      <c r="Q476" s="79"/>
      <c r="R476" s="79"/>
      <c r="Y476" s="79"/>
      <c r="AC476" s="130"/>
      <c r="AE476" s="106"/>
    </row>
    <row r="477">
      <c r="C477" s="79"/>
      <c r="D477" s="79"/>
      <c r="E477" s="79"/>
      <c r="P477" s="79"/>
      <c r="Q477" s="79"/>
      <c r="R477" s="79"/>
      <c r="Y477" s="79"/>
      <c r="AC477" s="130"/>
      <c r="AE477" s="106"/>
    </row>
    <row r="478">
      <c r="C478" s="79"/>
      <c r="D478" s="79"/>
      <c r="E478" s="79"/>
      <c r="P478" s="79"/>
      <c r="Q478" s="79"/>
      <c r="R478" s="79"/>
      <c r="Y478" s="79"/>
      <c r="AC478" s="130"/>
      <c r="AE478" s="106"/>
    </row>
    <row r="479">
      <c r="C479" s="79"/>
      <c r="D479" s="79"/>
      <c r="E479" s="79"/>
      <c r="P479" s="79"/>
      <c r="Q479" s="79"/>
      <c r="R479" s="79"/>
      <c r="Y479" s="79"/>
      <c r="AC479" s="130"/>
      <c r="AE479" s="106"/>
    </row>
    <row r="480">
      <c r="C480" s="79"/>
      <c r="D480" s="79"/>
      <c r="E480" s="79"/>
      <c r="P480" s="79"/>
      <c r="Q480" s="79"/>
      <c r="R480" s="79"/>
      <c r="Y480" s="79"/>
      <c r="AC480" s="130"/>
      <c r="AE480" s="106"/>
    </row>
    <row r="481">
      <c r="C481" s="79"/>
      <c r="D481" s="79"/>
      <c r="E481" s="79"/>
      <c r="P481" s="79"/>
      <c r="Q481" s="79"/>
      <c r="R481" s="79"/>
      <c r="Y481" s="79"/>
      <c r="AC481" s="130"/>
      <c r="AE481" s="106"/>
    </row>
    <row r="482">
      <c r="C482" s="79"/>
      <c r="D482" s="79"/>
      <c r="E482" s="79"/>
      <c r="P482" s="79"/>
      <c r="Q482" s="79"/>
      <c r="R482" s="79"/>
      <c r="Y482" s="79"/>
      <c r="AC482" s="130"/>
      <c r="AE482" s="106"/>
    </row>
    <row r="483">
      <c r="C483" s="79"/>
      <c r="D483" s="79"/>
      <c r="E483" s="79"/>
      <c r="P483" s="79"/>
      <c r="Q483" s="79"/>
      <c r="R483" s="79"/>
      <c r="Y483" s="79"/>
      <c r="AC483" s="130"/>
      <c r="AE483" s="106"/>
    </row>
    <row r="484">
      <c r="C484" s="79"/>
      <c r="D484" s="79"/>
      <c r="E484" s="79"/>
      <c r="P484" s="79"/>
      <c r="Q484" s="79"/>
      <c r="R484" s="79"/>
      <c r="Y484" s="79"/>
      <c r="AC484" s="130"/>
      <c r="AE484" s="106"/>
    </row>
    <row r="485">
      <c r="C485" s="79"/>
      <c r="D485" s="79"/>
      <c r="E485" s="79"/>
      <c r="P485" s="79"/>
      <c r="Q485" s="79"/>
      <c r="R485" s="79"/>
      <c r="Y485" s="79"/>
      <c r="AC485" s="130"/>
      <c r="AE485" s="106"/>
    </row>
    <row r="486">
      <c r="C486" s="79"/>
      <c r="D486" s="79"/>
      <c r="E486" s="79"/>
      <c r="P486" s="79"/>
      <c r="Q486" s="79"/>
      <c r="R486" s="79"/>
      <c r="Y486" s="79"/>
      <c r="AC486" s="130"/>
      <c r="AE486" s="106"/>
    </row>
    <row r="487">
      <c r="C487" s="79"/>
      <c r="D487" s="79"/>
      <c r="E487" s="79"/>
      <c r="P487" s="79"/>
      <c r="Q487" s="79"/>
      <c r="R487" s="79"/>
      <c r="Y487" s="79"/>
      <c r="AC487" s="130"/>
      <c r="AE487" s="106"/>
    </row>
    <row r="488">
      <c r="C488" s="79"/>
      <c r="D488" s="79"/>
      <c r="E488" s="79"/>
      <c r="P488" s="79"/>
      <c r="Q488" s="79"/>
      <c r="R488" s="79"/>
      <c r="Y488" s="79"/>
      <c r="AC488" s="130"/>
      <c r="AE488" s="106"/>
    </row>
    <row r="489">
      <c r="C489" s="79"/>
      <c r="D489" s="79"/>
      <c r="E489" s="79"/>
      <c r="P489" s="79"/>
      <c r="Q489" s="79"/>
      <c r="R489" s="79"/>
      <c r="Y489" s="79"/>
      <c r="AC489" s="130"/>
      <c r="AE489" s="106"/>
    </row>
    <row r="490">
      <c r="C490" s="79"/>
      <c r="D490" s="79"/>
      <c r="E490" s="79"/>
      <c r="P490" s="79"/>
      <c r="Q490" s="79"/>
      <c r="R490" s="79"/>
      <c r="Y490" s="79"/>
      <c r="AC490" s="130"/>
      <c r="AE490" s="106"/>
    </row>
    <row r="491">
      <c r="C491" s="79"/>
      <c r="D491" s="79"/>
      <c r="E491" s="79"/>
      <c r="P491" s="79"/>
      <c r="Q491" s="79"/>
      <c r="R491" s="79"/>
      <c r="Y491" s="79"/>
      <c r="AC491" s="130"/>
      <c r="AE491" s="106"/>
    </row>
    <row r="492">
      <c r="C492" s="79"/>
      <c r="D492" s="79"/>
      <c r="E492" s="79"/>
      <c r="P492" s="79"/>
      <c r="Q492" s="79"/>
      <c r="R492" s="79"/>
      <c r="Y492" s="79"/>
      <c r="AC492" s="130"/>
      <c r="AE492" s="106"/>
    </row>
    <row r="493">
      <c r="C493" s="79"/>
      <c r="D493" s="79"/>
      <c r="E493" s="79"/>
      <c r="P493" s="79"/>
      <c r="Q493" s="79"/>
      <c r="R493" s="79"/>
      <c r="Y493" s="79"/>
      <c r="AC493" s="130"/>
      <c r="AE493" s="106"/>
    </row>
    <row r="494">
      <c r="C494" s="79"/>
      <c r="D494" s="79"/>
      <c r="E494" s="79"/>
      <c r="P494" s="79"/>
      <c r="Q494" s="79"/>
      <c r="R494" s="79"/>
      <c r="Y494" s="79"/>
      <c r="AC494" s="130"/>
      <c r="AE494" s="106"/>
    </row>
    <row r="495">
      <c r="C495" s="79"/>
      <c r="D495" s="79"/>
      <c r="E495" s="79"/>
      <c r="P495" s="79"/>
      <c r="Q495" s="79"/>
      <c r="R495" s="79"/>
      <c r="Y495" s="79"/>
      <c r="AC495" s="130"/>
      <c r="AE495" s="106"/>
    </row>
    <row r="496">
      <c r="C496" s="79"/>
      <c r="D496" s="79"/>
      <c r="E496" s="79"/>
      <c r="P496" s="79"/>
      <c r="Q496" s="79"/>
      <c r="R496" s="79"/>
      <c r="Y496" s="79"/>
      <c r="AC496" s="130"/>
      <c r="AE496" s="106"/>
    </row>
    <row r="497">
      <c r="C497" s="79"/>
      <c r="D497" s="79"/>
      <c r="E497" s="79"/>
      <c r="P497" s="79"/>
      <c r="Q497" s="79"/>
      <c r="R497" s="79"/>
      <c r="Y497" s="79"/>
      <c r="AC497" s="130"/>
      <c r="AE497" s="106"/>
    </row>
    <row r="498">
      <c r="C498" s="79"/>
      <c r="D498" s="79"/>
      <c r="E498" s="79"/>
      <c r="P498" s="79"/>
      <c r="Q498" s="79"/>
      <c r="R498" s="79"/>
      <c r="Y498" s="79"/>
      <c r="AC498" s="130"/>
      <c r="AE498" s="106"/>
    </row>
    <row r="499">
      <c r="C499" s="79"/>
      <c r="D499" s="79"/>
      <c r="E499" s="79"/>
      <c r="P499" s="79"/>
      <c r="Q499" s="79"/>
      <c r="R499" s="79"/>
      <c r="Y499" s="79"/>
      <c r="AC499" s="130"/>
      <c r="AE499" s="106"/>
    </row>
    <row r="500">
      <c r="C500" s="79"/>
      <c r="D500" s="79"/>
      <c r="E500" s="79"/>
      <c r="P500" s="79"/>
      <c r="Q500" s="79"/>
      <c r="R500" s="79"/>
      <c r="Y500" s="79"/>
      <c r="AC500" s="130"/>
      <c r="AE500" s="106"/>
    </row>
    <row r="501">
      <c r="C501" s="79"/>
      <c r="D501" s="79"/>
      <c r="E501" s="79"/>
      <c r="P501" s="79"/>
      <c r="Q501" s="79"/>
      <c r="R501" s="79"/>
      <c r="Y501" s="79"/>
      <c r="AC501" s="130"/>
      <c r="AE501" s="106"/>
    </row>
    <row r="502">
      <c r="C502" s="79"/>
      <c r="D502" s="79"/>
      <c r="E502" s="79"/>
      <c r="P502" s="79"/>
      <c r="Q502" s="79"/>
      <c r="R502" s="79"/>
      <c r="Y502" s="79"/>
      <c r="AC502" s="130"/>
      <c r="AE502" s="106"/>
    </row>
    <row r="503">
      <c r="C503" s="79"/>
      <c r="D503" s="79"/>
      <c r="E503" s="79"/>
      <c r="P503" s="79"/>
      <c r="Q503" s="79"/>
      <c r="R503" s="79"/>
      <c r="Y503" s="79"/>
      <c r="AC503" s="130"/>
      <c r="AE503" s="106"/>
    </row>
    <row r="504">
      <c r="C504" s="79"/>
      <c r="D504" s="79"/>
      <c r="E504" s="79"/>
      <c r="P504" s="79"/>
      <c r="Q504" s="79"/>
      <c r="R504" s="79"/>
      <c r="Y504" s="79"/>
      <c r="AC504" s="130"/>
      <c r="AE504" s="106"/>
    </row>
    <row r="505">
      <c r="C505" s="79"/>
      <c r="D505" s="79"/>
      <c r="E505" s="79"/>
      <c r="P505" s="79"/>
      <c r="Q505" s="79"/>
      <c r="R505" s="79"/>
      <c r="Y505" s="79"/>
      <c r="AC505" s="130"/>
      <c r="AE505" s="106"/>
    </row>
    <row r="506">
      <c r="C506" s="79"/>
      <c r="D506" s="79"/>
      <c r="E506" s="79"/>
      <c r="P506" s="79"/>
      <c r="Q506" s="79"/>
      <c r="R506" s="79"/>
      <c r="Y506" s="79"/>
      <c r="AC506" s="130"/>
      <c r="AE506" s="106"/>
    </row>
    <row r="507">
      <c r="C507" s="79"/>
      <c r="D507" s="79"/>
      <c r="E507" s="79"/>
      <c r="P507" s="79"/>
      <c r="Q507" s="79"/>
      <c r="R507" s="79"/>
      <c r="Y507" s="79"/>
      <c r="AC507" s="130"/>
      <c r="AE507" s="106"/>
    </row>
    <row r="508">
      <c r="C508" s="79"/>
      <c r="D508" s="79"/>
      <c r="E508" s="79"/>
      <c r="P508" s="79"/>
      <c r="Q508" s="79"/>
      <c r="R508" s="79"/>
      <c r="Y508" s="79"/>
      <c r="AC508" s="130"/>
      <c r="AE508" s="106"/>
    </row>
    <row r="509">
      <c r="C509" s="79"/>
      <c r="D509" s="79"/>
      <c r="E509" s="79"/>
      <c r="P509" s="79"/>
      <c r="Q509" s="79"/>
      <c r="R509" s="79"/>
      <c r="Y509" s="79"/>
      <c r="AC509" s="130"/>
      <c r="AE509" s="106"/>
    </row>
    <row r="510">
      <c r="C510" s="79"/>
      <c r="D510" s="79"/>
      <c r="E510" s="79"/>
      <c r="P510" s="79"/>
      <c r="Q510" s="79"/>
      <c r="R510" s="79"/>
      <c r="Y510" s="79"/>
      <c r="AC510" s="130"/>
      <c r="AE510" s="106"/>
    </row>
    <row r="511">
      <c r="C511" s="79"/>
      <c r="D511" s="79"/>
      <c r="E511" s="79"/>
      <c r="P511" s="79"/>
      <c r="Q511" s="79"/>
      <c r="R511" s="79"/>
      <c r="Y511" s="79"/>
      <c r="AC511" s="130"/>
      <c r="AE511" s="106"/>
    </row>
    <row r="512">
      <c r="C512" s="79"/>
      <c r="D512" s="79"/>
      <c r="E512" s="79"/>
      <c r="P512" s="79"/>
      <c r="Q512" s="79"/>
      <c r="R512" s="79"/>
      <c r="Y512" s="79"/>
      <c r="AC512" s="130"/>
      <c r="AE512" s="106"/>
    </row>
    <row r="513">
      <c r="C513" s="79"/>
      <c r="D513" s="79"/>
      <c r="E513" s="79"/>
      <c r="P513" s="79"/>
      <c r="Q513" s="79"/>
      <c r="R513" s="79"/>
      <c r="Y513" s="79"/>
      <c r="AC513" s="130"/>
      <c r="AE513" s="106"/>
    </row>
    <row r="514">
      <c r="C514" s="79"/>
      <c r="D514" s="79"/>
      <c r="E514" s="79"/>
      <c r="P514" s="79"/>
      <c r="Q514" s="79"/>
      <c r="R514" s="79"/>
      <c r="Y514" s="79"/>
      <c r="AC514" s="130"/>
      <c r="AE514" s="106"/>
    </row>
    <row r="515">
      <c r="C515" s="79"/>
      <c r="D515" s="79"/>
      <c r="E515" s="79"/>
      <c r="P515" s="79"/>
      <c r="Q515" s="79"/>
      <c r="R515" s="79"/>
      <c r="Y515" s="79"/>
      <c r="AC515" s="130"/>
      <c r="AE515" s="106"/>
    </row>
    <row r="516">
      <c r="C516" s="79"/>
      <c r="D516" s="79"/>
      <c r="E516" s="79"/>
      <c r="P516" s="79"/>
      <c r="Q516" s="79"/>
      <c r="R516" s="79"/>
      <c r="Y516" s="79"/>
      <c r="AC516" s="130"/>
      <c r="AE516" s="106"/>
    </row>
    <row r="517">
      <c r="C517" s="79"/>
      <c r="D517" s="79"/>
      <c r="E517" s="79"/>
      <c r="P517" s="79"/>
      <c r="Q517" s="79"/>
      <c r="R517" s="79"/>
      <c r="Y517" s="79"/>
      <c r="AC517" s="130"/>
      <c r="AE517" s="106"/>
    </row>
    <row r="518">
      <c r="C518" s="79"/>
      <c r="D518" s="79"/>
      <c r="E518" s="79"/>
      <c r="P518" s="79"/>
      <c r="Q518" s="79"/>
      <c r="R518" s="79"/>
      <c r="Y518" s="79"/>
      <c r="AC518" s="130"/>
      <c r="AE518" s="106"/>
    </row>
    <row r="519">
      <c r="C519" s="79"/>
      <c r="D519" s="79"/>
      <c r="E519" s="79"/>
      <c r="P519" s="79"/>
      <c r="Q519" s="79"/>
      <c r="R519" s="79"/>
      <c r="Y519" s="79"/>
      <c r="AC519" s="130"/>
      <c r="AE519" s="106"/>
    </row>
    <row r="520">
      <c r="C520" s="79"/>
      <c r="D520" s="79"/>
      <c r="E520" s="79"/>
      <c r="P520" s="79"/>
      <c r="Q520" s="79"/>
      <c r="R520" s="79"/>
      <c r="Y520" s="79"/>
      <c r="AC520" s="130"/>
      <c r="AE520" s="106"/>
    </row>
    <row r="521">
      <c r="C521" s="79"/>
      <c r="D521" s="79"/>
      <c r="E521" s="79"/>
      <c r="P521" s="79"/>
      <c r="Q521" s="79"/>
      <c r="R521" s="79"/>
      <c r="Y521" s="79"/>
      <c r="AC521" s="130"/>
      <c r="AE521" s="106"/>
    </row>
    <row r="522">
      <c r="C522" s="79"/>
      <c r="D522" s="79"/>
      <c r="E522" s="79"/>
      <c r="P522" s="79"/>
      <c r="Q522" s="79"/>
      <c r="R522" s="79"/>
      <c r="Y522" s="79"/>
      <c r="AC522" s="130"/>
      <c r="AE522" s="106"/>
    </row>
    <row r="523">
      <c r="C523" s="79"/>
      <c r="D523" s="79"/>
      <c r="E523" s="79"/>
      <c r="P523" s="79"/>
      <c r="Q523" s="79"/>
      <c r="R523" s="79"/>
      <c r="Y523" s="79"/>
      <c r="AC523" s="130"/>
      <c r="AE523" s="106"/>
    </row>
    <row r="524">
      <c r="C524" s="79"/>
      <c r="D524" s="79"/>
      <c r="E524" s="79"/>
      <c r="P524" s="79"/>
      <c r="Q524" s="79"/>
      <c r="R524" s="79"/>
      <c r="Y524" s="79"/>
      <c r="AC524" s="130"/>
      <c r="AE524" s="106"/>
    </row>
    <row r="525">
      <c r="C525" s="79"/>
      <c r="D525" s="79"/>
      <c r="E525" s="79"/>
      <c r="P525" s="79"/>
      <c r="Q525" s="79"/>
      <c r="R525" s="79"/>
      <c r="Y525" s="79"/>
      <c r="AC525" s="130"/>
      <c r="AE525" s="106"/>
    </row>
    <row r="526">
      <c r="C526" s="79"/>
      <c r="D526" s="79"/>
      <c r="E526" s="79"/>
      <c r="P526" s="79"/>
      <c r="Q526" s="79"/>
      <c r="R526" s="79"/>
      <c r="Y526" s="79"/>
      <c r="AC526" s="130"/>
      <c r="AE526" s="106"/>
    </row>
    <row r="527">
      <c r="C527" s="79"/>
      <c r="D527" s="79"/>
      <c r="E527" s="79"/>
      <c r="P527" s="79"/>
      <c r="Q527" s="79"/>
      <c r="R527" s="79"/>
      <c r="Y527" s="79"/>
      <c r="AC527" s="130"/>
      <c r="AE527" s="106"/>
    </row>
    <row r="528">
      <c r="C528" s="79"/>
      <c r="D528" s="79"/>
      <c r="E528" s="79"/>
      <c r="P528" s="79"/>
      <c r="Q528" s="79"/>
      <c r="R528" s="79"/>
      <c r="Y528" s="79"/>
      <c r="AC528" s="130"/>
      <c r="AE528" s="106"/>
    </row>
    <row r="529">
      <c r="C529" s="79"/>
      <c r="D529" s="79"/>
      <c r="E529" s="79"/>
      <c r="P529" s="79"/>
      <c r="Q529" s="79"/>
      <c r="R529" s="79"/>
      <c r="Y529" s="79"/>
      <c r="AC529" s="130"/>
      <c r="AE529" s="106"/>
    </row>
    <row r="530">
      <c r="C530" s="79"/>
      <c r="D530" s="79"/>
      <c r="E530" s="79"/>
      <c r="P530" s="79"/>
      <c r="Q530" s="79"/>
      <c r="R530" s="79"/>
      <c r="Y530" s="79"/>
      <c r="AC530" s="130"/>
      <c r="AE530" s="106"/>
    </row>
    <row r="531">
      <c r="C531" s="79"/>
      <c r="D531" s="79"/>
      <c r="E531" s="79"/>
      <c r="P531" s="79"/>
      <c r="Q531" s="79"/>
      <c r="R531" s="79"/>
      <c r="Y531" s="79"/>
      <c r="AC531" s="130"/>
      <c r="AE531" s="106"/>
    </row>
    <row r="532">
      <c r="C532" s="79"/>
      <c r="D532" s="79"/>
      <c r="E532" s="79"/>
      <c r="P532" s="79"/>
      <c r="Q532" s="79"/>
      <c r="R532" s="79"/>
      <c r="Y532" s="79"/>
      <c r="AC532" s="130"/>
      <c r="AE532" s="106"/>
    </row>
    <row r="533">
      <c r="C533" s="79"/>
      <c r="D533" s="79"/>
      <c r="E533" s="79"/>
      <c r="P533" s="79"/>
      <c r="Q533" s="79"/>
      <c r="R533" s="79"/>
      <c r="Y533" s="79"/>
      <c r="AC533" s="130"/>
      <c r="AE533" s="106"/>
    </row>
    <row r="534">
      <c r="C534" s="79"/>
      <c r="D534" s="79"/>
      <c r="E534" s="79"/>
      <c r="P534" s="79"/>
      <c r="Q534" s="79"/>
      <c r="R534" s="79"/>
      <c r="Y534" s="79"/>
      <c r="AC534" s="130"/>
      <c r="AE534" s="106"/>
    </row>
    <row r="535">
      <c r="C535" s="79"/>
      <c r="D535" s="79"/>
      <c r="E535" s="79"/>
      <c r="P535" s="79"/>
      <c r="Q535" s="79"/>
      <c r="R535" s="79"/>
      <c r="Y535" s="79"/>
      <c r="AC535" s="130"/>
      <c r="AE535" s="106"/>
    </row>
    <row r="536">
      <c r="C536" s="79"/>
      <c r="D536" s="79"/>
      <c r="E536" s="79"/>
      <c r="P536" s="79"/>
      <c r="Q536" s="79"/>
      <c r="R536" s="79"/>
      <c r="Y536" s="79"/>
      <c r="AC536" s="130"/>
      <c r="AE536" s="106"/>
    </row>
    <row r="537">
      <c r="C537" s="79"/>
      <c r="D537" s="79"/>
      <c r="E537" s="79"/>
      <c r="P537" s="79"/>
      <c r="Q537" s="79"/>
      <c r="R537" s="79"/>
      <c r="Y537" s="79"/>
      <c r="AC537" s="130"/>
      <c r="AE537" s="106"/>
    </row>
    <row r="538">
      <c r="C538" s="79"/>
      <c r="D538" s="79"/>
      <c r="E538" s="79"/>
      <c r="P538" s="79"/>
      <c r="Q538" s="79"/>
      <c r="R538" s="79"/>
      <c r="Y538" s="79"/>
      <c r="AC538" s="130"/>
      <c r="AE538" s="106"/>
    </row>
    <row r="539">
      <c r="C539" s="79"/>
      <c r="D539" s="79"/>
      <c r="E539" s="79"/>
      <c r="P539" s="79"/>
      <c r="Q539" s="79"/>
      <c r="R539" s="79"/>
      <c r="Y539" s="79"/>
      <c r="AC539" s="130"/>
      <c r="AE539" s="106"/>
    </row>
    <row r="540">
      <c r="C540" s="79"/>
      <c r="D540" s="79"/>
      <c r="E540" s="79"/>
      <c r="P540" s="79"/>
      <c r="Q540" s="79"/>
      <c r="R540" s="79"/>
      <c r="Y540" s="79"/>
      <c r="AC540" s="130"/>
      <c r="AE540" s="106"/>
    </row>
    <row r="541">
      <c r="C541" s="79"/>
      <c r="D541" s="79"/>
      <c r="E541" s="79"/>
      <c r="P541" s="79"/>
      <c r="Q541" s="79"/>
      <c r="R541" s="79"/>
      <c r="Y541" s="79"/>
      <c r="AC541" s="130"/>
      <c r="AE541" s="106"/>
    </row>
    <row r="542">
      <c r="C542" s="79"/>
      <c r="D542" s="79"/>
      <c r="E542" s="79"/>
      <c r="P542" s="79"/>
      <c r="Q542" s="79"/>
      <c r="R542" s="79"/>
      <c r="Y542" s="79"/>
      <c r="AC542" s="130"/>
      <c r="AE542" s="106"/>
    </row>
    <row r="543">
      <c r="C543" s="79"/>
      <c r="D543" s="79"/>
      <c r="E543" s="79"/>
      <c r="P543" s="79"/>
      <c r="Q543" s="79"/>
      <c r="R543" s="79"/>
      <c r="Y543" s="79"/>
      <c r="AC543" s="130"/>
      <c r="AE543" s="106"/>
    </row>
    <row r="544">
      <c r="C544" s="79"/>
      <c r="D544" s="79"/>
      <c r="E544" s="79"/>
      <c r="P544" s="79"/>
      <c r="Q544" s="79"/>
      <c r="R544" s="79"/>
      <c r="Y544" s="79"/>
      <c r="AC544" s="130"/>
      <c r="AE544" s="106"/>
    </row>
    <row r="545">
      <c r="C545" s="79"/>
      <c r="D545" s="79"/>
      <c r="E545" s="79"/>
      <c r="P545" s="79"/>
      <c r="Q545" s="79"/>
      <c r="R545" s="79"/>
      <c r="Y545" s="79"/>
      <c r="AC545" s="130"/>
      <c r="AE545" s="106"/>
    </row>
    <row r="546">
      <c r="C546" s="79"/>
      <c r="D546" s="79"/>
      <c r="E546" s="79"/>
      <c r="P546" s="79"/>
      <c r="Q546" s="79"/>
      <c r="R546" s="79"/>
      <c r="Y546" s="79"/>
      <c r="AC546" s="130"/>
      <c r="AE546" s="106"/>
    </row>
    <row r="547">
      <c r="C547" s="79"/>
      <c r="D547" s="79"/>
      <c r="E547" s="79"/>
      <c r="P547" s="79"/>
      <c r="Q547" s="79"/>
      <c r="R547" s="79"/>
      <c r="Y547" s="79"/>
      <c r="AC547" s="130"/>
      <c r="AE547" s="106"/>
    </row>
    <row r="548">
      <c r="C548" s="79"/>
      <c r="D548" s="79"/>
      <c r="E548" s="79"/>
      <c r="P548" s="79"/>
      <c r="Q548" s="79"/>
      <c r="R548" s="79"/>
      <c r="Y548" s="79"/>
      <c r="AC548" s="130"/>
      <c r="AE548" s="106"/>
    </row>
    <row r="549">
      <c r="C549" s="79"/>
      <c r="D549" s="79"/>
      <c r="E549" s="79"/>
      <c r="P549" s="79"/>
      <c r="Q549" s="79"/>
      <c r="R549" s="79"/>
      <c r="Y549" s="79"/>
      <c r="AC549" s="130"/>
      <c r="AE549" s="106"/>
    </row>
    <row r="550">
      <c r="C550" s="79"/>
      <c r="D550" s="79"/>
      <c r="E550" s="79"/>
      <c r="P550" s="79"/>
      <c r="Q550" s="79"/>
      <c r="R550" s="79"/>
      <c r="Y550" s="79"/>
      <c r="AC550" s="130"/>
      <c r="AE550" s="106"/>
    </row>
    <row r="551">
      <c r="C551" s="79"/>
      <c r="D551" s="79"/>
      <c r="E551" s="79"/>
      <c r="P551" s="79"/>
      <c r="Q551" s="79"/>
      <c r="R551" s="79"/>
      <c r="Y551" s="79"/>
      <c r="AC551" s="130"/>
      <c r="AE551" s="106"/>
    </row>
    <row r="552">
      <c r="C552" s="79"/>
      <c r="D552" s="79"/>
      <c r="E552" s="79"/>
      <c r="P552" s="79"/>
      <c r="Q552" s="79"/>
      <c r="R552" s="79"/>
      <c r="Y552" s="79"/>
      <c r="AC552" s="130"/>
      <c r="AE552" s="106"/>
    </row>
    <row r="553">
      <c r="C553" s="79"/>
      <c r="D553" s="79"/>
      <c r="E553" s="79"/>
      <c r="P553" s="79"/>
      <c r="Q553" s="79"/>
      <c r="R553" s="79"/>
      <c r="Y553" s="79"/>
      <c r="AC553" s="130"/>
      <c r="AE553" s="106"/>
    </row>
    <row r="554">
      <c r="C554" s="79"/>
      <c r="D554" s="79"/>
      <c r="E554" s="79"/>
      <c r="P554" s="79"/>
      <c r="Q554" s="79"/>
      <c r="R554" s="79"/>
      <c r="Y554" s="79"/>
      <c r="AC554" s="130"/>
      <c r="AE554" s="106"/>
    </row>
    <row r="555">
      <c r="C555" s="79"/>
      <c r="D555" s="79"/>
      <c r="E555" s="79"/>
      <c r="P555" s="79"/>
      <c r="Q555" s="79"/>
      <c r="R555" s="79"/>
      <c r="Y555" s="79"/>
      <c r="AC555" s="130"/>
      <c r="AE555" s="106"/>
    </row>
    <row r="556">
      <c r="C556" s="79"/>
      <c r="D556" s="79"/>
      <c r="E556" s="79"/>
      <c r="P556" s="79"/>
      <c r="Q556" s="79"/>
      <c r="R556" s="79"/>
      <c r="Y556" s="79"/>
      <c r="AC556" s="130"/>
      <c r="AE556" s="106"/>
    </row>
    <row r="557">
      <c r="C557" s="79"/>
      <c r="D557" s="79"/>
      <c r="E557" s="79"/>
      <c r="P557" s="79"/>
      <c r="Q557" s="79"/>
      <c r="R557" s="79"/>
      <c r="Y557" s="79"/>
      <c r="AC557" s="130"/>
      <c r="AE557" s="106"/>
    </row>
    <row r="558">
      <c r="C558" s="79"/>
      <c r="D558" s="79"/>
      <c r="E558" s="79"/>
      <c r="P558" s="79"/>
      <c r="Q558" s="79"/>
      <c r="R558" s="79"/>
      <c r="Y558" s="79"/>
      <c r="AC558" s="130"/>
      <c r="AE558" s="106"/>
    </row>
    <row r="559">
      <c r="C559" s="79"/>
      <c r="D559" s="79"/>
      <c r="E559" s="79"/>
      <c r="P559" s="79"/>
      <c r="Q559" s="79"/>
      <c r="R559" s="79"/>
      <c r="Y559" s="79"/>
      <c r="AC559" s="130"/>
      <c r="AE559" s="106"/>
    </row>
    <row r="560">
      <c r="C560" s="79"/>
      <c r="D560" s="79"/>
      <c r="E560" s="79"/>
      <c r="P560" s="79"/>
      <c r="Q560" s="79"/>
      <c r="R560" s="79"/>
      <c r="Y560" s="79"/>
      <c r="AC560" s="130"/>
      <c r="AE560" s="106"/>
    </row>
    <row r="561">
      <c r="C561" s="79"/>
      <c r="D561" s="79"/>
      <c r="E561" s="79"/>
      <c r="P561" s="79"/>
      <c r="Q561" s="79"/>
      <c r="R561" s="79"/>
      <c r="Y561" s="79"/>
      <c r="AC561" s="130"/>
      <c r="AE561" s="106"/>
    </row>
    <row r="562">
      <c r="C562" s="79"/>
      <c r="D562" s="79"/>
      <c r="E562" s="79"/>
      <c r="P562" s="79"/>
      <c r="Q562" s="79"/>
      <c r="R562" s="79"/>
      <c r="Y562" s="79"/>
      <c r="AC562" s="130"/>
      <c r="AE562" s="106"/>
    </row>
    <row r="563">
      <c r="C563" s="79"/>
      <c r="D563" s="79"/>
      <c r="E563" s="79"/>
      <c r="P563" s="79"/>
      <c r="Q563" s="79"/>
      <c r="R563" s="79"/>
      <c r="Y563" s="79"/>
      <c r="AC563" s="130"/>
      <c r="AE563" s="106"/>
    </row>
    <row r="564">
      <c r="C564" s="79"/>
      <c r="D564" s="79"/>
      <c r="E564" s="79"/>
      <c r="P564" s="79"/>
      <c r="Q564" s="79"/>
      <c r="R564" s="79"/>
      <c r="Y564" s="79"/>
      <c r="AC564" s="130"/>
      <c r="AE564" s="106"/>
    </row>
    <row r="565">
      <c r="C565" s="79"/>
      <c r="D565" s="79"/>
      <c r="E565" s="79"/>
      <c r="P565" s="79"/>
      <c r="Q565" s="79"/>
      <c r="R565" s="79"/>
      <c r="Y565" s="79"/>
      <c r="AC565" s="130"/>
      <c r="AE565" s="106"/>
    </row>
    <row r="566">
      <c r="C566" s="79"/>
      <c r="D566" s="79"/>
      <c r="E566" s="79"/>
      <c r="P566" s="79"/>
      <c r="Q566" s="79"/>
      <c r="R566" s="79"/>
      <c r="Y566" s="79"/>
      <c r="AC566" s="130"/>
      <c r="AE566" s="106"/>
    </row>
    <row r="567">
      <c r="C567" s="79"/>
      <c r="D567" s="79"/>
      <c r="E567" s="79"/>
      <c r="P567" s="79"/>
      <c r="Q567" s="79"/>
      <c r="R567" s="79"/>
      <c r="Y567" s="79"/>
      <c r="AC567" s="130"/>
      <c r="AE567" s="106"/>
    </row>
    <row r="568">
      <c r="C568" s="79"/>
      <c r="D568" s="79"/>
      <c r="E568" s="79"/>
      <c r="P568" s="79"/>
      <c r="Q568" s="79"/>
      <c r="R568" s="79"/>
      <c r="Y568" s="79"/>
      <c r="AC568" s="130"/>
      <c r="AE568" s="106"/>
    </row>
    <row r="569">
      <c r="C569" s="79"/>
      <c r="D569" s="79"/>
      <c r="E569" s="79"/>
      <c r="P569" s="79"/>
      <c r="Q569" s="79"/>
      <c r="R569" s="79"/>
      <c r="Y569" s="79"/>
      <c r="AC569" s="130"/>
      <c r="AE569" s="106"/>
    </row>
    <row r="570">
      <c r="C570" s="79"/>
      <c r="D570" s="79"/>
      <c r="E570" s="79"/>
      <c r="P570" s="79"/>
      <c r="Q570" s="79"/>
      <c r="R570" s="79"/>
      <c r="Y570" s="79"/>
      <c r="AC570" s="130"/>
      <c r="AE570" s="106"/>
    </row>
    <row r="571">
      <c r="C571" s="79"/>
      <c r="D571" s="79"/>
      <c r="E571" s="79"/>
      <c r="P571" s="79"/>
      <c r="Q571" s="79"/>
      <c r="R571" s="79"/>
      <c r="Y571" s="79"/>
      <c r="AC571" s="130"/>
      <c r="AE571" s="106"/>
    </row>
    <row r="572">
      <c r="C572" s="79"/>
      <c r="D572" s="79"/>
      <c r="E572" s="79"/>
      <c r="P572" s="79"/>
      <c r="Q572" s="79"/>
      <c r="R572" s="79"/>
      <c r="Y572" s="79"/>
      <c r="AC572" s="130"/>
      <c r="AE572" s="106"/>
    </row>
    <row r="573">
      <c r="C573" s="79"/>
      <c r="D573" s="79"/>
      <c r="E573" s="79"/>
      <c r="P573" s="79"/>
      <c r="Q573" s="79"/>
      <c r="R573" s="79"/>
      <c r="Y573" s="79"/>
      <c r="AC573" s="130"/>
      <c r="AE573" s="106"/>
    </row>
    <row r="574">
      <c r="C574" s="79"/>
      <c r="D574" s="79"/>
      <c r="E574" s="79"/>
      <c r="P574" s="79"/>
      <c r="Q574" s="79"/>
      <c r="R574" s="79"/>
      <c r="Y574" s="79"/>
      <c r="AC574" s="130"/>
      <c r="AE574" s="106"/>
    </row>
    <row r="575">
      <c r="C575" s="79"/>
      <c r="D575" s="79"/>
      <c r="E575" s="79"/>
      <c r="P575" s="79"/>
      <c r="Q575" s="79"/>
      <c r="R575" s="79"/>
      <c r="Y575" s="79"/>
      <c r="AC575" s="130"/>
      <c r="AE575" s="106"/>
    </row>
    <row r="576">
      <c r="C576" s="79"/>
      <c r="D576" s="79"/>
      <c r="E576" s="79"/>
      <c r="P576" s="79"/>
      <c r="Q576" s="79"/>
      <c r="R576" s="79"/>
      <c r="Y576" s="79"/>
      <c r="AC576" s="130"/>
      <c r="AE576" s="106"/>
    </row>
    <row r="577">
      <c r="C577" s="79"/>
      <c r="D577" s="79"/>
      <c r="E577" s="79"/>
      <c r="P577" s="79"/>
      <c r="Q577" s="79"/>
      <c r="R577" s="79"/>
      <c r="Y577" s="79"/>
      <c r="AC577" s="130"/>
      <c r="AE577" s="106"/>
    </row>
    <row r="578">
      <c r="C578" s="79"/>
      <c r="D578" s="79"/>
      <c r="E578" s="79"/>
      <c r="P578" s="79"/>
      <c r="Q578" s="79"/>
      <c r="R578" s="79"/>
      <c r="Y578" s="79"/>
      <c r="AC578" s="130"/>
      <c r="AE578" s="106"/>
    </row>
    <row r="579">
      <c r="C579" s="79"/>
      <c r="D579" s="79"/>
      <c r="E579" s="79"/>
      <c r="P579" s="79"/>
      <c r="Q579" s="79"/>
      <c r="R579" s="79"/>
      <c r="Y579" s="79"/>
      <c r="AC579" s="130"/>
      <c r="AE579" s="106"/>
    </row>
    <row r="580">
      <c r="C580" s="79"/>
      <c r="D580" s="79"/>
      <c r="E580" s="79"/>
      <c r="P580" s="79"/>
      <c r="Q580" s="79"/>
      <c r="R580" s="79"/>
      <c r="Y580" s="79"/>
      <c r="AC580" s="130"/>
      <c r="AE580" s="106"/>
    </row>
    <row r="581">
      <c r="C581" s="79"/>
      <c r="D581" s="79"/>
      <c r="E581" s="79"/>
      <c r="P581" s="79"/>
      <c r="Q581" s="79"/>
      <c r="R581" s="79"/>
      <c r="Y581" s="79"/>
      <c r="AC581" s="130"/>
      <c r="AE581" s="106"/>
    </row>
    <row r="582">
      <c r="C582" s="79"/>
      <c r="D582" s="79"/>
      <c r="E582" s="79"/>
      <c r="P582" s="79"/>
      <c r="Q582" s="79"/>
      <c r="R582" s="79"/>
      <c r="Y582" s="79"/>
      <c r="AC582" s="130"/>
      <c r="AE582" s="106"/>
    </row>
    <row r="583">
      <c r="C583" s="79"/>
      <c r="D583" s="79"/>
      <c r="E583" s="79"/>
      <c r="P583" s="79"/>
      <c r="Q583" s="79"/>
      <c r="R583" s="79"/>
      <c r="Y583" s="79"/>
      <c r="AC583" s="130"/>
      <c r="AE583" s="106"/>
    </row>
    <row r="584">
      <c r="C584" s="79"/>
      <c r="D584" s="79"/>
      <c r="E584" s="79"/>
      <c r="P584" s="79"/>
      <c r="Q584" s="79"/>
      <c r="R584" s="79"/>
      <c r="Y584" s="79"/>
      <c r="AC584" s="130"/>
      <c r="AE584" s="106"/>
    </row>
    <row r="585">
      <c r="C585" s="79"/>
      <c r="D585" s="79"/>
      <c r="E585" s="79"/>
      <c r="P585" s="79"/>
      <c r="Q585" s="79"/>
      <c r="R585" s="79"/>
      <c r="Y585" s="79"/>
      <c r="AC585" s="130"/>
      <c r="AE585" s="106"/>
    </row>
    <row r="586">
      <c r="C586" s="79"/>
      <c r="D586" s="79"/>
      <c r="E586" s="79"/>
      <c r="P586" s="79"/>
      <c r="Q586" s="79"/>
      <c r="R586" s="79"/>
      <c r="Y586" s="79"/>
      <c r="AC586" s="130"/>
      <c r="AE586" s="106"/>
    </row>
    <row r="587">
      <c r="C587" s="79"/>
      <c r="D587" s="79"/>
      <c r="E587" s="79"/>
      <c r="P587" s="79"/>
      <c r="Q587" s="79"/>
      <c r="R587" s="79"/>
      <c r="Y587" s="79"/>
      <c r="AC587" s="130"/>
      <c r="AE587" s="106"/>
    </row>
    <row r="588">
      <c r="C588" s="79"/>
      <c r="D588" s="79"/>
      <c r="E588" s="79"/>
      <c r="P588" s="79"/>
      <c r="Q588" s="79"/>
      <c r="R588" s="79"/>
      <c r="Y588" s="79"/>
      <c r="AC588" s="130"/>
      <c r="AE588" s="106"/>
    </row>
    <row r="589">
      <c r="C589" s="79"/>
      <c r="D589" s="79"/>
      <c r="E589" s="79"/>
      <c r="P589" s="79"/>
      <c r="Q589" s="79"/>
      <c r="R589" s="79"/>
      <c r="Y589" s="79"/>
      <c r="AC589" s="130"/>
      <c r="AE589" s="106"/>
    </row>
    <row r="590">
      <c r="C590" s="79"/>
      <c r="D590" s="79"/>
      <c r="E590" s="79"/>
      <c r="P590" s="79"/>
      <c r="Q590" s="79"/>
      <c r="R590" s="79"/>
      <c r="Y590" s="79"/>
      <c r="AC590" s="130"/>
      <c r="AE590" s="106"/>
    </row>
    <row r="591">
      <c r="C591" s="79"/>
      <c r="D591" s="79"/>
      <c r="E591" s="79"/>
      <c r="P591" s="79"/>
      <c r="Q591" s="79"/>
      <c r="R591" s="79"/>
      <c r="Y591" s="79"/>
      <c r="AC591" s="130"/>
      <c r="AE591" s="106"/>
    </row>
    <row r="592">
      <c r="C592" s="79"/>
      <c r="D592" s="79"/>
      <c r="E592" s="79"/>
      <c r="P592" s="79"/>
      <c r="Q592" s="79"/>
      <c r="R592" s="79"/>
      <c r="Y592" s="79"/>
      <c r="AC592" s="130"/>
      <c r="AE592" s="106"/>
    </row>
    <row r="593">
      <c r="C593" s="79"/>
      <c r="D593" s="79"/>
      <c r="E593" s="79"/>
      <c r="P593" s="79"/>
      <c r="Q593" s="79"/>
      <c r="R593" s="79"/>
      <c r="Y593" s="79"/>
      <c r="AC593" s="130"/>
      <c r="AE593" s="106"/>
    </row>
    <row r="594">
      <c r="C594" s="79"/>
      <c r="D594" s="79"/>
      <c r="E594" s="79"/>
      <c r="P594" s="79"/>
      <c r="Q594" s="79"/>
      <c r="R594" s="79"/>
      <c r="Y594" s="79"/>
      <c r="AC594" s="130"/>
      <c r="AE594" s="106"/>
    </row>
    <row r="595">
      <c r="C595" s="79"/>
      <c r="D595" s="79"/>
      <c r="E595" s="79"/>
      <c r="P595" s="79"/>
      <c r="Q595" s="79"/>
      <c r="R595" s="79"/>
      <c r="Y595" s="79"/>
      <c r="AC595" s="130"/>
      <c r="AE595" s="106"/>
    </row>
    <row r="596">
      <c r="C596" s="79"/>
      <c r="D596" s="79"/>
      <c r="E596" s="79"/>
      <c r="P596" s="79"/>
      <c r="Q596" s="79"/>
      <c r="R596" s="79"/>
      <c r="Y596" s="79"/>
      <c r="AC596" s="130"/>
      <c r="AE596" s="106"/>
    </row>
    <row r="597">
      <c r="C597" s="79"/>
      <c r="D597" s="79"/>
      <c r="E597" s="79"/>
      <c r="P597" s="79"/>
      <c r="Q597" s="79"/>
      <c r="R597" s="79"/>
      <c r="Y597" s="79"/>
      <c r="AC597" s="130"/>
      <c r="AE597" s="106"/>
    </row>
    <row r="598">
      <c r="C598" s="79"/>
      <c r="D598" s="79"/>
      <c r="E598" s="79"/>
      <c r="P598" s="79"/>
      <c r="Q598" s="79"/>
      <c r="R598" s="79"/>
      <c r="Y598" s="79"/>
      <c r="AC598" s="130"/>
      <c r="AE598" s="106"/>
    </row>
    <row r="599">
      <c r="C599" s="79"/>
      <c r="D599" s="79"/>
      <c r="E599" s="79"/>
      <c r="P599" s="79"/>
      <c r="Q599" s="79"/>
      <c r="R599" s="79"/>
      <c r="Y599" s="79"/>
      <c r="AC599" s="130"/>
      <c r="AE599" s="106"/>
    </row>
    <row r="600">
      <c r="C600" s="79"/>
      <c r="D600" s="79"/>
      <c r="E600" s="79"/>
      <c r="P600" s="79"/>
      <c r="Q600" s="79"/>
      <c r="R600" s="79"/>
      <c r="Y600" s="79"/>
      <c r="AC600" s="130"/>
      <c r="AE600" s="106"/>
    </row>
    <row r="601">
      <c r="C601" s="79"/>
      <c r="D601" s="79"/>
      <c r="E601" s="79"/>
      <c r="P601" s="79"/>
      <c r="Q601" s="79"/>
      <c r="R601" s="79"/>
      <c r="Y601" s="79"/>
      <c r="AC601" s="130"/>
      <c r="AE601" s="106"/>
    </row>
    <row r="602">
      <c r="C602" s="79"/>
      <c r="D602" s="79"/>
      <c r="E602" s="79"/>
      <c r="P602" s="79"/>
      <c r="Q602" s="79"/>
      <c r="R602" s="79"/>
      <c r="Y602" s="79"/>
      <c r="AC602" s="130"/>
      <c r="AE602" s="106"/>
    </row>
    <row r="603">
      <c r="C603" s="79"/>
      <c r="D603" s="79"/>
      <c r="E603" s="79"/>
      <c r="P603" s="79"/>
      <c r="Q603" s="79"/>
      <c r="R603" s="79"/>
      <c r="Y603" s="79"/>
      <c r="AC603" s="130"/>
      <c r="AE603" s="106"/>
    </row>
    <row r="604">
      <c r="C604" s="79"/>
      <c r="D604" s="79"/>
      <c r="E604" s="79"/>
      <c r="P604" s="79"/>
      <c r="Q604" s="79"/>
      <c r="R604" s="79"/>
      <c r="Y604" s="79"/>
      <c r="AC604" s="130"/>
      <c r="AE604" s="106"/>
    </row>
    <row r="605">
      <c r="C605" s="79"/>
      <c r="D605" s="79"/>
      <c r="E605" s="79"/>
      <c r="P605" s="79"/>
      <c r="Q605" s="79"/>
      <c r="R605" s="79"/>
      <c r="Y605" s="79"/>
      <c r="AC605" s="130"/>
      <c r="AE605" s="106"/>
    </row>
    <row r="606">
      <c r="C606" s="79"/>
      <c r="D606" s="79"/>
      <c r="E606" s="79"/>
      <c r="P606" s="79"/>
      <c r="Q606" s="79"/>
      <c r="R606" s="79"/>
      <c r="Y606" s="79"/>
      <c r="AC606" s="130"/>
      <c r="AE606" s="106"/>
    </row>
    <row r="607">
      <c r="C607" s="79"/>
      <c r="D607" s="79"/>
      <c r="E607" s="79"/>
      <c r="P607" s="79"/>
      <c r="Q607" s="79"/>
      <c r="R607" s="79"/>
      <c r="Y607" s="79"/>
      <c r="AC607" s="130"/>
      <c r="AE607" s="106"/>
    </row>
    <row r="608">
      <c r="C608" s="79"/>
      <c r="D608" s="79"/>
      <c r="E608" s="79"/>
      <c r="P608" s="79"/>
      <c r="Q608" s="79"/>
      <c r="R608" s="79"/>
      <c r="Y608" s="79"/>
      <c r="AC608" s="130"/>
      <c r="AE608" s="106"/>
    </row>
    <row r="609">
      <c r="C609" s="79"/>
      <c r="D609" s="79"/>
      <c r="E609" s="79"/>
      <c r="P609" s="79"/>
      <c r="Q609" s="79"/>
      <c r="R609" s="79"/>
      <c r="Y609" s="79"/>
      <c r="AC609" s="130"/>
      <c r="AE609" s="106"/>
    </row>
    <row r="610">
      <c r="C610" s="79"/>
      <c r="D610" s="79"/>
      <c r="E610" s="79"/>
      <c r="P610" s="79"/>
      <c r="Q610" s="79"/>
      <c r="R610" s="79"/>
      <c r="Y610" s="79"/>
      <c r="AC610" s="130"/>
      <c r="AE610" s="106"/>
    </row>
    <row r="611">
      <c r="C611" s="79"/>
      <c r="D611" s="79"/>
      <c r="E611" s="79"/>
      <c r="P611" s="79"/>
      <c r="Q611" s="79"/>
      <c r="R611" s="79"/>
      <c r="Y611" s="79"/>
      <c r="AC611" s="130"/>
      <c r="AE611" s="106"/>
    </row>
    <row r="612">
      <c r="C612" s="79"/>
      <c r="D612" s="79"/>
      <c r="E612" s="79"/>
      <c r="P612" s="79"/>
      <c r="Q612" s="79"/>
      <c r="R612" s="79"/>
      <c r="Y612" s="79"/>
      <c r="AC612" s="130"/>
      <c r="AE612" s="106"/>
    </row>
    <row r="613">
      <c r="C613" s="79"/>
      <c r="D613" s="79"/>
      <c r="E613" s="79"/>
      <c r="P613" s="79"/>
      <c r="Q613" s="79"/>
      <c r="R613" s="79"/>
      <c r="Y613" s="79"/>
      <c r="AC613" s="130"/>
      <c r="AE613" s="106"/>
    </row>
    <row r="614">
      <c r="C614" s="79"/>
      <c r="D614" s="79"/>
      <c r="E614" s="79"/>
      <c r="P614" s="79"/>
      <c r="Q614" s="79"/>
      <c r="R614" s="79"/>
      <c r="Y614" s="79"/>
      <c r="AC614" s="130"/>
      <c r="AE614" s="106"/>
    </row>
    <row r="615">
      <c r="C615" s="79"/>
      <c r="D615" s="79"/>
      <c r="E615" s="79"/>
      <c r="P615" s="79"/>
      <c r="Q615" s="79"/>
      <c r="R615" s="79"/>
      <c r="Y615" s="79"/>
      <c r="AC615" s="130"/>
      <c r="AE615" s="106"/>
    </row>
    <row r="616">
      <c r="C616" s="79"/>
      <c r="D616" s="79"/>
      <c r="E616" s="79"/>
      <c r="P616" s="79"/>
      <c r="Q616" s="79"/>
      <c r="R616" s="79"/>
      <c r="Y616" s="79"/>
      <c r="AC616" s="130"/>
      <c r="AE616" s="106"/>
    </row>
    <row r="617">
      <c r="C617" s="79"/>
      <c r="D617" s="79"/>
      <c r="E617" s="79"/>
      <c r="P617" s="79"/>
      <c r="Q617" s="79"/>
      <c r="R617" s="79"/>
      <c r="Y617" s="79"/>
      <c r="AC617" s="130"/>
      <c r="AE617" s="106"/>
    </row>
    <row r="618">
      <c r="C618" s="79"/>
      <c r="D618" s="79"/>
      <c r="E618" s="79"/>
      <c r="P618" s="79"/>
      <c r="Q618" s="79"/>
      <c r="R618" s="79"/>
      <c r="Y618" s="79"/>
      <c r="AC618" s="130"/>
      <c r="AE618" s="106"/>
    </row>
    <row r="619">
      <c r="C619" s="79"/>
      <c r="D619" s="79"/>
      <c r="E619" s="79"/>
      <c r="P619" s="79"/>
      <c r="Q619" s="79"/>
      <c r="R619" s="79"/>
      <c r="Y619" s="79"/>
      <c r="AC619" s="130"/>
      <c r="AE619" s="106"/>
    </row>
    <row r="620">
      <c r="C620" s="79"/>
      <c r="D620" s="79"/>
      <c r="E620" s="79"/>
      <c r="P620" s="79"/>
      <c r="Q620" s="79"/>
      <c r="R620" s="79"/>
      <c r="Y620" s="79"/>
      <c r="AC620" s="130"/>
      <c r="AE620" s="106"/>
    </row>
    <row r="621">
      <c r="C621" s="79"/>
      <c r="D621" s="79"/>
      <c r="E621" s="79"/>
      <c r="P621" s="79"/>
      <c r="Q621" s="79"/>
      <c r="R621" s="79"/>
      <c r="Y621" s="79"/>
      <c r="AC621" s="130"/>
      <c r="AE621" s="106"/>
    </row>
    <row r="622">
      <c r="C622" s="79"/>
      <c r="D622" s="79"/>
      <c r="E622" s="79"/>
      <c r="P622" s="79"/>
      <c r="Q622" s="79"/>
      <c r="R622" s="79"/>
      <c r="Y622" s="79"/>
      <c r="AC622" s="130"/>
      <c r="AE622" s="106"/>
    </row>
    <row r="623">
      <c r="C623" s="79"/>
      <c r="D623" s="79"/>
      <c r="E623" s="79"/>
      <c r="P623" s="79"/>
      <c r="Q623" s="79"/>
      <c r="R623" s="79"/>
      <c r="Y623" s="79"/>
      <c r="AC623" s="130"/>
      <c r="AE623" s="106"/>
    </row>
    <row r="624">
      <c r="C624" s="79"/>
      <c r="D624" s="79"/>
      <c r="E624" s="79"/>
      <c r="P624" s="79"/>
      <c r="Q624" s="79"/>
      <c r="R624" s="79"/>
      <c r="Y624" s="79"/>
      <c r="AC624" s="130"/>
      <c r="AE624" s="106"/>
    </row>
    <row r="625">
      <c r="C625" s="79"/>
      <c r="D625" s="79"/>
      <c r="E625" s="79"/>
      <c r="P625" s="79"/>
      <c r="Q625" s="79"/>
      <c r="R625" s="79"/>
      <c r="Y625" s="79"/>
      <c r="AC625" s="130"/>
      <c r="AE625" s="106"/>
    </row>
    <row r="626">
      <c r="C626" s="79"/>
      <c r="D626" s="79"/>
      <c r="E626" s="79"/>
      <c r="P626" s="79"/>
      <c r="Q626" s="79"/>
      <c r="R626" s="79"/>
      <c r="Y626" s="79"/>
      <c r="AC626" s="130"/>
      <c r="AE626" s="106"/>
    </row>
    <row r="627">
      <c r="C627" s="79"/>
      <c r="D627" s="79"/>
      <c r="E627" s="79"/>
      <c r="P627" s="79"/>
      <c r="Q627" s="79"/>
      <c r="R627" s="79"/>
      <c r="Y627" s="79"/>
      <c r="AC627" s="130"/>
      <c r="AE627" s="106"/>
    </row>
    <row r="628">
      <c r="C628" s="79"/>
      <c r="D628" s="79"/>
      <c r="E628" s="79"/>
      <c r="P628" s="79"/>
      <c r="Q628" s="79"/>
      <c r="R628" s="79"/>
      <c r="Y628" s="79"/>
      <c r="AC628" s="130"/>
      <c r="AE628" s="106"/>
    </row>
    <row r="629">
      <c r="C629" s="79"/>
      <c r="D629" s="79"/>
      <c r="E629" s="79"/>
      <c r="P629" s="79"/>
      <c r="Q629" s="79"/>
      <c r="R629" s="79"/>
      <c r="Y629" s="79"/>
      <c r="AC629" s="130"/>
      <c r="AE629" s="106"/>
    </row>
    <row r="630">
      <c r="C630" s="79"/>
      <c r="D630" s="79"/>
      <c r="E630" s="79"/>
      <c r="P630" s="79"/>
      <c r="Q630" s="79"/>
      <c r="R630" s="79"/>
      <c r="Y630" s="79"/>
      <c r="AC630" s="130"/>
      <c r="AE630" s="106"/>
    </row>
    <row r="631">
      <c r="C631" s="79"/>
      <c r="D631" s="79"/>
      <c r="E631" s="79"/>
      <c r="P631" s="79"/>
      <c r="Q631" s="79"/>
      <c r="R631" s="79"/>
      <c r="Y631" s="79"/>
      <c r="AC631" s="130"/>
      <c r="AE631" s="106"/>
    </row>
    <row r="632">
      <c r="C632" s="79"/>
      <c r="D632" s="79"/>
      <c r="E632" s="79"/>
      <c r="P632" s="79"/>
      <c r="Q632" s="79"/>
      <c r="R632" s="79"/>
      <c r="Y632" s="79"/>
      <c r="AC632" s="130"/>
      <c r="AE632" s="106"/>
    </row>
    <row r="633">
      <c r="C633" s="79"/>
      <c r="D633" s="79"/>
      <c r="E633" s="79"/>
      <c r="P633" s="79"/>
      <c r="Q633" s="79"/>
      <c r="R633" s="79"/>
      <c r="Y633" s="79"/>
      <c r="AC633" s="130"/>
      <c r="AE633" s="106"/>
    </row>
    <row r="634">
      <c r="C634" s="79"/>
      <c r="D634" s="79"/>
      <c r="E634" s="79"/>
      <c r="P634" s="79"/>
      <c r="Q634" s="79"/>
      <c r="R634" s="79"/>
      <c r="Y634" s="79"/>
      <c r="AC634" s="130"/>
      <c r="AE634" s="106"/>
    </row>
    <row r="635">
      <c r="C635" s="79"/>
      <c r="D635" s="79"/>
      <c r="E635" s="79"/>
      <c r="P635" s="79"/>
      <c r="Q635" s="79"/>
      <c r="R635" s="79"/>
      <c r="Y635" s="79"/>
      <c r="AC635" s="130"/>
      <c r="AE635" s="106"/>
    </row>
    <row r="636">
      <c r="C636" s="79"/>
      <c r="D636" s="79"/>
      <c r="E636" s="79"/>
      <c r="P636" s="79"/>
      <c r="Q636" s="79"/>
      <c r="R636" s="79"/>
      <c r="Y636" s="79"/>
      <c r="AC636" s="130"/>
      <c r="AE636" s="106"/>
    </row>
    <row r="637">
      <c r="C637" s="79"/>
      <c r="D637" s="79"/>
      <c r="E637" s="79"/>
      <c r="P637" s="79"/>
      <c r="Q637" s="79"/>
      <c r="R637" s="79"/>
      <c r="Y637" s="79"/>
      <c r="AC637" s="130"/>
      <c r="AE637" s="106"/>
    </row>
    <row r="638">
      <c r="C638" s="79"/>
      <c r="D638" s="79"/>
      <c r="E638" s="79"/>
      <c r="P638" s="79"/>
      <c r="Q638" s="79"/>
      <c r="R638" s="79"/>
      <c r="Y638" s="79"/>
      <c r="AC638" s="130"/>
      <c r="AE638" s="106"/>
    </row>
    <row r="639">
      <c r="C639" s="79"/>
      <c r="D639" s="79"/>
      <c r="E639" s="79"/>
      <c r="P639" s="79"/>
      <c r="Q639" s="79"/>
      <c r="R639" s="79"/>
      <c r="Y639" s="79"/>
      <c r="AC639" s="130"/>
      <c r="AE639" s="106"/>
    </row>
    <row r="640">
      <c r="C640" s="79"/>
      <c r="D640" s="79"/>
      <c r="E640" s="79"/>
      <c r="P640" s="79"/>
      <c r="Q640" s="79"/>
      <c r="R640" s="79"/>
      <c r="Y640" s="79"/>
      <c r="AC640" s="130"/>
      <c r="AE640" s="106"/>
    </row>
    <row r="641">
      <c r="C641" s="79"/>
      <c r="D641" s="79"/>
      <c r="E641" s="79"/>
      <c r="P641" s="79"/>
      <c r="Q641" s="79"/>
      <c r="R641" s="79"/>
      <c r="Y641" s="79"/>
      <c r="AC641" s="130"/>
      <c r="AE641" s="106"/>
    </row>
    <row r="642">
      <c r="C642" s="79"/>
      <c r="D642" s="79"/>
      <c r="E642" s="79"/>
      <c r="P642" s="79"/>
      <c r="Q642" s="79"/>
      <c r="R642" s="79"/>
      <c r="Y642" s="79"/>
      <c r="AC642" s="130"/>
      <c r="AE642" s="106"/>
    </row>
    <row r="643">
      <c r="C643" s="79"/>
      <c r="D643" s="79"/>
      <c r="E643" s="79"/>
      <c r="P643" s="79"/>
      <c r="Q643" s="79"/>
      <c r="R643" s="79"/>
      <c r="Y643" s="79"/>
      <c r="AC643" s="130"/>
      <c r="AE643" s="106"/>
    </row>
    <row r="644">
      <c r="C644" s="79"/>
      <c r="D644" s="79"/>
      <c r="E644" s="79"/>
      <c r="P644" s="79"/>
      <c r="Q644" s="79"/>
      <c r="R644" s="79"/>
      <c r="Y644" s="79"/>
      <c r="AC644" s="130"/>
      <c r="AE644" s="106"/>
    </row>
    <row r="645">
      <c r="C645" s="79"/>
      <c r="D645" s="79"/>
      <c r="E645" s="79"/>
      <c r="P645" s="79"/>
      <c r="Q645" s="79"/>
      <c r="R645" s="79"/>
      <c r="Y645" s="79"/>
      <c r="AC645" s="130"/>
      <c r="AE645" s="106"/>
    </row>
    <row r="646">
      <c r="C646" s="79"/>
      <c r="D646" s="79"/>
      <c r="E646" s="79"/>
      <c r="P646" s="79"/>
      <c r="Q646" s="79"/>
      <c r="R646" s="79"/>
      <c r="Y646" s="79"/>
      <c r="AC646" s="130"/>
      <c r="AE646" s="106"/>
    </row>
    <row r="647">
      <c r="C647" s="79"/>
      <c r="D647" s="79"/>
      <c r="E647" s="79"/>
      <c r="P647" s="79"/>
      <c r="Q647" s="79"/>
      <c r="R647" s="79"/>
      <c r="Y647" s="79"/>
      <c r="AC647" s="130"/>
      <c r="AE647" s="106"/>
    </row>
    <row r="648">
      <c r="C648" s="79"/>
      <c r="D648" s="79"/>
      <c r="E648" s="79"/>
      <c r="P648" s="79"/>
      <c r="Q648" s="79"/>
      <c r="R648" s="79"/>
      <c r="Y648" s="79"/>
      <c r="AC648" s="130"/>
      <c r="AE648" s="106"/>
    </row>
    <row r="649">
      <c r="C649" s="79"/>
      <c r="D649" s="79"/>
      <c r="E649" s="79"/>
      <c r="P649" s="79"/>
      <c r="Q649" s="79"/>
      <c r="R649" s="79"/>
      <c r="Y649" s="79"/>
      <c r="AC649" s="130"/>
      <c r="AE649" s="106"/>
    </row>
    <row r="650">
      <c r="C650" s="79"/>
      <c r="D650" s="79"/>
      <c r="E650" s="79"/>
      <c r="P650" s="79"/>
      <c r="Q650" s="79"/>
      <c r="R650" s="79"/>
      <c r="Y650" s="79"/>
      <c r="AC650" s="130"/>
      <c r="AE650" s="106"/>
    </row>
    <row r="651">
      <c r="C651" s="79"/>
      <c r="D651" s="79"/>
      <c r="E651" s="79"/>
      <c r="P651" s="79"/>
      <c r="Q651" s="79"/>
      <c r="R651" s="79"/>
      <c r="Y651" s="79"/>
      <c r="AC651" s="130"/>
      <c r="AE651" s="106"/>
    </row>
    <row r="652">
      <c r="C652" s="79"/>
      <c r="D652" s="79"/>
      <c r="E652" s="79"/>
      <c r="P652" s="79"/>
      <c r="Q652" s="79"/>
      <c r="R652" s="79"/>
      <c r="Y652" s="79"/>
      <c r="AC652" s="130"/>
      <c r="AE652" s="106"/>
    </row>
    <row r="653">
      <c r="C653" s="79"/>
      <c r="D653" s="79"/>
      <c r="E653" s="79"/>
      <c r="P653" s="79"/>
      <c r="Q653" s="79"/>
      <c r="R653" s="79"/>
      <c r="Y653" s="79"/>
      <c r="AC653" s="130"/>
      <c r="AE653" s="106"/>
    </row>
    <row r="654">
      <c r="C654" s="79"/>
      <c r="D654" s="79"/>
      <c r="E654" s="79"/>
      <c r="P654" s="79"/>
      <c r="Q654" s="79"/>
      <c r="R654" s="79"/>
      <c r="Y654" s="79"/>
      <c r="AC654" s="130"/>
      <c r="AE654" s="106"/>
    </row>
    <row r="655">
      <c r="C655" s="79"/>
      <c r="D655" s="79"/>
      <c r="E655" s="79"/>
      <c r="P655" s="79"/>
      <c r="Q655" s="79"/>
      <c r="R655" s="79"/>
      <c r="Y655" s="79"/>
      <c r="AC655" s="130"/>
      <c r="AE655" s="106"/>
    </row>
    <row r="656">
      <c r="C656" s="79"/>
      <c r="D656" s="79"/>
      <c r="E656" s="79"/>
      <c r="P656" s="79"/>
      <c r="Q656" s="79"/>
      <c r="R656" s="79"/>
      <c r="Y656" s="79"/>
      <c r="AC656" s="130"/>
      <c r="AE656" s="106"/>
    </row>
    <row r="657">
      <c r="C657" s="79"/>
      <c r="D657" s="79"/>
      <c r="E657" s="79"/>
      <c r="P657" s="79"/>
      <c r="Q657" s="79"/>
      <c r="R657" s="79"/>
      <c r="Y657" s="79"/>
      <c r="AC657" s="130"/>
      <c r="AE657" s="106"/>
    </row>
    <row r="658">
      <c r="C658" s="79"/>
      <c r="D658" s="79"/>
      <c r="E658" s="79"/>
      <c r="P658" s="79"/>
      <c r="Q658" s="79"/>
      <c r="R658" s="79"/>
      <c r="Y658" s="79"/>
      <c r="AC658" s="130"/>
      <c r="AE658" s="106"/>
    </row>
    <row r="659">
      <c r="C659" s="79"/>
      <c r="D659" s="79"/>
      <c r="E659" s="79"/>
      <c r="P659" s="79"/>
      <c r="Q659" s="79"/>
      <c r="R659" s="79"/>
      <c r="Y659" s="79"/>
      <c r="AC659" s="130"/>
      <c r="AE659" s="106"/>
    </row>
    <row r="660">
      <c r="C660" s="79"/>
      <c r="D660" s="79"/>
      <c r="E660" s="79"/>
      <c r="P660" s="79"/>
      <c r="Q660" s="79"/>
      <c r="R660" s="79"/>
      <c r="Y660" s="79"/>
      <c r="AC660" s="130"/>
      <c r="AE660" s="106"/>
    </row>
    <row r="661">
      <c r="C661" s="79"/>
      <c r="D661" s="79"/>
      <c r="E661" s="79"/>
      <c r="P661" s="79"/>
      <c r="Q661" s="79"/>
      <c r="R661" s="79"/>
      <c r="Y661" s="79"/>
      <c r="AC661" s="130"/>
      <c r="AE661" s="106"/>
    </row>
    <row r="662">
      <c r="C662" s="79"/>
      <c r="D662" s="79"/>
      <c r="E662" s="79"/>
      <c r="P662" s="79"/>
      <c r="Q662" s="79"/>
      <c r="R662" s="79"/>
      <c r="Y662" s="79"/>
      <c r="AC662" s="130"/>
      <c r="AE662" s="106"/>
    </row>
    <row r="663">
      <c r="C663" s="79"/>
      <c r="D663" s="79"/>
      <c r="E663" s="79"/>
      <c r="P663" s="79"/>
      <c r="Q663" s="79"/>
      <c r="R663" s="79"/>
      <c r="Y663" s="79"/>
      <c r="AC663" s="130"/>
      <c r="AE663" s="106"/>
    </row>
    <row r="664">
      <c r="C664" s="79"/>
      <c r="D664" s="79"/>
      <c r="E664" s="79"/>
      <c r="P664" s="79"/>
      <c r="Q664" s="79"/>
      <c r="R664" s="79"/>
      <c r="Y664" s="79"/>
      <c r="AC664" s="130"/>
      <c r="AE664" s="106"/>
    </row>
    <row r="665">
      <c r="C665" s="79"/>
      <c r="D665" s="79"/>
      <c r="E665" s="79"/>
      <c r="P665" s="79"/>
      <c r="Q665" s="79"/>
      <c r="R665" s="79"/>
      <c r="Y665" s="79"/>
      <c r="AC665" s="130"/>
      <c r="AE665" s="106"/>
    </row>
    <row r="666">
      <c r="C666" s="79"/>
      <c r="D666" s="79"/>
      <c r="E666" s="79"/>
      <c r="P666" s="79"/>
      <c r="Q666" s="79"/>
      <c r="R666" s="79"/>
      <c r="Y666" s="79"/>
      <c r="AC666" s="130"/>
      <c r="AE666" s="106"/>
    </row>
    <row r="667">
      <c r="C667" s="79"/>
      <c r="D667" s="79"/>
      <c r="E667" s="79"/>
      <c r="P667" s="79"/>
      <c r="Q667" s="79"/>
      <c r="R667" s="79"/>
      <c r="Y667" s="79"/>
      <c r="AC667" s="130"/>
      <c r="AE667" s="106"/>
    </row>
    <row r="668">
      <c r="C668" s="79"/>
      <c r="D668" s="79"/>
      <c r="E668" s="79"/>
      <c r="P668" s="79"/>
      <c r="Q668" s="79"/>
      <c r="R668" s="79"/>
      <c r="Y668" s="79"/>
      <c r="AC668" s="130"/>
      <c r="AE668" s="106"/>
    </row>
    <row r="669">
      <c r="C669" s="79"/>
      <c r="D669" s="79"/>
      <c r="E669" s="79"/>
      <c r="P669" s="79"/>
      <c r="Q669" s="79"/>
      <c r="R669" s="79"/>
      <c r="Y669" s="79"/>
      <c r="AC669" s="130"/>
      <c r="AE669" s="106"/>
    </row>
    <row r="670">
      <c r="C670" s="79"/>
      <c r="D670" s="79"/>
      <c r="E670" s="79"/>
      <c r="P670" s="79"/>
      <c r="Q670" s="79"/>
      <c r="R670" s="79"/>
      <c r="Y670" s="79"/>
      <c r="AC670" s="130"/>
      <c r="AE670" s="106"/>
    </row>
    <row r="671">
      <c r="C671" s="79"/>
      <c r="D671" s="79"/>
      <c r="E671" s="79"/>
      <c r="P671" s="79"/>
      <c r="Q671" s="79"/>
      <c r="R671" s="79"/>
      <c r="Y671" s="79"/>
      <c r="AC671" s="130"/>
      <c r="AE671" s="106"/>
    </row>
    <row r="672">
      <c r="C672" s="79"/>
      <c r="D672" s="79"/>
      <c r="E672" s="79"/>
      <c r="P672" s="79"/>
      <c r="Q672" s="79"/>
      <c r="R672" s="79"/>
      <c r="Y672" s="79"/>
      <c r="AC672" s="130"/>
      <c r="AE672" s="106"/>
    </row>
    <row r="673">
      <c r="C673" s="79"/>
      <c r="D673" s="79"/>
      <c r="E673" s="79"/>
      <c r="P673" s="79"/>
      <c r="Q673" s="79"/>
      <c r="R673" s="79"/>
      <c r="Y673" s="79"/>
      <c r="AC673" s="130"/>
      <c r="AE673" s="106"/>
    </row>
    <row r="674">
      <c r="C674" s="79"/>
      <c r="D674" s="79"/>
      <c r="E674" s="79"/>
      <c r="P674" s="79"/>
      <c r="Q674" s="79"/>
      <c r="R674" s="79"/>
      <c r="Y674" s="79"/>
      <c r="AC674" s="130"/>
      <c r="AE674" s="106"/>
    </row>
    <row r="675">
      <c r="C675" s="79"/>
      <c r="D675" s="79"/>
      <c r="E675" s="79"/>
      <c r="P675" s="79"/>
      <c r="Q675" s="79"/>
      <c r="R675" s="79"/>
      <c r="Y675" s="79"/>
      <c r="AC675" s="130"/>
      <c r="AE675" s="106"/>
    </row>
    <row r="676">
      <c r="C676" s="79"/>
      <c r="D676" s="79"/>
      <c r="E676" s="79"/>
      <c r="P676" s="79"/>
      <c r="Q676" s="79"/>
      <c r="R676" s="79"/>
      <c r="Y676" s="79"/>
      <c r="AC676" s="130"/>
      <c r="AE676" s="106"/>
    </row>
    <row r="677">
      <c r="C677" s="79"/>
      <c r="D677" s="79"/>
      <c r="E677" s="79"/>
      <c r="P677" s="79"/>
      <c r="Q677" s="79"/>
      <c r="R677" s="79"/>
      <c r="Y677" s="79"/>
      <c r="AC677" s="130"/>
      <c r="AE677" s="106"/>
    </row>
    <row r="678">
      <c r="C678" s="79"/>
      <c r="D678" s="79"/>
      <c r="E678" s="79"/>
      <c r="P678" s="79"/>
      <c r="Q678" s="79"/>
      <c r="R678" s="79"/>
      <c r="Y678" s="79"/>
      <c r="AC678" s="130"/>
      <c r="AE678" s="106"/>
    </row>
    <row r="679">
      <c r="C679" s="79"/>
      <c r="D679" s="79"/>
      <c r="E679" s="79"/>
      <c r="P679" s="79"/>
      <c r="Q679" s="79"/>
      <c r="R679" s="79"/>
      <c r="Y679" s="79"/>
      <c r="AC679" s="130"/>
      <c r="AE679" s="106"/>
    </row>
    <row r="680">
      <c r="C680" s="79"/>
      <c r="D680" s="79"/>
      <c r="E680" s="79"/>
      <c r="P680" s="79"/>
      <c r="Q680" s="79"/>
      <c r="R680" s="79"/>
      <c r="Y680" s="79"/>
      <c r="AC680" s="130"/>
      <c r="AE680" s="106"/>
    </row>
    <row r="681">
      <c r="C681" s="79"/>
      <c r="D681" s="79"/>
      <c r="E681" s="79"/>
      <c r="P681" s="79"/>
      <c r="Q681" s="79"/>
      <c r="R681" s="79"/>
      <c r="Y681" s="79"/>
      <c r="AC681" s="130"/>
      <c r="AE681" s="106"/>
    </row>
    <row r="682">
      <c r="C682" s="79"/>
      <c r="D682" s="79"/>
      <c r="E682" s="79"/>
      <c r="P682" s="79"/>
      <c r="Q682" s="79"/>
      <c r="R682" s="79"/>
      <c r="Y682" s="79"/>
      <c r="AC682" s="130"/>
      <c r="AE682" s="106"/>
    </row>
    <row r="683">
      <c r="C683" s="79"/>
      <c r="D683" s="79"/>
      <c r="E683" s="79"/>
      <c r="P683" s="79"/>
      <c r="Q683" s="79"/>
      <c r="R683" s="79"/>
      <c r="Y683" s="79"/>
      <c r="AC683" s="130"/>
      <c r="AE683" s="106"/>
    </row>
    <row r="684">
      <c r="C684" s="79"/>
      <c r="D684" s="79"/>
      <c r="E684" s="79"/>
      <c r="P684" s="79"/>
      <c r="Q684" s="79"/>
      <c r="R684" s="79"/>
      <c r="Y684" s="79"/>
      <c r="AC684" s="130"/>
      <c r="AE684" s="106"/>
    </row>
    <row r="685">
      <c r="C685" s="79"/>
      <c r="D685" s="79"/>
      <c r="E685" s="79"/>
      <c r="P685" s="79"/>
      <c r="Q685" s="79"/>
      <c r="R685" s="79"/>
      <c r="Y685" s="79"/>
      <c r="AC685" s="130"/>
      <c r="AE685" s="106"/>
    </row>
    <row r="686">
      <c r="C686" s="79"/>
      <c r="D686" s="79"/>
      <c r="E686" s="79"/>
      <c r="P686" s="79"/>
      <c r="Q686" s="79"/>
      <c r="R686" s="79"/>
      <c r="Y686" s="79"/>
      <c r="AC686" s="130"/>
      <c r="AE686" s="106"/>
    </row>
    <row r="687">
      <c r="C687" s="79"/>
      <c r="D687" s="79"/>
      <c r="E687" s="79"/>
      <c r="P687" s="79"/>
      <c r="Q687" s="79"/>
      <c r="R687" s="79"/>
      <c r="Y687" s="79"/>
      <c r="AC687" s="130"/>
      <c r="AE687" s="106"/>
    </row>
    <row r="688">
      <c r="C688" s="79"/>
      <c r="D688" s="79"/>
      <c r="E688" s="79"/>
      <c r="P688" s="79"/>
      <c r="Q688" s="79"/>
      <c r="R688" s="79"/>
      <c r="Y688" s="79"/>
      <c r="AC688" s="130"/>
      <c r="AE688" s="106"/>
    </row>
    <row r="689">
      <c r="C689" s="79"/>
      <c r="D689" s="79"/>
      <c r="E689" s="79"/>
      <c r="P689" s="79"/>
      <c r="Q689" s="79"/>
      <c r="R689" s="79"/>
      <c r="Y689" s="79"/>
      <c r="AC689" s="130"/>
      <c r="AE689" s="106"/>
    </row>
    <row r="690">
      <c r="C690" s="79"/>
      <c r="D690" s="79"/>
      <c r="E690" s="79"/>
      <c r="P690" s="79"/>
      <c r="Q690" s="79"/>
      <c r="R690" s="79"/>
      <c r="Y690" s="79"/>
      <c r="AC690" s="130"/>
      <c r="AE690" s="106"/>
    </row>
    <row r="691">
      <c r="C691" s="79"/>
      <c r="D691" s="79"/>
      <c r="E691" s="79"/>
      <c r="P691" s="79"/>
      <c r="Q691" s="79"/>
      <c r="R691" s="79"/>
      <c r="Y691" s="79"/>
      <c r="AC691" s="130"/>
      <c r="AE691" s="106"/>
    </row>
    <row r="692">
      <c r="C692" s="79"/>
      <c r="D692" s="79"/>
      <c r="E692" s="79"/>
      <c r="P692" s="79"/>
      <c r="Q692" s="79"/>
      <c r="R692" s="79"/>
      <c r="Y692" s="79"/>
      <c r="AC692" s="130"/>
      <c r="AE692" s="106"/>
    </row>
    <row r="693">
      <c r="C693" s="79"/>
      <c r="D693" s="79"/>
      <c r="E693" s="79"/>
      <c r="P693" s="79"/>
      <c r="Q693" s="79"/>
      <c r="R693" s="79"/>
      <c r="Y693" s="79"/>
      <c r="AC693" s="130"/>
      <c r="AE693" s="106"/>
    </row>
    <row r="694">
      <c r="C694" s="79"/>
      <c r="D694" s="79"/>
      <c r="E694" s="79"/>
      <c r="P694" s="79"/>
      <c r="Q694" s="79"/>
      <c r="R694" s="79"/>
      <c r="Y694" s="79"/>
      <c r="AC694" s="130"/>
      <c r="AE694" s="106"/>
    </row>
    <row r="695">
      <c r="C695" s="79"/>
      <c r="D695" s="79"/>
      <c r="E695" s="79"/>
      <c r="P695" s="79"/>
      <c r="Q695" s="79"/>
      <c r="R695" s="79"/>
      <c r="Y695" s="79"/>
      <c r="AC695" s="130"/>
      <c r="AE695" s="106"/>
    </row>
    <row r="696">
      <c r="C696" s="79"/>
      <c r="D696" s="79"/>
      <c r="E696" s="79"/>
      <c r="P696" s="79"/>
      <c r="Q696" s="79"/>
      <c r="R696" s="79"/>
      <c r="Y696" s="79"/>
      <c r="AC696" s="130"/>
      <c r="AE696" s="106"/>
    </row>
    <row r="697">
      <c r="C697" s="79"/>
      <c r="D697" s="79"/>
      <c r="E697" s="79"/>
      <c r="P697" s="79"/>
      <c r="Q697" s="79"/>
      <c r="R697" s="79"/>
      <c r="Y697" s="79"/>
      <c r="AC697" s="130"/>
      <c r="AE697" s="106"/>
    </row>
    <row r="698">
      <c r="C698" s="79"/>
      <c r="D698" s="79"/>
      <c r="E698" s="79"/>
      <c r="P698" s="79"/>
      <c r="Q698" s="79"/>
      <c r="R698" s="79"/>
      <c r="Y698" s="79"/>
      <c r="AC698" s="130"/>
      <c r="AE698" s="106"/>
    </row>
    <row r="699">
      <c r="C699" s="79"/>
      <c r="D699" s="79"/>
      <c r="E699" s="79"/>
      <c r="P699" s="79"/>
      <c r="Q699" s="79"/>
      <c r="R699" s="79"/>
      <c r="Y699" s="79"/>
      <c r="AC699" s="130"/>
      <c r="AE699" s="106"/>
    </row>
    <row r="700">
      <c r="C700" s="79"/>
      <c r="D700" s="79"/>
      <c r="E700" s="79"/>
      <c r="P700" s="79"/>
      <c r="Q700" s="79"/>
      <c r="R700" s="79"/>
      <c r="Y700" s="79"/>
      <c r="AC700" s="130"/>
      <c r="AE700" s="106"/>
    </row>
    <row r="701">
      <c r="C701" s="79"/>
      <c r="D701" s="79"/>
      <c r="E701" s="79"/>
      <c r="P701" s="79"/>
      <c r="Q701" s="79"/>
      <c r="R701" s="79"/>
      <c r="Y701" s="79"/>
      <c r="AC701" s="130"/>
      <c r="AE701" s="106"/>
    </row>
    <row r="702">
      <c r="C702" s="79"/>
      <c r="D702" s="79"/>
      <c r="E702" s="79"/>
      <c r="P702" s="79"/>
      <c r="Q702" s="79"/>
      <c r="R702" s="79"/>
      <c r="Y702" s="79"/>
      <c r="AC702" s="130"/>
      <c r="AE702" s="106"/>
    </row>
    <row r="703">
      <c r="C703" s="79"/>
      <c r="D703" s="79"/>
      <c r="E703" s="79"/>
      <c r="P703" s="79"/>
      <c r="Q703" s="79"/>
      <c r="R703" s="79"/>
      <c r="Y703" s="79"/>
      <c r="AC703" s="130"/>
      <c r="AE703" s="106"/>
    </row>
    <row r="704">
      <c r="C704" s="79"/>
      <c r="D704" s="79"/>
      <c r="E704" s="79"/>
      <c r="P704" s="79"/>
      <c r="Q704" s="79"/>
      <c r="R704" s="79"/>
      <c r="Y704" s="79"/>
      <c r="AC704" s="130"/>
      <c r="AE704" s="106"/>
    </row>
    <row r="705">
      <c r="C705" s="79"/>
      <c r="D705" s="79"/>
      <c r="E705" s="79"/>
      <c r="P705" s="79"/>
      <c r="Q705" s="79"/>
      <c r="R705" s="79"/>
      <c r="Y705" s="79"/>
      <c r="AC705" s="130"/>
      <c r="AE705" s="106"/>
    </row>
    <row r="706">
      <c r="C706" s="79"/>
      <c r="D706" s="79"/>
      <c r="E706" s="79"/>
      <c r="P706" s="79"/>
      <c r="Q706" s="79"/>
      <c r="R706" s="79"/>
      <c r="Y706" s="79"/>
      <c r="AC706" s="130"/>
      <c r="AE706" s="106"/>
    </row>
    <row r="707">
      <c r="C707" s="79"/>
      <c r="D707" s="79"/>
      <c r="E707" s="79"/>
      <c r="P707" s="79"/>
      <c r="Q707" s="79"/>
      <c r="R707" s="79"/>
      <c r="Y707" s="79"/>
      <c r="AC707" s="130"/>
      <c r="AE707" s="106"/>
    </row>
    <row r="708">
      <c r="C708" s="79"/>
      <c r="D708" s="79"/>
      <c r="E708" s="79"/>
      <c r="P708" s="79"/>
      <c r="Q708" s="79"/>
      <c r="R708" s="79"/>
      <c r="Y708" s="79"/>
      <c r="AC708" s="130"/>
      <c r="AE708" s="106"/>
    </row>
    <row r="709">
      <c r="C709" s="79"/>
      <c r="D709" s="79"/>
      <c r="E709" s="79"/>
      <c r="P709" s="79"/>
      <c r="Q709" s="79"/>
      <c r="R709" s="79"/>
      <c r="Y709" s="79"/>
      <c r="AC709" s="130"/>
      <c r="AE709" s="106"/>
    </row>
    <row r="710">
      <c r="C710" s="79"/>
      <c r="D710" s="79"/>
      <c r="E710" s="79"/>
      <c r="P710" s="79"/>
      <c r="Q710" s="79"/>
      <c r="R710" s="79"/>
      <c r="Y710" s="79"/>
      <c r="AC710" s="130"/>
      <c r="AE710" s="106"/>
    </row>
    <row r="711">
      <c r="C711" s="79"/>
      <c r="D711" s="79"/>
      <c r="E711" s="79"/>
      <c r="P711" s="79"/>
      <c r="Q711" s="79"/>
      <c r="R711" s="79"/>
      <c r="Y711" s="79"/>
      <c r="AC711" s="130"/>
      <c r="AE711" s="106"/>
    </row>
    <row r="712">
      <c r="C712" s="79"/>
      <c r="D712" s="79"/>
      <c r="E712" s="79"/>
      <c r="P712" s="79"/>
      <c r="Q712" s="79"/>
      <c r="R712" s="79"/>
      <c r="Y712" s="79"/>
      <c r="AC712" s="130"/>
      <c r="AE712" s="106"/>
    </row>
    <row r="713">
      <c r="C713" s="79"/>
      <c r="D713" s="79"/>
      <c r="E713" s="79"/>
      <c r="P713" s="79"/>
      <c r="Q713" s="79"/>
      <c r="R713" s="79"/>
      <c r="Y713" s="79"/>
      <c r="AC713" s="130"/>
      <c r="AE713" s="106"/>
    </row>
    <row r="714">
      <c r="C714" s="79"/>
      <c r="D714" s="79"/>
      <c r="E714" s="79"/>
      <c r="P714" s="79"/>
      <c r="Q714" s="79"/>
      <c r="R714" s="79"/>
      <c r="Y714" s="79"/>
      <c r="AC714" s="130"/>
      <c r="AE714" s="106"/>
    </row>
    <row r="715">
      <c r="C715" s="79"/>
      <c r="D715" s="79"/>
      <c r="E715" s="79"/>
      <c r="P715" s="79"/>
      <c r="Q715" s="79"/>
      <c r="R715" s="79"/>
      <c r="Y715" s="79"/>
      <c r="AC715" s="130"/>
      <c r="AE715" s="106"/>
    </row>
    <row r="716">
      <c r="C716" s="79"/>
      <c r="D716" s="79"/>
      <c r="E716" s="79"/>
      <c r="P716" s="79"/>
      <c r="Q716" s="79"/>
      <c r="R716" s="79"/>
      <c r="Y716" s="79"/>
      <c r="AC716" s="130"/>
      <c r="AE716" s="106"/>
    </row>
    <row r="717">
      <c r="C717" s="79"/>
      <c r="D717" s="79"/>
      <c r="E717" s="79"/>
      <c r="P717" s="79"/>
      <c r="Q717" s="79"/>
      <c r="R717" s="79"/>
      <c r="Y717" s="79"/>
      <c r="AC717" s="130"/>
      <c r="AE717" s="106"/>
    </row>
    <row r="718">
      <c r="C718" s="79"/>
      <c r="D718" s="79"/>
      <c r="E718" s="79"/>
      <c r="P718" s="79"/>
      <c r="Q718" s="79"/>
      <c r="R718" s="79"/>
      <c r="Y718" s="79"/>
      <c r="AC718" s="130"/>
      <c r="AE718" s="106"/>
    </row>
    <row r="719">
      <c r="C719" s="79"/>
      <c r="D719" s="79"/>
      <c r="E719" s="79"/>
      <c r="P719" s="79"/>
      <c r="Q719" s="79"/>
      <c r="R719" s="79"/>
      <c r="Y719" s="79"/>
      <c r="AC719" s="130"/>
      <c r="AE719" s="106"/>
    </row>
    <row r="720">
      <c r="C720" s="79"/>
      <c r="D720" s="79"/>
      <c r="E720" s="79"/>
      <c r="P720" s="79"/>
      <c r="Q720" s="79"/>
      <c r="R720" s="79"/>
      <c r="Y720" s="79"/>
      <c r="AC720" s="130"/>
      <c r="AE720" s="106"/>
    </row>
    <row r="721">
      <c r="C721" s="79"/>
      <c r="D721" s="79"/>
      <c r="E721" s="79"/>
      <c r="P721" s="79"/>
      <c r="Q721" s="79"/>
      <c r="R721" s="79"/>
      <c r="Y721" s="79"/>
      <c r="AC721" s="130"/>
      <c r="AE721" s="106"/>
    </row>
    <row r="722">
      <c r="C722" s="79"/>
      <c r="D722" s="79"/>
      <c r="E722" s="79"/>
      <c r="P722" s="79"/>
      <c r="Q722" s="79"/>
      <c r="R722" s="79"/>
      <c r="Y722" s="79"/>
      <c r="AC722" s="130"/>
      <c r="AE722" s="106"/>
    </row>
    <row r="723">
      <c r="C723" s="79"/>
      <c r="D723" s="79"/>
      <c r="E723" s="79"/>
      <c r="P723" s="79"/>
      <c r="Q723" s="79"/>
      <c r="R723" s="79"/>
      <c r="Y723" s="79"/>
      <c r="AC723" s="130"/>
      <c r="AE723" s="106"/>
    </row>
    <row r="724">
      <c r="C724" s="79"/>
      <c r="D724" s="79"/>
      <c r="E724" s="79"/>
      <c r="P724" s="79"/>
      <c r="Q724" s="79"/>
      <c r="R724" s="79"/>
      <c r="Y724" s="79"/>
      <c r="AC724" s="130"/>
      <c r="AE724" s="106"/>
    </row>
    <row r="725">
      <c r="C725" s="79"/>
      <c r="D725" s="79"/>
      <c r="E725" s="79"/>
      <c r="P725" s="79"/>
      <c r="Q725" s="79"/>
      <c r="R725" s="79"/>
      <c r="Y725" s="79"/>
      <c r="AC725" s="130"/>
      <c r="AE725" s="106"/>
    </row>
    <row r="726">
      <c r="C726" s="79"/>
      <c r="D726" s="79"/>
      <c r="E726" s="79"/>
      <c r="P726" s="79"/>
      <c r="Q726" s="79"/>
      <c r="R726" s="79"/>
      <c r="Y726" s="79"/>
      <c r="AC726" s="130"/>
      <c r="AE726" s="106"/>
    </row>
    <row r="727">
      <c r="C727" s="79"/>
      <c r="D727" s="79"/>
      <c r="E727" s="79"/>
      <c r="P727" s="79"/>
      <c r="Q727" s="79"/>
      <c r="R727" s="79"/>
      <c r="Y727" s="79"/>
      <c r="AC727" s="130"/>
      <c r="AE727" s="106"/>
    </row>
    <row r="728">
      <c r="C728" s="79"/>
      <c r="D728" s="79"/>
      <c r="E728" s="79"/>
      <c r="P728" s="79"/>
      <c r="Q728" s="79"/>
      <c r="R728" s="79"/>
      <c r="Y728" s="79"/>
      <c r="AC728" s="130"/>
      <c r="AE728" s="106"/>
    </row>
    <row r="729">
      <c r="C729" s="79"/>
      <c r="D729" s="79"/>
      <c r="E729" s="79"/>
      <c r="P729" s="79"/>
      <c r="Q729" s="79"/>
      <c r="R729" s="79"/>
      <c r="Y729" s="79"/>
      <c r="AC729" s="130"/>
      <c r="AE729" s="106"/>
    </row>
    <row r="730">
      <c r="C730" s="79"/>
      <c r="D730" s="79"/>
      <c r="E730" s="79"/>
      <c r="P730" s="79"/>
      <c r="Q730" s="79"/>
      <c r="R730" s="79"/>
      <c r="Y730" s="79"/>
      <c r="AC730" s="130"/>
      <c r="AE730" s="106"/>
    </row>
    <row r="731">
      <c r="C731" s="79"/>
      <c r="D731" s="79"/>
      <c r="E731" s="79"/>
      <c r="P731" s="79"/>
      <c r="Q731" s="79"/>
      <c r="R731" s="79"/>
      <c r="Y731" s="79"/>
      <c r="AC731" s="130"/>
      <c r="AE731" s="106"/>
    </row>
    <row r="732">
      <c r="C732" s="79"/>
      <c r="D732" s="79"/>
      <c r="E732" s="79"/>
      <c r="P732" s="79"/>
      <c r="Q732" s="79"/>
      <c r="R732" s="79"/>
      <c r="Y732" s="79"/>
      <c r="AC732" s="130"/>
      <c r="AE732" s="106"/>
    </row>
    <row r="733">
      <c r="C733" s="79"/>
      <c r="D733" s="79"/>
      <c r="E733" s="79"/>
      <c r="P733" s="79"/>
      <c r="Q733" s="79"/>
      <c r="R733" s="79"/>
      <c r="Y733" s="79"/>
      <c r="AC733" s="130"/>
      <c r="AE733" s="106"/>
    </row>
    <row r="734">
      <c r="C734" s="79"/>
      <c r="D734" s="79"/>
      <c r="E734" s="79"/>
      <c r="P734" s="79"/>
      <c r="Q734" s="79"/>
      <c r="R734" s="79"/>
      <c r="Y734" s="79"/>
      <c r="AC734" s="130"/>
      <c r="AE734" s="106"/>
    </row>
    <row r="735">
      <c r="C735" s="79"/>
      <c r="D735" s="79"/>
      <c r="E735" s="79"/>
      <c r="P735" s="79"/>
      <c r="Q735" s="79"/>
      <c r="R735" s="79"/>
      <c r="Y735" s="79"/>
      <c r="AC735" s="130"/>
      <c r="AE735" s="106"/>
    </row>
    <row r="736">
      <c r="C736" s="79"/>
      <c r="D736" s="79"/>
      <c r="E736" s="79"/>
      <c r="P736" s="79"/>
      <c r="Q736" s="79"/>
      <c r="R736" s="79"/>
      <c r="Y736" s="79"/>
      <c r="AC736" s="130"/>
      <c r="AE736" s="106"/>
    </row>
    <row r="737">
      <c r="C737" s="79"/>
      <c r="D737" s="79"/>
      <c r="E737" s="79"/>
      <c r="P737" s="79"/>
      <c r="Q737" s="79"/>
      <c r="R737" s="79"/>
      <c r="Y737" s="79"/>
      <c r="AC737" s="130"/>
      <c r="AE737" s="106"/>
    </row>
    <row r="738">
      <c r="C738" s="79"/>
      <c r="D738" s="79"/>
      <c r="E738" s="79"/>
      <c r="P738" s="79"/>
      <c r="Q738" s="79"/>
      <c r="R738" s="79"/>
      <c r="Y738" s="79"/>
      <c r="AC738" s="130"/>
      <c r="AE738" s="106"/>
    </row>
    <row r="739">
      <c r="C739" s="79"/>
      <c r="D739" s="79"/>
      <c r="E739" s="79"/>
      <c r="P739" s="79"/>
      <c r="Q739" s="79"/>
      <c r="R739" s="79"/>
      <c r="Y739" s="79"/>
      <c r="AC739" s="130"/>
      <c r="AE739" s="106"/>
    </row>
    <row r="740">
      <c r="C740" s="79"/>
      <c r="D740" s="79"/>
      <c r="E740" s="79"/>
      <c r="P740" s="79"/>
      <c r="Q740" s="79"/>
      <c r="R740" s="79"/>
      <c r="Y740" s="79"/>
      <c r="AC740" s="130"/>
      <c r="AE740" s="106"/>
    </row>
    <row r="741">
      <c r="C741" s="79"/>
      <c r="D741" s="79"/>
      <c r="E741" s="79"/>
      <c r="P741" s="79"/>
      <c r="Q741" s="79"/>
      <c r="R741" s="79"/>
      <c r="Y741" s="79"/>
      <c r="AC741" s="130"/>
      <c r="AE741" s="106"/>
    </row>
    <row r="742">
      <c r="C742" s="79"/>
      <c r="D742" s="79"/>
      <c r="E742" s="79"/>
      <c r="P742" s="79"/>
      <c r="Q742" s="79"/>
      <c r="R742" s="79"/>
      <c r="Y742" s="79"/>
      <c r="AC742" s="130"/>
      <c r="AE742" s="106"/>
    </row>
    <row r="743">
      <c r="C743" s="79"/>
      <c r="D743" s="79"/>
      <c r="E743" s="79"/>
      <c r="P743" s="79"/>
      <c r="Q743" s="79"/>
      <c r="R743" s="79"/>
      <c r="Y743" s="79"/>
      <c r="AC743" s="130"/>
      <c r="AE743" s="106"/>
    </row>
    <row r="744">
      <c r="C744" s="79"/>
      <c r="D744" s="79"/>
      <c r="E744" s="79"/>
      <c r="P744" s="79"/>
      <c r="Q744" s="79"/>
      <c r="R744" s="79"/>
      <c r="Y744" s="79"/>
      <c r="AC744" s="130"/>
      <c r="AE744" s="106"/>
    </row>
    <row r="745">
      <c r="C745" s="79"/>
      <c r="D745" s="79"/>
      <c r="E745" s="79"/>
      <c r="P745" s="79"/>
      <c r="Q745" s="79"/>
      <c r="R745" s="79"/>
      <c r="Y745" s="79"/>
      <c r="AC745" s="130"/>
      <c r="AE745" s="106"/>
    </row>
    <row r="746">
      <c r="C746" s="79"/>
      <c r="D746" s="79"/>
      <c r="E746" s="79"/>
      <c r="P746" s="79"/>
      <c r="Q746" s="79"/>
      <c r="R746" s="79"/>
      <c r="Y746" s="79"/>
      <c r="AC746" s="130"/>
      <c r="AE746" s="106"/>
    </row>
    <row r="747">
      <c r="C747" s="79"/>
      <c r="D747" s="79"/>
      <c r="E747" s="79"/>
      <c r="P747" s="79"/>
      <c r="Q747" s="79"/>
      <c r="R747" s="79"/>
      <c r="Y747" s="79"/>
      <c r="AC747" s="130"/>
      <c r="AE747" s="106"/>
    </row>
    <row r="748">
      <c r="C748" s="79"/>
      <c r="D748" s="79"/>
      <c r="E748" s="79"/>
      <c r="P748" s="79"/>
      <c r="Q748" s="79"/>
      <c r="R748" s="79"/>
      <c r="Y748" s="79"/>
      <c r="AC748" s="130"/>
      <c r="AE748" s="106"/>
    </row>
    <row r="749">
      <c r="C749" s="79"/>
      <c r="D749" s="79"/>
      <c r="E749" s="79"/>
      <c r="P749" s="79"/>
      <c r="Q749" s="79"/>
      <c r="R749" s="79"/>
      <c r="Y749" s="79"/>
      <c r="AC749" s="130"/>
      <c r="AE749" s="106"/>
    </row>
    <row r="750">
      <c r="C750" s="79"/>
      <c r="D750" s="79"/>
      <c r="E750" s="79"/>
      <c r="P750" s="79"/>
      <c r="Q750" s="79"/>
      <c r="R750" s="79"/>
      <c r="Y750" s="79"/>
      <c r="AC750" s="130"/>
      <c r="AE750" s="106"/>
    </row>
    <row r="751">
      <c r="C751" s="79"/>
      <c r="D751" s="79"/>
      <c r="E751" s="79"/>
      <c r="P751" s="79"/>
      <c r="Q751" s="79"/>
      <c r="R751" s="79"/>
      <c r="Y751" s="79"/>
      <c r="AC751" s="130"/>
      <c r="AE751" s="106"/>
    </row>
    <row r="752">
      <c r="C752" s="79"/>
      <c r="D752" s="79"/>
      <c r="E752" s="79"/>
      <c r="P752" s="79"/>
      <c r="Q752" s="79"/>
      <c r="R752" s="79"/>
      <c r="Y752" s="79"/>
      <c r="AC752" s="130"/>
      <c r="AE752" s="106"/>
    </row>
    <row r="753">
      <c r="C753" s="79"/>
      <c r="D753" s="79"/>
      <c r="E753" s="79"/>
      <c r="P753" s="79"/>
      <c r="Q753" s="79"/>
      <c r="R753" s="79"/>
      <c r="Y753" s="79"/>
      <c r="AC753" s="130"/>
      <c r="AE753" s="106"/>
    </row>
    <row r="754">
      <c r="C754" s="79"/>
      <c r="D754" s="79"/>
      <c r="E754" s="79"/>
      <c r="P754" s="79"/>
      <c r="Q754" s="79"/>
      <c r="R754" s="79"/>
      <c r="Y754" s="79"/>
      <c r="AC754" s="130"/>
      <c r="AE754" s="106"/>
    </row>
    <row r="755">
      <c r="C755" s="79"/>
      <c r="D755" s="79"/>
      <c r="E755" s="79"/>
      <c r="P755" s="79"/>
      <c r="Q755" s="79"/>
      <c r="R755" s="79"/>
      <c r="Y755" s="79"/>
      <c r="AC755" s="130"/>
      <c r="AE755" s="106"/>
    </row>
    <row r="756">
      <c r="C756" s="79"/>
      <c r="D756" s="79"/>
      <c r="E756" s="79"/>
      <c r="P756" s="79"/>
      <c r="Q756" s="79"/>
      <c r="R756" s="79"/>
      <c r="Y756" s="79"/>
      <c r="AC756" s="130"/>
      <c r="AE756" s="106"/>
    </row>
    <row r="757">
      <c r="C757" s="79"/>
      <c r="D757" s="79"/>
      <c r="E757" s="79"/>
      <c r="P757" s="79"/>
      <c r="Q757" s="79"/>
      <c r="R757" s="79"/>
      <c r="Y757" s="79"/>
      <c r="AC757" s="130"/>
      <c r="AE757" s="106"/>
    </row>
    <row r="758">
      <c r="C758" s="79"/>
      <c r="D758" s="79"/>
      <c r="E758" s="79"/>
      <c r="P758" s="79"/>
      <c r="Q758" s="79"/>
      <c r="R758" s="79"/>
      <c r="Y758" s="79"/>
      <c r="AC758" s="130"/>
      <c r="AE758" s="106"/>
    </row>
    <row r="759">
      <c r="C759" s="79"/>
      <c r="D759" s="79"/>
      <c r="E759" s="79"/>
      <c r="P759" s="79"/>
      <c r="Q759" s="79"/>
      <c r="R759" s="79"/>
      <c r="Y759" s="79"/>
      <c r="AC759" s="130"/>
      <c r="AE759" s="106"/>
    </row>
    <row r="760">
      <c r="C760" s="79"/>
      <c r="D760" s="79"/>
      <c r="E760" s="79"/>
      <c r="P760" s="79"/>
      <c r="Q760" s="79"/>
      <c r="R760" s="79"/>
      <c r="Y760" s="79"/>
      <c r="AC760" s="130"/>
      <c r="AE760" s="106"/>
    </row>
    <row r="761">
      <c r="C761" s="79"/>
      <c r="D761" s="79"/>
      <c r="E761" s="79"/>
      <c r="P761" s="79"/>
      <c r="Q761" s="79"/>
      <c r="R761" s="79"/>
      <c r="Y761" s="79"/>
      <c r="AC761" s="130"/>
      <c r="AE761" s="106"/>
    </row>
    <row r="762">
      <c r="C762" s="79"/>
      <c r="D762" s="79"/>
      <c r="E762" s="79"/>
      <c r="P762" s="79"/>
      <c r="Q762" s="79"/>
      <c r="R762" s="79"/>
      <c r="Y762" s="79"/>
      <c r="AC762" s="130"/>
      <c r="AE762" s="106"/>
    </row>
    <row r="763">
      <c r="C763" s="79"/>
      <c r="D763" s="79"/>
      <c r="E763" s="79"/>
      <c r="P763" s="79"/>
      <c r="Q763" s="79"/>
      <c r="R763" s="79"/>
      <c r="Y763" s="79"/>
      <c r="AC763" s="130"/>
      <c r="AE763" s="106"/>
    </row>
    <row r="764">
      <c r="C764" s="79"/>
      <c r="D764" s="79"/>
      <c r="E764" s="79"/>
      <c r="P764" s="79"/>
      <c r="Q764" s="79"/>
      <c r="R764" s="79"/>
      <c r="Y764" s="79"/>
      <c r="AC764" s="130"/>
      <c r="AE764" s="106"/>
    </row>
    <row r="765">
      <c r="C765" s="79"/>
      <c r="D765" s="79"/>
      <c r="E765" s="79"/>
      <c r="P765" s="79"/>
      <c r="Q765" s="79"/>
      <c r="R765" s="79"/>
      <c r="Y765" s="79"/>
      <c r="AC765" s="130"/>
      <c r="AE765" s="106"/>
    </row>
    <row r="766">
      <c r="C766" s="79"/>
      <c r="D766" s="79"/>
      <c r="E766" s="79"/>
      <c r="P766" s="79"/>
      <c r="Q766" s="79"/>
      <c r="R766" s="79"/>
      <c r="Y766" s="79"/>
      <c r="AC766" s="130"/>
      <c r="AE766" s="106"/>
    </row>
    <row r="767">
      <c r="C767" s="79"/>
      <c r="D767" s="79"/>
      <c r="E767" s="79"/>
      <c r="P767" s="79"/>
      <c r="Q767" s="79"/>
      <c r="R767" s="79"/>
      <c r="Y767" s="79"/>
      <c r="AC767" s="130"/>
      <c r="AE767" s="106"/>
    </row>
    <row r="768">
      <c r="C768" s="79"/>
      <c r="D768" s="79"/>
      <c r="E768" s="79"/>
      <c r="P768" s="79"/>
      <c r="Q768" s="79"/>
      <c r="R768" s="79"/>
      <c r="Y768" s="79"/>
      <c r="AC768" s="130"/>
      <c r="AE768" s="106"/>
    </row>
    <row r="769">
      <c r="C769" s="79"/>
      <c r="D769" s="79"/>
      <c r="E769" s="79"/>
      <c r="P769" s="79"/>
      <c r="Q769" s="79"/>
      <c r="R769" s="79"/>
      <c r="Y769" s="79"/>
      <c r="AC769" s="130"/>
      <c r="AE769" s="106"/>
    </row>
    <row r="770">
      <c r="C770" s="79"/>
      <c r="D770" s="79"/>
      <c r="E770" s="79"/>
      <c r="P770" s="79"/>
      <c r="Q770" s="79"/>
      <c r="R770" s="79"/>
      <c r="Y770" s="79"/>
      <c r="AC770" s="130"/>
      <c r="AE770" s="106"/>
    </row>
    <row r="771">
      <c r="C771" s="79"/>
      <c r="D771" s="79"/>
      <c r="E771" s="79"/>
      <c r="P771" s="79"/>
      <c r="Q771" s="79"/>
      <c r="R771" s="79"/>
      <c r="Y771" s="79"/>
      <c r="AC771" s="130"/>
      <c r="AE771" s="106"/>
    </row>
    <row r="772">
      <c r="C772" s="79"/>
      <c r="D772" s="79"/>
      <c r="E772" s="79"/>
      <c r="P772" s="79"/>
      <c r="Q772" s="79"/>
      <c r="R772" s="79"/>
      <c r="Y772" s="79"/>
      <c r="AC772" s="130"/>
      <c r="AE772" s="106"/>
    </row>
    <row r="773">
      <c r="C773" s="79"/>
      <c r="D773" s="79"/>
      <c r="E773" s="79"/>
      <c r="P773" s="79"/>
      <c r="Q773" s="79"/>
      <c r="R773" s="79"/>
      <c r="Y773" s="79"/>
      <c r="AC773" s="130"/>
      <c r="AE773" s="106"/>
    </row>
    <row r="774">
      <c r="C774" s="79"/>
      <c r="D774" s="79"/>
      <c r="E774" s="79"/>
      <c r="P774" s="79"/>
      <c r="Q774" s="79"/>
      <c r="R774" s="79"/>
      <c r="Y774" s="79"/>
      <c r="AC774" s="130"/>
      <c r="AE774" s="106"/>
    </row>
    <row r="775">
      <c r="C775" s="79"/>
      <c r="D775" s="79"/>
      <c r="E775" s="79"/>
      <c r="P775" s="79"/>
      <c r="Q775" s="79"/>
      <c r="R775" s="79"/>
      <c r="Y775" s="79"/>
      <c r="AC775" s="130"/>
      <c r="AE775" s="106"/>
    </row>
    <row r="776">
      <c r="C776" s="79"/>
      <c r="D776" s="79"/>
      <c r="E776" s="79"/>
      <c r="P776" s="79"/>
      <c r="Q776" s="79"/>
      <c r="R776" s="79"/>
      <c r="Y776" s="79"/>
      <c r="AC776" s="130"/>
      <c r="AE776" s="106"/>
    </row>
    <row r="777">
      <c r="C777" s="79"/>
      <c r="D777" s="79"/>
      <c r="E777" s="79"/>
      <c r="P777" s="79"/>
      <c r="Q777" s="79"/>
      <c r="R777" s="79"/>
      <c r="Y777" s="79"/>
      <c r="AC777" s="130"/>
      <c r="AE777" s="106"/>
    </row>
    <row r="778">
      <c r="C778" s="79"/>
      <c r="D778" s="79"/>
      <c r="E778" s="79"/>
      <c r="P778" s="79"/>
      <c r="Q778" s="79"/>
      <c r="R778" s="79"/>
      <c r="Y778" s="79"/>
      <c r="AC778" s="130"/>
      <c r="AE778" s="106"/>
    </row>
    <row r="779">
      <c r="C779" s="79"/>
      <c r="D779" s="79"/>
      <c r="E779" s="79"/>
      <c r="P779" s="79"/>
      <c r="Q779" s="79"/>
      <c r="R779" s="79"/>
      <c r="Y779" s="79"/>
      <c r="AC779" s="130"/>
      <c r="AE779" s="106"/>
    </row>
    <row r="780">
      <c r="C780" s="79"/>
      <c r="D780" s="79"/>
      <c r="E780" s="79"/>
      <c r="P780" s="79"/>
      <c r="Q780" s="79"/>
      <c r="R780" s="79"/>
      <c r="Y780" s="79"/>
      <c r="AC780" s="130"/>
      <c r="AE780" s="106"/>
    </row>
    <row r="781">
      <c r="C781" s="79"/>
      <c r="D781" s="79"/>
      <c r="E781" s="79"/>
      <c r="P781" s="79"/>
      <c r="Q781" s="79"/>
      <c r="R781" s="79"/>
      <c r="Y781" s="79"/>
      <c r="AC781" s="130"/>
      <c r="AE781" s="106"/>
    </row>
    <row r="782">
      <c r="C782" s="79"/>
      <c r="D782" s="79"/>
      <c r="E782" s="79"/>
      <c r="P782" s="79"/>
      <c r="Q782" s="79"/>
      <c r="R782" s="79"/>
      <c r="Y782" s="79"/>
      <c r="AC782" s="130"/>
      <c r="AE782" s="106"/>
    </row>
    <row r="783">
      <c r="C783" s="79"/>
      <c r="D783" s="79"/>
      <c r="E783" s="79"/>
      <c r="P783" s="79"/>
      <c r="Q783" s="79"/>
      <c r="R783" s="79"/>
      <c r="Y783" s="79"/>
      <c r="AC783" s="130"/>
      <c r="AE783" s="106"/>
    </row>
    <row r="784">
      <c r="C784" s="79"/>
      <c r="D784" s="79"/>
      <c r="E784" s="79"/>
      <c r="P784" s="79"/>
      <c r="Q784" s="79"/>
      <c r="R784" s="79"/>
      <c r="Y784" s="79"/>
      <c r="AC784" s="130"/>
      <c r="AE784" s="106"/>
    </row>
    <row r="785">
      <c r="C785" s="79"/>
      <c r="D785" s="79"/>
      <c r="E785" s="79"/>
      <c r="P785" s="79"/>
      <c r="Q785" s="79"/>
      <c r="R785" s="79"/>
      <c r="Y785" s="79"/>
      <c r="AC785" s="130"/>
      <c r="AE785" s="106"/>
    </row>
    <row r="786">
      <c r="C786" s="79"/>
      <c r="D786" s="79"/>
      <c r="E786" s="79"/>
      <c r="P786" s="79"/>
      <c r="Q786" s="79"/>
      <c r="R786" s="79"/>
      <c r="Y786" s="79"/>
      <c r="AC786" s="130"/>
      <c r="AE786" s="106"/>
    </row>
    <row r="787">
      <c r="C787" s="79"/>
      <c r="D787" s="79"/>
      <c r="E787" s="79"/>
      <c r="P787" s="79"/>
      <c r="Q787" s="79"/>
      <c r="R787" s="79"/>
      <c r="Y787" s="79"/>
      <c r="AC787" s="130"/>
      <c r="AE787" s="106"/>
    </row>
    <row r="788">
      <c r="C788" s="79"/>
      <c r="D788" s="79"/>
      <c r="E788" s="79"/>
      <c r="P788" s="79"/>
      <c r="Q788" s="79"/>
      <c r="R788" s="79"/>
      <c r="Y788" s="79"/>
      <c r="AC788" s="130"/>
      <c r="AE788" s="106"/>
    </row>
    <row r="789">
      <c r="C789" s="79"/>
      <c r="D789" s="79"/>
      <c r="E789" s="79"/>
      <c r="P789" s="79"/>
      <c r="Q789" s="79"/>
      <c r="R789" s="79"/>
      <c r="Y789" s="79"/>
      <c r="AC789" s="130"/>
      <c r="AE789" s="106"/>
    </row>
    <row r="790">
      <c r="C790" s="79"/>
      <c r="D790" s="79"/>
      <c r="E790" s="79"/>
      <c r="P790" s="79"/>
      <c r="Q790" s="79"/>
      <c r="R790" s="79"/>
      <c r="Y790" s="79"/>
      <c r="AC790" s="130"/>
      <c r="AE790" s="106"/>
    </row>
    <row r="791">
      <c r="C791" s="79"/>
      <c r="D791" s="79"/>
      <c r="E791" s="79"/>
      <c r="P791" s="79"/>
      <c r="Q791" s="79"/>
      <c r="R791" s="79"/>
      <c r="Y791" s="79"/>
      <c r="AC791" s="130"/>
      <c r="AE791" s="106"/>
    </row>
    <row r="792">
      <c r="C792" s="79"/>
      <c r="D792" s="79"/>
      <c r="E792" s="79"/>
      <c r="P792" s="79"/>
      <c r="Q792" s="79"/>
      <c r="R792" s="79"/>
      <c r="Y792" s="79"/>
      <c r="AC792" s="130"/>
      <c r="AE792" s="106"/>
    </row>
    <row r="793">
      <c r="C793" s="79"/>
      <c r="D793" s="79"/>
      <c r="E793" s="79"/>
      <c r="P793" s="79"/>
      <c r="Q793" s="79"/>
      <c r="R793" s="79"/>
      <c r="Y793" s="79"/>
      <c r="AC793" s="130"/>
      <c r="AE793" s="106"/>
    </row>
    <row r="794">
      <c r="C794" s="79"/>
      <c r="D794" s="79"/>
      <c r="E794" s="79"/>
      <c r="P794" s="79"/>
      <c r="Q794" s="79"/>
      <c r="R794" s="79"/>
      <c r="Y794" s="79"/>
      <c r="AC794" s="130"/>
      <c r="AE794" s="106"/>
    </row>
    <row r="795">
      <c r="C795" s="79"/>
      <c r="D795" s="79"/>
      <c r="E795" s="79"/>
      <c r="P795" s="79"/>
      <c r="Q795" s="79"/>
      <c r="R795" s="79"/>
      <c r="Y795" s="79"/>
      <c r="AC795" s="130"/>
      <c r="AE795" s="106"/>
    </row>
    <row r="796">
      <c r="C796" s="79"/>
      <c r="D796" s="79"/>
      <c r="E796" s="79"/>
      <c r="P796" s="79"/>
      <c r="Q796" s="79"/>
      <c r="R796" s="79"/>
      <c r="Y796" s="79"/>
      <c r="AC796" s="130"/>
      <c r="AE796" s="106"/>
    </row>
    <row r="797">
      <c r="C797" s="79"/>
      <c r="D797" s="79"/>
      <c r="E797" s="79"/>
      <c r="P797" s="79"/>
      <c r="Q797" s="79"/>
      <c r="R797" s="79"/>
      <c r="Y797" s="79"/>
      <c r="AC797" s="130"/>
      <c r="AE797" s="106"/>
    </row>
    <row r="798">
      <c r="C798" s="79"/>
      <c r="D798" s="79"/>
      <c r="E798" s="79"/>
      <c r="P798" s="79"/>
      <c r="Q798" s="79"/>
      <c r="R798" s="79"/>
      <c r="Y798" s="79"/>
      <c r="AC798" s="130"/>
      <c r="AE798" s="106"/>
    </row>
    <row r="799">
      <c r="C799" s="79"/>
      <c r="D799" s="79"/>
      <c r="E799" s="79"/>
      <c r="P799" s="79"/>
      <c r="Q799" s="79"/>
      <c r="R799" s="79"/>
      <c r="Y799" s="79"/>
      <c r="AC799" s="130"/>
      <c r="AE799" s="106"/>
    </row>
    <row r="800">
      <c r="C800" s="79"/>
      <c r="D800" s="79"/>
      <c r="E800" s="79"/>
      <c r="P800" s="79"/>
      <c r="Q800" s="79"/>
      <c r="R800" s="79"/>
      <c r="Y800" s="79"/>
      <c r="AC800" s="130"/>
      <c r="AE800" s="106"/>
    </row>
    <row r="801">
      <c r="C801" s="79"/>
      <c r="D801" s="79"/>
      <c r="E801" s="79"/>
      <c r="P801" s="79"/>
      <c r="Q801" s="79"/>
      <c r="R801" s="79"/>
      <c r="Y801" s="79"/>
      <c r="AC801" s="130"/>
      <c r="AE801" s="106"/>
    </row>
    <row r="802">
      <c r="C802" s="79"/>
      <c r="D802" s="79"/>
      <c r="E802" s="79"/>
      <c r="P802" s="79"/>
      <c r="Q802" s="79"/>
      <c r="R802" s="79"/>
      <c r="Y802" s="79"/>
      <c r="AC802" s="130"/>
      <c r="AE802" s="106"/>
    </row>
    <row r="803">
      <c r="C803" s="79"/>
      <c r="D803" s="79"/>
      <c r="E803" s="79"/>
      <c r="P803" s="79"/>
      <c r="Q803" s="79"/>
      <c r="R803" s="79"/>
      <c r="Y803" s="79"/>
      <c r="AC803" s="130"/>
      <c r="AE803" s="106"/>
    </row>
    <row r="804">
      <c r="C804" s="79"/>
      <c r="D804" s="79"/>
      <c r="E804" s="79"/>
      <c r="P804" s="79"/>
      <c r="Q804" s="79"/>
      <c r="R804" s="79"/>
      <c r="Y804" s="79"/>
      <c r="AC804" s="130"/>
      <c r="AE804" s="106"/>
    </row>
    <row r="805">
      <c r="C805" s="79"/>
      <c r="D805" s="79"/>
      <c r="E805" s="79"/>
      <c r="P805" s="79"/>
      <c r="Q805" s="79"/>
      <c r="R805" s="79"/>
      <c r="Y805" s="79"/>
      <c r="AC805" s="130"/>
      <c r="AE805" s="106"/>
    </row>
    <row r="806">
      <c r="C806" s="79"/>
      <c r="D806" s="79"/>
      <c r="E806" s="79"/>
      <c r="P806" s="79"/>
      <c r="Q806" s="79"/>
      <c r="R806" s="79"/>
      <c r="Y806" s="79"/>
      <c r="AC806" s="130"/>
      <c r="AE806" s="106"/>
    </row>
    <row r="807">
      <c r="C807" s="79"/>
      <c r="D807" s="79"/>
      <c r="E807" s="79"/>
      <c r="P807" s="79"/>
      <c r="Q807" s="79"/>
      <c r="R807" s="79"/>
      <c r="Y807" s="79"/>
      <c r="AC807" s="130"/>
      <c r="AE807" s="106"/>
    </row>
    <row r="808">
      <c r="C808" s="79"/>
      <c r="D808" s="79"/>
      <c r="E808" s="79"/>
      <c r="P808" s="79"/>
      <c r="Q808" s="79"/>
      <c r="R808" s="79"/>
      <c r="Y808" s="79"/>
      <c r="AC808" s="130"/>
      <c r="AE808" s="106"/>
    </row>
    <row r="809">
      <c r="C809" s="79"/>
      <c r="D809" s="79"/>
      <c r="E809" s="79"/>
      <c r="P809" s="79"/>
      <c r="Q809" s="79"/>
      <c r="R809" s="79"/>
      <c r="Y809" s="79"/>
      <c r="AC809" s="130"/>
      <c r="AE809" s="106"/>
    </row>
    <row r="810">
      <c r="C810" s="79"/>
      <c r="D810" s="79"/>
      <c r="E810" s="79"/>
      <c r="P810" s="79"/>
      <c r="Q810" s="79"/>
      <c r="R810" s="79"/>
      <c r="Y810" s="79"/>
      <c r="AC810" s="130"/>
      <c r="AE810" s="106"/>
    </row>
    <row r="811">
      <c r="C811" s="79"/>
      <c r="D811" s="79"/>
      <c r="E811" s="79"/>
      <c r="P811" s="79"/>
      <c r="Q811" s="79"/>
      <c r="R811" s="79"/>
      <c r="Y811" s="79"/>
      <c r="AC811" s="130"/>
      <c r="AE811" s="106"/>
    </row>
    <row r="812">
      <c r="C812" s="79"/>
      <c r="D812" s="79"/>
      <c r="E812" s="79"/>
      <c r="P812" s="79"/>
      <c r="Q812" s="79"/>
      <c r="R812" s="79"/>
      <c r="Y812" s="79"/>
      <c r="AC812" s="130"/>
      <c r="AE812" s="106"/>
    </row>
    <row r="813">
      <c r="C813" s="79"/>
      <c r="D813" s="79"/>
      <c r="E813" s="79"/>
      <c r="P813" s="79"/>
      <c r="Q813" s="79"/>
      <c r="R813" s="79"/>
      <c r="Y813" s="79"/>
      <c r="AC813" s="130"/>
      <c r="AE813" s="106"/>
    </row>
    <row r="814">
      <c r="C814" s="79"/>
      <c r="D814" s="79"/>
      <c r="E814" s="79"/>
      <c r="P814" s="79"/>
      <c r="Q814" s="79"/>
      <c r="R814" s="79"/>
      <c r="Y814" s="79"/>
      <c r="AC814" s="130"/>
      <c r="AE814" s="106"/>
    </row>
    <row r="815">
      <c r="C815" s="79"/>
      <c r="D815" s="79"/>
      <c r="E815" s="79"/>
      <c r="P815" s="79"/>
      <c r="Q815" s="79"/>
      <c r="R815" s="79"/>
      <c r="Y815" s="79"/>
      <c r="AC815" s="130"/>
      <c r="AE815" s="106"/>
    </row>
    <row r="816">
      <c r="C816" s="79"/>
      <c r="D816" s="79"/>
      <c r="E816" s="79"/>
      <c r="P816" s="79"/>
      <c r="Q816" s="79"/>
      <c r="R816" s="79"/>
      <c r="Y816" s="79"/>
      <c r="AC816" s="130"/>
      <c r="AE816" s="106"/>
    </row>
    <row r="817">
      <c r="C817" s="79"/>
      <c r="D817" s="79"/>
      <c r="E817" s="79"/>
      <c r="P817" s="79"/>
      <c r="Q817" s="79"/>
      <c r="R817" s="79"/>
      <c r="Y817" s="79"/>
      <c r="AC817" s="130"/>
      <c r="AE817" s="106"/>
    </row>
    <row r="818">
      <c r="C818" s="79"/>
      <c r="D818" s="79"/>
      <c r="E818" s="79"/>
      <c r="P818" s="79"/>
      <c r="Q818" s="79"/>
      <c r="R818" s="79"/>
      <c r="Y818" s="79"/>
      <c r="AC818" s="130"/>
      <c r="AE818" s="106"/>
    </row>
    <row r="819">
      <c r="C819" s="79"/>
      <c r="D819" s="79"/>
      <c r="E819" s="79"/>
      <c r="P819" s="79"/>
      <c r="Q819" s="79"/>
      <c r="R819" s="79"/>
      <c r="Y819" s="79"/>
      <c r="AC819" s="130"/>
      <c r="AE819" s="106"/>
    </row>
    <row r="820">
      <c r="C820" s="79"/>
      <c r="D820" s="79"/>
      <c r="E820" s="79"/>
      <c r="P820" s="79"/>
      <c r="Q820" s="79"/>
      <c r="R820" s="79"/>
      <c r="Y820" s="79"/>
      <c r="AC820" s="130"/>
      <c r="AE820" s="106"/>
    </row>
    <row r="821">
      <c r="C821" s="79"/>
      <c r="D821" s="79"/>
      <c r="E821" s="79"/>
      <c r="P821" s="79"/>
      <c r="Q821" s="79"/>
      <c r="R821" s="79"/>
      <c r="Y821" s="79"/>
      <c r="AC821" s="130"/>
      <c r="AE821" s="106"/>
    </row>
    <row r="822">
      <c r="C822" s="79"/>
      <c r="D822" s="79"/>
      <c r="E822" s="79"/>
      <c r="P822" s="79"/>
      <c r="Q822" s="79"/>
      <c r="R822" s="79"/>
      <c r="Y822" s="79"/>
      <c r="AC822" s="130"/>
      <c r="AE822" s="106"/>
    </row>
    <row r="823">
      <c r="C823" s="79"/>
      <c r="D823" s="79"/>
      <c r="E823" s="79"/>
      <c r="P823" s="79"/>
      <c r="Q823" s="79"/>
      <c r="R823" s="79"/>
      <c r="Y823" s="79"/>
      <c r="AC823" s="130"/>
      <c r="AE823" s="106"/>
    </row>
    <row r="824">
      <c r="C824" s="79"/>
      <c r="D824" s="79"/>
      <c r="E824" s="79"/>
      <c r="P824" s="79"/>
      <c r="Q824" s="79"/>
      <c r="R824" s="79"/>
      <c r="Y824" s="79"/>
      <c r="AC824" s="130"/>
      <c r="AE824" s="106"/>
    </row>
    <row r="825">
      <c r="C825" s="79"/>
      <c r="D825" s="79"/>
      <c r="E825" s="79"/>
      <c r="P825" s="79"/>
      <c r="Q825" s="79"/>
      <c r="R825" s="79"/>
      <c r="Y825" s="79"/>
      <c r="AC825" s="130"/>
      <c r="AE825" s="106"/>
    </row>
    <row r="826">
      <c r="C826" s="79"/>
      <c r="D826" s="79"/>
      <c r="E826" s="79"/>
      <c r="P826" s="79"/>
      <c r="Q826" s="79"/>
      <c r="R826" s="79"/>
      <c r="Y826" s="79"/>
      <c r="AC826" s="130"/>
      <c r="AE826" s="106"/>
    </row>
    <row r="827">
      <c r="C827" s="79"/>
      <c r="D827" s="79"/>
      <c r="E827" s="79"/>
      <c r="P827" s="79"/>
      <c r="Q827" s="79"/>
      <c r="R827" s="79"/>
      <c r="Y827" s="79"/>
      <c r="AC827" s="130"/>
      <c r="AE827" s="106"/>
    </row>
    <row r="828">
      <c r="C828" s="79"/>
      <c r="D828" s="79"/>
      <c r="E828" s="79"/>
      <c r="P828" s="79"/>
      <c r="Q828" s="79"/>
      <c r="R828" s="79"/>
      <c r="Y828" s="79"/>
      <c r="AC828" s="130"/>
      <c r="AE828" s="106"/>
    </row>
    <row r="829">
      <c r="C829" s="79"/>
      <c r="D829" s="79"/>
      <c r="E829" s="79"/>
      <c r="P829" s="79"/>
      <c r="Q829" s="79"/>
      <c r="R829" s="79"/>
      <c r="Y829" s="79"/>
      <c r="AC829" s="130"/>
      <c r="AE829" s="106"/>
    </row>
    <row r="830">
      <c r="C830" s="79"/>
      <c r="D830" s="79"/>
      <c r="E830" s="79"/>
      <c r="P830" s="79"/>
      <c r="Q830" s="79"/>
      <c r="R830" s="79"/>
      <c r="Y830" s="79"/>
      <c r="AC830" s="130"/>
      <c r="AE830" s="106"/>
    </row>
    <row r="831">
      <c r="C831" s="79"/>
      <c r="D831" s="79"/>
      <c r="E831" s="79"/>
      <c r="P831" s="79"/>
      <c r="Q831" s="79"/>
      <c r="R831" s="79"/>
      <c r="Y831" s="79"/>
      <c r="AC831" s="130"/>
      <c r="AE831" s="106"/>
    </row>
    <row r="832">
      <c r="C832" s="79"/>
      <c r="D832" s="79"/>
      <c r="E832" s="79"/>
      <c r="P832" s="79"/>
      <c r="Q832" s="79"/>
      <c r="R832" s="79"/>
      <c r="Y832" s="79"/>
      <c r="AC832" s="130"/>
      <c r="AE832" s="106"/>
    </row>
    <row r="833">
      <c r="C833" s="79"/>
      <c r="D833" s="79"/>
      <c r="E833" s="79"/>
      <c r="P833" s="79"/>
      <c r="Q833" s="79"/>
      <c r="R833" s="79"/>
      <c r="Y833" s="79"/>
      <c r="AC833" s="130"/>
      <c r="AE833" s="106"/>
    </row>
    <row r="834">
      <c r="C834" s="79"/>
      <c r="D834" s="79"/>
      <c r="E834" s="79"/>
      <c r="P834" s="79"/>
      <c r="Q834" s="79"/>
      <c r="R834" s="79"/>
      <c r="Y834" s="79"/>
      <c r="AC834" s="130"/>
      <c r="AE834" s="106"/>
    </row>
    <row r="835">
      <c r="C835" s="79"/>
      <c r="D835" s="79"/>
      <c r="E835" s="79"/>
      <c r="P835" s="79"/>
      <c r="Q835" s="79"/>
      <c r="R835" s="79"/>
      <c r="Y835" s="79"/>
      <c r="AC835" s="130"/>
      <c r="AE835" s="106"/>
    </row>
    <row r="836">
      <c r="C836" s="79"/>
      <c r="D836" s="79"/>
      <c r="E836" s="79"/>
      <c r="P836" s="79"/>
      <c r="Q836" s="79"/>
      <c r="R836" s="79"/>
      <c r="Y836" s="79"/>
      <c r="AC836" s="130"/>
      <c r="AE836" s="106"/>
    </row>
    <row r="837">
      <c r="C837" s="79"/>
      <c r="D837" s="79"/>
      <c r="E837" s="79"/>
      <c r="P837" s="79"/>
      <c r="Q837" s="79"/>
      <c r="R837" s="79"/>
      <c r="Y837" s="79"/>
      <c r="AC837" s="130"/>
      <c r="AE837" s="106"/>
    </row>
    <row r="838">
      <c r="C838" s="79"/>
      <c r="D838" s="79"/>
      <c r="E838" s="79"/>
      <c r="P838" s="79"/>
      <c r="Q838" s="79"/>
      <c r="R838" s="79"/>
      <c r="Y838" s="79"/>
      <c r="AC838" s="130"/>
      <c r="AE838" s="106"/>
    </row>
    <row r="839">
      <c r="C839" s="79"/>
      <c r="D839" s="79"/>
      <c r="E839" s="79"/>
      <c r="P839" s="79"/>
      <c r="Q839" s="79"/>
      <c r="R839" s="79"/>
      <c r="Y839" s="79"/>
      <c r="AC839" s="130"/>
      <c r="AE839" s="106"/>
    </row>
    <row r="840">
      <c r="C840" s="79"/>
      <c r="D840" s="79"/>
      <c r="E840" s="79"/>
      <c r="P840" s="79"/>
      <c r="Q840" s="79"/>
      <c r="R840" s="79"/>
      <c r="Y840" s="79"/>
      <c r="AC840" s="130"/>
      <c r="AE840" s="106"/>
    </row>
    <row r="841">
      <c r="C841" s="79"/>
      <c r="D841" s="79"/>
      <c r="E841" s="79"/>
      <c r="P841" s="79"/>
      <c r="Q841" s="79"/>
      <c r="R841" s="79"/>
      <c r="Y841" s="79"/>
      <c r="AC841" s="130"/>
      <c r="AE841" s="106"/>
    </row>
    <row r="842">
      <c r="C842" s="79"/>
      <c r="D842" s="79"/>
      <c r="E842" s="79"/>
      <c r="P842" s="79"/>
      <c r="Q842" s="79"/>
      <c r="R842" s="79"/>
      <c r="Y842" s="79"/>
      <c r="AC842" s="130"/>
      <c r="AE842" s="106"/>
    </row>
    <row r="843">
      <c r="C843" s="79"/>
      <c r="D843" s="79"/>
      <c r="E843" s="79"/>
      <c r="P843" s="79"/>
      <c r="Q843" s="79"/>
      <c r="R843" s="79"/>
      <c r="Y843" s="79"/>
      <c r="AC843" s="130"/>
      <c r="AE843" s="106"/>
    </row>
    <row r="844">
      <c r="C844" s="79"/>
      <c r="D844" s="79"/>
      <c r="E844" s="79"/>
      <c r="P844" s="79"/>
      <c r="Q844" s="79"/>
      <c r="R844" s="79"/>
      <c r="Y844" s="79"/>
      <c r="AC844" s="130"/>
      <c r="AE844" s="106"/>
    </row>
    <row r="845">
      <c r="C845" s="79"/>
      <c r="D845" s="79"/>
      <c r="E845" s="79"/>
      <c r="P845" s="79"/>
      <c r="Q845" s="79"/>
      <c r="R845" s="79"/>
      <c r="Y845" s="79"/>
      <c r="AC845" s="130"/>
      <c r="AE845" s="106"/>
    </row>
    <row r="846">
      <c r="C846" s="79"/>
      <c r="D846" s="79"/>
      <c r="E846" s="79"/>
      <c r="P846" s="79"/>
      <c r="Q846" s="79"/>
      <c r="R846" s="79"/>
      <c r="Y846" s="79"/>
      <c r="AC846" s="130"/>
      <c r="AE846" s="106"/>
    </row>
    <row r="847">
      <c r="C847" s="79"/>
      <c r="D847" s="79"/>
      <c r="E847" s="79"/>
      <c r="P847" s="79"/>
      <c r="Q847" s="79"/>
      <c r="R847" s="79"/>
      <c r="Y847" s="79"/>
      <c r="AC847" s="130"/>
      <c r="AE847" s="106"/>
    </row>
    <row r="848">
      <c r="C848" s="79"/>
      <c r="D848" s="79"/>
      <c r="E848" s="79"/>
      <c r="P848" s="79"/>
      <c r="Q848" s="79"/>
      <c r="R848" s="79"/>
      <c r="Y848" s="79"/>
      <c r="AC848" s="130"/>
      <c r="AE848" s="106"/>
    </row>
    <row r="849">
      <c r="C849" s="79"/>
      <c r="D849" s="79"/>
      <c r="E849" s="79"/>
      <c r="P849" s="79"/>
      <c r="Q849" s="79"/>
      <c r="R849" s="79"/>
      <c r="Y849" s="79"/>
      <c r="AC849" s="130"/>
      <c r="AE849" s="106"/>
    </row>
    <row r="850">
      <c r="C850" s="79"/>
      <c r="D850" s="79"/>
      <c r="E850" s="79"/>
      <c r="P850" s="79"/>
      <c r="Q850" s="79"/>
      <c r="R850" s="79"/>
      <c r="Y850" s="79"/>
      <c r="AC850" s="130"/>
      <c r="AE850" s="106"/>
    </row>
    <row r="851">
      <c r="C851" s="79"/>
      <c r="D851" s="79"/>
      <c r="E851" s="79"/>
      <c r="P851" s="79"/>
      <c r="Q851" s="79"/>
      <c r="R851" s="79"/>
      <c r="Y851" s="79"/>
      <c r="AC851" s="130"/>
      <c r="AE851" s="106"/>
    </row>
    <row r="852">
      <c r="C852" s="79"/>
      <c r="D852" s="79"/>
      <c r="E852" s="79"/>
      <c r="P852" s="79"/>
      <c r="Q852" s="79"/>
      <c r="R852" s="79"/>
      <c r="Y852" s="79"/>
      <c r="AC852" s="130"/>
      <c r="AE852" s="106"/>
    </row>
    <row r="853">
      <c r="C853" s="79"/>
      <c r="D853" s="79"/>
      <c r="E853" s="79"/>
      <c r="P853" s="79"/>
      <c r="Q853" s="79"/>
      <c r="R853" s="79"/>
      <c r="Y853" s="79"/>
      <c r="AC853" s="130"/>
      <c r="AE853" s="106"/>
    </row>
    <row r="854">
      <c r="C854" s="79"/>
      <c r="D854" s="79"/>
      <c r="E854" s="79"/>
      <c r="P854" s="79"/>
      <c r="Q854" s="79"/>
      <c r="R854" s="79"/>
      <c r="Y854" s="79"/>
      <c r="AC854" s="130"/>
      <c r="AE854" s="106"/>
    </row>
    <row r="855">
      <c r="C855" s="79"/>
      <c r="D855" s="79"/>
      <c r="E855" s="79"/>
      <c r="P855" s="79"/>
      <c r="Q855" s="79"/>
      <c r="R855" s="79"/>
      <c r="Y855" s="79"/>
      <c r="AC855" s="130"/>
      <c r="AE855" s="106"/>
    </row>
    <row r="856">
      <c r="C856" s="79"/>
      <c r="D856" s="79"/>
      <c r="E856" s="79"/>
      <c r="P856" s="79"/>
      <c r="Q856" s="79"/>
      <c r="R856" s="79"/>
      <c r="Y856" s="79"/>
      <c r="AC856" s="130"/>
      <c r="AE856" s="106"/>
    </row>
    <row r="857">
      <c r="C857" s="79"/>
      <c r="D857" s="79"/>
      <c r="E857" s="79"/>
      <c r="P857" s="79"/>
      <c r="Q857" s="79"/>
      <c r="R857" s="79"/>
      <c r="Y857" s="79"/>
      <c r="AC857" s="130"/>
      <c r="AE857" s="106"/>
    </row>
    <row r="858">
      <c r="C858" s="79"/>
      <c r="D858" s="79"/>
      <c r="E858" s="79"/>
      <c r="P858" s="79"/>
      <c r="Q858" s="79"/>
      <c r="R858" s="79"/>
      <c r="Y858" s="79"/>
      <c r="AC858" s="130"/>
      <c r="AE858" s="106"/>
    </row>
    <row r="859">
      <c r="C859" s="79"/>
      <c r="D859" s="79"/>
      <c r="E859" s="79"/>
      <c r="P859" s="79"/>
      <c r="Q859" s="79"/>
      <c r="R859" s="79"/>
      <c r="Y859" s="79"/>
      <c r="AC859" s="130"/>
      <c r="AE859" s="106"/>
    </row>
    <row r="860">
      <c r="C860" s="79"/>
      <c r="D860" s="79"/>
      <c r="E860" s="79"/>
      <c r="P860" s="79"/>
      <c r="Q860" s="79"/>
      <c r="R860" s="79"/>
      <c r="Y860" s="79"/>
      <c r="AC860" s="130"/>
      <c r="AE860" s="106"/>
    </row>
    <row r="861">
      <c r="C861" s="79"/>
      <c r="D861" s="79"/>
      <c r="E861" s="79"/>
      <c r="P861" s="79"/>
      <c r="Q861" s="79"/>
      <c r="R861" s="79"/>
      <c r="Y861" s="79"/>
      <c r="AC861" s="130"/>
      <c r="AE861" s="106"/>
    </row>
    <row r="862">
      <c r="C862" s="79"/>
      <c r="D862" s="79"/>
      <c r="E862" s="79"/>
      <c r="P862" s="79"/>
      <c r="Q862" s="79"/>
      <c r="R862" s="79"/>
      <c r="Y862" s="79"/>
      <c r="AC862" s="130"/>
      <c r="AE862" s="106"/>
    </row>
    <row r="863">
      <c r="C863" s="79"/>
      <c r="D863" s="79"/>
      <c r="E863" s="79"/>
      <c r="P863" s="79"/>
      <c r="Q863" s="79"/>
      <c r="R863" s="79"/>
      <c r="Y863" s="79"/>
      <c r="AC863" s="130"/>
      <c r="AE863" s="106"/>
    </row>
    <row r="864">
      <c r="C864" s="79"/>
      <c r="D864" s="79"/>
      <c r="E864" s="79"/>
      <c r="P864" s="79"/>
      <c r="Q864" s="79"/>
      <c r="R864" s="79"/>
      <c r="Y864" s="79"/>
      <c r="AC864" s="130"/>
      <c r="AE864" s="106"/>
    </row>
    <row r="865">
      <c r="C865" s="79"/>
      <c r="D865" s="79"/>
      <c r="E865" s="79"/>
      <c r="P865" s="79"/>
      <c r="Q865" s="79"/>
      <c r="R865" s="79"/>
      <c r="Y865" s="79"/>
      <c r="AC865" s="130"/>
      <c r="AE865" s="106"/>
    </row>
    <row r="866">
      <c r="C866" s="79"/>
      <c r="D866" s="79"/>
      <c r="E866" s="79"/>
      <c r="P866" s="79"/>
      <c r="Q866" s="79"/>
      <c r="R866" s="79"/>
      <c r="Y866" s="79"/>
      <c r="AC866" s="130"/>
      <c r="AE866" s="106"/>
    </row>
    <row r="867">
      <c r="C867" s="79"/>
      <c r="D867" s="79"/>
      <c r="E867" s="79"/>
      <c r="P867" s="79"/>
      <c r="Q867" s="79"/>
      <c r="R867" s="79"/>
      <c r="Y867" s="79"/>
      <c r="AC867" s="130"/>
      <c r="AE867" s="106"/>
    </row>
    <row r="868">
      <c r="C868" s="79"/>
      <c r="D868" s="79"/>
      <c r="E868" s="79"/>
      <c r="P868" s="79"/>
      <c r="Q868" s="79"/>
      <c r="R868" s="79"/>
      <c r="Y868" s="79"/>
      <c r="AC868" s="130"/>
      <c r="AE868" s="106"/>
    </row>
    <row r="869">
      <c r="C869" s="79"/>
      <c r="D869" s="79"/>
      <c r="E869" s="79"/>
      <c r="P869" s="79"/>
      <c r="Q869" s="79"/>
      <c r="R869" s="79"/>
      <c r="Y869" s="79"/>
      <c r="AC869" s="130"/>
      <c r="AE869" s="106"/>
    </row>
    <row r="870">
      <c r="C870" s="79"/>
      <c r="D870" s="79"/>
      <c r="E870" s="79"/>
      <c r="P870" s="79"/>
      <c r="Q870" s="79"/>
      <c r="R870" s="79"/>
      <c r="Y870" s="79"/>
      <c r="AC870" s="130"/>
      <c r="AE870" s="106"/>
    </row>
    <row r="871">
      <c r="C871" s="79"/>
      <c r="D871" s="79"/>
      <c r="E871" s="79"/>
      <c r="P871" s="79"/>
      <c r="Q871" s="79"/>
      <c r="R871" s="79"/>
      <c r="Y871" s="79"/>
      <c r="AC871" s="130"/>
      <c r="AE871" s="106"/>
    </row>
    <row r="872">
      <c r="C872" s="79"/>
      <c r="D872" s="79"/>
      <c r="E872" s="79"/>
      <c r="P872" s="79"/>
      <c r="Q872" s="79"/>
      <c r="R872" s="79"/>
      <c r="Y872" s="79"/>
      <c r="AC872" s="130"/>
      <c r="AE872" s="106"/>
    </row>
    <row r="873">
      <c r="C873" s="79"/>
      <c r="D873" s="79"/>
      <c r="E873" s="79"/>
      <c r="P873" s="79"/>
      <c r="Q873" s="79"/>
      <c r="R873" s="79"/>
      <c r="Y873" s="79"/>
      <c r="AC873" s="130"/>
      <c r="AE873" s="106"/>
    </row>
    <row r="874">
      <c r="C874" s="79"/>
      <c r="D874" s="79"/>
      <c r="E874" s="79"/>
      <c r="P874" s="79"/>
      <c r="Q874" s="79"/>
      <c r="R874" s="79"/>
      <c r="Y874" s="79"/>
      <c r="AC874" s="130"/>
      <c r="AE874" s="106"/>
    </row>
    <row r="875">
      <c r="C875" s="79"/>
      <c r="D875" s="79"/>
      <c r="E875" s="79"/>
      <c r="P875" s="79"/>
      <c r="Q875" s="79"/>
      <c r="R875" s="79"/>
      <c r="Y875" s="79"/>
      <c r="AC875" s="130"/>
      <c r="AE875" s="106"/>
    </row>
    <row r="876">
      <c r="C876" s="79"/>
      <c r="D876" s="79"/>
      <c r="E876" s="79"/>
      <c r="P876" s="79"/>
      <c r="Q876" s="79"/>
      <c r="R876" s="79"/>
      <c r="Y876" s="79"/>
      <c r="AC876" s="130"/>
      <c r="AE876" s="106"/>
    </row>
    <row r="877">
      <c r="C877" s="79"/>
      <c r="D877" s="79"/>
      <c r="E877" s="79"/>
      <c r="P877" s="79"/>
      <c r="Q877" s="79"/>
      <c r="R877" s="79"/>
      <c r="Y877" s="79"/>
      <c r="AC877" s="130"/>
      <c r="AE877" s="106"/>
    </row>
    <row r="878">
      <c r="C878" s="79"/>
      <c r="D878" s="79"/>
      <c r="E878" s="79"/>
      <c r="P878" s="79"/>
      <c r="Q878" s="79"/>
      <c r="R878" s="79"/>
      <c r="Y878" s="79"/>
      <c r="AC878" s="130"/>
      <c r="AE878" s="106"/>
    </row>
    <row r="879">
      <c r="C879" s="79"/>
      <c r="D879" s="79"/>
      <c r="E879" s="79"/>
      <c r="P879" s="79"/>
      <c r="Q879" s="79"/>
      <c r="R879" s="79"/>
      <c r="Y879" s="79"/>
      <c r="AC879" s="130"/>
      <c r="AE879" s="106"/>
    </row>
    <row r="880">
      <c r="C880" s="79"/>
      <c r="D880" s="79"/>
      <c r="E880" s="79"/>
      <c r="P880" s="79"/>
      <c r="Q880" s="79"/>
      <c r="R880" s="79"/>
      <c r="Y880" s="79"/>
      <c r="AC880" s="130"/>
      <c r="AE880" s="106"/>
    </row>
    <row r="881">
      <c r="C881" s="79"/>
      <c r="D881" s="79"/>
      <c r="E881" s="79"/>
      <c r="P881" s="79"/>
      <c r="Q881" s="79"/>
      <c r="R881" s="79"/>
      <c r="Y881" s="79"/>
      <c r="AC881" s="130"/>
      <c r="AE881" s="106"/>
    </row>
    <row r="882">
      <c r="C882" s="79"/>
      <c r="D882" s="79"/>
      <c r="E882" s="79"/>
      <c r="P882" s="79"/>
      <c r="Q882" s="79"/>
      <c r="R882" s="79"/>
      <c r="Y882" s="79"/>
      <c r="AC882" s="130"/>
      <c r="AE882" s="106"/>
    </row>
    <row r="883">
      <c r="C883" s="79"/>
      <c r="D883" s="79"/>
      <c r="E883" s="79"/>
      <c r="P883" s="79"/>
      <c r="Q883" s="79"/>
      <c r="R883" s="79"/>
      <c r="Y883" s="79"/>
      <c r="AC883" s="130"/>
      <c r="AE883" s="106"/>
    </row>
    <row r="884">
      <c r="C884" s="79"/>
      <c r="D884" s="79"/>
      <c r="E884" s="79"/>
      <c r="P884" s="79"/>
      <c r="Q884" s="79"/>
      <c r="R884" s="79"/>
      <c r="Y884" s="79"/>
      <c r="AC884" s="130"/>
      <c r="AE884" s="106"/>
    </row>
    <row r="885">
      <c r="C885" s="79"/>
      <c r="D885" s="79"/>
      <c r="E885" s="79"/>
      <c r="P885" s="79"/>
      <c r="Q885" s="79"/>
      <c r="R885" s="79"/>
      <c r="Y885" s="79"/>
      <c r="AC885" s="130"/>
      <c r="AE885" s="106"/>
    </row>
    <row r="886">
      <c r="C886" s="79"/>
      <c r="D886" s="79"/>
      <c r="E886" s="79"/>
      <c r="P886" s="79"/>
      <c r="Q886" s="79"/>
      <c r="R886" s="79"/>
      <c r="Y886" s="79"/>
      <c r="AC886" s="130"/>
      <c r="AE886" s="106"/>
    </row>
    <row r="887">
      <c r="C887" s="79"/>
      <c r="D887" s="79"/>
      <c r="E887" s="79"/>
      <c r="P887" s="79"/>
      <c r="Q887" s="79"/>
      <c r="R887" s="79"/>
      <c r="Y887" s="79"/>
      <c r="AC887" s="130"/>
      <c r="AE887" s="106"/>
    </row>
  </sheetData>
  <autoFilter ref="$A$41:$F$92">
    <sortState ref="A41:F92">
      <sortCondition descending="1" sortBy="cellColor" ref="E41:E92" dxfId="1"/>
      <sortCondition descending="1" sortBy="cellColor" ref="C41:C92" dxfId="1"/>
      <sortCondition descending="1" sortBy="cellColor" ref="A41:A92" dxfId="1"/>
    </sortState>
  </autoFilter>
  <mergeCells count="1">
    <mergeCell ref="B38:E38"/>
  </mergeCells>
  <drawing r:id="rId2"/>
  <legacyDrawing r:id="rId3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3" max="3" width="17.38"/>
    <col customWidth="1" min="5" max="5" width="15.63"/>
    <col customWidth="1" min="7" max="7" width="13.5"/>
    <col customWidth="1" min="8" max="8" width="13.25"/>
    <col customWidth="1" min="18" max="18" width="27.38"/>
    <col customWidth="1" min="26" max="26" width="14.63"/>
    <col customWidth="1" min="31" max="31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4</v>
      </c>
      <c r="J1" s="2" t="s">
        <v>5</v>
      </c>
      <c r="K1" s="2" t="s">
        <v>303</v>
      </c>
      <c r="L1" s="2" t="s">
        <v>6</v>
      </c>
      <c r="M1" s="2" t="s">
        <v>12</v>
      </c>
      <c r="N1" s="2" t="s">
        <v>49</v>
      </c>
      <c r="O1" s="2" t="s">
        <v>42</v>
      </c>
      <c r="P1" s="105" t="s">
        <v>484</v>
      </c>
      <c r="Q1" s="105" t="s">
        <v>9</v>
      </c>
      <c r="R1" s="105" t="s">
        <v>304</v>
      </c>
      <c r="S1" s="2" t="s">
        <v>37</v>
      </c>
      <c r="T1" s="2" t="s">
        <v>10</v>
      </c>
      <c r="U1" s="2" t="s">
        <v>164</v>
      </c>
      <c r="V1" s="105" t="s">
        <v>40</v>
      </c>
      <c r="W1" s="2" t="s">
        <v>83</v>
      </c>
      <c r="X1" s="2" t="s">
        <v>204</v>
      </c>
      <c r="Y1" s="105" t="s">
        <v>205</v>
      </c>
      <c r="Z1" s="2" t="s">
        <v>206</v>
      </c>
      <c r="AA1" s="2" t="s">
        <v>305</v>
      </c>
      <c r="AB1" s="3" t="s">
        <v>13</v>
      </c>
      <c r="AC1" s="3" t="s">
        <v>14</v>
      </c>
      <c r="AD1" s="3" t="s">
        <v>15</v>
      </c>
      <c r="AE1" s="106"/>
      <c r="AF1" s="265" t="s">
        <v>306</v>
      </c>
      <c r="AG1" s="266" t="s">
        <v>80</v>
      </c>
    </row>
    <row r="2">
      <c r="A2" s="74">
        <v>45509.0</v>
      </c>
      <c r="B2" s="93">
        <f>1985.56-101.1-22.4-33.83-13.15-16.15-286.32-36.42-11.58-56.84-63.11-18.61-23.58-31.68-83.58+757.21-190.95-24.91</f>
        <v>1728.56</v>
      </c>
      <c r="C2" s="93"/>
      <c r="D2" s="93"/>
      <c r="E2" s="93"/>
      <c r="F2" s="93"/>
      <c r="G2" s="93">
        <v>180.0</v>
      </c>
      <c r="H2" s="93"/>
      <c r="I2" s="93">
        <f>544.21+218+7.95</f>
        <v>770.16</v>
      </c>
      <c r="J2" s="93"/>
      <c r="K2" s="93"/>
      <c r="L2" s="93"/>
      <c r="M2" s="93"/>
      <c r="N2" s="93">
        <f>168+168</f>
        <v>336</v>
      </c>
      <c r="O2" s="93"/>
      <c r="P2" s="93"/>
      <c r="Q2" s="93"/>
      <c r="R2" s="93"/>
      <c r="S2" s="72"/>
      <c r="T2" s="93">
        <v>257.9</v>
      </c>
      <c r="U2" s="93"/>
      <c r="V2" s="93"/>
      <c r="W2" s="93"/>
      <c r="X2" s="93"/>
      <c r="Y2" s="93"/>
      <c r="Z2" s="93"/>
      <c r="AA2" s="386"/>
      <c r="AB2" s="107">
        <f>SUM(B2:AA2)</f>
        <v>3272.62</v>
      </c>
      <c r="AC2" s="158">
        <f>3078</f>
        <v>3078</v>
      </c>
      <c r="AD2" s="59">
        <f t="shared" ref="AD2:AD8" si="1">AB2/AC2</f>
        <v>1.06322937</v>
      </c>
      <c r="AE2" s="109">
        <f t="shared" ref="AE2:AE8" si="2">A2</f>
        <v>45509</v>
      </c>
      <c r="AF2" s="267"/>
      <c r="AG2" s="268">
        <f t="shared" ref="AG2:AG8" si="3">AC2-AF2</f>
        <v>3078</v>
      </c>
    </row>
    <row r="3">
      <c r="A3" s="74">
        <f t="shared" ref="A3:A8" si="4">A2+1</f>
        <v>45510</v>
      </c>
      <c r="B3" s="93">
        <v>293.22</v>
      </c>
      <c r="C3" s="93"/>
      <c r="D3" s="93"/>
      <c r="E3" s="93"/>
      <c r="F3" s="93"/>
      <c r="G3" s="93"/>
      <c r="H3" s="168"/>
      <c r="I3" s="93" t="s">
        <v>540</v>
      </c>
      <c r="J3" s="93"/>
      <c r="K3" s="93"/>
      <c r="L3" s="93"/>
      <c r="M3" s="93"/>
      <c r="N3" s="93"/>
      <c r="O3" s="93"/>
      <c r="P3" s="93"/>
      <c r="Q3" s="93"/>
      <c r="R3" s="93">
        <v>112.0</v>
      </c>
      <c r="S3" s="93"/>
      <c r="T3" s="93"/>
      <c r="U3" s="93"/>
      <c r="V3" s="93"/>
      <c r="W3" s="93"/>
      <c r="X3" s="93"/>
      <c r="Y3" s="93"/>
      <c r="Z3" s="93"/>
      <c r="AA3" s="326"/>
      <c r="AB3" s="107">
        <f t="shared" ref="AB3:AB8" si="5">SUM(B3:Z3)</f>
        <v>405.22</v>
      </c>
      <c r="AC3" s="158">
        <f>4354</f>
        <v>4354</v>
      </c>
      <c r="AD3" s="59">
        <f t="shared" si="1"/>
        <v>0.09306844281</v>
      </c>
      <c r="AE3" s="109">
        <f t="shared" si="2"/>
        <v>45510</v>
      </c>
      <c r="AF3" s="267"/>
      <c r="AG3" s="268">
        <f t="shared" si="3"/>
        <v>4354</v>
      </c>
    </row>
    <row r="4">
      <c r="A4" s="74">
        <f t="shared" si="4"/>
        <v>45511</v>
      </c>
      <c r="B4" s="93">
        <f>1300.96-49.25-13.92-220.38-16.23-27.83-57.55-39.71-62.27-108.62+114.03</f>
        <v>819.23</v>
      </c>
      <c r="C4" s="93">
        <v>439.55</v>
      </c>
      <c r="D4" s="93">
        <v>297.52</v>
      </c>
      <c r="E4" s="93"/>
      <c r="F4" s="93"/>
      <c r="G4" s="93">
        <v>180.0</v>
      </c>
      <c r="H4" s="168"/>
      <c r="I4" s="93"/>
      <c r="J4" s="93"/>
      <c r="K4" s="93"/>
      <c r="L4" s="93">
        <v>42.0</v>
      </c>
      <c r="M4" s="93"/>
      <c r="N4" s="93"/>
      <c r="O4" s="93"/>
      <c r="P4" s="93"/>
      <c r="Q4" s="93"/>
      <c r="R4" s="93">
        <v>93.0</v>
      </c>
      <c r="S4" s="160"/>
      <c r="T4" s="93"/>
      <c r="U4" s="93"/>
      <c r="V4" s="93"/>
      <c r="W4" s="93"/>
      <c r="X4" s="93"/>
      <c r="Y4" s="93"/>
      <c r="Z4" s="101"/>
      <c r="AA4" s="326"/>
      <c r="AB4" s="107">
        <f t="shared" si="5"/>
        <v>1871.3</v>
      </c>
      <c r="AC4" s="380">
        <v>6493</v>
      </c>
      <c r="AD4" s="59">
        <f t="shared" si="1"/>
        <v>0.2882026798</v>
      </c>
      <c r="AE4" s="109">
        <f t="shared" si="2"/>
        <v>45511</v>
      </c>
      <c r="AF4" s="267"/>
      <c r="AG4" s="268">
        <f t="shared" si="3"/>
        <v>6493</v>
      </c>
    </row>
    <row r="5">
      <c r="A5" s="74">
        <f t="shared" si="4"/>
        <v>45512</v>
      </c>
      <c r="B5" s="93">
        <f>1300.96-52.23-24.91-25.3-79.92-24.91-41.69-359.29-22.04-8.11</f>
        <v>662.56</v>
      </c>
      <c r="C5" s="93"/>
      <c r="D5" s="93">
        <f>50+717.97-582.82</f>
        <v>185.15</v>
      </c>
      <c r="E5" s="93"/>
      <c r="F5" s="180">
        <v>513.86</v>
      </c>
      <c r="G5" s="93"/>
      <c r="H5" s="387">
        <v>255.97</v>
      </c>
      <c r="I5" s="93"/>
      <c r="J5" s="93"/>
      <c r="K5" s="93"/>
      <c r="L5" s="93"/>
      <c r="M5" s="93"/>
      <c r="N5" s="93"/>
      <c r="O5" s="93"/>
      <c r="P5" s="101"/>
      <c r="Q5" s="93"/>
      <c r="R5" s="93"/>
      <c r="S5" s="93"/>
      <c r="T5" s="93"/>
      <c r="U5" s="93"/>
      <c r="V5" s="93"/>
      <c r="W5" s="93"/>
      <c r="X5" s="93"/>
      <c r="Y5" s="101"/>
      <c r="Z5" s="101"/>
      <c r="AA5" s="327"/>
      <c r="AB5" s="7">
        <f t="shared" si="5"/>
        <v>1617.54</v>
      </c>
      <c r="AC5" s="380">
        <f>773+6130</f>
        <v>6903</v>
      </c>
      <c r="AD5" s="59">
        <f t="shared" si="1"/>
        <v>0.2343242069</v>
      </c>
      <c r="AE5" s="109">
        <f t="shared" si="2"/>
        <v>45512</v>
      </c>
      <c r="AF5" s="267"/>
      <c r="AG5" s="268">
        <f t="shared" si="3"/>
        <v>6903</v>
      </c>
    </row>
    <row r="6">
      <c r="A6" s="74">
        <f t="shared" si="4"/>
        <v>45513</v>
      </c>
      <c r="B6" s="93">
        <f>668.44-31.55-61.39-23.28-33.91</f>
        <v>518.31</v>
      </c>
      <c r="C6" s="361">
        <f>437.6-64-28.5</f>
        <v>345.1</v>
      </c>
      <c r="D6" s="361">
        <v>391.4</v>
      </c>
      <c r="E6" s="93"/>
      <c r="F6" s="93"/>
      <c r="G6" s="93"/>
      <c r="H6" s="160"/>
      <c r="I6" s="93"/>
      <c r="J6" s="93"/>
      <c r="K6" s="93"/>
      <c r="L6" s="93">
        <f>289.4-123</f>
        <v>166.4</v>
      </c>
      <c r="M6" s="250">
        <v>47.8</v>
      </c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327"/>
      <c r="AB6" s="7">
        <f t="shared" si="5"/>
        <v>1469.01</v>
      </c>
      <c r="AC6" s="380">
        <f>746+8476</f>
        <v>9222</v>
      </c>
      <c r="AD6" s="59">
        <f t="shared" si="1"/>
        <v>0.1592940794</v>
      </c>
      <c r="AE6" s="109">
        <f t="shared" si="2"/>
        <v>45513</v>
      </c>
      <c r="AF6" s="267"/>
      <c r="AG6" s="268">
        <f t="shared" si="3"/>
        <v>9222</v>
      </c>
    </row>
    <row r="7">
      <c r="A7" s="74">
        <f t="shared" si="4"/>
        <v>45514</v>
      </c>
      <c r="B7" s="93">
        <f>1165.37-75.75-58.26-45.14-62.4-127.3</f>
        <v>796.52</v>
      </c>
      <c r="C7" s="387">
        <v>45.8</v>
      </c>
      <c r="D7" s="180">
        <v>639.73</v>
      </c>
      <c r="E7" s="93">
        <v>165.0</v>
      </c>
      <c r="F7" s="93"/>
      <c r="G7" s="93">
        <v>180.0</v>
      </c>
      <c r="H7" s="250">
        <f>406.29-406.29</f>
        <v>0</v>
      </c>
      <c r="I7" s="93"/>
      <c r="J7" s="374"/>
      <c r="K7" s="93"/>
      <c r="L7" s="93"/>
      <c r="M7" s="93"/>
      <c r="N7" s="93"/>
      <c r="O7" s="93"/>
      <c r="P7" s="101"/>
      <c r="Q7" s="93"/>
      <c r="R7" s="93"/>
      <c r="S7" s="101"/>
      <c r="T7" s="93"/>
      <c r="U7" s="93"/>
      <c r="V7" s="93"/>
      <c r="W7" s="93"/>
      <c r="X7" s="93"/>
      <c r="Y7" s="101"/>
      <c r="Z7" s="93"/>
      <c r="AA7" s="327"/>
      <c r="AB7" s="7">
        <f t="shared" si="5"/>
        <v>1827.05</v>
      </c>
      <c r="AC7" s="380">
        <f>2199+9574</f>
        <v>11773</v>
      </c>
      <c r="AD7" s="59">
        <f t="shared" si="1"/>
        <v>0.1551898412</v>
      </c>
      <c r="AE7" s="109">
        <f t="shared" si="2"/>
        <v>45514</v>
      </c>
      <c r="AF7" s="267"/>
      <c r="AG7" s="268">
        <f t="shared" si="3"/>
        <v>11773</v>
      </c>
    </row>
    <row r="8">
      <c r="A8" s="74">
        <f t="shared" si="4"/>
        <v>45515</v>
      </c>
      <c r="B8" s="93"/>
      <c r="C8" s="93"/>
      <c r="D8" s="180">
        <v>460.53</v>
      </c>
      <c r="E8" s="112"/>
      <c r="F8" s="93"/>
      <c r="G8" s="10"/>
      <c r="H8" s="93"/>
      <c r="I8" s="93"/>
      <c r="J8" s="344">
        <v>866.8</v>
      </c>
      <c r="K8" s="344">
        <f>1218.8-609.4</f>
        <v>609.4</v>
      </c>
      <c r="L8" s="112"/>
      <c r="M8" s="112"/>
      <c r="N8" s="93"/>
      <c r="O8" s="374"/>
      <c r="P8" s="112"/>
      <c r="Q8" s="93"/>
      <c r="R8" s="93"/>
      <c r="S8" s="344">
        <v>346.0</v>
      </c>
      <c r="T8" s="374"/>
      <c r="U8" s="93"/>
      <c r="V8" s="112"/>
      <c r="W8" s="112"/>
      <c r="X8" s="112"/>
      <c r="Y8" s="112"/>
      <c r="Z8" s="112"/>
      <c r="AA8" s="93"/>
      <c r="AB8" s="7">
        <f t="shared" si="5"/>
        <v>2282.73</v>
      </c>
      <c r="AC8" s="380">
        <f>1755+5000.82</f>
        <v>6755.82</v>
      </c>
      <c r="AD8" s="59">
        <f t="shared" si="1"/>
        <v>0.3378908852</v>
      </c>
      <c r="AE8" s="109">
        <f t="shared" si="2"/>
        <v>45515</v>
      </c>
      <c r="AF8" s="267"/>
      <c r="AG8" s="268">
        <f t="shared" si="3"/>
        <v>6755.82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AC9" s="129"/>
      <c r="AE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AC10" s="129"/>
      <c r="AE10" s="106"/>
    </row>
    <row r="11">
      <c r="A11" s="165" t="s">
        <v>194</v>
      </c>
      <c r="B11" s="93">
        <f>22.4+33.83+13.15+16.15+36.42+56.84+13.92+16.23+27.83+57.55+39.71+62.27+108.62+25.3+79.92+24.91+41.69+22.04+31.55+61.39+75.75+58.26+45.14+127.3</f>
        <v>1098.17</v>
      </c>
      <c r="C11" s="93">
        <f>64+28.5</f>
        <v>92.5</v>
      </c>
      <c r="D11" s="93"/>
      <c r="E11" s="167"/>
      <c r="F11" s="168"/>
      <c r="G11" s="168"/>
      <c r="H11" s="166">
        <v>298.99</v>
      </c>
      <c r="I11" s="166"/>
      <c r="J11" s="93"/>
      <c r="K11" s="168"/>
      <c r="L11" s="93"/>
      <c r="M11" s="166"/>
      <c r="N11" s="166"/>
      <c r="O11" s="168"/>
      <c r="P11" s="168"/>
      <c r="Q11" s="168"/>
      <c r="R11" s="168"/>
      <c r="S11" s="168"/>
      <c r="T11" s="168"/>
      <c r="U11" s="168"/>
      <c r="V11" s="168"/>
      <c r="W11" s="1"/>
      <c r="X11" s="168"/>
      <c r="Y11" s="168"/>
      <c r="Z11" s="1"/>
      <c r="AA11" s="1"/>
      <c r="AB11" s="1"/>
      <c r="AC11" s="169"/>
      <c r="AD11" s="1"/>
      <c r="AE11" s="170"/>
    </row>
    <row r="12">
      <c r="A12" s="165" t="s">
        <v>195</v>
      </c>
      <c r="B12" s="93">
        <f>+286.32+63.11+190.95+52.23+24.91+359.29+8.11+23.28+33.91+62.4</f>
        <v>1104.51</v>
      </c>
      <c r="C12" s="93"/>
      <c r="D12" s="93"/>
      <c r="E12" s="93"/>
      <c r="F12" s="93"/>
      <c r="G12" s="93"/>
      <c r="H12" s="180">
        <f>67.24+67.24</f>
        <v>134.48</v>
      </c>
      <c r="I12" s="93"/>
      <c r="J12" s="93">
        <v>190.0</v>
      </c>
      <c r="K12" s="93"/>
      <c r="L12" s="93"/>
      <c r="M12" s="93"/>
      <c r="N12" s="166">
        <f>144+156</f>
        <v>300</v>
      </c>
      <c r="O12" s="166"/>
      <c r="P12" s="168"/>
      <c r="Q12" s="168"/>
      <c r="R12" s="168"/>
      <c r="S12" s="168"/>
      <c r="T12" s="166"/>
      <c r="U12" s="168"/>
      <c r="V12" s="168"/>
      <c r="W12" s="1"/>
      <c r="X12" s="93"/>
      <c r="Y12" s="168"/>
      <c r="Z12" s="1"/>
      <c r="AA12" s="1"/>
      <c r="AB12" s="1"/>
      <c r="AC12" s="171"/>
      <c r="AD12" s="1"/>
      <c r="AE12" s="170"/>
    </row>
    <row r="13">
      <c r="A13" s="172" t="s">
        <v>541</v>
      </c>
      <c r="B13" s="93">
        <f>101.1+31.68+83.59+119.92+24.91</f>
        <v>361.2</v>
      </c>
      <c r="C13" s="93"/>
      <c r="D13" s="93">
        <v>175.52</v>
      </c>
      <c r="E13" s="168"/>
      <c r="F13" s="166"/>
      <c r="G13" s="166"/>
      <c r="H13" s="93">
        <v>693.0</v>
      </c>
      <c r="I13" s="166"/>
      <c r="J13" s="93"/>
      <c r="K13" s="166"/>
      <c r="L13" s="168"/>
      <c r="M13" s="168"/>
      <c r="N13" s="166"/>
      <c r="O13" s="168"/>
      <c r="P13" s="166"/>
      <c r="Q13" s="168"/>
      <c r="R13" s="93">
        <v>256.0</v>
      </c>
      <c r="S13" s="168"/>
      <c r="T13" s="166"/>
      <c r="U13" s="96"/>
      <c r="V13" s="1"/>
      <c r="W13" s="1"/>
      <c r="X13" s="168"/>
      <c r="Y13" s="168"/>
      <c r="Z13" s="1"/>
      <c r="AA13" s="1"/>
      <c r="AB13" s="1"/>
      <c r="AC13" s="174"/>
      <c r="AD13" s="1"/>
      <c r="AE13" s="170"/>
    </row>
    <row r="14">
      <c r="A14" s="172" t="s">
        <v>197</v>
      </c>
      <c r="B14" s="93">
        <v>11.58</v>
      </c>
      <c r="C14" s="93"/>
      <c r="D14" s="93"/>
      <c r="E14" s="168"/>
      <c r="F14" s="166"/>
      <c r="G14" s="166"/>
      <c r="H14" s="168"/>
      <c r="I14" s="168"/>
      <c r="J14" s="93"/>
      <c r="K14" s="168"/>
      <c r="L14" s="168"/>
      <c r="M14" s="168"/>
      <c r="N14" s="166"/>
      <c r="O14" s="168"/>
      <c r="P14" s="168"/>
      <c r="Q14" s="168"/>
      <c r="R14" s="168"/>
      <c r="S14" s="168"/>
      <c r="T14" s="166"/>
      <c r="U14" s="1"/>
      <c r="V14" s="1"/>
      <c r="W14" s="1"/>
      <c r="X14" s="168"/>
      <c r="Y14" s="168"/>
      <c r="Z14" s="1"/>
      <c r="AA14" s="1"/>
      <c r="AB14" s="1"/>
      <c r="AC14" s="174"/>
      <c r="AD14" s="1"/>
      <c r="AE14" s="170"/>
    </row>
    <row r="15">
      <c r="A15" s="165" t="s">
        <v>198</v>
      </c>
      <c r="B15" s="93">
        <f>18.62+23.58+49.25</f>
        <v>91.45</v>
      </c>
      <c r="C15" s="93"/>
      <c r="D15" s="93"/>
      <c r="E15" s="168"/>
      <c r="F15" s="166"/>
      <c r="G15" s="166"/>
      <c r="H15" s="168"/>
      <c r="I15" s="168"/>
      <c r="J15" s="93"/>
      <c r="K15" s="168"/>
      <c r="L15" s="168"/>
      <c r="M15" s="168"/>
      <c r="N15" s="166"/>
      <c r="O15" s="168"/>
      <c r="P15" s="168"/>
      <c r="Q15" s="168"/>
      <c r="R15" s="168"/>
      <c r="S15" s="168"/>
      <c r="T15" s="166"/>
      <c r="U15" s="1"/>
      <c r="V15" s="1"/>
      <c r="W15" s="1"/>
      <c r="X15" s="168"/>
      <c r="Y15" s="168"/>
      <c r="Z15" s="1"/>
      <c r="AA15" s="1"/>
      <c r="AB15" s="1"/>
      <c r="AC15" s="174"/>
      <c r="AD15" s="1"/>
      <c r="AE15" s="170"/>
    </row>
    <row r="16">
      <c r="A16" s="91"/>
      <c r="B16" s="375"/>
      <c r="C16" s="79"/>
      <c r="D16" s="79"/>
      <c r="E16" s="79"/>
      <c r="F16" s="78"/>
      <c r="G16" s="78"/>
      <c r="H16" s="79"/>
      <c r="I16" s="78"/>
      <c r="J16" s="79"/>
      <c r="K16" s="79"/>
      <c r="L16" s="79"/>
      <c r="M16" s="79"/>
      <c r="N16" s="79"/>
      <c r="O16" s="79"/>
      <c r="P16" s="79"/>
      <c r="Q16" s="79"/>
      <c r="R16" s="79"/>
      <c r="Y16" s="79"/>
      <c r="AC16" s="131"/>
      <c r="AE16" s="106"/>
    </row>
    <row r="17">
      <c r="A17" s="91"/>
      <c r="B17" s="92"/>
      <c r="C17" s="78"/>
      <c r="D17" s="78"/>
      <c r="E17" s="151"/>
      <c r="F17" s="201"/>
      <c r="G17" s="248">
        <v>457.0</v>
      </c>
      <c r="H17" s="204"/>
      <c r="I17" s="198"/>
      <c r="J17" s="201"/>
      <c r="K17" s="199"/>
      <c r="L17" s="199"/>
      <c r="M17" s="200"/>
      <c r="N17" s="202"/>
      <c r="O17" s="198"/>
      <c r="P17" s="79"/>
      <c r="Q17" s="198"/>
      <c r="R17" s="198"/>
      <c r="U17" s="198"/>
      <c r="V17" s="198"/>
      <c r="W17" s="198"/>
      <c r="X17" s="199"/>
      <c r="Y17" s="79"/>
      <c r="AC17" s="131"/>
      <c r="AE17" s="106"/>
    </row>
    <row r="18">
      <c r="A18" s="4" t="s">
        <v>22</v>
      </c>
      <c r="B18" s="11">
        <v>10000.0</v>
      </c>
      <c r="C18" s="79"/>
      <c r="D18" s="79"/>
      <c r="E18" s="78"/>
      <c r="F18" s="213"/>
      <c r="G18" s="224">
        <v>1909.0</v>
      </c>
      <c r="H18" s="192"/>
      <c r="K18" s="201"/>
      <c r="L18" s="201"/>
      <c r="M18" s="198"/>
      <c r="N18" s="200"/>
      <c r="O18" s="203"/>
      <c r="P18" s="79"/>
      <c r="Q18" s="198"/>
      <c r="R18" s="198"/>
      <c r="S18" s="204"/>
      <c r="U18" s="198"/>
      <c r="V18" s="198"/>
      <c r="W18" s="198"/>
      <c r="X18" s="201"/>
      <c r="Y18" s="79"/>
      <c r="AC18" s="131"/>
      <c r="AE18" s="106"/>
    </row>
    <row r="19">
      <c r="A19" s="4" t="s">
        <v>23</v>
      </c>
      <c r="B19" s="12">
        <f>SUM(B2:AA8)</f>
        <v>12745.47</v>
      </c>
      <c r="C19" s="192"/>
      <c r="D19" s="177"/>
      <c r="E19" s="151"/>
      <c r="F19" s="213"/>
      <c r="G19" s="224">
        <v>1664.0</v>
      </c>
      <c r="H19" s="224"/>
      <c r="I19" s="175"/>
      <c r="K19" s="384"/>
      <c r="L19" s="201"/>
      <c r="M19" s="201"/>
      <c r="N19" s="201"/>
      <c r="O19" s="203"/>
      <c r="P19" s="79"/>
      <c r="Q19" s="198"/>
      <c r="R19" s="198"/>
      <c r="S19" s="204"/>
      <c r="U19" s="198"/>
      <c r="V19" s="198"/>
      <c r="W19" s="198"/>
      <c r="X19" s="191"/>
      <c r="Y19" s="79"/>
      <c r="AC19" s="131"/>
      <c r="AE19" s="106"/>
    </row>
    <row r="20">
      <c r="A20" s="4" t="s">
        <v>24</v>
      </c>
      <c r="B20" s="12">
        <f> SUM(B18-B19)</f>
        <v>-2745.47</v>
      </c>
      <c r="C20" s="79"/>
      <c r="D20" s="78"/>
      <c r="E20" s="78"/>
      <c r="F20" s="201"/>
      <c r="G20" s="199">
        <v>3009.8</v>
      </c>
      <c r="H20" s="203"/>
      <c r="I20" s="203"/>
      <c r="K20" s="203"/>
      <c r="L20" s="199"/>
      <c r="M20" s="201"/>
      <c r="N20" s="200"/>
      <c r="O20" s="203"/>
      <c r="P20" s="79"/>
      <c r="Q20" s="198"/>
      <c r="R20" s="198"/>
      <c r="S20" s="204"/>
      <c r="U20" s="198"/>
      <c r="V20" s="198"/>
      <c r="W20" s="198"/>
      <c r="X20" s="203"/>
      <c r="Y20" s="79"/>
      <c r="AC20" s="131"/>
      <c r="AE20" s="106"/>
    </row>
    <row r="21">
      <c r="C21" s="79"/>
      <c r="D21" s="79"/>
      <c r="E21" s="78"/>
      <c r="F21" s="213"/>
      <c r="G21" s="201">
        <v>2260.0</v>
      </c>
      <c r="H21" s="224"/>
      <c r="I21" s="345"/>
      <c r="J21" s="203"/>
      <c r="K21" s="351"/>
      <c r="N21" s="198"/>
      <c r="O21" s="203"/>
      <c r="P21" s="79"/>
      <c r="Q21" s="198"/>
      <c r="R21" s="198"/>
      <c r="S21" s="204"/>
      <c r="U21" s="206"/>
      <c r="V21" s="198"/>
      <c r="W21" s="198"/>
      <c r="X21" s="203"/>
      <c r="Y21" s="79"/>
      <c r="AC21" s="131"/>
      <c r="AE21" s="106"/>
    </row>
    <row r="22">
      <c r="A22" s="13" t="s">
        <v>25</v>
      </c>
      <c r="B22" s="14">
        <f>SUM(AC2:AC8)</f>
        <v>48578.82</v>
      </c>
      <c r="C22" s="79"/>
      <c r="D22" s="79"/>
      <c r="E22" s="78"/>
      <c r="F22" s="201"/>
      <c r="G22" s="388">
        <f>SUM(G17:G21)</f>
        <v>9299.8</v>
      </c>
      <c r="H22" s="224"/>
      <c r="I22" s="203"/>
      <c r="J22" s="78"/>
      <c r="K22" s="203"/>
      <c r="L22" s="203"/>
      <c r="M22" s="203"/>
      <c r="N22" s="198"/>
      <c r="O22" s="203"/>
      <c r="P22" s="79"/>
      <c r="Q22" s="198"/>
      <c r="R22" s="198"/>
      <c r="S22" s="204"/>
      <c r="U22" s="198"/>
      <c r="V22" s="198"/>
      <c r="W22" s="198"/>
      <c r="X22" s="203"/>
      <c r="Y22" s="79"/>
      <c r="AC22" s="181"/>
      <c r="AE22" s="106"/>
    </row>
    <row r="23">
      <c r="A23" s="13" t="s">
        <v>26</v>
      </c>
      <c r="B23" s="15">
        <f>B19/B22</f>
        <v>0.2623668092</v>
      </c>
      <c r="C23" s="79"/>
      <c r="D23" s="79"/>
      <c r="E23" s="78"/>
      <c r="F23" s="204"/>
      <c r="G23" s="78"/>
      <c r="H23" s="144"/>
      <c r="I23" s="203"/>
      <c r="J23" s="79"/>
      <c r="K23" s="203"/>
      <c r="L23" s="203"/>
      <c r="M23" s="203"/>
      <c r="N23" s="203"/>
      <c r="O23" s="203"/>
      <c r="P23" s="79"/>
      <c r="Q23" s="198"/>
      <c r="R23" s="198"/>
      <c r="S23" s="204"/>
      <c r="U23" s="198"/>
      <c r="V23" s="198"/>
      <c r="W23" s="198"/>
      <c r="X23" s="203"/>
      <c r="Y23" s="79"/>
      <c r="AC23" s="130"/>
      <c r="AE23" s="106"/>
    </row>
    <row r="24">
      <c r="C24" s="79"/>
      <c r="D24" s="79"/>
      <c r="E24" s="78"/>
      <c r="F24" s="204"/>
      <c r="G24" s="78"/>
      <c r="H24" s="78"/>
      <c r="I24" s="78"/>
      <c r="J24" s="78"/>
      <c r="K24" s="203"/>
      <c r="L24" s="203"/>
      <c r="M24" s="203"/>
      <c r="N24" s="201"/>
      <c r="O24" s="198"/>
      <c r="P24" s="79"/>
      <c r="Q24" s="198"/>
      <c r="R24" s="198"/>
      <c r="S24" s="204"/>
      <c r="U24" s="198"/>
      <c r="V24" s="198"/>
      <c r="W24" s="198"/>
      <c r="X24" s="203"/>
      <c r="Y24" s="79"/>
      <c r="AC24" s="182"/>
      <c r="AE24" s="106"/>
    </row>
    <row r="25">
      <c r="C25" s="79"/>
      <c r="D25" s="79"/>
      <c r="E25" s="79"/>
      <c r="F25" s="204"/>
      <c r="G25" s="192">
        <f>SUM(B12:N12)+2600</f>
        <v>4328.99</v>
      </c>
      <c r="H25" s="78"/>
      <c r="I25" s="203"/>
      <c r="J25" s="212"/>
      <c r="K25" s="203"/>
      <c r="L25" s="203"/>
      <c r="M25" s="203"/>
      <c r="N25" s="201"/>
      <c r="O25" s="198"/>
      <c r="P25" s="79"/>
      <c r="Q25" s="198"/>
      <c r="R25" s="198"/>
      <c r="S25" s="204"/>
      <c r="U25" s="198"/>
      <c r="V25" s="198"/>
      <c r="W25" s="198"/>
      <c r="X25" s="203"/>
      <c r="Y25" s="79"/>
      <c r="AC25" s="130"/>
      <c r="AE25" s="106"/>
    </row>
    <row r="26">
      <c r="A26" s="16" t="s">
        <v>27</v>
      </c>
      <c r="B26" s="17"/>
      <c r="C26" s="114"/>
      <c r="D26" s="114"/>
      <c r="E26" s="115"/>
      <c r="F26" s="204"/>
      <c r="G26" s="78"/>
      <c r="H26" s="192"/>
      <c r="I26" s="78"/>
      <c r="J26" s="79"/>
      <c r="K26" s="203"/>
      <c r="L26" s="217"/>
      <c r="M26" s="208"/>
      <c r="N26" s="198"/>
      <c r="O26" s="200"/>
      <c r="P26" s="79"/>
      <c r="Q26" s="198"/>
      <c r="R26" s="198"/>
      <c r="S26" s="204"/>
      <c r="U26" s="198"/>
      <c r="V26" s="198"/>
      <c r="W26" s="198"/>
      <c r="X26" s="203"/>
      <c r="Y26" s="79"/>
      <c r="AC26" s="130"/>
      <c r="AE26" s="106"/>
    </row>
    <row r="27">
      <c r="A27" s="19" t="s">
        <v>28</v>
      </c>
      <c r="B27" s="20"/>
      <c r="C27" s="116"/>
      <c r="D27" s="116"/>
      <c r="E27" s="117"/>
      <c r="F27" s="204"/>
      <c r="G27" s="212">
        <f>G25/G22</f>
        <v>0.4654928063</v>
      </c>
      <c r="H27" s="78"/>
      <c r="I27" s="224"/>
      <c r="J27" s="79"/>
      <c r="K27" s="203"/>
      <c r="L27" s="203"/>
      <c r="M27" s="209"/>
      <c r="N27" s="201"/>
      <c r="O27" s="198"/>
      <c r="P27" s="79"/>
      <c r="Q27" s="198"/>
      <c r="R27" s="198"/>
      <c r="S27" s="204"/>
      <c r="U27" s="198"/>
      <c r="V27" s="198"/>
      <c r="W27" s="198"/>
      <c r="X27" s="203"/>
      <c r="Y27" s="79"/>
      <c r="AC27" s="130"/>
      <c r="AE27" s="106"/>
    </row>
    <row r="28">
      <c r="A28" s="183" t="s">
        <v>29</v>
      </c>
      <c r="B28" s="184" t="s">
        <v>30</v>
      </c>
      <c r="C28" s="183"/>
      <c r="D28" s="183" t="s">
        <v>170</v>
      </c>
      <c r="E28" s="219" t="s">
        <v>171</v>
      </c>
      <c r="F28" s="204"/>
      <c r="G28" s="79"/>
      <c r="H28" s="79"/>
      <c r="I28" s="79"/>
      <c r="J28" s="79"/>
      <c r="K28" s="203"/>
      <c r="L28" s="201"/>
      <c r="M28" s="209"/>
      <c r="N28" s="198"/>
      <c r="O28" s="198"/>
      <c r="P28" s="79"/>
      <c r="Q28" s="198"/>
      <c r="R28" s="198"/>
      <c r="S28" s="204"/>
      <c r="U28" s="198"/>
      <c r="V28" s="198"/>
      <c r="W28" s="198"/>
      <c r="X28" s="203"/>
      <c r="Y28" s="79"/>
      <c r="Z28" s="195"/>
      <c r="AC28" s="130"/>
      <c r="AE28" s="106"/>
    </row>
    <row r="29">
      <c r="A29" s="221" t="s">
        <v>542</v>
      </c>
      <c r="B29" s="341">
        <f>1386+1578</f>
        <v>2964</v>
      </c>
      <c r="C29" s="223"/>
      <c r="D29" s="223"/>
      <c r="E29" s="223"/>
      <c r="P29" s="79"/>
      <c r="Q29" s="79"/>
      <c r="R29" s="79"/>
      <c r="Y29" s="79"/>
      <c r="AC29" s="130"/>
      <c r="AE29" s="106"/>
    </row>
    <row r="30">
      <c r="A30" s="245" t="s">
        <v>527</v>
      </c>
      <c r="B30" s="340">
        <v>1220.02</v>
      </c>
      <c r="C30" s="247"/>
      <c r="D30" s="247"/>
      <c r="E30" s="247"/>
      <c r="P30" s="79"/>
      <c r="Q30" s="79"/>
      <c r="R30" s="79"/>
      <c r="Y30" s="79"/>
      <c r="AC30" s="130"/>
      <c r="AE30" s="106"/>
    </row>
    <row r="31">
      <c r="A31" s="234" t="s">
        <v>543</v>
      </c>
      <c r="B31" s="339">
        <v>250.0</v>
      </c>
      <c r="C31" s="235"/>
      <c r="D31" s="235"/>
      <c r="E31" s="235"/>
      <c r="P31" s="79"/>
      <c r="Q31" s="79"/>
      <c r="R31" s="79"/>
      <c r="Y31" s="79"/>
      <c r="AC31" s="130"/>
      <c r="AE31" s="106"/>
    </row>
    <row r="32">
      <c r="A32" s="234" t="s">
        <v>544</v>
      </c>
      <c r="B32" s="339">
        <f>582.82</f>
        <v>582.82</v>
      </c>
      <c r="C32" s="235"/>
      <c r="D32" s="235"/>
      <c r="E32" s="235"/>
      <c r="J32" s="389"/>
      <c r="P32" s="79"/>
      <c r="Q32" s="79"/>
      <c r="R32" s="79"/>
      <c r="Y32" s="79"/>
      <c r="AC32" s="130"/>
      <c r="AE32" s="106"/>
    </row>
    <row r="33">
      <c r="A33" s="234" t="s">
        <v>545</v>
      </c>
      <c r="B33" s="339">
        <v>372.9</v>
      </c>
      <c r="C33" s="235"/>
      <c r="D33" s="235"/>
      <c r="E33" s="235"/>
      <c r="P33" s="79"/>
      <c r="Q33" s="79"/>
      <c r="R33" s="79"/>
      <c r="Y33" s="79"/>
      <c r="AC33" s="130"/>
      <c r="AE33" s="106"/>
    </row>
    <row r="34">
      <c r="A34" s="234" t="s">
        <v>546</v>
      </c>
      <c r="B34" s="339">
        <f>250.96</f>
        <v>250.96</v>
      </c>
      <c r="C34" s="235"/>
      <c r="D34" s="235"/>
      <c r="E34" s="235"/>
      <c r="P34" s="79"/>
      <c r="Q34" s="79"/>
      <c r="R34" s="79"/>
      <c r="Y34" s="79"/>
      <c r="AC34" s="130"/>
      <c r="AE34" s="106"/>
    </row>
    <row r="35">
      <c r="A35" s="234" t="s">
        <v>547</v>
      </c>
      <c r="B35" s="339">
        <v>513.86</v>
      </c>
      <c r="C35" s="235"/>
      <c r="D35" s="235"/>
      <c r="E35" s="235"/>
      <c r="P35" s="79"/>
      <c r="Q35" s="79"/>
      <c r="R35" s="79"/>
      <c r="Y35" s="79"/>
      <c r="AC35" s="130"/>
      <c r="AE35" s="106"/>
    </row>
    <row r="36">
      <c r="A36" s="234" t="s">
        <v>548</v>
      </c>
      <c r="B36" s="339">
        <f>284.9+495+197.5</f>
        <v>977.4</v>
      </c>
      <c r="C36" s="235"/>
      <c r="D36" s="235"/>
      <c r="E36" s="235"/>
      <c r="P36" s="79"/>
      <c r="Q36" s="79"/>
      <c r="R36" s="79"/>
      <c r="Y36" s="79"/>
      <c r="AC36" s="130"/>
      <c r="AE36" s="106"/>
    </row>
    <row r="37">
      <c r="A37" s="234" t="s">
        <v>549</v>
      </c>
      <c r="B37" s="339">
        <v>476.2</v>
      </c>
      <c r="C37" s="235"/>
      <c r="D37" s="235"/>
      <c r="E37" s="235"/>
      <c r="P37" s="79"/>
      <c r="Q37" s="79"/>
      <c r="R37" s="79"/>
      <c r="Y37" s="79"/>
      <c r="AC37" s="130"/>
      <c r="AE37" s="106"/>
    </row>
    <row r="38">
      <c r="A38" s="234" t="s">
        <v>550</v>
      </c>
      <c r="B38" s="339">
        <v>331.1</v>
      </c>
      <c r="C38" s="235"/>
      <c r="D38" s="235"/>
      <c r="E38" s="235"/>
      <c r="P38" s="79"/>
      <c r="Q38" s="79"/>
      <c r="R38" s="79"/>
      <c r="Y38" s="79"/>
      <c r="AC38" s="130"/>
      <c r="AE38" s="106"/>
    </row>
    <row r="39">
      <c r="A39" s="234" t="s">
        <v>551</v>
      </c>
      <c r="B39" s="339">
        <f>479+480+979</f>
        <v>1938</v>
      </c>
      <c r="C39" s="235"/>
      <c r="D39" s="235"/>
      <c r="E39" s="235"/>
      <c r="P39" s="79"/>
      <c r="Q39" s="79"/>
      <c r="R39" s="79"/>
      <c r="Y39" s="79"/>
      <c r="AC39" s="130"/>
      <c r="AE39" s="106"/>
    </row>
    <row r="40">
      <c r="A40" s="234" t="s">
        <v>552</v>
      </c>
      <c r="B40" s="339">
        <v>220.38</v>
      </c>
      <c r="C40" s="235"/>
      <c r="D40" s="235"/>
      <c r="E40" s="235"/>
      <c r="P40" s="79"/>
      <c r="Q40" s="79"/>
      <c r="R40" s="79"/>
      <c r="Y40" s="79"/>
      <c r="AC40" s="130"/>
      <c r="AE40" s="106"/>
    </row>
    <row r="41">
      <c r="C41" s="79"/>
      <c r="D41" s="79"/>
      <c r="E41" s="79"/>
      <c r="P41" s="79"/>
      <c r="Q41" s="79"/>
      <c r="R41" s="79"/>
      <c r="Y41" s="79"/>
      <c r="AC41" s="130"/>
      <c r="AE41" s="106"/>
    </row>
    <row r="42">
      <c r="C42" s="79"/>
      <c r="D42" s="79"/>
      <c r="E42" s="79"/>
      <c r="P42" s="79"/>
      <c r="Q42" s="79"/>
      <c r="R42" s="79"/>
      <c r="Y42" s="79"/>
      <c r="AC42" s="130"/>
      <c r="AE42" s="106"/>
    </row>
    <row r="43">
      <c r="A43" s="274"/>
      <c r="B43" s="275" t="s">
        <v>315</v>
      </c>
      <c r="F43" s="274"/>
      <c r="G43" s="274"/>
      <c r="H43" s="274"/>
      <c r="I43" s="274"/>
      <c r="J43" s="274"/>
      <c r="K43" s="274"/>
      <c r="L43" s="274"/>
      <c r="M43" s="274"/>
      <c r="N43" s="274"/>
      <c r="O43" s="274"/>
      <c r="P43" s="274"/>
      <c r="Q43" s="274"/>
      <c r="R43" s="274"/>
      <c r="S43" s="274"/>
      <c r="T43" s="274"/>
      <c r="U43" s="274"/>
      <c r="V43" s="274"/>
      <c r="W43" s="274"/>
      <c r="X43" s="274"/>
      <c r="Y43" s="274"/>
      <c r="Z43" s="274"/>
      <c r="AA43" s="274"/>
      <c r="AB43" s="274"/>
      <c r="AC43" s="276"/>
      <c r="AD43" s="274"/>
      <c r="AE43" s="277"/>
      <c r="AF43" s="274"/>
      <c r="AG43" s="274"/>
      <c r="AH43" s="274"/>
    </row>
    <row r="44">
      <c r="A44" s="16" t="s">
        <v>316</v>
      </c>
      <c r="B44" s="17"/>
      <c r="C44" s="114"/>
      <c r="D44" s="114"/>
      <c r="E44" s="115"/>
      <c r="P44" s="79"/>
      <c r="Q44" s="79"/>
      <c r="R44" s="79"/>
      <c r="Y44" s="79"/>
      <c r="AC44" s="130"/>
      <c r="AE44" s="106"/>
    </row>
    <row r="45">
      <c r="A45" s="19" t="s">
        <v>317</v>
      </c>
      <c r="B45" s="20"/>
      <c r="C45" s="116"/>
      <c r="D45" s="116"/>
      <c r="E45" s="117"/>
      <c r="P45" s="79"/>
      <c r="Q45" s="79"/>
      <c r="R45" s="79"/>
      <c r="Y45" s="79"/>
      <c r="AC45" s="130"/>
      <c r="AE45" s="106"/>
    </row>
    <row r="46">
      <c r="A46" s="278" t="s">
        <v>318</v>
      </c>
      <c r="B46" s="279" t="s">
        <v>319</v>
      </c>
      <c r="C46" s="280" t="s">
        <v>285</v>
      </c>
      <c r="D46" s="280" t="s">
        <v>30</v>
      </c>
      <c r="E46" s="281" t="s">
        <v>320</v>
      </c>
      <c r="F46" s="281" t="s">
        <v>321</v>
      </c>
      <c r="P46" s="79"/>
      <c r="Q46" s="79"/>
      <c r="R46" s="79"/>
      <c r="Y46" s="79"/>
      <c r="AC46" s="130"/>
      <c r="AE46" s="106"/>
    </row>
    <row r="47">
      <c r="A47" s="304" t="s">
        <v>432</v>
      </c>
      <c r="B47" s="305">
        <v>45461.0</v>
      </c>
      <c r="C47" s="234" t="s">
        <v>325</v>
      </c>
      <c r="D47" s="178">
        <v>1211.18</v>
      </c>
      <c r="E47" s="308">
        <v>45489.0</v>
      </c>
      <c r="F47" s="235"/>
      <c r="P47" s="79"/>
      <c r="Q47" s="79"/>
      <c r="R47" s="79"/>
      <c r="Y47" s="79"/>
      <c r="AC47" s="130"/>
      <c r="AE47" s="106"/>
    </row>
    <row r="48">
      <c r="A48" s="304" t="s">
        <v>447</v>
      </c>
      <c r="B48" s="305">
        <v>45468.0</v>
      </c>
      <c r="C48" s="234" t="s">
        <v>325</v>
      </c>
      <c r="D48" s="178">
        <v>1263.05</v>
      </c>
      <c r="E48" s="308">
        <v>45496.0</v>
      </c>
      <c r="F48" s="235"/>
      <c r="P48" s="79"/>
      <c r="Q48" s="79"/>
      <c r="R48" s="79"/>
      <c r="Y48" s="79"/>
      <c r="AC48" s="130"/>
      <c r="AE48" s="106"/>
    </row>
    <row r="49">
      <c r="A49" s="304" t="s">
        <v>458</v>
      </c>
      <c r="B49" s="305">
        <v>45475.0</v>
      </c>
      <c r="C49" s="234" t="s">
        <v>325</v>
      </c>
      <c r="D49" s="178">
        <v>1249.27</v>
      </c>
      <c r="E49" s="308">
        <v>45503.0</v>
      </c>
      <c r="F49" s="235"/>
      <c r="P49" s="79"/>
      <c r="Q49" s="79"/>
      <c r="R49" s="79"/>
      <c r="Y49" s="79"/>
      <c r="AC49" s="130"/>
      <c r="AE49" s="106"/>
    </row>
    <row r="50">
      <c r="A50" s="304" t="s">
        <v>472</v>
      </c>
      <c r="B50" s="305">
        <v>45482.0</v>
      </c>
      <c r="C50" s="234" t="s">
        <v>325</v>
      </c>
      <c r="D50" s="178">
        <v>1248.68</v>
      </c>
      <c r="E50" s="308">
        <v>45510.0</v>
      </c>
      <c r="F50" s="235"/>
      <c r="P50" s="79"/>
      <c r="Q50" s="79"/>
      <c r="R50" s="79"/>
      <c r="Y50" s="79"/>
      <c r="AC50" s="130"/>
      <c r="AE50" s="106"/>
    </row>
    <row r="51">
      <c r="A51" s="304" t="s">
        <v>495</v>
      </c>
      <c r="B51" s="305">
        <v>45489.0</v>
      </c>
      <c r="C51" s="234" t="s">
        <v>325</v>
      </c>
      <c r="D51" s="178">
        <v>1228.43</v>
      </c>
      <c r="E51" s="308"/>
      <c r="F51" s="235"/>
      <c r="P51" s="79"/>
      <c r="Q51" s="79"/>
      <c r="R51" s="79"/>
      <c r="Y51" s="79"/>
      <c r="AC51" s="130"/>
      <c r="AE51" s="106"/>
    </row>
    <row r="52">
      <c r="A52" s="304" t="s">
        <v>510</v>
      </c>
      <c r="B52" s="305">
        <v>45496.0</v>
      </c>
      <c r="C52" s="234" t="s">
        <v>325</v>
      </c>
      <c r="D52" s="178">
        <v>1194.77</v>
      </c>
      <c r="E52" s="308"/>
      <c r="F52" s="235"/>
      <c r="P52" s="79"/>
      <c r="Q52" s="79"/>
      <c r="R52" s="79"/>
      <c r="Y52" s="79"/>
      <c r="AC52" s="130"/>
      <c r="AE52" s="106"/>
    </row>
    <row r="53">
      <c r="A53" s="304" t="s">
        <v>530</v>
      </c>
      <c r="B53" s="305">
        <v>45503.0</v>
      </c>
      <c r="C53" s="234" t="s">
        <v>325</v>
      </c>
      <c r="D53" s="178">
        <v>1211.18</v>
      </c>
      <c r="E53" s="308"/>
      <c r="F53" s="235"/>
      <c r="P53" s="79"/>
      <c r="Q53" s="79"/>
      <c r="R53" s="79"/>
      <c r="Y53" s="79"/>
      <c r="AC53" s="130"/>
      <c r="AE53" s="106"/>
    </row>
    <row r="54">
      <c r="A54" s="304" t="s">
        <v>553</v>
      </c>
      <c r="B54" s="305">
        <v>45510.0</v>
      </c>
      <c r="C54" s="234" t="s">
        <v>325</v>
      </c>
      <c r="D54" s="178">
        <v>1409.57</v>
      </c>
      <c r="E54" s="308"/>
      <c r="F54" s="235"/>
      <c r="P54" s="79"/>
      <c r="Q54" s="79"/>
      <c r="R54" s="79"/>
      <c r="Y54" s="79"/>
      <c r="AC54" s="130"/>
      <c r="AE54" s="106"/>
    </row>
    <row r="55">
      <c r="A55" s="282" t="s">
        <v>435</v>
      </c>
      <c r="B55" s="283">
        <v>45461.0</v>
      </c>
      <c r="C55" s="166" t="s">
        <v>379</v>
      </c>
      <c r="D55" s="93">
        <v>1455.7</v>
      </c>
      <c r="E55" s="337">
        <v>45496.0</v>
      </c>
      <c r="F55" s="6"/>
      <c r="P55" s="79"/>
      <c r="Q55" s="79"/>
      <c r="R55" s="79"/>
      <c r="Y55" s="79"/>
      <c r="AC55" s="130"/>
      <c r="AE55" s="106"/>
    </row>
    <row r="56">
      <c r="A56" s="390" t="s">
        <v>481</v>
      </c>
      <c r="B56" s="391">
        <v>45485.0</v>
      </c>
      <c r="C56" s="392" t="s">
        <v>482</v>
      </c>
      <c r="D56" s="393">
        <f>923.72-693.3</f>
        <v>230.42</v>
      </c>
      <c r="E56" s="394" t="s">
        <v>554</v>
      </c>
      <c r="F56" s="6"/>
      <c r="P56" s="79"/>
      <c r="Q56" s="79"/>
      <c r="R56" s="79"/>
      <c r="Y56" s="79"/>
      <c r="AC56" s="130"/>
      <c r="AE56" s="106"/>
    </row>
    <row r="57">
      <c r="A57" s="282" t="s">
        <v>483</v>
      </c>
      <c r="B57" s="283">
        <v>45482.0</v>
      </c>
      <c r="C57" s="166" t="s">
        <v>482</v>
      </c>
      <c r="D57" s="93">
        <v>463.6</v>
      </c>
      <c r="E57" s="291"/>
      <c r="F57" s="6"/>
      <c r="P57" s="79"/>
      <c r="Q57" s="79"/>
      <c r="R57" s="79"/>
      <c r="Y57" s="79"/>
      <c r="AC57" s="130"/>
      <c r="AE57" s="106"/>
    </row>
    <row r="58">
      <c r="A58" s="282" t="s">
        <v>496</v>
      </c>
      <c r="B58" s="283">
        <v>45492.0</v>
      </c>
      <c r="C58" s="166" t="s">
        <v>497</v>
      </c>
      <c r="D58" s="93">
        <f>297+284.9</f>
        <v>581.9</v>
      </c>
      <c r="E58" s="291"/>
      <c r="F58" s="6"/>
      <c r="P58" s="79"/>
      <c r="Q58" s="79"/>
      <c r="R58" s="79"/>
      <c r="Y58" s="79"/>
      <c r="AC58" s="130"/>
      <c r="AE58" s="106"/>
    </row>
    <row r="59">
      <c r="A59" s="282" t="s">
        <v>500</v>
      </c>
      <c r="B59" s="283">
        <v>45489.0</v>
      </c>
      <c r="C59" s="166" t="s">
        <v>427</v>
      </c>
      <c r="D59" s="93">
        <v>441.39</v>
      </c>
      <c r="E59" s="291"/>
      <c r="F59" s="6"/>
      <c r="P59" s="79"/>
      <c r="Q59" s="79"/>
      <c r="R59" s="79"/>
      <c r="Y59" s="79"/>
      <c r="AC59" s="130"/>
      <c r="AE59" s="106"/>
    </row>
    <row r="60">
      <c r="A60" s="282" t="s">
        <v>501</v>
      </c>
      <c r="B60" s="283">
        <v>45491.0</v>
      </c>
      <c r="C60" s="166" t="s">
        <v>493</v>
      </c>
      <c r="D60" s="93">
        <v>857.85</v>
      </c>
      <c r="E60" s="291"/>
      <c r="F60" s="6"/>
      <c r="P60" s="79"/>
      <c r="Q60" s="79"/>
      <c r="R60" s="79"/>
      <c r="Y60" s="79"/>
      <c r="AC60" s="130"/>
      <c r="AE60" s="106"/>
    </row>
    <row r="61">
      <c r="A61" s="282" t="s">
        <v>533</v>
      </c>
      <c r="B61" s="283">
        <v>45505.0</v>
      </c>
      <c r="C61" s="166" t="s">
        <v>534</v>
      </c>
      <c r="D61" s="93">
        <f>200.1+60.1</f>
        <v>260.2</v>
      </c>
      <c r="E61" s="285">
        <v>45512.0</v>
      </c>
      <c r="F61" s="5" t="s">
        <v>195</v>
      </c>
      <c r="P61" s="79"/>
      <c r="Q61" s="79"/>
      <c r="R61" s="79"/>
      <c r="Y61" s="79"/>
      <c r="AC61" s="130"/>
      <c r="AE61" s="106"/>
    </row>
    <row r="62">
      <c r="A62" s="282" t="s">
        <v>527</v>
      </c>
      <c r="B62" s="283">
        <v>45503.0</v>
      </c>
      <c r="C62" s="166" t="s">
        <v>536</v>
      </c>
      <c r="D62" s="93">
        <v>1160.0</v>
      </c>
      <c r="E62" s="337">
        <v>45515.0</v>
      </c>
      <c r="F62" s="6">
        <f>D62/2</f>
        <v>580</v>
      </c>
      <c r="P62" s="79"/>
      <c r="Q62" s="79"/>
      <c r="R62" s="79"/>
      <c r="Y62" s="79"/>
      <c r="AC62" s="130"/>
      <c r="AE62" s="106"/>
    </row>
    <row r="63">
      <c r="A63" s="282" t="s">
        <v>537</v>
      </c>
      <c r="B63" s="283">
        <v>45506.0</v>
      </c>
      <c r="C63" s="166" t="s">
        <v>538</v>
      </c>
      <c r="D63" s="93">
        <v>1662.01</v>
      </c>
      <c r="E63" s="291"/>
      <c r="F63" s="6"/>
      <c r="P63" s="79"/>
      <c r="Q63" s="79"/>
      <c r="R63" s="79"/>
      <c r="Y63" s="79"/>
      <c r="AC63" s="130"/>
      <c r="AE63" s="106"/>
    </row>
    <row r="64">
      <c r="A64" s="282" t="s">
        <v>555</v>
      </c>
      <c r="B64" s="283">
        <v>45506.0</v>
      </c>
      <c r="C64" s="166" t="s">
        <v>355</v>
      </c>
      <c r="D64" s="93">
        <f>513.86-15</f>
        <v>498.86</v>
      </c>
      <c r="E64" s="291"/>
      <c r="F64" s="6"/>
      <c r="P64" s="79"/>
      <c r="Q64" s="79"/>
      <c r="R64" s="79"/>
      <c r="Y64" s="79"/>
      <c r="AC64" s="130"/>
      <c r="AE64" s="106"/>
    </row>
    <row r="65">
      <c r="A65" s="282" t="s">
        <v>556</v>
      </c>
      <c r="B65" s="283">
        <v>45511.0</v>
      </c>
      <c r="C65" s="166" t="s">
        <v>557</v>
      </c>
      <c r="D65" s="93">
        <v>220.38</v>
      </c>
      <c r="E65" s="291"/>
      <c r="F65" s="6"/>
      <c r="P65" s="79"/>
      <c r="Q65" s="79"/>
      <c r="R65" s="79"/>
      <c r="Y65" s="79"/>
      <c r="AC65" s="130"/>
      <c r="AE65" s="106"/>
    </row>
    <row r="66">
      <c r="A66" s="282" t="s">
        <v>545</v>
      </c>
      <c r="B66" s="283">
        <v>45512.0</v>
      </c>
      <c r="C66" s="166" t="s">
        <v>558</v>
      </c>
      <c r="D66" s="93">
        <v>372.9</v>
      </c>
      <c r="E66" s="291"/>
      <c r="F66" s="6"/>
      <c r="P66" s="79"/>
      <c r="Q66" s="79"/>
      <c r="R66" s="79"/>
      <c r="Y66" s="79"/>
      <c r="AC66" s="130"/>
      <c r="AE66" s="106"/>
    </row>
    <row r="67">
      <c r="A67" s="282" t="s">
        <v>559</v>
      </c>
      <c r="B67" s="283">
        <v>45512.0</v>
      </c>
      <c r="C67" s="166" t="s">
        <v>334</v>
      </c>
      <c r="D67" s="93">
        <v>582.82</v>
      </c>
      <c r="E67" s="291"/>
      <c r="F67" s="6"/>
      <c r="P67" s="79"/>
      <c r="Q67" s="79"/>
      <c r="R67" s="79"/>
      <c r="Y67" s="79"/>
      <c r="AC67" s="130"/>
      <c r="AE67" s="106"/>
    </row>
    <row r="68">
      <c r="A68" s="282" t="s">
        <v>560</v>
      </c>
      <c r="B68" s="283">
        <v>45512.0</v>
      </c>
      <c r="C68" s="166" t="s">
        <v>61</v>
      </c>
      <c r="D68" s="93">
        <v>250.96</v>
      </c>
      <c r="E68" s="291"/>
      <c r="F68" s="6"/>
      <c r="P68" s="79"/>
      <c r="Q68" s="79"/>
      <c r="R68" s="79"/>
      <c r="Y68" s="79"/>
      <c r="AC68" s="130"/>
      <c r="AE68" s="106"/>
    </row>
    <row r="69">
      <c r="A69" s="282" t="s">
        <v>561</v>
      </c>
      <c r="B69" s="283">
        <v>45513.0</v>
      </c>
      <c r="C69" s="166" t="s">
        <v>562</v>
      </c>
      <c r="D69" s="93">
        <v>471.2</v>
      </c>
      <c r="E69" s="291"/>
      <c r="F69" s="6"/>
      <c r="P69" s="79"/>
      <c r="Q69" s="79"/>
      <c r="R69" s="79"/>
      <c r="Y69" s="79"/>
      <c r="AC69" s="130"/>
      <c r="AE69" s="106"/>
    </row>
    <row r="70">
      <c r="A70" s="282" t="s">
        <v>563</v>
      </c>
      <c r="B70" s="283">
        <v>45513.0</v>
      </c>
      <c r="C70" s="166" t="s">
        <v>564</v>
      </c>
      <c r="D70" s="93">
        <f>284.9+495+197.5</f>
        <v>977.4</v>
      </c>
      <c r="E70" s="291"/>
      <c r="F70" s="6"/>
      <c r="P70" s="79"/>
      <c r="Q70" s="79"/>
      <c r="R70" s="79"/>
      <c r="Y70" s="79"/>
      <c r="AC70" s="130"/>
      <c r="AE70" s="106"/>
    </row>
    <row r="71">
      <c r="A71" s="282" t="s">
        <v>565</v>
      </c>
      <c r="B71" s="283">
        <v>45509.0</v>
      </c>
      <c r="C71" s="166" t="s">
        <v>566</v>
      </c>
      <c r="D71" s="93">
        <v>479.0</v>
      </c>
      <c r="E71" s="291"/>
      <c r="F71" s="6"/>
      <c r="P71" s="79"/>
      <c r="Q71" s="79"/>
      <c r="R71" s="79"/>
      <c r="Y71" s="79"/>
      <c r="AC71" s="130"/>
      <c r="AE71" s="106"/>
    </row>
    <row r="72">
      <c r="A72" s="282" t="s">
        <v>567</v>
      </c>
      <c r="B72" s="283">
        <v>45511.0</v>
      </c>
      <c r="C72" s="166" t="s">
        <v>568</v>
      </c>
      <c r="D72" s="93">
        <v>480.0</v>
      </c>
      <c r="E72" s="291"/>
      <c r="F72" s="6"/>
      <c r="P72" s="79"/>
      <c r="Q72" s="79"/>
      <c r="R72" s="79"/>
      <c r="Y72" s="79"/>
      <c r="AC72" s="130"/>
      <c r="AE72" s="106"/>
    </row>
    <row r="73">
      <c r="A73" s="282" t="s">
        <v>569</v>
      </c>
      <c r="B73" s="283">
        <v>45514.0</v>
      </c>
      <c r="C73" s="166" t="s">
        <v>570</v>
      </c>
      <c r="D73" s="93">
        <v>979.0</v>
      </c>
      <c r="E73" s="291"/>
      <c r="F73" s="6"/>
      <c r="P73" s="79"/>
      <c r="Q73" s="79"/>
      <c r="R73" s="79"/>
      <c r="Y73" s="79"/>
      <c r="AC73" s="130"/>
      <c r="AE73" s="106"/>
    </row>
    <row r="74">
      <c r="A74" s="282" t="s">
        <v>552</v>
      </c>
      <c r="B74" s="283">
        <v>45511.0</v>
      </c>
      <c r="C74" s="166" t="s">
        <v>107</v>
      </c>
      <c r="D74" s="93">
        <v>220.38</v>
      </c>
      <c r="E74" s="291"/>
      <c r="F74" s="6"/>
      <c r="P74" s="79"/>
      <c r="Q74" s="79"/>
      <c r="R74" s="79"/>
      <c r="Y74" s="79"/>
      <c r="AC74" s="130"/>
      <c r="AE74" s="106"/>
    </row>
    <row r="75">
      <c r="A75" s="282" t="s">
        <v>571</v>
      </c>
      <c r="B75" s="283">
        <v>45514.0</v>
      </c>
      <c r="C75" s="166" t="s">
        <v>390</v>
      </c>
      <c r="D75" s="93">
        <f>331.1</f>
        <v>331.1</v>
      </c>
      <c r="E75" s="291"/>
      <c r="F75" s="6"/>
      <c r="P75" s="79"/>
      <c r="Q75" s="79"/>
      <c r="R75" s="79"/>
      <c r="Y75" s="79"/>
      <c r="AC75" s="130"/>
      <c r="AE75" s="106"/>
    </row>
    <row r="76">
      <c r="A76" s="282"/>
      <c r="B76" s="283"/>
      <c r="C76" s="166"/>
      <c r="D76" s="93"/>
      <c r="E76" s="291"/>
      <c r="F76" s="6"/>
      <c r="P76" s="79"/>
      <c r="Q76" s="79"/>
      <c r="R76" s="79"/>
      <c r="Y76" s="79"/>
      <c r="AC76" s="130"/>
      <c r="AE76" s="106"/>
    </row>
    <row r="77">
      <c r="A77" s="282"/>
      <c r="B77" s="283"/>
      <c r="C77" s="166"/>
      <c r="D77" s="93"/>
      <c r="E77" s="291"/>
      <c r="F77" s="6"/>
      <c r="P77" s="79"/>
      <c r="Q77" s="79"/>
      <c r="R77" s="79"/>
      <c r="Y77" s="79"/>
      <c r="AC77" s="130"/>
      <c r="AE77" s="106"/>
    </row>
    <row r="78">
      <c r="A78" s="282"/>
      <c r="B78" s="283"/>
      <c r="C78" s="166"/>
      <c r="D78" s="93"/>
      <c r="E78" s="291"/>
      <c r="F78" s="6"/>
      <c r="P78" s="79"/>
      <c r="Q78" s="79"/>
      <c r="R78" s="79"/>
      <c r="Y78" s="79"/>
      <c r="AC78" s="130"/>
      <c r="AE78" s="106"/>
    </row>
    <row r="79">
      <c r="A79" s="282"/>
      <c r="B79" s="283"/>
      <c r="C79" s="166"/>
      <c r="D79" s="93"/>
      <c r="E79" s="291"/>
      <c r="F79" s="6"/>
      <c r="P79" s="79"/>
      <c r="Q79" s="79"/>
      <c r="R79" s="79"/>
      <c r="Y79" s="79"/>
      <c r="AC79" s="130"/>
      <c r="AE79" s="106"/>
    </row>
    <row r="80">
      <c r="A80" s="282"/>
      <c r="B80" s="283"/>
      <c r="C80" s="166"/>
      <c r="D80" s="93"/>
      <c r="E80" s="291"/>
      <c r="F80" s="6"/>
      <c r="P80" s="79"/>
      <c r="Q80" s="79"/>
      <c r="R80" s="79"/>
      <c r="Y80" s="79"/>
      <c r="AC80" s="130"/>
      <c r="AE80" s="106"/>
    </row>
    <row r="81">
      <c r="A81" s="282"/>
      <c r="B81" s="283"/>
      <c r="C81" s="166"/>
      <c r="D81" s="93"/>
      <c r="E81" s="291"/>
      <c r="F81" s="6"/>
      <c r="P81" s="79"/>
      <c r="Q81" s="79"/>
      <c r="R81" s="79"/>
      <c r="Y81" s="79"/>
      <c r="AC81" s="130"/>
      <c r="AE81" s="106"/>
    </row>
    <row r="82">
      <c r="A82" s="282"/>
      <c r="B82" s="283"/>
      <c r="C82" s="166"/>
      <c r="D82" s="93"/>
      <c r="E82" s="291"/>
      <c r="F82" s="6"/>
      <c r="P82" s="79"/>
      <c r="Q82" s="79"/>
      <c r="R82" s="79"/>
      <c r="Y82" s="79"/>
      <c r="AC82" s="130"/>
      <c r="AE82" s="106"/>
    </row>
    <row r="83">
      <c r="A83" s="282"/>
      <c r="B83" s="283"/>
      <c r="C83" s="166"/>
      <c r="D83" s="93"/>
      <c r="E83" s="291"/>
      <c r="F83" s="6"/>
      <c r="P83" s="79"/>
      <c r="Q83" s="79"/>
      <c r="R83" s="79"/>
      <c r="Y83" s="79"/>
      <c r="AC83" s="130"/>
      <c r="AE83" s="106"/>
    </row>
    <row r="84">
      <c r="A84" s="282"/>
      <c r="B84" s="283"/>
      <c r="C84" s="166"/>
      <c r="D84" s="93"/>
      <c r="E84" s="291"/>
      <c r="F84" s="6"/>
      <c r="P84" s="79"/>
      <c r="Q84" s="79"/>
      <c r="R84" s="79"/>
      <c r="Y84" s="79"/>
      <c r="AC84" s="130"/>
      <c r="AE84" s="106"/>
    </row>
    <row r="85">
      <c r="A85" s="282"/>
      <c r="B85" s="283"/>
      <c r="C85" s="166"/>
      <c r="D85" s="93"/>
      <c r="E85" s="291"/>
      <c r="F85" s="6"/>
      <c r="P85" s="79"/>
      <c r="Q85" s="79"/>
      <c r="R85" s="79"/>
      <c r="Y85" s="79"/>
      <c r="AC85" s="130"/>
      <c r="AE85" s="106"/>
    </row>
    <row r="86">
      <c r="A86" s="282"/>
      <c r="B86" s="283"/>
      <c r="C86" s="166"/>
      <c r="D86" s="93"/>
      <c r="E86" s="291"/>
      <c r="F86" s="6"/>
      <c r="P86" s="79"/>
      <c r="Q86" s="79"/>
      <c r="R86" s="79"/>
      <c r="Y86" s="79"/>
      <c r="AC86" s="130"/>
      <c r="AE86" s="106"/>
    </row>
    <row r="87">
      <c r="A87" s="282"/>
      <c r="B87" s="283"/>
      <c r="C87" s="166"/>
      <c r="D87" s="93"/>
      <c r="E87" s="291"/>
      <c r="F87" s="6"/>
      <c r="P87" s="79"/>
      <c r="Q87" s="79"/>
      <c r="R87" s="79"/>
      <c r="Y87" s="79"/>
      <c r="AC87" s="130"/>
      <c r="AE87" s="106"/>
    </row>
    <row r="88">
      <c r="C88" s="79"/>
      <c r="D88" s="79"/>
      <c r="E88" s="79"/>
      <c r="P88" s="79"/>
      <c r="Q88" s="79"/>
      <c r="R88" s="79"/>
      <c r="Y88" s="79"/>
      <c r="AC88" s="130"/>
      <c r="AE88" s="106"/>
    </row>
    <row r="89">
      <c r="C89" s="79"/>
      <c r="D89" s="79"/>
      <c r="E89" s="79"/>
      <c r="P89" s="79"/>
      <c r="Q89" s="79"/>
      <c r="R89" s="79"/>
      <c r="Y89" s="79"/>
      <c r="AC89" s="130"/>
      <c r="AE89" s="106"/>
    </row>
    <row r="90">
      <c r="C90" s="79"/>
      <c r="D90" s="79"/>
      <c r="E90" s="79"/>
      <c r="P90" s="79"/>
      <c r="Q90" s="79"/>
      <c r="R90" s="79"/>
      <c r="Y90" s="79"/>
      <c r="AC90" s="130"/>
      <c r="AE90" s="106"/>
    </row>
    <row r="91">
      <c r="C91" s="79"/>
      <c r="D91" s="79"/>
      <c r="E91" s="79"/>
      <c r="P91" s="79"/>
      <c r="Q91" s="79"/>
      <c r="R91" s="79"/>
      <c r="Y91" s="79"/>
      <c r="AC91" s="130"/>
      <c r="AE91" s="106"/>
    </row>
    <row r="92">
      <c r="C92" s="79"/>
      <c r="D92" s="79"/>
      <c r="E92" s="79"/>
      <c r="P92" s="79"/>
      <c r="Q92" s="79"/>
      <c r="R92" s="79"/>
      <c r="Y92" s="79"/>
      <c r="AC92" s="130"/>
      <c r="AE92" s="106"/>
    </row>
    <row r="93">
      <c r="C93" s="79"/>
      <c r="D93" s="79"/>
      <c r="E93" s="79"/>
      <c r="P93" s="79"/>
      <c r="Q93" s="79"/>
      <c r="R93" s="79"/>
      <c r="Y93" s="79"/>
      <c r="AC93" s="130"/>
      <c r="AE93" s="106"/>
    </row>
    <row r="94">
      <c r="C94" s="79"/>
      <c r="D94" s="79"/>
      <c r="E94" s="79"/>
      <c r="P94" s="79"/>
      <c r="Q94" s="79"/>
      <c r="R94" s="79"/>
      <c r="Y94" s="79"/>
      <c r="AC94" s="130"/>
      <c r="AE94" s="106"/>
    </row>
    <row r="95">
      <c r="C95" s="79"/>
      <c r="D95" s="79"/>
      <c r="E95" s="79"/>
      <c r="P95" s="79"/>
      <c r="Q95" s="79"/>
      <c r="R95" s="79"/>
      <c r="Y95" s="79"/>
      <c r="AC95" s="130"/>
      <c r="AE95" s="106"/>
    </row>
    <row r="96">
      <c r="C96" s="79"/>
      <c r="D96" s="79"/>
      <c r="E96" s="79"/>
      <c r="P96" s="79"/>
      <c r="Q96" s="79"/>
      <c r="R96" s="79"/>
      <c r="Y96" s="79"/>
      <c r="AC96" s="130"/>
      <c r="AE96" s="106"/>
    </row>
    <row r="97">
      <c r="C97" s="79"/>
      <c r="D97" s="79"/>
      <c r="E97" s="79"/>
      <c r="P97" s="79"/>
      <c r="Q97" s="79"/>
      <c r="R97" s="79"/>
      <c r="Y97" s="79"/>
      <c r="AC97" s="130"/>
      <c r="AE97" s="106"/>
    </row>
    <row r="98">
      <c r="C98" s="79"/>
      <c r="D98" s="79"/>
      <c r="E98" s="79"/>
      <c r="P98" s="79"/>
      <c r="Q98" s="79"/>
      <c r="R98" s="79"/>
      <c r="Y98" s="79"/>
      <c r="AC98" s="130"/>
      <c r="AE98" s="106"/>
    </row>
    <row r="99">
      <c r="C99" s="79"/>
      <c r="D99" s="79"/>
      <c r="E99" s="79"/>
      <c r="P99" s="79"/>
      <c r="Q99" s="79"/>
      <c r="R99" s="79"/>
      <c r="Y99" s="79"/>
      <c r="AC99" s="130"/>
      <c r="AE99" s="106"/>
    </row>
    <row r="100">
      <c r="C100" s="79"/>
      <c r="D100" s="79"/>
      <c r="E100" s="79"/>
      <c r="P100" s="79"/>
      <c r="Q100" s="79"/>
      <c r="R100" s="79"/>
      <c r="Y100" s="79"/>
      <c r="AC100" s="130"/>
      <c r="AE100" s="106"/>
    </row>
    <row r="101">
      <c r="C101" s="79"/>
      <c r="D101" s="79"/>
      <c r="E101" s="79"/>
      <c r="P101" s="79"/>
      <c r="Q101" s="79"/>
      <c r="R101" s="79"/>
      <c r="Y101" s="79"/>
      <c r="AC101" s="130"/>
      <c r="AE101" s="106"/>
    </row>
    <row r="102">
      <c r="C102" s="79"/>
      <c r="D102" s="79"/>
      <c r="E102" s="79"/>
      <c r="P102" s="79"/>
      <c r="Q102" s="79"/>
      <c r="R102" s="79"/>
      <c r="Y102" s="79"/>
      <c r="AC102" s="130"/>
      <c r="AE102" s="106"/>
    </row>
    <row r="103">
      <c r="C103" s="79"/>
      <c r="D103" s="79"/>
      <c r="E103" s="79"/>
      <c r="P103" s="79"/>
      <c r="Q103" s="79"/>
      <c r="R103" s="79"/>
      <c r="Y103" s="79"/>
      <c r="AC103" s="130"/>
      <c r="AE103" s="106"/>
    </row>
    <row r="104">
      <c r="C104" s="79"/>
      <c r="D104" s="79"/>
      <c r="E104" s="79"/>
      <c r="P104" s="79"/>
      <c r="Q104" s="79"/>
      <c r="R104" s="79"/>
      <c r="Y104" s="79"/>
      <c r="AC104" s="130"/>
      <c r="AE104" s="106"/>
    </row>
    <row r="105">
      <c r="C105" s="79"/>
      <c r="D105" s="79"/>
      <c r="E105" s="79"/>
      <c r="P105" s="79"/>
      <c r="Q105" s="79"/>
      <c r="R105" s="79"/>
      <c r="Y105" s="79"/>
      <c r="AC105" s="130"/>
      <c r="AE105" s="106"/>
    </row>
    <row r="106">
      <c r="C106" s="79"/>
      <c r="D106" s="79"/>
      <c r="E106" s="79"/>
      <c r="P106" s="79"/>
      <c r="Q106" s="79"/>
      <c r="R106" s="79"/>
      <c r="Y106" s="79"/>
      <c r="AC106" s="130"/>
      <c r="AE106" s="106"/>
    </row>
    <row r="107">
      <c r="C107" s="79"/>
      <c r="D107" s="79"/>
      <c r="E107" s="79"/>
      <c r="P107" s="79"/>
      <c r="Q107" s="79"/>
      <c r="R107" s="79"/>
      <c r="Y107" s="79"/>
      <c r="AC107" s="130"/>
      <c r="AE107" s="106"/>
    </row>
    <row r="108">
      <c r="C108" s="79"/>
      <c r="D108" s="79"/>
      <c r="E108" s="79"/>
      <c r="P108" s="79"/>
      <c r="Q108" s="79"/>
      <c r="R108" s="79"/>
      <c r="Y108" s="79"/>
      <c r="AC108" s="130"/>
      <c r="AE108" s="106"/>
    </row>
    <row r="109">
      <c r="C109" s="79"/>
      <c r="D109" s="79"/>
      <c r="E109" s="79"/>
      <c r="P109" s="79"/>
      <c r="Q109" s="79"/>
      <c r="R109" s="79"/>
      <c r="Y109" s="79"/>
      <c r="AC109" s="130"/>
      <c r="AE109" s="106"/>
    </row>
    <row r="110">
      <c r="C110" s="79"/>
      <c r="D110" s="79"/>
      <c r="E110" s="79"/>
      <c r="P110" s="79"/>
      <c r="Q110" s="79"/>
      <c r="R110" s="79"/>
      <c r="Y110" s="79"/>
      <c r="AC110" s="130"/>
      <c r="AE110" s="106"/>
    </row>
    <row r="111">
      <c r="C111" s="79"/>
      <c r="D111" s="79"/>
      <c r="E111" s="79"/>
      <c r="P111" s="79"/>
      <c r="Q111" s="79"/>
      <c r="R111" s="79"/>
      <c r="Y111" s="79"/>
      <c r="AC111" s="130"/>
      <c r="AE111" s="106"/>
    </row>
    <row r="112">
      <c r="C112" s="79"/>
      <c r="D112" s="79"/>
      <c r="E112" s="79"/>
      <c r="P112" s="79"/>
      <c r="Q112" s="79"/>
      <c r="R112" s="79"/>
      <c r="Y112" s="79"/>
      <c r="AC112" s="130"/>
      <c r="AE112" s="106"/>
    </row>
    <row r="113">
      <c r="C113" s="79"/>
      <c r="D113" s="79"/>
      <c r="E113" s="79"/>
      <c r="P113" s="79"/>
      <c r="Q113" s="79"/>
      <c r="R113" s="79"/>
      <c r="Y113" s="79"/>
      <c r="AC113" s="130"/>
      <c r="AE113" s="106"/>
    </row>
    <row r="114">
      <c r="C114" s="79"/>
      <c r="D114" s="79"/>
      <c r="E114" s="79"/>
      <c r="P114" s="79"/>
      <c r="Q114" s="79"/>
      <c r="R114" s="79"/>
      <c r="Y114" s="79"/>
      <c r="AC114" s="130"/>
      <c r="AE114" s="106"/>
    </row>
    <row r="115">
      <c r="C115" s="79"/>
      <c r="D115" s="79"/>
      <c r="E115" s="79"/>
      <c r="P115" s="79"/>
      <c r="Q115" s="79"/>
      <c r="R115" s="79"/>
      <c r="Y115" s="79"/>
      <c r="AC115" s="130"/>
      <c r="AE115" s="106"/>
    </row>
    <row r="116">
      <c r="C116" s="79"/>
      <c r="D116" s="79"/>
      <c r="E116" s="79"/>
      <c r="P116" s="79"/>
      <c r="Q116" s="79"/>
      <c r="R116" s="79"/>
      <c r="Y116" s="79"/>
      <c r="AC116" s="130"/>
      <c r="AE116" s="106"/>
    </row>
    <row r="117">
      <c r="C117" s="79"/>
      <c r="D117" s="79"/>
      <c r="E117" s="79"/>
      <c r="P117" s="79"/>
      <c r="Q117" s="79"/>
      <c r="R117" s="79"/>
      <c r="Y117" s="79"/>
      <c r="AC117" s="130"/>
      <c r="AE117" s="106"/>
    </row>
    <row r="118">
      <c r="C118" s="79"/>
      <c r="D118" s="79"/>
      <c r="E118" s="79"/>
      <c r="P118" s="79"/>
      <c r="Q118" s="79"/>
      <c r="R118" s="79"/>
      <c r="Y118" s="79"/>
      <c r="AC118" s="130"/>
      <c r="AE118" s="106"/>
    </row>
    <row r="119">
      <c r="C119" s="79"/>
      <c r="D119" s="79"/>
      <c r="E119" s="79"/>
      <c r="P119" s="79"/>
      <c r="Q119" s="79"/>
      <c r="R119" s="79"/>
      <c r="Y119" s="79"/>
      <c r="AC119" s="130"/>
      <c r="AE119" s="106"/>
    </row>
    <row r="120">
      <c r="C120" s="79"/>
      <c r="D120" s="79"/>
      <c r="E120" s="79"/>
      <c r="P120" s="79"/>
      <c r="Q120" s="79"/>
      <c r="R120" s="79"/>
      <c r="Y120" s="79"/>
      <c r="AC120" s="130"/>
      <c r="AE120" s="106"/>
    </row>
    <row r="121">
      <c r="C121" s="79"/>
      <c r="D121" s="79"/>
      <c r="E121" s="79"/>
      <c r="P121" s="79"/>
      <c r="Q121" s="79"/>
      <c r="R121" s="79"/>
      <c r="Y121" s="79"/>
      <c r="AC121" s="130"/>
      <c r="AE121" s="106"/>
    </row>
    <row r="122">
      <c r="C122" s="79"/>
      <c r="D122" s="79"/>
      <c r="E122" s="79"/>
      <c r="P122" s="79"/>
      <c r="Q122" s="79"/>
      <c r="R122" s="79"/>
      <c r="Y122" s="79"/>
      <c r="AC122" s="130"/>
      <c r="AE122" s="106"/>
    </row>
    <row r="123">
      <c r="C123" s="79"/>
      <c r="D123" s="79"/>
      <c r="E123" s="79"/>
      <c r="P123" s="79"/>
      <c r="Q123" s="79"/>
      <c r="R123" s="79"/>
      <c r="Y123" s="79"/>
      <c r="AC123" s="130"/>
      <c r="AE123" s="106"/>
    </row>
    <row r="124">
      <c r="C124" s="79"/>
      <c r="D124" s="79"/>
      <c r="E124" s="79"/>
      <c r="P124" s="79"/>
      <c r="Q124" s="79"/>
      <c r="R124" s="79"/>
      <c r="Y124" s="79"/>
      <c r="AC124" s="130"/>
      <c r="AE124" s="106"/>
    </row>
    <row r="125">
      <c r="C125" s="79"/>
      <c r="D125" s="79"/>
      <c r="E125" s="79"/>
      <c r="P125" s="79"/>
      <c r="Q125" s="79"/>
      <c r="R125" s="79"/>
      <c r="Y125" s="79"/>
      <c r="AC125" s="130"/>
      <c r="AE125" s="106"/>
    </row>
    <row r="126">
      <c r="C126" s="79"/>
      <c r="D126" s="79"/>
      <c r="E126" s="79"/>
      <c r="P126" s="79"/>
      <c r="Q126" s="79"/>
      <c r="R126" s="79"/>
      <c r="Y126" s="79"/>
      <c r="AC126" s="130"/>
      <c r="AE126" s="106"/>
    </row>
    <row r="127">
      <c r="C127" s="79"/>
      <c r="D127" s="79"/>
      <c r="E127" s="79"/>
      <c r="P127" s="79"/>
      <c r="Q127" s="79"/>
      <c r="R127" s="79"/>
      <c r="Y127" s="79"/>
      <c r="AC127" s="130"/>
      <c r="AE127" s="106"/>
    </row>
    <row r="128">
      <c r="C128" s="79"/>
      <c r="D128" s="79"/>
      <c r="E128" s="79"/>
      <c r="P128" s="79"/>
      <c r="Q128" s="79"/>
      <c r="R128" s="79"/>
      <c r="Y128" s="79"/>
      <c r="AC128" s="130"/>
      <c r="AE128" s="106"/>
    </row>
    <row r="129">
      <c r="C129" s="79"/>
      <c r="D129" s="79"/>
      <c r="E129" s="79"/>
      <c r="P129" s="79"/>
      <c r="Q129" s="79"/>
      <c r="R129" s="79"/>
      <c r="Y129" s="79"/>
      <c r="AC129" s="130"/>
      <c r="AE129" s="106"/>
    </row>
    <row r="130">
      <c r="C130" s="79"/>
      <c r="D130" s="79"/>
      <c r="E130" s="79"/>
      <c r="P130" s="79"/>
      <c r="Q130" s="79"/>
      <c r="R130" s="79"/>
      <c r="Y130" s="79"/>
      <c r="AC130" s="130"/>
      <c r="AE130" s="106"/>
    </row>
    <row r="131">
      <c r="C131" s="79"/>
      <c r="D131" s="79"/>
      <c r="E131" s="79"/>
      <c r="P131" s="79"/>
      <c r="Q131" s="79"/>
      <c r="R131" s="79"/>
      <c r="Y131" s="79"/>
      <c r="AC131" s="130"/>
      <c r="AE131" s="106"/>
    </row>
    <row r="132">
      <c r="C132" s="79"/>
      <c r="D132" s="79"/>
      <c r="E132" s="79"/>
      <c r="P132" s="79"/>
      <c r="Q132" s="79"/>
      <c r="R132" s="79"/>
      <c r="Y132" s="79"/>
      <c r="AC132" s="130"/>
      <c r="AE132" s="106"/>
    </row>
    <row r="133">
      <c r="C133" s="79"/>
      <c r="D133" s="79"/>
      <c r="E133" s="79"/>
      <c r="P133" s="79"/>
      <c r="Q133" s="79"/>
      <c r="R133" s="79"/>
      <c r="Y133" s="79"/>
      <c r="AC133" s="130"/>
      <c r="AE133" s="106"/>
    </row>
    <row r="134">
      <c r="C134" s="79"/>
      <c r="D134" s="79"/>
      <c r="E134" s="79"/>
      <c r="P134" s="79"/>
      <c r="Q134" s="79"/>
      <c r="R134" s="79"/>
      <c r="Y134" s="79"/>
      <c r="AC134" s="130"/>
      <c r="AE134" s="106"/>
    </row>
    <row r="135">
      <c r="C135" s="79"/>
      <c r="D135" s="79"/>
      <c r="E135" s="79"/>
      <c r="P135" s="79"/>
      <c r="Q135" s="79"/>
      <c r="R135" s="79"/>
      <c r="Y135" s="79"/>
      <c r="AC135" s="130"/>
      <c r="AE135" s="106"/>
    </row>
    <row r="136">
      <c r="C136" s="79"/>
      <c r="D136" s="79"/>
      <c r="E136" s="79"/>
      <c r="P136" s="79"/>
      <c r="Q136" s="79"/>
      <c r="R136" s="79"/>
      <c r="Y136" s="79"/>
      <c r="AC136" s="130"/>
      <c r="AE136" s="106"/>
    </row>
    <row r="137">
      <c r="C137" s="79"/>
      <c r="D137" s="79"/>
      <c r="E137" s="79"/>
      <c r="P137" s="79"/>
      <c r="Q137" s="79"/>
      <c r="R137" s="79"/>
      <c r="Y137" s="79"/>
      <c r="AC137" s="130"/>
      <c r="AE137" s="106"/>
    </row>
    <row r="138">
      <c r="C138" s="79"/>
      <c r="D138" s="79"/>
      <c r="E138" s="79"/>
      <c r="P138" s="79"/>
      <c r="Q138" s="79"/>
      <c r="R138" s="79"/>
      <c r="Y138" s="79"/>
      <c r="AC138" s="130"/>
      <c r="AE138" s="106"/>
    </row>
    <row r="139">
      <c r="C139" s="79"/>
      <c r="D139" s="79"/>
      <c r="E139" s="79"/>
      <c r="P139" s="79"/>
      <c r="Q139" s="79"/>
      <c r="R139" s="79"/>
      <c r="Y139" s="79"/>
      <c r="AC139" s="130"/>
      <c r="AE139" s="106"/>
    </row>
    <row r="140">
      <c r="C140" s="79"/>
      <c r="D140" s="79"/>
      <c r="E140" s="79"/>
      <c r="P140" s="79"/>
      <c r="Q140" s="79"/>
      <c r="R140" s="79"/>
      <c r="Y140" s="79"/>
      <c r="AC140" s="130"/>
      <c r="AE140" s="106"/>
    </row>
    <row r="141">
      <c r="C141" s="79"/>
      <c r="D141" s="79"/>
      <c r="E141" s="79"/>
      <c r="P141" s="79"/>
      <c r="Q141" s="79"/>
      <c r="R141" s="79"/>
      <c r="Y141" s="79"/>
      <c r="AC141" s="130"/>
      <c r="AE141" s="106"/>
    </row>
    <row r="142">
      <c r="C142" s="79"/>
      <c r="D142" s="79"/>
      <c r="E142" s="79"/>
      <c r="P142" s="79"/>
      <c r="Q142" s="79"/>
      <c r="R142" s="79"/>
      <c r="Y142" s="79"/>
      <c r="AC142" s="130"/>
      <c r="AE142" s="106"/>
    </row>
    <row r="143">
      <c r="C143" s="79"/>
      <c r="D143" s="79"/>
      <c r="E143" s="79"/>
      <c r="P143" s="79"/>
      <c r="Q143" s="79"/>
      <c r="R143" s="79"/>
      <c r="Y143" s="79"/>
      <c r="AC143" s="130"/>
      <c r="AE143" s="106"/>
    </row>
    <row r="144">
      <c r="C144" s="79"/>
      <c r="D144" s="79"/>
      <c r="E144" s="79"/>
      <c r="P144" s="79"/>
      <c r="Q144" s="79"/>
      <c r="R144" s="79"/>
      <c r="Y144" s="79"/>
      <c r="AC144" s="130"/>
      <c r="AE144" s="106"/>
    </row>
    <row r="145">
      <c r="C145" s="79"/>
      <c r="D145" s="79"/>
      <c r="E145" s="79"/>
      <c r="P145" s="79"/>
      <c r="Q145" s="79"/>
      <c r="R145" s="79"/>
      <c r="Y145" s="79"/>
      <c r="AC145" s="130"/>
      <c r="AE145" s="106"/>
    </row>
    <row r="146">
      <c r="C146" s="79"/>
      <c r="D146" s="79"/>
      <c r="E146" s="79"/>
      <c r="P146" s="79"/>
      <c r="Q146" s="79"/>
      <c r="R146" s="79"/>
      <c r="Y146" s="79"/>
      <c r="AC146" s="130"/>
      <c r="AE146" s="106"/>
    </row>
    <row r="147">
      <c r="C147" s="79"/>
      <c r="D147" s="79"/>
      <c r="E147" s="79"/>
      <c r="P147" s="79"/>
      <c r="Q147" s="79"/>
      <c r="R147" s="79"/>
      <c r="Y147" s="79"/>
      <c r="AC147" s="130"/>
      <c r="AE147" s="106"/>
    </row>
    <row r="148">
      <c r="C148" s="79"/>
      <c r="D148" s="79"/>
      <c r="E148" s="79"/>
      <c r="P148" s="79"/>
      <c r="Q148" s="79"/>
      <c r="R148" s="79"/>
      <c r="Y148" s="79"/>
      <c r="AC148" s="130"/>
      <c r="AE148" s="106"/>
    </row>
    <row r="149">
      <c r="C149" s="79"/>
      <c r="D149" s="79"/>
      <c r="E149" s="79"/>
      <c r="P149" s="79"/>
      <c r="Q149" s="79"/>
      <c r="R149" s="79"/>
      <c r="Y149" s="79"/>
      <c r="AC149" s="130"/>
      <c r="AE149" s="106"/>
    </row>
    <row r="150">
      <c r="C150" s="79"/>
      <c r="D150" s="79"/>
      <c r="E150" s="79"/>
      <c r="P150" s="79"/>
      <c r="Q150" s="79"/>
      <c r="R150" s="79"/>
      <c r="Y150" s="79"/>
      <c r="AC150" s="130"/>
      <c r="AE150" s="106"/>
    </row>
    <row r="151">
      <c r="C151" s="79"/>
      <c r="D151" s="79"/>
      <c r="E151" s="79"/>
      <c r="P151" s="79"/>
      <c r="Q151" s="79"/>
      <c r="R151" s="79"/>
      <c r="Y151" s="79"/>
      <c r="AC151" s="130"/>
      <c r="AE151" s="106"/>
    </row>
    <row r="152">
      <c r="C152" s="79"/>
      <c r="D152" s="79"/>
      <c r="E152" s="79"/>
      <c r="P152" s="79"/>
      <c r="Q152" s="79"/>
      <c r="R152" s="79"/>
      <c r="Y152" s="79"/>
      <c r="AC152" s="130"/>
      <c r="AE152" s="106"/>
    </row>
    <row r="153">
      <c r="C153" s="79"/>
      <c r="D153" s="79"/>
      <c r="E153" s="79"/>
      <c r="P153" s="79"/>
      <c r="Q153" s="79"/>
      <c r="R153" s="79"/>
      <c r="Y153" s="79"/>
      <c r="AC153" s="130"/>
      <c r="AE153" s="106"/>
    </row>
    <row r="154">
      <c r="C154" s="79"/>
      <c r="D154" s="79"/>
      <c r="E154" s="79"/>
      <c r="P154" s="79"/>
      <c r="Q154" s="79"/>
      <c r="R154" s="79"/>
      <c r="Y154" s="79"/>
      <c r="AC154" s="130"/>
      <c r="AE154" s="106"/>
    </row>
    <row r="155">
      <c r="C155" s="79"/>
      <c r="D155" s="79"/>
      <c r="E155" s="79"/>
      <c r="P155" s="79"/>
      <c r="Q155" s="79"/>
      <c r="R155" s="79"/>
      <c r="Y155" s="79"/>
      <c r="AC155" s="130"/>
      <c r="AE155" s="106"/>
    </row>
    <row r="156">
      <c r="C156" s="79"/>
      <c r="D156" s="79"/>
      <c r="E156" s="79"/>
      <c r="P156" s="79"/>
      <c r="Q156" s="79"/>
      <c r="R156" s="79"/>
      <c r="Y156" s="79"/>
      <c r="AC156" s="130"/>
      <c r="AE156" s="106"/>
    </row>
    <row r="157">
      <c r="C157" s="79"/>
      <c r="D157" s="79"/>
      <c r="E157" s="79"/>
      <c r="P157" s="79"/>
      <c r="Q157" s="79"/>
      <c r="R157" s="79"/>
      <c r="Y157" s="79"/>
      <c r="AC157" s="130"/>
      <c r="AE157" s="106"/>
    </row>
    <row r="158">
      <c r="C158" s="79"/>
      <c r="D158" s="79"/>
      <c r="E158" s="79"/>
      <c r="P158" s="79"/>
      <c r="Q158" s="79"/>
      <c r="R158" s="79"/>
      <c r="Y158" s="79"/>
      <c r="AC158" s="130"/>
      <c r="AE158" s="106"/>
    </row>
    <row r="159">
      <c r="C159" s="79"/>
      <c r="D159" s="79"/>
      <c r="E159" s="79"/>
      <c r="P159" s="79"/>
      <c r="Q159" s="79"/>
      <c r="R159" s="79"/>
      <c r="Y159" s="79"/>
      <c r="AC159" s="130"/>
      <c r="AE159" s="106"/>
    </row>
    <row r="160">
      <c r="C160" s="79"/>
      <c r="D160" s="79"/>
      <c r="E160" s="79"/>
      <c r="P160" s="79"/>
      <c r="Q160" s="79"/>
      <c r="R160" s="79"/>
      <c r="Y160" s="79"/>
      <c r="AC160" s="130"/>
      <c r="AE160" s="106"/>
    </row>
    <row r="161">
      <c r="C161" s="79"/>
      <c r="D161" s="79"/>
      <c r="E161" s="79"/>
      <c r="P161" s="79"/>
      <c r="Q161" s="79"/>
      <c r="R161" s="79"/>
      <c r="Y161" s="79"/>
      <c r="AC161" s="130"/>
      <c r="AE161" s="106"/>
    </row>
    <row r="162">
      <c r="C162" s="79"/>
      <c r="D162" s="79"/>
      <c r="E162" s="79"/>
      <c r="P162" s="79"/>
      <c r="Q162" s="79"/>
      <c r="R162" s="79"/>
      <c r="Y162" s="79"/>
      <c r="AC162" s="130"/>
      <c r="AE162" s="106"/>
    </row>
    <row r="163">
      <c r="C163" s="79"/>
      <c r="D163" s="79"/>
      <c r="E163" s="79"/>
      <c r="P163" s="79"/>
      <c r="Q163" s="79"/>
      <c r="R163" s="79"/>
      <c r="Y163" s="79"/>
      <c r="AC163" s="130"/>
      <c r="AE163" s="106"/>
    </row>
    <row r="164">
      <c r="C164" s="79"/>
      <c r="D164" s="79"/>
      <c r="E164" s="79"/>
      <c r="P164" s="79"/>
      <c r="Q164" s="79"/>
      <c r="R164" s="79"/>
      <c r="Y164" s="79"/>
      <c r="AC164" s="130"/>
      <c r="AE164" s="106"/>
    </row>
    <row r="165">
      <c r="C165" s="79"/>
      <c r="D165" s="79"/>
      <c r="E165" s="79"/>
      <c r="P165" s="79"/>
      <c r="Q165" s="79"/>
      <c r="R165" s="79"/>
      <c r="Y165" s="79"/>
      <c r="AC165" s="130"/>
      <c r="AE165" s="106"/>
    </row>
    <row r="166">
      <c r="C166" s="79"/>
      <c r="D166" s="79"/>
      <c r="E166" s="79"/>
      <c r="P166" s="79"/>
      <c r="Q166" s="79"/>
      <c r="R166" s="79"/>
      <c r="Y166" s="79"/>
      <c r="AC166" s="130"/>
      <c r="AE166" s="106"/>
    </row>
    <row r="167">
      <c r="C167" s="79"/>
      <c r="D167" s="79"/>
      <c r="E167" s="79"/>
      <c r="P167" s="79"/>
      <c r="Q167" s="79"/>
      <c r="R167" s="79"/>
      <c r="Y167" s="79"/>
      <c r="AC167" s="130"/>
      <c r="AE167" s="106"/>
    </row>
    <row r="168">
      <c r="C168" s="79"/>
      <c r="D168" s="79"/>
      <c r="E168" s="79"/>
      <c r="P168" s="79"/>
      <c r="Q168" s="79"/>
      <c r="R168" s="79"/>
      <c r="Y168" s="79"/>
      <c r="AC168" s="130"/>
      <c r="AE168" s="106"/>
    </row>
    <row r="169">
      <c r="C169" s="79"/>
      <c r="D169" s="79"/>
      <c r="E169" s="79"/>
      <c r="P169" s="79"/>
      <c r="Q169" s="79"/>
      <c r="R169" s="79"/>
      <c r="Y169" s="79"/>
      <c r="AC169" s="130"/>
      <c r="AE169" s="106"/>
    </row>
    <row r="170">
      <c r="C170" s="79"/>
      <c r="D170" s="79"/>
      <c r="E170" s="79"/>
      <c r="P170" s="79"/>
      <c r="Q170" s="79"/>
      <c r="R170" s="79"/>
      <c r="Y170" s="79"/>
      <c r="AC170" s="130"/>
      <c r="AE170" s="106"/>
    </row>
    <row r="171">
      <c r="C171" s="79"/>
      <c r="D171" s="79"/>
      <c r="E171" s="79"/>
      <c r="P171" s="79"/>
      <c r="Q171" s="79"/>
      <c r="R171" s="79"/>
      <c r="Y171" s="79"/>
      <c r="AC171" s="130"/>
      <c r="AE171" s="106"/>
    </row>
    <row r="172">
      <c r="C172" s="79"/>
      <c r="D172" s="79"/>
      <c r="E172" s="79"/>
      <c r="P172" s="79"/>
      <c r="Q172" s="79"/>
      <c r="R172" s="79"/>
      <c r="Y172" s="79"/>
      <c r="AC172" s="130"/>
      <c r="AE172" s="106"/>
    </row>
    <row r="173">
      <c r="C173" s="79"/>
      <c r="D173" s="79"/>
      <c r="E173" s="79"/>
      <c r="P173" s="79"/>
      <c r="Q173" s="79"/>
      <c r="R173" s="79"/>
      <c r="Y173" s="79"/>
      <c r="AC173" s="130"/>
      <c r="AE173" s="106"/>
    </row>
    <row r="174">
      <c r="C174" s="79"/>
      <c r="D174" s="79"/>
      <c r="E174" s="79"/>
      <c r="P174" s="79"/>
      <c r="Q174" s="79"/>
      <c r="R174" s="79"/>
      <c r="Y174" s="79"/>
      <c r="AC174" s="130"/>
      <c r="AE174" s="106"/>
    </row>
    <row r="175">
      <c r="C175" s="79"/>
      <c r="D175" s="79"/>
      <c r="E175" s="79"/>
      <c r="P175" s="79"/>
      <c r="Q175" s="79"/>
      <c r="R175" s="79"/>
      <c r="Y175" s="79"/>
      <c r="AC175" s="130"/>
      <c r="AE175" s="106"/>
    </row>
    <row r="176">
      <c r="C176" s="79"/>
      <c r="D176" s="79"/>
      <c r="E176" s="79"/>
      <c r="P176" s="79"/>
      <c r="Q176" s="79"/>
      <c r="R176" s="79"/>
      <c r="Y176" s="79"/>
      <c r="AC176" s="130"/>
      <c r="AE176" s="106"/>
    </row>
    <row r="177">
      <c r="C177" s="79"/>
      <c r="D177" s="79"/>
      <c r="E177" s="79"/>
      <c r="P177" s="79"/>
      <c r="Q177" s="79"/>
      <c r="R177" s="79"/>
      <c r="Y177" s="79"/>
      <c r="AC177" s="130"/>
      <c r="AE177" s="106"/>
    </row>
    <row r="178">
      <c r="C178" s="79"/>
      <c r="D178" s="79"/>
      <c r="E178" s="79"/>
      <c r="P178" s="79"/>
      <c r="Q178" s="79"/>
      <c r="R178" s="79"/>
      <c r="Y178" s="79"/>
      <c r="AC178" s="130"/>
      <c r="AE178" s="106"/>
    </row>
    <row r="179">
      <c r="C179" s="79"/>
      <c r="D179" s="79"/>
      <c r="E179" s="79"/>
      <c r="P179" s="79"/>
      <c r="Q179" s="79"/>
      <c r="R179" s="79"/>
      <c r="Y179" s="79"/>
      <c r="AC179" s="130"/>
      <c r="AE179" s="106"/>
    </row>
    <row r="180">
      <c r="C180" s="79"/>
      <c r="D180" s="79"/>
      <c r="E180" s="79"/>
      <c r="P180" s="79"/>
      <c r="Q180" s="79"/>
      <c r="R180" s="79"/>
      <c r="Y180" s="79"/>
      <c r="AC180" s="130"/>
      <c r="AE180" s="106"/>
    </row>
    <row r="181">
      <c r="C181" s="79"/>
      <c r="D181" s="79"/>
      <c r="E181" s="79"/>
      <c r="P181" s="79"/>
      <c r="Q181" s="79"/>
      <c r="R181" s="79"/>
      <c r="Y181" s="79"/>
      <c r="AC181" s="130"/>
      <c r="AE181" s="106"/>
    </row>
    <row r="182">
      <c r="C182" s="79"/>
      <c r="D182" s="79"/>
      <c r="E182" s="79"/>
      <c r="P182" s="79"/>
      <c r="Q182" s="79"/>
      <c r="R182" s="79"/>
      <c r="Y182" s="79"/>
      <c r="AC182" s="130"/>
      <c r="AE182" s="106"/>
    </row>
    <row r="183">
      <c r="C183" s="79"/>
      <c r="D183" s="79"/>
      <c r="E183" s="79"/>
      <c r="P183" s="79"/>
      <c r="Q183" s="79"/>
      <c r="R183" s="79"/>
      <c r="Y183" s="79"/>
      <c r="AC183" s="130"/>
      <c r="AE183" s="106"/>
    </row>
    <row r="184">
      <c r="C184" s="79"/>
      <c r="D184" s="79"/>
      <c r="E184" s="79"/>
      <c r="P184" s="79"/>
      <c r="Q184" s="79"/>
      <c r="R184" s="79"/>
      <c r="Y184" s="79"/>
      <c r="AC184" s="130"/>
      <c r="AE184" s="106"/>
    </row>
    <row r="185">
      <c r="C185" s="79"/>
      <c r="D185" s="79"/>
      <c r="E185" s="79"/>
      <c r="P185" s="79"/>
      <c r="Q185" s="79"/>
      <c r="R185" s="79"/>
      <c r="Y185" s="79"/>
      <c r="AC185" s="130"/>
      <c r="AE185" s="106"/>
    </row>
    <row r="186">
      <c r="C186" s="79"/>
      <c r="D186" s="79"/>
      <c r="E186" s="79"/>
      <c r="P186" s="79"/>
      <c r="Q186" s="79"/>
      <c r="R186" s="79"/>
      <c r="Y186" s="79"/>
      <c r="AC186" s="130"/>
      <c r="AE186" s="106"/>
    </row>
    <row r="187">
      <c r="C187" s="79"/>
      <c r="D187" s="79"/>
      <c r="E187" s="79"/>
      <c r="P187" s="79"/>
      <c r="Q187" s="79"/>
      <c r="R187" s="79"/>
      <c r="Y187" s="79"/>
      <c r="AC187" s="130"/>
      <c r="AE187" s="106"/>
    </row>
    <row r="188">
      <c r="C188" s="79"/>
      <c r="D188" s="79"/>
      <c r="E188" s="79"/>
      <c r="P188" s="79"/>
      <c r="Q188" s="79"/>
      <c r="R188" s="79"/>
      <c r="Y188" s="79"/>
      <c r="AC188" s="130"/>
      <c r="AE188" s="106"/>
    </row>
    <row r="189">
      <c r="C189" s="79"/>
      <c r="D189" s="79"/>
      <c r="E189" s="79"/>
      <c r="P189" s="79"/>
      <c r="Q189" s="79"/>
      <c r="R189" s="79"/>
      <c r="Y189" s="79"/>
      <c r="AC189" s="130"/>
      <c r="AE189" s="106"/>
    </row>
    <row r="190">
      <c r="C190" s="79"/>
      <c r="D190" s="79"/>
      <c r="E190" s="79"/>
      <c r="P190" s="79"/>
      <c r="Q190" s="79"/>
      <c r="R190" s="79"/>
      <c r="Y190" s="79"/>
      <c r="AC190" s="130"/>
      <c r="AE190" s="106"/>
    </row>
    <row r="191">
      <c r="C191" s="79"/>
      <c r="D191" s="79"/>
      <c r="E191" s="79"/>
      <c r="P191" s="79"/>
      <c r="Q191" s="79"/>
      <c r="R191" s="79"/>
      <c r="Y191" s="79"/>
      <c r="AC191" s="130"/>
      <c r="AE191" s="106"/>
    </row>
    <row r="192">
      <c r="C192" s="79"/>
      <c r="D192" s="79"/>
      <c r="E192" s="79"/>
      <c r="P192" s="79"/>
      <c r="Q192" s="79"/>
      <c r="R192" s="79"/>
      <c r="Y192" s="79"/>
      <c r="AC192" s="130"/>
      <c r="AE192" s="106"/>
    </row>
    <row r="193">
      <c r="C193" s="79"/>
      <c r="D193" s="79"/>
      <c r="E193" s="79"/>
      <c r="P193" s="79"/>
      <c r="Q193" s="79"/>
      <c r="R193" s="79"/>
      <c r="Y193" s="79"/>
      <c r="AC193" s="130"/>
      <c r="AE193" s="106"/>
    </row>
    <row r="194">
      <c r="C194" s="79"/>
      <c r="D194" s="79"/>
      <c r="E194" s="79"/>
      <c r="P194" s="79"/>
      <c r="Q194" s="79"/>
      <c r="R194" s="79"/>
      <c r="Y194" s="79"/>
      <c r="AC194" s="130"/>
      <c r="AE194" s="106"/>
    </row>
    <row r="195">
      <c r="C195" s="79"/>
      <c r="D195" s="79"/>
      <c r="E195" s="79"/>
      <c r="P195" s="79"/>
      <c r="Q195" s="79"/>
      <c r="R195" s="79"/>
      <c r="Y195" s="79"/>
      <c r="AC195" s="130"/>
      <c r="AE195" s="106"/>
    </row>
    <row r="196">
      <c r="C196" s="79"/>
      <c r="D196" s="79"/>
      <c r="E196" s="79"/>
      <c r="P196" s="79"/>
      <c r="Q196" s="79"/>
      <c r="R196" s="79"/>
      <c r="Y196" s="79"/>
      <c r="AC196" s="130"/>
      <c r="AE196" s="106"/>
    </row>
    <row r="197">
      <c r="C197" s="79"/>
      <c r="D197" s="79"/>
      <c r="E197" s="79"/>
      <c r="P197" s="79"/>
      <c r="Q197" s="79"/>
      <c r="R197" s="79"/>
      <c r="Y197" s="79"/>
      <c r="AC197" s="130"/>
      <c r="AE197" s="106"/>
    </row>
    <row r="198">
      <c r="C198" s="79"/>
      <c r="D198" s="79"/>
      <c r="E198" s="79"/>
      <c r="P198" s="79"/>
      <c r="Q198" s="79"/>
      <c r="R198" s="79"/>
      <c r="Y198" s="79"/>
      <c r="AC198" s="130"/>
      <c r="AE198" s="106"/>
    </row>
    <row r="199">
      <c r="C199" s="79"/>
      <c r="D199" s="79"/>
      <c r="E199" s="79"/>
      <c r="P199" s="79"/>
      <c r="Q199" s="79"/>
      <c r="R199" s="79"/>
      <c r="Y199" s="79"/>
      <c r="AC199" s="130"/>
      <c r="AE199" s="106"/>
    </row>
    <row r="200">
      <c r="C200" s="79"/>
      <c r="D200" s="79"/>
      <c r="E200" s="79"/>
      <c r="P200" s="79"/>
      <c r="Q200" s="79"/>
      <c r="R200" s="79"/>
      <c r="Y200" s="79"/>
      <c r="AC200" s="130"/>
      <c r="AE200" s="106"/>
    </row>
    <row r="201">
      <c r="C201" s="79"/>
      <c r="D201" s="79"/>
      <c r="E201" s="79"/>
      <c r="P201" s="79"/>
      <c r="Q201" s="79"/>
      <c r="R201" s="79"/>
      <c r="Y201" s="79"/>
      <c r="AC201" s="130"/>
      <c r="AE201" s="106"/>
    </row>
    <row r="202">
      <c r="C202" s="79"/>
      <c r="D202" s="79"/>
      <c r="E202" s="79"/>
      <c r="P202" s="79"/>
      <c r="Q202" s="79"/>
      <c r="R202" s="79"/>
      <c r="Y202" s="79"/>
      <c r="AC202" s="130"/>
      <c r="AE202" s="106"/>
    </row>
    <row r="203">
      <c r="C203" s="79"/>
      <c r="D203" s="79"/>
      <c r="E203" s="79"/>
      <c r="P203" s="79"/>
      <c r="Q203" s="79"/>
      <c r="R203" s="79"/>
      <c r="Y203" s="79"/>
      <c r="AC203" s="130"/>
      <c r="AE203" s="106"/>
    </row>
    <row r="204">
      <c r="C204" s="79"/>
      <c r="D204" s="79"/>
      <c r="E204" s="79"/>
      <c r="P204" s="79"/>
      <c r="Q204" s="79"/>
      <c r="R204" s="79"/>
      <c r="Y204" s="79"/>
      <c r="AC204" s="130"/>
      <c r="AE204" s="106"/>
    </row>
    <row r="205">
      <c r="C205" s="79"/>
      <c r="D205" s="79"/>
      <c r="E205" s="79"/>
      <c r="P205" s="79"/>
      <c r="Q205" s="79"/>
      <c r="R205" s="79"/>
      <c r="Y205" s="79"/>
      <c r="AC205" s="130"/>
      <c r="AE205" s="106"/>
    </row>
    <row r="206">
      <c r="C206" s="79"/>
      <c r="D206" s="79"/>
      <c r="E206" s="79"/>
      <c r="P206" s="79"/>
      <c r="Q206" s="79"/>
      <c r="R206" s="79"/>
      <c r="Y206" s="79"/>
      <c r="AC206" s="130"/>
      <c r="AE206" s="106"/>
    </row>
    <row r="207">
      <c r="C207" s="79"/>
      <c r="D207" s="79"/>
      <c r="E207" s="79"/>
      <c r="P207" s="79"/>
      <c r="Q207" s="79"/>
      <c r="R207" s="79"/>
      <c r="Y207" s="79"/>
      <c r="AC207" s="130"/>
      <c r="AE207" s="106"/>
    </row>
    <row r="208">
      <c r="C208" s="79"/>
      <c r="D208" s="79"/>
      <c r="E208" s="79"/>
      <c r="P208" s="79"/>
      <c r="Q208" s="79"/>
      <c r="R208" s="79"/>
      <c r="Y208" s="79"/>
      <c r="AC208" s="130"/>
      <c r="AE208" s="106"/>
    </row>
    <row r="209">
      <c r="C209" s="79"/>
      <c r="D209" s="79"/>
      <c r="E209" s="79"/>
      <c r="P209" s="79"/>
      <c r="Q209" s="79"/>
      <c r="R209" s="79"/>
      <c r="Y209" s="79"/>
      <c r="AC209" s="130"/>
      <c r="AE209" s="106"/>
    </row>
    <row r="210">
      <c r="C210" s="79"/>
      <c r="D210" s="79"/>
      <c r="E210" s="79"/>
      <c r="P210" s="79"/>
      <c r="Q210" s="79"/>
      <c r="R210" s="79"/>
      <c r="Y210" s="79"/>
      <c r="AC210" s="130"/>
      <c r="AE210" s="106"/>
    </row>
    <row r="211">
      <c r="C211" s="79"/>
      <c r="D211" s="79"/>
      <c r="E211" s="79"/>
      <c r="P211" s="79"/>
      <c r="Q211" s="79"/>
      <c r="R211" s="79"/>
      <c r="Y211" s="79"/>
      <c r="AC211" s="130"/>
      <c r="AE211" s="106"/>
    </row>
    <row r="212">
      <c r="C212" s="79"/>
      <c r="D212" s="79"/>
      <c r="E212" s="79"/>
      <c r="P212" s="79"/>
      <c r="Q212" s="79"/>
      <c r="R212" s="79"/>
      <c r="Y212" s="79"/>
      <c r="AC212" s="130"/>
      <c r="AE212" s="106"/>
    </row>
    <row r="213">
      <c r="C213" s="79"/>
      <c r="D213" s="79"/>
      <c r="E213" s="79"/>
      <c r="P213" s="79"/>
      <c r="Q213" s="79"/>
      <c r="R213" s="79"/>
      <c r="Y213" s="79"/>
      <c r="AC213" s="130"/>
      <c r="AE213" s="106"/>
    </row>
    <row r="214">
      <c r="C214" s="79"/>
      <c r="D214" s="79"/>
      <c r="E214" s="79"/>
      <c r="P214" s="79"/>
      <c r="Q214" s="79"/>
      <c r="R214" s="79"/>
      <c r="Y214" s="79"/>
      <c r="AC214" s="130"/>
      <c r="AE214" s="106"/>
    </row>
    <row r="215">
      <c r="C215" s="79"/>
      <c r="D215" s="79"/>
      <c r="E215" s="79"/>
      <c r="P215" s="79"/>
      <c r="Q215" s="79"/>
      <c r="R215" s="79"/>
      <c r="Y215" s="79"/>
      <c r="AC215" s="130"/>
      <c r="AE215" s="106"/>
    </row>
    <row r="216">
      <c r="C216" s="79"/>
      <c r="D216" s="79"/>
      <c r="E216" s="79"/>
      <c r="P216" s="79"/>
      <c r="Q216" s="79"/>
      <c r="R216" s="79"/>
      <c r="Y216" s="79"/>
      <c r="AC216" s="130"/>
      <c r="AE216" s="106"/>
    </row>
    <row r="217">
      <c r="C217" s="79"/>
      <c r="D217" s="79"/>
      <c r="E217" s="79"/>
      <c r="P217" s="79"/>
      <c r="Q217" s="79"/>
      <c r="R217" s="79"/>
      <c r="Y217" s="79"/>
      <c r="AC217" s="130"/>
      <c r="AE217" s="106"/>
    </row>
    <row r="218">
      <c r="C218" s="79"/>
      <c r="D218" s="79"/>
      <c r="E218" s="79"/>
      <c r="P218" s="79"/>
      <c r="Q218" s="79"/>
      <c r="R218" s="79"/>
      <c r="Y218" s="79"/>
      <c r="AC218" s="130"/>
      <c r="AE218" s="106"/>
    </row>
    <row r="219">
      <c r="C219" s="79"/>
      <c r="D219" s="79"/>
      <c r="E219" s="79"/>
      <c r="P219" s="79"/>
      <c r="Q219" s="79"/>
      <c r="R219" s="79"/>
      <c r="Y219" s="79"/>
      <c r="AC219" s="130"/>
      <c r="AE219" s="106"/>
    </row>
    <row r="220">
      <c r="C220" s="79"/>
      <c r="D220" s="79"/>
      <c r="E220" s="79"/>
      <c r="P220" s="79"/>
      <c r="Q220" s="79"/>
      <c r="R220" s="79"/>
      <c r="Y220" s="79"/>
      <c r="AC220" s="130"/>
      <c r="AE220" s="106"/>
    </row>
    <row r="221">
      <c r="C221" s="79"/>
      <c r="D221" s="79"/>
      <c r="E221" s="79"/>
      <c r="P221" s="79"/>
      <c r="Q221" s="79"/>
      <c r="R221" s="79"/>
      <c r="Y221" s="79"/>
      <c r="AC221" s="130"/>
      <c r="AE221" s="106"/>
    </row>
    <row r="222">
      <c r="C222" s="79"/>
      <c r="D222" s="79"/>
      <c r="E222" s="79"/>
      <c r="P222" s="79"/>
      <c r="Q222" s="79"/>
      <c r="R222" s="79"/>
      <c r="Y222" s="79"/>
      <c r="AC222" s="130"/>
      <c r="AE222" s="106"/>
    </row>
    <row r="223">
      <c r="C223" s="79"/>
      <c r="D223" s="79"/>
      <c r="E223" s="79"/>
      <c r="P223" s="79"/>
      <c r="Q223" s="79"/>
      <c r="R223" s="79"/>
      <c r="Y223" s="79"/>
      <c r="AC223" s="130"/>
      <c r="AE223" s="106"/>
    </row>
    <row r="224">
      <c r="C224" s="79"/>
      <c r="D224" s="79"/>
      <c r="E224" s="79"/>
      <c r="P224" s="79"/>
      <c r="Q224" s="79"/>
      <c r="R224" s="79"/>
      <c r="Y224" s="79"/>
      <c r="AC224" s="130"/>
      <c r="AE224" s="106"/>
    </row>
    <row r="225">
      <c r="C225" s="79"/>
      <c r="D225" s="79"/>
      <c r="E225" s="79"/>
      <c r="P225" s="79"/>
      <c r="Q225" s="79"/>
      <c r="R225" s="79"/>
      <c r="Y225" s="79"/>
      <c r="AC225" s="130"/>
      <c r="AE225" s="106"/>
    </row>
    <row r="226">
      <c r="C226" s="79"/>
      <c r="D226" s="79"/>
      <c r="E226" s="79"/>
      <c r="P226" s="79"/>
      <c r="Q226" s="79"/>
      <c r="R226" s="79"/>
      <c r="Y226" s="79"/>
      <c r="AC226" s="130"/>
      <c r="AE226" s="106"/>
    </row>
    <row r="227">
      <c r="C227" s="79"/>
      <c r="D227" s="79"/>
      <c r="E227" s="79"/>
      <c r="P227" s="79"/>
      <c r="Q227" s="79"/>
      <c r="R227" s="79"/>
      <c r="Y227" s="79"/>
      <c r="AC227" s="130"/>
      <c r="AE227" s="106"/>
    </row>
    <row r="228">
      <c r="C228" s="79"/>
      <c r="D228" s="79"/>
      <c r="E228" s="79"/>
      <c r="P228" s="79"/>
      <c r="Q228" s="79"/>
      <c r="R228" s="79"/>
      <c r="Y228" s="79"/>
      <c r="AC228" s="130"/>
      <c r="AE228" s="106"/>
    </row>
    <row r="229">
      <c r="C229" s="79"/>
      <c r="D229" s="79"/>
      <c r="E229" s="79"/>
      <c r="P229" s="79"/>
      <c r="Q229" s="79"/>
      <c r="R229" s="79"/>
      <c r="Y229" s="79"/>
      <c r="AC229" s="130"/>
      <c r="AE229" s="106"/>
    </row>
    <row r="230">
      <c r="C230" s="79"/>
      <c r="D230" s="79"/>
      <c r="E230" s="79"/>
      <c r="P230" s="79"/>
      <c r="Q230" s="79"/>
      <c r="R230" s="79"/>
      <c r="Y230" s="79"/>
      <c r="AC230" s="130"/>
      <c r="AE230" s="106"/>
    </row>
    <row r="231">
      <c r="C231" s="79"/>
      <c r="D231" s="79"/>
      <c r="E231" s="79"/>
      <c r="P231" s="79"/>
      <c r="Q231" s="79"/>
      <c r="R231" s="79"/>
      <c r="Y231" s="79"/>
      <c r="AC231" s="130"/>
      <c r="AE231" s="106"/>
    </row>
    <row r="232">
      <c r="C232" s="79"/>
      <c r="D232" s="79"/>
      <c r="E232" s="79"/>
      <c r="P232" s="79"/>
      <c r="Q232" s="79"/>
      <c r="R232" s="79"/>
      <c r="Y232" s="79"/>
      <c r="AC232" s="130"/>
      <c r="AE232" s="106"/>
    </row>
    <row r="233">
      <c r="C233" s="79"/>
      <c r="D233" s="79"/>
      <c r="E233" s="79"/>
      <c r="P233" s="79"/>
      <c r="Q233" s="79"/>
      <c r="R233" s="79"/>
      <c r="Y233" s="79"/>
      <c r="AC233" s="130"/>
      <c r="AE233" s="106"/>
    </row>
    <row r="234">
      <c r="C234" s="79"/>
      <c r="D234" s="79"/>
      <c r="E234" s="79"/>
      <c r="P234" s="79"/>
      <c r="Q234" s="79"/>
      <c r="R234" s="79"/>
      <c r="Y234" s="79"/>
      <c r="AC234" s="130"/>
      <c r="AE234" s="106"/>
    </row>
    <row r="235">
      <c r="C235" s="79"/>
      <c r="D235" s="79"/>
      <c r="E235" s="79"/>
      <c r="P235" s="79"/>
      <c r="Q235" s="79"/>
      <c r="R235" s="79"/>
      <c r="Y235" s="79"/>
      <c r="AC235" s="130"/>
      <c r="AE235" s="106"/>
    </row>
    <row r="236">
      <c r="C236" s="79"/>
      <c r="D236" s="79"/>
      <c r="E236" s="79"/>
      <c r="P236" s="79"/>
      <c r="Q236" s="79"/>
      <c r="R236" s="79"/>
      <c r="Y236" s="79"/>
      <c r="AC236" s="130"/>
      <c r="AE236" s="106"/>
    </row>
    <row r="237">
      <c r="C237" s="79"/>
      <c r="D237" s="79"/>
      <c r="E237" s="79"/>
      <c r="P237" s="79"/>
      <c r="Q237" s="79"/>
      <c r="R237" s="79"/>
      <c r="Y237" s="79"/>
      <c r="AC237" s="130"/>
      <c r="AE237" s="106"/>
    </row>
    <row r="238">
      <c r="C238" s="79"/>
      <c r="D238" s="79"/>
      <c r="E238" s="79"/>
      <c r="P238" s="79"/>
      <c r="Q238" s="79"/>
      <c r="R238" s="79"/>
      <c r="Y238" s="79"/>
      <c r="AC238" s="130"/>
      <c r="AE238" s="106"/>
    </row>
    <row r="239">
      <c r="C239" s="79"/>
      <c r="D239" s="79"/>
      <c r="E239" s="79"/>
      <c r="P239" s="79"/>
      <c r="Q239" s="79"/>
      <c r="R239" s="79"/>
      <c r="Y239" s="79"/>
      <c r="AC239" s="130"/>
      <c r="AE239" s="106"/>
    </row>
    <row r="240">
      <c r="C240" s="79"/>
      <c r="D240" s="79"/>
      <c r="E240" s="79"/>
      <c r="P240" s="79"/>
      <c r="Q240" s="79"/>
      <c r="R240" s="79"/>
      <c r="Y240" s="79"/>
      <c r="AC240" s="130"/>
      <c r="AE240" s="106"/>
    </row>
    <row r="241">
      <c r="C241" s="79"/>
      <c r="D241" s="79"/>
      <c r="E241" s="79"/>
      <c r="P241" s="79"/>
      <c r="Q241" s="79"/>
      <c r="R241" s="79"/>
      <c r="Y241" s="79"/>
      <c r="AC241" s="130"/>
      <c r="AE241" s="106"/>
    </row>
    <row r="242">
      <c r="C242" s="79"/>
      <c r="D242" s="79"/>
      <c r="E242" s="79"/>
      <c r="P242" s="79"/>
      <c r="Q242" s="79"/>
      <c r="R242" s="79"/>
      <c r="Y242" s="79"/>
      <c r="AC242" s="130"/>
      <c r="AE242" s="106"/>
    </row>
    <row r="243">
      <c r="C243" s="79"/>
      <c r="D243" s="79"/>
      <c r="E243" s="79"/>
      <c r="P243" s="79"/>
      <c r="Q243" s="79"/>
      <c r="R243" s="79"/>
      <c r="Y243" s="79"/>
      <c r="AC243" s="130"/>
      <c r="AE243" s="106"/>
    </row>
    <row r="244">
      <c r="C244" s="79"/>
      <c r="D244" s="79"/>
      <c r="E244" s="79"/>
      <c r="P244" s="79"/>
      <c r="Q244" s="79"/>
      <c r="R244" s="79"/>
      <c r="Y244" s="79"/>
      <c r="AC244" s="130"/>
      <c r="AE244" s="106"/>
    </row>
    <row r="245">
      <c r="C245" s="79"/>
      <c r="D245" s="79"/>
      <c r="E245" s="79"/>
      <c r="P245" s="79"/>
      <c r="Q245" s="79"/>
      <c r="R245" s="79"/>
      <c r="Y245" s="79"/>
      <c r="AC245" s="130"/>
      <c r="AE245" s="106"/>
    </row>
    <row r="246">
      <c r="C246" s="79"/>
      <c r="D246" s="79"/>
      <c r="E246" s="79"/>
      <c r="P246" s="79"/>
      <c r="Q246" s="79"/>
      <c r="R246" s="79"/>
      <c r="Y246" s="79"/>
      <c r="AC246" s="130"/>
      <c r="AE246" s="106"/>
    </row>
    <row r="247">
      <c r="C247" s="79"/>
      <c r="D247" s="79"/>
      <c r="E247" s="79"/>
      <c r="P247" s="79"/>
      <c r="Q247" s="79"/>
      <c r="R247" s="79"/>
      <c r="Y247" s="79"/>
      <c r="AC247" s="130"/>
      <c r="AE247" s="106"/>
    </row>
    <row r="248">
      <c r="C248" s="79"/>
      <c r="D248" s="79"/>
      <c r="E248" s="79"/>
      <c r="P248" s="79"/>
      <c r="Q248" s="79"/>
      <c r="R248" s="79"/>
      <c r="Y248" s="79"/>
      <c r="AC248" s="130"/>
      <c r="AE248" s="106"/>
    </row>
    <row r="249">
      <c r="C249" s="79"/>
      <c r="D249" s="79"/>
      <c r="E249" s="79"/>
      <c r="P249" s="79"/>
      <c r="Q249" s="79"/>
      <c r="R249" s="79"/>
      <c r="Y249" s="79"/>
      <c r="AC249" s="130"/>
      <c r="AE249" s="106"/>
    </row>
    <row r="250">
      <c r="C250" s="79"/>
      <c r="D250" s="79"/>
      <c r="E250" s="79"/>
      <c r="P250" s="79"/>
      <c r="Q250" s="79"/>
      <c r="R250" s="79"/>
      <c r="Y250" s="79"/>
      <c r="AC250" s="130"/>
      <c r="AE250" s="106"/>
    </row>
    <row r="251">
      <c r="C251" s="79"/>
      <c r="D251" s="79"/>
      <c r="E251" s="79"/>
      <c r="P251" s="79"/>
      <c r="Q251" s="79"/>
      <c r="R251" s="79"/>
      <c r="Y251" s="79"/>
      <c r="AC251" s="130"/>
      <c r="AE251" s="106"/>
    </row>
    <row r="252">
      <c r="C252" s="79"/>
      <c r="D252" s="79"/>
      <c r="E252" s="79"/>
      <c r="P252" s="79"/>
      <c r="Q252" s="79"/>
      <c r="R252" s="79"/>
      <c r="Y252" s="79"/>
      <c r="AC252" s="130"/>
      <c r="AE252" s="106"/>
    </row>
    <row r="253">
      <c r="C253" s="79"/>
      <c r="D253" s="79"/>
      <c r="E253" s="79"/>
      <c r="P253" s="79"/>
      <c r="Q253" s="79"/>
      <c r="R253" s="79"/>
      <c r="Y253" s="79"/>
      <c r="AC253" s="130"/>
      <c r="AE253" s="106"/>
    </row>
    <row r="254">
      <c r="C254" s="79"/>
      <c r="D254" s="79"/>
      <c r="E254" s="79"/>
      <c r="P254" s="79"/>
      <c r="Q254" s="79"/>
      <c r="R254" s="79"/>
      <c r="Y254" s="79"/>
      <c r="AC254" s="130"/>
      <c r="AE254" s="106"/>
    </row>
    <row r="255">
      <c r="C255" s="79"/>
      <c r="D255" s="79"/>
      <c r="E255" s="79"/>
      <c r="P255" s="79"/>
      <c r="Q255" s="79"/>
      <c r="R255" s="79"/>
      <c r="Y255" s="79"/>
      <c r="AC255" s="130"/>
      <c r="AE255" s="106"/>
    </row>
    <row r="256">
      <c r="C256" s="79"/>
      <c r="D256" s="79"/>
      <c r="E256" s="79"/>
      <c r="P256" s="79"/>
      <c r="Q256" s="79"/>
      <c r="R256" s="79"/>
      <c r="Y256" s="79"/>
      <c r="AC256" s="130"/>
      <c r="AE256" s="106"/>
    </row>
    <row r="257">
      <c r="C257" s="79"/>
      <c r="D257" s="79"/>
      <c r="E257" s="79"/>
      <c r="P257" s="79"/>
      <c r="Q257" s="79"/>
      <c r="R257" s="79"/>
      <c r="Y257" s="79"/>
      <c r="AC257" s="130"/>
      <c r="AE257" s="106"/>
    </row>
    <row r="258">
      <c r="C258" s="79"/>
      <c r="D258" s="79"/>
      <c r="E258" s="79"/>
      <c r="P258" s="79"/>
      <c r="Q258" s="79"/>
      <c r="R258" s="79"/>
      <c r="Y258" s="79"/>
      <c r="AC258" s="130"/>
      <c r="AE258" s="106"/>
    </row>
    <row r="259">
      <c r="C259" s="79"/>
      <c r="D259" s="79"/>
      <c r="E259" s="79"/>
      <c r="P259" s="79"/>
      <c r="Q259" s="79"/>
      <c r="R259" s="79"/>
      <c r="Y259" s="79"/>
      <c r="AC259" s="130"/>
      <c r="AE259" s="106"/>
    </row>
    <row r="260">
      <c r="C260" s="79"/>
      <c r="D260" s="79"/>
      <c r="E260" s="79"/>
      <c r="P260" s="79"/>
      <c r="Q260" s="79"/>
      <c r="R260" s="79"/>
      <c r="Y260" s="79"/>
      <c r="AC260" s="130"/>
      <c r="AE260" s="106"/>
    </row>
    <row r="261">
      <c r="C261" s="79"/>
      <c r="D261" s="79"/>
      <c r="E261" s="79"/>
      <c r="P261" s="79"/>
      <c r="Q261" s="79"/>
      <c r="R261" s="79"/>
      <c r="Y261" s="79"/>
      <c r="AC261" s="130"/>
      <c r="AE261" s="106"/>
    </row>
    <row r="262">
      <c r="C262" s="79"/>
      <c r="D262" s="79"/>
      <c r="E262" s="79"/>
      <c r="P262" s="79"/>
      <c r="Q262" s="79"/>
      <c r="R262" s="79"/>
      <c r="Y262" s="79"/>
      <c r="AC262" s="130"/>
      <c r="AE262" s="106"/>
    </row>
    <row r="263">
      <c r="C263" s="79"/>
      <c r="D263" s="79"/>
      <c r="E263" s="79"/>
      <c r="P263" s="79"/>
      <c r="Q263" s="79"/>
      <c r="R263" s="79"/>
      <c r="Y263" s="79"/>
      <c r="AC263" s="130"/>
      <c r="AE263" s="106"/>
    </row>
    <row r="264">
      <c r="C264" s="79"/>
      <c r="D264" s="79"/>
      <c r="E264" s="79"/>
      <c r="P264" s="79"/>
      <c r="Q264" s="79"/>
      <c r="R264" s="79"/>
      <c r="Y264" s="79"/>
      <c r="AC264" s="130"/>
      <c r="AE264" s="106"/>
    </row>
    <row r="265">
      <c r="C265" s="79"/>
      <c r="D265" s="79"/>
      <c r="E265" s="79"/>
      <c r="P265" s="79"/>
      <c r="Q265" s="79"/>
      <c r="R265" s="79"/>
      <c r="Y265" s="79"/>
      <c r="AC265" s="130"/>
      <c r="AE265" s="106"/>
    </row>
    <row r="266">
      <c r="C266" s="79"/>
      <c r="D266" s="79"/>
      <c r="E266" s="79"/>
      <c r="P266" s="79"/>
      <c r="Q266" s="79"/>
      <c r="R266" s="79"/>
      <c r="Y266" s="79"/>
      <c r="AC266" s="130"/>
      <c r="AE266" s="106"/>
    </row>
    <row r="267">
      <c r="C267" s="79"/>
      <c r="D267" s="79"/>
      <c r="E267" s="79"/>
      <c r="P267" s="79"/>
      <c r="Q267" s="79"/>
      <c r="R267" s="79"/>
      <c r="Y267" s="79"/>
      <c r="AC267" s="130"/>
      <c r="AE267" s="106"/>
    </row>
    <row r="268">
      <c r="C268" s="79"/>
      <c r="D268" s="79"/>
      <c r="E268" s="79"/>
      <c r="P268" s="79"/>
      <c r="Q268" s="79"/>
      <c r="R268" s="79"/>
      <c r="Y268" s="79"/>
      <c r="AC268" s="130"/>
      <c r="AE268" s="106"/>
    </row>
    <row r="269">
      <c r="C269" s="79"/>
      <c r="D269" s="79"/>
      <c r="E269" s="79"/>
      <c r="P269" s="79"/>
      <c r="Q269" s="79"/>
      <c r="R269" s="79"/>
      <c r="Y269" s="79"/>
      <c r="AC269" s="130"/>
      <c r="AE269" s="106"/>
    </row>
    <row r="270">
      <c r="C270" s="79"/>
      <c r="D270" s="79"/>
      <c r="E270" s="79"/>
      <c r="P270" s="79"/>
      <c r="Q270" s="79"/>
      <c r="R270" s="79"/>
      <c r="Y270" s="79"/>
      <c r="AC270" s="130"/>
      <c r="AE270" s="106"/>
    </row>
    <row r="271">
      <c r="C271" s="79"/>
      <c r="D271" s="79"/>
      <c r="E271" s="79"/>
      <c r="P271" s="79"/>
      <c r="Q271" s="79"/>
      <c r="R271" s="79"/>
      <c r="Y271" s="79"/>
      <c r="AC271" s="130"/>
      <c r="AE271" s="106"/>
    </row>
    <row r="272">
      <c r="C272" s="79"/>
      <c r="D272" s="79"/>
      <c r="E272" s="79"/>
      <c r="P272" s="79"/>
      <c r="Q272" s="79"/>
      <c r="R272" s="79"/>
      <c r="Y272" s="79"/>
      <c r="AC272" s="130"/>
      <c r="AE272" s="106"/>
    </row>
    <row r="273">
      <c r="C273" s="79"/>
      <c r="D273" s="79"/>
      <c r="E273" s="79"/>
      <c r="P273" s="79"/>
      <c r="Q273" s="79"/>
      <c r="R273" s="79"/>
      <c r="Y273" s="79"/>
      <c r="AC273" s="130"/>
      <c r="AE273" s="106"/>
    </row>
    <row r="274">
      <c r="C274" s="79"/>
      <c r="D274" s="79"/>
      <c r="E274" s="79"/>
      <c r="P274" s="79"/>
      <c r="Q274" s="79"/>
      <c r="R274" s="79"/>
      <c r="Y274" s="79"/>
      <c r="AC274" s="130"/>
      <c r="AE274" s="106"/>
    </row>
    <row r="275">
      <c r="C275" s="79"/>
      <c r="D275" s="79"/>
      <c r="E275" s="79"/>
      <c r="P275" s="79"/>
      <c r="Q275" s="79"/>
      <c r="R275" s="79"/>
      <c r="Y275" s="79"/>
      <c r="AC275" s="130"/>
      <c r="AE275" s="106"/>
    </row>
    <row r="276">
      <c r="C276" s="79"/>
      <c r="D276" s="79"/>
      <c r="E276" s="79"/>
      <c r="P276" s="79"/>
      <c r="Q276" s="79"/>
      <c r="R276" s="79"/>
      <c r="Y276" s="79"/>
      <c r="AC276" s="130"/>
      <c r="AE276" s="106"/>
    </row>
    <row r="277">
      <c r="C277" s="79"/>
      <c r="D277" s="79"/>
      <c r="E277" s="79"/>
      <c r="P277" s="79"/>
      <c r="Q277" s="79"/>
      <c r="R277" s="79"/>
      <c r="Y277" s="79"/>
      <c r="AC277" s="130"/>
      <c r="AE277" s="106"/>
    </row>
    <row r="278">
      <c r="C278" s="79"/>
      <c r="D278" s="79"/>
      <c r="E278" s="79"/>
      <c r="P278" s="79"/>
      <c r="Q278" s="79"/>
      <c r="R278" s="79"/>
      <c r="Y278" s="79"/>
      <c r="AC278" s="130"/>
      <c r="AE278" s="106"/>
    </row>
    <row r="279">
      <c r="C279" s="79"/>
      <c r="D279" s="79"/>
      <c r="E279" s="79"/>
      <c r="P279" s="79"/>
      <c r="Q279" s="79"/>
      <c r="R279" s="79"/>
      <c r="Y279" s="79"/>
      <c r="AC279" s="130"/>
      <c r="AE279" s="106"/>
    </row>
    <row r="280">
      <c r="C280" s="79"/>
      <c r="D280" s="79"/>
      <c r="E280" s="79"/>
      <c r="P280" s="79"/>
      <c r="Q280" s="79"/>
      <c r="R280" s="79"/>
      <c r="Y280" s="79"/>
      <c r="AC280" s="130"/>
      <c r="AE280" s="106"/>
    </row>
    <row r="281">
      <c r="C281" s="79"/>
      <c r="D281" s="79"/>
      <c r="E281" s="79"/>
      <c r="P281" s="79"/>
      <c r="Q281" s="79"/>
      <c r="R281" s="79"/>
      <c r="Y281" s="79"/>
      <c r="AC281" s="130"/>
      <c r="AE281" s="106"/>
    </row>
    <row r="282">
      <c r="C282" s="79"/>
      <c r="D282" s="79"/>
      <c r="E282" s="79"/>
      <c r="P282" s="79"/>
      <c r="Q282" s="79"/>
      <c r="R282" s="79"/>
      <c r="Y282" s="79"/>
      <c r="AC282" s="130"/>
      <c r="AE282" s="106"/>
    </row>
    <row r="283">
      <c r="C283" s="79"/>
      <c r="D283" s="79"/>
      <c r="E283" s="79"/>
      <c r="P283" s="79"/>
      <c r="Q283" s="79"/>
      <c r="R283" s="79"/>
      <c r="Y283" s="79"/>
      <c r="AC283" s="130"/>
      <c r="AE283" s="106"/>
    </row>
    <row r="284">
      <c r="C284" s="79"/>
      <c r="D284" s="79"/>
      <c r="E284" s="79"/>
      <c r="P284" s="79"/>
      <c r="Q284" s="79"/>
      <c r="R284" s="79"/>
      <c r="Y284" s="79"/>
      <c r="AC284" s="130"/>
      <c r="AE284" s="106"/>
    </row>
    <row r="285">
      <c r="C285" s="79"/>
      <c r="D285" s="79"/>
      <c r="E285" s="79"/>
      <c r="P285" s="79"/>
      <c r="Q285" s="79"/>
      <c r="R285" s="79"/>
      <c r="Y285" s="79"/>
      <c r="AC285" s="130"/>
      <c r="AE285" s="106"/>
    </row>
    <row r="286">
      <c r="C286" s="79"/>
      <c r="D286" s="79"/>
      <c r="E286" s="79"/>
      <c r="P286" s="79"/>
      <c r="Q286" s="79"/>
      <c r="R286" s="79"/>
      <c r="Y286" s="79"/>
      <c r="AC286" s="130"/>
      <c r="AE286" s="106"/>
    </row>
    <row r="287">
      <c r="C287" s="79"/>
      <c r="D287" s="79"/>
      <c r="E287" s="79"/>
      <c r="P287" s="79"/>
      <c r="Q287" s="79"/>
      <c r="R287" s="79"/>
      <c r="Y287" s="79"/>
      <c r="AC287" s="130"/>
      <c r="AE287" s="106"/>
    </row>
    <row r="288">
      <c r="C288" s="79"/>
      <c r="D288" s="79"/>
      <c r="E288" s="79"/>
      <c r="P288" s="79"/>
      <c r="Q288" s="79"/>
      <c r="R288" s="79"/>
      <c r="Y288" s="79"/>
      <c r="AC288" s="130"/>
      <c r="AE288" s="106"/>
    </row>
    <row r="289">
      <c r="C289" s="79"/>
      <c r="D289" s="79"/>
      <c r="E289" s="79"/>
      <c r="P289" s="79"/>
      <c r="Q289" s="79"/>
      <c r="R289" s="79"/>
      <c r="Y289" s="79"/>
      <c r="AC289" s="130"/>
      <c r="AE289" s="106"/>
    </row>
    <row r="290">
      <c r="C290" s="79"/>
      <c r="D290" s="79"/>
      <c r="E290" s="79"/>
      <c r="P290" s="79"/>
      <c r="Q290" s="79"/>
      <c r="R290" s="79"/>
      <c r="Y290" s="79"/>
      <c r="AC290" s="130"/>
      <c r="AE290" s="106"/>
    </row>
    <row r="291">
      <c r="C291" s="79"/>
      <c r="D291" s="79"/>
      <c r="E291" s="79"/>
      <c r="P291" s="79"/>
      <c r="Q291" s="79"/>
      <c r="R291" s="79"/>
      <c r="Y291" s="79"/>
      <c r="AC291" s="130"/>
      <c r="AE291" s="106"/>
    </row>
    <row r="292">
      <c r="C292" s="79"/>
      <c r="D292" s="79"/>
      <c r="E292" s="79"/>
      <c r="P292" s="79"/>
      <c r="Q292" s="79"/>
      <c r="R292" s="79"/>
      <c r="Y292" s="79"/>
      <c r="AC292" s="130"/>
      <c r="AE292" s="106"/>
    </row>
    <row r="293">
      <c r="C293" s="79"/>
      <c r="D293" s="79"/>
      <c r="E293" s="79"/>
      <c r="P293" s="79"/>
      <c r="Q293" s="79"/>
      <c r="R293" s="79"/>
      <c r="Y293" s="79"/>
      <c r="AC293" s="130"/>
      <c r="AE293" s="106"/>
    </row>
    <row r="294">
      <c r="C294" s="79"/>
      <c r="D294" s="79"/>
      <c r="E294" s="79"/>
      <c r="P294" s="79"/>
      <c r="Q294" s="79"/>
      <c r="R294" s="79"/>
      <c r="Y294" s="79"/>
      <c r="AC294" s="130"/>
      <c r="AE294" s="106"/>
    </row>
    <row r="295">
      <c r="C295" s="79"/>
      <c r="D295" s="79"/>
      <c r="E295" s="79"/>
      <c r="P295" s="79"/>
      <c r="Q295" s="79"/>
      <c r="R295" s="79"/>
      <c r="Y295" s="79"/>
      <c r="AC295" s="130"/>
      <c r="AE295" s="106"/>
    </row>
    <row r="296">
      <c r="C296" s="79"/>
      <c r="D296" s="79"/>
      <c r="E296" s="79"/>
      <c r="P296" s="79"/>
      <c r="Q296" s="79"/>
      <c r="R296" s="79"/>
      <c r="Y296" s="79"/>
      <c r="AC296" s="130"/>
      <c r="AE296" s="106"/>
    </row>
    <row r="297">
      <c r="C297" s="79"/>
      <c r="D297" s="79"/>
      <c r="E297" s="79"/>
      <c r="P297" s="79"/>
      <c r="Q297" s="79"/>
      <c r="R297" s="79"/>
      <c r="Y297" s="79"/>
      <c r="AC297" s="130"/>
      <c r="AE297" s="106"/>
    </row>
    <row r="298">
      <c r="C298" s="79"/>
      <c r="D298" s="79"/>
      <c r="E298" s="79"/>
      <c r="P298" s="79"/>
      <c r="Q298" s="79"/>
      <c r="R298" s="79"/>
      <c r="Y298" s="79"/>
      <c r="AC298" s="130"/>
      <c r="AE298" s="106"/>
    </row>
    <row r="299">
      <c r="C299" s="79"/>
      <c r="D299" s="79"/>
      <c r="E299" s="79"/>
      <c r="P299" s="79"/>
      <c r="Q299" s="79"/>
      <c r="R299" s="79"/>
      <c r="Y299" s="79"/>
      <c r="AC299" s="130"/>
      <c r="AE299" s="106"/>
    </row>
    <row r="300">
      <c r="C300" s="79"/>
      <c r="D300" s="79"/>
      <c r="E300" s="79"/>
      <c r="P300" s="79"/>
      <c r="Q300" s="79"/>
      <c r="R300" s="79"/>
      <c r="Y300" s="79"/>
      <c r="AC300" s="130"/>
      <c r="AE300" s="106"/>
    </row>
    <row r="301">
      <c r="C301" s="79"/>
      <c r="D301" s="79"/>
      <c r="E301" s="79"/>
      <c r="P301" s="79"/>
      <c r="Q301" s="79"/>
      <c r="R301" s="79"/>
      <c r="Y301" s="79"/>
      <c r="AC301" s="130"/>
      <c r="AE301" s="106"/>
    </row>
    <row r="302">
      <c r="C302" s="79"/>
      <c r="D302" s="79"/>
      <c r="E302" s="79"/>
      <c r="P302" s="79"/>
      <c r="Q302" s="79"/>
      <c r="R302" s="79"/>
      <c r="Y302" s="79"/>
      <c r="AC302" s="130"/>
      <c r="AE302" s="106"/>
    </row>
    <row r="303">
      <c r="C303" s="79"/>
      <c r="D303" s="79"/>
      <c r="E303" s="79"/>
      <c r="P303" s="79"/>
      <c r="Q303" s="79"/>
      <c r="R303" s="79"/>
      <c r="Y303" s="79"/>
      <c r="AC303" s="130"/>
      <c r="AE303" s="106"/>
    </row>
    <row r="304">
      <c r="C304" s="79"/>
      <c r="D304" s="79"/>
      <c r="E304" s="79"/>
      <c r="P304" s="79"/>
      <c r="Q304" s="79"/>
      <c r="R304" s="79"/>
      <c r="Y304" s="79"/>
      <c r="AC304" s="130"/>
      <c r="AE304" s="106"/>
    </row>
    <row r="305">
      <c r="C305" s="79"/>
      <c r="D305" s="79"/>
      <c r="E305" s="79"/>
      <c r="P305" s="79"/>
      <c r="Q305" s="79"/>
      <c r="R305" s="79"/>
      <c r="Y305" s="79"/>
      <c r="AC305" s="130"/>
      <c r="AE305" s="106"/>
    </row>
    <row r="306">
      <c r="C306" s="79"/>
      <c r="D306" s="79"/>
      <c r="E306" s="79"/>
      <c r="P306" s="79"/>
      <c r="Q306" s="79"/>
      <c r="R306" s="79"/>
      <c r="Y306" s="79"/>
      <c r="AC306" s="130"/>
      <c r="AE306" s="106"/>
    </row>
    <row r="307">
      <c r="C307" s="79"/>
      <c r="D307" s="79"/>
      <c r="E307" s="79"/>
      <c r="P307" s="79"/>
      <c r="Q307" s="79"/>
      <c r="R307" s="79"/>
      <c r="Y307" s="79"/>
      <c r="AC307" s="130"/>
      <c r="AE307" s="106"/>
    </row>
    <row r="308">
      <c r="C308" s="79"/>
      <c r="D308" s="79"/>
      <c r="E308" s="79"/>
      <c r="P308" s="79"/>
      <c r="Q308" s="79"/>
      <c r="R308" s="79"/>
      <c r="Y308" s="79"/>
      <c r="AC308" s="130"/>
      <c r="AE308" s="106"/>
    </row>
    <row r="309">
      <c r="C309" s="79"/>
      <c r="D309" s="79"/>
      <c r="E309" s="79"/>
      <c r="P309" s="79"/>
      <c r="Q309" s="79"/>
      <c r="R309" s="79"/>
      <c r="Y309" s="79"/>
      <c r="AC309" s="130"/>
      <c r="AE309" s="106"/>
    </row>
    <row r="310">
      <c r="C310" s="79"/>
      <c r="D310" s="79"/>
      <c r="E310" s="79"/>
      <c r="P310" s="79"/>
      <c r="Q310" s="79"/>
      <c r="R310" s="79"/>
      <c r="Y310" s="79"/>
      <c r="AC310" s="130"/>
      <c r="AE310" s="106"/>
    </row>
    <row r="311">
      <c r="C311" s="79"/>
      <c r="D311" s="79"/>
      <c r="E311" s="79"/>
      <c r="P311" s="79"/>
      <c r="Q311" s="79"/>
      <c r="R311" s="79"/>
      <c r="Y311" s="79"/>
      <c r="AC311" s="130"/>
      <c r="AE311" s="106"/>
    </row>
    <row r="312">
      <c r="C312" s="79"/>
      <c r="D312" s="79"/>
      <c r="E312" s="79"/>
      <c r="P312" s="79"/>
      <c r="Q312" s="79"/>
      <c r="R312" s="79"/>
      <c r="Y312" s="79"/>
      <c r="AC312" s="130"/>
      <c r="AE312" s="106"/>
    </row>
    <row r="313">
      <c r="C313" s="79"/>
      <c r="D313" s="79"/>
      <c r="E313" s="79"/>
      <c r="P313" s="79"/>
      <c r="Q313" s="79"/>
      <c r="R313" s="79"/>
      <c r="Y313" s="79"/>
      <c r="AC313" s="130"/>
      <c r="AE313" s="106"/>
    </row>
    <row r="314">
      <c r="C314" s="79"/>
      <c r="D314" s="79"/>
      <c r="E314" s="79"/>
      <c r="P314" s="79"/>
      <c r="Q314" s="79"/>
      <c r="R314" s="79"/>
      <c r="Y314" s="79"/>
      <c r="AC314" s="130"/>
      <c r="AE314" s="106"/>
    </row>
    <row r="315">
      <c r="C315" s="79"/>
      <c r="D315" s="79"/>
      <c r="E315" s="79"/>
      <c r="P315" s="79"/>
      <c r="Q315" s="79"/>
      <c r="R315" s="79"/>
      <c r="Y315" s="79"/>
      <c r="AC315" s="130"/>
      <c r="AE315" s="106"/>
    </row>
    <row r="316">
      <c r="C316" s="79"/>
      <c r="D316" s="79"/>
      <c r="E316" s="79"/>
      <c r="P316" s="79"/>
      <c r="Q316" s="79"/>
      <c r="R316" s="79"/>
      <c r="Y316" s="79"/>
      <c r="AC316" s="130"/>
      <c r="AE316" s="106"/>
    </row>
    <row r="317">
      <c r="C317" s="79"/>
      <c r="D317" s="79"/>
      <c r="E317" s="79"/>
      <c r="P317" s="79"/>
      <c r="Q317" s="79"/>
      <c r="R317" s="79"/>
      <c r="Y317" s="79"/>
      <c r="AC317" s="130"/>
      <c r="AE317" s="106"/>
    </row>
    <row r="318">
      <c r="C318" s="79"/>
      <c r="D318" s="79"/>
      <c r="E318" s="79"/>
      <c r="P318" s="79"/>
      <c r="Q318" s="79"/>
      <c r="R318" s="79"/>
      <c r="Y318" s="79"/>
      <c r="AC318" s="130"/>
      <c r="AE318" s="106"/>
    </row>
    <row r="319">
      <c r="C319" s="79"/>
      <c r="D319" s="79"/>
      <c r="E319" s="79"/>
      <c r="P319" s="79"/>
      <c r="Q319" s="79"/>
      <c r="R319" s="79"/>
      <c r="Y319" s="79"/>
      <c r="AC319" s="130"/>
      <c r="AE319" s="106"/>
    </row>
    <row r="320">
      <c r="C320" s="79"/>
      <c r="D320" s="79"/>
      <c r="E320" s="79"/>
      <c r="P320" s="79"/>
      <c r="Q320" s="79"/>
      <c r="R320" s="79"/>
      <c r="Y320" s="79"/>
      <c r="AC320" s="130"/>
      <c r="AE320" s="106"/>
    </row>
    <row r="321">
      <c r="C321" s="79"/>
      <c r="D321" s="79"/>
      <c r="E321" s="79"/>
      <c r="P321" s="79"/>
      <c r="Q321" s="79"/>
      <c r="R321" s="79"/>
      <c r="Y321" s="79"/>
      <c r="AC321" s="130"/>
      <c r="AE321" s="106"/>
    </row>
    <row r="322">
      <c r="C322" s="79"/>
      <c r="D322" s="79"/>
      <c r="E322" s="79"/>
      <c r="P322" s="79"/>
      <c r="Q322" s="79"/>
      <c r="R322" s="79"/>
      <c r="Y322" s="79"/>
      <c r="AC322" s="130"/>
      <c r="AE322" s="106"/>
    </row>
    <row r="323">
      <c r="C323" s="79"/>
      <c r="D323" s="79"/>
      <c r="E323" s="79"/>
      <c r="P323" s="79"/>
      <c r="Q323" s="79"/>
      <c r="R323" s="79"/>
      <c r="Y323" s="79"/>
      <c r="AC323" s="130"/>
      <c r="AE323" s="106"/>
    </row>
    <row r="324">
      <c r="C324" s="79"/>
      <c r="D324" s="79"/>
      <c r="E324" s="79"/>
      <c r="P324" s="79"/>
      <c r="Q324" s="79"/>
      <c r="R324" s="79"/>
      <c r="Y324" s="79"/>
      <c r="AC324" s="130"/>
      <c r="AE324" s="106"/>
    </row>
    <row r="325">
      <c r="C325" s="79"/>
      <c r="D325" s="79"/>
      <c r="E325" s="79"/>
      <c r="P325" s="79"/>
      <c r="Q325" s="79"/>
      <c r="R325" s="79"/>
      <c r="Y325" s="79"/>
      <c r="AC325" s="130"/>
      <c r="AE325" s="106"/>
    </row>
    <row r="326">
      <c r="C326" s="79"/>
      <c r="D326" s="79"/>
      <c r="E326" s="79"/>
      <c r="P326" s="79"/>
      <c r="Q326" s="79"/>
      <c r="R326" s="79"/>
      <c r="Y326" s="79"/>
      <c r="AC326" s="130"/>
      <c r="AE326" s="106"/>
    </row>
    <row r="327">
      <c r="C327" s="79"/>
      <c r="D327" s="79"/>
      <c r="E327" s="79"/>
      <c r="P327" s="79"/>
      <c r="Q327" s="79"/>
      <c r="R327" s="79"/>
      <c r="Y327" s="79"/>
      <c r="AC327" s="130"/>
      <c r="AE327" s="106"/>
    </row>
    <row r="328">
      <c r="C328" s="79"/>
      <c r="D328" s="79"/>
      <c r="E328" s="79"/>
      <c r="P328" s="79"/>
      <c r="Q328" s="79"/>
      <c r="R328" s="79"/>
      <c r="Y328" s="79"/>
      <c r="AC328" s="130"/>
      <c r="AE328" s="106"/>
    </row>
    <row r="329">
      <c r="C329" s="79"/>
      <c r="D329" s="79"/>
      <c r="E329" s="79"/>
      <c r="P329" s="79"/>
      <c r="Q329" s="79"/>
      <c r="R329" s="79"/>
      <c r="Y329" s="79"/>
      <c r="AC329" s="130"/>
      <c r="AE329" s="106"/>
    </row>
    <row r="330">
      <c r="C330" s="79"/>
      <c r="D330" s="79"/>
      <c r="E330" s="79"/>
      <c r="P330" s="79"/>
      <c r="Q330" s="79"/>
      <c r="R330" s="79"/>
      <c r="Y330" s="79"/>
      <c r="AC330" s="130"/>
      <c r="AE330" s="106"/>
    </row>
    <row r="331">
      <c r="C331" s="79"/>
      <c r="D331" s="79"/>
      <c r="E331" s="79"/>
      <c r="P331" s="79"/>
      <c r="Q331" s="79"/>
      <c r="R331" s="79"/>
      <c r="Y331" s="79"/>
      <c r="AC331" s="130"/>
      <c r="AE331" s="106"/>
    </row>
    <row r="332">
      <c r="C332" s="79"/>
      <c r="D332" s="79"/>
      <c r="E332" s="79"/>
      <c r="P332" s="79"/>
      <c r="Q332" s="79"/>
      <c r="R332" s="79"/>
      <c r="Y332" s="79"/>
      <c r="AC332" s="130"/>
      <c r="AE332" s="106"/>
    </row>
    <row r="333">
      <c r="C333" s="79"/>
      <c r="D333" s="79"/>
      <c r="E333" s="79"/>
      <c r="P333" s="79"/>
      <c r="Q333" s="79"/>
      <c r="R333" s="79"/>
      <c r="Y333" s="79"/>
      <c r="AC333" s="130"/>
      <c r="AE333" s="106"/>
    </row>
    <row r="334">
      <c r="C334" s="79"/>
      <c r="D334" s="79"/>
      <c r="E334" s="79"/>
      <c r="P334" s="79"/>
      <c r="Q334" s="79"/>
      <c r="R334" s="79"/>
      <c r="Y334" s="79"/>
      <c r="AC334" s="130"/>
      <c r="AE334" s="106"/>
    </row>
    <row r="335">
      <c r="C335" s="79"/>
      <c r="D335" s="79"/>
      <c r="E335" s="79"/>
      <c r="P335" s="79"/>
      <c r="Q335" s="79"/>
      <c r="R335" s="79"/>
      <c r="Y335" s="79"/>
      <c r="AC335" s="130"/>
      <c r="AE335" s="106"/>
    </row>
    <row r="336">
      <c r="C336" s="79"/>
      <c r="D336" s="79"/>
      <c r="E336" s="79"/>
      <c r="P336" s="79"/>
      <c r="Q336" s="79"/>
      <c r="R336" s="79"/>
      <c r="Y336" s="79"/>
      <c r="AC336" s="130"/>
      <c r="AE336" s="106"/>
    </row>
    <row r="337">
      <c r="C337" s="79"/>
      <c r="D337" s="79"/>
      <c r="E337" s="79"/>
      <c r="P337" s="79"/>
      <c r="Q337" s="79"/>
      <c r="R337" s="79"/>
      <c r="Y337" s="79"/>
      <c r="AC337" s="130"/>
      <c r="AE337" s="106"/>
    </row>
    <row r="338">
      <c r="C338" s="79"/>
      <c r="D338" s="79"/>
      <c r="E338" s="79"/>
      <c r="P338" s="79"/>
      <c r="Q338" s="79"/>
      <c r="R338" s="79"/>
      <c r="Y338" s="79"/>
      <c r="AC338" s="130"/>
      <c r="AE338" s="106"/>
    </row>
    <row r="339">
      <c r="C339" s="79"/>
      <c r="D339" s="79"/>
      <c r="E339" s="79"/>
      <c r="P339" s="79"/>
      <c r="Q339" s="79"/>
      <c r="R339" s="79"/>
      <c r="Y339" s="79"/>
      <c r="AC339" s="130"/>
      <c r="AE339" s="106"/>
    </row>
    <row r="340">
      <c r="C340" s="79"/>
      <c r="D340" s="79"/>
      <c r="E340" s="79"/>
      <c r="P340" s="79"/>
      <c r="Q340" s="79"/>
      <c r="R340" s="79"/>
      <c r="Y340" s="79"/>
      <c r="AC340" s="130"/>
      <c r="AE340" s="106"/>
    </row>
    <row r="341">
      <c r="C341" s="79"/>
      <c r="D341" s="79"/>
      <c r="E341" s="79"/>
      <c r="P341" s="79"/>
      <c r="Q341" s="79"/>
      <c r="R341" s="79"/>
      <c r="Y341" s="79"/>
      <c r="AC341" s="130"/>
      <c r="AE341" s="106"/>
    </row>
    <row r="342">
      <c r="C342" s="79"/>
      <c r="D342" s="79"/>
      <c r="E342" s="79"/>
      <c r="P342" s="79"/>
      <c r="Q342" s="79"/>
      <c r="R342" s="79"/>
      <c r="Y342" s="79"/>
      <c r="AC342" s="130"/>
      <c r="AE342" s="106"/>
    </row>
    <row r="343">
      <c r="C343" s="79"/>
      <c r="D343" s="79"/>
      <c r="E343" s="79"/>
      <c r="P343" s="79"/>
      <c r="Q343" s="79"/>
      <c r="R343" s="79"/>
      <c r="Y343" s="79"/>
      <c r="AC343" s="130"/>
      <c r="AE343" s="106"/>
    </row>
    <row r="344">
      <c r="C344" s="79"/>
      <c r="D344" s="79"/>
      <c r="E344" s="79"/>
      <c r="P344" s="79"/>
      <c r="Q344" s="79"/>
      <c r="R344" s="79"/>
      <c r="Y344" s="79"/>
      <c r="AC344" s="130"/>
      <c r="AE344" s="106"/>
    </row>
    <row r="345">
      <c r="C345" s="79"/>
      <c r="D345" s="79"/>
      <c r="E345" s="79"/>
      <c r="P345" s="79"/>
      <c r="Q345" s="79"/>
      <c r="R345" s="79"/>
      <c r="Y345" s="79"/>
      <c r="AC345" s="130"/>
      <c r="AE345" s="106"/>
    </row>
    <row r="346">
      <c r="C346" s="79"/>
      <c r="D346" s="79"/>
      <c r="E346" s="79"/>
      <c r="P346" s="79"/>
      <c r="Q346" s="79"/>
      <c r="R346" s="79"/>
      <c r="Y346" s="79"/>
      <c r="AC346" s="130"/>
      <c r="AE346" s="106"/>
    </row>
    <row r="347">
      <c r="C347" s="79"/>
      <c r="D347" s="79"/>
      <c r="E347" s="79"/>
      <c r="P347" s="79"/>
      <c r="Q347" s="79"/>
      <c r="R347" s="79"/>
      <c r="Y347" s="79"/>
      <c r="AC347" s="130"/>
      <c r="AE347" s="106"/>
    </row>
    <row r="348">
      <c r="C348" s="79"/>
      <c r="D348" s="79"/>
      <c r="E348" s="79"/>
      <c r="P348" s="79"/>
      <c r="Q348" s="79"/>
      <c r="R348" s="79"/>
      <c r="Y348" s="79"/>
      <c r="AC348" s="130"/>
      <c r="AE348" s="106"/>
    </row>
    <row r="349">
      <c r="C349" s="79"/>
      <c r="D349" s="79"/>
      <c r="E349" s="79"/>
      <c r="P349" s="79"/>
      <c r="Q349" s="79"/>
      <c r="R349" s="79"/>
      <c r="Y349" s="79"/>
      <c r="AC349" s="130"/>
      <c r="AE349" s="106"/>
    </row>
    <row r="350">
      <c r="C350" s="79"/>
      <c r="D350" s="79"/>
      <c r="E350" s="79"/>
      <c r="P350" s="79"/>
      <c r="Q350" s="79"/>
      <c r="R350" s="79"/>
      <c r="Y350" s="79"/>
      <c r="AC350" s="130"/>
      <c r="AE350" s="106"/>
    </row>
    <row r="351">
      <c r="C351" s="79"/>
      <c r="D351" s="79"/>
      <c r="E351" s="79"/>
      <c r="P351" s="79"/>
      <c r="Q351" s="79"/>
      <c r="R351" s="79"/>
      <c r="Y351" s="79"/>
      <c r="AC351" s="130"/>
      <c r="AE351" s="106"/>
    </row>
    <row r="352">
      <c r="C352" s="79"/>
      <c r="D352" s="79"/>
      <c r="E352" s="79"/>
      <c r="P352" s="79"/>
      <c r="Q352" s="79"/>
      <c r="R352" s="79"/>
      <c r="Y352" s="79"/>
      <c r="AC352" s="130"/>
      <c r="AE352" s="106"/>
    </row>
    <row r="353">
      <c r="C353" s="79"/>
      <c r="D353" s="79"/>
      <c r="E353" s="79"/>
      <c r="P353" s="79"/>
      <c r="Q353" s="79"/>
      <c r="R353" s="79"/>
      <c r="Y353" s="79"/>
      <c r="AC353" s="130"/>
      <c r="AE353" s="106"/>
    </row>
    <row r="354">
      <c r="C354" s="79"/>
      <c r="D354" s="79"/>
      <c r="E354" s="79"/>
      <c r="P354" s="79"/>
      <c r="Q354" s="79"/>
      <c r="R354" s="79"/>
      <c r="Y354" s="79"/>
      <c r="AC354" s="130"/>
      <c r="AE354" s="106"/>
    </row>
    <row r="355">
      <c r="C355" s="79"/>
      <c r="D355" s="79"/>
      <c r="E355" s="79"/>
      <c r="P355" s="79"/>
      <c r="Q355" s="79"/>
      <c r="R355" s="79"/>
      <c r="Y355" s="79"/>
      <c r="AC355" s="130"/>
      <c r="AE355" s="106"/>
    </row>
    <row r="356">
      <c r="C356" s="79"/>
      <c r="D356" s="79"/>
      <c r="E356" s="79"/>
      <c r="P356" s="79"/>
      <c r="Q356" s="79"/>
      <c r="R356" s="79"/>
      <c r="Y356" s="79"/>
      <c r="AC356" s="130"/>
      <c r="AE356" s="106"/>
    </row>
    <row r="357">
      <c r="C357" s="79"/>
      <c r="D357" s="79"/>
      <c r="E357" s="79"/>
      <c r="P357" s="79"/>
      <c r="Q357" s="79"/>
      <c r="R357" s="79"/>
      <c r="Y357" s="79"/>
      <c r="AC357" s="130"/>
      <c r="AE357" s="106"/>
    </row>
    <row r="358">
      <c r="C358" s="79"/>
      <c r="D358" s="79"/>
      <c r="E358" s="79"/>
      <c r="P358" s="79"/>
      <c r="Q358" s="79"/>
      <c r="R358" s="79"/>
      <c r="Y358" s="79"/>
      <c r="AC358" s="130"/>
      <c r="AE358" s="106"/>
    </row>
    <row r="359">
      <c r="C359" s="79"/>
      <c r="D359" s="79"/>
      <c r="E359" s="79"/>
      <c r="P359" s="79"/>
      <c r="Q359" s="79"/>
      <c r="R359" s="79"/>
      <c r="Y359" s="79"/>
      <c r="AC359" s="130"/>
      <c r="AE359" s="106"/>
    </row>
    <row r="360">
      <c r="C360" s="79"/>
      <c r="D360" s="79"/>
      <c r="E360" s="79"/>
      <c r="P360" s="79"/>
      <c r="Q360" s="79"/>
      <c r="R360" s="79"/>
      <c r="Y360" s="79"/>
      <c r="AC360" s="130"/>
      <c r="AE360" s="106"/>
    </row>
    <row r="361">
      <c r="C361" s="79"/>
      <c r="D361" s="79"/>
      <c r="E361" s="79"/>
      <c r="P361" s="79"/>
      <c r="Q361" s="79"/>
      <c r="R361" s="79"/>
      <c r="Y361" s="79"/>
      <c r="AC361" s="130"/>
      <c r="AE361" s="106"/>
    </row>
    <row r="362">
      <c r="C362" s="79"/>
      <c r="D362" s="79"/>
      <c r="E362" s="79"/>
      <c r="P362" s="79"/>
      <c r="Q362" s="79"/>
      <c r="R362" s="79"/>
      <c r="Y362" s="79"/>
      <c r="AC362" s="130"/>
      <c r="AE362" s="106"/>
    </row>
    <row r="363">
      <c r="C363" s="79"/>
      <c r="D363" s="79"/>
      <c r="E363" s="79"/>
      <c r="P363" s="79"/>
      <c r="Q363" s="79"/>
      <c r="R363" s="79"/>
      <c r="Y363" s="79"/>
      <c r="AC363" s="130"/>
      <c r="AE363" s="106"/>
    </row>
    <row r="364">
      <c r="C364" s="79"/>
      <c r="D364" s="79"/>
      <c r="E364" s="79"/>
      <c r="P364" s="79"/>
      <c r="Q364" s="79"/>
      <c r="R364" s="79"/>
      <c r="Y364" s="79"/>
      <c r="AC364" s="130"/>
      <c r="AE364" s="106"/>
    </row>
    <row r="365">
      <c r="C365" s="79"/>
      <c r="D365" s="79"/>
      <c r="E365" s="79"/>
      <c r="P365" s="79"/>
      <c r="Q365" s="79"/>
      <c r="R365" s="79"/>
      <c r="Y365" s="79"/>
      <c r="AC365" s="130"/>
      <c r="AE365" s="106"/>
    </row>
    <row r="366">
      <c r="C366" s="79"/>
      <c r="D366" s="79"/>
      <c r="E366" s="79"/>
      <c r="P366" s="79"/>
      <c r="Q366" s="79"/>
      <c r="R366" s="79"/>
      <c r="Y366" s="79"/>
      <c r="AC366" s="130"/>
      <c r="AE366" s="106"/>
    </row>
    <row r="367">
      <c r="C367" s="79"/>
      <c r="D367" s="79"/>
      <c r="E367" s="79"/>
      <c r="P367" s="79"/>
      <c r="Q367" s="79"/>
      <c r="R367" s="79"/>
      <c r="Y367" s="79"/>
      <c r="AC367" s="130"/>
      <c r="AE367" s="106"/>
    </row>
    <row r="368">
      <c r="C368" s="79"/>
      <c r="D368" s="79"/>
      <c r="E368" s="79"/>
      <c r="P368" s="79"/>
      <c r="Q368" s="79"/>
      <c r="R368" s="79"/>
      <c r="Y368" s="79"/>
      <c r="AC368" s="130"/>
      <c r="AE368" s="106"/>
    </row>
    <row r="369">
      <c r="C369" s="79"/>
      <c r="D369" s="79"/>
      <c r="E369" s="79"/>
      <c r="P369" s="79"/>
      <c r="Q369" s="79"/>
      <c r="R369" s="79"/>
      <c r="Y369" s="79"/>
      <c r="AC369" s="130"/>
      <c r="AE369" s="106"/>
    </row>
    <row r="370">
      <c r="C370" s="79"/>
      <c r="D370" s="79"/>
      <c r="E370" s="79"/>
      <c r="P370" s="79"/>
      <c r="Q370" s="79"/>
      <c r="R370" s="79"/>
      <c r="Y370" s="79"/>
      <c r="AC370" s="130"/>
      <c r="AE370" s="106"/>
    </row>
    <row r="371">
      <c r="C371" s="79"/>
      <c r="D371" s="79"/>
      <c r="E371" s="79"/>
      <c r="P371" s="79"/>
      <c r="Q371" s="79"/>
      <c r="R371" s="79"/>
      <c r="Y371" s="79"/>
      <c r="AC371" s="130"/>
      <c r="AE371" s="106"/>
    </row>
    <row r="372">
      <c r="C372" s="79"/>
      <c r="D372" s="79"/>
      <c r="E372" s="79"/>
      <c r="P372" s="79"/>
      <c r="Q372" s="79"/>
      <c r="R372" s="79"/>
      <c r="Y372" s="79"/>
      <c r="AC372" s="130"/>
      <c r="AE372" s="106"/>
    </row>
    <row r="373">
      <c r="C373" s="79"/>
      <c r="D373" s="79"/>
      <c r="E373" s="79"/>
      <c r="P373" s="79"/>
      <c r="Q373" s="79"/>
      <c r="R373" s="79"/>
      <c r="Y373" s="79"/>
      <c r="AC373" s="130"/>
      <c r="AE373" s="106"/>
    </row>
    <row r="374">
      <c r="C374" s="79"/>
      <c r="D374" s="79"/>
      <c r="E374" s="79"/>
      <c r="P374" s="79"/>
      <c r="Q374" s="79"/>
      <c r="R374" s="79"/>
      <c r="Y374" s="79"/>
      <c r="AC374" s="130"/>
      <c r="AE374" s="106"/>
    </row>
    <row r="375">
      <c r="C375" s="79"/>
      <c r="D375" s="79"/>
      <c r="E375" s="79"/>
      <c r="P375" s="79"/>
      <c r="Q375" s="79"/>
      <c r="R375" s="79"/>
      <c r="Y375" s="79"/>
      <c r="AC375" s="130"/>
      <c r="AE375" s="106"/>
    </row>
    <row r="376">
      <c r="C376" s="79"/>
      <c r="D376" s="79"/>
      <c r="E376" s="79"/>
      <c r="P376" s="79"/>
      <c r="Q376" s="79"/>
      <c r="R376" s="79"/>
      <c r="Y376" s="79"/>
      <c r="AC376" s="130"/>
      <c r="AE376" s="106"/>
    </row>
    <row r="377">
      <c r="C377" s="79"/>
      <c r="D377" s="79"/>
      <c r="E377" s="79"/>
      <c r="P377" s="79"/>
      <c r="Q377" s="79"/>
      <c r="R377" s="79"/>
      <c r="Y377" s="79"/>
      <c r="AC377" s="130"/>
      <c r="AE377" s="106"/>
    </row>
    <row r="378">
      <c r="C378" s="79"/>
      <c r="D378" s="79"/>
      <c r="E378" s="79"/>
      <c r="P378" s="79"/>
      <c r="Q378" s="79"/>
      <c r="R378" s="79"/>
      <c r="Y378" s="79"/>
      <c r="AC378" s="130"/>
      <c r="AE378" s="106"/>
    </row>
    <row r="379">
      <c r="C379" s="79"/>
      <c r="D379" s="79"/>
      <c r="E379" s="79"/>
      <c r="P379" s="79"/>
      <c r="Q379" s="79"/>
      <c r="R379" s="79"/>
      <c r="Y379" s="79"/>
      <c r="AC379" s="130"/>
      <c r="AE379" s="106"/>
    </row>
    <row r="380">
      <c r="C380" s="79"/>
      <c r="D380" s="79"/>
      <c r="E380" s="79"/>
      <c r="P380" s="79"/>
      <c r="Q380" s="79"/>
      <c r="R380" s="79"/>
      <c r="Y380" s="79"/>
      <c r="AC380" s="130"/>
      <c r="AE380" s="106"/>
    </row>
    <row r="381">
      <c r="C381" s="79"/>
      <c r="D381" s="79"/>
      <c r="E381" s="79"/>
      <c r="P381" s="79"/>
      <c r="Q381" s="79"/>
      <c r="R381" s="79"/>
      <c r="Y381" s="79"/>
      <c r="AC381" s="130"/>
      <c r="AE381" s="106"/>
    </row>
    <row r="382">
      <c r="C382" s="79"/>
      <c r="D382" s="79"/>
      <c r="E382" s="79"/>
      <c r="P382" s="79"/>
      <c r="Q382" s="79"/>
      <c r="R382" s="79"/>
      <c r="Y382" s="79"/>
      <c r="AC382" s="130"/>
      <c r="AE382" s="106"/>
    </row>
    <row r="383">
      <c r="C383" s="79"/>
      <c r="D383" s="79"/>
      <c r="E383" s="79"/>
      <c r="P383" s="79"/>
      <c r="Q383" s="79"/>
      <c r="R383" s="79"/>
      <c r="Y383" s="79"/>
      <c r="AC383" s="130"/>
      <c r="AE383" s="106"/>
    </row>
    <row r="384">
      <c r="C384" s="79"/>
      <c r="D384" s="79"/>
      <c r="E384" s="79"/>
      <c r="P384" s="79"/>
      <c r="Q384" s="79"/>
      <c r="R384" s="79"/>
      <c r="Y384" s="79"/>
      <c r="AC384" s="130"/>
      <c r="AE384" s="106"/>
    </row>
    <row r="385">
      <c r="C385" s="79"/>
      <c r="D385" s="79"/>
      <c r="E385" s="79"/>
      <c r="P385" s="79"/>
      <c r="Q385" s="79"/>
      <c r="R385" s="79"/>
      <c r="Y385" s="79"/>
      <c r="AC385" s="130"/>
      <c r="AE385" s="106"/>
    </row>
    <row r="386">
      <c r="C386" s="79"/>
      <c r="D386" s="79"/>
      <c r="E386" s="79"/>
      <c r="P386" s="79"/>
      <c r="Q386" s="79"/>
      <c r="R386" s="79"/>
      <c r="Y386" s="79"/>
      <c r="AC386" s="130"/>
      <c r="AE386" s="106"/>
    </row>
    <row r="387">
      <c r="C387" s="79"/>
      <c r="D387" s="79"/>
      <c r="E387" s="79"/>
      <c r="P387" s="79"/>
      <c r="Q387" s="79"/>
      <c r="R387" s="79"/>
      <c r="Y387" s="79"/>
      <c r="AC387" s="130"/>
      <c r="AE387" s="106"/>
    </row>
    <row r="388">
      <c r="C388" s="79"/>
      <c r="D388" s="79"/>
      <c r="E388" s="79"/>
      <c r="P388" s="79"/>
      <c r="Q388" s="79"/>
      <c r="R388" s="79"/>
      <c r="Y388" s="79"/>
      <c r="AC388" s="130"/>
      <c r="AE388" s="106"/>
    </row>
    <row r="389">
      <c r="C389" s="79"/>
      <c r="D389" s="79"/>
      <c r="E389" s="79"/>
      <c r="P389" s="79"/>
      <c r="Q389" s="79"/>
      <c r="R389" s="79"/>
      <c r="Y389" s="79"/>
      <c r="AC389" s="130"/>
      <c r="AE389" s="106"/>
    </row>
    <row r="390">
      <c r="C390" s="79"/>
      <c r="D390" s="79"/>
      <c r="E390" s="79"/>
      <c r="P390" s="79"/>
      <c r="Q390" s="79"/>
      <c r="R390" s="79"/>
      <c r="Y390" s="79"/>
      <c r="AC390" s="130"/>
      <c r="AE390" s="106"/>
    </row>
    <row r="391">
      <c r="C391" s="79"/>
      <c r="D391" s="79"/>
      <c r="E391" s="79"/>
      <c r="P391" s="79"/>
      <c r="Q391" s="79"/>
      <c r="R391" s="79"/>
      <c r="Y391" s="79"/>
      <c r="AC391" s="130"/>
      <c r="AE391" s="106"/>
    </row>
    <row r="392">
      <c r="C392" s="79"/>
      <c r="D392" s="79"/>
      <c r="E392" s="79"/>
      <c r="P392" s="79"/>
      <c r="Q392" s="79"/>
      <c r="R392" s="79"/>
      <c r="Y392" s="79"/>
      <c r="AC392" s="130"/>
      <c r="AE392" s="106"/>
    </row>
    <row r="393">
      <c r="C393" s="79"/>
      <c r="D393" s="79"/>
      <c r="E393" s="79"/>
      <c r="P393" s="79"/>
      <c r="Q393" s="79"/>
      <c r="R393" s="79"/>
      <c r="Y393" s="79"/>
      <c r="AC393" s="130"/>
      <c r="AE393" s="106"/>
    </row>
    <row r="394">
      <c r="C394" s="79"/>
      <c r="D394" s="79"/>
      <c r="E394" s="79"/>
      <c r="P394" s="79"/>
      <c r="Q394" s="79"/>
      <c r="R394" s="79"/>
      <c r="Y394" s="79"/>
      <c r="AC394" s="130"/>
      <c r="AE394" s="106"/>
    </row>
    <row r="395">
      <c r="C395" s="79"/>
      <c r="D395" s="79"/>
      <c r="E395" s="79"/>
      <c r="P395" s="79"/>
      <c r="Q395" s="79"/>
      <c r="R395" s="79"/>
      <c r="Y395" s="79"/>
      <c r="AC395" s="130"/>
      <c r="AE395" s="106"/>
    </row>
    <row r="396">
      <c r="C396" s="79"/>
      <c r="D396" s="79"/>
      <c r="E396" s="79"/>
      <c r="P396" s="79"/>
      <c r="Q396" s="79"/>
      <c r="R396" s="79"/>
      <c r="Y396" s="79"/>
      <c r="AC396" s="130"/>
      <c r="AE396" s="106"/>
    </row>
    <row r="397">
      <c r="C397" s="79"/>
      <c r="D397" s="79"/>
      <c r="E397" s="79"/>
      <c r="P397" s="79"/>
      <c r="Q397" s="79"/>
      <c r="R397" s="79"/>
      <c r="Y397" s="79"/>
      <c r="AC397" s="130"/>
      <c r="AE397" s="106"/>
    </row>
    <row r="398">
      <c r="C398" s="79"/>
      <c r="D398" s="79"/>
      <c r="E398" s="79"/>
      <c r="P398" s="79"/>
      <c r="Q398" s="79"/>
      <c r="R398" s="79"/>
      <c r="Y398" s="79"/>
      <c r="AC398" s="130"/>
      <c r="AE398" s="106"/>
    </row>
    <row r="399">
      <c r="C399" s="79"/>
      <c r="D399" s="79"/>
      <c r="E399" s="79"/>
      <c r="P399" s="79"/>
      <c r="Q399" s="79"/>
      <c r="R399" s="79"/>
      <c r="Y399" s="79"/>
      <c r="AC399" s="130"/>
      <c r="AE399" s="106"/>
    </row>
    <row r="400">
      <c r="C400" s="79"/>
      <c r="D400" s="79"/>
      <c r="E400" s="79"/>
      <c r="P400" s="79"/>
      <c r="Q400" s="79"/>
      <c r="R400" s="79"/>
      <c r="Y400" s="79"/>
      <c r="AC400" s="130"/>
      <c r="AE400" s="106"/>
    </row>
    <row r="401">
      <c r="C401" s="79"/>
      <c r="D401" s="79"/>
      <c r="E401" s="79"/>
      <c r="P401" s="79"/>
      <c r="Q401" s="79"/>
      <c r="R401" s="79"/>
      <c r="Y401" s="79"/>
      <c r="AC401" s="130"/>
      <c r="AE401" s="106"/>
    </row>
    <row r="402">
      <c r="C402" s="79"/>
      <c r="D402" s="79"/>
      <c r="E402" s="79"/>
      <c r="P402" s="79"/>
      <c r="Q402" s="79"/>
      <c r="R402" s="79"/>
      <c r="Y402" s="79"/>
      <c r="AC402" s="130"/>
      <c r="AE402" s="106"/>
    </row>
    <row r="403">
      <c r="C403" s="79"/>
      <c r="D403" s="79"/>
      <c r="E403" s="79"/>
      <c r="P403" s="79"/>
      <c r="Q403" s="79"/>
      <c r="R403" s="79"/>
      <c r="Y403" s="79"/>
      <c r="AC403" s="130"/>
      <c r="AE403" s="106"/>
    </row>
    <row r="404">
      <c r="C404" s="79"/>
      <c r="D404" s="79"/>
      <c r="E404" s="79"/>
      <c r="P404" s="79"/>
      <c r="Q404" s="79"/>
      <c r="R404" s="79"/>
      <c r="Y404" s="79"/>
      <c r="AC404" s="130"/>
      <c r="AE404" s="106"/>
    </row>
    <row r="405">
      <c r="C405" s="79"/>
      <c r="D405" s="79"/>
      <c r="E405" s="79"/>
      <c r="P405" s="79"/>
      <c r="Q405" s="79"/>
      <c r="R405" s="79"/>
      <c r="Y405" s="79"/>
      <c r="AC405" s="130"/>
      <c r="AE405" s="106"/>
    </row>
    <row r="406">
      <c r="C406" s="79"/>
      <c r="D406" s="79"/>
      <c r="E406" s="79"/>
      <c r="P406" s="79"/>
      <c r="Q406" s="79"/>
      <c r="R406" s="79"/>
      <c r="Y406" s="79"/>
      <c r="AC406" s="130"/>
      <c r="AE406" s="106"/>
    </row>
    <row r="407">
      <c r="C407" s="79"/>
      <c r="D407" s="79"/>
      <c r="E407" s="79"/>
      <c r="P407" s="79"/>
      <c r="Q407" s="79"/>
      <c r="R407" s="79"/>
      <c r="Y407" s="79"/>
      <c r="AC407" s="130"/>
      <c r="AE407" s="106"/>
    </row>
    <row r="408">
      <c r="C408" s="79"/>
      <c r="D408" s="79"/>
      <c r="E408" s="79"/>
      <c r="P408" s="79"/>
      <c r="Q408" s="79"/>
      <c r="R408" s="79"/>
      <c r="Y408" s="79"/>
      <c r="AC408" s="130"/>
      <c r="AE408" s="106"/>
    </row>
    <row r="409">
      <c r="C409" s="79"/>
      <c r="D409" s="79"/>
      <c r="E409" s="79"/>
      <c r="P409" s="79"/>
      <c r="Q409" s="79"/>
      <c r="R409" s="79"/>
      <c r="Y409" s="79"/>
      <c r="AC409" s="130"/>
      <c r="AE409" s="106"/>
    </row>
    <row r="410">
      <c r="C410" s="79"/>
      <c r="D410" s="79"/>
      <c r="E410" s="79"/>
      <c r="P410" s="79"/>
      <c r="Q410" s="79"/>
      <c r="R410" s="79"/>
      <c r="Y410" s="79"/>
      <c r="AC410" s="130"/>
      <c r="AE410" s="106"/>
    </row>
    <row r="411">
      <c r="C411" s="79"/>
      <c r="D411" s="79"/>
      <c r="E411" s="79"/>
      <c r="P411" s="79"/>
      <c r="Q411" s="79"/>
      <c r="R411" s="79"/>
      <c r="Y411" s="79"/>
      <c r="AC411" s="130"/>
      <c r="AE411" s="106"/>
    </row>
    <row r="412">
      <c r="C412" s="79"/>
      <c r="D412" s="79"/>
      <c r="E412" s="79"/>
      <c r="P412" s="79"/>
      <c r="Q412" s="79"/>
      <c r="R412" s="79"/>
      <c r="Y412" s="79"/>
      <c r="AC412" s="130"/>
      <c r="AE412" s="106"/>
    </row>
    <row r="413">
      <c r="C413" s="79"/>
      <c r="D413" s="79"/>
      <c r="E413" s="79"/>
      <c r="P413" s="79"/>
      <c r="Q413" s="79"/>
      <c r="R413" s="79"/>
      <c r="Y413" s="79"/>
      <c r="AC413" s="130"/>
      <c r="AE413" s="106"/>
    </row>
    <row r="414">
      <c r="C414" s="79"/>
      <c r="D414" s="79"/>
      <c r="E414" s="79"/>
      <c r="P414" s="79"/>
      <c r="Q414" s="79"/>
      <c r="R414" s="79"/>
      <c r="Y414" s="79"/>
      <c r="AC414" s="130"/>
      <c r="AE414" s="106"/>
    </row>
    <row r="415">
      <c r="C415" s="79"/>
      <c r="D415" s="79"/>
      <c r="E415" s="79"/>
      <c r="P415" s="79"/>
      <c r="Q415" s="79"/>
      <c r="R415" s="79"/>
      <c r="Y415" s="79"/>
      <c r="AC415" s="130"/>
      <c r="AE415" s="106"/>
    </row>
    <row r="416">
      <c r="C416" s="79"/>
      <c r="D416" s="79"/>
      <c r="E416" s="79"/>
      <c r="P416" s="79"/>
      <c r="Q416" s="79"/>
      <c r="R416" s="79"/>
      <c r="Y416" s="79"/>
      <c r="AC416" s="130"/>
      <c r="AE416" s="106"/>
    </row>
    <row r="417">
      <c r="C417" s="79"/>
      <c r="D417" s="79"/>
      <c r="E417" s="79"/>
      <c r="P417" s="79"/>
      <c r="Q417" s="79"/>
      <c r="R417" s="79"/>
      <c r="Y417" s="79"/>
      <c r="AC417" s="130"/>
      <c r="AE417" s="106"/>
    </row>
    <row r="418">
      <c r="C418" s="79"/>
      <c r="D418" s="79"/>
      <c r="E418" s="79"/>
      <c r="P418" s="79"/>
      <c r="Q418" s="79"/>
      <c r="R418" s="79"/>
      <c r="Y418" s="79"/>
      <c r="AC418" s="130"/>
      <c r="AE418" s="106"/>
    </row>
    <row r="419">
      <c r="C419" s="79"/>
      <c r="D419" s="79"/>
      <c r="E419" s="79"/>
      <c r="P419" s="79"/>
      <c r="Q419" s="79"/>
      <c r="R419" s="79"/>
      <c r="Y419" s="79"/>
      <c r="AC419" s="130"/>
      <c r="AE419" s="106"/>
    </row>
    <row r="420">
      <c r="C420" s="79"/>
      <c r="D420" s="79"/>
      <c r="E420" s="79"/>
      <c r="P420" s="79"/>
      <c r="Q420" s="79"/>
      <c r="R420" s="79"/>
      <c r="Y420" s="79"/>
      <c r="AC420" s="130"/>
      <c r="AE420" s="106"/>
    </row>
    <row r="421">
      <c r="C421" s="79"/>
      <c r="D421" s="79"/>
      <c r="E421" s="79"/>
      <c r="P421" s="79"/>
      <c r="Q421" s="79"/>
      <c r="R421" s="79"/>
      <c r="Y421" s="79"/>
      <c r="AC421" s="130"/>
      <c r="AE421" s="106"/>
    </row>
    <row r="422">
      <c r="C422" s="79"/>
      <c r="D422" s="79"/>
      <c r="E422" s="79"/>
      <c r="P422" s="79"/>
      <c r="Q422" s="79"/>
      <c r="R422" s="79"/>
      <c r="Y422" s="79"/>
      <c r="AC422" s="130"/>
      <c r="AE422" s="106"/>
    </row>
    <row r="423">
      <c r="C423" s="79"/>
      <c r="D423" s="79"/>
      <c r="E423" s="79"/>
      <c r="P423" s="79"/>
      <c r="Q423" s="79"/>
      <c r="R423" s="79"/>
      <c r="Y423" s="79"/>
      <c r="AC423" s="130"/>
      <c r="AE423" s="106"/>
    </row>
    <row r="424">
      <c r="C424" s="79"/>
      <c r="D424" s="79"/>
      <c r="E424" s="79"/>
      <c r="P424" s="79"/>
      <c r="Q424" s="79"/>
      <c r="R424" s="79"/>
      <c r="Y424" s="79"/>
      <c r="AC424" s="130"/>
      <c r="AE424" s="106"/>
    </row>
    <row r="425">
      <c r="C425" s="79"/>
      <c r="D425" s="79"/>
      <c r="E425" s="79"/>
      <c r="P425" s="79"/>
      <c r="Q425" s="79"/>
      <c r="R425" s="79"/>
      <c r="Y425" s="79"/>
      <c r="AC425" s="130"/>
      <c r="AE425" s="106"/>
    </row>
    <row r="426">
      <c r="C426" s="79"/>
      <c r="D426" s="79"/>
      <c r="E426" s="79"/>
      <c r="P426" s="79"/>
      <c r="Q426" s="79"/>
      <c r="R426" s="79"/>
      <c r="Y426" s="79"/>
      <c r="AC426" s="130"/>
      <c r="AE426" s="106"/>
    </row>
    <row r="427">
      <c r="C427" s="79"/>
      <c r="D427" s="79"/>
      <c r="E427" s="79"/>
      <c r="P427" s="79"/>
      <c r="Q427" s="79"/>
      <c r="R427" s="79"/>
      <c r="Y427" s="79"/>
      <c r="AC427" s="130"/>
      <c r="AE427" s="106"/>
    </row>
    <row r="428">
      <c r="C428" s="79"/>
      <c r="D428" s="79"/>
      <c r="E428" s="79"/>
      <c r="P428" s="79"/>
      <c r="Q428" s="79"/>
      <c r="R428" s="79"/>
      <c r="Y428" s="79"/>
      <c r="AC428" s="130"/>
      <c r="AE428" s="106"/>
    </row>
    <row r="429">
      <c r="C429" s="79"/>
      <c r="D429" s="79"/>
      <c r="E429" s="79"/>
      <c r="P429" s="79"/>
      <c r="Q429" s="79"/>
      <c r="R429" s="79"/>
      <c r="Y429" s="79"/>
      <c r="AC429" s="130"/>
      <c r="AE429" s="106"/>
    </row>
    <row r="430">
      <c r="C430" s="79"/>
      <c r="D430" s="79"/>
      <c r="E430" s="79"/>
      <c r="P430" s="79"/>
      <c r="Q430" s="79"/>
      <c r="R430" s="79"/>
      <c r="Y430" s="79"/>
      <c r="AC430" s="130"/>
      <c r="AE430" s="106"/>
    </row>
    <row r="431">
      <c r="C431" s="79"/>
      <c r="D431" s="79"/>
      <c r="E431" s="79"/>
      <c r="P431" s="79"/>
      <c r="Q431" s="79"/>
      <c r="R431" s="79"/>
      <c r="Y431" s="79"/>
      <c r="AC431" s="130"/>
      <c r="AE431" s="106"/>
    </row>
    <row r="432">
      <c r="C432" s="79"/>
      <c r="D432" s="79"/>
      <c r="E432" s="79"/>
      <c r="P432" s="79"/>
      <c r="Q432" s="79"/>
      <c r="R432" s="79"/>
      <c r="Y432" s="79"/>
      <c r="AC432" s="130"/>
      <c r="AE432" s="106"/>
    </row>
    <row r="433">
      <c r="C433" s="79"/>
      <c r="D433" s="79"/>
      <c r="E433" s="79"/>
      <c r="P433" s="79"/>
      <c r="Q433" s="79"/>
      <c r="R433" s="79"/>
      <c r="Y433" s="79"/>
      <c r="AC433" s="130"/>
      <c r="AE433" s="106"/>
    </row>
    <row r="434">
      <c r="C434" s="79"/>
      <c r="D434" s="79"/>
      <c r="E434" s="79"/>
      <c r="P434" s="79"/>
      <c r="Q434" s="79"/>
      <c r="R434" s="79"/>
      <c r="Y434" s="79"/>
      <c r="AC434" s="130"/>
      <c r="AE434" s="106"/>
    </row>
    <row r="435">
      <c r="C435" s="79"/>
      <c r="D435" s="79"/>
      <c r="E435" s="79"/>
      <c r="P435" s="79"/>
      <c r="Q435" s="79"/>
      <c r="R435" s="79"/>
      <c r="Y435" s="79"/>
      <c r="AC435" s="130"/>
      <c r="AE435" s="106"/>
    </row>
    <row r="436">
      <c r="C436" s="79"/>
      <c r="D436" s="79"/>
      <c r="E436" s="79"/>
      <c r="P436" s="79"/>
      <c r="Q436" s="79"/>
      <c r="R436" s="79"/>
      <c r="Y436" s="79"/>
      <c r="AC436" s="130"/>
      <c r="AE436" s="106"/>
    </row>
    <row r="437">
      <c r="C437" s="79"/>
      <c r="D437" s="79"/>
      <c r="E437" s="79"/>
      <c r="P437" s="79"/>
      <c r="Q437" s="79"/>
      <c r="R437" s="79"/>
      <c r="Y437" s="79"/>
      <c r="AC437" s="130"/>
      <c r="AE437" s="106"/>
    </row>
    <row r="438">
      <c r="C438" s="79"/>
      <c r="D438" s="79"/>
      <c r="E438" s="79"/>
      <c r="P438" s="79"/>
      <c r="Q438" s="79"/>
      <c r="R438" s="79"/>
      <c r="Y438" s="79"/>
      <c r="AC438" s="130"/>
      <c r="AE438" s="106"/>
    </row>
    <row r="439">
      <c r="C439" s="79"/>
      <c r="D439" s="79"/>
      <c r="E439" s="79"/>
      <c r="P439" s="79"/>
      <c r="Q439" s="79"/>
      <c r="R439" s="79"/>
      <c r="Y439" s="79"/>
      <c r="AC439" s="130"/>
      <c r="AE439" s="106"/>
    </row>
    <row r="440">
      <c r="C440" s="79"/>
      <c r="D440" s="79"/>
      <c r="E440" s="79"/>
      <c r="P440" s="79"/>
      <c r="Q440" s="79"/>
      <c r="R440" s="79"/>
      <c r="Y440" s="79"/>
      <c r="AC440" s="130"/>
      <c r="AE440" s="106"/>
    </row>
    <row r="441">
      <c r="C441" s="79"/>
      <c r="D441" s="79"/>
      <c r="E441" s="79"/>
      <c r="P441" s="79"/>
      <c r="Q441" s="79"/>
      <c r="R441" s="79"/>
      <c r="Y441" s="79"/>
      <c r="AC441" s="130"/>
      <c r="AE441" s="106"/>
    </row>
    <row r="442">
      <c r="C442" s="79"/>
      <c r="D442" s="79"/>
      <c r="E442" s="79"/>
      <c r="P442" s="79"/>
      <c r="Q442" s="79"/>
      <c r="R442" s="79"/>
      <c r="Y442" s="79"/>
      <c r="AC442" s="130"/>
      <c r="AE442" s="106"/>
    </row>
    <row r="443">
      <c r="C443" s="79"/>
      <c r="D443" s="79"/>
      <c r="E443" s="79"/>
      <c r="P443" s="79"/>
      <c r="Q443" s="79"/>
      <c r="R443" s="79"/>
      <c r="Y443" s="79"/>
      <c r="AC443" s="130"/>
      <c r="AE443" s="106"/>
    </row>
    <row r="444">
      <c r="C444" s="79"/>
      <c r="D444" s="79"/>
      <c r="E444" s="79"/>
      <c r="P444" s="79"/>
      <c r="Q444" s="79"/>
      <c r="R444" s="79"/>
      <c r="Y444" s="79"/>
      <c r="AC444" s="130"/>
      <c r="AE444" s="106"/>
    </row>
    <row r="445">
      <c r="C445" s="79"/>
      <c r="D445" s="79"/>
      <c r="E445" s="79"/>
      <c r="P445" s="79"/>
      <c r="Q445" s="79"/>
      <c r="R445" s="79"/>
      <c r="Y445" s="79"/>
      <c r="AC445" s="130"/>
      <c r="AE445" s="106"/>
    </row>
    <row r="446">
      <c r="C446" s="79"/>
      <c r="D446" s="79"/>
      <c r="E446" s="79"/>
      <c r="P446" s="79"/>
      <c r="Q446" s="79"/>
      <c r="R446" s="79"/>
      <c r="Y446" s="79"/>
      <c r="AC446" s="130"/>
      <c r="AE446" s="106"/>
    </row>
    <row r="447">
      <c r="C447" s="79"/>
      <c r="D447" s="79"/>
      <c r="E447" s="79"/>
      <c r="P447" s="79"/>
      <c r="Q447" s="79"/>
      <c r="R447" s="79"/>
      <c r="Y447" s="79"/>
      <c r="AC447" s="130"/>
      <c r="AE447" s="106"/>
    </row>
    <row r="448">
      <c r="C448" s="79"/>
      <c r="D448" s="79"/>
      <c r="E448" s="79"/>
      <c r="P448" s="79"/>
      <c r="Q448" s="79"/>
      <c r="R448" s="79"/>
      <c r="Y448" s="79"/>
      <c r="AC448" s="130"/>
      <c r="AE448" s="106"/>
    </row>
    <row r="449">
      <c r="C449" s="79"/>
      <c r="D449" s="79"/>
      <c r="E449" s="79"/>
      <c r="P449" s="79"/>
      <c r="Q449" s="79"/>
      <c r="R449" s="79"/>
      <c r="Y449" s="79"/>
      <c r="AC449" s="130"/>
      <c r="AE449" s="106"/>
    </row>
    <row r="450">
      <c r="C450" s="79"/>
      <c r="D450" s="79"/>
      <c r="E450" s="79"/>
      <c r="P450" s="79"/>
      <c r="Q450" s="79"/>
      <c r="R450" s="79"/>
      <c r="Y450" s="79"/>
      <c r="AC450" s="130"/>
      <c r="AE450" s="106"/>
    </row>
    <row r="451">
      <c r="C451" s="79"/>
      <c r="D451" s="79"/>
      <c r="E451" s="79"/>
      <c r="P451" s="79"/>
      <c r="Q451" s="79"/>
      <c r="R451" s="79"/>
      <c r="Y451" s="79"/>
      <c r="AC451" s="130"/>
      <c r="AE451" s="106"/>
    </row>
    <row r="452">
      <c r="C452" s="79"/>
      <c r="D452" s="79"/>
      <c r="E452" s="79"/>
      <c r="P452" s="79"/>
      <c r="Q452" s="79"/>
      <c r="R452" s="79"/>
      <c r="Y452" s="79"/>
      <c r="AC452" s="130"/>
      <c r="AE452" s="106"/>
    </row>
    <row r="453">
      <c r="C453" s="79"/>
      <c r="D453" s="79"/>
      <c r="E453" s="79"/>
      <c r="P453" s="79"/>
      <c r="Q453" s="79"/>
      <c r="R453" s="79"/>
      <c r="Y453" s="79"/>
      <c r="AC453" s="130"/>
      <c r="AE453" s="106"/>
    </row>
    <row r="454">
      <c r="C454" s="79"/>
      <c r="D454" s="79"/>
      <c r="E454" s="79"/>
      <c r="P454" s="79"/>
      <c r="Q454" s="79"/>
      <c r="R454" s="79"/>
      <c r="Y454" s="79"/>
      <c r="AC454" s="130"/>
      <c r="AE454" s="106"/>
    </row>
    <row r="455">
      <c r="C455" s="79"/>
      <c r="D455" s="79"/>
      <c r="E455" s="79"/>
      <c r="P455" s="79"/>
      <c r="Q455" s="79"/>
      <c r="R455" s="79"/>
      <c r="Y455" s="79"/>
      <c r="AC455" s="130"/>
      <c r="AE455" s="106"/>
    </row>
    <row r="456">
      <c r="C456" s="79"/>
      <c r="D456" s="79"/>
      <c r="E456" s="79"/>
      <c r="P456" s="79"/>
      <c r="Q456" s="79"/>
      <c r="R456" s="79"/>
      <c r="Y456" s="79"/>
      <c r="AC456" s="130"/>
      <c r="AE456" s="106"/>
    </row>
    <row r="457">
      <c r="C457" s="79"/>
      <c r="D457" s="79"/>
      <c r="E457" s="79"/>
      <c r="P457" s="79"/>
      <c r="Q457" s="79"/>
      <c r="R457" s="79"/>
      <c r="Y457" s="79"/>
      <c r="AC457" s="130"/>
      <c r="AE457" s="106"/>
    </row>
    <row r="458">
      <c r="C458" s="79"/>
      <c r="D458" s="79"/>
      <c r="E458" s="79"/>
      <c r="P458" s="79"/>
      <c r="Q458" s="79"/>
      <c r="R458" s="79"/>
      <c r="Y458" s="79"/>
      <c r="AC458" s="130"/>
      <c r="AE458" s="106"/>
    </row>
    <row r="459">
      <c r="C459" s="79"/>
      <c r="D459" s="79"/>
      <c r="E459" s="79"/>
      <c r="P459" s="79"/>
      <c r="Q459" s="79"/>
      <c r="R459" s="79"/>
      <c r="Y459" s="79"/>
      <c r="AC459" s="130"/>
      <c r="AE459" s="106"/>
    </row>
    <row r="460">
      <c r="C460" s="79"/>
      <c r="D460" s="79"/>
      <c r="E460" s="79"/>
      <c r="P460" s="79"/>
      <c r="Q460" s="79"/>
      <c r="R460" s="79"/>
      <c r="Y460" s="79"/>
      <c r="AC460" s="130"/>
      <c r="AE460" s="106"/>
    </row>
    <row r="461">
      <c r="C461" s="79"/>
      <c r="D461" s="79"/>
      <c r="E461" s="79"/>
      <c r="P461" s="79"/>
      <c r="Q461" s="79"/>
      <c r="R461" s="79"/>
      <c r="Y461" s="79"/>
      <c r="AC461" s="130"/>
      <c r="AE461" s="106"/>
    </row>
    <row r="462">
      <c r="C462" s="79"/>
      <c r="D462" s="79"/>
      <c r="E462" s="79"/>
      <c r="P462" s="79"/>
      <c r="Q462" s="79"/>
      <c r="R462" s="79"/>
      <c r="Y462" s="79"/>
      <c r="AC462" s="130"/>
      <c r="AE462" s="106"/>
    </row>
    <row r="463">
      <c r="C463" s="79"/>
      <c r="D463" s="79"/>
      <c r="E463" s="79"/>
      <c r="P463" s="79"/>
      <c r="Q463" s="79"/>
      <c r="R463" s="79"/>
      <c r="Y463" s="79"/>
      <c r="AC463" s="130"/>
      <c r="AE463" s="106"/>
    </row>
    <row r="464">
      <c r="C464" s="79"/>
      <c r="D464" s="79"/>
      <c r="E464" s="79"/>
      <c r="P464" s="79"/>
      <c r="Q464" s="79"/>
      <c r="R464" s="79"/>
      <c r="Y464" s="79"/>
      <c r="AC464" s="130"/>
      <c r="AE464" s="106"/>
    </row>
    <row r="465">
      <c r="C465" s="79"/>
      <c r="D465" s="79"/>
      <c r="E465" s="79"/>
      <c r="P465" s="79"/>
      <c r="Q465" s="79"/>
      <c r="R465" s="79"/>
      <c r="Y465" s="79"/>
      <c r="AC465" s="130"/>
      <c r="AE465" s="106"/>
    </row>
    <row r="466">
      <c r="C466" s="79"/>
      <c r="D466" s="79"/>
      <c r="E466" s="79"/>
      <c r="P466" s="79"/>
      <c r="Q466" s="79"/>
      <c r="R466" s="79"/>
      <c r="Y466" s="79"/>
      <c r="AC466" s="130"/>
      <c r="AE466" s="106"/>
    </row>
    <row r="467">
      <c r="C467" s="79"/>
      <c r="D467" s="79"/>
      <c r="E467" s="79"/>
      <c r="P467" s="79"/>
      <c r="Q467" s="79"/>
      <c r="R467" s="79"/>
      <c r="Y467" s="79"/>
      <c r="AC467" s="130"/>
      <c r="AE467" s="106"/>
    </row>
    <row r="468">
      <c r="C468" s="79"/>
      <c r="D468" s="79"/>
      <c r="E468" s="79"/>
      <c r="P468" s="79"/>
      <c r="Q468" s="79"/>
      <c r="R468" s="79"/>
      <c r="Y468" s="79"/>
      <c r="AC468" s="130"/>
      <c r="AE468" s="106"/>
    </row>
    <row r="469">
      <c r="C469" s="79"/>
      <c r="D469" s="79"/>
      <c r="E469" s="79"/>
      <c r="P469" s="79"/>
      <c r="Q469" s="79"/>
      <c r="R469" s="79"/>
      <c r="Y469" s="79"/>
      <c r="AC469" s="130"/>
      <c r="AE469" s="106"/>
    </row>
    <row r="470">
      <c r="C470" s="79"/>
      <c r="D470" s="79"/>
      <c r="E470" s="79"/>
      <c r="P470" s="79"/>
      <c r="Q470" s="79"/>
      <c r="R470" s="79"/>
      <c r="Y470" s="79"/>
      <c r="AC470" s="130"/>
      <c r="AE470" s="106"/>
    </row>
    <row r="471">
      <c r="C471" s="79"/>
      <c r="D471" s="79"/>
      <c r="E471" s="79"/>
      <c r="P471" s="79"/>
      <c r="Q471" s="79"/>
      <c r="R471" s="79"/>
      <c r="Y471" s="79"/>
      <c r="AC471" s="130"/>
      <c r="AE471" s="106"/>
    </row>
    <row r="472">
      <c r="C472" s="79"/>
      <c r="D472" s="79"/>
      <c r="E472" s="79"/>
      <c r="P472" s="79"/>
      <c r="Q472" s="79"/>
      <c r="R472" s="79"/>
      <c r="Y472" s="79"/>
      <c r="AC472" s="130"/>
      <c r="AE472" s="106"/>
    </row>
    <row r="473">
      <c r="C473" s="79"/>
      <c r="D473" s="79"/>
      <c r="E473" s="79"/>
      <c r="P473" s="79"/>
      <c r="Q473" s="79"/>
      <c r="R473" s="79"/>
      <c r="Y473" s="79"/>
      <c r="AC473" s="130"/>
      <c r="AE473" s="106"/>
    </row>
    <row r="474">
      <c r="C474" s="79"/>
      <c r="D474" s="79"/>
      <c r="E474" s="79"/>
      <c r="P474" s="79"/>
      <c r="Q474" s="79"/>
      <c r="R474" s="79"/>
      <c r="Y474" s="79"/>
      <c r="AC474" s="130"/>
      <c r="AE474" s="106"/>
    </row>
    <row r="475">
      <c r="C475" s="79"/>
      <c r="D475" s="79"/>
      <c r="E475" s="79"/>
      <c r="P475" s="79"/>
      <c r="Q475" s="79"/>
      <c r="R475" s="79"/>
      <c r="Y475" s="79"/>
      <c r="AC475" s="130"/>
      <c r="AE475" s="106"/>
    </row>
    <row r="476">
      <c r="C476" s="79"/>
      <c r="D476" s="79"/>
      <c r="E476" s="79"/>
      <c r="P476" s="79"/>
      <c r="Q476" s="79"/>
      <c r="R476" s="79"/>
      <c r="Y476" s="79"/>
      <c r="AC476" s="130"/>
      <c r="AE476" s="106"/>
    </row>
    <row r="477">
      <c r="C477" s="79"/>
      <c r="D477" s="79"/>
      <c r="E477" s="79"/>
      <c r="P477" s="79"/>
      <c r="Q477" s="79"/>
      <c r="R477" s="79"/>
      <c r="Y477" s="79"/>
      <c r="AC477" s="130"/>
      <c r="AE477" s="106"/>
    </row>
    <row r="478">
      <c r="C478" s="79"/>
      <c r="D478" s="79"/>
      <c r="E478" s="79"/>
      <c r="P478" s="79"/>
      <c r="Q478" s="79"/>
      <c r="R478" s="79"/>
      <c r="Y478" s="79"/>
      <c r="AC478" s="130"/>
      <c r="AE478" s="106"/>
    </row>
    <row r="479">
      <c r="C479" s="79"/>
      <c r="D479" s="79"/>
      <c r="E479" s="79"/>
      <c r="P479" s="79"/>
      <c r="Q479" s="79"/>
      <c r="R479" s="79"/>
      <c r="Y479" s="79"/>
      <c r="AC479" s="130"/>
      <c r="AE479" s="106"/>
    </row>
    <row r="480">
      <c r="C480" s="79"/>
      <c r="D480" s="79"/>
      <c r="E480" s="79"/>
      <c r="P480" s="79"/>
      <c r="Q480" s="79"/>
      <c r="R480" s="79"/>
      <c r="Y480" s="79"/>
      <c r="AC480" s="130"/>
      <c r="AE480" s="106"/>
    </row>
    <row r="481">
      <c r="C481" s="79"/>
      <c r="D481" s="79"/>
      <c r="E481" s="79"/>
      <c r="P481" s="79"/>
      <c r="Q481" s="79"/>
      <c r="R481" s="79"/>
      <c r="Y481" s="79"/>
      <c r="AC481" s="130"/>
      <c r="AE481" s="106"/>
    </row>
    <row r="482">
      <c r="C482" s="79"/>
      <c r="D482" s="79"/>
      <c r="E482" s="79"/>
      <c r="P482" s="79"/>
      <c r="Q482" s="79"/>
      <c r="R482" s="79"/>
      <c r="Y482" s="79"/>
      <c r="AC482" s="130"/>
      <c r="AE482" s="106"/>
    </row>
    <row r="483">
      <c r="C483" s="79"/>
      <c r="D483" s="79"/>
      <c r="E483" s="79"/>
      <c r="P483" s="79"/>
      <c r="Q483" s="79"/>
      <c r="R483" s="79"/>
      <c r="Y483" s="79"/>
      <c r="AC483" s="130"/>
      <c r="AE483" s="106"/>
    </row>
    <row r="484">
      <c r="C484" s="79"/>
      <c r="D484" s="79"/>
      <c r="E484" s="79"/>
      <c r="P484" s="79"/>
      <c r="Q484" s="79"/>
      <c r="R484" s="79"/>
      <c r="Y484" s="79"/>
      <c r="AC484" s="130"/>
      <c r="AE484" s="106"/>
    </row>
    <row r="485">
      <c r="C485" s="79"/>
      <c r="D485" s="79"/>
      <c r="E485" s="79"/>
      <c r="P485" s="79"/>
      <c r="Q485" s="79"/>
      <c r="R485" s="79"/>
      <c r="Y485" s="79"/>
      <c r="AC485" s="130"/>
      <c r="AE485" s="106"/>
    </row>
    <row r="486">
      <c r="C486" s="79"/>
      <c r="D486" s="79"/>
      <c r="E486" s="79"/>
      <c r="P486" s="79"/>
      <c r="Q486" s="79"/>
      <c r="R486" s="79"/>
      <c r="Y486" s="79"/>
      <c r="AC486" s="130"/>
      <c r="AE486" s="106"/>
    </row>
    <row r="487">
      <c r="C487" s="79"/>
      <c r="D487" s="79"/>
      <c r="E487" s="79"/>
      <c r="P487" s="79"/>
      <c r="Q487" s="79"/>
      <c r="R487" s="79"/>
      <c r="Y487" s="79"/>
      <c r="AC487" s="130"/>
      <c r="AE487" s="106"/>
    </row>
    <row r="488">
      <c r="C488" s="79"/>
      <c r="D488" s="79"/>
      <c r="E488" s="79"/>
      <c r="P488" s="79"/>
      <c r="Q488" s="79"/>
      <c r="R488" s="79"/>
      <c r="Y488" s="79"/>
      <c r="AC488" s="130"/>
      <c r="AE488" s="106"/>
    </row>
    <row r="489">
      <c r="C489" s="79"/>
      <c r="D489" s="79"/>
      <c r="E489" s="79"/>
      <c r="P489" s="79"/>
      <c r="Q489" s="79"/>
      <c r="R489" s="79"/>
      <c r="Y489" s="79"/>
      <c r="AC489" s="130"/>
      <c r="AE489" s="106"/>
    </row>
    <row r="490">
      <c r="C490" s="79"/>
      <c r="D490" s="79"/>
      <c r="E490" s="79"/>
      <c r="P490" s="79"/>
      <c r="Q490" s="79"/>
      <c r="R490" s="79"/>
      <c r="Y490" s="79"/>
      <c r="AC490" s="130"/>
      <c r="AE490" s="106"/>
    </row>
    <row r="491">
      <c r="C491" s="79"/>
      <c r="D491" s="79"/>
      <c r="E491" s="79"/>
      <c r="P491" s="79"/>
      <c r="Q491" s="79"/>
      <c r="R491" s="79"/>
      <c r="Y491" s="79"/>
      <c r="AC491" s="130"/>
      <c r="AE491" s="106"/>
    </row>
    <row r="492">
      <c r="C492" s="79"/>
      <c r="D492" s="79"/>
      <c r="E492" s="79"/>
      <c r="P492" s="79"/>
      <c r="Q492" s="79"/>
      <c r="R492" s="79"/>
      <c r="Y492" s="79"/>
      <c r="AC492" s="130"/>
      <c r="AE492" s="106"/>
    </row>
    <row r="493">
      <c r="C493" s="79"/>
      <c r="D493" s="79"/>
      <c r="E493" s="79"/>
      <c r="P493" s="79"/>
      <c r="Q493" s="79"/>
      <c r="R493" s="79"/>
      <c r="Y493" s="79"/>
      <c r="AC493" s="130"/>
      <c r="AE493" s="106"/>
    </row>
    <row r="494">
      <c r="C494" s="79"/>
      <c r="D494" s="79"/>
      <c r="E494" s="79"/>
      <c r="P494" s="79"/>
      <c r="Q494" s="79"/>
      <c r="R494" s="79"/>
      <c r="Y494" s="79"/>
      <c r="AC494" s="130"/>
      <c r="AE494" s="106"/>
    </row>
    <row r="495">
      <c r="C495" s="79"/>
      <c r="D495" s="79"/>
      <c r="E495" s="79"/>
      <c r="P495" s="79"/>
      <c r="Q495" s="79"/>
      <c r="R495" s="79"/>
      <c r="Y495" s="79"/>
      <c r="AC495" s="130"/>
      <c r="AE495" s="106"/>
    </row>
    <row r="496">
      <c r="C496" s="79"/>
      <c r="D496" s="79"/>
      <c r="E496" s="79"/>
      <c r="P496" s="79"/>
      <c r="Q496" s="79"/>
      <c r="R496" s="79"/>
      <c r="Y496" s="79"/>
      <c r="AC496" s="130"/>
      <c r="AE496" s="106"/>
    </row>
    <row r="497">
      <c r="C497" s="79"/>
      <c r="D497" s="79"/>
      <c r="E497" s="79"/>
      <c r="P497" s="79"/>
      <c r="Q497" s="79"/>
      <c r="R497" s="79"/>
      <c r="Y497" s="79"/>
      <c r="AC497" s="130"/>
      <c r="AE497" s="106"/>
    </row>
    <row r="498">
      <c r="C498" s="79"/>
      <c r="D498" s="79"/>
      <c r="E498" s="79"/>
      <c r="P498" s="79"/>
      <c r="Q498" s="79"/>
      <c r="R498" s="79"/>
      <c r="Y498" s="79"/>
      <c r="AC498" s="130"/>
      <c r="AE498" s="106"/>
    </row>
    <row r="499">
      <c r="C499" s="79"/>
      <c r="D499" s="79"/>
      <c r="E499" s="79"/>
      <c r="P499" s="79"/>
      <c r="Q499" s="79"/>
      <c r="R499" s="79"/>
      <c r="Y499" s="79"/>
      <c r="AC499" s="130"/>
      <c r="AE499" s="106"/>
    </row>
    <row r="500">
      <c r="C500" s="79"/>
      <c r="D500" s="79"/>
      <c r="E500" s="79"/>
      <c r="P500" s="79"/>
      <c r="Q500" s="79"/>
      <c r="R500" s="79"/>
      <c r="Y500" s="79"/>
      <c r="AC500" s="130"/>
      <c r="AE500" s="106"/>
    </row>
    <row r="501">
      <c r="C501" s="79"/>
      <c r="D501" s="79"/>
      <c r="E501" s="79"/>
      <c r="P501" s="79"/>
      <c r="Q501" s="79"/>
      <c r="R501" s="79"/>
      <c r="Y501" s="79"/>
      <c r="AC501" s="130"/>
      <c r="AE501" s="106"/>
    </row>
    <row r="502">
      <c r="C502" s="79"/>
      <c r="D502" s="79"/>
      <c r="E502" s="79"/>
      <c r="P502" s="79"/>
      <c r="Q502" s="79"/>
      <c r="R502" s="79"/>
      <c r="Y502" s="79"/>
      <c r="AC502" s="130"/>
      <c r="AE502" s="106"/>
    </row>
    <row r="503">
      <c r="C503" s="79"/>
      <c r="D503" s="79"/>
      <c r="E503" s="79"/>
      <c r="P503" s="79"/>
      <c r="Q503" s="79"/>
      <c r="R503" s="79"/>
      <c r="Y503" s="79"/>
      <c r="AC503" s="130"/>
      <c r="AE503" s="106"/>
    </row>
    <row r="504">
      <c r="C504" s="79"/>
      <c r="D504" s="79"/>
      <c r="E504" s="79"/>
      <c r="P504" s="79"/>
      <c r="Q504" s="79"/>
      <c r="R504" s="79"/>
      <c r="Y504" s="79"/>
      <c r="AC504" s="130"/>
      <c r="AE504" s="106"/>
    </row>
    <row r="505">
      <c r="C505" s="79"/>
      <c r="D505" s="79"/>
      <c r="E505" s="79"/>
      <c r="P505" s="79"/>
      <c r="Q505" s="79"/>
      <c r="R505" s="79"/>
      <c r="Y505" s="79"/>
      <c r="AC505" s="130"/>
      <c r="AE505" s="106"/>
    </row>
    <row r="506">
      <c r="C506" s="79"/>
      <c r="D506" s="79"/>
      <c r="E506" s="79"/>
      <c r="P506" s="79"/>
      <c r="Q506" s="79"/>
      <c r="R506" s="79"/>
      <c r="Y506" s="79"/>
      <c r="AC506" s="130"/>
      <c r="AE506" s="106"/>
    </row>
    <row r="507">
      <c r="C507" s="79"/>
      <c r="D507" s="79"/>
      <c r="E507" s="79"/>
      <c r="P507" s="79"/>
      <c r="Q507" s="79"/>
      <c r="R507" s="79"/>
      <c r="Y507" s="79"/>
      <c r="AC507" s="130"/>
      <c r="AE507" s="106"/>
    </row>
    <row r="508">
      <c r="C508" s="79"/>
      <c r="D508" s="79"/>
      <c r="E508" s="79"/>
      <c r="P508" s="79"/>
      <c r="Q508" s="79"/>
      <c r="R508" s="79"/>
      <c r="Y508" s="79"/>
      <c r="AC508" s="130"/>
      <c r="AE508" s="106"/>
    </row>
    <row r="509">
      <c r="C509" s="79"/>
      <c r="D509" s="79"/>
      <c r="E509" s="79"/>
      <c r="P509" s="79"/>
      <c r="Q509" s="79"/>
      <c r="R509" s="79"/>
      <c r="Y509" s="79"/>
      <c r="AC509" s="130"/>
      <c r="AE509" s="106"/>
    </row>
    <row r="510">
      <c r="C510" s="79"/>
      <c r="D510" s="79"/>
      <c r="E510" s="79"/>
      <c r="P510" s="79"/>
      <c r="Q510" s="79"/>
      <c r="R510" s="79"/>
      <c r="Y510" s="79"/>
      <c r="AC510" s="130"/>
      <c r="AE510" s="106"/>
    </row>
    <row r="511">
      <c r="C511" s="79"/>
      <c r="D511" s="79"/>
      <c r="E511" s="79"/>
      <c r="P511" s="79"/>
      <c r="Q511" s="79"/>
      <c r="R511" s="79"/>
      <c r="Y511" s="79"/>
      <c r="AC511" s="130"/>
      <c r="AE511" s="106"/>
    </row>
    <row r="512">
      <c r="C512" s="79"/>
      <c r="D512" s="79"/>
      <c r="E512" s="79"/>
      <c r="P512" s="79"/>
      <c r="Q512" s="79"/>
      <c r="R512" s="79"/>
      <c r="Y512" s="79"/>
      <c r="AC512" s="130"/>
      <c r="AE512" s="106"/>
    </row>
    <row r="513">
      <c r="C513" s="79"/>
      <c r="D513" s="79"/>
      <c r="E513" s="79"/>
      <c r="P513" s="79"/>
      <c r="Q513" s="79"/>
      <c r="R513" s="79"/>
      <c r="Y513" s="79"/>
      <c r="AC513" s="130"/>
      <c r="AE513" s="106"/>
    </row>
    <row r="514">
      <c r="C514" s="79"/>
      <c r="D514" s="79"/>
      <c r="E514" s="79"/>
      <c r="P514" s="79"/>
      <c r="Q514" s="79"/>
      <c r="R514" s="79"/>
      <c r="Y514" s="79"/>
      <c r="AC514" s="130"/>
      <c r="AE514" s="106"/>
    </row>
    <row r="515">
      <c r="C515" s="79"/>
      <c r="D515" s="79"/>
      <c r="E515" s="79"/>
      <c r="P515" s="79"/>
      <c r="Q515" s="79"/>
      <c r="R515" s="79"/>
      <c r="Y515" s="79"/>
      <c r="AC515" s="130"/>
      <c r="AE515" s="106"/>
    </row>
    <row r="516">
      <c r="C516" s="79"/>
      <c r="D516" s="79"/>
      <c r="E516" s="79"/>
      <c r="P516" s="79"/>
      <c r="Q516" s="79"/>
      <c r="R516" s="79"/>
      <c r="Y516" s="79"/>
      <c r="AC516" s="130"/>
      <c r="AE516" s="106"/>
    </row>
    <row r="517">
      <c r="C517" s="79"/>
      <c r="D517" s="79"/>
      <c r="E517" s="79"/>
      <c r="P517" s="79"/>
      <c r="Q517" s="79"/>
      <c r="R517" s="79"/>
      <c r="Y517" s="79"/>
      <c r="AC517" s="130"/>
      <c r="AE517" s="106"/>
    </row>
    <row r="518">
      <c r="C518" s="79"/>
      <c r="D518" s="79"/>
      <c r="E518" s="79"/>
      <c r="P518" s="79"/>
      <c r="Q518" s="79"/>
      <c r="R518" s="79"/>
      <c r="Y518" s="79"/>
      <c r="AC518" s="130"/>
      <c r="AE518" s="106"/>
    </row>
    <row r="519">
      <c r="C519" s="79"/>
      <c r="D519" s="79"/>
      <c r="E519" s="79"/>
      <c r="P519" s="79"/>
      <c r="Q519" s="79"/>
      <c r="R519" s="79"/>
      <c r="Y519" s="79"/>
      <c r="AC519" s="130"/>
      <c r="AE519" s="106"/>
    </row>
    <row r="520">
      <c r="C520" s="79"/>
      <c r="D520" s="79"/>
      <c r="E520" s="79"/>
      <c r="P520" s="79"/>
      <c r="Q520" s="79"/>
      <c r="R520" s="79"/>
      <c r="Y520" s="79"/>
      <c r="AC520" s="130"/>
      <c r="AE520" s="106"/>
    </row>
    <row r="521">
      <c r="C521" s="79"/>
      <c r="D521" s="79"/>
      <c r="E521" s="79"/>
      <c r="P521" s="79"/>
      <c r="Q521" s="79"/>
      <c r="R521" s="79"/>
      <c r="Y521" s="79"/>
      <c r="AC521" s="130"/>
      <c r="AE521" s="106"/>
    </row>
    <row r="522">
      <c r="C522" s="79"/>
      <c r="D522" s="79"/>
      <c r="E522" s="79"/>
      <c r="P522" s="79"/>
      <c r="Q522" s="79"/>
      <c r="R522" s="79"/>
      <c r="Y522" s="79"/>
      <c r="AC522" s="130"/>
      <c r="AE522" s="106"/>
    </row>
    <row r="523">
      <c r="C523" s="79"/>
      <c r="D523" s="79"/>
      <c r="E523" s="79"/>
      <c r="P523" s="79"/>
      <c r="Q523" s="79"/>
      <c r="R523" s="79"/>
      <c r="Y523" s="79"/>
      <c r="AC523" s="130"/>
      <c r="AE523" s="106"/>
    </row>
    <row r="524">
      <c r="C524" s="79"/>
      <c r="D524" s="79"/>
      <c r="E524" s="79"/>
      <c r="P524" s="79"/>
      <c r="Q524" s="79"/>
      <c r="R524" s="79"/>
      <c r="Y524" s="79"/>
      <c r="AC524" s="130"/>
      <c r="AE524" s="106"/>
    </row>
    <row r="525">
      <c r="C525" s="79"/>
      <c r="D525" s="79"/>
      <c r="E525" s="79"/>
      <c r="P525" s="79"/>
      <c r="Q525" s="79"/>
      <c r="R525" s="79"/>
      <c r="Y525" s="79"/>
      <c r="AC525" s="130"/>
      <c r="AE525" s="106"/>
    </row>
    <row r="526">
      <c r="C526" s="79"/>
      <c r="D526" s="79"/>
      <c r="E526" s="79"/>
      <c r="P526" s="79"/>
      <c r="Q526" s="79"/>
      <c r="R526" s="79"/>
      <c r="Y526" s="79"/>
      <c r="AC526" s="130"/>
      <c r="AE526" s="106"/>
    </row>
    <row r="527">
      <c r="C527" s="79"/>
      <c r="D527" s="79"/>
      <c r="E527" s="79"/>
      <c r="P527" s="79"/>
      <c r="Q527" s="79"/>
      <c r="R527" s="79"/>
      <c r="Y527" s="79"/>
      <c r="AC527" s="130"/>
      <c r="AE527" s="106"/>
    </row>
    <row r="528">
      <c r="C528" s="79"/>
      <c r="D528" s="79"/>
      <c r="E528" s="79"/>
      <c r="P528" s="79"/>
      <c r="Q528" s="79"/>
      <c r="R528" s="79"/>
      <c r="Y528" s="79"/>
      <c r="AC528" s="130"/>
      <c r="AE528" s="106"/>
    </row>
    <row r="529">
      <c r="C529" s="79"/>
      <c r="D529" s="79"/>
      <c r="E529" s="79"/>
      <c r="P529" s="79"/>
      <c r="Q529" s="79"/>
      <c r="R529" s="79"/>
      <c r="Y529" s="79"/>
      <c r="AC529" s="130"/>
      <c r="AE529" s="106"/>
    </row>
    <row r="530">
      <c r="C530" s="79"/>
      <c r="D530" s="79"/>
      <c r="E530" s="79"/>
      <c r="P530" s="79"/>
      <c r="Q530" s="79"/>
      <c r="R530" s="79"/>
      <c r="Y530" s="79"/>
      <c r="AC530" s="130"/>
      <c r="AE530" s="106"/>
    </row>
    <row r="531">
      <c r="C531" s="79"/>
      <c r="D531" s="79"/>
      <c r="E531" s="79"/>
      <c r="P531" s="79"/>
      <c r="Q531" s="79"/>
      <c r="R531" s="79"/>
      <c r="Y531" s="79"/>
      <c r="AC531" s="130"/>
      <c r="AE531" s="106"/>
    </row>
    <row r="532">
      <c r="C532" s="79"/>
      <c r="D532" s="79"/>
      <c r="E532" s="79"/>
      <c r="P532" s="79"/>
      <c r="Q532" s="79"/>
      <c r="R532" s="79"/>
      <c r="Y532" s="79"/>
      <c r="AC532" s="130"/>
      <c r="AE532" s="106"/>
    </row>
    <row r="533">
      <c r="C533" s="79"/>
      <c r="D533" s="79"/>
      <c r="E533" s="79"/>
      <c r="P533" s="79"/>
      <c r="Q533" s="79"/>
      <c r="R533" s="79"/>
      <c r="Y533" s="79"/>
      <c r="AC533" s="130"/>
      <c r="AE533" s="106"/>
    </row>
    <row r="534">
      <c r="C534" s="79"/>
      <c r="D534" s="79"/>
      <c r="E534" s="79"/>
      <c r="P534" s="79"/>
      <c r="Q534" s="79"/>
      <c r="R534" s="79"/>
      <c r="Y534" s="79"/>
      <c r="AC534" s="130"/>
      <c r="AE534" s="106"/>
    </row>
    <row r="535">
      <c r="C535" s="79"/>
      <c r="D535" s="79"/>
      <c r="E535" s="79"/>
      <c r="P535" s="79"/>
      <c r="Q535" s="79"/>
      <c r="R535" s="79"/>
      <c r="Y535" s="79"/>
      <c r="AC535" s="130"/>
      <c r="AE535" s="106"/>
    </row>
    <row r="536">
      <c r="C536" s="79"/>
      <c r="D536" s="79"/>
      <c r="E536" s="79"/>
      <c r="P536" s="79"/>
      <c r="Q536" s="79"/>
      <c r="R536" s="79"/>
      <c r="Y536" s="79"/>
      <c r="AC536" s="130"/>
      <c r="AE536" s="106"/>
    </row>
    <row r="537">
      <c r="C537" s="79"/>
      <c r="D537" s="79"/>
      <c r="E537" s="79"/>
      <c r="P537" s="79"/>
      <c r="Q537" s="79"/>
      <c r="R537" s="79"/>
      <c r="Y537" s="79"/>
      <c r="AC537" s="130"/>
      <c r="AE537" s="106"/>
    </row>
    <row r="538">
      <c r="C538" s="79"/>
      <c r="D538" s="79"/>
      <c r="E538" s="79"/>
      <c r="P538" s="79"/>
      <c r="Q538" s="79"/>
      <c r="R538" s="79"/>
      <c r="Y538" s="79"/>
      <c r="AC538" s="130"/>
      <c r="AE538" s="106"/>
    </row>
    <row r="539">
      <c r="C539" s="79"/>
      <c r="D539" s="79"/>
      <c r="E539" s="79"/>
      <c r="P539" s="79"/>
      <c r="Q539" s="79"/>
      <c r="R539" s="79"/>
      <c r="Y539" s="79"/>
      <c r="AC539" s="130"/>
      <c r="AE539" s="106"/>
    </row>
    <row r="540">
      <c r="C540" s="79"/>
      <c r="D540" s="79"/>
      <c r="E540" s="79"/>
      <c r="P540" s="79"/>
      <c r="Q540" s="79"/>
      <c r="R540" s="79"/>
      <c r="Y540" s="79"/>
      <c r="AC540" s="130"/>
      <c r="AE540" s="106"/>
    </row>
    <row r="541">
      <c r="C541" s="79"/>
      <c r="D541" s="79"/>
      <c r="E541" s="79"/>
      <c r="P541" s="79"/>
      <c r="Q541" s="79"/>
      <c r="R541" s="79"/>
      <c r="Y541" s="79"/>
      <c r="AC541" s="130"/>
      <c r="AE541" s="106"/>
    </row>
    <row r="542">
      <c r="C542" s="79"/>
      <c r="D542" s="79"/>
      <c r="E542" s="79"/>
      <c r="P542" s="79"/>
      <c r="Q542" s="79"/>
      <c r="R542" s="79"/>
      <c r="Y542" s="79"/>
      <c r="AC542" s="130"/>
      <c r="AE542" s="106"/>
    </row>
    <row r="543">
      <c r="C543" s="79"/>
      <c r="D543" s="79"/>
      <c r="E543" s="79"/>
      <c r="P543" s="79"/>
      <c r="Q543" s="79"/>
      <c r="R543" s="79"/>
      <c r="Y543" s="79"/>
      <c r="AC543" s="130"/>
      <c r="AE543" s="106"/>
    </row>
    <row r="544">
      <c r="C544" s="79"/>
      <c r="D544" s="79"/>
      <c r="E544" s="79"/>
      <c r="P544" s="79"/>
      <c r="Q544" s="79"/>
      <c r="R544" s="79"/>
      <c r="Y544" s="79"/>
      <c r="AC544" s="130"/>
      <c r="AE544" s="106"/>
    </row>
    <row r="545">
      <c r="C545" s="79"/>
      <c r="D545" s="79"/>
      <c r="E545" s="79"/>
      <c r="P545" s="79"/>
      <c r="Q545" s="79"/>
      <c r="R545" s="79"/>
      <c r="Y545" s="79"/>
      <c r="AC545" s="130"/>
      <c r="AE545" s="106"/>
    </row>
    <row r="546">
      <c r="C546" s="79"/>
      <c r="D546" s="79"/>
      <c r="E546" s="79"/>
      <c r="P546" s="79"/>
      <c r="Q546" s="79"/>
      <c r="R546" s="79"/>
      <c r="Y546" s="79"/>
      <c r="AC546" s="130"/>
      <c r="AE546" s="106"/>
    </row>
    <row r="547">
      <c r="C547" s="79"/>
      <c r="D547" s="79"/>
      <c r="E547" s="79"/>
      <c r="P547" s="79"/>
      <c r="Q547" s="79"/>
      <c r="R547" s="79"/>
      <c r="Y547" s="79"/>
      <c r="AC547" s="130"/>
      <c r="AE547" s="106"/>
    </row>
    <row r="548">
      <c r="C548" s="79"/>
      <c r="D548" s="79"/>
      <c r="E548" s="79"/>
      <c r="P548" s="79"/>
      <c r="Q548" s="79"/>
      <c r="R548" s="79"/>
      <c r="Y548" s="79"/>
      <c r="AC548" s="130"/>
      <c r="AE548" s="106"/>
    </row>
    <row r="549">
      <c r="C549" s="79"/>
      <c r="D549" s="79"/>
      <c r="E549" s="79"/>
      <c r="P549" s="79"/>
      <c r="Q549" s="79"/>
      <c r="R549" s="79"/>
      <c r="Y549" s="79"/>
      <c r="AC549" s="130"/>
      <c r="AE549" s="106"/>
    </row>
    <row r="550">
      <c r="C550" s="79"/>
      <c r="D550" s="79"/>
      <c r="E550" s="79"/>
      <c r="P550" s="79"/>
      <c r="Q550" s="79"/>
      <c r="R550" s="79"/>
      <c r="Y550" s="79"/>
      <c r="AC550" s="130"/>
      <c r="AE550" s="106"/>
    </row>
    <row r="551">
      <c r="C551" s="79"/>
      <c r="D551" s="79"/>
      <c r="E551" s="79"/>
      <c r="P551" s="79"/>
      <c r="Q551" s="79"/>
      <c r="R551" s="79"/>
      <c r="Y551" s="79"/>
      <c r="AC551" s="130"/>
      <c r="AE551" s="106"/>
    </row>
    <row r="552">
      <c r="C552" s="79"/>
      <c r="D552" s="79"/>
      <c r="E552" s="79"/>
      <c r="P552" s="79"/>
      <c r="Q552" s="79"/>
      <c r="R552" s="79"/>
      <c r="Y552" s="79"/>
      <c r="AC552" s="130"/>
      <c r="AE552" s="106"/>
    </row>
    <row r="553">
      <c r="C553" s="79"/>
      <c r="D553" s="79"/>
      <c r="E553" s="79"/>
      <c r="P553" s="79"/>
      <c r="Q553" s="79"/>
      <c r="R553" s="79"/>
      <c r="Y553" s="79"/>
      <c r="AC553" s="130"/>
      <c r="AE553" s="106"/>
    </row>
    <row r="554">
      <c r="C554" s="79"/>
      <c r="D554" s="79"/>
      <c r="E554" s="79"/>
      <c r="P554" s="79"/>
      <c r="Q554" s="79"/>
      <c r="R554" s="79"/>
      <c r="Y554" s="79"/>
      <c r="AC554" s="130"/>
      <c r="AE554" s="106"/>
    </row>
    <row r="555">
      <c r="C555" s="79"/>
      <c r="D555" s="79"/>
      <c r="E555" s="79"/>
      <c r="P555" s="79"/>
      <c r="Q555" s="79"/>
      <c r="R555" s="79"/>
      <c r="Y555" s="79"/>
      <c r="AC555" s="130"/>
      <c r="AE555" s="106"/>
    </row>
    <row r="556">
      <c r="C556" s="79"/>
      <c r="D556" s="79"/>
      <c r="E556" s="79"/>
      <c r="P556" s="79"/>
      <c r="Q556" s="79"/>
      <c r="R556" s="79"/>
      <c r="Y556" s="79"/>
      <c r="AC556" s="130"/>
      <c r="AE556" s="106"/>
    </row>
    <row r="557">
      <c r="C557" s="79"/>
      <c r="D557" s="79"/>
      <c r="E557" s="79"/>
      <c r="P557" s="79"/>
      <c r="Q557" s="79"/>
      <c r="R557" s="79"/>
      <c r="Y557" s="79"/>
      <c r="AC557" s="130"/>
      <c r="AE557" s="106"/>
    </row>
    <row r="558">
      <c r="C558" s="79"/>
      <c r="D558" s="79"/>
      <c r="E558" s="79"/>
      <c r="P558" s="79"/>
      <c r="Q558" s="79"/>
      <c r="R558" s="79"/>
      <c r="Y558" s="79"/>
      <c r="AC558" s="130"/>
      <c r="AE558" s="106"/>
    </row>
    <row r="559">
      <c r="C559" s="79"/>
      <c r="D559" s="79"/>
      <c r="E559" s="79"/>
      <c r="P559" s="79"/>
      <c r="Q559" s="79"/>
      <c r="R559" s="79"/>
      <c r="Y559" s="79"/>
      <c r="AC559" s="130"/>
      <c r="AE559" s="106"/>
    </row>
    <row r="560">
      <c r="C560" s="79"/>
      <c r="D560" s="79"/>
      <c r="E560" s="79"/>
      <c r="P560" s="79"/>
      <c r="Q560" s="79"/>
      <c r="R560" s="79"/>
      <c r="Y560" s="79"/>
      <c r="AC560" s="130"/>
      <c r="AE560" s="106"/>
    </row>
    <row r="561">
      <c r="C561" s="79"/>
      <c r="D561" s="79"/>
      <c r="E561" s="79"/>
      <c r="P561" s="79"/>
      <c r="Q561" s="79"/>
      <c r="R561" s="79"/>
      <c r="Y561" s="79"/>
      <c r="AC561" s="130"/>
      <c r="AE561" s="106"/>
    </row>
    <row r="562">
      <c r="C562" s="79"/>
      <c r="D562" s="79"/>
      <c r="E562" s="79"/>
      <c r="P562" s="79"/>
      <c r="Q562" s="79"/>
      <c r="R562" s="79"/>
      <c r="Y562" s="79"/>
      <c r="AC562" s="130"/>
      <c r="AE562" s="106"/>
    </row>
    <row r="563">
      <c r="C563" s="79"/>
      <c r="D563" s="79"/>
      <c r="E563" s="79"/>
      <c r="P563" s="79"/>
      <c r="Q563" s="79"/>
      <c r="R563" s="79"/>
      <c r="Y563" s="79"/>
      <c r="AC563" s="130"/>
      <c r="AE563" s="106"/>
    </row>
    <row r="564">
      <c r="C564" s="79"/>
      <c r="D564" s="79"/>
      <c r="E564" s="79"/>
      <c r="P564" s="79"/>
      <c r="Q564" s="79"/>
      <c r="R564" s="79"/>
      <c r="Y564" s="79"/>
      <c r="AC564" s="130"/>
      <c r="AE564" s="106"/>
    </row>
    <row r="565">
      <c r="C565" s="79"/>
      <c r="D565" s="79"/>
      <c r="E565" s="79"/>
      <c r="P565" s="79"/>
      <c r="Q565" s="79"/>
      <c r="R565" s="79"/>
      <c r="Y565" s="79"/>
      <c r="AC565" s="130"/>
      <c r="AE565" s="106"/>
    </row>
    <row r="566">
      <c r="C566" s="79"/>
      <c r="D566" s="79"/>
      <c r="E566" s="79"/>
      <c r="P566" s="79"/>
      <c r="Q566" s="79"/>
      <c r="R566" s="79"/>
      <c r="Y566" s="79"/>
      <c r="AC566" s="130"/>
      <c r="AE566" s="106"/>
    </row>
    <row r="567">
      <c r="C567" s="79"/>
      <c r="D567" s="79"/>
      <c r="E567" s="79"/>
      <c r="P567" s="79"/>
      <c r="Q567" s="79"/>
      <c r="R567" s="79"/>
      <c r="Y567" s="79"/>
      <c r="AC567" s="130"/>
      <c r="AE567" s="106"/>
    </row>
    <row r="568">
      <c r="C568" s="79"/>
      <c r="D568" s="79"/>
      <c r="E568" s="79"/>
      <c r="P568" s="79"/>
      <c r="Q568" s="79"/>
      <c r="R568" s="79"/>
      <c r="Y568" s="79"/>
      <c r="AC568" s="130"/>
      <c r="AE568" s="106"/>
    </row>
    <row r="569">
      <c r="C569" s="79"/>
      <c r="D569" s="79"/>
      <c r="E569" s="79"/>
      <c r="P569" s="79"/>
      <c r="Q569" s="79"/>
      <c r="R569" s="79"/>
      <c r="Y569" s="79"/>
      <c r="AC569" s="130"/>
      <c r="AE569" s="106"/>
    </row>
    <row r="570">
      <c r="C570" s="79"/>
      <c r="D570" s="79"/>
      <c r="E570" s="79"/>
      <c r="P570" s="79"/>
      <c r="Q570" s="79"/>
      <c r="R570" s="79"/>
      <c r="Y570" s="79"/>
      <c r="AC570" s="130"/>
      <c r="AE570" s="106"/>
    </row>
    <row r="571">
      <c r="C571" s="79"/>
      <c r="D571" s="79"/>
      <c r="E571" s="79"/>
      <c r="P571" s="79"/>
      <c r="Q571" s="79"/>
      <c r="R571" s="79"/>
      <c r="Y571" s="79"/>
      <c r="AC571" s="130"/>
      <c r="AE571" s="106"/>
    </row>
    <row r="572">
      <c r="C572" s="79"/>
      <c r="D572" s="79"/>
      <c r="E572" s="79"/>
      <c r="P572" s="79"/>
      <c r="Q572" s="79"/>
      <c r="R572" s="79"/>
      <c r="Y572" s="79"/>
      <c r="AC572" s="130"/>
      <c r="AE572" s="106"/>
    </row>
    <row r="573">
      <c r="C573" s="79"/>
      <c r="D573" s="79"/>
      <c r="E573" s="79"/>
      <c r="P573" s="79"/>
      <c r="Q573" s="79"/>
      <c r="R573" s="79"/>
      <c r="Y573" s="79"/>
      <c r="AC573" s="130"/>
      <c r="AE573" s="106"/>
    </row>
    <row r="574">
      <c r="C574" s="79"/>
      <c r="D574" s="79"/>
      <c r="E574" s="79"/>
      <c r="P574" s="79"/>
      <c r="Q574" s="79"/>
      <c r="R574" s="79"/>
      <c r="Y574" s="79"/>
      <c r="AC574" s="130"/>
      <c r="AE574" s="106"/>
    </row>
    <row r="575">
      <c r="C575" s="79"/>
      <c r="D575" s="79"/>
      <c r="E575" s="79"/>
      <c r="P575" s="79"/>
      <c r="Q575" s="79"/>
      <c r="R575" s="79"/>
      <c r="Y575" s="79"/>
      <c r="AC575" s="130"/>
      <c r="AE575" s="106"/>
    </row>
    <row r="576">
      <c r="C576" s="79"/>
      <c r="D576" s="79"/>
      <c r="E576" s="79"/>
      <c r="P576" s="79"/>
      <c r="Q576" s="79"/>
      <c r="R576" s="79"/>
      <c r="Y576" s="79"/>
      <c r="AC576" s="130"/>
      <c r="AE576" s="106"/>
    </row>
    <row r="577">
      <c r="C577" s="79"/>
      <c r="D577" s="79"/>
      <c r="E577" s="79"/>
      <c r="P577" s="79"/>
      <c r="Q577" s="79"/>
      <c r="R577" s="79"/>
      <c r="Y577" s="79"/>
      <c r="AC577" s="130"/>
      <c r="AE577" s="106"/>
    </row>
    <row r="578">
      <c r="C578" s="79"/>
      <c r="D578" s="79"/>
      <c r="E578" s="79"/>
      <c r="P578" s="79"/>
      <c r="Q578" s="79"/>
      <c r="R578" s="79"/>
      <c r="Y578" s="79"/>
      <c r="AC578" s="130"/>
      <c r="AE578" s="106"/>
    </row>
    <row r="579">
      <c r="C579" s="79"/>
      <c r="D579" s="79"/>
      <c r="E579" s="79"/>
      <c r="P579" s="79"/>
      <c r="Q579" s="79"/>
      <c r="R579" s="79"/>
      <c r="Y579" s="79"/>
      <c r="AC579" s="130"/>
      <c r="AE579" s="106"/>
    </row>
    <row r="580">
      <c r="C580" s="79"/>
      <c r="D580" s="79"/>
      <c r="E580" s="79"/>
      <c r="P580" s="79"/>
      <c r="Q580" s="79"/>
      <c r="R580" s="79"/>
      <c r="Y580" s="79"/>
      <c r="AC580" s="130"/>
      <c r="AE580" s="106"/>
    </row>
    <row r="581">
      <c r="C581" s="79"/>
      <c r="D581" s="79"/>
      <c r="E581" s="79"/>
      <c r="P581" s="79"/>
      <c r="Q581" s="79"/>
      <c r="R581" s="79"/>
      <c r="Y581" s="79"/>
      <c r="AC581" s="130"/>
      <c r="AE581" s="106"/>
    </row>
    <row r="582">
      <c r="C582" s="79"/>
      <c r="D582" s="79"/>
      <c r="E582" s="79"/>
      <c r="P582" s="79"/>
      <c r="Q582" s="79"/>
      <c r="R582" s="79"/>
      <c r="Y582" s="79"/>
      <c r="AC582" s="130"/>
      <c r="AE582" s="106"/>
    </row>
    <row r="583">
      <c r="C583" s="79"/>
      <c r="D583" s="79"/>
      <c r="E583" s="79"/>
      <c r="P583" s="79"/>
      <c r="Q583" s="79"/>
      <c r="R583" s="79"/>
      <c r="Y583" s="79"/>
      <c r="AC583" s="130"/>
      <c r="AE583" s="106"/>
    </row>
    <row r="584">
      <c r="C584" s="79"/>
      <c r="D584" s="79"/>
      <c r="E584" s="79"/>
      <c r="P584" s="79"/>
      <c r="Q584" s="79"/>
      <c r="R584" s="79"/>
      <c r="Y584" s="79"/>
      <c r="AC584" s="130"/>
      <c r="AE584" s="106"/>
    </row>
    <row r="585">
      <c r="C585" s="79"/>
      <c r="D585" s="79"/>
      <c r="E585" s="79"/>
      <c r="P585" s="79"/>
      <c r="Q585" s="79"/>
      <c r="R585" s="79"/>
      <c r="Y585" s="79"/>
      <c r="AC585" s="130"/>
      <c r="AE585" s="106"/>
    </row>
    <row r="586">
      <c r="C586" s="79"/>
      <c r="D586" s="79"/>
      <c r="E586" s="79"/>
      <c r="P586" s="79"/>
      <c r="Q586" s="79"/>
      <c r="R586" s="79"/>
      <c r="Y586" s="79"/>
      <c r="AC586" s="130"/>
      <c r="AE586" s="106"/>
    </row>
    <row r="587">
      <c r="C587" s="79"/>
      <c r="D587" s="79"/>
      <c r="E587" s="79"/>
      <c r="P587" s="79"/>
      <c r="Q587" s="79"/>
      <c r="R587" s="79"/>
      <c r="Y587" s="79"/>
      <c r="AC587" s="130"/>
      <c r="AE587" s="106"/>
    </row>
    <row r="588">
      <c r="C588" s="79"/>
      <c r="D588" s="79"/>
      <c r="E588" s="79"/>
      <c r="P588" s="79"/>
      <c r="Q588" s="79"/>
      <c r="R588" s="79"/>
      <c r="Y588" s="79"/>
      <c r="AC588" s="130"/>
      <c r="AE588" s="106"/>
    </row>
    <row r="589">
      <c r="C589" s="79"/>
      <c r="D589" s="79"/>
      <c r="E589" s="79"/>
      <c r="P589" s="79"/>
      <c r="Q589" s="79"/>
      <c r="R589" s="79"/>
      <c r="Y589" s="79"/>
      <c r="AC589" s="130"/>
      <c r="AE589" s="106"/>
    </row>
    <row r="590">
      <c r="C590" s="79"/>
      <c r="D590" s="79"/>
      <c r="E590" s="79"/>
      <c r="P590" s="79"/>
      <c r="Q590" s="79"/>
      <c r="R590" s="79"/>
      <c r="Y590" s="79"/>
      <c r="AC590" s="130"/>
      <c r="AE590" s="106"/>
    </row>
    <row r="591">
      <c r="C591" s="79"/>
      <c r="D591" s="79"/>
      <c r="E591" s="79"/>
      <c r="P591" s="79"/>
      <c r="Q591" s="79"/>
      <c r="R591" s="79"/>
      <c r="Y591" s="79"/>
      <c r="AC591" s="130"/>
      <c r="AE591" s="106"/>
    </row>
    <row r="592">
      <c r="C592" s="79"/>
      <c r="D592" s="79"/>
      <c r="E592" s="79"/>
      <c r="P592" s="79"/>
      <c r="Q592" s="79"/>
      <c r="R592" s="79"/>
      <c r="Y592" s="79"/>
      <c r="AC592" s="130"/>
      <c r="AE592" s="106"/>
    </row>
    <row r="593">
      <c r="C593" s="79"/>
      <c r="D593" s="79"/>
      <c r="E593" s="79"/>
      <c r="P593" s="79"/>
      <c r="Q593" s="79"/>
      <c r="R593" s="79"/>
      <c r="Y593" s="79"/>
      <c r="AC593" s="130"/>
      <c r="AE593" s="106"/>
    </row>
    <row r="594">
      <c r="C594" s="79"/>
      <c r="D594" s="79"/>
      <c r="E594" s="79"/>
      <c r="P594" s="79"/>
      <c r="Q594" s="79"/>
      <c r="R594" s="79"/>
      <c r="Y594" s="79"/>
      <c r="AC594" s="130"/>
      <c r="AE594" s="106"/>
    </row>
    <row r="595">
      <c r="C595" s="79"/>
      <c r="D595" s="79"/>
      <c r="E595" s="79"/>
      <c r="P595" s="79"/>
      <c r="Q595" s="79"/>
      <c r="R595" s="79"/>
      <c r="Y595" s="79"/>
      <c r="AC595" s="130"/>
      <c r="AE595" s="106"/>
    </row>
    <row r="596">
      <c r="C596" s="79"/>
      <c r="D596" s="79"/>
      <c r="E596" s="79"/>
      <c r="P596" s="79"/>
      <c r="Q596" s="79"/>
      <c r="R596" s="79"/>
      <c r="Y596" s="79"/>
      <c r="AC596" s="130"/>
      <c r="AE596" s="106"/>
    </row>
    <row r="597">
      <c r="C597" s="79"/>
      <c r="D597" s="79"/>
      <c r="E597" s="79"/>
      <c r="P597" s="79"/>
      <c r="Q597" s="79"/>
      <c r="R597" s="79"/>
      <c r="Y597" s="79"/>
      <c r="AC597" s="130"/>
      <c r="AE597" s="106"/>
    </row>
    <row r="598">
      <c r="C598" s="79"/>
      <c r="D598" s="79"/>
      <c r="E598" s="79"/>
      <c r="P598" s="79"/>
      <c r="Q598" s="79"/>
      <c r="R598" s="79"/>
      <c r="Y598" s="79"/>
      <c r="AC598" s="130"/>
      <c r="AE598" s="106"/>
    </row>
    <row r="599">
      <c r="C599" s="79"/>
      <c r="D599" s="79"/>
      <c r="E599" s="79"/>
      <c r="P599" s="79"/>
      <c r="Q599" s="79"/>
      <c r="R599" s="79"/>
      <c r="Y599" s="79"/>
      <c r="AC599" s="130"/>
      <c r="AE599" s="106"/>
    </row>
    <row r="600">
      <c r="C600" s="79"/>
      <c r="D600" s="79"/>
      <c r="E600" s="79"/>
      <c r="P600" s="79"/>
      <c r="Q600" s="79"/>
      <c r="R600" s="79"/>
      <c r="Y600" s="79"/>
      <c r="AC600" s="130"/>
      <c r="AE600" s="106"/>
    </row>
    <row r="601">
      <c r="C601" s="79"/>
      <c r="D601" s="79"/>
      <c r="E601" s="79"/>
      <c r="P601" s="79"/>
      <c r="Q601" s="79"/>
      <c r="R601" s="79"/>
      <c r="Y601" s="79"/>
      <c r="AC601" s="130"/>
      <c r="AE601" s="106"/>
    </row>
    <row r="602">
      <c r="C602" s="79"/>
      <c r="D602" s="79"/>
      <c r="E602" s="79"/>
      <c r="P602" s="79"/>
      <c r="Q602" s="79"/>
      <c r="R602" s="79"/>
      <c r="Y602" s="79"/>
      <c r="AC602" s="130"/>
      <c r="AE602" s="106"/>
    </row>
    <row r="603">
      <c r="C603" s="79"/>
      <c r="D603" s="79"/>
      <c r="E603" s="79"/>
      <c r="P603" s="79"/>
      <c r="Q603" s="79"/>
      <c r="R603" s="79"/>
      <c r="Y603" s="79"/>
      <c r="AC603" s="130"/>
      <c r="AE603" s="106"/>
    </row>
    <row r="604">
      <c r="C604" s="79"/>
      <c r="D604" s="79"/>
      <c r="E604" s="79"/>
      <c r="P604" s="79"/>
      <c r="Q604" s="79"/>
      <c r="R604" s="79"/>
      <c r="Y604" s="79"/>
      <c r="AC604" s="130"/>
      <c r="AE604" s="106"/>
    </row>
    <row r="605">
      <c r="C605" s="79"/>
      <c r="D605" s="79"/>
      <c r="E605" s="79"/>
      <c r="P605" s="79"/>
      <c r="Q605" s="79"/>
      <c r="R605" s="79"/>
      <c r="Y605" s="79"/>
      <c r="AC605" s="130"/>
      <c r="AE605" s="106"/>
    </row>
    <row r="606">
      <c r="C606" s="79"/>
      <c r="D606" s="79"/>
      <c r="E606" s="79"/>
      <c r="P606" s="79"/>
      <c r="Q606" s="79"/>
      <c r="R606" s="79"/>
      <c r="Y606" s="79"/>
      <c r="AC606" s="130"/>
      <c r="AE606" s="106"/>
    </row>
    <row r="607">
      <c r="C607" s="79"/>
      <c r="D607" s="79"/>
      <c r="E607" s="79"/>
      <c r="P607" s="79"/>
      <c r="Q607" s="79"/>
      <c r="R607" s="79"/>
      <c r="Y607" s="79"/>
      <c r="AC607" s="130"/>
      <c r="AE607" s="106"/>
    </row>
    <row r="608">
      <c r="C608" s="79"/>
      <c r="D608" s="79"/>
      <c r="E608" s="79"/>
      <c r="P608" s="79"/>
      <c r="Q608" s="79"/>
      <c r="R608" s="79"/>
      <c r="Y608" s="79"/>
      <c r="AC608" s="130"/>
      <c r="AE608" s="106"/>
    </row>
    <row r="609">
      <c r="C609" s="79"/>
      <c r="D609" s="79"/>
      <c r="E609" s="79"/>
      <c r="P609" s="79"/>
      <c r="Q609" s="79"/>
      <c r="R609" s="79"/>
      <c r="Y609" s="79"/>
      <c r="AC609" s="130"/>
      <c r="AE609" s="106"/>
    </row>
    <row r="610">
      <c r="C610" s="79"/>
      <c r="D610" s="79"/>
      <c r="E610" s="79"/>
      <c r="P610" s="79"/>
      <c r="Q610" s="79"/>
      <c r="R610" s="79"/>
      <c r="Y610" s="79"/>
      <c r="AC610" s="130"/>
      <c r="AE610" s="106"/>
    </row>
    <row r="611">
      <c r="C611" s="79"/>
      <c r="D611" s="79"/>
      <c r="E611" s="79"/>
      <c r="P611" s="79"/>
      <c r="Q611" s="79"/>
      <c r="R611" s="79"/>
      <c r="Y611" s="79"/>
      <c r="AC611" s="130"/>
      <c r="AE611" s="106"/>
    </row>
    <row r="612">
      <c r="C612" s="79"/>
      <c r="D612" s="79"/>
      <c r="E612" s="79"/>
      <c r="P612" s="79"/>
      <c r="Q612" s="79"/>
      <c r="R612" s="79"/>
      <c r="Y612" s="79"/>
      <c r="AC612" s="130"/>
      <c r="AE612" s="106"/>
    </row>
    <row r="613">
      <c r="C613" s="79"/>
      <c r="D613" s="79"/>
      <c r="E613" s="79"/>
      <c r="P613" s="79"/>
      <c r="Q613" s="79"/>
      <c r="R613" s="79"/>
      <c r="Y613" s="79"/>
      <c r="AC613" s="130"/>
      <c r="AE613" s="106"/>
    </row>
    <row r="614">
      <c r="C614" s="79"/>
      <c r="D614" s="79"/>
      <c r="E614" s="79"/>
      <c r="P614" s="79"/>
      <c r="Q614" s="79"/>
      <c r="R614" s="79"/>
      <c r="Y614" s="79"/>
      <c r="AC614" s="130"/>
      <c r="AE614" s="106"/>
    </row>
    <row r="615">
      <c r="C615" s="79"/>
      <c r="D615" s="79"/>
      <c r="E615" s="79"/>
      <c r="P615" s="79"/>
      <c r="Q615" s="79"/>
      <c r="R615" s="79"/>
      <c r="Y615" s="79"/>
      <c r="AC615" s="130"/>
      <c r="AE615" s="106"/>
    </row>
    <row r="616">
      <c r="C616" s="79"/>
      <c r="D616" s="79"/>
      <c r="E616" s="79"/>
      <c r="P616" s="79"/>
      <c r="Q616" s="79"/>
      <c r="R616" s="79"/>
      <c r="Y616" s="79"/>
      <c r="AC616" s="130"/>
      <c r="AE616" s="106"/>
    </row>
    <row r="617">
      <c r="C617" s="79"/>
      <c r="D617" s="79"/>
      <c r="E617" s="79"/>
      <c r="P617" s="79"/>
      <c r="Q617" s="79"/>
      <c r="R617" s="79"/>
      <c r="Y617" s="79"/>
      <c r="AC617" s="130"/>
      <c r="AE617" s="106"/>
    </row>
    <row r="618">
      <c r="C618" s="79"/>
      <c r="D618" s="79"/>
      <c r="E618" s="79"/>
      <c r="P618" s="79"/>
      <c r="Q618" s="79"/>
      <c r="R618" s="79"/>
      <c r="Y618" s="79"/>
      <c r="AC618" s="130"/>
      <c r="AE618" s="106"/>
    </row>
    <row r="619">
      <c r="C619" s="79"/>
      <c r="D619" s="79"/>
      <c r="E619" s="79"/>
      <c r="P619" s="79"/>
      <c r="Q619" s="79"/>
      <c r="R619" s="79"/>
      <c r="Y619" s="79"/>
      <c r="AC619" s="130"/>
      <c r="AE619" s="106"/>
    </row>
    <row r="620">
      <c r="C620" s="79"/>
      <c r="D620" s="79"/>
      <c r="E620" s="79"/>
      <c r="P620" s="79"/>
      <c r="Q620" s="79"/>
      <c r="R620" s="79"/>
      <c r="Y620" s="79"/>
      <c r="AC620" s="130"/>
      <c r="AE620" s="106"/>
    </row>
    <row r="621">
      <c r="C621" s="79"/>
      <c r="D621" s="79"/>
      <c r="E621" s="79"/>
      <c r="P621" s="79"/>
      <c r="Q621" s="79"/>
      <c r="R621" s="79"/>
      <c r="Y621" s="79"/>
      <c r="AC621" s="130"/>
      <c r="AE621" s="106"/>
    </row>
    <row r="622">
      <c r="C622" s="79"/>
      <c r="D622" s="79"/>
      <c r="E622" s="79"/>
      <c r="P622" s="79"/>
      <c r="Q622" s="79"/>
      <c r="R622" s="79"/>
      <c r="Y622" s="79"/>
      <c r="AC622" s="130"/>
      <c r="AE622" s="106"/>
    </row>
    <row r="623">
      <c r="C623" s="79"/>
      <c r="D623" s="79"/>
      <c r="E623" s="79"/>
      <c r="P623" s="79"/>
      <c r="Q623" s="79"/>
      <c r="R623" s="79"/>
      <c r="Y623" s="79"/>
      <c r="AC623" s="130"/>
      <c r="AE623" s="106"/>
    </row>
    <row r="624">
      <c r="C624" s="79"/>
      <c r="D624" s="79"/>
      <c r="E624" s="79"/>
      <c r="P624" s="79"/>
      <c r="Q624" s="79"/>
      <c r="R624" s="79"/>
      <c r="Y624" s="79"/>
      <c r="AC624" s="130"/>
      <c r="AE624" s="106"/>
    </row>
    <row r="625">
      <c r="C625" s="79"/>
      <c r="D625" s="79"/>
      <c r="E625" s="79"/>
      <c r="P625" s="79"/>
      <c r="Q625" s="79"/>
      <c r="R625" s="79"/>
      <c r="Y625" s="79"/>
      <c r="AC625" s="130"/>
      <c r="AE625" s="106"/>
    </row>
    <row r="626">
      <c r="C626" s="79"/>
      <c r="D626" s="79"/>
      <c r="E626" s="79"/>
      <c r="P626" s="79"/>
      <c r="Q626" s="79"/>
      <c r="R626" s="79"/>
      <c r="Y626" s="79"/>
      <c r="AC626" s="130"/>
      <c r="AE626" s="106"/>
    </row>
    <row r="627">
      <c r="C627" s="79"/>
      <c r="D627" s="79"/>
      <c r="E627" s="79"/>
      <c r="P627" s="79"/>
      <c r="Q627" s="79"/>
      <c r="R627" s="79"/>
      <c r="Y627" s="79"/>
      <c r="AC627" s="130"/>
      <c r="AE627" s="106"/>
    </row>
    <row r="628">
      <c r="C628" s="79"/>
      <c r="D628" s="79"/>
      <c r="E628" s="79"/>
      <c r="P628" s="79"/>
      <c r="Q628" s="79"/>
      <c r="R628" s="79"/>
      <c r="Y628" s="79"/>
      <c r="AC628" s="130"/>
      <c r="AE628" s="106"/>
    </row>
    <row r="629">
      <c r="C629" s="79"/>
      <c r="D629" s="79"/>
      <c r="E629" s="79"/>
      <c r="P629" s="79"/>
      <c r="Q629" s="79"/>
      <c r="R629" s="79"/>
      <c r="Y629" s="79"/>
      <c r="AC629" s="130"/>
      <c r="AE629" s="106"/>
    </row>
    <row r="630">
      <c r="C630" s="79"/>
      <c r="D630" s="79"/>
      <c r="E630" s="79"/>
      <c r="P630" s="79"/>
      <c r="Q630" s="79"/>
      <c r="R630" s="79"/>
      <c r="Y630" s="79"/>
      <c r="AC630" s="130"/>
      <c r="AE630" s="106"/>
    </row>
    <row r="631">
      <c r="C631" s="79"/>
      <c r="D631" s="79"/>
      <c r="E631" s="79"/>
      <c r="P631" s="79"/>
      <c r="Q631" s="79"/>
      <c r="R631" s="79"/>
      <c r="Y631" s="79"/>
      <c r="AC631" s="130"/>
      <c r="AE631" s="106"/>
    </row>
    <row r="632">
      <c r="C632" s="79"/>
      <c r="D632" s="79"/>
      <c r="E632" s="79"/>
      <c r="P632" s="79"/>
      <c r="Q632" s="79"/>
      <c r="R632" s="79"/>
      <c r="Y632" s="79"/>
      <c r="AC632" s="130"/>
      <c r="AE632" s="106"/>
    </row>
    <row r="633">
      <c r="C633" s="79"/>
      <c r="D633" s="79"/>
      <c r="E633" s="79"/>
      <c r="P633" s="79"/>
      <c r="Q633" s="79"/>
      <c r="R633" s="79"/>
      <c r="Y633" s="79"/>
      <c r="AC633" s="130"/>
      <c r="AE633" s="106"/>
    </row>
    <row r="634">
      <c r="C634" s="79"/>
      <c r="D634" s="79"/>
      <c r="E634" s="79"/>
      <c r="P634" s="79"/>
      <c r="Q634" s="79"/>
      <c r="R634" s="79"/>
      <c r="Y634" s="79"/>
      <c r="AC634" s="130"/>
      <c r="AE634" s="106"/>
    </row>
    <row r="635">
      <c r="C635" s="79"/>
      <c r="D635" s="79"/>
      <c r="E635" s="79"/>
      <c r="P635" s="79"/>
      <c r="Q635" s="79"/>
      <c r="R635" s="79"/>
      <c r="Y635" s="79"/>
      <c r="AC635" s="130"/>
      <c r="AE635" s="106"/>
    </row>
    <row r="636">
      <c r="C636" s="79"/>
      <c r="D636" s="79"/>
      <c r="E636" s="79"/>
      <c r="P636" s="79"/>
      <c r="Q636" s="79"/>
      <c r="R636" s="79"/>
      <c r="Y636" s="79"/>
      <c r="AC636" s="130"/>
      <c r="AE636" s="106"/>
    </row>
    <row r="637">
      <c r="C637" s="79"/>
      <c r="D637" s="79"/>
      <c r="E637" s="79"/>
      <c r="P637" s="79"/>
      <c r="Q637" s="79"/>
      <c r="R637" s="79"/>
      <c r="Y637" s="79"/>
      <c r="AC637" s="130"/>
      <c r="AE637" s="106"/>
    </row>
    <row r="638">
      <c r="C638" s="79"/>
      <c r="D638" s="79"/>
      <c r="E638" s="79"/>
      <c r="P638" s="79"/>
      <c r="Q638" s="79"/>
      <c r="R638" s="79"/>
      <c r="Y638" s="79"/>
      <c r="AC638" s="130"/>
      <c r="AE638" s="106"/>
    </row>
    <row r="639">
      <c r="C639" s="79"/>
      <c r="D639" s="79"/>
      <c r="E639" s="79"/>
      <c r="P639" s="79"/>
      <c r="Q639" s="79"/>
      <c r="R639" s="79"/>
      <c r="Y639" s="79"/>
      <c r="AC639" s="130"/>
      <c r="AE639" s="106"/>
    </row>
    <row r="640">
      <c r="C640" s="79"/>
      <c r="D640" s="79"/>
      <c r="E640" s="79"/>
      <c r="P640" s="79"/>
      <c r="Q640" s="79"/>
      <c r="R640" s="79"/>
      <c r="Y640" s="79"/>
      <c r="AC640" s="130"/>
      <c r="AE640" s="106"/>
    </row>
    <row r="641">
      <c r="C641" s="79"/>
      <c r="D641" s="79"/>
      <c r="E641" s="79"/>
      <c r="P641" s="79"/>
      <c r="Q641" s="79"/>
      <c r="R641" s="79"/>
      <c r="Y641" s="79"/>
      <c r="AC641" s="130"/>
      <c r="AE641" s="106"/>
    </row>
    <row r="642">
      <c r="C642" s="79"/>
      <c r="D642" s="79"/>
      <c r="E642" s="79"/>
      <c r="P642" s="79"/>
      <c r="Q642" s="79"/>
      <c r="R642" s="79"/>
      <c r="Y642" s="79"/>
      <c r="AC642" s="130"/>
      <c r="AE642" s="106"/>
    </row>
    <row r="643">
      <c r="C643" s="79"/>
      <c r="D643" s="79"/>
      <c r="E643" s="79"/>
      <c r="P643" s="79"/>
      <c r="Q643" s="79"/>
      <c r="R643" s="79"/>
      <c r="Y643" s="79"/>
      <c r="AC643" s="130"/>
      <c r="AE643" s="106"/>
    </row>
    <row r="644">
      <c r="C644" s="79"/>
      <c r="D644" s="79"/>
      <c r="E644" s="79"/>
      <c r="P644" s="79"/>
      <c r="Q644" s="79"/>
      <c r="R644" s="79"/>
      <c r="Y644" s="79"/>
      <c r="AC644" s="130"/>
      <c r="AE644" s="106"/>
    </row>
    <row r="645">
      <c r="C645" s="79"/>
      <c r="D645" s="79"/>
      <c r="E645" s="79"/>
      <c r="P645" s="79"/>
      <c r="Q645" s="79"/>
      <c r="R645" s="79"/>
      <c r="Y645" s="79"/>
      <c r="AC645" s="130"/>
      <c r="AE645" s="106"/>
    </row>
    <row r="646">
      <c r="C646" s="79"/>
      <c r="D646" s="79"/>
      <c r="E646" s="79"/>
      <c r="P646" s="79"/>
      <c r="Q646" s="79"/>
      <c r="R646" s="79"/>
      <c r="Y646" s="79"/>
      <c r="AC646" s="130"/>
      <c r="AE646" s="106"/>
    </row>
    <row r="647">
      <c r="C647" s="79"/>
      <c r="D647" s="79"/>
      <c r="E647" s="79"/>
      <c r="P647" s="79"/>
      <c r="Q647" s="79"/>
      <c r="R647" s="79"/>
      <c r="Y647" s="79"/>
      <c r="AC647" s="130"/>
      <c r="AE647" s="106"/>
    </row>
    <row r="648">
      <c r="C648" s="79"/>
      <c r="D648" s="79"/>
      <c r="E648" s="79"/>
      <c r="P648" s="79"/>
      <c r="Q648" s="79"/>
      <c r="R648" s="79"/>
      <c r="Y648" s="79"/>
      <c r="AC648" s="130"/>
      <c r="AE648" s="106"/>
    </row>
    <row r="649">
      <c r="C649" s="79"/>
      <c r="D649" s="79"/>
      <c r="E649" s="79"/>
      <c r="P649" s="79"/>
      <c r="Q649" s="79"/>
      <c r="R649" s="79"/>
      <c r="Y649" s="79"/>
      <c r="AC649" s="130"/>
      <c r="AE649" s="106"/>
    </row>
    <row r="650">
      <c r="C650" s="79"/>
      <c r="D650" s="79"/>
      <c r="E650" s="79"/>
      <c r="P650" s="79"/>
      <c r="Q650" s="79"/>
      <c r="R650" s="79"/>
      <c r="Y650" s="79"/>
      <c r="AC650" s="130"/>
      <c r="AE650" s="106"/>
    </row>
    <row r="651">
      <c r="C651" s="79"/>
      <c r="D651" s="79"/>
      <c r="E651" s="79"/>
      <c r="P651" s="79"/>
      <c r="Q651" s="79"/>
      <c r="R651" s="79"/>
      <c r="Y651" s="79"/>
      <c r="AC651" s="130"/>
      <c r="AE651" s="106"/>
    </row>
    <row r="652">
      <c r="C652" s="79"/>
      <c r="D652" s="79"/>
      <c r="E652" s="79"/>
      <c r="P652" s="79"/>
      <c r="Q652" s="79"/>
      <c r="R652" s="79"/>
      <c r="Y652" s="79"/>
      <c r="AC652" s="130"/>
      <c r="AE652" s="106"/>
    </row>
    <row r="653">
      <c r="C653" s="79"/>
      <c r="D653" s="79"/>
      <c r="E653" s="79"/>
      <c r="P653" s="79"/>
      <c r="Q653" s="79"/>
      <c r="R653" s="79"/>
      <c r="Y653" s="79"/>
      <c r="AC653" s="130"/>
      <c r="AE653" s="106"/>
    </row>
    <row r="654">
      <c r="C654" s="79"/>
      <c r="D654" s="79"/>
      <c r="E654" s="79"/>
      <c r="P654" s="79"/>
      <c r="Q654" s="79"/>
      <c r="R654" s="79"/>
      <c r="Y654" s="79"/>
      <c r="AC654" s="130"/>
      <c r="AE654" s="106"/>
    </row>
    <row r="655">
      <c r="C655" s="79"/>
      <c r="D655" s="79"/>
      <c r="E655" s="79"/>
      <c r="P655" s="79"/>
      <c r="Q655" s="79"/>
      <c r="R655" s="79"/>
      <c r="Y655" s="79"/>
      <c r="AC655" s="130"/>
      <c r="AE655" s="106"/>
    </row>
    <row r="656">
      <c r="C656" s="79"/>
      <c r="D656" s="79"/>
      <c r="E656" s="79"/>
      <c r="P656" s="79"/>
      <c r="Q656" s="79"/>
      <c r="R656" s="79"/>
      <c r="Y656" s="79"/>
      <c r="AC656" s="130"/>
      <c r="AE656" s="106"/>
    </row>
    <row r="657">
      <c r="C657" s="79"/>
      <c r="D657" s="79"/>
      <c r="E657" s="79"/>
      <c r="P657" s="79"/>
      <c r="Q657" s="79"/>
      <c r="R657" s="79"/>
      <c r="Y657" s="79"/>
      <c r="AC657" s="130"/>
      <c r="AE657" s="106"/>
    </row>
    <row r="658">
      <c r="C658" s="79"/>
      <c r="D658" s="79"/>
      <c r="E658" s="79"/>
      <c r="P658" s="79"/>
      <c r="Q658" s="79"/>
      <c r="R658" s="79"/>
      <c r="Y658" s="79"/>
      <c r="AC658" s="130"/>
      <c r="AE658" s="106"/>
    </row>
    <row r="659">
      <c r="C659" s="79"/>
      <c r="D659" s="79"/>
      <c r="E659" s="79"/>
      <c r="P659" s="79"/>
      <c r="Q659" s="79"/>
      <c r="R659" s="79"/>
      <c r="Y659" s="79"/>
      <c r="AC659" s="130"/>
      <c r="AE659" s="106"/>
    </row>
    <row r="660">
      <c r="C660" s="79"/>
      <c r="D660" s="79"/>
      <c r="E660" s="79"/>
      <c r="P660" s="79"/>
      <c r="Q660" s="79"/>
      <c r="R660" s="79"/>
      <c r="Y660" s="79"/>
      <c r="AC660" s="130"/>
      <c r="AE660" s="106"/>
    </row>
    <row r="661">
      <c r="C661" s="79"/>
      <c r="D661" s="79"/>
      <c r="E661" s="79"/>
      <c r="P661" s="79"/>
      <c r="Q661" s="79"/>
      <c r="R661" s="79"/>
      <c r="Y661" s="79"/>
      <c r="AC661" s="130"/>
      <c r="AE661" s="106"/>
    </row>
    <row r="662">
      <c r="C662" s="79"/>
      <c r="D662" s="79"/>
      <c r="E662" s="79"/>
      <c r="P662" s="79"/>
      <c r="Q662" s="79"/>
      <c r="R662" s="79"/>
      <c r="Y662" s="79"/>
      <c r="AC662" s="130"/>
      <c r="AE662" s="106"/>
    </row>
    <row r="663">
      <c r="C663" s="79"/>
      <c r="D663" s="79"/>
      <c r="E663" s="79"/>
      <c r="P663" s="79"/>
      <c r="Q663" s="79"/>
      <c r="R663" s="79"/>
      <c r="Y663" s="79"/>
      <c r="AC663" s="130"/>
      <c r="AE663" s="106"/>
    </row>
    <row r="664">
      <c r="C664" s="79"/>
      <c r="D664" s="79"/>
      <c r="E664" s="79"/>
      <c r="P664" s="79"/>
      <c r="Q664" s="79"/>
      <c r="R664" s="79"/>
      <c r="Y664" s="79"/>
      <c r="AC664" s="130"/>
      <c r="AE664" s="106"/>
    </row>
    <row r="665">
      <c r="C665" s="79"/>
      <c r="D665" s="79"/>
      <c r="E665" s="79"/>
      <c r="P665" s="79"/>
      <c r="Q665" s="79"/>
      <c r="R665" s="79"/>
      <c r="Y665" s="79"/>
      <c r="AC665" s="130"/>
      <c r="AE665" s="106"/>
    </row>
    <row r="666">
      <c r="C666" s="79"/>
      <c r="D666" s="79"/>
      <c r="E666" s="79"/>
      <c r="P666" s="79"/>
      <c r="Q666" s="79"/>
      <c r="R666" s="79"/>
      <c r="Y666" s="79"/>
      <c r="AC666" s="130"/>
      <c r="AE666" s="106"/>
    </row>
    <row r="667">
      <c r="C667" s="79"/>
      <c r="D667" s="79"/>
      <c r="E667" s="79"/>
      <c r="P667" s="79"/>
      <c r="Q667" s="79"/>
      <c r="R667" s="79"/>
      <c r="Y667" s="79"/>
      <c r="AC667" s="130"/>
      <c r="AE667" s="106"/>
    </row>
    <row r="668">
      <c r="C668" s="79"/>
      <c r="D668" s="79"/>
      <c r="E668" s="79"/>
      <c r="P668" s="79"/>
      <c r="Q668" s="79"/>
      <c r="R668" s="79"/>
      <c r="Y668" s="79"/>
      <c r="AC668" s="130"/>
      <c r="AE668" s="106"/>
    </row>
    <row r="669">
      <c r="C669" s="79"/>
      <c r="D669" s="79"/>
      <c r="E669" s="79"/>
      <c r="P669" s="79"/>
      <c r="Q669" s="79"/>
      <c r="R669" s="79"/>
      <c r="Y669" s="79"/>
      <c r="AC669" s="130"/>
      <c r="AE669" s="106"/>
    </row>
    <row r="670">
      <c r="C670" s="79"/>
      <c r="D670" s="79"/>
      <c r="E670" s="79"/>
      <c r="P670" s="79"/>
      <c r="Q670" s="79"/>
      <c r="R670" s="79"/>
      <c r="Y670" s="79"/>
      <c r="AC670" s="130"/>
      <c r="AE670" s="106"/>
    </row>
    <row r="671">
      <c r="C671" s="79"/>
      <c r="D671" s="79"/>
      <c r="E671" s="79"/>
      <c r="P671" s="79"/>
      <c r="Q671" s="79"/>
      <c r="R671" s="79"/>
      <c r="Y671" s="79"/>
      <c r="AC671" s="130"/>
      <c r="AE671" s="106"/>
    </row>
    <row r="672">
      <c r="C672" s="79"/>
      <c r="D672" s="79"/>
      <c r="E672" s="79"/>
      <c r="P672" s="79"/>
      <c r="Q672" s="79"/>
      <c r="R672" s="79"/>
      <c r="Y672" s="79"/>
      <c r="AC672" s="130"/>
      <c r="AE672" s="106"/>
    </row>
    <row r="673">
      <c r="C673" s="79"/>
      <c r="D673" s="79"/>
      <c r="E673" s="79"/>
      <c r="P673" s="79"/>
      <c r="Q673" s="79"/>
      <c r="R673" s="79"/>
      <c r="Y673" s="79"/>
      <c r="AC673" s="130"/>
      <c r="AE673" s="106"/>
    </row>
    <row r="674">
      <c r="C674" s="79"/>
      <c r="D674" s="79"/>
      <c r="E674" s="79"/>
      <c r="P674" s="79"/>
      <c r="Q674" s="79"/>
      <c r="R674" s="79"/>
      <c r="Y674" s="79"/>
      <c r="AC674" s="130"/>
      <c r="AE674" s="106"/>
    </row>
    <row r="675">
      <c r="C675" s="79"/>
      <c r="D675" s="79"/>
      <c r="E675" s="79"/>
      <c r="P675" s="79"/>
      <c r="Q675" s="79"/>
      <c r="R675" s="79"/>
      <c r="Y675" s="79"/>
      <c r="AC675" s="130"/>
      <c r="AE675" s="106"/>
    </row>
    <row r="676">
      <c r="C676" s="79"/>
      <c r="D676" s="79"/>
      <c r="E676" s="79"/>
      <c r="P676" s="79"/>
      <c r="Q676" s="79"/>
      <c r="R676" s="79"/>
      <c r="Y676" s="79"/>
      <c r="AC676" s="130"/>
      <c r="AE676" s="106"/>
    </row>
    <row r="677">
      <c r="C677" s="79"/>
      <c r="D677" s="79"/>
      <c r="E677" s="79"/>
      <c r="P677" s="79"/>
      <c r="Q677" s="79"/>
      <c r="R677" s="79"/>
      <c r="Y677" s="79"/>
      <c r="AC677" s="130"/>
      <c r="AE677" s="106"/>
    </row>
    <row r="678">
      <c r="C678" s="79"/>
      <c r="D678" s="79"/>
      <c r="E678" s="79"/>
      <c r="P678" s="79"/>
      <c r="Q678" s="79"/>
      <c r="R678" s="79"/>
      <c r="Y678" s="79"/>
      <c r="AC678" s="130"/>
      <c r="AE678" s="106"/>
    </row>
    <row r="679">
      <c r="C679" s="79"/>
      <c r="D679" s="79"/>
      <c r="E679" s="79"/>
      <c r="P679" s="79"/>
      <c r="Q679" s="79"/>
      <c r="R679" s="79"/>
      <c r="Y679" s="79"/>
      <c r="AC679" s="130"/>
      <c r="AE679" s="106"/>
    </row>
    <row r="680">
      <c r="C680" s="79"/>
      <c r="D680" s="79"/>
      <c r="E680" s="79"/>
      <c r="P680" s="79"/>
      <c r="Q680" s="79"/>
      <c r="R680" s="79"/>
      <c r="Y680" s="79"/>
      <c r="AC680" s="130"/>
      <c r="AE680" s="106"/>
    </row>
    <row r="681">
      <c r="C681" s="79"/>
      <c r="D681" s="79"/>
      <c r="E681" s="79"/>
      <c r="P681" s="79"/>
      <c r="Q681" s="79"/>
      <c r="R681" s="79"/>
      <c r="Y681" s="79"/>
      <c r="AC681" s="130"/>
      <c r="AE681" s="106"/>
    </row>
    <row r="682">
      <c r="C682" s="79"/>
      <c r="D682" s="79"/>
      <c r="E682" s="79"/>
      <c r="P682" s="79"/>
      <c r="Q682" s="79"/>
      <c r="R682" s="79"/>
      <c r="Y682" s="79"/>
      <c r="AC682" s="130"/>
      <c r="AE682" s="106"/>
    </row>
    <row r="683">
      <c r="C683" s="79"/>
      <c r="D683" s="79"/>
      <c r="E683" s="79"/>
      <c r="P683" s="79"/>
      <c r="Q683" s="79"/>
      <c r="R683" s="79"/>
      <c r="Y683" s="79"/>
      <c r="AC683" s="130"/>
      <c r="AE683" s="106"/>
    </row>
    <row r="684">
      <c r="C684" s="79"/>
      <c r="D684" s="79"/>
      <c r="E684" s="79"/>
      <c r="P684" s="79"/>
      <c r="Q684" s="79"/>
      <c r="R684" s="79"/>
      <c r="Y684" s="79"/>
      <c r="AC684" s="130"/>
      <c r="AE684" s="106"/>
    </row>
    <row r="685">
      <c r="C685" s="79"/>
      <c r="D685" s="79"/>
      <c r="E685" s="79"/>
      <c r="P685" s="79"/>
      <c r="Q685" s="79"/>
      <c r="R685" s="79"/>
      <c r="Y685" s="79"/>
      <c r="AC685" s="130"/>
      <c r="AE685" s="106"/>
    </row>
    <row r="686">
      <c r="C686" s="79"/>
      <c r="D686" s="79"/>
      <c r="E686" s="79"/>
      <c r="P686" s="79"/>
      <c r="Q686" s="79"/>
      <c r="R686" s="79"/>
      <c r="Y686" s="79"/>
      <c r="AC686" s="130"/>
      <c r="AE686" s="106"/>
    </row>
    <row r="687">
      <c r="C687" s="79"/>
      <c r="D687" s="79"/>
      <c r="E687" s="79"/>
      <c r="P687" s="79"/>
      <c r="Q687" s="79"/>
      <c r="R687" s="79"/>
      <c r="Y687" s="79"/>
      <c r="AC687" s="130"/>
      <c r="AE687" s="106"/>
    </row>
    <row r="688">
      <c r="C688" s="79"/>
      <c r="D688" s="79"/>
      <c r="E688" s="79"/>
      <c r="P688" s="79"/>
      <c r="Q688" s="79"/>
      <c r="R688" s="79"/>
      <c r="Y688" s="79"/>
      <c r="AC688" s="130"/>
      <c r="AE688" s="106"/>
    </row>
    <row r="689">
      <c r="C689" s="79"/>
      <c r="D689" s="79"/>
      <c r="E689" s="79"/>
      <c r="P689" s="79"/>
      <c r="Q689" s="79"/>
      <c r="R689" s="79"/>
      <c r="Y689" s="79"/>
      <c r="AC689" s="130"/>
      <c r="AE689" s="106"/>
    </row>
    <row r="690">
      <c r="C690" s="79"/>
      <c r="D690" s="79"/>
      <c r="E690" s="79"/>
      <c r="P690" s="79"/>
      <c r="Q690" s="79"/>
      <c r="R690" s="79"/>
      <c r="Y690" s="79"/>
      <c r="AC690" s="130"/>
      <c r="AE690" s="106"/>
    </row>
    <row r="691">
      <c r="C691" s="79"/>
      <c r="D691" s="79"/>
      <c r="E691" s="79"/>
      <c r="P691" s="79"/>
      <c r="Q691" s="79"/>
      <c r="R691" s="79"/>
      <c r="Y691" s="79"/>
      <c r="AC691" s="130"/>
      <c r="AE691" s="106"/>
    </row>
    <row r="692">
      <c r="C692" s="79"/>
      <c r="D692" s="79"/>
      <c r="E692" s="79"/>
      <c r="P692" s="79"/>
      <c r="Q692" s="79"/>
      <c r="R692" s="79"/>
      <c r="Y692" s="79"/>
      <c r="AC692" s="130"/>
      <c r="AE692" s="106"/>
    </row>
    <row r="693">
      <c r="C693" s="79"/>
      <c r="D693" s="79"/>
      <c r="E693" s="79"/>
      <c r="P693" s="79"/>
      <c r="Q693" s="79"/>
      <c r="R693" s="79"/>
      <c r="Y693" s="79"/>
      <c r="AC693" s="130"/>
      <c r="AE693" s="106"/>
    </row>
    <row r="694">
      <c r="C694" s="79"/>
      <c r="D694" s="79"/>
      <c r="E694" s="79"/>
      <c r="P694" s="79"/>
      <c r="Q694" s="79"/>
      <c r="R694" s="79"/>
      <c r="Y694" s="79"/>
      <c r="AC694" s="130"/>
      <c r="AE694" s="106"/>
    </row>
    <row r="695">
      <c r="C695" s="79"/>
      <c r="D695" s="79"/>
      <c r="E695" s="79"/>
      <c r="P695" s="79"/>
      <c r="Q695" s="79"/>
      <c r="R695" s="79"/>
      <c r="Y695" s="79"/>
      <c r="AC695" s="130"/>
      <c r="AE695" s="106"/>
    </row>
    <row r="696">
      <c r="C696" s="79"/>
      <c r="D696" s="79"/>
      <c r="E696" s="79"/>
      <c r="P696" s="79"/>
      <c r="Q696" s="79"/>
      <c r="R696" s="79"/>
      <c r="Y696" s="79"/>
      <c r="AC696" s="130"/>
      <c r="AE696" s="106"/>
    </row>
    <row r="697">
      <c r="C697" s="79"/>
      <c r="D697" s="79"/>
      <c r="E697" s="79"/>
      <c r="P697" s="79"/>
      <c r="Q697" s="79"/>
      <c r="R697" s="79"/>
      <c r="Y697" s="79"/>
      <c r="AC697" s="130"/>
      <c r="AE697" s="106"/>
    </row>
    <row r="698">
      <c r="C698" s="79"/>
      <c r="D698" s="79"/>
      <c r="E698" s="79"/>
      <c r="P698" s="79"/>
      <c r="Q698" s="79"/>
      <c r="R698" s="79"/>
      <c r="Y698" s="79"/>
      <c r="AC698" s="130"/>
      <c r="AE698" s="106"/>
    </row>
    <row r="699">
      <c r="C699" s="79"/>
      <c r="D699" s="79"/>
      <c r="E699" s="79"/>
      <c r="P699" s="79"/>
      <c r="Q699" s="79"/>
      <c r="R699" s="79"/>
      <c r="Y699" s="79"/>
      <c r="AC699" s="130"/>
      <c r="AE699" s="106"/>
    </row>
    <row r="700">
      <c r="C700" s="79"/>
      <c r="D700" s="79"/>
      <c r="E700" s="79"/>
      <c r="P700" s="79"/>
      <c r="Q700" s="79"/>
      <c r="R700" s="79"/>
      <c r="Y700" s="79"/>
      <c r="AC700" s="130"/>
      <c r="AE700" s="106"/>
    </row>
    <row r="701">
      <c r="C701" s="79"/>
      <c r="D701" s="79"/>
      <c r="E701" s="79"/>
      <c r="P701" s="79"/>
      <c r="Q701" s="79"/>
      <c r="R701" s="79"/>
      <c r="Y701" s="79"/>
      <c r="AC701" s="130"/>
      <c r="AE701" s="106"/>
    </row>
    <row r="702">
      <c r="C702" s="79"/>
      <c r="D702" s="79"/>
      <c r="E702" s="79"/>
      <c r="P702" s="79"/>
      <c r="Q702" s="79"/>
      <c r="R702" s="79"/>
      <c r="Y702" s="79"/>
      <c r="AC702" s="130"/>
      <c r="AE702" s="106"/>
    </row>
    <row r="703">
      <c r="C703" s="79"/>
      <c r="D703" s="79"/>
      <c r="E703" s="79"/>
      <c r="P703" s="79"/>
      <c r="Q703" s="79"/>
      <c r="R703" s="79"/>
      <c r="Y703" s="79"/>
      <c r="AC703" s="130"/>
      <c r="AE703" s="106"/>
    </row>
    <row r="704">
      <c r="C704" s="79"/>
      <c r="D704" s="79"/>
      <c r="E704" s="79"/>
      <c r="P704" s="79"/>
      <c r="Q704" s="79"/>
      <c r="R704" s="79"/>
      <c r="Y704" s="79"/>
      <c r="AC704" s="130"/>
      <c r="AE704" s="106"/>
    </row>
    <row r="705">
      <c r="C705" s="79"/>
      <c r="D705" s="79"/>
      <c r="E705" s="79"/>
      <c r="P705" s="79"/>
      <c r="Q705" s="79"/>
      <c r="R705" s="79"/>
      <c r="Y705" s="79"/>
      <c r="AC705" s="130"/>
      <c r="AE705" s="106"/>
    </row>
    <row r="706">
      <c r="C706" s="79"/>
      <c r="D706" s="79"/>
      <c r="E706" s="79"/>
      <c r="P706" s="79"/>
      <c r="Q706" s="79"/>
      <c r="R706" s="79"/>
      <c r="Y706" s="79"/>
      <c r="AC706" s="130"/>
      <c r="AE706" s="106"/>
    </row>
    <row r="707">
      <c r="C707" s="79"/>
      <c r="D707" s="79"/>
      <c r="E707" s="79"/>
      <c r="P707" s="79"/>
      <c r="Q707" s="79"/>
      <c r="R707" s="79"/>
      <c r="Y707" s="79"/>
      <c r="AC707" s="130"/>
      <c r="AE707" s="106"/>
    </row>
    <row r="708">
      <c r="C708" s="79"/>
      <c r="D708" s="79"/>
      <c r="E708" s="79"/>
      <c r="P708" s="79"/>
      <c r="Q708" s="79"/>
      <c r="R708" s="79"/>
      <c r="Y708" s="79"/>
      <c r="AC708" s="130"/>
      <c r="AE708" s="106"/>
    </row>
    <row r="709">
      <c r="C709" s="79"/>
      <c r="D709" s="79"/>
      <c r="E709" s="79"/>
      <c r="P709" s="79"/>
      <c r="Q709" s="79"/>
      <c r="R709" s="79"/>
      <c r="Y709" s="79"/>
      <c r="AC709" s="130"/>
      <c r="AE709" s="106"/>
    </row>
    <row r="710">
      <c r="C710" s="79"/>
      <c r="D710" s="79"/>
      <c r="E710" s="79"/>
      <c r="P710" s="79"/>
      <c r="Q710" s="79"/>
      <c r="R710" s="79"/>
      <c r="Y710" s="79"/>
      <c r="AC710" s="130"/>
      <c r="AE710" s="106"/>
    </row>
    <row r="711">
      <c r="C711" s="79"/>
      <c r="D711" s="79"/>
      <c r="E711" s="79"/>
      <c r="P711" s="79"/>
      <c r="Q711" s="79"/>
      <c r="R711" s="79"/>
      <c r="Y711" s="79"/>
      <c r="AC711" s="130"/>
      <c r="AE711" s="106"/>
    </row>
    <row r="712">
      <c r="C712" s="79"/>
      <c r="D712" s="79"/>
      <c r="E712" s="79"/>
      <c r="P712" s="79"/>
      <c r="Q712" s="79"/>
      <c r="R712" s="79"/>
      <c r="Y712" s="79"/>
      <c r="AC712" s="130"/>
      <c r="AE712" s="106"/>
    </row>
    <row r="713">
      <c r="C713" s="79"/>
      <c r="D713" s="79"/>
      <c r="E713" s="79"/>
      <c r="P713" s="79"/>
      <c r="Q713" s="79"/>
      <c r="R713" s="79"/>
      <c r="Y713" s="79"/>
      <c r="AC713" s="130"/>
      <c r="AE713" s="106"/>
    </row>
    <row r="714">
      <c r="C714" s="79"/>
      <c r="D714" s="79"/>
      <c r="E714" s="79"/>
      <c r="P714" s="79"/>
      <c r="Q714" s="79"/>
      <c r="R714" s="79"/>
      <c r="Y714" s="79"/>
      <c r="AC714" s="130"/>
      <c r="AE714" s="106"/>
    </row>
    <row r="715">
      <c r="C715" s="79"/>
      <c r="D715" s="79"/>
      <c r="E715" s="79"/>
      <c r="P715" s="79"/>
      <c r="Q715" s="79"/>
      <c r="R715" s="79"/>
      <c r="Y715" s="79"/>
      <c r="AC715" s="130"/>
      <c r="AE715" s="106"/>
    </row>
    <row r="716">
      <c r="C716" s="79"/>
      <c r="D716" s="79"/>
      <c r="E716" s="79"/>
      <c r="P716" s="79"/>
      <c r="Q716" s="79"/>
      <c r="R716" s="79"/>
      <c r="Y716" s="79"/>
      <c r="AC716" s="130"/>
      <c r="AE716" s="106"/>
    </row>
    <row r="717">
      <c r="C717" s="79"/>
      <c r="D717" s="79"/>
      <c r="E717" s="79"/>
      <c r="P717" s="79"/>
      <c r="Q717" s="79"/>
      <c r="R717" s="79"/>
      <c r="Y717" s="79"/>
      <c r="AC717" s="130"/>
      <c r="AE717" s="106"/>
    </row>
    <row r="718">
      <c r="C718" s="79"/>
      <c r="D718" s="79"/>
      <c r="E718" s="79"/>
      <c r="P718" s="79"/>
      <c r="Q718" s="79"/>
      <c r="R718" s="79"/>
      <c r="Y718" s="79"/>
      <c r="AC718" s="130"/>
      <c r="AE718" s="106"/>
    </row>
    <row r="719">
      <c r="C719" s="79"/>
      <c r="D719" s="79"/>
      <c r="E719" s="79"/>
      <c r="P719" s="79"/>
      <c r="Q719" s="79"/>
      <c r="R719" s="79"/>
      <c r="Y719" s="79"/>
      <c r="AC719" s="130"/>
      <c r="AE719" s="106"/>
    </row>
    <row r="720">
      <c r="C720" s="79"/>
      <c r="D720" s="79"/>
      <c r="E720" s="79"/>
      <c r="P720" s="79"/>
      <c r="Q720" s="79"/>
      <c r="R720" s="79"/>
      <c r="Y720" s="79"/>
      <c r="AC720" s="130"/>
      <c r="AE720" s="106"/>
    </row>
    <row r="721">
      <c r="C721" s="79"/>
      <c r="D721" s="79"/>
      <c r="E721" s="79"/>
      <c r="P721" s="79"/>
      <c r="Q721" s="79"/>
      <c r="R721" s="79"/>
      <c r="Y721" s="79"/>
      <c r="AC721" s="130"/>
      <c r="AE721" s="106"/>
    </row>
    <row r="722">
      <c r="C722" s="79"/>
      <c r="D722" s="79"/>
      <c r="E722" s="79"/>
      <c r="P722" s="79"/>
      <c r="Q722" s="79"/>
      <c r="R722" s="79"/>
      <c r="Y722" s="79"/>
      <c r="AC722" s="130"/>
      <c r="AE722" s="106"/>
    </row>
    <row r="723">
      <c r="C723" s="79"/>
      <c r="D723" s="79"/>
      <c r="E723" s="79"/>
      <c r="P723" s="79"/>
      <c r="Q723" s="79"/>
      <c r="R723" s="79"/>
      <c r="Y723" s="79"/>
      <c r="AC723" s="130"/>
      <c r="AE723" s="106"/>
    </row>
    <row r="724">
      <c r="C724" s="79"/>
      <c r="D724" s="79"/>
      <c r="E724" s="79"/>
      <c r="P724" s="79"/>
      <c r="Q724" s="79"/>
      <c r="R724" s="79"/>
      <c r="Y724" s="79"/>
      <c r="AC724" s="130"/>
      <c r="AE724" s="106"/>
    </row>
    <row r="725">
      <c r="C725" s="79"/>
      <c r="D725" s="79"/>
      <c r="E725" s="79"/>
      <c r="P725" s="79"/>
      <c r="Q725" s="79"/>
      <c r="R725" s="79"/>
      <c r="Y725" s="79"/>
      <c r="AC725" s="130"/>
      <c r="AE725" s="106"/>
    </row>
    <row r="726">
      <c r="C726" s="79"/>
      <c r="D726" s="79"/>
      <c r="E726" s="79"/>
      <c r="P726" s="79"/>
      <c r="Q726" s="79"/>
      <c r="R726" s="79"/>
      <c r="Y726" s="79"/>
      <c r="AC726" s="130"/>
      <c r="AE726" s="106"/>
    </row>
    <row r="727">
      <c r="C727" s="79"/>
      <c r="D727" s="79"/>
      <c r="E727" s="79"/>
      <c r="P727" s="79"/>
      <c r="Q727" s="79"/>
      <c r="R727" s="79"/>
      <c r="Y727" s="79"/>
      <c r="AC727" s="130"/>
      <c r="AE727" s="106"/>
    </row>
    <row r="728">
      <c r="C728" s="79"/>
      <c r="D728" s="79"/>
      <c r="E728" s="79"/>
      <c r="P728" s="79"/>
      <c r="Q728" s="79"/>
      <c r="R728" s="79"/>
      <c r="Y728" s="79"/>
      <c r="AC728" s="130"/>
      <c r="AE728" s="106"/>
    </row>
    <row r="729">
      <c r="C729" s="79"/>
      <c r="D729" s="79"/>
      <c r="E729" s="79"/>
      <c r="P729" s="79"/>
      <c r="Q729" s="79"/>
      <c r="R729" s="79"/>
      <c r="Y729" s="79"/>
      <c r="AC729" s="130"/>
      <c r="AE729" s="106"/>
    </row>
    <row r="730">
      <c r="C730" s="79"/>
      <c r="D730" s="79"/>
      <c r="E730" s="79"/>
      <c r="P730" s="79"/>
      <c r="Q730" s="79"/>
      <c r="R730" s="79"/>
      <c r="Y730" s="79"/>
      <c r="AC730" s="130"/>
      <c r="AE730" s="106"/>
    </row>
    <row r="731">
      <c r="C731" s="79"/>
      <c r="D731" s="79"/>
      <c r="E731" s="79"/>
      <c r="P731" s="79"/>
      <c r="Q731" s="79"/>
      <c r="R731" s="79"/>
      <c r="Y731" s="79"/>
      <c r="AC731" s="130"/>
      <c r="AE731" s="106"/>
    </row>
    <row r="732">
      <c r="C732" s="79"/>
      <c r="D732" s="79"/>
      <c r="E732" s="79"/>
      <c r="P732" s="79"/>
      <c r="Q732" s="79"/>
      <c r="R732" s="79"/>
      <c r="Y732" s="79"/>
      <c r="AC732" s="130"/>
      <c r="AE732" s="106"/>
    </row>
    <row r="733">
      <c r="C733" s="79"/>
      <c r="D733" s="79"/>
      <c r="E733" s="79"/>
      <c r="P733" s="79"/>
      <c r="Q733" s="79"/>
      <c r="R733" s="79"/>
      <c r="Y733" s="79"/>
      <c r="AC733" s="130"/>
      <c r="AE733" s="106"/>
    </row>
    <row r="734">
      <c r="C734" s="79"/>
      <c r="D734" s="79"/>
      <c r="E734" s="79"/>
      <c r="P734" s="79"/>
      <c r="Q734" s="79"/>
      <c r="R734" s="79"/>
      <c r="Y734" s="79"/>
      <c r="AC734" s="130"/>
      <c r="AE734" s="106"/>
    </row>
    <row r="735">
      <c r="C735" s="79"/>
      <c r="D735" s="79"/>
      <c r="E735" s="79"/>
      <c r="P735" s="79"/>
      <c r="Q735" s="79"/>
      <c r="R735" s="79"/>
      <c r="Y735" s="79"/>
      <c r="AC735" s="130"/>
      <c r="AE735" s="106"/>
    </row>
    <row r="736">
      <c r="C736" s="79"/>
      <c r="D736" s="79"/>
      <c r="E736" s="79"/>
      <c r="P736" s="79"/>
      <c r="Q736" s="79"/>
      <c r="R736" s="79"/>
      <c r="Y736" s="79"/>
      <c r="AC736" s="130"/>
      <c r="AE736" s="106"/>
    </row>
    <row r="737">
      <c r="C737" s="79"/>
      <c r="D737" s="79"/>
      <c r="E737" s="79"/>
      <c r="P737" s="79"/>
      <c r="Q737" s="79"/>
      <c r="R737" s="79"/>
      <c r="Y737" s="79"/>
      <c r="AC737" s="130"/>
      <c r="AE737" s="106"/>
    </row>
    <row r="738">
      <c r="C738" s="79"/>
      <c r="D738" s="79"/>
      <c r="E738" s="79"/>
      <c r="P738" s="79"/>
      <c r="Q738" s="79"/>
      <c r="R738" s="79"/>
      <c r="Y738" s="79"/>
      <c r="AC738" s="130"/>
      <c r="AE738" s="106"/>
    </row>
    <row r="739">
      <c r="C739" s="79"/>
      <c r="D739" s="79"/>
      <c r="E739" s="79"/>
      <c r="P739" s="79"/>
      <c r="Q739" s="79"/>
      <c r="R739" s="79"/>
      <c r="Y739" s="79"/>
      <c r="AC739" s="130"/>
      <c r="AE739" s="106"/>
    </row>
    <row r="740">
      <c r="C740" s="79"/>
      <c r="D740" s="79"/>
      <c r="E740" s="79"/>
      <c r="P740" s="79"/>
      <c r="Q740" s="79"/>
      <c r="R740" s="79"/>
      <c r="Y740" s="79"/>
      <c r="AC740" s="130"/>
      <c r="AE740" s="106"/>
    </row>
    <row r="741">
      <c r="C741" s="79"/>
      <c r="D741" s="79"/>
      <c r="E741" s="79"/>
      <c r="P741" s="79"/>
      <c r="Q741" s="79"/>
      <c r="R741" s="79"/>
      <c r="Y741" s="79"/>
      <c r="AC741" s="130"/>
      <c r="AE741" s="106"/>
    </row>
    <row r="742">
      <c r="C742" s="79"/>
      <c r="D742" s="79"/>
      <c r="E742" s="79"/>
      <c r="P742" s="79"/>
      <c r="Q742" s="79"/>
      <c r="R742" s="79"/>
      <c r="Y742" s="79"/>
      <c r="AC742" s="130"/>
      <c r="AE742" s="106"/>
    </row>
    <row r="743">
      <c r="C743" s="79"/>
      <c r="D743" s="79"/>
      <c r="E743" s="79"/>
      <c r="P743" s="79"/>
      <c r="Q743" s="79"/>
      <c r="R743" s="79"/>
      <c r="Y743" s="79"/>
      <c r="AC743" s="130"/>
      <c r="AE743" s="106"/>
    </row>
    <row r="744">
      <c r="C744" s="79"/>
      <c r="D744" s="79"/>
      <c r="E744" s="79"/>
      <c r="P744" s="79"/>
      <c r="Q744" s="79"/>
      <c r="R744" s="79"/>
      <c r="Y744" s="79"/>
      <c r="AC744" s="130"/>
      <c r="AE744" s="106"/>
    </row>
    <row r="745">
      <c r="C745" s="79"/>
      <c r="D745" s="79"/>
      <c r="E745" s="79"/>
      <c r="P745" s="79"/>
      <c r="Q745" s="79"/>
      <c r="R745" s="79"/>
      <c r="Y745" s="79"/>
      <c r="AC745" s="130"/>
      <c r="AE745" s="106"/>
    </row>
    <row r="746">
      <c r="C746" s="79"/>
      <c r="D746" s="79"/>
      <c r="E746" s="79"/>
      <c r="P746" s="79"/>
      <c r="Q746" s="79"/>
      <c r="R746" s="79"/>
      <c r="Y746" s="79"/>
      <c r="AC746" s="130"/>
      <c r="AE746" s="106"/>
    </row>
    <row r="747">
      <c r="C747" s="79"/>
      <c r="D747" s="79"/>
      <c r="E747" s="79"/>
      <c r="P747" s="79"/>
      <c r="Q747" s="79"/>
      <c r="R747" s="79"/>
      <c r="Y747" s="79"/>
      <c r="AC747" s="130"/>
      <c r="AE747" s="106"/>
    </row>
    <row r="748">
      <c r="C748" s="79"/>
      <c r="D748" s="79"/>
      <c r="E748" s="79"/>
      <c r="P748" s="79"/>
      <c r="Q748" s="79"/>
      <c r="R748" s="79"/>
      <c r="Y748" s="79"/>
      <c r="AC748" s="130"/>
      <c r="AE748" s="106"/>
    </row>
    <row r="749">
      <c r="C749" s="79"/>
      <c r="D749" s="79"/>
      <c r="E749" s="79"/>
      <c r="P749" s="79"/>
      <c r="Q749" s="79"/>
      <c r="R749" s="79"/>
      <c r="Y749" s="79"/>
      <c r="AC749" s="130"/>
      <c r="AE749" s="106"/>
    </row>
    <row r="750">
      <c r="C750" s="79"/>
      <c r="D750" s="79"/>
      <c r="E750" s="79"/>
      <c r="P750" s="79"/>
      <c r="Q750" s="79"/>
      <c r="R750" s="79"/>
      <c r="Y750" s="79"/>
      <c r="AC750" s="130"/>
      <c r="AE750" s="106"/>
    </row>
    <row r="751">
      <c r="C751" s="79"/>
      <c r="D751" s="79"/>
      <c r="E751" s="79"/>
      <c r="P751" s="79"/>
      <c r="Q751" s="79"/>
      <c r="R751" s="79"/>
      <c r="Y751" s="79"/>
      <c r="AC751" s="130"/>
      <c r="AE751" s="106"/>
    </row>
    <row r="752">
      <c r="C752" s="79"/>
      <c r="D752" s="79"/>
      <c r="E752" s="79"/>
      <c r="P752" s="79"/>
      <c r="Q752" s="79"/>
      <c r="R752" s="79"/>
      <c r="Y752" s="79"/>
      <c r="AC752" s="130"/>
      <c r="AE752" s="106"/>
    </row>
    <row r="753">
      <c r="C753" s="79"/>
      <c r="D753" s="79"/>
      <c r="E753" s="79"/>
      <c r="P753" s="79"/>
      <c r="Q753" s="79"/>
      <c r="R753" s="79"/>
      <c r="Y753" s="79"/>
      <c r="AC753" s="130"/>
      <c r="AE753" s="106"/>
    </row>
    <row r="754">
      <c r="C754" s="79"/>
      <c r="D754" s="79"/>
      <c r="E754" s="79"/>
      <c r="P754" s="79"/>
      <c r="Q754" s="79"/>
      <c r="R754" s="79"/>
      <c r="Y754" s="79"/>
      <c r="AC754" s="130"/>
      <c r="AE754" s="106"/>
    </row>
    <row r="755">
      <c r="C755" s="79"/>
      <c r="D755" s="79"/>
      <c r="E755" s="79"/>
      <c r="P755" s="79"/>
      <c r="Q755" s="79"/>
      <c r="R755" s="79"/>
      <c r="Y755" s="79"/>
      <c r="AC755" s="130"/>
      <c r="AE755" s="106"/>
    </row>
    <row r="756">
      <c r="C756" s="79"/>
      <c r="D756" s="79"/>
      <c r="E756" s="79"/>
      <c r="P756" s="79"/>
      <c r="Q756" s="79"/>
      <c r="R756" s="79"/>
      <c r="Y756" s="79"/>
      <c r="AC756" s="130"/>
      <c r="AE756" s="106"/>
    </row>
    <row r="757">
      <c r="C757" s="79"/>
      <c r="D757" s="79"/>
      <c r="E757" s="79"/>
      <c r="P757" s="79"/>
      <c r="Q757" s="79"/>
      <c r="R757" s="79"/>
      <c r="Y757" s="79"/>
      <c r="AC757" s="130"/>
      <c r="AE757" s="106"/>
    </row>
    <row r="758">
      <c r="C758" s="79"/>
      <c r="D758" s="79"/>
      <c r="E758" s="79"/>
      <c r="P758" s="79"/>
      <c r="Q758" s="79"/>
      <c r="R758" s="79"/>
      <c r="Y758" s="79"/>
      <c r="AC758" s="130"/>
      <c r="AE758" s="106"/>
    </row>
    <row r="759">
      <c r="C759" s="79"/>
      <c r="D759" s="79"/>
      <c r="E759" s="79"/>
      <c r="P759" s="79"/>
      <c r="Q759" s="79"/>
      <c r="R759" s="79"/>
      <c r="Y759" s="79"/>
      <c r="AC759" s="130"/>
      <c r="AE759" s="106"/>
    </row>
    <row r="760">
      <c r="C760" s="79"/>
      <c r="D760" s="79"/>
      <c r="E760" s="79"/>
      <c r="P760" s="79"/>
      <c r="Q760" s="79"/>
      <c r="R760" s="79"/>
      <c r="Y760" s="79"/>
      <c r="AC760" s="130"/>
      <c r="AE760" s="106"/>
    </row>
    <row r="761">
      <c r="C761" s="79"/>
      <c r="D761" s="79"/>
      <c r="E761" s="79"/>
      <c r="P761" s="79"/>
      <c r="Q761" s="79"/>
      <c r="R761" s="79"/>
      <c r="Y761" s="79"/>
      <c r="AC761" s="130"/>
      <c r="AE761" s="106"/>
    </row>
    <row r="762">
      <c r="C762" s="79"/>
      <c r="D762" s="79"/>
      <c r="E762" s="79"/>
      <c r="P762" s="79"/>
      <c r="Q762" s="79"/>
      <c r="R762" s="79"/>
      <c r="Y762" s="79"/>
      <c r="AC762" s="130"/>
      <c r="AE762" s="106"/>
    </row>
    <row r="763">
      <c r="C763" s="79"/>
      <c r="D763" s="79"/>
      <c r="E763" s="79"/>
      <c r="P763" s="79"/>
      <c r="Q763" s="79"/>
      <c r="R763" s="79"/>
      <c r="Y763" s="79"/>
      <c r="AC763" s="130"/>
      <c r="AE763" s="106"/>
    </row>
    <row r="764">
      <c r="C764" s="79"/>
      <c r="D764" s="79"/>
      <c r="E764" s="79"/>
      <c r="P764" s="79"/>
      <c r="Q764" s="79"/>
      <c r="R764" s="79"/>
      <c r="Y764" s="79"/>
      <c r="AC764" s="130"/>
      <c r="AE764" s="106"/>
    </row>
    <row r="765">
      <c r="C765" s="79"/>
      <c r="D765" s="79"/>
      <c r="E765" s="79"/>
      <c r="P765" s="79"/>
      <c r="Q765" s="79"/>
      <c r="R765" s="79"/>
      <c r="Y765" s="79"/>
      <c r="AC765" s="130"/>
      <c r="AE765" s="106"/>
    </row>
    <row r="766">
      <c r="C766" s="79"/>
      <c r="D766" s="79"/>
      <c r="E766" s="79"/>
      <c r="P766" s="79"/>
      <c r="Q766" s="79"/>
      <c r="R766" s="79"/>
      <c r="Y766" s="79"/>
      <c r="AC766" s="130"/>
      <c r="AE766" s="106"/>
    </row>
    <row r="767">
      <c r="C767" s="79"/>
      <c r="D767" s="79"/>
      <c r="E767" s="79"/>
      <c r="P767" s="79"/>
      <c r="Q767" s="79"/>
      <c r="R767" s="79"/>
      <c r="Y767" s="79"/>
      <c r="AC767" s="130"/>
      <c r="AE767" s="106"/>
    </row>
    <row r="768">
      <c r="C768" s="79"/>
      <c r="D768" s="79"/>
      <c r="E768" s="79"/>
      <c r="P768" s="79"/>
      <c r="Q768" s="79"/>
      <c r="R768" s="79"/>
      <c r="Y768" s="79"/>
      <c r="AC768" s="130"/>
      <c r="AE768" s="106"/>
    </row>
    <row r="769">
      <c r="C769" s="79"/>
      <c r="D769" s="79"/>
      <c r="E769" s="79"/>
      <c r="P769" s="79"/>
      <c r="Q769" s="79"/>
      <c r="R769" s="79"/>
      <c r="Y769" s="79"/>
      <c r="AC769" s="130"/>
      <c r="AE769" s="106"/>
    </row>
    <row r="770">
      <c r="C770" s="79"/>
      <c r="D770" s="79"/>
      <c r="E770" s="79"/>
      <c r="P770" s="79"/>
      <c r="Q770" s="79"/>
      <c r="R770" s="79"/>
      <c r="Y770" s="79"/>
      <c r="AC770" s="130"/>
      <c r="AE770" s="106"/>
    </row>
    <row r="771">
      <c r="C771" s="79"/>
      <c r="D771" s="79"/>
      <c r="E771" s="79"/>
      <c r="P771" s="79"/>
      <c r="Q771" s="79"/>
      <c r="R771" s="79"/>
      <c r="Y771" s="79"/>
      <c r="AC771" s="130"/>
      <c r="AE771" s="106"/>
    </row>
    <row r="772">
      <c r="C772" s="79"/>
      <c r="D772" s="79"/>
      <c r="E772" s="79"/>
      <c r="P772" s="79"/>
      <c r="Q772" s="79"/>
      <c r="R772" s="79"/>
      <c r="Y772" s="79"/>
      <c r="AC772" s="130"/>
      <c r="AE772" s="106"/>
    </row>
    <row r="773">
      <c r="C773" s="79"/>
      <c r="D773" s="79"/>
      <c r="E773" s="79"/>
      <c r="P773" s="79"/>
      <c r="Q773" s="79"/>
      <c r="R773" s="79"/>
      <c r="Y773" s="79"/>
      <c r="AC773" s="130"/>
      <c r="AE773" s="106"/>
    </row>
    <row r="774">
      <c r="C774" s="79"/>
      <c r="D774" s="79"/>
      <c r="E774" s="79"/>
      <c r="P774" s="79"/>
      <c r="Q774" s="79"/>
      <c r="R774" s="79"/>
      <c r="Y774" s="79"/>
      <c r="AC774" s="130"/>
      <c r="AE774" s="106"/>
    </row>
    <row r="775">
      <c r="C775" s="79"/>
      <c r="D775" s="79"/>
      <c r="E775" s="79"/>
      <c r="P775" s="79"/>
      <c r="Q775" s="79"/>
      <c r="R775" s="79"/>
      <c r="Y775" s="79"/>
      <c r="AC775" s="130"/>
      <c r="AE775" s="106"/>
    </row>
    <row r="776">
      <c r="C776" s="79"/>
      <c r="D776" s="79"/>
      <c r="E776" s="79"/>
      <c r="P776" s="79"/>
      <c r="Q776" s="79"/>
      <c r="R776" s="79"/>
      <c r="Y776" s="79"/>
      <c r="AC776" s="130"/>
      <c r="AE776" s="106"/>
    </row>
    <row r="777">
      <c r="C777" s="79"/>
      <c r="D777" s="79"/>
      <c r="E777" s="79"/>
      <c r="P777" s="79"/>
      <c r="Q777" s="79"/>
      <c r="R777" s="79"/>
      <c r="Y777" s="79"/>
      <c r="AC777" s="130"/>
      <c r="AE777" s="106"/>
    </row>
    <row r="778">
      <c r="C778" s="79"/>
      <c r="D778" s="79"/>
      <c r="E778" s="79"/>
      <c r="P778" s="79"/>
      <c r="Q778" s="79"/>
      <c r="R778" s="79"/>
      <c r="Y778" s="79"/>
      <c r="AC778" s="130"/>
      <c r="AE778" s="106"/>
    </row>
    <row r="779">
      <c r="C779" s="79"/>
      <c r="D779" s="79"/>
      <c r="E779" s="79"/>
      <c r="P779" s="79"/>
      <c r="Q779" s="79"/>
      <c r="R779" s="79"/>
      <c r="Y779" s="79"/>
      <c r="AC779" s="130"/>
      <c r="AE779" s="106"/>
    </row>
    <row r="780">
      <c r="C780" s="79"/>
      <c r="D780" s="79"/>
      <c r="E780" s="79"/>
      <c r="P780" s="79"/>
      <c r="Q780" s="79"/>
      <c r="R780" s="79"/>
      <c r="Y780" s="79"/>
      <c r="AC780" s="130"/>
      <c r="AE780" s="106"/>
    </row>
    <row r="781">
      <c r="C781" s="79"/>
      <c r="D781" s="79"/>
      <c r="E781" s="79"/>
      <c r="P781" s="79"/>
      <c r="Q781" s="79"/>
      <c r="R781" s="79"/>
      <c r="Y781" s="79"/>
      <c r="AC781" s="130"/>
      <c r="AE781" s="106"/>
    </row>
    <row r="782">
      <c r="C782" s="79"/>
      <c r="D782" s="79"/>
      <c r="E782" s="79"/>
      <c r="P782" s="79"/>
      <c r="Q782" s="79"/>
      <c r="R782" s="79"/>
      <c r="Y782" s="79"/>
      <c r="AC782" s="130"/>
      <c r="AE782" s="106"/>
    </row>
    <row r="783">
      <c r="C783" s="79"/>
      <c r="D783" s="79"/>
      <c r="E783" s="79"/>
      <c r="P783" s="79"/>
      <c r="Q783" s="79"/>
      <c r="R783" s="79"/>
      <c r="Y783" s="79"/>
      <c r="AC783" s="130"/>
      <c r="AE783" s="106"/>
    </row>
    <row r="784">
      <c r="C784" s="79"/>
      <c r="D784" s="79"/>
      <c r="E784" s="79"/>
      <c r="P784" s="79"/>
      <c r="Q784" s="79"/>
      <c r="R784" s="79"/>
      <c r="Y784" s="79"/>
      <c r="AC784" s="130"/>
      <c r="AE784" s="106"/>
    </row>
    <row r="785">
      <c r="C785" s="79"/>
      <c r="D785" s="79"/>
      <c r="E785" s="79"/>
      <c r="P785" s="79"/>
      <c r="Q785" s="79"/>
      <c r="R785" s="79"/>
      <c r="Y785" s="79"/>
      <c r="AC785" s="130"/>
      <c r="AE785" s="106"/>
    </row>
    <row r="786">
      <c r="C786" s="79"/>
      <c r="D786" s="79"/>
      <c r="E786" s="79"/>
      <c r="P786" s="79"/>
      <c r="Q786" s="79"/>
      <c r="R786" s="79"/>
      <c r="Y786" s="79"/>
      <c r="AC786" s="130"/>
      <c r="AE786" s="106"/>
    </row>
    <row r="787">
      <c r="C787" s="79"/>
      <c r="D787" s="79"/>
      <c r="E787" s="79"/>
      <c r="P787" s="79"/>
      <c r="Q787" s="79"/>
      <c r="R787" s="79"/>
      <c r="Y787" s="79"/>
      <c r="AC787" s="130"/>
      <c r="AE787" s="106"/>
    </row>
    <row r="788">
      <c r="C788" s="79"/>
      <c r="D788" s="79"/>
      <c r="E788" s="79"/>
      <c r="P788" s="79"/>
      <c r="Q788" s="79"/>
      <c r="R788" s="79"/>
      <c r="Y788" s="79"/>
      <c r="AC788" s="130"/>
      <c r="AE788" s="106"/>
    </row>
    <row r="789">
      <c r="C789" s="79"/>
      <c r="D789" s="79"/>
      <c r="E789" s="79"/>
      <c r="P789" s="79"/>
      <c r="Q789" s="79"/>
      <c r="R789" s="79"/>
      <c r="Y789" s="79"/>
      <c r="AC789" s="130"/>
      <c r="AE789" s="106"/>
    </row>
    <row r="790">
      <c r="C790" s="79"/>
      <c r="D790" s="79"/>
      <c r="E790" s="79"/>
      <c r="P790" s="79"/>
      <c r="Q790" s="79"/>
      <c r="R790" s="79"/>
      <c r="Y790" s="79"/>
      <c r="AC790" s="130"/>
      <c r="AE790" s="106"/>
    </row>
    <row r="791">
      <c r="C791" s="79"/>
      <c r="D791" s="79"/>
      <c r="E791" s="79"/>
      <c r="P791" s="79"/>
      <c r="Q791" s="79"/>
      <c r="R791" s="79"/>
      <c r="Y791" s="79"/>
      <c r="AC791" s="130"/>
      <c r="AE791" s="106"/>
    </row>
    <row r="792">
      <c r="C792" s="79"/>
      <c r="D792" s="79"/>
      <c r="E792" s="79"/>
      <c r="P792" s="79"/>
      <c r="Q792" s="79"/>
      <c r="R792" s="79"/>
      <c r="Y792" s="79"/>
      <c r="AC792" s="130"/>
      <c r="AE792" s="106"/>
    </row>
    <row r="793">
      <c r="C793" s="79"/>
      <c r="D793" s="79"/>
      <c r="E793" s="79"/>
      <c r="P793" s="79"/>
      <c r="Q793" s="79"/>
      <c r="R793" s="79"/>
      <c r="Y793" s="79"/>
      <c r="AC793" s="130"/>
      <c r="AE793" s="106"/>
    </row>
    <row r="794">
      <c r="C794" s="79"/>
      <c r="D794" s="79"/>
      <c r="E794" s="79"/>
      <c r="P794" s="79"/>
      <c r="Q794" s="79"/>
      <c r="R794" s="79"/>
      <c r="Y794" s="79"/>
      <c r="AC794" s="130"/>
      <c r="AE794" s="106"/>
    </row>
    <row r="795">
      <c r="C795" s="79"/>
      <c r="D795" s="79"/>
      <c r="E795" s="79"/>
      <c r="P795" s="79"/>
      <c r="Q795" s="79"/>
      <c r="R795" s="79"/>
      <c r="Y795" s="79"/>
      <c r="AC795" s="130"/>
      <c r="AE795" s="106"/>
    </row>
    <row r="796">
      <c r="C796" s="79"/>
      <c r="D796" s="79"/>
      <c r="E796" s="79"/>
      <c r="P796" s="79"/>
      <c r="Q796" s="79"/>
      <c r="R796" s="79"/>
      <c r="Y796" s="79"/>
      <c r="AC796" s="130"/>
      <c r="AE796" s="106"/>
    </row>
    <row r="797">
      <c r="C797" s="79"/>
      <c r="D797" s="79"/>
      <c r="E797" s="79"/>
      <c r="P797" s="79"/>
      <c r="Q797" s="79"/>
      <c r="R797" s="79"/>
      <c r="Y797" s="79"/>
      <c r="AC797" s="130"/>
      <c r="AE797" s="106"/>
    </row>
    <row r="798">
      <c r="C798" s="79"/>
      <c r="D798" s="79"/>
      <c r="E798" s="79"/>
      <c r="P798" s="79"/>
      <c r="Q798" s="79"/>
      <c r="R798" s="79"/>
      <c r="Y798" s="79"/>
      <c r="AC798" s="130"/>
      <c r="AE798" s="106"/>
    </row>
    <row r="799">
      <c r="C799" s="79"/>
      <c r="D799" s="79"/>
      <c r="E799" s="79"/>
      <c r="P799" s="79"/>
      <c r="Q799" s="79"/>
      <c r="R799" s="79"/>
      <c r="Y799" s="79"/>
      <c r="AC799" s="130"/>
      <c r="AE799" s="106"/>
    </row>
    <row r="800">
      <c r="C800" s="79"/>
      <c r="D800" s="79"/>
      <c r="E800" s="79"/>
      <c r="P800" s="79"/>
      <c r="Q800" s="79"/>
      <c r="R800" s="79"/>
      <c r="Y800" s="79"/>
      <c r="AC800" s="130"/>
      <c r="AE800" s="106"/>
    </row>
    <row r="801">
      <c r="C801" s="79"/>
      <c r="D801" s="79"/>
      <c r="E801" s="79"/>
      <c r="P801" s="79"/>
      <c r="Q801" s="79"/>
      <c r="R801" s="79"/>
      <c r="Y801" s="79"/>
      <c r="AC801" s="130"/>
      <c r="AE801" s="106"/>
    </row>
    <row r="802">
      <c r="C802" s="79"/>
      <c r="D802" s="79"/>
      <c r="E802" s="79"/>
      <c r="P802" s="79"/>
      <c r="Q802" s="79"/>
      <c r="R802" s="79"/>
      <c r="Y802" s="79"/>
      <c r="AC802" s="130"/>
      <c r="AE802" s="106"/>
    </row>
    <row r="803">
      <c r="C803" s="79"/>
      <c r="D803" s="79"/>
      <c r="E803" s="79"/>
      <c r="P803" s="79"/>
      <c r="Q803" s="79"/>
      <c r="R803" s="79"/>
      <c r="Y803" s="79"/>
      <c r="AC803" s="130"/>
      <c r="AE803" s="106"/>
    </row>
    <row r="804">
      <c r="C804" s="79"/>
      <c r="D804" s="79"/>
      <c r="E804" s="79"/>
      <c r="P804" s="79"/>
      <c r="Q804" s="79"/>
      <c r="R804" s="79"/>
      <c r="Y804" s="79"/>
      <c r="AC804" s="130"/>
      <c r="AE804" s="106"/>
    </row>
    <row r="805">
      <c r="C805" s="79"/>
      <c r="D805" s="79"/>
      <c r="E805" s="79"/>
      <c r="P805" s="79"/>
      <c r="Q805" s="79"/>
      <c r="R805" s="79"/>
      <c r="Y805" s="79"/>
      <c r="AC805" s="130"/>
      <c r="AE805" s="106"/>
    </row>
    <row r="806">
      <c r="C806" s="79"/>
      <c r="D806" s="79"/>
      <c r="E806" s="79"/>
      <c r="P806" s="79"/>
      <c r="Q806" s="79"/>
      <c r="R806" s="79"/>
      <c r="Y806" s="79"/>
      <c r="AC806" s="130"/>
      <c r="AE806" s="106"/>
    </row>
    <row r="807">
      <c r="C807" s="79"/>
      <c r="D807" s="79"/>
      <c r="E807" s="79"/>
      <c r="P807" s="79"/>
      <c r="Q807" s="79"/>
      <c r="R807" s="79"/>
      <c r="Y807" s="79"/>
      <c r="AC807" s="130"/>
      <c r="AE807" s="106"/>
    </row>
    <row r="808">
      <c r="C808" s="79"/>
      <c r="D808" s="79"/>
      <c r="E808" s="79"/>
      <c r="P808" s="79"/>
      <c r="Q808" s="79"/>
      <c r="R808" s="79"/>
      <c r="Y808" s="79"/>
      <c r="AC808" s="130"/>
      <c r="AE808" s="106"/>
    </row>
    <row r="809">
      <c r="C809" s="79"/>
      <c r="D809" s="79"/>
      <c r="E809" s="79"/>
      <c r="P809" s="79"/>
      <c r="Q809" s="79"/>
      <c r="R809" s="79"/>
      <c r="Y809" s="79"/>
      <c r="AC809" s="130"/>
      <c r="AE809" s="106"/>
    </row>
    <row r="810">
      <c r="C810" s="79"/>
      <c r="D810" s="79"/>
      <c r="E810" s="79"/>
      <c r="P810" s="79"/>
      <c r="Q810" s="79"/>
      <c r="R810" s="79"/>
      <c r="Y810" s="79"/>
      <c r="AC810" s="130"/>
      <c r="AE810" s="106"/>
    </row>
    <row r="811">
      <c r="C811" s="79"/>
      <c r="D811" s="79"/>
      <c r="E811" s="79"/>
      <c r="P811" s="79"/>
      <c r="Q811" s="79"/>
      <c r="R811" s="79"/>
      <c r="Y811" s="79"/>
      <c r="AC811" s="130"/>
      <c r="AE811" s="106"/>
    </row>
    <row r="812">
      <c r="C812" s="79"/>
      <c r="D812" s="79"/>
      <c r="E812" s="79"/>
      <c r="P812" s="79"/>
      <c r="Q812" s="79"/>
      <c r="R812" s="79"/>
      <c r="Y812" s="79"/>
      <c r="AC812" s="130"/>
      <c r="AE812" s="106"/>
    </row>
    <row r="813">
      <c r="C813" s="79"/>
      <c r="D813" s="79"/>
      <c r="E813" s="79"/>
      <c r="P813" s="79"/>
      <c r="Q813" s="79"/>
      <c r="R813" s="79"/>
      <c r="Y813" s="79"/>
      <c r="AC813" s="130"/>
      <c r="AE813" s="106"/>
    </row>
    <row r="814">
      <c r="C814" s="79"/>
      <c r="D814" s="79"/>
      <c r="E814" s="79"/>
      <c r="P814" s="79"/>
      <c r="Q814" s="79"/>
      <c r="R814" s="79"/>
      <c r="Y814" s="79"/>
      <c r="AC814" s="130"/>
      <c r="AE814" s="106"/>
    </row>
    <row r="815">
      <c r="C815" s="79"/>
      <c r="D815" s="79"/>
      <c r="E815" s="79"/>
      <c r="P815" s="79"/>
      <c r="Q815" s="79"/>
      <c r="R815" s="79"/>
      <c r="Y815" s="79"/>
      <c r="AC815" s="130"/>
      <c r="AE815" s="106"/>
    </row>
    <row r="816">
      <c r="C816" s="79"/>
      <c r="D816" s="79"/>
      <c r="E816" s="79"/>
      <c r="P816" s="79"/>
      <c r="Q816" s="79"/>
      <c r="R816" s="79"/>
      <c r="Y816" s="79"/>
      <c r="AC816" s="130"/>
      <c r="AE816" s="106"/>
    </row>
    <row r="817">
      <c r="C817" s="79"/>
      <c r="D817" s="79"/>
      <c r="E817" s="79"/>
      <c r="P817" s="79"/>
      <c r="Q817" s="79"/>
      <c r="R817" s="79"/>
      <c r="Y817" s="79"/>
      <c r="AC817" s="130"/>
      <c r="AE817" s="106"/>
    </row>
    <row r="818">
      <c r="C818" s="79"/>
      <c r="D818" s="79"/>
      <c r="E818" s="79"/>
      <c r="P818" s="79"/>
      <c r="Q818" s="79"/>
      <c r="R818" s="79"/>
      <c r="Y818" s="79"/>
      <c r="AC818" s="130"/>
      <c r="AE818" s="106"/>
    </row>
    <row r="819">
      <c r="C819" s="79"/>
      <c r="D819" s="79"/>
      <c r="E819" s="79"/>
      <c r="P819" s="79"/>
      <c r="Q819" s="79"/>
      <c r="R819" s="79"/>
      <c r="Y819" s="79"/>
      <c r="AC819" s="130"/>
      <c r="AE819" s="106"/>
    </row>
    <row r="820">
      <c r="C820" s="79"/>
      <c r="D820" s="79"/>
      <c r="E820" s="79"/>
      <c r="P820" s="79"/>
      <c r="Q820" s="79"/>
      <c r="R820" s="79"/>
      <c r="Y820" s="79"/>
      <c r="AC820" s="130"/>
      <c r="AE820" s="106"/>
    </row>
    <row r="821">
      <c r="C821" s="79"/>
      <c r="D821" s="79"/>
      <c r="E821" s="79"/>
      <c r="P821" s="79"/>
      <c r="Q821" s="79"/>
      <c r="R821" s="79"/>
      <c r="Y821" s="79"/>
      <c r="AC821" s="130"/>
      <c r="AE821" s="106"/>
    </row>
    <row r="822">
      <c r="C822" s="79"/>
      <c r="D822" s="79"/>
      <c r="E822" s="79"/>
      <c r="P822" s="79"/>
      <c r="Q822" s="79"/>
      <c r="R822" s="79"/>
      <c r="Y822" s="79"/>
      <c r="AC822" s="130"/>
      <c r="AE822" s="106"/>
    </row>
    <row r="823">
      <c r="C823" s="79"/>
      <c r="D823" s="79"/>
      <c r="E823" s="79"/>
      <c r="P823" s="79"/>
      <c r="Q823" s="79"/>
      <c r="R823" s="79"/>
      <c r="Y823" s="79"/>
      <c r="AC823" s="130"/>
      <c r="AE823" s="106"/>
    </row>
    <row r="824">
      <c r="C824" s="79"/>
      <c r="D824" s="79"/>
      <c r="E824" s="79"/>
      <c r="P824" s="79"/>
      <c r="Q824" s="79"/>
      <c r="R824" s="79"/>
      <c r="Y824" s="79"/>
      <c r="AC824" s="130"/>
      <c r="AE824" s="106"/>
    </row>
    <row r="825">
      <c r="C825" s="79"/>
      <c r="D825" s="79"/>
      <c r="E825" s="79"/>
      <c r="P825" s="79"/>
      <c r="Q825" s="79"/>
      <c r="R825" s="79"/>
      <c r="Y825" s="79"/>
      <c r="AC825" s="130"/>
      <c r="AE825" s="106"/>
    </row>
    <row r="826">
      <c r="C826" s="79"/>
      <c r="D826" s="79"/>
      <c r="E826" s="79"/>
      <c r="P826" s="79"/>
      <c r="Q826" s="79"/>
      <c r="R826" s="79"/>
      <c r="Y826" s="79"/>
      <c r="AC826" s="130"/>
      <c r="AE826" s="106"/>
    </row>
    <row r="827">
      <c r="C827" s="79"/>
      <c r="D827" s="79"/>
      <c r="E827" s="79"/>
      <c r="P827" s="79"/>
      <c r="Q827" s="79"/>
      <c r="R827" s="79"/>
      <c r="Y827" s="79"/>
      <c r="AC827" s="130"/>
      <c r="AE827" s="106"/>
    </row>
    <row r="828">
      <c r="C828" s="79"/>
      <c r="D828" s="79"/>
      <c r="E828" s="79"/>
      <c r="P828" s="79"/>
      <c r="Q828" s="79"/>
      <c r="R828" s="79"/>
      <c r="Y828" s="79"/>
      <c r="AC828" s="130"/>
      <c r="AE828" s="106"/>
    </row>
    <row r="829">
      <c r="C829" s="79"/>
      <c r="D829" s="79"/>
      <c r="E829" s="79"/>
      <c r="P829" s="79"/>
      <c r="Q829" s="79"/>
      <c r="R829" s="79"/>
      <c r="Y829" s="79"/>
      <c r="AC829" s="130"/>
      <c r="AE829" s="106"/>
    </row>
    <row r="830">
      <c r="C830" s="79"/>
      <c r="D830" s="79"/>
      <c r="E830" s="79"/>
      <c r="P830" s="79"/>
      <c r="Q830" s="79"/>
      <c r="R830" s="79"/>
      <c r="Y830" s="79"/>
      <c r="AC830" s="130"/>
      <c r="AE830" s="106"/>
    </row>
    <row r="831">
      <c r="C831" s="79"/>
      <c r="D831" s="79"/>
      <c r="E831" s="79"/>
      <c r="P831" s="79"/>
      <c r="Q831" s="79"/>
      <c r="R831" s="79"/>
      <c r="Y831" s="79"/>
      <c r="AC831" s="130"/>
      <c r="AE831" s="106"/>
    </row>
    <row r="832">
      <c r="C832" s="79"/>
      <c r="D832" s="79"/>
      <c r="E832" s="79"/>
      <c r="P832" s="79"/>
      <c r="Q832" s="79"/>
      <c r="R832" s="79"/>
      <c r="Y832" s="79"/>
      <c r="AC832" s="130"/>
      <c r="AE832" s="106"/>
    </row>
    <row r="833">
      <c r="C833" s="79"/>
      <c r="D833" s="79"/>
      <c r="E833" s="79"/>
      <c r="P833" s="79"/>
      <c r="Q833" s="79"/>
      <c r="R833" s="79"/>
      <c r="Y833" s="79"/>
      <c r="AC833" s="130"/>
      <c r="AE833" s="106"/>
    </row>
    <row r="834">
      <c r="C834" s="79"/>
      <c r="D834" s="79"/>
      <c r="E834" s="79"/>
      <c r="P834" s="79"/>
      <c r="Q834" s="79"/>
      <c r="R834" s="79"/>
      <c r="Y834" s="79"/>
      <c r="AC834" s="130"/>
      <c r="AE834" s="106"/>
    </row>
    <row r="835">
      <c r="C835" s="79"/>
      <c r="D835" s="79"/>
      <c r="E835" s="79"/>
      <c r="P835" s="79"/>
      <c r="Q835" s="79"/>
      <c r="R835" s="79"/>
      <c r="Y835" s="79"/>
      <c r="AC835" s="130"/>
      <c r="AE835" s="106"/>
    </row>
    <row r="836">
      <c r="C836" s="79"/>
      <c r="D836" s="79"/>
      <c r="E836" s="79"/>
      <c r="P836" s="79"/>
      <c r="Q836" s="79"/>
      <c r="R836" s="79"/>
      <c r="Y836" s="79"/>
      <c r="AC836" s="130"/>
      <c r="AE836" s="106"/>
    </row>
    <row r="837">
      <c r="C837" s="79"/>
      <c r="D837" s="79"/>
      <c r="E837" s="79"/>
      <c r="P837" s="79"/>
      <c r="Q837" s="79"/>
      <c r="R837" s="79"/>
      <c r="Y837" s="79"/>
      <c r="AC837" s="130"/>
      <c r="AE837" s="106"/>
    </row>
    <row r="838">
      <c r="C838" s="79"/>
      <c r="D838" s="79"/>
      <c r="E838" s="79"/>
      <c r="P838" s="79"/>
      <c r="Q838" s="79"/>
      <c r="R838" s="79"/>
      <c r="Y838" s="79"/>
      <c r="AC838" s="130"/>
      <c r="AE838" s="106"/>
    </row>
    <row r="839">
      <c r="C839" s="79"/>
      <c r="D839" s="79"/>
      <c r="E839" s="79"/>
      <c r="P839" s="79"/>
      <c r="Q839" s="79"/>
      <c r="R839" s="79"/>
      <c r="Y839" s="79"/>
      <c r="AC839" s="130"/>
      <c r="AE839" s="106"/>
    </row>
    <row r="840">
      <c r="C840" s="79"/>
      <c r="D840" s="79"/>
      <c r="E840" s="79"/>
      <c r="P840" s="79"/>
      <c r="Q840" s="79"/>
      <c r="R840" s="79"/>
      <c r="Y840" s="79"/>
      <c r="AC840" s="130"/>
      <c r="AE840" s="106"/>
    </row>
    <row r="841">
      <c r="C841" s="79"/>
      <c r="D841" s="79"/>
      <c r="E841" s="79"/>
      <c r="P841" s="79"/>
      <c r="Q841" s="79"/>
      <c r="R841" s="79"/>
      <c r="Y841" s="79"/>
      <c r="AC841" s="130"/>
      <c r="AE841" s="106"/>
    </row>
    <row r="842">
      <c r="C842" s="79"/>
      <c r="D842" s="79"/>
      <c r="E842" s="79"/>
      <c r="P842" s="79"/>
      <c r="Q842" s="79"/>
      <c r="R842" s="79"/>
      <c r="Y842" s="79"/>
      <c r="AC842" s="130"/>
      <c r="AE842" s="106"/>
    </row>
    <row r="843">
      <c r="C843" s="79"/>
      <c r="D843" s="79"/>
      <c r="E843" s="79"/>
      <c r="P843" s="79"/>
      <c r="Q843" s="79"/>
      <c r="R843" s="79"/>
      <c r="Y843" s="79"/>
      <c r="AC843" s="130"/>
      <c r="AE843" s="106"/>
    </row>
    <row r="844">
      <c r="C844" s="79"/>
      <c r="D844" s="79"/>
      <c r="E844" s="79"/>
      <c r="P844" s="79"/>
      <c r="Q844" s="79"/>
      <c r="R844" s="79"/>
      <c r="Y844" s="79"/>
      <c r="AC844" s="130"/>
      <c r="AE844" s="106"/>
    </row>
    <row r="845">
      <c r="C845" s="79"/>
      <c r="D845" s="79"/>
      <c r="E845" s="79"/>
      <c r="P845" s="79"/>
      <c r="Q845" s="79"/>
      <c r="R845" s="79"/>
      <c r="Y845" s="79"/>
      <c r="AC845" s="130"/>
      <c r="AE845" s="106"/>
    </row>
    <row r="846">
      <c r="C846" s="79"/>
      <c r="D846" s="79"/>
      <c r="E846" s="79"/>
      <c r="P846" s="79"/>
      <c r="Q846" s="79"/>
      <c r="R846" s="79"/>
      <c r="Y846" s="79"/>
      <c r="AC846" s="130"/>
      <c r="AE846" s="106"/>
    </row>
    <row r="847">
      <c r="C847" s="79"/>
      <c r="D847" s="79"/>
      <c r="E847" s="79"/>
      <c r="P847" s="79"/>
      <c r="Q847" s="79"/>
      <c r="R847" s="79"/>
      <c r="Y847" s="79"/>
      <c r="AC847" s="130"/>
      <c r="AE847" s="106"/>
    </row>
    <row r="848">
      <c r="C848" s="79"/>
      <c r="D848" s="79"/>
      <c r="E848" s="79"/>
      <c r="P848" s="79"/>
      <c r="Q848" s="79"/>
      <c r="R848" s="79"/>
      <c r="Y848" s="79"/>
      <c r="AC848" s="130"/>
      <c r="AE848" s="106"/>
    </row>
    <row r="849">
      <c r="C849" s="79"/>
      <c r="D849" s="79"/>
      <c r="E849" s="79"/>
      <c r="P849" s="79"/>
      <c r="Q849" s="79"/>
      <c r="R849" s="79"/>
      <c r="Y849" s="79"/>
      <c r="AC849" s="130"/>
      <c r="AE849" s="106"/>
    </row>
    <row r="850">
      <c r="C850" s="79"/>
      <c r="D850" s="79"/>
      <c r="E850" s="79"/>
      <c r="P850" s="79"/>
      <c r="Q850" s="79"/>
      <c r="R850" s="79"/>
      <c r="Y850" s="79"/>
      <c r="AC850" s="130"/>
      <c r="AE850" s="106"/>
    </row>
    <row r="851">
      <c r="C851" s="79"/>
      <c r="D851" s="79"/>
      <c r="E851" s="79"/>
      <c r="P851" s="79"/>
      <c r="Q851" s="79"/>
      <c r="R851" s="79"/>
      <c r="Y851" s="79"/>
      <c r="AC851" s="130"/>
      <c r="AE851" s="106"/>
    </row>
    <row r="852">
      <c r="C852" s="79"/>
      <c r="D852" s="79"/>
      <c r="E852" s="79"/>
      <c r="P852" s="79"/>
      <c r="Q852" s="79"/>
      <c r="R852" s="79"/>
      <c r="Y852" s="79"/>
      <c r="AC852" s="130"/>
      <c r="AE852" s="106"/>
    </row>
    <row r="853">
      <c r="C853" s="79"/>
      <c r="D853" s="79"/>
      <c r="E853" s="79"/>
      <c r="P853" s="79"/>
      <c r="Q853" s="79"/>
      <c r="R853" s="79"/>
      <c r="Y853" s="79"/>
      <c r="AC853" s="130"/>
      <c r="AE853" s="106"/>
    </row>
    <row r="854">
      <c r="C854" s="79"/>
      <c r="D854" s="79"/>
      <c r="E854" s="79"/>
      <c r="P854" s="79"/>
      <c r="Q854" s="79"/>
      <c r="R854" s="79"/>
      <c r="Y854" s="79"/>
      <c r="AC854" s="130"/>
      <c r="AE854" s="106"/>
    </row>
    <row r="855">
      <c r="C855" s="79"/>
      <c r="D855" s="79"/>
      <c r="E855" s="79"/>
      <c r="P855" s="79"/>
      <c r="Q855" s="79"/>
      <c r="R855" s="79"/>
      <c r="Y855" s="79"/>
      <c r="AC855" s="130"/>
      <c r="AE855" s="106"/>
    </row>
    <row r="856">
      <c r="C856" s="79"/>
      <c r="D856" s="79"/>
      <c r="E856" s="79"/>
      <c r="P856" s="79"/>
      <c r="Q856" s="79"/>
      <c r="R856" s="79"/>
      <c r="Y856" s="79"/>
      <c r="AC856" s="130"/>
      <c r="AE856" s="106"/>
    </row>
    <row r="857">
      <c r="C857" s="79"/>
      <c r="D857" s="79"/>
      <c r="E857" s="79"/>
      <c r="P857" s="79"/>
      <c r="Q857" s="79"/>
      <c r="R857" s="79"/>
      <c r="Y857" s="79"/>
      <c r="AC857" s="130"/>
      <c r="AE857" s="106"/>
    </row>
    <row r="858">
      <c r="C858" s="79"/>
      <c r="D858" s="79"/>
      <c r="E858" s="79"/>
      <c r="P858" s="79"/>
      <c r="Q858" s="79"/>
      <c r="R858" s="79"/>
      <c r="Y858" s="79"/>
      <c r="AC858" s="130"/>
      <c r="AE858" s="106"/>
    </row>
    <row r="859">
      <c r="C859" s="79"/>
      <c r="D859" s="79"/>
      <c r="E859" s="79"/>
      <c r="P859" s="79"/>
      <c r="Q859" s="79"/>
      <c r="R859" s="79"/>
      <c r="Y859" s="79"/>
      <c r="AC859" s="130"/>
      <c r="AE859" s="106"/>
    </row>
    <row r="860">
      <c r="C860" s="79"/>
      <c r="D860" s="79"/>
      <c r="E860" s="79"/>
      <c r="P860" s="79"/>
      <c r="Q860" s="79"/>
      <c r="R860" s="79"/>
      <c r="Y860" s="79"/>
      <c r="AC860" s="130"/>
      <c r="AE860" s="106"/>
    </row>
    <row r="861">
      <c r="C861" s="79"/>
      <c r="D861" s="79"/>
      <c r="E861" s="79"/>
      <c r="P861" s="79"/>
      <c r="Q861" s="79"/>
      <c r="R861" s="79"/>
      <c r="Y861" s="79"/>
      <c r="AC861" s="130"/>
      <c r="AE861" s="106"/>
    </row>
    <row r="862">
      <c r="C862" s="79"/>
      <c r="D862" s="79"/>
      <c r="E862" s="79"/>
      <c r="P862" s="79"/>
      <c r="Q862" s="79"/>
      <c r="R862" s="79"/>
      <c r="Y862" s="79"/>
      <c r="AC862" s="130"/>
      <c r="AE862" s="106"/>
    </row>
    <row r="863">
      <c r="C863" s="79"/>
      <c r="D863" s="79"/>
      <c r="E863" s="79"/>
      <c r="P863" s="79"/>
      <c r="Q863" s="79"/>
      <c r="R863" s="79"/>
      <c r="Y863" s="79"/>
      <c r="AC863" s="130"/>
      <c r="AE863" s="106"/>
    </row>
    <row r="864">
      <c r="C864" s="79"/>
      <c r="D864" s="79"/>
      <c r="E864" s="79"/>
      <c r="P864" s="79"/>
      <c r="Q864" s="79"/>
      <c r="R864" s="79"/>
      <c r="Y864" s="79"/>
      <c r="AC864" s="130"/>
      <c r="AE864" s="106"/>
    </row>
    <row r="865">
      <c r="C865" s="79"/>
      <c r="D865" s="79"/>
      <c r="E865" s="79"/>
      <c r="P865" s="79"/>
      <c r="Q865" s="79"/>
      <c r="R865" s="79"/>
      <c r="Y865" s="79"/>
      <c r="AC865" s="130"/>
      <c r="AE865" s="106"/>
    </row>
    <row r="866">
      <c r="C866" s="79"/>
      <c r="D866" s="79"/>
      <c r="E866" s="79"/>
      <c r="P866" s="79"/>
      <c r="Q866" s="79"/>
      <c r="R866" s="79"/>
      <c r="Y866" s="79"/>
      <c r="AC866" s="130"/>
      <c r="AE866" s="106"/>
    </row>
    <row r="867">
      <c r="C867" s="79"/>
      <c r="D867" s="79"/>
      <c r="E867" s="79"/>
      <c r="P867" s="79"/>
      <c r="Q867" s="79"/>
      <c r="R867" s="79"/>
      <c r="Y867" s="79"/>
      <c r="AC867" s="130"/>
      <c r="AE867" s="106"/>
    </row>
    <row r="868">
      <c r="C868" s="79"/>
      <c r="D868" s="79"/>
      <c r="E868" s="79"/>
      <c r="P868" s="79"/>
      <c r="Q868" s="79"/>
      <c r="R868" s="79"/>
      <c r="Y868" s="79"/>
      <c r="AC868" s="130"/>
      <c r="AE868" s="106"/>
    </row>
    <row r="869">
      <c r="C869" s="79"/>
      <c r="D869" s="79"/>
      <c r="E869" s="79"/>
      <c r="P869" s="79"/>
      <c r="Q869" s="79"/>
      <c r="R869" s="79"/>
      <c r="Y869" s="79"/>
      <c r="AC869" s="130"/>
      <c r="AE869" s="106"/>
    </row>
    <row r="870">
      <c r="C870" s="79"/>
      <c r="D870" s="79"/>
      <c r="E870" s="79"/>
      <c r="P870" s="79"/>
      <c r="Q870" s="79"/>
      <c r="R870" s="79"/>
      <c r="Y870" s="79"/>
      <c r="AC870" s="130"/>
      <c r="AE870" s="106"/>
    </row>
    <row r="871">
      <c r="C871" s="79"/>
      <c r="D871" s="79"/>
      <c r="E871" s="79"/>
      <c r="P871" s="79"/>
      <c r="Q871" s="79"/>
      <c r="R871" s="79"/>
      <c r="Y871" s="79"/>
      <c r="AC871" s="130"/>
      <c r="AE871" s="106"/>
    </row>
    <row r="872">
      <c r="C872" s="79"/>
      <c r="D872" s="79"/>
      <c r="E872" s="79"/>
      <c r="P872" s="79"/>
      <c r="Q872" s="79"/>
      <c r="R872" s="79"/>
      <c r="Y872" s="79"/>
      <c r="AC872" s="130"/>
      <c r="AE872" s="106"/>
    </row>
    <row r="873">
      <c r="C873" s="79"/>
      <c r="D873" s="79"/>
      <c r="E873" s="79"/>
      <c r="P873" s="79"/>
      <c r="Q873" s="79"/>
      <c r="R873" s="79"/>
      <c r="Y873" s="79"/>
      <c r="AC873" s="130"/>
      <c r="AE873" s="106"/>
    </row>
    <row r="874">
      <c r="C874" s="79"/>
      <c r="D874" s="79"/>
      <c r="E874" s="79"/>
      <c r="P874" s="79"/>
      <c r="Q874" s="79"/>
      <c r="R874" s="79"/>
      <c r="Y874" s="79"/>
      <c r="AC874" s="130"/>
      <c r="AE874" s="106"/>
    </row>
    <row r="875">
      <c r="C875" s="79"/>
      <c r="D875" s="79"/>
      <c r="E875" s="79"/>
      <c r="P875" s="79"/>
      <c r="Q875" s="79"/>
      <c r="R875" s="79"/>
      <c r="Y875" s="79"/>
      <c r="AC875" s="130"/>
      <c r="AE875" s="106"/>
    </row>
    <row r="876">
      <c r="C876" s="79"/>
      <c r="D876" s="79"/>
      <c r="E876" s="79"/>
      <c r="P876" s="79"/>
      <c r="Q876" s="79"/>
      <c r="R876" s="79"/>
      <c r="Y876" s="79"/>
      <c r="AC876" s="130"/>
      <c r="AE876" s="106"/>
    </row>
    <row r="877">
      <c r="C877" s="79"/>
      <c r="D877" s="79"/>
      <c r="E877" s="79"/>
      <c r="P877" s="79"/>
      <c r="Q877" s="79"/>
      <c r="R877" s="79"/>
      <c r="Y877" s="79"/>
      <c r="AC877" s="130"/>
      <c r="AE877" s="106"/>
    </row>
    <row r="878">
      <c r="C878" s="79"/>
      <c r="D878" s="79"/>
      <c r="E878" s="79"/>
      <c r="P878" s="79"/>
      <c r="Q878" s="79"/>
      <c r="R878" s="79"/>
      <c r="Y878" s="79"/>
      <c r="AC878" s="130"/>
      <c r="AE878" s="106"/>
    </row>
    <row r="879">
      <c r="C879" s="79"/>
      <c r="D879" s="79"/>
      <c r="E879" s="79"/>
      <c r="P879" s="79"/>
      <c r="Q879" s="79"/>
      <c r="R879" s="79"/>
      <c r="Y879" s="79"/>
      <c r="AC879" s="130"/>
      <c r="AE879" s="106"/>
    </row>
    <row r="880">
      <c r="C880" s="79"/>
      <c r="D880" s="79"/>
      <c r="E880" s="79"/>
      <c r="P880" s="79"/>
      <c r="Q880" s="79"/>
      <c r="R880" s="79"/>
      <c r="Y880" s="79"/>
      <c r="AC880" s="130"/>
      <c r="AE880" s="106"/>
    </row>
    <row r="881">
      <c r="C881" s="79"/>
      <c r="D881" s="79"/>
      <c r="E881" s="79"/>
      <c r="P881" s="79"/>
      <c r="Q881" s="79"/>
      <c r="R881" s="79"/>
      <c r="Y881" s="79"/>
      <c r="AC881" s="130"/>
      <c r="AE881" s="106"/>
    </row>
    <row r="882">
      <c r="C882" s="79"/>
      <c r="D882" s="79"/>
      <c r="E882" s="79"/>
      <c r="P882" s="79"/>
      <c r="Q882" s="79"/>
      <c r="R882" s="79"/>
      <c r="Y882" s="79"/>
      <c r="AC882" s="130"/>
      <c r="AE882" s="106"/>
    </row>
  </sheetData>
  <autoFilter ref="$A$46:$F$87">
    <sortState ref="A46:F87">
      <sortCondition descending="1" sortBy="cellColor" ref="E46:E87" dxfId="1"/>
      <sortCondition descending="1" sortBy="cellColor" ref="C46:C87" dxfId="1"/>
      <sortCondition descending="1" sortBy="cellColor" ref="A46:A87" dxfId="1"/>
    </sortState>
  </autoFilter>
  <mergeCells count="1">
    <mergeCell ref="B43:E43"/>
  </mergeCells>
  <drawing r:id="rId2"/>
  <legacyDrawing r:id="rId3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3" max="3" width="17.38"/>
    <col customWidth="1" min="5" max="5" width="15.63"/>
    <col customWidth="1" min="7" max="7" width="13.5"/>
    <col customWidth="1" min="8" max="8" width="13.25"/>
    <col customWidth="1" min="15" max="15" width="27.38"/>
    <col customWidth="1" min="26" max="26" width="14.63"/>
    <col customWidth="1" min="31" max="31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4</v>
      </c>
      <c r="J1" s="2" t="s">
        <v>5</v>
      </c>
      <c r="K1" s="2" t="s">
        <v>303</v>
      </c>
      <c r="L1" s="2" t="s">
        <v>6</v>
      </c>
      <c r="M1" s="2" t="s">
        <v>12</v>
      </c>
      <c r="N1" s="2" t="s">
        <v>49</v>
      </c>
      <c r="O1" s="105" t="s">
        <v>304</v>
      </c>
      <c r="P1" s="2" t="s">
        <v>37</v>
      </c>
      <c r="Q1" s="2" t="s">
        <v>10</v>
      </c>
      <c r="R1" s="2" t="s">
        <v>42</v>
      </c>
      <c r="S1" s="105" t="s">
        <v>484</v>
      </c>
      <c r="T1" s="105" t="s">
        <v>9</v>
      </c>
      <c r="U1" s="2" t="s">
        <v>164</v>
      </c>
      <c r="V1" s="105" t="s">
        <v>40</v>
      </c>
      <c r="W1" s="2" t="s">
        <v>83</v>
      </c>
      <c r="X1" s="2" t="s">
        <v>204</v>
      </c>
      <c r="Y1" s="105" t="s">
        <v>205</v>
      </c>
      <c r="Z1" s="2" t="s">
        <v>206</v>
      </c>
      <c r="AA1" s="2" t="s">
        <v>305</v>
      </c>
      <c r="AB1" s="3" t="s">
        <v>13</v>
      </c>
      <c r="AC1" s="3" t="s">
        <v>14</v>
      </c>
      <c r="AD1" s="3" t="s">
        <v>15</v>
      </c>
      <c r="AE1" s="106"/>
      <c r="AF1" s="265" t="s">
        <v>306</v>
      </c>
      <c r="AG1" s="266" t="s">
        <v>80</v>
      </c>
    </row>
    <row r="2">
      <c r="A2" s="74">
        <v>45516.0</v>
      </c>
      <c r="B2" s="93">
        <f>1153.08-66.96-72.8-25.71-127.3+757.21-63.65-58.26-65.39-80.24</f>
        <v>1349.98</v>
      </c>
      <c r="C2" s="93"/>
      <c r="D2" s="93"/>
      <c r="E2" s="93"/>
      <c r="F2" s="93"/>
      <c r="G2" s="93">
        <v>180.0</v>
      </c>
      <c r="H2" s="93"/>
      <c r="I2" s="93">
        <v>303.05</v>
      </c>
      <c r="J2" s="93"/>
      <c r="K2" s="93"/>
      <c r="L2" s="93"/>
      <c r="M2" s="93"/>
      <c r="N2" s="93">
        <f>168+168</f>
        <v>336</v>
      </c>
      <c r="O2" s="93"/>
      <c r="P2" s="72"/>
      <c r="Q2" s="93"/>
      <c r="R2" s="93"/>
      <c r="S2" s="93"/>
      <c r="T2" s="93"/>
      <c r="U2" s="93"/>
      <c r="V2" s="93"/>
      <c r="W2" s="93"/>
      <c r="X2" s="93"/>
      <c r="Y2" s="93"/>
      <c r="Z2" s="93"/>
      <c r="AA2" s="386"/>
      <c r="AB2" s="107">
        <f>SUM(B2:AA2)</f>
        <v>2169.03</v>
      </c>
      <c r="AC2" s="158">
        <v>3334.51</v>
      </c>
      <c r="AD2" s="59">
        <f t="shared" ref="AD2:AD8" si="1">AB2/AC2</f>
        <v>0.6504793808</v>
      </c>
      <c r="AE2" s="109">
        <f t="shared" ref="AE2:AE8" si="2">A2</f>
        <v>45516</v>
      </c>
      <c r="AF2" s="267">
        <v>3334.51</v>
      </c>
      <c r="AG2" s="268">
        <f t="shared" ref="AG2:AG8" si="3">AC2-AF2</f>
        <v>0</v>
      </c>
    </row>
    <row r="3">
      <c r="A3" s="74">
        <f t="shared" ref="A3:A8" si="4">A2+1</f>
        <v>45517</v>
      </c>
      <c r="B3" s="93">
        <f>471.54-77.39-35.05-41.48</f>
        <v>317.62</v>
      </c>
      <c r="C3" s="93">
        <f>75.35+413.5-46.95-337.5-41.48</f>
        <v>62.92</v>
      </c>
      <c r="D3" s="93">
        <f>231.64-130.15</f>
        <v>101.49</v>
      </c>
      <c r="E3" s="93"/>
      <c r="F3" s="93"/>
      <c r="G3" s="93"/>
      <c r="H3" s="168"/>
      <c r="I3" s="93"/>
      <c r="J3" s="93"/>
      <c r="K3" s="93"/>
      <c r="L3" s="93"/>
      <c r="M3" s="93"/>
      <c r="N3" s="93"/>
      <c r="O3" s="93"/>
      <c r="P3" s="93"/>
      <c r="Q3" s="93">
        <v>90.0</v>
      </c>
      <c r="R3" s="93"/>
      <c r="S3" s="93"/>
      <c r="T3" s="93"/>
      <c r="U3" s="93"/>
      <c r="V3" s="93"/>
      <c r="W3" s="93"/>
      <c r="X3" s="93"/>
      <c r="Y3" s="93"/>
      <c r="Z3" s="93"/>
      <c r="AA3" s="326"/>
      <c r="AB3" s="107">
        <f t="shared" ref="AB3:AB8" si="5">SUM(B3:Z3)</f>
        <v>572.03</v>
      </c>
      <c r="AC3" s="158">
        <v>3884.79</v>
      </c>
      <c r="AD3" s="59">
        <f t="shared" si="1"/>
        <v>0.1472486286</v>
      </c>
      <c r="AE3" s="109">
        <f t="shared" si="2"/>
        <v>45517</v>
      </c>
      <c r="AF3" s="267">
        <v>3835.53</v>
      </c>
      <c r="AG3" s="268">
        <f t="shared" si="3"/>
        <v>49.26</v>
      </c>
    </row>
    <row r="4">
      <c r="A4" s="74">
        <f t="shared" si="4"/>
        <v>45518</v>
      </c>
      <c r="B4" s="93">
        <f>62.55</f>
        <v>62.55</v>
      </c>
      <c r="C4" s="93">
        <f>147.55-25.5-70.3-36.5</f>
        <v>15.25</v>
      </c>
      <c r="D4" s="93"/>
      <c r="E4" s="93"/>
      <c r="F4" s="93"/>
      <c r="G4" s="93">
        <v>180.0</v>
      </c>
      <c r="H4" s="168"/>
      <c r="I4" s="93"/>
      <c r="J4" s="93">
        <f>297-198</f>
        <v>99</v>
      </c>
      <c r="K4" s="93"/>
      <c r="L4" s="93">
        <v>28.0</v>
      </c>
      <c r="M4" s="93"/>
      <c r="N4" s="93"/>
      <c r="O4" s="93"/>
      <c r="P4" s="160"/>
      <c r="Q4" s="93"/>
      <c r="R4" s="93"/>
      <c r="S4" s="93"/>
      <c r="T4" s="93"/>
      <c r="U4" s="93"/>
      <c r="V4" s="93"/>
      <c r="W4" s="93"/>
      <c r="X4" s="93"/>
      <c r="Y4" s="93"/>
      <c r="Z4" s="101"/>
      <c r="AA4" s="326"/>
      <c r="AB4" s="107">
        <f t="shared" si="5"/>
        <v>384.8</v>
      </c>
      <c r="AC4" s="380">
        <f>765+3116.6</f>
        <v>3881.6</v>
      </c>
      <c r="AD4" s="59">
        <f t="shared" si="1"/>
        <v>0.09913437758</v>
      </c>
      <c r="AE4" s="109">
        <f t="shared" si="2"/>
        <v>45518</v>
      </c>
      <c r="AF4" s="267">
        <v>3881.6</v>
      </c>
      <c r="AG4" s="268">
        <f t="shared" si="3"/>
        <v>0</v>
      </c>
    </row>
    <row r="5">
      <c r="A5" s="74">
        <f t="shared" si="4"/>
        <v>45519</v>
      </c>
      <c r="B5" s="93">
        <f>795.21-359.29-36.42</f>
        <v>399.5</v>
      </c>
      <c r="C5" s="93">
        <v>531.7</v>
      </c>
      <c r="D5" s="93"/>
      <c r="E5" s="93"/>
      <c r="F5" s="93"/>
      <c r="G5" s="93"/>
      <c r="H5" s="160"/>
      <c r="I5" s="93"/>
      <c r="J5" s="93"/>
      <c r="K5" s="93"/>
      <c r="L5" s="93"/>
      <c r="M5" s="93"/>
      <c r="N5" s="93"/>
      <c r="O5" s="250">
        <v>106.0</v>
      </c>
      <c r="P5" s="93"/>
      <c r="Q5" s="93"/>
      <c r="R5" s="93"/>
      <c r="S5" s="101"/>
      <c r="T5" s="93"/>
      <c r="U5" s="93"/>
      <c r="V5" s="93"/>
      <c r="W5" s="93"/>
      <c r="X5" s="93"/>
      <c r="Y5" s="101"/>
      <c r="Z5" s="101"/>
      <c r="AA5" s="327"/>
      <c r="AB5" s="7">
        <f t="shared" si="5"/>
        <v>1037.2</v>
      </c>
      <c r="AC5" s="380">
        <f>531+4730.5</f>
        <v>5261.5</v>
      </c>
      <c r="AD5" s="59">
        <f t="shared" si="1"/>
        <v>0.197130096</v>
      </c>
      <c r="AE5" s="109">
        <f t="shared" si="2"/>
        <v>45519</v>
      </c>
      <c r="AF5" s="267">
        <v>5261.5</v>
      </c>
      <c r="AG5" s="268">
        <f t="shared" si="3"/>
        <v>0</v>
      </c>
    </row>
    <row r="6">
      <c r="A6" s="74">
        <f t="shared" si="4"/>
        <v>45520</v>
      </c>
      <c r="B6" s="93">
        <f>942-69.64-58.36-36.71-26.78-35.05-54.74-49.82-9.8-36.4+504.18-47.95-62.4-28.79-11.2-6.06</f>
        <v>912.48</v>
      </c>
      <c r="C6" s="361">
        <v>495.4</v>
      </c>
      <c r="D6" s="93"/>
      <c r="E6" s="250">
        <v>175.0</v>
      </c>
      <c r="F6" s="93"/>
      <c r="G6" s="93"/>
      <c r="H6" s="160"/>
      <c r="I6" s="93"/>
      <c r="J6" s="93"/>
      <c r="K6" s="93"/>
      <c r="L6" s="93">
        <v>166.4</v>
      </c>
      <c r="M6" s="250">
        <v>47.8</v>
      </c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327"/>
      <c r="AB6" s="7">
        <f t="shared" si="5"/>
        <v>1797.08</v>
      </c>
      <c r="AC6" s="380">
        <v>8381.4</v>
      </c>
      <c r="AD6" s="59">
        <f t="shared" si="1"/>
        <v>0.2144128666</v>
      </c>
      <c r="AE6" s="109">
        <f t="shared" si="2"/>
        <v>45520</v>
      </c>
      <c r="AF6" s="267">
        <v>8381.4</v>
      </c>
      <c r="AG6" s="268">
        <f t="shared" si="3"/>
        <v>0</v>
      </c>
    </row>
    <row r="7">
      <c r="A7" s="74">
        <f t="shared" si="4"/>
        <v>45521</v>
      </c>
      <c r="B7" s="93">
        <f>847-359.29</f>
        <v>487.71</v>
      </c>
      <c r="C7" s="361">
        <v>79.05</v>
      </c>
      <c r="D7" s="93">
        <v>306.96</v>
      </c>
      <c r="E7" s="93"/>
      <c r="F7" s="395">
        <v>428.43</v>
      </c>
      <c r="G7" s="93"/>
      <c r="H7" s="93"/>
      <c r="I7" s="395">
        <v>331.1</v>
      </c>
      <c r="J7" s="374"/>
      <c r="K7" s="93"/>
      <c r="L7" s="93"/>
      <c r="M7" s="93"/>
      <c r="N7" s="93"/>
      <c r="O7" s="93"/>
      <c r="P7" s="395">
        <v>250.0</v>
      </c>
      <c r="Q7" s="93"/>
      <c r="R7" s="93"/>
      <c r="S7" s="101"/>
      <c r="T7" s="93"/>
      <c r="U7" s="93"/>
      <c r="V7" s="93"/>
      <c r="W7" s="93"/>
      <c r="X7" s="93"/>
      <c r="Y7" s="101"/>
      <c r="Z7" s="93"/>
      <c r="AA7" s="327"/>
      <c r="AB7" s="7">
        <f t="shared" si="5"/>
        <v>1883.25</v>
      </c>
      <c r="AC7" s="380">
        <v>8287.4</v>
      </c>
      <c r="AD7" s="59">
        <f t="shared" si="1"/>
        <v>0.227242561</v>
      </c>
      <c r="AE7" s="109">
        <f t="shared" si="2"/>
        <v>45521</v>
      </c>
      <c r="AF7" s="267">
        <v>8252.4</v>
      </c>
      <c r="AG7" s="268">
        <f t="shared" si="3"/>
        <v>35</v>
      </c>
    </row>
    <row r="8">
      <c r="A8" s="74">
        <f t="shared" si="4"/>
        <v>45522</v>
      </c>
      <c r="B8" s="395">
        <v>220.38</v>
      </c>
      <c r="C8" s="93"/>
      <c r="D8" s="395">
        <v>605.29</v>
      </c>
      <c r="E8" s="112"/>
      <c r="F8" s="93"/>
      <c r="G8" s="10"/>
      <c r="H8" s="93"/>
      <c r="I8" s="395">
        <f>250.96</f>
        <v>250.96</v>
      </c>
      <c r="J8" s="395">
        <v>495.0</v>
      </c>
      <c r="K8" s="395">
        <v>610.01</v>
      </c>
      <c r="L8" s="112"/>
      <c r="M8" s="112"/>
      <c r="N8" s="93"/>
      <c r="O8" s="93"/>
      <c r="P8" s="374"/>
      <c r="Q8" s="374"/>
      <c r="R8" s="374"/>
      <c r="S8" s="112"/>
      <c r="T8" s="93"/>
      <c r="U8" s="93"/>
      <c r="V8" s="112"/>
      <c r="W8" s="112"/>
      <c r="X8" s="112"/>
      <c r="Y8" s="112"/>
      <c r="Z8" s="112"/>
      <c r="AA8" s="93"/>
      <c r="AB8" s="396">
        <f t="shared" si="5"/>
        <v>2181.64</v>
      </c>
      <c r="AC8" s="380">
        <v>4805</v>
      </c>
      <c r="AD8" s="59">
        <f t="shared" si="1"/>
        <v>0.4540353798</v>
      </c>
      <c r="AE8" s="109">
        <f t="shared" si="2"/>
        <v>45522</v>
      </c>
      <c r="AF8" s="267">
        <v>4805.0</v>
      </c>
      <c r="AG8" s="268">
        <f t="shared" si="3"/>
        <v>0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AC9" s="129"/>
      <c r="AE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AC10" s="129"/>
      <c r="AE10" s="106"/>
    </row>
    <row r="11">
      <c r="A11" s="165" t="s">
        <v>194</v>
      </c>
      <c r="B11" s="93">
        <f>25.71+127.3+63.65+77.39+41.48+69.64+58.36+36.71+26.78+35.05+9.8+36.4+58.26+36.42</f>
        <v>702.95</v>
      </c>
      <c r="C11" s="93">
        <f>46.95+36.5+25.5+70.3</f>
        <v>179.25</v>
      </c>
      <c r="D11" s="93"/>
      <c r="E11" s="167"/>
      <c r="F11" s="168"/>
      <c r="G11" s="168"/>
      <c r="H11" s="166"/>
      <c r="I11" s="166"/>
      <c r="J11" s="93"/>
      <c r="K11" s="168"/>
      <c r="L11" s="93"/>
      <c r="M11" s="166"/>
      <c r="N11" s="166"/>
      <c r="O11" s="168"/>
      <c r="P11" s="168"/>
      <c r="Q11" s="168"/>
      <c r="R11" s="168"/>
      <c r="S11" s="168"/>
      <c r="T11" s="168"/>
      <c r="U11" s="168"/>
      <c r="V11" s="168"/>
      <c r="W11" s="1"/>
      <c r="X11" s="168"/>
      <c r="Y11" s="168"/>
      <c r="Z11" s="1"/>
      <c r="AA11" s="1"/>
      <c r="AB11" s="1"/>
      <c r="AC11" s="169"/>
      <c r="AD11" s="1"/>
      <c r="AE11" s="170"/>
    </row>
    <row r="12">
      <c r="A12" s="165" t="s">
        <v>195</v>
      </c>
      <c r="B12" s="93">
        <f>72.8+35.05+343.31+359.29+54.74+49.82+62.4+47.95</f>
        <v>1025.36</v>
      </c>
      <c r="C12" s="93">
        <f>337.5</f>
        <v>337.5</v>
      </c>
      <c r="D12" s="93">
        <f>130.15+131+253.68</f>
        <v>514.83</v>
      </c>
      <c r="E12" s="93">
        <v>1575.84</v>
      </c>
      <c r="F12" s="93"/>
      <c r="G12" s="93"/>
      <c r="H12" s="93"/>
      <c r="I12" s="93"/>
      <c r="J12" s="93">
        <v>198.0</v>
      </c>
      <c r="K12" s="93"/>
      <c r="L12" s="93"/>
      <c r="M12" s="93"/>
      <c r="N12" s="166">
        <f>144+156</f>
        <v>300</v>
      </c>
      <c r="O12" s="168"/>
      <c r="P12" s="168"/>
      <c r="Q12" s="166"/>
      <c r="R12" s="166"/>
      <c r="S12" s="168"/>
      <c r="T12" s="168"/>
      <c r="U12" s="168"/>
      <c r="V12" s="168"/>
      <c r="W12" s="1"/>
      <c r="X12" s="93"/>
      <c r="Y12" s="168"/>
      <c r="Z12" s="1"/>
      <c r="AA12" s="1"/>
      <c r="AB12" s="1"/>
      <c r="AC12" s="171"/>
      <c r="AD12" s="1"/>
      <c r="AE12" s="170"/>
    </row>
    <row r="13" hidden="1">
      <c r="A13" s="172"/>
      <c r="B13" s="93"/>
      <c r="C13" s="93"/>
      <c r="D13" s="93"/>
      <c r="E13" s="168"/>
      <c r="F13" s="166"/>
      <c r="G13" s="166"/>
      <c r="H13" s="93"/>
      <c r="I13" s="166"/>
      <c r="J13" s="93"/>
      <c r="K13" s="166"/>
      <c r="L13" s="168"/>
      <c r="M13" s="168"/>
      <c r="N13" s="166"/>
      <c r="O13" s="93"/>
      <c r="P13" s="168"/>
      <c r="Q13" s="166"/>
      <c r="R13" s="168"/>
      <c r="S13" s="166"/>
      <c r="T13" s="168"/>
      <c r="U13" s="96"/>
      <c r="V13" s="1"/>
      <c r="W13" s="1"/>
      <c r="X13" s="168"/>
      <c r="Y13" s="168"/>
      <c r="Z13" s="1"/>
      <c r="AA13" s="1"/>
      <c r="AB13" s="1"/>
      <c r="AC13" s="174"/>
      <c r="AD13" s="1"/>
      <c r="AE13" s="170"/>
    </row>
    <row r="14">
      <c r="A14" s="172" t="s">
        <v>197</v>
      </c>
      <c r="B14" s="93"/>
      <c r="C14" s="93"/>
      <c r="D14" s="93"/>
      <c r="E14" s="168"/>
      <c r="F14" s="166"/>
      <c r="G14" s="166"/>
      <c r="H14" s="168"/>
      <c r="I14" s="168"/>
      <c r="J14" s="93"/>
      <c r="K14" s="168"/>
      <c r="L14" s="168"/>
      <c r="M14" s="168"/>
      <c r="N14" s="166"/>
      <c r="O14" s="168"/>
      <c r="P14" s="168"/>
      <c r="Q14" s="166"/>
      <c r="R14" s="168"/>
      <c r="S14" s="168"/>
      <c r="T14" s="168"/>
      <c r="U14" s="1"/>
      <c r="V14" s="1"/>
      <c r="W14" s="1"/>
      <c r="X14" s="168"/>
      <c r="Y14" s="168"/>
      <c r="Z14" s="1"/>
      <c r="AA14" s="1"/>
      <c r="AB14" s="1"/>
      <c r="AC14" s="174"/>
      <c r="AD14" s="1"/>
      <c r="AE14" s="170"/>
    </row>
    <row r="15">
      <c r="A15" s="165" t="s">
        <v>198</v>
      </c>
      <c r="B15" s="93">
        <f>66.96+49.04+60.18</f>
        <v>176.18</v>
      </c>
      <c r="C15" s="93"/>
      <c r="D15" s="93"/>
      <c r="E15" s="168"/>
      <c r="F15" s="166"/>
      <c r="G15" s="166"/>
      <c r="H15" s="168"/>
      <c r="I15" s="168"/>
      <c r="J15" s="93"/>
      <c r="K15" s="168"/>
      <c r="L15" s="168"/>
      <c r="M15" s="168"/>
      <c r="N15" s="166"/>
      <c r="O15" s="168"/>
      <c r="P15" s="168"/>
      <c r="Q15" s="166"/>
      <c r="R15" s="168"/>
      <c r="S15" s="168"/>
      <c r="T15" s="168"/>
      <c r="U15" s="1"/>
      <c r="V15" s="1"/>
      <c r="W15" s="1"/>
      <c r="X15" s="168"/>
      <c r="Y15" s="168"/>
      <c r="Z15" s="1"/>
      <c r="AA15" s="1"/>
      <c r="AB15" s="1"/>
      <c r="AC15" s="174"/>
      <c r="AD15" s="1"/>
      <c r="AE15" s="170"/>
    </row>
    <row r="16">
      <c r="A16" s="91"/>
      <c r="B16" s="375"/>
      <c r="C16" s="79"/>
      <c r="D16" s="79"/>
      <c r="E16" s="79"/>
      <c r="F16" s="78"/>
      <c r="G16" s="78"/>
      <c r="H16" s="192"/>
      <c r="I16" s="78"/>
      <c r="J16" s="79"/>
      <c r="K16" s="79"/>
      <c r="L16" s="79"/>
      <c r="M16" s="79"/>
      <c r="N16" s="79"/>
      <c r="O16" s="79"/>
      <c r="R16" s="79"/>
      <c r="S16" s="79"/>
      <c r="T16" s="79"/>
      <c r="Y16" s="79"/>
      <c r="AC16" s="131"/>
      <c r="AE16" s="106"/>
    </row>
    <row r="17">
      <c r="A17" s="91"/>
      <c r="B17" s="92"/>
      <c r="C17" s="192"/>
      <c r="D17" s="78"/>
      <c r="E17" s="151"/>
      <c r="F17" s="201"/>
      <c r="G17" s="248"/>
      <c r="H17" s="192"/>
      <c r="I17" s="198"/>
      <c r="J17" s="201"/>
      <c r="K17" s="199"/>
      <c r="L17" s="199"/>
      <c r="M17" s="200"/>
      <c r="N17" s="202"/>
      <c r="O17" s="198"/>
      <c r="R17" s="198"/>
      <c r="S17" s="79"/>
      <c r="T17" s="198"/>
      <c r="U17" s="198"/>
      <c r="V17" s="198"/>
      <c r="W17" s="198"/>
      <c r="X17" s="199"/>
      <c r="Y17" s="79"/>
      <c r="AC17" s="131"/>
      <c r="AE17" s="106"/>
    </row>
    <row r="18">
      <c r="A18" s="4" t="s">
        <v>22</v>
      </c>
      <c r="B18" s="11">
        <v>10000.0</v>
      </c>
      <c r="C18" s="79"/>
      <c r="D18" s="79"/>
      <c r="E18" s="78"/>
      <c r="F18" s="213"/>
      <c r="G18" s="224"/>
      <c r="H18" s="192"/>
      <c r="K18" s="201"/>
      <c r="L18" s="201"/>
      <c r="M18" s="198"/>
      <c r="N18" s="200"/>
      <c r="O18" s="198"/>
      <c r="P18" s="204"/>
      <c r="R18" s="203"/>
      <c r="S18" s="79"/>
      <c r="T18" s="198"/>
      <c r="U18" s="198"/>
      <c r="V18" s="198"/>
      <c r="W18" s="198"/>
      <c r="X18" s="201"/>
      <c r="Y18" s="79"/>
      <c r="AC18" s="131"/>
      <c r="AE18" s="106"/>
    </row>
    <row r="19">
      <c r="A19" s="4" t="s">
        <v>23</v>
      </c>
      <c r="B19" s="12">
        <f>SUM(B2:AA8)</f>
        <v>10025.03</v>
      </c>
      <c r="C19" s="192"/>
      <c r="D19" s="177"/>
      <c r="E19" s="151"/>
      <c r="F19" s="213"/>
      <c r="G19" s="224"/>
      <c r="H19" s="224"/>
      <c r="I19" s="175"/>
      <c r="K19" s="384"/>
      <c r="L19" s="201"/>
      <c r="M19" s="201"/>
      <c r="N19" s="201"/>
      <c r="O19" s="198"/>
      <c r="P19" s="204"/>
      <c r="R19" s="203"/>
      <c r="S19" s="79"/>
      <c r="T19" s="198"/>
      <c r="U19" s="198"/>
      <c r="V19" s="198"/>
      <c r="W19" s="198"/>
      <c r="X19" s="191"/>
      <c r="Y19" s="79"/>
      <c r="AC19" s="131"/>
      <c r="AE19" s="106"/>
    </row>
    <row r="20">
      <c r="A20" s="4" t="s">
        <v>24</v>
      </c>
      <c r="B20" s="12">
        <f> SUM(B18-B19)</f>
        <v>-25.03</v>
      </c>
      <c r="C20" s="79"/>
      <c r="D20" s="78"/>
      <c r="E20" s="151"/>
      <c r="F20" s="201"/>
      <c r="G20" s="199"/>
      <c r="H20" s="203"/>
      <c r="I20" s="203"/>
      <c r="K20" s="203"/>
      <c r="L20" s="199"/>
      <c r="M20" s="201"/>
      <c r="N20" s="200"/>
      <c r="O20" s="198"/>
      <c r="P20" s="204"/>
      <c r="R20" s="203"/>
      <c r="S20" s="79"/>
      <c r="T20" s="198"/>
      <c r="U20" s="198"/>
      <c r="V20" s="198"/>
      <c r="W20" s="198"/>
      <c r="X20" s="203"/>
      <c r="Y20" s="79"/>
      <c r="AC20" s="131"/>
      <c r="AE20" s="106"/>
    </row>
    <row r="21">
      <c r="C21" s="79"/>
      <c r="D21" s="79"/>
      <c r="E21" s="78"/>
      <c r="F21" s="213"/>
      <c r="G21" s="201"/>
      <c r="H21" s="388"/>
      <c r="I21" s="345"/>
      <c r="J21" s="78"/>
      <c r="K21" s="351"/>
      <c r="N21" s="198"/>
      <c r="O21" s="198"/>
      <c r="P21" s="204"/>
      <c r="R21" s="203"/>
      <c r="S21" s="79"/>
      <c r="T21" s="198"/>
      <c r="U21" s="206"/>
      <c r="V21" s="198"/>
      <c r="W21" s="198"/>
      <c r="X21" s="203"/>
      <c r="Y21" s="79"/>
      <c r="AC21" s="131"/>
      <c r="AE21" s="106"/>
    </row>
    <row r="22">
      <c r="A22" s="13" t="s">
        <v>25</v>
      </c>
      <c r="B22" s="14">
        <f>SUM(AC2:AC8)</f>
        <v>37836.2</v>
      </c>
      <c r="C22" s="79"/>
      <c r="D22" s="79"/>
      <c r="E22" s="78"/>
      <c r="F22" s="201"/>
      <c r="G22" s="148"/>
      <c r="H22" s="388"/>
      <c r="I22" s="203"/>
      <c r="J22" s="78"/>
      <c r="K22" s="203"/>
      <c r="L22" s="203"/>
      <c r="M22" s="203"/>
      <c r="N22" s="198"/>
      <c r="O22" s="198"/>
      <c r="P22" s="204"/>
      <c r="R22" s="203"/>
      <c r="S22" s="79"/>
      <c r="T22" s="198"/>
      <c r="U22" s="198"/>
      <c r="V22" s="198"/>
      <c r="W22" s="198"/>
      <c r="X22" s="203"/>
      <c r="Y22" s="79"/>
      <c r="AC22" s="181"/>
      <c r="AE22" s="106"/>
    </row>
    <row r="23">
      <c r="A23" s="13" t="s">
        <v>26</v>
      </c>
      <c r="B23" s="15">
        <f>B19/B22</f>
        <v>0.2649586904</v>
      </c>
      <c r="C23" s="79"/>
      <c r="D23" s="79"/>
      <c r="E23" s="78"/>
      <c r="F23" s="204"/>
      <c r="G23" s="78"/>
      <c r="H23" s="144"/>
      <c r="I23" s="203"/>
      <c r="J23" s="78"/>
      <c r="K23" s="203"/>
      <c r="L23" s="203"/>
      <c r="M23" s="203"/>
      <c r="N23" s="203"/>
      <c r="O23" s="198"/>
      <c r="P23" s="204"/>
      <c r="R23" s="203"/>
      <c r="S23" s="79"/>
      <c r="T23" s="198"/>
      <c r="U23" s="198"/>
      <c r="V23" s="198"/>
      <c r="W23" s="198"/>
      <c r="X23" s="203"/>
      <c r="Y23" s="79"/>
      <c r="AC23" s="130"/>
      <c r="AE23" s="106"/>
    </row>
    <row r="24">
      <c r="C24" s="79"/>
      <c r="D24" s="79"/>
      <c r="E24" s="78"/>
      <c r="F24" s="204"/>
      <c r="G24" s="78"/>
      <c r="H24" s="212"/>
      <c r="I24" s="78"/>
      <c r="J24" s="78"/>
      <c r="K24" s="203"/>
      <c r="L24" s="203"/>
      <c r="M24" s="203"/>
      <c r="N24" s="201"/>
      <c r="O24" s="198"/>
      <c r="P24" s="204"/>
      <c r="R24" s="198"/>
      <c r="S24" s="79"/>
      <c r="T24" s="198"/>
      <c r="U24" s="198"/>
      <c r="V24" s="198"/>
      <c r="W24" s="198"/>
      <c r="X24" s="203"/>
      <c r="Y24" s="79"/>
      <c r="AC24" s="182"/>
      <c r="AE24" s="106"/>
    </row>
    <row r="25">
      <c r="C25" s="79"/>
      <c r="D25" s="79"/>
      <c r="E25" s="79"/>
      <c r="F25" s="204"/>
      <c r="G25" s="78"/>
      <c r="H25" s="78"/>
      <c r="I25" s="203"/>
      <c r="J25" s="212"/>
      <c r="K25" s="203"/>
      <c r="L25" s="203"/>
      <c r="M25" s="203"/>
      <c r="N25" s="201"/>
      <c r="O25" s="198"/>
      <c r="P25" s="204"/>
      <c r="R25" s="198"/>
      <c r="S25" s="79"/>
      <c r="T25" s="198"/>
      <c r="U25" s="198"/>
      <c r="V25" s="198"/>
      <c r="W25" s="198"/>
      <c r="X25" s="203"/>
      <c r="Y25" s="79"/>
      <c r="AC25" s="130"/>
      <c r="AE25" s="106"/>
    </row>
    <row r="26">
      <c r="A26" s="16" t="s">
        <v>27</v>
      </c>
      <c r="B26" s="17"/>
      <c r="C26" s="114"/>
      <c r="D26" s="114"/>
      <c r="E26" s="115"/>
      <c r="F26" s="204"/>
      <c r="G26" s="78"/>
      <c r="H26" s="192"/>
      <c r="I26" s="78"/>
      <c r="J26" s="79"/>
      <c r="K26" s="203"/>
      <c r="L26" s="217"/>
      <c r="M26" s="208"/>
      <c r="N26" s="198"/>
      <c r="O26" s="198"/>
      <c r="P26" s="204"/>
      <c r="R26" s="200"/>
      <c r="S26" s="79"/>
      <c r="T26" s="198"/>
      <c r="U26" s="198"/>
      <c r="V26" s="198"/>
      <c r="W26" s="198"/>
      <c r="X26" s="203"/>
      <c r="Y26" s="79"/>
      <c r="AC26" s="130"/>
      <c r="AE26" s="106"/>
    </row>
    <row r="27">
      <c r="A27" s="19" t="s">
        <v>28</v>
      </c>
      <c r="B27" s="20"/>
      <c r="C27" s="116"/>
      <c r="D27" s="116"/>
      <c r="E27" s="117"/>
      <c r="F27" s="204"/>
      <c r="G27" s="212"/>
      <c r="H27" s="78"/>
      <c r="I27" s="224"/>
      <c r="J27" s="79"/>
      <c r="K27" s="203"/>
      <c r="L27" s="203"/>
      <c r="M27" s="209"/>
      <c r="N27" s="201"/>
      <c r="O27" s="198"/>
      <c r="P27" s="204"/>
      <c r="R27" s="198"/>
      <c r="S27" s="79"/>
      <c r="T27" s="198"/>
      <c r="U27" s="198"/>
      <c r="V27" s="198"/>
      <c r="W27" s="198"/>
      <c r="X27" s="203"/>
      <c r="Y27" s="79"/>
      <c r="AC27" s="130"/>
      <c r="AE27" s="106"/>
    </row>
    <row r="28">
      <c r="A28" s="183" t="s">
        <v>29</v>
      </c>
      <c r="B28" s="184" t="s">
        <v>30</v>
      </c>
      <c r="C28" s="183"/>
      <c r="D28" s="183" t="s">
        <v>170</v>
      </c>
      <c r="E28" s="219" t="s">
        <v>171</v>
      </c>
      <c r="F28" s="204"/>
      <c r="G28" s="79"/>
      <c r="H28" s="79"/>
      <c r="I28" s="79"/>
      <c r="J28" s="79"/>
      <c r="K28" s="203"/>
      <c r="L28" s="201"/>
      <c r="M28" s="209"/>
      <c r="N28" s="198"/>
      <c r="O28" s="198"/>
      <c r="P28" s="204"/>
      <c r="R28" s="198"/>
      <c r="S28" s="79"/>
      <c r="T28" s="198"/>
      <c r="U28" s="198"/>
      <c r="V28" s="198"/>
      <c r="W28" s="198"/>
      <c r="X28" s="203"/>
      <c r="Y28" s="79"/>
      <c r="Z28" s="195"/>
      <c r="AC28" s="130"/>
      <c r="AE28" s="106"/>
    </row>
    <row r="29">
      <c r="A29" s="221" t="s">
        <v>542</v>
      </c>
      <c r="B29" s="341">
        <f>1386+1578</f>
        <v>2964</v>
      </c>
      <c r="C29" s="223"/>
      <c r="D29" s="223"/>
      <c r="E29" s="223"/>
      <c r="O29" s="79"/>
      <c r="S29" s="79"/>
      <c r="T29" s="79"/>
      <c r="Y29" s="79"/>
      <c r="AC29" s="130"/>
      <c r="AE29" s="106"/>
    </row>
    <row r="30">
      <c r="A30" s="245" t="s">
        <v>527</v>
      </c>
      <c r="B30" s="340">
        <f>1220.02-610.01</f>
        <v>610.01</v>
      </c>
      <c r="C30" s="247"/>
      <c r="D30" s="247"/>
      <c r="E30" s="247"/>
      <c r="O30" s="79"/>
      <c r="S30" s="79"/>
      <c r="T30" s="79"/>
      <c r="Y30" s="79"/>
      <c r="AC30" s="130"/>
      <c r="AE30" s="106"/>
    </row>
    <row r="31">
      <c r="A31" s="234" t="s">
        <v>544</v>
      </c>
      <c r="B31" s="339">
        <f>582.82</f>
        <v>582.82</v>
      </c>
      <c r="C31" s="235"/>
      <c r="D31" s="235"/>
      <c r="E31" s="235"/>
      <c r="J31" s="389"/>
      <c r="O31" s="79"/>
      <c r="S31" s="79"/>
      <c r="T31" s="79"/>
      <c r="Y31" s="79"/>
      <c r="AC31" s="130"/>
      <c r="AE31" s="106"/>
    </row>
    <row r="32">
      <c r="A32" s="397" t="s">
        <v>545</v>
      </c>
      <c r="B32" s="398">
        <v>372.9</v>
      </c>
      <c r="C32" s="235"/>
      <c r="D32" s="235"/>
      <c r="E32" s="235"/>
      <c r="O32" s="79"/>
      <c r="S32" s="79"/>
      <c r="T32" s="79"/>
      <c r="Y32" s="79"/>
      <c r="AC32" s="130"/>
      <c r="AE32" s="106"/>
    </row>
    <row r="33">
      <c r="A33" s="234" t="s">
        <v>548</v>
      </c>
      <c r="B33" s="339">
        <f>284.9+197.5</f>
        <v>482.4</v>
      </c>
      <c r="C33" s="235"/>
      <c r="D33" s="235"/>
      <c r="E33" s="235"/>
      <c r="O33" s="79"/>
      <c r="S33" s="79"/>
      <c r="T33" s="79"/>
      <c r="Y33" s="79"/>
      <c r="AC33" s="130"/>
      <c r="AE33" s="106"/>
    </row>
    <row r="34">
      <c r="A34" s="234" t="s">
        <v>549</v>
      </c>
      <c r="B34" s="339">
        <v>476.2</v>
      </c>
      <c r="C34" s="235"/>
      <c r="D34" s="235"/>
      <c r="E34" s="235"/>
      <c r="O34" s="79"/>
      <c r="S34" s="79"/>
      <c r="T34" s="79"/>
      <c r="Y34" s="79"/>
      <c r="AC34" s="130"/>
      <c r="AE34" s="106"/>
    </row>
    <row r="35">
      <c r="A35" s="234" t="s">
        <v>551</v>
      </c>
      <c r="B35" s="339">
        <f>480+979</f>
        <v>1459</v>
      </c>
      <c r="C35" s="235"/>
      <c r="D35" s="235"/>
      <c r="E35" s="235"/>
      <c r="O35" s="79"/>
      <c r="S35" s="79"/>
      <c r="T35" s="79"/>
      <c r="Y35" s="79"/>
      <c r="AC35" s="130"/>
      <c r="AE35" s="106"/>
    </row>
    <row r="36">
      <c r="A36" s="399" t="s">
        <v>572</v>
      </c>
      <c r="B36" s="400">
        <v>763.39</v>
      </c>
      <c r="C36" s="401"/>
      <c r="D36" s="401"/>
      <c r="E36" s="401"/>
      <c r="O36" s="79"/>
      <c r="S36" s="79"/>
      <c r="T36" s="79"/>
      <c r="Y36" s="79"/>
      <c r="AC36" s="130"/>
      <c r="AE36" s="106"/>
    </row>
    <row r="37">
      <c r="A37" s="399" t="s">
        <v>573</v>
      </c>
      <c r="B37" s="400">
        <v>680.9</v>
      </c>
      <c r="C37" s="401"/>
      <c r="D37" s="401"/>
      <c r="E37" s="401"/>
      <c r="O37" s="79"/>
      <c r="S37" s="79"/>
      <c r="T37" s="79"/>
      <c r="Y37" s="79"/>
      <c r="AC37" s="130"/>
      <c r="AE37" s="106"/>
    </row>
    <row r="38">
      <c r="A38" s="399" t="s">
        <v>574</v>
      </c>
      <c r="B38" s="400">
        <v>443.43</v>
      </c>
      <c r="C38" s="401"/>
      <c r="D38" s="401"/>
      <c r="E38" s="401"/>
      <c r="O38" s="79"/>
      <c r="S38" s="79"/>
      <c r="T38" s="79"/>
      <c r="Y38" s="79"/>
      <c r="AC38" s="130"/>
      <c r="AE38" s="106"/>
    </row>
    <row r="39">
      <c r="A39" s="399" t="s">
        <v>575</v>
      </c>
      <c r="B39" s="400">
        <v>359.29</v>
      </c>
      <c r="C39" s="401"/>
      <c r="D39" s="401"/>
      <c r="E39" s="401"/>
      <c r="O39" s="79"/>
      <c r="S39" s="79"/>
      <c r="T39" s="79"/>
      <c r="Y39" s="79"/>
      <c r="AC39" s="130"/>
      <c r="AE39" s="106"/>
    </row>
    <row r="40">
      <c r="A40" s="399" t="s">
        <v>576</v>
      </c>
      <c r="B40" s="400">
        <f>247+811.5</f>
        <v>1058.5</v>
      </c>
      <c r="C40" s="401"/>
      <c r="D40" s="401"/>
      <c r="E40" s="401"/>
      <c r="O40" s="79"/>
      <c r="S40" s="79"/>
      <c r="T40" s="79"/>
      <c r="Y40" s="79"/>
      <c r="AC40" s="130"/>
      <c r="AE40" s="106"/>
    </row>
    <row r="41">
      <c r="A41" s="399" t="s">
        <v>577</v>
      </c>
      <c r="B41" s="400">
        <v>250.0</v>
      </c>
      <c r="C41" s="401"/>
      <c r="D41" s="401"/>
      <c r="E41" s="401"/>
      <c r="O41" s="79"/>
      <c r="S41" s="79"/>
      <c r="T41" s="79"/>
      <c r="Y41" s="79"/>
      <c r="AC41" s="130"/>
      <c r="AE41" s="106"/>
    </row>
    <row r="42">
      <c r="C42" s="79"/>
      <c r="D42" s="79"/>
      <c r="E42" s="79"/>
      <c r="O42" s="79"/>
      <c r="S42" s="79"/>
      <c r="T42" s="79"/>
      <c r="Y42" s="79"/>
      <c r="AC42" s="130"/>
      <c r="AE42" s="106"/>
    </row>
    <row r="43">
      <c r="C43" s="79"/>
      <c r="D43" s="79"/>
      <c r="E43" s="79"/>
      <c r="O43" s="79"/>
      <c r="S43" s="79"/>
      <c r="T43" s="79"/>
      <c r="Y43" s="79"/>
      <c r="AC43" s="130"/>
      <c r="AE43" s="106"/>
    </row>
    <row r="44">
      <c r="A44" s="274"/>
      <c r="B44" s="275" t="s">
        <v>315</v>
      </c>
      <c r="F44" s="274"/>
      <c r="G44" s="274"/>
      <c r="H44" s="274"/>
      <c r="I44" s="274"/>
      <c r="J44" s="274"/>
      <c r="K44" s="274"/>
      <c r="L44" s="274"/>
      <c r="M44" s="274"/>
      <c r="N44" s="274"/>
      <c r="O44" s="274"/>
      <c r="P44" s="274"/>
      <c r="Q44" s="274"/>
      <c r="R44" s="274"/>
      <c r="S44" s="274"/>
      <c r="T44" s="274"/>
      <c r="U44" s="274"/>
      <c r="V44" s="274"/>
      <c r="W44" s="274"/>
      <c r="X44" s="274"/>
      <c r="Y44" s="274"/>
      <c r="Z44" s="274"/>
      <c r="AA44" s="274"/>
      <c r="AB44" s="274"/>
      <c r="AC44" s="276"/>
      <c r="AD44" s="274"/>
      <c r="AE44" s="277"/>
      <c r="AF44" s="274"/>
      <c r="AG44" s="274"/>
      <c r="AH44" s="274"/>
    </row>
    <row r="45">
      <c r="A45" s="16" t="s">
        <v>316</v>
      </c>
      <c r="B45" s="17"/>
      <c r="C45" s="114"/>
      <c r="D45" s="114"/>
      <c r="E45" s="115"/>
      <c r="O45" s="79"/>
      <c r="S45" s="79"/>
      <c r="T45" s="79"/>
      <c r="Y45" s="79"/>
      <c r="AC45" s="130"/>
      <c r="AE45" s="106"/>
    </row>
    <row r="46">
      <c r="A46" s="19" t="s">
        <v>317</v>
      </c>
      <c r="B46" s="20"/>
      <c r="C46" s="116"/>
      <c r="D46" s="116"/>
      <c r="E46" s="117"/>
      <c r="O46" s="79"/>
      <c r="S46" s="79"/>
      <c r="T46" s="79"/>
      <c r="Y46" s="79"/>
      <c r="AC46" s="130"/>
      <c r="AE46" s="106"/>
    </row>
    <row r="47">
      <c r="A47" s="278" t="s">
        <v>318</v>
      </c>
      <c r="B47" s="279" t="s">
        <v>319</v>
      </c>
      <c r="C47" s="280" t="s">
        <v>285</v>
      </c>
      <c r="D47" s="280" t="s">
        <v>30</v>
      </c>
      <c r="E47" s="281" t="s">
        <v>320</v>
      </c>
      <c r="F47" s="281" t="s">
        <v>321</v>
      </c>
      <c r="O47" s="79"/>
      <c r="S47" s="79"/>
      <c r="T47" s="79"/>
      <c r="Y47" s="79"/>
      <c r="AC47" s="130"/>
      <c r="AE47" s="106"/>
    </row>
    <row r="48">
      <c r="A48" s="304" t="s">
        <v>432</v>
      </c>
      <c r="B48" s="305">
        <v>45461.0</v>
      </c>
      <c r="C48" s="234" t="s">
        <v>325</v>
      </c>
      <c r="D48" s="178">
        <v>1211.18</v>
      </c>
      <c r="E48" s="308">
        <v>45489.0</v>
      </c>
      <c r="F48" s="307">
        <f>D48/2</f>
        <v>605.59</v>
      </c>
      <c r="G48" s="45">
        <f>F48*2</f>
        <v>1211.18</v>
      </c>
      <c r="O48" s="79"/>
      <c r="S48" s="79"/>
      <c r="T48" s="79"/>
      <c r="Y48" s="79"/>
      <c r="AC48" s="130"/>
      <c r="AE48" s="106"/>
    </row>
    <row r="49">
      <c r="A49" s="304" t="s">
        <v>447</v>
      </c>
      <c r="B49" s="305">
        <v>45468.0</v>
      </c>
      <c r="C49" s="234" t="s">
        <v>325</v>
      </c>
      <c r="D49" s="178">
        <v>1263.05</v>
      </c>
      <c r="E49" s="308">
        <v>45496.0</v>
      </c>
      <c r="F49" s="235"/>
      <c r="O49" s="79"/>
      <c r="S49" s="79"/>
      <c r="T49" s="79"/>
      <c r="Y49" s="79"/>
      <c r="AC49" s="130"/>
      <c r="AE49" s="106"/>
    </row>
    <row r="50">
      <c r="A50" s="304" t="s">
        <v>458</v>
      </c>
      <c r="B50" s="305">
        <v>45475.0</v>
      </c>
      <c r="C50" s="234" t="s">
        <v>325</v>
      </c>
      <c r="D50" s="178">
        <v>1249.27</v>
      </c>
      <c r="E50" s="308">
        <v>45503.0</v>
      </c>
      <c r="F50" s="235"/>
      <c r="O50" s="79"/>
      <c r="S50" s="79"/>
      <c r="T50" s="79"/>
      <c r="Y50" s="79"/>
      <c r="AC50" s="130"/>
      <c r="AE50" s="106"/>
    </row>
    <row r="51">
      <c r="A51" s="304" t="s">
        <v>472</v>
      </c>
      <c r="B51" s="305">
        <v>45482.0</v>
      </c>
      <c r="C51" s="234" t="s">
        <v>325</v>
      </c>
      <c r="D51" s="178">
        <v>1248.68</v>
      </c>
      <c r="E51" s="308">
        <v>45510.0</v>
      </c>
      <c r="F51" s="235"/>
      <c r="O51" s="79"/>
      <c r="S51" s="79"/>
      <c r="T51" s="79"/>
      <c r="Y51" s="79"/>
      <c r="AC51" s="130"/>
      <c r="AE51" s="106"/>
    </row>
    <row r="52">
      <c r="A52" s="304" t="s">
        <v>495</v>
      </c>
      <c r="B52" s="305">
        <v>45489.0</v>
      </c>
      <c r="C52" s="234" t="s">
        <v>325</v>
      </c>
      <c r="D52" s="178">
        <v>1228.43</v>
      </c>
      <c r="E52" s="308"/>
      <c r="F52" s="235"/>
      <c r="O52" s="79"/>
      <c r="S52" s="79"/>
      <c r="T52" s="79"/>
      <c r="Y52" s="79"/>
      <c r="AC52" s="130"/>
      <c r="AE52" s="106"/>
    </row>
    <row r="53">
      <c r="A53" s="304" t="s">
        <v>510</v>
      </c>
      <c r="B53" s="305">
        <v>45496.0</v>
      </c>
      <c r="C53" s="234" t="s">
        <v>325</v>
      </c>
      <c r="D53" s="178">
        <v>1194.77</v>
      </c>
      <c r="E53" s="308"/>
      <c r="F53" s="235"/>
      <c r="O53" s="79"/>
      <c r="S53" s="79"/>
      <c r="T53" s="79"/>
      <c r="Y53" s="79"/>
      <c r="AC53" s="130"/>
      <c r="AE53" s="106"/>
    </row>
    <row r="54">
      <c r="A54" s="304" t="s">
        <v>530</v>
      </c>
      <c r="B54" s="305">
        <v>45503.0</v>
      </c>
      <c r="C54" s="234" t="s">
        <v>325</v>
      </c>
      <c r="D54" s="178">
        <v>1211.18</v>
      </c>
      <c r="E54" s="308"/>
      <c r="F54" s="235"/>
      <c r="O54" s="79"/>
      <c r="S54" s="79"/>
      <c r="T54" s="79"/>
      <c r="Y54" s="79"/>
      <c r="AC54" s="130"/>
      <c r="AE54" s="106"/>
    </row>
    <row r="55">
      <c r="A55" s="304" t="s">
        <v>553</v>
      </c>
      <c r="B55" s="305">
        <v>45510.0</v>
      </c>
      <c r="C55" s="234" t="s">
        <v>325</v>
      </c>
      <c r="D55" s="178">
        <v>1409.57</v>
      </c>
      <c r="E55" s="308"/>
      <c r="F55" s="235"/>
      <c r="O55" s="79"/>
      <c r="S55" s="79"/>
      <c r="T55" s="79"/>
      <c r="Y55" s="79"/>
      <c r="AC55" s="130"/>
      <c r="AE55" s="106"/>
    </row>
    <row r="56">
      <c r="A56" s="304" t="s">
        <v>578</v>
      </c>
      <c r="B56" s="305">
        <v>45517.0</v>
      </c>
      <c r="C56" s="234" t="s">
        <v>325</v>
      </c>
      <c r="D56" s="178">
        <v>1391.12</v>
      </c>
      <c r="E56" s="308"/>
      <c r="F56" s="235"/>
      <c r="O56" s="79"/>
      <c r="S56" s="79"/>
      <c r="T56" s="79"/>
      <c r="Y56" s="79"/>
      <c r="AC56" s="130"/>
      <c r="AE56" s="106"/>
    </row>
    <row r="57">
      <c r="A57" s="282" t="s">
        <v>435</v>
      </c>
      <c r="B57" s="283">
        <v>45461.0</v>
      </c>
      <c r="C57" s="166" t="s">
        <v>379</v>
      </c>
      <c r="D57" s="93">
        <v>1455.7</v>
      </c>
      <c r="E57" s="337">
        <v>45496.0</v>
      </c>
      <c r="F57" s="6"/>
      <c r="O57" s="79"/>
      <c r="S57" s="79"/>
      <c r="T57" s="79"/>
      <c r="Y57" s="79"/>
      <c r="AC57" s="130"/>
      <c r="AE57" s="106"/>
    </row>
    <row r="58">
      <c r="A58" s="282" t="s">
        <v>481</v>
      </c>
      <c r="B58" s="283">
        <v>45485.0</v>
      </c>
      <c r="C58" s="166" t="s">
        <v>482</v>
      </c>
      <c r="D58" s="93">
        <f>923.72-693.3</f>
        <v>230.42</v>
      </c>
      <c r="E58" s="291" t="s">
        <v>531</v>
      </c>
      <c r="F58" s="6"/>
      <c r="O58" s="79"/>
      <c r="S58" s="79"/>
      <c r="T58" s="79"/>
      <c r="Y58" s="79"/>
      <c r="AC58" s="130"/>
      <c r="AE58" s="106"/>
    </row>
    <row r="59">
      <c r="A59" s="282" t="s">
        <v>483</v>
      </c>
      <c r="B59" s="283">
        <v>45482.0</v>
      </c>
      <c r="C59" s="166" t="s">
        <v>482</v>
      </c>
      <c r="D59" s="93">
        <v>463.6</v>
      </c>
      <c r="E59" s="291"/>
      <c r="F59" s="6"/>
      <c r="O59" s="79"/>
      <c r="S59" s="79"/>
      <c r="T59" s="79"/>
      <c r="Y59" s="79"/>
      <c r="AC59" s="130"/>
      <c r="AE59" s="106"/>
    </row>
    <row r="60">
      <c r="A60" s="282" t="s">
        <v>496</v>
      </c>
      <c r="B60" s="283">
        <v>45492.0</v>
      </c>
      <c r="C60" s="166" t="s">
        <v>497</v>
      </c>
      <c r="D60" s="93">
        <f>297+284.9</f>
        <v>581.9</v>
      </c>
      <c r="E60" s="291"/>
      <c r="F60" s="6"/>
      <c r="O60" s="79"/>
      <c r="S60" s="79"/>
      <c r="T60" s="79"/>
      <c r="Y60" s="79"/>
      <c r="AC60" s="130"/>
      <c r="AE60" s="106"/>
    </row>
    <row r="61">
      <c r="A61" s="282" t="s">
        <v>500</v>
      </c>
      <c r="B61" s="283">
        <v>45489.0</v>
      </c>
      <c r="C61" s="166" t="s">
        <v>427</v>
      </c>
      <c r="D61" s="93">
        <v>441.39</v>
      </c>
      <c r="E61" s="291"/>
      <c r="F61" s="6"/>
      <c r="O61" s="79"/>
      <c r="S61" s="79"/>
      <c r="T61" s="79"/>
      <c r="Y61" s="79"/>
      <c r="AC61" s="130"/>
      <c r="AE61" s="106"/>
    </row>
    <row r="62">
      <c r="A62" s="282" t="s">
        <v>501</v>
      </c>
      <c r="B62" s="283">
        <v>45491.0</v>
      </c>
      <c r="C62" s="166" t="s">
        <v>493</v>
      </c>
      <c r="D62" s="93">
        <v>857.85</v>
      </c>
      <c r="E62" s="291"/>
      <c r="F62" s="6"/>
      <c r="O62" s="79"/>
      <c r="S62" s="79"/>
      <c r="T62" s="79"/>
      <c r="Y62" s="79"/>
      <c r="AC62" s="130"/>
      <c r="AE62" s="106"/>
    </row>
    <row r="63">
      <c r="A63" s="282" t="s">
        <v>533</v>
      </c>
      <c r="B63" s="283">
        <v>45505.0</v>
      </c>
      <c r="C63" s="166" t="s">
        <v>534</v>
      </c>
      <c r="D63" s="93">
        <f>200.1+60.1</f>
        <v>260.2</v>
      </c>
      <c r="E63" s="285">
        <v>45512.0</v>
      </c>
      <c r="F63" s="5" t="s">
        <v>195</v>
      </c>
      <c r="O63" s="79"/>
      <c r="S63" s="79"/>
      <c r="T63" s="79"/>
      <c r="Y63" s="79"/>
      <c r="AC63" s="130"/>
      <c r="AE63" s="106"/>
    </row>
    <row r="64">
      <c r="A64" s="282" t="s">
        <v>527</v>
      </c>
      <c r="B64" s="283">
        <v>45503.0</v>
      </c>
      <c r="C64" s="166" t="s">
        <v>536</v>
      </c>
      <c r="D64" s="93">
        <v>1220.02</v>
      </c>
      <c r="E64" s="291"/>
      <c r="F64" s="6"/>
      <c r="O64" s="79"/>
      <c r="S64" s="79"/>
      <c r="T64" s="79"/>
      <c r="Y64" s="79"/>
      <c r="AC64" s="130"/>
      <c r="AE64" s="106"/>
    </row>
    <row r="65">
      <c r="A65" s="282" t="s">
        <v>537</v>
      </c>
      <c r="B65" s="283">
        <v>45506.0</v>
      </c>
      <c r="C65" s="166" t="s">
        <v>538</v>
      </c>
      <c r="D65" s="93">
        <v>1662.01</v>
      </c>
      <c r="E65" s="291"/>
      <c r="F65" s="6"/>
      <c r="O65" s="79"/>
      <c r="S65" s="79"/>
      <c r="T65" s="79"/>
      <c r="Y65" s="79"/>
      <c r="AC65" s="130"/>
      <c r="AE65" s="106"/>
    </row>
    <row r="66">
      <c r="A66" s="282" t="s">
        <v>579</v>
      </c>
      <c r="B66" s="283">
        <v>45516.0</v>
      </c>
      <c r="C66" s="166" t="s">
        <v>37</v>
      </c>
      <c r="D66" s="93">
        <v>250.0</v>
      </c>
      <c r="E66" s="291"/>
      <c r="F66" s="6"/>
      <c r="O66" s="79"/>
      <c r="S66" s="79"/>
      <c r="T66" s="79"/>
      <c r="Y66" s="79"/>
      <c r="AC66" s="130"/>
      <c r="AE66" s="106"/>
    </row>
    <row r="67">
      <c r="A67" s="282" t="s">
        <v>580</v>
      </c>
      <c r="B67" s="283">
        <v>45517.0</v>
      </c>
      <c r="C67" s="166" t="s">
        <v>229</v>
      </c>
      <c r="D67" s="93">
        <v>795.2</v>
      </c>
      <c r="E67" s="291"/>
      <c r="F67" s="6"/>
      <c r="O67" s="79"/>
      <c r="S67" s="79"/>
      <c r="T67" s="79"/>
      <c r="Y67" s="79"/>
      <c r="AC67" s="130"/>
      <c r="AE67" s="106"/>
    </row>
    <row r="68">
      <c r="A68" s="282" t="s">
        <v>581</v>
      </c>
      <c r="B68" s="283">
        <v>45518.0</v>
      </c>
      <c r="C68" s="166" t="s">
        <v>355</v>
      </c>
      <c r="D68" s="93">
        <f>443.43-15</f>
        <v>428.43</v>
      </c>
      <c r="E68" s="291"/>
      <c r="F68" s="6"/>
      <c r="O68" s="79"/>
      <c r="S68" s="79"/>
      <c r="T68" s="79"/>
      <c r="Y68" s="79"/>
      <c r="AC68" s="130"/>
      <c r="AE68" s="106"/>
    </row>
    <row r="69">
      <c r="A69" s="282" t="s">
        <v>582</v>
      </c>
      <c r="B69" s="283">
        <v>45520.0</v>
      </c>
      <c r="C69" s="166" t="s">
        <v>583</v>
      </c>
      <c r="D69" s="93">
        <v>680.9</v>
      </c>
      <c r="E69" s="291"/>
      <c r="F69" s="6"/>
      <c r="O69" s="79"/>
      <c r="S69" s="79"/>
      <c r="T69" s="79"/>
      <c r="Y69" s="79"/>
      <c r="AC69" s="130"/>
      <c r="AE69" s="106"/>
    </row>
    <row r="70">
      <c r="A70" s="282" t="s">
        <v>584</v>
      </c>
      <c r="B70" s="283">
        <v>45521.0</v>
      </c>
      <c r="C70" s="166" t="s">
        <v>585</v>
      </c>
      <c r="D70" s="93">
        <v>359.29</v>
      </c>
      <c r="E70" s="291"/>
      <c r="F70" s="6"/>
      <c r="O70" s="79"/>
      <c r="S70" s="79"/>
      <c r="T70" s="79"/>
      <c r="Y70" s="79"/>
      <c r="AC70" s="130"/>
      <c r="AE70" s="106"/>
    </row>
    <row r="71">
      <c r="A71" s="282" t="s">
        <v>586</v>
      </c>
      <c r="B71" s="283">
        <v>45516.0</v>
      </c>
      <c r="C71" s="166" t="s">
        <v>587</v>
      </c>
      <c r="D71" s="93">
        <v>247.0</v>
      </c>
      <c r="E71" s="291"/>
      <c r="F71" s="6"/>
      <c r="O71" s="79"/>
      <c r="S71" s="79"/>
      <c r="T71" s="79"/>
      <c r="Y71" s="79"/>
      <c r="AC71" s="130"/>
      <c r="AE71" s="106"/>
    </row>
    <row r="72">
      <c r="A72" s="282" t="s">
        <v>588</v>
      </c>
      <c r="B72" s="283">
        <v>45521.0</v>
      </c>
      <c r="C72" s="166" t="s">
        <v>589</v>
      </c>
      <c r="D72" s="93">
        <v>811.5</v>
      </c>
      <c r="E72" s="291"/>
      <c r="F72" s="6"/>
      <c r="O72" s="79"/>
      <c r="S72" s="79"/>
      <c r="T72" s="79"/>
      <c r="Y72" s="79"/>
      <c r="AC72" s="130"/>
      <c r="AE72" s="106"/>
    </row>
    <row r="73">
      <c r="A73" s="282"/>
      <c r="B73" s="283"/>
      <c r="C73" s="166"/>
      <c r="D73" s="93"/>
      <c r="E73" s="291"/>
      <c r="F73" s="6"/>
      <c r="O73" s="79"/>
      <c r="S73" s="79"/>
      <c r="T73" s="79"/>
      <c r="Y73" s="79"/>
      <c r="AC73" s="130"/>
      <c r="AE73" s="106"/>
    </row>
    <row r="74">
      <c r="A74" s="282"/>
      <c r="B74" s="283"/>
      <c r="C74" s="166"/>
      <c r="D74" s="93"/>
      <c r="E74" s="291"/>
      <c r="F74" s="6"/>
      <c r="O74" s="79"/>
      <c r="S74" s="79"/>
      <c r="T74" s="79"/>
      <c r="Y74" s="79"/>
      <c r="AC74" s="130"/>
      <c r="AE74" s="106"/>
    </row>
    <row r="75">
      <c r="A75" s="282"/>
      <c r="B75" s="283"/>
      <c r="C75" s="166"/>
      <c r="D75" s="93"/>
      <c r="E75" s="291"/>
      <c r="F75" s="6"/>
      <c r="O75" s="79"/>
      <c r="S75" s="79"/>
      <c r="T75" s="79"/>
      <c r="Y75" s="79"/>
      <c r="AC75" s="130"/>
      <c r="AE75" s="106"/>
    </row>
    <row r="76">
      <c r="A76" s="282"/>
      <c r="B76" s="283"/>
      <c r="C76" s="166"/>
      <c r="D76" s="93"/>
      <c r="E76" s="291"/>
      <c r="F76" s="6"/>
      <c r="O76" s="79"/>
      <c r="S76" s="79"/>
      <c r="T76" s="79"/>
      <c r="Y76" s="79"/>
      <c r="AC76" s="130"/>
      <c r="AE76" s="106"/>
    </row>
    <row r="77">
      <c r="A77" s="282"/>
      <c r="B77" s="283"/>
      <c r="C77" s="166"/>
      <c r="D77" s="93"/>
      <c r="E77" s="291"/>
      <c r="F77" s="6"/>
      <c r="O77" s="79"/>
      <c r="S77" s="79"/>
      <c r="T77" s="79"/>
      <c r="Y77" s="79"/>
      <c r="AC77" s="130"/>
      <c r="AE77" s="106"/>
    </row>
    <row r="78">
      <c r="A78" s="282"/>
      <c r="B78" s="283"/>
      <c r="C78" s="166"/>
      <c r="D78" s="93"/>
      <c r="E78" s="291"/>
      <c r="F78" s="6"/>
      <c r="O78" s="79"/>
      <c r="S78" s="79"/>
      <c r="T78" s="79"/>
      <c r="Y78" s="79"/>
      <c r="AC78" s="130"/>
      <c r="AE78" s="106"/>
    </row>
    <row r="79">
      <c r="A79" s="282"/>
      <c r="B79" s="283"/>
      <c r="C79" s="166"/>
      <c r="D79" s="93"/>
      <c r="E79" s="291"/>
      <c r="F79" s="6"/>
      <c r="O79" s="79"/>
      <c r="S79" s="79"/>
      <c r="T79" s="79"/>
      <c r="Y79" s="79"/>
      <c r="AC79" s="130"/>
      <c r="AE79" s="106"/>
    </row>
    <row r="80">
      <c r="A80" s="282"/>
      <c r="B80" s="283"/>
      <c r="C80" s="166"/>
      <c r="D80" s="93"/>
      <c r="E80" s="291"/>
      <c r="F80" s="6"/>
      <c r="O80" s="79"/>
      <c r="S80" s="79"/>
      <c r="T80" s="79"/>
      <c r="Y80" s="79"/>
      <c r="AC80" s="130"/>
      <c r="AE80" s="106"/>
    </row>
    <row r="81">
      <c r="A81" s="282"/>
      <c r="B81" s="283"/>
      <c r="C81" s="166"/>
      <c r="D81" s="93"/>
      <c r="E81" s="291"/>
      <c r="F81" s="6"/>
      <c r="O81" s="79"/>
      <c r="S81" s="79"/>
      <c r="T81" s="79"/>
      <c r="Y81" s="79"/>
      <c r="AC81" s="130"/>
      <c r="AE81" s="106"/>
    </row>
    <row r="82">
      <c r="A82" s="282"/>
      <c r="B82" s="283"/>
      <c r="C82" s="166"/>
      <c r="D82" s="93"/>
      <c r="E82" s="291"/>
      <c r="F82" s="6"/>
      <c r="O82" s="79"/>
      <c r="S82" s="79"/>
      <c r="T82" s="79"/>
      <c r="Y82" s="79"/>
      <c r="AC82" s="130"/>
      <c r="AE82" s="106"/>
    </row>
    <row r="83">
      <c r="A83" s="282"/>
      <c r="B83" s="283"/>
      <c r="C83" s="166"/>
      <c r="D83" s="93"/>
      <c r="E83" s="291"/>
      <c r="F83" s="6"/>
      <c r="O83" s="79"/>
      <c r="S83" s="79"/>
      <c r="T83" s="79"/>
      <c r="Y83" s="79"/>
      <c r="AC83" s="130"/>
      <c r="AE83" s="106"/>
    </row>
    <row r="84">
      <c r="A84" s="282"/>
      <c r="B84" s="283"/>
      <c r="C84" s="166"/>
      <c r="D84" s="93"/>
      <c r="E84" s="291"/>
      <c r="F84" s="6"/>
      <c r="O84" s="79"/>
      <c r="S84" s="79"/>
      <c r="T84" s="79"/>
      <c r="Y84" s="79"/>
      <c r="AC84" s="130"/>
      <c r="AE84" s="106"/>
    </row>
    <row r="85">
      <c r="A85" s="282"/>
      <c r="B85" s="283"/>
      <c r="C85" s="166"/>
      <c r="D85" s="93"/>
      <c r="E85" s="291"/>
      <c r="F85" s="6"/>
      <c r="O85" s="79"/>
      <c r="S85" s="79"/>
      <c r="T85" s="79"/>
      <c r="Y85" s="79"/>
      <c r="AC85" s="130"/>
      <c r="AE85" s="106"/>
    </row>
    <row r="86">
      <c r="A86" s="282"/>
      <c r="B86" s="283"/>
      <c r="C86" s="166"/>
      <c r="D86" s="93"/>
      <c r="E86" s="291"/>
      <c r="F86" s="6"/>
      <c r="O86" s="79"/>
      <c r="S86" s="79"/>
      <c r="T86" s="79"/>
      <c r="Y86" s="79"/>
      <c r="AC86" s="130"/>
      <c r="AE86" s="106"/>
    </row>
    <row r="87">
      <c r="A87" s="282"/>
      <c r="B87" s="283"/>
      <c r="C87" s="166"/>
      <c r="D87" s="93"/>
      <c r="E87" s="291"/>
      <c r="F87" s="6"/>
      <c r="O87" s="79"/>
      <c r="S87" s="79"/>
      <c r="T87" s="79"/>
      <c r="Y87" s="79"/>
      <c r="AC87" s="130"/>
      <c r="AE87" s="106"/>
    </row>
    <row r="88">
      <c r="A88" s="282"/>
      <c r="B88" s="283"/>
      <c r="C88" s="166"/>
      <c r="D88" s="93"/>
      <c r="E88" s="291"/>
      <c r="F88" s="6"/>
      <c r="O88" s="79"/>
      <c r="S88" s="79"/>
      <c r="T88" s="79"/>
      <c r="Y88" s="79"/>
      <c r="AC88" s="130"/>
      <c r="AE88" s="106"/>
    </row>
    <row r="89">
      <c r="A89" s="282"/>
      <c r="B89" s="283"/>
      <c r="C89" s="166"/>
      <c r="D89" s="93"/>
      <c r="E89" s="291"/>
      <c r="F89" s="6"/>
      <c r="O89" s="79"/>
      <c r="S89" s="79"/>
      <c r="T89" s="79"/>
      <c r="Y89" s="79"/>
      <c r="AC89" s="130"/>
      <c r="AE89" s="106"/>
    </row>
    <row r="90">
      <c r="C90" s="79"/>
      <c r="D90" s="79"/>
      <c r="E90" s="79"/>
      <c r="O90" s="79"/>
      <c r="S90" s="79"/>
      <c r="T90" s="79"/>
      <c r="Y90" s="79"/>
      <c r="AC90" s="130"/>
      <c r="AE90" s="106"/>
    </row>
    <row r="91">
      <c r="C91" s="79"/>
      <c r="D91" s="79"/>
      <c r="E91" s="79"/>
      <c r="O91" s="79"/>
      <c r="S91" s="79"/>
      <c r="T91" s="79"/>
      <c r="Y91" s="79"/>
      <c r="AC91" s="130"/>
      <c r="AE91" s="106"/>
    </row>
    <row r="92">
      <c r="C92" s="79"/>
      <c r="D92" s="79"/>
      <c r="E92" s="79"/>
      <c r="O92" s="79"/>
      <c r="S92" s="79"/>
      <c r="T92" s="79"/>
      <c r="Y92" s="79"/>
      <c r="AC92" s="130"/>
      <c r="AE92" s="106"/>
    </row>
    <row r="93">
      <c r="C93" s="79"/>
      <c r="D93" s="79"/>
      <c r="E93" s="79"/>
      <c r="O93" s="79"/>
      <c r="S93" s="79"/>
      <c r="T93" s="79"/>
      <c r="Y93" s="79"/>
      <c r="AC93" s="130"/>
      <c r="AE93" s="106"/>
    </row>
    <row r="94">
      <c r="C94" s="79"/>
      <c r="D94" s="79"/>
      <c r="E94" s="79"/>
      <c r="O94" s="79"/>
      <c r="S94" s="79"/>
      <c r="T94" s="79"/>
      <c r="Y94" s="79"/>
      <c r="AC94" s="130"/>
      <c r="AE94" s="106"/>
    </row>
    <row r="95">
      <c r="C95" s="79"/>
      <c r="D95" s="79"/>
      <c r="E95" s="79"/>
      <c r="O95" s="79"/>
      <c r="S95" s="79"/>
      <c r="T95" s="79"/>
      <c r="Y95" s="79"/>
      <c r="AC95" s="130"/>
      <c r="AE95" s="106"/>
    </row>
    <row r="96">
      <c r="C96" s="79"/>
      <c r="D96" s="79"/>
      <c r="E96" s="79"/>
      <c r="O96" s="79"/>
      <c r="S96" s="79"/>
      <c r="T96" s="79"/>
      <c r="Y96" s="79"/>
      <c r="AC96" s="130"/>
      <c r="AE96" s="106"/>
    </row>
    <row r="97">
      <c r="C97" s="79"/>
      <c r="D97" s="79"/>
      <c r="E97" s="79"/>
      <c r="O97" s="79"/>
      <c r="S97" s="79"/>
      <c r="T97" s="79"/>
      <c r="Y97" s="79"/>
      <c r="AC97" s="130"/>
      <c r="AE97" s="106"/>
    </row>
    <row r="98">
      <c r="C98" s="79"/>
      <c r="D98" s="79"/>
      <c r="E98" s="79"/>
      <c r="O98" s="79"/>
      <c r="S98" s="79"/>
      <c r="T98" s="79"/>
      <c r="Y98" s="79"/>
      <c r="AC98" s="130"/>
      <c r="AE98" s="106"/>
    </row>
    <row r="99">
      <c r="C99" s="79"/>
      <c r="D99" s="79"/>
      <c r="E99" s="79"/>
      <c r="O99" s="79"/>
      <c r="S99" s="79"/>
      <c r="T99" s="79"/>
      <c r="Y99" s="79"/>
      <c r="AC99" s="130"/>
      <c r="AE99" s="106"/>
    </row>
    <row r="100">
      <c r="C100" s="79"/>
      <c r="D100" s="79"/>
      <c r="E100" s="79"/>
      <c r="O100" s="79"/>
      <c r="S100" s="79"/>
      <c r="T100" s="79"/>
      <c r="Y100" s="79"/>
      <c r="AC100" s="130"/>
      <c r="AE100" s="106"/>
    </row>
    <row r="101">
      <c r="C101" s="79"/>
      <c r="D101" s="79"/>
      <c r="E101" s="79"/>
      <c r="O101" s="79"/>
      <c r="S101" s="79"/>
      <c r="T101" s="79"/>
      <c r="Y101" s="79"/>
      <c r="AC101" s="130"/>
      <c r="AE101" s="106"/>
    </row>
    <row r="102">
      <c r="C102" s="79"/>
      <c r="D102" s="79"/>
      <c r="E102" s="79"/>
      <c r="O102" s="79"/>
      <c r="S102" s="79"/>
      <c r="T102" s="79"/>
      <c r="Y102" s="79"/>
      <c r="AC102" s="130"/>
      <c r="AE102" s="106"/>
    </row>
    <row r="103">
      <c r="C103" s="79"/>
      <c r="D103" s="79"/>
      <c r="E103" s="79"/>
      <c r="O103" s="79"/>
      <c r="S103" s="79"/>
      <c r="T103" s="79"/>
      <c r="Y103" s="79"/>
      <c r="AC103" s="130"/>
      <c r="AE103" s="106"/>
    </row>
    <row r="104">
      <c r="C104" s="79"/>
      <c r="D104" s="79"/>
      <c r="E104" s="79"/>
      <c r="O104" s="79"/>
      <c r="S104" s="79"/>
      <c r="T104" s="79"/>
      <c r="Y104" s="79"/>
      <c r="AC104" s="130"/>
      <c r="AE104" s="106"/>
    </row>
    <row r="105">
      <c r="C105" s="79"/>
      <c r="D105" s="79"/>
      <c r="E105" s="79"/>
      <c r="O105" s="79"/>
      <c r="S105" s="79"/>
      <c r="T105" s="79"/>
      <c r="Y105" s="79"/>
      <c r="AC105" s="130"/>
      <c r="AE105" s="106"/>
    </row>
    <row r="106">
      <c r="C106" s="79"/>
      <c r="D106" s="79"/>
      <c r="E106" s="79"/>
      <c r="O106" s="79"/>
      <c r="S106" s="79"/>
      <c r="T106" s="79"/>
      <c r="Y106" s="79"/>
      <c r="AC106" s="130"/>
      <c r="AE106" s="106"/>
    </row>
    <row r="107">
      <c r="C107" s="79"/>
      <c r="D107" s="79"/>
      <c r="E107" s="79"/>
      <c r="O107" s="79"/>
      <c r="S107" s="79"/>
      <c r="T107" s="79"/>
      <c r="Y107" s="79"/>
      <c r="AC107" s="130"/>
      <c r="AE107" s="106"/>
    </row>
    <row r="108">
      <c r="C108" s="79"/>
      <c r="D108" s="79"/>
      <c r="E108" s="79"/>
      <c r="O108" s="79"/>
      <c r="S108" s="79"/>
      <c r="T108" s="79"/>
      <c r="Y108" s="79"/>
      <c r="AC108" s="130"/>
      <c r="AE108" s="106"/>
    </row>
    <row r="109">
      <c r="C109" s="79"/>
      <c r="D109" s="79"/>
      <c r="E109" s="79"/>
      <c r="O109" s="79"/>
      <c r="S109" s="79"/>
      <c r="T109" s="79"/>
      <c r="Y109" s="79"/>
      <c r="AC109" s="130"/>
      <c r="AE109" s="106"/>
    </row>
    <row r="110">
      <c r="C110" s="79"/>
      <c r="D110" s="79"/>
      <c r="E110" s="79"/>
      <c r="O110" s="79"/>
      <c r="S110" s="79"/>
      <c r="T110" s="79"/>
      <c r="Y110" s="79"/>
      <c r="AC110" s="130"/>
      <c r="AE110" s="106"/>
    </row>
    <row r="111">
      <c r="C111" s="79"/>
      <c r="D111" s="79"/>
      <c r="E111" s="79"/>
      <c r="O111" s="79"/>
      <c r="S111" s="79"/>
      <c r="T111" s="79"/>
      <c r="Y111" s="79"/>
      <c r="AC111" s="130"/>
      <c r="AE111" s="106"/>
    </row>
    <row r="112">
      <c r="C112" s="79"/>
      <c r="D112" s="79"/>
      <c r="E112" s="79"/>
      <c r="O112" s="79"/>
      <c r="S112" s="79"/>
      <c r="T112" s="79"/>
      <c r="Y112" s="79"/>
      <c r="AC112" s="130"/>
      <c r="AE112" s="106"/>
    </row>
    <row r="113">
      <c r="C113" s="79"/>
      <c r="D113" s="79"/>
      <c r="E113" s="79"/>
      <c r="O113" s="79"/>
      <c r="S113" s="79"/>
      <c r="T113" s="79"/>
      <c r="Y113" s="79"/>
      <c r="AC113" s="130"/>
      <c r="AE113" s="106"/>
    </row>
    <row r="114">
      <c r="C114" s="79"/>
      <c r="D114" s="79"/>
      <c r="E114" s="79"/>
      <c r="O114" s="79"/>
      <c r="S114" s="79"/>
      <c r="T114" s="79"/>
      <c r="Y114" s="79"/>
      <c r="AC114" s="130"/>
      <c r="AE114" s="106"/>
    </row>
    <row r="115">
      <c r="C115" s="79"/>
      <c r="D115" s="79"/>
      <c r="E115" s="79"/>
      <c r="O115" s="79"/>
      <c r="S115" s="79"/>
      <c r="T115" s="79"/>
      <c r="Y115" s="79"/>
      <c r="AC115" s="130"/>
      <c r="AE115" s="106"/>
    </row>
    <row r="116">
      <c r="C116" s="79"/>
      <c r="D116" s="79"/>
      <c r="E116" s="79"/>
      <c r="O116" s="79"/>
      <c r="S116" s="79"/>
      <c r="T116" s="79"/>
      <c r="Y116" s="79"/>
      <c r="AC116" s="130"/>
      <c r="AE116" s="106"/>
    </row>
    <row r="117">
      <c r="C117" s="79"/>
      <c r="D117" s="79"/>
      <c r="E117" s="79"/>
      <c r="O117" s="79"/>
      <c r="S117" s="79"/>
      <c r="T117" s="79"/>
      <c r="Y117" s="79"/>
      <c r="AC117" s="130"/>
      <c r="AE117" s="106"/>
    </row>
    <row r="118">
      <c r="C118" s="79"/>
      <c r="D118" s="79"/>
      <c r="E118" s="79"/>
      <c r="O118" s="79"/>
      <c r="S118" s="79"/>
      <c r="T118" s="79"/>
      <c r="Y118" s="79"/>
      <c r="AC118" s="130"/>
      <c r="AE118" s="106"/>
    </row>
    <row r="119">
      <c r="C119" s="79"/>
      <c r="D119" s="79"/>
      <c r="E119" s="79"/>
      <c r="O119" s="79"/>
      <c r="S119" s="79"/>
      <c r="T119" s="79"/>
      <c r="Y119" s="79"/>
      <c r="AC119" s="130"/>
      <c r="AE119" s="106"/>
    </row>
    <row r="120">
      <c r="C120" s="79"/>
      <c r="D120" s="79"/>
      <c r="E120" s="79"/>
      <c r="O120" s="79"/>
      <c r="S120" s="79"/>
      <c r="T120" s="79"/>
      <c r="Y120" s="79"/>
      <c r="AC120" s="130"/>
      <c r="AE120" s="106"/>
    </row>
    <row r="121">
      <c r="C121" s="79"/>
      <c r="D121" s="79"/>
      <c r="E121" s="79"/>
      <c r="O121" s="79"/>
      <c r="S121" s="79"/>
      <c r="T121" s="79"/>
      <c r="Y121" s="79"/>
      <c r="AC121" s="130"/>
      <c r="AE121" s="106"/>
    </row>
    <row r="122">
      <c r="C122" s="79"/>
      <c r="D122" s="79"/>
      <c r="E122" s="79"/>
      <c r="O122" s="79"/>
      <c r="S122" s="79"/>
      <c r="T122" s="79"/>
      <c r="Y122" s="79"/>
      <c r="AC122" s="130"/>
      <c r="AE122" s="106"/>
    </row>
    <row r="123">
      <c r="C123" s="79"/>
      <c r="D123" s="79"/>
      <c r="E123" s="79"/>
      <c r="O123" s="79"/>
      <c r="S123" s="79"/>
      <c r="T123" s="79"/>
      <c r="Y123" s="79"/>
      <c r="AC123" s="130"/>
      <c r="AE123" s="106"/>
    </row>
    <row r="124">
      <c r="C124" s="79"/>
      <c r="D124" s="79"/>
      <c r="E124" s="79"/>
      <c r="O124" s="79"/>
      <c r="S124" s="79"/>
      <c r="T124" s="79"/>
      <c r="Y124" s="79"/>
      <c r="AC124" s="130"/>
      <c r="AE124" s="106"/>
    </row>
    <row r="125">
      <c r="C125" s="79"/>
      <c r="D125" s="79"/>
      <c r="E125" s="79"/>
      <c r="O125" s="79"/>
      <c r="S125" s="79"/>
      <c r="T125" s="79"/>
      <c r="Y125" s="79"/>
      <c r="AC125" s="130"/>
      <c r="AE125" s="106"/>
    </row>
    <row r="126">
      <c r="C126" s="79"/>
      <c r="D126" s="79"/>
      <c r="E126" s="79"/>
      <c r="O126" s="79"/>
      <c r="S126" s="79"/>
      <c r="T126" s="79"/>
      <c r="Y126" s="79"/>
      <c r="AC126" s="130"/>
      <c r="AE126" s="106"/>
    </row>
    <row r="127">
      <c r="C127" s="79"/>
      <c r="D127" s="79"/>
      <c r="E127" s="79"/>
      <c r="O127" s="79"/>
      <c r="S127" s="79"/>
      <c r="T127" s="79"/>
      <c r="Y127" s="79"/>
      <c r="AC127" s="130"/>
      <c r="AE127" s="106"/>
    </row>
    <row r="128">
      <c r="C128" s="79"/>
      <c r="D128" s="79"/>
      <c r="E128" s="79"/>
      <c r="O128" s="79"/>
      <c r="S128" s="79"/>
      <c r="T128" s="79"/>
      <c r="Y128" s="79"/>
      <c r="AC128" s="130"/>
      <c r="AE128" s="106"/>
    </row>
    <row r="129">
      <c r="C129" s="79"/>
      <c r="D129" s="79"/>
      <c r="E129" s="79"/>
      <c r="O129" s="79"/>
      <c r="S129" s="79"/>
      <c r="T129" s="79"/>
      <c r="Y129" s="79"/>
      <c r="AC129" s="130"/>
      <c r="AE129" s="106"/>
    </row>
    <row r="130">
      <c r="C130" s="79"/>
      <c r="D130" s="79"/>
      <c r="E130" s="79"/>
      <c r="O130" s="79"/>
      <c r="S130" s="79"/>
      <c r="T130" s="79"/>
      <c r="Y130" s="79"/>
      <c r="AC130" s="130"/>
      <c r="AE130" s="106"/>
    </row>
    <row r="131">
      <c r="C131" s="79"/>
      <c r="D131" s="79"/>
      <c r="E131" s="79"/>
      <c r="O131" s="79"/>
      <c r="S131" s="79"/>
      <c r="T131" s="79"/>
      <c r="Y131" s="79"/>
      <c r="AC131" s="130"/>
      <c r="AE131" s="106"/>
    </row>
    <row r="132">
      <c r="C132" s="79"/>
      <c r="D132" s="79"/>
      <c r="E132" s="79"/>
      <c r="O132" s="79"/>
      <c r="S132" s="79"/>
      <c r="T132" s="79"/>
      <c r="Y132" s="79"/>
      <c r="AC132" s="130"/>
      <c r="AE132" s="106"/>
    </row>
    <row r="133">
      <c r="C133" s="79"/>
      <c r="D133" s="79"/>
      <c r="E133" s="79"/>
      <c r="O133" s="79"/>
      <c r="S133" s="79"/>
      <c r="T133" s="79"/>
      <c r="Y133" s="79"/>
      <c r="AC133" s="130"/>
      <c r="AE133" s="106"/>
    </row>
    <row r="134">
      <c r="C134" s="79"/>
      <c r="D134" s="79"/>
      <c r="E134" s="79"/>
      <c r="O134" s="79"/>
      <c r="S134" s="79"/>
      <c r="T134" s="79"/>
      <c r="Y134" s="79"/>
      <c r="AC134" s="130"/>
      <c r="AE134" s="106"/>
    </row>
    <row r="135">
      <c r="C135" s="79"/>
      <c r="D135" s="79"/>
      <c r="E135" s="79"/>
      <c r="O135" s="79"/>
      <c r="S135" s="79"/>
      <c r="T135" s="79"/>
      <c r="Y135" s="79"/>
      <c r="AC135" s="130"/>
      <c r="AE135" s="106"/>
    </row>
    <row r="136">
      <c r="C136" s="79"/>
      <c r="D136" s="79"/>
      <c r="E136" s="79"/>
      <c r="O136" s="79"/>
      <c r="S136" s="79"/>
      <c r="T136" s="79"/>
      <c r="Y136" s="79"/>
      <c r="AC136" s="130"/>
      <c r="AE136" s="106"/>
    </row>
    <row r="137">
      <c r="C137" s="79"/>
      <c r="D137" s="79"/>
      <c r="E137" s="79"/>
      <c r="O137" s="79"/>
      <c r="S137" s="79"/>
      <c r="T137" s="79"/>
      <c r="Y137" s="79"/>
      <c r="AC137" s="130"/>
      <c r="AE137" s="106"/>
    </row>
    <row r="138">
      <c r="C138" s="79"/>
      <c r="D138" s="79"/>
      <c r="E138" s="79"/>
      <c r="O138" s="79"/>
      <c r="S138" s="79"/>
      <c r="T138" s="79"/>
      <c r="Y138" s="79"/>
      <c r="AC138" s="130"/>
      <c r="AE138" s="106"/>
    </row>
    <row r="139">
      <c r="C139" s="79"/>
      <c r="D139" s="79"/>
      <c r="E139" s="79"/>
      <c r="O139" s="79"/>
      <c r="S139" s="79"/>
      <c r="T139" s="79"/>
      <c r="Y139" s="79"/>
      <c r="AC139" s="130"/>
      <c r="AE139" s="106"/>
    </row>
    <row r="140">
      <c r="C140" s="79"/>
      <c r="D140" s="79"/>
      <c r="E140" s="79"/>
      <c r="O140" s="79"/>
      <c r="S140" s="79"/>
      <c r="T140" s="79"/>
      <c r="Y140" s="79"/>
      <c r="AC140" s="130"/>
      <c r="AE140" s="106"/>
    </row>
    <row r="141">
      <c r="C141" s="79"/>
      <c r="D141" s="79"/>
      <c r="E141" s="79"/>
      <c r="O141" s="79"/>
      <c r="S141" s="79"/>
      <c r="T141" s="79"/>
      <c r="Y141" s="79"/>
      <c r="AC141" s="130"/>
      <c r="AE141" s="106"/>
    </row>
    <row r="142">
      <c r="C142" s="79"/>
      <c r="D142" s="79"/>
      <c r="E142" s="79"/>
      <c r="O142" s="79"/>
      <c r="S142" s="79"/>
      <c r="T142" s="79"/>
      <c r="Y142" s="79"/>
      <c r="AC142" s="130"/>
      <c r="AE142" s="106"/>
    </row>
    <row r="143">
      <c r="C143" s="79"/>
      <c r="D143" s="79"/>
      <c r="E143" s="79"/>
      <c r="O143" s="79"/>
      <c r="S143" s="79"/>
      <c r="T143" s="79"/>
      <c r="Y143" s="79"/>
      <c r="AC143" s="130"/>
      <c r="AE143" s="106"/>
    </row>
    <row r="144">
      <c r="C144" s="79"/>
      <c r="D144" s="79"/>
      <c r="E144" s="79"/>
      <c r="O144" s="79"/>
      <c r="S144" s="79"/>
      <c r="T144" s="79"/>
      <c r="Y144" s="79"/>
      <c r="AC144" s="130"/>
      <c r="AE144" s="106"/>
    </row>
    <row r="145">
      <c r="C145" s="79"/>
      <c r="D145" s="79"/>
      <c r="E145" s="79"/>
      <c r="O145" s="79"/>
      <c r="S145" s="79"/>
      <c r="T145" s="79"/>
      <c r="Y145" s="79"/>
      <c r="AC145" s="130"/>
      <c r="AE145" s="106"/>
    </row>
    <row r="146">
      <c r="C146" s="79"/>
      <c r="D146" s="79"/>
      <c r="E146" s="79"/>
      <c r="O146" s="79"/>
      <c r="S146" s="79"/>
      <c r="T146" s="79"/>
      <c r="Y146" s="79"/>
      <c r="AC146" s="130"/>
      <c r="AE146" s="106"/>
    </row>
    <row r="147">
      <c r="C147" s="79"/>
      <c r="D147" s="79"/>
      <c r="E147" s="79"/>
      <c r="O147" s="79"/>
      <c r="S147" s="79"/>
      <c r="T147" s="79"/>
      <c r="Y147" s="79"/>
      <c r="AC147" s="130"/>
      <c r="AE147" s="106"/>
    </row>
    <row r="148">
      <c r="C148" s="79"/>
      <c r="D148" s="79"/>
      <c r="E148" s="79"/>
      <c r="O148" s="79"/>
      <c r="S148" s="79"/>
      <c r="T148" s="79"/>
      <c r="Y148" s="79"/>
      <c r="AC148" s="130"/>
      <c r="AE148" s="106"/>
    </row>
    <row r="149">
      <c r="C149" s="79"/>
      <c r="D149" s="79"/>
      <c r="E149" s="79"/>
      <c r="O149" s="79"/>
      <c r="S149" s="79"/>
      <c r="T149" s="79"/>
      <c r="Y149" s="79"/>
      <c r="AC149" s="130"/>
      <c r="AE149" s="106"/>
    </row>
    <row r="150">
      <c r="C150" s="79"/>
      <c r="D150" s="79"/>
      <c r="E150" s="79"/>
      <c r="O150" s="79"/>
      <c r="S150" s="79"/>
      <c r="T150" s="79"/>
      <c r="Y150" s="79"/>
      <c r="AC150" s="130"/>
      <c r="AE150" s="106"/>
    </row>
    <row r="151">
      <c r="C151" s="79"/>
      <c r="D151" s="79"/>
      <c r="E151" s="79"/>
      <c r="O151" s="79"/>
      <c r="S151" s="79"/>
      <c r="T151" s="79"/>
      <c r="Y151" s="79"/>
      <c r="AC151" s="130"/>
      <c r="AE151" s="106"/>
    </row>
    <row r="152">
      <c r="C152" s="79"/>
      <c r="D152" s="79"/>
      <c r="E152" s="79"/>
      <c r="O152" s="79"/>
      <c r="S152" s="79"/>
      <c r="T152" s="79"/>
      <c r="Y152" s="79"/>
      <c r="AC152" s="130"/>
      <c r="AE152" s="106"/>
    </row>
    <row r="153">
      <c r="C153" s="79"/>
      <c r="D153" s="79"/>
      <c r="E153" s="79"/>
      <c r="O153" s="79"/>
      <c r="S153" s="79"/>
      <c r="T153" s="79"/>
      <c r="Y153" s="79"/>
      <c r="AC153" s="130"/>
      <c r="AE153" s="106"/>
    </row>
    <row r="154">
      <c r="C154" s="79"/>
      <c r="D154" s="79"/>
      <c r="E154" s="79"/>
      <c r="O154" s="79"/>
      <c r="S154" s="79"/>
      <c r="T154" s="79"/>
      <c r="Y154" s="79"/>
      <c r="AC154" s="130"/>
      <c r="AE154" s="106"/>
    </row>
    <row r="155">
      <c r="C155" s="79"/>
      <c r="D155" s="79"/>
      <c r="E155" s="79"/>
      <c r="O155" s="79"/>
      <c r="S155" s="79"/>
      <c r="T155" s="79"/>
      <c r="Y155" s="79"/>
      <c r="AC155" s="130"/>
      <c r="AE155" s="106"/>
    </row>
    <row r="156">
      <c r="C156" s="79"/>
      <c r="D156" s="79"/>
      <c r="E156" s="79"/>
      <c r="O156" s="79"/>
      <c r="S156" s="79"/>
      <c r="T156" s="79"/>
      <c r="Y156" s="79"/>
      <c r="AC156" s="130"/>
      <c r="AE156" s="106"/>
    </row>
    <row r="157">
      <c r="C157" s="79"/>
      <c r="D157" s="79"/>
      <c r="E157" s="79"/>
      <c r="O157" s="79"/>
      <c r="S157" s="79"/>
      <c r="T157" s="79"/>
      <c r="Y157" s="79"/>
      <c r="AC157" s="130"/>
      <c r="AE157" s="106"/>
    </row>
    <row r="158">
      <c r="C158" s="79"/>
      <c r="D158" s="79"/>
      <c r="E158" s="79"/>
      <c r="O158" s="79"/>
      <c r="S158" s="79"/>
      <c r="T158" s="79"/>
      <c r="Y158" s="79"/>
      <c r="AC158" s="130"/>
      <c r="AE158" s="106"/>
    </row>
    <row r="159">
      <c r="C159" s="79"/>
      <c r="D159" s="79"/>
      <c r="E159" s="79"/>
      <c r="O159" s="79"/>
      <c r="S159" s="79"/>
      <c r="T159" s="79"/>
      <c r="Y159" s="79"/>
      <c r="AC159" s="130"/>
      <c r="AE159" s="106"/>
    </row>
    <row r="160">
      <c r="C160" s="79"/>
      <c r="D160" s="79"/>
      <c r="E160" s="79"/>
      <c r="O160" s="79"/>
      <c r="S160" s="79"/>
      <c r="T160" s="79"/>
      <c r="Y160" s="79"/>
      <c r="AC160" s="130"/>
      <c r="AE160" s="106"/>
    </row>
    <row r="161">
      <c r="C161" s="79"/>
      <c r="D161" s="79"/>
      <c r="E161" s="79"/>
      <c r="O161" s="79"/>
      <c r="S161" s="79"/>
      <c r="T161" s="79"/>
      <c r="Y161" s="79"/>
      <c r="AC161" s="130"/>
      <c r="AE161" s="106"/>
    </row>
    <row r="162">
      <c r="C162" s="79"/>
      <c r="D162" s="79"/>
      <c r="E162" s="79"/>
      <c r="O162" s="79"/>
      <c r="S162" s="79"/>
      <c r="T162" s="79"/>
      <c r="Y162" s="79"/>
      <c r="AC162" s="130"/>
      <c r="AE162" s="106"/>
    </row>
    <row r="163">
      <c r="C163" s="79"/>
      <c r="D163" s="79"/>
      <c r="E163" s="79"/>
      <c r="O163" s="79"/>
      <c r="S163" s="79"/>
      <c r="T163" s="79"/>
      <c r="Y163" s="79"/>
      <c r="AC163" s="130"/>
      <c r="AE163" s="106"/>
    </row>
    <row r="164">
      <c r="C164" s="79"/>
      <c r="D164" s="79"/>
      <c r="E164" s="79"/>
      <c r="O164" s="79"/>
      <c r="S164" s="79"/>
      <c r="T164" s="79"/>
      <c r="Y164" s="79"/>
      <c r="AC164" s="130"/>
      <c r="AE164" s="106"/>
    </row>
    <row r="165">
      <c r="C165" s="79"/>
      <c r="D165" s="79"/>
      <c r="E165" s="79"/>
      <c r="O165" s="79"/>
      <c r="S165" s="79"/>
      <c r="T165" s="79"/>
      <c r="Y165" s="79"/>
      <c r="AC165" s="130"/>
      <c r="AE165" s="106"/>
    </row>
    <row r="166">
      <c r="C166" s="79"/>
      <c r="D166" s="79"/>
      <c r="E166" s="79"/>
      <c r="O166" s="79"/>
      <c r="S166" s="79"/>
      <c r="T166" s="79"/>
      <c r="Y166" s="79"/>
      <c r="AC166" s="130"/>
      <c r="AE166" s="106"/>
    </row>
    <row r="167">
      <c r="C167" s="79"/>
      <c r="D167" s="79"/>
      <c r="E167" s="79"/>
      <c r="O167" s="79"/>
      <c r="S167" s="79"/>
      <c r="T167" s="79"/>
      <c r="Y167" s="79"/>
      <c r="AC167" s="130"/>
      <c r="AE167" s="106"/>
    </row>
    <row r="168">
      <c r="C168" s="79"/>
      <c r="D168" s="79"/>
      <c r="E168" s="79"/>
      <c r="O168" s="79"/>
      <c r="S168" s="79"/>
      <c r="T168" s="79"/>
      <c r="Y168" s="79"/>
      <c r="AC168" s="130"/>
      <c r="AE168" s="106"/>
    </row>
    <row r="169">
      <c r="C169" s="79"/>
      <c r="D169" s="79"/>
      <c r="E169" s="79"/>
      <c r="O169" s="79"/>
      <c r="S169" s="79"/>
      <c r="T169" s="79"/>
      <c r="Y169" s="79"/>
      <c r="AC169" s="130"/>
      <c r="AE169" s="106"/>
    </row>
    <row r="170">
      <c r="C170" s="79"/>
      <c r="D170" s="79"/>
      <c r="E170" s="79"/>
      <c r="O170" s="79"/>
      <c r="S170" s="79"/>
      <c r="T170" s="79"/>
      <c r="Y170" s="79"/>
      <c r="AC170" s="130"/>
      <c r="AE170" s="106"/>
    </row>
    <row r="171">
      <c r="C171" s="79"/>
      <c r="D171" s="79"/>
      <c r="E171" s="79"/>
      <c r="O171" s="79"/>
      <c r="S171" s="79"/>
      <c r="T171" s="79"/>
      <c r="Y171" s="79"/>
      <c r="AC171" s="130"/>
      <c r="AE171" s="106"/>
    </row>
    <row r="172">
      <c r="C172" s="79"/>
      <c r="D172" s="79"/>
      <c r="E172" s="79"/>
      <c r="O172" s="79"/>
      <c r="S172" s="79"/>
      <c r="T172" s="79"/>
      <c r="Y172" s="79"/>
      <c r="AC172" s="130"/>
      <c r="AE172" s="106"/>
    </row>
    <row r="173">
      <c r="C173" s="79"/>
      <c r="D173" s="79"/>
      <c r="E173" s="79"/>
      <c r="O173" s="79"/>
      <c r="S173" s="79"/>
      <c r="T173" s="79"/>
      <c r="Y173" s="79"/>
      <c r="AC173" s="130"/>
      <c r="AE173" s="106"/>
    </row>
    <row r="174">
      <c r="C174" s="79"/>
      <c r="D174" s="79"/>
      <c r="E174" s="79"/>
      <c r="O174" s="79"/>
      <c r="S174" s="79"/>
      <c r="T174" s="79"/>
      <c r="Y174" s="79"/>
      <c r="AC174" s="130"/>
      <c r="AE174" s="106"/>
    </row>
    <row r="175">
      <c r="C175" s="79"/>
      <c r="D175" s="79"/>
      <c r="E175" s="79"/>
      <c r="O175" s="79"/>
      <c r="S175" s="79"/>
      <c r="T175" s="79"/>
      <c r="Y175" s="79"/>
      <c r="AC175" s="130"/>
      <c r="AE175" s="106"/>
    </row>
    <row r="176">
      <c r="C176" s="79"/>
      <c r="D176" s="79"/>
      <c r="E176" s="79"/>
      <c r="O176" s="79"/>
      <c r="S176" s="79"/>
      <c r="T176" s="79"/>
      <c r="Y176" s="79"/>
      <c r="AC176" s="130"/>
      <c r="AE176" s="106"/>
    </row>
    <row r="177">
      <c r="C177" s="79"/>
      <c r="D177" s="79"/>
      <c r="E177" s="79"/>
      <c r="O177" s="79"/>
      <c r="S177" s="79"/>
      <c r="T177" s="79"/>
      <c r="Y177" s="79"/>
      <c r="AC177" s="130"/>
      <c r="AE177" s="106"/>
    </row>
    <row r="178">
      <c r="C178" s="79"/>
      <c r="D178" s="79"/>
      <c r="E178" s="79"/>
      <c r="O178" s="79"/>
      <c r="S178" s="79"/>
      <c r="T178" s="79"/>
      <c r="Y178" s="79"/>
      <c r="AC178" s="130"/>
      <c r="AE178" s="106"/>
    </row>
    <row r="179">
      <c r="C179" s="79"/>
      <c r="D179" s="79"/>
      <c r="E179" s="79"/>
      <c r="O179" s="79"/>
      <c r="S179" s="79"/>
      <c r="T179" s="79"/>
      <c r="Y179" s="79"/>
      <c r="AC179" s="130"/>
      <c r="AE179" s="106"/>
    </row>
    <row r="180">
      <c r="C180" s="79"/>
      <c r="D180" s="79"/>
      <c r="E180" s="79"/>
      <c r="O180" s="79"/>
      <c r="S180" s="79"/>
      <c r="T180" s="79"/>
      <c r="Y180" s="79"/>
      <c r="AC180" s="130"/>
      <c r="AE180" s="106"/>
    </row>
    <row r="181">
      <c r="C181" s="79"/>
      <c r="D181" s="79"/>
      <c r="E181" s="79"/>
      <c r="O181" s="79"/>
      <c r="S181" s="79"/>
      <c r="T181" s="79"/>
      <c r="Y181" s="79"/>
      <c r="AC181" s="130"/>
      <c r="AE181" s="106"/>
    </row>
    <row r="182">
      <c r="C182" s="79"/>
      <c r="D182" s="79"/>
      <c r="E182" s="79"/>
      <c r="O182" s="79"/>
      <c r="S182" s="79"/>
      <c r="T182" s="79"/>
      <c r="Y182" s="79"/>
      <c r="AC182" s="130"/>
      <c r="AE182" s="106"/>
    </row>
    <row r="183">
      <c r="C183" s="79"/>
      <c r="D183" s="79"/>
      <c r="E183" s="79"/>
      <c r="O183" s="79"/>
      <c r="S183" s="79"/>
      <c r="T183" s="79"/>
      <c r="Y183" s="79"/>
      <c r="AC183" s="130"/>
      <c r="AE183" s="106"/>
    </row>
    <row r="184">
      <c r="C184" s="79"/>
      <c r="D184" s="79"/>
      <c r="E184" s="79"/>
      <c r="O184" s="79"/>
      <c r="S184" s="79"/>
      <c r="T184" s="79"/>
      <c r="Y184" s="79"/>
      <c r="AC184" s="130"/>
      <c r="AE184" s="106"/>
    </row>
    <row r="185">
      <c r="C185" s="79"/>
      <c r="D185" s="79"/>
      <c r="E185" s="79"/>
      <c r="O185" s="79"/>
      <c r="S185" s="79"/>
      <c r="T185" s="79"/>
      <c r="Y185" s="79"/>
      <c r="AC185" s="130"/>
      <c r="AE185" s="106"/>
    </row>
    <row r="186">
      <c r="C186" s="79"/>
      <c r="D186" s="79"/>
      <c r="E186" s="79"/>
      <c r="O186" s="79"/>
      <c r="S186" s="79"/>
      <c r="T186" s="79"/>
      <c r="Y186" s="79"/>
      <c r="AC186" s="130"/>
      <c r="AE186" s="106"/>
    </row>
    <row r="187">
      <c r="C187" s="79"/>
      <c r="D187" s="79"/>
      <c r="E187" s="79"/>
      <c r="O187" s="79"/>
      <c r="S187" s="79"/>
      <c r="T187" s="79"/>
      <c r="Y187" s="79"/>
      <c r="AC187" s="130"/>
      <c r="AE187" s="106"/>
    </row>
    <row r="188">
      <c r="C188" s="79"/>
      <c r="D188" s="79"/>
      <c r="E188" s="79"/>
      <c r="O188" s="79"/>
      <c r="S188" s="79"/>
      <c r="T188" s="79"/>
      <c r="Y188" s="79"/>
      <c r="AC188" s="130"/>
      <c r="AE188" s="106"/>
    </row>
    <row r="189">
      <c r="C189" s="79"/>
      <c r="D189" s="79"/>
      <c r="E189" s="79"/>
      <c r="O189" s="79"/>
      <c r="S189" s="79"/>
      <c r="T189" s="79"/>
      <c r="Y189" s="79"/>
      <c r="AC189" s="130"/>
      <c r="AE189" s="106"/>
    </row>
    <row r="190">
      <c r="C190" s="79"/>
      <c r="D190" s="79"/>
      <c r="E190" s="79"/>
      <c r="O190" s="79"/>
      <c r="S190" s="79"/>
      <c r="T190" s="79"/>
      <c r="Y190" s="79"/>
      <c r="AC190" s="130"/>
      <c r="AE190" s="106"/>
    </row>
    <row r="191">
      <c r="C191" s="79"/>
      <c r="D191" s="79"/>
      <c r="E191" s="79"/>
      <c r="O191" s="79"/>
      <c r="S191" s="79"/>
      <c r="T191" s="79"/>
      <c r="Y191" s="79"/>
      <c r="AC191" s="130"/>
      <c r="AE191" s="106"/>
    </row>
    <row r="192">
      <c r="C192" s="79"/>
      <c r="D192" s="79"/>
      <c r="E192" s="79"/>
      <c r="O192" s="79"/>
      <c r="S192" s="79"/>
      <c r="T192" s="79"/>
      <c r="Y192" s="79"/>
      <c r="AC192" s="130"/>
      <c r="AE192" s="106"/>
    </row>
    <row r="193">
      <c r="C193" s="79"/>
      <c r="D193" s="79"/>
      <c r="E193" s="79"/>
      <c r="O193" s="79"/>
      <c r="S193" s="79"/>
      <c r="T193" s="79"/>
      <c r="Y193" s="79"/>
      <c r="AC193" s="130"/>
      <c r="AE193" s="106"/>
    </row>
    <row r="194">
      <c r="C194" s="79"/>
      <c r="D194" s="79"/>
      <c r="E194" s="79"/>
      <c r="O194" s="79"/>
      <c r="S194" s="79"/>
      <c r="T194" s="79"/>
      <c r="Y194" s="79"/>
      <c r="AC194" s="130"/>
      <c r="AE194" s="106"/>
    </row>
    <row r="195">
      <c r="C195" s="79"/>
      <c r="D195" s="79"/>
      <c r="E195" s="79"/>
      <c r="O195" s="79"/>
      <c r="S195" s="79"/>
      <c r="T195" s="79"/>
      <c r="Y195" s="79"/>
      <c r="AC195" s="130"/>
      <c r="AE195" s="106"/>
    </row>
    <row r="196">
      <c r="C196" s="79"/>
      <c r="D196" s="79"/>
      <c r="E196" s="79"/>
      <c r="O196" s="79"/>
      <c r="S196" s="79"/>
      <c r="T196" s="79"/>
      <c r="Y196" s="79"/>
      <c r="AC196" s="130"/>
      <c r="AE196" s="106"/>
    </row>
    <row r="197">
      <c r="C197" s="79"/>
      <c r="D197" s="79"/>
      <c r="E197" s="79"/>
      <c r="O197" s="79"/>
      <c r="S197" s="79"/>
      <c r="T197" s="79"/>
      <c r="Y197" s="79"/>
      <c r="AC197" s="130"/>
      <c r="AE197" s="106"/>
    </row>
    <row r="198">
      <c r="C198" s="79"/>
      <c r="D198" s="79"/>
      <c r="E198" s="79"/>
      <c r="O198" s="79"/>
      <c r="S198" s="79"/>
      <c r="T198" s="79"/>
      <c r="Y198" s="79"/>
      <c r="AC198" s="130"/>
      <c r="AE198" s="106"/>
    </row>
    <row r="199">
      <c r="C199" s="79"/>
      <c r="D199" s="79"/>
      <c r="E199" s="79"/>
      <c r="O199" s="79"/>
      <c r="S199" s="79"/>
      <c r="T199" s="79"/>
      <c r="Y199" s="79"/>
      <c r="AC199" s="130"/>
      <c r="AE199" s="106"/>
    </row>
    <row r="200">
      <c r="C200" s="79"/>
      <c r="D200" s="79"/>
      <c r="E200" s="79"/>
      <c r="O200" s="79"/>
      <c r="S200" s="79"/>
      <c r="T200" s="79"/>
      <c r="Y200" s="79"/>
      <c r="AC200" s="130"/>
      <c r="AE200" s="106"/>
    </row>
    <row r="201">
      <c r="C201" s="79"/>
      <c r="D201" s="79"/>
      <c r="E201" s="79"/>
      <c r="O201" s="79"/>
      <c r="S201" s="79"/>
      <c r="T201" s="79"/>
      <c r="Y201" s="79"/>
      <c r="AC201" s="130"/>
      <c r="AE201" s="106"/>
    </row>
    <row r="202">
      <c r="C202" s="79"/>
      <c r="D202" s="79"/>
      <c r="E202" s="79"/>
      <c r="O202" s="79"/>
      <c r="S202" s="79"/>
      <c r="T202" s="79"/>
      <c r="Y202" s="79"/>
      <c r="AC202" s="130"/>
      <c r="AE202" s="106"/>
    </row>
    <row r="203">
      <c r="C203" s="79"/>
      <c r="D203" s="79"/>
      <c r="E203" s="79"/>
      <c r="O203" s="79"/>
      <c r="S203" s="79"/>
      <c r="T203" s="79"/>
      <c r="Y203" s="79"/>
      <c r="AC203" s="130"/>
      <c r="AE203" s="106"/>
    </row>
    <row r="204">
      <c r="C204" s="79"/>
      <c r="D204" s="79"/>
      <c r="E204" s="79"/>
      <c r="O204" s="79"/>
      <c r="S204" s="79"/>
      <c r="T204" s="79"/>
      <c r="Y204" s="79"/>
      <c r="AC204" s="130"/>
      <c r="AE204" s="106"/>
    </row>
    <row r="205">
      <c r="C205" s="79"/>
      <c r="D205" s="79"/>
      <c r="E205" s="79"/>
      <c r="O205" s="79"/>
      <c r="S205" s="79"/>
      <c r="T205" s="79"/>
      <c r="Y205" s="79"/>
      <c r="AC205" s="130"/>
      <c r="AE205" s="106"/>
    </row>
    <row r="206">
      <c r="C206" s="79"/>
      <c r="D206" s="79"/>
      <c r="E206" s="79"/>
      <c r="O206" s="79"/>
      <c r="S206" s="79"/>
      <c r="T206" s="79"/>
      <c r="Y206" s="79"/>
      <c r="AC206" s="130"/>
      <c r="AE206" s="106"/>
    </row>
    <row r="207">
      <c r="C207" s="79"/>
      <c r="D207" s="79"/>
      <c r="E207" s="79"/>
      <c r="O207" s="79"/>
      <c r="S207" s="79"/>
      <c r="T207" s="79"/>
      <c r="Y207" s="79"/>
      <c r="AC207" s="130"/>
      <c r="AE207" s="106"/>
    </row>
    <row r="208">
      <c r="C208" s="79"/>
      <c r="D208" s="79"/>
      <c r="E208" s="79"/>
      <c r="O208" s="79"/>
      <c r="S208" s="79"/>
      <c r="T208" s="79"/>
      <c r="Y208" s="79"/>
      <c r="AC208" s="130"/>
      <c r="AE208" s="106"/>
    </row>
    <row r="209">
      <c r="C209" s="79"/>
      <c r="D209" s="79"/>
      <c r="E209" s="79"/>
      <c r="O209" s="79"/>
      <c r="S209" s="79"/>
      <c r="T209" s="79"/>
      <c r="Y209" s="79"/>
      <c r="AC209" s="130"/>
      <c r="AE209" s="106"/>
    </row>
    <row r="210">
      <c r="C210" s="79"/>
      <c r="D210" s="79"/>
      <c r="E210" s="79"/>
      <c r="O210" s="79"/>
      <c r="S210" s="79"/>
      <c r="T210" s="79"/>
      <c r="Y210" s="79"/>
      <c r="AC210" s="130"/>
      <c r="AE210" s="106"/>
    </row>
    <row r="211">
      <c r="C211" s="79"/>
      <c r="D211" s="79"/>
      <c r="E211" s="79"/>
      <c r="O211" s="79"/>
      <c r="S211" s="79"/>
      <c r="T211" s="79"/>
      <c r="Y211" s="79"/>
      <c r="AC211" s="130"/>
      <c r="AE211" s="106"/>
    </row>
    <row r="212">
      <c r="C212" s="79"/>
      <c r="D212" s="79"/>
      <c r="E212" s="79"/>
      <c r="O212" s="79"/>
      <c r="S212" s="79"/>
      <c r="T212" s="79"/>
      <c r="Y212" s="79"/>
      <c r="AC212" s="130"/>
      <c r="AE212" s="106"/>
    </row>
    <row r="213">
      <c r="C213" s="79"/>
      <c r="D213" s="79"/>
      <c r="E213" s="79"/>
      <c r="O213" s="79"/>
      <c r="S213" s="79"/>
      <c r="T213" s="79"/>
      <c r="Y213" s="79"/>
      <c r="AC213" s="130"/>
      <c r="AE213" s="106"/>
    </row>
    <row r="214">
      <c r="C214" s="79"/>
      <c r="D214" s="79"/>
      <c r="E214" s="79"/>
      <c r="O214" s="79"/>
      <c r="S214" s="79"/>
      <c r="T214" s="79"/>
      <c r="Y214" s="79"/>
      <c r="AC214" s="130"/>
      <c r="AE214" s="106"/>
    </row>
    <row r="215">
      <c r="C215" s="79"/>
      <c r="D215" s="79"/>
      <c r="E215" s="79"/>
      <c r="O215" s="79"/>
      <c r="S215" s="79"/>
      <c r="T215" s="79"/>
      <c r="Y215" s="79"/>
      <c r="AC215" s="130"/>
      <c r="AE215" s="106"/>
    </row>
    <row r="216">
      <c r="C216" s="79"/>
      <c r="D216" s="79"/>
      <c r="E216" s="79"/>
      <c r="O216" s="79"/>
      <c r="S216" s="79"/>
      <c r="T216" s="79"/>
      <c r="Y216" s="79"/>
      <c r="AC216" s="130"/>
      <c r="AE216" s="106"/>
    </row>
    <row r="217">
      <c r="C217" s="79"/>
      <c r="D217" s="79"/>
      <c r="E217" s="79"/>
      <c r="O217" s="79"/>
      <c r="S217" s="79"/>
      <c r="T217" s="79"/>
      <c r="Y217" s="79"/>
      <c r="AC217" s="130"/>
      <c r="AE217" s="106"/>
    </row>
    <row r="218">
      <c r="C218" s="79"/>
      <c r="D218" s="79"/>
      <c r="E218" s="79"/>
      <c r="O218" s="79"/>
      <c r="S218" s="79"/>
      <c r="T218" s="79"/>
      <c r="Y218" s="79"/>
      <c r="AC218" s="130"/>
      <c r="AE218" s="106"/>
    </row>
    <row r="219">
      <c r="C219" s="79"/>
      <c r="D219" s="79"/>
      <c r="E219" s="79"/>
      <c r="O219" s="79"/>
      <c r="S219" s="79"/>
      <c r="T219" s="79"/>
      <c r="Y219" s="79"/>
      <c r="AC219" s="130"/>
      <c r="AE219" s="106"/>
    </row>
    <row r="220">
      <c r="C220" s="79"/>
      <c r="D220" s="79"/>
      <c r="E220" s="79"/>
      <c r="O220" s="79"/>
      <c r="S220" s="79"/>
      <c r="T220" s="79"/>
      <c r="Y220" s="79"/>
      <c r="AC220" s="130"/>
      <c r="AE220" s="106"/>
    </row>
    <row r="221">
      <c r="C221" s="79"/>
      <c r="D221" s="79"/>
      <c r="E221" s="79"/>
      <c r="O221" s="79"/>
      <c r="S221" s="79"/>
      <c r="T221" s="79"/>
      <c r="Y221" s="79"/>
      <c r="AC221" s="130"/>
      <c r="AE221" s="106"/>
    </row>
    <row r="222">
      <c r="C222" s="79"/>
      <c r="D222" s="79"/>
      <c r="E222" s="79"/>
      <c r="O222" s="79"/>
      <c r="S222" s="79"/>
      <c r="T222" s="79"/>
      <c r="Y222" s="79"/>
      <c r="AC222" s="130"/>
      <c r="AE222" s="106"/>
    </row>
    <row r="223">
      <c r="C223" s="79"/>
      <c r="D223" s="79"/>
      <c r="E223" s="79"/>
      <c r="O223" s="79"/>
      <c r="S223" s="79"/>
      <c r="T223" s="79"/>
      <c r="Y223" s="79"/>
      <c r="AC223" s="130"/>
      <c r="AE223" s="106"/>
    </row>
    <row r="224">
      <c r="C224" s="79"/>
      <c r="D224" s="79"/>
      <c r="E224" s="79"/>
      <c r="O224" s="79"/>
      <c r="S224" s="79"/>
      <c r="T224" s="79"/>
      <c r="Y224" s="79"/>
      <c r="AC224" s="130"/>
      <c r="AE224" s="106"/>
    </row>
    <row r="225">
      <c r="C225" s="79"/>
      <c r="D225" s="79"/>
      <c r="E225" s="79"/>
      <c r="O225" s="79"/>
      <c r="S225" s="79"/>
      <c r="T225" s="79"/>
      <c r="Y225" s="79"/>
      <c r="AC225" s="130"/>
      <c r="AE225" s="106"/>
    </row>
    <row r="226">
      <c r="C226" s="79"/>
      <c r="D226" s="79"/>
      <c r="E226" s="79"/>
      <c r="O226" s="79"/>
      <c r="S226" s="79"/>
      <c r="T226" s="79"/>
      <c r="Y226" s="79"/>
      <c r="AC226" s="130"/>
      <c r="AE226" s="106"/>
    </row>
    <row r="227">
      <c r="C227" s="79"/>
      <c r="D227" s="79"/>
      <c r="E227" s="79"/>
      <c r="O227" s="79"/>
      <c r="S227" s="79"/>
      <c r="T227" s="79"/>
      <c r="Y227" s="79"/>
      <c r="AC227" s="130"/>
      <c r="AE227" s="106"/>
    </row>
    <row r="228">
      <c r="C228" s="79"/>
      <c r="D228" s="79"/>
      <c r="E228" s="79"/>
      <c r="O228" s="79"/>
      <c r="S228" s="79"/>
      <c r="T228" s="79"/>
      <c r="Y228" s="79"/>
      <c r="AC228" s="130"/>
      <c r="AE228" s="106"/>
    </row>
    <row r="229">
      <c r="C229" s="79"/>
      <c r="D229" s="79"/>
      <c r="E229" s="79"/>
      <c r="O229" s="79"/>
      <c r="S229" s="79"/>
      <c r="T229" s="79"/>
      <c r="Y229" s="79"/>
      <c r="AC229" s="130"/>
      <c r="AE229" s="106"/>
    </row>
    <row r="230">
      <c r="C230" s="79"/>
      <c r="D230" s="79"/>
      <c r="E230" s="79"/>
      <c r="O230" s="79"/>
      <c r="S230" s="79"/>
      <c r="T230" s="79"/>
      <c r="Y230" s="79"/>
      <c r="AC230" s="130"/>
      <c r="AE230" s="106"/>
    </row>
    <row r="231">
      <c r="C231" s="79"/>
      <c r="D231" s="79"/>
      <c r="E231" s="79"/>
      <c r="O231" s="79"/>
      <c r="S231" s="79"/>
      <c r="T231" s="79"/>
      <c r="Y231" s="79"/>
      <c r="AC231" s="130"/>
      <c r="AE231" s="106"/>
    </row>
    <row r="232">
      <c r="C232" s="79"/>
      <c r="D232" s="79"/>
      <c r="E232" s="79"/>
      <c r="O232" s="79"/>
      <c r="S232" s="79"/>
      <c r="T232" s="79"/>
      <c r="Y232" s="79"/>
      <c r="AC232" s="130"/>
      <c r="AE232" s="106"/>
    </row>
    <row r="233">
      <c r="C233" s="79"/>
      <c r="D233" s="79"/>
      <c r="E233" s="79"/>
      <c r="O233" s="79"/>
      <c r="S233" s="79"/>
      <c r="T233" s="79"/>
      <c r="Y233" s="79"/>
      <c r="AC233" s="130"/>
      <c r="AE233" s="106"/>
    </row>
    <row r="234">
      <c r="C234" s="79"/>
      <c r="D234" s="79"/>
      <c r="E234" s="79"/>
      <c r="O234" s="79"/>
      <c r="S234" s="79"/>
      <c r="T234" s="79"/>
      <c r="Y234" s="79"/>
      <c r="AC234" s="130"/>
      <c r="AE234" s="106"/>
    </row>
    <row r="235">
      <c r="C235" s="79"/>
      <c r="D235" s="79"/>
      <c r="E235" s="79"/>
      <c r="O235" s="79"/>
      <c r="S235" s="79"/>
      <c r="T235" s="79"/>
      <c r="Y235" s="79"/>
      <c r="AC235" s="130"/>
      <c r="AE235" s="106"/>
    </row>
    <row r="236">
      <c r="C236" s="79"/>
      <c r="D236" s="79"/>
      <c r="E236" s="79"/>
      <c r="O236" s="79"/>
      <c r="S236" s="79"/>
      <c r="T236" s="79"/>
      <c r="Y236" s="79"/>
      <c r="AC236" s="130"/>
      <c r="AE236" s="106"/>
    </row>
    <row r="237">
      <c r="C237" s="79"/>
      <c r="D237" s="79"/>
      <c r="E237" s="79"/>
      <c r="O237" s="79"/>
      <c r="S237" s="79"/>
      <c r="T237" s="79"/>
      <c r="Y237" s="79"/>
      <c r="AC237" s="130"/>
      <c r="AE237" s="106"/>
    </row>
    <row r="238">
      <c r="C238" s="79"/>
      <c r="D238" s="79"/>
      <c r="E238" s="79"/>
      <c r="O238" s="79"/>
      <c r="S238" s="79"/>
      <c r="T238" s="79"/>
      <c r="Y238" s="79"/>
      <c r="AC238" s="130"/>
      <c r="AE238" s="106"/>
    </row>
    <row r="239">
      <c r="C239" s="79"/>
      <c r="D239" s="79"/>
      <c r="E239" s="79"/>
      <c r="O239" s="79"/>
      <c r="S239" s="79"/>
      <c r="T239" s="79"/>
      <c r="Y239" s="79"/>
      <c r="AC239" s="130"/>
      <c r="AE239" s="106"/>
    </row>
    <row r="240">
      <c r="C240" s="79"/>
      <c r="D240" s="79"/>
      <c r="E240" s="79"/>
      <c r="O240" s="79"/>
      <c r="S240" s="79"/>
      <c r="T240" s="79"/>
      <c r="Y240" s="79"/>
      <c r="AC240" s="130"/>
      <c r="AE240" s="106"/>
    </row>
    <row r="241">
      <c r="C241" s="79"/>
      <c r="D241" s="79"/>
      <c r="E241" s="79"/>
      <c r="O241" s="79"/>
      <c r="S241" s="79"/>
      <c r="T241" s="79"/>
      <c r="Y241" s="79"/>
      <c r="AC241" s="130"/>
      <c r="AE241" s="106"/>
    </row>
    <row r="242">
      <c r="C242" s="79"/>
      <c r="D242" s="79"/>
      <c r="E242" s="79"/>
      <c r="O242" s="79"/>
      <c r="S242" s="79"/>
      <c r="T242" s="79"/>
      <c r="Y242" s="79"/>
      <c r="AC242" s="130"/>
      <c r="AE242" s="106"/>
    </row>
    <row r="243">
      <c r="C243" s="79"/>
      <c r="D243" s="79"/>
      <c r="E243" s="79"/>
      <c r="O243" s="79"/>
      <c r="S243" s="79"/>
      <c r="T243" s="79"/>
      <c r="Y243" s="79"/>
      <c r="AC243" s="130"/>
      <c r="AE243" s="106"/>
    </row>
    <row r="244">
      <c r="C244" s="79"/>
      <c r="D244" s="79"/>
      <c r="E244" s="79"/>
      <c r="O244" s="79"/>
      <c r="S244" s="79"/>
      <c r="T244" s="79"/>
      <c r="Y244" s="79"/>
      <c r="AC244" s="130"/>
      <c r="AE244" s="106"/>
    </row>
    <row r="245">
      <c r="C245" s="79"/>
      <c r="D245" s="79"/>
      <c r="E245" s="79"/>
      <c r="O245" s="79"/>
      <c r="S245" s="79"/>
      <c r="T245" s="79"/>
      <c r="Y245" s="79"/>
      <c r="AC245" s="130"/>
      <c r="AE245" s="106"/>
    </row>
    <row r="246">
      <c r="C246" s="79"/>
      <c r="D246" s="79"/>
      <c r="E246" s="79"/>
      <c r="O246" s="79"/>
      <c r="S246" s="79"/>
      <c r="T246" s="79"/>
      <c r="Y246" s="79"/>
      <c r="AC246" s="130"/>
      <c r="AE246" s="106"/>
    </row>
    <row r="247">
      <c r="C247" s="79"/>
      <c r="D247" s="79"/>
      <c r="E247" s="79"/>
      <c r="O247" s="79"/>
      <c r="S247" s="79"/>
      <c r="T247" s="79"/>
      <c r="Y247" s="79"/>
      <c r="AC247" s="130"/>
      <c r="AE247" s="106"/>
    </row>
    <row r="248">
      <c r="C248" s="79"/>
      <c r="D248" s="79"/>
      <c r="E248" s="79"/>
      <c r="O248" s="79"/>
      <c r="S248" s="79"/>
      <c r="T248" s="79"/>
      <c r="Y248" s="79"/>
      <c r="AC248" s="130"/>
      <c r="AE248" s="106"/>
    </row>
    <row r="249">
      <c r="C249" s="79"/>
      <c r="D249" s="79"/>
      <c r="E249" s="79"/>
      <c r="O249" s="79"/>
      <c r="S249" s="79"/>
      <c r="T249" s="79"/>
      <c r="Y249" s="79"/>
      <c r="AC249" s="130"/>
      <c r="AE249" s="106"/>
    </row>
    <row r="250">
      <c r="C250" s="79"/>
      <c r="D250" s="79"/>
      <c r="E250" s="79"/>
      <c r="O250" s="79"/>
      <c r="S250" s="79"/>
      <c r="T250" s="79"/>
      <c r="Y250" s="79"/>
      <c r="AC250" s="130"/>
      <c r="AE250" s="106"/>
    </row>
    <row r="251">
      <c r="C251" s="79"/>
      <c r="D251" s="79"/>
      <c r="E251" s="79"/>
      <c r="O251" s="79"/>
      <c r="S251" s="79"/>
      <c r="T251" s="79"/>
      <c r="Y251" s="79"/>
      <c r="AC251" s="130"/>
      <c r="AE251" s="106"/>
    </row>
    <row r="252">
      <c r="C252" s="79"/>
      <c r="D252" s="79"/>
      <c r="E252" s="79"/>
      <c r="O252" s="79"/>
      <c r="S252" s="79"/>
      <c r="T252" s="79"/>
      <c r="Y252" s="79"/>
      <c r="AC252" s="130"/>
      <c r="AE252" s="106"/>
    </row>
    <row r="253">
      <c r="C253" s="79"/>
      <c r="D253" s="79"/>
      <c r="E253" s="79"/>
      <c r="O253" s="79"/>
      <c r="S253" s="79"/>
      <c r="T253" s="79"/>
      <c r="Y253" s="79"/>
      <c r="AC253" s="130"/>
      <c r="AE253" s="106"/>
    </row>
    <row r="254">
      <c r="C254" s="79"/>
      <c r="D254" s="79"/>
      <c r="E254" s="79"/>
      <c r="O254" s="79"/>
      <c r="S254" s="79"/>
      <c r="T254" s="79"/>
      <c r="Y254" s="79"/>
      <c r="AC254" s="130"/>
      <c r="AE254" s="106"/>
    </row>
    <row r="255">
      <c r="C255" s="79"/>
      <c r="D255" s="79"/>
      <c r="E255" s="79"/>
      <c r="O255" s="79"/>
      <c r="S255" s="79"/>
      <c r="T255" s="79"/>
      <c r="Y255" s="79"/>
      <c r="AC255" s="130"/>
      <c r="AE255" s="106"/>
    </row>
    <row r="256">
      <c r="C256" s="79"/>
      <c r="D256" s="79"/>
      <c r="E256" s="79"/>
      <c r="O256" s="79"/>
      <c r="S256" s="79"/>
      <c r="T256" s="79"/>
      <c r="Y256" s="79"/>
      <c r="AC256" s="130"/>
      <c r="AE256" s="106"/>
    </row>
    <row r="257">
      <c r="C257" s="79"/>
      <c r="D257" s="79"/>
      <c r="E257" s="79"/>
      <c r="O257" s="79"/>
      <c r="S257" s="79"/>
      <c r="T257" s="79"/>
      <c r="Y257" s="79"/>
      <c r="AC257" s="130"/>
      <c r="AE257" s="106"/>
    </row>
    <row r="258">
      <c r="C258" s="79"/>
      <c r="D258" s="79"/>
      <c r="E258" s="79"/>
      <c r="O258" s="79"/>
      <c r="S258" s="79"/>
      <c r="T258" s="79"/>
      <c r="Y258" s="79"/>
      <c r="AC258" s="130"/>
      <c r="AE258" s="106"/>
    </row>
    <row r="259">
      <c r="C259" s="79"/>
      <c r="D259" s="79"/>
      <c r="E259" s="79"/>
      <c r="O259" s="79"/>
      <c r="S259" s="79"/>
      <c r="T259" s="79"/>
      <c r="Y259" s="79"/>
      <c r="AC259" s="130"/>
      <c r="AE259" s="106"/>
    </row>
    <row r="260">
      <c r="C260" s="79"/>
      <c r="D260" s="79"/>
      <c r="E260" s="79"/>
      <c r="O260" s="79"/>
      <c r="S260" s="79"/>
      <c r="T260" s="79"/>
      <c r="Y260" s="79"/>
      <c r="AC260" s="130"/>
      <c r="AE260" s="106"/>
    </row>
    <row r="261">
      <c r="C261" s="79"/>
      <c r="D261" s="79"/>
      <c r="E261" s="79"/>
      <c r="O261" s="79"/>
      <c r="S261" s="79"/>
      <c r="T261" s="79"/>
      <c r="Y261" s="79"/>
      <c r="AC261" s="130"/>
      <c r="AE261" s="106"/>
    </row>
    <row r="262">
      <c r="C262" s="79"/>
      <c r="D262" s="79"/>
      <c r="E262" s="79"/>
      <c r="O262" s="79"/>
      <c r="S262" s="79"/>
      <c r="T262" s="79"/>
      <c r="Y262" s="79"/>
      <c r="AC262" s="130"/>
      <c r="AE262" s="106"/>
    </row>
    <row r="263">
      <c r="C263" s="79"/>
      <c r="D263" s="79"/>
      <c r="E263" s="79"/>
      <c r="O263" s="79"/>
      <c r="S263" s="79"/>
      <c r="T263" s="79"/>
      <c r="Y263" s="79"/>
      <c r="AC263" s="130"/>
      <c r="AE263" s="106"/>
    </row>
    <row r="264">
      <c r="C264" s="79"/>
      <c r="D264" s="79"/>
      <c r="E264" s="79"/>
      <c r="O264" s="79"/>
      <c r="S264" s="79"/>
      <c r="T264" s="79"/>
      <c r="Y264" s="79"/>
      <c r="AC264" s="130"/>
      <c r="AE264" s="106"/>
    </row>
    <row r="265">
      <c r="C265" s="79"/>
      <c r="D265" s="79"/>
      <c r="E265" s="79"/>
      <c r="O265" s="79"/>
      <c r="S265" s="79"/>
      <c r="T265" s="79"/>
      <c r="Y265" s="79"/>
      <c r="AC265" s="130"/>
      <c r="AE265" s="106"/>
    </row>
    <row r="266">
      <c r="C266" s="79"/>
      <c r="D266" s="79"/>
      <c r="E266" s="79"/>
      <c r="O266" s="79"/>
      <c r="S266" s="79"/>
      <c r="T266" s="79"/>
      <c r="Y266" s="79"/>
      <c r="AC266" s="130"/>
      <c r="AE266" s="106"/>
    </row>
    <row r="267">
      <c r="C267" s="79"/>
      <c r="D267" s="79"/>
      <c r="E267" s="79"/>
      <c r="O267" s="79"/>
      <c r="S267" s="79"/>
      <c r="T267" s="79"/>
      <c r="Y267" s="79"/>
      <c r="AC267" s="130"/>
      <c r="AE267" s="106"/>
    </row>
    <row r="268">
      <c r="C268" s="79"/>
      <c r="D268" s="79"/>
      <c r="E268" s="79"/>
      <c r="O268" s="79"/>
      <c r="S268" s="79"/>
      <c r="T268" s="79"/>
      <c r="Y268" s="79"/>
      <c r="AC268" s="130"/>
      <c r="AE268" s="106"/>
    </row>
    <row r="269">
      <c r="C269" s="79"/>
      <c r="D269" s="79"/>
      <c r="E269" s="79"/>
      <c r="O269" s="79"/>
      <c r="S269" s="79"/>
      <c r="T269" s="79"/>
      <c r="Y269" s="79"/>
      <c r="AC269" s="130"/>
      <c r="AE269" s="106"/>
    </row>
    <row r="270">
      <c r="C270" s="79"/>
      <c r="D270" s="79"/>
      <c r="E270" s="79"/>
      <c r="O270" s="79"/>
      <c r="S270" s="79"/>
      <c r="T270" s="79"/>
      <c r="Y270" s="79"/>
      <c r="AC270" s="130"/>
      <c r="AE270" s="106"/>
    </row>
    <row r="271">
      <c r="C271" s="79"/>
      <c r="D271" s="79"/>
      <c r="E271" s="79"/>
      <c r="O271" s="79"/>
      <c r="S271" s="79"/>
      <c r="T271" s="79"/>
      <c r="Y271" s="79"/>
      <c r="AC271" s="130"/>
      <c r="AE271" s="106"/>
    </row>
    <row r="272">
      <c r="C272" s="79"/>
      <c r="D272" s="79"/>
      <c r="E272" s="79"/>
      <c r="O272" s="79"/>
      <c r="S272" s="79"/>
      <c r="T272" s="79"/>
      <c r="Y272" s="79"/>
      <c r="AC272" s="130"/>
      <c r="AE272" s="106"/>
    </row>
    <row r="273">
      <c r="C273" s="79"/>
      <c r="D273" s="79"/>
      <c r="E273" s="79"/>
      <c r="O273" s="79"/>
      <c r="S273" s="79"/>
      <c r="T273" s="79"/>
      <c r="Y273" s="79"/>
      <c r="AC273" s="130"/>
      <c r="AE273" s="106"/>
    </row>
    <row r="274">
      <c r="C274" s="79"/>
      <c r="D274" s="79"/>
      <c r="E274" s="79"/>
      <c r="O274" s="79"/>
      <c r="S274" s="79"/>
      <c r="T274" s="79"/>
      <c r="Y274" s="79"/>
      <c r="AC274" s="130"/>
      <c r="AE274" s="106"/>
    </row>
    <row r="275">
      <c r="C275" s="79"/>
      <c r="D275" s="79"/>
      <c r="E275" s="79"/>
      <c r="O275" s="79"/>
      <c r="S275" s="79"/>
      <c r="T275" s="79"/>
      <c r="Y275" s="79"/>
      <c r="AC275" s="130"/>
      <c r="AE275" s="106"/>
    </row>
    <row r="276">
      <c r="C276" s="79"/>
      <c r="D276" s="79"/>
      <c r="E276" s="79"/>
      <c r="O276" s="79"/>
      <c r="S276" s="79"/>
      <c r="T276" s="79"/>
      <c r="Y276" s="79"/>
      <c r="AC276" s="130"/>
      <c r="AE276" s="106"/>
    </row>
    <row r="277">
      <c r="C277" s="79"/>
      <c r="D277" s="79"/>
      <c r="E277" s="79"/>
      <c r="O277" s="79"/>
      <c r="S277" s="79"/>
      <c r="T277" s="79"/>
      <c r="Y277" s="79"/>
      <c r="AC277" s="130"/>
      <c r="AE277" s="106"/>
    </row>
    <row r="278">
      <c r="C278" s="79"/>
      <c r="D278" s="79"/>
      <c r="E278" s="79"/>
      <c r="O278" s="79"/>
      <c r="S278" s="79"/>
      <c r="T278" s="79"/>
      <c r="Y278" s="79"/>
      <c r="AC278" s="130"/>
      <c r="AE278" s="106"/>
    </row>
    <row r="279">
      <c r="C279" s="79"/>
      <c r="D279" s="79"/>
      <c r="E279" s="79"/>
      <c r="O279" s="79"/>
      <c r="S279" s="79"/>
      <c r="T279" s="79"/>
      <c r="Y279" s="79"/>
      <c r="AC279" s="130"/>
      <c r="AE279" s="106"/>
    </row>
    <row r="280">
      <c r="C280" s="79"/>
      <c r="D280" s="79"/>
      <c r="E280" s="79"/>
      <c r="O280" s="79"/>
      <c r="S280" s="79"/>
      <c r="T280" s="79"/>
      <c r="Y280" s="79"/>
      <c r="AC280" s="130"/>
      <c r="AE280" s="106"/>
    </row>
    <row r="281">
      <c r="C281" s="79"/>
      <c r="D281" s="79"/>
      <c r="E281" s="79"/>
      <c r="O281" s="79"/>
      <c r="S281" s="79"/>
      <c r="T281" s="79"/>
      <c r="Y281" s="79"/>
      <c r="AC281" s="130"/>
      <c r="AE281" s="106"/>
    </row>
    <row r="282">
      <c r="C282" s="79"/>
      <c r="D282" s="79"/>
      <c r="E282" s="79"/>
      <c r="O282" s="79"/>
      <c r="S282" s="79"/>
      <c r="T282" s="79"/>
      <c r="Y282" s="79"/>
      <c r="AC282" s="130"/>
      <c r="AE282" s="106"/>
    </row>
    <row r="283">
      <c r="C283" s="79"/>
      <c r="D283" s="79"/>
      <c r="E283" s="79"/>
      <c r="O283" s="79"/>
      <c r="S283" s="79"/>
      <c r="T283" s="79"/>
      <c r="Y283" s="79"/>
      <c r="AC283" s="130"/>
      <c r="AE283" s="106"/>
    </row>
    <row r="284">
      <c r="C284" s="79"/>
      <c r="D284" s="79"/>
      <c r="E284" s="79"/>
      <c r="O284" s="79"/>
      <c r="S284" s="79"/>
      <c r="T284" s="79"/>
      <c r="Y284" s="79"/>
      <c r="AC284" s="130"/>
      <c r="AE284" s="106"/>
    </row>
    <row r="285">
      <c r="C285" s="79"/>
      <c r="D285" s="79"/>
      <c r="E285" s="79"/>
      <c r="O285" s="79"/>
      <c r="S285" s="79"/>
      <c r="T285" s="79"/>
      <c r="Y285" s="79"/>
      <c r="AC285" s="130"/>
      <c r="AE285" s="106"/>
    </row>
    <row r="286">
      <c r="C286" s="79"/>
      <c r="D286" s="79"/>
      <c r="E286" s="79"/>
      <c r="O286" s="79"/>
      <c r="S286" s="79"/>
      <c r="T286" s="79"/>
      <c r="Y286" s="79"/>
      <c r="AC286" s="130"/>
      <c r="AE286" s="106"/>
    </row>
    <row r="287">
      <c r="C287" s="79"/>
      <c r="D287" s="79"/>
      <c r="E287" s="79"/>
      <c r="O287" s="79"/>
      <c r="S287" s="79"/>
      <c r="T287" s="79"/>
      <c r="Y287" s="79"/>
      <c r="AC287" s="130"/>
      <c r="AE287" s="106"/>
    </row>
    <row r="288">
      <c r="C288" s="79"/>
      <c r="D288" s="79"/>
      <c r="E288" s="79"/>
      <c r="O288" s="79"/>
      <c r="S288" s="79"/>
      <c r="T288" s="79"/>
      <c r="Y288" s="79"/>
      <c r="AC288" s="130"/>
      <c r="AE288" s="106"/>
    </row>
    <row r="289">
      <c r="C289" s="79"/>
      <c r="D289" s="79"/>
      <c r="E289" s="79"/>
      <c r="O289" s="79"/>
      <c r="S289" s="79"/>
      <c r="T289" s="79"/>
      <c r="Y289" s="79"/>
      <c r="AC289" s="130"/>
      <c r="AE289" s="106"/>
    </row>
    <row r="290">
      <c r="C290" s="79"/>
      <c r="D290" s="79"/>
      <c r="E290" s="79"/>
      <c r="O290" s="79"/>
      <c r="S290" s="79"/>
      <c r="T290" s="79"/>
      <c r="Y290" s="79"/>
      <c r="AC290" s="130"/>
      <c r="AE290" s="106"/>
    </row>
    <row r="291">
      <c r="C291" s="79"/>
      <c r="D291" s="79"/>
      <c r="E291" s="79"/>
      <c r="O291" s="79"/>
      <c r="S291" s="79"/>
      <c r="T291" s="79"/>
      <c r="Y291" s="79"/>
      <c r="AC291" s="130"/>
      <c r="AE291" s="106"/>
    </row>
    <row r="292">
      <c r="C292" s="79"/>
      <c r="D292" s="79"/>
      <c r="E292" s="79"/>
      <c r="O292" s="79"/>
      <c r="S292" s="79"/>
      <c r="T292" s="79"/>
      <c r="Y292" s="79"/>
      <c r="AC292" s="130"/>
      <c r="AE292" s="106"/>
    </row>
    <row r="293">
      <c r="C293" s="79"/>
      <c r="D293" s="79"/>
      <c r="E293" s="79"/>
      <c r="O293" s="79"/>
      <c r="S293" s="79"/>
      <c r="T293" s="79"/>
      <c r="Y293" s="79"/>
      <c r="AC293" s="130"/>
      <c r="AE293" s="106"/>
    </row>
    <row r="294">
      <c r="C294" s="79"/>
      <c r="D294" s="79"/>
      <c r="E294" s="79"/>
      <c r="O294" s="79"/>
      <c r="S294" s="79"/>
      <c r="T294" s="79"/>
      <c r="Y294" s="79"/>
      <c r="AC294" s="130"/>
      <c r="AE294" s="106"/>
    </row>
    <row r="295">
      <c r="C295" s="79"/>
      <c r="D295" s="79"/>
      <c r="E295" s="79"/>
      <c r="O295" s="79"/>
      <c r="S295" s="79"/>
      <c r="T295" s="79"/>
      <c r="Y295" s="79"/>
      <c r="AC295" s="130"/>
      <c r="AE295" s="106"/>
    </row>
    <row r="296">
      <c r="C296" s="79"/>
      <c r="D296" s="79"/>
      <c r="E296" s="79"/>
      <c r="O296" s="79"/>
      <c r="S296" s="79"/>
      <c r="T296" s="79"/>
      <c r="Y296" s="79"/>
      <c r="AC296" s="130"/>
      <c r="AE296" s="106"/>
    </row>
    <row r="297">
      <c r="C297" s="79"/>
      <c r="D297" s="79"/>
      <c r="E297" s="79"/>
      <c r="O297" s="79"/>
      <c r="S297" s="79"/>
      <c r="T297" s="79"/>
      <c r="Y297" s="79"/>
      <c r="AC297" s="130"/>
      <c r="AE297" s="106"/>
    </row>
    <row r="298">
      <c r="C298" s="79"/>
      <c r="D298" s="79"/>
      <c r="E298" s="79"/>
      <c r="O298" s="79"/>
      <c r="S298" s="79"/>
      <c r="T298" s="79"/>
      <c r="Y298" s="79"/>
      <c r="AC298" s="130"/>
      <c r="AE298" s="106"/>
    </row>
    <row r="299">
      <c r="C299" s="79"/>
      <c r="D299" s="79"/>
      <c r="E299" s="79"/>
      <c r="O299" s="79"/>
      <c r="S299" s="79"/>
      <c r="T299" s="79"/>
      <c r="Y299" s="79"/>
      <c r="AC299" s="130"/>
      <c r="AE299" s="106"/>
    </row>
    <row r="300">
      <c r="C300" s="79"/>
      <c r="D300" s="79"/>
      <c r="E300" s="79"/>
      <c r="O300" s="79"/>
      <c r="S300" s="79"/>
      <c r="T300" s="79"/>
      <c r="Y300" s="79"/>
      <c r="AC300" s="130"/>
      <c r="AE300" s="106"/>
    </row>
    <row r="301">
      <c r="C301" s="79"/>
      <c r="D301" s="79"/>
      <c r="E301" s="79"/>
      <c r="O301" s="79"/>
      <c r="S301" s="79"/>
      <c r="T301" s="79"/>
      <c r="Y301" s="79"/>
      <c r="AC301" s="130"/>
      <c r="AE301" s="106"/>
    </row>
    <row r="302">
      <c r="C302" s="79"/>
      <c r="D302" s="79"/>
      <c r="E302" s="79"/>
      <c r="O302" s="79"/>
      <c r="S302" s="79"/>
      <c r="T302" s="79"/>
      <c r="Y302" s="79"/>
      <c r="AC302" s="130"/>
      <c r="AE302" s="106"/>
    </row>
    <row r="303">
      <c r="C303" s="79"/>
      <c r="D303" s="79"/>
      <c r="E303" s="79"/>
      <c r="O303" s="79"/>
      <c r="S303" s="79"/>
      <c r="T303" s="79"/>
      <c r="Y303" s="79"/>
      <c r="AC303" s="130"/>
      <c r="AE303" s="106"/>
    </row>
    <row r="304">
      <c r="C304" s="79"/>
      <c r="D304" s="79"/>
      <c r="E304" s="79"/>
      <c r="O304" s="79"/>
      <c r="S304" s="79"/>
      <c r="T304" s="79"/>
      <c r="Y304" s="79"/>
      <c r="AC304" s="130"/>
      <c r="AE304" s="106"/>
    </row>
    <row r="305">
      <c r="C305" s="79"/>
      <c r="D305" s="79"/>
      <c r="E305" s="79"/>
      <c r="O305" s="79"/>
      <c r="S305" s="79"/>
      <c r="T305" s="79"/>
      <c r="Y305" s="79"/>
      <c r="AC305" s="130"/>
      <c r="AE305" s="106"/>
    </row>
    <row r="306">
      <c r="C306" s="79"/>
      <c r="D306" s="79"/>
      <c r="E306" s="79"/>
      <c r="O306" s="79"/>
      <c r="S306" s="79"/>
      <c r="T306" s="79"/>
      <c r="Y306" s="79"/>
      <c r="AC306" s="130"/>
      <c r="AE306" s="106"/>
    </row>
    <row r="307">
      <c r="C307" s="79"/>
      <c r="D307" s="79"/>
      <c r="E307" s="79"/>
      <c r="O307" s="79"/>
      <c r="S307" s="79"/>
      <c r="T307" s="79"/>
      <c r="Y307" s="79"/>
      <c r="AC307" s="130"/>
      <c r="AE307" s="106"/>
    </row>
    <row r="308">
      <c r="C308" s="79"/>
      <c r="D308" s="79"/>
      <c r="E308" s="79"/>
      <c r="O308" s="79"/>
      <c r="S308" s="79"/>
      <c r="T308" s="79"/>
      <c r="Y308" s="79"/>
      <c r="AC308" s="130"/>
      <c r="AE308" s="106"/>
    </row>
    <row r="309">
      <c r="C309" s="79"/>
      <c r="D309" s="79"/>
      <c r="E309" s="79"/>
      <c r="O309" s="79"/>
      <c r="S309" s="79"/>
      <c r="T309" s="79"/>
      <c r="Y309" s="79"/>
      <c r="AC309" s="130"/>
      <c r="AE309" s="106"/>
    </row>
    <row r="310">
      <c r="C310" s="79"/>
      <c r="D310" s="79"/>
      <c r="E310" s="79"/>
      <c r="O310" s="79"/>
      <c r="S310" s="79"/>
      <c r="T310" s="79"/>
      <c r="Y310" s="79"/>
      <c r="AC310" s="130"/>
      <c r="AE310" s="106"/>
    </row>
    <row r="311">
      <c r="C311" s="79"/>
      <c r="D311" s="79"/>
      <c r="E311" s="79"/>
      <c r="O311" s="79"/>
      <c r="S311" s="79"/>
      <c r="T311" s="79"/>
      <c r="Y311" s="79"/>
      <c r="AC311" s="130"/>
      <c r="AE311" s="106"/>
    </row>
    <row r="312">
      <c r="C312" s="79"/>
      <c r="D312" s="79"/>
      <c r="E312" s="79"/>
      <c r="O312" s="79"/>
      <c r="S312" s="79"/>
      <c r="T312" s="79"/>
      <c r="Y312" s="79"/>
      <c r="AC312" s="130"/>
      <c r="AE312" s="106"/>
    </row>
    <row r="313">
      <c r="C313" s="79"/>
      <c r="D313" s="79"/>
      <c r="E313" s="79"/>
      <c r="O313" s="79"/>
      <c r="S313" s="79"/>
      <c r="T313" s="79"/>
      <c r="Y313" s="79"/>
      <c r="AC313" s="130"/>
      <c r="AE313" s="106"/>
    </row>
    <row r="314">
      <c r="C314" s="79"/>
      <c r="D314" s="79"/>
      <c r="E314" s="79"/>
      <c r="O314" s="79"/>
      <c r="S314" s="79"/>
      <c r="T314" s="79"/>
      <c r="Y314" s="79"/>
      <c r="AC314" s="130"/>
      <c r="AE314" s="106"/>
    </row>
    <row r="315">
      <c r="C315" s="79"/>
      <c r="D315" s="79"/>
      <c r="E315" s="79"/>
      <c r="O315" s="79"/>
      <c r="S315" s="79"/>
      <c r="T315" s="79"/>
      <c r="Y315" s="79"/>
      <c r="AC315" s="130"/>
      <c r="AE315" s="106"/>
    </row>
    <row r="316">
      <c r="C316" s="79"/>
      <c r="D316" s="79"/>
      <c r="E316" s="79"/>
      <c r="O316" s="79"/>
      <c r="S316" s="79"/>
      <c r="T316" s="79"/>
      <c r="Y316" s="79"/>
      <c r="AC316" s="130"/>
      <c r="AE316" s="106"/>
    </row>
    <row r="317">
      <c r="C317" s="79"/>
      <c r="D317" s="79"/>
      <c r="E317" s="79"/>
      <c r="O317" s="79"/>
      <c r="S317" s="79"/>
      <c r="T317" s="79"/>
      <c r="Y317" s="79"/>
      <c r="AC317" s="130"/>
      <c r="AE317" s="106"/>
    </row>
    <row r="318">
      <c r="C318" s="79"/>
      <c r="D318" s="79"/>
      <c r="E318" s="79"/>
      <c r="O318" s="79"/>
      <c r="S318" s="79"/>
      <c r="T318" s="79"/>
      <c r="Y318" s="79"/>
      <c r="AC318" s="130"/>
      <c r="AE318" s="106"/>
    </row>
    <row r="319">
      <c r="C319" s="79"/>
      <c r="D319" s="79"/>
      <c r="E319" s="79"/>
      <c r="O319" s="79"/>
      <c r="S319" s="79"/>
      <c r="T319" s="79"/>
      <c r="Y319" s="79"/>
      <c r="AC319" s="130"/>
      <c r="AE319" s="106"/>
    </row>
    <row r="320">
      <c r="C320" s="79"/>
      <c r="D320" s="79"/>
      <c r="E320" s="79"/>
      <c r="O320" s="79"/>
      <c r="S320" s="79"/>
      <c r="T320" s="79"/>
      <c r="Y320" s="79"/>
      <c r="AC320" s="130"/>
      <c r="AE320" s="106"/>
    </row>
    <row r="321">
      <c r="C321" s="79"/>
      <c r="D321" s="79"/>
      <c r="E321" s="79"/>
      <c r="O321" s="79"/>
      <c r="S321" s="79"/>
      <c r="T321" s="79"/>
      <c r="Y321" s="79"/>
      <c r="AC321" s="130"/>
      <c r="AE321" s="106"/>
    </row>
    <row r="322">
      <c r="C322" s="79"/>
      <c r="D322" s="79"/>
      <c r="E322" s="79"/>
      <c r="O322" s="79"/>
      <c r="S322" s="79"/>
      <c r="T322" s="79"/>
      <c r="Y322" s="79"/>
      <c r="AC322" s="130"/>
      <c r="AE322" s="106"/>
    </row>
    <row r="323">
      <c r="C323" s="79"/>
      <c r="D323" s="79"/>
      <c r="E323" s="79"/>
      <c r="O323" s="79"/>
      <c r="S323" s="79"/>
      <c r="T323" s="79"/>
      <c r="Y323" s="79"/>
      <c r="AC323" s="130"/>
      <c r="AE323" s="106"/>
    </row>
    <row r="324">
      <c r="C324" s="79"/>
      <c r="D324" s="79"/>
      <c r="E324" s="79"/>
      <c r="O324" s="79"/>
      <c r="S324" s="79"/>
      <c r="T324" s="79"/>
      <c r="Y324" s="79"/>
      <c r="AC324" s="130"/>
      <c r="AE324" s="106"/>
    </row>
    <row r="325">
      <c r="C325" s="79"/>
      <c r="D325" s="79"/>
      <c r="E325" s="79"/>
      <c r="O325" s="79"/>
      <c r="S325" s="79"/>
      <c r="T325" s="79"/>
      <c r="Y325" s="79"/>
      <c r="AC325" s="130"/>
      <c r="AE325" s="106"/>
    </row>
    <row r="326">
      <c r="C326" s="79"/>
      <c r="D326" s="79"/>
      <c r="E326" s="79"/>
      <c r="O326" s="79"/>
      <c r="S326" s="79"/>
      <c r="T326" s="79"/>
      <c r="Y326" s="79"/>
      <c r="AC326" s="130"/>
      <c r="AE326" s="106"/>
    </row>
    <row r="327">
      <c r="C327" s="79"/>
      <c r="D327" s="79"/>
      <c r="E327" s="79"/>
      <c r="O327" s="79"/>
      <c r="S327" s="79"/>
      <c r="T327" s="79"/>
      <c r="Y327" s="79"/>
      <c r="AC327" s="130"/>
      <c r="AE327" s="106"/>
    </row>
    <row r="328">
      <c r="C328" s="79"/>
      <c r="D328" s="79"/>
      <c r="E328" s="79"/>
      <c r="O328" s="79"/>
      <c r="S328" s="79"/>
      <c r="T328" s="79"/>
      <c r="Y328" s="79"/>
      <c r="AC328" s="130"/>
      <c r="AE328" s="106"/>
    </row>
    <row r="329">
      <c r="C329" s="79"/>
      <c r="D329" s="79"/>
      <c r="E329" s="79"/>
      <c r="O329" s="79"/>
      <c r="S329" s="79"/>
      <c r="T329" s="79"/>
      <c r="Y329" s="79"/>
      <c r="AC329" s="130"/>
      <c r="AE329" s="106"/>
    </row>
    <row r="330">
      <c r="C330" s="79"/>
      <c r="D330" s="79"/>
      <c r="E330" s="79"/>
      <c r="O330" s="79"/>
      <c r="S330" s="79"/>
      <c r="T330" s="79"/>
      <c r="Y330" s="79"/>
      <c r="AC330" s="130"/>
      <c r="AE330" s="106"/>
    </row>
    <row r="331">
      <c r="C331" s="79"/>
      <c r="D331" s="79"/>
      <c r="E331" s="79"/>
      <c r="O331" s="79"/>
      <c r="S331" s="79"/>
      <c r="T331" s="79"/>
      <c r="Y331" s="79"/>
      <c r="AC331" s="130"/>
      <c r="AE331" s="106"/>
    </row>
    <row r="332">
      <c r="C332" s="79"/>
      <c r="D332" s="79"/>
      <c r="E332" s="79"/>
      <c r="O332" s="79"/>
      <c r="S332" s="79"/>
      <c r="T332" s="79"/>
      <c r="Y332" s="79"/>
      <c r="AC332" s="130"/>
      <c r="AE332" s="106"/>
    </row>
    <row r="333">
      <c r="C333" s="79"/>
      <c r="D333" s="79"/>
      <c r="E333" s="79"/>
      <c r="O333" s="79"/>
      <c r="S333" s="79"/>
      <c r="T333" s="79"/>
      <c r="Y333" s="79"/>
      <c r="AC333" s="130"/>
      <c r="AE333" s="106"/>
    </row>
    <row r="334">
      <c r="C334" s="79"/>
      <c r="D334" s="79"/>
      <c r="E334" s="79"/>
      <c r="O334" s="79"/>
      <c r="S334" s="79"/>
      <c r="T334" s="79"/>
      <c r="Y334" s="79"/>
      <c r="AC334" s="130"/>
      <c r="AE334" s="106"/>
    </row>
    <row r="335">
      <c r="C335" s="79"/>
      <c r="D335" s="79"/>
      <c r="E335" s="79"/>
      <c r="O335" s="79"/>
      <c r="S335" s="79"/>
      <c r="T335" s="79"/>
      <c r="Y335" s="79"/>
      <c r="AC335" s="130"/>
      <c r="AE335" s="106"/>
    </row>
    <row r="336">
      <c r="C336" s="79"/>
      <c r="D336" s="79"/>
      <c r="E336" s="79"/>
      <c r="O336" s="79"/>
      <c r="S336" s="79"/>
      <c r="T336" s="79"/>
      <c r="Y336" s="79"/>
      <c r="AC336" s="130"/>
      <c r="AE336" s="106"/>
    </row>
    <row r="337">
      <c r="C337" s="79"/>
      <c r="D337" s="79"/>
      <c r="E337" s="79"/>
      <c r="O337" s="79"/>
      <c r="S337" s="79"/>
      <c r="T337" s="79"/>
      <c r="Y337" s="79"/>
      <c r="AC337" s="130"/>
      <c r="AE337" s="106"/>
    </row>
    <row r="338">
      <c r="C338" s="79"/>
      <c r="D338" s="79"/>
      <c r="E338" s="79"/>
      <c r="O338" s="79"/>
      <c r="S338" s="79"/>
      <c r="T338" s="79"/>
      <c r="Y338" s="79"/>
      <c r="AC338" s="130"/>
      <c r="AE338" s="106"/>
    </row>
    <row r="339">
      <c r="C339" s="79"/>
      <c r="D339" s="79"/>
      <c r="E339" s="79"/>
      <c r="O339" s="79"/>
      <c r="S339" s="79"/>
      <c r="T339" s="79"/>
      <c r="Y339" s="79"/>
      <c r="AC339" s="130"/>
      <c r="AE339" s="106"/>
    </row>
    <row r="340">
      <c r="C340" s="79"/>
      <c r="D340" s="79"/>
      <c r="E340" s="79"/>
      <c r="O340" s="79"/>
      <c r="S340" s="79"/>
      <c r="T340" s="79"/>
      <c r="Y340" s="79"/>
      <c r="AC340" s="130"/>
      <c r="AE340" s="106"/>
    </row>
    <row r="341">
      <c r="C341" s="79"/>
      <c r="D341" s="79"/>
      <c r="E341" s="79"/>
      <c r="O341" s="79"/>
      <c r="S341" s="79"/>
      <c r="T341" s="79"/>
      <c r="Y341" s="79"/>
      <c r="AC341" s="130"/>
      <c r="AE341" s="106"/>
    </row>
    <row r="342">
      <c r="C342" s="79"/>
      <c r="D342" s="79"/>
      <c r="E342" s="79"/>
      <c r="O342" s="79"/>
      <c r="S342" s="79"/>
      <c r="T342" s="79"/>
      <c r="Y342" s="79"/>
      <c r="AC342" s="130"/>
      <c r="AE342" s="106"/>
    </row>
    <row r="343">
      <c r="C343" s="79"/>
      <c r="D343" s="79"/>
      <c r="E343" s="79"/>
      <c r="O343" s="79"/>
      <c r="S343" s="79"/>
      <c r="T343" s="79"/>
      <c r="Y343" s="79"/>
      <c r="AC343" s="130"/>
      <c r="AE343" s="106"/>
    </row>
    <row r="344">
      <c r="C344" s="79"/>
      <c r="D344" s="79"/>
      <c r="E344" s="79"/>
      <c r="O344" s="79"/>
      <c r="S344" s="79"/>
      <c r="T344" s="79"/>
      <c r="Y344" s="79"/>
      <c r="AC344" s="130"/>
      <c r="AE344" s="106"/>
    </row>
    <row r="345">
      <c r="C345" s="79"/>
      <c r="D345" s="79"/>
      <c r="E345" s="79"/>
      <c r="O345" s="79"/>
      <c r="S345" s="79"/>
      <c r="T345" s="79"/>
      <c r="Y345" s="79"/>
      <c r="AC345" s="130"/>
      <c r="AE345" s="106"/>
    </row>
    <row r="346">
      <c r="C346" s="79"/>
      <c r="D346" s="79"/>
      <c r="E346" s="79"/>
      <c r="O346" s="79"/>
      <c r="S346" s="79"/>
      <c r="T346" s="79"/>
      <c r="Y346" s="79"/>
      <c r="AC346" s="130"/>
      <c r="AE346" s="106"/>
    </row>
    <row r="347">
      <c r="C347" s="79"/>
      <c r="D347" s="79"/>
      <c r="E347" s="79"/>
      <c r="O347" s="79"/>
      <c r="S347" s="79"/>
      <c r="T347" s="79"/>
      <c r="Y347" s="79"/>
      <c r="AC347" s="130"/>
      <c r="AE347" s="106"/>
    </row>
    <row r="348">
      <c r="C348" s="79"/>
      <c r="D348" s="79"/>
      <c r="E348" s="79"/>
      <c r="O348" s="79"/>
      <c r="S348" s="79"/>
      <c r="T348" s="79"/>
      <c r="Y348" s="79"/>
      <c r="AC348" s="130"/>
      <c r="AE348" s="106"/>
    </row>
    <row r="349">
      <c r="C349" s="79"/>
      <c r="D349" s="79"/>
      <c r="E349" s="79"/>
      <c r="O349" s="79"/>
      <c r="S349" s="79"/>
      <c r="T349" s="79"/>
      <c r="Y349" s="79"/>
      <c r="AC349" s="130"/>
      <c r="AE349" s="106"/>
    </row>
    <row r="350">
      <c r="C350" s="79"/>
      <c r="D350" s="79"/>
      <c r="E350" s="79"/>
      <c r="O350" s="79"/>
      <c r="S350" s="79"/>
      <c r="T350" s="79"/>
      <c r="Y350" s="79"/>
      <c r="AC350" s="130"/>
      <c r="AE350" s="106"/>
    </row>
    <row r="351">
      <c r="C351" s="79"/>
      <c r="D351" s="79"/>
      <c r="E351" s="79"/>
      <c r="O351" s="79"/>
      <c r="S351" s="79"/>
      <c r="T351" s="79"/>
      <c r="Y351" s="79"/>
      <c r="AC351" s="130"/>
      <c r="AE351" s="106"/>
    </row>
    <row r="352">
      <c r="C352" s="79"/>
      <c r="D352" s="79"/>
      <c r="E352" s="79"/>
      <c r="O352" s="79"/>
      <c r="S352" s="79"/>
      <c r="T352" s="79"/>
      <c r="Y352" s="79"/>
      <c r="AC352" s="130"/>
      <c r="AE352" s="106"/>
    </row>
    <row r="353">
      <c r="C353" s="79"/>
      <c r="D353" s="79"/>
      <c r="E353" s="79"/>
      <c r="O353" s="79"/>
      <c r="S353" s="79"/>
      <c r="T353" s="79"/>
      <c r="Y353" s="79"/>
      <c r="AC353" s="130"/>
      <c r="AE353" s="106"/>
    </row>
    <row r="354">
      <c r="C354" s="79"/>
      <c r="D354" s="79"/>
      <c r="E354" s="79"/>
      <c r="O354" s="79"/>
      <c r="S354" s="79"/>
      <c r="T354" s="79"/>
      <c r="Y354" s="79"/>
      <c r="AC354" s="130"/>
      <c r="AE354" s="106"/>
    </row>
    <row r="355">
      <c r="C355" s="79"/>
      <c r="D355" s="79"/>
      <c r="E355" s="79"/>
      <c r="O355" s="79"/>
      <c r="S355" s="79"/>
      <c r="T355" s="79"/>
      <c r="Y355" s="79"/>
      <c r="AC355" s="130"/>
      <c r="AE355" s="106"/>
    </row>
    <row r="356">
      <c r="C356" s="79"/>
      <c r="D356" s="79"/>
      <c r="E356" s="79"/>
      <c r="O356" s="79"/>
      <c r="S356" s="79"/>
      <c r="T356" s="79"/>
      <c r="Y356" s="79"/>
      <c r="AC356" s="130"/>
      <c r="AE356" s="106"/>
    </row>
    <row r="357">
      <c r="C357" s="79"/>
      <c r="D357" s="79"/>
      <c r="E357" s="79"/>
      <c r="O357" s="79"/>
      <c r="S357" s="79"/>
      <c r="T357" s="79"/>
      <c r="Y357" s="79"/>
      <c r="AC357" s="130"/>
      <c r="AE357" s="106"/>
    </row>
    <row r="358">
      <c r="C358" s="79"/>
      <c r="D358" s="79"/>
      <c r="E358" s="79"/>
      <c r="O358" s="79"/>
      <c r="S358" s="79"/>
      <c r="T358" s="79"/>
      <c r="Y358" s="79"/>
      <c r="AC358" s="130"/>
      <c r="AE358" s="106"/>
    </row>
    <row r="359">
      <c r="C359" s="79"/>
      <c r="D359" s="79"/>
      <c r="E359" s="79"/>
      <c r="O359" s="79"/>
      <c r="S359" s="79"/>
      <c r="T359" s="79"/>
      <c r="Y359" s="79"/>
      <c r="AC359" s="130"/>
      <c r="AE359" s="106"/>
    </row>
    <row r="360">
      <c r="C360" s="79"/>
      <c r="D360" s="79"/>
      <c r="E360" s="79"/>
      <c r="O360" s="79"/>
      <c r="S360" s="79"/>
      <c r="T360" s="79"/>
      <c r="Y360" s="79"/>
      <c r="AC360" s="130"/>
      <c r="AE360" s="106"/>
    </row>
    <row r="361">
      <c r="C361" s="79"/>
      <c r="D361" s="79"/>
      <c r="E361" s="79"/>
      <c r="O361" s="79"/>
      <c r="S361" s="79"/>
      <c r="T361" s="79"/>
      <c r="Y361" s="79"/>
      <c r="AC361" s="130"/>
      <c r="AE361" s="106"/>
    </row>
    <row r="362">
      <c r="C362" s="79"/>
      <c r="D362" s="79"/>
      <c r="E362" s="79"/>
      <c r="O362" s="79"/>
      <c r="S362" s="79"/>
      <c r="T362" s="79"/>
      <c r="Y362" s="79"/>
      <c r="AC362" s="130"/>
      <c r="AE362" s="106"/>
    </row>
    <row r="363">
      <c r="C363" s="79"/>
      <c r="D363" s="79"/>
      <c r="E363" s="79"/>
      <c r="O363" s="79"/>
      <c r="S363" s="79"/>
      <c r="T363" s="79"/>
      <c r="Y363" s="79"/>
      <c r="AC363" s="130"/>
      <c r="AE363" s="106"/>
    </row>
    <row r="364">
      <c r="C364" s="79"/>
      <c r="D364" s="79"/>
      <c r="E364" s="79"/>
      <c r="O364" s="79"/>
      <c r="S364" s="79"/>
      <c r="T364" s="79"/>
      <c r="Y364" s="79"/>
      <c r="AC364" s="130"/>
      <c r="AE364" s="106"/>
    </row>
    <row r="365">
      <c r="C365" s="79"/>
      <c r="D365" s="79"/>
      <c r="E365" s="79"/>
      <c r="O365" s="79"/>
      <c r="S365" s="79"/>
      <c r="T365" s="79"/>
      <c r="Y365" s="79"/>
      <c r="AC365" s="130"/>
      <c r="AE365" s="106"/>
    </row>
    <row r="366">
      <c r="C366" s="79"/>
      <c r="D366" s="79"/>
      <c r="E366" s="79"/>
      <c r="O366" s="79"/>
      <c r="S366" s="79"/>
      <c r="T366" s="79"/>
      <c r="Y366" s="79"/>
      <c r="AC366" s="130"/>
      <c r="AE366" s="106"/>
    </row>
    <row r="367">
      <c r="C367" s="79"/>
      <c r="D367" s="79"/>
      <c r="E367" s="79"/>
      <c r="O367" s="79"/>
      <c r="S367" s="79"/>
      <c r="T367" s="79"/>
      <c r="Y367" s="79"/>
      <c r="AC367" s="130"/>
      <c r="AE367" s="106"/>
    </row>
    <row r="368">
      <c r="C368" s="79"/>
      <c r="D368" s="79"/>
      <c r="E368" s="79"/>
      <c r="O368" s="79"/>
      <c r="S368" s="79"/>
      <c r="T368" s="79"/>
      <c r="Y368" s="79"/>
      <c r="AC368" s="130"/>
      <c r="AE368" s="106"/>
    </row>
    <row r="369">
      <c r="C369" s="79"/>
      <c r="D369" s="79"/>
      <c r="E369" s="79"/>
      <c r="O369" s="79"/>
      <c r="S369" s="79"/>
      <c r="T369" s="79"/>
      <c r="Y369" s="79"/>
      <c r="AC369" s="130"/>
      <c r="AE369" s="106"/>
    </row>
    <row r="370">
      <c r="C370" s="79"/>
      <c r="D370" s="79"/>
      <c r="E370" s="79"/>
      <c r="O370" s="79"/>
      <c r="S370" s="79"/>
      <c r="T370" s="79"/>
      <c r="Y370" s="79"/>
      <c r="AC370" s="130"/>
      <c r="AE370" s="106"/>
    </row>
    <row r="371">
      <c r="C371" s="79"/>
      <c r="D371" s="79"/>
      <c r="E371" s="79"/>
      <c r="O371" s="79"/>
      <c r="S371" s="79"/>
      <c r="T371" s="79"/>
      <c r="Y371" s="79"/>
      <c r="AC371" s="130"/>
      <c r="AE371" s="106"/>
    </row>
    <row r="372">
      <c r="C372" s="79"/>
      <c r="D372" s="79"/>
      <c r="E372" s="79"/>
      <c r="O372" s="79"/>
      <c r="S372" s="79"/>
      <c r="T372" s="79"/>
      <c r="Y372" s="79"/>
      <c r="AC372" s="130"/>
      <c r="AE372" s="106"/>
    </row>
    <row r="373">
      <c r="C373" s="79"/>
      <c r="D373" s="79"/>
      <c r="E373" s="79"/>
      <c r="O373" s="79"/>
      <c r="S373" s="79"/>
      <c r="T373" s="79"/>
      <c r="Y373" s="79"/>
      <c r="AC373" s="130"/>
      <c r="AE373" s="106"/>
    </row>
    <row r="374">
      <c r="C374" s="79"/>
      <c r="D374" s="79"/>
      <c r="E374" s="79"/>
      <c r="O374" s="79"/>
      <c r="S374" s="79"/>
      <c r="T374" s="79"/>
      <c r="Y374" s="79"/>
      <c r="AC374" s="130"/>
      <c r="AE374" s="106"/>
    </row>
    <row r="375">
      <c r="C375" s="79"/>
      <c r="D375" s="79"/>
      <c r="E375" s="79"/>
      <c r="O375" s="79"/>
      <c r="S375" s="79"/>
      <c r="T375" s="79"/>
      <c r="Y375" s="79"/>
      <c r="AC375" s="130"/>
      <c r="AE375" s="106"/>
    </row>
    <row r="376">
      <c r="C376" s="79"/>
      <c r="D376" s="79"/>
      <c r="E376" s="79"/>
      <c r="O376" s="79"/>
      <c r="S376" s="79"/>
      <c r="T376" s="79"/>
      <c r="Y376" s="79"/>
      <c r="AC376" s="130"/>
      <c r="AE376" s="106"/>
    </row>
    <row r="377">
      <c r="C377" s="79"/>
      <c r="D377" s="79"/>
      <c r="E377" s="79"/>
      <c r="O377" s="79"/>
      <c r="S377" s="79"/>
      <c r="T377" s="79"/>
      <c r="Y377" s="79"/>
      <c r="AC377" s="130"/>
      <c r="AE377" s="106"/>
    </row>
    <row r="378">
      <c r="C378" s="79"/>
      <c r="D378" s="79"/>
      <c r="E378" s="79"/>
      <c r="O378" s="79"/>
      <c r="S378" s="79"/>
      <c r="T378" s="79"/>
      <c r="Y378" s="79"/>
      <c r="AC378" s="130"/>
      <c r="AE378" s="106"/>
    </row>
    <row r="379">
      <c r="C379" s="79"/>
      <c r="D379" s="79"/>
      <c r="E379" s="79"/>
      <c r="O379" s="79"/>
      <c r="S379" s="79"/>
      <c r="T379" s="79"/>
      <c r="Y379" s="79"/>
      <c r="AC379" s="130"/>
      <c r="AE379" s="106"/>
    </row>
    <row r="380">
      <c r="C380" s="79"/>
      <c r="D380" s="79"/>
      <c r="E380" s="79"/>
      <c r="O380" s="79"/>
      <c r="S380" s="79"/>
      <c r="T380" s="79"/>
      <c r="Y380" s="79"/>
      <c r="AC380" s="130"/>
      <c r="AE380" s="106"/>
    </row>
    <row r="381">
      <c r="C381" s="79"/>
      <c r="D381" s="79"/>
      <c r="E381" s="79"/>
      <c r="O381" s="79"/>
      <c r="S381" s="79"/>
      <c r="T381" s="79"/>
      <c r="Y381" s="79"/>
      <c r="AC381" s="130"/>
      <c r="AE381" s="106"/>
    </row>
    <row r="382">
      <c r="C382" s="79"/>
      <c r="D382" s="79"/>
      <c r="E382" s="79"/>
      <c r="O382" s="79"/>
      <c r="S382" s="79"/>
      <c r="T382" s="79"/>
      <c r="Y382" s="79"/>
      <c r="AC382" s="130"/>
      <c r="AE382" s="106"/>
    </row>
    <row r="383">
      <c r="C383" s="79"/>
      <c r="D383" s="79"/>
      <c r="E383" s="79"/>
      <c r="O383" s="79"/>
      <c r="S383" s="79"/>
      <c r="T383" s="79"/>
      <c r="Y383" s="79"/>
      <c r="AC383" s="130"/>
      <c r="AE383" s="106"/>
    </row>
    <row r="384">
      <c r="C384" s="79"/>
      <c r="D384" s="79"/>
      <c r="E384" s="79"/>
      <c r="O384" s="79"/>
      <c r="S384" s="79"/>
      <c r="T384" s="79"/>
      <c r="Y384" s="79"/>
      <c r="AC384" s="130"/>
      <c r="AE384" s="106"/>
    </row>
    <row r="385">
      <c r="C385" s="79"/>
      <c r="D385" s="79"/>
      <c r="E385" s="79"/>
      <c r="O385" s="79"/>
      <c r="S385" s="79"/>
      <c r="T385" s="79"/>
      <c r="Y385" s="79"/>
      <c r="AC385" s="130"/>
      <c r="AE385" s="106"/>
    </row>
    <row r="386">
      <c r="C386" s="79"/>
      <c r="D386" s="79"/>
      <c r="E386" s="79"/>
      <c r="O386" s="79"/>
      <c r="S386" s="79"/>
      <c r="T386" s="79"/>
      <c r="Y386" s="79"/>
      <c r="AC386" s="130"/>
      <c r="AE386" s="106"/>
    </row>
    <row r="387">
      <c r="C387" s="79"/>
      <c r="D387" s="79"/>
      <c r="E387" s="79"/>
      <c r="O387" s="79"/>
      <c r="S387" s="79"/>
      <c r="T387" s="79"/>
      <c r="Y387" s="79"/>
      <c r="AC387" s="130"/>
      <c r="AE387" s="106"/>
    </row>
    <row r="388">
      <c r="C388" s="79"/>
      <c r="D388" s="79"/>
      <c r="E388" s="79"/>
      <c r="O388" s="79"/>
      <c r="S388" s="79"/>
      <c r="T388" s="79"/>
      <c r="Y388" s="79"/>
      <c r="AC388" s="130"/>
      <c r="AE388" s="106"/>
    </row>
    <row r="389">
      <c r="C389" s="79"/>
      <c r="D389" s="79"/>
      <c r="E389" s="79"/>
      <c r="O389" s="79"/>
      <c r="S389" s="79"/>
      <c r="T389" s="79"/>
      <c r="Y389" s="79"/>
      <c r="AC389" s="130"/>
      <c r="AE389" s="106"/>
    </row>
    <row r="390">
      <c r="C390" s="79"/>
      <c r="D390" s="79"/>
      <c r="E390" s="79"/>
      <c r="O390" s="79"/>
      <c r="S390" s="79"/>
      <c r="T390" s="79"/>
      <c r="Y390" s="79"/>
      <c r="AC390" s="130"/>
      <c r="AE390" s="106"/>
    </row>
    <row r="391">
      <c r="C391" s="79"/>
      <c r="D391" s="79"/>
      <c r="E391" s="79"/>
      <c r="O391" s="79"/>
      <c r="S391" s="79"/>
      <c r="T391" s="79"/>
      <c r="Y391" s="79"/>
      <c r="AC391" s="130"/>
      <c r="AE391" s="106"/>
    </row>
    <row r="392">
      <c r="C392" s="79"/>
      <c r="D392" s="79"/>
      <c r="E392" s="79"/>
      <c r="O392" s="79"/>
      <c r="S392" s="79"/>
      <c r="T392" s="79"/>
      <c r="Y392" s="79"/>
      <c r="AC392" s="130"/>
      <c r="AE392" s="106"/>
    </row>
    <row r="393">
      <c r="C393" s="79"/>
      <c r="D393" s="79"/>
      <c r="E393" s="79"/>
      <c r="O393" s="79"/>
      <c r="S393" s="79"/>
      <c r="T393" s="79"/>
      <c r="Y393" s="79"/>
      <c r="AC393" s="130"/>
      <c r="AE393" s="106"/>
    </row>
    <row r="394">
      <c r="C394" s="79"/>
      <c r="D394" s="79"/>
      <c r="E394" s="79"/>
      <c r="O394" s="79"/>
      <c r="S394" s="79"/>
      <c r="T394" s="79"/>
      <c r="Y394" s="79"/>
      <c r="AC394" s="130"/>
      <c r="AE394" s="106"/>
    </row>
    <row r="395">
      <c r="C395" s="79"/>
      <c r="D395" s="79"/>
      <c r="E395" s="79"/>
      <c r="O395" s="79"/>
      <c r="S395" s="79"/>
      <c r="T395" s="79"/>
      <c r="Y395" s="79"/>
      <c r="AC395" s="130"/>
      <c r="AE395" s="106"/>
    </row>
    <row r="396">
      <c r="C396" s="79"/>
      <c r="D396" s="79"/>
      <c r="E396" s="79"/>
      <c r="O396" s="79"/>
      <c r="S396" s="79"/>
      <c r="T396" s="79"/>
      <c r="Y396" s="79"/>
      <c r="AC396" s="130"/>
      <c r="AE396" s="106"/>
    </row>
    <row r="397">
      <c r="C397" s="79"/>
      <c r="D397" s="79"/>
      <c r="E397" s="79"/>
      <c r="O397" s="79"/>
      <c r="S397" s="79"/>
      <c r="T397" s="79"/>
      <c r="Y397" s="79"/>
      <c r="AC397" s="130"/>
      <c r="AE397" s="106"/>
    </row>
    <row r="398">
      <c r="C398" s="79"/>
      <c r="D398" s="79"/>
      <c r="E398" s="79"/>
      <c r="O398" s="79"/>
      <c r="S398" s="79"/>
      <c r="T398" s="79"/>
      <c r="Y398" s="79"/>
      <c r="AC398" s="130"/>
      <c r="AE398" s="106"/>
    </row>
    <row r="399">
      <c r="C399" s="79"/>
      <c r="D399" s="79"/>
      <c r="E399" s="79"/>
      <c r="O399" s="79"/>
      <c r="S399" s="79"/>
      <c r="T399" s="79"/>
      <c r="Y399" s="79"/>
      <c r="AC399" s="130"/>
      <c r="AE399" s="106"/>
    </row>
    <row r="400">
      <c r="C400" s="79"/>
      <c r="D400" s="79"/>
      <c r="E400" s="79"/>
      <c r="O400" s="79"/>
      <c r="S400" s="79"/>
      <c r="T400" s="79"/>
      <c r="Y400" s="79"/>
      <c r="AC400" s="130"/>
      <c r="AE400" s="106"/>
    </row>
    <row r="401">
      <c r="C401" s="79"/>
      <c r="D401" s="79"/>
      <c r="E401" s="79"/>
      <c r="O401" s="79"/>
      <c r="S401" s="79"/>
      <c r="T401" s="79"/>
      <c r="Y401" s="79"/>
      <c r="AC401" s="130"/>
      <c r="AE401" s="106"/>
    </row>
    <row r="402">
      <c r="C402" s="79"/>
      <c r="D402" s="79"/>
      <c r="E402" s="79"/>
      <c r="O402" s="79"/>
      <c r="S402" s="79"/>
      <c r="T402" s="79"/>
      <c r="Y402" s="79"/>
      <c r="AC402" s="130"/>
      <c r="AE402" s="106"/>
    </row>
    <row r="403">
      <c r="C403" s="79"/>
      <c r="D403" s="79"/>
      <c r="E403" s="79"/>
      <c r="O403" s="79"/>
      <c r="S403" s="79"/>
      <c r="T403" s="79"/>
      <c r="Y403" s="79"/>
      <c r="AC403" s="130"/>
      <c r="AE403" s="106"/>
    </row>
    <row r="404">
      <c r="C404" s="79"/>
      <c r="D404" s="79"/>
      <c r="E404" s="79"/>
      <c r="O404" s="79"/>
      <c r="S404" s="79"/>
      <c r="T404" s="79"/>
      <c r="Y404" s="79"/>
      <c r="AC404" s="130"/>
      <c r="AE404" s="106"/>
    </row>
    <row r="405">
      <c r="C405" s="79"/>
      <c r="D405" s="79"/>
      <c r="E405" s="79"/>
      <c r="O405" s="79"/>
      <c r="S405" s="79"/>
      <c r="T405" s="79"/>
      <c r="Y405" s="79"/>
      <c r="AC405" s="130"/>
      <c r="AE405" s="106"/>
    </row>
    <row r="406">
      <c r="C406" s="79"/>
      <c r="D406" s="79"/>
      <c r="E406" s="79"/>
      <c r="O406" s="79"/>
      <c r="S406" s="79"/>
      <c r="T406" s="79"/>
      <c r="Y406" s="79"/>
      <c r="AC406" s="130"/>
      <c r="AE406" s="106"/>
    </row>
    <row r="407">
      <c r="C407" s="79"/>
      <c r="D407" s="79"/>
      <c r="E407" s="79"/>
      <c r="O407" s="79"/>
      <c r="S407" s="79"/>
      <c r="T407" s="79"/>
      <c r="Y407" s="79"/>
      <c r="AC407" s="130"/>
      <c r="AE407" s="106"/>
    </row>
    <row r="408">
      <c r="C408" s="79"/>
      <c r="D408" s="79"/>
      <c r="E408" s="79"/>
      <c r="O408" s="79"/>
      <c r="S408" s="79"/>
      <c r="T408" s="79"/>
      <c r="Y408" s="79"/>
      <c r="AC408" s="130"/>
      <c r="AE408" s="106"/>
    </row>
    <row r="409">
      <c r="C409" s="79"/>
      <c r="D409" s="79"/>
      <c r="E409" s="79"/>
      <c r="O409" s="79"/>
      <c r="S409" s="79"/>
      <c r="T409" s="79"/>
      <c r="Y409" s="79"/>
      <c r="AC409" s="130"/>
      <c r="AE409" s="106"/>
    </row>
    <row r="410">
      <c r="C410" s="79"/>
      <c r="D410" s="79"/>
      <c r="E410" s="79"/>
      <c r="O410" s="79"/>
      <c r="S410" s="79"/>
      <c r="T410" s="79"/>
      <c r="Y410" s="79"/>
      <c r="AC410" s="130"/>
      <c r="AE410" s="106"/>
    </row>
    <row r="411">
      <c r="C411" s="79"/>
      <c r="D411" s="79"/>
      <c r="E411" s="79"/>
      <c r="O411" s="79"/>
      <c r="S411" s="79"/>
      <c r="T411" s="79"/>
      <c r="Y411" s="79"/>
      <c r="AC411" s="130"/>
      <c r="AE411" s="106"/>
    </row>
    <row r="412">
      <c r="C412" s="79"/>
      <c r="D412" s="79"/>
      <c r="E412" s="79"/>
      <c r="O412" s="79"/>
      <c r="S412" s="79"/>
      <c r="T412" s="79"/>
      <c r="Y412" s="79"/>
      <c r="AC412" s="130"/>
      <c r="AE412" s="106"/>
    </row>
    <row r="413">
      <c r="C413" s="79"/>
      <c r="D413" s="79"/>
      <c r="E413" s="79"/>
      <c r="O413" s="79"/>
      <c r="S413" s="79"/>
      <c r="T413" s="79"/>
      <c r="Y413" s="79"/>
      <c r="AC413" s="130"/>
      <c r="AE413" s="106"/>
    </row>
    <row r="414">
      <c r="C414" s="79"/>
      <c r="D414" s="79"/>
      <c r="E414" s="79"/>
      <c r="O414" s="79"/>
      <c r="S414" s="79"/>
      <c r="T414" s="79"/>
      <c r="Y414" s="79"/>
      <c r="AC414" s="130"/>
      <c r="AE414" s="106"/>
    </row>
    <row r="415">
      <c r="C415" s="79"/>
      <c r="D415" s="79"/>
      <c r="E415" s="79"/>
      <c r="O415" s="79"/>
      <c r="S415" s="79"/>
      <c r="T415" s="79"/>
      <c r="Y415" s="79"/>
      <c r="AC415" s="130"/>
      <c r="AE415" s="106"/>
    </row>
    <row r="416">
      <c r="C416" s="79"/>
      <c r="D416" s="79"/>
      <c r="E416" s="79"/>
      <c r="O416" s="79"/>
      <c r="S416" s="79"/>
      <c r="T416" s="79"/>
      <c r="Y416" s="79"/>
      <c r="AC416" s="130"/>
      <c r="AE416" s="106"/>
    </row>
    <row r="417">
      <c r="C417" s="79"/>
      <c r="D417" s="79"/>
      <c r="E417" s="79"/>
      <c r="O417" s="79"/>
      <c r="S417" s="79"/>
      <c r="T417" s="79"/>
      <c r="Y417" s="79"/>
      <c r="AC417" s="130"/>
      <c r="AE417" s="106"/>
    </row>
    <row r="418">
      <c r="C418" s="79"/>
      <c r="D418" s="79"/>
      <c r="E418" s="79"/>
      <c r="O418" s="79"/>
      <c r="S418" s="79"/>
      <c r="T418" s="79"/>
      <c r="Y418" s="79"/>
      <c r="AC418" s="130"/>
      <c r="AE418" s="106"/>
    </row>
    <row r="419">
      <c r="C419" s="79"/>
      <c r="D419" s="79"/>
      <c r="E419" s="79"/>
      <c r="O419" s="79"/>
      <c r="S419" s="79"/>
      <c r="T419" s="79"/>
      <c r="Y419" s="79"/>
      <c r="AC419" s="130"/>
      <c r="AE419" s="106"/>
    </row>
    <row r="420">
      <c r="C420" s="79"/>
      <c r="D420" s="79"/>
      <c r="E420" s="79"/>
      <c r="O420" s="79"/>
      <c r="S420" s="79"/>
      <c r="T420" s="79"/>
      <c r="Y420" s="79"/>
      <c r="AC420" s="130"/>
      <c r="AE420" s="106"/>
    </row>
    <row r="421">
      <c r="C421" s="79"/>
      <c r="D421" s="79"/>
      <c r="E421" s="79"/>
      <c r="O421" s="79"/>
      <c r="S421" s="79"/>
      <c r="T421" s="79"/>
      <c r="Y421" s="79"/>
      <c r="AC421" s="130"/>
      <c r="AE421" s="106"/>
    </row>
    <row r="422">
      <c r="C422" s="79"/>
      <c r="D422" s="79"/>
      <c r="E422" s="79"/>
      <c r="O422" s="79"/>
      <c r="S422" s="79"/>
      <c r="T422" s="79"/>
      <c r="Y422" s="79"/>
      <c r="AC422" s="130"/>
      <c r="AE422" s="106"/>
    </row>
    <row r="423">
      <c r="C423" s="79"/>
      <c r="D423" s="79"/>
      <c r="E423" s="79"/>
      <c r="O423" s="79"/>
      <c r="S423" s="79"/>
      <c r="T423" s="79"/>
      <c r="Y423" s="79"/>
      <c r="AC423" s="130"/>
      <c r="AE423" s="106"/>
    </row>
    <row r="424">
      <c r="C424" s="79"/>
      <c r="D424" s="79"/>
      <c r="E424" s="79"/>
      <c r="O424" s="79"/>
      <c r="S424" s="79"/>
      <c r="T424" s="79"/>
      <c r="Y424" s="79"/>
      <c r="AC424" s="130"/>
      <c r="AE424" s="106"/>
    </row>
    <row r="425">
      <c r="C425" s="79"/>
      <c r="D425" s="79"/>
      <c r="E425" s="79"/>
      <c r="O425" s="79"/>
      <c r="S425" s="79"/>
      <c r="T425" s="79"/>
      <c r="Y425" s="79"/>
      <c r="AC425" s="130"/>
      <c r="AE425" s="106"/>
    </row>
    <row r="426">
      <c r="C426" s="79"/>
      <c r="D426" s="79"/>
      <c r="E426" s="79"/>
      <c r="O426" s="79"/>
      <c r="S426" s="79"/>
      <c r="T426" s="79"/>
      <c r="Y426" s="79"/>
      <c r="AC426" s="130"/>
      <c r="AE426" s="106"/>
    </row>
    <row r="427">
      <c r="C427" s="79"/>
      <c r="D427" s="79"/>
      <c r="E427" s="79"/>
      <c r="O427" s="79"/>
      <c r="S427" s="79"/>
      <c r="T427" s="79"/>
      <c r="Y427" s="79"/>
      <c r="AC427" s="130"/>
      <c r="AE427" s="106"/>
    </row>
    <row r="428">
      <c r="C428" s="79"/>
      <c r="D428" s="79"/>
      <c r="E428" s="79"/>
      <c r="O428" s="79"/>
      <c r="S428" s="79"/>
      <c r="T428" s="79"/>
      <c r="Y428" s="79"/>
      <c r="AC428" s="130"/>
      <c r="AE428" s="106"/>
    </row>
    <row r="429">
      <c r="C429" s="79"/>
      <c r="D429" s="79"/>
      <c r="E429" s="79"/>
      <c r="O429" s="79"/>
      <c r="S429" s="79"/>
      <c r="T429" s="79"/>
      <c r="Y429" s="79"/>
      <c r="AC429" s="130"/>
      <c r="AE429" s="106"/>
    </row>
    <row r="430">
      <c r="C430" s="79"/>
      <c r="D430" s="79"/>
      <c r="E430" s="79"/>
      <c r="O430" s="79"/>
      <c r="S430" s="79"/>
      <c r="T430" s="79"/>
      <c r="Y430" s="79"/>
      <c r="AC430" s="130"/>
      <c r="AE430" s="106"/>
    </row>
    <row r="431">
      <c r="C431" s="79"/>
      <c r="D431" s="79"/>
      <c r="E431" s="79"/>
      <c r="O431" s="79"/>
      <c r="S431" s="79"/>
      <c r="T431" s="79"/>
      <c r="Y431" s="79"/>
      <c r="AC431" s="130"/>
      <c r="AE431" s="106"/>
    </row>
    <row r="432">
      <c r="C432" s="79"/>
      <c r="D432" s="79"/>
      <c r="E432" s="79"/>
      <c r="O432" s="79"/>
      <c r="S432" s="79"/>
      <c r="T432" s="79"/>
      <c r="Y432" s="79"/>
      <c r="AC432" s="130"/>
      <c r="AE432" s="106"/>
    </row>
    <row r="433">
      <c r="C433" s="79"/>
      <c r="D433" s="79"/>
      <c r="E433" s="79"/>
      <c r="O433" s="79"/>
      <c r="S433" s="79"/>
      <c r="T433" s="79"/>
      <c r="Y433" s="79"/>
      <c r="AC433" s="130"/>
      <c r="AE433" s="106"/>
    </row>
    <row r="434">
      <c r="C434" s="79"/>
      <c r="D434" s="79"/>
      <c r="E434" s="79"/>
      <c r="O434" s="79"/>
      <c r="S434" s="79"/>
      <c r="T434" s="79"/>
      <c r="Y434" s="79"/>
      <c r="AC434" s="130"/>
      <c r="AE434" s="106"/>
    </row>
    <row r="435">
      <c r="C435" s="79"/>
      <c r="D435" s="79"/>
      <c r="E435" s="79"/>
      <c r="O435" s="79"/>
      <c r="S435" s="79"/>
      <c r="T435" s="79"/>
      <c r="Y435" s="79"/>
      <c r="AC435" s="130"/>
      <c r="AE435" s="106"/>
    </row>
    <row r="436">
      <c r="C436" s="79"/>
      <c r="D436" s="79"/>
      <c r="E436" s="79"/>
      <c r="O436" s="79"/>
      <c r="S436" s="79"/>
      <c r="T436" s="79"/>
      <c r="Y436" s="79"/>
      <c r="AC436" s="130"/>
      <c r="AE436" s="106"/>
    </row>
    <row r="437">
      <c r="C437" s="79"/>
      <c r="D437" s="79"/>
      <c r="E437" s="79"/>
      <c r="O437" s="79"/>
      <c r="S437" s="79"/>
      <c r="T437" s="79"/>
      <c r="Y437" s="79"/>
      <c r="AC437" s="130"/>
      <c r="AE437" s="106"/>
    </row>
    <row r="438">
      <c r="C438" s="79"/>
      <c r="D438" s="79"/>
      <c r="E438" s="79"/>
      <c r="O438" s="79"/>
      <c r="S438" s="79"/>
      <c r="T438" s="79"/>
      <c r="Y438" s="79"/>
      <c r="AC438" s="130"/>
      <c r="AE438" s="106"/>
    </row>
    <row r="439">
      <c r="C439" s="79"/>
      <c r="D439" s="79"/>
      <c r="E439" s="79"/>
      <c r="O439" s="79"/>
      <c r="S439" s="79"/>
      <c r="T439" s="79"/>
      <c r="Y439" s="79"/>
      <c r="AC439" s="130"/>
      <c r="AE439" s="106"/>
    </row>
    <row r="440">
      <c r="C440" s="79"/>
      <c r="D440" s="79"/>
      <c r="E440" s="79"/>
      <c r="O440" s="79"/>
      <c r="S440" s="79"/>
      <c r="T440" s="79"/>
      <c r="Y440" s="79"/>
      <c r="AC440" s="130"/>
      <c r="AE440" s="106"/>
    </row>
    <row r="441">
      <c r="C441" s="79"/>
      <c r="D441" s="79"/>
      <c r="E441" s="79"/>
      <c r="O441" s="79"/>
      <c r="S441" s="79"/>
      <c r="T441" s="79"/>
      <c r="Y441" s="79"/>
      <c r="AC441" s="130"/>
      <c r="AE441" s="106"/>
    </row>
    <row r="442">
      <c r="C442" s="79"/>
      <c r="D442" s="79"/>
      <c r="E442" s="79"/>
      <c r="O442" s="79"/>
      <c r="S442" s="79"/>
      <c r="T442" s="79"/>
      <c r="Y442" s="79"/>
      <c r="AC442" s="130"/>
      <c r="AE442" s="106"/>
    </row>
    <row r="443">
      <c r="C443" s="79"/>
      <c r="D443" s="79"/>
      <c r="E443" s="79"/>
      <c r="O443" s="79"/>
      <c r="S443" s="79"/>
      <c r="T443" s="79"/>
      <c r="Y443" s="79"/>
      <c r="AC443" s="130"/>
      <c r="AE443" s="106"/>
    </row>
    <row r="444">
      <c r="C444" s="79"/>
      <c r="D444" s="79"/>
      <c r="E444" s="79"/>
      <c r="O444" s="79"/>
      <c r="S444" s="79"/>
      <c r="T444" s="79"/>
      <c r="Y444" s="79"/>
      <c r="AC444" s="130"/>
      <c r="AE444" s="106"/>
    </row>
    <row r="445">
      <c r="C445" s="79"/>
      <c r="D445" s="79"/>
      <c r="E445" s="79"/>
      <c r="O445" s="79"/>
      <c r="S445" s="79"/>
      <c r="T445" s="79"/>
      <c r="Y445" s="79"/>
      <c r="AC445" s="130"/>
      <c r="AE445" s="106"/>
    </row>
    <row r="446">
      <c r="C446" s="79"/>
      <c r="D446" s="79"/>
      <c r="E446" s="79"/>
      <c r="O446" s="79"/>
      <c r="S446" s="79"/>
      <c r="T446" s="79"/>
      <c r="Y446" s="79"/>
      <c r="AC446" s="130"/>
      <c r="AE446" s="106"/>
    </row>
    <row r="447">
      <c r="C447" s="79"/>
      <c r="D447" s="79"/>
      <c r="E447" s="79"/>
      <c r="O447" s="79"/>
      <c r="S447" s="79"/>
      <c r="T447" s="79"/>
      <c r="Y447" s="79"/>
      <c r="AC447" s="130"/>
      <c r="AE447" s="106"/>
    </row>
    <row r="448">
      <c r="C448" s="79"/>
      <c r="D448" s="79"/>
      <c r="E448" s="79"/>
      <c r="O448" s="79"/>
      <c r="S448" s="79"/>
      <c r="T448" s="79"/>
      <c r="Y448" s="79"/>
      <c r="AC448" s="130"/>
      <c r="AE448" s="106"/>
    </row>
    <row r="449">
      <c r="C449" s="79"/>
      <c r="D449" s="79"/>
      <c r="E449" s="79"/>
      <c r="O449" s="79"/>
      <c r="S449" s="79"/>
      <c r="T449" s="79"/>
      <c r="Y449" s="79"/>
      <c r="AC449" s="130"/>
      <c r="AE449" s="106"/>
    </row>
    <row r="450">
      <c r="C450" s="79"/>
      <c r="D450" s="79"/>
      <c r="E450" s="79"/>
      <c r="O450" s="79"/>
      <c r="S450" s="79"/>
      <c r="T450" s="79"/>
      <c r="Y450" s="79"/>
      <c r="AC450" s="130"/>
      <c r="AE450" s="106"/>
    </row>
    <row r="451">
      <c r="C451" s="79"/>
      <c r="D451" s="79"/>
      <c r="E451" s="79"/>
      <c r="O451" s="79"/>
      <c r="S451" s="79"/>
      <c r="T451" s="79"/>
      <c r="Y451" s="79"/>
      <c r="AC451" s="130"/>
      <c r="AE451" s="106"/>
    </row>
    <row r="452">
      <c r="C452" s="79"/>
      <c r="D452" s="79"/>
      <c r="E452" s="79"/>
      <c r="O452" s="79"/>
      <c r="S452" s="79"/>
      <c r="T452" s="79"/>
      <c r="Y452" s="79"/>
      <c r="AC452" s="130"/>
      <c r="AE452" s="106"/>
    </row>
    <row r="453">
      <c r="C453" s="79"/>
      <c r="D453" s="79"/>
      <c r="E453" s="79"/>
      <c r="O453" s="79"/>
      <c r="S453" s="79"/>
      <c r="T453" s="79"/>
      <c r="Y453" s="79"/>
      <c r="AC453" s="130"/>
      <c r="AE453" s="106"/>
    </row>
    <row r="454">
      <c r="C454" s="79"/>
      <c r="D454" s="79"/>
      <c r="E454" s="79"/>
      <c r="O454" s="79"/>
      <c r="S454" s="79"/>
      <c r="T454" s="79"/>
      <c r="Y454" s="79"/>
      <c r="AC454" s="130"/>
      <c r="AE454" s="106"/>
    </row>
    <row r="455">
      <c r="C455" s="79"/>
      <c r="D455" s="79"/>
      <c r="E455" s="79"/>
      <c r="O455" s="79"/>
      <c r="S455" s="79"/>
      <c r="T455" s="79"/>
      <c r="Y455" s="79"/>
      <c r="AC455" s="130"/>
      <c r="AE455" s="106"/>
    </row>
    <row r="456">
      <c r="C456" s="79"/>
      <c r="D456" s="79"/>
      <c r="E456" s="79"/>
      <c r="O456" s="79"/>
      <c r="S456" s="79"/>
      <c r="T456" s="79"/>
      <c r="Y456" s="79"/>
      <c r="AC456" s="130"/>
      <c r="AE456" s="106"/>
    </row>
    <row r="457">
      <c r="C457" s="79"/>
      <c r="D457" s="79"/>
      <c r="E457" s="79"/>
      <c r="O457" s="79"/>
      <c r="S457" s="79"/>
      <c r="T457" s="79"/>
      <c r="Y457" s="79"/>
      <c r="AC457" s="130"/>
      <c r="AE457" s="106"/>
    </row>
    <row r="458">
      <c r="C458" s="79"/>
      <c r="D458" s="79"/>
      <c r="E458" s="79"/>
      <c r="O458" s="79"/>
      <c r="S458" s="79"/>
      <c r="T458" s="79"/>
      <c r="Y458" s="79"/>
      <c r="AC458" s="130"/>
      <c r="AE458" s="106"/>
    </row>
    <row r="459">
      <c r="C459" s="79"/>
      <c r="D459" s="79"/>
      <c r="E459" s="79"/>
      <c r="O459" s="79"/>
      <c r="S459" s="79"/>
      <c r="T459" s="79"/>
      <c r="Y459" s="79"/>
      <c r="AC459" s="130"/>
      <c r="AE459" s="106"/>
    </row>
    <row r="460">
      <c r="C460" s="79"/>
      <c r="D460" s="79"/>
      <c r="E460" s="79"/>
      <c r="O460" s="79"/>
      <c r="S460" s="79"/>
      <c r="T460" s="79"/>
      <c r="Y460" s="79"/>
      <c r="AC460" s="130"/>
      <c r="AE460" s="106"/>
    </row>
    <row r="461">
      <c r="C461" s="79"/>
      <c r="D461" s="79"/>
      <c r="E461" s="79"/>
      <c r="O461" s="79"/>
      <c r="S461" s="79"/>
      <c r="T461" s="79"/>
      <c r="Y461" s="79"/>
      <c r="AC461" s="130"/>
      <c r="AE461" s="106"/>
    </row>
    <row r="462">
      <c r="C462" s="79"/>
      <c r="D462" s="79"/>
      <c r="E462" s="79"/>
      <c r="O462" s="79"/>
      <c r="S462" s="79"/>
      <c r="T462" s="79"/>
      <c r="Y462" s="79"/>
      <c r="AC462" s="130"/>
      <c r="AE462" s="106"/>
    </row>
    <row r="463">
      <c r="C463" s="79"/>
      <c r="D463" s="79"/>
      <c r="E463" s="79"/>
      <c r="O463" s="79"/>
      <c r="S463" s="79"/>
      <c r="T463" s="79"/>
      <c r="Y463" s="79"/>
      <c r="AC463" s="130"/>
      <c r="AE463" s="106"/>
    </row>
    <row r="464">
      <c r="C464" s="79"/>
      <c r="D464" s="79"/>
      <c r="E464" s="79"/>
      <c r="O464" s="79"/>
      <c r="S464" s="79"/>
      <c r="T464" s="79"/>
      <c r="Y464" s="79"/>
      <c r="AC464" s="130"/>
      <c r="AE464" s="106"/>
    </row>
    <row r="465">
      <c r="C465" s="79"/>
      <c r="D465" s="79"/>
      <c r="E465" s="79"/>
      <c r="O465" s="79"/>
      <c r="S465" s="79"/>
      <c r="T465" s="79"/>
      <c r="Y465" s="79"/>
      <c r="AC465" s="130"/>
      <c r="AE465" s="106"/>
    </row>
    <row r="466">
      <c r="C466" s="79"/>
      <c r="D466" s="79"/>
      <c r="E466" s="79"/>
      <c r="O466" s="79"/>
      <c r="S466" s="79"/>
      <c r="T466" s="79"/>
      <c r="Y466" s="79"/>
      <c r="AC466" s="130"/>
      <c r="AE466" s="106"/>
    </row>
    <row r="467">
      <c r="C467" s="79"/>
      <c r="D467" s="79"/>
      <c r="E467" s="79"/>
      <c r="O467" s="79"/>
      <c r="S467" s="79"/>
      <c r="T467" s="79"/>
      <c r="Y467" s="79"/>
      <c r="AC467" s="130"/>
      <c r="AE467" s="106"/>
    </row>
    <row r="468">
      <c r="C468" s="79"/>
      <c r="D468" s="79"/>
      <c r="E468" s="79"/>
      <c r="O468" s="79"/>
      <c r="S468" s="79"/>
      <c r="T468" s="79"/>
      <c r="Y468" s="79"/>
      <c r="AC468" s="130"/>
      <c r="AE468" s="106"/>
    </row>
    <row r="469">
      <c r="C469" s="79"/>
      <c r="D469" s="79"/>
      <c r="E469" s="79"/>
      <c r="O469" s="79"/>
      <c r="S469" s="79"/>
      <c r="T469" s="79"/>
      <c r="Y469" s="79"/>
      <c r="AC469" s="130"/>
      <c r="AE469" s="106"/>
    </row>
    <row r="470">
      <c r="C470" s="79"/>
      <c r="D470" s="79"/>
      <c r="E470" s="79"/>
      <c r="O470" s="79"/>
      <c r="S470" s="79"/>
      <c r="T470" s="79"/>
      <c r="Y470" s="79"/>
      <c r="AC470" s="130"/>
      <c r="AE470" s="106"/>
    </row>
    <row r="471">
      <c r="C471" s="79"/>
      <c r="D471" s="79"/>
      <c r="E471" s="79"/>
      <c r="O471" s="79"/>
      <c r="S471" s="79"/>
      <c r="T471" s="79"/>
      <c r="Y471" s="79"/>
      <c r="AC471" s="130"/>
      <c r="AE471" s="106"/>
    </row>
    <row r="472">
      <c r="C472" s="79"/>
      <c r="D472" s="79"/>
      <c r="E472" s="79"/>
      <c r="O472" s="79"/>
      <c r="S472" s="79"/>
      <c r="T472" s="79"/>
      <c r="Y472" s="79"/>
      <c r="AC472" s="130"/>
      <c r="AE472" s="106"/>
    </row>
    <row r="473">
      <c r="C473" s="79"/>
      <c r="D473" s="79"/>
      <c r="E473" s="79"/>
      <c r="O473" s="79"/>
      <c r="S473" s="79"/>
      <c r="T473" s="79"/>
      <c r="Y473" s="79"/>
      <c r="AC473" s="130"/>
      <c r="AE473" s="106"/>
    </row>
    <row r="474">
      <c r="C474" s="79"/>
      <c r="D474" s="79"/>
      <c r="E474" s="79"/>
      <c r="O474" s="79"/>
      <c r="S474" s="79"/>
      <c r="T474" s="79"/>
      <c r="Y474" s="79"/>
      <c r="AC474" s="130"/>
      <c r="AE474" s="106"/>
    </row>
    <row r="475">
      <c r="C475" s="79"/>
      <c r="D475" s="79"/>
      <c r="E475" s="79"/>
      <c r="O475" s="79"/>
      <c r="S475" s="79"/>
      <c r="T475" s="79"/>
      <c r="Y475" s="79"/>
      <c r="AC475" s="130"/>
      <c r="AE475" s="106"/>
    </row>
    <row r="476">
      <c r="C476" s="79"/>
      <c r="D476" s="79"/>
      <c r="E476" s="79"/>
      <c r="O476" s="79"/>
      <c r="S476" s="79"/>
      <c r="T476" s="79"/>
      <c r="Y476" s="79"/>
      <c r="AC476" s="130"/>
      <c r="AE476" s="106"/>
    </row>
    <row r="477">
      <c r="C477" s="79"/>
      <c r="D477" s="79"/>
      <c r="E477" s="79"/>
      <c r="O477" s="79"/>
      <c r="S477" s="79"/>
      <c r="T477" s="79"/>
      <c r="Y477" s="79"/>
      <c r="AC477" s="130"/>
      <c r="AE477" s="106"/>
    </row>
    <row r="478">
      <c r="C478" s="79"/>
      <c r="D478" s="79"/>
      <c r="E478" s="79"/>
      <c r="O478" s="79"/>
      <c r="S478" s="79"/>
      <c r="T478" s="79"/>
      <c r="Y478" s="79"/>
      <c r="AC478" s="130"/>
      <c r="AE478" s="106"/>
    </row>
    <row r="479">
      <c r="C479" s="79"/>
      <c r="D479" s="79"/>
      <c r="E479" s="79"/>
      <c r="O479" s="79"/>
      <c r="S479" s="79"/>
      <c r="T479" s="79"/>
      <c r="Y479" s="79"/>
      <c r="AC479" s="130"/>
      <c r="AE479" s="106"/>
    </row>
    <row r="480">
      <c r="C480" s="79"/>
      <c r="D480" s="79"/>
      <c r="E480" s="79"/>
      <c r="O480" s="79"/>
      <c r="S480" s="79"/>
      <c r="T480" s="79"/>
      <c r="Y480" s="79"/>
      <c r="AC480" s="130"/>
      <c r="AE480" s="106"/>
    </row>
    <row r="481">
      <c r="C481" s="79"/>
      <c r="D481" s="79"/>
      <c r="E481" s="79"/>
      <c r="O481" s="79"/>
      <c r="S481" s="79"/>
      <c r="T481" s="79"/>
      <c r="Y481" s="79"/>
      <c r="AC481" s="130"/>
      <c r="AE481" s="106"/>
    </row>
    <row r="482">
      <c r="C482" s="79"/>
      <c r="D482" s="79"/>
      <c r="E482" s="79"/>
      <c r="O482" s="79"/>
      <c r="S482" s="79"/>
      <c r="T482" s="79"/>
      <c r="Y482" s="79"/>
      <c r="AC482" s="130"/>
      <c r="AE482" s="106"/>
    </row>
    <row r="483">
      <c r="C483" s="79"/>
      <c r="D483" s="79"/>
      <c r="E483" s="79"/>
      <c r="O483" s="79"/>
      <c r="S483" s="79"/>
      <c r="T483" s="79"/>
      <c r="Y483" s="79"/>
      <c r="AC483" s="130"/>
      <c r="AE483" s="106"/>
    </row>
    <row r="484">
      <c r="C484" s="79"/>
      <c r="D484" s="79"/>
      <c r="E484" s="79"/>
      <c r="O484" s="79"/>
      <c r="S484" s="79"/>
      <c r="T484" s="79"/>
      <c r="Y484" s="79"/>
      <c r="AC484" s="130"/>
      <c r="AE484" s="106"/>
    </row>
    <row r="485">
      <c r="C485" s="79"/>
      <c r="D485" s="79"/>
      <c r="E485" s="79"/>
      <c r="O485" s="79"/>
      <c r="S485" s="79"/>
      <c r="T485" s="79"/>
      <c r="Y485" s="79"/>
      <c r="AC485" s="130"/>
      <c r="AE485" s="106"/>
    </row>
    <row r="486">
      <c r="C486" s="79"/>
      <c r="D486" s="79"/>
      <c r="E486" s="79"/>
      <c r="O486" s="79"/>
      <c r="S486" s="79"/>
      <c r="T486" s="79"/>
      <c r="Y486" s="79"/>
      <c r="AC486" s="130"/>
      <c r="AE486" s="106"/>
    </row>
    <row r="487">
      <c r="C487" s="79"/>
      <c r="D487" s="79"/>
      <c r="E487" s="79"/>
      <c r="O487" s="79"/>
      <c r="S487" s="79"/>
      <c r="T487" s="79"/>
      <c r="Y487" s="79"/>
      <c r="AC487" s="130"/>
      <c r="AE487" s="106"/>
    </row>
    <row r="488">
      <c r="C488" s="79"/>
      <c r="D488" s="79"/>
      <c r="E488" s="79"/>
      <c r="O488" s="79"/>
      <c r="S488" s="79"/>
      <c r="T488" s="79"/>
      <c r="Y488" s="79"/>
      <c r="AC488" s="130"/>
      <c r="AE488" s="106"/>
    </row>
    <row r="489">
      <c r="C489" s="79"/>
      <c r="D489" s="79"/>
      <c r="E489" s="79"/>
      <c r="O489" s="79"/>
      <c r="S489" s="79"/>
      <c r="T489" s="79"/>
      <c r="Y489" s="79"/>
      <c r="AC489" s="130"/>
      <c r="AE489" s="106"/>
    </row>
    <row r="490">
      <c r="C490" s="79"/>
      <c r="D490" s="79"/>
      <c r="E490" s="79"/>
      <c r="O490" s="79"/>
      <c r="S490" s="79"/>
      <c r="T490" s="79"/>
      <c r="Y490" s="79"/>
      <c r="AC490" s="130"/>
      <c r="AE490" s="106"/>
    </row>
    <row r="491">
      <c r="C491" s="79"/>
      <c r="D491" s="79"/>
      <c r="E491" s="79"/>
      <c r="O491" s="79"/>
      <c r="S491" s="79"/>
      <c r="T491" s="79"/>
      <c r="Y491" s="79"/>
      <c r="AC491" s="130"/>
      <c r="AE491" s="106"/>
    </row>
    <row r="492">
      <c r="C492" s="79"/>
      <c r="D492" s="79"/>
      <c r="E492" s="79"/>
      <c r="O492" s="79"/>
      <c r="S492" s="79"/>
      <c r="T492" s="79"/>
      <c r="Y492" s="79"/>
      <c r="AC492" s="130"/>
      <c r="AE492" s="106"/>
    </row>
    <row r="493">
      <c r="C493" s="79"/>
      <c r="D493" s="79"/>
      <c r="E493" s="79"/>
      <c r="O493" s="79"/>
      <c r="S493" s="79"/>
      <c r="T493" s="79"/>
      <c r="Y493" s="79"/>
      <c r="AC493" s="130"/>
      <c r="AE493" s="106"/>
    </row>
    <row r="494">
      <c r="C494" s="79"/>
      <c r="D494" s="79"/>
      <c r="E494" s="79"/>
      <c r="O494" s="79"/>
      <c r="S494" s="79"/>
      <c r="T494" s="79"/>
      <c r="Y494" s="79"/>
      <c r="AC494" s="130"/>
      <c r="AE494" s="106"/>
    </row>
    <row r="495">
      <c r="C495" s="79"/>
      <c r="D495" s="79"/>
      <c r="E495" s="79"/>
      <c r="O495" s="79"/>
      <c r="S495" s="79"/>
      <c r="T495" s="79"/>
      <c r="Y495" s="79"/>
      <c r="AC495" s="130"/>
      <c r="AE495" s="106"/>
    </row>
    <row r="496">
      <c r="C496" s="79"/>
      <c r="D496" s="79"/>
      <c r="E496" s="79"/>
      <c r="O496" s="79"/>
      <c r="S496" s="79"/>
      <c r="T496" s="79"/>
      <c r="Y496" s="79"/>
      <c r="AC496" s="130"/>
      <c r="AE496" s="106"/>
    </row>
    <row r="497">
      <c r="C497" s="79"/>
      <c r="D497" s="79"/>
      <c r="E497" s="79"/>
      <c r="O497" s="79"/>
      <c r="S497" s="79"/>
      <c r="T497" s="79"/>
      <c r="Y497" s="79"/>
      <c r="AC497" s="130"/>
      <c r="AE497" s="106"/>
    </row>
    <row r="498">
      <c r="C498" s="79"/>
      <c r="D498" s="79"/>
      <c r="E498" s="79"/>
      <c r="O498" s="79"/>
      <c r="S498" s="79"/>
      <c r="T498" s="79"/>
      <c r="Y498" s="79"/>
      <c r="AC498" s="130"/>
      <c r="AE498" s="106"/>
    </row>
    <row r="499">
      <c r="C499" s="79"/>
      <c r="D499" s="79"/>
      <c r="E499" s="79"/>
      <c r="O499" s="79"/>
      <c r="S499" s="79"/>
      <c r="T499" s="79"/>
      <c r="Y499" s="79"/>
      <c r="AC499" s="130"/>
      <c r="AE499" s="106"/>
    </row>
    <row r="500">
      <c r="C500" s="79"/>
      <c r="D500" s="79"/>
      <c r="E500" s="79"/>
      <c r="O500" s="79"/>
      <c r="S500" s="79"/>
      <c r="T500" s="79"/>
      <c r="Y500" s="79"/>
      <c r="AC500" s="130"/>
      <c r="AE500" s="106"/>
    </row>
    <row r="501">
      <c r="C501" s="79"/>
      <c r="D501" s="79"/>
      <c r="E501" s="79"/>
      <c r="O501" s="79"/>
      <c r="S501" s="79"/>
      <c r="T501" s="79"/>
      <c r="Y501" s="79"/>
      <c r="AC501" s="130"/>
      <c r="AE501" s="106"/>
    </row>
    <row r="502">
      <c r="C502" s="79"/>
      <c r="D502" s="79"/>
      <c r="E502" s="79"/>
      <c r="O502" s="79"/>
      <c r="S502" s="79"/>
      <c r="T502" s="79"/>
      <c r="Y502" s="79"/>
      <c r="AC502" s="130"/>
      <c r="AE502" s="106"/>
    </row>
    <row r="503">
      <c r="C503" s="79"/>
      <c r="D503" s="79"/>
      <c r="E503" s="79"/>
      <c r="O503" s="79"/>
      <c r="S503" s="79"/>
      <c r="T503" s="79"/>
      <c r="Y503" s="79"/>
      <c r="AC503" s="130"/>
      <c r="AE503" s="106"/>
    </row>
    <row r="504">
      <c r="C504" s="79"/>
      <c r="D504" s="79"/>
      <c r="E504" s="79"/>
      <c r="O504" s="79"/>
      <c r="S504" s="79"/>
      <c r="T504" s="79"/>
      <c r="Y504" s="79"/>
      <c r="AC504" s="130"/>
      <c r="AE504" s="106"/>
    </row>
    <row r="505">
      <c r="C505" s="79"/>
      <c r="D505" s="79"/>
      <c r="E505" s="79"/>
      <c r="O505" s="79"/>
      <c r="S505" s="79"/>
      <c r="T505" s="79"/>
      <c r="Y505" s="79"/>
      <c r="AC505" s="130"/>
      <c r="AE505" s="106"/>
    </row>
    <row r="506">
      <c r="C506" s="79"/>
      <c r="D506" s="79"/>
      <c r="E506" s="79"/>
      <c r="O506" s="79"/>
      <c r="S506" s="79"/>
      <c r="T506" s="79"/>
      <c r="Y506" s="79"/>
      <c r="AC506" s="130"/>
      <c r="AE506" s="106"/>
    </row>
    <row r="507">
      <c r="C507" s="79"/>
      <c r="D507" s="79"/>
      <c r="E507" s="79"/>
      <c r="O507" s="79"/>
      <c r="S507" s="79"/>
      <c r="T507" s="79"/>
      <c r="Y507" s="79"/>
      <c r="AC507" s="130"/>
      <c r="AE507" s="106"/>
    </row>
    <row r="508">
      <c r="C508" s="79"/>
      <c r="D508" s="79"/>
      <c r="E508" s="79"/>
      <c r="O508" s="79"/>
      <c r="S508" s="79"/>
      <c r="T508" s="79"/>
      <c r="Y508" s="79"/>
      <c r="AC508" s="130"/>
      <c r="AE508" s="106"/>
    </row>
    <row r="509">
      <c r="C509" s="79"/>
      <c r="D509" s="79"/>
      <c r="E509" s="79"/>
      <c r="O509" s="79"/>
      <c r="S509" s="79"/>
      <c r="T509" s="79"/>
      <c r="Y509" s="79"/>
      <c r="AC509" s="130"/>
      <c r="AE509" s="106"/>
    </row>
    <row r="510">
      <c r="C510" s="79"/>
      <c r="D510" s="79"/>
      <c r="E510" s="79"/>
      <c r="O510" s="79"/>
      <c r="S510" s="79"/>
      <c r="T510" s="79"/>
      <c r="Y510" s="79"/>
      <c r="AC510" s="130"/>
      <c r="AE510" s="106"/>
    </row>
    <row r="511">
      <c r="C511" s="79"/>
      <c r="D511" s="79"/>
      <c r="E511" s="79"/>
      <c r="O511" s="79"/>
      <c r="S511" s="79"/>
      <c r="T511" s="79"/>
      <c r="Y511" s="79"/>
      <c r="AC511" s="130"/>
      <c r="AE511" s="106"/>
    </row>
    <row r="512">
      <c r="C512" s="79"/>
      <c r="D512" s="79"/>
      <c r="E512" s="79"/>
      <c r="O512" s="79"/>
      <c r="S512" s="79"/>
      <c r="T512" s="79"/>
      <c r="Y512" s="79"/>
      <c r="AC512" s="130"/>
      <c r="AE512" s="106"/>
    </row>
    <row r="513">
      <c r="C513" s="79"/>
      <c r="D513" s="79"/>
      <c r="E513" s="79"/>
      <c r="O513" s="79"/>
      <c r="S513" s="79"/>
      <c r="T513" s="79"/>
      <c r="Y513" s="79"/>
      <c r="AC513" s="130"/>
      <c r="AE513" s="106"/>
    </row>
    <row r="514">
      <c r="C514" s="79"/>
      <c r="D514" s="79"/>
      <c r="E514" s="79"/>
      <c r="O514" s="79"/>
      <c r="S514" s="79"/>
      <c r="T514" s="79"/>
      <c r="Y514" s="79"/>
      <c r="AC514" s="130"/>
      <c r="AE514" s="106"/>
    </row>
    <row r="515">
      <c r="C515" s="79"/>
      <c r="D515" s="79"/>
      <c r="E515" s="79"/>
      <c r="O515" s="79"/>
      <c r="S515" s="79"/>
      <c r="T515" s="79"/>
      <c r="Y515" s="79"/>
      <c r="AC515" s="130"/>
      <c r="AE515" s="106"/>
    </row>
    <row r="516">
      <c r="C516" s="79"/>
      <c r="D516" s="79"/>
      <c r="E516" s="79"/>
      <c r="O516" s="79"/>
      <c r="S516" s="79"/>
      <c r="T516" s="79"/>
      <c r="Y516" s="79"/>
      <c r="AC516" s="130"/>
      <c r="AE516" s="106"/>
    </row>
    <row r="517">
      <c r="C517" s="79"/>
      <c r="D517" s="79"/>
      <c r="E517" s="79"/>
      <c r="O517" s="79"/>
      <c r="S517" s="79"/>
      <c r="T517" s="79"/>
      <c r="Y517" s="79"/>
      <c r="AC517" s="130"/>
      <c r="AE517" s="106"/>
    </row>
    <row r="518">
      <c r="C518" s="79"/>
      <c r="D518" s="79"/>
      <c r="E518" s="79"/>
      <c r="O518" s="79"/>
      <c r="S518" s="79"/>
      <c r="T518" s="79"/>
      <c r="Y518" s="79"/>
      <c r="AC518" s="130"/>
      <c r="AE518" s="106"/>
    </row>
    <row r="519">
      <c r="C519" s="79"/>
      <c r="D519" s="79"/>
      <c r="E519" s="79"/>
      <c r="O519" s="79"/>
      <c r="S519" s="79"/>
      <c r="T519" s="79"/>
      <c r="Y519" s="79"/>
      <c r="AC519" s="130"/>
      <c r="AE519" s="106"/>
    </row>
    <row r="520">
      <c r="C520" s="79"/>
      <c r="D520" s="79"/>
      <c r="E520" s="79"/>
      <c r="O520" s="79"/>
      <c r="S520" s="79"/>
      <c r="T520" s="79"/>
      <c r="Y520" s="79"/>
      <c r="AC520" s="130"/>
      <c r="AE520" s="106"/>
    </row>
    <row r="521">
      <c r="C521" s="79"/>
      <c r="D521" s="79"/>
      <c r="E521" s="79"/>
      <c r="O521" s="79"/>
      <c r="S521" s="79"/>
      <c r="T521" s="79"/>
      <c r="Y521" s="79"/>
      <c r="AC521" s="130"/>
      <c r="AE521" s="106"/>
    </row>
    <row r="522">
      <c r="C522" s="79"/>
      <c r="D522" s="79"/>
      <c r="E522" s="79"/>
      <c r="O522" s="79"/>
      <c r="S522" s="79"/>
      <c r="T522" s="79"/>
      <c r="Y522" s="79"/>
      <c r="AC522" s="130"/>
      <c r="AE522" s="106"/>
    </row>
    <row r="523">
      <c r="C523" s="79"/>
      <c r="D523" s="79"/>
      <c r="E523" s="79"/>
      <c r="O523" s="79"/>
      <c r="S523" s="79"/>
      <c r="T523" s="79"/>
      <c r="Y523" s="79"/>
      <c r="AC523" s="130"/>
      <c r="AE523" s="106"/>
    </row>
    <row r="524">
      <c r="C524" s="79"/>
      <c r="D524" s="79"/>
      <c r="E524" s="79"/>
      <c r="O524" s="79"/>
      <c r="S524" s="79"/>
      <c r="T524" s="79"/>
      <c r="Y524" s="79"/>
      <c r="AC524" s="130"/>
      <c r="AE524" s="106"/>
    </row>
    <row r="525">
      <c r="C525" s="79"/>
      <c r="D525" s="79"/>
      <c r="E525" s="79"/>
      <c r="O525" s="79"/>
      <c r="S525" s="79"/>
      <c r="T525" s="79"/>
      <c r="Y525" s="79"/>
      <c r="AC525" s="130"/>
      <c r="AE525" s="106"/>
    </row>
    <row r="526">
      <c r="C526" s="79"/>
      <c r="D526" s="79"/>
      <c r="E526" s="79"/>
      <c r="O526" s="79"/>
      <c r="S526" s="79"/>
      <c r="T526" s="79"/>
      <c r="Y526" s="79"/>
      <c r="AC526" s="130"/>
      <c r="AE526" s="106"/>
    </row>
    <row r="527">
      <c r="C527" s="79"/>
      <c r="D527" s="79"/>
      <c r="E527" s="79"/>
      <c r="O527" s="79"/>
      <c r="S527" s="79"/>
      <c r="T527" s="79"/>
      <c r="Y527" s="79"/>
      <c r="AC527" s="130"/>
      <c r="AE527" s="106"/>
    </row>
    <row r="528">
      <c r="C528" s="79"/>
      <c r="D528" s="79"/>
      <c r="E528" s="79"/>
      <c r="O528" s="79"/>
      <c r="S528" s="79"/>
      <c r="T528" s="79"/>
      <c r="Y528" s="79"/>
      <c r="AC528" s="130"/>
      <c r="AE528" s="106"/>
    </row>
    <row r="529">
      <c r="C529" s="79"/>
      <c r="D529" s="79"/>
      <c r="E529" s="79"/>
      <c r="O529" s="79"/>
      <c r="S529" s="79"/>
      <c r="T529" s="79"/>
      <c r="Y529" s="79"/>
      <c r="AC529" s="130"/>
      <c r="AE529" s="106"/>
    </row>
    <row r="530">
      <c r="C530" s="79"/>
      <c r="D530" s="79"/>
      <c r="E530" s="79"/>
      <c r="O530" s="79"/>
      <c r="S530" s="79"/>
      <c r="T530" s="79"/>
      <c r="Y530" s="79"/>
      <c r="AC530" s="130"/>
      <c r="AE530" s="106"/>
    </row>
    <row r="531">
      <c r="C531" s="79"/>
      <c r="D531" s="79"/>
      <c r="E531" s="79"/>
      <c r="O531" s="79"/>
      <c r="S531" s="79"/>
      <c r="T531" s="79"/>
      <c r="Y531" s="79"/>
      <c r="AC531" s="130"/>
      <c r="AE531" s="106"/>
    </row>
    <row r="532">
      <c r="C532" s="79"/>
      <c r="D532" s="79"/>
      <c r="E532" s="79"/>
      <c r="O532" s="79"/>
      <c r="S532" s="79"/>
      <c r="T532" s="79"/>
      <c r="Y532" s="79"/>
      <c r="AC532" s="130"/>
      <c r="AE532" s="106"/>
    </row>
    <row r="533">
      <c r="C533" s="79"/>
      <c r="D533" s="79"/>
      <c r="E533" s="79"/>
      <c r="O533" s="79"/>
      <c r="S533" s="79"/>
      <c r="T533" s="79"/>
      <c r="Y533" s="79"/>
      <c r="AC533" s="130"/>
      <c r="AE533" s="106"/>
    </row>
    <row r="534">
      <c r="C534" s="79"/>
      <c r="D534" s="79"/>
      <c r="E534" s="79"/>
      <c r="O534" s="79"/>
      <c r="S534" s="79"/>
      <c r="T534" s="79"/>
      <c r="Y534" s="79"/>
      <c r="AC534" s="130"/>
      <c r="AE534" s="106"/>
    </row>
    <row r="535">
      <c r="C535" s="79"/>
      <c r="D535" s="79"/>
      <c r="E535" s="79"/>
      <c r="O535" s="79"/>
      <c r="S535" s="79"/>
      <c r="T535" s="79"/>
      <c r="Y535" s="79"/>
      <c r="AC535" s="130"/>
      <c r="AE535" s="106"/>
    </row>
    <row r="536">
      <c r="C536" s="79"/>
      <c r="D536" s="79"/>
      <c r="E536" s="79"/>
      <c r="O536" s="79"/>
      <c r="S536" s="79"/>
      <c r="T536" s="79"/>
      <c r="Y536" s="79"/>
      <c r="AC536" s="130"/>
      <c r="AE536" s="106"/>
    </row>
    <row r="537">
      <c r="C537" s="79"/>
      <c r="D537" s="79"/>
      <c r="E537" s="79"/>
      <c r="O537" s="79"/>
      <c r="S537" s="79"/>
      <c r="T537" s="79"/>
      <c r="Y537" s="79"/>
      <c r="AC537" s="130"/>
      <c r="AE537" s="106"/>
    </row>
    <row r="538">
      <c r="C538" s="79"/>
      <c r="D538" s="79"/>
      <c r="E538" s="79"/>
      <c r="O538" s="79"/>
      <c r="S538" s="79"/>
      <c r="T538" s="79"/>
      <c r="Y538" s="79"/>
      <c r="AC538" s="130"/>
      <c r="AE538" s="106"/>
    </row>
    <row r="539">
      <c r="C539" s="79"/>
      <c r="D539" s="79"/>
      <c r="E539" s="79"/>
      <c r="O539" s="79"/>
      <c r="S539" s="79"/>
      <c r="T539" s="79"/>
      <c r="Y539" s="79"/>
      <c r="AC539" s="130"/>
      <c r="AE539" s="106"/>
    </row>
    <row r="540">
      <c r="C540" s="79"/>
      <c r="D540" s="79"/>
      <c r="E540" s="79"/>
      <c r="O540" s="79"/>
      <c r="S540" s="79"/>
      <c r="T540" s="79"/>
      <c r="Y540" s="79"/>
      <c r="AC540" s="130"/>
      <c r="AE540" s="106"/>
    </row>
    <row r="541">
      <c r="C541" s="79"/>
      <c r="D541" s="79"/>
      <c r="E541" s="79"/>
      <c r="O541" s="79"/>
      <c r="S541" s="79"/>
      <c r="T541" s="79"/>
      <c r="Y541" s="79"/>
      <c r="AC541" s="130"/>
      <c r="AE541" s="106"/>
    </row>
    <row r="542">
      <c r="C542" s="79"/>
      <c r="D542" s="79"/>
      <c r="E542" s="79"/>
      <c r="O542" s="79"/>
      <c r="S542" s="79"/>
      <c r="T542" s="79"/>
      <c r="Y542" s="79"/>
      <c r="AC542" s="130"/>
      <c r="AE542" s="106"/>
    </row>
    <row r="543">
      <c r="C543" s="79"/>
      <c r="D543" s="79"/>
      <c r="E543" s="79"/>
      <c r="O543" s="79"/>
      <c r="S543" s="79"/>
      <c r="T543" s="79"/>
      <c r="Y543" s="79"/>
      <c r="AC543" s="130"/>
      <c r="AE543" s="106"/>
    </row>
    <row r="544">
      <c r="C544" s="79"/>
      <c r="D544" s="79"/>
      <c r="E544" s="79"/>
      <c r="O544" s="79"/>
      <c r="S544" s="79"/>
      <c r="T544" s="79"/>
      <c r="Y544" s="79"/>
      <c r="AC544" s="130"/>
      <c r="AE544" s="106"/>
    </row>
    <row r="545">
      <c r="C545" s="79"/>
      <c r="D545" s="79"/>
      <c r="E545" s="79"/>
      <c r="O545" s="79"/>
      <c r="S545" s="79"/>
      <c r="T545" s="79"/>
      <c r="Y545" s="79"/>
      <c r="AC545" s="130"/>
      <c r="AE545" s="106"/>
    </row>
    <row r="546">
      <c r="C546" s="79"/>
      <c r="D546" s="79"/>
      <c r="E546" s="79"/>
      <c r="O546" s="79"/>
      <c r="S546" s="79"/>
      <c r="T546" s="79"/>
      <c r="Y546" s="79"/>
      <c r="AC546" s="130"/>
      <c r="AE546" s="106"/>
    </row>
    <row r="547">
      <c r="C547" s="79"/>
      <c r="D547" s="79"/>
      <c r="E547" s="79"/>
      <c r="O547" s="79"/>
      <c r="S547" s="79"/>
      <c r="T547" s="79"/>
      <c r="Y547" s="79"/>
      <c r="AC547" s="130"/>
      <c r="AE547" s="106"/>
    </row>
    <row r="548">
      <c r="C548" s="79"/>
      <c r="D548" s="79"/>
      <c r="E548" s="79"/>
      <c r="O548" s="79"/>
      <c r="S548" s="79"/>
      <c r="T548" s="79"/>
      <c r="Y548" s="79"/>
      <c r="AC548" s="130"/>
      <c r="AE548" s="106"/>
    </row>
    <row r="549">
      <c r="C549" s="79"/>
      <c r="D549" s="79"/>
      <c r="E549" s="79"/>
      <c r="O549" s="79"/>
      <c r="S549" s="79"/>
      <c r="T549" s="79"/>
      <c r="Y549" s="79"/>
      <c r="AC549" s="130"/>
      <c r="AE549" s="106"/>
    </row>
    <row r="550">
      <c r="C550" s="79"/>
      <c r="D550" s="79"/>
      <c r="E550" s="79"/>
      <c r="O550" s="79"/>
      <c r="S550" s="79"/>
      <c r="T550" s="79"/>
      <c r="Y550" s="79"/>
      <c r="AC550" s="130"/>
      <c r="AE550" s="106"/>
    </row>
    <row r="551">
      <c r="C551" s="79"/>
      <c r="D551" s="79"/>
      <c r="E551" s="79"/>
      <c r="O551" s="79"/>
      <c r="S551" s="79"/>
      <c r="T551" s="79"/>
      <c r="Y551" s="79"/>
      <c r="AC551" s="130"/>
      <c r="AE551" s="106"/>
    </row>
    <row r="552">
      <c r="C552" s="79"/>
      <c r="D552" s="79"/>
      <c r="E552" s="79"/>
      <c r="O552" s="79"/>
      <c r="S552" s="79"/>
      <c r="T552" s="79"/>
      <c r="Y552" s="79"/>
      <c r="AC552" s="130"/>
      <c r="AE552" s="106"/>
    </row>
    <row r="553">
      <c r="C553" s="79"/>
      <c r="D553" s="79"/>
      <c r="E553" s="79"/>
      <c r="O553" s="79"/>
      <c r="S553" s="79"/>
      <c r="T553" s="79"/>
      <c r="Y553" s="79"/>
      <c r="AC553" s="130"/>
      <c r="AE553" s="106"/>
    </row>
    <row r="554">
      <c r="C554" s="79"/>
      <c r="D554" s="79"/>
      <c r="E554" s="79"/>
      <c r="O554" s="79"/>
      <c r="S554" s="79"/>
      <c r="T554" s="79"/>
      <c r="Y554" s="79"/>
      <c r="AC554" s="130"/>
      <c r="AE554" s="106"/>
    </row>
    <row r="555">
      <c r="C555" s="79"/>
      <c r="D555" s="79"/>
      <c r="E555" s="79"/>
      <c r="O555" s="79"/>
      <c r="S555" s="79"/>
      <c r="T555" s="79"/>
      <c r="Y555" s="79"/>
      <c r="AC555" s="130"/>
      <c r="AE555" s="106"/>
    </row>
    <row r="556">
      <c r="C556" s="79"/>
      <c r="D556" s="79"/>
      <c r="E556" s="79"/>
      <c r="O556" s="79"/>
      <c r="S556" s="79"/>
      <c r="T556" s="79"/>
      <c r="Y556" s="79"/>
      <c r="AC556" s="130"/>
      <c r="AE556" s="106"/>
    </row>
    <row r="557">
      <c r="C557" s="79"/>
      <c r="D557" s="79"/>
      <c r="E557" s="79"/>
      <c r="O557" s="79"/>
      <c r="S557" s="79"/>
      <c r="T557" s="79"/>
      <c r="Y557" s="79"/>
      <c r="AC557" s="130"/>
      <c r="AE557" s="106"/>
    </row>
    <row r="558">
      <c r="C558" s="79"/>
      <c r="D558" s="79"/>
      <c r="E558" s="79"/>
      <c r="O558" s="79"/>
      <c r="S558" s="79"/>
      <c r="T558" s="79"/>
      <c r="Y558" s="79"/>
      <c r="AC558" s="130"/>
      <c r="AE558" s="106"/>
    </row>
    <row r="559">
      <c r="C559" s="79"/>
      <c r="D559" s="79"/>
      <c r="E559" s="79"/>
      <c r="O559" s="79"/>
      <c r="S559" s="79"/>
      <c r="T559" s="79"/>
      <c r="Y559" s="79"/>
      <c r="AC559" s="130"/>
      <c r="AE559" s="106"/>
    </row>
    <row r="560">
      <c r="C560" s="79"/>
      <c r="D560" s="79"/>
      <c r="E560" s="79"/>
      <c r="O560" s="79"/>
      <c r="S560" s="79"/>
      <c r="T560" s="79"/>
      <c r="Y560" s="79"/>
      <c r="AC560" s="130"/>
      <c r="AE560" s="106"/>
    </row>
    <row r="561">
      <c r="C561" s="79"/>
      <c r="D561" s="79"/>
      <c r="E561" s="79"/>
      <c r="O561" s="79"/>
      <c r="S561" s="79"/>
      <c r="T561" s="79"/>
      <c r="Y561" s="79"/>
      <c r="AC561" s="130"/>
      <c r="AE561" s="106"/>
    </row>
    <row r="562">
      <c r="C562" s="79"/>
      <c r="D562" s="79"/>
      <c r="E562" s="79"/>
      <c r="O562" s="79"/>
      <c r="S562" s="79"/>
      <c r="T562" s="79"/>
      <c r="Y562" s="79"/>
      <c r="AC562" s="130"/>
      <c r="AE562" s="106"/>
    </row>
    <row r="563">
      <c r="C563" s="79"/>
      <c r="D563" s="79"/>
      <c r="E563" s="79"/>
      <c r="O563" s="79"/>
      <c r="S563" s="79"/>
      <c r="T563" s="79"/>
      <c r="Y563" s="79"/>
      <c r="AC563" s="130"/>
      <c r="AE563" s="106"/>
    </row>
    <row r="564">
      <c r="C564" s="79"/>
      <c r="D564" s="79"/>
      <c r="E564" s="79"/>
      <c r="O564" s="79"/>
      <c r="S564" s="79"/>
      <c r="T564" s="79"/>
      <c r="Y564" s="79"/>
      <c r="AC564" s="130"/>
      <c r="AE564" s="106"/>
    </row>
    <row r="565">
      <c r="C565" s="79"/>
      <c r="D565" s="79"/>
      <c r="E565" s="79"/>
      <c r="O565" s="79"/>
      <c r="S565" s="79"/>
      <c r="T565" s="79"/>
      <c r="Y565" s="79"/>
      <c r="AC565" s="130"/>
      <c r="AE565" s="106"/>
    </row>
    <row r="566">
      <c r="C566" s="79"/>
      <c r="D566" s="79"/>
      <c r="E566" s="79"/>
      <c r="O566" s="79"/>
      <c r="S566" s="79"/>
      <c r="T566" s="79"/>
      <c r="Y566" s="79"/>
      <c r="AC566" s="130"/>
      <c r="AE566" s="106"/>
    </row>
    <row r="567">
      <c r="C567" s="79"/>
      <c r="D567" s="79"/>
      <c r="E567" s="79"/>
      <c r="O567" s="79"/>
      <c r="S567" s="79"/>
      <c r="T567" s="79"/>
      <c r="Y567" s="79"/>
      <c r="AC567" s="130"/>
      <c r="AE567" s="106"/>
    </row>
    <row r="568">
      <c r="C568" s="79"/>
      <c r="D568" s="79"/>
      <c r="E568" s="79"/>
      <c r="O568" s="79"/>
      <c r="S568" s="79"/>
      <c r="T568" s="79"/>
      <c r="Y568" s="79"/>
      <c r="AC568" s="130"/>
      <c r="AE568" s="106"/>
    </row>
    <row r="569">
      <c r="C569" s="79"/>
      <c r="D569" s="79"/>
      <c r="E569" s="79"/>
      <c r="O569" s="79"/>
      <c r="S569" s="79"/>
      <c r="T569" s="79"/>
      <c r="Y569" s="79"/>
      <c r="AC569" s="130"/>
      <c r="AE569" s="106"/>
    </row>
    <row r="570">
      <c r="C570" s="79"/>
      <c r="D570" s="79"/>
      <c r="E570" s="79"/>
      <c r="O570" s="79"/>
      <c r="S570" s="79"/>
      <c r="T570" s="79"/>
      <c r="Y570" s="79"/>
      <c r="AC570" s="130"/>
      <c r="AE570" s="106"/>
    </row>
    <row r="571">
      <c r="C571" s="79"/>
      <c r="D571" s="79"/>
      <c r="E571" s="79"/>
      <c r="O571" s="79"/>
      <c r="S571" s="79"/>
      <c r="T571" s="79"/>
      <c r="Y571" s="79"/>
      <c r="AC571" s="130"/>
      <c r="AE571" s="106"/>
    </row>
    <row r="572">
      <c r="C572" s="79"/>
      <c r="D572" s="79"/>
      <c r="E572" s="79"/>
      <c r="O572" s="79"/>
      <c r="S572" s="79"/>
      <c r="T572" s="79"/>
      <c r="Y572" s="79"/>
      <c r="AC572" s="130"/>
      <c r="AE572" s="106"/>
    </row>
    <row r="573">
      <c r="C573" s="79"/>
      <c r="D573" s="79"/>
      <c r="E573" s="79"/>
      <c r="O573" s="79"/>
      <c r="S573" s="79"/>
      <c r="T573" s="79"/>
      <c r="Y573" s="79"/>
      <c r="AC573" s="130"/>
      <c r="AE573" s="106"/>
    </row>
    <row r="574">
      <c r="C574" s="79"/>
      <c r="D574" s="79"/>
      <c r="E574" s="79"/>
      <c r="O574" s="79"/>
      <c r="S574" s="79"/>
      <c r="T574" s="79"/>
      <c r="Y574" s="79"/>
      <c r="AC574" s="130"/>
      <c r="AE574" s="106"/>
    </row>
    <row r="575">
      <c r="C575" s="79"/>
      <c r="D575" s="79"/>
      <c r="E575" s="79"/>
      <c r="O575" s="79"/>
      <c r="S575" s="79"/>
      <c r="T575" s="79"/>
      <c r="Y575" s="79"/>
      <c r="AC575" s="130"/>
      <c r="AE575" s="106"/>
    </row>
    <row r="576">
      <c r="C576" s="79"/>
      <c r="D576" s="79"/>
      <c r="E576" s="79"/>
      <c r="O576" s="79"/>
      <c r="S576" s="79"/>
      <c r="T576" s="79"/>
      <c r="Y576" s="79"/>
      <c r="AC576" s="130"/>
      <c r="AE576" s="106"/>
    </row>
    <row r="577">
      <c r="C577" s="79"/>
      <c r="D577" s="79"/>
      <c r="E577" s="79"/>
      <c r="O577" s="79"/>
      <c r="S577" s="79"/>
      <c r="T577" s="79"/>
      <c r="Y577" s="79"/>
      <c r="AC577" s="130"/>
      <c r="AE577" s="106"/>
    </row>
    <row r="578">
      <c r="C578" s="79"/>
      <c r="D578" s="79"/>
      <c r="E578" s="79"/>
      <c r="O578" s="79"/>
      <c r="S578" s="79"/>
      <c r="T578" s="79"/>
      <c r="Y578" s="79"/>
      <c r="AC578" s="130"/>
      <c r="AE578" s="106"/>
    </row>
    <row r="579">
      <c r="C579" s="79"/>
      <c r="D579" s="79"/>
      <c r="E579" s="79"/>
      <c r="O579" s="79"/>
      <c r="S579" s="79"/>
      <c r="T579" s="79"/>
      <c r="Y579" s="79"/>
      <c r="AC579" s="130"/>
      <c r="AE579" s="106"/>
    </row>
    <row r="580">
      <c r="C580" s="79"/>
      <c r="D580" s="79"/>
      <c r="E580" s="79"/>
      <c r="O580" s="79"/>
      <c r="S580" s="79"/>
      <c r="T580" s="79"/>
      <c r="Y580" s="79"/>
      <c r="AC580" s="130"/>
      <c r="AE580" s="106"/>
    </row>
    <row r="581">
      <c r="C581" s="79"/>
      <c r="D581" s="79"/>
      <c r="E581" s="79"/>
      <c r="O581" s="79"/>
      <c r="S581" s="79"/>
      <c r="T581" s="79"/>
      <c r="Y581" s="79"/>
      <c r="AC581" s="130"/>
      <c r="AE581" s="106"/>
    </row>
    <row r="582">
      <c r="C582" s="79"/>
      <c r="D582" s="79"/>
      <c r="E582" s="79"/>
      <c r="O582" s="79"/>
      <c r="S582" s="79"/>
      <c r="T582" s="79"/>
      <c r="Y582" s="79"/>
      <c r="AC582" s="130"/>
      <c r="AE582" s="106"/>
    </row>
    <row r="583">
      <c r="C583" s="79"/>
      <c r="D583" s="79"/>
      <c r="E583" s="79"/>
      <c r="O583" s="79"/>
      <c r="S583" s="79"/>
      <c r="T583" s="79"/>
      <c r="Y583" s="79"/>
      <c r="AC583" s="130"/>
      <c r="AE583" s="106"/>
    </row>
    <row r="584">
      <c r="C584" s="79"/>
      <c r="D584" s="79"/>
      <c r="E584" s="79"/>
      <c r="O584" s="79"/>
      <c r="S584" s="79"/>
      <c r="T584" s="79"/>
      <c r="Y584" s="79"/>
      <c r="AC584" s="130"/>
      <c r="AE584" s="106"/>
    </row>
    <row r="585">
      <c r="C585" s="79"/>
      <c r="D585" s="79"/>
      <c r="E585" s="79"/>
      <c r="O585" s="79"/>
      <c r="S585" s="79"/>
      <c r="T585" s="79"/>
      <c r="Y585" s="79"/>
      <c r="AC585" s="130"/>
      <c r="AE585" s="106"/>
    </row>
    <row r="586">
      <c r="C586" s="79"/>
      <c r="D586" s="79"/>
      <c r="E586" s="79"/>
      <c r="O586" s="79"/>
      <c r="S586" s="79"/>
      <c r="T586" s="79"/>
      <c r="Y586" s="79"/>
      <c r="AC586" s="130"/>
      <c r="AE586" s="106"/>
    </row>
    <row r="587">
      <c r="C587" s="79"/>
      <c r="D587" s="79"/>
      <c r="E587" s="79"/>
      <c r="O587" s="79"/>
      <c r="S587" s="79"/>
      <c r="T587" s="79"/>
      <c r="Y587" s="79"/>
      <c r="AC587" s="130"/>
      <c r="AE587" s="106"/>
    </row>
    <row r="588">
      <c r="C588" s="79"/>
      <c r="D588" s="79"/>
      <c r="E588" s="79"/>
      <c r="O588" s="79"/>
      <c r="S588" s="79"/>
      <c r="T588" s="79"/>
      <c r="Y588" s="79"/>
      <c r="AC588" s="130"/>
      <c r="AE588" s="106"/>
    </row>
    <row r="589">
      <c r="C589" s="79"/>
      <c r="D589" s="79"/>
      <c r="E589" s="79"/>
      <c r="O589" s="79"/>
      <c r="S589" s="79"/>
      <c r="T589" s="79"/>
      <c r="Y589" s="79"/>
      <c r="AC589" s="130"/>
      <c r="AE589" s="106"/>
    </row>
    <row r="590">
      <c r="C590" s="79"/>
      <c r="D590" s="79"/>
      <c r="E590" s="79"/>
      <c r="O590" s="79"/>
      <c r="S590" s="79"/>
      <c r="T590" s="79"/>
      <c r="Y590" s="79"/>
      <c r="AC590" s="130"/>
      <c r="AE590" s="106"/>
    </row>
    <row r="591">
      <c r="C591" s="79"/>
      <c r="D591" s="79"/>
      <c r="E591" s="79"/>
      <c r="O591" s="79"/>
      <c r="S591" s="79"/>
      <c r="T591" s="79"/>
      <c r="Y591" s="79"/>
      <c r="AC591" s="130"/>
      <c r="AE591" s="106"/>
    </row>
    <row r="592">
      <c r="C592" s="79"/>
      <c r="D592" s="79"/>
      <c r="E592" s="79"/>
      <c r="O592" s="79"/>
      <c r="S592" s="79"/>
      <c r="T592" s="79"/>
      <c r="Y592" s="79"/>
      <c r="AC592" s="130"/>
      <c r="AE592" s="106"/>
    </row>
    <row r="593">
      <c r="C593" s="79"/>
      <c r="D593" s="79"/>
      <c r="E593" s="79"/>
      <c r="O593" s="79"/>
      <c r="S593" s="79"/>
      <c r="T593" s="79"/>
      <c r="Y593" s="79"/>
      <c r="AC593" s="130"/>
      <c r="AE593" s="106"/>
    </row>
    <row r="594">
      <c r="C594" s="79"/>
      <c r="D594" s="79"/>
      <c r="E594" s="79"/>
      <c r="O594" s="79"/>
      <c r="S594" s="79"/>
      <c r="T594" s="79"/>
      <c r="Y594" s="79"/>
      <c r="AC594" s="130"/>
      <c r="AE594" s="106"/>
    </row>
    <row r="595">
      <c r="C595" s="79"/>
      <c r="D595" s="79"/>
      <c r="E595" s="79"/>
      <c r="O595" s="79"/>
      <c r="S595" s="79"/>
      <c r="T595" s="79"/>
      <c r="Y595" s="79"/>
      <c r="AC595" s="130"/>
      <c r="AE595" s="106"/>
    </row>
    <row r="596">
      <c r="C596" s="79"/>
      <c r="D596" s="79"/>
      <c r="E596" s="79"/>
      <c r="O596" s="79"/>
      <c r="S596" s="79"/>
      <c r="T596" s="79"/>
      <c r="Y596" s="79"/>
      <c r="AC596" s="130"/>
      <c r="AE596" s="106"/>
    </row>
    <row r="597">
      <c r="C597" s="79"/>
      <c r="D597" s="79"/>
      <c r="E597" s="79"/>
      <c r="O597" s="79"/>
      <c r="S597" s="79"/>
      <c r="T597" s="79"/>
      <c r="Y597" s="79"/>
      <c r="AC597" s="130"/>
      <c r="AE597" s="106"/>
    </row>
    <row r="598">
      <c r="C598" s="79"/>
      <c r="D598" s="79"/>
      <c r="E598" s="79"/>
      <c r="O598" s="79"/>
      <c r="S598" s="79"/>
      <c r="T598" s="79"/>
      <c r="Y598" s="79"/>
      <c r="AC598" s="130"/>
      <c r="AE598" s="106"/>
    </row>
    <row r="599">
      <c r="C599" s="79"/>
      <c r="D599" s="79"/>
      <c r="E599" s="79"/>
      <c r="O599" s="79"/>
      <c r="S599" s="79"/>
      <c r="T599" s="79"/>
      <c r="Y599" s="79"/>
      <c r="AC599" s="130"/>
      <c r="AE599" s="106"/>
    </row>
    <row r="600">
      <c r="C600" s="79"/>
      <c r="D600" s="79"/>
      <c r="E600" s="79"/>
      <c r="O600" s="79"/>
      <c r="S600" s="79"/>
      <c r="T600" s="79"/>
      <c r="Y600" s="79"/>
      <c r="AC600" s="130"/>
      <c r="AE600" s="106"/>
    </row>
    <row r="601">
      <c r="C601" s="79"/>
      <c r="D601" s="79"/>
      <c r="E601" s="79"/>
      <c r="O601" s="79"/>
      <c r="S601" s="79"/>
      <c r="T601" s="79"/>
      <c r="Y601" s="79"/>
      <c r="AC601" s="130"/>
      <c r="AE601" s="106"/>
    </row>
    <row r="602">
      <c r="C602" s="79"/>
      <c r="D602" s="79"/>
      <c r="E602" s="79"/>
      <c r="O602" s="79"/>
      <c r="S602" s="79"/>
      <c r="T602" s="79"/>
      <c r="Y602" s="79"/>
      <c r="AC602" s="130"/>
      <c r="AE602" s="106"/>
    </row>
    <row r="603">
      <c r="C603" s="79"/>
      <c r="D603" s="79"/>
      <c r="E603" s="79"/>
      <c r="O603" s="79"/>
      <c r="S603" s="79"/>
      <c r="T603" s="79"/>
      <c r="Y603" s="79"/>
      <c r="AC603" s="130"/>
      <c r="AE603" s="106"/>
    </row>
    <row r="604">
      <c r="C604" s="79"/>
      <c r="D604" s="79"/>
      <c r="E604" s="79"/>
      <c r="O604" s="79"/>
      <c r="S604" s="79"/>
      <c r="T604" s="79"/>
      <c r="Y604" s="79"/>
      <c r="AC604" s="130"/>
      <c r="AE604" s="106"/>
    </row>
    <row r="605">
      <c r="C605" s="79"/>
      <c r="D605" s="79"/>
      <c r="E605" s="79"/>
      <c r="O605" s="79"/>
      <c r="S605" s="79"/>
      <c r="T605" s="79"/>
      <c r="Y605" s="79"/>
      <c r="AC605" s="130"/>
      <c r="AE605" s="106"/>
    </row>
    <row r="606">
      <c r="C606" s="79"/>
      <c r="D606" s="79"/>
      <c r="E606" s="79"/>
      <c r="O606" s="79"/>
      <c r="S606" s="79"/>
      <c r="T606" s="79"/>
      <c r="Y606" s="79"/>
      <c r="AC606" s="130"/>
      <c r="AE606" s="106"/>
    </row>
    <row r="607">
      <c r="C607" s="79"/>
      <c r="D607" s="79"/>
      <c r="E607" s="79"/>
      <c r="O607" s="79"/>
      <c r="S607" s="79"/>
      <c r="T607" s="79"/>
      <c r="Y607" s="79"/>
      <c r="AC607" s="130"/>
      <c r="AE607" s="106"/>
    </row>
    <row r="608">
      <c r="C608" s="79"/>
      <c r="D608" s="79"/>
      <c r="E608" s="79"/>
      <c r="O608" s="79"/>
      <c r="S608" s="79"/>
      <c r="T608" s="79"/>
      <c r="Y608" s="79"/>
      <c r="AC608" s="130"/>
      <c r="AE608" s="106"/>
    </row>
    <row r="609">
      <c r="C609" s="79"/>
      <c r="D609" s="79"/>
      <c r="E609" s="79"/>
      <c r="O609" s="79"/>
      <c r="S609" s="79"/>
      <c r="T609" s="79"/>
      <c r="Y609" s="79"/>
      <c r="AC609" s="130"/>
      <c r="AE609" s="106"/>
    </row>
    <row r="610">
      <c r="C610" s="79"/>
      <c r="D610" s="79"/>
      <c r="E610" s="79"/>
      <c r="O610" s="79"/>
      <c r="S610" s="79"/>
      <c r="T610" s="79"/>
      <c r="Y610" s="79"/>
      <c r="AC610" s="130"/>
      <c r="AE610" s="106"/>
    </row>
    <row r="611">
      <c r="C611" s="79"/>
      <c r="D611" s="79"/>
      <c r="E611" s="79"/>
      <c r="O611" s="79"/>
      <c r="S611" s="79"/>
      <c r="T611" s="79"/>
      <c r="Y611" s="79"/>
      <c r="AC611" s="130"/>
      <c r="AE611" s="106"/>
    </row>
    <row r="612">
      <c r="C612" s="79"/>
      <c r="D612" s="79"/>
      <c r="E612" s="79"/>
      <c r="O612" s="79"/>
      <c r="S612" s="79"/>
      <c r="T612" s="79"/>
      <c r="Y612" s="79"/>
      <c r="AC612" s="130"/>
      <c r="AE612" s="106"/>
    </row>
    <row r="613">
      <c r="C613" s="79"/>
      <c r="D613" s="79"/>
      <c r="E613" s="79"/>
      <c r="O613" s="79"/>
      <c r="S613" s="79"/>
      <c r="T613" s="79"/>
      <c r="Y613" s="79"/>
      <c r="AC613" s="130"/>
      <c r="AE613" s="106"/>
    </row>
    <row r="614">
      <c r="C614" s="79"/>
      <c r="D614" s="79"/>
      <c r="E614" s="79"/>
      <c r="O614" s="79"/>
      <c r="S614" s="79"/>
      <c r="T614" s="79"/>
      <c r="Y614" s="79"/>
      <c r="AC614" s="130"/>
      <c r="AE614" s="106"/>
    </row>
    <row r="615">
      <c r="C615" s="79"/>
      <c r="D615" s="79"/>
      <c r="E615" s="79"/>
      <c r="O615" s="79"/>
      <c r="S615" s="79"/>
      <c r="T615" s="79"/>
      <c r="Y615" s="79"/>
      <c r="AC615" s="130"/>
      <c r="AE615" s="106"/>
    </row>
    <row r="616">
      <c r="C616" s="79"/>
      <c r="D616" s="79"/>
      <c r="E616" s="79"/>
      <c r="O616" s="79"/>
      <c r="S616" s="79"/>
      <c r="T616" s="79"/>
      <c r="Y616" s="79"/>
      <c r="AC616" s="130"/>
      <c r="AE616" s="106"/>
    </row>
    <row r="617">
      <c r="C617" s="79"/>
      <c r="D617" s="79"/>
      <c r="E617" s="79"/>
      <c r="O617" s="79"/>
      <c r="S617" s="79"/>
      <c r="T617" s="79"/>
      <c r="Y617" s="79"/>
      <c r="AC617" s="130"/>
      <c r="AE617" s="106"/>
    </row>
    <row r="618">
      <c r="C618" s="79"/>
      <c r="D618" s="79"/>
      <c r="E618" s="79"/>
      <c r="O618" s="79"/>
      <c r="S618" s="79"/>
      <c r="T618" s="79"/>
      <c r="Y618" s="79"/>
      <c r="AC618" s="130"/>
      <c r="AE618" s="106"/>
    </row>
    <row r="619">
      <c r="C619" s="79"/>
      <c r="D619" s="79"/>
      <c r="E619" s="79"/>
      <c r="O619" s="79"/>
      <c r="S619" s="79"/>
      <c r="T619" s="79"/>
      <c r="Y619" s="79"/>
      <c r="AC619" s="130"/>
      <c r="AE619" s="106"/>
    </row>
    <row r="620">
      <c r="C620" s="79"/>
      <c r="D620" s="79"/>
      <c r="E620" s="79"/>
      <c r="O620" s="79"/>
      <c r="S620" s="79"/>
      <c r="T620" s="79"/>
      <c r="Y620" s="79"/>
      <c r="AC620" s="130"/>
      <c r="AE620" s="106"/>
    </row>
    <row r="621">
      <c r="C621" s="79"/>
      <c r="D621" s="79"/>
      <c r="E621" s="79"/>
      <c r="O621" s="79"/>
      <c r="S621" s="79"/>
      <c r="T621" s="79"/>
      <c r="Y621" s="79"/>
      <c r="AC621" s="130"/>
      <c r="AE621" s="106"/>
    </row>
    <row r="622">
      <c r="C622" s="79"/>
      <c r="D622" s="79"/>
      <c r="E622" s="79"/>
      <c r="O622" s="79"/>
      <c r="S622" s="79"/>
      <c r="T622" s="79"/>
      <c r="Y622" s="79"/>
      <c r="AC622" s="130"/>
      <c r="AE622" s="106"/>
    </row>
    <row r="623">
      <c r="C623" s="79"/>
      <c r="D623" s="79"/>
      <c r="E623" s="79"/>
      <c r="O623" s="79"/>
      <c r="S623" s="79"/>
      <c r="T623" s="79"/>
      <c r="Y623" s="79"/>
      <c r="AC623" s="130"/>
      <c r="AE623" s="106"/>
    </row>
    <row r="624">
      <c r="C624" s="79"/>
      <c r="D624" s="79"/>
      <c r="E624" s="79"/>
      <c r="O624" s="79"/>
      <c r="S624" s="79"/>
      <c r="T624" s="79"/>
      <c r="Y624" s="79"/>
      <c r="AC624" s="130"/>
      <c r="AE624" s="106"/>
    </row>
    <row r="625">
      <c r="C625" s="79"/>
      <c r="D625" s="79"/>
      <c r="E625" s="79"/>
      <c r="O625" s="79"/>
      <c r="S625" s="79"/>
      <c r="T625" s="79"/>
      <c r="Y625" s="79"/>
      <c r="AC625" s="130"/>
      <c r="AE625" s="106"/>
    </row>
    <row r="626">
      <c r="C626" s="79"/>
      <c r="D626" s="79"/>
      <c r="E626" s="79"/>
      <c r="O626" s="79"/>
      <c r="S626" s="79"/>
      <c r="T626" s="79"/>
      <c r="Y626" s="79"/>
      <c r="AC626" s="130"/>
      <c r="AE626" s="106"/>
    </row>
    <row r="627">
      <c r="C627" s="79"/>
      <c r="D627" s="79"/>
      <c r="E627" s="79"/>
      <c r="O627" s="79"/>
      <c r="S627" s="79"/>
      <c r="T627" s="79"/>
      <c r="Y627" s="79"/>
      <c r="AC627" s="130"/>
      <c r="AE627" s="106"/>
    </row>
    <row r="628">
      <c r="C628" s="79"/>
      <c r="D628" s="79"/>
      <c r="E628" s="79"/>
      <c r="O628" s="79"/>
      <c r="S628" s="79"/>
      <c r="T628" s="79"/>
      <c r="Y628" s="79"/>
      <c r="AC628" s="130"/>
      <c r="AE628" s="106"/>
    </row>
    <row r="629">
      <c r="C629" s="79"/>
      <c r="D629" s="79"/>
      <c r="E629" s="79"/>
      <c r="O629" s="79"/>
      <c r="S629" s="79"/>
      <c r="T629" s="79"/>
      <c r="Y629" s="79"/>
      <c r="AC629" s="130"/>
      <c r="AE629" s="106"/>
    </row>
    <row r="630">
      <c r="C630" s="79"/>
      <c r="D630" s="79"/>
      <c r="E630" s="79"/>
      <c r="O630" s="79"/>
      <c r="S630" s="79"/>
      <c r="T630" s="79"/>
      <c r="Y630" s="79"/>
      <c r="AC630" s="130"/>
      <c r="AE630" s="106"/>
    </row>
    <row r="631">
      <c r="C631" s="79"/>
      <c r="D631" s="79"/>
      <c r="E631" s="79"/>
      <c r="O631" s="79"/>
      <c r="S631" s="79"/>
      <c r="T631" s="79"/>
      <c r="Y631" s="79"/>
      <c r="AC631" s="130"/>
      <c r="AE631" s="106"/>
    </row>
    <row r="632">
      <c r="C632" s="79"/>
      <c r="D632" s="79"/>
      <c r="E632" s="79"/>
      <c r="O632" s="79"/>
      <c r="S632" s="79"/>
      <c r="T632" s="79"/>
      <c r="Y632" s="79"/>
      <c r="AC632" s="130"/>
      <c r="AE632" s="106"/>
    </row>
    <row r="633">
      <c r="C633" s="79"/>
      <c r="D633" s="79"/>
      <c r="E633" s="79"/>
      <c r="O633" s="79"/>
      <c r="S633" s="79"/>
      <c r="T633" s="79"/>
      <c r="Y633" s="79"/>
      <c r="AC633" s="130"/>
      <c r="AE633" s="106"/>
    </row>
    <row r="634">
      <c r="C634" s="79"/>
      <c r="D634" s="79"/>
      <c r="E634" s="79"/>
      <c r="O634" s="79"/>
      <c r="S634" s="79"/>
      <c r="T634" s="79"/>
      <c r="Y634" s="79"/>
      <c r="AC634" s="130"/>
      <c r="AE634" s="106"/>
    </row>
    <row r="635">
      <c r="C635" s="79"/>
      <c r="D635" s="79"/>
      <c r="E635" s="79"/>
      <c r="O635" s="79"/>
      <c r="S635" s="79"/>
      <c r="T635" s="79"/>
      <c r="Y635" s="79"/>
      <c r="AC635" s="130"/>
      <c r="AE635" s="106"/>
    </row>
    <row r="636">
      <c r="C636" s="79"/>
      <c r="D636" s="79"/>
      <c r="E636" s="79"/>
      <c r="O636" s="79"/>
      <c r="S636" s="79"/>
      <c r="T636" s="79"/>
      <c r="Y636" s="79"/>
      <c r="AC636" s="130"/>
      <c r="AE636" s="106"/>
    </row>
    <row r="637">
      <c r="C637" s="79"/>
      <c r="D637" s="79"/>
      <c r="E637" s="79"/>
      <c r="O637" s="79"/>
      <c r="S637" s="79"/>
      <c r="T637" s="79"/>
      <c r="Y637" s="79"/>
      <c r="AC637" s="130"/>
      <c r="AE637" s="106"/>
    </row>
    <row r="638">
      <c r="C638" s="79"/>
      <c r="D638" s="79"/>
      <c r="E638" s="79"/>
      <c r="O638" s="79"/>
      <c r="S638" s="79"/>
      <c r="T638" s="79"/>
      <c r="Y638" s="79"/>
      <c r="AC638" s="130"/>
      <c r="AE638" s="106"/>
    </row>
    <row r="639">
      <c r="C639" s="79"/>
      <c r="D639" s="79"/>
      <c r="E639" s="79"/>
      <c r="O639" s="79"/>
      <c r="S639" s="79"/>
      <c r="T639" s="79"/>
      <c r="Y639" s="79"/>
      <c r="AC639" s="130"/>
      <c r="AE639" s="106"/>
    </row>
    <row r="640">
      <c r="C640" s="79"/>
      <c r="D640" s="79"/>
      <c r="E640" s="79"/>
      <c r="O640" s="79"/>
      <c r="S640" s="79"/>
      <c r="T640" s="79"/>
      <c r="Y640" s="79"/>
      <c r="AC640" s="130"/>
      <c r="AE640" s="106"/>
    </row>
    <row r="641">
      <c r="C641" s="79"/>
      <c r="D641" s="79"/>
      <c r="E641" s="79"/>
      <c r="O641" s="79"/>
      <c r="S641" s="79"/>
      <c r="T641" s="79"/>
      <c r="Y641" s="79"/>
      <c r="AC641" s="130"/>
      <c r="AE641" s="106"/>
    </row>
    <row r="642">
      <c r="C642" s="79"/>
      <c r="D642" s="79"/>
      <c r="E642" s="79"/>
      <c r="O642" s="79"/>
      <c r="S642" s="79"/>
      <c r="T642" s="79"/>
      <c r="Y642" s="79"/>
      <c r="AC642" s="130"/>
      <c r="AE642" s="106"/>
    </row>
    <row r="643">
      <c r="C643" s="79"/>
      <c r="D643" s="79"/>
      <c r="E643" s="79"/>
      <c r="O643" s="79"/>
      <c r="S643" s="79"/>
      <c r="T643" s="79"/>
      <c r="Y643" s="79"/>
      <c r="AC643" s="130"/>
      <c r="AE643" s="106"/>
    </row>
    <row r="644">
      <c r="C644" s="79"/>
      <c r="D644" s="79"/>
      <c r="E644" s="79"/>
      <c r="O644" s="79"/>
      <c r="S644" s="79"/>
      <c r="T644" s="79"/>
      <c r="Y644" s="79"/>
      <c r="AC644" s="130"/>
      <c r="AE644" s="106"/>
    </row>
    <row r="645">
      <c r="C645" s="79"/>
      <c r="D645" s="79"/>
      <c r="E645" s="79"/>
      <c r="O645" s="79"/>
      <c r="S645" s="79"/>
      <c r="T645" s="79"/>
      <c r="Y645" s="79"/>
      <c r="AC645" s="130"/>
      <c r="AE645" s="106"/>
    </row>
    <row r="646">
      <c r="C646" s="79"/>
      <c r="D646" s="79"/>
      <c r="E646" s="79"/>
      <c r="O646" s="79"/>
      <c r="S646" s="79"/>
      <c r="T646" s="79"/>
      <c r="Y646" s="79"/>
      <c r="AC646" s="130"/>
      <c r="AE646" s="106"/>
    </row>
    <row r="647">
      <c r="C647" s="79"/>
      <c r="D647" s="79"/>
      <c r="E647" s="79"/>
      <c r="O647" s="79"/>
      <c r="S647" s="79"/>
      <c r="T647" s="79"/>
      <c r="Y647" s="79"/>
      <c r="AC647" s="130"/>
      <c r="AE647" s="106"/>
    </row>
    <row r="648">
      <c r="C648" s="79"/>
      <c r="D648" s="79"/>
      <c r="E648" s="79"/>
      <c r="O648" s="79"/>
      <c r="S648" s="79"/>
      <c r="T648" s="79"/>
      <c r="Y648" s="79"/>
      <c r="AC648" s="130"/>
      <c r="AE648" s="106"/>
    </row>
    <row r="649">
      <c r="C649" s="79"/>
      <c r="D649" s="79"/>
      <c r="E649" s="79"/>
      <c r="O649" s="79"/>
      <c r="S649" s="79"/>
      <c r="T649" s="79"/>
      <c r="Y649" s="79"/>
      <c r="AC649" s="130"/>
      <c r="AE649" s="106"/>
    </row>
    <row r="650">
      <c r="C650" s="79"/>
      <c r="D650" s="79"/>
      <c r="E650" s="79"/>
      <c r="O650" s="79"/>
      <c r="S650" s="79"/>
      <c r="T650" s="79"/>
      <c r="Y650" s="79"/>
      <c r="AC650" s="130"/>
      <c r="AE650" s="106"/>
    </row>
    <row r="651">
      <c r="C651" s="79"/>
      <c r="D651" s="79"/>
      <c r="E651" s="79"/>
      <c r="O651" s="79"/>
      <c r="S651" s="79"/>
      <c r="T651" s="79"/>
      <c r="Y651" s="79"/>
      <c r="AC651" s="130"/>
      <c r="AE651" s="106"/>
    </row>
    <row r="652">
      <c r="C652" s="79"/>
      <c r="D652" s="79"/>
      <c r="E652" s="79"/>
      <c r="O652" s="79"/>
      <c r="S652" s="79"/>
      <c r="T652" s="79"/>
      <c r="Y652" s="79"/>
      <c r="AC652" s="130"/>
      <c r="AE652" s="106"/>
    </row>
    <row r="653">
      <c r="C653" s="79"/>
      <c r="D653" s="79"/>
      <c r="E653" s="79"/>
      <c r="O653" s="79"/>
      <c r="S653" s="79"/>
      <c r="T653" s="79"/>
      <c r="Y653" s="79"/>
      <c r="AC653" s="130"/>
      <c r="AE653" s="106"/>
    </row>
    <row r="654">
      <c r="C654" s="79"/>
      <c r="D654" s="79"/>
      <c r="E654" s="79"/>
      <c r="O654" s="79"/>
      <c r="S654" s="79"/>
      <c r="T654" s="79"/>
      <c r="Y654" s="79"/>
      <c r="AC654" s="130"/>
      <c r="AE654" s="106"/>
    </row>
    <row r="655">
      <c r="C655" s="79"/>
      <c r="D655" s="79"/>
      <c r="E655" s="79"/>
      <c r="O655" s="79"/>
      <c r="S655" s="79"/>
      <c r="T655" s="79"/>
      <c r="Y655" s="79"/>
      <c r="AC655" s="130"/>
      <c r="AE655" s="106"/>
    </row>
    <row r="656">
      <c r="C656" s="79"/>
      <c r="D656" s="79"/>
      <c r="E656" s="79"/>
      <c r="O656" s="79"/>
      <c r="S656" s="79"/>
      <c r="T656" s="79"/>
      <c r="Y656" s="79"/>
      <c r="AC656" s="130"/>
      <c r="AE656" s="106"/>
    </row>
    <row r="657">
      <c r="C657" s="79"/>
      <c r="D657" s="79"/>
      <c r="E657" s="79"/>
      <c r="O657" s="79"/>
      <c r="S657" s="79"/>
      <c r="T657" s="79"/>
      <c r="Y657" s="79"/>
      <c r="AC657" s="130"/>
      <c r="AE657" s="106"/>
    </row>
    <row r="658">
      <c r="C658" s="79"/>
      <c r="D658" s="79"/>
      <c r="E658" s="79"/>
      <c r="O658" s="79"/>
      <c r="S658" s="79"/>
      <c r="T658" s="79"/>
      <c r="Y658" s="79"/>
      <c r="AC658" s="130"/>
      <c r="AE658" s="106"/>
    </row>
    <row r="659">
      <c r="C659" s="79"/>
      <c r="D659" s="79"/>
      <c r="E659" s="79"/>
      <c r="O659" s="79"/>
      <c r="S659" s="79"/>
      <c r="T659" s="79"/>
      <c r="Y659" s="79"/>
      <c r="AC659" s="130"/>
      <c r="AE659" s="106"/>
    </row>
    <row r="660">
      <c r="C660" s="79"/>
      <c r="D660" s="79"/>
      <c r="E660" s="79"/>
      <c r="O660" s="79"/>
      <c r="S660" s="79"/>
      <c r="T660" s="79"/>
      <c r="Y660" s="79"/>
      <c r="AC660" s="130"/>
      <c r="AE660" s="106"/>
    </row>
    <row r="661">
      <c r="C661" s="79"/>
      <c r="D661" s="79"/>
      <c r="E661" s="79"/>
      <c r="O661" s="79"/>
      <c r="S661" s="79"/>
      <c r="T661" s="79"/>
      <c r="Y661" s="79"/>
      <c r="AC661" s="130"/>
      <c r="AE661" s="106"/>
    </row>
    <row r="662">
      <c r="C662" s="79"/>
      <c r="D662" s="79"/>
      <c r="E662" s="79"/>
      <c r="O662" s="79"/>
      <c r="S662" s="79"/>
      <c r="T662" s="79"/>
      <c r="Y662" s="79"/>
      <c r="AC662" s="130"/>
      <c r="AE662" s="106"/>
    </row>
    <row r="663">
      <c r="C663" s="79"/>
      <c r="D663" s="79"/>
      <c r="E663" s="79"/>
      <c r="O663" s="79"/>
      <c r="S663" s="79"/>
      <c r="T663" s="79"/>
      <c r="Y663" s="79"/>
      <c r="AC663" s="130"/>
      <c r="AE663" s="106"/>
    </row>
    <row r="664">
      <c r="C664" s="79"/>
      <c r="D664" s="79"/>
      <c r="E664" s="79"/>
      <c r="O664" s="79"/>
      <c r="S664" s="79"/>
      <c r="T664" s="79"/>
      <c r="Y664" s="79"/>
      <c r="AC664" s="130"/>
      <c r="AE664" s="106"/>
    </row>
    <row r="665">
      <c r="C665" s="79"/>
      <c r="D665" s="79"/>
      <c r="E665" s="79"/>
      <c r="O665" s="79"/>
      <c r="S665" s="79"/>
      <c r="T665" s="79"/>
      <c r="Y665" s="79"/>
      <c r="AC665" s="130"/>
      <c r="AE665" s="106"/>
    </row>
    <row r="666">
      <c r="C666" s="79"/>
      <c r="D666" s="79"/>
      <c r="E666" s="79"/>
      <c r="O666" s="79"/>
      <c r="S666" s="79"/>
      <c r="T666" s="79"/>
      <c r="Y666" s="79"/>
      <c r="AC666" s="130"/>
      <c r="AE666" s="106"/>
    </row>
    <row r="667">
      <c r="C667" s="79"/>
      <c r="D667" s="79"/>
      <c r="E667" s="79"/>
      <c r="O667" s="79"/>
      <c r="S667" s="79"/>
      <c r="T667" s="79"/>
      <c r="Y667" s="79"/>
      <c r="AC667" s="130"/>
      <c r="AE667" s="106"/>
    </row>
    <row r="668">
      <c r="C668" s="79"/>
      <c r="D668" s="79"/>
      <c r="E668" s="79"/>
      <c r="O668" s="79"/>
      <c r="S668" s="79"/>
      <c r="T668" s="79"/>
      <c r="Y668" s="79"/>
      <c r="AC668" s="130"/>
      <c r="AE668" s="106"/>
    </row>
    <row r="669">
      <c r="C669" s="79"/>
      <c r="D669" s="79"/>
      <c r="E669" s="79"/>
      <c r="O669" s="79"/>
      <c r="S669" s="79"/>
      <c r="T669" s="79"/>
      <c r="Y669" s="79"/>
      <c r="AC669" s="130"/>
      <c r="AE669" s="106"/>
    </row>
    <row r="670">
      <c r="C670" s="79"/>
      <c r="D670" s="79"/>
      <c r="E670" s="79"/>
      <c r="O670" s="79"/>
      <c r="S670" s="79"/>
      <c r="T670" s="79"/>
      <c r="Y670" s="79"/>
      <c r="AC670" s="130"/>
      <c r="AE670" s="106"/>
    </row>
    <row r="671">
      <c r="C671" s="79"/>
      <c r="D671" s="79"/>
      <c r="E671" s="79"/>
      <c r="O671" s="79"/>
      <c r="S671" s="79"/>
      <c r="T671" s="79"/>
      <c r="Y671" s="79"/>
      <c r="AC671" s="130"/>
      <c r="AE671" s="106"/>
    </row>
    <row r="672">
      <c r="C672" s="79"/>
      <c r="D672" s="79"/>
      <c r="E672" s="79"/>
      <c r="O672" s="79"/>
      <c r="S672" s="79"/>
      <c r="T672" s="79"/>
      <c r="Y672" s="79"/>
      <c r="AC672" s="130"/>
      <c r="AE672" s="106"/>
    </row>
    <row r="673">
      <c r="C673" s="79"/>
      <c r="D673" s="79"/>
      <c r="E673" s="79"/>
      <c r="O673" s="79"/>
      <c r="S673" s="79"/>
      <c r="T673" s="79"/>
      <c r="Y673" s="79"/>
      <c r="AC673" s="130"/>
      <c r="AE673" s="106"/>
    </row>
    <row r="674">
      <c r="C674" s="79"/>
      <c r="D674" s="79"/>
      <c r="E674" s="79"/>
      <c r="O674" s="79"/>
      <c r="S674" s="79"/>
      <c r="T674" s="79"/>
      <c r="Y674" s="79"/>
      <c r="AC674" s="130"/>
      <c r="AE674" s="106"/>
    </row>
    <row r="675">
      <c r="C675" s="79"/>
      <c r="D675" s="79"/>
      <c r="E675" s="79"/>
      <c r="O675" s="79"/>
      <c r="S675" s="79"/>
      <c r="T675" s="79"/>
      <c r="Y675" s="79"/>
      <c r="AC675" s="130"/>
      <c r="AE675" s="106"/>
    </row>
    <row r="676">
      <c r="C676" s="79"/>
      <c r="D676" s="79"/>
      <c r="E676" s="79"/>
      <c r="O676" s="79"/>
      <c r="S676" s="79"/>
      <c r="T676" s="79"/>
      <c r="Y676" s="79"/>
      <c r="AC676" s="130"/>
      <c r="AE676" s="106"/>
    </row>
    <row r="677">
      <c r="C677" s="79"/>
      <c r="D677" s="79"/>
      <c r="E677" s="79"/>
      <c r="O677" s="79"/>
      <c r="S677" s="79"/>
      <c r="T677" s="79"/>
      <c r="Y677" s="79"/>
      <c r="AC677" s="130"/>
      <c r="AE677" s="106"/>
    </row>
    <row r="678">
      <c r="C678" s="79"/>
      <c r="D678" s="79"/>
      <c r="E678" s="79"/>
      <c r="O678" s="79"/>
      <c r="S678" s="79"/>
      <c r="T678" s="79"/>
      <c r="Y678" s="79"/>
      <c r="AC678" s="130"/>
      <c r="AE678" s="106"/>
    </row>
    <row r="679">
      <c r="C679" s="79"/>
      <c r="D679" s="79"/>
      <c r="E679" s="79"/>
      <c r="O679" s="79"/>
      <c r="S679" s="79"/>
      <c r="T679" s="79"/>
      <c r="Y679" s="79"/>
      <c r="AC679" s="130"/>
      <c r="AE679" s="106"/>
    </row>
    <row r="680">
      <c r="C680" s="79"/>
      <c r="D680" s="79"/>
      <c r="E680" s="79"/>
      <c r="O680" s="79"/>
      <c r="S680" s="79"/>
      <c r="T680" s="79"/>
      <c r="Y680" s="79"/>
      <c r="AC680" s="130"/>
      <c r="AE680" s="106"/>
    </row>
    <row r="681">
      <c r="C681" s="79"/>
      <c r="D681" s="79"/>
      <c r="E681" s="79"/>
      <c r="O681" s="79"/>
      <c r="S681" s="79"/>
      <c r="T681" s="79"/>
      <c r="Y681" s="79"/>
      <c r="AC681" s="130"/>
      <c r="AE681" s="106"/>
    </row>
    <row r="682">
      <c r="C682" s="79"/>
      <c r="D682" s="79"/>
      <c r="E682" s="79"/>
      <c r="O682" s="79"/>
      <c r="S682" s="79"/>
      <c r="T682" s="79"/>
      <c r="Y682" s="79"/>
      <c r="AC682" s="130"/>
      <c r="AE682" s="106"/>
    </row>
    <row r="683">
      <c r="C683" s="79"/>
      <c r="D683" s="79"/>
      <c r="E683" s="79"/>
      <c r="O683" s="79"/>
      <c r="S683" s="79"/>
      <c r="T683" s="79"/>
      <c r="Y683" s="79"/>
      <c r="AC683" s="130"/>
      <c r="AE683" s="106"/>
    </row>
    <row r="684">
      <c r="C684" s="79"/>
      <c r="D684" s="79"/>
      <c r="E684" s="79"/>
      <c r="O684" s="79"/>
      <c r="S684" s="79"/>
      <c r="T684" s="79"/>
      <c r="Y684" s="79"/>
      <c r="AC684" s="130"/>
      <c r="AE684" s="106"/>
    </row>
    <row r="685">
      <c r="C685" s="79"/>
      <c r="D685" s="79"/>
      <c r="E685" s="79"/>
      <c r="O685" s="79"/>
      <c r="S685" s="79"/>
      <c r="T685" s="79"/>
      <c r="Y685" s="79"/>
      <c r="AC685" s="130"/>
      <c r="AE685" s="106"/>
    </row>
    <row r="686">
      <c r="C686" s="79"/>
      <c r="D686" s="79"/>
      <c r="E686" s="79"/>
      <c r="O686" s="79"/>
      <c r="S686" s="79"/>
      <c r="T686" s="79"/>
      <c r="Y686" s="79"/>
      <c r="AC686" s="130"/>
      <c r="AE686" s="106"/>
    </row>
    <row r="687">
      <c r="C687" s="79"/>
      <c r="D687" s="79"/>
      <c r="E687" s="79"/>
      <c r="O687" s="79"/>
      <c r="S687" s="79"/>
      <c r="T687" s="79"/>
      <c r="Y687" s="79"/>
      <c r="AC687" s="130"/>
      <c r="AE687" s="106"/>
    </row>
    <row r="688">
      <c r="C688" s="79"/>
      <c r="D688" s="79"/>
      <c r="E688" s="79"/>
      <c r="O688" s="79"/>
      <c r="S688" s="79"/>
      <c r="T688" s="79"/>
      <c r="Y688" s="79"/>
      <c r="AC688" s="130"/>
      <c r="AE688" s="106"/>
    </row>
    <row r="689">
      <c r="C689" s="79"/>
      <c r="D689" s="79"/>
      <c r="E689" s="79"/>
      <c r="O689" s="79"/>
      <c r="S689" s="79"/>
      <c r="T689" s="79"/>
      <c r="Y689" s="79"/>
      <c r="AC689" s="130"/>
      <c r="AE689" s="106"/>
    </row>
    <row r="690">
      <c r="C690" s="79"/>
      <c r="D690" s="79"/>
      <c r="E690" s="79"/>
      <c r="O690" s="79"/>
      <c r="S690" s="79"/>
      <c r="T690" s="79"/>
      <c r="Y690" s="79"/>
      <c r="AC690" s="130"/>
      <c r="AE690" s="106"/>
    </row>
    <row r="691">
      <c r="C691" s="79"/>
      <c r="D691" s="79"/>
      <c r="E691" s="79"/>
      <c r="O691" s="79"/>
      <c r="S691" s="79"/>
      <c r="T691" s="79"/>
      <c r="Y691" s="79"/>
      <c r="AC691" s="130"/>
      <c r="AE691" s="106"/>
    </row>
    <row r="692">
      <c r="C692" s="79"/>
      <c r="D692" s="79"/>
      <c r="E692" s="79"/>
      <c r="O692" s="79"/>
      <c r="S692" s="79"/>
      <c r="T692" s="79"/>
      <c r="Y692" s="79"/>
      <c r="AC692" s="130"/>
      <c r="AE692" s="106"/>
    </row>
    <row r="693">
      <c r="C693" s="79"/>
      <c r="D693" s="79"/>
      <c r="E693" s="79"/>
      <c r="O693" s="79"/>
      <c r="S693" s="79"/>
      <c r="T693" s="79"/>
      <c r="Y693" s="79"/>
      <c r="AC693" s="130"/>
      <c r="AE693" s="106"/>
    </row>
    <row r="694">
      <c r="C694" s="79"/>
      <c r="D694" s="79"/>
      <c r="E694" s="79"/>
      <c r="O694" s="79"/>
      <c r="S694" s="79"/>
      <c r="T694" s="79"/>
      <c r="Y694" s="79"/>
      <c r="AC694" s="130"/>
      <c r="AE694" s="106"/>
    </row>
    <row r="695">
      <c r="C695" s="79"/>
      <c r="D695" s="79"/>
      <c r="E695" s="79"/>
      <c r="O695" s="79"/>
      <c r="S695" s="79"/>
      <c r="T695" s="79"/>
      <c r="Y695" s="79"/>
      <c r="AC695" s="130"/>
      <c r="AE695" s="106"/>
    </row>
    <row r="696">
      <c r="C696" s="79"/>
      <c r="D696" s="79"/>
      <c r="E696" s="79"/>
      <c r="O696" s="79"/>
      <c r="S696" s="79"/>
      <c r="T696" s="79"/>
      <c r="Y696" s="79"/>
      <c r="AC696" s="130"/>
      <c r="AE696" s="106"/>
    </row>
    <row r="697">
      <c r="C697" s="79"/>
      <c r="D697" s="79"/>
      <c r="E697" s="79"/>
      <c r="O697" s="79"/>
      <c r="S697" s="79"/>
      <c r="T697" s="79"/>
      <c r="Y697" s="79"/>
      <c r="AC697" s="130"/>
      <c r="AE697" s="106"/>
    </row>
    <row r="698">
      <c r="C698" s="79"/>
      <c r="D698" s="79"/>
      <c r="E698" s="79"/>
      <c r="O698" s="79"/>
      <c r="S698" s="79"/>
      <c r="T698" s="79"/>
      <c r="Y698" s="79"/>
      <c r="AC698" s="130"/>
      <c r="AE698" s="106"/>
    </row>
    <row r="699">
      <c r="C699" s="79"/>
      <c r="D699" s="79"/>
      <c r="E699" s="79"/>
      <c r="O699" s="79"/>
      <c r="S699" s="79"/>
      <c r="T699" s="79"/>
      <c r="Y699" s="79"/>
      <c r="AC699" s="130"/>
      <c r="AE699" s="106"/>
    </row>
    <row r="700">
      <c r="C700" s="79"/>
      <c r="D700" s="79"/>
      <c r="E700" s="79"/>
      <c r="O700" s="79"/>
      <c r="S700" s="79"/>
      <c r="T700" s="79"/>
      <c r="Y700" s="79"/>
      <c r="AC700" s="130"/>
      <c r="AE700" s="106"/>
    </row>
    <row r="701">
      <c r="C701" s="79"/>
      <c r="D701" s="79"/>
      <c r="E701" s="79"/>
      <c r="O701" s="79"/>
      <c r="S701" s="79"/>
      <c r="T701" s="79"/>
      <c r="Y701" s="79"/>
      <c r="AC701" s="130"/>
      <c r="AE701" s="106"/>
    </row>
    <row r="702">
      <c r="C702" s="79"/>
      <c r="D702" s="79"/>
      <c r="E702" s="79"/>
      <c r="O702" s="79"/>
      <c r="S702" s="79"/>
      <c r="T702" s="79"/>
      <c r="Y702" s="79"/>
      <c r="AC702" s="130"/>
      <c r="AE702" s="106"/>
    </row>
    <row r="703">
      <c r="C703" s="79"/>
      <c r="D703" s="79"/>
      <c r="E703" s="79"/>
      <c r="O703" s="79"/>
      <c r="S703" s="79"/>
      <c r="T703" s="79"/>
      <c r="Y703" s="79"/>
      <c r="AC703" s="130"/>
      <c r="AE703" s="106"/>
    </row>
    <row r="704">
      <c r="C704" s="79"/>
      <c r="D704" s="79"/>
      <c r="E704" s="79"/>
      <c r="O704" s="79"/>
      <c r="S704" s="79"/>
      <c r="T704" s="79"/>
      <c r="Y704" s="79"/>
      <c r="AC704" s="130"/>
      <c r="AE704" s="106"/>
    </row>
    <row r="705">
      <c r="C705" s="79"/>
      <c r="D705" s="79"/>
      <c r="E705" s="79"/>
      <c r="O705" s="79"/>
      <c r="S705" s="79"/>
      <c r="T705" s="79"/>
      <c r="Y705" s="79"/>
      <c r="AC705" s="130"/>
      <c r="AE705" s="106"/>
    </row>
    <row r="706">
      <c r="C706" s="79"/>
      <c r="D706" s="79"/>
      <c r="E706" s="79"/>
      <c r="O706" s="79"/>
      <c r="S706" s="79"/>
      <c r="T706" s="79"/>
      <c r="Y706" s="79"/>
      <c r="AC706" s="130"/>
      <c r="AE706" s="106"/>
    </row>
    <row r="707">
      <c r="C707" s="79"/>
      <c r="D707" s="79"/>
      <c r="E707" s="79"/>
      <c r="O707" s="79"/>
      <c r="S707" s="79"/>
      <c r="T707" s="79"/>
      <c r="Y707" s="79"/>
      <c r="AC707" s="130"/>
      <c r="AE707" s="106"/>
    </row>
    <row r="708">
      <c r="C708" s="79"/>
      <c r="D708" s="79"/>
      <c r="E708" s="79"/>
      <c r="O708" s="79"/>
      <c r="S708" s="79"/>
      <c r="T708" s="79"/>
      <c r="Y708" s="79"/>
      <c r="AC708" s="130"/>
      <c r="AE708" s="106"/>
    </row>
    <row r="709">
      <c r="C709" s="79"/>
      <c r="D709" s="79"/>
      <c r="E709" s="79"/>
      <c r="O709" s="79"/>
      <c r="S709" s="79"/>
      <c r="T709" s="79"/>
      <c r="Y709" s="79"/>
      <c r="AC709" s="130"/>
      <c r="AE709" s="106"/>
    </row>
    <row r="710">
      <c r="C710" s="79"/>
      <c r="D710" s="79"/>
      <c r="E710" s="79"/>
      <c r="O710" s="79"/>
      <c r="S710" s="79"/>
      <c r="T710" s="79"/>
      <c r="Y710" s="79"/>
      <c r="AC710" s="130"/>
      <c r="AE710" s="106"/>
    </row>
    <row r="711">
      <c r="C711" s="79"/>
      <c r="D711" s="79"/>
      <c r="E711" s="79"/>
      <c r="O711" s="79"/>
      <c r="S711" s="79"/>
      <c r="T711" s="79"/>
      <c r="Y711" s="79"/>
      <c r="AC711" s="130"/>
      <c r="AE711" s="106"/>
    </row>
    <row r="712">
      <c r="C712" s="79"/>
      <c r="D712" s="79"/>
      <c r="E712" s="79"/>
      <c r="O712" s="79"/>
      <c r="S712" s="79"/>
      <c r="T712" s="79"/>
      <c r="Y712" s="79"/>
      <c r="AC712" s="130"/>
      <c r="AE712" s="106"/>
    </row>
    <row r="713">
      <c r="C713" s="79"/>
      <c r="D713" s="79"/>
      <c r="E713" s="79"/>
      <c r="O713" s="79"/>
      <c r="S713" s="79"/>
      <c r="T713" s="79"/>
      <c r="Y713" s="79"/>
      <c r="AC713" s="130"/>
      <c r="AE713" s="106"/>
    </row>
    <row r="714">
      <c r="C714" s="79"/>
      <c r="D714" s="79"/>
      <c r="E714" s="79"/>
      <c r="O714" s="79"/>
      <c r="S714" s="79"/>
      <c r="T714" s="79"/>
      <c r="Y714" s="79"/>
      <c r="AC714" s="130"/>
      <c r="AE714" s="106"/>
    </row>
    <row r="715">
      <c r="C715" s="79"/>
      <c r="D715" s="79"/>
      <c r="E715" s="79"/>
      <c r="O715" s="79"/>
      <c r="S715" s="79"/>
      <c r="T715" s="79"/>
      <c r="Y715" s="79"/>
      <c r="AC715" s="130"/>
      <c r="AE715" s="106"/>
    </row>
    <row r="716">
      <c r="C716" s="79"/>
      <c r="D716" s="79"/>
      <c r="E716" s="79"/>
      <c r="O716" s="79"/>
      <c r="S716" s="79"/>
      <c r="T716" s="79"/>
      <c r="Y716" s="79"/>
      <c r="AC716" s="130"/>
      <c r="AE716" s="106"/>
    </row>
    <row r="717">
      <c r="C717" s="79"/>
      <c r="D717" s="79"/>
      <c r="E717" s="79"/>
      <c r="O717" s="79"/>
      <c r="S717" s="79"/>
      <c r="T717" s="79"/>
      <c r="Y717" s="79"/>
      <c r="AC717" s="130"/>
      <c r="AE717" s="106"/>
    </row>
    <row r="718">
      <c r="C718" s="79"/>
      <c r="D718" s="79"/>
      <c r="E718" s="79"/>
      <c r="O718" s="79"/>
      <c r="S718" s="79"/>
      <c r="T718" s="79"/>
      <c r="Y718" s="79"/>
      <c r="AC718" s="130"/>
      <c r="AE718" s="106"/>
    </row>
    <row r="719">
      <c r="C719" s="79"/>
      <c r="D719" s="79"/>
      <c r="E719" s="79"/>
      <c r="O719" s="79"/>
      <c r="S719" s="79"/>
      <c r="T719" s="79"/>
      <c r="Y719" s="79"/>
      <c r="AC719" s="130"/>
      <c r="AE719" s="106"/>
    </row>
    <row r="720">
      <c r="C720" s="79"/>
      <c r="D720" s="79"/>
      <c r="E720" s="79"/>
      <c r="O720" s="79"/>
      <c r="S720" s="79"/>
      <c r="T720" s="79"/>
      <c r="Y720" s="79"/>
      <c r="AC720" s="130"/>
      <c r="AE720" s="106"/>
    </row>
    <row r="721">
      <c r="C721" s="79"/>
      <c r="D721" s="79"/>
      <c r="E721" s="79"/>
      <c r="O721" s="79"/>
      <c r="S721" s="79"/>
      <c r="T721" s="79"/>
      <c r="Y721" s="79"/>
      <c r="AC721" s="130"/>
      <c r="AE721" s="106"/>
    </row>
    <row r="722">
      <c r="C722" s="79"/>
      <c r="D722" s="79"/>
      <c r="E722" s="79"/>
      <c r="O722" s="79"/>
      <c r="S722" s="79"/>
      <c r="T722" s="79"/>
      <c r="Y722" s="79"/>
      <c r="AC722" s="130"/>
      <c r="AE722" s="106"/>
    </row>
    <row r="723">
      <c r="C723" s="79"/>
      <c r="D723" s="79"/>
      <c r="E723" s="79"/>
      <c r="O723" s="79"/>
      <c r="S723" s="79"/>
      <c r="T723" s="79"/>
      <c r="Y723" s="79"/>
      <c r="AC723" s="130"/>
      <c r="AE723" s="106"/>
    </row>
    <row r="724">
      <c r="C724" s="79"/>
      <c r="D724" s="79"/>
      <c r="E724" s="79"/>
      <c r="O724" s="79"/>
      <c r="S724" s="79"/>
      <c r="T724" s="79"/>
      <c r="Y724" s="79"/>
      <c r="AC724" s="130"/>
      <c r="AE724" s="106"/>
    </row>
    <row r="725">
      <c r="C725" s="79"/>
      <c r="D725" s="79"/>
      <c r="E725" s="79"/>
      <c r="O725" s="79"/>
      <c r="S725" s="79"/>
      <c r="T725" s="79"/>
      <c r="Y725" s="79"/>
      <c r="AC725" s="130"/>
      <c r="AE725" s="106"/>
    </row>
    <row r="726">
      <c r="C726" s="79"/>
      <c r="D726" s="79"/>
      <c r="E726" s="79"/>
      <c r="O726" s="79"/>
      <c r="S726" s="79"/>
      <c r="T726" s="79"/>
      <c r="Y726" s="79"/>
      <c r="AC726" s="130"/>
      <c r="AE726" s="106"/>
    </row>
    <row r="727">
      <c r="C727" s="79"/>
      <c r="D727" s="79"/>
      <c r="E727" s="79"/>
      <c r="O727" s="79"/>
      <c r="S727" s="79"/>
      <c r="T727" s="79"/>
      <c r="Y727" s="79"/>
      <c r="AC727" s="130"/>
      <c r="AE727" s="106"/>
    </row>
    <row r="728">
      <c r="C728" s="79"/>
      <c r="D728" s="79"/>
      <c r="E728" s="79"/>
      <c r="O728" s="79"/>
      <c r="S728" s="79"/>
      <c r="T728" s="79"/>
      <c r="Y728" s="79"/>
      <c r="AC728" s="130"/>
      <c r="AE728" s="106"/>
    </row>
    <row r="729">
      <c r="C729" s="79"/>
      <c r="D729" s="79"/>
      <c r="E729" s="79"/>
      <c r="O729" s="79"/>
      <c r="S729" s="79"/>
      <c r="T729" s="79"/>
      <c r="Y729" s="79"/>
      <c r="AC729" s="130"/>
      <c r="AE729" s="106"/>
    </row>
    <row r="730">
      <c r="C730" s="79"/>
      <c r="D730" s="79"/>
      <c r="E730" s="79"/>
      <c r="O730" s="79"/>
      <c r="S730" s="79"/>
      <c r="T730" s="79"/>
      <c r="Y730" s="79"/>
      <c r="AC730" s="130"/>
      <c r="AE730" s="106"/>
    </row>
    <row r="731">
      <c r="C731" s="79"/>
      <c r="D731" s="79"/>
      <c r="E731" s="79"/>
      <c r="O731" s="79"/>
      <c r="S731" s="79"/>
      <c r="T731" s="79"/>
      <c r="Y731" s="79"/>
      <c r="AC731" s="130"/>
      <c r="AE731" s="106"/>
    </row>
    <row r="732">
      <c r="C732" s="79"/>
      <c r="D732" s="79"/>
      <c r="E732" s="79"/>
      <c r="O732" s="79"/>
      <c r="S732" s="79"/>
      <c r="T732" s="79"/>
      <c r="Y732" s="79"/>
      <c r="AC732" s="130"/>
      <c r="AE732" s="106"/>
    </row>
    <row r="733">
      <c r="C733" s="79"/>
      <c r="D733" s="79"/>
      <c r="E733" s="79"/>
      <c r="O733" s="79"/>
      <c r="S733" s="79"/>
      <c r="T733" s="79"/>
      <c r="Y733" s="79"/>
      <c r="AC733" s="130"/>
      <c r="AE733" s="106"/>
    </row>
    <row r="734">
      <c r="C734" s="79"/>
      <c r="D734" s="79"/>
      <c r="E734" s="79"/>
      <c r="O734" s="79"/>
      <c r="S734" s="79"/>
      <c r="T734" s="79"/>
      <c r="Y734" s="79"/>
      <c r="AC734" s="130"/>
      <c r="AE734" s="106"/>
    </row>
    <row r="735">
      <c r="C735" s="79"/>
      <c r="D735" s="79"/>
      <c r="E735" s="79"/>
      <c r="O735" s="79"/>
      <c r="S735" s="79"/>
      <c r="T735" s="79"/>
      <c r="Y735" s="79"/>
      <c r="AC735" s="130"/>
      <c r="AE735" s="106"/>
    </row>
    <row r="736">
      <c r="C736" s="79"/>
      <c r="D736" s="79"/>
      <c r="E736" s="79"/>
      <c r="O736" s="79"/>
      <c r="S736" s="79"/>
      <c r="T736" s="79"/>
      <c r="Y736" s="79"/>
      <c r="AC736" s="130"/>
      <c r="AE736" s="106"/>
    </row>
    <row r="737">
      <c r="C737" s="79"/>
      <c r="D737" s="79"/>
      <c r="E737" s="79"/>
      <c r="O737" s="79"/>
      <c r="S737" s="79"/>
      <c r="T737" s="79"/>
      <c r="Y737" s="79"/>
      <c r="AC737" s="130"/>
      <c r="AE737" s="106"/>
    </row>
    <row r="738">
      <c r="C738" s="79"/>
      <c r="D738" s="79"/>
      <c r="E738" s="79"/>
      <c r="O738" s="79"/>
      <c r="S738" s="79"/>
      <c r="T738" s="79"/>
      <c r="Y738" s="79"/>
      <c r="AC738" s="130"/>
      <c r="AE738" s="106"/>
    </row>
    <row r="739">
      <c r="C739" s="79"/>
      <c r="D739" s="79"/>
      <c r="E739" s="79"/>
      <c r="O739" s="79"/>
      <c r="S739" s="79"/>
      <c r="T739" s="79"/>
      <c r="Y739" s="79"/>
      <c r="AC739" s="130"/>
      <c r="AE739" s="106"/>
    </row>
    <row r="740">
      <c r="C740" s="79"/>
      <c r="D740" s="79"/>
      <c r="E740" s="79"/>
      <c r="O740" s="79"/>
      <c r="S740" s="79"/>
      <c r="T740" s="79"/>
      <c r="Y740" s="79"/>
      <c r="AC740" s="130"/>
      <c r="AE740" s="106"/>
    </row>
    <row r="741">
      <c r="C741" s="79"/>
      <c r="D741" s="79"/>
      <c r="E741" s="79"/>
      <c r="O741" s="79"/>
      <c r="S741" s="79"/>
      <c r="T741" s="79"/>
      <c r="Y741" s="79"/>
      <c r="AC741" s="130"/>
      <c r="AE741" s="106"/>
    </row>
    <row r="742">
      <c r="C742" s="79"/>
      <c r="D742" s="79"/>
      <c r="E742" s="79"/>
      <c r="O742" s="79"/>
      <c r="S742" s="79"/>
      <c r="T742" s="79"/>
      <c r="Y742" s="79"/>
      <c r="AC742" s="130"/>
      <c r="AE742" s="106"/>
    </row>
    <row r="743">
      <c r="C743" s="79"/>
      <c r="D743" s="79"/>
      <c r="E743" s="79"/>
      <c r="O743" s="79"/>
      <c r="S743" s="79"/>
      <c r="T743" s="79"/>
      <c r="Y743" s="79"/>
      <c r="AC743" s="130"/>
      <c r="AE743" s="106"/>
    </row>
    <row r="744">
      <c r="C744" s="79"/>
      <c r="D744" s="79"/>
      <c r="E744" s="79"/>
      <c r="O744" s="79"/>
      <c r="S744" s="79"/>
      <c r="T744" s="79"/>
      <c r="Y744" s="79"/>
      <c r="AC744" s="130"/>
      <c r="AE744" s="106"/>
    </row>
    <row r="745">
      <c r="C745" s="79"/>
      <c r="D745" s="79"/>
      <c r="E745" s="79"/>
      <c r="O745" s="79"/>
      <c r="S745" s="79"/>
      <c r="T745" s="79"/>
      <c r="Y745" s="79"/>
      <c r="AC745" s="130"/>
      <c r="AE745" s="106"/>
    </row>
    <row r="746">
      <c r="C746" s="79"/>
      <c r="D746" s="79"/>
      <c r="E746" s="79"/>
      <c r="O746" s="79"/>
      <c r="S746" s="79"/>
      <c r="T746" s="79"/>
      <c r="Y746" s="79"/>
      <c r="AC746" s="130"/>
      <c r="AE746" s="106"/>
    </row>
    <row r="747">
      <c r="C747" s="79"/>
      <c r="D747" s="79"/>
      <c r="E747" s="79"/>
      <c r="O747" s="79"/>
      <c r="S747" s="79"/>
      <c r="T747" s="79"/>
      <c r="Y747" s="79"/>
      <c r="AC747" s="130"/>
      <c r="AE747" s="106"/>
    </row>
    <row r="748">
      <c r="C748" s="79"/>
      <c r="D748" s="79"/>
      <c r="E748" s="79"/>
      <c r="O748" s="79"/>
      <c r="S748" s="79"/>
      <c r="T748" s="79"/>
      <c r="Y748" s="79"/>
      <c r="AC748" s="130"/>
      <c r="AE748" s="106"/>
    </row>
    <row r="749">
      <c r="C749" s="79"/>
      <c r="D749" s="79"/>
      <c r="E749" s="79"/>
      <c r="O749" s="79"/>
      <c r="S749" s="79"/>
      <c r="T749" s="79"/>
      <c r="Y749" s="79"/>
      <c r="AC749" s="130"/>
      <c r="AE749" s="106"/>
    </row>
    <row r="750">
      <c r="C750" s="79"/>
      <c r="D750" s="79"/>
      <c r="E750" s="79"/>
      <c r="O750" s="79"/>
      <c r="S750" s="79"/>
      <c r="T750" s="79"/>
      <c r="Y750" s="79"/>
      <c r="AC750" s="130"/>
      <c r="AE750" s="106"/>
    </row>
    <row r="751">
      <c r="C751" s="79"/>
      <c r="D751" s="79"/>
      <c r="E751" s="79"/>
      <c r="O751" s="79"/>
      <c r="S751" s="79"/>
      <c r="T751" s="79"/>
      <c r="Y751" s="79"/>
      <c r="AC751" s="130"/>
      <c r="AE751" s="106"/>
    </row>
    <row r="752">
      <c r="C752" s="79"/>
      <c r="D752" s="79"/>
      <c r="E752" s="79"/>
      <c r="O752" s="79"/>
      <c r="S752" s="79"/>
      <c r="T752" s="79"/>
      <c r="Y752" s="79"/>
      <c r="AC752" s="130"/>
      <c r="AE752" s="106"/>
    </row>
    <row r="753">
      <c r="C753" s="79"/>
      <c r="D753" s="79"/>
      <c r="E753" s="79"/>
      <c r="O753" s="79"/>
      <c r="S753" s="79"/>
      <c r="T753" s="79"/>
      <c r="Y753" s="79"/>
      <c r="AC753" s="130"/>
      <c r="AE753" s="106"/>
    </row>
    <row r="754">
      <c r="C754" s="79"/>
      <c r="D754" s="79"/>
      <c r="E754" s="79"/>
      <c r="O754" s="79"/>
      <c r="S754" s="79"/>
      <c r="T754" s="79"/>
      <c r="Y754" s="79"/>
      <c r="AC754" s="130"/>
      <c r="AE754" s="106"/>
    </row>
    <row r="755">
      <c r="C755" s="79"/>
      <c r="D755" s="79"/>
      <c r="E755" s="79"/>
      <c r="O755" s="79"/>
      <c r="S755" s="79"/>
      <c r="T755" s="79"/>
      <c r="Y755" s="79"/>
      <c r="AC755" s="130"/>
      <c r="AE755" s="106"/>
    </row>
    <row r="756">
      <c r="C756" s="79"/>
      <c r="D756" s="79"/>
      <c r="E756" s="79"/>
      <c r="O756" s="79"/>
      <c r="S756" s="79"/>
      <c r="T756" s="79"/>
      <c r="Y756" s="79"/>
      <c r="AC756" s="130"/>
      <c r="AE756" s="106"/>
    </row>
    <row r="757">
      <c r="C757" s="79"/>
      <c r="D757" s="79"/>
      <c r="E757" s="79"/>
      <c r="O757" s="79"/>
      <c r="S757" s="79"/>
      <c r="T757" s="79"/>
      <c r="Y757" s="79"/>
      <c r="AC757" s="130"/>
      <c r="AE757" s="106"/>
    </row>
    <row r="758">
      <c r="C758" s="79"/>
      <c r="D758" s="79"/>
      <c r="E758" s="79"/>
      <c r="O758" s="79"/>
      <c r="S758" s="79"/>
      <c r="T758" s="79"/>
      <c r="Y758" s="79"/>
      <c r="AC758" s="130"/>
      <c r="AE758" s="106"/>
    </row>
    <row r="759">
      <c r="C759" s="79"/>
      <c r="D759" s="79"/>
      <c r="E759" s="79"/>
      <c r="O759" s="79"/>
      <c r="S759" s="79"/>
      <c r="T759" s="79"/>
      <c r="Y759" s="79"/>
      <c r="AC759" s="130"/>
      <c r="AE759" s="106"/>
    </row>
    <row r="760">
      <c r="C760" s="79"/>
      <c r="D760" s="79"/>
      <c r="E760" s="79"/>
      <c r="O760" s="79"/>
      <c r="S760" s="79"/>
      <c r="T760" s="79"/>
      <c r="Y760" s="79"/>
      <c r="AC760" s="130"/>
      <c r="AE760" s="106"/>
    </row>
    <row r="761">
      <c r="C761" s="79"/>
      <c r="D761" s="79"/>
      <c r="E761" s="79"/>
      <c r="O761" s="79"/>
      <c r="S761" s="79"/>
      <c r="T761" s="79"/>
      <c r="Y761" s="79"/>
      <c r="AC761" s="130"/>
      <c r="AE761" s="106"/>
    </row>
    <row r="762">
      <c r="C762" s="79"/>
      <c r="D762" s="79"/>
      <c r="E762" s="79"/>
      <c r="O762" s="79"/>
      <c r="S762" s="79"/>
      <c r="T762" s="79"/>
      <c r="Y762" s="79"/>
      <c r="AC762" s="130"/>
      <c r="AE762" s="106"/>
    </row>
    <row r="763">
      <c r="C763" s="79"/>
      <c r="D763" s="79"/>
      <c r="E763" s="79"/>
      <c r="O763" s="79"/>
      <c r="S763" s="79"/>
      <c r="T763" s="79"/>
      <c r="Y763" s="79"/>
      <c r="AC763" s="130"/>
      <c r="AE763" s="106"/>
    </row>
    <row r="764">
      <c r="C764" s="79"/>
      <c r="D764" s="79"/>
      <c r="E764" s="79"/>
      <c r="O764" s="79"/>
      <c r="S764" s="79"/>
      <c r="T764" s="79"/>
      <c r="Y764" s="79"/>
      <c r="AC764" s="130"/>
      <c r="AE764" s="106"/>
    </row>
    <row r="765">
      <c r="C765" s="79"/>
      <c r="D765" s="79"/>
      <c r="E765" s="79"/>
      <c r="O765" s="79"/>
      <c r="S765" s="79"/>
      <c r="T765" s="79"/>
      <c r="Y765" s="79"/>
      <c r="AC765" s="130"/>
      <c r="AE765" s="106"/>
    </row>
    <row r="766">
      <c r="C766" s="79"/>
      <c r="D766" s="79"/>
      <c r="E766" s="79"/>
      <c r="O766" s="79"/>
      <c r="S766" s="79"/>
      <c r="T766" s="79"/>
      <c r="Y766" s="79"/>
      <c r="AC766" s="130"/>
      <c r="AE766" s="106"/>
    </row>
    <row r="767">
      <c r="C767" s="79"/>
      <c r="D767" s="79"/>
      <c r="E767" s="79"/>
      <c r="O767" s="79"/>
      <c r="S767" s="79"/>
      <c r="T767" s="79"/>
      <c r="Y767" s="79"/>
      <c r="AC767" s="130"/>
      <c r="AE767" s="106"/>
    </row>
    <row r="768">
      <c r="C768" s="79"/>
      <c r="D768" s="79"/>
      <c r="E768" s="79"/>
      <c r="O768" s="79"/>
      <c r="S768" s="79"/>
      <c r="T768" s="79"/>
      <c r="Y768" s="79"/>
      <c r="AC768" s="130"/>
      <c r="AE768" s="106"/>
    </row>
    <row r="769">
      <c r="C769" s="79"/>
      <c r="D769" s="79"/>
      <c r="E769" s="79"/>
      <c r="O769" s="79"/>
      <c r="S769" s="79"/>
      <c r="T769" s="79"/>
      <c r="Y769" s="79"/>
      <c r="AC769" s="130"/>
      <c r="AE769" s="106"/>
    </row>
    <row r="770">
      <c r="C770" s="79"/>
      <c r="D770" s="79"/>
      <c r="E770" s="79"/>
      <c r="O770" s="79"/>
      <c r="S770" s="79"/>
      <c r="T770" s="79"/>
      <c r="Y770" s="79"/>
      <c r="AC770" s="130"/>
      <c r="AE770" s="106"/>
    </row>
    <row r="771">
      <c r="C771" s="79"/>
      <c r="D771" s="79"/>
      <c r="E771" s="79"/>
      <c r="O771" s="79"/>
      <c r="S771" s="79"/>
      <c r="T771" s="79"/>
      <c r="Y771" s="79"/>
      <c r="AC771" s="130"/>
      <c r="AE771" s="106"/>
    </row>
    <row r="772">
      <c r="C772" s="79"/>
      <c r="D772" s="79"/>
      <c r="E772" s="79"/>
      <c r="O772" s="79"/>
      <c r="S772" s="79"/>
      <c r="T772" s="79"/>
      <c r="Y772" s="79"/>
      <c r="AC772" s="130"/>
      <c r="AE772" s="106"/>
    </row>
    <row r="773">
      <c r="C773" s="79"/>
      <c r="D773" s="79"/>
      <c r="E773" s="79"/>
      <c r="O773" s="79"/>
      <c r="S773" s="79"/>
      <c r="T773" s="79"/>
      <c r="Y773" s="79"/>
      <c r="AC773" s="130"/>
      <c r="AE773" s="106"/>
    </row>
    <row r="774">
      <c r="C774" s="79"/>
      <c r="D774" s="79"/>
      <c r="E774" s="79"/>
      <c r="O774" s="79"/>
      <c r="S774" s="79"/>
      <c r="T774" s="79"/>
      <c r="Y774" s="79"/>
      <c r="AC774" s="130"/>
      <c r="AE774" s="106"/>
    </row>
    <row r="775">
      <c r="C775" s="79"/>
      <c r="D775" s="79"/>
      <c r="E775" s="79"/>
      <c r="O775" s="79"/>
      <c r="S775" s="79"/>
      <c r="T775" s="79"/>
      <c r="Y775" s="79"/>
      <c r="AC775" s="130"/>
      <c r="AE775" s="106"/>
    </row>
    <row r="776">
      <c r="C776" s="79"/>
      <c r="D776" s="79"/>
      <c r="E776" s="79"/>
      <c r="O776" s="79"/>
      <c r="S776" s="79"/>
      <c r="T776" s="79"/>
      <c r="Y776" s="79"/>
      <c r="AC776" s="130"/>
      <c r="AE776" s="106"/>
    </row>
    <row r="777">
      <c r="C777" s="79"/>
      <c r="D777" s="79"/>
      <c r="E777" s="79"/>
      <c r="O777" s="79"/>
      <c r="S777" s="79"/>
      <c r="T777" s="79"/>
      <c r="Y777" s="79"/>
      <c r="AC777" s="130"/>
      <c r="AE777" s="106"/>
    </row>
    <row r="778">
      <c r="C778" s="79"/>
      <c r="D778" s="79"/>
      <c r="E778" s="79"/>
      <c r="O778" s="79"/>
      <c r="S778" s="79"/>
      <c r="T778" s="79"/>
      <c r="Y778" s="79"/>
      <c r="AC778" s="130"/>
      <c r="AE778" s="106"/>
    </row>
    <row r="779">
      <c r="C779" s="79"/>
      <c r="D779" s="79"/>
      <c r="E779" s="79"/>
      <c r="O779" s="79"/>
      <c r="S779" s="79"/>
      <c r="T779" s="79"/>
      <c r="Y779" s="79"/>
      <c r="AC779" s="130"/>
      <c r="AE779" s="106"/>
    </row>
    <row r="780">
      <c r="C780" s="79"/>
      <c r="D780" s="79"/>
      <c r="E780" s="79"/>
      <c r="O780" s="79"/>
      <c r="S780" s="79"/>
      <c r="T780" s="79"/>
      <c r="Y780" s="79"/>
      <c r="AC780" s="130"/>
      <c r="AE780" s="106"/>
    </row>
    <row r="781">
      <c r="C781" s="79"/>
      <c r="D781" s="79"/>
      <c r="E781" s="79"/>
      <c r="O781" s="79"/>
      <c r="S781" s="79"/>
      <c r="T781" s="79"/>
      <c r="Y781" s="79"/>
      <c r="AC781" s="130"/>
      <c r="AE781" s="106"/>
    </row>
    <row r="782">
      <c r="C782" s="79"/>
      <c r="D782" s="79"/>
      <c r="E782" s="79"/>
      <c r="O782" s="79"/>
      <c r="S782" s="79"/>
      <c r="T782" s="79"/>
      <c r="Y782" s="79"/>
      <c r="AC782" s="130"/>
      <c r="AE782" s="106"/>
    </row>
    <row r="783">
      <c r="C783" s="79"/>
      <c r="D783" s="79"/>
      <c r="E783" s="79"/>
      <c r="O783" s="79"/>
      <c r="S783" s="79"/>
      <c r="T783" s="79"/>
      <c r="Y783" s="79"/>
      <c r="AC783" s="130"/>
      <c r="AE783" s="106"/>
    </row>
    <row r="784">
      <c r="C784" s="79"/>
      <c r="D784" s="79"/>
      <c r="E784" s="79"/>
      <c r="O784" s="79"/>
      <c r="S784" s="79"/>
      <c r="T784" s="79"/>
      <c r="Y784" s="79"/>
      <c r="AC784" s="130"/>
      <c r="AE784" s="106"/>
    </row>
    <row r="785">
      <c r="C785" s="79"/>
      <c r="D785" s="79"/>
      <c r="E785" s="79"/>
      <c r="O785" s="79"/>
      <c r="S785" s="79"/>
      <c r="T785" s="79"/>
      <c r="Y785" s="79"/>
      <c r="AC785" s="130"/>
      <c r="AE785" s="106"/>
    </row>
    <row r="786">
      <c r="C786" s="79"/>
      <c r="D786" s="79"/>
      <c r="E786" s="79"/>
      <c r="O786" s="79"/>
      <c r="S786" s="79"/>
      <c r="T786" s="79"/>
      <c r="Y786" s="79"/>
      <c r="AC786" s="130"/>
      <c r="AE786" s="106"/>
    </row>
    <row r="787">
      <c r="C787" s="79"/>
      <c r="D787" s="79"/>
      <c r="E787" s="79"/>
      <c r="O787" s="79"/>
      <c r="S787" s="79"/>
      <c r="T787" s="79"/>
      <c r="Y787" s="79"/>
      <c r="AC787" s="130"/>
      <c r="AE787" s="106"/>
    </row>
    <row r="788">
      <c r="C788" s="79"/>
      <c r="D788" s="79"/>
      <c r="E788" s="79"/>
      <c r="O788" s="79"/>
      <c r="S788" s="79"/>
      <c r="T788" s="79"/>
      <c r="Y788" s="79"/>
      <c r="AC788" s="130"/>
      <c r="AE788" s="106"/>
    </row>
    <row r="789">
      <c r="C789" s="79"/>
      <c r="D789" s="79"/>
      <c r="E789" s="79"/>
      <c r="O789" s="79"/>
      <c r="S789" s="79"/>
      <c r="T789" s="79"/>
      <c r="Y789" s="79"/>
      <c r="AC789" s="130"/>
      <c r="AE789" s="106"/>
    </row>
    <row r="790">
      <c r="C790" s="79"/>
      <c r="D790" s="79"/>
      <c r="E790" s="79"/>
      <c r="O790" s="79"/>
      <c r="S790" s="79"/>
      <c r="T790" s="79"/>
      <c r="Y790" s="79"/>
      <c r="AC790" s="130"/>
      <c r="AE790" s="106"/>
    </row>
    <row r="791">
      <c r="C791" s="79"/>
      <c r="D791" s="79"/>
      <c r="E791" s="79"/>
      <c r="O791" s="79"/>
      <c r="S791" s="79"/>
      <c r="T791" s="79"/>
      <c r="Y791" s="79"/>
      <c r="AC791" s="130"/>
      <c r="AE791" s="106"/>
    </row>
    <row r="792">
      <c r="C792" s="79"/>
      <c r="D792" s="79"/>
      <c r="E792" s="79"/>
      <c r="O792" s="79"/>
      <c r="S792" s="79"/>
      <c r="T792" s="79"/>
      <c r="Y792" s="79"/>
      <c r="AC792" s="130"/>
      <c r="AE792" s="106"/>
    </row>
    <row r="793">
      <c r="C793" s="79"/>
      <c r="D793" s="79"/>
      <c r="E793" s="79"/>
      <c r="O793" s="79"/>
      <c r="S793" s="79"/>
      <c r="T793" s="79"/>
      <c r="Y793" s="79"/>
      <c r="AC793" s="130"/>
      <c r="AE793" s="106"/>
    </row>
    <row r="794">
      <c r="C794" s="79"/>
      <c r="D794" s="79"/>
      <c r="E794" s="79"/>
      <c r="O794" s="79"/>
      <c r="S794" s="79"/>
      <c r="T794" s="79"/>
      <c r="Y794" s="79"/>
      <c r="AC794" s="130"/>
      <c r="AE794" s="106"/>
    </row>
    <row r="795">
      <c r="C795" s="79"/>
      <c r="D795" s="79"/>
      <c r="E795" s="79"/>
      <c r="O795" s="79"/>
      <c r="S795" s="79"/>
      <c r="T795" s="79"/>
      <c r="Y795" s="79"/>
      <c r="AC795" s="130"/>
      <c r="AE795" s="106"/>
    </row>
    <row r="796">
      <c r="C796" s="79"/>
      <c r="D796" s="79"/>
      <c r="E796" s="79"/>
      <c r="O796" s="79"/>
      <c r="S796" s="79"/>
      <c r="T796" s="79"/>
      <c r="Y796" s="79"/>
      <c r="AC796" s="130"/>
      <c r="AE796" s="106"/>
    </row>
    <row r="797">
      <c r="C797" s="79"/>
      <c r="D797" s="79"/>
      <c r="E797" s="79"/>
      <c r="O797" s="79"/>
      <c r="S797" s="79"/>
      <c r="T797" s="79"/>
      <c r="Y797" s="79"/>
      <c r="AC797" s="130"/>
      <c r="AE797" s="106"/>
    </row>
    <row r="798">
      <c r="C798" s="79"/>
      <c r="D798" s="79"/>
      <c r="E798" s="79"/>
      <c r="O798" s="79"/>
      <c r="S798" s="79"/>
      <c r="T798" s="79"/>
      <c r="Y798" s="79"/>
      <c r="AC798" s="130"/>
      <c r="AE798" s="106"/>
    </row>
    <row r="799">
      <c r="C799" s="79"/>
      <c r="D799" s="79"/>
      <c r="E799" s="79"/>
      <c r="O799" s="79"/>
      <c r="S799" s="79"/>
      <c r="T799" s="79"/>
      <c r="Y799" s="79"/>
      <c r="AC799" s="130"/>
      <c r="AE799" s="106"/>
    </row>
    <row r="800">
      <c r="C800" s="79"/>
      <c r="D800" s="79"/>
      <c r="E800" s="79"/>
      <c r="O800" s="79"/>
      <c r="S800" s="79"/>
      <c r="T800" s="79"/>
      <c r="Y800" s="79"/>
      <c r="AC800" s="130"/>
      <c r="AE800" s="106"/>
    </row>
    <row r="801">
      <c r="C801" s="79"/>
      <c r="D801" s="79"/>
      <c r="E801" s="79"/>
      <c r="O801" s="79"/>
      <c r="S801" s="79"/>
      <c r="T801" s="79"/>
      <c r="Y801" s="79"/>
      <c r="AC801" s="130"/>
      <c r="AE801" s="106"/>
    </row>
    <row r="802">
      <c r="C802" s="79"/>
      <c r="D802" s="79"/>
      <c r="E802" s="79"/>
      <c r="O802" s="79"/>
      <c r="S802" s="79"/>
      <c r="T802" s="79"/>
      <c r="Y802" s="79"/>
      <c r="AC802" s="130"/>
      <c r="AE802" s="106"/>
    </row>
    <row r="803">
      <c r="C803" s="79"/>
      <c r="D803" s="79"/>
      <c r="E803" s="79"/>
      <c r="O803" s="79"/>
      <c r="S803" s="79"/>
      <c r="T803" s="79"/>
      <c r="Y803" s="79"/>
      <c r="AC803" s="130"/>
      <c r="AE803" s="106"/>
    </row>
    <row r="804">
      <c r="C804" s="79"/>
      <c r="D804" s="79"/>
      <c r="E804" s="79"/>
      <c r="O804" s="79"/>
      <c r="S804" s="79"/>
      <c r="T804" s="79"/>
      <c r="Y804" s="79"/>
      <c r="AC804" s="130"/>
      <c r="AE804" s="106"/>
    </row>
    <row r="805">
      <c r="C805" s="79"/>
      <c r="D805" s="79"/>
      <c r="E805" s="79"/>
      <c r="O805" s="79"/>
      <c r="S805" s="79"/>
      <c r="T805" s="79"/>
      <c r="Y805" s="79"/>
      <c r="AC805" s="130"/>
      <c r="AE805" s="106"/>
    </row>
    <row r="806">
      <c r="C806" s="79"/>
      <c r="D806" s="79"/>
      <c r="E806" s="79"/>
      <c r="O806" s="79"/>
      <c r="S806" s="79"/>
      <c r="T806" s="79"/>
      <c r="Y806" s="79"/>
      <c r="AC806" s="130"/>
      <c r="AE806" s="106"/>
    </row>
    <row r="807">
      <c r="C807" s="79"/>
      <c r="D807" s="79"/>
      <c r="E807" s="79"/>
      <c r="O807" s="79"/>
      <c r="S807" s="79"/>
      <c r="T807" s="79"/>
      <c r="Y807" s="79"/>
      <c r="AC807" s="130"/>
      <c r="AE807" s="106"/>
    </row>
    <row r="808">
      <c r="C808" s="79"/>
      <c r="D808" s="79"/>
      <c r="E808" s="79"/>
      <c r="O808" s="79"/>
      <c r="S808" s="79"/>
      <c r="T808" s="79"/>
      <c r="Y808" s="79"/>
      <c r="AC808" s="130"/>
      <c r="AE808" s="106"/>
    </row>
    <row r="809">
      <c r="C809" s="79"/>
      <c r="D809" s="79"/>
      <c r="E809" s="79"/>
      <c r="O809" s="79"/>
      <c r="S809" s="79"/>
      <c r="T809" s="79"/>
      <c r="Y809" s="79"/>
      <c r="AC809" s="130"/>
      <c r="AE809" s="106"/>
    </row>
    <row r="810">
      <c r="C810" s="79"/>
      <c r="D810" s="79"/>
      <c r="E810" s="79"/>
      <c r="O810" s="79"/>
      <c r="S810" s="79"/>
      <c r="T810" s="79"/>
      <c r="Y810" s="79"/>
      <c r="AC810" s="130"/>
      <c r="AE810" s="106"/>
    </row>
    <row r="811">
      <c r="C811" s="79"/>
      <c r="D811" s="79"/>
      <c r="E811" s="79"/>
      <c r="O811" s="79"/>
      <c r="S811" s="79"/>
      <c r="T811" s="79"/>
      <c r="Y811" s="79"/>
      <c r="AC811" s="130"/>
      <c r="AE811" s="106"/>
    </row>
    <row r="812">
      <c r="C812" s="79"/>
      <c r="D812" s="79"/>
      <c r="E812" s="79"/>
      <c r="O812" s="79"/>
      <c r="S812" s="79"/>
      <c r="T812" s="79"/>
      <c r="Y812" s="79"/>
      <c r="AC812" s="130"/>
      <c r="AE812" s="106"/>
    </row>
    <row r="813">
      <c r="C813" s="79"/>
      <c r="D813" s="79"/>
      <c r="E813" s="79"/>
      <c r="O813" s="79"/>
      <c r="S813" s="79"/>
      <c r="T813" s="79"/>
      <c r="Y813" s="79"/>
      <c r="AC813" s="130"/>
      <c r="AE813" s="106"/>
    </row>
    <row r="814">
      <c r="C814" s="79"/>
      <c r="D814" s="79"/>
      <c r="E814" s="79"/>
      <c r="O814" s="79"/>
      <c r="S814" s="79"/>
      <c r="T814" s="79"/>
      <c r="Y814" s="79"/>
      <c r="AC814" s="130"/>
      <c r="AE814" s="106"/>
    </row>
    <row r="815">
      <c r="C815" s="79"/>
      <c r="D815" s="79"/>
      <c r="E815" s="79"/>
      <c r="O815" s="79"/>
      <c r="S815" s="79"/>
      <c r="T815" s="79"/>
      <c r="Y815" s="79"/>
      <c r="AC815" s="130"/>
      <c r="AE815" s="106"/>
    </row>
    <row r="816">
      <c r="C816" s="79"/>
      <c r="D816" s="79"/>
      <c r="E816" s="79"/>
      <c r="O816" s="79"/>
      <c r="S816" s="79"/>
      <c r="T816" s="79"/>
      <c r="Y816" s="79"/>
      <c r="AC816" s="130"/>
      <c r="AE816" s="106"/>
    </row>
    <row r="817">
      <c r="C817" s="79"/>
      <c r="D817" s="79"/>
      <c r="E817" s="79"/>
      <c r="O817" s="79"/>
      <c r="S817" s="79"/>
      <c r="T817" s="79"/>
      <c r="Y817" s="79"/>
      <c r="AC817" s="130"/>
      <c r="AE817" s="106"/>
    </row>
    <row r="818">
      <c r="C818" s="79"/>
      <c r="D818" s="79"/>
      <c r="E818" s="79"/>
      <c r="O818" s="79"/>
      <c r="S818" s="79"/>
      <c r="T818" s="79"/>
      <c r="Y818" s="79"/>
      <c r="AC818" s="130"/>
      <c r="AE818" s="106"/>
    </row>
    <row r="819">
      <c r="C819" s="79"/>
      <c r="D819" s="79"/>
      <c r="E819" s="79"/>
      <c r="O819" s="79"/>
      <c r="S819" s="79"/>
      <c r="T819" s="79"/>
      <c r="Y819" s="79"/>
      <c r="AC819" s="130"/>
      <c r="AE819" s="106"/>
    </row>
    <row r="820">
      <c r="C820" s="79"/>
      <c r="D820" s="79"/>
      <c r="E820" s="79"/>
      <c r="O820" s="79"/>
      <c r="S820" s="79"/>
      <c r="T820" s="79"/>
      <c r="Y820" s="79"/>
      <c r="AC820" s="130"/>
      <c r="AE820" s="106"/>
    </row>
    <row r="821">
      <c r="C821" s="79"/>
      <c r="D821" s="79"/>
      <c r="E821" s="79"/>
      <c r="O821" s="79"/>
      <c r="S821" s="79"/>
      <c r="T821" s="79"/>
      <c r="Y821" s="79"/>
      <c r="AC821" s="130"/>
      <c r="AE821" s="106"/>
    </row>
    <row r="822">
      <c r="C822" s="79"/>
      <c r="D822" s="79"/>
      <c r="E822" s="79"/>
      <c r="O822" s="79"/>
      <c r="S822" s="79"/>
      <c r="T822" s="79"/>
      <c r="Y822" s="79"/>
      <c r="AC822" s="130"/>
      <c r="AE822" s="106"/>
    </row>
    <row r="823">
      <c r="C823" s="79"/>
      <c r="D823" s="79"/>
      <c r="E823" s="79"/>
      <c r="O823" s="79"/>
      <c r="S823" s="79"/>
      <c r="T823" s="79"/>
      <c r="Y823" s="79"/>
      <c r="AC823" s="130"/>
      <c r="AE823" s="106"/>
    </row>
    <row r="824">
      <c r="C824" s="79"/>
      <c r="D824" s="79"/>
      <c r="E824" s="79"/>
      <c r="O824" s="79"/>
      <c r="S824" s="79"/>
      <c r="T824" s="79"/>
      <c r="Y824" s="79"/>
      <c r="AC824" s="130"/>
      <c r="AE824" s="106"/>
    </row>
    <row r="825">
      <c r="C825" s="79"/>
      <c r="D825" s="79"/>
      <c r="E825" s="79"/>
      <c r="O825" s="79"/>
      <c r="S825" s="79"/>
      <c r="T825" s="79"/>
      <c r="Y825" s="79"/>
      <c r="AC825" s="130"/>
      <c r="AE825" s="106"/>
    </row>
    <row r="826">
      <c r="C826" s="79"/>
      <c r="D826" s="79"/>
      <c r="E826" s="79"/>
      <c r="O826" s="79"/>
      <c r="S826" s="79"/>
      <c r="T826" s="79"/>
      <c r="Y826" s="79"/>
      <c r="AC826" s="130"/>
      <c r="AE826" s="106"/>
    </row>
    <row r="827">
      <c r="C827" s="79"/>
      <c r="D827" s="79"/>
      <c r="E827" s="79"/>
      <c r="O827" s="79"/>
      <c r="S827" s="79"/>
      <c r="T827" s="79"/>
      <c r="Y827" s="79"/>
      <c r="AC827" s="130"/>
      <c r="AE827" s="106"/>
    </row>
    <row r="828">
      <c r="C828" s="79"/>
      <c r="D828" s="79"/>
      <c r="E828" s="79"/>
      <c r="O828" s="79"/>
      <c r="S828" s="79"/>
      <c r="T828" s="79"/>
      <c r="Y828" s="79"/>
      <c r="AC828" s="130"/>
      <c r="AE828" s="106"/>
    </row>
    <row r="829">
      <c r="C829" s="79"/>
      <c r="D829" s="79"/>
      <c r="E829" s="79"/>
      <c r="O829" s="79"/>
      <c r="S829" s="79"/>
      <c r="T829" s="79"/>
      <c r="Y829" s="79"/>
      <c r="AC829" s="130"/>
      <c r="AE829" s="106"/>
    </row>
    <row r="830">
      <c r="C830" s="79"/>
      <c r="D830" s="79"/>
      <c r="E830" s="79"/>
      <c r="O830" s="79"/>
      <c r="S830" s="79"/>
      <c r="T830" s="79"/>
      <c r="Y830" s="79"/>
      <c r="AC830" s="130"/>
      <c r="AE830" s="106"/>
    </row>
    <row r="831">
      <c r="C831" s="79"/>
      <c r="D831" s="79"/>
      <c r="E831" s="79"/>
      <c r="O831" s="79"/>
      <c r="S831" s="79"/>
      <c r="T831" s="79"/>
      <c r="Y831" s="79"/>
      <c r="AC831" s="130"/>
      <c r="AE831" s="106"/>
    </row>
    <row r="832">
      <c r="C832" s="79"/>
      <c r="D832" s="79"/>
      <c r="E832" s="79"/>
      <c r="O832" s="79"/>
      <c r="S832" s="79"/>
      <c r="T832" s="79"/>
      <c r="Y832" s="79"/>
      <c r="AC832" s="130"/>
      <c r="AE832" s="106"/>
    </row>
    <row r="833">
      <c r="C833" s="79"/>
      <c r="D833" s="79"/>
      <c r="E833" s="79"/>
      <c r="O833" s="79"/>
      <c r="S833" s="79"/>
      <c r="T833" s="79"/>
      <c r="Y833" s="79"/>
      <c r="AC833" s="130"/>
      <c r="AE833" s="106"/>
    </row>
    <row r="834">
      <c r="C834" s="79"/>
      <c r="D834" s="79"/>
      <c r="E834" s="79"/>
      <c r="O834" s="79"/>
      <c r="S834" s="79"/>
      <c r="T834" s="79"/>
      <c r="Y834" s="79"/>
      <c r="AC834" s="130"/>
      <c r="AE834" s="106"/>
    </row>
    <row r="835">
      <c r="C835" s="79"/>
      <c r="D835" s="79"/>
      <c r="E835" s="79"/>
      <c r="O835" s="79"/>
      <c r="S835" s="79"/>
      <c r="T835" s="79"/>
      <c r="Y835" s="79"/>
      <c r="AC835" s="130"/>
      <c r="AE835" s="106"/>
    </row>
    <row r="836">
      <c r="C836" s="79"/>
      <c r="D836" s="79"/>
      <c r="E836" s="79"/>
      <c r="O836" s="79"/>
      <c r="S836" s="79"/>
      <c r="T836" s="79"/>
      <c r="Y836" s="79"/>
      <c r="AC836" s="130"/>
      <c r="AE836" s="106"/>
    </row>
    <row r="837">
      <c r="C837" s="79"/>
      <c r="D837" s="79"/>
      <c r="E837" s="79"/>
      <c r="O837" s="79"/>
      <c r="S837" s="79"/>
      <c r="T837" s="79"/>
      <c r="Y837" s="79"/>
      <c r="AC837" s="130"/>
      <c r="AE837" s="106"/>
    </row>
    <row r="838">
      <c r="C838" s="79"/>
      <c r="D838" s="79"/>
      <c r="E838" s="79"/>
      <c r="O838" s="79"/>
      <c r="S838" s="79"/>
      <c r="T838" s="79"/>
      <c r="Y838" s="79"/>
      <c r="AC838" s="130"/>
      <c r="AE838" s="106"/>
    </row>
    <row r="839">
      <c r="C839" s="79"/>
      <c r="D839" s="79"/>
      <c r="E839" s="79"/>
      <c r="O839" s="79"/>
      <c r="S839" s="79"/>
      <c r="T839" s="79"/>
      <c r="Y839" s="79"/>
      <c r="AC839" s="130"/>
      <c r="AE839" s="106"/>
    </row>
    <row r="840">
      <c r="C840" s="79"/>
      <c r="D840" s="79"/>
      <c r="E840" s="79"/>
      <c r="O840" s="79"/>
      <c r="S840" s="79"/>
      <c r="T840" s="79"/>
      <c r="Y840" s="79"/>
      <c r="AC840" s="130"/>
      <c r="AE840" s="106"/>
    </row>
    <row r="841">
      <c r="C841" s="79"/>
      <c r="D841" s="79"/>
      <c r="E841" s="79"/>
      <c r="O841" s="79"/>
      <c r="S841" s="79"/>
      <c r="T841" s="79"/>
      <c r="Y841" s="79"/>
      <c r="AC841" s="130"/>
      <c r="AE841" s="106"/>
    </row>
    <row r="842">
      <c r="C842" s="79"/>
      <c r="D842" s="79"/>
      <c r="E842" s="79"/>
      <c r="O842" s="79"/>
      <c r="S842" s="79"/>
      <c r="T842" s="79"/>
      <c r="Y842" s="79"/>
      <c r="AC842" s="130"/>
      <c r="AE842" s="106"/>
    </row>
    <row r="843">
      <c r="C843" s="79"/>
      <c r="D843" s="79"/>
      <c r="E843" s="79"/>
      <c r="O843" s="79"/>
      <c r="S843" s="79"/>
      <c r="T843" s="79"/>
      <c r="Y843" s="79"/>
      <c r="AC843" s="130"/>
      <c r="AE843" s="106"/>
    </row>
    <row r="844">
      <c r="C844" s="79"/>
      <c r="D844" s="79"/>
      <c r="E844" s="79"/>
      <c r="O844" s="79"/>
      <c r="S844" s="79"/>
      <c r="T844" s="79"/>
      <c r="Y844" s="79"/>
      <c r="AC844" s="130"/>
      <c r="AE844" s="106"/>
    </row>
    <row r="845">
      <c r="C845" s="79"/>
      <c r="D845" s="79"/>
      <c r="E845" s="79"/>
      <c r="O845" s="79"/>
      <c r="S845" s="79"/>
      <c r="T845" s="79"/>
      <c r="Y845" s="79"/>
      <c r="AC845" s="130"/>
      <c r="AE845" s="106"/>
    </row>
    <row r="846">
      <c r="C846" s="79"/>
      <c r="D846" s="79"/>
      <c r="E846" s="79"/>
      <c r="O846" s="79"/>
      <c r="S846" s="79"/>
      <c r="T846" s="79"/>
      <c r="Y846" s="79"/>
      <c r="AC846" s="130"/>
      <c r="AE846" s="106"/>
    </row>
    <row r="847">
      <c r="C847" s="79"/>
      <c r="D847" s="79"/>
      <c r="E847" s="79"/>
      <c r="O847" s="79"/>
      <c r="S847" s="79"/>
      <c r="T847" s="79"/>
      <c r="Y847" s="79"/>
      <c r="AC847" s="130"/>
      <c r="AE847" s="106"/>
    </row>
    <row r="848">
      <c r="C848" s="79"/>
      <c r="D848" s="79"/>
      <c r="E848" s="79"/>
      <c r="O848" s="79"/>
      <c r="S848" s="79"/>
      <c r="T848" s="79"/>
      <c r="Y848" s="79"/>
      <c r="AC848" s="130"/>
      <c r="AE848" s="106"/>
    </row>
    <row r="849">
      <c r="C849" s="79"/>
      <c r="D849" s="79"/>
      <c r="E849" s="79"/>
      <c r="O849" s="79"/>
      <c r="S849" s="79"/>
      <c r="T849" s="79"/>
      <c r="Y849" s="79"/>
      <c r="AC849" s="130"/>
      <c r="AE849" s="106"/>
    </row>
    <row r="850">
      <c r="C850" s="79"/>
      <c r="D850" s="79"/>
      <c r="E850" s="79"/>
      <c r="O850" s="79"/>
      <c r="S850" s="79"/>
      <c r="T850" s="79"/>
      <c r="Y850" s="79"/>
      <c r="AC850" s="130"/>
      <c r="AE850" s="106"/>
    </row>
    <row r="851">
      <c r="C851" s="79"/>
      <c r="D851" s="79"/>
      <c r="E851" s="79"/>
      <c r="O851" s="79"/>
      <c r="S851" s="79"/>
      <c r="T851" s="79"/>
      <c r="Y851" s="79"/>
      <c r="AC851" s="130"/>
      <c r="AE851" s="106"/>
    </row>
    <row r="852">
      <c r="C852" s="79"/>
      <c r="D852" s="79"/>
      <c r="E852" s="79"/>
      <c r="O852" s="79"/>
      <c r="S852" s="79"/>
      <c r="T852" s="79"/>
      <c r="Y852" s="79"/>
      <c r="AC852" s="130"/>
      <c r="AE852" s="106"/>
    </row>
    <row r="853">
      <c r="C853" s="79"/>
      <c r="D853" s="79"/>
      <c r="E853" s="79"/>
      <c r="O853" s="79"/>
      <c r="S853" s="79"/>
      <c r="T853" s="79"/>
      <c r="Y853" s="79"/>
      <c r="AC853" s="130"/>
      <c r="AE853" s="106"/>
    </row>
    <row r="854">
      <c r="C854" s="79"/>
      <c r="D854" s="79"/>
      <c r="E854" s="79"/>
      <c r="O854" s="79"/>
      <c r="S854" s="79"/>
      <c r="T854" s="79"/>
      <c r="Y854" s="79"/>
      <c r="AC854" s="130"/>
      <c r="AE854" s="106"/>
    </row>
    <row r="855">
      <c r="C855" s="79"/>
      <c r="D855" s="79"/>
      <c r="E855" s="79"/>
      <c r="O855" s="79"/>
      <c r="S855" s="79"/>
      <c r="T855" s="79"/>
      <c r="Y855" s="79"/>
      <c r="AC855" s="130"/>
      <c r="AE855" s="106"/>
    </row>
    <row r="856">
      <c r="C856" s="79"/>
      <c r="D856" s="79"/>
      <c r="E856" s="79"/>
      <c r="O856" s="79"/>
      <c r="S856" s="79"/>
      <c r="T856" s="79"/>
      <c r="Y856" s="79"/>
      <c r="AC856" s="130"/>
      <c r="AE856" s="106"/>
    </row>
    <row r="857">
      <c r="C857" s="79"/>
      <c r="D857" s="79"/>
      <c r="E857" s="79"/>
      <c r="O857" s="79"/>
      <c r="S857" s="79"/>
      <c r="T857" s="79"/>
      <c r="Y857" s="79"/>
      <c r="AC857" s="130"/>
      <c r="AE857" s="106"/>
    </row>
    <row r="858">
      <c r="C858" s="79"/>
      <c r="D858" s="79"/>
      <c r="E858" s="79"/>
      <c r="O858" s="79"/>
      <c r="S858" s="79"/>
      <c r="T858" s="79"/>
      <c r="Y858" s="79"/>
      <c r="AC858" s="130"/>
      <c r="AE858" s="106"/>
    </row>
    <row r="859">
      <c r="C859" s="79"/>
      <c r="D859" s="79"/>
      <c r="E859" s="79"/>
      <c r="O859" s="79"/>
      <c r="S859" s="79"/>
      <c r="T859" s="79"/>
      <c r="Y859" s="79"/>
      <c r="AC859" s="130"/>
      <c r="AE859" s="106"/>
    </row>
    <row r="860">
      <c r="C860" s="79"/>
      <c r="D860" s="79"/>
      <c r="E860" s="79"/>
      <c r="O860" s="79"/>
      <c r="S860" s="79"/>
      <c r="T860" s="79"/>
      <c r="Y860" s="79"/>
      <c r="AC860" s="130"/>
      <c r="AE860" s="106"/>
    </row>
    <row r="861">
      <c r="C861" s="79"/>
      <c r="D861" s="79"/>
      <c r="E861" s="79"/>
      <c r="O861" s="79"/>
      <c r="S861" s="79"/>
      <c r="T861" s="79"/>
      <c r="Y861" s="79"/>
      <c r="AC861" s="130"/>
      <c r="AE861" s="106"/>
    </row>
    <row r="862">
      <c r="C862" s="79"/>
      <c r="D862" s="79"/>
      <c r="E862" s="79"/>
      <c r="O862" s="79"/>
      <c r="S862" s="79"/>
      <c r="T862" s="79"/>
      <c r="Y862" s="79"/>
      <c r="AC862" s="130"/>
      <c r="AE862" s="106"/>
    </row>
    <row r="863">
      <c r="C863" s="79"/>
      <c r="D863" s="79"/>
      <c r="E863" s="79"/>
      <c r="O863" s="79"/>
      <c r="S863" s="79"/>
      <c r="T863" s="79"/>
      <c r="Y863" s="79"/>
      <c r="AC863" s="130"/>
      <c r="AE863" s="106"/>
    </row>
    <row r="864">
      <c r="C864" s="79"/>
      <c r="D864" s="79"/>
      <c r="E864" s="79"/>
      <c r="O864" s="79"/>
      <c r="S864" s="79"/>
      <c r="T864" s="79"/>
      <c r="Y864" s="79"/>
      <c r="AC864" s="130"/>
      <c r="AE864" s="106"/>
    </row>
    <row r="865">
      <c r="C865" s="79"/>
      <c r="D865" s="79"/>
      <c r="E865" s="79"/>
      <c r="O865" s="79"/>
      <c r="S865" s="79"/>
      <c r="T865" s="79"/>
      <c r="Y865" s="79"/>
      <c r="AC865" s="130"/>
      <c r="AE865" s="106"/>
    </row>
    <row r="866">
      <c r="C866" s="79"/>
      <c r="D866" s="79"/>
      <c r="E866" s="79"/>
      <c r="O866" s="79"/>
      <c r="S866" s="79"/>
      <c r="T866" s="79"/>
      <c r="Y866" s="79"/>
      <c r="AC866" s="130"/>
      <c r="AE866" s="106"/>
    </row>
    <row r="867">
      <c r="C867" s="79"/>
      <c r="D867" s="79"/>
      <c r="E867" s="79"/>
      <c r="O867" s="79"/>
      <c r="S867" s="79"/>
      <c r="T867" s="79"/>
      <c r="Y867" s="79"/>
      <c r="AC867" s="130"/>
      <c r="AE867" s="106"/>
    </row>
    <row r="868">
      <c r="C868" s="79"/>
      <c r="D868" s="79"/>
      <c r="E868" s="79"/>
      <c r="O868" s="79"/>
      <c r="S868" s="79"/>
      <c r="T868" s="79"/>
      <c r="Y868" s="79"/>
      <c r="AC868" s="130"/>
      <c r="AE868" s="106"/>
    </row>
    <row r="869">
      <c r="C869" s="79"/>
      <c r="D869" s="79"/>
      <c r="E869" s="79"/>
      <c r="O869" s="79"/>
      <c r="S869" s="79"/>
      <c r="T869" s="79"/>
      <c r="Y869" s="79"/>
      <c r="AC869" s="130"/>
      <c r="AE869" s="106"/>
    </row>
    <row r="870">
      <c r="C870" s="79"/>
      <c r="D870" s="79"/>
      <c r="E870" s="79"/>
      <c r="O870" s="79"/>
      <c r="S870" s="79"/>
      <c r="T870" s="79"/>
      <c r="Y870" s="79"/>
      <c r="AC870" s="130"/>
      <c r="AE870" s="106"/>
    </row>
    <row r="871">
      <c r="C871" s="79"/>
      <c r="D871" s="79"/>
      <c r="E871" s="79"/>
      <c r="O871" s="79"/>
      <c r="S871" s="79"/>
      <c r="T871" s="79"/>
      <c r="Y871" s="79"/>
      <c r="AC871" s="130"/>
      <c r="AE871" s="106"/>
    </row>
    <row r="872">
      <c r="C872" s="79"/>
      <c r="D872" s="79"/>
      <c r="E872" s="79"/>
      <c r="O872" s="79"/>
      <c r="S872" s="79"/>
      <c r="T872" s="79"/>
      <c r="Y872" s="79"/>
      <c r="AC872" s="130"/>
      <c r="AE872" s="106"/>
    </row>
    <row r="873">
      <c r="C873" s="79"/>
      <c r="D873" s="79"/>
      <c r="E873" s="79"/>
      <c r="O873" s="79"/>
      <c r="S873" s="79"/>
      <c r="T873" s="79"/>
      <c r="Y873" s="79"/>
      <c r="AC873" s="130"/>
      <c r="AE873" s="106"/>
    </row>
    <row r="874">
      <c r="C874" s="79"/>
      <c r="D874" s="79"/>
      <c r="E874" s="79"/>
      <c r="O874" s="79"/>
      <c r="S874" s="79"/>
      <c r="T874" s="79"/>
      <c r="Y874" s="79"/>
      <c r="AC874" s="130"/>
      <c r="AE874" s="106"/>
    </row>
    <row r="875">
      <c r="C875" s="79"/>
      <c r="D875" s="79"/>
      <c r="E875" s="79"/>
      <c r="O875" s="79"/>
      <c r="S875" s="79"/>
      <c r="T875" s="79"/>
      <c r="Y875" s="79"/>
      <c r="AC875" s="130"/>
      <c r="AE875" s="106"/>
    </row>
    <row r="876">
      <c r="C876" s="79"/>
      <c r="D876" s="79"/>
      <c r="E876" s="79"/>
      <c r="O876" s="79"/>
      <c r="S876" s="79"/>
      <c r="T876" s="79"/>
      <c r="Y876" s="79"/>
      <c r="AC876" s="130"/>
      <c r="AE876" s="106"/>
    </row>
    <row r="877">
      <c r="C877" s="79"/>
      <c r="D877" s="79"/>
      <c r="E877" s="79"/>
      <c r="O877" s="79"/>
      <c r="S877" s="79"/>
      <c r="T877" s="79"/>
      <c r="Y877" s="79"/>
      <c r="AC877" s="130"/>
      <c r="AE877" s="106"/>
    </row>
    <row r="878">
      <c r="C878" s="79"/>
      <c r="D878" s="79"/>
      <c r="E878" s="79"/>
      <c r="O878" s="79"/>
      <c r="S878" s="79"/>
      <c r="T878" s="79"/>
      <c r="Y878" s="79"/>
      <c r="AC878" s="130"/>
      <c r="AE878" s="106"/>
    </row>
    <row r="879">
      <c r="C879" s="79"/>
      <c r="D879" s="79"/>
      <c r="E879" s="79"/>
      <c r="O879" s="79"/>
      <c r="S879" s="79"/>
      <c r="T879" s="79"/>
      <c r="Y879" s="79"/>
      <c r="AC879" s="130"/>
      <c r="AE879" s="106"/>
    </row>
    <row r="880">
      <c r="C880" s="79"/>
      <c r="D880" s="79"/>
      <c r="E880" s="79"/>
      <c r="O880" s="79"/>
      <c r="S880" s="79"/>
      <c r="T880" s="79"/>
      <c r="Y880" s="79"/>
      <c r="AC880" s="130"/>
      <c r="AE880" s="106"/>
    </row>
    <row r="881">
      <c r="C881" s="79"/>
      <c r="D881" s="79"/>
      <c r="E881" s="79"/>
      <c r="O881" s="79"/>
      <c r="S881" s="79"/>
      <c r="T881" s="79"/>
      <c r="Y881" s="79"/>
      <c r="AC881" s="130"/>
      <c r="AE881" s="106"/>
    </row>
    <row r="882">
      <c r="C882" s="79"/>
      <c r="D882" s="79"/>
      <c r="E882" s="79"/>
      <c r="O882" s="79"/>
      <c r="S882" s="79"/>
      <c r="T882" s="79"/>
      <c r="Y882" s="79"/>
      <c r="AC882" s="130"/>
      <c r="AE882" s="106"/>
    </row>
    <row r="883">
      <c r="C883" s="79"/>
      <c r="D883" s="79"/>
      <c r="E883" s="79"/>
      <c r="O883" s="79"/>
      <c r="S883" s="79"/>
      <c r="T883" s="79"/>
      <c r="Y883" s="79"/>
      <c r="AC883" s="130"/>
      <c r="AE883" s="106"/>
    </row>
    <row r="884">
      <c r="C884" s="79"/>
      <c r="D884" s="79"/>
      <c r="E884" s="79"/>
      <c r="O884" s="79"/>
      <c r="S884" s="79"/>
      <c r="T884" s="79"/>
      <c r="Y884" s="79"/>
      <c r="AC884" s="130"/>
      <c r="AE884" s="106"/>
    </row>
  </sheetData>
  <autoFilter ref="$A$47:$F$89">
    <sortState ref="A47:F89">
      <sortCondition descending="1" sortBy="cellColor" ref="E47:E89" dxfId="1"/>
      <sortCondition descending="1" sortBy="cellColor" ref="C47:C89" dxfId="1"/>
      <sortCondition descending="1" sortBy="cellColor" ref="A47:A89" dxfId="1"/>
    </sortState>
  </autoFilter>
  <mergeCells count="1">
    <mergeCell ref="B44:E44"/>
  </mergeCells>
  <drawing r:id="rId2"/>
  <legacyDrawing r:id="rId3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3" max="3" width="17.38"/>
    <col customWidth="1" min="5" max="5" width="15.63"/>
    <col customWidth="1" min="7" max="7" width="13.5"/>
    <col customWidth="1" min="8" max="8" width="13.25"/>
    <col customWidth="1" min="15" max="15" width="27.38"/>
    <col customWidth="1" min="26" max="26" width="14.63"/>
    <col customWidth="1" min="31" max="31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4</v>
      </c>
      <c r="J1" s="2" t="s">
        <v>5</v>
      </c>
      <c r="K1" s="2" t="s">
        <v>303</v>
      </c>
      <c r="L1" s="2" t="s">
        <v>6</v>
      </c>
      <c r="M1" s="2" t="s">
        <v>12</v>
      </c>
      <c r="N1" s="2" t="s">
        <v>49</v>
      </c>
      <c r="O1" s="105" t="s">
        <v>304</v>
      </c>
      <c r="P1" s="2" t="s">
        <v>37</v>
      </c>
      <c r="Q1" s="2" t="s">
        <v>10</v>
      </c>
      <c r="R1" s="2" t="s">
        <v>42</v>
      </c>
      <c r="S1" s="105" t="s">
        <v>484</v>
      </c>
      <c r="T1" s="105" t="s">
        <v>9</v>
      </c>
      <c r="U1" s="2" t="s">
        <v>164</v>
      </c>
      <c r="V1" s="105" t="s">
        <v>40</v>
      </c>
      <c r="W1" s="2" t="s">
        <v>83</v>
      </c>
      <c r="X1" s="2" t="s">
        <v>204</v>
      </c>
      <c r="Y1" s="105" t="s">
        <v>205</v>
      </c>
      <c r="Z1" s="2" t="s">
        <v>206</v>
      </c>
      <c r="AA1" s="2" t="s">
        <v>305</v>
      </c>
      <c r="AB1" s="3" t="s">
        <v>13</v>
      </c>
      <c r="AC1" s="3" t="s">
        <v>14</v>
      </c>
      <c r="AD1" s="3" t="s">
        <v>15</v>
      </c>
      <c r="AE1" s="106"/>
      <c r="AF1" s="265" t="s">
        <v>306</v>
      </c>
      <c r="AG1" s="266" t="s">
        <v>80</v>
      </c>
    </row>
    <row r="2">
      <c r="A2" s="74">
        <v>45523.0</v>
      </c>
      <c r="B2" s="93">
        <f>1340.66-35.05-36.42-57.76-16.45-27.7-36.4-7.46-138.39-30.96-67.28-286.32-24.04-19.04+757.21-127.3</f>
        <v>1187.3</v>
      </c>
      <c r="C2" s="93"/>
      <c r="D2" s="93">
        <f>131.35-65.21</f>
        <v>66.14</v>
      </c>
      <c r="E2" s="93"/>
      <c r="F2" s="93"/>
      <c r="G2" s="93">
        <v>180.0</v>
      </c>
      <c r="H2" s="93"/>
      <c r="I2" s="93">
        <v>112.94</v>
      </c>
      <c r="J2" s="93"/>
      <c r="K2" s="93"/>
      <c r="L2" s="93"/>
      <c r="M2" s="93"/>
      <c r="N2" s="93">
        <v>84.0</v>
      </c>
      <c r="O2" s="93"/>
      <c r="P2" s="72"/>
      <c r="Q2" s="93">
        <v>156.0</v>
      </c>
      <c r="R2" s="93"/>
      <c r="S2" s="93"/>
      <c r="T2" s="93"/>
      <c r="U2" s="93"/>
      <c r="V2" s="93"/>
      <c r="W2" s="93"/>
      <c r="X2" s="93"/>
      <c r="Y2" s="93"/>
      <c r="Z2" s="93"/>
      <c r="AA2" s="386"/>
      <c r="AB2" s="107">
        <f>SUM(B2:AA2)</f>
        <v>1786.38</v>
      </c>
      <c r="AC2" s="158">
        <v>1733.0</v>
      </c>
      <c r="AD2" s="59">
        <f t="shared" ref="AD2:AD8" si="1">AB2/AC2</f>
        <v>1.030802077</v>
      </c>
      <c r="AE2" s="109">
        <f t="shared" ref="AE2:AE8" si="2">A2</f>
        <v>45523</v>
      </c>
      <c r="AF2" s="267"/>
      <c r="AG2" s="268">
        <f t="shared" ref="AG2:AG8" si="3">AC2-AF2</f>
        <v>1733</v>
      </c>
    </row>
    <row r="3">
      <c r="A3" s="74">
        <f t="shared" ref="A3:A8" si="4">A2+1</f>
        <v>45524</v>
      </c>
      <c r="B3" s="93"/>
      <c r="C3" s="93"/>
      <c r="D3" s="93"/>
      <c r="E3" s="93"/>
      <c r="F3" s="93"/>
      <c r="G3" s="93"/>
      <c r="H3" s="168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326"/>
      <c r="AB3" s="107">
        <f t="shared" ref="AB3:AB8" si="5">SUM(B3:Z3)</f>
        <v>0</v>
      </c>
      <c r="AC3" s="158">
        <v>1742.0</v>
      </c>
      <c r="AD3" s="59">
        <f t="shared" si="1"/>
        <v>0</v>
      </c>
      <c r="AE3" s="109">
        <f t="shared" si="2"/>
        <v>45524</v>
      </c>
      <c r="AF3" s="267"/>
      <c r="AG3" s="268">
        <f t="shared" si="3"/>
        <v>1742</v>
      </c>
    </row>
    <row r="4">
      <c r="A4" s="74">
        <f t="shared" si="4"/>
        <v>45525</v>
      </c>
      <c r="B4" s="93">
        <f>644.63-31.26-9.8-28.79-58.36-28.83-41.92-17.64-138.39</f>
        <v>289.64</v>
      </c>
      <c r="C4" s="93">
        <v>137.35</v>
      </c>
      <c r="D4" s="93">
        <f>310.43-268</f>
        <v>42.43</v>
      </c>
      <c r="E4" s="93"/>
      <c r="F4" s="93"/>
      <c r="G4" s="93">
        <v>180.0</v>
      </c>
      <c r="H4" s="168"/>
      <c r="I4" s="93"/>
      <c r="J4" s="93">
        <f>297-99</f>
        <v>198</v>
      </c>
      <c r="K4" s="93"/>
      <c r="L4" s="93"/>
      <c r="M4" s="93"/>
      <c r="N4" s="93"/>
      <c r="O4" s="93"/>
      <c r="P4" s="160"/>
      <c r="Q4" s="93"/>
      <c r="R4" s="93"/>
      <c r="S4" s="93"/>
      <c r="T4" s="93"/>
      <c r="U4" s="93"/>
      <c r="V4" s="93"/>
      <c r="W4" s="93"/>
      <c r="X4" s="93"/>
      <c r="Y4" s="93"/>
      <c r="Z4" s="101"/>
      <c r="AA4" s="326"/>
      <c r="AB4" s="107">
        <f t="shared" si="5"/>
        <v>847.42</v>
      </c>
      <c r="AC4" s="380">
        <f>448+2136</f>
        <v>2584</v>
      </c>
      <c r="AD4" s="59">
        <f t="shared" si="1"/>
        <v>0.3279489164</v>
      </c>
      <c r="AE4" s="109">
        <f t="shared" si="2"/>
        <v>45525</v>
      </c>
      <c r="AF4" s="267"/>
      <c r="AG4" s="268">
        <f t="shared" si="3"/>
        <v>2584</v>
      </c>
    </row>
    <row r="5">
      <c r="A5" s="74">
        <f t="shared" si="4"/>
        <v>45526</v>
      </c>
      <c r="B5" s="93">
        <f>530-45.69-26.06-59.21</f>
        <v>399.04</v>
      </c>
      <c r="C5" s="93"/>
      <c r="D5" s="93"/>
      <c r="E5" s="93"/>
      <c r="F5" s="93"/>
      <c r="G5" s="93"/>
      <c r="H5" s="160"/>
      <c r="I5" s="93"/>
      <c r="J5" s="93"/>
      <c r="K5" s="93"/>
      <c r="L5" s="93"/>
      <c r="M5" s="93"/>
      <c r="N5" s="93"/>
      <c r="O5" s="93">
        <v>137.0</v>
      </c>
      <c r="P5" s="93"/>
      <c r="Q5" s="93"/>
      <c r="R5" s="93"/>
      <c r="S5" s="101"/>
      <c r="T5" s="93"/>
      <c r="U5" s="93"/>
      <c r="V5" s="93"/>
      <c r="W5" s="93"/>
      <c r="X5" s="93"/>
      <c r="Y5" s="101"/>
      <c r="Z5" s="101"/>
      <c r="AA5" s="327"/>
      <c r="AB5" s="7">
        <f t="shared" si="5"/>
        <v>536.04</v>
      </c>
      <c r="AC5" s="380">
        <f>188+1191</f>
        <v>1379</v>
      </c>
      <c r="AD5" s="59">
        <f t="shared" si="1"/>
        <v>0.3887164612</v>
      </c>
      <c r="AE5" s="109">
        <f t="shared" si="2"/>
        <v>45526</v>
      </c>
      <c r="AF5" s="267"/>
      <c r="AG5" s="268">
        <f t="shared" si="3"/>
        <v>1379</v>
      </c>
    </row>
    <row r="6">
      <c r="A6" s="74">
        <f t="shared" si="4"/>
        <v>45527</v>
      </c>
      <c r="B6" s="93">
        <f>1153.2-34.36-27.04-159.48-67.28-35.05-247.83</f>
        <v>582.16</v>
      </c>
      <c r="C6" s="361"/>
      <c r="D6" s="93"/>
      <c r="E6" s="93">
        <v>109.0</v>
      </c>
      <c r="F6" s="93"/>
      <c r="G6" s="93"/>
      <c r="H6" s="160"/>
      <c r="I6" s="93"/>
      <c r="J6" s="93">
        <v>297.0</v>
      </c>
      <c r="K6" s="93"/>
      <c r="L6" s="93">
        <v>166.4</v>
      </c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327"/>
      <c r="AB6" s="7">
        <f t="shared" si="5"/>
        <v>1154.56</v>
      </c>
      <c r="AC6" s="380">
        <f>258+7805</f>
        <v>8063</v>
      </c>
      <c r="AD6" s="59">
        <f t="shared" si="1"/>
        <v>0.1431923602</v>
      </c>
      <c r="AE6" s="109">
        <f t="shared" si="2"/>
        <v>45527</v>
      </c>
      <c r="AF6" s="267"/>
      <c r="AG6" s="268">
        <f t="shared" si="3"/>
        <v>8063</v>
      </c>
    </row>
    <row r="7">
      <c r="A7" s="74">
        <f t="shared" si="4"/>
        <v>45528</v>
      </c>
      <c r="B7" s="93">
        <f>630.6-36.7-68.11-14.91-46.98-49.45-17.95-58.93-9.88-9.36-26.37</f>
        <v>291.96</v>
      </c>
      <c r="C7" s="361"/>
      <c r="D7" s="93"/>
      <c r="E7" s="93"/>
      <c r="F7" s="402"/>
      <c r="G7" s="93">
        <v>180.0</v>
      </c>
      <c r="H7" s="93"/>
      <c r="I7" s="402"/>
      <c r="J7" s="180">
        <v>284.9</v>
      </c>
      <c r="K7" s="93"/>
      <c r="L7" s="93"/>
      <c r="M7" s="93">
        <v>47.8</v>
      </c>
      <c r="N7" s="93"/>
      <c r="O7" s="93"/>
      <c r="P7" s="402"/>
      <c r="Q7" s="93"/>
      <c r="R7" s="93"/>
      <c r="S7" s="101"/>
      <c r="T7" s="93"/>
      <c r="U7" s="93"/>
      <c r="V7" s="93"/>
      <c r="W7" s="93"/>
      <c r="X7" s="93"/>
      <c r="Y7" s="101"/>
      <c r="Z7" s="93"/>
      <c r="AA7" s="327"/>
      <c r="AB7" s="7">
        <f t="shared" si="5"/>
        <v>804.66</v>
      </c>
      <c r="AC7" s="380">
        <f>1773+8357</f>
        <v>10130</v>
      </c>
      <c r="AD7" s="59">
        <f t="shared" si="1"/>
        <v>0.07943336624</v>
      </c>
      <c r="AE7" s="109">
        <f t="shared" si="2"/>
        <v>45528</v>
      </c>
      <c r="AF7" s="267"/>
      <c r="AG7" s="268">
        <f t="shared" si="3"/>
        <v>10130</v>
      </c>
    </row>
    <row r="8">
      <c r="A8" s="74">
        <f t="shared" si="4"/>
        <v>45529</v>
      </c>
      <c r="B8" s="402"/>
      <c r="C8" s="93"/>
      <c r="D8" s="180">
        <v>605.59</v>
      </c>
      <c r="E8" s="112"/>
      <c r="F8" s="180">
        <v>443.43</v>
      </c>
      <c r="G8" s="10"/>
      <c r="H8" s="93"/>
      <c r="I8" s="402"/>
      <c r="J8" s="180">
        <f>284.9+197.5</f>
        <v>482.4</v>
      </c>
      <c r="K8" s="180">
        <f>1220.02-610.01</f>
        <v>610.01</v>
      </c>
      <c r="L8" s="112"/>
      <c r="M8" s="112"/>
      <c r="N8" s="93"/>
      <c r="O8" s="93"/>
      <c r="P8" s="180">
        <v>250.0</v>
      </c>
      <c r="Q8" s="180">
        <v>372.9</v>
      </c>
      <c r="R8" s="374"/>
      <c r="S8" s="112"/>
      <c r="T8" s="180">
        <f>480+247</f>
        <v>727</v>
      </c>
      <c r="U8" s="93"/>
      <c r="V8" s="112"/>
      <c r="W8" s="112"/>
      <c r="X8" s="112"/>
      <c r="Y8" s="112"/>
      <c r="Z8" s="112"/>
      <c r="AA8" s="93"/>
      <c r="AB8" s="7">
        <f t="shared" si="5"/>
        <v>3491.33</v>
      </c>
      <c r="AC8" s="380">
        <f>3015+1757</f>
        <v>4772</v>
      </c>
      <c r="AD8" s="59">
        <f t="shared" si="1"/>
        <v>0.7316282481</v>
      </c>
      <c r="AE8" s="109">
        <f t="shared" si="2"/>
        <v>45529</v>
      </c>
      <c r="AF8" s="267"/>
      <c r="AG8" s="268">
        <f t="shared" si="3"/>
        <v>4772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AC9" s="129"/>
      <c r="AE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AC10" s="129"/>
      <c r="AE10" s="106"/>
    </row>
    <row r="11">
      <c r="A11" s="165" t="s">
        <v>194</v>
      </c>
      <c r="B11" s="93">
        <f>35.05+36.42+57.76+16.45+7.47+67.28+24.04+150.45+31.26+9.8+28.79+58.36+28.83+17.64+45.69+26.06</f>
        <v>641.35</v>
      </c>
      <c r="C11" s="93"/>
      <c r="D11" s="93">
        <f>65.21+132</f>
        <v>197.21</v>
      </c>
      <c r="E11" s="167"/>
      <c r="F11" s="168"/>
      <c r="G11" s="168"/>
      <c r="H11" s="166"/>
      <c r="I11" s="166"/>
      <c r="J11" s="93"/>
      <c r="K11" s="168"/>
      <c r="L11" s="93"/>
      <c r="M11" s="166"/>
      <c r="N11" s="166"/>
      <c r="O11" s="168"/>
      <c r="P11" s="168"/>
      <c r="Q11" s="168"/>
      <c r="R11" s="168"/>
      <c r="S11" s="168"/>
      <c r="T11" s="168"/>
      <c r="U11" s="168"/>
      <c r="V11" s="168"/>
      <c r="W11" s="1"/>
      <c r="X11" s="168"/>
      <c r="Y11" s="168"/>
      <c r="Z11" s="1"/>
      <c r="AA11" s="1"/>
      <c r="AB11" s="1"/>
      <c r="AC11" s="169"/>
      <c r="AD11" s="1"/>
      <c r="AE11" s="170"/>
    </row>
    <row r="12">
      <c r="A12" s="165" t="s">
        <v>195</v>
      </c>
      <c r="B12" s="93">
        <f>36.4+30.96+286.32+47.56+34.36+27.04+159.48+67.28+35.05</f>
        <v>724.45</v>
      </c>
      <c r="C12" s="180">
        <v>359.29</v>
      </c>
      <c r="D12" s="93">
        <v>130.15</v>
      </c>
      <c r="E12" s="93"/>
      <c r="F12" s="93"/>
      <c r="G12" s="93"/>
      <c r="H12" s="93"/>
      <c r="I12" s="93">
        <f>(76.16+183.26)/2</f>
        <v>129.71</v>
      </c>
      <c r="J12" s="93">
        <v>99.0</v>
      </c>
      <c r="K12" s="93"/>
      <c r="L12" s="93">
        <v>28.0</v>
      </c>
      <c r="M12" s="93"/>
      <c r="N12" s="166">
        <f>72+78</f>
        <v>150</v>
      </c>
      <c r="O12" s="168"/>
      <c r="P12" s="168"/>
      <c r="Q12" s="166"/>
      <c r="R12" s="166"/>
      <c r="S12" s="168"/>
      <c r="T12" s="166"/>
      <c r="U12" s="168"/>
      <c r="V12" s="168"/>
      <c r="W12" s="1"/>
      <c r="X12" s="93"/>
      <c r="Y12" s="168"/>
      <c r="Z12" s="1"/>
      <c r="AA12" s="1"/>
      <c r="AB12" s="1"/>
      <c r="AC12" s="171"/>
      <c r="AD12" s="1"/>
      <c r="AE12" s="170"/>
    </row>
    <row r="13">
      <c r="A13" s="172" t="s">
        <v>590</v>
      </c>
      <c r="B13" s="93">
        <f>9.88+9.36+26.37+58.93+17.95+49.45+46.98</f>
        <v>218.92</v>
      </c>
      <c r="C13" s="93"/>
      <c r="D13" s="93"/>
      <c r="E13" s="168"/>
      <c r="F13" s="166"/>
      <c r="G13" s="166"/>
      <c r="H13" s="93"/>
      <c r="I13" s="166">
        <v>276.96</v>
      </c>
      <c r="J13" s="93"/>
      <c r="K13" s="166"/>
      <c r="L13" s="168"/>
      <c r="M13" s="168"/>
      <c r="N13" s="166"/>
      <c r="O13" s="93"/>
      <c r="P13" s="168"/>
      <c r="Q13" s="166"/>
      <c r="R13" s="168"/>
      <c r="S13" s="166"/>
      <c r="T13" s="168"/>
      <c r="U13" s="96"/>
      <c r="V13" s="1"/>
      <c r="W13" s="1"/>
      <c r="X13" s="168"/>
      <c r="Y13" s="168"/>
      <c r="Z13" s="1"/>
      <c r="AA13" s="1"/>
      <c r="AB13" s="1"/>
      <c r="AC13" s="174"/>
      <c r="AD13" s="1"/>
      <c r="AE13" s="170"/>
    </row>
    <row r="14">
      <c r="A14" s="172" t="s">
        <v>197</v>
      </c>
      <c r="B14" s="93">
        <v>19.04</v>
      </c>
      <c r="C14" s="93"/>
      <c r="D14" s="93"/>
      <c r="E14" s="168"/>
      <c r="F14" s="166"/>
      <c r="G14" s="166"/>
      <c r="H14" s="168"/>
      <c r="I14" s="168"/>
      <c r="J14" s="93"/>
      <c r="K14" s="168"/>
      <c r="L14" s="168"/>
      <c r="M14" s="168"/>
      <c r="N14" s="166"/>
      <c r="O14" s="168"/>
      <c r="P14" s="168"/>
      <c r="Q14" s="166"/>
      <c r="R14" s="168"/>
      <c r="S14" s="168"/>
      <c r="T14" s="168"/>
      <c r="U14" s="1"/>
      <c r="V14" s="1"/>
      <c r="W14" s="1"/>
      <c r="X14" s="168"/>
      <c r="Y14" s="168"/>
      <c r="Z14" s="1"/>
      <c r="AA14" s="1"/>
      <c r="AB14" s="1"/>
      <c r="AC14" s="174"/>
      <c r="AD14" s="1"/>
      <c r="AE14" s="170"/>
    </row>
    <row r="15">
      <c r="A15" s="165" t="s">
        <v>198</v>
      </c>
      <c r="B15" s="93">
        <f>27.7+138.39+41.92+138.39+59.21</f>
        <v>405.61</v>
      </c>
      <c r="C15" s="93"/>
      <c r="D15" s="93"/>
      <c r="E15" s="168"/>
      <c r="F15" s="166"/>
      <c r="G15" s="166"/>
      <c r="H15" s="168"/>
      <c r="I15" s="168"/>
      <c r="J15" s="93"/>
      <c r="K15" s="168"/>
      <c r="L15" s="168"/>
      <c r="M15" s="168"/>
      <c r="N15" s="166"/>
      <c r="O15" s="168"/>
      <c r="P15" s="168"/>
      <c r="Q15" s="166"/>
      <c r="R15" s="168"/>
      <c r="S15" s="168"/>
      <c r="T15" s="168"/>
      <c r="U15" s="1"/>
      <c r="V15" s="1"/>
      <c r="W15" s="1"/>
      <c r="X15" s="168"/>
      <c r="Y15" s="168"/>
      <c r="Z15" s="1"/>
      <c r="AA15" s="1"/>
      <c r="AB15" s="1"/>
      <c r="AC15" s="174"/>
      <c r="AD15" s="1"/>
      <c r="AE15" s="170"/>
    </row>
    <row r="16">
      <c r="A16" s="91"/>
      <c r="B16" s="375"/>
      <c r="C16" s="79"/>
      <c r="D16" s="79"/>
      <c r="E16" s="79"/>
      <c r="F16" s="78"/>
      <c r="G16" s="78"/>
      <c r="I16" s="78"/>
      <c r="J16" s="79"/>
      <c r="K16" s="79"/>
      <c r="L16" s="79"/>
      <c r="M16" s="79"/>
      <c r="N16" s="79"/>
      <c r="O16" s="79"/>
      <c r="R16" s="79"/>
      <c r="S16" s="79"/>
      <c r="T16" s="79"/>
      <c r="Y16" s="79"/>
      <c r="AC16" s="131"/>
      <c r="AE16" s="106"/>
    </row>
    <row r="17">
      <c r="A17" s="91"/>
      <c r="B17" s="92"/>
      <c r="C17" s="192"/>
      <c r="D17" s="78"/>
      <c r="E17" s="151"/>
      <c r="F17" s="201"/>
      <c r="G17" s="248"/>
      <c r="H17" s="192"/>
      <c r="I17" s="198"/>
      <c r="J17" s="201"/>
      <c r="K17" s="199"/>
      <c r="L17" s="199"/>
      <c r="M17" s="200"/>
      <c r="N17" s="202"/>
      <c r="O17" s="198"/>
      <c r="R17" s="198"/>
      <c r="S17" s="79"/>
      <c r="T17" s="198"/>
      <c r="U17" s="198"/>
      <c r="V17" s="198"/>
      <c r="W17" s="198"/>
      <c r="X17" s="199"/>
      <c r="Y17" s="79"/>
      <c r="AC17" s="131"/>
      <c r="AE17" s="106"/>
    </row>
    <row r="18">
      <c r="A18" s="4" t="s">
        <v>22</v>
      </c>
      <c r="B18" s="11">
        <v>10000.0</v>
      </c>
      <c r="C18" s="79"/>
      <c r="D18" s="79"/>
      <c r="E18" s="78"/>
      <c r="F18" s="213"/>
      <c r="G18" s="224"/>
      <c r="H18" s="192"/>
      <c r="K18" s="403"/>
      <c r="L18" s="201"/>
      <c r="M18" s="198"/>
      <c r="N18" s="200"/>
      <c r="O18" s="198"/>
      <c r="P18" s="204"/>
      <c r="R18" s="203"/>
      <c r="S18" s="79"/>
      <c r="T18" s="198"/>
      <c r="U18" s="198"/>
      <c r="V18" s="198"/>
      <c r="W18" s="198"/>
      <c r="X18" s="201"/>
      <c r="Y18" s="79"/>
      <c r="AC18" s="131"/>
      <c r="AE18" s="106"/>
    </row>
    <row r="19">
      <c r="A19" s="4" t="s">
        <v>23</v>
      </c>
      <c r="B19" s="12">
        <f>SUM(B2:AA8)</f>
        <v>8620.39</v>
      </c>
      <c r="C19" s="192"/>
      <c r="D19" s="177"/>
      <c r="E19" s="151"/>
      <c r="F19" s="213"/>
      <c r="G19" s="224"/>
      <c r="H19" s="192"/>
      <c r="I19" s="175"/>
      <c r="K19" s="384"/>
      <c r="L19" s="201"/>
      <c r="M19" s="201"/>
      <c r="N19" s="201"/>
      <c r="O19" s="198"/>
      <c r="P19" s="204"/>
      <c r="R19" s="203"/>
      <c r="S19" s="79"/>
      <c r="T19" s="198"/>
      <c r="U19" s="198"/>
      <c r="V19" s="198"/>
      <c r="W19" s="198"/>
      <c r="X19" s="191"/>
      <c r="Y19" s="79"/>
      <c r="AC19" s="131"/>
      <c r="AE19" s="106"/>
    </row>
    <row r="20">
      <c r="A20" s="4" t="s">
        <v>24</v>
      </c>
      <c r="B20" s="12">
        <f> SUM(B18-B19)</f>
        <v>1379.61</v>
      </c>
      <c r="C20" s="79"/>
      <c r="D20" s="78"/>
      <c r="E20" s="151"/>
      <c r="F20" s="201"/>
      <c r="G20" s="199"/>
      <c r="H20" s="203"/>
      <c r="I20" s="203"/>
      <c r="K20" s="203"/>
      <c r="L20" s="199"/>
      <c r="M20" s="201"/>
      <c r="N20" s="200"/>
      <c r="O20" s="198"/>
      <c r="P20" s="204"/>
      <c r="R20" s="203"/>
      <c r="S20" s="79"/>
      <c r="T20" s="198"/>
      <c r="U20" s="198"/>
      <c r="V20" s="198"/>
      <c r="W20" s="198"/>
      <c r="X20" s="203"/>
      <c r="Y20" s="79"/>
      <c r="AC20" s="131"/>
      <c r="AE20" s="106"/>
    </row>
    <row r="21">
      <c r="C21" s="79"/>
      <c r="D21" s="79"/>
      <c r="E21" s="78"/>
      <c r="F21" s="213"/>
      <c r="G21" s="201"/>
      <c r="H21" s="175"/>
      <c r="I21" s="345"/>
      <c r="J21" s="78"/>
      <c r="K21" s="351"/>
      <c r="N21" s="198"/>
      <c r="O21" s="198"/>
      <c r="P21" s="204"/>
      <c r="R21" s="203"/>
      <c r="S21" s="79"/>
      <c r="T21" s="198"/>
      <c r="U21" s="206"/>
      <c r="V21" s="198"/>
      <c r="W21" s="198"/>
      <c r="X21" s="203"/>
      <c r="Y21" s="79"/>
      <c r="AC21" s="131"/>
      <c r="AE21" s="106"/>
    </row>
    <row r="22">
      <c r="A22" s="13" t="s">
        <v>25</v>
      </c>
      <c r="B22" s="14">
        <f>SUM(AC2:AC8)</f>
        <v>30403</v>
      </c>
      <c r="C22" s="79"/>
      <c r="D22" s="79"/>
      <c r="E22" s="78"/>
      <c r="F22" s="201"/>
      <c r="G22" s="148"/>
      <c r="H22" s="175"/>
      <c r="I22" s="203"/>
      <c r="J22" s="78"/>
      <c r="K22" s="203"/>
      <c r="L22" s="203"/>
      <c r="M22" s="203"/>
      <c r="N22" s="198"/>
      <c r="O22" s="198"/>
      <c r="P22" s="204"/>
      <c r="R22" s="203"/>
      <c r="S22" s="79"/>
      <c r="T22" s="198"/>
      <c r="U22" s="198"/>
      <c r="V22" s="198"/>
      <c r="W22" s="198"/>
      <c r="X22" s="203"/>
      <c r="Y22" s="79"/>
      <c r="AC22" s="181"/>
      <c r="AE22" s="106"/>
    </row>
    <row r="23">
      <c r="A23" s="13" t="s">
        <v>26</v>
      </c>
      <c r="B23" s="15">
        <f>B19/B22</f>
        <v>0.2835374799</v>
      </c>
      <c r="C23" s="79"/>
      <c r="D23" s="79"/>
      <c r="E23" s="78"/>
      <c r="F23" s="204"/>
      <c r="G23" s="78"/>
      <c r="H23" s="192"/>
      <c r="I23" s="203"/>
      <c r="J23" s="78"/>
      <c r="K23" s="203"/>
      <c r="L23" s="203"/>
      <c r="M23" s="203"/>
      <c r="N23" s="203"/>
      <c r="O23" s="198"/>
      <c r="P23" s="204"/>
      <c r="R23" s="203"/>
      <c r="S23" s="79"/>
      <c r="T23" s="198"/>
      <c r="U23" s="198"/>
      <c r="V23" s="198"/>
      <c r="W23" s="198"/>
      <c r="X23" s="203"/>
      <c r="Y23" s="79"/>
      <c r="AC23" s="130"/>
      <c r="AE23" s="106"/>
    </row>
    <row r="24">
      <c r="C24" s="79"/>
      <c r="D24" s="79"/>
      <c r="E24" s="78"/>
      <c r="F24" s="204"/>
      <c r="G24" s="78"/>
      <c r="H24" s="192"/>
      <c r="I24" s="78"/>
      <c r="J24" s="78"/>
      <c r="K24" s="203"/>
      <c r="L24" s="203"/>
      <c r="M24" s="203"/>
      <c r="N24" s="201"/>
      <c r="O24" s="198"/>
      <c r="P24" s="204"/>
      <c r="R24" s="198"/>
      <c r="S24" s="79"/>
      <c r="T24" s="198"/>
      <c r="U24" s="198"/>
      <c r="V24" s="198"/>
      <c r="W24" s="198"/>
      <c r="X24" s="203"/>
      <c r="Y24" s="79"/>
      <c r="AC24" s="182"/>
      <c r="AE24" s="106"/>
    </row>
    <row r="25">
      <c r="C25" s="79"/>
      <c r="D25" s="79"/>
      <c r="E25" s="79"/>
      <c r="F25" s="204"/>
      <c r="G25" s="78"/>
      <c r="H25" s="78"/>
      <c r="I25" s="203"/>
      <c r="J25" s="212"/>
      <c r="K25" s="203"/>
      <c r="L25" s="203"/>
      <c r="M25" s="203"/>
      <c r="N25" s="201"/>
      <c r="O25" s="198"/>
      <c r="P25" s="204"/>
      <c r="R25" s="198"/>
      <c r="S25" s="79"/>
      <c r="T25" s="198"/>
      <c r="U25" s="198"/>
      <c r="V25" s="198"/>
      <c r="W25" s="198"/>
      <c r="X25" s="203"/>
      <c r="Y25" s="79"/>
      <c r="AC25" s="130"/>
      <c r="AE25" s="106"/>
    </row>
    <row r="26">
      <c r="A26" s="16" t="s">
        <v>27</v>
      </c>
      <c r="B26" s="17"/>
      <c r="C26" s="114"/>
      <c r="D26" s="114"/>
      <c r="E26" s="115"/>
      <c r="F26" s="204"/>
      <c r="G26" s="78"/>
      <c r="H26" s="192"/>
      <c r="I26" s="78"/>
      <c r="J26" s="79"/>
      <c r="K26" s="203"/>
      <c r="L26" s="217"/>
      <c r="M26" s="208"/>
      <c r="N26" s="198"/>
      <c r="O26" s="198"/>
      <c r="P26" s="204"/>
      <c r="R26" s="200"/>
      <c r="S26" s="79"/>
      <c r="T26" s="198"/>
      <c r="U26" s="198"/>
      <c r="V26" s="198"/>
      <c r="W26" s="198"/>
      <c r="X26" s="203"/>
      <c r="Y26" s="79"/>
      <c r="AC26" s="130"/>
      <c r="AE26" s="106"/>
    </row>
    <row r="27">
      <c r="A27" s="19" t="s">
        <v>28</v>
      </c>
      <c r="B27" s="20"/>
      <c r="C27" s="116"/>
      <c r="D27" s="116"/>
      <c r="E27" s="117"/>
      <c r="F27" s="204"/>
      <c r="G27" s="212"/>
      <c r="H27" s="78"/>
      <c r="I27" s="224"/>
      <c r="J27" s="79"/>
      <c r="K27" s="203"/>
      <c r="L27" s="203"/>
      <c r="M27" s="209"/>
      <c r="N27" s="201"/>
      <c r="O27" s="198"/>
      <c r="P27" s="204"/>
      <c r="R27" s="198"/>
      <c r="S27" s="79"/>
      <c r="T27" s="198"/>
      <c r="U27" s="198"/>
      <c r="V27" s="198"/>
      <c r="W27" s="198"/>
      <c r="X27" s="203"/>
      <c r="Y27" s="79"/>
      <c r="AC27" s="130"/>
      <c r="AE27" s="106"/>
    </row>
    <row r="28">
      <c r="A28" s="183" t="s">
        <v>29</v>
      </c>
      <c r="B28" s="184" t="s">
        <v>30</v>
      </c>
      <c r="C28" s="183"/>
      <c r="D28" s="183" t="s">
        <v>170</v>
      </c>
      <c r="E28" s="219" t="s">
        <v>171</v>
      </c>
      <c r="F28" s="204"/>
      <c r="G28" s="79"/>
      <c r="H28" s="404"/>
      <c r="I28" s="79"/>
      <c r="J28" s="79"/>
      <c r="K28" s="203"/>
      <c r="L28" s="201"/>
      <c r="M28" s="209"/>
      <c r="N28" s="198"/>
      <c r="O28" s="198"/>
      <c r="P28" s="204"/>
      <c r="R28" s="198"/>
      <c r="S28" s="79"/>
      <c r="T28" s="198"/>
      <c r="U28" s="198"/>
      <c r="V28" s="198"/>
      <c r="W28" s="198"/>
      <c r="X28" s="203"/>
      <c r="Y28" s="79"/>
      <c r="Z28" s="195"/>
      <c r="AC28" s="130"/>
      <c r="AE28" s="106"/>
    </row>
    <row r="29">
      <c r="A29" s="405" t="s">
        <v>542</v>
      </c>
      <c r="B29" s="406">
        <f>1386+1578</f>
        <v>2964</v>
      </c>
      <c r="C29" s="407"/>
      <c r="D29" s="407"/>
      <c r="E29" s="407"/>
      <c r="O29" s="79"/>
      <c r="S29" s="79"/>
      <c r="T29" s="79"/>
      <c r="Y29" s="79"/>
      <c r="AC29" s="130"/>
      <c r="AE29" s="106"/>
    </row>
    <row r="30">
      <c r="A30" s="316" t="s">
        <v>544</v>
      </c>
      <c r="B30" s="408">
        <f>582.82</f>
        <v>582.82</v>
      </c>
      <c r="C30" s="409"/>
      <c r="D30" s="409"/>
      <c r="E30" s="409"/>
      <c r="J30" s="389"/>
      <c r="O30" s="79"/>
      <c r="S30" s="79"/>
      <c r="T30" s="79"/>
      <c r="Y30" s="79"/>
      <c r="AC30" s="130"/>
      <c r="AE30" s="106"/>
    </row>
    <row r="31">
      <c r="A31" s="316" t="s">
        <v>549</v>
      </c>
      <c r="B31" s="408">
        <v>476.2</v>
      </c>
      <c r="C31" s="409"/>
      <c r="D31" s="409"/>
      <c r="E31" s="409"/>
      <c r="O31" s="79"/>
      <c r="S31" s="79"/>
      <c r="T31" s="79"/>
      <c r="Y31" s="79"/>
      <c r="AC31" s="130"/>
      <c r="AE31" s="106"/>
    </row>
    <row r="32">
      <c r="A32" s="316" t="s">
        <v>591</v>
      </c>
      <c r="B32" s="408">
        <f>979</f>
        <v>979</v>
      </c>
      <c r="C32" s="235"/>
      <c r="D32" s="235"/>
      <c r="E32" s="235">
        <f>B32/2</f>
        <v>489.5</v>
      </c>
      <c r="O32" s="79"/>
      <c r="S32" s="79"/>
      <c r="T32" s="79"/>
      <c r="Y32" s="79"/>
      <c r="AC32" s="130"/>
      <c r="AE32" s="106"/>
    </row>
    <row r="33">
      <c r="A33" s="410" t="s">
        <v>572</v>
      </c>
      <c r="B33" s="411">
        <v>763.39</v>
      </c>
      <c r="C33" s="412"/>
      <c r="D33" s="412"/>
      <c r="E33" s="412"/>
      <c r="O33" s="79"/>
      <c r="S33" s="79"/>
      <c r="T33" s="79"/>
      <c r="Y33" s="79"/>
      <c r="AC33" s="130"/>
      <c r="AE33" s="106"/>
    </row>
    <row r="34">
      <c r="A34" s="399" t="s">
        <v>573</v>
      </c>
      <c r="B34" s="400">
        <f>680.9</f>
        <v>680.9</v>
      </c>
      <c r="C34" s="401"/>
      <c r="D34" s="401"/>
      <c r="E34" s="401"/>
      <c r="O34" s="79"/>
      <c r="S34" s="79"/>
      <c r="T34" s="79"/>
      <c r="Y34" s="79"/>
      <c r="AC34" s="130"/>
      <c r="AE34" s="106"/>
    </row>
    <row r="35">
      <c r="A35" s="399" t="s">
        <v>592</v>
      </c>
      <c r="B35" s="400">
        <f>811.5</f>
        <v>811.5</v>
      </c>
      <c r="C35" s="401"/>
      <c r="D35" s="401"/>
      <c r="E35" s="401">
        <f>B35/2</f>
        <v>405.75</v>
      </c>
      <c r="O35" s="79"/>
      <c r="S35" s="79"/>
      <c r="T35" s="79"/>
      <c r="Y35" s="79"/>
      <c r="AC35" s="130"/>
      <c r="AE35" s="106"/>
    </row>
    <row r="36">
      <c r="A36" s="413" t="s">
        <v>593</v>
      </c>
      <c r="B36" s="414">
        <v>558.9</v>
      </c>
      <c r="C36" s="415"/>
      <c r="D36" s="415"/>
      <c r="E36" s="415"/>
      <c r="O36" s="79"/>
      <c r="S36" s="79"/>
      <c r="T36" s="79"/>
      <c r="Y36" s="79"/>
      <c r="AC36" s="130"/>
      <c r="AE36" s="106"/>
    </row>
    <row r="37">
      <c r="A37" s="413" t="s">
        <v>594</v>
      </c>
      <c r="B37" s="414">
        <v>247.83</v>
      </c>
      <c r="C37" s="415"/>
      <c r="D37" s="415"/>
      <c r="E37" s="415"/>
      <c r="O37" s="79"/>
      <c r="S37" s="79"/>
      <c r="T37" s="79"/>
      <c r="Y37" s="79"/>
      <c r="AC37" s="130"/>
      <c r="AE37" s="106"/>
    </row>
    <row r="38">
      <c r="A38" s="413" t="s">
        <v>595</v>
      </c>
      <c r="B38" s="414">
        <v>284.9</v>
      </c>
      <c r="C38" s="415"/>
      <c r="D38" s="415"/>
      <c r="E38" s="415"/>
      <c r="O38" s="79"/>
      <c r="S38" s="79"/>
      <c r="T38" s="79"/>
      <c r="Y38" s="79"/>
      <c r="AC38" s="130"/>
      <c r="AE38" s="106"/>
    </row>
    <row r="39">
      <c r="A39" s="413" t="s">
        <v>596</v>
      </c>
      <c r="B39" s="414">
        <v>268.0</v>
      </c>
      <c r="C39" s="415"/>
      <c r="D39" s="415"/>
      <c r="E39" s="415"/>
      <c r="O39" s="79"/>
      <c r="S39" s="79"/>
      <c r="T39" s="79"/>
      <c r="Y39" s="79"/>
      <c r="AC39" s="130"/>
      <c r="AE39" s="106"/>
    </row>
    <row r="40">
      <c r="C40" s="79"/>
      <c r="D40" s="79"/>
      <c r="E40" s="79"/>
      <c r="O40" s="79"/>
      <c r="S40" s="79"/>
      <c r="T40" s="79"/>
      <c r="Y40" s="79"/>
      <c r="AC40" s="130"/>
      <c r="AE40" s="106"/>
    </row>
    <row r="41">
      <c r="A41" s="274"/>
      <c r="B41" s="275" t="s">
        <v>315</v>
      </c>
      <c r="F41" s="274"/>
      <c r="G41" s="274"/>
      <c r="H41" s="274"/>
      <c r="I41" s="274"/>
      <c r="J41" s="274"/>
      <c r="K41" s="274"/>
      <c r="L41" s="274"/>
      <c r="M41" s="274"/>
      <c r="N41" s="274"/>
      <c r="O41" s="274"/>
      <c r="P41" s="274"/>
      <c r="Q41" s="274"/>
      <c r="R41" s="274"/>
      <c r="S41" s="274"/>
      <c r="T41" s="274"/>
      <c r="U41" s="274"/>
      <c r="V41" s="274"/>
      <c r="W41" s="274"/>
      <c r="X41" s="274"/>
      <c r="Y41" s="274"/>
      <c r="Z41" s="274"/>
      <c r="AA41" s="274"/>
      <c r="AB41" s="274"/>
      <c r="AC41" s="276"/>
      <c r="AD41" s="274"/>
      <c r="AE41" s="277"/>
      <c r="AF41" s="274"/>
      <c r="AG41" s="274"/>
      <c r="AH41" s="274"/>
    </row>
    <row r="42">
      <c r="A42" s="16" t="s">
        <v>316</v>
      </c>
      <c r="B42" s="17"/>
      <c r="C42" s="114"/>
      <c r="D42" s="114"/>
      <c r="E42" s="115"/>
      <c r="O42" s="79"/>
      <c r="S42" s="79"/>
      <c r="T42" s="79"/>
      <c r="Y42" s="79"/>
      <c r="AC42" s="130"/>
      <c r="AE42" s="106"/>
    </row>
    <row r="43">
      <c r="A43" s="19" t="s">
        <v>317</v>
      </c>
      <c r="B43" s="20"/>
      <c r="C43" s="116"/>
      <c r="D43" s="116"/>
      <c r="E43" s="117"/>
      <c r="O43" s="79"/>
      <c r="S43" s="79"/>
      <c r="T43" s="79"/>
      <c r="Y43" s="79"/>
      <c r="AC43" s="130"/>
      <c r="AE43" s="106"/>
    </row>
    <row r="44">
      <c r="A44" s="278" t="s">
        <v>318</v>
      </c>
      <c r="B44" s="279" t="s">
        <v>319</v>
      </c>
      <c r="C44" s="280" t="s">
        <v>285</v>
      </c>
      <c r="D44" s="280" t="s">
        <v>30</v>
      </c>
      <c r="E44" s="281" t="s">
        <v>320</v>
      </c>
      <c r="F44" s="281" t="s">
        <v>321</v>
      </c>
      <c r="O44" s="79"/>
      <c r="S44" s="79"/>
      <c r="T44" s="79"/>
      <c r="Y44" s="79"/>
      <c r="AC44" s="130"/>
      <c r="AE44" s="106"/>
    </row>
    <row r="45" hidden="1">
      <c r="A45" s="304" t="s">
        <v>432</v>
      </c>
      <c r="B45" s="305">
        <v>45461.0</v>
      </c>
      <c r="C45" s="234" t="s">
        <v>325</v>
      </c>
      <c r="D45" s="178">
        <v>1211.18</v>
      </c>
      <c r="E45" s="308">
        <v>45489.0</v>
      </c>
      <c r="F45" s="307">
        <f>D45/2</f>
        <v>605.59</v>
      </c>
      <c r="O45" s="79"/>
      <c r="S45" s="79"/>
      <c r="T45" s="79"/>
      <c r="Y45" s="79"/>
      <c r="AC45" s="130"/>
      <c r="AE45" s="106"/>
    </row>
    <row r="46">
      <c r="A46" s="304" t="s">
        <v>447</v>
      </c>
      <c r="B46" s="305">
        <v>45468.0</v>
      </c>
      <c r="C46" s="234" t="s">
        <v>325</v>
      </c>
      <c r="D46" s="178">
        <v>1263.05</v>
      </c>
      <c r="E46" s="308">
        <v>45496.0</v>
      </c>
      <c r="F46" s="235"/>
      <c r="O46" s="79"/>
      <c r="S46" s="79"/>
      <c r="T46" s="79"/>
      <c r="Y46" s="79"/>
      <c r="AC46" s="130"/>
      <c r="AE46" s="106"/>
    </row>
    <row r="47">
      <c r="A47" s="304" t="s">
        <v>458</v>
      </c>
      <c r="B47" s="305">
        <v>45475.0</v>
      </c>
      <c r="C47" s="234" t="s">
        <v>325</v>
      </c>
      <c r="D47" s="178">
        <v>1249.27</v>
      </c>
      <c r="E47" s="308">
        <v>45503.0</v>
      </c>
      <c r="F47" s="235"/>
      <c r="O47" s="79"/>
      <c r="S47" s="79"/>
      <c r="T47" s="79"/>
      <c r="Y47" s="79"/>
      <c r="AC47" s="130"/>
      <c r="AE47" s="106"/>
    </row>
    <row r="48">
      <c r="A48" s="304" t="s">
        <v>472</v>
      </c>
      <c r="B48" s="305">
        <v>45482.0</v>
      </c>
      <c r="C48" s="234" t="s">
        <v>325</v>
      </c>
      <c r="D48" s="178">
        <v>1248.68</v>
      </c>
      <c r="E48" s="308">
        <v>45510.0</v>
      </c>
      <c r="F48" s="235"/>
      <c r="O48" s="79"/>
      <c r="S48" s="79"/>
      <c r="T48" s="79"/>
      <c r="Y48" s="79"/>
      <c r="AC48" s="130"/>
      <c r="AE48" s="106"/>
    </row>
    <row r="49">
      <c r="A49" s="304" t="s">
        <v>495</v>
      </c>
      <c r="B49" s="305">
        <v>45489.0</v>
      </c>
      <c r="C49" s="234" t="s">
        <v>325</v>
      </c>
      <c r="D49" s="178">
        <v>1228.43</v>
      </c>
      <c r="E49" s="308"/>
      <c r="F49" s="235"/>
      <c r="O49" s="79"/>
      <c r="S49" s="79"/>
      <c r="T49" s="79"/>
      <c r="Y49" s="79"/>
      <c r="AC49" s="130"/>
      <c r="AE49" s="106"/>
    </row>
    <row r="50">
      <c r="A50" s="304" t="s">
        <v>510</v>
      </c>
      <c r="B50" s="305">
        <v>45496.0</v>
      </c>
      <c r="C50" s="234" t="s">
        <v>325</v>
      </c>
      <c r="D50" s="178">
        <v>1194.77</v>
      </c>
      <c r="E50" s="308"/>
      <c r="F50" s="235"/>
      <c r="O50" s="79"/>
      <c r="S50" s="79"/>
      <c r="T50" s="79"/>
      <c r="Y50" s="79"/>
      <c r="AC50" s="130"/>
      <c r="AE50" s="106"/>
    </row>
    <row r="51">
      <c r="A51" s="304" t="s">
        <v>530</v>
      </c>
      <c r="B51" s="305">
        <v>45503.0</v>
      </c>
      <c r="C51" s="234" t="s">
        <v>325</v>
      </c>
      <c r="D51" s="178">
        <v>1211.18</v>
      </c>
      <c r="E51" s="308"/>
      <c r="F51" s="235"/>
      <c r="O51" s="79"/>
      <c r="S51" s="79"/>
      <c r="T51" s="79"/>
      <c r="Y51" s="79"/>
      <c r="AC51" s="130"/>
      <c r="AE51" s="106"/>
    </row>
    <row r="52">
      <c r="A52" s="304" t="s">
        <v>553</v>
      </c>
      <c r="B52" s="305">
        <v>45510.0</v>
      </c>
      <c r="C52" s="234" t="s">
        <v>325</v>
      </c>
      <c r="D52" s="178">
        <v>1409.57</v>
      </c>
      <c r="E52" s="308"/>
      <c r="F52" s="235"/>
      <c r="O52" s="79"/>
      <c r="S52" s="79"/>
      <c r="T52" s="79"/>
      <c r="Y52" s="79"/>
      <c r="AC52" s="130"/>
      <c r="AE52" s="106"/>
    </row>
    <row r="53">
      <c r="A53" s="304" t="s">
        <v>578</v>
      </c>
      <c r="B53" s="305">
        <v>45517.0</v>
      </c>
      <c r="C53" s="234" t="s">
        <v>325</v>
      </c>
      <c r="D53" s="178">
        <v>1391.12</v>
      </c>
      <c r="E53" s="308"/>
      <c r="F53" s="235"/>
      <c r="O53" s="79"/>
      <c r="S53" s="79"/>
      <c r="T53" s="79"/>
      <c r="Y53" s="79"/>
      <c r="AC53" s="130"/>
      <c r="AE53" s="106"/>
    </row>
    <row r="54">
      <c r="A54" s="304" t="s">
        <v>597</v>
      </c>
      <c r="B54" s="305">
        <v>45525.0</v>
      </c>
      <c r="C54" s="234" t="s">
        <v>325</v>
      </c>
      <c r="D54" s="178">
        <v>1420.83</v>
      </c>
      <c r="E54" s="308"/>
      <c r="F54" s="235"/>
      <c r="O54" s="79"/>
      <c r="S54" s="79"/>
      <c r="T54" s="79"/>
      <c r="Y54" s="79"/>
      <c r="AC54" s="130"/>
      <c r="AE54" s="106"/>
    </row>
    <row r="55">
      <c r="A55" s="282" t="s">
        <v>435</v>
      </c>
      <c r="B55" s="283">
        <v>45461.0</v>
      </c>
      <c r="C55" s="166" t="s">
        <v>379</v>
      </c>
      <c r="D55" s="93">
        <v>1455.7</v>
      </c>
      <c r="E55" s="337">
        <v>45496.0</v>
      </c>
      <c r="F55" s="6"/>
      <c r="O55" s="79"/>
      <c r="S55" s="79"/>
      <c r="T55" s="79"/>
      <c r="Y55" s="79"/>
      <c r="AC55" s="130"/>
      <c r="AE55" s="106"/>
    </row>
    <row r="56">
      <c r="A56" s="282" t="s">
        <v>483</v>
      </c>
      <c r="B56" s="283">
        <v>45482.0</v>
      </c>
      <c r="C56" s="166" t="s">
        <v>482</v>
      </c>
      <c r="D56" s="93">
        <v>463.6</v>
      </c>
      <c r="E56" s="291"/>
      <c r="F56" s="6"/>
      <c r="O56" s="79"/>
      <c r="S56" s="79"/>
      <c r="T56" s="79"/>
      <c r="Y56" s="79"/>
      <c r="AC56" s="130"/>
      <c r="AE56" s="106"/>
    </row>
    <row r="57">
      <c r="A57" s="282" t="s">
        <v>496</v>
      </c>
      <c r="B57" s="283">
        <v>45492.0</v>
      </c>
      <c r="C57" s="166" t="s">
        <v>497</v>
      </c>
      <c r="D57" s="93">
        <f>297+284.9+570-297-284.9</f>
        <v>570</v>
      </c>
      <c r="E57" s="291"/>
      <c r="F57" s="6"/>
      <c r="O57" s="79"/>
      <c r="S57" s="79"/>
      <c r="T57" s="79"/>
      <c r="Y57" s="79"/>
      <c r="AC57" s="130"/>
      <c r="AE57" s="106"/>
    </row>
    <row r="58">
      <c r="A58" s="282" t="s">
        <v>537</v>
      </c>
      <c r="B58" s="283">
        <v>45506.0</v>
      </c>
      <c r="C58" s="166" t="s">
        <v>538</v>
      </c>
      <c r="D58" s="93">
        <v>1662.01</v>
      </c>
      <c r="E58" s="291"/>
      <c r="F58" s="6"/>
      <c r="O58" s="79"/>
      <c r="S58" s="79"/>
      <c r="T58" s="79"/>
      <c r="Y58" s="79"/>
      <c r="AC58" s="130"/>
      <c r="AE58" s="106"/>
    </row>
    <row r="59">
      <c r="A59" s="282" t="s">
        <v>580</v>
      </c>
      <c r="B59" s="283">
        <v>45517.0</v>
      </c>
      <c r="C59" s="166" t="s">
        <v>229</v>
      </c>
      <c r="D59" s="93">
        <v>795.2</v>
      </c>
      <c r="E59" s="291"/>
      <c r="F59" s="6"/>
      <c r="O59" s="79"/>
      <c r="S59" s="79"/>
      <c r="T59" s="79"/>
      <c r="Y59" s="79"/>
      <c r="AC59" s="130"/>
      <c r="AE59" s="106"/>
    </row>
    <row r="60">
      <c r="A60" s="282" t="s">
        <v>581</v>
      </c>
      <c r="B60" s="283">
        <v>45518.0</v>
      </c>
      <c r="C60" s="166" t="s">
        <v>355</v>
      </c>
      <c r="D60" s="93">
        <f>443.43-15</f>
        <v>428.43</v>
      </c>
      <c r="E60" s="291"/>
      <c r="F60" s="6"/>
      <c r="O60" s="79"/>
      <c r="S60" s="79"/>
      <c r="T60" s="79"/>
      <c r="Y60" s="79"/>
      <c r="AC60" s="130"/>
      <c r="AE60" s="106"/>
    </row>
    <row r="61">
      <c r="A61" s="282" t="s">
        <v>582</v>
      </c>
      <c r="B61" s="283">
        <v>45520.0</v>
      </c>
      <c r="C61" s="166" t="s">
        <v>583</v>
      </c>
      <c r="D61" s="44">
        <f>680.9-284.9</f>
        <v>396</v>
      </c>
      <c r="E61" s="291"/>
      <c r="F61" s="6"/>
      <c r="O61" s="79"/>
      <c r="S61" s="79"/>
      <c r="T61" s="79"/>
      <c r="Y61" s="79"/>
      <c r="AC61" s="130"/>
      <c r="AE61" s="106"/>
    </row>
    <row r="62">
      <c r="A62" s="282" t="s">
        <v>584</v>
      </c>
      <c r="B62" s="283">
        <v>359.29</v>
      </c>
      <c r="C62" s="166" t="s">
        <v>585</v>
      </c>
      <c r="D62" s="93">
        <v>359.29</v>
      </c>
      <c r="E62" s="291"/>
      <c r="F62" s="6"/>
      <c r="O62" s="79"/>
      <c r="S62" s="79"/>
      <c r="T62" s="79"/>
      <c r="Y62" s="79"/>
      <c r="AC62" s="130"/>
      <c r="AE62" s="106"/>
    </row>
    <row r="63">
      <c r="A63" s="282" t="s">
        <v>598</v>
      </c>
      <c r="B63" s="283">
        <v>45526.0</v>
      </c>
      <c r="C63" s="166" t="s">
        <v>37</v>
      </c>
      <c r="D63" s="93">
        <v>375.0</v>
      </c>
      <c r="E63" s="291"/>
      <c r="F63" s="6"/>
      <c r="O63" s="79"/>
      <c r="S63" s="79"/>
      <c r="T63" s="79"/>
      <c r="Y63" s="79"/>
      <c r="AC63" s="130"/>
      <c r="AE63" s="106"/>
    </row>
    <row r="64">
      <c r="A64" s="282" t="s">
        <v>599</v>
      </c>
      <c r="B64" s="283">
        <v>45525.0</v>
      </c>
      <c r="C64" s="166" t="s">
        <v>600</v>
      </c>
      <c r="D64" s="93">
        <v>268.0</v>
      </c>
      <c r="E64" s="291"/>
      <c r="F64" s="6"/>
      <c r="O64" s="79"/>
      <c r="S64" s="79"/>
      <c r="T64" s="79"/>
      <c r="Y64" s="79"/>
      <c r="AC64" s="130"/>
      <c r="AE64" s="106"/>
    </row>
    <row r="65">
      <c r="A65" s="282" t="s">
        <v>601</v>
      </c>
      <c r="B65" s="283">
        <v>45527.0</v>
      </c>
      <c r="C65" s="166" t="s">
        <v>602</v>
      </c>
      <c r="D65" s="93">
        <f>76.16+183.26</f>
        <v>259.42</v>
      </c>
      <c r="E65" s="291"/>
      <c r="F65" s="6"/>
      <c r="O65" s="79"/>
      <c r="S65" s="79"/>
      <c r="T65" s="79"/>
      <c r="Y65" s="79"/>
      <c r="AC65" s="130"/>
      <c r="AE65" s="106"/>
    </row>
    <row r="66">
      <c r="A66" s="282" t="s">
        <v>603</v>
      </c>
      <c r="B66" s="283">
        <v>45527.0</v>
      </c>
      <c r="C66" s="166" t="s">
        <v>604</v>
      </c>
      <c r="D66" s="93">
        <v>247.83</v>
      </c>
      <c r="E66" s="291"/>
      <c r="F66" s="6"/>
      <c r="O66" s="79"/>
      <c r="S66" s="79"/>
      <c r="T66" s="79"/>
      <c r="Y66" s="79"/>
      <c r="AC66" s="130"/>
      <c r="AE66" s="106"/>
    </row>
    <row r="67">
      <c r="A67" s="282" t="s">
        <v>605</v>
      </c>
      <c r="B67" s="283">
        <v>45527.0</v>
      </c>
      <c r="C67" s="166" t="s">
        <v>233</v>
      </c>
      <c r="D67" s="93">
        <v>284.9</v>
      </c>
      <c r="E67" s="291"/>
      <c r="F67" s="6"/>
      <c r="O67" s="79"/>
      <c r="S67" s="79"/>
      <c r="T67" s="79"/>
      <c r="Y67" s="79"/>
      <c r="AC67" s="130"/>
      <c r="AE67" s="106"/>
    </row>
    <row r="68">
      <c r="A68" s="282" t="s">
        <v>606</v>
      </c>
      <c r="B68" s="283">
        <v>45524.0</v>
      </c>
      <c r="C68" s="166" t="s">
        <v>536</v>
      </c>
      <c r="D68" s="93">
        <v>1160.0</v>
      </c>
      <c r="E68" s="291"/>
      <c r="F68" s="6"/>
      <c r="O68" s="79"/>
      <c r="S68" s="79"/>
      <c r="T68" s="79"/>
      <c r="Y68" s="79"/>
      <c r="AC68" s="130"/>
      <c r="AE68" s="106"/>
    </row>
    <row r="69">
      <c r="A69" s="282" t="s">
        <v>607</v>
      </c>
      <c r="B69" s="283">
        <v>45528.0</v>
      </c>
      <c r="C69" s="166" t="s">
        <v>608</v>
      </c>
      <c r="D69" s="93">
        <v>363.74</v>
      </c>
      <c r="E69" s="291" t="s">
        <v>609</v>
      </c>
      <c r="F69" s="6"/>
      <c r="O69" s="79"/>
      <c r="S69" s="79"/>
      <c r="T69" s="79"/>
      <c r="Y69" s="79"/>
      <c r="AC69" s="130"/>
      <c r="AE69" s="106"/>
    </row>
    <row r="70">
      <c r="A70" s="282" t="s">
        <v>610</v>
      </c>
      <c r="B70" s="283">
        <v>45525.0</v>
      </c>
      <c r="C70" s="166" t="s">
        <v>355</v>
      </c>
      <c r="D70" s="93">
        <f>558.9-15</f>
        <v>543.9</v>
      </c>
      <c r="E70" s="291"/>
      <c r="F70" s="6"/>
      <c r="O70" s="79"/>
      <c r="S70" s="79"/>
      <c r="T70" s="79"/>
      <c r="Y70" s="79"/>
      <c r="AC70" s="130"/>
      <c r="AE70" s="106"/>
    </row>
    <row r="71">
      <c r="A71" s="282"/>
      <c r="B71" s="283"/>
      <c r="C71" s="166"/>
      <c r="D71" s="93"/>
      <c r="E71" s="291"/>
      <c r="F71" s="6"/>
      <c r="O71" s="79"/>
      <c r="S71" s="79"/>
      <c r="T71" s="79"/>
      <c r="Y71" s="79"/>
      <c r="AC71" s="130"/>
      <c r="AE71" s="106"/>
    </row>
    <row r="72">
      <c r="A72" s="282"/>
      <c r="B72" s="283"/>
      <c r="C72" s="166"/>
      <c r="D72" s="93"/>
      <c r="E72" s="291"/>
      <c r="F72" s="6"/>
      <c r="O72" s="79"/>
      <c r="S72" s="79"/>
      <c r="T72" s="79"/>
      <c r="Y72" s="79"/>
      <c r="AC72" s="130"/>
      <c r="AE72" s="106"/>
    </row>
    <row r="73">
      <c r="A73" s="282"/>
      <c r="B73" s="283"/>
      <c r="C73" s="166"/>
      <c r="D73" s="93"/>
      <c r="E73" s="291"/>
      <c r="F73" s="6"/>
      <c r="O73" s="79"/>
      <c r="S73" s="79"/>
      <c r="T73" s="79"/>
      <c r="Y73" s="79"/>
      <c r="AC73" s="130"/>
      <c r="AE73" s="106"/>
    </row>
    <row r="74">
      <c r="A74" s="282"/>
      <c r="B74" s="283"/>
      <c r="C74" s="166"/>
      <c r="D74" s="93"/>
      <c r="E74" s="291"/>
      <c r="F74" s="6"/>
      <c r="O74" s="79"/>
      <c r="S74" s="79"/>
      <c r="T74" s="79"/>
      <c r="Y74" s="79"/>
      <c r="AC74" s="130"/>
      <c r="AE74" s="106"/>
    </row>
    <row r="75">
      <c r="A75" s="282"/>
      <c r="B75" s="283"/>
      <c r="C75" s="166"/>
      <c r="D75" s="93"/>
      <c r="E75" s="291"/>
      <c r="F75" s="6"/>
      <c r="O75" s="79"/>
      <c r="S75" s="79"/>
      <c r="T75" s="79"/>
      <c r="Y75" s="79"/>
      <c r="AC75" s="130"/>
      <c r="AE75" s="106"/>
    </row>
    <row r="76">
      <c r="A76" s="282"/>
      <c r="B76" s="283"/>
      <c r="C76" s="166"/>
      <c r="D76" s="93"/>
      <c r="E76" s="291"/>
      <c r="F76" s="6"/>
      <c r="O76" s="79"/>
      <c r="S76" s="79"/>
      <c r="T76" s="79"/>
      <c r="Y76" s="79"/>
      <c r="AC76" s="130"/>
      <c r="AE76" s="106"/>
    </row>
    <row r="77">
      <c r="A77" s="282"/>
      <c r="B77" s="283"/>
      <c r="C77" s="166"/>
      <c r="D77" s="93"/>
      <c r="E77" s="291"/>
      <c r="F77" s="6"/>
      <c r="O77" s="79"/>
      <c r="S77" s="79"/>
      <c r="T77" s="79"/>
      <c r="Y77" s="79"/>
      <c r="AC77" s="130"/>
      <c r="AE77" s="106"/>
    </row>
    <row r="78">
      <c r="A78" s="282"/>
      <c r="B78" s="283"/>
      <c r="C78" s="166"/>
      <c r="D78" s="93"/>
      <c r="E78" s="291"/>
      <c r="F78" s="6"/>
      <c r="O78" s="79"/>
      <c r="S78" s="79"/>
      <c r="T78" s="79"/>
      <c r="Y78" s="79"/>
      <c r="AC78" s="130"/>
      <c r="AE78" s="106"/>
    </row>
    <row r="79">
      <c r="A79" s="282"/>
      <c r="B79" s="283"/>
      <c r="C79" s="166"/>
      <c r="D79" s="93"/>
      <c r="E79" s="291"/>
      <c r="F79" s="6"/>
      <c r="O79" s="79"/>
      <c r="S79" s="79"/>
      <c r="T79" s="79"/>
      <c r="Y79" s="79"/>
      <c r="AC79" s="130"/>
      <c r="AE79" s="106"/>
    </row>
    <row r="80">
      <c r="A80" s="282"/>
      <c r="B80" s="283"/>
      <c r="C80" s="166"/>
      <c r="D80" s="93"/>
      <c r="E80" s="291"/>
      <c r="F80" s="6"/>
      <c r="O80" s="79"/>
      <c r="S80" s="79"/>
      <c r="T80" s="79"/>
      <c r="Y80" s="79"/>
      <c r="AC80" s="130"/>
      <c r="AE80" s="106"/>
    </row>
    <row r="81">
      <c r="A81" s="282"/>
      <c r="B81" s="283"/>
      <c r="C81" s="166"/>
      <c r="D81" s="93"/>
      <c r="E81" s="291"/>
      <c r="F81" s="6"/>
      <c r="O81" s="79"/>
      <c r="S81" s="79"/>
      <c r="T81" s="79"/>
      <c r="Y81" s="79"/>
      <c r="AC81" s="130"/>
      <c r="AE81" s="106"/>
    </row>
    <row r="82">
      <c r="C82" s="79"/>
      <c r="D82" s="79"/>
      <c r="E82" s="79"/>
      <c r="O82" s="79"/>
      <c r="S82" s="79"/>
      <c r="T82" s="79"/>
      <c r="Y82" s="79"/>
      <c r="AC82" s="130"/>
      <c r="AE82" s="106"/>
    </row>
    <row r="83">
      <c r="C83" s="79"/>
      <c r="D83" s="79"/>
      <c r="E83" s="79"/>
      <c r="O83" s="79"/>
      <c r="S83" s="79"/>
      <c r="T83" s="79"/>
      <c r="Y83" s="79"/>
      <c r="AC83" s="130"/>
      <c r="AE83" s="106"/>
    </row>
    <row r="84">
      <c r="C84" s="79"/>
      <c r="D84" s="79"/>
      <c r="E84" s="79"/>
      <c r="O84" s="79"/>
      <c r="S84" s="79"/>
      <c r="T84" s="79"/>
      <c r="Y84" s="79"/>
      <c r="AC84" s="130"/>
      <c r="AE84" s="106"/>
    </row>
    <row r="85">
      <c r="C85" s="79"/>
      <c r="D85" s="79"/>
      <c r="E85" s="79"/>
      <c r="O85" s="79"/>
      <c r="S85" s="79"/>
      <c r="T85" s="79"/>
      <c r="Y85" s="79"/>
      <c r="AC85" s="130"/>
      <c r="AE85" s="106"/>
    </row>
    <row r="86">
      <c r="C86" s="79"/>
      <c r="D86" s="79"/>
      <c r="E86" s="79"/>
      <c r="O86" s="79"/>
      <c r="S86" s="79"/>
      <c r="T86" s="79"/>
      <c r="Y86" s="79"/>
      <c r="AC86" s="130"/>
      <c r="AE86" s="106"/>
    </row>
    <row r="87">
      <c r="C87" s="79"/>
      <c r="D87" s="79"/>
      <c r="E87" s="79"/>
      <c r="O87" s="79"/>
      <c r="S87" s="79"/>
      <c r="T87" s="79"/>
      <c r="Y87" s="79"/>
      <c r="AC87" s="130"/>
      <c r="AE87" s="106"/>
    </row>
    <row r="88">
      <c r="C88" s="79"/>
      <c r="D88" s="79"/>
      <c r="E88" s="79"/>
      <c r="O88" s="79"/>
      <c r="S88" s="79"/>
      <c r="T88" s="79"/>
      <c r="Y88" s="79"/>
      <c r="AC88" s="130"/>
      <c r="AE88" s="106"/>
    </row>
    <row r="89">
      <c r="C89" s="79"/>
      <c r="D89" s="79"/>
      <c r="E89" s="79"/>
      <c r="O89" s="79"/>
      <c r="S89" s="79"/>
      <c r="T89" s="79"/>
      <c r="Y89" s="79"/>
      <c r="AC89" s="130"/>
      <c r="AE89" s="106"/>
    </row>
    <row r="90">
      <c r="C90" s="79"/>
      <c r="D90" s="79"/>
      <c r="E90" s="79"/>
      <c r="O90" s="79"/>
      <c r="S90" s="79"/>
      <c r="T90" s="79"/>
      <c r="Y90" s="79"/>
      <c r="AC90" s="130"/>
      <c r="AE90" s="106"/>
    </row>
    <row r="91">
      <c r="C91" s="79"/>
      <c r="D91" s="79"/>
      <c r="E91" s="79"/>
      <c r="O91" s="79"/>
      <c r="S91" s="79"/>
      <c r="T91" s="79"/>
      <c r="Y91" s="79"/>
      <c r="AC91" s="130"/>
      <c r="AE91" s="106"/>
    </row>
    <row r="92">
      <c r="C92" s="79"/>
      <c r="D92" s="79"/>
      <c r="E92" s="79"/>
      <c r="O92" s="79"/>
      <c r="S92" s="79"/>
      <c r="T92" s="79"/>
      <c r="Y92" s="79"/>
      <c r="AC92" s="130"/>
      <c r="AE92" s="106"/>
    </row>
    <row r="93">
      <c r="C93" s="79"/>
      <c r="D93" s="79"/>
      <c r="E93" s="79"/>
      <c r="O93" s="79"/>
      <c r="S93" s="79"/>
      <c r="T93" s="79"/>
      <c r="Y93" s="79"/>
      <c r="AC93" s="130"/>
      <c r="AE93" s="106"/>
    </row>
    <row r="94">
      <c r="C94" s="79"/>
      <c r="D94" s="79"/>
      <c r="E94" s="79"/>
      <c r="O94" s="79"/>
      <c r="S94" s="79"/>
      <c r="T94" s="79"/>
      <c r="Y94" s="79"/>
      <c r="AC94" s="130"/>
      <c r="AE94" s="106"/>
    </row>
    <row r="95">
      <c r="C95" s="79"/>
      <c r="D95" s="79"/>
      <c r="E95" s="79"/>
      <c r="O95" s="79"/>
      <c r="S95" s="79"/>
      <c r="T95" s="79"/>
      <c r="Y95" s="79"/>
      <c r="AC95" s="130"/>
      <c r="AE95" s="106"/>
    </row>
    <row r="96">
      <c r="C96" s="79"/>
      <c r="D96" s="79"/>
      <c r="E96" s="79"/>
      <c r="O96" s="79"/>
      <c r="S96" s="79"/>
      <c r="T96" s="79"/>
      <c r="Y96" s="79"/>
      <c r="AC96" s="130"/>
      <c r="AE96" s="106"/>
    </row>
    <row r="97">
      <c r="C97" s="79"/>
      <c r="D97" s="79"/>
      <c r="E97" s="79"/>
      <c r="O97" s="79"/>
      <c r="S97" s="79"/>
      <c r="T97" s="79"/>
      <c r="Y97" s="79"/>
      <c r="AC97" s="130"/>
      <c r="AE97" s="106"/>
    </row>
    <row r="98">
      <c r="C98" s="79"/>
      <c r="D98" s="79"/>
      <c r="E98" s="79"/>
      <c r="O98" s="79"/>
      <c r="S98" s="79"/>
      <c r="T98" s="79"/>
      <c r="Y98" s="79"/>
      <c r="AC98" s="130"/>
      <c r="AE98" s="106"/>
    </row>
    <row r="99">
      <c r="C99" s="79"/>
      <c r="D99" s="79"/>
      <c r="E99" s="79"/>
      <c r="O99" s="79"/>
      <c r="S99" s="79"/>
      <c r="T99" s="79"/>
      <c r="Y99" s="79"/>
      <c r="AC99" s="130"/>
      <c r="AE99" s="106"/>
    </row>
    <row r="100">
      <c r="C100" s="79"/>
      <c r="D100" s="79"/>
      <c r="E100" s="79"/>
      <c r="O100" s="79"/>
      <c r="S100" s="79"/>
      <c r="T100" s="79"/>
      <c r="Y100" s="79"/>
      <c r="AC100" s="130"/>
      <c r="AE100" s="106"/>
    </row>
    <row r="101">
      <c r="C101" s="79"/>
      <c r="D101" s="79"/>
      <c r="E101" s="79"/>
      <c r="O101" s="79"/>
      <c r="S101" s="79"/>
      <c r="T101" s="79"/>
      <c r="Y101" s="79"/>
      <c r="AC101" s="130"/>
      <c r="AE101" s="106"/>
    </row>
    <row r="102">
      <c r="C102" s="79"/>
      <c r="D102" s="79"/>
      <c r="E102" s="79"/>
      <c r="O102" s="79"/>
      <c r="S102" s="79"/>
      <c r="T102" s="79"/>
      <c r="Y102" s="79"/>
      <c r="AC102" s="130"/>
      <c r="AE102" s="106"/>
    </row>
    <row r="103">
      <c r="C103" s="79"/>
      <c r="D103" s="79"/>
      <c r="E103" s="79"/>
      <c r="O103" s="79"/>
      <c r="S103" s="79"/>
      <c r="T103" s="79"/>
      <c r="Y103" s="79"/>
      <c r="AC103" s="130"/>
      <c r="AE103" s="106"/>
    </row>
    <row r="104">
      <c r="C104" s="79"/>
      <c r="D104" s="79"/>
      <c r="E104" s="79"/>
      <c r="O104" s="79"/>
      <c r="S104" s="79"/>
      <c r="T104" s="79"/>
      <c r="Y104" s="79"/>
      <c r="AC104" s="130"/>
      <c r="AE104" s="106"/>
    </row>
    <row r="105">
      <c r="C105" s="79"/>
      <c r="D105" s="79"/>
      <c r="E105" s="79"/>
      <c r="O105" s="79"/>
      <c r="S105" s="79"/>
      <c r="T105" s="79"/>
      <c r="Y105" s="79"/>
      <c r="AC105" s="130"/>
      <c r="AE105" s="106"/>
    </row>
    <row r="106">
      <c r="C106" s="79"/>
      <c r="D106" s="79"/>
      <c r="E106" s="79"/>
      <c r="O106" s="79"/>
      <c r="S106" s="79"/>
      <c r="T106" s="79"/>
      <c r="Y106" s="79"/>
      <c r="AC106" s="130"/>
      <c r="AE106" s="106"/>
    </row>
    <row r="107">
      <c r="C107" s="79"/>
      <c r="D107" s="79"/>
      <c r="E107" s="79"/>
      <c r="O107" s="79"/>
      <c r="S107" s="79"/>
      <c r="T107" s="79"/>
      <c r="Y107" s="79"/>
      <c r="AC107" s="130"/>
      <c r="AE107" s="106"/>
    </row>
    <row r="108">
      <c r="C108" s="79"/>
      <c r="D108" s="79"/>
      <c r="E108" s="79"/>
      <c r="O108" s="79"/>
      <c r="S108" s="79"/>
      <c r="T108" s="79"/>
      <c r="Y108" s="79"/>
      <c r="AC108" s="130"/>
      <c r="AE108" s="106"/>
    </row>
    <row r="109">
      <c r="C109" s="79"/>
      <c r="D109" s="79"/>
      <c r="E109" s="79"/>
      <c r="O109" s="79"/>
      <c r="S109" s="79"/>
      <c r="T109" s="79"/>
      <c r="Y109" s="79"/>
      <c r="AC109" s="130"/>
      <c r="AE109" s="106"/>
    </row>
    <row r="110">
      <c r="C110" s="79"/>
      <c r="D110" s="79"/>
      <c r="E110" s="79"/>
      <c r="O110" s="79"/>
      <c r="S110" s="79"/>
      <c r="T110" s="79"/>
      <c r="Y110" s="79"/>
      <c r="AC110" s="130"/>
      <c r="AE110" s="106"/>
    </row>
    <row r="111">
      <c r="C111" s="79"/>
      <c r="D111" s="79"/>
      <c r="E111" s="79"/>
      <c r="O111" s="79"/>
      <c r="S111" s="79"/>
      <c r="T111" s="79"/>
      <c r="Y111" s="79"/>
      <c r="AC111" s="130"/>
      <c r="AE111" s="106"/>
    </row>
    <row r="112">
      <c r="C112" s="79"/>
      <c r="D112" s="79"/>
      <c r="E112" s="79"/>
      <c r="O112" s="79"/>
      <c r="S112" s="79"/>
      <c r="T112" s="79"/>
      <c r="Y112" s="79"/>
      <c r="AC112" s="130"/>
      <c r="AE112" s="106"/>
    </row>
    <row r="113">
      <c r="C113" s="79"/>
      <c r="D113" s="79"/>
      <c r="E113" s="79"/>
      <c r="O113" s="79"/>
      <c r="S113" s="79"/>
      <c r="T113" s="79"/>
      <c r="Y113" s="79"/>
      <c r="AC113" s="130"/>
      <c r="AE113" s="106"/>
    </row>
    <row r="114">
      <c r="C114" s="79"/>
      <c r="D114" s="79"/>
      <c r="E114" s="79"/>
      <c r="O114" s="79"/>
      <c r="S114" s="79"/>
      <c r="T114" s="79"/>
      <c r="Y114" s="79"/>
      <c r="AC114" s="130"/>
      <c r="AE114" s="106"/>
    </row>
    <row r="115">
      <c r="C115" s="79"/>
      <c r="D115" s="79"/>
      <c r="E115" s="79"/>
      <c r="O115" s="79"/>
      <c r="S115" s="79"/>
      <c r="T115" s="79"/>
      <c r="Y115" s="79"/>
      <c r="AC115" s="130"/>
      <c r="AE115" s="106"/>
    </row>
    <row r="116">
      <c r="C116" s="79"/>
      <c r="D116" s="79"/>
      <c r="E116" s="79"/>
      <c r="O116" s="79"/>
      <c r="S116" s="79"/>
      <c r="T116" s="79"/>
      <c r="Y116" s="79"/>
      <c r="AC116" s="130"/>
      <c r="AE116" s="106"/>
    </row>
    <row r="117">
      <c r="C117" s="79"/>
      <c r="D117" s="79"/>
      <c r="E117" s="79"/>
      <c r="O117" s="79"/>
      <c r="S117" s="79"/>
      <c r="T117" s="79"/>
      <c r="Y117" s="79"/>
      <c r="AC117" s="130"/>
      <c r="AE117" s="106"/>
    </row>
    <row r="118">
      <c r="C118" s="79"/>
      <c r="D118" s="79"/>
      <c r="E118" s="79"/>
      <c r="O118" s="79"/>
      <c r="S118" s="79"/>
      <c r="T118" s="79"/>
      <c r="Y118" s="79"/>
      <c r="AC118" s="130"/>
      <c r="AE118" s="106"/>
    </row>
    <row r="119">
      <c r="C119" s="79"/>
      <c r="D119" s="79"/>
      <c r="E119" s="79"/>
      <c r="O119" s="79"/>
      <c r="S119" s="79"/>
      <c r="T119" s="79"/>
      <c r="Y119" s="79"/>
      <c r="AC119" s="130"/>
      <c r="AE119" s="106"/>
    </row>
    <row r="120">
      <c r="C120" s="79"/>
      <c r="D120" s="79"/>
      <c r="E120" s="79"/>
      <c r="O120" s="79"/>
      <c r="S120" s="79"/>
      <c r="T120" s="79"/>
      <c r="Y120" s="79"/>
      <c r="AC120" s="130"/>
      <c r="AE120" s="106"/>
    </row>
    <row r="121">
      <c r="C121" s="79"/>
      <c r="D121" s="79"/>
      <c r="E121" s="79"/>
      <c r="O121" s="79"/>
      <c r="S121" s="79"/>
      <c r="T121" s="79"/>
      <c r="Y121" s="79"/>
      <c r="AC121" s="130"/>
      <c r="AE121" s="106"/>
    </row>
    <row r="122">
      <c r="C122" s="79"/>
      <c r="D122" s="79"/>
      <c r="E122" s="79"/>
      <c r="O122" s="79"/>
      <c r="S122" s="79"/>
      <c r="T122" s="79"/>
      <c r="Y122" s="79"/>
      <c r="AC122" s="130"/>
      <c r="AE122" s="106"/>
    </row>
    <row r="123">
      <c r="C123" s="79"/>
      <c r="D123" s="79"/>
      <c r="E123" s="79"/>
      <c r="O123" s="79"/>
      <c r="S123" s="79"/>
      <c r="T123" s="79"/>
      <c r="Y123" s="79"/>
      <c r="AC123" s="130"/>
      <c r="AE123" s="106"/>
    </row>
    <row r="124">
      <c r="C124" s="79"/>
      <c r="D124" s="79"/>
      <c r="E124" s="79"/>
      <c r="O124" s="79"/>
      <c r="S124" s="79"/>
      <c r="T124" s="79"/>
      <c r="Y124" s="79"/>
      <c r="AC124" s="130"/>
      <c r="AE124" s="106"/>
    </row>
    <row r="125">
      <c r="C125" s="79"/>
      <c r="D125" s="79"/>
      <c r="E125" s="79"/>
      <c r="O125" s="79"/>
      <c r="S125" s="79"/>
      <c r="T125" s="79"/>
      <c r="Y125" s="79"/>
      <c r="AC125" s="130"/>
      <c r="AE125" s="106"/>
    </row>
    <row r="126">
      <c r="C126" s="79"/>
      <c r="D126" s="79"/>
      <c r="E126" s="79"/>
      <c r="O126" s="79"/>
      <c r="S126" s="79"/>
      <c r="T126" s="79"/>
      <c r="Y126" s="79"/>
      <c r="AC126" s="130"/>
      <c r="AE126" s="106"/>
    </row>
    <row r="127">
      <c r="C127" s="79"/>
      <c r="D127" s="79"/>
      <c r="E127" s="79"/>
      <c r="O127" s="79"/>
      <c r="S127" s="79"/>
      <c r="T127" s="79"/>
      <c r="Y127" s="79"/>
      <c r="AC127" s="130"/>
      <c r="AE127" s="106"/>
    </row>
    <row r="128">
      <c r="C128" s="79"/>
      <c r="D128" s="79"/>
      <c r="E128" s="79"/>
      <c r="O128" s="79"/>
      <c r="S128" s="79"/>
      <c r="T128" s="79"/>
      <c r="Y128" s="79"/>
      <c r="AC128" s="130"/>
      <c r="AE128" s="106"/>
    </row>
    <row r="129">
      <c r="C129" s="79"/>
      <c r="D129" s="79"/>
      <c r="E129" s="79"/>
      <c r="O129" s="79"/>
      <c r="S129" s="79"/>
      <c r="T129" s="79"/>
      <c r="Y129" s="79"/>
      <c r="AC129" s="130"/>
      <c r="AE129" s="106"/>
    </row>
    <row r="130">
      <c r="C130" s="79"/>
      <c r="D130" s="79"/>
      <c r="E130" s="79"/>
      <c r="O130" s="79"/>
      <c r="S130" s="79"/>
      <c r="T130" s="79"/>
      <c r="Y130" s="79"/>
      <c r="AC130" s="130"/>
      <c r="AE130" s="106"/>
    </row>
    <row r="131">
      <c r="C131" s="79"/>
      <c r="D131" s="79"/>
      <c r="E131" s="79"/>
      <c r="O131" s="79"/>
      <c r="S131" s="79"/>
      <c r="T131" s="79"/>
      <c r="Y131" s="79"/>
      <c r="AC131" s="130"/>
      <c r="AE131" s="106"/>
    </row>
    <row r="132">
      <c r="C132" s="79"/>
      <c r="D132" s="79"/>
      <c r="E132" s="79"/>
      <c r="O132" s="79"/>
      <c r="S132" s="79"/>
      <c r="T132" s="79"/>
      <c r="Y132" s="79"/>
      <c r="AC132" s="130"/>
      <c r="AE132" s="106"/>
    </row>
    <row r="133">
      <c r="C133" s="79"/>
      <c r="D133" s="79"/>
      <c r="E133" s="79"/>
      <c r="O133" s="79"/>
      <c r="S133" s="79"/>
      <c r="T133" s="79"/>
      <c r="Y133" s="79"/>
      <c r="AC133" s="130"/>
      <c r="AE133" s="106"/>
    </row>
    <row r="134">
      <c r="C134" s="79"/>
      <c r="D134" s="79"/>
      <c r="E134" s="79"/>
      <c r="O134" s="79"/>
      <c r="S134" s="79"/>
      <c r="T134" s="79"/>
      <c r="Y134" s="79"/>
      <c r="AC134" s="130"/>
      <c r="AE134" s="106"/>
    </row>
    <row r="135">
      <c r="C135" s="79"/>
      <c r="D135" s="79"/>
      <c r="E135" s="79"/>
      <c r="O135" s="79"/>
      <c r="S135" s="79"/>
      <c r="T135" s="79"/>
      <c r="Y135" s="79"/>
      <c r="AC135" s="130"/>
      <c r="AE135" s="106"/>
    </row>
    <row r="136">
      <c r="C136" s="79"/>
      <c r="D136" s="79"/>
      <c r="E136" s="79"/>
      <c r="O136" s="79"/>
      <c r="S136" s="79"/>
      <c r="T136" s="79"/>
      <c r="Y136" s="79"/>
      <c r="AC136" s="130"/>
      <c r="AE136" s="106"/>
    </row>
    <row r="137">
      <c r="C137" s="79"/>
      <c r="D137" s="79"/>
      <c r="E137" s="79"/>
      <c r="O137" s="79"/>
      <c r="S137" s="79"/>
      <c r="T137" s="79"/>
      <c r="Y137" s="79"/>
      <c r="AC137" s="130"/>
      <c r="AE137" s="106"/>
    </row>
    <row r="138">
      <c r="C138" s="79"/>
      <c r="D138" s="79"/>
      <c r="E138" s="79"/>
      <c r="O138" s="79"/>
      <c r="S138" s="79"/>
      <c r="T138" s="79"/>
      <c r="Y138" s="79"/>
      <c r="AC138" s="130"/>
      <c r="AE138" s="106"/>
    </row>
    <row r="139">
      <c r="C139" s="79"/>
      <c r="D139" s="79"/>
      <c r="E139" s="79"/>
      <c r="O139" s="79"/>
      <c r="S139" s="79"/>
      <c r="T139" s="79"/>
      <c r="Y139" s="79"/>
      <c r="AC139" s="130"/>
      <c r="AE139" s="106"/>
    </row>
    <row r="140">
      <c r="C140" s="79"/>
      <c r="D140" s="79"/>
      <c r="E140" s="79"/>
      <c r="O140" s="79"/>
      <c r="S140" s="79"/>
      <c r="T140" s="79"/>
      <c r="Y140" s="79"/>
      <c r="AC140" s="130"/>
      <c r="AE140" s="106"/>
    </row>
    <row r="141">
      <c r="C141" s="79"/>
      <c r="D141" s="79"/>
      <c r="E141" s="79"/>
      <c r="O141" s="79"/>
      <c r="S141" s="79"/>
      <c r="T141" s="79"/>
      <c r="Y141" s="79"/>
      <c r="AC141" s="130"/>
      <c r="AE141" s="106"/>
    </row>
    <row r="142">
      <c r="C142" s="79"/>
      <c r="D142" s="79"/>
      <c r="E142" s="79"/>
      <c r="O142" s="79"/>
      <c r="S142" s="79"/>
      <c r="T142" s="79"/>
      <c r="Y142" s="79"/>
      <c r="AC142" s="130"/>
      <c r="AE142" s="106"/>
    </row>
    <row r="143">
      <c r="C143" s="79"/>
      <c r="D143" s="79"/>
      <c r="E143" s="79"/>
      <c r="O143" s="79"/>
      <c r="S143" s="79"/>
      <c r="T143" s="79"/>
      <c r="Y143" s="79"/>
      <c r="AC143" s="130"/>
      <c r="AE143" s="106"/>
    </row>
    <row r="144">
      <c r="C144" s="79"/>
      <c r="D144" s="79"/>
      <c r="E144" s="79"/>
      <c r="O144" s="79"/>
      <c r="S144" s="79"/>
      <c r="T144" s="79"/>
      <c r="Y144" s="79"/>
      <c r="AC144" s="130"/>
      <c r="AE144" s="106"/>
    </row>
    <row r="145">
      <c r="C145" s="79"/>
      <c r="D145" s="79"/>
      <c r="E145" s="79"/>
      <c r="O145" s="79"/>
      <c r="S145" s="79"/>
      <c r="T145" s="79"/>
      <c r="Y145" s="79"/>
      <c r="AC145" s="130"/>
      <c r="AE145" s="106"/>
    </row>
    <row r="146">
      <c r="C146" s="79"/>
      <c r="D146" s="79"/>
      <c r="E146" s="79"/>
      <c r="O146" s="79"/>
      <c r="S146" s="79"/>
      <c r="T146" s="79"/>
      <c r="Y146" s="79"/>
      <c r="AC146" s="130"/>
      <c r="AE146" s="106"/>
    </row>
    <row r="147">
      <c r="C147" s="79"/>
      <c r="D147" s="79"/>
      <c r="E147" s="79"/>
      <c r="O147" s="79"/>
      <c r="S147" s="79"/>
      <c r="T147" s="79"/>
      <c r="Y147" s="79"/>
      <c r="AC147" s="130"/>
      <c r="AE147" s="106"/>
    </row>
    <row r="148">
      <c r="C148" s="79"/>
      <c r="D148" s="79"/>
      <c r="E148" s="79"/>
      <c r="O148" s="79"/>
      <c r="S148" s="79"/>
      <c r="T148" s="79"/>
      <c r="Y148" s="79"/>
      <c r="AC148" s="130"/>
      <c r="AE148" s="106"/>
    </row>
    <row r="149">
      <c r="C149" s="79"/>
      <c r="D149" s="79"/>
      <c r="E149" s="79"/>
      <c r="O149" s="79"/>
      <c r="S149" s="79"/>
      <c r="T149" s="79"/>
      <c r="Y149" s="79"/>
      <c r="AC149" s="130"/>
      <c r="AE149" s="106"/>
    </row>
    <row r="150">
      <c r="C150" s="79"/>
      <c r="D150" s="79"/>
      <c r="E150" s="79"/>
      <c r="O150" s="79"/>
      <c r="S150" s="79"/>
      <c r="T150" s="79"/>
      <c r="Y150" s="79"/>
      <c r="AC150" s="130"/>
      <c r="AE150" s="106"/>
    </row>
    <row r="151">
      <c r="C151" s="79"/>
      <c r="D151" s="79"/>
      <c r="E151" s="79"/>
      <c r="O151" s="79"/>
      <c r="S151" s="79"/>
      <c r="T151" s="79"/>
      <c r="Y151" s="79"/>
      <c r="AC151" s="130"/>
      <c r="AE151" s="106"/>
    </row>
    <row r="152">
      <c r="C152" s="79"/>
      <c r="D152" s="79"/>
      <c r="E152" s="79"/>
      <c r="O152" s="79"/>
      <c r="S152" s="79"/>
      <c r="T152" s="79"/>
      <c r="Y152" s="79"/>
      <c r="AC152" s="130"/>
      <c r="AE152" s="106"/>
    </row>
    <row r="153">
      <c r="C153" s="79"/>
      <c r="D153" s="79"/>
      <c r="E153" s="79"/>
      <c r="O153" s="79"/>
      <c r="S153" s="79"/>
      <c r="T153" s="79"/>
      <c r="Y153" s="79"/>
      <c r="AC153" s="130"/>
      <c r="AE153" s="106"/>
    </row>
    <row r="154">
      <c r="C154" s="79"/>
      <c r="D154" s="79"/>
      <c r="E154" s="79"/>
      <c r="O154" s="79"/>
      <c r="S154" s="79"/>
      <c r="T154" s="79"/>
      <c r="Y154" s="79"/>
      <c r="AC154" s="130"/>
      <c r="AE154" s="106"/>
    </row>
    <row r="155">
      <c r="C155" s="79"/>
      <c r="D155" s="79"/>
      <c r="E155" s="79"/>
      <c r="O155" s="79"/>
      <c r="S155" s="79"/>
      <c r="T155" s="79"/>
      <c r="Y155" s="79"/>
      <c r="AC155" s="130"/>
      <c r="AE155" s="106"/>
    </row>
    <row r="156">
      <c r="C156" s="79"/>
      <c r="D156" s="79"/>
      <c r="E156" s="79"/>
      <c r="O156" s="79"/>
      <c r="S156" s="79"/>
      <c r="T156" s="79"/>
      <c r="Y156" s="79"/>
      <c r="AC156" s="130"/>
      <c r="AE156" s="106"/>
    </row>
    <row r="157">
      <c r="C157" s="79"/>
      <c r="D157" s="79"/>
      <c r="E157" s="79"/>
      <c r="O157" s="79"/>
      <c r="S157" s="79"/>
      <c r="T157" s="79"/>
      <c r="Y157" s="79"/>
      <c r="AC157" s="130"/>
      <c r="AE157" s="106"/>
    </row>
    <row r="158">
      <c r="C158" s="79"/>
      <c r="D158" s="79"/>
      <c r="E158" s="79"/>
      <c r="O158" s="79"/>
      <c r="S158" s="79"/>
      <c r="T158" s="79"/>
      <c r="Y158" s="79"/>
      <c r="AC158" s="130"/>
      <c r="AE158" s="106"/>
    </row>
    <row r="159">
      <c r="C159" s="79"/>
      <c r="D159" s="79"/>
      <c r="E159" s="79"/>
      <c r="O159" s="79"/>
      <c r="S159" s="79"/>
      <c r="T159" s="79"/>
      <c r="Y159" s="79"/>
      <c r="AC159" s="130"/>
      <c r="AE159" s="106"/>
    </row>
    <row r="160">
      <c r="C160" s="79"/>
      <c r="D160" s="79"/>
      <c r="E160" s="79"/>
      <c r="O160" s="79"/>
      <c r="S160" s="79"/>
      <c r="T160" s="79"/>
      <c r="Y160" s="79"/>
      <c r="AC160" s="130"/>
      <c r="AE160" s="106"/>
    </row>
    <row r="161">
      <c r="C161" s="79"/>
      <c r="D161" s="79"/>
      <c r="E161" s="79"/>
      <c r="O161" s="79"/>
      <c r="S161" s="79"/>
      <c r="T161" s="79"/>
      <c r="Y161" s="79"/>
      <c r="AC161" s="130"/>
      <c r="AE161" s="106"/>
    </row>
    <row r="162">
      <c r="C162" s="79"/>
      <c r="D162" s="79"/>
      <c r="E162" s="79"/>
      <c r="O162" s="79"/>
      <c r="S162" s="79"/>
      <c r="T162" s="79"/>
      <c r="Y162" s="79"/>
      <c r="AC162" s="130"/>
      <c r="AE162" s="106"/>
    </row>
    <row r="163">
      <c r="C163" s="79"/>
      <c r="D163" s="79"/>
      <c r="E163" s="79"/>
      <c r="O163" s="79"/>
      <c r="S163" s="79"/>
      <c r="T163" s="79"/>
      <c r="Y163" s="79"/>
      <c r="AC163" s="130"/>
      <c r="AE163" s="106"/>
    </row>
    <row r="164">
      <c r="C164" s="79"/>
      <c r="D164" s="79"/>
      <c r="E164" s="79"/>
      <c r="O164" s="79"/>
      <c r="S164" s="79"/>
      <c r="T164" s="79"/>
      <c r="Y164" s="79"/>
      <c r="AC164" s="130"/>
      <c r="AE164" s="106"/>
    </row>
    <row r="165">
      <c r="C165" s="79"/>
      <c r="D165" s="79"/>
      <c r="E165" s="79"/>
      <c r="O165" s="79"/>
      <c r="S165" s="79"/>
      <c r="T165" s="79"/>
      <c r="Y165" s="79"/>
      <c r="AC165" s="130"/>
      <c r="AE165" s="106"/>
    </row>
    <row r="166">
      <c r="C166" s="79"/>
      <c r="D166" s="79"/>
      <c r="E166" s="79"/>
      <c r="O166" s="79"/>
      <c r="S166" s="79"/>
      <c r="T166" s="79"/>
      <c r="Y166" s="79"/>
      <c r="AC166" s="130"/>
      <c r="AE166" s="106"/>
    </row>
    <row r="167">
      <c r="C167" s="79"/>
      <c r="D167" s="79"/>
      <c r="E167" s="79"/>
      <c r="O167" s="79"/>
      <c r="S167" s="79"/>
      <c r="T167" s="79"/>
      <c r="Y167" s="79"/>
      <c r="AC167" s="130"/>
      <c r="AE167" s="106"/>
    </row>
    <row r="168">
      <c r="C168" s="79"/>
      <c r="D168" s="79"/>
      <c r="E168" s="79"/>
      <c r="O168" s="79"/>
      <c r="S168" s="79"/>
      <c r="T168" s="79"/>
      <c r="Y168" s="79"/>
      <c r="AC168" s="130"/>
      <c r="AE168" s="106"/>
    </row>
    <row r="169">
      <c r="C169" s="79"/>
      <c r="D169" s="79"/>
      <c r="E169" s="79"/>
      <c r="O169" s="79"/>
      <c r="S169" s="79"/>
      <c r="T169" s="79"/>
      <c r="Y169" s="79"/>
      <c r="AC169" s="130"/>
      <c r="AE169" s="106"/>
    </row>
    <row r="170">
      <c r="C170" s="79"/>
      <c r="D170" s="79"/>
      <c r="E170" s="79"/>
      <c r="O170" s="79"/>
      <c r="S170" s="79"/>
      <c r="T170" s="79"/>
      <c r="Y170" s="79"/>
      <c r="AC170" s="130"/>
      <c r="AE170" s="106"/>
    </row>
    <row r="171">
      <c r="C171" s="79"/>
      <c r="D171" s="79"/>
      <c r="E171" s="79"/>
      <c r="O171" s="79"/>
      <c r="S171" s="79"/>
      <c r="T171" s="79"/>
      <c r="Y171" s="79"/>
      <c r="AC171" s="130"/>
      <c r="AE171" s="106"/>
    </row>
    <row r="172">
      <c r="C172" s="79"/>
      <c r="D172" s="79"/>
      <c r="E172" s="79"/>
      <c r="O172" s="79"/>
      <c r="S172" s="79"/>
      <c r="T172" s="79"/>
      <c r="Y172" s="79"/>
      <c r="AC172" s="130"/>
      <c r="AE172" s="106"/>
    </row>
    <row r="173">
      <c r="C173" s="79"/>
      <c r="D173" s="79"/>
      <c r="E173" s="79"/>
      <c r="O173" s="79"/>
      <c r="S173" s="79"/>
      <c r="T173" s="79"/>
      <c r="Y173" s="79"/>
      <c r="AC173" s="130"/>
      <c r="AE173" s="106"/>
    </row>
    <row r="174">
      <c r="C174" s="79"/>
      <c r="D174" s="79"/>
      <c r="E174" s="79"/>
      <c r="O174" s="79"/>
      <c r="S174" s="79"/>
      <c r="T174" s="79"/>
      <c r="Y174" s="79"/>
      <c r="AC174" s="130"/>
      <c r="AE174" s="106"/>
    </row>
    <row r="175">
      <c r="C175" s="79"/>
      <c r="D175" s="79"/>
      <c r="E175" s="79"/>
      <c r="O175" s="79"/>
      <c r="S175" s="79"/>
      <c r="T175" s="79"/>
      <c r="Y175" s="79"/>
      <c r="AC175" s="130"/>
      <c r="AE175" s="106"/>
    </row>
    <row r="176">
      <c r="C176" s="79"/>
      <c r="D176" s="79"/>
      <c r="E176" s="79"/>
      <c r="O176" s="79"/>
      <c r="S176" s="79"/>
      <c r="T176" s="79"/>
      <c r="Y176" s="79"/>
      <c r="AC176" s="130"/>
      <c r="AE176" s="106"/>
    </row>
    <row r="177">
      <c r="C177" s="79"/>
      <c r="D177" s="79"/>
      <c r="E177" s="79"/>
      <c r="O177" s="79"/>
      <c r="S177" s="79"/>
      <c r="T177" s="79"/>
      <c r="Y177" s="79"/>
      <c r="AC177" s="130"/>
      <c r="AE177" s="106"/>
    </row>
    <row r="178">
      <c r="C178" s="79"/>
      <c r="D178" s="79"/>
      <c r="E178" s="79"/>
      <c r="O178" s="79"/>
      <c r="S178" s="79"/>
      <c r="T178" s="79"/>
      <c r="Y178" s="79"/>
      <c r="AC178" s="130"/>
      <c r="AE178" s="106"/>
    </row>
    <row r="179">
      <c r="C179" s="79"/>
      <c r="D179" s="79"/>
      <c r="E179" s="79"/>
      <c r="O179" s="79"/>
      <c r="S179" s="79"/>
      <c r="T179" s="79"/>
      <c r="Y179" s="79"/>
      <c r="AC179" s="130"/>
      <c r="AE179" s="106"/>
    </row>
    <row r="180">
      <c r="C180" s="79"/>
      <c r="D180" s="79"/>
      <c r="E180" s="79"/>
      <c r="O180" s="79"/>
      <c r="S180" s="79"/>
      <c r="T180" s="79"/>
      <c r="Y180" s="79"/>
      <c r="AC180" s="130"/>
      <c r="AE180" s="106"/>
    </row>
    <row r="181">
      <c r="C181" s="79"/>
      <c r="D181" s="79"/>
      <c r="E181" s="79"/>
      <c r="O181" s="79"/>
      <c r="S181" s="79"/>
      <c r="T181" s="79"/>
      <c r="Y181" s="79"/>
      <c r="AC181" s="130"/>
      <c r="AE181" s="106"/>
    </row>
    <row r="182">
      <c r="C182" s="79"/>
      <c r="D182" s="79"/>
      <c r="E182" s="79"/>
      <c r="O182" s="79"/>
      <c r="S182" s="79"/>
      <c r="T182" s="79"/>
      <c r="Y182" s="79"/>
      <c r="AC182" s="130"/>
      <c r="AE182" s="106"/>
    </row>
    <row r="183">
      <c r="C183" s="79"/>
      <c r="D183" s="79"/>
      <c r="E183" s="79"/>
      <c r="O183" s="79"/>
      <c r="S183" s="79"/>
      <c r="T183" s="79"/>
      <c r="Y183" s="79"/>
      <c r="AC183" s="130"/>
      <c r="AE183" s="106"/>
    </row>
    <row r="184">
      <c r="C184" s="79"/>
      <c r="D184" s="79"/>
      <c r="E184" s="79"/>
      <c r="O184" s="79"/>
      <c r="S184" s="79"/>
      <c r="T184" s="79"/>
      <c r="Y184" s="79"/>
      <c r="AC184" s="130"/>
      <c r="AE184" s="106"/>
    </row>
    <row r="185">
      <c r="C185" s="79"/>
      <c r="D185" s="79"/>
      <c r="E185" s="79"/>
      <c r="O185" s="79"/>
      <c r="S185" s="79"/>
      <c r="T185" s="79"/>
      <c r="Y185" s="79"/>
      <c r="AC185" s="130"/>
      <c r="AE185" s="106"/>
    </row>
    <row r="186">
      <c r="C186" s="79"/>
      <c r="D186" s="79"/>
      <c r="E186" s="79"/>
      <c r="O186" s="79"/>
      <c r="S186" s="79"/>
      <c r="T186" s="79"/>
      <c r="Y186" s="79"/>
      <c r="AC186" s="130"/>
      <c r="AE186" s="106"/>
    </row>
    <row r="187">
      <c r="C187" s="79"/>
      <c r="D187" s="79"/>
      <c r="E187" s="79"/>
      <c r="O187" s="79"/>
      <c r="S187" s="79"/>
      <c r="T187" s="79"/>
      <c r="Y187" s="79"/>
      <c r="AC187" s="130"/>
      <c r="AE187" s="106"/>
    </row>
    <row r="188">
      <c r="C188" s="79"/>
      <c r="D188" s="79"/>
      <c r="E188" s="79"/>
      <c r="O188" s="79"/>
      <c r="S188" s="79"/>
      <c r="T188" s="79"/>
      <c r="Y188" s="79"/>
      <c r="AC188" s="130"/>
      <c r="AE188" s="106"/>
    </row>
    <row r="189">
      <c r="C189" s="79"/>
      <c r="D189" s="79"/>
      <c r="E189" s="79"/>
      <c r="O189" s="79"/>
      <c r="S189" s="79"/>
      <c r="T189" s="79"/>
      <c r="Y189" s="79"/>
      <c r="AC189" s="130"/>
      <c r="AE189" s="106"/>
    </row>
    <row r="190">
      <c r="C190" s="79"/>
      <c r="D190" s="79"/>
      <c r="E190" s="79"/>
      <c r="O190" s="79"/>
      <c r="S190" s="79"/>
      <c r="T190" s="79"/>
      <c r="Y190" s="79"/>
      <c r="AC190" s="130"/>
      <c r="AE190" s="106"/>
    </row>
    <row r="191">
      <c r="C191" s="79"/>
      <c r="D191" s="79"/>
      <c r="E191" s="79"/>
      <c r="O191" s="79"/>
      <c r="S191" s="79"/>
      <c r="T191" s="79"/>
      <c r="Y191" s="79"/>
      <c r="AC191" s="130"/>
      <c r="AE191" s="106"/>
    </row>
    <row r="192">
      <c r="C192" s="79"/>
      <c r="D192" s="79"/>
      <c r="E192" s="79"/>
      <c r="O192" s="79"/>
      <c r="S192" s="79"/>
      <c r="T192" s="79"/>
      <c r="Y192" s="79"/>
      <c r="AC192" s="130"/>
      <c r="AE192" s="106"/>
    </row>
    <row r="193">
      <c r="C193" s="79"/>
      <c r="D193" s="79"/>
      <c r="E193" s="79"/>
      <c r="O193" s="79"/>
      <c r="S193" s="79"/>
      <c r="T193" s="79"/>
      <c r="Y193" s="79"/>
      <c r="AC193" s="130"/>
      <c r="AE193" s="106"/>
    </row>
    <row r="194">
      <c r="C194" s="79"/>
      <c r="D194" s="79"/>
      <c r="E194" s="79"/>
      <c r="O194" s="79"/>
      <c r="S194" s="79"/>
      <c r="T194" s="79"/>
      <c r="Y194" s="79"/>
      <c r="AC194" s="130"/>
      <c r="AE194" s="106"/>
    </row>
    <row r="195">
      <c r="C195" s="79"/>
      <c r="D195" s="79"/>
      <c r="E195" s="79"/>
      <c r="O195" s="79"/>
      <c r="S195" s="79"/>
      <c r="T195" s="79"/>
      <c r="Y195" s="79"/>
      <c r="AC195" s="130"/>
      <c r="AE195" s="106"/>
    </row>
    <row r="196">
      <c r="C196" s="79"/>
      <c r="D196" s="79"/>
      <c r="E196" s="79"/>
      <c r="O196" s="79"/>
      <c r="S196" s="79"/>
      <c r="T196" s="79"/>
      <c r="Y196" s="79"/>
      <c r="AC196" s="130"/>
      <c r="AE196" s="106"/>
    </row>
    <row r="197">
      <c r="C197" s="79"/>
      <c r="D197" s="79"/>
      <c r="E197" s="79"/>
      <c r="O197" s="79"/>
      <c r="S197" s="79"/>
      <c r="T197" s="79"/>
      <c r="Y197" s="79"/>
      <c r="AC197" s="130"/>
      <c r="AE197" s="106"/>
    </row>
    <row r="198">
      <c r="C198" s="79"/>
      <c r="D198" s="79"/>
      <c r="E198" s="79"/>
      <c r="O198" s="79"/>
      <c r="S198" s="79"/>
      <c r="T198" s="79"/>
      <c r="Y198" s="79"/>
      <c r="AC198" s="130"/>
      <c r="AE198" s="106"/>
    </row>
    <row r="199">
      <c r="C199" s="79"/>
      <c r="D199" s="79"/>
      <c r="E199" s="79"/>
      <c r="O199" s="79"/>
      <c r="S199" s="79"/>
      <c r="T199" s="79"/>
      <c r="Y199" s="79"/>
      <c r="AC199" s="130"/>
      <c r="AE199" s="106"/>
    </row>
    <row r="200">
      <c r="C200" s="79"/>
      <c r="D200" s="79"/>
      <c r="E200" s="79"/>
      <c r="O200" s="79"/>
      <c r="S200" s="79"/>
      <c r="T200" s="79"/>
      <c r="Y200" s="79"/>
      <c r="AC200" s="130"/>
      <c r="AE200" s="106"/>
    </row>
    <row r="201">
      <c r="C201" s="79"/>
      <c r="D201" s="79"/>
      <c r="E201" s="79"/>
      <c r="O201" s="79"/>
      <c r="S201" s="79"/>
      <c r="T201" s="79"/>
      <c r="Y201" s="79"/>
      <c r="AC201" s="130"/>
      <c r="AE201" s="106"/>
    </row>
    <row r="202">
      <c r="C202" s="79"/>
      <c r="D202" s="79"/>
      <c r="E202" s="79"/>
      <c r="O202" s="79"/>
      <c r="S202" s="79"/>
      <c r="T202" s="79"/>
      <c r="Y202" s="79"/>
      <c r="AC202" s="130"/>
      <c r="AE202" s="106"/>
    </row>
    <row r="203">
      <c r="C203" s="79"/>
      <c r="D203" s="79"/>
      <c r="E203" s="79"/>
      <c r="O203" s="79"/>
      <c r="S203" s="79"/>
      <c r="T203" s="79"/>
      <c r="Y203" s="79"/>
      <c r="AC203" s="130"/>
      <c r="AE203" s="106"/>
    </row>
    <row r="204">
      <c r="C204" s="79"/>
      <c r="D204" s="79"/>
      <c r="E204" s="79"/>
      <c r="O204" s="79"/>
      <c r="S204" s="79"/>
      <c r="T204" s="79"/>
      <c r="Y204" s="79"/>
      <c r="AC204" s="130"/>
      <c r="AE204" s="106"/>
    </row>
    <row r="205">
      <c r="C205" s="79"/>
      <c r="D205" s="79"/>
      <c r="E205" s="79"/>
      <c r="O205" s="79"/>
      <c r="S205" s="79"/>
      <c r="T205" s="79"/>
      <c r="Y205" s="79"/>
      <c r="AC205" s="130"/>
      <c r="AE205" s="106"/>
    </row>
    <row r="206">
      <c r="C206" s="79"/>
      <c r="D206" s="79"/>
      <c r="E206" s="79"/>
      <c r="O206" s="79"/>
      <c r="S206" s="79"/>
      <c r="T206" s="79"/>
      <c r="Y206" s="79"/>
      <c r="AC206" s="130"/>
      <c r="AE206" s="106"/>
    </row>
    <row r="207">
      <c r="C207" s="79"/>
      <c r="D207" s="79"/>
      <c r="E207" s="79"/>
      <c r="O207" s="79"/>
      <c r="S207" s="79"/>
      <c r="T207" s="79"/>
      <c r="Y207" s="79"/>
      <c r="AC207" s="130"/>
      <c r="AE207" s="106"/>
    </row>
    <row r="208">
      <c r="C208" s="79"/>
      <c r="D208" s="79"/>
      <c r="E208" s="79"/>
      <c r="O208" s="79"/>
      <c r="S208" s="79"/>
      <c r="T208" s="79"/>
      <c r="Y208" s="79"/>
      <c r="AC208" s="130"/>
      <c r="AE208" s="106"/>
    </row>
    <row r="209">
      <c r="C209" s="79"/>
      <c r="D209" s="79"/>
      <c r="E209" s="79"/>
      <c r="O209" s="79"/>
      <c r="S209" s="79"/>
      <c r="T209" s="79"/>
      <c r="Y209" s="79"/>
      <c r="AC209" s="130"/>
      <c r="AE209" s="106"/>
    </row>
    <row r="210">
      <c r="C210" s="79"/>
      <c r="D210" s="79"/>
      <c r="E210" s="79"/>
      <c r="O210" s="79"/>
      <c r="S210" s="79"/>
      <c r="T210" s="79"/>
      <c r="Y210" s="79"/>
      <c r="AC210" s="130"/>
      <c r="AE210" s="106"/>
    </row>
    <row r="211">
      <c r="C211" s="79"/>
      <c r="D211" s="79"/>
      <c r="E211" s="79"/>
      <c r="O211" s="79"/>
      <c r="S211" s="79"/>
      <c r="T211" s="79"/>
      <c r="Y211" s="79"/>
      <c r="AC211" s="130"/>
      <c r="AE211" s="106"/>
    </row>
    <row r="212">
      <c r="C212" s="79"/>
      <c r="D212" s="79"/>
      <c r="E212" s="79"/>
      <c r="O212" s="79"/>
      <c r="S212" s="79"/>
      <c r="T212" s="79"/>
      <c r="Y212" s="79"/>
      <c r="AC212" s="130"/>
      <c r="AE212" s="106"/>
    </row>
    <row r="213">
      <c r="C213" s="79"/>
      <c r="D213" s="79"/>
      <c r="E213" s="79"/>
      <c r="O213" s="79"/>
      <c r="S213" s="79"/>
      <c r="T213" s="79"/>
      <c r="Y213" s="79"/>
      <c r="AC213" s="130"/>
      <c r="AE213" s="106"/>
    </row>
    <row r="214">
      <c r="C214" s="79"/>
      <c r="D214" s="79"/>
      <c r="E214" s="79"/>
      <c r="O214" s="79"/>
      <c r="S214" s="79"/>
      <c r="T214" s="79"/>
      <c r="Y214" s="79"/>
      <c r="AC214" s="130"/>
      <c r="AE214" s="106"/>
    </row>
    <row r="215">
      <c r="C215" s="79"/>
      <c r="D215" s="79"/>
      <c r="E215" s="79"/>
      <c r="O215" s="79"/>
      <c r="S215" s="79"/>
      <c r="T215" s="79"/>
      <c r="Y215" s="79"/>
      <c r="AC215" s="130"/>
      <c r="AE215" s="106"/>
    </row>
    <row r="216">
      <c r="C216" s="79"/>
      <c r="D216" s="79"/>
      <c r="E216" s="79"/>
      <c r="O216" s="79"/>
      <c r="S216" s="79"/>
      <c r="T216" s="79"/>
      <c r="Y216" s="79"/>
      <c r="AC216" s="130"/>
      <c r="AE216" s="106"/>
    </row>
    <row r="217">
      <c r="C217" s="79"/>
      <c r="D217" s="79"/>
      <c r="E217" s="79"/>
      <c r="O217" s="79"/>
      <c r="S217" s="79"/>
      <c r="T217" s="79"/>
      <c r="Y217" s="79"/>
      <c r="AC217" s="130"/>
      <c r="AE217" s="106"/>
    </row>
    <row r="218">
      <c r="C218" s="79"/>
      <c r="D218" s="79"/>
      <c r="E218" s="79"/>
      <c r="O218" s="79"/>
      <c r="S218" s="79"/>
      <c r="T218" s="79"/>
      <c r="Y218" s="79"/>
      <c r="AC218" s="130"/>
      <c r="AE218" s="106"/>
    </row>
    <row r="219">
      <c r="C219" s="79"/>
      <c r="D219" s="79"/>
      <c r="E219" s="79"/>
      <c r="O219" s="79"/>
      <c r="S219" s="79"/>
      <c r="T219" s="79"/>
      <c r="Y219" s="79"/>
      <c r="AC219" s="130"/>
      <c r="AE219" s="106"/>
    </row>
    <row r="220">
      <c r="C220" s="79"/>
      <c r="D220" s="79"/>
      <c r="E220" s="79"/>
      <c r="O220" s="79"/>
      <c r="S220" s="79"/>
      <c r="T220" s="79"/>
      <c r="Y220" s="79"/>
      <c r="AC220" s="130"/>
      <c r="AE220" s="106"/>
    </row>
    <row r="221">
      <c r="C221" s="79"/>
      <c r="D221" s="79"/>
      <c r="E221" s="79"/>
      <c r="O221" s="79"/>
      <c r="S221" s="79"/>
      <c r="T221" s="79"/>
      <c r="Y221" s="79"/>
      <c r="AC221" s="130"/>
      <c r="AE221" s="106"/>
    </row>
    <row r="222">
      <c r="C222" s="79"/>
      <c r="D222" s="79"/>
      <c r="E222" s="79"/>
      <c r="O222" s="79"/>
      <c r="S222" s="79"/>
      <c r="T222" s="79"/>
      <c r="Y222" s="79"/>
      <c r="AC222" s="130"/>
      <c r="AE222" s="106"/>
    </row>
    <row r="223">
      <c r="C223" s="79"/>
      <c r="D223" s="79"/>
      <c r="E223" s="79"/>
      <c r="O223" s="79"/>
      <c r="S223" s="79"/>
      <c r="T223" s="79"/>
      <c r="Y223" s="79"/>
      <c r="AC223" s="130"/>
      <c r="AE223" s="106"/>
    </row>
    <row r="224">
      <c r="C224" s="79"/>
      <c r="D224" s="79"/>
      <c r="E224" s="79"/>
      <c r="O224" s="79"/>
      <c r="S224" s="79"/>
      <c r="T224" s="79"/>
      <c r="Y224" s="79"/>
      <c r="AC224" s="130"/>
      <c r="AE224" s="106"/>
    </row>
    <row r="225">
      <c r="C225" s="79"/>
      <c r="D225" s="79"/>
      <c r="E225" s="79"/>
      <c r="O225" s="79"/>
      <c r="S225" s="79"/>
      <c r="T225" s="79"/>
      <c r="Y225" s="79"/>
      <c r="AC225" s="130"/>
      <c r="AE225" s="106"/>
    </row>
    <row r="226">
      <c r="C226" s="79"/>
      <c r="D226" s="79"/>
      <c r="E226" s="79"/>
      <c r="O226" s="79"/>
      <c r="S226" s="79"/>
      <c r="T226" s="79"/>
      <c r="Y226" s="79"/>
      <c r="AC226" s="130"/>
      <c r="AE226" s="106"/>
    </row>
    <row r="227">
      <c r="C227" s="79"/>
      <c r="D227" s="79"/>
      <c r="E227" s="79"/>
      <c r="O227" s="79"/>
      <c r="S227" s="79"/>
      <c r="T227" s="79"/>
      <c r="Y227" s="79"/>
      <c r="AC227" s="130"/>
      <c r="AE227" s="106"/>
    </row>
    <row r="228">
      <c r="C228" s="79"/>
      <c r="D228" s="79"/>
      <c r="E228" s="79"/>
      <c r="O228" s="79"/>
      <c r="S228" s="79"/>
      <c r="T228" s="79"/>
      <c r="Y228" s="79"/>
      <c r="AC228" s="130"/>
      <c r="AE228" s="106"/>
    </row>
    <row r="229">
      <c r="C229" s="79"/>
      <c r="D229" s="79"/>
      <c r="E229" s="79"/>
      <c r="O229" s="79"/>
      <c r="S229" s="79"/>
      <c r="T229" s="79"/>
      <c r="Y229" s="79"/>
      <c r="AC229" s="130"/>
      <c r="AE229" s="106"/>
    </row>
    <row r="230">
      <c r="C230" s="79"/>
      <c r="D230" s="79"/>
      <c r="E230" s="79"/>
      <c r="O230" s="79"/>
      <c r="S230" s="79"/>
      <c r="T230" s="79"/>
      <c r="Y230" s="79"/>
      <c r="AC230" s="130"/>
      <c r="AE230" s="106"/>
    </row>
    <row r="231">
      <c r="C231" s="79"/>
      <c r="D231" s="79"/>
      <c r="E231" s="79"/>
      <c r="O231" s="79"/>
      <c r="S231" s="79"/>
      <c r="T231" s="79"/>
      <c r="Y231" s="79"/>
      <c r="AC231" s="130"/>
      <c r="AE231" s="106"/>
    </row>
    <row r="232">
      <c r="C232" s="79"/>
      <c r="D232" s="79"/>
      <c r="E232" s="79"/>
      <c r="O232" s="79"/>
      <c r="S232" s="79"/>
      <c r="T232" s="79"/>
      <c r="Y232" s="79"/>
      <c r="AC232" s="130"/>
      <c r="AE232" s="106"/>
    </row>
    <row r="233">
      <c r="C233" s="79"/>
      <c r="D233" s="79"/>
      <c r="E233" s="79"/>
      <c r="O233" s="79"/>
      <c r="S233" s="79"/>
      <c r="T233" s="79"/>
      <c r="Y233" s="79"/>
      <c r="AC233" s="130"/>
      <c r="AE233" s="106"/>
    </row>
    <row r="234">
      <c r="C234" s="79"/>
      <c r="D234" s="79"/>
      <c r="E234" s="79"/>
      <c r="O234" s="79"/>
      <c r="S234" s="79"/>
      <c r="T234" s="79"/>
      <c r="Y234" s="79"/>
      <c r="AC234" s="130"/>
      <c r="AE234" s="106"/>
    </row>
    <row r="235">
      <c r="C235" s="79"/>
      <c r="D235" s="79"/>
      <c r="E235" s="79"/>
      <c r="O235" s="79"/>
      <c r="S235" s="79"/>
      <c r="T235" s="79"/>
      <c r="Y235" s="79"/>
      <c r="AC235" s="130"/>
      <c r="AE235" s="106"/>
    </row>
    <row r="236">
      <c r="C236" s="79"/>
      <c r="D236" s="79"/>
      <c r="E236" s="79"/>
      <c r="O236" s="79"/>
      <c r="S236" s="79"/>
      <c r="T236" s="79"/>
      <c r="Y236" s="79"/>
      <c r="AC236" s="130"/>
      <c r="AE236" s="106"/>
    </row>
    <row r="237">
      <c r="C237" s="79"/>
      <c r="D237" s="79"/>
      <c r="E237" s="79"/>
      <c r="O237" s="79"/>
      <c r="S237" s="79"/>
      <c r="T237" s="79"/>
      <c r="Y237" s="79"/>
      <c r="AC237" s="130"/>
      <c r="AE237" s="106"/>
    </row>
    <row r="238">
      <c r="C238" s="79"/>
      <c r="D238" s="79"/>
      <c r="E238" s="79"/>
      <c r="O238" s="79"/>
      <c r="S238" s="79"/>
      <c r="T238" s="79"/>
      <c r="Y238" s="79"/>
      <c r="AC238" s="130"/>
      <c r="AE238" s="106"/>
    </row>
    <row r="239">
      <c r="C239" s="79"/>
      <c r="D239" s="79"/>
      <c r="E239" s="79"/>
      <c r="O239" s="79"/>
      <c r="S239" s="79"/>
      <c r="T239" s="79"/>
      <c r="Y239" s="79"/>
      <c r="AC239" s="130"/>
      <c r="AE239" s="106"/>
    </row>
    <row r="240">
      <c r="C240" s="79"/>
      <c r="D240" s="79"/>
      <c r="E240" s="79"/>
      <c r="O240" s="79"/>
      <c r="S240" s="79"/>
      <c r="T240" s="79"/>
      <c r="Y240" s="79"/>
      <c r="AC240" s="130"/>
      <c r="AE240" s="106"/>
    </row>
    <row r="241">
      <c r="C241" s="79"/>
      <c r="D241" s="79"/>
      <c r="E241" s="79"/>
      <c r="O241" s="79"/>
      <c r="S241" s="79"/>
      <c r="T241" s="79"/>
      <c r="Y241" s="79"/>
      <c r="AC241" s="130"/>
      <c r="AE241" s="106"/>
    </row>
    <row r="242">
      <c r="C242" s="79"/>
      <c r="D242" s="79"/>
      <c r="E242" s="79"/>
      <c r="O242" s="79"/>
      <c r="S242" s="79"/>
      <c r="T242" s="79"/>
      <c r="Y242" s="79"/>
      <c r="AC242" s="130"/>
      <c r="AE242" s="106"/>
    </row>
    <row r="243">
      <c r="C243" s="79"/>
      <c r="D243" s="79"/>
      <c r="E243" s="79"/>
      <c r="O243" s="79"/>
      <c r="S243" s="79"/>
      <c r="T243" s="79"/>
      <c r="Y243" s="79"/>
      <c r="AC243" s="130"/>
      <c r="AE243" s="106"/>
    </row>
    <row r="244">
      <c r="C244" s="79"/>
      <c r="D244" s="79"/>
      <c r="E244" s="79"/>
      <c r="O244" s="79"/>
      <c r="S244" s="79"/>
      <c r="T244" s="79"/>
      <c r="Y244" s="79"/>
      <c r="AC244" s="130"/>
      <c r="AE244" s="106"/>
    </row>
    <row r="245">
      <c r="C245" s="79"/>
      <c r="D245" s="79"/>
      <c r="E245" s="79"/>
      <c r="O245" s="79"/>
      <c r="S245" s="79"/>
      <c r="T245" s="79"/>
      <c r="Y245" s="79"/>
      <c r="AC245" s="130"/>
      <c r="AE245" s="106"/>
    </row>
    <row r="246">
      <c r="C246" s="79"/>
      <c r="D246" s="79"/>
      <c r="E246" s="79"/>
      <c r="O246" s="79"/>
      <c r="S246" s="79"/>
      <c r="T246" s="79"/>
      <c r="Y246" s="79"/>
      <c r="AC246" s="130"/>
      <c r="AE246" s="106"/>
    </row>
    <row r="247">
      <c r="C247" s="79"/>
      <c r="D247" s="79"/>
      <c r="E247" s="79"/>
      <c r="O247" s="79"/>
      <c r="S247" s="79"/>
      <c r="T247" s="79"/>
      <c r="Y247" s="79"/>
      <c r="AC247" s="130"/>
      <c r="AE247" s="106"/>
    </row>
    <row r="248">
      <c r="C248" s="79"/>
      <c r="D248" s="79"/>
      <c r="E248" s="79"/>
      <c r="O248" s="79"/>
      <c r="S248" s="79"/>
      <c r="T248" s="79"/>
      <c r="Y248" s="79"/>
      <c r="AC248" s="130"/>
      <c r="AE248" s="106"/>
    </row>
    <row r="249">
      <c r="C249" s="79"/>
      <c r="D249" s="79"/>
      <c r="E249" s="79"/>
      <c r="O249" s="79"/>
      <c r="S249" s="79"/>
      <c r="T249" s="79"/>
      <c r="Y249" s="79"/>
      <c r="AC249" s="130"/>
      <c r="AE249" s="106"/>
    </row>
    <row r="250">
      <c r="C250" s="79"/>
      <c r="D250" s="79"/>
      <c r="E250" s="79"/>
      <c r="O250" s="79"/>
      <c r="S250" s="79"/>
      <c r="T250" s="79"/>
      <c r="Y250" s="79"/>
      <c r="AC250" s="130"/>
      <c r="AE250" s="106"/>
    </row>
    <row r="251">
      <c r="C251" s="79"/>
      <c r="D251" s="79"/>
      <c r="E251" s="79"/>
      <c r="O251" s="79"/>
      <c r="S251" s="79"/>
      <c r="T251" s="79"/>
      <c r="Y251" s="79"/>
      <c r="AC251" s="130"/>
      <c r="AE251" s="106"/>
    </row>
    <row r="252">
      <c r="C252" s="79"/>
      <c r="D252" s="79"/>
      <c r="E252" s="79"/>
      <c r="O252" s="79"/>
      <c r="S252" s="79"/>
      <c r="T252" s="79"/>
      <c r="Y252" s="79"/>
      <c r="AC252" s="130"/>
      <c r="AE252" s="106"/>
    </row>
    <row r="253">
      <c r="C253" s="79"/>
      <c r="D253" s="79"/>
      <c r="E253" s="79"/>
      <c r="O253" s="79"/>
      <c r="S253" s="79"/>
      <c r="T253" s="79"/>
      <c r="Y253" s="79"/>
      <c r="AC253" s="130"/>
      <c r="AE253" s="106"/>
    </row>
    <row r="254">
      <c r="C254" s="79"/>
      <c r="D254" s="79"/>
      <c r="E254" s="79"/>
      <c r="O254" s="79"/>
      <c r="S254" s="79"/>
      <c r="T254" s="79"/>
      <c r="Y254" s="79"/>
      <c r="AC254" s="130"/>
      <c r="AE254" s="106"/>
    </row>
    <row r="255">
      <c r="C255" s="79"/>
      <c r="D255" s="79"/>
      <c r="E255" s="79"/>
      <c r="O255" s="79"/>
      <c r="S255" s="79"/>
      <c r="T255" s="79"/>
      <c r="Y255" s="79"/>
      <c r="AC255" s="130"/>
      <c r="AE255" s="106"/>
    </row>
    <row r="256">
      <c r="C256" s="79"/>
      <c r="D256" s="79"/>
      <c r="E256" s="79"/>
      <c r="O256" s="79"/>
      <c r="S256" s="79"/>
      <c r="T256" s="79"/>
      <c r="Y256" s="79"/>
      <c r="AC256" s="130"/>
      <c r="AE256" s="106"/>
    </row>
    <row r="257">
      <c r="C257" s="79"/>
      <c r="D257" s="79"/>
      <c r="E257" s="79"/>
      <c r="O257" s="79"/>
      <c r="S257" s="79"/>
      <c r="T257" s="79"/>
      <c r="Y257" s="79"/>
      <c r="AC257" s="130"/>
      <c r="AE257" s="106"/>
    </row>
    <row r="258">
      <c r="C258" s="79"/>
      <c r="D258" s="79"/>
      <c r="E258" s="79"/>
      <c r="O258" s="79"/>
      <c r="S258" s="79"/>
      <c r="T258" s="79"/>
      <c r="Y258" s="79"/>
      <c r="AC258" s="130"/>
      <c r="AE258" s="106"/>
    </row>
    <row r="259">
      <c r="C259" s="79"/>
      <c r="D259" s="79"/>
      <c r="E259" s="79"/>
      <c r="O259" s="79"/>
      <c r="S259" s="79"/>
      <c r="T259" s="79"/>
      <c r="Y259" s="79"/>
      <c r="AC259" s="130"/>
      <c r="AE259" s="106"/>
    </row>
    <row r="260">
      <c r="C260" s="79"/>
      <c r="D260" s="79"/>
      <c r="E260" s="79"/>
      <c r="O260" s="79"/>
      <c r="S260" s="79"/>
      <c r="T260" s="79"/>
      <c r="Y260" s="79"/>
      <c r="AC260" s="130"/>
      <c r="AE260" s="106"/>
    </row>
    <row r="261">
      <c r="C261" s="79"/>
      <c r="D261" s="79"/>
      <c r="E261" s="79"/>
      <c r="O261" s="79"/>
      <c r="S261" s="79"/>
      <c r="T261" s="79"/>
      <c r="Y261" s="79"/>
      <c r="AC261" s="130"/>
      <c r="AE261" s="106"/>
    </row>
    <row r="262">
      <c r="C262" s="79"/>
      <c r="D262" s="79"/>
      <c r="E262" s="79"/>
      <c r="O262" s="79"/>
      <c r="S262" s="79"/>
      <c r="T262" s="79"/>
      <c r="Y262" s="79"/>
      <c r="AC262" s="130"/>
      <c r="AE262" s="106"/>
    </row>
    <row r="263">
      <c r="C263" s="79"/>
      <c r="D263" s="79"/>
      <c r="E263" s="79"/>
      <c r="O263" s="79"/>
      <c r="S263" s="79"/>
      <c r="T263" s="79"/>
      <c r="Y263" s="79"/>
      <c r="AC263" s="130"/>
      <c r="AE263" s="106"/>
    </row>
    <row r="264">
      <c r="C264" s="79"/>
      <c r="D264" s="79"/>
      <c r="E264" s="79"/>
      <c r="O264" s="79"/>
      <c r="S264" s="79"/>
      <c r="T264" s="79"/>
      <c r="Y264" s="79"/>
      <c r="AC264" s="130"/>
      <c r="AE264" s="106"/>
    </row>
    <row r="265">
      <c r="C265" s="79"/>
      <c r="D265" s="79"/>
      <c r="E265" s="79"/>
      <c r="O265" s="79"/>
      <c r="S265" s="79"/>
      <c r="T265" s="79"/>
      <c r="Y265" s="79"/>
      <c r="AC265" s="130"/>
      <c r="AE265" s="106"/>
    </row>
    <row r="266">
      <c r="C266" s="79"/>
      <c r="D266" s="79"/>
      <c r="E266" s="79"/>
      <c r="O266" s="79"/>
      <c r="S266" s="79"/>
      <c r="T266" s="79"/>
      <c r="Y266" s="79"/>
      <c r="AC266" s="130"/>
      <c r="AE266" s="106"/>
    </row>
    <row r="267">
      <c r="C267" s="79"/>
      <c r="D267" s="79"/>
      <c r="E267" s="79"/>
      <c r="O267" s="79"/>
      <c r="S267" s="79"/>
      <c r="T267" s="79"/>
      <c r="Y267" s="79"/>
      <c r="AC267" s="130"/>
      <c r="AE267" s="106"/>
    </row>
    <row r="268">
      <c r="C268" s="79"/>
      <c r="D268" s="79"/>
      <c r="E268" s="79"/>
      <c r="O268" s="79"/>
      <c r="S268" s="79"/>
      <c r="T268" s="79"/>
      <c r="Y268" s="79"/>
      <c r="AC268" s="130"/>
      <c r="AE268" s="106"/>
    </row>
    <row r="269">
      <c r="C269" s="79"/>
      <c r="D269" s="79"/>
      <c r="E269" s="79"/>
      <c r="O269" s="79"/>
      <c r="S269" s="79"/>
      <c r="T269" s="79"/>
      <c r="Y269" s="79"/>
      <c r="AC269" s="130"/>
      <c r="AE269" s="106"/>
    </row>
    <row r="270">
      <c r="C270" s="79"/>
      <c r="D270" s="79"/>
      <c r="E270" s="79"/>
      <c r="O270" s="79"/>
      <c r="S270" s="79"/>
      <c r="T270" s="79"/>
      <c r="Y270" s="79"/>
      <c r="AC270" s="130"/>
      <c r="AE270" s="106"/>
    </row>
    <row r="271">
      <c r="C271" s="79"/>
      <c r="D271" s="79"/>
      <c r="E271" s="79"/>
      <c r="O271" s="79"/>
      <c r="S271" s="79"/>
      <c r="T271" s="79"/>
      <c r="Y271" s="79"/>
      <c r="AC271" s="130"/>
      <c r="AE271" s="106"/>
    </row>
    <row r="272">
      <c r="C272" s="79"/>
      <c r="D272" s="79"/>
      <c r="E272" s="79"/>
      <c r="O272" s="79"/>
      <c r="S272" s="79"/>
      <c r="T272" s="79"/>
      <c r="Y272" s="79"/>
      <c r="AC272" s="130"/>
      <c r="AE272" s="106"/>
    </row>
    <row r="273">
      <c r="C273" s="79"/>
      <c r="D273" s="79"/>
      <c r="E273" s="79"/>
      <c r="O273" s="79"/>
      <c r="S273" s="79"/>
      <c r="T273" s="79"/>
      <c r="Y273" s="79"/>
      <c r="AC273" s="130"/>
      <c r="AE273" s="106"/>
    </row>
    <row r="274">
      <c r="C274" s="79"/>
      <c r="D274" s="79"/>
      <c r="E274" s="79"/>
      <c r="O274" s="79"/>
      <c r="S274" s="79"/>
      <c r="T274" s="79"/>
      <c r="Y274" s="79"/>
      <c r="AC274" s="130"/>
      <c r="AE274" s="106"/>
    </row>
    <row r="275">
      <c r="C275" s="79"/>
      <c r="D275" s="79"/>
      <c r="E275" s="79"/>
      <c r="O275" s="79"/>
      <c r="S275" s="79"/>
      <c r="T275" s="79"/>
      <c r="Y275" s="79"/>
      <c r="AC275" s="130"/>
      <c r="AE275" s="106"/>
    </row>
    <row r="276">
      <c r="C276" s="79"/>
      <c r="D276" s="79"/>
      <c r="E276" s="79"/>
      <c r="O276" s="79"/>
      <c r="S276" s="79"/>
      <c r="T276" s="79"/>
      <c r="Y276" s="79"/>
      <c r="AC276" s="130"/>
      <c r="AE276" s="106"/>
    </row>
    <row r="277">
      <c r="C277" s="79"/>
      <c r="D277" s="79"/>
      <c r="E277" s="79"/>
      <c r="O277" s="79"/>
      <c r="S277" s="79"/>
      <c r="T277" s="79"/>
      <c r="Y277" s="79"/>
      <c r="AC277" s="130"/>
      <c r="AE277" s="106"/>
    </row>
    <row r="278">
      <c r="C278" s="79"/>
      <c r="D278" s="79"/>
      <c r="E278" s="79"/>
      <c r="O278" s="79"/>
      <c r="S278" s="79"/>
      <c r="T278" s="79"/>
      <c r="Y278" s="79"/>
      <c r="AC278" s="130"/>
      <c r="AE278" s="106"/>
    </row>
    <row r="279">
      <c r="C279" s="79"/>
      <c r="D279" s="79"/>
      <c r="E279" s="79"/>
      <c r="O279" s="79"/>
      <c r="S279" s="79"/>
      <c r="T279" s="79"/>
      <c r="Y279" s="79"/>
      <c r="AC279" s="130"/>
      <c r="AE279" s="106"/>
    </row>
    <row r="280">
      <c r="C280" s="79"/>
      <c r="D280" s="79"/>
      <c r="E280" s="79"/>
      <c r="O280" s="79"/>
      <c r="S280" s="79"/>
      <c r="T280" s="79"/>
      <c r="Y280" s="79"/>
      <c r="AC280" s="130"/>
      <c r="AE280" s="106"/>
    </row>
    <row r="281">
      <c r="C281" s="79"/>
      <c r="D281" s="79"/>
      <c r="E281" s="79"/>
      <c r="O281" s="79"/>
      <c r="S281" s="79"/>
      <c r="T281" s="79"/>
      <c r="Y281" s="79"/>
      <c r="AC281" s="130"/>
      <c r="AE281" s="106"/>
    </row>
    <row r="282">
      <c r="C282" s="79"/>
      <c r="D282" s="79"/>
      <c r="E282" s="79"/>
      <c r="O282" s="79"/>
      <c r="S282" s="79"/>
      <c r="T282" s="79"/>
      <c r="Y282" s="79"/>
      <c r="AC282" s="130"/>
      <c r="AE282" s="106"/>
    </row>
    <row r="283">
      <c r="C283" s="79"/>
      <c r="D283" s="79"/>
      <c r="E283" s="79"/>
      <c r="O283" s="79"/>
      <c r="S283" s="79"/>
      <c r="T283" s="79"/>
      <c r="Y283" s="79"/>
      <c r="AC283" s="130"/>
      <c r="AE283" s="106"/>
    </row>
    <row r="284">
      <c r="C284" s="79"/>
      <c r="D284" s="79"/>
      <c r="E284" s="79"/>
      <c r="O284" s="79"/>
      <c r="S284" s="79"/>
      <c r="T284" s="79"/>
      <c r="Y284" s="79"/>
      <c r="AC284" s="130"/>
      <c r="AE284" s="106"/>
    </row>
    <row r="285">
      <c r="C285" s="79"/>
      <c r="D285" s="79"/>
      <c r="E285" s="79"/>
      <c r="O285" s="79"/>
      <c r="S285" s="79"/>
      <c r="T285" s="79"/>
      <c r="Y285" s="79"/>
      <c r="AC285" s="130"/>
      <c r="AE285" s="106"/>
    </row>
    <row r="286">
      <c r="C286" s="79"/>
      <c r="D286" s="79"/>
      <c r="E286" s="79"/>
      <c r="O286" s="79"/>
      <c r="S286" s="79"/>
      <c r="T286" s="79"/>
      <c r="Y286" s="79"/>
      <c r="AC286" s="130"/>
      <c r="AE286" s="106"/>
    </row>
    <row r="287">
      <c r="C287" s="79"/>
      <c r="D287" s="79"/>
      <c r="E287" s="79"/>
      <c r="O287" s="79"/>
      <c r="S287" s="79"/>
      <c r="T287" s="79"/>
      <c r="Y287" s="79"/>
      <c r="AC287" s="130"/>
      <c r="AE287" s="106"/>
    </row>
    <row r="288">
      <c r="C288" s="79"/>
      <c r="D288" s="79"/>
      <c r="E288" s="79"/>
      <c r="O288" s="79"/>
      <c r="S288" s="79"/>
      <c r="T288" s="79"/>
      <c r="Y288" s="79"/>
      <c r="AC288" s="130"/>
      <c r="AE288" s="106"/>
    </row>
    <row r="289">
      <c r="C289" s="79"/>
      <c r="D289" s="79"/>
      <c r="E289" s="79"/>
      <c r="O289" s="79"/>
      <c r="S289" s="79"/>
      <c r="T289" s="79"/>
      <c r="Y289" s="79"/>
      <c r="AC289" s="130"/>
      <c r="AE289" s="106"/>
    </row>
    <row r="290">
      <c r="C290" s="79"/>
      <c r="D290" s="79"/>
      <c r="E290" s="79"/>
      <c r="O290" s="79"/>
      <c r="S290" s="79"/>
      <c r="T290" s="79"/>
      <c r="Y290" s="79"/>
      <c r="AC290" s="130"/>
      <c r="AE290" s="106"/>
    </row>
    <row r="291">
      <c r="C291" s="79"/>
      <c r="D291" s="79"/>
      <c r="E291" s="79"/>
      <c r="O291" s="79"/>
      <c r="S291" s="79"/>
      <c r="T291" s="79"/>
      <c r="Y291" s="79"/>
      <c r="AC291" s="130"/>
      <c r="AE291" s="106"/>
    </row>
    <row r="292">
      <c r="C292" s="79"/>
      <c r="D292" s="79"/>
      <c r="E292" s="79"/>
      <c r="O292" s="79"/>
      <c r="S292" s="79"/>
      <c r="T292" s="79"/>
      <c r="Y292" s="79"/>
      <c r="AC292" s="130"/>
      <c r="AE292" s="106"/>
    </row>
    <row r="293">
      <c r="C293" s="79"/>
      <c r="D293" s="79"/>
      <c r="E293" s="79"/>
      <c r="O293" s="79"/>
      <c r="S293" s="79"/>
      <c r="T293" s="79"/>
      <c r="Y293" s="79"/>
      <c r="AC293" s="130"/>
      <c r="AE293" s="106"/>
    </row>
    <row r="294">
      <c r="C294" s="79"/>
      <c r="D294" s="79"/>
      <c r="E294" s="79"/>
      <c r="O294" s="79"/>
      <c r="S294" s="79"/>
      <c r="T294" s="79"/>
      <c r="Y294" s="79"/>
      <c r="AC294" s="130"/>
      <c r="AE294" s="106"/>
    </row>
    <row r="295">
      <c r="C295" s="79"/>
      <c r="D295" s="79"/>
      <c r="E295" s="79"/>
      <c r="O295" s="79"/>
      <c r="S295" s="79"/>
      <c r="T295" s="79"/>
      <c r="Y295" s="79"/>
      <c r="AC295" s="130"/>
      <c r="AE295" s="106"/>
    </row>
    <row r="296">
      <c r="C296" s="79"/>
      <c r="D296" s="79"/>
      <c r="E296" s="79"/>
      <c r="O296" s="79"/>
      <c r="S296" s="79"/>
      <c r="T296" s="79"/>
      <c r="Y296" s="79"/>
      <c r="AC296" s="130"/>
      <c r="AE296" s="106"/>
    </row>
    <row r="297">
      <c r="C297" s="79"/>
      <c r="D297" s="79"/>
      <c r="E297" s="79"/>
      <c r="O297" s="79"/>
      <c r="S297" s="79"/>
      <c r="T297" s="79"/>
      <c r="Y297" s="79"/>
      <c r="AC297" s="130"/>
      <c r="AE297" s="106"/>
    </row>
    <row r="298">
      <c r="C298" s="79"/>
      <c r="D298" s="79"/>
      <c r="E298" s="79"/>
      <c r="O298" s="79"/>
      <c r="S298" s="79"/>
      <c r="T298" s="79"/>
      <c r="Y298" s="79"/>
      <c r="AC298" s="130"/>
      <c r="AE298" s="106"/>
    </row>
    <row r="299">
      <c r="C299" s="79"/>
      <c r="D299" s="79"/>
      <c r="E299" s="79"/>
      <c r="O299" s="79"/>
      <c r="S299" s="79"/>
      <c r="T299" s="79"/>
      <c r="Y299" s="79"/>
      <c r="AC299" s="130"/>
      <c r="AE299" s="106"/>
    </row>
    <row r="300">
      <c r="C300" s="79"/>
      <c r="D300" s="79"/>
      <c r="E300" s="79"/>
      <c r="O300" s="79"/>
      <c r="S300" s="79"/>
      <c r="T300" s="79"/>
      <c r="Y300" s="79"/>
      <c r="AC300" s="130"/>
      <c r="AE300" s="106"/>
    </row>
    <row r="301">
      <c r="C301" s="79"/>
      <c r="D301" s="79"/>
      <c r="E301" s="79"/>
      <c r="O301" s="79"/>
      <c r="S301" s="79"/>
      <c r="T301" s="79"/>
      <c r="Y301" s="79"/>
      <c r="AC301" s="130"/>
      <c r="AE301" s="106"/>
    </row>
    <row r="302">
      <c r="C302" s="79"/>
      <c r="D302" s="79"/>
      <c r="E302" s="79"/>
      <c r="O302" s="79"/>
      <c r="S302" s="79"/>
      <c r="T302" s="79"/>
      <c r="Y302" s="79"/>
      <c r="AC302" s="130"/>
      <c r="AE302" s="106"/>
    </row>
    <row r="303">
      <c r="C303" s="79"/>
      <c r="D303" s="79"/>
      <c r="E303" s="79"/>
      <c r="O303" s="79"/>
      <c r="S303" s="79"/>
      <c r="T303" s="79"/>
      <c r="Y303" s="79"/>
      <c r="AC303" s="130"/>
      <c r="AE303" s="106"/>
    </row>
    <row r="304">
      <c r="C304" s="79"/>
      <c r="D304" s="79"/>
      <c r="E304" s="79"/>
      <c r="O304" s="79"/>
      <c r="S304" s="79"/>
      <c r="T304" s="79"/>
      <c r="Y304" s="79"/>
      <c r="AC304" s="130"/>
      <c r="AE304" s="106"/>
    </row>
    <row r="305">
      <c r="C305" s="79"/>
      <c r="D305" s="79"/>
      <c r="E305" s="79"/>
      <c r="O305" s="79"/>
      <c r="S305" s="79"/>
      <c r="T305" s="79"/>
      <c r="Y305" s="79"/>
      <c r="AC305" s="130"/>
      <c r="AE305" s="106"/>
    </row>
    <row r="306">
      <c r="C306" s="79"/>
      <c r="D306" s="79"/>
      <c r="E306" s="79"/>
      <c r="O306" s="79"/>
      <c r="S306" s="79"/>
      <c r="T306" s="79"/>
      <c r="Y306" s="79"/>
      <c r="AC306" s="130"/>
      <c r="AE306" s="106"/>
    </row>
    <row r="307">
      <c r="C307" s="79"/>
      <c r="D307" s="79"/>
      <c r="E307" s="79"/>
      <c r="O307" s="79"/>
      <c r="S307" s="79"/>
      <c r="T307" s="79"/>
      <c r="Y307" s="79"/>
      <c r="AC307" s="130"/>
      <c r="AE307" s="106"/>
    </row>
    <row r="308">
      <c r="C308" s="79"/>
      <c r="D308" s="79"/>
      <c r="E308" s="79"/>
      <c r="O308" s="79"/>
      <c r="S308" s="79"/>
      <c r="T308" s="79"/>
      <c r="Y308" s="79"/>
      <c r="AC308" s="130"/>
      <c r="AE308" s="106"/>
    </row>
    <row r="309">
      <c r="C309" s="79"/>
      <c r="D309" s="79"/>
      <c r="E309" s="79"/>
      <c r="O309" s="79"/>
      <c r="S309" s="79"/>
      <c r="T309" s="79"/>
      <c r="Y309" s="79"/>
      <c r="AC309" s="130"/>
      <c r="AE309" s="106"/>
    </row>
    <row r="310">
      <c r="C310" s="79"/>
      <c r="D310" s="79"/>
      <c r="E310" s="79"/>
      <c r="O310" s="79"/>
      <c r="S310" s="79"/>
      <c r="T310" s="79"/>
      <c r="Y310" s="79"/>
      <c r="AC310" s="130"/>
      <c r="AE310" s="106"/>
    </row>
    <row r="311">
      <c r="C311" s="79"/>
      <c r="D311" s="79"/>
      <c r="E311" s="79"/>
      <c r="O311" s="79"/>
      <c r="S311" s="79"/>
      <c r="T311" s="79"/>
      <c r="Y311" s="79"/>
      <c r="AC311" s="130"/>
      <c r="AE311" s="106"/>
    </row>
    <row r="312">
      <c r="C312" s="79"/>
      <c r="D312" s="79"/>
      <c r="E312" s="79"/>
      <c r="O312" s="79"/>
      <c r="S312" s="79"/>
      <c r="T312" s="79"/>
      <c r="Y312" s="79"/>
      <c r="AC312" s="130"/>
      <c r="AE312" s="106"/>
    </row>
    <row r="313">
      <c r="C313" s="79"/>
      <c r="D313" s="79"/>
      <c r="E313" s="79"/>
      <c r="O313" s="79"/>
      <c r="S313" s="79"/>
      <c r="T313" s="79"/>
      <c r="Y313" s="79"/>
      <c r="AC313" s="130"/>
      <c r="AE313" s="106"/>
    </row>
    <row r="314">
      <c r="C314" s="79"/>
      <c r="D314" s="79"/>
      <c r="E314" s="79"/>
      <c r="O314" s="79"/>
      <c r="S314" s="79"/>
      <c r="T314" s="79"/>
      <c r="Y314" s="79"/>
      <c r="AC314" s="130"/>
      <c r="AE314" s="106"/>
    </row>
    <row r="315">
      <c r="C315" s="79"/>
      <c r="D315" s="79"/>
      <c r="E315" s="79"/>
      <c r="O315" s="79"/>
      <c r="S315" s="79"/>
      <c r="T315" s="79"/>
      <c r="Y315" s="79"/>
      <c r="AC315" s="130"/>
      <c r="AE315" s="106"/>
    </row>
    <row r="316">
      <c r="C316" s="79"/>
      <c r="D316" s="79"/>
      <c r="E316" s="79"/>
      <c r="O316" s="79"/>
      <c r="S316" s="79"/>
      <c r="T316" s="79"/>
      <c r="Y316" s="79"/>
      <c r="AC316" s="130"/>
      <c r="AE316" s="106"/>
    </row>
    <row r="317">
      <c r="C317" s="79"/>
      <c r="D317" s="79"/>
      <c r="E317" s="79"/>
      <c r="O317" s="79"/>
      <c r="S317" s="79"/>
      <c r="T317" s="79"/>
      <c r="Y317" s="79"/>
      <c r="AC317" s="130"/>
      <c r="AE317" s="106"/>
    </row>
    <row r="318">
      <c r="C318" s="79"/>
      <c r="D318" s="79"/>
      <c r="E318" s="79"/>
      <c r="O318" s="79"/>
      <c r="S318" s="79"/>
      <c r="T318" s="79"/>
      <c r="Y318" s="79"/>
      <c r="AC318" s="130"/>
      <c r="AE318" s="106"/>
    </row>
    <row r="319">
      <c r="C319" s="79"/>
      <c r="D319" s="79"/>
      <c r="E319" s="79"/>
      <c r="O319" s="79"/>
      <c r="S319" s="79"/>
      <c r="T319" s="79"/>
      <c r="Y319" s="79"/>
      <c r="AC319" s="130"/>
      <c r="AE319" s="106"/>
    </row>
    <row r="320">
      <c r="C320" s="79"/>
      <c r="D320" s="79"/>
      <c r="E320" s="79"/>
      <c r="O320" s="79"/>
      <c r="S320" s="79"/>
      <c r="T320" s="79"/>
      <c r="Y320" s="79"/>
      <c r="AC320" s="130"/>
      <c r="AE320" s="106"/>
    </row>
    <row r="321">
      <c r="C321" s="79"/>
      <c r="D321" s="79"/>
      <c r="E321" s="79"/>
      <c r="O321" s="79"/>
      <c r="S321" s="79"/>
      <c r="T321" s="79"/>
      <c r="Y321" s="79"/>
      <c r="AC321" s="130"/>
      <c r="AE321" s="106"/>
    </row>
    <row r="322">
      <c r="C322" s="79"/>
      <c r="D322" s="79"/>
      <c r="E322" s="79"/>
      <c r="O322" s="79"/>
      <c r="S322" s="79"/>
      <c r="T322" s="79"/>
      <c r="Y322" s="79"/>
      <c r="AC322" s="130"/>
      <c r="AE322" s="106"/>
    </row>
    <row r="323">
      <c r="C323" s="79"/>
      <c r="D323" s="79"/>
      <c r="E323" s="79"/>
      <c r="O323" s="79"/>
      <c r="S323" s="79"/>
      <c r="T323" s="79"/>
      <c r="Y323" s="79"/>
      <c r="AC323" s="130"/>
      <c r="AE323" s="106"/>
    </row>
    <row r="324">
      <c r="C324" s="79"/>
      <c r="D324" s="79"/>
      <c r="E324" s="79"/>
      <c r="O324" s="79"/>
      <c r="S324" s="79"/>
      <c r="T324" s="79"/>
      <c r="Y324" s="79"/>
      <c r="AC324" s="130"/>
      <c r="AE324" s="106"/>
    </row>
    <row r="325">
      <c r="C325" s="79"/>
      <c r="D325" s="79"/>
      <c r="E325" s="79"/>
      <c r="O325" s="79"/>
      <c r="S325" s="79"/>
      <c r="T325" s="79"/>
      <c r="Y325" s="79"/>
      <c r="AC325" s="130"/>
      <c r="AE325" s="106"/>
    </row>
    <row r="326">
      <c r="C326" s="79"/>
      <c r="D326" s="79"/>
      <c r="E326" s="79"/>
      <c r="O326" s="79"/>
      <c r="S326" s="79"/>
      <c r="T326" s="79"/>
      <c r="Y326" s="79"/>
      <c r="AC326" s="130"/>
      <c r="AE326" s="106"/>
    </row>
    <row r="327">
      <c r="C327" s="79"/>
      <c r="D327" s="79"/>
      <c r="E327" s="79"/>
      <c r="O327" s="79"/>
      <c r="S327" s="79"/>
      <c r="T327" s="79"/>
      <c r="Y327" s="79"/>
      <c r="AC327" s="130"/>
      <c r="AE327" s="106"/>
    </row>
    <row r="328">
      <c r="C328" s="79"/>
      <c r="D328" s="79"/>
      <c r="E328" s="79"/>
      <c r="O328" s="79"/>
      <c r="S328" s="79"/>
      <c r="T328" s="79"/>
      <c r="Y328" s="79"/>
      <c r="AC328" s="130"/>
      <c r="AE328" s="106"/>
    </row>
    <row r="329">
      <c r="C329" s="79"/>
      <c r="D329" s="79"/>
      <c r="E329" s="79"/>
      <c r="O329" s="79"/>
      <c r="S329" s="79"/>
      <c r="T329" s="79"/>
      <c r="Y329" s="79"/>
      <c r="AC329" s="130"/>
      <c r="AE329" s="106"/>
    </row>
    <row r="330">
      <c r="C330" s="79"/>
      <c r="D330" s="79"/>
      <c r="E330" s="79"/>
      <c r="O330" s="79"/>
      <c r="S330" s="79"/>
      <c r="T330" s="79"/>
      <c r="Y330" s="79"/>
      <c r="AC330" s="130"/>
      <c r="AE330" s="106"/>
    </row>
    <row r="331">
      <c r="C331" s="79"/>
      <c r="D331" s="79"/>
      <c r="E331" s="79"/>
      <c r="O331" s="79"/>
      <c r="S331" s="79"/>
      <c r="T331" s="79"/>
      <c r="Y331" s="79"/>
      <c r="AC331" s="130"/>
      <c r="AE331" s="106"/>
    </row>
    <row r="332">
      <c r="C332" s="79"/>
      <c r="D332" s="79"/>
      <c r="E332" s="79"/>
      <c r="O332" s="79"/>
      <c r="S332" s="79"/>
      <c r="T332" s="79"/>
      <c r="Y332" s="79"/>
      <c r="AC332" s="130"/>
      <c r="AE332" s="106"/>
    </row>
    <row r="333">
      <c r="C333" s="79"/>
      <c r="D333" s="79"/>
      <c r="E333" s="79"/>
      <c r="O333" s="79"/>
      <c r="S333" s="79"/>
      <c r="T333" s="79"/>
      <c r="Y333" s="79"/>
      <c r="AC333" s="130"/>
      <c r="AE333" s="106"/>
    </row>
    <row r="334">
      <c r="C334" s="79"/>
      <c r="D334" s="79"/>
      <c r="E334" s="79"/>
      <c r="O334" s="79"/>
      <c r="S334" s="79"/>
      <c r="T334" s="79"/>
      <c r="Y334" s="79"/>
      <c r="AC334" s="130"/>
      <c r="AE334" s="106"/>
    </row>
    <row r="335">
      <c r="C335" s="79"/>
      <c r="D335" s="79"/>
      <c r="E335" s="79"/>
      <c r="O335" s="79"/>
      <c r="S335" s="79"/>
      <c r="T335" s="79"/>
      <c r="Y335" s="79"/>
      <c r="AC335" s="130"/>
      <c r="AE335" s="106"/>
    </row>
    <row r="336">
      <c r="C336" s="79"/>
      <c r="D336" s="79"/>
      <c r="E336" s="79"/>
      <c r="O336" s="79"/>
      <c r="S336" s="79"/>
      <c r="T336" s="79"/>
      <c r="Y336" s="79"/>
      <c r="AC336" s="130"/>
      <c r="AE336" s="106"/>
    </row>
    <row r="337">
      <c r="C337" s="79"/>
      <c r="D337" s="79"/>
      <c r="E337" s="79"/>
      <c r="O337" s="79"/>
      <c r="S337" s="79"/>
      <c r="T337" s="79"/>
      <c r="Y337" s="79"/>
      <c r="AC337" s="130"/>
      <c r="AE337" s="106"/>
    </row>
    <row r="338">
      <c r="C338" s="79"/>
      <c r="D338" s="79"/>
      <c r="E338" s="79"/>
      <c r="O338" s="79"/>
      <c r="S338" s="79"/>
      <c r="T338" s="79"/>
      <c r="Y338" s="79"/>
      <c r="AC338" s="130"/>
      <c r="AE338" s="106"/>
    </row>
    <row r="339">
      <c r="C339" s="79"/>
      <c r="D339" s="79"/>
      <c r="E339" s="79"/>
      <c r="O339" s="79"/>
      <c r="S339" s="79"/>
      <c r="T339" s="79"/>
      <c r="Y339" s="79"/>
      <c r="AC339" s="130"/>
      <c r="AE339" s="106"/>
    </row>
    <row r="340">
      <c r="C340" s="79"/>
      <c r="D340" s="79"/>
      <c r="E340" s="79"/>
      <c r="O340" s="79"/>
      <c r="S340" s="79"/>
      <c r="T340" s="79"/>
      <c r="Y340" s="79"/>
      <c r="AC340" s="130"/>
      <c r="AE340" s="106"/>
    </row>
    <row r="341">
      <c r="C341" s="79"/>
      <c r="D341" s="79"/>
      <c r="E341" s="79"/>
      <c r="O341" s="79"/>
      <c r="S341" s="79"/>
      <c r="T341" s="79"/>
      <c r="Y341" s="79"/>
      <c r="AC341" s="130"/>
      <c r="AE341" s="106"/>
    </row>
    <row r="342">
      <c r="C342" s="79"/>
      <c r="D342" s="79"/>
      <c r="E342" s="79"/>
      <c r="O342" s="79"/>
      <c r="S342" s="79"/>
      <c r="T342" s="79"/>
      <c r="Y342" s="79"/>
      <c r="AC342" s="130"/>
      <c r="AE342" s="106"/>
    </row>
    <row r="343">
      <c r="C343" s="79"/>
      <c r="D343" s="79"/>
      <c r="E343" s="79"/>
      <c r="O343" s="79"/>
      <c r="S343" s="79"/>
      <c r="T343" s="79"/>
      <c r="Y343" s="79"/>
      <c r="AC343" s="130"/>
      <c r="AE343" s="106"/>
    </row>
    <row r="344">
      <c r="C344" s="79"/>
      <c r="D344" s="79"/>
      <c r="E344" s="79"/>
      <c r="O344" s="79"/>
      <c r="S344" s="79"/>
      <c r="T344" s="79"/>
      <c r="Y344" s="79"/>
      <c r="AC344" s="130"/>
      <c r="AE344" s="106"/>
    </row>
    <row r="345">
      <c r="C345" s="79"/>
      <c r="D345" s="79"/>
      <c r="E345" s="79"/>
      <c r="O345" s="79"/>
      <c r="S345" s="79"/>
      <c r="T345" s="79"/>
      <c r="Y345" s="79"/>
      <c r="AC345" s="130"/>
      <c r="AE345" s="106"/>
    </row>
    <row r="346">
      <c r="C346" s="79"/>
      <c r="D346" s="79"/>
      <c r="E346" s="79"/>
      <c r="O346" s="79"/>
      <c r="S346" s="79"/>
      <c r="T346" s="79"/>
      <c r="Y346" s="79"/>
      <c r="AC346" s="130"/>
      <c r="AE346" s="106"/>
    </row>
    <row r="347">
      <c r="C347" s="79"/>
      <c r="D347" s="79"/>
      <c r="E347" s="79"/>
      <c r="O347" s="79"/>
      <c r="S347" s="79"/>
      <c r="T347" s="79"/>
      <c r="Y347" s="79"/>
      <c r="AC347" s="130"/>
      <c r="AE347" s="106"/>
    </row>
    <row r="348">
      <c r="C348" s="79"/>
      <c r="D348" s="79"/>
      <c r="E348" s="79"/>
      <c r="O348" s="79"/>
      <c r="S348" s="79"/>
      <c r="T348" s="79"/>
      <c r="Y348" s="79"/>
      <c r="AC348" s="130"/>
      <c r="AE348" s="106"/>
    </row>
    <row r="349">
      <c r="C349" s="79"/>
      <c r="D349" s="79"/>
      <c r="E349" s="79"/>
      <c r="O349" s="79"/>
      <c r="S349" s="79"/>
      <c r="T349" s="79"/>
      <c r="Y349" s="79"/>
      <c r="AC349" s="130"/>
      <c r="AE349" s="106"/>
    </row>
    <row r="350">
      <c r="C350" s="79"/>
      <c r="D350" s="79"/>
      <c r="E350" s="79"/>
      <c r="O350" s="79"/>
      <c r="S350" s="79"/>
      <c r="T350" s="79"/>
      <c r="Y350" s="79"/>
      <c r="AC350" s="130"/>
      <c r="AE350" s="106"/>
    </row>
    <row r="351">
      <c r="C351" s="79"/>
      <c r="D351" s="79"/>
      <c r="E351" s="79"/>
      <c r="O351" s="79"/>
      <c r="S351" s="79"/>
      <c r="T351" s="79"/>
      <c r="Y351" s="79"/>
      <c r="AC351" s="130"/>
      <c r="AE351" s="106"/>
    </row>
    <row r="352">
      <c r="C352" s="79"/>
      <c r="D352" s="79"/>
      <c r="E352" s="79"/>
      <c r="O352" s="79"/>
      <c r="S352" s="79"/>
      <c r="T352" s="79"/>
      <c r="Y352" s="79"/>
      <c r="AC352" s="130"/>
      <c r="AE352" s="106"/>
    </row>
    <row r="353">
      <c r="C353" s="79"/>
      <c r="D353" s="79"/>
      <c r="E353" s="79"/>
      <c r="O353" s="79"/>
      <c r="S353" s="79"/>
      <c r="T353" s="79"/>
      <c r="Y353" s="79"/>
      <c r="AC353" s="130"/>
      <c r="AE353" s="106"/>
    </row>
    <row r="354">
      <c r="C354" s="79"/>
      <c r="D354" s="79"/>
      <c r="E354" s="79"/>
      <c r="O354" s="79"/>
      <c r="S354" s="79"/>
      <c r="T354" s="79"/>
      <c r="Y354" s="79"/>
      <c r="AC354" s="130"/>
      <c r="AE354" s="106"/>
    </row>
    <row r="355">
      <c r="C355" s="79"/>
      <c r="D355" s="79"/>
      <c r="E355" s="79"/>
      <c r="O355" s="79"/>
      <c r="S355" s="79"/>
      <c r="T355" s="79"/>
      <c r="Y355" s="79"/>
      <c r="AC355" s="130"/>
      <c r="AE355" s="106"/>
    </row>
    <row r="356">
      <c r="C356" s="79"/>
      <c r="D356" s="79"/>
      <c r="E356" s="79"/>
      <c r="O356" s="79"/>
      <c r="S356" s="79"/>
      <c r="T356" s="79"/>
      <c r="Y356" s="79"/>
      <c r="AC356" s="130"/>
      <c r="AE356" s="106"/>
    </row>
    <row r="357">
      <c r="C357" s="79"/>
      <c r="D357" s="79"/>
      <c r="E357" s="79"/>
      <c r="O357" s="79"/>
      <c r="S357" s="79"/>
      <c r="T357" s="79"/>
      <c r="Y357" s="79"/>
      <c r="AC357" s="130"/>
      <c r="AE357" s="106"/>
    </row>
    <row r="358">
      <c r="C358" s="79"/>
      <c r="D358" s="79"/>
      <c r="E358" s="79"/>
      <c r="O358" s="79"/>
      <c r="S358" s="79"/>
      <c r="T358" s="79"/>
      <c r="Y358" s="79"/>
      <c r="AC358" s="130"/>
      <c r="AE358" s="106"/>
    </row>
    <row r="359">
      <c r="C359" s="79"/>
      <c r="D359" s="79"/>
      <c r="E359" s="79"/>
      <c r="O359" s="79"/>
      <c r="S359" s="79"/>
      <c r="T359" s="79"/>
      <c r="Y359" s="79"/>
      <c r="AC359" s="130"/>
      <c r="AE359" s="106"/>
    </row>
    <row r="360">
      <c r="C360" s="79"/>
      <c r="D360" s="79"/>
      <c r="E360" s="79"/>
      <c r="O360" s="79"/>
      <c r="S360" s="79"/>
      <c r="T360" s="79"/>
      <c r="Y360" s="79"/>
      <c r="AC360" s="130"/>
      <c r="AE360" s="106"/>
    </row>
    <row r="361">
      <c r="C361" s="79"/>
      <c r="D361" s="79"/>
      <c r="E361" s="79"/>
      <c r="O361" s="79"/>
      <c r="S361" s="79"/>
      <c r="T361" s="79"/>
      <c r="Y361" s="79"/>
      <c r="AC361" s="130"/>
      <c r="AE361" s="106"/>
    </row>
    <row r="362">
      <c r="C362" s="79"/>
      <c r="D362" s="79"/>
      <c r="E362" s="79"/>
      <c r="O362" s="79"/>
      <c r="S362" s="79"/>
      <c r="T362" s="79"/>
      <c r="Y362" s="79"/>
      <c r="AC362" s="130"/>
      <c r="AE362" s="106"/>
    </row>
    <row r="363">
      <c r="C363" s="79"/>
      <c r="D363" s="79"/>
      <c r="E363" s="79"/>
      <c r="O363" s="79"/>
      <c r="S363" s="79"/>
      <c r="T363" s="79"/>
      <c r="Y363" s="79"/>
      <c r="AC363" s="130"/>
      <c r="AE363" s="106"/>
    </row>
    <row r="364">
      <c r="C364" s="79"/>
      <c r="D364" s="79"/>
      <c r="E364" s="79"/>
      <c r="O364" s="79"/>
      <c r="S364" s="79"/>
      <c r="T364" s="79"/>
      <c r="Y364" s="79"/>
      <c r="AC364" s="130"/>
      <c r="AE364" s="106"/>
    </row>
    <row r="365">
      <c r="C365" s="79"/>
      <c r="D365" s="79"/>
      <c r="E365" s="79"/>
      <c r="O365" s="79"/>
      <c r="S365" s="79"/>
      <c r="T365" s="79"/>
      <c r="Y365" s="79"/>
      <c r="AC365" s="130"/>
      <c r="AE365" s="106"/>
    </row>
    <row r="366">
      <c r="C366" s="79"/>
      <c r="D366" s="79"/>
      <c r="E366" s="79"/>
      <c r="O366" s="79"/>
      <c r="S366" s="79"/>
      <c r="T366" s="79"/>
      <c r="Y366" s="79"/>
      <c r="AC366" s="130"/>
      <c r="AE366" s="106"/>
    </row>
    <row r="367">
      <c r="C367" s="79"/>
      <c r="D367" s="79"/>
      <c r="E367" s="79"/>
      <c r="O367" s="79"/>
      <c r="S367" s="79"/>
      <c r="T367" s="79"/>
      <c r="Y367" s="79"/>
      <c r="AC367" s="130"/>
      <c r="AE367" s="106"/>
    </row>
    <row r="368">
      <c r="C368" s="79"/>
      <c r="D368" s="79"/>
      <c r="E368" s="79"/>
      <c r="O368" s="79"/>
      <c r="S368" s="79"/>
      <c r="T368" s="79"/>
      <c r="Y368" s="79"/>
      <c r="AC368" s="130"/>
      <c r="AE368" s="106"/>
    </row>
    <row r="369">
      <c r="C369" s="79"/>
      <c r="D369" s="79"/>
      <c r="E369" s="79"/>
      <c r="O369" s="79"/>
      <c r="S369" s="79"/>
      <c r="T369" s="79"/>
      <c r="Y369" s="79"/>
      <c r="AC369" s="130"/>
      <c r="AE369" s="106"/>
    </row>
    <row r="370">
      <c r="C370" s="79"/>
      <c r="D370" s="79"/>
      <c r="E370" s="79"/>
      <c r="O370" s="79"/>
      <c r="S370" s="79"/>
      <c r="T370" s="79"/>
      <c r="Y370" s="79"/>
      <c r="AC370" s="130"/>
      <c r="AE370" s="106"/>
    </row>
    <row r="371">
      <c r="C371" s="79"/>
      <c r="D371" s="79"/>
      <c r="E371" s="79"/>
      <c r="O371" s="79"/>
      <c r="S371" s="79"/>
      <c r="T371" s="79"/>
      <c r="Y371" s="79"/>
      <c r="AC371" s="130"/>
      <c r="AE371" s="106"/>
    </row>
    <row r="372">
      <c r="C372" s="79"/>
      <c r="D372" s="79"/>
      <c r="E372" s="79"/>
      <c r="O372" s="79"/>
      <c r="S372" s="79"/>
      <c r="T372" s="79"/>
      <c r="Y372" s="79"/>
      <c r="AC372" s="130"/>
      <c r="AE372" s="106"/>
    </row>
    <row r="373">
      <c r="C373" s="79"/>
      <c r="D373" s="79"/>
      <c r="E373" s="79"/>
      <c r="O373" s="79"/>
      <c r="S373" s="79"/>
      <c r="T373" s="79"/>
      <c r="Y373" s="79"/>
      <c r="AC373" s="130"/>
      <c r="AE373" s="106"/>
    </row>
    <row r="374">
      <c r="C374" s="79"/>
      <c r="D374" s="79"/>
      <c r="E374" s="79"/>
      <c r="O374" s="79"/>
      <c r="S374" s="79"/>
      <c r="T374" s="79"/>
      <c r="Y374" s="79"/>
      <c r="AC374" s="130"/>
      <c r="AE374" s="106"/>
    </row>
    <row r="375">
      <c r="C375" s="79"/>
      <c r="D375" s="79"/>
      <c r="E375" s="79"/>
      <c r="O375" s="79"/>
      <c r="S375" s="79"/>
      <c r="T375" s="79"/>
      <c r="Y375" s="79"/>
      <c r="AC375" s="130"/>
      <c r="AE375" s="106"/>
    </row>
    <row r="376">
      <c r="C376" s="79"/>
      <c r="D376" s="79"/>
      <c r="E376" s="79"/>
      <c r="O376" s="79"/>
      <c r="S376" s="79"/>
      <c r="T376" s="79"/>
      <c r="Y376" s="79"/>
      <c r="AC376" s="130"/>
      <c r="AE376" s="106"/>
    </row>
    <row r="377">
      <c r="C377" s="79"/>
      <c r="D377" s="79"/>
      <c r="E377" s="79"/>
      <c r="O377" s="79"/>
      <c r="S377" s="79"/>
      <c r="T377" s="79"/>
      <c r="Y377" s="79"/>
      <c r="AC377" s="130"/>
      <c r="AE377" s="106"/>
    </row>
    <row r="378">
      <c r="C378" s="79"/>
      <c r="D378" s="79"/>
      <c r="E378" s="79"/>
      <c r="O378" s="79"/>
      <c r="S378" s="79"/>
      <c r="T378" s="79"/>
      <c r="Y378" s="79"/>
      <c r="AC378" s="130"/>
      <c r="AE378" s="106"/>
    </row>
    <row r="379">
      <c r="C379" s="79"/>
      <c r="D379" s="79"/>
      <c r="E379" s="79"/>
      <c r="O379" s="79"/>
      <c r="S379" s="79"/>
      <c r="T379" s="79"/>
      <c r="Y379" s="79"/>
      <c r="AC379" s="130"/>
      <c r="AE379" s="106"/>
    </row>
    <row r="380">
      <c r="C380" s="79"/>
      <c r="D380" s="79"/>
      <c r="E380" s="79"/>
      <c r="O380" s="79"/>
      <c r="S380" s="79"/>
      <c r="T380" s="79"/>
      <c r="Y380" s="79"/>
      <c r="AC380" s="130"/>
      <c r="AE380" s="106"/>
    </row>
    <row r="381">
      <c r="C381" s="79"/>
      <c r="D381" s="79"/>
      <c r="E381" s="79"/>
      <c r="O381" s="79"/>
      <c r="S381" s="79"/>
      <c r="T381" s="79"/>
      <c r="Y381" s="79"/>
      <c r="AC381" s="130"/>
      <c r="AE381" s="106"/>
    </row>
    <row r="382">
      <c r="C382" s="79"/>
      <c r="D382" s="79"/>
      <c r="E382" s="79"/>
      <c r="O382" s="79"/>
      <c r="S382" s="79"/>
      <c r="T382" s="79"/>
      <c r="Y382" s="79"/>
      <c r="AC382" s="130"/>
      <c r="AE382" s="106"/>
    </row>
    <row r="383">
      <c r="C383" s="79"/>
      <c r="D383" s="79"/>
      <c r="E383" s="79"/>
      <c r="O383" s="79"/>
      <c r="S383" s="79"/>
      <c r="T383" s="79"/>
      <c r="Y383" s="79"/>
      <c r="AC383" s="130"/>
      <c r="AE383" s="106"/>
    </row>
    <row r="384">
      <c r="C384" s="79"/>
      <c r="D384" s="79"/>
      <c r="E384" s="79"/>
      <c r="O384" s="79"/>
      <c r="S384" s="79"/>
      <c r="T384" s="79"/>
      <c r="Y384" s="79"/>
      <c r="AC384" s="130"/>
      <c r="AE384" s="106"/>
    </row>
    <row r="385">
      <c r="C385" s="79"/>
      <c r="D385" s="79"/>
      <c r="E385" s="79"/>
      <c r="O385" s="79"/>
      <c r="S385" s="79"/>
      <c r="T385" s="79"/>
      <c r="Y385" s="79"/>
      <c r="AC385" s="130"/>
      <c r="AE385" s="106"/>
    </row>
    <row r="386">
      <c r="C386" s="79"/>
      <c r="D386" s="79"/>
      <c r="E386" s="79"/>
      <c r="O386" s="79"/>
      <c r="S386" s="79"/>
      <c r="T386" s="79"/>
      <c r="Y386" s="79"/>
      <c r="AC386" s="130"/>
      <c r="AE386" s="106"/>
    </row>
    <row r="387">
      <c r="C387" s="79"/>
      <c r="D387" s="79"/>
      <c r="E387" s="79"/>
      <c r="O387" s="79"/>
      <c r="S387" s="79"/>
      <c r="T387" s="79"/>
      <c r="Y387" s="79"/>
      <c r="AC387" s="130"/>
      <c r="AE387" s="106"/>
    </row>
    <row r="388">
      <c r="C388" s="79"/>
      <c r="D388" s="79"/>
      <c r="E388" s="79"/>
      <c r="O388" s="79"/>
      <c r="S388" s="79"/>
      <c r="T388" s="79"/>
      <c r="Y388" s="79"/>
      <c r="AC388" s="130"/>
      <c r="AE388" s="106"/>
    </row>
    <row r="389">
      <c r="C389" s="79"/>
      <c r="D389" s="79"/>
      <c r="E389" s="79"/>
      <c r="O389" s="79"/>
      <c r="S389" s="79"/>
      <c r="T389" s="79"/>
      <c r="Y389" s="79"/>
      <c r="AC389" s="130"/>
      <c r="AE389" s="106"/>
    </row>
    <row r="390">
      <c r="C390" s="79"/>
      <c r="D390" s="79"/>
      <c r="E390" s="79"/>
      <c r="O390" s="79"/>
      <c r="S390" s="79"/>
      <c r="T390" s="79"/>
      <c r="Y390" s="79"/>
      <c r="AC390" s="130"/>
      <c r="AE390" s="106"/>
    </row>
    <row r="391">
      <c r="C391" s="79"/>
      <c r="D391" s="79"/>
      <c r="E391" s="79"/>
      <c r="O391" s="79"/>
      <c r="S391" s="79"/>
      <c r="T391" s="79"/>
      <c r="Y391" s="79"/>
      <c r="AC391" s="130"/>
      <c r="AE391" s="106"/>
    </row>
    <row r="392">
      <c r="C392" s="79"/>
      <c r="D392" s="79"/>
      <c r="E392" s="79"/>
      <c r="O392" s="79"/>
      <c r="S392" s="79"/>
      <c r="T392" s="79"/>
      <c r="Y392" s="79"/>
      <c r="AC392" s="130"/>
      <c r="AE392" s="106"/>
    </row>
    <row r="393">
      <c r="C393" s="79"/>
      <c r="D393" s="79"/>
      <c r="E393" s="79"/>
      <c r="O393" s="79"/>
      <c r="S393" s="79"/>
      <c r="T393" s="79"/>
      <c r="Y393" s="79"/>
      <c r="AC393" s="130"/>
      <c r="AE393" s="106"/>
    </row>
    <row r="394">
      <c r="C394" s="79"/>
      <c r="D394" s="79"/>
      <c r="E394" s="79"/>
      <c r="O394" s="79"/>
      <c r="S394" s="79"/>
      <c r="T394" s="79"/>
      <c r="Y394" s="79"/>
      <c r="AC394" s="130"/>
      <c r="AE394" s="106"/>
    </row>
    <row r="395">
      <c r="C395" s="79"/>
      <c r="D395" s="79"/>
      <c r="E395" s="79"/>
      <c r="O395" s="79"/>
      <c r="S395" s="79"/>
      <c r="T395" s="79"/>
      <c r="Y395" s="79"/>
      <c r="AC395" s="130"/>
      <c r="AE395" s="106"/>
    </row>
    <row r="396">
      <c r="C396" s="79"/>
      <c r="D396" s="79"/>
      <c r="E396" s="79"/>
      <c r="O396" s="79"/>
      <c r="S396" s="79"/>
      <c r="T396" s="79"/>
      <c r="Y396" s="79"/>
      <c r="AC396" s="130"/>
      <c r="AE396" s="106"/>
    </row>
    <row r="397">
      <c r="C397" s="79"/>
      <c r="D397" s="79"/>
      <c r="E397" s="79"/>
      <c r="O397" s="79"/>
      <c r="S397" s="79"/>
      <c r="T397" s="79"/>
      <c r="Y397" s="79"/>
      <c r="AC397" s="130"/>
      <c r="AE397" s="106"/>
    </row>
    <row r="398">
      <c r="C398" s="79"/>
      <c r="D398" s="79"/>
      <c r="E398" s="79"/>
      <c r="O398" s="79"/>
      <c r="S398" s="79"/>
      <c r="T398" s="79"/>
      <c r="Y398" s="79"/>
      <c r="AC398" s="130"/>
      <c r="AE398" s="106"/>
    </row>
    <row r="399">
      <c r="C399" s="79"/>
      <c r="D399" s="79"/>
      <c r="E399" s="79"/>
      <c r="O399" s="79"/>
      <c r="S399" s="79"/>
      <c r="T399" s="79"/>
      <c r="Y399" s="79"/>
      <c r="AC399" s="130"/>
      <c r="AE399" s="106"/>
    </row>
    <row r="400">
      <c r="C400" s="79"/>
      <c r="D400" s="79"/>
      <c r="E400" s="79"/>
      <c r="O400" s="79"/>
      <c r="S400" s="79"/>
      <c r="T400" s="79"/>
      <c r="Y400" s="79"/>
      <c r="AC400" s="130"/>
      <c r="AE400" s="106"/>
    </row>
    <row r="401">
      <c r="C401" s="79"/>
      <c r="D401" s="79"/>
      <c r="E401" s="79"/>
      <c r="O401" s="79"/>
      <c r="S401" s="79"/>
      <c r="T401" s="79"/>
      <c r="Y401" s="79"/>
      <c r="AC401" s="130"/>
      <c r="AE401" s="106"/>
    </row>
    <row r="402">
      <c r="C402" s="79"/>
      <c r="D402" s="79"/>
      <c r="E402" s="79"/>
      <c r="O402" s="79"/>
      <c r="S402" s="79"/>
      <c r="T402" s="79"/>
      <c r="Y402" s="79"/>
      <c r="AC402" s="130"/>
      <c r="AE402" s="106"/>
    </row>
    <row r="403">
      <c r="C403" s="79"/>
      <c r="D403" s="79"/>
      <c r="E403" s="79"/>
      <c r="O403" s="79"/>
      <c r="S403" s="79"/>
      <c r="T403" s="79"/>
      <c r="Y403" s="79"/>
      <c r="AC403" s="130"/>
      <c r="AE403" s="106"/>
    </row>
    <row r="404">
      <c r="C404" s="79"/>
      <c r="D404" s="79"/>
      <c r="E404" s="79"/>
      <c r="O404" s="79"/>
      <c r="S404" s="79"/>
      <c r="T404" s="79"/>
      <c r="Y404" s="79"/>
      <c r="AC404" s="130"/>
      <c r="AE404" s="106"/>
    </row>
    <row r="405">
      <c r="C405" s="79"/>
      <c r="D405" s="79"/>
      <c r="E405" s="79"/>
      <c r="O405" s="79"/>
      <c r="S405" s="79"/>
      <c r="T405" s="79"/>
      <c r="Y405" s="79"/>
      <c r="AC405" s="130"/>
      <c r="AE405" s="106"/>
    </row>
    <row r="406">
      <c r="C406" s="79"/>
      <c r="D406" s="79"/>
      <c r="E406" s="79"/>
      <c r="O406" s="79"/>
      <c r="S406" s="79"/>
      <c r="T406" s="79"/>
      <c r="Y406" s="79"/>
      <c r="AC406" s="130"/>
      <c r="AE406" s="106"/>
    </row>
    <row r="407">
      <c r="C407" s="79"/>
      <c r="D407" s="79"/>
      <c r="E407" s="79"/>
      <c r="O407" s="79"/>
      <c r="S407" s="79"/>
      <c r="T407" s="79"/>
      <c r="Y407" s="79"/>
      <c r="AC407" s="130"/>
      <c r="AE407" s="106"/>
    </row>
    <row r="408">
      <c r="C408" s="79"/>
      <c r="D408" s="79"/>
      <c r="E408" s="79"/>
      <c r="O408" s="79"/>
      <c r="S408" s="79"/>
      <c r="T408" s="79"/>
      <c r="Y408" s="79"/>
      <c r="AC408" s="130"/>
      <c r="AE408" s="106"/>
    </row>
    <row r="409">
      <c r="C409" s="79"/>
      <c r="D409" s="79"/>
      <c r="E409" s="79"/>
      <c r="O409" s="79"/>
      <c r="S409" s="79"/>
      <c r="T409" s="79"/>
      <c r="Y409" s="79"/>
      <c r="AC409" s="130"/>
      <c r="AE409" s="106"/>
    </row>
    <row r="410">
      <c r="C410" s="79"/>
      <c r="D410" s="79"/>
      <c r="E410" s="79"/>
      <c r="O410" s="79"/>
      <c r="S410" s="79"/>
      <c r="T410" s="79"/>
      <c r="Y410" s="79"/>
      <c r="AC410" s="130"/>
      <c r="AE410" s="106"/>
    </row>
    <row r="411">
      <c r="C411" s="79"/>
      <c r="D411" s="79"/>
      <c r="E411" s="79"/>
      <c r="O411" s="79"/>
      <c r="S411" s="79"/>
      <c r="T411" s="79"/>
      <c r="Y411" s="79"/>
      <c r="AC411" s="130"/>
      <c r="AE411" s="106"/>
    </row>
    <row r="412">
      <c r="C412" s="79"/>
      <c r="D412" s="79"/>
      <c r="E412" s="79"/>
      <c r="O412" s="79"/>
      <c r="S412" s="79"/>
      <c r="T412" s="79"/>
      <c r="Y412" s="79"/>
      <c r="AC412" s="130"/>
      <c r="AE412" s="106"/>
    </row>
    <row r="413">
      <c r="C413" s="79"/>
      <c r="D413" s="79"/>
      <c r="E413" s="79"/>
      <c r="O413" s="79"/>
      <c r="S413" s="79"/>
      <c r="T413" s="79"/>
      <c r="Y413" s="79"/>
      <c r="AC413" s="130"/>
      <c r="AE413" s="106"/>
    </row>
    <row r="414">
      <c r="C414" s="79"/>
      <c r="D414" s="79"/>
      <c r="E414" s="79"/>
      <c r="O414" s="79"/>
      <c r="S414" s="79"/>
      <c r="T414" s="79"/>
      <c r="Y414" s="79"/>
      <c r="AC414" s="130"/>
      <c r="AE414" s="106"/>
    </row>
    <row r="415">
      <c r="C415" s="79"/>
      <c r="D415" s="79"/>
      <c r="E415" s="79"/>
      <c r="O415" s="79"/>
      <c r="S415" s="79"/>
      <c r="T415" s="79"/>
      <c r="Y415" s="79"/>
      <c r="AC415" s="130"/>
      <c r="AE415" s="106"/>
    </row>
    <row r="416">
      <c r="C416" s="79"/>
      <c r="D416" s="79"/>
      <c r="E416" s="79"/>
      <c r="O416" s="79"/>
      <c r="S416" s="79"/>
      <c r="T416" s="79"/>
      <c r="Y416" s="79"/>
      <c r="AC416" s="130"/>
      <c r="AE416" s="106"/>
    </row>
    <row r="417">
      <c r="C417" s="79"/>
      <c r="D417" s="79"/>
      <c r="E417" s="79"/>
      <c r="O417" s="79"/>
      <c r="S417" s="79"/>
      <c r="T417" s="79"/>
      <c r="Y417" s="79"/>
      <c r="AC417" s="130"/>
      <c r="AE417" s="106"/>
    </row>
    <row r="418">
      <c r="C418" s="79"/>
      <c r="D418" s="79"/>
      <c r="E418" s="79"/>
      <c r="O418" s="79"/>
      <c r="S418" s="79"/>
      <c r="T418" s="79"/>
      <c r="Y418" s="79"/>
      <c r="AC418" s="130"/>
      <c r="AE418" s="106"/>
    </row>
    <row r="419">
      <c r="C419" s="79"/>
      <c r="D419" s="79"/>
      <c r="E419" s="79"/>
      <c r="O419" s="79"/>
      <c r="S419" s="79"/>
      <c r="T419" s="79"/>
      <c r="Y419" s="79"/>
      <c r="AC419" s="130"/>
      <c r="AE419" s="106"/>
    </row>
    <row r="420">
      <c r="C420" s="79"/>
      <c r="D420" s="79"/>
      <c r="E420" s="79"/>
      <c r="O420" s="79"/>
      <c r="S420" s="79"/>
      <c r="T420" s="79"/>
      <c r="Y420" s="79"/>
      <c r="AC420" s="130"/>
      <c r="AE420" s="106"/>
    </row>
    <row r="421">
      <c r="C421" s="79"/>
      <c r="D421" s="79"/>
      <c r="E421" s="79"/>
      <c r="O421" s="79"/>
      <c r="S421" s="79"/>
      <c r="T421" s="79"/>
      <c r="Y421" s="79"/>
      <c r="AC421" s="130"/>
      <c r="AE421" s="106"/>
    </row>
    <row r="422">
      <c r="C422" s="79"/>
      <c r="D422" s="79"/>
      <c r="E422" s="79"/>
      <c r="O422" s="79"/>
      <c r="S422" s="79"/>
      <c r="T422" s="79"/>
      <c r="Y422" s="79"/>
      <c r="AC422" s="130"/>
      <c r="AE422" s="106"/>
    </row>
    <row r="423">
      <c r="C423" s="79"/>
      <c r="D423" s="79"/>
      <c r="E423" s="79"/>
      <c r="O423" s="79"/>
      <c r="S423" s="79"/>
      <c r="T423" s="79"/>
      <c r="Y423" s="79"/>
      <c r="AC423" s="130"/>
      <c r="AE423" s="106"/>
    </row>
    <row r="424">
      <c r="C424" s="79"/>
      <c r="D424" s="79"/>
      <c r="E424" s="79"/>
      <c r="O424" s="79"/>
      <c r="S424" s="79"/>
      <c r="T424" s="79"/>
      <c r="Y424" s="79"/>
      <c r="AC424" s="130"/>
      <c r="AE424" s="106"/>
    </row>
    <row r="425">
      <c r="C425" s="79"/>
      <c r="D425" s="79"/>
      <c r="E425" s="79"/>
      <c r="O425" s="79"/>
      <c r="S425" s="79"/>
      <c r="T425" s="79"/>
      <c r="Y425" s="79"/>
      <c r="AC425" s="130"/>
      <c r="AE425" s="106"/>
    </row>
    <row r="426">
      <c r="C426" s="79"/>
      <c r="D426" s="79"/>
      <c r="E426" s="79"/>
      <c r="O426" s="79"/>
      <c r="S426" s="79"/>
      <c r="T426" s="79"/>
      <c r="Y426" s="79"/>
      <c r="AC426" s="130"/>
      <c r="AE426" s="106"/>
    </row>
    <row r="427">
      <c r="C427" s="79"/>
      <c r="D427" s="79"/>
      <c r="E427" s="79"/>
      <c r="O427" s="79"/>
      <c r="S427" s="79"/>
      <c r="T427" s="79"/>
      <c r="Y427" s="79"/>
      <c r="AC427" s="130"/>
      <c r="AE427" s="106"/>
    </row>
    <row r="428">
      <c r="C428" s="79"/>
      <c r="D428" s="79"/>
      <c r="E428" s="79"/>
      <c r="O428" s="79"/>
      <c r="S428" s="79"/>
      <c r="T428" s="79"/>
      <c r="Y428" s="79"/>
      <c r="AC428" s="130"/>
      <c r="AE428" s="106"/>
    </row>
    <row r="429">
      <c r="C429" s="79"/>
      <c r="D429" s="79"/>
      <c r="E429" s="79"/>
      <c r="O429" s="79"/>
      <c r="S429" s="79"/>
      <c r="T429" s="79"/>
      <c r="Y429" s="79"/>
      <c r="AC429" s="130"/>
      <c r="AE429" s="106"/>
    </row>
    <row r="430">
      <c r="C430" s="79"/>
      <c r="D430" s="79"/>
      <c r="E430" s="79"/>
      <c r="O430" s="79"/>
      <c r="S430" s="79"/>
      <c r="T430" s="79"/>
      <c r="Y430" s="79"/>
      <c r="AC430" s="130"/>
      <c r="AE430" s="106"/>
    </row>
    <row r="431">
      <c r="C431" s="79"/>
      <c r="D431" s="79"/>
      <c r="E431" s="79"/>
      <c r="O431" s="79"/>
      <c r="S431" s="79"/>
      <c r="T431" s="79"/>
      <c r="Y431" s="79"/>
      <c r="AC431" s="130"/>
      <c r="AE431" s="106"/>
    </row>
    <row r="432">
      <c r="C432" s="79"/>
      <c r="D432" s="79"/>
      <c r="E432" s="79"/>
      <c r="O432" s="79"/>
      <c r="S432" s="79"/>
      <c r="T432" s="79"/>
      <c r="Y432" s="79"/>
      <c r="AC432" s="130"/>
      <c r="AE432" s="106"/>
    </row>
    <row r="433">
      <c r="C433" s="79"/>
      <c r="D433" s="79"/>
      <c r="E433" s="79"/>
      <c r="O433" s="79"/>
      <c r="S433" s="79"/>
      <c r="T433" s="79"/>
      <c r="Y433" s="79"/>
      <c r="AC433" s="130"/>
      <c r="AE433" s="106"/>
    </row>
    <row r="434">
      <c r="C434" s="79"/>
      <c r="D434" s="79"/>
      <c r="E434" s="79"/>
      <c r="O434" s="79"/>
      <c r="S434" s="79"/>
      <c r="T434" s="79"/>
      <c r="Y434" s="79"/>
      <c r="AC434" s="130"/>
      <c r="AE434" s="106"/>
    </row>
    <row r="435">
      <c r="C435" s="79"/>
      <c r="D435" s="79"/>
      <c r="E435" s="79"/>
      <c r="O435" s="79"/>
      <c r="S435" s="79"/>
      <c r="T435" s="79"/>
      <c r="Y435" s="79"/>
      <c r="AC435" s="130"/>
      <c r="AE435" s="106"/>
    </row>
    <row r="436">
      <c r="C436" s="79"/>
      <c r="D436" s="79"/>
      <c r="E436" s="79"/>
      <c r="O436" s="79"/>
      <c r="S436" s="79"/>
      <c r="T436" s="79"/>
      <c r="Y436" s="79"/>
      <c r="AC436" s="130"/>
      <c r="AE436" s="106"/>
    </row>
    <row r="437">
      <c r="C437" s="79"/>
      <c r="D437" s="79"/>
      <c r="E437" s="79"/>
      <c r="O437" s="79"/>
      <c r="S437" s="79"/>
      <c r="T437" s="79"/>
      <c r="Y437" s="79"/>
      <c r="AC437" s="130"/>
      <c r="AE437" s="106"/>
    </row>
    <row r="438">
      <c r="C438" s="79"/>
      <c r="D438" s="79"/>
      <c r="E438" s="79"/>
      <c r="O438" s="79"/>
      <c r="S438" s="79"/>
      <c r="T438" s="79"/>
      <c r="Y438" s="79"/>
      <c r="AC438" s="130"/>
      <c r="AE438" s="106"/>
    </row>
    <row r="439">
      <c r="C439" s="79"/>
      <c r="D439" s="79"/>
      <c r="E439" s="79"/>
      <c r="O439" s="79"/>
      <c r="S439" s="79"/>
      <c r="T439" s="79"/>
      <c r="Y439" s="79"/>
      <c r="AC439" s="130"/>
      <c r="AE439" s="106"/>
    </row>
    <row r="440">
      <c r="C440" s="79"/>
      <c r="D440" s="79"/>
      <c r="E440" s="79"/>
      <c r="O440" s="79"/>
      <c r="S440" s="79"/>
      <c r="T440" s="79"/>
      <c r="Y440" s="79"/>
      <c r="AC440" s="130"/>
      <c r="AE440" s="106"/>
    </row>
    <row r="441">
      <c r="C441" s="79"/>
      <c r="D441" s="79"/>
      <c r="E441" s="79"/>
      <c r="O441" s="79"/>
      <c r="S441" s="79"/>
      <c r="T441" s="79"/>
      <c r="Y441" s="79"/>
      <c r="AC441" s="130"/>
      <c r="AE441" s="106"/>
    </row>
    <row r="442">
      <c r="C442" s="79"/>
      <c r="D442" s="79"/>
      <c r="E442" s="79"/>
      <c r="O442" s="79"/>
      <c r="S442" s="79"/>
      <c r="T442" s="79"/>
      <c r="Y442" s="79"/>
      <c r="AC442" s="130"/>
      <c r="AE442" s="106"/>
    </row>
    <row r="443">
      <c r="C443" s="79"/>
      <c r="D443" s="79"/>
      <c r="E443" s="79"/>
      <c r="O443" s="79"/>
      <c r="S443" s="79"/>
      <c r="T443" s="79"/>
      <c r="Y443" s="79"/>
      <c r="AC443" s="130"/>
      <c r="AE443" s="106"/>
    </row>
    <row r="444">
      <c r="C444" s="79"/>
      <c r="D444" s="79"/>
      <c r="E444" s="79"/>
      <c r="O444" s="79"/>
      <c r="S444" s="79"/>
      <c r="T444" s="79"/>
      <c r="Y444" s="79"/>
      <c r="AC444" s="130"/>
      <c r="AE444" s="106"/>
    </row>
    <row r="445">
      <c r="C445" s="79"/>
      <c r="D445" s="79"/>
      <c r="E445" s="79"/>
      <c r="O445" s="79"/>
      <c r="S445" s="79"/>
      <c r="T445" s="79"/>
      <c r="Y445" s="79"/>
      <c r="AC445" s="130"/>
      <c r="AE445" s="106"/>
    </row>
    <row r="446">
      <c r="C446" s="79"/>
      <c r="D446" s="79"/>
      <c r="E446" s="79"/>
      <c r="O446" s="79"/>
      <c r="S446" s="79"/>
      <c r="T446" s="79"/>
      <c r="Y446" s="79"/>
      <c r="AC446" s="130"/>
      <c r="AE446" s="106"/>
    </row>
    <row r="447">
      <c r="C447" s="79"/>
      <c r="D447" s="79"/>
      <c r="E447" s="79"/>
      <c r="O447" s="79"/>
      <c r="S447" s="79"/>
      <c r="T447" s="79"/>
      <c r="Y447" s="79"/>
      <c r="AC447" s="130"/>
      <c r="AE447" s="106"/>
    </row>
    <row r="448">
      <c r="C448" s="79"/>
      <c r="D448" s="79"/>
      <c r="E448" s="79"/>
      <c r="O448" s="79"/>
      <c r="S448" s="79"/>
      <c r="T448" s="79"/>
      <c r="Y448" s="79"/>
      <c r="AC448" s="130"/>
      <c r="AE448" s="106"/>
    </row>
    <row r="449">
      <c r="C449" s="79"/>
      <c r="D449" s="79"/>
      <c r="E449" s="79"/>
      <c r="O449" s="79"/>
      <c r="S449" s="79"/>
      <c r="T449" s="79"/>
      <c r="Y449" s="79"/>
      <c r="AC449" s="130"/>
      <c r="AE449" s="106"/>
    </row>
    <row r="450">
      <c r="C450" s="79"/>
      <c r="D450" s="79"/>
      <c r="E450" s="79"/>
      <c r="O450" s="79"/>
      <c r="S450" s="79"/>
      <c r="T450" s="79"/>
      <c r="Y450" s="79"/>
      <c r="AC450" s="130"/>
      <c r="AE450" s="106"/>
    </row>
    <row r="451">
      <c r="C451" s="79"/>
      <c r="D451" s="79"/>
      <c r="E451" s="79"/>
      <c r="O451" s="79"/>
      <c r="S451" s="79"/>
      <c r="T451" s="79"/>
      <c r="Y451" s="79"/>
      <c r="AC451" s="130"/>
      <c r="AE451" s="106"/>
    </row>
    <row r="452">
      <c r="C452" s="79"/>
      <c r="D452" s="79"/>
      <c r="E452" s="79"/>
      <c r="O452" s="79"/>
      <c r="S452" s="79"/>
      <c r="T452" s="79"/>
      <c r="Y452" s="79"/>
      <c r="AC452" s="130"/>
      <c r="AE452" s="106"/>
    </row>
    <row r="453">
      <c r="C453" s="79"/>
      <c r="D453" s="79"/>
      <c r="E453" s="79"/>
      <c r="O453" s="79"/>
      <c r="S453" s="79"/>
      <c r="T453" s="79"/>
      <c r="Y453" s="79"/>
      <c r="AC453" s="130"/>
      <c r="AE453" s="106"/>
    </row>
    <row r="454">
      <c r="C454" s="79"/>
      <c r="D454" s="79"/>
      <c r="E454" s="79"/>
      <c r="O454" s="79"/>
      <c r="S454" s="79"/>
      <c r="T454" s="79"/>
      <c r="Y454" s="79"/>
      <c r="AC454" s="130"/>
      <c r="AE454" s="106"/>
    </row>
    <row r="455">
      <c r="C455" s="79"/>
      <c r="D455" s="79"/>
      <c r="E455" s="79"/>
      <c r="O455" s="79"/>
      <c r="S455" s="79"/>
      <c r="T455" s="79"/>
      <c r="Y455" s="79"/>
      <c r="AC455" s="130"/>
      <c r="AE455" s="106"/>
    </row>
    <row r="456">
      <c r="C456" s="79"/>
      <c r="D456" s="79"/>
      <c r="E456" s="79"/>
      <c r="O456" s="79"/>
      <c r="S456" s="79"/>
      <c r="T456" s="79"/>
      <c r="Y456" s="79"/>
      <c r="AC456" s="130"/>
      <c r="AE456" s="106"/>
    </row>
    <row r="457">
      <c r="C457" s="79"/>
      <c r="D457" s="79"/>
      <c r="E457" s="79"/>
      <c r="O457" s="79"/>
      <c r="S457" s="79"/>
      <c r="T457" s="79"/>
      <c r="Y457" s="79"/>
      <c r="AC457" s="130"/>
      <c r="AE457" s="106"/>
    </row>
    <row r="458">
      <c r="C458" s="79"/>
      <c r="D458" s="79"/>
      <c r="E458" s="79"/>
      <c r="O458" s="79"/>
      <c r="S458" s="79"/>
      <c r="T458" s="79"/>
      <c r="Y458" s="79"/>
      <c r="AC458" s="130"/>
      <c r="AE458" s="106"/>
    </row>
    <row r="459">
      <c r="C459" s="79"/>
      <c r="D459" s="79"/>
      <c r="E459" s="79"/>
      <c r="O459" s="79"/>
      <c r="S459" s="79"/>
      <c r="T459" s="79"/>
      <c r="Y459" s="79"/>
      <c r="AC459" s="130"/>
      <c r="AE459" s="106"/>
    </row>
    <row r="460">
      <c r="C460" s="79"/>
      <c r="D460" s="79"/>
      <c r="E460" s="79"/>
      <c r="O460" s="79"/>
      <c r="S460" s="79"/>
      <c r="T460" s="79"/>
      <c r="Y460" s="79"/>
      <c r="AC460" s="130"/>
      <c r="AE460" s="106"/>
    </row>
    <row r="461">
      <c r="C461" s="79"/>
      <c r="D461" s="79"/>
      <c r="E461" s="79"/>
      <c r="O461" s="79"/>
      <c r="S461" s="79"/>
      <c r="T461" s="79"/>
      <c r="Y461" s="79"/>
      <c r="AC461" s="130"/>
      <c r="AE461" s="106"/>
    </row>
    <row r="462">
      <c r="C462" s="79"/>
      <c r="D462" s="79"/>
      <c r="E462" s="79"/>
      <c r="O462" s="79"/>
      <c r="S462" s="79"/>
      <c r="T462" s="79"/>
      <c r="Y462" s="79"/>
      <c r="AC462" s="130"/>
      <c r="AE462" s="106"/>
    </row>
    <row r="463">
      <c r="C463" s="79"/>
      <c r="D463" s="79"/>
      <c r="E463" s="79"/>
      <c r="O463" s="79"/>
      <c r="S463" s="79"/>
      <c r="T463" s="79"/>
      <c r="Y463" s="79"/>
      <c r="AC463" s="130"/>
      <c r="AE463" s="106"/>
    </row>
    <row r="464">
      <c r="C464" s="79"/>
      <c r="D464" s="79"/>
      <c r="E464" s="79"/>
      <c r="O464" s="79"/>
      <c r="S464" s="79"/>
      <c r="T464" s="79"/>
      <c r="Y464" s="79"/>
      <c r="AC464" s="130"/>
      <c r="AE464" s="106"/>
    </row>
    <row r="465">
      <c r="C465" s="79"/>
      <c r="D465" s="79"/>
      <c r="E465" s="79"/>
      <c r="O465" s="79"/>
      <c r="S465" s="79"/>
      <c r="T465" s="79"/>
      <c r="Y465" s="79"/>
      <c r="AC465" s="130"/>
      <c r="AE465" s="106"/>
    </row>
    <row r="466">
      <c r="C466" s="79"/>
      <c r="D466" s="79"/>
      <c r="E466" s="79"/>
      <c r="O466" s="79"/>
      <c r="S466" s="79"/>
      <c r="T466" s="79"/>
      <c r="Y466" s="79"/>
      <c r="AC466" s="130"/>
      <c r="AE466" s="106"/>
    </row>
    <row r="467">
      <c r="C467" s="79"/>
      <c r="D467" s="79"/>
      <c r="E467" s="79"/>
      <c r="O467" s="79"/>
      <c r="S467" s="79"/>
      <c r="T467" s="79"/>
      <c r="Y467" s="79"/>
      <c r="AC467" s="130"/>
      <c r="AE467" s="106"/>
    </row>
    <row r="468">
      <c r="C468" s="79"/>
      <c r="D468" s="79"/>
      <c r="E468" s="79"/>
      <c r="O468" s="79"/>
      <c r="S468" s="79"/>
      <c r="T468" s="79"/>
      <c r="Y468" s="79"/>
      <c r="AC468" s="130"/>
      <c r="AE468" s="106"/>
    </row>
    <row r="469">
      <c r="C469" s="79"/>
      <c r="D469" s="79"/>
      <c r="E469" s="79"/>
      <c r="O469" s="79"/>
      <c r="S469" s="79"/>
      <c r="T469" s="79"/>
      <c r="Y469" s="79"/>
      <c r="AC469" s="130"/>
      <c r="AE469" s="106"/>
    </row>
    <row r="470">
      <c r="C470" s="79"/>
      <c r="D470" s="79"/>
      <c r="E470" s="79"/>
      <c r="O470" s="79"/>
      <c r="S470" s="79"/>
      <c r="T470" s="79"/>
      <c r="Y470" s="79"/>
      <c r="AC470" s="130"/>
      <c r="AE470" s="106"/>
    </row>
    <row r="471">
      <c r="C471" s="79"/>
      <c r="D471" s="79"/>
      <c r="E471" s="79"/>
      <c r="O471" s="79"/>
      <c r="S471" s="79"/>
      <c r="T471" s="79"/>
      <c r="Y471" s="79"/>
      <c r="AC471" s="130"/>
      <c r="AE471" s="106"/>
    </row>
    <row r="472">
      <c r="C472" s="79"/>
      <c r="D472" s="79"/>
      <c r="E472" s="79"/>
      <c r="O472" s="79"/>
      <c r="S472" s="79"/>
      <c r="T472" s="79"/>
      <c r="Y472" s="79"/>
      <c r="AC472" s="130"/>
      <c r="AE472" s="106"/>
    </row>
    <row r="473">
      <c r="C473" s="79"/>
      <c r="D473" s="79"/>
      <c r="E473" s="79"/>
      <c r="O473" s="79"/>
      <c r="S473" s="79"/>
      <c r="T473" s="79"/>
      <c r="Y473" s="79"/>
      <c r="AC473" s="130"/>
      <c r="AE473" s="106"/>
    </row>
    <row r="474">
      <c r="C474" s="79"/>
      <c r="D474" s="79"/>
      <c r="E474" s="79"/>
      <c r="O474" s="79"/>
      <c r="S474" s="79"/>
      <c r="T474" s="79"/>
      <c r="Y474" s="79"/>
      <c r="AC474" s="130"/>
      <c r="AE474" s="106"/>
    </row>
    <row r="475">
      <c r="C475" s="79"/>
      <c r="D475" s="79"/>
      <c r="E475" s="79"/>
      <c r="O475" s="79"/>
      <c r="S475" s="79"/>
      <c r="T475" s="79"/>
      <c r="Y475" s="79"/>
      <c r="AC475" s="130"/>
      <c r="AE475" s="106"/>
    </row>
    <row r="476">
      <c r="C476" s="79"/>
      <c r="D476" s="79"/>
      <c r="E476" s="79"/>
      <c r="O476" s="79"/>
      <c r="S476" s="79"/>
      <c r="T476" s="79"/>
      <c r="Y476" s="79"/>
      <c r="AC476" s="130"/>
      <c r="AE476" s="106"/>
    </row>
    <row r="477">
      <c r="C477" s="79"/>
      <c r="D477" s="79"/>
      <c r="E477" s="79"/>
      <c r="O477" s="79"/>
      <c r="S477" s="79"/>
      <c r="T477" s="79"/>
      <c r="Y477" s="79"/>
      <c r="AC477" s="130"/>
      <c r="AE477" s="106"/>
    </row>
    <row r="478">
      <c r="C478" s="79"/>
      <c r="D478" s="79"/>
      <c r="E478" s="79"/>
      <c r="O478" s="79"/>
      <c r="S478" s="79"/>
      <c r="T478" s="79"/>
      <c r="Y478" s="79"/>
      <c r="AC478" s="130"/>
      <c r="AE478" s="106"/>
    </row>
    <row r="479">
      <c r="C479" s="79"/>
      <c r="D479" s="79"/>
      <c r="E479" s="79"/>
      <c r="O479" s="79"/>
      <c r="S479" s="79"/>
      <c r="T479" s="79"/>
      <c r="Y479" s="79"/>
      <c r="AC479" s="130"/>
      <c r="AE479" s="106"/>
    </row>
    <row r="480">
      <c r="C480" s="79"/>
      <c r="D480" s="79"/>
      <c r="E480" s="79"/>
      <c r="O480" s="79"/>
      <c r="S480" s="79"/>
      <c r="T480" s="79"/>
      <c r="Y480" s="79"/>
      <c r="AC480" s="130"/>
      <c r="AE480" s="106"/>
    </row>
    <row r="481">
      <c r="C481" s="79"/>
      <c r="D481" s="79"/>
      <c r="E481" s="79"/>
      <c r="O481" s="79"/>
      <c r="S481" s="79"/>
      <c r="T481" s="79"/>
      <c r="Y481" s="79"/>
      <c r="AC481" s="130"/>
      <c r="AE481" s="106"/>
    </row>
    <row r="482">
      <c r="C482" s="79"/>
      <c r="D482" s="79"/>
      <c r="E482" s="79"/>
      <c r="O482" s="79"/>
      <c r="S482" s="79"/>
      <c r="T482" s="79"/>
      <c r="Y482" s="79"/>
      <c r="AC482" s="130"/>
      <c r="AE482" s="106"/>
    </row>
    <row r="483">
      <c r="C483" s="79"/>
      <c r="D483" s="79"/>
      <c r="E483" s="79"/>
      <c r="O483" s="79"/>
      <c r="S483" s="79"/>
      <c r="T483" s="79"/>
      <c r="Y483" s="79"/>
      <c r="AC483" s="130"/>
      <c r="AE483" s="106"/>
    </row>
    <row r="484">
      <c r="C484" s="79"/>
      <c r="D484" s="79"/>
      <c r="E484" s="79"/>
      <c r="O484" s="79"/>
      <c r="S484" s="79"/>
      <c r="T484" s="79"/>
      <c r="Y484" s="79"/>
      <c r="AC484" s="130"/>
      <c r="AE484" s="106"/>
    </row>
    <row r="485">
      <c r="C485" s="79"/>
      <c r="D485" s="79"/>
      <c r="E485" s="79"/>
      <c r="O485" s="79"/>
      <c r="S485" s="79"/>
      <c r="T485" s="79"/>
      <c r="Y485" s="79"/>
      <c r="AC485" s="130"/>
      <c r="AE485" s="106"/>
    </row>
    <row r="486">
      <c r="C486" s="79"/>
      <c r="D486" s="79"/>
      <c r="E486" s="79"/>
      <c r="O486" s="79"/>
      <c r="S486" s="79"/>
      <c r="T486" s="79"/>
      <c r="Y486" s="79"/>
      <c r="AC486" s="130"/>
      <c r="AE486" s="106"/>
    </row>
    <row r="487">
      <c r="C487" s="79"/>
      <c r="D487" s="79"/>
      <c r="E487" s="79"/>
      <c r="O487" s="79"/>
      <c r="S487" s="79"/>
      <c r="T487" s="79"/>
      <c r="Y487" s="79"/>
      <c r="AC487" s="130"/>
      <c r="AE487" s="106"/>
    </row>
    <row r="488">
      <c r="C488" s="79"/>
      <c r="D488" s="79"/>
      <c r="E488" s="79"/>
      <c r="O488" s="79"/>
      <c r="S488" s="79"/>
      <c r="T488" s="79"/>
      <c r="Y488" s="79"/>
      <c r="AC488" s="130"/>
      <c r="AE488" s="106"/>
    </row>
    <row r="489">
      <c r="C489" s="79"/>
      <c r="D489" s="79"/>
      <c r="E489" s="79"/>
      <c r="O489" s="79"/>
      <c r="S489" s="79"/>
      <c r="T489" s="79"/>
      <c r="Y489" s="79"/>
      <c r="AC489" s="130"/>
      <c r="AE489" s="106"/>
    </row>
    <row r="490">
      <c r="C490" s="79"/>
      <c r="D490" s="79"/>
      <c r="E490" s="79"/>
      <c r="O490" s="79"/>
      <c r="S490" s="79"/>
      <c r="T490" s="79"/>
      <c r="Y490" s="79"/>
      <c r="AC490" s="130"/>
      <c r="AE490" s="106"/>
    </row>
    <row r="491">
      <c r="C491" s="79"/>
      <c r="D491" s="79"/>
      <c r="E491" s="79"/>
      <c r="O491" s="79"/>
      <c r="S491" s="79"/>
      <c r="T491" s="79"/>
      <c r="Y491" s="79"/>
      <c r="AC491" s="130"/>
      <c r="AE491" s="106"/>
    </row>
    <row r="492">
      <c r="C492" s="79"/>
      <c r="D492" s="79"/>
      <c r="E492" s="79"/>
      <c r="O492" s="79"/>
      <c r="S492" s="79"/>
      <c r="T492" s="79"/>
      <c r="Y492" s="79"/>
      <c r="AC492" s="130"/>
      <c r="AE492" s="106"/>
    </row>
    <row r="493">
      <c r="C493" s="79"/>
      <c r="D493" s="79"/>
      <c r="E493" s="79"/>
      <c r="O493" s="79"/>
      <c r="S493" s="79"/>
      <c r="T493" s="79"/>
      <c r="Y493" s="79"/>
      <c r="AC493" s="130"/>
      <c r="AE493" s="106"/>
    </row>
    <row r="494">
      <c r="C494" s="79"/>
      <c r="D494" s="79"/>
      <c r="E494" s="79"/>
      <c r="O494" s="79"/>
      <c r="S494" s="79"/>
      <c r="T494" s="79"/>
      <c r="Y494" s="79"/>
      <c r="AC494" s="130"/>
      <c r="AE494" s="106"/>
    </row>
    <row r="495">
      <c r="C495" s="79"/>
      <c r="D495" s="79"/>
      <c r="E495" s="79"/>
      <c r="O495" s="79"/>
      <c r="S495" s="79"/>
      <c r="T495" s="79"/>
      <c r="Y495" s="79"/>
      <c r="AC495" s="130"/>
      <c r="AE495" s="106"/>
    </row>
    <row r="496">
      <c r="C496" s="79"/>
      <c r="D496" s="79"/>
      <c r="E496" s="79"/>
      <c r="O496" s="79"/>
      <c r="S496" s="79"/>
      <c r="T496" s="79"/>
      <c r="Y496" s="79"/>
      <c r="AC496" s="130"/>
      <c r="AE496" s="106"/>
    </row>
    <row r="497">
      <c r="C497" s="79"/>
      <c r="D497" s="79"/>
      <c r="E497" s="79"/>
      <c r="O497" s="79"/>
      <c r="S497" s="79"/>
      <c r="T497" s="79"/>
      <c r="Y497" s="79"/>
      <c r="AC497" s="130"/>
      <c r="AE497" s="106"/>
    </row>
    <row r="498">
      <c r="C498" s="79"/>
      <c r="D498" s="79"/>
      <c r="E498" s="79"/>
      <c r="O498" s="79"/>
      <c r="S498" s="79"/>
      <c r="T498" s="79"/>
      <c r="Y498" s="79"/>
      <c r="AC498" s="130"/>
      <c r="AE498" s="106"/>
    </row>
    <row r="499">
      <c r="C499" s="79"/>
      <c r="D499" s="79"/>
      <c r="E499" s="79"/>
      <c r="O499" s="79"/>
      <c r="S499" s="79"/>
      <c r="T499" s="79"/>
      <c r="Y499" s="79"/>
      <c r="AC499" s="130"/>
      <c r="AE499" s="106"/>
    </row>
    <row r="500">
      <c r="C500" s="79"/>
      <c r="D500" s="79"/>
      <c r="E500" s="79"/>
      <c r="O500" s="79"/>
      <c r="S500" s="79"/>
      <c r="T500" s="79"/>
      <c r="Y500" s="79"/>
      <c r="AC500" s="130"/>
      <c r="AE500" s="106"/>
    </row>
    <row r="501">
      <c r="C501" s="79"/>
      <c r="D501" s="79"/>
      <c r="E501" s="79"/>
      <c r="O501" s="79"/>
      <c r="S501" s="79"/>
      <c r="T501" s="79"/>
      <c r="Y501" s="79"/>
      <c r="AC501" s="130"/>
      <c r="AE501" s="106"/>
    </row>
    <row r="502">
      <c r="C502" s="79"/>
      <c r="D502" s="79"/>
      <c r="E502" s="79"/>
      <c r="O502" s="79"/>
      <c r="S502" s="79"/>
      <c r="T502" s="79"/>
      <c r="Y502" s="79"/>
      <c r="AC502" s="130"/>
      <c r="AE502" s="106"/>
    </row>
    <row r="503">
      <c r="C503" s="79"/>
      <c r="D503" s="79"/>
      <c r="E503" s="79"/>
      <c r="O503" s="79"/>
      <c r="S503" s="79"/>
      <c r="T503" s="79"/>
      <c r="Y503" s="79"/>
      <c r="AC503" s="130"/>
      <c r="AE503" s="106"/>
    </row>
    <row r="504">
      <c r="C504" s="79"/>
      <c r="D504" s="79"/>
      <c r="E504" s="79"/>
      <c r="O504" s="79"/>
      <c r="S504" s="79"/>
      <c r="T504" s="79"/>
      <c r="Y504" s="79"/>
      <c r="AC504" s="130"/>
      <c r="AE504" s="106"/>
    </row>
    <row r="505">
      <c r="C505" s="79"/>
      <c r="D505" s="79"/>
      <c r="E505" s="79"/>
      <c r="O505" s="79"/>
      <c r="S505" s="79"/>
      <c r="T505" s="79"/>
      <c r="Y505" s="79"/>
      <c r="AC505" s="130"/>
      <c r="AE505" s="106"/>
    </row>
    <row r="506">
      <c r="C506" s="79"/>
      <c r="D506" s="79"/>
      <c r="E506" s="79"/>
      <c r="O506" s="79"/>
      <c r="S506" s="79"/>
      <c r="T506" s="79"/>
      <c r="Y506" s="79"/>
      <c r="AC506" s="130"/>
      <c r="AE506" s="106"/>
    </row>
    <row r="507">
      <c r="C507" s="79"/>
      <c r="D507" s="79"/>
      <c r="E507" s="79"/>
      <c r="O507" s="79"/>
      <c r="S507" s="79"/>
      <c r="T507" s="79"/>
      <c r="Y507" s="79"/>
      <c r="AC507" s="130"/>
      <c r="AE507" s="106"/>
    </row>
    <row r="508">
      <c r="C508" s="79"/>
      <c r="D508" s="79"/>
      <c r="E508" s="79"/>
      <c r="O508" s="79"/>
      <c r="S508" s="79"/>
      <c r="T508" s="79"/>
      <c r="Y508" s="79"/>
      <c r="AC508" s="130"/>
      <c r="AE508" s="106"/>
    </row>
    <row r="509">
      <c r="C509" s="79"/>
      <c r="D509" s="79"/>
      <c r="E509" s="79"/>
      <c r="O509" s="79"/>
      <c r="S509" s="79"/>
      <c r="T509" s="79"/>
      <c r="Y509" s="79"/>
      <c r="AC509" s="130"/>
      <c r="AE509" s="106"/>
    </row>
    <row r="510">
      <c r="C510" s="79"/>
      <c r="D510" s="79"/>
      <c r="E510" s="79"/>
      <c r="O510" s="79"/>
      <c r="S510" s="79"/>
      <c r="T510" s="79"/>
      <c r="Y510" s="79"/>
      <c r="AC510" s="130"/>
      <c r="AE510" s="106"/>
    </row>
    <row r="511">
      <c r="C511" s="79"/>
      <c r="D511" s="79"/>
      <c r="E511" s="79"/>
      <c r="O511" s="79"/>
      <c r="S511" s="79"/>
      <c r="T511" s="79"/>
      <c r="Y511" s="79"/>
      <c r="AC511" s="130"/>
      <c r="AE511" s="106"/>
    </row>
    <row r="512">
      <c r="C512" s="79"/>
      <c r="D512" s="79"/>
      <c r="E512" s="79"/>
      <c r="O512" s="79"/>
      <c r="S512" s="79"/>
      <c r="T512" s="79"/>
      <c r="Y512" s="79"/>
      <c r="AC512" s="130"/>
      <c r="AE512" s="106"/>
    </row>
    <row r="513">
      <c r="C513" s="79"/>
      <c r="D513" s="79"/>
      <c r="E513" s="79"/>
      <c r="O513" s="79"/>
      <c r="S513" s="79"/>
      <c r="T513" s="79"/>
      <c r="Y513" s="79"/>
      <c r="AC513" s="130"/>
      <c r="AE513" s="106"/>
    </row>
    <row r="514">
      <c r="C514" s="79"/>
      <c r="D514" s="79"/>
      <c r="E514" s="79"/>
      <c r="O514" s="79"/>
      <c r="S514" s="79"/>
      <c r="T514" s="79"/>
      <c r="Y514" s="79"/>
      <c r="AC514" s="130"/>
      <c r="AE514" s="106"/>
    </row>
    <row r="515">
      <c r="C515" s="79"/>
      <c r="D515" s="79"/>
      <c r="E515" s="79"/>
      <c r="O515" s="79"/>
      <c r="S515" s="79"/>
      <c r="T515" s="79"/>
      <c r="Y515" s="79"/>
      <c r="AC515" s="130"/>
      <c r="AE515" s="106"/>
    </row>
    <row r="516">
      <c r="C516" s="79"/>
      <c r="D516" s="79"/>
      <c r="E516" s="79"/>
      <c r="O516" s="79"/>
      <c r="S516" s="79"/>
      <c r="T516" s="79"/>
      <c r="Y516" s="79"/>
      <c r="AC516" s="130"/>
      <c r="AE516" s="106"/>
    </row>
    <row r="517">
      <c r="C517" s="79"/>
      <c r="D517" s="79"/>
      <c r="E517" s="79"/>
      <c r="O517" s="79"/>
      <c r="S517" s="79"/>
      <c r="T517" s="79"/>
      <c r="Y517" s="79"/>
      <c r="AC517" s="130"/>
      <c r="AE517" s="106"/>
    </row>
    <row r="518">
      <c r="C518" s="79"/>
      <c r="D518" s="79"/>
      <c r="E518" s="79"/>
      <c r="O518" s="79"/>
      <c r="S518" s="79"/>
      <c r="T518" s="79"/>
      <c r="Y518" s="79"/>
      <c r="AC518" s="130"/>
      <c r="AE518" s="106"/>
    </row>
    <row r="519">
      <c r="C519" s="79"/>
      <c r="D519" s="79"/>
      <c r="E519" s="79"/>
      <c r="O519" s="79"/>
      <c r="S519" s="79"/>
      <c r="T519" s="79"/>
      <c r="Y519" s="79"/>
      <c r="AC519" s="130"/>
      <c r="AE519" s="106"/>
    </row>
    <row r="520">
      <c r="C520" s="79"/>
      <c r="D520" s="79"/>
      <c r="E520" s="79"/>
      <c r="O520" s="79"/>
      <c r="S520" s="79"/>
      <c r="T520" s="79"/>
      <c r="Y520" s="79"/>
      <c r="AC520" s="130"/>
      <c r="AE520" s="106"/>
    </row>
    <row r="521">
      <c r="C521" s="79"/>
      <c r="D521" s="79"/>
      <c r="E521" s="79"/>
      <c r="O521" s="79"/>
      <c r="S521" s="79"/>
      <c r="T521" s="79"/>
      <c r="Y521" s="79"/>
      <c r="AC521" s="130"/>
      <c r="AE521" s="106"/>
    </row>
    <row r="522">
      <c r="C522" s="79"/>
      <c r="D522" s="79"/>
      <c r="E522" s="79"/>
      <c r="O522" s="79"/>
      <c r="S522" s="79"/>
      <c r="T522" s="79"/>
      <c r="Y522" s="79"/>
      <c r="AC522" s="130"/>
      <c r="AE522" s="106"/>
    </row>
    <row r="523">
      <c r="C523" s="79"/>
      <c r="D523" s="79"/>
      <c r="E523" s="79"/>
      <c r="O523" s="79"/>
      <c r="S523" s="79"/>
      <c r="T523" s="79"/>
      <c r="Y523" s="79"/>
      <c r="AC523" s="130"/>
      <c r="AE523" s="106"/>
    </row>
    <row r="524">
      <c r="C524" s="79"/>
      <c r="D524" s="79"/>
      <c r="E524" s="79"/>
      <c r="O524" s="79"/>
      <c r="S524" s="79"/>
      <c r="T524" s="79"/>
      <c r="Y524" s="79"/>
      <c r="AC524" s="130"/>
      <c r="AE524" s="106"/>
    </row>
    <row r="525">
      <c r="C525" s="79"/>
      <c r="D525" s="79"/>
      <c r="E525" s="79"/>
      <c r="O525" s="79"/>
      <c r="S525" s="79"/>
      <c r="T525" s="79"/>
      <c r="Y525" s="79"/>
      <c r="AC525" s="130"/>
      <c r="AE525" s="106"/>
    </row>
    <row r="526">
      <c r="C526" s="79"/>
      <c r="D526" s="79"/>
      <c r="E526" s="79"/>
      <c r="O526" s="79"/>
      <c r="S526" s="79"/>
      <c r="T526" s="79"/>
      <c r="Y526" s="79"/>
      <c r="AC526" s="130"/>
      <c r="AE526" s="106"/>
    </row>
    <row r="527">
      <c r="C527" s="79"/>
      <c r="D527" s="79"/>
      <c r="E527" s="79"/>
      <c r="O527" s="79"/>
      <c r="S527" s="79"/>
      <c r="T527" s="79"/>
      <c r="Y527" s="79"/>
      <c r="AC527" s="130"/>
      <c r="AE527" s="106"/>
    </row>
    <row r="528">
      <c r="C528" s="79"/>
      <c r="D528" s="79"/>
      <c r="E528" s="79"/>
      <c r="O528" s="79"/>
      <c r="S528" s="79"/>
      <c r="T528" s="79"/>
      <c r="Y528" s="79"/>
      <c r="AC528" s="130"/>
      <c r="AE528" s="106"/>
    </row>
    <row r="529">
      <c r="C529" s="79"/>
      <c r="D529" s="79"/>
      <c r="E529" s="79"/>
      <c r="O529" s="79"/>
      <c r="S529" s="79"/>
      <c r="T529" s="79"/>
      <c r="Y529" s="79"/>
      <c r="AC529" s="130"/>
      <c r="AE529" s="106"/>
    </row>
    <row r="530">
      <c r="C530" s="79"/>
      <c r="D530" s="79"/>
      <c r="E530" s="79"/>
      <c r="O530" s="79"/>
      <c r="S530" s="79"/>
      <c r="T530" s="79"/>
      <c r="Y530" s="79"/>
      <c r="AC530" s="130"/>
      <c r="AE530" s="106"/>
    </row>
    <row r="531">
      <c r="C531" s="79"/>
      <c r="D531" s="79"/>
      <c r="E531" s="79"/>
      <c r="O531" s="79"/>
      <c r="S531" s="79"/>
      <c r="T531" s="79"/>
      <c r="Y531" s="79"/>
      <c r="AC531" s="130"/>
      <c r="AE531" s="106"/>
    </row>
    <row r="532">
      <c r="C532" s="79"/>
      <c r="D532" s="79"/>
      <c r="E532" s="79"/>
      <c r="O532" s="79"/>
      <c r="S532" s="79"/>
      <c r="T532" s="79"/>
      <c r="Y532" s="79"/>
      <c r="AC532" s="130"/>
      <c r="AE532" s="106"/>
    </row>
    <row r="533">
      <c r="C533" s="79"/>
      <c r="D533" s="79"/>
      <c r="E533" s="79"/>
      <c r="O533" s="79"/>
      <c r="S533" s="79"/>
      <c r="T533" s="79"/>
      <c r="Y533" s="79"/>
      <c r="AC533" s="130"/>
      <c r="AE533" s="106"/>
    </row>
    <row r="534">
      <c r="C534" s="79"/>
      <c r="D534" s="79"/>
      <c r="E534" s="79"/>
      <c r="O534" s="79"/>
      <c r="S534" s="79"/>
      <c r="T534" s="79"/>
      <c r="Y534" s="79"/>
      <c r="AC534" s="130"/>
      <c r="AE534" s="106"/>
    </row>
    <row r="535">
      <c r="C535" s="79"/>
      <c r="D535" s="79"/>
      <c r="E535" s="79"/>
      <c r="O535" s="79"/>
      <c r="S535" s="79"/>
      <c r="T535" s="79"/>
      <c r="Y535" s="79"/>
      <c r="AC535" s="130"/>
      <c r="AE535" s="106"/>
    </row>
    <row r="536">
      <c r="C536" s="79"/>
      <c r="D536" s="79"/>
      <c r="E536" s="79"/>
      <c r="O536" s="79"/>
      <c r="S536" s="79"/>
      <c r="T536" s="79"/>
      <c r="Y536" s="79"/>
      <c r="AC536" s="130"/>
      <c r="AE536" s="106"/>
    </row>
    <row r="537">
      <c r="C537" s="79"/>
      <c r="D537" s="79"/>
      <c r="E537" s="79"/>
      <c r="O537" s="79"/>
      <c r="S537" s="79"/>
      <c r="T537" s="79"/>
      <c r="Y537" s="79"/>
      <c r="AC537" s="130"/>
      <c r="AE537" s="106"/>
    </row>
    <row r="538">
      <c r="C538" s="79"/>
      <c r="D538" s="79"/>
      <c r="E538" s="79"/>
      <c r="O538" s="79"/>
      <c r="S538" s="79"/>
      <c r="T538" s="79"/>
      <c r="Y538" s="79"/>
      <c r="AC538" s="130"/>
      <c r="AE538" s="106"/>
    </row>
    <row r="539">
      <c r="C539" s="79"/>
      <c r="D539" s="79"/>
      <c r="E539" s="79"/>
      <c r="O539" s="79"/>
      <c r="S539" s="79"/>
      <c r="T539" s="79"/>
      <c r="Y539" s="79"/>
      <c r="AC539" s="130"/>
      <c r="AE539" s="106"/>
    </row>
    <row r="540">
      <c r="C540" s="79"/>
      <c r="D540" s="79"/>
      <c r="E540" s="79"/>
      <c r="O540" s="79"/>
      <c r="S540" s="79"/>
      <c r="T540" s="79"/>
      <c r="Y540" s="79"/>
      <c r="AC540" s="130"/>
      <c r="AE540" s="106"/>
    </row>
    <row r="541">
      <c r="C541" s="79"/>
      <c r="D541" s="79"/>
      <c r="E541" s="79"/>
      <c r="O541" s="79"/>
      <c r="S541" s="79"/>
      <c r="T541" s="79"/>
      <c r="Y541" s="79"/>
      <c r="AC541" s="130"/>
      <c r="AE541" s="106"/>
    </row>
    <row r="542">
      <c r="C542" s="79"/>
      <c r="D542" s="79"/>
      <c r="E542" s="79"/>
      <c r="O542" s="79"/>
      <c r="S542" s="79"/>
      <c r="T542" s="79"/>
      <c r="Y542" s="79"/>
      <c r="AC542" s="130"/>
      <c r="AE542" s="106"/>
    </row>
    <row r="543">
      <c r="C543" s="79"/>
      <c r="D543" s="79"/>
      <c r="E543" s="79"/>
      <c r="O543" s="79"/>
      <c r="S543" s="79"/>
      <c r="T543" s="79"/>
      <c r="Y543" s="79"/>
      <c r="AC543" s="130"/>
      <c r="AE543" s="106"/>
    </row>
    <row r="544">
      <c r="C544" s="79"/>
      <c r="D544" s="79"/>
      <c r="E544" s="79"/>
      <c r="O544" s="79"/>
      <c r="S544" s="79"/>
      <c r="T544" s="79"/>
      <c r="Y544" s="79"/>
      <c r="AC544" s="130"/>
      <c r="AE544" s="106"/>
    </row>
    <row r="545">
      <c r="C545" s="79"/>
      <c r="D545" s="79"/>
      <c r="E545" s="79"/>
      <c r="O545" s="79"/>
      <c r="S545" s="79"/>
      <c r="T545" s="79"/>
      <c r="Y545" s="79"/>
      <c r="AC545" s="130"/>
      <c r="AE545" s="106"/>
    </row>
    <row r="546">
      <c r="C546" s="79"/>
      <c r="D546" s="79"/>
      <c r="E546" s="79"/>
      <c r="O546" s="79"/>
      <c r="S546" s="79"/>
      <c r="T546" s="79"/>
      <c r="Y546" s="79"/>
      <c r="AC546" s="130"/>
      <c r="AE546" s="106"/>
    </row>
    <row r="547">
      <c r="C547" s="79"/>
      <c r="D547" s="79"/>
      <c r="E547" s="79"/>
      <c r="O547" s="79"/>
      <c r="S547" s="79"/>
      <c r="T547" s="79"/>
      <c r="Y547" s="79"/>
      <c r="AC547" s="130"/>
      <c r="AE547" s="106"/>
    </row>
    <row r="548">
      <c r="C548" s="79"/>
      <c r="D548" s="79"/>
      <c r="E548" s="79"/>
      <c r="O548" s="79"/>
      <c r="S548" s="79"/>
      <c r="T548" s="79"/>
      <c r="Y548" s="79"/>
      <c r="AC548" s="130"/>
      <c r="AE548" s="106"/>
    </row>
    <row r="549">
      <c r="C549" s="79"/>
      <c r="D549" s="79"/>
      <c r="E549" s="79"/>
      <c r="O549" s="79"/>
      <c r="S549" s="79"/>
      <c r="T549" s="79"/>
      <c r="Y549" s="79"/>
      <c r="AC549" s="130"/>
      <c r="AE549" s="106"/>
    </row>
    <row r="550">
      <c r="C550" s="79"/>
      <c r="D550" s="79"/>
      <c r="E550" s="79"/>
      <c r="O550" s="79"/>
      <c r="S550" s="79"/>
      <c r="T550" s="79"/>
      <c r="Y550" s="79"/>
      <c r="AC550" s="130"/>
      <c r="AE550" s="106"/>
    </row>
    <row r="551">
      <c r="C551" s="79"/>
      <c r="D551" s="79"/>
      <c r="E551" s="79"/>
      <c r="O551" s="79"/>
      <c r="S551" s="79"/>
      <c r="T551" s="79"/>
      <c r="Y551" s="79"/>
      <c r="AC551" s="130"/>
      <c r="AE551" s="106"/>
    </row>
    <row r="552">
      <c r="C552" s="79"/>
      <c r="D552" s="79"/>
      <c r="E552" s="79"/>
      <c r="O552" s="79"/>
      <c r="S552" s="79"/>
      <c r="T552" s="79"/>
      <c r="Y552" s="79"/>
      <c r="AC552" s="130"/>
      <c r="AE552" s="106"/>
    </row>
    <row r="553">
      <c r="C553" s="79"/>
      <c r="D553" s="79"/>
      <c r="E553" s="79"/>
      <c r="O553" s="79"/>
      <c r="S553" s="79"/>
      <c r="T553" s="79"/>
      <c r="Y553" s="79"/>
      <c r="AC553" s="130"/>
      <c r="AE553" s="106"/>
    </row>
    <row r="554">
      <c r="C554" s="79"/>
      <c r="D554" s="79"/>
      <c r="E554" s="79"/>
      <c r="O554" s="79"/>
      <c r="S554" s="79"/>
      <c r="T554" s="79"/>
      <c r="Y554" s="79"/>
      <c r="AC554" s="130"/>
      <c r="AE554" s="106"/>
    </row>
    <row r="555">
      <c r="C555" s="79"/>
      <c r="D555" s="79"/>
      <c r="E555" s="79"/>
      <c r="O555" s="79"/>
      <c r="S555" s="79"/>
      <c r="T555" s="79"/>
      <c r="Y555" s="79"/>
      <c r="AC555" s="130"/>
      <c r="AE555" s="106"/>
    </row>
    <row r="556">
      <c r="C556" s="79"/>
      <c r="D556" s="79"/>
      <c r="E556" s="79"/>
      <c r="O556" s="79"/>
      <c r="S556" s="79"/>
      <c r="T556" s="79"/>
      <c r="Y556" s="79"/>
      <c r="AC556" s="130"/>
      <c r="AE556" s="106"/>
    </row>
    <row r="557">
      <c r="C557" s="79"/>
      <c r="D557" s="79"/>
      <c r="E557" s="79"/>
      <c r="O557" s="79"/>
      <c r="S557" s="79"/>
      <c r="T557" s="79"/>
      <c r="Y557" s="79"/>
      <c r="AC557" s="130"/>
      <c r="AE557" s="106"/>
    </row>
    <row r="558">
      <c r="C558" s="79"/>
      <c r="D558" s="79"/>
      <c r="E558" s="79"/>
      <c r="O558" s="79"/>
      <c r="S558" s="79"/>
      <c r="T558" s="79"/>
      <c r="Y558" s="79"/>
      <c r="AC558" s="130"/>
      <c r="AE558" s="106"/>
    </row>
    <row r="559">
      <c r="C559" s="79"/>
      <c r="D559" s="79"/>
      <c r="E559" s="79"/>
      <c r="O559" s="79"/>
      <c r="S559" s="79"/>
      <c r="T559" s="79"/>
      <c r="Y559" s="79"/>
      <c r="AC559" s="130"/>
      <c r="AE559" s="106"/>
    </row>
    <row r="560">
      <c r="C560" s="79"/>
      <c r="D560" s="79"/>
      <c r="E560" s="79"/>
      <c r="O560" s="79"/>
      <c r="S560" s="79"/>
      <c r="T560" s="79"/>
      <c r="Y560" s="79"/>
      <c r="AC560" s="130"/>
      <c r="AE560" s="106"/>
    </row>
    <row r="561">
      <c r="C561" s="79"/>
      <c r="D561" s="79"/>
      <c r="E561" s="79"/>
      <c r="O561" s="79"/>
      <c r="S561" s="79"/>
      <c r="T561" s="79"/>
      <c r="Y561" s="79"/>
      <c r="AC561" s="130"/>
      <c r="AE561" s="106"/>
    </row>
    <row r="562">
      <c r="C562" s="79"/>
      <c r="D562" s="79"/>
      <c r="E562" s="79"/>
      <c r="O562" s="79"/>
      <c r="S562" s="79"/>
      <c r="T562" s="79"/>
      <c r="Y562" s="79"/>
      <c r="AC562" s="130"/>
      <c r="AE562" s="106"/>
    </row>
    <row r="563">
      <c r="C563" s="79"/>
      <c r="D563" s="79"/>
      <c r="E563" s="79"/>
      <c r="O563" s="79"/>
      <c r="S563" s="79"/>
      <c r="T563" s="79"/>
      <c r="Y563" s="79"/>
      <c r="AC563" s="130"/>
      <c r="AE563" s="106"/>
    </row>
    <row r="564">
      <c r="C564" s="79"/>
      <c r="D564" s="79"/>
      <c r="E564" s="79"/>
      <c r="O564" s="79"/>
      <c r="S564" s="79"/>
      <c r="T564" s="79"/>
      <c r="Y564" s="79"/>
      <c r="AC564" s="130"/>
      <c r="AE564" s="106"/>
    </row>
    <row r="565">
      <c r="C565" s="79"/>
      <c r="D565" s="79"/>
      <c r="E565" s="79"/>
      <c r="O565" s="79"/>
      <c r="S565" s="79"/>
      <c r="T565" s="79"/>
      <c r="Y565" s="79"/>
      <c r="AC565" s="130"/>
      <c r="AE565" s="106"/>
    </row>
    <row r="566">
      <c r="C566" s="79"/>
      <c r="D566" s="79"/>
      <c r="E566" s="79"/>
      <c r="O566" s="79"/>
      <c r="S566" s="79"/>
      <c r="T566" s="79"/>
      <c r="Y566" s="79"/>
      <c r="AC566" s="130"/>
      <c r="AE566" s="106"/>
    </row>
    <row r="567">
      <c r="C567" s="79"/>
      <c r="D567" s="79"/>
      <c r="E567" s="79"/>
      <c r="O567" s="79"/>
      <c r="S567" s="79"/>
      <c r="T567" s="79"/>
      <c r="Y567" s="79"/>
      <c r="AC567" s="130"/>
      <c r="AE567" s="106"/>
    </row>
    <row r="568">
      <c r="C568" s="79"/>
      <c r="D568" s="79"/>
      <c r="E568" s="79"/>
      <c r="O568" s="79"/>
      <c r="S568" s="79"/>
      <c r="T568" s="79"/>
      <c r="Y568" s="79"/>
      <c r="AC568" s="130"/>
      <c r="AE568" s="106"/>
    </row>
    <row r="569">
      <c r="C569" s="79"/>
      <c r="D569" s="79"/>
      <c r="E569" s="79"/>
      <c r="O569" s="79"/>
      <c r="S569" s="79"/>
      <c r="T569" s="79"/>
      <c r="Y569" s="79"/>
      <c r="AC569" s="130"/>
      <c r="AE569" s="106"/>
    </row>
    <row r="570">
      <c r="C570" s="79"/>
      <c r="D570" s="79"/>
      <c r="E570" s="79"/>
      <c r="O570" s="79"/>
      <c r="S570" s="79"/>
      <c r="T570" s="79"/>
      <c r="Y570" s="79"/>
      <c r="AC570" s="130"/>
      <c r="AE570" s="106"/>
    </row>
    <row r="571">
      <c r="C571" s="79"/>
      <c r="D571" s="79"/>
      <c r="E571" s="79"/>
      <c r="O571" s="79"/>
      <c r="S571" s="79"/>
      <c r="T571" s="79"/>
      <c r="Y571" s="79"/>
      <c r="AC571" s="130"/>
      <c r="AE571" s="106"/>
    </row>
    <row r="572">
      <c r="C572" s="79"/>
      <c r="D572" s="79"/>
      <c r="E572" s="79"/>
      <c r="O572" s="79"/>
      <c r="S572" s="79"/>
      <c r="T572" s="79"/>
      <c r="Y572" s="79"/>
      <c r="AC572" s="130"/>
      <c r="AE572" s="106"/>
    </row>
    <row r="573">
      <c r="C573" s="79"/>
      <c r="D573" s="79"/>
      <c r="E573" s="79"/>
      <c r="O573" s="79"/>
      <c r="S573" s="79"/>
      <c r="T573" s="79"/>
      <c r="Y573" s="79"/>
      <c r="AC573" s="130"/>
      <c r="AE573" s="106"/>
    </row>
    <row r="574">
      <c r="C574" s="79"/>
      <c r="D574" s="79"/>
      <c r="E574" s="79"/>
      <c r="O574" s="79"/>
      <c r="S574" s="79"/>
      <c r="T574" s="79"/>
      <c r="Y574" s="79"/>
      <c r="AC574" s="130"/>
      <c r="AE574" s="106"/>
    </row>
    <row r="575">
      <c r="C575" s="79"/>
      <c r="D575" s="79"/>
      <c r="E575" s="79"/>
      <c r="O575" s="79"/>
      <c r="S575" s="79"/>
      <c r="T575" s="79"/>
      <c r="Y575" s="79"/>
      <c r="AC575" s="130"/>
      <c r="AE575" s="106"/>
    </row>
    <row r="576">
      <c r="C576" s="79"/>
      <c r="D576" s="79"/>
      <c r="E576" s="79"/>
      <c r="O576" s="79"/>
      <c r="S576" s="79"/>
      <c r="T576" s="79"/>
      <c r="Y576" s="79"/>
      <c r="AC576" s="130"/>
      <c r="AE576" s="106"/>
    </row>
    <row r="577">
      <c r="C577" s="79"/>
      <c r="D577" s="79"/>
      <c r="E577" s="79"/>
      <c r="O577" s="79"/>
      <c r="S577" s="79"/>
      <c r="T577" s="79"/>
      <c r="Y577" s="79"/>
      <c r="AC577" s="130"/>
      <c r="AE577" s="106"/>
    </row>
    <row r="578">
      <c r="C578" s="79"/>
      <c r="D578" s="79"/>
      <c r="E578" s="79"/>
      <c r="O578" s="79"/>
      <c r="S578" s="79"/>
      <c r="T578" s="79"/>
      <c r="Y578" s="79"/>
      <c r="AC578" s="130"/>
      <c r="AE578" s="106"/>
    </row>
    <row r="579">
      <c r="C579" s="79"/>
      <c r="D579" s="79"/>
      <c r="E579" s="79"/>
      <c r="O579" s="79"/>
      <c r="S579" s="79"/>
      <c r="T579" s="79"/>
      <c r="Y579" s="79"/>
      <c r="AC579" s="130"/>
      <c r="AE579" s="106"/>
    </row>
    <row r="580">
      <c r="C580" s="79"/>
      <c r="D580" s="79"/>
      <c r="E580" s="79"/>
      <c r="O580" s="79"/>
      <c r="S580" s="79"/>
      <c r="T580" s="79"/>
      <c r="Y580" s="79"/>
      <c r="AC580" s="130"/>
      <c r="AE580" s="106"/>
    </row>
    <row r="581">
      <c r="C581" s="79"/>
      <c r="D581" s="79"/>
      <c r="E581" s="79"/>
      <c r="O581" s="79"/>
      <c r="S581" s="79"/>
      <c r="T581" s="79"/>
      <c r="Y581" s="79"/>
      <c r="AC581" s="130"/>
      <c r="AE581" s="106"/>
    </row>
    <row r="582">
      <c r="C582" s="79"/>
      <c r="D582" s="79"/>
      <c r="E582" s="79"/>
      <c r="O582" s="79"/>
      <c r="S582" s="79"/>
      <c r="T582" s="79"/>
      <c r="Y582" s="79"/>
      <c r="AC582" s="130"/>
      <c r="AE582" s="106"/>
    </row>
    <row r="583">
      <c r="C583" s="79"/>
      <c r="D583" s="79"/>
      <c r="E583" s="79"/>
      <c r="O583" s="79"/>
      <c r="S583" s="79"/>
      <c r="T583" s="79"/>
      <c r="Y583" s="79"/>
      <c r="AC583" s="130"/>
      <c r="AE583" s="106"/>
    </row>
    <row r="584">
      <c r="C584" s="79"/>
      <c r="D584" s="79"/>
      <c r="E584" s="79"/>
      <c r="O584" s="79"/>
      <c r="S584" s="79"/>
      <c r="T584" s="79"/>
      <c r="Y584" s="79"/>
      <c r="AC584" s="130"/>
      <c r="AE584" s="106"/>
    </row>
    <row r="585">
      <c r="C585" s="79"/>
      <c r="D585" s="79"/>
      <c r="E585" s="79"/>
      <c r="O585" s="79"/>
      <c r="S585" s="79"/>
      <c r="T585" s="79"/>
      <c r="Y585" s="79"/>
      <c r="AC585" s="130"/>
      <c r="AE585" s="106"/>
    </row>
    <row r="586">
      <c r="C586" s="79"/>
      <c r="D586" s="79"/>
      <c r="E586" s="79"/>
      <c r="O586" s="79"/>
      <c r="S586" s="79"/>
      <c r="T586" s="79"/>
      <c r="Y586" s="79"/>
      <c r="AC586" s="130"/>
      <c r="AE586" s="106"/>
    </row>
    <row r="587">
      <c r="C587" s="79"/>
      <c r="D587" s="79"/>
      <c r="E587" s="79"/>
      <c r="O587" s="79"/>
      <c r="S587" s="79"/>
      <c r="T587" s="79"/>
      <c r="Y587" s="79"/>
      <c r="AC587" s="130"/>
      <c r="AE587" s="106"/>
    </row>
    <row r="588">
      <c r="C588" s="79"/>
      <c r="D588" s="79"/>
      <c r="E588" s="79"/>
      <c r="O588" s="79"/>
      <c r="S588" s="79"/>
      <c r="T588" s="79"/>
      <c r="Y588" s="79"/>
      <c r="AC588" s="130"/>
      <c r="AE588" s="106"/>
    </row>
    <row r="589">
      <c r="C589" s="79"/>
      <c r="D589" s="79"/>
      <c r="E589" s="79"/>
      <c r="O589" s="79"/>
      <c r="S589" s="79"/>
      <c r="T589" s="79"/>
      <c r="Y589" s="79"/>
      <c r="AC589" s="130"/>
      <c r="AE589" s="106"/>
    </row>
    <row r="590">
      <c r="C590" s="79"/>
      <c r="D590" s="79"/>
      <c r="E590" s="79"/>
      <c r="O590" s="79"/>
      <c r="S590" s="79"/>
      <c r="T590" s="79"/>
      <c r="Y590" s="79"/>
      <c r="AC590" s="130"/>
      <c r="AE590" s="106"/>
    </row>
    <row r="591">
      <c r="C591" s="79"/>
      <c r="D591" s="79"/>
      <c r="E591" s="79"/>
      <c r="O591" s="79"/>
      <c r="S591" s="79"/>
      <c r="T591" s="79"/>
      <c r="Y591" s="79"/>
      <c r="AC591" s="130"/>
      <c r="AE591" s="106"/>
    </row>
    <row r="592">
      <c r="C592" s="79"/>
      <c r="D592" s="79"/>
      <c r="E592" s="79"/>
      <c r="O592" s="79"/>
      <c r="S592" s="79"/>
      <c r="T592" s="79"/>
      <c r="Y592" s="79"/>
      <c r="AC592" s="130"/>
      <c r="AE592" s="106"/>
    </row>
    <row r="593">
      <c r="C593" s="79"/>
      <c r="D593" s="79"/>
      <c r="E593" s="79"/>
      <c r="O593" s="79"/>
      <c r="S593" s="79"/>
      <c r="T593" s="79"/>
      <c r="Y593" s="79"/>
      <c r="AC593" s="130"/>
      <c r="AE593" s="106"/>
    </row>
    <row r="594">
      <c r="C594" s="79"/>
      <c r="D594" s="79"/>
      <c r="E594" s="79"/>
      <c r="O594" s="79"/>
      <c r="S594" s="79"/>
      <c r="T594" s="79"/>
      <c r="Y594" s="79"/>
      <c r="AC594" s="130"/>
      <c r="AE594" s="106"/>
    </row>
    <row r="595">
      <c r="C595" s="79"/>
      <c r="D595" s="79"/>
      <c r="E595" s="79"/>
      <c r="O595" s="79"/>
      <c r="S595" s="79"/>
      <c r="T595" s="79"/>
      <c r="Y595" s="79"/>
      <c r="AC595" s="130"/>
      <c r="AE595" s="106"/>
    </row>
    <row r="596">
      <c r="C596" s="79"/>
      <c r="D596" s="79"/>
      <c r="E596" s="79"/>
      <c r="O596" s="79"/>
      <c r="S596" s="79"/>
      <c r="T596" s="79"/>
      <c r="Y596" s="79"/>
      <c r="AC596" s="130"/>
      <c r="AE596" s="106"/>
    </row>
    <row r="597">
      <c r="C597" s="79"/>
      <c r="D597" s="79"/>
      <c r="E597" s="79"/>
      <c r="O597" s="79"/>
      <c r="S597" s="79"/>
      <c r="T597" s="79"/>
      <c r="Y597" s="79"/>
      <c r="AC597" s="130"/>
      <c r="AE597" s="106"/>
    </row>
    <row r="598">
      <c r="C598" s="79"/>
      <c r="D598" s="79"/>
      <c r="E598" s="79"/>
      <c r="O598" s="79"/>
      <c r="S598" s="79"/>
      <c r="T598" s="79"/>
      <c r="Y598" s="79"/>
      <c r="AC598" s="130"/>
      <c r="AE598" s="106"/>
    </row>
    <row r="599">
      <c r="C599" s="79"/>
      <c r="D599" s="79"/>
      <c r="E599" s="79"/>
      <c r="O599" s="79"/>
      <c r="S599" s="79"/>
      <c r="T599" s="79"/>
      <c r="Y599" s="79"/>
      <c r="AC599" s="130"/>
      <c r="AE599" s="106"/>
    </row>
    <row r="600">
      <c r="C600" s="79"/>
      <c r="D600" s="79"/>
      <c r="E600" s="79"/>
      <c r="O600" s="79"/>
      <c r="S600" s="79"/>
      <c r="T600" s="79"/>
      <c r="Y600" s="79"/>
      <c r="AC600" s="130"/>
      <c r="AE600" s="106"/>
    </row>
    <row r="601">
      <c r="C601" s="79"/>
      <c r="D601" s="79"/>
      <c r="E601" s="79"/>
      <c r="O601" s="79"/>
      <c r="S601" s="79"/>
      <c r="T601" s="79"/>
      <c r="Y601" s="79"/>
      <c r="AC601" s="130"/>
      <c r="AE601" s="106"/>
    </row>
    <row r="602">
      <c r="C602" s="79"/>
      <c r="D602" s="79"/>
      <c r="E602" s="79"/>
      <c r="O602" s="79"/>
      <c r="S602" s="79"/>
      <c r="T602" s="79"/>
      <c r="Y602" s="79"/>
      <c r="AC602" s="130"/>
      <c r="AE602" s="106"/>
    </row>
    <row r="603">
      <c r="C603" s="79"/>
      <c r="D603" s="79"/>
      <c r="E603" s="79"/>
      <c r="O603" s="79"/>
      <c r="S603" s="79"/>
      <c r="T603" s="79"/>
      <c r="Y603" s="79"/>
      <c r="AC603" s="130"/>
      <c r="AE603" s="106"/>
    </row>
    <row r="604">
      <c r="C604" s="79"/>
      <c r="D604" s="79"/>
      <c r="E604" s="79"/>
      <c r="O604" s="79"/>
      <c r="S604" s="79"/>
      <c r="T604" s="79"/>
      <c r="Y604" s="79"/>
      <c r="AC604" s="130"/>
      <c r="AE604" s="106"/>
    </row>
    <row r="605">
      <c r="C605" s="79"/>
      <c r="D605" s="79"/>
      <c r="E605" s="79"/>
      <c r="O605" s="79"/>
      <c r="S605" s="79"/>
      <c r="T605" s="79"/>
      <c r="Y605" s="79"/>
      <c r="AC605" s="130"/>
      <c r="AE605" s="106"/>
    </row>
    <row r="606">
      <c r="C606" s="79"/>
      <c r="D606" s="79"/>
      <c r="E606" s="79"/>
      <c r="O606" s="79"/>
      <c r="S606" s="79"/>
      <c r="T606" s="79"/>
      <c r="Y606" s="79"/>
      <c r="AC606" s="130"/>
      <c r="AE606" s="106"/>
    </row>
    <row r="607">
      <c r="C607" s="79"/>
      <c r="D607" s="79"/>
      <c r="E607" s="79"/>
      <c r="O607" s="79"/>
      <c r="S607" s="79"/>
      <c r="T607" s="79"/>
      <c r="Y607" s="79"/>
      <c r="AC607" s="130"/>
      <c r="AE607" s="106"/>
    </row>
    <row r="608">
      <c r="C608" s="79"/>
      <c r="D608" s="79"/>
      <c r="E608" s="79"/>
      <c r="O608" s="79"/>
      <c r="S608" s="79"/>
      <c r="T608" s="79"/>
      <c r="Y608" s="79"/>
      <c r="AC608" s="130"/>
      <c r="AE608" s="106"/>
    </row>
    <row r="609">
      <c r="C609" s="79"/>
      <c r="D609" s="79"/>
      <c r="E609" s="79"/>
      <c r="O609" s="79"/>
      <c r="S609" s="79"/>
      <c r="T609" s="79"/>
      <c r="Y609" s="79"/>
      <c r="AC609" s="130"/>
      <c r="AE609" s="106"/>
    </row>
    <row r="610">
      <c r="C610" s="79"/>
      <c r="D610" s="79"/>
      <c r="E610" s="79"/>
      <c r="O610" s="79"/>
      <c r="S610" s="79"/>
      <c r="T610" s="79"/>
      <c r="Y610" s="79"/>
      <c r="AC610" s="130"/>
      <c r="AE610" s="106"/>
    </row>
    <row r="611">
      <c r="C611" s="79"/>
      <c r="D611" s="79"/>
      <c r="E611" s="79"/>
      <c r="O611" s="79"/>
      <c r="S611" s="79"/>
      <c r="T611" s="79"/>
      <c r="Y611" s="79"/>
      <c r="AC611" s="130"/>
      <c r="AE611" s="106"/>
    </row>
    <row r="612">
      <c r="C612" s="79"/>
      <c r="D612" s="79"/>
      <c r="E612" s="79"/>
      <c r="O612" s="79"/>
      <c r="S612" s="79"/>
      <c r="T612" s="79"/>
      <c r="Y612" s="79"/>
      <c r="AC612" s="130"/>
      <c r="AE612" s="106"/>
    </row>
    <row r="613">
      <c r="C613" s="79"/>
      <c r="D613" s="79"/>
      <c r="E613" s="79"/>
      <c r="O613" s="79"/>
      <c r="S613" s="79"/>
      <c r="T613" s="79"/>
      <c r="Y613" s="79"/>
      <c r="AC613" s="130"/>
      <c r="AE613" s="106"/>
    </row>
    <row r="614">
      <c r="C614" s="79"/>
      <c r="D614" s="79"/>
      <c r="E614" s="79"/>
      <c r="O614" s="79"/>
      <c r="S614" s="79"/>
      <c r="T614" s="79"/>
      <c r="Y614" s="79"/>
      <c r="AC614" s="130"/>
      <c r="AE614" s="106"/>
    </row>
    <row r="615">
      <c r="C615" s="79"/>
      <c r="D615" s="79"/>
      <c r="E615" s="79"/>
      <c r="O615" s="79"/>
      <c r="S615" s="79"/>
      <c r="T615" s="79"/>
      <c r="Y615" s="79"/>
      <c r="AC615" s="130"/>
      <c r="AE615" s="106"/>
    </row>
    <row r="616">
      <c r="C616" s="79"/>
      <c r="D616" s="79"/>
      <c r="E616" s="79"/>
      <c r="O616" s="79"/>
      <c r="S616" s="79"/>
      <c r="T616" s="79"/>
      <c r="Y616" s="79"/>
      <c r="AC616" s="130"/>
      <c r="AE616" s="106"/>
    </row>
    <row r="617">
      <c r="C617" s="79"/>
      <c r="D617" s="79"/>
      <c r="E617" s="79"/>
      <c r="O617" s="79"/>
      <c r="S617" s="79"/>
      <c r="T617" s="79"/>
      <c r="Y617" s="79"/>
      <c r="AC617" s="130"/>
      <c r="AE617" s="106"/>
    </row>
    <row r="618">
      <c r="C618" s="79"/>
      <c r="D618" s="79"/>
      <c r="E618" s="79"/>
      <c r="O618" s="79"/>
      <c r="S618" s="79"/>
      <c r="T618" s="79"/>
      <c r="Y618" s="79"/>
      <c r="AC618" s="130"/>
      <c r="AE618" s="106"/>
    </row>
    <row r="619">
      <c r="C619" s="79"/>
      <c r="D619" s="79"/>
      <c r="E619" s="79"/>
      <c r="O619" s="79"/>
      <c r="S619" s="79"/>
      <c r="T619" s="79"/>
      <c r="Y619" s="79"/>
      <c r="AC619" s="130"/>
      <c r="AE619" s="106"/>
    </row>
    <row r="620">
      <c r="C620" s="79"/>
      <c r="D620" s="79"/>
      <c r="E620" s="79"/>
      <c r="O620" s="79"/>
      <c r="S620" s="79"/>
      <c r="T620" s="79"/>
      <c r="Y620" s="79"/>
      <c r="AC620" s="130"/>
      <c r="AE620" s="106"/>
    </row>
    <row r="621">
      <c r="C621" s="79"/>
      <c r="D621" s="79"/>
      <c r="E621" s="79"/>
      <c r="O621" s="79"/>
      <c r="S621" s="79"/>
      <c r="T621" s="79"/>
      <c r="Y621" s="79"/>
      <c r="AC621" s="130"/>
      <c r="AE621" s="106"/>
    </row>
    <row r="622">
      <c r="C622" s="79"/>
      <c r="D622" s="79"/>
      <c r="E622" s="79"/>
      <c r="O622" s="79"/>
      <c r="S622" s="79"/>
      <c r="T622" s="79"/>
      <c r="Y622" s="79"/>
      <c r="AC622" s="130"/>
      <c r="AE622" s="106"/>
    </row>
    <row r="623">
      <c r="C623" s="79"/>
      <c r="D623" s="79"/>
      <c r="E623" s="79"/>
      <c r="O623" s="79"/>
      <c r="S623" s="79"/>
      <c r="T623" s="79"/>
      <c r="Y623" s="79"/>
      <c r="AC623" s="130"/>
      <c r="AE623" s="106"/>
    </row>
    <row r="624">
      <c r="C624" s="79"/>
      <c r="D624" s="79"/>
      <c r="E624" s="79"/>
      <c r="O624" s="79"/>
      <c r="S624" s="79"/>
      <c r="T624" s="79"/>
      <c r="Y624" s="79"/>
      <c r="AC624" s="130"/>
      <c r="AE624" s="106"/>
    </row>
    <row r="625">
      <c r="C625" s="79"/>
      <c r="D625" s="79"/>
      <c r="E625" s="79"/>
      <c r="O625" s="79"/>
      <c r="S625" s="79"/>
      <c r="T625" s="79"/>
      <c r="Y625" s="79"/>
      <c r="AC625" s="130"/>
      <c r="AE625" s="106"/>
    </row>
    <row r="626">
      <c r="C626" s="79"/>
      <c r="D626" s="79"/>
      <c r="E626" s="79"/>
      <c r="O626" s="79"/>
      <c r="S626" s="79"/>
      <c r="T626" s="79"/>
      <c r="Y626" s="79"/>
      <c r="AC626" s="130"/>
      <c r="AE626" s="106"/>
    </row>
    <row r="627">
      <c r="C627" s="79"/>
      <c r="D627" s="79"/>
      <c r="E627" s="79"/>
      <c r="O627" s="79"/>
      <c r="S627" s="79"/>
      <c r="T627" s="79"/>
      <c r="Y627" s="79"/>
      <c r="AC627" s="130"/>
      <c r="AE627" s="106"/>
    </row>
    <row r="628">
      <c r="C628" s="79"/>
      <c r="D628" s="79"/>
      <c r="E628" s="79"/>
      <c r="O628" s="79"/>
      <c r="S628" s="79"/>
      <c r="T628" s="79"/>
      <c r="Y628" s="79"/>
      <c r="AC628" s="130"/>
      <c r="AE628" s="106"/>
    </row>
    <row r="629">
      <c r="C629" s="79"/>
      <c r="D629" s="79"/>
      <c r="E629" s="79"/>
      <c r="O629" s="79"/>
      <c r="S629" s="79"/>
      <c r="T629" s="79"/>
      <c r="Y629" s="79"/>
      <c r="AC629" s="130"/>
      <c r="AE629" s="106"/>
    </row>
    <row r="630">
      <c r="C630" s="79"/>
      <c r="D630" s="79"/>
      <c r="E630" s="79"/>
      <c r="O630" s="79"/>
      <c r="S630" s="79"/>
      <c r="T630" s="79"/>
      <c r="Y630" s="79"/>
      <c r="AC630" s="130"/>
      <c r="AE630" s="106"/>
    </row>
    <row r="631">
      <c r="C631" s="79"/>
      <c r="D631" s="79"/>
      <c r="E631" s="79"/>
      <c r="O631" s="79"/>
      <c r="S631" s="79"/>
      <c r="T631" s="79"/>
      <c r="Y631" s="79"/>
      <c r="AC631" s="130"/>
      <c r="AE631" s="106"/>
    </row>
    <row r="632">
      <c r="C632" s="79"/>
      <c r="D632" s="79"/>
      <c r="E632" s="79"/>
      <c r="O632" s="79"/>
      <c r="S632" s="79"/>
      <c r="T632" s="79"/>
      <c r="Y632" s="79"/>
      <c r="AC632" s="130"/>
      <c r="AE632" s="106"/>
    </row>
    <row r="633">
      <c r="C633" s="79"/>
      <c r="D633" s="79"/>
      <c r="E633" s="79"/>
      <c r="O633" s="79"/>
      <c r="S633" s="79"/>
      <c r="T633" s="79"/>
      <c r="Y633" s="79"/>
      <c r="AC633" s="130"/>
      <c r="AE633" s="106"/>
    </row>
    <row r="634">
      <c r="C634" s="79"/>
      <c r="D634" s="79"/>
      <c r="E634" s="79"/>
      <c r="O634" s="79"/>
      <c r="S634" s="79"/>
      <c r="T634" s="79"/>
      <c r="Y634" s="79"/>
      <c r="AC634" s="130"/>
      <c r="AE634" s="106"/>
    </row>
    <row r="635">
      <c r="C635" s="79"/>
      <c r="D635" s="79"/>
      <c r="E635" s="79"/>
      <c r="O635" s="79"/>
      <c r="S635" s="79"/>
      <c r="T635" s="79"/>
      <c r="Y635" s="79"/>
      <c r="AC635" s="130"/>
      <c r="AE635" s="106"/>
    </row>
    <row r="636">
      <c r="C636" s="79"/>
      <c r="D636" s="79"/>
      <c r="E636" s="79"/>
      <c r="O636" s="79"/>
      <c r="S636" s="79"/>
      <c r="T636" s="79"/>
      <c r="Y636" s="79"/>
      <c r="AC636" s="130"/>
      <c r="AE636" s="106"/>
    </row>
    <row r="637">
      <c r="C637" s="79"/>
      <c r="D637" s="79"/>
      <c r="E637" s="79"/>
      <c r="O637" s="79"/>
      <c r="S637" s="79"/>
      <c r="T637" s="79"/>
      <c r="Y637" s="79"/>
      <c r="AC637" s="130"/>
      <c r="AE637" s="106"/>
    </row>
    <row r="638">
      <c r="C638" s="79"/>
      <c r="D638" s="79"/>
      <c r="E638" s="79"/>
      <c r="O638" s="79"/>
      <c r="S638" s="79"/>
      <c r="T638" s="79"/>
      <c r="Y638" s="79"/>
      <c r="AC638" s="130"/>
      <c r="AE638" s="106"/>
    </row>
    <row r="639">
      <c r="C639" s="79"/>
      <c r="D639" s="79"/>
      <c r="E639" s="79"/>
      <c r="O639" s="79"/>
      <c r="S639" s="79"/>
      <c r="T639" s="79"/>
      <c r="Y639" s="79"/>
      <c r="AC639" s="130"/>
      <c r="AE639" s="106"/>
    </row>
    <row r="640">
      <c r="C640" s="79"/>
      <c r="D640" s="79"/>
      <c r="E640" s="79"/>
      <c r="O640" s="79"/>
      <c r="S640" s="79"/>
      <c r="T640" s="79"/>
      <c r="Y640" s="79"/>
      <c r="AC640" s="130"/>
      <c r="AE640" s="106"/>
    </row>
    <row r="641">
      <c r="C641" s="79"/>
      <c r="D641" s="79"/>
      <c r="E641" s="79"/>
      <c r="O641" s="79"/>
      <c r="S641" s="79"/>
      <c r="T641" s="79"/>
      <c r="Y641" s="79"/>
      <c r="AC641" s="130"/>
      <c r="AE641" s="106"/>
    </row>
    <row r="642">
      <c r="C642" s="79"/>
      <c r="D642" s="79"/>
      <c r="E642" s="79"/>
      <c r="O642" s="79"/>
      <c r="S642" s="79"/>
      <c r="T642" s="79"/>
      <c r="Y642" s="79"/>
      <c r="AC642" s="130"/>
      <c r="AE642" s="106"/>
    </row>
    <row r="643">
      <c r="C643" s="79"/>
      <c r="D643" s="79"/>
      <c r="E643" s="79"/>
      <c r="O643" s="79"/>
      <c r="S643" s="79"/>
      <c r="T643" s="79"/>
      <c r="Y643" s="79"/>
      <c r="AC643" s="130"/>
      <c r="AE643" s="106"/>
    </row>
    <row r="644">
      <c r="C644" s="79"/>
      <c r="D644" s="79"/>
      <c r="E644" s="79"/>
      <c r="O644" s="79"/>
      <c r="S644" s="79"/>
      <c r="T644" s="79"/>
      <c r="Y644" s="79"/>
      <c r="AC644" s="130"/>
      <c r="AE644" s="106"/>
    </row>
    <row r="645">
      <c r="C645" s="79"/>
      <c r="D645" s="79"/>
      <c r="E645" s="79"/>
      <c r="O645" s="79"/>
      <c r="S645" s="79"/>
      <c r="T645" s="79"/>
      <c r="Y645" s="79"/>
      <c r="AC645" s="130"/>
      <c r="AE645" s="106"/>
    </row>
    <row r="646">
      <c r="C646" s="79"/>
      <c r="D646" s="79"/>
      <c r="E646" s="79"/>
      <c r="O646" s="79"/>
      <c r="S646" s="79"/>
      <c r="T646" s="79"/>
      <c r="Y646" s="79"/>
      <c r="AC646" s="130"/>
      <c r="AE646" s="106"/>
    </row>
    <row r="647">
      <c r="C647" s="79"/>
      <c r="D647" s="79"/>
      <c r="E647" s="79"/>
      <c r="O647" s="79"/>
      <c r="S647" s="79"/>
      <c r="T647" s="79"/>
      <c r="Y647" s="79"/>
      <c r="AC647" s="130"/>
      <c r="AE647" s="106"/>
    </row>
    <row r="648">
      <c r="C648" s="79"/>
      <c r="D648" s="79"/>
      <c r="E648" s="79"/>
      <c r="O648" s="79"/>
      <c r="S648" s="79"/>
      <c r="T648" s="79"/>
      <c r="Y648" s="79"/>
      <c r="AC648" s="130"/>
      <c r="AE648" s="106"/>
    </row>
    <row r="649">
      <c r="C649" s="79"/>
      <c r="D649" s="79"/>
      <c r="E649" s="79"/>
      <c r="O649" s="79"/>
      <c r="S649" s="79"/>
      <c r="T649" s="79"/>
      <c r="Y649" s="79"/>
      <c r="AC649" s="130"/>
      <c r="AE649" s="106"/>
    </row>
    <row r="650">
      <c r="C650" s="79"/>
      <c r="D650" s="79"/>
      <c r="E650" s="79"/>
      <c r="O650" s="79"/>
      <c r="S650" s="79"/>
      <c r="T650" s="79"/>
      <c r="Y650" s="79"/>
      <c r="AC650" s="130"/>
      <c r="AE650" s="106"/>
    </row>
    <row r="651">
      <c r="C651" s="79"/>
      <c r="D651" s="79"/>
      <c r="E651" s="79"/>
      <c r="O651" s="79"/>
      <c r="S651" s="79"/>
      <c r="T651" s="79"/>
      <c r="Y651" s="79"/>
      <c r="AC651" s="130"/>
      <c r="AE651" s="106"/>
    </row>
    <row r="652">
      <c r="C652" s="79"/>
      <c r="D652" s="79"/>
      <c r="E652" s="79"/>
      <c r="O652" s="79"/>
      <c r="S652" s="79"/>
      <c r="T652" s="79"/>
      <c r="Y652" s="79"/>
      <c r="AC652" s="130"/>
      <c r="AE652" s="106"/>
    </row>
    <row r="653">
      <c r="C653" s="79"/>
      <c r="D653" s="79"/>
      <c r="E653" s="79"/>
      <c r="O653" s="79"/>
      <c r="S653" s="79"/>
      <c r="T653" s="79"/>
      <c r="Y653" s="79"/>
      <c r="AC653" s="130"/>
      <c r="AE653" s="106"/>
    </row>
    <row r="654">
      <c r="C654" s="79"/>
      <c r="D654" s="79"/>
      <c r="E654" s="79"/>
      <c r="O654" s="79"/>
      <c r="S654" s="79"/>
      <c r="T654" s="79"/>
      <c r="Y654" s="79"/>
      <c r="AC654" s="130"/>
      <c r="AE654" s="106"/>
    </row>
    <row r="655">
      <c r="C655" s="79"/>
      <c r="D655" s="79"/>
      <c r="E655" s="79"/>
      <c r="O655" s="79"/>
      <c r="S655" s="79"/>
      <c r="T655" s="79"/>
      <c r="Y655" s="79"/>
      <c r="AC655" s="130"/>
      <c r="AE655" s="106"/>
    </row>
    <row r="656">
      <c r="C656" s="79"/>
      <c r="D656" s="79"/>
      <c r="E656" s="79"/>
      <c r="O656" s="79"/>
      <c r="S656" s="79"/>
      <c r="T656" s="79"/>
      <c r="Y656" s="79"/>
      <c r="AC656" s="130"/>
      <c r="AE656" s="106"/>
    </row>
    <row r="657">
      <c r="C657" s="79"/>
      <c r="D657" s="79"/>
      <c r="E657" s="79"/>
      <c r="O657" s="79"/>
      <c r="S657" s="79"/>
      <c r="T657" s="79"/>
      <c r="Y657" s="79"/>
      <c r="AC657" s="130"/>
      <c r="AE657" s="106"/>
    </row>
    <row r="658">
      <c r="C658" s="79"/>
      <c r="D658" s="79"/>
      <c r="E658" s="79"/>
      <c r="O658" s="79"/>
      <c r="S658" s="79"/>
      <c r="T658" s="79"/>
      <c r="Y658" s="79"/>
      <c r="AC658" s="130"/>
      <c r="AE658" s="106"/>
    </row>
    <row r="659">
      <c r="C659" s="79"/>
      <c r="D659" s="79"/>
      <c r="E659" s="79"/>
      <c r="O659" s="79"/>
      <c r="S659" s="79"/>
      <c r="T659" s="79"/>
      <c r="Y659" s="79"/>
      <c r="AC659" s="130"/>
      <c r="AE659" s="106"/>
    </row>
    <row r="660">
      <c r="C660" s="79"/>
      <c r="D660" s="79"/>
      <c r="E660" s="79"/>
      <c r="O660" s="79"/>
      <c r="S660" s="79"/>
      <c r="T660" s="79"/>
      <c r="Y660" s="79"/>
      <c r="AC660" s="130"/>
      <c r="AE660" s="106"/>
    </row>
    <row r="661">
      <c r="C661" s="79"/>
      <c r="D661" s="79"/>
      <c r="E661" s="79"/>
      <c r="O661" s="79"/>
      <c r="S661" s="79"/>
      <c r="T661" s="79"/>
      <c r="Y661" s="79"/>
      <c r="AC661" s="130"/>
      <c r="AE661" s="106"/>
    </row>
    <row r="662">
      <c r="C662" s="79"/>
      <c r="D662" s="79"/>
      <c r="E662" s="79"/>
      <c r="O662" s="79"/>
      <c r="S662" s="79"/>
      <c r="T662" s="79"/>
      <c r="Y662" s="79"/>
      <c r="AC662" s="130"/>
      <c r="AE662" s="106"/>
    </row>
    <row r="663">
      <c r="C663" s="79"/>
      <c r="D663" s="79"/>
      <c r="E663" s="79"/>
      <c r="O663" s="79"/>
      <c r="S663" s="79"/>
      <c r="T663" s="79"/>
      <c r="Y663" s="79"/>
      <c r="AC663" s="130"/>
      <c r="AE663" s="106"/>
    </row>
    <row r="664">
      <c r="C664" s="79"/>
      <c r="D664" s="79"/>
      <c r="E664" s="79"/>
      <c r="O664" s="79"/>
      <c r="S664" s="79"/>
      <c r="T664" s="79"/>
      <c r="Y664" s="79"/>
      <c r="AC664" s="130"/>
      <c r="AE664" s="106"/>
    </row>
    <row r="665">
      <c r="C665" s="79"/>
      <c r="D665" s="79"/>
      <c r="E665" s="79"/>
      <c r="O665" s="79"/>
      <c r="S665" s="79"/>
      <c r="T665" s="79"/>
      <c r="Y665" s="79"/>
      <c r="AC665" s="130"/>
      <c r="AE665" s="106"/>
    </row>
    <row r="666">
      <c r="C666" s="79"/>
      <c r="D666" s="79"/>
      <c r="E666" s="79"/>
      <c r="O666" s="79"/>
      <c r="S666" s="79"/>
      <c r="T666" s="79"/>
      <c r="Y666" s="79"/>
      <c r="AC666" s="130"/>
      <c r="AE666" s="106"/>
    </row>
    <row r="667">
      <c r="C667" s="79"/>
      <c r="D667" s="79"/>
      <c r="E667" s="79"/>
      <c r="O667" s="79"/>
      <c r="S667" s="79"/>
      <c r="T667" s="79"/>
      <c r="Y667" s="79"/>
      <c r="AC667" s="130"/>
      <c r="AE667" s="106"/>
    </row>
    <row r="668">
      <c r="C668" s="79"/>
      <c r="D668" s="79"/>
      <c r="E668" s="79"/>
      <c r="O668" s="79"/>
      <c r="S668" s="79"/>
      <c r="T668" s="79"/>
      <c r="Y668" s="79"/>
      <c r="AC668" s="130"/>
      <c r="AE668" s="106"/>
    </row>
    <row r="669">
      <c r="C669" s="79"/>
      <c r="D669" s="79"/>
      <c r="E669" s="79"/>
      <c r="O669" s="79"/>
      <c r="S669" s="79"/>
      <c r="T669" s="79"/>
      <c r="Y669" s="79"/>
      <c r="AC669" s="130"/>
      <c r="AE669" s="106"/>
    </row>
    <row r="670">
      <c r="C670" s="79"/>
      <c r="D670" s="79"/>
      <c r="E670" s="79"/>
      <c r="O670" s="79"/>
      <c r="S670" s="79"/>
      <c r="T670" s="79"/>
      <c r="Y670" s="79"/>
      <c r="AC670" s="130"/>
      <c r="AE670" s="106"/>
    </row>
    <row r="671">
      <c r="C671" s="79"/>
      <c r="D671" s="79"/>
      <c r="E671" s="79"/>
      <c r="O671" s="79"/>
      <c r="S671" s="79"/>
      <c r="T671" s="79"/>
      <c r="Y671" s="79"/>
      <c r="AC671" s="130"/>
      <c r="AE671" s="106"/>
    </row>
    <row r="672">
      <c r="C672" s="79"/>
      <c r="D672" s="79"/>
      <c r="E672" s="79"/>
      <c r="O672" s="79"/>
      <c r="S672" s="79"/>
      <c r="T672" s="79"/>
      <c r="Y672" s="79"/>
      <c r="AC672" s="130"/>
      <c r="AE672" s="106"/>
    </row>
    <row r="673">
      <c r="C673" s="79"/>
      <c r="D673" s="79"/>
      <c r="E673" s="79"/>
      <c r="O673" s="79"/>
      <c r="S673" s="79"/>
      <c r="T673" s="79"/>
      <c r="Y673" s="79"/>
      <c r="AC673" s="130"/>
      <c r="AE673" s="106"/>
    </row>
    <row r="674">
      <c r="C674" s="79"/>
      <c r="D674" s="79"/>
      <c r="E674" s="79"/>
      <c r="O674" s="79"/>
      <c r="S674" s="79"/>
      <c r="T674" s="79"/>
      <c r="Y674" s="79"/>
      <c r="AC674" s="130"/>
      <c r="AE674" s="106"/>
    </row>
    <row r="675">
      <c r="C675" s="79"/>
      <c r="D675" s="79"/>
      <c r="E675" s="79"/>
      <c r="O675" s="79"/>
      <c r="S675" s="79"/>
      <c r="T675" s="79"/>
      <c r="Y675" s="79"/>
      <c r="AC675" s="130"/>
      <c r="AE675" s="106"/>
    </row>
    <row r="676">
      <c r="C676" s="79"/>
      <c r="D676" s="79"/>
      <c r="E676" s="79"/>
      <c r="O676" s="79"/>
      <c r="S676" s="79"/>
      <c r="T676" s="79"/>
      <c r="Y676" s="79"/>
      <c r="AC676" s="130"/>
      <c r="AE676" s="106"/>
    </row>
    <row r="677">
      <c r="C677" s="79"/>
      <c r="D677" s="79"/>
      <c r="E677" s="79"/>
      <c r="O677" s="79"/>
      <c r="S677" s="79"/>
      <c r="T677" s="79"/>
      <c r="Y677" s="79"/>
      <c r="AC677" s="130"/>
      <c r="AE677" s="106"/>
    </row>
    <row r="678">
      <c r="C678" s="79"/>
      <c r="D678" s="79"/>
      <c r="E678" s="79"/>
      <c r="O678" s="79"/>
      <c r="S678" s="79"/>
      <c r="T678" s="79"/>
      <c r="Y678" s="79"/>
      <c r="AC678" s="130"/>
      <c r="AE678" s="106"/>
    </row>
    <row r="679">
      <c r="C679" s="79"/>
      <c r="D679" s="79"/>
      <c r="E679" s="79"/>
      <c r="O679" s="79"/>
      <c r="S679" s="79"/>
      <c r="T679" s="79"/>
      <c r="Y679" s="79"/>
      <c r="AC679" s="130"/>
      <c r="AE679" s="106"/>
    </row>
    <row r="680">
      <c r="C680" s="79"/>
      <c r="D680" s="79"/>
      <c r="E680" s="79"/>
      <c r="O680" s="79"/>
      <c r="S680" s="79"/>
      <c r="T680" s="79"/>
      <c r="Y680" s="79"/>
      <c r="AC680" s="130"/>
      <c r="AE680" s="106"/>
    </row>
    <row r="681">
      <c r="C681" s="79"/>
      <c r="D681" s="79"/>
      <c r="E681" s="79"/>
      <c r="O681" s="79"/>
      <c r="S681" s="79"/>
      <c r="T681" s="79"/>
      <c r="Y681" s="79"/>
      <c r="AC681" s="130"/>
      <c r="AE681" s="106"/>
    </row>
    <row r="682">
      <c r="C682" s="79"/>
      <c r="D682" s="79"/>
      <c r="E682" s="79"/>
      <c r="O682" s="79"/>
      <c r="S682" s="79"/>
      <c r="T682" s="79"/>
      <c r="Y682" s="79"/>
      <c r="AC682" s="130"/>
      <c r="AE682" s="106"/>
    </row>
    <row r="683">
      <c r="C683" s="79"/>
      <c r="D683" s="79"/>
      <c r="E683" s="79"/>
      <c r="O683" s="79"/>
      <c r="S683" s="79"/>
      <c r="T683" s="79"/>
      <c r="Y683" s="79"/>
      <c r="AC683" s="130"/>
      <c r="AE683" s="106"/>
    </row>
    <row r="684">
      <c r="C684" s="79"/>
      <c r="D684" s="79"/>
      <c r="E684" s="79"/>
      <c r="O684" s="79"/>
      <c r="S684" s="79"/>
      <c r="T684" s="79"/>
      <c r="Y684" s="79"/>
      <c r="AC684" s="130"/>
      <c r="AE684" s="106"/>
    </row>
    <row r="685">
      <c r="C685" s="79"/>
      <c r="D685" s="79"/>
      <c r="E685" s="79"/>
      <c r="O685" s="79"/>
      <c r="S685" s="79"/>
      <c r="T685" s="79"/>
      <c r="Y685" s="79"/>
      <c r="AC685" s="130"/>
      <c r="AE685" s="106"/>
    </row>
    <row r="686">
      <c r="C686" s="79"/>
      <c r="D686" s="79"/>
      <c r="E686" s="79"/>
      <c r="O686" s="79"/>
      <c r="S686" s="79"/>
      <c r="T686" s="79"/>
      <c r="Y686" s="79"/>
      <c r="AC686" s="130"/>
      <c r="AE686" s="106"/>
    </row>
    <row r="687">
      <c r="C687" s="79"/>
      <c r="D687" s="79"/>
      <c r="E687" s="79"/>
      <c r="O687" s="79"/>
      <c r="S687" s="79"/>
      <c r="T687" s="79"/>
      <c r="Y687" s="79"/>
      <c r="AC687" s="130"/>
      <c r="AE687" s="106"/>
    </row>
    <row r="688">
      <c r="C688" s="79"/>
      <c r="D688" s="79"/>
      <c r="E688" s="79"/>
      <c r="O688" s="79"/>
      <c r="S688" s="79"/>
      <c r="T688" s="79"/>
      <c r="Y688" s="79"/>
      <c r="AC688" s="130"/>
      <c r="AE688" s="106"/>
    </row>
    <row r="689">
      <c r="C689" s="79"/>
      <c r="D689" s="79"/>
      <c r="E689" s="79"/>
      <c r="O689" s="79"/>
      <c r="S689" s="79"/>
      <c r="T689" s="79"/>
      <c r="Y689" s="79"/>
      <c r="AC689" s="130"/>
      <c r="AE689" s="106"/>
    </row>
    <row r="690">
      <c r="C690" s="79"/>
      <c r="D690" s="79"/>
      <c r="E690" s="79"/>
      <c r="O690" s="79"/>
      <c r="S690" s="79"/>
      <c r="T690" s="79"/>
      <c r="Y690" s="79"/>
      <c r="AC690" s="130"/>
      <c r="AE690" s="106"/>
    </row>
    <row r="691">
      <c r="C691" s="79"/>
      <c r="D691" s="79"/>
      <c r="E691" s="79"/>
      <c r="O691" s="79"/>
      <c r="S691" s="79"/>
      <c r="T691" s="79"/>
      <c r="Y691" s="79"/>
      <c r="AC691" s="130"/>
      <c r="AE691" s="106"/>
    </row>
    <row r="692">
      <c r="C692" s="79"/>
      <c r="D692" s="79"/>
      <c r="E692" s="79"/>
      <c r="O692" s="79"/>
      <c r="S692" s="79"/>
      <c r="T692" s="79"/>
      <c r="Y692" s="79"/>
      <c r="AC692" s="130"/>
      <c r="AE692" s="106"/>
    </row>
    <row r="693">
      <c r="C693" s="79"/>
      <c r="D693" s="79"/>
      <c r="E693" s="79"/>
      <c r="O693" s="79"/>
      <c r="S693" s="79"/>
      <c r="T693" s="79"/>
      <c r="Y693" s="79"/>
      <c r="AC693" s="130"/>
      <c r="AE693" s="106"/>
    </row>
    <row r="694">
      <c r="C694" s="79"/>
      <c r="D694" s="79"/>
      <c r="E694" s="79"/>
      <c r="O694" s="79"/>
      <c r="S694" s="79"/>
      <c r="T694" s="79"/>
      <c r="Y694" s="79"/>
      <c r="AC694" s="130"/>
      <c r="AE694" s="106"/>
    </row>
    <row r="695">
      <c r="C695" s="79"/>
      <c r="D695" s="79"/>
      <c r="E695" s="79"/>
      <c r="O695" s="79"/>
      <c r="S695" s="79"/>
      <c r="T695" s="79"/>
      <c r="Y695" s="79"/>
      <c r="AC695" s="130"/>
      <c r="AE695" s="106"/>
    </row>
    <row r="696">
      <c r="C696" s="79"/>
      <c r="D696" s="79"/>
      <c r="E696" s="79"/>
      <c r="O696" s="79"/>
      <c r="S696" s="79"/>
      <c r="T696" s="79"/>
      <c r="Y696" s="79"/>
      <c r="AC696" s="130"/>
      <c r="AE696" s="106"/>
    </row>
    <row r="697">
      <c r="C697" s="79"/>
      <c r="D697" s="79"/>
      <c r="E697" s="79"/>
      <c r="O697" s="79"/>
      <c r="S697" s="79"/>
      <c r="T697" s="79"/>
      <c r="Y697" s="79"/>
      <c r="AC697" s="130"/>
      <c r="AE697" s="106"/>
    </row>
    <row r="698">
      <c r="C698" s="79"/>
      <c r="D698" s="79"/>
      <c r="E698" s="79"/>
      <c r="O698" s="79"/>
      <c r="S698" s="79"/>
      <c r="T698" s="79"/>
      <c r="Y698" s="79"/>
      <c r="AC698" s="130"/>
      <c r="AE698" s="106"/>
    </row>
    <row r="699">
      <c r="C699" s="79"/>
      <c r="D699" s="79"/>
      <c r="E699" s="79"/>
      <c r="O699" s="79"/>
      <c r="S699" s="79"/>
      <c r="T699" s="79"/>
      <c r="Y699" s="79"/>
      <c r="AC699" s="130"/>
      <c r="AE699" s="106"/>
    </row>
    <row r="700">
      <c r="C700" s="79"/>
      <c r="D700" s="79"/>
      <c r="E700" s="79"/>
      <c r="O700" s="79"/>
      <c r="S700" s="79"/>
      <c r="T700" s="79"/>
      <c r="Y700" s="79"/>
      <c r="AC700" s="130"/>
      <c r="AE700" s="106"/>
    </row>
    <row r="701">
      <c r="C701" s="79"/>
      <c r="D701" s="79"/>
      <c r="E701" s="79"/>
      <c r="O701" s="79"/>
      <c r="S701" s="79"/>
      <c r="T701" s="79"/>
      <c r="Y701" s="79"/>
      <c r="AC701" s="130"/>
      <c r="AE701" s="106"/>
    </row>
    <row r="702">
      <c r="C702" s="79"/>
      <c r="D702" s="79"/>
      <c r="E702" s="79"/>
      <c r="O702" s="79"/>
      <c r="S702" s="79"/>
      <c r="T702" s="79"/>
      <c r="Y702" s="79"/>
      <c r="AC702" s="130"/>
      <c r="AE702" s="106"/>
    </row>
    <row r="703">
      <c r="C703" s="79"/>
      <c r="D703" s="79"/>
      <c r="E703" s="79"/>
      <c r="O703" s="79"/>
      <c r="S703" s="79"/>
      <c r="T703" s="79"/>
      <c r="Y703" s="79"/>
      <c r="AC703" s="130"/>
      <c r="AE703" s="106"/>
    </row>
    <row r="704">
      <c r="C704" s="79"/>
      <c r="D704" s="79"/>
      <c r="E704" s="79"/>
      <c r="O704" s="79"/>
      <c r="S704" s="79"/>
      <c r="T704" s="79"/>
      <c r="Y704" s="79"/>
      <c r="AC704" s="130"/>
      <c r="AE704" s="106"/>
    </row>
    <row r="705">
      <c r="C705" s="79"/>
      <c r="D705" s="79"/>
      <c r="E705" s="79"/>
      <c r="O705" s="79"/>
      <c r="S705" s="79"/>
      <c r="T705" s="79"/>
      <c r="Y705" s="79"/>
      <c r="AC705" s="130"/>
      <c r="AE705" s="106"/>
    </row>
    <row r="706">
      <c r="C706" s="79"/>
      <c r="D706" s="79"/>
      <c r="E706" s="79"/>
      <c r="O706" s="79"/>
      <c r="S706" s="79"/>
      <c r="T706" s="79"/>
      <c r="Y706" s="79"/>
      <c r="AC706" s="130"/>
      <c r="AE706" s="106"/>
    </row>
    <row r="707">
      <c r="C707" s="79"/>
      <c r="D707" s="79"/>
      <c r="E707" s="79"/>
      <c r="O707" s="79"/>
      <c r="S707" s="79"/>
      <c r="T707" s="79"/>
      <c r="Y707" s="79"/>
      <c r="AC707" s="130"/>
      <c r="AE707" s="106"/>
    </row>
    <row r="708">
      <c r="C708" s="79"/>
      <c r="D708" s="79"/>
      <c r="E708" s="79"/>
      <c r="O708" s="79"/>
      <c r="S708" s="79"/>
      <c r="T708" s="79"/>
      <c r="Y708" s="79"/>
      <c r="AC708" s="130"/>
      <c r="AE708" s="106"/>
    </row>
    <row r="709">
      <c r="C709" s="79"/>
      <c r="D709" s="79"/>
      <c r="E709" s="79"/>
      <c r="O709" s="79"/>
      <c r="S709" s="79"/>
      <c r="T709" s="79"/>
      <c r="Y709" s="79"/>
      <c r="AC709" s="130"/>
      <c r="AE709" s="106"/>
    </row>
    <row r="710">
      <c r="C710" s="79"/>
      <c r="D710" s="79"/>
      <c r="E710" s="79"/>
      <c r="O710" s="79"/>
      <c r="S710" s="79"/>
      <c r="T710" s="79"/>
      <c r="Y710" s="79"/>
      <c r="AC710" s="130"/>
      <c r="AE710" s="106"/>
    </row>
    <row r="711">
      <c r="C711" s="79"/>
      <c r="D711" s="79"/>
      <c r="E711" s="79"/>
      <c r="O711" s="79"/>
      <c r="S711" s="79"/>
      <c r="T711" s="79"/>
      <c r="Y711" s="79"/>
      <c r="AC711" s="130"/>
      <c r="AE711" s="106"/>
    </row>
    <row r="712">
      <c r="C712" s="79"/>
      <c r="D712" s="79"/>
      <c r="E712" s="79"/>
      <c r="O712" s="79"/>
      <c r="S712" s="79"/>
      <c r="T712" s="79"/>
      <c r="Y712" s="79"/>
      <c r="AC712" s="130"/>
      <c r="AE712" s="106"/>
    </row>
    <row r="713">
      <c r="C713" s="79"/>
      <c r="D713" s="79"/>
      <c r="E713" s="79"/>
      <c r="O713" s="79"/>
      <c r="S713" s="79"/>
      <c r="T713" s="79"/>
      <c r="Y713" s="79"/>
      <c r="AC713" s="130"/>
      <c r="AE713" s="106"/>
    </row>
    <row r="714">
      <c r="C714" s="79"/>
      <c r="D714" s="79"/>
      <c r="E714" s="79"/>
      <c r="O714" s="79"/>
      <c r="S714" s="79"/>
      <c r="T714" s="79"/>
      <c r="Y714" s="79"/>
      <c r="AC714" s="130"/>
      <c r="AE714" s="106"/>
    </row>
    <row r="715">
      <c r="C715" s="79"/>
      <c r="D715" s="79"/>
      <c r="E715" s="79"/>
      <c r="O715" s="79"/>
      <c r="S715" s="79"/>
      <c r="T715" s="79"/>
      <c r="Y715" s="79"/>
      <c r="AC715" s="130"/>
      <c r="AE715" s="106"/>
    </row>
    <row r="716">
      <c r="C716" s="79"/>
      <c r="D716" s="79"/>
      <c r="E716" s="79"/>
      <c r="O716" s="79"/>
      <c r="S716" s="79"/>
      <c r="T716" s="79"/>
      <c r="Y716" s="79"/>
      <c r="AC716" s="130"/>
      <c r="AE716" s="106"/>
    </row>
    <row r="717">
      <c r="C717" s="79"/>
      <c r="D717" s="79"/>
      <c r="E717" s="79"/>
      <c r="O717" s="79"/>
      <c r="S717" s="79"/>
      <c r="T717" s="79"/>
      <c r="Y717" s="79"/>
      <c r="AC717" s="130"/>
      <c r="AE717" s="106"/>
    </row>
    <row r="718">
      <c r="C718" s="79"/>
      <c r="D718" s="79"/>
      <c r="E718" s="79"/>
      <c r="O718" s="79"/>
      <c r="S718" s="79"/>
      <c r="T718" s="79"/>
      <c r="Y718" s="79"/>
      <c r="AC718" s="130"/>
      <c r="AE718" s="106"/>
    </row>
    <row r="719">
      <c r="C719" s="79"/>
      <c r="D719" s="79"/>
      <c r="E719" s="79"/>
      <c r="O719" s="79"/>
      <c r="S719" s="79"/>
      <c r="T719" s="79"/>
      <c r="Y719" s="79"/>
      <c r="AC719" s="130"/>
      <c r="AE719" s="106"/>
    </row>
    <row r="720">
      <c r="C720" s="79"/>
      <c r="D720" s="79"/>
      <c r="E720" s="79"/>
      <c r="O720" s="79"/>
      <c r="S720" s="79"/>
      <c r="T720" s="79"/>
      <c r="Y720" s="79"/>
      <c r="AC720" s="130"/>
      <c r="AE720" s="106"/>
    </row>
    <row r="721">
      <c r="C721" s="79"/>
      <c r="D721" s="79"/>
      <c r="E721" s="79"/>
      <c r="O721" s="79"/>
      <c r="S721" s="79"/>
      <c r="T721" s="79"/>
      <c r="Y721" s="79"/>
      <c r="AC721" s="130"/>
      <c r="AE721" s="106"/>
    </row>
    <row r="722">
      <c r="C722" s="79"/>
      <c r="D722" s="79"/>
      <c r="E722" s="79"/>
      <c r="O722" s="79"/>
      <c r="S722" s="79"/>
      <c r="T722" s="79"/>
      <c r="Y722" s="79"/>
      <c r="AC722" s="130"/>
      <c r="AE722" s="106"/>
    </row>
    <row r="723">
      <c r="C723" s="79"/>
      <c r="D723" s="79"/>
      <c r="E723" s="79"/>
      <c r="O723" s="79"/>
      <c r="S723" s="79"/>
      <c r="T723" s="79"/>
      <c r="Y723" s="79"/>
      <c r="AC723" s="130"/>
      <c r="AE723" s="106"/>
    </row>
    <row r="724">
      <c r="C724" s="79"/>
      <c r="D724" s="79"/>
      <c r="E724" s="79"/>
      <c r="O724" s="79"/>
      <c r="S724" s="79"/>
      <c r="T724" s="79"/>
      <c r="Y724" s="79"/>
      <c r="AC724" s="130"/>
      <c r="AE724" s="106"/>
    </row>
    <row r="725">
      <c r="C725" s="79"/>
      <c r="D725" s="79"/>
      <c r="E725" s="79"/>
      <c r="O725" s="79"/>
      <c r="S725" s="79"/>
      <c r="T725" s="79"/>
      <c r="Y725" s="79"/>
      <c r="AC725" s="130"/>
      <c r="AE725" s="106"/>
    </row>
    <row r="726">
      <c r="C726" s="79"/>
      <c r="D726" s="79"/>
      <c r="E726" s="79"/>
      <c r="O726" s="79"/>
      <c r="S726" s="79"/>
      <c r="T726" s="79"/>
      <c r="Y726" s="79"/>
      <c r="AC726" s="130"/>
      <c r="AE726" s="106"/>
    </row>
    <row r="727">
      <c r="C727" s="79"/>
      <c r="D727" s="79"/>
      <c r="E727" s="79"/>
      <c r="O727" s="79"/>
      <c r="S727" s="79"/>
      <c r="T727" s="79"/>
      <c r="Y727" s="79"/>
      <c r="AC727" s="130"/>
      <c r="AE727" s="106"/>
    </row>
    <row r="728">
      <c r="C728" s="79"/>
      <c r="D728" s="79"/>
      <c r="E728" s="79"/>
      <c r="O728" s="79"/>
      <c r="S728" s="79"/>
      <c r="T728" s="79"/>
      <c r="Y728" s="79"/>
      <c r="AC728" s="130"/>
      <c r="AE728" s="106"/>
    </row>
    <row r="729">
      <c r="C729" s="79"/>
      <c r="D729" s="79"/>
      <c r="E729" s="79"/>
      <c r="O729" s="79"/>
      <c r="S729" s="79"/>
      <c r="T729" s="79"/>
      <c r="Y729" s="79"/>
      <c r="AC729" s="130"/>
      <c r="AE729" s="106"/>
    </row>
    <row r="730">
      <c r="C730" s="79"/>
      <c r="D730" s="79"/>
      <c r="E730" s="79"/>
      <c r="O730" s="79"/>
      <c r="S730" s="79"/>
      <c r="T730" s="79"/>
      <c r="Y730" s="79"/>
      <c r="AC730" s="130"/>
      <c r="AE730" s="106"/>
    </row>
    <row r="731">
      <c r="C731" s="79"/>
      <c r="D731" s="79"/>
      <c r="E731" s="79"/>
      <c r="O731" s="79"/>
      <c r="S731" s="79"/>
      <c r="T731" s="79"/>
      <c r="Y731" s="79"/>
      <c r="AC731" s="130"/>
      <c r="AE731" s="106"/>
    </row>
    <row r="732">
      <c r="C732" s="79"/>
      <c r="D732" s="79"/>
      <c r="E732" s="79"/>
      <c r="O732" s="79"/>
      <c r="S732" s="79"/>
      <c r="T732" s="79"/>
      <c r="Y732" s="79"/>
      <c r="AC732" s="130"/>
      <c r="AE732" s="106"/>
    </row>
    <row r="733">
      <c r="C733" s="79"/>
      <c r="D733" s="79"/>
      <c r="E733" s="79"/>
      <c r="O733" s="79"/>
      <c r="S733" s="79"/>
      <c r="T733" s="79"/>
      <c r="Y733" s="79"/>
      <c r="AC733" s="130"/>
      <c r="AE733" s="106"/>
    </row>
    <row r="734">
      <c r="C734" s="79"/>
      <c r="D734" s="79"/>
      <c r="E734" s="79"/>
      <c r="O734" s="79"/>
      <c r="S734" s="79"/>
      <c r="T734" s="79"/>
      <c r="Y734" s="79"/>
      <c r="AC734" s="130"/>
      <c r="AE734" s="106"/>
    </row>
    <row r="735">
      <c r="C735" s="79"/>
      <c r="D735" s="79"/>
      <c r="E735" s="79"/>
      <c r="O735" s="79"/>
      <c r="S735" s="79"/>
      <c r="T735" s="79"/>
      <c r="Y735" s="79"/>
      <c r="AC735" s="130"/>
      <c r="AE735" s="106"/>
    </row>
    <row r="736">
      <c r="C736" s="79"/>
      <c r="D736" s="79"/>
      <c r="E736" s="79"/>
      <c r="O736" s="79"/>
      <c r="S736" s="79"/>
      <c r="T736" s="79"/>
      <c r="Y736" s="79"/>
      <c r="AC736" s="130"/>
      <c r="AE736" s="106"/>
    </row>
    <row r="737">
      <c r="C737" s="79"/>
      <c r="D737" s="79"/>
      <c r="E737" s="79"/>
      <c r="O737" s="79"/>
      <c r="S737" s="79"/>
      <c r="T737" s="79"/>
      <c r="Y737" s="79"/>
      <c r="AC737" s="130"/>
      <c r="AE737" s="106"/>
    </row>
    <row r="738">
      <c r="C738" s="79"/>
      <c r="D738" s="79"/>
      <c r="E738" s="79"/>
      <c r="O738" s="79"/>
      <c r="S738" s="79"/>
      <c r="T738" s="79"/>
      <c r="Y738" s="79"/>
      <c r="AC738" s="130"/>
      <c r="AE738" s="106"/>
    </row>
    <row r="739">
      <c r="C739" s="79"/>
      <c r="D739" s="79"/>
      <c r="E739" s="79"/>
      <c r="O739" s="79"/>
      <c r="S739" s="79"/>
      <c r="T739" s="79"/>
      <c r="Y739" s="79"/>
      <c r="AC739" s="130"/>
      <c r="AE739" s="106"/>
    </row>
    <row r="740">
      <c r="C740" s="79"/>
      <c r="D740" s="79"/>
      <c r="E740" s="79"/>
      <c r="O740" s="79"/>
      <c r="S740" s="79"/>
      <c r="T740" s="79"/>
      <c r="Y740" s="79"/>
      <c r="AC740" s="130"/>
      <c r="AE740" s="106"/>
    </row>
    <row r="741">
      <c r="C741" s="79"/>
      <c r="D741" s="79"/>
      <c r="E741" s="79"/>
      <c r="O741" s="79"/>
      <c r="S741" s="79"/>
      <c r="T741" s="79"/>
      <c r="Y741" s="79"/>
      <c r="AC741" s="130"/>
      <c r="AE741" s="106"/>
    </row>
    <row r="742">
      <c r="C742" s="79"/>
      <c r="D742" s="79"/>
      <c r="E742" s="79"/>
      <c r="O742" s="79"/>
      <c r="S742" s="79"/>
      <c r="T742" s="79"/>
      <c r="Y742" s="79"/>
      <c r="AC742" s="130"/>
      <c r="AE742" s="106"/>
    </row>
    <row r="743">
      <c r="C743" s="79"/>
      <c r="D743" s="79"/>
      <c r="E743" s="79"/>
      <c r="O743" s="79"/>
      <c r="S743" s="79"/>
      <c r="T743" s="79"/>
      <c r="Y743" s="79"/>
      <c r="AC743" s="130"/>
      <c r="AE743" s="106"/>
    </row>
    <row r="744">
      <c r="C744" s="79"/>
      <c r="D744" s="79"/>
      <c r="E744" s="79"/>
      <c r="O744" s="79"/>
      <c r="S744" s="79"/>
      <c r="T744" s="79"/>
      <c r="Y744" s="79"/>
      <c r="AC744" s="130"/>
      <c r="AE744" s="106"/>
    </row>
    <row r="745">
      <c r="C745" s="79"/>
      <c r="D745" s="79"/>
      <c r="E745" s="79"/>
      <c r="O745" s="79"/>
      <c r="S745" s="79"/>
      <c r="T745" s="79"/>
      <c r="Y745" s="79"/>
      <c r="AC745" s="130"/>
      <c r="AE745" s="106"/>
    </row>
    <row r="746">
      <c r="C746" s="79"/>
      <c r="D746" s="79"/>
      <c r="E746" s="79"/>
      <c r="O746" s="79"/>
      <c r="S746" s="79"/>
      <c r="T746" s="79"/>
      <c r="Y746" s="79"/>
      <c r="AC746" s="130"/>
      <c r="AE746" s="106"/>
    </row>
    <row r="747">
      <c r="C747" s="79"/>
      <c r="D747" s="79"/>
      <c r="E747" s="79"/>
      <c r="O747" s="79"/>
      <c r="S747" s="79"/>
      <c r="T747" s="79"/>
      <c r="Y747" s="79"/>
      <c r="AC747" s="130"/>
      <c r="AE747" s="106"/>
    </row>
    <row r="748">
      <c r="C748" s="79"/>
      <c r="D748" s="79"/>
      <c r="E748" s="79"/>
      <c r="O748" s="79"/>
      <c r="S748" s="79"/>
      <c r="T748" s="79"/>
      <c r="Y748" s="79"/>
      <c r="AC748" s="130"/>
      <c r="AE748" s="106"/>
    </row>
    <row r="749">
      <c r="C749" s="79"/>
      <c r="D749" s="79"/>
      <c r="E749" s="79"/>
      <c r="O749" s="79"/>
      <c r="S749" s="79"/>
      <c r="T749" s="79"/>
      <c r="Y749" s="79"/>
      <c r="AC749" s="130"/>
      <c r="AE749" s="106"/>
    </row>
    <row r="750">
      <c r="C750" s="79"/>
      <c r="D750" s="79"/>
      <c r="E750" s="79"/>
      <c r="O750" s="79"/>
      <c r="S750" s="79"/>
      <c r="T750" s="79"/>
      <c r="Y750" s="79"/>
      <c r="AC750" s="130"/>
      <c r="AE750" s="106"/>
    </row>
    <row r="751">
      <c r="C751" s="79"/>
      <c r="D751" s="79"/>
      <c r="E751" s="79"/>
      <c r="O751" s="79"/>
      <c r="S751" s="79"/>
      <c r="T751" s="79"/>
      <c r="Y751" s="79"/>
      <c r="AC751" s="130"/>
      <c r="AE751" s="106"/>
    </row>
    <row r="752">
      <c r="C752" s="79"/>
      <c r="D752" s="79"/>
      <c r="E752" s="79"/>
      <c r="O752" s="79"/>
      <c r="S752" s="79"/>
      <c r="T752" s="79"/>
      <c r="Y752" s="79"/>
      <c r="AC752" s="130"/>
      <c r="AE752" s="106"/>
    </row>
    <row r="753">
      <c r="C753" s="79"/>
      <c r="D753" s="79"/>
      <c r="E753" s="79"/>
      <c r="O753" s="79"/>
      <c r="S753" s="79"/>
      <c r="T753" s="79"/>
      <c r="Y753" s="79"/>
      <c r="AC753" s="130"/>
      <c r="AE753" s="106"/>
    </row>
    <row r="754">
      <c r="C754" s="79"/>
      <c r="D754" s="79"/>
      <c r="E754" s="79"/>
      <c r="O754" s="79"/>
      <c r="S754" s="79"/>
      <c r="T754" s="79"/>
      <c r="Y754" s="79"/>
      <c r="AC754" s="130"/>
      <c r="AE754" s="106"/>
    </row>
    <row r="755">
      <c r="C755" s="79"/>
      <c r="D755" s="79"/>
      <c r="E755" s="79"/>
      <c r="O755" s="79"/>
      <c r="S755" s="79"/>
      <c r="T755" s="79"/>
      <c r="Y755" s="79"/>
      <c r="AC755" s="130"/>
      <c r="AE755" s="106"/>
    </row>
    <row r="756">
      <c r="C756" s="79"/>
      <c r="D756" s="79"/>
      <c r="E756" s="79"/>
      <c r="O756" s="79"/>
      <c r="S756" s="79"/>
      <c r="T756" s="79"/>
      <c r="Y756" s="79"/>
      <c r="AC756" s="130"/>
      <c r="AE756" s="106"/>
    </row>
    <row r="757">
      <c r="C757" s="79"/>
      <c r="D757" s="79"/>
      <c r="E757" s="79"/>
      <c r="O757" s="79"/>
      <c r="S757" s="79"/>
      <c r="T757" s="79"/>
      <c r="Y757" s="79"/>
      <c r="AC757" s="130"/>
      <c r="AE757" s="106"/>
    </row>
    <row r="758">
      <c r="C758" s="79"/>
      <c r="D758" s="79"/>
      <c r="E758" s="79"/>
      <c r="O758" s="79"/>
      <c r="S758" s="79"/>
      <c r="T758" s="79"/>
      <c r="Y758" s="79"/>
      <c r="AC758" s="130"/>
      <c r="AE758" s="106"/>
    </row>
    <row r="759">
      <c r="C759" s="79"/>
      <c r="D759" s="79"/>
      <c r="E759" s="79"/>
      <c r="O759" s="79"/>
      <c r="S759" s="79"/>
      <c r="T759" s="79"/>
      <c r="Y759" s="79"/>
      <c r="AC759" s="130"/>
      <c r="AE759" s="106"/>
    </row>
    <row r="760">
      <c r="C760" s="79"/>
      <c r="D760" s="79"/>
      <c r="E760" s="79"/>
      <c r="O760" s="79"/>
      <c r="S760" s="79"/>
      <c r="T760" s="79"/>
      <c r="Y760" s="79"/>
      <c r="AC760" s="130"/>
      <c r="AE760" s="106"/>
    </row>
    <row r="761">
      <c r="C761" s="79"/>
      <c r="D761" s="79"/>
      <c r="E761" s="79"/>
      <c r="O761" s="79"/>
      <c r="S761" s="79"/>
      <c r="T761" s="79"/>
      <c r="Y761" s="79"/>
      <c r="AC761" s="130"/>
      <c r="AE761" s="106"/>
    </row>
    <row r="762">
      <c r="C762" s="79"/>
      <c r="D762" s="79"/>
      <c r="E762" s="79"/>
      <c r="O762" s="79"/>
      <c r="S762" s="79"/>
      <c r="T762" s="79"/>
      <c r="Y762" s="79"/>
      <c r="AC762" s="130"/>
      <c r="AE762" s="106"/>
    </row>
    <row r="763">
      <c r="C763" s="79"/>
      <c r="D763" s="79"/>
      <c r="E763" s="79"/>
      <c r="O763" s="79"/>
      <c r="S763" s="79"/>
      <c r="T763" s="79"/>
      <c r="Y763" s="79"/>
      <c r="AC763" s="130"/>
      <c r="AE763" s="106"/>
    </row>
    <row r="764">
      <c r="C764" s="79"/>
      <c r="D764" s="79"/>
      <c r="E764" s="79"/>
      <c r="O764" s="79"/>
      <c r="S764" s="79"/>
      <c r="T764" s="79"/>
      <c r="Y764" s="79"/>
      <c r="AC764" s="130"/>
      <c r="AE764" s="106"/>
    </row>
    <row r="765">
      <c r="C765" s="79"/>
      <c r="D765" s="79"/>
      <c r="E765" s="79"/>
      <c r="O765" s="79"/>
      <c r="S765" s="79"/>
      <c r="T765" s="79"/>
      <c r="Y765" s="79"/>
      <c r="AC765" s="130"/>
      <c r="AE765" s="106"/>
    </row>
    <row r="766">
      <c r="C766" s="79"/>
      <c r="D766" s="79"/>
      <c r="E766" s="79"/>
      <c r="O766" s="79"/>
      <c r="S766" s="79"/>
      <c r="T766" s="79"/>
      <c r="Y766" s="79"/>
      <c r="AC766" s="130"/>
      <c r="AE766" s="106"/>
    </row>
    <row r="767">
      <c r="C767" s="79"/>
      <c r="D767" s="79"/>
      <c r="E767" s="79"/>
      <c r="O767" s="79"/>
      <c r="S767" s="79"/>
      <c r="T767" s="79"/>
      <c r="Y767" s="79"/>
      <c r="AC767" s="130"/>
      <c r="AE767" s="106"/>
    </row>
    <row r="768">
      <c r="C768" s="79"/>
      <c r="D768" s="79"/>
      <c r="E768" s="79"/>
      <c r="O768" s="79"/>
      <c r="S768" s="79"/>
      <c r="T768" s="79"/>
      <c r="Y768" s="79"/>
      <c r="AC768" s="130"/>
      <c r="AE768" s="106"/>
    </row>
    <row r="769">
      <c r="C769" s="79"/>
      <c r="D769" s="79"/>
      <c r="E769" s="79"/>
      <c r="O769" s="79"/>
      <c r="S769" s="79"/>
      <c r="T769" s="79"/>
      <c r="Y769" s="79"/>
      <c r="AC769" s="130"/>
      <c r="AE769" s="106"/>
    </row>
    <row r="770">
      <c r="C770" s="79"/>
      <c r="D770" s="79"/>
      <c r="E770" s="79"/>
      <c r="O770" s="79"/>
      <c r="S770" s="79"/>
      <c r="T770" s="79"/>
      <c r="Y770" s="79"/>
      <c r="AC770" s="130"/>
      <c r="AE770" s="106"/>
    </row>
    <row r="771">
      <c r="C771" s="79"/>
      <c r="D771" s="79"/>
      <c r="E771" s="79"/>
      <c r="O771" s="79"/>
      <c r="S771" s="79"/>
      <c r="T771" s="79"/>
      <c r="Y771" s="79"/>
      <c r="AC771" s="130"/>
      <c r="AE771" s="106"/>
    </row>
    <row r="772">
      <c r="C772" s="79"/>
      <c r="D772" s="79"/>
      <c r="E772" s="79"/>
      <c r="O772" s="79"/>
      <c r="S772" s="79"/>
      <c r="T772" s="79"/>
      <c r="Y772" s="79"/>
      <c r="AC772" s="130"/>
      <c r="AE772" s="106"/>
    </row>
    <row r="773">
      <c r="C773" s="79"/>
      <c r="D773" s="79"/>
      <c r="E773" s="79"/>
      <c r="O773" s="79"/>
      <c r="S773" s="79"/>
      <c r="T773" s="79"/>
      <c r="Y773" s="79"/>
      <c r="AC773" s="130"/>
      <c r="AE773" s="106"/>
    </row>
    <row r="774">
      <c r="C774" s="79"/>
      <c r="D774" s="79"/>
      <c r="E774" s="79"/>
      <c r="O774" s="79"/>
      <c r="S774" s="79"/>
      <c r="T774" s="79"/>
      <c r="Y774" s="79"/>
      <c r="AC774" s="130"/>
      <c r="AE774" s="106"/>
    </row>
    <row r="775">
      <c r="C775" s="79"/>
      <c r="D775" s="79"/>
      <c r="E775" s="79"/>
      <c r="O775" s="79"/>
      <c r="S775" s="79"/>
      <c r="T775" s="79"/>
      <c r="Y775" s="79"/>
      <c r="AC775" s="130"/>
      <c r="AE775" s="106"/>
    </row>
    <row r="776">
      <c r="C776" s="79"/>
      <c r="D776" s="79"/>
      <c r="E776" s="79"/>
      <c r="O776" s="79"/>
      <c r="S776" s="79"/>
      <c r="T776" s="79"/>
      <c r="Y776" s="79"/>
      <c r="AC776" s="130"/>
      <c r="AE776" s="106"/>
    </row>
    <row r="777">
      <c r="C777" s="79"/>
      <c r="D777" s="79"/>
      <c r="E777" s="79"/>
      <c r="O777" s="79"/>
      <c r="S777" s="79"/>
      <c r="T777" s="79"/>
      <c r="Y777" s="79"/>
      <c r="AC777" s="130"/>
      <c r="AE777" s="106"/>
    </row>
    <row r="778">
      <c r="C778" s="79"/>
      <c r="D778" s="79"/>
      <c r="E778" s="79"/>
      <c r="O778" s="79"/>
      <c r="S778" s="79"/>
      <c r="T778" s="79"/>
      <c r="Y778" s="79"/>
      <c r="AC778" s="130"/>
      <c r="AE778" s="106"/>
    </row>
    <row r="779">
      <c r="C779" s="79"/>
      <c r="D779" s="79"/>
      <c r="E779" s="79"/>
      <c r="O779" s="79"/>
      <c r="S779" s="79"/>
      <c r="T779" s="79"/>
      <c r="Y779" s="79"/>
      <c r="AC779" s="130"/>
      <c r="AE779" s="106"/>
    </row>
    <row r="780">
      <c r="C780" s="79"/>
      <c r="D780" s="79"/>
      <c r="E780" s="79"/>
      <c r="O780" s="79"/>
      <c r="S780" s="79"/>
      <c r="T780" s="79"/>
      <c r="Y780" s="79"/>
      <c r="AC780" s="130"/>
      <c r="AE780" s="106"/>
    </row>
    <row r="781">
      <c r="C781" s="79"/>
      <c r="D781" s="79"/>
      <c r="E781" s="79"/>
      <c r="O781" s="79"/>
      <c r="S781" s="79"/>
      <c r="T781" s="79"/>
      <c r="Y781" s="79"/>
      <c r="AC781" s="130"/>
      <c r="AE781" s="106"/>
    </row>
    <row r="782">
      <c r="C782" s="79"/>
      <c r="D782" s="79"/>
      <c r="E782" s="79"/>
      <c r="O782" s="79"/>
      <c r="S782" s="79"/>
      <c r="T782" s="79"/>
      <c r="Y782" s="79"/>
      <c r="AC782" s="130"/>
      <c r="AE782" s="106"/>
    </row>
    <row r="783">
      <c r="C783" s="79"/>
      <c r="D783" s="79"/>
      <c r="E783" s="79"/>
      <c r="O783" s="79"/>
      <c r="S783" s="79"/>
      <c r="T783" s="79"/>
      <c r="Y783" s="79"/>
      <c r="AC783" s="130"/>
      <c r="AE783" s="106"/>
    </row>
    <row r="784">
      <c r="C784" s="79"/>
      <c r="D784" s="79"/>
      <c r="E784" s="79"/>
      <c r="O784" s="79"/>
      <c r="S784" s="79"/>
      <c r="T784" s="79"/>
      <c r="Y784" s="79"/>
      <c r="AC784" s="130"/>
      <c r="AE784" s="106"/>
    </row>
    <row r="785">
      <c r="C785" s="79"/>
      <c r="D785" s="79"/>
      <c r="E785" s="79"/>
      <c r="O785" s="79"/>
      <c r="S785" s="79"/>
      <c r="T785" s="79"/>
      <c r="Y785" s="79"/>
      <c r="AC785" s="130"/>
      <c r="AE785" s="106"/>
    </row>
    <row r="786">
      <c r="C786" s="79"/>
      <c r="D786" s="79"/>
      <c r="E786" s="79"/>
      <c r="O786" s="79"/>
      <c r="S786" s="79"/>
      <c r="T786" s="79"/>
      <c r="Y786" s="79"/>
      <c r="AC786" s="130"/>
      <c r="AE786" s="106"/>
    </row>
    <row r="787">
      <c r="C787" s="79"/>
      <c r="D787" s="79"/>
      <c r="E787" s="79"/>
      <c r="O787" s="79"/>
      <c r="S787" s="79"/>
      <c r="T787" s="79"/>
      <c r="Y787" s="79"/>
      <c r="AC787" s="130"/>
      <c r="AE787" s="106"/>
    </row>
    <row r="788">
      <c r="C788" s="79"/>
      <c r="D788" s="79"/>
      <c r="E788" s="79"/>
      <c r="O788" s="79"/>
      <c r="S788" s="79"/>
      <c r="T788" s="79"/>
      <c r="Y788" s="79"/>
      <c r="AC788" s="130"/>
      <c r="AE788" s="106"/>
    </row>
    <row r="789">
      <c r="C789" s="79"/>
      <c r="D789" s="79"/>
      <c r="E789" s="79"/>
      <c r="O789" s="79"/>
      <c r="S789" s="79"/>
      <c r="T789" s="79"/>
      <c r="Y789" s="79"/>
      <c r="AC789" s="130"/>
      <c r="AE789" s="106"/>
    </row>
    <row r="790">
      <c r="C790" s="79"/>
      <c r="D790" s="79"/>
      <c r="E790" s="79"/>
      <c r="O790" s="79"/>
      <c r="S790" s="79"/>
      <c r="T790" s="79"/>
      <c r="Y790" s="79"/>
      <c r="AC790" s="130"/>
      <c r="AE790" s="106"/>
    </row>
    <row r="791">
      <c r="C791" s="79"/>
      <c r="D791" s="79"/>
      <c r="E791" s="79"/>
      <c r="O791" s="79"/>
      <c r="S791" s="79"/>
      <c r="T791" s="79"/>
      <c r="Y791" s="79"/>
      <c r="AC791" s="130"/>
      <c r="AE791" s="106"/>
    </row>
    <row r="792">
      <c r="C792" s="79"/>
      <c r="D792" s="79"/>
      <c r="E792" s="79"/>
      <c r="O792" s="79"/>
      <c r="S792" s="79"/>
      <c r="T792" s="79"/>
      <c r="Y792" s="79"/>
      <c r="AC792" s="130"/>
      <c r="AE792" s="106"/>
    </row>
    <row r="793">
      <c r="C793" s="79"/>
      <c r="D793" s="79"/>
      <c r="E793" s="79"/>
      <c r="O793" s="79"/>
      <c r="S793" s="79"/>
      <c r="T793" s="79"/>
      <c r="Y793" s="79"/>
      <c r="AC793" s="130"/>
      <c r="AE793" s="106"/>
    </row>
    <row r="794">
      <c r="C794" s="79"/>
      <c r="D794" s="79"/>
      <c r="E794" s="79"/>
      <c r="O794" s="79"/>
      <c r="S794" s="79"/>
      <c r="T794" s="79"/>
      <c r="Y794" s="79"/>
      <c r="AC794" s="130"/>
      <c r="AE794" s="106"/>
    </row>
    <row r="795">
      <c r="C795" s="79"/>
      <c r="D795" s="79"/>
      <c r="E795" s="79"/>
      <c r="O795" s="79"/>
      <c r="S795" s="79"/>
      <c r="T795" s="79"/>
      <c r="Y795" s="79"/>
      <c r="AC795" s="130"/>
      <c r="AE795" s="106"/>
    </row>
    <row r="796">
      <c r="C796" s="79"/>
      <c r="D796" s="79"/>
      <c r="E796" s="79"/>
      <c r="O796" s="79"/>
      <c r="S796" s="79"/>
      <c r="T796" s="79"/>
      <c r="Y796" s="79"/>
      <c r="AC796" s="130"/>
      <c r="AE796" s="106"/>
    </row>
    <row r="797">
      <c r="C797" s="79"/>
      <c r="D797" s="79"/>
      <c r="E797" s="79"/>
      <c r="O797" s="79"/>
      <c r="S797" s="79"/>
      <c r="T797" s="79"/>
      <c r="Y797" s="79"/>
      <c r="AC797" s="130"/>
      <c r="AE797" s="106"/>
    </row>
    <row r="798">
      <c r="C798" s="79"/>
      <c r="D798" s="79"/>
      <c r="E798" s="79"/>
      <c r="O798" s="79"/>
      <c r="S798" s="79"/>
      <c r="T798" s="79"/>
      <c r="Y798" s="79"/>
      <c r="AC798" s="130"/>
      <c r="AE798" s="106"/>
    </row>
    <row r="799">
      <c r="C799" s="79"/>
      <c r="D799" s="79"/>
      <c r="E799" s="79"/>
      <c r="O799" s="79"/>
      <c r="S799" s="79"/>
      <c r="T799" s="79"/>
      <c r="Y799" s="79"/>
      <c r="AC799" s="130"/>
      <c r="AE799" s="106"/>
    </row>
    <row r="800">
      <c r="C800" s="79"/>
      <c r="D800" s="79"/>
      <c r="E800" s="79"/>
      <c r="O800" s="79"/>
      <c r="S800" s="79"/>
      <c r="T800" s="79"/>
      <c r="Y800" s="79"/>
      <c r="AC800" s="130"/>
      <c r="AE800" s="106"/>
    </row>
    <row r="801">
      <c r="C801" s="79"/>
      <c r="D801" s="79"/>
      <c r="E801" s="79"/>
      <c r="O801" s="79"/>
      <c r="S801" s="79"/>
      <c r="T801" s="79"/>
      <c r="Y801" s="79"/>
      <c r="AC801" s="130"/>
      <c r="AE801" s="106"/>
    </row>
    <row r="802">
      <c r="C802" s="79"/>
      <c r="D802" s="79"/>
      <c r="E802" s="79"/>
      <c r="O802" s="79"/>
      <c r="S802" s="79"/>
      <c r="T802" s="79"/>
      <c r="Y802" s="79"/>
      <c r="AC802" s="130"/>
      <c r="AE802" s="106"/>
    </row>
    <row r="803">
      <c r="C803" s="79"/>
      <c r="D803" s="79"/>
      <c r="E803" s="79"/>
      <c r="O803" s="79"/>
      <c r="S803" s="79"/>
      <c r="T803" s="79"/>
      <c r="Y803" s="79"/>
      <c r="AC803" s="130"/>
      <c r="AE803" s="106"/>
    </row>
    <row r="804">
      <c r="C804" s="79"/>
      <c r="D804" s="79"/>
      <c r="E804" s="79"/>
      <c r="O804" s="79"/>
      <c r="S804" s="79"/>
      <c r="T804" s="79"/>
      <c r="Y804" s="79"/>
      <c r="AC804" s="130"/>
      <c r="AE804" s="106"/>
    </row>
    <row r="805">
      <c r="C805" s="79"/>
      <c r="D805" s="79"/>
      <c r="E805" s="79"/>
      <c r="O805" s="79"/>
      <c r="S805" s="79"/>
      <c r="T805" s="79"/>
      <c r="Y805" s="79"/>
      <c r="AC805" s="130"/>
      <c r="AE805" s="106"/>
    </row>
    <row r="806">
      <c r="C806" s="79"/>
      <c r="D806" s="79"/>
      <c r="E806" s="79"/>
      <c r="O806" s="79"/>
      <c r="S806" s="79"/>
      <c r="T806" s="79"/>
      <c r="Y806" s="79"/>
      <c r="AC806" s="130"/>
      <c r="AE806" s="106"/>
    </row>
    <row r="807">
      <c r="C807" s="79"/>
      <c r="D807" s="79"/>
      <c r="E807" s="79"/>
      <c r="O807" s="79"/>
      <c r="S807" s="79"/>
      <c r="T807" s="79"/>
      <c r="Y807" s="79"/>
      <c r="AC807" s="130"/>
      <c r="AE807" s="106"/>
    </row>
    <row r="808">
      <c r="C808" s="79"/>
      <c r="D808" s="79"/>
      <c r="E808" s="79"/>
      <c r="O808" s="79"/>
      <c r="S808" s="79"/>
      <c r="T808" s="79"/>
      <c r="Y808" s="79"/>
      <c r="AC808" s="130"/>
      <c r="AE808" s="106"/>
    </row>
    <row r="809">
      <c r="C809" s="79"/>
      <c r="D809" s="79"/>
      <c r="E809" s="79"/>
      <c r="O809" s="79"/>
      <c r="S809" s="79"/>
      <c r="T809" s="79"/>
      <c r="Y809" s="79"/>
      <c r="AC809" s="130"/>
      <c r="AE809" s="106"/>
    </row>
    <row r="810">
      <c r="C810" s="79"/>
      <c r="D810" s="79"/>
      <c r="E810" s="79"/>
      <c r="O810" s="79"/>
      <c r="S810" s="79"/>
      <c r="T810" s="79"/>
      <c r="Y810" s="79"/>
      <c r="AC810" s="130"/>
      <c r="AE810" s="106"/>
    </row>
    <row r="811">
      <c r="C811" s="79"/>
      <c r="D811" s="79"/>
      <c r="E811" s="79"/>
      <c r="O811" s="79"/>
      <c r="S811" s="79"/>
      <c r="T811" s="79"/>
      <c r="Y811" s="79"/>
      <c r="AC811" s="130"/>
      <c r="AE811" s="106"/>
    </row>
    <row r="812">
      <c r="C812" s="79"/>
      <c r="D812" s="79"/>
      <c r="E812" s="79"/>
      <c r="O812" s="79"/>
      <c r="S812" s="79"/>
      <c r="T812" s="79"/>
      <c r="Y812" s="79"/>
      <c r="AC812" s="130"/>
      <c r="AE812" s="106"/>
    </row>
    <row r="813">
      <c r="C813" s="79"/>
      <c r="D813" s="79"/>
      <c r="E813" s="79"/>
      <c r="O813" s="79"/>
      <c r="S813" s="79"/>
      <c r="T813" s="79"/>
      <c r="Y813" s="79"/>
      <c r="AC813" s="130"/>
      <c r="AE813" s="106"/>
    </row>
    <row r="814">
      <c r="C814" s="79"/>
      <c r="D814" s="79"/>
      <c r="E814" s="79"/>
      <c r="O814" s="79"/>
      <c r="S814" s="79"/>
      <c r="T814" s="79"/>
      <c r="Y814" s="79"/>
      <c r="AC814" s="130"/>
      <c r="AE814" s="106"/>
    </row>
    <row r="815">
      <c r="C815" s="79"/>
      <c r="D815" s="79"/>
      <c r="E815" s="79"/>
      <c r="O815" s="79"/>
      <c r="S815" s="79"/>
      <c r="T815" s="79"/>
      <c r="Y815" s="79"/>
      <c r="AC815" s="130"/>
      <c r="AE815" s="106"/>
    </row>
    <row r="816">
      <c r="C816" s="79"/>
      <c r="D816" s="79"/>
      <c r="E816" s="79"/>
      <c r="O816" s="79"/>
      <c r="S816" s="79"/>
      <c r="T816" s="79"/>
      <c r="Y816" s="79"/>
      <c r="AC816" s="130"/>
      <c r="AE816" s="106"/>
    </row>
    <row r="817">
      <c r="C817" s="79"/>
      <c r="D817" s="79"/>
      <c r="E817" s="79"/>
      <c r="O817" s="79"/>
      <c r="S817" s="79"/>
      <c r="T817" s="79"/>
      <c r="Y817" s="79"/>
      <c r="AC817" s="130"/>
      <c r="AE817" s="106"/>
    </row>
    <row r="818">
      <c r="C818" s="79"/>
      <c r="D818" s="79"/>
      <c r="E818" s="79"/>
      <c r="O818" s="79"/>
      <c r="S818" s="79"/>
      <c r="T818" s="79"/>
      <c r="Y818" s="79"/>
      <c r="AC818" s="130"/>
      <c r="AE818" s="106"/>
    </row>
    <row r="819">
      <c r="C819" s="79"/>
      <c r="D819" s="79"/>
      <c r="E819" s="79"/>
      <c r="O819" s="79"/>
      <c r="S819" s="79"/>
      <c r="T819" s="79"/>
      <c r="Y819" s="79"/>
      <c r="AC819" s="130"/>
      <c r="AE819" s="106"/>
    </row>
    <row r="820">
      <c r="C820" s="79"/>
      <c r="D820" s="79"/>
      <c r="E820" s="79"/>
      <c r="O820" s="79"/>
      <c r="S820" s="79"/>
      <c r="T820" s="79"/>
      <c r="Y820" s="79"/>
      <c r="AC820" s="130"/>
      <c r="AE820" s="106"/>
    </row>
    <row r="821">
      <c r="C821" s="79"/>
      <c r="D821" s="79"/>
      <c r="E821" s="79"/>
      <c r="O821" s="79"/>
      <c r="S821" s="79"/>
      <c r="T821" s="79"/>
      <c r="Y821" s="79"/>
      <c r="AC821" s="130"/>
      <c r="AE821" s="106"/>
    </row>
    <row r="822">
      <c r="C822" s="79"/>
      <c r="D822" s="79"/>
      <c r="E822" s="79"/>
      <c r="O822" s="79"/>
      <c r="S822" s="79"/>
      <c r="T822" s="79"/>
      <c r="Y822" s="79"/>
      <c r="AC822" s="130"/>
      <c r="AE822" s="106"/>
    </row>
    <row r="823">
      <c r="C823" s="79"/>
      <c r="D823" s="79"/>
      <c r="E823" s="79"/>
      <c r="O823" s="79"/>
      <c r="S823" s="79"/>
      <c r="T823" s="79"/>
      <c r="Y823" s="79"/>
      <c r="AC823" s="130"/>
      <c r="AE823" s="106"/>
    </row>
    <row r="824">
      <c r="C824" s="79"/>
      <c r="D824" s="79"/>
      <c r="E824" s="79"/>
      <c r="O824" s="79"/>
      <c r="S824" s="79"/>
      <c r="T824" s="79"/>
      <c r="Y824" s="79"/>
      <c r="AC824" s="130"/>
      <c r="AE824" s="106"/>
    </row>
    <row r="825">
      <c r="C825" s="79"/>
      <c r="D825" s="79"/>
      <c r="E825" s="79"/>
      <c r="O825" s="79"/>
      <c r="S825" s="79"/>
      <c r="T825" s="79"/>
      <c r="Y825" s="79"/>
      <c r="AC825" s="130"/>
      <c r="AE825" s="106"/>
    </row>
    <row r="826">
      <c r="C826" s="79"/>
      <c r="D826" s="79"/>
      <c r="E826" s="79"/>
      <c r="O826" s="79"/>
      <c r="S826" s="79"/>
      <c r="T826" s="79"/>
      <c r="Y826" s="79"/>
      <c r="AC826" s="130"/>
      <c r="AE826" s="106"/>
    </row>
    <row r="827">
      <c r="C827" s="79"/>
      <c r="D827" s="79"/>
      <c r="E827" s="79"/>
      <c r="O827" s="79"/>
      <c r="S827" s="79"/>
      <c r="T827" s="79"/>
      <c r="Y827" s="79"/>
      <c r="AC827" s="130"/>
      <c r="AE827" s="106"/>
    </row>
    <row r="828">
      <c r="C828" s="79"/>
      <c r="D828" s="79"/>
      <c r="E828" s="79"/>
      <c r="O828" s="79"/>
      <c r="S828" s="79"/>
      <c r="T828" s="79"/>
      <c r="Y828" s="79"/>
      <c r="AC828" s="130"/>
      <c r="AE828" s="106"/>
    </row>
    <row r="829">
      <c r="C829" s="79"/>
      <c r="D829" s="79"/>
      <c r="E829" s="79"/>
      <c r="O829" s="79"/>
      <c r="S829" s="79"/>
      <c r="T829" s="79"/>
      <c r="Y829" s="79"/>
      <c r="AC829" s="130"/>
      <c r="AE829" s="106"/>
    </row>
    <row r="830">
      <c r="C830" s="79"/>
      <c r="D830" s="79"/>
      <c r="E830" s="79"/>
      <c r="O830" s="79"/>
      <c r="S830" s="79"/>
      <c r="T830" s="79"/>
      <c r="Y830" s="79"/>
      <c r="AC830" s="130"/>
      <c r="AE830" s="106"/>
    </row>
    <row r="831">
      <c r="C831" s="79"/>
      <c r="D831" s="79"/>
      <c r="E831" s="79"/>
      <c r="O831" s="79"/>
      <c r="S831" s="79"/>
      <c r="T831" s="79"/>
      <c r="Y831" s="79"/>
      <c r="AC831" s="130"/>
      <c r="AE831" s="106"/>
    </row>
    <row r="832">
      <c r="C832" s="79"/>
      <c r="D832" s="79"/>
      <c r="E832" s="79"/>
      <c r="O832" s="79"/>
      <c r="S832" s="79"/>
      <c r="T832" s="79"/>
      <c r="Y832" s="79"/>
      <c r="AC832" s="130"/>
      <c r="AE832" s="106"/>
    </row>
    <row r="833">
      <c r="C833" s="79"/>
      <c r="D833" s="79"/>
      <c r="E833" s="79"/>
      <c r="O833" s="79"/>
      <c r="S833" s="79"/>
      <c r="T833" s="79"/>
      <c r="Y833" s="79"/>
      <c r="AC833" s="130"/>
      <c r="AE833" s="106"/>
    </row>
    <row r="834">
      <c r="C834" s="79"/>
      <c r="D834" s="79"/>
      <c r="E834" s="79"/>
      <c r="O834" s="79"/>
      <c r="S834" s="79"/>
      <c r="T834" s="79"/>
      <c r="Y834" s="79"/>
      <c r="AC834" s="130"/>
      <c r="AE834" s="106"/>
    </row>
    <row r="835">
      <c r="C835" s="79"/>
      <c r="D835" s="79"/>
      <c r="E835" s="79"/>
      <c r="O835" s="79"/>
      <c r="S835" s="79"/>
      <c r="T835" s="79"/>
      <c r="Y835" s="79"/>
      <c r="AC835" s="130"/>
      <c r="AE835" s="106"/>
    </row>
    <row r="836">
      <c r="C836" s="79"/>
      <c r="D836" s="79"/>
      <c r="E836" s="79"/>
      <c r="O836" s="79"/>
      <c r="S836" s="79"/>
      <c r="T836" s="79"/>
      <c r="Y836" s="79"/>
      <c r="AC836" s="130"/>
      <c r="AE836" s="106"/>
    </row>
    <row r="837">
      <c r="C837" s="79"/>
      <c r="D837" s="79"/>
      <c r="E837" s="79"/>
      <c r="O837" s="79"/>
      <c r="S837" s="79"/>
      <c r="T837" s="79"/>
      <c r="Y837" s="79"/>
      <c r="AC837" s="130"/>
      <c r="AE837" s="106"/>
    </row>
    <row r="838">
      <c r="C838" s="79"/>
      <c r="D838" s="79"/>
      <c r="E838" s="79"/>
      <c r="O838" s="79"/>
      <c r="S838" s="79"/>
      <c r="T838" s="79"/>
      <c r="Y838" s="79"/>
      <c r="AC838" s="130"/>
      <c r="AE838" s="106"/>
    </row>
    <row r="839">
      <c r="C839" s="79"/>
      <c r="D839" s="79"/>
      <c r="E839" s="79"/>
      <c r="O839" s="79"/>
      <c r="S839" s="79"/>
      <c r="T839" s="79"/>
      <c r="Y839" s="79"/>
      <c r="AC839" s="130"/>
      <c r="AE839" s="106"/>
    </row>
    <row r="840">
      <c r="C840" s="79"/>
      <c r="D840" s="79"/>
      <c r="E840" s="79"/>
      <c r="O840" s="79"/>
      <c r="S840" s="79"/>
      <c r="T840" s="79"/>
      <c r="Y840" s="79"/>
      <c r="AC840" s="130"/>
      <c r="AE840" s="106"/>
    </row>
    <row r="841">
      <c r="C841" s="79"/>
      <c r="D841" s="79"/>
      <c r="E841" s="79"/>
      <c r="O841" s="79"/>
      <c r="S841" s="79"/>
      <c r="T841" s="79"/>
      <c r="Y841" s="79"/>
      <c r="AC841" s="130"/>
      <c r="AE841" s="106"/>
    </row>
    <row r="842">
      <c r="C842" s="79"/>
      <c r="D842" s="79"/>
      <c r="E842" s="79"/>
      <c r="O842" s="79"/>
      <c r="S842" s="79"/>
      <c r="T842" s="79"/>
      <c r="Y842" s="79"/>
      <c r="AC842" s="130"/>
      <c r="AE842" s="106"/>
    </row>
    <row r="843">
      <c r="C843" s="79"/>
      <c r="D843" s="79"/>
      <c r="E843" s="79"/>
      <c r="O843" s="79"/>
      <c r="S843" s="79"/>
      <c r="T843" s="79"/>
      <c r="Y843" s="79"/>
      <c r="AC843" s="130"/>
      <c r="AE843" s="106"/>
    </row>
    <row r="844">
      <c r="C844" s="79"/>
      <c r="D844" s="79"/>
      <c r="E844" s="79"/>
      <c r="O844" s="79"/>
      <c r="S844" s="79"/>
      <c r="T844" s="79"/>
      <c r="Y844" s="79"/>
      <c r="AC844" s="130"/>
      <c r="AE844" s="106"/>
    </row>
    <row r="845">
      <c r="C845" s="79"/>
      <c r="D845" s="79"/>
      <c r="E845" s="79"/>
      <c r="O845" s="79"/>
      <c r="S845" s="79"/>
      <c r="T845" s="79"/>
      <c r="Y845" s="79"/>
      <c r="AC845" s="130"/>
      <c r="AE845" s="106"/>
    </row>
    <row r="846">
      <c r="C846" s="79"/>
      <c r="D846" s="79"/>
      <c r="E846" s="79"/>
      <c r="O846" s="79"/>
      <c r="S846" s="79"/>
      <c r="T846" s="79"/>
      <c r="Y846" s="79"/>
      <c r="AC846" s="130"/>
      <c r="AE846" s="106"/>
    </row>
    <row r="847">
      <c r="C847" s="79"/>
      <c r="D847" s="79"/>
      <c r="E847" s="79"/>
      <c r="O847" s="79"/>
      <c r="S847" s="79"/>
      <c r="T847" s="79"/>
      <c r="Y847" s="79"/>
      <c r="AC847" s="130"/>
      <c r="AE847" s="106"/>
    </row>
    <row r="848">
      <c r="C848" s="79"/>
      <c r="D848" s="79"/>
      <c r="E848" s="79"/>
      <c r="O848" s="79"/>
      <c r="S848" s="79"/>
      <c r="T848" s="79"/>
      <c r="Y848" s="79"/>
      <c r="AC848" s="130"/>
      <c r="AE848" s="106"/>
    </row>
    <row r="849">
      <c r="C849" s="79"/>
      <c r="D849" s="79"/>
      <c r="E849" s="79"/>
      <c r="O849" s="79"/>
      <c r="S849" s="79"/>
      <c r="T849" s="79"/>
      <c r="Y849" s="79"/>
      <c r="AC849" s="130"/>
      <c r="AE849" s="106"/>
    </row>
    <row r="850">
      <c r="C850" s="79"/>
      <c r="D850" s="79"/>
      <c r="E850" s="79"/>
      <c r="O850" s="79"/>
      <c r="S850" s="79"/>
      <c r="T850" s="79"/>
      <c r="Y850" s="79"/>
      <c r="AC850" s="130"/>
      <c r="AE850" s="106"/>
    </row>
    <row r="851">
      <c r="C851" s="79"/>
      <c r="D851" s="79"/>
      <c r="E851" s="79"/>
      <c r="O851" s="79"/>
      <c r="S851" s="79"/>
      <c r="T851" s="79"/>
      <c r="Y851" s="79"/>
      <c r="AC851" s="130"/>
      <c r="AE851" s="106"/>
    </row>
    <row r="852">
      <c r="C852" s="79"/>
      <c r="D852" s="79"/>
      <c r="E852" s="79"/>
      <c r="O852" s="79"/>
      <c r="S852" s="79"/>
      <c r="T852" s="79"/>
      <c r="Y852" s="79"/>
      <c r="AC852" s="130"/>
      <c r="AE852" s="106"/>
    </row>
    <row r="853">
      <c r="C853" s="79"/>
      <c r="D853" s="79"/>
      <c r="E853" s="79"/>
      <c r="O853" s="79"/>
      <c r="S853" s="79"/>
      <c r="T853" s="79"/>
      <c r="Y853" s="79"/>
      <c r="AC853" s="130"/>
      <c r="AE853" s="106"/>
    </row>
    <row r="854">
      <c r="C854" s="79"/>
      <c r="D854" s="79"/>
      <c r="E854" s="79"/>
      <c r="O854" s="79"/>
      <c r="S854" s="79"/>
      <c r="T854" s="79"/>
      <c r="Y854" s="79"/>
      <c r="AC854" s="130"/>
      <c r="AE854" s="106"/>
    </row>
    <row r="855">
      <c r="C855" s="79"/>
      <c r="D855" s="79"/>
      <c r="E855" s="79"/>
      <c r="O855" s="79"/>
      <c r="S855" s="79"/>
      <c r="T855" s="79"/>
      <c r="Y855" s="79"/>
      <c r="AC855" s="130"/>
      <c r="AE855" s="106"/>
    </row>
    <row r="856">
      <c r="C856" s="79"/>
      <c r="D856" s="79"/>
      <c r="E856" s="79"/>
      <c r="O856" s="79"/>
      <c r="S856" s="79"/>
      <c r="T856" s="79"/>
      <c r="Y856" s="79"/>
      <c r="AC856" s="130"/>
      <c r="AE856" s="106"/>
    </row>
    <row r="857">
      <c r="C857" s="79"/>
      <c r="D857" s="79"/>
      <c r="E857" s="79"/>
      <c r="O857" s="79"/>
      <c r="S857" s="79"/>
      <c r="T857" s="79"/>
      <c r="Y857" s="79"/>
      <c r="AC857" s="130"/>
      <c r="AE857" s="106"/>
    </row>
    <row r="858">
      <c r="C858" s="79"/>
      <c r="D858" s="79"/>
      <c r="E858" s="79"/>
      <c r="O858" s="79"/>
      <c r="S858" s="79"/>
      <c r="T858" s="79"/>
      <c r="Y858" s="79"/>
      <c r="AC858" s="130"/>
      <c r="AE858" s="106"/>
    </row>
    <row r="859">
      <c r="C859" s="79"/>
      <c r="D859" s="79"/>
      <c r="E859" s="79"/>
      <c r="O859" s="79"/>
      <c r="S859" s="79"/>
      <c r="T859" s="79"/>
      <c r="Y859" s="79"/>
      <c r="AC859" s="130"/>
      <c r="AE859" s="106"/>
    </row>
    <row r="860">
      <c r="C860" s="79"/>
      <c r="D860" s="79"/>
      <c r="E860" s="79"/>
      <c r="O860" s="79"/>
      <c r="S860" s="79"/>
      <c r="T860" s="79"/>
      <c r="Y860" s="79"/>
      <c r="AC860" s="130"/>
      <c r="AE860" s="106"/>
    </row>
    <row r="861">
      <c r="C861" s="79"/>
      <c r="D861" s="79"/>
      <c r="E861" s="79"/>
      <c r="O861" s="79"/>
      <c r="S861" s="79"/>
      <c r="T861" s="79"/>
      <c r="Y861" s="79"/>
      <c r="AC861" s="130"/>
      <c r="AE861" s="106"/>
    </row>
    <row r="862">
      <c r="C862" s="79"/>
      <c r="D862" s="79"/>
      <c r="E862" s="79"/>
      <c r="O862" s="79"/>
      <c r="S862" s="79"/>
      <c r="T862" s="79"/>
      <c r="Y862" s="79"/>
      <c r="AC862" s="130"/>
      <c r="AE862" s="106"/>
    </row>
    <row r="863">
      <c r="C863" s="79"/>
      <c r="D863" s="79"/>
      <c r="E863" s="79"/>
      <c r="O863" s="79"/>
      <c r="S863" s="79"/>
      <c r="T863" s="79"/>
      <c r="Y863" s="79"/>
      <c r="AC863" s="130"/>
      <c r="AE863" s="106"/>
    </row>
    <row r="864">
      <c r="C864" s="79"/>
      <c r="D864" s="79"/>
      <c r="E864" s="79"/>
      <c r="O864" s="79"/>
      <c r="S864" s="79"/>
      <c r="T864" s="79"/>
      <c r="Y864" s="79"/>
      <c r="AC864" s="130"/>
      <c r="AE864" s="106"/>
    </row>
    <row r="865">
      <c r="C865" s="79"/>
      <c r="D865" s="79"/>
      <c r="E865" s="79"/>
      <c r="O865" s="79"/>
      <c r="S865" s="79"/>
      <c r="T865" s="79"/>
      <c r="Y865" s="79"/>
      <c r="AC865" s="130"/>
      <c r="AE865" s="106"/>
    </row>
    <row r="866">
      <c r="C866" s="79"/>
      <c r="D866" s="79"/>
      <c r="E866" s="79"/>
      <c r="O866" s="79"/>
      <c r="S866" s="79"/>
      <c r="T866" s="79"/>
      <c r="Y866" s="79"/>
      <c r="AC866" s="130"/>
      <c r="AE866" s="106"/>
    </row>
    <row r="867">
      <c r="C867" s="79"/>
      <c r="D867" s="79"/>
      <c r="E867" s="79"/>
      <c r="O867" s="79"/>
      <c r="S867" s="79"/>
      <c r="T867" s="79"/>
      <c r="Y867" s="79"/>
      <c r="AC867" s="130"/>
      <c r="AE867" s="106"/>
    </row>
    <row r="868">
      <c r="C868" s="79"/>
      <c r="D868" s="79"/>
      <c r="E868" s="79"/>
      <c r="O868" s="79"/>
      <c r="S868" s="79"/>
      <c r="T868" s="79"/>
      <c r="Y868" s="79"/>
      <c r="AC868" s="130"/>
      <c r="AE868" s="106"/>
    </row>
    <row r="869">
      <c r="C869" s="79"/>
      <c r="D869" s="79"/>
      <c r="E869" s="79"/>
      <c r="O869" s="79"/>
      <c r="S869" s="79"/>
      <c r="T869" s="79"/>
      <c r="Y869" s="79"/>
      <c r="AC869" s="130"/>
      <c r="AE869" s="106"/>
    </row>
    <row r="870">
      <c r="C870" s="79"/>
      <c r="D870" s="79"/>
      <c r="E870" s="79"/>
      <c r="O870" s="79"/>
      <c r="S870" s="79"/>
      <c r="T870" s="79"/>
      <c r="Y870" s="79"/>
      <c r="AC870" s="130"/>
      <c r="AE870" s="106"/>
    </row>
    <row r="871">
      <c r="C871" s="79"/>
      <c r="D871" s="79"/>
      <c r="E871" s="79"/>
      <c r="O871" s="79"/>
      <c r="S871" s="79"/>
      <c r="T871" s="79"/>
      <c r="Y871" s="79"/>
      <c r="AC871" s="130"/>
      <c r="AE871" s="106"/>
    </row>
    <row r="872">
      <c r="C872" s="79"/>
      <c r="D872" s="79"/>
      <c r="E872" s="79"/>
      <c r="O872" s="79"/>
      <c r="S872" s="79"/>
      <c r="T872" s="79"/>
      <c r="Y872" s="79"/>
      <c r="AC872" s="130"/>
      <c r="AE872" s="106"/>
    </row>
    <row r="873">
      <c r="C873" s="79"/>
      <c r="D873" s="79"/>
      <c r="E873" s="79"/>
      <c r="O873" s="79"/>
      <c r="S873" s="79"/>
      <c r="T873" s="79"/>
      <c r="Y873" s="79"/>
      <c r="AC873" s="130"/>
      <c r="AE873" s="106"/>
    </row>
    <row r="874">
      <c r="C874" s="79"/>
      <c r="D874" s="79"/>
      <c r="E874" s="79"/>
      <c r="O874" s="79"/>
      <c r="S874" s="79"/>
      <c r="T874" s="79"/>
      <c r="Y874" s="79"/>
      <c r="AC874" s="130"/>
      <c r="AE874" s="106"/>
    </row>
    <row r="875">
      <c r="C875" s="79"/>
      <c r="D875" s="79"/>
      <c r="E875" s="79"/>
      <c r="O875" s="79"/>
      <c r="S875" s="79"/>
      <c r="T875" s="79"/>
      <c r="Y875" s="79"/>
      <c r="AC875" s="130"/>
      <c r="AE875" s="106"/>
    </row>
    <row r="876">
      <c r="C876" s="79"/>
      <c r="D876" s="79"/>
      <c r="E876" s="79"/>
      <c r="O876" s="79"/>
      <c r="S876" s="79"/>
      <c r="T876" s="79"/>
      <c r="Y876" s="79"/>
      <c r="AC876" s="130"/>
      <c r="AE876" s="106"/>
    </row>
  </sheetData>
  <autoFilter ref="$A$44:$F$81">
    <sortState ref="A44:F81">
      <sortCondition descending="1" sortBy="cellColor" ref="E44:E81" dxfId="1"/>
      <sortCondition descending="1" sortBy="cellColor" ref="C44:C81" dxfId="1"/>
      <sortCondition descending="1" sortBy="cellColor" ref="A44:A81" dxfId="1"/>
    </sortState>
  </autoFilter>
  <mergeCells count="1">
    <mergeCell ref="B41:E41"/>
  </mergeCells>
  <drawing r:id="rId2"/>
  <legacyDrawing r:id="rId3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3" max="3" width="17.38"/>
    <col customWidth="1" min="5" max="5" width="15.63"/>
    <col customWidth="1" min="7" max="7" width="13.5"/>
    <col customWidth="1" min="8" max="8" width="13.25"/>
    <col customWidth="1" min="15" max="15" width="27.38"/>
    <col customWidth="1" min="26" max="26" width="14.63"/>
    <col customWidth="1" min="31" max="31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4</v>
      </c>
      <c r="J1" s="2" t="s">
        <v>5</v>
      </c>
      <c r="K1" s="2" t="s">
        <v>303</v>
      </c>
      <c r="L1" s="2" t="s">
        <v>6</v>
      </c>
      <c r="M1" s="2" t="s">
        <v>12</v>
      </c>
      <c r="N1" s="2" t="s">
        <v>49</v>
      </c>
      <c r="O1" s="105" t="s">
        <v>304</v>
      </c>
      <c r="P1" s="2" t="s">
        <v>37</v>
      </c>
      <c r="Q1" s="2" t="s">
        <v>10</v>
      </c>
      <c r="R1" s="2" t="s">
        <v>42</v>
      </c>
      <c r="S1" s="105" t="s">
        <v>484</v>
      </c>
      <c r="T1" s="105" t="s">
        <v>9</v>
      </c>
      <c r="U1" s="2" t="s">
        <v>164</v>
      </c>
      <c r="V1" s="105" t="s">
        <v>40</v>
      </c>
      <c r="W1" s="2" t="s">
        <v>83</v>
      </c>
      <c r="X1" s="2" t="s">
        <v>204</v>
      </c>
      <c r="Y1" s="105" t="s">
        <v>205</v>
      </c>
      <c r="Z1" s="2" t="s">
        <v>206</v>
      </c>
      <c r="AA1" s="2" t="s">
        <v>305</v>
      </c>
      <c r="AB1" s="3" t="s">
        <v>13</v>
      </c>
      <c r="AC1" s="3" t="s">
        <v>14</v>
      </c>
      <c r="AD1" s="3" t="s">
        <v>15</v>
      </c>
      <c r="AE1" s="106"/>
      <c r="AF1" s="265" t="s">
        <v>306</v>
      </c>
      <c r="AG1" s="266" t="s">
        <v>80</v>
      </c>
    </row>
    <row r="2">
      <c r="A2" s="74">
        <v>45530.0</v>
      </c>
      <c r="B2" s="93">
        <f>32.14+757.21-127.3+1126.02-13.15-39.17-33.83-62.55-14.91-11.71-13-25.56-24.04-16.97-52.53-16.8-27.82</f>
        <v>1436.03</v>
      </c>
      <c r="C2" s="93"/>
      <c r="D2" s="93"/>
      <c r="E2" s="93"/>
      <c r="F2" s="93"/>
      <c r="G2" s="93">
        <v>180.0</v>
      </c>
      <c r="H2" s="93"/>
      <c r="I2" s="93"/>
      <c r="J2" s="93"/>
      <c r="K2" s="93"/>
      <c r="L2" s="93"/>
      <c r="M2" s="93"/>
      <c r="N2" s="93">
        <v>168.0</v>
      </c>
      <c r="O2" s="93"/>
      <c r="P2" s="72"/>
      <c r="Q2" s="93"/>
      <c r="R2" s="93"/>
      <c r="S2" s="93"/>
      <c r="T2" s="93"/>
      <c r="U2" s="93"/>
      <c r="V2" s="93"/>
      <c r="W2" s="93"/>
      <c r="X2" s="93"/>
      <c r="Y2" s="93"/>
      <c r="Z2" s="93"/>
      <c r="AA2" s="386"/>
      <c r="AB2" s="107">
        <f>SUM(B2:AA2)</f>
        <v>1784.03</v>
      </c>
      <c r="AC2" s="158">
        <v>2389.53</v>
      </c>
      <c r="AD2" s="59">
        <f t="shared" ref="AD2:AD8" si="1">AB2/AC2</f>
        <v>0.7466028884</v>
      </c>
      <c r="AE2" s="109">
        <f t="shared" ref="AE2:AE8" si="2">A2</f>
        <v>45530</v>
      </c>
      <c r="AF2" s="267"/>
      <c r="AG2" s="268">
        <f t="shared" ref="AG2:AG8" si="3">AC2-AF2</f>
        <v>2389.53</v>
      </c>
    </row>
    <row r="3">
      <c r="A3" s="74">
        <f t="shared" ref="A3:A8" si="4">A2+1</f>
        <v>45531</v>
      </c>
      <c r="B3" s="93">
        <f>633.95-33.83-42.19-35.02-41.48-6.82-28.41-8.38+40.75-54.83</f>
        <v>423.74</v>
      </c>
      <c r="C3" s="93">
        <f>346-103.7</f>
        <v>242.3</v>
      </c>
      <c r="D3" s="93"/>
      <c r="E3" s="93"/>
      <c r="F3" s="93"/>
      <c r="G3" s="93"/>
      <c r="H3" s="168"/>
      <c r="I3" s="93">
        <f>733.3-588</f>
        <v>145.3</v>
      </c>
      <c r="J3" s="93">
        <f>500.7-148.5-203.7</f>
        <v>148.5</v>
      </c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326"/>
      <c r="AB3" s="107">
        <f t="shared" ref="AB3:AB8" si="5">SUM(B3:Z3)</f>
        <v>959.84</v>
      </c>
      <c r="AC3" s="158">
        <v>6894.33</v>
      </c>
      <c r="AD3" s="59">
        <f t="shared" si="1"/>
        <v>0.1392216503</v>
      </c>
      <c r="AE3" s="109">
        <f t="shared" si="2"/>
        <v>45531</v>
      </c>
      <c r="AF3" s="267"/>
      <c r="AG3" s="268">
        <f t="shared" si="3"/>
        <v>6894.33</v>
      </c>
    </row>
    <row r="4">
      <c r="A4" s="74">
        <f t="shared" si="4"/>
        <v>45532</v>
      </c>
      <c r="B4" s="93">
        <f>1568.99-359.29-70.8-18.62-15.62-95.9-10.21-18.61-62.94-45.69-39.17-33.83-24.04-82.96</f>
        <v>691.31</v>
      </c>
      <c r="C4" s="93"/>
      <c r="D4" s="93">
        <f>240.45-105.3</f>
        <v>135.15</v>
      </c>
      <c r="E4" s="93"/>
      <c r="F4" s="93"/>
      <c r="G4" s="93">
        <v>180.0</v>
      </c>
      <c r="H4" s="168"/>
      <c r="I4" s="93"/>
      <c r="J4" s="93"/>
      <c r="K4" s="93"/>
      <c r="L4" s="93">
        <v>28.0</v>
      </c>
      <c r="M4" s="93"/>
      <c r="N4" s="93"/>
      <c r="O4" s="93"/>
      <c r="P4" s="160"/>
      <c r="Q4" s="93"/>
      <c r="R4" s="93"/>
      <c r="S4" s="93"/>
      <c r="T4" s="93"/>
      <c r="U4" s="93"/>
      <c r="V4" s="93"/>
      <c r="W4" s="93"/>
      <c r="X4" s="93"/>
      <c r="Y4" s="93"/>
      <c r="Z4" s="101"/>
      <c r="AA4" s="326"/>
      <c r="AB4" s="107">
        <f t="shared" si="5"/>
        <v>1034.46</v>
      </c>
      <c r="AC4" s="380">
        <f>4043.25-576</f>
        <v>3467.25</v>
      </c>
      <c r="AD4" s="59">
        <f t="shared" si="1"/>
        <v>0.2983517197</v>
      </c>
      <c r="AE4" s="109">
        <f t="shared" si="2"/>
        <v>45532</v>
      </c>
      <c r="AF4" s="267"/>
      <c r="AG4" s="268">
        <f t="shared" si="3"/>
        <v>3467.25</v>
      </c>
    </row>
    <row r="5">
      <c r="A5" s="74">
        <f t="shared" si="4"/>
        <v>45533</v>
      </c>
      <c r="B5" s="93">
        <f>559.29-58.36-34.82-28.79-32.05</f>
        <v>405.27</v>
      </c>
      <c r="C5" s="93">
        <f>667.75-71-150</f>
        <v>446.75</v>
      </c>
      <c r="D5" s="93">
        <f>275.67-158.4</f>
        <v>117.27</v>
      </c>
      <c r="E5" s="93"/>
      <c r="F5" s="93"/>
      <c r="G5" s="93"/>
      <c r="H5" s="160"/>
      <c r="I5" s="93"/>
      <c r="J5" s="93"/>
      <c r="K5" s="93"/>
      <c r="L5" s="93"/>
      <c r="M5" s="93">
        <v>47.8</v>
      </c>
      <c r="N5" s="93"/>
      <c r="O5" s="93"/>
      <c r="P5" s="93"/>
      <c r="Q5" s="93"/>
      <c r="R5" s="93"/>
      <c r="S5" s="101"/>
      <c r="T5" s="93"/>
      <c r="U5" s="93"/>
      <c r="V5" s="93"/>
      <c r="W5" s="93"/>
      <c r="X5" s="93"/>
      <c r="Y5" s="101"/>
      <c r="Z5" s="101"/>
      <c r="AA5" s="327"/>
      <c r="AB5" s="7">
        <f t="shared" si="5"/>
        <v>1017.09</v>
      </c>
      <c r="AC5" s="380">
        <f>373+2042</f>
        <v>2415</v>
      </c>
      <c r="AD5" s="59">
        <f t="shared" si="1"/>
        <v>0.4211552795</v>
      </c>
      <c r="AE5" s="109">
        <f t="shared" si="2"/>
        <v>45533</v>
      </c>
      <c r="AF5" s="267"/>
      <c r="AG5" s="268">
        <f t="shared" si="3"/>
        <v>2415</v>
      </c>
    </row>
    <row r="6">
      <c r="A6" s="74">
        <f t="shared" si="4"/>
        <v>45534</v>
      </c>
      <c r="B6" s="93">
        <f>605.32-26.66-17.69-90-16.45-21.48-66.68-18.76</f>
        <v>347.6</v>
      </c>
      <c r="C6" s="361"/>
      <c r="D6" s="93"/>
      <c r="E6" s="93">
        <v>78.5</v>
      </c>
      <c r="F6" s="93"/>
      <c r="G6" s="93"/>
      <c r="H6" s="160"/>
      <c r="I6" s="93"/>
      <c r="J6" s="93"/>
      <c r="K6" s="93"/>
      <c r="L6" s="93">
        <v>166.4</v>
      </c>
      <c r="M6" s="93"/>
      <c r="N6" s="93"/>
      <c r="O6" s="93">
        <f>236+70</f>
        <v>306</v>
      </c>
      <c r="P6" s="93"/>
      <c r="Q6" s="93"/>
      <c r="R6" s="93"/>
      <c r="S6" s="93"/>
      <c r="T6" s="344">
        <f>895.25</f>
        <v>895.25</v>
      </c>
      <c r="U6" s="93"/>
      <c r="V6" s="93"/>
      <c r="W6" s="93"/>
      <c r="X6" s="93"/>
      <c r="Y6" s="93"/>
      <c r="Z6" s="93"/>
      <c r="AA6" s="327"/>
      <c r="AB6" s="7">
        <f t="shared" si="5"/>
        <v>1793.75</v>
      </c>
      <c r="AC6" s="380">
        <f>797+5503</f>
        <v>6300</v>
      </c>
      <c r="AD6" s="59">
        <f t="shared" si="1"/>
        <v>0.2847222222</v>
      </c>
      <c r="AE6" s="109">
        <f t="shared" si="2"/>
        <v>45534</v>
      </c>
      <c r="AF6" s="267"/>
      <c r="AG6" s="268">
        <f t="shared" si="3"/>
        <v>6300</v>
      </c>
    </row>
    <row r="7">
      <c r="A7" s="74">
        <f t="shared" si="4"/>
        <v>45535</v>
      </c>
      <c r="B7" s="93">
        <f>588.31-162.72-42.19</f>
        <v>383.4</v>
      </c>
      <c r="C7" s="361"/>
      <c r="D7" s="93">
        <v>29.95</v>
      </c>
      <c r="E7" s="93"/>
      <c r="F7" s="402"/>
      <c r="G7" s="93">
        <v>180.0</v>
      </c>
      <c r="H7" s="93"/>
      <c r="I7" s="402"/>
      <c r="J7" s="180">
        <v>284.9</v>
      </c>
      <c r="K7" s="93"/>
      <c r="L7" s="93"/>
      <c r="M7" s="93"/>
      <c r="N7" s="93"/>
      <c r="O7" s="93"/>
      <c r="P7" s="402"/>
      <c r="Q7" s="93"/>
      <c r="R7" s="93"/>
      <c r="S7" s="101"/>
      <c r="T7" s="93"/>
      <c r="U7" s="93"/>
      <c r="V7" s="93"/>
      <c r="W7" s="93"/>
      <c r="X7" s="93"/>
      <c r="Y7" s="101"/>
      <c r="Z7" s="93"/>
      <c r="AA7" s="327"/>
      <c r="AB7" s="7">
        <f t="shared" si="5"/>
        <v>878.25</v>
      </c>
      <c r="AC7" s="380">
        <f>2231+7573.4</f>
        <v>9804.4</v>
      </c>
      <c r="AD7" s="59">
        <f t="shared" si="1"/>
        <v>0.08957712864</v>
      </c>
      <c r="AE7" s="109">
        <f t="shared" si="2"/>
        <v>45535</v>
      </c>
      <c r="AF7" s="267"/>
      <c r="AG7" s="268">
        <f t="shared" si="3"/>
        <v>9804.4</v>
      </c>
    </row>
    <row r="8">
      <c r="A8" s="74">
        <f t="shared" si="4"/>
        <v>45536</v>
      </c>
      <c r="B8" s="344">
        <v>247.83</v>
      </c>
      <c r="C8" s="93"/>
      <c r="D8" s="344">
        <f>631.53-473.64</f>
        <v>157.89</v>
      </c>
      <c r="E8" s="112"/>
      <c r="F8" s="344">
        <v>558.9</v>
      </c>
      <c r="G8" s="10"/>
      <c r="H8" s="344">
        <f>1458.95/2</f>
        <v>729.475</v>
      </c>
      <c r="I8" s="344">
        <f>795.2/2</f>
        <v>397.6</v>
      </c>
      <c r="J8" s="344">
        <f>680.9</f>
        <v>680.9</v>
      </c>
      <c r="K8" s="93"/>
      <c r="L8" s="112"/>
      <c r="M8" s="112"/>
      <c r="N8" s="93"/>
      <c r="O8" s="93"/>
      <c r="P8" s="93"/>
      <c r="Q8" s="93"/>
      <c r="R8" s="374"/>
      <c r="S8" s="112"/>
      <c r="T8" s="344">
        <v>190.0</v>
      </c>
      <c r="U8" s="93"/>
      <c r="V8" s="112"/>
      <c r="W8" s="112"/>
      <c r="X8" s="112"/>
      <c r="Y8" s="112"/>
      <c r="Z8" s="112"/>
      <c r="AA8" s="93"/>
      <c r="AB8" s="7">
        <f t="shared" si="5"/>
        <v>2962.595</v>
      </c>
      <c r="AC8" s="380">
        <f>4475+3523</f>
        <v>7998</v>
      </c>
      <c r="AD8" s="59">
        <f t="shared" si="1"/>
        <v>0.3704169792</v>
      </c>
      <c r="AE8" s="109">
        <f t="shared" si="2"/>
        <v>45536</v>
      </c>
      <c r="AF8" s="267"/>
      <c r="AG8" s="268">
        <f t="shared" si="3"/>
        <v>7998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AC9" s="129"/>
      <c r="AE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AC10" s="129"/>
      <c r="AE10" s="106"/>
    </row>
    <row r="11">
      <c r="A11" s="165" t="s">
        <v>194</v>
      </c>
      <c r="B11" s="93">
        <f>127.3+13.15+39.17+62.55+25.56+24.04+33.83+42.19+35.02+39.17+24.04+58.36+28.79+32.05+16.45+18.76+42.19</f>
        <v>662.62</v>
      </c>
      <c r="C11" s="93">
        <v>71.0</v>
      </c>
      <c r="D11" s="93">
        <f>158.4+158.99</f>
        <v>317.39</v>
      </c>
      <c r="E11" s="167"/>
      <c r="F11" s="168"/>
      <c r="G11" s="168"/>
      <c r="H11" s="166"/>
      <c r="I11" s="166"/>
      <c r="J11" s="93"/>
      <c r="K11" s="168"/>
      <c r="L11" s="93"/>
      <c r="M11" s="166"/>
      <c r="N11" s="93"/>
      <c r="O11" s="168"/>
      <c r="P11" s="168"/>
      <c r="Q11" s="168"/>
      <c r="R11" s="168"/>
      <c r="S11" s="168"/>
      <c r="T11" s="168"/>
      <c r="U11" s="168"/>
      <c r="V11" s="168"/>
      <c r="W11" s="1"/>
      <c r="X11" s="168"/>
      <c r="Y11" s="168"/>
      <c r="Z11" s="1"/>
      <c r="AA11" s="1"/>
      <c r="AB11" s="1"/>
      <c r="AC11" s="169"/>
      <c r="AD11" s="1"/>
      <c r="AE11" s="170"/>
    </row>
    <row r="12">
      <c r="A12" s="165" t="s">
        <v>195</v>
      </c>
      <c r="B12" s="93">
        <f>183.75+14.91+11.71+13+41.48+6.82+28.41+8.38+359.29+70.8+18.62+15.62+95.9+10.21+18.61+62.94+45.69+33.83+82.96+34.82+26.66+17.69+90+21.48+66.68+162.72</f>
        <v>1542.98</v>
      </c>
      <c r="C12" s="93">
        <v>150.0</v>
      </c>
      <c r="D12" s="93">
        <v>105.3</v>
      </c>
      <c r="E12" s="93"/>
      <c r="F12" s="93"/>
      <c r="G12" s="93"/>
      <c r="H12" s="93"/>
      <c r="I12" s="93"/>
      <c r="J12" s="93">
        <f>148.5</f>
        <v>148.5</v>
      </c>
      <c r="K12" s="93"/>
      <c r="L12" s="93"/>
      <c r="M12" s="93"/>
      <c r="N12" s="93">
        <f>144+156</f>
        <v>300</v>
      </c>
      <c r="O12" s="168"/>
      <c r="P12" s="168"/>
      <c r="Q12" s="166"/>
      <c r="R12" s="166"/>
      <c r="S12" s="168"/>
      <c r="T12" s="166"/>
      <c r="U12" s="168"/>
      <c r="V12" s="168"/>
      <c r="W12" s="1"/>
      <c r="X12" s="93"/>
      <c r="Y12" s="168"/>
      <c r="Z12" s="1"/>
      <c r="AA12" s="1"/>
      <c r="AB12" s="1"/>
      <c r="AC12" s="171"/>
      <c r="AD12" s="1"/>
      <c r="AE12" s="170"/>
    </row>
    <row r="13">
      <c r="A13" s="172" t="s">
        <v>590</v>
      </c>
      <c r="B13" s="93">
        <f>16.97+52.53+16.8+27.82+52.83</f>
        <v>166.95</v>
      </c>
      <c r="C13" s="93">
        <v>103.7</v>
      </c>
      <c r="D13" s="344">
        <f>268+473.64</f>
        <v>741.64</v>
      </c>
      <c r="E13" s="168"/>
      <c r="F13" s="166"/>
      <c r="G13" s="166"/>
      <c r="H13" s="93"/>
      <c r="I13" s="344">
        <v>363.74</v>
      </c>
      <c r="J13" s="93"/>
      <c r="K13" s="166"/>
      <c r="L13" s="168"/>
      <c r="M13" s="168"/>
      <c r="N13" s="93"/>
      <c r="O13" s="93"/>
      <c r="P13" s="168"/>
      <c r="Q13" s="166"/>
      <c r="R13" s="168"/>
      <c r="S13" s="166"/>
      <c r="T13" s="168"/>
      <c r="U13" s="96"/>
      <c r="V13" s="1"/>
      <c r="W13" s="1"/>
      <c r="X13" s="168"/>
      <c r="Y13" s="168"/>
      <c r="Z13" s="1"/>
      <c r="AA13" s="1"/>
      <c r="AB13" s="1"/>
      <c r="AC13" s="174"/>
      <c r="AD13" s="1"/>
      <c r="AE13" s="170"/>
    </row>
    <row r="14">
      <c r="A14" s="172" t="s">
        <v>197</v>
      </c>
      <c r="B14" s="93"/>
      <c r="C14" s="93"/>
      <c r="D14" s="93"/>
      <c r="E14" s="168"/>
      <c r="F14" s="166"/>
      <c r="G14" s="166"/>
      <c r="H14" s="168"/>
      <c r="I14" s="168"/>
      <c r="J14" s="93"/>
      <c r="K14" s="168"/>
      <c r="L14" s="168"/>
      <c r="M14" s="168"/>
      <c r="N14" s="93"/>
      <c r="O14" s="168"/>
      <c r="P14" s="168"/>
      <c r="Q14" s="166"/>
      <c r="R14" s="168"/>
      <c r="S14" s="168"/>
      <c r="T14" s="168"/>
      <c r="U14" s="1"/>
      <c r="V14" s="1"/>
      <c r="W14" s="1"/>
      <c r="X14" s="168"/>
      <c r="Y14" s="168"/>
      <c r="Z14" s="1"/>
      <c r="AA14" s="1"/>
      <c r="AB14" s="1"/>
      <c r="AC14" s="174"/>
      <c r="AD14" s="1"/>
      <c r="AE14" s="170"/>
    </row>
    <row r="15">
      <c r="A15" s="165" t="s">
        <v>198</v>
      </c>
      <c r="B15" s="93">
        <v>33.83</v>
      </c>
      <c r="C15" s="93"/>
      <c r="D15" s="93"/>
      <c r="E15" s="168"/>
      <c r="F15" s="166"/>
      <c r="G15" s="166"/>
      <c r="H15" s="168"/>
      <c r="I15" s="168"/>
      <c r="J15" s="93"/>
      <c r="K15" s="168"/>
      <c r="L15" s="168"/>
      <c r="M15" s="168"/>
      <c r="N15" s="93"/>
      <c r="O15" s="168"/>
      <c r="P15" s="168"/>
      <c r="Q15" s="166"/>
      <c r="R15" s="168"/>
      <c r="S15" s="168"/>
      <c r="T15" s="168"/>
      <c r="U15" s="1"/>
      <c r="V15" s="1"/>
      <c r="W15" s="1"/>
      <c r="X15" s="168"/>
      <c r="Y15" s="168"/>
      <c r="Z15" s="1"/>
      <c r="AA15" s="1"/>
      <c r="AB15" s="1"/>
      <c r="AC15" s="174"/>
      <c r="AD15" s="1"/>
      <c r="AE15" s="170"/>
    </row>
    <row r="16">
      <c r="A16" s="91"/>
      <c r="B16" s="375"/>
      <c r="C16" s="79"/>
      <c r="D16" s="79"/>
      <c r="E16" s="79"/>
      <c r="F16" s="78"/>
      <c r="G16" s="78"/>
      <c r="I16" s="78"/>
      <c r="J16" s="79"/>
      <c r="K16" s="79"/>
      <c r="L16" s="79"/>
      <c r="M16" s="79"/>
      <c r="N16" s="79"/>
      <c r="O16" s="79"/>
      <c r="R16" s="79"/>
      <c r="S16" s="79"/>
      <c r="T16" s="79"/>
      <c r="Y16" s="79"/>
      <c r="AC16" s="131"/>
      <c r="AE16" s="106"/>
    </row>
    <row r="17">
      <c r="A17" s="91"/>
      <c r="B17" s="92"/>
      <c r="C17" s="192"/>
      <c r="D17" s="78"/>
      <c r="E17" s="151"/>
      <c r="F17" s="201"/>
      <c r="G17" s="248"/>
      <c r="H17" s="192"/>
      <c r="I17" s="198"/>
      <c r="J17" s="201"/>
      <c r="K17" s="199"/>
      <c r="L17" s="199"/>
      <c r="M17" s="200"/>
      <c r="N17" s="202"/>
      <c r="O17" s="198"/>
      <c r="R17" s="198"/>
      <c r="S17" s="79"/>
      <c r="T17" s="198"/>
      <c r="U17" s="198"/>
      <c r="V17" s="198"/>
      <c r="W17" s="198"/>
      <c r="X17" s="199"/>
      <c r="Y17" s="79"/>
      <c r="AC17" s="131"/>
      <c r="AE17" s="106"/>
    </row>
    <row r="18">
      <c r="A18" s="4" t="s">
        <v>22</v>
      </c>
      <c r="B18" s="11">
        <v>10000.0</v>
      </c>
      <c r="C18" s="79"/>
      <c r="D18" s="79"/>
      <c r="E18" s="78"/>
      <c r="F18" s="213"/>
      <c r="G18" s="224"/>
      <c r="H18" s="192"/>
      <c r="K18" s="403"/>
      <c r="L18" s="201"/>
      <c r="M18" s="198"/>
      <c r="N18" s="200"/>
      <c r="O18" s="198"/>
      <c r="P18" s="204"/>
      <c r="R18" s="203"/>
      <c r="S18" s="79"/>
      <c r="T18" s="198">
        <f>979/2</f>
        <v>489.5</v>
      </c>
      <c r="U18" s="198">
        <f>811.5/2</f>
        <v>405.75</v>
      </c>
      <c r="V18" s="198"/>
      <c r="W18" s="198"/>
      <c r="X18" s="201"/>
      <c r="Y18" s="79"/>
      <c r="AC18" s="131"/>
      <c r="AE18" s="106"/>
    </row>
    <row r="19">
      <c r="A19" s="4" t="s">
        <v>23</v>
      </c>
      <c r="B19" s="12">
        <f>SUM(B2:AA8)</f>
        <v>10430.015</v>
      </c>
      <c r="C19" s="192"/>
      <c r="D19" s="177"/>
      <c r="E19" s="151"/>
      <c r="F19" s="213"/>
      <c r="G19" s="224"/>
      <c r="H19" s="45"/>
      <c r="I19" s="175"/>
      <c r="K19" s="384"/>
      <c r="L19" s="201"/>
      <c r="M19" s="201"/>
      <c r="N19" s="201"/>
      <c r="O19" s="198"/>
      <c r="P19" s="204"/>
      <c r="R19" s="203"/>
      <c r="S19" s="79"/>
      <c r="T19" s="198"/>
      <c r="U19" s="198"/>
      <c r="V19" s="198"/>
      <c r="W19" s="198"/>
      <c r="X19" s="191"/>
      <c r="Y19" s="79"/>
      <c r="AC19" s="131"/>
      <c r="AE19" s="106"/>
    </row>
    <row r="20">
      <c r="A20" s="4" t="s">
        <v>24</v>
      </c>
      <c r="B20" s="12">
        <f> SUM(B18-B19)</f>
        <v>-430.015</v>
      </c>
      <c r="C20" s="79"/>
      <c r="D20" s="78"/>
      <c r="E20" s="151"/>
      <c r="F20" s="201"/>
      <c r="G20" s="199"/>
      <c r="H20" s="203"/>
      <c r="I20" s="203"/>
      <c r="K20" s="203"/>
      <c r="L20" s="199"/>
      <c r="M20" s="201"/>
      <c r="N20" s="200"/>
      <c r="O20" s="198"/>
      <c r="P20" s="204"/>
      <c r="R20" s="203"/>
      <c r="S20" s="79"/>
      <c r="T20" s="198"/>
      <c r="U20" s="198"/>
      <c r="V20" s="198"/>
      <c r="W20" s="198"/>
      <c r="X20" s="203"/>
      <c r="Y20" s="79"/>
      <c r="AC20" s="131"/>
      <c r="AE20" s="106"/>
    </row>
    <row r="21">
      <c r="C21" s="79"/>
      <c r="D21" s="79"/>
      <c r="E21" s="78"/>
      <c r="F21" s="213"/>
      <c r="G21" s="199"/>
      <c r="H21" s="175"/>
      <c r="I21" s="345"/>
      <c r="J21" s="78"/>
      <c r="K21" s="351"/>
      <c r="N21" s="198"/>
      <c r="O21" s="198"/>
      <c r="P21" s="204"/>
      <c r="R21" s="203"/>
      <c r="S21" s="79"/>
      <c r="T21" s="198"/>
      <c r="U21" s="206"/>
      <c r="V21" s="198"/>
      <c r="W21" s="198"/>
      <c r="X21" s="203"/>
      <c r="Y21" s="79"/>
      <c r="AC21" s="131"/>
      <c r="AE21" s="106"/>
    </row>
    <row r="22">
      <c r="A22" s="13" t="s">
        <v>25</v>
      </c>
      <c r="B22" s="14">
        <f>SUM(AC2:AC8)</f>
        <v>39268.51</v>
      </c>
      <c r="C22" s="79"/>
      <c r="D22" s="79"/>
      <c r="E22" s="78"/>
      <c r="F22" s="201"/>
      <c r="G22" s="199"/>
      <c r="H22" s="175"/>
      <c r="I22" s="203"/>
      <c r="J22" s="78"/>
      <c r="K22" s="203"/>
      <c r="L22" s="203"/>
      <c r="M22" s="203"/>
      <c r="N22" s="198"/>
      <c r="O22" s="198"/>
      <c r="P22" s="204"/>
      <c r="R22" s="203"/>
      <c r="S22" s="79"/>
      <c r="T22" s="198"/>
      <c r="U22" s="198"/>
      <c r="V22" s="198"/>
      <c r="W22" s="198"/>
      <c r="X22" s="203"/>
      <c r="Y22" s="79"/>
      <c r="AC22" s="181"/>
      <c r="AE22" s="106"/>
    </row>
    <row r="23">
      <c r="A23" s="13" t="s">
        <v>26</v>
      </c>
      <c r="B23" s="15">
        <f>B19/B22</f>
        <v>0.2656076077</v>
      </c>
      <c r="C23" s="79"/>
      <c r="D23" s="79"/>
      <c r="E23" s="78"/>
      <c r="F23" s="204"/>
      <c r="G23" s="199"/>
      <c r="H23" s="192"/>
      <c r="I23" s="203"/>
      <c r="J23" s="78"/>
      <c r="K23" s="203"/>
      <c r="L23" s="203"/>
      <c r="M23" s="203"/>
      <c r="N23" s="203"/>
      <c r="O23" s="198"/>
      <c r="P23" s="204"/>
      <c r="R23" s="203"/>
      <c r="S23" s="79"/>
      <c r="T23" s="198"/>
      <c r="U23" s="198"/>
      <c r="V23" s="198"/>
      <c r="W23" s="198"/>
      <c r="X23" s="203"/>
      <c r="Y23" s="79"/>
      <c r="AC23" s="130"/>
      <c r="AE23" s="106"/>
    </row>
    <row r="24">
      <c r="C24" s="79"/>
      <c r="D24" s="79"/>
      <c r="E24" s="78"/>
      <c r="F24" s="204"/>
      <c r="G24" s="78"/>
      <c r="H24" s="192"/>
      <c r="I24" s="78"/>
      <c r="J24" s="78"/>
      <c r="K24" s="203"/>
      <c r="L24" s="203"/>
      <c r="M24" s="203"/>
      <c r="N24" s="201"/>
      <c r="O24" s="198"/>
      <c r="P24" s="204"/>
      <c r="R24" s="198"/>
      <c r="S24" s="79"/>
      <c r="T24" s="198"/>
      <c r="U24" s="198"/>
      <c r="V24" s="198"/>
      <c r="W24" s="198"/>
      <c r="X24" s="203"/>
      <c r="Y24" s="79"/>
      <c r="AC24" s="182"/>
      <c r="AE24" s="106"/>
    </row>
    <row r="25">
      <c r="C25" s="79"/>
      <c r="D25" s="79"/>
      <c r="E25" s="79"/>
      <c r="F25" s="204"/>
      <c r="G25" s="78"/>
      <c r="H25" s="78"/>
      <c r="I25" s="203"/>
      <c r="J25" s="212"/>
      <c r="K25" s="203"/>
      <c r="L25" s="203"/>
      <c r="M25" s="203"/>
      <c r="N25" s="201"/>
      <c r="O25" s="198"/>
      <c r="P25" s="204"/>
      <c r="R25" s="198"/>
      <c r="S25" s="79"/>
      <c r="T25" s="198"/>
      <c r="U25" s="198"/>
      <c r="V25" s="198"/>
      <c r="W25" s="198"/>
      <c r="X25" s="203"/>
      <c r="Y25" s="79"/>
      <c r="AC25" s="130"/>
      <c r="AE25" s="106"/>
    </row>
    <row r="26">
      <c r="A26" s="16" t="s">
        <v>27</v>
      </c>
      <c r="B26" s="17"/>
      <c r="C26" s="114"/>
      <c r="D26" s="114"/>
      <c r="E26" s="115"/>
      <c r="F26" s="204"/>
      <c r="G26" s="78"/>
      <c r="H26" s="192"/>
      <c r="I26" s="78"/>
      <c r="J26" s="79"/>
      <c r="K26" s="203"/>
      <c r="L26" s="217"/>
      <c r="M26" s="208"/>
      <c r="N26" s="198"/>
      <c r="O26" s="198"/>
      <c r="P26" s="204"/>
      <c r="R26" s="200"/>
      <c r="S26" s="79"/>
      <c r="T26" s="198"/>
      <c r="U26" s="198"/>
      <c r="V26" s="198"/>
      <c r="W26" s="198"/>
      <c r="X26" s="203"/>
      <c r="Y26" s="79"/>
      <c r="AC26" s="130"/>
      <c r="AE26" s="106"/>
    </row>
    <row r="27">
      <c r="A27" s="19" t="s">
        <v>28</v>
      </c>
      <c r="B27" s="20"/>
      <c r="C27" s="116"/>
      <c r="D27" s="116"/>
      <c r="E27" s="117"/>
      <c r="F27" s="204"/>
      <c r="G27" s="212"/>
      <c r="H27" s="78"/>
      <c r="I27" s="224"/>
      <c r="J27" s="79"/>
      <c r="K27" s="203"/>
      <c r="L27" s="203"/>
      <c r="M27" s="209"/>
      <c r="N27" s="201"/>
      <c r="O27" s="198"/>
      <c r="P27" s="204"/>
      <c r="R27" s="198"/>
      <c r="S27" s="79"/>
      <c r="T27" s="198"/>
      <c r="U27" s="198"/>
      <c r="V27" s="198"/>
      <c r="W27" s="198"/>
      <c r="X27" s="203"/>
      <c r="Y27" s="79"/>
      <c r="AC27" s="130"/>
      <c r="AE27" s="106"/>
    </row>
    <row r="28">
      <c r="A28" s="183" t="s">
        <v>29</v>
      </c>
      <c r="B28" s="184" t="s">
        <v>30</v>
      </c>
      <c r="C28" s="183"/>
      <c r="D28" s="183" t="s">
        <v>170</v>
      </c>
      <c r="E28" s="219" t="s">
        <v>171</v>
      </c>
      <c r="F28" s="204"/>
      <c r="G28" s="79"/>
      <c r="H28" s="404"/>
      <c r="I28" s="79"/>
      <c r="J28" s="79"/>
      <c r="K28" s="203"/>
      <c r="L28" s="201"/>
      <c r="M28" s="209"/>
      <c r="N28" s="198"/>
      <c r="O28" s="198"/>
      <c r="P28" s="204"/>
      <c r="R28" s="198"/>
      <c r="S28" s="79"/>
      <c r="T28" s="198"/>
      <c r="U28" s="198"/>
      <c r="V28" s="198"/>
      <c r="W28" s="198"/>
      <c r="X28" s="203"/>
      <c r="Y28" s="79"/>
      <c r="Z28" s="195"/>
      <c r="AC28" s="130"/>
      <c r="AE28" s="106"/>
    </row>
    <row r="29">
      <c r="A29" s="405" t="s">
        <v>611</v>
      </c>
      <c r="B29" s="406">
        <f>1386-693+1578+1433.57</f>
        <v>3704.57</v>
      </c>
      <c r="C29" s="407"/>
      <c r="D29" s="407"/>
      <c r="E29" s="407"/>
      <c r="O29" s="79"/>
      <c r="S29" s="79"/>
      <c r="T29" s="79"/>
      <c r="Y29" s="79"/>
      <c r="AC29" s="130"/>
      <c r="AE29" s="106"/>
    </row>
    <row r="30">
      <c r="A30" s="316" t="s">
        <v>612</v>
      </c>
      <c r="B30" s="408">
        <f>582.82</f>
        <v>582.82</v>
      </c>
      <c r="C30" s="409"/>
      <c r="D30" s="409"/>
      <c r="E30" s="409"/>
      <c r="J30" s="389"/>
      <c r="O30" s="79"/>
      <c r="S30" s="79"/>
      <c r="T30" s="79"/>
      <c r="Y30" s="79"/>
      <c r="AC30" s="130"/>
      <c r="AE30" s="106"/>
    </row>
    <row r="31">
      <c r="A31" s="316" t="s">
        <v>549</v>
      </c>
      <c r="B31" s="408">
        <v>476.2</v>
      </c>
      <c r="C31" s="409"/>
      <c r="D31" s="409"/>
      <c r="E31" s="409"/>
      <c r="O31" s="79"/>
      <c r="S31" s="79"/>
      <c r="T31" s="79"/>
      <c r="Y31" s="79"/>
      <c r="AC31" s="130"/>
      <c r="AE31" s="106"/>
    </row>
    <row r="32">
      <c r="A32" s="316" t="s">
        <v>613</v>
      </c>
      <c r="B32" s="408">
        <f>979-489.5+811.5-405.75</f>
        <v>895.25</v>
      </c>
      <c r="C32" s="235"/>
      <c r="D32" s="235"/>
      <c r="E32" s="235"/>
      <c r="O32" s="79"/>
      <c r="S32" s="79"/>
      <c r="T32" s="79"/>
      <c r="Y32" s="79"/>
      <c r="AC32" s="130"/>
      <c r="AE32" s="106"/>
    </row>
    <row r="33">
      <c r="A33" s="410" t="s">
        <v>614</v>
      </c>
      <c r="B33" s="411">
        <f>763.39-381.7+588+203.7</f>
        <v>1173.39</v>
      </c>
      <c r="C33" s="412"/>
      <c r="D33" s="412"/>
      <c r="E33" s="412"/>
      <c r="O33" s="79"/>
      <c r="S33" s="79"/>
      <c r="T33" s="79"/>
      <c r="Y33" s="79"/>
      <c r="AC33" s="130"/>
      <c r="AE33" s="106"/>
    </row>
    <row r="34">
      <c r="A34" s="413" t="s">
        <v>615</v>
      </c>
      <c r="B34" s="414">
        <f>396+284.9</f>
        <v>680.9</v>
      </c>
      <c r="C34" s="415"/>
      <c r="D34" s="415"/>
      <c r="E34" s="415"/>
      <c r="O34" s="79"/>
      <c r="S34" s="79"/>
      <c r="T34" s="79"/>
      <c r="Y34" s="79"/>
      <c r="AC34" s="130"/>
      <c r="AE34" s="106"/>
    </row>
    <row r="35">
      <c r="A35" s="298" t="s">
        <v>616</v>
      </c>
      <c r="B35" s="416">
        <v>379.94</v>
      </c>
      <c r="C35" s="417"/>
      <c r="D35" s="417"/>
      <c r="E35" s="417"/>
      <c r="O35" s="79"/>
      <c r="S35" s="79"/>
      <c r="T35" s="79"/>
      <c r="Y35" s="79"/>
      <c r="AC35" s="130"/>
      <c r="AE35" s="106"/>
    </row>
    <row r="36">
      <c r="A36" s="298" t="s">
        <v>617</v>
      </c>
      <c r="B36" s="416">
        <f>1480.41</f>
        <v>1480.41</v>
      </c>
      <c r="C36" s="417"/>
      <c r="D36" s="417"/>
      <c r="E36" s="417"/>
      <c r="O36" s="79"/>
      <c r="S36" s="79"/>
      <c r="T36" s="79"/>
      <c r="Y36" s="79"/>
      <c r="AC36" s="130"/>
      <c r="AE36" s="106"/>
    </row>
    <row r="37">
      <c r="A37" s="298" t="s">
        <v>618</v>
      </c>
      <c r="B37" s="416">
        <v>830.91</v>
      </c>
      <c r="C37" s="417"/>
      <c r="D37" s="417"/>
      <c r="E37" s="417"/>
      <c r="O37" s="79"/>
      <c r="S37" s="79"/>
      <c r="T37" s="79"/>
      <c r="Y37" s="79"/>
      <c r="AC37" s="130"/>
      <c r="AE37" s="106"/>
    </row>
    <row r="38">
      <c r="A38" s="298" t="s">
        <v>619</v>
      </c>
      <c r="B38" s="416">
        <v>293.55</v>
      </c>
      <c r="C38" s="417"/>
      <c r="D38" s="417"/>
      <c r="E38" s="417"/>
      <c r="O38" s="79"/>
      <c r="S38" s="79"/>
      <c r="T38" s="79"/>
      <c r="Y38" s="79"/>
      <c r="AC38" s="130"/>
      <c r="AE38" s="106"/>
    </row>
    <row r="39">
      <c r="A39" s="298" t="s">
        <v>620</v>
      </c>
      <c r="B39" s="416">
        <v>1219.9</v>
      </c>
      <c r="C39" s="417"/>
      <c r="D39" s="417"/>
      <c r="E39" s="417"/>
      <c r="O39" s="79"/>
      <c r="S39" s="79"/>
      <c r="T39" s="79"/>
      <c r="Y39" s="79"/>
      <c r="AC39" s="130"/>
      <c r="AE39" s="106"/>
    </row>
    <row r="40">
      <c r="C40" s="79"/>
      <c r="D40" s="79"/>
      <c r="E40" s="79"/>
      <c r="O40" s="79"/>
      <c r="S40" s="79"/>
      <c r="T40" s="79"/>
      <c r="Y40" s="79"/>
      <c r="AC40" s="130"/>
      <c r="AE40" s="106"/>
    </row>
    <row r="41">
      <c r="A41" s="274"/>
      <c r="B41" s="275" t="s">
        <v>315</v>
      </c>
      <c r="F41" s="274"/>
      <c r="G41" s="274"/>
      <c r="H41" s="274"/>
      <c r="I41" s="274"/>
      <c r="J41" s="274"/>
      <c r="K41" s="274"/>
      <c r="L41" s="274"/>
      <c r="M41" s="274"/>
      <c r="N41" s="274"/>
      <c r="O41" s="274"/>
      <c r="P41" s="274"/>
      <c r="Q41" s="274"/>
      <c r="R41" s="274"/>
      <c r="S41" s="274"/>
      <c r="T41" s="274"/>
      <c r="U41" s="274"/>
      <c r="V41" s="274"/>
      <c r="W41" s="274"/>
      <c r="X41" s="274"/>
      <c r="Y41" s="274"/>
      <c r="Z41" s="274"/>
      <c r="AA41" s="274"/>
      <c r="AB41" s="274"/>
      <c r="AC41" s="276"/>
      <c r="AD41" s="274"/>
      <c r="AE41" s="277"/>
      <c r="AF41" s="274"/>
      <c r="AG41" s="274"/>
      <c r="AH41" s="274"/>
    </row>
    <row r="42">
      <c r="A42" s="16" t="s">
        <v>316</v>
      </c>
      <c r="B42" s="17"/>
      <c r="C42" s="114"/>
      <c r="D42" s="114"/>
      <c r="E42" s="115"/>
      <c r="O42" s="79"/>
      <c r="S42" s="79"/>
      <c r="T42" s="79"/>
      <c r="Y42" s="79"/>
      <c r="AC42" s="130"/>
      <c r="AE42" s="106"/>
    </row>
    <row r="43">
      <c r="A43" s="19" t="s">
        <v>317</v>
      </c>
      <c r="B43" s="20"/>
      <c r="C43" s="116"/>
      <c r="D43" s="116"/>
      <c r="E43" s="117"/>
      <c r="O43" s="79"/>
      <c r="S43" s="79"/>
      <c r="T43" s="79"/>
      <c r="Y43" s="79"/>
      <c r="AC43" s="130"/>
      <c r="AE43" s="106"/>
    </row>
    <row r="44">
      <c r="A44" s="278" t="s">
        <v>318</v>
      </c>
      <c r="B44" s="279" t="s">
        <v>319</v>
      </c>
      <c r="C44" s="280" t="s">
        <v>285</v>
      </c>
      <c r="D44" s="280" t="s">
        <v>30</v>
      </c>
      <c r="E44" s="281" t="s">
        <v>320</v>
      </c>
      <c r="F44" s="281" t="s">
        <v>321</v>
      </c>
      <c r="O44" s="79"/>
      <c r="S44" s="79"/>
      <c r="T44" s="79"/>
      <c r="Y44" s="79"/>
      <c r="AC44" s="130"/>
      <c r="AE44" s="106"/>
    </row>
    <row r="45" hidden="1">
      <c r="A45" s="304" t="s">
        <v>432</v>
      </c>
      <c r="B45" s="305">
        <v>45461.0</v>
      </c>
      <c r="C45" s="234" t="s">
        <v>325</v>
      </c>
      <c r="D45" s="178">
        <v>1211.18</v>
      </c>
      <c r="E45" s="308">
        <v>45489.0</v>
      </c>
      <c r="F45" s="307">
        <f t="shared" ref="F45:F46" si="6">D45/2</f>
        <v>605.59</v>
      </c>
      <c r="O45" s="79"/>
      <c r="S45" s="79"/>
      <c r="T45" s="79"/>
      <c r="Y45" s="79"/>
      <c r="AC45" s="130"/>
      <c r="AE45" s="106"/>
    </row>
    <row r="46">
      <c r="A46" s="304" t="s">
        <v>621</v>
      </c>
      <c r="B46" s="305">
        <v>45468.0</v>
      </c>
      <c r="C46" s="234" t="s">
        <v>325</v>
      </c>
      <c r="D46" s="178">
        <v>1263.05</v>
      </c>
      <c r="E46" s="308">
        <v>45496.0</v>
      </c>
      <c r="F46" s="307">
        <f t="shared" si="6"/>
        <v>631.525</v>
      </c>
      <c r="O46" s="79"/>
      <c r="S46" s="79"/>
      <c r="T46" s="79"/>
      <c r="Y46" s="79"/>
      <c r="AC46" s="130"/>
      <c r="AE46" s="106"/>
    </row>
    <row r="47">
      <c r="A47" s="304" t="s">
        <v>458</v>
      </c>
      <c r="B47" s="305">
        <v>45475.0</v>
      </c>
      <c r="C47" s="234" t="s">
        <v>325</v>
      </c>
      <c r="D47" s="178">
        <v>1249.27</v>
      </c>
      <c r="E47" s="308">
        <v>45503.0</v>
      </c>
      <c r="F47" s="235"/>
      <c r="O47" s="79"/>
      <c r="S47" s="79"/>
      <c r="T47" s="79"/>
      <c r="Y47" s="79"/>
      <c r="AC47" s="130"/>
      <c r="AE47" s="106"/>
    </row>
    <row r="48">
      <c r="A48" s="304" t="s">
        <v>472</v>
      </c>
      <c r="B48" s="305">
        <v>45482.0</v>
      </c>
      <c r="C48" s="234" t="s">
        <v>325</v>
      </c>
      <c r="D48" s="178">
        <v>1248.68</v>
      </c>
      <c r="E48" s="308">
        <v>45510.0</v>
      </c>
      <c r="F48" s="235"/>
      <c r="O48" s="79"/>
      <c r="S48" s="79"/>
      <c r="T48" s="79"/>
      <c r="Y48" s="79"/>
      <c r="AC48" s="130"/>
      <c r="AE48" s="106"/>
    </row>
    <row r="49">
      <c r="A49" s="304" t="s">
        <v>495</v>
      </c>
      <c r="B49" s="305">
        <v>45489.0</v>
      </c>
      <c r="C49" s="234" t="s">
        <v>325</v>
      </c>
      <c r="D49" s="178">
        <v>1228.43</v>
      </c>
      <c r="E49" s="308"/>
      <c r="F49" s="235"/>
      <c r="O49" s="79"/>
      <c r="S49" s="79"/>
      <c r="T49" s="79"/>
      <c r="Y49" s="79"/>
      <c r="AC49" s="130"/>
      <c r="AE49" s="106"/>
    </row>
    <row r="50">
      <c r="A50" s="304" t="s">
        <v>510</v>
      </c>
      <c r="B50" s="305">
        <v>45496.0</v>
      </c>
      <c r="C50" s="234" t="s">
        <v>325</v>
      </c>
      <c r="D50" s="178">
        <v>1194.77</v>
      </c>
      <c r="E50" s="308"/>
      <c r="F50" s="235"/>
      <c r="O50" s="79"/>
      <c r="S50" s="79"/>
      <c r="T50" s="79"/>
      <c r="Y50" s="79"/>
      <c r="AC50" s="130"/>
      <c r="AE50" s="106"/>
    </row>
    <row r="51">
      <c r="A51" s="304" t="s">
        <v>530</v>
      </c>
      <c r="B51" s="305">
        <v>45503.0</v>
      </c>
      <c r="C51" s="234" t="s">
        <v>325</v>
      </c>
      <c r="D51" s="178">
        <v>1211.18</v>
      </c>
      <c r="E51" s="308"/>
      <c r="F51" s="235"/>
      <c r="O51" s="79"/>
      <c r="S51" s="79"/>
      <c r="T51" s="79"/>
      <c r="Y51" s="79"/>
      <c r="AC51" s="130"/>
      <c r="AE51" s="106"/>
    </row>
    <row r="52">
      <c r="A52" s="304" t="s">
        <v>553</v>
      </c>
      <c r="B52" s="305">
        <v>45510.0</v>
      </c>
      <c r="C52" s="234" t="s">
        <v>325</v>
      </c>
      <c r="D52" s="178">
        <v>1409.57</v>
      </c>
      <c r="E52" s="308"/>
      <c r="F52" s="235"/>
      <c r="O52" s="79"/>
      <c r="S52" s="79"/>
      <c r="T52" s="79"/>
      <c r="Y52" s="79"/>
      <c r="AC52" s="130"/>
      <c r="AE52" s="106"/>
    </row>
    <row r="53">
      <c r="A53" s="304" t="s">
        <v>578</v>
      </c>
      <c r="B53" s="305">
        <v>45517.0</v>
      </c>
      <c r="C53" s="234" t="s">
        <v>325</v>
      </c>
      <c r="D53" s="178">
        <v>1391.12</v>
      </c>
      <c r="E53" s="308"/>
      <c r="F53" s="235"/>
      <c r="O53" s="79"/>
      <c r="S53" s="79"/>
      <c r="T53" s="79"/>
      <c r="Y53" s="79"/>
      <c r="AC53" s="130"/>
      <c r="AE53" s="106"/>
    </row>
    <row r="54">
      <c r="A54" s="304" t="s">
        <v>597</v>
      </c>
      <c r="B54" s="305">
        <v>45525.0</v>
      </c>
      <c r="C54" s="234" t="s">
        <v>325</v>
      </c>
      <c r="D54" s="178">
        <v>1420.83</v>
      </c>
      <c r="E54" s="308"/>
      <c r="F54" s="235"/>
      <c r="O54" s="79"/>
      <c r="S54" s="79"/>
      <c r="T54" s="79"/>
      <c r="Y54" s="79"/>
      <c r="AC54" s="130"/>
      <c r="AE54" s="106"/>
    </row>
    <row r="55">
      <c r="A55" s="304" t="s">
        <v>622</v>
      </c>
      <c r="B55" s="305">
        <v>45533.0</v>
      </c>
      <c r="C55" s="234" t="s">
        <v>325</v>
      </c>
      <c r="D55" s="178">
        <v>1404.36</v>
      </c>
      <c r="E55" s="308"/>
      <c r="F55" s="235"/>
      <c r="O55" s="79"/>
      <c r="S55" s="79"/>
      <c r="T55" s="79"/>
      <c r="Y55" s="79"/>
      <c r="AC55" s="130"/>
      <c r="AE55" s="106"/>
    </row>
    <row r="56">
      <c r="A56" s="282" t="s">
        <v>623</v>
      </c>
      <c r="B56" s="283">
        <v>45482.0</v>
      </c>
      <c r="C56" s="166" t="s">
        <v>482</v>
      </c>
      <c r="D56" s="93">
        <v>463.6</v>
      </c>
      <c r="E56" s="291"/>
      <c r="F56" s="6"/>
      <c r="O56" s="79"/>
      <c r="S56" s="79"/>
      <c r="T56" s="79"/>
      <c r="Y56" s="79"/>
      <c r="AC56" s="130"/>
      <c r="AE56" s="106"/>
    </row>
    <row r="57">
      <c r="A57" s="282" t="s">
        <v>537</v>
      </c>
      <c r="B57" s="283">
        <v>45506.0</v>
      </c>
      <c r="C57" s="166" t="s">
        <v>538</v>
      </c>
      <c r="D57" s="93">
        <v>1662.01</v>
      </c>
      <c r="E57" s="291"/>
      <c r="F57" s="6"/>
      <c r="O57" s="79"/>
      <c r="S57" s="79"/>
      <c r="T57" s="79"/>
      <c r="Y57" s="79"/>
      <c r="AC57" s="130"/>
      <c r="AE57" s="106"/>
    </row>
    <row r="58">
      <c r="A58" s="282" t="s">
        <v>580</v>
      </c>
      <c r="B58" s="283">
        <v>45517.0</v>
      </c>
      <c r="C58" s="166" t="s">
        <v>229</v>
      </c>
      <c r="D58" s="93">
        <v>795.2</v>
      </c>
      <c r="E58" s="337">
        <v>45535.0</v>
      </c>
      <c r="F58" s="6">
        <f>D58/2</f>
        <v>397.6</v>
      </c>
      <c r="O58" s="79"/>
      <c r="S58" s="79"/>
      <c r="T58" s="79"/>
      <c r="Y58" s="79"/>
      <c r="AC58" s="130"/>
      <c r="AE58" s="106"/>
    </row>
    <row r="59">
      <c r="A59" s="282" t="s">
        <v>598</v>
      </c>
      <c r="B59" s="283">
        <v>45526.0</v>
      </c>
      <c r="C59" s="166" t="s">
        <v>37</v>
      </c>
      <c r="D59" s="93">
        <v>375.0</v>
      </c>
      <c r="E59" s="291"/>
      <c r="F59" s="6"/>
      <c r="O59" s="79"/>
      <c r="S59" s="79"/>
      <c r="T59" s="79"/>
      <c r="Y59" s="79"/>
      <c r="AC59" s="130"/>
      <c r="AE59" s="106"/>
    </row>
    <row r="60">
      <c r="A60" s="282" t="s">
        <v>599</v>
      </c>
      <c r="B60" s="283">
        <v>45525.0</v>
      </c>
      <c r="C60" s="166" t="s">
        <v>600</v>
      </c>
      <c r="D60" s="180">
        <v>268.0</v>
      </c>
      <c r="E60" s="291"/>
      <c r="F60" s="6"/>
      <c r="O60" s="79"/>
      <c r="S60" s="79"/>
      <c r="T60" s="79"/>
      <c r="Y60" s="79"/>
      <c r="AC60" s="130"/>
      <c r="AE60" s="106"/>
    </row>
    <row r="61">
      <c r="A61" s="282" t="s">
        <v>603</v>
      </c>
      <c r="B61" s="283">
        <v>45527.0</v>
      </c>
      <c r="C61" s="166" t="s">
        <v>604</v>
      </c>
      <c r="D61" s="180">
        <v>247.83</v>
      </c>
      <c r="E61" s="291"/>
      <c r="F61" s="6"/>
      <c r="O61" s="79"/>
      <c r="S61" s="79"/>
      <c r="T61" s="79"/>
      <c r="Y61" s="79"/>
      <c r="AC61" s="130"/>
      <c r="AE61" s="106"/>
    </row>
    <row r="62">
      <c r="A62" s="282" t="s">
        <v>605</v>
      </c>
      <c r="B62" s="283">
        <v>45527.0</v>
      </c>
      <c r="C62" s="166" t="s">
        <v>233</v>
      </c>
      <c r="D62" s="180">
        <v>284.9</v>
      </c>
      <c r="E62" s="291"/>
      <c r="F62" s="6"/>
      <c r="O62" s="79"/>
      <c r="S62" s="79"/>
      <c r="T62" s="79"/>
      <c r="Y62" s="79"/>
      <c r="AC62" s="130"/>
      <c r="AE62" s="106"/>
    </row>
    <row r="63">
      <c r="A63" s="282" t="s">
        <v>606</v>
      </c>
      <c r="B63" s="283">
        <v>45524.0</v>
      </c>
      <c r="C63" s="166" t="s">
        <v>536</v>
      </c>
      <c r="D63" s="93">
        <v>1160.0</v>
      </c>
      <c r="E63" s="291"/>
      <c r="F63" s="6"/>
      <c r="O63" s="79"/>
      <c r="S63" s="79"/>
      <c r="T63" s="79"/>
      <c r="Y63" s="79"/>
      <c r="AC63" s="130"/>
      <c r="AE63" s="106"/>
    </row>
    <row r="64">
      <c r="A64" s="282" t="s">
        <v>607</v>
      </c>
      <c r="B64" s="283">
        <v>45528.0</v>
      </c>
      <c r="C64" s="166" t="s">
        <v>608</v>
      </c>
      <c r="D64" s="180">
        <v>363.74</v>
      </c>
      <c r="E64" s="291" t="s">
        <v>609</v>
      </c>
      <c r="F64" s="6"/>
      <c r="O64" s="79"/>
      <c r="S64" s="79"/>
      <c r="T64" s="79"/>
      <c r="Y64" s="79"/>
      <c r="AC64" s="130"/>
      <c r="AE64" s="106"/>
    </row>
    <row r="65">
      <c r="A65" s="282" t="s">
        <v>610</v>
      </c>
      <c r="B65" s="283">
        <v>45525.0</v>
      </c>
      <c r="C65" s="166" t="s">
        <v>355</v>
      </c>
      <c r="D65" s="180">
        <f>558.9-15</f>
        <v>543.9</v>
      </c>
      <c r="E65" s="291"/>
      <c r="F65" s="6"/>
      <c r="O65" s="79"/>
      <c r="S65" s="79"/>
      <c r="T65" s="79"/>
      <c r="Y65" s="79"/>
      <c r="AC65" s="130"/>
      <c r="AE65" s="106"/>
    </row>
    <row r="66">
      <c r="A66" s="282" t="s">
        <v>9</v>
      </c>
      <c r="B66" s="283">
        <v>45528.0</v>
      </c>
      <c r="C66" s="166" t="s">
        <v>624</v>
      </c>
      <c r="D66" s="93">
        <v>190.0</v>
      </c>
      <c r="E66" s="291"/>
      <c r="F66" s="6"/>
      <c r="O66" s="79"/>
      <c r="S66" s="79"/>
      <c r="T66" s="79"/>
      <c r="Y66" s="79"/>
      <c r="AC66" s="130"/>
      <c r="AE66" s="106"/>
    </row>
    <row r="67">
      <c r="A67" s="282" t="s">
        <v>625</v>
      </c>
      <c r="B67" s="283">
        <v>45531.0</v>
      </c>
      <c r="C67" s="166" t="s">
        <v>626</v>
      </c>
      <c r="D67" s="5">
        <v>203.7</v>
      </c>
      <c r="E67" s="291"/>
      <c r="F67" s="6"/>
      <c r="O67" s="79"/>
      <c r="S67" s="79"/>
      <c r="T67" s="79"/>
      <c r="Y67" s="79"/>
      <c r="AC67" s="130"/>
      <c r="AE67" s="106"/>
    </row>
    <row r="68">
      <c r="A68" s="282" t="s">
        <v>627</v>
      </c>
      <c r="B68" s="283">
        <v>45531.0</v>
      </c>
      <c r="C68" s="166" t="s">
        <v>626</v>
      </c>
      <c r="D68" s="5">
        <v>588.0</v>
      </c>
      <c r="E68" s="291"/>
      <c r="F68" s="6"/>
      <c r="O68" s="79"/>
      <c r="S68" s="79"/>
      <c r="T68" s="79"/>
      <c r="Y68" s="79"/>
      <c r="AC68" s="130"/>
      <c r="AE68" s="106"/>
    </row>
    <row r="69">
      <c r="A69" s="282" t="s">
        <v>628</v>
      </c>
      <c r="B69" s="283">
        <v>45532.0</v>
      </c>
      <c r="C69" s="166" t="s">
        <v>355</v>
      </c>
      <c r="D69" s="93">
        <f>379.94-15</f>
        <v>364.94</v>
      </c>
      <c r="E69" s="291"/>
      <c r="F69" s="6"/>
      <c r="O69" s="79"/>
      <c r="S69" s="79"/>
      <c r="T69" s="79"/>
      <c r="Y69" s="79"/>
      <c r="AC69" s="130"/>
      <c r="AE69" s="106"/>
    </row>
    <row r="70">
      <c r="A70" s="282" t="s">
        <v>629</v>
      </c>
      <c r="B70" s="283">
        <v>45534.0</v>
      </c>
      <c r="C70" s="166" t="s">
        <v>630</v>
      </c>
      <c r="D70" s="93">
        <v>1509.02</v>
      </c>
      <c r="E70" s="291"/>
      <c r="F70" s="6"/>
      <c r="O70" s="79"/>
      <c r="S70" s="79"/>
      <c r="T70" s="79"/>
      <c r="Y70" s="79"/>
      <c r="AC70" s="130"/>
      <c r="AE70" s="106"/>
    </row>
    <row r="71">
      <c r="A71" s="282" t="s">
        <v>631</v>
      </c>
      <c r="B71" s="283">
        <v>45534.0</v>
      </c>
      <c r="C71" s="166" t="s">
        <v>632</v>
      </c>
      <c r="D71" s="180">
        <v>680.9</v>
      </c>
      <c r="E71" s="291"/>
      <c r="F71" s="6"/>
      <c r="O71" s="79"/>
      <c r="S71" s="79"/>
      <c r="T71" s="79"/>
      <c r="Y71" s="79"/>
      <c r="AC71" s="130"/>
      <c r="AE71" s="106"/>
    </row>
    <row r="72">
      <c r="A72" s="282" t="s">
        <v>633</v>
      </c>
      <c r="B72" s="283">
        <v>45535.0</v>
      </c>
      <c r="C72" s="166"/>
      <c r="D72" s="93">
        <f>90.57+46.8+88.88+87.37+162.72+250.97+13.41+52.57+64.08+43.21+24.91+59.21+30.08+28.41+24.91+45.8+49</f>
        <v>1162.9</v>
      </c>
      <c r="E72" s="291"/>
      <c r="F72" s="6"/>
      <c r="O72" s="79"/>
      <c r="S72" s="79"/>
      <c r="T72" s="79"/>
      <c r="Y72" s="79"/>
      <c r="AC72" s="130"/>
      <c r="AE72" s="106"/>
    </row>
    <row r="73">
      <c r="A73" s="282" t="s">
        <v>634</v>
      </c>
      <c r="B73" s="283">
        <v>45535.0</v>
      </c>
      <c r="C73" s="166" t="s">
        <v>635</v>
      </c>
      <c r="D73" s="93">
        <v>293.55</v>
      </c>
      <c r="E73" s="291"/>
      <c r="F73" s="6"/>
      <c r="O73" s="79"/>
      <c r="S73" s="79"/>
      <c r="T73" s="79"/>
      <c r="Y73" s="79"/>
      <c r="AC73" s="130"/>
      <c r="AE73" s="106"/>
    </row>
    <row r="74">
      <c r="A74" s="282"/>
      <c r="B74" s="283"/>
      <c r="C74" s="166"/>
      <c r="D74" s="93"/>
      <c r="E74" s="291"/>
      <c r="F74" s="6"/>
      <c r="O74" s="79"/>
      <c r="S74" s="79"/>
      <c r="T74" s="79"/>
      <c r="Y74" s="79"/>
      <c r="AC74" s="130"/>
      <c r="AE74" s="106"/>
    </row>
    <row r="75">
      <c r="A75" s="282"/>
      <c r="B75" s="283"/>
      <c r="C75" s="166"/>
      <c r="D75" s="93"/>
      <c r="E75" s="291"/>
      <c r="F75" s="6"/>
      <c r="O75" s="79"/>
      <c r="S75" s="79"/>
      <c r="T75" s="79"/>
      <c r="Y75" s="79"/>
      <c r="AC75" s="130"/>
      <c r="AE75" s="106"/>
    </row>
    <row r="76">
      <c r="A76" s="282"/>
      <c r="B76" s="283"/>
      <c r="C76" s="166"/>
      <c r="D76" s="93"/>
      <c r="E76" s="291"/>
      <c r="F76" s="6"/>
      <c r="O76" s="79"/>
      <c r="S76" s="79"/>
      <c r="T76" s="79"/>
      <c r="Y76" s="79"/>
      <c r="AC76" s="130"/>
      <c r="AE76" s="106"/>
    </row>
    <row r="77">
      <c r="A77" s="282"/>
      <c r="B77" s="283"/>
      <c r="C77" s="166"/>
      <c r="D77" s="93"/>
      <c r="E77" s="291"/>
      <c r="F77" s="6"/>
      <c r="O77" s="79"/>
      <c r="S77" s="79"/>
      <c r="T77" s="79"/>
      <c r="Y77" s="79"/>
      <c r="AC77" s="130"/>
      <c r="AE77" s="106"/>
    </row>
    <row r="78">
      <c r="A78" s="282"/>
      <c r="B78" s="283"/>
      <c r="C78" s="166"/>
      <c r="D78" s="93"/>
      <c r="E78" s="291"/>
      <c r="F78" s="6"/>
      <c r="O78" s="79"/>
      <c r="S78" s="79"/>
      <c r="T78" s="79"/>
      <c r="Y78" s="79"/>
      <c r="AC78" s="130"/>
      <c r="AE78" s="106"/>
    </row>
    <row r="79">
      <c r="A79" s="282"/>
      <c r="B79" s="283"/>
      <c r="C79" s="166"/>
      <c r="D79" s="93"/>
      <c r="E79" s="291"/>
      <c r="F79" s="6"/>
      <c r="O79" s="79"/>
      <c r="S79" s="79"/>
      <c r="T79" s="79"/>
      <c r="Y79" s="79"/>
      <c r="AC79" s="130"/>
      <c r="AE79" s="106"/>
    </row>
    <row r="80">
      <c r="A80" s="282"/>
      <c r="B80" s="283"/>
      <c r="C80" s="166"/>
      <c r="D80" s="93"/>
      <c r="E80" s="291"/>
      <c r="F80" s="6"/>
      <c r="O80" s="79"/>
      <c r="S80" s="79"/>
      <c r="T80" s="79"/>
      <c r="Y80" s="79"/>
      <c r="AC80" s="130"/>
      <c r="AE80" s="106"/>
    </row>
    <row r="81">
      <c r="A81" s="282"/>
      <c r="B81" s="283"/>
      <c r="C81" s="166"/>
      <c r="D81" s="93"/>
      <c r="E81" s="291"/>
      <c r="F81" s="6"/>
      <c r="O81" s="79"/>
      <c r="S81" s="79"/>
      <c r="T81" s="79"/>
      <c r="Y81" s="79"/>
      <c r="AC81" s="130"/>
      <c r="AE81" s="106"/>
    </row>
    <row r="82">
      <c r="A82" s="282"/>
      <c r="B82" s="283"/>
      <c r="C82" s="166"/>
      <c r="D82" s="93"/>
      <c r="E82" s="291"/>
      <c r="F82" s="6"/>
      <c r="O82" s="79"/>
      <c r="S82" s="79"/>
      <c r="T82" s="79"/>
      <c r="Y82" s="79"/>
      <c r="AC82" s="130"/>
      <c r="AE82" s="106"/>
    </row>
    <row r="83">
      <c r="C83" s="79"/>
      <c r="D83" s="79"/>
      <c r="E83" s="79"/>
      <c r="O83" s="79"/>
      <c r="S83" s="79"/>
      <c r="T83" s="79"/>
      <c r="Y83" s="79"/>
      <c r="AC83" s="130"/>
      <c r="AE83" s="106"/>
    </row>
    <row r="84">
      <c r="C84" s="79"/>
      <c r="D84" s="79"/>
      <c r="E84" s="79"/>
      <c r="O84" s="79"/>
      <c r="S84" s="79"/>
      <c r="T84" s="79"/>
      <c r="Y84" s="79"/>
      <c r="AC84" s="130"/>
      <c r="AE84" s="106"/>
    </row>
    <row r="85">
      <c r="C85" s="79"/>
      <c r="D85" s="79"/>
      <c r="E85" s="79"/>
      <c r="O85" s="79"/>
      <c r="S85" s="79"/>
      <c r="T85" s="79"/>
      <c r="Y85" s="79"/>
      <c r="AC85" s="130"/>
      <c r="AE85" s="106"/>
    </row>
    <row r="86">
      <c r="C86" s="79"/>
      <c r="D86" s="79"/>
      <c r="E86" s="79"/>
      <c r="O86" s="79"/>
      <c r="S86" s="79"/>
      <c r="T86" s="79"/>
      <c r="Y86" s="79"/>
      <c r="AC86" s="130"/>
      <c r="AE86" s="106"/>
    </row>
    <row r="87">
      <c r="C87" s="79"/>
      <c r="D87" s="79"/>
      <c r="E87" s="79"/>
      <c r="O87" s="79"/>
      <c r="S87" s="79"/>
      <c r="T87" s="79"/>
      <c r="Y87" s="79"/>
      <c r="AC87" s="130"/>
      <c r="AE87" s="106"/>
    </row>
    <row r="88">
      <c r="C88" s="79"/>
      <c r="D88" s="79"/>
      <c r="E88" s="79"/>
      <c r="O88" s="79"/>
      <c r="S88" s="79"/>
      <c r="T88" s="79"/>
      <c r="Y88" s="79"/>
      <c r="AC88" s="130"/>
      <c r="AE88" s="106"/>
    </row>
    <row r="89">
      <c r="C89" s="79"/>
      <c r="D89" s="79"/>
      <c r="E89" s="79"/>
      <c r="O89" s="79"/>
      <c r="S89" s="79"/>
      <c r="T89" s="79"/>
      <c r="Y89" s="79"/>
      <c r="AC89" s="130"/>
      <c r="AE89" s="106"/>
    </row>
    <row r="90">
      <c r="C90" s="79"/>
      <c r="D90" s="79"/>
      <c r="E90" s="79"/>
      <c r="O90" s="79"/>
      <c r="S90" s="79"/>
      <c r="T90" s="79"/>
      <c r="Y90" s="79"/>
      <c r="AC90" s="130"/>
      <c r="AE90" s="106"/>
    </row>
    <row r="91">
      <c r="C91" s="79"/>
      <c r="D91" s="79"/>
      <c r="E91" s="79"/>
      <c r="O91" s="79"/>
      <c r="S91" s="79"/>
      <c r="T91" s="79"/>
      <c r="Y91" s="79"/>
      <c r="AC91" s="130"/>
      <c r="AE91" s="106"/>
    </row>
    <row r="92">
      <c r="C92" s="79"/>
      <c r="D92" s="79"/>
      <c r="E92" s="79"/>
      <c r="O92" s="79"/>
      <c r="S92" s="79"/>
      <c r="T92" s="79"/>
      <c r="Y92" s="79"/>
      <c r="AC92" s="130"/>
      <c r="AE92" s="106"/>
    </row>
    <row r="93">
      <c r="C93" s="79"/>
      <c r="D93" s="79"/>
      <c r="E93" s="79"/>
      <c r="O93" s="79"/>
      <c r="S93" s="79"/>
      <c r="T93" s="79"/>
      <c r="Y93" s="79"/>
      <c r="AC93" s="130"/>
      <c r="AE93" s="106"/>
    </row>
    <row r="94">
      <c r="C94" s="79"/>
      <c r="D94" s="79"/>
      <c r="E94" s="79"/>
      <c r="O94" s="79"/>
      <c r="S94" s="79"/>
      <c r="T94" s="79"/>
      <c r="Y94" s="79"/>
      <c r="AC94" s="130"/>
      <c r="AE94" s="106"/>
    </row>
    <row r="95">
      <c r="C95" s="79"/>
      <c r="D95" s="79"/>
      <c r="E95" s="79"/>
      <c r="O95" s="79"/>
      <c r="S95" s="79"/>
      <c r="T95" s="79"/>
      <c r="Y95" s="79"/>
      <c r="AC95" s="130"/>
      <c r="AE95" s="106"/>
    </row>
    <row r="96">
      <c r="C96" s="79"/>
      <c r="D96" s="79"/>
      <c r="E96" s="79"/>
      <c r="O96" s="79"/>
      <c r="S96" s="79"/>
      <c r="T96" s="79"/>
      <c r="Y96" s="79"/>
      <c r="AC96" s="130"/>
      <c r="AE96" s="106"/>
    </row>
    <row r="97">
      <c r="C97" s="79"/>
      <c r="D97" s="79"/>
      <c r="E97" s="79"/>
      <c r="O97" s="79"/>
      <c r="S97" s="79"/>
      <c r="T97" s="79"/>
      <c r="Y97" s="79"/>
      <c r="AC97" s="130"/>
      <c r="AE97" s="106"/>
    </row>
    <row r="98">
      <c r="C98" s="79"/>
      <c r="D98" s="79"/>
      <c r="E98" s="79"/>
      <c r="O98" s="79"/>
      <c r="S98" s="79"/>
      <c r="T98" s="79"/>
      <c r="Y98" s="79"/>
      <c r="AC98" s="130"/>
      <c r="AE98" s="106"/>
    </row>
    <row r="99">
      <c r="C99" s="79"/>
      <c r="D99" s="79"/>
      <c r="E99" s="79"/>
      <c r="O99" s="79"/>
      <c r="S99" s="79"/>
      <c r="T99" s="79"/>
      <c r="Y99" s="79"/>
      <c r="AC99" s="130"/>
      <c r="AE99" s="106"/>
    </row>
    <row r="100">
      <c r="C100" s="79"/>
      <c r="D100" s="79"/>
      <c r="E100" s="79"/>
      <c r="O100" s="79"/>
      <c r="S100" s="79"/>
      <c r="T100" s="79"/>
      <c r="Y100" s="79"/>
      <c r="AC100" s="130"/>
      <c r="AE100" s="106"/>
    </row>
    <row r="101">
      <c r="C101" s="79"/>
      <c r="D101" s="79"/>
      <c r="E101" s="79"/>
      <c r="O101" s="79"/>
      <c r="S101" s="79"/>
      <c r="T101" s="79"/>
      <c r="Y101" s="79"/>
      <c r="AC101" s="130"/>
      <c r="AE101" s="106"/>
    </row>
    <row r="102">
      <c r="C102" s="79"/>
      <c r="D102" s="79"/>
      <c r="E102" s="79"/>
      <c r="O102" s="79"/>
      <c r="S102" s="79"/>
      <c r="T102" s="79"/>
      <c r="Y102" s="79"/>
      <c r="AC102" s="130"/>
      <c r="AE102" s="106"/>
    </row>
    <row r="103">
      <c r="C103" s="79"/>
      <c r="D103" s="79"/>
      <c r="E103" s="79"/>
      <c r="O103" s="79"/>
      <c r="S103" s="79"/>
      <c r="T103" s="79"/>
      <c r="Y103" s="79"/>
      <c r="AC103" s="130"/>
      <c r="AE103" s="106"/>
    </row>
    <row r="104">
      <c r="C104" s="79"/>
      <c r="D104" s="79"/>
      <c r="E104" s="79"/>
      <c r="O104" s="79"/>
      <c r="S104" s="79"/>
      <c r="T104" s="79"/>
      <c r="Y104" s="79"/>
      <c r="AC104" s="130"/>
      <c r="AE104" s="106"/>
    </row>
    <row r="105">
      <c r="C105" s="79"/>
      <c r="D105" s="79"/>
      <c r="E105" s="79"/>
      <c r="O105" s="79"/>
      <c r="S105" s="79"/>
      <c r="T105" s="79"/>
      <c r="Y105" s="79"/>
      <c r="AC105" s="130"/>
      <c r="AE105" s="106"/>
    </row>
    <row r="106">
      <c r="C106" s="79"/>
      <c r="D106" s="79"/>
      <c r="E106" s="79"/>
      <c r="O106" s="79"/>
      <c r="S106" s="79"/>
      <c r="T106" s="79"/>
      <c r="Y106" s="79"/>
      <c r="AC106" s="130"/>
      <c r="AE106" s="106"/>
    </row>
    <row r="107">
      <c r="C107" s="79"/>
      <c r="D107" s="79"/>
      <c r="E107" s="79"/>
      <c r="O107" s="79"/>
      <c r="S107" s="79"/>
      <c r="T107" s="79"/>
      <c r="Y107" s="79"/>
      <c r="AC107" s="130"/>
      <c r="AE107" s="106"/>
    </row>
    <row r="108">
      <c r="C108" s="79"/>
      <c r="D108" s="79"/>
      <c r="E108" s="79"/>
      <c r="O108" s="79"/>
      <c r="S108" s="79"/>
      <c r="T108" s="79"/>
      <c r="Y108" s="79"/>
      <c r="AC108" s="130"/>
      <c r="AE108" s="106"/>
    </row>
    <row r="109">
      <c r="C109" s="79"/>
      <c r="D109" s="79"/>
      <c r="E109" s="79"/>
      <c r="O109" s="79"/>
      <c r="S109" s="79"/>
      <c r="T109" s="79"/>
      <c r="Y109" s="79"/>
      <c r="AC109" s="130"/>
      <c r="AE109" s="106"/>
    </row>
    <row r="110">
      <c r="C110" s="79"/>
      <c r="D110" s="79"/>
      <c r="E110" s="79"/>
      <c r="O110" s="79"/>
      <c r="S110" s="79"/>
      <c r="T110" s="79"/>
      <c r="Y110" s="79"/>
      <c r="AC110" s="130"/>
      <c r="AE110" s="106"/>
    </row>
    <row r="111">
      <c r="C111" s="79"/>
      <c r="D111" s="79"/>
      <c r="E111" s="79"/>
      <c r="O111" s="79"/>
      <c r="S111" s="79"/>
      <c r="T111" s="79"/>
      <c r="Y111" s="79"/>
      <c r="AC111" s="130"/>
      <c r="AE111" s="106"/>
    </row>
    <row r="112">
      <c r="C112" s="79"/>
      <c r="D112" s="79"/>
      <c r="E112" s="79"/>
      <c r="O112" s="79"/>
      <c r="S112" s="79"/>
      <c r="T112" s="79"/>
      <c r="Y112" s="79"/>
      <c r="AC112" s="130"/>
      <c r="AE112" s="106"/>
    </row>
    <row r="113">
      <c r="C113" s="79"/>
      <c r="D113" s="79"/>
      <c r="E113" s="79"/>
      <c r="O113" s="79"/>
      <c r="S113" s="79"/>
      <c r="T113" s="79"/>
      <c r="Y113" s="79"/>
      <c r="AC113" s="130"/>
      <c r="AE113" s="106"/>
    </row>
    <row r="114">
      <c r="C114" s="79"/>
      <c r="D114" s="79"/>
      <c r="E114" s="79"/>
      <c r="O114" s="79"/>
      <c r="S114" s="79"/>
      <c r="T114" s="79"/>
      <c r="Y114" s="79"/>
      <c r="AC114" s="130"/>
      <c r="AE114" s="106"/>
    </row>
    <row r="115">
      <c r="C115" s="79"/>
      <c r="D115" s="79"/>
      <c r="E115" s="79"/>
      <c r="O115" s="79"/>
      <c r="S115" s="79"/>
      <c r="T115" s="79"/>
      <c r="Y115" s="79"/>
      <c r="AC115" s="130"/>
      <c r="AE115" s="106"/>
    </row>
    <row r="116">
      <c r="C116" s="79"/>
      <c r="D116" s="79"/>
      <c r="E116" s="79"/>
      <c r="O116" s="79"/>
      <c r="S116" s="79"/>
      <c r="T116" s="79"/>
      <c r="Y116" s="79"/>
      <c r="AC116" s="130"/>
      <c r="AE116" s="106"/>
    </row>
    <row r="117">
      <c r="C117" s="79"/>
      <c r="D117" s="79"/>
      <c r="E117" s="79"/>
      <c r="O117" s="79"/>
      <c r="S117" s="79"/>
      <c r="T117" s="79"/>
      <c r="Y117" s="79"/>
      <c r="AC117" s="130"/>
      <c r="AE117" s="106"/>
    </row>
    <row r="118">
      <c r="C118" s="79"/>
      <c r="D118" s="79"/>
      <c r="E118" s="79"/>
      <c r="O118" s="79"/>
      <c r="S118" s="79"/>
      <c r="T118" s="79"/>
      <c r="Y118" s="79"/>
      <c r="AC118" s="130"/>
      <c r="AE118" s="106"/>
    </row>
    <row r="119">
      <c r="C119" s="79"/>
      <c r="D119" s="79"/>
      <c r="E119" s="79"/>
      <c r="O119" s="79"/>
      <c r="S119" s="79"/>
      <c r="T119" s="79"/>
      <c r="Y119" s="79"/>
      <c r="AC119" s="130"/>
      <c r="AE119" s="106"/>
    </row>
    <row r="120">
      <c r="C120" s="79"/>
      <c r="D120" s="79"/>
      <c r="E120" s="79"/>
      <c r="O120" s="79"/>
      <c r="S120" s="79"/>
      <c r="T120" s="79"/>
      <c r="Y120" s="79"/>
      <c r="AC120" s="130"/>
      <c r="AE120" s="106"/>
    </row>
    <row r="121">
      <c r="C121" s="79"/>
      <c r="D121" s="79"/>
      <c r="E121" s="79"/>
      <c r="O121" s="79"/>
      <c r="S121" s="79"/>
      <c r="T121" s="79"/>
      <c r="Y121" s="79"/>
      <c r="AC121" s="130"/>
      <c r="AE121" s="106"/>
    </row>
    <row r="122">
      <c r="C122" s="79"/>
      <c r="D122" s="79"/>
      <c r="E122" s="79"/>
      <c r="O122" s="79"/>
      <c r="S122" s="79"/>
      <c r="T122" s="79"/>
      <c r="Y122" s="79"/>
      <c r="AC122" s="130"/>
      <c r="AE122" s="106"/>
    </row>
    <row r="123">
      <c r="C123" s="79"/>
      <c r="D123" s="79"/>
      <c r="E123" s="79"/>
      <c r="O123" s="79"/>
      <c r="S123" s="79"/>
      <c r="T123" s="79"/>
      <c r="Y123" s="79"/>
      <c r="AC123" s="130"/>
      <c r="AE123" s="106"/>
    </row>
    <row r="124">
      <c r="C124" s="79"/>
      <c r="D124" s="79"/>
      <c r="E124" s="79"/>
      <c r="O124" s="79"/>
      <c r="S124" s="79"/>
      <c r="T124" s="79"/>
      <c r="Y124" s="79"/>
      <c r="AC124" s="130"/>
      <c r="AE124" s="106"/>
    </row>
    <row r="125">
      <c r="C125" s="79"/>
      <c r="D125" s="79"/>
      <c r="E125" s="79"/>
      <c r="O125" s="79"/>
      <c r="S125" s="79"/>
      <c r="T125" s="79"/>
      <c r="Y125" s="79"/>
      <c r="AC125" s="130"/>
      <c r="AE125" s="106"/>
    </row>
    <row r="126">
      <c r="C126" s="79"/>
      <c r="D126" s="79"/>
      <c r="E126" s="79"/>
      <c r="O126" s="79"/>
      <c r="S126" s="79"/>
      <c r="T126" s="79"/>
      <c r="Y126" s="79"/>
      <c r="AC126" s="130"/>
      <c r="AE126" s="106"/>
    </row>
    <row r="127">
      <c r="C127" s="79"/>
      <c r="D127" s="79"/>
      <c r="E127" s="79"/>
      <c r="O127" s="79"/>
      <c r="S127" s="79"/>
      <c r="T127" s="79"/>
      <c r="Y127" s="79"/>
      <c r="AC127" s="130"/>
      <c r="AE127" s="106"/>
    </row>
    <row r="128">
      <c r="C128" s="79"/>
      <c r="D128" s="79"/>
      <c r="E128" s="79"/>
      <c r="O128" s="79"/>
      <c r="S128" s="79"/>
      <c r="T128" s="79"/>
      <c r="Y128" s="79"/>
      <c r="AC128" s="130"/>
      <c r="AE128" s="106"/>
    </row>
    <row r="129">
      <c r="C129" s="79"/>
      <c r="D129" s="79"/>
      <c r="E129" s="79"/>
      <c r="O129" s="79"/>
      <c r="S129" s="79"/>
      <c r="T129" s="79"/>
      <c r="Y129" s="79"/>
      <c r="AC129" s="130"/>
      <c r="AE129" s="106"/>
    </row>
    <row r="130">
      <c r="C130" s="79"/>
      <c r="D130" s="79"/>
      <c r="E130" s="79"/>
      <c r="O130" s="79"/>
      <c r="S130" s="79"/>
      <c r="T130" s="79"/>
      <c r="Y130" s="79"/>
      <c r="AC130" s="130"/>
      <c r="AE130" s="106"/>
    </row>
    <row r="131">
      <c r="C131" s="79"/>
      <c r="D131" s="79"/>
      <c r="E131" s="79"/>
      <c r="O131" s="79"/>
      <c r="S131" s="79"/>
      <c r="T131" s="79"/>
      <c r="Y131" s="79"/>
      <c r="AC131" s="130"/>
      <c r="AE131" s="106"/>
    </row>
    <row r="132">
      <c r="C132" s="79"/>
      <c r="D132" s="79"/>
      <c r="E132" s="79"/>
      <c r="O132" s="79"/>
      <c r="S132" s="79"/>
      <c r="T132" s="79"/>
      <c r="Y132" s="79"/>
      <c r="AC132" s="130"/>
      <c r="AE132" s="106"/>
    </row>
    <row r="133">
      <c r="C133" s="79"/>
      <c r="D133" s="79"/>
      <c r="E133" s="79"/>
      <c r="O133" s="79"/>
      <c r="S133" s="79"/>
      <c r="T133" s="79"/>
      <c r="Y133" s="79"/>
      <c r="AC133" s="130"/>
      <c r="AE133" s="106"/>
    </row>
    <row r="134">
      <c r="C134" s="79"/>
      <c r="D134" s="79"/>
      <c r="E134" s="79"/>
      <c r="O134" s="79"/>
      <c r="S134" s="79"/>
      <c r="T134" s="79"/>
      <c r="Y134" s="79"/>
      <c r="AC134" s="130"/>
      <c r="AE134" s="106"/>
    </row>
    <row r="135">
      <c r="C135" s="79"/>
      <c r="D135" s="79"/>
      <c r="E135" s="79"/>
      <c r="O135" s="79"/>
      <c r="S135" s="79"/>
      <c r="T135" s="79"/>
      <c r="Y135" s="79"/>
      <c r="AC135" s="130"/>
      <c r="AE135" s="106"/>
    </row>
    <row r="136">
      <c r="C136" s="79"/>
      <c r="D136" s="79"/>
      <c r="E136" s="79"/>
      <c r="O136" s="79"/>
      <c r="S136" s="79"/>
      <c r="T136" s="79"/>
      <c r="Y136" s="79"/>
      <c r="AC136" s="130"/>
      <c r="AE136" s="106"/>
    </row>
    <row r="137">
      <c r="C137" s="79"/>
      <c r="D137" s="79"/>
      <c r="E137" s="79"/>
      <c r="O137" s="79"/>
      <c r="S137" s="79"/>
      <c r="T137" s="79"/>
      <c r="Y137" s="79"/>
      <c r="AC137" s="130"/>
      <c r="AE137" s="106"/>
    </row>
    <row r="138">
      <c r="C138" s="79"/>
      <c r="D138" s="79"/>
      <c r="E138" s="79"/>
      <c r="O138" s="79"/>
      <c r="S138" s="79"/>
      <c r="T138" s="79"/>
      <c r="Y138" s="79"/>
      <c r="AC138" s="130"/>
      <c r="AE138" s="106"/>
    </row>
    <row r="139">
      <c r="C139" s="79"/>
      <c r="D139" s="79"/>
      <c r="E139" s="79"/>
      <c r="O139" s="79"/>
      <c r="S139" s="79"/>
      <c r="T139" s="79"/>
      <c r="Y139" s="79"/>
      <c r="AC139" s="130"/>
      <c r="AE139" s="106"/>
    </row>
    <row r="140">
      <c r="C140" s="79"/>
      <c r="D140" s="79"/>
      <c r="E140" s="79"/>
      <c r="O140" s="79"/>
      <c r="S140" s="79"/>
      <c r="T140" s="79"/>
      <c r="Y140" s="79"/>
      <c r="AC140" s="130"/>
      <c r="AE140" s="106"/>
    </row>
    <row r="141">
      <c r="C141" s="79"/>
      <c r="D141" s="79"/>
      <c r="E141" s="79"/>
      <c r="O141" s="79"/>
      <c r="S141" s="79"/>
      <c r="T141" s="79"/>
      <c r="Y141" s="79"/>
      <c r="AC141" s="130"/>
      <c r="AE141" s="106"/>
    </row>
    <row r="142">
      <c r="C142" s="79"/>
      <c r="D142" s="79"/>
      <c r="E142" s="79"/>
      <c r="O142" s="79"/>
      <c r="S142" s="79"/>
      <c r="T142" s="79"/>
      <c r="Y142" s="79"/>
      <c r="AC142" s="130"/>
      <c r="AE142" s="106"/>
    </row>
    <row r="143">
      <c r="C143" s="79"/>
      <c r="D143" s="79"/>
      <c r="E143" s="79"/>
      <c r="O143" s="79"/>
      <c r="S143" s="79"/>
      <c r="T143" s="79"/>
      <c r="Y143" s="79"/>
      <c r="AC143" s="130"/>
      <c r="AE143" s="106"/>
    </row>
    <row r="144">
      <c r="C144" s="79"/>
      <c r="D144" s="79"/>
      <c r="E144" s="79"/>
      <c r="O144" s="79"/>
      <c r="S144" s="79"/>
      <c r="T144" s="79"/>
      <c r="Y144" s="79"/>
      <c r="AC144" s="130"/>
      <c r="AE144" s="106"/>
    </row>
    <row r="145">
      <c r="C145" s="79"/>
      <c r="D145" s="79"/>
      <c r="E145" s="79"/>
      <c r="O145" s="79"/>
      <c r="S145" s="79"/>
      <c r="T145" s="79"/>
      <c r="Y145" s="79"/>
      <c r="AC145" s="130"/>
      <c r="AE145" s="106"/>
    </row>
    <row r="146">
      <c r="C146" s="79"/>
      <c r="D146" s="79"/>
      <c r="E146" s="79"/>
      <c r="O146" s="79"/>
      <c r="S146" s="79"/>
      <c r="T146" s="79"/>
      <c r="Y146" s="79"/>
      <c r="AC146" s="130"/>
      <c r="AE146" s="106"/>
    </row>
    <row r="147">
      <c r="C147" s="79"/>
      <c r="D147" s="79"/>
      <c r="E147" s="79"/>
      <c r="O147" s="79"/>
      <c r="S147" s="79"/>
      <c r="T147" s="79"/>
      <c r="Y147" s="79"/>
      <c r="AC147" s="130"/>
      <c r="AE147" s="106"/>
    </row>
    <row r="148">
      <c r="C148" s="79"/>
      <c r="D148" s="79"/>
      <c r="E148" s="79"/>
      <c r="O148" s="79"/>
      <c r="S148" s="79"/>
      <c r="T148" s="79"/>
      <c r="Y148" s="79"/>
      <c r="AC148" s="130"/>
      <c r="AE148" s="106"/>
    </row>
    <row r="149">
      <c r="C149" s="79"/>
      <c r="D149" s="79"/>
      <c r="E149" s="79"/>
      <c r="O149" s="79"/>
      <c r="S149" s="79"/>
      <c r="T149" s="79"/>
      <c r="Y149" s="79"/>
      <c r="AC149" s="130"/>
      <c r="AE149" s="106"/>
    </row>
    <row r="150">
      <c r="C150" s="79"/>
      <c r="D150" s="79"/>
      <c r="E150" s="79"/>
      <c r="O150" s="79"/>
      <c r="S150" s="79"/>
      <c r="T150" s="79"/>
      <c r="Y150" s="79"/>
      <c r="AC150" s="130"/>
      <c r="AE150" s="106"/>
    </row>
    <row r="151">
      <c r="C151" s="79"/>
      <c r="D151" s="79"/>
      <c r="E151" s="79"/>
      <c r="O151" s="79"/>
      <c r="S151" s="79"/>
      <c r="T151" s="79"/>
      <c r="Y151" s="79"/>
      <c r="AC151" s="130"/>
      <c r="AE151" s="106"/>
    </row>
    <row r="152">
      <c r="C152" s="79"/>
      <c r="D152" s="79"/>
      <c r="E152" s="79"/>
      <c r="O152" s="79"/>
      <c r="S152" s="79"/>
      <c r="T152" s="79"/>
      <c r="Y152" s="79"/>
      <c r="AC152" s="130"/>
      <c r="AE152" s="106"/>
    </row>
    <row r="153">
      <c r="C153" s="79"/>
      <c r="D153" s="79"/>
      <c r="E153" s="79"/>
      <c r="O153" s="79"/>
      <c r="S153" s="79"/>
      <c r="T153" s="79"/>
      <c r="Y153" s="79"/>
      <c r="AC153" s="130"/>
      <c r="AE153" s="106"/>
    </row>
    <row r="154">
      <c r="C154" s="79"/>
      <c r="D154" s="79"/>
      <c r="E154" s="79"/>
      <c r="O154" s="79"/>
      <c r="S154" s="79"/>
      <c r="T154" s="79"/>
      <c r="Y154" s="79"/>
      <c r="AC154" s="130"/>
      <c r="AE154" s="106"/>
    </row>
    <row r="155">
      <c r="C155" s="79"/>
      <c r="D155" s="79"/>
      <c r="E155" s="79"/>
      <c r="O155" s="79"/>
      <c r="S155" s="79"/>
      <c r="T155" s="79"/>
      <c r="Y155" s="79"/>
      <c r="AC155" s="130"/>
      <c r="AE155" s="106"/>
    </row>
    <row r="156">
      <c r="C156" s="79"/>
      <c r="D156" s="79"/>
      <c r="E156" s="79"/>
      <c r="O156" s="79"/>
      <c r="S156" s="79"/>
      <c r="T156" s="79"/>
      <c r="Y156" s="79"/>
      <c r="AC156" s="130"/>
      <c r="AE156" s="106"/>
    </row>
    <row r="157">
      <c r="C157" s="79"/>
      <c r="D157" s="79"/>
      <c r="E157" s="79"/>
      <c r="O157" s="79"/>
      <c r="S157" s="79"/>
      <c r="T157" s="79"/>
      <c r="Y157" s="79"/>
      <c r="AC157" s="130"/>
      <c r="AE157" s="106"/>
    </row>
    <row r="158">
      <c r="C158" s="79"/>
      <c r="D158" s="79"/>
      <c r="E158" s="79"/>
      <c r="O158" s="79"/>
      <c r="S158" s="79"/>
      <c r="T158" s="79"/>
      <c r="Y158" s="79"/>
      <c r="AC158" s="130"/>
      <c r="AE158" s="106"/>
    </row>
    <row r="159">
      <c r="C159" s="79"/>
      <c r="D159" s="79"/>
      <c r="E159" s="79"/>
      <c r="O159" s="79"/>
      <c r="S159" s="79"/>
      <c r="T159" s="79"/>
      <c r="Y159" s="79"/>
      <c r="AC159" s="130"/>
      <c r="AE159" s="106"/>
    </row>
    <row r="160">
      <c r="C160" s="79"/>
      <c r="D160" s="79"/>
      <c r="E160" s="79"/>
      <c r="O160" s="79"/>
      <c r="S160" s="79"/>
      <c r="T160" s="79"/>
      <c r="Y160" s="79"/>
      <c r="AC160" s="130"/>
      <c r="AE160" s="106"/>
    </row>
    <row r="161">
      <c r="C161" s="79"/>
      <c r="D161" s="79"/>
      <c r="E161" s="79"/>
      <c r="O161" s="79"/>
      <c r="S161" s="79"/>
      <c r="T161" s="79"/>
      <c r="Y161" s="79"/>
      <c r="AC161" s="130"/>
      <c r="AE161" s="106"/>
    </row>
    <row r="162">
      <c r="C162" s="79"/>
      <c r="D162" s="79"/>
      <c r="E162" s="79"/>
      <c r="O162" s="79"/>
      <c r="S162" s="79"/>
      <c r="T162" s="79"/>
      <c r="Y162" s="79"/>
      <c r="AC162" s="130"/>
      <c r="AE162" s="106"/>
    </row>
    <row r="163">
      <c r="C163" s="79"/>
      <c r="D163" s="79"/>
      <c r="E163" s="79"/>
      <c r="O163" s="79"/>
      <c r="S163" s="79"/>
      <c r="T163" s="79"/>
      <c r="Y163" s="79"/>
      <c r="AC163" s="130"/>
      <c r="AE163" s="106"/>
    </row>
    <row r="164">
      <c r="C164" s="79"/>
      <c r="D164" s="79"/>
      <c r="E164" s="79"/>
      <c r="O164" s="79"/>
      <c r="S164" s="79"/>
      <c r="T164" s="79"/>
      <c r="Y164" s="79"/>
      <c r="AC164" s="130"/>
      <c r="AE164" s="106"/>
    </row>
    <row r="165">
      <c r="C165" s="79"/>
      <c r="D165" s="79"/>
      <c r="E165" s="79"/>
      <c r="O165" s="79"/>
      <c r="S165" s="79"/>
      <c r="T165" s="79"/>
      <c r="Y165" s="79"/>
      <c r="AC165" s="130"/>
      <c r="AE165" s="106"/>
    </row>
    <row r="166">
      <c r="C166" s="79"/>
      <c r="D166" s="79"/>
      <c r="E166" s="79"/>
      <c r="O166" s="79"/>
      <c r="S166" s="79"/>
      <c r="T166" s="79"/>
      <c r="Y166" s="79"/>
      <c r="AC166" s="130"/>
      <c r="AE166" s="106"/>
    </row>
    <row r="167">
      <c r="C167" s="79"/>
      <c r="D167" s="79"/>
      <c r="E167" s="79"/>
      <c r="O167" s="79"/>
      <c r="S167" s="79"/>
      <c r="T167" s="79"/>
      <c r="Y167" s="79"/>
      <c r="AC167" s="130"/>
      <c r="AE167" s="106"/>
    </row>
    <row r="168">
      <c r="C168" s="79"/>
      <c r="D168" s="79"/>
      <c r="E168" s="79"/>
      <c r="O168" s="79"/>
      <c r="S168" s="79"/>
      <c r="T168" s="79"/>
      <c r="Y168" s="79"/>
      <c r="AC168" s="130"/>
      <c r="AE168" s="106"/>
    </row>
    <row r="169">
      <c r="C169" s="79"/>
      <c r="D169" s="79"/>
      <c r="E169" s="79"/>
      <c r="O169" s="79"/>
      <c r="S169" s="79"/>
      <c r="T169" s="79"/>
      <c r="Y169" s="79"/>
      <c r="AC169" s="130"/>
      <c r="AE169" s="106"/>
    </row>
    <row r="170">
      <c r="C170" s="79"/>
      <c r="D170" s="79"/>
      <c r="E170" s="79"/>
      <c r="O170" s="79"/>
      <c r="S170" s="79"/>
      <c r="T170" s="79"/>
      <c r="Y170" s="79"/>
      <c r="AC170" s="130"/>
      <c r="AE170" s="106"/>
    </row>
    <row r="171">
      <c r="C171" s="79"/>
      <c r="D171" s="79"/>
      <c r="E171" s="79"/>
      <c r="O171" s="79"/>
      <c r="S171" s="79"/>
      <c r="T171" s="79"/>
      <c r="Y171" s="79"/>
      <c r="AC171" s="130"/>
      <c r="AE171" s="106"/>
    </row>
    <row r="172">
      <c r="C172" s="79"/>
      <c r="D172" s="79"/>
      <c r="E172" s="79"/>
      <c r="O172" s="79"/>
      <c r="S172" s="79"/>
      <c r="T172" s="79"/>
      <c r="Y172" s="79"/>
      <c r="AC172" s="130"/>
      <c r="AE172" s="106"/>
    </row>
    <row r="173">
      <c r="C173" s="79"/>
      <c r="D173" s="79"/>
      <c r="E173" s="79"/>
      <c r="O173" s="79"/>
      <c r="S173" s="79"/>
      <c r="T173" s="79"/>
      <c r="Y173" s="79"/>
      <c r="AC173" s="130"/>
      <c r="AE173" s="106"/>
    </row>
    <row r="174">
      <c r="C174" s="79"/>
      <c r="D174" s="79"/>
      <c r="E174" s="79"/>
      <c r="O174" s="79"/>
      <c r="S174" s="79"/>
      <c r="T174" s="79"/>
      <c r="Y174" s="79"/>
      <c r="AC174" s="130"/>
      <c r="AE174" s="106"/>
    </row>
    <row r="175">
      <c r="C175" s="79"/>
      <c r="D175" s="79"/>
      <c r="E175" s="79"/>
      <c r="O175" s="79"/>
      <c r="S175" s="79"/>
      <c r="T175" s="79"/>
      <c r="Y175" s="79"/>
      <c r="AC175" s="130"/>
      <c r="AE175" s="106"/>
    </row>
    <row r="176">
      <c r="C176" s="79"/>
      <c r="D176" s="79"/>
      <c r="E176" s="79"/>
      <c r="O176" s="79"/>
      <c r="S176" s="79"/>
      <c r="T176" s="79"/>
      <c r="Y176" s="79"/>
      <c r="AC176" s="130"/>
      <c r="AE176" s="106"/>
    </row>
    <row r="177">
      <c r="C177" s="79"/>
      <c r="D177" s="79"/>
      <c r="E177" s="79"/>
      <c r="O177" s="79"/>
      <c r="S177" s="79"/>
      <c r="T177" s="79"/>
      <c r="Y177" s="79"/>
      <c r="AC177" s="130"/>
      <c r="AE177" s="106"/>
    </row>
    <row r="178">
      <c r="C178" s="79"/>
      <c r="D178" s="79"/>
      <c r="E178" s="79"/>
      <c r="O178" s="79"/>
      <c r="S178" s="79"/>
      <c r="T178" s="79"/>
      <c r="Y178" s="79"/>
      <c r="AC178" s="130"/>
      <c r="AE178" s="106"/>
    </row>
    <row r="179">
      <c r="C179" s="79"/>
      <c r="D179" s="79"/>
      <c r="E179" s="79"/>
      <c r="O179" s="79"/>
      <c r="S179" s="79"/>
      <c r="T179" s="79"/>
      <c r="Y179" s="79"/>
      <c r="AC179" s="130"/>
      <c r="AE179" s="106"/>
    </row>
    <row r="180">
      <c r="C180" s="79"/>
      <c r="D180" s="79"/>
      <c r="E180" s="79"/>
      <c r="O180" s="79"/>
      <c r="S180" s="79"/>
      <c r="T180" s="79"/>
      <c r="Y180" s="79"/>
      <c r="AC180" s="130"/>
      <c r="AE180" s="106"/>
    </row>
    <row r="181">
      <c r="C181" s="79"/>
      <c r="D181" s="79"/>
      <c r="E181" s="79"/>
      <c r="O181" s="79"/>
      <c r="S181" s="79"/>
      <c r="T181" s="79"/>
      <c r="Y181" s="79"/>
      <c r="AC181" s="130"/>
      <c r="AE181" s="106"/>
    </row>
    <row r="182">
      <c r="C182" s="79"/>
      <c r="D182" s="79"/>
      <c r="E182" s="79"/>
      <c r="O182" s="79"/>
      <c r="S182" s="79"/>
      <c r="T182" s="79"/>
      <c r="Y182" s="79"/>
      <c r="AC182" s="130"/>
      <c r="AE182" s="106"/>
    </row>
    <row r="183">
      <c r="C183" s="79"/>
      <c r="D183" s="79"/>
      <c r="E183" s="79"/>
      <c r="O183" s="79"/>
      <c r="S183" s="79"/>
      <c r="T183" s="79"/>
      <c r="Y183" s="79"/>
      <c r="AC183" s="130"/>
      <c r="AE183" s="106"/>
    </row>
    <row r="184">
      <c r="C184" s="79"/>
      <c r="D184" s="79"/>
      <c r="E184" s="79"/>
      <c r="O184" s="79"/>
      <c r="S184" s="79"/>
      <c r="T184" s="79"/>
      <c r="Y184" s="79"/>
      <c r="AC184" s="130"/>
      <c r="AE184" s="106"/>
    </row>
    <row r="185">
      <c r="C185" s="79"/>
      <c r="D185" s="79"/>
      <c r="E185" s="79"/>
      <c r="O185" s="79"/>
      <c r="S185" s="79"/>
      <c r="T185" s="79"/>
      <c r="Y185" s="79"/>
      <c r="AC185" s="130"/>
      <c r="AE185" s="106"/>
    </row>
    <row r="186">
      <c r="C186" s="79"/>
      <c r="D186" s="79"/>
      <c r="E186" s="79"/>
      <c r="O186" s="79"/>
      <c r="S186" s="79"/>
      <c r="T186" s="79"/>
      <c r="Y186" s="79"/>
      <c r="AC186" s="130"/>
      <c r="AE186" s="106"/>
    </row>
    <row r="187">
      <c r="C187" s="79"/>
      <c r="D187" s="79"/>
      <c r="E187" s="79"/>
      <c r="O187" s="79"/>
      <c r="S187" s="79"/>
      <c r="T187" s="79"/>
      <c r="Y187" s="79"/>
      <c r="AC187" s="130"/>
      <c r="AE187" s="106"/>
    </row>
    <row r="188">
      <c r="C188" s="79"/>
      <c r="D188" s="79"/>
      <c r="E188" s="79"/>
      <c r="O188" s="79"/>
      <c r="S188" s="79"/>
      <c r="T188" s="79"/>
      <c r="Y188" s="79"/>
      <c r="AC188" s="130"/>
      <c r="AE188" s="106"/>
    </row>
    <row r="189">
      <c r="C189" s="79"/>
      <c r="D189" s="79"/>
      <c r="E189" s="79"/>
      <c r="O189" s="79"/>
      <c r="S189" s="79"/>
      <c r="T189" s="79"/>
      <c r="Y189" s="79"/>
      <c r="AC189" s="130"/>
      <c r="AE189" s="106"/>
    </row>
    <row r="190">
      <c r="C190" s="79"/>
      <c r="D190" s="79"/>
      <c r="E190" s="79"/>
      <c r="O190" s="79"/>
      <c r="S190" s="79"/>
      <c r="T190" s="79"/>
      <c r="Y190" s="79"/>
      <c r="AC190" s="130"/>
      <c r="AE190" s="106"/>
    </row>
    <row r="191">
      <c r="C191" s="79"/>
      <c r="D191" s="79"/>
      <c r="E191" s="79"/>
      <c r="O191" s="79"/>
      <c r="S191" s="79"/>
      <c r="T191" s="79"/>
      <c r="Y191" s="79"/>
      <c r="AC191" s="130"/>
      <c r="AE191" s="106"/>
    </row>
    <row r="192">
      <c r="C192" s="79"/>
      <c r="D192" s="79"/>
      <c r="E192" s="79"/>
      <c r="O192" s="79"/>
      <c r="S192" s="79"/>
      <c r="T192" s="79"/>
      <c r="Y192" s="79"/>
      <c r="AC192" s="130"/>
      <c r="AE192" s="106"/>
    </row>
    <row r="193">
      <c r="C193" s="79"/>
      <c r="D193" s="79"/>
      <c r="E193" s="79"/>
      <c r="O193" s="79"/>
      <c r="S193" s="79"/>
      <c r="T193" s="79"/>
      <c r="Y193" s="79"/>
      <c r="AC193" s="130"/>
      <c r="AE193" s="106"/>
    </row>
    <row r="194">
      <c r="C194" s="79"/>
      <c r="D194" s="79"/>
      <c r="E194" s="79"/>
      <c r="O194" s="79"/>
      <c r="S194" s="79"/>
      <c r="T194" s="79"/>
      <c r="Y194" s="79"/>
      <c r="AC194" s="130"/>
      <c r="AE194" s="106"/>
    </row>
    <row r="195">
      <c r="C195" s="79"/>
      <c r="D195" s="79"/>
      <c r="E195" s="79"/>
      <c r="O195" s="79"/>
      <c r="S195" s="79"/>
      <c r="T195" s="79"/>
      <c r="Y195" s="79"/>
      <c r="AC195" s="130"/>
      <c r="AE195" s="106"/>
    </row>
    <row r="196">
      <c r="C196" s="79"/>
      <c r="D196" s="79"/>
      <c r="E196" s="79"/>
      <c r="O196" s="79"/>
      <c r="S196" s="79"/>
      <c r="T196" s="79"/>
      <c r="Y196" s="79"/>
      <c r="AC196" s="130"/>
      <c r="AE196" s="106"/>
    </row>
    <row r="197">
      <c r="C197" s="79"/>
      <c r="D197" s="79"/>
      <c r="E197" s="79"/>
      <c r="O197" s="79"/>
      <c r="S197" s="79"/>
      <c r="T197" s="79"/>
      <c r="Y197" s="79"/>
      <c r="AC197" s="130"/>
      <c r="AE197" s="106"/>
    </row>
    <row r="198">
      <c r="C198" s="79"/>
      <c r="D198" s="79"/>
      <c r="E198" s="79"/>
      <c r="O198" s="79"/>
      <c r="S198" s="79"/>
      <c r="T198" s="79"/>
      <c r="Y198" s="79"/>
      <c r="AC198" s="130"/>
      <c r="AE198" s="106"/>
    </row>
    <row r="199">
      <c r="C199" s="79"/>
      <c r="D199" s="79"/>
      <c r="E199" s="79"/>
      <c r="O199" s="79"/>
      <c r="S199" s="79"/>
      <c r="T199" s="79"/>
      <c r="Y199" s="79"/>
      <c r="AC199" s="130"/>
      <c r="AE199" s="106"/>
    </row>
    <row r="200">
      <c r="C200" s="79"/>
      <c r="D200" s="79"/>
      <c r="E200" s="79"/>
      <c r="O200" s="79"/>
      <c r="S200" s="79"/>
      <c r="T200" s="79"/>
      <c r="Y200" s="79"/>
      <c r="AC200" s="130"/>
      <c r="AE200" s="106"/>
    </row>
    <row r="201">
      <c r="C201" s="79"/>
      <c r="D201" s="79"/>
      <c r="E201" s="79"/>
      <c r="O201" s="79"/>
      <c r="S201" s="79"/>
      <c r="T201" s="79"/>
      <c r="Y201" s="79"/>
      <c r="AC201" s="130"/>
      <c r="AE201" s="106"/>
    </row>
    <row r="202">
      <c r="C202" s="79"/>
      <c r="D202" s="79"/>
      <c r="E202" s="79"/>
      <c r="O202" s="79"/>
      <c r="S202" s="79"/>
      <c r="T202" s="79"/>
      <c r="Y202" s="79"/>
      <c r="AC202" s="130"/>
      <c r="AE202" s="106"/>
    </row>
    <row r="203">
      <c r="C203" s="79"/>
      <c r="D203" s="79"/>
      <c r="E203" s="79"/>
      <c r="O203" s="79"/>
      <c r="S203" s="79"/>
      <c r="T203" s="79"/>
      <c r="Y203" s="79"/>
      <c r="AC203" s="130"/>
      <c r="AE203" s="106"/>
    </row>
    <row r="204">
      <c r="C204" s="79"/>
      <c r="D204" s="79"/>
      <c r="E204" s="79"/>
      <c r="O204" s="79"/>
      <c r="S204" s="79"/>
      <c r="T204" s="79"/>
      <c r="Y204" s="79"/>
      <c r="AC204" s="130"/>
      <c r="AE204" s="106"/>
    </row>
    <row r="205">
      <c r="C205" s="79"/>
      <c r="D205" s="79"/>
      <c r="E205" s="79"/>
      <c r="O205" s="79"/>
      <c r="S205" s="79"/>
      <c r="T205" s="79"/>
      <c r="Y205" s="79"/>
      <c r="AC205" s="130"/>
      <c r="AE205" s="106"/>
    </row>
    <row r="206">
      <c r="C206" s="79"/>
      <c r="D206" s="79"/>
      <c r="E206" s="79"/>
      <c r="O206" s="79"/>
      <c r="S206" s="79"/>
      <c r="T206" s="79"/>
      <c r="Y206" s="79"/>
      <c r="AC206" s="130"/>
      <c r="AE206" s="106"/>
    </row>
    <row r="207">
      <c r="C207" s="79"/>
      <c r="D207" s="79"/>
      <c r="E207" s="79"/>
      <c r="O207" s="79"/>
      <c r="S207" s="79"/>
      <c r="T207" s="79"/>
      <c r="Y207" s="79"/>
      <c r="AC207" s="130"/>
      <c r="AE207" s="106"/>
    </row>
    <row r="208">
      <c r="C208" s="79"/>
      <c r="D208" s="79"/>
      <c r="E208" s="79"/>
      <c r="O208" s="79"/>
      <c r="S208" s="79"/>
      <c r="T208" s="79"/>
      <c r="Y208" s="79"/>
      <c r="AC208" s="130"/>
      <c r="AE208" s="106"/>
    </row>
    <row r="209">
      <c r="C209" s="79"/>
      <c r="D209" s="79"/>
      <c r="E209" s="79"/>
      <c r="O209" s="79"/>
      <c r="S209" s="79"/>
      <c r="T209" s="79"/>
      <c r="Y209" s="79"/>
      <c r="AC209" s="130"/>
      <c r="AE209" s="106"/>
    </row>
    <row r="210">
      <c r="C210" s="79"/>
      <c r="D210" s="79"/>
      <c r="E210" s="79"/>
      <c r="O210" s="79"/>
      <c r="S210" s="79"/>
      <c r="T210" s="79"/>
      <c r="Y210" s="79"/>
      <c r="AC210" s="130"/>
      <c r="AE210" s="106"/>
    </row>
    <row r="211">
      <c r="C211" s="79"/>
      <c r="D211" s="79"/>
      <c r="E211" s="79"/>
      <c r="O211" s="79"/>
      <c r="S211" s="79"/>
      <c r="T211" s="79"/>
      <c r="Y211" s="79"/>
      <c r="AC211" s="130"/>
      <c r="AE211" s="106"/>
    </row>
    <row r="212">
      <c r="C212" s="79"/>
      <c r="D212" s="79"/>
      <c r="E212" s="79"/>
      <c r="O212" s="79"/>
      <c r="S212" s="79"/>
      <c r="T212" s="79"/>
      <c r="Y212" s="79"/>
      <c r="AC212" s="130"/>
      <c r="AE212" s="106"/>
    </row>
    <row r="213">
      <c r="C213" s="79"/>
      <c r="D213" s="79"/>
      <c r="E213" s="79"/>
      <c r="O213" s="79"/>
      <c r="S213" s="79"/>
      <c r="T213" s="79"/>
      <c r="Y213" s="79"/>
      <c r="AC213" s="130"/>
      <c r="AE213" s="106"/>
    </row>
    <row r="214">
      <c r="C214" s="79"/>
      <c r="D214" s="79"/>
      <c r="E214" s="79"/>
      <c r="O214" s="79"/>
      <c r="S214" s="79"/>
      <c r="T214" s="79"/>
      <c r="Y214" s="79"/>
      <c r="AC214" s="130"/>
      <c r="AE214" s="106"/>
    </row>
    <row r="215">
      <c r="C215" s="79"/>
      <c r="D215" s="79"/>
      <c r="E215" s="79"/>
      <c r="O215" s="79"/>
      <c r="S215" s="79"/>
      <c r="T215" s="79"/>
      <c r="Y215" s="79"/>
      <c r="AC215" s="130"/>
      <c r="AE215" s="106"/>
    </row>
    <row r="216">
      <c r="C216" s="79"/>
      <c r="D216" s="79"/>
      <c r="E216" s="79"/>
      <c r="O216" s="79"/>
      <c r="S216" s="79"/>
      <c r="T216" s="79"/>
      <c r="Y216" s="79"/>
      <c r="AC216" s="130"/>
      <c r="AE216" s="106"/>
    </row>
    <row r="217">
      <c r="C217" s="79"/>
      <c r="D217" s="79"/>
      <c r="E217" s="79"/>
      <c r="O217" s="79"/>
      <c r="S217" s="79"/>
      <c r="T217" s="79"/>
      <c r="Y217" s="79"/>
      <c r="AC217" s="130"/>
      <c r="AE217" s="106"/>
    </row>
    <row r="218">
      <c r="C218" s="79"/>
      <c r="D218" s="79"/>
      <c r="E218" s="79"/>
      <c r="O218" s="79"/>
      <c r="S218" s="79"/>
      <c r="T218" s="79"/>
      <c r="Y218" s="79"/>
      <c r="AC218" s="130"/>
      <c r="AE218" s="106"/>
    </row>
    <row r="219">
      <c r="C219" s="79"/>
      <c r="D219" s="79"/>
      <c r="E219" s="79"/>
      <c r="O219" s="79"/>
      <c r="S219" s="79"/>
      <c r="T219" s="79"/>
      <c r="Y219" s="79"/>
      <c r="AC219" s="130"/>
      <c r="AE219" s="106"/>
    </row>
    <row r="220">
      <c r="C220" s="79"/>
      <c r="D220" s="79"/>
      <c r="E220" s="79"/>
      <c r="O220" s="79"/>
      <c r="S220" s="79"/>
      <c r="T220" s="79"/>
      <c r="Y220" s="79"/>
      <c r="AC220" s="130"/>
      <c r="AE220" s="106"/>
    </row>
    <row r="221">
      <c r="C221" s="79"/>
      <c r="D221" s="79"/>
      <c r="E221" s="79"/>
      <c r="O221" s="79"/>
      <c r="S221" s="79"/>
      <c r="T221" s="79"/>
      <c r="Y221" s="79"/>
      <c r="AC221" s="130"/>
      <c r="AE221" s="106"/>
    </row>
    <row r="222">
      <c r="C222" s="79"/>
      <c r="D222" s="79"/>
      <c r="E222" s="79"/>
      <c r="O222" s="79"/>
      <c r="S222" s="79"/>
      <c r="T222" s="79"/>
      <c r="Y222" s="79"/>
      <c r="AC222" s="130"/>
      <c r="AE222" s="106"/>
    </row>
    <row r="223">
      <c r="C223" s="79"/>
      <c r="D223" s="79"/>
      <c r="E223" s="79"/>
      <c r="O223" s="79"/>
      <c r="S223" s="79"/>
      <c r="T223" s="79"/>
      <c r="Y223" s="79"/>
      <c r="AC223" s="130"/>
      <c r="AE223" s="106"/>
    </row>
    <row r="224">
      <c r="C224" s="79"/>
      <c r="D224" s="79"/>
      <c r="E224" s="79"/>
      <c r="O224" s="79"/>
      <c r="S224" s="79"/>
      <c r="T224" s="79"/>
      <c r="Y224" s="79"/>
      <c r="AC224" s="130"/>
      <c r="AE224" s="106"/>
    </row>
    <row r="225">
      <c r="C225" s="79"/>
      <c r="D225" s="79"/>
      <c r="E225" s="79"/>
      <c r="O225" s="79"/>
      <c r="S225" s="79"/>
      <c r="T225" s="79"/>
      <c r="Y225" s="79"/>
      <c r="AC225" s="130"/>
      <c r="AE225" s="106"/>
    </row>
    <row r="226">
      <c r="C226" s="79"/>
      <c r="D226" s="79"/>
      <c r="E226" s="79"/>
      <c r="O226" s="79"/>
      <c r="S226" s="79"/>
      <c r="T226" s="79"/>
      <c r="Y226" s="79"/>
      <c r="AC226" s="130"/>
      <c r="AE226" s="106"/>
    </row>
    <row r="227">
      <c r="C227" s="79"/>
      <c r="D227" s="79"/>
      <c r="E227" s="79"/>
      <c r="O227" s="79"/>
      <c r="S227" s="79"/>
      <c r="T227" s="79"/>
      <c r="Y227" s="79"/>
      <c r="AC227" s="130"/>
      <c r="AE227" s="106"/>
    </row>
    <row r="228">
      <c r="C228" s="79"/>
      <c r="D228" s="79"/>
      <c r="E228" s="79"/>
      <c r="O228" s="79"/>
      <c r="S228" s="79"/>
      <c r="T228" s="79"/>
      <c r="Y228" s="79"/>
      <c r="AC228" s="130"/>
      <c r="AE228" s="106"/>
    </row>
    <row r="229">
      <c r="C229" s="79"/>
      <c r="D229" s="79"/>
      <c r="E229" s="79"/>
      <c r="O229" s="79"/>
      <c r="S229" s="79"/>
      <c r="T229" s="79"/>
      <c r="Y229" s="79"/>
      <c r="AC229" s="130"/>
      <c r="AE229" s="106"/>
    </row>
    <row r="230">
      <c r="C230" s="79"/>
      <c r="D230" s="79"/>
      <c r="E230" s="79"/>
      <c r="O230" s="79"/>
      <c r="S230" s="79"/>
      <c r="T230" s="79"/>
      <c r="Y230" s="79"/>
      <c r="AC230" s="130"/>
      <c r="AE230" s="106"/>
    </row>
    <row r="231">
      <c r="C231" s="79"/>
      <c r="D231" s="79"/>
      <c r="E231" s="79"/>
      <c r="O231" s="79"/>
      <c r="S231" s="79"/>
      <c r="T231" s="79"/>
      <c r="Y231" s="79"/>
      <c r="AC231" s="130"/>
      <c r="AE231" s="106"/>
    </row>
    <row r="232">
      <c r="C232" s="79"/>
      <c r="D232" s="79"/>
      <c r="E232" s="79"/>
      <c r="O232" s="79"/>
      <c r="S232" s="79"/>
      <c r="T232" s="79"/>
      <c r="Y232" s="79"/>
      <c r="AC232" s="130"/>
      <c r="AE232" s="106"/>
    </row>
    <row r="233">
      <c r="C233" s="79"/>
      <c r="D233" s="79"/>
      <c r="E233" s="79"/>
      <c r="O233" s="79"/>
      <c r="S233" s="79"/>
      <c r="T233" s="79"/>
      <c r="Y233" s="79"/>
      <c r="AC233" s="130"/>
      <c r="AE233" s="106"/>
    </row>
    <row r="234">
      <c r="C234" s="79"/>
      <c r="D234" s="79"/>
      <c r="E234" s="79"/>
      <c r="O234" s="79"/>
      <c r="S234" s="79"/>
      <c r="T234" s="79"/>
      <c r="Y234" s="79"/>
      <c r="AC234" s="130"/>
      <c r="AE234" s="106"/>
    </row>
    <row r="235">
      <c r="C235" s="79"/>
      <c r="D235" s="79"/>
      <c r="E235" s="79"/>
      <c r="O235" s="79"/>
      <c r="S235" s="79"/>
      <c r="T235" s="79"/>
      <c r="Y235" s="79"/>
      <c r="AC235" s="130"/>
      <c r="AE235" s="106"/>
    </row>
    <row r="236">
      <c r="C236" s="79"/>
      <c r="D236" s="79"/>
      <c r="E236" s="79"/>
      <c r="O236" s="79"/>
      <c r="S236" s="79"/>
      <c r="T236" s="79"/>
      <c r="Y236" s="79"/>
      <c r="AC236" s="130"/>
      <c r="AE236" s="106"/>
    </row>
    <row r="237">
      <c r="C237" s="79"/>
      <c r="D237" s="79"/>
      <c r="E237" s="79"/>
      <c r="O237" s="79"/>
      <c r="S237" s="79"/>
      <c r="T237" s="79"/>
      <c r="Y237" s="79"/>
      <c r="AC237" s="130"/>
      <c r="AE237" s="106"/>
    </row>
    <row r="238">
      <c r="C238" s="79"/>
      <c r="D238" s="79"/>
      <c r="E238" s="79"/>
      <c r="O238" s="79"/>
      <c r="S238" s="79"/>
      <c r="T238" s="79"/>
      <c r="Y238" s="79"/>
      <c r="AC238" s="130"/>
      <c r="AE238" s="106"/>
    </row>
    <row r="239">
      <c r="C239" s="79"/>
      <c r="D239" s="79"/>
      <c r="E239" s="79"/>
      <c r="O239" s="79"/>
      <c r="S239" s="79"/>
      <c r="T239" s="79"/>
      <c r="Y239" s="79"/>
      <c r="AC239" s="130"/>
      <c r="AE239" s="106"/>
    </row>
    <row r="240">
      <c r="C240" s="79"/>
      <c r="D240" s="79"/>
      <c r="E240" s="79"/>
      <c r="O240" s="79"/>
      <c r="S240" s="79"/>
      <c r="T240" s="79"/>
      <c r="Y240" s="79"/>
      <c r="AC240" s="130"/>
      <c r="AE240" s="106"/>
    </row>
    <row r="241">
      <c r="C241" s="79"/>
      <c r="D241" s="79"/>
      <c r="E241" s="79"/>
      <c r="O241" s="79"/>
      <c r="S241" s="79"/>
      <c r="T241" s="79"/>
      <c r="Y241" s="79"/>
      <c r="AC241" s="130"/>
      <c r="AE241" s="106"/>
    </row>
    <row r="242">
      <c r="C242" s="79"/>
      <c r="D242" s="79"/>
      <c r="E242" s="79"/>
      <c r="O242" s="79"/>
      <c r="S242" s="79"/>
      <c r="T242" s="79"/>
      <c r="Y242" s="79"/>
      <c r="AC242" s="130"/>
      <c r="AE242" s="106"/>
    </row>
    <row r="243">
      <c r="C243" s="79"/>
      <c r="D243" s="79"/>
      <c r="E243" s="79"/>
      <c r="O243" s="79"/>
      <c r="S243" s="79"/>
      <c r="T243" s="79"/>
      <c r="Y243" s="79"/>
      <c r="AC243" s="130"/>
      <c r="AE243" s="106"/>
    </row>
    <row r="244">
      <c r="C244" s="79"/>
      <c r="D244" s="79"/>
      <c r="E244" s="79"/>
      <c r="O244" s="79"/>
      <c r="S244" s="79"/>
      <c r="T244" s="79"/>
      <c r="Y244" s="79"/>
      <c r="AC244" s="130"/>
      <c r="AE244" s="106"/>
    </row>
    <row r="245">
      <c r="C245" s="79"/>
      <c r="D245" s="79"/>
      <c r="E245" s="79"/>
      <c r="O245" s="79"/>
      <c r="S245" s="79"/>
      <c r="T245" s="79"/>
      <c r="Y245" s="79"/>
      <c r="AC245" s="130"/>
      <c r="AE245" s="106"/>
    </row>
    <row r="246">
      <c r="C246" s="79"/>
      <c r="D246" s="79"/>
      <c r="E246" s="79"/>
      <c r="O246" s="79"/>
      <c r="S246" s="79"/>
      <c r="T246" s="79"/>
      <c r="Y246" s="79"/>
      <c r="AC246" s="130"/>
      <c r="AE246" s="106"/>
    </row>
    <row r="247">
      <c r="C247" s="79"/>
      <c r="D247" s="79"/>
      <c r="E247" s="79"/>
      <c r="O247" s="79"/>
      <c r="S247" s="79"/>
      <c r="T247" s="79"/>
      <c r="Y247" s="79"/>
      <c r="AC247" s="130"/>
      <c r="AE247" s="106"/>
    </row>
    <row r="248">
      <c r="C248" s="79"/>
      <c r="D248" s="79"/>
      <c r="E248" s="79"/>
      <c r="O248" s="79"/>
      <c r="S248" s="79"/>
      <c r="T248" s="79"/>
      <c r="Y248" s="79"/>
      <c r="AC248" s="130"/>
      <c r="AE248" s="106"/>
    </row>
    <row r="249">
      <c r="C249" s="79"/>
      <c r="D249" s="79"/>
      <c r="E249" s="79"/>
      <c r="O249" s="79"/>
      <c r="S249" s="79"/>
      <c r="T249" s="79"/>
      <c r="Y249" s="79"/>
      <c r="AC249" s="130"/>
      <c r="AE249" s="106"/>
    </row>
    <row r="250">
      <c r="C250" s="79"/>
      <c r="D250" s="79"/>
      <c r="E250" s="79"/>
      <c r="O250" s="79"/>
      <c r="S250" s="79"/>
      <c r="T250" s="79"/>
      <c r="Y250" s="79"/>
      <c r="AC250" s="130"/>
      <c r="AE250" s="106"/>
    </row>
    <row r="251">
      <c r="C251" s="79"/>
      <c r="D251" s="79"/>
      <c r="E251" s="79"/>
      <c r="O251" s="79"/>
      <c r="S251" s="79"/>
      <c r="T251" s="79"/>
      <c r="Y251" s="79"/>
      <c r="AC251" s="130"/>
      <c r="AE251" s="106"/>
    </row>
    <row r="252">
      <c r="C252" s="79"/>
      <c r="D252" s="79"/>
      <c r="E252" s="79"/>
      <c r="O252" s="79"/>
      <c r="S252" s="79"/>
      <c r="T252" s="79"/>
      <c r="Y252" s="79"/>
      <c r="AC252" s="130"/>
      <c r="AE252" s="106"/>
    </row>
    <row r="253">
      <c r="C253" s="79"/>
      <c r="D253" s="79"/>
      <c r="E253" s="79"/>
      <c r="O253" s="79"/>
      <c r="S253" s="79"/>
      <c r="T253" s="79"/>
      <c r="Y253" s="79"/>
      <c r="AC253" s="130"/>
      <c r="AE253" s="106"/>
    </row>
    <row r="254">
      <c r="C254" s="79"/>
      <c r="D254" s="79"/>
      <c r="E254" s="79"/>
      <c r="O254" s="79"/>
      <c r="S254" s="79"/>
      <c r="T254" s="79"/>
      <c r="Y254" s="79"/>
      <c r="AC254" s="130"/>
      <c r="AE254" s="106"/>
    </row>
    <row r="255">
      <c r="C255" s="79"/>
      <c r="D255" s="79"/>
      <c r="E255" s="79"/>
      <c r="O255" s="79"/>
      <c r="S255" s="79"/>
      <c r="T255" s="79"/>
      <c r="Y255" s="79"/>
      <c r="AC255" s="130"/>
      <c r="AE255" s="106"/>
    </row>
    <row r="256">
      <c r="C256" s="79"/>
      <c r="D256" s="79"/>
      <c r="E256" s="79"/>
      <c r="O256" s="79"/>
      <c r="S256" s="79"/>
      <c r="T256" s="79"/>
      <c r="Y256" s="79"/>
      <c r="AC256" s="130"/>
      <c r="AE256" s="106"/>
    </row>
    <row r="257">
      <c r="C257" s="79"/>
      <c r="D257" s="79"/>
      <c r="E257" s="79"/>
      <c r="O257" s="79"/>
      <c r="S257" s="79"/>
      <c r="T257" s="79"/>
      <c r="Y257" s="79"/>
      <c r="AC257" s="130"/>
      <c r="AE257" s="106"/>
    </row>
    <row r="258">
      <c r="C258" s="79"/>
      <c r="D258" s="79"/>
      <c r="E258" s="79"/>
      <c r="O258" s="79"/>
      <c r="S258" s="79"/>
      <c r="T258" s="79"/>
      <c r="Y258" s="79"/>
      <c r="AC258" s="130"/>
      <c r="AE258" s="106"/>
    </row>
    <row r="259">
      <c r="C259" s="79"/>
      <c r="D259" s="79"/>
      <c r="E259" s="79"/>
      <c r="O259" s="79"/>
      <c r="S259" s="79"/>
      <c r="T259" s="79"/>
      <c r="Y259" s="79"/>
      <c r="AC259" s="130"/>
      <c r="AE259" s="106"/>
    </row>
    <row r="260">
      <c r="C260" s="79"/>
      <c r="D260" s="79"/>
      <c r="E260" s="79"/>
      <c r="O260" s="79"/>
      <c r="S260" s="79"/>
      <c r="T260" s="79"/>
      <c r="Y260" s="79"/>
      <c r="AC260" s="130"/>
      <c r="AE260" s="106"/>
    </row>
    <row r="261">
      <c r="C261" s="79"/>
      <c r="D261" s="79"/>
      <c r="E261" s="79"/>
      <c r="O261" s="79"/>
      <c r="S261" s="79"/>
      <c r="T261" s="79"/>
      <c r="Y261" s="79"/>
      <c r="AC261" s="130"/>
      <c r="AE261" s="106"/>
    </row>
    <row r="262">
      <c r="C262" s="79"/>
      <c r="D262" s="79"/>
      <c r="E262" s="79"/>
      <c r="O262" s="79"/>
      <c r="S262" s="79"/>
      <c r="T262" s="79"/>
      <c r="Y262" s="79"/>
      <c r="AC262" s="130"/>
      <c r="AE262" s="106"/>
    </row>
    <row r="263">
      <c r="C263" s="79"/>
      <c r="D263" s="79"/>
      <c r="E263" s="79"/>
      <c r="O263" s="79"/>
      <c r="S263" s="79"/>
      <c r="T263" s="79"/>
      <c r="Y263" s="79"/>
      <c r="AC263" s="130"/>
      <c r="AE263" s="106"/>
    </row>
    <row r="264">
      <c r="C264" s="79"/>
      <c r="D264" s="79"/>
      <c r="E264" s="79"/>
      <c r="O264" s="79"/>
      <c r="S264" s="79"/>
      <c r="T264" s="79"/>
      <c r="Y264" s="79"/>
      <c r="AC264" s="130"/>
      <c r="AE264" s="106"/>
    </row>
    <row r="265">
      <c r="C265" s="79"/>
      <c r="D265" s="79"/>
      <c r="E265" s="79"/>
      <c r="O265" s="79"/>
      <c r="S265" s="79"/>
      <c r="T265" s="79"/>
      <c r="Y265" s="79"/>
      <c r="AC265" s="130"/>
      <c r="AE265" s="106"/>
    </row>
    <row r="266">
      <c r="C266" s="79"/>
      <c r="D266" s="79"/>
      <c r="E266" s="79"/>
      <c r="O266" s="79"/>
      <c r="S266" s="79"/>
      <c r="T266" s="79"/>
      <c r="Y266" s="79"/>
      <c r="AC266" s="130"/>
      <c r="AE266" s="106"/>
    </row>
    <row r="267">
      <c r="C267" s="79"/>
      <c r="D267" s="79"/>
      <c r="E267" s="79"/>
      <c r="O267" s="79"/>
      <c r="S267" s="79"/>
      <c r="T267" s="79"/>
      <c r="Y267" s="79"/>
      <c r="AC267" s="130"/>
      <c r="AE267" s="106"/>
    </row>
    <row r="268">
      <c r="C268" s="79"/>
      <c r="D268" s="79"/>
      <c r="E268" s="79"/>
      <c r="O268" s="79"/>
      <c r="S268" s="79"/>
      <c r="T268" s="79"/>
      <c r="Y268" s="79"/>
      <c r="AC268" s="130"/>
      <c r="AE268" s="106"/>
    </row>
    <row r="269">
      <c r="C269" s="79"/>
      <c r="D269" s="79"/>
      <c r="E269" s="79"/>
      <c r="O269" s="79"/>
      <c r="S269" s="79"/>
      <c r="T269" s="79"/>
      <c r="Y269" s="79"/>
      <c r="AC269" s="130"/>
      <c r="AE269" s="106"/>
    </row>
    <row r="270">
      <c r="C270" s="79"/>
      <c r="D270" s="79"/>
      <c r="E270" s="79"/>
      <c r="O270" s="79"/>
      <c r="S270" s="79"/>
      <c r="T270" s="79"/>
      <c r="Y270" s="79"/>
      <c r="AC270" s="130"/>
      <c r="AE270" s="106"/>
    </row>
    <row r="271">
      <c r="C271" s="79"/>
      <c r="D271" s="79"/>
      <c r="E271" s="79"/>
      <c r="O271" s="79"/>
      <c r="S271" s="79"/>
      <c r="T271" s="79"/>
      <c r="Y271" s="79"/>
      <c r="AC271" s="130"/>
      <c r="AE271" s="106"/>
    </row>
    <row r="272">
      <c r="C272" s="79"/>
      <c r="D272" s="79"/>
      <c r="E272" s="79"/>
      <c r="O272" s="79"/>
      <c r="S272" s="79"/>
      <c r="T272" s="79"/>
      <c r="Y272" s="79"/>
      <c r="AC272" s="130"/>
      <c r="AE272" s="106"/>
    </row>
    <row r="273">
      <c r="C273" s="79"/>
      <c r="D273" s="79"/>
      <c r="E273" s="79"/>
      <c r="O273" s="79"/>
      <c r="S273" s="79"/>
      <c r="T273" s="79"/>
      <c r="Y273" s="79"/>
      <c r="AC273" s="130"/>
      <c r="AE273" s="106"/>
    </row>
    <row r="274">
      <c r="C274" s="79"/>
      <c r="D274" s="79"/>
      <c r="E274" s="79"/>
      <c r="O274" s="79"/>
      <c r="S274" s="79"/>
      <c r="T274" s="79"/>
      <c r="Y274" s="79"/>
      <c r="AC274" s="130"/>
      <c r="AE274" s="106"/>
    </row>
    <row r="275">
      <c r="C275" s="79"/>
      <c r="D275" s="79"/>
      <c r="E275" s="79"/>
      <c r="O275" s="79"/>
      <c r="S275" s="79"/>
      <c r="T275" s="79"/>
      <c r="Y275" s="79"/>
      <c r="AC275" s="130"/>
      <c r="AE275" s="106"/>
    </row>
    <row r="276">
      <c r="C276" s="79"/>
      <c r="D276" s="79"/>
      <c r="E276" s="79"/>
      <c r="O276" s="79"/>
      <c r="S276" s="79"/>
      <c r="T276" s="79"/>
      <c r="Y276" s="79"/>
      <c r="AC276" s="130"/>
      <c r="AE276" s="106"/>
    </row>
    <row r="277">
      <c r="C277" s="79"/>
      <c r="D277" s="79"/>
      <c r="E277" s="79"/>
      <c r="O277" s="79"/>
      <c r="S277" s="79"/>
      <c r="T277" s="79"/>
      <c r="Y277" s="79"/>
      <c r="AC277" s="130"/>
      <c r="AE277" s="106"/>
    </row>
    <row r="278">
      <c r="C278" s="79"/>
      <c r="D278" s="79"/>
      <c r="E278" s="79"/>
      <c r="O278" s="79"/>
      <c r="S278" s="79"/>
      <c r="T278" s="79"/>
      <c r="Y278" s="79"/>
      <c r="AC278" s="130"/>
      <c r="AE278" s="106"/>
    </row>
    <row r="279">
      <c r="C279" s="79"/>
      <c r="D279" s="79"/>
      <c r="E279" s="79"/>
      <c r="O279" s="79"/>
      <c r="S279" s="79"/>
      <c r="T279" s="79"/>
      <c r="Y279" s="79"/>
      <c r="AC279" s="130"/>
      <c r="AE279" s="106"/>
    </row>
    <row r="280">
      <c r="C280" s="79"/>
      <c r="D280" s="79"/>
      <c r="E280" s="79"/>
      <c r="O280" s="79"/>
      <c r="S280" s="79"/>
      <c r="T280" s="79"/>
      <c r="Y280" s="79"/>
      <c r="AC280" s="130"/>
      <c r="AE280" s="106"/>
    </row>
    <row r="281">
      <c r="C281" s="79"/>
      <c r="D281" s="79"/>
      <c r="E281" s="79"/>
      <c r="O281" s="79"/>
      <c r="S281" s="79"/>
      <c r="T281" s="79"/>
      <c r="Y281" s="79"/>
      <c r="AC281" s="130"/>
      <c r="AE281" s="106"/>
    </row>
    <row r="282">
      <c r="C282" s="79"/>
      <c r="D282" s="79"/>
      <c r="E282" s="79"/>
      <c r="O282" s="79"/>
      <c r="S282" s="79"/>
      <c r="T282" s="79"/>
      <c r="Y282" s="79"/>
      <c r="AC282" s="130"/>
      <c r="AE282" s="106"/>
    </row>
    <row r="283">
      <c r="C283" s="79"/>
      <c r="D283" s="79"/>
      <c r="E283" s="79"/>
      <c r="O283" s="79"/>
      <c r="S283" s="79"/>
      <c r="T283" s="79"/>
      <c r="Y283" s="79"/>
      <c r="AC283" s="130"/>
      <c r="AE283" s="106"/>
    </row>
    <row r="284">
      <c r="C284" s="79"/>
      <c r="D284" s="79"/>
      <c r="E284" s="79"/>
      <c r="O284" s="79"/>
      <c r="S284" s="79"/>
      <c r="T284" s="79"/>
      <c r="Y284" s="79"/>
      <c r="AC284" s="130"/>
      <c r="AE284" s="106"/>
    </row>
    <row r="285">
      <c r="C285" s="79"/>
      <c r="D285" s="79"/>
      <c r="E285" s="79"/>
      <c r="O285" s="79"/>
      <c r="S285" s="79"/>
      <c r="T285" s="79"/>
      <c r="Y285" s="79"/>
      <c r="AC285" s="130"/>
      <c r="AE285" s="106"/>
    </row>
    <row r="286">
      <c r="C286" s="79"/>
      <c r="D286" s="79"/>
      <c r="E286" s="79"/>
      <c r="O286" s="79"/>
      <c r="S286" s="79"/>
      <c r="T286" s="79"/>
      <c r="Y286" s="79"/>
      <c r="AC286" s="130"/>
      <c r="AE286" s="106"/>
    </row>
    <row r="287">
      <c r="C287" s="79"/>
      <c r="D287" s="79"/>
      <c r="E287" s="79"/>
      <c r="O287" s="79"/>
      <c r="S287" s="79"/>
      <c r="T287" s="79"/>
      <c r="Y287" s="79"/>
      <c r="AC287" s="130"/>
      <c r="AE287" s="106"/>
    </row>
    <row r="288">
      <c r="C288" s="79"/>
      <c r="D288" s="79"/>
      <c r="E288" s="79"/>
      <c r="O288" s="79"/>
      <c r="S288" s="79"/>
      <c r="T288" s="79"/>
      <c r="Y288" s="79"/>
      <c r="AC288" s="130"/>
      <c r="AE288" s="106"/>
    </row>
    <row r="289">
      <c r="C289" s="79"/>
      <c r="D289" s="79"/>
      <c r="E289" s="79"/>
      <c r="O289" s="79"/>
      <c r="S289" s="79"/>
      <c r="T289" s="79"/>
      <c r="Y289" s="79"/>
      <c r="AC289" s="130"/>
      <c r="AE289" s="106"/>
    </row>
    <row r="290">
      <c r="C290" s="79"/>
      <c r="D290" s="79"/>
      <c r="E290" s="79"/>
      <c r="O290" s="79"/>
      <c r="S290" s="79"/>
      <c r="T290" s="79"/>
      <c r="Y290" s="79"/>
      <c r="AC290" s="130"/>
      <c r="AE290" s="106"/>
    </row>
    <row r="291">
      <c r="C291" s="79"/>
      <c r="D291" s="79"/>
      <c r="E291" s="79"/>
      <c r="O291" s="79"/>
      <c r="S291" s="79"/>
      <c r="T291" s="79"/>
      <c r="Y291" s="79"/>
      <c r="AC291" s="130"/>
      <c r="AE291" s="106"/>
    </row>
    <row r="292">
      <c r="C292" s="79"/>
      <c r="D292" s="79"/>
      <c r="E292" s="79"/>
      <c r="O292" s="79"/>
      <c r="S292" s="79"/>
      <c r="T292" s="79"/>
      <c r="Y292" s="79"/>
      <c r="AC292" s="130"/>
      <c r="AE292" s="106"/>
    </row>
    <row r="293">
      <c r="C293" s="79"/>
      <c r="D293" s="79"/>
      <c r="E293" s="79"/>
      <c r="O293" s="79"/>
      <c r="S293" s="79"/>
      <c r="T293" s="79"/>
      <c r="Y293" s="79"/>
      <c r="AC293" s="130"/>
      <c r="AE293" s="106"/>
    </row>
    <row r="294">
      <c r="C294" s="79"/>
      <c r="D294" s="79"/>
      <c r="E294" s="79"/>
      <c r="O294" s="79"/>
      <c r="S294" s="79"/>
      <c r="T294" s="79"/>
      <c r="Y294" s="79"/>
      <c r="AC294" s="130"/>
      <c r="AE294" s="106"/>
    </row>
    <row r="295">
      <c r="C295" s="79"/>
      <c r="D295" s="79"/>
      <c r="E295" s="79"/>
      <c r="O295" s="79"/>
      <c r="S295" s="79"/>
      <c r="T295" s="79"/>
      <c r="Y295" s="79"/>
      <c r="AC295" s="130"/>
      <c r="AE295" s="106"/>
    </row>
    <row r="296">
      <c r="C296" s="79"/>
      <c r="D296" s="79"/>
      <c r="E296" s="79"/>
      <c r="O296" s="79"/>
      <c r="S296" s="79"/>
      <c r="T296" s="79"/>
      <c r="Y296" s="79"/>
      <c r="AC296" s="130"/>
      <c r="AE296" s="106"/>
    </row>
    <row r="297">
      <c r="C297" s="79"/>
      <c r="D297" s="79"/>
      <c r="E297" s="79"/>
      <c r="O297" s="79"/>
      <c r="S297" s="79"/>
      <c r="T297" s="79"/>
      <c r="Y297" s="79"/>
      <c r="AC297" s="130"/>
      <c r="AE297" s="106"/>
    </row>
    <row r="298">
      <c r="C298" s="79"/>
      <c r="D298" s="79"/>
      <c r="E298" s="79"/>
      <c r="O298" s="79"/>
      <c r="S298" s="79"/>
      <c r="T298" s="79"/>
      <c r="Y298" s="79"/>
      <c r="AC298" s="130"/>
      <c r="AE298" s="106"/>
    </row>
    <row r="299">
      <c r="C299" s="79"/>
      <c r="D299" s="79"/>
      <c r="E299" s="79"/>
      <c r="O299" s="79"/>
      <c r="S299" s="79"/>
      <c r="T299" s="79"/>
      <c r="Y299" s="79"/>
      <c r="AC299" s="130"/>
      <c r="AE299" s="106"/>
    </row>
    <row r="300">
      <c r="C300" s="79"/>
      <c r="D300" s="79"/>
      <c r="E300" s="79"/>
      <c r="O300" s="79"/>
      <c r="S300" s="79"/>
      <c r="T300" s="79"/>
      <c r="Y300" s="79"/>
      <c r="AC300" s="130"/>
      <c r="AE300" s="106"/>
    </row>
    <row r="301">
      <c r="C301" s="79"/>
      <c r="D301" s="79"/>
      <c r="E301" s="79"/>
      <c r="O301" s="79"/>
      <c r="S301" s="79"/>
      <c r="T301" s="79"/>
      <c r="Y301" s="79"/>
      <c r="AC301" s="130"/>
      <c r="AE301" s="106"/>
    </row>
    <row r="302">
      <c r="C302" s="79"/>
      <c r="D302" s="79"/>
      <c r="E302" s="79"/>
      <c r="O302" s="79"/>
      <c r="S302" s="79"/>
      <c r="T302" s="79"/>
      <c r="Y302" s="79"/>
      <c r="AC302" s="130"/>
      <c r="AE302" s="106"/>
    </row>
    <row r="303">
      <c r="C303" s="79"/>
      <c r="D303" s="79"/>
      <c r="E303" s="79"/>
      <c r="O303" s="79"/>
      <c r="S303" s="79"/>
      <c r="T303" s="79"/>
      <c r="Y303" s="79"/>
      <c r="AC303" s="130"/>
      <c r="AE303" s="106"/>
    </row>
    <row r="304">
      <c r="C304" s="79"/>
      <c r="D304" s="79"/>
      <c r="E304" s="79"/>
      <c r="O304" s="79"/>
      <c r="S304" s="79"/>
      <c r="T304" s="79"/>
      <c r="Y304" s="79"/>
      <c r="AC304" s="130"/>
      <c r="AE304" s="106"/>
    </row>
    <row r="305">
      <c r="C305" s="79"/>
      <c r="D305" s="79"/>
      <c r="E305" s="79"/>
      <c r="O305" s="79"/>
      <c r="S305" s="79"/>
      <c r="T305" s="79"/>
      <c r="Y305" s="79"/>
      <c r="AC305" s="130"/>
      <c r="AE305" s="106"/>
    </row>
    <row r="306">
      <c r="C306" s="79"/>
      <c r="D306" s="79"/>
      <c r="E306" s="79"/>
      <c r="O306" s="79"/>
      <c r="S306" s="79"/>
      <c r="T306" s="79"/>
      <c r="Y306" s="79"/>
      <c r="AC306" s="130"/>
      <c r="AE306" s="106"/>
    </row>
    <row r="307">
      <c r="C307" s="79"/>
      <c r="D307" s="79"/>
      <c r="E307" s="79"/>
      <c r="O307" s="79"/>
      <c r="S307" s="79"/>
      <c r="T307" s="79"/>
      <c r="Y307" s="79"/>
      <c r="AC307" s="130"/>
      <c r="AE307" s="106"/>
    </row>
    <row r="308">
      <c r="C308" s="79"/>
      <c r="D308" s="79"/>
      <c r="E308" s="79"/>
      <c r="O308" s="79"/>
      <c r="S308" s="79"/>
      <c r="T308" s="79"/>
      <c r="Y308" s="79"/>
      <c r="AC308" s="130"/>
      <c r="AE308" s="106"/>
    </row>
    <row r="309">
      <c r="C309" s="79"/>
      <c r="D309" s="79"/>
      <c r="E309" s="79"/>
      <c r="O309" s="79"/>
      <c r="S309" s="79"/>
      <c r="T309" s="79"/>
      <c r="Y309" s="79"/>
      <c r="AC309" s="130"/>
      <c r="AE309" s="106"/>
    </row>
    <row r="310">
      <c r="C310" s="79"/>
      <c r="D310" s="79"/>
      <c r="E310" s="79"/>
      <c r="O310" s="79"/>
      <c r="S310" s="79"/>
      <c r="T310" s="79"/>
      <c r="Y310" s="79"/>
      <c r="AC310" s="130"/>
      <c r="AE310" s="106"/>
    </row>
    <row r="311">
      <c r="C311" s="79"/>
      <c r="D311" s="79"/>
      <c r="E311" s="79"/>
      <c r="O311" s="79"/>
      <c r="S311" s="79"/>
      <c r="T311" s="79"/>
      <c r="Y311" s="79"/>
      <c r="AC311" s="130"/>
      <c r="AE311" s="106"/>
    </row>
    <row r="312">
      <c r="C312" s="79"/>
      <c r="D312" s="79"/>
      <c r="E312" s="79"/>
      <c r="O312" s="79"/>
      <c r="S312" s="79"/>
      <c r="T312" s="79"/>
      <c r="Y312" s="79"/>
      <c r="AC312" s="130"/>
      <c r="AE312" s="106"/>
    </row>
    <row r="313">
      <c r="C313" s="79"/>
      <c r="D313" s="79"/>
      <c r="E313" s="79"/>
      <c r="O313" s="79"/>
      <c r="S313" s="79"/>
      <c r="T313" s="79"/>
      <c r="Y313" s="79"/>
      <c r="AC313" s="130"/>
      <c r="AE313" s="106"/>
    </row>
    <row r="314">
      <c r="C314" s="79"/>
      <c r="D314" s="79"/>
      <c r="E314" s="79"/>
      <c r="O314" s="79"/>
      <c r="S314" s="79"/>
      <c r="T314" s="79"/>
      <c r="Y314" s="79"/>
      <c r="AC314" s="130"/>
      <c r="AE314" s="106"/>
    </row>
    <row r="315">
      <c r="C315" s="79"/>
      <c r="D315" s="79"/>
      <c r="E315" s="79"/>
      <c r="O315" s="79"/>
      <c r="S315" s="79"/>
      <c r="T315" s="79"/>
      <c r="Y315" s="79"/>
      <c r="AC315" s="130"/>
      <c r="AE315" s="106"/>
    </row>
    <row r="316">
      <c r="C316" s="79"/>
      <c r="D316" s="79"/>
      <c r="E316" s="79"/>
      <c r="O316" s="79"/>
      <c r="S316" s="79"/>
      <c r="T316" s="79"/>
      <c r="Y316" s="79"/>
      <c r="AC316" s="130"/>
      <c r="AE316" s="106"/>
    </row>
    <row r="317">
      <c r="C317" s="79"/>
      <c r="D317" s="79"/>
      <c r="E317" s="79"/>
      <c r="O317" s="79"/>
      <c r="S317" s="79"/>
      <c r="T317" s="79"/>
      <c r="Y317" s="79"/>
      <c r="AC317" s="130"/>
      <c r="AE317" s="106"/>
    </row>
    <row r="318">
      <c r="C318" s="79"/>
      <c r="D318" s="79"/>
      <c r="E318" s="79"/>
      <c r="O318" s="79"/>
      <c r="S318" s="79"/>
      <c r="T318" s="79"/>
      <c r="Y318" s="79"/>
      <c r="AC318" s="130"/>
      <c r="AE318" s="106"/>
    </row>
    <row r="319">
      <c r="C319" s="79"/>
      <c r="D319" s="79"/>
      <c r="E319" s="79"/>
      <c r="O319" s="79"/>
      <c r="S319" s="79"/>
      <c r="T319" s="79"/>
      <c r="Y319" s="79"/>
      <c r="AC319" s="130"/>
      <c r="AE319" s="106"/>
    </row>
    <row r="320">
      <c r="C320" s="79"/>
      <c r="D320" s="79"/>
      <c r="E320" s="79"/>
      <c r="O320" s="79"/>
      <c r="S320" s="79"/>
      <c r="T320" s="79"/>
      <c r="Y320" s="79"/>
      <c r="AC320" s="130"/>
      <c r="AE320" s="106"/>
    </row>
    <row r="321">
      <c r="C321" s="79"/>
      <c r="D321" s="79"/>
      <c r="E321" s="79"/>
      <c r="O321" s="79"/>
      <c r="S321" s="79"/>
      <c r="T321" s="79"/>
      <c r="Y321" s="79"/>
      <c r="AC321" s="130"/>
      <c r="AE321" s="106"/>
    </row>
    <row r="322">
      <c r="C322" s="79"/>
      <c r="D322" s="79"/>
      <c r="E322" s="79"/>
      <c r="O322" s="79"/>
      <c r="S322" s="79"/>
      <c r="T322" s="79"/>
      <c r="Y322" s="79"/>
      <c r="AC322" s="130"/>
      <c r="AE322" s="106"/>
    </row>
    <row r="323">
      <c r="C323" s="79"/>
      <c r="D323" s="79"/>
      <c r="E323" s="79"/>
      <c r="O323" s="79"/>
      <c r="S323" s="79"/>
      <c r="T323" s="79"/>
      <c r="Y323" s="79"/>
      <c r="AC323" s="130"/>
      <c r="AE323" s="106"/>
    </row>
    <row r="324">
      <c r="C324" s="79"/>
      <c r="D324" s="79"/>
      <c r="E324" s="79"/>
      <c r="O324" s="79"/>
      <c r="S324" s="79"/>
      <c r="T324" s="79"/>
      <c r="Y324" s="79"/>
      <c r="AC324" s="130"/>
      <c r="AE324" s="106"/>
    </row>
    <row r="325">
      <c r="C325" s="79"/>
      <c r="D325" s="79"/>
      <c r="E325" s="79"/>
      <c r="O325" s="79"/>
      <c r="S325" s="79"/>
      <c r="T325" s="79"/>
      <c r="Y325" s="79"/>
      <c r="AC325" s="130"/>
      <c r="AE325" s="106"/>
    </row>
    <row r="326">
      <c r="C326" s="79"/>
      <c r="D326" s="79"/>
      <c r="E326" s="79"/>
      <c r="O326" s="79"/>
      <c r="S326" s="79"/>
      <c r="T326" s="79"/>
      <c r="Y326" s="79"/>
      <c r="AC326" s="130"/>
      <c r="AE326" s="106"/>
    </row>
    <row r="327">
      <c r="C327" s="79"/>
      <c r="D327" s="79"/>
      <c r="E327" s="79"/>
      <c r="O327" s="79"/>
      <c r="S327" s="79"/>
      <c r="T327" s="79"/>
      <c r="Y327" s="79"/>
      <c r="AC327" s="130"/>
      <c r="AE327" s="106"/>
    </row>
    <row r="328">
      <c r="C328" s="79"/>
      <c r="D328" s="79"/>
      <c r="E328" s="79"/>
      <c r="O328" s="79"/>
      <c r="S328" s="79"/>
      <c r="T328" s="79"/>
      <c r="Y328" s="79"/>
      <c r="AC328" s="130"/>
      <c r="AE328" s="106"/>
    </row>
    <row r="329">
      <c r="C329" s="79"/>
      <c r="D329" s="79"/>
      <c r="E329" s="79"/>
      <c r="O329" s="79"/>
      <c r="S329" s="79"/>
      <c r="T329" s="79"/>
      <c r="Y329" s="79"/>
      <c r="AC329" s="130"/>
      <c r="AE329" s="106"/>
    </row>
    <row r="330">
      <c r="C330" s="79"/>
      <c r="D330" s="79"/>
      <c r="E330" s="79"/>
      <c r="O330" s="79"/>
      <c r="S330" s="79"/>
      <c r="T330" s="79"/>
      <c r="Y330" s="79"/>
      <c r="AC330" s="130"/>
      <c r="AE330" s="106"/>
    </row>
    <row r="331">
      <c r="C331" s="79"/>
      <c r="D331" s="79"/>
      <c r="E331" s="79"/>
      <c r="O331" s="79"/>
      <c r="S331" s="79"/>
      <c r="T331" s="79"/>
      <c r="Y331" s="79"/>
      <c r="AC331" s="130"/>
      <c r="AE331" s="106"/>
    </row>
    <row r="332">
      <c r="C332" s="79"/>
      <c r="D332" s="79"/>
      <c r="E332" s="79"/>
      <c r="O332" s="79"/>
      <c r="S332" s="79"/>
      <c r="T332" s="79"/>
      <c r="Y332" s="79"/>
      <c r="AC332" s="130"/>
      <c r="AE332" s="106"/>
    </row>
    <row r="333">
      <c r="C333" s="79"/>
      <c r="D333" s="79"/>
      <c r="E333" s="79"/>
      <c r="O333" s="79"/>
      <c r="S333" s="79"/>
      <c r="T333" s="79"/>
      <c r="Y333" s="79"/>
      <c r="AC333" s="130"/>
      <c r="AE333" s="106"/>
    </row>
    <row r="334">
      <c r="C334" s="79"/>
      <c r="D334" s="79"/>
      <c r="E334" s="79"/>
      <c r="O334" s="79"/>
      <c r="S334" s="79"/>
      <c r="T334" s="79"/>
      <c r="Y334" s="79"/>
      <c r="AC334" s="130"/>
      <c r="AE334" s="106"/>
    </row>
    <row r="335">
      <c r="C335" s="79"/>
      <c r="D335" s="79"/>
      <c r="E335" s="79"/>
      <c r="O335" s="79"/>
      <c r="S335" s="79"/>
      <c r="T335" s="79"/>
      <c r="Y335" s="79"/>
      <c r="AC335" s="130"/>
      <c r="AE335" s="106"/>
    </row>
    <row r="336">
      <c r="C336" s="79"/>
      <c r="D336" s="79"/>
      <c r="E336" s="79"/>
      <c r="O336" s="79"/>
      <c r="S336" s="79"/>
      <c r="T336" s="79"/>
      <c r="Y336" s="79"/>
      <c r="AC336" s="130"/>
      <c r="AE336" s="106"/>
    </row>
    <row r="337">
      <c r="C337" s="79"/>
      <c r="D337" s="79"/>
      <c r="E337" s="79"/>
      <c r="O337" s="79"/>
      <c r="S337" s="79"/>
      <c r="T337" s="79"/>
      <c r="Y337" s="79"/>
      <c r="AC337" s="130"/>
      <c r="AE337" s="106"/>
    </row>
    <row r="338">
      <c r="C338" s="79"/>
      <c r="D338" s="79"/>
      <c r="E338" s="79"/>
      <c r="O338" s="79"/>
      <c r="S338" s="79"/>
      <c r="T338" s="79"/>
      <c r="Y338" s="79"/>
      <c r="AC338" s="130"/>
      <c r="AE338" s="106"/>
    </row>
    <row r="339">
      <c r="C339" s="79"/>
      <c r="D339" s="79"/>
      <c r="E339" s="79"/>
      <c r="O339" s="79"/>
      <c r="S339" s="79"/>
      <c r="T339" s="79"/>
      <c r="Y339" s="79"/>
      <c r="AC339" s="130"/>
      <c r="AE339" s="106"/>
    </row>
    <row r="340">
      <c r="C340" s="79"/>
      <c r="D340" s="79"/>
      <c r="E340" s="79"/>
      <c r="O340" s="79"/>
      <c r="S340" s="79"/>
      <c r="T340" s="79"/>
      <c r="Y340" s="79"/>
      <c r="AC340" s="130"/>
      <c r="AE340" s="106"/>
    </row>
    <row r="341">
      <c r="C341" s="79"/>
      <c r="D341" s="79"/>
      <c r="E341" s="79"/>
      <c r="O341" s="79"/>
      <c r="S341" s="79"/>
      <c r="T341" s="79"/>
      <c r="Y341" s="79"/>
      <c r="AC341" s="130"/>
      <c r="AE341" s="106"/>
    </row>
    <row r="342">
      <c r="C342" s="79"/>
      <c r="D342" s="79"/>
      <c r="E342" s="79"/>
      <c r="O342" s="79"/>
      <c r="S342" s="79"/>
      <c r="T342" s="79"/>
      <c r="Y342" s="79"/>
      <c r="AC342" s="130"/>
      <c r="AE342" s="106"/>
    </row>
    <row r="343">
      <c r="C343" s="79"/>
      <c r="D343" s="79"/>
      <c r="E343" s="79"/>
      <c r="O343" s="79"/>
      <c r="S343" s="79"/>
      <c r="T343" s="79"/>
      <c r="Y343" s="79"/>
      <c r="AC343" s="130"/>
      <c r="AE343" s="106"/>
    </row>
    <row r="344">
      <c r="C344" s="79"/>
      <c r="D344" s="79"/>
      <c r="E344" s="79"/>
      <c r="O344" s="79"/>
      <c r="S344" s="79"/>
      <c r="T344" s="79"/>
      <c r="Y344" s="79"/>
      <c r="AC344" s="130"/>
      <c r="AE344" s="106"/>
    </row>
    <row r="345">
      <c r="C345" s="79"/>
      <c r="D345" s="79"/>
      <c r="E345" s="79"/>
      <c r="O345" s="79"/>
      <c r="S345" s="79"/>
      <c r="T345" s="79"/>
      <c r="Y345" s="79"/>
      <c r="AC345" s="130"/>
      <c r="AE345" s="106"/>
    </row>
    <row r="346">
      <c r="C346" s="79"/>
      <c r="D346" s="79"/>
      <c r="E346" s="79"/>
      <c r="O346" s="79"/>
      <c r="S346" s="79"/>
      <c r="T346" s="79"/>
      <c r="Y346" s="79"/>
      <c r="AC346" s="130"/>
      <c r="AE346" s="106"/>
    </row>
    <row r="347">
      <c r="C347" s="79"/>
      <c r="D347" s="79"/>
      <c r="E347" s="79"/>
      <c r="O347" s="79"/>
      <c r="S347" s="79"/>
      <c r="T347" s="79"/>
      <c r="Y347" s="79"/>
      <c r="AC347" s="130"/>
      <c r="AE347" s="106"/>
    </row>
    <row r="348">
      <c r="C348" s="79"/>
      <c r="D348" s="79"/>
      <c r="E348" s="79"/>
      <c r="O348" s="79"/>
      <c r="S348" s="79"/>
      <c r="T348" s="79"/>
      <c r="Y348" s="79"/>
      <c r="AC348" s="130"/>
      <c r="AE348" s="106"/>
    </row>
    <row r="349">
      <c r="C349" s="79"/>
      <c r="D349" s="79"/>
      <c r="E349" s="79"/>
      <c r="O349" s="79"/>
      <c r="S349" s="79"/>
      <c r="T349" s="79"/>
      <c r="Y349" s="79"/>
      <c r="AC349" s="130"/>
      <c r="AE349" s="106"/>
    </row>
    <row r="350">
      <c r="C350" s="79"/>
      <c r="D350" s="79"/>
      <c r="E350" s="79"/>
      <c r="O350" s="79"/>
      <c r="S350" s="79"/>
      <c r="T350" s="79"/>
      <c r="Y350" s="79"/>
      <c r="AC350" s="130"/>
      <c r="AE350" s="106"/>
    </row>
    <row r="351">
      <c r="C351" s="79"/>
      <c r="D351" s="79"/>
      <c r="E351" s="79"/>
      <c r="O351" s="79"/>
      <c r="S351" s="79"/>
      <c r="T351" s="79"/>
      <c r="Y351" s="79"/>
      <c r="AC351" s="130"/>
      <c r="AE351" s="106"/>
    </row>
    <row r="352">
      <c r="C352" s="79"/>
      <c r="D352" s="79"/>
      <c r="E352" s="79"/>
      <c r="O352" s="79"/>
      <c r="S352" s="79"/>
      <c r="T352" s="79"/>
      <c r="Y352" s="79"/>
      <c r="AC352" s="130"/>
      <c r="AE352" s="106"/>
    </row>
    <row r="353">
      <c r="C353" s="79"/>
      <c r="D353" s="79"/>
      <c r="E353" s="79"/>
      <c r="O353" s="79"/>
      <c r="S353" s="79"/>
      <c r="T353" s="79"/>
      <c r="Y353" s="79"/>
      <c r="AC353" s="130"/>
      <c r="AE353" s="106"/>
    </row>
    <row r="354">
      <c r="C354" s="79"/>
      <c r="D354" s="79"/>
      <c r="E354" s="79"/>
      <c r="O354" s="79"/>
      <c r="S354" s="79"/>
      <c r="T354" s="79"/>
      <c r="Y354" s="79"/>
      <c r="AC354" s="130"/>
      <c r="AE354" s="106"/>
    </row>
    <row r="355">
      <c r="C355" s="79"/>
      <c r="D355" s="79"/>
      <c r="E355" s="79"/>
      <c r="O355" s="79"/>
      <c r="S355" s="79"/>
      <c r="T355" s="79"/>
      <c r="Y355" s="79"/>
      <c r="AC355" s="130"/>
      <c r="AE355" s="106"/>
    </row>
    <row r="356">
      <c r="C356" s="79"/>
      <c r="D356" s="79"/>
      <c r="E356" s="79"/>
      <c r="O356" s="79"/>
      <c r="S356" s="79"/>
      <c r="T356" s="79"/>
      <c r="Y356" s="79"/>
      <c r="AC356" s="130"/>
      <c r="AE356" s="106"/>
    </row>
    <row r="357">
      <c r="C357" s="79"/>
      <c r="D357" s="79"/>
      <c r="E357" s="79"/>
      <c r="O357" s="79"/>
      <c r="S357" s="79"/>
      <c r="T357" s="79"/>
      <c r="Y357" s="79"/>
      <c r="AC357" s="130"/>
      <c r="AE357" s="106"/>
    </row>
    <row r="358">
      <c r="C358" s="79"/>
      <c r="D358" s="79"/>
      <c r="E358" s="79"/>
      <c r="O358" s="79"/>
      <c r="S358" s="79"/>
      <c r="T358" s="79"/>
      <c r="Y358" s="79"/>
      <c r="AC358" s="130"/>
      <c r="AE358" s="106"/>
    </row>
    <row r="359">
      <c r="C359" s="79"/>
      <c r="D359" s="79"/>
      <c r="E359" s="79"/>
      <c r="O359" s="79"/>
      <c r="S359" s="79"/>
      <c r="T359" s="79"/>
      <c r="Y359" s="79"/>
      <c r="AC359" s="130"/>
      <c r="AE359" s="106"/>
    </row>
    <row r="360">
      <c r="C360" s="79"/>
      <c r="D360" s="79"/>
      <c r="E360" s="79"/>
      <c r="O360" s="79"/>
      <c r="S360" s="79"/>
      <c r="T360" s="79"/>
      <c r="Y360" s="79"/>
      <c r="AC360" s="130"/>
      <c r="AE360" s="106"/>
    </row>
    <row r="361">
      <c r="C361" s="79"/>
      <c r="D361" s="79"/>
      <c r="E361" s="79"/>
      <c r="O361" s="79"/>
      <c r="S361" s="79"/>
      <c r="T361" s="79"/>
      <c r="Y361" s="79"/>
      <c r="AC361" s="130"/>
      <c r="AE361" s="106"/>
    </row>
    <row r="362">
      <c r="C362" s="79"/>
      <c r="D362" s="79"/>
      <c r="E362" s="79"/>
      <c r="O362" s="79"/>
      <c r="S362" s="79"/>
      <c r="T362" s="79"/>
      <c r="Y362" s="79"/>
      <c r="AC362" s="130"/>
      <c r="AE362" s="106"/>
    </row>
    <row r="363">
      <c r="C363" s="79"/>
      <c r="D363" s="79"/>
      <c r="E363" s="79"/>
      <c r="O363" s="79"/>
      <c r="S363" s="79"/>
      <c r="T363" s="79"/>
      <c r="Y363" s="79"/>
      <c r="AC363" s="130"/>
      <c r="AE363" s="106"/>
    </row>
    <row r="364">
      <c r="C364" s="79"/>
      <c r="D364" s="79"/>
      <c r="E364" s="79"/>
      <c r="O364" s="79"/>
      <c r="S364" s="79"/>
      <c r="T364" s="79"/>
      <c r="Y364" s="79"/>
      <c r="AC364" s="130"/>
      <c r="AE364" s="106"/>
    </row>
    <row r="365">
      <c r="C365" s="79"/>
      <c r="D365" s="79"/>
      <c r="E365" s="79"/>
      <c r="O365" s="79"/>
      <c r="S365" s="79"/>
      <c r="T365" s="79"/>
      <c r="Y365" s="79"/>
      <c r="AC365" s="130"/>
      <c r="AE365" s="106"/>
    </row>
    <row r="366">
      <c r="C366" s="79"/>
      <c r="D366" s="79"/>
      <c r="E366" s="79"/>
      <c r="O366" s="79"/>
      <c r="S366" s="79"/>
      <c r="T366" s="79"/>
      <c r="Y366" s="79"/>
      <c r="AC366" s="130"/>
      <c r="AE366" s="106"/>
    </row>
    <row r="367">
      <c r="C367" s="79"/>
      <c r="D367" s="79"/>
      <c r="E367" s="79"/>
      <c r="O367" s="79"/>
      <c r="S367" s="79"/>
      <c r="T367" s="79"/>
      <c r="Y367" s="79"/>
      <c r="AC367" s="130"/>
      <c r="AE367" s="106"/>
    </row>
    <row r="368">
      <c r="C368" s="79"/>
      <c r="D368" s="79"/>
      <c r="E368" s="79"/>
      <c r="O368" s="79"/>
      <c r="S368" s="79"/>
      <c r="T368" s="79"/>
      <c r="Y368" s="79"/>
      <c r="AC368" s="130"/>
      <c r="AE368" s="106"/>
    </row>
    <row r="369">
      <c r="C369" s="79"/>
      <c r="D369" s="79"/>
      <c r="E369" s="79"/>
      <c r="O369" s="79"/>
      <c r="S369" s="79"/>
      <c r="T369" s="79"/>
      <c r="Y369" s="79"/>
      <c r="AC369" s="130"/>
      <c r="AE369" s="106"/>
    </row>
    <row r="370">
      <c r="C370" s="79"/>
      <c r="D370" s="79"/>
      <c r="E370" s="79"/>
      <c r="O370" s="79"/>
      <c r="S370" s="79"/>
      <c r="T370" s="79"/>
      <c r="Y370" s="79"/>
      <c r="AC370" s="130"/>
      <c r="AE370" s="106"/>
    </row>
    <row r="371">
      <c r="C371" s="79"/>
      <c r="D371" s="79"/>
      <c r="E371" s="79"/>
      <c r="O371" s="79"/>
      <c r="S371" s="79"/>
      <c r="T371" s="79"/>
      <c r="Y371" s="79"/>
      <c r="AC371" s="130"/>
      <c r="AE371" s="106"/>
    </row>
    <row r="372">
      <c r="C372" s="79"/>
      <c r="D372" s="79"/>
      <c r="E372" s="79"/>
      <c r="O372" s="79"/>
      <c r="S372" s="79"/>
      <c r="T372" s="79"/>
      <c r="Y372" s="79"/>
      <c r="AC372" s="130"/>
      <c r="AE372" s="106"/>
    </row>
    <row r="373">
      <c r="C373" s="79"/>
      <c r="D373" s="79"/>
      <c r="E373" s="79"/>
      <c r="O373" s="79"/>
      <c r="S373" s="79"/>
      <c r="T373" s="79"/>
      <c r="Y373" s="79"/>
      <c r="AC373" s="130"/>
      <c r="AE373" s="106"/>
    </row>
    <row r="374">
      <c r="C374" s="79"/>
      <c r="D374" s="79"/>
      <c r="E374" s="79"/>
      <c r="O374" s="79"/>
      <c r="S374" s="79"/>
      <c r="T374" s="79"/>
      <c r="Y374" s="79"/>
      <c r="AC374" s="130"/>
      <c r="AE374" s="106"/>
    </row>
    <row r="375">
      <c r="C375" s="79"/>
      <c r="D375" s="79"/>
      <c r="E375" s="79"/>
      <c r="O375" s="79"/>
      <c r="S375" s="79"/>
      <c r="T375" s="79"/>
      <c r="Y375" s="79"/>
      <c r="AC375" s="130"/>
      <c r="AE375" s="106"/>
    </row>
    <row r="376">
      <c r="C376" s="79"/>
      <c r="D376" s="79"/>
      <c r="E376" s="79"/>
      <c r="O376" s="79"/>
      <c r="S376" s="79"/>
      <c r="T376" s="79"/>
      <c r="Y376" s="79"/>
      <c r="AC376" s="130"/>
      <c r="AE376" s="106"/>
    </row>
    <row r="377">
      <c r="C377" s="79"/>
      <c r="D377" s="79"/>
      <c r="E377" s="79"/>
      <c r="O377" s="79"/>
      <c r="S377" s="79"/>
      <c r="T377" s="79"/>
      <c r="Y377" s="79"/>
      <c r="AC377" s="130"/>
      <c r="AE377" s="106"/>
    </row>
    <row r="378">
      <c r="C378" s="79"/>
      <c r="D378" s="79"/>
      <c r="E378" s="79"/>
      <c r="O378" s="79"/>
      <c r="S378" s="79"/>
      <c r="T378" s="79"/>
      <c r="Y378" s="79"/>
      <c r="AC378" s="130"/>
      <c r="AE378" s="106"/>
    </row>
    <row r="379">
      <c r="C379" s="79"/>
      <c r="D379" s="79"/>
      <c r="E379" s="79"/>
      <c r="O379" s="79"/>
      <c r="S379" s="79"/>
      <c r="T379" s="79"/>
      <c r="Y379" s="79"/>
      <c r="AC379" s="130"/>
      <c r="AE379" s="106"/>
    </row>
    <row r="380">
      <c r="C380" s="79"/>
      <c r="D380" s="79"/>
      <c r="E380" s="79"/>
      <c r="O380" s="79"/>
      <c r="S380" s="79"/>
      <c r="T380" s="79"/>
      <c r="Y380" s="79"/>
      <c r="AC380" s="130"/>
      <c r="AE380" s="106"/>
    </row>
    <row r="381">
      <c r="C381" s="79"/>
      <c r="D381" s="79"/>
      <c r="E381" s="79"/>
      <c r="O381" s="79"/>
      <c r="S381" s="79"/>
      <c r="T381" s="79"/>
      <c r="Y381" s="79"/>
      <c r="AC381" s="130"/>
      <c r="AE381" s="106"/>
    </row>
    <row r="382">
      <c r="C382" s="79"/>
      <c r="D382" s="79"/>
      <c r="E382" s="79"/>
      <c r="O382" s="79"/>
      <c r="S382" s="79"/>
      <c r="T382" s="79"/>
      <c r="Y382" s="79"/>
      <c r="AC382" s="130"/>
      <c r="AE382" s="106"/>
    </row>
    <row r="383">
      <c r="C383" s="79"/>
      <c r="D383" s="79"/>
      <c r="E383" s="79"/>
      <c r="O383" s="79"/>
      <c r="S383" s="79"/>
      <c r="T383" s="79"/>
      <c r="Y383" s="79"/>
      <c r="AC383" s="130"/>
      <c r="AE383" s="106"/>
    </row>
    <row r="384">
      <c r="C384" s="79"/>
      <c r="D384" s="79"/>
      <c r="E384" s="79"/>
      <c r="O384" s="79"/>
      <c r="S384" s="79"/>
      <c r="T384" s="79"/>
      <c r="Y384" s="79"/>
      <c r="AC384" s="130"/>
      <c r="AE384" s="106"/>
    </row>
    <row r="385">
      <c r="C385" s="79"/>
      <c r="D385" s="79"/>
      <c r="E385" s="79"/>
      <c r="O385" s="79"/>
      <c r="S385" s="79"/>
      <c r="T385" s="79"/>
      <c r="Y385" s="79"/>
      <c r="AC385" s="130"/>
      <c r="AE385" s="106"/>
    </row>
    <row r="386">
      <c r="C386" s="79"/>
      <c r="D386" s="79"/>
      <c r="E386" s="79"/>
      <c r="O386" s="79"/>
      <c r="S386" s="79"/>
      <c r="T386" s="79"/>
      <c r="Y386" s="79"/>
      <c r="AC386" s="130"/>
      <c r="AE386" s="106"/>
    </row>
    <row r="387">
      <c r="C387" s="79"/>
      <c r="D387" s="79"/>
      <c r="E387" s="79"/>
      <c r="O387" s="79"/>
      <c r="S387" s="79"/>
      <c r="T387" s="79"/>
      <c r="Y387" s="79"/>
      <c r="AC387" s="130"/>
      <c r="AE387" s="106"/>
    </row>
    <row r="388">
      <c r="C388" s="79"/>
      <c r="D388" s="79"/>
      <c r="E388" s="79"/>
      <c r="O388" s="79"/>
      <c r="S388" s="79"/>
      <c r="T388" s="79"/>
      <c r="Y388" s="79"/>
      <c r="AC388" s="130"/>
      <c r="AE388" s="106"/>
    </row>
    <row r="389">
      <c r="C389" s="79"/>
      <c r="D389" s="79"/>
      <c r="E389" s="79"/>
      <c r="O389" s="79"/>
      <c r="S389" s="79"/>
      <c r="T389" s="79"/>
      <c r="Y389" s="79"/>
      <c r="AC389" s="130"/>
      <c r="AE389" s="106"/>
    </row>
    <row r="390">
      <c r="C390" s="79"/>
      <c r="D390" s="79"/>
      <c r="E390" s="79"/>
      <c r="O390" s="79"/>
      <c r="S390" s="79"/>
      <c r="T390" s="79"/>
      <c r="Y390" s="79"/>
      <c r="AC390" s="130"/>
      <c r="AE390" s="106"/>
    </row>
    <row r="391">
      <c r="C391" s="79"/>
      <c r="D391" s="79"/>
      <c r="E391" s="79"/>
      <c r="O391" s="79"/>
      <c r="S391" s="79"/>
      <c r="T391" s="79"/>
      <c r="Y391" s="79"/>
      <c r="AC391" s="130"/>
      <c r="AE391" s="106"/>
    </row>
    <row r="392">
      <c r="C392" s="79"/>
      <c r="D392" s="79"/>
      <c r="E392" s="79"/>
      <c r="O392" s="79"/>
      <c r="S392" s="79"/>
      <c r="T392" s="79"/>
      <c r="Y392" s="79"/>
      <c r="AC392" s="130"/>
      <c r="AE392" s="106"/>
    </row>
    <row r="393">
      <c r="C393" s="79"/>
      <c r="D393" s="79"/>
      <c r="E393" s="79"/>
      <c r="O393" s="79"/>
      <c r="S393" s="79"/>
      <c r="T393" s="79"/>
      <c r="Y393" s="79"/>
      <c r="AC393" s="130"/>
      <c r="AE393" s="106"/>
    </row>
    <row r="394">
      <c r="C394" s="79"/>
      <c r="D394" s="79"/>
      <c r="E394" s="79"/>
      <c r="O394" s="79"/>
      <c r="S394" s="79"/>
      <c r="T394" s="79"/>
      <c r="Y394" s="79"/>
      <c r="AC394" s="130"/>
      <c r="AE394" s="106"/>
    </row>
    <row r="395">
      <c r="C395" s="79"/>
      <c r="D395" s="79"/>
      <c r="E395" s="79"/>
      <c r="O395" s="79"/>
      <c r="S395" s="79"/>
      <c r="T395" s="79"/>
      <c r="Y395" s="79"/>
      <c r="AC395" s="130"/>
      <c r="AE395" s="106"/>
    </row>
    <row r="396">
      <c r="C396" s="79"/>
      <c r="D396" s="79"/>
      <c r="E396" s="79"/>
      <c r="O396" s="79"/>
      <c r="S396" s="79"/>
      <c r="T396" s="79"/>
      <c r="Y396" s="79"/>
      <c r="AC396" s="130"/>
      <c r="AE396" s="106"/>
    </row>
    <row r="397">
      <c r="C397" s="79"/>
      <c r="D397" s="79"/>
      <c r="E397" s="79"/>
      <c r="O397" s="79"/>
      <c r="S397" s="79"/>
      <c r="T397" s="79"/>
      <c r="Y397" s="79"/>
      <c r="AC397" s="130"/>
      <c r="AE397" s="106"/>
    </row>
    <row r="398">
      <c r="C398" s="79"/>
      <c r="D398" s="79"/>
      <c r="E398" s="79"/>
      <c r="O398" s="79"/>
      <c r="S398" s="79"/>
      <c r="T398" s="79"/>
      <c r="Y398" s="79"/>
      <c r="AC398" s="130"/>
      <c r="AE398" s="106"/>
    </row>
    <row r="399">
      <c r="C399" s="79"/>
      <c r="D399" s="79"/>
      <c r="E399" s="79"/>
      <c r="O399" s="79"/>
      <c r="S399" s="79"/>
      <c r="T399" s="79"/>
      <c r="Y399" s="79"/>
      <c r="AC399" s="130"/>
      <c r="AE399" s="106"/>
    </row>
    <row r="400">
      <c r="C400" s="79"/>
      <c r="D400" s="79"/>
      <c r="E400" s="79"/>
      <c r="O400" s="79"/>
      <c r="S400" s="79"/>
      <c r="T400" s="79"/>
      <c r="Y400" s="79"/>
      <c r="AC400" s="130"/>
      <c r="AE400" s="106"/>
    </row>
    <row r="401">
      <c r="C401" s="79"/>
      <c r="D401" s="79"/>
      <c r="E401" s="79"/>
      <c r="O401" s="79"/>
      <c r="S401" s="79"/>
      <c r="T401" s="79"/>
      <c r="Y401" s="79"/>
      <c r="AC401" s="130"/>
      <c r="AE401" s="106"/>
    </row>
    <row r="402">
      <c r="C402" s="79"/>
      <c r="D402" s="79"/>
      <c r="E402" s="79"/>
      <c r="O402" s="79"/>
      <c r="S402" s="79"/>
      <c r="T402" s="79"/>
      <c r="Y402" s="79"/>
      <c r="AC402" s="130"/>
      <c r="AE402" s="106"/>
    </row>
    <row r="403">
      <c r="C403" s="79"/>
      <c r="D403" s="79"/>
      <c r="E403" s="79"/>
      <c r="O403" s="79"/>
      <c r="S403" s="79"/>
      <c r="T403" s="79"/>
      <c r="Y403" s="79"/>
      <c r="AC403" s="130"/>
      <c r="AE403" s="106"/>
    </row>
    <row r="404">
      <c r="C404" s="79"/>
      <c r="D404" s="79"/>
      <c r="E404" s="79"/>
      <c r="O404" s="79"/>
      <c r="S404" s="79"/>
      <c r="T404" s="79"/>
      <c r="Y404" s="79"/>
      <c r="AC404" s="130"/>
      <c r="AE404" s="106"/>
    </row>
    <row r="405">
      <c r="C405" s="79"/>
      <c r="D405" s="79"/>
      <c r="E405" s="79"/>
      <c r="O405" s="79"/>
      <c r="S405" s="79"/>
      <c r="T405" s="79"/>
      <c r="Y405" s="79"/>
      <c r="AC405" s="130"/>
      <c r="AE405" s="106"/>
    </row>
    <row r="406">
      <c r="C406" s="79"/>
      <c r="D406" s="79"/>
      <c r="E406" s="79"/>
      <c r="O406" s="79"/>
      <c r="S406" s="79"/>
      <c r="T406" s="79"/>
      <c r="Y406" s="79"/>
      <c r="AC406" s="130"/>
      <c r="AE406" s="106"/>
    </row>
    <row r="407">
      <c r="C407" s="79"/>
      <c r="D407" s="79"/>
      <c r="E407" s="79"/>
      <c r="O407" s="79"/>
      <c r="S407" s="79"/>
      <c r="T407" s="79"/>
      <c r="Y407" s="79"/>
      <c r="AC407" s="130"/>
      <c r="AE407" s="106"/>
    </row>
    <row r="408">
      <c r="C408" s="79"/>
      <c r="D408" s="79"/>
      <c r="E408" s="79"/>
      <c r="O408" s="79"/>
      <c r="S408" s="79"/>
      <c r="T408" s="79"/>
      <c r="Y408" s="79"/>
      <c r="AC408" s="130"/>
      <c r="AE408" s="106"/>
    </row>
    <row r="409">
      <c r="C409" s="79"/>
      <c r="D409" s="79"/>
      <c r="E409" s="79"/>
      <c r="O409" s="79"/>
      <c r="S409" s="79"/>
      <c r="T409" s="79"/>
      <c r="Y409" s="79"/>
      <c r="AC409" s="130"/>
      <c r="AE409" s="106"/>
    </row>
    <row r="410">
      <c r="C410" s="79"/>
      <c r="D410" s="79"/>
      <c r="E410" s="79"/>
      <c r="O410" s="79"/>
      <c r="S410" s="79"/>
      <c r="T410" s="79"/>
      <c r="Y410" s="79"/>
      <c r="AC410" s="130"/>
      <c r="AE410" s="106"/>
    </row>
    <row r="411">
      <c r="C411" s="79"/>
      <c r="D411" s="79"/>
      <c r="E411" s="79"/>
      <c r="O411" s="79"/>
      <c r="S411" s="79"/>
      <c r="T411" s="79"/>
      <c r="Y411" s="79"/>
      <c r="AC411" s="130"/>
      <c r="AE411" s="106"/>
    </row>
    <row r="412">
      <c r="C412" s="79"/>
      <c r="D412" s="79"/>
      <c r="E412" s="79"/>
      <c r="O412" s="79"/>
      <c r="S412" s="79"/>
      <c r="T412" s="79"/>
      <c r="Y412" s="79"/>
      <c r="AC412" s="130"/>
      <c r="AE412" s="106"/>
    </row>
    <row r="413">
      <c r="C413" s="79"/>
      <c r="D413" s="79"/>
      <c r="E413" s="79"/>
      <c r="O413" s="79"/>
      <c r="S413" s="79"/>
      <c r="T413" s="79"/>
      <c r="Y413" s="79"/>
      <c r="AC413" s="130"/>
      <c r="AE413" s="106"/>
    </row>
    <row r="414">
      <c r="C414" s="79"/>
      <c r="D414" s="79"/>
      <c r="E414" s="79"/>
      <c r="O414" s="79"/>
      <c r="S414" s="79"/>
      <c r="T414" s="79"/>
      <c r="Y414" s="79"/>
      <c r="AC414" s="130"/>
      <c r="AE414" s="106"/>
    </row>
    <row r="415">
      <c r="C415" s="79"/>
      <c r="D415" s="79"/>
      <c r="E415" s="79"/>
      <c r="O415" s="79"/>
      <c r="S415" s="79"/>
      <c r="T415" s="79"/>
      <c r="Y415" s="79"/>
      <c r="AC415" s="130"/>
      <c r="AE415" s="106"/>
    </row>
    <row r="416">
      <c r="C416" s="79"/>
      <c r="D416" s="79"/>
      <c r="E416" s="79"/>
      <c r="O416" s="79"/>
      <c r="S416" s="79"/>
      <c r="T416" s="79"/>
      <c r="Y416" s="79"/>
      <c r="AC416" s="130"/>
      <c r="AE416" s="106"/>
    </row>
    <row r="417">
      <c r="C417" s="79"/>
      <c r="D417" s="79"/>
      <c r="E417" s="79"/>
      <c r="O417" s="79"/>
      <c r="S417" s="79"/>
      <c r="T417" s="79"/>
      <c r="Y417" s="79"/>
      <c r="AC417" s="130"/>
      <c r="AE417" s="106"/>
    </row>
    <row r="418">
      <c r="C418" s="79"/>
      <c r="D418" s="79"/>
      <c r="E418" s="79"/>
      <c r="O418" s="79"/>
      <c r="S418" s="79"/>
      <c r="T418" s="79"/>
      <c r="Y418" s="79"/>
      <c r="AC418" s="130"/>
      <c r="AE418" s="106"/>
    </row>
    <row r="419">
      <c r="C419" s="79"/>
      <c r="D419" s="79"/>
      <c r="E419" s="79"/>
      <c r="O419" s="79"/>
      <c r="S419" s="79"/>
      <c r="T419" s="79"/>
      <c r="Y419" s="79"/>
      <c r="AC419" s="130"/>
      <c r="AE419" s="106"/>
    </row>
    <row r="420">
      <c r="C420" s="79"/>
      <c r="D420" s="79"/>
      <c r="E420" s="79"/>
      <c r="O420" s="79"/>
      <c r="S420" s="79"/>
      <c r="T420" s="79"/>
      <c r="Y420" s="79"/>
      <c r="AC420" s="130"/>
      <c r="AE420" s="106"/>
    </row>
    <row r="421">
      <c r="C421" s="79"/>
      <c r="D421" s="79"/>
      <c r="E421" s="79"/>
      <c r="O421" s="79"/>
      <c r="S421" s="79"/>
      <c r="T421" s="79"/>
      <c r="Y421" s="79"/>
      <c r="AC421" s="130"/>
      <c r="AE421" s="106"/>
    </row>
    <row r="422">
      <c r="C422" s="79"/>
      <c r="D422" s="79"/>
      <c r="E422" s="79"/>
      <c r="O422" s="79"/>
      <c r="S422" s="79"/>
      <c r="T422" s="79"/>
      <c r="Y422" s="79"/>
      <c r="AC422" s="130"/>
      <c r="AE422" s="106"/>
    </row>
    <row r="423">
      <c r="C423" s="79"/>
      <c r="D423" s="79"/>
      <c r="E423" s="79"/>
      <c r="O423" s="79"/>
      <c r="S423" s="79"/>
      <c r="T423" s="79"/>
      <c r="Y423" s="79"/>
      <c r="AC423" s="130"/>
      <c r="AE423" s="106"/>
    </row>
    <row r="424">
      <c r="C424" s="79"/>
      <c r="D424" s="79"/>
      <c r="E424" s="79"/>
      <c r="O424" s="79"/>
      <c r="S424" s="79"/>
      <c r="T424" s="79"/>
      <c r="Y424" s="79"/>
      <c r="AC424" s="130"/>
      <c r="AE424" s="106"/>
    </row>
    <row r="425">
      <c r="C425" s="79"/>
      <c r="D425" s="79"/>
      <c r="E425" s="79"/>
      <c r="O425" s="79"/>
      <c r="S425" s="79"/>
      <c r="T425" s="79"/>
      <c r="Y425" s="79"/>
      <c r="AC425" s="130"/>
      <c r="AE425" s="106"/>
    </row>
    <row r="426">
      <c r="C426" s="79"/>
      <c r="D426" s="79"/>
      <c r="E426" s="79"/>
      <c r="O426" s="79"/>
      <c r="S426" s="79"/>
      <c r="T426" s="79"/>
      <c r="Y426" s="79"/>
      <c r="AC426" s="130"/>
      <c r="AE426" s="106"/>
    </row>
    <row r="427">
      <c r="C427" s="79"/>
      <c r="D427" s="79"/>
      <c r="E427" s="79"/>
      <c r="O427" s="79"/>
      <c r="S427" s="79"/>
      <c r="T427" s="79"/>
      <c r="Y427" s="79"/>
      <c r="AC427" s="130"/>
      <c r="AE427" s="106"/>
    </row>
    <row r="428">
      <c r="C428" s="79"/>
      <c r="D428" s="79"/>
      <c r="E428" s="79"/>
      <c r="O428" s="79"/>
      <c r="S428" s="79"/>
      <c r="T428" s="79"/>
      <c r="Y428" s="79"/>
      <c r="AC428" s="130"/>
      <c r="AE428" s="106"/>
    </row>
    <row r="429">
      <c r="C429" s="79"/>
      <c r="D429" s="79"/>
      <c r="E429" s="79"/>
      <c r="O429" s="79"/>
      <c r="S429" s="79"/>
      <c r="T429" s="79"/>
      <c r="Y429" s="79"/>
      <c r="AC429" s="130"/>
      <c r="AE429" s="106"/>
    </row>
    <row r="430">
      <c r="C430" s="79"/>
      <c r="D430" s="79"/>
      <c r="E430" s="79"/>
      <c r="O430" s="79"/>
      <c r="S430" s="79"/>
      <c r="T430" s="79"/>
      <c r="Y430" s="79"/>
      <c r="AC430" s="130"/>
      <c r="AE430" s="106"/>
    </row>
    <row r="431">
      <c r="C431" s="79"/>
      <c r="D431" s="79"/>
      <c r="E431" s="79"/>
      <c r="O431" s="79"/>
      <c r="S431" s="79"/>
      <c r="T431" s="79"/>
      <c r="Y431" s="79"/>
      <c r="AC431" s="130"/>
      <c r="AE431" s="106"/>
    </row>
    <row r="432">
      <c r="C432" s="79"/>
      <c r="D432" s="79"/>
      <c r="E432" s="79"/>
      <c r="O432" s="79"/>
      <c r="S432" s="79"/>
      <c r="T432" s="79"/>
      <c r="Y432" s="79"/>
      <c r="AC432" s="130"/>
      <c r="AE432" s="106"/>
    </row>
    <row r="433">
      <c r="C433" s="79"/>
      <c r="D433" s="79"/>
      <c r="E433" s="79"/>
      <c r="O433" s="79"/>
      <c r="S433" s="79"/>
      <c r="T433" s="79"/>
      <c r="Y433" s="79"/>
      <c r="AC433" s="130"/>
      <c r="AE433" s="106"/>
    </row>
    <row r="434">
      <c r="C434" s="79"/>
      <c r="D434" s="79"/>
      <c r="E434" s="79"/>
      <c r="O434" s="79"/>
      <c r="S434" s="79"/>
      <c r="T434" s="79"/>
      <c r="Y434" s="79"/>
      <c r="AC434" s="130"/>
      <c r="AE434" s="106"/>
    </row>
    <row r="435">
      <c r="C435" s="79"/>
      <c r="D435" s="79"/>
      <c r="E435" s="79"/>
      <c r="O435" s="79"/>
      <c r="S435" s="79"/>
      <c r="T435" s="79"/>
      <c r="Y435" s="79"/>
      <c r="AC435" s="130"/>
      <c r="AE435" s="106"/>
    </row>
    <row r="436">
      <c r="C436" s="79"/>
      <c r="D436" s="79"/>
      <c r="E436" s="79"/>
      <c r="O436" s="79"/>
      <c r="S436" s="79"/>
      <c r="T436" s="79"/>
      <c r="Y436" s="79"/>
      <c r="AC436" s="130"/>
      <c r="AE436" s="106"/>
    </row>
    <row r="437">
      <c r="C437" s="79"/>
      <c r="D437" s="79"/>
      <c r="E437" s="79"/>
      <c r="O437" s="79"/>
      <c r="S437" s="79"/>
      <c r="T437" s="79"/>
      <c r="Y437" s="79"/>
      <c r="AC437" s="130"/>
      <c r="AE437" s="106"/>
    </row>
    <row r="438">
      <c r="C438" s="79"/>
      <c r="D438" s="79"/>
      <c r="E438" s="79"/>
      <c r="O438" s="79"/>
      <c r="S438" s="79"/>
      <c r="T438" s="79"/>
      <c r="Y438" s="79"/>
      <c r="AC438" s="130"/>
      <c r="AE438" s="106"/>
    </row>
    <row r="439">
      <c r="C439" s="79"/>
      <c r="D439" s="79"/>
      <c r="E439" s="79"/>
      <c r="O439" s="79"/>
      <c r="S439" s="79"/>
      <c r="T439" s="79"/>
      <c r="Y439" s="79"/>
      <c r="AC439" s="130"/>
      <c r="AE439" s="106"/>
    </row>
    <row r="440">
      <c r="C440" s="79"/>
      <c r="D440" s="79"/>
      <c r="E440" s="79"/>
      <c r="O440" s="79"/>
      <c r="S440" s="79"/>
      <c r="T440" s="79"/>
      <c r="Y440" s="79"/>
      <c r="AC440" s="130"/>
      <c r="AE440" s="106"/>
    </row>
    <row r="441">
      <c r="C441" s="79"/>
      <c r="D441" s="79"/>
      <c r="E441" s="79"/>
      <c r="O441" s="79"/>
      <c r="S441" s="79"/>
      <c r="T441" s="79"/>
      <c r="Y441" s="79"/>
      <c r="AC441" s="130"/>
      <c r="AE441" s="106"/>
    </row>
    <row r="442">
      <c r="C442" s="79"/>
      <c r="D442" s="79"/>
      <c r="E442" s="79"/>
      <c r="O442" s="79"/>
      <c r="S442" s="79"/>
      <c r="T442" s="79"/>
      <c r="Y442" s="79"/>
      <c r="AC442" s="130"/>
      <c r="AE442" s="106"/>
    </row>
    <row r="443">
      <c r="C443" s="79"/>
      <c r="D443" s="79"/>
      <c r="E443" s="79"/>
      <c r="O443" s="79"/>
      <c r="S443" s="79"/>
      <c r="T443" s="79"/>
      <c r="Y443" s="79"/>
      <c r="AC443" s="130"/>
      <c r="AE443" s="106"/>
    </row>
    <row r="444">
      <c r="C444" s="79"/>
      <c r="D444" s="79"/>
      <c r="E444" s="79"/>
      <c r="O444" s="79"/>
      <c r="S444" s="79"/>
      <c r="T444" s="79"/>
      <c r="Y444" s="79"/>
      <c r="AC444" s="130"/>
      <c r="AE444" s="106"/>
    </row>
    <row r="445">
      <c r="C445" s="79"/>
      <c r="D445" s="79"/>
      <c r="E445" s="79"/>
      <c r="O445" s="79"/>
      <c r="S445" s="79"/>
      <c r="T445" s="79"/>
      <c r="Y445" s="79"/>
      <c r="AC445" s="130"/>
      <c r="AE445" s="106"/>
    </row>
    <row r="446">
      <c r="C446" s="79"/>
      <c r="D446" s="79"/>
      <c r="E446" s="79"/>
      <c r="O446" s="79"/>
      <c r="S446" s="79"/>
      <c r="T446" s="79"/>
      <c r="Y446" s="79"/>
      <c r="AC446" s="130"/>
      <c r="AE446" s="106"/>
    </row>
    <row r="447">
      <c r="C447" s="79"/>
      <c r="D447" s="79"/>
      <c r="E447" s="79"/>
      <c r="O447" s="79"/>
      <c r="S447" s="79"/>
      <c r="T447" s="79"/>
      <c r="Y447" s="79"/>
      <c r="AC447" s="130"/>
      <c r="AE447" s="106"/>
    </row>
    <row r="448">
      <c r="C448" s="79"/>
      <c r="D448" s="79"/>
      <c r="E448" s="79"/>
      <c r="O448" s="79"/>
      <c r="S448" s="79"/>
      <c r="T448" s="79"/>
      <c r="Y448" s="79"/>
      <c r="AC448" s="130"/>
      <c r="AE448" s="106"/>
    </row>
    <row r="449">
      <c r="C449" s="79"/>
      <c r="D449" s="79"/>
      <c r="E449" s="79"/>
      <c r="O449" s="79"/>
      <c r="S449" s="79"/>
      <c r="T449" s="79"/>
      <c r="Y449" s="79"/>
      <c r="AC449" s="130"/>
      <c r="AE449" s="106"/>
    </row>
    <row r="450">
      <c r="C450" s="79"/>
      <c r="D450" s="79"/>
      <c r="E450" s="79"/>
      <c r="O450" s="79"/>
      <c r="S450" s="79"/>
      <c r="T450" s="79"/>
      <c r="Y450" s="79"/>
      <c r="AC450" s="130"/>
      <c r="AE450" s="106"/>
    </row>
    <row r="451">
      <c r="C451" s="79"/>
      <c r="D451" s="79"/>
      <c r="E451" s="79"/>
      <c r="O451" s="79"/>
      <c r="S451" s="79"/>
      <c r="T451" s="79"/>
      <c r="Y451" s="79"/>
      <c r="AC451" s="130"/>
      <c r="AE451" s="106"/>
    </row>
    <row r="452">
      <c r="C452" s="79"/>
      <c r="D452" s="79"/>
      <c r="E452" s="79"/>
      <c r="O452" s="79"/>
      <c r="S452" s="79"/>
      <c r="T452" s="79"/>
      <c r="Y452" s="79"/>
      <c r="AC452" s="130"/>
      <c r="AE452" s="106"/>
    </row>
    <row r="453">
      <c r="C453" s="79"/>
      <c r="D453" s="79"/>
      <c r="E453" s="79"/>
      <c r="O453" s="79"/>
      <c r="S453" s="79"/>
      <c r="T453" s="79"/>
      <c r="Y453" s="79"/>
      <c r="AC453" s="130"/>
      <c r="AE453" s="106"/>
    </row>
    <row r="454">
      <c r="C454" s="79"/>
      <c r="D454" s="79"/>
      <c r="E454" s="79"/>
      <c r="O454" s="79"/>
      <c r="S454" s="79"/>
      <c r="T454" s="79"/>
      <c r="Y454" s="79"/>
      <c r="AC454" s="130"/>
      <c r="AE454" s="106"/>
    </row>
    <row r="455">
      <c r="C455" s="79"/>
      <c r="D455" s="79"/>
      <c r="E455" s="79"/>
      <c r="O455" s="79"/>
      <c r="S455" s="79"/>
      <c r="T455" s="79"/>
      <c r="Y455" s="79"/>
      <c r="AC455" s="130"/>
      <c r="AE455" s="106"/>
    </row>
    <row r="456">
      <c r="C456" s="79"/>
      <c r="D456" s="79"/>
      <c r="E456" s="79"/>
      <c r="O456" s="79"/>
      <c r="S456" s="79"/>
      <c r="T456" s="79"/>
      <c r="Y456" s="79"/>
      <c r="AC456" s="130"/>
      <c r="AE456" s="106"/>
    </row>
    <row r="457">
      <c r="C457" s="79"/>
      <c r="D457" s="79"/>
      <c r="E457" s="79"/>
      <c r="O457" s="79"/>
      <c r="S457" s="79"/>
      <c r="T457" s="79"/>
      <c r="Y457" s="79"/>
      <c r="AC457" s="130"/>
      <c r="AE457" s="106"/>
    </row>
    <row r="458">
      <c r="C458" s="79"/>
      <c r="D458" s="79"/>
      <c r="E458" s="79"/>
      <c r="O458" s="79"/>
      <c r="S458" s="79"/>
      <c r="T458" s="79"/>
      <c r="Y458" s="79"/>
      <c r="AC458" s="130"/>
      <c r="AE458" s="106"/>
    </row>
    <row r="459">
      <c r="C459" s="79"/>
      <c r="D459" s="79"/>
      <c r="E459" s="79"/>
      <c r="O459" s="79"/>
      <c r="S459" s="79"/>
      <c r="T459" s="79"/>
      <c r="Y459" s="79"/>
      <c r="AC459" s="130"/>
      <c r="AE459" s="106"/>
    </row>
    <row r="460">
      <c r="C460" s="79"/>
      <c r="D460" s="79"/>
      <c r="E460" s="79"/>
      <c r="O460" s="79"/>
      <c r="S460" s="79"/>
      <c r="T460" s="79"/>
      <c r="Y460" s="79"/>
      <c r="AC460" s="130"/>
      <c r="AE460" s="106"/>
    </row>
    <row r="461">
      <c r="C461" s="79"/>
      <c r="D461" s="79"/>
      <c r="E461" s="79"/>
      <c r="O461" s="79"/>
      <c r="S461" s="79"/>
      <c r="T461" s="79"/>
      <c r="Y461" s="79"/>
      <c r="AC461" s="130"/>
      <c r="AE461" s="106"/>
    </row>
    <row r="462">
      <c r="C462" s="79"/>
      <c r="D462" s="79"/>
      <c r="E462" s="79"/>
      <c r="O462" s="79"/>
      <c r="S462" s="79"/>
      <c r="T462" s="79"/>
      <c r="Y462" s="79"/>
      <c r="AC462" s="130"/>
      <c r="AE462" s="106"/>
    </row>
    <row r="463">
      <c r="C463" s="79"/>
      <c r="D463" s="79"/>
      <c r="E463" s="79"/>
      <c r="O463" s="79"/>
      <c r="S463" s="79"/>
      <c r="T463" s="79"/>
      <c r="Y463" s="79"/>
      <c r="AC463" s="130"/>
      <c r="AE463" s="106"/>
    </row>
    <row r="464">
      <c r="C464" s="79"/>
      <c r="D464" s="79"/>
      <c r="E464" s="79"/>
      <c r="O464" s="79"/>
      <c r="S464" s="79"/>
      <c r="T464" s="79"/>
      <c r="Y464" s="79"/>
      <c r="AC464" s="130"/>
      <c r="AE464" s="106"/>
    </row>
    <row r="465">
      <c r="C465" s="79"/>
      <c r="D465" s="79"/>
      <c r="E465" s="79"/>
      <c r="O465" s="79"/>
      <c r="S465" s="79"/>
      <c r="T465" s="79"/>
      <c r="Y465" s="79"/>
      <c r="AC465" s="130"/>
      <c r="AE465" s="106"/>
    </row>
    <row r="466">
      <c r="C466" s="79"/>
      <c r="D466" s="79"/>
      <c r="E466" s="79"/>
      <c r="O466" s="79"/>
      <c r="S466" s="79"/>
      <c r="T466" s="79"/>
      <c r="Y466" s="79"/>
      <c r="AC466" s="130"/>
      <c r="AE466" s="106"/>
    </row>
    <row r="467">
      <c r="C467" s="79"/>
      <c r="D467" s="79"/>
      <c r="E467" s="79"/>
      <c r="O467" s="79"/>
      <c r="S467" s="79"/>
      <c r="T467" s="79"/>
      <c r="Y467" s="79"/>
      <c r="AC467" s="130"/>
      <c r="AE467" s="106"/>
    </row>
    <row r="468">
      <c r="C468" s="79"/>
      <c r="D468" s="79"/>
      <c r="E468" s="79"/>
      <c r="O468" s="79"/>
      <c r="S468" s="79"/>
      <c r="T468" s="79"/>
      <c r="Y468" s="79"/>
      <c r="AC468" s="130"/>
      <c r="AE468" s="106"/>
    </row>
    <row r="469">
      <c r="C469" s="79"/>
      <c r="D469" s="79"/>
      <c r="E469" s="79"/>
      <c r="O469" s="79"/>
      <c r="S469" s="79"/>
      <c r="T469" s="79"/>
      <c r="Y469" s="79"/>
      <c r="AC469" s="130"/>
      <c r="AE469" s="106"/>
    </row>
    <row r="470">
      <c r="C470" s="79"/>
      <c r="D470" s="79"/>
      <c r="E470" s="79"/>
      <c r="O470" s="79"/>
      <c r="S470" s="79"/>
      <c r="T470" s="79"/>
      <c r="Y470" s="79"/>
      <c r="AC470" s="130"/>
      <c r="AE470" s="106"/>
    </row>
    <row r="471">
      <c r="C471" s="79"/>
      <c r="D471" s="79"/>
      <c r="E471" s="79"/>
      <c r="O471" s="79"/>
      <c r="S471" s="79"/>
      <c r="T471" s="79"/>
      <c r="Y471" s="79"/>
      <c r="AC471" s="130"/>
      <c r="AE471" s="106"/>
    </row>
    <row r="472">
      <c r="C472" s="79"/>
      <c r="D472" s="79"/>
      <c r="E472" s="79"/>
      <c r="O472" s="79"/>
      <c r="S472" s="79"/>
      <c r="T472" s="79"/>
      <c r="Y472" s="79"/>
      <c r="AC472" s="130"/>
      <c r="AE472" s="106"/>
    </row>
    <row r="473">
      <c r="C473" s="79"/>
      <c r="D473" s="79"/>
      <c r="E473" s="79"/>
      <c r="O473" s="79"/>
      <c r="S473" s="79"/>
      <c r="T473" s="79"/>
      <c r="Y473" s="79"/>
      <c r="AC473" s="130"/>
      <c r="AE473" s="106"/>
    </row>
    <row r="474">
      <c r="C474" s="79"/>
      <c r="D474" s="79"/>
      <c r="E474" s="79"/>
      <c r="O474" s="79"/>
      <c r="S474" s="79"/>
      <c r="T474" s="79"/>
      <c r="Y474" s="79"/>
      <c r="AC474" s="130"/>
      <c r="AE474" s="106"/>
    </row>
    <row r="475">
      <c r="C475" s="79"/>
      <c r="D475" s="79"/>
      <c r="E475" s="79"/>
      <c r="O475" s="79"/>
      <c r="S475" s="79"/>
      <c r="T475" s="79"/>
      <c r="Y475" s="79"/>
      <c r="AC475" s="130"/>
      <c r="AE475" s="106"/>
    </row>
    <row r="476">
      <c r="C476" s="79"/>
      <c r="D476" s="79"/>
      <c r="E476" s="79"/>
      <c r="O476" s="79"/>
      <c r="S476" s="79"/>
      <c r="T476" s="79"/>
      <c r="Y476" s="79"/>
      <c r="AC476" s="130"/>
      <c r="AE476" s="106"/>
    </row>
    <row r="477">
      <c r="C477" s="79"/>
      <c r="D477" s="79"/>
      <c r="E477" s="79"/>
      <c r="O477" s="79"/>
      <c r="S477" s="79"/>
      <c r="T477" s="79"/>
      <c r="Y477" s="79"/>
      <c r="AC477" s="130"/>
      <c r="AE477" s="106"/>
    </row>
    <row r="478">
      <c r="C478" s="79"/>
      <c r="D478" s="79"/>
      <c r="E478" s="79"/>
      <c r="O478" s="79"/>
      <c r="S478" s="79"/>
      <c r="T478" s="79"/>
      <c r="Y478" s="79"/>
      <c r="AC478" s="130"/>
      <c r="AE478" s="106"/>
    </row>
    <row r="479">
      <c r="C479" s="79"/>
      <c r="D479" s="79"/>
      <c r="E479" s="79"/>
      <c r="O479" s="79"/>
      <c r="S479" s="79"/>
      <c r="T479" s="79"/>
      <c r="Y479" s="79"/>
      <c r="AC479" s="130"/>
      <c r="AE479" s="106"/>
    </row>
    <row r="480">
      <c r="C480" s="79"/>
      <c r="D480" s="79"/>
      <c r="E480" s="79"/>
      <c r="O480" s="79"/>
      <c r="S480" s="79"/>
      <c r="T480" s="79"/>
      <c r="Y480" s="79"/>
      <c r="AC480" s="130"/>
      <c r="AE480" s="106"/>
    </row>
    <row r="481">
      <c r="C481" s="79"/>
      <c r="D481" s="79"/>
      <c r="E481" s="79"/>
      <c r="O481" s="79"/>
      <c r="S481" s="79"/>
      <c r="T481" s="79"/>
      <c r="Y481" s="79"/>
      <c r="AC481" s="130"/>
      <c r="AE481" s="106"/>
    </row>
    <row r="482">
      <c r="C482" s="79"/>
      <c r="D482" s="79"/>
      <c r="E482" s="79"/>
      <c r="O482" s="79"/>
      <c r="S482" s="79"/>
      <c r="T482" s="79"/>
      <c r="Y482" s="79"/>
      <c r="AC482" s="130"/>
      <c r="AE482" s="106"/>
    </row>
    <row r="483">
      <c r="C483" s="79"/>
      <c r="D483" s="79"/>
      <c r="E483" s="79"/>
      <c r="O483" s="79"/>
      <c r="S483" s="79"/>
      <c r="T483" s="79"/>
      <c r="Y483" s="79"/>
      <c r="AC483" s="130"/>
      <c r="AE483" s="106"/>
    </row>
    <row r="484">
      <c r="C484" s="79"/>
      <c r="D484" s="79"/>
      <c r="E484" s="79"/>
      <c r="O484" s="79"/>
      <c r="S484" s="79"/>
      <c r="T484" s="79"/>
      <c r="Y484" s="79"/>
      <c r="AC484" s="130"/>
      <c r="AE484" s="106"/>
    </row>
    <row r="485">
      <c r="C485" s="79"/>
      <c r="D485" s="79"/>
      <c r="E485" s="79"/>
      <c r="O485" s="79"/>
      <c r="S485" s="79"/>
      <c r="T485" s="79"/>
      <c r="Y485" s="79"/>
      <c r="AC485" s="130"/>
      <c r="AE485" s="106"/>
    </row>
    <row r="486">
      <c r="C486" s="79"/>
      <c r="D486" s="79"/>
      <c r="E486" s="79"/>
      <c r="O486" s="79"/>
      <c r="S486" s="79"/>
      <c r="T486" s="79"/>
      <c r="Y486" s="79"/>
      <c r="AC486" s="130"/>
      <c r="AE486" s="106"/>
    </row>
    <row r="487">
      <c r="C487" s="79"/>
      <c r="D487" s="79"/>
      <c r="E487" s="79"/>
      <c r="O487" s="79"/>
      <c r="S487" s="79"/>
      <c r="T487" s="79"/>
      <c r="Y487" s="79"/>
      <c r="AC487" s="130"/>
      <c r="AE487" s="106"/>
    </row>
    <row r="488">
      <c r="C488" s="79"/>
      <c r="D488" s="79"/>
      <c r="E488" s="79"/>
      <c r="O488" s="79"/>
      <c r="S488" s="79"/>
      <c r="T488" s="79"/>
      <c r="Y488" s="79"/>
      <c r="AC488" s="130"/>
      <c r="AE488" s="106"/>
    </row>
    <row r="489">
      <c r="C489" s="79"/>
      <c r="D489" s="79"/>
      <c r="E489" s="79"/>
      <c r="O489" s="79"/>
      <c r="S489" s="79"/>
      <c r="T489" s="79"/>
      <c r="Y489" s="79"/>
      <c r="AC489" s="130"/>
      <c r="AE489" s="106"/>
    </row>
    <row r="490">
      <c r="C490" s="79"/>
      <c r="D490" s="79"/>
      <c r="E490" s="79"/>
      <c r="O490" s="79"/>
      <c r="S490" s="79"/>
      <c r="T490" s="79"/>
      <c r="Y490" s="79"/>
      <c r="AC490" s="130"/>
      <c r="AE490" s="106"/>
    </row>
    <row r="491">
      <c r="C491" s="79"/>
      <c r="D491" s="79"/>
      <c r="E491" s="79"/>
      <c r="O491" s="79"/>
      <c r="S491" s="79"/>
      <c r="T491" s="79"/>
      <c r="Y491" s="79"/>
      <c r="AC491" s="130"/>
      <c r="AE491" s="106"/>
    </row>
    <row r="492">
      <c r="C492" s="79"/>
      <c r="D492" s="79"/>
      <c r="E492" s="79"/>
      <c r="O492" s="79"/>
      <c r="S492" s="79"/>
      <c r="T492" s="79"/>
      <c r="Y492" s="79"/>
      <c r="AC492" s="130"/>
      <c r="AE492" s="106"/>
    </row>
    <row r="493">
      <c r="C493" s="79"/>
      <c r="D493" s="79"/>
      <c r="E493" s="79"/>
      <c r="O493" s="79"/>
      <c r="S493" s="79"/>
      <c r="T493" s="79"/>
      <c r="Y493" s="79"/>
      <c r="AC493" s="130"/>
      <c r="AE493" s="106"/>
    </row>
    <row r="494">
      <c r="C494" s="79"/>
      <c r="D494" s="79"/>
      <c r="E494" s="79"/>
      <c r="O494" s="79"/>
      <c r="S494" s="79"/>
      <c r="T494" s="79"/>
      <c r="Y494" s="79"/>
      <c r="AC494" s="130"/>
      <c r="AE494" s="106"/>
    </row>
    <row r="495">
      <c r="C495" s="79"/>
      <c r="D495" s="79"/>
      <c r="E495" s="79"/>
      <c r="O495" s="79"/>
      <c r="S495" s="79"/>
      <c r="T495" s="79"/>
      <c r="Y495" s="79"/>
      <c r="AC495" s="130"/>
      <c r="AE495" s="106"/>
    </row>
    <row r="496">
      <c r="C496" s="79"/>
      <c r="D496" s="79"/>
      <c r="E496" s="79"/>
      <c r="O496" s="79"/>
      <c r="S496" s="79"/>
      <c r="T496" s="79"/>
      <c r="Y496" s="79"/>
      <c r="AC496" s="130"/>
      <c r="AE496" s="106"/>
    </row>
    <row r="497">
      <c r="C497" s="79"/>
      <c r="D497" s="79"/>
      <c r="E497" s="79"/>
      <c r="O497" s="79"/>
      <c r="S497" s="79"/>
      <c r="T497" s="79"/>
      <c r="Y497" s="79"/>
      <c r="AC497" s="130"/>
      <c r="AE497" s="106"/>
    </row>
    <row r="498">
      <c r="C498" s="79"/>
      <c r="D498" s="79"/>
      <c r="E498" s="79"/>
      <c r="O498" s="79"/>
      <c r="S498" s="79"/>
      <c r="T498" s="79"/>
      <c r="Y498" s="79"/>
      <c r="AC498" s="130"/>
      <c r="AE498" s="106"/>
    </row>
    <row r="499">
      <c r="C499" s="79"/>
      <c r="D499" s="79"/>
      <c r="E499" s="79"/>
      <c r="O499" s="79"/>
      <c r="S499" s="79"/>
      <c r="T499" s="79"/>
      <c r="Y499" s="79"/>
      <c r="AC499" s="130"/>
      <c r="AE499" s="106"/>
    </row>
    <row r="500">
      <c r="C500" s="79"/>
      <c r="D500" s="79"/>
      <c r="E500" s="79"/>
      <c r="O500" s="79"/>
      <c r="S500" s="79"/>
      <c r="T500" s="79"/>
      <c r="Y500" s="79"/>
      <c r="AC500" s="130"/>
      <c r="AE500" s="106"/>
    </row>
    <row r="501">
      <c r="C501" s="79"/>
      <c r="D501" s="79"/>
      <c r="E501" s="79"/>
      <c r="O501" s="79"/>
      <c r="S501" s="79"/>
      <c r="T501" s="79"/>
      <c r="Y501" s="79"/>
      <c r="AC501" s="130"/>
      <c r="AE501" s="106"/>
    </row>
    <row r="502">
      <c r="C502" s="79"/>
      <c r="D502" s="79"/>
      <c r="E502" s="79"/>
      <c r="O502" s="79"/>
      <c r="S502" s="79"/>
      <c r="T502" s="79"/>
      <c r="Y502" s="79"/>
      <c r="AC502" s="130"/>
      <c r="AE502" s="106"/>
    </row>
    <row r="503">
      <c r="C503" s="79"/>
      <c r="D503" s="79"/>
      <c r="E503" s="79"/>
      <c r="O503" s="79"/>
      <c r="S503" s="79"/>
      <c r="T503" s="79"/>
      <c r="Y503" s="79"/>
      <c r="AC503" s="130"/>
      <c r="AE503" s="106"/>
    </row>
    <row r="504">
      <c r="C504" s="79"/>
      <c r="D504" s="79"/>
      <c r="E504" s="79"/>
      <c r="O504" s="79"/>
      <c r="S504" s="79"/>
      <c r="T504" s="79"/>
      <c r="Y504" s="79"/>
      <c r="AC504" s="130"/>
      <c r="AE504" s="106"/>
    </row>
    <row r="505">
      <c r="C505" s="79"/>
      <c r="D505" s="79"/>
      <c r="E505" s="79"/>
      <c r="O505" s="79"/>
      <c r="S505" s="79"/>
      <c r="T505" s="79"/>
      <c r="Y505" s="79"/>
      <c r="AC505" s="130"/>
      <c r="AE505" s="106"/>
    </row>
    <row r="506">
      <c r="C506" s="79"/>
      <c r="D506" s="79"/>
      <c r="E506" s="79"/>
      <c r="O506" s="79"/>
      <c r="S506" s="79"/>
      <c r="T506" s="79"/>
      <c r="Y506" s="79"/>
      <c r="AC506" s="130"/>
      <c r="AE506" s="106"/>
    </row>
    <row r="507">
      <c r="C507" s="79"/>
      <c r="D507" s="79"/>
      <c r="E507" s="79"/>
      <c r="O507" s="79"/>
      <c r="S507" s="79"/>
      <c r="T507" s="79"/>
      <c r="Y507" s="79"/>
      <c r="AC507" s="130"/>
      <c r="AE507" s="106"/>
    </row>
    <row r="508">
      <c r="C508" s="79"/>
      <c r="D508" s="79"/>
      <c r="E508" s="79"/>
      <c r="O508" s="79"/>
      <c r="S508" s="79"/>
      <c r="T508" s="79"/>
      <c r="Y508" s="79"/>
      <c r="AC508" s="130"/>
      <c r="AE508" s="106"/>
    </row>
    <row r="509">
      <c r="C509" s="79"/>
      <c r="D509" s="79"/>
      <c r="E509" s="79"/>
      <c r="O509" s="79"/>
      <c r="S509" s="79"/>
      <c r="T509" s="79"/>
      <c r="Y509" s="79"/>
      <c r="AC509" s="130"/>
      <c r="AE509" s="106"/>
    </row>
    <row r="510">
      <c r="C510" s="79"/>
      <c r="D510" s="79"/>
      <c r="E510" s="79"/>
      <c r="O510" s="79"/>
      <c r="S510" s="79"/>
      <c r="T510" s="79"/>
      <c r="Y510" s="79"/>
      <c r="AC510" s="130"/>
      <c r="AE510" s="106"/>
    </row>
    <row r="511">
      <c r="C511" s="79"/>
      <c r="D511" s="79"/>
      <c r="E511" s="79"/>
      <c r="O511" s="79"/>
      <c r="S511" s="79"/>
      <c r="T511" s="79"/>
      <c r="Y511" s="79"/>
      <c r="AC511" s="130"/>
      <c r="AE511" s="106"/>
    </row>
    <row r="512">
      <c r="C512" s="79"/>
      <c r="D512" s="79"/>
      <c r="E512" s="79"/>
      <c r="O512" s="79"/>
      <c r="S512" s="79"/>
      <c r="T512" s="79"/>
      <c r="Y512" s="79"/>
      <c r="AC512" s="130"/>
      <c r="AE512" s="106"/>
    </row>
    <row r="513">
      <c r="C513" s="79"/>
      <c r="D513" s="79"/>
      <c r="E513" s="79"/>
      <c r="O513" s="79"/>
      <c r="S513" s="79"/>
      <c r="T513" s="79"/>
      <c r="Y513" s="79"/>
      <c r="AC513" s="130"/>
      <c r="AE513" s="106"/>
    </row>
    <row r="514">
      <c r="C514" s="79"/>
      <c r="D514" s="79"/>
      <c r="E514" s="79"/>
      <c r="O514" s="79"/>
      <c r="S514" s="79"/>
      <c r="T514" s="79"/>
      <c r="Y514" s="79"/>
      <c r="AC514" s="130"/>
      <c r="AE514" s="106"/>
    </row>
    <row r="515">
      <c r="C515" s="79"/>
      <c r="D515" s="79"/>
      <c r="E515" s="79"/>
      <c r="O515" s="79"/>
      <c r="S515" s="79"/>
      <c r="T515" s="79"/>
      <c r="Y515" s="79"/>
      <c r="AC515" s="130"/>
      <c r="AE515" s="106"/>
    </row>
    <row r="516">
      <c r="C516" s="79"/>
      <c r="D516" s="79"/>
      <c r="E516" s="79"/>
      <c r="O516" s="79"/>
      <c r="S516" s="79"/>
      <c r="T516" s="79"/>
      <c r="Y516" s="79"/>
      <c r="AC516" s="130"/>
      <c r="AE516" s="106"/>
    </row>
    <row r="517">
      <c r="C517" s="79"/>
      <c r="D517" s="79"/>
      <c r="E517" s="79"/>
      <c r="O517" s="79"/>
      <c r="S517" s="79"/>
      <c r="T517" s="79"/>
      <c r="Y517" s="79"/>
      <c r="AC517" s="130"/>
      <c r="AE517" s="106"/>
    </row>
    <row r="518">
      <c r="C518" s="79"/>
      <c r="D518" s="79"/>
      <c r="E518" s="79"/>
      <c r="O518" s="79"/>
      <c r="S518" s="79"/>
      <c r="T518" s="79"/>
      <c r="Y518" s="79"/>
      <c r="AC518" s="130"/>
      <c r="AE518" s="106"/>
    </row>
    <row r="519">
      <c r="C519" s="79"/>
      <c r="D519" s="79"/>
      <c r="E519" s="79"/>
      <c r="O519" s="79"/>
      <c r="S519" s="79"/>
      <c r="T519" s="79"/>
      <c r="Y519" s="79"/>
      <c r="AC519" s="130"/>
      <c r="AE519" s="106"/>
    </row>
    <row r="520">
      <c r="C520" s="79"/>
      <c r="D520" s="79"/>
      <c r="E520" s="79"/>
      <c r="O520" s="79"/>
      <c r="S520" s="79"/>
      <c r="T520" s="79"/>
      <c r="Y520" s="79"/>
      <c r="AC520" s="130"/>
      <c r="AE520" s="106"/>
    </row>
    <row r="521">
      <c r="C521" s="79"/>
      <c r="D521" s="79"/>
      <c r="E521" s="79"/>
      <c r="O521" s="79"/>
      <c r="S521" s="79"/>
      <c r="T521" s="79"/>
      <c r="Y521" s="79"/>
      <c r="AC521" s="130"/>
      <c r="AE521" s="106"/>
    </row>
    <row r="522">
      <c r="C522" s="79"/>
      <c r="D522" s="79"/>
      <c r="E522" s="79"/>
      <c r="O522" s="79"/>
      <c r="S522" s="79"/>
      <c r="T522" s="79"/>
      <c r="Y522" s="79"/>
      <c r="AC522" s="130"/>
      <c r="AE522" s="106"/>
    </row>
    <row r="523">
      <c r="C523" s="79"/>
      <c r="D523" s="79"/>
      <c r="E523" s="79"/>
      <c r="O523" s="79"/>
      <c r="S523" s="79"/>
      <c r="T523" s="79"/>
      <c r="Y523" s="79"/>
      <c r="AC523" s="130"/>
      <c r="AE523" s="106"/>
    </row>
    <row r="524">
      <c r="C524" s="79"/>
      <c r="D524" s="79"/>
      <c r="E524" s="79"/>
      <c r="O524" s="79"/>
      <c r="S524" s="79"/>
      <c r="T524" s="79"/>
      <c r="Y524" s="79"/>
      <c r="AC524" s="130"/>
      <c r="AE524" s="106"/>
    </row>
    <row r="525">
      <c r="C525" s="79"/>
      <c r="D525" s="79"/>
      <c r="E525" s="79"/>
      <c r="O525" s="79"/>
      <c r="S525" s="79"/>
      <c r="T525" s="79"/>
      <c r="Y525" s="79"/>
      <c r="AC525" s="130"/>
      <c r="AE525" s="106"/>
    </row>
    <row r="526">
      <c r="C526" s="79"/>
      <c r="D526" s="79"/>
      <c r="E526" s="79"/>
      <c r="O526" s="79"/>
      <c r="S526" s="79"/>
      <c r="T526" s="79"/>
      <c r="Y526" s="79"/>
      <c r="AC526" s="130"/>
      <c r="AE526" s="106"/>
    </row>
    <row r="527">
      <c r="C527" s="79"/>
      <c r="D527" s="79"/>
      <c r="E527" s="79"/>
      <c r="O527" s="79"/>
      <c r="S527" s="79"/>
      <c r="T527" s="79"/>
      <c r="Y527" s="79"/>
      <c r="AC527" s="130"/>
      <c r="AE527" s="106"/>
    </row>
    <row r="528">
      <c r="C528" s="79"/>
      <c r="D528" s="79"/>
      <c r="E528" s="79"/>
      <c r="O528" s="79"/>
      <c r="S528" s="79"/>
      <c r="T528" s="79"/>
      <c r="Y528" s="79"/>
      <c r="AC528" s="130"/>
      <c r="AE528" s="106"/>
    </row>
    <row r="529">
      <c r="C529" s="79"/>
      <c r="D529" s="79"/>
      <c r="E529" s="79"/>
      <c r="O529" s="79"/>
      <c r="S529" s="79"/>
      <c r="T529" s="79"/>
      <c r="Y529" s="79"/>
      <c r="AC529" s="130"/>
      <c r="AE529" s="106"/>
    </row>
    <row r="530">
      <c r="C530" s="79"/>
      <c r="D530" s="79"/>
      <c r="E530" s="79"/>
      <c r="O530" s="79"/>
      <c r="S530" s="79"/>
      <c r="T530" s="79"/>
      <c r="Y530" s="79"/>
      <c r="AC530" s="130"/>
      <c r="AE530" s="106"/>
    </row>
    <row r="531">
      <c r="C531" s="79"/>
      <c r="D531" s="79"/>
      <c r="E531" s="79"/>
      <c r="O531" s="79"/>
      <c r="S531" s="79"/>
      <c r="T531" s="79"/>
      <c r="Y531" s="79"/>
      <c r="AC531" s="130"/>
      <c r="AE531" s="106"/>
    </row>
    <row r="532">
      <c r="C532" s="79"/>
      <c r="D532" s="79"/>
      <c r="E532" s="79"/>
      <c r="O532" s="79"/>
      <c r="S532" s="79"/>
      <c r="T532" s="79"/>
      <c r="Y532" s="79"/>
      <c r="AC532" s="130"/>
      <c r="AE532" s="106"/>
    </row>
    <row r="533">
      <c r="C533" s="79"/>
      <c r="D533" s="79"/>
      <c r="E533" s="79"/>
      <c r="O533" s="79"/>
      <c r="S533" s="79"/>
      <c r="T533" s="79"/>
      <c r="Y533" s="79"/>
      <c r="AC533" s="130"/>
      <c r="AE533" s="106"/>
    </row>
    <row r="534">
      <c r="C534" s="79"/>
      <c r="D534" s="79"/>
      <c r="E534" s="79"/>
      <c r="O534" s="79"/>
      <c r="S534" s="79"/>
      <c r="T534" s="79"/>
      <c r="Y534" s="79"/>
      <c r="AC534" s="130"/>
      <c r="AE534" s="106"/>
    </row>
    <row r="535">
      <c r="C535" s="79"/>
      <c r="D535" s="79"/>
      <c r="E535" s="79"/>
      <c r="O535" s="79"/>
      <c r="S535" s="79"/>
      <c r="T535" s="79"/>
      <c r="Y535" s="79"/>
      <c r="AC535" s="130"/>
      <c r="AE535" s="106"/>
    </row>
    <row r="536">
      <c r="C536" s="79"/>
      <c r="D536" s="79"/>
      <c r="E536" s="79"/>
      <c r="O536" s="79"/>
      <c r="S536" s="79"/>
      <c r="T536" s="79"/>
      <c r="Y536" s="79"/>
      <c r="AC536" s="130"/>
      <c r="AE536" s="106"/>
    </row>
    <row r="537">
      <c r="C537" s="79"/>
      <c r="D537" s="79"/>
      <c r="E537" s="79"/>
      <c r="O537" s="79"/>
      <c r="S537" s="79"/>
      <c r="T537" s="79"/>
      <c r="Y537" s="79"/>
      <c r="AC537" s="130"/>
      <c r="AE537" s="106"/>
    </row>
    <row r="538">
      <c r="C538" s="79"/>
      <c r="D538" s="79"/>
      <c r="E538" s="79"/>
      <c r="O538" s="79"/>
      <c r="S538" s="79"/>
      <c r="T538" s="79"/>
      <c r="Y538" s="79"/>
      <c r="AC538" s="130"/>
      <c r="AE538" s="106"/>
    </row>
    <row r="539">
      <c r="C539" s="79"/>
      <c r="D539" s="79"/>
      <c r="E539" s="79"/>
      <c r="O539" s="79"/>
      <c r="S539" s="79"/>
      <c r="T539" s="79"/>
      <c r="Y539" s="79"/>
      <c r="AC539" s="130"/>
      <c r="AE539" s="106"/>
    </row>
    <row r="540">
      <c r="C540" s="79"/>
      <c r="D540" s="79"/>
      <c r="E540" s="79"/>
      <c r="O540" s="79"/>
      <c r="S540" s="79"/>
      <c r="T540" s="79"/>
      <c r="Y540" s="79"/>
      <c r="AC540" s="130"/>
      <c r="AE540" s="106"/>
    </row>
    <row r="541">
      <c r="C541" s="79"/>
      <c r="D541" s="79"/>
      <c r="E541" s="79"/>
      <c r="O541" s="79"/>
      <c r="S541" s="79"/>
      <c r="T541" s="79"/>
      <c r="Y541" s="79"/>
      <c r="AC541" s="130"/>
      <c r="AE541" s="106"/>
    </row>
    <row r="542">
      <c r="C542" s="79"/>
      <c r="D542" s="79"/>
      <c r="E542" s="79"/>
      <c r="O542" s="79"/>
      <c r="S542" s="79"/>
      <c r="T542" s="79"/>
      <c r="Y542" s="79"/>
      <c r="AC542" s="130"/>
      <c r="AE542" s="106"/>
    </row>
    <row r="543">
      <c r="C543" s="79"/>
      <c r="D543" s="79"/>
      <c r="E543" s="79"/>
      <c r="O543" s="79"/>
      <c r="S543" s="79"/>
      <c r="T543" s="79"/>
      <c r="Y543" s="79"/>
      <c r="AC543" s="130"/>
      <c r="AE543" s="106"/>
    </row>
    <row r="544">
      <c r="C544" s="79"/>
      <c r="D544" s="79"/>
      <c r="E544" s="79"/>
      <c r="O544" s="79"/>
      <c r="S544" s="79"/>
      <c r="T544" s="79"/>
      <c r="Y544" s="79"/>
      <c r="AC544" s="130"/>
      <c r="AE544" s="106"/>
    </row>
    <row r="545">
      <c r="C545" s="79"/>
      <c r="D545" s="79"/>
      <c r="E545" s="79"/>
      <c r="O545" s="79"/>
      <c r="S545" s="79"/>
      <c r="T545" s="79"/>
      <c r="Y545" s="79"/>
      <c r="AC545" s="130"/>
      <c r="AE545" s="106"/>
    </row>
    <row r="546">
      <c r="C546" s="79"/>
      <c r="D546" s="79"/>
      <c r="E546" s="79"/>
      <c r="O546" s="79"/>
      <c r="S546" s="79"/>
      <c r="T546" s="79"/>
      <c r="Y546" s="79"/>
      <c r="AC546" s="130"/>
      <c r="AE546" s="106"/>
    </row>
    <row r="547">
      <c r="C547" s="79"/>
      <c r="D547" s="79"/>
      <c r="E547" s="79"/>
      <c r="O547" s="79"/>
      <c r="S547" s="79"/>
      <c r="T547" s="79"/>
      <c r="Y547" s="79"/>
      <c r="AC547" s="130"/>
      <c r="AE547" s="106"/>
    </row>
    <row r="548">
      <c r="C548" s="79"/>
      <c r="D548" s="79"/>
      <c r="E548" s="79"/>
      <c r="O548" s="79"/>
      <c r="S548" s="79"/>
      <c r="T548" s="79"/>
      <c r="Y548" s="79"/>
      <c r="AC548" s="130"/>
      <c r="AE548" s="106"/>
    </row>
    <row r="549">
      <c r="C549" s="79"/>
      <c r="D549" s="79"/>
      <c r="E549" s="79"/>
      <c r="O549" s="79"/>
      <c r="S549" s="79"/>
      <c r="T549" s="79"/>
      <c r="Y549" s="79"/>
      <c r="AC549" s="130"/>
      <c r="AE549" s="106"/>
    </row>
    <row r="550">
      <c r="C550" s="79"/>
      <c r="D550" s="79"/>
      <c r="E550" s="79"/>
      <c r="O550" s="79"/>
      <c r="S550" s="79"/>
      <c r="T550" s="79"/>
      <c r="Y550" s="79"/>
      <c r="AC550" s="130"/>
      <c r="AE550" s="106"/>
    </row>
    <row r="551">
      <c r="C551" s="79"/>
      <c r="D551" s="79"/>
      <c r="E551" s="79"/>
      <c r="O551" s="79"/>
      <c r="S551" s="79"/>
      <c r="T551" s="79"/>
      <c r="Y551" s="79"/>
      <c r="AC551" s="130"/>
      <c r="AE551" s="106"/>
    </row>
    <row r="552">
      <c r="C552" s="79"/>
      <c r="D552" s="79"/>
      <c r="E552" s="79"/>
      <c r="O552" s="79"/>
      <c r="S552" s="79"/>
      <c r="T552" s="79"/>
      <c r="Y552" s="79"/>
      <c r="AC552" s="130"/>
      <c r="AE552" s="106"/>
    </row>
    <row r="553">
      <c r="C553" s="79"/>
      <c r="D553" s="79"/>
      <c r="E553" s="79"/>
      <c r="O553" s="79"/>
      <c r="S553" s="79"/>
      <c r="T553" s="79"/>
      <c r="Y553" s="79"/>
      <c r="AC553" s="130"/>
      <c r="AE553" s="106"/>
    </row>
    <row r="554">
      <c r="C554" s="79"/>
      <c r="D554" s="79"/>
      <c r="E554" s="79"/>
      <c r="O554" s="79"/>
      <c r="S554" s="79"/>
      <c r="T554" s="79"/>
      <c r="Y554" s="79"/>
      <c r="AC554" s="130"/>
      <c r="AE554" s="106"/>
    </row>
    <row r="555">
      <c r="C555" s="79"/>
      <c r="D555" s="79"/>
      <c r="E555" s="79"/>
      <c r="O555" s="79"/>
      <c r="S555" s="79"/>
      <c r="T555" s="79"/>
      <c r="Y555" s="79"/>
      <c r="AC555" s="130"/>
      <c r="AE555" s="106"/>
    </row>
    <row r="556">
      <c r="C556" s="79"/>
      <c r="D556" s="79"/>
      <c r="E556" s="79"/>
      <c r="O556" s="79"/>
      <c r="S556" s="79"/>
      <c r="T556" s="79"/>
      <c r="Y556" s="79"/>
      <c r="AC556" s="130"/>
      <c r="AE556" s="106"/>
    </row>
    <row r="557">
      <c r="C557" s="79"/>
      <c r="D557" s="79"/>
      <c r="E557" s="79"/>
      <c r="O557" s="79"/>
      <c r="S557" s="79"/>
      <c r="T557" s="79"/>
      <c r="Y557" s="79"/>
      <c r="AC557" s="130"/>
      <c r="AE557" s="106"/>
    </row>
    <row r="558">
      <c r="C558" s="79"/>
      <c r="D558" s="79"/>
      <c r="E558" s="79"/>
      <c r="O558" s="79"/>
      <c r="S558" s="79"/>
      <c r="T558" s="79"/>
      <c r="Y558" s="79"/>
      <c r="AC558" s="130"/>
      <c r="AE558" s="106"/>
    </row>
    <row r="559">
      <c r="C559" s="79"/>
      <c r="D559" s="79"/>
      <c r="E559" s="79"/>
      <c r="O559" s="79"/>
      <c r="S559" s="79"/>
      <c r="T559" s="79"/>
      <c r="Y559" s="79"/>
      <c r="AC559" s="130"/>
      <c r="AE559" s="106"/>
    </row>
    <row r="560">
      <c r="C560" s="79"/>
      <c r="D560" s="79"/>
      <c r="E560" s="79"/>
      <c r="O560" s="79"/>
      <c r="S560" s="79"/>
      <c r="T560" s="79"/>
      <c r="Y560" s="79"/>
      <c r="AC560" s="130"/>
      <c r="AE560" s="106"/>
    </row>
    <row r="561">
      <c r="C561" s="79"/>
      <c r="D561" s="79"/>
      <c r="E561" s="79"/>
      <c r="O561" s="79"/>
      <c r="S561" s="79"/>
      <c r="T561" s="79"/>
      <c r="Y561" s="79"/>
      <c r="AC561" s="130"/>
      <c r="AE561" s="106"/>
    </row>
    <row r="562">
      <c r="C562" s="79"/>
      <c r="D562" s="79"/>
      <c r="E562" s="79"/>
      <c r="O562" s="79"/>
      <c r="S562" s="79"/>
      <c r="T562" s="79"/>
      <c r="Y562" s="79"/>
      <c r="AC562" s="130"/>
      <c r="AE562" s="106"/>
    </row>
    <row r="563">
      <c r="C563" s="79"/>
      <c r="D563" s="79"/>
      <c r="E563" s="79"/>
      <c r="O563" s="79"/>
      <c r="S563" s="79"/>
      <c r="T563" s="79"/>
      <c r="Y563" s="79"/>
      <c r="AC563" s="130"/>
      <c r="AE563" s="106"/>
    </row>
    <row r="564">
      <c r="C564" s="79"/>
      <c r="D564" s="79"/>
      <c r="E564" s="79"/>
      <c r="O564" s="79"/>
      <c r="S564" s="79"/>
      <c r="T564" s="79"/>
      <c r="Y564" s="79"/>
      <c r="AC564" s="130"/>
      <c r="AE564" s="106"/>
    </row>
    <row r="565">
      <c r="C565" s="79"/>
      <c r="D565" s="79"/>
      <c r="E565" s="79"/>
      <c r="O565" s="79"/>
      <c r="S565" s="79"/>
      <c r="T565" s="79"/>
      <c r="Y565" s="79"/>
      <c r="AC565" s="130"/>
      <c r="AE565" s="106"/>
    </row>
    <row r="566">
      <c r="C566" s="79"/>
      <c r="D566" s="79"/>
      <c r="E566" s="79"/>
      <c r="O566" s="79"/>
      <c r="S566" s="79"/>
      <c r="T566" s="79"/>
      <c r="Y566" s="79"/>
      <c r="AC566" s="130"/>
      <c r="AE566" s="106"/>
    </row>
    <row r="567">
      <c r="C567" s="79"/>
      <c r="D567" s="79"/>
      <c r="E567" s="79"/>
      <c r="O567" s="79"/>
      <c r="S567" s="79"/>
      <c r="T567" s="79"/>
      <c r="Y567" s="79"/>
      <c r="AC567" s="130"/>
      <c r="AE567" s="106"/>
    </row>
    <row r="568">
      <c r="C568" s="79"/>
      <c r="D568" s="79"/>
      <c r="E568" s="79"/>
      <c r="O568" s="79"/>
      <c r="S568" s="79"/>
      <c r="T568" s="79"/>
      <c r="Y568" s="79"/>
      <c r="AC568" s="130"/>
      <c r="AE568" s="106"/>
    </row>
    <row r="569">
      <c r="C569" s="79"/>
      <c r="D569" s="79"/>
      <c r="E569" s="79"/>
      <c r="O569" s="79"/>
      <c r="S569" s="79"/>
      <c r="T569" s="79"/>
      <c r="Y569" s="79"/>
      <c r="AC569" s="130"/>
      <c r="AE569" s="106"/>
    </row>
    <row r="570">
      <c r="C570" s="79"/>
      <c r="D570" s="79"/>
      <c r="E570" s="79"/>
      <c r="O570" s="79"/>
      <c r="S570" s="79"/>
      <c r="T570" s="79"/>
      <c r="Y570" s="79"/>
      <c r="AC570" s="130"/>
      <c r="AE570" s="106"/>
    </row>
    <row r="571">
      <c r="C571" s="79"/>
      <c r="D571" s="79"/>
      <c r="E571" s="79"/>
      <c r="O571" s="79"/>
      <c r="S571" s="79"/>
      <c r="T571" s="79"/>
      <c r="Y571" s="79"/>
      <c r="AC571" s="130"/>
      <c r="AE571" s="106"/>
    </row>
    <row r="572">
      <c r="C572" s="79"/>
      <c r="D572" s="79"/>
      <c r="E572" s="79"/>
      <c r="O572" s="79"/>
      <c r="S572" s="79"/>
      <c r="T572" s="79"/>
      <c r="Y572" s="79"/>
      <c r="AC572" s="130"/>
      <c r="AE572" s="106"/>
    </row>
    <row r="573">
      <c r="C573" s="79"/>
      <c r="D573" s="79"/>
      <c r="E573" s="79"/>
      <c r="O573" s="79"/>
      <c r="S573" s="79"/>
      <c r="T573" s="79"/>
      <c r="Y573" s="79"/>
      <c r="AC573" s="130"/>
      <c r="AE573" s="106"/>
    </row>
    <row r="574">
      <c r="C574" s="79"/>
      <c r="D574" s="79"/>
      <c r="E574" s="79"/>
      <c r="O574" s="79"/>
      <c r="S574" s="79"/>
      <c r="T574" s="79"/>
      <c r="Y574" s="79"/>
      <c r="AC574" s="130"/>
      <c r="AE574" s="106"/>
    </row>
    <row r="575">
      <c r="C575" s="79"/>
      <c r="D575" s="79"/>
      <c r="E575" s="79"/>
      <c r="O575" s="79"/>
      <c r="S575" s="79"/>
      <c r="T575" s="79"/>
      <c r="Y575" s="79"/>
      <c r="AC575" s="130"/>
      <c r="AE575" s="106"/>
    </row>
    <row r="576">
      <c r="C576" s="79"/>
      <c r="D576" s="79"/>
      <c r="E576" s="79"/>
      <c r="O576" s="79"/>
      <c r="S576" s="79"/>
      <c r="T576" s="79"/>
      <c r="Y576" s="79"/>
      <c r="AC576" s="130"/>
      <c r="AE576" s="106"/>
    </row>
    <row r="577">
      <c r="C577" s="79"/>
      <c r="D577" s="79"/>
      <c r="E577" s="79"/>
      <c r="O577" s="79"/>
      <c r="S577" s="79"/>
      <c r="T577" s="79"/>
      <c r="Y577" s="79"/>
      <c r="AC577" s="130"/>
      <c r="AE577" s="106"/>
    </row>
    <row r="578">
      <c r="C578" s="79"/>
      <c r="D578" s="79"/>
      <c r="E578" s="79"/>
      <c r="O578" s="79"/>
      <c r="S578" s="79"/>
      <c r="T578" s="79"/>
      <c r="Y578" s="79"/>
      <c r="AC578" s="130"/>
      <c r="AE578" s="106"/>
    </row>
    <row r="579">
      <c r="C579" s="79"/>
      <c r="D579" s="79"/>
      <c r="E579" s="79"/>
      <c r="O579" s="79"/>
      <c r="S579" s="79"/>
      <c r="T579" s="79"/>
      <c r="Y579" s="79"/>
      <c r="AC579" s="130"/>
      <c r="AE579" s="106"/>
    </row>
    <row r="580">
      <c r="C580" s="79"/>
      <c r="D580" s="79"/>
      <c r="E580" s="79"/>
      <c r="O580" s="79"/>
      <c r="S580" s="79"/>
      <c r="T580" s="79"/>
      <c r="Y580" s="79"/>
      <c r="AC580" s="130"/>
      <c r="AE580" s="106"/>
    </row>
    <row r="581">
      <c r="C581" s="79"/>
      <c r="D581" s="79"/>
      <c r="E581" s="79"/>
      <c r="O581" s="79"/>
      <c r="S581" s="79"/>
      <c r="T581" s="79"/>
      <c r="Y581" s="79"/>
      <c r="AC581" s="130"/>
      <c r="AE581" s="106"/>
    </row>
    <row r="582">
      <c r="C582" s="79"/>
      <c r="D582" s="79"/>
      <c r="E582" s="79"/>
      <c r="O582" s="79"/>
      <c r="S582" s="79"/>
      <c r="T582" s="79"/>
      <c r="Y582" s="79"/>
      <c r="AC582" s="130"/>
      <c r="AE582" s="106"/>
    </row>
    <row r="583">
      <c r="C583" s="79"/>
      <c r="D583" s="79"/>
      <c r="E583" s="79"/>
      <c r="O583" s="79"/>
      <c r="S583" s="79"/>
      <c r="T583" s="79"/>
      <c r="Y583" s="79"/>
      <c r="AC583" s="130"/>
      <c r="AE583" s="106"/>
    </row>
    <row r="584">
      <c r="C584" s="79"/>
      <c r="D584" s="79"/>
      <c r="E584" s="79"/>
      <c r="O584" s="79"/>
      <c r="S584" s="79"/>
      <c r="T584" s="79"/>
      <c r="Y584" s="79"/>
      <c r="AC584" s="130"/>
      <c r="AE584" s="106"/>
    </row>
    <row r="585">
      <c r="C585" s="79"/>
      <c r="D585" s="79"/>
      <c r="E585" s="79"/>
      <c r="O585" s="79"/>
      <c r="S585" s="79"/>
      <c r="T585" s="79"/>
      <c r="Y585" s="79"/>
      <c r="AC585" s="130"/>
      <c r="AE585" s="106"/>
    </row>
    <row r="586">
      <c r="C586" s="79"/>
      <c r="D586" s="79"/>
      <c r="E586" s="79"/>
      <c r="O586" s="79"/>
      <c r="S586" s="79"/>
      <c r="T586" s="79"/>
      <c r="Y586" s="79"/>
      <c r="AC586" s="130"/>
      <c r="AE586" s="106"/>
    </row>
    <row r="587">
      <c r="C587" s="79"/>
      <c r="D587" s="79"/>
      <c r="E587" s="79"/>
      <c r="O587" s="79"/>
      <c r="S587" s="79"/>
      <c r="T587" s="79"/>
      <c r="Y587" s="79"/>
      <c r="AC587" s="130"/>
      <c r="AE587" s="106"/>
    </row>
    <row r="588">
      <c r="C588" s="79"/>
      <c r="D588" s="79"/>
      <c r="E588" s="79"/>
      <c r="O588" s="79"/>
      <c r="S588" s="79"/>
      <c r="T588" s="79"/>
      <c r="Y588" s="79"/>
      <c r="AC588" s="130"/>
      <c r="AE588" s="106"/>
    </row>
    <row r="589">
      <c r="C589" s="79"/>
      <c r="D589" s="79"/>
      <c r="E589" s="79"/>
      <c r="O589" s="79"/>
      <c r="S589" s="79"/>
      <c r="T589" s="79"/>
      <c r="Y589" s="79"/>
      <c r="AC589" s="130"/>
      <c r="AE589" s="106"/>
    </row>
    <row r="590">
      <c r="C590" s="79"/>
      <c r="D590" s="79"/>
      <c r="E590" s="79"/>
      <c r="O590" s="79"/>
      <c r="S590" s="79"/>
      <c r="T590" s="79"/>
      <c r="Y590" s="79"/>
      <c r="AC590" s="130"/>
      <c r="AE590" s="106"/>
    </row>
    <row r="591">
      <c r="C591" s="79"/>
      <c r="D591" s="79"/>
      <c r="E591" s="79"/>
      <c r="O591" s="79"/>
      <c r="S591" s="79"/>
      <c r="T591" s="79"/>
      <c r="Y591" s="79"/>
      <c r="AC591" s="130"/>
      <c r="AE591" s="106"/>
    </row>
    <row r="592">
      <c r="C592" s="79"/>
      <c r="D592" s="79"/>
      <c r="E592" s="79"/>
      <c r="O592" s="79"/>
      <c r="S592" s="79"/>
      <c r="T592" s="79"/>
      <c r="Y592" s="79"/>
      <c r="AC592" s="130"/>
      <c r="AE592" s="106"/>
    </row>
    <row r="593">
      <c r="C593" s="79"/>
      <c r="D593" s="79"/>
      <c r="E593" s="79"/>
      <c r="O593" s="79"/>
      <c r="S593" s="79"/>
      <c r="T593" s="79"/>
      <c r="Y593" s="79"/>
      <c r="AC593" s="130"/>
      <c r="AE593" s="106"/>
    </row>
    <row r="594">
      <c r="C594" s="79"/>
      <c r="D594" s="79"/>
      <c r="E594" s="79"/>
      <c r="O594" s="79"/>
      <c r="S594" s="79"/>
      <c r="T594" s="79"/>
      <c r="Y594" s="79"/>
      <c r="AC594" s="130"/>
      <c r="AE594" s="106"/>
    </row>
    <row r="595">
      <c r="C595" s="79"/>
      <c r="D595" s="79"/>
      <c r="E595" s="79"/>
      <c r="O595" s="79"/>
      <c r="S595" s="79"/>
      <c r="T595" s="79"/>
      <c r="Y595" s="79"/>
      <c r="AC595" s="130"/>
      <c r="AE595" s="106"/>
    </row>
    <row r="596">
      <c r="C596" s="79"/>
      <c r="D596" s="79"/>
      <c r="E596" s="79"/>
      <c r="O596" s="79"/>
      <c r="S596" s="79"/>
      <c r="T596" s="79"/>
      <c r="Y596" s="79"/>
      <c r="AC596" s="130"/>
      <c r="AE596" s="106"/>
    </row>
    <row r="597">
      <c r="C597" s="79"/>
      <c r="D597" s="79"/>
      <c r="E597" s="79"/>
      <c r="O597" s="79"/>
      <c r="S597" s="79"/>
      <c r="T597" s="79"/>
      <c r="Y597" s="79"/>
      <c r="AC597" s="130"/>
      <c r="AE597" s="106"/>
    </row>
    <row r="598">
      <c r="C598" s="79"/>
      <c r="D598" s="79"/>
      <c r="E598" s="79"/>
      <c r="O598" s="79"/>
      <c r="S598" s="79"/>
      <c r="T598" s="79"/>
      <c r="Y598" s="79"/>
      <c r="AC598" s="130"/>
      <c r="AE598" s="106"/>
    </row>
    <row r="599">
      <c r="C599" s="79"/>
      <c r="D599" s="79"/>
      <c r="E599" s="79"/>
      <c r="O599" s="79"/>
      <c r="S599" s="79"/>
      <c r="T599" s="79"/>
      <c r="Y599" s="79"/>
      <c r="AC599" s="130"/>
      <c r="AE599" s="106"/>
    </row>
    <row r="600">
      <c r="C600" s="79"/>
      <c r="D600" s="79"/>
      <c r="E600" s="79"/>
      <c r="O600" s="79"/>
      <c r="S600" s="79"/>
      <c r="T600" s="79"/>
      <c r="Y600" s="79"/>
      <c r="AC600" s="130"/>
      <c r="AE600" s="106"/>
    </row>
    <row r="601">
      <c r="C601" s="79"/>
      <c r="D601" s="79"/>
      <c r="E601" s="79"/>
      <c r="O601" s="79"/>
      <c r="S601" s="79"/>
      <c r="T601" s="79"/>
      <c r="Y601" s="79"/>
      <c r="AC601" s="130"/>
      <c r="AE601" s="106"/>
    </row>
    <row r="602">
      <c r="C602" s="79"/>
      <c r="D602" s="79"/>
      <c r="E602" s="79"/>
      <c r="O602" s="79"/>
      <c r="S602" s="79"/>
      <c r="T602" s="79"/>
      <c r="Y602" s="79"/>
      <c r="AC602" s="130"/>
      <c r="AE602" s="106"/>
    </row>
    <row r="603">
      <c r="C603" s="79"/>
      <c r="D603" s="79"/>
      <c r="E603" s="79"/>
      <c r="O603" s="79"/>
      <c r="S603" s="79"/>
      <c r="T603" s="79"/>
      <c r="Y603" s="79"/>
      <c r="AC603" s="130"/>
      <c r="AE603" s="106"/>
    </row>
    <row r="604">
      <c r="C604" s="79"/>
      <c r="D604" s="79"/>
      <c r="E604" s="79"/>
      <c r="O604" s="79"/>
      <c r="S604" s="79"/>
      <c r="T604" s="79"/>
      <c r="Y604" s="79"/>
      <c r="AC604" s="130"/>
      <c r="AE604" s="106"/>
    </row>
    <row r="605">
      <c r="C605" s="79"/>
      <c r="D605" s="79"/>
      <c r="E605" s="79"/>
      <c r="O605" s="79"/>
      <c r="S605" s="79"/>
      <c r="T605" s="79"/>
      <c r="Y605" s="79"/>
      <c r="AC605" s="130"/>
      <c r="AE605" s="106"/>
    </row>
    <row r="606">
      <c r="C606" s="79"/>
      <c r="D606" s="79"/>
      <c r="E606" s="79"/>
      <c r="O606" s="79"/>
      <c r="S606" s="79"/>
      <c r="T606" s="79"/>
      <c r="Y606" s="79"/>
      <c r="AC606" s="130"/>
      <c r="AE606" s="106"/>
    </row>
    <row r="607">
      <c r="C607" s="79"/>
      <c r="D607" s="79"/>
      <c r="E607" s="79"/>
      <c r="O607" s="79"/>
      <c r="S607" s="79"/>
      <c r="T607" s="79"/>
      <c r="Y607" s="79"/>
      <c r="AC607" s="130"/>
      <c r="AE607" s="106"/>
    </row>
    <row r="608">
      <c r="C608" s="79"/>
      <c r="D608" s="79"/>
      <c r="E608" s="79"/>
      <c r="O608" s="79"/>
      <c r="S608" s="79"/>
      <c r="T608" s="79"/>
      <c r="Y608" s="79"/>
      <c r="AC608" s="130"/>
      <c r="AE608" s="106"/>
    </row>
    <row r="609">
      <c r="C609" s="79"/>
      <c r="D609" s="79"/>
      <c r="E609" s="79"/>
      <c r="O609" s="79"/>
      <c r="S609" s="79"/>
      <c r="T609" s="79"/>
      <c r="Y609" s="79"/>
      <c r="AC609" s="130"/>
      <c r="AE609" s="106"/>
    </row>
    <row r="610">
      <c r="C610" s="79"/>
      <c r="D610" s="79"/>
      <c r="E610" s="79"/>
      <c r="O610" s="79"/>
      <c r="S610" s="79"/>
      <c r="T610" s="79"/>
      <c r="Y610" s="79"/>
      <c r="AC610" s="130"/>
      <c r="AE610" s="106"/>
    </row>
    <row r="611">
      <c r="C611" s="79"/>
      <c r="D611" s="79"/>
      <c r="E611" s="79"/>
      <c r="O611" s="79"/>
      <c r="S611" s="79"/>
      <c r="T611" s="79"/>
      <c r="Y611" s="79"/>
      <c r="AC611" s="130"/>
      <c r="AE611" s="106"/>
    </row>
    <row r="612">
      <c r="C612" s="79"/>
      <c r="D612" s="79"/>
      <c r="E612" s="79"/>
      <c r="O612" s="79"/>
      <c r="S612" s="79"/>
      <c r="T612" s="79"/>
      <c r="Y612" s="79"/>
      <c r="AC612" s="130"/>
      <c r="AE612" s="106"/>
    </row>
    <row r="613">
      <c r="C613" s="79"/>
      <c r="D613" s="79"/>
      <c r="E613" s="79"/>
      <c r="O613" s="79"/>
      <c r="S613" s="79"/>
      <c r="T613" s="79"/>
      <c r="Y613" s="79"/>
      <c r="AC613" s="130"/>
      <c r="AE613" s="106"/>
    </row>
    <row r="614">
      <c r="C614" s="79"/>
      <c r="D614" s="79"/>
      <c r="E614" s="79"/>
      <c r="O614" s="79"/>
      <c r="S614" s="79"/>
      <c r="T614" s="79"/>
      <c r="Y614" s="79"/>
      <c r="AC614" s="130"/>
      <c r="AE614" s="106"/>
    </row>
    <row r="615">
      <c r="C615" s="79"/>
      <c r="D615" s="79"/>
      <c r="E615" s="79"/>
      <c r="O615" s="79"/>
      <c r="S615" s="79"/>
      <c r="T615" s="79"/>
      <c r="Y615" s="79"/>
      <c r="AC615" s="130"/>
      <c r="AE615" s="106"/>
    </row>
    <row r="616">
      <c r="C616" s="79"/>
      <c r="D616" s="79"/>
      <c r="E616" s="79"/>
      <c r="O616" s="79"/>
      <c r="S616" s="79"/>
      <c r="T616" s="79"/>
      <c r="Y616" s="79"/>
      <c r="AC616" s="130"/>
      <c r="AE616" s="106"/>
    </row>
    <row r="617">
      <c r="C617" s="79"/>
      <c r="D617" s="79"/>
      <c r="E617" s="79"/>
      <c r="O617" s="79"/>
      <c r="S617" s="79"/>
      <c r="T617" s="79"/>
      <c r="Y617" s="79"/>
      <c r="AC617" s="130"/>
      <c r="AE617" s="106"/>
    </row>
    <row r="618">
      <c r="C618" s="79"/>
      <c r="D618" s="79"/>
      <c r="E618" s="79"/>
      <c r="O618" s="79"/>
      <c r="S618" s="79"/>
      <c r="T618" s="79"/>
      <c r="Y618" s="79"/>
      <c r="AC618" s="130"/>
      <c r="AE618" s="106"/>
    </row>
    <row r="619">
      <c r="C619" s="79"/>
      <c r="D619" s="79"/>
      <c r="E619" s="79"/>
      <c r="O619" s="79"/>
      <c r="S619" s="79"/>
      <c r="T619" s="79"/>
      <c r="Y619" s="79"/>
      <c r="AC619" s="130"/>
      <c r="AE619" s="106"/>
    </row>
    <row r="620">
      <c r="C620" s="79"/>
      <c r="D620" s="79"/>
      <c r="E620" s="79"/>
      <c r="O620" s="79"/>
      <c r="S620" s="79"/>
      <c r="T620" s="79"/>
      <c r="Y620" s="79"/>
      <c r="AC620" s="130"/>
      <c r="AE620" s="106"/>
    </row>
    <row r="621">
      <c r="C621" s="79"/>
      <c r="D621" s="79"/>
      <c r="E621" s="79"/>
      <c r="O621" s="79"/>
      <c r="S621" s="79"/>
      <c r="T621" s="79"/>
      <c r="Y621" s="79"/>
      <c r="AC621" s="130"/>
      <c r="AE621" s="106"/>
    </row>
    <row r="622">
      <c r="C622" s="79"/>
      <c r="D622" s="79"/>
      <c r="E622" s="79"/>
      <c r="O622" s="79"/>
      <c r="S622" s="79"/>
      <c r="T622" s="79"/>
      <c r="Y622" s="79"/>
      <c r="AC622" s="130"/>
      <c r="AE622" s="106"/>
    </row>
    <row r="623">
      <c r="C623" s="79"/>
      <c r="D623" s="79"/>
      <c r="E623" s="79"/>
      <c r="O623" s="79"/>
      <c r="S623" s="79"/>
      <c r="T623" s="79"/>
      <c r="Y623" s="79"/>
      <c r="AC623" s="130"/>
      <c r="AE623" s="106"/>
    </row>
    <row r="624">
      <c r="C624" s="79"/>
      <c r="D624" s="79"/>
      <c r="E624" s="79"/>
      <c r="O624" s="79"/>
      <c r="S624" s="79"/>
      <c r="T624" s="79"/>
      <c r="Y624" s="79"/>
      <c r="AC624" s="130"/>
      <c r="AE624" s="106"/>
    </row>
    <row r="625">
      <c r="C625" s="79"/>
      <c r="D625" s="79"/>
      <c r="E625" s="79"/>
      <c r="O625" s="79"/>
      <c r="S625" s="79"/>
      <c r="T625" s="79"/>
      <c r="Y625" s="79"/>
      <c r="AC625" s="130"/>
      <c r="AE625" s="106"/>
    </row>
    <row r="626">
      <c r="C626" s="79"/>
      <c r="D626" s="79"/>
      <c r="E626" s="79"/>
      <c r="O626" s="79"/>
      <c r="S626" s="79"/>
      <c r="T626" s="79"/>
      <c r="Y626" s="79"/>
      <c r="AC626" s="130"/>
      <c r="AE626" s="106"/>
    </row>
    <row r="627">
      <c r="C627" s="79"/>
      <c r="D627" s="79"/>
      <c r="E627" s="79"/>
      <c r="O627" s="79"/>
      <c r="S627" s="79"/>
      <c r="T627" s="79"/>
      <c r="Y627" s="79"/>
      <c r="AC627" s="130"/>
      <c r="AE627" s="106"/>
    </row>
    <row r="628">
      <c r="C628" s="79"/>
      <c r="D628" s="79"/>
      <c r="E628" s="79"/>
      <c r="O628" s="79"/>
      <c r="S628" s="79"/>
      <c r="T628" s="79"/>
      <c r="Y628" s="79"/>
      <c r="AC628" s="130"/>
      <c r="AE628" s="106"/>
    </row>
    <row r="629">
      <c r="C629" s="79"/>
      <c r="D629" s="79"/>
      <c r="E629" s="79"/>
      <c r="O629" s="79"/>
      <c r="S629" s="79"/>
      <c r="T629" s="79"/>
      <c r="Y629" s="79"/>
      <c r="AC629" s="130"/>
      <c r="AE629" s="106"/>
    </row>
    <row r="630">
      <c r="C630" s="79"/>
      <c r="D630" s="79"/>
      <c r="E630" s="79"/>
      <c r="O630" s="79"/>
      <c r="S630" s="79"/>
      <c r="T630" s="79"/>
      <c r="Y630" s="79"/>
      <c r="AC630" s="130"/>
      <c r="AE630" s="106"/>
    </row>
    <row r="631">
      <c r="C631" s="79"/>
      <c r="D631" s="79"/>
      <c r="E631" s="79"/>
      <c r="O631" s="79"/>
      <c r="S631" s="79"/>
      <c r="T631" s="79"/>
      <c r="Y631" s="79"/>
      <c r="AC631" s="130"/>
      <c r="AE631" s="106"/>
    </row>
    <row r="632">
      <c r="C632" s="79"/>
      <c r="D632" s="79"/>
      <c r="E632" s="79"/>
      <c r="O632" s="79"/>
      <c r="S632" s="79"/>
      <c r="T632" s="79"/>
      <c r="Y632" s="79"/>
      <c r="AC632" s="130"/>
      <c r="AE632" s="106"/>
    </row>
    <row r="633">
      <c r="C633" s="79"/>
      <c r="D633" s="79"/>
      <c r="E633" s="79"/>
      <c r="O633" s="79"/>
      <c r="S633" s="79"/>
      <c r="T633" s="79"/>
      <c r="Y633" s="79"/>
      <c r="AC633" s="130"/>
      <c r="AE633" s="106"/>
    </row>
    <row r="634">
      <c r="C634" s="79"/>
      <c r="D634" s="79"/>
      <c r="E634" s="79"/>
      <c r="O634" s="79"/>
      <c r="S634" s="79"/>
      <c r="T634" s="79"/>
      <c r="Y634" s="79"/>
      <c r="AC634" s="130"/>
      <c r="AE634" s="106"/>
    </row>
    <row r="635">
      <c r="C635" s="79"/>
      <c r="D635" s="79"/>
      <c r="E635" s="79"/>
      <c r="O635" s="79"/>
      <c r="S635" s="79"/>
      <c r="T635" s="79"/>
      <c r="Y635" s="79"/>
      <c r="AC635" s="130"/>
      <c r="AE635" s="106"/>
    </row>
    <row r="636">
      <c r="C636" s="79"/>
      <c r="D636" s="79"/>
      <c r="E636" s="79"/>
      <c r="O636" s="79"/>
      <c r="S636" s="79"/>
      <c r="T636" s="79"/>
      <c r="Y636" s="79"/>
      <c r="AC636" s="130"/>
      <c r="AE636" s="106"/>
    </row>
    <row r="637">
      <c r="C637" s="79"/>
      <c r="D637" s="79"/>
      <c r="E637" s="79"/>
      <c r="O637" s="79"/>
      <c r="S637" s="79"/>
      <c r="T637" s="79"/>
      <c r="Y637" s="79"/>
      <c r="AC637" s="130"/>
      <c r="AE637" s="106"/>
    </row>
    <row r="638">
      <c r="C638" s="79"/>
      <c r="D638" s="79"/>
      <c r="E638" s="79"/>
      <c r="O638" s="79"/>
      <c r="S638" s="79"/>
      <c r="T638" s="79"/>
      <c r="Y638" s="79"/>
      <c r="AC638" s="130"/>
      <c r="AE638" s="106"/>
    </row>
    <row r="639">
      <c r="C639" s="79"/>
      <c r="D639" s="79"/>
      <c r="E639" s="79"/>
      <c r="O639" s="79"/>
      <c r="S639" s="79"/>
      <c r="T639" s="79"/>
      <c r="Y639" s="79"/>
      <c r="AC639" s="130"/>
      <c r="AE639" s="106"/>
    </row>
    <row r="640">
      <c r="C640" s="79"/>
      <c r="D640" s="79"/>
      <c r="E640" s="79"/>
      <c r="O640" s="79"/>
      <c r="S640" s="79"/>
      <c r="T640" s="79"/>
      <c r="Y640" s="79"/>
      <c r="AC640" s="130"/>
      <c r="AE640" s="106"/>
    </row>
    <row r="641">
      <c r="C641" s="79"/>
      <c r="D641" s="79"/>
      <c r="E641" s="79"/>
      <c r="O641" s="79"/>
      <c r="S641" s="79"/>
      <c r="T641" s="79"/>
      <c r="Y641" s="79"/>
      <c r="AC641" s="130"/>
      <c r="AE641" s="106"/>
    </row>
    <row r="642">
      <c r="C642" s="79"/>
      <c r="D642" s="79"/>
      <c r="E642" s="79"/>
      <c r="O642" s="79"/>
      <c r="S642" s="79"/>
      <c r="T642" s="79"/>
      <c r="Y642" s="79"/>
      <c r="AC642" s="130"/>
      <c r="AE642" s="106"/>
    </row>
    <row r="643">
      <c r="C643" s="79"/>
      <c r="D643" s="79"/>
      <c r="E643" s="79"/>
      <c r="O643" s="79"/>
      <c r="S643" s="79"/>
      <c r="T643" s="79"/>
      <c r="Y643" s="79"/>
      <c r="AC643" s="130"/>
      <c r="AE643" s="106"/>
    </row>
    <row r="644">
      <c r="C644" s="79"/>
      <c r="D644" s="79"/>
      <c r="E644" s="79"/>
      <c r="O644" s="79"/>
      <c r="S644" s="79"/>
      <c r="T644" s="79"/>
      <c r="Y644" s="79"/>
      <c r="AC644" s="130"/>
      <c r="AE644" s="106"/>
    </row>
    <row r="645">
      <c r="C645" s="79"/>
      <c r="D645" s="79"/>
      <c r="E645" s="79"/>
      <c r="O645" s="79"/>
      <c r="S645" s="79"/>
      <c r="T645" s="79"/>
      <c r="Y645" s="79"/>
      <c r="AC645" s="130"/>
      <c r="AE645" s="106"/>
    </row>
    <row r="646">
      <c r="C646" s="79"/>
      <c r="D646" s="79"/>
      <c r="E646" s="79"/>
      <c r="O646" s="79"/>
      <c r="S646" s="79"/>
      <c r="T646" s="79"/>
      <c r="Y646" s="79"/>
      <c r="AC646" s="130"/>
      <c r="AE646" s="106"/>
    </row>
    <row r="647">
      <c r="C647" s="79"/>
      <c r="D647" s="79"/>
      <c r="E647" s="79"/>
      <c r="O647" s="79"/>
      <c r="S647" s="79"/>
      <c r="T647" s="79"/>
      <c r="Y647" s="79"/>
      <c r="AC647" s="130"/>
      <c r="AE647" s="106"/>
    </row>
    <row r="648">
      <c r="C648" s="79"/>
      <c r="D648" s="79"/>
      <c r="E648" s="79"/>
      <c r="O648" s="79"/>
      <c r="S648" s="79"/>
      <c r="T648" s="79"/>
      <c r="Y648" s="79"/>
      <c r="AC648" s="130"/>
      <c r="AE648" s="106"/>
    </row>
    <row r="649">
      <c r="C649" s="79"/>
      <c r="D649" s="79"/>
      <c r="E649" s="79"/>
      <c r="O649" s="79"/>
      <c r="S649" s="79"/>
      <c r="T649" s="79"/>
      <c r="Y649" s="79"/>
      <c r="AC649" s="130"/>
      <c r="AE649" s="106"/>
    </row>
    <row r="650">
      <c r="C650" s="79"/>
      <c r="D650" s="79"/>
      <c r="E650" s="79"/>
      <c r="O650" s="79"/>
      <c r="S650" s="79"/>
      <c r="T650" s="79"/>
      <c r="Y650" s="79"/>
      <c r="AC650" s="130"/>
      <c r="AE650" s="106"/>
    </row>
    <row r="651">
      <c r="C651" s="79"/>
      <c r="D651" s="79"/>
      <c r="E651" s="79"/>
      <c r="O651" s="79"/>
      <c r="S651" s="79"/>
      <c r="T651" s="79"/>
      <c r="Y651" s="79"/>
      <c r="AC651" s="130"/>
      <c r="AE651" s="106"/>
    </row>
    <row r="652">
      <c r="C652" s="79"/>
      <c r="D652" s="79"/>
      <c r="E652" s="79"/>
      <c r="O652" s="79"/>
      <c r="S652" s="79"/>
      <c r="T652" s="79"/>
      <c r="Y652" s="79"/>
      <c r="AC652" s="130"/>
      <c r="AE652" s="106"/>
    </row>
    <row r="653">
      <c r="C653" s="79"/>
      <c r="D653" s="79"/>
      <c r="E653" s="79"/>
      <c r="O653" s="79"/>
      <c r="S653" s="79"/>
      <c r="T653" s="79"/>
      <c r="Y653" s="79"/>
      <c r="AC653" s="130"/>
      <c r="AE653" s="106"/>
    </row>
    <row r="654">
      <c r="C654" s="79"/>
      <c r="D654" s="79"/>
      <c r="E654" s="79"/>
      <c r="O654" s="79"/>
      <c r="S654" s="79"/>
      <c r="T654" s="79"/>
      <c r="Y654" s="79"/>
      <c r="AC654" s="130"/>
      <c r="AE654" s="106"/>
    </row>
    <row r="655">
      <c r="C655" s="79"/>
      <c r="D655" s="79"/>
      <c r="E655" s="79"/>
      <c r="O655" s="79"/>
      <c r="S655" s="79"/>
      <c r="T655" s="79"/>
      <c r="Y655" s="79"/>
      <c r="AC655" s="130"/>
      <c r="AE655" s="106"/>
    </row>
    <row r="656">
      <c r="C656" s="79"/>
      <c r="D656" s="79"/>
      <c r="E656" s="79"/>
      <c r="O656" s="79"/>
      <c r="S656" s="79"/>
      <c r="T656" s="79"/>
      <c r="Y656" s="79"/>
      <c r="AC656" s="130"/>
      <c r="AE656" s="106"/>
    </row>
    <row r="657">
      <c r="C657" s="79"/>
      <c r="D657" s="79"/>
      <c r="E657" s="79"/>
      <c r="O657" s="79"/>
      <c r="S657" s="79"/>
      <c r="T657" s="79"/>
      <c r="Y657" s="79"/>
      <c r="AC657" s="130"/>
      <c r="AE657" s="106"/>
    </row>
    <row r="658">
      <c r="C658" s="79"/>
      <c r="D658" s="79"/>
      <c r="E658" s="79"/>
      <c r="O658" s="79"/>
      <c r="S658" s="79"/>
      <c r="T658" s="79"/>
      <c r="Y658" s="79"/>
      <c r="AC658" s="130"/>
      <c r="AE658" s="106"/>
    </row>
    <row r="659">
      <c r="C659" s="79"/>
      <c r="D659" s="79"/>
      <c r="E659" s="79"/>
      <c r="O659" s="79"/>
      <c r="S659" s="79"/>
      <c r="T659" s="79"/>
      <c r="Y659" s="79"/>
      <c r="AC659" s="130"/>
      <c r="AE659" s="106"/>
    </row>
    <row r="660">
      <c r="C660" s="79"/>
      <c r="D660" s="79"/>
      <c r="E660" s="79"/>
      <c r="O660" s="79"/>
      <c r="S660" s="79"/>
      <c r="T660" s="79"/>
      <c r="Y660" s="79"/>
      <c r="AC660" s="130"/>
      <c r="AE660" s="106"/>
    </row>
    <row r="661">
      <c r="C661" s="79"/>
      <c r="D661" s="79"/>
      <c r="E661" s="79"/>
      <c r="O661" s="79"/>
      <c r="S661" s="79"/>
      <c r="T661" s="79"/>
      <c r="Y661" s="79"/>
      <c r="AC661" s="130"/>
      <c r="AE661" s="106"/>
    </row>
    <row r="662">
      <c r="C662" s="79"/>
      <c r="D662" s="79"/>
      <c r="E662" s="79"/>
      <c r="O662" s="79"/>
      <c r="S662" s="79"/>
      <c r="T662" s="79"/>
      <c r="Y662" s="79"/>
      <c r="AC662" s="130"/>
      <c r="AE662" s="106"/>
    </row>
    <row r="663">
      <c r="C663" s="79"/>
      <c r="D663" s="79"/>
      <c r="E663" s="79"/>
      <c r="O663" s="79"/>
      <c r="S663" s="79"/>
      <c r="T663" s="79"/>
      <c r="Y663" s="79"/>
      <c r="AC663" s="130"/>
      <c r="AE663" s="106"/>
    </row>
    <row r="664">
      <c r="C664" s="79"/>
      <c r="D664" s="79"/>
      <c r="E664" s="79"/>
      <c r="O664" s="79"/>
      <c r="S664" s="79"/>
      <c r="T664" s="79"/>
      <c r="Y664" s="79"/>
      <c r="AC664" s="130"/>
      <c r="AE664" s="106"/>
    </row>
    <row r="665">
      <c r="C665" s="79"/>
      <c r="D665" s="79"/>
      <c r="E665" s="79"/>
      <c r="O665" s="79"/>
      <c r="S665" s="79"/>
      <c r="T665" s="79"/>
      <c r="Y665" s="79"/>
      <c r="AC665" s="130"/>
      <c r="AE665" s="106"/>
    </row>
    <row r="666">
      <c r="C666" s="79"/>
      <c r="D666" s="79"/>
      <c r="E666" s="79"/>
      <c r="O666" s="79"/>
      <c r="S666" s="79"/>
      <c r="T666" s="79"/>
      <c r="Y666" s="79"/>
      <c r="AC666" s="130"/>
      <c r="AE666" s="106"/>
    </row>
    <row r="667">
      <c r="C667" s="79"/>
      <c r="D667" s="79"/>
      <c r="E667" s="79"/>
      <c r="O667" s="79"/>
      <c r="S667" s="79"/>
      <c r="T667" s="79"/>
      <c r="Y667" s="79"/>
      <c r="AC667" s="130"/>
      <c r="AE667" s="106"/>
    </row>
    <row r="668">
      <c r="C668" s="79"/>
      <c r="D668" s="79"/>
      <c r="E668" s="79"/>
      <c r="O668" s="79"/>
      <c r="S668" s="79"/>
      <c r="T668" s="79"/>
      <c r="Y668" s="79"/>
      <c r="AC668" s="130"/>
      <c r="AE668" s="106"/>
    </row>
    <row r="669">
      <c r="C669" s="79"/>
      <c r="D669" s="79"/>
      <c r="E669" s="79"/>
      <c r="O669" s="79"/>
      <c r="S669" s="79"/>
      <c r="T669" s="79"/>
      <c r="Y669" s="79"/>
      <c r="AC669" s="130"/>
      <c r="AE669" s="106"/>
    </row>
    <row r="670">
      <c r="C670" s="79"/>
      <c r="D670" s="79"/>
      <c r="E670" s="79"/>
      <c r="O670" s="79"/>
      <c r="S670" s="79"/>
      <c r="T670" s="79"/>
      <c r="Y670" s="79"/>
      <c r="AC670" s="130"/>
      <c r="AE670" s="106"/>
    </row>
    <row r="671">
      <c r="C671" s="79"/>
      <c r="D671" s="79"/>
      <c r="E671" s="79"/>
      <c r="O671" s="79"/>
      <c r="S671" s="79"/>
      <c r="T671" s="79"/>
      <c r="Y671" s="79"/>
      <c r="AC671" s="130"/>
      <c r="AE671" s="106"/>
    </row>
    <row r="672">
      <c r="C672" s="79"/>
      <c r="D672" s="79"/>
      <c r="E672" s="79"/>
      <c r="O672" s="79"/>
      <c r="S672" s="79"/>
      <c r="T672" s="79"/>
      <c r="Y672" s="79"/>
      <c r="AC672" s="130"/>
      <c r="AE672" s="106"/>
    </row>
    <row r="673">
      <c r="C673" s="79"/>
      <c r="D673" s="79"/>
      <c r="E673" s="79"/>
      <c r="O673" s="79"/>
      <c r="S673" s="79"/>
      <c r="T673" s="79"/>
      <c r="Y673" s="79"/>
      <c r="AC673" s="130"/>
      <c r="AE673" s="106"/>
    </row>
    <row r="674">
      <c r="C674" s="79"/>
      <c r="D674" s="79"/>
      <c r="E674" s="79"/>
      <c r="O674" s="79"/>
      <c r="S674" s="79"/>
      <c r="T674" s="79"/>
      <c r="Y674" s="79"/>
      <c r="AC674" s="130"/>
      <c r="AE674" s="106"/>
    </row>
    <row r="675">
      <c r="C675" s="79"/>
      <c r="D675" s="79"/>
      <c r="E675" s="79"/>
      <c r="O675" s="79"/>
      <c r="S675" s="79"/>
      <c r="T675" s="79"/>
      <c r="Y675" s="79"/>
      <c r="AC675" s="130"/>
      <c r="AE675" s="106"/>
    </row>
    <row r="676">
      <c r="C676" s="79"/>
      <c r="D676" s="79"/>
      <c r="E676" s="79"/>
      <c r="O676" s="79"/>
      <c r="S676" s="79"/>
      <c r="T676" s="79"/>
      <c r="Y676" s="79"/>
      <c r="AC676" s="130"/>
      <c r="AE676" s="106"/>
    </row>
    <row r="677">
      <c r="C677" s="79"/>
      <c r="D677" s="79"/>
      <c r="E677" s="79"/>
      <c r="O677" s="79"/>
      <c r="S677" s="79"/>
      <c r="T677" s="79"/>
      <c r="Y677" s="79"/>
      <c r="AC677" s="130"/>
      <c r="AE677" s="106"/>
    </row>
    <row r="678">
      <c r="C678" s="79"/>
      <c r="D678" s="79"/>
      <c r="E678" s="79"/>
      <c r="O678" s="79"/>
      <c r="S678" s="79"/>
      <c r="T678" s="79"/>
      <c r="Y678" s="79"/>
      <c r="AC678" s="130"/>
      <c r="AE678" s="106"/>
    </row>
    <row r="679">
      <c r="C679" s="79"/>
      <c r="D679" s="79"/>
      <c r="E679" s="79"/>
      <c r="O679" s="79"/>
      <c r="S679" s="79"/>
      <c r="T679" s="79"/>
      <c r="Y679" s="79"/>
      <c r="AC679" s="130"/>
      <c r="AE679" s="106"/>
    </row>
    <row r="680">
      <c r="C680" s="79"/>
      <c r="D680" s="79"/>
      <c r="E680" s="79"/>
      <c r="O680" s="79"/>
      <c r="S680" s="79"/>
      <c r="T680" s="79"/>
      <c r="Y680" s="79"/>
      <c r="AC680" s="130"/>
      <c r="AE680" s="106"/>
    </row>
    <row r="681">
      <c r="C681" s="79"/>
      <c r="D681" s="79"/>
      <c r="E681" s="79"/>
      <c r="O681" s="79"/>
      <c r="S681" s="79"/>
      <c r="T681" s="79"/>
      <c r="Y681" s="79"/>
      <c r="AC681" s="130"/>
      <c r="AE681" s="106"/>
    </row>
    <row r="682">
      <c r="C682" s="79"/>
      <c r="D682" s="79"/>
      <c r="E682" s="79"/>
      <c r="O682" s="79"/>
      <c r="S682" s="79"/>
      <c r="T682" s="79"/>
      <c r="Y682" s="79"/>
      <c r="AC682" s="130"/>
      <c r="AE682" s="106"/>
    </row>
    <row r="683">
      <c r="C683" s="79"/>
      <c r="D683" s="79"/>
      <c r="E683" s="79"/>
      <c r="O683" s="79"/>
      <c r="S683" s="79"/>
      <c r="T683" s="79"/>
      <c r="Y683" s="79"/>
      <c r="AC683" s="130"/>
      <c r="AE683" s="106"/>
    </row>
    <row r="684">
      <c r="C684" s="79"/>
      <c r="D684" s="79"/>
      <c r="E684" s="79"/>
      <c r="O684" s="79"/>
      <c r="S684" s="79"/>
      <c r="T684" s="79"/>
      <c r="Y684" s="79"/>
      <c r="AC684" s="130"/>
      <c r="AE684" s="106"/>
    </row>
    <row r="685">
      <c r="C685" s="79"/>
      <c r="D685" s="79"/>
      <c r="E685" s="79"/>
      <c r="O685" s="79"/>
      <c r="S685" s="79"/>
      <c r="T685" s="79"/>
      <c r="Y685" s="79"/>
      <c r="AC685" s="130"/>
      <c r="AE685" s="106"/>
    </row>
    <row r="686">
      <c r="C686" s="79"/>
      <c r="D686" s="79"/>
      <c r="E686" s="79"/>
      <c r="O686" s="79"/>
      <c r="S686" s="79"/>
      <c r="T686" s="79"/>
      <c r="Y686" s="79"/>
      <c r="AC686" s="130"/>
      <c r="AE686" s="106"/>
    </row>
    <row r="687">
      <c r="C687" s="79"/>
      <c r="D687" s="79"/>
      <c r="E687" s="79"/>
      <c r="O687" s="79"/>
      <c r="S687" s="79"/>
      <c r="T687" s="79"/>
      <c r="Y687" s="79"/>
      <c r="AC687" s="130"/>
      <c r="AE687" s="106"/>
    </row>
    <row r="688">
      <c r="C688" s="79"/>
      <c r="D688" s="79"/>
      <c r="E688" s="79"/>
      <c r="O688" s="79"/>
      <c r="S688" s="79"/>
      <c r="T688" s="79"/>
      <c r="Y688" s="79"/>
      <c r="AC688" s="130"/>
      <c r="AE688" s="106"/>
    </row>
    <row r="689">
      <c r="C689" s="79"/>
      <c r="D689" s="79"/>
      <c r="E689" s="79"/>
      <c r="O689" s="79"/>
      <c r="S689" s="79"/>
      <c r="T689" s="79"/>
      <c r="Y689" s="79"/>
      <c r="AC689" s="130"/>
      <c r="AE689" s="106"/>
    </row>
    <row r="690">
      <c r="C690" s="79"/>
      <c r="D690" s="79"/>
      <c r="E690" s="79"/>
      <c r="O690" s="79"/>
      <c r="S690" s="79"/>
      <c r="T690" s="79"/>
      <c r="Y690" s="79"/>
      <c r="AC690" s="130"/>
      <c r="AE690" s="106"/>
    </row>
    <row r="691">
      <c r="C691" s="79"/>
      <c r="D691" s="79"/>
      <c r="E691" s="79"/>
      <c r="O691" s="79"/>
      <c r="S691" s="79"/>
      <c r="T691" s="79"/>
      <c r="Y691" s="79"/>
      <c r="AC691" s="130"/>
      <c r="AE691" s="106"/>
    </row>
    <row r="692">
      <c r="C692" s="79"/>
      <c r="D692" s="79"/>
      <c r="E692" s="79"/>
      <c r="O692" s="79"/>
      <c r="S692" s="79"/>
      <c r="T692" s="79"/>
      <c r="Y692" s="79"/>
      <c r="AC692" s="130"/>
      <c r="AE692" s="106"/>
    </row>
    <row r="693">
      <c r="C693" s="79"/>
      <c r="D693" s="79"/>
      <c r="E693" s="79"/>
      <c r="O693" s="79"/>
      <c r="S693" s="79"/>
      <c r="T693" s="79"/>
      <c r="Y693" s="79"/>
      <c r="AC693" s="130"/>
      <c r="AE693" s="106"/>
    </row>
    <row r="694">
      <c r="C694" s="79"/>
      <c r="D694" s="79"/>
      <c r="E694" s="79"/>
      <c r="O694" s="79"/>
      <c r="S694" s="79"/>
      <c r="T694" s="79"/>
      <c r="Y694" s="79"/>
      <c r="AC694" s="130"/>
      <c r="AE694" s="106"/>
    </row>
    <row r="695">
      <c r="C695" s="79"/>
      <c r="D695" s="79"/>
      <c r="E695" s="79"/>
      <c r="O695" s="79"/>
      <c r="S695" s="79"/>
      <c r="T695" s="79"/>
      <c r="Y695" s="79"/>
      <c r="AC695" s="130"/>
      <c r="AE695" s="106"/>
    </row>
    <row r="696">
      <c r="C696" s="79"/>
      <c r="D696" s="79"/>
      <c r="E696" s="79"/>
      <c r="O696" s="79"/>
      <c r="S696" s="79"/>
      <c r="T696" s="79"/>
      <c r="Y696" s="79"/>
      <c r="AC696" s="130"/>
      <c r="AE696" s="106"/>
    </row>
    <row r="697">
      <c r="C697" s="79"/>
      <c r="D697" s="79"/>
      <c r="E697" s="79"/>
      <c r="O697" s="79"/>
      <c r="S697" s="79"/>
      <c r="T697" s="79"/>
      <c r="Y697" s="79"/>
      <c r="AC697" s="130"/>
      <c r="AE697" s="106"/>
    </row>
    <row r="698">
      <c r="C698" s="79"/>
      <c r="D698" s="79"/>
      <c r="E698" s="79"/>
      <c r="O698" s="79"/>
      <c r="S698" s="79"/>
      <c r="T698" s="79"/>
      <c r="Y698" s="79"/>
      <c r="AC698" s="130"/>
      <c r="AE698" s="106"/>
    </row>
    <row r="699">
      <c r="C699" s="79"/>
      <c r="D699" s="79"/>
      <c r="E699" s="79"/>
      <c r="O699" s="79"/>
      <c r="S699" s="79"/>
      <c r="T699" s="79"/>
      <c r="Y699" s="79"/>
      <c r="AC699" s="130"/>
      <c r="AE699" s="106"/>
    </row>
    <row r="700">
      <c r="C700" s="79"/>
      <c r="D700" s="79"/>
      <c r="E700" s="79"/>
      <c r="O700" s="79"/>
      <c r="S700" s="79"/>
      <c r="T700" s="79"/>
      <c r="Y700" s="79"/>
      <c r="AC700" s="130"/>
      <c r="AE700" s="106"/>
    </row>
    <row r="701">
      <c r="C701" s="79"/>
      <c r="D701" s="79"/>
      <c r="E701" s="79"/>
      <c r="O701" s="79"/>
      <c r="S701" s="79"/>
      <c r="T701" s="79"/>
      <c r="Y701" s="79"/>
      <c r="AC701" s="130"/>
      <c r="AE701" s="106"/>
    </row>
    <row r="702">
      <c r="C702" s="79"/>
      <c r="D702" s="79"/>
      <c r="E702" s="79"/>
      <c r="O702" s="79"/>
      <c r="S702" s="79"/>
      <c r="T702" s="79"/>
      <c r="Y702" s="79"/>
      <c r="AC702" s="130"/>
      <c r="AE702" s="106"/>
    </row>
    <row r="703">
      <c r="C703" s="79"/>
      <c r="D703" s="79"/>
      <c r="E703" s="79"/>
      <c r="O703" s="79"/>
      <c r="S703" s="79"/>
      <c r="T703" s="79"/>
      <c r="Y703" s="79"/>
      <c r="AC703" s="130"/>
      <c r="AE703" s="106"/>
    </row>
    <row r="704">
      <c r="C704" s="79"/>
      <c r="D704" s="79"/>
      <c r="E704" s="79"/>
      <c r="O704" s="79"/>
      <c r="S704" s="79"/>
      <c r="T704" s="79"/>
      <c r="Y704" s="79"/>
      <c r="AC704" s="130"/>
      <c r="AE704" s="106"/>
    </row>
    <row r="705">
      <c r="C705" s="79"/>
      <c r="D705" s="79"/>
      <c r="E705" s="79"/>
      <c r="O705" s="79"/>
      <c r="S705" s="79"/>
      <c r="T705" s="79"/>
      <c r="Y705" s="79"/>
      <c r="AC705" s="130"/>
      <c r="AE705" s="106"/>
    </row>
    <row r="706">
      <c r="C706" s="79"/>
      <c r="D706" s="79"/>
      <c r="E706" s="79"/>
      <c r="O706" s="79"/>
      <c r="S706" s="79"/>
      <c r="T706" s="79"/>
      <c r="Y706" s="79"/>
      <c r="AC706" s="130"/>
      <c r="AE706" s="106"/>
    </row>
    <row r="707">
      <c r="C707" s="79"/>
      <c r="D707" s="79"/>
      <c r="E707" s="79"/>
      <c r="O707" s="79"/>
      <c r="S707" s="79"/>
      <c r="T707" s="79"/>
      <c r="Y707" s="79"/>
      <c r="AC707" s="130"/>
      <c r="AE707" s="106"/>
    </row>
    <row r="708">
      <c r="C708" s="79"/>
      <c r="D708" s="79"/>
      <c r="E708" s="79"/>
      <c r="O708" s="79"/>
      <c r="S708" s="79"/>
      <c r="T708" s="79"/>
      <c r="Y708" s="79"/>
      <c r="AC708" s="130"/>
      <c r="AE708" s="106"/>
    </row>
    <row r="709">
      <c r="C709" s="79"/>
      <c r="D709" s="79"/>
      <c r="E709" s="79"/>
      <c r="O709" s="79"/>
      <c r="S709" s="79"/>
      <c r="T709" s="79"/>
      <c r="Y709" s="79"/>
      <c r="AC709" s="130"/>
      <c r="AE709" s="106"/>
    </row>
    <row r="710">
      <c r="C710" s="79"/>
      <c r="D710" s="79"/>
      <c r="E710" s="79"/>
      <c r="O710" s="79"/>
      <c r="S710" s="79"/>
      <c r="T710" s="79"/>
      <c r="Y710" s="79"/>
      <c r="AC710" s="130"/>
      <c r="AE710" s="106"/>
    </row>
    <row r="711">
      <c r="C711" s="79"/>
      <c r="D711" s="79"/>
      <c r="E711" s="79"/>
      <c r="O711" s="79"/>
      <c r="S711" s="79"/>
      <c r="T711" s="79"/>
      <c r="Y711" s="79"/>
      <c r="AC711" s="130"/>
      <c r="AE711" s="106"/>
    </row>
    <row r="712">
      <c r="C712" s="79"/>
      <c r="D712" s="79"/>
      <c r="E712" s="79"/>
      <c r="O712" s="79"/>
      <c r="S712" s="79"/>
      <c r="T712" s="79"/>
      <c r="Y712" s="79"/>
      <c r="AC712" s="130"/>
      <c r="AE712" s="106"/>
    </row>
    <row r="713">
      <c r="C713" s="79"/>
      <c r="D713" s="79"/>
      <c r="E713" s="79"/>
      <c r="O713" s="79"/>
      <c r="S713" s="79"/>
      <c r="T713" s="79"/>
      <c r="Y713" s="79"/>
      <c r="AC713" s="130"/>
      <c r="AE713" s="106"/>
    </row>
    <row r="714">
      <c r="C714" s="79"/>
      <c r="D714" s="79"/>
      <c r="E714" s="79"/>
      <c r="O714" s="79"/>
      <c r="S714" s="79"/>
      <c r="T714" s="79"/>
      <c r="Y714" s="79"/>
      <c r="AC714" s="130"/>
      <c r="AE714" s="106"/>
    </row>
    <row r="715">
      <c r="C715" s="79"/>
      <c r="D715" s="79"/>
      <c r="E715" s="79"/>
      <c r="O715" s="79"/>
      <c r="S715" s="79"/>
      <c r="T715" s="79"/>
      <c r="Y715" s="79"/>
      <c r="AC715" s="130"/>
      <c r="AE715" s="106"/>
    </row>
    <row r="716">
      <c r="C716" s="79"/>
      <c r="D716" s="79"/>
      <c r="E716" s="79"/>
      <c r="O716" s="79"/>
      <c r="S716" s="79"/>
      <c r="T716" s="79"/>
      <c r="Y716" s="79"/>
      <c r="AC716" s="130"/>
      <c r="AE716" s="106"/>
    </row>
    <row r="717">
      <c r="C717" s="79"/>
      <c r="D717" s="79"/>
      <c r="E717" s="79"/>
      <c r="O717" s="79"/>
      <c r="S717" s="79"/>
      <c r="T717" s="79"/>
      <c r="Y717" s="79"/>
      <c r="AC717" s="130"/>
      <c r="AE717" s="106"/>
    </row>
    <row r="718">
      <c r="C718" s="79"/>
      <c r="D718" s="79"/>
      <c r="E718" s="79"/>
      <c r="O718" s="79"/>
      <c r="S718" s="79"/>
      <c r="T718" s="79"/>
      <c r="Y718" s="79"/>
      <c r="AC718" s="130"/>
      <c r="AE718" s="106"/>
    </row>
    <row r="719">
      <c r="C719" s="79"/>
      <c r="D719" s="79"/>
      <c r="E719" s="79"/>
      <c r="O719" s="79"/>
      <c r="S719" s="79"/>
      <c r="T719" s="79"/>
      <c r="Y719" s="79"/>
      <c r="AC719" s="130"/>
      <c r="AE719" s="106"/>
    </row>
    <row r="720">
      <c r="C720" s="79"/>
      <c r="D720" s="79"/>
      <c r="E720" s="79"/>
      <c r="O720" s="79"/>
      <c r="S720" s="79"/>
      <c r="T720" s="79"/>
      <c r="Y720" s="79"/>
      <c r="AC720" s="130"/>
      <c r="AE720" s="106"/>
    </row>
    <row r="721">
      <c r="C721" s="79"/>
      <c r="D721" s="79"/>
      <c r="E721" s="79"/>
      <c r="O721" s="79"/>
      <c r="S721" s="79"/>
      <c r="T721" s="79"/>
      <c r="Y721" s="79"/>
      <c r="AC721" s="130"/>
      <c r="AE721" s="106"/>
    </row>
    <row r="722">
      <c r="C722" s="79"/>
      <c r="D722" s="79"/>
      <c r="E722" s="79"/>
      <c r="O722" s="79"/>
      <c r="S722" s="79"/>
      <c r="T722" s="79"/>
      <c r="Y722" s="79"/>
      <c r="AC722" s="130"/>
      <c r="AE722" s="106"/>
    </row>
    <row r="723">
      <c r="C723" s="79"/>
      <c r="D723" s="79"/>
      <c r="E723" s="79"/>
      <c r="O723" s="79"/>
      <c r="S723" s="79"/>
      <c r="T723" s="79"/>
      <c r="Y723" s="79"/>
      <c r="AC723" s="130"/>
      <c r="AE723" s="106"/>
    </row>
    <row r="724">
      <c r="C724" s="79"/>
      <c r="D724" s="79"/>
      <c r="E724" s="79"/>
      <c r="O724" s="79"/>
      <c r="S724" s="79"/>
      <c r="T724" s="79"/>
      <c r="Y724" s="79"/>
      <c r="AC724" s="130"/>
      <c r="AE724" s="106"/>
    </row>
    <row r="725">
      <c r="C725" s="79"/>
      <c r="D725" s="79"/>
      <c r="E725" s="79"/>
      <c r="O725" s="79"/>
      <c r="S725" s="79"/>
      <c r="T725" s="79"/>
      <c r="Y725" s="79"/>
      <c r="AC725" s="130"/>
      <c r="AE725" s="106"/>
    </row>
    <row r="726">
      <c r="C726" s="79"/>
      <c r="D726" s="79"/>
      <c r="E726" s="79"/>
      <c r="O726" s="79"/>
      <c r="S726" s="79"/>
      <c r="T726" s="79"/>
      <c r="Y726" s="79"/>
      <c r="AC726" s="130"/>
      <c r="AE726" s="106"/>
    </row>
    <row r="727">
      <c r="C727" s="79"/>
      <c r="D727" s="79"/>
      <c r="E727" s="79"/>
      <c r="O727" s="79"/>
      <c r="S727" s="79"/>
      <c r="T727" s="79"/>
      <c r="Y727" s="79"/>
      <c r="AC727" s="130"/>
      <c r="AE727" s="106"/>
    </row>
    <row r="728">
      <c r="C728" s="79"/>
      <c r="D728" s="79"/>
      <c r="E728" s="79"/>
      <c r="O728" s="79"/>
      <c r="S728" s="79"/>
      <c r="T728" s="79"/>
      <c r="Y728" s="79"/>
      <c r="AC728" s="130"/>
      <c r="AE728" s="106"/>
    </row>
    <row r="729">
      <c r="C729" s="79"/>
      <c r="D729" s="79"/>
      <c r="E729" s="79"/>
      <c r="O729" s="79"/>
      <c r="S729" s="79"/>
      <c r="T729" s="79"/>
      <c r="Y729" s="79"/>
      <c r="AC729" s="130"/>
      <c r="AE729" s="106"/>
    </row>
    <row r="730">
      <c r="C730" s="79"/>
      <c r="D730" s="79"/>
      <c r="E730" s="79"/>
      <c r="O730" s="79"/>
      <c r="S730" s="79"/>
      <c r="T730" s="79"/>
      <c r="Y730" s="79"/>
      <c r="AC730" s="130"/>
      <c r="AE730" s="106"/>
    </row>
    <row r="731">
      <c r="C731" s="79"/>
      <c r="D731" s="79"/>
      <c r="E731" s="79"/>
      <c r="O731" s="79"/>
      <c r="S731" s="79"/>
      <c r="T731" s="79"/>
      <c r="Y731" s="79"/>
      <c r="AC731" s="130"/>
      <c r="AE731" s="106"/>
    </row>
    <row r="732">
      <c r="C732" s="79"/>
      <c r="D732" s="79"/>
      <c r="E732" s="79"/>
      <c r="O732" s="79"/>
      <c r="S732" s="79"/>
      <c r="T732" s="79"/>
      <c r="Y732" s="79"/>
      <c r="AC732" s="130"/>
      <c r="AE732" s="106"/>
    </row>
    <row r="733">
      <c r="C733" s="79"/>
      <c r="D733" s="79"/>
      <c r="E733" s="79"/>
      <c r="O733" s="79"/>
      <c r="S733" s="79"/>
      <c r="T733" s="79"/>
      <c r="Y733" s="79"/>
      <c r="AC733" s="130"/>
      <c r="AE733" s="106"/>
    </row>
    <row r="734">
      <c r="C734" s="79"/>
      <c r="D734" s="79"/>
      <c r="E734" s="79"/>
      <c r="O734" s="79"/>
      <c r="S734" s="79"/>
      <c r="T734" s="79"/>
      <c r="Y734" s="79"/>
      <c r="AC734" s="130"/>
      <c r="AE734" s="106"/>
    </row>
    <row r="735">
      <c r="C735" s="79"/>
      <c r="D735" s="79"/>
      <c r="E735" s="79"/>
      <c r="O735" s="79"/>
      <c r="S735" s="79"/>
      <c r="T735" s="79"/>
      <c r="Y735" s="79"/>
      <c r="AC735" s="130"/>
      <c r="AE735" s="106"/>
    </row>
    <row r="736">
      <c r="C736" s="79"/>
      <c r="D736" s="79"/>
      <c r="E736" s="79"/>
      <c r="O736" s="79"/>
      <c r="S736" s="79"/>
      <c r="T736" s="79"/>
      <c r="Y736" s="79"/>
      <c r="AC736" s="130"/>
      <c r="AE736" s="106"/>
    </row>
    <row r="737">
      <c r="C737" s="79"/>
      <c r="D737" s="79"/>
      <c r="E737" s="79"/>
      <c r="O737" s="79"/>
      <c r="S737" s="79"/>
      <c r="T737" s="79"/>
      <c r="Y737" s="79"/>
      <c r="AC737" s="130"/>
      <c r="AE737" s="106"/>
    </row>
    <row r="738">
      <c r="C738" s="79"/>
      <c r="D738" s="79"/>
      <c r="E738" s="79"/>
      <c r="O738" s="79"/>
      <c r="S738" s="79"/>
      <c r="T738" s="79"/>
      <c r="Y738" s="79"/>
      <c r="AC738" s="130"/>
      <c r="AE738" s="106"/>
    </row>
    <row r="739">
      <c r="C739" s="79"/>
      <c r="D739" s="79"/>
      <c r="E739" s="79"/>
      <c r="O739" s="79"/>
      <c r="S739" s="79"/>
      <c r="T739" s="79"/>
      <c r="Y739" s="79"/>
      <c r="AC739" s="130"/>
      <c r="AE739" s="106"/>
    </row>
    <row r="740">
      <c r="C740" s="79"/>
      <c r="D740" s="79"/>
      <c r="E740" s="79"/>
      <c r="O740" s="79"/>
      <c r="S740" s="79"/>
      <c r="T740" s="79"/>
      <c r="Y740" s="79"/>
      <c r="AC740" s="130"/>
      <c r="AE740" s="106"/>
    </row>
    <row r="741">
      <c r="C741" s="79"/>
      <c r="D741" s="79"/>
      <c r="E741" s="79"/>
      <c r="O741" s="79"/>
      <c r="S741" s="79"/>
      <c r="T741" s="79"/>
      <c r="Y741" s="79"/>
      <c r="AC741" s="130"/>
      <c r="AE741" s="106"/>
    </row>
    <row r="742">
      <c r="C742" s="79"/>
      <c r="D742" s="79"/>
      <c r="E742" s="79"/>
      <c r="O742" s="79"/>
      <c r="S742" s="79"/>
      <c r="T742" s="79"/>
      <c r="Y742" s="79"/>
      <c r="AC742" s="130"/>
      <c r="AE742" s="106"/>
    </row>
    <row r="743">
      <c r="C743" s="79"/>
      <c r="D743" s="79"/>
      <c r="E743" s="79"/>
      <c r="O743" s="79"/>
      <c r="S743" s="79"/>
      <c r="T743" s="79"/>
      <c r="Y743" s="79"/>
      <c r="AC743" s="130"/>
      <c r="AE743" s="106"/>
    </row>
    <row r="744">
      <c r="C744" s="79"/>
      <c r="D744" s="79"/>
      <c r="E744" s="79"/>
      <c r="O744" s="79"/>
      <c r="S744" s="79"/>
      <c r="T744" s="79"/>
      <c r="Y744" s="79"/>
      <c r="AC744" s="130"/>
      <c r="AE744" s="106"/>
    </row>
    <row r="745">
      <c r="C745" s="79"/>
      <c r="D745" s="79"/>
      <c r="E745" s="79"/>
      <c r="O745" s="79"/>
      <c r="S745" s="79"/>
      <c r="T745" s="79"/>
      <c r="Y745" s="79"/>
      <c r="AC745" s="130"/>
      <c r="AE745" s="106"/>
    </row>
    <row r="746">
      <c r="C746" s="79"/>
      <c r="D746" s="79"/>
      <c r="E746" s="79"/>
      <c r="O746" s="79"/>
      <c r="S746" s="79"/>
      <c r="T746" s="79"/>
      <c r="Y746" s="79"/>
      <c r="AC746" s="130"/>
      <c r="AE746" s="106"/>
    </row>
    <row r="747">
      <c r="C747" s="79"/>
      <c r="D747" s="79"/>
      <c r="E747" s="79"/>
      <c r="O747" s="79"/>
      <c r="S747" s="79"/>
      <c r="T747" s="79"/>
      <c r="Y747" s="79"/>
      <c r="AC747" s="130"/>
      <c r="AE747" s="106"/>
    </row>
    <row r="748">
      <c r="C748" s="79"/>
      <c r="D748" s="79"/>
      <c r="E748" s="79"/>
      <c r="O748" s="79"/>
      <c r="S748" s="79"/>
      <c r="T748" s="79"/>
      <c r="Y748" s="79"/>
      <c r="AC748" s="130"/>
      <c r="AE748" s="106"/>
    </row>
    <row r="749">
      <c r="C749" s="79"/>
      <c r="D749" s="79"/>
      <c r="E749" s="79"/>
      <c r="O749" s="79"/>
      <c r="S749" s="79"/>
      <c r="T749" s="79"/>
      <c r="Y749" s="79"/>
      <c r="AC749" s="130"/>
      <c r="AE749" s="106"/>
    </row>
    <row r="750">
      <c r="C750" s="79"/>
      <c r="D750" s="79"/>
      <c r="E750" s="79"/>
      <c r="O750" s="79"/>
      <c r="S750" s="79"/>
      <c r="T750" s="79"/>
      <c r="Y750" s="79"/>
      <c r="AC750" s="130"/>
      <c r="AE750" s="106"/>
    </row>
    <row r="751">
      <c r="C751" s="79"/>
      <c r="D751" s="79"/>
      <c r="E751" s="79"/>
      <c r="O751" s="79"/>
      <c r="S751" s="79"/>
      <c r="T751" s="79"/>
      <c r="Y751" s="79"/>
      <c r="AC751" s="130"/>
      <c r="AE751" s="106"/>
    </row>
    <row r="752">
      <c r="C752" s="79"/>
      <c r="D752" s="79"/>
      <c r="E752" s="79"/>
      <c r="O752" s="79"/>
      <c r="S752" s="79"/>
      <c r="T752" s="79"/>
      <c r="Y752" s="79"/>
      <c r="AC752" s="130"/>
      <c r="AE752" s="106"/>
    </row>
    <row r="753">
      <c r="C753" s="79"/>
      <c r="D753" s="79"/>
      <c r="E753" s="79"/>
      <c r="O753" s="79"/>
      <c r="S753" s="79"/>
      <c r="T753" s="79"/>
      <c r="Y753" s="79"/>
      <c r="AC753" s="130"/>
      <c r="AE753" s="106"/>
    </row>
    <row r="754">
      <c r="C754" s="79"/>
      <c r="D754" s="79"/>
      <c r="E754" s="79"/>
      <c r="O754" s="79"/>
      <c r="S754" s="79"/>
      <c r="T754" s="79"/>
      <c r="Y754" s="79"/>
      <c r="AC754" s="130"/>
      <c r="AE754" s="106"/>
    </row>
    <row r="755">
      <c r="C755" s="79"/>
      <c r="D755" s="79"/>
      <c r="E755" s="79"/>
      <c r="O755" s="79"/>
      <c r="S755" s="79"/>
      <c r="T755" s="79"/>
      <c r="Y755" s="79"/>
      <c r="AC755" s="130"/>
      <c r="AE755" s="106"/>
    </row>
    <row r="756">
      <c r="C756" s="79"/>
      <c r="D756" s="79"/>
      <c r="E756" s="79"/>
      <c r="O756" s="79"/>
      <c r="S756" s="79"/>
      <c r="T756" s="79"/>
      <c r="Y756" s="79"/>
      <c r="AC756" s="130"/>
      <c r="AE756" s="106"/>
    </row>
    <row r="757">
      <c r="C757" s="79"/>
      <c r="D757" s="79"/>
      <c r="E757" s="79"/>
      <c r="O757" s="79"/>
      <c r="S757" s="79"/>
      <c r="T757" s="79"/>
      <c r="Y757" s="79"/>
      <c r="AC757" s="130"/>
      <c r="AE757" s="106"/>
    </row>
    <row r="758">
      <c r="C758" s="79"/>
      <c r="D758" s="79"/>
      <c r="E758" s="79"/>
      <c r="O758" s="79"/>
      <c r="S758" s="79"/>
      <c r="T758" s="79"/>
      <c r="Y758" s="79"/>
      <c r="AC758" s="130"/>
      <c r="AE758" s="106"/>
    </row>
    <row r="759">
      <c r="C759" s="79"/>
      <c r="D759" s="79"/>
      <c r="E759" s="79"/>
      <c r="O759" s="79"/>
      <c r="S759" s="79"/>
      <c r="T759" s="79"/>
      <c r="Y759" s="79"/>
      <c r="AC759" s="130"/>
      <c r="AE759" s="106"/>
    </row>
    <row r="760">
      <c r="C760" s="79"/>
      <c r="D760" s="79"/>
      <c r="E760" s="79"/>
      <c r="O760" s="79"/>
      <c r="S760" s="79"/>
      <c r="T760" s="79"/>
      <c r="Y760" s="79"/>
      <c r="AC760" s="130"/>
      <c r="AE760" s="106"/>
    </row>
    <row r="761">
      <c r="C761" s="79"/>
      <c r="D761" s="79"/>
      <c r="E761" s="79"/>
      <c r="O761" s="79"/>
      <c r="S761" s="79"/>
      <c r="T761" s="79"/>
      <c r="Y761" s="79"/>
      <c r="AC761" s="130"/>
      <c r="AE761" s="106"/>
    </row>
    <row r="762">
      <c r="C762" s="79"/>
      <c r="D762" s="79"/>
      <c r="E762" s="79"/>
      <c r="O762" s="79"/>
      <c r="S762" s="79"/>
      <c r="T762" s="79"/>
      <c r="Y762" s="79"/>
      <c r="AC762" s="130"/>
      <c r="AE762" s="106"/>
    </row>
    <row r="763">
      <c r="C763" s="79"/>
      <c r="D763" s="79"/>
      <c r="E763" s="79"/>
      <c r="O763" s="79"/>
      <c r="S763" s="79"/>
      <c r="T763" s="79"/>
      <c r="Y763" s="79"/>
      <c r="AC763" s="130"/>
      <c r="AE763" s="106"/>
    </row>
    <row r="764">
      <c r="C764" s="79"/>
      <c r="D764" s="79"/>
      <c r="E764" s="79"/>
      <c r="O764" s="79"/>
      <c r="S764" s="79"/>
      <c r="T764" s="79"/>
      <c r="Y764" s="79"/>
      <c r="AC764" s="130"/>
      <c r="AE764" s="106"/>
    </row>
    <row r="765">
      <c r="C765" s="79"/>
      <c r="D765" s="79"/>
      <c r="E765" s="79"/>
      <c r="O765" s="79"/>
      <c r="S765" s="79"/>
      <c r="T765" s="79"/>
      <c r="Y765" s="79"/>
      <c r="AC765" s="130"/>
      <c r="AE765" s="106"/>
    </row>
    <row r="766">
      <c r="C766" s="79"/>
      <c r="D766" s="79"/>
      <c r="E766" s="79"/>
      <c r="O766" s="79"/>
      <c r="S766" s="79"/>
      <c r="T766" s="79"/>
      <c r="Y766" s="79"/>
      <c r="AC766" s="130"/>
      <c r="AE766" s="106"/>
    </row>
    <row r="767">
      <c r="C767" s="79"/>
      <c r="D767" s="79"/>
      <c r="E767" s="79"/>
      <c r="O767" s="79"/>
      <c r="S767" s="79"/>
      <c r="T767" s="79"/>
      <c r="Y767" s="79"/>
      <c r="AC767" s="130"/>
      <c r="AE767" s="106"/>
    </row>
    <row r="768">
      <c r="C768" s="79"/>
      <c r="D768" s="79"/>
      <c r="E768" s="79"/>
      <c r="O768" s="79"/>
      <c r="S768" s="79"/>
      <c r="T768" s="79"/>
      <c r="Y768" s="79"/>
      <c r="AC768" s="130"/>
      <c r="AE768" s="106"/>
    </row>
    <row r="769">
      <c r="C769" s="79"/>
      <c r="D769" s="79"/>
      <c r="E769" s="79"/>
      <c r="O769" s="79"/>
      <c r="S769" s="79"/>
      <c r="T769" s="79"/>
      <c r="Y769" s="79"/>
      <c r="AC769" s="130"/>
      <c r="AE769" s="106"/>
    </row>
    <row r="770">
      <c r="C770" s="79"/>
      <c r="D770" s="79"/>
      <c r="E770" s="79"/>
      <c r="O770" s="79"/>
      <c r="S770" s="79"/>
      <c r="T770" s="79"/>
      <c r="Y770" s="79"/>
      <c r="AC770" s="130"/>
      <c r="AE770" s="106"/>
    </row>
    <row r="771">
      <c r="C771" s="79"/>
      <c r="D771" s="79"/>
      <c r="E771" s="79"/>
      <c r="O771" s="79"/>
      <c r="S771" s="79"/>
      <c r="T771" s="79"/>
      <c r="Y771" s="79"/>
      <c r="AC771" s="130"/>
      <c r="AE771" s="106"/>
    </row>
    <row r="772">
      <c r="C772" s="79"/>
      <c r="D772" s="79"/>
      <c r="E772" s="79"/>
      <c r="O772" s="79"/>
      <c r="S772" s="79"/>
      <c r="T772" s="79"/>
      <c r="Y772" s="79"/>
      <c r="AC772" s="130"/>
      <c r="AE772" s="106"/>
    </row>
    <row r="773">
      <c r="C773" s="79"/>
      <c r="D773" s="79"/>
      <c r="E773" s="79"/>
      <c r="O773" s="79"/>
      <c r="S773" s="79"/>
      <c r="T773" s="79"/>
      <c r="Y773" s="79"/>
      <c r="AC773" s="130"/>
      <c r="AE773" s="106"/>
    </row>
    <row r="774">
      <c r="C774" s="79"/>
      <c r="D774" s="79"/>
      <c r="E774" s="79"/>
      <c r="O774" s="79"/>
      <c r="S774" s="79"/>
      <c r="T774" s="79"/>
      <c r="Y774" s="79"/>
      <c r="AC774" s="130"/>
      <c r="AE774" s="106"/>
    </row>
    <row r="775">
      <c r="C775" s="79"/>
      <c r="D775" s="79"/>
      <c r="E775" s="79"/>
      <c r="O775" s="79"/>
      <c r="S775" s="79"/>
      <c r="T775" s="79"/>
      <c r="Y775" s="79"/>
      <c r="AC775" s="130"/>
      <c r="AE775" s="106"/>
    </row>
    <row r="776">
      <c r="C776" s="79"/>
      <c r="D776" s="79"/>
      <c r="E776" s="79"/>
      <c r="O776" s="79"/>
      <c r="S776" s="79"/>
      <c r="T776" s="79"/>
      <c r="Y776" s="79"/>
      <c r="AC776" s="130"/>
      <c r="AE776" s="106"/>
    </row>
    <row r="777">
      <c r="C777" s="79"/>
      <c r="D777" s="79"/>
      <c r="E777" s="79"/>
      <c r="O777" s="79"/>
      <c r="S777" s="79"/>
      <c r="T777" s="79"/>
      <c r="Y777" s="79"/>
      <c r="AC777" s="130"/>
      <c r="AE777" s="106"/>
    </row>
    <row r="778">
      <c r="C778" s="79"/>
      <c r="D778" s="79"/>
      <c r="E778" s="79"/>
      <c r="O778" s="79"/>
      <c r="S778" s="79"/>
      <c r="T778" s="79"/>
      <c r="Y778" s="79"/>
      <c r="AC778" s="130"/>
      <c r="AE778" s="106"/>
    </row>
    <row r="779">
      <c r="C779" s="79"/>
      <c r="D779" s="79"/>
      <c r="E779" s="79"/>
      <c r="O779" s="79"/>
      <c r="S779" s="79"/>
      <c r="T779" s="79"/>
      <c r="Y779" s="79"/>
      <c r="AC779" s="130"/>
      <c r="AE779" s="106"/>
    </row>
    <row r="780">
      <c r="C780" s="79"/>
      <c r="D780" s="79"/>
      <c r="E780" s="79"/>
      <c r="O780" s="79"/>
      <c r="S780" s="79"/>
      <c r="T780" s="79"/>
      <c r="Y780" s="79"/>
      <c r="AC780" s="130"/>
      <c r="AE780" s="106"/>
    </row>
    <row r="781">
      <c r="C781" s="79"/>
      <c r="D781" s="79"/>
      <c r="E781" s="79"/>
      <c r="O781" s="79"/>
      <c r="S781" s="79"/>
      <c r="T781" s="79"/>
      <c r="Y781" s="79"/>
      <c r="AC781" s="130"/>
      <c r="AE781" s="106"/>
    </row>
    <row r="782">
      <c r="C782" s="79"/>
      <c r="D782" s="79"/>
      <c r="E782" s="79"/>
      <c r="O782" s="79"/>
      <c r="S782" s="79"/>
      <c r="T782" s="79"/>
      <c r="Y782" s="79"/>
      <c r="AC782" s="130"/>
      <c r="AE782" s="106"/>
    </row>
    <row r="783">
      <c r="C783" s="79"/>
      <c r="D783" s="79"/>
      <c r="E783" s="79"/>
      <c r="O783" s="79"/>
      <c r="S783" s="79"/>
      <c r="T783" s="79"/>
      <c r="Y783" s="79"/>
      <c r="AC783" s="130"/>
      <c r="AE783" s="106"/>
    </row>
    <row r="784">
      <c r="C784" s="79"/>
      <c r="D784" s="79"/>
      <c r="E784" s="79"/>
      <c r="O784" s="79"/>
      <c r="S784" s="79"/>
      <c r="T784" s="79"/>
      <c r="Y784" s="79"/>
      <c r="AC784" s="130"/>
      <c r="AE784" s="106"/>
    </row>
    <row r="785">
      <c r="C785" s="79"/>
      <c r="D785" s="79"/>
      <c r="E785" s="79"/>
      <c r="O785" s="79"/>
      <c r="S785" s="79"/>
      <c r="T785" s="79"/>
      <c r="Y785" s="79"/>
      <c r="AC785" s="130"/>
      <c r="AE785" s="106"/>
    </row>
    <row r="786">
      <c r="C786" s="79"/>
      <c r="D786" s="79"/>
      <c r="E786" s="79"/>
      <c r="O786" s="79"/>
      <c r="S786" s="79"/>
      <c r="T786" s="79"/>
      <c r="Y786" s="79"/>
      <c r="AC786" s="130"/>
      <c r="AE786" s="106"/>
    </row>
    <row r="787">
      <c r="C787" s="79"/>
      <c r="D787" s="79"/>
      <c r="E787" s="79"/>
      <c r="O787" s="79"/>
      <c r="S787" s="79"/>
      <c r="T787" s="79"/>
      <c r="Y787" s="79"/>
      <c r="AC787" s="130"/>
      <c r="AE787" s="106"/>
    </row>
    <row r="788">
      <c r="C788" s="79"/>
      <c r="D788" s="79"/>
      <c r="E788" s="79"/>
      <c r="O788" s="79"/>
      <c r="S788" s="79"/>
      <c r="T788" s="79"/>
      <c r="Y788" s="79"/>
      <c r="AC788" s="130"/>
      <c r="AE788" s="106"/>
    </row>
    <row r="789">
      <c r="C789" s="79"/>
      <c r="D789" s="79"/>
      <c r="E789" s="79"/>
      <c r="O789" s="79"/>
      <c r="S789" s="79"/>
      <c r="T789" s="79"/>
      <c r="Y789" s="79"/>
      <c r="AC789" s="130"/>
      <c r="AE789" s="106"/>
    </row>
    <row r="790">
      <c r="C790" s="79"/>
      <c r="D790" s="79"/>
      <c r="E790" s="79"/>
      <c r="O790" s="79"/>
      <c r="S790" s="79"/>
      <c r="T790" s="79"/>
      <c r="Y790" s="79"/>
      <c r="AC790" s="130"/>
      <c r="AE790" s="106"/>
    </row>
    <row r="791">
      <c r="C791" s="79"/>
      <c r="D791" s="79"/>
      <c r="E791" s="79"/>
      <c r="O791" s="79"/>
      <c r="S791" s="79"/>
      <c r="T791" s="79"/>
      <c r="Y791" s="79"/>
      <c r="AC791" s="130"/>
      <c r="AE791" s="106"/>
    </row>
    <row r="792">
      <c r="C792" s="79"/>
      <c r="D792" s="79"/>
      <c r="E792" s="79"/>
      <c r="O792" s="79"/>
      <c r="S792" s="79"/>
      <c r="T792" s="79"/>
      <c r="Y792" s="79"/>
      <c r="AC792" s="130"/>
      <c r="AE792" s="106"/>
    </row>
    <row r="793">
      <c r="C793" s="79"/>
      <c r="D793" s="79"/>
      <c r="E793" s="79"/>
      <c r="O793" s="79"/>
      <c r="S793" s="79"/>
      <c r="T793" s="79"/>
      <c r="Y793" s="79"/>
      <c r="AC793" s="130"/>
      <c r="AE793" s="106"/>
    </row>
    <row r="794">
      <c r="C794" s="79"/>
      <c r="D794" s="79"/>
      <c r="E794" s="79"/>
      <c r="O794" s="79"/>
      <c r="S794" s="79"/>
      <c r="T794" s="79"/>
      <c r="Y794" s="79"/>
      <c r="AC794" s="130"/>
      <c r="AE794" s="106"/>
    </row>
    <row r="795">
      <c r="C795" s="79"/>
      <c r="D795" s="79"/>
      <c r="E795" s="79"/>
      <c r="O795" s="79"/>
      <c r="S795" s="79"/>
      <c r="T795" s="79"/>
      <c r="Y795" s="79"/>
      <c r="AC795" s="130"/>
      <c r="AE795" s="106"/>
    </row>
    <row r="796">
      <c r="C796" s="79"/>
      <c r="D796" s="79"/>
      <c r="E796" s="79"/>
      <c r="O796" s="79"/>
      <c r="S796" s="79"/>
      <c r="T796" s="79"/>
      <c r="Y796" s="79"/>
      <c r="AC796" s="130"/>
      <c r="AE796" s="106"/>
    </row>
    <row r="797">
      <c r="C797" s="79"/>
      <c r="D797" s="79"/>
      <c r="E797" s="79"/>
      <c r="O797" s="79"/>
      <c r="S797" s="79"/>
      <c r="T797" s="79"/>
      <c r="Y797" s="79"/>
      <c r="AC797" s="130"/>
      <c r="AE797" s="106"/>
    </row>
    <row r="798">
      <c r="C798" s="79"/>
      <c r="D798" s="79"/>
      <c r="E798" s="79"/>
      <c r="O798" s="79"/>
      <c r="S798" s="79"/>
      <c r="T798" s="79"/>
      <c r="Y798" s="79"/>
      <c r="AC798" s="130"/>
      <c r="AE798" s="106"/>
    </row>
    <row r="799">
      <c r="C799" s="79"/>
      <c r="D799" s="79"/>
      <c r="E799" s="79"/>
      <c r="O799" s="79"/>
      <c r="S799" s="79"/>
      <c r="T799" s="79"/>
      <c r="Y799" s="79"/>
      <c r="AC799" s="130"/>
      <c r="AE799" s="106"/>
    </row>
    <row r="800">
      <c r="C800" s="79"/>
      <c r="D800" s="79"/>
      <c r="E800" s="79"/>
      <c r="O800" s="79"/>
      <c r="S800" s="79"/>
      <c r="T800" s="79"/>
      <c r="Y800" s="79"/>
      <c r="AC800" s="130"/>
      <c r="AE800" s="106"/>
    </row>
    <row r="801">
      <c r="C801" s="79"/>
      <c r="D801" s="79"/>
      <c r="E801" s="79"/>
      <c r="O801" s="79"/>
      <c r="S801" s="79"/>
      <c r="T801" s="79"/>
      <c r="Y801" s="79"/>
      <c r="AC801" s="130"/>
      <c r="AE801" s="106"/>
    </row>
    <row r="802">
      <c r="C802" s="79"/>
      <c r="D802" s="79"/>
      <c r="E802" s="79"/>
      <c r="O802" s="79"/>
      <c r="S802" s="79"/>
      <c r="T802" s="79"/>
      <c r="Y802" s="79"/>
      <c r="AC802" s="130"/>
      <c r="AE802" s="106"/>
    </row>
    <row r="803">
      <c r="C803" s="79"/>
      <c r="D803" s="79"/>
      <c r="E803" s="79"/>
      <c r="O803" s="79"/>
      <c r="S803" s="79"/>
      <c r="T803" s="79"/>
      <c r="Y803" s="79"/>
      <c r="AC803" s="130"/>
      <c r="AE803" s="106"/>
    </row>
    <row r="804">
      <c r="C804" s="79"/>
      <c r="D804" s="79"/>
      <c r="E804" s="79"/>
      <c r="O804" s="79"/>
      <c r="S804" s="79"/>
      <c r="T804" s="79"/>
      <c r="Y804" s="79"/>
      <c r="AC804" s="130"/>
      <c r="AE804" s="106"/>
    </row>
    <row r="805">
      <c r="C805" s="79"/>
      <c r="D805" s="79"/>
      <c r="E805" s="79"/>
      <c r="O805" s="79"/>
      <c r="S805" s="79"/>
      <c r="T805" s="79"/>
      <c r="Y805" s="79"/>
      <c r="AC805" s="130"/>
      <c r="AE805" s="106"/>
    </row>
    <row r="806">
      <c r="C806" s="79"/>
      <c r="D806" s="79"/>
      <c r="E806" s="79"/>
      <c r="O806" s="79"/>
      <c r="S806" s="79"/>
      <c r="T806" s="79"/>
      <c r="Y806" s="79"/>
      <c r="AC806" s="130"/>
      <c r="AE806" s="106"/>
    </row>
    <row r="807">
      <c r="C807" s="79"/>
      <c r="D807" s="79"/>
      <c r="E807" s="79"/>
      <c r="O807" s="79"/>
      <c r="S807" s="79"/>
      <c r="T807" s="79"/>
      <c r="Y807" s="79"/>
      <c r="AC807" s="130"/>
      <c r="AE807" s="106"/>
    </row>
    <row r="808">
      <c r="C808" s="79"/>
      <c r="D808" s="79"/>
      <c r="E808" s="79"/>
      <c r="O808" s="79"/>
      <c r="S808" s="79"/>
      <c r="T808" s="79"/>
      <c r="Y808" s="79"/>
      <c r="AC808" s="130"/>
      <c r="AE808" s="106"/>
    </row>
    <row r="809">
      <c r="C809" s="79"/>
      <c r="D809" s="79"/>
      <c r="E809" s="79"/>
      <c r="O809" s="79"/>
      <c r="S809" s="79"/>
      <c r="T809" s="79"/>
      <c r="Y809" s="79"/>
      <c r="AC809" s="130"/>
      <c r="AE809" s="106"/>
    </row>
    <row r="810">
      <c r="C810" s="79"/>
      <c r="D810" s="79"/>
      <c r="E810" s="79"/>
      <c r="O810" s="79"/>
      <c r="S810" s="79"/>
      <c r="T810" s="79"/>
      <c r="Y810" s="79"/>
      <c r="AC810" s="130"/>
      <c r="AE810" s="106"/>
    </row>
    <row r="811">
      <c r="C811" s="79"/>
      <c r="D811" s="79"/>
      <c r="E811" s="79"/>
      <c r="O811" s="79"/>
      <c r="S811" s="79"/>
      <c r="T811" s="79"/>
      <c r="Y811" s="79"/>
      <c r="AC811" s="130"/>
      <c r="AE811" s="106"/>
    </row>
    <row r="812">
      <c r="C812" s="79"/>
      <c r="D812" s="79"/>
      <c r="E812" s="79"/>
      <c r="O812" s="79"/>
      <c r="S812" s="79"/>
      <c r="T812" s="79"/>
      <c r="Y812" s="79"/>
      <c r="AC812" s="130"/>
      <c r="AE812" s="106"/>
    </row>
    <row r="813">
      <c r="C813" s="79"/>
      <c r="D813" s="79"/>
      <c r="E813" s="79"/>
      <c r="O813" s="79"/>
      <c r="S813" s="79"/>
      <c r="T813" s="79"/>
      <c r="Y813" s="79"/>
      <c r="AC813" s="130"/>
      <c r="AE813" s="106"/>
    </row>
    <row r="814">
      <c r="C814" s="79"/>
      <c r="D814" s="79"/>
      <c r="E814" s="79"/>
      <c r="O814" s="79"/>
      <c r="S814" s="79"/>
      <c r="T814" s="79"/>
      <c r="Y814" s="79"/>
      <c r="AC814" s="130"/>
      <c r="AE814" s="106"/>
    </row>
    <row r="815">
      <c r="C815" s="79"/>
      <c r="D815" s="79"/>
      <c r="E815" s="79"/>
      <c r="O815" s="79"/>
      <c r="S815" s="79"/>
      <c r="T815" s="79"/>
      <c r="Y815" s="79"/>
      <c r="AC815" s="130"/>
      <c r="AE815" s="106"/>
    </row>
    <row r="816">
      <c r="C816" s="79"/>
      <c r="D816" s="79"/>
      <c r="E816" s="79"/>
      <c r="O816" s="79"/>
      <c r="S816" s="79"/>
      <c r="T816" s="79"/>
      <c r="Y816" s="79"/>
      <c r="AC816" s="130"/>
      <c r="AE816" s="106"/>
    </row>
    <row r="817">
      <c r="C817" s="79"/>
      <c r="D817" s="79"/>
      <c r="E817" s="79"/>
      <c r="O817" s="79"/>
      <c r="S817" s="79"/>
      <c r="T817" s="79"/>
      <c r="Y817" s="79"/>
      <c r="AC817" s="130"/>
      <c r="AE817" s="106"/>
    </row>
    <row r="818">
      <c r="C818" s="79"/>
      <c r="D818" s="79"/>
      <c r="E818" s="79"/>
      <c r="O818" s="79"/>
      <c r="S818" s="79"/>
      <c r="T818" s="79"/>
      <c r="Y818" s="79"/>
      <c r="AC818" s="130"/>
      <c r="AE818" s="106"/>
    </row>
    <row r="819">
      <c r="C819" s="79"/>
      <c r="D819" s="79"/>
      <c r="E819" s="79"/>
      <c r="O819" s="79"/>
      <c r="S819" s="79"/>
      <c r="T819" s="79"/>
      <c r="Y819" s="79"/>
      <c r="AC819" s="130"/>
      <c r="AE819" s="106"/>
    </row>
    <row r="820">
      <c r="C820" s="79"/>
      <c r="D820" s="79"/>
      <c r="E820" s="79"/>
      <c r="O820" s="79"/>
      <c r="S820" s="79"/>
      <c r="T820" s="79"/>
      <c r="Y820" s="79"/>
      <c r="AC820" s="130"/>
      <c r="AE820" s="106"/>
    </row>
    <row r="821">
      <c r="C821" s="79"/>
      <c r="D821" s="79"/>
      <c r="E821" s="79"/>
      <c r="O821" s="79"/>
      <c r="S821" s="79"/>
      <c r="T821" s="79"/>
      <c r="Y821" s="79"/>
      <c r="AC821" s="130"/>
      <c r="AE821" s="106"/>
    </row>
    <row r="822">
      <c r="C822" s="79"/>
      <c r="D822" s="79"/>
      <c r="E822" s="79"/>
      <c r="O822" s="79"/>
      <c r="S822" s="79"/>
      <c r="T822" s="79"/>
      <c r="Y822" s="79"/>
      <c r="AC822" s="130"/>
      <c r="AE822" s="106"/>
    </row>
    <row r="823">
      <c r="C823" s="79"/>
      <c r="D823" s="79"/>
      <c r="E823" s="79"/>
      <c r="O823" s="79"/>
      <c r="S823" s="79"/>
      <c r="T823" s="79"/>
      <c r="Y823" s="79"/>
      <c r="AC823" s="130"/>
      <c r="AE823" s="106"/>
    </row>
    <row r="824">
      <c r="C824" s="79"/>
      <c r="D824" s="79"/>
      <c r="E824" s="79"/>
      <c r="O824" s="79"/>
      <c r="S824" s="79"/>
      <c r="T824" s="79"/>
      <c r="Y824" s="79"/>
      <c r="AC824" s="130"/>
      <c r="AE824" s="106"/>
    </row>
    <row r="825">
      <c r="C825" s="79"/>
      <c r="D825" s="79"/>
      <c r="E825" s="79"/>
      <c r="O825" s="79"/>
      <c r="S825" s="79"/>
      <c r="T825" s="79"/>
      <c r="Y825" s="79"/>
      <c r="AC825" s="130"/>
      <c r="AE825" s="106"/>
    </row>
    <row r="826">
      <c r="C826" s="79"/>
      <c r="D826" s="79"/>
      <c r="E826" s="79"/>
      <c r="O826" s="79"/>
      <c r="S826" s="79"/>
      <c r="T826" s="79"/>
      <c r="Y826" s="79"/>
      <c r="AC826" s="130"/>
      <c r="AE826" s="106"/>
    </row>
    <row r="827">
      <c r="C827" s="79"/>
      <c r="D827" s="79"/>
      <c r="E827" s="79"/>
      <c r="O827" s="79"/>
      <c r="S827" s="79"/>
      <c r="T827" s="79"/>
      <c r="Y827" s="79"/>
      <c r="AC827" s="130"/>
      <c r="AE827" s="106"/>
    </row>
    <row r="828">
      <c r="C828" s="79"/>
      <c r="D828" s="79"/>
      <c r="E828" s="79"/>
      <c r="O828" s="79"/>
      <c r="S828" s="79"/>
      <c r="T828" s="79"/>
      <c r="Y828" s="79"/>
      <c r="AC828" s="130"/>
      <c r="AE828" s="106"/>
    </row>
    <row r="829">
      <c r="C829" s="79"/>
      <c r="D829" s="79"/>
      <c r="E829" s="79"/>
      <c r="O829" s="79"/>
      <c r="S829" s="79"/>
      <c r="T829" s="79"/>
      <c r="Y829" s="79"/>
      <c r="AC829" s="130"/>
      <c r="AE829" s="106"/>
    </row>
    <row r="830">
      <c r="C830" s="79"/>
      <c r="D830" s="79"/>
      <c r="E830" s="79"/>
      <c r="O830" s="79"/>
      <c r="S830" s="79"/>
      <c r="T830" s="79"/>
      <c r="Y830" s="79"/>
      <c r="AC830" s="130"/>
      <c r="AE830" s="106"/>
    </row>
    <row r="831">
      <c r="C831" s="79"/>
      <c r="D831" s="79"/>
      <c r="E831" s="79"/>
      <c r="O831" s="79"/>
      <c r="S831" s="79"/>
      <c r="T831" s="79"/>
      <c r="Y831" s="79"/>
      <c r="AC831" s="130"/>
      <c r="AE831" s="106"/>
    </row>
    <row r="832">
      <c r="C832" s="79"/>
      <c r="D832" s="79"/>
      <c r="E832" s="79"/>
      <c r="O832" s="79"/>
      <c r="S832" s="79"/>
      <c r="T832" s="79"/>
      <c r="Y832" s="79"/>
      <c r="AC832" s="130"/>
      <c r="AE832" s="106"/>
    </row>
    <row r="833">
      <c r="C833" s="79"/>
      <c r="D833" s="79"/>
      <c r="E833" s="79"/>
      <c r="O833" s="79"/>
      <c r="S833" s="79"/>
      <c r="T833" s="79"/>
      <c r="Y833" s="79"/>
      <c r="AC833" s="130"/>
      <c r="AE833" s="106"/>
    </row>
    <row r="834">
      <c r="C834" s="79"/>
      <c r="D834" s="79"/>
      <c r="E834" s="79"/>
      <c r="O834" s="79"/>
      <c r="S834" s="79"/>
      <c r="T834" s="79"/>
      <c r="Y834" s="79"/>
      <c r="AC834" s="130"/>
      <c r="AE834" s="106"/>
    </row>
    <row r="835">
      <c r="C835" s="79"/>
      <c r="D835" s="79"/>
      <c r="E835" s="79"/>
      <c r="O835" s="79"/>
      <c r="S835" s="79"/>
      <c r="T835" s="79"/>
      <c r="Y835" s="79"/>
      <c r="AC835" s="130"/>
      <c r="AE835" s="106"/>
    </row>
    <row r="836">
      <c r="C836" s="79"/>
      <c r="D836" s="79"/>
      <c r="E836" s="79"/>
      <c r="O836" s="79"/>
      <c r="S836" s="79"/>
      <c r="T836" s="79"/>
      <c r="Y836" s="79"/>
      <c r="AC836" s="130"/>
      <c r="AE836" s="106"/>
    </row>
    <row r="837">
      <c r="C837" s="79"/>
      <c r="D837" s="79"/>
      <c r="E837" s="79"/>
      <c r="O837" s="79"/>
      <c r="S837" s="79"/>
      <c r="T837" s="79"/>
      <c r="Y837" s="79"/>
      <c r="AC837" s="130"/>
      <c r="AE837" s="106"/>
    </row>
    <row r="838">
      <c r="C838" s="79"/>
      <c r="D838" s="79"/>
      <c r="E838" s="79"/>
      <c r="O838" s="79"/>
      <c r="S838" s="79"/>
      <c r="T838" s="79"/>
      <c r="Y838" s="79"/>
      <c r="AC838" s="130"/>
      <c r="AE838" s="106"/>
    </row>
    <row r="839">
      <c r="C839" s="79"/>
      <c r="D839" s="79"/>
      <c r="E839" s="79"/>
      <c r="O839" s="79"/>
      <c r="S839" s="79"/>
      <c r="T839" s="79"/>
      <c r="Y839" s="79"/>
      <c r="AC839" s="130"/>
      <c r="AE839" s="106"/>
    </row>
    <row r="840">
      <c r="C840" s="79"/>
      <c r="D840" s="79"/>
      <c r="E840" s="79"/>
      <c r="O840" s="79"/>
      <c r="S840" s="79"/>
      <c r="T840" s="79"/>
      <c r="Y840" s="79"/>
      <c r="AC840" s="130"/>
      <c r="AE840" s="106"/>
    </row>
    <row r="841">
      <c r="C841" s="79"/>
      <c r="D841" s="79"/>
      <c r="E841" s="79"/>
      <c r="O841" s="79"/>
      <c r="S841" s="79"/>
      <c r="T841" s="79"/>
      <c r="Y841" s="79"/>
      <c r="AC841" s="130"/>
      <c r="AE841" s="106"/>
    </row>
    <row r="842">
      <c r="C842" s="79"/>
      <c r="D842" s="79"/>
      <c r="E842" s="79"/>
      <c r="O842" s="79"/>
      <c r="S842" s="79"/>
      <c r="T842" s="79"/>
      <c r="Y842" s="79"/>
      <c r="AC842" s="130"/>
      <c r="AE842" s="106"/>
    </row>
    <row r="843">
      <c r="C843" s="79"/>
      <c r="D843" s="79"/>
      <c r="E843" s="79"/>
      <c r="O843" s="79"/>
      <c r="S843" s="79"/>
      <c r="T843" s="79"/>
      <c r="Y843" s="79"/>
      <c r="AC843" s="130"/>
      <c r="AE843" s="106"/>
    </row>
    <row r="844">
      <c r="C844" s="79"/>
      <c r="D844" s="79"/>
      <c r="E844" s="79"/>
      <c r="O844" s="79"/>
      <c r="S844" s="79"/>
      <c r="T844" s="79"/>
      <c r="Y844" s="79"/>
      <c r="AC844" s="130"/>
      <c r="AE844" s="106"/>
    </row>
    <row r="845">
      <c r="C845" s="79"/>
      <c r="D845" s="79"/>
      <c r="E845" s="79"/>
      <c r="O845" s="79"/>
      <c r="S845" s="79"/>
      <c r="T845" s="79"/>
      <c r="Y845" s="79"/>
      <c r="AC845" s="130"/>
      <c r="AE845" s="106"/>
    </row>
    <row r="846">
      <c r="C846" s="79"/>
      <c r="D846" s="79"/>
      <c r="E846" s="79"/>
      <c r="O846" s="79"/>
      <c r="S846" s="79"/>
      <c r="T846" s="79"/>
      <c r="Y846" s="79"/>
      <c r="AC846" s="130"/>
      <c r="AE846" s="106"/>
    </row>
    <row r="847">
      <c r="C847" s="79"/>
      <c r="D847" s="79"/>
      <c r="E847" s="79"/>
      <c r="O847" s="79"/>
      <c r="S847" s="79"/>
      <c r="T847" s="79"/>
      <c r="Y847" s="79"/>
      <c r="AC847" s="130"/>
      <c r="AE847" s="106"/>
    </row>
    <row r="848">
      <c r="C848" s="79"/>
      <c r="D848" s="79"/>
      <c r="E848" s="79"/>
      <c r="O848" s="79"/>
      <c r="S848" s="79"/>
      <c r="T848" s="79"/>
      <c r="Y848" s="79"/>
      <c r="AC848" s="130"/>
      <c r="AE848" s="106"/>
    </row>
    <row r="849">
      <c r="C849" s="79"/>
      <c r="D849" s="79"/>
      <c r="E849" s="79"/>
      <c r="O849" s="79"/>
      <c r="S849" s="79"/>
      <c r="T849" s="79"/>
      <c r="Y849" s="79"/>
      <c r="AC849" s="130"/>
      <c r="AE849" s="106"/>
    </row>
    <row r="850">
      <c r="C850" s="79"/>
      <c r="D850" s="79"/>
      <c r="E850" s="79"/>
      <c r="O850" s="79"/>
      <c r="S850" s="79"/>
      <c r="T850" s="79"/>
      <c r="Y850" s="79"/>
      <c r="AC850" s="130"/>
      <c r="AE850" s="106"/>
    </row>
    <row r="851">
      <c r="C851" s="79"/>
      <c r="D851" s="79"/>
      <c r="E851" s="79"/>
      <c r="O851" s="79"/>
      <c r="S851" s="79"/>
      <c r="T851" s="79"/>
      <c r="Y851" s="79"/>
      <c r="AC851" s="130"/>
      <c r="AE851" s="106"/>
    </row>
    <row r="852">
      <c r="C852" s="79"/>
      <c r="D852" s="79"/>
      <c r="E852" s="79"/>
      <c r="O852" s="79"/>
      <c r="S852" s="79"/>
      <c r="T852" s="79"/>
      <c r="Y852" s="79"/>
      <c r="AC852" s="130"/>
      <c r="AE852" s="106"/>
    </row>
    <row r="853">
      <c r="C853" s="79"/>
      <c r="D853" s="79"/>
      <c r="E853" s="79"/>
      <c r="O853" s="79"/>
      <c r="S853" s="79"/>
      <c r="T853" s="79"/>
      <c r="Y853" s="79"/>
      <c r="AC853" s="130"/>
      <c r="AE853" s="106"/>
    </row>
    <row r="854">
      <c r="C854" s="79"/>
      <c r="D854" s="79"/>
      <c r="E854" s="79"/>
      <c r="O854" s="79"/>
      <c r="S854" s="79"/>
      <c r="T854" s="79"/>
      <c r="Y854" s="79"/>
      <c r="AC854" s="130"/>
      <c r="AE854" s="106"/>
    </row>
    <row r="855">
      <c r="C855" s="79"/>
      <c r="D855" s="79"/>
      <c r="E855" s="79"/>
      <c r="O855" s="79"/>
      <c r="S855" s="79"/>
      <c r="T855" s="79"/>
      <c r="Y855" s="79"/>
      <c r="AC855" s="130"/>
      <c r="AE855" s="106"/>
    </row>
    <row r="856">
      <c r="C856" s="79"/>
      <c r="D856" s="79"/>
      <c r="E856" s="79"/>
      <c r="O856" s="79"/>
      <c r="S856" s="79"/>
      <c r="T856" s="79"/>
      <c r="Y856" s="79"/>
      <c r="AC856" s="130"/>
      <c r="AE856" s="106"/>
    </row>
    <row r="857">
      <c r="C857" s="79"/>
      <c r="D857" s="79"/>
      <c r="E857" s="79"/>
      <c r="O857" s="79"/>
      <c r="S857" s="79"/>
      <c r="T857" s="79"/>
      <c r="Y857" s="79"/>
      <c r="AC857" s="130"/>
      <c r="AE857" s="106"/>
    </row>
    <row r="858">
      <c r="C858" s="79"/>
      <c r="D858" s="79"/>
      <c r="E858" s="79"/>
      <c r="O858" s="79"/>
      <c r="S858" s="79"/>
      <c r="T858" s="79"/>
      <c r="Y858" s="79"/>
      <c r="AC858" s="130"/>
      <c r="AE858" s="106"/>
    </row>
    <row r="859">
      <c r="C859" s="79"/>
      <c r="D859" s="79"/>
      <c r="E859" s="79"/>
      <c r="O859" s="79"/>
      <c r="S859" s="79"/>
      <c r="T859" s="79"/>
      <c r="Y859" s="79"/>
      <c r="AC859" s="130"/>
      <c r="AE859" s="106"/>
    </row>
    <row r="860">
      <c r="C860" s="79"/>
      <c r="D860" s="79"/>
      <c r="E860" s="79"/>
      <c r="O860" s="79"/>
      <c r="S860" s="79"/>
      <c r="T860" s="79"/>
      <c r="Y860" s="79"/>
      <c r="AC860" s="130"/>
      <c r="AE860" s="106"/>
    </row>
    <row r="861">
      <c r="C861" s="79"/>
      <c r="D861" s="79"/>
      <c r="E861" s="79"/>
      <c r="O861" s="79"/>
      <c r="S861" s="79"/>
      <c r="T861" s="79"/>
      <c r="Y861" s="79"/>
      <c r="AC861" s="130"/>
      <c r="AE861" s="106"/>
    </row>
    <row r="862">
      <c r="C862" s="79"/>
      <c r="D862" s="79"/>
      <c r="E862" s="79"/>
      <c r="O862" s="79"/>
      <c r="S862" s="79"/>
      <c r="T862" s="79"/>
      <c r="Y862" s="79"/>
      <c r="AC862" s="130"/>
      <c r="AE862" s="106"/>
    </row>
    <row r="863">
      <c r="C863" s="79"/>
      <c r="D863" s="79"/>
      <c r="E863" s="79"/>
      <c r="O863" s="79"/>
      <c r="S863" s="79"/>
      <c r="T863" s="79"/>
      <c r="Y863" s="79"/>
      <c r="AC863" s="130"/>
      <c r="AE863" s="106"/>
    </row>
    <row r="864">
      <c r="C864" s="79"/>
      <c r="D864" s="79"/>
      <c r="E864" s="79"/>
      <c r="O864" s="79"/>
      <c r="S864" s="79"/>
      <c r="T864" s="79"/>
      <c r="Y864" s="79"/>
      <c r="AC864" s="130"/>
      <c r="AE864" s="106"/>
    </row>
    <row r="865">
      <c r="C865" s="79"/>
      <c r="D865" s="79"/>
      <c r="E865" s="79"/>
      <c r="O865" s="79"/>
      <c r="S865" s="79"/>
      <c r="T865" s="79"/>
      <c r="Y865" s="79"/>
      <c r="AC865" s="130"/>
      <c r="AE865" s="106"/>
    </row>
    <row r="866">
      <c r="C866" s="79"/>
      <c r="D866" s="79"/>
      <c r="E866" s="79"/>
      <c r="O866" s="79"/>
      <c r="S866" s="79"/>
      <c r="T866" s="79"/>
      <c r="Y866" s="79"/>
      <c r="AC866" s="130"/>
      <c r="AE866" s="106"/>
    </row>
    <row r="867">
      <c r="C867" s="79"/>
      <c r="D867" s="79"/>
      <c r="E867" s="79"/>
      <c r="O867" s="79"/>
      <c r="S867" s="79"/>
      <c r="T867" s="79"/>
      <c r="Y867" s="79"/>
      <c r="AC867" s="130"/>
      <c r="AE867" s="106"/>
    </row>
    <row r="868">
      <c r="C868" s="79"/>
      <c r="D868" s="79"/>
      <c r="E868" s="79"/>
      <c r="O868" s="79"/>
      <c r="S868" s="79"/>
      <c r="T868" s="79"/>
      <c r="Y868" s="79"/>
      <c r="AC868" s="130"/>
      <c r="AE868" s="106"/>
    </row>
    <row r="869">
      <c r="C869" s="79"/>
      <c r="D869" s="79"/>
      <c r="E869" s="79"/>
      <c r="O869" s="79"/>
      <c r="S869" s="79"/>
      <c r="T869" s="79"/>
      <c r="Y869" s="79"/>
      <c r="AC869" s="130"/>
      <c r="AE869" s="106"/>
    </row>
    <row r="870">
      <c r="C870" s="79"/>
      <c r="D870" s="79"/>
      <c r="E870" s="79"/>
      <c r="O870" s="79"/>
      <c r="S870" s="79"/>
      <c r="T870" s="79"/>
      <c r="Y870" s="79"/>
      <c r="AC870" s="130"/>
      <c r="AE870" s="106"/>
    </row>
    <row r="871">
      <c r="C871" s="79"/>
      <c r="D871" s="79"/>
      <c r="E871" s="79"/>
      <c r="O871" s="79"/>
      <c r="S871" s="79"/>
      <c r="T871" s="79"/>
      <c r="Y871" s="79"/>
      <c r="AC871" s="130"/>
      <c r="AE871" s="106"/>
    </row>
    <row r="872">
      <c r="C872" s="79"/>
      <c r="D872" s="79"/>
      <c r="E872" s="79"/>
      <c r="O872" s="79"/>
      <c r="S872" s="79"/>
      <c r="T872" s="79"/>
      <c r="Y872" s="79"/>
      <c r="AC872" s="130"/>
      <c r="AE872" s="106"/>
    </row>
    <row r="873">
      <c r="C873" s="79"/>
      <c r="D873" s="79"/>
      <c r="E873" s="79"/>
      <c r="O873" s="79"/>
      <c r="S873" s="79"/>
      <c r="T873" s="79"/>
      <c r="Y873" s="79"/>
      <c r="AC873" s="130"/>
      <c r="AE873" s="106"/>
    </row>
    <row r="874">
      <c r="C874" s="79"/>
      <c r="D874" s="79"/>
      <c r="E874" s="79"/>
      <c r="O874" s="79"/>
      <c r="S874" s="79"/>
      <c r="T874" s="79"/>
      <c r="Y874" s="79"/>
      <c r="AC874" s="130"/>
      <c r="AE874" s="106"/>
    </row>
    <row r="875">
      <c r="C875" s="79"/>
      <c r="D875" s="79"/>
      <c r="E875" s="79"/>
      <c r="O875" s="79"/>
      <c r="S875" s="79"/>
      <c r="T875" s="79"/>
      <c r="Y875" s="79"/>
      <c r="AC875" s="130"/>
      <c r="AE875" s="106"/>
    </row>
    <row r="876">
      <c r="C876" s="79"/>
      <c r="D876" s="79"/>
      <c r="E876" s="79"/>
      <c r="O876" s="79"/>
      <c r="S876" s="79"/>
      <c r="T876" s="79"/>
      <c r="Y876" s="79"/>
      <c r="AC876" s="130"/>
      <c r="AE876" s="106"/>
    </row>
    <row r="877">
      <c r="C877" s="79"/>
      <c r="D877" s="79"/>
      <c r="E877" s="79"/>
      <c r="O877" s="79"/>
      <c r="S877" s="79"/>
      <c r="T877" s="79"/>
      <c r="Y877" s="79"/>
      <c r="AC877" s="130"/>
      <c r="AE877" s="106"/>
    </row>
  </sheetData>
  <autoFilter ref="$A$44:$F$82">
    <sortState ref="A44:F82">
      <sortCondition descending="1" sortBy="cellColor" ref="E44:E82" dxfId="1"/>
      <sortCondition descending="1" sortBy="cellColor" ref="C44:C82" dxfId="1"/>
      <sortCondition descending="1" sortBy="cellColor" ref="A44:A82" dxfId="1"/>
    </sortState>
  </autoFilter>
  <mergeCells count="1">
    <mergeCell ref="B41:E41"/>
  </mergeCells>
  <drawing r:id="rId2"/>
  <legacyDrawing r:id="rId3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3" max="3" width="17.38"/>
    <col customWidth="1" min="5" max="5" width="15.63"/>
    <col customWidth="1" min="7" max="7" width="13.5"/>
    <col customWidth="1" min="8" max="8" width="13.25"/>
    <col customWidth="1" min="15" max="15" width="27.38"/>
    <col customWidth="1" min="26" max="26" width="14.63"/>
    <col customWidth="1" min="31" max="31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4</v>
      </c>
      <c r="J1" s="2" t="s">
        <v>5</v>
      </c>
      <c r="K1" s="2" t="s">
        <v>303</v>
      </c>
      <c r="L1" s="2" t="s">
        <v>6</v>
      </c>
      <c r="M1" s="2" t="s">
        <v>12</v>
      </c>
      <c r="N1" s="2" t="s">
        <v>49</v>
      </c>
      <c r="O1" s="105" t="s">
        <v>304</v>
      </c>
      <c r="P1" s="2" t="s">
        <v>37</v>
      </c>
      <c r="Q1" s="2" t="s">
        <v>10</v>
      </c>
      <c r="R1" s="2" t="s">
        <v>42</v>
      </c>
      <c r="S1" s="105" t="s">
        <v>484</v>
      </c>
      <c r="T1" s="105" t="s">
        <v>9</v>
      </c>
      <c r="U1" s="2" t="s">
        <v>164</v>
      </c>
      <c r="V1" s="105" t="s">
        <v>40</v>
      </c>
      <c r="W1" s="2" t="s">
        <v>83</v>
      </c>
      <c r="X1" s="2" t="s">
        <v>204</v>
      </c>
      <c r="Y1" s="105" t="s">
        <v>205</v>
      </c>
      <c r="Z1" s="2" t="s">
        <v>206</v>
      </c>
      <c r="AA1" s="2" t="s">
        <v>305</v>
      </c>
      <c r="AB1" s="3" t="s">
        <v>13</v>
      </c>
      <c r="AC1" s="3" t="s">
        <v>14</v>
      </c>
      <c r="AD1" s="3" t="s">
        <v>15</v>
      </c>
      <c r="AE1" s="106"/>
      <c r="AF1" s="265" t="s">
        <v>306</v>
      </c>
      <c r="AG1" s="266" t="s">
        <v>80</v>
      </c>
    </row>
    <row r="2">
      <c r="A2" s="74">
        <v>45537.0</v>
      </c>
      <c r="B2" s="93">
        <f>1480.41-33.83-28.79-69.19-66.71-59.28-24.04-9.8-73.23-17.41-13.15</f>
        <v>1084.98</v>
      </c>
      <c r="C2" s="93">
        <f>830.91-33-33-337.5</f>
        <v>427.41</v>
      </c>
      <c r="D2" s="93"/>
      <c r="E2" s="93"/>
      <c r="F2" s="93"/>
      <c r="G2" s="93">
        <v>180.0</v>
      </c>
      <c r="H2" s="93"/>
      <c r="I2" s="93"/>
      <c r="J2" s="93"/>
      <c r="K2" s="93"/>
      <c r="L2" s="93"/>
      <c r="M2" s="93"/>
      <c r="N2" s="93"/>
      <c r="O2" s="93"/>
      <c r="P2" s="72"/>
      <c r="Q2" s="93"/>
      <c r="R2" s="93"/>
      <c r="S2" s="93"/>
      <c r="T2" s="93"/>
      <c r="U2" s="93"/>
      <c r="V2" s="93"/>
      <c r="W2" s="93"/>
      <c r="X2" s="93"/>
      <c r="Y2" s="93"/>
      <c r="Z2" s="93"/>
      <c r="AA2" s="386"/>
      <c r="AB2" s="107">
        <f>SUM(B2:AA2)</f>
        <v>1692.39</v>
      </c>
      <c r="AC2" s="158">
        <v>3390.0</v>
      </c>
      <c r="AD2" s="59">
        <f t="shared" ref="AD2:AD8" si="1">AB2/AC2</f>
        <v>0.4992300885</v>
      </c>
      <c r="AE2" s="109">
        <f t="shared" ref="AE2:AE8" si="2">A2</f>
        <v>45537</v>
      </c>
      <c r="AF2" s="267"/>
      <c r="AG2" s="268">
        <f t="shared" ref="AG2:AG8" si="3">AC2-AF2</f>
        <v>3390</v>
      </c>
    </row>
    <row r="3">
      <c r="A3" s="74">
        <f t="shared" ref="A3:A8" si="4">A2+1</f>
        <v>45538</v>
      </c>
      <c r="B3" s="93">
        <f>757.21-127.3+341.33</f>
        <v>971.24</v>
      </c>
      <c r="C3" s="93">
        <v>298.35</v>
      </c>
      <c r="D3" s="93"/>
      <c r="E3" s="93"/>
      <c r="F3" s="93"/>
      <c r="G3" s="93"/>
      <c r="H3" s="168"/>
      <c r="I3" s="93"/>
      <c r="J3" s="93"/>
      <c r="K3" s="93"/>
      <c r="L3" s="93"/>
      <c r="M3" s="93"/>
      <c r="N3" s="93">
        <v>168.0</v>
      </c>
      <c r="O3" s="93">
        <v>180.0</v>
      </c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326"/>
      <c r="AB3" s="107">
        <f t="shared" ref="AB3:AB8" si="5">SUM(B3:Z3)</f>
        <v>1617.59</v>
      </c>
      <c r="AC3" s="158">
        <v>1716.0</v>
      </c>
      <c r="AD3" s="59">
        <f t="shared" si="1"/>
        <v>0.9426515152</v>
      </c>
      <c r="AE3" s="109">
        <f t="shared" si="2"/>
        <v>45538</v>
      </c>
      <c r="AF3" s="267"/>
      <c r="AG3" s="268">
        <f t="shared" si="3"/>
        <v>1716</v>
      </c>
    </row>
    <row r="4">
      <c r="A4" s="74">
        <f t="shared" si="4"/>
        <v>45539</v>
      </c>
      <c r="B4" s="93">
        <f>1361.42-82.25-36.62-10.69-99.22-113.9-30.05-13.92-54.56-24.91-111.51-45.69-57.22-62.1-71.16-56.44-8.32-25.84-9.76-28.41</f>
        <v>418.85</v>
      </c>
      <c r="C4" s="93"/>
      <c r="D4" s="93"/>
      <c r="E4" s="93"/>
      <c r="F4" s="93"/>
      <c r="G4" s="93">
        <v>180.0</v>
      </c>
      <c r="H4" s="168"/>
      <c r="I4" s="93"/>
      <c r="J4" s="93">
        <f>371.25-198</f>
        <v>173.25</v>
      </c>
      <c r="K4" s="93"/>
      <c r="L4" s="93"/>
      <c r="M4" s="93"/>
      <c r="N4" s="93"/>
      <c r="O4" s="93"/>
      <c r="P4" s="160"/>
      <c r="Q4" s="93"/>
      <c r="R4" s="93"/>
      <c r="S4" s="93"/>
      <c r="T4" s="93"/>
      <c r="U4" s="93"/>
      <c r="V4" s="93"/>
      <c r="W4" s="93"/>
      <c r="X4" s="93"/>
      <c r="Y4" s="93"/>
      <c r="Z4" s="101"/>
      <c r="AA4" s="326"/>
      <c r="AB4" s="107">
        <f t="shared" si="5"/>
        <v>772.1</v>
      </c>
      <c r="AC4" s="380">
        <f>470+1991</f>
        <v>2461</v>
      </c>
      <c r="AD4" s="59">
        <f t="shared" si="1"/>
        <v>0.3137342544</v>
      </c>
      <c r="AE4" s="109">
        <f t="shared" si="2"/>
        <v>45539</v>
      </c>
      <c r="AF4" s="267"/>
      <c r="AG4" s="268">
        <f t="shared" si="3"/>
        <v>2461</v>
      </c>
    </row>
    <row r="5">
      <c r="A5" s="74">
        <f t="shared" si="4"/>
        <v>45540</v>
      </c>
      <c r="B5" s="93">
        <f>494.29-36.62-18.61-17.41-46.91-87.37</f>
        <v>287.37</v>
      </c>
      <c r="C5" s="93"/>
      <c r="D5" s="344">
        <v>476.2</v>
      </c>
      <c r="E5" s="93"/>
      <c r="F5" s="93"/>
      <c r="G5" s="93"/>
      <c r="H5" s="160"/>
      <c r="I5" s="93"/>
      <c r="J5" s="93"/>
      <c r="K5" s="93"/>
      <c r="L5" s="93"/>
      <c r="M5" s="93"/>
      <c r="N5" s="93"/>
      <c r="O5" s="93"/>
      <c r="P5" s="93"/>
      <c r="Q5" s="93"/>
      <c r="R5" s="93"/>
      <c r="S5" s="101"/>
      <c r="T5" s="93"/>
      <c r="U5" s="93"/>
      <c r="V5" s="93"/>
      <c r="W5" s="93"/>
      <c r="X5" s="93"/>
      <c r="Y5" s="101"/>
      <c r="Z5" s="101"/>
      <c r="AA5" s="327"/>
      <c r="AB5" s="7">
        <f t="shared" si="5"/>
        <v>763.57</v>
      </c>
      <c r="AC5" s="380">
        <f>699.4+2536</f>
        <v>3235.4</v>
      </c>
      <c r="AD5" s="59">
        <f t="shared" si="1"/>
        <v>0.2360048217</v>
      </c>
      <c r="AE5" s="109">
        <f t="shared" si="2"/>
        <v>45540</v>
      </c>
      <c r="AF5" s="267"/>
      <c r="AG5" s="268">
        <f t="shared" si="3"/>
        <v>3235.4</v>
      </c>
    </row>
    <row r="6">
      <c r="A6" s="74">
        <f t="shared" si="4"/>
        <v>45541</v>
      </c>
      <c r="B6" s="93">
        <f>573.72-9.74-47.2-359.29-7.98</f>
        <v>149.51</v>
      </c>
      <c r="C6" s="361">
        <f>428.17-148.32</f>
        <v>279.85</v>
      </c>
      <c r="D6" s="93"/>
      <c r="E6" s="93">
        <v>78.5</v>
      </c>
      <c r="F6" s="93"/>
      <c r="G6" s="93"/>
      <c r="H6" s="160"/>
      <c r="I6" s="93"/>
      <c r="J6" s="93"/>
      <c r="K6" s="93"/>
      <c r="L6" s="93">
        <v>166.4</v>
      </c>
      <c r="M6" s="93"/>
      <c r="N6" s="93"/>
      <c r="O6" s="93"/>
      <c r="P6" s="93"/>
      <c r="Q6" s="93"/>
      <c r="R6" s="93"/>
      <c r="S6" s="93"/>
      <c r="T6" s="374"/>
      <c r="U6" s="93"/>
      <c r="V6" s="93"/>
      <c r="W6" s="93"/>
      <c r="X6" s="93"/>
      <c r="Y6" s="93"/>
      <c r="Z6" s="93"/>
      <c r="AA6" s="327"/>
      <c r="AB6" s="7">
        <f t="shared" si="5"/>
        <v>674.26</v>
      </c>
      <c r="AC6" s="380">
        <f>373+5755</f>
        <v>6128</v>
      </c>
      <c r="AD6" s="59">
        <f t="shared" si="1"/>
        <v>0.1100293734</v>
      </c>
      <c r="AE6" s="109">
        <f t="shared" si="2"/>
        <v>45541</v>
      </c>
      <c r="AF6" s="267"/>
      <c r="AG6" s="268">
        <f t="shared" si="3"/>
        <v>6128</v>
      </c>
    </row>
    <row r="7">
      <c r="A7" s="74">
        <f t="shared" si="4"/>
        <v>45542</v>
      </c>
      <c r="B7" s="93">
        <f>949.61-43.13-13.43-70.39-162.72-36.62-48.85</f>
        <v>574.47</v>
      </c>
      <c r="C7" s="361"/>
      <c r="D7" s="93">
        <f>435.78-250-132.68</f>
        <v>53.1</v>
      </c>
      <c r="F7" s="402"/>
      <c r="G7" s="93">
        <v>180.0</v>
      </c>
      <c r="H7" s="344">
        <v>291.41</v>
      </c>
      <c r="I7" s="402"/>
      <c r="J7" s="93"/>
      <c r="K7" s="93"/>
      <c r="L7" s="93"/>
      <c r="M7" s="93"/>
      <c r="N7" s="93"/>
      <c r="O7" s="93"/>
      <c r="P7" s="402"/>
      <c r="Q7" s="93"/>
      <c r="R7" s="93"/>
      <c r="S7" s="101"/>
      <c r="T7" s="93"/>
      <c r="U7" s="93"/>
      <c r="V7" s="93"/>
      <c r="W7" s="93"/>
      <c r="X7" s="93"/>
      <c r="Y7" s="101"/>
      <c r="Z7" s="93"/>
      <c r="AA7" s="327"/>
      <c r="AB7" s="7">
        <f t="shared" si="5"/>
        <v>1098.98</v>
      </c>
      <c r="AC7" s="380">
        <f>1768+6794.4</f>
        <v>8562.4</v>
      </c>
      <c r="AD7" s="59">
        <f t="shared" si="1"/>
        <v>0.1283495282</v>
      </c>
      <c r="AE7" s="109">
        <f t="shared" si="2"/>
        <v>45542</v>
      </c>
      <c r="AF7" s="267"/>
      <c r="AG7" s="268">
        <f t="shared" si="3"/>
        <v>8562.4</v>
      </c>
    </row>
    <row r="8">
      <c r="A8" s="74">
        <f t="shared" si="4"/>
        <v>45543</v>
      </c>
      <c r="B8" s="374"/>
      <c r="C8" s="93"/>
      <c r="D8" s="344">
        <v>631.53</v>
      </c>
      <c r="E8" s="112"/>
      <c r="F8" s="344">
        <v>379.94</v>
      </c>
      <c r="G8" s="10"/>
      <c r="H8" s="344">
        <v>0.0</v>
      </c>
      <c r="I8" s="344">
        <v>381.7</v>
      </c>
      <c r="J8" s="344">
        <v>396.0</v>
      </c>
      <c r="K8" s="93"/>
      <c r="L8" s="112"/>
      <c r="M8" s="112"/>
      <c r="N8" s="93"/>
      <c r="O8" s="93"/>
      <c r="P8" s="93"/>
      <c r="Q8" s="93"/>
      <c r="R8" s="374"/>
      <c r="S8" s="112"/>
      <c r="T8" s="344"/>
      <c r="U8" s="93"/>
      <c r="V8" s="112"/>
      <c r="W8" s="112"/>
      <c r="X8" s="112"/>
      <c r="Y8" s="112"/>
      <c r="Z8" s="112"/>
      <c r="AA8" s="93"/>
      <c r="AB8" s="7">
        <f t="shared" si="5"/>
        <v>1789.17</v>
      </c>
      <c r="AC8" s="380">
        <f>1626+3223</f>
        <v>4849</v>
      </c>
      <c r="AD8" s="59">
        <f t="shared" si="1"/>
        <v>0.3689771087</v>
      </c>
      <c r="AE8" s="109">
        <f t="shared" si="2"/>
        <v>45543</v>
      </c>
      <c r="AF8" s="267"/>
      <c r="AG8" s="268">
        <f t="shared" si="3"/>
        <v>4849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AC9" s="129"/>
      <c r="AE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AC10" s="129"/>
      <c r="AE10" s="106"/>
    </row>
    <row r="11">
      <c r="A11" s="165" t="s">
        <v>194</v>
      </c>
      <c r="B11" s="93">
        <f>33.83+28.79+66.71+59.28+24.04+9.8+13.15+127.3+113.9+30.05+13.92+111.51+45.69+57.22+62.1+71.16+56.44+87.37</f>
        <v>1012.26</v>
      </c>
      <c r="C11" s="93">
        <f>33</f>
        <v>33</v>
      </c>
      <c r="D11" s="93">
        <f>158.4+250+48.1</f>
        <v>456.5</v>
      </c>
      <c r="E11" s="167"/>
      <c r="F11" s="168"/>
      <c r="G11" s="168"/>
      <c r="H11" s="166"/>
      <c r="I11" s="166"/>
      <c r="J11" s="93"/>
      <c r="K11" s="168"/>
      <c r="L11" s="93"/>
      <c r="M11" s="93">
        <v>57.36</v>
      </c>
      <c r="N11" s="93"/>
      <c r="O11" s="168"/>
      <c r="P11" s="168"/>
      <c r="Q11" s="168"/>
      <c r="R11" s="168"/>
      <c r="S11" s="168"/>
      <c r="T11" s="168"/>
      <c r="U11" s="168"/>
      <c r="V11" s="168"/>
      <c r="W11" s="1"/>
      <c r="X11" s="168"/>
      <c r="Y11" s="168"/>
      <c r="Z11" s="1"/>
      <c r="AA11" s="1"/>
      <c r="AB11" s="1"/>
      <c r="AC11" s="169"/>
      <c r="AD11" s="1"/>
      <c r="AE11" s="170"/>
    </row>
    <row r="12">
      <c r="A12" s="165" t="s">
        <v>195</v>
      </c>
      <c r="B12" s="93">
        <f>73.23+17.41+82.25+36.62+10.69+36.52+18.61+17.41+46.91+9.74+47.2+7.98+43.13+13.42+70.39+162.72+36.62+48.85</f>
        <v>779.7</v>
      </c>
      <c r="C12" s="93">
        <f>33+337.5+148.32</f>
        <v>518.82</v>
      </c>
      <c r="D12" s="93">
        <v>130.15</v>
      </c>
      <c r="E12" s="93"/>
      <c r="F12" s="93"/>
      <c r="G12" s="93"/>
      <c r="H12" s="93"/>
      <c r="I12" s="93"/>
      <c r="J12" s="93">
        <v>198.0</v>
      </c>
      <c r="K12" s="93"/>
      <c r="L12" s="93"/>
      <c r="M12" s="93"/>
      <c r="N12" s="93">
        <f>156+144</f>
        <v>300</v>
      </c>
      <c r="O12" s="168"/>
      <c r="P12" s="168"/>
      <c r="Q12" s="166"/>
      <c r="R12" s="166"/>
      <c r="S12" s="168"/>
      <c r="T12" s="166"/>
      <c r="U12" s="168"/>
      <c r="V12" s="168"/>
      <c r="W12" s="1"/>
      <c r="X12" s="93"/>
      <c r="Y12" s="168"/>
      <c r="Z12" s="1"/>
      <c r="AA12" s="1"/>
      <c r="AB12" s="1"/>
      <c r="AC12" s="171"/>
      <c r="AD12" s="1"/>
      <c r="AE12" s="170"/>
    </row>
    <row r="13">
      <c r="A13" s="172" t="s">
        <v>636</v>
      </c>
      <c r="B13" s="203">
        <f>54.56+24.91+8.32+25.84+9.86+28.41</f>
        <v>151.9</v>
      </c>
      <c r="C13" s="93"/>
      <c r="D13" s="374"/>
      <c r="E13" s="168"/>
      <c r="F13" s="166"/>
      <c r="G13" s="166"/>
      <c r="H13" s="93"/>
      <c r="I13" s="374"/>
      <c r="J13" s="93"/>
      <c r="K13" s="166"/>
      <c r="L13" s="168"/>
      <c r="M13" s="168"/>
      <c r="N13" s="93"/>
      <c r="O13" s="93"/>
      <c r="P13" s="168"/>
      <c r="Q13" s="166"/>
      <c r="R13" s="168"/>
      <c r="S13" s="166"/>
      <c r="T13" s="168"/>
      <c r="U13" s="96"/>
      <c r="V13" s="1"/>
      <c r="W13" s="1"/>
      <c r="X13" s="168"/>
      <c r="Y13" s="168"/>
      <c r="Z13" s="1"/>
      <c r="AA13" s="1"/>
      <c r="AB13" s="1"/>
      <c r="AC13" s="174"/>
      <c r="AD13" s="1"/>
      <c r="AE13" s="170"/>
    </row>
    <row r="14">
      <c r="A14" s="172" t="s">
        <v>197</v>
      </c>
      <c r="B14" s="93"/>
      <c r="C14" s="93"/>
      <c r="D14" s="93"/>
      <c r="E14" s="168"/>
      <c r="F14" s="166"/>
      <c r="G14" s="166"/>
      <c r="H14" s="168"/>
      <c r="I14" s="168"/>
      <c r="J14" s="93"/>
      <c r="K14" s="168"/>
      <c r="L14" s="168"/>
      <c r="M14" s="168"/>
      <c r="N14" s="93"/>
      <c r="O14" s="168"/>
      <c r="P14" s="168"/>
      <c r="Q14" s="166"/>
      <c r="R14" s="168"/>
      <c r="S14" s="168"/>
      <c r="T14" s="168"/>
      <c r="U14" s="1"/>
      <c r="V14" s="1"/>
      <c r="W14" s="1"/>
      <c r="X14" s="168"/>
      <c r="Y14" s="168"/>
      <c r="Z14" s="1"/>
      <c r="AA14" s="1"/>
      <c r="AB14" s="1"/>
      <c r="AC14" s="174"/>
      <c r="AD14" s="1"/>
      <c r="AE14" s="170"/>
    </row>
    <row r="15">
      <c r="A15" s="165" t="s">
        <v>198</v>
      </c>
      <c r="B15" s="93">
        <f>69.19+99.22</f>
        <v>168.41</v>
      </c>
      <c r="C15" s="93"/>
      <c r="D15" s="93"/>
      <c r="E15" s="168"/>
      <c r="F15" s="166"/>
      <c r="G15" s="166"/>
      <c r="H15" s="168"/>
      <c r="I15" s="168"/>
      <c r="J15" s="93"/>
      <c r="K15" s="168"/>
      <c r="L15" s="168"/>
      <c r="M15" s="168"/>
      <c r="N15" s="93"/>
      <c r="O15" s="168"/>
      <c r="P15" s="168"/>
      <c r="Q15" s="166"/>
      <c r="R15" s="168"/>
      <c r="S15" s="168"/>
      <c r="T15" s="168"/>
      <c r="U15" s="1"/>
      <c r="V15" s="1"/>
      <c r="W15" s="1"/>
      <c r="X15" s="168"/>
      <c r="Y15" s="168"/>
      <c r="Z15" s="1"/>
      <c r="AA15" s="1"/>
      <c r="AB15" s="1"/>
      <c r="AC15" s="174"/>
      <c r="AD15" s="1"/>
      <c r="AE15" s="170"/>
    </row>
    <row r="16">
      <c r="A16" s="91"/>
      <c r="B16" s="375"/>
      <c r="C16" s="79"/>
      <c r="D16" s="79"/>
      <c r="E16" s="79"/>
      <c r="F16" s="78"/>
      <c r="G16" s="78"/>
      <c r="I16" s="78"/>
      <c r="J16" s="79"/>
      <c r="K16" s="79"/>
      <c r="L16" s="79"/>
      <c r="M16" s="79"/>
      <c r="N16" s="79"/>
      <c r="O16" s="79"/>
      <c r="R16" s="79"/>
      <c r="S16" s="79"/>
      <c r="T16" s="79"/>
      <c r="Y16" s="79"/>
      <c r="AC16" s="131"/>
      <c r="AE16" s="106"/>
    </row>
    <row r="17">
      <c r="A17" s="91"/>
      <c r="B17" s="92"/>
      <c r="C17" s="192"/>
      <c r="D17" s="78"/>
      <c r="E17" s="151"/>
      <c r="F17" s="201"/>
      <c r="G17" s="248"/>
      <c r="H17" s="192"/>
      <c r="I17" s="198"/>
      <c r="J17" s="201"/>
      <c r="K17" s="199"/>
      <c r="L17" s="199"/>
      <c r="M17" s="200"/>
      <c r="N17" s="202"/>
      <c r="O17" s="198"/>
      <c r="R17" s="198"/>
      <c r="S17" s="79"/>
      <c r="T17" s="198"/>
      <c r="U17" s="198"/>
      <c r="V17" s="198"/>
      <c r="W17" s="198"/>
      <c r="X17" s="199"/>
      <c r="Y17" s="79"/>
      <c r="AC17" s="131"/>
      <c r="AE17" s="106"/>
    </row>
    <row r="18">
      <c r="A18" s="4" t="s">
        <v>22</v>
      </c>
      <c r="B18" s="11">
        <v>10000.0</v>
      </c>
      <c r="C18" s="79"/>
      <c r="D18" s="79"/>
      <c r="E18" s="151"/>
      <c r="F18" s="213"/>
      <c r="G18" s="224"/>
      <c r="H18" s="192"/>
      <c r="K18" s="403"/>
      <c r="L18" s="201"/>
      <c r="M18" s="202"/>
      <c r="N18" s="200"/>
      <c r="O18" s="198"/>
      <c r="P18" s="204"/>
      <c r="R18" s="203"/>
      <c r="S18" s="79"/>
      <c r="T18" s="198"/>
      <c r="U18" s="198"/>
      <c r="V18" s="198"/>
      <c r="W18" s="198"/>
      <c r="X18" s="201"/>
      <c r="Y18" s="79"/>
      <c r="AC18" s="131"/>
      <c r="AE18" s="106"/>
    </row>
    <row r="19">
      <c r="A19" s="4" t="s">
        <v>23</v>
      </c>
      <c r="B19" s="12">
        <f>SUM(B2:AA8)</f>
        <v>8408.06</v>
      </c>
      <c r="C19" s="192"/>
      <c r="D19" s="177"/>
      <c r="E19" s="151"/>
      <c r="F19" s="213"/>
      <c r="G19" s="224"/>
      <c r="H19" s="38"/>
      <c r="I19" s="175"/>
      <c r="K19" s="384"/>
      <c r="L19" s="201"/>
      <c r="M19" s="202"/>
      <c r="N19" s="201"/>
      <c r="O19" s="198"/>
      <c r="P19" s="204"/>
      <c r="R19" s="203"/>
      <c r="S19" s="79"/>
      <c r="T19" s="198"/>
      <c r="U19" s="198"/>
      <c r="V19" s="198"/>
      <c r="W19" s="198"/>
      <c r="X19" s="191"/>
      <c r="Y19" s="79"/>
      <c r="AC19" s="131"/>
      <c r="AE19" s="106"/>
    </row>
    <row r="20">
      <c r="A20" s="4" t="s">
        <v>24</v>
      </c>
      <c r="B20" s="12">
        <f> SUM(B18-B19)</f>
        <v>1591.94</v>
      </c>
      <c r="C20" s="79"/>
      <c r="D20" s="78"/>
      <c r="E20" s="151"/>
      <c r="F20" s="201"/>
      <c r="G20" s="199"/>
      <c r="H20" s="203"/>
      <c r="I20" s="203"/>
      <c r="K20" s="203"/>
      <c r="L20" s="199"/>
      <c r="M20" s="202"/>
      <c r="N20" s="200"/>
      <c r="O20" s="198"/>
      <c r="P20" s="204"/>
      <c r="R20" s="203"/>
      <c r="S20" s="79"/>
      <c r="T20" s="198"/>
      <c r="U20" s="198"/>
      <c r="V20" s="198"/>
      <c r="W20" s="198"/>
      <c r="X20" s="203"/>
      <c r="Y20" s="79"/>
      <c r="AC20" s="131"/>
      <c r="AE20" s="106"/>
    </row>
    <row r="21">
      <c r="C21" s="79"/>
      <c r="D21" s="79"/>
      <c r="E21" s="78"/>
      <c r="F21" s="213"/>
      <c r="G21" s="199"/>
      <c r="H21" s="175"/>
      <c r="I21" s="345"/>
      <c r="J21" s="78"/>
      <c r="K21" s="351"/>
      <c r="N21" s="198"/>
      <c r="O21" s="198"/>
      <c r="P21" s="204"/>
      <c r="R21" s="203"/>
      <c r="S21" s="79"/>
      <c r="T21" s="198"/>
      <c r="U21" s="206"/>
      <c r="V21" s="198"/>
      <c r="W21" s="198"/>
      <c r="X21" s="203"/>
      <c r="Y21" s="79"/>
      <c r="AC21" s="131"/>
      <c r="AE21" s="106"/>
    </row>
    <row r="22">
      <c r="A22" s="13" t="s">
        <v>25</v>
      </c>
      <c r="B22" s="14">
        <f>SUM(AC2:AC8)</f>
        <v>30341.8</v>
      </c>
      <c r="C22" s="79"/>
      <c r="D22" s="79"/>
      <c r="E22" s="78"/>
      <c r="F22" s="201"/>
      <c r="G22" s="199"/>
      <c r="H22" s="175"/>
      <c r="I22" s="203"/>
      <c r="J22" s="78"/>
      <c r="K22" s="203"/>
      <c r="L22" s="203"/>
      <c r="M22" s="203"/>
      <c r="N22" s="198"/>
      <c r="O22" s="198"/>
      <c r="P22" s="204"/>
      <c r="R22" s="203"/>
      <c r="S22" s="79"/>
      <c r="T22" s="198"/>
      <c r="U22" s="198"/>
      <c r="V22" s="198"/>
      <c r="W22" s="198"/>
      <c r="X22" s="203"/>
      <c r="Y22" s="79"/>
      <c r="AC22" s="181"/>
      <c r="AE22" s="106"/>
    </row>
    <row r="23">
      <c r="A23" s="13" t="s">
        <v>26</v>
      </c>
      <c r="B23" s="15">
        <f>B19/B22</f>
        <v>0.2771114436</v>
      </c>
      <c r="C23" s="79"/>
      <c r="D23" s="79"/>
      <c r="E23" s="78"/>
      <c r="F23" s="204"/>
      <c r="G23" s="199"/>
      <c r="H23" s="192"/>
      <c r="I23" s="203"/>
      <c r="J23" s="78"/>
      <c r="K23" s="203"/>
      <c r="L23" s="203"/>
      <c r="M23" s="203"/>
      <c r="N23" s="203"/>
      <c r="O23" s="198"/>
      <c r="P23" s="204"/>
      <c r="R23" s="203"/>
      <c r="S23" s="79"/>
      <c r="T23" s="198"/>
      <c r="U23" s="198"/>
      <c r="V23" s="198"/>
      <c r="W23" s="198"/>
      <c r="X23" s="203"/>
      <c r="Y23" s="79"/>
      <c r="AC23" s="130"/>
      <c r="AE23" s="106"/>
    </row>
    <row r="24">
      <c r="C24" s="79"/>
      <c r="D24" s="79"/>
      <c r="E24" s="78"/>
      <c r="F24" s="204"/>
      <c r="G24" s="78"/>
      <c r="H24" s="175"/>
      <c r="I24" s="78"/>
      <c r="J24" s="78"/>
      <c r="K24" s="203"/>
      <c r="L24" s="203"/>
      <c r="M24" s="203"/>
      <c r="N24" s="201"/>
      <c r="O24" s="198"/>
      <c r="P24" s="204"/>
      <c r="R24" s="198"/>
      <c r="S24" s="79"/>
      <c r="T24" s="198"/>
      <c r="U24" s="198"/>
      <c r="V24" s="198"/>
      <c r="W24" s="198"/>
      <c r="X24" s="203"/>
      <c r="Y24" s="79"/>
      <c r="AC24" s="182"/>
      <c r="AE24" s="106"/>
    </row>
    <row r="25">
      <c r="C25" s="79"/>
      <c r="D25" s="79"/>
      <c r="E25" s="79"/>
      <c r="F25" s="204"/>
      <c r="G25" s="78"/>
      <c r="H25" s="78"/>
      <c r="I25" s="203"/>
      <c r="J25" s="212"/>
      <c r="K25" s="203"/>
      <c r="L25" s="203"/>
      <c r="M25" s="203"/>
      <c r="N25" s="201"/>
      <c r="O25" s="198"/>
      <c r="P25" s="204"/>
      <c r="R25" s="198"/>
      <c r="S25" s="79"/>
      <c r="T25" s="198"/>
      <c r="U25" s="198"/>
      <c r="V25" s="198"/>
      <c r="W25" s="198"/>
      <c r="X25" s="203"/>
      <c r="Y25" s="79"/>
      <c r="AC25" s="130"/>
      <c r="AE25" s="106"/>
    </row>
    <row r="26">
      <c r="A26" s="16" t="s">
        <v>27</v>
      </c>
      <c r="B26" s="17"/>
      <c r="C26" s="114"/>
      <c r="D26" s="114"/>
      <c r="E26" s="115"/>
      <c r="F26" s="204"/>
      <c r="G26" s="78"/>
      <c r="H26" s="192"/>
      <c r="I26" s="78"/>
      <c r="J26" s="79"/>
      <c r="K26" s="203"/>
      <c r="L26" s="217"/>
      <c r="M26" s="208"/>
      <c r="N26" s="198"/>
      <c r="O26" s="198"/>
      <c r="P26" s="204"/>
      <c r="R26" s="200"/>
      <c r="S26" s="79"/>
      <c r="T26" s="198"/>
      <c r="U26" s="198"/>
      <c r="V26" s="198"/>
      <c r="W26" s="198"/>
      <c r="X26" s="203"/>
      <c r="Y26" s="79"/>
      <c r="AC26" s="130"/>
      <c r="AE26" s="106"/>
    </row>
    <row r="27">
      <c r="A27" s="19" t="s">
        <v>28</v>
      </c>
      <c r="B27" s="20"/>
      <c r="C27" s="116"/>
      <c r="D27" s="116"/>
      <c r="E27" s="117"/>
      <c r="F27" s="204"/>
      <c r="G27" s="212"/>
      <c r="H27" s="78"/>
      <c r="I27" s="224"/>
      <c r="J27" s="78"/>
      <c r="K27" s="203"/>
      <c r="L27" s="203"/>
      <c r="M27" s="209"/>
      <c r="N27" s="201"/>
      <c r="O27" s="198"/>
      <c r="P27" s="204"/>
      <c r="R27" s="198"/>
      <c r="S27" s="79"/>
      <c r="T27" s="198"/>
      <c r="U27" s="198"/>
      <c r="V27" s="198"/>
      <c r="W27" s="198"/>
      <c r="X27" s="203"/>
      <c r="Y27" s="79"/>
      <c r="AC27" s="130"/>
      <c r="AE27" s="106"/>
    </row>
    <row r="28">
      <c r="A28" s="183" t="s">
        <v>29</v>
      </c>
      <c r="B28" s="184" t="s">
        <v>30</v>
      </c>
      <c r="C28" s="183"/>
      <c r="D28" s="183" t="s">
        <v>170</v>
      </c>
      <c r="E28" s="219" t="s">
        <v>171</v>
      </c>
      <c r="F28" s="204"/>
      <c r="G28" s="79"/>
      <c r="H28" s="404"/>
      <c r="I28" s="79"/>
      <c r="J28" s="79"/>
      <c r="K28" s="203"/>
      <c r="L28" s="201"/>
      <c r="M28" s="209"/>
      <c r="N28" s="198"/>
      <c r="O28" s="198"/>
      <c r="P28" s="204"/>
      <c r="R28" s="198"/>
      <c r="S28" s="79"/>
      <c r="T28" s="198"/>
      <c r="U28" s="198"/>
      <c r="V28" s="198"/>
      <c r="W28" s="198"/>
      <c r="X28" s="203"/>
      <c r="Y28" s="79"/>
      <c r="Z28" s="195"/>
      <c r="AC28" s="130"/>
      <c r="AE28" s="106"/>
    </row>
    <row r="29">
      <c r="A29" s="405" t="s">
        <v>637</v>
      </c>
      <c r="B29" s="406">
        <f>1578+1433.57</f>
        <v>3011.57</v>
      </c>
      <c r="C29" s="407"/>
      <c r="D29" s="407"/>
      <c r="E29" s="407"/>
      <c r="O29" s="79"/>
      <c r="S29" s="79"/>
      <c r="T29" s="79"/>
      <c r="Y29" s="79"/>
      <c r="AC29" s="130"/>
      <c r="AE29" s="106"/>
    </row>
    <row r="30">
      <c r="A30" s="316" t="s">
        <v>612</v>
      </c>
      <c r="B30" s="408">
        <f>582.82-291.41</f>
        <v>291.41</v>
      </c>
      <c r="C30" s="409"/>
      <c r="D30" s="409"/>
      <c r="E30" s="409"/>
      <c r="J30" s="389"/>
      <c r="O30" s="79"/>
      <c r="S30" s="79"/>
      <c r="T30" s="79"/>
      <c r="Y30" s="79"/>
      <c r="AC30" s="130"/>
      <c r="AE30" s="106"/>
    </row>
    <row r="31">
      <c r="A31" s="410" t="s">
        <v>638</v>
      </c>
      <c r="B31" s="411">
        <f>+588+203.7</f>
        <v>791.7</v>
      </c>
      <c r="C31" s="412"/>
      <c r="D31" s="412"/>
      <c r="E31" s="412"/>
      <c r="O31" s="79"/>
      <c r="S31" s="79"/>
      <c r="T31" s="79"/>
      <c r="Y31" s="79"/>
      <c r="AC31" s="130"/>
      <c r="AE31" s="106"/>
    </row>
    <row r="32">
      <c r="A32" s="298" t="s">
        <v>620</v>
      </c>
      <c r="B32" s="416">
        <v>1219.9</v>
      </c>
      <c r="C32" s="417"/>
      <c r="D32" s="417"/>
      <c r="E32" s="417"/>
      <c r="O32" s="79"/>
      <c r="S32" s="79"/>
      <c r="T32" s="79"/>
      <c r="Y32" s="79"/>
      <c r="AC32" s="130"/>
      <c r="AE32" s="106"/>
    </row>
    <row r="33">
      <c r="A33" s="173" t="s">
        <v>639</v>
      </c>
      <c r="B33" s="344">
        <f>590+78</f>
        <v>668</v>
      </c>
      <c r="C33" s="241"/>
      <c r="D33" s="241"/>
      <c r="E33" s="241"/>
      <c r="O33" s="79"/>
      <c r="S33" s="79"/>
      <c r="T33" s="79"/>
      <c r="Y33" s="79"/>
      <c r="AC33" s="130"/>
      <c r="AE33" s="106"/>
    </row>
    <row r="34">
      <c r="A34" s="173" t="s">
        <v>640</v>
      </c>
      <c r="B34" s="344">
        <v>264.47</v>
      </c>
      <c r="C34" s="241"/>
      <c r="D34" s="241"/>
      <c r="E34" s="241"/>
      <c r="O34" s="79"/>
      <c r="S34" s="79"/>
      <c r="T34" s="79"/>
      <c r="Y34" s="79"/>
      <c r="AC34" s="130"/>
      <c r="AE34" s="106"/>
    </row>
    <row r="35">
      <c r="A35" s="173" t="s">
        <v>641</v>
      </c>
      <c r="B35" s="344">
        <f>297+284.9</f>
        <v>581.9</v>
      </c>
      <c r="C35" s="241"/>
      <c r="D35" s="241"/>
      <c r="E35" s="241"/>
      <c r="O35" s="79"/>
      <c r="S35" s="79"/>
      <c r="T35" s="79"/>
      <c r="Y35" s="79"/>
      <c r="AC35" s="130"/>
      <c r="AE35" s="106"/>
    </row>
    <row r="36">
      <c r="A36" s="173" t="s">
        <v>642</v>
      </c>
      <c r="B36" s="344">
        <v>286.4</v>
      </c>
      <c r="C36" s="241"/>
      <c r="D36" s="241"/>
      <c r="E36" s="241"/>
      <c r="O36" s="79"/>
      <c r="S36" s="79"/>
      <c r="T36" s="79"/>
      <c r="Y36" s="79"/>
      <c r="AC36" s="130"/>
      <c r="AE36" s="106"/>
    </row>
    <row r="37">
      <c r="A37" s="173" t="s">
        <v>643</v>
      </c>
      <c r="B37" s="344">
        <v>252.0</v>
      </c>
      <c r="C37" s="241"/>
      <c r="D37" s="241"/>
      <c r="E37" s="241"/>
      <c r="O37" s="79"/>
      <c r="S37" s="79"/>
      <c r="T37" s="79"/>
      <c r="Y37" s="79"/>
      <c r="AC37" s="130"/>
      <c r="AE37" s="106"/>
    </row>
    <row r="38">
      <c r="C38" s="79"/>
      <c r="D38" s="79"/>
      <c r="E38" s="79"/>
      <c r="O38" s="79"/>
      <c r="S38" s="79"/>
      <c r="T38" s="79"/>
      <c r="Y38" s="79"/>
      <c r="AC38" s="130"/>
      <c r="AE38" s="106"/>
    </row>
    <row r="39">
      <c r="A39" s="274"/>
      <c r="B39" s="275" t="s">
        <v>315</v>
      </c>
      <c r="F39" s="274"/>
      <c r="G39" s="274"/>
      <c r="H39" s="274"/>
      <c r="I39" s="274"/>
      <c r="J39" s="274"/>
      <c r="K39" s="274"/>
      <c r="L39" s="274"/>
      <c r="M39" s="274"/>
      <c r="N39" s="274"/>
      <c r="O39" s="274"/>
      <c r="P39" s="274"/>
      <c r="Q39" s="274"/>
      <c r="R39" s="274"/>
      <c r="S39" s="274"/>
      <c r="T39" s="274"/>
      <c r="U39" s="274"/>
      <c r="V39" s="274"/>
      <c r="W39" s="274"/>
      <c r="X39" s="274"/>
      <c r="Y39" s="274"/>
      <c r="Z39" s="274"/>
      <c r="AA39" s="274"/>
      <c r="AB39" s="274"/>
      <c r="AC39" s="276"/>
      <c r="AD39" s="274"/>
      <c r="AE39" s="277"/>
      <c r="AF39" s="274"/>
      <c r="AG39" s="274"/>
      <c r="AH39" s="274"/>
    </row>
    <row r="40">
      <c r="A40" s="16" t="s">
        <v>316</v>
      </c>
      <c r="B40" s="17"/>
      <c r="C40" s="114"/>
      <c r="D40" s="114"/>
      <c r="E40" s="115"/>
      <c r="O40" s="79"/>
      <c r="S40" s="79"/>
      <c r="T40" s="79"/>
      <c r="Y40" s="79"/>
      <c r="AC40" s="130"/>
      <c r="AE40" s="106"/>
    </row>
    <row r="41">
      <c r="A41" s="19" t="s">
        <v>317</v>
      </c>
      <c r="B41" s="20"/>
      <c r="C41" s="116"/>
      <c r="D41" s="116"/>
      <c r="E41" s="117"/>
      <c r="O41" s="79"/>
      <c r="S41" s="79"/>
      <c r="T41" s="79"/>
      <c r="Y41" s="79"/>
      <c r="AC41" s="130"/>
      <c r="AE41" s="106"/>
    </row>
    <row r="42">
      <c r="A42" s="278" t="s">
        <v>318</v>
      </c>
      <c r="B42" s="279" t="s">
        <v>319</v>
      </c>
      <c r="C42" s="280" t="s">
        <v>285</v>
      </c>
      <c r="D42" s="280" t="s">
        <v>30</v>
      </c>
      <c r="E42" s="281" t="s">
        <v>320</v>
      </c>
      <c r="F42" s="281" t="s">
        <v>321</v>
      </c>
      <c r="O42" s="79"/>
      <c r="S42" s="79"/>
      <c r="T42" s="79"/>
      <c r="Y42" s="79"/>
      <c r="AC42" s="130"/>
      <c r="AE42" s="106"/>
    </row>
    <row r="43" hidden="1">
      <c r="A43" s="304" t="s">
        <v>432</v>
      </c>
      <c r="B43" s="305">
        <v>45461.0</v>
      </c>
      <c r="C43" s="234" t="s">
        <v>325</v>
      </c>
      <c r="D43" s="178">
        <v>1211.18</v>
      </c>
      <c r="E43" s="308">
        <v>45489.0</v>
      </c>
      <c r="F43" s="307">
        <f t="shared" ref="F43:F44" si="6">D43/2</f>
        <v>605.59</v>
      </c>
      <c r="O43" s="79"/>
      <c r="S43" s="79"/>
      <c r="T43" s="79"/>
      <c r="Y43" s="79"/>
      <c r="AC43" s="130"/>
      <c r="AE43" s="106"/>
    </row>
    <row r="44">
      <c r="A44" s="418" t="s">
        <v>621</v>
      </c>
      <c r="B44" s="419">
        <v>45468.0</v>
      </c>
      <c r="C44" s="420" t="s">
        <v>325</v>
      </c>
      <c r="D44" s="421">
        <v>1263.05</v>
      </c>
      <c r="E44" s="422">
        <v>45496.0</v>
      </c>
      <c r="F44" s="423">
        <f t="shared" si="6"/>
        <v>631.525</v>
      </c>
      <c r="O44" s="79"/>
      <c r="S44" s="79"/>
      <c r="T44" s="79"/>
      <c r="Y44" s="79"/>
      <c r="AC44" s="130"/>
      <c r="AE44" s="106"/>
    </row>
    <row r="45">
      <c r="A45" s="304" t="s">
        <v>458</v>
      </c>
      <c r="B45" s="305">
        <v>45475.0</v>
      </c>
      <c r="C45" s="234" t="s">
        <v>325</v>
      </c>
      <c r="D45" s="178">
        <v>1249.27</v>
      </c>
      <c r="E45" s="308">
        <v>45503.0</v>
      </c>
      <c r="F45" s="235"/>
      <c r="O45" s="79"/>
      <c r="S45" s="79"/>
      <c r="T45" s="79"/>
      <c r="Y45" s="79"/>
      <c r="AC45" s="130"/>
      <c r="AE45" s="106"/>
    </row>
    <row r="46">
      <c r="A46" s="304" t="s">
        <v>472</v>
      </c>
      <c r="B46" s="305">
        <v>45482.0</v>
      </c>
      <c r="C46" s="234" t="s">
        <v>325</v>
      </c>
      <c r="D46" s="178">
        <v>1248.68</v>
      </c>
      <c r="E46" s="308">
        <v>45510.0</v>
      </c>
      <c r="F46" s="235"/>
      <c r="O46" s="79"/>
      <c r="S46" s="79"/>
      <c r="T46" s="79"/>
      <c r="Y46" s="79"/>
      <c r="AC46" s="130"/>
      <c r="AE46" s="106"/>
    </row>
    <row r="47">
      <c r="A47" s="304" t="s">
        <v>495</v>
      </c>
      <c r="B47" s="305">
        <v>45489.0</v>
      </c>
      <c r="C47" s="234" t="s">
        <v>325</v>
      </c>
      <c r="D47" s="178">
        <v>1228.43</v>
      </c>
      <c r="E47" s="308"/>
      <c r="F47" s="235"/>
      <c r="O47" s="79"/>
      <c r="S47" s="79"/>
      <c r="T47" s="79"/>
      <c r="Y47" s="79"/>
      <c r="AC47" s="130"/>
      <c r="AE47" s="106"/>
    </row>
    <row r="48">
      <c r="A48" s="304" t="s">
        <v>510</v>
      </c>
      <c r="B48" s="305">
        <v>45496.0</v>
      </c>
      <c r="C48" s="234" t="s">
        <v>325</v>
      </c>
      <c r="D48" s="178">
        <v>1194.77</v>
      </c>
      <c r="E48" s="308"/>
      <c r="F48" s="235"/>
      <c r="O48" s="79"/>
      <c r="S48" s="79"/>
      <c r="T48" s="79"/>
      <c r="Y48" s="79"/>
      <c r="AC48" s="130"/>
      <c r="AE48" s="106"/>
    </row>
    <row r="49">
      <c r="A49" s="304" t="s">
        <v>530</v>
      </c>
      <c r="B49" s="305">
        <v>45503.0</v>
      </c>
      <c r="C49" s="234" t="s">
        <v>325</v>
      </c>
      <c r="D49" s="178">
        <v>1211.18</v>
      </c>
      <c r="E49" s="308"/>
      <c r="F49" s="235"/>
      <c r="O49" s="79"/>
      <c r="S49" s="79"/>
      <c r="T49" s="79"/>
      <c r="Y49" s="79"/>
      <c r="AC49" s="130"/>
      <c r="AE49" s="106"/>
    </row>
    <row r="50">
      <c r="A50" s="304" t="s">
        <v>553</v>
      </c>
      <c r="B50" s="305">
        <v>45510.0</v>
      </c>
      <c r="C50" s="234" t="s">
        <v>325</v>
      </c>
      <c r="D50" s="178">
        <v>1409.57</v>
      </c>
      <c r="E50" s="308"/>
      <c r="F50" s="235"/>
      <c r="O50" s="79"/>
      <c r="S50" s="79"/>
      <c r="T50" s="79"/>
      <c r="Y50" s="79"/>
      <c r="AC50" s="130"/>
      <c r="AE50" s="106"/>
    </row>
    <row r="51">
      <c r="A51" s="304" t="s">
        <v>578</v>
      </c>
      <c r="B51" s="305">
        <v>45517.0</v>
      </c>
      <c r="C51" s="234" t="s">
        <v>325</v>
      </c>
      <c r="D51" s="178">
        <v>1391.12</v>
      </c>
      <c r="E51" s="308"/>
      <c r="F51" s="235"/>
      <c r="O51" s="79"/>
      <c r="S51" s="79"/>
      <c r="T51" s="79"/>
      <c r="Y51" s="79"/>
      <c r="AC51" s="130"/>
      <c r="AE51" s="106"/>
    </row>
    <row r="52">
      <c r="A52" s="304" t="s">
        <v>597</v>
      </c>
      <c r="B52" s="305">
        <v>45525.0</v>
      </c>
      <c r="C52" s="234" t="s">
        <v>325</v>
      </c>
      <c r="D52" s="178">
        <v>1420.83</v>
      </c>
      <c r="E52" s="308"/>
      <c r="F52" s="235"/>
      <c r="O52" s="79"/>
      <c r="S52" s="79"/>
      <c r="T52" s="79"/>
      <c r="Y52" s="79"/>
      <c r="AC52" s="130"/>
      <c r="AE52" s="106"/>
    </row>
    <row r="53">
      <c r="A53" s="304" t="s">
        <v>622</v>
      </c>
      <c r="B53" s="305">
        <v>45533.0</v>
      </c>
      <c r="C53" s="234" t="s">
        <v>325</v>
      </c>
      <c r="D53" s="178">
        <v>1404.36</v>
      </c>
      <c r="E53" s="308"/>
      <c r="F53" s="235"/>
      <c r="O53" s="79"/>
      <c r="S53" s="79"/>
      <c r="T53" s="79"/>
      <c r="Y53" s="79"/>
      <c r="AC53" s="130"/>
      <c r="AE53" s="106"/>
    </row>
    <row r="54">
      <c r="A54" s="424" t="s">
        <v>644</v>
      </c>
      <c r="B54" s="425">
        <v>45540.0</v>
      </c>
      <c r="C54" s="397" t="s">
        <v>325</v>
      </c>
      <c r="D54" s="426">
        <v>1415.74</v>
      </c>
      <c r="E54" s="308"/>
      <c r="F54" s="235"/>
      <c r="O54" s="79"/>
      <c r="S54" s="79"/>
      <c r="T54" s="79"/>
      <c r="Y54" s="79"/>
      <c r="AC54" s="130"/>
      <c r="AE54" s="106"/>
    </row>
    <row r="55">
      <c r="A55" s="282" t="s">
        <v>435</v>
      </c>
      <c r="B55" s="283">
        <v>45461.0</v>
      </c>
      <c r="C55" s="166" t="s">
        <v>379</v>
      </c>
      <c r="D55" s="93">
        <v>1455.7</v>
      </c>
      <c r="E55" s="337">
        <v>45496.0</v>
      </c>
      <c r="F55" s="6"/>
      <c r="O55" s="79"/>
      <c r="S55" s="79"/>
      <c r="T55" s="79"/>
      <c r="Y55" s="79"/>
      <c r="AC55" s="130"/>
      <c r="AE55" s="106"/>
    </row>
    <row r="56">
      <c r="A56" s="282" t="s">
        <v>483</v>
      </c>
      <c r="B56" s="283">
        <v>45482.0</v>
      </c>
      <c r="C56" s="166" t="s">
        <v>482</v>
      </c>
      <c r="D56" s="93">
        <v>463.6</v>
      </c>
      <c r="E56" s="291"/>
      <c r="F56" s="6"/>
      <c r="O56" s="79"/>
      <c r="S56" s="79"/>
      <c r="T56" s="79"/>
      <c r="Y56" s="79"/>
      <c r="AC56" s="130"/>
      <c r="AE56" s="106"/>
    </row>
    <row r="57">
      <c r="A57" s="282" t="s">
        <v>537</v>
      </c>
      <c r="B57" s="283">
        <v>45506.0</v>
      </c>
      <c r="C57" s="166" t="s">
        <v>538</v>
      </c>
      <c r="D57" s="93">
        <v>1662.01</v>
      </c>
      <c r="E57" s="291"/>
      <c r="F57" s="6"/>
      <c r="O57" s="79"/>
      <c r="S57" s="79"/>
      <c r="T57" s="79"/>
      <c r="Y57" s="79"/>
      <c r="AC57" s="130"/>
      <c r="AE57" s="106"/>
    </row>
    <row r="58">
      <c r="A58" s="282" t="s">
        <v>580</v>
      </c>
      <c r="B58" s="283">
        <v>45517.0</v>
      </c>
      <c r="C58" s="166" t="s">
        <v>229</v>
      </c>
      <c r="D58" s="93">
        <v>795.2</v>
      </c>
      <c r="E58" s="291"/>
      <c r="F58" s="6"/>
      <c r="O58" s="79"/>
      <c r="S58" s="79"/>
      <c r="T58" s="79"/>
      <c r="Y58" s="79"/>
      <c r="AC58" s="130"/>
      <c r="AE58" s="106"/>
    </row>
    <row r="59">
      <c r="A59" s="282" t="s">
        <v>598</v>
      </c>
      <c r="B59" s="283">
        <v>45526.0</v>
      </c>
      <c r="C59" s="166" t="s">
        <v>37</v>
      </c>
      <c r="D59" s="93">
        <v>375.0</v>
      </c>
      <c r="E59" s="291"/>
      <c r="F59" s="6"/>
      <c r="O59" s="79"/>
      <c r="S59" s="79"/>
      <c r="T59" s="79"/>
      <c r="Y59" s="79"/>
      <c r="AC59" s="130"/>
      <c r="AE59" s="106"/>
    </row>
    <row r="60">
      <c r="A60" s="282" t="s">
        <v>599</v>
      </c>
      <c r="B60" s="283">
        <v>45525.0</v>
      </c>
      <c r="C60" s="166" t="s">
        <v>600</v>
      </c>
      <c r="D60" s="93">
        <v>268.0</v>
      </c>
      <c r="E60" s="291"/>
      <c r="F60" s="6"/>
      <c r="O60" s="79"/>
      <c r="S60" s="79"/>
      <c r="T60" s="79"/>
      <c r="Y60" s="79"/>
      <c r="AC60" s="130"/>
      <c r="AE60" s="106"/>
    </row>
    <row r="61">
      <c r="A61" s="282" t="s">
        <v>601</v>
      </c>
      <c r="B61" s="283">
        <v>45527.0</v>
      </c>
      <c r="C61" s="166" t="s">
        <v>602</v>
      </c>
      <c r="D61" s="93">
        <f>76.16+183.26</f>
        <v>259.42</v>
      </c>
      <c r="E61" s="291"/>
      <c r="F61" s="6"/>
      <c r="O61" s="79"/>
      <c r="S61" s="79"/>
      <c r="T61" s="79"/>
      <c r="Y61" s="79"/>
      <c r="AC61" s="130"/>
      <c r="AE61" s="106"/>
    </row>
    <row r="62">
      <c r="A62" s="282" t="s">
        <v>603</v>
      </c>
      <c r="B62" s="283">
        <v>45527.0</v>
      </c>
      <c r="C62" s="166" t="s">
        <v>604</v>
      </c>
      <c r="D62" s="93">
        <v>247.83</v>
      </c>
      <c r="E62" s="291"/>
      <c r="F62" s="6"/>
      <c r="O62" s="79"/>
      <c r="S62" s="79"/>
      <c r="T62" s="79"/>
      <c r="Y62" s="79"/>
      <c r="AC62" s="130"/>
      <c r="AE62" s="106"/>
    </row>
    <row r="63">
      <c r="A63" s="282" t="s">
        <v>605</v>
      </c>
      <c r="B63" s="283">
        <v>45527.0</v>
      </c>
      <c r="C63" s="166" t="s">
        <v>233</v>
      </c>
      <c r="D63" s="93">
        <v>284.9</v>
      </c>
      <c r="E63" s="291"/>
      <c r="F63" s="6"/>
      <c r="O63" s="79"/>
      <c r="S63" s="79"/>
      <c r="T63" s="79"/>
      <c r="Y63" s="79"/>
      <c r="AC63" s="130"/>
      <c r="AE63" s="106"/>
    </row>
    <row r="64">
      <c r="A64" s="282" t="s">
        <v>606</v>
      </c>
      <c r="B64" s="283">
        <v>45524.0</v>
      </c>
      <c r="C64" s="166" t="s">
        <v>536</v>
      </c>
      <c r="D64" s="93">
        <v>1160.0</v>
      </c>
      <c r="E64" s="291"/>
      <c r="F64" s="6"/>
      <c r="O64" s="79"/>
      <c r="S64" s="79"/>
      <c r="T64" s="79"/>
      <c r="Y64" s="79"/>
      <c r="AC64" s="130"/>
      <c r="AE64" s="106"/>
    </row>
    <row r="65">
      <c r="A65" s="282" t="s">
        <v>610</v>
      </c>
      <c r="B65" s="283">
        <v>45525.0</v>
      </c>
      <c r="C65" s="166" t="s">
        <v>355</v>
      </c>
      <c r="D65" s="93">
        <f>558.9-15</f>
        <v>543.9</v>
      </c>
      <c r="E65" s="291"/>
      <c r="F65" s="6"/>
      <c r="O65" s="79"/>
      <c r="S65" s="79"/>
      <c r="T65" s="79"/>
      <c r="Y65" s="79"/>
      <c r="AC65" s="130"/>
      <c r="AE65" s="106"/>
    </row>
    <row r="66">
      <c r="A66" s="282" t="s">
        <v>645</v>
      </c>
      <c r="B66" s="283">
        <v>45528.0</v>
      </c>
      <c r="C66" s="166" t="s">
        <v>624</v>
      </c>
      <c r="D66" s="93">
        <v>190.0</v>
      </c>
      <c r="E66" s="291"/>
      <c r="F66" s="6"/>
      <c r="O66" s="79"/>
      <c r="S66" s="79"/>
      <c r="T66" s="79"/>
      <c r="Y66" s="79"/>
      <c r="AC66" s="130"/>
      <c r="AE66" s="106"/>
    </row>
    <row r="67">
      <c r="A67" s="282" t="s">
        <v>646</v>
      </c>
      <c r="B67" s="283">
        <v>45539.0</v>
      </c>
      <c r="C67" s="166" t="s">
        <v>355</v>
      </c>
      <c r="D67" s="93">
        <f>264.47-15</f>
        <v>249.47</v>
      </c>
      <c r="E67" s="291"/>
      <c r="F67" s="6"/>
      <c r="O67" s="79"/>
      <c r="S67" s="79"/>
      <c r="T67" s="79"/>
      <c r="Y67" s="79"/>
      <c r="AC67" s="130"/>
      <c r="AE67" s="106"/>
    </row>
    <row r="68">
      <c r="A68" s="282" t="s">
        <v>647</v>
      </c>
      <c r="B68" s="283">
        <v>45540.0</v>
      </c>
      <c r="C68" s="166" t="s">
        <v>600</v>
      </c>
      <c r="D68" s="93">
        <v>286.4</v>
      </c>
      <c r="E68" s="291"/>
      <c r="F68" s="6"/>
      <c r="O68" s="79"/>
      <c r="S68" s="79"/>
      <c r="T68" s="79"/>
      <c r="Y68" s="79"/>
      <c r="AC68" s="130"/>
      <c r="AE68" s="106"/>
    </row>
    <row r="69">
      <c r="A69" s="282" t="s">
        <v>648</v>
      </c>
      <c r="B69" s="283">
        <v>45540.0</v>
      </c>
      <c r="C69" s="166" t="s">
        <v>164</v>
      </c>
      <c r="D69" s="93">
        <v>237.0</v>
      </c>
      <c r="E69" s="291"/>
      <c r="F69" s="6"/>
      <c r="O69" s="79"/>
      <c r="S69" s="79"/>
      <c r="T69" s="79"/>
      <c r="Y69" s="79"/>
      <c r="AC69" s="130"/>
      <c r="AE69" s="106"/>
    </row>
    <row r="70">
      <c r="A70" s="282" t="s">
        <v>649</v>
      </c>
      <c r="B70" s="283">
        <v>45540.0</v>
      </c>
      <c r="C70" s="166" t="s">
        <v>650</v>
      </c>
      <c r="D70" s="93">
        <v>668.0</v>
      </c>
      <c r="E70" s="291"/>
      <c r="F70" s="6"/>
      <c r="O70" s="79"/>
      <c r="S70" s="79"/>
      <c r="T70" s="79"/>
      <c r="Y70" s="79"/>
      <c r="AC70" s="130"/>
      <c r="AE70" s="106"/>
    </row>
    <row r="71">
      <c r="A71" s="282" t="s">
        <v>651</v>
      </c>
      <c r="B71" s="283">
        <v>45541.0</v>
      </c>
      <c r="C71" s="166" t="s">
        <v>652</v>
      </c>
      <c r="D71" s="93">
        <v>359.29</v>
      </c>
      <c r="E71" s="291" t="s">
        <v>653</v>
      </c>
      <c r="F71" s="6"/>
      <c r="O71" s="79"/>
      <c r="S71" s="79"/>
      <c r="T71" s="79"/>
      <c r="Y71" s="79"/>
      <c r="AC71" s="130"/>
      <c r="AE71" s="106"/>
    </row>
    <row r="72">
      <c r="A72" s="282" t="s">
        <v>654</v>
      </c>
      <c r="B72" s="283">
        <v>45528.0</v>
      </c>
      <c r="C72" s="166" t="s">
        <v>655</v>
      </c>
      <c r="D72" s="93">
        <v>370.0</v>
      </c>
      <c r="E72" s="291"/>
      <c r="F72" s="6"/>
      <c r="O72" s="79"/>
      <c r="S72" s="79"/>
      <c r="T72" s="79"/>
      <c r="Y72" s="79"/>
      <c r="AC72" s="130"/>
      <c r="AE72" s="106"/>
    </row>
    <row r="73">
      <c r="A73" s="282"/>
      <c r="B73" s="283"/>
      <c r="C73" s="166"/>
      <c r="D73" s="93"/>
      <c r="E73" s="291"/>
      <c r="F73" s="6"/>
      <c r="O73" s="79"/>
      <c r="S73" s="79"/>
      <c r="T73" s="79"/>
      <c r="Y73" s="79"/>
      <c r="AC73" s="130"/>
      <c r="AE73" s="106"/>
    </row>
    <row r="74">
      <c r="A74" s="282"/>
      <c r="B74" s="283"/>
      <c r="C74" s="166"/>
      <c r="D74" s="93"/>
      <c r="E74" s="291"/>
      <c r="F74" s="6"/>
      <c r="O74" s="79"/>
      <c r="S74" s="79"/>
      <c r="T74" s="79"/>
      <c r="Y74" s="79"/>
      <c r="AC74" s="130"/>
      <c r="AE74" s="106"/>
    </row>
    <row r="75">
      <c r="A75" s="282"/>
      <c r="B75" s="283"/>
      <c r="C75" s="166"/>
      <c r="D75" s="93"/>
      <c r="E75" s="291"/>
      <c r="F75" s="6"/>
      <c r="O75" s="79"/>
      <c r="S75" s="79"/>
      <c r="T75" s="79"/>
      <c r="Y75" s="79"/>
      <c r="AC75" s="130"/>
      <c r="AE75" s="106"/>
    </row>
    <row r="76">
      <c r="A76" s="282"/>
      <c r="B76" s="283"/>
      <c r="C76" s="166"/>
      <c r="D76" s="93"/>
      <c r="E76" s="291"/>
      <c r="F76" s="6"/>
      <c r="O76" s="79"/>
      <c r="S76" s="79"/>
      <c r="T76" s="79"/>
      <c r="Y76" s="79"/>
      <c r="AC76" s="130"/>
      <c r="AE76" s="106"/>
    </row>
    <row r="77">
      <c r="A77" s="282"/>
      <c r="B77" s="283"/>
      <c r="C77" s="166"/>
      <c r="D77" s="93"/>
      <c r="E77" s="291"/>
      <c r="F77" s="6"/>
      <c r="O77" s="79"/>
      <c r="S77" s="79"/>
      <c r="T77" s="79"/>
      <c r="Y77" s="79"/>
      <c r="AC77" s="130"/>
      <c r="AE77" s="106"/>
    </row>
    <row r="78">
      <c r="A78" s="282"/>
      <c r="B78" s="283"/>
      <c r="C78" s="166"/>
      <c r="D78" s="93"/>
      <c r="E78" s="291"/>
      <c r="F78" s="6"/>
      <c r="O78" s="79"/>
      <c r="S78" s="79"/>
      <c r="T78" s="79"/>
      <c r="Y78" s="79"/>
      <c r="AC78" s="130"/>
      <c r="AE78" s="106"/>
    </row>
    <row r="79">
      <c r="A79" s="282"/>
      <c r="B79" s="283"/>
      <c r="C79" s="166"/>
      <c r="D79" s="93"/>
      <c r="E79" s="291"/>
      <c r="F79" s="6"/>
      <c r="O79" s="79"/>
      <c r="S79" s="79"/>
      <c r="T79" s="79"/>
      <c r="Y79" s="79"/>
      <c r="AC79" s="130"/>
      <c r="AE79" s="106"/>
    </row>
    <row r="80">
      <c r="A80" s="282"/>
      <c r="B80" s="283"/>
      <c r="C80" s="166"/>
      <c r="D80" s="93"/>
      <c r="E80" s="291"/>
      <c r="F80" s="6"/>
      <c r="O80" s="79"/>
      <c r="S80" s="79"/>
      <c r="T80" s="79"/>
      <c r="Y80" s="79"/>
      <c r="AC80" s="130"/>
      <c r="AE80" s="106"/>
    </row>
    <row r="81">
      <c r="A81" s="282"/>
      <c r="B81" s="283"/>
      <c r="C81" s="166"/>
      <c r="D81" s="93"/>
      <c r="E81" s="291"/>
      <c r="F81" s="6"/>
      <c r="O81" s="79"/>
      <c r="S81" s="79"/>
      <c r="T81" s="79"/>
      <c r="Y81" s="79"/>
      <c r="AC81" s="130"/>
      <c r="AE81" s="106"/>
    </row>
    <row r="82">
      <c r="A82" s="282"/>
      <c r="B82" s="283"/>
      <c r="C82" s="166"/>
      <c r="D82" s="93"/>
      <c r="E82" s="291"/>
      <c r="F82" s="6"/>
      <c r="O82" s="79"/>
      <c r="S82" s="79"/>
      <c r="T82" s="79"/>
      <c r="Y82" s="79"/>
      <c r="AC82" s="130"/>
      <c r="AE82" s="106"/>
    </row>
    <row r="83">
      <c r="C83" s="79"/>
      <c r="D83" s="79"/>
      <c r="E83" s="79"/>
      <c r="O83" s="79"/>
      <c r="S83" s="79"/>
      <c r="T83" s="79"/>
      <c r="Y83" s="79"/>
      <c r="AC83" s="130"/>
      <c r="AE83" s="106"/>
    </row>
    <row r="84">
      <c r="C84" s="79"/>
      <c r="D84" s="79"/>
      <c r="E84" s="79"/>
      <c r="O84" s="79"/>
      <c r="S84" s="79"/>
      <c r="T84" s="79"/>
      <c r="Y84" s="79"/>
      <c r="AC84" s="130"/>
      <c r="AE84" s="106"/>
    </row>
    <row r="85">
      <c r="C85" s="79"/>
      <c r="D85" s="79"/>
      <c r="E85" s="79"/>
      <c r="O85" s="79"/>
      <c r="S85" s="79"/>
      <c r="T85" s="79"/>
      <c r="Y85" s="79"/>
      <c r="AC85" s="130"/>
      <c r="AE85" s="106"/>
    </row>
    <row r="86">
      <c r="C86" s="79"/>
      <c r="D86" s="79"/>
      <c r="E86" s="79"/>
      <c r="O86" s="79"/>
      <c r="S86" s="79"/>
      <c r="T86" s="79"/>
      <c r="Y86" s="79"/>
      <c r="AC86" s="130"/>
      <c r="AE86" s="106"/>
    </row>
    <row r="87">
      <c r="C87" s="79"/>
      <c r="D87" s="79"/>
      <c r="E87" s="79"/>
      <c r="O87" s="79"/>
      <c r="S87" s="79"/>
      <c r="T87" s="79"/>
      <c r="Y87" s="79"/>
      <c r="AC87" s="130"/>
      <c r="AE87" s="106"/>
    </row>
    <row r="88">
      <c r="C88" s="79"/>
      <c r="D88" s="79"/>
      <c r="E88" s="79"/>
      <c r="O88" s="79"/>
      <c r="S88" s="79"/>
      <c r="T88" s="79"/>
      <c r="Y88" s="79"/>
      <c r="AC88" s="130"/>
      <c r="AE88" s="106"/>
    </row>
    <row r="89">
      <c r="C89" s="79"/>
      <c r="D89" s="79"/>
      <c r="E89" s="79"/>
      <c r="O89" s="79"/>
      <c r="S89" s="79"/>
      <c r="T89" s="79"/>
      <c r="Y89" s="79"/>
      <c r="AC89" s="130"/>
      <c r="AE89" s="106"/>
    </row>
    <row r="90">
      <c r="C90" s="79"/>
      <c r="D90" s="79"/>
      <c r="E90" s="79"/>
      <c r="O90" s="79"/>
      <c r="S90" s="79"/>
      <c r="T90" s="79"/>
      <c r="Y90" s="79"/>
      <c r="AC90" s="130"/>
      <c r="AE90" s="106"/>
    </row>
    <row r="91">
      <c r="C91" s="79"/>
      <c r="D91" s="79"/>
      <c r="E91" s="79"/>
      <c r="O91" s="79"/>
      <c r="S91" s="79"/>
      <c r="T91" s="79"/>
      <c r="Y91" s="79"/>
      <c r="AC91" s="130"/>
      <c r="AE91" s="106"/>
    </row>
    <row r="92">
      <c r="C92" s="79"/>
      <c r="D92" s="79"/>
      <c r="E92" s="79"/>
      <c r="O92" s="79"/>
      <c r="S92" s="79"/>
      <c r="T92" s="79"/>
      <c r="Y92" s="79"/>
      <c r="AC92" s="130"/>
      <c r="AE92" s="106"/>
    </row>
    <row r="93">
      <c r="C93" s="79"/>
      <c r="D93" s="79"/>
      <c r="E93" s="79"/>
      <c r="O93" s="79"/>
      <c r="S93" s="79"/>
      <c r="T93" s="79"/>
      <c r="Y93" s="79"/>
      <c r="AC93" s="130"/>
      <c r="AE93" s="106"/>
    </row>
    <row r="94">
      <c r="C94" s="79"/>
      <c r="D94" s="79"/>
      <c r="E94" s="79"/>
      <c r="O94" s="79"/>
      <c r="S94" s="79"/>
      <c r="T94" s="79"/>
      <c r="Y94" s="79"/>
      <c r="AC94" s="130"/>
      <c r="AE94" s="106"/>
    </row>
    <row r="95">
      <c r="C95" s="79"/>
      <c r="D95" s="79"/>
      <c r="E95" s="79"/>
      <c r="O95" s="79"/>
      <c r="S95" s="79"/>
      <c r="T95" s="79"/>
      <c r="Y95" s="79"/>
      <c r="AC95" s="130"/>
      <c r="AE95" s="106"/>
    </row>
    <row r="96">
      <c r="C96" s="79"/>
      <c r="D96" s="79"/>
      <c r="E96" s="79"/>
      <c r="O96" s="79"/>
      <c r="S96" s="79"/>
      <c r="T96" s="79"/>
      <c r="Y96" s="79"/>
      <c r="AC96" s="130"/>
      <c r="AE96" s="106"/>
    </row>
    <row r="97">
      <c r="C97" s="79"/>
      <c r="D97" s="79"/>
      <c r="E97" s="79"/>
      <c r="O97" s="79"/>
      <c r="S97" s="79"/>
      <c r="T97" s="79"/>
      <c r="Y97" s="79"/>
      <c r="AC97" s="130"/>
      <c r="AE97" s="106"/>
    </row>
    <row r="98">
      <c r="C98" s="79"/>
      <c r="D98" s="79"/>
      <c r="E98" s="79"/>
      <c r="O98" s="79"/>
      <c r="S98" s="79"/>
      <c r="T98" s="79"/>
      <c r="Y98" s="79"/>
      <c r="AC98" s="130"/>
      <c r="AE98" s="106"/>
    </row>
    <row r="99">
      <c r="C99" s="79"/>
      <c r="D99" s="79"/>
      <c r="E99" s="79"/>
      <c r="O99" s="79"/>
      <c r="S99" s="79"/>
      <c r="T99" s="79"/>
      <c r="Y99" s="79"/>
      <c r="AC99" s="130"/>
      <c r="AE99" s="106"/>
    </row>
    <row r="100">
      <c r="C100" s="79"/>
      <c r="D100" s="79"/>
      <c r="E100" s="79"/>
      <c r="O100" s="79"/>
      <c r="S100" s="79"/>
      <c r="T100" s="79"/>
      <c r="Y100" s="79"/>
      <c r="AC100" s="130"/>
      <c r="AE100" s="106"/>
    </row>
    <row r="101">
      <c r="C101" s="79"/>
      <c r="D101" s="79"/>
      <c r="E101" s="79"/>
      <c r="O101" s="79"/>
      <c r="S101" s="79"/>
      <c r="T101" s="79"/>
      <c r="Y101" s="79"/>
      <c r="AC101" s="130"/>
      <c r="AE101" s="106"/>
    </row>
    <row r="102">
      <c r="C102" s="79"/>
      <c r="D102" s="79"/>
      <c r="E102" s="79"/>
      <c r="O102" s="79"/>
      <c r="S102" s="79"/>
      <c r="T102" s="79"/>
      <c r="Y102" s="79"/>
      <c r="AC102" s="130"/>
      <c r="AE102" s="106"/>
    </row>
    <row r="103">
      <c r="C103" s="79"/>
      <c r="D103" s="79"/>
      <c r="E103" s="79"/>
      <c r="O103" s="79"/>
      <c r="S103" s="79"/>
      <c r="T103" s="79"/>
      <c r="Y103" s="79"/>
      <c r="AC103" s="130"/>
      <c r="AE103" s="106"/>
    </row>
    <row r="104">
      <c r="C104" s="79"/>
      <c r="D104" s="79"/>
      <c r="E104" s="79"/>
      <c r="O104" s="79"/>
      <c r="S104" s="79"/>
      <c r="T104" s="79"/>
      <c r="Y104" s="79"/>
      <c r="AC104" s="130"/>
      <c r="AE104" s="106"/>
    </row>
    <row r="105">
      <c r="C105" s="79"/>
      <c r="D105" s="79"/>
      <c r="E105" s="79"/>
      <c r="O105" s="79"/>
      <c r="S105" s="79"/>
      <c r="T105" s="79"/>
      <c r="Y105" s="79"/>
      <c r="AC105" s="130"/>
      <c r="AE105" s="106"/>
    </row>
    <row r="106">
      <c r="C106" s="79"/>
      <c r="D106" s="79"/>
      <c r="E106" s="79"/>
      <c r="O106" s="79"/>
      <c r="S106" s="79"/>
      <c r="T106" s="79"/>
      <c r="Y106" s="79"/>
      <c r="AC106" s="130"/>
      <c r="AE106" s="106"/>
    </row>
    <row r="107">
      <c r="C107" s="79"/>
      <c r="D107" s="79"/>
      <c r="E107" s="79"/>
      <c r="O107" s="79"/>
      <c r="S107" s="79"/>
      <c r="T107" s="79"/>
      <c r="Y107" s="79"/>
      <c r="AC107" s="130"/>
      <c r="AE107" s="106"/>
    </row>
    <row r="108">
      <c r="C108" s="79"/>
      <c r="D108" s="79"/>
      <c r="E108" s="79"/>
      <c r="O108" s="79"/>
      <c r="S108" s="79"/>
      <c r="T108" s="79"/>
      <c r="Y108" s="79"/>
      <c r="AC108" s="130"/>
      <c r="AE108" s="106"/>
    </row>
    <row r="109">
      <c r="C109" s="79"/>
      <c r="D109" s="79"/>
      <c r="E109" s="79"/>
      <c r="O109" s="79"/>
      <c r="S109" s="79"/>
      <c r="T109" s="79"/>
      <c r="Y109" s="79"/>
      <c r="AC109" s="130"/>
      <c r="AE109" s="106"/>
    </row>
    <row r="110">
      <c r="C110" s="79"/>
      <c r="D110" s="79"/>
      <c r="E110" s="79"/>
      <c r="O110" s="79"/>
      <c r="S110" s="79"/>
      <c r="T110" s="79"/>
      <c r="Y110" s="79"/>
      <c r="AC110" s="130"/>
      <c r="AE110" s="106"/>
    </row>
    <row r="111">
      <c r="C111" s="79"/>
      <c r="D111" s="79"/>
      <c r="E111" s="79"/>
      <c r="O111" s="79"/>
      <c r="S111" s="79"/>
      <c r="T111" s="79"/>
      <c r="Y111" s="79"/>
      <c r="AC111" s="130"/>
      <c r="AE111" s="106"/>
    </row>
    <row r="112">
      <c r="C112" s="79"/>
      <c r="D112" s="79"/>
      <c r="E112" s="79"/>
      <c r="O112" s="79"/>
      <c r="S112" s="79"/>
      <c r="T112" s="79"/>
      <c r="Y112" s="79"/>
      <c r="AC112" s="130"/>
      <c r="AE112" s="106"/>
    </row>
    <row r="113">
      <c r="C113" s="79"/>
      <c r="D113" s="79"/>
      <c r="E113" s="79"/>
      <c r="O113" s="79"/>
      <c r="S113" s="79"/>
      <c r="T113" s="79"/>
      <c r="Y113" s="79"/>
      <c r="AC113" s="130"/>
      <c r="AE113" s="106"/>
    </row>
    <row r="114">
      <c r="C114" s="79"/>
      <c r="D114" s="79"/>
      <c r="E114" s="79"/>
      <c r="O114" s="79"/>
      <c r="S114" s="79"/>
      <c r="T114" s="79"/>
      <c r="Y114" s="79"/>
      <c r="AC114" s="130"/>
      <c r="AE114" s="106"/>
    </row>
    <row r="115">
      <c r="C115" s="79"/>
      <c r="D115" s="79"/>
      <c r="E115" s="79"/>
      <c r="O115" s="79"/>
      <c r="S115" s="79"/>
      <c r="T115" s="79"/>
      <c r="Y115" s="79"/>
      <c r="AC115" s="130"/>
      <c r="AE115" s="106"/>
    </row>
    <row r="116">
      <c r="C116" s="79"/>
      <c r="D116" s="79"/>
      <c r="E116" s="79"/>
      <c r="O116" s="79"/>
      <c r="S116" s="79"/>
      <c r="T116" s="79"/>
      <c r="Y116" s="79"/>
      <c r="AC116" s="130"/>
      <c r="AE116" s="106"/>
    </row>
    <row r="117">
      <c r="C117" s="79"/>
      <c r="D117" s="79"/>
      <c r="E117" s="79"/>
      <c r="O117" s="79"/>
      <c r="S117" s="79"/>
      <c r="T117" s="79"/>
      <c r="Y117" s="79"/>
      <c r="AC117" s="130"/>
      <c r="AE117" s="106"/>
    </row>
    <row r="118">
      <c r="C118" s="79"/>
      <c r="D118" s="79"/>
      <c r="E118" s="79"/>
      <c r="O118" s="79"/>
      <c r="S118" s="79"/>
      <c r="T118" s="79"/>
      <c r="Y118" s="79"/>
      <c r="AC118" s="130"/>
      <c r="AE118" s="106"/>
    </row>
    <row r="119">
      <c r="C119" s="79"/>
      <c r="D119" s="79"/>
      <c r="E119" s="79"/>
      <c r="O119" s="79"/>
      <c r="S119" s="79"/>
      <c r="T119" s="79"/>
      <c r="Y119" s="79"/>
      <c r="AC119" s="130"/>
      <c r="AE119" s="106"/>
    </row>
    <row r="120">
      <c r="C120" s="79"/>
      <c r="D120" s="79"/>
      <c r="E120" s="79"/>
      <c r="O120" s="79"/>
      <c r="S120" s="79"/>
      <c r="T120" s="79"/>
      <c r="Y120" s="79"/>
      <c r="AC120" s="130"/>
      <c r="AE120" s="106"/>
    </row>
    <row r="121">
      <c r="C121" s="79"/>
      <c r="D121" s="79"/>
      <c r="E121" s="79"/>
      <c r="O121" s="79"/>
      <c r="S121" s="79"/>
      <c r="T121" s="79"/>
      <c r="Y121" s="79"/>
      <c r="AC121" s="130"/>
      <c r="AE121" s="106"/>
    </row>
    <row r="122">
      <c r="C122" s="79"/>
      <c r="D122" s="79"/>
      <c r="E122" s="79"/>
      <c r="O122" s="79"/>
      <c r="S122" s="79"/>
      <c r="T122" s="79"/>
      <c r="Y122" s="79"/>
      <c r="AC122" s="130"/>
      <c r="AE122" s="106"/>
    </row>
    <row r="123">
      <c r="C123" s="79"/>
      <c r="D123" s="79"/>
      <c r="E123" s="79"/>
      <c r="O123" s="79"/>
      <c r="S123" s="79"/>
      <c r="T123" s="79"/>
      <c r="Y123" s="79"/>
      <c r="AC123" s="130"/>
      <c r="AE123" s="106"/>
    </row>
    <row r="124">
      <c r="C124" s="79"/>
      <c r="D124" s="79"/>
      <c r="E124" s="79"/>
      <c r="O124" s="79"/>
      <c r="S124" s="79"/>
      <c r="T124" s="79"/>
      <c r="Y124" s="79"/>
      <c r="AC124" s="130"/>
      <c r="AE124" s="106"/>
    </row>
    <row r="125">
      <c r="C125" s="79"/>
      <c r="D125" s="79"/>
      <c r="E125" s="79"/>
      <c r="O125" s="79"/>
      <c r="S125" s="79"/>
      <c r="T125" s="79"/>
      <c r="Y125" s="79"/>
      <c r="AC125" s="130"/>
      <c r="AE125" s="106"/>
    </row>
    <row r="126">
      <c r="C126" s="79"/>
      <c r="D126" s="79"/>
      <c r="E126" s="79"/>
      <c r="O126" s="79"/>
      <c r="S126" s="79"/>
      <c r="T126" s="79"/>
      <c r="Y126" s="79"/>
      <c r="AC126" s="130"/>
      <c r="AE126" s="106"/>
    </row>
    <row r="127">
      <c r="C127" s="79"/>
      <c r="D127" s="79"/>
      <c r="E127" s="79"/>
      <c r="O127" s="79"/>
      <c r="S127" s="79"/>
      <c r="T127" s="79"/>
      <c r="Y127" s="79"/>
      <c r="AC127" s="130"/>
      <c r="AE127" s="106"/>
    </row>
    <row r="128">
      <c r="C128" s="79"/>
      <c r="D128" s="79"/>
      <c r="E128" s="79"/>
      <c r="O128" s="79"/>
      <c r="S128" s="79"/>
      <c r="T128" s="79"/>
      <c r="Y128" s="79"/>
      <c r="AC128" s="130"/>
      <c r="AE128" s="106"/>
    </row>
    <row r="129">
      <c r="C129" s="79"/>
      <c r="D129" s="79"/>
      <c r="E129" s="79"/>
      <c r="O129" s="79"/>
      <c r="S129" s="79"/>
      <c r="T129" s="79"/>
      <c r="Y129" s="79"/>
      <c r="AC129" s="130"/>
      <c r="AE129" s="106"/>
    </row>
    <row r="130">
      <c r="C130" s="79"/>
      <c r="D130" s="79"/>
      <c r="E130" s="79"/>
      <c r="O130" s="79"/>
      <c r="S130" s="79"/>
      <c r="T130" s="79"/>
      <c r="Y130" s="79"/>
      <c r="AC130" s="130"/>
      <c r="AE130" s="106"/>
    </row>
    <row r="131">
      <c r="C131" s="79"/>
      <c r="D131" s="79"/>
      <c r="E131" s="79"/>
      <c r="O131" s="79"/>
      <c r="S131" s="79"/>
      <c r="T131" s="79"/>
      <c r="Y131" s="79"/>
      <c r="AC131" s="130"/>
      <c r="AE131" s="106"/>
    </row>
    <row r="132">
      <c r="C132" s="79"/>
      <c r="D132" s="79"/>
      <c r="E132" s="79"/>
      <c r="O132" s="79"/>
      <c r="S132" s="79"/>
      <c r="T132" s="79"/>
      <c r="Y132" s="79"/>
      <c r="AC132" s="130"/>
      <c r="AE132" s="106"/>
    </row>
    <row r="133">
      <c r="C133" s="79"/>
      <c r="D133" s="79"/>
      <c r="E133" s="79"/>
      <c r="O133" s="79"/>
      <c r="S133" s="79"/>
      <c r="T133" s="79"/>
      <c r="Y133" s="79"/>
      <c r="AC133" s="130"/>
      <c r="AE133" s="106"/>
    </row>
    <row r="134">
      <c r="C134" s="79"/>
      <c r="D134" s="79"/>
      <c r="E134" s="79"/>
      <c r="O134" s="79"/>
      <c r="S134" s="79"/>
      <c r="T134" s="79"/>
      <c r="Y134" s="79"/>
      <c r="AC134" s="130"/>
      <c r="AE134" s="106"/>
    </row>
    <row r="135">
      <c r="C135" s="79"/>
      <c r="D135" s="79"/>
      <c r="E135" s="79"/>
      <c r="O135" s="79"/>
      <c r="S135" s="79"/>
      <c r="T135" s="79"/>
      <c r="Y135" s="79"/>
      <c r="AC135" s="130"/>
      <c r="AE135" s="106"/>
    </row>
    <row r="136">
      <c r="C136" s="79"/>
      <c r="D136" s="79"/>
      <c r="E136" s="79"/>
      <c r="O136" s="79"/>
      <c r="S136" s="79"/>
      <c r="T136" s="79"/>
      <c r="Y136" s="79"/>
      <c r="AC136" s="130"/>
      <c r="AE136" s="106"/>
    </row>
    <row r="137">
      <c r="C137" s="79"/>
      <c r="D137" s="79"/>
      <c r="E137" s="79"/>
      <c r="O137" s="79"/>
      <c r="S137" s="79"/>
      <c r="T137" s="79"/>
      <c r="Y137" s="79"/>
      <c r="AC137" s="130"/>
      <c r="AE137" s="106"/>
    </row>
    <row r="138">
      <c r="C138" s="79"/>
      <c r="D138" s="79"/>
      <c r="E138" s="79"/>
      <c r="O138" s="79"/>
      <c r="S138" s="79"/>
      <c r="T138" s="79"/>
      <c r="Y138" s="79"/>
      <c r="AC138" s="130"/>
      <c r="AE138" s="106"/>
    </row>
    <row r="139">
      <c r="C139" s="79"/>
      <c r="D139" s="79"/>
      <c r="E139" s="79"/>
      <c r="O139" s="79"/>
      <c r="S139" s="79"/>
      <c r="T139" s="79"/>
      <c r="Y139" s="79"/>
      <c r="AC139" s="130"/>
      <c r="AE139" s="106"/>
    </row>
    <row r="140">
      <c r="C140" s="79"/>
      <c r="D140" s="79"/>
      <c r="E140" s="79"/>
      <c r="O140" s="79"/>
      <c r="S140" s="79"/>
      <c r="T140" s="79"/>
      <c r="Y140" s="79"/>
      <c r="AC140" s="130"/>
      <c r="AE140" s="106"/>
    </row>
    <row r="141">
      <c r="C141" s="79"/>
      <c r="D141" s="79"/>
      <c r="E141" s="79"/>
      <c r="O141" s="79"/>
      <c r="S141" s="79"/>
      <c r="T141" s="79"/>
      <c r="Y141" s="79"/>
      <c r="AC141" s="130"/>
      <c r="AE141" s="106"/>
    </row>
    <row r="142">
      <c r="C142" s="79"/>
      <c r="D142" s="79"/>
      <c r="E142" s="79"/>
      <c r="O142" s="79"/>
      <c r="S142" s="79"/>
      <c r="T142" s="79"/>
      <c r="Y142" s="79"/>
      <c r="AC142" s="130"/>
      <c r="AE142" s="106"/>
    </row>
    <row r="143">
      <c r="C143" s="79"/>
      <c r="D143" s="79"/>
      <c r="E143" s="79"/>
      <c r="O143" s="79"/>
      <c r="S143" s="79"/>
      <c r="T143" s="79"/>
      <c r="Y143" s="79"/>
      <c r="AC143" s="130"/>
      <c r="AE143" s="106"/>
    </row>
    <row r="144">
      <c r="C144" s="79"/>
      <c r="D144" s="79"/>
      <c r="E144" s="79"/>
      <c r="O144" s="79"/>
      <c r="S144" s="79"/>
      <c r="T144" s="79"/>
      <c r="Y144" s="79"/>
      <c r="AC144" s="130"/>
      <c r="AE144" s="106"/>
    </row>
    <row r="145">
      <c r="C145" s="79"/>
      <c r="D145" s="79"/>
      <c r="E145" s="79"/>
      <c r="O145" s="79"/>
      <c r="S145" s="79"/>
      <c r="T145" s="79"/>
      <c r="Y145" s="79"/>
      <c r="AC145" s="130"/>
      <c r="AE145" s="106"/>
    </row>
    <row r="146">
      <c r="C146" s="79"/>
      <c r="D146" s="79"/>
      <c r="E146" s="79"/>
      <c r="O146" s="79"/>
      <c r="S146" s="79"/>
      <c r="T146" s="79"/>
      <c r="Y146" s="79"/>
      <c r="AC146" s="130"/>
      <c r="AE146" s="106"/>
    </row>
    <row r="147">
      <c r="C147" s="79"/>
      <c r="D147" s="79"/>
      <c r="E147" s="79"/>
      <c r="O147" s="79"/>
      <c r="S147" s="79"/>
      <c r="T147" s="79"/>
      <c r="Y147" s="79"/>
      <c r="AC147" s="130"/>
      <c r="AE147" s="106"/>
    </row>
    <row r="148">
      <c r="C148" s="79"/>
      <c r="D148" s="79"/>
      <c r="E148" s="79"/>
      <c r="O148" s="79"/>
      <c r="S148" s="79"/>
      <c r="T148" s="79"/>
      <c r="Y148" s="79"/>
      <c r="AC148" s="130"/>
      <c r="AE148" s="106"/>
    </row>
    <row r="149">
      <c r="C149" s="79"/>
      <c r="D149" s="79"/>
      <c r="E149" s="79"/>
      <c r="O149" s="79"/>
      <c r="S149" s="79"/>
      <c r="T149" s="79"/>
      <c r="Y149" s="79"/>
      <c r="AC149" s="130"/>
      <c r="AE149" s="106"/>
    </row>
    <row r="150">
      <c r="C150" s="79"/>
      <c r="D150" s="79"/>
      <c r="E150" s="79"/>
      <c r="O150" s="79"/>
      <c r="S150" s="79"/>
      <c r="T150" s="79"/>
      <c r="Y150" s="79"/>
      <c r="AC150" s="130"/>
      <c r="AE150" s="106"/>
    </row>
    <row r="151">
      <c r="C151" s="79"/>
      <c r="D151" s="79"/>
      <c r="E151" s="79"/>
      <c r="O151" s="79"/>
      <c r="S151" s="79"/>
      <c r="T151" s="79"/>
      <c r="Y151" s="79"/>
      <c r="AC151" s="130"/>
      <c r="AE151" s="106"/>
    </row>
    <row r="152">
      <c r="C152" s="79"/>
      <c r="D152" s="79"/>
      <c r="E152" s="79"/>
      <c r="O152" s="79"/>
      <c r="S152" s="79"/>
      <c r="T152" s="79"/>
      <c r="Y152" s="79"/>
      <c r="AC152" s="130"/>
      <c r="AE152" s="106"/>
    </row>
    <row r="153">
      <c r="C153" s="79"/>
      <c r="D153" s="79"/>
      <c r="E153" s="79"/>
      <c r="O153" s="79"/>
      <c r="S153" s="79"/>
      <c r="T153" s="79"/>
      <c r="Y153" s="79"/>
      <c r="AC153" s="130"/>
      <c r="AE153" s="106"/>
    </row>
    <row r="154">
      <c r="C154" s="79"/>
      <c r="D154" s="79"/>
      <c r="E154" s="79"/>
      <c r="O154" s="79"/>
      <c r="S154" s="79"/>
      <c r="T154" s="79"/>
      <c r="Y154" s="79"/>
      <c r="AC154" s="130"/>
      <c r="AE154" s="106"/>
    </row>
    <row r="155">
      <c r="C155" s="79"/>
      <c r="D155" s="79"/>
      <c r="E155" s="79"/>
      <c r="O155" s="79"/>
      <c r="S155" s="79"/>
      <c r="T155" s="79"/>
      <c r="Y155" s="79"/>
      <c r="AC155" s="130"/>
      <c r="AE155" s="106"/>
    </row>
    <row r="156">
      <c r="C156" s="79"/>
      <c r="D156" s="79"/>
      <c r="E156" s="79"/>
      <c r="O156" s="79"/>
      <c r="S156" s="79"/>
      <c r="T156" s="79"/>
      <c r="Y156" s="79"/>
      <c r="AC156" s="130"/>
      <c r="AE156" s="106"/>
    </row>
    <row r="157">
      <c r="C157" s="79"/>
      <c r="D157" s="79"/>
      <c r="E157" s="79"/>
      <c r="O157" s="79"/>
      <c r="S157" s="79"/>
      <c r="T157" s="79"/>
      <c r="Y157" s="79"/>
      <c r="AC157" s="130"/>
      <c r="AE157" s="106"/>
    </row>
    <row r="158">
      <c r="C158" s="79"/>
      <c r="D158" s="79"/>
      <c r="E158" s="79"/>
      <c r="O158" s="79"/>
      <c r="S158" s="79"/>
      <c r="T158" s="79"/>
      <c r="Y158" s="79"/>
      <c r="AC158" s="130"/>
      <c r="AE158" s="106"/>
    </row>
    <row r="159">
      <c r="C159" s="79"/>
      <c r="D159" s="79"/>
      <c r="E159" s="79"/>
      <c r="O159" s="79"/>
      <c r="S159" s="79"/>
      <c r="T159" s="79"/>
      <c r="Y159" s="79"/>
      <c r="AC159" s="130"/>
      <c r="AE159" s="106"/>
    </row>
    <row r="160">
      <c r="C160" s="79"/>
      <c r="D160" s="79"/>
      <c r="E160" s="79"/>
      <c r="O160" s="79"/>
      <c r="S160" s="79"/>
      <c r="T160" s="79"/>
      <c r="Y160" s="79"/>
      <c r="AC160" s="130"/>
      <c r="AE160" s="106"/>
    </row>
    <row r="161">
      <c r="C161" s="79"/>
      <c r="D161" s="79"/>
      <c r="E161" s="79"/>
      <c r="O161" s="79"/>
      <c r="S161" s="79"/>
      <c r="T161" s="79"/>
      <c r="Y161" s="79"/>
      <c r="AC161" s="130"/>
      <c r="AE161" s="106"/>
    </row>
    <row r="162">
      <c r="C162" s="79"/>
      <c r="D162" s="79"/>
      <c r="E162" s="79"/>
      <c r="O162" s="79"/>
      <c r="S162" s="79"/>
      <c r="T162" s="79"/>
      <c r="Y162" s="79"/>
      <c r="AC162" s="130"/>
      <c r="AE162" s="106"/>
    </row>
    <row r="163">
      <c r="C163" s="79"/>
      <c r="D163" s="79"/>
      <c r="E163" s="79"/>
      <c r="O163" s="79"/>
      <c r="S163" s="79"/>
      <c r="T163" s="79"/>
      <c r="Y163" s="79"/>
      <c r="AC163" s="130"/>
      <c r="AE163" s="106"/>
    </row>
    <row r="164">
      <c r="C164" s="79"/>
      <c r="D164" s="79"/>
      <c r="E164" s="79"/>
      <c r="O164" s="79"/>
      <c r="S164" s="79"/>
      <c r="T164" s="79"/>
      <c r="Y164" s="79"/>
      <c r="AC164" s="130"/>
      <c r="AE164" s="106"/>
    </row>
    <row r="165">
      <c r="C165" s="79"/>
      <c r="D165" s="79"/>
      <c r="E165" s="79"/>
      <c r="O165" s="79"/>
      <c r="S165" s="79"/>
      <c r="T165" s="79"/>
      <c r="Y165" s="79"/>
      <c r="AC165" s="130"/>
      <c r="AE165" s="106"/>
    </row>
    <row r="166">
      <c r="C166" s="79"/>
      <c r="D166" s="79"/>
      <c r="E166" s="79"/>
      <c r="O166" s="79"/>
      <c r="S166" s="79"/>
      <c r="T166" s="79"/>
      <c r="Y166" s="79"/>
      <c r="AC166" s="130"/>
      <c r="AE166" s="106"/>
    </row>
    <row r="167">
      <c r="C167" s="79"/>
      <c r="D167" s="79"/>
      <c r="E167" s="79"/>
      <c r="O167" s="79"/>
      <c r="S167" s="79"/>
      <c r="T167" s="79"/>
      <c r="Y167" s="79"/>
      <c r="AC167" s="130"/>
      <c r="AE167" s="106"/>
    </row>
    <row r="168">
      <c r="C168" s="79"/>
      <c r="D168" s="79"/>
      <c r="E168" s="79"/>
      <c r="O168" s="79"/>
      <c r="S168" s="79"/>
      <c r="T168" s="79"/>
      <c r="Y168" s="79"/>
      <c r="AC168" s="130"/>
      <c r="AE168" s="106"/>
    </row>
    <row r="169">
      <c r="C169" s="79"/>
      <c r="D169" s="79"/>
      <c r="E169" s="79"/>
      <c r="O169" s="79"/>
      <c r="S169" s="79"/>
      <c r="T169" s="79"/>
      <c r="Y169" s="79"/>
      <c r="AC169" s="130"/>
      <c r="AE169" s="106"/>
    </row>
    <row r="170">
      <c r="C170" s="79"/>
      <c r="D170" s="79"/>
      <c r="E170" s="79"/>
      <c r="O170" s="79"/>
      <c r="S170" s="79"/>
      <c r="T170" s="79"/>
      <c r="Y170" s="79"/>
      <c r="AC170" s="130"/>
      <c r="AE170" s="106"/>
    </row>
    <row r="171">
      <c r="C171" s="79"/>
      <c r="D171" s="79"/>
      <c r="E171" s="79"/>
      <c r="O171" s="79"/>
      <c r="S171" s="79"/>
      <c r="T171" s="79"/>
      <c r="Y171" s="79"/>
      <c r="AC171" s="130"/>
      <c r="AE171" s="106"/>
    </row>
    <row r="172">
      <c r="C172" s="79"/>
      <c r="D172" s="79"/>
      <c r="E172" s="79"/>
      <c r="O172" s="79"/>
      <c r="S172" s="79"/>
      <c r="T172" s="79"/>
      <c r="Y172" s="79"/>
      <c r="AC172" s="130"/>
      <c r="AE172" s="106"/>
    </row>
    <row r="173">
      <c r="C173" s="79"/>
      <c r="D173" s="79"/>
      <c r="E173" s="79"/>
      <c r="O173" s="79"/>
      <c r="S173" s="79"/>
      <c r="T173" s="79"/>
      <c r="Y173" s="79"/>
      <c r="AC173" s="130"/>
      <c r="AE173" s="106"/>
    </row>
    <row r="174">
      <c r="C174" s="79"/>
      <c r="D174" s="79"/>
      <c r="E174" s="79"/>
      <c r="O174" s="79"/>
      <c r="S174" s="79"/>
      <c r="T174" s="79"/>
      <c r="Y174" s="79"/>
      <c r="AC174" s="130"/>
      <c r="AE174" s="106"/>
    </row>
    <row r="175">
      <c r="C175" s="79"/>
      <c r="D175" s="79"/>
      <c r="E175" s="79"/>
      <c r="O175" s="79"/>
      <c r="S175" s="79"/>
      <c r="T175" s="79"/>
      <c r="Y175" s="79"/>
      <c r="AC175" s="130"/>
      <c r="AE175" s="106"/>
    </row>
    <row r="176">
      <c r="C176" s="79"/>
      <c r="D176" s="79"/>
      <c r="E176" s="79"/>
      <c r="O176" s="79"/>
      <c r="S176" s="79"/>
      <c r="T176" s="79"/>
      <c r="Y176" s="79"/>
      <c r="AC176" s="130"/>
      <c r="AE176" s="106"/>
    </row>
    <row r="177">
      <c r="C177" s="79"/>
      <c r="D177" s="79"/>
      <c r="E177" s="79"/>
      <c r="O177" s="79"/>
      <c r="S177" s="79"/>
      <c r="T177" s="79"/>
      <c r="Y177" s="79"/>
      <c r="AC177" s="130"/>
      <c r="AE177" s="106"/>
    </row>
    <row r="178">
      <c r="C178" s="79"/>
      <c r="D178" s="79"/>
      <c r="E178" s="79"/>
      <c r="O178" s="79"/>
      <c r="S178" s="79"/>
      <c r="T178" s="79"/>
      <c r="Y178" s="79"/>
      <c r="AC178" s="130"/>
      <c r="AE178" s="106"/>
    </row>
    <row r="179">
      <c r="C179" s="79"/>
      <c r="D179" s="79"/>
      <c r="E179" s="79"/>
      <c r="O179" s="79"/>
      <c r="S179" s="79"/>
      <c r="T179" s="79"/>
      <c r="Y179" s="79"/>
      <c r="AC179" s="130"/>
      <c r="AE179" s="106"/>
    </row>
    <row r="180">
      <c r="C180" s="79"/>
      <c r="D180" s="79"/>
      <c r="E180" s="79"/>
      <c r="O180" s="79"/>
      <c r="S180" s="79"/>
      <c r="T180" s="79"/>
      <c r="Y180" s="79"/>
      <c r="AC180" s="130"/>
      <c r="AE180" s="106"/>
    </row>
    <row r="181">
      <c r="C181" s="79"/>
      <c r="D181" s="79"/>
      <c r="E181" s="79"/>
      <c r="O181" s="79"/>
      <c r="S181" s="79"/>
      <c r="T181" s="79"/>
      <c r="Y181" s="79"/>
      <c r="AC181" s="130"/>
      <c r="AE181" s="106"/>
    </row>
    <row r="182">
      <c r="C182" s="79"/>
      <c r="D182" s="79"/>
      <c r="E182" s="79"/>
      <c r="O182" s="79"/>
      <c r="S182" s="79"/>
      <c r="T182" s="79"/>
      <c r="Y182" s="79"/>
      <c r="AC182" s="130"/>
      <c r="AE182" s="106"/>
    </row>
    <row r="183">
      <c r="C183" s="79"/>
      <c r="D183" s="79"/>
      <c r="E183" s="79"/>
      <c r="O183" s="79"/>
      <c r="S183" s="79"/>
      <c r="T183" s="79"/>
      <c r="Y183" s="79"/>
      <c r="AC183" s="130"/>
      <c r="AE183" s="106"/>
    </row>
    <row r="184">
      <c r="C184" s="79"/>
      <c r="D184" s="79"/>
      <c r="E184" s="79"/>
      <c r="O184" s="79"/>
      <c r="S184" s="79"/>
      <c r="T184" s="79"/>
      <c r="Y184" s="79"/>
      <c r="AC184" s="130"/>
      <c r="AE184" s="106"/>
    </row>
    <row r="185">
      <c r="C185" s="79"/>
      <c r="D185" s="79"/>
      <c r="E185" s="79"/>
      <c r="O185" s="79"/>
      <c r="S185" s="79"/>
      <c r="T185" s="79"/>
      <c r="Y185" s="79"/>
      <c r="AC185" s="130"/>
      <c r="AE185" s="106"/>
    </row>
    <row r="186">
      <c r="C186" s="79"/>
      <c r="D186" s="79"/>
      <c r="E186" s="79"/>
      <c r="O186" s="79"/>
      <c r="S186" s="79"/>
      <c r="T186" s="79"/>
      <c r="Y186" s="79"/>
      <c r="AC186" s="130"/>
      <c r="AE186" s="106"/>
    </row>
    <row r="187">
      <c r="C187" s="79"/>
      <c r="D187" s="79"/>
      <c r="E187" s="79"/>
      <c r="O187" s="79"/>
      <c r="S187" s="79"/>
      <c r="T187" s="79"/>
      <c r="Y187" s="79"/>
      <c r="AC187" s="130"/>
      <c r="AE187" s="106"/>
    </row>
    <row r="188">
      <c r="C188" s="79"/>
      <c r="D188" s="79"/>
      <c r="E188" s="79"/>
      <c r="O188" s="79"/>
      <c r="S188" s="79"/>
      <c r="T188" s="79"/>
      <c r="Y188" s="79"/>
      <c r="AC188" s="130"/>
      <c r="AE188" s="106"/>
    </row>
    <row r="189">
      <c r="C189" s="79"/>
      <c r="D189" s="79"/>
      <c r="E189" s="79"/>
      <c r="O189" s="79"/>
      <c r="S189" s="79"/>
      <c r="T189" s="79"/>
      <c r="Y189" s="79"/>
      <c r="AC189" s="130"/>
      <c r="AE189" s="106"/>
    </row>
    <row r="190">
      <c r="C190" s="79"/>
      <c r="D190" s="79"/>
      <c r="E190" s="79"/>
      <c r="O190" s="79"/>
      <c r="S190" s="79"/>
      <c r="T190" s="79"/>
      <c r="Y190" s="79"/>
      <c r="AC190" s="130"/>
      <c r="AE190" s="106"/>
    </row>
    <row r="191">
      <c r="C191" s="79"/>
      <c r="D191" s="79"/>
      <c r="E191" s="79"/>
      <c r="O191" s="79"/>
      <c r="S191" s="79"/>
      <c r="T191" s="79"/>
      <c r="Y191" s="79"/>
      <c r="AC191" s="130"/>
      <c r="AE191" s="106"/>
    </row>
    <row r="192">
      <c r="C192" s="79"/>
      <c r="D192" s="79"/>
      <c r="E192" s="79"/>
      <c r="O192" s="79"/>
      <c r="S192" s="79"/>
      <c r="T192" s="79"/>
      <c r="Y192" s="79"/>
      <c r="AC192" s="130"/>
      <c r="AE192" s="106"/>
    </row>
    <row r="193">
      <c r="C193" s="79"/>
      <c r="D193" s="79"/>
      <c r="E193" s="79"/>
      <c r="O193" s="79"/>
      <c r="S193" s="79"/>
      <c r="T193" s="79"/>
      <c r="Y193" s="79"/>
      <c r="AC193" s="130"/>
      <c r="AE193" s="106"/>
    </row>
    <row r="194">
      <c r="C194" s="79"/>
      <c r="D194" s="79"/>
      <c r="E194" s="79"/>
      <c r="O194" s="79"/>
      <c r="S194" s="79"/>
      <c r="T194" s="79"/>
      <c r="Y194" s="79"/>
      <c r="AC194" s="130"/>
      <c r="AE194" s="106"/>
    </row>
    <row r="195">
      <c r="C195" s="79"/>
      <c r="D195" s="79"/>
      <c r="E195" s="79"/>
      <c r="O195" s="79"/>
      <c r="S195" s="79"/>
      <c r="T195" s="79"/>
      <c r="Y195" s="79"/>
      <c r="AC195" s="130"/>
      <c r="AE195" s="106"/>
    </row>
    <row r="196">
      <c r="C196" s="79"/>
      <c r="D196" s="79"/>
      <c r="E196" s="79"/>
      <c r="O196" s="79"/>
      <c r="S196" s="79"/>
      <c r="T196" s="79"/>
      <c r="Y196" s="79"/>
      <c r="AC196" s="130"/>
      <c r="AE196" s="106"/>
    </row>
    <row r="197">
      <c r="C197" s="79"/>
      <c r="D197" s="79"/>
      <c r="E197" s="79"/>
      <c r="O197" s="79"/>
      <c r="S197" s="79"/>
      <c r="T197" s="79"/>
      <c r="Y197" s="79"/>
      <c r="AC197" s="130"/>
      <c r="AE197" s="106"/>
    </row>
    <row r="198">
      <c r="C198" s="79"/>
      <c r="D198" s="79"/>
      <c r="E198" s="79"/>
      <c r="O198" s="79"/>
      <c r="S198" s="79"/>
      <c r="T198" s="79"/>
      <c r="Y198" s="79"/>
      <c r="AC198" s="130"/>
      <c r="AE198" s="106"/>
    </row>
    <row r="199">
      <c r="C199" s="79"/>
      <c r="D199" s="79"/>
      <c r="E199" s="79"/>
      <c r="O199" s="79"/>
      <c r="S199" s="79"/>
      <c r="T199" s="79"/>
      <c r="Y199" s="79"/>
      <c r="AC199" s="130"/>
      <c r="AE199" s="106"/>
    </row>
    <row r="200">
      <c r="C200" s="79"/>
      <c r="D200" s="79"/>
      <c r="E200" s="79"/>
      <c r="O200" s="79"/>
      <c r="S200" s="79"/>
      <c r="T200" s="79"/>
      <c r="Y200" s="79"/>
      <c r="AC200" s="130"/>
      <c r="AE200" s="106"/>
    </row>
    <row r="201">
      <c r="C201" s="79"/>
      <c r="D201" s="79"/>
      <c r="E201" s="79"/>
      <c r="O201" s="79"/>
      <c r="S201" s="79"/>
      <c r="T201" s="79"/>
      <c r="Y201" s="79"/>
      <c r="AC201" s="130"/>
      <c r="AE201" s="106"/>
    </row>
    <row r="202">
      <c r="C202" s="79"/>
      <c r="D202" s="79"/>
      <c r="E202" s="79"/>
      <c r="O202" s="79"/>
      <c r="S202" s="79"/>
      <c r="T202" s="79"/>
      <c r="Y202" s="79"/>
      <c r="AC202" s="130"/>
      <c r="AE202" s="106"/>
    </row>
    <row r="203">
      <c r="C203" s="79"/>
      <c r="D203" s="79"/>
      <c r="E203" s="79"/>
      <c r="O203" s="79"/>
      <c r="S203" s="79"/>
      <c r="T203" s="79"/>
      <c r="Y203" s="79"/>
      <c r="AC203" s="130"/>
      <c r="AE203" s="106"/>
    </row>
    <row r="204">
      <c r="C204" s="79"/>
      <c r="D204" s="79"/>
      <c r="E204" s="79"/>
      <c r="O204" s="79"/>
      <c r="S204" s="79"/>
      <c r="T204" s="79"/>
      <c r="Y204" s="79"/>
      <c r="AC204" s="130"/>
      <c r="AE204" s="106"/>
    </row>
    <row r="205">
      <c r="C205" s="79"/>
      <c r="D205" s="79"/>
      <c r="E205" s="79"/>
      <c r="O205" s="79"/>
      <c r="S205" s="79"/>
      <c r="T205" s="79"/>
      <c r="Y205" s="79"/>
      <c r="AC205" s="130"/>
      <c r="AE205" s="106"/>
    </row>
    <row r="206">
      <c r="C206" s="79"/>
      <c r="D206" s="79"/>
      <c r="E206" s="79"/>
      <c r="O206" s="79"/>
      <c r="S206" s="79"/>
      <c r="T206" s="79"/>
      <c r="Y206" s="79"/>
      <c r="AC206" s="130"/>
      <c r="AE206" s="106"/>
    </row>
    <row r="207">
      <c r="C207" s="79"/>
      <c r="D207" s="79"/>
      <c r="E207" s="79"/>
      <c r="O207" s="79"/>
      <c r="S207" s="79"/>
      <c r="T207" s="79"/>
      <c r="Y207" s="79"/>
      <c r="AC207" s="130"/>
      <c r="AE207" s="106"/>
    </row>
    <row r="208">
      <c r="C208" s="79"/>
      <c r="D208" s="79"/>
      <c r="E208" s="79"/>
      <c r="O208" s="79"/>
      <c r="S208" s="79"/>
      <c r="T208" s="79"/>
      <c r="Y208" s="79"/>
      <c r="AC208" s="130"/>
      <c r="AE208" s="106"/>
    </row>
    <row r="209">
      <c r="C209" s="79"/>
      <c r="D209" s="79"/>
      <c r="E209" s="79"/>
      <c r="O209" s="79"/>
      <c r="S209" s="79"/>
      <c r="T209" s="79"/>
      <c r="Y209" s="79"/>
      <c r="AC209" s="130"/>
      <c r="AE209" s="106"/>
    </row>
    <row r="210">
      <c r="C210" s="79"/>
      <c r="D210" s="79"/>
      <c r="E210" s="79"/>
      <c r="O210" s="79"/>
      <c r="S210" s="79"/>
      <c r="T210" s="79"/>
      <c r="Y210" s="79"/>
      <c r="AC210" s="130"/>
      <c r="AE210" s="106"/>
    </row>
    <row r="211">
      <c r="C211" s="79"/>
      <c r="D211" s="79"/>
      <c r="E211" s="79"/>
      <c r="O211" s="79"/>
      <c r="S211" s="79"/>
      <c r="T211" s="79"/>
      <c r="Y211" s="79"/>
      <c r="AC211" s="130"/>
      <c r="AE211" s="106"/>
    </row>
    <row r="212">
      <c r="C212" s="79"/>
      <c r="D212" s="79"/>
      <c r="E212" s="79"/>
      <c r="O212" s="79"/>
      <c r="S212" s="79"/>
      <c r="T212" s="79"/>
      <c r="Y212" s="79"/>
      <c r="AC212" s="130"/>
      <c r="AE212" s="106"/>
    </row>
    <row r="213">
      <c r="C213" s="79"/>
      <c r="D213" s="79"/>
      <c r="E213" s="79"/>
      <c r="O213" s="79"/>
      <c r="S213" s="79"/>
      <c r="T213" s="79"/>
      <c r="Y213" s="79"/>
      <c r="AC213" s="130"/>
      <c r="AE213" s="106"/>
    </row>
    <row r="214">
      <c r="C214" s="79"/>
      <c r="D214" s="79"/>
      <c r="E214" s="79"/>
      <c r="O214" s="79"/>
      <c r="S214" s="79"/>
      <c r="T214" s="79"/>
      <c r="Y214" s="79"/>
      <c r="AC214" s="130"/>
      <c r="AE214" s="106"/>
    </row>
    <row r="215">
      <c r="C215" s="79"/>
      <c r="D215" s="79"/>
      <c r="E215" s="79"/>
      <c r="O215" s="79"/>
      <c r="S215" s="79"/>
      <c r="T215" s="79"/>
      <c r="Y215" s="79"/>
      <c r="AC215" s="130"/>
      <c r="AE215" s="106"/>
    </row>
    <row r="216">
      <c r="C216" s="79"/>
      <c r="D216" s="79"/>
      <c r="E216" s="79"/>
      <c r="O216" s="79"/>
      <c r="S216" s="79"/>
      <c r="T216" s="79"/>
      <c r="Y216" s="79"/>
      <c r="AC216" s="130"/>
      <c r="AE216" s="106"/>
    </row>
    <row r="217">
      <c r="C217" s="79"/>
      <c r="D217" s="79"/>
      <c r="E217" s="79"/>
      <c r="O217" s="79"/>
      <c r="S217" s="79"/>
      <c r="T217" s="79"/>
      <c r="Y217" s="79"/>
      <c r="AC217" s="130"/>
      <c r="AE217" s="106"/>
    </row>
    <row r="218">
      <c r="C218" s="79"/>
      <c r="D218" s="79"/>
      <c r="E218" s="79"/>
      <c r="O218" s="79"/>
      <c r="S218" s="79"/>
      <c r="T218" s="79"/>
      <c r="Y218" s="79"/>
      <c r="AC218" s="130"/>
      <c r="AE218" s="106"/>
    </row>
    <row r="219">
      <c r="C219" s="79"/>
      <c r="D219" s="79"/>
      <c r="E219" s="79"/>
      <c r="O219" s="79"/>
      <c r="S219" s="79"/>
      <c r="T219" s="79"/>
      <c r="Y219" s="79"/>
      <c r="AC219" s="130"/>
      <c r="AE219" s="106"/>
    </row>
    <row r="220">
      <c r="C220" s="79"/>
      <c r="D220" s="79"/>
      <c r="E220" s="79"/>
      <c r="O220" s="79"/>
      <c r="S220" s="79"/>
      <c r="T220" s="79"/>
      <c r="Y220" s="79"/>
      <c r="AC220" s="130"/>
      <c r="AE220" s="106"/>
    </row>
    <row r="221">
      <c r="C221" s="79"/>
      <c r="D221" s="79"/>
      <c r="E221" s="79"/>
      <c r="O221" s="79"/>
      <c r="S221" s="79"/>
      <c r="T221" s="79"/>
      <c r="Y221" s="79"/>
      <c r="AC221" s="130"/>
      <c r="AE221" s="106"/>
    </row>
    <row r="222">
      <c r="C222" s="79"/>
      <c r="D222" s="79"/>
      <c r="E222" s="79"/>
      <c r="O222" s="79"/>
      <c r="S222" s="79"/>
      <c r="T222" s="79"/>
      <c r="Y222" s="79"/>
      <c r="AC222" s="130"/>
      <c r="AE222" s="106"/>
    </row>
    <row r="223">
      <c r="C223" s="79"/>
      <c r="D223" s="79"/>
      <c r="E223" s="79"/>
      <c r="O223" s="79"/>
      <c r="S223" s="79"/>
      <c r="T223" s="79"/>
      <c r="Y223" s="79"/>
      <c r="AC223" s="130"/>
      <c r="AE223" s="106"/>
    </row>
    <row r="224">
      <c r="C224" s="79"/>
      <c r="D224" s="79"/>
      <c r="E224" s="79"/>
      <c r="O224" s="79"/>
      <c r="S224" s="79"/>
      <c r="T224" s="79"/>
      <c r="Y224" s="79"/>
      <c r="AC224" s="130"/>
      <c r="AE224" s="106"/>
    </row>
    <row r="225">
      <c r="C225" s="79"/>
      <c r="D225" s="79"/>
      <c r="E225" s="79"/>
      <c r="O225" s="79"/>
      <c r="S225" s="79"/>
      <c r="T225" s="79"/>
      <c r="Y225" s="79"/>
      <c r="AC225" s="130"/>
      <c r="AE225" s="106"/>
    </row>
    <row r="226">
      <c r="C226" s="79"/>
      <c r="D226" s="79"/>
      <c r="E226" s="79"/>
      <c r="O226" s="79"/>
      <c r="S226" s="79"/>
      <c r="T226" s="79"/>
      <c r="Y226" s="79"/>
      <c r="AC226" s="130"/>
      <c r="AE226" s="106"/>
    </row>
    <row r="227">
      <c r="C227" s="79"/>
      <c r="D227" s="79"/>
      <c r="E227" s="79"/>
      <c r="O227" s="79"/>
      <c r="S227" s="79"/>
      <c r="T227" s="79"/>
      <c r="Y227" s="79"/>
      <c r="AC227" s="130"/>
      <c r="AE227" s="106"/>
    </row>
    <row r="228">
      <c r="C228" s="79"/>
      <c r="D228" s="79"/>
      <c r="E228" s="79"/>
      <c r="O228" s="79"/>
      <c r="S228" s="79"/>
      <c r="T228" s="79"/>
      <c r="Y228" s="79"/>
      <c r="AC228" s="130"/>
      <c r="AE228" s="106"/>
    </row>
    <row r="229">
      <c r="C229" s="79"/>
      <c r="D229" s="79"/>
      <c r="E229" s="79"/>
      <c r="O229" s="79"/>
      <c r="S229" s="79"/>
      <c r="T229" s="79"/>
      <c r="Y229" s="79"/>
      <c r="AC229" s="130"/>
      <c r="AE229" s="106"/>
    </row>
    <row r="230">
      <c r="C230" s="79"/>
      <c r="D230" s="79"/>
      <c r="E230" s="79"/>
      <c r="O230" s="79"/>
      <c r="S230" s="79"/>
      <c r="T230" s="79"/>
      <c r="Y230" s="79"/>
      <c r="AC230" s="130"/>
      <c r="AE230" s="106"/>
    </row>
    <row r="231">
      <c r="C231" s="79"/>
      <c r="D231" s="79"/>
      <c r="E231" s="79"/>
      <c r="O231" s="79"/>
      <c r="S231" s="79"/>
      <c r="T231" s="79"/>
      <c r="Y231" s="79"/>
      <c r="AC231" s="130"/>
      <c r="AE231" s="106"/>
    </row>
    <row r="232">
      <c r="C232" s="79"/>
      <c r="D232" s="79"/>
      <c r="E232" s="79"/>
      <c r="O232" s="79"/>
      <c r="S232" s="79"/>
      <c r="T232" s="79"/>
      <c r="Y232" s="79"/>
      <c r="AC232" s="130"/>
      <c r="AE232" s="106"/>
    </row>
    <row r="233">
      <c r="C233" s="79"/>
      <c r="D233" s="79"/>
      <c r="E233" s="79"/>
      <c r="O233" s="79"/>
      <c r="S233" s="79"/>
      <c r="T233" s="79"/>
      <c r="Y233" s="79"/>
      <c r="AC233" s="130"/>
      <c r="AE233" s="106"/>
    </row>
    <row r="234">
      <c r="C234" s="79"/>
      <c r="D234" s="79"/>
      <c r="E234" s="79"/>
      <c r="O234" s="79"/>
      <c r="S234" s="79"/>
      <c r="T234" s="79"/>
      <c r="Y234" s="79"/>
      <c r="AC234" s="130"/>
      <c r="AE234" s="106"/>
    </row>
    <row r="235">
      <c r="C235" s="79"/>
      <c r="D235" s="79"/>
      <c r="E235" s="79"/>
      <c r="O235" s="79"/>
      <c r="S235" s="79"/>
      <c r="T235" s="79"/>
      <c r="Y235" s="79"/>
      <c r="AC235" s="130"/>
      <c r="AE235" s="106"/>
    </row>
    <row r="236">
      <c r="C236" s="79"/>
      <c r="D236" s="79"/>
      <c r="E236" s="79"/>
      <c r="O236" s="79"/>
      <c r="S236" s="79"/>
      <c r="T236" s="79"/>
      <c r="Y236" s="79"/>
      <c r="AC236" s="130"/>
      <c r="AE236" s="106"/>
    </row>
    <row r="237">
      <c r="C237" s="79"/>
      <c r="D237" s="79"/>
      <c r="E237" s="79"/>
      <c r="O237" s="79"/>
      <c r="S237" s="79"/>
      <c r="T237" s="79"/>
      <c r="Y237" s="79"/>
      <c r="AC237" s="130"/>
      <c r="AE237" s="106"/>
    </row>
    <row r="238">
      <c r="C238" s="79"/>
      <c r="D238" s="79"/>
      <c r="E238" s="79"/>
      <c r="O238" s="79"/>
      <c r="S238" s="79"/>
      <c r="T238" s="79"/>
      <c r="Y238" s="79"/>
      <c r="AC238" s="130"/>
      <c r="AE238" s="106"/>
    </row>
    <row r="239">
      <c r="C239" s="79"/>
      <c r="D239" s="79"/>
      <c r="E239" s="79"/>
      <c r="O239" s="79"/>
      <c r="S239" s="79"/>
      <c r="T239" s="79"/>
      <c r="Y239" s="79"/>
      <c r="AC239" s="130"/>
      <c r="AE239" s="106"/>
    </row>
    <row r="240">
      <c r="C240" s="79"/>
      <c r="D240" s="79"/>
      <c r="E240" s="79"/>
      <c r="O240" s="79"/>
      <c r="S240" s="79"/>
      <c r="T240" s="79"/>
      <c r="Y240" s="79"/>
      <c r="AC240" s="130"/>
      <c r="AE240" s="106"/>
    </row>
    <row r="241">
      <c r="C241" s="79"/>
      <c r="D241" s="79"/>
      <c r="E241" s="79"/>
      <c r="O241" s="79"/>
      <c r="S241" s="79"/>
      <c r="T241" s="79"/>
      <c r="Y241" s="79"/>
      <c r="AC241" s="130"/>
      <c r="AE241" s="106"/>
    </row>
    <row r="242">
      <c r="C242" s="79"/>
      <c r="D242" s="79"/>
      <c r="E242" s="79"/>
      <c r="O242" s="79"/>
      <c r="S242" s="79"/>
      <c r="T242" s="79"/>
      <c r="Y242" s="79"/>
      <c r="AC242" s="130"/>
      <c r="AE242" s="106"/>
    </row>
    <row r="243">
      <c r="C243" s="79"/>
      <c r="D243" s="79"/>
      <c r="E243" s="79"/>
      <c r="O243" s="79"/>
      <c r="S243" s="79"/>
      <c r="T243" s="79"/>
      <c r="Y243" s="79"/>
      <c r="AC243" s="130"/>
      <c r="AE243" s="106"/>
    </row>
    <row r="244">
      <c r="C244" s="79"/>
      <c r="D244" s="79"/>
      <c r="E244" s="79"/>
      <c r="O244" s="79"/>
      <c r="S244" s="79"/>
      <c r="T244" s="79"/>
      <c r="Y244" s="79"/>
      <c r="AC244" s="130"/>
      <c r="AE244" s="106"/>
    </row>
    <row r="245">
      <c r="C245" s="79"/>
      <c r="D245" s="79"/>
      <c r="E245" s="79"/>
      <c r="O245" s="79"/>
      <c r="S245" s="79"/>
      <c r="T245" s="79"/>
      <c r="Y245" s="79"/>
      <c r="AC245" s="130"/>
      <c r="AE245" s="106"/>
    </row>
    <row r="246">
      <c r="C246" s="79"/>
      <c r="D246" s="79"/>
      <c r="E246" s="79"/>
      <c r="O246" s="79"/>
      <c r="S246" s="79"/>
      <c r="T246" s="79"/>
      <c r="Y246" s="79"/>
      <c r="AC246" s="130"/>
      <c r="AE246" s="106"/>
    </row>
    <row r="247">
      <c r="C247" s="79"/>
      <c r="D247" s="79"/>
      <c r="E247" s="79"/>
      <c r="O247" s="79"/>
      <c r="S247" s="79"/>
      <c r="T247" s="79"/>
      <c r="Y247" s="79"/>
      <c r="AC247" s="130"/>
      <c r="AE247" s="106"/>
    </row>
    <row r="248">
      <c r="C248" s="79"/>
      <c r="D248" s="79"/>
      <c r="E248" s="79"/>
      <c r="O248" s="79"/>
      <c r="S248" s="79"/>
      <c r="T248" s="79"/>
      <c r="Y248" s="79"/>
      <c r="AC248" s="130"/>
      <c r="AE248" s="106"/>
    </row>
    <row r="249">
      <c r="C249" s="79"/>
      <c r="D249" s="79"/>
      <c r="E249" s="79"/>
      <c r="O249" s="79"/>
      <c r="S249" s="79"/>
      <c r="T249" s="79"/>
      <c r="Y249" s="79"/>
      <c r="AC249" s="130"/>
      <c r="AE249" s="106"/>
    </row>
    <row r="250">
      <c r="C250" s="79"/>
      <c r="D250" s="79"/>
      <c r="E250" s="79"/>
      <c r="O250" s="79"/>
      <c r="S250" s="79"/>
      <c r="T250" s="79"/>
      <c r="Y250" s="79"/>
      <c r="AC250" s="130"/>
      <c r="AE250" s="106"/>
    </row>
    <row r="251">
      <c r="C251" s="79"/>
      <c r="D251" s="79"/>
      <c r="E251" s="79"/>
      <c r="O251" s="79"/>
      <c r="S251" s="79"/>
      <c r="T251" s="79"/>
      <c r="Y251" s="79"/>
      <c r="AC251" s="130"/>
      <c r="AE251" s="106"/>
    </row>
    <row r="252">
      <c r="C252" s="79"/>
      <c r="D252" s="79"/>
      <c r="E252" s="79"/>
      <c r="O252" s="79"/>
      <c r="S252" s="79"/>
      <c r="T252" s="79"/>
      <c r="Y252" s="79"/>
      <c r="AC252" s="130"/>
      <c r="AE252" s="106"/>
    </row>
    <row r="253">
      <c r="C253" s="79"/>
      <c r="D253" s="79"/>
      <c r="E253" s="79"/>
      <c r="O253" s="79"/>
      <c r="S253" s="79"/>
      <c r="T253" s="79"/>
      <c r="Y253" s="79"/>
      <c r="AC253" s="130"/>
      <c r="AE253" s="106"/>
    </row>
    <row r="254">
      <c r="C254" s="79"/>
      <c r="D254" s="79"/>
      <c r="E254" s="79"/>
      <c r="O254" s="79"/>
      <c r="S254" s="79"/>
      <c r="T254" s="79"/>
      <c r="Y254" s="79"/>
      <c r="AC254" s="130"/>
      <c r="AE254" s="106"/>
    </row>
    <row r="255">
      <c r="C255" s="79"/>
      <c r="D255" s="79"/>
      <c r="E255" s="79"/>
      <c r="O255" s="79"/>
      <c r="S255" s="79"/>
      <c r="T255" s="79"/>
      <c r="Y255" s="79"/>
      <c r="AC255" s="130"/>
      <c r="AE255" s="106"/>
    </row>
    <row r="256">
      <c r="C256" s="79"/>
      <c r="D256" s="79"/>
      <c r="E256" s="79"/>
      <c r="O256" s="79"/>
      <c r="S256" s="79"/>
      <c r="T256" s="79"/>
      <c r="Y256" s="79"/>
      <c r="AC256" s="130"/>
      <c r="AE256" s="106"/>
    </row>
    <row r="257">
      <c r="C257" s="79"/>
      <c r="D257" s="79"/>
      <c r="E257" s="79"/>
      <c r="O257" s="79"/>
      <c r="S257" s="79"/>
      <c r="T257" s="79"/>
      <c r="Y257" s="79"/>
      <c r="AC257" s="130"/>
      <c r="AE257" s="106"/>
    </row>
    <row r="258">
      <c r="C258" s="79"/>
      <c r="D258" s="79"/>
      <c r="E258" s="79"/>
      <c r="O258" s="79"/>
      <c r="S258" s="79"/>
      <c r="T258" s="79"/>
      <c r="Y258" s="79"/>
      <c r="AC258" s="130"/>
      <c r="AE258" s="106"/>
    </row>
    <row r="259">
      <c r="C259" s="79"/>
      <c r="D259" s="79"/>
      <c r="E259" s="79"/>
      <c r="O259" s="79"/>
      <c r="S259" s="79"/>
      <c r="T259" s="79"/>
      <c r="Y259" s="79"/>
      <c r="AC259" s="130"/>
      <c r="AE259" s="106"/>
    </row>
    <row r="260">
      <c r="C260" s="79"/>
      <c r="D260" s="79"/>
      <c r="E260" s="79"/>
      <c r="O260" s="79"/>
      <c r="S260" s="79"/>
      <c r="T260" s="79"/>
      <c r="Y260" s="79"/>
      <c r="AC260" s="130"/>
      <c r="AE260" s="106"/>
    </row>
    <row r="261">
      <c r="C261" s="79"/>
      <c r="D261" s="79"/>
      <c r="E261" s="79"/>
      <c r="O261" s="79"/>
      <c r="S261" s="79"/>
      <c r="T261" s="79"/>
      <c r="Y261" s="79"/>
      <c r="AC261" s="130"/>
      <c r="AE261" s="106"/>
    </row>
    <row r="262">
      <c r="C262" s="79"/>
      <c r="D262" s="79"/>
      <c r="E262" s="79"/>
      <c r="O262" s="79"/>
      <c r="S262" s="79"/>
      <c r="T262" s="79"/>
      <c r="Y262" s="79"/>
      <c r="AC262" s="130"/>
      <c r="AE262" s="106"/>
    </row>
    <row r="263">
      <c r="C263" s="79"/>
      <c r="D263" s="79"/>
      <c r="E263" s="79"/>
      <c r="O263" s="79"/>
      <c r="S263" s="79"/>
      <c r="T263" s="79"/>
      <c r="Y263" s="79"/>
      <c r="AC263" s="130"/>
      <c r="AE263" s="106"/>
    </row>
    <row r="264">
      <c r="C264" s="79"/>
      <c r="D264" s="79"/>
      <c r="E264" s="79"/>
      <c r="O264" s="79"/>
      <c r="S264" s="79"/>
      <c r="T264" s="79"/>
      <c r="Y264" s="79"/>
      <c r="AC264" s="130"/>
      <c r="AE264" s="106"/>
    </row>
    <row r="265">
      <c r="C265" s="79"/>
      <c r="D265" s="79"/>
      <c r="E265" s="79"/>
      <c r="O265" s="79"/>
      <c r="S265" s="79"/>
      <c r="T265" s="79"/>
      <c r="Y265" s="79"/>
      <c r="AC265" s="130"/>
      <c r="AE265" s="106"/>
    </row>
    <row r="266">
      <c r="C266" s="79"/>
      <c r="D266" s="79"/>
      <c r="E266" s="79"/>
      <c r="O266" s="79"/>
      <c r="S266" s="79"/>
      <c r="T266" s="79"/>
      <c r="Y266" s="79"/>
      <c r="AC266" s="130"/>
      <c r="AE266" s="106"/>
    </row>
    <row r="267">
      <c r="C267" s="79"/>
      <c r="D267" s="79"/>
      <c r="E267" s="79"/>
      <c r="O267" s="79"/>
      <c r="S267" s="79"/>
      <c r="T267" s="79"/>
      <c r="Y267" s="79"/>
      <c r="AC267" s="130"/>
      <c r="AE267" s="106"/>
    </row>
    <row r="268">
      <c r="C268" s="79"/>
      <c r="D268" s="79"/>
      <c r="E268" s="79"/>
      <c r="O268" s="79"/>
      <c r="S268" s="79"/>
      <c r="T268" s="79"/>
      <c r="Y268" s="79"/>
      <c r="AC268" s="130"/>
      <c r="AE268" s="106"/>
    </row>
    <row r="269">
      <c r="C269" s="79"/>
      <c r="D269" s="79"/>
      <c r="E269" s="79"/>
      <c r="O269" s="79"/>
      <c r="S269" s="79"/>
      <c r="T269" s="79"/>
      <c r="Y269" s="79"/>
      <c r="AC269" s="130"/>
      <c r="AE269" s="106"/>
    </row>
    <row r="270">
      <c r="C270" s="79"/>
      <c r="D270" s="79"/>
      <c r="E270" s="79"/>
      <c r="O270" s="79"/>
      <c r="S270" s="79"/>
      <c r="T270" s="79"/>
      <c r="Y270" s="79"/>
      <c r="AC270" s="130"/>
      <c r="AE270" s="106"/>
    </row>
    <row r="271">
      <c r="C271" s="79"/>
      <c r="D271" s="79"/>
      <c r="E271" s="79"/>
      <c r="O271" s="79"/>
      <c r="S271" s="79"/>
      <c r="T271" s="79"/>
      <c r="Y271" s="79"/>
      <c r="AC271" s="130"/>
      <c r="AE271" s="106"/>
    </row>
    <row r="272">
      <c r="C272" s="79"/>
      <c r="D272" s="79"/>
      <c r="E272" s="79"/>
      <c r="O272" s="79"/>
      <c r="S272" s="79"/>
      <c r="T272" s="79"/>
      <c r="Y272" s="79"/>
      <c r="AC272" s="130"/>
      <c r="AE272" s="106"/>
    </row>
    <row r="273">
      <c r="C273" s="79"/>
      <c r="D273" s="79"/>
      <c r="E273" s="79"/>
      <c r="O273" s="79"/>
      <c r="S273" s="79"/>
      <c r="T273" s="79"/>
      <c r="Y273" s="79"/>
      <c r="AC273" s="130"/>
      <c r="AE273" s="106"/>
    </row>
    <row r="274">
      <c r="C274" s="79"/>
      <c r="D274" s="79"/>
      <c r="E274" s="79"/>
      <c r="O274" s="79"/>
      <c r="S274" s="79"/>
      <c r="T274" s="79"/>
      <c r="Y274" s="79"/>
      <c r="AC274" s="130"/>
      <c r="AE274" s="106"/>
    </row>
    <row r="275">
      <c r="C275" s="79"/>
      <c r="D275" s="79"/>
      <c r="E275" s="79"/>
      <c r="O275" s="79"/>
      <c r="S275" s="79"/>
      <c r="T275" s="79"/>
      <c r="Y275" s="79"/>
      <c r="AC275" s="130"/>
      <c r="AE275" s="106"/>
    </row>
    <row r="276">
      <c r="C276" s="79"/>
      <c r="D276" s="79"/>
      <c r="E276" s="79"/>
      <c r="O276" s="79"/>
      <c r="S276" s="79"/>
      <c r="T276" s="79"/>
      <c r="Y276" s="79"/>
      <c r="AC276" s="130"/>
      <c r="AE276" s="106"/>
    </row>
    <row r="277">
      <c r="C277" s="79"/>
      <c r="D277" s="79"/>
      <c r="E277" s="79"/>
      <c r="O277" s="79"/>
      <c r="S277" s="79"/>
      <c r="T277" s="79"/>
      <c r="Y277" s="79"/>
      <c r="AC277" s="130"/>
      <c r="AE277" s="106"/>
    </row>
    <row r="278">
      <c r="C278" s="79"/>
      <c r="D278" s="79"/>
      <c r="E278" s="79"/>
      <c r="O278" s="79"/>
      <c r="S278" s="79"/>
      <c r="T278" s="79"/>
      <c r="Y278" s="79"/>
      <c r="AC278" s="130"/>
      <c r="AE278" s="106"/>
    </row>
    <row r="279">
      <c r="C279" s="79"/>
      <c r="D279" s="79"/>
      <c r="E279" s="79"/>
      <c r="O279" s="79"/>
      <c r="S279" s="79"/>
      <c r="T279" s="79"/>
      <c r="Y279" s="79"/>
      <c r="AC279" s="130"/>
      <c r="AE279" s="106"/>
    </row>
    <row r="280">
      <c r="C280" s="79"/>
      <c r="D280" s="79"/>
      <c r="E280" s="79"/>
      <c r="O280" s="79"/>
      <c r="S280" s="79"/>
      <c r="T280" s="79"/>
      <c r="Y280" s="79"/>
      <c r="AC280" s="130"/>
      <c r="AE280" s="106"/>
    </row>
    <row r="281">
      <c r="C281" s="79"/>
      <c r="D281" s="79"/>
      <c r="E281" s="79"/>
      <c r="O281" s="79"/>
      <c r="S281" s="79"/>
      <c r="T281" s="79"/>
      <c r="Y281" s="79"/>
      <c r="AC281" s="130"/>
      <c r="AE281" s="106"/>
    </row>
    <row r="282">
      <c r="C282" s="79"/>
      <c r="D282" s="79"/>
      <c r="E282" s="79"/>
      <c r="O282" s="79"/>
      <c r="S282" s="79"/>
      <c r="T282" s="79"/>
      <c r="Y282" s="79"/>
      <c r="AC282" s="130"/>
      <c r="AE282" s="106"/>
    </row>
    <row r="283">
      <c r="C283" s="79"/>
      <c r="D283" s="79"/>
      <c r="E283" s="79"/>
      <c r="O283" s="79"/>
      <c r="S283" s="79"/>
      <c r="T283" s="79"/>
      <c r="Y283" s="79"/>
      <c r="AC283" s="130"/>
      <c r="AE283" s="106"/>
    </row>
    <row r="284">
      <c r="C284" s="79"/>
      <c r="D284" s="79"/>
      <c r="E284" s="79"/>
      <c r="O284" s="79"/>
      <c r="S284" s="79"/>
      <c r="T284" s="79"/>
      <c r="Y284" s="79"/>
      <c r="AC284" s="130"/>
      <c r="AE284" s="106"/>
    </row>
    <row r="285">
      <c r="C285" s="79"/>
      <c r="D285" s="79"/>
      <c r="E285" s="79"/>
      <c r="O285" s="79"/>
      <c r="S285" s="79"/>
      <c r="T285" s="79"/>
      <c r="Y285" s="79"/>
      <c r="AC285" s="130"/>
      <c r="AE285" s="106"/>
    </row>
    <row r="286">
      <c r="C286" s="79"/>
      <c r="D286" s="79"/>
      <c r="E286" s="79"/>
      <c r="O286" s="79"/>
      <c r="S286" s="79"/>
      <c r="T286" s="79"/>
      <c r="Y286" s="79"/>
      <c r="AC286" s="130"/>
      <c r="AE286" s="106"/>
    </row>
    <row r="287">
      <c r="C287" s="79"/>
      <c r="D287" s="79"/>
      <c r="E287" s="79"/>
      <c r="O287" s="79"/>
      <c r="S287" s="79"/>
      <c r="T287" s="79"/>
      <c r="Y287" s="79"/>
      <c r="AC287" s="130"/>
      <c r="AE287" s="106"/>
    </row>
    <row r="288">
      <c r="C288" s="79"/>
      <c r="D288" s="79"/>
      <c r="E288" s="79"/>
      <c r="O288" s="79"/>
      <c r="S288" s="79"/>
      <c r="T288" s="79"/>
      <c r="Y288" s="79"/>
      <c r="AC288" s="130"/>
      <c r="AE288" s="106"/>
    </row>
    <row r="289">
      <c r="C289" s="79"/>
      <c r="D289" s="79"/>
      <c r="E289" s="79"/>
      <c r="O289" s="79"/>
      <c r="S289" s="79"/>
      <c r="T289" s="79"/>
      <c r="Y289" s="79"/>
      <c r="AC289" s="130"/>
      <c r="AE289" s="106"/>
    </row>
    <row r="290">
      <c r="C290" s="79"/>
      <c r="D290" s="79"/>
      <c r="E290" s="79"/>
      <c r="O290" s="79"/>
      <c r="S290" s="79"/>
      <c r="T290" s="79"/>
      <c r="Y290" s="79"/>
      <c r="AC290" s="130"/>
      <c r="AE290" s="106"/>
    </row>
    <row r="291">
      <c r="C291" s="79"/>
      <c r="D291" s="79"/>
      <c r="E291" s="79"/>
      <c r="O291" s="79"/>
      <c r="S291" s="79"/>
      <c r="T291" s="79"/>
      <c r="Y291" s="79"/>
      <c r="AC291" s="130"/>
      <c r="AE291" s="106"/>
    </row>
    <row r="292">
      <c r="C292" s="79"/>
      <c r="D292" s="79"/>
      <c r="E292" s="79"/>
      <c r="O292" s="79"/>
      <c r="S292" s="79"/>
      <c r="T292" s="79"/>
      <c r="Y292" s="79"/>
      <c r="AC292" s="130"/>
      <c r="AE292" s="106"/>
    </row>
    <row r="293">
      <c r="C293" s="79"/>
      <c r="D293" s="79"/>
      <c r="E293" s="79"/>
      <c r="O293" s="79"/>
      <c r="S293" s="79"/>
      <c r="T293" s="79"/>
      <c r="Y293" s="79"/>
      <c r="AC293" s="130"/>
      <c r="AE293" s="106"/>
    </row>
    <row r="294">
      <c r="C294" s="79"/>
      <c r="D294" s="79"/>
      <c r="E294" s="79"/>
      <c r="O294" s="79"/>
      <c r="S294" s="79"/>
      <c r="T294" s="79"/>
      <c r="Y294" s="79"/>
      <c r="AC294" s="130"/>
      <c r="AE294" s="106"/>
    </row>
    <row r="295">
      <c r="C295" s="79"/>
      <c r="D295" s="79"/>
      <c r="E295" s="79"/>
      <c r="O295" s="79"/>
      <c r="S295" s="79"/>
      <c r="T295" s="79"/>
      <c r="Y295" s="79"/>
      <c r="AC295" s="130"/>
      <c r="AE295" s="106"/>
    </row>
    <row r="296">
      <c r="C296" s="79"/>
      <c r="D296" s="79"/>
      <c r="E296" s="79"/>
      <c r="O296" s="79"/>
      <c r="S296" s="79"/>
      <c r="T296" s="79"/>
      <c r="Y296" s="79"/>
      <c r="AC296" s="130"/>
      <c r="AE296" s="106"/>
    </row>
    <row r="297">
      <c r="C297" s="79"/>
      <c r="D297" s="79"/>
      <c r="E297" s="79"/>
      <c r="O297" s="79"/>
      <c r="S297" s="79"/>
      <c r="T297" s="79"/>
      <c r="Y297" s="79"/>
      <c r="AC297" s="130"/>
      <c r="AE297" s="106"/>
    </row>
    <row r="298">
      <c r="C298" s="79"/>
      <c r="D298" s="79"/>
      <c r="E298" s="79"/>
      <c r="O298" s="79"/>
      <c r="S298" s="79"/>
      <c r="T298" s="79"/>
      <c r="Y298" s="79"/>
      <c r="AC298" s="130"/>
      <c r="AE298" s="106"/>
    </row>
    <row r="299">
      <c r="C299" s="79"/>
      <c r="D299" s="79"/>
      <c r="E299" s="79"/>
      <c r="O299" s="79"/>
      <c r="S299" s="79"/>
      <c r="T299" s="79"/>
      <c r="Y299" s="79"/>
      <c r="AC299" s="130"/>
      <c r="AE299" s="106"/>
    </row>
    <row r="300">
      <c r="C300" s="79"/>
      <c r="D300" s="79"/>
      <c r="E300" s="79"/>
      <c r="O300" s="79"/>
      <c r="S300" s="79"/>
      <c r="T300" s="79"/>
      <c r="Y300" s="79"/>
      <c r="AC300" s="130"/>
      <c r="AE300" s="106"/>
    </row>
    <row r="301">
      <c r="C301" s="79"/>
      <c r="D301" s="79"/>
      <c r="E301" s="79"/>
      <c r="O301" s="79"/>
      <c r="S301" s="79"/>
      <c r="T301" s="79"/>
      <c r="Y301" s="79"/>
      <c r="AC301" s="130"/>
      <c r="AE301" s="106"/>
    </row>
    <row r="302">
      <c r="C302" s="79"/>
      <c r="D302" s="79"/>
      <c r="E302" s="79"/>
      <c r="O302" s="79"/>
      <c r="S302" s="79"/>
      <c r="T302" s="79"/>
      <c r="Y302" s="79"/>
      <c r="AC302" s="130"/>
      <c r="AE302" s="106"/>
    </row>
    <row r="303">
      <c r="C303" s="79"/>
      <c r="D303" s="79"/>
      <c r="E303" s="79"/>
      <c r="O303" s="79"/>
      <c r="S303" s="79"/>
      <c r="T303" s="79"/>
      <c r="Y303" s="79"/>
      <c r="AC303" s="130"/>
      <c r="AE303" s="106"/>
    </row>
    <row r="304">
      <c r="C304" s="79"/>
      <c r="D304" s="79"/>
      <c r="E304" s="79"/>
      <c r="O304" s="79"/>
      <c r="S304" s="79"/>
      <c r="T304" s="79"/>
      <c r="Y304" s="79"/>
      <c r="AC304" s="130"/>
      <c r="AE304" s="106"/>
    </row>
    <row r="305">
      <c r="C305" s="79"/>
      <c r="D305" s="79"/>
      <c r="E305" s="79"/>
      <c r="O305" s="79"/>
      <c r="S305" s="79"/>
      <c r="T305" s="79"/>
      <c r="Y305" s="79"/>
      <c r="AC305" s="130"/>
      <c r="AE305" s="106"/>
    </row>
    <row r="306">
      <c r="C306" s="79"/>
      <c r="D306" s="79"/>
      <c r="E306" s="79"/>
      <c r="O306" s="79"/>
      <c r="S306" s="79"/>
      <c r="T306" s="79"/>
      <c r="Y306" s="79"/>
      <c r="AC306" s="130"/>
      <c r="AE306" s="106"/>
    </row>
    <row r="307">
      <c r="C307" s="79"/>
      <c r="D307" s="79"/>
      <c r="E307" s="79"/>
      <c r="O307" s="79"/>
      <c r="S307" s="79"/>
      <c r="T307" s="79"/>
      <c r="Y307" s="79"/>
      <c r="AC307" s="130"/>
      <c r="AE307" s="106"/>
    </row>
    <row r="308">
      <c r="C308" s="79"/>
      <c r="D308" s="79"/>
      <c r="E308" s="79"/>
      <c r="O308" s="79"/>
      <c r="S308" s="79"/>
      <c r="T308" s="79"/>
      <c r="Y308" s="79"/>
      <c r="AC308" s="130"/>
      <c r="AE308" s="106"/>
    </row>
    <row r="309">
      <c r="C309" s="79"/>
      <c r="D309" s="79"/>
      <c r="E309" s="79"/>
      <c r="O309" s="79"/>
      <c r="S309" s="79"/>
      <c r="T309" s="79"/>
      <c r="Y309" s="79"/>
      <c r="AC309" s="130"/>
      <c r="AE309" s="106"/>
    </row>
    <row r="310">
      <c r="C310" s="79"/>
      <c r="D310" s="79"/>
      <c r="E310" s="79"/>
      <c r="O310" s="79"/>
      <c r="S310" s="79"/>
      <c r="T310" s="79"/>
      <c r="Y310" s="79"/>
      <c r="AC310" s="130"/>
      <c r="AE310" s="106"/>
    </row>
    <row r="311">
      <c r="C311" s="79"/>
      <c r="D311" s="79"/>
      <c r="E311" s="79"/>
      <c r="O311" s="79"/>
      <c r="S311" s="79"/>
      <c r="T311" s="79"/>
      <c r="Y311" s="79"/>
      <c r="AC311" s="130"/>
      <c r="AE311" s="106"/>
    </row>
    <row r="312">
      <c r="C312" s="79"/>
      <c r="D312" s="79"/>
      <c r="E312" s="79"/>
      <c r="O312" s="79"/>
      <c r="S312" s="79"/>
      <c r="T312" s="79"/>
      <c r="Y312" s="79"/>
      <c r="AC312" s="130"/>
      <c r="AE312" s="106"/>
    </row>
    <row r="313">
      <c r="C313" s="79"/>
      <c r="D313" s="79"/>
      <c r="E313" s="79"/>
      <c r="O313" s="79"/>
      <c r="S313" s="79"/>
      <c r="T313" s="79"/>
      <c r="Y313" s="79"/>
      <c r="AC313" s="130"/>
      <c r="AE313" s="106"/>
    </row>
    <row r="314">
      <c r="C314" s="79"/>
      <c r="D314" s="79"/>
      <c r="E314" s="79"/>
      <c r="O314" s="79"/>
      <c r="S314" s="79"/>
      <c r="T314" s="79"/>
      <c r="Y314" s="79"/>
      <c r="AC314" s="130"/>
      <c r="AE314" s="106"/>
    </row>
    <row r="315">
      <c r="C315" s="79"/>
      <c r="D315" s="79"/>
      <c r="E315" s="79"/>
      <c r="O315" s="79"/>
      <c r="S315" s="79"/>
      <c r="T315" s="79"/>
      <c r="Y315" s="79"/>
      <c r="AC315" s="130"/>
      <c r="AE315" s="106"/>
    </row>
    <row r="316">
      <c r="C316" s="79"/>
      <c r="D316" s="79"/>
      <c r="E316" s="79"/>
      <c r="O316" s="79"/>
      <c r="S316" s="79"/>
      <c r="T316" s="79"/>
      <c r="Y316" s="79"/>
      <c r="AC316" s="130"/>
      <c r="AE316" s="106"/>
    </row>
    <row r="317">
      <c r="C317" s="79"/>
      <c r="D317" s="79"/>
      <c r="E317" s="79"/>
      <c r="O317" s="79"/>
      <c r="S317" s="79"/>
      <c r="T317" s="79"/>
      <c r="Y317" s="79"/>
      <c r="AC317" s="130"/>
      <c r="AE317" s="106"/>
    </row>
    <row r="318">
      <c r="C318" s="79"/>
      <c r="D318" s="79"/>
      <c r="E318" s="79"/>
      <c r="O318" s="79"/>
      <c r="S318" s="79"/>
      <c r="T318" s="79"/>
      <c r="Y318" s="79"/>
      <c r="AC318" s="130"/>
      <c r="AE318" s="106"/>
    </row>
    <row r="319">
      <c r="C319" s="79"/>
      <c r="D319" s="79"/>
      <c r="E319" s="79"/>
      <c r="O319" s="79"/>
      <c r="S319" s="79"/>
      <c r="T319" s="79"/>
      <c r="Y319" s="79"/>
      <c r="AC319" s="130"/>
      <c r="AE319" s="106"/>
    </row>
    <row r="320">
      <c r="C320" s="79"/>
      <c r="D320" s="79"/>
      <c r="E320" s="79"/>
      <c r="O320" s="79"/>
      <c r="S320" s="79"/>
      <c r="T320" s="79"/>
      <c r="Y320" s="79"/>
      <c r="AC320" s="130"/>
      <c r="AE320" s="106"/>
    </row>
    <row r="321">
      <c r="C321" s="79"/>
      <c r="D321" s="79"/>
      <c r="E321" s="79"/>
      <c r="O321" s="79"/>
      <c r="S321" s="79"/>
      <c r="T321" s="79"/>
      <c r="Y321" s="79"/>
      <c r="AC321" s="130"/>
      <c r="AE321" s="106"/>
    </row>
    <row r="322">
      <c r="C322" s="79"/>
      <c r="D322" s="79"/>
      <c r="E322" s="79"/>
      <c r="O322" s="79"/>
      <c r="S322" s="79"/>
      <c r="T322" s="79"/>
      <c r="Y322" s="79"/>
      <c r="AC322" s="130"/>
      <c r="AE322" s="106"/>
    </row>
    <row r="323">
      <c r="C323" s="79"/>
      <c r="D323" s="79"/>
      <c r="E323" s="79"/>
      <c r="O323" s="79"/>
      <c r="S323" s="79"/>
      <c r="T323" s="79"/>
      <c r="Y323" s="79"/>
      <c r="AC323" s="130"/>
      <c r="AE323" s="106"/>
    </row>
    <row r="324">
      <c r="C324" s="79"/>
      <c r="D324" s="79"/>
      <c r="E324" s="79"/>
      <c r="O324" s="79"/>
      <c r="S324" s="79"/>
      <c r="T324" s="79"/>
      <c r="Y324" s="79"/>
      <c r="AC324" s="130"/>
      <c r="AE324" s="106"/>
    </row>
    <row r="325">
      <c r="C325" s="79"/>
      <c r="D325" s="79"/>
      <c r="E325" s="79"/>
      <c r="O325" s="79"/>
      <c r="S325" s="79"/>
      <c r="T325" s="79"/>
      <c r="Y325" s="79"/>
      <c r="AC325" s="130"/>
      <c r="AE325" s="106"/>
    </row>
    <row r="326">
      <c r="C326" s="79"/>
      <c r="D326" s="79"/>
      <c r="E326" s="79"/>
      <c r="O326" s="79"/>
      <c r="S326" s="79"/>
      <c r="T326" s="79"/>
      <c r="Y326" s="79"/>
      <c r="AC326" s="130"/>
      <c r="AE326" s="106"/>
    </row>
    <row r="327">
      <c r="C327" s="79"/>
      <c r="D327" s="79"/>
      <c r="E327" s="79"/>
      <c r="O327" s="79"/>
      <c r="S327" s="79"/>
      <c r="T327" s="79"/>
      <c r="Y327" s="79"/>
      <c r="AC327" s="130"/>
      <c r="AE327" s="106"/>
    </row>
    <row r="328">
      <c r="C328" s="79"/>
      <c r="D328" s="79"/>
      <c r="E328" s="79"/>
      <c r="O328" s="79"/>
      <c r="S328" s="79"/>
      <c r="T328" s="79"/>
      <c r="Y328" s="79"/>
      <c r="AC328" s="130"/>
      <c r="AE328" s="106"/>
    </row>
    <row r="329">
      <c r="C329" s="79"/>
      <c r="D329" s="79"/>
      <c r="E329" s="79"/>
      <c r="O329" s="79"/>
      <c r="S329" s="79"/>
      <c r="T329" s="79"/>
      <c r="Y329" s="79"/>
      <c r="AC329" s="130"/>
      <c r="AE329" s="106"/>
    </row>
    <row r="330">
      <c r="C330" s="79"/>
      <c r="D330" s="79"/>
      <c r="E330" s="79"/>
      <c r="O330" s="79"/>
      <c r="S330" s="79"/>
      <c r="T330" s="79"/>
      <c r="Y330" s="79"/>
      <c r="AC330" s="130"/>
      <c r="AE330" s="106"/>
    </row>
    <row r="331">
      <c r="C331" s="79"/>
      <c r="D331" s="79"/>
      <c r="E331" s="79"/>
      <c r="O331" s="79"/>
      <c r="S331" s="79"/>
      <c r="T331" s="79"/>
      <c r="Y331" s="79"/>
      <c r="AC331" s="130"/>
      <c r="AE331" s="106"/>
    </row>
    <row r="332">
      <c r="C332" s="79"/>
      <c r="D332" s="79"/>
      <c r="E332" s="79"/>
      <c r="O332" s="79"/>
      <c r="S332" s="79"/>
      <c r="T332" s="79"/>
      <c r="Y332" s="79"/>
      <c r="AC332" s="130"/>
      <c r="AE332" s="106"/>
    </row>
    <row r="333">
      <c r="C333" s="79"/>
      <c r="D333" s="79"/>
      <c r="E333" s="79"/>
      <c r="O333" s="79"/>
      <c r="S333" s="79"/>
      <c r="T333" s="79"/>
      <c r="Y333" s="79"/>
      <c r="AC333" s="130"/>
      <c r="AE333" s="106"/>
    </row>
    <row r="334">
      <c r="C334" s="79"/>
      <c r="D334" s="79"/>
      <c r="E334" s="79"/>
      <c r="O334" s="79"/>
      <c r="S334" s="79"/>
      <c r="T334" s="79"/>
      <c r="Y334" s="79"/>
      <c r="AC334" s="130"/>
      <c r="AE334" s="106"/>
    </row>
    <row r="335">
      <c r="C335" s="79"/>
      <c r="D335" s="79"/>
      <c r="E335" s="79"/>
      <c r="O335" s="79"/>
      <c r="S335" s="79"/>
      <c r="T335" s="79"/>
      <c r="Y335" s="79"/>
      <c r="AC335" s="130"/>
      <c r="AE335" s="106"/>
    </row>
    <row r="336">
      <c r="C336" s="79"/>
      <c r="D336" s="79"/>
      <c r="E336" s="79"/>
      <c r="O336" s="79"/>
      <c r="S336" s="79"/>
      <c r="T336" s="79"/>
      <c r="Y336" s="79"/>
      <c r="AC336" s="130"/>
      <c r="AE336" s="106"/>
    </row>
    <row r="337">
      <c r="C337" s="79"/>
      <c r="D337" s="79"/>
      <c r="E337" s="79"/>
      <c r="O337" s="79"/>
      <c r="S337" s="79"/>
      <c r="T337" s="79"/>
      <c r="Y337" s="79"/>
      <c r="AC337" s="130"/>
      <c r="AE337" s="106"/>
    </row>
    <row r="338">
      <c r="C338" s="79"/>
      <c r="D338" s="79"/>
      <c r="E338" s="79"/>
      <c r="O338" s="79"/>
      <c r="S338" s="79"/>
      <c r="T338" s="79"/>
      <c r="Y338" s="79"/>
      <c r="AC338" s="130"/>
      <c r="AE338" s="106"/>
    </row>
    <row r="339">
      <c r="C339" s="79"/>
      <c r="D339" s="79"/>
      <c r="E339" s="79"/>
      <c r="O339" s="79"/>
      <c r="S339" s="79"/>
      <c r="T339" s="79"/>
      <c r="Y339" s="79"/>
      <c r="AC339" s="130"/>
      <c r="AE339" s="106"/>
    </row>
    <row r="340">
      <c r="C340" s="79"/>
      <c r="D340" s="79"/>
      <c r="E340" s="79"/>
      <c r="O340" s="79"/>
      <c r="S340" s="79"/>
      <c r="T340" s="79"/>
      <c r="Y340" s="79"/>
      <c r="AC340" s="130"/>
      <c r="AE340" s="106"/>
    </row>
    <row r="341">
      <c r="C341" s="79"/>
      <c r="D341" s="79"/>
      <c r="E341" s="79"/>
      <c r="O341" s="79"/>
      <c r="S341" s="79"/>
      <c r="T341" s="79"/>
      <c r="Y341" s="79"/>
      <c r="AC341" s="130"/>
      <c r="AE341" s="106"/>
    </row>
    <row r="342">
      <c r="C342" s="79"/>
      <c r="D342" s="79"/>
      <c r="E342" s="79"/>
      <c r="O342" s="79"/>
      <c r="S342" s="79"/>
      <c r="T342" s="79"/>
      <c r="Y342" s="79"/>
      <c r="AC342" s="130"/>
      <c r="AE342" s="106"/>
    </row>
    <row r="343">
      <c r="C343" s="79"/>
      <c r="D343" s="79"/>
      <c r="E343" s="79"/>
      <c r="O343" s="79"/>
      <c r="S343" s="79"/>
      <c r="T343" s="79"/>
      <c r="Y343" s="79"/>
      <c r="AC343" s="130"/>
      <c r="AE343" s="106"/>
    </row>
    <row r="344">
      <c r="C344" s="79"/>
      <c r="D344" s="79"/>
      <c r="E344" s="79"/>
      <c r="O344" s="79"/>
      <c r="S344" s="79"/>
      <c r="T344" s="79"/>
      <c r="Y344" s="79"/>
      <c r="AC344" s="130"/>
      <c r="AE344" s="106"/>
    </row>
    <row r="345">
      <c r="C345" s="79"/>
      <c r="D345" s="79"/>
      <c r="E345" s="79"/>
      <c r="O345" s="79"/>
      <c r="S345" s="79"/>
      <c r="T345" s="79"/>
      <c r="Y345" s="79"/>
      <c r="AC345" s="130"/>
      <c r="AE345" s="106"/>
    </row>
    <row r="346">
      <c r="C346" s="79"/>
      <c r="D346" s="79"/>
      <c r="E346" s="79"/>
      <c r="O346" s="79"/>
      <c r="S346" s="79"/>
      <c r="T346" s="79"/>
      <c r="Y346" s="79"/>
      <c r="AC346" s="130"/>
      <c r="AE346" s="106"/>
    </row>
    <row r="347">
      <c r="C347" s="79"/>
      <c r="D347" s="79"/>
      <c r="E347" s="79"/>
      <c r="O347" s="79"/>
      <c r="S347" s="79"/>
      <c r="T347" s="79"/>
      <c r="Y347" s="79"/>
      <c r="AC347" s="130"/>
      <c r="AE347" s="106"/>
    </row>
    <row r="348">
      <c r="C348" s="79"/>
      <c r="D348" s="79"/>
      <c r="E348" s="79"/>
      <c r="O348" s="79"/>
      <c r="S348" s="79"/>
      <c r="T348" s="79"/>
      <c r="Y348" s="79"/>
      <c r="AC348" s="130"/>
      <c r="AE348" s="106"/>
    </row>
    <row r="349">
      <c r="C349" s="79"/>
      <c r="D349" s="79"/>
      <c r="E349" s="79"/>
      <c r="O349" s="79"/>
      <c r="S349" s="79"/>
      <c r="T349" s="79"/>
      <c r="Y349" s="79"/>
      <c r="AC349" s="130"/>
      <c r="AE349" s="106"/>
    </row>
    <row r="350">
      <c r="C350" s="79"/>
      <c r="D350" s="79"/>
      <c r="E350" s="79"/>
      <c r="O350" s="79"/>
      <c r="S350" s="79"/>
      <c r="T350" s="79"/>
      <c r="Y350" s="79"/>
      <c r="AC350" s="130"/>
      <c r="AE350" s="106"/>
    </row>
    <row r="351">
      <c r="C351" s="79"/>
      <c r="D351" s="79"/>
      <c r="E351" s="79"/>
      <c r="O351" s="79"/>
      <c r="S351" s="79"/>
      <c r="T351" s="79"/>
      <c r="Y351" s="79"/>
      <c r="AC351" s="130"/>
      <c r="AE351" s="106"/>
    </row>
    <row r="352">
      <c r="C352" s="79"/>
      <c r="D352" s="79"/>
      <c r="E352" s="79"/>
      <c r="O352" s="79"/>
      <c r="S352" s="79"/>
      <c r="T352" s="79"/>
      <c r="Y352" s="79"/>
      <c r="AC352" s="130"/>
      <c r="AE352" s="106"/>
    </row>
    <row r="353">
      <c r="C353" s="79"/>
      <c r="D353" s="79"/>
      <c r="E353" s="79"/>
      <c r="O353" s="79"/>
      <c r="S353" s="79"/>
      <c r="T353" s="79"/>
      <c r="Y353" s="79"/>
      <c r="AC353" s="130"/>
      <c r="AE353" s="106"/>
    </row>
    <row r="354">
      <c r="C354" s="79"/>
      <c r="D354" s="79"/>
      <c r="E354" s="79"/>
      <c r="O354" s="79"/>
      <c r="S354" s="79"/>
      <c r="T354" s="79"/>
      <c r="Y354" s="79"/>
      <c r="AC354" s="130"/>
      <c r="AE354" s="106"/>
    </row>
    <row r="355">
      <c r="C355" s="79"/>
      <c r="D355" s="79"/>
      <c r="E355" s="79"/>
      <c r="O355" s="79"/>
      <c r="S355" s="79"/>
      <c r="T355" s="79"/>
      <c r="Y355" s="79"/>
      <c r="AC355" s="130"/>
      <c r="AE355" s="106"/>
    </row>
    <row r="356">
      <c r="C356" s="79"/>
      <c r="D356" s="79"/>
      <c r="E356" s="79"/>
      <c r="O356" s="79"/>
      <c r="S356" s="79"/>
      <c r="T356" s="79"/>
      <c r="Y356" s="79"/>
      <c r="AC356" s="130"/>
      <c r="AE356" s="106"/>
    </row>
    <row r="357">
      <c r="C357" s="79"/>
      <c r="D357" s="79"/>
      <c r="E357" s="79"/>
      <c r="O357" s="79"/>
      <c r="S357" s="79"/>
      <c r="T357" s="79"/>
      <c r="Y357" s="79"/>
      <c r="AC357" s="130"/>
      <c r="AE357" s="106"/>
    </row>
    <row r="358">
      <c r="C358" s="79"/>
      <c r="D358" s="79"/>
      <c r="E358" s="79"/>
      <c r="O358" s="79"/>
      <c r="S358" s="79"/>
      <c r="T358" s="79"/>
      <c r="Y358" s="79"/>
      <c r="AC358" s="130"/>
      <c r="AE358" s="106"/>
    </row>
    <row r="359">
      <c r="C359" s="79"/>
      <c r="D359" s="79"/>
      <c r="E359" s="79"/>
      <c r="O359" s="79"/>
      <c r="S359" s="79"/>
      <c r="T359" s="79"/>
      <c r="Y359" s="79"/>
      <c r="AC359" s="130"/>
      <c r="AE359" s="106"/>
    </row>
    <row r="360">
      <c r="C360" s="79"/>
      <c r="D360" s="79"/>
      <c r="E360" s="79"/>
      <c r="O360" s="79"/>
      <c r="S360" s="79"/>
      <c r="T360" s="79"/>
      <c r="Y360" s="79"/>
      <c r="AC360" s="130"/>
      <c r="AE360" s="106"/>
    </row>
    <row r="361">
      <c r="C361" s="79"/>
      <c r="D361" s="79"/>
      <c r="E361" s="79"/>
      <c r="O361" s="79"/>
      <c r="S361" s="79"/>
      <c r="T361" s="79"/>
      <c r="Y361" s="79"/>
      <c r="AC361" s="130"/>
      <c r="AE361" s="106"/>
    </row>
    <row r="362">
      <c r="C362" s="79"/>
      <c r="D362" s="79"/>
      <c r="E362" s="79"/>
      <c r="O362" s="79"/>
      <c r="S362" s="79"/>
      <c r="T362" s="79"/>
      <c r="Y362" s="79"/>
      <c r="AC362" s="130"/>
      <c r="AE362" s="106"/>
    </row>
    <row r="363">
      <c r="C363" s="79"/>
      <c r="D363" s="79"/>
      <c r="E363" s="79"/>
      <c r="O363" s="79"/>
      <c r="S363" s="79"/>
      <c r="T363" s="79"/>
      <c r="Y363" s="79"/>
      <c r="AC363" s="130"/>
      <c r="AE363" s="106"/>
    </row>
    <row r="364">
      <c r="C364" s="79"/>
      <c r="D364" s="79"/>
      <c r="E364" s="79"/>
      <c r="O364" s="79"/>
      <c r="S364" s="79"/>
      <c r="T364" s="79"/>
      <c r="Y364" s="79"/>
      <c r="AC364" s="130"/>
      <c r="AE364" s="106"/>
    </row>
    <row r="365">
      <c r="C365" s="79"/>
      <c r="D365" s="79"/>
      <c r="E365" s="79"/>
      <c r="O365" s="79"/>
      <c r="S365" s="79"/>
      <c r="T365" s="79"/>
      <c r="Y365" s="79"/>
      <c r="AC365" s="130"/>
      <c r="AE365" s="106"/>
    </row>
    <row r="366">
      <c r="C366" s="79"/>
      <c r="D366" s="79"/>
      <c r="E366" s="79"/>
      <c r="O366" s="79"/>
      <c r="S366" s="79"/>
      <c r="T366" s="79"/>
      <c r="Y366" s="79"/>
      <c r="AC366" s="130"/>
      <c r="AE366" s="106"/>
    </row>
    <row r="367">
      <c r="C367" s="79"/>
      <c r="D367" s="79"/>
      <c r="E367" s="79"/>
      <c r="O367" s="79"/>
      <c r="S367" s="79"/>
      <c r="T367" s="79"/>
      <c r="Y367" s="79"/>
      <c r="AC367" s="130"/>
      <c r="AE367" s="106"/>
    </row>
    <row r="368">
      <c r="C368" s="79"/>
      <c r="D368" s="79"/>
      <c r="E368" s="79"/>
      <c r="O368" s="79"/>
      <c r="S368" s="79"/>
      <c r="T368" s="79"/>
      <c r="Y368" s="79"/>
      <c r="AC368" s="130"/>
      <c r="AE368" s="106"/>
    </row>
    <row r="369">
      <c r="C369" s="79"/>
      <c r="D369" s="79"/>
      <c r="E369" s="79"/>
      <c r="O369" s="79"/>
      <c r="S369" s="79"/>
      <c r="T369" s="79"/>
      <c r="Y369" s="79"/>
      <c r="AC369" s="130"/>
      <c r="AE369" s="106"/>
    </row>
    <row r="370">
      <c r="C370" s="79"/>
      <c r="D370" s="79"/>
      <c r="E370" s="79"/>
      <c r="O370" s="79"/>
      <c r="S370" s="79"/>
      <c r="T370" s="79"/>
      <c r="Y370" s="79"/>
      <c r="AC370" s="130"/>
      <c r="AE370" s="106"/>
    </row>
    <row r="371">
      <c r="C371" s="79"/>
      <c r="D371" s="79"/>
      <c r="E371" s="79"/>
      <c r="O371" s="79"/>
      <c r="S371" s="79"/>
      <c r="T371" s="79"/>
      <c r="Y371" s="79"/>
      <c r="AC371" s="130"/>
      <c r="AE371" s="106"/>
    </row>
    <row r="372">
      <c r="C372" s="79"/>
      <c r="D372" s="79"/>
      <c r="E372" s="79"/>
      <c r="O372" s="79"/>
      <c r="S372" s="79"/>
      <c r="T372" s="79"/>
      <c r="Y372" s="79"/>
      <c r="AC372" s="130"/>
      <c r="AE372" s="106"/>
    </row>
    <row r="373">
      <c r="C373" s="79"/>
      <c r="D373" s="79"/>
      <c r="E373" s="79"/>
      <c r="O373" s="79"/>
      <c r="S373" s="79"/>
      <c r="T373" s="79"/>
      <c r="Y373" s="79"/>
      <c r="AC373" s="130"/>
      <c r="AE373" s="106"/>
    </row>
    <row r="374">
      <c r="C374" s="79"/>
      <c r="D374" s="79"/>
      <c r="E374" s="79"/>
      <c r="O374" s="79"/>
      <c r="S374" s="79"/>
      <c r="T374" s="79"/>
      <c r="Y374" s="79"/>
      <c r="AC374" s="130"/>
      <c r="AE374" s="106"/>
    </row>
    <row r="375">
      <c r="C375" s="79"/>
      <c r="D375" s="79"/>
      <c r="E375" s="79"/>
      <c r="O375" s="79"/>
      <c r="S375" s="79"/>
      <c r="T375" s="79"/>
      <c r="Y375" s="79"/>
      <c r="AC375" s="130"/>
      <c r="AE375" s="106"/>
    </row>
    <row r="376">
      <c r="C376" s="79"/>
      <c r="D376" s="79"/>
      <c r="E376" s="79"/>
      <c r="O376" s="79"/>
      <c r="S376" s="79"/>
      <c r="T376" s="79"/>
      <c r="Y376" s="79"/>
      <c r="AC376" s="130"/>
      <c r="AE376" s="106"/>
    </row>
    <row r="377">
      <c r="C377" s="79"/>
      <c r="D377" s="79"/>
      <c r="E377" s="79"/>
      <c r="O377" s="79"/>
      <c r="S377" s="79"/>
      <c r="T377" s="79"/>
      <c r="Y377" s="79"/>
      <c r="AC377" s="130"/>
      <c r="AE377" s="106"/>
    </row>
    <row r="378">
      <c r="C378" s="79"/>
      <c r="D378" s="79"/>
      <c r="E378" s="79"/>
      <c r="O378" s="79"/>
      <c r="S378" s="79"/>
      <c r="T378" s="79"/>
      <c r="Y378" s="79"/>
      <c r="AC378" s="130"/>
      <c r="AE378" s="106"/>
    </row>
    <row r="379">
      <c r="C379" s="79"/>
      <c r="D379" s="79"/>
      <c r="E379" s="79"/>
      <c r="O379" s="79"/>
      <c r="S379" s="79"/>
      <c r="T379" s="79"/>
      <c r="Y379" s="79"/>
      <c r="AC379" s="130"/>
      <c r="AE379" s="106"/>
    </row>
    <row r="380">
      <c r="C380" s="79"/>
      <c r="D380" s="79"/>
      <c r="E380" s="79"/>
      <c r="O380" s="79"/>
      <c r="S380" s="79"/>
      <c r="T380" s="79"/>
      <c r="Y380" s="79"/>
      <c r="AC380" s="130"/>
      <c r="AE380" s="106"/>
    </row>
    <row r="381">
      <c r="C381" s="79"/>
      <c r="D381" s="79"/>
      <c r="E381" s="79"/>
      <c r="O381" s="79"/>
      <c r="S381" s="79"/>
      <c r="T381" s="79"/>
      <c r="Y381" s="79"/>
      <c r="AC381" s="130"/>
      <c r="AE381" s="106"/>
    </row>
    <row r="382">
      <c r="C382" s="79"/>
      <c r="D382" s="79"/>
      <c r="E382" s="79"/>
      <c r="O382" s="79"/>
      <c r="S382" s="79"/>
      <c r="T382" s="79"/>
      <c r="Y382" s="79"/>
      <c r="AC382" s="130"/>
      <c r="AE382" s="106"/>
    </row>
    <row r="383">
      <c r="C383" s="79"/>
      <c r="D383" s="79"/>
      <c r="E383" s="79"/>
      <c r="O383" s="79"/>
      <c r="S383" s="79"/>
      <c r="T383" s="79"/>
      <c r="Y383" s="79"/>
      <c r="AC383" s="130"/>
      <c r="AE383" s="106"/>
    </row>
    <row r="384">
      <c r="C384" s="79"/>
      <c r="D384" s="79"/>
      <c r="E384" s="79"/>
      <c r="O384" s="79"/>
      <c r="S384" s="79"/>
      <c r="T384" s="79"/>
      <c r="Y384" s="79"/>
      <c r="AC384" s="130"/>
      <c r="AE384" s="106"/>
    </row>
    <row r="385">
      <c r="C385" s="79"/>
      <c r="D385" s="79"/>
      <c r="E385" s="79"/>
      <c r="O385" s="79"/>
      <c r="S385" s="79"/>
      <c r="T385" s="79"/>
      <c r="Y385" s="79"/>
      <c r="AC385" s="130"/>
      <c r="AE385" s="106"/>
    </row>
    <row r="386">
      <c r="C386" s="79"/>
      <c r="D386" s="79"/>
      <c r="E386" s="79"/>
      <c r="O386" s="79"/>
      <c r="S386" s="79"/>
      <c r="T386" s="79"/>
      <c r="Y386" s="79"/>
      <c r="AC386" s="130"/>
      <c r="AE386" s="106"/>
    </row>
    <row r="387">
      <c r="C387" s="79"/>
      <c r="D387" s="79"/>
      <c r="E387" s="79"/>
      <c r="O387" s="79"/>
      <c r="S387" s="79"/>
      <c r="T387" s="79"/>
      <c r="Y387" s="79"/>
      <c r="AC387" s="130"/>
      <c r="AE387" s="106"/>
    </row>
    <row r="388">
      <c r="C388" s="79"/>
      <c r="D388" s="79"/>
      <c r="E388" s="79"/>
      <c r="O388" s="79"/>
      <c r="S388" s="79"/>
      <c r="T388" s="79"/>
      <c r="Y388" s="79"/>
      <c r="AC388" s="130"/>
      <c r="AE388" s="106"/>
    </row>
    <row r="389">
      <c r="C389" s="79"/>
      <c r="D389" s="79"/>
      <c r="E389" s="79"/>
      <c r="O389" s="79"/>
      <c r="S389" s="79"/>
      <c r="T389" s="79"/>
      <c r="Y389" s="79"/>
      <c r="AC389" s="130"/>
      <c r="AE389" s="106"/>
    </row>
    <row r="390">
      <c r="C390" s="79"/>
      <c r="D390" s="79"/>
      <c r="E390" s="79"/>
      <c r="O390" s="79"/>
      <c r="S390" s="79"/>
      <c r="T390" s="79"/>
      <c r="Y390" s="79"/>
      <c r="AC390" s="130"/>
      <c r="AE390" s="106"/>
    </row>
    <row r="391">
      <c r="C391" s="79"/>
      <c r="D391" s="79"/>
      <c r="E391" s="79"/>
      <c r="O391" s="79"/>
      <c r="S391" s="79"/>
      <c r="T391" s="79"/>
      <c r="Y391" s="79"/>
      <c r="AC391" s="130"/>
      <c r="AE391" s="106"/>
    </row>
    <row r="392">
      <c r="C392" s="79"/>
      <c r="D392" s="79"/>
      <c r="E392" s="79"/>
      <c r="O392" s="79"/>
      <c r="S392" s="79"/>
      <c r="T392" s="79"/>
      <c r="Y392" s="79"/>
      <c r="AC392" s="130"/>
      <c r="AE392" s="106"/>
    </row>
    <row r="393">
      <c r="C393" s="79"/>
      <c r="D393" s="79"/>
      <c r="E393" s="79"/>
      <c r="O393" s="79"/>
      <c r="S393" s="79"/>
      <c r="T393" s="79"/>
      <c r="Y393" s="79"/>
      <c r="AC393" s="130"/>
      <c r="AE393" s="106"/>
    </row>
    <row r="394">
      <c r="C394" s="79"/>
      <c r="D394" s="79"/>
      <c r="E394" s="79"/>
      <c r="O394" s="79"/>
      <c r="S394" s="79"/>
      <c r="T394" s="79"/>
      <c r="Y394" s="79"/>
      <c r="AC394" s="130"/>
      <c r="AE394" s="106"/>
    </row>
    <row r="395">
      <c r="C395" s="79"/>
      <c r="D395" s="79"/>
      <c r="E395" s="79"/>
      <c r="O395" s="79"/>
      <c r="S395" s="79"/>
      <c r="T395" s="79"/>
      <c r="Y395" s="79"/>
      <c r="AC395" s="130"/>
      <c r="AE395" s="106"/>
    </row>
    <row r="396">
      <c r="C396" s="79"/>
      <c r="D396" s="79"/>
      <c r="E396" s="79"/>
      <c r="O396" s="79"/>
      <c r="S396" s="79"/>
      <c r="T396" s="79"/>
      <c r="Y396" s="79"/>
      <c r="AC396" s="130"/>
      <c r="AE396" s="106"/>
    </row>
    <row r="397">
      <c r="C397" s="79"/>
      <c r="D397" s="79"/>
      <c r="E397" s="79"/>
      <c r="O397" s="79"/>
      <c r="S397" s="79"/>
      <c r="T397" s="79"/>
      <c r="Y397" s="79"/>
      <c r="AC397" s="130"/>
      <c r="AE397" s="106"/>
    </row>
    <row r="398">
      <c r="C398" s="79"/>
      <c r="D398" s="79"/>
      <c r="E398" s="79"/>
      <c r="O398" s="79"/>
      <c r="S398" s="79"/>
      <c r="T398" s="79"/>
      <c r="Y398" s="79"/>
      <c r="AC398" s="130"/>
      <c r="AE398" s="106"/>
    </row>
    <row r="399">
      <c r="C399" s="79"/>
      <c r="D399" s="79"/>
      <c r="E399" s="79"/>
      <c r="O399" s="79"/>
      <c r="S399" s="79"/>
      <c r="T399" s="79"/>
      <c r="Y399" s="79"/>
      <c r="AC399" s="130"/>
      <c r="AE399" s="106"/>
    </row>
    <row r="400">
      <c r="C400" s="79"/>
      <c r="D400" s="79"/>
      <c r="E400" s="79"/>
      <c r="O400" s="79"/>
      <c r="S400" s="79"/>
      <c r="T400" s="79"/>
      <c r="Y400" s="79"/>
      <c r="AC400" s="130"/>
      <c r="AE400" s="106"/>
    </row>
    <row r="401">
      <c r="C401" s="79"/>
      <c r="D401" s="79"/>
      <c r="E401" s="79"/>
      <c r="O401" s="79"/>
      <c r="S401" s="79"/>
      <c r="T401" s="79"/>
      <c r="Y401" s="79"/>
      <c r="AC401" s="130"/>
      <c r="AE401" s="106"/>
    </row>
    <row r="402">
      <c r="C402" s="79"/>
      <c r="D402" s="79"/>
      <c r="E402" s="79"/>
      <c r="O402" s="79"/>
      <c r="S402" s="79"/>
      <c r="T402" s="79"/>
      <c r="Y402" s="79"/>
      <c r="AC402" s="130"/>
      <c r="AE402" s="106"/>
    </row>
    <row r="403">
      <c r="C403" s="79"/>
      <c r="D403" s="79"/>
      <c r="E403" s="79"/>
      <c r="O403" s="79"/>
      <c r="S403" s="79"/>
      <c r="T403" s="79"/>
      <c r="Y403" s="79"/>
      <c r="AC403" s="130"/>
      <c r="AE403" s="106"/>
    </row>
    <row r="404">
      <c r="C404" s="79"/>
      <c r="D404" s="79"/>
      <c r="E404" s="79"/>
      <c r="O404" s="79"/>
      <c r="S404" s="79"/>
      <c r="T404" s="79"/>
      <c r="Y404" s="79"/>
      <c r="AC404" s="130"/>
      <c r="AE404" s="106"/>
    </row>
    <row r="405">
      <c r="C405" s="79"/>
      <c r="D405" s="79"/>
      <c r="E405" s="79"/>
      <c r="O405" s="79"/>
      <c r="S405" s="79"/>
      <c r="T405" s="79"/>
      <c r="Y405" s="79"/>
      <c r="AC405" s="130"/>
      <c r="AE405" s="106"/>
    </row>
    <row r="406">
      <c r="C406" s="79"/>
      <c r="D406" s="79"/>
      <c r="E406" s="79"/>
      <c r="O406" s="79"/>
      <c r="S406" s="79"/>
      <c r="T406" s="79"/>
      <c r="Y406" s="79"/>
      <c r="AC406" s="130"/>
      <c r="AE406" s="106"/>
    </row>
    <row r="407">
      <c r="C407" s="79"/>
      <c r="D407" s="79"/>
      <c r="E407" s="79"/>
      <c r="O407" s="79"/>
      <c r="S407" s="79"/>
      <c r="T407" s="79"/>
      <c r="Y407" s="79"/>
      <c r="AC407" s="130"/>
      <c r="AE407" s="106"/>
    </row>
    <row r="408">
      <c r="C408" s="79"/>
      <c r="D408" s="79"/>
      <c r="E408" s="79"/>
      <c r="O408" s="79"/>
      <c r="S408" s="79"/>
      <c r="T408" s="79"/>
      <c r="Y408" s="79"/>
      <c r="AC408" s="130"/>
      <c r="AE408" s="106"/>
    </row>
    <row r="409">
      <c r="C409" s="79"/>
      <c r="D409" s="79"/>
      <c r="E409" s="79"/>
      <c r="O409" s="79"/>
      <c r="S409" s="79"/>
      <c r="T409" s="79"/>
      <c r="Y409" s="79"/>
      <c r="AC409" s="130"/>
      <c r="AE409" s="106"/>
    </row>
    <row r="410">
      <c r="C410" s="79"/>
      <c r="D410" s="79"/>
      <c r="E410" s="79"/>
      <c r="O410" s="79"/>
      <c r="S410" s="79"/>
      <c r="T410" s="79"/>
      <c r="Y410" s="79"/>
      <c r="AC410" s="130"/>
      <c r="AE410" s="106"/>
    </row>
    <row r="411">
      <c r="C411" s="79"/>
      <c r="D411" s="79"/>
      <c r="E411" s="79"/>
      <c r="O411" s="79"/>
      <c r="S411" s="79"/>
      <c r="T411" s="79"/>
      <c r="Y411" s="79"/>
      <c r="AC411" s="130"/>
      <c r="AE411" s="106"/>
    </row>
    <row r="412">
      <c r="C412" s="79"/>
      <c r="D412" s="79"/>
      <c r="E412" s="79"/>
      <c r="O412" s="79"/>
      <c r="S412" s="79"/>
      <c r="T412" s="79"/>
      <c r="Y412" s="79"/>
      <c r="AC412" s="130"/>
      <c r="AE412" s="106"/>
    </row>
    <row r="413">
      <c r="C413" s="79"/>
      <c r="D413" s="79"/>
      <c r="E413" s="79"/>
      <c r="O413" s="79"/>
      <c r="S413" s="79"/>
      <c r="T413" s="79"/>
      <c r="Y413" s="79"/>
      <c r="AC413" s="130"/>
      <c r="AE413" s="106"/>
    </row>
    <row r="414">
      <c r="C414" s="79"/>
      <c r="D414" s="79"/>
      <c r="E414" s="79"/>
      <c r="O414" s="79"/>
      <c r="S414" s="79"/>
      <c r="T414" s="79"/>
      <c r="Y414" s="79"/>
      <c r="AC414" s="130"/>
      <c r="AE414" s="106"/>
    </row>
    <row r="415">
      <c r="C415" s="79"/>
      <c r="D415" s="79"/>
      <c r="E415" s="79"/>
      <c r="O415" s="79"/>
      <c r="S415" s="79"/>
      <c r="T415" s="79"/>
      <c r="Y415" s="79"/>
      <c r="AC415" s="130"/>
      <c r="AE415" s="106"/>
    </row>
    <row r="416">
      <c r="C416" s="79"/>
      <c r="D416" s="79"/>
      <c r="E416" s="79"/>
      <c r="O416" s="79"/>
      <c r="S416" s="79"/>
      <c r="T416" s="79"/>
      <c r="Y416" s="79"/>
      <c r="AC416" s="130"/>
      <c r="AE416" s="106"/>
    </row>
    <row r="417">
      <c r="C417" s="79"/>
      <c r="D417" s="79"/>
      <c r="E417" s="79"/>
      <c r="O417" s="79"/>
      <c r="S417" s="79"/>
      <c r="T417" s="79"/>
      <c r="Y417" s="79"/>
      <c r="AC417" s="130"/>
      <c r="AE417" s="106"/>
    </row>
    <row r="418">
      <c r="C418" s="79"/>
      <c r="D418" s="79"/>
      <c r="E418" s="79"/>
      <c r="O418" s="79"/>
      <c r="S418" s="79"/>
      <c r="T418" s="79"/>
      <c r="Y418" s="79"/>
      <c r="AC418" s="130"/>
      <c r="AE418" s="106"/>
    </row>
    <row r="419">
      <c r="C419" s="79"/>
      <c r="D419" s="79"/>
      <c r="E419" s="79"/>
      <c r="O419" s="79"/>
      <c r="S419" s="79"/>
      <c r="T419" s="79"/>
      <c r="Y419" s="79"/>
      <c r="AC419" s="130"/>
      <c r="AE419" s="106"/>
    </row>
    <row r="420">
      <c r="C420" s="79"/>
      <c r="D420" s="79"/>
      <c r="E420" s="79"/>
      <c r="O420" s="79"/>
      <c r="S420" s="79"/>
      <c r="T420" s="79"/>
      <c r="Y420" s="79"/>
      <c r="AC420" s="130"/>
      <c r="AE420" s="106"/>
    </row>
    <row r="421">
      <c r="C421" s="79"/>
      <c r="D421" s="79"/>
      <c r="E421" s="79"/>
      <c r="O421" s="79"/>
      <c r="S421" s="79"/>
      <c r="T421" s="79"/>
      <c r="Y421" s="79"/>
      <c r="AC421" s="130"/>
      <c r="AE421" s="106"/>
    </row>
    <row r="422">
      <c r="C422" s="79"/>
      <c r="D422" s="79"/>
      <c r="E422" s="79"/>
      <c r="O422" s="79"/>
      <c r="S422" s="79"/>
      <c r="T422" s="79"/>
      <c r="Y422" s="79"/>
      <c r="AC422" s="130"/>
      <c r="AE422" s="106"/>
    </row>
    <row r="423">
      <c r="C423" s="79"/>
      <c r="D423" s="79"/>
      <c r="E423" s="79"/>
      <c r="O423" s="79"/>
      <c r="S423" s="79"/>
      <c r="T423" s="79"/>
      <c r="Y423" s="79"/>
      <c r="AC423" s="130"/>
      <c r="AE423" s="106"/>
    </row>
    <row r="424">
      <c r="C424" s="79"/>
      <c r="D424" s="79"/>
      <c r="E424" s="79"/>
      <c r="O424" s="79"/>
      <c r="S424" s="79"/>
      <c r="T424" s="79"/>
      <c r="Y424" s="79"/>
      <c r="AC424" s="130"/>
      <c r="AE424" s="106"/>
    </row>
    <row r="425">
      <c r="C425" s="79"/>
      <c r="D425" s="79"/>
      <c r="E425" s="79"/>
      <c r="O425" s="79"/>
      <c r="S425" s="79"/>
      <c r="T425" s="79"/>
      <c r="Y425" s="79"/>
      <c r="AC425" s="130"/>
      <c r="AE425" s="106"/>
    </row>
    <row r="426">
      <c r="C426" s="79"/>
      <c r="D426" s="79"/>
      <c r="E426" s="79"/>
      <c r="O426" s="79"/>
      <c r="S426" s="79"/>
      <c r="T426" s="79"/>
      <c r="Y426" s="79"/>
      <c r="AC426" s="130"/>
      <c r="AE426" s="106"/>
    </row>
    <row r="427">
      <c r="C427" s="79"/>
      <c r="D427" s="79"/>
      <c r="E427" s="79"/>
      <c r="O427" s="79"/>
      <c r="S427" s="79"/>
      <c r="T427" s="79"/>
      <c r="Y427" s="79"/>
      <c r="AC427" s="130"/>
      <c r="AE427" s="106"/>
    </row>
    <row r="428">
      <c r="C428" s="79"/>
      <c r="D428" s="79"/>
      <c r="E428" s="79"/>
      <c r="O428" s="79"/>
      <c r="S428" s="79"/>
      <c r="T428" s="79"/>
      <c r="Y428" s="79"/>
      <c r="AC428" s="130"/>
      <c r="AE428" s="106"/>
    </row>
    <row r="429">
      <c r="C429" s="79"/>
      <c r="D429" s="79"/>
      <c r="E429" s="79"/>
      <c r="O429" s="79"/>
      <c r="S429" s="79"/>
      <c r="T429" s="79"/>
      <c r="Y429" s="79"/>
      <c r="AC429" s="130"/>
      <c r="AE429" s="106"/>
    </row>
    <row r="430">
      <c r="C430" s="79"/>
      <c r="D430" s="79"/>
      <c r="E430" s="79"/>
      <c r="O430" s="79"/>
      <c r="S430" s="79"/>
      <c r="T430" s="79"/>
      <c r="Y430" s="79"/>
      <c r="AC430" s="130"/>
      <c r="AE430" s="106"/>
    </row>
    <row r="431">
      <c r="C431" s="79"/>
      <c r="D431" s="79"/>
      <c r="E431" s="79"/>
      <c r="O431" s="79"/>
      <c r="S431" s="79"/>
      <c r="T431" s="79"/>
      <c r="Y431" s="79"/>
      <c r="AC431" s="130"/>
      <c r="AE431" s="106"/>
    </row>
    <row r="432">
      <c r="C432" s="79"/>
      <c r="D432" s="79"/>
      <c r="E432" s="79"/>
      <c r="O432" s="79"/>
      <c r="S432" s="79"/>
      <c r="T432" s="79"/>
      <c r="Y432" s="79"/>
      <c r="AC432" s="130"/>
      <c r="AE432" s="106"/>
    </row>
    <row r="433">
      <c r="C433" s="79"/>
      <c r="D433" s="79"/>
      <c r="E433" s="79"/>
      <c r="O433" s="79"/>
      <c r="S433" s="79"/>
      <c r="T433" s="79"/>
      <c r="Y433" s="79"/>
      <c r="AC433" s="130"/>
      <c r="AE433" s="106"/>
    </row>
    <row r="434">
      <c r="C434" s="79"/>
      <c r="D434" s="79"/>
      <c r="E434" s="79"/>
      <c r="O434" s="79"/>
      <c r="S434" s="79"/>
      <c r="T434" s="79"/>
      <c r="Y434" s="79"/>
      <c r="AC434" s="130"/>
      <c r="AE434" s="106"/>
    </row>
    <row r="435">
      <c r="C435" s="79"/>
      <c r="D435" s="79"/>
      <c r="E435" s="79"/>
      <c r="O435" s="79"/>
      <c r="S435" s="79"/>
      <c r="T435" s="79"/>
      <c r="Y435" s="79"/>
      <c r="AC435" s="130"/>
      <c r="AE435" s="106"/>
    </row>
    <row r="436">
      <c r="C436" s="79"/>
      <c r="D436" s="79"/>
      <c r="E436" s="79"/>
      <c r="O436" s="79"/>
      <c r="S436" s="79"/>
      <c r="T436" s="79"/>
      <c r="Y436" s="79"/>
      <c r="AC436" s="130"/>
      <c r="AE436" s="106"/>
    </row>
    <row r="437">
      <c r="C437" s="79"/>
      <c r="D437" s="79"/>
      <c r="E437" s="79"/>
      <c r="O437" s="79"/>
      <c r="S437" s="79"/>
      <c r="T437" s="79"/>
      <c r="Y437" s="79"/>
      <c r="AC437" s="130"/>
      <c r="AE437" s="106"/>
    </row>
    <row r="438">
      <c r="C438" s="79"/>
      <c r="D438" s="79"/>
      <c r="E438" s="79"/>
      <c r="O438" s="79"/>
      <c r="S438" s="79"/>
      <c r="T438" s="79"/>
      <c r="Y438" s="79"/>
      <c r="AC438" s="130"/>
      <c r="AE438" s="106"/>
    </row>
    <row r="439">
      <c r="C439" s="79"/>
      <c r="D439" s="79"/>
      <c r="E439" s="79"/>
      <c r="O439" s="79"/>
      <c r="S439" s="79"/>
      <c r="T439" s="79"/>
      <c r="Y439" s="79"/>
      <c r="AC439" s="130"/>
      <c r="AE439" s="106"/>
    </row>
    <row r="440">
      <c r="C440" s="79"/>
      <c r="D440" s="79"/>
      <c r="E440" s="79"/>
      <c r="O440" s="79"/>
      <c r="S440" s="79"/>
      <c r="T440" s="79"/>
      <c r="Y440" s="79"/>
      <c r="AC440" s="130"/>
      <c r="AE440" s="106"/>
    </row>
    <row r="441">
      <c r="C441" s="79"/>
      <c r="D441" s="79"/>
      <c r="E441" s="79"/>
      <c r="O441" s="79"/>
      <c r="S441" s="79"/>
      <c r="T441" s="79"/>
      <c r="Y441" s="79"/>
      <c r="AC441" s="130"/>
      <c r="AE441" s="106"/>
    </row>
    <row r="442">
      <c r="C442" s="79"/>
      <c r="D442" s="79"/>
      <c r="E442" s="79"/>
      <c r="O442" s="79"/>
      <c r="S442" s="79"/>
      <c r="T442" s="79"/>
      <c r="Y442" s="79"/>
      <c r="AC442" s="130"/>
      <c r="AE442" s="106"/>
    </row>
    <row r="443">
      <c r="C443" s="79"/>
      <c r="D443" s="79"/>
      <c r="E443" s="79"/>
      <c r="O443" s="79"/>
      <c r="S443" s="79"/>
      <c r="T443" s="79"/>
      <c r="Y443" s="79"/>
      <c r="AC443" s="130"/>
      <c r="AE443" s="106"/>
    </row>
    <row r="444">
      <c r="C444" s="79"/>
      <c r="D444" s="79"/>
      <c r="E444" s="79"/>
      <c r="O444" s="79"/>
      <c r="S444" s="79"/>
      <c r="T444" s="79"/>
      <c r="Y444" s="79"/>
      <c r="AC444" s="130"/>
      <c r="AE444" s="106"/>
    </row>
    <row r="445">
      <c r="C445" s="79"/>
      <c r="D445" s="79"/>
      <c r="E445" s="79"/>
      <c r="O445" s="79"/>
      <c r="S445" s="79"/>
      <c r="T445" s="79"/>
      <c r="Y445" s="79"/>
      <c r="AC445" s="130"/>
      <c r="AE445" s="106"/>
    </row>
    <row r="446">
      <c r="C446" s="79"/>
      <c r="D446" s="79"/>
      <c r="E446" s="79"/>
      <c r="O446" s="79"/>
      <c r="S446" s="79"/>
      <c r="T446" s="79"/>
      <c r="Y446" s="79"/>
      <c r="AC446" s="130"/>
      <c r="AE446" s="106"/>
    </row>
    <row r="447">
      <c r="C447" s="79"/>
      <c r="D447" s="79"/>
      <c r="E447" s="79"/>
      <c r="O447" s="79"/>
      <c r="S447" s="79"/>
      <c r="T447" s="79"/>
      <c r="Y447" s="79"/>
      <c r="AC447" s="130"/>
      <c r="AE447" s="106"/>
    </row>
    <row r="448">
      <c r="C448" s="79"/>
      <c r="D448" s="79"/>
      <c r="E448" s="79"/>
      <c r="O448" s="79"/>
      <c r="S448" s="79"/>
      <c r="T448" s="79"/>
      <c r="Y448" s="79"/>
      <c r="AC448" s="130"/>
      <c r="AE448" s="106"/>
    </row>
    <row r="449">
      <c r="C449" s="79"/>
      <c r="D449" s="79"/>
      <c r="E449" s="79"/>
      <c r="O449" s="79"/>
      <c r="S449" s="79"/>
      <c r="T449" s="79"/>
      <c r="Y449" s="79"/>
      <c r="AC449" s="130"/>
      <c r="AE449" s="106"/>
    </row>
    <row r="450">
      <c r="C450" s="79"/>
      <c r="D450" s="79"/>
      <c r="E450" s="79"/>
      <c r="O450" s="79"/>
      <c r="S450" s="79"/>
      <c r="T450" s="79"/>
      <c r="Y450" s="79"/>
      <c r="AC450" s="130"/>
      <c r="AE450" s="106"/>
    </row>
    <row r="451">
      <c r="C451" s="79"/>
      <c r="D451" s="79"/>
      <c r="E451" s="79"/>
      <c r="O451" s="79"/>
      <c r="S451" s="79"/>
      <c r="T451" s="79"/>
      <c r="Y451" s="79"/>
      <c r="AC451" s="130"/>
      <c r="AE451" s="106"/>
    </row>
    <row r="452">
      <c r="C452" s="79"/>
      <c r="D452" s="79"/>
      <c r="E452" s="79"/>
      <c r="O452" s="79"/>
      <c r="S452" s="79"/>
      <c r="T452" s="79"/>
      <c r="Y452" s="79"/>
      <c r="AC452" s="130"/>
      <c r="AE452" s="106"/>
    </row>
    <row r="453">
      <c r="C453" s="79"/>
      <c r="D453" s="79"/>
      <c r="E453" s="79"/>
      <c r="O453" s="79"/>
      <c r="S453" s="79"/>
      <c r="T453" s="79"/>
      <c r="Y453" s="79"/>
      <c r="AC453" s="130"/>
      <c r="AE453" s="106"/>
    </row>
    <row r="454">
      <c r="C454" s="79"/>
      <c r="D454" s="79"/>
      <c r="E454" s="79"/>
      <c r="O454" s="79"/>
      <c r="S454" s="79"/>
      <c r="T454" s="79"/>
      <c r="Y454" s="79"/>
      <c r="AC454" s="130"/>
      <c r="AE454" s="106"/>
    </row>
    <row r="455">
      <c r="C455" s="79"/>
      <c r="D455" s="79"/>
      <c r="E455" s="79"/>
      <c r="O455" s="79"/>
      <c r="S455" s="79"/>
      <c r="T455" s="79"/>
      <c r="Y455" s="79"/>
      <c r="AC455" s="130"/>
      <c r="AE455" s="106"/>
    </row>
    <row r="456">
      <c r="C456" s="79"/>
      <c r="D456" s="79"/>
      <c r="E456" s="79"/>
      <c r="O456" s="79"/>
      <c r="S456" s="79"/>
      <c r="T456" s="79"/>
      <c r="Y456" s="79"/>
      <c r="AC456" s="130"/>
      <c r="AE456" s="106"/>
    </row>
    <row r="457">
      <c r="C457" s="79"/>
      <c r="D457" s="79"/>
      <c r="E457" s="79"/>
      <c r="O457" s="79"/>
      <c r="S457" s="79"/>
      <c r="T457" s="79"/>
      <c r="Y457" s="79"/>
      <c r="AC457" s="130"/>
      <c r="AE457" s="106"/>
    </row>
    <row r="458">
      <c r="C458" s="79"/>
      <c r="D458" s="79"/>
      <c r="E458" s="79"/>
      <c r="O458" s="79"/>
      <c r="S458" s="79"/>
      <c r="T458" s="79"/>
      <c r="Y458" s="79"/>
      <c r="AC458" s="130"/>
      <c r="AE458" s="106"/>
    </row>
    <row r="459">
      <c r="C459" s="79"/>
      <c r="D459" s="79"/>
      <c r="E459" s="79"/>
      <c r="O459" s="79"/>
      <c r="S459" s="79"/>
      <c r="T459" s="79"/>
      <c r="Y459" s="79"/>
      <c r="AC459" s="130"/>
      <c r="AE459" s="106"/>
    </row>
    <row r="460">
      <c r="C460" s="79"/>
      <c r="D460" s="79"/>
      <c r="E460" s="79"/>
      <c r="O460" s="79"/>
      <c r="S460" s="79"/>
      <c r="T460" s="79"/>
      <c r="Y460" s="79"/>
      <c r="AC460" s="130"/>
      <c r="AE460" s="106"/>
    </row>
    <row r="461">
      <c r="C461" s="79"/>
      <c r="D461" s="79"/>
      <c r="E461" s="79"/>
      <c r="O461" s="79"/>
      <c r="S461" s="79"/>
      <c r="T461" s="79"/>
      <c r="Y461" s="79"/>
      <c r="AC461" s="130"/>
      <c r="AE461" s="106"/>
    </row>
    <row r="462">
      <c r="C462" s="79"/>
      <c r="D462" s="79"/>
      <c r="E462" s="79"/>
      <c r="O462" s="79"/>
      <c r="S462" s="79"/>
      <c r="T462" s="79"/>
      <c r="Y462" s="79"/>
      <c r="AC462" s="130"/>
      <c r="AE462" s="106"/>
    </row>
    <row r="463">
      <c r="C463" s="79"/>
      <c r="D463" s="79"/>
      <c r="E463" s="79"/>
      <c r="O463" s="79"/>
      <c r="S463" s="79"/>
      <c r="T463" s="79"/>
      <c r="Y463" s="79"/>
      <c r="AC463" s="130"/>
      <c r="AE463" s="106"/>
    </row>
    <row r="464">
      <c r="C464" s="79"/>
      <c r="D464" s="79"/>
      <c r="E464" s="79"/>
      <c r="O464" s="79"/>
      <c r="S464" s="79"/>
      <c r="T464" s="79"/>
      <c r="Y464" s="79"/>
      <c r="AC464" s="130"/>
      <c r="AE464" s="106"/>
    </row>
    <row r="465">
      <c r="C465" s="79"/>
      <c r="D465" s="79"/>
      <c r="E465" s="79"/>
      <c r="O465" s="79"/>
      <c r="S465" s="79"/>
      <c r="T465" s="79"/>
      <c r="Y465" s="79"/>
      <c r="AC465" s="130"/>
      <c r="AE465" s="106"/>
    </row>
    <row r="466">
      <c r="C466" s="79"/>
      <c r="D466" s="79"/>
      <c r="E466" s="79"/>
      <c r="O466" s="79"/>
      <c r="S466" s="79"/>
      <c r="T466" s="79"/>
      <c r="Y466" s="79"/>
      <c r="AC466" s="130"/>
      <c r="AE466" s="106"/>
    </row>
    <row r="467">
      <c r="C467" s="79"/>
      <c r="D467" s="79"/>
      <c r="E467" s="79"/>
      <c r="O467" s="79"/>
      <c r="S467" s="79"/>
      <c r="T467" s="79"/>
      <c r="Y467" s="79"/>
      <c r="AC467" s="130"/>
      <c r="AE467" s="106"/>
    </row>
    <row r="468">
      <c r="C468" s="79"/>
      <c r="D468" s="79"/>
      <c r="E468" s="79"/>
      <c r="O468" s="79"/>
      <c r="S468" s="79"/>
      <c r="T468" s="79"/>
      <c r="Y468" s="79"/>
      <c r="AC468" s="130"/>
      <c r="AE468" s="106"/>
    </row>
    <row r="469">
      <c r="C469" s="79"/>
      <c r="D469" s="79"/>
      <c r="E469" s="79"/>
      <c r="O469" s="79"/>
      <c r="S469" s="79"/>
      <c r="T469" s="79"/>
      <c r="Y469" s="79"/>
      <c r="AC469" s="130"/>
      <c r="AE469" s="106"/>
    </row>
    <row r="470">
      <c r="C470" s="79"/>
      <c r="D470" s="79"/>
      <c r="E470" s="79"/>
      <c r="O470" s="79"/>
      <c r="S470" s="79"/>
      <c r="T470" s="79"/>
      <c r="Y470" s="79"/>
      <c r="AC470" s="130"/>
      <c r="AE470" s="106"/>
    </row>
    <row r="471">
      <c r="C471" s="79"/>
      <c r="D471" s="79"/>
      <c r="E471" s="79"/>
      <c r="O471" s="79"/>
      <c r="S471" s="79"/>
      <c r="T471" s="79"/>
      <c r="Y471" s="79"/>
      <c r="AC471" s="130"/>
      <c r="AE471" s="106"/>
    </row>
    <row r="472">
      <c r="C472" s="79"/>
      <c r="D472" s="79"/>
      <c r="E472" s="79"/>
      <c r="O472" s="79"/>
      <c r="S472" s="79"/>
      <c r="T472" s="79"/>
      <c r="Y472" s="79"/>
      <c r="AC472" s="130"/>
      <c r="AE472" s="106"/>
    </row>
    <row r="473">
      <c r="C473" s="79"/>
      <c r="D473" s="79"/>
      <c r="E473" s="79"/>
      <c r="O473" s="79"/>
      <c r="S473" s="79"/>
      <c r="T473" s="79"/>
      <c r="Y473" s="79"/>
      <c r="AC473" s="130"/>
      <c r="AE473" s="106"/>
    </row>
    <row r="474">
      <c r="C474" s="79"/>
      <c r="D474" s="79"/>
      <c r="E474" s="79"/>
      <c r="O474" s="79"/>
      <c r="S474" s="79"/>
      <c r="T474" s="79"/>
      <c r="Y474" s="79"/>
      <c r="AC474" s="130"/>
      <c r="AE474" s="106"/>
    </row>
    <row r="475">
      <c r="C475" s="79"/>
      <c r="D475" s="79"/>
      <c r="E475" s="79"/>
      <c r="O475" s="79"/>
      <c r="S475" s="79"/>
      <c r="T475" s="79"/>
      <c r="Y475" s="79"/>
      <c r="AC475" s="130"/>
      <c r="AE475" s="106"/>
    </row>
    <row r="476">
      <c r="C476" s="79"/>
      <c r="D476" s="79"/>
      <c r="E476" s="79"/>
      <c r="O476" s="79"/>
      <c r="S476" s="79"/>
      <c r="T476" s="79"/>
      <c r="Y476" s="79"/>
      <c r="AC476" s="130"/>
      <c r="AE476" s="106"/>
    </row>
    <row r="477">
      <c r="C477" s="79"/>
      <c r="D477" s="79"/>
      <c r="E477" s="79"/>
      <c r="O477" s="79"/>
      <c r="S477" s="79"/>
      <c r="T477" s="79"/>
      <c r="Y477" s="79"/>
      <c r="AC477" s="130"/>
      <c r="AE477" s="106"/>
    </row>
    <row r="478">
      <c r="C478" s="79"/>
      <c r="D478" s="79"/>
      <c r="E478" s="79"/>
      <c r="O478" s="79"/>
      <c r="S478" s="79"/>
      <c r="T478" s="79"/>
      <c r="Y478" s="79"/>
      <c r="AC478" s="130"/>
      <c r="AE478" s="106"/>
    </row>
    <row r="479">
      <c r="C479" s="79"/>
      <c r="D479" s="79"/>
      <c r="E479" s="79"/>
      <c r="O479" s="79"/>
      <c r="S479" s="79"/>
      <c r="T479" s="79"/>
      <c r="Y479" s="79"/>
      <c r="AC479" s="130"/>
      <c r="AE479" s="106"/>
    </row>
    <row r="480">
      <c r="C480" s="79"/>
      <c r="D480" s="79"/>
      <c r="E480" s="79"/>
      <c r="O480" s="79"/>
      <c r="S480" s="79"/>
      <c r="T480" s="79"/>
      <c r="Y480" s="79"/>
      <c r="AC480" s="130"/>
      <c r="AE480" s="106"/>
    </row>
    <row r="481">
      <c r="C481" s="79"/>
      <c r="D481" s="79"/>
      <c r="E481" s="79"/>
      <c r="O481" s="79"/>
      <c r="S481" s="79"/>
      <c r="T481" s="79"/>
      <c r="Y481" s="79"/>
      <c r="AC481" s="130"/>
      <c r="AE481" s="106"/>
    </row>
    <row r="482">
      <c r="C482" s="79"/>
      <c r="D482" s="79"/>
      <c r="E482" s="79"/>
      <c r="O482" s="79"/>
      <c r="S482" s="79"/>
      <c r="T482" s="79"/>
      <c r="Y482" s="79"/>
      <c r="AC482" s="130"/>
      <c r="AE482" s="106"/>
    </row>
    <row r="483">
      <c r="C483" s="79"/>
      <c r="D483" s="79"/>
      <c r="E483" s="79"/>
      <c r="O483" s="79"/>
      <c r="S483" s="79"/>
      <c r="T483" s="79"/>
      <c r="Y483" s="79"/>
      <c r="AC483" s="130"/>
      <c r="AE483" s="106"/>
    </row>
    <row r="484">
      <c r="C484" s="79"/>
      <c r="D484" s="79"/>
      <c r="E484" s="79"/>
      <c r="O484" s="79"/>
      <c r="S484" s="79"/>
      <c r="T484" s="79"/>
      <c r="Y484" s="79"/>
      <c r="AC484" s="130"/>
      <c r="AE484" s="106"/>
    </row>
    <row r="485">
      <c r="C485" s="79"/>
      <c r="D485" s="79"/>
      <c r="E485" s="79"/>
      <c r="O485" s="79"/>
      <c r="S485" s="79"/>
      <c r="T485" s="79"/>
      <c r="Y485" s="79"/>
      <c r="AC485" s="130"/>
      <c r="AE485" s="106"/>
    </row>
    <row r="486">
      <c r="C486" s="79"/>
      <c r="D486" s="79"/>
      <c r="E486" s="79"/>
      <c r="O486" s="79"/>
      <c r="S486" s="79"/>
      <c r="T486" s="79"/>
      <c r="Y486" s="79"/>
      <c r="AC486" s="130"/>
      <c r="AE486" s="106"/>
    </row>
    <row r="487">
      <c r="C487" s="79"/>
      <c r="D487" s="79"/>
      <c r="E487" s="79"/>
      <c r="O487" s="79"/>
      <c r="S487" s="79"/>
      <c r="T487" s="79"/>
      <c r="Y487" s="79"/>
      <c r="AC487" s="130"/>
      <c r="AE487" s="106"/>
    </row>
    <row r="488">
      <c r="C488" s="79"/>
      <c r="D488" s="79"/>
      <c r="E488" s="79"/>
      <c r="O488" s="79"/>
      <c r="S488" s="79"/>
      <c r="T488" s="79"/>
      <c r="Y488" s="79"/>
      <c r="AC488" s="130"/>
      <c r="AE488" s="106"/>
    </row>
    <row r="489">
      <c r="C489" s="79"/>
      <c r="D489" s="79"/>
      <c r="E489" s="79"/>
      <c r="O489" s="79"/>
      <c r="S489" s="79"/>
      <c r="T489" s="79"/>
      <c r="Y489" s="79"/>
      <c r="AC489" s="130"/>
      <c r="AE489" s="106"/>
    </row>
    <row r="490">
      <c r="C490" s="79"/>
      <c r="D490" s="79"/>
      <c r="E490" s="79"/>
      <c r="O490" s="79"/>
      <c r="S490" s="79"/>
      <c r="T490" s="79"/>
      <c r="Y490" s="79"/>
      <c r="AC490" s="130"/>
      <c r="AE490" s="106"/>
    </row>
    <row r="491">
      <c r="C491" s="79"/>
      <c r="D491" s="79"/>
      <c r="E491" s="79"/>
      <c r="O491" s="79"/>
      <c r="S491" s="79"/>
      <c r="T491" s="79"/>
      <c r="Y491" s="79"/>
      <c r="AC491" s="130"/>
      <c r="AE491" s="106"/>
    </row>
    <row r="492">
      <c r="C492" s="79"/>
      <c r="D492" s="79"/>
      <c r="E492" s="79"/>
      <c r="O492" s="79"/>
      <c r="S492" s="79"/>
      <c r="T492" s="79"/>
      <c r="Y492" s="79"/>
      <c r="AC492" s="130"/>
      <c r="AE492" s="106"/>
    </row>
    <row r="493">
      <c r="C493" s="79"/>
      <c r="D493" s="79"/>
      <c r="E493" s="79"/>
      <c r="O493" s="79"/>
      <c r="S493" s="79"/>
      <c r="T493" s="79"/>
      <c r="Y493" s="79"/>
      <c r="AC493" s="130"/>
      <c r="AE493" s="106"/>
    </row>
    <row r="494">
      <c r="C494" s="79"/>
      <c r="D494" s="79"/>
      <c r="E494" s="79"/>
      <c r="O494" s="79"/>
      <c r="S494" s="79"/>
      <c r="T494" s="79"/>
      <c r="Y494" s="79"/>
      <c r="AC494" s="130"/>
      <c r="AE494" s="106"/>
    </row>
    <row r="495">
      <c r="C495" s="79"/>
      <c r="D495" s="79"/>
      <c r="E495" s="79"/>
      <c r="O495" s="79"/>
      <c r="S495" s="79"/>
      <c r="T495" s="79"/>
      <c r="Y495" s="79"/>
      <c r="AC495" s="130"/>
      <c r="AE495" s="106"/>
    </row>
    <row r="496">
      <c r="C496" s="79"/>
      <c r="D496" s="79"/>
      <c r="E496" s="79"/>
      <c r="O496" s="79"/>
      <c r="S496" s="79"/>
      <c r="T496" s="79"/>
      <c r="Y496" s="79"/>
      <c r="AC496" s="130"/>
      <c r="AE496" s="106"/>
    </row>
    <row r="497">
      <c r="C497" s="79"/>
      <c r="D497" s="79"/>
      <c r="E497" s="79"/>
      <c r="O497" s="79"/>
      <c r="S497" s="79"/>
      <c r="T497" s="79"/>
      <c r="Y497" s="79"/>
      <c r="AC497" s="130"/>
      <c r="AE497" s="106"/>
    </row>
    <row r="498">
      <c r="C498" s="79"/>
      <c r="D498" s="79"/>
      <c r="E498" s="79"/>
      <c r="O498" s="79"/>
      <c r="S498" s="79"/>
      <c r="T498" s="79"/>
      <c r="Y498" s="79"/>
      <c r="AC498" s="130"/>
      <c r="AE498" s="106"/>
    </row>
    <row r="499">
      <c r="C499" s="79"/>
      <c r="D499" s="79"/>
      <c r="E499" s="79"/>
      <c r="O499" s="79"/>
      <c r="S499" s="79"/>
      <c r="T499" s="79"/>
      <c r="Y499" s="79"/>
      <c r="AC499" s="130"/>
      <c r="AE499" s="106"/>
    </row>
    <row r="500">
      <c r="C500" s="79"/>
      <c r="D500" s="79"/>
      <c r="E500" s="79"/>
      <c r="O500" s="79"/>
      <c r="S500" s="79"/>
      <c r="T500" s="79"/>
      <c r="Y500" s="79"/>
      <c r="AC500" s="130"/>
      <c r="AE500" s="106"/>
    </row>
    <row r="501">
      <c r="C501" s="79"/>
      <c r="D501" s="79"/>
      <c r="E501" s="79"/>
      <c r="O501" s="79"/>
      <c r="S501" s="79"/>
      <c r="T501" s="79"/>
      <c r="Y501" s="79"/>
      <c r="AC501" s="130"/>
      <c r="AE501" s="106"/>
    </row>
    <row r="502">
      <c r="C502" s="79"/>
      <c r="D502" s="79"/>
      <c r="E502" s="79"/>
      <c r="O502" s="79"/>
      <c r="S502" s="79"/>
      <c r="T502" s="79"/>
      <c r="Y502" s="79"/>
      <c r="AC502" s="130"/>
      <c r="AE502" s="106"/>
    </row>
    <row r="503">
      <c r="C503" s="79"/>
      <c r="D503" s="79"/>
      <c r="E503" s="79"/>
      <c r="O503" s="79"/>
      <c r="S503" s="79"/>
      <c r="T503" s="79"/>
      <c r="Y503" s="79"/>
      <c r="AC503" s="130"/>
      <c r="AE503" s="106"/>
    </row>
    <row r="504">
      <c r="C504" s="79"/>
      <c r="D504" s="79"/>
      <c r="E504" s="79"/>
      <c r="O504" s="79"/>
      <c r="S504" s="79"/>
      <c r="T504" s="79"/>
      <c r="Y504" s="79"/>
      <c r="AC504" s="130"/>
      <c r="AE504" s="106"/>
    </row>
    <row r="505">
      <c r="C505" s="79"/>
      <c r="D505" s="79"/>
      <c r="E505" s="79"/>
      <c r="O505" s="79"/>
      <c r="S505" s="79"/>
      <c r="T505" s="79"/>
      <c r="Y505" s="79"/>
      <c r="AC505" s="130"/>
      <c r="AE505" s="106"/>
    </row>
    <row r="506">
      <c r="C506" s="79"/>
      <c r="D506" s="79"/>
      <c r="E506" s="79"/>
      <c r="O506" s="79"/>
      <c r="S506" s="79"/>
      <c r="T506" s="79"/>
      <c r="Y506" s="79"/>
      <c r="AC506" s="130"/>
      <c r="AE506" s="106"/>
    </row>
    <row r="507">
      <c r="C507" s="79"/>
      <c r="D507" s="79"/>
      <c r="E507" s="79"/>
      <c r="O507" s="79"/>
      <c r="S507" s="79"/>
      <c r="T507" s="79"/>
      <c r="Y507" s="79"/>
      <c r="AC507" s="130"/>
      <c r="AE507" s="106"/>
    </row>
    <row r="508">
      <c r="C508" s="79"/>
      <c r="D508" s="79"/>
      <c r="E508" s="79"/>
      <c r="O508" s="79"/>
      <c r="S508" s="79"/>
      <c r="T508" s="79"/>
      <c r="Y508" s="79"/>
      <c r="AC508" s="130"/>
      <c r="AE508" s="106"/>
    </row>
    <row r="509">
      <c r="C509" s="79"/>
      <c r="D509" s="79"/>
      <c r="E509" s="79"/>
      <c r="O509" s="79"/>
      <c r="S509" s="79"/>
      <c r="T509" s="79"/>
      <c r="Y509" s="79"/>
      <c r="AC509" s="130"/>
      <c r="AE509" s="106"/>
    </row>
    <row r="510">
      <c r="C510" s="79"/>
      <c r="D510" s="79"/>
      <c r="E510" s="79"/>
      <c r="O510" s="79"/>
      <c r="S510" s="79"/>
      <c r="T510" s="79"/>
      <c r="Y510" s="79"/>
      <c r="AC510" s="130"/>
      <c r="AE510" s="106"/>
    </row>
    <row r="511">
      <c r="C511" s="79"/>
      <c r="D511" s="79"/>
      <c r="E511" s="79"/>
      <c r="O511" s="79"/>
      <c r="S511" s="79"/>
      <c r="T511" s="79"/>
      <c r="Y511" s="79"/>
      <c r="AC511" s="130"/>
      <c r="AE511" s="106"/>
    </row>
    <row r="512">
      <c r="C512" s="79"/>
      <c r="D512" s="79"/>
      <c r="E512" s="79"/>
      <c r="O512" s="79"/>
      <c r="S512" s="79"/>
      <c r="T512" s="79"/>
      <c r="Y512" s="79"/>
      <c r="AC512" s="130"/>
      <c r="AE512" s="106"/>
    </row>
    <row r="513">
      <c r="C513" s="79"/>
      <c r="D513" s="79"/>
      <c r="E513" s="79"/>
      <c r="O513" s="79"/>
      <c r="S513" s="79"/>
      <c r="T513" s="79"/>
      <c r="Y513" s="79"/>
      <c r="AC513" s="130"/>
      <c r="AE513" s="106"/>
    </row>
    <row r="514">
      <c r="C514" s="79"/>
      <c r="D514" s="79"/>
      <c r="E514" s="79"/>
      <c r="O514" s="79"/>
      <c r="S514" s="79"/>
      <c r="T514" s="79"/>
      <c r="Y514" s="79"/>
      <c r="AC514" s="130"/>
      <c r="AE514" s="106"/>
    </row>
    <row r="515">
      <c r="C515" s="79"/>
      <c r="D515" s="79"/>
      <c r="E515" s="79"/>
      <c r="O515" s="79"/>
      <c r="S515" s="79"/>
      <c r="T515" s="79"/>
      <c r="Y515" s="79"/>
      <c r="AC515" s="130"/>
      <c r="AE515" s="106"/>
    </row>
    <row r="516">
      <c r="C516" s="79"/>
      <c r="D516" s="79"/>
      <c r="E516" s="79"/>
      <c r="O516" s="79"/>
      <c r="S516" s="79"/>
      <c r="T516" s="79"/>
      <c r="Y516" s="79"/>
      <c r="AC516" s="130"/>
      <c r="AE516" s="106"/>
    </row>
    <row r="517">
      <c r="C517" s="79"/>
      <c r="D517" s="79"/>
      <c r="E517" s="79"/>
      <c r="O517" s="79"/>
      <c r="S517" s="79"/>
      <c r="T517" s="79"/>
      <c r="Y517" s="79"/>
      <c r="AC517" s="130"/>
      <c r="AE517" s="106"/>
    </row>
    <row r="518">
      <c r="C518" s="79"/>
      <c r="D518" s="79"/>
      <c r="E518" s="79"/>
      <c r="O518" s="79"/>
      <c r="S518" s="79"/>
      <c r="T518" s="79"/>
      <c r="Y518" s="79"/>
      <c r="AC518" s="130"/>
      <c r="AE518" s="106"/>
    </row>
    <row r="519">
      <c r="C519" s="79"/>
      <c r="D519" s="79"/>
      <c r="E519" s="79"/>
      <c r="O519" s="79"/>
      <c r="S519" s="79"/>
      <c r="T519" s="79"/>
      <c r="Y519" s="79"/>
      <c r="AC519" s="130"/>
      <c r="AE519" s="106"/>
    </row>
    <row r="520">
      <c r="C520" s="79"/>
      <c r="D520" s="79"/>
      <c r="E520" s="79"/>
      <c r="O520" s="79"/>
      <c r="S520" s="79"/>
      <c r="T520" s="79"/>
      <c r="Y520" s="79"/>
      <c r="AC520" s="130"/>
      <c r="AE520" s="106"/>
    </row>
    <row r="521">
      <c r="C521" s="79"/>
      <c r="D521" s="79"/>
      <c r="E521" s="79"/>
      <c r="O521" s="79"/>
      <c r="S521" s="79"/>
      <c r="T521" s="79"/>
      <c r="Y521" s="79"/>
      <c r="AC521" s="130"/>
      <c r="AE521" s="106"/>
    </row>
    <row r="522">
      <c r="C522" s="79"/>
      <c r="D522" s="79"/>
      <c r="E522" s="79"/>
      <c r="O522" s="79"/>
      <c r="S522" s="79"/>
      <c r="T522" s="79"/>
      <c r="Y522" s="79"/>
      <c r="AC522" s="130"/>
      <c r="AE522" s="106"/>
    </row>
    <row r="523">
      <c r="C523" s="79"/>
      <c r="D523" s="79"/>
      <c r="E523" s="79"/>
      <c r="O523" s="79"/>
      <c r="S523" s="79"/>
      <c r="T523" s="79"/>
      <c r="Y523" s="79"/>
      <c r="AC523" s="130"/>
      <c r="AE523" s="106"/>
    </row>
    <row r="524">
      <c r="C524" s="79"/>
      <c r="D524" s="79"/>
      <c r="E524" s="79"/>
      <c r="O524" s="79"/>
      <c r="S524" s="79"/>
      <c r="T524" s="79"/>
      <c r="Y524" s="79"/>
      <c r="AC524" s="130"/>
      <c r="AE524" s="106"/>
    </row>
    <row r="525">
      <c r="C525" s="79"/>
      <c r="D525" s="79"/>
      <c r="E525" s="79"/>
      <c r="O525" s="79"/>
      <c r="S525" s="79"/>
      <c r="T525" s="79"/>
      <c r="Y525" s="79"/>
      <c r="AC525" s="130"/>
      <c r="AE525" s="106"/>
    </row>
    <row r="526">
      <c r="C526" s="79"/>
      <c r="D526" s="79"/>
      <c r="E526" s="79"/>
      <c r="O526" s="79"/>
      <c r="S526" s="79"/>
      <c r="T526" s="79"/>
      <c r="Y526" s="79"/>
      <c r="AC526" s="130"/>
      <c r="AE526" s="106"/>
    </row>
    <row r="527">
      <c r="C527" s="79"/>
      <c r="D527" s="79"/>
      <c r="E527" s="79"/>
      <c r="O527" s="79"/>
      <c r="S527" s="79"/>
      <c r="T527" s="79"/>
      <c r="Y527" s="79"/>
      <c r="AC527" s="130"/>
      <c r="AE527" s="106"/>
    </row>
    <row r="528">
      <c r="C528" s="79"/>
      <c r="D528" s="79"/>
      <c r="E528" s="79"/>
      <c r="O528" s="79"/>
      <c r="S528" s="79"/>
      <c r="T528" s="79"/>
      <c r="Y528" s="79"/>
      <c r="AC528" s="130"/>
      <c r="AE528" s="106"/>
    </row>
    <row r="529">
      <c r="C529" s="79"/>
      <c r="D529" s="79"/>
      <c r="E529" s="79"/>
      <c r="O529" s="79"/>
      <c r="S529" s="79"/>
      <c r="T529" s="79"/>
      <c r="Y529" s="79"/>
      <c r="AC529" s="130"/>
      <c r="AE529" s="106"/>
    </row>
    <row r="530">
      <c r="C530" s="79"/>
      <c r="D530" s="79"/>
      <c r="E530" s="79"/>
      <c r="O530" s="79"/>
      <c r="S530" s="79"/>
      <c r="T530" s="79"/>
      <c r="Y530" s="79"/>
      <c r="AC530" s="130"/>
      <c r="AE530" s="106"/>
    </row>
    <row r="531">
      <c r="C531" s="79"/>
      <c r="D531" s="79"/>
      <c r="E531" s="79"/>
      <c r="O531" s="79"/>
      <c r="S531" s="79"/>
      <c r="T531" s="79"/>
      <c r="Y531" s="79"/>
      <c r="AC531" s="130"/>
      <c r="AE531" s="106"/>
    </row>
    <row r="532">
      <c r="C532" s="79"/>
      <c r="D532" s="79"/>
      <c r="E532" s="79"/>
      <c r="O532" s="79"/>
      <c r="S532" s="79"/>
      <c r="T532" s="79"/>
      <c r="Y532" s="79"/>
      <c r="AC532" s="130"/>
      <c r="AE532" s="106"/>
    </row>
    <row r="533">
      <c r="C533" s="79"/>
      <c r="D533" s="79"/>
      <c r="E533" s="79"/>
      <c r="O533" s="79"/>
      <c r="S533" s="79"/>
      <c r="T533" s="79"/>
      <c r="Y533" s="79"/>
      <c r="AC533" s="130"/>
      <c r="AE533" s="106"/>
    </row>
    <row r="534">
      <c r="C534" s="79"/>
      <c r="D534" s="79"/>
      <c r="E534" s="79"/>
      <c r="O534" s="79"/>
      <c r="S534" s="79"/>
      <c r="T534" s="79"/>
      <c r="Y534" s="79"/>
      <c r="AC534" s="130"/>
      <c r="AE534" s="106"/>
    </row>
    <row r="535">
      <c r="C535" s="79"/>
      <c r="D535" s="79"/>
      <c r="E535" s="79"/>
      <c r="O535" s="79"/>
      <c r="S535" s="79"/>
      <c r="T535" s="79"/>
      <c r="Y535" s="79"/>
      <c r="AC535" s="130"/>
      <c r="AE535" s="106"/>
    </row>
    <row r="536">
      <c r="C536" s="79"/>
      <c r="D536" s="79"/>
      <c r="E536" s="79"/>
      <c r="O536" s="79"/>
      <c r="S536" s="79"/>
      <c r="T536" s="79"/>
      <c r="Y536" s="79"/>
      <c r="AC536" s="130"/>
      <c r="AE536" s="106"/>
    </row>
    <row r="537">
      <c r="C537" s="79"/>
      <c r="D537" s="79"/>
      <c r="E537" s="79"/>
      <c r="O537" s="79"/>
      <c r="S537" s="79"/>
      <c r="T537" s="79"/>
      <c r="Y537" s="79"/>
      <c r="AC537" s="130"/>
      <c r="AE537" s="106"/>
    </row>
    <row r="538">
      <c r="C538" s="79"/>
      <c r="D538" s="79"/>
      <c r="E538" s="79"/>
      <c r="O538" s="79"/>
      <c r="S538" s="79"/>
      <c r="T538" s="79"/>
      <c r="Y538" s="79"/>
      <c r="AC538" s="130"/>
      <c r="AE538" s="106"/>
    </row>
    <row r="539">
      <c r="C539" s="79"/>
      <c r="D539" s="79"/>
      <c r="E539" s="79"/>
      <c r="O539" s="79"/>
      <c r="S539" s="79"/>
      <c r="T539" s="79"/>
      <c r="Y539" s="79"/>
      <c r="AC539" s="130"/>
      <c r="AE539" s="106"/>
    </row>
    <row r="540">
      <c r="C540" s="79"/>
      <c r="D540" s="79"/>
      <c r="E540" s="79"/>
      <c r="O540" s="79"/>
      <c r="S540" s="79"/>
      <c r="T540" s="79"/>
      <c r="Y540" s="79"/>
      <c r="AC540" s="130"/>
      <c r="AE540" s="106"/>
    </row>
    <row r="541">
      <c r="C541" s="79"/>
      <c r="D541" s="79"/>
      <c r="E541" s="79"/>
      <c r="O541" s="79"/>
      <c r="S541" s="79"/>
      <c r="T541" s="79"/>
      <c r="Y541" s="79"/>
      <c r="AC541" s="130"/>
      <c r="AE541" s="106"/>
    </row>
    <row r="542">
      <c r="C542" s="79"/>
      <c r="D542" s="79"/>
      <c r="E542" s="79"/>
      <c r="O542" s="79"/>
      <c r="S542" s="79"/>
      <c r="T542" s="79"/>
      <c r="Y542" s="79"/>
      <c r="AC542" s="130"/>
      <c r="AE542" s="106"/>
    </row>
    <row r="543">
      <c r="C543" s="79"/>
      <c r="D543" s="79"/>
      <c r="E543" s="79"/>
      <c r="O543" s="79"/>
      <c r="S543" s="79"/>
      <c r="T543" s="79"/>
      <c r="Y543" s="79"/>
      <c r="AC543" s="130"/>
      <c r="AE543" s="106"/>
    </row>
    <row r="544">
      <c r="C544" s="79"/>
      <c r="D544" s="79"/>
      <c r="E544" s="79"/>
      <c r="O544" s="79"/>
      <c r="S544" s="79"/>
      <c r="T544" s="79"/>
      <c r="Y544" s="79"/>
      <c r="AC544" s="130"/>
      <c r="AE544" s="106"/>
    </row>
    <row r="545">
      <c r="C545" s="79"/>
      <c r="D545" s="79"/>
      <c r="E545" s="79"/>
      <c r="O545" s="79"/>
      <c r="S545" s="79"/>
      <c r="T545" s="79"/>
      <c r="Y545" s="79"/>
      <c r="AC545" s="130"/>
      <c r="AE545" s="106"/>
    </row>
    <row r="546">
      <c r="C546" s="79"/>
      <c r="D546" s="79"/>
      <c r="E546" s="79"/>
      <c r="O546" s="79"/>
      <c r="S546" s="79"/>
      <c r="T546" s="79"/>
      <c r="Y546" s="79"/>
      <c r="AC546" s="130"/>
      <c r="AE546" s="106"/>
    </row>
    <row r="547">
      <c r="C547" s="79"/>
      <c r="D547" s="79"/>
      <c r="E547" s="79"/>
      <c r="O547" s="79"/>
      <c r="S547" s="79"/>
      <c r="T547" s="79"/>
      <c r="Y547" s="79"/>
      <c r="AC547" s="130"/>
      <c r="AE547" s="106"/>
    </row>
    <row r="548">
      <c r="C548" s="79"/>
      <c r="D548" s="79"/>
      <c r="E548" s="79"/>
      <c r="O548" s="79"/>
      <c r="S548" s="79"/>
      <c r="T548" s="79"/>
      <c r="Y548" s="79"/>
      <c r="AC548" s="130"/>
      <c r="AE548" s="106"/>
    </row>
    <row r="549">
      <c r="C549" s="79"/>
      <c r="D549" s="79"/>
      <c r="E549" s="79"/>
      <c r="O549" s="79"/>
      <c r="S549" s="79"/>
      <c r="T549" s="79"/>
      <c r="Y549" s="79"/>
      <c r="AC549" s="130"/>
      <c r="AE549" s="106"/>
    </row>
    <row r="550">
      <c r="C550" s="79"/>
      <c r="D550" s="79"/>
      <c r="E550" s="79"/>
      <c r="O550" s="79"/>
      <c r="S550" s="79"/>
      <c r="T550" s="79"/>
      <c r="Y550" s="79"/>
      <c r="AC550" s="130"/>
      <c r="AE550" s="106"/>
    </row>
    <row r="551">
      <c r="C551" s="79"/>
      <c r="D551" s="79"/>
      <c r="E551" s="79"/>
      <c r="O551" s="79"/>
      <c r="S551" s="79"/>
      <c r="T551" s="79"/>
      <c r="Y551" s="79"/>
      <c r="AC551" s="130"/>
      <c r="AE551" s="106"/>
    </row>
    <row r="552">
      <c r="C552" s="79"/>
      <c r="D552" s="79"/>
      <c r="E552" s="79"/>
      <c r="O552" s="79"/>
      <c r="S552" s="79"/>
      <c r="T552" s="79"/>
      <c r="Y552" s="79"/>
      <c r="AC552" s="130"/>
      <c r="AE552" s="106"/>
    </row>
    <row r="553">
      <c r="C553" s="79"/>
      <c r="D553" s="79"/>
      <c r="E553" s="79"/>
      <c r="O553" s="79"/>
      <c r="S553" s="79"/>
      <c r="T553" s="79"/>
      <c r="Y553" s="79"/>
      <c r="AC553" s="130"/>
      <c r="AE553" s="106"/>
    </row>
    <row r="554">
      <c r="C554" s="79"/>
      <c r="D554" s="79"/>
      <c r="E554" s="79"/>
      <c r="O554" s="79"/>
      <c r="S554" s="79"/>
      <c r="T554" s="79"/>
      <c r="Y554" s="79"/>
      <c r="AC554" s="130"/>
      <c r="AE554" s="106"/>
    </row>
    <row r="555">
      <c r="C555" s="79"/>
      <c r="D555" s="79"/>
      <c r="E555" s="79"/>
      <c r="O555" s="79"/>
      <c r="S555" s="79"/>
      <c r="T555" s="79"/>
      <c r="Y555" s="79"/>
      <c r="AC555" s="130"/>
      <c r="AE555" s="106"/>
    </row>
    <row r="556">
      <c r="C556" s="79"/>
      <c r="D556" s="79"/>
      <c r="E556" s="79"/>
      <c r="O556" s="79"/>
      <c r="S556" s="79"/>
      <c r="T556" s="79"/>
      <c r="Y556" s="79"/>
      <c r="AC556" s="130"/>
      <c r="AE556" s="106"/>
    </row>
    <row r="557">
      <c r="C557" s="79"/>
      <c r="D557" s="79"/>
      <c r="E557" s="79"/>
      <c r="O557" s="79"/>
      <c r="S557" s="79"/>
      <c r="T557" s="79"/>
      <c r="Y557" s="79"/>
      <c r="AC557" s="130"/>
      <c r="AE557" s="106"/>
    </row>
    <row r="558">
      <c r="C558" s="79"/>
      <c r="D558" s="79"/>
      <c r="E558" s="79"/>
      <c r="O558" s="79"/>
      <c r="S558" s="79"/>
      <c r="T558" s="79"/>
      <c r="Y558" s="79"/>
      <c r="AC558" s="130"/>
      <c r="AE558" s="106"/>
    </row>
    <row r="559">
      <c r="C559" s="79"/>
      <c r="D559" s="79"/>
      <c r="E559" s="79"/>
      <c r="O559" s="79"/>
      <c r="S559" s="79"/>
      <c r="T559" s="79"/>
      <c r="Y559" s="79"/>
      <c r="AC559" s="130"/>
      <c r="AE559" s="106"/>
    </row>
    <row r="560">
      <c r="C560" s="79"/>
      <c r="D560" s="79"/>
      <c r="E560" s="79"/>
      <c r="O560" s="79"/>
      <c r="S560" s="79"/>
      <c r="T560" s="79"/>
      <c r="Y560" s="79"/>
      <c r="AC560" s="130"/>
      <c r="AE560" s="106"/>
    </row>
    <row r="561">
      <c r="C561" s="79"/>
      <c r="D561" s="79"/>
      <c r="E561" s="79"/>
      <c r="O561" s="79"/>
      <c r="S561" s="79"/>
      <c r="T561" s="79"/>
      <c r="Y561" s="79"/>
      <c r="AC561" s="130"/>
      <c r="AE561" s="106"/>
    </row>
    <row r="562">
      <c r="C562" s="79"/>
      <c r="D562" s="79"/>
      <c r="E562" s="79"/>
      <c r="O562" s="79"/>
      <c r="S562" s="79"/>
      <c r="T562" s="79"/>
      <c r="Y562" s="79"/>
      <c r="AC562" s="130"/>
      <c r="AE562" s="106"/>
    </row>
    <row r="563">
      <c r="C563" s="79"/>
      <c r="D563" s="79"/>
      <c r="E563" s="79"/>
      <c r="O563" s="79"/>
      <c r="S563" s="79"/>
      <c r="T563" s="79"/>
      <c r="Y563" s="79"/>
      <c r="AC563" s="130"/>
      <c r="AE563" s="106"/>
    </row>
    <row r="564">
      <c r="C564" s="79"/>
      <c r="D564" s="79"/>
      <c r="E564" s="79"/>
      <c r="O564" s="79"/>
      <c r="S564" s="79"/>
      <c r="T564" s="79"/>
      <c r="Y564" s="79"/>
      <c r="AC564" s="130"/>
      <c r="AE564" s="106"/>
    </row>
    <row r="565">
      <c r="C565" s="79"/>
      <c r="D565" s="79"/>
      <c r="E565" s="79"/>
      <c r="O565" s="79"/>
      <c r="S565" s="79"/>
      <c r="T565" s="79"/>
      <c r="Y565" s="79"/>
      <c r="AC565" s="130"/>
      <c r="AE565" s="106"/>
    </row>
    <row r="566">
      <c r="C566" s="79"/>
      <c r="D566" s="79"/>
      <c r="E566" s="79"/>
      <c r="O566" s="79"/>
      <c r="S566" s="79"/>
      <c r="T566" s="79"/>
      <c r="Y566" s="79"/>
      <c r="AC566" s="130"/>
      <c r="AE566" s="106"/>
    </row>
    <row r="567">
      <c r="C567" s="79"/>
      <c r="D567" s="79"/>
      <c r="E567" s="79"/>
      <c r="O567" s="79"/>
      <c r="S567" s="79"/>
      <c r="T567" s="79"/>
      <c r="Y567" s="79"/>
      <c r="AC567" s="130"/>
      <c r="AE567" s="106"/>
    </row>
    <row r="568">
      <c r="C568" s="79"/>
      <c r="D568" s="79"/>
      <c r="E568" s="79"/>
      <c r="O568" s="79"/>
      <c r="S568" s="79"/>
      <c r="T568" s="79"/>
      <c r="Y568" s="79"/>
      <c r="AC568" s="130"/>
      <c r="AE568" s="106"/>
    </row>
    <row r="569">
      <c r="C569" s="79"/>
      <c r="D569" s="79"/>
      <c r="E569" s="79"/>
      <c r="O569" s="79"/>
      <c r="S569" s="79"/>
      <c r="T569" s="79"/>
      <c r="Y569" s="79"/>
      <c r="AC569" s="130"/>
      <c r="AE569" s="106"/>
    </row>
    <row r="570">
      <c r="C570" s="79"/>
      <c r="D570" s="79"/>
      <c r="E570" s="79"/>
      <c r="O570" s="79"/>
      <c r="S570" s="79"/>
      <c r="T570" s="79"/>
      <c r="Y570" s="79"/>
      <c r="AC570" s="130"/>
      <c r="AE570" s="106"/>
    </row>
    <row r="571">
      <c r="C571" s="79"/>
      <c r="D571" s="79"/>
      <c r="E571" s="79"/>
      <c r="O571" s="79"/>
      <c r="S571" s="79"/>
      <c r="T571" s="79"/>
      <c r="Y571" s="79"/>
      <c r="AC571" s="130"/>
      <c r="AE571" s="106"/>
    </row>
    <row r="572">
      <c r="C572" s="79"/>
      <c r="D572" s="79"/>
      <c r="E572" s="79"/>
      <c r="O572" s="79"/>
      <c r="S572" s="79"/>
      <c r="T572" s="79"/>
      <c r="Y572" s="79"/>
      <c r="AC572" s="130"/>
      <c r="AE572" s="106"/>
    </row>
    <row r="573">
      <c r="C573" s="79"/>
      <c r="D573" s="79"/>
      <c r="E573" s="79"/>
      <c r="O573" s="79"/>
      <c r="S573" s="79"/>
      <c r="T573" s="79"/>
      <c r="Y573" s="79"/>
      <c r="AC573" s="130"/>
      <c r="AE573" s="106"/>
    </row>
    <row r="574">
      <c r="C574" s="79"/>
      <c r="D574" s="79"/>
      <c r="E574" s="79"/>
      <c r="O574" s="79"/>
      <c r="S574" s="79"/>
      <c r="T574" s="79"/>
      <c r="Y574" s="79"/>
      <c r="AC574" s="130"/>
      <c r="AE574" s="106"/>
    </row>
    <row r="575">
      <c r="C575" s="79"/>
      <c r="D575" s="79"/>
      <c r="E575" s="79"/>
      <c r="O575" s="79"/>
      <c r="S575" s="79"/>
      <c r="T575" s="79"/>
      <c r="Y575" s="79"/>
      <c r="AC575" s="130"/>
      <c r="AE575" s="106"/>
    </row>
    <row r="576">
      <c r="C576" s="79"/>
      <c r="D576" s="79"/>
      <c r="E576" s="79"/>
      <c r="O576" s="79"/>
      <c r="S576" s="79"/>
      <c r="T576" s="79"/>
      <c r="Y576" s="79"/>
      <c r="AC576" s="130"/>
      <c r="AE576" s="106"/>
    </row>
    <row r="577">
      <c r="C577" s="79"/>
      <c r="D577" s="79"/>
      <c r="E577" s="79"/>
      <c r="O577" s="79"/>
      <c r="S577" s="79"/>
      <c r="T577" s="79"/>
      <c r="Y577" s="79"/>
      <c r="AC577" s="130"/>
      <c r="AE577" s="106"/>
    </row>
    <row r="578">
      <c r="C578" s="79"/>
      <c r="D578" s="79"/>
      <c r="E578" s="79"/>
      <c r="O578" s="79"/>
      <c r="S578" s="79"/>
      <c r="T578" s="79"/>
      <c r="Y578" s="79"/>
      <c r="AC578" s="130"/>
      <c r="AE578" s="106"/>
    </row>
    <row r="579">
      <c r="C579" s="79"/>
      <c r="D579" s="79"/>
      <c r="E579" s="79"/>
      <c r="O579" s="79"/>
      <c r="S579" s="79"/>
      <c r="T579" s="79"/>
      <c r="Y579" s="79"/>
      <c r="AC579" s="130"/>
      <c r="AE579" s="106"/>
    </row>
    <row r="580">
      <c r="C580" s="79"/>
      <c r="D580" s="79"/>
      <c r="E580" s="79"/>
      <c r="O580" s="79"/>
      <c r="S580" s="79"/>
      <c r="T580" s="79"/>
      <c r="Y580" s="79"/>
      <c r="AC580" s="130"/>
      <c r="AE580" s="106"/>
    </row>
    <row r="581">
      <c r="C581" s="79"/>
      <c r="D581" s="79"/>
      <c r="E581" s="79"/>
      <c r="O581" s="79"/>
      <c r="S581" s="79"/>
      <c r="T581" s="79"/>
      <c r="Y581" s="79"/>
      <c r="AC581" s="130"/>
      <c r="AE581" s="106"/>
    </row>
    <row r="582">
      <c r="C582" s="79"/>
      <c r="D582" s="79"/>
      <c r="E582" s="79"/>
      <c r="O582" s="79"/>
      <c r="S582" s="79"/>
      <c r="T582" s="79"/>
      <c r="Y582" s="79"/>
      <c r="AC582" s="130"/>
      <c r="AE582" s="106"/>
    </row>
    <row r="583">
      <c r="C583" s="79"/>
      <c r="D583" s="79"/>
      <c r="E583" s="79"/>
      <c r="O583" s="79"/>
      <c r="S583" s="79"/>
      <c r="T583" s="79"/>
      <c r="Y583" s="79"/>
      <c r="AC583" s="130"/>
      <c r="AE583" s="106"/>
    </row>
    <row r="584">
      <c r="C584" s="79"/>
      <c r="D584" s="79"/>
      <c r="E584" s="79"/>
      <c r="O584" s="79"/>
      <c r="S584" s="79"/>
      <c r="T584" s="79"/>
      <c r="Y584" s="79"/>
      <c r="AC584" s="130"/>
      <c r="AE584" s="106"/>
    </row>
    <row r="585">
      <c r="C585" s="79"/>
      <c r="D585" s="79"/>
      <c r="E585" s="79"/>
      <c r="O585" s="79"/>
      <c r="S585" s="79"/>
      <c r="T585" s="79"/>
      <c r="Y585" s="79"/>
      <c r="AC585" s="130"/>
      <c r="AE585" s="106"/>
    </row>
    <row r="586">
      <c r="C586" s="79"/>
      <c r="D586" s="79"/>
      <c r="E586" s="79"/>
      <c r="O586" s="79"/>
      <c r="S586" s="79"/>
      <c r="T586" s="79"/>
      <c r="Y586" s="79"/>
      <c r="AC586" s="130"/>
      <c r="AE586" s="106"/>
    </row>
    <row r="587">
      <c r="C587" s="79"/>
      <c r="D587" s="79"/>
      <c r="E587" s="79"/>
      <c r="O587" s="79"/>
      <c r="S587" s="79"/>
      <c r="T587" s="79"/>
      <c r="Y587" s="79"/>
      <c r="AC587" s="130"/>
      <c r="AE587" s="106"/>
    </row>
    <row r="588">
      <c r="C588" s="79"/>
      <c r="D588" s="79"/>
      <c r="E588" s="79"/>
      <c r="O588" s="79"/>
      <c r="S588" s="79"/>
      <c r="T588" s="79"/>
      <c r="Y588" s="79"/>
      <c r="AC588" s="130"/>
      <c r="AE588" s="106"/>
    </row>
    <row r="589">
      <c r="C589" s="79"/>
      <c r="D589" s="79"/>
      <c r="E589" s="79"/>
      <c r="O589" s="79"/>
      <c r="S589" s="79"/>
      <c r="T589" s="79"/>
      <c r="Y589" s="79"/>
      <c r="AC589" s="130"/>
      <c r="AE589" s="106"/>
    </row>
    <row r="590">
      <c r="C590" s="79"/>
      <c r="D590" s="79"/>
      <c r="E590" s="79"/>
      <c r="O590" s="79"/>
      <c r="S590" s="79"/>
      <c r="T590" s="79"/>
      <c r="Y590" s="79"/>
      <c r="AC590" s="130"/>
      <c r="AE590" s="106"/>
    </row>
    <row r="591">
      <c r="C591" s="79"/>
      <c r="D591" s="79"/>
      <c r="E591" s="79"/>
      <c r="O591" s="79"/>
      <c r="S591" s="79"/>
      <c r="T591" s="79"/>
      <c r="Y591" s="79"/>
      <c r="AC591" s="130"/>
      <c r="AE591" s="106"/>
    </row>
    <row r="592">
      <c r="C592" s="79"/>
      <c r="D592" s="79"/>
      <c r="E592" s="79"/>
      <c r="O592" s="79"/>
      <c r="S592" s="79"/>
      <c r="T592" s="79"/>
      <c r="Y592" s="79"/>
      <c r="AC592" s="130"/>
      <c r="AE592" s="106"/>
    </row>
    <row r="593">
      <c r="C593" s="79"/>
      <c r="D593" s="79"/>
      <c r="E593" s="79"/>
      <c r="O593" s="79"/>
      <c r="S593" s="79"/>
      <c r="T593" s="79"/>
      <c r="Y593" s="79"/>
      <c r="AC593" s="130"/>
      <c r="AE593" s="106"/>
    </row>
    <row r="594">
      <c r="C594" s="79"/>
      <c r="D594" s="79"/>
      <c r="E594" s="79"/>
      <c r="O594" s="79"/>
      <c r="S594" s="79"/>
      <c r="T594" s="79"/>
      <c r="Y594" s="79"/>
      <c r="AC594" s="130"/>
      <c r="AE594" s="106"/>
    </row>
    <row r="595">
      <c r="C595" s="79"/>
      <c r="D595" s="79"/>
      <c r="E595" s="79"/>
      <c r="O595" s="79"/>
      <c r="S595" s="79"/>
      <c r="T595" s="79"/>
      <c r="Y595" s="79"/>
      <c r="AC595" s="130"/>
      <c r="AE595" s="106"/>
    </row>
    <row r="596">
      <c r="C596" s="79"/>
      <c r="D596" s="79"/>
      <c r="E596" s="79"/>
      <c r="O596" s="79"/>
      <c r="S596" s="79"/>
      <c r="T596" s="79"/>
      <c r="Y596" s="79"/>
      <c r="AC596" s="130"/>
      <c r="AE596" s="106"/>
    </row>
    <row r="597">
      <c r="C597" s="79"/>
      <c r="D597" s="79"/>
      <c r="E597" s="79"/>
      <c r="O597" s="79"/>
      <c r="S597" s="79"/>
      <c r="T597" s="79"/>
      <c r="Y597" s="79"/>
      <c r="AC597" s="130"/>
      <c r="AE597" s="106"/>
    </row>
    <row r="598">
      <c r="C598" s="79"/>
      <c r="D598" s="79"/>
      <c r="E598" s="79"/>
      <c r="O598" s="79"/>
      <c r="S598" s="79"/>
      <c r="T598" s="79"/>
      <c r="Y598" s="79"/>
      <c r="AC598" s="130"/>
      <c r="AE598" s="106"/>
    </row>
    <row r="599">
      <c r="C599" s="79"/>
      <c r="D599" s="79"/>
      <c r="E599" s="79"/>
      <c r="O599" s="79"/>
      <c r="S599" s="79"/>
      <c r="T599" s="79"/>
      <c r="Y599" s="79"/>
      <c r="AC599" s="130"/>
      <c r="AE599" s="106"/>
    </row>
    <row r="600">
      <c r="C600" s="79"/>
      <c r="D600" s="79"/>
      <c r="E600" s="79"/>
      <c r="O600" s="79"/>
      <c r="S600" s="79"/>
      <c r="T600" s="79"/>
      <c r="Y600" s="79"/>
      <c r="AC600" s="130"/>
      <c r="AE600" s="106"/>
    </row>
    <row r="601">
      <c r="C601" s="79"/>
      <c r="D601" s="79"/>
      <c r="E601" s="79"/>
      <c r="O601" s="79"/>
      <c r="S601" s="79"/>
      <c r="T601" s="79"/>
      <c r="Y601" s="79"/>
      <c r="AC601" s="130"/>
      <c r="AE601" s="106"/>
    </row>
    <row r="602">
      <c r="C602" s="79"/>
      <c r="D602" s="79"/>
      <c r="E602" s="79"/>
      <c r="O602" s="79"/>
      <c r="S602" s="79"/>
      <c r="T602" s="79"/>
      <c r="Y602" s="79"/>
      <c r="AC602" s="130"/>
      <c r="AE602" s="106"/>
    </row>
    <row r="603">
      <c r="C603" s="79"/>
      <c r="D603" s="79"/>
      <c r="E603" s="79"/>
      <c r="O603" s="79"/>
      <c r="S603" s="79"/>
      <c r="T603" s="79"/>
      <c r="Y603" s="79"/>
      <c r="AC603" s="130"/>
      <c r="AE603" s="106"/>
    </row>
    <row r="604">
      <c r="C604" s="79"/>
      <c r="D604" s="79"/>
      <c r="E604" s="79"/>
      <c r="O604" s="79"/>
      <c r="S604" s="79"/>
      <c r="T604" s="79"/>
      <c r="Y604" s="79"/>
      <c r="AC604" s="130"/>
      <c r="AE604" s="106"/>
    </row>
    <row r="605">
      <c r="C605" s="79"/>
      <c r="D605" s="79"/>
      <c r="E605" s="79"/>
      <c r="O605" s="79"/>
      <c r="S605" s="79"/>
      <c r="T605" s="79"/>
      <c r="Y605" s="79"/>
      <c r="AC605" s="130"/>
      <c r="AE605" s="106"/>
    </row>
    <row r="606">
      <c r="C606" s="79"/>
      <c r="D606" s="79"/>
      <c r="E606" s="79"/>
      <c r="O606" s="79"/>
      <c r="S606" s="79"/>
      <c r="T606" s="79"/>
      <c r="Y606" s="79"/>
      <c r="AC606" s="130"/>
      <c r="AE606" s="106"/>
    </row>
    <row r="607">
      <c r="C607" s="79"/>
      <c r="D607" s="79"/>
      <c r="E607" s="79"/>
      <c r="O607" s="79"/>
      <c r="S607" s="79"/>
      <c r="T607" s="79"/>
      <c r="Y607" s="79"/>
      <c r="AC607" s="130"/>
      <c r="AE607" s="106"/>
    </row>
    <row r="608">
      <c r="C608" s="79"/>
      <c r="D608" s="79"/>
      <c r="E608" s="79"/>
      <c r="O608" s="79"/>
      <c r="S608" s="79"/>
      <c r="T608" s="79"/>
      <c r="Y608" s="79"/>
      <c r="AC608" s="130"/>
      <c r="AE608" s="106"/>
    </row>
    <row r="609">
      <c r="C609" s="79"/>
      <c r="D609" s="79"/>
      <c r="E609" s="79"/>
      <c r="O609" s="79"/>
      <c r="S609" s="79"/>
      <c r="T609" s="79"/>
      <c r="Y609" s="79"/>
      <c r="AC609" s="130"/>
      <c r="AE609" s="106"/>
    </row>
    <row r="610">
      <c r="C610" s="79"/>
      <c r="D610" s="79"/>
      <c r="E610" s="79"/>
      <c r="O610" s="79"/>
      <c r="S610" s="79"/>
      <c r="T610" s="79"/>
      <c r="Y610" s="79"/>
      <c r="AC610" s="130"/>
      <c r="AE610" s="106"/>
    </row>
    <row r="611">
      <c r="C611" s="79"/>
      <c r="D611" s="79"/>
      <c r="E611" s="79"/>
      <c r="O611" s="79"/>
      <c r="S611" s="79"/>
      <c r="T611" s="79"/>
      <c r="Y611" s="79"/>
      <c r="AC611" s="130"/>
      <c r="AE611" s="106"/>
    </row>
    <row r="612">
      <c r="C612" s="79"/>
      <c r="D612" s="79"/>
      <c r="E612" s="79"/>
      <c r="O612" s="79"/>
      <c r="S612" s="79"/>
      <c r="T612" s="79"/>
      <c r="Y612" s="79"/>
      <c r="AC612" s="130"/>
      <c r="AE612" s="106"/>
    </row>
    <row r="613">
      <c r="C613" s="79"/>
      <c r="D613" s="79"/>
      <c r="E613" s="79"/>
      <c r="O613" s="79"/>
      <c r="S613" s="79"/>
      <c r="T613" s="79"/>
      <c r="Y613" s="79"/>
      <c r="AC613" s="130"/>
      <c r="AE613" s="106"/>
    </row>
    <row r="614">
      <c r="C614" s="79"/>
      <c r="D614" s="79"/>
      <c r="E614" s="79"/>
      <c r="O614" s="79"/>
      <c r="S614" s="79"/>
      <c r="T614" s="79"/>
      <c r="Y614" s="79"/>
      <c r="AC614" s="130"/>
      <c r="AE614" s="106"/>
    </row>
    <row r="615">
      <c r="C615" s="79"/>
      <c r="D615" s="79"/>
      <c r="E615" s="79"/>
      <c r="O615" s="79"/>
      <c r="S615" s="79"/>
      <c r="T615" s="79"/>
      <c r="Y615" s="79"/>
      <c r="AC615" s="130"/>
      <c r="AE615" s="106"/>
    </row>
    <row r="616">
      <c r="C616" s="79"/>
      <c r="D616" s="79"/>
      <c r="E616" s="79"/>
      <c r="O616" s="79"/>
      <c r="S616" s="79"/>
      <c r="T616" s="79"/>
      <c r="Y616" s="79"/>
      <c r="AC616" s="130"/>
      <c r="AE616" s="106"/>
    </row>
    <row r="617">
      <c r="C617" s="79"/>
      <c r="D617" s="79"/>
      <c r="E617" s="79"/>
      <c r="O617" s="79"/>
      <c r="S617" s="79"/>
      <c r="T617" s="79"/>
      <c r="Y617" s="79"/>
      <c r="AC617" s="130"/>
      <c r="AE617" s="106"/>
    </row>
    <row r="618">
      <c r="C618" s="79"/>
      <c r="D618" s="79"/>
      <c r="E618" s="79"/>
      <c r="O618" s="79"/>
      <c r="S618" s="79"/>
      <c r="T618" s="79"/>
      <c r="Y618" s="79"/>
      <c r="AC618" s="130"/>
      <c r="AE618" s="106"/>
    </row>
    <row r="619">
      <c r="C619" s="79"/>
      <c r="D619" s="79"/>
      <c r="E619" s="79"/>
      <c r="O619" s="79"/>
      <c r="S619" s="79"/>
      <c r="T619" s="79"/>
      <c r="Y619" s="79"/>
      <c r="AC619" s="130"/>
      <c r="AE619" s="106"/>
    </row>
    <row r="620">
      <c r="C620" s="79"/>
      <c r="D620" s="79"/>
      <c r="E620" s="79"/>
      <c r="O620" s="79"/>
      <c r="S620" s="79"/>
      <c r="T620" s="79"/>
      <c r="Y620" s="79"/>
      <c r="AC620" s="130"/>
      <c r="AE620" s="106"/>
    </row>
    <row r="621">
      <c r="C621" s="79"/>
      <c r="D621" s="79"/>
      <c r="E621" s="79"/>
      <c r="O621" s="79"/>
      <c r="S621" s="79"/>
      <c r="T621" s="79"/>
      <c r="Y621" s="79"/>
      <c r="AC621" s="130"/>
      <c r="AE621" s="106"/>
    </row>
    <row r="622">
      <c r="C622" s="79"/>
      <c r="D622" s="79"/>
      <c r="E622" s="79"/>
      <c r="O622" s="79"/>
      <c r="S622" s="79"/>
      <c r="T622" s="79"/>
      <c r="Y622" s="79"/>
      <c r="AC622" s="130"/>
      <c r="AE622" s="106"/>
    </row>
    <row r="623">
      <c r="C623" s="79"/>
      <c r="D623" s="79"/>
      <c r="E623" s="79"/>
      <c r="O623" s="79"/>
      <c r="S623" s="79"/>
      <c r="T623" s="79"/>
      <c r="Y623" s="79"/>
      <c r="AC623" s="130"/>
      <c r="AE623" s="106"/>
    </row>
    <row r="624">
      <c r="C624" s="79"/>
      <c r="D624" s="79"/>
      <c r="E624" s="79"/>
      <c r="O624" s="79"/>
      <c r="S624" s="79"/>
      <c r="T624" s="79"/>
      <c r="Y624" s="79"/>
      <c r="AC624" s="130"/>
      <c r="AE624" s="106"/>
    </row>
    <row r="625">
      <c r="C625" s="79"/>
      <c r="D625" s="79"/>
      <c r="E625" s="79"/>
      <c r="O625" s="79"/>
      <c r="S625" s="79"/>
      <c r="T625" s="79"/>
      <c r="Y625" s="79"/>
      <c r="AC625" s="130"/>
      <c r="AE625" s="106"/>
    </row>
    <row r="626">
      <c r="C626" s="79"/>
      <c r="D626" s="79"/>
      <c r="E626" s="79"/>
      <c r="O626" s="79"/>
      <c r="S626" s="79"/>
      <c r="T626" s="79"/>
      <c r="Y626" s="79"/>
      <c r="AC626" s="130"/>
      <c r="AE626" s="106"/>
    </row>
    <row r="627">
      <c r="C627" s="79"/>
      <c r="D627" s="79"/>
      <c r="E627" s="79"/>
      <c r="O627" s="79"/>
      <c r="S627" s="79"/>
      <c r="T627" s="79"/>
      <c r="Y627" s="79"/>
      <c r="AC627" s="130"/>
      <c r="AE627" s="106"/>
    </row>
    <row r="628">
      <c r="C628" s="79"/>
      <c r="D628" s="79"/>
      <c r="E628" s="79"/>
      <c r="O628" s="79"/>
      <c r="S628" s="79"/>
      <c r="T628" s="79"/>
      <c r="Y628" s="79"/>
      <c r="AC628" s="130"/>
      <c r="AE628" s="106"/>
    </row>
    <row r="629">
      <c r="C629" s="79"/>
      <c r="D629" s="79"/>
      <c r="E629" s="79"/>
      <c r="O629" s="79"/>
      <c r="S629" s="79"/>
      <c r="T629" s="79"/>
      <c r="Y629" s="79"/>
      <c r="AC629" s="130"/>
      <c r="AE629" s="106"/>
    </row>
    <row r="630">
      <c r="C630" s="79"/>
      <c r="D630" s="79"/>
      <c r="E630" s="79"/>
      <c r="O630" s="79"/>
      <c r="S630" s="79"/>
      <c r="T630" s="79"/>
      <c r="Y630" s="79"/>
      <c r="AC630" s="130"/>
      <c r="AE630" s="106"/>
    </row>
    <row r="631">
      <c r="C631" s="79"/>
      <c r="D631" s="79"/>
      <c r="E631" s="79"/>
      <c r="O631" s="79"/>
      <c r="S631" s="79"/>
      <c r="T631" s="79"/>
      <c r="Y631" s="79"/>
      <c r="AC631" s="130"/>
      <c r="AE631" s="106"/>
    </row>
    <row r="632">
      <c r="C632" s="79"/>
      <c r="D632" s="79"/>
      <c r="E632" s="79"/>
      <c r="O632" s="79"/>
      <c r="S632" s="79"/>
      <c r="T632" s="79"/>
      <c r="Y632" s="79"/>
      <c r="AC632" s="130"/>
      <c r="AE632" s="106"/>
    </row>
    <row r="633">
      <c r="C633" s="79"/>
      <c r="D633" s="79"/>
      <c r="E633" s="79"/>
      <c r="O633" s="79"/>
      <c r="S633" s="79"/>
      <c r="T633" s="79"/>
      <c r="Y633" s="79"/>
      <c r="AC633" s="130"/>
      <c r="AE633" s="106"/>
    </row>
    <row r="634">
      <c r="C634" s="79"/>
      <c r="D634" s="79"/>
      <c r="E634" s="79"/>
      <c r="O634" s="79"/>
      <c r="S634" s="79"/>
      <c r="T634" s="79"/>
      <c r="Y634" s="79"/>
      <c r="AC634" s="130"/>
      <c r="AE634" s="106"/>
    </row>
    <row r="635">
      <c r="C635" s="79"/>
      <c r="D635" s="79"/>
      <c r="E635" s="79"/>
      <c r="O635" s="79"/>
      <c r="S635" s="79"/>
      <c r="T635" s="79"/>
      <c r="Y635" s="79"/>
      <c r="AC635" s="130"/>
      <c r="AE635" s="106"/>
    </row>
    <row r="636">
      <c r="C636" s="79"/>
      <c r="D636" s="79"/>
      <c r="E636" s="79"/>
      <c r="O636" s="79"/>
      <c r="S636" s="79"/>
      <c r="T636" s="79"/>
      <c r="Y636" s="79"/>
      <c r="AC636" s="130"/>
      <c r="AE636" s="106"/>
    </row>
    <row r="637">
      <c r="C637" s="79"/>
      <c r="D637" s="79"/>
      <c r="E637" s="79"/>
      <c r="O637" s="79"/>
      <c r="S637" s="79"/>
      <c r="T637" s="79"/>
      <c r="Y637" s="79"/>
      <c r="AC637" s="130"/>
      <c r="AE637" s="106"/>
    </row>
    <row r="638">
      <c r="C638" s="79"/>
      <c r="D638" s="79"/>
      <c r="E638" s="79"/>
      <c r="O638" s="79"/>
      <c r="S638" s="79"/>
      <c r="T638" s="79"/>
      <c r="Y638" s="79"/>
      <c r="AC638" s="130"/>
      <c r="AE638" s="106"/>
    </row>
    <row r="639">
      <c r="C639" s="79"/>
      <c r="D639" s="79"/>
      <c r="E639" s="79"/>
      <c r="O639" s="79"/>
      <c r="S639" s="79"/>
      <c r="T639" s="79"/>
      <c r="Y639" s="79"/>
      <c r="AC639" s="130"/>
      <c r="AE639" s="106"/>
    </row>
    <row r="640">
      <c r="C640" s="79"/>
      <c r="D640" s="79"/>
      <c r="E640" s="79"/>
      <c r="O640" s="79"/>
      <c r="S640" s="79"/>
      <c r="T640" s="79"/>
      <c r="Y640" s="79"/>
      <c r="AC640" s="130"/>
      <c r="AE640" s="106"/>
    </row>
    <row r="641">
      <c r="C641" s="79"/>
      <c r="D641" s="79"/>
      <c r="E641" s="79"/>
      <c r="O641" s="79"/>
      <c r="S641" s="79"/>
      <c r="T641" s="79"/>
      <c r="Y641" s="79"/>
      <c r="AC641" s="130"/>
      <c r="AE641" s="106"/>
    </row>
    <row r="642">
      <c r="C642" s="79"/>
      <c r="D642" s="79"/>
      <c r="E642" s="79"/>
      <c r="O642" s="79"/>
      <c r="S642" s="79"/>
      <c r="T642" s="79"/>
      <c r="Y642" s="79"/>
      <c r="AC642" s="130"/>
      <c r="AE642" s="106"/>
    </row>
    <row r="643">
      <c r="C643" s="79"/>
      <c r="D643" s="79"/>
      <c r="E643" s="79"/>
      <c r="O643" s="79"/>
      <c r="S643" s="79"/>
      <c r="T643" s="79"/>
      <c r="Y643" s="79"/>
      <c r="AC643" s="130"/>
      <c r="AE643" s="106"/>
    </row>
    <row r="644">
      <c r="C644" s="79"/>
      <c r="D644" s="79"/>
      <c r="E644" s="79"/>
      <c r="O644" s="79"/>
      <c r="S644" s="79"/>
      <c r="T644" s="79"/>
      <c r="Y644" s="79"/>
      <c r="AC644" s="130"/>
      <c r="AE644" s="106"/>
    </row>
    <row r="645">
      <c r="C645" s="79"/>
      <c r="D645" s="79"/>
      <c r="E645" s="79"/>
      <c r="O645" s="79"/>
      <c r="S645" s="79"/>
      <c r="T645" s="79"/>
      <c r="Y645" s="79"/>
      <c r="AC645" s="130"/>
      <c r="AE645" s="106"/>
    </row>
    <row r="646">
      <c r="C646" s="79"/>
      <c r="D646" s="79"/>
      <c r="E646" s="79"/>
      <c r="O646" s="79"/>
      <c r="S646" s="79"/>
      <c r="T646" s="79"/>
      <c r="Y646" s="79"/>
      <c r="AC646" s="130"/>
      <c r="AE646" s="106"/>
    </row>
    <row r="647">
      <c r="C647" s="79"/>
      <c r="D647" s="79"/>
      <c r="E647" s="79"/>
      <c r="O647" s="79"/>
      <c r="S647" s="79"/>
      <c r="T647" s="79"/>
      <c r="Y647" s="79"/>
      <c r="AC647" s="130"/>
      <c r="AE647" s="106"/>
    </row>
    <row r="648">
      <c r="C648" s="79"/>
      <c r="D648" s="79"/>
      <c r="E648" s="79"/>
      <c r="O648" s="79"/>
      <c r="S648" s="79"/>
      <c r="T648" s="79"/>
      <c r="Y648" s="79"/>
      <c r="AC648" s="130"/>
      <c r="AE648" s="106"/>
    </row>
    <row r="649">
      <c r="C649" s="79"/>
      <c r="D649" s="79"/>
      <c r="E649" s="79"/>
      <c r="O649" s="79"/>
      <c r="S649" s="79"/>
      <c r="T649" s="79"/>
      <c r="Y649" s="79"/>
      <c r="AC649" s="130"/>
      <c r="AE649" s="106"/>
    </row>
    <row r="650">
      <c r="C650" s="79"/>
      <c r="D650" s="79"/>
      <c r="E650" s="79"/>
      <c r="O650" s="79"/>
      <c r="S650" s="79"/>
      <c r="T650" s="79"/>
      <c r="Y650" s="79"/>
      <c r="AC650" s="130"/>
      <c r="AE650" s="106"/>
    </row>
    <row r="651">
      <c r="C651" s="79"/>
      <c r="D651" s="79"/>
      <c r="E651" s="79"/>
      <c r="O651" s="79"/>
      <c r="S651" s="79"/>
      <c r="T651" s="79"/>
      <c r="Y651" s="79"/>
      <c r="AC651" s="130"/>
      <c r="AE651" s="106"/>
    </row>
    <row r="652">
      <c r="C652" s="79"/>
      <c r="D652" s="79"/>
      <c r="E652" s="79"/>
      <c r="O652" s="79"/>
      <c r="S652" s="79"/>
      <c r="T652" s="79"/>
      <c r="Y652" s="79"/>
      <c r="AC652" s="130"/>
      <c r="AE652" s="106"/>
    </row>
    <row r="653">
      <c r="C653" s="79"/>
      <c r="D653" s="79"/>
      <c r="E653" s="79"/>
      <c r="O653" s="79"/>
      <c r="S653" s="79"/>
      <c r="T653" s="79"/>
      <c r="Y653" s="79"/>
      <c r="AC653" s="130"/>
      <c r="AE653" s="106"/>
    </row>
    <row r="654">
      <c r="C654" s="79"/>
      <c r="D654" s="79"/>
      <c r="E654" s="79"/>
      <c r="O654" s="79"/>
      <c r="S654" s="79"/>
      <c r="T654" s="79"/>
      <c r="Y654" s="79"/>
      <c r="AC654" s="130"/>
      <c r="AE654" s="106"/>
    </row>
    <row r="655">
      <c r="C655" s="79"/>
      <c r="D655" s="79"/>
      <c r="E655" s="79"/>
      <c r="O655" s="79"/>
      <c r="S655" s="79"/>
      <c r="T655" s="79"/>
      <c r="Y655" s="79"/>
      <c r="AC655" s="130"/>
      <c r="AE655" s="106"/>
    </row>
    <row r="656">
      <c r="C656" s="79"/>
      <c r="D656" s="79"/>
      <c r="E656" s="79"/>
      <c r="O656" s="79"/>
      <c r="S656" s="79"/>
      <c r="T656" s="79"/>
      <c r="Y656" s="79"/>
      <c r="AC656" s="130"/>
      <c r="AE656" s="106"/>
    </row>
    <row r="657">
      <c r="C657" s="79"/>
      <c r="D657" s="79"/>
      <c r="E657" s="79"/>
      <c r="O657" s="79"/>
      <c r="S657" s="79"/>
      <c r="T657" s="79"/>
      <c r="Y657" s="79"/>
      <c r="AC657" s="130"/>
      <c r="AE657" s="106"/>
    </row>
    <row r="658">
      <c r="C658" s="79"/>
      <c r="D658" s="79"/>
      <c r="E658" s="79"/>
      <c r="O658" s="79"/>
      <c r="S658" s="79"/>
      <c r="T658" s="79"/>
      <c r="Y658" s="79"/>
      <c r="AC658" s="130"/>
      <c r="AE658" s="106"/>
    </row>
    <row r="659">
      <c r="C659" s="79"/>
      <c r="D659" s="79"/>
      <c r="E659" s="79"/>
      <c r="O659" s="79"/>
      <c r="S659" s="79"/>
      <c r="T659" s="79"/>
      <c r="Y659" s="79"/>
      <c r="AC659" s="130"/>
      <c r="AE659" s="106"/>
    </row>
    <row r="660">
      <c r="C660" s="79"/>
      <c r="D660" s="79"/>
      <c r="E660" s="79"/>
      <c r="O660" s="79"/>
      <c r="S660" s="79"/>
      <c r="T660" s="79"/>
      <c r="Y660" s="79"/>
      <c r="AC660" s="130"/>
      <c r="AE660" s="106"/>
    </row>
    <row r="661">
      <c r="C661" s="79"/>
      <c r="D661" s="79"/>
      <c r="E661" s="79"/>
      <c r="O661" s="79"/>
      <c r="S661" s="79"/>
      <c r="T661" s="79"/>
      <c r="Y661" s="79"/>
      <c r="AC661" s="130"/>
      <c r="AE661" s="106"/>
    </row>
    <row r="662">
      <c r="C662" s="79"/>
      <c r="D662" s="79"/>
      <c r="E662" s="79"/>
      <c r="O662" s="79"/>
      <c r="S662" s="79"/>
      <c r="T662" s="79"/>
      <c r="Y662" s="79"/>
      <c r="AC662" s="130"/>
      <c r="AE662" s="106"/>
    </row>
    <row r="663">
      <c r="C663" s="79"/>
      <c r="D663" s="79"/>
      <c r="E663" s="79"/>
      <c r="O663" s="79"/>
      <c r="S663" s="79"/>
      <c r="T663" s="79"/>
      <c r="Y663" s="79"/>
      <c r="AC663" s="130"/>
      <c r="AE663" s="106"/>
    </row>
    <row r="664">
      <c r="C664" s="79"/>
      <c r="D664" s="79"/>
      <c r="E664" s="79"/>
      <c r="O664" s="79"/>
      <c r="S664" s="79"/>
      <c r="T664" s="79"/>
      <c r="Y664" s="79"/>
      <c r="AC664" s="130"/>
      <c r="AE664" s="106"/>
    </row>
    <row r="665">
      <c r="C665" s="79"/>
      <c r="D665" s="79"/>
      <c r="E665" s="79"/>
      <c r="O665" s="79"/>
      <c r="S665" s="79"/>
      <c r="T665" s="79"/>
      <c r="Y665" s="79"/>
      <c r="AC665" s="130"/>
      <c r="AE665" s="106"/>
    </row>
    <row r="666">
      <c r="C666" s="79"/>
      <c r="D666" s="79"/>
      <c r="E666" s="79"/>
      <c r="O666" s="79"/>
      <c r="S666" s="79"/>
      <c r="T666" s="79"/>
      <c r="Y666" s="79"/>
      <c r="AC666" s="130"/>
      <c r="AE666" s="106"/>
    </row>
    <row r="667">
      <c r="C667" s="79"/>
      <c r="D667" s="79"/>
      <c r="E667" s="79"/>
      <c r="O667" s="79"/>
      <c r="S667" s="79"/>
      <c r="T667" s="79"/>
      <c r="Y667" s="79"/>
      <c r="AC667" s="130"/>
      <c r="AE667" s="106"/>
    </row>
    <row r="668">
      <c r="C668" s="79"/>
      <c r="D668" s="79"/>
      <c r="E668" s="79"/>
      <c r="O668" s="79"/>
      <c r="S668" s="79"/>
      <c r="T668" s="79"/>
      <c r="Y668" s="79"/>
      <c r="AC668" s="130"/>
      <c r="AE668" s="106"/>
    </row>
    <row r="669">
      <c r="C669" s="79"/>
      <c r="D669" s="79"/>
      <c r="E669" s="79"/>
      <c r="O669" s="79"/>
      <c r="S669" s="79"/>
      <c r="T669" s="79"/>
      <c r="Y669" s="79"/>
      <c r="AC669" s="130"/>
      <c r="AE669" s="106"/>
    </row>
    <row r="670">
      <c r="C670" s="79"/>
      <c r="D670" s="79"/>
      <c r="E670" s="79"/>
      <c r="O670" s="79"/>
      <c r="S670" s="79"/>
      <c r="T670" s="79"/>
      <c r="Y670" s="79"/>
      <c r="AC670" s="130"/>
      <c r="AE670" s="106"/>
    </row>
    <row r="671">
      <c r="C671" s="79"/>
      <c r="D671" s="79"/>
      <c r="E671" s="79"/>
      <c r="O671" s="79"/>
      <c r="S671" s="79"/>
      <c r="T671" s="79"/>
      <c r="Y671" s="79"/>
      <c r="AC671" s="130"/>
      <c r="AE671" s="106"/>
    </row>
    <row r="672">
      <c r="C672" s="79"/>
      <c r="D672" s="79"/>
      <c r="E672" s="79"/>
      <c r="O672" s="79"/>
      <c r="S672" s="79"/>
      <c r="T672" s="79"/>
      <c r="Y672" s="79"/>
      <c r="AC672" s="130"/>
      <c r="AE672" s="106"/>
    </row>
    <row r="673">
      <c r="C673" s="79"/>
      <c r="D673" s="79"/>
      <c r="E673" s="79"/>
      <c r="O673" s="79"/>
      <c r="S673" s="79"/>
      <c r="T673" s="79"/>
      <c r="Y673" s="79"/>
      <c r="AC673" s="130"/>
      <c r="AE673" s="106"/>
    </row>
    <row r="674">
      <c r="C674" s="79"/>
      <c r="D674" s="79"/>
      <c r="E674" s="79"/>
      <c r="O674" s="79"/>
      <c r="S674" s="79"/>
      <c r="T674" s="79"/>
      <c r="Y674" s="79"/>
      <c r="AC674" s="130"/>
      <c r="AE674" s="106"/>
    </row>
    <row r="675">
      <c r="C675" s="79"/>
      <c r="D675" s="79"/>
      <c r="E675" s="79"/>
      <c r="O675" s="79"/>
      <c r="S675" s="79"/>
      <c r="T675" s="79"/>
      <c r="Y675" s="79"/>
      <c r="AC675" s="130"/>
      <c r="AE675" s="106"/>
    </row>
    <row r="676">
      <c r="C676" s="79"/>
      <c r="D676" s="79"/>
      <c r="E676" s="79"/>
      <c r="O676" s="79"/>
      <c r="S676" s="79"/>
      <c r="T676" s="79"/>
      <c r="Y676" s="79"/>
      <c r="AC676" s="130"/>
      <c r="AE676" s="106"/>
    </row>
    <row r="677">
      <c r="C677" s="79"/>
      <c r="D677" s="79"/>
      <c r="E677" s="79"/>
      <c r="O677" s="79"/>
      <c r="S677" s="79"/>
      <c r="T677" s="79"/>
      <c r="Y677" s="79"/>
      <c r="AC677" s="130"/>
      <c r="AE677" s="106"/>
    </row>
    <row r="678">
      <c r="C678" s="79"/>
      <c r="D678" s="79"/>
      <c r="E678" s="79"/>
      <c r="O678" s="79"/>
      <c r="S678" s="79"/>
      <c r="T678" s="79"/>
      <c r="Y678" s="79"/>
      <c r="AC678" s="130"/>
      <c r="AE678" s="106"/>
    </row>
    <row r="679">
      <c r="C679" s="79"/>
      <c r="D679" s="79"/>
      <c r="E679" s="79"/>
      <c r="O679" s="79"/>
      <c r="S679" s="79"/>
      <c r="T679" s="79"/>
      <c r="Y679" s="79"/>
      <c r="AC679" s="130"/>
      <c r="AE679" s="106"/>
    </row>
    <row r="680">
      <c r="C680" s="79"/>
      <c r="D680" s="79"/>
      <c r="E680" s="79"/>
      <c r="O680" s="79"/>
      <c r="S680" s="79"/>
      <c r="T680" s="79"/>
      <c r="Y680" s="79"/>
      <c r="AC680" s="130"/>
      <c r="AE680" s="106"/>
    </row>
    <row r="681">
      <c r="C681" s="79"/>
      <c r="D681" s="79"/>
      <c r="E681" s="79"/>
      <c r="O681" s="79"/>
      <c r="S681" s="79"/>
      <c r="T681" s="79"/>
      <c r="Y681" s="79"/>
      <c r="AC681" s="130"/>
      <c r="AE681" s="106"/>
    </row>
    <row r="682">
      <c r="C682" s="79"/>
      <c r="D682" s="79"/>
      <c r="E682" s="79"/>
      <c r="O682" s="79"/>
      <c r="S682" s="79"/>
      <c r="T682" s="79"/>
      <c r="Y682" s="79"/>
      <c r="AC682" s="130"/>
      <c r="AE682" s="106"/>
    </row>
    <row r="683">
      <c r="C683" s="79"/>
      <c r="D683" s="79"/>
      <c r="E683" s="79"/>
      <c r="O683" s="79"/>
      <c r="S683" s="79"/>
      <c r="T683" s="79"/>
      <c r="Y683" s="79"/>
      <c r="AC683" s="130"/>
      <c r="AE683" s="106"/>
    </row>
    <row r="684">
      <c r="C684" s="79"/>
      <c r="D684" s="79"/>
      <c r="E684" s="79"/>
      <c r="O684" s="79"/>
      <c r="S684" s="79"/>
      <c r="T684" s="79"/>
      <c r="Y684" s="79"/>
      <c r="AC684" s="130"/>
      <c r="AE684" s="106"/>
    </row>
    <row r="685">
      <c r="C685" s="79"/>
      <c r="D685" s="79"/>
      <c r="E685" s="79"/>
      <c r="O685" s="79"/>
      <c r="S685" s="79"/>
      <c r="T685" s="79"/>
      <c r="Y685" s="79"/>
      <c r="AC685" s="130"/>
      <c r="AE685" s="106"/>
    </row>
    <row r="686">
      <c r="C686" s="79"/>
      <c r="D686" s="79"/>
      <c r="E686" s="79"/>
      <c r="O686" s="79"/>
      <c r="S686" s="79"/>
      <c r="T686" s="79"/>
      <c r="Y686" s="79"/>
      <c r="AC686" s="130"/>
      <c r="AE686" s="106"/>
    </row>
    <row r="687">
      <c r="C687" s="79"/>
      <c r="D687" s="79"/>
      <c r="E687" s="79"/>
      <c r="O687" s="79"/>
      <c r="S687" s="79"/>
      <c r="T687" s="79"/>
      <c r="Y687" s="79"/>
      <c r="AC687" s="130"/>
      <c r="AE687" s="106"/>
    </row>
    <row r="688">
      <c r="C688" s="79"/>
      <c r="D688" s="79"/>
      <c r="E688" s="79"/>
      <c r="O688" s="79"/>
      <c r="S688" s="79"/>
      <c r="T688" s="79"/>
      <c r="Y688" s="79"/>
      <c r="AC688" s="130"/>
      <c r="AE688" s="106"/>
    </row>
    <row r="689">
      <c r="C689" s="79"/>
      <c r="D689" s="79"/>
      <c r="E689" s="79"/>
      <c r="O689" s="79"/>
      <c r="S689" s="79"/>
      <c r="T689" s="79"/>
      <c r="Y689" s="79"/>
      <c r="AC689" s="130"/>
      <c r="AE689" s="106"/>
    </row>
    <row r="690">
      <c r="C690" s="79"/>
      <c r="D690" s="79"/>
      <c r="E690" s="79"/>
      <c r="O690" s="79"/>
      <c r="S690" s="79"/>
      <c r="T690" s="79"/>
      <c r="Y690" s="79"/>
      <c r="AC690" s="130"/>
      <c r="AE690" s="106"/>
    </row>
    <row r="691">
      <c r="C691" s="79"/>
      <c r="D691" s="79"/>
      <c r="E691" s="79"/>
      <c r="O691" s="79"/>
      <c r="S691" s="79"/>
      <c r="T691" s="79"/>
      <c r="Y691" s="79"/>
      <c r="AC691" s="130"/>
      <c r="AE691" s="106"/>
    </row>
    <row r="692">
      <c r="C692" s="79"/>
      <c r="D692" s="79"/>
      <c r="E692" s="79"/>
      <c r="O692" s="79"/>
      <c r="S692" s="79"/>
      <c r="T692" s="79"/>
      <c r="Y692" s="79"/>
      <c r="AC692" s="130"/>
      <c r="AE692" s="106"/>
    </row>
    <row r="693">
      <c r="C693" s="79"/>
      <c r="D693" s="79"/>
      <c r="E693" s="79"/>
      <c r="O693" s="79"/>
      <c r="S693" s="79"/>
      <c r="T693" s="79"/>
      <c r="Y693" s="79"/>
      <c r="AC693" s="130"/>
      <c r="AE693" s="106"/>
    </row>
    <row r="694">
      <c r="C694" s="79"/>
      <c r="D694" s="79"/>
      <c r="E694" s="79"/>
      <c r="O694" s="79"/>
      <c r="S694" s="79"/>
      <c r="T694" s="79"/>
      <c r="Y694" s="79"/>
      <c r="AC694" s="130"/>
      <c r="AE694" s="106"/>
    </row>
    <row r="695">
      <c r="C695" s="79"/>
      <c r="D695" s="79"/>
      <c r="E695" s="79"/>
      <c r="O695" s="79"/>
      <c r="S695" s="79"/>
      <c r="T695" s="79"/>
      <c r="Y695" s="79"/>
      <c r="AC695" s="130"/>
      <c r="AE695" s="106"/>
    </row>
    <row r="696">
      <c r="C696" s="79"/>
      <c r="D696" s="79"/>
      <c r="E696" s="79"/>
      <c r="O696" s="79"/>
      <c r="S696" s="79"/>
      <c r="T696" s="79"/>
      <c r="Y696" s="79"/>
      <c r="AC696" s="130"/>
      <c r="AE696" s="106"/>
    </row>
    <row r="697">
      <c r="C697" s="79"/>
      <c r="D697" s="79"/>
      <c r="E697" s="79"/>
      <c r="O697" s="79"/>
      <c r="S697" s="79"/>
      <c r="T697" s="79"/>
      <c r="Y697" s="79"/>
      <c r="AC697" s="130"/>
      <c r="AE697" s="106"/>
    </row>
    <row r="698">
      <c r="C698" s="79"/>
      <c r="D698" s="79"/>
      <c r="E698" s="79"/>
      <c r="O698" s="79"/>
      <c r="S698" s="79"/>
      <c r="T698" s="79"/>
      <c r="Y698" s="79"/>
      <c r="AC698" s="130"/>
      <c r="AE698" s="106"/>
    </row>
    <row r="699">
      <c r="C699" s="79"/>
      <c r="D699" s="79"/>
      <c r="E699" s="79"/>
      <c r="O699" s="79"/>
      <c r="S699" s="79"/>
      <c r="T699" s="79"/>
      <c r="Y699" s="79"/>
      <c r="AC699" s="130"/>
      <c r="AE699" s="106"/>
    </row>
    <row r="700">
      <c r="C700" s="79"/>
      <c r="D700" s="79"/>
      <c r="E700" s="79"/>
      <c r="O700" s="79"/>
      <c r="S700" s="79"/>
      <c r="T700" s="79"/>
      <c r="Y700" s="79"/>
      <c r="AC700" s="130"/>
      <c r="AE700" s="106"/>
    </row>
    <row r="701">
      <c r="C701" s="79"/>
      <c r="D701" s="79"/>
      <c r="E701" s="79"/>
      <c r="O701" s="79"/>
      <c r="S701" s="79"/>
      <c r="T701" s="79"/>
      <c r="Y701" s="79"/>
      <c r="AC701" s="130"/>
      <c r="AE701" s="106"/>
    </row>
    <row r="702">
      <c r="C702" s="79"/>
      <c r="D702" s="79"/>
      <c r="E702" s="79"/>
      <c r="O702" s="79"/>
      <c r="S702" s="79"/>
      <c r="T702" s="79"/>
      <c r="Y702" s="79"/>
      <c r="AC702" s="130"/>
      <c r="AE702" s="106"/>
    </row>
    <row r="703">
      <c r="C703" s="79"/>
      <c r="D703" s="79"/>
      <c r="E703" s="79"/>
      <c r="O703" s="79"/>
      <c r="S703" s="79"/>
      <c r="T703" s="79"/>
      <c r="Y703" s="79"/>
      <c r="AC703" s="130"/>
      <c r="AE703" s="106"/>
    </row>
    <row r="704">
      <c r="C704" s="79"/>
      <c r="D704" s="79"/>
      <c r="E704" s="79"/>
      <c r="O704" s="79"/>
      <c r="S704" s="79"/>
      <c r="T704" s="79"/>
      <c r="Y704" s="79"/>
      <c r="AC704" s="130"/>
      <c r="AE704" s="106"/>
    </row>
    <row r="705">
      <c r="C705" s="79"/>
      <c r="D705" s="79"/>
      <c r="E705" s="79"/>
      <c r="O705" s="79"/>
      <c r="S705" s="79"/>
      <c r="T705" s="79"/>
      <c r="Y705" s="79"/>
      <c r="AC705" s="130"/>
      <c r="AE705" s="106"/>
    </row>
    <row r="706">
      <c r="C706" s="79"/>
      <c r="D706" s="79"/>
      <c r="E706" s="79"/>
      <c r="O706" s="79"/>
      <c r="S706" s="79"/>
      <c r="T706" s="79"/>
      <c r="Y706" s="79"/>
      <c r="AC706" s="130"/>
      <c r="AE706" s="106"/>
    </row>
    <row r="707">
      <c r="C707" s="79"/>
      <c r="D707" s="79"/>
      <c r="E707" s="79"/>
      <c r="O707" s="79"/>
      <c r="S707" s="79"/>
      <c r="T707" s="79"/>
      <c r="Y707" s="79"/>
      <c r="AC707" s="130"/>
      <c r="AE707" s="106"/>
    </row>
    <row r="708">
      <c r="C708" s="79"/>
      <c r="D708" s="79"/>
      <c r="E708" s="79"/>
      <c r="O708" s="79"/>
      <c r="S708" s="79"/>
      <c r="T708" s="79"/>
      <c r="Y708" s="79"/>
      <c r="AC708" s="130"/>
      <c r="AE708" s="106"/>
    </row>
    <row r="709">
      <c r="C709" s="79"/>
      <c r="D709" s="79"/>
      <c r="E709" s="79"/>
      <c r="O709" s="79"/>
      <c r="S709" s="79"/>
      <c r="T709" s="79"/>
      <c r="Y709" s="79"/>
      <c r="AC709" s="130"/>
      <c r="AE709" s="106"/>
    </row>
    <row r="710">
      <c r="C710" s="79"/>
      <c r="D710" s="79"/>
      <c r="E710" s="79"/>
      <c r="O710" s="79"/>
      <c r="S710" s="79"/>
      <c r="T710" s="79"/>
      <c r="Y710" s="79"/>
      <c r="AC710" s="130"/>
      <c r="AE710" s="106"/>
    </row>
    <row r="711">
      <c r="C711" s="79"/>
      <c r="D711" s="79"/>
      <c r="E711" s="79"/>
      <c r="O711" s="79"/>
      <c r="S711" s="79"/>
      <c r="T711" s="79"/>
      <c r="Y711" s="79"/>
      <c r="AC711" s="130"/>
      <c r="AE711" s="106"/>
    </row>
    <row r="712">
      <c r="C712" s="79"/>
      <c r="D712" s="79"/>
      <c r="E712" s="79"/>
      <c r="O712" s="79"/>
      <c r="S712" s="79"/>
      <c r="T712" s="79"/>
      <c r="Y712" s="79"/>
      <c r="AC712" s="130"/>
      <c r="AE712" s="106"/>
    </row>
    <row r="713">
      <c r="C713" s="79"/>
      <c r="D713" s="79"/>
      <c r="E713" s="79"/>
      <c r="O713" s="79"/>
      <c r="S713" s="79"/>
      <c r="T713" s="79"/>
      <c r="Y713" s="79"/>
      <c r="AC713" s="130"/>
      <c r="AE713" s="106"/>
    </row>
    <row r="714">
      <c r="C714" s="79"/>
      <c r="D714" s="79"/>
      <c r="E714" s="79"/>
      <c r="O714" s="79"/>
      <c r="S714" s="79"/>
      <c r="T714" s="79"/>
      <c r="Y714" s="79"/>
      <c r="AC714" s="130"/>
      <c r="AE714" s="106"/>
    </row>
    <row r="715">
      <c r="C715" s="79"/>
      <c r="D715" s="79"/>
      <c r="E715" s="79"/>
      <c r="O715" s="79"/>
      <c r="S715" s="79"/>
      <c r="T715" s="79"/>
      <c r="Y715" s="79"/>
      <c r="AC715" s="130"/>
      <c r="AE715" s="106"/>
    </row>
    <row r="716">
      <c r="C716" s="79"/>
      <c r="D716" s="79"/>
      <c r="E716" s="79"/>
      <c r="O716" s="79"/>
      <c r="S716" s="79"/>
      <c r="T716" s="79"/>
      <c r="Y716" s="79"/>
      <c r="AC716" s="130"/>
      <c r="AE716" s="106"/>
    </row>
    <row r="717">
      <c r="C717" s="79"/>
      <c r="D717" s="79"/>
      <c r="E717" s="79"/>
      <c r="O717" s="79"/>
      <c r="S717" s="79"/>
      <c r="T717" s="79"/>
      <c r="Y717" s="79"/>
      <c r="AC717" s="130"/>
      <c r="AE717" s="106"/>
    </row>
    <row r="718">
      <c r="C718" s="79"/>
      <c r="D718" s="79"/>
      <c r="E718" s="79"/>
      <c r="O718" s="79"/>
      <c r="S718" s="79"/>
      <c r="T718" s="79"/>
      <c r="Y718" s="79"/>
      <c r="AC718" s="130"/>
      <c r="AE718" s="106"/>
    </row>
    <row r="719">
      <c r="C719" s="79"/>
      <c r="D719" s="79"/>
      <c r="E719" s="79"/>
      <c r="O719" s="79"/>
      <c r="S719" s="79"/>
      <c r="T719" s="79"/>
      <c r="Y719" s="79"/>
      <c r="AC719" s="130"/>
      <c r="AE719" s="106"/>
    </row>
    <row r="720">
      <c r="C720" s="79"/>
      <c r="D720" s="79"/>
      <c r="E720" s="79"/>
      <c r="O720" s="79"/>
      <c r="S720" s="79"/>
      <c r="T720" s="79"/>
      <c r="Y720" s="79"/>
      <c r="AC720" s="130"/>
      <c r="AE720" s="106"/>
    </row>
    <row r="721">
      <c r="C721" s="79"/>
      <c r="D721" s="79"/>
      <c r="E721" s="79"/>
      <c r="O721" s="79"/>
      <c r="S721" s="79"/>
      <c r="T721" s="79"/>
      <c r="Y721" s="79"/>
      <c r="AC721" s="130"/>
      <c r="AE721" s="106"/>
    </row>
    <row r="722">
      <c r="C722" s="79"/>
      <c r="D722" s="79"/>
      <c r="E722" s="79"/>
      <c r="O722" s="79"/>
      <c r="S722" s="79"/>
      <c r="T722" s="79"/>
      <c r="Y722" s="79"/>
      <c r="AC722" s="130"/>
      <c r="AE722" s="106"/>
    </row>
    <row r="723">
      <c r="C723" s="79"/>
      <c r="D723" s="79"/>
      <c r="E723" s="79"/>
      <c r="O723" s="79"/>
      <c r="S723" s="79"/>
      <c r="T723" s="79"/>
      <c r="Y723" s="79"/>
      <c r="AC723" s="130"/>
      <c r="AE723" s="106"/>
    </row>
    <row r="724">
      <c r="C724" s="79"/>
      <c r="D724" s="79"/>
      <c r="E724" s="79"/>
      <c r="O724" s="79"/>
      <c r="S724" s="79"/>
      <c r="T724" s="79"/>
      <c r="Y724" s="79"/>
      <c r="AC724" s="130"/>
      <c r="AE724" s="106"/>
    </row>
    <row r="725">
      <c r="C725" s="79"/>
      <c r="D725" s="79"/>
      <c r="E725" s="79"/>
      <c r="O725" s="79"/>
      <c r="S725" s="79"/>
      <c r="T725" s="79"/>
      <c r="Y725" s="79"/>
      <c r="AC725" s="130"/>
      <c r="AE725" s="106"/>
    </row>
    <row r="726">
      <c r="C726" s="79"/>
      <c r="D726" s="79"/>
      <c r="E726" s="79"/>
      <c r="O726" s="79"/>
      <c r="S726" s="79"/>
      <c r="T726" s="79"/>
      <c r="Y726" s="79"/>
      <c r="AC726" s="130"/>
      <c r="AE726" s="106"/>
    </row>
    <row r="727">
      <c r="C727" s="79"/>
      <c r="D727" s="79"/>
      <c r="E727" s="79"/>
      <c r="O727" s="79"/>
      <c r="S727" s="79"/>
      <c r="T727" s="79"/>
      <c r="Y727" s="79"/>
      <c r="AC727" s="130"/>
      <c r="AE727" s="106"/>
    </row>
    <row r="728">
      <c r="C728" s="79"/>
      <c r="D728" s="79"/>
      <c r="E728" s="79"/>
      <c r="O728" s="79"/>
      <c r="S728" s="79"/>
      <c r="T728" s="79"/>
      <c r="Y728" s="79"/>
      <c r="AC728" s="130"/>
      <c r="AE728" s="106"/>
    </row>
    <row r="729">
      <c r="C729" s="79"/>
      <c r="D729" s="79"/>
      <c r="E729" s="79"/>
      <c r="O729" s="79"/>
      <c r="S729" s="79"/>
      <c r="T729" s="79"/>
      <c r="Y729" s="79"/>
      <c r="AC729" s="130"/>
      <c r="AE729" s="106"/>
    </row>
    <row r="730">
      <c r="C730" s="79"/>
      <c r="D730" s="79"/>
      <c r="E730" s="79"/>
      <c r="O730" s="79"/>
      <c r="S730" s="79"/>
      <c r="T730" s="79"/>
      <c r="Y730" s="79"/>
      <c r="AC730" s="130"/>
      <c r="AE730" s="106"/>
    </row>
    <row r="731">
      <c r="C731" s="79"/>
      <c r="D731" s="79"/>
      <c r="E731" s="79"/>
      <c r="O731" s="79"/>
      <c r="S731" s="79"/>
      <c r="T731" s="79"/>
      <c r="Y731" s="79"/>
      <c r="AC731" s="130"/>
      <c r="AE731" s="106"/>
    </row>
    <row r="732">
      <c r="C732" s="79"/>
      <c r="D732" s="79"/>
      <c r="E732" s="79"/>
      <c r="O732" s="79"/>
      <c r="S732" s="79"/>
      <c r="T732" s="79"/>
      <c r="Y732" s="79"/>
      <c r="AC732" s="130"/>
      <c r="AE732" s="106"/>
    </row>
    <row r="733">
      <c r="C733" s="79"/>
      <c r="D733" s="79"/>
      <c r="E733" s="79"/>
      <c r="O733" s="79"/>
      <c r="S733" s="79"/>
      <c r="T733" s="79"/>
      <c r="Y733" s="79"/>
      <c r="AC733" s="130"/>
      <c r="AE733" s="106"/>
    </row>
    <row r="734">
      <c r="C734" s="79"/>
      <c r="D734" s="79"/>
      <c r="E734" s="79"/>
      <c r="O734" s="79"/>
      <c r="S734" s="79"/>
      <c r="T734" s="79"/>
      <c r="Y734" s="79"/>
      <c r="AC734" s="130"/>
      <c r="AE734" s="106"/>
    </row>
    <row r="735">
      <c r="C735" s="79"/>
      <c r="D735" s="79"/>
      <c r="E735" s="79"/>
      <c r="O735" s="79"/>
      <c r="S735" s="79"/>
      <c r="T735" s="79"/>
      <c r="Y735" s="79"/>
      <c r="AC735" s="130"/>
      <c r="AE735" s="106"/>
    </row>
    <row r="736">
      <c r="C736" s="79"/>
      <c r="D736" s="79"/>
      <c r="E736" s="79"/>
      <c r="O736" s="79"/>
      <c r="S736" s="79"/>
      <c r="T736" s="79"/>
      <c r="Y736" s="79"/>
      <c r="AC736" s="130"/>
      <c r="AE736" s="106"/>
    </row>
    <row r="737">
      <c r="C737" s="79"/>
      <c r="D737" s="79"/>
      <c r="E737" s="79"/>
      <c r="O737" s="79"/>
      <c r="S737" s="79"/>
      <c r="T737" s="79"/>
      <c r="Y737" s="79"/>
      <c r="AC737" s="130"/>
      <c r="AE737" s="106"/>
    </row>
    <row r="738">
      <c r="C738" s="79"/>
      <c r="D738" s="79"/>
      <c r="E738" s="79"/>
      <c r="O738" s="79"/>
      <c r="S738" s="79"/>
      <c r="T738" s="79"/>
      <c r="Y738" s="79"/>
      <c r="AC738" s="130"/>
      <c r="AE738" s="106"/>
    </row>
    <row r="739">
      <c r="C739" s="79"/>
      <c r="D739" s="79"/>
      <c r="E739" s="79"/>
      <c r="O739" s="79"/>
      <c r="S739" s="79"/>
      <c r="T739" s="79"/>
      <c r="Y739" s="79"/>
      <c r="AC739" s="130"/>
      <c r="AE739" s="106"/>
    </row>
    <row r="740">
      <c r="C740" s="79"/>
      <c r="D740" s="79"/>
      <c r="E740" s="79"/>
      <c r="O740" s="79"/>
      <c r="S740" s="79"/>
      <c r="T740" s="79"/>
      <c r="Y740" s="79"/>
      <c r="AC740" s="130"/>
      <c r="AE740" s="106"/>
    </row>
    <row r="741">
      <c r="C741" s="79"/>
      <c r="D741" s="79"/>
      <c r="E741" s="79"/>
      <c r="O741" s="79"/>
      <c r="S741" s="79"/>
      <c r="T741" s="79"/>
      <c r="Y741" s="79"/>
      <c r="AC741" s="130"/>
      <c r="AE741" s="106"/>
    </row>
    <row r="742">
      <c r="C742" s="79"/>
      <c r="D742" s="79"/>
      <c r="E742" s="79"/>
      <c r="O742" s="79"/>
      <c r="S742" s="79"/>
      <c r="T742" s="79"/>
      <c r="Y742" s="79"/>
      <c r="AC742" s="130"/>
      <c r="AE742" s="106"/>
    </row>
    <row r="743">
      <c r="C743" s="79"/>
      <c r="D743" s="79"/>
      <c r="E743" s="79"/>
      <c r="O743" s="79"/>
      <c r="S743" s="79"/>
      <c r="T743" s="79"/>
      <c r="Y743" s="79"/>
      <c r="AC743" s="130"/>
      <c r="AE743" s="106"/>
    </row>
    <row r="744">
      <c r="C744" s="79"/>
      <c r="D744" s="79"/>
      <c r="E744" s="79"/>
      <c r="O744" s="79"/>
      <c r="S744" s="79"/>
      <c r="T744" s="79"/>
      <c r="Y744" s="79"/>
      <c r="AC744" s="130"/>
      <c r="AE744" s="106"/>
    </row>
    <row r="745">
      <c r="C745" s="79"/>
      <c r="D745" s="79"/>
      <c r="E745" s="79"/>
      <c r="O745" s="79"/>
      <c r="S745" s="79"/>
      <c r="T745" s="79"/>
      <c r="Y745" s="79"/>
      <c r="AC745" s="130"/>
      <c r="AE745" s="106"/>
    </row>
    <row r="746">
      <c r="C746" s="79"/>
      <c r="D746" s="79"/>
      <c r="E746" s="79"/>
      <c r="O746" s="79"/>
      <c r="S746" s="79"/>
      <c r="T746" s="79"/>
      <c r="Y746" s="79"/>
      <c r="AC746" s="130"/>
      <c r="AE746" s="106"/>
    </row>
    <row r="747">
      <c r="C747" s="79"/>
      <c r="D747" s="79"/>
      <c r="E747" s="79"/>
      <c r="O747" s="79"/>
      <c r="S747" s="79"/>
      <c r="T747" s="79"/>
      <c r="Y747" s="79"/>
      <c r="AC747" s="130"/>
      <c r="AE747" s="106"/>
    </row>
    <row r="748">
      <c r="C748" s="79"/>
      <c r="D748" s="79"/>
      <c r="E748" s="79"/>
      <c r="O748" s="79"/>
      <c r="S748" s="79"/>
      <c r="T748" s="79"/>
      <c r="Y748" s="79"/>
      <c r="AC748" s="130"/>
      <c r="AE748" s="106"/>
    </row>
    <row r="749">
      <c r="C749" s="79"/>
      <c r="D749" s="79"/>
      <c r="E749" s="79"/>
      <c r="O749" s="79"/>
      <c r="S749" s="79"/>
      <c r="T749" s="79"/>
      <c r="Y749" s="79"/>
      <c r="AC749" s="130"/>
      <c r="AE749" s="106"/>
    </row>
    <row r="750">
      <c r="C750" s="79"/>
      <c r="D750" s="79"/>
      <c r="E750" s="79"/>
      <c r="O750" s="79"/>
      <c r="S750" s="79"/>
      <c r="T750" s="79"/>
      <c r="Y750" s="79"/>
      <c r="AC750" s="130"/>
      <c r="AE750" s="106"/>
    </row>
    <row r="751">
      <c r="C751" s="79"/>
      <c r="D751" s="79"/>
      <c r="E751" s="79"/>
      <c r="O751" s="79"/>
      <c r="S751" s="79"/>
      <c r="T751" s="79"/>
      <c r="Y751" s="79"/>
      <c r="AC751" s="130"/>
      <c r="AE751" s="106"/>
    </row>
    <row r="752">
      <c r="C752" s="79"/>
      <c r="D752" s="79"/>
      <c r="E752" s="79"/>
      <c r="O752" s="79"/>
      <c r="S752" s="79"/>
      <c r="T752" s="79"/>
      <c r="Y752" s="79"/>
      <c r="AC752" s="130"/>
      <c r="AE752" s="106"/>
    </row>
    <row r="753">
      <c r="C753" s="79"/>
      <c r="D753" s="79"/>
      <c r="E753" s="79"/>
      <c r="O753" s="79"/>
      <c r="S753" s="79"/>
      <c r="T753" s="79"/>
      <c r="Y753" s="79"/>
      <c r="AC753" s="130"/>
      <c r="AE753" s="106"/>
    </row>
    <row r="754">
      <c r="C754" s="79"/>
      <c r="D754" s="79"/>
      <c r="E754" s="79"/>
      <c r="O754" s="79"/>
      <c r="S754" s="79"/>
      <c r="T754" s="79"/>
      <c r="Y754" s="79"/>
      <c r="AC754" s="130"/>
      <c r="AE754" s="106"/>
    </row>
    <row r="755">
      <c r="C755" s="79"/>
      <c r="D755" s="79"/>
      <c r="E755" s="79"/>
      <c r="O755" s="79"/>
      <c r="S755" s="79"/>
      <c r="T755" s="79"/>
      <c r="Y755" s="79"/>
      <c r="AC755" s="130"/>
      <c r="AE755" s="106"/>
    </row>
    <row r="756">
      <c r="C756" s="79"/>
      <c r="D756" s="79"/>
      <c r="E756" s="79"/>
      <c r="O756" s="79"/>
      <c r="S756" s="79"/>
      <c r="T756" s="79"/>
      <c r="Y756" s="79"/>
      <c r="AC756" s="130"/>
      <c r="AE756" s="106"/>
    </row>
    <row r="757">
      <c r="C757" s="79"/>
      <c r="D757" s="79"/>
      <c r="E757" s="79"/>
      <c r="O757" s="79"/>
      <c r="S757" s="79"/>
      <c r="T757" s="79"/>
      <c r="Y757" s="79"/>
      <c r="AC757" s="130"/>
      <c r="AE757" s="106"/>
    </row>
    <row r="758">
      <c r="C758" s="79"/>
      <c r="D758" s="79"/>
      <c r="E758" s="79"/>
      <c r="O758" s="79"/>
      <c r="S758" s="79"/>
      <c r="T758" s="79"/>
      <c r="Y758" s="79"/>
      <c r="AC758" s="130"/>
      <c r="AE758" s="106"/>
    </row>
    <row r="759">
      <c r="C759" s="79"/>
      <c r="D759" s="79"/>
      <c r="E759" s="79"/>
      <c r="O759" s="79"/>
      <c r="S759" s="79"/>
      <c r="T759" s="79"/>
      <c r="Y759" s="79"/>
      <c r="AC759" s="130"/>
      <c r="AE759" s="106"/>
    </row>
    <row r="760">
      <c r="C760" s="79"/>
      <c r="D760" s="79"/>
      <c r="E760" s="79"/>
      <c r="O760" s="79"/>
      <c r="S760" s="79"/>
      <c r="T760" s="79"/>
      <c r="Y760" s="79"/>
      <c r="AC760" s="130"/>
      <c r="AE760" s="106"/>
    </row>
    <row r="761">
      <c r="C761" s="79"/>
      <c r="D761" s="79"/>
      <c r="E761" s="79"/>
      <c r="O761" s="79"/>
      <c r="S761" s="79"/>
      <c r="T761" s="79"/>
      <c r="Y761" s="79"/>
      <c r="AC761" s="130"/>
      <c r="AE761" s="106"/>
    </row>
    <row r="762">
      <c r="C762" s="79"/>
      <c r="D762" s="79"/>
      <c r="E762" s="79"/>
      <c r="O762" s="79"/>
      <c r="S762" s="79"/>
      <c r="T762" s="79"/>
      <c r="Y762" s="79"/>
      <c r="AC762" s="130"/>
      <c r="AE762" s="106"/>
    </row>
    <row r="763">
      <c r="C763" s="79"/>
      <c r="D763" s="79"/>
      <c r="E763" s="79"/>
      <c r="O763" s="79"/>
      <c r="S763" s="79"/>
      <c r="T763" s="79"/>
      <c r="Y763" s="79"/>
      <c r="AC763" s="130"/>
      <c r="AE763" s="106"/>
    </row>
    <row r="764">
      <c r="C764" s="79"/>
      <c r="D764" s="79"/>
      <c r="E764" s="79"/>
      <c r="O764" s="79"/>
      <c r="S764" s="79"/>
      <c r="T764" s="79"/>
      <c r="Y764" s="79"/>
      <c r="AC764" s="130"/>
      <c r="AE764" s="106"/>
    </row>
    <row r="765">
      <c r="C765" s="79"/>
      <c r="D765" s="79"/>
      <c r="E765" s="79"/>
      <c r="O765" s="79"/>
      <c r="S765" s="79"/>
      <c r="T765" s="79"/>
      <c r="Y765" s="79"/>
      <c r="AC765" s="130"/>
      <c r="AE765" s="106"/>
    </row>
    <row r="766">
      <c r="C766" s="79"/>
      <c r="D766" s="79"/>
      <c r="E766" s="79"/>
      <c r="O766" s="79"/>
      <c r="S766" s="79"/>
      <c r="T766" s="79"/>
      <c r="Y766" s="79"/>
      <c r="AC766" s="130"/>
      <c r="AE766" s="106"/>
    </row>
    <row r="767">
      <c r="C767" s="79"/>
      <c r="D767" s="79"/>
      <c r="E767" s="79"/>
      <c r="O767" s="79"/>
      <c r="S767" s="79"/>
      <c r="T767" s="79"/>
      <c r="Y767" s="79"/>
      <c r="AC767" s="130"/>
      <c r="AE767" s="106"/>
    </row>
    <row r="768">
      <c r="C768" s="79"/>
      <c r="D768" s="79"/>
      <c r="E768" s="79"/>
      <c r="O768" s="79"/>
      <c r="S768" s="79"/>
      <c r="T768" s="79"/>
      <c r="Y768" s="79"/>
      <c r="AC768" s="130"/>
      <c r="AE768" s="106"/>
    </row>
    <row r="769">
      <c r="C769" s="79"/>
      <c r="D769" s="79"/>
      <c r="E769" s="79"/>
      <c r="O769" s="79"/>
      <c r="S769" s="79"/>
      <c r="T769" s="79"/>
      <c r="Y769" s="79"/>
      <c r="AC769" s="130"/>
      <c r="AE769" s="106"/>
    </row>
    <row r="770">
      <c r="C770" s="79"/>
      <c r="D770" s="79"/>
      <c r="E770" s="79"/>
      <c r="O770" s="79"/>
      <c r="S770" s="79"/>
      <c r="T770" s="79"/>
      <c r="Y770" s="79"/>
      <c r="AC770" s="130"/>
      <c r="AE770" s="106"/>
    </row>
    <row r="771">
      <c r="C771" s="79"/>
      <c r="D771" s="79"/>
      <c r="E771" s="79"/>
      <c r="O771" s="79"/>
      <c r="S771" s="79"/>
      <c r="T771" s="79"/>
      <c r="Y771" s="79"/>
      <c r="AC771" s="130"/>
      <c r="AE771" s="106"/>
    </row>
    <row r="772">
      <c r="C772" s="79"/>
      <c r="D772" s="79"/>
      <c r="E772" s="79"/>
      <c r="O772" s="79"/>
      <c r="S772" s="79"/>
      <c r="T772" s="79"/>
      <c r="Y772" s="79"/>
      <c r="AC772" s="130"/>
      <c r="AE772" s="106"/>
    </row>
    <row r="773">
      <c r="C773" s="79"/>
      <c r="D773" s="79"/>
      <c r="E773" s="79"/>
      <c r="O773" s="79"/>
      <c r="S773" s="79"/>
      <c r="T773" s="79"/>
      <c r="Y773" s="79"/>
      <c r="AC773" s="130"/>
      <c r="AE773" s="106"/>
    </row>
    <row r="774">
      <c r="C774" s="79"/>
      <c r="D774" s="79"/>
      <c r="E774" s="79"/>
      <c r="O774" s="79"/>
      <c r="S774" s="79"/>
      <c r="T774" s="79"/>
      <c r="Y774" s="79"/>
      <c r="AC774" s="130"/>
      <c r="AE774" s="106"/>
    </row>
    <row r="775">
      <c r="C775" s="79"/>
      <c r="D775" s="79"/>
      <c r="E775" s="79"/>
      <c r="O775" s="79"/>
      <c r="S775" s="79"/>
      <c r="T775" s="79"/>
      <c r="Y775" s="79"/>
      <c r="AC775" s="130"/>
      <c r="AE775" s="106"/>
    </row>
    <row r="776">
      <c r="C776" s="79"/>
      <c r="D776" s="79"/>
      <c r="E776" s="79"/>
      <c r="O776" s="79"/>
      <c r="S776" s="79"/>
      <c r="T776" s="79"/>
      <c r="Y776" s="79"/>
      <c r="AC776" s="130"/>
      <c r="AE776" s="106"/>
    </row>
    <row r="777">
      <c r="C777" s="79"/>
      <c r="D777" s="79"/>
      <c r="E777" s="79"/>
      <c r="O777" s="79"/>
      <c r="S777" s="79"/>
      <c r="T777" s="79"/>
      <c r="Y777" s="79"/>
      <c r="AC777" s="130"/>
      <c r="AE777" s="106"/>
    </row>
    <row r="778">
      <c r="C778" s="79"/>
      <c r="D778" s="79"/>
      <c r="E778" s="79"/>
      <c r="O778" s="79"/>
      <c r="S778" s="79"/>
      <c r="T778" s="79"/>
      <c r="Y778" s="79"/>
      <c r="AC778" s="130"/>
      <c r="AE778" s="106"/>
    </row>
    <row r="779">
      <c r="C779" s="79"/>
      <c r="D779" s="79"/>
      <c r="E779" s="79"/>
      <c r="O779" s="79"/>
      <c r="S779" s="79"/>
      <c r="T779" s="79"/>
      <c r="Y779" s="79"/>
      <c r="AC779" s="130"/>
      <c r="AE779" s="106"/>
    </row>
    <row r="780">
      <c r="C780" s="79"/>
      <c r="D780" s="79"/>
      <c r="E780" s="79"/>
      <c r="O780" s="79"/>
      <c r="S780" s="79"/>
      <c r="T780" s="79"/>
      <c r="Y780" s="79"/>
      <c r="AC780" s="130"/>
      <c r="AE780" s="106"/>
    </row>
    <row r="781">
      <c r="C781" s="79"/>
      <c r="D781" s="79"/>
      <c r="E781" s="79"/>
      <c r="O781" s="79"/>
      <c r="S781" s="79"/>
      <c r="T781" s="79"/>
      <c r="Y781" s="79"/>
      <c r="AC781" s="130"/>
      <c r="AE781" s="106"/>
    </row>
    <row r="782">
      <c r="C782" s="79"/>
      <c r="D782" s="79"/>
      <c r="E782" s="79"/>
      <c r="O782" s="79"/>
      <c r="S782" s="79"/>
      <c r="T782" s="79"/>
      <c r="Y782" s="79"/>
      <c r="AC782" s="130"/>
      <c r="AE782" s="106"/>
    </row>
    <row r="783">
      <c r="C783" s="79"/>
      <c r="D783" s="79"/>
      <c r="E783" s="79"/>
      <c r="O783" s="79"/>
      <c r="S783" s="79"/>
      <c r="T783" s="79"/>
      <c r="Y783" s="79"/>
      <c r="AC783" s="130"/>
      <c r="AE783" s="106"/>
    </row>
    <row r="784">
      <c r="C784" s="79"/>
      <c r="D784" s="79"/>
      <c r="E784" s="79"/>
      <c r="O784" s="79"/>
      <c r="S784" s="79"/>
      <c r="T784" s="79"/>
      <c r="Y784" s="79"/>
      <c r="AC784" s="130"/>
      <c r="AE784" s="106"/>
    </row>
    <row r="785">
      <c r="C785" s="79"/>
      <c r="D785" s="79"/>
      <c r="E785" s="79"/>
      <c r="O785" s="79"/>
      <c r="S785" s="79"/>
      <c r="T785" s="79"/>
      <c r="Y785" s="79"/>
      <c r="AC785" s="130"/>
      <c r="AE785" s="106"/>
    </row>
    <row r="786">
      <c r="C786" s="79"/>
      <c r="D786" s="79"/>
      <c r="E786" s="79"/>
      <c r="O786" s="79"/>
      <c r="S786" s="79"/>
      <c r="T786" s="79"/>
      <c r="Y786" s="79"/>
      <c r="AC786" s="130"/>
      <c r="AE786" s="106"/>
    </row>
    <row r="787">
      <c r="C787" s="79"/>
      <c r="D787" s="79"/>
      <c r="E787" s="79"/>
      <c r="O787" s="79"/>
      <c r="S787" s="79"/>
      <c r="T787" s="79"/>
      <c r="Y787" s="79"/>
      <c r="AC787" s="130"/>
      <c r="AE787" s="106"/>
    </row>
    <row r="788">
      <c r="C788" s="79"/>
      <c r="D788" s="79"/>
      <c r="E788" s="79"/>
      <c r="O788" s="79"/>
      <c r="S788" s="79"/>
      <c r="T788" s="79"/>
      <c r="Y788" s="79"/>
      <c r="AC788" s="130"/>
      <c r="AE788" s="106"/>
    </row>
    <row r="789">
      <c r="C789" s="79"/>
      <c r="D789" s="79"/>
      <c r="E789" s="79"/>
      <c r="O789" s="79"/>
      <c r="S789" s="79"/>
      <c r="T789" s="79"/>
      <c r="Y789" s="79"/>
      <c r="AC789" s="130"/>
      <c r="AE789" s="106"/>
    </row>
    <row r="790">
      <c r="C790" s="79"/>
      <c r="D790" s="79"/>
      <c r="E790" s="79"/>
      <c r="O790" s="79"/>
      <c r="S790" s="79"/>
      <c r="T790" s="79"/>
      <c r="Y790" s="79"/>
      <c r="AC790" s="130"/>
      <c r="AE790" s="106"/>
    </row>
    <row r="791">
      <c r="C791" s="79"/>
      <c r="D791" s="79"/>
      <c r="E791" s="79"/>
      <c r="O791" s="79"/>
      <c r="S791" s="79"/>
      <c r="T791" s="79"/>
      <c r="Y791" s="79"/>
      <c r="AC791" s="130"/>
      <c r="AE791" s="106"/>
    </row>
    <row r="792">
      <c r="C792" s="79"/>
      <c r="D792" s="79"/>
      <c r="E792" s="79"/>
      <c r="O792" s="79"/>
      <c r="S792" s="79"/>
      <c r="T792" s="79"/>
      <c r="Y792" s="79"/>
      <c r="AC792" s="130"/>
      <c r="AE792" s="106"/>
    </row>
    <row r="793">
      <c r="C793" s="79"/>
      <c r="D793" s="79"/>
      <c r="E793" s="79"/>
      <c r="O793" s="79"/>
      <c r="S793" s="79"/>
      <c r="T793" s="79"/>
      <c r="Y793" s="79"/>
      <c r="AC793" s="130"/>
      <c r="AE793" s="106"/>
    </row>
    <row r="794">
      <c r="C794" s="79"/>
      <c r="D794" s="79"/>
      <c r="E794" s="79"/>
      <c r="O794" s="79"/>
      <c r="S794" s="79"/>
      <c r="T794" s="79"/>
      <c r="Y794" s="79"/>
      <c r="AC794" s="130"/>
      <c r="AE794" s="106"/>
    </row>
    <row r="795">
      <c r="C795" s="79"/>
      <c r="D795" s="79"/>
      <c r="E795" s="79"/>
      <c r="O795" s="79"/>
      <c r="S795" s="79"/>
      <c r="T795" s="79"/>
      <c r="Y795" s="79"/>
      <c r="AC795" s="130"/>
      <c r="AE795" s="106"/>
    </row>
    <row r="796">
      <c r="C796" s="79"/>
      <c r="D796" s="79"/>
      <c r="E796" s="79"/>
      <c r="O796" s="79"/>
      <c r="S796" s="79"/>
      <c r="T796" s="79"/>
      <c r="Y796" s="79"/>
      <c r="AC796" s="130"/>
      <c r="AE796" s="106"/>
    </row>
    <row r="797">
      <c r="C797" s="79"/>
      <c r="D797" s="79"/>
      <c r="E797" s="79"/>
      <c r="O797" s="79"/>
      <c r="S797" s="79"/>
      <c r="T797" s="79"/>
      <c r="Y797" s="79"/>
      <c r="AC797" s="130"/>
      <c r="AE797" s="106"/>
    </row>
    <row r="798">
      <c r="C798" s="79"/>
      <c r="D798" s="79"/>
      <c r="E798" s="79"/>
      <c r="O798" s="79"/>
      <c r="S798" s="79"/>
      <c r="T798" s="79"/>
      <c r="Y798" s="79"/>
      <c r="AC798" s="130"/>
      <c r="AE798" s="106"/>
    </row>
    <row r="799">
      <c r="C799" s="79"/>
      <c r="D799" s="79"/>
      <c r="E799" s="79"/>
      <c r="O799" s="79"/>
      <c r="S799" s="79"/>
      <c r="T799" s="79"/>
      <c r="Y799" s="79"/>
      <c r="AC799" s="130"/>
      <c r="AE799" s="106"/>
    </row>
    <row r="800">
      <c r="C800" s="79"/>
      <c r="D800" s="79"/>
      <c r="E800" s="79"/>
      <c r="O800" s="79"/>
      <c r="S800" s="79"/>
      <c r="T800" s="79"/>
      <c r="Y800" s="79"/>
      <c r="AC800" s="130"/>
      <c r="AE800" s="106"/>
    </row>
    <row r="801">
      <c r="C801" s="79"/>
      <c r="D801" s="79"/>
      <c r="E801" s="79"/>
      <c r="O801" s="79"/>
      <c r="S801" s="79"/>
      <c r="T801" s="79"/>
      <c r="Y801" s="79"/>
      <c r="AC801" s="130"/>
      <c r="AE801" s="106"/>
    </row>
    <row r="802">
      <c r="C802" s="79"/>
      <c r="D802" s="79"/>
      <c r="E802" s="79"/>
      <c r="O802" s="79"/>
      <c r="S802" s="79"/>
      <c r="T802" s="79"/>
      <c r="Y802" s="79"/>
      <c r="AC802" s="130"/>
      <c r="AE802" s="106"/>
    </row>
    <row r="803">
      <c r="C803" s="79"/>
      <c r="D803" s="79"/>
      <c r="E803" s="79"/>
      <c r="O803" s="79"/>
      <c r="S803" s="79"/>
      <c r="T803" s="79"/>
      <c r="Y803" s="79"/>
      <c r="AC803" s="130"/>
      <c r="AE803" s="106"/>
    </row>
    <row r="804">
      <c r="C804" s="79"/>
      <c r="D804" s="79"/>
      <c r="E804" s="79"/>
      <c r="O804" s="79"/>
      <c r="S804" s="79"/>
      <c r="T804" s="79"/>
      <c r="Y804" s="79"/>
      <c r="AC804" s="130"/>
      <c r="AE804" s="106"/>
    </row>
    <row r="805">
      <c r="C805" s="79"/>
      <c r="D805" s="79"/>
      <c r="E805" s="79"/>
      <c r="O805" s="79"/>
      <c r="S805" s="79"/>
      <c r="T805" s="79"/>
      <c r="Y805" s="79"/>
      <c r="AC805" s="130"/>
      <c r="AE805" s="106"/>
    </row>
    <row r="806">
      <c r="C806" s="79"/>
      <c r="D806" s="79"/>
      <c r="E806" s="79"/>
      <c r="O806" s="79"/>
      <c r="S806" s="79"/>
      <c r="T806" s="79"/>
      <c r="Y806" s="79"/>
      <c r="AC806" s="130"/>
      <c r="AE806" s="106"/>
    </row>
    <row r="807">
      <c r="C807" s="79"/>
      <c r="D807" s="79"/>
      <c r="E807" s="79"/>
      <c r="O807" s="79"/>
      <c r="S807" s="79"/>
      <c r="T807" s="79"/>
      <c r="Y807" s="79"/>
      <c r="AC807" s="130"/>
      <c r="AE807" s="106"/>
    </row>
    <row r="808">
      <c r="C808" s="79"/>
      <c r="D808" s="79"/>
      <c r="E808" s="79"/>
      <c r="O808" s="79"/>
      <c r="S808" s="79"/>
      <c r="T808" s="79"/>
      <c r="Y808" s="79"/>
      <c r="AC808" s="130"/>
      <c r="AE808" s="106"/>
    </row>
    <row r="809">
      <c r="C809" s="79"/>
      <c r="D809" s="79"/>
      <c r="E809" s="79"/>
      <c r="O809" s="79"/>
      <c r="S809" s="79"/>
      <c r="T809" s="79"/>
      <c r="Y809" s="79"/>
      <c r="AC809" s="130"/>
      <c r="AE809" s="106"/>
    </row>
    <row r="810">
      <c r="C810" s="79"/>
      <c r="D810" s="79"/>
      <c r="E810" s="79"/>
      <c r="O810" s="79"/>
      <c r="S810" s="79"/>
      <c r="T810" s="79"/>
      <c r="Y810" s="79"/>
      <c r="AC810" s="130"/>
      <c r="AE810" s="106"/>
    </row>
    <row r="811">
      <c r="C811" s="79"/>
      <c r="D811" s="79"/>
      <c r="E811" s="79"/>
      <c r="O811" s="79"/>
      <c r="S811" s="79"/>
      <c r="T811" s="79"/>
      <c r="Y811" s="79"/>
      <c r="AC811" s="130"/>
      <c r="AE811" s="106"/>
    </row>
    <row r="812">
      <c r="C812" s="79"/>
      <c r="D812" s="79"/>
      <c r="E812" s="79"/>
      <c r="O812" s="79"/>
      <c r="S812" s="79"/>
      <c r="T812" s="79"/>
      <c r="Y812" s="79"/>
      <c r="AC812" s="130"/>
      <c r="AE812" s="106"/>
    </row>
    <row r="813">
      <c r="C813" s="79"/>
      <c r="D813" s="79"/>
      <c r="E813" s="79"/>
      <c r="O813" s="79"/>
      <c r="S813" s="79"/>
      <c r="T813" s="79"/>
      <c r="Y813" s="79"/>
      <c r="AC813" s="130"/>
      <c r="AE813" s="106"/>
    </row>
    <row r="814">
      <c r="C814" s="79"/>
      <c r="D814" s="79"/>
      <c r="E814" s="79"/>
      <c r="O814" s="79"/>
      <c r="S814" s="79"/>
      <c r="T814" s="79"/>
      <c r="Y814" s="79"/>
      <c r="AC814" s="130"/>
      <c r="AE814" s="106"/>
    </row>
    <row r="815">
      <c r="C815" s="79"/>
      <c r="D815" s="79"/>
      <c r="E815" s="79"/>
      <c r="O815" s="79"/>
      <c r="S815" s="79"/>
      <c r="T815" s="79"/>
      <c r="Y815" s="79"/>
      <c r="AC815" s="130"/>
      <c r="AE815" s="106"/>
    </row>
    <row r="816">
      <c r="C816" s="79"/>
      <c r="D816" s="79"/>
      <c r="E816" s="79"/>
      <c r="O816" s="79"/>
      <c r="S816" s="79"/>
      <c r="T816" s="79"/>
      <c r="Y816" s="79"/>
      <c r="AC816" s="130"/>
      <c r="AE816" s="106"/>
    </row>
    <row r="817">
      <c r="C817" s="79"/>
      <c r="D817" s="79"/>
      <c r="E817" s="79"/>
      <c r="O817" s="79"/>
      <c r="S817" s="79"/>
      <c r="T817" s="79"/>
      <c r="Y817" s="79"/>
      <c r="AC817" s="130"/>
      <c r="AE817" s="106"/>
    </row>
    <row r="818">
      <c r="C818" s="79"/>
      <c r="D818" s="79"/>
      <c r="E818" s="79"/>
      <c r="O818" s="79"/>
      <c r="S818" s="79"/>
      <c r="T818" s="79"/>
      <c r="Y818" s="79"/>
      <c r="AC818" s="130"/>
      <c r="AE818" s="106"/>
    </row>
    <row r="819">
      <c r="C819" s="79"/>
      <c r="D819" s="79"/>
      <c r="E819" s="79"/>
      <c r="O819" s="79"/>
      <c r="S819" s="79"/>
      <c r="T819" s="79"/>
      <c r="Y819" s="79"/>
      <c r="AC819" s="130"/>
      <c r="AE819" s="106"/>
    </row>
    <row r="820">
      <c r="C820" s="79"/>
      <c r="D820" s="79"/>
      <c r="E820" s="79"/>
      <c r="O820" s="79"/>
      <c r="S820" s="79"/>
      <c r="T820" s="79"/>
      <c r="Y820" s="79"/>
      <c r="AC820" s="130"/>
      <c r="AE820" s="106"/>
    </row>
    <row r="821">
      <c r="C821" s="79"/>
      <c r="D821" s="79"/>
      <c r="E821" s="79"/>
      <c r="O821" s="79"/>
      <c r="S821" s="79"/>
      <c r="T821" s="79"/>
      <c r="Y821" s="79"/>
      <c r="AC821" s="130"/>
      <c r="AE821" s="106"/>
    </row>
    <row r="822">
      <c r="C822" s="79"/>
      <c r="D822" s="79"/>
      <c r="E822" s="79"/>
      <c r="O822" s="79"/>
      <c r="S822" s="79"/>
      <c r="T822" s="79"/>
      <c r="Y822" s="79"/>
      <c r="AC822" s="130"/>
      <c r="AE822" s="106"/>
    </row>
    <row r="823">
      <c r="C823" s="79"/>
      <c r="D823" s="79"/>
      <c r="E823" s="79"/>
      <c r="O823" s="79"/>
      <c r="S823" s="79"/>
      <c r="T823" s="79"/>
      <c r="Y823" s="79"/>
      <c r="AC823" s="130"/>
      <c r="AE823" s="106"/>
    </row>
    <row r="824">
      <c r="C824" s="79"/>
      <c r="D824" s="79"/>
      <c r="E824" s="79"/>
      <c r="O824" s="79"/>
      <c r="S824" s="79"/>
      <c r="T824" s="79"/>
      <c r="Y824" s="79"/>
      <c r="AC824" s="130"/>
      <c r="AE824" s="106"/>
    </row>
    <row r="825">
      <c r="C825" s="79"/>
      <c r="D825" s="79"/>
      <c r="E825" s="79"/>
      <c r="O825" s="79"/>
      <c r="S825" s="79"/>
      <c r="T825" s="79"/>
      <c r="Y825" s="79"/>
      <c r="AC825" s="130"/>
      <c r="AE825" s="106"/>
    </row>
    <row r="826">
      <c r="C826" s="79"/>
      <c r="D826" s="79"/>
      <c r="E826" s="79"/>
      <c r="O826" s="79"/>
      <c r="S826" s="79"/>
      <c r="T826" s="79"/>
      <c r="Y826" s="79"/>
      <c r="AC826" s="130"/>
      <c r="AE826" s="106"/>
    </row>
    <row r="827">
      <c r="C827" s="79"/>
      <c r="D827" s="79"/>
      <c r="E827" s="79"/>
      <c r="O827" s="79"/>
      <c r="S827" s="79"/>
      <c r="T827" s="79"/>
      <c r="Y827" s="79"/>
      <c r="AC827" s="130"/>
      <c r="AE827" s="106"/>
    </row>
    <row r="828">
      <c r="C828" s="79"/>
      <c r="D828" s="79"/>
      <c r="E828" s="79"/>
      <c r="O828" s="79"/>
      <c r="S828" s="79"/>
      <c r="T828" s="79"/>
      <c r="Y828" s="79"/>
      <c r="AC828" s="130"/>
      <c r="AE828" s="106"/>
    </row>
    <row r="829">
      <c r="C829" s="79"/>
      <c r="D829" s="79"/>
      <c r="E829" s="79"/>
      <c r="O829" s="79"/>
      <c r="S829" s="79"/>
      <c r="T829" s="79"/>
      <c r="Y829" s="79"/>
      <c r="AC829" s="130"/>
      <c r="AE829" s="106"/>
    </row>
    <row r="830">
      <c r="C830" s="79"/>
      <c r="D830" s="79"/>
      <c r="E830" s="79"/>
      <c r="O830" s="79"/>
      <c r="S830" s="79"/>
      <c r="T830" s="79"/>
      <c r="Y830" s="79"/>
      <c r="AC830" s="130"/>
      <c r="AE830" s="106"/>
    </row>
    <row r="831">
      <c r="C831" s="79"/>
      <c r="D831" s="79"/>
      <c r="E831" s="79"/>
      <c r="O831" s="79"/>
      <c r="S831" s="79"/>
      <c r="T831" s="79"/>
      <c r="Y831" s="79"/>
      <c r="AC831" s="130"/>
      <c r="AE831" s="106"/>
    </row>
    <row r="832">
      <c r="C832" s="79"/>
      <c r="D832" s="79"/>
      <c r="E832" s="79"/>
      <c r="O832" s="79"/>
      <c r="S832" s="79"/>
      <c r="T832" s="79"/>
      <c r="Y832" s="79"/>
      <c r="AC832" s="130"/>
      <c r="AE832" s="106"/>
    </row>
    <row r="833">
      <c r="C833" s="79"/>
      <c r="D833" s="79"/>
      <c r="E833" s="79"/>
      <c r="O833" s="79"/>
      <c r="S833" s="79"/>
      <c r="T833" s="79"/>
      <c r="Y833" s="79"/>
      <c r="AC833" s="130"/>
      <c r="AE833" s="106"/>
    </row>
    <row r="834">
      <c r="C834" s="79"/>
      <c r="D834" s="79"/>
      <c r="E834" s="79"/>
      <c r="O834" s="79"/>
      <c r="S834" s="79"/>
      <c r="T834" s="79"/>
      <c r="Y834" s="79"/>
      <c r="AC834" s="130"/>
      <c r="AE834" s="106"/>
    </row>
    <row r="835">
      <c r="C835" s="79"/>
      <c r="D835" s="79"/>
      <c r="E835" s="79"/>
      <c r="O835" s="79"/>
      <c r="S835" s="79"/>
      <c r="T835" s="79"/>
      <c r="Y835" s="79"/>
      <c r="AC835" s="130"/>
      <c r="AE835" s="106"/>
    </row>
    <row r="836">
      <c r="C836" s="79"/>
      <c r="D836" s="79"/>
      <c r="E836" s="79"/>
      <c r="O836" s="79"/>
      <c r="S836" s="79"/>
      <c r="T836" s="79"/>
      <c r="Y836" s="79"/>
      <c r="AC836" s="130"/>
      <c r="AE836" s="106"/>
    </row>
    <row r="837">
      <c r="C837" s="79"/>
      <c r="D837" s="79"/>
      <c r="E837" s="79"/>
      <c r="O837" s="79"/>
      <c r="S837" s="79"/>
      <c r="T837" s="79"/>
      <c r="Y837" s="79"/>
      <c r="AC837" s="130"/>
      <c r="AE837" s="106"/>
    </row>
    <row r="838">
      <c r="C838" s="79"/>
      <c r="D838" s="79"/>
      <c r="E838" s="79"/>
      <c r="O838" s="79"/>
      <c r="S838" s="79"/>
      <c r="T838" s="79"/>
      <c r="Y838" s="79"/>
      <c r="AC838" s="130"/>
      <c r="AE838" s="106"/>
    </row>
    <row r="839">
      <c r="C839" s="79"/>
      <c r="D839" s="79"/>
      <c r="E839" s="79"/>
      <c r="O839" s="79"/>
      <c r="S839" s="79"/>
      <c r="T839" s="79"/>
      <c r="Y839" s="79"/>
      <c r="AC839" s="130"/>
      <c r="AE839" s="106"/>
    </row>
    <row r="840">
      <c r="C840" s="79"/>
      <c r="D840" s="79"/>
      <c r="E840" s="79"/>
      <c r="O840" s="79"/>
      <c r="S840" s="79"/>
      <c r="T840" s="79"/>
      <c r="Y840" s="79"/>
      <c r="AC840" s="130"/>
      <c r="AE840" s="106"/>
    </row>
    <row r="841">
      <c r="C841" s="79"/>
      <c r="D841" s="79"/>
      <c r="E841" s="79"/>
      <c r="O841" s="79"/>
      <c r="S841" s="79"/>
      <c r="T841" s="79"/>
      <c r="Y841" s="79"/>
      <c r="AC841" s="130"/>
      <c r="AE841" s="106"/>
    </row>
    <row r="842">
      <c r="C842" s="79"/>
      <c r="D842" s="79"/>
      <c r="E842" s="79"/>
      <c r="O842" s="79"/>
      <c r="S842" s="79"/>
      <c r="T842" s="79"/>
      <c r="Y842" s="79"/>
      <c r="AC842" s="130"/>
      <c r="AE842" s="106"/>
    </row>
    <row r="843">
      <c r="C843" s="79"/>
      <c r="D843" s="79"/>
      <c r="E843" s="79"/>
      <c r="O843" s="79"/>
      <c r="S843" s="79"/>
      <c r="T843" s="79"/>
      <c r="Y843" s="79"/>
      <c r="AC843" s="130"/>
      <c r="AE843" s="106"/>
    </row>
    <row r="844">
      <c r="C844" s="79"/>
      <c r="D844" s="79"/>
      <c r="E844" s="79"/>
      <c r="O844" s="79"/>
      <c r="S844" s="79"/>
      <c r="T844" s="79"/>
      <c r="Y844" s="79"/>
      <c r="AC844" s="130"/>
      <c r="AE844" s="106"/>
    </row>
    <row r="845">
      <c r="C845" s="79"/>
      <c r="D845" s="79"/>
      <c r="E845" s="79"/>
      <c r="O845" s="79"/>
      <c r="S845" s="79"/>
      <c r="T845" s="79"/>
      <c r="Y845" s="79"/>
      <c r="AC845" s="130"/>
      <c r="AE845" s="106"/>
    </row>
    <row r="846">
      <c r="C846" s="79"/>
      <c r="D846" s="79"/>
      <c r="E846" s="79"/>
      <c r="O846" s="79"/>
      <c r="S846" s="79"/>
      <c r="T846" s="79"/>
      <c r="Y846" s="79"/>
      <c r="AC846" s="130"/>
      <c r="AE846" s="106"/>
    </row>
    <row r="847">
      <c r="C847" s="79"/>
      <c r="D847" s="79"/>
      <c r="E847" s="79"/>
      <c r="O847" s="79"/>
      <c r="S847" s="79"/>
      <c r="T847" s="79"/>
      <c r="Y847" s="79"/>
      <c r="AC847" s="130"/>
      <c r="AE847" s="106"/>
    </row>
    <row r="848">
      <c r="C848" s="79"/>
      <c r="D848" s="79"/>
      <c r="E848" s="79"/>
      <c r="O848" s="79"/>
      <c r="S848" s="79"/>
      <c r="T848" s="79"/>
      <c r="Y848" s="79"/>
      <c r="AC848" s="130"/>
      <c r="AE848" s="106"/>
    </row>
    <row r="849">
      <c r="C849" s="79"/>
      <c r="D849" s="79"/>
      <c r="E849" s="79"/>
      <c r="O849" s="79"/>
      <c r="S849" s="79"/>
      <c r="T849" s="79"/>
      <c r="Y849" s="79"/>
      <c r="AC849" s="130"/>
      <c r="AE849" s="106"/>
    </row>
    <row r="850">
      <c r="C850" s="79"/>
      <c r="D850" s="79"/>
      <c r="E850" s="79"/>
      <c r="O850" s="79"/>
      <c r="S850" s="79"/>
      <c r="T850" s="79"/>
      <c r="Y850" s="79"/>
      <c r="AC850" s="130"/>
      <c r="AE850" s="106"/>
    </row>
    <row r="851">
      <c r="C851" s="79"/>
      <c r="D851" s="79"/>
      <c r="E851" s="79"/>
      <c r="O851" s="79"/>
      <c r="S851" s="79"/>
      <c r="T851" s="79"/>
      <c r="Y851" s="79"/>
      <c r="AC851" s="130"/>
      <c r="AE851" s="106"/>
    </row>
    <row r="852">
      <c r="C852" s="79"/>
      <c r="D852" s="79"/>
      <c r="E852" s="79"/>
      <c r="O852" s="79"/>
      <c r="S852" s="79"/>
      <c r="T852" s="79"/>
      <c r="Y852" s="79"/>
      <c r="AC852" s="130"/>
      <c r="AE852" s="106"/>
    </row>
    <row r="853">
      <c r="C853" s="79"/>
      <c r="D853" s="79"/>
      <c r="E853" s="79"/>
      <c r="O853" s="79"/>
      <c r="S853" s="79"/>
      <c r="T853" s="79"/>
      <c r="Y853" s="79"/>
      <c r="AC853" s="130"/>
      <c r="AE853" s="106"/>
    </row>
    <row r="854">
      <c r="C854" s="79"/>
      <c r="D854" s="79"/>
      <c r="E854" s="79"/>
      <c r="O854" s="79"/>
      <c r="S854" s="79"/>
      <c r="T854" s="79"/>
      <c r="Y854" s="79"/>
      <c r="AC854" s="130"/>
      <c r="AE854" s="106"/>
    </row>
    <row r="855">
      <c r="C855" s="79"/>
      <c r="D855" s="79"/>
      <c r="E855" s="79"/>
      <c r="O855" s="79"/>
      <c r="S855" s="79"/>
      <c r="T855" s="79"/>
      <c r="Y855" s="79"/>
      <c r="AC855" s="130"/>
      <c r="AE855" s="106"/>
    </row>
    <row r="856">
      <c r="C856" s="79"/>
      <c r="D856" s="79"/>
      <c r="E856" s="79"/>
      <c r="O856" s="79"/>
      <c r="S856" s="79"/>
      <c r="T856" s="79"/>
      <c r="Y856" s="79"/>
      <c r="AC856" s="130"/>
      <c r="AE856" s="106"/>
    </row>
    <row r="857">
      <c r="C857" s="79"/>
      <c r="D857" s="79"/>
      <c r="E857" s="79"/>
      <c r="O857" s="79"/>
      <c r="S857" s="79"/>
      <c r="T857" s="79"/>
      <c r="Y857" s="79"/>
      <c r="AC857" s="130"/>
      <c r="AE857" s="106"/>
    </row>
    <row r="858">
      <c r="C858" s="79"/>
      <c r="D858" s="79"/>
      <c r="E858" s="79"/>
      <c r="O858" s="79"/>
      <c r="S858" s="79"/>
      <c r="T858" s="79"/>
      <c r="Y858" s="79"/>
      <c r="AC858" s="130"/>
      <c r="AE858" s="106"/>
    </row>
    <row r="859">
      <c r="C859" s="79"/>
      <c r="D859" s="79"/>
      <c r="E859" s="79"/>
      <c r="O859" s="79"/>
      <c r="S859" s="79"/>
      <c r="T859" s="79"/>
      <c r="Y859" s="79"/>
      <c r="AC859" s="130"/>
      <c r="AE859" s="106"/>
    </row>
    <row r="860">
      <c r="C860" s="79"/>
      <c r="D860" s="79"/>
      <c r="E860" s="79"/>
      <c r="O860" s="79"/>
      <c r="S860" s="79"/>
      <c r="T860" s="79"/>
      <c r="Y860" s="79"/>
      <c r="AC860" s="130"/>
      <c r="AE860" s="106"/>
    </row>
    <row r="861">
      <c r="C861" s="79"/>
      <c r="D861" s="79"/>
      <c r="E861" s="79"/>
      <c r="O861" s="79"/>
      <c r="S861" s="79"/>
      <c r="T861" s="79"/>
      <c r="Y861" s="79"/>
      <c r="AC861" s="130"/>
      <c r="AE861" s="106"/>
    </row>
    <row r="862">
      <c r="C862" s="79"/>
      <c r="D862" s="79"/>
      <c r="E862" s="79"/>
      <c r="O862" s="79"/>
      <c r="S862" s="79"/>
      <c r="T862" s="79"/>
      <c r="Y862" s="79"/>
      <c r="AC862" s="130"/>
      <c r="AE862" s="106"/>
    </row>
    <row r="863">
      <c r="C863" s="79"/>
      <c r="D863" s="79"/>
      <c r="E863" s="79"/>
      <c r="O863" s="79"/>
      <c r="S863" s="79"/>
      <c r="T863" s="79"/>
      <c r="Y863" s="79"/>
      <c r="AC863" s="130"/>
      <c r="AE863" s="106"/>
    </row>
    <row r="864">
      <c r="C864" s="79"/>
      <c r="D864" s="79"/>
      <c r="E864" s="79"/>
      <c r="O864" s="79"/>
      <c r="S864" s="79"/>
      <c r="T864" s="79"/>
      <c r="Y864" s="79"/>
      <c r="AC864" s="130"/>
      <c r="AE864" s="106"/>
    </row>
    <row r="865">
      <c r="C865" s="79"/>
      <c r="D865" s="79"/>
      <c r="E865" s="79"/>
      <c r="O865" s="79"/>
      <c r="S865" s="79"/>
      <c r="T865" s="79"/>
      <c r="Y865" s="79"/>
      <c r="AC865" s="130"/>
      <c r="AE865" s="106"/>
    </row>
    <row r="866">
      <c r="C866" s="79"/>
      <c r="D866" s="79"/>
      <c r="E866" s="79"/>
      <c r="O866" s="79"/>
      <c r="S866" s="79"/>
      <c r="T866" s="79"/>
      <c r="Y866" s="79"/>
      <c r="AC866" s="130"/>
      <c r="AE866" s="106"/>
    </row>
    <row r="867">
      <c r="C867" s="79"/>
      <c r="D867" s="79"/>
      <c r="E867" s="79"/>
      <c r="O867" s="79"/>
      <c r="S867" s="79"/>
      <c r="T867" s="79"/>
      <c r="Y867" s="79"/>
      <c r="AC867" s="130"/>
      <c r="AE867" s="106"/>
    </row>
    <row r="868">
      <c r="C868" s="79"/>
      <c r="D868" s="79"/>
      <c r="E868" s="79"/>
      <c r="O868" s="79"/>
      <c r="S868" s="79"/>
      <c r="T868" s="79"/>
      <c r="Y868" s="79"/>
      <c r="AC868" s="130"/>
      <c r="AE868" s="106"/>
    </row>
    <row r="869">
      <c r="C869" s="79"/>
      <c r="D869" s="79"/>
      <c r="E869" s="79"/>
      <c r="O869" s="79"/>
      <c r="S869" s="79"/>
      <c r="T869" s="79"/>
      <c r="Y869" s="79"/>
      <c r="AC869" s="130"/>
      <c r="AE869" s="106"/>
    </row>
    <row r="870">
      <c r="C870" s="79"/>
      <c r="D870" s="79"/>
      <c r="E870" s="79"/>
      <c r="O870" s="79"/>
      <c r="S870" s="79"/>
      <c r="T870" s="79"/>
      <c r="Y870" s="79"/>
      <c r="AC870" s="130"/>
      <c r="AE870" s="106"/>
    </row>
    <row r="871">
      <c r="C871" s="79"/>
      <c r="D871" s="79"/>
      <c r="E871" s="79"/>
      <c r="O871" s="79"/>
      <c r="S871" s="79"/>
      <c r="T871" s="79"/>
      <c r="Y871" s="79"/>
      <c r="AC871" s="130"/>
      <c r="AE871" s="106"/>
    </row>
    <row r="872">
      <c r="C872" s="79"/>
      <c r="D872" s="79"/>
      <c r="E872" s="79"/>
      <c r="O872" s="79"/>
      <c r="S872" s="79"/>
      <c r="T872" s="79"/>
      <c r="Y872" s="79"/>
      <c r="AC872" s="130"/>
      <c r="AE872" s="106"/>
    </row>
    <row r="873">
      <c r="C873" s="79"/>
      <c r="D873" s="79"/>
      <c r="E873" s="79"/>
      <c r="O873" s="79"/>
      <c r="S873" s="79"/>
      <c r="T873" s="79"/>
      <c r="Y873" s="79"/>
      <c r="AC873" s="130"/>
      <c r="AE873" s="106"/>
    </row>
    <row r="874">
      <c r="C874" s="79"/>
      <c r="D874" s="79"/>
      <c r="E874" s="79"/>
      <c r="O874" s="79"/>
      <c r="S874" s="79"/>
      <c r="T874" s="79"/>
      <c r="Y874" s="79"/>
      <c r="AC874" s="130"/>
      <c r="AE874" s="106"/>
    </row>
    <row r="875">
      <c r="C875" s="79"/>
      <c r="D875" s="79"/>
      <c r="E875" s="79"/>
      <c r="O875" s="79"/>
      <c r="S875" s="79"/>
      <c r="T875" s="79"/>
      <c r="Y875" s="79"/>
      <c r="AC875" s="130"/>
      <c r="AE875" s="106"/>
    </row>
    <row r="876">
      <c r="C876" s="79"/>
      <c r="D876" s="79"/>
      <c r="E876" s="79"/>
      <c r="O876" s="79"/>
      <c r="S876" s="79"/>
      <c r="T876" s="79"/>
      <c r="Y876" s="79"/>
      <c r="AC876" s="130"/>
      <c r="AE876" s="106"/>
    </row>
    <row r="877">
      <c r="C877" s="79"/>
      <c r="D877" s="79"/>
      <c r="E877" s="79"/>
      <c r="O877" s="79"/>
      <c r="S877" s="79"/>
      <c r="T877" s="79"/>
      <c r="Y877" s="79"/>
      <c r="AC877" s="130"/>
      <c r="AE877" s="106"/>
    </row>
  </sheetData>
  <autoFilter ref="$A$42:$F$82">
    <sortState ref="A42:F82">
      <sortCondition descending="1" sortBy="cellColor" ref="E42:E82" dxfId="1"/>
      <sortCondition descending="1" sortBy="cellColor" ref="C42:C82" dxfId="1"/>
      <sortCondition descending="1" sortBy="cellColor" ref="A42:A82" dxfId="1"/>
    </sortState>
  </autoFilter>
  <mergeCells count="1">
    <mergeCell ref="B39:E39"/>
  </mergeCells>
  <drawing r:id="rId2"/>
  <legacyDrawing r:id="rId3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3" max="3" width="17.38"/>
    <col customWidth="1" min="5" max="5" width="20.88"/>
    <col customWidth="1" min="7" max="7" width="13.5"/>
    <col customWidth="1" min="8" max="8" width="13.25"/>
    <col customWidth="1" min="15" max="15" width="27.38"/>
    <col customWidth="1" min="26" max="26" width="14.63"/>
    <col customWidth="1" min="31" max="31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4</v>
      </c>
      <c r="J1" s="2" t="s">
        <v>5</v>
      </c>
      <c r="K1" s="2" t="s">
        <v>303</v>
      </c>
      <c r="L1" s="2" t="s">
        <v>6</v>
      </c>
      <c r="M1" s="2" t="s">
        <v>12</v>
      </c>
      <c r="N1" s="2" t="s">
        <v>49</v>
      </c>
      <c r="O1" s="105" t="s">
        <v>304</v>
      </c>
      <c r="P1" s="2" t="s">
        <v>37</v>
      </c>
      <c r="Q1" s="2" t="s">
        <v>10</v>
      </c>
      <c r="R1" s="2" t="s">
        <v>42</v>
      </c>
      <c r="S1" s="105" t="s">
        <v>656</v>
      </c>
      <c r="T1" s="105" t="s">
        <v>9</v>
      </c>
      <c r="U1" s="2" t="s">
        <v>164</v>
      </c>
      <c r="V1" s="105" t="s">
        <v>40</v>
      </c>
      <c r="W1" s="2" t="s">
        <v>83</v>
      </c>
      <c r="X1" s="2" t="s">
        <v>204</v>
      </c>
      <c r="Y1" s="105" t="s">
        <v>205</v>
      </c>
      <c r="Z1" s="2" t="s">
        <v>206</v>
      </c>
      <c r="AA1" s="2" t="s">
        <v>305</v>
      </c>
      <c r="AB1" s="3" t="s">
        <v>13</v>
      </c>
      <c r="AC1" s="3" t="s">
        <v>14</v>
      </c>
      <c r="AD1" s="3" t="s">
        <v>15</v>
      </c>
      <c r="AE1" s="106"/>
      <c r="AF1" s="265" t="s">
        <v>306</v>
      </c>
      <c r="AG1" s="266" t="s">
        <v>80</v>
      </c>
    </row>
    <row r="2">
      <c r="A2" s="74">
        <v>45544.0</v>
      </c>
      <c r="B2" s="93">
        <f>757.21-127.3+990.18-41.43-89.16-27.42-56.95-54.74-14.91-28.08-64.4-13.92-220.5-69.19</f>
        <v>939.39</v>
      </c>
      <c r="C2" s="93"/>
      <c r="D2" s="93"/>
      <c r="E2" s="93"/>
      <c r="F2" s="93"/>
      <c r="G2" s="93">
        <v>180.0</v>
      </c>
      <c r="H2" s="93"/>
      <c r="I2" s="93"/>
      <c r="J2" s="93"/>
      <c r="K2" s="93"/>
      <c r="L2" s="93"/>
      <c r="M2" s="93"/>
      <c r="N2" s="93">
        <v>168.0</v>
      </c>
      <c r="O2" s="93"/>
      <c r="P2" s="72"/>
      <c r="Q2" s="250">
        <v>55.95</v>
      </c>
      <c r="R2" s="93"/>
      <c r="S2" s="93"/>
      <c r="T2" s="93"/>
      <c r="U2" s="93"/>
      <c r="V2" s="93"/>
      <c r="W2" s="93"/>
      <c r="X2" s="93"/>
      <c r="Y2" s="93"/>
      <c r="Z2" s="93"/>
      <c r="AA2" s="386"/>
      <c r="AB2" s="107">
        <f>SUM(B2:AA2)</f>
        <v>1343.34</v>
      </c>
      <c r="AC2" s="158">
        <f>2420</f>
        <v>2420</v>
      </c>
      <c r="AD2" s="59">
        <f t="shared" ref="AD2:AD8" si="1">AB2/AC2</f>
        <v>0.5550991736</v>
      </c>
      <c r="AE2" s="109">
        <f t="shared" ref="AE2:AE8" si="2">A2</f>
        <v>45544</v>
      </c>
      <c r="AF2" s="267"/>
      <c r="AG2" s="268">
        <f t="shared" ref="AG2:AG8" si="3">AC2-AF2</f>
        <v>2420</v>
      </c>
    </row>
    <row r="3">
      <c r="A3" s="74">
        <f t="shared" ref="A3:A8" si="4">A2+1</f>
        <v>45545</v>
      </c>
      <c r="B3" s="93">
        <f>860.03-116.1-260.25-16.45</f>
        <v>467.23</v>
      </c>
      <c r="C3" s="93">
        <v>176.0</v>
      </c>
      <c r="D3" s="93">
        <f>155.79-48.6-44.24</f>
        <v>62.95</v>
      </c>
      <c r="E3" s="93"/>
      <c r="F3" s="93"/>
      <c r="G3" s="93"/>
      <c r="H3" s="168"/>
      <c r="I3" s="93"/>
      <c r="J3" s="93"/>
      <c r="K3" s="93"/>
      <c r="L3" s="93"/>
      <c r="M3" s="93">
        <v>57.36</v>
      </c>
      <c r="N3" s="93"/>
      <c r="O3" s="93">
        <v>136.0</v>
      </c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326"/>
      <c r="AB3" s="107">
        <f t="shared" ref="AB3:AB8" si="5">SUM(B3:Z3)</f>
        <v>899.54</v>
      </c>
      <c r="AC3" s="158">
        <v>4608.2</v>
      </c>
      <c r="AD3" s="59">
        <f t="shared" si="1"/>
        <v>0.1952042012</v>
      </c>
      <c r="AE3" s="109">
        <f t="shared" si="2"/>
        <v>45545</v>
      </c>
      <c r="AF3" s="267"/>
      <c r="AG3" s="268">
        <f t="shared" si="3"/>
        <v>4608.2</v>
      </c>
    </row>
    <row r="4">
      <c r="A4" s="74">
        <f t="shared" si="4"/>
        <v>45546</v>
      </c>
      <c r="B4" s="93">
        <f>789.04-45.69-30.05-82.86-41.48-58.36-28.79-14.34</f>
        <v>487.47</v>
      </c>
      <c r="C4" s="93">
        <v>350.2</v>
      </c>
      <c r="D4" s="93">
        <f>1120.34-130.85-608.6-29.95-44.24</f>
        <v>306.7</v>
      </c>
      <c r="E4" s="93"/>
      <c r="F4" s="93"/>
      <c r="G4" s="93">
        <v>180.0</v>
      </c>
      <c r="H4" s="168"/>
      <c r="I4" s="93"/>
      <c r="J4" s="93">
        <f>1903.1-198-1222.2</f>
        <v>482.9</v>
      </c>
      <c r="K4" s="93"/>
      <c r="L4" s="93">
        <v>28.0</v>
      </c>
      <c r="M4" s="93"/>
      <c r="N4" s="93"/>
      <c r="O4" s="93"/>
      <c r="P4" s="160"/>
      <c r="Q4" s="93"/>
      <c r="R4" s="93"/>
      <c r="S4" s="93"/>
      <c r="T4" s="93"/>
      <c r="U4" s="93"/>
      <c r="V4" s="93"/>
      <c r="W4" s="93"/>
      <c r="X4" s="93"/>
      <c r="Y4" s="93"/>
      <c r="Z4" s="101"/>
      <c r="AA4" s="326"/>
      <c r="AB4" s="107">
        <f t="shared" si="5"/>
        <v>1835.27</v>
      </c>
      <c r="AC4" s="380">
        <v>4676.19</v>
      </c>
      <c r="AD4" s="59">
        <f t="shared" si="1"/>
        <v>0.3924712212</v>
      </c>
      <c r="AE4" s="109">
        <f t="shared" si="2"/>
        <v>45546</v>
      </c>
      <c r="AF4" s="267"/>
      <c r="AG4" s="268">
        <f t="shared" si="3"/>
        <v>4676.19</v>
      </c>
    </row>
    <row r="5">
      <c r="A5" s="74">
        <f t="shared" si="4"/>
        <v>45547</v>
      </c>
      <c r="B5" s="93">
        <f>622.87-4.87-63.61-15.21-29.52-9.31-63.11-13.43-14.34-73.23</f>
        <v>336.24</v>
      </c>
      <c r="C5" s="93"/>
      <c r="D5" s="93">
        <f>233.65-136.05</f>
        <v>97.6</v>
      </c>
      <c r="E5" s="93"/>
      <c r="F5" s="93"/>
      <c r="G5" s="93"/>
      <c r="H5" s="160"/>
      <c r="I5" s="93"/>
      <c r="J5" s="93"/>
      <c r="K5" s="93"/>
      <c r="L5" s="93"/>
      <c r="M5" s="93"/>
      <c r="N5" s="93"/>
      <c r="O5" s="93"/>
      <c r="P5" s="93"/>
      <c r="Q5" s="93"/>
      <c r="R5" s="93"/>
      <c r="S5" s="101"/>
      <c r="T5" s="93"/>
      <c r="U5" s="93"/>
      <c r="V5" s="93"/>
      <c r="W5" s="93"/>
      <c r="X5" s="93"/>
      <c r="Y5" s="101"/>
      <c r="Z5" s="101"/>
      <c r="AA5" s="327"/>
      <c r="AB5" s="7">
        <f t="shared" si="5"/>
        <v>433.84</v>
      </c>
      <c r="AC5" s="380">
        <v>7450.0</v>
      </c>
      <c r="AD5" s="59">
        <f t="shared" si="1"/>
        <v>0.05823355705</v>
      </c>
      <c r="AE5" s="109">
        <f t="shared" si="2"/>
        <v>45547</v>
      </c>
      <c r="AF5" s="267"/>
      <c r="AG5" s="268">
        <f t="shared" si="3"/>
        <v>7450</v>
      </c>
    </row>
    <row r="6">
      <c r="A6" s="74">
        <f t="shared" si="4"/>
        <v>45548</v>
      </c>
      <c r="B6" s="93">
        <f>1072.37-59.3-27.14-137.47-25.23-24.44-7.15-24.91-82.96-66.68</f>
        <v>617.09</v>
      </c>
      <c r="C6" s="361"/>
      <c r="D6" s="344">
        <v>286.4</v>
      </c>
      <c r="E6" s="93">
        <f>78.5-21-12</f>
        <v>45.5</v>
      </c>
      <c r="F6" s="93"/>
      <c r="G6" s="93"/>
      <c r="H6" s="160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374"/>
      <c r="U6" s="93"/>
      <c r="V6" s="93"/>
      <c r="W6" s="93"/>
      <c r="X6" s="93"/>
      <c r="Y6" s="93"/>
      <c r="Z6" s="93"/>
      <c r="AA6" s="327"/>
      <c r="AB6" s="7">
        <f t="shared" si="5"/>
        <v>948.99</v>
      </c>
      <c r="AC6" s="380">
        <v>6646</v>
      </c>
      <c r="AD6" s="59">
        <f t="shared" si="1"/>
        <v>0.1427911526</v>
      </c>
      <c r="AE6" s="109">
        <f t="shared" si="2"/>
        <v>45548</v>
      </c>
      <c r="AF6" s="267"/>
      <c r="AG6" s="268">
        <f t="shared" si="3"/>
        <v>6646</v>
      </c>
    </row>
    <row r="7">
      <c r="A7" s="74">
        <f t="shared" si="4"/>
        <v>45549</v>
      </c>
      <c r="B7" s="93">
        <f>512.37-26.82-54.46-43.13</f>
        <v>387.96</v>
      </c>
      <c r="C7" s="361">
        <f>406.37-11.3-17.35-148.32-112.5</f>
        <v>116.9</v>
      </c>
      <c r="D7" s="93">
        <f>324.86-85.86</f>
        <v>239</v>
      </c>
      <c r="F7" s="402"/>
      <c r="G7" s="93">
        <v>180.0</v>
      </c>
      <c r="H7" s="344">
        <v>291.41</v>
      </c>
      <c r="I7" s="402"/>
      <c r="J7" s="93"/>
      <c r="K7" s="93"/>
      <c r="L7" s="93"/>
      <c r="M7" s="93"/>
      <c r="N7" s="93"/>
      <c r="O7" s="93"/>
      <c r="P7" s="402"/>
      <c r="Q7" s="93"/>
      <c r="R7" s="93"/>
      <c r="S7" s="101"/>
      <c r="T7" s="93"/>
      <c r="U7" s="93"/>
      <c r="V7" s="93"/>
      <c r="W7" s="93"/>
      <c r="X7" s="93"/>
      <c r="Y7" s="101"/>
      <c r="Z7" s="93"/>
      <c r="AA7" s="327"/>
      <c r="AB7" s="7">
        <f t="shared" si="5"/>
        <v>1215.27</v>
      </c>
      <c r="AC7" s="380">
        <v>10681.8</v>
      </c>
      <c r="AD7" s="59">
        <f t="shared" si="1"/>
        <v>0.1137701511</v>
      </c>
      <c r="AE7" s="109">
        <f t="shared" si="2"/>
        <v>45549</v>
      </c>
      <c r="AF7" s="267"/>
      <c r="AG7" s="268">
        <f t="shared" si="3"/>
        <v>10681.8</v>
      </c>
    </row>
    <row r="8">
      <c r="A8" s="74">
        <f t="shared" si="4"/>
        <v>45550</v>
      </c>
      <c r="B8" s="374"/>
      <c r="C8" s="93"/>
      <c r="D8" s="344">
        <v>624.64</v>
      </c>
      <c r="E8" s="112"/>
      <c r="F8" s="93"/>
      <c r="G8" s="10"/>
      <c r="H8" s="344">
        <f>729.47</f>
        <v>729.47</v>
      </c>
      <c r="I8" s="374"/>
      <c r="J8" s="374"/>
      <c r="K8" s="93"/>
      <c r="L8" s="112"/>
      <c r="M8" s="112"/>
      <c r="N8" s="93"/>
      <c r="O8" s="93"/>
      <c r="P8" s="93">
        <f>375+100</f>
        <v>475</v>
      </c>
      <c r="Q8" s="93"/>
      <c r="R8" s="374"/>
      <c r="S8" s="344">
        <v>222.66666666666666</v>
      </c>
      <c r="T8" s="344">
        <f>979-489.5+811.5-405.75</f>
        <v>895.25</v>
      </c>
      <c r="U8" s="93"/>
      <c r="V8" s="112"/>
      <c r="W8" s="112"/>
      <c r="X8" s="112"/>
      <c r="Y8" s="112"/>
      <c r="Z8" s="112"/>
      <c r="AA8" s="93"/>
      <c r="AB8" s="7">
        <f t="shared" si="5"/>
        <v>2947.026667</v>
      </c>
      <c r="AC8" s="380">
        <v>3179.2</v>
      </c>
      <c r="AD8" s="59">
        <f t="shared" si="1"/>
        <v>0.9269711458</v>
      </c>
      <c r="AE8" s="109">
        <f t="shared" si="2"/>
        <v>45550</v>
      </c>
      <c r="AF8" s="267"/>
      <c r="AG8" s="268">
        <f t="shared" si="3"/>
        <v>3179.2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AC9" s="129"/>
      <c r="AE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AC10" s="129"/>
      <c r="AE10" s="106"/>
    </row>
    <row r="11">
      <c r="A11" s="165" t="s">
        <v>194</v>
      </c>
      <c r="B11" s="93">
        <f>89.16+56.95+13.92+127.3+28.08+45.69+30.05+82.86+41.48+58.36+28.79+14.34+13.43+59.3+137.47+7.15+25.23+24.44+26.82+54.46+43.13</f>
        <v>1008.41</v>
      </c>
      <c r="C11" s="93">
        <f>11.3+17.35</f>
        <v>28.65</v>
      </c>
      <c r="D11" s="93">
        <f>29.95+85.86</f>
        <v>115.81</v>
      </c>
      <c r="E11" s="167"/>
      <c r="F11" s="168"/>
      <c r="G11" s="168"/>
      <c r="H11" s="166"/>
      <c r="I11" s="166"/>
      <c r="J11" s="93"/>
      <c r="K11" s="168"/>
      <c r="L11" s="93"/>
      <c r="M11" s="93"/>
      <c r="N11" s="93"/>
      <c r="O11" s="168"/>
      <c r="P11" s="168"/>
      <c r="Q11" s="168"/>
      <c r="R11" s="168"/>
      <c r="S11" s="168"/>
      <c r="T11" s="168"/>
      <c r="U11" s="168"/>
      <c r="V11" s="168"/>
      <c r="W11" s="1"/>
      <c r="X11" s="168"/>
      <c r="Y11" s="168"/>
      <c r="Z11" s="1"/>
      <c r="AA11" s="1"/>
      <c r="AB11" s="1"/>
      <c r="AC11" s="169"/>
      <c r="AD11" s="1"/>
      <c r="AE11" s="170"/>
    </row>
    <row r="12">
      <c r="A12" s="165" t="s">
        <v>195</v>
      </c>
      <c r="B12" s="93">
        <f>41.43+27.42+54.74+14.91+64.4+220.5+116.1+260.25+24.91+82.96+66.68+4.87+63.61+44.73+63.11+14.34+73.23+9.31</f>
        <v>1247.5</v>
      </c>
      <c r="C12" s="93">
        <f>148.32+112.5</f>
        <v>260.82</v>
      </c>
      <c r="D12" s="93">
        <f>48.6+130.85+136.05</f>
        <v>315.5</v>
      </c>
      <c r="E12" s="93"/>
      <c r="F12" s="344">
        <v>264.47</v>
      </c>
      <c r="G12" s="93"/>
      <c r="H12" s="93"/>
      <c r="I12" s="93">
        <v>208.34</v>
      </c>
      <c r="J12" s="93">
        <v>198.0</v>
      </c>
      <c r="K12" s="93"/>
      <c r="L12" s="93"/>
      <c r="M12" s="93"/>
      <c r="N12" s="93">
        <v>300.0</v>
      </c>
      <c r="O12" s="168"/>
      <c r="P12" s="168"/>
      <c r="Q12" s="166"/>
      <c r="R12" s="166"/>
      <c r="S12" s="168"/>
      <c r="T12" s="166"/>
      <c r="U12" s="168"/>
      <c r="V12" s="168"/>
      <c r="W12" s="1"/>
      <c r="X12" s="93"/>
      <c r="Y12" s="168"/>
      <c r="Z12" s="1"/>
      <c r="AA12" s="1"/>
      <c r="AB12" s="1"/>
      <c r="AC12" s="171"/>
      <c r="AD12" s="1"/>
      <c r="AE12" s="170"/>
    </row>
    <row r="13">
      <c r="A13" s="172" t="s">
        <v>636</v>
      </c>
      <c r="B13" s="203"/>
      <c r="C13" s="93"/>
      <c r="D13" s="374"/>
      <c r="E13" s="168"/>
      <c r="F13" s="166"/>
      <c r="G13" s="166"/>
      <c r="H13" s="93"/>
      <c r="I13" s="374"/>
      <c r="J13" s="93"/>
      <c r="K13" s="166"/>
      <c r="L13" s="168"/>
      <c r="M13" s="168"/>
      <c r="N13" s="93"/>
      <c r="O13" s="93"/>
      <c r="P13" s="168"/>
      <c r="Q13" s="166"/>
      <c r="R13" s="168"/>
      <c r="S13" s="166"/>
      <c r="T13" s="168"/>
      <c r="U13" s="96"/>
      <c r="V13" s="1"/>
      <c r="W13" s="1"/>
      <c r="X13" s="168"/>
      <c r="Y13" s="168"/>
      <c r="Z13" s="1"/>
      <c r="AA13" s="1"/>
      <c r="AB13" s="1"/>
      <c r="AC13" s="174"/>
      <c r="AD13" s="1"/>
      <c r="AE13" s="170"/>
    </row>
    <row r="14">
      <c r="A14" s="172" t="s">
        <v>197</v>
      </c>
      <c r="B14" s="93"/>
      <c r="C14" s="93"/>
      <c r="D14" s="93"/>
      <c r="E14" s="168"/>
      <c r="F14" s="166"/>
      <c r="G14" s="166"/>
      <c r="H14" s="168"/>
      <c r="I14" s="168"/>
      <c r="J14" s="93"/>
      <c r="K14" s="168"/>
      <c r="L14" s="168"/>
      <c r="M14" s="168"/>
      <c r="N14" s="93"/>
      <c r="O14" s="168"/>
      <c r="P14" s="168"/>
      <c r="Q14" s="166"/>
      <c r="R14" s="168"/>
      <c r="S14" s="168"/>
      <c r="T14" s="168"/>
      <c r="U14" s="1"/>
      <c r="V14" s="1"/>
      <c r="W14" s="1"/>
      <c r="X14" s="168"/>
      <c r="Y14" s="168"/>
      <c r="Z14" s="1"/>
      <c r="AA14" s="1"/>
      <c r="AB14" s="1"/>
      <c r="AC14" s="174"/>
      <c r="AD14" s="1"/>
      <c r="AE14" s="170"/>
    </row>
    <row r="15">
      <c r="A15" s="165" t="s">
        <v>198</v>
      </c>
      <c r="B15" s="93">
        <f>69.19+27.14</f>
        <v>96.33</v>
      </c>
      <c r="C15" s="93"/>
      <c r="D15" s="93">
        <v>44.24</v>
      </c>
      <c r="E15" s="168"/>
      <c r="F15" s="166"/>
      <c r="G15" s="166"/>
      <c r="H15" s="168"/>
      <c r="I15" s="168"/>
      <c r="J15" s="93"/>
      <c r="K15" s="168"/>
      <c r="L15" s="168"/>
      <c r="M15" s="168"/>
      <c r="N15" s="93"/>
      <c r="O15" s="168"/>
      <c r="P15" s="168"/>
      <c r="Q15" s="166"/>
      <c r="R15" s="168"/>
      <c r="S15" s="168"/>
      <c r="T15" s="168"/>
      <c r="U15" s="1"/>
      <c r="V15" s="1"/>
      <c r="W15" s="1"/>
      <c r="X15" s="168"/>
      <c r="Y15" s="168"/>
      <c r="Z15" s="1"/>
      <c r="AA15" s="1"/>
      <c r="AB15" s="1"/>
      <c r="AC15" s="174"/>
      <c r="AD15" s="1"/>
      <c r="AE15" s="170"/>
    </row>
    <row r="16">
      <c r="A16" s="91"/>
      <c r="B16" s="375"/>
      <c r="C16" s="79"/>
      <c r="D16" s="79"/>
      <c r="E16" s="79"/>
      <c r="F16" s="78"/>
      <c r="G16" s="78"/>
      <c r="I16" s="78"/>
      <c r="J16" s="79"/>
      <c r="K16" s="79"/>
      <c r="L16" s="79"/>
      <c r="M16" s="79"/>
      <c r="N16" s="79"/>
      <c r="O16" s="79"/>
      <c r="R16" s="79"/>
      <c r="S16" s="79"/>
      <c r="T16" s="198"/>
      <c r="U16" s="198"/>
      <c r="Y16" s="79"/>
      <c r="AC16" s="131"/>
      <c r="AE16" s="106"/>
    </row>
    <row r="17">
      <c r="A17" s="91"/>
      <c r="B17" s="92"/>
      <c r="C17" s="192"/>
      <c r="D17" s="78"/>
      <c r="E17" s="151"/>
      <c r="F17" s="201"/>
      <c r="G17" s="248"/>
      <c r="H17" s="192"/>
      <c r="I17" s="198"/>
      <c r="J17" s="201"/>
      <c r="K17" s="199"/>
      <c r="L17" s="199"/>
      <c r="M17" s="200"/>
      <c r="N17" s="202"/>
      <c r="O17" s="198"/>
      <c r="R17" s="198"/>
      <c r="S17" s="79"/>
      <c r="T17" s="198"/>
      <c r="U17" s="198"/>
      <c r="V17" s="198"/>
      <c r="W17" s="198"/>
      <c r="X17" s="199"/>
      <c r="Y17" s="79"/>
      <c r="AC17" s="131"/>
      <c r="AE17" s="106"/>
    </row>
    <row r="18">
      <c r="A18" s="4" t="s">
        <v>22</v>
      </c>
      <c r="B18" s="11">
        <v>10000.0</v>
      </c>
      <c r="C18" s="79"/>
      <c r="D18" s="79"/>
      <c r="E18" s="78"/>
      <c r="F18" s="213"/>
      <c r="G18" s="224"/>
      <c r="H18" s="192"/>
      <c r="K18" s="403"/>
      <c r="L18" s="201"/>
      <c r="M18" s="198"/>
      <c r="N18" s="200"/>
      <c r="O18" s="198"/>
      <c r="P18" s="204"/>
      <c r="R18" s="203"/>
      <c r="S18" s="427"/>
      <c r="T18" s="201"/>
      <c r="U18" s="198"/>
      <c r="V18" s="198"/>
      <c r="W18" s="198"/>
      <c r="X18" s="201"/>
      <c r="Y18" s="79"/>
      <c r="AC18" s="131"/>
      <c r="AE18" s="106"/>
    </row>
    <row r="19">
      <c r="A19" s="4" t="s">
        <v>23</v>
      </c>
      <c r="B19" s="12">
        <f>SUM(B2:AA8)</f>
        <v>9623.276667</v>
      </c>
      <c r="C19" s="192"/>
      <c r="D19" s="177"/>
      <c r="E19" s="151"/>
      <c r="F19" s="213"/>
      <c r="G19" s="224"/>
      <c r="H19" s="38"/>
      <c r="I19" s="175"/>
      <c r="K19" s="384"/>
      <c r="L19" s="201"/>
      <c r="M19" s="201"/>
      <c r="N19" s="201"/>
      <c r="O19" s="198"/>
      <c r="P19" s="204"/>
      <c r="R19" s="203"/>
      <c r="S19" s="79"/>
      <c r="T19" s="201"/>
      <c r="U19" s="201"/>
      <c r="V19" s="198"/>
      <c r="W19" s="198"/>
      <c r="X19" s="191"/>
      <c r="Y19" s="79"/>
      <c r="AC19" s="131"/>
      <c r="AE19" s="106"/>
    </row>
    <row r="20">
      <c r="A20" s="4" t="s">
        <v>24</v>
      </c>
      <c r="B20" s="12">
        <f> SUM(B18-B19)</f>
        <v>376.7233333</v>
      </c>
      <c r="C20" s="79"/>
      <c r="D20" s="78"/>
      <c r="E20" s="151"/>
      <c r="F20" s="201"/>
      <c r="G20" s="199"/>
      <c r="H20" s="203"/>
      <c r="I20" s="203"/>
      <c r="K20" s="203"/>
      <c r="L20" s="199"/>
      <c r="M20" s="201"/>
      <c r="N20" s="200"/>
      <c r="O20" s="198"/>
      <c r="P20" s="204"/>
      <c r="R20" s="203"/>
      <c r="S20" s="79"/>
      <c r="T20" s="210"/>
      <c r="U20" s="210"/>
      <c r="V20" s="198"/>
      <c r="W20" s="198"/>
      <c r="X20" s="203"/>
      <c r="Y20" s="79"/>
      <c r="AC20" s="131"/>
      <c r="AE20" s="106"/>
    </row>
    <row r="21">
      <c r="C21" s="79"/>
      <c r="D21" s="79"/>
      <c r="E21" s="78"/>
      <c r="F21" s="213"/>
      <c r="G21" s="199"/>
      <c r="H21" s="203"/>
      <c r="I21" s="345"/>
      <c r="J21" s="78"/>
      <c r="K21" s="351"/>
      <c r="N21" s="198"/>
      <c r="O21" s="198"/>
      <c r="P21" s="204"/>
      <c r="R21" s="203"/>
      <c r="S21" s="79"/>
      <c r="T21" s="198"/>
      <c r="U21" s="428"/>
      <c r="V21" s="198"/>
      <c r="W21" s="198"/>
      <c r="X21" s="203"/>
      <c r="Y21" s="79"/>
      <c r="AC21" s="131"/>
      <c r="AE21" s="106"/>
    </row>
    <row r="22">
      <c r="A22" s="13" t="s">
        <v>25</v>
      </c>
      <c r="B22" s="14">
        <f>SUM(AC2:AC8)</f>
        <v>39661.39</v>
      </c>
      <c r="C22" s="79"/>
      <c r="D22" s="79"/>
      <c r="E22" s="78"/>
      <c r="F22" s="201"/>
      <c r="G22" s="199"/>
      <c r="H22" s="175"/>
      <c r="I22" s="203"/>
      <c r="J22" s="78"/>
      <c r="K22" s="203"/>
      <c r="L22" s="203"/>
      <c r="M22" s="203"/>
      <c r="N22" s="198"/>
      <c r="O22" s="198"/>
      <c r="P22" s="204"/>
      <c r="R22" s="203"/>
      <c r="S22" s="79"/>
      <c r="T22" s="198"/>
      <c r="U22" s="198"/>
      <c r="V22" s="198"/>
      <c r="W22" s="198"/>
      <c r="X22" s="203"/>
      <c r="Y22" s="79"/>
      <c r="AC22" s="181"/>
      <c r="AE22" s="106"/>
    </row>
    <row r="23">
      <c r="A23" s="13" t="s">
        <v>26</v>
      </c>
      <c r="B23" s="15">
        <f>B19/B22</f>
        <v>0.2426358901</v>
      </c>
      <c r="C23" s="79"/>
      <c r="D23" s="79"/>
      <c r="E23" s="78"/>
      <c r="F23" s="204"/>
      <c r="G23" s="199"/>
      <c r="H23" s="192"/>
      <c r="I23" s="203"/>
      <c r="J23" s="78"/>
      <c r="K23" s="203"/>
      <c r="L23" s="203"/>
      <c r="M23" s="203"/>
      <c r="N23" s="203"/>
      <c r="O23" s="198"/>
      <c r="P23" s="204"/>
      <c r="R23" s="203"/>
      <c r="S23" s="79"/>
      <c r="T23" s="198"/>
      <c r="U23" s="198"/>
      <c r="V23" s="198"/>
      <c r="W23" s="198"/>
      <c r="X23" s="203"/>
      <c r="Y23" s="79"/>
      <c r="AC23" s="130"/>
      <c r="AE23" s="106"/>
    </row>
    <row r="24">
      <c r="C24" s="79"/>
      <c r="D24" s="79"/>
      <c r="E24" s="78"/>
      <c r="F24" s="204"/>
      <c r="G24" s="78"/>
      <c r="H24" s="175"/>
      <c r="I24" s="78"/>
      <c r="J24" s="78"/>
      <c r="K24" s="203"/>
      <c r="L24" s="203"/>
      <c r="M24" s="203"/>
      <c r="N24" s="201"/>
      <c r="O24" s="198"/>
      <c r="P24" s="204"/>
      <c r="R24" s="198"/>
      <c r="S24" s="79"/>
      <c r="T24" s="198"/>
      <c r="U24" s="198"/>
      <c r="V24" s="198"/>
      <c r="W24" s="198"/>
      <c r="X24" s="203"/>
      <c r="Y24" s="79"/>
      <c r="AC24" s="182"/>
      <c r="AE24" s="106"/>
    </row>
    <row r="25">
      <c r="C25" s="79"/>
      <c r="D25" s="79"/>
      <c r="E25" s="79"/>
      <c r="F25" s="204"/>
      <c r="G25" s="78"/>
      <c r="H25" s="78"/>
      <c r="I25" s="203"/>
      <c r="J25" s="212"/>
      <c r="K25" s="203"/>
      <c r="L25" s="203"/>
      <c r="M25" s="203"/>
      <c r="N25" s="201"/>
      <c r="O25" s="198"/>
      <c r="P25" s="204"/>
      <c r="R25" s="198"/>
      <c r="S25" s="79"/>
      <c r="T25" s="198"/>
      <c r="U25" s="198"/>
      <c r="V25" s="198"/>
      <c r="W25" s="198"/>
      <c r="X25" s="203"/>
      <c r="Y25" s="79"/>
      <c r="AC25" s="130"/>
      <c r="AE25" s="106"/>
    </row>
    <row r="26">
      <c r="A26" s="16" t="s">
        <v>27</v>
      </c>
      <c r="B26" s="17"/>
      <c r="C26" s="114"/>
      <c r="D26" s="114"/>
      <c r="E26" s="115"/>
      <c r="F26" s="204"/>
      <c r="G26" s="78"/>
      <c r="H26" s="192"/>
      <c r="I26" s="78"/>
      <c r="J26" s="79"/>
      <c r="K26" s="203"/>
      <c r="L26" s="217"/>
      <c r="M26" s="208"/>
      <c r="N26" s="198"/>
      <c r="O26" s="198"/>
      <c r="P26" s="204"/>
      <c r="R26" s="200"/>
      <c r="S26" s="79"/>
      <c r="T26" s="198"/>
      <c r="U26" s="198"/>
      <c r="V26" s="198"/>
      <c r="W26" s="198"/>
      <c r="X26" s="203"/>
      <c r="Y26" s="79"/>
      <c r="AC26" s="130"/>
      <c r="AE26" s="106"/>
    </row>
    <row r="27">
      <c r="A27" s="19" t="s">
        <v>28</v>
      </c>
      <c r="B27" s="20"/>
      <c r="C27" s="116"/>
      <c r="D27" s="116"/>
      <c r="E27" s="117"/>
      <c r="F27" s="204"/>
      <c r="G27" s="212"/>
      <c r="H27" s="78"/>
      <c r="I27" s="224"/>
      <c r="J27" s="78"/>
      <c r="K27" s="203"/>
      <c r="L27" s="203"/>
      <c r="M27" s="209"/>
      <c r="N27" s="201"/>
      <c r="O27" s="198"/>
      <c r="P27" s="204"/>
      <c r="R27" s="198"/>
      <c r="S27" s="79"/>
      <c r="T27" s="198"/>
      <c r="U27" s="198"/>
      <c r="V27" s="198"/>
      <c r="W27" s="198"/>
      <c r="X27" s="203"/>
      <c r="Y27" s="79"/>
      <c r="AC27" s="130"/>
      <c r="AE27" s="106"/>
    </row>
    <row r="28">
      <c r="A28" s="183" t="s">
        <v>29</v>
      </c>
      <c r="B28" s="184" t="s">
        <v>30</v>
      </c>
      <c r="C28" s="183"/>
      <c r="D28" s="183" t="s">
        <v>170</v>
      </c>
      <c r="E28" s="219" t="s">
        <v>171</v>
      </c>
      <c r="F28" s="204"/>
      <c r="G28" s="79"/>
      <c r="H28" s="404"/>
      <c r="I28" s="79"/>
      <c r="J28" s="79"/>
      <c r="K28" s="203"/>
      <c r="L28" s="201"/>
      <c r="M28" s="209"/>
      <c r="N28" s="198"/>
      <c r="O28" s="198"/>
      <c r="P28" s="204"/>
      <c r="R28" s="198"/>
      <c r="S28" s="79"/>
      <c r="T28" s="198"/>
      <c r="U28" s="198"/>
      <c r="V28" s="198"/>
      <c r="W28" s="198"/>
      <c r="X28" s="203"/>
      <c r="Y28" s="79"/>
      <c r="Z28" s="195"/>
      <c r="AC28" s="130"/>
      <c r="AE28" s="106"/>
    </row>
    <row r="29">
      <c r="A29" s="405" t="s">
        <v>637</v>
      </c>
      <c r="B29" s="406">
        <f>1578+1433.57</f>
        <v>3011.57</v>
      </c>
      <c r="C29" s="407"/>
      <c r="D29" s="407"/>
      <c r="E29" s="407"/>
      <c r="O29" s="79"/>
      <c r="S29" s="79"/>
      <c r="T29" s="79"/>
      <c r="Y29" s="79"/>
      <c r="AC29" s="130"/>
      <c r="AE29" s="106"/>
    </row>
    <row r="30">
      <c r="A30" s="410" t="s">
        <v>657</v>
      </c>
      <c r="B30" s="411">
        <f>+588+203.7+1222.2</f>
        <v>2013.9</v>
      </c>
      <c r="C30" s="412"/>
      <c r="D30" s="412"/>
      <c r="E30" s="412"/>
      <c r="O30" s="79"/>
      <c r="S30" s="79"/>
      <c r="T30" s="79"/>
      <c r="Y30" s="79"/>
      <c r="AC30" s="130"/>
      <c r="AE30" s="106"/>
    </row>
    <row r="31">
      <c r="A31" s="298" t="s">
        <v>620</v>
      </c>
      <c r="B31" s="416">
        <v>1219.9</v>
      </c>
      <c r="C31" s="417"/>
      <c r="D31" s="417"/>
      <c r="E31" s="417"/>
      <c r="O31" s="79"/>
      <c r="S31" s="79"/>
      <c r="T31" s="79"/>
      <c r="Y31" s="79"/>
      <c r="AC31" s="130"/>
      <c r="AE31" s="106"/>
    </row>
    <row r="32">
      <c r="A32" s="173" t="s">
        <v>639</v>
      </c>
      <c r="B32" s="344">
        <f>590+78-222.67</f>
        <v>445.33</v>
      </c>
      <c r="C32" s="241"/>
      <c r="D32" s="241"/>
      <c r="E32" s="241"/>
      <c r="O32" s="79"/>
      <c r="S32" s="79"/>
      <c r="T32" s="79"/>
      <c r="Y32" s="79"/>
      <c r="AC32" s="130"/>
      <c r="AE32" s="106"/>
    </row>
    <row r="33">
      <c r="A33" s="173" t="s">
        <v>641</v>
      </c>
      <c r="B33" s="344">
        <f>297+284.9</f>
        <v>581.9</v>
      </c>
      <c r="C33" s="429"/>
      <c r="D33" s="429"/>
      <c r="E33" s="429"/>
      <c r="O33" s="79"/>
      <c r="S33" s="79"/>
      <c r="T33" s="79"/>
      <c r="Y33" s="79"/>
      <c r="AC33" s="130"/>
      <c r="AE33" s="106"/>
    </row>
    <row r="34">
      <c r="A34" s="173" t="s">
        <v>643</v>
      </c>
      <c r="B34" s="344">
        <v>252.0</v>
      </c>
      <c r="C34" s="241"/>
      <c r="D34" s="241"/>
      <c r="E34" s="241"/>
      <c r="O34" s="79"/>
      <c r="S34" s="79"/>
      <c r="T34" s="79"/>
      <c r="Y34" s="79"/>
      <c r="AC34" s="130"/>
      <c r="AE34" s="106"/>
    </row>
    <row r="35">
      <c r="A35" s="430" t="s">
        <v>658</v>
      </c>
      <c r="B35" s="431">
        <v>380.0</v>
      </c>
      <c r="C35" s="432"/>
      <c r="D35" s="432"/>
      <c r="E35" s="432"/>
      <c r="O35" s="79"/>
      <c r="S35" s="79"/>
      <c r="T35" s="79"/>
      <c r="Y35" s="79"/>
      <c r="AC35" s="130"/>
      <c r="AE35" s="106"/>
    </row>
    <row r="36">
      <c r="A36" s="430" t="s">
        <v>659</v>
      </c>
      <c r="B36" s="431">
        <f>608.6</f>
        <v>608.6</v>
      </c>
      <c r="C36" s="432"/>
      <c r="D36" s="432"/>
      <c r="E36" s="432"/>
      <c r="O36" s="79"/>
      <c r="S36" s="79"/>
      <c r="T36" s="79"/>
      <c r="Y36" s="79"/>
      <c r="AC36" s="130"/>
      <c r="AE36" s="106"/>
    </row>
    <row r="37">
      <c r="C37" s="79"/>
      <c r="D37" s="79"/>
      <c r="E37" s="79"/>
      <c r="O37" s="79"/>
      <c r="S37" s="79"/>
      <c r="T37" s="79"/>
      <c r="Y37" s="79"/>
      <c r="AC37" s="130"/>
      <c r="AE37" s="106"/>
    </row>
    <row r="38">
      <c r="A38" s="274"/>
      <c r="B38" s="275" t="s">
        <v>315</v>
      </c>
      <c r="F38" s="274"/>
      <c r="G38" s="274"/>
      <c r="H38" s="274"/>
      <c r="I38" s="274"/>
      <c r="J38" s="274"/>
      <c r="K38" s="274"/>
      <c r="L38" s="274"/>
      <c r="M38" s="274"/>
      <c r="N38" s="274"/>
      <c r="O38" s="274"/>
      <c r="P38" s="274"/>
      <c r="Q38" s="274"/>
      <c r="R38" s="274"/>
      <c r="S38" s="274"/>
      <c r="T38" s="274"/>
      <c r="U38" s="274"/>
      <c r="V38" s="274"/>
      <c r="W38" s="274"/>
      <c r="X38" s="274"/>
      <c r="Y38" s="274"/>
      <c r="Z38" s="274"/>
      <c r="AA38" s="274"/>
      <c r="AB38" s="274"/>
      <c r="AC38" s="276"/>
      <c r="AD38" s="274"/>
      <c r="AE38" s="277"/>
      <c r="AF38" s="274"/>
      <c r="AG38" s="274"/>
      <c r="AH38" s="274"/>
    </row>
    <row r="39">
      <c r="A39" s="16" t="s">
        <v>316</v>
      </c>
      <c r="B39" s="17"/>
      <c r="C39" s="114"/>
      <c r="D39" s="114"/>
      <c r="E39" s="115"/>
      <c r="O39" s="79"/>
      <c r="S39" s="79"/>
      <c r="T39" s="79"/>
      <c r="Y39" s="79"/>
      <c r="AC39" s="130"/>
      <c r="AE39" s="106"/>
    </row>
    <row r="40">
      <c r="A40" s="19" t="s">
        <v>317</v>
      </c>
      <c r="B40" s="20"/>
      <c r="C40" s="116"/>
      <c r="D40" s="116"/>
      <c r="E40" s="117"/>
      <c r="O40" s="79"/>
      <c r="S40" s="79"/>
      <c r="T40" s="79"/>
      <c r="Y40" s="79"/>
      <c r="AC40" s="130"/>
      <c r="AE40" s="106"/>
    </row>
    <row r="41">
      <c r="A41" s="278" t="s">
        <v>318</v>
      </c>
      <c r="B41" s="279" t="s">
        <v>319</v>
      </c>
      <c r="C41" s="280" t="s">
        <v>285</v>
      </c>
      <c r="D41" s="280" t="s">
        <v>30</v>
      </c>
      <c r="E41" s="281" t="s">
        <v>320</v>
      </c>
      <c r="F41" s="281" t="s">
        <v>321</v>
      </c>
      <c r="O41" s="79"/>
      <c r="S41" s="79"/>
      <c r="T41" s="79"/>
      <c r="Y41" s="79"/>
      <c r="AC41" s="130"/>
      <c r="AE41" s="106"/>
    </row>
    <row r="42" hidden="1">
      <c r="A42" s="304" t="s">
        <v>432</v>
      </c>
      <c r="B42" s="305">
        <v>45461.0</v>
      </c>
      <c r="C42" s="234" t="s">
        <v>325</v>
      </c>
      <c r="D42" s="178">
        <v>1211.18</v>
      </c>
      <c r="E42" s="308">
        <v>45489.0</v>
      </c>
      <c r="F42" s="307">
        <f t="shared" ref="F42:F43" si="6">D42/2</f>
        <v>605.59</v>
      </c>
      <c r="O42" s="79"/>
      <c r="S42" s="79"/>
      <c r="T42" s="79"/>
      <c r="Y42" s="79"/>
      <c r="AC42" s="130"/>
      <c r="AE42" s="106"/>
    </row>
    <row r="43">
      <c r="A43" s="304" t="s">
        <v>458</v>
      </c>
      <c r="B43" s="305">
        <v>45475.0</v>
      </c>
      <c r="C43" s="234" t="s">
        <v>325</v>
      </c>
      <c r="D43" s="178">
        <v>1249.27</v>
      </c>
      <c r="E43" s="308">
        <v>45550.0</v>
      </c>
      <c r="F43" s="307">
        <f t="shared" si="6"/>
        <v>624.635</v>
      </c>
      <c r="O43" s="79"/>
      <c r="S43" s="79"/>
      <c r="T43" s="79"/>
      <c r="Y43" s="79"/>
      <c r="AC43" s="130"/>
      <c r="AE43" s="106"/>
    </row>
    <row r="44">
      <c r="A44" s="304" t="s">
        <v>472</v>
      </c>
      <c r="B44" s="305">
        <v>45482.0</v>
      </c>
      <c r="C44" s="234" t="s">
        <v>325</v>
      </c>
      <c r="D44" s="178">
        <v>1248.68</v>
      </c>
      <c r="E44" s="308"/>
      <c r="F44" s="235"/>
      <c r="O44" s="79"/>
      <c r="S44" s="79"/>
      <c r="T44" s="79"/>
      <c r="Y44" s="79"/>
      <c r="AC44" s="130"/>
      <c r="AE44" s="106"/>
    </row>
    <row r="45">
      <c r="A45" s="304" t="s">
        <v>495</v>
      </c>
      <c r="B45" s="305">
        <v>45489.0</v>
      </c>
      <c r="C45" s="234" t="s">
        <v>325</v>
      </c>
      <c r="D45" s="178">
        <v>1228.43</v>
      </c>
      <c r="E45" s="308"/>
      <c r="F45" s="235"/>
      <c r="O45" s="79"/>
      <c r="S45" s="79"/>
      <c r="T45" s="79"/>
      <c r="Y45" s="79"/>
      <c r="AC45" s="130"/>
      <c r="AE45" s="106"/>
    </row>
    <row r="46">
      <c r="A46" s="304" t="s">
        <v>510</v>
      </c>
      <c r="B46" s="305">
        <v>45496.0</v>
      </c>
      <c r="C46" s="234" t="s">
        <v>325</v>
      </c>
      <c r="D46" s="178">
        <v>1194.77</v>
      </c>
      <c r="E46" s="308"/>
      <c r="F46" s="235"/>
      <c r="O46" s="79"/>
      <c r="S46" s="79"/>
      <c r="T46" s="79"/>
      <c r="Y46" s="79"/>
      <c r="AC46" s="130"/>
      <c r="AE46" s="106"/>
    </row>
    <row r="47">
      <c r="A47" s="304" t="s">
        <v>530</v>
      </c>
      <c r="B47" s="305">
        <v>45503.0</v>
      </c>
      <c r="C47" s="234" t="s">
        <v>325</v>
      </c>
      <c r="D47" s="178">
        <v>1211.18</v>
      </c>
      <c r="E47" s="308"/>
      <c r="F47" s="235"/>
      <c r="O47" s="79"/>
      <c r="S47" s="79"/>
      <c r="T47" s="79"/>
      <c r="Y47" s="79"/>
      <c r="AC47" s="130"/>
      <c r="AE47" s="106"/>
    </row>
    <row r="48">
      <c r="A48" s="304" t="s">
        <v>553</v>
      </c>
      <c r="B48" s="305">
        <v>45510.0</v>
      </c>
      <c r="C48" s="234" t="s">
        <v>325</v>
      </c>
      <c r="D48" s="178">
        <v>1409.57</v>
      </c>
      <c r="E48" s="308"/>
      <c r="F48" s="235"/>
      <c r="O48" s="79"/>
      <c r="S48" s="79"/>
      <c r="T48" s="79"/>
      <c r="Y48" s="79"/>
      <c r="AC48" s="130"/>
      <c r="AE48" s="106"/>
    </row>
    <row r="49">
      <c r="A49" s="304" t="s">
        <v>578</v>
      </c>
      <c r="B49" s="305">
        <v>45517.0</v>
      </c>
      <c r="C49" s="234" t="s">
        <v>325</v>
      </c>
      <c r="D49" s="178">
        <v>1391.12</v>
      </c>
      <c r="E49" s="308"/>
      <c r="F49" s="235"/>
      <c r="O49" s="79"/>
      <c r="S49" s="79"/>
      <c r="T49" s="79"/>
      <c r="Y49" s="79"/>
      <c r="AC49" s="130"/>
      <c r="AE49" s="106"/>
    </row>
    <row r="50">
      <c r="A50" s="304" t="s">
        <v>597</v>
      </c>
      <c r="B50" s="305">
        <v>45525.0</v>
      </c>
      <c r="C50" s="234" t="s">
        <v>325</v>
      </c>
      <c r="D50" s="178">
        <v>1420.83</v>
      </c>
      <c r="E50" s="308"/>
      <c r="F50" s="235"/>
      <c r="O50" s="79"/>
      <c r="S50" s="79"/>
      <c r="T50" s="79"/>
      <c r="Y50" s="79"/>
      <c r="AC50" s="130"/>
      <c r="AE50" s="106"/>
    </row>
    <row r="51">
      <c r="A51" s="304" t="s">
        <v>622</v>
      </c>
      <c r="B51" s="305">
        <v>45533.0</v>
      </c>
      <c r="C51" s="234" t="s">
        <v>325</v>
      </c>
      <c r="D51" s="178">
        <v>1404.36</v>
      </c>
      <c r="E51" s="308"/>
      <c r="F51" s="235"/>
      <c r="O51" s="79"/>
      <c r="S51" s="79"/>
      <c r="T51" s="79"/>
      <c r="Y51" s="79"/>
      <c r="AC51" s="130"/>
      <c r="AE51" s="106"/>
    </row>
    <row r="52">
      <c r="A52" s="304" t="s">
        <v>644</v>
      </c>
      <c r="B52" s="305">
        <v>45540.0</v>
      </c>
      <c r="C52" s="234" t="s">
        <v>325</v>
      </c>
      <c r="D52" s="178">
        <v>1415.74</v>
      </c>
      <c r="E52" s="308"/>
      <c r="F52" s="235"/>
      <c r="O52" s="79"/>
      <c r="S52" s="79"/>
      <c r="T52" s="79"/>
      <c r="Y52" s="79"/>
      <c r="AC52" s="130"/>
      <c r="AE52" s="106"/>
    </row>
    <row r="53">
      <c r="A53" s="304" t="s">
        <v>660</v>
      </c>
      <c r="B53" s="305">
        <v>45547.0</v>
      </c>
      <c r="C53" s="234" t="s">
        <v>325</v>
      </c>
      <c r="D53" s="178">
        <v>1419.33</v>
      </c>
      <c r="E53" s="308"/>
      <c r="F53" s="235"/>
      <c r="O53" s="79"/>
      <c r="S53" s="79"/>
      <c r="T53" s="79"/>
      <c r="Y53" s="79"/>
      <c r="AC53" s="130"/>
      <c r="AE53" s="106"/>
    </row>
    <row r="54">
      <c r="A54" s="282" t="s">
        <v>661</v>
      </c>
      <c r="B54" s="283">
        <v>45482.0</v>
      </c>
      <c r="C54" s="166" t="s">
        <v>482</v>
      </c>
      <c r="D54" s="93">
        <v>463.6</v>
      </c>
      <c r="E54" s="291"/>
      <c r="F54" s="6"/>
      <c r="O54" s="79"/>
      <c r="S54" s="79"/>
      <c r="T54" s="79"/>
      <c r="Y54" s="79"/>
      <c r="AC54" s="130"/>
      <c r="AE54" s="106"/>
    </row>
    <row r="55">
      <c r="A55" s="282" t="s">
        <v>537</v>
      </c>
      <c r="B55" s="283">
        <v>45506.0</v>
      </c>
      <c r="C55" s="166" t="s">
        <v>538</v>
      </c>
      <c r="D55" s="93">
        <v>1662.01</v>
      </c>
      <c r="E55" s="291"/>
      <c r="F55" s="6"/>
      <c r="O55" s="79"/>
      <c r="S55" s="79"/>
      <c r="T55" s="79"/>
      <c r="Y55" s="79"/>
      <c r="AC55" s="130"/>
      <c r="AE55" s="106"/>
    </row>
    <row r="56">
      <c r="A56" s="282" t="s">
        <v>598</v>
      </c>
      <c r="B56" s="283">
        <v>45526.0</v>
      </c>
      <c r="C56" s="166" t="s">
        <v>37</v>
      </c>
      <c r="D56" s="93">
        <v>375.0</v>
      </c>
      <c r="E56" s="291"/>
      <c r="F56" s="6"/>
      <c r="O56" s="79"/>
      <c r="S56" s="79"/>
      <c r="T56" s="79"/>
      <c r="Y56" s="79"/>
      <c r="AC56" s="130"/>
      <c r="AE56" s="106"/>
    </row>
    <row r="57">
      <c r="A57" s="282" t="s">
        <v>606</v>
      </c>
      <c r="B57" s="283">
        <v>45524.0</v>
      </c>
      <c r="C57" s="166" t="s">
        <v>536</v>
      </c>
      <c r="D57" s="93">
        <v>1160.0</v>
      </c>
      <c r="E57" s="291"/>
      <c r="F57" s="6"/>
      <c r="O57" s="79"/>
      <c r="S57" s="79"/>
      <c r="T57" s="79"/>
      <c r="Y57" s="79"/>
      <c r="AC57" s="130"/>
      <c r="AE57" s="106"/>
    </row>
    <row r="58">
      <c r="A58" s="282" t="s">
        <v>645</v>
      </c>
      <c r="B58" s="283">
        <v>45528.0</v>
      </c>
      <c r="C58" s="166" t="s">
        <v>624</v>
      </c>
      <c r="D58" s="93">
        <v>190.0</v>
      </c>
      <c r="E58" s="291"/>
      <c r="F58" s="6"/>
      <c r="O58" s="79"/>
      <c r="S58" s="79"/>
      <c r="T58" s="79"/>
      <c r="Y58" s="79"/>
      <c r="AC58" s="130"/>
      <c r="AE58" s="106"/>
    </row>
    <row r="59">
      <c r="A59" s="390" t="s">
        <v>646</v>
      </c>
      <c r="B59" s="391">
        <v>45539.0</v>
      </c>
      <c r="C59" s="392" t="s">
        <v>355</v>
      </c>
      <c r="D59" s="393">
        <f>264.47-15</f>
        <v>249.47</v>
      </c>
      <c r="E59" s="308">
        <v>45550.0</v>
      </c>
      <c r="F59" s="6"/>
      <c r="O59" s="79"/>
      <c r="S59" s="79"/>
      <c r="T59" s="79"/>
      <c r="Y59" s="79"/>
      <c r="AC59" s="130"/>
      <c r="AE59" s="106"/>
    </row>
    <row r="60">
      <c r="A60" s="390" t="s">
        <v>647</v>
      </c>
      <c r="B60" s="391">
        <v>45540.0</v>
      </c>
      <c r="C60" s="392" t="s">
        <v>600</v>
      </c>
      <c r="D60" s="393">
        <v>286.4</v>
      </c>
      <c r="E60" s="308">
        <v>45550.0</v>
      </c>
      <c r="F60" s="6"/>
      <c r="O60" s="79"/>
      <c r="S60" s="79"/>
      <c r="T60" s="79"/>
      <c r="Y60" s="79"/>
      <c r="AC60" s="130"/>
      <c r="AE60" s="106"/>
    </row>
    <row r="61">
      <c r="A61" s="282" t="s">
        <v>648</v>
      </c>
      <c r="B61" s="283">
        <v>45540.0</v>
      </c>
      <c r="C61" s="166" t="s">
        <v>164</v>
      </c>
      <c r="D61" s="93">
        <v>237.0</v>
      </c>
      <c r="E61" s="291"/>
      <c r="F61" s="6"/>
      <c r="O61" s="79"/>
      <c r="S61" s="79"/>
      <c r="T61" s="79"/>
      <c r="Y61" s="79"/>
      <c r="AC61" s="130"/>
      <c r="AE61" s="106"/>
    </row>
    <row r="62">
      <c r="A62" s="282" t="s">
        <v>649</v>
      </c>
      <c r="B62" s="283">
        <v>45540.0</v>
      </c>
      <c r="C62" s="166" t="s">
        <v>650</v>
      </c>
      <c r="D62" s="433">
        <f>668-222.67</f>
        <v>445.33</v>
      </c>
      <c r="E62" s="308" t="s">
        <v>662</v>
      </c>
      <c r="F62" s="6"/>
      <c r="O62" s="79"/>
      <c r="S62" s="79"/>
      <c r="T62" s="79"/>
      <c r="Y62" s="79"/>
      <c r="AC62" s="130"/>
      <c r="AE62" s="106"/>
    </row>
    <row r="63">
      <c r="A63" s="282" t="s">
        <v>651</v>
      </c>
      <c r="B63" s="283">
        <v>45541.0</v>
      </c>
      <c r="C63" s="166" t="s">
        <v>652</v>
      </c>
      <c r="D63" s="93">
        <v>359.29</v>
      </c>
      <c r="E63" s="308" t="s">
        <v>653</v>
      </c>
      <c r="F63" s="6"/>
      <c r="O63" s="79"/>
      <c r="S63" s="79"/>
      <c r="T63" s="79"/>
      <c r="Y63" s="79"/>
      <c r="AC63" s="130"/>
      <c r="AE63" s="106"/>
    </row>
    <row r="64">
      <c r="A64" s="282" t="s">
        <v>663</v>
      </c>
      <c r="B64" s="283">
        <v>45541.0</v>
      </c>
      <c r="C64" s="166" t="s">
        <v>664</v>
      </c>
      <c r="D64" s="93">
        <v>581.9</v>
      </c>
      <c r="E64" s="291"/>
      <c r="F64" s="6"/>
      <c r="O64" s="79"/>
      <c r="S64" s="79"/>
      <c r="T64" s="79"/>
      <c r="Y64" s="79"/>
      <c r="AC64" s="130"/>
      <c r="AE64" s="106"/>
    </row>
    <row r="65">
      <c r="A65" s="282" t="s">
        <v>654</v>
      </c>
      <c r="B65" s="283">
        <v>45528.0</v>
      </c>
      <c r="C65" s="166" t="s">
        <v>655</v>
      </c>
      <c r="D65" s="93">
        <v>370.0</v>
      </c>
      <c r="E65" s="291"/>
      <c r="F65" s="6"/>
      <c r="O65" s="79"/>
      <c r="S65" s="79"/>
      <c r="T65" s="79"/>
      <c r="Y65" s="79"/>
      <c r="AC65" s="130"/>
      <c r="AE65" s="106"/>
    </row>
    <row r="66">
      <c r="A66" s="282" t="s">
        <v>665</v>
      </c>
      <c r="B66" s="283">
        <v>45545.0</v>
      </c>
      <c r="C66" s="166" t="s">
        <v>666</v>
      </c>
      <c r="D66" s="93">
        <v>1222.2</v>
      </c>
      <c r="E66" s="291"/>
      <c r="F66" s="6"/>
      <c r="O66" s="79"/>
      <c r="S66" s="79"/>
      <c r="T66" s="79"/>
      <c r="Y66" s="79"/>
      <c r="AC66" s="130"/>
      <c r="AE66" s="106"/>
    </row>
    <row r="67">
      <c r="A67" s="282" t="s">
        <v>667</v>
      </c>
      <c r="B67" s="283">
        <v>45546.0</v>
      </c>
      <c r="C67" s="166" t="s">
        <v>668</v>
      </c>
      <c r="D67" s="93">
        <f>608.6</f>
        <v>608.6</v>
      </c>
      <c r="E67" s="291"/>
      <c r="F67" s="6"/>
      <c r="O67" s="79"/>
      <c r="S67" s="79"/>
      <c r="T67" s="79"/>
      <c r="Y67" s="79"/>
      <c r="AC67" s="130"/>
      <c r="AE67" s="106"/>
    </row>
    <row r="68">
      <c r="A68" s="282" t="s">
        <v>667</v>
      </c>
      <c r="B68" s="283">
        <v>45547.0</v>
      </c>
      <c r="C68" s="166" t="s">
        <v>669</v>
      </c>
      <c r="D68" s="93">
        <v>380.0</v>
      </c>
      <c r="E68" s="291"/>
      <c r="F68" s="6"/>
      <c r="O68" s="79"/>
      <c r="S68" s="79"/>
      <c r="T68" s="79"/>
      <c r="Y68" s="79"/>
      <c r="AC68" s="130"/>
      <c r="AE68" s="106"/>
    </row>
    <row r="69">
      <c r="A69" s="282" t="s">
        <v>670</v>
      </c>
      <c r="B69" s="283">
        <v>45549.0</v>
      </c>
      <c r="C69" s="166" t="s">
        <v>600</v>
      </c>
      <c r="D69" s="93">
        <v>286.4</v>
      </c>
      <c r="E69" s="291"/>
      <c r="F69" s="6"/>
      <c r="O69" s="79"/>
      <c r="S69" s="79"/>
      <c r="T69" s="79"/>
      <c r="Y69" s="79"/>
      <c r="AC69" s="130"/>
      <c r="AE69" s="106"/>
    </row>
    <row r="70">
      <c r="A70" s="282"/>
      <c r="B70" s="283"/>
      <c r="C70" s="166"/>
      <c r="D70" s="93"/>
      <c r="E70" s="291"/>
      <c r="F70" s="6"/>
      <c r="O70" s="79"/>
      <c r="S70" s="79"/>
      <c r="T70" s="79"/>
      <c r="Y70" s="79"/>
      <c r="AC70" s="130"/>
      <c r="AE70" s="106"/>
    </row>
    <row r="71">
      <c r="A71" s="282"/>
      <c r="B71" s="283"/>
      <c r="C71" s="166"/>
      <c r="D71" s="93"/>
      <c r="E71" s="291"/>
      <c r="F71" s="6"/>
      <c r="O71" s="79"/>
      <c r="S71" s="79"/>
      <c r="T71" s="79"/>
      <c r="Y71" s="79"/>
      <c r="AC71" s="130"/>
      <c r="AE71" s="106"/>
    </row>
    <row r="72">
      <c r="A72" s="282"/>
      <c r="B72" s="283"/>
      <c r="C72" s="166"/>
      <c r="D72" s="93"/>
      <c r="E72" s="291"/>
      <c r="F72" s="6"/>
      <c r="O72" s="79"/>
      <c r="S72" s="79"/>
      <c r="T72" s="79"/>
      <c r="Y72" s="79"/>
      <c r="AC72" s="130"/>
      <c r="AE72" s="106"/>
    </row>
    <row r="73">
      <c r="A73" s="282"/>
      <c r="B73" s="283"/>
      <c r="C73" s="166"/>
      <c r="D73" s="93"/>
      <c r="E73" s="291"/>
      <c r="F73" s="6"/>
      <c r="O73" s="79"/>
      <c r="S73" s="79"/>
      <c r="T73" s="79"/>
      <c r="Y73" s="79"/>
      <c r="AC73" s="130"/>
      <c r="AE73" s="106"/>
    </row>
    <row r="74">
      <c r="A74" s="282"/>
      <c r="B74" s="283"/>
      <c r="C74" s="166"/>
      <c r="D74" s="93"/>
      <c r="E74" s="291"/>
      <c r="F74" s="6"/>
      <c r="O74" s="79"/>
      <c r="S74" s="79"/>
      <c r="T74" s="79"/>
      <c r="Y74" s="79"/>
      <c r="AC74" s="130"/>
      <c r="AE74" s="106"/>
    </row>
    <row r="75">
      <c r="A75" s="282"/>
      <c r="B75" s="283"/>
      <c r="C75" s="166"/>
      <c r="D75" s="93"/>
      <c r="E75" s="291"/>
      <c r="F75" s="6"/>
      <c r="O75" s="79"/>
      <c r="S75" s="79"/>
      <c r="T75" s="79"/>
      <c r="Y75" s="79"/>
      <c r="AC75" s="130"/>
      <c r="AE75" s="106"/>
    </row>
    <row r="76">
      <c r="A76" s="282"/>
      <c r="B76" s="283"/>
      <c r="C76" s="166"/>
      <c r="D76" s="93"/>
      <c r="E76" s="291"/>
      <c r="F76" s="6"/>
      <c r="O76" s="79"/>
      <c r="S76" s="79"/>
      <c r="T76" s="79"/>
      <c r="Y76" s="79"/>
      <c r="AC76" s="130"/>
      <c r="AE76" s="106"/>
    </row>
    <row r="77">
      <c r="A77" s="282"/>
      <c r="B77" s="283"/>
      <c r="C77" s="166"/>
      <c r="D77" s="93"/>
      <c r="E77" s="291"/>
      <c r="F77" s="6"/>
      <c r="O77" s="79"/>
      <c r="S77" s="79"/>
      <c r="T77" s="79"/>
      <c r="Y77" s="79"/>
      <c r="AC77" s="130"/>
      <c r="AE77" s="106"/>
    </row>
    <row r="78">
      <c r="A78" s="282"/>
      <c r="B78" s="283"/>
      <c r="C78" s="166"/>
      <c r="D78" s="93"/>
      <c r="E78" s="291"/>
      <c r="F78" s="6"/>
      <c r="O78" s="79"/>
      <c r="S78" s="79"/>
      <c r="T78" s="79"/>
      <c r="Y78" s="79"/>
      <c r="AC78" s="130"/>
      <c r="AE78" s="106"/>
    </row>
    <row r="79">
      <c r="A79" s="282"/>
      <c r="B79" s="283"/>
      <c r="C79" s="166"/>
      <c r="D79" s="93"/>
      <c r="E79" s="291"/>
      <c r="F79" s="6"/>
      <c r="O79" s="79"/>
      <c r="S79" s="79"/>
      <c r="T79" s="79"/>
      <c r="Y79" s="79"/>
      <c r="AC79" s="130"/>
      <c r="AE79" s="106"/>
    </row>
    <row r="80">
      <c r="A80" s="282"/>
      <c r="B80" s="283"/>
      <c r="C80" s="166"/>
      <c r="D80" s="93"/>
      <c r="E80" s="291"/>
      <c r="F80" s="6"/>
      <c r="O80" s="79"/>
      <c r="S80" s="79"/>
      <c r="T80" s="79"/>
      <c r="Y80" s="79"/>
      <c r="AC80" s="130"/>
      <c r="AE80" s="106"/>
    </row>
    <row r="81">
      <c r="A81" s="282"/>
      <c r="B81" s="283"/>
      <c r="C81" s="166"/>
      <c r="D81" s="93"/>
      <c r="E81" s="291"/>
      <c r="F81" s="6"/>
      <c r="O81" s="79"/>
      <c r="S81" s="79"/>
      <c r="T81" s="79"/>
      <c r="Y81" s="79"/>
      <c r="AC81" s="130"/>
      <c r="AE81" s="106"/>
    </row>
    <row r="82">
      <c r="A82" s="282"/>
      <c r="B82" s="283"/>
      <c r="C82" s="166"/>
      <c r="D82" s="93"/>
      <c r="E82" s="291"/>
      <c r="F82" s="6"/>
      <c r="O82" s="79"/>
      <c r="S82" s="79"/>
      <c r="T82" s="79"/>
      <c r="Y82" s="79"/>
      <c r="AC82" s="130"/>
      <c r="AE82" s="106"/>
    </row>
    <row r="83">
      <c r="A83" s="282"/>
      <c r="B83" s="283"/>
      <c r="C83" s="166"/>
      <c r="D83" s="93"/>
      <c r="E83" s="291"/>
      <c r="F83" s="6"/>
      <c r="O83" s="79"/>
      <c r="S83" s="79"/>
      <c r="T83" s="79"/>
      <c r="Y83" s="79"/>
      <c r="AC83" s="130"/>
      <c r="AE83" s="106"/>
    </row>
    <row r="84">
      <c r="A84" s="282"/>
      <c r="B84" s="283"/>
      <c r="C84" s="166"/>
      <c r="D84" s="93"/>
      <c r="E84" s="291"/>
      <c r="F84" s="6"/>
      <c r="O84" s="79"/>
      <c r="S84" s="79"/>
      <c r="T84" s="79"/>
      <c r="Y84" s="79"/>
      <c r="AC84" s="130"/>
      <c r="AE84" s="106"/>
    </row>
    <row r="85">
      <c r="A85" s="282"/>
      <c r="B85" s="283"/>
      <c r="C85" s="166"/>
      <c r="D85" s="93"/>
      <c r="E85" s="291"/>
      <c r="F85" s="6"/>
      <c r="O85" s="79"/>
      <c r="S85" s="79"/>
      <c r="T85" s="79"/>
      <c r="Y85" s="79"/>
      <c r="AC85" s="130"/>
      <c r="AE85" s="106"/>
    </row>
    <row r="86">
      <c r="A86" s="282"/>
      <c r="B86" s="283"/>
      <c r="C86" s="166"/>
      <c r="D86" s="93"/>
      <c r="E86" s="291"/>
      <c r="F86" s="6"/>
      <c r="O86" s="79"/>
      <c r="S86" s="79"/>
      <c r="T86" s="79"/>
      <c r="Y86" s="79"/>
      <c r="AC86" s="130"/>
      <c r="AE86" s="106"/>
    </row>
    <row r="87">
      <c r="A87" s="282"/>
      <c r="B87" s="283"/>
      <c r="C87" s="166"/>
      <c r="D87" s="93"/>
      <c r="E87" s="291"/>
      <c r="F87" s="6"/>
      <c r="O87" s="79"/>
      <c r="S87" s="79"/>
      <c r="T87" s="79"/>
      <c r="Y87" s="79"/>
      <c r="AC87" s="130"/>
      <c r="AE87" s="106"/>
    </row>
    <row r="88">
      <c r="A88" s="282"/>
      <c r="B88" s="283"/>
      <c r="C88" s="166"/>
      <c r="D88" s="93"/>
      <c r="E88" s="291"/>
      <c r="F88" s="6"/>
      <c r="O88" s="79"/>
      <c r="S88" s="79"/>
      <c r="T88" s="79"/>
      <c r="Y88" s="79"/>
      <c r="AC88" s="130"/>
      <c r="AE88" s="106"/>
    </row>
    <row r="89">
      <c r="A89" s="282"/>
      <c r="B89" s="283"/>
      <c r="C89" s="166"/>
      <c r="D89" s="93"/>
      <c r="E89" s="291"/>
      <c r="F89" s="6"/>
      <c r="O89" s="79"/>
      <c r="S89" s="79"/>
      <c r="T89" s="79"/>
      <c r="Y89" s="79"/>
      <c r="AC89" s="130"/>
      <c r="AE89" s="106"/>
    </row>
    <row r="90">
      <c r="A90" s="282"/>
      <c r="B90" s="283"/>
      <c r="C90" s="166"/>
      <c r="D90" s="93"/>
      <c r="E90" s="291"/>
      <c r="F90" s="6"/>
      <c r="O90" s="79"/>
      <c r="S90" s="79"/>
      <c r="T90" s="79"/>
      <c r="Y90" s="79"/>
      <c r="AC90" s="130"/>
      <c r="AE90" s="106"/>
    </row>
    <row r="91">
      <c r="C91" s="79"/>
      <c r="D91" s="79"/>
      <c r="E91" s="79"/>
      <c r="O91" s="79"/>
      <c r="S91" s="79"/>
      <c r="T91" s="79"/>
      <c r="Y91" s="79"/>
      <c r="AC91" s="130"/>
      <c r="AE91" s="106"/>
    </row>
    <row r="92">
      <c r="C92" s="79"/>
      <c r="D92" s="79"/>
      <c r="E92" s="79"/>
      <c r="O92" s="79"/>
      <c r="S92" s="79"/>
      <c r="T92" s="79"/>
      <c r="Y92" s="79"/>
      <c r="AC92" s="130"/>
      <c r="AE92" s="106"/>
    </row>
    <row r="93">
      <c r="C93" s="79"/>
      <c r="D93" s="79"/>
      <c r="E93" s="79"/>
      <c r="O93" s="79"/>
      <c r="S93" s="79"/>
      <c r="T93" s="79"/>
      <c r="Y93" s="79"/>
      <c r="AC93" s="130"/>
      <c r="AE93" s="106"/>
    </row>
    <row r="94">
      <c r="C94" s="79"/>
      <c r="D94" s="79"/>
      <c r="E94" s="79"/>
      <c r="O94" s="79"/>
      <c r="S94" s="79"/>
      <c r="T94" s="79"/>
      <c r="Y94" s="79"/>
      <c r="AC94" s="130"/>
      <c r="AE94" s="106"/>
    </row>
    <row r="95">
      <c r="C95" s="79"/>
      <c r="D95" s="79"/>
      <c r="E95" s="79"/>
      <c r="O95" s="79"/>
      <c r="S95" s="79"/>
      <c r="T95" s="79"/>
      <c r="Y95" s="79"/>
      <c r="AC95" s="130"/>
      <c r="AE95" s="106"/>
    </row>
    <row r="96">
      <c r="C96" s="79"/>
      <c r="D96" s="79"/>
      <c r="E96" s="79"/>
      <c r="O96" s="79"/>
      <c r="S96" s="79"/>
      <c r="T96" s="79"/>
      <c r="Y96" s="79"/>
      <c r="AC96" s="130"/>
      <c r="AE96" s="106"/>
    </row>
    <row r="97">
      <c r="C97" s="79"/>
      <c r="D97" s="79"/>
      <c r="E97" s="79"/>
      <c r="O97" s="79"/>
      <c r="S97" s="79"/>
      <c r="T97" s="79"/>
      <c r="Y97" s="79"/>
      <c r="AC97" s="130"/>
      <c r="AE97" s="106"/>
    </row>
    <row r="98">
      <c r="C98" s="79"/>
      <c r="D98" s="79"/>
      <c r="E98" s="79"/>
      <c r="O98" s="79"/>
      <c r="S98" s="79"/>
      <c r="T98" s="79"/>
      <c r="Y98" s="79"/>
      <c r="AC98" s="130"/>
      <c r="AE98" s="106"/>
    </row>
    <row r="99">
      <c r="C99" s="79"/>
      <c r="D99" s="79"/>
      <c r="E99" s="79"/>
      <c r="O99" s="79"/>
      <c r="S99" s="79"/>
      <c r="T99" s="79"/>
      <c r="Y99" s="79"/>
      <c r="AC99" s="130"/>
      <c r="AE99" s="106"/>
    </row>
    <row r="100">
      <c r="C100" s="79"/>
      <c r="D100" s="79"/>
      <c r="E100" s="79"/>
      <c r="O100" s="79"/>
      <c r="S100" s="79"/>
      <c r="T100" s="79"/>
      <c r="Y100" s="79"/>
      <c r="AC100" s="130"/>
      <c r="AE100" s="106"/>
    </row>
    <row r="101">
      <c r="C101" s="79"/>
      <c r="D101" s="79"/>
      <c r="E101" s="79"/>
      <c r="O101" s="79"/>
      <c r="S101" s="79"/>
      <c r="T101" s="79"/>
      <c r="Y101" s="79"/>
      <c r="AC101" s="130"/>
      <c r="AE101" s="106"/>
    </row>
    <row r="102">
      <c r="C102" s="79"/>
      <c r="D102" s="79"/>
      <c r="E102" s="79"/>
      <c r="O102" s="79"/>
      <c r="S102" s="79"/>
      <c r="T102" s="79"/>
      <c r="Y102" s="79"/>
      <c r="AC102" s="130"/>
      <c r="AE102" s="106"/>
    </row>
    <row r="103">
      <c r="C103" s="79"/>
      <c r="D103" s="79"/>
      <c r="E103" s="79"/>
      <c r="O103" s="79"/>
      <c r="S103" s="79"/>
      <c r="T103" s="79"/>
      <c r="Y103" s="79"/>
      <c r="AC103" s="130"/>
      <c r="AE103" s="106"/>
    </row>
    <row r="104">
      <c r="C104" s="79"/>
      <c r="D104" s="79"/>
      <c r="E104" s="79"/>
      <c r="O104" s="79"/>
      <c r="S104" s="79"/>
      <c r="T104" s="79"/>
      <c r="Y104" s="79"/>
      <c r="AC104" s="130"/>
      <c r="AE104" s="106"/>
    </row>
    <row r="105">
      <c r="C105" s="79"/>
      <c r="D105" s="79"/>
      <c r="E105" s="79"/>
      <c r="O105" s="79"/>
      <c r="S105" s="79"/>
      <c r="T105" s="79"/>
      <c r="Y105" s="79"/>
      <c r="AC105" s="130"/>
      <c r="AE105" s="106"/>
    </row>
    <row r="106">
      <c r="C106" s="79"/>
      <c r="D106" s="79"/>
      <c r="E106" s="79"/>
      <c r="O106" s="79"/>
      <c r="S106" s="79"/>
      <c r="T106" s="79"/>
      <c r="Y106" s="79"/>
      <c r="AC106" s="130"/>
      <c r="AE106" s="106"/>
    </row>
    <row r="107">
      <c r="C107" s="79"/>
      <c r="D107" s="79"/>
      <c r="E107" s="79"/>
      <c r="O107" s="79"/>
      <c r="S107" s="79"/>
      <c r="T107" s="79"/>
      <c r="Y107" s="79"/>
      <c r="AC107" s="130"/>
      <c r="AE107" s="106"/>
    </row>
    <row r="108">
      <c r="C108" s="79"/>
      <c r="D108" s="79"/>
      <c r="E108" s="79"/>
      <c r="O108" s="79"/>
      <c r="S108" s="79"/>
      <c r="T108" s="79"/>
      <c r="Y108" s="79"/>
      <c r="AC108" s="130"/>
      <c r="AE108" s="106"/>
    </row>
    <row r="109">
      <c r="C109" s="79"/>
      <c r="D109" s="79"/>
      <c r="E109" s="79"/>
      <c r="O109" s="79"/>
      <c r="S109" s="79"/>
      <c r="T109" s="79"/>
      <c r="Y109" s="79"/>
      <c r="AC109" s="130"/>
      <c r="AE109" s="106"/>
    </row>
    <row r="110">
      <c r="C110" s="79"/>
      <c r="D110" s="79"/>
      <c r="E110" s="79"/>
      <c r="O110" s="79"/>
      <c r="S110" s="79"/>
      <c r="T110" s="79"/>
      <c r="Y110" s="79"/>
      <c r="AC110" s="130"/>
      <c r="AE110" s="106"/>
    </row>
    <row r="111">
      <c r="C111" s="79"/>
      <c r="D111" s="79"/>
      <c r="E111" s="79"/>
      <c r="O111" s="79"/>
      <c r="S111" s="79"/>
      <c r="T111" s="79"/>
      <c r="Y111" s="79"/>
      <c r="AC111" s="130"/>
      <c r="AE111" s="106"/>
    </row>
    <row r="112">
      <c r="C112" s="79"/>
      <c r="D112" s="79"/>
      <c r="E112" s="79"/>
      <c r="O112" s="79"/>
      <c r="S112" s="79"/>
      <c r="T112" s="79"/>
      <c r="Y112" s="79"/>
      <c r="AC112" s="130"/>
      <c r="AE112" s="106"/>
    </row>
    <row r="113">
      <c r="C113" s="79"/>
      <c r="D113" s="79"/>
      <c r="E113" s="79"/>
      <c r="O113" s="79"/>
      <c r="S113" s="79"/>
      <c r="T113" s="79"/>
      <c r="Y113" s="79"/>
      <c r="AC113" s="130"/>
      <c r="AE113" s="106"/>
    </row>
    <row r="114">
      <c r="C114" s="79"/>
      <c r="D114" s="79"/>
      <c r="E114" s="79"/>
      <c r="O114" s="79"/>
      <c r="S114" s="79"/>
      <c r="T114" s="79"/>
      <c r="Y114" s="79"/>
      <c r="AC114" s="130"/>
      <c r="AE114" s="106"/>
    </row>
    <row r="115">
      <c r="C115" s="79"/>
      <c r="D115" s="79"/>
      <c r="E115" s="79"/>
      <c r="O115" s="79"/>
      <c r="S115" s="79"/>
      <c r="T115" s="79"/>
      <c r="Y115" s="79"/>
      <c r="AC115" s="130"/>
      <c r="AE115" s="106"/>
    </row>
    <row r="116">
      <c r="C116" s="79"/>
      <c r="D116" s="79"/>
      <c r="E116" s="79"/>
      <c r="O116" s="79"/>
      <c r="S116" s="79"/>
      <c r="T116" s="79"/>
      <c r="Y116" s="79"/>
      <c r="AC116" s="130"/>
      <c r="AE116" s="106"/>
    </row>
    <row r="117">
      <c r="C117" s="79"/>
      <c r="D117" s="79"/>
      <c r="E117" s="79"/>
      <c r="O117" s="79"/>
      <c r="S117" s="79"/>
      <c r="T117" s="79"/>
      <c r="Y117" s="79"/>
      <c r="AC117" s="130"/>
      <c r="AE117" s="106"/>
    </row>
    <row r="118">
      <c r="C118" s="79"/>
      <c r="D118" s="79"/>
      <c r="E118" s="79"/>
      <c r="O118" s="79"/>
      <c r="S118" s="79"/>
      <c r="T118" s="79"/>
      <c r="Y118" s="79"/>
      <c r="AC118" s="130"/>
      <c r="AE118" s="106"/>
    </row>
    <row r="119">
      <c r="C119" s="79"/>
      <c r="D119" s="79"/>
      <c r="E119" s="79"/>
      <c r="O119" s="79"/>
      <c r="S119" s="79"/>
      <c r="T119" s="79"/>
      <c r="Y119" s="79"/>
      <c r="AC119" s="130"/>
      <c r="AE119" s="106"/>
    </row>
    <row r="120">
      <c r="C120" s="79"/>
      <c r="D120" s="79"/>
      <c r="E120" s="79"/>
      <c r="O120" s="79"/>
      <c r="S120" s="79"/>
      <c r="T120" s="79"/>
      <c r="Y120" s="79"/>
      <c r="AC120" s="130"/>
      <c r="AE120" s="106"/>
    </row>
    <row r="121">
      <c r="C121" s="79"/>
      <c r="D121" s="79"/>
      <c r="E121" s="79"/>
      <c r="O121" s="79"/>
      <c r="S121" s="79"/>
      <c r="T121" s="79"/>
      <c r="Y121" s="79"/>
      <c r="AC121" s="130"/>
      <c r="AE121" s="106"/>
    </row>
    <row r="122">
      <c r="C122" s="79"/>
      <c r="D122" s="79"/>
      <c r="E122" s="79"/>
      <c r="O122" s="79"/>
      <c r="S122" s="79"/>
      <c r="T122" s="79"/>
      <c r="Y122" s="79"/>
      <c r="AC122" s="130"/>
      <c r="AE122" s="106"/>
    </row>
    <row r="123">
      <c r="C123" s="79"/>
      <c r="D123" s="79"/>
      <c r="E123" s="79"/>
      <c r="O123" s="79"/>
      <c r="S123" s="79"/>
      <c r="T123" s="79"/>
      <c r="Y123" s="79"/>
      <c r="AC123" s="130"/>
      <c r="AE123" s="106"/>
    </row>
    <row r="124">
      <c r="C124" s="79"/>
      <c r="D124" s="79"/>
      <c r="E124" s="79"/>
      <c r="O124" s="79"/>
      <c r="S124" s="79"/>
      <c r="T124" s="79"/>
      <c r="Y124" s="79"/>
      <c r="AC124" s="130"/>
      <c r="AE124" s="106"/>
    </row>
    <row r="125">
      <c r="C125" s="79"/>
      <c r="D125" s="79"/>
      <c r="E125" s="79"/>
      <c r="O125" s="79"/>
      <c r="S125" s="79"/>
      <c r="T125" s="79"/>
      <c r="Y125" s="79"/>
      <c r="AC125" s="130"/>
      <c r="AE125" s="106"/>
    </row>
    <row r="126">
      <c r="C126" s="79"/>
      <c r="D126" s="79"/>
      <c r="E126" s="79"/>
      <c r="O126" s="79"/>
      <c r="S126" s="79"/>
      <c r="T126" s="79"/>
      <c r="Y126" s="79"/>
      <c r="AC126" s="130"/>
      <c r="AE126" s="106"/>
    </row>
    <row r="127">
      <c r="C127" s="79"/>
      <c r="D127" s="79"/>
      <c r="E127" s="79"/>
      <c r="O127" s="79"/>
      <c r="S127" s="79"/>
      <c r="T127" s="79"/>
      <c r="Y127" s="79"/>
      <c r="AC127" s="130"/>
      <c r="AE127" s="106"/>
    </row>
    <row r="128">
      <c r="C128" s="79"/>
      <c r="D128" s="79"/>
      <c r="E128" s="79"/>
      <c r="O128" s="79"/>
      <c r="S128" s="79"/>
      <c r="T128" s="79"/>
      <c r="Y128" s="79"/>
      <c r="AC128" s="130"/>
      <c r="AE128" s="106"/>
    </row>
    <row r="129">
      <c r="C129" s="79"/>
      <c r="D129" s="79"/>
      <c r="E129" s="79"/>
      <c r="O129" s="79"/>
      <c r="S129" s="79"/>
      <c r="T129" s="79"/>
      <c r="Y129" s="79"/>
      <c r="AC129" s="130"/>
      <c r="AE129" s="106"/>
    </row>
    <row r="130">
      <c r="C130" s="79"/>
      <c r="D130" s="79"/>
      <c r="E130" s="79"/>
      <c r="O130" s="79"/>
      <c r="S130" s="79"/>
      <c r="T130" s="79"/>
      <c r="Y130" s="79"/>
      <c r="AC130" s="130"/>
      <c r="AE130" s="106"/>
    </row>
    <row r="131">
      <c r="C131" s="79"/>
      <c r="D131" s="79"/>
      <c r="E131" s="79"/>
      <c r="O131" s="79"/>
      <c r="S131" s="79"/>
      <c r="T131" s="79"/>
      <c r="Y131" s="79"/>
      <c r="AC131" s="130"/>
      <c r="AE131" s="106"/>
    </row>
    <row r="132">
      <c r="C132" s="79"/>
      <c r="D132" s="79"/>
      <c r="E132" s="79"/>
      <c r="O132" s="79"/>
      <c r="S132" s="79"/>
      <c r="T132" s="79"/>
      <c r="Y132" s="79"/>
      <c r="AC132" s="130"/>
      <c r="AE132" s="106"/>
    </row>
    <row r="133">
      <c r="C133" s="79"/>
      <c r="D133" s="79"/>
      <c r="E133" s="79"/>
      <c r="O133" s="79"/>
      <c r="S133" s="79"/>
      <c r="T133" s="79"/>
      <c r="Y133" s="79"/>
      <c r="AC133" s="130"/>
      <c r="AE133" s="106"/>
    </row>
    <row r="134">
      <c r="C134" s="79"/>
      <c r="D134" s="79"/>
      <c r="E134" s="79"/>
      <c r="O134" s="79"/>
      <c r="S134" s="79"/>
      <c r="T134" s="79"/>
      <c r="Y134" s="79"/>
      <c r="AC134" s="130"/>
      <c r="AE134" s="106"/>
    </row>
    <row r="135">
      <c r="C135" s="79"/>
      <c r="D135" s="79"/>
      <c r="E135" s="79"/>
      <c r="O135" s="79"/>
      <c r="S135" s="79"/>
      <c r="T135" s="79"/>
      <c r="Y135" s="79"/>
      <c r="AC135" s="130"/>
      <c r="AE135" s="106"/>
    </row>
    <row r="136">
      <c r="C136" s="79"/>
      <c r="D136" s="79"/>
      <c r="E136" s="79"/>
      <c r="O136" s="79"/>
      <c r="S136" s="79"/>
      <c r="T136" s="79"/>
      <c r="Y136" s="79"/>
      <c r="AC136" s="130"/>
      <c r="AE136" s="106"/>
    </row>
    <row r="137">
      <c r="C137" s="79"/>
      <c r="D137" s="79"/>
      <c r="E137" s="79"/>
      <c r="O137" s="79"/>
      <c r="S137" s="79"/>
      <c r="T137" s="79"/>
      <c r="Y137" s="79"/>
      <c r="AC137" s="130"/>
      <c r="AE137" s="106"/>
    </row>
    <row r="138">
      <c r="C138" s="79"/>
      <c r="D138" s="79"/>
      <c r="E138" s="79"/>
      <c r="O138" s="79"/>
      <c r="S138" s="79"/>
      <c r="T138" s="79"/>
      <c r="Y138" s="79"/>
      <c r="AC138" s="130"/>
      <c r="AE138" s="106"/>
    </row>
    <row r="139">
      <c r="C139" s="79"/>
      <c r="D139" s="79"/>
      <c r="E139" s="79"/>
      <c r="O139" s="79"/>
      <c r="S139" s="79"/>
      <c r="T139" s="79"/>
      <c r="Y139" s="79"/>
      <c r="AC139" s="130"/>
      <c r="AE139" s="106"/>
    </row>
    <row r="140">
      <c r="C140" s="79"/>
      <c r="D140" s="79"/>
      <c r="E140" s="79"/>
      <c r="O140" s="79"/>
      <c r="S140" s="79"/>
      <c r="T140" s="79"/>
      <c r="Y140" s="79"/>
      <c r="AC140" s="130"/>
      <c r="AE140" s="106"/>
    </row>
    <row r="141">
      <c r="C141" s="79"/>
      <c r="D141" s="79"/>
      <c r="E141" s="79"/>
      <c r="O141" s="79"/>
      <c r="S141" s="79"/>
      <c r="T141" s="79"/>
      <c r="Y141" s="79"/>
      <c r="AC141" s="130"/>
      <c r="AE141" s="106"/>
    </row>
    <row r="142">
      <c r="C142" s="79"/>
      <c r="D142" s="79"/>
      <c r="E142" s="79"/>
      <c r="O142" s="79"/>
      <c r="S142" s="79"/>
      <c r="T142" s="79"/>
      <c r="Y142" s="79"/>
      <c r="AC142" s="130"/>
      <c r="AE142" s="106"/>
    </row>
    <row r="143">
      <c r="C143" s="79"/>
      <c r="D143" s="79"/>
      <c r="E143" s="79"/>
      <c r="O143" s="79"/>
      <c r="S143" s="79"/>
      <c r="T143" s="79"/>
      <c r="Y143" s="79"/>
      <c r="AC143" s="130"/>
      <c r="AE143" s="106"/>
    </row>
    <row r="144">
      <c r="C144" s="79"/>
      <c r="D144" s="79"/>
      <c r="E144" s="79"/>
      <c r="O144" s="79"/>
      <c r="S144" s="79"/>
      <c r="T144" s="79"/>
      <c r="Y144" s="79"/>
      <c r="AC144" s="130"/>
      <c r="AE144" s="106"/>
    </row>
    <row r="145">
      <c r="C145" s="79"/>
      <c r="D145" s="79"/>
      <c r="E145" s="79"/>
      <c r="O145" s="79"/>
      <c r="S145" s="79"/>
      <c r="T145" s="79"/>
      <c r="Y145" s="79"/>
      <c r="AC145" s="130"/>
      <c r="AE145" s="106"/>
    </row>
    <row r="146">
      <c r="C146" s="79"/>
      <c r="D146" s="79"/>
      <c r="E146" s="79"/>
      <c r="O146" s="79"/>
      <c r="S146" s="79"/>
      <c r="T146" s="79"/>
      <c r="Y146" s="79"/>
      <c r="AC146" s="130"/>
      <c r="AE146" s="106"/>
    </row>
    <row r="147">
      <c r="C147" s="79"/>
      <c r="D147" s="79"/>
      <c r="E147" s="79"/>
      <c r="O147" s="79"/>
      <c r="S147" s="79"/>
      <c r="T147" s="79"/>
      <c r="Y147" s="79"/>
      <c r="AC147" s="130"/>
      <c r="AE147" s="106"/>
    </row>
    <row r="148">
      <c r="C148" s="79"/>
      <c r="D148" s="79"/>
      <c r="E148" s="79"/>
      <c r="O148" s="79"/>
      <c r="S148" s="79"/>
      <c r="T148" s="79"/>
      <c r="Y148" s="79"/>
      <c r="AC148" s="130"/>
      <c r="AE148" s="106"/>
    </row>
    <row r="149">
      <c r="C149" s="79"/>
      <c r="D149" s="79"/>
      <c r="E149" s="79"/>
      <c r="O149" s="79"/>
      <c r="S149" s="79"/>
      <c r="T149" s="79"/>
      <c r="Y149" s="79"/>
      <c r="AC149" s="130"/>
      <c r="AE149" s="106"/>
    </row>
    <row r="150">
      <c r="C150" s="79"/>
      <c r="D150" s="79"/>
      <c r="E150" s="79"/>
      <c r="O150" s="79"/>
      <c r="S150" s="79"/>
      <c r="T150" s="79"/>
      <c r="Y150" s="79"/>
      <c r="AC150" s="130"/>
      <c r="AE150" s="106"/>
    </row>
    <row r="151">
      <c r="C151" s="79"/>
      <c r="D151" s="79"/>
      <c r="E151" s="79"/>
      <c r="O151" s="79"/>
      <c r="S151" s="79"/>
      <c r="T151" s="79"/>
      <c r="Y151" s="79"/>
      <c r="AC151" s="130"/>
      <c r="AE151" s="106"/>
    </row>
    <row r="152">
      <c r="C152" s="79"/>
      <c r="D152" s="79"/>
      <c r="E152" s="79"/>
      <c r="O152" s="79"/>
      <c r="S152" s="79"/>
      <c r="T152" s="79"/>
      <c r="Y152" s="79"/>
      <c r="AC152" s="130"/>
      <c r="AE152" s="106"/>
    </row>
    <row r="153">
      <c r="C153" s="79"/>
      <c r="D153" s="79"/>
      <c r="E153" s="79"/>
      <c r="O153" s="79"/>
      <c r="S153" s="79"/>
      <c r="T153" s="79"/>
      <c r="Y153" s="79"/>
      <c r="AC153" s="130"/>
      <c r="AE153" s="106"/>
    </row>
    <row r="154">
      <c r="C154" s="79"/>
      <c r="D154" s="79"/>
      <c r="E154" s="79"/>
      <c r="O154" s="79"/>
      <c r="S154" s="79"/>
      <c r="T154" s="79"/>
      <c r="Y154" s="79"/>
      <c r="AC154" s="130"/>
      <c r="AE154" s="106"/>
    </row>
    <row r="155">
      <c r="C155" s="79"/>
      <c r="D155" s="79"/>
      <c r="E155" s="79"/>
      <c r="O155" s="79"/>
      <c r="S155" s="79"/>
      <c r="T155" s="79"/>
      <c r="Y155" s="79"/>
      <c r="AC155" s="130"/>
      <c r="AE155" s="106"/>
    </row>
    <row r="156">
      <c r="C156" s="79"/>
      <c r="D156" s="79"/>
      <c r="E156" s="79"/>
      <c r="O156" s="79"/>
      <c r="S156" s="79"/>
      <c r="T156" s="79"/>
      <c r="Y156" s="79"/>
      <c r="AC156" s="130"/>
      <c r="AE156" s="106"/>
    </row>
    <row r="157">
      <c r="C157" s="79"/>
      <c r="D157" s="79"/>
      <c r="E157" s="79"/>
      <c r="O157" s="79"/>
      <c r="S157" s="79"/>
      <c r="T157" s="79"/>
      <c r="Y157" s="79"/>
      <c r="AC157" s="130"/>
      <c r="AE157" s="106"/>
    </row>
    <row r="158">
      <c r="C158" s="79"/>
      <c r="D158" s="79"/>
      <c r="E158" s="79"/>
      <c r="O158" s="79"/>
      <c r="S158" s="79"/>
      <c r="T158" s="79"/>
      <c r="Y158" s="79"/>
      <c r="AC158" s="130"/>
      <c r="AE158" s="106"/>
    </row>
    <row r="159">
      <c r="C159" s="79"/>
      <c r="D159" s="79"/>
      <c r="E159" s="79"/>
      <c r="O159" s="79"/>
      <c r="S159" s="79"/>
      <c r="T159" s="79"/>
      <c r="Y159" s="79"/>
      <c r="AC159" s="130"/>
      <c r="AE159" s="106"/>
    </row>
    <row r="160">
      <c r="C160" s="79"/>
      <c r="D160" s="79"/>
      <c r="E160" s="79"/>
      <c r="O160" s="79"/>
      <c r="S160" s="79"/>
      <c r="T160" s="79"/>
      <c r="Y160" s="79"/>
      <c r="AC160" s="130"/>
      <c r="AE160" s="106"/>
    </row>
    <row r="161">
      <c r="C161" s="79"/>
      <c r="D161" s="79"/>
      <c r="E161" s="79"/>
      <c r="O161" s="79"/>
      <c r="S161" s="79"/>
      <c r="T161" s="79"/>
      <c r="Y161" s="79"/>
      <c r="AC161" s="130"/>
      <c r="AE161" s="106"/>
    </row>
    <row r="162">
      <c r="C162" s="79"/>
      <c r="D162" s="79"/>
      <c r="E162" s="79"/>
      <c r="O162" s="79"/>
      <c r="S162" s="79"/>
      <c r="T162" s="79"/>
      <c r="Y162" s="79"/>
      <c r="AC162" s="130"/>
      <c r="AE162" s="106"/>
    </row>
    <row r="163">
      <c r="C163" s="79"/>
      <c r="D163" s="79"/>
      <c r="E163" s="79"/>
      <c r="O163" s="79"/>
      <c r="S163" s="79"/>
      <c r="T163" s="79"/>
      <c r="Y163" s="79"/>
      <c r="AC163" s="130"/>
      <c r="AE163" s="106"/>
    </row>
    <row r="164">
      <c r="C164" s="79"/>
      <c r="D164" s="79"/>
      <c r="E164" s="79"/>
      <c r="O164" s="79"/>
      <c r="S164" s="79"/>
      <c r="T164" s="79"/>
      <c r="Y164" s="79"/>
      <c r="AC164" s="130"/>
      <c r="AE164" s="106"/>
    </row>
    <row r="165">
      <c r="C165" s="79"/>
      <c r="D165" s="79"/>
      <c r="E165" s="79"/>
      <c r="O165" s="79"/>
      <c r="S165" s="79"/>
      <c r="T165" s="79"/>
      <c r="Y165" s="79"/>
      <c r="AC165" s="130"/>
      <c r="AE165" s="106"/>
    </row>
    <row r="166">
      <c r="C166" s="79"/>
      <c r="D166" s="79"/>
      <c r="E166" s="79"/>
      <c r="O166" s="79"/>
      <c r="S166" s="79"/>
      <c r="T166" s="79"/>
      <c r="Y166" s="79"/>
      <c r="AC166" s="130"/>
      <c r="AE166" s="106"/>
    </row>
    <row r="167">
      <c r="C167" s="79"/>
      <c r="D167" s="79"/>
      <c r="E167" s="79"/>
      <c r="O167" s="79"/>
      <c r="S167" s="79"/>
      <c r="T167" s="79"/>
      <c r="Y167" s="79"/>
      <c r="AC167" s="130"/>
      <c r="AE167" s="106"/>
    </row>
    <row r="168">
      <c r="C168" s="79"/>
      <c r="D168" s="79"/>
      <c r="E168" s="79"/>
      <c r="O168" s="79"/>
      <c r="S168" s="79"/>
      <c r="T168" s="79"/>
      <c r="Y168" s="79"/>
      <c r="AC168" s="130"/>
      <c r="AE168" s="106"/>
    </row>
    <row r="169">
      <c r="C169" s="79"/>
      <c r="D169" s="79"/>
      <c r="E169" s="79"/>
      <c r="O169" s="79"/>
      <c r="S169" s="79"/>
      <c r="T169" s="79"/>
      <c r="Y169" s="79"/>
      <c r="AC169" s="130"/>
      <c r="AE169" s="106"/>
    </row>
    <row r="170">
      <c r="C170" s="79"/>
      <c r="D170" s="79"/>
      <c r="E170" s="79"/>
      <c r="O170" s="79"/>
      <c r="S170" s="79"/>
      <c r="T170" s="79"/>
      <c r="Y170" s="79"/>
      <c r="AC170" s="130"/>
      <c r="AE170" s="106"/>
    </row>
    <row r="171">
      <c r="C171" s="79"/>
      <c r="D171" s="79"/>
      <c r="E171" s="79"/>
      <c r="O171" s="79"/>
      <c r="S171" s="79"/>
      <c r="T171" s="79"/>
      <c r="Y171" s="79"/>
      <c r="AC171" s="130"/>
      <c r="AE171" s="106"/>
    </row>
    <row r="172">
      <c r="C172" s="79"/>
      <c r="D172" s="79"/>
      <c r="E172" s="79"/>
      <c r="O172" s="79"/>
      <c r="S172" s="79"/>
      <c r="T172" s="79"/>
      <c r="Y172" s="79"/>
      <c r="AC172" s="130"/>
      <c r="AE172" s="106"/>
    </row>
    <row r="173">
      <c r="C173" s="79"/>
      <c r="D173" s="79"/>
      <c r="E173" s="79"/>
      <c r="O173" s="79"/>
      <c r="S173" s="79"/>
      <c r="T173" s="79"/>
      <c r="Y173" s="79"/>
      <c r="AC173" s="130"/>
      <c r="AE173" s="106"/>
    </row>
    <row r="174">
      <c r="C174" s="79"/>
      <c r="D174" s="79"/>
      <c r="E174" s="79"/>
      <c r="O174" s="79"/>
      <c r="S174" s="79"/>
      <c r="T174" s="79"/>
      <c r="Y174" s="79"/>
      <c r="AC174" s="130"/>
      <c r="AE174" s="106"/>
    </row>
    <row r="175">
      <c r="C175" s="79"/>
      <c r="D175" s="79"/>
      <c r="E175" s="79"/>
      <c r="O175" s="79"/>
      <c r="S175" s="79"/>
      <c r="T175" s="79"/>
      <c r="Y175" s="79"/>
      <c r="AC175" s="130"/>
      <c r="AE175" s="106"/>
    </row>
    <row r="176">
      <c r="C176" s="79"/>
      <c r="D176" s="79"/>
      <c r="E176" s="79"/>
      <c r="O176" s="79"/>
      <c r="S176" s="79"/>
      <c r="T176" s="79"/>
      <c r="Y176" s="79"/>
      <c r="AC176" s="130"/>
      <c r="AE176" s="106"/>
    </row>
    <row r="177">
      <c r="C177" s="79"/>
      <c r="D177" s="79"/>
      <c r="E177" s="79"/>
      <c r="O177" s="79"/>
      <c r="S177" s="79"/>
      <c r="T177" s="79"/>
      <c r="Y177" s="79"/>
      <c r="AC177" s="130"/>
      <c r="AE177" s="106"/>
    </row>
    <row r="178">
      <c r="C178" s="79"/>
      <c r="D178" s="79"/>
      <c r="E178" s="79"/>
      <c r="O178" s="79"/>
      <c r="S178" s="79"/>
      <c r="T178" s="79"/>
      <c r="Y178" s="79"/>
      <c r="AC178" s="130"/>
      <c r="AE178" s="106"/>
    </row>
    <row r="179">
      <c r="C179" s="79"/>
      <c r="D179" s="79"/>
      <c r="E179" s="79"/>
      <c r="O179" s="79"/>
      <c r="S179" s="79"/>
      <c r="T179" s="79"/>
      <c r="Y179" s="79"/>
      <c r="AC179" s="130"/>
      <c r="AE179" s="106"/>
    </row>
    <row r="180">
      <c r="C180" s="79"/>
      <c r="D180" s="79"/>
      <c r="E180" s="79"/>
      <c r="O180" s="79"/>
      <c r="S180" s="79"/>
      <c r="T180" s="79"/>
      <c r="Y180" s="79"/>
      <c r="AC180" s="130"/>
      <c r="AE180" s="106"/>
    </row>
    <row r="181">
      <c r="C181" s="79"/>
      <c r="D181" s="79"/>
      <c r="E181" s="79"/>
      <c r="O181" s="79"/>
      <c r="S181" s="79"/>
      <c r="T181" s="79"/>
      <c r="Y181" s="79"/>
      <c r="AC181" s="130"/>
      <c r="AE181" s="106"/>
    </row>
    <row r="182">
      <c r="C182" s="79"/>
      <c r="D182" s="79"/>
      <c r="E182" s="79"/>
      <c r="O182" s="79"/>
      <c r="S182" s="79"/>
      <c r="T182" s="79"/>
      <c r="Y182" s="79"/>
      <c r="AC182" s="130"/>
      <c r="AE182" s="106"/>
    </row>
    <row r="183">
      <c r="C183" s="79"/>
      <c r="D183" s="79"/>
      <c r="E183" s="79"/>
      <c r="O183" s="79"/>
      <c r="S183" s="79"/>
      <c r="T183" s="79"/>
      <c r="Y183" s="79"/>
      <c r="AC183" s="130"/>
      <c r="AE183" s="106"/>
    </row>
    <row r="184">
      <c r="C184" s="79"/>
      <c r="D184" s="79"/>
      <c r="E184" s="79"/>
      <c r="O184" s="79"/>
      <c r="S184" s="79"/>
      <c r="T184" s="79"/>
      <c r="Y184" s="79"/>
      <c r="AC184" s="130"/>
      <c r="AE184" s="106"/>
    </row>
    <row r="185">
      <c r="C185" s="79"/>
      <c r="D185" s="79"/>
      <c r="E185" s="79"/>
      <c r="O185" s="79"/>
      <c r="S185" s="79"/>
      <c r="T185" s="79"/>
      <c r="Y185" s="79"/>
      <c r="AC185" s="130"/>
      <c r="AE185" s="106"/>
    </row>
    <row r="186">
      <c r="C186" s="79"/>
      <c r="D186" s="79"/>
      <c r="E186" s="79"/>
      <c r="O186" s="79"/>
      <c r="S186" s="79"/>
      <c r="T186" s="79"/>
      <c r="Y186" s="79"/>
      <c r="AC186" s="130"/>
      <c r="AE186" s="106"/>
    </row>
    <row r="187">
      <c r="C187" s="79"/>
      <c r="D187" s="79"/>
      <c r="E187" s="79"/>
      <c r="O187" s="79"/>
      <c r="S187" s="79"/>
      <c r="T187" s="79"/>
      <c r="Y187" s="79"/>
      <c r="AC187" s="130"/>
      <c r="AE187" s="106"/>
    </row>
    <row r="188">
      <c r="C188" s="79"/>
      <c r="D188" s="79"/>
      <c r="E188" s="79"/>
      <c r="O188" s="79"/>
      <c r="S188" s="79"/>
      <c r="T188" s="79"/>
      <c r="Y188" s="79"/>
      <c r="AC188" s="130"/>
      <c r="AE188" s="106"/>
    </row>
    <row r="189">
      <c r="C189" s="79"/>
      <c r="D189" s="79"/>
      <c r="E189" s="79"/>
      <c r="O189" s="79"/>
      <c r="S189" s="79"/>
      <c r="T189" s="79"/>
      <c r="Y189" s="79"/>
      <c r="AC189" s="130"/>
      <c r="AE189" s="106"/>
    </row>
    <row r="190">
      <c r="C190" s="79"/>
      <c r="D190" s="79"/>
      <c r="E190" s="79"/>
      <c r="O190" s="79"/>
      <c r="S190" s="79"/>
      <c r="T190" s="79"/>
      <c r="Y190" s="79"/>
      <c r="AC190" s="130"/>
      <c r="AE190" s="106"/>
    </row>
    <row r="191">
      <c r="C191" s="79"/>
      <c r="D191" s="79"/>
      <c r="E191" s="79"/>
      <c r="O191" s="79"/>
      <c r="S191" s="79"/>
      <c r="T191" s="79"/>
      <c r="Y191" s="79"/>
      <c r="AC191" s="130"/>
      <c r="AE191" s="106"/>
    </row>
    <row r="192">
      <c r="C192" s="79"/>
      <c r="D192" s="79"/>
      <c r="E192" s="79"/>
      <c r="O192" s="79"/>
      <c r="S192" s="79"/>
      <c r="T192" s="79"/>
      <c r="Y192" s="79"/>
      <c r="AC192" s="130"/>
      <c r="AE192" s="106"/>
    </row>
    <row r="193">
      <c r="C193" s="79"/>
      <c r="D193" s="79"/>
      <c r="E193" s="79"/>
      <c r="O193" s="79"/>
      <c r="S193" s="79"/>
      <c r="T193" s="79"/>
      <c r="Y193" s="79"/>
      <c r="AC193" s="130"/>
      <c r="AE193" s="106"/>
    </row>
    <row r="194">
      <c r="C194" s="79"/>
      <c r="D194" s="79"/>
      <c r="E194" s="79"/>
      <c r="O194" s="79"/>
      <c r="S194" s="79"/>
      <c r="T194" s="79"/>
      <c r="Y194" s="79"/>
      <c r="AC194" s="130"/>
      <c r="AE194" s="106"/>
    </row>
    <row r="195">
      <c r="C195" s="79"/>
      <c r="D195" s="79"/>
      <c r="E195" s="79"/>
      <c r="O195" s="79"/>
      <c r="S195" s="79"/>
      <c r="T195" s="79"/>
      <c r="Y195" s="79"/>
      <c r="AC195" s="130"/>
      <c r="AE195" s="106"/>
    </row>
    <row r="196">
      <c r="C196" s="79"/>
      <c r="D196" s="79"/>
      <c r="E196" s="79"/>
      <c r="O196" s="79"/>
      <c r="S196" s="79"/>
      <c r="T196" s="79"/>
      <c r="Y196" s="79"/>
      <c r="AC196" s="130"/>
      <c r="AE196" s="106"/>
    </row>
    <row r="197">
      <c r="C197" s="79"/>
      <c r="D197" s="79"/>
      <c r="E197" s="79"/>
      <c r="O197" s="79"/>
      <c r="S197" s="79"/>
      <c r="T197" s="79"/>
      <c r="Y197" s="79"/>
      <c r="AC197" s="130"/>
      <c r="AE197" s="106"/>
    </row>
    <row r="198">
      <c r="C198" s="79"/>
      <c r="D198" s="79"/>
      <c r="E198" s="79"/>
      <c r="O198" s="79"/>
      <c r="S198" s="79"/>
      <c r="T198" s="79"/>
      <c r="Y198" s="79"/>
      <c r="AC198" s="130"/>
      <c r="AE198" s="106"/>
    </row>
    <row r="199">
      <c r="C199" s="79"/>
      <c r="D199" s="79"/>
      <c r="E199" s="79"/>
      <c r="O199" s="79"/>
      <c r="S199" s="79"/>
      <c r="T199" s="79"/>
      <c r="Y199" s="79"/>
      <c r="AC199" s="130"/>
      <c r="AE199" s="106"/>
    </row>
    <row r="200">
      <c r="C200" s="79"/>
      <c r="D200" s="79"/>
      <c r="E200" s="79"/>
      <c r="O200" s="79"/>
      <c r="S200" s="79"/>
      <c r="T200" s="79"/>
      <c r="Y200" s="79"/>
      <c r="AC200" s="130"/>
      <c r="AE200" s="106"/>
    </row>
    <row r="201">
      <c r="C201" s="79"/>
      <c r="D201" s="79"/>
      <c r="E201" s="79"/>
      <c r="O201" s="79"/>
      <c r="S201" s="79"/>
      <c r="T201" s="79"/>
      <c r="Y201" s="79"/>
      <c r="AC201" s="130"/>
      <c r="AE201" s="106"/>
    </row>
    <row r="202">
      <c r="C202" s="79"/>
      <c r="D202" s="79"/>
      <c r="E202" s="79"/>
      <c r="O202" s="79"/>
      <c r="S202" s="79"/>
      <c r="T202" s="79"/>
      <c r="Y202" s="79"/>
      <c r="AC202" s="130"/>
      <c r="AE202" s="106"/>
    </row>
    <row r="203">
      <c r="C203" s="79"/>
      <c r="D203" s="79"/>
      <c r="E203" s="79"/>
      <c r="O203" s="79"/>
      <c r="S203" s="79"/>
      <c r="T203" s="79"/>
      <c r="Y203" s="79"/>
      <c r="AC203" s="130"/>
      <c r="AE203" s="106"/>
    </row>
    <row r="204">
      <c r="C204" s="79"/>
      <c r="D204" s="79"/>
      <c r="E204" s="79"/>
      <c r="O204" s="79"/>
      <c r="S204" s="79"/>
      <c r="T204" s="79"/>
      <c r="Y204" s="79"/>
      <c r="AC204" s="130"/>
      <c r="AE204" s="106"/>
    </row>
    <row r="205">
      <c r="C205" s="79"/>
      <c r="D205" s="79"/>
      <c r="E205" s="79"/>
      <c r="O205" s="79"/>
      <c r="S205" s="79"/>
      <c r="T205" s="79"/>
      <c r="Y205" s="79"/>
      <c r="AC205" s="130"/>
      <c r="AE205" s="106"/>
    </row>
    <row r="206">
      <c r="C206" s="79"/>
      <c r="D206" s="79"/>
      <c r="E206" s="79"/>
      <c r="O206" s="79"/>
      <c r="S206" s="79"/>
      <c r="T206" s="79"/>
      <c r="Y206" s="79"/>
      <c r="AC206" s="130"/>
      <c r="AE206" s="106"/>
    </row>
    <row r="207">
      <c r="C207" s="79"/>
      <c r="D207" s="79"/>
      <c r="E207" s="79"/>
      <c r="O207" s="79"/>
      <c r="S207" s="79"/>
      <c r="T207" s="79"/>
      <c r="Y207" s="79"/>
      <c r="AC207" s="130"/>
      <c r="AE207" s="106"/>
    </row>
    <row r="208">
      <c r="C208" s="79"/>
      <c r="D208" s="79"/>
      <c r="E208" s="79"/>
      <c r="O208" s="79"/>
      <c r="S208" s="79"/>
      <c r="T208" s="79"/>
      <c r="Y208" s="79"/>
      <c r="AC208" s="130"/>
      <c r="AE208" s="106"/>
    </row>
    <row r="209">
      <c r="C209" s="79"/>
      <c r="D209" s="79"/>
      <c r="E209" s="79"/>
      <c r="O209" s="79"/>
      <c r="S209" s="79"/>
      <c r="T209" s="79"/>
      <c r="Y209" s="79"/>
      <c r="AC209" s="130"/>
      <c r="AE209" s="106"/>
    </row>
    <row r="210">
      <c r="C210" s="79"/>
      <c r="D210" s="79"/>
      <c r="E210" s="79"/>
      <c r="O210" s="79"/>
      <c r="S210" s="79"/>
      <c r="T210" s="79"/>
      <c r="Y210" s="79"/>
      <c r="AC210" s="130"/>
      <c r="AE210" s="106"/>
    </row>
    <row r="211">
      <c r="C211" s="79"/>
      <c r="D211" s="79"/>
      <c r="E211" s="79"/>
      <c r="O211" s="79"/>
      <c r="S211" s="79"/>
      <c r="T211" s="79"/>
      <c r="Y211" s="79"/>
      <c r="AC211" s="130"/>
      <c r="AE211" s="106"/>
    </row>
    <row r="212">
      <c r="C212" s="79"/>
      <c r="D212" s="79"/>
      <c r="E212" s="79"/>
      <c r="O212" s="79"/>
      <c r="S212" s="79"/>
      <c r="T212" s="79"/>
      <c r="Y212" s="79"/>
      <c r="AC212" s="130"/>
      <c r="AE212" s="106"/>
    </row>
    <row r="213">
      <c r="C213" s="79"/>
      <c r="D213" s="79"/>
      <c r="E213" s="79"/>
      <c r="O213" s="79"/>
      <c r="S213" s="79"/>
      <c r="T213" s="79"/>
      <c r="Y213" s="79"/>
      <c r="AC213" s="130"/>
      <c r="AE213" s="106"/>
    </row>
    <row r="214">
      <c r="C214" s="79"/>
      <c r="D214" s="79"/>
      <c r="E214" s="79"/>
      <c r="O214" s="79"/>
      <c r="S214" s="79"/>
      <c r="T214" s="79"/>
      <c r="Y214" s="79"/>
      <c r="AC214" s="130"/>
      <c r="AE214" s="106"/>
    </row>
    <row r="215">
      <c r="C215" s="79"/>
      <c r="D215" s="79"/>
      <c r="E215" s="79"/>
      <c r="O215" s="79"/>
      <c r="S215" s="79"/>
      <c r="T215" s="79"/>
      <c r="Y215" s="79"/>
      <c r="AC215" s="130"/>
      <c r="AE215" s="106"/>
    </row>
    <row r="216">
      <c r="C216" s="79"/>
      <c r="D216" s="79"/>
      <c r="E216" s="79"/>
      <c r="O216" s="79"/>
      <c r="S216" s="79"/>
      <c r="T216" s="79"/>
      <c r="Y216" s="79"/>
      <c r="AC216" s="130"/>
      <c r="AE216" s="106"/>
    </row>
    <row r="217">
      <c r="C217" s="79"/>
      <c r="D217" s="79"/>
      <c r="E217" s="79"/>
      <c r="O217" s="79"/>
      <c r="S217" s="79"/>
      <c r="T217" s="79"/>
      <c r="Y217" s="79"/>
      <c r="AC217" s="130"/>
      <c r="AE217" s="106"/>
    </row>
    <row r="218">
      <c r="C218" s="79"/>
      <c r="D218" s="79"/>
      <c r="E218" s="79"/>
      <c r="O218" s="79"/>
      <c r="S218" s="79"/>
      <c r="T218" s="79"/>
      <c r="Y218" s="79"/>
      <c r="AC218" s="130"/>
      <c r="AE218" s="106"/>
    </row>
    <row r="219">
      <c r="C219" s="79"/>
      <c r="D219" s="79"/>
      <c r="E219" s="79"/>
      <c r="O219" s="79"/>
      <c r="S219" s="79"/>
      <c r="T219" s="79"/>
      <c r="Y219" s="79"/>
      <c r="AC219" s="130"/>
      <c r="AE219" s="106"/>
    </row>
    <row r="220">
      <c r="C220" s="79"/>
      <c r="D220" s="79"/>
      <c r="E220" s="79"/>
      <c r="O220" s="79"/>
      <c r="S220" s="79"/>
      <c r="T220" s="79"/>
      <c r="Y220" s="79"/>
      <c r="AC220" s="130"/>
      <c r="AE220" s="106"/>
    </row>
    <row r="221">
      <c r="C221" s="79"/>
      <c r="D221" s="79"/>
      <c r="E221" s="79"/>
      <c r="O221" s="79"/>
      <c r="S221" s="79"/>
      <c r="T221" s="79"/>
      <c r="Y221" s="79"/>
      <c r="AC221" s="130"/>
      <c r="AE221" s="106"/>
    </row>
    <row r="222">
      <c r="C222" s="79"/>
      <c r="D222" s="79"/>
      <c r="E222" s="79"/>
      <c r="O222" s="79"/>
      <c r="S222" s="79"/>
      <c r="T222" s="79"/>
      <c r="Y222" s="79"/>
      <c r="AC222" s="130"/>
      <c r="AE222" s="106"/>
    </row>
    <row r="223">
      <c r="C223" s="79"/>
      <c r="D223" s="79"/>
      <c r="E223" s="79"/>
      <c r="O223" s="79"/>
      <c r="S223" s="79"/>
      <c r="T223" s="79"/>
      <c r="Y223" s="79"/>
      <c r="AC223" s="130"/>
      <c r="AE223" s="106"/>
    </row>
    <row r="224">
      <c r="C224" s="79"/>
      <c r="D224" s="79"/>
      <c r="E224" s="79"/>
      <c r="O224" s="79"/>
      <c r="S224" s="79"/>
      <c r="T224" s="79"/>
      <c r="Y224" s="79"/>
      <c r="AC224" s="130"/>
      <c r="AE224" s="106"/>
    </row>
    <row r="225">
      <c r="C225" s="79"/>
      <c r="D225" s="79"/>
      <c r="E225" s="79"/>
      <c r="O225" s="79"/>
      <c r="S225" s="79"/>
      <c r="T225" s="79"/>
      <c r="Y225" s="79"/>
      <c r="AC225" s="130"/>
      <c r="AE225" s="106"/>
    </row>
    <row r="226">
      <c r="C226" s="79"/>
      <c r="D226" s="79"/>
      <c r="E226" s="79"/>
      <c r="O226" s="79"/>
      <c r="S226" s="79"/>
      <c r="T226" s="79"/>
      <c r="Y226" s="79"/>
      <c r="AC226" s="130"/>
      <c r="AE226" s="106"/>
    </row>
    <row r="227">
      <c r="C227" s="79"/>
      <c r="D227" s="79"/>
      <c r="E227" s="79"/>
      <c r="O227" s="79"/>
      <c r="S227" s="79"/>
      <c r="T227" s="79"/>
      <c r="Y227" s="79"/>
      <c r="AC227" s="130"/>
      <c r="AE227" s="106"/>
    </row>
    <row r="228">
      <c r="C228" s="79"/>
      <c r="D228" s="79"/>
      <c r="E228" s="79"/>
      <c r="O228" s="79"/>
      <c r="S228" s="79"/>
      <c r="T228" s="79"/>
      <c r="Y228" s="79"/>
      <c r="AC228" s="130"/>
      <c r="AE228" s="106"/>
    </row>
    <row r="229">
      <c r="C229" s="79"/>
      <c r="D229" s="79"/>
      <c r="E229" s="79"/>
      <c r="O229" s="79"/>
      <c r="S229" s="79"/>
      <c r="T229" s="79"/>
      <c r="Y229" s="79"/>
      <c r="AC229" s="130"/>
      <c r="AE229" s="106"/>
    </row>
    <row r="230">
      <c r="C230" s="79"/>
      <c r="D230" s="79"/>
      <c r="E230" s="79"/>
      <c r="O230" s="79"/>
      <c r="S230" s="79"/>
      <c r="T230" s="79"/>
      <c r="Y230" s="79"/>
      <c r="AC230" s="130"/>
      <c r="AE230" s="106"/>
    </row>
    <row r="231">
      <c r="C231" s="79"/>
      <c r="D231" s="79"/>
      <c r="E231" s="79"/>
      <c r="O231" s="79"/>
      <c r="S231" s="79"/>
      <c r="T231" s="79"/>
      <c r="Y231" s="79"/>
      <c r="AC231" s="130"/>
      <c r="AE231" s="106"/>
    </row>
    <row r="232">
      <c r="C232" s="79"/>
      <c r="D232" s="79"/>
      <c r="E232" s="79"/>
      <c r="O232" s="79"/>
      <c r="S232" s="79"/>
      <c r="T232" s="79"/>
      <c r="Y232" s="79"/>
      <c r="AC232" s="130"/>
      <c r="AE232" s="106"/>
    </row>
    <row r="233">
      <c r="C233" s="79"/>
      <c r="D233" s="79"/>
      <c r="E233" s="79"/>
      <c r="O233" s="79"/>
      <c r="S233" s="79"/>
      <c r="T233" s="79"/>
      <c r="Y233" s="79"/>
      <c r="AC233" s="130"/>
      <c r="AE233" s="106"/>
    </row>
    <row r="234">
      <c r="C234" s="79"/>
      <c r="D234" s="79"/>
      <c r="E234" s="79"/>
      <c r="O234" s="79"/>
      <c r="S234" s="79"/>
      <c r="T234" s="79"/>
      <c r="Y234" s="79"/>
      <c r="AC234" s="130"/>
      <c r="AE234" s="106"/>
    </row>
    <row r="235">
      <c r="C235" s="79"/>
      <c r="D235" s="79"/>
      <c r="E235" s="79"/>
      <c r="O235" s="79"/>
      <c r="S235" s="79"/>
      <c r="T235" s="79"/>
      <c r="Y235" s="79"/>
      <c r="AC235" s="130"/>
      <c r="AE235" s="106"/>
    </row>
    <row r="236">
      <c r="C236" s="79"/>
      <c r="D236" s="79"/>
      <c r="E236" s="79"/>
      <c r="O236" s="79"/>
      <c r="S236" s="79"/>
      <c r="T236" s="79"/>
      <c r="Y236" s="79"/>
      <c r="AC236" s="130"/>
      <c r="AE236" s="106"/>
    </row>
    <row r="237">
      <c r="C237" s="79"/>
      <c r="D237" s="79"/>
      <c r="E237" s="79"/>
      <c r="O237" s="79"/>
      <c r="S237" s="79"/>
      <c r="T237" s="79"/>
      <c r="Y237" s="79"/>
      <c r="AC237" s="130"/>
      <c r="AE237" s="106"/>
    </row>
    <row r="238">
      <c r="C238" s="79"/>
      <c r="D238" s="79"/>
      <c r="E238" s="79"/>
      <c r="O238" s="79"/>
      <c r="S238" s="79"/>
      <c r="T238" s="79"/>
      <c r="Y238" s="79"/>
      <c r="AC238" s="130"/>
      <c r="AE238" s="106"/>
    </row>
    <row r="239">
      <c r="C239" s="79"/>
      <c r="D239" s="79"/>
      <c r="E239" s="79"/>
      <c r="O239" s="79"/>
      <c r="S239" s="79"/>
      <c r="T239" s="79"/>
      <c r="Y239" s="79"/>
      <c r="AC239" s="130"/>
      <c r="AE239" s="106"/>
    </row>
    <row r="240">
      <c r="C240" s="79"/>
      <c r="D240" s="79"/>
      <c r="E240" s="79"/>
      <c r="O240" s="79"/>
      <c r="S240" s="79"/>
      <c r="T240" s="79"/>
      <c r="Y240" s="79"/>
      <c r="AC240" s="130"/>
      <c r="AE240" s="106"/>
    </row>
    <row r="241">
      <c r="C241" s="79"/>
      <c r="D241" s="79"/>
      <c r="E241" s="79"/>
      <c r="O241" s="79"/>
      <c r="S241" s="79"/>
      <c r="T241" s="79"/>
      <c r="Y241" s="79"/>
      <c r="AC241" s="130"/>
      <c r="AE241" s="106"/>
    </row>
    <row r="242">
      <c r="C242" s="79"/>
      <c r="D242" s="79"/>
      <c r="E242" s="79"/>
      <c r="O242" s="79"/>
      <c r="S242" s="79"/>
      <c r="T242" s="79"/>
      <c r="Y242" s="79"/>
      <c r="AC242" s="130"/>
      <c r="AE242" s="106"/>
    </row>
    <row r="243">
      <c r="C243" s="79"/>
      <c r="D243" s="79"/>
      <c r="E243" s="79"/>
      <c r="O243" s="79"/>
      <c r="S243" s="79"/>
      <c r="T243" s="79"/>
      <c r="Y243" s="79"/>
      <c r="AC243" s="130"/>
      <c r="AE243" s="106"/>
    </row>
    <row r="244">
      <c r="C244" s="79"/>
      <c r="D244" s="79"/>
      <c r="E244" s="79"/>
      <c r="O244" s="79"/>
      <c r="S244" s="79"/>
      <c r="T244" s="79"/>
      <c r="Y244" s="79"/>
      <c r="AC244" s="130"/>
      <c r="AE244" s="106"/>
    </row>
    <row r="245">
      <c r="C245" s="79"/>
      <c r="D245" s="79"/>
      <c r="E245" s="79"/>
      <c r="O245" s="79"/>
      <c r="S245" s="79"/>
      <c r="T245" s="79"/>
      <c r="Y245" s="79"/>
      <c r="AC245" s="130"/>
      <c r="AE245" s="106"/>
    </row>
    <row r="246">
      <c r="C246" s="79"/>
      <c r="D246" s="79"/>
      <c r="E246" s="79"/>
      <c r="O246" s="79"/>
      <c r="S246" s="79"/>
      <c r="T246" s="79"/>
      <c r="Y246" s="79"/>
      <c r="AC246" s="130"/>
      <c r="AE246" s="106"/>
    </row>
    <row r="247">
      <c r="C247" s="79"/>
      <c r="D247" s="79"/>
      <c r="E247" s="79"/>
      <c r="O247" s="79"/>
      <c r="S247" s="79"/>
      <c r="T247" s="79"/>
      <c r="Y247" s="79"/>
      <c r="AC247" s="130"/>
      <c r="AE247" s="106"/>
    </row>
    <row r="248">
      <c r="C248" s="79"/>
      <c r="D248" s="79"/>
      <c r="E248" s="79"/>
      <c r="O248" s="79"/>
      <c r="S248" s="79"/>
      <c r="T248" s="79"/>
      <c r="Y248" s="79"/>
      <c r="AC248" s="130"/>
      <c r="AE248" s="106"/>
    </row>
    <row r="249">
      <c r="C249" s="79"/>
      <c r="D249" s="79"/>
      <c r="E249" s="79"/>
      <c r="O249" s="79"/>
      <c r="S249" s="79"/>
      <c r="T249" s="79"/>
      <c r="Y249" s="79"/>
      <c r="AC249" s="130"/>
      <c r="AE249" s="106"/>
    </row>
    <row r="250">
      <c r="C250" s="79"/>
      <c r="D250" s="79"/>
      <c r="E250" s="79"/>
      <c r="O250" s="79"/>
      <c r="S250" s="79"/>
      <c r="T250" s="79"/>
      <c r="Y250" s="79"/>
      <c r="AC250" s="130"/>
      <c r="AE250" s="106"/>
    </row>
    <row r="251">
      <c r="C251" s="79"/>
      <c r="D251" s="79"/>
      <c r="E251" s="79"/>
      <c r="O251" s="79"/>
      <c r="S251" s="79"/>
      <c r="T251" s="79"/>
      <c r="Y251" s="79"/>
      <c r="AC251" s="130"/>
      <c r="AE251" s="106"/>
    </row>
    <row r="252">
      <c r="C252" s="79"/>
      <c r="D252" s="79"/>
      <c r="E252" s="79"/>
      <c r="O252" s="79"/>
      <c r="S252" s="79"/>
      <c r="T252" s="79"/>
      <c r="Y252" s="79"/>
      <c r="AC252" s="130"/>
      <c r="AE252" s="106"/>
    </row>
    <row r="253">
      <c r="C253" s="79"/>
      <c r="D253" s="79"/>
      <c r="E253" s="79"/>
      <c r="O253" s="79"/>
      <c r="S253" s="79"/>
      <c r="T253" s="79"/>
      <c r="Y253" s="79"/>
      <c r="AC253" s="130"/>
      <c r="AE253" s="106"/>
    </row>
    <row r="254">
      <c r="C254" s="79"/>
      <c r="D254" s="79"/>
      <c r="E254" s="79"/>
      <c r="O254" s="79"/>
      <c r="S254" s="79"/>
      <c r="T254" s="79"/>
      <c r="Y254" s="79"/>
      <c r="AC254" s="130"/>
      <c r="AE254" s="106"/>
    </row>
    <row r="255">
      <c r="C255" s="79"/>
      <c r="D255" s="79"/>
      <c r="E255" s="79"/>
      <c r="O255" s="79"/>
      <c r="S255" s="79"/>
      <c r="T255" s="79"/>
      <c r="Y255" s="79"/>
      <c r="AC255" s="130"/>
      <c r="AE255" s="106"/>
    </row>
    <row r="256">
      <c r="C256" s="79"/>
      <c r="D256" s="79"/>
      <c r="E256" s="79"/>
      <c r="O256" s="79"/>
      <c r="S256" s="79"/>
      <c r="T256" s="79"/>
      <c r="Y256" s="79"/>
      <c r="AC256" s="130"/>
      <c r="AE256" s="106"/>
    </row>
    <row r="257">
      <c r="C257" s="79"/>
      <c r="D257" s="79"/>
      <c r="E257" s="79"/>
      <c r="O257" s="79"/>
      <c r="S257" s="79"/>
      <c r="T257" s="79"/>
      <c r="Y257" s="79"/>
      <c r="AC257" s="130"/>
      <c r="AE257" s="106"/>
    </row>
    <row r="258">
      <c r="C258" s="79"/>
      <c r="D258" s="79"/>
      <c r="E258" s="79"/>
      <c r="O258" s="79"/>
      <c r="S258" s="79"/>
      <c r="T258" s="79"/>
      <c r="Y258" s="79"/>
      <c r="AC258" s="130"/>
      <c r="AE258" s="106"/>
    </row>
    <row r="259">
      <c r="C259" s="79"/>
      <c r="D259" s="79"/>
      <c r="E259" s="79"/>
      <c r="O259" s="79"/>
      <c r="S259" s="79"/>
      <c r="T259" s="79"/>
      <c r="Y259" s="79"/>
      <c r="AC259" s="130"/>
      <c r="AE259" s="106"/>
    </row>
    <row r="260">
      <c r="C260" s="79"/>
      <c r="D260" s="79"/>
      <c r="E260" s="79"/>
      <c r="O260" s="79"/>
      <c r="S260" s="79"/>
      <c r="T260" s="79"/>
      <c r="Y260" s="79"/>
      <c r="AC260" s="130"/>
      <c r="AE260" s="106"/>
    </row>
    <row r="261">
      <c r="C261" s="79"/>
      <c r="D261" s="79"/>
      <c r="E261" s="79"/>
      <c r="O261" s="79"/>
      <c r="S261" s="79"/>
      <c r="T261" s="79"/>
      <c r="Y261" s="79"/>
      <c r="AC261" s="130"/>
      <c r="AE261" s="106"/>
    </row>
    <row r="262">
      <c r="C262" s="79"/>
      <c r="D262" s="79"/>
      <c r="E262" s="79"/>
      <c r="O262" s="79"/>
      <c r="S262" s="79"/>
      <c r="T262" s="79"/>
      <c r="Y262" s="79"/>
      <c r="AC262" s="130"/>
      <c r="AE262" s="106"/>
    </row>
    <row r="263">
      <c r="C263" s="79"/>
      <c r="D263" s="79"/>
      <c r="E263" s="79"/>
      <c r="O263" s="79"/>
      <c r="S263" s="79"/>
      <c r="T263" s="79"/>
      <c r="Y263" s="79"/>
      <c r="AC263" s="130"/>
      <c r="AE263" s="106"/>
    </row>
    <row r="264">
      <c r="C264" s="79"/>
      <c r="D264" s="79"/>
      <c r="E264" s="79"/>
      <c r="O264" s="79"/>
      <c r="S264" s="79"/>
      <c r="T264" s="79"/>
      <c r="Y264" s="79"/>
      <c r="AC264" s="130"/>
      <c r="AE264" s="106"/>
    </row>
    <row r="265">
      <c r="C265" s="79"/>
      <c r="D265" s="79"/>
      <c r="E265" s="79"/>
      <c r="O265" s="79"/>
      <c r="S265" s="79"/>
      <c r="T265" s="79"/>
      <c r="Y265" s="79"/>
      <c r="AC265" s="130"/>
      <c r="AE265" s="106"/>
    </row>
    <row r="266">
      <c r="C266" s="79"/>
      <c r="D266" s="79"/>
      <c r="E266" s="79"/>
      <c r="O266" s="79"/>
      <c r="S266" s="79"/>
      <c r="T266" s="79"/>
      <c r="Y266" s="79"/>
      <c r="AC266" s="130"/>
      <c r="AE266" s="106"/>
    </row>
    <row r="267">
      <c r="C267" s="79"/>
      <c r="D267" s="79"/>
      <c r="E267" s="79"/>
      <c r="O267" s="79"/>
      <c r="S267" s="79"/>
      <c r="T267" s="79"/>
      <c r="Y267" s="79"/>
      <c r="AC267" s="130"/>
      <c r="AE267" s="106"/>
    </row>
    <row r="268">
      <c r="C268" s="79"/>
      <c r="D268" s="79"/>
      <c r="E268" s="79"/>
      <c r="O268" s="79"/>
      <c r="S268" s="79"/>
      <c r="T268" s="79"/>
      <c r="Y268" s="79"/>
      <c r="AC268" s="130"/>
      <c r="AE268" s="106"/>
    </row>
    <row r="269">
      <c r="C269" s="79"/>
      <c r="D269" s="79"/>
      <c r="E269" s="79"/>
      <c r="O269" s="79"/>
      <c r="S269" s="79"/>
      <c r="T269" s="79"/>
      <c r="Y269" s="79"/>
      <c r="AC269" s="130"/>
      <c r="AE269" s="106"/>
    </row>
    <row r="270">
      <c r="C270" s="79"/>
      <c r="D270" s="79"/>
      <c r="E270" s="79"/>
      <c r="O270" s="79"/>
      <c r="S270" s="79"/>
      <c r="T270" s="79"/>
      <c r="Y270" s="79"/>
      <c r="AC270" s="130"/>
      <c r="AE270" s="106"/>
    </row>
    <row r="271">
      <c r="C271" s="79"/>
      <c r="D271" s="79"/>
      <c r="E271" s="79"/>
      <c r="O271" s="79"/>
      <c r="S271" s="79"/>
      <c r="T271" s="79"/>
      <c r="Y271" s="79"/>
      <c r="AC271" s="130"/>
      <c r="AE271" s="106"/>
    </row>
    <row r="272">
      <c r="C272" s="79"/>
      <c r="D272" s="79"/>
      <c r="E272" s="79"/>
      <c r="O272" s="79"/>
      <c r="S272" s="79"/>
      <c r="T272" s="79"/>
      <c r="Y272" s="79"/>
      <c r="AC272" s="130"/>
      <c r="AE272" s="106"/>
    </row>
    <row r="273">
      <c r="C273" s="79"/>
      <c r="D273" s="79"/>
      <c r="E273" s="79"/>
      <c r="O273" s="79"/>
      <c r="S273" s="79"/>
      <c r="T273" s="79"/>
      <c r="Y273" s="79"/>
      <c r="AC273" s="130"/>
      <c r="AE273" s="106"/>
    </row>
    <row r="274">
      <c r="C274" s="79"/>
      <c r="D274" s="79"/>
      <c r="E274" s="79"/>
      <c r="O274" s="79"/>
      <c r="S274" s="79"/>
      <c r="T274" s="79"/>
      <c r="Y274" s="79"/>
      <c r="AC274" s="130"/>
      <c r="AE274" s="106"/>
    </row>
    <row r="275">
      <c r="C275" s="79"/>
      <c r="D275" s="79"/>
      <c r="E275" s="79"/>
      <c r="O275" s="79"/>
      <c r="S275" s="79"/>
      <c r="T275" s="79"/>
      <c r="Y275" s="79"/>
      <c r="AC275" s="130"/>
      <c r="AE275" s="106"/>
    </row>
    <row r="276">
      <c r="C276" s="79"/>
      <c r="D276" s="79"/>
      <c r="E276" s="79"/>
      <c r="O276" s="79"/>
      <c r="S276" s="79"/>
      <c r="T276" s="79"/>
      <c r="Y276" s="79"/>
      <c r="AC276" s="130"/>
      <c r="AE276" s="106"/>
    </row>
    <row r="277">
      <c r="C277" s="79"/>
      <c r="D277" s="79"/>
      <c r="E277" s="79"/>
      <c r="O277" s="79"/>
      <c r="S277" s="79"/>
      <c r="T277" s="79"/>
      <c r="Y277" s="79"/>
      <c r="AC277" s="130"/>
      <c r="AE277" s="106"/>
    </row>
    <row r="278">
      <c r="C278" s="79"/>
      <c r="D278" s="79"/>
      <c r="E278" s="79"/>
      <c r="O278" s="79"/>
      <c r="S278" s="79"/>
      <c r="T278" s="79"/>
      <c r="Y278" s="79"/>
      <c r="AC278" s="130"/>
      <c r="AE278" s="106"/>
    </row>
    <row r="279">
      <c r="C279" s="79"/>
      <c r="D279" s="79"/>
      <c r="E279" s="79"/>
      <c r="O279" s="79"/>
      <c r="S279" s="79"/>
      <c r="T279" s="79"/>
      <c r="Y279" s="79"/>
      <c r="AC279" s="130"/>
      <c r="AE279" s="106"/>
    </row>
    <row r="280">
      <c r="C280" s="79"/>
      <c r="D280" s="79"/>
      <c r="E280" s="79"/>
      <c r="O280" s="79"/>
      <c r="S280" s="79"/>
      <c r="T280" s="79"/>
      <c r="Y280" s="79"/>
      <c r="AC280" s="130"/>
      <c r="AE280" s="106"/>
    </row>
    <row r="281">
      <c r="C281" s="79"/>
      <c r="D281" s="79"/>
      <c r="E281" s="79"/>
      <c r="O281" s="79"/>
      <c r="S281" s="79"/>
      <c r="T281" s="79"/>
      <c r="Y281" s="79"/>
      <c r="AC281" s="130"/>
      <c r="AE281" s="106"/>
    </row>
    <row r="282">
      <c r="C282" s="79"/>
      <c r="D282" s="79"/>
      <c r="E282" s="79"/>
      <c r="O282" s="79"/>
      <c r="S282" s="79"/>
      <c r="T282" s="79"/>
      <c r="Y282" s="79"/>
      <c r="AC282" s="130"/>
      <c r="AE282" s="106"/>
    </row>
    <row r="283">
      <c r="C283" s="79"/>
      <c r="D283" s="79"/>
      <c r="E283" s="79"/>
      <c r="O283" s="79"/>
      <c r="S283" s="79"/>
      <c r="T283" s="79"/>
      <c r="Y283" s="79"/>
      <c r="AC283" s="130"/>
      <c r="AE283" s="106"/>
    </row>
    <row r="284">
      <c r="C284" s="79"/>
      <c r="D284" s="79"/>
      <c r="E284" s="79"/>
      <c r="O284" s="79"/>
      <c r="S284" s="79"/>
      <c r="T284" s="79"/>
      <c r="Y284" s="79"/>
      <c r="AC284" s="130"/>
      <c r="AE284" s="106"/>
    </row>
    <row r="285">
      <c r="C285" s="79"/>
      <c r="D285" s="79"/>
      <c r="E285" s="79"/>
      <c r="O285" s="79"/>
      <c r="S285" s="79"/>
      <c r="T285" s="79"/>
      <c r="Y285" s="79"/>
      <c r="AC285" s="130"/>
      <c r="AE285" s="106"/>
    </row>
    <row r="286">
      <c r="C286" s="79"/>
      <c r="D286" s="79"/>
      <c r="E286" s="79"/>
      <c r="O286" s="79"/>
      <c r="S286" s="79"/>
      <c r="T286" s="79"/>
      <c r="Y286" s="79"/>
      <c r="AC286" s="130"/>
      <c r="AE286" s="106"/>
    </row>
    <row r="287">
      <c r="C287" s="79"/>
      <c r="D287" s="79"/>
      <c r="E287" s="79"/>
      <c r="O287" s="79"/>
      <c r="S287" s="79"/>
      <c r="T287" s="79"/>
      <c r="Y287" s="79"/>
      <c r="AC287" s="130"/>
      <c r="AE287" s="106"/>
    </row>
    <row r="288">
      <c r="C288" s="79"/>
      <c r="D288" s="79"/>
      <c r="E288" s="79"/>
      <c r="O288" s="79"/>
      <c r="S288" s="79"/>
      <c r="T288" s="79"/>
      <c r="Y288" s="79"/>
      <c r="AC288" s="130"/>
      <c r="AE288" s="106"/>
    </row>
    <row r="289">
      <c r="C289" s="79"/>
      <c r="D289" s="79"/>
      <c r="E289" s="79"/>
      <c r="O289" s="79"/>
      <c r="S289" s="79"/>
      <c r="T289" s="79"/>
      <c r="Y289" s="79"/>
      <c r="AC289" s="130"/>
      <c r="AE289" s="106"/>
    </row>
    <row r="290">
      <c r="C290" s="79"/>
      <c r="D290" s="79"/>
      <c r="E290" s="79"/>
      <c r="O290" s="79"/>
      <c r="S290" s="79"/>
      <c r="T290" s="79"/>
      <c r="Y290" s="79"/>
      <c r="AC290" s="130"/>
      <c r="AE290" s="106"/>
    </row>
    <row r="291">
      <c r="C291" s="79"/>
      <c r="D291" s="79"/>
      <c r="E291" s="79"/>
      <c r="O291" s="79"/>
      <c r="S291" s="79"/>
      <c r="T291" s="79"/>
      <c r="Y291" s="79"/>
      <c r="AC291" s="130"/>
      <c r="AE291" s="106"/>
    </row>
    <row r="292">
      <c r="C292" s="79"/>
      <c r="D292" s="79"/>
      <c r="E292" s="79"/>
      <c r="O292" s="79"/>
      <c r="S292" s="79"/>
      <c r="T292" s="79"/>
      <c r="Y292" s="79"/>
      <c r="AC292" s="130"/>
      <c r="AE292" s="106"/>
    </row>
    <row r="293">
      <c r="C293" s="79"/>
      <c r="D293" s="79"/>
      <c r="E293" s="79"/>
      <c r="O293" s="79"/>
      <c r="S293" s="79"/>
      <c r="T293" s="79"/>
      <c r="Y293" s="79"/>
      <c r="AC293" s="130"/>
      <c r="AE293" s="106"/>
    </row>
    <row r="294">
      <c r="C294" s="79"/>
      <c r="D294" s="79"/>
      <c r="E294" s="79"/>
      <c r="O294" s="79"/>
      <c r="S294" s="79"/>
      <c r="T294" s="79"/>
      <c r="Y294" s="79"/>
      <c r="AC294" s="130"/>
      <c r="AE294" s="106"/>
    </row>
    <row r="295">
      <c r="C295" s="79"/>
      <c r="D295" s="79"/>
      <c r="E295" s="79"/>
      <c r="O295" s="79"/>
      <c r="S295" s="79"/>
      <c r="T295" s="79"/>
      <c r="Y295" s="79"/>
      <c r="AC295" s="130"/>
      <c r="AE295" s="106"/>
    </row>
    <row r="296">
      <c r="C296" s="79"/>
      <c r="D296" s="79"/>
      <c r="E296" s="79"/>
      <c r="O296" s="79"/>
      <c r="S296" s="79"/>
      <c r="T296" s="79"/>
      <c r="Y296" s="79"/>
      <c r="AC296" s="130"/>
      <c r="AE296" s="106"/>
    </row>
    <row r="297">
      <c r="C297" s="79"/>
      <c r="D297" s="79"/>
      <c r="E297" s="79"/>
      <c r="O297" s="79"/>
      <c r="S297" s="79"/>
      <c r="T297" s="79"/>
      <c r="Y297" s="79"/>
      <c r="AC297" s="130"/>
      <c r="AE297" s="106"/>
    </row>
    <row r="298">
      <c r="C298" s="79"/>
      <c r="D298" s="79"/>
      <c r="E298" s="79"/>
      <c r="O298" s="79"/>
      <c r="S298" s="79"/>
      <c r="T298" s="79"/>
      <c r="Y298" s="79"/>
      <c r="AC298" s="130"/>
      <c r="AE298" s="106"/>
    </row>
    <row r="299">
      <c r="C299" s="79"/>
      <c r="D299" s="79"/>
      <c r="E299" s="79"/>
      <c r="O299" s="79"/>
      <c r="S299" s="79"/>
      <c r="T299" s="79"/>
      <c r="Y299" s="79"/>
      <c r="AC299" s="130"/>
      <c r="AE299" s="106"/>
    </row>
    <row r="300">
      <c r="C300" s="79"/>
      <c r="D300" s="79"/>
      <c r="E300" s="79"/>
      <c r="O300" s="79"/>
      <c r="S300" s="79"/>
      <c r="T300" s="79"/>
      <c r="Y300" s="79"/>
      <c r="AC300" s="130"/>
      <c r="AE300" s="106"/>
    </row>
    <row r="301">
      <c r="C301" s="79"/>
      <c r="D301" s="79"/>
      <c r="E301" s="79"/>
      <c r="O301" s="79"/>
      <c r="S301" s="79"/>
      <c r="T301" s="79"/>
      <c r="Y301" s="79"/>
      <c r="AC301" s="130"/>
      <c r="AE301" s="106"/>
    </row>
    <row r="302">
      <c r="C302" s="79"/>
      <c r="D302" s="79"/>
      <c r="E302" s="79"/>
      <c r="O302" s="79"/>
      <c r="S302" s="79"/>
      <c r="T302" s="79"/>
      <c r="Y302" s="79"/>
      <c r="AC302" s="130"/>
      <c r="AE302" s="106"/>
    </row>
    <row r="303">
      <c r="C303" s="79"/>
      <c r="D303" s="79"/>
      <c r="E303" s="79"/>
      <c r="O303" s="79"/>
      <c r="S303" s="79"/>
      <c r="T303" s="79"/>
      <c r="Y303" s="79"/>
      <c r="AC303" s="130"/>
      <c r="AE303" s="106"/>
    </row>
    <row r="304">
      <c r="C304" s="79"/>
      <c r="D304" s="79"/>
      <c r="E304" s="79"/>
      <c r="O304" s="79"/>
      <c r="S304" s="79"/>
      <c r="T304" s="79"/>
      <c r="Y304" s="79"/>
      <c r="AC304" s="130"/>
      <c r="AE304" s="106"/>
    </row>
    <row r="305">
      <c r="C305" s="79"/>
      <c r="D305" s="79"/>
      <c r="E305" s="79"/>
      <c r="O305" s="79"/>
      <c r="S305" s="79"/>
      <c r="T305" s="79"/>
      <c r="Y305" s="79"/>
      <c r="AC305" s="130"/>
      <c r="AE305" s="106"/>
    </row>
    <row r="306">
      <c r="C306" s="79"/>
      <c r="D306" s="79"/>
      <c r="E306" s="79"/>
      <c r="O306" s="79"/>
      <c r="S306" s="79"/>
      <c r="T306" s="79"/>
      <c r="Y306" s="79"/>
      <c r="AC306" s="130"/>
      <c r="AE306" s="106"/>
    </row>
    <row r="307">
      <c r="C307" s="79"/>
      <c r="D307" s="79"/>
      <c r="E307" s="79"/>
      <c r="O307" s="79"/>
      <c r="S307" s="79"/>
      <c r="T307" s="79"/>
      <c r="Y307" s="79"/>
      <c r="AC307" s="130"/>
      <c r="AE307" s="106"/>
    </row>
    <row r="308">
      <c r="C308" s="79"/>
      <c r="D308" s="79"/>
      <c r="E308" s="79"/>
      <c r="O308" s="79"/>
      <c r="S308" s="79"/>
      <c r="T308" s="79"/>
      <c r="Y308" s="79"/>
      <c r="AC308" s="130"/>
      <c r="AE308" s="106"/>
    </row>
    <row r="309">
      <c r="C309" s="79"/>
      <c r="D309" s="79"/>
      <c r="E309" s="79"/>
      <c r="O309" s="79"/>
      <c r="S309" s="79"/>
      <c r="T309" s="79"/>
      <c r="Y309" s="79"/>
      <c r="AC309" s="130"/>
      <c r="AE309" s="106"/>
    </row>
    <row r="310">
      <c r="C310" s="79"/>
      <c r="D310" s="79"/>
      <c r="E310" s="79"/>
      <c r="O310" s="79"/>
      <c r="S310" s="79"/>
      <c r="T310" s="79"/>
      <c r="Y310" s="79"/>
      <c r="AC310" s="130"/>
      <c r="AE310" s="106"/>
    </row>
    <row r="311">
      <c r="C311" s="79"/>
      <c r="D311" s="79"/>
      <c r="E311" s="79"/>
      <c r="O311" s="79"/>
      <c r="S311" s="79"/>
      <c r="T311" s="79"/>
      <c r="Y311" s="79"/>
      <c r="AC311" s="130"/>
      <c r="AE311" s="106"/>
    </row>
    <row r="312">
      <c r="C312" s="79"/>
      <c r="D312" s="79"/>
      <c r="E312" s="79"/>
      <c r="O312" s="79"/>
      <c r="S312" s="79"/>
      <c r="T312" s="79"/>
      <c r="Y312" s="79"/>
      <c r="AC312" s="130"/>
      <c r="AE312" s="106"/>
    </row>
    <row r="313">
      <c r="C313" s="79"/>
      <c r="D313" s="79"/>
      <c r="E313" s="79"/>
      <c r="O313" s="79"/>
      <c r="S313" s="79"/>
      <c r="T313" s="79"/>
      <c r="Y313" s="79"/>
      <c r="AC313" s="130"/>
      <c r="AE313" s="106"/>
    </row>
    <row r="314">
      <c r="C314" s="79"/>
      <c r="D314" s="79"/>
      <c r="E314" s="79"/>
      <c r="O314" s="79"/>
      <c r="S314" s="79"/>
      <c r="T314" s="79"/>
      <c r="Y314" s="79"/>
      <c r="AC314" s="130"/>
      <c r="AE314" s="106"/>
    </row>
    <row r="315">
      <c r="C315" s="79"/>
      <c r="D315" s="79"/>
      <c r="E315" s="79"/>
      <c r="O315" s="79"/>
      <c r="S315" s="79"/>
      <c r="T315" s="79"/>
      <c r="Y315" s="79"/>
      <c r="AC315" s="130"/>
      <c r="AE315" s="106"/>
    </row>
    <row r="316">
      <c r="C316" s="79"/>
      <c r="D316" s="79"/>
      <c r="E316" s="79"/>
      <c r="O316" s="79"/>
      <c r="S316" s="79"/>
      <c r="T316" s="79"/>
      <c r="Y316" s="79"/>
      <c r="AC316" s="130"/>
      <c r="AE316" s="106"/>
    </row>
    <row r="317">
      <c r="C317" s="79"/>
      <c r="D317" s="79"/>
      <c r="E317" s="79"/>
      <c r="O317" s="79"/>
      <c r="S317" s="79"/>
      <c r="T317" s="79"/>
      <c r="Y317" s="79"/>
      <c r="AC317" s="130"/>
      <c r="AE317" s="106"/>
    </row>
    <row r="318">
      <c r="C318" s="79"/>
      <c r="D318" s="79"/>
      <c r="E318" s="79"/>
      <c r="O318" s="79"/>
      <c r="S318" s="79"/>
      <c r="T318" s="79"/>
      <c r="Y318" s="79"/>
      <c r="AC318" s="130"/>
      <c r="AE318" s="106"/>
    </row>
    <row r="319">
      <c r="C319" s="79"/>
      <c r="D319" s="79"/>
      <c r="E319" s="79"/>
      <c r="O319" s="79"/>
      <c r="S319" s="79"/>
      <c r="T319" s="79"/>
      <c r="Y319" s="79"/>
      <c r="AC319" s="130"/>
      <c r="AE319" s="106"/>
    </row>
    <row r="320">
      <c r="C320" s="79"/>
      <c r="D320" s="79"/>
      <c r="E320" s="79"/>
      <c r="O320" s="79"/>
      <c r="S320" s="79"/>
      <c r="T320" s="79"/>
      <c r="Y320" s="79"/>
      <c r="AC320" s="130"/>
      <c r="AE320" s="106"/>
    </row>
    <row r="321">
      <c r="C321" s="79"/>
      <c r="D321" s="79"/>
      <c r="E321" s="79"/>
      <c r="O321" s="79"/>
      <c r="S321" s="79"/>
      <c r="T321" s="79"/>
      <c r="Y321" s="79"/>
      <c r="AC321" s="130"/>
      <c r="AE321" s="106"/>
    </row>
    <row r="322">
      <c r="C322" s="79"/>
      <c r="D322" s="79"/>
      <c r="E322" s="79"/>
      <c r="O322" s="79"/>
      <c r="S322" s="79"/>
      <c r="T322" s="79"/>
      <c r="Y322" s="79"/>
      <c r="AC322" s="130"/>
      <c r="AE322" s="106"/>
    </row>
    <row r="323">
      <c r="C323" s="79"/>
      <c r="D323" s="79"/>
      <c r="E323" s="79"/>
      <c r="O323" s="79"/>
      <c r="S323" s="79"/>
      <c r="T323" s="79"/>
      <c r="Y323" s="79"/>
      <c r="AC323" s="130"/>
      <c r="AE323" s="106"/>
    </row>
    <row r="324">
      <c r="C324" s="79"/>
      <c r="D324" s="79"/>
      <c r="E324" s="79"/>
      <c r="O324" s="79"/>
      <c r="S324" s="79"/>
      <c r="T324" s="79"/>
      <c r="Y324" s="79"/>
      <c r="AC324" s="130"/>
      <c r="AE324" s="106"/>
    </row>
    <row r="325">
      <c r="C325" s="79"/>
      <c r="D325" s="79"/>
      <c r="E325" s="79"/>
      <c r="O325" s="79"/>
      <c r="S325" s="79"/>
      <c r="T325" s="79"/>
      <c r="Y325" s="79"/>
      <c r="AC325" s="130"/>
      <c r="AE325" s="106"/>
    </row>
    <row r="326">
      <c r="C326" s="79"/>
      <c r="D326" s="79"/>
      <c r="E326" s="79"/>
      <c r="O326" s="79"/>
      <c r="S326" s="79"/>
      <c r="T326" s="79"/>
      <c r="Y326" s="79"/>
      <c r="AC326" s="130"/>
      <c r="AE326" s="106"/>
    </row>
    <row r="327">
      <c r="C327" s="79"/>
      <c r="D327" s="79"/>
      <c r="E327" s="79"/>
      <c r="O327" s="79"/>
      <c r="S327" s="79"/>
      <c r="T327" s="79"/>
      <c r="Y327" s="79"/>
      <c r="AC327" s="130"/>
      <c r="AE327" s="106"/>
    </row>
    <row r="328">
      <c r="C328" s="79"/>
      <c r="D328" s="79"/>
      <c r="E328" s="79"/>
      <c r="O328" s="79"/>
      <c r="S328" s="79"/>
      <c r="T328" s="79"/>
      <c r="Y328" s="79"/>
      <c r="AC328" s="130"/>
      <c r="AE328" s="106"/>
    </row>
    <row r="329">
      <c r="C329" s="79"/>
      <c r="D329" s="79"/>
      <c r="E329" s="79"/>
      <c r="O329" s="79"/>
      <c r="S329" s="79"/>
      <c r="T329" s="79"/>
      <c r="Y329" s="79"/>
      <c r="AC329" s="130"/>
      <c r="AE329" s="106"/>
    </row>
    <row r="330">
      <c r="C330" s="79"/>
      <c r="D330" s="79"/>
      <c r="E330" s="79"/>
      <c r="O330" s="79"/>
      <c r="S330" s="79"/>
      <c r="T330" s="79"/>
      <c r="Y330" s="79"/>
      <c r="AC330" s="130"/>
      <c r="AE330" s="106"/>
    </row>
    <row r="331">
      <c r="C331" s="79"/>
      <c r="D331" s="79"/>
      <c r="E331" s="79"/>
      <c r="O331" s="79"/>
      <c r="S331" s="79"/>
      <c r="T331" s="79"/>
      <c r="Y331" s="79"/>
      <c r="AC331" s="130"/>
      <c r="AE331" s="106"/>
    </row>
    <row r="332">
      <c r="C332" s="79"/>
      <c r="D332" s="79"/>
      <c r="E332" s="79"/>
      <c r="O332" s="79"/>
      <c r="S332" s="79"/>
      <c r="T332" s="79"/>
      <c r="Y332" s="79"/>
      <c r="AC332" s="130"/>
      <c r="AE332" s="106"/>
    </row>
    <row r="333">
      <c r="C333" s="79"/>
      <c r="D333" s="79"/>
      <c r="E333" s="79"/>
      <c r="O333" s="79"/>
      <c r="S333" s="79"/>
      <c r="T333" s="79"/>
      <c r="Y333" s="79"/>
      <c r="AC333" s="130"/>
      <c r="AE333" s="106"/>
    </row>
    <row r="334">
      <c r="C334" s="79"/>
      <c r="D334" s="79"/>
      <c r="E334" s="79"/>
      <c r="O334" s="79"/>
      <c r="S334" s="79"/>
      <c r="T334" s="79"/>
      <c r="Y334" s="79"/>
      <c r="AC334" s="130"/>
      <c r="AE334" s="106"/>
    </row>
    <row r="335">
      <c r="C335" s="79"/>
      <c r="D335" s="79"/>
      <c r="E335" s="79"/>
      <c r="O335" s="79"/>
      <c r="S335" s="79"/>
      <c r="T335" s="79"/>
      <c r="Y335" s="79"/>
      <c r="AC335" s="130"/>
      <c r="AE335" s="106"/>
    </row>
    <row r="336">
      <c r="C336" s="79"/>
      <c r="D336" s="79"/>
      <c r="E336" s="79"/>
      <c r="O336" s="79"/>
      <c r="S336" s="79"/>
      <c r="T336" s="79"/>
      <c r="Y336" s="79"/>
      <c r="AC336" s="130"/>
      <c r="AE336" s="106"/>
    </row>
    <row r="337">
      <c r="C337" s="79"/>
      <c r="D337" s="79"/>
      <c r="E337" s="79"/>
      <c r="O337" s="79"/>
      <c r="S337" s="79"/>
      <c r="T337" s="79"/>
      <c r="Y337" s="79"/>
      <c r="AC337" s="130"/>
      <c r="AE337" s="106"/>
    </row>
    <row r="338">
      <c r="C338" s="79"/>
      <c r="D338" s="79"/>
      <c r="E338" s="79"/>
      <c r="O338" s="79"/>
      <c r="S338" s="79"/>
      <c r="T338" s="79"/>
      <c r="Y338" s="79"/>
      <c r="AC338" s="130"/>
      <c r="AE338" s="106"/>
    </row>
    <row r="339">
      <c r="C339" s="79"/>
      <c r="D339" s="79"/>
      <c r="E339" s="79"/>
      <c r="O339" s="79"/>
      <c r="S339" s="79"/>
      <c r="T339" s="79"/>
      <c r="Y339" s="79"/>
      <c r="AC339" s="130"/>
      <c r="AE339" s="106"/>
    </row>
    <row r="340">
      <c r="C340" s="79"/>
      <c r="D340" s="79"/>
      <c r="E340" s="79"/>
      <c r="O340" s="79"/>
      <c r="S340" s="79"/>
      <c r="T340" s="79"/>
      <c r="Y340" s="79"/>
      <c r="AC340" s="130"/>
      <c r="AE340" s="106"/>
    </row>
    <row r="341">
      <c r="C341" s="79"/>
      <c r="D341" s="79"/>
      <c r="E341" s="79"/>
      <c r="O341" s="79"/>
      <c r="S341" s="79"/>
      <c r="T341" s="79"/>
      <c r="Y341" s="79"/>
      <c r="AC341" s="130"/>
      <c r="AE341" s="106"/>
    </row>
    <row r="342">
      <c r="C342" s="79"/>
      <c r="D342" s="79"/>
      <c r="E342" s="79"/>
      <c r="O342" s="79"/>
      <c r="S342" s="79"/>
      <c r="T342" s="79"/>
      <c r="Y342" s="79"/>
      <c r="AC342" s="130"/>
      <c r="AE342" s="106"/>
    </row>
    <row r="343">
      <c r="C343" s="79"/>
      <c r="D343" s="79"/>
      <c r="E343" s="79"/>
      <c r="O343" s="79"/>
      <c r="S343" s="79"/>
      <c r="T343" s="79"/>
      <c r="Y343" s="79"/>
      <c r="AC343" s="130"/>
      <c r="AE343" s="106"/>
    </row>
    <row r="344">
      <c r="C344" s="79"/>
      <c r="D344" s="79"/>
      <c r="E344" s="79"/>
      <c r="O344" s="79"/>
      <c r="S344" s="79"/>
      <c r="T344" s="79"/>
      <c r="Y344" s="79"/>
      <c r="AC344" s="130"/>
      <c r="AE344" s="106"/>
    </row>
    <row r="345">
      <c r="C345" s="79"/>
      <c r="D345" s="79"/>
      <c r="E345" s="79"/>
      <c r="O345" s="79"/>
      <c r="S345" s="79"/>
      <c r="T345" s="79"/>
      <c r="Y345" s="79"/>
      <c r="AC345" s="130"/>
      <c r="AE345" s="106"/>
    </row>
    <row r="346">
      <c r="C346" s="79"/>
      <c r="D346" s="79"/>
      <c r="E346" s="79"/>
      <c r="O346" s="79"/>
      <c r="S346" s="79"/>
      <c r="T346" s="79"/>
      <c r="Y346" s="79"/>
      <c r="AC346" s="130"/>
      <c r="AE346" s="106"/>
    </row>
    <row r="347">
      <c r="C347" s="79"/>
      <c r="D347" s="79"/>
      <c r="E347" s="79"/>
      <c r="O347" s="79"/>
      <c r="S347" s="79"/>
      <c r="T347" s="79"/>
      <c r="Y347" s="79"/>
      <c r="AC347" s="130"/>
      <c r="AE347" s="106"/>
    </row>
    <row r="348">
      <c r="C348" s="79"/>
      <c r="D348" s="79"/>
      <c r="E348" s="79"/>
      <c r="O348" s="79"/>
      <c r="S348" s="79"/>
      <c r="T348" s="79"/>
      <c r="Y348" s="79"/>
      <c r="AC348" s="130"/>
      <c r="AE348" s="106"/>
    </row>
    <row r="349">
      <c r="C349" s="79"/>
      <c r="D349" s="79"/>
      <c r="E349" s="79"/>
      <c r="O349" s="79"/>
      <c r="S349" s="79"/>
      <c r="T349" s="79"/>
      <c r="Y349" s="79"/>
      <c r="AC349" s="130"/>
      <c r="AE349" s="106"/>
    </row>
    <row r="350">
      <c r="C350" s="79"/>
      <c r="D350" s="79"/>
      <c r="E350" s="79"/>
      <c r="O350" s="79"/>
      <c r="S350" s="79"/>
      <c r="T350" s="79"/>
      <c r="Y350" s="79"/>
      <c r="AC350" s="130"/>
      <c r="AE350" s="106"/>
    </row>
    <row r="351">
      <c r="C351" s="79"/>
      <c r="D351" s="79"/>
      <c r="E351" s="79"/>
      <c r="O351" s="79"/>
      <c r="S351" s="79"/>
      <c r="T351" s="79"/>
      <c r="Y351" s="79"/>
      <c r="AC351" s="130"/>
      <c r="AE351" s="106"/>
    </row>
    <row r="352">
      <c r="C352" s="79"/>
      <c r="D352" s="79"/>
      <c r="E352" s="79"/>
      <c r="O352" s="79"/>
      <c r="S352" s="79"/>
      <c r="T352" s="79"/>
      <c r="Y352" s="79"/>
      <c r="AC352" s="130"/>
      <c r="AE352" s="106"/>
    </row>
    <row r="353">
      <c r="C353" s="79"/>
      <c r="D353" s="79"/>
      <c r="E353" s="79"/>
      <c r="O353" s="79"/>
      <c r="S353" s="79"/>
      <c r="T353" s="79"/>
      <c r="Y353" s="79"/>
      <c r="AC353" s="130"/>
      <c r="AE353" s="106"/>
    </row>
    <row r="354">
      <c r="C354" s="79"/>
      <c r="D354" s="79"/>
      <c r="E354" s="79"/>
      <c r="O354" s="79"/>
      <c r="S354" s="79"/>
      <c r="T354" s="79"/>
      <c r="Y354" s="79"/>
      <c r="AC354" s="130"/>
      <c r="AE354" s="106"/>
    </row>
    <row r="355">
      <c r="C355" s="79"/>
      <c r="D355" s="79"/>
      <c r="E355" s="79"/>
      <c r="O355" s="79"/>
      <c r="S355" s="79"/>
      <c r="T355" s="79"/>
      <c r="Y355" s="79"/>
      <c r="AC355" s="130"/>
      <c r="AE355" s="106"/>
    </row>
    <row r="356">
      <c r="C356" s="79"/>
      <c r="D356" s="79"/>
      <c r="E356" s="79"/>
      <c r="O356" s="79"/>
      <c r="S356" s="79"/>
      <c r="T356" s="79"/>
      <c r="Y356" s="79"/>
      <c r="AC356" s="130"/>
      <c r="AE356" s="106"/>
    </row>
    <row r="357">
      <c r="C357" s="79"/>
      <c r="D357" s="79"/>
      <c r="E357" s="79"/>
      <c r="O357" s="79"/>
      <c r="S357" s="79"/>
      <c r="T357" s="79"/>
      <c r="Y357" s="79"/>
      <c r="AC357" s="130"/>
      <c r="AE357" s="106"/>
    </row>
    <row r="358">
      <c r="C358" s="79"/>
      <c r="D358" s="79"/>
      <c r="E358" s="79"/>
      <c r="O358" s="79"/>
      <c r="S358" s="79"/>
      <c r="T358" s="79"/>
      <c r="Y358" s="79"/>
      <c r="AC358" s="130"/>
      <c r="AE358" s="106"/>
    </row>
    <row r="359">
      <c r="C359" s="79"/>
      <c r="D359" s="79"/>
      <c r="E359" s="79"/>
      <c r="O359" s="79"/>
      <c r="S359" s="79"/>
      <c r="T359" s="79"/>
      <c r="Y359" s="79"/>
      <c r="AC359" s="130"/>
      <c r="AE359" s="106"/>
    </row>
    <row r="360">
      <c r="C360" s="79"/>
      <c r="D360" s="79"/>
      <c r="E360" s="79"/>
      <c r="O360" s="79"/>
      <c r="S360" s="79"/>
      <c r="T360" s="79"/>
      <c r="Y360" s="79"/>
      <c r="AC360" s="130"/>
      <c r="AE360" s="106"/>
    </row>
    <row r="361">
      <c r="C361" s="79"/>
      <c r="D361" s="79"/>
      <c r="E361" s="79"/>
      <c r="O361" s="79"/>
      <c r="S361" s="79"/>
      <c r="T361" s="79"/>
      <c r="Y361" s="79"/>
      <c r="AC361" s="130"/>
      <c r="AE361" s="106"/>
    </row>
    <row r="362">
      <c r="C362" s="79"/>
      <c r="D362" s="79"/>
      <c r="E362" s="79"/>
      <c r="O362" s="79"/>
      <c r="S362" s="79"/>
      <c r="T362" s="79"/>
      <c r="Y362" s="79"/>
      <c r="AC362" s="130"/>
      <c r="AE362" s="106"/>
    </row>
    <row r="363">
      <c r="C363" s="79"/>
      <c r="D363" s="79"/>
      <c r="E363" s="79"/>
      <c r="O363" s="79"/>
      <c r="S363" s="79"/>
      <c r="T363" s="79"/>
      <c r="Y363" s="79"/>
      <c r="AC363" s="130"/>
      <c r="AE363" s="106"/>
    </row>
    <row r="364">
      <c r="C364" s="79"/>
      <c r="D364" s="79"/>
      <c r="E364" s="79"/>
      <c r="O364" s="79"/>
      <c r="S364" s="79"/>
      <c r="T364" s="79"/>
      <c r="Y364" s="79"/>
      <c r="AC364" s="130"/>
      <c r="AE364" s="106"/>
    </row>
    <row r="365">
      <c r="C365" s="79"/>
      <c r="D365" s="79"/>
      <c r="E365" s="79"/>
      <c r="O365" s="79"/>
      <c r="S365" s="79"/>
      <c r="T365" s="79"/>
      <c r="Y365" s="79"/>
      <c r="AC365" s="130"/>
      <c r="AE365" s="106"/>
    </row>
    <row r="366">
      <c r="C366" s="79"/>
      <c r="D366" s="79"/>
      <c r="E366" s="79"/>
      <c r="O366" s="79"/>
      <c r="S366" s="79"/>
      <c r="T366" s="79"/>
      <c r="Y366" s="79"/>
      <c r="AC366" s="130"/>
      <c r="AE366" s="106"/>
    </row>
    <row r="367">
      <c r="C367" s="79"/>
      <c r="D367" s="79"/>
      <c r="E367" s="79"/>
      <c r="O367" s="79"/>
      <c r="S367" s="79"/>
      <c r="T367" s="79"/>
      <c r="Y367" s="79"/>
      <c r="AC367" s="130"/>
      <c r="AE367" s="106"/>
    </row>
    <row r="368">
      <c r="C368" s="79"/>
      <c r="D368" s="79"/>
      <c r="E368" s="79"/>
      <c r="O368" s="79"/>
      <c r="S368" s="79"/>
      <c r="T368" s="79"/>
      <c r="Y368" s="79"/>
      <c r="AC368" s="130"/>
      <c r="AE368" s="106"/>
    </row>
    <row r="369">
      <c r="C369" s="79"/>
      <c r="D369" s="79"/>
      <c r="E369" s="79"/>
      <c r="O369" s="79"/>
      <c r="S369" s="79"/>
      <c r="T369" s="79"/>
      <c r="Y369" s="79"/>
      <c r="AC369" s="130"/>
      <c r="AE369" s="106"/>
    </row>
    <row r="370">
      <c r="C370" s="79"/>
      <c r="D370" s="79"/>
      <c r="E370" s="79"/>
      <c r="O370" s="79"/>
      <c r="S370" s="79"/>
      <c r="T370" s="79"/>
      <c r="Y370" s="79"/>
      <c r="AC370" s="130"/>
      <c r="AE370" s="106"/>
    </row>
    <row r="371">
      <c r="C371" s="79"/>
      <c r="D371" s="79"/>
      <c r="E371" s="79"/>
      <c r="O371" s="79"/>
      <c r="S371" s="79"/>
      <c r="T371" s="79"/>
      <c r="Y371" s="79"/>
      <c r="AC371" s="130"/>
      <c r="AE371" s="106"/>
    </row>
    <row r="372">
      <c r="C372" s="79"/>
      <c r="D372" s="79"/>
      <c r="E372" s="79"/>
      <c r="O372" s="79"/>
      <c r="S372" s="79"/>
      <c r="T372" s="79"/>
      <c r="Y372" s="79"/>
      <c r="AC372" s="130"/>
      <c r="AE372" s="106"/>
    </row>
    <row r="373">
      <c r="C373" s="79"/>
      <c r="D373" s="79"/>
      <c r="E373" s="79"/>
      <c r="O373" s="79"/>
      <c r="S373" s="79"/>
      <c r="T373" s="79"/>
      <c r="Y373" s="79"/>
      <c r="AC373" s="130"/>
      <c r="AE373" s="106"/>
    </row>
    <row r="374">
      <c r="C374" s="79"/>
      <c r="D374" s="79"/>
      <c r="E374" s="79"/>
      <c r="O374" s="79"/>
      <c r="S374" s="79"/>
      <c r="T374" s="79"/>
      <c r="Y374" s="79"/>
      <c r="AC374" s="130"/>
      <c r="AE374" s="106"/>
    </row>
    <row r="375">
      <c r="C375" s="79"/>
      <c r="D375" s="79"/>
      <c r="E375" s="79"/>
      <c r="O375" s="79"/>
      <c r="S375" s="79"/>
      <c r="T375" s="79"/>
      <c r="Y375" s="79"/>
      <c r="AC375" s="130"/>
      <c r="AE375" s="106"/>
    </row>
    <row r="376">
      <c r="C376" s="79"/>
      <c r="D376" s="79"/>
      <c r="E376" s="79"/>
      <c r="O376" s="79"/>
      <c r="S376" s="79"/>
      <c r="T376" s="79"/>
      <c r="Y376" s="79"/>
      <c r="AC376" s="130"/>
      <c r="AE376" s="106"/>
    </row>
    <row r="377">
      <c r="C377" s="79"/>
      <c r="D377" s="79"/>
      <c r="E377" s="79"/>
      <c r="O377" s="79"/>
      <c r="S377" s="79"/>
      <c r="T377" s="79"/>
      <c r="Y377" s="79"/>
      <c r="AC377" s="130"/>
      <c r="AE377" s="106"/>
    </row>
    <row r="378">
      <c r="C378" s="79"/>
      <c r="D378" s="79"/>
      <c r="E378" s="79"/>
      <c r="O378" s="79"/>
      <c r="S378" s="79"/>
      <c r="T378" s="79"/>
      <c r="Y378" s="79"/>
      <c r="AC378" s="130"/>
      <c r="AE378" s="106"/>
    </row>
    <row r="379">
      <c r="C379" s="79"/>
      <c r="D379" s="79"/>
      <c r="E379" s="79"/>
      <c r="O379" s="79"/>
      <c r="S379" s="79"/>
      <c r="T379" s="79"/>
      <c r="Y379" s="79"/>
      <c r="AC379" s="130"/>
      <c r="AE379" s="106"/>
    </row>
    <row r="380">
      <c r="C380" s="79"/>
      <c r="D380" s="79"/>
      <c r="E380" s="79"/>
      <c r="O380" s="79"/>
      <c r="S380" s="79"/>
      <c r="T380" s="79"/>
      <c r="Y380" s="79"/>
      <c r="AC380" s="130"/>
      <c r="AE380" s="106"/>
    </row>
    <row r="381">
      <c r="C381" s="79"/>
      <c r="D381" s="79"/>
      <c r="E381" s="79"/>
      <c r="O381" s="79"/>
      <c r="S381" s="79"/>
      <c r="T381" s="79"/>
      <c r="Y381" s="79"/>
      <c r="AC381" s="130"/>
      <c r="AE381" s="106"/>
    </row>
    <row r="382">
      <c r="C382" s="79"/>
      <c r="D382" s="79"/>
      <c r="E382" s="79"/>
      <c r="O382" s="79"/>
      <c r="S382" s="79"/>
      <c r="T382" s="79"/>
      <c r="Y382" s="79"/>
      <c r="AC382" s="130"/>
      <c r="AE382" s="106"/>
    </row>
    <row r="383">
      <c r="C383" s="79"/>
      <c r="D383" s="79"/>
      <c r="E383" s="79"/>
      <c r="O383" s="79"/>
      <c r="S383" s="79"/>
      <c r="T383" s="79"/>
      <c r="Y383" s="79"/>
      <c r="AC383" s="130"/>
      <c r="AE383" s="106"/>
    </row>
    <row r="384">
      <c r="C384" s="79"/>
      <c r="D384" s="79"/>
      <c r="E384" s="79"/>
      <c r="O384" s="79"/>
      <c r="S384" s="79"/>
      <c r="T384" s="79"/>
      <c r="Y384" s="79"/>
      <c r="AC384" s="130"/>
      <c r="AE384" s="106"/>
    </row>
    <row r="385">
      <c r="C385" s="79"/>
      <c r="D385" s="79"/>
      <c r="E385" s="79"/>
      <c r="O385" s="79"/>
      <c r="S385" s="79"/>
      <c r="T385" s="79"/>
      <c r="Y385" s="79"/>
      <c r="AC385" s="130"/>
      <c r="AE385" s="106"/>
    </row>
    <row r="386">
      <c r="C386" s="79"/>
      <c r="D386" s="79"/>
      <c r="E386" s="79"/>
      <c r="O386" s="79"/>
      <c r="S386" s="79"/>
      <c r="T386" s="79"/>
      <c r="Y386" s="79"/>
      <c r="AC386" s="130"/>
      <c r="AE386" s="106"/>
    </row>
    <row r="387">
      <c r="C387" s="79"/>
      <c r="D387" s="79"/>
      <c r="E387" s="79"/>
      <c r="O387" s="79"/>
      <c r="S387" s="79"/>
      <c r="T387" s="79"/>
      <c r="Y387" s="79"/>
      <c r="AC387" s="130"/>
      <c r="AE387" s="106"/>
    </row>
    <row r="388">
      <c r="C388" s="79"/>
      <c r="D388" s="79"/>
      <c r="E388" s="79"/>
      <c r="O388" s="79"/>
      <c r="S388" s="79"/>
      <c r="T388" s="79"/>
      <c r="Y388" s="79"/>
      <c r="AC388" s="130"/>
      <c r="AE388" s="106"/>
    </row>
    <row r="389">
      <c r="C389" s="79"/>
      <c r="D389" s="79"/>
      <c r="E389" s="79"/>
      <c r="O389" s="79"/>
      <c r="S389" s="79"/>
      <c r="T389" s="79"/>
      <c r="Y389" s="79"/>
      <c r="AC389" s="130"/>
      <c r="AE389" s="106"/>
    </row>
    <row r="390">
      <c r="C390" s="79"/>
      <c r="D390" s="79"/>
      <c r="E390" s="79"/>
      <c r="O390" s="79"/>
      <c r="S390" s="79"/>
      <c r="T390" s="79"/>
      <c r="Y390" s="79"/>
      <c r="AC390" s="130"/>
      <c r="AE390" s="106"/>
    </row>
    <row r="391">
      <c r="C391" s="79"/>
      <c r="D391" s="79"/>
      <c r="E391" s="79"/>
      <c r="O391" s="79"/>
      <c r="S391" s="79"/>
      <c r="T391" s="79"/>
      <c r="Y391" s="79"/>
      <c r="AC391" s="130"/>
      <c r="AE391" s="106"/>
    </row>
    <row r="392">
      <c r="C392" s="79"/>
      <c r="D392" s="79"/>
      <c r="E392" s="79"/>
      <c r="O392" s="79"/>
      <c r="S392" s="79"/>
      <c r="T392" s="79"/>
      <c r="Y392" s="79"/>
      <c r="AC392" s="130"/>
      <c r="AE392" s="106"/>
    </row>
    <row r="393">
      <c r="C393" s="79"/>
      <c r="D393" s="79"/>
      <c r="E393" s="79"/>
      <c r="O393" s="79"/>
      <c r="S393" s="79"/>
      <c r="T393" s="79"/>
      <c r="Y393" s="79"/>
      <c r="AC393" s="130"/>
      <c r="AE393" s="106"/>
    </row>
    <row r="394">
      <c r="C394" s="79"/>
      <c r="D394" s="79"/>
      <c r="E394" s="79"/>
      <c r="O394" s="79"/>
      <c r="S394" s="79"/>
      <c r="T394" s="79"/>
      <c r="Y394" s="79"/>
      <c r="AC394" s="130"/>
      <c r="AE394" s="106"/>
    </row>
    <row r="395">
      <c r="C395" s="79"/>
      <c r="D395" s="79"/>
      <c r="E395" s="79"/>
      <c r="O395" s="79"/>
      <c r="S395" s="79"/>
      <c r="T395" s="79"/>
      <c r="Y395" s="79"/>
      <c r="AC395" s="130"/>
      <c r="AE395" s="106"/>
    </row>
    <row r="396">
      <c r="C396" s="79"/>
      <c r="D396" s="79"/>
      <c r="E396" s="79"/>
      <c r="O396" s="79"/>
      <c r="S396" s="79"/>
      <c r="T396" s="79"/>
      <c r="Y396" s="79"/>
      <c r="AC396" s="130"/>
      <c r="AE396" s="106"/>
    </row>
    <row r="397">
      <c r="C397" s="79"/>
      <c r="D397" s="79"/>
      <c r="E397" s="79"/>
      <c r="O397" s="79"/>
      <c r="S397" s="79"/>
      <c r="T397" s="79"/>
      <c r="Y397" s="79"/>
      <c r="AC397" s="130"/>
      <c r="AE397" s="106"/>
    </row>
    <row r="398">
      <c r="C398" s="79"/>
      <c r="D398" s="79"/>
      <c r="E398" s="79"/>
      <c r="O398" s="79"/>
      <c r="S398" s="79"/>
      <c r="T398" s="79"/>
      <c r="Y398" s="79"/>
      <c r="AC398" s="130"/>
      <c r="AE398" s="106"/>
    </row>
    <row r="399">
      <c r="C399" s="79"/>
      <c r="D399" s="79"/>
      <c r="E399" s="79"/>
      <c r="O399" s="79"/>
      <c r="S399" s="79"/>
      <c r="T399" s="79"/>
      <c r="Y399" s="79"/>
      <c r="AC399" s="130"/>
      <c r="AE399" s="106"/>
    </row>
    <row r="400">
      <c r="C400" s="79"/>
      <c r="D400" s="79"/>
      <c r="E400" s="79"/>
      <c r="O400" s="79"/>
      <c r="S400" s="79"/>
      <c r="T400" s="79"/>
      <c r="Y400" s="79"/>
      <c r="AC400" s="130"/>
      <c r="AE400" s="106"/>
    </row>
    <row r="401">
      <c r="C401" s="79"/>
      <c r="D401" s="79"/>
      <c r="E401" s="79"/>
      <c r="O401" s="79"/>
      <c r="S401" s="79"/>
      <c r="T401" s="79"/>
      <c r="Y401" s="79"/>
      <c r="AC401" s="130"/>
      <c r="AE401" s="106"/>
    </row>
    <row r="402">
      <c r="C402" s="79"/>
      <c r="D402" s="79"/>
      <c r="E402" s="79"/>
      <c r="O402" s="79"/>
      <c r="S402" s="79"/>
      <c r="T402" s="79"/>
      <c r="Y402" s="79"/>
      <c r="AC402" s="130"/>
      <c r="AE402" s="106"/>
    </row>
    <row r="403">
      <c r="C403" s="79"/>
      <c r="D403" s="79"/>
      <c r="E403" s="79"/>
      <c r="O403" s="79"/>
      <c r="S403" s="79"/>
      <c r="T403" s="79"/>
      <c r="Y403" s="79"/>
      <c r="AC403" s="130"/>
      <c r="AE403" s="106"/>
    </row>
    <row r="404">
      <c r="C404" s="79"/>
      <c r="D404" s="79"/>
      <c r="E404" s="79"/>
      <c r="O404" s="79"/>
      <c r="S404" s="79"/>
      <c r="T404" s="79"/>
      <c r="Y404" s="79"/>
      <c r="AC404" s="130"/>
      <c r="AE404" s="106"/>
    </row>
    <row r="405">
      <c r="C405" s="79"/>
      <c r="D405" s="79"/>
      <c r="E405" s="79"/>
      <c r="O405" s="79"/>
      <c r="S405" s="79"/>
      <c r="T405" s="79"/>
      <c r="Y405" s="79"/>
      <c r="AC405" s="130"/>
      <c r="AE405" s="106"/>
    </row>
    <row r="406">
      <c r="C406" s="79"/>
      <c r="D406" s="79"/>
      <c r="E406" s="79"/>
      <c r="O406" s="79"/>
      <c r="S406" s="79"/>
      <c r="T406" s="79"/>
      <c r="Y406" s="79"/>
      <c r="AC406" s="130"/>
      <c r="AE406" s="106"/>
    </row>
    <row r="407">
      <c r="C407" s="79"/>
      <c r="D407" s="79"/>
      <c r="E407" s="79"/>
      <c r="O407" s="79"/>
      <c r="S407" s="79"/>
      <c r="T407" s="79"/>
      <c r="Y407" s="79"/>
      <c r="AC407" s="130"/>
      <c r="AE407" s="106"/>
    </row>
    <row r="408">
      <c r="C408" s="79"/>
      <c r="D408" s="79"/>
      <c r="E408" s="79"/>
      <c r="O408" s="79"/>
      <c r="S408" s="79"/>
      <c r="T408" s="79"/>
      <c r="Y408" s="79"/>
      <c r="AC408" s="130"/>
      <c r="AE408" s="106"/>
    </row>
    <row r="409">
      <c r="C409" s="79"/>
      <c r="D409" s="79"/>
      <c r="E409" s="79"/>
      <c r="O409" s="79"/>
      <c r="S409" s="79"/>
      <c r="T409" s="79"/>
      <c r="Y409" s="79"/>
      <c r="AC409" s="130"/>
      <c r="AE409" s="106"/>
    </row>
    <row r="410">
      <c r="C410" s="79"/>
      <c r="D410" s="79"/>
      <c r="E410" s="79"/>
      <c r="O410" s="79"/>
      <c r="S410" s="79"/>
      <c r="T410" s="79"/>
      <c r="Y410" s="79"/>
      <c r="AC410" s="130"/>
      <c r="AE410" s="106"/>
    </row>
    <row r="411">
      <c r="C411" s="79"/>
      <c r="D411" s="79"/>
      <c r="E411" s="79"/>
      <c r="O411" s="79"/>
      <c r="S411" s="79"/>
      <c r="T411" s="79"/>
      <c r="Y411" s="79"/>
      <c r="AC411" s="130"/>
      <c r="AE411" s="106"/>
    </row>
    <row r="412">
      <c r="C412" s="79"/>
      <c r="D412" s="79"/>
      <c r="E412" s="79"/>
      <c r="O412" s="79"/>
      <c r="S412" s="79"/>
      <c r="T412" s="79"/>
      <c r="Y412" s="79"/>
      <c r="AC412" s="130"/>
      <c r="AE412" s="106"/>
    </row>
    <row r="413">
      <c r="C413" s="79"/>
      <c r="D413" s="79"/>
      <c r="E413" s="79"/>
      <c r="O413" s="79"/>
      <c r="S413" s="79"/>
      <c r="T413" s="79"/>
      <c r="Y413" s="79"/>
      <c r="AC413" s="130"/>
      <c r="AE413" s="106"/>
    </row>
    <row r="414">
      <c r="C414" s="79"/>
      <c r="D414" s="79"/>
      <c r="E414" s="79"/>
      <c r="O414" s="79"/>
      <c r="S414" s="79"/>
      <c r="T414" s="79"/>
      <c r="Y414" s="79"/>
      <c r="AC414" s="130"/>
      <c r="AE414" s="106"/>
    </row>
    <row r="415">
      <c r="C415" s="79"/>
      <c r="D415" s="79"/>
      <c r="E415" s="79"/>
      <c r="O415" s="79"/>
      <c r="S415" s="79"/>
      <c r="T415" s="79"/>
      <c r="Y415" s="79"/>
      <c r="AC415" s="130"/>
      <c r="AE415" s="106"/>
    </row>
    <row r="416">
      <c r="C416" s="79"/>
      <c r="D416" s="79"/>
      <c r="E416" s="79"/>
      <c r="O416" s="79"/>
      <c r="S416" s="79"/>
      <c r="T416" s="79"/>
      <c r="Y416" s="79"/>
      <c r="AC416" s="130"/>
      <c r="AE416" s="106"/>
    </row>
    <row r="417">
      <c r="C417" s="79"/>
      <c r="D417" s="79"/>
      <c r="E417" s="79"/>
      <c r="O417" s="79"/>
      <c r="S417" s="79"/>
      <c r="T417" s="79"/>
      <c r="Y417" s="79"/>
      <c r="AC417" s="130"/>
      <c r="AE417" s="106"/>
    </row>
    <row r="418">
      <c r="C418" s="79"/>
      <c r="D418" s="79"/>
      <c r="E418" s="79"/>
      <c r="O418" s="79"/>
      <c r="S418" s="79"/>
      <c r="T418" s="79"/>
      <c r="Y418" s="79"/>
      <c r="AC418" s="130"/>
      <c r="AE418" s="106"/>
    </row>
    <row r="419">
      <c r="C419" s="79"/>
      <c r="D419" s="79"/>
      <c r="E419" s="79"/>
      <c r="O419" s="79"/>
      <c r="S419" s="79"/>
      <c r="T419" s="79"/>
      <c r="Y419" s="79"/>
      <c r="AC419" s="130"/>
      <c r="AE419" s="106"/>
    </row>
    <row r="420">
      <c r="C420" s="79"/>
      <c r="D420" s="79"/>
      <c r="E420" s="79"/>
      <c r="O420" s="79"/>
      <c r="S420" s="79"/>
      <c r="T420" s="79"/>
      <c r="Y420" s="79"/>
      <c r="AC420" s="130"/>
      <c r="AE420" s="106"/>
    </row>
    <row r="421">
      <c r="C421" s="79"/>
      <c r="D421" s="79"/>
      <c r="E421" s="79"/>
      <c r="O421" s="79"/>
      <c r="S421" s="79"/>
      <c r="T421" s="79"/>
      <c r="Y421" s="79"/>
      <c r="AC421" s="130"/>
      <c r="AE421" s="106"/>
    </row>
    <row r="422">
      <c r="C422" s="79"/>
      <c r="D422" s="79"/>
      <c r="E422" s="79"/>
      <c r="O422" s="79"/>
      <c r="S422" s="79"/>
      <c r="T422" s="79"/>
      <c r="Y422" s="79"/>
      <c r="AC422" s="130"/>
      <c r="AE422" s="106"/>
    </row>
    <row r="423">
      <c r="C423" s="79"/>
      <c r="D423" s="79"/>
      <c r="E423" s="79"/>
      <c r="O423" s="79"/>
      <c r="S423" s="79"/>
      <c r="T423" s="79"/>
      <c r="Y423" s="79"/>
      <c r="AC423" s="130"/>
      <c r="AE423" s="106"/>
    </row>
    <row r="424">
      <c r="C424" s="79"/>
      <c r="D424" s="79"/>
      <c r="E424" s="79"/>
      <c r="O424" s="79"/>
      <c r="S424" s="79"/>
      <c r="T424" s="79"/>
      <c r="Y424" s="79"/>
      <c r="AC424" s="130"/>
      <c r="AE424" s="106"/>
    </row>
    <row r="425">
      <c r="C425" s="79"/>
      <c r="D425" s="79"/>
      <c r="E425" s="79"/>
      <c r="O425" s="79"/>
      <c r="S425" s="79"/>
      <c r="T425" s="79"/>
      <c r="Y425" s="79"/>
      <c r="AC425" s="130"/>
      <c r="AE425" s="106"/>
    </row>
    <row r="426">
      <c r="C426" s="79"/>
      <c r="D426" s="79"/>
      <c r="E426" s="79"/>
      <c r="O426" s="79"/>
      <c r="S426" s="79"/>
      <c r="T426" s="79"/>
      <c r="Y426" s="79"/>
      <c r="AC426" s="130"/>
      <c r="AE426" s="106"/>
    </row>
    <row r="427">
      <c r="C427" s="79"/>
      <c r="D427" s="79"/>
      <c r="E427" s="79"/>
      <c r="O427" s="79"/>
      <c r="S427" s="79"/>
      <c r="T427" s="79"/>
      <c r="Y427" s="79"/>
      <c r="AC427" s="130"/>
      <c r="AE427" s="106"/>
    </row>
    <row r="428">
      <c r="C428" s="79"/>
      <c r="D428" s="79"/>
      <c r="E428" s="79"/>
      <c r="O428" s="79"/>
      <c r="S428" s="79"/>
      <c r="T428" s="79"/>
      <c r="Y428" s="79"/>
      <c r="AC428" s="130"/>
      <c r="AE428" s="106"/>
    </row>
    <row r="429">
      <c r="C429" s="79"/>
      <c r="D429" s="79"/>
      <c r="E429" s="79"/>
      <c r="O429" s="79"/>
      <c r="S429" s="79"/>
      <c r="T429" s="79"/>
      <c r="Y429" s="79"/>
      <c r="AC429" s="130"/>
      <c r="AE429" s="106"/>
    </row>
    <row r="430">
      <c r="C430" s="79"/>
      <c r="D430" s="79"/>
      <c r="E430" s="79"/>
      <c r="O430" s="79"/>
      <c r="S430" s="79"/>
      <c r="T430" s="79"/>
      <c r="Y430" s="79"/>
      <c r="AC430" s="130"/>
      <c r="AE430" s="106"/>
    </row>
    <row r="431">
      <c r="C431" s="79"/>
      <c r="D431" s="79"/>
      <c r="E431" s="79"/>
      <c r="O431" s="79"/>
      <c r="S431" s="79"/>
      <c r="T431" s="79"/>
      <c r="Y431" s="79"/>
      <c r="AC431" s="130"/>
      <c r="AE431" s="106"/>
    </row>
    <row r="432">
      <c r="C432" s="79"/>
      <c r="D432" s="79"/>
      <c r="E432" s="79"/>
      <c r="O432" s="79"/>
      <c r="S432" s="79"/>
      <c r="T432" s="79"/>
      <c r="Y432" s="79"/>
      <c r="AC432" s="130"/>
      <c r="AE432" s="106"/>
    </row>
    <row r="433">
      <c r="C433" s="79"/>
      <c r="D433" s="79"/>
      <c r="E433" s="79"/>
      <c r="O433" s="79"/>
      <c r="S433" s="79"/>
      <c r="T433" s="79"/>
      <c r="Y433" s="79"/>
      <c r="AC433" s="130"/>
      <c r="AE433" s="106"/>
    </row>
    <row r="434">
      <c r="C434" s="79"/>
      <c r="D434" s="79"/>
      <c r="E434" s="79"/>
      <c r="O434" s="79"/>
      <c r="S434" s="79"/>
      <c r="T434" s="79"/>
      <c r="Y434" s="79"/>
      <c r="AC434" s="130"/>
      <c r="AE434" s="106"/>
    </row>
    <row r="435">
      <c r="C435" s="79"/>
      <c r="D435" s="79"/>
      <c r="E435" s="79"/>
      <c r="O435" s="79"/>
      <c r="S435" s="79"/>
      <c r="T435" s="79"/>
      <c r="Y435" s="79"/>
      <c r="AC435" s="130"/>
      <c r="AE435" s="106"/>
    </row>
    <row r="436">
      <c r="C436" s="79"/>
      <c r="D436" s="79"/>
      <c r="E436" s="79"/>
      <c r="O436" s="79"/>
      <c r="S436" s="79"/>
      <c r="T436" s="79"/>
      <c r="Y436" s="79"/>
      <c r="AC436" s="130"/>
      <c r="AE436" s="106"/>
    </row>
    <row r="437">
      <c r="C437" s="79"/>
      <c r="D437" s="79"/>
      <c r="E437" s="79"/>
      <c r="O437" s="79"/>
      <c r="S437" s="79"/>
      <c r="T437" s="79"/>
      <c r="Y437" s="79"/>
      <c r="AC437" s="130"/>
      <c r="AE437" s="106"/>
    </row>
    <row r="438">
      <c r="C438" s="79"/>
      <c r="D438" s="79"/>
      <c r="E438" s="79"/>
      <c r="O438" s="79"/>
      <c r="S438" s="79"/>
      <c r="T438" s="79"/>
      <c r="Y438" s="79"/>
      <c r="AC438" s="130"/>
      <c r="AE438" s="106"/>
    </row>
    <row r="439">
      <c r="C439" s="79"/>
      <c r="D439" s="79"/>
      <c r="E439" s="79"/>
      <c r="O439" s="79"/>
      <c r="S439" s="79"/>
      <c r="T439" s="79"/>
      <c r="Y439" s="79"/>
      <c r="AC439" s="130"/>
      <c r="AE439" s="106"/>
    </row>
    <row r="440">
      <c r="C440" s="79"/>
      <c r="D440" s="79"/>
      <c r="E440" s="79"/>
      <c r="O440" s="79"/>
      <c r="S440" s="79"/>
      <c r="T440" s="79"/>
      <c r="Y440" s="79"/>
      <c r="AC440" s="130"/>
      <c r="AE440" s="106"/>
    </row>
    <row r="441">
      <c r="C441" s="79"/>
      <c r="D441" s="79"/>
      <c r="E441" s="79"/>
      <c r="O441" s="79"/>
      <c r="S441" s="79"/>
      <c r="T441" s="79"/>
      <c r="Y441" s="79"/>
      <c r="AC441" s="130"/>
      <c r="AE441" s="106"/>
    </row>
    <row r="442">
      <c r="C442" s="79"/>
      <c r="D442" s="79"/>
      <c r="E442" s="79"/>
      <c r="O442" s="79"/>
      <c r="S442" s="79"/>
      <c r="T442" s="79"/>
      <c r="Y442" s="79"/>
      <c r="AC442" s="130"/>
      <c r="AE442" s="106"/>
    </row>
    <row r="443">
      <c r="C443" s="79"/>
      <c r="D443" s="79"/>
      <c r="E443" s="79"/>
      <c r="O443" s="79"/>
      <c r="S443" s="79"/>
      <c r="T443" s="79"/>
      <c r="Y443" s="79"/>
      <c r="AC443" s="130"/>
      <c r="AE443" s="106"/>
    </row>
    <row r="444">
      <c r="C444" s="79"/>
      <c r="D444" s="79"/>
      <c r="E444" s="79"/>
      <c r="O444" s="79"/>
      <c r="S444" s="79"/>
      <c r="T444" s="79"/>
      <c r="Y444" s="79"/>
      <c r="AC444" s="130"/>
      <c r="AE444" s="106"/>
    </row>
    <row r="445">
      <c r="C445" s="79"/>
      <c r="D445" s="79"/>
      <c r="E445" s="79"/>
      <c r="O445" s="79"/>
      <c r="S445" s="79"/>
      <c r="T445" s="79"/>
      <c r="Y445" s="79"/>
      <c r="AC445" s="130"/>
      <c r="AE445" s="106"/>
    </row>
    <row r="446">
      <c r="C446" s="79"/>
      <c r="D446" s="79"/>
      <c r="E446" s="79"/>
      <c r="O446" s="79"/>
      <c r="S446" s="79"/>
      <c r="T446" s="79"/>
      <c r="Y446" s="79"/>
      <c r="AC446" s="130"/>
      <c r="AE446" s="106"/>
    </row>
    <row r="447">
      <c r="C447" s="79"/>
      <c r="D447" s="79"/>
      <c r="E447" s="79"/>
      <c r="O447" s="79"/>
      <c r="S447" s="79"/>
      <c r="T447" s="79"/>
      <c r="Y447" s="79"/>
      <c r="AC447" s="130"/>
      <c r="AE447" s="106"/>
    </row>
    <row r="448">
      <c r="C448" s="79"/>
      <c r="D448" s="79"/>
      <c r="E448" s="79"/>
      <c r="O448" s="79"/>
      <c r="S448" s="79"/>
      <c r="T448" s="79"/>
      <c r="Y448" s="79"/>
      <c r="AC448" s="130"/>
      <c r="AE448" s="106"/>
    </row>
    <row r="449">
      <c r="C449" s="79"/>
      <c r="D449" s="79"/>
      <c r="E449" s="79"/>
      <c r="O449" s="79"/>
      <c r="S449" s="79"/>
      <c r="T449" s="79"/>
      <c r="Y449" s="79"/>
      <c r="AC449" s="130"/>
      <c r="AE449" s="106"/>
    </row>
    <row r="450">
      <c r="C450" s="79"/>
      <c r="D450" s="79"/>
      <c r="E450" s="79"/>
      <c r="O450" s="79"/>
      <c r="S450" s="79"/>
      <c r="T450" s="79"/>
      <c r="Y450" s="79"/>
      <c r="AC450" s="130"/>
      <c r="AE450" s="106"/>
    </row>
    <row r="451">
      <c r="C451" s="79"/>
      <c r="D451" s="79"/>
      <c r="E451" s="79"/>
      <c r="O451" s="79"/>
      <c r="S451" s="79"/>
      <c r="T451" s="79"/>
      <c r="Y451" s="79"/>
      <c r="AC451" s="130"/>
      <c r="AE451" s="106"/>
    </row>
    <row r="452">
      <c r="C452" s="79"/>
      <c r="D452" s="79"/>
      <c r="E452" s="79"/>
      <c r="O452" s="79"/>
      <c r="S452" s="79"/>
      <c r="T452" s="79"/>
      <c r="Y452" s="79"/>
      <c r="AC452" s="130"/>
      <c r="AE452" s="106"/>
    </row>
    <row r="453">
      <c r="C453" s="79"/>
      <c r="D453" s="79"/>
      <c r="E453" s="79"/>
      <c r="O453" s="79"/>
      <c r="S453" s="79"/>
      <c r="T453" s="79"/>
      <c r="Y453" s="79"/>
      <c r="AC453" s="130"/>
      <c r="AE453" s="106"/>
    </row>
    <row r="454">
      <c r="C454" s="79"/>
      <c r="D454" s="79"/>
      <c r="E454" s="79"/>
      <c r="O454" s="79"/>
      <c r="S454" s="79"/>
      <c r="T454" s="79"/>
      <c r="Y454" s="79"/>
      <c r="AC454" s="130"/>
      <c r="AE454" s="106"/>
    </row>
    <row r="455">
      <c r="C455" s="79"/>
      <c r="D455" s="79"/>
      <c r="E455" s="79"/>
      <c r="O455" s="79"/>
      <c r="S455" s="79"/>
      <c r="T455" s="79"/>
      <c r="Y455" s="79"/>
      <c r="AC455" s="130"/>
      <c r="AE455" s="106"/>
    </row>
    <row r="456">
      <c r="C456" s="79"/>
      <c r="D456" s="79"/>
      <c r="E456" s="79"/>
      <c r="O456" s="79"/>
      <c r="S456" s="79"/>
      <c r="T456" s="79"/>
      <c r="Y456" s="79"/>
      <c r="AC456" s="130"/>
      <c r="AE456" s="106"/>
    </row>
    <row r="457">
      <c r="C457" s="79"/>
      <c r="D457" s="79"/>
      <c r="E457" s="79"/>
      <c r="O457" s="79"/>
      <c r="S457" s="79"/>
      <c r="T457" s="79"/>
      <c r="Y457" s="79"/>
      <c r="AC457" s="130"/>
      <c r="AE457" s="106"/>
    </row>
    <row r="458">
      <c r="C458" s="79"/>
      <c r="D458" s="79"/>
      <c r="E458" s="79"/>
      <c r="O458" s="79"/>
      <c r="S458" s="79"/>
      <c r="T458" s="79"/>
      <c r="Y458" s="79"/>
      <c r="AC458" s="130"/>
      <c r="AE458" s="106"/>
    </row>
    <row r="459">
      <c r="C459" s="79"/>
      <c r="D459" s="79"/>
      <c r="E459" s="79"/>
      <c r="O459" s="79"/>
      <c r="S459" s="79"/>
      <c r="T459" s="79"/>
      <c r="Y459" s="79"/>
      <c r="AC459" s="130"/>
      <c r="AE459" s="106"/>
    </row>
    <row r="460">
      <c r="C460" s="79"/>
      <c r="D460" s="79"/>
      <c r="E460" s="79"/>
      <c r="O460" s="79"/>
      <c r="S460" s="79"/>
      <c r="T460" s="79"/>
      <c r="Y460" s="79"/>
      <c r="AC460" s="130"/>
      <c r="AE460" s="106"/>
    </row>
    <row r="461">
      <c r="C461" s="79"/>
      <c r="D461" s="79"/>
      <c r="E461" s="79"/>
      <c r="O461" s="79"/>
      <c r="S461" s="79"/>
      <c r="T461" s="79"/>
      <c r="Y461" s="79"/>
      <c r="AC461" s="130"/>
      <c r="AE461" s="106"/>
    </row>
    <row r="462">
      <c r="C462" s="79"/>
      <c r="D462" s="79"/>
      <c r="E462" s="79"/>
      <c r="O462" s="79"/>
      <c r="S462" s="79"/>
      <c r="T462" s="79"/>
      <c r="Y462" s="79"/>
      <c r="AC462" s="130"/>
      <c r="AE462" s="106"/>
    </row>
    <row r="463">
      <c r="C463" s="79"/>
      <c r="D463" s="79"/>
      <c r="E463" s="79"/>
      <c r="O463" s="79"/>
      <c r="S463" s="79"/>
      <c r="T463" s="79"/>
      <c r="Y463" s="79"/>
      <c r="AC463" s="130"/>
      <c r="AE463" s="106"/>
    </row>
    <row r="464">
      <c r="C464" s="79"/>
      <c r="D464" s="79"/>
      <c r="E464" s="79"/>
      <c r="O464" s="79"/>
      <c r="S464" s="79"/>
      <c r="T464" s="79"/>
      <c r="Y464" s="79"/>
      <c r="AC464" s="130"/>
      <c r="AE464" s="106"/>
    </row>
    <row r="465">
      <c r="C465" s="79"/>
      <c r="D465" s="79"/>
      <c r="E465" s="79"/>
      <c r="O465" s="79"/>
      <c r="S465" s="79"/>
      <c r="T465" s="79"/>
      <c r="Y465" s="79"/>
      <c r="AC465" s="130"/>
      <c r="AE465" s="106"/>
    </row>
    <row r="466">
      <c r="C466" s="79"/>
      <c r="D466" s="79"/>
      <c r="E466" s="79"/>
      <c r="O466" s="79"/>
      <c r="S466" s="79"/>
      <c r="T466" s="79"/>
      <c r="Y466" s="79"/>
      <c r="AC466" s="130"/>
      <c r="AE466" s="106"/>
    </row>
    <row r="467">
      <c r="C467" s="79"/>
      <c r="D467" s="79"/>
      <c r="E467" s="79"/>
      <c r="O467" s="79"/>
      <c r="S467" s="79"/>
      <c r="T467" s="79"/>
      <c r="Y467" s="79"/>
      <c r="AC467" s="130"/>
      <c r="AE467" s="106"/>
    </row>
    <row r="468">
      <c r="C468" s="79"/>
      <c r="D468" s="79"/>
      <c r="E468" s="79"/>
      <c r="O468" s="79"/>
      <c r="S468" s="79"/>
      <c r="T468" s="79"/>
      <c r="Y468" s="79"/>
      <c r="AC468" s="130"/>
      <c r="AE468" s="106"/>
    </row>
    <row r="469">
      <c r="C469" s="79"/>
      <c r="D469" s="79"/>
      <c r="E469" s="79"/>
      <c r="O469" s="79"/>
      <c r="S469" s="79"/>
      <c r="T469" s="79"/>
      <c r="Y469" s="79"/>
      <c r="AC469" s="130"/>
      <c r="AE469" s="106"/>
    </row>
    <row r="470">
      <c r="C470" s="79"/>
      <c r="D470" s="79"/>
      <c r="E470" s="79"/>
      <c r="O470" s="79"/>
      <c r="S470" s="79"/>
      <c r="T470" s="79"/>
      <c r="Y470" s="79"/>
      <c r="AC470" s="130"/>
      <c r="AE470" s="106"/>
    </row>
    <row r="471">
      <c r="C471" s="79"/>
      <c r="D471" s="79"/>
      <c r="E471" s="79"/>
      <c r="O471" s="79"/>
      <c r="S471" s="79"/>
      <c r="T471" s="79"/>
      <c r="Y471" s="79"/>
      <c r="AC471" s="130"/>
      <c r="AE471" s="106"/>
    </row>
    <row r="472">
      <c r="C472" s="79"/>
      <c r="D472" s="79"/>
      <c r="E472" s="79"/>
      <c r="O472" s="79"/>
      <c r="S472" s="79"/>
      <c r="T472" s="79"/>
      <c r="Y472" s="79"/>
      <c r="AC472" s="130"/>
      <c r="AE472" s="106"/>
    </row>
    <row r="473">
      <c r="C473" s="79"/>
      <c r="D473" s="79"/>
      <c r="E473" s="79"/>
      <c r="O473" s="79"/>
      <c r="S473" s="79"/>
      <c r="T473" s="79"/>
      <c r="Y473" s="79"/>
      <c r="AC473" s="130"/>
      <c r="AE473" s="106"/>
    </row>
    <row r="474">
      <c r="C474" s="79"/>
      <c r="D474" s="79"/>
      <c r="E474" s="79"/>
      <c r="O474" s="79"/>
      <c r="S474" s="79"/>
      <c r="T474" s="79"/>
      <c r="Y474" s="79"/>
      <c r="AC474" s="130"/>
      <c r="AE474" s="106"/>
    </row>
    <row r="475">
      <c r="C475" s="79"/>
      <c r="D475" s="79"/>
      <c r="E475" s="79"/>
      <c r="O475" s="79"/>
      <c r="S475" s="79"/>
      <c r="T475" s="79"/>
      <c r="Y475" s="79"/>
      <c r="AC475" s="130"/>
      <c r="AE475" s="106"/>
    </row>
    <row r="476">
      <c r="C476" s="79"/>
      <c r="D476" s="79"/>
      <c r="E476" s="79"/>
      <c r="O476" s="79"/>
      <c r="S476" s="79"/>
      <c r="T476" s="79"/>
      <c r="Y476" s="79"/>
      <c r="AC476" s="130"/>
      <c r="AE476" s="106"/>
    </row>
    <row r="477">
      <c r="C477" s="79"/>
      <c r="D477" s="79"/>
      <c r="E477" s="79"/>
      <c r="O477" s="79"/>
      <c r="S477" s="79"/>
      <c r="T477" s="79"/>
      <c r="Y477" s="79"/>
      <c r="AC477" s="130"/>
      <c r="AE477" s="106"/>
    </row>
    <row r="478">
      <c r="C478" s="79"/>
      <c r="D478" s="79"/>
      <c r="E478" s="79"/>
      <c r="O478" s="79"/>
      <c r="S478" s="79"/>
      <c r="T478" s="79"/>
      <c r="Y478" s="79"/>
      <c r="AC478" s="130"/>
      <c r="AE478" s="106"/>
    </row>
    <row r="479">
      <c r="C479" s="79"/>
      <c r="D479" s="79"/>
      <c r="E479" s="79"/>
      <c r="O479" s="79"/>
      <c r="S479" s="79"/>
      <c r="T479" s="79"/>
      <c r="Y479" s="79"/>
      <c r="AC479" s="130"/>
      <c r="AE479" s="106"/>
    </row>
    <row r="480">
      <c r="C480" s="79"/>
      <c r="D480" s="79"/>
      <c r="E480" s="79"/>
      <c r="O480" s="79"/>
      <c r="S480" s="79"/>
      <c r="T480" s="79"/>
      <c r="Y480" s="79"/>
      <c r="AC480" s="130"/>
      <c r="AE480" s="106"/>
    </row>
    <row r="481">
      <c r="C481" s="79"/>
      <c r="D481" s="79"/>
      <c r="E481" s="79"/>
      <c r="O481" s="79"/>
      <c r="S481" s="79"/>
      <c r="T481" s="79"/>
      <c r="Y481" s="79"/>
      <c r="AC481" s="130"/>
      <c r="AE481" s="106"/>
    </row>
    <row r="482">
      <c r="C482" s="79"/>
      <c r="D482" s="79"/>
      <c r="E482" s="79"/>
      <c r="O482" s="79"/>
      <c r="S482" s="79"/>
      <c r="T482" s="79"/>
      <c r="Y482" s="79"/>
      <c r="AC482" s="130"/>
      <c r="AE482" s="106"/>
    </row>
    <row r="483">
      <c r="C483" s="79"/>
      <c r="D483" s="79"/>
      <c r="E483" s="79"/>
      <c r="O483" s="79"/>
      <c r="S483" s="79"/>
      <c r="T483" s="79"/>
      <c r="Y483" s="79"/>
      <c r="AC483" s="130"/>
      <c r="AE483" s="106"/>
    </row>
    <row r="484">
      <c r="C484" s="79"/>
      <c r="D484" s="79"/>
      <c r="E484" s="79"/>
      <c r="O484" s="79"/>
      <c r="S484" s="79"/>
      <c r="T484" s="79"/>
      <c r="Y484" s="79"/>
      <c r="AC484" s="130"/>
      <c r="AE484" s="106"/>
    </row>
    <row r="485">
      <c r="C485" s="79"/>
      <c r="D485" s="79"/>
      <c r="E485" s="79"/>
      <c r="O485" s="79"/>
      <c r="S485" s="79"/>
      <c r="T485" s="79"/>
      <c r="Y485" s="79"/>
      <c r="AC485" s="130"/>
      <c r="AE485" s="106"/>
    </row>
    <row r="486">
      <c r="C486" s="79"/>
      <c r="D486" s="79"/>
      <c r="E486" s="79"/>
      <c r="O486" s="79"/>
      <c r="S486" s="79"/>
      <c r="T486" s="79"/>
      <c r="Y486" s="79"/>
      <c r="AC486" s="130"/>
      <c r="AE486" s="106"/>
    </row>
    <row r="487">
      <c r="C487" s="79"/>
      <c r="D487" s="79"/>
      <c r="E487" s="79"/>
      <c r="O487" s="79"/>
      <c r="S487" s="79"/>
      <c r="T487" s="79"/>
      <c r="Y487" s="79"/>
      <c r="AC487" s="130"/>
      <c r="AE487" s="106"/>
    </row>
    <row r="488">
      <c r="C488" s="79"/>
      <c r="D488" s="79"/>
      <c r="E488" s="79"/>
      <c r="O488" s="79"/>
      <c r="S488" s="79"/>
      <c r="T488" s="79"/>
      <c r="Y488" s="79"/>
      <c r="AC488" s="130"/>
      <c r="AE488" s="106"/>
    </row>
    <row r="489">
      <c r="C489" s="79"/>
      <c r="D489" s="79"/>
      <c r="E489" s="79"/>
      <c r="O489" s="79"/>
      <c r="S489" s="79"/>
      <c r="T489" s="79"/>
      <c r="Y489" s="79"/>
      <c r="AC489" s="130"/>
      <c r="AE489" s="106"/>
    </row>
    <row r="490">
      <c r="C490" s="79"/>
      <c r="D490" s="79"/>
      <c r="E490" s="79"/>
      <c r="O490" s="79"/>
      <c r="S490" s="79"/>
      <c r="T490" s="79"/>
      <c r="Y490" s="79"/>
      <c r="AC490" s="130"/>
      <c r="AE490" s="106"/>
    </row>
    <row r="491">
      <c r="C491" s="79"/>
      <c r="D491" s="79"/>
      <c r="E491" s="79"/>
      <c r="O491" s="79"/>
      <c r="S491" s="79"/>
      <c r="T491" s="79"/>
      <c r="Y491" s="79"/>
      <c r="AC491" s="130"/>
      <c r="AE491" s="106"/>
    </row>
    <row r="492">
      <c r="C492" s="79"/>
      <c r="D492" s="79"/>
      <c r="E492" s="79"/>
      <c r="O492" s="79"/>
      <c r="S492" s="79"/>
      <c r="T492" s="79"/>
      <c r="Y492" s="79"/>
      <c r="AC492" s="130"/>
      <c r="AE492" s="106"/>
    </row>
    <row r="493">
      <c r="C493" s="79"/>
      <c r="D493" s="79"/>
      <c r="E493" s="79"/>
      <c r="O493" s="79"/>
      <c r="S493" s="79"/>
      <c r="T493" s="79"/>
      <c r="Y493" s="79"/>
      <c r="AC493" s="130"/>
      <c r="AE493" s="106"/>
    </row>
    <row r="494">
      <c r="C494" s="79"/>
      <c r="D494" s="79"/>
      <c r="E494" s="79"/>
      <c r="O494" s="79"/>
      <c r="S494" s="79"/>
      <c r="T494" s="79"/>
      <c r="Y494" s="79"/>
      <c r="AC494" s="130"/>
      <c r="AE494" s="106"/>
    </row>
    <row r="495">
      <c r="C495" s="79"/>
      <c r="D495" s="79"/>
      <c r="E495" s="79"/>
      <c r="O495" s="79"/>
      <c r="S495" s="79"/>
      <c r="T495" s="79"/>
      <c r="Y495" s="79"/>
      <c r="AC495" s="130"/>
      <c r="AE495" s="106"/>
    </row>
    <row r="496">
      <c r="C496" s="79"/>
      <c r="D496" s="79"/>
      <c r="E496" s="79"/>
      <c r="O496" s="79"/>
      <c r="S496" s="79"/>
      <c r="T496" s="79"/>
      <c r="Y496" s="79"/>
      <c r="AC496" s="130"/>
      <c r="AE496" s="106"/>
    </row>
    <row r="497">
      <c r="C497" s="79"/>
      <c r="D497" s="79"/>
      <c r="E497" s="79"/>
      <c r="O497" s="79"/>
      <c r="S497" s="79"/>
      <c r="T497" s="79"/>
      <c r="Y497" s="79"/>
      <c r="AC497" s="130"/>
      <c r="AE497" s="106"/>
    </row>
    <row r="498">
      <c r="C498" s="79"/>
      <c r="D498" s="79"/>
      <c r="E498" s="79"/>
      <c r="O498" s="79"/>
      <c r="S498" s="79"/>
      <c r="T498" s="79"/>
      <c r="Y498" s="79"/>
      <c r="AC498" s="130"/>
      <c r="AE498" s="106"/>
    </row>
    <row r="499">
      <c r="C499" s="79"/>
      <c r="D499" s="79"/>
      <c r="E499" s="79"/>
      <c r="O499" s="79"/>
      <c r="S499" s="79"/>
      <c r="T499" s="79"/>
      <c r="Y499" s="79"/>
      <c r="AC499" s="130"/>
      <c r="AE499" s="106"/>
    </row>
    <row r="500">
      <c r="C500" s="79"/>
      <c r="D500" s="79"/>
      <c r="E500" s="79"/>
      <c r="O500" s="79"/>
      <c r="S500" s="79"/>
      <c r="T500" s="79"/>
      <c r="Y500" s="79"/>
      <c r="AC500" s="130"/>
      <c r="AE500" s="106"/>
    </row>
    <row r="501">
      <c r="C501" s="79"/>
      <c r="D501" s="79"/>
      <c r="E501" s="79"/>
      <c r="O501" s="79"/>
      <c r="S501" s="79"/>
      <c r="T501" s="79"/>
      <c r="Y501" s="79"/>
      <c r="AC501" s="130"/>
      <c r="AE501" s="106"/>
    </row>
    <row r="502">
      <c r="C502" s="79"/>
      <c r="D502" s="79"/>
      <c r="E502" s="79"/>
      <c r="O502" s="79"/>
      <c r="S502" s="79"/>
      <c r="T502" s="79"/>
      <c r="Y502" s="79"/>
      <c r="AC502" s="130"/>
      <c r="AE502" s="106"/>
    </row>
    <row r="503">
      <c r="C503" s="79"/>
      <c r="D503" s="79"/>
      <c r="E503" s="79"/>
      <c r="O503" s="79"/>
      <c r="S503" s="79"/>
      <c r="T503" s="79"/>
      <c r="Y503" s="79"/>
      <c r="AC503" s="130"/>
      <c r="AE503" s="106"/>
    </row>
    <row r="504">
      <c r="C504" s="79"/>
      <c r="D504" s="79"/>
      <c r="E504" s="79"/>
      <c r="O504" s="79"/>
      <c r="S504" s="79"/>
      <c r="T504" s="79"/>
      <c r="Y504" s="79"/>
      <c r="AC504" s="130"/>
      <c r="AE504" s="106"/>
    </row>
    <row r="505">
      <c r="C505" s="79"/>
      <c r="D505" s="79"/>
      <c r="E505" s="79"/>
      <c r="O505" s="79"/>
      <c r="S505" s="79"/>
      <c r="T505" s="79"/>
      <c r="Y505" s="79"/>
      <c r="AC505" s="130"/>
      <c r="AE505" s="106"/>
    </row>
    <row r="506">
      <c r="C506" s="79"/>
      <c r="D506" s="79"/>
      <c r="E506" s="79"/>
      <c r="O506" s="79"/>
      <c r="S506" s="79"/>
      <c r="T506" s="79"/>
      <c r="Y506" s="79"/>
      <c r="AC506" s="130"/>
      <c r="AE506" s="106"/>
    </row>
    <row r="507">
      <c r="C507" s="79"/>
      <c r="D507" s="79"/>
      <c r="E507" s="79"/>
      <c r="O507" s="79"/>
      <c r="S507" s="79"/>
      <c r="T507" s="79"/>
      <c r="Y507" s="79"/>
      <c r="AC507" s="130"/>
      <c r="AE507" s="106"/>
    </row>
    <row r="508">
      <c r="C508" s="79"/>
      <c r="D508" s="79"/>
      <c r="E508" s="79"/>
      <c r="O508" s="79"/>
      <c r="S508" s="79"/>
      <c r="T508" s="79"/>
      <c r="Y508" s="79"/>
      <c r="AC508" s="130"/>
      <c r="AE508" s="106"/>
    </row>
    <row r="509">
      <c r="C509" s="79"/>
      <c r="D509" s="79"/>
      <c r="E509" s="79"/>
      <c r="O509" s="79"/>
      <c r="S509" s="79"/>
      <c r="T509" s="79"/>
      <c r="Y509" s="79"/>
      <c r="AC509" s="130"/>
      <c r="AE509" s="106"/>
    </row>
    <row r="510">
      <c r="C510" s="79"/>
      <c r="D510" s="79"/>
      <c r="E510" s="79"/>
      <c r="O510" s="79"/>
      <c r="S510" s="79"/>
      <c r="T510" s="79"/>
      <c r="Y510" s="79"/>
      <c r="AC510" s="130"/>
      <c r="AE510" s="106"/>
    </row>
    <row r="511">
      <c r="C511" s="79"/>
      <c r="D511" s="79"/>
      <c r="E511" s="79"/>
      <c r="O511" s="79"/>
      <c r="S511" s="79"/>
      <c r="T511" s="79"/>
      <c r="Y511" s="79"/>
      <c r="AC511" s="130"/>
      <c r="AE511" s="106"/>
    </row>
    <row r="512">
      <c r="C512" s="79"/>
      <c r="D512" s="79"/>
      <c r="E512" s="79"/>
      <c r="O512" s="79"/>
      <c r="S512" s="79"/>
      <c r="T512" s="79"/>
      <c r="Y512" s="79"/>
      <c r="AC512" s="130"/>
      <c r="AE512" s="106"/>
    </row>
    <row r="513">
      <c r="C513" s="79"/>
      <c r="D513" s="79"/>
      <c r="E513" s="79"/>
      <c r="O513" s="79"/>
      <c r="S513" s="79"/>
      <c r="T513" s="79"/>
      <c r="Y513" s="79"/>
      <c r="AC513" s="130"/>
      <c r="AE513" s="106"/>
    </row>
    <row r="514">
      <c r="C514" s="79"/>
      <c r="D514" s="79"/>
      <c r="E514" s="79"/>
      <c r="O514" s="79"/>
      <c r="S514" s="79"/>
      <c r="T514" s="79"/>
      <c r="Y514" s="79"/>
      <c r="AC514" s="130"/>
      <c r="AE514" s="106"/>
    </row>
    <row r="515">
      <c r="C515" s="79"/>
      <c r="D515" s="79"/>
      <c r="E515" s="79"/>
      <c r="O515" s="79"/>
      <c r="S515" s="79"/>
      <c r="T515" s="79"/>
      <c r="Y515" s="79"/>
      <c r="AC515" s="130"/>
      <c r="AE515" s="106"/>
    </row>
    <row r="516">
      <c r="C516" s="79"/>
      <c r="D516" s="79"/>
      <c r="E516" s="79"/>
      <c r="O516" s="79"/>
      <c r="S516" s="79"/>
      <c r="T516" s="79"/>
      <c r="Y516" s="79"/>
      <c r="AC516" s="130"/>
      <c r="AE516" s="106"/>
    </row>
    <row r="517">
      <c r="C517" s="79"/>
      <c r="D517" s="79"/>
      <c r="E517" s="79"/>
      <c r="O517" s="79"/>
      <c r="S517" s="79"/>
      <c r="T517" s="79"/>
      <c r="Y517" s="79"/>
      <c r="AC517" s="130"/>
      <c r="AE517" s="106"/>
    </row>
    <row r="518">
      <c r="C518" s="79"/>
      <c r="D518" s="79"/>
      <c r="E518" s="79"/>
      <c r="O518" s="79"/>
      <c r="S518" s="79"/>
      <c r="T518" s="79"/>
      <c r="Y518" s="79"/>
      <c r="AC518" s="130"/>
      <c r="AE518" s="106"/>
    </row>
    <row r="519">
      <c r="C519" s="79"/>
      <c r="D519" s="79"/>
      <c r="E519" s="79"/>
      <c r="O519" s="79"/>
      <c r="S519" s="79"/>
      <c r="T519" s="79"/>
      <c r="Y519" s="79"/>
      <c r="AC519" s="130"/>
      <c r="AE519" s="106"/>
    </row>
    <row r="520">
      <c r="C520" s="79"/>
      <c r="D520" s="79"/>
      <c r="E520" s="79"/>
      <c r="O520" s="79"/>
      <c r="S520" s="79"/>
      <c r="T520" s="79"/>
      <c r="Y520" s="79"/>
      <c r="AC520" s="130"/>
      <c r="AE520" s="106"/>
    </row>
    <row r="521">
      <c r="C521" s="79"/>
      <c r="D521" s="79"/>
      <c r="E521" s="79"/>
      <c r="O521" s="79"/>
      <c r="S521" s="79"/>
      <c r="T521" s="79"/>
      <c r="Y521" s="79"/>
      <c r="AC521" s="130"/>
      <c r="AE521" s="106"/>
    </row>
    <row r="522">
      <c r="C522" s="79"/>
      <c r="D522" s="79"/>
      <c r="E522" s="79"/>
      <c r="O522" s="79"/>
      <c r="S522" s="79"/>
      <c r="T522" s="79"/>
      <c r="Y522" s="79"/>
      <c r="AC522" s="130"/>
      <c r="AE522" s="106"/>
    </row>
    <row r="523">
      <c r="C523" s="79"/>
      <c r="D523" s="79"/>
      <c r="E523" s="79"/>
      <c r="O523" s="79"/>
      <c r="S523" s="79"/>
      <c r="T523" s="79"/>
      <c r="Y523" s="79"/>
      <c r="AC523" s="130"/>
      <c r="AE523" s="106"/>
    </row>
    <row r="524">
      <c r="C524" s="79"/>
      <c r="D524" s="79"/>
      <c r="E524" s="79"/>
      <c r="O524" s="79"/>
      <c r="S524" s="79"/>
      <c r="T524" s="79"/>
      <c r="Y524" s="79"/>
      <c r="AC524" s="130"/>
      <c r="AE524" s="106"/>
    </row>
    <row r="525">
      <c r="C525" s="79"/>
      <c r="D525" s="79"/>
      <c r="E525" s="79"/>
      <c r="O525" s="79"/>
      <c r="S525" s="79"/>
      <c r="T525" s="79"/>
      <c r="Y525" s="79"/>
      <c r="AC525" s="130"/>
      <c r="AE525" s="106"/>
    </row>
    <row r="526">
      <c r="C526" s="79"/>
      <c r="D526" s="79"/>
      <c r="E526" s="79"/>
      <c r="O526" s="79"/>
      <c r="S526" s="79"/>
      <c r="T526" s="79"/>
      <c r="Y526" s="79"/>
      <c r="AC526" s="130"/>
      <c r="AE526" s="106"/>
    </row>
    <row r="527">
      <c r="C527" s="79"/>
      <c r="D527" s="79"/>
      <c r="E527" s="79"/>
      <c r="O527" s="79"/>
      <c r="S527" s="79"/>
      <c r="T527" s="79"/>
      <c r="Y527" s="79"/>
      <c r="AC527" s="130"/>
      <c r="AE527" s="106"/>
    </row>
    <row r="528">
      <c r="C528" s="79"/>
      <c r="D528" s="79"/>
      <c r="E528" s="79"/>
      <c r="O528" s="79"/>
      <c r="S528" s="79"/>
      <c r="T528" s="79"/>
      <c r="Y528" s="79"/>
      <c r="AC528" s="130"/>
      <c r="AE528" s="106"/>
    </row>
    <row r="529">
      <c r="C529" s="79"/>
      <c r="D529" s="79"/>
      <c r="E529" s="79"/>
      <c r="O529" s="79"/>
      <c r="S529" s="79"/>
      <c r="T529" s="79"/>
      <c r="Y529" s="79"/>
      <c r="AC529" s="130"/>
      <c r="AE529" s="106"/>
    </row>
    <row r="530">
      <c r="C530" s="79"/>
      <c r="D530" s="79"/>
      <c r="E530" s="79"/>
      <c r="O530" s="79"/>
      <c r="S530" s="79"/>
      <c r="T530" s="79"/>
      <c r="Y530" s="79"/>
      <c r="AC530" s="130"/>
      <c r="AE530" s="106"/>
    </row>
    <row r="531">
      <c r="C531" s="79"/>
      <c r="D531" s="79"/>
      <c r="E531" s="79"/>
      <c r="O531" s="79"/>
      <c r="S531" s="79"/>
      <c r="T531" s="79"/>
      <c r="Y531" s="79"/>
      <c r="AC531" s="130"/>
      <c r="AE531" s="106"/>
    </row>
    <row r="532">
      <c r="C532" s="79"/>
      <c r="D532" s="79"/>
      <c r="E532" s="79"/>
      <c r="O532" s="79"/>
      <c r="S532" s="79"/>
      <c r="T532" s="79"/>
      <c r="Y532" s="79"/>
      <c r="AC532" s="130"/>
      <c r="AE532" s="106"/>
    </row>
    <row r="533">
      <c r="C533" s="79"/>
      <c r="D533" s="79"/>
      <c r="E533" s="79"/>
      <c r="O533" s="79"/>
      <c r="S533" s="79"/>
      <c r="T533" s="79"/>
      <c r="Y533" s="79"/>
      <c r="AC533" s="130"/>
      <c r="AE533" s="106"/>
    </row>
    <row r="534">
      <c r="C534" s="79"/>
      <c r="D534" s="79"/>
      <c r="E534" s="79"/>
      <c r="O534" s="79"/>
      <c r="S534" s="79"/>
      <c r="T534" s="79"/>
      <c r="Y534" s="79"/>
      <c r="AC534" s="130"/>
      <c r="AE534" s="106"/>
    </row>
    <row r="535">
      <c r="C535" s="79"/>
      <c r="D535" s="79"/>
      <c r="E535" s="79"/>
      <c r="O535" s="79"/>
      <c r="S535" s="79"/>
      <c r="T535" s="79"/>
      <c r="Y535" s="79"/>
      <c r="AC535" s="130"/>
      <c r="AE535" s="106"/>
    </row>
    <row r="536">
      <c r="C536" s="79"/>
      <c r="D536" s="79"/>
      <c r="E536" s="79"/>
      <c r="O536" s="79"/>
      <c r="S536" s="79"/>
      <c r="T536" s="79"/>
      <c r="Y536" s="79"/>
      <c r="AC536" s="130"/>
      <c r="AE536" s="106"/>
    </row>
    <row r="537">
      <c r="C537" s="79"/>
      <c r="D537" s="79"/>
      <c r="E537" s="79"/>
      <c r="O537" s="79"/>
      <c r="S537" s="79"/>
      <c r="T537" s="79"/>
      <c r="Y537" s="79"/>
      <c r="AC537" s="130"/>
      <c r="AE537" s="106"/>
    </row>
    <row r="538">
      <c r="C538" s="79"/>
      <c r="D538" s="79"/>
      <c r="E538" s="79"/>
      <c r="O538" s="79"/>
      <c r="S538" s="79"/>
      <c r="T538" s="79"/>
      <c r="Y538" s="79"/>
      <c r="AC538" s="130"/>
      <c r="AE538" s="106"/>
    </row>
    <row r="539">
      <c r="C539" s="79"/>
      <c r="D539" s="79"/>
      <c r="E539" s="79"/>
      <c r="O539" s="79"/>
      <c r="S539" s="79"/>
      <c r="T539" s="79"/>
      <c r="Y539" s="79"/>
      <c r="AC539" s="130"/>
      <c r="AE539" s="106"/>
    </row>
    <row r="540">
      <c r="C540" s="79"/>
      <c r="D540" s="79"/>
      <c r="E540" s="79"/>
      <c r="O540" s="79"/>
      <c r="S540" s="79"/>
      <c r="T540" s="79"/>
      <c r="Y540" s="79"/>
      <c r="AC540" s="130"/>
      <c r="AE540" s="106"/>
    </row>
    <row r="541">
      <c r="C541" s="79"/>
      <c r="D541" s="79"/>
      <c r="E541" s="79"/>
      <c r="O541" s="79"/>
      <c r="S541" s="79"/>
      <c r="T541" s="79"/>
      <c r="Y541" s="79"/>
      <c r="AC541" s="130"/>
      <c r="AE541" s="106"/>
    </row>
    <row r="542">
      <c r="C542" s="79"/>
      <c r="D542" s="79"/>
      <c r="E542" s="79"/>
      <c r="O542" s="79"/>
      <c r="S542" s="79"/>
      <c r="T542" s="79"/>
      <c r="Y542" s="79"/>
      <c r="AC542" s="130"/>
      <c r="AE542" s="106"/>
    </row>
    <row r="543">
      <c r="C543" s="79"/>
      <c r="D543" s="79"/>
      <c r="E543" s="79"/>
      <c r="O543" s="79"/>
      <c r="S543" s="79"/>
      <c r="T543" s="79"/>
      <c r="Y543" s="79"/>
      <c r="AC543" s="130"/>
      <c r="AE543" s="106"/>
    </row>
    <row r="544">
      <c r="C544" s="79"/>
      <c r="D544" s="79"/>
      <c r="E544" s="79"/>
      <c r="O544" s="79"/>
      <c r="S544" s="79"/>
      <c r="T544" s="79"/>
      <c r="Y544" s="79"/>
      <c r="AC544" s="130"/>
      <c r="AE544" s="106"/>
    </row>
    <row r="545">
      <c r="C545" s="79"/>
      <c r="D545" s="79"/>
      <c r="E545" s="79"/>
      <c r="O545" s="79"/>
      <c r="S545" s="79"/>
      <c r="T545" s="79"/>
      <c r="Y545" s="79"/>
      <c r="AC545" s="130"/>
      <c r="AE545" s="106"/>
    </row>
    <row r="546">
      <c r="C546" s="79"/>
      <c r="D546" s="79"/>
      <c r="E546" s="79"/>
      <c r="O546" s="79"/>
      <c r="S546" s="79"/>
      <c r="T546" s="79"/>
      <c r="Y546" s="79"/>
      <c r="AC546" s="130"/>
      <c r="AE546" s="106"/>
    </row>
    <row r="547">
      <c r="C547" s="79"/>
      <c r="D547" s="79"/>
      <c r="E547" s="79"/>
      <c r="O547" s="79"/>
      <c r="S547" s="79"/>
      <c r="T547" s="79"/>
      <c r="Y547" s="79"/>
      <c r="AC547" s="130"/>
      <c r="AE547" s="106"/>
    </row>
    <row r="548">
      <c r="C548" s="79"/>
      <c r="D548" s="79"/>
      <c r="E548" s="79"/>
      <c r="O548" s="79"/>
      <c r="S548" s="79"/>
      <c r="T548" s="79"/>
      <c r="Y548" s="79"/>
      <c r="AC548" s="130"/>
      <c r="AE548" s="106"/>
    </row>
    <row r="549">
      <c r="C549" s="79"/>
      <c r="D549" s="79"/>
      <c r="E549" s="79"/>
      <c r="O549" s="79"/>
      <c r="S549" s="79"/>
      <c r="T549" s="79"/>
      <c r="Y549" s="79"/>
      <c r="AC549" s="130"/>
      <c r="AE549" s="106"/>
    </row>
    <row r="550">
      <c r="C550" s="79"/>
      <c r="D550" s="79"/>
      <c r="E550" s="79"/>
      <c r="O550" s="79"/>
      <c r="S550" s="79"/>
      <c r="T550" s="79"/>
      <c r="Y550" s="79"/>
      <c r="AC550" s="130"/>
      <c r="AE550" s="106"/>
    </row>
    <row r="551">
      <c r="C551" s="79"/>
      <c r="D551" s="79"/>
      <c r="E551" s="79"/>
      <c r="O551" s="79"/>
      <c r="S551" s="79"/>
      <c r="T551" s="79"/>
      <c r="Y551" s="79"/>
      <c r="AC551" s="130"/>
      <c r="AE551" s="106"/>
    </row>
    <row r="552">
      <c r="C552" s="79"/>
      <c r="D552" s="79"/>
      <c r="E552" s="79"/>
      <c r="O552" s="79"/>
      <c r="S552" s="79"/>
      <c r="T552" s="79"/>
      <c r="Y552" s="79"/>
      <c r="AC552" s="130"/>
      <c r="AE552" s="106"/>
    </row>
    <row r="553">
      <c r="C553" s="79"/>
      <c r="D553" s="79"/>
      <c r="E553" s="79"/>
      <c r="O553" s="79"/>
      <c r="S553" s="79"/>
      <c r="T553" s="79"/>
      <c r="Y553" s="79"/>
      <c r="AC553" s="130"/>
      <c r="AE553" s="106"/>
    </row>
    <row r="554">
      <c r="C554" s="79"/>
      <c r="D554" s="79"/>
      <c r="E554" s="79"/>
      <c r="O554" s="79"/>
      <c r="S554" s="79"/>
      <c r="T554" s="79"/>
      <c r="Y554" s="79"/>
      <c r="AC554" s="130"/>
      <c r="AE554" s="106"/>
    </row>
    <row r="555">
      <c r="C555" s="79"/>
      <c r="D555" s="79"/>
      <c r="E555" s="79"/>
      <c r="O555" s="79"/>
      <c r="S555" s="79"/>
      <c r="T555" s="79"/>
      <c r="Y555" s="79"/>
      <c r="AC555" s="130"/>
      <c r="AE555" s="106"/>
    </row>
    <row r="556">
      <c r="C556" s="79"/>
      <c r="D556" s="79"/>
      <c r="E556" s="79"/>
      <c r="O556" s="79"/>
      <c r="S556" s="79"/>
      <c r="T556" s="79"/>
      <c r="Y556" s="79"/>
      <c r="AC556" s="130"/>
      <c r="AE556" s="106"/>
    </row>
    <row r="557">
      <c r="C557" s="79"/>
      <c r="D557" s="79"/>
      <c r="E557" s="79"/>
      <c r="O557" s="79"/>
      <c r="S557" s="79"/>
      <c r="T557" s="79"/>
      <c r="Y557" s="79"/>
      <c r="AC557" s="130"/>
      <c r="AE557" s="106"/>
    </row>
    <row r="558">
      <c r="C558" s="79"/>
      <c r="D558" s="79"/>
      <c r="E558" s="79"/>
      <c r="O558" s="79"/>
      <c r="S558" s="79"/>
      <c r="T558" s="79"/>
      <c r="Y558" s="79"/>
      <c r="AC558" s="130"/>
      <c r="AE558" s="106"/>
    </row>
    <row r="559">
      <c r="C559" s="79"/>
      <c r="D559" s="79"/>
      <c r="E559" s="79"/>
      <c r="O559" s="79"/>
      <c r="S559" s="79"/>
      <c r="T559" s="79"/>
      <c r="Y559" s="79"/>
      <c r="AC559" s="130"/>
      <c r="AE559" s="106"/>
    </row>
    <row r="560">
      <c r="C560" s="79"/>
      <c r="D560" s="79"/>
      <c r="E560" s="79"/>
      <c r="O560" s="79"/>
      <c r="S560" s="79"/>
      <c r="T560" s="79"/>
      <c r="Y560" s="79"/>
      <c r="AC560" s="130"/>
      <c r="AE560" s="106"/>
    </row>
    <row r="561">
      <c r="C561" s="79"/>
      <c r="D561" s="79"/>
      <c r="E561" s="79"/>
      <c r="O561" s="79"/>
      <c r="S561" s="79"/>
      <c r="T561" s="79"/>
      <c r="Y561" s="79"/>
      <c r="AC561" s="130"/>
      <c r="AE561" s="106"/>
    </row>
    <row r="562">
      <c r="C562" s="79"/>
      <c r="D562" s="79"/>
      <c r="E562" s="79"/>
      <c r="O562" s="79"/>
      <c r="S562" s="79"/>
      <c r="T562" s="79"/>
      <c r="Y562" s="79"/>
      <c r="AC562" s="130"/>
      <c r="AE562" s="106"/>
    </row>
    <row r="563">
      <c r="C563" s="79"/>
      <c r="D563" s="79"/>
      <c r="E563" s="79"/>
      <c r="O563" s="79"/>
      <c r="S563" s="79"/>
      <c r="T563" s="79"/>
      <c r="Y563" s="79"/>
      <c r="AC563" s="130"/>
      <c r="AE563" s="106"/>
    </row>
    <row r="564">
      <c r="C564" s="79"/>
      <c r="D564" s="79"/>
      <c r="E564" s="79"/>
      <c r="O564" s="79"/>
      <c r="S564" s="79"/>
      <c r="T564" s="79"/>
      <c r="Y564" s="79"/>
      <c r="AC564" s="130"/>
      <c r="AE564" s="106"/>
    </row>
    <row r="565">
      <c r="C565" s="79"/>
      <c r="D565" s="79"/>
      <c r="E565" s="79"/>
      <c r="O565" s="79"/>
      <c r="S565" s="79"/>
      <c r="T565" s="79"/>
      <c r="Y565" s="79"/>
      <c r="AC565" s="130"/>
      <c r="AE565" s="106"/>
    </row>
    <row r="566">
      <c r="C566" s="79"/>
      <c r="D566" s="79"/>
      <c r="E566" s="79"/>
      <c r="O566" s="79"/>
      <c r="S566" s="79"/>
      <c r="T566" s="79"/>
      <c r="Y566" s="79"/>
      <c r="AC566" s="130"/>
      <c r="AE566" s="106"/>
    </row>
    <row r="567">
      <c r="C567" s="79"/>
      <c r="D567" s="79"/>
      <c r="E567" s="79"/>
      <c r="O567" s="79"/>
      <c r="S567" s="79"/>
      <c r="T567" s="79"/>
      <c r="Y567" s="79"/>
      <c r="AC567" s="130"/>
      <c r="AE567" s="106"/>
    </row>
    <row r="568">
      <c r="C568" s="79"/>
      <c r="D568" s="79"/>
      <c r="E568" s="79"/>
      <c r="O568" s="79"/>
      <c r="S568" s="79"/>
      <c r="T568" s="79"/>
      <c r="Y568" s="79"/>
      <c r="AC568" s="130"/>
      <c r="AE568" s="106"/>
    </row>
    <row r="569">
      <c r="C569" s="79"/>
      <c r="D569" s="79"/>
      <c r="E569" s="79"/>
      <c r="O569" s="79"/>
      <c r="S569" s="79"/>
      <c r="T569" s="79"/>
      <c r="Y569" s="79"/>
      <c r="AC569" s="130"/>
      <c r="AE569" s="106"/>
    </row>
    <row r="570">
      <c r="C570" s="79"/>
      <c r="D570" s="79"/>
      <c r="E570" s="79"/>
      <c r="O570" s="79"/>
      <c r="S570" s="79"/>
      <c r="T570" s="79"/>
      <c r="Y570" s="79"/>
      <c r="AC570" s="130"/>
      <c r="AE570" s="106"/>
    </row>
    <row r="571">
      <c r="C571" s="79"/>
      <c r="D571" s="79"/>
      <c r="E571" s="79"/>
      <c r="O571" s="79"/>
      <c r="S571" s="79"/>
      <c r="T571" s="79"/>
      <c r="Y571" s="79"/>
      <c r="AC571" s="130"/>
      <c r="AE571" s="106"/>
    </row>
    <row r="572">
      <c r="C572" s="79"/>
      <c r="D572" s="79"/>
      <c r="E572" s="79"/>
      <c r="O572" s="79"/>
      <c r="S572" s="79"/>
      <c r="T572" s="79"/>
      <c r="Y572" s="79"/>
      <c r="AC572" s="130"/>
      <c r="AE572" s="106"/>
    </row>
    <row r="573">
      <c r="C573" s="79"/>
      <c r="D573" s="79"/>
      <c r="E573" s="79"/>
      <c r="O573" s="79"/>
      <c r="S573" s="79"/>
      <c r="T573" s="79"/>
      <c r="Y573" s="79"/>
      <c r="AC573" s="130"/>
      <c r="AE573" s="106"/>
    </row>
    <row r="574">
      <c r="C574" s="79"/>
      <c r="D574" s="79"/>
      <c r="E574" s="79"/>
      <c r="O574" s="79"/>
      <c r="S574" s="79"/>
      <c r="T574" s="79"/>
      <c r="Y574" s="79"/>
      <c r="AC574" s="130"/>
      <c r="AE574" s="106"/>
    </row>
    <row r="575">
      <c r="C575" s="79"/>
      <c r="D575" s="79"/>
      <c r="E575" s="79"/>
      <c r="O575" s="79"/>
      <c r="S575" s="79"/>
      <c r="T575" s="79"/>
      <c r="Y575" s="79"/>
      <c r="AC575" s="130"/>
      <c r="AE575" s="106"/>
    </row>
    <row r="576">
      <c r="C576" s="79"/>
      <c r="D576" s="79"/>
      <c r="E576" s="79"/>
      <c r="O576" s="79"/>
      <c r="S576" s="79"/>
      <c r="T576" s="79"/>
      <c r="Y576" s="79"/>
      <c r="AC576" s="130"/>
      <c r="AE576" s="106"/>
    </row>
    <row r="577">
      <c r="C577" s="79"/>
      <c r="D577" s="79"/>
      <c r="E577" s="79"/>
      <c r="O577" s="79"/>
      <c r="S577" s="79"/>
      <c r="T577" s="79"/>
      <c r="Y577" s="79"/>
      <c r="AC577" s="130"/>
      <c r="AE577" s="106"/>
    </row>
    <row r="578">
      <c r="C578" s="79"/>
      <c r="D578" s="79"/>
      <c r="E578" s="79"/>
      <c r="O578" s="79"/>
      <c r="S578" s="79"/>
      <c r="T578" s="79"/>
      <c r="Y578" s="79"/>
      <c r="AC578" s="130"/>
      <c r="AE578" s="106"/>
    </row>
    <row r="579">
      <c r="C579" s="79"/>
      <c r="D579" s="79"/>
      <c r="E579" s="79"/>
      <c r="O579" s="79"/>
      <c r="S579" s="79"/>
      <c r="T579" s="79"/>
      <c r="Y579" s="79"/>
      <c r="AC579" s="130"/>
      <c r="AE579" s="106"/>
    </row>
    <row r="580">
      <c r="C580" s="79"/>
      <c r="D580" s="79"/>
      <c r="E580" s="79"/>
      <c r="O580" s="79"/>
      <c r="S580" s="79"/>
      <c r="T580" s="79"/>
      <c r="Y580" s="79"/>
      <c r="AC580" s="130"/>
      <c r="AE580" s="106"/>
    </row>
    <row r="581">
      <c r="C581" s="79"/>
      <c r="D581" s="79"/>
      <c r="E581" s="79"/>
      <c r="O581" s="79"/>
      <c r="S581" s="79"/>
      <c r="T581" s="79"/>
      <c r="Y581" s="79"/>
      <c r="AC581" s="130"/>
      <c r="AE581" s="106"/>
    </row>
    <row r="582">
      <c r="C582" s="79"/>
      <c r="D582" s="79"/>
      <c r="E582" s="79"/>
      <c r="O582" s="79"/>
      <c r="S582" s="79"/>
      <c r="T582" s="79"/>
      <c r="Y582" s="79"/>
      <c r="AC582" s="130"/>
      <c r="AE582" s="106"/>
    </row>
    <row r="583">
      <c r="C583" s="79"/>
      <c r="D583" s="79"/>
      <c r="E583" s="79"/>
      <c r="O583" s="79"/>
      <c r="S583" s="79"/>
      <c r="T583" s="79"/>
      <c r="Y583" s="79"/>
      <c r="AC583" s="130"/>
      <c r="AE583" s="106"/>
    </row>
    <row r="584">
      <c r="C584" s="79"/>
      <c r="D584" s="79"/>
      <c r="E584" s="79"/>
      <c r="O584" s="79"/>
      <c r="S584" s="79"/>
      <c r="T584" s="79"/>
      <c r="Y584" s="79"/>
      <c r="AC584" s="130"/>
      <c r="AE584" s="106"/>
    </row>
    <row r="585">
      <c r="C585" s="79"/>
      <c r="D585" s="79"/>
      <c r="E585" s="79"/>
      <c r="O585" s="79"/>
      <c r="S585" s="79"/>
      <c r="T585" s="79"/>
      <c r="Y585" s="79"/>
      <c r="AC585" s="130"/>
      <c r="AE585" s="106"/>
    </row>
    <row r="586">
      <c r="C586" s="79"/>
      <c r="D586" s="79"/>
      <c r="E586" s="79"/>
      <c r="O586" s="79"/>
      <c r="S586" s="79"/>
      <c r="T586" s="79"/>
      <c r="Y586" s="79"/>
      <c r="AC586" s="130"/>
      <c r="AE586" s="106"/>
    </row>
    <row r="587">
      <c r="C587" s="79"/>
      <c r="D587" s="79"/>
      <c r="E587" s="79"/>
      <c r="O587" s="79"/>
      <c r="S587" s="79"/>
      <c r="T587" s="79"/>
      <c r="Y587" s="79"/>
      <c r="AC587" s="130"/>
      <c r="AE587" s="106"/>
    </row>
    <row r="588">
      <c r="C588" s="79"/>
      <c r="D588" s="79"/>
      <c r="E588" s="79"/>
      <c r="O588" s="79"/>
      <c r="S588" s="79"/>
      <c r="T588" s="79"/>
      <c r="Y588" s="79"/>
      <c r="AC588" s="130"/>
      <c r="AE588" s="106"/>
    </row>
    <row r="589">
      <c r="C589" s="79"/>
      <c r="D589" s="79"/>
      <c r="E589" s="79"/>
      <c r="O589" s="79"/>
      <c r="S589" s="79"/>
      <c r="T589" s="79"/>
      <c r="Y589" s="79"/>
      <c r="AC589" s="130"/>
      <c r="AE589" s="106"/>
    </row>
    <row r="590">
      <c r="C590" s="79"/>
      <c r="D590" s="79"/>
      <c r="E590" s="79"/>
      <c r="O590" s="79"/>
      <c r="S590" s="79"/>
      <c r="T590" s="79"/>
      <c r="Y590" s="79"/>
      <c r="AC590" s="130"/>
      <c r="AE590" s="106"/>
    </row>
    <row r="591">
      <c r="C591" s="79"/>
      <c r="D591" s="79"/>
      <c r="E591" s="79"/>
      <c r="O591" s="79"/>
      <c r="S591" s="79"/>
      <c r="T591" s="79"/>
      <c r="Y591" s="79"/>
      <c r="AC591" s="130"/>
      <c r="AE591" s="106"/>
    </row>
    <row r="592">
      <c r="C592" s="79"/>
      <c r="D592" s="79"/>
      <c r="E592" s="79"/>
      <c r="O592" s="79"/>
      <c r="S592" s="79"/>
      <c r="T592" s="79"/>
      <c r="Y592" s="79"/>
      <c r="AC592" s="130"/>
      <c r="AE592" s="106"/>
    </row>
    <row r="593">
      <c r="C593" s="79"/>
      <c r="D593" s="79"/>
      <c r="E593" s="79"/>
      <c r="O593" s="79"/>
      <c r="S593" s="79"/>
      <c r="T593" s="79"/>
      <c r="Y593" s="79"/>
      <c r="AC593" s="130"/>
      <c r="AE593" s="106"/>
    </row>
    <row r="594">
      <c r="C594" s="79"/>
      <c r="D594" s="79"/>
      <c r="E594" s="79"/>
      <c r="O594" s="79"/>
      <c r="S594" s="79"/>
      <c r="T594" s="79"/>
      <c r="Y594" s="79"/>
      <c r="AC594" s="130"/>
      <c r="AE594" s="106"/>
    </row>
    <row r="595">
      <c r="C595" s="79"/>
      <c r="D595" s="79"/>
      <c r="E595" s="79"/>
      <c r="O595" s="79"/>
      <c r="S595" s="79"/>
      <c r="T595" s="79"/>
      <c r="Y595" s="79"/>
      <c r="AC595" s="130"/>
      <c r="AE595" s="106"/>
    </row>
    <row r="596">
      <c r="C596" s="79"/>
      <c r="D596" s="79"/>
      <c r="E596" s="79"/>
      <c r="O596" s="79"/>
      <c r="S596" s="79"/>
      <c r="T596" s="79"/>
      <c r="Y596" s="79"/>
      <c r="AC596" s="130"/>
      <c r="AE596" s="106"/>
    </row>
    <row r="597">
      <c r="C597" s="79"/>
      <c r="D597" s="79"/>
      <c r="E597" s="79"/>
      <c r="O597" s="79"/>
      <c r="S597" s="79"/>
      <c r="T597" s="79"/>
      <c r="Y597" s="79"/>
      <c r="AC597" s="130"/>
      <c r="AE597" s="106"/>
    </row>
    <row r="598">
      <c r="C598" s="79"/>
      <c r="D598" s="79"/>
      <c r="E598" s="79"/>
      <c r="O598" s="79"/>
      <c r="S598" s="79"/>
      <c r="T598" s="79"/>
      <c r="Y598" s="79"/>
      <c r="AC598" s="130"/>
      <c r="AE598" s="106"/>
    </row>
    <row r="599">
      <c r="C599" s="79"/>
      <c r="D599" s="79"/>
      <c r="E599" s="79"/>
      <c r="O599" s="79"/>
      <c r="S599" s="79"/>
      <c r="T599" s="79"/>
      <c r="Y599" s="79"/>
      <c r="AC599" s="130"/>
      <c r="AE599" s="106"/>
    </row>
    <row r="600">
      <c r="C600" s="79"/>
      <c r="D600" s="79"/>
      <c r="E600" s="79"/>
      <c r="O600" s="79"/>
      <c r="S600" s="79"/>
      <c r="T600" s="79"/>
      <c r="Y600" s="79"/>
      <c r="AC600" s="130"/>
      <c r="AE600" s="106"/>
    </row>
    <row r="601">
      <c r="C601" s="79"/>
      <c r="D601" s="79"/>
      <c r="E601" s="79"/>
      <c r="O601" s="79"/>
      <c r="S601" s="79"/>
      <c r="T601" s="79"/>
      <c r="Y601" s="79"/>
      <c r="AC601" s="130"/>
      <c r="AE601" s="106"/>
    </row>
    <row r="602">
      <c r="C602" s="79"/>
      <c r="D602" s="79"/>
      <c r="E602" s="79"/>
      <c r="O602" s="79"/>
      <c r="S602" s="79"/>
      <c r="T602" s="79"/>
      <c r="Y602" s="79"/>
      <c r="AC602" s="130"/>
      <c r="AE602" s="106"/>
    </row>
    <row r="603">
      <c r="C603" s="79"/>
      <c r="D603" s="79"/>
      <c r="E603" s="79"/>
      <c r="O603" s="79"/>
      <c r="S603" s="79"/>
      <c r="T603" s="79"/>
      <c r="Y603" s="79"/>
      <c r="AC603" s="130"/>
      <c r="AE603" s="106"/>
    </row>
    <row r="604">
      <c r="C604" s="79"/>
      <c r="D604" s="79"/>
      <c r="E604" s="79"/>
      <c r="O604" s="79"/>
      <c r="S604" s="79"/>
      <c r="T604" s="79"/>
      <c r="Y604" s="79"/>
      <c r="AC604" s="130"/>
      <c r="AE604" s="106"/>
    </row>
    <row r="605">
      <c r="C605" s="79"/>
      <c r="D605" s="79"/>
      <c r="E605" s="79"/>
      <c r="O605" s="79"/>
      <c r="S605" s="79"/>
      <c r="T605" s="79"/>
      <c r="Y605" s="79"/>
      <c r="AC605" s="130"/>
      <c r="AE605" s="106"/>
    </row>
    <row r="606">
      <c r="C606" s="79"/>
      <c r="D606" s="79"/>
      <c r="E606" s="79"/>
      <c r="O606" s="79"/>
      <c r="S606" s="79"/>
      <c r="T606" s="79"/>
      <c r="Y606" s="79"/>
      <c r="AC606" s="130"/>
      <c r="AE606" s="106"/>
    </row>
    <row r="607">
      <c r="C607" s="79"/>
      <c r="D607" s="79"/>
      <c r="E607" s="79"/>
      <c r="O607" s="79"/>
      <c r="S607" s="79"/>
      <c r="T607" s="79"/>
      <c r="Y607" s="79"/>
      <c r="AC607" s="130"/>
      <c r="AE607" s="106"/>
    </row>
    <row r="608">
      <c r="C608" s="79"/>
      <c r="D608" s="79"/>
      <c r="E608" s="79"/>
      <c r="O608" s="79"/>
      <c r="S608" s="79"/>
      <c r="T608" s="79"/>
      <c r="Y608" s="79"/>
      <c r="AC608" s="130"/>
      <c r="AE608" s="106"/>
    </row>
    <row r="609">
      <c r="C609" s="79"/>
      <c r="D609" s="79"/>
      <c r="E609" s="79"/>
      <c r="O609" s="79"/>
      <c r="S609" s="79"/>
      <c r="T609" s="79"/>
      <c r="Y609" s="79"/>
      <c r="AC609" s="130"/>
      <c r="AE609" s="106"/>
    </row>
    <row r="610">
      <c r="C610" s="79"/>
      <c r="D610" s="79"/>
      <c r="E610" s="79"/>
      <c r="O610" s="79"/>
      <c r="S610" s="79"/>
      <c r="T610" s="79"/>
      <c r="Y610" s="79"/>
      <c r="AC610" s="130"/>
      <c r="AE610" s="106"/>
    </row>
    <row r="611">
      <c r="C611" s="79"/>
      <c r="D611" s="79"/>
      <c r="E611" s="79"/>
      <c r="O611" s="79"/>
      <c r="S611" s="79"/>
      <c r="T611" s="79"/>
      <c r="Y611" s="79"/>
      <c r="AC611" s="130"/>
      <c r="AE611" s="106"/>
    </row>
    <row r="612">
      <c r="C612" s="79"/>
      <c r="D612" s="79"/>
      <c r="E612" s="79"/>
      <c r="O612" s="79"/>
      <c r="S612" s="79"/>
      <c r="T612" s="79"/>
      <c r="Y612" s="79"/>
      <c r="AC612" s="130"/>
      <c r="AE612" s="106"/>
    </row>
    <row r="613">
      <c r="C613" s="79"/>
      <c r="D613" s="79"/>
      <c r="E613" s="79"/>
      <c r="O613" s="79"/>
      <c r="S613" s="79"/>
      <c r="T613" s="79"/>
      <c r="Y613" s="79"/>
      <c r="AC613" s="130"/>
      <c r="AE613" s="106"/>
    </row>
    <row r="614">
      <c r="C614" s="79"/>
      <c r="D614" s="79"/>
      <c r="E614" s="79"/>
      <c r="O614" s="79"/>
      <c r="S614" s="79"/>
      <c r="T614" s="79"/>
      <c r="Y614" s="79"/>
      <c r="AC614" s="130"/>
      <c r="AE614" s="106"/>
    </row>
    <row r="615">
      <c r="C615" s="79"/>
      <c r="D615" s="79"/>
      <c r="E615" s="79"/>
      <c r="O615" s="79"/>
      <c r="S615" s="79"/>
      <c r="T615" s="79"/>
      <c r="Y615" s="79"/>
      <c r="AC615" s="130"/>
      <c r="AE615" s="106"/>
    </row>
    <row r="616">
      <c r="C616" s="79"/>
      <c r="D616" s="79"/>
      <c r="E616" s="79"/>
      <c r="O616" s="79"/>
      <c r="S616" s="79"/>
      <c r="T616" s="79"/>
      <c r="Y616" s="79"/>
      <c r="AC616" s="130"/>
      <c r="AE616" s="106"/>
    </row>
    <row r="617">
      <c r="C617" s="79"/>
      <c r="D617" s="79"/>
      <c r="E617" s="79"/>
      <c r="O617" s="79"/>
      <c r="S617" s="79"/>
      <c r="T617" s="79"/>
      <c r="Y617" s="79"/>
      <c r="AC617" s="130"/>
      <c r="AE617" s="106"/>
    </row>
    <row r="618">
      <c r="C618" s="79"/>
      <c r="D618" s="79"/>
      <c r="E618" s="79"/>
      <c r="O618" s="79"/>
      <c r="S618" s="79"/>
      <c r="T618" s="79"/>
      <c r="Y618" s="79"/>
      <c r="AC618" s="130"/>
      <c r="AE618" s="106"/>
    </row>
    <row r="619">
      <c r="C619" s="79"/>
      <c r="D619" s="79"/>
      <c r="E619" s="79"/>
      <c r="O619" s="79"/>
      <c r="S619" s="79"/>
      <c r="T619" s="79"/>
      <c r="Y619" s="79"/>
      <c r="AC619" s="130"/>
      <c r="AE619" s="106"/>
    </row>
    <row r="620">
      <c r="C620" s="79"/>
      <c r="D620" s="79"/>
      <c r="E620" s="79"/>
      <c r="O620" s="79"/>
      <c r="S620" s="79"/>
      <c r="T620" s="79"/>
      <c r="Y620" s="79"/>
      <c r="AC620" s="130"/>
      <c r="AE620" s="106"/>
    </row>
    <row r="621">
      <c r="C621" s="79"/>
      <c r="D621" s="79"/>
      <c r="E621" s="79"/>
      <c r="O621" s="79"/>
      <c r="S621" s="79"/>
      <c r="T621" s="79"/>
      <c r="Y621" s="79"/>
      <c r="AC621" s="130"/>
      <c r="AE621" s="106"/>
    </row>
    <row r="622">
      <c r="C622" s="79"/>
      <c r="D622" s="79"/>
      <c r="E622" s="79"/>
      <c r="O622" s="79"/>
      <c r="S622" s="79"/>
      <c r="T622" s="79"/>
      <c r="Y622" s="79"/>
      <c r="AC622" s="130"/>
      <c r="AE622" s="106"/>
    </row>
    <row r="623">
      <c r="C623" s="79"/>
      <c r="D623" s="79"/>
      <c r="E623" s="79"/>
      <c r="O623" s="79"/>
      <c r="S623" s="79"/>
      <c r="T623" s="79"/>
      <c r="Y623" s="79"/>
      <c r="AC623" s="130"/>
      <c r="AE623" s="106"/>
    </row>
    <row r="624">
      <c r="C624" s="79"/>
      <c r="D624" s="79"/>
      <c r="E624" s="79"/>
      <c r="O624" s="79"/>
      <c r="S624" s="79"/>
      <c r="T624" s="79"/>
      <c r="Y624" s="79"/>
      <c r="AC624" s="130"/>
      <c r="AE624" s="106"/>
    </row>
    <row r="625">
      <c r="C625" s="79"/>
      <c r="D625" s="79"/>
      <c r="E625" s="79"/>
      <c r="O625" s="79"/>
      <c r="S625" s="79"/>
      <c r="T625" s="79"/>
      <c r="Y625" s="79"/>
      <c r="AC625" s="130"/>
      <c r="AE625" s="106"/>
    </row>
    <row r="626">
      <c r="C626" s="79"/>
      <c r="D626" s="79"/>
      <c r="E626" s="79"/>
      <c r="O626" s="79"/>
      <c r="S626" s="79"/>
      <c r="T626" s="79"/>
      <c r="Y626" s="79"/>
      <c r="AC626" s="130"/>
      <c r="AE626" s="106"/>
    </row>
    <row r="627">
      <c r="C627" s="79"/>
      <c r="D627" s="79"/>
      <c r="E627" s="79"/>
      <c r="O627" s="79"/>
      <c r="S627" s="79"/>
      <c r="T627" s="79"/>
      <c r="Y627" s="79"/>
      <c r="AC627" s="130"/>
      <c r="AE627" s="106"/>
    </row>
    <row r="628">
      <c r="C628" s="79"/>
      <c r="D628" s="79"/>
      <c r="E628" s="79"/>
      <c r="O628" s="79"/>
      <c r="S628" s="79"/>
      <c r="T628" s="79"/>
      <c r="Y628" s="79"/>
      <c r="AC628" s="130"/>
      <c r="AE628" s="106"/>
    </row>
    <row r="629">
      <c r="C629" s="79"/>
      <c r="D629" s="79"/>
      <c r="E629" s="79"/>
      <c r="O629" s="79"/>
      <c r="S629" s="79"/>
      <c r="T629" s="79"/>
      <c r="Y629" s="79"/>
      <c r="AC629" s="130"/>
      <c r="AE629" s="106"/>
    </row>
    <row r="630">
      <c r="C630" s="79"/>
      <c r="D630" s="79"/>
      <c r="E630" s="79"/>
      <c r="O630" s="79"/>
      <c r="S630" s="79"/>
      <c r="T630" s="79"/>
      <c r="Y630" s="79"/>
      <c r="AC630" s="130"/>
      <c r="AE630" s="106"/>
    </row>
    <row r="631">
      <c r="C631" s="79"/>
      <c r="D631" s="79"/>
      <c r="E631" s="79"/>
      <c r="O631" s="79"/>
      <c r="S631" s="79"/>
      <c r="T631" s="79"/>
      <c r="Y631" s="79"/>
      <c r="AC631" s="130"/>
      <c r="AE631" s="106"/>
    </row>
    <row r="632">
      <c r="C632" s="79"/>
      <c r="D632" s="79"/>
      <c r="E632" s="79"/>
      <c r="O632" s="79"/>
      <c r="S632" s="79"/>
      <c r="T632" s="79"/>
      <c r="Y632" s="79"/>
      <c r="AC632" s="130"/>
      <c r="AE632" s="106"/>
    </row>
    <row r="633">
      <c r="C633" s="79"/>
      <c r="D633" s="79"/>
      <c r="E633" s="79"/>
      <c r="O633" s="79"/>
      <c r="S633" s="79"/>
      <c r="T633" s="79"/>
      <c r="Y633" s="79"/>
      <c r="AC633" s="130"/>
      <c r="AE633" s="106"/>
    </row>
    <row r="634">
      <c r="C634" s="79"/>
      <c r="D634" s="79"/>
      <c r="E634" s="79"/>
      <c r="O634" s="79"/>
      <c r="S634" s="79"/>
      <c r="T634" s="79"/>
      <c r="Y634" s="79"/>
      <c r="AC634" s="130"/>
      <c r="AE634" s="106"/>
    </row>
    <row r="635">
      <c r="C635" s="79"/>
      <c r="D635" s="79"/>
      <c r="E635" s="79"/>
      <c r="O635" s="79"/>
      <c r="S635" s="79"/>
      <c r="T635" s="79"/>
      <c r="Y635" s="79"/>
      <c r="AC635" s="130"/>
      <c r="AE635" s="106"/>
    </row>
    <row r="636">
      <c r="C636" s="79"/>
      <c r="D636" s="79"/>
      <c r="E636" s="79"/>
      <c r="O636" s="79"/>
      <c r="S636" s="79"/>
      <c r="T636" s="79"/>
      <c r="Y636" s="79"/>
      <c r="AC636" s="130"/>
      <c r="AE636" s="106"/>
    </row>
    <row r="637">
      <c r="C637" s="79"/>
      <c r="D637" s="79"/>
      <c r="E637" s="79"/>
      <c r="O637" s="79"/>
      <c r="S637" s="79"/>
      <c r="T637" s="79"/>
      <c r="Y637" s="79"/>
      <c r="AC637" s="130"/>
      <c r="AE637" s="106"/>
    </row>
    <row r="638">
      <c r="C638" s="79"/>
      <c r="D638" s="79"/>
      <c r="E638" s="79"/>
      <c r="O638" s="79"/>
      <c r="S638" s="79"/>
      <c r="T638" s="79"/>
      <c r="Y638" s="79"/>
      <c r="AC638" s="130"/>
      <c r="AE638" s="106"/>
    </row>
    <row r="639">
      <c r="C639" s="79"/>
      <c r="D639" s="79"/>
      <c r="E639" s="79"/>
      <c r="O639" s="79"/>
      <c r="S639" s="79"/>
      <c r="T639" s="79"/>
      <c r="Y639" s="79"/>
      <c r="AC639" s="130"/>
      <c r="AE639" s="106"/>
    </row>
    <row r="640">
      <c r="C640" s="79"/>
      <c r="D640" s="79"/>
      <c r="E640" s="79"/>
      <c r="O640" s="79"/>
      <c r="S640" s="79"/>
      <c r="T640" s="79"/>
      <c r="Y640" s="79"/>
      <c r="AC640" s="130"/>
      <c r="AE640" s="106"/>
    </row>
    <row r="641">
      <c r="C641" s="79"/>
      <c r="D641" s="79"/>
      <c r="E641" s="79"/>
      <c r="O641" s="79"/>
      <c r="S641" s="79"/>
      <c r="T641" s="79"/>
      <c r="Y641" s="79"/>
      <c r="AC641" s="130"/>
      <c r="AE641" s="106"/>
    </row>
    <row r="642">
      <c r="C642" s="79"/>
      <c r="D642" s="79"/>
      <c r="E642" s="79"/>
      <c r="O642" s="79"/>
      <c r="S642" s="79"/>
      <c r="T642" s="79"/>
      <c r="Y642" s="79"/>
      <c r="AC642" s="130"/>
      <c r="AE642" s="106"/>
    </row>
    <row r="643">
      <c r="C643" s="79"/>
      <c r="D643" s="79"/>
      <c r="E643" s="79"/>
      <c r="O643" s="79"/>
      <c r="S643" s="79"/>
      <c r="T643" s="79"/>
      <c r="Y643" s="79"/>
      <c r="AC643" s="130"/>
      <c r="AE643" s="106"/>
    </row>
    <row r="644">
      <c r="C644" s="79"/>
      <c r="D644" s="79"/>
      <c r="E644" s="79"/>
      <c r="O644" s="79"/>
      <c r="S644" s="79"/>
      <c r="T644" s="79"/>
      <c r="Y644" s="79"/>
      <c r="AC644" s="130"/>
      <c r="AE644" s="106"/>
    </row>
    <row r="645">
      <c r="C645" s="79"/>
      <c r="D645" s="79"/>
      <c r="E645" s="79"/>
      <c r="O645" s="79"/>
      <c r="S645" s="79"/>
      <c r="T645" s="79"/>
      <c r="Y645" s="79"/>
      <c r="AC645" s="130"/>
      <c r="AE645" s="106"/>
    </row>
    <row r="646">
      <c r="C646" s="79"/>
      <c r="D646" s="79"/>
      <c r="E646" s="79"/>
      <c r="O646" s="79"/>
      <c r="S646" s="79"/>
      <c r="T646" s="79"/>
      <c r="Y646" s="79"/>
      <c r="AC646" s="130"/>
      <c r="AE646" s="106"/>
    </row>
    <row r="647">
      <c r="C647" s="79"/>
      <c r="D647" s="79"/>
      <c r="E647" s="79"/>
      <c r="O647" s="79"/>
      <c r="S647" s="79"/>
      <c r="T647" s="79"/>
      <c r="Y647" s="79"/>
      <c r="AC647" s="130"/>
      <c r="AE647" s="106"/>
    </row>
    <row r="648">
      <c r="C648" s="79"/>
      <c r="D648" s="79"/>
      <c r="E648" s="79"/>
      <c r="O648" s="79"/>
      <c r="S648" s="79"/>
      <c r="T648" s="79"/>
      <c r="Y648" s="79"/>
      <c r="AC648" s="130"/>
      <c r="AE648" s="106"/>
    </row>
    <row r="649">
      <c r="C649" s="79"/>
      <c r="D649" s="79"/>
      <c r="E649" s="79"/>
      <c r="O649" s="79"/>
      <c r="S649" s="79"/>
      <c r="T649" s="79"/>
      <c r="Y649" s="79"/>
      <c r="AC649" s="130"/>
      <c r="AE649" s="106"/>
    </row>
    <row r="650">
      <c r="C650" s="79"/>
      <c r="D650" s="79"/>
      <c r="E650" s="79"/>
      <c r="O650" s="79"/>
      <c r="S650" s="79"/>
      <c r="T650" s="79"/>
      <c r="Y650" s="79"/>
      <c r="AC650" s="130"/>
      <c r="AE650" s="106"/>
    </row>
    <row r="651">
      <c r="C651" s="79"/>
      <c r="D651" s="79"/>
      <c r="E651" s="79"/>
      <c r="O651" s="79"/>
      <c r="S651" s="79"/>
      <c r="T651" s="79"/>
      <c r="Y651" s="79"/>
      <c r="AC651" s="130"/>
      <c r="AE651" s="106"/>
    </row>
    <row r="652">
      <c r="C652" s="79"/>
      <c r="D652" s="79"/>
      <c r="E652" s="79"/>
      <c r="O652" s="79"/>
      <c r="S652" s="79"/>
      <c r="T652" s="79"/>
      <c r="Y652" s="79"/>
      <c r="AC652" s="130"/>
      <c r="AE652" s="106"/>
    </row>
    <row r="653">
      <c r="C653" s="79"/>
      <c r="D653" s="79"/>
      <c r="E653" s="79"/>
      <c r="O653" s="79"/>
      <c r="S653" s="79"/>
      <c r="T653" s="79"/>
      <c r="Y653" s="79"/>
      <c r="AC653" s="130"/>
      <c r="AE653" s="106"/>
    </row>
    <row r="654">
      <c r="C654" s="79"/>
      <c r="D654" s="79"/>
      <c r="E654" s="79"/>
      <c r="O654" s="79"/>
      <c r="S654" s="79"/>
      <c r="T654" s="79"/>
      <c r="Y654" s="79"/>
      <c r="AC654" s="130"/>
      <c r="AE654" s="106"/>
    </row>
    <row r="655">
      <c r="C655" s="79"/>
      <c r="D655" s="79"/>
      <c r="E655" s="79"/>
      <c r="O655" s="79"/>
      <c r="S655" s="79"/>
      <c r="T655" s="79"/>
      <c r="Y655" s="79"/>
      <c r="AC655" s="130"/>
      <c r="AE655" s="106"/>
    </row>
    <row r="656">
      <c r="C656" s="79"/>
      <c r="D656" s="79"/>
      <c r="E656" s="79"/>
      <c r="O656" s="79"/>
      <c r="S656" s="79"/>
      <c r="T656" s="79"/>
      <c r="Y656" s="79"/>
      <c r="AC656" s="130"/>
      <c r="AE656" s="106"/>
    </row>
    <row r="657">
      <c r="C657" s="79"/>
      <c r="D657" s="79"/>
      <c r="E657" s="79"/>
      <c r="O657" s="79"/>
      <c r="S657" s="79"/>
      <c r="T657" s="79"/>
      <c r="Y657" s="79"/>
      <c r="AC657" s="130"/>
      <c r="AE657" s="106"/>
    </row>
    <row r="658">
      <c r="C658" s="79"/>
      <c r="D658" s="79"/>
      <c r="E658" s="79"/>
      <c r="O658" s="79"/>
      <c r="S658" s="79"/>
      <c r="T658" s="79"/>
      <c r="Y658" s="79"/>
      <c r="AC658" s="130"/>
      <c r="AE658" s="106"/>
    </row>
    <row r="659">
      <c r="C659" s="79"/>
      <c r="D659" s="79"/>
      <c r="E659" s="79"/>
      <c r="O659" s="79"/>
      <c r="S659" s="79"/>
      <c r="T659" s="79"/>
      <c r="Y659" s="79"/>
      <c r="AC659" s="130"/>
      <c r="AE659" s="106"/>
    </row>
    <row r="660">
      <c r="C660" s="79"/>
      <c r="D660" s="79"/>
      <c r="E660" s="79"/>
      <c r="O660" s="79"/>
      <c r="S660" s="79"/>
      <c r="T660" s="79"/>
      <c r="Y660" s="79"/>
      <c r="AC660" s="130"/>
      <c r="AE660" s="106"/>
    </row>
    <row r="661">
      <c r="C661" s="79"/>
      <c r="D661" s="79"/>
      <c r="E661" s="79"/>
      <c r="O661" s="79"/>
      <c r="S661" s="79"/>
      <c r="T661" s="79"/>
      <c r="Y661" s="79"/>
      <c r="AC661" s="130"/>
      <c r="AE661" s="106"/>
    </row>
    <row r="662">
      <c r="C662" s="79"/>
      <c r="D662" s="79"/>
      <c r="E662" s="79"/>
      <c r="O662" s="79"/>
      <c r="S662" s="79"/>
      <c r="T662" s="79"/>
      <c r="Y662" s="79"/>
      <c r="AC662" s="130"/>
      <c r="AE662" s="106"/>
    </row>
    <row r="663">
      <c r="C663" s="79"/>
      <c r="D663" s="79"/>
      <c r="E663" s="79"/>
      <c r="O663" s="79"/>
      <c r="S663" s="79"/>
      <c r="T663" s="79"/>
      <c r="Y663" s="79"/>
      <c r="AC663" s="130"/>
      <c r="AE663" s="106"/>
    </row>
    <row r="664">
      <c r="C664" s="79"/>
      <c r="D664" s="79"/>
      <c r="E664" s="79"/>
      <c r="O664" s="79"/>
      <c r="S664" s="79"/>
      <c r="T664" s="79"/>
      <c r="Y664" s="79"/>
      <c r="AC664" s="130"/>
      <c r="AE664" s="106"/>
    </row>
    <row r="665">
      <c r="C665" s="79"/>
      <c r="D665" s="79"/>
      <c r="E665" s="79"/>
      <c r="O665" s="79"/>
      <c r="S665" s="79"/>
      <c r="T665" s="79"/>
      <c r="Y665" s="79"/>
      <c r="AC665" s="130"/>
      <c r="AE665" s="106"/>
    </row>
    <row r="666">
      <c r="C666" s="79"/>
      <c r="D666" s="79"/>
      <c r="E666" s="79"/>
      <c r="O666" s="79"/>
      <c r="S666" s="79"/>
      <c r="T666" s="79"/>
      <c r="Y666" s="79"/>
      <c r="AC666" s="130"/>
      <c r="AE666" s="106"/>
    </row>
    <row r="667">
      <c r="C667" s="79"/>
      <c r="D667" s="79"/>
      <c r="E667" s="79"/>
      <c r="O667" s="79"/>
      <c r="S667" s="79"/>
      <c r="T667" s="79"/>
      <c r="Y667" s="79"/>
      <c r="AC667" s="130"/>
      <c r="AE667" s="106"/>
    </row>
    <row r="668">
      <c r="C668" s="79"/>
      <c r="D668" s="79"/>
      <c r="E668" s="79"/>
      <c r="O668" s="79"/>
      <c r="S668" s="79"/>
      <c r="T668" s="79"/>
      <c r="Y668" s="79"/>
      <c r="AC668" s="130"/>
      <c r="AE668" s="106"/>
    </row>
    <row r="669">
      <c r="C669" s="79"/>
      <c r="D669" s="79"/>
      <c r="E669" s="79"/>
      <c r="O669" s="79"/>
      <c r="S669" s="79"/>
      <c r="T669" s="79"/>
      <c r="Y669" s="79"/>
      <c r="AC669" s="130"/>
      <c r="AE669" s="106"/>
    </row>
    <row r="670">
      <c r="C670" s="79"/>
      <c r="D670" s="79"/>
      <c r="E670" s="79"/>
      <c r="O670" s="79"/>
      <c r="S670" s="79"/>
      <c r="T670" s="79"/>
      <c r="Y670" s="79"/>
      <c r="AC670" s="130"/>
      <c r="AE670" s="106"/>
    </row>
    <row r="671">
      <c r="C671" s="79"/>
      <c r="D671" s="79"/>
      <c r="E671" s="79"/>
      <c r="O671" s="79"/>
      <c r="S671" s="79"/>
      <c r="T671" s="79"/>
      <c r="Y671" s="79"/>
      <c r="AC671" s="130"/>
      <c r="AE671" s="106"/>
    </row>
    <row r="672">
      <c r="C672" s="79"/>
      <c r="D672" s="79"/>
      <c r="E672" s="79"/>
      <c r="O672" s="79"/>
      <c r="S672" s="79"/>
      <c r="T672" s="79"/>
      <c r="Y672" s="79"/>
      <c r="AC672" s="130"/>
      <c r="AE672" s="106"/>
    </row>
    <row r="673">
      <c r="C673" s="79"/>
      <c r="D673" s="79"/>
      <c r="E673" s="79"/>
      <c r="O673" s="79"/>
      <c r="S673" s="79"/>
      <c r="T673" s="79"/>
      <c r="Y673" s="79"/>
      <c r="AC673" s="130"/>
      <c r="AE673" s="106"/>
    </row>
    <row r="674">
      <c r="C674" s="79"/>
      <c r="D674" s="79"/>
      <c r="E674" s="79"/>
      <c r="O674" s="79"/>
      <c r="S674" s="79"/>
      <c r="T674" s="79"/>
      <c r="Y674" s="79"/>
      <c r="AC674" s="130"/>
      <c r="AE674" s="106"/>
    </row>
    <row r="675">
      <c r="C675" s="79"/>
      <c r="D675" s="79"/>
      <c r="E675" s="79"/>
      <c r="O675" s="79"/>
      <c r="S675" s="79"/>
      <c r="T675" s="79"/>
      <c r="Y675" s="79"/>
      <c r="AC675" s="130"/>
      <c r="AE675" s="106"/>
    </row>
    <row r="676">
      <c r="C676" s="79"/>
      <c r="D676" s="79"/>
      <c r="E676" s="79"/>
      <c r="O676" s="79"/>
      <c r="S676" s="79"/>
      <c r="T676" s="79"/>
      <c r="Y676" s="79"/>
      <c r="AC676" s="130"/>
      <c r="AE676" s="106"/>
    </row>
    <row r="677">
      <c r="C677" s="79"/>
      <c r="D677" s="79"/>
      <c r="E677" s="79"/>
      <c r="O677" s="79"/>
      <c r="S677" s="79"/>
      <c r="T677" s="79"/>
      <c r="Y677" s="79"/>
      <c r="AC677" s="130"/>
      <c r="AE677" s="106"/>
    </row>
    <row r="678">
      <c r="C678" s="79"/>
      <c r="D678" s="79"/>
      <c r="E678" s="79"/>
      <c r="O678" s="79"/>
      <c r="S678" s="79"/>
      <c r="T678" s="79"/>
      <c r="Y678" s="79"/>
      <c r="AC678" s="130"/>
      <c r="AE678" s="106"/>
    </row>
    <row r="679">
      <c r="C679" s="79"/>
      <c r="D679" s="79"/>
      <c r="E679" s="79"/>
      <c r="O679" s="79"/>
      <c r="S679" s="79"/>
      <c r="T679" s="79"/>
      <c r="Y679" s="79"/>
      <c r="AC679" s="130"/>
      <c r="AE679" s="106"/>
    </row>
    <row r="680">
      <c r="C680" s="79"/>
      <c r="D680" s="79"/>
      <c r="E680" s="79"/>
      <c r="O680" s="79"/>
      <c r="S680" s="79"/>
      <c r="T680" s="79"/>
      <c r="Y680" s="79"/>
      <c r="AC680" s="130"/>
      <c r="AE680" s="106"/>
    </row>
    <row r="681">
      <c r="C681" s="79"/>
      <c r="D681" s="79"/>
      <c r="E681" s="79"/>
      <c r="O681" s="79"/>
      <c r="S681" s="79"/>
      <c r="T681" s="79"/>
      <c r="Y681" s="79"/>
      <c r="AC681" s="130"/>
      <c r="AE681" s="106"/>
    </row>
    <row r="682">
      <c r="C682" s="79"/>
      <c r="D682" s="79"/>
      <c r="E682" s="79"/>
      <c r="O682" s="79"/>
      <c r="S682" s="79"/>
      <c r="T682" s="79"/>
      <c r="Y682" s="79"/>
      <c r="AC682" s="130"/>
      <c r="AE682" s="106"/>
    </row>
    <row r="683">
      <c r="C683" s="79"/>
      <c r="D683" s="79"/>
      <c r="E683" s="79"/>
      <c r="O683" s="79"/>
      <c r="S683" s="79"/>
      <c r="T683" s="79"/>
      <c r="Y683" s="79"/>
      <c r="AC683" s="130"/>
      <c r="AE683" s="106"/>
    </row>
    <row r="684">
      <c r="C684" s="79"/>
      <c r="D684" s="79"/>
      <c r="E684" s="79"/>
      <c r="O684" s="79"/>
      <c r="S684" s="79"/>
      <c r="T684" s="79"/>
      <c r="Y684" s="79"/>
      <c r="AC684" s="130"/>
      <c r="AE684" s="106"/>
    </row>
    <row r="685">
      <c r="C685" s="79"/>
      <c r="D685" s="79"/>
      <c r="E685" s="79"/>
      <c r="O685" s="79"/>
      <c r="S685" s="79"/>
      <c r="T685" s="79"/>
      <c r="Y685" s="79"/>
      <c r="AC685" s="130"/>
      <c r="AE685" s="106"/>
    </row>
    <row r="686">
      <c r="C686" s="79"/>
      <c r="D686" s="79"/>
      <c r="E686" s="79"/>
      <c r="O686" s="79"/>
      <c r="S686" s="79"/>
      <c r="T686" s="79"/>
      <c r="Y686" s="79"/>
      <c r="AC686" s="130"/>
      <c r="AE686" s="106"/>
    </row>
    <row r="687">
      <c r="C687" s="79"/>
      <c r="D687" s="79"/>
      <c r="E687" s="79"/>
      <c r="O687" s="79"/>
      <c r="S687" s="79"/>
      <c r="T687" s="79"/>
      <c r="Y687" s="79"/>
      <c r="AC687" s="130"/>
      <c r="AE687" s="106"/>
    </row>
    <row r="688">
      <c r="C688" s="79"/>
      <c r="D688" s="79"/>
      <c r="E688" s="79"/>
      <c r="O688" s="79"/>
      <c r="S688" s="79"/>
      <c r="T688" s="79"/>
      <c r="Y688" s="79"/>
      <c r="AC688" s="130"/>
      <c r="AE688" s="106"/>
    </row>
    <row r="689">
      <c r="C689" s="79"/>
      <c r="D689" s="79"/>
      <c r="E689" s="79"/>
      <c r="O689" s="79"/>
      <c r="S689" s="79"/>
      <c r="T689" s="79"/>
      <c r="Y689" s="79"/>
      <c r="AC689" s="130"/>
      <c r="AE689" s="106"/>
    </row>
    <row r="690">
      <c r="C690" s="79"/>
      <c r="D690" s="79"/>
      <c r="E690" s="79"/>
      <c r="O690" s="79"/>
      <c r="S690" s="79"/>
      <c r="T690" s="79"/>
      <c r="Y690" s="79"/>
      <c r="AC690" s="130"/>
      <c r="AE690" s="106"/>
    </row>
    <row r="691">
      <c r="C691" s="79"/>
      <c r="D691" s="79"/>
      <c r="E691" s="79"/>
      <c r="O691" s="79"/>
      <c r="S691" s="79"/>
      <c r="T691" s="79"/>
      <c r="Y691" s="79"/>
      <c r="AC691" s="130"/>
      <c r="AE691" s="106"/>
    </row>
    <row r="692">
      <c r="C692" s="79"/>
      <c r="D692" s="79"/>
      <c r="E692" s="79"/>
      <c r="O692" s="79"/>
      <c r="S692" s="79"/>
      <c r="T692" s="79"/>
      <c r="Y692" s="79"/>
      <c r="AC692" s="130"/>
      <c r="AE692" s="106"/>
    </row>
    <row r="693">
      <c r="C693" s="79"/>
      <c r="D693" s="79"/>
      <c r="E693" s="79"/>
      <c r="O693" s="79"/>
      <c r="S693" s="79"/>
      <c r="T693" s="79"/>
      <c r="Y693" s="79"/>
      <c r="AC693" s="130"/>
      <c r="AE693" s="106"/>
    </row>
    <row r="694">
      <c r="C694" s="79"/>
      <c r="D694" s="79"/>
      <c r="E694" s="79"/>
      <c r="O694" s="79"/>
      <c r="S694" s="79"/>
      <c r="T694" s="79"/>
      <c r="Y694" s="79"/>
      <c r="AC694" s="130"/>
      <c r="AE694" s="106"/>
    </row>
    <row r="695">
      <c r="C695" s="79"/>
      <c r="D695" s="79"/>
      <c r="E695" s="79"/>
      <c r="O695" s="79"/>
      <c r="S695" s="79"/>
      <c r="T695" s="79"/>
      <c r="Y695" s="79"/>
      <c r="AC695" s="130"/>
      <c r="AE695" s="106"/>
    </row>
    <row r="696">
      <c r="C696" s="79"/>
      <c r="D696" s="79"/>
      <c r="E696" s="79"/>
      <c r="O696" s="79"/>
      <c r="S696" s="79"/>
      <c r="T696" s="79"/>
      <c r="Y696" s="79"/>
      <c r="AC696" s="130"/>
      <c r="AE696" s="106"/>
    </row>
    <row r="697">
      <c r="C697" s="79"/>
      <c r="D697" s="79"/>
      <c r="E697" s="79"/>
      <c r="O697" s="79"/>
      <c r="S697" s="79"/>
      <c r="T697" s="79"/>
      <c r="Y697" s="79"/>
      <c r="AC697" s="130"/>
      <c r="AE697" s="106"/>
    </row>
    <row r="698">
      <c r="C698" s="79"/>
      <c r="D698" s="79"/>
      <c r="E698" s="79"/>
      <c r="O698" s="79"/>
      <c r="S698" s="79"/>
      <c r="T698" s="79"/>
      <c r="Y698" s="79"/>
      <c r="AC698" s="130"/>
      <c r="AE698" s="106"/>
    </row>
    <row r="699">
      <c r="C699" s="79"/>
      <c r="D699" s="79"/>
      <c r="E699" s="79"/>
      <c r="O699" s="79"/>
      <c r="S699" s="79"/>
      <c r="T699" s="79"/>
      <c r="Y699" s="79"/>
      <c r="AC699" s="130"/>
      <c r="AE699" s="106"/>
    </row>
    <row r="700">
      <c r="C700" s="79"/>
      <c r="D700" s="79"/>
      <c r="E700" s="79"/>
      <c r="O700" s="79"/>
      <c r="S700" s="79"/>
      <c r="T700" s="79"/>
      <c r="Y700" s="79"/>
      <c r="AC700" s="130"/>
      <c r="AE700" s="106"/>
    </row>
    <row r="701">
      <c r="C701" s="79"/>
      <c r="D701" s="79"/>
      <c r="E701" s="79"/>
      <c r="O701" s="79"/>
      <c r="S701" s="79"/>
      <c r="T701" s="79"/>
      <c r="Y701" s="79"/>
      <c r="AC701" s="130"/>
      <c r="AE701" s="106"/>
    </row>
    <row r="702">
      <c r="C702" s="79"/>
      <c r="D702" s="79"/>
      <c r="E702" s="79"/>
      <c r="O702" s="79"/>
      <c r="S702" s="79"/>
      <c r="T702" s="79"/>
      <c r="Y702" s="79"/>
      <c r="AC702" s="130"/>
      <c r="AE702" s="106"/>
    </row>
    <row r="703">
      <c r="C703" s="79"/>
      <c r="D703" s="79"/>
      <c r="E703" s="79"/>
      <c r="O703" s="79"/>
      <c r="S703" s="79"/>
      <c r="T703" s="79"/>
      <c r="Y703" s="79"/>
      <c r="AC703" s="130"/>
      <c r="AE703" s="106"/>
    </row>
    <row r="704">
      <c r="C704" s="79"/>
      <c r="D704" s="79"/>
      <c r="E704" s="79"/>
      <c r="O704" s="79"/>
      <c r="S704" s="79"/>
      <c r="T704" s="79"/>
      <c r="Y704" s="79"/>
      <c r="AC704" s="130"/>
      <c r="AE704" s="106"/>
    </row>
    <row r="705">
      <c r="C705" s="79"/>
      <c r="D705" s="79"/>
      <c r="E705" s="79"/>
      <c r="O705" s="79"/>
      <c r="S705" s="79"/>
      <c r="T705" s="79"/>
      <c r="Y705" s="79"/>
      <c r="AC705" s="130"/>
      <c r="AE705" s="106"/>
    </row>
    <row r="706">
      <c r="C706" s="79"/>
      <c r="D706" s="79"/>
      <c r="E706" s="79"/>
      <c r="O706" s="79"/>
      <c r="S706" s="79"/>
      <c r="T706" s="79"/>
      <c r="Y706" s="79"/>
      <c r="AC706" s="130"/>
      <c r="AE706" s="106"/>
    </row>
    <row r="707">
      <c r="C707" s="79"/>
      <c r="D707" s="79"/>
      <c r="E707" s="79"/>
      <c r="O707" s="79"/>
      <c r="S707" s="79"/>
      <c r="T707" s="79"/>
      <c r="Y707" s="79"/>
      <c r="AC707" s="130"/>
      <c r="AE707" s="106"/>
    </row>
    <row r="708">
      <c r="C708" s="79"/>
      <c r="D708" s="79"/>
      <c r="E708" s="79"/>
      <c r="O708" s="79"/>
      <c r="S708" s="79"/>
      <c r="T708" s="79"/>
      <c r="Y708" s="79"/>
      <c r="AC708" s="130"/>
      <c r="AE708" s="106"/>
    </row>
    <row r="709">
      <c r="C709" s="79"/>
      <c r="D709" s="79"/>
      <c r="E709" s="79"/>
      <c r="O709" s="79"/>
      <c r="S709" s="79"/>
      <c r="T709" s="79"/>
      <c r="Y709" s="79"/>
      <c r="AC709" s="130"/>
      <c r="AE709" s="106"/>
    </row>
    <row r="710">
      <c r="C710" s="79"/>
      <c r="D710" s="79"/>
      <c r="E710" s="79"/>
      <c r="O710" s="79"/>
      <c r="S710" s="79"/>
      <c r="T710" s="79"/>
      <c r="Y710" s="79"/>
      <c r="AC710" s="130"/>
      <c r="AE710" s="106"/>
    </row>
    <row r="711">
      <c r="C711" s="79"/>
      <c r="D711" s="79"/>
      <c r="E711" s="79"/>
      <c r="O711" s="79"/>
      <c r="S711" s="79"/>
      <c r="T711" s="79"/>
      <c r="Y711" s="79"/>
      <c r="AC711" s="130"/>
      <c r="AE711" s="106"/>
    </row>
    <row r="712">
      <c r="C712" s="79"/>
      <c r="D712" s="79"/>
      <c r="E712" s="79"/>
      <c r="O712" s="79"/>
      <c r="S712" s="79"/>
      <c r="T712" s="79"/>
      <c r="Y712" s="79"/>
      <c r="AC712" s="130"/>
      <c r="AE712" s="106"/>
    </row>
    <row r="713">
      <c r="C713" s="79"/>
      <c r="D713" s="79"/>
      <c r="E713" s="79"/>
      <c r="O713" s="79"/>
      <c r="S713" s="79"/>
      <c r="T713" s="79"/>
      <c r="Y713" s="79"/>
      <c r="AC713" s="130"/>
      <c r="AE713" s="106"/>
    </row>
    <row r="714">
      <c r="C714" s="79"/>
      <c r="D714" s="79"/>
      <c r="E714" s="79"/>
      <c r="O714" s="79"/>
      <c r="S714" s="79"/>
      <c r="T714" s="79"/>
      <c r="Y714" s="79"/>
      <c r="AC714" s="130"/>
      <c r="AE714" s="106"/>
    </row>
    <row r="715">
      <c r="C715" s="79"/>
      <c r="D715" s="79"/>
      <c r="E715" s="79"/>
      <c r="O715" s="79"/>
      <c r="S715" s="79"/>
      <c r="T715" s="79"/>
      <c r="Y715" s="79"/>
      <c r="AC715" s="130"/>
      <c r="AE715" s="106"/>
    </row>
    <row r="716">
      <c r="C716" s="79"/>
      <c r="D716" s="79"/>
      <c r="E716" s="79"/>
      <c r="O716" s="79"/>
      <c r="S716" s="79"/>
      <c r="T716" s="79"/>
      <c r="Y716" s="79"/>
      <c r="AC716" s="130"/>
      <c r="AE716" s="106"/>
    </row>
    <row r="717">
      <c r="C717" s="79"/>
      <c r="D717" s="79"/>
      <c r="E717" s="79"/>
      <c r="O717" s="79"/>
      <c r="S717" s="79"/>
      <c r="T717" s="79"/>
      <c r="Y717" s="79"/>
      <c r="AC717" s="130"/>
      <c r="AE717" s="106"/>
    </row>
    <row r="718">
      <c r="C718" s="79"/>
      <c r="D718" s="79"/>
      <c r="E718" s="79"/>
      <c r="O718" s="79"/>
      <c r="S718" s="79"/>
      <c r="T718" s="79"/>
      <c r="Y718" s="79"/>
      <c r="AC718" s="130"/>
      <c r="AE718" s="106"/>
    </row>
    <row r="719">
      <c r="C719" s="79"/>
      <c r="D719" s="79"/>
      <c r="E719" s="79"/>
      <c r="O719" s="79"/>
      <c r="S719" s="79"/>
      <c r="T719" s="79"/>
      <c r="Y719" s="79"/>
      <c r="AC719" s="130"/>
      <c r="AE719" s="106"/>
    </row>
    <row r="720">
      <c r="C720" s="79"/>
      <c r="D720" s="79"/>
      <c r="E720" s="79"/>
      <c r="O720" s="79"/>
      <c r="S720" s="79"/>
      <c r="T720" s="79"/>
      <c r="Y720" s="79"/>
      <c r="AC720" s="130"/>
      <c r="AE720" s="106"/>
    </row>
    <row r="721">
      <c r="C721" s="79"/>
      <c r="D721" s="79"/>
      <c r="E721" s="79"/>
      <c r="O721" s="79"/>
      <c r="S721" s="79"/>
      <c r="T721" s="79"/>
      <c r="Y721" s="79"/>
      <c r="AC721" s="130"/>
      <c r="AE721" s="106"/>
    </row>
    <row r="722">
      <c r="C722" s="79"/>
      <c r="D722" s="79"/>
      <c r="E722" s="79"/>
      <c r="O722" s="79"/>
      <c r="S722" s="79"/>
      <c r="T722" s="79"/>
      <c r="Y722" s="79"/>
      <c r="AC722" s="130"/>
      <c r="AE722" s="106"/>
    </row>
    <row r="723">
      <c r="C723" s="79"/>
      <c r="D723" s="79"/>
      <c r="E723" s="79"/>
      <c r="O723" s="79"/>
      <c r="S723" s="79"/>
      <c r="T723" s="79"/>
      <c r="Y723" s="79"/>
      <c r="AC723" s="130"/>
      <c r="AE723" s="106"/>
    </row>
    <row r="724">
      <c r="C724" s="79"/>
      <c r="D724" s="79"/>
      <c r="E724" s="79"/>
      <c r="O724" s="79"/>
      <c r="S724" s="79"/>
      <c r="T724" s="79"/>
      <c r="Y724" s="79"/>
      <c r="AC724" s="130"/>
      <c r="AE724" s="106"/>
    </row>
    <row r="725">
      <c r="C725" s="79"/>
      <c r="D725" s="79"/>
      <c r="E725" s="79"/>
      <c r="O725" s="79"/>
      <c r="S725" s="79"/>
      <c r="T725" s="79"/>
      <c r="Y725" s="79"/>
      <c r="AC725" s="130"/>
      <c r="AE725" s="106"/>
    </row>
    <row r="726">
      <c r="C726" s="79"/>
      <c r="D726" s="79"/>
      <c r="E726" s="79"/>
      <c r="O726" s="79"/>
      <c r="S726" s="79"/>
      <c r="T726" s="79"/>
      <c r="Y726" s="79"/>
      <c r="AC726" s="130"/>
      <c r="AE726" s="106"/>
    </row>
    <row r="727">
      <c r="C727" s="79"/>
      <c r="D727" s="79"/>
      <c r="E727" s="79"/>
      <c r="O727" s="79"/>
      <c r="S727" s="79"/>
      <c r="T727" s="79"/>
      <c r="Y727" s="79"/>
      <c r="AC727" s="130"/>
      <c r="AE727" s="106"/>
    </row>
    <row r="728">
      <c r="C728" s="79"/>
      <c r="D728" s="79"/>
      <c r="E728" s="79"/>
      <c r="O728" s="79"/>
      <c r="S728" s="79"/>
      <c r="T728" s="79"/>
      <c r="Y728" s="79"/>
      <c r="AC728" s="130"/>
      <c r="AE728" s="106"/>
    </row>
    <row r="729">
      <c r="C729" s="79"/>
      <c r="D729" s="79"/>
      <c r="E729" s="79"/>
      <c r="O729" s="79"/>
      <c r="S729" s="79"/>
      <c r="T729" s="79"/>
      <c r="Y729" s="79"/>
      <c r="AC729" s="130"/>
      <c r="AE729" s="106"/>
    </row>
    <row r="730">
      <c r="C730" s="79"/>
      <c r="D730" s="79"/>
      <c r="E730" s="79"/>
      <c r="O730" s="79"/>
      <c r="S730" s="79"/>
      <c r="T730" s="79"/>
      <c r="Y730" s="79"/>
      <c r="AC730" s="130"/>
      <c r="AE730" s="106"/>
    </row>
    <row r="731">
      <c r="C731" s="79"/>
      <c r="D731" s="79"/>
      <c r="E731" s="79"/>
      <c r="O731" s="79"/>
      <c r="S731" s="79"/>
      <c r="T731" s="79"/>
      <c r="Y731" s="79"/>
      <c r="AC731" s="130"/>
      <c r="AE731" s="106"/>
    </row>
    <row r="732">
      <c r="C732" s="79"/>
      <c r="D732" s="79"/>
      <c r="E732" s="79"/>
      <c r="O732" s="79"/>
      <c r="S732" s="79"/>
      <c r="T732" s="79"/>
      <c r="Y732" s="79"/>
      <c r="AC732" s="130"/>
      <c r="AE732" s="106"/>
    </row>
    <row r="733">
      <c r="C733" s="79"/>
      <c r="D733" s="79"/>
      <c r="E733" s="79"/>
      <c r="O733" s="79"/>
      <c r="S733" s="79"/>
      <c r="T733" s="79"/>
      <c r="Y733" s="79"/>
      <c r="AC733" s="130"/>
      <c r="AE733" s="106"/>
    </row>
    <row r="734">
      <c r="C734" s="79"/>
      <c r="D734" s="79"/>
      <c r="E734" s="79"/>
      <c r="O734" s="79"/>
      <c r="S734" s="79"/>
      <c r="T734" s="79"/>
      <c r="Y734" s="79"/>
      <c r="AC734" s="130"/>
      <c r="AE734" s="106"/>
    </row>
    <row r="735">
      <c r="C735" s="79"/>
      <c r="D735" s="79"/>
      <c r="E735" s="79"/>
      <c r="O735" s="79"/>
      <c r="S735" s="79"/>
      <c r="T735" s="79"/>
      <c r="Y735" s="79"/>
      <c r="AC735" s="130"/>
      <c r="AE735" s="106"/>
    </row>
    <row r="736">
      <c r="C736" s="79"/>
      <c r="D736" s="79"/>
      <c r="E736" s="79"/>
      <c r="O736" s="79"/>
      <c r="S736" s="79"/>
      <c r="T736" s="79"/>
      <c r="Y736" s="79"/>
      <c r="AC736" s="130"/>
      <c r="AE736" s="106"/>
    </row>
    <row r="737">
      <c r="C737" s="79"/>
      <c r="D737" s="79"/>
      <c r="E737" s="79"/>
      <c r="O737" s="79"/>
      <c r="S737" s="79"/>
      <c r="T737" s="79"/>
      <c r="Y737" s="79"/>
      <c r="AC737" s="130"/>
      <c r="AE737" s="106"/>
    </row>
    <row r="738">
      <c r="C738" s="79"/>
      <c r="D738" s="79"/>
      <c r="E738" s="79"/>
      <c r="O738" s="79"/>
      <c r="S738" s="79"/>
      <c r="T738" s="79"/>
      <c r="Y738" s="79"/>
      <c r="AC738" s="130"/>
      <c r="AE738" s="106"/>
    </row>
    <row r="739">
      <c r="C739" s="79"/>
      <c r="D739" s="79"/>
      <c r="E739" s="79"/>
      <c r="O739" s="79"/>
      <c r="S739" s="79"/>
      <c r="T739" s="79"/>
      <c r="Y739" s="79"/>
      <c r="AC739" s="130"/>
      <c r="AE739" s="106"/>
    </row>
    <row r="740">
      <c r="C740" s="79"/>
      <c r="D740" s="79"/>
      <c r="E740" s="79"/>
      <c r="O740" s="79"/>
      <c r="S740" s="79"/>
      <c r="T740" s="79"/>
      <c r="Y740" s="79"/>
      <c r="AC740" s="130"/>
      <c r="AE740" s="106"/>
    </row>
    <row r="741">
      <c r="C741" s="79"/>
      <c r="D741" s="79"/>
      <c r="E741" s="79"/>
      <c r="O741" s="79"/>
      <c r="S741" s="79"/>
      <c r="T741" s="79"/>
      <c r="Y741" s="79"/>
      <c r="AC741" s="130"/>
      <c r="AE741" s="106"/>
    </row>
    <row r="742">
      <c r="C742" s="79"/>
      <c r="D742" s="79"/>
      <c r="E742" s="79"/>
      <c r="O742" s="79"/>
      <c r="S742" s="79"/>
      <c r="T742" s="79"/>
      <c r="Y742" s="79"/>
      <c r="AC742" s="130"/>
      <c r="AE742" s="106"/>
    </row>
    <row r="743">
      <c r="C743" s="79"/>
      <c r="D743" s="79"/>
      <c r="E743" s="79"/>
      <c r="O743" s="79"/>
      <c r="S743" s="79"/>
      <c r="T743" s="79"/>
      <c r="Y743" s="79"/>
      <c r="AC743" s="130"/>
      <c r="AE743" s="106"/>
    </row>
    <row r="744">
      <c r="C744" s="79"/>
      <c r="D744" s="79"/>
      <c r="E744" s="79"/>
      <c r="O744" s="79"/>
      <c r="S744" s="79"/>
      <c r="T744" s="79"/>
      <c r="Y744" s="79"/>
      <c r="AC744" s="130"/>
      <c r="AE744" s="106"/>
    </row>
    <row r="745">
      <c r="C745" s="79"/>
      <c r="D745" s="79"/>
      <c r="E745" s="79"/>
      <c r="O745" s="79"/>
      <c r="S745" s="79"/>
      <c r="T745" s="79"/>
      <c r="Y745" s="79"/>
      <c r="AC745" s="130"/>
      <c r="AE745" s="106"/>
    </row>
    <row r="746">
      <c r="C746" s="79"/>
      <c r="D746" s="79"/>
      <c r="E746" s="79"/>
      <c r="O746" s="79"/>
      <c r="S746" s="79"/>
      <c r="T746" s="79"/>
      <c r="Y746" s="79"/>
      <c r="AC746" s="130"/>
      <c r="AE746" s="106"/>
    </row>
    <row r="747">
      <c r="C747" s="79"/>
      <c r="D747" s="79"/>
      <c r="E747" s="79"/>
      <c r="O747" s="79"/>
      <c r="S747" s="79"/>
      <c r="T747" s="79"/>
      <c r="Y747" s="79"/>
      <c r="AC747" s="130"/>
      <c r="AE747" s="106"/>
    </row>
    <row r="748">
      <c r="C748" s="79"/>
      <c r="D748" s="79"/>
      <c r="E748" s="79"/>
      <c r="O748" s="79"/>
      <c r="S748" s="79"/>
      <c r="T748" s="79"/>
      <c r="Y748" s="79"/>
      <c r="AC748" s="130"/>
      <c r="AE748" s="106"/>
    </row>
    <row r="749">
      <c r="C749" s="79"/>
      <c r="D749" s="79"/>
      <c r="E749" s="79"/>
      <c r="O749" s="79"/>
      <c r="S749" s="79"/>
      <c r="T749" s="79"/>
      <c r="Y749" s="79"/>
      <c r="AC749" s="130"/>
      <c r="AE749" s="106"/>
    </row>
    <row r="750">
      <c r="C750" s="79"/>
      <c r="D750" s="79"/>
      <c r="E750" s="79"/>
      <c r="O750" s="79"/>
      <c r="S750" s="79"/>
      <c r="T750" s="79"/>
      <c r="Y750" s="79"/>
      <c r="AC750" s="130"/>
      <c r="AE750" s="106"/>
    </row>
    <row r="751">
      <c r="C751" s="79"/>
      <c r="D751" s="79"/>
      <c r="E751" s="79"/>
      <c r="O751" s="79"/>
      <c r="S751" s="79"/>
      <c r="T751" s="79"/>
      <c r="Y751" s="79"/>
      <c r="AC751" s="130"/>
      <c r="AE751" s="106"/>
    </row>
    <row r="752">
      <c r="C752" s="79"/>
      <c r="D752" s="79"/>
      <c r="E752" s="79"/>
      <c r="O752" s="79"/>
      <c r="S752" s="79"/>
      <c r="T752" s="79"/>
      <c r="Y752" s="79"/>
      <c r="AC752" s="130"/>
      <c r="AE752" s="106"/>
    </row>
    <row r="753">
      <c r="C753" s="79"/>
      <c r="D753" s="79"/>
      <c r="E753" s="79"/>
      <c r="O753" s="79"/>
      <c r="S753" s="79"/>
      <c r="T753" s="79"/>
      <c r="Y753" s="79"/>
      <c r="AC753" s="130"/>
      <c r="AE753" s="106"/>
    </row>
    <row r="754">
      <c r="C754" s="79"/>
      <c r="D754" s="79"/>
      <c r="E754" s="79"/>
      <c r="O754" s="79"/>
      <c r="S754" s="79"/>
      <c r="T754" s="79"/>
      <c r="Y754" s="79"/>
      <c r="AC754" s="130"/>
      <c r="AE754" s="106"/>
    </row>
    <row r="755">
      <c r="C755" s="79"/>
      <c r="D755" s="79"/>
      <c r="E755" s="79"/>
      <c r="O755" s="79"/>
      <c r="S755" s="79"/>
      <c r="T755" s="79"/>
      <c r="Y755" s="79"/>
      <c r="AC755" s="130"/>
      <c r="AE755" s="106"/>
    </row>
    <row r="756">
      <c r="C756" s="79"/>
      <c r="D756" s="79"/>
      <c r="E756" s="79"/>
      <c r="O756" s="79"/>
      <c r="S756" s="79"/>
      <c r="T756" s="79"/>
      <c r="Y756" s="79"/>
      <c r="AC756" s="130"/>
      <c r="AE756" s="106"/>
    </row>
    <row r="757">
      <c r="C757" s="79"/>
      <c r="D757" s="79"/>
      <c r="E757" s="79"/>
      <c r="O757" s="79"/>
      <c r="S757" s="79"/>
      <c r="T757" s="79"/>
      <c r="Y757" s="79"/>
      <c r="AC757" s="130"/>
      <c r="AE757" s="106"/>
    </row>
    <row r="758">
      <c r="C758" s="79"/>
      <c r="D758" s="79"/>
      <c r="E758" s="79"/>
      <c r="O758" s="79"/>
      <c r="S758" s="79"/>
      <c r="T758" s="79"/>
      <c r="Y758" s="79"/>
      <c r="AC758" s="130"/>
      <c r="AE758" s="106"/>
    </row>
    <row r="759">
      <c r="C759" s="79"/>
      <c r="D759" s="79"/>
      <c r="E759" s="79"/>
      <c r="O759" s="79"/>
      <c r="S759" s="79"/>
      <c r="T759" s="79"/>
      <c r="Y759" s="79"/>
      <c r="AC759" s="130"/>
      <c r="AE759" s="106"/>
    </row>
    <row r="760">
      <c r="C760" s="79"/>
      <c r="D760" s="79"/>
      <c r="E760" s="79"/>
      <c r="O760" s="79"/>
      <c r="S760" s="79"/>
      <c r="T760" s="79"/>
      <c r="Y760" s="79"/>
      <c r="AC760" s="130"/>
      <c r="AE760" s="106"/>
    </row>
    <row r="761">
      <c r="C761" s="79"/>
      <c r="D761" s="79"/>
      <c r="E761" s="79"/>
      <c r="O761" s="79"/>
      <c r="S761" s="79"/>
      <c r="T761" s="79"/>
      <c r="Y761" s="79"/>
      <c r="AC761" s="130"/>
      <c r="AE761" s="106"/>
    </row>
    <row r="762">
      <c r="C762" s="79"/>
      <c r="D762" s="79"/>
      <c r="E762" s="79"/>
      <c r="O762" s="79"/>
      <c r="S762" s="79"/>
      <c r="T762" s="79"/>
      <c r="Y762" s="79"/>
      <c r="AC762" s="130"/>
      <c r="AE762" s="106"/>
    </row>
    <row r="763">
      <c r="C763" s="79"/>
      <c r="D763" s="79"/>
      <c r="E763" s="79"/>
      <c r="O763" s="79"/>
      <c r="S763" s="79"/>
      <c r="T763" s="79"/>
      <c r="Y763" s="79"/>
      <c r="AC763" s="130"/>
      <c r="AE763" s="106"/>
    </row>
    <row r="764">
      <c r="C764" s="79"/>
      <c r="D764" s="79"/>
      <c r="E764" s="79"/>
      <c r="O764" s="79"/>
      <c r="S764" s="79"/>
      <c r="T764" s="79"/>
      <c r="Y764" s="79"/>
      <c r="AC764" s="130"/>
      <c r="AE764" s="106"/>
    </row>
    <row r="765">
      <c r="C765" s="79"/>
      <c r="D765" s="79"/>
      <c r="E765" s="79"/>
      <c r="O765" s="79"/>
      <c r="S765" s="79"/>
      <c r="T765" s="79"/>
      <c r="Y765" s="79"/>
      <c r="AC765" s="130"/>
      <c r="AE765" s="106"/>
    </row>
    <row r="766">
      <c r="C766" s="79"/>
      <c r="D766" s="79"/>
      <c r="E766" s="79"/>
      <c r="O766" s="79"/>
      <c r="S766" s="79"/>
      <c r="T766" s="79"/>
      <c r="Y766" s="79"/>
      <c r="AC766" s="130"/>
      <c r="AE766" s="106"/>
    </row>
    <row r="767">
      <c r="C767" s="79"/>
      <c r="D767" s="79"/>
      <c r="E767" s="79"/>
      <c r="O767" s="79"/>
      <c r="S767" s="79"/>
      <c r="T767" s="79"/>
      <c r="Y767" s="79"/>
      <c r="AC767" s="130"/>
      <c r="AE767" s="106"/>
    </row>
    <row r="768">
      <c r="C768" s="79"/>
      <c r="D768" s="79"/>
      <c r="E768" s="79"/>
      <c r="O768" s="79"/>
      <c r="S768" s="79"/>
      <c r="T768" s="79"/>
      <c r="Y768" s="79"/>
      <c r="AC768" s="130"/>
      <c r="AE768" s="106"/>
    </row>
    <row r="769">
      <c r="C769" s="79"/>
      <c r="D769" s="79"/>
      <c r="E769" s="79"/>
      <c r="O769" s="79"/>
      <c r="S769" s="79"/>
      <c r="T769" s="79"/>
      <c r="Y769" s="79"/>
      <c r="AC769" s="130"/>
      <c r="AE769" s="106"/>
    </row>
    <row r="770">
      <c r="C770" s="79"/>
      <c r="D770" s="79"/>
      <c r="E770" s="79"/>
      <c r="O770" s="79"/>
      <c r="S770" s="79"/>
      <c r="T770" s="79"/>
      <c r="Y770" s="79"/>
      <c r="AC770" s="130"/>
      <c r="AE770" s="106"/>
    </row>
    <row r="771">
      <c r="C771" s="79"/>
      <c r="D771" s="79"/>
      <c r="E771" s="79"/>
      <c r="O771" s="79"/>
      <c r="S771" s="79"/>
      <c r="T771" s="79"/>
      <c r="Y771" s="79"/>
      <c r="AC771" s="130"/>
      <c r="AE771" s="106"/>
    </row>
    <row r="772">
      <c r="C772" s="79"/>
      <c r="D772" s="79"/>
      <c r="E772" s="79"/>
      <c r="O772" s="79"/>
      <c r="S772" s="79"/>
      <c r="T772" s="79"/>
      <c r="Y772" s="79"/>
      <c r="AC772" s="130"/>
      <c r="AE772" s="106"/>
    </row>
    <row r="773">
      <c r="C773" s="79"/>
      <c r="D773" s="79"/>
      <c r="E773" s="79"/>
      <c r="O773" s="79"/>
      <c r="S773" s="79"/>
      <c r="T773" s="79"/>
      <c r="Y773" s="79"/>
      <c r="AC773" s="130"/>
      <c r="AE773" s="106"/>
    </row>
    <row r="774">
      <c r="C774" s="79"/>
      <c r="D774" s="79"/>
      <c r="E774" s="79"/>
      <c r="O774" s="79"/>
      <c r="S774" s="79"/>
      <c r="T774" s="79"/>
      <c r="Y774" s="79"/>
      <c r="AC774" s="130"/>
      <c r="AE774" s="106"/>
    </row>
    <row r="775">
      <c r="C775" s="79"/>
      <c r="D775" s="79"/>
      <c r="E775" s="79"/>
      <c r="O775" s="79"/>
      <c r="S775" s="79"/>
      <c r="T775" s="79"/>
      <c r="Y775" s="79"/>
      <c r="AC775" s="130"/>
      <c r="AE775" s="106"/>
    </row>
    <row r="776">
      <c r="C776" s="79"/>
      <c r="D776" s="79"/>
      <c r="E776" s="79"/>
      <c r="O776" s="79"/>
      <c r="S776" s="79"/>
      <c r="T776" s="79"/>
      <c r="Y776" s="79"/>
      <c r="AC776" s="130"/>
      <c r="AE776" s="106"/>
    </row>
    <row r="777">
      <c r="C777" s="79"/>
      <c r="D777" s="79"/>
      <c r="E777" s="79"/>
      <c r="O777" s="79"/>
      <c r="S777" s="79"/>
      <c r="T777" s="79"/>
      <c r="Y777" s="79"/>
      <c r="AC777" s="130"/>
      <c r="AE777" s="106"/>
    </row>
    <row r="778">
      <c r="C778" s="79"/>
      <c r="D778" s="79"/>
      <c r="E778" s="79"/>
      <c r="O778" s="79"/>
      <c r="S778" s="79"/>
      <c r="T778" s="79"/>
      <c r="Y778" s="79"/>
      <c r="AC778" s="130"/>
      <c r="AE778" s="106"/>
    </row>
    <row r="779">
      <c r="C779" s="79"/>
      <c r="D779" s="79"/>
      <c r="E779" s="79"/>
      <c r="O779" s="79"/>
      <c r="S779" s="79"/>
      <c r="T779" s="79"/>
      <c r="Y779" s="79"/>
      <c r="AC779" s="130"/>
      <c r="AE779" s="106"/>
    </row>
    <row r="780">
      <c r="C780" s="79"/>
      <c r="D780" s="79"/>
      <c r="E780" s="79"/>
      <c r="O780" s="79"/>
      <c r="S780" s="79"/>
      <c r="T780" s="79"/>
      <c r="Y780" s="79"/>
      <c r="AC780" s="130"/>
      <c r="AE780" s="106"/>
    </row>
    <row r="781">
      <c r="C781" s="79"/>
      <c r="D781" s="79"/>
      <c r="E781" s="79"/>
      <c r="O781" s="79"/>
      <c r="S781" s="79"/>
      <c r="T781" s="79"/>
      <c r="Y781" s="79"/>
      <c r="AC781" s="130"/>
      <c r="AE781" s="106"/>
    </row>
    <row r="782">
      <c r="C782" s="79"/>
      <c r="D782" s="79"/>
      <c r="E782" s="79"/>
      <c r="O782" s="79"/>
      <c r="S782" s="79"/>
      <c r="T782" s="79"/>
      <c r="Y782" s="79"/>
      <c r="AC782" s="130"/>
      <c r="AE782" s="106"/>
    </row>
    <row r="783">
      <c r="C783" s="79"/>
      <c r="D783" s="79"/>
      <c r="E783" s="79"/>
      <c r="O783" s="79"/>
      <c r="S783" s="79"/>
      <c r="T783" s="79"/>
      <c r="Y783" s="79"/>
      <c r="AC783" s="130"/>
      <c r="AE783" s="106"/>
    </row>
    <row r="784">
      <c r="C784" s="79"/>
      <c r="D784" s="79"/>
      <c r="E784" s="79"/>
      <c r="O784" s="79"/>
      <c r="S784" s="79"/>
      <c r="T784" s="79"/>
      <c r="Y784" s="79"/>
      <c r="AC784" s="130"/>
      <c r="AE784" s="106"/>
    </row>
    <row r="785">
      <c r="C785" s="79"/>
      <c r="D785" s="79"/>
      <c r="E785" s="79"/>
      <c r="O785" s="79"/>
      <c r="S785" s="79"/>
      <c r="T785" s="79"/>
      <c r="Y785" s="79"/>
      <c r="AC785" s="130"/>
      <c r="AE785" s="106"/>
    </row>
    <row r="786">
      <c r="C786" s="79"/>
      <c r="D786" s="79"/>
      <c r="E786" s="79"/>
      <c r="O786" s="79"/>
      <c r="S786" s="79"/>
      <c r="T786" s="79"/>
      <c r="Y786" s="79"/>
      <c r="AC786" s="130"/>
      <c r="AE786" s="106"/>
    </row>
    <row r="787">
      <c r="C787" s="79"/>
      <c r="D787" s="79"/>
      <c r="E787" s="79"/>
      <c r="O787" s="79"/>
      <c r="S787" s="79"/>
      <c r="T787" s="79"/>
      <c r="Y787" s="79"/>
      <c r="AC787" s="130"/>
      <c r="AE787" s="106"/>
    </row>
    <row r="788">
      <c r="C788" s="79"/>
      <c r="D788" s="79"/>
      <c r="E788" s="79"/>
      <c r="O788" s="79"/>
      <c r="S788" s="79"/>
      <c r="T788" s="79"/>
      <c r="Y788" s="79"/>
      <c r="AC788" s="130"/>
      <c r="AE788" s="106"/>
    </row>
    <row r="789">
      <c r="C789" s="79"/>
      <c r="D789" s="79"/>
      <c r="E789" s="79"/>
      <c r="O789" s="79"/>
      <c r="S789" s="79"/>
      <c r="T789" s="79"/>
      <c r="Y789" s="79"/>
      <c r="AC789" s="130"/>
      <c r="AE789" s="106"/>
    </row>
    <row r="790">
      <c r="C790" s="79"/>
      <c r="D790" s="79"/>
      <c r="E790" s="79"/>
      <c r="O790" s="79"/>
      <c r="S790" s="79"/>
      <c r="T790" s="79"/>
      <c r="Y790" s="79"/>
      <c r="AC790" s="130"/>
      <c r="AE790" s="106"/>
    </row>
    <row r="791">
      <c r="C791" s="79"/>
      <c r="D791" s="79"/>
      <c r="E791" s="79"/>
      <c r="O791" s="79"/>
      <c r="S791" s="79"/>
      <c r="T791" s="79"/>
      <c r="Y791" s="79"/>
      <c r="AC791" s="130"/>
      <c r="AE791" s="106"/>
    </row>
    <row r="792">
      <c r="C792" s="79"/>
      <c r="D792" s="79"/>
      <c r="E792" s="79"/>
      <c r="O792" s="79"/>
      <c r="S792" s="79"/>
      <c r="T792" s="79"/>
      <c r="Y792" s="79"/>
      <c r="AC792" s="130"/>
      <c r="AE792" s="106"/>
    </row>
    <row r="793">
      <c r="C793" s="79"/>
      <c r="D793" s="79"/>
      <c r="E793" s="79"/>
      <c r="O793" s="79"/>
      <c r="S793" s="79"/>
      <c r="T793" s="79"/>
      <c r="Y793" s="79"/>
      <c r="AC793" s="130"/>
      <c r="AE793" s="106"/>
    </row>
    <row r="794">
      <c r="C794" s="79"/>
      <c r="D794" s="79"/>
      <c r="E794" s="79"/>
      <c r="O794" s="79"/>
      <c r="S794" s="79"/>
      <c r="T794" s="79"/>
      <c r="Y794" s="79"/>
      <c r="AC794" s="130"/>
      <c r="AE794" s="106"/>
    </row>
    <row r="795">
      <c r="C795" s="79"/>
      <c r="D795" s="79"/>
      <c r="E795" s="79"/>
      <c r="O795" s="79"/>
      <c r="S795" s="79"/>
      <c r="T795" s="79"/>
      <c r="Y795" s="79"/>
      <c r="AC795" s="130"/>
      <c r="AE795" s="106"/>
    </row>
    <row r="796">
      <c r="C796" s="79"/>
      <c r="D796" s="79"/>
      <c r="E796" s="79"/>
      <c r="O796" s="79"/>
      <c r="S796" s="79"/>
      <c r="T796" s="79"/>
      <c r="Y796" s="79"/>
      <c r="AC796" s="130"/>
      <c r="AE796" s="106"/>
    </row>
    <row r="797">
      <c r="C797" s="79"/>
      <c r="D797" s="79"/>
      <c r="E797" s="79"/>
      <c r="O797" s="79"/>
      <c r="S797" s="79"/>
      <c r="T797" s="79"/>
      <c r="Y797" s="79"/>
      <c r="AC797" s="130"/>
      <c r="AE797" s="106"/>
    </row>
    <row r="798">
      <c r="C798" s="79"/>
      <c r="D798" s="79"/>
      <c r="E798" s="79"/>
      <c r="O798" s="79"/>
      <c r="S798" s="79"/>
      <c r="T798" s="79"/>
      <c r="Y798" s="79"/>
      <c r="AC798" s="130"/>
      <c r="AE798" s="106"/>
    </row>
    <row r="799">
      <c r="C799" s="79"/>
      <c r="D799" s="79"/>
      <c r="E799" s="79"/>
      <c r="O799" s="79"/>
      <c r="S799" s="79"/>
      <c r="T799" s="79"/>
      <c r="Y799" s="79"/>
      <c r="AC799" s="130"/>
      <c r="AE799" s="106"/>
    </row>
    <row r="800">
      <c r="C800" s="79"/>
      <c r="D800" s="79"/>
      <c r="E800" s="79"/>
      <c r="O800" s="79"/>
      <c r="S800" s="79"/>
      <c r="T800" s="79"/>
      <c r="Y800" s="79"/>
      <c r="AC800" s="130"/>
      <c r="AE800" s="106"/>
    </row>
    <row r="801">
      <c r="C801" s="79"/>
      <c r="D801" s="79"/>
      <c r="E801" s="79"/>
      <c r="O801" s="79"/>
      <c r="S801" s="79"/>
      <c r="T801" s="79"/>
      <c r="Y801" s="79"/>
      <c r="AC801" s="130"/>
      <c r="AE801" s="106"/>
    </row>
    <row r="802">
      <c r="C802" s="79"/>
      <c r="D802" s="79"/>
      <c r="E802" s="79"/>
      <c r="O802" s="79"/>
      <c r="S802" s="79"/>
      <c r="T802" s="79"/>
      <c r="Y802" s="79"/>
      <c r="AC802" s="130"/>
      <c r="AE802" s="106"/>
    </row>
    <row r="803">
      <c r="C803" s="79"/>
      <c r="D803" s="79"/>
      <c r="E803" s="79"/>
      <c r="O803" s="79"/>
      <c r="S803" s="79"/>
      <c r="T803" s="79"/>
      <c r="Y803" s="79"/>
      <c r="AC803" s="130"/>
      <c r="AE803" s="106"/>
    </row>
    <row r="804">
      <c r="C804" s="79"/>
      <c r="D804" s="79"/>
      <c r="E804" s="79"/>
      <c r="O804" s="79"/>
      <c r="S804" s="79"/>
      <c r="T804" s="79"/>
      <c r="Y804" s="79"/>
      <c r="AC804" s="130"/>
      <c r="AE804" s="106"/>
    </row>
    <row r="805">
      <c r="C805" s="79"/>
      <c r="D805" s="79"/>
      <c r="E805" s="79"/>
      <c r="O805" s="79"/>
      <c r="S805" s="79"/>
      <c r="T805" s="79"/>
      <c r="Y805" s="79"/>
      <c r="AC805" s="130"/>
      <c r="AE805" s="106"/>
    </row>
    <row r="806">
      <c r="C806" s="79"/>
      <c r="D806" s="79"/>
      <c r="E806" s="79"/>
      <c r="O806" s="79"/>
      <c r="S806" s="79"/>
      <c r="T806" s="79"/>
      <c r="Y806" s="79"/>
      <c r="AC806" s="130"/>
      <c r="AE806" s="106"/>
    </row>
    <row r="807">
      <c r="C807" s="79"/>
      <c r="D807" s="79"/>
      <c r="E807" s="79"/>
      <c r="O807" s="79"/>
      <c r="S807" s="79"/>
      <c r="T807" s="79"/>
      <c r="Y807" s="79"/>
      <c r="AC807" s="130"/>
      <c r="AE807" s="106"/>
    </row>
    <row r="808">
      <c r="C808" s="79"/>
      <c r="D808" s="79"/>
      <c r="E808" s="79"/>
      <c r="O808" s="79"/>
      <c r="S808" s="79"/>
      <c r="T808" s="79"/>
      <c r="Y808" s="79"/>
      <c r="AC808" s="130"/>
      <c r="AE808" s="106"/>
    </row>
    <row r="809">
      <c r="C809" s="79"/>
      <c r="D809" s="79"/>
      <c r="E809" s="79"/>
      <c r="O809" s="79"/>
      <c r="S809" s="79"/>
      <c r="T809" s="79"/>
      <c r="Y809" s="79"/>
      <c r="AC809" s="130"/>
      <c r="AE809" s="106"/>
    </row>
    <row r="810">
      <c r="C810" s="79"/>
      <c r="D810" s="79"/>
      <c r="E810" s="79"/>
      <c r="O810" s="79"/>
      <c r="S810" s="79"/>
      <c r="T810" s="79"/>
      <c r="Y810" s="79"/>
      <c r="AC810" s="130"/>
      <c r="AE810" s="106"/>
    </row>
    <row r="811">
      <c r="C811" s="79"/>
      <c r="D811" s="79"/>
      <c r="E811" s="79"/>
      <c r="O811" s="79"/>
      <c r="S811" s="79"/>
      <c r="T811" s="79"/>
      <c r="Y811" s="79"/>
      <c r="AC811" s="130"/>
      <c r="AE811" s="106"/>
    </row>
    <row r="812">
      <c r="C812" s="79"/>
      <c r="D812" s="79"/>
      <c r="E812" s="79"/>
      <c r="O812" s="79"/>
      <c r="S812" s="79"/>
      <c r="T812" s="79"/>
      <c r="Y812" s="79"/>
      <c r="AC812" s="130"/>
      <c r="AE812" s="106"/>
    </row>
    <row r="813">
      <c r="C813" s="79"/>
      <c r="D813" s="79"/>
      <c r="E813" s="79"/>
      <c r="O813" s="79"/>
      <c r="S813" s="79"/>
      <c r="T813" s="79"/>
      <c r="Y813" s="79"/>
      <c r="AC813" s="130"/>
      <c r="AE813" s="106"/>
    </row>
    <row r="814">
      <c r="C814" s="79"/>
      <c r="D814" s="79"/>
      <c r="E814" s="79"/>
      <c r="O814" s="79"/>
      <c r="S814" s="79"/>
      <c r="T814" s="79"/>
      <c r="Y814" s="79"/>
      <c r="AC814" s="130"/>
      <c r="AE814" s="106"/>
    </row>
    <row r="815">
      <c r="C815" s="79"/>
      <c r="D815" s="79"/>
      <c r="E815" s="79"/>
      <c r="O815" s="79"/>
      <c r="S815" s="79"/>
      <c r="T815" s="79"/>
      <c r="Y815" s="79"/>
      <c r="AC815" s="130"/>
      <c r="AE815" s="106"/>
    </row>
    <row r="816">
      <c r="C816" s="79"/>
      <c r="D816" s="79"/>
      <c r="E816" s="79"/>
      <c r="O816" s="79"/>
      <c r="S816" s="79"/>
      <c r="T816" s="79"/>
      <c r="Y816" s="79"/>
      <c r="AC816" s="130"/>
      <c r="AE816" s="106"/>
    </row>
    <row r="817">
      <c r="C817" s="79"/>
      <c r="D817" s="79"/>
      <c r="E817" s="79"/>
      <c r="O817" s="79"/>
      <c r="S817" s="79"/>
      <c r="T817" s="79"/>
      <c r="Y817" s="79"/>
      <c r="AC817" s="130"/>
      <c r="AE817" s="106"/>
    </row>
    <row r="818">
      <c r="C818" s="79"/>
      <c r="D818" s="79"/>
      <c r="E818" s="79"/>
      <c r="O818" s="79"/>
      <c r="S818" s="79"/>
      <c r="T818" s="79"/>
      <c r="Y818" s="79"/>
      <c r="AC818" s="130"/>
      <c r="AE818" s="106"/>
    </row>
    <row r="819">
      <c r="C819" s="79"/>
      <c r="D819" s="79"/>
      <c r="E819" s="79"/>
      <c r="O819" s="79"/>
      <c r="S819" s="79"/>
      <c r="T819" s="79"/>
      <c r="Y819" s="79"/>
      <c r="AC819" s="130"/>
      <c r="AE819" s="106"/>
    </row>
    <row r="820">
      <c r="C820" s="79"/>
      <c r="D820" s="79"/>
      <c r="E820" s="79"/>
      <c r="O820" s="79"/>
      <c r="S820" s="79"/>
      <c r="T820" s="79"/>
      <c r="Y820" s="79"/>
      <c r="AC820" s="130"/>
      <c r="AE820" s="106"/>
    </row>
    <row r="821">
      <c r="C821" s="79"/>
      <c r="D821" s="79"/>
      <c r="E821" s="79"/>
      <c r="O821" s="79"/>
      <c r="S821" s="79"/>
      <c r="T821" s="79"/>
      <c r="Y821" s="79"/>
      <c r="AC821" s="130"/>
      <c r="AE821" s="106"/>
    </row>
    <row r="822">
      <c r="C822" s="79"/>
      <c r="D822" s="79"/>
      <c r="E822" s="79"/>
      <c r="O822" s="79"/>
      <c r="S822" s="79"/>
      <c r="T822" s="79"/>
      <c r="Y822" s="79"/>
      <c r="AC822" s="130"/>
      <c r="AE822" s="106"/>
    </row>
    <row r="823">
      <c r="C823" s="79"/>
      <c r="D823" s="79"/>
      <c r="E823" s="79"/>
      <c r="O823" s="79"/>
      <c r="S823" s="79"/>
      <c r="T823" s="79"/>
      <c r="Y823" s="79"/>
      <c r="AC823" s="130"/>
      <c r="AE823" s="106"/>
    </row>
    <row r="824">
      <c r="C824" s="79"/>
      <c r="D824" s="79"/>
      <c r="E824" s="79"/>
      <c r="O824" s="79"/>
      <c r="S824" s="79"/>
      <c r="T824" s="79"/>
      <c r="Y824" s="79"/>
      <c r="AC824" s="130"/>
      <c r="AE824" s="106"/>
    </row>
    <row r="825">
      <c r="C825" s="79"/>
      <c r="D825" s="79"/>
      <c r="E825" s="79"/>
      <c r="O825" s="79"/>
      <c r="S825" s="79"/>
      <c r="T825" s="79"/>
      <c r="Y825" s="79"/>
      <c r="AC825" s="130"/>
      <c r="AE825" s="106"/>
    </row>
    <row r="826">
      <c r="C826" s="79"/>
      <c r="D826" s="79"/>
      <c r="E826" s="79"/>
      <c r="O826" s="79"/>
      <c r="S826" s="79"/>
      <c r="T826" s="79"/>
      <c r="Y826" s="79"/>
      <c r="AC826" s="130"/>
      <c r="AE826" s="106"/>
    </row>
    <row r="827">
      <c r="C827" s="79"/>
      <c r="D827" s="79"/>
      <c r="E827" s="79"/>
      <c r="O827" s="79"/>
      <c r="S827" s="79"/>
      <c r="T827" s="79"/>
      <c r="Y827" s="79"/>
      <c r="AC827" s="130"/>
      <c r="AE827" s="106"/>
    </row>
    <row r="828">
      <c r="C828" s="79"/>
      <c r="D828" s="79"/>
      <c r="E828" s="79"/>
      <c r="O828" s="79"/>
      <c r="S828" s="79"/>
      <c r="T828" s="79"/>
      <c r="Y828" s="79"/>
      <c r="AC828" s="130"/>
      <c r="AE828" s="106"/>
    </row>
    <row r="829">
      <c r="C829" s="79"/>
      <c r="D829" s="79"/>
      <c r="E829" s="79"/>
      <c r="O829" s="79"/>
      <c r="S829" s="79"/>
      <c r="T829" s="79"/>
      <c r="Y829" s="79"/>
      <c r="AC829" s="130"/>
      <c r="AE829" s="106"/>
    </row>
    <row r="830">
      <c r="C830" s="79"/>
      <c r="D830" s="79"/>
      <c r="E830" s="79"/>
      <c r="O830" s="79"/>
      <c r="S830" s="79"/>
      <c r="T830" s="79"/>
      <c r="Y830" s="79"/>
      <c r="AC830" s="130"/>
      <c r="AE830" s="106"/>
    </row>
    <row r="831">
      <c r="C831" s="79"/>
      <c r="D831" s="79"/>
      <c r="E831" s="79"/>
      <c r="O831" s="79"/>
      <c r="S831" s="79"/>
      <c r="T831" s="79"/>
      <c r="Y831" s="79"/>
      <c r="AC831" s="130"/>
      <c r="AE831" s="106"/>
    </row>
    <row r="832">
      <c r="C832" s="79"/>
      <c r="D832" s="79"/>
      <c r="E832" s="79"/>
      <c r="O832" s="79"/>
      <c r="S832" s="79"/>
      <c r="T832" s="79"/>
      <c r="Y832" s="79"/>
      <c r="AC832" s="130"/>
      <c r="AE832" s="106"/>
    </row>
    <row r="833">
      <c r="C833" s="79"/>
      <c r="D833" s="79"/>
      <c r="E833" s="79"/>
      <c r="O833" s="79"/>
      <c r="S833" s="79"/>
      <c r="T833" s="79"/>
      <c r="Y833" s="79"/>
      <c r="AC833" s="130"/>
      <c r="AE833" s="106"/>
    </row>
    <row r="834">
      <c r="C834" s="79"/>
      <c r="D834" s="79"/>
      <c r="E834" s="79"/>
      <c r="O834" s="79"/>
      <c r="S834" s="79"/>
      <c r="T834" s="79"/>
      <c r="Y834" s="79"/>
      <c r="AC834" s="130"/>
      <c r="AE834" s="106"/>
    </row>
    <row r="835">
      <c r="C835" s="79"/>
      <c r="D835" s="79"/>
      <c r="E835" s="79"/>
      <c r="O835" s="79"/>
      <c r="S835" s="79"/>
      <c r="T835" s="79"/>
      <c r="Y835" s="79"/>
      <c r="AC835" s="130"/>
      <c r="AE835" s="106"/>
    </row>
    <row r="836">
      <c r="C836" s="79"/>
      <c r="D836" s="79"/>
      <c r="E836" s="79"/>
      <c r="O836" s="79"/>
      <c r="S836" s="79"/>
      <c r="T836" s="79"/>
      <c r="Y836" s="79"/>
      <c r="AC836" s="130"/>
      <c r="AE836" s="106"/>
    </row>
    <row r="837">
      <c r="C837" s="79"/>
      <c r="D837" s="79"/>
      <c r="E837" s="79"/>
      <c r="O837" s="79"/>
      <c r="S837" s="79"/>
      <c r="T837" s="79"/>
      <c r="Y837" s="79"/>
      <c r="AC837" s="130"/>
      <c r="AE837" s="106"/>
    </row>
    <row r="838">
      <c r="C838" s="79"/>
      <c r="D838" s="79"/>
      <c r="E838" s="79"/>
      <c r="O838" s="79"/>
      <c r="S838" s="79"/>
      <c r="T838" s="79"/>
      <c r="Y838" s="79"/>
      <c r="AC838" s="130"/>
      <c r="AE838" s="106"/>
    </row>
    <row r="839">
      <c r="C839" s="79"/>
      <c r="D839" s="79"/>
      <c r="E839" s="79"/>
      <c r="O839" s="79"/>
      <c r="S839" s="79"/>
      <c r="T839" s="79"/>
      <c r="Y839" s="79"/>
      <c r="AC839" s="130"/>
      <c r="AE839" s="106"/>
    </row>
    <row r="840">
      <c r="C840" s="79"/>
      <c r="D840" s="79"/>
      <c r="E840" s="79"/>
      <c r="O840" s="79"/>
      <c r="S840" s="79"/>
      <c r="T840" s="79"/>
      <c r="Y840" s="79"/>
      <c r="AC840" s="130"/>
      <c r="AE840" s="106"/>
    </row>
    <row r="841">
      <c r="C841" s="79"/>
      <c r="D841" s="79"/>
      <c r="E841" s="79"/>
      <c r="O841" s="79"/>
      <c r="S841" s="79"/>
      <c r="T841" s="79"/>
      <c r="Y841" s="79"/>
      <c r="AC841" s="130"/>
      <c r="AE841" s="106"/>
    </row>
    <row r="842">
      <c r="C842" s="79"/>
      <c r="D842" s="79"/>
      <c r="E842" s="79"/>
      <c r="O842" s="79"/>
      <c r="S842" s="79"/>
      <c r="T842" s="79"/>
      <c r="Y842" s="79"/>
      <c r="AC842" s="130"/>
      <c r="AE842" s="106"/>
    </row>
    <row r="843">
      <c r="C843" s="79"/>
      <c r="D843" s="79"/>
      <c r="E843" s="79"/>
      <c r="O843" s="79"/>
      <c r="S843" s="79"/>
      <c r="T843" s="79"/>
      <c r="Y843" s="79"/>
      <c r="AC843" s="130"/>
      <c r="AE843" s="106"/>
    </row>
    <row r="844">
      <c r="C844" s="79"/>
      <c r="D844" s="79"/>
      <c r="E844" s="79"/>
      <c r="O844" s="79"/>
      <c r="S844" s="79"/>
      <c r="T844" s="79"/>
      <c r="Y844" s="79"/>
      <c r="AC844" s="130"/>
      <c r="AE844" s="106"/>
    </row>
    <row r="845">
      <c r="C845" s="79"/>
      <c r="D845" s="79"/>
      <c r="E845" s="79"/>
      <c r="O845" s="79"/>
      <c r="S845" s="79"/>
      <c r="T845" s="79"/>
      <c r="Y845" s="79"/>
      <c r="AC845" s="130"/>
      <c r="AE845" s="106"/>
    </row>
    <row r="846">
      <c r="C846" s="79"/>
      <c r="D846" s="79"/>
      <c r="E846" s="79"/>
      <c r="O846" s="79"/>
      <c r="S846" s="79"/>
      <c r="T846" s="79"/>
      <c r="Y846" s="79"/>
      <c r="AC846" s="130"/>
      <c r="AE846" s="106"/>
    </row>
    <row r="847">
      <c r="C847" s="79"/>
      <c r="D847" s="79"/>
      <c r="E847" s="79"/>
      <c r="O847" s="79"/>
      <c r="S847" s="79"/>
      <c r="T847" s="79"/>
      <c r="Y847" s="79"/>
      <c r="AC847" s="130"/>
      <c r="AE847" s="106"/>
    </row>
    <row r="848">
      <c r="C848" s="79"/>
      <c r="D848" s="79"/>
      <c r="E848" s="79"/>
      <c r="O848" s="79"/>
      <c r="S848" s="79"/>
      <c r="T848" s="79"/>
      <c r="Y848" s="79"/>
      <c r="AC848" s="130"/>
      <c r="AE848" s="106"/>
    </row>
    <row r="849">
      <c r="C849" s="79"/>
      <c r="D849" s="79"/>
      <c r="E849" s="79"/>
      <c r="O849" s="79"/>
      <c r="S849" s="79"/>
      <c r="T849" s="79"/>
      <c r="Y849" s="79"/>
      <c r="AC849" s="130"/>
      <c r="AE849" s="106"/>
    </row>
    <row r="850">
      <c r="C850" s="79"/>
      <c r="D850" s="79"/>
      <c r="E850" s="79"/>
      <c r="O850" s="79"/>
      <c r="S850" s="79"/>
      <c r="T850" s="79"/>
      <c r="Y850" s="79"/>
      <c r="AC850" s="130"/>
      <c r="AE850" s="106"/>
    </row>
    <row r="851">
      <c r="C851" s="79"/>
      <c r="D851" s="79"/>
      <c r="E851" s="79"/>
      <c r="O851" s="79"/>
      <c r="S851" s="79"/>
      <c r="T851" s="79"/>
      <c r="Y851" s="79"/>
      <c r="AC851" s="130"/>
      <c r="AE851" s="106"/>
    </row>
    <row r="852">
      <c r="C852" s="79"/>
      <c r="D852" s="79"/>
      <c r="E852" s="79"/>
      <c r="O852" s="79"/>
      <c r="S852" s="79"/>
      <c r="T852" s="79"/>
      <c r="Y852" s="79"/>
      <c r="AC852" s="130"/>
      <c r="AE852" s="106"/>
    </row>
    <row r="853">
      <c r="C853" s="79"/>
      <c r="D853" s="79"/>
      <c r="E853" s="79"/>
      <c r="O853" s="79"/>
      <c r="S853" s="79"/>
      <c r="T853" s="79"/>
      <c r="Y853" s="79"/>
      <c r="AC853" s="130"/>
      <c r="AE853" s="106"/>
    </row>
    <row r="854">
      <c r="C854" s="79"/>
      <c r="D854" s="79"/>
      <c r="E854" s="79"/>
      <c r="O854" s="79"/>
      <c r="S854" s="79"/>
      <c r="T854" s="79"/>
      <c r="Y854" s="79"/>
      <c r="AC854" s="130"/>
      <c r="AE854" s="106"/>
    </row>
    <row r="855">
      <c r="C855" s="79"/>
      <c r="D855" s="79"/>
      <c r="E855" s="79"/>
      <c r="O855" s="79"/>
      <c r="S855" s="79"/>
      <c r="T855" s="79"/>
      <c r="Y855" s="79"/>
      <c r="AC855" s="130"/>
      <c r="AE855" s="106"/>
    </row>
    <row r="856">
      <c r="C856" s="79"/>
      <c r="D856" s="79"/>
      <c r="E856" s="79"/>
      <c r="O856" s="79"/>
      <c r="S856" s="79"/>
      <c r="T856" s="79"/>
      <c r="Y856" s="79"/>
      <c r="AC856" s="130"/>
      <c r="AE856" s="106"/>
    </row>
    <row r="857">
      <c r="C857" s="79"/>
      <c r="D857" s="79"/>
      <c r="E857" s="79"/>
      <c r="O857" s="79"/>
      <c r="S857" s="79"/>
      <c r="T857" s="79"/>
      <c r="Y857" s="79"/>
      <c r="AC857" s="130"/>
      <c r="AE857" s="106"/>
    </row>
    <row r="858">
      <c r="C858" s="79"/>
      <c r="D858" s="79"/>
      <c r="E858" s="79"/>
      <c r="O858" s="79"/>
      <c r="S858" s="79"/>
      <c r="T858" s="79"/>
      <c r="Y858" s="79"/>
      <c r="AC858" s="130"/>
      <c r="AE858" s="106"/>
    </row>
    <row r="859">
      <c r="C859" s="79"/>
      <c r="D859" s="79"/>
      <c r="E859" s="79"/>
      <c r="O859" s="79"/>
      <c r="S859" s="79"/>
      <c r="T859" s="79"/>
      <c r="Y859" s="79"/>
      <c r="AC859" s="130"/>
      <c r="AE859" s="106"/>
    </row>
    <row r="860">
      <c r="C860" s="79"/>
      <c r="D860" s="79"/>
      <c r="E860" s="79"/>
      <c r="O860" s="79"/>
      <c r="S860" s="79"/>
      <c r="T860" s="79"/>
      <c r="Y860" s="79"/>
      <c r="AC860" s="130"/>
      <c r="AE860" s="106"/>
    </row>
    <row r="861">
      <c r="C861" s="79"/>
      <c r="D861" s="79"/>
      <c r="E861" s="79"/>
      <c r="O861" s="79"/>
      <c r="S861" s="79"/>
      <c r="T861" s="79"/>
      <c r="Y861" s="79"/>
      <c r="AC861" s="130"/>
      <c r="AE861" s="106"/>
    </row>
    <row r="862">
      <c r="C862" s="79"/>
      <c r="D862" s="79"/>
      <c r="E862" s="79"/>
      <c r="O862" s="79"/>
      <c r="S862" s="79"/>
      <c r="T862" s="79"/>
      <c r="Y862" s="79"/>
      <c r="AC862" s="130"/>
      <c r="AE862" s="106"/>
    </row>
    <row r="863">
      <c r="C863" s="79"/>
      <c r="D863" s="79"/>
      <c r="E863" s="79"/>
      <c r="O863" s="79"/>
      <c r="S863" s="79"/>
      <c r="T863" s="79"/>
      <c r="Y863" s="79"/>
      <c r="AC863" s="130"/>
      <c r="AE863" s="106"/>
    </row>
    <row r="864">
      <c r="C864" s="79"/>
      <c r="D864" s="79"/>
      <c r="E864" s="79"/>
      <c r="O864" s="79"/>
      <c r="S864" s="79"/>
      <c r="T864" s="79"/>
      <c r="Y864" s="79"/>
      <c r="AC864" s="130"/>
      <c r="AE864" s="106"/>
    </row>
    <row r="865">
      <c r="C865" s="79"/>
      <c r="D865" s="79"/>
      <c r="E865" s="79"/>
      <c r="O865" s="79"/>
      <c r="S865" s="79"/>
      <c r="T865" s="79"/>
      <c r="Y865" s="79"/>
      <c r="AC865" s="130"/>
      <c r="AE865" s="106"/>
    </row>
    <row r="866">
      <c r="C866" s="79"/>
      <c r="D866" s="79"/>
      <c r="E866" s="79"/>
      <c r="O866" s="79"/>
      <c r="S866" s="79"/>
      <c r="T866" s="79"/>
      <c r="Y866" s="79"/>
      <c r="AC866" s="130"/>
      <c r="AE866" s="106"/>
    </row>
    <row r="867">
      <c r="C867" s="79"/>
      <c r="D867" s="79"/>
      <c r="E867" s="79"/>
      <c r="O867" s="79"/>
      <c r="S867" s="79"/>
      <c r="T867" s="79"/>
      <c r="Y867" s="79"/>
      <c r="AC867" s="130"/>
      <c r="AE867" s="106"/>
    </row>
    <row r="868">
      <c r="C868" s="79"/>
      <c r="D868" s="79"/>
      <c r="E868" s="79"/>
      <c r="O868" s="79"/>
      <c r="S868" s="79"/>
      <c r="T868" s="79"/>
      <c r="Y868" s="79"/>
      <c r="AC868" s="130"/>
      <c r="AE868" s="106"/>
    </row>
    <row r="869">
      <c r="C869" s="79"/>
      <c r="D869" s="79"/>
      <c r="E869" s="79"/>
      <c r="O869" s="79"/>
      <c r="S869" s="79"/>
      <c r="T869" s="79"/>
      <c r="Y869" s="79"/>
      <c r="AC869" s="130"/>
      <c r="AE869" s="106"/>
    </row>
  </sheetData>
  <autoFilter ref="$A$41:$F$74">
    <sortState ref="A41:F74">
      <sortCondition descending="1" sortBy="cellColor" ref="E41:E74" dxfId="1"/>
      <sortCondition descending="1" sortBy="cellColor" ref="C41:C74" dxfId="1"/>
      <sortCondition descending="1" sortBy="cellColor" ref="A41:A74" dxfId="1"/>
    </sortState>
  </autoFilter>
  <mergeCells count="1">
    <mergeCell ref="B38:E38"/>
  </mergeCells>
  <drawing r:id="rId2"/>
  <legacyDrawing r:id="rId3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  <col customWidth="1" min="3" max="3" width="17.38"/>
    <col customWidth="1" min="5" max="5" width="20.88"/>
    <col customWidth="1" min="7" max="7" width="13.5"/>
    <col customWidth="1" min="8" max="8" width="13.25"/>
    <col customWidth="1" min="15" max="15" width="27.38"/>
    <col customWidth="1" min="26" max="26" width="14.63"/>
    <col customWidth="1" min="31" max="31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4</v>
      </c>
      <c r="J1" s="2" t="s">
        <v>5</v>
      </c>
      <c r="K1" s="2" t="s">
        <v>303</v>
      </c>
      <c r="L1" s="2" t="s">
        <v>6</v>
      </c>
      <c r="M1" s="2" t="s">
        <v>12</v>
      </c>
      <c r="N1" s="2" t="s">
        <v>49</v>
      </c>
      <c r="O1" s="105" t="s">
        <v>304</v>
      </c>
      <c r="P1" s="2" t="s">
        <v>37</v>
      </c>
      <c r="Q1" s="2" t="s">
        <v>10</v>
      </c>
      <c r="R1" s="2" t="s">
        <v>42</v>
      </c>
      <c r="S1" s="105" t="s">
        <v>656</v>
      </c>
      <c r="T1" s="105" t="s">
        <v>9</v>
      </c>
      <c r="U1" s="2" t="s">
        <v>164</v>
      </c>
      <c r="V1" s="105" t="s">
        <v>40</v>
      </c>
      <c r="W1" s="2" t="s">
        <v>83</v>
      </c>
      <c r="X1" s="2" t="s">
        <v>204</v>
      </c>
      <c r="Y1" s="105" t="s">
        <v>205</v>
      </c>
      <c r="Z1" s="2" t="s">
        <v>206</v>
      </c>
      <c r="AA1" s="2" t="s">
        <v>305</v>
      </c>
      <c r="AB1" s="3" t="s">
        <v>13</v>
      </c>
      <c r="AC1" s="3" t="s">
        <v>14</v>
      </c>
      <c r="AD1" s="3" t="s">
        <v>15</v>
      </c>
      <c r="AE1" s="106"/>
      <c r="AF1" s="265" t="s">
        <v>306</v>
      </c>
      <c r="AG1" s="266" t="s">
        <v>80</v>
      </c>
    </row>
    <row r="2">
      <c r="A2" s="74">
        <v>45551.0</v>
      </c>
      <c r="B2" s="93">
        <f>2021.05-75.74-124-36.62-28.79-359.29-18.76-54.74-294+761.95-193.44</f>
        <v>1597.62</v>
      </c>
      <c r="C2" s="93">
        <v>152.85</v>
      </c>
      <c r="D2" s="93"/>
      <c r="E2" s="93"/>
      <c r="F2" s="93"/>
      <c r="G2" s="93">
        <v>180.0</v>
      </c>
      <c r="H2" s="93"/>
      <c r="I2" s="93"/>
      <c r="J2" s="93"/>
      <c r="K2" s="93"/>
      <c r="L2" s="93"/>
      <c r="M2" s="93"/>
      <c r="N2" s="93">
        <f>468-144-156</f>
        <v>168</v>
      </c>
      <c r="O2" s="93"/>
      <c r="P2" s="72"/>
      <c r="Q2" s="93">
        <v>204.9</v>
      </c>
      <c r="R2" s="93"/>
      <c r="S2" s="93"/>
      <c r="T2" s="93"/>
      <c r="U2" s="93"/>
      <c r="V2" s="93"/>
      <c r="W2" s="93"/>
      <c r="X2" s="93"/>
      <c r="Y2" s="93"/>
      <c r="Z2" s="93"/>
      <c r="AA2" s="386">
        <v>45.0</v>
      </c>
      <c r="AB2" s="107">
        <f t="shared" ref="AB2:AB3" si="1">SUM(B2:AA2)</f>
        <v>2348.37</v>
      </c>
      <c r="AC2" s="158">
        <v>2716.0</v>
      </c>
      <c r="AD2" s="59">
        <f t="shared" ref="AD2:AD8" si="2">AB2/AC2</f>
        <v>0.8646428571</v>
      </c>
      <c r="AE2" s="109">
        <f t="shared" ref="AE2:AE8" si="3">A2</f>
        <v>45551</v>
      </c>
      <c r="AF2" s="267"/>
      <c r="AG2" s="268">
        <f t="shared" ref="AG2:AG8" si="4">AC2-AF2</f>
        <v>2716</v>
      </c>
    </row>
    <row r="3">
      <c r="A3" s="74">
        <f t="shared" ref="A3:A8" si="5">A2+1</f>
        <v>45552</v>
      </c>
      <c r="B3" s="93">
        <f>399.04-30.1-54.56-13.92-27.42-9.23-12.78</f>
        <v>251.03</v>
      </c>
      <c r="C3" s="93"/>
      <c r="D3" s="93"/>
      <c r="E3" s="93"/>
      <c r="F3" s="93"/>
      <c r="G3" s="93"/>
      <c r="H3" s="168"/>
      <c r="I3" s="93"/>
      <c r="J3" s="93">
        <f>581.9-148.5</f>
        <v>433.4</v>
      </c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386">
        <v>41.56</v>
      </c>
      <c r="AB3" s="107">
        <f t="shared" si="1"/>
        <v>725.99</v>
      </c>
      <c r="AC3" s="158">
        <v>3850.08</v>
      </c>
      <c r="AD3" s="59">
        <f t="shared" si="2"/>
        <v>0.1885649129</v>
      </c>
      <c r="AE3" s="109">
        <f t="shared" si="3"/>
        <v>45552</v>
      </c>
      <c r="AF3" s="267"/>
      <c r="AG3" s="268">
        <f t="shared" si="4"/>
        <v>3850.08</v>
      </c>
    </row>
    <row r="4">
      <c r="A4" s="74">
        <f t="shared" si="5"/>
        <v>45553</v>
      </c>
      <c r="B4" s="93">
        <f>1281.77-36.71-45.4-45.65-17.41-70.22-54.74-33.42-93.59-41.25-20.3-51.24-35.52-66.71-58.36-216.25</f>
        <v>395</v>
      </c>
      <c r="C4" s="93">
        <f>713.29-19.55-17.25-26-31-111.02</f>
        <v>508.47</v>
      </c>
      <c r="D4" s="93">
        <f>310.8-125</f>
        <v>185.8</v>
      </c>
      <c r="E4" s="93"/>
      <c r="F4" s="93"/>
      <c r="G4" s="93">
        <v>180.0</v>
      </c>
      <c r="H4" s="168"/>
      <c r="I4" s="93"/>
      <c r="J4" s="93"/>
      <c r="K4" s="93"/>
      <c r="L4" s="93">
        <v>28.0</v>
      </c>
      <c r="M4" s="93"/>
      <c r="N4" s="93"/>
      <c r="O4" s="93">
        <v>84.0</v>
      </c>
      <c r="P4" s="160"/>
      <c r="Q4" s="93"/>
      <c r="R4" s="93"/>
      <c r="S4" s="93"/>
      <c r="T4" s="93"/>
      <c r="U4" s="93"/>
      <c r="V4" s="93"/>
      <c r="W4" s="93"/>
      <c r="X4" s="93"/>
      <c r="Y4" s="93"/>
      <c r="Z4" s="101"/>
      <c r="AA4" s="326"/>
      <c r="AB4" s="107">
        <f t="shared" ref="AB4:AB8" si="6">SUM(B4:Z4)</f>
        <v>1381.27</v>
      </c>
      <c r="AC4" s="380">
        <f>601+3321.4</f>
        <v>3922.4</v>
      </c>
      <c r="AD4" s="59">
        <f t="shared" si="2"/>
        <v>0.3521491944</v>
      </c>
      <c r="AE4" s="109">
        <f t="shared" si="3"/>
        <v>45553</v>
      </c>
      <c r="AF4" s="267"/>
      <c r="AG4" s="268">
        <f t="shared" si="4"/>
        <v>3922.4</v>
      </c>
    </row>
    <row r="5">
      <c r="A5" s="74">
        <f t="shared" si="5"/>
        <v>45554</v>
      </c>
      <c r="B5" s="93">
        <f>1098.53-43.13-41.25-46.84-69.64-75.74-77.4-50-77.39</f>
        <v>617.14</v>
      </c>
      <c r="C5" s="93"/>
      <c r="D5" s="93"/>
      <c r="E5" s="93"/>
      <c r="F5" s="93"/>
      <c r="G5" s="93"/>
      <c r="H5" s="160"/>
      <c r="I5" s="93"/>
      <c r="J5" s="93"/>
      <c r="K5" s="93"/>
      <c r="L5" s="93"/>
      <c r="M5" s="93">
        <v>57.36</v>
      </c>
      <c r="N5" s="93"/>
      <c r="O5" s="93"/>
      <c r="P5" s="93"/>
      <c r="Q5" s="93"/>
      <c r="R5" s="93"/>
      <c r="S5" s="101"/>
      <c r="T5" s="93"/>
      <c r="U5" s="93"/>
      <c r="V5" s="93"/>
      <c r="W5" s="93"/>
      <c r="X5" s="93"/>
      <c r="Y5" s="101"/>
      <c r="Z5" s="101"/>
      <c r="AA5" s="327"/>
      <c r="AB5" s="7">
        <f t="shared" si="6"/>
        <v>674.5</v>
      </c>
      <c r="AC5" s="380">
        <f>321+4277</f>
        <v>4598</v>
      </c>
      <c r="AD5" s="59">
        <f t="shared" si="2"/>
        <v>0.1466942149</v>
      </c>
      <c r="AE5" s="109">
        <f t="shared" si="3"/>
        <v>45554</v>
      </c>
      <c r="AF5" s="267"/>
      <c r="AG5" s="268">
        <f t="shared" si="4"/>
        <v>4598</v>
      </c>
    </row>
    <row r="6">
      <c r="A6" s="74">
        <f t="shared" si="5"/>
        <v>45555</v>
      </c>
      <c r="B6" s="93">
        <f>444.54-39.3-31.12-43.13</f>
        <v>330.99</v>
      </c>
      <c r="C6" s="361">
        <v>615.57</v>
      </c>
      <c r="D6" s="374"/>
      <c r="E6" s="93">
        <v>94.5</v>
      </c>
      <c r="F6" s="93"/>
      <c r="G6" s="93"/>
      <c r="H6" s="160"/>
      <c r="I6" s="93"/>
      <c r="J6" s="93"/>
      <c r="K6" s="93"/>
      <c r="L6" s="93">
        <v>166.4</v>
      </c>
      <c r="M6" s="93"/>
      <c r="N6" s="93"/>
      <c r="O6" s="93">
        <v>48.0</v>
      </c>
      <c r="P6" s="93"/>
      <c r="Q6" s="93"/>
      <c r="R6" s="93"/>
      <c r="S6" s="93"/>
      <c r="T6" s="374"/>
      <c r="U6" s="93"/>
      <c r="V6" s="93"/>
      <c r="W6" s="93"/>
      <c r="X6" s="93"/>
      <c r="Y6" s="93"/>
      <c r="Z6" s="93"/>
      <c r="AA6" s="327"/>
      <c r="AB6" s="7">
        <f t="shared" si="6"/>
        <v>1255.46</v>
      </c>
      <c r="AC6" s="380">
        <f>596+4685</f>
        <v>5281</v>
      </c>
      <c r="AD6" s="59">
        <f t="shared" si="2"/>
        <v>0.2377314902</v>
      </c>
      <c r="AE6" s="109">
        <f t="shared" si="3"/>
        <v>45555</v>
      </c>
      <c r="AF6" s="267"/>
      <c r="AG6" s="268">
        <f t="shared" si="4"/>
        <v>5281</v>
      </c>
    </row>
    <row r="7">
      <c r="A7" s="74">
        <f t="shared" si="5"/>
        <v>45556</v>
      </c>
      <c r="B7" s="93">
        <f>1163.85-53.44-3.06-27.04-49.85-120-147.46-38.94</f>
        <v>724.06</v>
      </c>
      <c r="C7" s="361"/>
      <c r="D7" s="93"/>
      <c r="E7" s="79"/>
      <c r="F7" s="402"/>
      <c r="G7" s="93">
        <v>180.0</v>
      </c>
      <c r="H7" s="374"/>
      <c r="I7" s="402">
        <v>105.24</v>
      </c>
      <c r="J7" s="93"/>
      <c r="K7" s="93"/>
      <c r="L7" s="93"/>
      <c r="M7" s="93"/>
      <c r="N7" s="250">
        <v>84.0</v>
      </c>
      <c r="O7" s="93"/>
      <c r="P7" s="402"/>
      <c r="Q7" s="93"/>
      <c r="R7" s="93"/>
      <c r="S7" s="101"/>
      <c r="T7" s="93"/>
      <c r="U7" s="93"/>
      <c r="V7" s="93"/>
      <c r="W7" s="93"/>
      <c r="X7" s="93"/>
      <c r="Y7" s="101"/>
      <c r="Z7" s="93"/>
      <c r="AA7" s="327"/>
      <c r="AB7" s="7">
        <f t="shared" si="6"/>
        <v>1093.3</v>
      </c>
      <c r="AC7" s="380">
        <f>2917+8146.4</f>
        <v>11063.4</v>
      </c>
      <c r="AD7" s="59">
        <f t="shared" si="2"/>
        <v>0.09882133883</v>
      </c>
      <c r="AE7" s="109">
        <f t="shared" si="3"/>
        <v>45556</v>
      </c>
      <c r="AF7" s="267"/>
      <c r="AG7" s="268">
        <f t="shared" si="4"/>
        <v>11063.4</v>
      </c>
    </row>
    <row r="8">
      <c r="A8" s="74">
        <f t="shared" si="5"/>
        <v>45557</v>
      </c>
      <c r="B8" s="374">
        <v>359.29</v>
      </c>
      <c r="C8" s="93"/>
      <c r="D8" s="344">
        <v>624.635</v>
      </c>
      <c r="E8" s="112"/>
      <c r="F8" s="344"/>
      <c r="G8" s="10"/>
      <c r="H8" s="374"/>
      <c r="I8" s="374"/>
      <c r="J8" s="344">
        <f>297+284.9</f>
        <v>581.9</v>
      </c>
      <c r="K8" s="93">
        <f>1160/2</f>
        <v>580</v>
      </c>
      <c r="L8" s="112"/>
      <c r="M8" s="112"/>
      <c r="N8" s="93"/>
      <c r="O8" s="93"/>
      <c r="P8" s="93"/>
      <c r="Q8" s="93"/>
      <c r="R8" s="374"/>
      <c r="S8" s="344">
        <v>222.67</v>
      </c>
      <c r="T8" s="374"/>
      <c r="U8" s="93"/>
      <c r="V8" s="112"/>
      <c r="W8" s="112"/>
      <c r="X8" s="112"/>
      <c r="Y8" s="112"/>
      <c r="Z8" s="112"/>
      <c r="AA8" s="93"/>
      <c r="AB8" s="7">
        <f t="shared" si="6"/>
        <v>2368.495</v>
      </c>
      <c r="AC8" s="380">
        <f>2307+2042</f>
        <v>4349</v>
      </c>
      <c r="AD8" s="59">
        <f t="shared" si="2"/>
        <v>0.5446068062</v>
      </c>
      <c r="AE8" s="109">
        <f t="shared" si="3"/>
        <v>45557</v>
      </c>
      <c r="AF8" s="267"/>
      <c r="AG8" s="268">
        <f t="shared" si="4"/>
        <v>4349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AC9" s="129"/>
      <c r="AE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AC10" s="129"/>
      <c r="AE10" s="106"/>
    </row>
    <row r="11">
      <c r="A11" s="165" t="s">
        <v>194</v>
      </c>
      <c r="B11" s="93">
        <f>75.74+28.79+18.76+193.44+30.1+54.56+13.92+9.23+12.78+36.71+35.52+66.71+58.36+41.25+46.84+75.74+77.4+50+77.39+38.94+120+43.13</f>
        <v>1205.31</v>
      </c>
      <c r="C11" s="93">
        <f>19.55+17.25+26+31</f>
        <v>93.8</v>
      </c>
      <c r="D11" s="93">
        <v>95.0</v>
      </c>
      <c r="E11" s="167"/>
      <c r="F11" s="168"/>
      <c r="G11" s="168"/>
      <c r="H11" s="166"/>
      <c r="I11" s="166"/>
      <c r="J11" s="93"/>
      <c r="K11" s="168"/>
      <c r="L11" s="93"/>
      <c r="M11" s="93"/>
      <c r="N11" s="93"/>
      <c r="O11" s="168"/>
      <c r="P11" s="168"/>
      <c r="Q11" s="168"/>
      <c r="R11" s="168"/>
      <c r="S11" s="168"/>
      <c r="T11" s="168"/>
      <c r="U11" s="168"/>
      <c r="V11" s="168"/>
      <c r="W11" s="1"/>
      <c r="X11" s="168"/>
      <c r="Y11" s="168"/>
      <c r="Z11" s="1"/>
      <c r="AA11" s="1"/>
      <c r="AB11" s="1"/>
      <c r="AC11" s="169"/>
      <c r="AD11" s="1"/>
      <c r="AE11" s="170"/>
    </row>
    <row r="12">
      <c r="A12" s="165" t="s">
        <v>195</v>
      </c>
      <c r="B12" s="93">
        <f>124+36.62+359.29+54.74+294+27.42+70.22+54.74+33.42+45.65+239.73+43.13+69.64+53.44+3.06+27.04+49.82+147.46</f>
        <v>1733.42</v>
      </c>
      <c r="C12" s="93">
        <v>111.02</v>
      </c>
      <c r="D12" s="93">
        <f>131.8+125+131.8</f>
        <v>388.6</v>
      </c>
      <c r="E12" s="93"/>
      <c r="F12" s="374"/>
      <c r="G12" s="93"/>
      <c r="H12" s="93"/>
      <c r="I12" s="93"/>
      <c r="J12" s="93">
        <v>148.5</v>
      </c>
      <c r="K12" s="93"/>
      <c r="L12" s="93"/>
      <c r="M12" s="93"/>
      <c r="N12" s="93">
        <v>300.0</v>
      </c>
      <c r="O12" s="168"/>
      <c r="P12" s="168"/>
      <c r="Q12" s="166"/>
      <c r="R12" s="166"/>
      <c r="S12" s="168"/>
      <c r="T12" s="166"/>
      <c r="U12" s="168"/>
      <c r="V12" s="168"/>
      <c r="W12" s="1"/>
      <c r="X12" s="93"/>
      <c r="Y12" s="168"/>
      <c r="Z12" s="1"/>
      <c r="AA12" s="96">
        <v>167.65</v>
      </c>
      <c r="AB12" s="1"/>
      <c r="AC12" s="171"/>
      <c r="AD12" s="1"/>
      <c r="AE12" s="170"/>
    </row>
    <row r="13" hidden="1">
      <c r="A13" s="172" t="s">
        <v>636</v>
      </c>
      <c r="B13" s="203"/>
      <c r="C13" s="93"/>
      <c r="D13" s="374"/>
      <c r="E13" s="168"/>
      <c r="F13" s="166"/>
      <c r="G13" s="166"/>
      <c r="H13" s="93"/>
      <c r="I13" s="374"/>
      <c r="J13" s="93"/>
      <c r="K13" s="166"/>
      <c r="L13" s="168"/>
      <c r="M13" s="168"/>
      <c r="N13" s="93"/>
      <c r="O13" s="93"/>
      <c r="P13" s="168"/>
      <c r="Q13" s="166"/>
      <c r="R13" s="168"/>
      <c r="S13" s="166"/>
      <c r="T13" s="168"/>
      <c r="U13" s="96"/>
      <c r="V13" s="1"/>
      <c r="W13" s="1"/>
      <c r="X13" s="168"/>
      <c r="Y13" s="168"/>
      <c r="Z13" s="1"/>
      <c r="AA13" s="1"/>
      <c r="AB13" s="1"/>
      <c r="AC13" s="174"/>
      <c r="AD13" s="1"/>
      <c r="AE13" s="170"/>
    </row>
    <row r="14">
      <c r="A14" s="172" t="s">
        <v>671</v>
      </c>
      <c r="B14" s="201">
        <v>216.25</v>
      </c>
      <c r="C14" s="93"/>
      <c r="D14" s="93"/>
      <c r="E14" s="168"/>
      <c r="F14" s="166"/>
      <c r="G14" s="166"/>
      <c r="H14" s="168"/>
      <c r="I14" s="168"/>
      <c r="J14" s="93"/>
      <c r="K14" s="168"/>
      <c r="L14" s="168"/>
      <c r="M14" s="168"/>
      <c r="N14" s="93"/>
      <c r="O14" s="168"/>
      <c r="P14" s="168"/>
      <c r="Q14" s="166"/>
      <c r="R14" s="168"/>
      <c r="S14" s="168"/>
      <c r="T14" s="168"/>
      <c r="U14" s="1"/>
      <c r="V14" s="1"/>
      <c r="W14" s="1"/>
      <c r="X14" s="168"/>
      <c r="Y14" s="168"/>
      <c r="Z14" s="1"/>
      <c r="AA14" s="1"/>
      <c r="AB14" s="1"/>
      <c r="AC14" s="174"/>
      <c r="AD14" s="1"/>
      <c r="AE14" s="170"/>
    </row>
    <row r="15">
      <c r="A15" s="165" t="s">
        <v>198</v>
      </c>
      <c r="B15" s="93">
        <f>45.4+17.41+93.59+41.25+20.3+51.24+39.3+31.12</f>
        <v>339.61</v>
      </c>
      <c r="C15" s="93"/>
      <c r="D15" s="93"/>
      <c r="E15" s="168"/>
      <c r="F15" s="166"/>
      <c r="G15" s="166"/>
      <c r="H15" s="168"/>
      <c r="I15" s="168"/>
      <c r="J15" s="93"/>
      <c r="K15" s="168"/>
      <c r="L15" s="168"/>
      <c r="M15" s="168"/>
      <c r="N15" s="93"/>
      <c r="O15" s="168"/>
      <c r="P15" s="168"/>
      <c r="Q15" s="166"/>
      <c r="R15" s="168"/>
      <c r="S15" s="168"/>
      <c r="T15" s="168"/>
      <c r="U15" s="1"/>
      <c r="V15" s="1"/>
      <c r="W15" s="1"/>
      <c r="X15" s="168"/>
      <c r="Y15" s="168"/>
      <c r="Z15" s="1"/>
      <c r="AA15" s="1"/>
      <c r="AB15" s="1"/>
      <c r="AC15" s="174"/>
      <c r="AD15" s="1"/>
      <c r="AE15" s="170"/>
    </row>
    <row r="16">
      <c r="A16" s="91"/>
      <c r="B16" s="375"/>
      <c r="C16" s="79"/>
      <c r="D16" s="79"/>
      <c r="E16" s="79"/>
      <c r="F16" s="78"/>
      <c r="G16" s="78"/>
      <c r="I16" s="78"/>
      <c r="J16" s="79"/>
      <c r="K16" s="79"/>
      <c r="L16" s="79"/>
      <c r="M16" s="79"/>
      <c r="N16" s="79"/>
      <c r="O16" s="79"/>
      <c r="R16" s="79"/>
      <c r="S16" s="79"/>
      <c r="T16" s="198"/>
      <c r="U16" s="198"/>
      <c r="Y16" s="79"/>
      <c r="AC16" s="131"/>
      <c r="AE16" s="106"/>
    </row>
    <row r="17">
      <c r="A17" s="91"/>
      <c r="B17" s="92"/>
      <c r="C17" s="192"/>
      <c r="D17" s="78"/>
      <c r="E17" s="151"/>
      <c r="F17" s="201"/>
      <c r="G17" s="248"/>
      <c r="H17" s="192"/>
      <c r="I17" s="198"/>
      <c r="J17" s="201"/>
      <c r="K17" s="199"/>
      <c r="L17" s="199"/>
      <c r="M17" s="200"/>
      <c r="N17" s="202"/>
      <c r="O17" s="198"/>
      <c r="R17" s="198"/>
      <c r="S17" s="79"/>
      <c r="T17" s="198"/>
      <c r="U17" s="198"/>
      <c r="V17" s="198"/>
      <c r="W17" s="198"/>
      <c r="X17" s="199"/>
      <c r="Y17" s="79"/>
      <c r="AC17" s="131"/>
      <c r="AE17" s="106"/>
    </row>
    <row r="18">
      <c r="A18" s="4" t="s">
        <v>22</v>
      </c>
      <c r="B18" s="11">
        <v>10000.0</v>
      </c>
      <c r="C18" s="79"/>
      <c r="D18" s="79"/>
      <c r="E18" s="78"/>
      <c r="F18" s="213"/>
      <c r="G18" s="224">
        <v>2550.0</v>
      </c>
      <c r="H18" s="192"/>
      <c r="K18" s="403"/>
      <c r="L18" s="201"/>
      <c r="M18" s="198"/>
      <c r="N18" s="200"/>
      <c r="O18" s="198"/>
      <c r="P18" s="204"/>
      <c r="R18" s="203"/>
      <c r="S18" s="427"/>
      <c r="T18" s="201"/>
      <c r="U18" s="198"/>
      <c r="V18" s="198"/>
      <c r="W18" s="198"/>
      <c r="X18" s="201"/>
      <c r="Y18" s="79"/>
      <c r="AC18" s="131"/>
      <c r="AE18" s="106"/>
    </row>
    <row r="19">
      <c r="A19" s="4" t="s">
        <v>23</v>
      </c>
      <c r="B19" s="12">
        <f>SUM(B2:AA8)</f>
        <v>9847.385</v>
      </c>
      <c r="C19" s="192"/>
      <c r="D19" s="177"/>
      <c r="E19" s="151"/>
      <c r="F19" s="213"/>
      <c r="G19" s="224">
        <v>1340.0</v>
      </c>
      <c r="H19" s="38"/>
      <c r="I19" s="175"/>
      <c r="K19" s="384"/>
      <c r="L19" s="201"/>
      <c r="M19" s="201"/>
      <c r="N19" s="201"/>
      <c r="O19" s="198"/>
      <c r="P19" s="204"/>
      <c r="R19" s="203"/>
      <c r="S19" s="79"/>
      <c r="T19" s="201">
        <v>590.0</v>
      </c>
      <c r="U19" s="201"/>
      <c r="V19" s="198"/>
      <c r="W19" s="198"/>
      <c r="X19" s="191"/>
      <c r="Y19" s="79"/>
      <c r="AC19" s="131"/>
      <c r="AE19" s="106"/>
    </row>
    <row r="20">
      <c r="A20" s="4" t="s">
        <v>24</v>
      </c>
      <c r="B20" s="12">
        <f> SUM(B18-B19)</f>
        <v>152.615</v>
      </c>
      <c r="C20" s="79"/>
      <c r="D20" s="78"/>
      <c r="E20" s="151"/>
      <c r="F20" s="201"/>
      <c r="G20" s="199">
        <v>1285.0</v>
      </c>
      <c r="H20" s="203"/>
      <c r="I20" s="203"/>
      <c r="K20" s="203"/>
      <c r="L20" s="199"/>
      <c r="M20" s="201"/>
      <c r="N20" s="200"/>
      <c r="O20" s="198"/>
      <c r="P20" s="204"/>
      <c r="R20" s="203"/>
      <c r="S20" s="79"/>
      <c r="T20" s="205">
        <v>78.0</v>
      </c>
      <c r="U20" s="210"/>
      <c r="V20" s="198"/>
      <c r="W20" s="198"/>
      <c r="X20" s="203"/>
      <c r="Y20" s="79"/>
      <c r="AC20" s="131"/>
      <c r="AE20" s="106"/>
    </row>
    <row r="21">
      <c r="C21" s="79"/>
      <c r="D21" s="79"/>
      <c r="E21" s="78"/>
      <c r="F21" s="213"/>
      <c r="G21" s="199">
        <v>3216.0</v>
      </c>
      <c r="H21" s="203"/>
      <c r="I21" s="345"/>
      <c r="J21" s="78"/>
      <c r="K21" s="351"/>
      <c r="N21" s="198"/>
      <c r="O21" s="198"/>
      <c r="P21" s="204"/>
      <c r="R21" s="203"/>
      <c r="S21" s="79"/>
      <c r="T21" s="201">
        <v>-26.0</v>
      </c>
      <c r="U21" s="201">
        <v>-26.0</v>
      </c>
      <c r="V21" s="198"/>
      <c r="W21" s="198"/>
      <c r="X21" s="203"/>
      <c r="Y21" s="79"/>
      <c r="AC21" s="131"/>
      <c r="AE21" s="106"/>
    </row>
    <row r="22">
      <c r="A22" s="13" t="s">
        <v>25</v>
      </c>
      <c r="B22" s="14">
        <f>SUM(AC2:AC8)</f>
        <v>35779.88</v>
      </c>
      <c r="C22" s="79"/>
      <c r="D22" s="79"/>
      <c r="E22" s="78"/>
      <c r="F22" s="201"/>
      <c r="G22" s="199">
        <v>1089.0</v>
      </c>
      <c r="H22" s="175"/>
      <c r="I22" s="203"/>
      <c r="J22" s="78"/>
      <c r="K22" s="203"/>
      <c r="L22" s="203"/>
      <c r="M22" s="203"/>
      <c r="N22" s="198"/>
      <c r="O22" s="198"/>
      <c r="P22" s="204"/>
      <c r="R22" s="203"/>
      <c r="S22" s="79"/>
      <c r="T22" s="201">
        <v>-196.67</v>
      </c>
      <c r="U22" s="201">
        <v>-196.67</v>
      </c>
      <c r="V22" s="198"/>
      <c r="W22" s="198"/>
      <c r="X22" s="203"/>
      <c r="Y22" s="79"/>
      <c r="AC22" s="181"/>
      <c r="AE22" s="106"/>
    </row>
    <row r="23">
      <c r="A23" s="13" t="s">
        <v>26</v>
      </c>
      <c r="B23" s="15">
        <f>B19/B22</f>
        <v>0.2752212976</v>
      </c>
      <c r="C23" s="79"/>
      <c r="D23" s="79"/>
      <c r="E23" s="78"/>
      <c r="F23" s="204"/>
      <c r="G23" s="199">
        <f>SUM(G18:G22)</f>
        <v>9480</v>
      </c>
      <c r="H23" s="192"/>
      <c r="I23" s="203"/>
      <c r="J23" s="78"/>
      <c r="K23" s="203"/>
      <c r="L23" s="203"/>
      <c r="M23" s="203"/>
      <c r="N23" s="203"/>
      <c r="O23" s="198"/>
      <c r="P23" s="204"/>
      <c r="R23" s="203"/>
      <c r="S23" s="79"/>
      <c r="T23" s="198"/>
      <c r="U23" s="198"/>
      <c r="V23" s="198"/>
      <c r="W23" s="198"/>
      <c r="X23" s="203"/>
      <c r="Y23" s="79"/>
      <c r="AC23" s="130"/>
      <c r="AE23" s="106"/>
    </row>
    <row r="24">
      <c r="C24" s="79"/>
      <c r="D24" s="79"/>
      <c r="E24" s="78"/>
      <c r="F24" s="204"/>
      <c r="G24" s="78"/>
      <c r="H24" s="175"/>
      <c r="I24" s="78"/>
      <c r="J24" s="78"/>
      <c r="K24" s="203"/>
      <c r="L24" s="203"/>
      <c r="M24" s="203"/>
      <c r="N24" s="201"/>
      <c r="O24" s="198"/>
      <c r="P24" s="204"/>
      <c r="R24" s="198"/>
      <c r="S24" s="79"/>
      <c r="T24" s="198"/>
      <c r="U24" s="198"/>
      <c r="V24" s="198"/>
      <c r="W24" s="198"/>
      <c r="X24" s="203"/>
      <c r="Y24" s="79"/>
      <c r="AC24" s="182"/>
      <c r="AE24" s="106"/>
    </row>
    <row r="25">
      <c r="C25" s="79"/>
      <c r="D25" s="79"/>
      <c r="E25" s="79"/>
      <c r="F25" s="204"/>
      <c r="G25" s="192">
        <f>SUM(B12:AA12)+1978</f>
        <v>4827.19</v>
      </c>
      <c r="H25" s="78"/>
      <c r="I25" s="203"/>
      <c r="J25" s="212"/>
      <c r="K25" s="203"/>
      <c r="L25" s="203"/>
      <c r="M25" s="203"/>
      <c r="N25" s="201"/>
      <c r="O25" s="198"/>
      <c r="P25" s="204"/>
      <c r="R25" s="198"/>
      <c r="S25" s="79"/>
      <c r="T25" s="198"/>
      <c r="U25" s="198"/>
      <c r="V25" s="198"/>
      <c r="W25" s="198"/>
      <c r="X25" s="203"/>
      <c r="Y25" s="79"/>
      <c r="AC25" s="130"/>
      <c r="AE25" s="106"/>
    </row>
    <row r="26">
      <c r="A26" s="16" t="s">
        <v>27</v>
      </c>
      <c r="B26" s="17"/>
      <c r="C26" s="114"/>
      <c r="D26" s="114"/>
      <c r="E26" s="115"/>
      <c r="F26" s="204"/>
      <c r="G26" s="78"/>
      <c r="H26" s="192"/>
      <c r="I26" s="78"/>
      <c r="J26" s="79"/>
      <c r="K26" s="203"/>
      <c r="L26" s="217"/>
      <c r="M26" s="208"/>
      <c r="N26" s="198"/>
      <c r="O26" s="198"/>
      <c r="P26" s="204"/>
      <c r="R26" s="200"/>
      <c r="S26" s="79"/>
      <c r="T26" s="198"/>
      <c r="U26" s="198"/>
      <c r="V26" s="198"/>
      <c r="W26" s="198"/>
      <c r="X26" s="203"/>
      <c r="Y26" s="79"/>
      <c r="AC26" s="130"/>
      <c r="AE26" s="106"/>
    </row>
    <row r="27">
      <c r="A27" s="19" t="s">
        <v>28</v>
      </c>
      <c r="B27" s="20"/>
      <c r="C27" s="116"/>
      <c r="D27" s="116"/>
      <c r="E27" s="117"/>
      <c r="F27" s="204"/>
      <c r="G27" s="212">
        <f>G25/G23</f>
        <v>0.5091972574</v>
      </c>
      <c r="H27" s="78"/>
      <c r="I27" s="224"/>
      <c r="J27" s="78"/>
      <c r="K27" s="203"/>
      <c r="L27" s="203"/>
      <c r="M27" s="209"/>
      <c r="N27" s="201"/>
      <c r="O27" s="198"/>
      <c r="P27" s="204"/>
      <c r="R27" s="198"/>
      <c r="S27" s="79"/>
      <c r="T27" s="198"/>
      <c r="U27" s="198"/>
      <c r="V27" s="198"/>
      <c r="W27" s="198"/>
      <c r="X27" s="203"/>
      <c r="Y27" s="79"/>
      <c r="AC27" s="130"/>
      <c r="AE27" s="106"/>
    </row>
    <row r="28">
      <c r="A28" s="183" t="s">
        <v>29</v>
      </c>
      <c r="B28" s="184" t="s">
        <v>30</v>
      </c>
      <c r="C28" s="183"/>
      <c r="D28" s="183" t="s">
        <v>170</v>
      </c>
      <c r="E28" s="219" t="s">
        <v>171</v>
      </c>
      <c r="F28" s="204"/>
      <c r="G28" s="79"/>
      <c r="H28" s="404"/>
      <c r="I28" s="79"/>
      <c r="J28" s="79"/>
      <c r="K28" s="203"/>
      <c r="L28" s="201"/>
      <c r="M28" s="209"/>
      <c r="N28" s="198"/>
      <c r="O28" s="198"/>
      <c r="P28" s="204"/>
      <c r="R28" s="198"/>
      <c r="S28" s="79"/>
      <c r="T28" s="198"/>
      <c r="U28" s="198"/>
      <c r="V28" s="198"/>
      <c r="W28" s="198"/>
      <c r="X28" s="203"/>
      <c r="Y28" s="79"/>
      <c r="Z28" s="195"/>
      <c r="AC28" s="130"/>
      <c r="AE28" s="106"/>
    </row>
    <row r="29">
      <c r="A29" s="405" t="s">
        <v>672</v>
      </c>
      <c r="B29" s="406">
        <f>1578+1433.57+1478.71</f>
        <v>4490.28</v>
      </c>
      <c r="C29" s="407"/>
      <c r="D29" s="407"/>
      <c r="E29" s="407"/>
      <c r="O29" s="79"/>
      <c r="S29" s="79"/>
      <c r="T29" s="79"/>
      <c r="Y29" s="79"/>
      <c r="AC29" s="130"/>
      <c r="AE29" s="106"/>
    </row>
    <row r="30">
      <c r="A30" s="410" t="s">
        <v>673</v>
      </c>
      <c r="B30" s="411">
        <f>+588+1222.2</f>
        <v>1810.2</v>
      </c>
      <c r="C30" s="412"/>
      <c r="D30" s="412"/>
      <c r="E30" s="412"/>
      <c r="O30" s="79"/>
      <c r="S30" s="79"/>
      <c r="T30" s="79"/>
      <c r="Y30" s="79"/>
      <c r="AC30" s="130"/>
      <c r="AE30" s="106"/>
    </row>
    <row r="31">
      <c r="A31" s="298" t="s">
        <v>620</v>
      </c>
      <c r="B31" s="416">
        <f>1219.9</f>
        <v>1219.9</v>
      </c>
      <c r="C31" s="417"/>
      <c r="D31" s="417"/>
      <c r="E31" s="417"/>
      <c r="O31" s="79"/>
      <c r="S31" s="79"/>
      <c r="T31" s="79"/>
      <c r="Y31" s="79"/>
      <c r="AC31" s="130"/>
      <c r="AE31" s="106"/>
    </row>
    <row r="32">
      <c r="A32" s="173" t="s">
        <v>639</v>
      </c>
      <c r="B32" s="344">
        <f>590+78-222.67-222.67</f>
        <v>222.66</v>
      </c>
      <c r="C32" s="241"/>
      <c r="D32" s="241"/>
      <c r="E32" s="241"/>
      <c r="O32" s="79"/>
      <c r="S32" s="79"/>
      <c r="T32" s="79"/>
      <c r="Y32" s="79"/>
      <c r="AC32" s="130"/>
      <c r="AE32" s="106"/>
    </row>
    <row r="33">
      <c r="A33" s="173" t="s">
        <v>643</v>
      </c>
      <c r="B33" s="344">
        <v>252.0</v>
      </c>
      <c r="C33" s="241"/>
      <c r="D33" s="241"/>
      <c r="E33" s="241"/>
      <c r="O33" s="79"/>
      <c r="S33" s="79"/>
      <c r="T33" s="79"/>
      <c r="Y33" s="79"/>
      <c r="AC33" s="130"/>
      <c r="AE33" s="106"/>
    </row>
    <row r="34">
      <c r="A34" s="430" t="s">
        <v>658</v>
      </c>
      <c r="B34" s="431">
        <v>380.0</v>
      </c>
      <c r="C34" s="432"/>
      <c r="D34" s="432"/>
      <c r="E34" s="432"/>
      <c r="O34" s="79"/>
      <c r="S34" s="79"/>
      <c r="T34" s="79"/>
      <c r="Y34" s="79"/>
      <c r="AC34" s="130"/>
      <c r="AE34" s="106"/>
    </row>
    <row r="35">
      <c r="A35" s="430" t="s">
        <v>659</v>
      </c>
      <c r="B35" s="431">
        <f>608.6</f>
        <v>608.6</v>
      </c>
      <c r="C35" s="432"/>
      <c r="D35" s="432"/>
      <c r="E35" s="432"/>
      <c r="O35" s="79"/>
      <c r="S35" s="79"/>
      <c r="T35" s="79"/>
      <c r="Y35" s="79"/>
      <c r="AC35" s="130"/>
      <c r="AE35" s="106"/>
    </row>
    <row r="36">
      <c r="A36" s="245" t="s">
        <v>674</v>
      </c>
      <c r="B36" s="340">
        <v>370.0</v>
      </c>
      <c r="C36" s="247"/>
      <c r="D36" s="247"/>
      <c r="E36" s="247"/>
      <c r="O36" s="79"/>
      <c r="S36" s="79"/>
      <c r="T36" s="79"/>
      <c r="Y36" s="79"/>
      <c r="AC36" s="130"/>
      <c r="AE36" s="106"/>
    </row>
    <row r="37">
      <c r="A37" s="245" t="s">
        <v>675</v>
      </c>
      <c r="B37" s="340">
        <f>297+203.7+284.9</f>
        <v>785.6</v>
      </c>
      <c r="C37" s="247"/>
      <c r="D37" s="247"/>
      <c r="E37" s="247"/>
      <c r="O37" s="79"/>
      <c r="S37" s="79"/>
      <c r="T37" s="79"/>
      <c r="Y37" s="79"/>
      <c r="AC37" s="130"/>
      <c r="AE37" s="106"/>
    </row>
    <row r="38">
      <c r="A38" s="245" t="s">
        <v>676</v>
      </c>
      <c r="B38" s="340">
        <v>513.86</v>
      </c>
      <c r="C38" s="247"/>
      <c r="D38" s="247"/>
      <c r="E38" s="247"/>
      <c r="O38" s="79"/>
      <c r="S38" s="79"/>
      <c r="T38" s="79"/>
      <c r="Y38" s="79"/>
      <c r="AC38" s="130"/>
      <c r="AE38" s="106"/>
    </row>
    <row r="39">
      <c r="C39" s="79"/>
      <c r="D39" s="79"/>
      <c r="E39" s="79"/>
      <c r="O39" s="79"/>
      <c r="S39" s="79"/>
      <c r="T39" s="79"/>
      <c r="Y39" s="79"/>
      <c r="AC39" s="130"/>
      <c r="AE39" s="106"/>
    </row>
    <row r="40">
      <c r="A40" s="274"/>
      <c r="B40" s="275" t="s">
        <v>315</v>
      </c>
      <c r="F40" s="274"/>
      <c r="G40" s="274"/>
      <c r="H40" s="274"/>
      <c r="I40" s="274"/>
      <c r="J40" s="274"/>
      <c r="K40" s="274"/>
      <c r="L40" s="274"/>
      <c r="M40" s="274"/>
      <c r="N40" s="274"/>
      <c r="O40" s="274"/>
      <c r="P40" s="274"/>
      <c r="Q40" s="274"/>
      <c r="R40" s="274"/>
      <c r="S40" s="274"/>
      <c r="T40" s="274"/>
      <c r="U40" s="274"/>
      <c r="V40" s="274"/>
      <c r="W40" s="274"/>
      <c r="X40" s="274"/>
      <c r="Y40" s="274"/>
      <c r="Z40" s="274"/>
      <c r="AA40" s="274"/>
      <c r="AB40" s="274"/>
      <c r="AC40" s="276"/>
      <c r="AD40" s="274"/>
      <c r="AE40" s="277"/>
      <c r="AF40" s="274"/>
      <c r="AG40" s="274"/>
      <c r="AH40" s="274"/>
    </row>
    <row r="41">
      <c r="A41" s="16" t="s">
        <v>316</v>
      </c>
      <c r="B41" s="17"/>
      <c r="C41" s="114"/>
      <c r="D41" s="114"/>
      <c r="E41" s="115"/>
      <c r="O41" s="79"/>
      <c r="S41" s="79"/>
      <c r="T41" s="79"/>
      <c r="Y41" s="79"/>
      <c r="AC41" s="130"/>
      <c r="AE41" s="106"/>
    </row>
    <row r="42">
      <c r="A42" s="19" t="s">
        <v>317</v>
      </c>
      <c r="B42" s="20"/>
      <c r="C42" s="116"/>
      <c r="D42" s="116"/>
      <c r="E42" s="117"/>
      <c r="O42" s="79"/>
      <c r="S42" s="79"/>
      <c r="T42" s="79"/>
      <c r="Y42" s="79"/>
      <c r="AC42" s="130"/>
      <c r="AE42" s="106"/>
    </row>
    <row r="43">
      <c r="A43" s="278" t="s">
        <v>318</v>
      </c>
      <c r="B43" s="279" t="s">
        <v>319</v>
      </c>
      <c r="C43" s="280" t="s">
        <v>285</v>
      </c>
      <c r="D43" s="280" t="s">
        <v>30</v>
      </c>
      <c r="E43" s="281" t="s">
        <v>320</v>
      </c>
      <c r="F43" s="281" t="s">
        <v>321</v>
      </c>
      <c r="O43" s="79"/>
      <c r="S43" s="79"/>
      <c r="T43" s="79"/>
      <c r="Y43" s="79"/>
      <c r="AC43" s="130"/>
      <c r="AE43" s="106"/>
    </row>
    <row r="44">
      <c r="A44" s="304" t="s">
        <v>472</v>
      </c>
      <c r="B44" s="305">
        <v>45482.0</v>
      </c>
      <c r="C44" s="234" t="s">
        <v>325</v>
      </c>
      <c r="D44" s="178">
        <v>1248.68</v>
      </c>
      <c r="E44" s="308"/>
      <c r="F44" s="235"/>
      <c r="O44" s="79"/>
      <c r="S44" s="79"/>
      <c r="T44" s="79"/>
      <c r="Y44" s="79"/>
      <c r="AC44" s="130"/>
      <c r="AE44" s="106"/>
    </row>
    <row r="45">
      <c r="A45" s="304" t="s">
        <v>495</v>
      </c>
      <c r="B45" s="305">
        <v>45489.0</v>
      </c>
      <c r="C45" s="234" t="s">
        <v>325</v>
      </c>
      <c r="D45" s="178">
        <v>1228.43</v>
      </c>
      <c r="E45" s="308"/>
      <c r="F45" s="235"/>
      <c r="O45" s="79"/>
      <c r="S45" s="79"/>
      <c r="T45" s="79"/>
      <c r="Y45" s="79"/>
      <c r="AC45" s="130"/>
      <c r="AE45" s="106"/>
    </row>
    <row r="46">
      <c r="A46" s="304" t="s">
        <v>510</v>
      </c>
      <c r="B46" s="305">
        <v>45496.0</v>
      </c>
      <c r="C46" s="234" t="s">
        <v>325</v>
      </c>
      <c r="D46" s="178">
        <v>1194.77</v>
      </c>
      <c r="E46" s="308"/>
      <c r="F46" s="235"/>
      <c r="O46" s="79"/>
      <c r="S46" s="79"/>
      <c r="T46" s="79"/>
      <c r="Y46" s="79"/>
      <c r="AC46" s="130"/>
      <c r="AE46" s="106"/>
    </row>
    <row r="47">
      <c r="A47" s="304" t="s">
        <v>530</v>
      </c>
      <c r="B47" s="305">
        <v>45503.0</v>
      </c>
      <c r="C47" s="234" t="s">
        <v>325</v>
      </c>
      <c r="D47" s="178">
        <v>1211.18</v>
      </c>
      <c r="E47" s="308"/>
      <c r="F47" s="235"/>
      <c r="O47" s="79"/>
      <c r="S47" s="79"/>
      <c r="T47" s="79"/>
      <c r="Y47" s="79"/>
      <c r="AC47" s="130"/>
      <c r="AE47" s="106"/>
    </row>
    <row r="48">
      <c r="A48" s="304" t="s">
        <v>553</v>
      </c>
      <c r="B48" s="305">
        <v>45510.0</v>
      </c>
      <c r="C48" s="234" t="s">
        <v>325</v>
      </c>
      <c r="D48" s="178">
        <v>1409.57</v>
      </c>
      <c r="E48" s="308"/>
      <c r="F48" s="235"/>
      <c r="O48" s="79"/>
      <c r="S48" s="79"/>
      <c r="T48" s="79"/>
      <c r="Y48" s="79"/>
      <c r="AC48" s="130"/>
      <c r="AE48" s="106"/>
    </row>
    <row r="49">
      <c r="A49" s="304" t="s">
        <v>578</v>
      </c>
      <c r="B49" s="305">
        <v>45517.0</v>
      </c>
      <c r="C49" s="234" t="s">
        <v>325</v>
      </c>
      <c r="D49" s="178">
        <v>1391.12</v>
      </c>
      <c r="E49" s="308"/>
      <c r="F49" s="235"/>
      <c r="O49" s="79"/>
      <c r="S49" s="79"/>
      <c r="T49" s="79"/>
      <c r="Y49" s="79"/>
      <c r="AC49" s="130"/>
      <c r="AE49" s="106"/>
    </row>
    <row r="50">
      <c r="A50" s="304" t="s">
        <v>597</v>
      </c>
      <c r="B50" s="305">
        <v>45525.0</v>
      </c>
      <c r="C50" s="234" t="s">
        <v>325</v>
      </c>
      <c r="D50" s="178">
        <v>1420.83</v>
      </c>
      <c r="E50" s="308"/>
      <c r="F50" s="235"/>
      <c r="O50" s="79"/>
      <c r="S50" s="79"/>
      <c r="T50" s="79"/>
      <c r="Y50" s="79"/>
      <c r="AC50" s="130"/>
      <c r="AE50" s="106"/>
    </row>
    <row r="51">
      <c r="A51" s="304" t="s">
        <v>622</v>
      </c>
      <c r="B51" s="305">
        <v>45533.0</v>
      </c>
      <c r="C51" s="234" t="s">
        <v>325</v>
      </c>
      <c r="D51" s="178">
        <v>1404.36</v>
      </c>
      <c r="E51" s="308"/>
      <c r="F51" s="235"/>
      <c r="O51" s="79"/>
      <c r="S51" s="79"/>
      <c r="T51" s="79"/>
      <c r="Y51" s="79"/>
      <c r="AC51" s="130"/>
      <c r="AE51" s="106"/>
    </row>
    <row r="52">
      <c r="A52" s="304" t="s">
        <v>644</v>
      </c>
      <c r="B52" s="305">
        <v>45540.0</v>
      </c>
      <c r="C52" s="234" t="s">
        <v>325</v>
      </c>
      <c r="D52" s="178">
        <v>1415.74</v>
      </c>
      <c r="E52" s="308"/>
      <c r="F52" s="235"/>
      <c r="O52" s="79"/>
      <c r="S52" s="79"/>
      <c r="T52" s="79"/>
      <c r="Y52" s="79"/>
      <c r="AC52" s="130"/>
      <c r="AE52" s="106"/>
    </row>
    <row r="53">
      <c r="A53" s="304" t="s">
        <v>660</v>
      </c>
      <c r="B53" s="305">
        <v>45547.0</v>
      </c>
      <c r="C53" s="234" t="s">
        <v>325</v>
      </c>
      <c r="D53" s="178">
        <v>1419.33</v>
      </c>
      <c r="E53" s="308"/>
      <c r="F53" s="235"/>
      <c r="O53" s="79"/>
      <c r="S53" s="79"/>
      <c r="T53" s="79"/>
      <c r="Y53" s="79"/>
      <c r="AC53" s="130"/>
      <c r="AE53" s="106"/>
    </row>
    <row r="54">
      <c r="A54" s="304" t="s">
        <v>677</v>
      </c>
      <c r="B54" s="305">
        <v>45554.0</v>
      </c>
      <c r="C54" s="234" t="s">
        <v>325</v>
      </c>
      <c r="D54" s="178">
        <v>1439.4</v>
      </c>
      <c r="E54" s="308"/>
      <c r="F54" s="235"/>
      <c r="O54" s="79"/>
      <c r="S54" s="79"/>
      <c r="T54" s="79"/>
      <c r="Y54" s="79"/>
      <c r="AC54" s="130"/>
      <c r="AE54" s="106"/>
    </row>
    <row r="55">
      <c r="A55" s="282" t="s">
        <v>661</v>
      </c>
      <c r="B55" s="283">
        <v>45482.0</v>
      </c>
      <c r="C55" s="166" t="s">
        <v>482</v>
      </c>
      <c r="D55" s="93">
        <v>463.6</v>
      </c>
      <c r="E55" s="291"/>
      <c r="F55" s="6"/>
      <c r="O55" s="79"/>
      <c r="S55" s="79"/>
      <c r="T55" s="79"/>
      <c r="Y55" s="79"/>
      <c r="AC55" s="130"/>
      <c r="AE55" s="106"/>
    </row>
    <row r="56">
      <c r="A56" s="282" t="s">
        <v>537</v>
      </c>
      <c r="B56" s="283">
        <v>45506.0</v>
      </c>
      <c r="C56" s="166" t="s">
        <v>538</v>
      </c>
      <c r="D56" s="93">
        <v>1662.01</v>
      </c>
      <c r="E56" s="291"/>
      <c r="F56" s="6"/>
      <c r="O56" s="79"/>
      <c r="S56" s="79"/>
      <c r="T56" s="79"/>
      <c r="Y56" s="79"/>
      <c r="AC56" s="130"/>
      <c r="AE56" s="106"/>
    </row>
    <row r="57">
      <c r="A57" s="282" t="s">
        <v>598</v>
      </c>
      <c r="B57" s="283">
        <v>45526.0</v>
      </c>
      <c r="C57" s="166" t="s">
        <v>37</v>
      </c>
      <c r="D57" s="93">
        <v>375.0</v>
      </c>
      <c r="E57" s="291"/>
      <c r="F57" s="6"/>
      <c r="O57" s="79"/>
      <c r="S57" s="79"/>
      <c r="T57" s="79"/>
      <c r="Y57" s="79"/>
      <c r="AC57" s="130"/>
      <c r="AE57" s="106"/>
    </row>
    <row r="58">
      <c r="A58" s="282" t="s">
        <v>606</v>
      </c>
      <c r="B58" s="283">
        <v>45524.0</v>
      </c>
      <c r="C58" s="166" t="s">
        <v>536</v>
      </c>
      <c r="D58" s="93">
        <f>1160-580</f>
        <v>580</v>
      </c>
      <c r="E58" s="308" t="s">
        <v>678</v>
      </c>
      <c r="F58" s="6"/>
      <c r="O58" s="79"/>
      <c r="S58" s="79"/>
      <c r="T58" s="79"/>
      <c r="Y58" s="79"/>
      <c r="AC58" s="130"/>
      <c r="AE58" s="106"/>
    </row>
    <row r="59">
      <c r="A59" s="282" t="s">
        <v>645</v>
      </c>
      <c r="B59" s="283">
        <v>45528.0</v>
      </c>
      <c r="C59" s="166" t="s">
        <v>624</v>
      </c>
      <c r="D59" s="93">
        <v>190.0</v>
      </c>
      <c r="E59" s="291"/>
      <c r="F59" s="6"/>
      <c r="O59" s="79"/>
      <c r="S59" s="79"/>
      <c r="T59" s="79"/>
      <c r="Y59" s="79"/>
      <c r="AC59" s="130"/>
      <c r="AE59" s="106"/>
    </row>
    <row r="60">
      <c r="A60" s="282" t="s">
        <v>648</v>
      </c>
      <c r="B60" s="283">
        <v>45540.0</v>
      </c>
      <c r="C60" s="166" t="s">
        <v>164</v>
      </c>
      <c r="D60" s="93">
        <v>237.0</v>
      </c>
      <c r="E60" s="291"/>
      <c r="F60" s="6"/>
      <c r="O60" s="79"/>
      <c r="S60" s="79"/>
      <c r="T60" s="79"/>
      <c r="Y60" s="79"/>
      <c r="AC60" s="130"/>
      <c r="AE60" s="106"/>
    </row>
    <row r="61">
      <c r="A61" s="282" t="s">
        <v>649</v>
      </c>
      <c r="B61" s="283">
        <v>45540.0</v>
      </c>
      <c r="C61" s="166" t="s">
        <v>650</v>
      </c>
      <c r="D61" s="433">
        <f>668-222.67</f>
        <v>445.33</v>
      </c>
      <c r="E61" s="306" t="s">
        <v>679</v>
      </c>
      <c r="F61" s="6"/>
      <c r="O61" s="79"/>
      <c r="S61" s="79"/>
      <c r="T61" s="79"/>
      <c r="Y61" s="79"/>
      <c r="AC61" s="130"/>
      <c r="AE61" s="106"/>
    </row>
    <row r="62">
      <c r="A62" s="282" t="s">
        <v>651</v>
      </c>
      <c r="B62" s="283">
        <v>45541.0</v>
      </c>
      <c r="C62" s="96" t="s">
        <v>652</v>
      </c>
      <c r="D62" s="5">
        <v>359.29</v>
      </c>
      <c r="E62" s="306" t="s">
        <v>653</v>
      </c>
      <c r="F62" s="6"/>
      <c r="O62" s="79"/>
      <c r="S62" s="79"/>
      <c r="T62" s="79"/>
      <c r="Y62" s="79"/>
      <c r="AC62" s="130"/>
      <c r="AE62" s="106"/>
    </row>
    <row r="63">
      <c r="A63" s="282" t="s">
        <v>663</v>
      </c>
      <c r="B63" s="283">
        <v>45541.0</v>
      </c>
      <c r="C63" s="166" t="s">
        <v>664</v>
      </c>
      <c r="D63" s="93">
        <v>581.9</v>
      </c>
      <c r="E63" s="291"/>
      <c r="F63" s="6"/>
      <c r="O63" s="79"/>
      <c r="S63" s="79"/>
      <c r="T63" s="79"/>
      <c r="Y63" s="79"/>
      <c r="AC63" s="130"/>
      <c r="AE63" s="106"/>
    </row>
    <row r="64">
      <c r="A64" s="282" t="s">
        <v>654</v>
      </c>
      <c r="B64" s="283">
        <v>45528.0</v>
      </c>
      <c r="C64" s="166" t="s">
        <v>655</v>
      </c>
      <c r="D64" s="93">
        <v>370.0</v>
      </c>
      <c r="E64" s="291"/>
      <c r="F64" s="6"/>
      <c r="O64" s="79"/>
      <c r="S64" s="79"/>
      <c r="T64" s="79"/>
      <c r="Y64" s="79"/>
      <c r="AC64" s="130"/>
      <c r="AE64" s="106"/>
    </row>
    <row r="65">
      <c r="A65" s="282" t="s">
        <v>665</v>
      </c>
      <c r="B65" s="283">
        <v>45545.0</v>
      </c>
      <c r="C65" s="166" t="s">
        <v>666</v>
      </c>
      <c r="D65" s="93">
        <v>1222.2</v>
      </c>
      <c r="E65" s="291"/>
      <c r="F65" s="6"/>
      <c r="O65" s="79"/>
      <c r="S65" s="79"/>
      <c r="T65" s="79"/>
      <c r="Y65" s="79"/>
      <c r="AC65" s="130"/>
      <c r="AE65" s="106"/>
    </row>
    <row r="66">
      <c r="A66" s="282" t="s">
        <v>667</v>
      </c>
      <c r="B66" s="283">
        <v>45546.0</v>
      </c>
      <c r="C66" s="166" t="s">
        <v>668</v>
      </c>
      <c r="D66" s="93">
        <f>608.6</f>
        <v>608.6</v>
      </c>
      <c r="E66" s="291"/>
      <c r="F66" s="6"/>
      <c r="O66" s="79"/>
      <c r="S66" s="79"/>
      <c r="T66" s="79"/>
      <c r="Y66" s="79"/>
      <c r="AC66" s="130"/>
      <c r="AE66" s="106"/>
    </row>
    <row r="67">
      <c r="A67" s="282" t="s">
        <v>667</v>
      </c>
      <c r="B67" s="283">
        <v>45547.0</v>
      </c>
      <c r="C67" s="166" t="s">
        <v>669</v>
      </c>
      <c r="D67" s="93">
        <v>380.0</v>
      </c>
      <c r="E67" s="291"/>
      <c r="F67" s="6"/>
      <c r="O67" s="79"/>
      <c r="S67" s="79"/>
      <c r="T67" s="79"/>
      <c r="Y67" s="79"/>
      <c r="AC67" s="130"/>
      <c r="AE67" s="106"/>
    </row>
    <row r="68">
      <c r="A68" s="282" t="s">
        <v>670</v>
      </c>
      <c r="B68" s="283">
        <v>45549.0</v>
      </c>
      <c r="C68" s="166" t="s">
        <v>600</v>
      </c>
      <c r="D68" s="93">
        <v>286.4</v>
      </c>
      <c r="E68" s="291"/>
      <c r="F68" s="6"/>
      <c r="O68" s="79"/>
      <c r="S68" s="79"/>
      <c r="T68" s="79"/>
      <c r="Y68" s="79"/>
      <c r="AC68" s="130"/>
      <c r="AE68" s="106"/>
    </row>
    <row r="69">
      <c r="A69" s="282" t="s">
        <v>680</v>
      </c>
      <c r="B69" s="283">
        <v>45553.0</v>
      </c>
      <c r="C69" s="96" t="s">
        <v>676</v>
      </c>
      <c r="D69" s="434">
        <f>513.86-15</f>
        <v>498.86</v>
      </c>
      <c r="E69" s="291"/>
      <c r="F69" s="6"/>
      <c r="O69" s="79"/>
      <c r="S69" s="79"/>
      <c r="T69" s="79"/>
      <c r="Y69" s="79"/>
      <c r="AC69" s="130"/>
      <c r="AE69" s="106"/>
    </row>
    <row r="70">
      <c r="A70" s="282" t="s">
        <v>681</v>
      </c>
      <c r="B70" s="283">
        <v>45555.0</v>
      </c>
      <c r="C70" s="166" t="s">
        <v>664</v>
      </c>
      <c r="D70" s="93">
        <v>785.6</v>
      </c>
      <c r="E70" s="291"/>
      <c r="F70" s="6"/>
      <c r="O70" s="79"/>
      <c r="S70" s="79"/>
      <c r="T70" s="79"/>
      <c r="Y70" s="79"/>
      <c r="AC70" s="130"/>
      <c r="AE70" s="106"/>
    </row>
    <row r="71">
      <c r="A71" s="282" t="s">
        <v>682</v>
      </c>
      <c r="B71" s="283">
        <v>45558.0</v>
      </c>
      <c r="C71" s="166" t="s">
        <v>482</v>
      </c>
      <c r="D71" s="93">
        <v>1556.54</v>
      </c>
      <c r="E71" s="291"/>
      <c r="F71" s="6"/>
      <c r="O71" s="79"/>
      <c r="S71" s="79"/>
      <c r="T71" s="79"/>
      <c r="Y71" s="79"/>
      <c r="AC71" s="130"/>
      <c r="AE71" s="106"/>
    </row>
    <row r="72">
      <c r="A72" s="282"/>
      <c r="B72" s="283"/>
      <c r="C72" s="166"/>
      <c r="D72" s="93"/>
      <c r="E72" s="291"/>
      <c r="F72" s="6"/>
      <c r="O72" s="79"/>
      <c r="S72" s="79"/>
      <c r="T72" s="79"/>
      <c r="Y72" s="79"/>
      <c r="AC72" s="130"/>
      <c r="AE72" s="106"/>
    </row>
    <row r="73">
      <c r="A73" s="282"/>
      <c r="B73" s="283"/>
      <c r="C73" s="166"/>
      <c r="D73" s="93"/>
      <c r="E73" s="291"/>
      <c r="F73" s="6"/>
      <c r="O73" s="79"/>
      <c r="S73" s="79"/>
      <c r="T73" s="79"/>
      <c r="Y73" s="79"/>
      <c r="AC73" s="130"/>
      <c r="AE73" s="106"/>
    </row>
    <row r="74">
      <c r="A74" s="282"/>
      <c r="B74" s="283"/>
      <c r="C74" s="166"/>
      <c r="D74" s="93"/>
      <c r="E74" s="291"/>
      <c r="F74" s="6"/>
      <c r="O74" s="79"/>
      <c r="S74" s="79"/>
      <c r="T74" s="79"/>
      <c r="Y74" s="79"/>
      <c r="AC74" s="130"/>
      <c r="AE74" s="106"/>
    </row>
    <row r="75">
      <c r="A75" s="282"/>
      <c r="B75" s="283"/>
      <c r="C75" s="166"/>
      <c r="D75" s="93"/>
      <c r="E75" s="291"/>
      <c r="F75" s="6"/>
      <c r="O75" s="79"/>
      <c r="S75" s="79"/>
      <c r="T75" s="79"/>
      <c r="Y75" s="79"/>
      <c r="AC75" s="130"/>
      <c r="AE75" s="106"/>
    </row>
    <row r="76">
      <c r="A76" s="282"/>
      <c r="B76" s="283"/>
      <c r="C76" s="166"/>
      <c r="D76" s="93"/>
      <c r="E76" s="291"/>
      <c r="F76" s="6"/>
      <c r="O76" s="79"/>
      <c r="S76" s="79"/>
      <c r="T76" s="79"/>
      <c r="Y76" s="79"/>
      <c r="AC76" s="130"/>
      <c r="AE76" s="106"/>
    </row>
    <row r="77">
      <c r="A77" s="282"/>
      <c r="B77" s="283"/>
      <c r="C77" s="166"/>
      <c r="D77" s="93"/>
      <c r="E77" s="291"/>
      <c r="F77" s="6"/>
      <c r="O77" s="79"/>
      <c r="S77" s="79"/>
      <c r="T77" s="79"/>
      <c r="Y77" s="79"/>
      <c r="AC77" s="130"/>
      <c r="AE77" s="106"/>
    </row>
    <row r="78">
      <c r="A78" s="282"/>
      <c r="B78" s="283"/>
      <c r="C78" s="166"/>
      <c r="D78" s="93"/>
      <c r="E78" s="291"/>
      <c r="F78" s="6"/>
      <c r="O78" s="79"/>
      <c r="S78" s="79"/>
      <c r="T78" s="79"/>
      <c r="Y78" s="79"/>
      <c r="AC78" s="130"/>
      <c r="AE78" s="106"/>
    </row>
    <row r="79">
      <c r="A79" s="282"/>
      <c r="B79" s="283"/>
      <c r="C79" s="166"/>
      <c r="D79" s="93"/>
      <c r="E79" s="291"/>
      <c r="F79" s="6"/>
      <c r="O79" s="79"/>
      <c r="S79" s="79"/>
      <c r="T79" s="79"/>
      <c r="Y79" s="79"/>
      <c r="AC79" s="130"/>
      <c r="AE79" s="106"/>
    </row>
    <row r="80">
      <c r="A80" s="282"/>
      <c r="B80" s="283"/>
      <c r="C80" s="166"/>
      <c r="D80" s="93"/>
      <c r="E80" s="291"/>
      <c r="F80" s="6"/>
      <c r="O80" s="79"/>
      <c r="S80" s="79"/>
      <c r="T80" s="79"/>
      <c r="Y80" s="79"/>
      <c r="AC80" s="130"/>
      <c r="AE80" s="106"/>
    </row>
    <row r="81">
      <c r="A81" s="282"/>
      <c r="B81" s="283"/>
      <c r="C81" s="166"/>
      <c r="D81" s="93"/>
      <c r="E81" s="291"/>
      <c r="F81" s="6"/>
      <c r="O81" s="79"/>
      <c r="S81" s="79"/>
      <c r="T81" s="79"/>
      <c r="Y81" s="79"/>
      <c r="AC81" s="130"/>
      <c r="AE81" s="106"/>
    </row>
    <row r="82">
      <c r="A82" s="282"/>
      <c r="B82" s="283"/>
      <c r="C82" s="166"/>
      <c r="D82" s="93"/>
      <c r="E82" s="291"/>
      <c r="F82" s="6"/>
      <c r="O82" s="79"/>
      <c r="S82" s="79"/>
      <c r="T82" s="79"/>
      <c r="Y82" s="79"/>
      <c r="AC82" s="130"/>
      <c r="AE82" s="106"/>
    </row>
    <row r="83">
      <c r="A83" s="282"/>
      <c r="B83" s="283"/>
      <c r="C83" s="166"/>
      <c r="D83" s="93"/>
      <c r="E83" s="291"/>
      <c r="F83" s="6"/>
      <c r="O83" s="79"/>
      <c r="S83" s="79"/>
      <c r="T83" s="79"/>
      <c r="Y83" s="79"/>
      <c r="AC83" s="130"/>
      <c r="AE83" s="106"/>
    </row>
    <row r="84">
      <c r="A84" s="282"/>
      <c r="B84" s="283"/>
      <c r="C84" s="166"/>
      <c r="D84" s="93"/>
      <c r="E84" s="291"/>
      <c r="F84" s="6"/>
      <c r="O84" s="79"/>
      <c r="S84" s="79"/>
      <c r="T84" s="79"/>
      <c r="Y84" s="79"/>
      <c r="AC84" s="130"/>
      <c r="AE84" s="106"/>
    </row>
    <row r="85">
      <c r="A85" s="282"/>
      <c r="B85" s="283"/>
      <c r="C85" s="166"/>
      <c r="D85" s="93"/>
      <c r="E85" s="291"/>
      <c r="F85" s="6"/>
      <c r="O85" s="79"/>
      <c r="S85" s="79"/>
      <c r="T85" s="79"/>
      <c r="Y85" s="79"/>
      <c r="AC85" s="130"/>
      <c r="AE85" s="106"/>
    </row>
    <row r="86">
      <c r="A86" s="282"/>
      <c r="B86" s="283"/>
      <c r="C86" s="166"/>
      <c r="D86" s="93"/>
      <c r="E86" s="291"/>
      <c r="F86" s="6"/>
      <c r="O86" s="79"/>
      <c r="S86" s="79"/>
      <c r="T86" s="79"/>
      <c r="Y86" s="79"/>
      <c r="AC86" s="130"/>
      <c r="AE86" s="106"/>
    </row>
    <row r="87">
      <c r="A87" s="282"/>
      <c r="B87" s="283"/>
      <c r="C87" s="166"/>
      <c r="D87" s="93"/>
      <c r="E87" s="291"/>
      <c r="F87" s="6"/>
      <c r="O87" s="79"/>
      <c r="S87" s="79"/>
      <c r="T87" s="79"/>
      <c r="Y87" s="79"/>
      <c r="AC87" s="130"/>
      <c r="AE87" s="106"/>
    </row>
    <row r="88">
      <c r="A88" s="282"/>
      <c r="B88" s="283"/>
      <c r="C88" s="166"/>
      <c r="D88" s="93"/>
      <c r="E88" s="291"/>
      <c r="F88" s="6"/>
      <c r="O88" s="79"/>
      <c r="S88" s="79"/>
      <c r="T88" s="79"/>
      <c r="Y88" s="79"/>
      <c r="AC88" s="130"/>
      <c r="AE88" s="106"/>
    </row>
    <row r="89">
      <c r="A89" s="282"/>
      <c r="B89" s="283"/>
      <c r="C89" s="166"/>
      <c r="D89" s="93"/>
      <c r="E89" s="291"/>
      <c r="F89" s="6"/>
      <c r="O89" s="79"/>
      <c r="S89" s="79"/>
      <c r="T89" s="79"/>
      <c r="Y89" s="79"/>
      <c r="AC89" s="130"/>
      <c r="AE89" s="106"/>
    </row>
    <row r="90">
      <c r="C90" s="79"/>
      <c r="D90" s="79"/>
      <c r="E90" s="79"/>
      <c r="O90" s="79"/>
      <c r="S90" s="79"/>
      <c r="T90" s="79"/>
      <c r="Y90" s="79"/>
      <c r="AC90" s="130"/>
      <c r="AE90" s="106"/>
    </row>
    <row r="91">
      <c r="C91" s="79"/>
      <c r="D91" s="79"/>
      <c r="E91" s="79"/>
      <c r="O91" s="79"/>
      <c r="S91" s="79"/>
      <c r="T91" s="79"/>
      <c r="Y91" s="79"/>
      <c r="AC91" s="130"/>
      <c r="AE91" s="106"/>
    </row>
    <row r="92">
      <c r="C92" s="79"/>
      <c r="D92" s="79"/>
      <c r="E92" s="79"/>
      <c r="O92" s="79"/>
      <c r="S92" s="79"/>
      <c r="T92" s="79"/>
      <c r="Y92" s="79"/>
      <c r="AC92" s="130"/>
      <c r="AE92" s="106"/>
    </row>
    <row r="93">
      <c r="C93" s="79"/>
      <c r="D93" s="79"/>
      <c r="E93" s="79"/>
      <c r="O93" s="79"/>
      <c r="S93" s="79"/>
      <c r="T93" s="79"/>
      <c r="Y93" s="79"/>
      <c r="AC93" s="130"/>
      <c r="AE93" s="106"/>
    </row>
    <row r="94">
      <c r="C94" s="79"/>
      <c r="D94" s="79"/>
      <c r="E94" s="79"/>
      <c r="O94" s="79"/>
      <c r="S94" s="79"/>
      <c r="T94" s="79"/>
      <c r="Y94" s="79"/>
      <c r="AC94" s="130"/>
      <c r="AE94" s="106"/>
    </row>
    <row r="95">
      <c r="C95" s="79"/>
      <c r="D95" s="79"/>
      <c r="E95" s="79"/>
      <c r="O95" s="79"/>
      <c r="S95" s="79"/>
      <c r="T95" s="79"/>
      <c r="Y95" s="79"/>
      <c r="AC95" s="130"/>
      <c r="AE95" s="106"/>
    </row>
    <row r="96">
      <c r="C96" s="79"/>
      <c r="D96" s="79"/>
      <c r="E96" s="79"/>
      <c r="O96" s="79"/>
      <c r="S96" s="79"/>
      <c r="T96" s="79"/>
      <c r="Y96" s="79"/>
      <c r="AC96" s="130"/>
      <c r="AE96" s="106"/>
    </row>
    <row r="97">
      <c r="C97" s="79"/>
      <c r="D97" s="79"/>
      <c r="E97" s="79"/>
      <c r="O97" s="79"/>
      <c r="S97" s="79"/>
      <c r="T97" s="79"/>
      <c r="Y97" s="79"/>
      <c r="AC97" s="130"/>
      <c r="AE97" s="106"/>
    </row>
    <row r="98">
      <c r="C98" s="79"/>
      <c r="D98" s="79"/>
      <c r="E98" s="79"/>
      <c r="O98" s="79"/>
      <c r="S98" s="79"/>
      <c r="T98" s="79"/>
      <c r="Y98" s="79"/>
      <c r="AC98" s="130"/>
      <c r="AE98" s="106"/>
    </row>
    <row r="99">
      <c r="C99" s="79"/>
      <c r="D99" s="79"/>
      <c r="E99" s="79"/>
      <c r="O99" s="79"/>
      <c r="S99" s="79"/>
      <c r="T99" s="79"/>
      <c r="Y99" s="79"/>
      <c r="AC99" s="130"/>
      <c r="AE99" s="106"/>
    </row>
    <row r="100">
      <c r="C100" s="79"/>
      <c r="D100" s="79"/>
      <c r="E100" s="79"/>
      <c r="O100" s="79"/>
      <c r="S100" s="79"/>
      <c r="T100" s="79"/>
      <c r="Y100" s="79"/>
      <c r="AC100" s="130"/>
      <c r="AE100" s="106"/>
    </row>
    <row r="101">
      <c r="C101" s="79"/>
      <c r="D101" s="79"/>
      <c r="E101" s="79"/>
      <c r="O101" s="79"/>
      <c r="S101" s="79"/>
      <c r="T101" s="79"/>
      <c r="Y101" s="79"/>
      <c r="AC101" s="130"/>
      <c r="AE101" s="106"/>
    </row>
    <row r="102">
      <c r="C102" s="79"/>
      <c r="D102" s="79"/>
      <c r="E102" s="79"/>
      <c r="O102" s="79"/>
      <c r="S102" s="79"/>
      <c r="T102" s="79"/>
      <c r="Y102" s="79"/>
      <c r="AC102" s="130"/>
      <c r="AE102" s="106"/>
    </row>
    <row r="103">
      <c r="C103" s="79"/>
      <c r="D103" s="79"/>
      <c r="E103" s="79"/>
      <c r="O103" s="79"/>
      <c r="S103" s="79"/>
      <c r="T103" s="79"/>
      <c r="Y103" s="79"/>
      <c r="AC103" s="130"/>
      <c r="AE103" s="106"/>
    </row>
    <row r="104">
      <c r="C104" s="79"/>
      <c r="D104" s="79"/>
      <c r="E104" s="79"/>
      <c r="O104" s="79"/>
      <c r="S104" s="79"/>
      <c r="T104" s="79"/>
      <c r="Y104" s="79"/>
      <c r="AC104" s="130"/>
      <c r="AE104" s="106"/>
    </row>
    <row r="105">
      <c r="C105" s="79"/>
      <c r="D105" s="79"/>
      <c r="E105" s="79"/>
      <c r="O105" s="79"/>
      <c r="S105" s="79"/>
      <c r="T105" s="79"/>
      <c r="Y105" s="79"/>
      <c r="AC105" s="130"/>
      <c r="AE105" s="106"/>
    </row>
    <row r="106">
      <c r="C106" s="79"/>
      <c r="D106" s="79"/>
      <c r="E106" s="79"/>
      <c r="O106" s="79"/>
      <c r="S106" s="79"/>
      <c r="T106" s="79"/>
      <c r="Y106" s="79"/>
      <c r="AC106" s="130"/>
      <c r="AE106" s="106"/>
    </row>
    <row r="107">
      <c r="C107" s="79"/>
      <c r="D107" s="79"/>
      <c r="E107" s="79"/>
      <c r="O107" s="79"/>
      <c r="S107" s="79"/>
      <c r="T107" s="79"/>
      <c r="Y107" s="79"/>
      <c r="AC107" s="130"/>
      <c r="AE107" s="106"/>
    </row>
    <row r="108">
      <c r="C108" s="79"/>
      <c r="D108" s="79"/>
      <c r="E108" s="79"/>
      <c r="O108" s="79"/>
      <c r="S108" s="79"/>
      <c r="T108" s="79"/>
      <c r="Y108" s="79"/>
      <c r="AC108" s="130"/>
      <c r="AE108" s="106"/>
    </row>
    <row r="109">
      <c r="C109" s="79"/>
      <c r="D109" s="79"/>
      <c r="E109" s="79"/>
      <c r="O109" s="79"/>
      <c r="S109" s="79"/>
      <c r="T109" s="79"/>
      <c r="Y109" s="79"/>
      <c r="AC109" s="130"/>
      <c r="AE109" s="106"/>
    </row>
    <row r="110">
      <c r="C110" s="79"/>
      <c r="D110" s="79"/>
      <c r="E110" s="79"/>
      <c r="O110" s="79"/>
      <c r="S110" s="79"/>
      <c r="T110" s="79"/>
      <c r="Y110" s="79"/>
      <c r="AC110" s="130"/>
      <c r="AE110" s="106"/>
    </row>
    <row r="111">
      <c r="C111" s="79"/>
      <c r="D111" s="79"/>
      <c r="E111" s="79"/>
      <c r="O111" s="79"/>
      <c r="S111" s="79"/>
      <c r="T111" s="79"/>
      <c r="Y111" s="79"/>
      <c r="AC111" s="130"/>
      <c r="AE111" s="106"/>
    </row>
    <row r="112">
      <c r="C112" s="79"/>
      <c r="D112" s="79"/>
      <c r="E112" s="79"/>
      <c r="O112" s="79"/>
      <c r="S112" s="79"/>
      <c r="T112" s="79"/>
      <c r="Y112" s="79"/>
      <c r="AC112" s="130"/>
      <c r="AE112" s="106"/>
    </row>
    <row r="113">
      <c r="C113" s="79"/>
      <c r="D113" s="79"/>
      <c r="E113" s="79"/>
      <c r="O113" s="79"/>
      <c r="S113" s="79"/>
      <c r="T113" s="79"/>
      <c r="Y113" s="79"/>
      <c r="AC113" s="130"/>
      <c r="AE113" s="106"/>
    </row>
    <row r="114">
      <c r="C114" s="79"/>
      <c r="D114" s="79"/>
      <c r="E114" s="79"/>
      <c r="O114" s="79"/>
      <c r="S114" s="79"/>
      <c r="T114" s="79"/>
      <c r="Y114" s="79"/>
      <c r="AC114" s="130"/>
      <c r="AE114" s="106"/>
    </row>
    <row r="115">
      <c r="C115" s="79"/>
      <c r="D115" s="79"/>
      <c r="E115" s="79"/>
      <c r="O115" s="79"/>
      <c r="S115" s="79"/>
      <c r="T115" s="79"/>
      <c r="Y115" s="79"/>
      <c r="AC115" s="130"/>
      <c r="AE115" s="106"/>
    </row>
    <row r="116">
      <c r="C116" s="79"/>
      <c r="D116" s="79"/>
      <c r="E116" s="79"/>
      <c r="O116" s="79"/>
      <c r="S116" s="79"/>
      <c r="T116" s="79"/>
      <c r="Y116" s="79"/>
      <c r="AC116" s="130"/>
      <c r="AE116" s="106"/>
    </row>
    <row r="117">
      <c r="C117" s="79"/>
      <c r="D117" s="79"/>
      <c r="E117" s="79"/>
      <c r="O117" s="79"/>
      <c r="S117" s="79"/>
      <c r="T117" s="79"/>
      <c r="Y117" s="79"/>
      <c r="AC117" s="130"/>
      <c r="AE117" s="106"/>
    </row>
    <row r="118">
      <c r="C118" s="79"/>
      <c r="D118" s="79"/>
      <c r="E118" s="79"/>
      <c r="O118" s="79"/>
      <c r="S118" s="79"/>
      <c r="T118" s="79"/>
      <c r="Y118" s="79"/>
      <c r="AC118" s="130"/>
      <c r="AE118" s="106"/>
    </row>
    <row r="119">
      <c r="C119" s="79"/>
      <c r="D119" s="79"/>
      <c r="E119" s="79"/>
      <c r="O119" s="79"/>
      <c r="S119" s="79"/>
      <c r="T119" s="79"/>
      <c r="Y119" s="79"/>
      <c r="AC119" s="130"/>
      <c r="AE119" s="106"/>
    </row>
    <row r="120">
      <c r="C120" s="79"/>
      <c r="D120" s="79"/>
      <c r="E120" s="79"/>
      <c r="O120" s="79"/>
      <c r="S120" s="79"/>
      <c r="T120" s="79"/>
      <c r="Y120" s="79"/>
      <c r="AC120" s="130"/>
      <c r="AE120" s="106"/>
    </row>
    <row r="121">
      <c r="C121" s="79"/>
      <c r="D121" s="79"/>
      <c r="E121" s="79"/>
      <c r="O121" s="79"/>
      <c r="S121" s="79"/>
      <c r="T121" s="79"/>
      <c r="Y121" s="79"/>
      <c r="AC121" s="130"/>
      <c r="AE121" s="106"/>
    </row>
    <row r="122">
      <c r="C122" s="79"/>
      <c r="D122" s="79"/>
      <c r="E122" s="79"/>
      <c r="O122" s="79"/>
      <c r="S122" s="79"/>
      <c r="T122" s="79"/>
      <c r="Y122" s="79"/>
      <c r="AC122" s="130"/>
      <c r="AE122" s="106"/>
    </row>
    <row r="123">
      <c r="C123" s="79"/>
      <c r="D123" s="79"/>
      <c r="E123" s="79"/>
      <c r="O123" s="79"/>
      <c r="S123" s="79"/>
      <c r="T123" s="79"/>
      <c r="Y123" s="79"/>
      <c r="AC123" s="130"/>
      <c r="AE123" s="106"/>
    </row>
    <row r="124">
      <c r="C124" s="79"/>
      <c r="D124" s="79"/>
      <c r="E124" s="79"/>
      <c r="O124" s="79"/>
      <c r="S124" s="79"/>
      <c r="T124" s="79"/>
      <c r="Y124" s="79"/>
      <c r="AC124" s="130"/>
      <c r="AE124" s="106"/>
    </row>
    <row r="125">
      <c r="C125" s="79"/>
      <c r="D125" s="79"/>
      <c r="E125" s="79"/>
      <c r="O125" s="79"/>
      <c r="S125" s="79"/>
      <c r="T125" s="79"/>
      <c r="Y125" s="79"/>
      <c r="AC125" s="130"/>
      <c r="AE125" s="106"/>
    </row>
    <row r="126">
      <c r="C126" s="79"/>
      <c r="D126" s="79"/>
      <c r="E126" s="79"/>
      <c r="O126" s="79"/>
      <c r="S126" s="79"/>
      <c r="T126" s="79"/>
      <c r="Y126" s="79"/>
      <c r="AC126" s="130"/>
      <c r="AE126" s="106"/>
    </row>
    <row r="127">
      <c r="C127" s="79"/>
      <c r="D127" s="79"/>
      <c r="E127" s="79"/>
      <c r="O127" s="79"/>
      <c r="S127" s="79"/>
      <c r="T127" s="79"/>
      <c r="Y127" s="79"/>
      <c r="AC127" s="130"/>
      <c r="AE127" s="106"/>
    </row>
    <row r="128">
      <c r="C128" s="79"/>
      <c r="D128" s="79"/>
      <c r="E128" s="79"/>
      <c r="O128" s="79"/>
      <c r="S128" s="79"/>
      <c r="T128" s="79"/>
      <c r="Y128" s="79"/>
      <c r="AC128" s="130"/>
      <c r="AE128" s="106"/>
    </row>
    <row r="129">
      <c r="C129" s="79"/>
      <c r="D129" s="79"/>
      <c r="E129" s="79"/>
      <c r="O129" s="79"/>
      <c r="S129" s="79"/>
      <c r="T129" s="79"/>
      <c r="Y129" s="79"/>
      <c r="AC129" s="130"/>
      <c r="AE129" s="106"/>
    </row>
    <row r="130">
      <c r="C130" s="79"/>
      <c r="D130" s="79"/>
      <c r="E130" s="79"/>
      <c r="O130" s="79"/>
      <c r="S130" s="79"/>
      <c r="T130" s="79"/>
      <c r="Y130" s="79"/>
      <c r="AC130" s="130"/>
      <c r="AE130" s="106"/>
    </row>
    <row r="131">
      <c r="C131" s="79"/>
      <c r="D131" s="79"/>
      <c r="E131" s="79"/>
      <c r="O131" s="79"/>
      <c r="S131" s="79"/>
      <c r="T131" s="79"/>
      <c r="Y131" s="79"/>
      <c r="AC131" s="130"/>
      <c r="AE131" s="106"/>
    </row>
    <row r="132">
      <c r="C132" s="79"/>
      <c r="D132" s="79"/>
      <c r="E132" s="79"/>
      <c r="O132" s="79"/>
      <c r="S132" s="79"/>
      <c r="T132" s="79"/>
      <c r="Y132" s="79"/>
      <c r="AC132" s="130"/>
      <c r="AE132" s="106"/>
    </row>
    <row r="133">
      <c r="C133" s="79"/>
      <c r="D133" s="79"/>
      <c r="E133" s="79"/>
      <c r="O133" s="79"/>
      <c r="S133" s="79"/>
      <c r="T133" s="79"/>
      <c r="Y133" s="79"/>
      <c r="AC133" s="130"/>
      <c r="AE133" s="106"/>
    </row>
    <row r="134">
      <c r="C134" s="79"/>
      <c r="D134" s="79"/>
      <c r="E134" s="79"/>
      <c r="O134" s="79"/>
      <c r="S134" s="79"/>
      <c r="T134" s="79"/>
      <c r="Y134" s="79"/>
      <c r="AC134" s="130"/>
      <c r="AE134" s="106"/>
    </row>
    <row r="135">
      <c r="C135" s="79"/>
      <c r="D135" s="79"/>
      <c r="E135" s="79"/>
      <c r="O135" s="79"/>
      <c r="S135" s="79"/>
      <c r="T135" s="79"/>
      <c r="Y135" s="79"/>
      <c r="AC135" s="130"/>
      <c r="AE135" s="106"/>
    </row>
    <row r="136">
      <c r="C136" s="79"/>
      <c r="D136" s="79"/>
      <c r="E136" s="79"/>
      <c r="O136" s="79"/>
      <c r="S136" s="79"/>
      <c r="T136" s="79"/>
      <c r="Y136" s="79"/>
      <c r="AC136" s="130"/>
      <c r="AE136" s="106"/>
    </row>
    <row r="137">
      <c r="C137" s="79"/>
      <c r="D137" s="79"/>
      <c r="E137" s="79"/>
      <c r="O137" s="79"/>
      <c r="S137" s="79"/>
      <c r="T137" s="79"/>
      <c r="Y137" s="79"/>
      <c r="AC137" s="130"/>
      <c r="AE137" s="106"/>
    </row>
    <row r="138">
      <c r="C138" s="79"/>
      <c r="D138" s="79"/>
      <c r="E138" s="79"/>
      <c r="O138" s="79"/>
      <c r="S138" s="79"/>
      <c r="T138" s="79"/>
      <c r="Y138" s="79"/>
      <c r="AC138" s="130"/>
      <c r="AE138" s="106"/>
    </row>
    <row r="139">
      <c r="C139" s="79"/>
      <c r="D139" s="79"/>
      <c r="E139" s="79"/>
      <c r="O139" s="79"/>
      <c r="S139" s="79"/>
      <c r="T139" s="79"/>
      <c r="Y139" s="79"/>
      <c r="AC139" s="130"/>
      <c r="AE139" s="106"/>
    </row>
    <row r="140">
      <c r="C140" s="79"/>
      <c r="D140" s="79"/>
      <c r="E140" s="79"/>
      <c r="O140" s="79"/>
      <c r="S140" s="79"/>
      <c r="T140" s="79"/>
      <c r="Y140" s="79"/>
      <c r="AC140" s="130"/>
      <c r="AE140" s="106"/>
    </row>
    <row r="141">
      <c r="C141" s="79"/>
      <c r="D141" s="79"/>
      <c r="E141" s="79"/>
      <c r="O141" s="79"/>
      <c r="S141" s="79"/>
      <c r="T141" s="79"/>
      <c r="Y141" s="79"/>
      <c r="AC141" s="130"/>
      <c r="AE141" s="106"/>
    </row>
    <row r="142">
      <c r="C142" s="79"/>
      <c r="D142" s="79"/>
      <c r="E142" s="79"/>
      <c r="O142" s="79"/>
      <c r="S142" s="79"/>
      <c r="T142" s="79"/>
      <c r="Y142" s="79"/>
      <c r="AC142" s="130"/>
      <c r="AE142" s="106"/>
    </row>
    <row r="143">
      <c r="C143" s="79"/>
      <c r="D143" s="79"/>
      <c r="E143" s="79"/>
      <c r="O143" s="79"/>
      <c r="S143" s="79"/>
      <c r="T143" s="79"/>
      <c r="Y143" s="79"/>
      <c r="AC143" s="130"/>
      <c r="AE143" s="106"/>
    </row>
    <row r="144">
      <c r="C144" s="79"/>
      <c r="D144" s="79"/>
      <c r="E144" s="79"/>
      <c r="O144" s="79"/>
      <c r="S144" s="79"/>
      <c r="T144" s="79"/>
      <c r="Y144" s="79"/>
      <c r="AC144" s="130"/>
      <c r="AE144" s="106"/>
    </row>
    <row r="145">
      <c r="C145" s="79"/>
      <c r="D145" s="79"/>
      <c r="E145" s="79"/>
      <c r="O145" s="79"/>
      <c r="S145" s="79"/>
      <c r="T145" s="79"/>
      <c r="Y145" s="79"/>
      <c r="AC145" s="130"/>
      <c r="AE145" s="106"/>
    </row>
    <row r="146">
      <c r="C146" s="79"/>
      <c r="D146" s="79"/>
      <c r="E146" s="79"/>
      <c r="O146" s="79"/>
      <c r="S146" s="79"/>
      <c r="T146" s="79"/>
      <c r="Y146" s="79"/>
      <c r="AC146" s="130"/>
      <c r="AE146" s="106"/>
    </row>
    <row r="147">
      <c r="C147" s="79"/>
      <c r="D147" s="79"/>
      <c r="E147" s="79"/>
      <c r="O147" s="79"/>
      <c r="S147" s="79"/>
      <c r="T147" s="79"/>
      <c r="Y147" s="79"/>
      <c r="AC147" s="130"/>
      <c r="AE147" s="106"/>
    </row>
    <row r="148">
      <c r="C148" s="79"/>
      <c r="D148" s="79"/>
      <c r="E148" s="79"/>
      <c r="O148" s="79"/>
      <c r="S148" s="79"/>
      <c r="T148" s="79"/>
      <c r="Y148" s="79"/>
      <c r="AC148" s="130"/>
      <c r="AE148" s="106"/>
    </row>
    <row r="149">
      <c r="C149" s="79"/>
      <c r="D149" s="79"/>
      <c r="E149" s="79"/>
      <c r="O149" s="79"/>
      <c r="S149" s="79"/>
      <c r="T149" s="79"/>
      <c r="Y149" s="79"/>
      <c r="AC149" s="130"/>
      <c r="AE149" s="106"/>
    </row>
    <row r="150">
      <c r="C150" s="79"/>
      <c r="D150" s="79"/>
      <c r="E150" s="79"/>
      <c r="O150" s="79"/>
      <c r="S150" s="79"/>
      <c r="T150" s="79"/>
      <c r="Y150" s="79"/>
      <c r="AC150" s="130"/>
      <c r="AE150" s="106"/>
    </row>
    <row r="151">
      <c r="C151" s="79"/>
      <c r="D151" s="79"/>
      <c r="E151" s="79"/>
      <c r="O151" s="79"/>
      <c r="S151" s="79"/>
      <c r="T151" s="79"/>
      <c r="Y151" s="79"/>
      <c r="AC151" s="130"/>
      <c r="AE151" s="106"/>
    </row>
    <row r="152">
      <c r="C152" s="79"/>
      <c r="D152" s="79"/>
      <c r="E152" s="79"/>
      <c r="O152" s="79"/>
      <c r="S152" s="79"/>
      <c r="T152" s="79"/>
      <c r="Y152" s="79"/>
      <c r="AC152" s="130"/>
      <c r="AE152" s="106"/>
    </row>
    <row r="153">
      <c r="C153" s="79"/>
      <c r="D153" s="79"/>
      <c r="E153" s="79"/>
      <c r="O153" s="79"/>
      <c r="S153" s="79"/>
      <c r="T153" s="79"/>
      <c r="Y153" s="79"/>
      <c r="AC153" s="130"/>
      <c r="AE153" s="106"/>
    </row>
    <row r="154">
      <c r="C154" s="79"/>
      <c r="D154" s="79"/>
      <c r="E154" s="79"/>
      <c r="O154" s="79"/>
      <c r="S154" s="79"/>
      <c r="T154" s="79"/>
      <c r="Y154" s="79"/>
      <c r="AC154" s="130"/>
      <c r="AE154" s="106"/>
    </row>
    <row r="155">
      <c r="C155" s="79"/>
      <c r="D155" s="79"/>
      <c r="E155" s="79"/>
      <c r="O155" s="79"/>
      <c r="S155" s="79"/>
      <c r="T155" s="79"/>
      <c r="Y155" s="79"/>
      <c r="AC155" s="130"/>
      <c r="AE155" s="106"/>
    </row>
    <row r="156">
      <c r="C156" s="79"/>
      <c r="D156" s="79"/>
      <c r="E156" s="79"/>
      <c r="O156" s="79"/>
      <c r="S156" s="79"/>
      <c r="T156" s="79"/>
      <c r="Y156" s="79"/>
      <c r="AC156" s="130"/>
      <c r="AE156" s="106"/>
    </row>
    <row r="157">
      <c r="C157" s="79"/>
      <c r="D157" s="79"/>
      <c r="E157" s="79"/>
      <c r="O157" s="79"/>
      <c r="S157" s="79"/>
      <c r="T157" s="79"/>
      <c r="Y157" s="79"/>
      <c r="AC157" s="130"/>
      <c r="AE157" s="106"/>
    </row>
    <row r="158">
      <c r="C158" s="79"/>
      <c r="D158" s="79"/>
      <c r="E158" s="79"/>
      <c r="O158" s="79"/>
      <c r="S158" s="79"/>
      <c r="T158" s="79"/>
      <c r="Y158" s="79"/>
      <c r="AC158" s="130"/>
      <c r="AE158" s="106"/>
    </row>
    <row r="159">
      <c r="C159" s="79"/>
      <c r="D159" s="79"/>
      <c r="E159" s="79"/>
      <c r="O159" s="79"/>
      <c r="S159" s="79"/>
      <c r="T159" s="79"/>
      <c r="Y159" s="79"/>
      <c r="AC159" s="130"/>
      <c r="AE159" s="106"/>
    </row>
    <row r="160">
      <c r="C160" s="79"/>
      <c r="D160" s="79"/>
      <c r="E160" s="79"/>
      <c r="O160" s="79"/>
      <c r="S160" s="79"/>
      <c r="T160" s="79"/>
      <c r="Y160" s="79"/>
      <c r="AC160" s="130"/>
      <c r="AE160" s="106"/>
    </row>
    <row r="161">
      <c r="C161" s="79"/>
      <c r="D161" s="79"/>
      <c r="E161" s="79"/>
      <c r="O161" s="79"/>
      <c r="S161" s="79"/>
      <c r="T161" s="79"/>
      <c r="Y161" s="79"/>
      <c r="AC161" s="130"/>
      <c r="AE161" s="106"/>
    </row>
    <row r="162">
      <c r="C162" s="79"/>
      <c r="D162" s="79"/>
      <c r="E162" s="79"/>
      <c r="O162" s="79"/>
      <c r="S162" s="79"/>
      <c r="T162" s="79"/>
      <c r="Y162" s="79"/>
      <c r="AC162" s="130"/>
      <c r="AE162" s="106"/>
    </row>
    <row r="163">
      <c r="C163" s="79"/>
      <c r="D163" s="79"/>
      <c r="E163" s="79"/>
      <c r="O163" s="79"/>
      <c r="S163" s="79"/>
      <c r="T163" s="79"/>
      <c r="Y163" s="79"/>
      <c r="AC163" s="130"/>
      <c r="AE163" s="106"/>
    </row>
    <row r="164">
      <c r="C164" s="79"/>
      <c r="D164" s="79"/>
      <c r="E164" s="79"/>
      <c r="O164" s="79"/>
      <c r="S164" s="79"/>
      <c r="T164" s="79"/>
      <c r="Y164" s="79"/>
      <c r="AC164" s="130"/>
      <c r="AE164" s="106"/>
    </row>
    <row r="165">
      <c r="C165" s="79"/>
      <c r="D165" s="79"/>
      <c r="E165" s="79"/>
      <c r="O165" s="79"/>
      <c r="S165" s="79"/>
      <c r="T165" s="79"/>
      <c r="Y165" s="79"/>
      <c r="AC165" s="130"/>
      <c r="AE165" s="106"/>
    </row>
    <row r="166">
      <c r="C166" s="79"/>
      <c r="D166" s="79"/>
      <c r="E166" s="79"/>
      <c r="O166" s="79"/>
      <c r="S166" s="79"/>
      <c r="T166" s="79"/>
      <c r="Y166" s="79"/>
      <c r="AC166" s="130"/>
      <c r="AE166" s="106"/>
    </row>
    <row r="167">
      <c r="C167" s="79"/>
      <c r="D167" s="79"/>
      <c r="E167" s="79"/>
      <c r="O167" s="79"/>
      <c r="S167" s="79"/>
      <c r="T167" s="79"/>
      <c r="Y167" s="79"/>
      <c r="AC167" s="130"/>
      <c r="AE167" s="106"/>
    </row>
    <row r="168">
      <c r="C168" s="79"/>
      <c r="D168" s="79"/>
      <c r="E168" s="79"/>
      <c r="O168" s="79"/>
      <c r="S168" s="79"/>
      <c r="T168" s="79"/>
      <c r="Y168" s="79"/>
      <c r="AC168" s="130"/>
      <c r="AE168" s="106"/>
    </row>
    <row r="169">
      <c r="C169" s="79"/>
      <c r="D169" s="79"/>
      <c r="E169" s="79"/>
      <c r="O169" s="79"/>
      <c r="S169" s="79"/>
      <c r="T169" s="79"/>
      <c r="Y169" s="79"/>
      <c r="AC169" s="130"/>
      <c r="AE169" s="106"/>
    </row>
    <row r="170">
      <c r="C170" s="79"/>
      <c r="D170" s="79"/>
      <c r="E170" s="79"/>
      <c r="O170" s="79"/>
      <c r="S170" s="79"/>
      <c r="T170" s="79"/>
      <c r="Y170" s="79"/>
      <c r="AC170" s="130"/>
      <c r="AE170" s="106"/>
    </row>
    <row r="171">
      <c r="C171" s="79"/>
      <c r="D171" s="79"/>
      <c r="E171" s="79"/>
      <c r="O171" s="79"/>
      <c r="S171" s="79"/>
      <c r="T171" s="79"/>
      <c r="Y171" s="79"/>
      <c r="AC171" s="130"/>
      <c r="AE171" s="106"/>
    </row>
    <row r="172">
      <c r="C172" s="79"/>
      <c r="D172" s="79"/>
      <c r="E172" s="79"/>
      <c r="O172" s="79"/>
      <c r="S172" s="79"/>
      <c r="T172" s="79"/>
      <c r="Y172" s="79"/>
      <c r="AC172" s="130"/>
      <c r="AE172" s="106"/>
    </row>
    <row r="173">
      <c r="C173" s="79"/>
      <c r="D173" s="79"/>
      <c r="E173" s="79"/>
      <c r="O173" s="79"/>
      <c r="S173" s="79"/>
      <c r="T173" s="79"/>
      <c r="Y173" s="79"/>
      <c r="AC173" s="130"/>
      <c r="AE173" s="106"/>
    </row>
    <row r="174">
      <c r="C174" s="79"/>
      <c r="D174" s="79"/>
      <c r="E174" s="79"/>
      <c r="O174" s="79"/>
      <c r="S174" s="79"/>
      <c r="T174" s="79"/>
      <c r="Y174" s="79"/>
      <c r="AC174" s="130"/>
      <c r="AE174" s="106"/>
    </row>
    <row r="175">
      <c r="C175" s="79"/>
      <c r="D175" s="79"/>
      <c r="E175" s="79"/>
      <c r="O175" s="79"/>
      <c r="S175" s="79"/>
      <c r="T175" s="79"/>
      <c r="Y175" s="79"/>
      <c r="AC175" s="130"/>
      <c r="AE175" s="106"/>
    </row>
    <row r="176">
      <c r="C176" s="79"/>
      <c r="D176" s="79"/>
      <c r="E176" s="79"/>
      <c r="O176" s="79"/>
      <c r="S176" s="79"/>
      <c r="T176" s="79"/>
      <c r="Y176" s="79"/>
      <c r="AC176" s="130"/>
      <c r="AE176" s="106"/>
    </row>
    <row r="177">
      <c r="C177" s="79"/>
      <c r="D177" s="79"/>
      <c r="E177" s="79"/>
      <c r="O177" s="79"/>
      <c r="S177" s="79"/>
      <c r="T177" s="79"/>
      <c r="Y177" s="79"/>
      <c r="AC177" s="130"/>
      <c r="AE177" s="106"/>
    </row>
    <row r="178">
      <c r="C178" s="79"/>
      <c r="D178" s="79"/>
      <c r="E178" s="79"/>
      <c r="O178" s="79"/>
      <c r="S178" s="79"/>
      <c r="T178" s="79"/>
      <c r="Y178" s="79"/>
      <c r="AC178" s="130"/>
      <c r="AE178" s="106"/>
    </row>
    <row r="179">
      <c r="C179" s="79"/>
      <c r="D179" s="79"/>
      <c r="E179" s="79"/>
      <c r="O179" s="79"/>
      <c r="S179" s="79"/>
      <c r="T179" s="79"/>
      <c r="Y179" s="79"/>
      <c r="AC179" s="130"/>
      <c r="AE179" s="106"/>
    </row>
    <row r="180">
      <c r="C180" s="79"/>
      <c r="D180" s="79"/>
      <c r="E180" s="79"/>
      <c r="O180" s="79"/>
      <c r="S180" s="79"/>
      <c r="T180" s="79"/>
      <c r="Y180" s="79"/>
      <c r="AC180" s="130"/>
      <c r="AE180" s="106"/>
    </row>
    <row r="181">
      <c r="C181" s="79"/>
      <c r="D181" s="79"/>
      <c r="E181" s="79"/>
      <c r="O181" s="79"/>
      <c r="S181" s="79"/>
      <c r="T181" s="79"/>
      <c r="Y181" s="79"/>
      <c r="AC181" s="130"/>
      <c r="AE181" s="106"/>
    </row>
    <row r="182">
      <c r="C182" s="79"/>
      <c r="D182" s="79"/>
      <c r="E182" s="79"/>
      <c r="O182" s="79"/>
      <c r="S182" s="79"/>
      <c r="T182" s="79"/>
      <c r="Y182" s="79"/>
      <c r="AC182" s="130"/>
      <c r="AE182" s="106"/>
    </row>
    <row r="183">
      <c r="C183" s="79"/>
      <c r="D183" s="79"/>
      <c r="E183" s="79"/>
      <c r="O183" s="79"/>
      <c r="S183" s="79"/>
      <c r="T183" s="79"/>
      <c r="Y183" s="79"/>
      <c r="AC183" s="130"/>
      <c r="AE183" s="106"/>
    </row>
    <row r="184">
      <c r="C184" s="79"/>
      <c r="D184" s="79"/>
      <c r="E184" s="79"/>
      <c r="O184" s="79"/>
      <c r="S184" s="79"/>
      <c r="T184" s="79"/>
      <c r="Y184" s="79"/>
      <c r="AC184" s="130"/>
      <c r="AE184" s="106"/>
    </row>
    <row r="185">
      <c r="C185" s="79"/>
      <c r="D185" s="79"/>
      <c r="E185" s="79"/>
      <c r="O185" s="79"/>
      <c r="S185" s="79"/>
      <c r="T185" s="79"/>
      <c r="Y185" s="79"/>
      <c r="AC185" s="130"/>
      <c r="AE185" s="106"/>
    </row>
    <row r="186">
      <c r="C186" s="79"/>
      <c r="D186" s="79"/>
      <c r="E186" s="79"/>
      <c r="O186" s="79"/>
      <c r="S186" s="79"/>
      <c r="T186" s="79"/>
      <c r="Y186" s="79"/>
      <c r="AC186" s="130"/>
      <c r="AE186" s="106"/>
    </row>
    <row r="187">
      <c r="C187" s="79"/>
      <c r="D187" s="79"/>
      <c r="E187" s="79"/>
      <c r="O187" s="79"/>
      <c r="S187" s="79"/>
      <c r="T187" s="79"/>
      <c r="Y187" s="79"/>
      <c r="AC187" s="130"/>
      <c r="AE187" s="106"/>
    </row>
    <row r="188">
      <c r="C188" s="79"/>
      <c r="D188" s="79"/>
      <c r="E188" s="79"/>
      <c r="O188" s="79"/>
      <c r="S188" s="79"/>
      <c r="T188" s="79"/>
      <c r="Y188" s="79"/>
      <c r="AC188" s="130"/>
      <c r="AE188" s="106"/>
    </row>
    <row r="189">
      <c r="C189" s="79"/>
      <c r="D189" s="79"/>
      <c r="E189" s="79"/>
      <c r="O189" s="79"/>
      <c r="S189" s="79"/>
      <c r="T189" s="79"/>
      <c r="Y189" s="79"/>
      <c r="AC189" s="130"/>
      <c r="AE189" s="106"/>
    </row>
    <row r="190">
      <c r="C190" s="79"/>
      <c r="D190" s="79"/>
      <c r="E190" s="79"/>
      <c r="O190" s="79"/>
      <c r="S190" s="79"/>
      <c r="T190" s="79"/>
      <c r="Y190" s="79"/>
      <c r="AC190" s="130"/>
      <c r="AE190" s="106"/>
    </row>
    <row r="191">
      <c r="C191" s="79"/>
      <c r="D191" s="79"/>
      <c r="E191" s="79"/>
      <c r="O191" s="79"/>
      <c r="S191" s="79"/>
      <c r="T191" s="79"/>
      <c r="Y191" s="79"/>
      <c r="AC191" s="130"/>
      <c r="AE191" s="106"/>
    </row>
    <row r="192">
      <c r="C192" s="79"/>
      <c r="D192" s="79"/>
      <c r="E192" s="79"/>
      <c r="O192" s="79"/>
      <c r="S192" s="79"/>
      <c r="T192" s="79"/>
      <c r="Y192" s="79"/>
      <c r="AC192" s="130"/>
      <c r="AE192" s="106"/>
    </row>
    <row r="193">
      <c r="C193" s="79"/>
      <c r="D193" s="79"/>
      <c r="E193" s="79"/>
      <c r="O193" s="79"/>
      <c r="S193" s="79"/>
      <c r="T193" s="79"/>
      <c r="Y193" s="79"/>
      <c r="AC193" s="130"/>
      <c r="AE193" s="106"/>
    </row>
    <row r="194">
      <c r="C194" s="79"/>
      <c r="D194" s="79"/>
      <c r="E194" s="79"/>
      <c r="O194" s="79"/>
      <c r="S194" s="79"/>
      <c r="T194" s="79"/>
      <c r="Y194" s="79"/>
      <c r="AC194" s="130"/>
      <c r="AE194" s="106"/>
    </row>
    <row r="195">
      <c r="C195" s="79"/>
      <c r="D195" s="79"/>
      <c r="E195" s="79"/>
      <c r="O195" s="79"/>
      <c r="S195" s="79"/>
      <c r="T195" s="79"/>
      <c r="Y195" s="79"/>
      <c r="AC195" s="130"/>
      <c r="AE195" s="106"/>
    </row>
    <row r="196">
      <c r="C196" s="79"/>
      <c r="D196" s="79"/>
      <c r="E196" s="79"/>
      <c r="O196" s="79"/>
      <c r="S196" s="79"/>
      <c r="T196" s="79"/>
      <c r="Y196" s="79"/>
      <c r="AC196" s="130"/>
      <c r="AE196" s="106"/>
    </row>
    <row r="197">
      <c r="C197" s="79"/>
      <c r="D197" s="79"/>
      <c r="E197" s="79"/>
      <c r="O197" s="79"/>
      <c r="S197" s="79"/>
      <c r="T197" s="79"/>
      <c r="Y197" s="79"/>
      <c r="AC197" s="130"/>
      <c r="AE197" s="106"/>
    </row>
    <row r="198">
      <c r="C198" s="79"/>
      <c r="D198" s="79"/>
      <c r="E198" s="79"/>
      <c r="O198" s="79"/>
      <c r="S198" s="79"/>
      <c r="T198" s="79"/>
      <c r="Y198" s="79"/>
      <c r="AC198" s="130"/>
      <c r="AE198" s="106"/>
    </row>
    <row r="199">
      <c r="C199" s="79"/>
      <c r="D199" s="79"/>
      <c r="E199" s="79"/>
      <c r="O199" s="79"/>
      <c r="S199" s="79"/>
      <c r="T199" s="79"/>
      <c r="Y199" s="79"/>
      <c r="AC199" s="130"/>
      <c r="AE199" s="106"/>
    </row>
    <row r="200">
      <c r="C200" s="79"/>
      <c r="D200" s="79"/>
      <c r="E200" s="79"/>
      <c r="O200" s="79"/>
      <c r="S200" s="79"/>
      <c r="T200" s="79"/>
      <c r="Y200" s="79"/>
      <c r="AC200" s="130"/>
      <c r="AE200" s="106"/>
    </row>
    <row r="201">
      <c r="C201" s="79"/>
      <c r="D201" s="79"/>
      <c r="E201" s="79"/>
      <c r="O201" s="79"/>
      <c r="S201" s="79"/>
      <c r="T201" s="79"/>
      <c r="Y201" s="79"/>
      <c r="AC201" s="130"/>
      <c r="AE201" s="106"/>
    </row>
    <row r="202">
      <c r="C202" s="79"/>
      <c r="D202" s="79"/>
      <c r="E202" s="79"/>
      <c r="O202" s="79"/>
      <c r="S202" s="79"/>
      <c r="T202" s="79"/>
      <c r="Y202" s="79"/>
      <c r="AC202" s="130"/>
      <c r="AE202" s="106"/>
    </row>
    <row r="203">
      <c r="C203" s="79"/>
      <c r="D203" s="79"/>
      <c r="E203" s="79"/>
      <c r="O203" s="79"/>
      <c r="S203" s="79"/>
      <c r="T203" s="79"/>
      <c r="Y203" s="79"/>
      <c r="AC203" s="130"/>
      <c r="AE203" s="106"/>
    </row>
    <row r="204">
      <c r="C204" s="79"/>
      <c r="D204" s="79"/>
      <c r="E204" s="79"/>
      <c r="O204" s="79"/>
      <c r="S204" s="79"/>
      <c r="T204" s="79"/>
      <c r="Y204" s="79"/>
      <c r="AC204" s="130"/>
      <c r="AE204" s="106"/>
    </row>
    <row r="205">
      <c r="C205" s="79"/>
      <c r="D205" s="79"/>
      <c r="E205" s="79"/>
      <c r="O205" s="79"/>
      <c r="S205" s="79"/>
      <c r="T205" s="79"/>
      <c r="Y205" s="79"/>
      <c r="AC205" s="130"/>
      <c r="AE205" s="106"/>
    </row>
    <row r="206">
      <c r="C206" s="79"/>
      <c r="D206" s="79"/>
      <c r="E206" s="79"/>
      <c r="O206" s="79"/>
      <c r="S206" s="79"/>
      <c r="T206" s="79"/>
      <c r="Y206" s="79"/>
      <c r="AC206" s="130"/>
      <c r="AE206" s="106"/>
    </row>
    <row r="207">
      <c r="C207" s="79"/>
      <c r="D207" s="79"/>
      <c r="E207" s="79"/>
      <c r="O207" s="79"/>
      <c r="S207" s="79"/>
      <c r="T207" s="79"/>
      <c r="Y207" s="79"/>
      <c r="AC207" s="130"/>
      <c r="AE207" s="106"/>
    </row>
    <row r="208">
      <c r="C208" s="79"/>
      <c r="D208" s="79"/>
      <c r="E208" s="79"/>
      <c r="O208" s="79"/>
      <c r="S208" s="79"/>
      <c r="T208" s="79"/>
      <c r="Y208" s="79"/>
      <c r="AC208" s="130"/>
      <c r="AE208" s="106"/>
    </row>
    <row r="209">
      <c r="C209" s="79"/>
      <c r="D209" s="79"/>
      <c r="E209" s="79"/>
      <c r="O209" s="79"/>
      <c r="S209" s="79"/>
      <c r="T209" s="79"/>
      <c r="Y209" s="79"/>
      <c r="AC209" s="130"/>
      <c r="AE209" s="106"/>
    </row>
    <row r="210">
      <c r="C210" s="79"/>
      <c r="D210" s="79"/>
      <c r="E210" s="79"/>
      <c r="O210" s="79"/>
      <c r="S210" s="79"/>
      <c r="T210" s="79"/>
      <c r="Y210" s="79"/>
      <c r="AC210" s="130"/>
      <c r="AE210" s="106"/>
    </row>
    <row r="211">
      <c r="C211" s="79"/>
      <c r="D211" s="79"/>
      <c r="E211" s="79"/>
      <c r="O211" s="79"/>
      <c r="S211" s="79"/>
      <c r="T211" s="79"/>
      <c r="Y211" s="79"/>
      <c r="AC211" s="130"/>
      <c r="AE211" s="106"/>
    </row>
    <row r="212">
      <c r="C212" s="79"/>
      <c r="D212" s="79"/>
      <c r="E212" s="79"/>
      <c r="O212" s="79"/>
      <c r="S212" s="79"/>
      <c r="T212" s="79"/>
      <c r="Y212" s="79"/>
      <c r="AC212" s="130"/>
      <c r="AE212" s="106"/>
    </row>
    <row r="213">
      <c r="C213" s="79"/>
      <c r="D213" s="79"/>
      <c r="E213" s="79"/>
      <c r="O213" s="79"/>
      <c r="S213" s="79"/>
      <c r="T213" s="79"/>
      <c r="Y213" s="79"/>
      <c r="AC213" s="130"/>
      <c r="AE213" s="106"/>
    </row>
    <row r="214">
      <c r="C214" s="79"/>
      <c r="D214" s="79"/>
      <c r="E214" s="79"/>
      <c r="O214" s="79"/>
      <c r="S214" s="79"/>
      <c r="T214" s="79"/>
      <c r="Y214" s="79"/>
      <c r="AC214" s="130"/>
      <c r="AE214" s="106"/>
    </row>
    <row r="215">
      <c r="C215" s="79"/>
      <c r="D215" s="79"/>
      <c r="E215" s="79"/>
      <c r="O215" s="79"/>
      <c r="S215" s="79"/>
      <c r="T215" s="79"/>
      <c r="Y215" s="79"/>
      <c r="AC215" s="130"/>
      <c r="AE215" s="106"/>
    </row>
    <row r="216">
      <c r="C216" s="79"/>
      <c r="D216" s="79"/>
      <c r="E216" s="79"/>
      <c r="O216" s="79"/>
      <c r="S216" s="79"/>
      <c r="T216" s="79"/>
      <c r="Y216" s="79"/>
      <c r="AC216" s="130"/>
      <c r="AE216" s="106"/>
    </row>
    <row r="217">
      <c r="C217" s="79"/>
      <c r="D217" s="79"/>
      <c r="E217" s="79"/>
      <c r="O217" s="79"/>
      <c r="S217" s="79"/>
      <c r="T217" s="79"/>
      <c r="Y217" s="79"/>
      <c r="AC217" s="130"/>
      <c r="AE217" s="106"/>
    </row>
    <row r="218">
      <c r="C218" s="79"/>
      <c r="D218" s="79"/>
      <c r="E218" s="79"/>
      <c r="O218" s="79"/>
      <c r="S218" s="79"/>
      <c r="T218" s="79"/>
      <c r="Y218" s="79"/>
      <c r="AC218" s="130"/>
      <c r="AE218" s="106"/>
    </row>
    <row r="219">
      <c r="C219" s="79"/>
      <c r="D219" s="79"/>
      <c r="E219" s="79"/>
      <c r="O219" s="79"/>
      <c r="S219" s="79"/>
      <c r="T219" s="79"/>
      <c r="Y219" s="79"/>
      <c r="AC219" s="130"/>
      <c r="AE219" s="106"/>
    </row>
    <row r="220">
      <c r="C220" s="79"/>
      <c r="D220" s="79"/>
      <c r="E220" s="79"/>
      <c r="O220" s="79"/>
      <c r="S220" s="79"/>
      <c r="T220" s="79"/>
      <c r="Y220" s="79"/>
      <c r="AC220" s="130"/>
      <c r="AE220" s="106"/>
    </row>
    <row r="221">
      <c r="C221" s="79"/>
      <c r="D221" s="79"/>
      <c r="E221" s="79"/>
      <c r="O221" s="79"/>
      <c r="S221" s="79"/>
      <c r="T221" s="79"/>
      <c r="Y221" s="79"/>
      <c r="AC221" s="130"/>
      <c r="AE221" s="106"/>
    </row>
    <row r="222">
      <c r="C222" s="79"/>
      <c r="D222" s="79"/>
      <c r="E222" s="79"/>
      <c r="O222" s="79"/>
      <c r="S222" s="79"/>
      <c r="T222" s="79"/>
      <c r="Y222" s="79"/>
      <c r="AC222" s="130"/>
      <c r="AE222" s="106"/>
    </row>
    <row r="223">
      <c r="C223" s="79"/>
      <c r="D223" s="79"/>
      <c r="E223" s="79"/>
      <c r="O223" s="79"/>
      <c r="S223" s="79"/>
      <c r="T223" s="79"/>
      <c r="Y223" s="79"/>
      <c r="AC223" s="130"/>
      <c r="AE223" s="106"/>
    </row>
    <row r="224">
      <c r="C224" s="79"/>
      <c r="D224" s="79"/>
      <c r="E224" s="79"/>
      <c r="O224" s="79"/>
      <c r="S224" s="79"/>
      <c r="T224" s="79"/>
      <c r="Y224" s="79"/>
      <c r="AC224" s="130"/>
      <c r="AE224" s="106"/>
    </row>
    <row r="225">
      <c r="C225" s="79"/>
      <c r="D225" s="79"/>
      <c r="E225" s="79"/>
      <c r="O225" s="79"/>
      <c r="S225" s="79"/>
      <c r="T225" s="79"/>
      <c r="Y225" s="79"/>
      <c r="AC225" s="130"/>
      <c r="AE225" s="106"/>
    </row>
    <row r="226">
      <c r="C226" s="79"/>
      <c r="D226" s="79"/>
      <c r="E226" s="79"/>
      <c r="O226" s="79"/>
      <c r="S226" s="79"/>
      <c r="T226" s="79"/>
      <c r="Y226" s="79"/>
      <c r="AC226" s="130"/>
      <c r="AE226" s="106"/>
    </row>
    <row r="227">
      <c r="C227" s="79"/>
      <c r="D227" s="79"/>
      <c r="E227" s="79"/>
      <c r="O227" s="79"/>
      <c r="S227" s="79"/>
      <c r="T227" s="79"/>
      <c r="Y227" s="79"/>
      <c r="AC227" s="130"/>
      <c r="AE227" s="106"/>
    </row>
    <row r="228">
      <c r="C228" s="79"/>
      <c r="D228" s="79"/>
      <c r="E228" s="79"/>
      <c r="O228" s="79"/>
      <c r="S228" s="79"/>
      <c r="T228" s="79"/>
      <c r="Y228" s="79"/>
      <c r="AC228" s="130"/>
      <c r="AE228" s="106"/>
    </row>
    <row r="229">
      <c r="C229" s="79"/>
      <c r="D229" s="79"/>
      <c r="E229" s="79"/>
      <c r="O229" s="79"/>
      <c r="S229" s="79"/>
      <c r="T229" s="79"/>
      <c r="Y229" s="79"/>
      <c r="AC229" s="130"/>
      <c r="AE229" s="106"/>
    </row>
    <row r="230">
      <c r="C230" s="79"/>
      <c r="D230" s="79"/>
      <c r="E230" s="79"/>
      <c r="O230" s="79"/>
      <c r="S230" s="79"/>
      <c r="T230" s="79"/>
      <c r="Y230" s="79"/>
      <c r="AC230" s="130"/>
      <c r="AE230" s="106"/>
    </row>
    <row r="231">
      <c r="C231" s="79"/>
      <c r="D231" s="79"/>
      <c r="E231" s="79"/>
      <c r="O231" s="79"/>
      <c r="S231" s="79"/>
      <c r="T231" s="79"/>
      <c r="Y231" s="79"/>
      <c r="AC231" s="130"/>
      <c r="AE231" s="106"/>
    </row>
    <row r="232">
      <c r="C232" s="79"/>
      <c r="D232" s="79"/>
      <c r="E232" s="79"/>
      <c r="O232" s="79"/>
      <c r="S232" s="79"/>
      <c r="T232" s="79"/>
      <c r="Y232" s="79"/>
      <c r="AC232" s="130"/>
      <c r="AE232" s="106"/>
    </row>
    <row r="233">
      <c r="C233" s="79"/>
      <c r="D233" s="79"/>
      <c r="E233" s="79"/>
      <c r="O233" s="79"/>
      <c r="S233" s="79"/>
      <c r="T233" s="79"/>
      <c r="Y233" s="79"/>
      <c r="AC233" s="130"/>
      <c r="AE233" s="106"/>
    </row>
    <row r="234">
      <c r="C234" s="79"/>
      <c r="D234" s="79"/>
      <c r="E234" s="79"/>
      <c r="O234" s="79"/>
      <c r="S234" s="79"/>
      <c r="T234" s="79"/>
      <c r="Y234" s="79"/>
      <c r="AC234" s="130"/>
      <c r="AE234" s="106"/>
    </row>
    <row r="235">
      <c r="C235" s="79"/>
      <c r="D235" s="79"/>
      <c r="E235" s="79"/>
      <c r="O235" s="79"/>
      <c r="S235" s="79"/>
      <c r="T235" s="79"/>
      <c r="Y235" s="79"/>
      <c r="AC235" s="130"/>
      <c r="AE235" s="106"/>
    </row>
    <row r="236">
      <c r="C236" s="79"/>
      <c r="D236" s="79"/>
      <c r="E236" s="79"/>
      <c r="O236" s="79"/>
      <c r="S236" s="79"/>
      <c r="T236" s="79"/>
      <c r="Y236" s="79"/>
      <c r="AC236" s="130"/>
      <c r="AE236" s="106"/>
    </row>
    <row r="237">
      <c r="C237" s="79"/>
      <c r="D237" s="79"/>
      <c r="E237" s="79"/>
      <c r="O237" s="79"/>
      <c r="S237" s="79"/>
      <c r="T237" s="79"/>
      <c r="Y237" s="79"/>
      <c r="AC237" s="130"/>
      <c r="AE237" s="106"/>
    </row>
    <row r="238">
      <c r="C238" s="79"/>
      <c r="D238" s="79"/>
      <c r="E238" s="79"/>
      <c r="O238" s="79"/>
      <c r="S238" s="79"/>
      <c r="T238" s="79"/>
      <c r="Y238" s="79"/>
      <c r="AC238" s="130"/>
      <c r="AE238" s="106"/>
    </row>
    <row r="239">
      <c r="C239" s="79"/>
      <c r="D239" s="79"/>
      <c r="E239" s="79"/>
      <c r="O239" s="79"/>
      <c r="S239" s="79"/>
      <c r="T239" s="79"/>
      <c r="Y239" s="79"/>
      <c r="AC239" s="130"/>
      <c r="AE239" s="106"/>
    </row>
    <row r="240">
      <c r="C240" s="79"/>
      <c r="D240" s="79"/>
      <c r="E240" s="79"/>
      <c r="O240" s="79"/>
      <c r="S240" s="79"/>
      <c r="T240" s="79"/>
      <c r="Y240" s="79"/>
      <c r="AC240" s="130"/>
      <c r="AE240" s="106"/>
    </row>
    <row r="241">
      <c r="C241" s="79"/>
      <c r="D241" s="79"/>
      <c r="E241" s="79"/>
      <c r="O241" s="79"/>
      <c r="S241" s="79"/>
      <c r="T241" s="79"/>
      <c r="Y241" s="79"/>
      <c r="AC241" s="130"/>
      <c r="AE241" s="106"/>
    </row>
    <row r="242">
      <c r="C242" s="79"/>
      <c r="D242" s="79"/>
      <c r="E242" s="79"/>
      <c r="O242" s="79"/>
      <c r="S242" s="79"/>
      <c r="T242" s="79"/>
      <c r="Y242" s="79"/>
      <c r="AC242" s="130"/>
      <c r="AE242" s="106"/>
    </row>
    <row r="243">
      <c r="C243" s="79"/>
      <c r="D243" s="79"/>
      <c r="E243" s="79"/>
      <c r="O243" s="79"/>
      <c r="S243" s="79"/>
      <c r="T243" s="79"/>
      <c r="Y243" s="79"/>
      <c r="AC243" s="130"/>
      <c r="AE243" s="106"/>
    </row>
    <row r="244">
      <c r="C244" s="79"/>
      <c r="D244" s="79"/>
      <c r="E244" s="79"/>
      <c r="O244" s="79"/>
      <c r="S244" s="79"/>
      <c r="T244" s="79"/>
      <c r="Y244" s="79"/>
      <c r="AC244" s="130"/>
      <c r="AE244" s="106"/>
    </row>
    <row r="245">
      <c r="C245" s="79"/>
      <c r="D245" s="79"/>
      <c r="E245" s="79"/>
      <c r="O245" s="79"/>
      <c r="S245" s="79"/>
      <c r="T245" s="79"/>
      <c r="Y245" s="79"/>
      <c r="AC245" s="130"/>
      <c r="AE245" s="106"/>
    </row>
    <row r="246">
      <c r="C246" s="79"/>
      <c r="D246" s="79"/>
      <c r="E246" s="79"/>
      <c r="O246" s="79"/>
      <c r="S246" s="79"/>
      <c r="T246" s="79"/>
      <c r="Y246" s="79"/>
      <c r="AC246" s="130"/>
      <c r="AE246" s="106"/>
    </row>
    <row r="247">
      <c r="C247" s="79"/>
      <c r="D247" s="79"/>
      <c r="E247" s="79"/>
      <c r="O247" s="79"/>
      <c r="S247" s="79"/>
      <c r="T247" s="79"/>
      <c r="Y247" s="79"/>
      <c r="AC247" s="130"/>
      <c r="AE247" s="106"/>
    </row>
    <row r="248">
      <c r="C248" s="79"/>
      <c r="D248" s="79"/>
      <c r="E248" s="79"/>
      <c r="O248" s="79"/>
      <c r="S248" s="79"/>
      <c r="T248" s="79"/>
      <c r="Y248" s="79"/>
      <c r="AC248" s="130"/>
      <c r="AE248" s="106"/>
    </row>
    <row r="249">
      <c r="C249" s="79"/>
      <c r="D249" s="79"/>
      <c r="E249" s="79"/>
      <c r="O249" s="79"/>
      <c r="S249" s="79"/>
      <c r="T249" s="79"/>
      <c r="Y249" s="79"/>
      <c r="AC249" s="130"/>
      <c r="AE249" s="106"/>
    </row>
    <row r="250">
      <c r="C250" s="79"/>
      <c r="D250" s="79"/>
      <c r="E250" s="79"/>
      <c r="O250" s="79"/>
      <c r="S250" s="79"/>
      <c r="T250" s="79"/>
      <c r="Y250" s="79"/>
      <c r="AC250" s="130"/>
      <c r="AE250" s="106"/>
    </row>
    <row r="251">
      <c r="C251" s="79"/>
      <c r="D251" s="79"/>
      <c r="E251" s="79"/>
      <c r="O251" s="79"/>
      <c r="S251" s="79"/>
      <c r="T251" s="79"/>
      <c r="Y251" s="79"/>
      <c r="AC251" s="130"/>
      <c r="AE251" s="106"/>
    </row>
    <row r="252">
      <c r="C252" s="79"/>
      <c r="D252" s="79"/>
      <c r="E252" s="79"/>
      <c r="O252" s="79"/>
      <c r="S252" s="79"/>
      <c r="T252" s="79"/>
      <c r="Y252" s="79"/>
      <c r="AC252" s="130"/>
      <c r="AE252" s="106"/>
    </row>
    <row r="253">
      <c r="C253" s="79"/>
      <c r="D253" s="79"/>
      <c r="E253" s="79"/>
      <c r="O253" s="79"/>
      <c r="S253" s="79"/>
      <c r="T253" s="79"/>
      <c r="Y253" s="79"/>
      <c r="AC253" s="130"/>
      <c r="AE253" s="106"/>
    </row>
    <row r="254">
      <c r="C254" s="79"/>
      <c r="D254" s="79"/>
      <c r="E254" s="79"/>
      <c r="O254" s="79"/>
      <c r="S254" s="79"/>
      <c r="T254" s="79"/>
      <c r="Y254" s="79"/>
      <c r="AC254" s="130"/>
      <c r="AE254" s="106"/>
    </row>
    <row r="255">
      <c r="C255" s="79"/>
      <c r="D255" s="79"/>
      <c r="E255" s="79"/>
      <c r="O255" s="79"/>
      <c r="S255" s="79"/>
      <c r="T255" s="79"/>
      <c r="Y255" s="79"/>
      <c r="AC255" s="130"/>
      <c r="AE255" s="106"/>
    </row>
    <row r="256">
      <c r="C256" s="79"/>
      <c r="D256" s="79"/>
      <c r="E256" s="79"/>
      <c r="O256" s="79"/>
      <c r="S256" s="79"/>
      <c r="T256" s="79"/>
      <c r="Y256" s="79"/>
      <c r="AC256" s="130"/>
      <c r="AE256" s="106"/>
    </row>
    <row r="257">
      <c r="C257" s="79"/>
      <c r="D257" s="79"/>
      <c r="E257" s="79"/>
      <c r="O257" s="79"/>
      <c r="S257" s="79"/>
      <c r="T257" s="79"/>
      <c r="Y257" s="79"/>
      <c r="AC257" s="130"/>
      <c r="AE257" s="106"/>
    </row>
    <row r="258">
      <c r="C258" s="79"/>
      <c r="D258" s="79"/>
      <c r="E258" s="79"/>
      <c r="O258" s="79"/>
      <c r="S258" s="79"/>
      <c r="T258" s="79"/>
      <c r="Y258" s="79"/>
      <c r="AC258" s="130"/>
      <c r="AE258" s="106"/>
    </row>
    <row r="259">
      <c r="C259" s="79"/>
      <c r="D259" s="79"/>
      <c r="E259" s="79"/>
      <c r="O259" s="79"/>
      <c r="S259" s="79"/>
      <c r="T259" s="79"/>
      <c r="Y259" s="79"/>
      <c r="AC259" s="130"/>
      <c r="AE259" s="106"/>
    </row>
    <row r="260">
      <c r="C260" s="79"/>
      <c r="D260" s="79"/>
      <c r="E260" s="79"/>
      <c r="O260" s="79"/>
      <c r="S260" s="79"/>
      <c r="T260" s="79"/>
      <c r="Y260" s="79"/>
      <c r="AC260" s="130"/>
      <c r="AE260" s="106"/>
    </row>
    <row r="261">
      <c r="C261" s="79"/>
      <c r="D261" s="79"/>
      <c r="E261" s="79"/>
      <c r="O261" s="79"/>
      <c r="S261" s="79"/>
      <c r="T261" s="79"/>
      <c r="Y261" s="79"/>
      <c r="AC261" s="130"/>
      <c r="AE261" s="106"/>
    </row>
    <row r="262">
      <c r="C262" s="79"/>
      <c r="D262" s="79"/>
      <c r="E262" s="79"/>
      <c r="O262" s="79"/>
      <c r="S262" s="79"/>
      <c r="T262" s="79"/>
      <c r="Y262" s="79"/>
      <c r="AC262" s="130"/>
      <c r="AE262" s="106"/>
    </row>
    <row r="263">
      <c r="C263" s="79"/>
      <c r="D263" s="79"/>
      <c r="E263" s="79"/>
      <c r="O263" s="79"/>
      <c r="S263" s="79"/>
      <c r="T263" s="79"/>
      <c r="Y263" s="79"/>
      <c r="AC263" s="130"/>
      <c r="AE263" s="106"/>
    </row>
    <row r="264">
      <c r="C264" s="79"/>
      <c r="D264" s="79"/>
      <c r="E264" s="79"/>
      <c r="O264" s="79"/>
      <c r="S264" s="79"/>
      <c r="T264" s="79"/>
      <c r="Y264" s="79"/>
      <c r="AC264" s="130"/>
      <c r="AE264" s="106"/>
    </row>
    <row r="265">
      <c r="C265" s="79"/>
      <c r="D265" s="79"/>
      <c r="E265" s="79"/>
      <c r="O265" s="79"/>
      <c r="S265" s="79"/>
      <c r="T265" s="79"/>
      <c r="Y265" s="79"/>
      <c r="AC265" s="130"/>
      <c r="AE265" s="106"/>
    </row>
    <row r="266">
      <c r="C266" s="79"/>
      <c r="D266" s="79"/>
      <c r="E266" s="79"/>
      <c r="O266" s="79"/>
      <c r="S266" s="79"/>
      <c r="T266" s="79"/>
      <c r="Y266" s="79"/>
      <c r="AC266" s="130"/>
      <c r="AE266" s="106"/>
    </row>
    <row r="267">
      <c r="C267" s="79"/>
      <c r="D267" s="79"/>
      <c r="E267" s="79"/>
      <c r="O267" s="79"/>
      <c r="S267" s="79"/>
      <c r="T267" s="79"/>
      <c r="Y267" s="79"/>
      <c r="AC267" s="130"/>
      <c r="AE267" s="106"/>
    </row>
    <row r="268">
      <c r="C268" s="79"/>
      <c r="D268" s="79"/>
      <c r="E268" s="79"/>
      <c r="O268" s="79"/>
      <c r="S268" s="79"/>
      <c r="T268" s="79"/>
      <c r="Y268" s="79"/>
      <c r="AC268" s="130"/>
      <c r="AE268" s="106"/>
    </row>
    <row r="269">
      <c r="C269" s="79"/>
      <c r="D269" s="79"/>
      <c r="E269" s="79"/>
      <c r="O269" s="79"/>
      <c r="S269" s="79"/>
      <c r="T269" s="79"/>
      <c r="Y269" s="79"/>
      <c r="AC269" s="130"/>
      <c r="AE269" s="106"/>
    </row>
    <row r="270">
      <c r="C270" s="79"/>
      <c r="D270" s="79"/>
      <c r="E270" s="79"/>
      <c r="O270" s="79"/>
      <c r="S270" s="79"/>
      <c r="T270" s="79"/>
      <c r="Y270" s="79"/>
      <c r="AC270" s="130"/>
      <c r="AE270" s="106"/>
    </row>
    <row r="271">
      <c r="C271" s="79"/>
      <c r="D271" s="79"/>
      <c r="E271" s="79"/>
      <c r="O271" s="79"/>
      <c r="S271" s="79"/>
      <c r="T271" s="79"/>
      <c r="Y271" s="79"/>
      <c r="AC271" s="130"/>
      <c r="AE271" s="106"/>
    </row>
    <row r="272">
      <c r="C272" s="79"/>
      <c r="D272" s="79"/>
      <c r="E272" s="79"/>
      <c r="O272" s="79"/>
      <c r="S272" s="79"/>
      <c r="T272" s="79"/>
      <c r="Y272" s="79"/>
      <c r="AC272" s="130"/>
      <c r="AE272" s="106"/>
    </row>
    <row r="273">
      <c r="C273" s="79"/>
      <c r="D273" s="79"/>
      <c r="E273" s="79"/>
      <c r="O273" s="79"/>
      <c r="S273" s="79"/>
      <c r="T273" s="79"/>
      <c r="Y273" s="79"/>
      <c r="AC273" s="130"/>
      <c r="AE273" s="106"/>
    </row>
    <row r="274">
      <c r="C274" s="79"/>
      <c r="D274" s="79"/>
      <c r="E274" s="79"/>
      <c r="O274" s="79"/>
      <c r="S274" s="79"/>
      <c r="T274" s="79"/>
      <c r="Y274" s="79"/>
      <c r="AC274" s="130"/>
      <c r="AE274" s="106"/>
    </row>
    <row r="275">
      <c r="C275" s="79"/>
      <c r="D275" s="79"/>
      <c r="E275" s="79"/>
      <c r="O275" s="79"/>
      <c r="S275" s="79"/>
      <c r="T275" s="79"/>
      <c r="Y275" s="79"/>
      <c r="AC275" s="130"/>
      <c r="AE275" s="106"/>
    </row>
    <row r="276">
      <c r="C276" s="79"/>
      <c r="D276" s="79"/>
      <c r="E276" s="79"/>
      <c r="O276" s="79"/>
      <c r="S276" s="79"/>
      <c r="T276" s="79"/>
      <c r="Y276" s="79"/>
      <c r="AC276" s="130"/>
      <c r="AE276" s="106"/>
    </row>
    <row r="277">
      <c r="C277" s="79"/>
      <c r="D277" s="79"/>
      <c r="E277" s="79"/>
      <c r="O277" s="79"/>
      <c r="S277" s="79"/>
      <c r="T277" s="79"/>
      <c r="Y277" s="79"/>
      <c r="AC277" s="130"/>
      <c r="AE277" s="106"/>
    </row>
    <row r="278">
      <c r="C278" s="79"/>
      <c r="D278" s="79"/>
      <c r="E278" s="79"/>
      <c r="O278" s="79"/>
      <c r="S278" s="79"/>
      <c r="T278" s="79"/>
      <c r="Y278" s="79"/>
      <c r="AC278" s="130"/>
      <c r="AE278" s="106"/>
    </row>
    <row r="279">
      <c r="C279" s="79"/>
      <c r="D279" s="79"/>
      <c r="E279" s="79"/>
      <c r="O279" s="79"/>
      <c r="S279" s="79"/>
      <c r="T279" s="79"/>
      <c r="Y279" s="79"/>
      <c r="AC279" s="130"/>
      <c r="AE279" s="106"/>
    </row>
    <row r="280">
      <c r="C280" s="79"/>
      <c r="D280" s="79"/>
      <c r="E280" s="79"/>
      <c r="O280" s="79"/>
      <c r="S280" s="79"/>
      <c r="T280" s="79"/>
      <c r="Y280" s="79"/>
      <c r="AC280" s="130"/>
      <c r="AE280" s="106"/>
    </row>
    <row r="281">
      <c r="C281" s="79"/>
      <c r="D281" s="79"/>
      <c r="E281" s="79"/>
      <c r="O281" s="79"/>
      <c r="S281" s="79"/>
      <c r="T281" s="79"/>
      <c r="Y281" s="79"/>
      <c r="AC281" s="130"/>
      <c r="AE281" s="106"/>
    </row>
    <row r="282">
      <c r="C282" s="79"/>
      <c r="D282" s="79"/>
      <c r="E282" s="79"/>
      <c r="O282" s="79"/>
      <c r="S282" s="79"/>
      <c r="T282" s="79"/>
      <c r="Y282" s="79"/>
      <c r="AC282" s="130"/>
      <c r="AE282" s="106"/>
    </row>
    <row r="283">
      <c r="C283" s="79"/>
      <c r="D283" s="79"/>
      <c r="E283" s="79"/>
      <c r="O283" s="79"/>
      <c r="S283" s="79"/>
      <c r="T283" s="79"/>
      <c r="Y283" s="79"/>
      <c r="AC283" s="130"/>
      <c r="AE283" s="106"/>
    </row>
    <row r="284">
      <c r="C284" s="79"/>
      <c r="D284" s="79"/>
      <c r="E284" s="79"/>
      <c r="O284" s="79"/>
      <c r="S284" s="79"/>
      <c r="T284" s="79"/>
      <c r="Y284" s="79"/>
      <c r="AC284" s="130"/>
      <c r="AE284" s="106"/>
    </row>
    <row r="285">
      <c r="C285" s="79"/>
      <c r="D285" s="79"/>
      <c r="E285" s="79"/>
      <c r="O285" s="79"/>
      <c r="S285" s="79"/>
      <c r="T285" s="79"/>
      <c r="Y285" s="79"/>
      <c r="AC285" s="130"/>
      <c r="AE285" s="106"/>
    </row>
    <row r="286">
      <c r="C286" s="79"/>
      <c r="D286" s="79"/>
      <c r="E286" s="79"/>
      <c r="O286" s="79"/>
      <c r="S286" s="79"/>
      <c r="T286" s="79"/>
      <c r="Y286" s="79"/>
      <c r="AC286" s="130"/>
      <c r="AE286" s="106"/>
    </row>
    <row r="287">
      <c r="C287" s="79"/>
      <c r="D287" s="79"/>
      <c r="E287" s="79"/>
      <c r="O287" s="79"/>
      <c r="S287" s="79"/>
      <c r="T287" s="79"/>
      <c r="Y287" s="79"/>
      <c r="AC287" s="130"/>
      <c r="AE287" s="106"/>
    </row>
    <row r="288">
      <c r="C288" s="79"/>
      <c r="D288" s="79"/>
      <c r="E288" s="79"/>
      <c r="O288" s="79"/>
      <c r="S288" s="79"/>
      <c r="T288" s="79"/>
      <c r="Y288" s="79"/>
      <c r="AC288" s="130"/>
      <c r="AE288" s="106"/>
    </row>
    <row r="289">
      <c r="C289" s="79"/>
      <c r="D289" s="79"/>
      <c r="E289" s="79"/>
      <c r="O289" s="79"/>
      <c r="S289" s="79"/>
      <c r="T289" s="79"/>
      <c r="Y289" s="79"/>
      <c r="AC289" s="130"/>
      <c r="AE289" s="106"/>
    </row>
    <row r="290">
      <c r="C290" s="79"/>
      <c r="D290" s="79"/>
      <c r="E290" s="79"/>
      <c r="O290" s="79"/>
      <c r="S290" s="79"/>
      <c r="T290" s="79"/>
      <c r="Y290" s="79"/>
      <c r="AC290" s="130"/>
      <c r="AE290" s="106"/>
    </row>
    <row r="291">
      <c r="C291" s="79"/>
      <c r="D291" s="79"/>
      <c r="E291" s="79"/>
      <c r="O291" s="79"/>
      <c r="S291" s="79"/>
      <c r="T291" s="79"/>
      <c r="Y291" s="79"/>
      <c r="AC291" s="130"/>
      <c r="AE291" s="106"/>
    </row>
    <row r="292">
      <c r="C292" s="79"/>
      <c r="D292" s="79"/>
      <c r="E292" s="79"/>
      <c r="O292" s="79"/>
      <c r="S292" s="79"/>
      <c r="T292" s="79"/>
      <c r="Y292" s="79"/>
      <c r="AC292" s="130"/>
      <c r="AE292" s="106"/>
    </row>
    <row r="293">
      <c r="C293" s="79"/>
      <c r="D293" s="79"/>
      <c r="E293" s="79"/>
      <c r="O293" s="79"/>
      <c r="S293" s="79"/>
      <c r="T293" s="79"/>
      <c r="Y293" s="79"/>
      <c r="AC293" s="130"/>
      <c r="AE293" s="106"/>
    </row>
    <row r="294">
      <c r="C294" s="79"/>
      <c r="D294" s="79"/>
      <c r="E294" s="79"/>
      <c r="O294" s="79"/>
      <c r="S294" s="79"/>
      <c r="T294" s="79"/>
      <c r="Y294" s="79"/>
      <c r="AC294" s="130"/>
      <c r="AE294" s="106"/>
    </row>
    <row r="295">
      <c r="C295" s="79"/>
      <c r="D295" s="79"/>
      <c r="E295" s="79"/>
      <c r="O295" s="79"/>
      <c r="S295" s="79"/>
      <c r="T295" s="79"/>
      <c r="Y295" s="79"/>
      <c r="AC295" s="130"/>
      <c r="AE295" s="106"/>
    </row>
    <row r="296">
      <c r="C296" s="79"/>
      <c r="D296" s="79"/>
      <c r="E296" s="79"/>
      <c r="O296" s="79"/>
      <c r="S296" s="79"/>
      <c r="T296" s="79"/>
      <c r="Y296" s="79"/>
      <c r="AC296" s="130"/>
      <c r="AE296" s="106"/>
    </row>
    <row r="297">
      <c r="C297" s="79"/>
      <c r="D297" s="79"/>
      <c r="E297" s="79"/>
      <c r="O297" s="79"/>
      <c r="S297" s="79"/>
      <c r="T297" s="79"/>
      <c r="Y297" s="79"/>
      <c r="AC297" s="130"/>
      <c r="AE297" s="106"/>
    </row>
    <row r="298">
      <c r="C298" s="79"/>
      <c r="D298" s="79"/>
      <c r="E298" s="79"/>
      <c r="O298" s="79"/>
      <c r="S298" s="79"/>
      <c r="T298" s="79"/>
      <c r="Y298" s="79"/>
      <c r="AC298" s="130"/>
      <c r="AE298" s="106"/>
    </row>
    <row r="299">
      <c r="C299" s="79"/>
      <c r="D299" s="79"/>
      <c r="E299" s="79"/>
      <c r="O299" s="79"/>
      <c r="S299" s="79"/>
      <c r="T299" s="79"/>
      <c r="Y299" s="79"/>
      <c r="AC299" s="130"/>
      <c r="AE299" s="106"/>
    </row>
    <row r="300">
      <c r="C300" s="79"/>
      <c r="D300" s="79"/>
      <c r="E300" s="79"/>
      <c r="O300" s="79"/>
      <c r="S300" s="79"/>
      <c r="T300" s="79"/>
      <c r="Y300" s="79"/>
      <c r="AC300" s="130"/>
      <c r="AE300" s="106"/>
    </row>
    <row r="301">
      <c r="C301" s="79"/>
      <c r="D301" s="79"/>
      <c r="E301" s="79"/>
      <c r="O301" s="79"/>
      <c r="S301" s="79"/>
      <c r="T301" s="79"/>
      <c r="Y301" s="79"/>
      <c r="AC301" s="130"/>
      <c r="AE301" s="106"/>
    </row>
    <row r="302">
      <c r="C302" s="79"/>
      <c r="D302" s="79"/>
      <c r="E302" s="79"/>
      <c r="O302" s="79"/>
      <c r="S302" s="79"/>
      <c r="T302" s="79"/>
      <c r="Y302" s="79"/>
      <c r="AC302" s="130"/>
      <c r="AE302" s="106"/>
    </row>
    <row r="303">
      <c r="C303" s="79"/>
      <c r="D303" s="79"/>
      <c r="E303" s="79"/>
      <c r="O303" s="79"/>
      <c r="S303" s="79"/>
      <c r="T303" s="79"/>
      <c r="Y303" s="79"/>
      <c r="AC303" s="130"/>
      <c r="AE303" s="106"/>
    </row>
    <row r="304">
      <c r="C304" s="79"/>
      <c r="D304" s="79"/>
      <c r="E304" s="79"/>
      <c r="O304" s="79"/>
      <c r="S304" s="79"/>
      <c r="T304" s="79"/>
      <c r="Y304" s="79"/>
      <c r="AC304" s="130"/>
      <c r="AE304" s="106"/>
    </row>
    <row r="305">
      <c r="C305" s="79"/>
      <c r="D305" s="79"/>
      <c r="E305" s="79"/>
      <c r="O305" s="79"/>
      <c r="S305" s="79"/>
      <c r="T305" s="79"/>
      <c r="Y305" s="79"/>
      <c r="AC305" s="130"/>
      <c r="AE305" s="106"/>
    </row>
    <row r="306">
      <c r="C306" s="79"/>
      <c r="D306" s="79"/>
      <c r="E306" s="79"/>
      <c r="O306" s="79"/>
      <c r="S306" s="79"/>
      <c r="T306" s="79"/>
      <c r="Y306" s="79"/>
      <c r="AC306" s="130"/>
      <c r="AE306" s="106"/>
    </row>
    <row r="307">
      <c r="C307" s="79"/>
      <c r="D307" s="79"/>
      <c r="E307" s="79"/>
      <c r="O307" s="79"/>
      <c r="S307" s="79"/>
      <c r="T307" s="79"/>
      <c r="Y307" s="79"/>
      <c r="AC307" s="130"/>
      <c r="AE307" s="106"/>
    </row>
    <row r="308">
      <c r="C308" s="79"/>
      <c r="D308" s="79"/>
      <c r="E308" s="79"/>
      <c r="O308" s="79"/>
      <c r="S308" s="79"/>
      <c r="T308" s="79"/>
      <c r="Y308" s="79"/>
      <c r="AC308" s="130"/>
      <c r="AE308" s="106"/>
    </row>
    <row r="309">
      <c r="C309" s="79"/>
      <c r="D309" s="79"/>
      <c r="E309" s="79"/>
      <c r="O309" s="79"/>
      <c r="S309" s="79"/>
      <c r="T309" s="79"/>
      <c r="Y309" s="79"/>
      <c r="AC309" s="130"/>
      <c r="AE309" s="106"/>
    </row>
    <row r="310">
      <c r="C310" s="79"/>
      <c r="D310" s="79"/>
      <c r="E310" s="79"/>
      <c r="O310" s="79"/>
      <c r="S310" s="79"/>
      <c r="T310" s="79"/>
      <c r="Y310" s="79"/>
      <c r="AC310" s="130"/>
      <c r="AE310" s="106"/>
    </row>
    <row r="311">
      <c r="C311" s="79"/>
      <c r="D311" s="79"/>
      <c r="E311" s="79"/>
      <c r="O311" s="79"/>
      <c r="S311" s="79"/>
      <c r="T311" s="79"/>
      <c r="Y311" s="79"/>
      <c r="AC311" s="130"/>
      <c r="AE311" s="106"/>
    </row>
    <row r="312">
      <c r="C312" s="79"/>
      <c r="D312" s="79"/>
      <c r="E312" s="79"/>
      <c r="O312" s="79"/>
      <c r="S312" s="79"/>
      <c r="T312" s="79"/>
      <c r="Y312" s="79"/>
      <c r="AC312" s="130"/>
      <c r="AE312" s="106"/>
    </row>
    <row r="313">
      <c r="C313" s="79"/>
      <c r="D313" s="79"/>
      <c r="E313" s="79"/>
      <c r="O313" s="79"/>
      <c r="S313" s="79"/>
      <c r="T313" s="79"/>
      <c r="Y313" s="79"/>
      <c r="AC313" s="130"/>
      <c r="AE313" s="106"/>
    </row>
    <row r="314">
      <c r="C314" s="79"/>
      <c r="D314" s="79"/>
      <c r="E314" s="79"/>
      <c r="O314" s="79"/>
      <c r="S314" s="79"/>
      <c r="T314" s="79"/>
      <c r="Y314" s="79"/>
      <c r="AC314" s="130"/>
      <c r="AE314" s="106"/>
    </row>
    <row r="315">
      <c r="C315" s="79"/>
      <c r="D315" s="79"/>
      <c r="E315" s="79"/>
      <c r="O315" s="79"/>
      <c r="S315" s="79"/>
      <c r="T315" s="79"/>
      <c r="Y315" s="79"/>
      <c r="AC315" s="130"/>
      <c r="AE315" s="106"/>
    </row>
    <row r="316">
      <c r="C316" s="79"/>
      <c r="D316" s="79"/>
      <c r="E316" s="79"/>
      <c r="O316" s="79"/>
      <c r="S316" s="79"/>
      <c r="T316" s="79"/>
      <c r="Y316" s="79"/>
      <c r="AC316" s="130"/>
      <c r="AE316" s="106"/>
    </row>
    <row r="317">
      <c r="C317" s="79"/>
      <c r="D317" s="79"/>
      <c r="E317" s="79"/>
      <c r="O317" s="79"/>
      <c r="S317" s="79"/>
      <c r="T317" s="79"/>
      <c r="Y317" s="79"/>
      <c r="AC317" s="130"/>
      <c r="AE317" s="106"/>
    </row>
    <row r="318">
      <c r="C318" s="79"/>
      <c r="D318" s="79"/>
      <c r="E318" s="79"/>
      <c r="O318" s="79"/>
      <c r="S318" s="79"/>
      <c r="T318" s="79"/>
      <c r="Y318" s="79"/>
      <c r="AC318" s="130"/>
      <c r="AE318" s="106"/>
    </row>
    <row r="319">
      <c r="C319" s="79"/>
      <c r="D319" s="79"/>
      <c r="E319" s="79"/>
      <c r="O319" s="79"/>
      <c r="S319" s="79"/>
      <c r="T319" s="79"/>
      <c r="Y319" s="79"/>
      <c r="AC319" s="130"/>
      <c r="AE319" s="106"/>
    </row>
    <row r="320">
      <c r="C320" s="79"/>
      <c r="D320" s="79"/>
      <c r="E320" s="79"/>
      <c r="O320" s="79"/>
      <c r="S320" s="79"/>
      <c r="T320" s="79"/>
      <c r="Y320" s="79"/>
      <c r="AC320" s="130"/>
      <c r="AE320" s="106"/>
    </row>
    <row r="321">
      <c r="C321" s="79"/>
      <c r="D321" s="79"/>
      <c r="E321" s="79"/>
      <c r="O321" s="79"/>
      <c r="S321" s="79"/>
      <c r="T321" s="79"/>
      <c r="Y321" s="79"/>
      <c r="AC321" s="130"/>
      <c r="AE321" s="106"/>
    </row>
    <row r="322">
      <c r="C322" s="79"/>
      <c r="D322" s="79"/>
      <c r="E322" s="79"/>
      <c r="O322" s="79"/>
      <c r="S322" s="79"/>
      <c r="T322" s="79"/>
      <c r="Y322" s="79"/>
      <c r="AC322" s="130"/>
      <c r="AE322" s="106"/>
    </row>
    <row r="323">
      <c r="C323" s="79"/>
      <c r="D323" s="79"/>
      <c r="E323" s="79"/>
      <c r="O323" s="79"/>
      <c r="S323" s="79"/>
      <c r="T323" s="79"/>
      <c r="Y323" s="79"/>
      <c r="AC323" s="130"/>
      <c r="AE323" s="106"/>
    </row>
    <row r="324">
      <c r="C324" s="79"/>
      <c r="D324" s="79"/>
      <c r="E324" s="79"/>
      <c r="O324" s="79"/>
      <c r="S324" s="79"/>
      <c r="T324" s="79"/>
      <c r="Y324" s="79"/>
      <c r="AC324" s="130"/>
      <c r="AE324" s="106"/>
    </row>
    <row r="325">
      <c r="C325" s="79"/>
      <c r="D325" s="79"/>
      <c r="E325" s="79"/>
      <c r="O325" s="79"/>
      <c r="S325" s="79"/>
      <c r="T325" s="79"/>
      <c r="Y325" s="79"/>
      <c r="AC325" s="130"/>
      <c r="AE325" s="106"/>
    </row>
    <row r="326">
      <c r="C326" s="79"/>
      <c r="D326" s="79"/>
      <c r="E326" s="79"/>
      <c r="O326" s="79"/>
      <c r="S326" s="79"/>
      <c r="T326" s="79"/>
      <c r="Y326" s="79"/>
      <c r="AC326" s="130"/>
      <c r="AE326" s="106"/>
    </row>
    <row r="327">
      <c r="C327" s="79"/>
      <c r="D327" s="79"/>
      <c r="E327" s="79"/>
      <c r="O327" s="79"/>
      <c r="S327" s="79"/>
      <c r="T327" s="79"/>
      <c r="Y327" s="79"/>
      <c r="AC327" s="130"/>
      <c r="AE327" s="106"/>
    </row>
    <row r="328">
      <c r="C328" s="79"/>
      <c r="D328" s="79"/>
      <c r="E328" s="79"/>
      <c r="O328" s="79"/>
      <c r="S328" s="79"/>
      <c r="T328" s="79"/>
      <c r="Y328" s="79"/>
      <c r="AC328" s="130"/>
      <c r="AE328" s="106"/>
    </row>
    <row r="329">
      <c r="C329" s="79"/>
      <c r="D329" s="79"/>
      <c r="E329" s="79"/>
      <c r="O329" s="79"/>
      <c r="S329" s="79"/>
      <c r="T329" s="79"/>
      <c r="Y329" s="79"/>
      <c r="AC329" s="130"/>
      <c r="AE329" s="106"/>
    </row>
    <row r="330">
      <c r="C330" s="79"/>
      <c r="D330" s="79"/>
      <c r="E330" s="79"/>
      <c r="O330" s="79"/>
      <c r="S330" s="79"/>
      <c r="T330" s="79"/>
      <c r="Y330" s="79"/>
      <c r="AC330" s="130"/>
      <c r="AE330" s="106"/>
    </row>
    <row r="331">
      <c r="C331" s="79"/>
      <c r="D331" s="79"/>
      <c r="E331" s="79"/>
      <c r="O331" s="79"/>
      <c r="S331" s="79"/>
      <c r="T331" s="79"/>
      <c r="Y331" s="79"/>
      <c r="AC331" s="130"/>
      <c r="AE331" s="106"/>
    </row>
    <row r="332">
      <c r="C332" s="79"/>
      <c r="D332" s="79"/>
      <c r="E332" s="79"/>
      <c r="O332" s="79"/>
      <c r="S332" s="79"/>
      <c r="T332" s="79"/>
      <c r="Y332" s="79"/>
      <c r="AC332" s="130"/>
      <c r="AE332" s="106"/>
    </row>
    <row r="333">
      <c r="C333" s="79"/>
      <c r="D333" s="79"/>
      <c r="E333" s="79"/>
      <c r="O333" s="79"/>
      <c r="S333" s="79"/>
      <c r="T333" s="79"/>
      <c r="Y333" s="79"/>
      <c r="AC333" s="130"/>
      <c r="AE333" s="106"/>
    </row>
    <row r="334">
      <c r="C334" s="79"/>
      <c r="D334" s="79"/>
      <c r="E334" s="79"/>
      <c r="O334" s="79"/>
      <c r="S334" s="79"/>
      <c r="T334" s="79"/>
      <c r="Y334" s="79"/>
      <c r="AC334" s="130"/>
      <c r="AE334" s="106"/>
    </row>
    <row r="335">
      <c r="C335" s="79"/>
      <c r="D335" s="79"/>
      <c r="E335" s="79"/>
      <c r="O335" s="79"/>
      <c r="S335" s="79"/>
      <c r="T335" s="79"/>
      <c r="Y335" s="79"/>
      <c r="AC335" s="130"/>
      <c r="AE335" s="106"/>
    </row>
    <row r="336">
      <c r="C336" s="79"/>
      <c r="D336" s="79"/>
      <c r="E336" s="79"/>
      <c r="O336" s="79"/>
      <c r="S336" s="79"/>
      <c r="T336" s="79"/>
      <c r="Y336" s="79"/>
      <c r="AC336" s="130"/>
      <c r="AE336" s="106"/>
    </row>
    <row r="337">
      <c r="C337" s="79"/>
      <c r="D337" s="79"/>
      <c r="E337" s="79"/>
      <c r="O337" s="79"/>
      <c r="S337" s="79"/>
      <c r="T337" s="79"/>
      <c r="Y337" s="79"/>
      <c r="AC337" s="130"/>
      <c r="AE337" s="106"/>
    </row>
    <row r="338">
      <c r="C338" s="79"/>
      <c r="D338" s="79"/>
      <c r="E338" s="79"/>
      <c r="O338" s="79"/>
      <c r="S338" s="79"/>
      <c r="T338" s="79"/>
      <c r="Y338" s="79"/>
      <c r="AC338" s="130"/>
      <c r="AE338" s="106"/>
    </row>
    <row r="339">
      <c r="C339" s="79"/>
      <c r="D339" s="79"/>
      <c r="E339" s="79"/>
      <c r="O339" s="79"/>
      <c r="S339" s="79"/>
      <c r="T339" s="79"/>
      <c r="Y339" s="79"/>
      <c r="AC339" s="130"/>
      <c r="AE339" s="106"/>
    </row>
    <row r="340">
      <c r="C340" s="79"/>
      <c r="D340" s="79"/>
      <c r="E340" s="79"/>
      <c r="O340" s="79"/>
      <c r="S340" s="79"/>
      <c r="T340" s="79"/>
      <c r="Y340" s="79"/>
      <c r="AC340" s="130"/>
      <c r="AE340" s="106"/>
    </row>
    <row r="341">
      <c r="C341" s="79"/>
      <c r="D341" s="79"/>
      <c r="E341" s="79"/>
      <c r="O341" s="79"/>
      <c r="S341" s="79"/>
      <c r="T341" s="79"/>
      <c r="Y341" s="79"/>
      <c r="AC341" s="130"/>
      <c r="AE341" s="106"/>
    </row>
    <row r="342">
      <c r="C342" s="79"/>
      <c r="D342" s="79"/>
      <c r="E342" s="79"/>
      <c r="O342" s="79"/>
      <c r="S342" s="79"/>
      <c r="T342" s="79"/>
      <c r="Y342" s="79"/>
      <c r="AC342" s="130"/>
      <c r="AE342" s="106"/>
    </row>
    <row r="343">
      <c r="C343" s="79"/>
      <c r="D343" s="79"/>
      <c r="E343" s="79"/>
      <c r="O343" s="79"/>
      <c r="S343" s="79"/>
      <c r="T343" s="79"/>
      <c r="Y343" s="79"/>
      <c r="AC343" s="130"/>
      <c r="AE343" s="106"/>
    </row>
    <row r="344">
      <c r="C344" s="79"/>
      <c r="D344" s="79"/>
      <c r="E344" s="79"/>
      <c r="O344" s="79"/>
      <c r="S344" s="79"/>
      <c r="T344" s="79"/>
      <c r="Y344" s="79"/>
      <c r="AC344" s="130"/>
      <c r="AE344" s="106"/>
    </row>
    <row r="345">
      <c r="C345" s="79"/>
      <c r="D345" s="79"/>
      <c r="E345" s="79"/>
      <c r="O345" s="79"/>
      <c r="S345" s="79"/>
      <c r="T345" s="79"/>
      <c r="Y345" s="79"/>
      <c r="AC345" s="130"/>
      <c r="AE345" s="106"/>
    </row>
    <row r="346">
      <c r="C346" s="79"/>
      <c r="D346" s="79"/>
      <c r="E346" s="79"/>
      <c r="O346" s="79"/>
      <c r="S346" s="79"/>
      <c r="T346" s="79"/>
      <c r="Y346" s="79"/>
      <c r="AC346" s="130"/>
      <c r="AE346" s="106"/>
    </row>
    <row r="347">
      <c r="C347" s="79"/>
      <c r="D347" s="79"/>
      <c r="E347" s="79"/>
      <c r="O347" s="79"/>
      <c r="S347" s="79"/>
      <c r="T347" s="79"/>
      <c r="Y347" s="79"/>
      <c r="AC347" s="130"/>
      <c r="AE347" s="106"/>
    </row>
    <row r="348">
      <c r="C348" s="79"/>
      <c r="D348" s="79"/>
      <c r="E348" s="79"/>
      <c r="O348" s="79"/>
      <c r="S348" s="79"/>
      <c r="T348" s="79"/>
      <c r="Y348" s="79"/>
      <c r="AC348" s="130"/>
      <c r="AE348" s="106"/>
    </row>
    <row r="349">
      <c r="C349" s="79"/>
      <c r="D349" s="79"/>
      <c r="E349" s="79"/>
      <c r="O349" s="79"/>
      <c r="S349" s="79"/>
      <c r="T349" s="79"/>
      <c r="Y349" s="79"/>
      <c r="AC349" s="130"/>
      <c r="AE349" s="106"/>
    </row>
    <row r="350">
      <c r="C350" s="79"/>
      <c r="D350" s="79"/>
      <c r="E350" s="79"/>
      <c r="O350" s="79"/>
      <c r="S350" s="79"/>
      <c r="T350" s="79"/>
      <c r="Y350" s="79"/>
      <c r="AC350" s="130"/>
      <c r="AE350" s="106"/>
    </row>
    <row r="351">
      <c r="C351" s="79"/>
      <c r="D351" s="79"/>
      <c r="E351" s="79"/>
      <c r="O351" s="79"/>
      <c r="S351" s="79"/>
      <c r="T351" s="79"/>
      <c r="Y351" s="79"/>
      <c r="AC351" s="130"/>
      <c r="AE351" s="106"/>
    </row>
    <row r="352">
      <c r="C352" s="79"/>
      <c r="D352" s="79"/>
      <c r="E352" s="79"/>
      <c r="O352" s="79"/>
      <c r="S352" s="79"/>
      <c r="T352" s="79"/>
      <c r="Y352" s="79"/>
      <c r="AC352" s="130"/>
      <c r="AE352" s="106"/>
    </row>
    <row r="353">
      <c r="C353" s="79"/>
      <c r="D353" s="79"/>
      <c r="E353" s="79"/>
      <c r="O353" s="79"/>
      <c r="S353" s="79"/>
      <c r="T353" s="79"/>
      <c r="Y353" s="79"/>
      <c r="AC353" s="130"/>
      <c r="AE353" s="106"/>
    </row>
    <row r="354">
      <c r="C354" s="79"/>
      <c r="D354" s="79"/>
      <c r="E354" s="79"/>
      <c r="O354" s="79"/>
      <c r="S354" s="79"/>
      <c r="T354" s="79"/>
      <c r="Y354" s="79"/>
      <c r="AC354" s="130"/>
      <c r="AE354" s="106"/>
    </row>
    <row r="355">
      <c r="C355" s="79"/>
      <c r="D355" s="79"/>
      <c r="E355" s="79"/>
      <c r="O355" s="79"/>
      <c r="S355" s="79"/>
      <c r="T355" s="79"/>
      <c r="Y355" s="79"/>
      <c r="AC355" s="130"/>
      <c r="AE355" s="106"/>
    </row>
    <row r="356">
      <c r="C356" s="79"/>
      <c r="D356" s="79"/>
      <c r="E356" s="79"/>
      <c r="O356" s="79"/>
      <c r="S356" s="79"/>
      <c r="T356" s="79"/>
      <c r="Y356" s="79"/>
      <c r="AC356" s="130"/>
      <c r="AE356" s="106"/>
    </row>
    <row r="357">
      <c r="C357" s="79"/>
      <c r="D357" s="79"/>
      <c r="E357" s="79"/>
      <c r="O357" s="79"/>
      <c r="S357" s="79"/>
      <c r="T357" s="79"/>
      <c r="Y357" s="79"/>
      <c r="AC357" s="130"/>
      <c r="AE357" s="106"/>
    </row>
    <row r="358">
      <c r="C358" s="79"/>
      <c r="D358" s="79"/>
      <c r="E358" s="79"/>
      <c r="O358" s="79"/>
      <c r="S358" s="79"/>
      <c r="T358" s="79"/>
      <c r="Y358" s="79"/>
      <c r="AC358" s="130"/>
      <c r="AE358" s="106"/>
    </row>
    <row r="359">
      <c r="C359" s="79"/>
      <c r="D359" s="79"/>
      <c r="E359" s="79"/>
      <c r="O359" s="79"/>
      <c r="S359" s="79"/>
      <c r="T359" s="79"/>
      <c r="Y359" s="79"/>
      <c r="AC359" s="130"/>
      <c r="AE359" s="106"/>
    </row>
    <row r="360">
      <c r="C360" s="79"/>
      <c r="D360" s="79"/>
      <c r="E360" s="79"/>
      <c r="O360" s="79"/>
      <c r="S360" s="79"/>
      <c r="T360" s="79"/>
      <c r="Y360" s="79"/>
      <c r="AC360" s="130"/>
      <c r="AE360" s="106"/>
    </row>
    <row r="361">
      <c r="C361" s="79"/>
      <c r="D361" s="79"/>
      <c r="E361" s="79"/>
      <c r="O361" s="79"/>
      <c r="S361" s="79"/>
      <c r="T361" s="79"/>
      <c r="Y361" s="79"/>
      <c r="AC361" s="130"/>
      <c r="AE361" s="106"/>
    </row>
    <row r="362">
      <c r="C362" s="79"/>
      <c r="D362" s="79"/>
      <c r="E362" s="79"/>
      <c r="O362" s="79"/>
      <c r="S362" s="79"/>
      <c r="T362" s="79"/>
      <c r="Y362" s="79"/>
      <c r="AC362" s="130"/>
      <c r="AE362" s="106"/>
    </row>
    <row r="363">
      <c r="C363" s="79"/>
      <c r="D363" s="79"/>
      <c r="E363" s="79"/>
      <c r="O363" s="79"/>
      <c r="S363" s="79"/>
      <c r="T363" s="79"/>
      <c r="Y363" s="79"/>
      <c r="AC363" s="130"/>
      <c r="AE363" s="106"/>
    </row>
    <row r="364">
      <c r="C364" s="79"/>
      <c r="D364" s="79"/>
      <c r="E364" s="79"/>
      <c r="O364" s="79"/>
      <c r="S364" s="79"/>
      <c r="T364" s="79"/>
      <c r="Y364" s="79"/>
      <c r="AC364" s="130"/>
      <c r="AE364" s="106"/>
    </row>
    <row r="365">
      <c r="C365" s="79"/>
      <c r="D365" s="79"/>
      <c r="E365" s="79"/>
      <c r="O365" s="79"/>
      <c r="S365" s="79"/>
      <c r="T365" s="79"/>
      <c r="Y365" s="79"/>
      <c r="AC365" s="130"/>
      <c r="AE365" s="106"/>
    </row>
    <row r="366">
      <c r="C366" s="79"/>
      <c r="D366" s="79"/>
      <c r="E366" s="79"/>
      <c r="O366" s="79"/>
      <c r="S366" s="79"/>
      <c r="T366" s="79"/>
      <c r="Y366" s="79"/>
      <c r="AC366" s="130"/>
      <c r="AE366" s="106"/>
    </row>
    <row r="367">
      <c r="C367" s="79"/>
      <c r="D367" s="79"/>
      <c r="E367" s="79"/>
      <c r="O367" s="79"/>
      <c r="S367" s="79"/>
      <c r="T367" s="79"/>
      <c r="Y367" s="79"/>
      <c r="AC367" s="130"/>
      <c r="AE367" s="106"/>
    </row>
    <row r="368">
      <c r="C368" s="79"/>
      <c r="D368" s="79"/>
      <c r="E368" s="79"/>
      <c r="O368" s="79"/>
      <c r="S368" s="79"/>
      <c r="T368" s="79"/>
      <c r="Y368" s="79"/>
      <c r="AC368" s="130"/>
      <c r="AE368" s="106"/>
    </row>
    <row r="369">
      <c r="C369" s="79"/>
      <c r="D369" s="79"/>
      <c r="E369" s="79"/>
      <c r="O369" s="79"/>
      <c r="S369" s="79"/>
      <c r="T369" s="79"/>
      <c r="Y369" s="79"/>
      <c r="AC369" s="130"/>
      <c r="AE369" s="106"/>
    </row>
    <row r="370">
      <c r="C370" s="79"/>
      <c r="D370" s="79"/>
      <c r="E370" s="79"/>
      <c r="O370" s="79"/>
      <c r="S370" s="79"/>
      <c r="T370" s="79"/>
      <c r="Y370" s="79"/>
      <c r="AC370" s="130"/>
      <c r="AE370" s="106"/>
    </row>
    <row r="371">
      <c r="C371" s="79"/>
      <c r="D371" s="79"/>
      <c r="E371" s="79"/>
      <c r="O371" s="79"/>
      <c r="S371" s="79"/>
      <c r="T371" s="79"/>
      <c r="Y371" s="79"/>
      <c r="AC371" s="130"/>
      <c r="AE371" s="106"/>
    </row>
    <row r="372">
      <c r="C372" s="79"/>
      <c r="D372" s="79"/>
      <c r="E372" s="79"/>
      <c r="O372" s="79"/>
      <c r="S372" s="79"/>
      <c r="T372" s="79"/>
      <c r="Y372" s="79"/>
      <c r="AC372" s="130"/>
      <c r="AE372" s="106"/>
    </row>
    <row r="373">
      <c r="C373" s="79"/>
      <c r="D373" s="79"/>
      <c r="E373" s="79"/>
      <c r="O373" s="79"/>
      <c r="S373" s="79"/>
      <c r="T373" s="79"/>
      <c r="Y373" s="79"/>
      <c r="AC373" s="130"/>
      <c r="AE373" s="106"/>
    </row>
    <row r="374">
      <c r="C374" s="79"/>
      <c r="D374" s="79"/>
      <c r="E374" s="79"/>
      <c r="O374" s="79"/>
      <c r="S374" s="79"/>
      <c r="T374" s="79"/>
      <c r="Y374" s="79"/>
      <c r="AC374" s="130"/>
      <c r="AE374" s="106"/>
    </row>
    <row r="375">
      <c r="C375" s="79"/>
      <c r="D375" s="79"/>
      <c r="E375" s="79"/>
      <c r="O375" s="79"/>
      <c r="S375" s="79"/>
      <c r="T375" s="79"/>
      <c r="Y375" s="79"/>
      <c r="AC375" s="130"/>
      <c r="AE375" s="106"/>
    </row>
    <row r="376">
      <c r="C376" s="79"/>
      <c r="D376" s="79"/>
      <c r="E376" s="79"/>
      <c r="O376" s="79"/>
      <c r="S376" s="79"/>
      <c r="T376" s="79"/>
      <c r="Y376" s="79"/>
      <c r="AC376" s="130"/>
      <c r="AE376" s="106"/>
    </row>
    <row r="377">
      <c r="C377" s="79"/>
      <c r="D377" s="79"/>
      <c r="E377" s="79"/>
      <c r="O377" s="79"/>
      <c r="S377" s="79"/>
      <c r="T377" s="79"/>
      <c r="Y377" s="79"/>
      <c r="AC377" s="130"/>
      <c r="AE377" s="106"/>
    </row>
    <row r="378">
      <c r="C378" s="79"/>
      <c r="D378" s="79"/>
      <c r="E378" s="79"/>
      <c r="O378" s="79"/>
      <c r="S378" s="79"/>
      <c r="T378" s="79"/>
      <c r="Y378" s="79"/>
      <c r="AC378" s="130"/>
      <c r="AE378" s="106"/>
    </row>
    <row r="379">
      <c r="C379" s="79"/>
      <c r="D379" s="79"/>
      <c r="E379" s="79"/>
      <c r="O379" s="79"/>
      <c r="S379" s="79"/>
      <c r="T379" s="79"/>
      <c r="Y379" s="79"/>
      <c r="AC379" s="130"/>
      <c r="AE379" s="106"/>
    </row>
    <row r="380">
      <c r="C380" s="79"/>
      <c r="D380" s="79"/>
      <c r="E380" s="79"/>
      <c r="O380" s="79"/>
      <c r="S380" s="79"/>
      <c r="T380" s="79"/>
      <c r="Y380" s="79"/>
      <c r="AC380" s="130"/>
      <c r="AE380" s="106"/>
    </row>
    <row r="381">
      <c r="C381" s="79"/>
      <c r="D381" s="79"/>
      <c r="E381" s="79"/>
      <c r="O381" s="79"/>
      <c r="S381" s="79"/>
      <c r="T381" s="79"/>
      <c r="Y381" s="79"/>
      <c r="AC381" s="130"/>
      <c r="AE381" s="106"/>
    </row>
    <row r="382">
      <c r="C382" s="79"/>
      <c r="D382" s="79"/>
      <c r="E382" s="79"/>
      <c r="O382" s="79"/>
      <c r="S382" s="79"/>
      <c r="T382" s="79"/>
      <c r="Y382" s="79"/>
      <c r="AC382" s="130"/>
      <c r="AE382" s="106"/>
    </row>
    <row r="383">
      <c r="C383" s="79"/>
      <c r="D383" s="79"/>
      <c r="E383" s="79"/>
      <c r="O383" s="79"/>
      <c r="S383" s="79"/>
      <c r="T383" s="79"/>
      <c r="Y383" s="79"/>
      <c r="AC383" s="130"/>
      <c r="AE383" s="106"/>
    </row>
    <row r="384">
      <c r="C384" s="79"/>
      <c r="D384" s="79"/>
      <c r="E384" s="79"/>
      <c r="O384" s="79"/>
      <c r="S384" s="79"/>
      <c r="T384" s="79"/>
      <c r="Y384" s="79"/>
      <c r="AC384" s="130"/>
      <c r="AE384" s="106"/>
    </row>
    <row r="385">
      <c r="C385" s="79"/>
      <c r="D385" s="79"/>
      <c r="E385" s="79"/>
      <c r="O385" s="79"/>
      <c r="S385" s="79"/>
      <c r="T385" s="79"/>
      <c r="Y385" s="79"/>
      <c r="AC385" s="130"/>
      <c r="AE385" s="106"/>
    </row>
    <row r="386">
      <c r="C386" s="79"/>
      <c r="D386" s="79"/>
      <c r="E386" s="79"/>
      <c r="O386" s="79"/>
      <c r="S386" s="79"/>
      <c r="T386" s="79"/>
      <c r="Y386" s="79"/>
      <c r="AC386" s="130"/>
      <c r="AE386" s="106"/>
    </row>
    <row r="387">
      <c r="C387" s="79"/>
      <c r="D387" s="79"/>
      <c r="E387" s="79"/>
      <c r="O387" s="79"/>
      <c r="S387" s="79"/>
      <c r="T387" s="79"/>
      <c r="Y387" s="79"/>
      <c r="AC387" s="130"/>
      <c r="AE387" s="106"/>
    </row>
    <row r="388">
      <c r="C388" s="79"/>
      <c r="D388" s="79"/>
      <c r="E388" s="79"/>
      <c r="O388" s="79"/>
      <c r="S388" s="79"/>
      <c r="T388" s="79"/>
      <c r="Y388" s="79"/>
      <c r="AC388" s="130"/>
      <c r="AE388" s="106"/>
    </row>
    <row r="389">
      <c r="C389" s="79"/>
      <c r="D389" s="79"/>
      <c r="E389" s="79"/>
      <c r="O389" s="79"/>
      <c r="S389" s="79"/>
      <c r="T389" s="79"/>
      <c r="Y389" s="79"/>
      <c r="AC389" s="130"/>
      <c r="AE389" s="106"/>
    </row>
    <row r="390">
      <c r="C390" s="79"/>
      <c r="D390" s="79"/>
      <c r="E390" s="79"/>
      <c r="O390" s="79"/>
      <c r="S390" s="79"/>
      <c r="T390" s="79"/>
      <c r="Y390" s="79"/>
      <c r="AC390" s="130"/>
      <c r="AE390" s="106"/>
    </row>
    <row r="391">
      <c r="C391" s="79"/>
      <c r="D391" s="79"/>
      <c r="E391" s="79"/>
      <c r="O391" s="79"/>
      <c r="S391" s="79"/>
      <c r="T391" s="79"/>
      <c r="Y391" s="79"/>
      <c r="AC391" s="130"/>
      <c r="AE391" s="106"/>
    </row>
    <row r="392">
      <c r="C392" s="79"/>
      <c r="D392" s="79"/>
      <c r="E392" s="79"/>
      <c r="O392" s="79"/>
      <c r="S392" s="79"/>
      <c r="T392" s="79"/>
      <c r="Y392" s="79"/>
      <c r="AC392" s="130"/>
      <c r="AE392" s="106"/>
    </row>
    <row r="393">
      <c r="C393" s="79"/>
      <c r="D393" s="79"/>
      <c r="E393" s="79"/>
      <c r="O393" s="79"/>
      <c r="S393" s="79"/>
      <c r="T393" s="79"/>
      <c r="Y393" s="79"/>
      <c r="AC393" s="130"/>
      <c r="AE393" s="106"/>
    </row>
    <row r="394">
      <c r="C394" s="79"/>
      <c r="D394" s="79"/>
      <c r="E394" s="79"/>
      <c r="O394" s="79"/>
      <c r="S394" s="79"/>
      <c r="T394" s="79"/>
      <c r="Y394" s="79"/>
      <c r="AC394" s="130"/>
      <c r="AE394" s="106"/>
    </row>
    <row r="395">
      <c r="C395" s="79"/>
      <c r="D395" s="79"/>
      <c r="E395" s="79"/>
      <c r="O395" s="79"/>
      <c r="S395" s="79"/>
      <c r="T395" s="79"/>
      <c r="Y395" s="79"/>
      <c r="AC395" s="130"/>
      <c r="AE395" s="106"/>
    </row>
    <row r="396">
      <c r="C396" s="79"/>
      <c r="D396" s="79"/>
      <c r="E396" s="79"/>
      <c r="O396" s="79"/>
      <c r="S396" s="79"/>
      <c r="T396" s="79"/>
      <c r="Y396" s="79"/>
      <c r="AC396" s="130"/>
      <c r="AE396" s="106"/>
    </row>
    <row r="397">
      <c r="C397" s="79"/>
      <c r="D397" s="79"/>
      <c r="E397" s="79"/>
      <c r="O397" s="79"/>
      <c r="S397" s="79"/>
      <c r="T397" s="79"/>
      <c r="Y397" s="79"/>
      <c r="AC397" s="130"/>
      <c r="AE397" s="106"/>
    </row>
    <row r="398">
      <c r="C398" s="79"/>
      <c r="D398" s="79"/>
      <c r="E398" s="79"/>
      <c r="O398" s="79"/>
      <c r="S398" s="79"/>
      <c r="T398" s="79"/>
      <c r="Y398" s="79"/>
      <c r="AC398" s="130"/>
      <c r="AE398" s="106"/>
    </row>
    <row r="399">
      <c r="C399" s="79"/>
      <c r="D399" s="79"/>
      <c r="E399" s="79"/>
      <c r="O399" s="79"/>
      <c r="S399" s="79"/>
      <c r="T399" s="79"/>
      <c r="Y399" s="79"/>
      <c r="AC399" s="130"/>
      <c r="AE399" s="106"/>
    </row>
    <row r="400">
      <c r="C400" s="79"/>
      <c r="D400" s="79"/>
      <c r="E400" s="79"/>
      <c r="O400" s="79"/>
      <c r="S400" s="79"/>
      <c r="T400" s="79"/>
      <c r="Y400" s="79"/>
      <c r="AC400" s="130"/>
      <c r="AE400" s="106"/>
    </row>
    <row r="401">
      <c r="C401" s="79"/>
      <c r="D401" s="79"/>
      <c r="E401" s="79"/>
      <c r="O401" s="79"/>
      <c r="S401" s="79"/>
      <c r="T401" s="79"/>
      <c r="Y401" s="79"/>
      <c r="AC401" s="130"/>
      <c r="AE401" s="106"/>
    </row>
    <row r="402">
      <c r="C402" s="79"/>
      <c r="D402" s="79"/>
      <c r="E402" s="79"/>
      <c r="O402" s="79"/>
      <c r="S402" s="79"/>
      <c r="T402" s="79"/>
      <c r="Y402" s="79"/>
      <c r="AC402" s="130"/>
      <c r="AE402" s="106"/>
    </row>
    <row r="403">
      <c r="C403" s="79"/>
      <c r="D403" s="79"/>
      <c r="E403" s="79"/>
      <c r="O403" s="79"/>
      <c r="S403" s="79"/>
      <c r="T403" s="79"/>
      <c r="Y403" s="79"/>
      <c r="AC403" s="130"/>
      <c r="AE403" s="106"/>
    </row>
    <row r="404">
      <c r="C404" s="79"/>
      <c r="D404" s="79"/>
      <c r="E404" s="79"/>
      <c r="O404" s="79"/>
      <c r="S404" s="79"/>
      <c r="T404" s="79"/>
      <c r="Y404" s="79"/>
      <c r="AC404" s="130"/>
      <c r="AE404" s="106"/>
    </row>
    <row r="405">
      <c r="C405" s="79"/>
      <c r="D405" s="79"/>
      <c r="E405" s="79"/>
      <c r="O405" s="79"/>
      <c r="S405" s="79"/>
      <c r="T405" s="79"/>
      <c r="Y405" s="79"/>
      <c r="AC405" s="130"/>
      <c r="AE405" s="106"/>
    </row>
    <row r="406">
      <c r="C406" s="79"/>
      <c r="D406" s="79"/>
      <c r="E406" s="79"/>
      <c r="O406" s="79"/>
      <c r="S406" s="79"/>
      <c r="T406" s="79"/>
      <c r="Y406" s="79"/>
      <c r="AC406" s="130"/>
      <c r="AE406" s="106"/>
    </row>
    <row r="407">
      <c r="C407" s="79"/>
      <c r="D407" s="79"/>
      <c r="E407" s="79"/>
      <c r="O407" s="79"/>
      <c r="S407" s="79"/>
      <c r="T407" s="79"/>
      <c r="Y407" s="79"/>
      <c r="AC407" s="130"/>
      <c r="AE407" s="106"/>
    </row>
    <row r="408">
      <c r="C408" s="79"/>
      <c r="D408" s="79"/>
      <c r="E408" s="79"/>
      <c r="O408" s="79"/>
      <c r="S408" s="79"/>
      <c r="T408" s="79"/>
      <c r="Y408" s="79"/>
      <c r="AC408" s="130"/>
      <c r="AE408" s="106"/>
    </row>
    <row r="409">
      <c r="C409" s="79"/>
      <c r="D409" s="79"/>
      <c r="E409" s="79"/>
      <c r="O409" s="79"/>
      <c r="S409" s="79"/>
      <c r="T409" s="79"/>
      <c r="Y409" s="79"/>
      <c r="AC409" s="130"/>
      <c r="AE409" s="106"/>
    </row>
    <row r="410">
      <c r="C410" s="79"/>
      <c r="D410" s="79"/>
      <c r="E410" s="79"/>
      <c r="O410" s="79"/>
      <c r="S410" s="79"/>
      <c r="T410" s="79"/>
      <c r="Y410" s="79"/>
      <c r="AC410" s="130"/>
      <c r="AE410" s="106"/>
    </row>
    <row r="411">
      <c r="C411" s="79"/>
      <c r="D411" s="79"/>
      <c r="E411" s="79"/>
      <c r="O411" s="79"/>
      <c r="S411" s="79"/>
      <c r="T411" s="79"/>
      <c r="Y411" s="79"/>
      <c r="AC411" s="130"/>
      <c r="AE411" s="106"/>
    </row>
    <row r="412">
      <c r="C412" s="79"/>
      <c r="D412" s="79"/>
      <c r="E412" s="79"/>
      <c r="O412" s="79"/>
      <c r="S412" s="79"/>
      <c r="T412" s="79"/>
      <c r="Y412" s="79"/>
      <c r="AC412" s="130"/>
      <c r="AE412" s="106"/>
    </row>
    <row r="413">
      <c r="C413" s="79"/>
      <c r="D413" s="79"/>
      <c r="E413" s="79"/>
      <c r="O413" s="79"/>
      <c r="S413" s="79"/>
      <c r="T413" s="79"/>
      <c r="Y413" s="79"/>
      <c r="AC413" s="130"/>
      <c r="AE413" s="106"/>
    </row>
    <row r="414">
      <c r="C414" s="79"/>
      <c r="D414" s="79"/>
      <c r="E414" s="79"/>
      <c r="O414" s="79"/>
      <c r="S414" s="79"/>
      <c r="T414" s="79"/>
      <c r="Y414" s="79"/>
      <c r="AC414" s="130"/>
      <c r="AE414" s="106"/>
    </row>
    <row r="415">
      <c r="C415" s="79"/>
      <c r="D415" s="79"/>
      <c r="E415" s="79"/>
      <c r="O415" s="79"/>
      <c r="S415" s="79"/>
      <c r="T415" s="79"/>
      <c r="Y415" s="79"/>
      <c r="AC415" s="130"/>
      <c r="AE415" s="106"/>
    </row>
    <row r="416">
      <c r="C416" s="79"/>
      <c r="D416" s="79"/>
      <c r="E416" s="79"/>
      <c r="O416" s="79"/>
      <c r="S416" s="79"/>
      <c r="T416" s="79"/>
      <c r="Y416" s="79"/>
      <c r="AC416" s="130"/>
      <c r="AE416" s="106"/>
    </row>
    <row r="417">
      <c r="C417" s="79"/>
      <c r="D417" s="79"/>
      <c r="E417" s="79"/>
      <c r="O417" s="79"/>
      <c r="S417" s="79"/>
      <c r="T417" s="79"/>
      <c r="Y417" s="79"/>
      <c r="AC417" s="130"/>
      <c r="AE417" s="106"/>
    </row>
    <row r="418">
      <c r="C418" s="79"/>
      <c r="D418" s="79"/>
      <c r="E418" s="79"/>
      <c r="O418" s="79"/>
      <c r="S418" s="79"/>
      <c r="T418" s="79"/>
      <c r="Y418" s="79"/>
      <c r="AC418" s="130"/>
      <c r="AE418" s="106"/>
    </row>
    <row r="419">
      <c r="C419" s="79"/>
      <c r="D419" s="79"/>
      <c r="E419" s="79"/>
      <c r="O419" s="79"/>
      <c r="S419" s="79"/>
      <c r="T419" s="79"/>
      <c r="Y419" s="79"/>
      <c r="AC419" s="130"/>
      <c r="AE419" s="106"/>
    </row>
    <row r="420">
      <c r="C420" s="79"/>
      <c r="D420" s="79"/>
      <c r="E420" s="79"/>
      <c r="O420" s="79"/>
      <c r="S420" s="79"/>
      <c r="T420" s="79"/>
      <c r="Y420" s="79"/>
      <c r="AC420" s="130"/>
      <c r="AE420" s="106"/>
    </row>
    <row r="421">
      <c r="C421" s="79"/>
      <c r="D421" s="79"/>
      <c r="E421" s="79"/>
      <c r="O421" s="79"/>
      <c r="S421" s="79"/>
      <c r="T421" s="79"/>
      <c r="Y421" s="79"/>
      <c r="AC421" s="130"/>
      <c r="AE421" s="106"/>
    </row>
    <row r="422">
      <c r="C422" s="79"/>
      <c r="D422" s="79"/>
      <c r="E422" s="79"/>
      <c r="O422" s="79"/>
      <c r="S422" s="79"/>
      <c r="T422" s="79"/>
      <c r="Y422" s="79"/>
      <c r="AC422" s="130"/>
      <c r="AE422" s="106"/>
    </row>
    <row r="423">
      <c r="C423" s="79"/>
      <c r="D423" s="79"/>
      <c r="E423" s="79"/>
      <c r="O423" s="79"/>
      <c r="S423" s="79"/>
      <c r="T423" s="79"/>
      <c r="Y423" s="79"/>
      <c r="AC423" s="130"/>
      <c r="AE423" s="106"/>
    </row>
    <row r="424">
      <c r="C424" s="79"/>
      <c r="D424" s="79"/>
      <c r="E424" s="79"/>
      <c r="O424" s="79"/>
      <c r="S424" s="79"/>
      <c r="T424" s="79"/>
      <c r="Y424" s="79"/>
      <c r="AC424" s="130"/>
      <c r="AE424" s="106"/>
    </row>
    <row r="425">
      <c r="C425" s="79"/>
      <c r="D425" s="79"/>
      <c r="E425" s="79"/>
      <c r="O425" s="79"/>
      <c r="S425" s="79"/>
      <c r="T425" s="79"/>
      <c r="Y425" s="79"/>
      <c r="AC425" s="130"/>
      <c r="AE425" s="106"/>
    </row>
    <row r="426">
      <c r="C426" s="79"/>
      <c r="D426" s="79"/>
      <c r="E426" s="79"/>
      <c r="O426" s="79"/>
      <c r="S426" s="79"/>
      <c r="T426" s="79"/>
      <c r="Y426" s="79"/>
      <c r="AC426" s="130"/>
      <c r="AE426" s="106"/>
    </row>
    <row r="427">
      <c r="C427" s="79"/>
      <c r="D427" s="79"/>
      <c r="E427" s="79"/>
      <c r="O427" s="79"/>
      <c r="S427" s="79"/>
      <c r="T427" s="79"/>
      <c r="Y427" s="79"/>
      <c r="AC427" s="130"/>
      <c r="AE427" s="106"/>
    </row>
    <row r="428">
      <c r="C428" s="79"/>
      <c r="D428" s="79"/>
      <c r="E428" s="79"/>
      <c r="O428" s="79"/>
      <c r="S428" s="79"/>
      <c r="T428" s="79"/>
      <c r="Y428" s="79"/>
      <c r="AC428" s="130"/>
      <c r="AE428" s="106"/>
    </row>
    <row r="429">
      <c r="C429" s="79"/>
      <c r="D429" s="79"/>
      <c r="E429" s="79"/>
      <c r="O429" s="79"/>
      <c r="S429" s="79"/>
      <c r="T429" s="79"/>
      <c r="Y429" s="79"/>
      <c r="AC429" s="130"/>
      <c r="AE429" s="106"/>
    </row>
    <row r="430">
      <c r="C430" s="79"/>
      <c r="D430" s="79"/>
      <c r="E430" s="79"/>
      <c r="O430" s="79"/>
      <c r="S430" s="79"/>
      <c r="T430" s="79"/>
      <c r="Y430" s="79"/>
      <c r="AC430" s="130"/>
      <c r="AE430" s="106"/>
    </row>
    <row r="431">
      <c r="C431" s="79"/>
      <c r="D431" s="79"/>
      <c r="E431" s="79"/>
      <c r="O431" s="79"/>
      <c r="S431" s="79"/>
      <c r="T431" s="79"/>
      <c r="Y431" s="79"/>
      <c r="AC431" s="130"/>
      <c r="AE431" s="106"/>
    </row>
    <row r="432">
      <c r="C432" s="79"/>
      <c r="D432" s="79"/>
      <c r="E432" s="79"/>
      <c r="O432" s="79"/>
      <c r="S432" s="79"/>
      <c r="T432" s="79"/>
      <c r="Y432" s="79"/>
      <c r="AC432" s="130"/>
      <c r="AE432" s="106"/>
    </row>
    <row r="433">
      <c r="C433" s="79"/>
      <c r="D433" s="79"/>
      <c r="E433" s="79"/>
      <c r="O433" s="79"/>
      <c r="S433" s="79"/>
      <c r="T433" s="79"/>
      <c r="Y433" s="79"/>
      <c r="AC433" s="130"/>
      <c r="AE433" s="106"/>
    </row>
    <row r="434">
      <c r="C434" s="79"/>
      <c r="D434" s="79"/>
      <c r="E434" s="79"/>
      <c r="O434" s="79"/>
      <c r="S434" s="79"/>
      <c r="T434" s="79"/>
      <c r="Y434" s="79"/>
      <c r="AC434" s="130"/>
      <c r="AE434" s="106"/>
    </row>
    <row r="435">
      <c r="C435" s="79"/>
      <c r="D435" s="79"/>
      <c r="E435" s="79"/>
      <c r="O435" s="79"/>
      <c r="S435" s="79"/>
      <c r="T435" s="79"/>
      <c r="Y435" s="79"/>
      <c r="AC435" s="130"/>
      <c r="AE435" s="106"/>
    </row>
    <row r="436">
      <c r="C436" s="79"/>
      <c r="D436" s="79"/>
      <c r="E436" s="79"/>
      <c r="O436" s="79"/>
      <c r="S436" s="79"/>
      <c r="T436" s="79"/>
      <c r="Y436" s="79"/>
      <c r="AC436" s="130"/>
      <c r="AE436" s="106"/>
    </row>
    <row r="437">
      <c r="C437" s="79"/>
      <c r="D437" s="79"/>
      <c r="E437" s="79"/>
      <c r="O437" s="79"/>
      <c r="S437" s="79"/>
      <c r="T437" s="79"/>
      <c r="Y437" s="79"/>
      <c r="AC437" s="130"/>
      <c r="AE437" s="106"/>
    </row>
    <row r="438">
      <c r="C438" s="79"/>
      <c r="D438" s="79"/>
      <c r="E438" s="79"/>
      <c r="O438" s="79"/>
      <c r="S438" s="79"/>
      <c r="T438" s="79"/>
      <c r="Y438" s="79"/>
      <c r="AC438" s="130"/>
      <c r="AE438" s="106"/>
    </row>
    <row r="439">
      <c r="C439" s="79"/>
      <c r="D439" s="79"/>
      <c r="E439" s="79"/>
      <c r="O439" s="79"/>
      <c r="S439" s="79"/>
      <c r="T439" s="79"/>
      <c r="Y439" s="79"/>
      <c r="AC439" s="130"/>
      <c r="AE439" s="106"/>
    </row>
    <row r="440">
      <c r="C440" s="79"/>
      <c r="D440" s="79"/>
      <c r="E440" s="79"/>
      <c r="O440" s="79"/>
      <c r="S440" s="79"/>
      <c r="T440" s="79"/>
      <c r="Y440" s="79"/>
      <c r="AC440" s="130"/>
      <c r="AE440" s="106"/>
    </row>
    <row r="441">
      <c r="C441" s="79"/>
      <c r="D441" s="79"/>
      <c r="E441" s="79"/>
      <c r="O441" s="79"/>
      <c r="S441" s="79"/>
      <c r="T441" s="79"/>
      <c r="Y441" s="79"/>
      <c r="AC441" s="130"/>
      <c r="AE441" s="106"/>
    </row>
    <row r="442">
      <c r="C442" s="79"/>
      <c r="D442" s="79"/>
      <c r="E442" s="79"/>
      <c r="O442" s="79"/>
      <c r="S442" s="79"/>
      <c r="T442" s="79"/>
      <c r="Y442" s="79"/>
      <c r="AC442" s="130"/>
      <c r="AE442" s="106"/>
    </row>
    <row r="443">
      <c r="C443" s="79"/>
      <c r="D443" s="79"/>
      <c r="E443" s="79"/>
      <c r="O443" s="79"/>
      <c r="S443" s="79"/>
      <c r="T443" s="79"/>
      <c r="Y443" s="79"/>
      <c r="AC443" s="130"/>
      <c r="AE443" s="106"/>
    </row>
    <row r="444">
      <c r="C444" s="79"/>
      <c r="D444" s="79"/>
      <c r="E444" s="79"/>
      <c r="O444" s="79"/>
      <c r="S444" s="79"/>
      <c r="T444" s="79"/>
      <c r="Y444" s="79"/>
      <c r="AC444" s="130"/>
      <c r="AE444" s="106"/>
    </row>
    <row r="445">
      <c r="C445" s="79"/>
      <c r="D445" s="79"/>
      <c r="E445" s="79"/>
      <c r="O445" s="79"/>
      <c r="S445" s="79"/>
      <c r="T445" s="79"/>
      <c r="Y445" s="79"/>
      <c r="AC445" s="130"/>
      <c r="AE445" s="106"/>
    </row>
    <row r="446">
      <c r="C446" s="79"/>
      <c r="D446" s="79"/>
      <c r="E446" s="79"/>
      <c r="O446" s="79"/>
      <c r="S446" s="79"/>
      <c r="T446" s="79"/>
      <c r="Y446" s="79"/>
      <c r="AC446" s="130"/>
      <c r="AE446" s="106"/>
    </row>
    <row r="447">
      <c r="C447" s="79"/>
      <c r="D447" s="79"/>
      <c r="E447" s="79"/>
      <c r="O447" s="79"/>
      <c r="S447" s="79"/>
      <c r="T447" s="79"/>
      <c r="Y447" s="79"/>
      <c r="AC447" s="130"/>
      <c r="AE447" s="106"/>
    </row>
    <row r="448">
      <c r="C448" s="79"/>
      <c r="D448" s="79"/>
      <c r="E448" s="79"/>
      <c r="O448" s="79"/>
      <c r="S448" s="79"/>
      <c r="T448" s="79"/>
      <c r="Y448" s="79"/>
      <c r="AC448" s="130"/>
      <c r="AE448" s="106"/>
    </row>
    <row r="449">
      <c r="C449" s="79"/>
      <c r="D449" s="79"/>
      <c r="E449" s="79"/>
      <c r="O449" s="79"/>
      <c r="S449" s="79"/>
      <c r="T449" s="79"/>
      <c r="Y449" s="79"/>
      <c r="AC449" s="130"/>
      <c r="AE449" s="106"/>
    </row>
    <row r="450">
      <c r="C450" s="79"/>
      <c r="D450" s="79"/>
      <c r="E450" s="79"/>
      <c r="O450" s="79"/>
      <c r="S450" s="79"/>
      <c r="T450" s="79"/>
      <c r="Y450" s="79"/>
      <c r="AC450" s="130"/>
      <c r="AE450" s="106"/>
    </row>
    <row r="451">
      <c r="C451" s="79"/>
      <c r="D451" s="79"/>
      <c r="E451" s="79"/>
      <c r="O451" s="79"/>
      <c r="S451" s="79"/>
      <c r="T451" s="79"/>
      <c r="Y451" s="79"/>
      <c r="AC451" s="130"/>
      <c r="AE451" s="106"/>
    </row>
    <row r="452">
      <c r="C452" s="79"/>
      <c r="D452" s="79"/>
      <c r="E452" s="79"/>
      <c r="O452" s="79"/>
      <c r="S452" s="79"/>
      <c r="T452" s="79"/>
      <c r="Y452" s="79"/>
      <c r="AC452" s="130"/>
      <c r="AE452" s="106"/>
    </row>
    <row r="453">
      <c r="C453" s="79"/>
      <c r="D453" s="79"/>
      <c r="E453" s="79"/>
      <c r="O453" s="79"/>
      <c r="S453" s="79"/>
      <c r="T453" s="79"/>
      <c r="Y453" s="79"/>
      <c r="AC453" s="130"/>
      <c r="AE453" s="106"/>
    </row>
    <row r="454">
      <c r="C454" s="79"/>
      <c r="D454" s="79"/>
      <c r="E454" s="79"/>
      <c r="O454" s="79"/>
      <c r="S454" s="79"/>
      <c r="T454" s="79"/>
      <c r="Y454" s="79"/>
      <c r="AC454" s="130"/>
      <c r="AE454" s="106"/>
    </row>
    <row r="455">
      <c r="C455" s="79"/>
      <c r="D455" s="79"/>
      <c r="E455" s="79"/>
      <c r="O455" s="79"/>
      <c r="S455" s="79"/>
      <c r="T455" s="79"/>
      <c r="Y455" s="79"/>
      <c r="AC455" s="130"/>
      <c r="AE455" s="106"/>
    </row>
    <row r="456">
      <c r="C456" s="79"/>
      <c r="D456" s="79"/>
      <c r="E456" s="79"/>
      <c r="O456" s="79"/>
      <c r="S456" s="79"/>
      <c r="T456" s="79"/>
      <c r="Y456" s="79"/>
      <c r="AC456" s="130"/>
      <c r="AE456" s="106"/>
    </row>
    <row r="457">
      <c r="C457" s="79"/>
      <c r="D457" s="79"/>
      <c r="E457" s="79"/>
      <c r="O457" s="79"/>
      <c r="S457" s="79"/>
      <c r="T457" s="79"/>
      <c r="Y457" s="79"/>
      <c r="AC457" s="130"/>
      <c r="AE457" s="106"/>
    </row>
    <row r="458">
      <c r="C458" s="79"/>
      <c r="D458" s="79"/>
      <c r="E458" s="79"/>
      <c r="O458" s="79"/>
      <c r="S458" s="79"/>
      <c r="T458" s="79"/>
      <c r="Y458" s="79"/>
      <c r="AC458" s="130"/>
      <c r="AE458" s="106"/>
    </row>
    <row r="459">
      <c r="C459" s="79"/>
      <c r="D459" s="79"/>
      <c r="E459" s="79"/>
      <c r="O459" s="79"/>
      <c r="S459" s="79"/>
      <c r="T459" s="79"/>
      <c r="Y459" s="79"/>
      <c r="AC459" s="130"/>
      <c r="AE459" s="106"/>
    </row>
    <row r="460">
      <c r="C460" s="79"/>
      <c r="D460" s="79"/>
      <c r="E460" s="79"/>
      <c r="O460" s="79"/>
      <c r="S460" s="79"/>
      <c r="T460" s="79"/>
      <c r="Y460" s="79"/>
      <c r="AC460" s="130"/>
      <c r="AE460" s="106"/>
    </row>
    <row r="461">
      <c r="C461" s="79"/>
      <c r="D461" s="79"/>
      <c r="E461" s="79"/>
      <c r="O461" s="79"/>
      <c r="S461" s="79"/>
      <c r="T461" s="79"/>
      <c r="Y461" s="79"/>
      <c r="AC461" s="130"/>
      <c r="AE461" s="106"/>
    </row>
    <row r="462">
      <c r="C462" s="79"/>
      <c r="D462" s="79"/>
      <c r="E462" s="79"/>
      <c r="O462" s="79"/>
      <c r="S462" s="79"/>
      <c r="T462" s="79"/>
      <c r="Y462" s="79"/>
      <c r="AC462" s="130"/>
      <c r="AE462" s="106"/>
    </row>
    <row r="463">
      <c r="C463" s="79"/>
      <c r="D463" s="79"/>
      <c r="E463" s="79"/>
      <c r="O463" s="79"/>
      <c r="S463" s="79"/>
      <c r="T463" s="79"/>
      <c r="Y463" s="79"/>
      <c r="AC463" s="130"/>
      <c r="AE463" s="106"/>
    </row>
    <row r="464">
      <c r="C464" s="79"/>
      <c r="D464" s="79"/>
      <c r="E464" s="79"/>
      <c r="O464" s="79"/>
      <c r="S464" s="79"/>
      <c r="T464" s="79"/>
      <c r="Y464" s="79"/>
      <c r="AC464" s="130"/>
      <c r="AE464" s="106"/>
    </row>
    <row r="465">
      <c r="C465" s="79"/>
      <c r="D465" s="79"/>
      <c r="E465" s="79"/>
      <c r="O465" s="79"/>
      <c r="S465" s="79"/>
      <c r="T465" s="79"/>
      <c r="Y465" s="79"/>
      <c r="AC465" s="130"/>
      <c r="AE465" s="106"/>
    </row>
    <row r="466">
      <c r="C466" s="79"/>
      <c r="D466" s="79"/>
      <c r="E466" s="79"/>
      <c r="O466" s="79"/>
      <c r="S466" s="79"/>
      <c r="T466" s="79"/>
      <c r="Y466" s="79"/>
      <c r="AC466" s="130"/>
      <c r="AE466" s="106"/>
    </row>
    <row r="467">
      <c r="C467" s="79"/>
      <c r="D467" s="79"/>
      <c r="E467" s="79"/>
      <c r="O467" s="79"/>
      <c r="S467" s="79"/>
      <c r="T467" s="79"/>
      <c r="Y467" s="79"/>
      <c r="AC467" s="130"/>
      <c r="AE467" s="106"/>
    </row>
    <row r="468">
      <c r="C468" s="79"/>
      <c r="D468" s="79"/>
      <c r="E468" s="79"/>
      <c r="O468" s="79"/>
      <c r="S468" s="79"/>
      <c r="T468" s="79"/>
      <c r="Y468" s="79"/>
      <c r="AC468" s="130"/>
      <c r="AE468" s="106"/>
    </row>
    <row r="469">
      <c r="C469" s="79"/>
      <c r="D469" s="79"/>
      <c r="E469" s="79"/>
      <c r="O469" s="79"/>
      <c r="S469" s="79"/>
      <c r="T469" s="79"/>
      <c r="Y469" s="79"/>
      <c r="AC469" s="130"/>
      <c r="AE469" s="106"/>
    </row>
    <row r="470">
      <c r="C470" s="79"/>
      <c r="D470" s="79"/>
      <c r="E470" s="79"/>
      <c r="O470" s="79"/>
      <c r="S470" s="79"/>
      <c r="T470" s="79"/>
      <c r="Y470" s="79"/>
      <c r="AC470" s="130"/>
      <c r="AE470" s="106"/>
    </row>
    <row r="471">
      <c r="C471" s="79"/>
      <c r="D471" s="79"/>
      <c r="E471" s="79"/>
      <c r="O471" s="79"/>
      <c r="S471" s="79"/>
      <c r="T471" s="79"/>
      <c r="Y471" s="79"/>
      <c r="AC471" s="130"/>
      <c r="AE471" s="106"/>
    </row>
    <row r="472">
      <c r="C472" s="79"/>
      <c r="D472" s="79"/>
      <c r="E472" s="79"/>
      <c r="O472" s="79"/>
      <c r="S472" s="79"/>
      <c r="T472" s="79"/>
      <c r="Y472" s="79"/>
      <c r="AC472" s="130"/>
      <c r="AE472" s="106"/>
    </row>
    <row r="473">
      <c r="C473" s="79"/>
      <c r="D473" s="79"/>
      <c r="E473" s="79"/>
      <c r="O473" s="79"/>
      <c r="S473" s="79"/>
      <c r="T473" s="79"/>
      <c r="Y473" s="79"/>
      <c r="AC473" s="130"/>
      <c r="AE473" s="106"/>
    </row>
    <row r="474">
      <c r="C474" s="79"/>
      <c r="D474" s="79"/>
      <c r="E474" s="79"/>
      <c r="O474" s="79"/>
      <c r="S474" s="79"/>
      <c r="T474" s="79"/>
      <c r="Y474" s="79"/>
      <c r="AC474" s="130"/>
      <c r="AE474" s="106"/>
    </row>
    <row r="475">
      <c r="C475" s="79"/>
      <c r="D475" s="79"/>
      <c r="E475" s="79"/>
      <c r="O475" s="79"/>
      <c r="S475" s="79"/>
      <c r="T475" s="79"/>
      <c r="Y475" s="79"/>
      <c r="AC475" s="130"/>
      <c r="AE475" s="106"/>
    </row>
    <row r="476">
      <c r="C476" s="79"/>
      <c r="D476" s="79"/>
      <c r="E476" s="79"/>
      <c r="O476" s="79"/>
      <c r="S476" s="79"/>
      <c r="T476" s="79"/>
      <c r="Y476" s="79"/>
      <c r="AC476" s="130"/>
      <c r="AE476" s="106"/>
    </row>
    <row r="477">
      <c r="C477" s="79"/>
      <c r="D477" s="79"/>
      <c r="E477" s="79"/>
      <c r="O477" s="79"/>
      <c r="S477" s="79"/>
      <c r="T477" s="79"/>
      <c r="Y477" s="79"/>
      <c r="AC477" s="130"/>
      <c r="AE477" s="106"/>
    </row>
    <row r="478">
      <c r="C478" s="79"/>
      <c r="D478" s="79"/>
      <c r="E478" s="79"/>
      <c r="O478" s="79"/>
      <c r="S478" s="79"/>
      <c r="T478" s="79"/>
      <c r="Y478" s="79"/>
      <c r="AC478" s="130"/>
      <c r="AE478" s="106"/>
    </row>
    <row r="479">
      <c r="C479" s="79"/>
      <c r="D479" s="79"/>
      <c r="E479" s="79"/>
      <c r="O479" s="79"/>
      <c r="S479" s="79"/>
      <c r="T479" s="79"/>
      <c r="Y479" s="79"/>
      <c r="AC479" s="130"/>
      <c r="AE479" s="106"/>
    </row>
    <row r="480">
      <c r="C480" s="79"/>
      <c r="D480" s="79"/>
      <c r="E480" s="79"/>
      <c r="O480" s="79"/>
      <c r="S480" s="79"/>
      <c r="T480" s="79"/>
      <c r="Y480" s="79"/>
      <c r="AC480" s="130"/>
      <c r="AE480" s="106"/>
    </row>
    <row r="481">
      <c r="C481" s="79"/>
      <c r="D481" s="79"/>
      <c r="E481" s="79"/>
      <c r="O481" s="79"/>
      <c r="S481" s="79"/>
      <c r="T481" s="79"/>
      <c r="Y481" s="79"/>
      <c r="AC481" s="130"/>
      <c r="AE481" s="106"/>
    </row>
    <row r="482">
      <c r="C482" s="79"/>
      <c r="D482" s="79"/>
      <c r="E482" s="79"/>
      <c r="O482" s="79"/>
      <c r="S482" s="79"/>
      <c r="T482" s="79"/>
      <c r="Y482" s="79"/>
      <c r="AC482" s="130"/>
      <c r="AE482" s="106"/>
    </row>
    <row r="483">
      <c r="C483" s="79"/>
      <c r="D483" s="79"/>
      <c r="E483" s="79"/>
      <c r="O483" s="79"/>
      <c r="S483" s="79"/>
      <c r="T483" s="79"/>
      <c r="Y483" s="79"/>
      <c r="AC483" s="130"/>
      <c r="AE483" s="106"/>
    </row>
    <row r="484">
      <c r="C484" s="79"/>
      <c r="D484" s="79"/>
      <c r="E484" s="79"/>
      <c r="O484" s="79"/>
      <c r="S484" s="79"/>
      <c r="T484" s="79"/>
      <c r="Y484" s="79"/>
      <c r="AC484" s="130"/>
      <c r="AE484" s="106"/>
    </row>
    <row r="485">
      <c r="C485" s="79"/>
      <c r="D485" s="79"/>
      <c r="E485" s="79"/>
      <c r="O485" s="79"/>
      <c r="S485" s="79"/>
      <c r="T485" s="79"/>
      <c r="Y485" s="79"/>
      <c r="AC485" s="130"/>
      <c r="AE485" s="106"/>
    </row>
    <row r="486">
      <c r="C486" s="79"/>
      <c r="D486" s="79"/>
      <c r="E486" s="79"/>
      <c r="O486" s="79"/>
      <c r="S486" s="79"/>
      <c r="T486" s="79"/>
      <c r="Y486" s="79"/>
      <c r="AC486" s="130"/>
      <c r="AE486" s="106"/>
    </row>
    <row r="487">
      <c r="C487" s="79"/>
      <c r="D487" s="79"/>
      <c r="E487" s="79"/>
      <c r="O487" s="79"/>
      <c r="S487" s="79"/>
      <c r="T487" s="79"/>
      <c r="Y487" s="79"/>
      <c r="AC487" s="130"/>
      <c r="AE487" s="106"/>
    </row>
    <row r="488">
      <c r="C488" s="79"/>
      <c r="D488" s="79"/>
      <c r="E488" s="79"/>
      <c r="O488" s="79"/>
      <c r="S488" s="79"/>
      <c r="T488" s="79"/>
      <c r="Y488" s="79"/>
      <c r="AC488" s="130"/>
      <c r="AE488" s="106"/>
    </row>
    <row r="489">
      <c r="C489" s="79"/>
      <c r="D489" s="79"/>
      <c r="E489" s="79"/>
      <c r="O489" s="79"/>
      <c r="S489" s="79"/>
      <c r="T489" s="79"/>
      <c r="Y489" s="79"/>
      <c r="AC489" s="130"/>
      <c r="AE489" s="106"/>
    </row>
    <row r="490">
      <c r="C490" s="79"/>
      <c r="D490" s="79"/>
      <c r="E490" s="79"/>
      <c r="O490" s="79"/>
      <c r="S490" s="79"/>
      <c r="T490" s="79"/>
      <c r="Y490" s="79"/>
      <c r="AC490" s="130"/>
      <c r="AE490" s="106"/>
    </row>
    <row r="491">
      <c r="C491" s="79"/>
      <c r="D491" s="79"/>
      <c r="E491" s="79"/>
      <c r="O491" s="79"/>
      <c r="S491" s="79"/>
      <c r="T491" s="79"/>
      <c r="Y491" s="79"/>
      <c r="AC491" s="130"/>
      <c r="AE491" s="106"/>
    </row>
    <row r="492">
      <c r="C492" s="79"/>
      <c r="D492" s="79"/>
      <c r="E492" s="79"/>
      <c r="O492" s="79"/>
      <c r="S492" s="79"/>
      <c r="T492" s="79"/>
      <c r="Y492" s="79"/>
      <c r="AC492" s="130"/>
      <c r="AE492" s="106"/>
    </row>
    <row r="493">
      <c r="C493" s="79"/>
      <c r="D493" s="79"/>
      <c r="E493" s="79"/>
      <c r="O493" s="79"/>
      <c r="S493" s="79"/>
      <c r="T493" s="79"/>
      <c r="Y493" s="79"/>
      <c r="AC493" s="130"/>
      <c r="AE493" s="106"/>
    </row>
    <row r="494">
      <c r="C494" s="79"/>
      <c r="D494" s="79"/>
      <c r="E494" s="79"/>
      <c r="O494" s="79"/>
      <c r="S494" s="79"/>
      <c r="T494" s="79"/>
      <c r="Y494" s="79"/>
      <c r="AC494" s="130"/>
      <c r="AE494" s="106"/>
    </row>
    <row r="495">
      <c r="C495" s="79"/>
      <c r="D495" s="79"/>
      <c r="E495" s="79"/>
      <c r="O495" s="79"/>
      <c r="S495" s="79"/>
      <c r="T495" s="79"/>
      <c r="Y495" s="79"/>
      <c r="AC495" s="130"/>
      <c r="AE495" s="106"/>
    </row>
    <row r="496">
      <c r="C496" s="79"/>
      <c r="D496" s="79"/>
      <c r="E496" s="79"/>
      <c r="O496" s="79"/>
      <c r="S496" s="79"/>
      <c r="T496" s="79"/>
      <c r="Y496" s="79"/>
      <c r="AC496" s="130"/>
      <c r="AE496" s="106"/>
    </row>
    <row r="497">
      <c r="C497" s="79"/>
      <c r="D497" s="79"/>
      <c r="E497" s="79"/>
      <c r="O497" s="79"/>
      <c r="S497" s="79"/>
      <c r="T497" s="79"/>
      <c r="Y497" s="79"/>
      <c r="AC497" s="130"/>
      <c r="AE497" s="106"/>
    </row>
    <row r="498">
      <c r="C498" s="79"/>
      <c r="D498" s="79"/>
      <c r="E498" s="79"/>
      <c r="O498" s="79"/>
      <c r="S498" s="79"/>
      <c r="T498" s="79"/>
      <c r="Y498" s="79"/>
      <c r="AC498" s="130"/>
      <c r="AE498" s="106"/>
    </row>
    <row r="499">
      <c r="C499" s="79"/>
      <c r="D499" s="79"/>
      <c r="E499" s="79"/>
      <c r="O499" s="79"/>
      <c r="S499" s="79"/>
      <c r="T499" s="79"/>
      <c r="Y499" s="79"/>
      <c r="AC499" s="130"/>
      <c r="AE499" s="106"/>
    </row>
    <row r="500">
      <c r="C500" s="79"/>
      <c r="D500" s="79"/>
      <c r="E500" s="79"/>
      <c r="O500" s="79"/>
      <c r="S500" s="79"/>
      <c r="T500" s="79"/>
      <c r="Y500" s="79"/>
      <c r="AC500" s="130"/>
      <c r="AE500" s="106"/>
    </row>
    <row r="501">
      <c r="C501" s="79"/>
      <c r="D501" s="79"/>
      <c r="E501" s="79"/>
      <c r="O501" s="79"/>
      <c r="S501" s="79"/>
      <c r="T501" s="79"/>
      <c r="Y501" s="79"/>
      <c r="AC501" s="130"/>
      <c r="AE501" s="106"/>
    </row>
    <row r="502">
      <c r="C502" s="79"/>
      <c r="D502" s="79"/>
      <c r="E502" s="79"/>
      <c r="O502" s="79"/>
      <c r="S502" s="79"/>
      <c r="T502" s="79"/>
      <c r="Y502" s="79"/>
      <c r="AC502" s="130"/>
      <c r="AE502" s="106"/>
    </row>
    <row r="503">
      <c r="C503" s="79"/>
      <c r="D503" s="79"/>
      <c r="E503" s="79"/>
      <c r="O503" s="79"/>
      <c r="S503" s="79"/>
      <c r="T503" s="79"/>
      <c r="Y503" s="79"/>
      <c r="AC503" s="130"/>
      <c r="AE503" s="106"/>
    </row>
    <row r="504">
      <c r="C504" s="79"/>
      <c r="D504" s="79"/>
      <c r="E504" s="79"/>
      <c r="O504" s="79"/>
      <c r="S504" s="79"/>
      <c r="T504" s="79"/>
      <c r="Y504" s="79"/>
      <c r="AC504" s="130"/>
      <c r="AE504" s="106"/>
    </row>
    <row r="505">
      <c r="C505" s="79"/>
      <c r="D505" s="79"/>
      <c r="E505" s="79"/>
      <c r="O505" s="79"/>
      <c r="S505" s="79"/>
      <c r="T505" s="79"/>
      <c r="Y505" s="79"/>
      <c r="AC505" s="130"/>
      <c r="AE505" s="106"/>
    </row>
    <row r="506">
      <c r="C506" s="79"/>
      <c r="D506" s="79"/>
      <c r="E506" s="79"/>
      <c r="O506" s="79"/>
      <c r="S506" s="79"/>
      <c r="T506" s="79"/>
      <c r="Y506" s="79"/>
      <c r="AC506" s="130"/>
      <c r="AE506" s="106"/>
    </row>
    <row r="507">
      <c r="C507" s="79"/>
      <c r="D507" s="79"/>
      <c r="E507" s="79"/>
      <c r="O507" s="79"/>
      <c r="S507" s="79"/>
      <c r="T507" s="79"/>
      <c r="Y507" s="79"/>
      <c r="AC507" s="130"/>
      <c r="AE507" s="106"/>
    </row>
    <row r="508">
      <c r="C508" s="79"/>
      <c r="D508" s="79"/>
      <c r="E508" s="79"/>
      <c r="O508" s="79"/>
      <c r="S508" s="79"/>
      <c r="T508" s="79"/>
      <c r="Y508" s="79"/>
      <c r="AC508" s="130"/>
      <c r="AE508" s="106"/>
    </row>
    <row r="509">
      <c r="C509" s="79"/>
      <c r="D509" s="79"/>
      <c r="E509" s="79"/>
      <c r="O509" s="79"/>
      <c r="S509" s="79"/>
      <c r="T509" s="79"/>
      <c r="Y509" s="79"/>
      <c r="AC509" s="130"/>
      <c r="AE509" s="106"/>
    </row>
    <row r="510">
      <c r="C510" s="79"/>
      <c r="D510" s="79"/>
      <c r="E510" s="79"/>
      <c r="O510" s="79"/>
      <c r="S510" s="79"/>
      <c r="T510" s="79"/>
      <c r="Y510" s="79"/>
      <c r="AC510" s="130"/>
      <c r="AE510" s="106"/>
    </row>
    <row r="511">
      <c r="C511" s="79"/>
      <c r="D511" s="79"/>
      <c r="E511" s="79"/>
      <c r="O511" s="79"/>
      <c r="S511" s="79"/>
      <c r="T511" s="79"/>
      <c r="Y511" s="79"/>
      <c r="AC511" s="130"/>
      <c r="AE511" s="106"/>
    </row>
    <row r="512">
      <c r="C512" s="79"/>
      <c r="D512" s="79"/>
      <c r="E512" s="79"/>
      <c r="O512" s="79"/>
      <c r="S512" s="79"/>
      <c r="T512" s="79"/>
      <c r="Y512" s="79"/>
      <c r="AC512" s="130"/>
      <c r="AE512" s="106"/>
    </row>
    <row r="513">
      <c r="C513" s="79"/>
      <c r="D513" s="79"/>
      <c r="E513" s="79"/>
      <c r="O513" s="79"/>
      <c r="S513" s="79"/>
      <c r="T513" s="79"/>
      <c r="Y513" s="79"/>
      <c r="AC513" s="130"/>
      <c r="AE513" s="106"/>
    </row>
    <row r="514">
      <c r="C514" s="79"/>
      <c r="D514" s="79"/>
      <c r="E514" s="79"/>
      <c r="O514" s="79"/>
      <c r="S514" s="79"/>
      <c r="T514" s="79"/>
      <c r="Y514" s="79"/>
      <c r="AC514" s="130"/>
      <c r="AE514" s="106"/>
    </row>
    <row r="515">
      <c r="C515" s="79"/>
      <c r="D515" s="79"/>
      <c r="E515" s="79"/>
      <c r="O515" s="79"/>
      <c r="S515" s="79"/>
      <c r="T515" s="79"/>
      <c r="Y515" s="79"/>
      <c r="AC515" s="130"/>
      <c r="AE515" s="106"/>
    </row>
    <row r="516">
      <c r="C516" s="79"/>
      <c r="D516" s="79"/>
      <c r="E516" s="79"/>
      <c r="O516" s="79"/>
      <c r="S516" s="79"/>
      <c r="T516" s="79"/>
      <c r="Y516" s="79"/>
      <c r="AC516" s="130"/>
      <c r="AE516" s="106"/>
    </row>
    <row r="517">
      <c r="C517" s="79"/>
      <c r="D517" s="79"/>
      <c r="E517" s="79"/>
      <c r="O517" s="79"/>
      <c r="S517" s="79"/>
      <c r="T517" s="79"/>
      <c r="Y517" s="79"/>
      <c r="AC517" s="130"/>
      <c r="AE517" s="106"/>
    </row>
    <row r="518">
      <c r="C518" s="79"/>
      <c r="D518" s="79"/>
      <c r="E518" s="79"/>
      <c r="O518" s="79"/>
      <c r="S518" s="79"/>
      <c r="T518" s="79"/>
      <c r="Y518" s="79"/>
      <c r="AC518" s="130"/>
      <c r="AE518" s="106"/>
    </row>
    <row r="519">
      <c r="C519" s="79"/>
      <c r="D519" s="79"/>
      <c r="E519" s="79"/>
      <c r="O519" s="79"/>
      <c r="S519" s="79"/>
      <c r="T519" s="79"/>
      <c r="Y519" s="79"/>
      <c r="AC519" s="130"/>
      <c r="AE519" s="106"/>
    </row>
    <row r="520">
      <c r="C520" s="79"/>
      <c r="D520" s="79"/>
      <c r="E520" s="79"/>
      <c r="O520" s="79"/>
      <c r="S520" s="79"/>
      <c r="T520" s="79"/>
      <c r="Y520" s="79"/>
      <c r="AC520" s="130"/>
      <c r="AE520" s="106"/>
    </row>
    <row r="521">
      <c r="C521" s="79"/>
      <c r="D521" s="79"/>
      <c r="E521" s="79"/>
      <c r="O521" s="79"/>
      <c r="S521" s="79"/>
      <c r="T521" s="79"/>
      <c r="Y521" s="79"/>
      <c r="AC521" s="130"/>
      <c r="AE521" s="106"/>
    </row>
    <row r="522">
      <c r="C522" s="79"/>
      <c r="D522" s="79"/>
      <c r="E522" s="79"/>
      <c r="O522" s="79"/>
      <c r="S522" s="79"/>
      <c r="T522" s="79"/>
      <c r="Y522" s="79"/>
      <c r="AC522" s="130"/>
      <c r="AE522" s="106"/>
    </row>
    <row r="523">
      <c r="C523" s="79"/>
      <c r="D523" s="79"/>
      <c r="E523" s="79"/>
      <c r="O523" s="79"/>
      <c r="S523" s="79"/>
      <c r="T523" s="79"/>
      <c r="Y523" s="79"/>
      <c r="AC523" s="130"/>
      <c r="AE523" s="106"/>
    </row>
    <row r="524">
      <c r="C524" s="79"/>
      <c r="D524" s="79"/>
      <c r="E524" s="79"/>
      <c r="O524" s="79"/>
      <c r="S524" s="79"/>
      <c r="T524" s="79"/>
      <c r="Y524" s="79"/>
      <c r="AC524" s="130"/>
      <c r="AE524" s="106"/>
    </row>
    <row r="525">
      <c r="C525" s="79"/>
      <c r="D525" s="79"/>
      <c r="E525" s="79"/>
      <c r="O525" s="79"/>
      <c r="S525" s="79"/>
      <c r="T525" s="79"/>
      <c r="Y525" s="79"/>
      <c r="AC525" s="130"/>
      <c r="AE525" s="106"/>
    </row>
    <row r="526">
      <c r="C526" s="79"/>
      <c r="D526" s="79"/>
      <c r="E526" s="79"/>
      <c r="O526" s="79"/>
      <c r="S526" s="79"/>
      <c r="T526" s="79"/>
      <c r="Y526" s="79"/>
      <c r="AC526" s="130"/>
      <c r="AE526" s="106"/>
    </row>
    <row r="527">
      <c r="C527" s="79"/>
      <c r="D527" s="79"/>
      <c r="E527" s="79"/>
      <c r="O527" s="79"/>
      <c r="S527" s="79"/>
      <c r="T527" s="79"/>
      <c r="Y527" s="79"/>
      <c r="AC527" s="130"/>
      <c r="AE527" s="106"/>
    </row>
    <row r="528">
      <c r="C528" s="79"/>
      <c r="D528" s="79"/>
      <c r="E528" s="79"/>
      <c r="O528" s="79"/>
      <c r="S528" s="79"/>
      <c r="T528" s="79"/>
      <c r="Y528" s="79"/>
      <c r="AC528" s="130"/>
      <c r="AE528" s="106"/>
    </row>
    <row r="529">
      <c r="C529" s="79"/>
      <c r="D529" s="79"/>
      <c r="E529" s="79"/>
      <c r="O529" s="79"/>
      <c r="S529" s="79"/>
      <c r="T529" s="79"/>
      <c r="Y529" s="79"/>
      <c r="AC529" s="130"/>
      <c r="AE529" s="106"/>
    </row>
    <row r="530">
      <c r="C530" s="79"/>
      <c r="D530" s="79"/>
      <c r="E530" s="79"/>
      <c r="O530" s="79"/>
      <c r="S530" s="79"/>
      <c r="T530" s="79"/>
      <c r="Y530" s="79"/>
      <c r="AC530" s="130"/>
      <c r="AE530" s="106"/>
    </row>
    <row r="531">
      <c r="C531" s="79"/>
      <c r="D531" s="79"/>
      <c r="E531" s="79"/>
      <c r="O531" s="79"/>
      <c r="S531" s="79"/>
      <c r="T531" s="79"/>
      <c r="Y531" s="79"/>
      <c r="AC531" s="130"/>
      <c r="AE531" s="106"/>
    </row>
    <row r="532">
      <c r="C532" s="79"/>
      <c r="D532" s="79"/>
      <c r="E532" s="79"/>
      <c r="O532" s="79"/>
      <c r="S532" s="79"/>
      <c r="T532" s="79"/>
      <c r="Y532" s="79"/>
      <c r="AC532" s="130"/>
      <c r="AE532" s="106"/>
    </row>
    <row r="533">
      <c r="C533" s="79"/>
      <c r="D533" s="79"/>
      <c r="E533" s="79"/>
      <c r="O533" s="79"/>
      <c r="S533" s="79"/>
      <c r="T533" s="79"/>
      <c r="Y533" s="79"/>
      <c r="AC533" s="130"/>
      <c r="AE533" s="106"/>
    </row>
    <row r="534">
      <c r="C534" s="79"/>
      <c r="D534" s="79"/>
      <c r="E534" s="79"/>
      <c r="O534" s="79"/>
      <c r="S534" s="79"/>
      <c r="T534" s="79"/>
      <c r="Y534" s="79"/>
      <c r="AC534" s="130"/>
      <c r="AE534" s="106"/>
    </row>
    <row r="535">
      <c r="C535" s="79"/>
      <c r="D535" s="79"/>
      <c r="E535" s="79"/>
      <c r="O535" s="79"/>
      <c r="S535" s="79"/>
      <c r="T535" s="79"/>
      <c r="Y535" s="79"/>
      <c r="AC535" s="130"/>
      <c r="AE535" s="106"/>
    </row>
    <row r="536">
      <c r="C536" s="79"/>
      <c r="D536" s="79"/>
      <c r="E536" s="79"/>
      <c r="O536" s="79"/>
      <c r="S536" s="79"/>
      <c r="T536" s="79"/>
      <c r="Y536" s="79"/>
      <c r="AC536" s="130"/>
      <c r="AE536" s="106"/>
    </row>
    <row r="537">
      <c r="C537" s="79"/>
      <c r="D537" s="79"/>
      <c r="E537" s="79"/>
      <c r="O537" s="79"/>
      <c r="S537" s="79"/>
      <c r="T537" s="79"/>
      <c r="Y537" s="79"/>
      <c r="AC537" s="130"/>
      <c r="AE537" s="106"/>
    </row>
    <row r="538">
      <c r="C538" s="79"/>
      <c r="D538" s="79"/>
      <c r="E538" s="79"/>
      <c r="O538" s="79"/>
      <c r="S538" s="79"/>
      <c r="T538" s="79"/>
      <c r="Y538" s="79"/>
      <c r="AC538" s="130"/>
      <c r="AE538" s="106"/>
    </row>
    <row r="539">
      <c r="C539" s="79"/>
      <c r="D539" s="79"/>
      <c r="E539" s="79"/>
      <c r="O539" s="79"/>
      <c r="S539" s="79"/>
      <c r="T539" s="79"/>
      <c r="Y539" s="79"/>
      <c r="AC539" s="130"/>
      <c r="AE539" s="106"/>
    </row>
    <row r="540">
      <c r="C540" s="79"/>
      <c r="D540" s="79"/>
      <c r="E540" s="79"/>
      <c r="O540" s="79"/>
      <c r="S540" s="79"/>
      <c r="T540" s="79"/>
      <c r="Y540" s="79"/>
      <c r="AC540" s="130"/>
      <c r="AE540" s="106"/>
    </row>
    <row r="541">
      <c r="C541" s="79"/>
      <c r="D541" s="79"/>
      <c r="E541" s="79"/>
      <c r="O541" s="79"/>
      <c r="S541" s="79"/>
      <c r="T541" s="79"/>
      <c r="Y541" s="79"/>
      <c r="AC541" s="130"/>
      <c r="AE541" s="106"/>
    </row>
    <row r="542">
      <c r="C542" s="79"/>
      <c r="D542" s="79"/>
      <c r="E542" s="79"/>
      <c r="O542" s="79"/>
      <c r="S542" s="79"/>
      <c r="T542" s="79"/>
      <c r="Y542" s="79"/>
      <c r="AC542" s="130"/>
      <c r="AE542" s="106"/>
    </row>
    <row r="543">
      <c r="C543" s="79"/>
      <c r="D543" s="79"/>
      <c r="E543" s="79"/>
      <c r="O543" s="79"/>
      <c r="S543" s="79"/>
      <c r="T543" s="79"/>
      <c r="Y543" s="79"/>
      <c r="AC543" s="130"/>
      <c r="AE543" s="106"/>
    </row>
    <row r="544">
      <c r="C544" s="79"/>
      <c r="D544" s="79"/>
      <c r="E544" s="79"/>
      <c r="O544" s="79"/>
      <c r="S544" s="79"/>
      <c r="T544" s="79"/>
      <c r="Y544" s="79"/>
      <c r="AC544" s="130"/>
      <c r="AE544" s="106"/>
    </row>
    <row r="545">
      <c r="C545" s="79"/>
      <c r="D545" s="79"/>
      <c r="E545" s="79"/>
      <c r="O545" s="79"/>
      <c r="S545" s="79"/>
      <c r="T545" s="79"/>
      <c r="Y545" s="79"/>
      <c r="AC545" s="130"/>
      <c r="AE545" s="106"/>
    </row>
    <row r="546">
      <c r="C546" s="79"/>
      <c r="D546" s="79"/>
      <c r="E546" s="79"/>
      <c r="O546" s="79"/>
      <c r="S546" s="79"/>
      <c r="T546" s="79"/>
      <c r="Y546" s="79"/>
      <c r="AC546" s="130"/>
      <c r="AE546" s="106"/>
    </row>
    <row r="547">
      <c r="C547" s="79"/>
      <c r="D547" s="79"/>
      <c r="E547" s="79"/>
      <c r="O547" s="79"/>
      <c r="S547" s="79"/>
      <c r="T547" s="79"/>
      <c r="Y547" s="79"/>
      <c r="AC547" s="130"/>
      <c r="AE547" s="106"/>
    </row>
    <row r="548">
      <c r="C548" s="79"/>
      <c r="D548" s="79"/>
      <c r="E548" s="79"/>
      <c r="O548" s="79"/>
      <c r="S548" s="79"/>
      <c r="T548" s="79"/>
      <c r="Y548" s="79"/>
      <c r="AC548" s="130"/>
      <c r="AE548" s="106"/>
    </row>
    <row r="549">
      <c r="C549" s="79"/>
      <c r="D549" s="79"/>
      <c r="E549" s="79"/>
      <c r="O549" s="79"/>
      <c r="S549" s="79"/>
      <c r="T549" s="79"/>
      <c r="Y549" s="79"/>
      <c r="AC549" s="130"/>
      <c r="AE549" s="106"/>
    </row>
    <row r="550">
      <c r="C550" s="79"/>
      <c r="D550" s="79"/>
      <c r="E550" s="79"/>
      <c r="O550" s="79"/>
      <c r="S550" s="79"/>
      <c r="T550" s="79"/>
      <c r="Y550" s="79"/>
      <c r="AC550" s="130"/>
      <c r="AE550" s="106"/>
    </row>
    <row r="551">
      <c r="C551" s="79"/>
      <c r="D551" s="79"/>
      <c r="E551" s="79"/>
      <c r="O551" s="79"/>
      <c r="S551" s="79"/>
      <c r="T551" s="79"/>
      <c r="Y551" s="79"/>
      <c r="AC551" s="130"/>
      <c r="AE551" s="106"/>
    </row>
    <row r="552">
      <c r="C552" s="79"/>
      <c r="D552" s="79"/>
      <c r="E552" s="79"/>
      <c r="O552" s="79"/>
      <c r="S552" s="79"/>
      <c r="T552" s="79"/>
      <c r="Y552" s="79"/>
      <c r="AC552" s="130"/>
      <c r="AE552" s="106"/>
    </row>
    <row r="553">
      <c r="C553" s="79"/>
      <c r="D553" s="79"/>
      <c r="E553" s="79"/>
      <c r="O553" s="79"/>
      <c r="S553" s="79"/>
      <c r="T553" s="79"/>
      <c r="Y553" s="79"/>
      <c r="AC553" s="130"/>
      <c r="AE553" s="106"/>
    </row>
    <row r="554">
      <c r="C554" s="79"/>
      <c r="D554" s="79"/>
      <c r="E554" s="79"/>
      <c r="O554" s="79"/>
      <c r="S554" s="79"/>
      <c r="T554" s="79"/>
      <c r="Y554" s="79"/>
      <c r="AC554" s="130"/>
      <c r="AE554" s="106"/>
    </row>
    <row r="555">
      <c r="C555" s="79"/>
      <c r="D555" s="79"/>
      <c r="E555" s="79"/>
      <c r="O555" s="79"/>
      <c r="S555" s="79"/>
      <c r="T555" s="79"/>
      <c r="Y555" s="79"/>
      <c r="AC555" s="130"/>
      <c r="AE555" s="106"/>
    </row>
    <row r="556">
      <c r="C556" s="79"/>
      <c r="D556" s="79"/>
      <c r="E556" s="79"/>
      <c r="O556" s="79"/>
      <c r="S556" s="79"/>
      <c r="T556" s="79"/>
      <c r="Y556" s="79"/>
      <c r="AC556" s="130"/>
      <c r="AE556" s="106"/>
    </row>
    <row r="557">
      <c r="C557" s="79"/>
      <c r="D557" s="79"/>
      <c r="E557" s="79"/>
      <c r="O557" s="79"/>
      <c r="S557" s="79"/>
      <c r="T557" s="79"/>
      <c r="Y557" s="79"/>
      <c r="AC557" s="130"/>
      <c r="AE557" s="106"/>
    </row>
    <row r="558">
      <c r="C558" s="79"/>
      <c r="D558" s="79"/>
      <c r="E558" s="79"/>
      <c r="O558" s="79"/>
      <c r="S558" s="79"/>
      <c r="T558" s="79"/>
      <c r="Y558" s="79"/>
      <c r="AC558" s="130"/>
      <c r="AE558" s="106"/>
    </row>
    <row r="559">
      <c r="C559" s="79"/>
      <c r="D559" s="79"/>
      <c r="E559" s="79"/>
      <c r="O559" s="79"/>
      <c r="S559" s="79"/>
      <c r="T559" s="79"/>
      <c r="Y559" s="79"/>
      <c r="AC559" s="130"/>
      <c r="AE559" s="106"/>
    </row>
    <row r="560">
      <c r="C560" s="79"/>
      <c r="D560" s="79"/>
      <c r="E560" s="79"/>
      <c r="O560" s="79"/>
      <c r="S560" s="79"/>
      <c r="T560" s="79"/>
      <c r="Y560" s="79"/>
      <c r="AC560" s="130"/>
      <c r="AE560" s="106"/>
    </row>
    <row r="561">
      <c r="C561" s="79"/>
      <c r="D561" s="79"/>
      <c r="E561" s="79"/>
      <c r="O561" s="79"/>
      <c r="S561" s="79"/>
      <c r="T561" s="79"/>
      <c r="Y561" s="79"/>
      <c r="AC561" s="130"/>
      <c r="AE561" s="106"/>
    </row>
    <row r="562">
      <c r="C562" s="79"/>
      <c r="D562" s="79"/>
      <c r="E562" s="79"/>
      <c r="O562" s="79"/>
      <c r="S562" s="79"/>
      <c r="T562" s="79"/>
      <c r="Y562" s="79"/>
      <c r="AC562" s="130"/>
      <c r="AE562" s="106"/>
    </row>
    <row r="563">
      <c r="C563" s="79"/>
      <c r="D563" s="79"/>
      <c r="E563" s="79"/>
      <c r="O563" s="79"/>
      <c r="S563" s="79"/>
      <c r="T563" s="79"/>
      <c r="Y563" s="79"/>
      <c r="AC563" s="130"/>
      <c r="AE563" s="106"/>
    </row>
    <row r="564">
      <c r="C564" s="79"/>
      <c r="D564" s="79"/>
      <c r="E564" s="79"/>
      <c r="O564" s="79"/>
      <c r="S564" s="79"/>
      <c r="T564" s="79"/>
      <c r="Y564" s="79"/>
      <c r="AC564" s="130"/>
      <c r="AE564" s="106"/>
    </row>
    <row r="565">
      <c r="C565" s="79"/>
      <c r="D565" s="79"/>
      <c r="E565" s="79"/>
      <c r="O565" s="79"/>
      <c r="S565" s="79"/>
      <c r="T565" s="79"/>
      <c r="Y565" s="79"/>
      <c r="AC565" s="130"/>
      <c r="AE565" s="106"/>
    </row>
    <row r="566">
      <c r="C566" s="79"/>
      <c r="D566" s="79"/>
      <c r="E566" s="79"/>
      <c r="O566" s="79"/>
      <c r="S566" s="79"/>
      <c r="T566" s="79"/>
      <c r="Y566" s="79"/>
      <c r="AC566" s="130"/>
      <c r="AE566" s="106"/>
    </row>
    <row r="567">
      <c r="C567" s="79"/>
      <c r="D567" s="79"/>
      <c r="E567" s="79"/>
      <c r="O567" s="79"/>
      <c r="S567" s="79"/>
      <c r="T567" s="79"/>
      <c r="Y567" s="79"/>
      <c r="AC567" s="130"/>
      <c r="AE567" s="106"/>
    </row>
    <row r="568">
      <c r="C568" s="79"/>
      <c r="D568" s="79"/>
      <c r="E568" s="79"/>
      <c r="O568" s="79"/>
      <c r="S568" s="79"/>
      <c r="T568" s="79"/>
      <c r="Y568" s="79"/>
      <c r="AC568" s="130"/>
      <c r="AE568" s="106"/>
    </row>
    <row r="569">
      <c r="C569" s="79"/>
      <c r="D569" s="79"/>
      <c r="E569" s="79"/>
      <c r="O569" s="79"/>
      <c r="S569" s="79"/>
      <c r="T569" s="79"/>
      <c r="Y569" s="79"/>
      <c r="AC569" s="130"/>
      <c r="AE569" s="106"/>
    </row>
    <row r="570">
      <c r="C570" s="79"/>
      <c r="D570" s="79"/>
      <c r="E570" s="79"/>
      <c r="O570" s="79"/>
      <c r="S570" s="79"/>
      <c r="T570" s="79"/>
      <c r="Y570" s="79"/>
      <c r="AC570" s="130"/>
      <c r="AE570" s="106"/>
    </row>
    <row r="571">
      <c r="C571" s="79"/>
      <c r="D571" s="79"/>
      <c r="E571" s="79"/>
      <c r="O571" s="79"/>
      <c r="S571" s="79"/>
      <c r="T571" s="79"/>
      <c r="Y571" s="79"/>
      <c r="AC571" s="130"/>
      <c r="AE571" s="106"/>
    </row>
    <row r="572">
      <c r="C572" s="79"/>
      <c r="D572" s="79"/>
      <c r="E572" s="79"/>
      <c r="O572" s="79"/>
      <c r="S572" s="79"/>
      <c r="T572" s="79"/>
      <c r="Y572" s="79"/>
      <c r="AC572" s="130"/>
      <c r="AE572" s="106"/>
    </row>
    <row r="573">
      <c r="C573" s="79"/>
      <c r="D573" s="79"/>
      <c r="E573" s="79"/>
      <c r="O573" s="79"/>
      <c r="S573" s="79"/>
      <c r="T573" s="79"/>
      <c r="Y573" s="79"/>
      <c r="AC573" s="130"/>
      <c r="AE573" s="106"/>
    </row>
    <row r="574">
      <c r="C574" s="79"/>
      <c r="D574" s="79"/>
      <c r="E574" s="79"/>
      <c r="O574" s="79"/>
      <c r="S574" s="79"/>
      <c r="T574" s="79"/>
      <c r="Y574" s="79"/>
      <c r="AC574" s="130"/>
      <c r="AE574" s="106"/>
    </row>
    <row r="575">
      <c r="C575" s="79"/>
      <c r="D575" s="79"/>
      <c r="E575" s="79"/>
      <c r="O575" s="79"/>
      <c r="S575" s="79"/>
      <c r="T575" s="79"/>
      <c r="Y575" s="79"/>
      <c r="AC575" s="130"/>
      <c r="AE575" s="106"/>
    </row>
    <row r="576">
      <c r="C576" s="79"/>
      <c r="D576" s="79"/>
      <c r="E576" s="79"/>
      <c r="O576" s="79"/>
      <c r="S576" s="79"/>
      <c r="T576" s="79"/>
      <c r="Y576" s="79"/>
      <c r="AC576" s="130"/>
      <c r="AE576" s="106"/>
    </row>
    <row r="577">
      <c r="C577" s="79"/>
      <c r="D577" s="79"/>
      <c r="E577" s="79"/>
      <c r="O577" s="79"/>
      <c r="S577" s="79"/>
      <c r="T577" s="79"/>
      <c r="Y577" s="79"/>
      <c r="AC577" s="130"/>
      <c r="AE577" s="106"/>
    </row>
    <row r="578">
      <c r="C578" s="79"/>
      <c r="D578" s="79"/>
      <c r="E578" s="79"/>
      <c r="O578" s="79"/>
      <c r="S578" s="79"/>
      <c r="T578" s="79"/>
      <c r="Y578" s="79"/>
      <c r="AC578" s="130"/>
      <c r="AE578" s="106"/>
    </row>
    <row r="579">
      <c r="C579" s="79"/>
      <c r="D579" s="79"/>
      <c r="E579" s="79"/>
      <c r="O579" s="79"/>
      <c r="S579" s="79"/>
      <c r="T579" s="79"/>
      <c r="Y579" s="79"/>
      <c r="AC579" s="130"/>
      <c r="AE579" s="106"/>
    </row>
    <row r="580">
      <c r="C580" s="79"/>
      <c r="D580" s="79"/>
      <c r="E580" s="79"/>
      <c r="O580" s="79"/>
      <c r="S580" s="79"/>
      <c r="T580" s="79"/>
      <c r="Y580" s="79"/>
      <c r="AC580" s="130"/>
      <c r="AE580" s="106"/>
    </row>
    <row r="581">
      <c r="C581" s="79"/>
      <c r="D581" s="79"/>
      <c r="E581" s="79"/>
      <c r="O581" s="79"/>
      <c r="S581" s="79"/>
      <c r="T581" s="79"/>
      <c r="Y581" s="79"/>
      <c r="AC581" s="130"/>
      <c r="AE581" s="106"/>
    </row>
    <row r="582">
      <c r="C582" s="79"/>
      <c r="D582" s="79"/>
      <c r="E582" s="79"/>
      <c r="O582" s="79"/>
      <c r="S582" s="79"/>
      <c r="T582" s="79"/>
      <c r="Y582" s="79"/>
      <c r="AC582" s="130"/>
      <c r="AE582" s="106"/>
    </row>
    <row r="583">
      <c r="C583" s="79"/>
      <c r="D583" s="79"/>
      <c r="E583" s="79"/>
      <c r="O583" s="79"/>
      <c r="S583" s="79"/>
      <c r="T583" s="79"/>
      <c r="Y583" s="79"/>
      <c r="AC583" s="130"/>
      <c r="AE583" s="106"/>
    </row>
    <row r="584">
      <c r="C584" s="79"/>
      <c r="D584" s="79"/>
      <c r="E584" s="79"/>
      <c r="O584" s="79"/>
      <c r="S584" s="79"/>
      <c r="T584" s="79"/>
      <c r="Y584" s="79"/>
      <c r="AC584" s="130"/>
      <c r="AE584" s="106"/>
    </row>
    <row r="585">
      <c r="C585" s="79"/>
      <c r="D585" s="79"/>
      <c r="E585" s="79"/>
      <c r="O585" s="79"/>
      <c r="S585" s="79"/>
      <c r="T585" s="79"/>
      <c r="Y585" s="79"/>
      <c r="AC585" s="130"/>
      <c r="AE585" s="106"/>
    </row>
    <row r="586">
      <c r="C586" s="79"/>
      <c r="D586" s="79"/>
      <c r="E586" s="79"/>
      <c r="O586" s="79"/>
      <c r="S586" s="79"/>
      <c r="T586" s="79"/>
      <c r="Y586" s="79"/>
      <c r="AC586" s="130"/>
      <c r="AE586" s="106"/>
    </row>
    <row r="587">
      <c r="C587" s="79"/>
      <c r="D587" s="79"/>
      <c r="E587" s="79"/>
      <c r="O587" s="79"/>
      <c r="S587" s="79"/>
      <c r="T587" s="79"/>
      <c r="Y587" s="79"/>
      <c r="AC587" s="130"/>
      <c r="AE587" s="106"/>
    </row>
    <row r="588">
      <c r="C588" s="79"/>
      <c r="D588" s="79"/>
      <c r="E588" s="79"/>
      <c r="O588" s="79"/>
      <c r="S588" s="79"/>
      <c r="T588" s="79"/>
      <c r="Y588" s="79"/>
      <c r="AC588" s="130"/>
      <c r="AE588" s="106"/>
    </row>
    <row r="589">
      <c r="C589" s="79"/>
      <c r="D589" s="79"/>
      <c r="E589" s="79"/>
      <c r="O589" s="79"/>
      <c r="S589" s="79"/>
      <c r="T589" s="79"/>
      <c r="Y589" s="79"/>
      <c r="AC589" s="130"/>
      <c r="AE589" s="106"/>
    </row>
    <row r="590">
      <c r="C590" s="79"/>
      <c r="D590" s="79"/>
      <c r="E590" s="79"/>
      <c r="O590" s="79"/>
      <c r="S590" s="79"/>
      <c r="T590" s="79"/>
      <c r="Y590" s="79"/>
      <c r="AC590" s="130"/>
      <c r="AE590" s="106"/>
    </row>
    <row r="591">
      <c r="C591" s="79"/>
      <c r="D591" s="79"/>
      <c r="E591" s="79"/>
      <c r="O591" s="79"/>
      <c r="S591" s="79"/>
      <c r="T591" s="79"/>
      <c r="Y591" s="79"/>
      <c r="AC591" s="130"/>
      <c r="AE591" s="106"/>
    </row>
    <row r="592">
      <c r="C592" s="79"/>
      <c r="D592" s="79"/>
      <c r="E592" s="79"/>
      <c r="O592" s="79"/>
      <c r="S592" s="79"/>
      <c r="T592" s="79"/>
      <c r="Y592" s="79"/>
      <c r="AC592" s="130"/>
      <c r="AE592" s="106"/>
    </row>
    <row r="593">
      <c r="C593" s="79"/>
      <c r="D593" s="79"/>
      <c r="E593" s="79"/>
      <c r="O593" s="79"/>
      <c r="S593" s="79"/>
      <c r="T593" s="79"/>
      <c r="Y593" s="79"/>
      <c r="AC593" s="130"/>
      <c r="AE593" s="106"/>
    </row>
    <row r="594">
      <c r="C594" s="79"/>
      <c r="D594" s="79"/>
      <c r="E594" s="79"/>
      <c r="O594" s="79"/>
      <c r="S594" s="79"/>
      <c r="T594" s="79"/>
      <c r="Y594" s="79"/>
      <c r="AC594" s="130"/>
      <c r="AE594" s="106"/>
    </row>
    <row r="595">
      <c r="C595" s="79"/>
      <c r="D595" s="79"/>
      <c r="E595" s="79"/>
      <c r="O595" s="79"/>
      <c r="S595" s="79"/>
      <c r="T595" s="79"/>
      <c r="Y595" s="79"/>
      <c r="AC595" s="130"/>
      <c r="AE595" s="106"/>
    </row>
    <row r="596">
      <c r="C596" s="79"/>
      <c r="D596" s="79"/>
      <c r="E596" s="79"/>
      <c r="O596" s="79"/>
      <c r="S596" s="79"/>
      <c r="T596" s="79"/>
      <c r="Y596" s="79"/>
      <c r="AC596" s="130"/>
      <c r="AE596" s="106"/>
    </row>
    <row r="597">
      <c r="C597" s="79"/>
      <c r="D597" s="79"/>
      <c r="E597" s="79"/>
      <c r="O597" s="79"/>
      <c r="S597" s="79"/>
      <c r="T597" s="79"/>
      <c r="Y597" s="79"/>
      <c r="AC597" s="130"/>
      <c r="AE597" s="106"/>
    </row>
    <row r="598">
      <c r="C598" s="79"/>
      <c r="D598" s="79"/>
      <c r="E598" s="79"/>
      <c r="O598" s="79"/>
      <c r="S598" s="79"/>
      <c r="T598" s="79"/>
      <c r="Y598" s="79"/>
      <c r="AC598" s="130"/>
      <c r="AE598" s="106"/>
    </row>
    <row r="599">
      <c r="C599" s="79"/>
      <c r="D599" s="79"/>
      <c r="E599" s="79"/>
      <c r="O599" s="79"/>
      <c r="S599" s="79"/>
      <c r="T599" s="79"/>
      <c r="Y599" s="79"/>
      <c r="AC599" s="130"/>
      <c r="AE599" s="106"/>
    </row>
    <row r="600">
      <c r="C600" s="79"/>
      <c r="D600" s="79"/>
      <c r="E600" s="79"/>
      <c r="O600" s="79"/>
      <c r="S600" s="79"/>
      <c r="T600" s="79"/>
      <c r="Y600" s="79"/>
      <c r="AC600" s="130"/>
      <c r="AE600" s="106"/>
    </row>
    <row r="601">
      <c r="C601" s="79"/>
      <c r="D601" s="79"/>
      <c r="E601" s="79"/>
      <c r="O601" s="79"/>
      <c r="S601" s="79"/>
      <c r="T601" s="79"/>
      <c r="Y601" s="79"/>
      <c r="AC601" s="130"/>
      <c r="AE601" s="106"/>
    </row>
    <row r="602">
      <c r="C602" s="79"/>
      <c r="D602" s="79"/>
      <c r="E602" s="79"/>
      <c r="O602" s="79"/>
      <c r="S602" s="79"/>
      <c r="T602" s="79"/>
      <c r="Y602" s="79"/>
      <c r="AC602" s="130"/>
      <c r="AE602" s="106"/>
    </row>
    <row r="603">
      <c r="C603" s="79"/>
      <c r="D603" s="79"/>
      <c r="E603" s="79"/>
      <c r="O603" s="79"/>
      <c r="S603" s="79"/>
      <c r="T603" s="79"/>
      <c r="Y603" s="79"/>
      <c r="AC603" s="130"/>
      <c r="AE603" s="106"/>
    </row>
    <row r="604">
      <c r="C604" s="79"/>
      <c r="D604" s="79"/>
      <c r="E604" s="79"/>
      <c r="O604" s="79"/>
      <c r="S604" s="79"/>
      <c r="T604" s="79"/>
      <c r="Y604" s="79"/>
      <c r="AC604" s="130"/>
      <c r="AE604" s="106"/>
    </row>
    <row r="605">
      <c r="C605" s="79"/>
      <c r="D605" s="79"/>
      <c r="E605" s="79"/>
      <c r="O605" s="79"/>
      <c r="S605" s="79"/>
      <c r="T605" s="79"/>
      <c r="Y605" s="79"/>
      <c r="AC605" s="130"/>
      <c r="AE605" s="106"/>
    </row>
    <row r="606">
      <c r="C606" s="79"/>
      <c r="D606" s="79"/>
      <c r="E606" s="79"/>
      <c r="O606" s="79"/>
      <c r="S606" s="79"/>
      <c r="T606" s="79"/>
      <c r="Y606" s="79"/>
      <c r="AC606" s="130"/>
      <c r="AE606" s="106"/>
    </row>
    <row r="607">
      <c r="C607" s="79"/>
      <c r="D607" s="79"/>
      <c r="E607" s="79"/>
      <c r="O607" s="79"/>
      <c r="S607" s="79"/>
      <c r="T607" s="79"/>
      <c r="Y607" s="79"/>
      <c r="AC607" s="130"/>
      <c r="AE607" s="106"/>
    </row>
    <row r="608">
      <c r="C608" s="79"/>
      <c r="D608" s="79"/>
      <c r="E608" s="79"/>
      <c r="O608" s="79"/>
      <c r="S608" s="79"/>
      <c r="T608" s="79"/>
      <c r="Y608" s="79"/>
      <c r="AC608" s="130"/>
      <c r="AE608" s="106"/>
    </row>
    <row r="609">
      <c r="C609" s="79"/>
      <c r="D609" s="79"/>
      <c r="E609" s="79"/>
      <c r="O609" s="79"/>
      <c r="S609" s="79"/>
      <c r="T609" s="79"/>
      <c r="Y609" s="79"/>
      <c r="AC609" s="130"/>
      <c r="AE609" s="106"/>
    </row>
    <row r="610">
      <c r="C610" s="79"/>
      <c r="D610" s="79"/>
      <c r="E610" s="79"/>
      <c r="O610" s="79"/>
      <c r="S610" s="79"/>
      <c r="T610" s="79"/>
      <c r="Y610" s="79"/>
      <c r="AC610" s="130"/>
      <c r="AE610" s="106"/>
    </row>
    <row r="611">
      <c r="C611" s="79"/>
      <c r="D611" s="79"/>
      <c r="E611" s="79"/>
      <c r="O611" s="79"/>
      <c r="S611" s="79"/>
      <c r="T611" s="79"/>
      <c r="Y611" s="79"/>
      <c r="AC611" s="130"/>
      <c r="AE611" s="106"/>
    </row>
    <row r="612">
      <c r="C612" s="79"/>
      <c r="D612" s="79"/>
      <c r="E612" s="79"/>
      <c r="O612" s="79"/>
      <c r="S612" s="79"/>
      <c r="T612" s="79"/>
      <c r="Y612" s="79"/>
      <c r="AC612" s="130"/>
      <c r="AE612" s="106"/>
    </row>
    <row r="613">
      <c r="C613" s="79"/>
      <c r="D613" s="79"/>
      <c r="E613" s="79"/>
      <c r="O613" s="79"/>
      <c r="S613" s="79"/>
      <c r="T613" s="79"/>
      <c r="Y613" s="79"/>
      <c r="AC613" s="130"/>
      <c r="AE613" s="106"/>
    </row>
    <row r="614">
      <c r="C614" s="79"/>
      <c r="D614" s="79"/>
      <c r="E614" s="79"/>
      <c r="O614" s="79"/>
      <c r="S614" s="79"/>
      <c r="T614" s="79"/>
      <c r="Y614" s="79"/>
      <c r="AC614" s="130"/>
      <c r="AE614" s="106"/>
    </row>
    <row r="615">
      <c r="C615" s="79"/>
      <c r="D615" s="79"/>
      <c r="E615" s="79"/>
      <c r="O615" s="79"/>
      <c r="S615" s="79"/>
      <c r="T615" s="79"/>
      <c r="Y615" s="79"/>
      <c r="AC615" s="130"/>
      <c r="AE615" s="106"/>
    </row>
    <row r="616">
      <c r="C616" s="79"/>
      <c r="D616" s="79"/>
      <c r="E616" s="79"/>
      <c r="O616" s="79"/>
      <c r="S616" s="79"/>
      <c r="T616" s="79"/>
      <c r="Y616" s="79"/>
      <c r="AC616" s="130"/>
      <c r="AE616" s="106"/>
    </row>
    <row r="617">
      <c r="C617" s="79"/>
      <c r="D617" s="79"/>
      <c r="E617" s="79"/>
      <c r="O617" s="79"/>
      <c r="S617" s="79"/>
      <c r="T617" s="79"/>
      <c r="Y617" s="79"/>
      <c r="AC617" s="130"/>
      <c r="AE617" s="106"/>
    </row>
    <row r="618">
      <c r="C618" s="79"/>
      <c r="D618" s="79"/>
      <c r="E618" s="79"/>
      <c r="O618" s="79"/>
      <c r="S618" s="79"/>
      <c r="T618" s="79"/>
      <c r="Y618" s="79"/>
      <c r="AC618" s="130"/>
      <c r="AE618" s="106"/>
    </row>
    <row r="619">
      <c r="C619" s="79"/>
      <c r="D619" s="79"/>
      <c r="E619" s="79"/>
      <c r="O619" s="79"/>
      <c r="S619" s="79"/>
      <c r="T619" s="79"/>
      <c r="Y619" s="79"/>
      <c r="AC619" s="130"/>
      <c r="AE619" s="106"/>
    </row>
    <row r="620">
      <c r="C620" s="79"/>
      <c r="D620" s="79"/>
      <c r="E620" s="79"/>
      <c r="O620" s="79"/>
      <c r="S620" s="79"/>
      <c r="T620" s="79"/>
      <c r="Y620" s="79"/>
      <c r="AC620" s="130"/>
      <c r="AE620" s="106"/>
    </row>
    <row r="621">
      <c r="C621" s="79"/>
      <c r="D621" s="79"/>
      <c r="E621" s="79"/>
      <c r="O621" s="79"/>
      <c r="S621" s="79"/>
      <c r="T621" s="79"/>
      <c r="Y621" s="79"/>
      <c r="AC621" s="130"/>
      <c r="AE621" s="106"/>
    </row>
    <row r="622">
      <c r="C622" s="79"/>
      <c r="D622" s="79"/>
      <c r="E622" s="79"/>
      <c r="O622" s="79"/>
      <c r="S622" s="79"/>
      <c r="T622" s="79"/>
      <c r="Y622" s="79"/>
      <c r="AC622" s="130"/>
      <c r="AE622" s="106"/>
    </row>
    <row r="623">
      <c r="C623" s="79"/>
      <c r="D623" s="79"/>
      <c r="E623" s="79"/>
      <c r="O623" s="79"/>
      <c r="S623" s="79"/>
      <c r="T623" s="79"/>
      <c r="Y623" s="79"/>
      <c r="AC623" s="130"/>
      <c r="AE623" s="106"/>
    </row>
    <row r="624">
      <c r="C624" s="79"/>
      <c r="D624" s="79"/>
      <c r="E624" s="79"/>
      <c r="O624" s="79"/>
      <c r="S624" s="79"/>
      <c r="T624" s="79"/>
      <c r="Y624" s="79"/>
      <c r="AC624" s="130"/>
      <c r="AE624" s="106"/>
    </row>
    <row r="625">
      <c r="C625" s="79"/>
      <c r="D625" s="79"/>
      <c r="E625" s="79"/>
      <c r="O625" s="79"/>
      <c r="S625" s="79"/>
      <c r="T625" s="79"/>
      <c r="Y625" s="79"/>
      <c r="AC625" s="130"/>
      <c r="AE625" s="106"/>
    </row>
    <row r="626">
      <c r="C626" s="79"/>
      <c r="D626" s="79"/>
      <c r="E626" s="79"/>
      <c r="O626" s="79"/>
      <c r="S626" s="79"/>
      <c r="T626" s="79"/>
      <c r="Y626" s="79"/>
      <c r="AC626" s="130"/>
      <c r="AE626" s="106"/>
    </row>
    <row r="627">
      <c r="C627" s="79"/>
      <c r="D627" s="79"/>
      <c r="E627" s="79"/>
      <c r="O627" s="79"/>
      <c r="S627" s="79"/>
      <c r="T627" s="79"/>
      <c r="Y627" s="79"/>
      <c r="AC627" s="130"/>
      <c r="AE627" s="106"/>
    </row>
    <row r="628">
      <c r="C628" s="79"/>
      <c r="D628" s="79"/>
      <c r="E628" s="79"/>
      <c r="O628" s="79"/>
      <c r="S628" s="79"/>
      <c r="T628" s="79"/>
      <c r="Y628" s="79"/>
      <c r="AC628" s="130"/>
      <c r="AE628" s="106"/>
    </row>
    <row r="629">
      <c r="C629" s="79"/>
      <c r="D629" s="79"/>
      <c r="E629" s="79"/>
      <c r="O629" s="79"/>
      <c r="S629" s="79"/>
      <c r="T629" s="79"/>
      <c r="Y629" s="79"/>
      <c r="AC629" s="130"/>
      <c r="AE629" s="106"/>
    </row>
    <row r="630">
      <c r="C630" s="79"/>
      <c r="D630" s="79"/>
      <c r="E630" s="79"/>
      <c r="O630" s="79"/>
      <c r="S630" s="79"/>
      <c r="T630" s="79"/>
      <c r="Y630" s="79"/>
      <c r="AC630" s="130"/>
      <c r="AE630" s="106"/>
    </row>
    <row r="631">
      <c r="C631" s="79"/>
      <c r="D631" s="79"/>
      <c r="E631" s="79"/>
      <c r="O631" s="79"/>
      <c r="S631" s="79"/>
      <c r="T631" s="79"/>
      <c r="Y631" s="79"/>
      <c r="AC631" s="130"/>
      <c r="AE631" s="106"/>
    </row>
    <row r="632">
      <c r="C632" s="79"/>
      <c r="D632" s="79"/>
      <c r="E632" s="79"/>
      <c r="O632" s="79"/>
      <c r="S632" s="79"/>
      <c r="T632" s="79"/>
      <c r="Y632" s="79"/>
      <c r="AC632" s="130"/>
      <c r="AE632" s="106"/>
    </row>
    <row r="633">
      <c r="C633" s="79"/>
      <c r="D633" s="79"/>
      <c r="E633" s="79"/>
      <c r="O633" s="79"/>
      <c r="S633" s="79"/>
      <c r="T633" s="79"/>
      <c r="Y633" s="79"/>
      <c r="AC633" s="130"/>
      <c r="AE633" s="106"/>
    </row>
    <row r="634">
      <c r="C634" s="79"/>
      <c r="D634" s="79"/>
      <c r="E634" s="79"/>
      <c r="O634" s="79"/>
      <c r="S634" s="79"/>
      <c r="T634" s="79"/>
      <c r="Y634" s="79"/>
      <c r="AC634" s="130"/>
      <c r="AE634" s="106"/>
    </row>
    <row r="635">
      <c r="C635" s="79"/>
      <c r="D635" s="79"/>
      <c r="E635" s="79"/>
      <c r="O635" s="79"/>
      <c r="S635" s="79"/>
      <c r="T635" s="79"/>
      <c r="Y635" s="79"/>
      <c r="AC635" s="130"/>
      <c r="AE635" s="106"/>
    </row>
    <row r="636">
      <c r="C636" s="79"/>
      <c r="D636" s="79"/>
      <c r="E636" s="79"/>
      <c r="O636" s="79"/>
      <c r="S636" s="79"/>
      <c r="T636" s="79"/>
      <c r="Y636" s="79"/>
      <c r="AC636" s="130"/>
      <c r="AE636" s="106"/>
    </row>
    <row r="637">
      <c r="C637" s="79"/>
      <c r="D637" s="79"/>
      <c r="E637" s="79"/>
      <c r="O637" s="79"/>
      <c r="S637" s="79"/>
      <c r="T637" s="79"/>
      <c r="Y637" s="79"/>
      <c r="AC637" s="130"/>
      <c r="AE637" s="106"/>
    </row>
    <row r="638">
      <c r="C638" s="79"/>
      <c r="D638" s="79"/>
      <c r="E638" s="79"/>
      <c r="O638" s="79"/>
      <c r="S638" s="79"/>
      <c r="T638" s="79"/>
      <c r="Y638" s="79"/>
      <c r="AC638" s="130"/>
      <c r="AE638" s="106"/>
    </row>
    <row r="639">
      <c r="C639" s="79"/>
      <c r="D639" s="79"/>
      <c r="E639" s="79"/>
      <c r="O639" s="79"/>
      <c r="S639" s="79"/>
      <c r="T639" s="79"/>
      <c r="Y639" s="79"/>
      <c r="AC639" s="130"/>
      <c r="AE639" s="106"/>
    </row>
    <row r="640">
      <c r="C640" s="79"/>
      <c r="D640" s="79"/>
      <c r="E640" s="79"/>
      <c r="O640" s="79"/>
      <c r="S640" s="79"/>
      <c r="T640" s="79"/>
      <c r="Y640" s="79"/>
      <c r="AC640" s="130"/>
      <c r="AE640" s="106"/>
    </row>
    <row r="641">
      <c r="C641" s="79"/>
      <c r="D641" s="79"/>
      <c r="E641" s="79"/>
      <c r="O641" s="79"/>
      <c r="S641" s="79"/>
      <c r="T641" s="79"/>
      <c r="Y641" s="79"/>
      <c r="AC641" s="130"/>
      <c r="AE641" s="106"/>
    </row>
    <row r="642">
      <c r="C642" s="79"/>
      <c r="D642" s="79"/>
      <c r="E642" s="79"/>
      <c r="O642" s="79"/>
      <c r="S642" s="79"/>
      <c r="T642" s="79"/>
      <c r="Y642" s="79"/>
      <c r="AC642" s="130"/>
      <c r="AE642" s="106"/>
    </row>
    <row r="643">
      <c r="C643" s="79"/>
      <c r="D643" s="79"/>
      <c r="E643" s="79"/>
      <c r="O643" s="79"/>
      <c r="S643" s="79"/>
      <c r="T643" s="79"/>
      <c r="Y643" s="79"/>
      <c r="AC643" s="130"/>
      <c r="AE643" s="106"/>
    </row>
    <row r="644">
      <c r="C644" s="79"/>
      <c r="D644" s="79"/>
      <c r="E644" s="79"/>
      <c r="O644" s="79"/>
      <c r="S644" s="79"/>
      <c r="T644" s="79"/>
      <c r="Y644" s="79"/>
      <c r="AC644" s="130"/>
      <c r="AE644" s="106"/>
    </row>
    <row r="645">
      <c r="C645" s="79"/>
      <c r="D645" s="79"/>
      <c r="E645" s="79"/>
      <c r="O645" s="79"/>
      <c r="S645" s="79"/>
      <c r="T645" s="79"/>
      <c r="Y645" s="79"/>
      <c r="AC645" s="130"/>
      <c r="AE645" s="106"/>
    </row>
    <row r="646">
      <c r="C646" s="79"/>
      <c r="D646" s="79"/>
      <c r="E646" s="79"/>
      <c r="O646" s="79"/>
      <c r="S646" s="79"/>
      <c r="T646" s="79"/>
      <c r="Y646" s="79"/>
      <c r="AC646" s="130"/>
      <c r="AE646" s="106"/>
    </row>
    <row r="647">
      <c r="C647" s="79"/>
      <c r="D647" s="79"/>
      <c r="E647" s="79"/>
      <c r="O647" s="79"/>
      <c r="S647" s="79"/>
      <c r="T647" s="79"/>
      <c r="Y647" s="79"/>
      <c r="AC647" s="130"/>
      <c r="AE647" s="106"/>
    </row>
    <row r="648">
      <c r="C648" s="79"/>
      <c r="D648" s="79"/>
      <c r="E648" s="79"/>
      <c r="O648" s="79"/>
      <c r="S648" s="79"/>
      <c r="T648" s="79"/>
      <c r="Y648" s="79"/>
      <c r="AC648" s="130"/>
      <c r="AE648" s="106"/>
    </row>
    <row r="649">
      <c r="C649" s="79"/>
      <c r="D649" s="79"/>
      <c r="E649" s="79"/>
      <c r="O649" s="79"/>
      <c r="S649" s="79"/>
      <c r="T649" s="79"/>
      <c r="Y649" s="79"/>
      <c r="AC649" s="130"/>
      <c r="AE649" s="106"/>
    </row>
    <row r="650">
      <c r="C650" s="79"/>
      <c r="D650" s="79"/>
      <c r="E650" s="79"/>
      <c r="O650" s="79"/>
      <c r="S650" s="79"/>
      <c r="T650" s="79"/>
      <c r="Y650" s="79"/>
      <c r="AC650" s="130"/>
      <c r="AE650" s="106"/>
    </row>
    <row r="651">
      <c r="C651" s="79"/>
      <c r="D651" s="79"/>
      <c r="E651" s="79"/>
      <c r="O651" s="79"/>
      <c r="S651" s="79"/>
      <c r="T651" s="79"/>
      <c r="Y651" s="79"/>
      <c r="AC651" s="130"/>
      <c r="AE651" s="106"/>
    </row>
    <row r="652">
      <c r="C652" s="79"/>
      <c r="D652" s="79"/>
      <c r="E652" s="79"/>
      <c r="O652" s="79"/>
      <c r="S652" s="79"/>
      <c r="T652" s="79"/>
      <c r="Y652" s="79"/>
      <c r="AC652" s="130"/>
      <c r="AE652" s="106"/>
    </row>
    <row r="653">
      <c r="C653" s="79"/>
      <c r="D653" s="79"/>
      <c r="E653" s="79"/>
      <c r="O653" s="79"/>
      <c r="S653" s="79"/>
      <c r="T653" s="79"/>
      <c r="Y653" s="79"/>
      <c r="AC653" s="130"/>
      <c r="AE653" s="106"/>
    </row>
    <row r="654">
      <c r="C654" s="79"/>
      <c r="D654" s="79"/>
      <c r="E654" s="79"/>
      <c r="O654" s="79"/>
      <c r="S654" s="79"/>
      <c r="T654" s="79"/>
      <c r="Y654" s="79"/>
      <c r="AC654" s="130"/>
      <c r="AE654" s="106"/>
    </row>
    <row r="655">
      <c r="C655" s="79"/>
      <c r="D655" s="79"/>
      <c r="E655" s="79"/>
      <c r="O655" s="79"/>
      <c r="S655" s="79"/>
      <c r="T655" s="79"/>
      <c r="Y655" s="79"/>
      <c r="AC655" s="130"/>
      <c r="AE655" s="106"/>
    </row>
    <row r="656">
      <c r="C656" s="79"/>
      <c r="D656" s="79"/>
      <c r="E656" s="79"/>
      <c r="O656" s="79"/>
      <c r="S656" s="79"/>
      <c r="T656" s="79"/>
      <c r="Y656" s="79"/>
      <c r="AC656" s="130"/>
      <c r="AE656" s="106"/>
    </row>
    <row r="657">
      <c r="C657" s="79"/>
      <c r="D657" s="79"/>
      <c r="E657" s="79"/>
      <c r="O657" s="79"/>
      <c r="S657" s="79"/>
      <c r="T657" s="79"/>
      <c r="Y657" s="79"/>
      <c r="AC657" s="130"/>
      <c r="AE657" s="106"/>
    </row>
    <row r="658">
      <c r="C658" s="79"/>
      <c r="D658" s="79"/>
      <c r="E658" s="79"/>
      <c r="O658" s="79"/>
      <c r="S658" s="79"/>
      <c r="T658" s="79"/>
      <c r="Y658" s="79"/>
      <c r="AC658" s="130"/>
      <c r="AE658" s="106"/>
    </row>
    <row r="659">
      <c r="C659" s="79"/>
      <c r="D659" s="79"/>
      <c r="E659" s="79"/>
      <c r="O659" s="79"/>
      <c r="S659" s="79"/>
      <c r="T659" s="79"/>
      <c r="Y659" s="79"/>
      <c r="AC659" s="130"/>
      <c r="AE659" s="106"/>
    </row>
    <row r="660">
      <c r="C660" s="79"/>
      <c r="D660" s="79"/>
      <c r="E660" s="79"/>
      <c r="O660" s="79"/>
      <c r="S660" s="79"/>
      <c r="T660" s="79"/>
      <c r="Y660" s="79"/>
      <c r="AC660" s="130"/>
      <c r="AE660" s="106"/>
    </row>
    <row r="661">
      <c r="C661" s="79"/>
      <c r="D661" s="79"/>
      <c r="E661" s="79"/>
      <c r="O661" s="79"/>
      <c r="S661" s="79"/>
      <c r="T661" s="79"/>
      <c r="Y661" s="79"/>
      <c r="AC661" s="130"/>
      <c r="AE661" s="106"/>
    </row>
    <row r="662">
      <c r="C662" s="79"/>
      <c r="D662" s="79"/>
      <c r="E662" s="79"/>
      <c r="O662" s="79"/>
      <c r="S662" s="79"/>
      <c r="T662" s="79"/>
      <c r="Y662" s="79"/>
      <c r="AC662" s="130"/>
      <c r="AE662" s="106"/>
    </row>
    <row r="663">
      <c r="C663" s="79"/>
      <c r="D663" s="79"/>
      <c r="E663" s="79"/>
      <c r="O663" s="79"/>
      <c r="S663" s="79"/>
      <c r="T663" s="79"/>
      <c r="Y663" s="79"/>
      <c r="AC663" s="130"/>
      <c r="AE663" s="106"/>
    </row>
    <row r="664">
      <c r="C664" s="79"/>
      <c r="D664" s="79"/>
      <c r="E664" s="79"/>
      <c r="O664" s="79"/>
      <c r="S664" s="79"/>
      <c r="T664" s="79"/>
      <c r="Y664" s="79"/>
      <c r="AC664" s="130"/>
      <c r="AE664" s="106"/>
    </row>
    <row r="665">
      <c r="C665" s="79"/>
      <c r="D665" s="79"/>
      <c r="E665" s="79"/>
      <c r="O665" s="79"/>
      <c r="S665" s="79"/>
      <c r="T665" s="79"/>
      <c r="Y665" s="79"/>
      <c r="AC665" s="130"/>
      <c r="AE665" s="106"/>
    </row>
    <row r="666">
      <c r="C666" s="79"/>
      <c r="D666" s="79"/>
      <c r="E666" s="79"/>
      <c r="O666" s="79"/>
      <c r="S666" s="79"/>
      <c r="T666" s="79"/>
      <c r="Y666" s="79"/>
      <c r="AC666" s="130"/>
      <c r="AE666" s="106"/>
    </row>
    <row r="667">
      <c r="C667" s="79"/>
      <c r="D667" s="79"/>
      <c r="E667" s="79"/>
      <c r="O667" s="79"/>
      <c r="S667" s="79"/>
      <c r="T667" s="79"/>
      <c r="Y667" s="79"/>
      <c r="AC667" s="130"/>
      <c r="AE667" s="106"/>
    </row>
    <row r="668">
      <c r="C668" s="79"/>
      <c r="D668" s="79"/>
      <c r="E668" s="79"/>
      <c r="O668" s="79"/>
      <c r="S668" s="79"/>
      <c r="T668" s="79"/>
      <c r="Y668" s="79"/>
      <c r="AC668" s="130"/>
      <c r="AE668" s="106"/>
    </row>
    <row r="669">
      <c r="C669" s="79"/>
      <c r="D669" s="79"/>
      <c r="E669" s="79"/>
      <c r="O669" s="79"/>
      <c r="S669" s="79"/>
      <c r="T669" s="79"/>
      <c r="Y669" s="79"/>
      <c r="AC669" s="130"/>
      <c r="AE669" s="106"/>
    </row>
    <row r="670">
      <c r="C670" s="79"/>
      <c r="D670" s="79"/>
      <c r="E670" s="79"/>
      <c r="O670" s="79"/>
      <c r="S670" s="79"/>
      <c r="T670" s="79"/>
      <c r="Y670" s="79"/>
      <c r="AC670" s="130"/>
      <c r="AE670" s="106"/>
    </row>
    <row r="671">
      <c r="C671" s="79"/>
      <c r="D671" s="79"/>
      <c r="E671" s="79"/>
      <c r="O671" s="79"/>
      <c r="S671" s="79"/>
      <c r="T671" s="79"/>
      <c r="Y671" s="79"/>
      <c r="AC671" s="130"/>
      <c r="AE671" s="106"/>
    </row>
    <row r="672">
      <c r="C672" s="79"/>
      <c r="D672" s="79"/>
      <c r="E672" s="79"/>
      <c r="O672" s="79"/>
      <c r="S672" s="79"/>
      <c r="T672" s="79"/>
      <c r="Y672" s="79"/>
      <c r="AC672" s="130"/>
      <c r="AE672" s="106"/>
    </row>
    <row r="673">
      <c r="C673" s="79"/>
      <c r="D673" s="79"/>
      <c r="E673" s="79"/>
      <c r="O673" s="79"/>
      <c r="S673" s="79"/>
      <c r="T673" s="79"/>
      <c r="Y673" s="79"/>
      <c r="AC673" s="130"/>
      <c r="AE673" s="106"/>
    </row>
    <row r="674">
      <c r="C674" s="79"/>
      <c r="D674" s="79"/>
      <c r="E674" s="79"/>
      <c r="O674" s="79"/>
      <c r="S674" s="79"/>
      <c r="T674" s="79"/>
      <c r="Y674" s="79"/>
      <c r="AC674" s="130"/>
      <c r="AE674" s="106"/>
    </row>
    <row r="675">
      <c r="C675" s="79"/>
      <c r="D675" s="79"/>
      <c r="E675" s="79"/>
      <c r="O675" s="79"/>
      <c r="S675" s="79"/>
      <c r="T675" s="79"/>
      <c r="Y675" s="79"/>
      <c r="AC675" s="130"/>
      <c r="AE675" s="106"/>
    </row>
    <row r="676">
      <c r="C676" s="79"/>
      <c r="D676" s="79"/>
      <c r="E676" s="79"/>
      <c r="O676" s="79"/>
      <c r="S676" s="79"/>
      <c r="T676" s="79"/>
      <c r="Y676" s="79"/>
      <c r="AC676" s="130"/>
      <c r="AE676" s="106"/>
    </row>
    <row r="677">
      <c r="C677" s="79"/>
      <c r="D677" s="79"/>
      <c r="E677" s="79"/>
      <c r="O677" s="79"/>
      <c r="S677" s="79"/>
      <c r="T677" s="79"/>
      <c r="Y677" s="79"/>
      <c r="AC677" s="130"/>
      <c r="AE677" s="106"/>
    </row>
    <row r="678">
      <c r="C678" s="79"/>
      <c r="D678" s="79"/>
      <c r="E678" s="79"/>
      <c r="O678" s="79"/>
      <c r="S678" s="79"/>
      <c r="T678" s="79"/>
      <c r="Y678" s="79"/>
      <c r="AC678" s="130"/>
      <c r="AE678" s="106"/>
    </row>
    <row r="679">
      <c r="C679" s="79"/>
      <c r="D679" s="79"/>
      <c r="E679" s="79"/>
      <c r="O679" s="79"/>
      <c r="S679" s="79"/>
      <c r="T679" s="79"/>
      <c r="Y679" s="79"/>
      <c r="AC679" s="130"/>
      <c r="AE679" s="106"/>
    </row>
    <row r="680">
      <c r="C680" s="79"/>
      <c r="D680" s="79"/>
      <c r="E680" s="79"/>
      <c r="O680" s="79"/>
      <c r="S680" s="79"/>
      <c r="T680" s="79"/>
      <c r="Y680" s="79"/>
      <c r="AC680" s="130"/>
      <c r="AE680" s="106"/>
    </row>
    <row r="681">
      <c r="C681" s="79"/>
      <c r="D681" s="79"/>
      <c r="E681" s="79"/>
      <c r="O681" s="79"/>
      <c r="S681" s="79"/>
      <c r="T681" s="79"/>
      <c r="Y681" s="79"/>
      <c r="AC681" s="130"/>
      <c r="AE681" s="106"/>
    </row>
    <row r="682">
      <c r="C682" s="79"/>
      <c r="D682" s="79"/>
      <c r="E682" s="79"/>
      <c r="O682" s="79"/>
      <c r="S682" s="79"/>
      <c r="T682" s="79"/>
      <c r="Y682" s="79"/>
      <c r="AC682" s="130"/>
      <c r="AE682" s="106"/>
    </row>
    <row r="683">
      <c r="C683" s="79"/>
      <c r="D683" s="79"/>
      <c r="E683" s="79"/>
      <c r="O683" s="79"/>
      <c r="S683" s="79"/>
      <c r="T683" s="79"/>
      <c r="Y683" s="79"/>
      <c r="AC683" s="130"/>
      <c r="AE683" s="106"/>
    </row>
    <row r="684">
      <c r="C684" s="79"/>
      <c r="D684" s="79"/>
      <c r="E684" s="79"/>
      <c r="O684" s="79"/>
      <c r="S684" s="79"/>
      <c r="T684" s="79"/>
      <c r="Y684" s="79"/>
      <c r="AC684" s="130"/>
      <c r="AE684" s="106"/>
    </row>
    <row r="685">
      <c r="C685" s="79"/>
      <c r="D685" s="79"/>
      <c r="E685" s="79"/>
      <c r="O685" s="79"/>
      <c r="S685" s="79"/>
      <c r="T685" s="79"/>
      <c r="Y685" s="79"/>
      <c r="AC685" s="130"/>
      <c r="AE685" s="106"/>
    </row>
    <row r="686">
      <c r="C686" s="79"/>
      <c r="D686" s="79"/>
      <c r="E686" s="79"/>
      <c r="O686" s="79"/>
      <c r="S686" s="79"/>
      <c r="T686" s="79"/>
      <c r="Y686" s="79"/>
      <c r="AC686" s="130"/>
      <c r="AE686" s="106"/>
    </row>
    <row r="687">
      <c r="C687" s="79"/>
      <c r="D687" s="79"/>
      <c r="E687" s="79"/>
      <c r="O687" s="79"/>
      <c r="S687" s="79"/>
      <c r="T687" s="79"/>
      <c r="Y687" s="79"/>
      <c r="AC687" s="130"/>
      <c r="AE687" s="106"/>
    </row>
    <row r="688">
      <c r="C688" s="79"/>
      <c r="D688" s="79"/>
      <c r="E688" s="79"/>
      <c r="O688" s="79"/>
      <c r="S688" s="79"/>
      <c r="T688" s="79"/>
      <c r="Y688" s="79"/>
      <c r="AC688" s="130"/>
      <c r="AE688" s="106"/>
    </row>
    <row r="689">
      <c r="C689" s="79"/>
      <c r="D689" s="79"/>
      <c r="E689" s="79"/>
      <c r="O689" s="79"/>
      <c r="S689" s="79"/>
      <c r="T689" s="79"/>
      <c r="Y689" s="79"/>
      <c r="AC689" s="130"/>
      <c r="AE689" s="106"/>
    </row>
    <row r="690">
      <c r="C690" s="79"/>
      <c r="D690" s="79"/>
      <c r="E690" s="79"/>
      <c r="O690" s="79"/>
      <c r="S690" s="79"/>
      <c r="T690" s="79"/>
      <c r="Y690" s="79"/>
      <c r="AC690" s="130"/>
      <c r="AE690" s="106"/>
    </row>
    <row r="691">
      <c r="C691" s="79"/>
      <c r="D691" s="79"/>
      <c r="E691" s="79"/>
      <c r="O691" s="79"/>
      <c r="S691" s="79"/>
      <c r="T691" s="79"/>
      <c r="Y691" s="79"/>
      <c r="AC691" s="130"/>
      <c r="AE691" s="106"/>
    </row>
    <row r="692">
      <c r="C692" s="79"/>
      <c r="D692" s="79"/>
      <c r="E692" s="79"/>
      <c r="O692" s="79"/>
      <c r="S692" s="79"/>
      <c r="T692" s="79"/>
      <c r="Y692" s="79"/>
      <c r="AC692" s="130"/>
      <c r="AE692" s="106"/>
    </row>
    <row r="693">
      <c r="C693" s="79"/>
      <c r="D693" s="79"/>
      <c r="E693" s="79"/>
      <c r="O693" s="79"/>
      <c r="S693" s="79"/>
      <c r="T693" s="79"/>
      <c r="Y693" s="79"/>
      <c r="AC693" s="130"/>
      <c r="AE693" s="106"/>
    </row>
    <row r="694">
      <c r="C694" s="79"/>
      <c r="D694" s="79"/>
      <c r="E694" s="79"/>
      <c r="O694" s="79"/>
      <c r="S694" s="79"/>
      <c r="T694" s="79"/>
      <c r="Y694" s="79"/>
      <c r="AC694" s="130"/>
      <c r="AE694" s="106"/>
    </row>
    <row r="695">
      <c r="C695" s="79"/>
      <c r="D695" s="79"/>
      <c r="E695" s="79"/>
      <c r="O695" s="79"/>
      <c r="S695" s="79"/>
      <c r="T695" s="79"/>
      <c r="Y695" s="79"/>
      <c r="AC695" s="130"/>
      <c r="AE695" s="106"/>
    </row>
    <row r="696">
      <c r="C696" s="79"/>
      <c r="D696" s="79"/>
      <c r="E696" s="79"/>
      <c r="O696" s="79"/>
      <c r="S696" s="79"/>
      <c r="T696" s="79"/>
      <c r="Y696" s="79"/>
      <c r="AC696" s="130"/>
      <c r="AE696" s="106"/>
    </row>
    <row r="697">
      <c r="C697" s="79"/>
      <c r="D697" s="79"/>
      <c r="E697" s="79"/>
      <c r="O697" s="79"/>
      <c r="S697" s="79"/>
      <c r="T697" s="79"/>
      <c r="Y697" s="79"/>
      <c r="AC697" s="130"/>
      <c r="AE697" s="106"/>
    </row>
    <row r="698">
      <c r="C698" s="79"/>
      <c r="D698" s="79"/>
      <c r="E698" s="79"/>
      <c r="O698" s="79"/>
      <c r="S698" s="79"/>
      <c r="T698" s="79"/>
      <c r="Y698" s="79"/>
      <c r="AC698" s="130"/>
      <c r="AE698" s="106"/>
    </row>
    <row r="699">
      <c r="C699" s="79"/>
      <c r="D699" s="79"/>
      <c r="E699" s="79"/>
      <c r="O699" s="79"/>
      <c r="S699" s="79"/>
      <c r="T699" s="79"/>
      <c r="Y699" s="79"/>
      <c r="AC699" s="130"/>
      <c r="AE699" s="106"/>
    </row>
    <row r="700">
      <c r="C700" s="79"/>
      <c r="D700" s="79"/>
      <c r="E700" s="79"/>
      <c r="O700" s="79"/>
      <c r="S700" s="79"/>
      <c r="T700" s="79"/>
      <c r="Y700" s="79"/>
      <c r="AC700" s="130"/>
      <c r="AE700" s="106"/>
    </row>
    <row r="701">
      <c r="C701" s="79"/>
      <c r="D701" s="79"/>
      <c r="E701" s="79"/>
      <c r="O701" s="79"/>
      <c r="S701" s="79"/>
      <c r="T701" s="79"/>
      <c r="Y701" s="79"/>
      <c r="AC701" s="130"/>
      <c r="AE701" s="106"/>
    </row>
    <row r="702">
      <c r="C702" s="79"/>
      <c r="D702" s="79"/>
      <c r="E702" s="79"/>
      <c r="O702" s="79"/>
      <c r="S702" s="79"/>
      <c r="T702" s="79"/>
      <c r="Y702" s="79"/>
      <c r="AC702" s="130"/>
      <c r="AE702" s="106"/>
    </row>
    <row r="703">
      <c r="C703" s="79"/>
      <c r="D703" s="79"/>
      <c r="E703" s="79"/>
      <c r="O703" s="79"/>
      <c r="S703" s="79"/>
      <c r="T703" s="79"/>
      <c r="Y703" s="79"/>
      <c r="AC703" s="130"/>
      <c r="AE703" s="106"/>
    </row>
    <row r="704">
      <c r="C704" s="79"/>
      <c r="D704" s="79"/>
      <c r="E704" s="79"/>
      <c r="O704" s="79"/>
      <c r="S704" s="79"/>
      <c r="T704" s="79"/>
      <c r="Y704" s="79"/>
      <c r="AC704" s="130"/>
      <c r="AE704" s="106"/>
    </row>
    <row r="705">
      <c r="C705" s="79"/>
      <c r="D705" s="79"/>
      <c r="E705" s="79"/>
      <c r="O705" s="79"/>
      <c r="S705" s="79"/>
      <c r="T705" s="79"/>
      <c r="Y705" s="79"/>
      <c r="AC705" s="130"/>
      <c r="AE705" s="106"/>
    </row>
    <row r="706">
      <c r="C706" s="79"/>
      <c r="D706" s="79"/>
      <c r="E706" s="79"/>
      <c r="O706" s="79"/>
      <c r="S706" s="79"/>
      <c r="T706" s="79"/>
      <c r="Y706" s="79"/>
      <c r="AC706" s="130"/>
      <c r="AE706" s="106"/>
    </row>
    <row r="707">
      <c r="C707" s="79"/>
      <c r="D707" s="79"/>
      <c r="E707" s="79"/>
      <c r="O707" s="79"/>
      <c r="S707" s="79"/>
      <c r="T707" s="79"/>
      <c r="Y707" s="79"/>
      <c r="AC707" s="130"/>
      <c r="AE707" s="106"/>
    </row>
    <row r="708">
      <c r="C708" s="79"/>
      <c r="D708" s="79"/>
      <c r="E708" s="79"/>
      <c r="O708" s="79"/>
      <c r="S708" s="79"/>
      <c r="T708" s="79"/>
      <c r="Y708" s="79"/>
      <c r="AC708" s="130"/>
      <c r="AE708" s="106"/>
    </row>
    <row r="709">
      <c r="C709" s="79"/>
      <c r="D709" s="79"/>
      <c r="E709" s="79"/>
      <c r="O709" s="79"/>
      <c r="S709" s="79"/>
      <c r="T709" s="79"/>
      <c r="Y709" s="79"/>
      <c r="AC709" s="130"/>
      <c r="AE709" s="106"/>
    </row>
    <row r="710">
      <c r="C710" s="79"/>
      <c r="D710" s="79"/>
      <c r="E710" s="79"/>
      <c r="O710" s="79"/>
      <c r="S710" s="79"/>
      <c r="T710" s="79"/>
      <c r="Y710" s="79"/>
      <c r="AC710" s="130"/>
      <c r="AE710" s="106"/>
    </row>
    <row r="711">
      <c r="C711" s="79"/>
      <c r="D711" s="79"/>
      <c r="E711" s="79"/>
      <c r="O711" s="79"/>
      <c r="S711" s="79"/>
      <c r="T711" s="79"/>
      <c r="Y711" s="79"/>
      <c r="AC711" s="130"/>
      <c r="AE711" s="106"/>
    </row>
    <row r="712">
      <c r="C712" s="79"/>
      <c r="D712" s="79"/>
      <c r="E712" s="79"/>
      <c r="O712" s="79"/>
      <c r="S712" s="79"/>
      <c r="T712" s="79"/>
      <c r="Y712" s="79"/>
      <c r="AC712" s="130"/>
      <c r="AE712" s="106"/>
    </row>
    <row r="713">
      <c r="C713" s="79"/>
      <c r="D713" s="79"/>
      <c r="E713" s="79"/>
      <c r="O713" s="79"/>
      <c r="S713" s="79"/>
      <c r="T713" s="79"/>
      <c r="Y713" s="79"/>
      <c r="AC713" s="130"/>
      <c r="AE713" s="106"/>
    </row>
    <row r="714">
      <c r="C714" s="79"/>
      <c r="D714" s="79"/>
      <c r="E714" s="79"/>
      <c r="O714" s="79"/>
      <c r="S714" s="79"/>
      <c r="T714" s="79"/>
      <c r="Y714" s="79"/>
      <c r="AC714" s="130"/>
      <c r="AE714" s="106"/>
    </row>
    <row r="715">
      <c r="C715" s="79"/>
      <c r="D715" s="79"/>
      <c r="E715" s="79"/>
      <c r="O715" s="79"/>
      <c r="S715" s="79"/>
      <c r="T715" s="79"/>
      <c r="Y715" s="79"/>
      <c r="AC715" s="130"/>
      <c r="AE715" s="106"/>
    </row>
    <row r="716">
      <c r="C716" s="79"/>
      <c r="D716" s="79"/>
      <c r="E716" s="79"/>
      <c r="O716" s="79"/>
      <c r="S716" s="79"/>
      <c r="T716" s="79"/>
      <c r="Y716" s="79"/>
      <c r="AC716" s="130"/>
      <c r="AE716" s="106"/>
    </row>
    <row r="717">
      <c r="C717" s="79"/>
      <c r="D717" s="79"/>
      <c r="E717" s="79"/>
      <c r="O717" s="79"/>
      <c r="S717" s="79"/>
      <c r="T717" s="79"/>
      <c r="Y717" s="79"/>
      <c r="AC717" s="130"/>
      <c r="AE717" s="106"/>
    </row>
    <row r="718">
      <c r="C718" s="79"/>
      <c r="D718" s="79"/>
      <c r="E718" s="79"/>
      <c r="O718" s="79"/>
      <c r="S718" s="79"/>
      <c r="T718" s="79"/>
      <c r="Y718" s="79"/>
      <c r="AC718" s="130"/>
      <c r="AE718" s="106"/>
    </row>
    <row r="719">
      <c r="C719" s="79"/>
      <c r="D719" s="79"/>
      <c r="E719" s="79"/>
      <c r="O719" s="79"/>
      <c r="S719" s="79"/>
      <c r="T719" s="79"/>
      <c r="Y719" s="79"/>
      <c r="AC719" s="130"/>
      <c r="AE719" s="106"/>
    </row>
    <row r="720">
      <c r="C720" s="79"/>
      <c r="D720" s="79"/>
      <c r="E720" s="79"/>
      <c r="O720" s="79"/>
      <c r="S720" s="79"/>
      <c r="T720" s="79"/>
      <c r="Y720" s="79"/>
      <c r="AC720" s="130"/>
      <c r="AE720" s="106"/>
    </row>
    <row r="721">
      <c r="C721" s="79"/>
      <c r="D721" s="79"/>
      <c r="E721" s="79"/>
      <c r="O721" s="79"/>
      <c r="S721" s="79"/>
      <c r="T721" s="79"/>
      <c r="Y721" s="79"/>
      <c r="AC721" s="130"/>
      <c r="AE721" s="106"/>
    </row>
    <row r="722">
      <c r="C722" s="79"/>
      <c r="D722" s="79"/>
      <c r="E722" s="79"/>
      <c r="O722" s="79"/>
      <c r="S722" s="79"/>
      <c r="T722" s="79"/>
      <c r="Y722" s="79"/>
      <c r="AC722" s="130"/>
      <c r="AE722" s="106"/>
    </row>
    <row r="723">
      <c r="C723" s="79"/>
      <c r="D723" s="79"/>
      <c r="E723" s="79"/>
      <c r="O723" s="79"/>
      <c r="S723" s="79"/>
      <c r="T723" s="79"/>
      <c r="Y723" s="79"/>
      <c r="AC723" s="130"/>
      <c r="AE723" s="106"/>
    </row>
    <row r="724">
      <c r="C724" s="79"/>
      <c r="D724" s="79"/>
      <c r="E724" s="79"/>
      <c r="O724" s="79"/>
      <c r="S724" s="79"/>
      <c r="T724" s="79"/>
      <c r="Y724" s="79"/>
      <c r="AC724" s="130"/>
      <c r="AE724" s="106"/>
    </row>
    <row r="725">
      <c r="C725" s="79"/>
      <c r="D725" s="79"/>
      <c r="E725" s="79"/>
      <c r="O725" s="79"/>
      <c r="S725" s="79"/>
      <c r="T725" s="79"/>
      <c r="Y725" s="79"/>
      <c r="AC725" s="130"/>
      <c r="AE725" s="106"/>
    </row>
    <row r="726">
      <c r="C726" s="79"/>
      <c r="D726" s="79"/>
      <c r="E726" s="79"/>
      <c r="O726" s="79"/>
      <c r="S726" s="79"/>
      <c r="T726" s="79"/>
      <c r="Y726" s="79"/>
      <c r="AC726" s="130"/>
      <c r="AE726" s="106"/>
    </row>
    <row r="727">
      <c r="C727" s="79"/>
      <c r="D727" s="79"/>
      <c r="E727" s="79"/>
      <c r="O727" s="79"/>
      <c r="S727" s="79"/>
      <c r="T727" s="79"/>
      <c r="Y727" s="79"/>
      <c r="AC727" s="130"/>
      <c r="AE727" s="106"/>
    </row>
    <row r="728">
      <c r="C728" s="79"/>
      <c r="D728" s="79"/>
      <c r="E728" s="79"/>
      <c r="O728" s="79"/>
      <c r="S728" s="79"/>
      <c r="T728" s="79"/>
      <c r="Y728" s="79"/>
      <c r="AC728" s="130"/>
      <c r="AE728" s="106"/>
    </row>
    <row r="729">
      <c r="C729" s="79"/>
      <c r="D729" s="79"/>
      <c r="E729" s="79"/>
      <c r="O729" s="79"/>
      <c r="S729" s="79"/>
      <c r="T729" s="79"/>
      <c r="Y729" s="79"/>
      <c r="AC729" s="130"/>
      <c r="AE729" s="106"/>
    </row>
    <row r="730">
      <c r="C730" s="79"/>
      <c r="D730" s="79"/>
      <c r="E730" s="79"/>
      <c r="O730" s="79"/>
      <c r="S730" s="79"/>
      <c r="T730" s="79"/>
      <c r="Y730" s="79"/>
      <c r="AC730" s="130"/>
      <c r="AE730" s="106"/>
    </row>
    <row r="731">
      <c r="C731" s="79"/>
      <c r="D731" s="79"/>
      <c r="E731" s="79"/>
      <c r="O731" s="79"/>
      <c r="S731" s="79"/>
      <c r="T731" s="79"/>
      <c r="Y731" s="79"/>
      <c r="AC731" s="130"/>
      <c r="AE731" s="106"/>
    </row>
    <row r="732">
      <c r="C732" s="79"/>
      <c r="D732" s="79"/>
      <c r="E732" s="79"/>
      <c r="O732" s="79"/>
      <c r="S732" s="79"/>
      <c r="T732" s="79"/>
      <c r="Y732" s="79"/>
      <c r="AC732" s="130"/>
      <c r="AE732" s="106"/>
    </row>
    <row r="733">
      <c r="C733" s="79"/>
      <c r="D733" s="79"/>
      <c r="E733" s="79"/>
      <c r="O733" s="79"/>
      <c r="S733" s="79"/>
      <c r="T733" s="79"/>
      <c r="Y733" s="79"/>
      <c r="AC733" s="130"/>
      <c r="AE733" s="106"/>
    </row>
    <row r="734">
      <c r="C734" s="79"/>
      <c r="D734" s="79"/>
      <c r="E734" s="79"/>
      <c r="O734" s="79"/>
      <c r="S734" s="79"/>
      <c r="T734" s="79"/>
      <c r="Y734" s="79"/>
      <c r="AC734" s="130"/>
      <c r="AE734" s="106"/>
    </row>
    <row r="735">
      <c r="C735" s="79"/>
      <c r="D735" s="79"/>
      <c r="E735" s="79"/>
      <c r="O735" s="79"/>
      <c r="S735" s="79"/>
      <c r="T735" s="79"/>
      <c r="Y735" s="79"/>
      <c r="AC735" s="130"/>
      <c r="AE735" s="106"/>
    </row>
    <row r="736">
      <c r="C736" s="79"/>
      <c r="D736" s="79"/>
      <c r="E736" s="79"/>
      <c r="O736" s="79"/>
      <c r="S736" s="79"/>
      <c r="T736" s="79"/>
      <c r="Y736" s="79"/>
      <c r="AC736" s="130"/>
      <c r="AE736" s="106"/>
    </row>
    <row r="737">
      <c r="C737" s="79"/>
      <c r="D737" s="79"/>
      <c r="E737" s="79"/>
      <c r="O737" s="79"/>
      <c r="S737" s="79"/>
      <c r="T737" s="79"/>
      <c r="Y737" s="79"/>
      <c r="AC737" s="130"/>
      <c r="AE737" s="106"/>
    </row>
    <row r="738">
      <c r="C738" s="79"/>
      <c r="D738" s="79"/>
      <c r="E738" s="79"/>
      <c r="O738" s="79"/>
      <c r="S738" s="79"/>
      <c r="T738" s="79"/>
      <c r="Y738" s="79"/>
      <c r="AC738" s="130"/>
      <c r="AE738" s="106"/>
    </row>
    <row r="739">
      <c r="C739" s="79"/>
      <c r="D739" s="79"/>
      <c r="E739" s="79"/>
      <c r="O739" s="79"/>
      <c r="S739" s="79"/>
      <c r="T739" s="79"/>
      <c r="Y739" s="79"/>
      <c r="AC739" s="130"/>
      <c r="AE739" s="106"/>
    </row>
    <row r="740">
      <c r="C740" s="79"/>
      <c r="D740" s="79"/>
      <c r="E740" s="79"/>
      <c r="O740" s="79"/>
      <c r="S740" s="79"/>
      <c r="T740" s="79"/>
      <c r="Y740" s="79"/>
      <c r="AC740" s="130"/>
      <c r="AE740" s="106"/>
    </row>
    <row r="741">
      <c r="C741" s="79"/>
      <c r="D741" s="79"/>
      <c r="E741" s="79"/>
      <c r="O741" s="79"/>
      <c r="S741" s="79"/>
      <c r="T741" s="79"/>
      <c r="Y741" s="79"/>
      <c r="AC741" s="130"/>
      <c r="AE741" s="106"/>
    </row>
    <row r="742">
      <c r="C742" s="79"/>
      <c r="D742" s="79"/>
      <c r="E742" s="79"/>
      <c r="O742" s="79"/>
      <c r="S742" s="79"/>
      <c r="T742" s="79"/>
      <c r="Y742" s="79"/>
      <c r="AC742" s="130"/>
      <c r="AE742" s="106"/>
    </row>
    <row r="743">
      <c r="C743" s="79"/>
      <c r="D743" s="79"/>
      <c r="E743" s="79"/>
      <c r="O743" s="79"/>
      <c r="S743" s="79"/>
      <c r="T743" s="79"/>
      <c r="Y743" s="79"/>
      <c r="AC743" s="130"/>
      <c r="AE743" s="106"/>
    </row>
    <row r="744">
      <c r="C744" s="79"/>
      <c r="D744" s="79"/>
      <c r="E744" s="79"/>
      <c r="O744" s="79"/>
      <c r="S744" s="79"/>
      <c r="T744" s="79"/>
      <c r="Y744" s="79"/>
      <c r="AC744" s="130"/>
      <c r="AE744" s="106"/>
    </row>
    <row r="745">
      <c r="C745" s="79"/>
      <c r="D745" s="79"/>
      <c r="E745" s="79"/>
      <c r="O745" s="79"/>
      <c r="S745" s="79"/>
      <c r="T745" s="79"/>
      <c r="Y745" s="79"/>
      <c r="AC745" s="130"/>
      <c r="AE745" s="106"/>
    </row>
    <row r="746">
      <c r="C746" s="79"/>
      <c r="D746" s="79"/>
      <c r="E746" s="79"/>
      <c r="O746" s="79"/>
      <c r="S746" s="79"/>
      <c r="T746" s="79"/>
      <c r="Y746" s="79"/>
      <c r="AC746" s="130"/>
      <c r="AE746" s="106"/>
    </row>
    <row r="747">
      <c r="C747" s="79"/>
      <c r="D747" s="79"/>
      <c r="E747" s="79"/>
      <c r="O747" s="79"/>
      <c r="S747" s="79"/>
      <c r="T747" s="79"/>
      <c r="Y747" s="79"/>
      <c r="AC747" s="130"/>
      <c r="AE747" s="106"/>
    </row>
    <row r="748">
      <c r="C748" s="79"/>
      <c r="D748" s="79"/>
      <c r="E748" s="79"/>
      <c r="O748" s="79"/>
      <c r="S748" s="79"/>
      <c r="T748" s="79"/>
      <c r="Y748" s="79"/>
      <c r="AC748" s="130"/>
      <c r="AE748" s="106"/>
    </row>
    <row r="749">
      <c r="C749" s="79"/>
      <c r="D749" s="79"/>
      <c r="E749" s="79"/>
      <c r="O749" s="79"/>
      <c r="S749" s="79"/>
      <c r="T749" s="79"/>
      <c r="Y749" s="79"/>
      <c r="AC749" s="130"/>
      <c r="AE749" s="106"/>
    </row>
    <row r="750">
      <c r="C750" s="79"/>
      <c r="D750" s="79"/>
      <c r="E750" s="79"/>
      <c r="O750" s="79"/>
      <c r="S750" s="79"/>
      <c r="T750" s="79"/>
      <c r="Y750" s="79"/>
      <c r="AC750" s="130"/>
      <c r="AE750" s="106"/>
    </row>
    <row r="751">
      <c r="C751" s="79"/>
      <c r="D751" s="79"/>
      <c r="E751" s="79"/>
      <c r="O751" s="79"/>
      <c r="S751" s="79"/>
      <c r="T751" s="79"/>
      <c r="Y751" s="79"/>
      <c r="AC751" s="130"/>
      <c r="AE751" s="106"/>
    </row>
    <row r="752">
      <c r="C752" s="79"/>
      <c r="D752" s="79"/>
      <c r="E752" s="79"/>
      <c r="O752" s="79"/>
      <c r="S752" s="79"/>
      <c r="T752" s="79"/>
      <c r="Y752" s="79"/>
      <c r="AC752" s="130"/>
      <c r="AE752" s="106"/>
    </row>
    <row r="753">
      <c r="C753" s="79"/>
      <c r="D753" s="79"/>
      <c r="E753" s="79"/>
      <c r="O753" s="79"/>
      <c r="S753" s="79"/>
      <c r="T753" s="79"/>
      <c r="Y753" s="79"/>
      <c r="AC753" s="130"/>
      <c r="AE753" s="106"/>
    </row>
    <row r="754">
      <c r="C754" s="79"/>
      <c r="D754" s="79"/>
      <c r="E754" s="79"/>
      <c r="O754" s="79"/>
      <c r="S754" s="79"/>
      <c r="T754" s="79"/>
      <c r="Y754" s="79"/>
      <c r="AC754" s="130"/>
      <c r="AE754" s="106"/>
    </row>
    <row r="755">
      <c r="C755" s="79"/>
      <c r="D755" s="79"/>
      <c r="E755" s="79"/>
      <c r="O755" s="79"/>
      <c r="S755" s="79"/>
      <c r="T755" s="79"/>
      <c r="Y755" s="79"/>
      <c r="AC755" s="130"/>
      <c r="AE755" s="106"/>
    </row>
    <row r="756">
      <c r="C756" s="79"/>
      <c r="D756" s="79"/>
      <c r="E756" s="79"/>
      <c r="O756" s="79"/>
      <c r="S756" s="79"/>
      <c r="T756" s="79"/>
      <c r="Y756" s="79"/>
      <c r="AC756" s="130"/>
      <c r="AE756" s="106"/>
    </row>
    <row r="757">
      <c r="C757" s="79"/>
      <c r="D757" s="79"/>
      <c r="E757" s="79"/>
      <c r="O757" s="79"/>
      <c r="S757" s="79"/>
      <c r="T757" s="79"/>
      <c r="Y757" s="79"/>
      <c r="AC757" s="130"/>
      <c r="AE757" s="106"/>
    </row>
    <row r="758">
      <c r="C758" s="79"/>
      <c r="D758" s="79"/>
      <c r="E758" s="79"/>
      <c r="O758" s="79"/>
      <c r="S758" s="79"/>
      <c r="T758" s="79"/>
      <c r="Y758" s="79"/>
      <c r="AC758" s="130"/>
      <c r="AE758" s="106"/>
    </row>
    <row r="759">
      <c r="C759" s="79"/>
      <c r="D759" s="79"/>
      <c r="E759" s="79"/>
      <c r="O759" s="79"/>
      <c r="S759" s="79"/>
      <c r="T759" s="79"/>
      <c r="Y759" s="79"/>
      <c r="AC759" s="130"/>
      <c r="AE759" s="106"/>
    </row>
    <row r="760">
      <c r="C760" s="79"/>
      <c r="D760" s="79"/>
      <c r="E760" s="79"/>
      <c r="O760" s="79"/>
      <c r="S760" s="79"/>
      <c r="T760" s="79"/>
      <c r="Y760" s="79"/>
      <c r="AC760" s="130"/>
      <c r="AE760" s="106"/>
    </row>
    <row r="761">
      <c r="C761" s="79"/>
      <c r="D761" s="79"/>
      <c r="E761" s="79"/>
      <c r="O761" s="79"/>
      <c r="S761" s="79"/>
      <c r="T761" s="79"/>
      <c r="Y761" s="79"/>
      <c r="AC761" s="130"/>
      <c r="AE761" s="106"/>
    </row>
    <row r="762">
      <c r="C762" s="79"/>
      <c r="D762" s="79"/>
      <c r="E762" s="79"/>
      <c r="O762" s="79"/>
      <c r="S762" s="79"/>
      <c r="T762" s="79"/>
      <c r="Y762" s="79"/>
      <c r="AC762" s="130"/>
      <c r="AE762" s="106"/>
    </row>
    <row r="763">
      <c r="C763" s="79"/>
      <c r="D763" s="79"/>
      <c r="E763" s="79"/>
      <c r="O763" s="79"/>
      <c r="S763" s="79"/>
      <c r="T763" s="79"/>
      <c r="Y763" s="79"/>
      <c r="AC763" s="130"/>
      <c r="AE763" s="106"/>
    </row>
    <row r="764">
      <c r="C764" s="79"/>
      <c r="D764" s="79"/>
      <c r="E764" s="79"/>
      <c r="O764" s="79"/>
      <c r="S764" s="79"/>
      <c r="T764" s="79"/>
      <c r="Y764" s="79"/>
      <c r="AC764" s="130"/>
      <c r="AE764" s="106"/>
    </row>
    <row r="765">
      <c r="C765" s="79"/>
      <c r="D765" s="79"/>
      <c r="E765" s="79"/>
      <c r="O765" s="79"/>
      <c r="S765" s="79"/>
      <c r="T765" s="79"/>
      <c r="Y765" s="79"/>
      <c r="AC765" s="130"/>
      <c r="AE765" s="106"/>
    </row>
    <row r="766">
      <c r="C766" s="79"/>
      <c r="D766" s="79"/>
      <c r="E766" s="79"/>
      <c r="O766" s="79"/>
      <c r="S766" s="79"/>
      <c r="T766" s="79"/>
      <c r="Y766" s="79"/>
      <c r="AC766" s="130"/>
      <c r="AE766" s="106"/>
    </row>
    <row r="767">
      <c r="C767" s="79"/>
      <c r="D767" s="79"/>
      <c r="E767" s="79"/>
      <c r="O767" s="79"/>
      <c r="S767" s="79"/>
      <c r="T767" s="79"/>
      <c r="Y767" s="79"/>
      <c r="AC767" s="130"/>
      <c r="AE767" s="106"/>
    </row>
    <row r="768">
      <c r="C768" s="79"/>
      <c r="D768" s="79"/>
      <c r="E768" s="79"/>
      <c r="O768" s="79"/>
      <c r="S768" s="79"/>
      <c r="T768" s="79"/>
      <c r="Y768" s="79"/>
      <c r="AC768" s="130"/>
      <c r="AE768" s="106"/>
    </row>
    <row r="769">
      <c r="C769" s="79"/>
      <c r="D769" s="79"/>
      <c r="E769" s="79"/>
      <c r="O769" s="79"/>
      <c r="S769" s="79"/>
      <c r="T769" s="79"/>
      <c r="Y769" s="79"/>
      <c r="AC769" s="130"/>
      <c r="AE769" s="106"/>
    </row>
    <row r="770">
      <c r="C770" s="79"/>
      <c r="D770" s="79"/>
      <c r="E770" s="79"/>
      <c r="O770" s="79"/>
      <c r="S770" s="79"/>
      <c r="T770" s="79"/>
      <c r="Y770" s="79"/>
      <c r="AC770" s="130"/>
      <c r="AE770" s="106"/>
    </row>
    <row r="771">
      <c r="C771" s="79"/>
      <c r="D771" s="79"/>
      <c r="E771" s="79"/>
      <c r="O771" s="79"/>
      <c r="S771" s="79"/>
      <c r="T771" s="79"/>
      <c r="Y771" s="79"/>
      <c r="AC771" s="130"/>
      <c r="AE771" s="106"/>
    </row>
    <row r="772">
      <c r="C772" s="79"/>
      <c r="D772" s="79"/>
      <c r="E772" s="79"/>
      <c r="O772" s="79"/>
      <c r="S772" s="79"/>
      <c r="T772" s="79"/>
      <c r="Y772" s="79"/>
      <c r="AC772" s="130"/>
      <c r="AE772" s="106"/>
    </row>
    <row r="773">
      <c r="C773" s="79"/>
      <c r="D773" s="79"/>
      <c r="E773" s="79"/>
      <c r="O773" s="79"/>
      <c r="S773" s="79"/>
      <c r="T773" s="79"/>
      <c r="Y773" s="79"/>
      <c r="AC773" s="130"/>
      <c r="AE773" s="106"/>
    </row>
    <row r="774">
      <c r="C774" s="79"/>
      <c r="D774" s="79"/>
      <c r="E774" s="79"/>
      <c r="O774" s="79"/>
      <c r="S774" s="79"/>
      <c r="T774" s="79"/>
      <c r="Y774" s="79"/>
      <c r="AC774" s="130"/>
      <c r="AE774" s="106"/>
    </row>
    <row r="775">
      <c r="C775" s="79"/>
      <c r="D775" s="79"/>
      <c r="E775" s="79"/>
      <c r="O775" s="79"/>
      <c r="S775" s="79"/>
      <c r="T775" s="79"/>
      <c r="Y775" s="79"/>
      <c r="AC775" s="130"/>
      <c r="AE775" s="106"/>
    </row>
    <row r="776">
      <c r="C776" s="79"/>
      <c r="D776" s="79"/>
      <c r="E776" s="79"/>
      <c r="O776" s="79"/>
      <c r="S776" s="79"/>
      <c r="T776" s="79"/>
      <c r="Y776" s="79"/>
      <c r="AC776" s="130"/>
      <c r="AE776" s="106"/>
    </row>
    <row r="777">
      <c r="C777" s="79"/>
      <c r="D777" s="79"/>
      <c r="E777" s="79"/>
      <c r="O777" s="79"/>
      <c r="S777" s="79"/>
      <c r="T777" s="79"/>
      <c r="Y777" s="79"/>
      <c r="AC777" s="130"/>
      <c r="AE777" s="106"/>
    </row>
    <row r="778">
      <c r="C778" s="79"/>
      <c r="D778" s="79"/>
      <c r="E778" s="79"/>
      <c r="O778" s="79"/>
      <c r="S778" s="79"/>
      <c r="T778" s="79"/>
      <c r="Y778" s="79"/>
      <c r="AC778" s="130"/>
      <c r="AE778" s="106"/>
    </row>
    <row r="779">
      <c r="C779" s="79"/>
      <c r="D779" s="79"/>
      <c r="E779" s="79"/>
      <c r="O779" s="79"/>
      <c r="S779" s="79"/>
      <c r="T779" s="79"/>
      <c r="Y779" s="79"/>
      <c r="AC779" s="130"/>
      <c r="AE779" s="106"/>
    </row>
    <row r="780">
      <c r="C780" s="79"/>
      <c r="D780" s="79"/>
      <c r="E780" s="79"/>
      <c r="O780" s="79"/>
      <c r="S780" s="79"/>
      <c r="T780" s="79"/>
      <c r="Y780" s="79"/>
      <c r="AC780" s="130"/>
      <c r="AE780" s="106"/>
    </row>
    <row r="781">
      <c r="C781" s="79"/>
      <c r="D781" s="79"/>
      <c r="E781" s="79"/>
      <c r="O781" s="79"/>
      <c r="S781" s="79"/>
      <c r="T781" s="79"/>
      <c r="Y781" s="79"/>
      <c r="AC781" s="130"/>
      <c r="AE781" s="106"/>
    </row>
    <row r="782">
      <c r="C782" s="79"/>
      <c r="D782" s="79"/>
      <c r="E782" s="79"/>
      <c r="O782" s="79"/>
      <c r="S782" s="79"/>
      <c r="T782" s="79"/>
      <c r="Y782" s="79"/>
      <c r="AC782" s="130"/>
      <c r="AE782" s="106"/>
    </row>
    <row r="783">
      <c r="C783" s="79"/>
      <c r="D783" s="79"/>
      <c r="E783" s="79"/>
      <c r="O783" s="79"/>
      <c r="S783" s="79"/>
      <c r="T783" s="79"/>
      <c r="Y783" s="79"/>
      <c r="AC783" s="130"/>
      <c r="AE783" s="106"/>
    </row>
    <row r="784">
      <c r="C784" s="79"/>
      <c r="D784" s="79"/>
      <c r="E784" s="79"/>
      <c r="O784" s="79"/>
      <c r="S784" s="79"/>
      <c r="T784" s="79"/>
      <c r="Y784" s="79"/>
      <c r="AC784" s="130"/>
      <c r="AE784" s="106"/>
    </row>
    <row r="785">
      <c r="C785" s="79"/>
      <c r="D785" s="79"/>
      <c r="E785" s="79"/>
      <c r="O785" s="79"/>
      <c r="S785" s="79"/>
      <c r="T785" s="79"/>
      <c r="Y785" s="79"/>
      <c r="AC785" s="130"/>
      <c r="AE785" s="106"/>
    </row>
    <row r="786">
      <c r="C786" s="79"/>
      <c r="D786" s="79"/>
      <c r="E786" s="79"/>
      <c r="O786" s="79"/>
      <c r="S786" s="79"/>
      <c r="T786" s="79"/>
      <c r="Y786" s="79"/>
      <c r="AC786" s="130"/>
      <c r="AE786" s="106"/>
    </row>
    <row r="787">
      <c r="C787" s="79"/>
      <c r="D787" s="79"/>
      <c r="E787" s="79"/>
      <c r="O787" s="79"/>
      <c r="S787" s="79"/>
      <c r="T787" s="79"/>
      <c r="Y787" s="79"/>
      <c r="AC787" s="130"/>
      <c r="AE787" s="106"/>
    </row>
    <row r="788">
      <c r="C788" s="79"/>
      <c r="D788" s="79"/>
      <c r="E788" s="79"/>
      <c r="O788" s="79"/>
      <c r="S788" s="79"/>
      <c r="T788" s="79"/>
      <c r="Y788" s="79"/>
      <c r="AC788" s="130"/>
      <c r="AE788" s="106"/>
    </row>
    <row r="789">
      <c r="C789" s="79"/>
      <c r="D789" s="79"/>
      <c r="E789" s="79"/>
      <c r="O789" s="79"/>
      <c r="S789" s="79"/>
      <c r="T789" s="79"/>
      <c r="Y789" s="79"/>
      <c r="AC789" s="130"/>
      <c r="AE789" s="106"/>
    </row>
    <row r="790">
      <c r="C790" s="79"/>
      <c r="D790" s="79"/>
      <c r="E790" s="79"/>
      <c r="O790" s="79"/>
      <c r="S790" s="79"/>
      <c r="T790" s="79"/>
      <c r="Y790" s="79"/>
      <c r="AC790" s="130"/>
      <c r="AE790" s="106"/>
    </row>
    <row r="791">
      <c r="C791" s="79"/>
      <c r="D791" s="79"/>
      <c r="E791" s="79"/>
      <c r="O791" s="79"/>
      <c r="S791" s="79"/>
      <c r="T791" s="79"/>
      <c r="Y791" s="79"/>
      <c r="AC791" s="130"/>
      <c r="AE791" s="106"/>
    </row>
    <row r="792">
      <c r="C792" s="79"/>
      <c r="D792" s="79"/>
      <c r="E792" s="79"/>
      <c r="O792" s="79"/>
      <c r="S792" s="79"/>
      <c r="T792" s="79"/>
      <c r="Y792" s="79"/>
      <c r="AC792" s="130"/>
      <c r="AE792" s="106"/>
    </row>
    <row r="793">
      <c r="C793" s="79"/>
      <c r="D793" s="79"/>
      <c r="E793" s="79"/>
      <c r="O793" s="79"/>
      <c r="S793" s="79"/>
      <c r="T793" s="79"/>
      <c r="Y793" s="79"/>
      <c r="AC793" s="130"/>
      <c r="AE793" s="106"/>
    </row>
    <row r="794">
      <c r="C794" s="79"/>
      <c r="D794" s="79"/>
      <c r="E794" s="79"/>
      <c r="O794" s="79"/>
      <c r="S794" s="79"/>
      <c r="T794" s="79"/>
      <c r="Y794" s="79"/>
      <c r="AC794" s="130"/>
      <c r="AE794" s="106"/>
    </row>
    <row r="795">
      <c r="C795" s="79"/>
      <c r="D795" s="79"/>
      <c r="E795" s="79"/>
      <c r="O795" s="79"/>
      <c r="S795" s="79"/>
      <c r="T795" s="79"/>
      <c r="Y795" s="79"/>
      <c r="AC795" s="130"/>
      <c r="AE795" s="106"/>
    </row>
    <row r="796">
      <c r="C796" s="79"/>
      <c r="D796" s="79"/>
      <c r="E796" s="79"/>
      <c r="O796" s="79"/>
      <c r="S796" s="79"/>
      <c r="T796" s="79"/>
      <c r="Y796" s="79"/>
      <c r="AC796" s="130"/>
      <c r="AE796" s="106"/>
    </row>
    <row r="797">
      <c r="C797" s="79"/>
      <c r="D797" s="79"/>
      <c r="E797" s="79"/>
      <c r="O797" s="79"/>
      <c r="S797" s="79"/>
      <c r="T797" s="79"/>
      <c r="Y797" s="79"/>
      <c r="AC797" s="130"/>
      <c r="AE797" s="106"/>
    </row>
    <row r="798">
      <c r="C798" s="79"/>
      <c r="D798" s="79"/>
      <c r="E798" s="79"/>
      <c r="O798" s="79"/>
      <c r="S798" s="79"/>
      <c r="T798" s="79"/>
      <c r="Y798" s="79"/>
      <c r="AC798" s="130"/>
      <c r="AE798" s="106"/>
    </row>
    <row r="799">
      <c r="C799" s="79"/>
      <c r="D799" s="79"/>
      <c r="E799" s="79"/>
      <c r="O799" s="79"/>
      <c r="S799" s="79"/>
      <c r="T799" s="79"/>
      <c r="Y799" s="79"/>
      <c r="AC799" s="130"/>
      <c r="AE799" s="106"/>
    </row>
    <row r="800">
      <c r="C800" s="79"/>
      <c r="D800" s="79"/>
      <c r="E800" s="79"/>
      <c r="O800" s="79"/>
      <c r="S800" s="79"/>
      <c r="T800" s="79"/>
      <c r="Y800" s="79"/>
      <c r="AC800" s="130"/>
      <c r="AE800" s="106"/>
    </row>
    <row r="801">
      <c r="C801" s="79"/>
      <c r="D801" s="79"/>
      <c r="E801" s="79"/>
      <c r="O801" s="79"/>
      <c r="S801" s="79"/>
      <c r="T801" s="79"/>
      <c r="Y801" s="79"/>
      <c r="AC801" s="130"/>
      <c r="AE801" s="106"/>
    </row>
    <row r="802">
      <c r="C802" s="79"/>
      <c r="D802" s="79"/>
      <c r="E802" s="79"/>
      <c r="O802" s="79"/>
      <c r="S802" s="79"/>
      <c r="T802" s="79"/>
      <c r="Y802" s="79"/>
      <c r="AC802" s="130"/>
      <c r="AE802" s="106"/>
    </row>
    <row r="803">
      <c r="C803" s="79"/>
      <c r="D803" s="79"/>
      <c r="E803" s="79"/>
      <c r="O803" s="79"/>
      <c r="S803" s="79"/>
      <c r="T803" s="79"/>
      <c r="Y803" s="79"/>
      <c r="AC803" s="130"/>
      <c r="AE803" s="106"/>
    </row>
    <row r="804">
      <c r="C804" s="79"/>
      <c r="D804" s="79"/>
      <c r="E804" s="79"/>
      <c r="O804" s="79"/>
      <c r="S804" s="79"/>
      <c r="T804" s="79"/>
      <c r="Y804" s="79"/>
      <c r="AC804" s="130"/>
      <c r="AE804" s="106"/>
    </row>
    <row r="805">
      <c r="C805" s="79"/>
      <c r="D805" s="79"/>
      <c r="E805" s="79"/>
      <c r="O805" s="79"/>
      <c r="S805" s="79"/>
      <c r="T805" s="79"/>
      <c r="Y805" s="79"/>
      <c r="AC805" s="130"/>
      <c r="AE805" s="106"/>
    </row>
    <row r="806">
      <c r="C806" s="79"/>
      <c r="D806" s="79"/>
      <c r="E806" s="79"/>
      <c r="O806" s="79"/>
      <c r="S806" s="79"/>
      <c r="T806" s="79"/>
      <c r="Y806" s="79"/>
      <c r="AC806" s="130"/>
      <c r="AE806" s="106"/>
    </row>
    <row r="807">
      <c r="C807" s="79"/>
      <c r="D807" s="79"/>
      <c r="E807" s="79"/>
      <c r="O807" s="79"/>
      <c r="S807" s="79"/>
      <c r="T807" s="79"/>
      <c r="Y807" s="79"/>
      <c r="AC807" s="130"/>
      <c r="AE807" s="106"/>
    </row>
    <row r="808">
      <c r="C808" s="79"/>
      <c r="D808" s="79"/>
      <c r="E808" s="79"/>
      <c r="O808" s="79"/>
      <c r="S808" s="79"/>
      <c r="T808" s="79"/>
      <c r="Y808" s="79"/>
      <c r="AC808" s="130"/>
      <c r="AE808" s="106"/>
    </row>
    <row r="809">
      <c r="C809" s="79"/>
      <c r="D809" s="79"/>
      <c r="E809" s="79"/>
      <c r="O809" s="79"/>
      <c r="S809" s="79"/>
      <c r="T809" s="79"/>
      <c r="Y809" s="79"/>
      <c r="AC809" s="130"/>
      <c r="AE809" s="106"/>
    </row>
    <row r="810">
      <c r="C810" s="79"/>
      <c r="D810" s="79"/>
      <c r="E810" s="79"/>
      <c r="O810" s="79"/>
      <c r="S810" s="79"/>
      <c r="T810" s="79"/>
      <c r="Y810" s="79"/>
      <c r="AC810" s="130"/>
      <c r="AE810" s="106"/>
    </row>
    <row r="811">
      <c r="C811" s="79"/>
      <c r="D811" s="79"/>
      <c r="E811" s="79"/>
      <c r="O811" s="79"/>
      <c r="S811" s="79"/>
      <c r="T811" s="79"/>
      <c r="Y811" s="79"/>
      <c r="AC811" s="130"/>
      <c r="AE811" s="106"/>
    </row>
    <row r="812">
      <c r="C812" s="79"/>
      <c r="D812" s="79"/>
      <c r="E812" s="79"/>
      <c r="O812" s="79"/>
      <c r="S812" s="79"/>
      <c r="T812" s="79"/>
      <c r="Y812" s="79"/>
      <c r="AC812" s="130"/>
      <c r="AE812" s="106"/>
    </row>
    <row r="813">
      <c r="C813" s="79"/>
      <c r="D813" s="79"/>
      <c r="E813" s="79"/>
      <c r="O813" s="79"/>
      <c r="S813" s="79"/>
      <c r="T813" s="79"/>
      <c r="Y813" s="79"/>
      <c r="AC813" s="130"/>
      <c r="AE813" s="106"/>
    </row>
    <row r="814">
      <c r="C814" s="79"/>
      <c r="D814" s="79"/>
      <c r="E814" s="79"/>
      <c r="O814" s="79"/>
      <c r="S814" s="79"/>
      <c r="T814" s="79"/>
      <c r="Y814" s="79"/>
      <c r="AC814" s="130"/>
      <c r="AE814" s="106"/>
    </row>
    <row r="815">
      <c r="C815" s="79"/>
      <c r="D815" s="79"/>
      <c r="E815" s="79"/>
      <c r="O815" s="79"/>
      <c r="S815" s="79"/>
      <c r="T815" s="79"/>
      <c r="Y815" s="79"/>
      <c r="AC815" s="130"/>
      <c r="AE815" s="106"/>
    </row>
    <row r="816">
      <c r="C816" s="79"/>
      <c r="D816" s="79"/>
      <c r="E816" s="79"/>
      <c r="O816" s="79"/>
      <c r="S816" s="79"/>
      <c r="T816" s="79"/>
      <c r="Y816" s="79"/>
      <c r="AC816" s="130"/>
      <c r="AE816" s="106"/>
    </row>
    <row r="817">
      <c r="C817" s="79"/>
      <c r="D817" s="79"/>
      <c r="E817" s="79"/>
      <c r="O817" s="79"/>
      <c r="S817" s="79"/>
      <c r="T817" s="79"/>
      <c r="Y817" s="79"/>
      <c r="AC817" s="130"/>
      <c r="AE817" s="106"/>
    </row>
    <row r="818">
      <c r="C818" s="79"/>
      <c r="D818" s="79"/>
      <c r="E818" s="79"/>
      <c r="O818" s="79"/>
      <c r="S818" s="79"/>
      <c r="T818" s="79"/>
      <c r="Y818" s="79"/>
      <c r="AC818" s="130"/>
      <c r="AE818" s="106"/>
    </row>
    <row r="819">
      <c r="C819" s="79"/>
      <c r="D819" s="79"/>
      <c r="E819" s="79"/>
      <c r="O819" s="79"/>
      <c r="S819" s="79"/>
      <c r="T819" s="79"/>
      <c r="Y819" s="79"/>
      <c r="AC819" s="130"/>
      <c r="AE819" s="106"/>
    </row>
    <row r="820">
      <c r="C820" s="79"/>
      <c r="D820" s="79"/>
      <c r="E820" s="79"/>
      <c r="O820" s="79"/>
      <c r="S820" s="79"/>
      <c r="T820" s="79"/>
      <c r="Y820" s="79"/>
      <c r="AC820" s="130"/>
      <c r="AE820" s="106"/>
    </row>
    <row r="821">
      <c r="C821" s="79"/>
      <c r="D821" s="79"/>
      <c r="E821" s="79"/>
      <c r="O821" s="79"/>
      <c r="S821" s="79"/>
      <c r="T821" s="79"/>
      <c r="Y821" s="79"/>
      <c r="AC821" s="130"/>
      <c r="AE821" s="106"/>
    </row>
    <row r="822">
      <c r="C822" s="79"/>
      <c r="D822" s="79"/>
      <c r="E822" s="79"/>
      <c r="O822" s="79"/>
      <c r="S822" s="79"/>
      <c r="T822" s="79"/>
      <c r="Y822" s="79"/>
      <c r="AC822" s="130"/>
      <c r="AE822" s="106"/>
    </row>
    <row r="823">
      <c r="C823" s="79"/>
      <c r="D823" s="79"/>
      <c r="E823" s="79"/>
      <c r="O823" s="79"/>
      <c r="S823" s="79"/>
      <c r="T823" s="79"/>
      <c r="Y823" s="79"/>
      <c r="AC823" s="130"/>
      <c r="AE823" s="106"/>
    </row>
    <row r="824">
      <c r="C824" s="79"/>
      <c r="D824" s="79"/>
      <c r="E824" s="79"/>
      <c r="O824" s="79"/>
      <c r="S824" s="79"/>
      <c r="T824" s="79"/>
      <c r="Y824" s="79"/>
      <c r="AC824" s="130"/>
      <c r="AE824" s="106"/>
    </row>
    <row r="825">
      <c r="C825" s="79"/>
      <c r="D825" s="79"/>
      <c r="E825" s="79"/>
      <c r="O825" s="79"/>
      <c r="S825" s="79"/>
      <c r="T825" s="79"/>
      <c r="Y825" s="79"/>
      <c r="AC825" s="130"/>
      <c r="AE825" s="106"/>
    </row>
    <row r="826">
      <c r="C826" s="79"/>
      <c r="D826" s="79"/>
      <c r="E826" s="79"/>
      <c r="O826" s="79"/>
      <c r="S826" s="79"/>
      <c r="T826" s="79"/>
      <c r="Y826" s="79"/>
      <c r="AC826" s="130"/>
      <c r="AE826" s="106"/>
    </row>
    <row r="827">
      <c r="C827" s="79"/>
      <c r="D827" s="79"/>
      <c r="E827" s="79"/>
      <c r="O827" s="79"/>
      <c r="S827" s="79"/>
      <c r="T827" s="79"/>
      <c r="Y827" s="79"/>
      <c r="AC827" s="130"/>
      <c r="AE827" s="106"/>
    </row>
    <row r="828">
      <c r="C828" s="79"/>
      <c r="D828" s="79"/>
      <c r="E828" s="79"/>
      <c r="O828" s="79"/>
      <c r="S828" s="79"/>
      <c r="T828" s="79"/>
      <c r="Y828" s="79"/>
      <c r="AC828" s="130"/>
      <c r="AE828" s="106"/>
    </row>
    <row r="829">
      <c r="C829" s="79"/>
      <c r="D829" s="79"/>
      <c r="E829" s="79"/>
      <c r="O829" s="79"/>
      <c r="S829" s="79"/>
      <c r="T829" s="79"/>
      <c r="Y829" s="79"/>
      <c r="AC829" s="130"/>
      <c r="AE829" s="106"/>
    </row>
    <row r="830">
      <c r="C830" s="79"/>
      <c r="D830" s="79"/>
      <c r="E830" s="79"/>
      <c r="O830" s="79"/>
      <c r="S830" s="79"/>
      <c r="T830" s="79"/>
      <c r="Y830" s="79"/>
      <c r="AC830" s="130"/>
      <c r="AE830" s="106"/>
    </row>
    <row r="831">
      <c r="C831" s="79"/>
      <c r="D831" s="79"/>
      <c r="E831" s="79"/>
      <c r="O831" s="79"/>
      <c r="S831" s="79"/>
      <c r="T831" s="79"/>
      <c r="Y831" s="79"/>
      <c r="AC831" s="130"/>
      <c r="AE831" s="106"/>
    </row>
    <row r="832">
      <c r="C832" s="79"/>
      <c r="D832" s="79"/>
      <c r="E832" s="79"/>
      <c r="O832" s="79"/>
      <c r="S832" s="79"/>
      <c r="T832" s="79"/>
      <c r="Y832" s="79"/>
      <c r="AC832" s="130"/>
      <c r="AE832" s="106"/>
    </row>
    <row r="833">
      <c r="C833" s="79"/>
      <c r="D833" s="79"/>
      <c r="E833" s="79"/>
      <c r="O833" s="79"/>
      <c r="S833" s="79"/>
      <c r="T833" s="79"/>
      <c r="Y833" s="79"/>
      <c r="AC833" s="130"/>
      <c r="AE833" s="106"/>
    </row>
    <row r="834">
      <c r="C834" s="79"/>
      <c r="D834" s="79"/>
      <c r="E834" s="79"/>
      <c r="O834" s="79"/>
      <c r="S834" s="79"/>
      <c r="T834" s="79"/>
      <c r="Y834" s="79"/>
      <c r="AC834" s="130"/>
      <c r="AE834" s="106"/>
    </row>
    <row r="835">
      <c r="C835" s="79"/>
      <c r="D835" s="79"/>
      <c r="E835" s="79"/>
      <c r="O835" s="79"/>
      <c r="S835" s="79"/>
      <c r="T835" s="79"/>
      <c r="Y835" s="79"/>
      <c r="AC835" s="130"/>
      <c r="AE835" s="106"/>
    </row>
    <row r="836">
      <c r="C836" s="79"/>
      <c r="D836" s="79"/>
      <c r="E836" s="79"/>
      <c r="O836" s="79"/>
      <c r="S836" s="79"/>
      <c r="T836" s="79"/>
      <c r="Y836" s="79"/>
      <c r="AC836" s="130"/>
      <c r="AE836" s="106"/>
    </row>
    <row r="837">
      <c r="C837" s="79"/>
      <c r="D837" s="79"/>
      <c r="E837" s="79"/>
      <c r="O837" s="79"/>
      <c r="S837" s="79"/>
      <c r="T837" s="79"/>
      <c r="Y837" s="79"/>
      <c r="AC837" s="130"/>
      <c r="AE837" s="106"/>
    </row>
    <row r="838">
      <c r="C838" s="79"/>
      <c r="D838" s="79"/>
      <c r="E838" s="79"/>
      <c r="O838" s="79"/>
      <c r="S838" s="79"/>
      <c r="T838" s="79"/>
      <c r="Y838" s="79"/>
      <c r="AC838" s="130"/>
      <c r="AE838" s="106"/>
    </row>
    <row r="839">
      <c r="C839" s="79"/>
      <c r="D839" s="79"/>
      <c r="E839" s="79"/>
      <c r="O839" s="79"/>
      <c r="S839" s="79"/>
      <c r="T839" s="79"/>
      <c r="Y839" s="79"/>
      <c r="AC839" s="130"/>
      <c r="AE839" s="106"/>
    </row>
    <row r="840">
      <c r="C840" s="79"/>
      <c r="D840" s="79"/>
      <c r="E840" s="79"/>
      <c r="O840" s="79"/>
      <c r="S840" s="79"/>
      <c r="T840" s="79"/>
      <c r="Y840" s="79"/>
      <c r="AC840" s="130"/>
      <c r="AE840" s="106"/>
    </row>
    <row r="841">
      <c r="C841" s="79"/>
      <c r="D841" s="79"/>
      <c r="E841" s="79"/>
      <c r="O841" s="79"/>
      <c r="S841" s="79"/>
      <c r="T841" s="79"/>
      <c r="Y841" s="79"/>
      <c r="AC841" s="130"/>
      <c r="AE841" s="106"/>
    </row>
    <row r="842">
      <c r="C842" s="79"/>
      <c r="D842" s="79"/>
      <c r="E842" s="79"/>
      <c r="O842" s="79"/>
      <c r="S842" s="79"/>
      <c r="T842" s="79"/>
      <c r="Y842" s="79"/>
      <c r="AC842" s="130"/>
      <c r="AE842" s="106"/>
    </row>
    <row r="843">
      <c r="C843" s="79"/>
      <c r="D843" s="79"/>
      <c r="E843" s="79"/>
      <c r="O843" s="79"/>
      <c r="S843" s="79"/>
      <c r="T843" s="79"/>
      <c r="Y843" s="79"/>
      <c r="AC843" s="130"/>
      <c r="AE843" s="106"/>
    </row>
    <row r="844">
      <c r="C844" s="79"/>
      <c r="D844" s="79"/>
      <c r="E844" s="79"/>
      <c r="O844" s="79"/>
      <c r="S844" s="79"/>
      <c r="T844" s="79"/>
      <c r="Y844" s="79"/>
      <c r="AC844" s="130"/>
      <c r="AE844" s="106"/>
    </row>
    <row r="845">
      <c r="C845" s="79"/>
      <c r="D845" s="79"/>
      <c r="E845" s="79"/>
      <c r="O845" s="79"/>
      <c r="S845" s="79"/>
      <c r="T845" s="79"/>
      <c r="Y845" s="79"/>
      <c r="AC845" s="130"/>
      <c r="AE845" s="106"/>
    </row>
    <row r="846">
      <c r="C846" s="79"/>
      <c r="D846" s="79"/>
      <c r="E846" s="79"/>
      <c r="O846" s="79"/>
      <c r="S846" s="79"/>
      <c r="T846" s="79"/>
      <c r="Y846" s="79"/>
      <c r="AC846" s="130"/>
      <c r="AE846" s="106"/>
    </row>
    <row r="847">
      <c r="C847" s="79"/>
      <c r="D847" s="79"/>
      <c r="E847" s="79"/>
      <c r="O847" s="79"/>
      <c r="S847" s="79"/>
      <c r="T847" s="79"/>
      <c r="Y847" s="79"/>
      <c r="AC847" s="130"/>
      <c r="AE847" s="106"/>
    </row>
    <row r="848">
      <c r="C848" s="79"/>
      <c r="D848" s="79"/>
      <c r="E848" s="79"/>
      <c r="O848" s="79"/>
      <c r="S848" s="79"/>
      <c r="T848" s="79"/>
      <c r="Y848" s="79"/>
      <c r="AC848" s="130"/>
      <c r="AE848" s="106"/>
    </row>
    <row r="849">
      <c r="C849" s="79"/>
      <c r="D849" s="79"/>
      <c r="E849" s="79"/>
      <c r="O849" s="79"/>
      <c r="S849" s="79"/>
      <c r="T849" s="79"/>
      <c r="Y849" s="79"/>
      <c r="AC849" s="130"/>
      <c r="AE849" s="106"/>
    </row>
    <row r="850">
      <c r="C850" s="79"/>
      <c r="D850" s="79"/>
      <c r="E850" s="79"/>
      <c r="O850" s="79"/>
      <c r="S850" s="79"/>
      <c r="T850" s="79"/>
      <c r="Y850" s="79"/>
      <c r="AC850" s="130"/>
      <c r="AE850" s="106"/>
    </row>
    <row r="851">
      <c r="C851" s="79"/>
      <c r="D851" s="79"/>
      <c r="E851" s="79"/>
      <c r="O851" s="79"/>
      <c r="S851" s="79"/>
      <c r="T851" s="79"/>
      <c r="Y851" s="79"/>
      <c r="AC851" s="130"/>
      <c r="AE851" s="106"/>
    </row>
    <row r="852">
      <c r="C852" s="79"/>
      <c r="D852" s="79"/>
      <c r="E852" s="79"/>
      <c r="O852" s="79"/>
      <c r="S852" s="79"/>
      <c r="T852" s="79"/>
      <c r="Y852" s="79"/>
      <c r="AC852" s="130"/>
      <c r="AE852" s="106"/>
    </row>
    <row r="853">
      <c r="C853" s="79"/>
      <c r="D853" s="79"/>
      <c r="E853" s="79"/>
      <c r="O853" s="79"/>
      <c r="S853" s="79"/>
      <c r="T853" s="79"/>
      <c r="Y853" s="79"/>
      <c r="AC853" s="130"/>
      <c r="AE853" s="106"/>
    </row>
    <row r="854">
      <c r="C854" s="79"/>
      <c r="D854" s="79"/>
      <c r="E854" s="79"/>
      <c r="O854" s="79"/>
      <c r="S854" s="79"/>
      <c r="T854" s="79"/>
      <c r="Y854" s="79"/>
      <c r="AC854" s="130"/>
      <c r="AE854" s="106"/>
    </row>
    <row r="855">
      <c r="C855" s="79"/>
      <c r="D855" s="79"/>
      <c r="E855" s="79"/>
      <c r="O855" s="79"/>
      <c r="S855" s="79"/>
      <c r="T855" s="79"/>
      <c r="Y855" s="79"/>
      <c r="AC855" s="130"/>
      <c r="AE855" s="106"/>
    </row>
    <row r="856">
      <c r="C856" s="79"/>
      <c r="D856" s="79"/>
      <c r="E856" s="79"/>
      <c r="O856" s="79"/>
      <c r="S856" s="79"/>
      <c r="T856" s="79"/>
      <c r="Y856" s="79"/>
      <c r="AC856" s="130"/>
      <c r="AE856" s="106"/>
    </row>
    <row r="857">
      <c r="C857" s="79"/>
      <c r="D857" s="79"/>
      <c r="E857" s="79"/>
      <c r="O857" s="79"/>
      <c r="S857" s="79"/>
      <c r="T857" s="79"/>
      <c r="Y857" s="79"/>
      <c r="AC857" s="130"/>
      <c r="AE857" s="106"/>
    </row>
    <row r="858">
      <c r="C858" s="79"/>
      <c r="D858" s="79"/>
      <c r="E858" s="79"/>
      <c r="O858" s="79"/>
      <c r="S858" s="79"/>
      <c r="T858" s="79"/>
      <c r="Y858" s="79"/>
      <c r="AC858" s="130"/>
      <c r="AE858" s="106"/>
    </row>
    <row r="859">
      <c r="C859" s="79"/>
      <c r="D859" s="79"/>
      <c r="E859" s="79"/>
      <c r="O859" s="79"/>
      <c r="S859" s="79"/>
      <c r="T859" s="79"/>
      <c r="Y859" s="79"/>
      <c r="AC859" s="130"/>
      <c r="AE859" s="106"/>
    </row>
    <row r="860">
      <c r="C860" s="79"/>
      <c r="D860" s="79"/>
      <c r="E860" s="79"/>
      <c r="O860" s="79"/>
      <c r="S860" s="79"/>
      <c r="T860" s="79"/>
      <c r="Y860" s="79"/>
      <c r="AC860" s="130"/>
      <c r="AE860" s="106"/>
    </row>
    <row r="861">
      <c r="C861" s="79"/>
      <c r="D861" s="79"/>
      <c r="E861" s="79"/>
      <c r="O861" s="79"/>
      <c r="S861" s="79"/>
      <c r="T861" s="79"/>
      <c r="Y861" s="79"/>
      <c r="AC861" s="130"/>
      <c r="AE861" s="106"/>
    </row>
    <row r="862">
      <c r="C862" s="79"/>
      <c r="D862" s="79"/>
      <c r="E862" s="79"/>
      <c r="O862" s="79"/>
      <c r="S862" s="79"/>
      <c r="T862" s="79"/>
      <c r="Y862" s="79"/>
      <c r="AC862" s="130"/>
      <c r="AE862" s="106"/>
    </row>
    <row r="863">
      <c r="C863" s="79"/>
      <c r="D863" s="79"/>
      <c r="E863" s="79"/>
      <c r="O863" s="79"/>
      <c r="S863" s="79"/>
      <c r="T863" s="79"/>
      <c r="Y863" s="79"/>
      <c r="AC863" s="130"/>
      <c r="AE863" s="106"/>
    </row>
    <row r="864">
      <c r="C864" s="79"/>
      <c r="D864" s="79"/>
      <c r="E864" s="79"/>
      <c r="O864" s="79"/>
      <c r="S864" s="79"/>
      <c r="T864" s="79"/>
      <c r="Y864" s="79"/>
      <c r="AC864" s="130"/>
      <c r="AE864" s="106"/>
    </row>
    <row r="865">
      <c r="C865" s="79"/>
      <c r="D865" s="79"/>
      <c r="E865" s="79"/>
      <c r="O865" s="79"/>
      <c r="S865" s="79"/>
      <c r="T865" s="79"/>
      <c r="Y865" s="79"/>
      <c r="AC865" s="130"/>
      <c r="AE865" s="106"/>
    </row>
    <row r="866">
      <c r="C866" s="79"/>
      <c r="D866" s="79"/>
      <c r="E866" s="79"/>
      <c r="O866" s="79"/>
      <c r="S866" s="79"/>
      <c r="T866" s="79"/>
      <c r="Y866" s="79"/>
      <c r="AC866" s="130"/>
      <c r="AE866" s="106"/>
    </row>
    <row r="867">
      <c r="C867" s="79"/>
      <c r="D867" s="79"/>
      <c r="E867" s="79"/>
      <c r="O867" s="79"/>
      <c r="S867" s="79"/>
      <c r="T867" s="79"/>
      <c r="Y867" s="79"/>
      <c r="AC867" s="130"/>
      <c r="AE867" s="106"/>
    </row>
    <row r="868">
      <c r="C868" s="79"/>
      <c r="D868" s="79"/>
      <c r="E868" s="79"/>
      <c r="O868" s="79"/>
      <c r="S868" s="79"/>
      <c r="T868" s="79"/>
      <c r="Y868" s="79"/>
      <c r="AC868" s="130"/>
      <c r="AE868" s="106"/>
    </row>
  </sheetData>
  <autoFilter ref="$A$43:$F$73">
    <sortState ref="A43:F73">
      <sortCondition descending="1" sortBy="cellColor" ref="E43:E73" dxfId="1"/>
      <sortCondition descending="1" sortBy="cellColor" ref="C43:C73" dxfId="1"/>
      <sortCondition descending="1" sortBy="cellColor" ref="A43:A73" dxfId="1"/>
    </sortState>
  </autoFilter>
  <mergeCells count="1">
    <mergeCell ref="B40:E40"/>
  </mergeCells>
  <drawing r:id="rId2"/>
  <legacyDrawing r:id="rId3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3" max="3" width="17.38"/>
    <col customWidth="1" min="5" max="5" width="20.88"/>
    <col customWidth="1" min="7" max="7" width="13.5"/>
    <col customWidth="1" min="8" max="8" width="13.25"/>
    <col customWidth="1" min="15" max="15" width="27.38"/>
    <col customWidth="1" min="26" max="26" width="14.63"/>
    <col customWidth="1" min="31" max="31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4</v>
      </c>
      <c r="J1" s="2" t="s">
        <v>5</v>
      </c>
      <c r="K1" s="2" t="s">
        <v>303</v>
      </c>
      <c r="L1" s="2" t="s">
        <v>6</v>
      </c>
      <c r="M1" s="2" t="s">
        <v>12</v>
      </c>
      <c r="N1" s="2" t="s">
        <v>49</v>
      </c>
      <c r="O1" s="105" t="s">
        <v>304</v>
      </c>
      <c r="P1" s="2" t="s">
        <v>37</v>
      </c>
      <c r="Q1" s="2" t="s">
        <v>10</v>
      </c>
      <c r="R1" s="2" t="s">
        <v>42</v>
      </c>
      <c r="S1" s="105" t="s">
        <v>656</v>
      </c>
      <c r="T1" s="105" t="s">
        <v>9</v>
      </c>
      <c r="U1" s="2" t="s">
        <v>164</v>
      </c>
      <c r="V1" s="105" t="s">
        <v>40</v>
      </c>
      <c r="W1" s="2" t="s">
        <v>83</v>
      </c>
      <c r="X1" s="2" t="s">
        <v>204</v>
      </c>
      <c r="Y1" s="105" t="s">
        <v>205</v>
      </c>
      <c r="Z1" s="2" t="s">
        <v>206</v>
      </c>
      <c r="AA1" s="2" t="s">
        <v>305</v>
      </c>
      <c r="AB1" s="3" t="s">
        <v>13</v>
      </c>
      <c r="AC1" s="3" t="s">
        <v>14</v>
      </c>
      <c r="AD1" s="3" t="s">
        <v>15</v>
      </c>
      <c r="AE1" s="106"/>
      <c r="AF1" s="265" t="s">
        <v>306</v>
      </c>
      <c r="AG1" s="266" t="s">
        <v>80</v>
      </c>
    </row>
    <row r="2">
      <c r="A2" s="74">
        <v>45558.0</v>
      </c>
      <c r="B2" s="93">
        <f>761.95-193.44+1261.94-45.68-57.96-26.98-6.49-44.07-75.74-32.31-359.29-24.83-44.89</f>
        <v>1112.21</v>
      </c>
      <c r="C2" s="93">
        <f>403.5-225</f>
        <v>178.5</v>
      </c>
      <c r="D2" s="93">
        <f>185.8</f>
        <v>185.8</v>
      </c>
      <c r="E2" s="93"/>
      <c r="F2" s="93"/>
      <c r="G2" s="93">
        <v>180.0</v>
      </c>
      <c r="H2" s="93"/>
      <c r="I2" s="93">
        <v>164.76</v>
      </c>
      <c r="J2" s="93"/>
      <c r="K2" s="93"/>
      <c r="L2" s="93"/>
      <c r="M2" s="93"/>
      <c r="N2" s="93">
        <f>468-144-156</f>
        <v>168</v>
      </c>
      <c r="O2" s="93"/>
      <c r="P2" s="72"/>
      <c r="Q2" s="93">
        <v>107.0</v>
      </c>
      <c r="R2" s="93"/>
      <c r="S2" s="93"/>
      <c r="T2" s="93"/>
      <c r="U2" s="93"/>
      <c r="V2" s="93"/>
      <c r="W2" s="93"/>
      <c r="X2" s="93"/>
      <c r="Y2" s="93"/>
      <c r="Z2" s="93"/>
      <c r="AA2" s="386"/>
      <c r="AB2" s="107">
        <f>SUM(B2:AA2)</f>
        <v>2096.27</v>
      </c>
      <c r="AC2" s="158">
        <v>3683.8</v>
      </c>
      <c r="AD2" s="59">
        <f t="shared" ref="AD2:AD8" si="1">AB2/AC2</f>
        <v>0.56905098</v>
      </c>
      <c r="AE2" s="109">
        <f t="shared" ref="AE2:AE8" si="2">A2</f>
        <v>45558</v>
      </c>
      <c r="AF2" s="267"/>
      <c r="AG2" s="268">
        <f t="shared" ref="AG2:AG8" si="3">AC2-AF2</f>
        <v>3683.8</v>
      </c>
    </row>
    <row r="3">
      <c r="A3" s="74">
        <f t="shared" ref="A3:A8" si="4">A2+1</f>
        <v>45559</v>
      </c>
      <c r="B3" s="93">
        <f>691.23-77.39-17.41-8.08-38.94-31.77</f>
        <v>517.64</v>
      </c>
      <c r="C3" s="93"/>
      <c r="D3" s="93"/>
      <c r="E3" s="93"/>
      <c r="F3" s="93"/>
      <c r="G3" s="93"/>
      <c r="H3" s="168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326"/>
      <c r="AB3" s="107">
        <f t="shared" ref="AB3:AB8" si="5">SUM(B3:Z3)</f>
        <v>517.64</v>
      </c>
      <c r="AC3" s="158">
        <v>4681.0</v>
      </c>
      <c r="AD3" s="59">
        <f t="shared" si="1"/>
        <v>0.1105832087</v>
      </c>
      <c r="AE3" s="109">
        <f t="shared" si="2"/>
        <v>45559</v>
      </c>
      <c r="AF3" s="267"/>
      <c r="AG3" s="268">
        <f t="shared" si="3"/>
        <v>4681</v>
      </c>
    </row>
    <row r="4">
      <c r="A4" s="74">
        <f t="shared" si="4"/>
        <v>45560</v>
      </c>
      <c r="B4" s="93">
        <f>709.15-59.3-62.67-8.84-44.07-58.36-36.62-28.79-27.93</f>
        <v>382.57</v>
      </c>
      <c r="C4" s="93">
        <v>449.35</v>
      </c>
      <c r="D4" s="93">
        <f>317.2-131.8-48.6</f>
        <v>136.8</v>
      </c>
      <c r="E4" s="93"/>
      <c r="F4" s="93"/>
      <c r="G4" s="93">
        <v>180.0</v>
      </c>
      <c r="H4" s="168"/>
      <c r="I4" s="93">
        <v>208.68</v>
      </c>
      <c r="J4" s="93">
        <f>680.9-198</f>
        <v>482.9</v>
      </c>
      <c r="K4" s="93"/>
      <c r="L4" s="93">
        <v>28.0</v>
      </c>
      <c r="M4" s="93"/>
      <c r="N4" s="93"/>
      <c r="O4" s="93"/>
      <c r="P4" s="160"/>
      <c r="Q4" s="93"/>
      <c r="R4" s="93"/>
      <c r="S4" s="93"/>
      <c r="T4" s="93"/>
      <c r="U4" s="93"/>
      <c r="V4" s="93"/>
      <c r="W4" s="93"/>
      <c r="X4" s="93"/>
      <c r="Y4" s="93"/>
      <c r="Z4" s="101"/>
      <c r="AA4" s="326"/>
      <c r="AB4" s="107">
        <f t="shared" si="5"/>
        <v>1868.3</v>
      </c>
      <c r="AC4" s="380">
        <f>461+7954.4</f>
        <v>8415.4</v>
      </c>
      <c r="AD4" s="59">
        <f t="shared" si="1"/>
        <v>0.222009649</v>
      </c>
      <c r="AE4" s="109">
        <f t="shared" si="2"/>
        <v>45560</v>
      </c>
      <c r="AF4" s="267"/>
      <c r="AG4" s="268">
        <f t="shared" si="3"/>
        <v>8415.4</v>
      </c>
    </row>
    <row r="5">
      <c r="A5" s="74">
        <f t="shared" si="4"/>
        <v>45561</v>
      </c>
      <c r="B5" s="93">
        <f>1212.53-14.91-70.95-36.62-32.79-34.82-44.07-110.25</f>
        <v>868.12</v>
      </c>
      <c r="C5" s="93"/>
      <c r="D5" s="93">
        <f>349-189</f>
        <v>160</v>
      </c>
      <c r="E5" s="93"/>
      <c r="F5" s="93"/>
      <c r="G5" s="93"/>
      <c r="H5" s="160"/>
      <c r="I5" s="93"/>
      <c r="J5" s="93"/>
      <c r="K5" s="93"/>
      <c r="L5" s="93"/>
      <c r="M5" s="93">
        <v>71.7</v>
      </c>
      <c r="N5" s="93"/>
      <c r="O5" s="93">
        <v>192.0</v>
      </c>
      <c r="P5" s="93"/>
      <c r="Q5" s="93"/>
      <c r="R5" s="93"/>
      <c r="S5" s="101"/>
      <c r="T5" s="93"/>
      <c r="U5" s="93"/>
      <c r="V5" s="93"/>
      <c r="W5" s="93"/>
      <c r="X5" s="93"/>
      <c r="Y5" s="101"/>
      <c r="Z5" s="101"/>
      <c r="AA5" s="327"/>
      <c r="AB5" s="7">
        <f t="shared" si="5"/>
        <v>1291.82</v>
      </c>
      <c r="AC5" s="380">
        <v>5350</v>
      </c>
      <c r="AD5" s="59">
        <f t="shared" si="1"/>
        <v>0.2414616822</v>
      </c>
      <c r="AE5" s="109">
        <f t="shared" si="2"/>
        <v>45561</v>
      </c>
      <c r="AF5" s="267"/>
      <c r="AG5" s="268">
        <f t="shared" si="3"/>
        <v>5350</v>
      </c>
    </row>
    <row r="6">
      <c r="A6" s="74">
        <f t="shared" si="4"/>
        <v>45562</v>
      </c>
      <c r="B6" s="93">
        <f>1202.68-45.69-5.56-31.56-30.57-24.51-27.14-359.29-13.92</f>
        <v>664.44</v>
      </c>
      <c r="C6" s="361"/>
      <c r="D6" s="374">
        <f>969.55-180.8-92-246.24-209.4</f>
        <v>241.11</v>
      </c>
      <c r="E6" s="93">
        <v>193.0</v>
      </c>
      <c r="F6" s="93"/>
      <c r="G6" s="93"/>
      <c r="H6" s="160"/>
      <c r="I6" s="93"/>
      <c r="J6" s="93"/>
      <c r="K6" s="93"/>
      <c r="L6" s="93">
        <f>166.4-43.4</f>
        <v>123</v>
      </c>
      <c r="M6" s="93"/>
      <c r="N6" s="93"/>
      <c r="O6" s="93"/>
      <c r="P6" s="93"/>
      <c r="Q6" s="93"/>
      <c r="R6" s="93"/>
      <c r="S6" s="93"/>
      <c r="T6" s="374"/>
      <c r="U6" s="93"/>
      <c r="V6" s="93"/>
      <c r="W6" s="93"/>
      <c r="X6" s="93"/>
      <c r="Y6" s="93"/>
      <c r="Z6" s="93"/>
      <c r="AA6" s="327"/>
      <c r="AB6" s="7">
        <f t="shared" si="5"/>
        <v>1221.55</v>
      </c>
      <c r="AC6" s="380">
        <f>628+9856</f>
        <v>10484</v>
      </c>
      <c r="AD6" s="59">
        <f t="shared" si="1"/>
        <v>0.1165156429</v>
      </c>
      <c r="AE6" s="109">
        <f t="shared" si="2"/>
        <v>45562</v>
      </c>
      <c r="AF6" s="267"/>
      <c r="AG6" s="268">
        <f t="shared" si="3"/>
        <v>10484</v>
      </c>
    </row>
    <row r="7">
      <c r="A7" s="74">
        <f t="shared" si="4"/>
        <v>45563</v>
      </c>
      <c r="B7" s="93">
        <v>842.54</v>
      </c>
      <c r="C7" s="361"/>
      <c r="D7" s="93">
        <f>413.04-240-67.1</f>
        <v>105.94</v>
      </c>
      <c r="E7" s="79"/>
      <c r="F7" s="402"/>
      <c r="G7" s="93">
        <v>180.0</v>
      </c>
      <c r="H7" s="374"/>
      <c r="I7" s="93">
        <v>70.19</v>
      </c>
      <c r="J7" s="93"/>
      <c r="K7" s="93"/>
      <c r="L7" s="93"/>
      <c r="M7" s="93"/>
      <c r="N7" s="93"/>
      <c r="O7" s="93"/>
      <c r="P7" s="402"/>
      <c r="Q7" s="93"/>
      <c r="R7" s="93"/>
      <c r="S7" s="101"/>
      <c r="T7" s="93"/>
      <c r="U7" s="93"/>
      <c r="V7" s="93"/>
      <c r="W7" s="93"/>
      <c r="X7" s="93"/>
      <c r="Y7" s="101"/>
      <c r="Z7" s="93"/>
      <c r="AA7" s="327"/>
      <c r="AB7" s="7">
        <f t="shared" si="5"/>
        <v>1198.67</v>
      </c>
      <c r="AC7" s="380">
        <f>2428+9610.61</f>
        <v>12038.61</v>
      </c>
      <c r="AD7" s="59">
        <f t="shared" si="1"/>
        <v>0.09956880404</v>
      </c>
      <c r="AE7" s="109">
        <f t="shared" si="2"/>
        <v>45563</v>
      </c>
      <c r="AF7" s="267"/>
      <c r="AG7" s="268">
        <f t="shared" si="3"/>
        <v>12038.61</v>
      </c>
    </row>
    <row r="8">
      <c r="A8" s="74">
        <f t="shared" si="4"/>
        <v>45564</v>
      </c>
      <c r="B8" s="180">
        <v>588.0</v>
      </c>
      <c r="C8" s="93"/>
      <c r="D8" s="180">
        <v>1248.68</v>
      </c>
      <c r="E8" s="112"/>
      <c r="F8" s="180">
        <v>513.86</v>
      </c>
      <c r="G8" s="10"/>
      <c r="H8" s="180">
        <f>1662.01</f>
        <v>1662.01</v>
      </c>
      <c r="I8" s="374"/>
      <c r="J8" s="180">
        <f>297+284.9</f>
        <v>581.9</v>
      </c>
      <c r="K8" s="180">
        <v>580.0</v>
      </c>
      <c r="L8" s="112"/>
      <c r="M8" s="112"/>
      <c r="N8" s="93"/>
      <c r="O8" s="93"/>
      <c r="P8" s="93"/>
      <c r="Q8" s="93"/>
      <c r="R8" s="374"/>
      <c r="S8" s="344">
        <v>222.67</v>
      </c>
      <c r="T8" s="344">
        <v>370.0</v>
      </c>
      <c r="U8" s="344">
        <v>237.0</v>
      </c>
      <c r="V8" s="112"/>
      <c r="W8" s="112"/>
      <c r="X8" s="112"/>
      <c r="Y8" s="112"/>
      <c r="Z8" s="112"/>
      <c r="AA8" s="93"/>
      <c r="AB8" s="7">
        <f t="shared" si="5"/>
        <v>6004.12</v>
      </c>
      <c r="AC8" s="380">
        <f>1584+3715</f>
        <v>5299</v>
      </c>
      <c r="AD8" s="59">
        <f t="shared" si="1"/>
        <v>1.133066616</v>
      </c>
      <c r="AE8" s="109">
        <f t="shared" si="2"/>
        <v>45564</v>
      </c>
      <c r="AF8" s="267"/>
      <c r="AG8" s="268">
        <f t="shared" si="3"/>
        <v>5299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AC9" s="129"/>
      <c r="AE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AC10" s="129"/>
      <c r="AE10" s="106"/>
    </row>
    <row r="11">
      <c r="A11" s="165" t="s">
        <v>194</v>
      </c>
      <c r="B11" s="93">
        <f>193.44+45.68+6.49+44.07+75.74+32.31+59.3+58.36+28.79+24.83+44.89+8.08+38.94+31.77+45.69+5.56+31.56+30.57+24.51+13.92+92</f>
        <v>936.5</v>
      </c>
      <c r="C11" s="93"/>
      <c r="D11" s="93">
        <f>164.91+240</f>
        <v>404.91</v>
      </c>
      <c r="E11" s="167"/>
      <c r="F11" s="168"/>
      <c r="G11" s="168"/>
      <c r="H11" s="166"/>
      <c r="I11" s="166"/>
      <c r="J11" s="93"/>
      <c r="K11" s="168"/>
      <c r="L11" s="93">
        <v>43.4</v>
      </c>
      <c r="M11" s="93"/>
      <c r="N11" s="93"/>
      <c r="O11" s="168"/>
      <c r="P11" s="168"/>
      <c r="Q11" s="168"/>
      <c r="R11" s="168"/>
      <c r="S11" s="168"/>
      <c r="T11" s="168"/>
      <c r="U11" s="168"/>
      <c r="V11" s="168"/>
      <c r="W11" s="1"/>
      <c r="X11" s="168"/>
      <c r="Y11" s="168"/>
      <c r="Z11" s="1"/>
      <c r="AA11" s="1"/>
      <c r="AB11" s="1"/>
      <c r="AC11" s="169"/>
      <c r="AD11" s="1"/>
      <c r="AE11" s="170"/>
    </row>
    <row r="12">
      <c r="A12" s="165" t="s">
        <v>195</v>
      </c>
      <c r="B12" s="224">
        <f>57.96+26.98+359.49+17.41+62.67+8.84+44.07+36.62+70.95+36.62+44.07+110.25</f>
        <v>875.93</v>
      </c>
      <c r="C12" s="93">
        <v>225.0</v>
      </c>
      <c r="D12" s="93">
        <f>131.8+48.6+189+67.1</f>
        <v>436.5</v>
      </c>
      <c r="E12" s="93"/>
      <c r="F12" s="374"/>
      <c r="G12" s="93"/>
      <c r="H12" s="93"/>
      <c r="I12" s="93"/>
      <c r="J12" s="93">
        <v>198.0</v>
      </c>
      <c r="K12" s="93"/>
      <c r="L12" s="93"/>
      <c r="M12" s="93"/>
      <c r="N12" s="93">
        <v>300.0</v>
      </c>
      <c r="O12" s="168"/>
      <c r="P12" s="168"/>
      <c r="Q12" s="166"/>
      <c r="R12" s="166"/>
      <c r="S12" s="168"/>
      <c r="T12" s="166"/>
      <c r="U12" s="168"/>
      <c r="V12" s="168"/>
      <c r="W12" s="1"/>
      <c r="X12" s="93"/>
      <c r="Y12" s="168"/>
      <c r="Z12" s="1"/>
      <c r="AA12" s="1"/>
      <c r="AB12" s="1"/>
      <c r="AC12" s="171"/>
      <c r="AD12" s="1"/>
      <c r="AE12" s="170"/>
    </row>
    <row r="13">
      <c r="A13" s="165" t="s">
        <v>198</v>
      </c>
      <c r="B13" s="93">
        <f>77.39+27.93+27.14</f>
        <v>132.46</v>
      </c>
      <c r="C13" s="93"/>
      <c r="D13" s="93"/>
      <c r="E13" s="168"/>
      <c r="F13" s="166"/>
      <c r="G13" s="166"/>
      <c r="H13" s="168"/>
      <c r="I13" s="168"/>
      <c r="J13" s="93"/>
      <c r="K13" s="168"/>
      <c r="L13" s="168"/>
      <c r="M13" s="168"/>
      <c r="N13" s="93"/>
      <c r="O13" s="168"/>
      <c r="P13" s="168"/>
      <c r="Q13" s="166"/>
      <c r="R13" s="168"/>
      <c r="S13" s="168"/>
      <c r="T13" s="168"/>
      <c r="U13" s="1"/>
      <c r="V13" s="1"/>
      <c r="W13" s="1"/>
      <c r="X13" s="168"/>
      <c r="Y13" s="168"/>
      <c r="Z13" s="1"/>
      <c r="AA13" s="1"/>
      <c r="AB13" s="1"/>
      <c r="AC13" s="174"/>
      <c r="AD13" s="1"/>
      <c r="AE13" s="170"/>
    </row>
    <row r="14">
      <c r="A14" s="91"/>
      <c r="B14" s="375"/>
      <c r="C14" s="79"/>
      <c r="D14" s="79"/>
      <c r="E14" s="79"/>
      <c r="F14" s="78"/>
      <c r="G14" s="78"/>
      <c r="I14" s="78"/>
      <c r="J14" s="79"/>
      <c r="K14" s="79"/>
      <c r="L14" s="79"/>
      <c r="M14" s="79"/>
      <c r="N14" s="79"/>
      <c r="O14" s="79"/>
      <c r="R14" s="79"/>
      <c r="S14" s="79"/>
      <c r="T14" s="198"/>
      <c r="U14" s="198"/>
      <c r="Y14" s="79"/>
      <c r="AC14" s="131"/>
      <c r="AE14" s="106"/>
    </row>
    <row r="15">
      <c r="A15" s="91"/>
      <c r="B15" s="92"/>
      <c r="C15" s="192"/>
      <c r="D15" s="78"/>
      <c r="E15" s="151"/>
      <c r="F15" s="201"/>
      <c r="G15" s="248"/>
      <c r="H15" s="192"/>
      <c r="I15" s="198"/>
      <c r="J15" s="201"/>
      <c r="K15" s="199"/>
      <c r="L15" s="199"/>
      <c r="M15" s="200"/>
      <c r="N15" s="202"/>
      <c r="O15" s="198"/>
      <c r="R15" s="198"/>
      <c r="S15" s="79"/>
      <c r="T15" s="198"/>
      <c r="U15" s="198"/>
      <c r="V15" s="198"/>
      <c r="W15" s="198"/>
      <c r="X15" s="199"/>
      <c r="Y15" s="79"/>
      <c r="AC15" s="131"/>
      <c r="AE15" s="106"/>
    </row>
    <row r="16">
      <c r="A16" s="4" t="s">
        <v>22</v>
      </c>
      <c r="B16" s="11">
        <v>10000.0</v>
      </c>
      <c r="C16" s="79"/>
      <c r="D16" s="79"/>
      <c r="E16" s="78"/>
      <c r="G16" s="224"/>
      <c r="H16" s="192"/>
      <c r="K16" s="403"/>
      <c r="L16" s="201"/>
      <c r="M16" s="198"/>
      <c r="N16" s="200"/>
      <c r="O16" s="198"/>
      <c r="P16" s="204"/>
      <c r="R16" s="203"/>
      <c r="S16" s="427"/>
      <c r="T16" s="201"/>
      <c r="U16" s="198"/>
      <c r="V16" s="198"/>
      <c r="W16" s="198"/>
      <c r="X16" s="201"/>
      <c r="Y16" s="79"/>
      <c r="AC16" s="131"/>
      <c r="AE16" s="106"/>
    </row>
    <row r="17">
      <c r="A17" s="4" t="s">
        <v>23</v>
      </c>
      <c r="B17" s="12">
        <f>SUM(B2:AA8)</f>
        <v>14198.37</v>
      </c>
      <c r="C17" s="192"/>
      <c r="D17" s="177"/>
      <c r="E17" s="151"/>
      <c r="F17" s="213"/>
      <c r="G17" s="224"/>
      <c r="H17" s="38"/>
      <c r="I17" s="175"/>
      <c r="K17" s="384"/>
      <c r="L17" s="201"/>
      <c r="M17" s="201"/>
      <c r="N17" s="201"/>
      <c r="O17" s="198"/>
      <c r="P17" s="204"/>
      <c r="R17" s="203"/>
      <c r="S17" s="79"/>
      <c r="T17" s="201"/>
      <c r="U17" s="201"/>
      <c r="V17" s="198"/>
      <c r="W17" s="198"/>
      <c r="X17" s="191"/>
      <c r="Y17" s="79"/>
      <c r="AC17" s="131"/>
      <c r="AE17" s="106"/>
    </row>
    <row r="18">
      <c r="A18" s="4" t="s">
        <v>24</v>
      </c>
      <c r="B18" s="12">
        <f> SUM(B16-B17)</f>
        <v>-4198.37</v>
      </c>
      <c r="C18" s="79"/>
      <c r="D18" s="78"/>
      <c r="E18" s="151"/>
      <c r="F18" s="201"/>
      <c r="G18" s="224"/>
      <c r="H18" s="203"/>
      <c r="I18" s="203"/>
      <c r="K18" s="203"/>
      <c r="L18" s="199"/>
      <c r="M18" s="201"/>
      <c r="N18" s="200"/>
      <c r="O18" s="198"/>
      <c r="P18" s="204"/>
      <c r="R18" s="203"/>
      <c r="S18" s="79"/>
      <c r="T18" s="210"/>
      <c r="U18" s="210"/>
      <c r="V18" s="198"/>
      <c r="W18" s="198"/>
      <c r="X18" s="203"/>
      <c r="Y18" s="79"/>
      <c r="AC18" s="131"/>
      <c r="AE18" s="106"/>
    </row>
    <row r="19">
      <c r="C19" s="79"/>
      <c r="D19" s="79"/>
      <c r="E19" s="78"/>
      <c r="F19" s="213"/>
      <c r="G19" s="224"/>
      <c r="H19" s="203"/>
      <c r="I19" s="345"/>
      <c r="J19" s="78"/>
      <c r="K19" s="351"/>
      <c r="N19" s="198"/>
      <c r="O19" s="198"/>
      <c r="P19" s="204"/>
      <c r="R19" s="203"/>
      <c r="S19" s="79"/>
      <c r="T19" s="198"/>
      <c r="U19" s="428"/>
      <c r="V19" s="198"/>
      <c r="W19" s="198"/>
      <c r="X19" s="203"/>
      <c r="Y19" s="79"/>
      <c r="AC19" s="131"/>
      <c r="AE19" s="106"/>
    </row>
    <row r="20">
      <c r="A20" s="13" t="s">
        <v>25</v>
      </c>
      <c r="B20" s="14">
        <f>SUM(AC2:AC8)</f>
        <v>49951.81</v>
      </c>
      <c r="C20" s="79"/>
      <c r="D20" s="79"/>
      <c r="E20" s="78"/>
      <c r="F20" s="201"/>
      <c r="G20" s="224"/>
      <c r="H20" s="175"/>
      <c r="I20" s="203"/>
      <c r="J20" s="78"/>
      <c r="K20" s="203"/>
      <c r="L20" s="203"/>
      <c r="M20" s="203"/>
      <c r="N20" s="198"/>
      <c r="O20" s="198"/>
      <c r="P20" s="204"/>
      <c r="R20" s="203"/>
      <c r="S20" s="79"/>
      <c r="T20" s="198"/>
      <c r="U20" s="198"/>
      <c r="V20" s="198"/>
      <c r="W20" s="198"/>
      <c r="X20" s="203"/>
      <c r="Y20" s="79"/>
      <c r="AC20" s="181"/>
      <c r="AE20" s="106"/>
    </row>
    <row r="21">
      <c r="A21" s="13" t="s">
        <v>26</v>
      </c>
      <c r="B21" s="15">
        <f>B17/B20</f>
        <v>0.2842413518</v>
      </c>
      <c r="C21" s="79"/>
      <c r="D21" s="79"/>
      <c r="E21" s="78"/>
      <c r="F21" s="204"/>
      <c r="G21" s="224"/>
      <c r="H21" s="192"/>
      <c r="I21" s="203"/>
      <c r="J21" s="78"/>
      <c r="K21" s="203"/>
      <c r="L21" s="203"/>
      <c r="M21" s="203"/>
      <c r="N21" s="203"/>
      <c r="O21" s="198"/>
      <c r="P21" s="204"/>
      <c r="R21" s="203"/>
      <c r="S21" s="79"/>
      <c r="T21" s="198"/>
      <c r="U21" s="198"/>
      <c r="V21" s="198"/>
      <c r="W21" s="198"/>
      <c r="X21" s="203"/>
      <c r="Y21" s="79"/>
      <c r="AC21" s="130"/>
      <c r="AE21" s="106"/>
    </row>
    <row r="22">
      <c r="C22" s="79"/>
      <c r="D22" s="79"/>
      <c r="E22" s="78"/>
      <c r="F22" s="204"/>
      <c r="H22" s="175"/>
      <c r="I22" s="78"/>
      <c r="J22" s="78"/>
      <c r="K22" s="203"/>
      <c r="L22" s="203"/>
      <c r="M22" s="203"/>
      <c r="N22" s="201"/>
      <c r="O22" s="198"/>
      <c r="P22" s="204"/>
      <c r="R22" s="198"/>
      <c r="S22" s="79"/>
      <c r="T22" s="198"/>
      <c r="U22" s="198"/>
      <c r="V22" s="198"/>
      <c r="W22" s="198"/>
      <c r="X22" s="203"/>
      <c r="Y22" s="79"/>
      <c r="AC22" s="182"/>
      <c r="AE22" s="106"/>
    </row>
    <row r="23">
      <c r="C23" s="79"/>
      <c r="D23" s="79"/>
      <c r="E23" s="79"/>
      <c r="F23" s="204"/>
      <c r="G23" s="78"/>
      <c r="H23" s="78"/>
      <c r="I23" s="203"/>
      <c r="J23" s="212"/>
      <c r="K23" s="203"/>
      <c r="L23" s="203"/>
      <c r="M23" s="203"/>
      <c r="N23" s="201"/>
      <c r="O23" s="198"/>
      <c r="P23" s="204"/>
      <c r="R23" s="198"/>
      <c r="S23" s="79"/>
      <c r="T23" s="198"/>
      <c r="U23" s="198"/>
      <c r="V23" s="198"/>
      <c r="W23" s="198"/>
      <c r="X23" s="203"/>
      <c r="Y23" s="79"/>
      <c r="AC23" s="130"/>
      <c r="AE23" s="106"/>
    </row>
    <row r="24">
      <c r="A24" s="16" t="s">
        <v>27</v>
      </c>
      <c r="B24" s="17"/>
      <c r="C24" s="114"/>
      <c r="D24" s="114"/>
      <c r="E24" s="115"/>
      <c r="F24" s="204"/>
      <c r="G24" s="78"/>
      <c r="H24" s="192"/>
      <c r="I24" s="78"/>
      <c r="J24" s="79"/>
      <c r="K24" s="203"/>
      <c r="L24" s="217"/>
      <c r="M24" s="208"/>
      <c r="N24" s="198"/>
      <c r="O24" s="198"/>
      <c r="P24" s="204"/>
      <c r="R24" s="200"/>
      <c r="S24" s="79"/>
      <c r="T24" s="198"/>
      <c r="U24" s="198"/>
      <c r="V24" s="198"/>
      <c r="W24" s="198"/>
      <c r="X24" s="203"/>
      <c r="Y24" s="79"/>
      <c r="AC24" s="130"/>
      <c r="AE24" s="106"/>
    </row>
    <row r="25">
      <c r="A25" s="19" t="s">
        <v>28</v>
      </c>
      <c r="B25" s="20"/>
      <c r="C25" s="116"/>
      <c r="D25" s="116"/>
      <c r="E25" s="117"/>
      <c r="F25" s="204"/>
      <c r="G25" s="78"/>
      <c r="H25" s="78"/>
      <c r="I25" s="224"/>
      <c r="J25" s="78"/>
      <c r="K25" s="203"/>
      <c r="L25" s="203"/>
      <c r="M25" s="209"/>
      <c r="N25" s="201"/>
      <c r="O25" s="198"/>
      <c r="P25" s="204"/>
      <c r="R25" s="198"/>
      <c r="S25" s="79"/>
      <c r="T25" s="198"/>
      <c r="U25" s="198"/>
      <c r="V25" s="198"/>
      <c r="W25" s="198"/>
      <c r="X25" s="203"/>
      <c r="Y25" s="79"/>
      <c r="AC25" s="130"/>
      <c r="AE25" s="106"/>
    </row>
    <row r="26">
      <c r="A26" s="183" t="s">
        <v>29</v>
      </c>
      <c r="B26" s="184" t="s">
        <v>30</v>
      </c>
      <c r="C26" s="183"/>
      <c r="D26" s="183" t="s">
        <v>170</v>
      </c>
      <c r="E26" s="219" t="s">
        <v>171</v>
      </c>
      <c r="F26" s="204"/>
      <c r="G26" s="79"/>
      <c r="H26" s="404"/>
      <c r="I26" s="79"/>
      <c r="J26" s="79"/>
      <c r="K26" s="203"/>
      <c r="L26" s="201"/>
      <c r="M26" s="209"/>
      <c r="N26" s="198"/>
      <c r="O26" s="198"/>
      <c r="P26" s="204"/>
      <c r="R26" s="198"/>
      <c r="S26" s="79"/>
      <c r="T26" s="198"/>
      <c r="U26" s="198"/>
      <c r="V26" s="198"/>
      <c r="W26" s="198"/>
      <c r="X26" s="203"/>
      <c r="Y26" s="79"/>
      <c r="Z26" s="195"/>
      <c r="AC26" s="130"/>
      <c r="AE26" s="106"/>
    </row>
    <row r="27">
      <c r="A27" s="405" t="s">
        <v>683</v>
      </c>
      <c r="B27" s="406">
        <f>1433.57+1478.71+1395.03</f>
        <v>4307.31</v>
      </c>
      <c r="C27" s="407"/>
      <c r="D27" s="407"/>
      <c r="E27" s="407"/>
      <c r="O27" s="79"/>
      <c r="S27" s="79"/>
      <c r="T27" s="79"/>
      <c r="Y27" s="79"/>
      <c r="AC27" s="130"/>
      <c r="AE27" s="106"/>
    </row>
    <row r="28">
      <c r="A28" s="410" t="s">
        <v>684</v>
      </c>
      <c r="B28" s="411">
        <f>1222.2+203.7+1247.4</f>
        <v>2673.3</v>
      </c>
      <c r="C28" s="412"/>
      <c r="D28" s="412"/>
      <c r="E28" s="412"/>
      <c r="G28" s="195"/>
      <c r="O28" s="79"/>
      <c r="S28" s="79"/>
      <c r="T28" s="79"/>
      <c r="Y28" s="79"/>
      <c r="AC28" s="130"/>
      <c r="AE28" s="106"/>
    </row>
    <row r="29">
      <c r="A29" s="430" t="s">
        <v>685</v>
      </c>
      <c r="B29" s="431">
        <f>380+246.24</f>
        <v>626.24</v>
      </c>
      <c r="C29" s="432"/>
      <c r="D29" s="432"/>
      <c r="E29" s="432"/>
      <c r="O29" s="79"/>
      <c r="S29" s="79"/>
      <c r="T29" s="79"/>
      <c r="Y29" s="79"/>
      <c r="AC29" s="130"/>
      <c r="AE29" s="106"/>
    </row>
    <row r="30">
      <c r="A30" s="430" t="s">
        <v>686</v>
      </c>
      <c r="B30" s="431">
        <f>608.6+348.54</f>
        <v>957.14</v>
      </c>
      <c r="C30" s="432"/>
      <c r="D30" s="432"/>
      <c r="E30" s="432"/>
      <c r="O30" s="79"/>
      <c r="S30" s="79"/>
      <c r="T30" s="79"/>
      <c r="Y30" s="79"/>
      <c r="AC30" s="130"/>
      <c r="AE30" s="106"/>
    </row>
    <row r="31">
      <c r="A31" s="435" t="s">
        <v>687</v>
      </c>
      <c r="B31" s="436">
        <v>359.29</v>
      </c>
      <c r="C31" s="437"/>
      <c r="D31" s="437"/>
      <c r="E31" s="437"/>
      <c r="O31" s="79"/>
      <c r="S31" s="79"/>
      <c r="T31" s="79"/>
      <c r="Y31" s="79"/>
      <c r="AC31" s="130"/>
      <c r="AE31" s="106"/>
    </row>
    <row r="32">
      <c r="A32" s="435" t="s">
        <v>688</v>
      </c>
      <c r="B32" s="436">
        <v>180.8</v>
      </c>
      <c r="C32" s="437"/>
      <c r="D32" s="437"/>
      <c r="E32" s="437"/>
      <c r="O32" s="79"/>
      <c r="S32" s="79"/>
      <c r="T32" s="79"/>
      <c r="Y32" s="79"/>
      <c r="AC32" s="130"/>
      <c r="AE32" s="106"/>
    </row>
    <row r="33">
      <c r="A33" s="435" t="s">
        <v>689</v>
      </c>
      <c r="B33" s="436">
        <f>284.9+495</f>
        <v>779.9</v>
      </c>
      <c r="C33" s="437"/>
      <c r="D33" s="437"/>
      <c r="E33" s="437"/>
      <c r="O33" s="79"/>
      <c r="S33" s="79"/>
      <c r="T33" s="79"/>
      <c r="Y33" s="79"/>
      <c r="AC33" s="130"/>
      <c r="AE33" s="106"/>
    </row>
    <row r="34">
      <c r="A34" s="435" t="s">
        <v>690</v>
      </c>
      <c r="B34" s="436">
        <v>513.86</v>
      </c>
      <c r="C34" s="437"/>
      <c r="D34" s="437"/>
      <c r="E34" s="437"/>
      <c r="O34" s="79"/>
      <c r="S34" s="79"/>
      <c r="T34" s="79"/>
      <c r="Y34" s="79"/>
      <c r="AC34" s="130"/>
      <c r="AE34" s="106"/>
    </row>
    <row r="35">
      <c r="C35" s="79"/>
      <c r="D35" s="79"/>
      <c r="E35" s="79"/>
      <c r="O35" s="79"/>
      <c r="S35" s="79"/>
      <c r="T35" s="79"/>
      <c r="Y35" s="79"/>
      <c r="AC35" s="130"/>
      <c r="AE35" s="106"/>
    </row>
    <row r="36">
      <c r="A36" s="274"/>
      <c r="B36" s="275" t="s">
        <v>315</v>
      </c>
      <c r="F36" s="274"/>
      <c r="G36" s="274"/>
      <c r="H36" s="274"/>
      <c r="I36" s="274"/>
      <c r="J36" s="274"/>
      <c r="K36" s="274"/>
      <c r="L36" s="274"/>
      <c r="M36" s="274"/>
      <c r="N36" s="274"/>
      <c r="O36" s="274"/>
      <c r="P36" s="274"/>
      <c r="Q36" s="274"/>
      <c r="R36" s="274"/>
      <c r="S36" s="274"/>
      <c r="T36" s="274"/>
      <c r="U36" s="274"/>
      <c r="V36" s="274"/>
      <c r="W36" s="274"/>
      <c r="X36" s="274"/>
      <c r="Y36" s="274"/>
      <c r="Z36" s="274"/>
      <c r="AA36" s="274"/>
      <c r="AB36" s="274"/>
      <c r="AC36" s="276"/>
      <c r="AD36" s="274"/>
      <c r="AE36" s="277"/>
      <c r="AF36" s="274"/>
      <c r="AG36" s="274"/>
      <c r="AH36" s="274"/>
    </row>
    <row r="37">
      <c r="A37" s="16" t="s">
        <v>316</v>
      </c>
      <c r="B37" s="17"/>
      <c r="C37" s="114"/>
      <c r="D37" s="114"/>
      <c r="E37" s="115"/>
      <c r="O37" s="79"/>
      <c r="S37" s="79"/>
      <c r="T37" s="79"/>
      <c r="Y37" s="79"/>
      <c r="AC37" s="130"/>
      <c r="AE37" s="106"/>
    </row>
    <row r="38">
      <c r="A38" s="19" t="s">
        <v>317</v>
      </c>
      <c r="B38" s="20"/>
      <c r="C38" s="116"/>
      <c r="D38" s="116"/>
      <c r="E38" s="117"/>
      <c r="O38" s="79"/>
      <c r="S38" s="79"/>
      <c r="T38" s="79"/>
      <c r="Y38" s="79"/>
      <c r="AC38" s="130"/>
      <c r="AE38" s="106"/>
    </row>
    <row r="39">
      <c r="A39" s="278" t="s">
        <v>318</v>
      </c>
      <c r="B39" s="279" t="s">
        <v>319</v>
      </c>
      <c r="C39" s="280" t="s">
        <v>285</v>
      </c>
      <c r="D39" s="280" t="s">
        <v>30</v>
      </c>
      <c r="E39" s="281" t="s">
        <v>320</v>
      </c>
      <c r="F39" s="281" t="s">
        <v>321</v>
      </c>
      <c r="O39" s="79"/>
      <c r="S39" s="79"/>
      <c r="T39" s="79"/>
      <c r="Y39" s="79"/>
      <c r="AC39" s="130"/>
      <c r="AE39" s="106"/>
    </row>
    <row r="40">
      <c r="A40" s="304" t="s">
        <v>472</v>
      </c>
      <c r="B40" s="305">
        <v>45482.0</v>
      </c>
      <c r="C40" s="234" t="s">
        <v>325</v>
      </c>
      <c r="D40" s="178">
        <v>1248.68</v>
      </c>
      <c r="E40" s="308"/>
      <c r="F40" s="307">
        <f>D40/2</f>
        <v>624.34</v>
      </c>
      <c r="O40" s="79"/>
      <c r="S40" s="79"/>
      <c r="T40" s="79"/>
      <c r="Y40" s="79"/>
      <c r="AC40" s="130"/>
      <c r="AE40" s="106"/>
    </row>
    <row r="41">
      <c r="A41" s="304" t="s">
        <v>495</v>
      </c>
      <c r="B41" s="305">
        <v>45489.0</v>
      </c>
      <c r="C41" s="234" t="s">
        <v>325</v>
      </c>
      <c r="D41" s="178">
        <v>1228.43</v>
      </c>
      <c r="E41" s="308"/>
      <c r="F41" s="235"/>
      <c r="O41" s="79"/>
      <c r="S41" s="79"/>
      <c r="T41" s="79"/>
      <c r="Y41" s="79"/>
      <c r="AC41" s="130"/>
      <c r="AE41" s="106"/>
    </row>
    <row r="42">
      <c r="A42" s="304" t="s">
        <v>510</v>
      </c>
      <c r="B42" s="305">
        <v>45496.0</v>
      </c>
      <c r="C42" s="234" t="s">
        <v>325</v>
      </c>
      <c r="D42" s="178">
        <v>1194.77</v>
      </c>
      <c r="E42" s="308"/>
      <c r="F42" s="235"/>
      <c r="O42" s="79"/>
      <c r="S42" s="79"/>
      <c r="T42" s="79"/>
      <c r="Y42" s="79"/>
      <c r="AC42" s="130"/>
      <c r="AE42" s="106"/>
    </row>
    <row r="43">
      <c r="A43" s="304" t="s">
        <v>530</v>
      </c>
      <c r="B43" s="305">
        <v>45503.0</v>
      </c>
      <c r="C43" s="234" t="s">
        <v>325</v>
      </c>
      <c r="D43" s="178">
        <v>1211.18</v>
      </c>
      <c r="E43" s="308"/>
      <c r="F43" s="235"/>
      <c r="O43" s="79"/>
      <c r="S43" s="79"/>
      <c r="T43" s="79"/>
      <c r="Y43" s="79"/>
      <c r="AC43" s="130"/>
      <c r="AE43" s="106"/>
    </row>
    <row r="44">
      <c r="A44" s="304" t="s">
        <v>553</v>
      </c>
      <c r="B44" s="305">
        <v>45510.0</v>
      </c>
      <c r="C44" s="234" t="s">
        <v>325</v>
      </c>
      <c r="D44" s="178">
        <v>1409.57</v>
      </c>
      <c r="E44" s="308"/>
      <c r="F44" s="235"/>
      <c r="O44" s="79"/>
      <c r="S44" s="79"/>
      <c r="T44" s="79"/>
      <c r="Y44" s="79"/>
      <c r="AC44" s="130"/>
      <c r="AE44" s="106"/>
    </row>
    <row r="45">
      <c r="A45" s="304" t="s">
        <v>578</v>
      </c>
      <c r="B45" s="305">
        <v>45517.0</v>
      </c>
      <c r="C45" s="234" t="s">
        <v>325</v>
      </c>
      <c r="D45" s="178">
        <v>1391.12</v>
      </c>
      <c r="E45" s="308"/>
      <c r="F45" s="235"/>
      <c r="O45" s="79"/>
      <c r="S45" s="79"/>
      <c r="T45" s="79"/>
      <c r="Y45" s="79"/>
      <c r="AC45" s="130"/>
      <c r="AE45" s="106"/>
    </row>
    <row r="46">
      <c r="A46" s="304" t="s">
        <v>597</v>
      </c>
      <c r="B46" s="305">
        <v>45525.0</v>
      </c>
      <c r="C46" s="234" t="s">
        <v>325</v>
      </c>
      <c r="D46" s="178">
        <v>1420.83</v>
      </c>
      <c r="E46" s="308"/>
      <c r="F46" s="235"/>
      <c r="O46" s="79"/>
      <c r="S46" s="79"/>
      <c r="T46" s="79"/>
      <c r="Y46" s="79"/>
      <c r="AC46" s="130"/>
      <c r="AE46" s="106"/>
    </row>
    <row r="47">
      <c r="A47" s="304" t="s">
        <v>622</v>
      </c>
      <c r="B47" s="305">
        <v>45533.0</v>
      </c>
      <c r="C47" s="234" t="s">
        <v>325</v>
      </c>
      <c r="D47" s="178">
        <v>1404.36</v>
      </c>
      <c r="E47" s="308"/>
      <c r="F47" s="235"/>
      <c r="O47" s="79"/>
      <c r="S47" s="79"/>
      <c r="T47" s="79"/>
      <c r="Y47" s="79"/>
      <c r="AC47" s="130"/>
      <c r="AE47" s="106"/>
    </row>
    <row r="48">
      <c r="A48" s="304" t="s">
        <v>644</v>
      </c>
      <c r="B48" s="305">
        <v>45540.0</v>
      </c>
      <c r="C48" s="234" t="s">
        <v>325</v>
      </c>
      <c r="D48" s="178">
        <v>1415.74</v>
      </c>
      <c r="E48" s="308"/>
      <c r="F48" s="235"/>
      <c r="O48" s="79"/>
      <c r="S48" s="79"/>
      <c r="T48" s="79"/>
      <c r="Y48" s="79"/>
      <c r="AC48" s="130"/>
      <c r="AE48" s="106"/>
    </row>
    <row r="49">
      <c r="A49" s="304" t="s">
        <v>660</v>
      </c>
      <c r="B49" s="305">
        <v>45547.0</v>
      </c>
      <c r="C49" s="234" t="s">
        <v>325</v>
      </c>
      <c r="D49" s="178">
        <v>1419.33</v>
      </c>
      <c r="E49" s="308"/>
      <c r="F49" s="235"/>
      <c r="O49" s="79"/>
      <c r="S49" s="79"/>
      <c r="T49" s="79"/>
      <c r="Y49" s="79"/>
      <c r="AC49" s="130"/>
      <c r="AE49" s="106"/>
    </row>
    <row r="50">
      <c r="A50" s="304" t="s">
        <v>677</v>
      </c>
      <c r="B50" s="305">
        <v>45554.0</v>
      </c>
      <c r="C50" s="234" t="s">
        <v>325</v>
      </c>
      <c r="D50" s="178">
        <v>1439.4</v>
      </c>
      <c r="E50" s="308"/>
      <c r="F50" s="235"/>
      <c r="O50" s="79"/>
      <c r="S50" s="79"/>
      <c r="T50" s="79"/>
      <c r="Y50" s="79"/>
      <c r="AC50" s="130"/>
      <c r="AE50" s="106"/>
    </row>
    <row r="51">
      <c r="A51" s="304" t="s">
        <v>691</v>
      </c>
      <c r="B51" s="305">
        <v>45561.0</v>
      </c>
      <c r="C51" s="234" t="s">
        <v>325</v>
      </c>
      <c r="D51" s="178">
        <v>777.2</v>
      </c>
      <c r="E51" s="308"/>
      <c r="F51" s="235"/>
      <c r="O51" s="79"/>
      <c r="S51" s="79"/>
      <c r="T51" s="79"/>
      <c r="Y51" s="79"/>
      <c r="AC51" s="130"/>
      <c r="AE51" s="106"/>
    </row>
    <row r="52">
      <c r="A52" s="282" t="s">
        <v>537</v>
      </c>
      <c r="B52" s="283">
        <v>45506.0</v>
      </c>
      <c r="C52" s="166" t="s">
        <v>538</v>
      </c>
      <c r="D52" s="93">
        <v>1662.01</v>
      </c>
      <c r="E52" s="291"/>
      <c r="F52" s="6"/>
      <c r="O52" s="79"/>
      <c r="S52" s="79"/>
      <c r="T52" s="79"/>
      <c r="Y52" s="79"/>
      <c r="AC52" s="130"/>
      <c r="AE52" s="106"/>
    </row>
    <row r="53">
      <c r="A53" s="282" t="s">
        <v>645</v>
      </c>
      <c r="B53" s="283">
        <v>45528.0</v>
      </c>
      <c r="C53" s="166" t="s">
        <v>624</v>
      </c>
      <c r="D53" s="93">
        <v>190.0</v>
      </c>
      <c r="E53" s="291"/>
      <c r="F53" s="6"/>
      <c r="O53" s="79"/>
      <c r="S53" s="79"/>
      <c r="T53" s="79"/>
      <c r="Y53" s="79"/>
      <c r="AC53" s="130"/>
      <c r="AE53" s="106"/>
    </row>
    <row r="54">
      <c r="A54" s="282" t="s">
        <v>648</v>
      </c>
      <c r="B54" s="283">
        <v>45540.0</v>
      </c>
      <c r="C54" s="166" t="s">
        <v>164</v>
      </c>
      <c r="D54" s="93">
        <v>237.0</v>
      </c>
      <c r="E54" s="291"/>
      <c r="F54" s="6"/>
      <c r="O54" s="79"/>
      <c r="S54" s="79"/>
      <c r="T54" s="79"/>
      <c r="Y54" s="79"/>
      <c r="AC54" s="130"/>
      <c r="AE54" s="106"/>
    </row>
    <row r="55">
      <c r="A55" s="282" t="s">
        <v>663</v>
      </c>
      <c r="B55" s="283">
        <v>45541.0</v>
      </c>
      <c r="C55" s="166" t="s">
        <v>664</v>
      </c>
      <c r="D55" s="93">
        <v>581.9</v>
      </c>
      <c r="E55" s="291"/>
      <c r="F55" s="6"/>
      <c r="O55" s="79"/>
      <c r="S55" s="79"/>
      <c r="T55" s="79"/>
      <c r="Y55" s="79"/>
      <c r="AC55" s="130"/>
      <c r="AE55" s="106"/>
    </row>
    <row r="56">
      <c r="A56" s="282" t="s">
        <v>654</v>
      </c>
      <c r="B56" s="283">
        <v>45528.0</v>
      </c>
      <c r="C56" s="166" t="s">
        <v>655</v>
      </c>
      <c r="D56" s="93">
        <v>370.0</v>
      </c>
      <c r="E56" s="291"/>
      <c r="F56" s="6"/>
      <c r="O56" s="79"/>
      <c r="S56" s="79"/>
      <c r="T56" s="79"/>
      <c r="Y56" s="79"/>
      <c r="AC56" s="130"/>
      <c r="AE56" s="106"/>
    </row>
    <row r="57">
      <c r="A57" s="282" t="s">
        <v>665</v>
      </c>
      <c r="B57" s="283">
        <v>45545.0</v>
      </c>
      <c r="C57" s="166" t="s">
        <v>666</v>
      </c>
      <c r="D57" s="93">
        <v>1222.2</v>
      </c>
      <c r="E57" s="291"/>
      <c r="F57" s="6"/>
      <c r="O57" s="79"/>
      <c r="S57" s="79"/>
      <c r="T57" s="79"/>
      <c r="Y57" s="79"/>
      <c r="AC57" s="130"/>
      <c r="AE57" s="106"/>
    </row>
    <row r="58">
      <c r="A58" s="282" t="s">
        <v>667</v>
      </c>
      <c r="B58" s="283">
        <v>45546.0</v>
      </c>
      <c r="C58" s="166" t="s">
        <v>668</v>
      </c>
      <c r="D58" s="93">
        <f>608.6</f>
        <v>608.6</v>
      </c>
      <c r="E58" s="291"/>
      <c r="F58" s="6"/>
      <c r="O58" s="79"/>
      <c r="S58" s="79"/>
      <c r="T58" s="79"/>
      <c r="Y58" s="79"/>
      <c r="AC58" s="130"/>
      <c r="AE58" s="106"/>
    </row>
    <row r="59">
      <c r="A59" s="282" t="s">
        <v>667</v>
      </c>
      <c r="B59" s="283">
        <v>45547.0</v>
      </c>
      <c r="C59" s="166" t="s">
        <v>669</v>
      </c>
      <c r="D59" s="93">
        <v>380.0</v>
      </c>
      <c r="E59" s="291"/>
      <c r="F59" s="6"/>
      <c r="O59" s="79"/>
      <c r="S59" s="79"/>
      <c r="T59" s="79"/>
      <c r="Y59" s="79"/>
      <c r="AC59" s="130"/>
      <c r="AE59" s="106"/>
    </row>
    <row r="60">
      <c r="A60" s="282" t="s">
        <v>670</v>
      </c>
      <c r="B60" s="283">
        <v>45549.0</v>
      </c>
      <c r="C60" s="166" t="s">
        <v>600</v>
      </c>
      <c r="D60" s="93">
        <v>286.4</v>
      </c>
      <c r="E60" s="291"/>
      <c r="F60" s="6"/>
      <c r="O60" s="79"/>
      <c r="S60" s="79"/>
      <c r="T60" s="79"/>
      <c r="Y60" s="79"/>
      <c r="AC60" s="130"/>
      <c r="AE60" s="106"/>
    </row>
    <row r="61">
      <c r="A61" s="282" t="s">
        <v>681</v>
      </c>
      <c r="B61" s="283">
        <v>45555.0</v>
      </c>
      <c r="C61" s="166" t="s">
        <v>664</v>
      </c>
      <c r="D61" s="93">
        <v>785.6</v>
      </c>
      <c r="E61" s="291"/>
      <c r="F61" s="6"/>
      <c r="O61" s="79"/>
      <c r="S61" s="79"/>
      <c r="T61" s="79"/>
      <c r="Y61" s="79"/>
      <c r="AC61" s="130"/>
      <c r="AE61" s="106"/>
    </row>
    <row r="62">
      <c r="A62" s="282" t="s">
        <v>682</v>
      </c>
      <c r="B62" s="283">
        <v>45558.0</v>
      </c>
      <c r="C62" s="166" t="s">
        <v>482</v>
      </c>
      <c r="D62" s="93">
        <v>1556.54</v>
      </c>
      <c r="E62" s="291"/>
      <c r="F62" s="6"/>
      <c r="O62" s="79"/>
      <c r="S62" s="79"/>
      <c r="T62" s="79"/>
      <c r="Y62" s="79"/>
      <c r="AC62" s="130"/>
      <c r="AE62" s="106"/>
    </row>
    <row r="63">
      <c r="A63" s="282"/>
      <c r="B63" s="283"/>
      <c r="C63" s="166"/>
      <c r="D63" s="93"/>
      <c r="E63" s="291"/>
      <c r="F63" s="6"/>
      <c r="O63" s="79"/>
      <c r="S63" s="79"/>
      <c r="T63" s="79"/>
      <c r="Y63" s="79"/>
      <c r="AC63" s="130"/>
      <c r="AE63" s="106"/>
    </row>
    <row r="64">
      <c r="A64" s="282"/>
      <c r="B64" s="283"/>
      <c r="C64" s="166"/>
      <c r="D64" s="93"/>
      <c r="E64" s="291"/>
      <c r="F64" s="6"/>
      <c r="O64" s="79"/>
      <c r="S64" s="79"/>
      <c r="T64" s="79"/>
      <c r="Y64" s="79"/>
      <c r="AC64" s="130"/>
      <c r="AE64" s="106"/>
    </row>
    <row r="65">
      <c r="A65" s="282"/>
      <c r="B65" s="283"/>
      <c r="C65" s="166"/>
      <c r="D65" s="93"/>
      <c r="E65" s="291"/>
      <c r="F65" s="6"/>
      <c r="O65" s="79"/>
      <c r="S65" s="79"/>
      <c r="T65" s="79"/>
      <c r="Y65" s="79"/>
      <c r="AC65" s="130"/>
      <c r="AE65" s="106"/>
    </row>
    <row r="66">
      <c r="A66" s="282"/>
      <c r="B66" s="283"/>
      <c r="C66" s="166"/>
      <c r="D66" s="93"/>
      <c r="E66" s="291"/>
      <c r="F66" s="6"/>
      <c r="O66" s="79"/>
      <c r="S66" s="79"/>
      <c r="T66" s="79"/>
      <c r="Y66" s="79"/>
      <c r="AC66" s="130"/>
      <c r="AE66" s="106"/>
    </row>
    <row r="67">
      <c r="A67" s="282"/>
      <c r="B67" s="283"/>
      <c r="C67" s="166"/>
      <c r="D67" s="93"/>
      <c r="E67" s="291"/>
      <c r="F67" s="6"/>
      <c r="O67" s="79"/>
      <c r="S67" s="79"/>
      <c r="T67" s="79"/>
      <c r="Y67" s="79"/>
      <c r="AC67" s="130"/>
      <c r="AE67" s="106"/>
    </row>
    <row r="68">
      <c r="A68" s="282"/>
      <c r="B68" s="283"/>
      <c r="C68" s="166"/>
      <c r="D68" s="93"/>
      <c r="E68" s="291"/>
      <c r="F68" s="6"/>
      <c r="O68" s="79"/>
      <c r="S68" s="79"/>
      <c r="T68" s="79"/>
      <c r="Y68" s="79"/>
      <c r="AC68" s="130"/>
      <c r="AE68" s="106"/>
    </row>
    <row r="69">
      <c r="A69" s="282"/>
      <c r="B69" s="283"/>
      <c r="C69" s="166"/>
      <c r="D69" s="93"/>
      <c r="E69" s="291"/>
      <c r="F69" s="6"/>
      <c r="O69" s="79"/>
      <c r="S69" s="79"/>
      <c r="T69" s="79"/>
      <c r="Y69" s="79"/>
      <c r="AC69" s="130"/>
      <c r="AE69" s="106"/>
    </row>
    <row r="70">
      <c r="A70" s="282"/>
      <c r="B70" s="283"/>
      <c r="C70" s="166"/>
      <c r="D70" s="93"/>
      <c r="E70" s="291"/>
      <c r="F70" s="6"/>
      <c r="O70" s="79"/>
      <c r="S70" s="79"/>
      <c r="T70" s="79"/>
      <c r="Y70" s="79"/>
      <c r="AC70" s="130"/>
      <c r="AE70" s="106"/>
    </row>
    <row r="71">
      <c r="A71" s="282"/>
      <c r="B71" s="283"/>
      <c r="C71" s="166"/>
      <c r="D71" s="93"/>
      <c r="E71" s="291"/>
      <c r="F71" s="6"/>
      <c r="O71" s="79"/>
      <c r="S71" s="79"/>
      <c r="T71" s="79"/>
      <c r="Y71" s="79"/>
      <c r="AC71" s="130"/>
      <c r="AE71" s="106"/>
    </row>
    <row r="72">
      <c r="A72" s="282"/>
      <c r="B72" s="283"/>
      <c r="C72" s="166"/>
      <c r="D72" s="93"/>
      <c r="E72" s="291"/>
      <c r="F72" s="6"/>
      <c r="O72" s="79"/>
      <c r="S72" s="79"/>
      <c r="T72" s="79"/>
      <c r="Y72" s="79"/>
      <c r="AC72" s="130"/>
      <c r="AE72" s="106"/>
    </row>
    <row r="73">
      <c r="A73" s="282"/>
      <c r="B73" s="283"/>
      <c r="C73" s="166"/>
      <c r="D73" s="93"/>
      <c r="E73" s="291"/>
      <c r="F73" s="6"/>
      <c r="O73" s="79"/>
      <c r="S73" s="79"/>
      <c r="T73" s="79"/>
      <c r="Y73" s="79"/>
      <c r="AC73" s="130"/>
      <c r="AE73" s="106"/>
    </row>
    <row r="74">
      <c r="A74" s="282"/>
      <c r="B74" s="283"/>
      <c r="C74" s="166"/>
      <c r="D74" s="93"/>
      <c r="E74" s="291"/>
      <c r="F74" s="6"/>
      <c r="O74" s="79"/>
      <c r="S74" s="79"/>
      <c r="T74" s="79"/>
      <c r="Y74" s="79"/>
      <c r="AC74" s="130"/>
      <c r="AE74" s="106"/>
    </row>
    <row r="75">
      <c r="A75" s="282"/>
      <c r="B75" s="283"/>
      <c r="C75" s="166"/>
      <c r="D75" s="93"/>
      <c r="E75" s="291"/>
      <c r="F75" s="6"/>
      <c r="O75" s="79"/>
      <c r="S75" s="79"/>
      <c r="T75" s="79"/>
      <c r="Y75" s="79"/>
      <c r="AC75" s="130"/>
      <c r="AE75" s="106"/>
    </row>
    <row r="76">
      <c r="A76" s="282"/>
      <c r="B76" s="283"/>
      <c r="C76" s="166"/>
      <c r="D76" s="93"/>
      <c r="E76" s="291"/>
      <c r="F76" s="6"/>
      <c r="O76" s="79"/>
      <c r="S76" s="79"/>
      <c r="T76" s="79"/>
      <c r="Y76" s="79"/>
      <c r="AC76" s="130"/>
      <c r="AE76" s="106"/>
    </row>
    <row r="77">
      <c r="A77" s="282"/>
      <c r="B77" s="283"/>
      <c r="C77" s="166"/>
      <c r="D77" s="93"/>
      <c r="E77" s="291"/>
      <c r="F77" s="6"/>
      <c r="O77" s="79"/>
      <c r="S77" s="79"/>
      <c r="T77" s="79"/>
      <c r="Y77" s="79"/>
      <c r="AC77" s="130"/>
      <c r="AE77" s="106"/>
    </row>
    <row r="78">
      <c r="A78" s="282"/>
      <c r="B78" s="283"/>
      <c r="C78" s="166"/>
      <c r="D78" s="93"/>
      <c r="E78" s="291"/>
      <c r="F78" s="6"/>
      <c r="O78" s="79"/>
      <c r="S78" s="79"/>
      <c r="T78" s="79"/>
      <c r="Y78" s="79"/>
      <c r="AC78" s="130"/>
      <c r="AE78" s="106"/>
    </row>
    <row r="79">
      <c r="A79" s="282"/>
      <c r="B79" s="283"/>
      <c r="C79" s="166"/>
      <c r="D79" s="93"/>
      <c r="E79" s="291"/>
      <c r="F79" s="6"/>
      <c r="O79" s="79"/>
      <c r="S79" s="79"/>
      <c r="T79" s="79"/>
      <c r="Y79" s="79"/>
      <c r="AC79" s="130"/>
      <c r="AE79" s="106"/>
    </row>
    <row r="80">
      <c r="A80" s="282"/>
      <c r="B80" s="283"/>
      <c r="C80" s="166"/>
      <c r="D80" s="93"/>
      <c r="E80" s="291"/>
      <c r="F80" s="6"/>
      <c r="O80" s="79"/>
      <c r="S80" s="79"/>
      <c r="T80" s="79"/>
      <c r="Y80" s="79"/>
      <c r="AC80" s="130"/>
      <c r="AE80" s="106"/>
    </row>
    <row r="81">
      <c r="A81" s="282"/>
      <c r="B81" s="283"/>
      <c r="C81" s="166"/>
      <c r="D81" s="93"/>
      <c r="E81" s="291"/>
      <c r="F81" s="6"/>
      <c r="O81" s="79"/>
      <c r="S81" s="79"/>
      <c r="T81" s="79"/>
      <c r="Y81" s="79"/>
      <c r="AC81" s="130"/>
      <c r="AE81" s="106"/>
    </row>
    <row r="82">
      <c r="A82" s="282"/>
      <c r="B82" s="283"/>
      <c r="C82" s="166"/>
      <c r="D82" s="93"/>
      <c r="E82" s="291"/>
      <c r="F82" s="6"/>
      <c r="O82" s="79"/>
      <c r="S82" s="79"/>
      <c r="T82" s="79"/>
      <c r="Y82" s="79"/>
      <c r="AC82" s="130"/>
      <c r="AE82" s="106"/>
    </row>
    <row r="83">
      <c r="A83" s="282"/>
      <c r="B83" s="283"/>
      <c r="C83" s="166"/>
      <c r="D83" s="93"/>
      <c r="E83" s="291"/>
      <c r="F83" s="6"/>
      <c r="O83" s="79"/>
      <c r="S83" s="79"/>
      <c r="T83" s="79"/>
      <c r="Y83" s="79"/>
      <c r="AC83" s="130"/>
      <c r="AE83" s="106"/>
    </row>
    <row r="84">
      <c r="C84" s="79"/>
      <c r="D84" s="79"/>
      <c r="E84" s="79"/>
      <c r="O84" s="79"/>
      <c r="S84" s="79"/>
      <c r="T84" s="79"/>
      <c r="Y84" s="79"/>
      <c r="AC84" s="130"/>
      <c r="AE84" s="106"/>
    </row>
    <row r="85">
      <c r="C85" s="79"/>
      <c r="D85" s="79"/>
      <c r="E85" s="79"/>
      <c r="O85" s="79"/>
      <c r="S85" s="79"/>
      <c r="T85" s="79"/>
      <c r="Y85" s="79"/>
      <c r="AC85" s="130"/>
      <c r="AE85" s="106"/>
    </row>
    <row r="86">
      <c r="C86" s="79"/>
      <c r="D86" s="79"/>
      <c r="E86" s="79"/>
      <c r="O86" s="79"/>
      <c r="S86" s="79"/>
      <c r="T86" s="79"/>
      <c r="Y86" s="79"/>
      <c r="AC86" s="130"/>
      <c r="AE86" s="106"/>
    </row>
    <row r="87">
      <c r="C87" s="79"/>
      <c r="D87" s="79"/>
      <c r="E87" s="79"/>
      <c r="O87" s="79"/>
      <c r="S87" s="79"/>
      <c r="T87" s="79"/>
      <c r="Y87" s="79"/>
      <c r="AC87" s="130"/>
      <c r="AE87" s="106"/>
    </row>
    <row r="88">
      <c r="C88" s="79"/>
      <c r="D88" s="79"/>
      <c r="E88" s="79"/>
      <c r="O88" s="79"/>
      <c r="S88" s="79"/>
      <c r="T88" s="79"/>
      <c r="Y88" s="79"/>
      <c r="AC88" s="130"/>
      <c r="AE88" s="106"/>
    </row>
    <row r="89">
      <c r="C89" s="79"/>
      <c r="D89" s="79"/>
      <c r="E89" s="79"/>
      <c r="O89" s="79"/>
      <c r="S89" s="79"/>
      <c r="T89" s="79"/>
      <c r="Y89" s="79"/>
      <c r="AC89" s="130"/>
      <c r="AE89" s="106"/>
    </row>
    <row r="90">
      <c r="C90" s="79"/>
      <c r="D90" s="79"/>
      <c r="E90" s="79"/>
      <c r="O90" s="79"/>
      <c r="S90" s="79"/>
      <c r="T90" s="79"/>
      <c r="Y90" s="79"/>
      <c r="AC90" s="130"/>
      <c r="AE90" s="106"/>
    </row>
    <row r="91">
      <c r="C91" s="79"/>
      <c r="D91" s="79"/>
      <c r="E91" s="79"/>
      <c r="O91" s="79"/>
      <c r="S91" s="79"/>
      <c r="T91" s="79"/>
      <c r="Y91" s="79"/>
      <c r="AC91" s="130"/>
      <c r="AE91" s="106"/>
    </row>
    <row r="92">
      <c r="C92" s="79"/>
      <c r="D92" s="79"/>
      <c r="E92" s="79"/>
      <c r="O92" s="79"/>
      <c r="S92" s="79"/>
      <c r="T92" s="79"/>
      <c r="Y92" s="79"/>
      <c r="AC92" s="130"/>
      <c r="AE92" s="106"/>
    </row>
    <row r="93">
      <c r="C93" s="79"/>
      <c r="D93" s="79"/>
      <c r="E93" s="79"/>
      <c r="O93" s="79"/>
      <c r="S93" s="79"/>
      <c r="T93" s="79"/>
      <c r="Y93" s="79"/>
      <c r="AC93" s="130"/>
      <c r="AE93" s="106"/>
    </row>
    <row r="94">
      <c r="C94" s="79"/>
      <c r="D94" s="79"/>
      <c r="E94" s="79"/>
      <c r="O94" s="79"/>
      <c r="S94" s="79"/>
      <c r="T94" s="79"/>
      <c r="Y94" s="79"/>
      <c r="AC94" s="130"/>
      <c r="AE94" s="106"/>
    </row>
    <row r="95">
      <c r="C95" s="79"/>
      <c r="D95" s="79"/>
      <c r="E95" s="79"/>
      <c r="O95" s="79"/>
      <c r="S95" s="79"/>
      <c r="T95" s="79"/>
      <c r="Y95" s="79"/>
      <c r="AC95" s="130"/>
      <c r="AE95" s="106"/>
    </row>
    <row r="96">
      <c r="C96" s="79"/>
      <c r="D96" s="79"/>
      <c r="E96" s="79"/>
      <c r="O96" s="79"/>
      <c r="S96" s="79"/>
      <c r="T96" s="79"/>
      <c r="Y96" s="79"/>
      <c r="AC96" s="130"/>
      <c r="AE96" s="106"/>
    </row>
    <row r="97">
      <c r="C97" s="79"/>
      <c r="D97" s="79"/>
      <c r="E97" s="79"/>
      <c r="O97" s="79"/>
      <c r="S97" s="79"/>
      <c r="T97" s="79"/>
      <c r="Y97" s="79"/>
      <c r="AC97" s="130"/>
      <c r="AE97" s="106"/>
    </row>
    <row r="98">
      <c r="C98" s="79"/>
      <c r="D98" s="79"/>
      <c r="E98" s="79"/>
      <c r="O98" s="79"/>
      <c r="S98" s="79"/>
      <c r="T98" s="79"/>
      <c r="Y98" s="79"/>
      <c r="AC98" s="130"/>
      <c r="AE98" s="106"/>
    </row>
    <row r="99">
      <c r="C99" s="79"/>
      <c r="D99" s="79"/>
      <c r="E99" s="79"/>
      <c r="O99" s="79"/>
      <c r="S99" s="79"/>
      <c r="T99" s="79"/>
      <c r="Y99" s="79"/>
      <c r="AC99" s="130"/>
      <c r="AE99" s="106"/>
    </row>
    <row r="100">
      <c r="C100" s="79"/>
      <c r="D100" s="79"/>
      <c r="E100" s="79"/>
      <c r="O100" s="79"/>
      <c r="S100" s="79"/>
      <c r="T100" s="79"/>
      <c r="Y100" s="79"/>
      <c r="AC100" s="130"/>
      <c r="AE100" s="106"/>
    </row>
    <row r="101">
      <c r="C101" s="79"/>
      <c r="D101" s="79"/>
      <c r="E101" s="79"/>
      <c r="O101" s="79"/>
      <c r="S101" s="79"/>
      <c r="T101" s="79"/>
      <c r="Y101" s="79"/>
      <c r="AC101" s="130"/>
      <c r="AE101" s="106"/>
    </row>
    <row r="102">
      <c r="C102" s="79"/>
      <c r="D102" s="79"/>
      <c r="E102" s="79"/>
      <c r="O102" s="79"/>
      <c r="S102" s="79"/>
      <c r="T102" s="79"/>
      <c r="Y102" s="79"/>
      <c r="AC102" s="130"/>
      <c r="AE102" s="106"/>
    </row>
    <row r="103">
      <c r="C103" s="79"/>
      <c r="D103" s="79"/>
      <c r="E103" s="79"/>
      <c r="O103" s="79"/>
      <c r="S103" s="79"/>
      <c r="T103" s="79"/>
      <c r="Y103" s="79"/>
      <c r="AC103" s="130"/>
      <c r="AE103" s="106"/>
    </row>
    <row r="104">
      <c r="C104" s="79"/>
      <c r="D104" s="79"/>
      <c r="E104" s="79"/>
      <c r="O104" s="79"/>
      <c r="S104" s="79"/>
      <c r="T104" s="79"/>
      <c r="Y104" s="79"/>
      <c r="AC104" s="130"/>
      <c r="AE104" s="106"/>
    </row>
    <row r="105">
      <c r="C105" s="79"/>
      <c r="D105" s="79"/>
      <c r="E105" s="79"/>
      <c r="O105" s="79"/>
      <c r="S105" s="79"/>
      <c r="T105" s="79"/>
      <c r="Y105" s="79"/>
      <c r="AC105" s="130"/>
      <c r="AE105" s="106"/>
    </row>
    <row r="106">
      <c r="C106" s="79"/>
      <c r="D106" s="79"/>
      <c r="E106" s="79"/>
      <c r="O106" s="79"/>
      <c r="S106" s="79"/>
      <c r="T106" s="79"/>
      <c r="Y106" s="79"/>
      <c r="AC106" s="130"/>
      <c r="AE106" s="106"/>
    </row>
    <row r="107">
      <c r="C107" s="79"/>
      <c r="D107" s="79"/>
      <c r="E107" s="79"/>
      <c r="O107" s="79"/>
      <c r="S107" s="79"/>
      <c r="T107" s="79"/>
      <c r="Y107" s="79"/>
      <c r="AC107" s="130"/>
      <c r="AE107" s="106"/>
    </row>
    <row r="108">
      <c r="C108" s="79"/>
      <c r="D108" s="79"/>
      <c r="E108" s="79"/>
      <c r="O108" s="79"/>
      <c r="S108" s="79"/>
      <c r="T108" s="79"/>
      <c r="Y108" s="79"/>
      <c r="AC108" s="130"/>
      <c r="AE108" s="106"/>
    </row>
    <row r="109">
      <c r="C109" s="79"/>
      <c r="D109" s="79"/>
      <c r="E109" s="79"/>
      <c r="O109" s="79"/>
      <c r="S109" s="79"/>
      <c r="T109" s="79"/>
      <c r="Y109" s="79"/>
      <c r="AC109" s="130"/>
      <c r="AE109" s="106"/>
    </row>
    <row r="110">
      <c r="C110" s="79"/>
      <c r="D110" s="79"/>
      <c r="E110" s="79"/>
      <c r="O110" s="79"/>
      <c r="S110" s="79"/>
      <c r="T110" s="79"/>
      <c r="Y110" s="79"/>
      <c r="AC110" s="130"/>
      <c r="AE110" s="106"/>
    </row>
    <row r="111">
      <c r="C111" s="79"/>
      <c r="D111" s="79"/>
      <c r="E111" s="79"/>
      <c r="O111" s="79"/>
      <c r="S111" s="79"/>
      <c r="T111" s="79"/>
      <c r="Y111" s="79"/>
      <c r="AC111" s="130"/>
      <c r="AE111" s="106"/>
    </row>
    <row r="112">
      <c r="C112" s="79"/>
      <c r="D112" s="79"/>
      <c r="E112" s="79"/>
      <c r="O112" s="79"/>
      <c r="S112" s="79"/>
      <c r="T112" s="79"/>
      <c r="Y112" s="79"/>
      <c r="AC112" s="130"/>
      <c r="AE112" s="106"/>
    </row>
    <row r="113">
      <c r="C113" s="79"/>
      <c r="D113" s="79"/>
      <c r="E113" s="79"/>
      <c r="O113" s="79"/>
      <c r="S113" s="79"/>
      <c r="T113" s="79"/>
      <c r="Y113" s="79"/>
      <c r="AC113" s="130"/>
      <c r="AE113" s="106"/>
    </row>
    <row r="114">
      <c r="C114" s="79"/>
      <c r="D114" s="79"/>
      <c r="E114" s="79"/>
      <c r="O114" s="79"/>
      <c r="S114" s="79"/>
      <c r="T114" s="79"/>
      <c r="Y114" s="79"/>
      <c r="AC114" s="130"/>
      <c r="AE114" s="106"/>
    </row>
    <row r="115">
      <c r="C115" s="79"/>
      <c r="D115" s="79"/>
      <c r="E115" s="79"/>
      <c r="O115" s="79"/>
      <c r="S115" s="79"/>
      <c r="T115" s="79"/>
      <c r="Y115" s="79"/>
      <c r="AC115" s="130"/>
      <c r="AE115" s="106"/>
    </row>
    <row r="116">
      <c r="C116" s="79"/>
      <c r="D116" s="79"/>
      <c r="E116" s="79"/>
      <c r="O116" s="79"/>
      <c r="S116" s="79"/>
      <c r="T116" s="79"/>
      <c r="Y116" s="79"/>
      <c r="AC116" s="130"/>
      <c r="AE116" s="106"/>
    </row>
    <row r="117">
      <c r="C117" s="79"/>
      <c r="D117" s="79"/>
      <c r="E117" s="79"/>
      <c r="O117" s="79"/>
      <c r="S117" s="79"/>
      <c r="T117" s="79"/>
      <c r="Y117" s="79"/>
      <c r="AC117" s="130"/>
      <c r="AE117" s="106"/>
    </row>
    <row r="118">
      <c r="C118" s="79"/>
      <c r="D118" s="79"/>
      <c r="E118" s="79"/>
      <c r="O118" s="79"/>
      <c r="S118" s="79"/>
      <c r="T118" s="79"/>
      <c r="Y118" s="79"/>
      <c r="AC118" s="130"/>
      <c r="AE118" s="106"/>
    </row>
    <row r="119">
      <c r="C119" s="79"/>
      <c r="D119" s="79"/>
      <c r="E119" s="79"/>
      <c r="O119" s="79"/>
      <c r="S119" s="79"/>
      <c r="T119" s="79"/>
      <c r="Y119" s="79"/>
      <c r="AC119" s="130"/>
      <c r="AE119" s="106"/>
    </row>
    <row r="120">
      <c r="C120" s="79"/>
      <c r="D120" s="79"/>
      <c r="E120" s="79"/>
      <c r="O120" s="79"/>
      <c r="S120" s="79"/>
      <c r="T120" s="79"/>
      <c r="Y120" s="79"/>
      <c r="AC120" s="130"/>
      <c r="AE120" s="106"/>
    </row>
    <row r="121">
      <c r="C121" s="79"/>
      <c r="D121" s="79"/>
      <c r="E121" s="79"/>
      <c r="O121" s="79"/>
      <c r="S121" s="79"/>
      <c r="T121" s="79"/>
      <c r="Y121" s="79"/>
      <c r="AC121" s="130"/>
      <c r="AE121" s="106"/>
    </row>
    <row r="122">
      <c r="C122" s="79"/>
      <c r="D122" s="79"/>
      <c r="E122" s="79"/>
      <c r="O122" s="79"/>
      <c r="S122" s="79"/>
      <c r="T122" s="79"/>
      <c r="Y122" s="79"/>
      <c r="AC122" s="130"/>
      <c r="AE122" s="106"/>
    </row>
    <row r="123">
      <c r="C123" s="79"/>
      <c r="D123" s="79"/>
      <c r="E123" s="79"/>
      <c r="O123" s="79"/>
      <c r="S123" s="79"/>
      <c r="T123" s="79"/>
      <c r="Y123" s="79"/>
      <c r="AC123" s="130"/>
      <c r="AE123" s="106"/>
    </row>
    <row r="124">
      <c r="C124" s="79"/>
      <c r="D124" s="79"/>
      <c r="E124" s="79"/>
      <c r="O124" s="79"/>
      <c r="S124" s="79"/>
      <c r="T124" s="79"/>
      <c r="Y124" s="79"/>
      <c r="AC124" s="130"/>
      <c r="AE124" s="106"/>
    </row>
    <row r="125">
      <c r="C125" s="79"/>
      <c r="D125" s="79"/>
      <c r="E125" s="79"/>
      <c r="O125" s="79"/>
      <c r="S125" s="79"/>
      <c r="T125" s="79"/>
      <c r="Y125" s="79"/>
      <c r="AC125" s="130"/>
      <c r="AE125" s="106"/>
    </row>
    <row r="126">
      <c r="C126" s="79"/>
      <c r="D126" s="79"/>
      <c r="E126" s="79"/>
      <c r="O126" s="79"/>
      <c r="S126" s="79"/>
      <c r="T126" s="79"/>
      <c r="Y126" s="79"/>
      <c r="AC126" s="130"/>
      <c r="AE126" s="106"/>
    </row>
    <row r="127">
      <c r="C127" s="79"/>
      <c r="D127" s="79"/>
      <c r="E127" s="79"/>
      <c r="O127" s="79"/>
      <c r="S127" s="79"/>
      <c r="T127" s="79"/>
      <c r="Y127" s="79"/>
      <c r="AC127" s="130"/>
      <c r="AE127" s="106"/>
    </row>
    <row r="128">
      <c r="C128" s="79"/>
      <c r="D128" s="79"/>
      <c r="E128" s="79"/>
      <c r="O128" s="79"/>
      <c r="S128" s="79"/>
      <c r="T128" s="79"/>
      <c r="Y128" s="79"/>
      <c r="AC128" s="130"/>
      <c r="AE128" s="106"/>
    </row>
    <row r="129">
      <c r="C129" s="79"/>
      <c r="D129" s="79"/>
      <c r="E129" s="79"/>
      <c r="O129" s="79"/>
      <c r="S129" s="79"/>
      <c r="T129" s="79"/>
      <c r="Y129" s="79"/>
      <c r="AC129" s="130"/>
      <c r="AE129" s="106"/>
    </row>
    <row r="130">
      <c r="C130" s="79"/>
      <c r="D130" s="79"/>
      <c r="E130" s="79"/>
      <c r="O130" s="79"/>
      <c r="S130" s="79"/>
      <c r="T130" s="79"/>
      <c r="Y130" s="79"/>
      <c r="AC130" s="130"/>
      <c r="AE130" s="106"/>
    </row>
    <row r="131">
      <c r="C131" s="79"/>
      <c r="D131" s="79"/>
      <c r="E131" s="79"/>
      <c r="O131" s="79"/>
      <c r="S131" s="79"/>
      <c r="T131" s="79"/>
      <c r="Y131" s="79"/>
      <c r="AC131" s="130"/>
      <c r="AE131" s="106"/>
    </row>
    <row r="132">
      <c r="C132" s="79"/>
      <c r="D132" s="79"/>
      <c r="E132" s="79"/>
      <c r="O132" s="79"/>
      <c r="S132" s="79"/>
      <c r="T132" s="79"/>
      <c r="Y132" s="79"/>
      <c r="AC132" s="130"/>
      <c r="AE132" s="106"/>
    </row>
    <row r="133">
      <c r="C133" s="79"/>
      <c r="D133" s="79"/>
      <c r="E133" s="79"/>
      <c r="O133" s="79"/>
      <c r="S133" s="79"/>
      <c r="T133" s="79"/>
      <c r="Y133" s="79"/>
      <c r="AC133" s="130"/>
      <c r="AE133" s="106"/>
    </row>
    <row r="134">
      <c r="C134" s="79"/>
      <c r="D134" s="79"/>
      <c r="E134" s="79"/>
      <c r="O134" s="79"/>
      <c r="S134" s="79"/>
      <c r="T134" s="79"/>
      <c r="Y134" s="79"/>
      <c r="AC134" s="130"/>
      <c r="AE134" s="106"/>
    </row>
    <row r="135">
      <c r="C135" s="79"/>
      <c r="D135" s="79"/>
      <c r="E135" s="79"/>
      <c r="O135" s="79"/>
      <c r="S135" s="79"/>
      <c r="T135" s="79"/>
      <c r="Y135" s="79"/>
      <c r="AC135" s="130"/>
      <c r="AE135" s="106"/>
    </row>
    <row r="136">
      <c r="C136" s="79"/>
      <c r="D136" s="79"/>
      <c r="E136" s="79"/>
      <c r="O136" s="79"/>
      <c r="S136" s="79"/>
      <c r="T136" s="79"/>
      <c r="Y136" s="79"/>
      <c r="AC136" s="130"/>
      <c r="AE136" s="106"/>
    </row>
    <row r="137">
      <c r="C137" s="79"/>
      <c r="D137" s="79"/>
      <c r="E137" s="79"/>
      <c r="O137" s="79"/>
      <c r="S137" s="79"/>
      <c r="T137" s="79"/>
      <c r="Y137" s="79"/>
      <c r="AC137" s="130"/>
      <c r="AE137" s="106"/>
    </row>
    <row r="138">
      <c r="C138" s="79"/>
      <c r="D138" s="79"/>
      <c r="E138" s="79"/>
      <c r="O138" s="79"/>
      <c r="S138" s="79"/>
      <c r="T138" s="79"/>
      <c r="Y138" s="79"/>
      <c r="AC138" s="130"/>
      <c r="AE138" s="106"/>
    </row>
    <row r="139">
      <c r="C139" s="79"/>
      <c r="D139" s="79"/>
      <c r="E139" s="79"/>
      <c r="O139" s="79"/>
      <c r="S139" s="79"/>
      <c r="T139" s="79"/>
      <c r="Y139" s="79"/>
      <c r="AC139" s="130"/>
      <c r="AE139" s="106"/>
    </row>
    <row r="140">
      <c r="C140" s="79"/>
      <c r="D140" s="79"/>
      <c r="E140" s="79"/>
      <c r="O140" s="79"/>
      <c r="S140" s="79"/>
      <c r="T140" s="79"/>
      <c r="Y140" s="79"/>
      <c r="AC140" s="130"/>
      <c r="AE140" s="106"/>
    </row>
    <row r="141">
      <c r="C141" s="79"/>
      <c r="D141" s="79"/>
      <c r="E141" s="79"/>
      <c r="O141" s="79"/>
      <c r="S141" s="79"/>
      <c r="T141" s="79"/>
      <c r="Y141" s="79"/>
      <c r="AC141" s="130"/>
      <c r="AE141" s="106"/>
    </row>
    <row r="142">
      <c r="C142" s="79"/>
      <c r="D142" s="79"/>
      <c r="E142" s="79"/>
      <c r="O142" s="79"/>
      <c r="S142" s="79"/>
      <c r="T142" s="79"/>
      <c r="Y142" s="79"/>
      <c r="AC142" s="130"/>
      <c r="AE142" s="106"/>
    </row>
    <row r="143">
      <c r="C143" s="79"/>
      <c r="D143" s="79"/>
      <c r="E143" s="79"/>
      <c r="O143" s="79"/>
      <c r="S143" s="79"/>
      <c r="T143" s="79"/>
      <c r="Y143" s="79"/>
      <c r="AC143" s="130"/>
      <c r="AE143" s="106"/>
    </row>
    <row r="144">
      <c r="C144" s="79"/>
      <c r="D144" s="79"/>
      <c r="E144" s="79"/>
      <c r="O144" s="79"/>
      <c r="S144" s="79"/>
      <c r="T144" s="79"/>
      <c r="Y144" s="79"/>
      <c r="AC144" s="130"/>
      <c r="AE144" s="106"/>
    </row>
    <row r="145">
      <c r="C145" s="79"/>
      <c r="D145" s="79"/>
      <c r="E145" s="79"/>
      <c r="O145" s="79"/>
      <c r="S145" s="79"/>
      <c r="T145" s="79"/>
      <c r="Y145" s="79"/>
      <c r="AC145" s="130"/>
      <c r="AE145" s="106"/>
    </row>
    <row r="146">
      <c r="C146" s="79"/>
      <c r="D146" s="79"/>
      <c r="E146" s="79"/>
      <c r="O146" s="79"/>
      <c r="S146" s="79"/>
      <c r="T146" s="79"/>
      <c r="Y146" s="79"/>
      <c r="AC146" s="130"/>
      <c r="AE146" s="106"/>
    </row>
    <row r="147">
      <c r="C147" s="79"/>
      <c r="D147" s="79"/>
      <c r="E147" s="79"/>
      <c r="O147" s="79"/>
      <c r="S147" s="79"/>
      <c r="T147" s="79"/>
      <c r="Y147" s="79"/>
      <c r="AC147" s="130"/>
      <c r="AE147" s="106"/>
    </row>
    <row r="148">
      <c r="C148" s="79"/>
      <c r="D148" s="79"/>
      <c r="E148" s="79"/>
      <c r="O148" s="79"/>
      <c r="S148" s="79"/>
      <c r="T148" s="79"/>
      <c r="Y148" s="79"/>
      <c r="AC148" s="130"/>
      <c r="AE148" s="106"/>
    </row>
    <row r="149">
      <c r="C149" s="79"/>
      <c r="D149" s="79"/>
      <c r="E149" s="79"/>
      <c r="O149" s="79"/>
      <c r="S149" s="79"/>
      <c r="T149" s="79"/>
      <c r="Y149" s="79"/>
      <c r="AC149" s="130"/>
      <c r="AE149" s="106"/>
    </row>
    <row r="150">
      <c r="C150" s="79"/>
      <c r="D150" s="79"/>
      <c r="E150" s="79"/>
      <c r="O150" s="79"/>
      <c r="S150" s="79"/>
      <c r="T150" s="79"/>
      <c r="Y150" s="79"/>
      <c r="AC150" s="130"/>
      <c r="AE150" s="106"/>
    </row>
    <row r="151">
      <c r="C151" s="79"/>
      <c r="D151" s="79"/>
      <c r="E151" s="79"/>
      <c r="O151" s="79"/>
      <c r="S151" s="79"/>
      <c r="T151" s="79"/>
      <c r="Y151" s="79"/>
      <c r="AC151" s="130"/>
      <c r="AE151" s="106"/>
    </row>
    <row r="152">
      <c r="C152" s="79"/>
      <c r="D152" s="79"/>
      <c r="E152" s="79"/>
      <c r="O152" s="79"/>
      <c r="S152" s="79"/>
      <c r="T152" s="79"/>
      <c r="Y152" s="79"/>
      <c r="AC152" s="130"/>
      <c r="AE152" s="106"/>
    </row>
    <row r="153">
      <c r="C153" s="79"/>
      <c r="D153" s="79"/>
      <c r="E153" s="79"/>
      <c r="O153" s="79"/>
      <c r="S153" s="79"/>
      <c r="T153" s="79"/>
      <c r="Y153" s="79"/>
      <c r="AC153" s="130"/>
      <c r="AE153" s="106"/>
    </row>
    <row r="154">
      <c r="C154" s="79"/>
      <c r="D154" s="79"/>
      <c r="E154" s="79"/>
      <c r="O154" s="79"/>
      <c r="S154" s="79"/>
      <c r="T154" s="79"/>
      <c r="Y154" s="79"/>
      <c r="AC154" s="130"/>
      <c r="AE154" s="106"/>
    </row>
    <row r="155">
      <c r="C155" s="79"/>
      <c r="D155" s="79"/>
      <c r="E155" s="79"/>
      <c r="O155" s="79"/>
      <c r="S155" s="79"/>
      <c r="T155" s="79"/>
      <c r="Y155" s="79"/>
      <c r="AC155" s="130"/>
      <c r="AE155" s="106"/>
    </row>
    <row r="156">
      <c r="C156" s="79"/>
      <c r="D156" s="79"/>
      <c r="E156" s="79"/>
      <c r="O156" s="79"/>
      <c r="S156" s="79"/>
      <c r="T156" s="79"/>
      <c r="Y156" s="79"/>
      <c r="AC156" s="130"/>
      <c r="AE156" s="106"/>
    </row>
    <row r="157">
      <c r="C157" s="79"/>
      <c r="D157" s="79"/>
      <c r="E157" s="79"/>
      <c r="O157" s="79"/>
      <c r="S157" s="79"/>
      <c r="T157" s="79"/>
      <c r="Y157" s="79"/>
      <c r="AC157" s="130"/>
      <c r="AE157" s="106"/>
    </row>
    <row r="158">
      <c r="C158" s="79"/>
      <c r="D158" s="79"/>
      <c r="E158" s="79"/>
      <c r="O158" s="79"/>
      <c r="S158" s="79"/>
      <c r="T158" s="79"/>
      <c r="Y158" s="79"/>
      <c r="AC158" s="130"/>
      <c r="AE158" s="106"/>
    </row>
    <row r="159">
      <c r="C159" s="79"/>
      <c r="D159" s="79"/>
      <c r="E159" s="79"/>
      <c r="O159" s="79"/>
      <c r="S159" s="79"/>
      <c r="T159" s="79"/>
      <c r="Y159" s="79"/>
      <c r="AC159" s="130"/>
      <c r="AE159" s="106"/>
    </row>
    <row r="160">
      <c r="C160" s="79"/>
      <c r="D160" s="79"/>
      <c r="E160" s="79"/>
      <c r="O160" s="79"/>
      <c r="S160" s="79"/>
      <c r="T160" s="79"/>
      <c r="Y160" s="79"/>
      <c r="AC160" s="130"/>
      <c r="AE160" s="106"/>
    </row>
    <row r="161">
      <c r="C161" s="79"/>
      <c r="D161" s="79"/>
      <c r="E161" s="79"/>
      <c r="O161" s="79"/>
      <c r="S161" s="79"/>
      <c r="T161" s="79"/>
      <c r="Y161" s="79"/>
      <c r="AC161" s="130"/>
      <c r="AE161" s="106"/>
    </row>
    <row r="162">
      <c r="C162" s="79"/>
      <c r="D162" s="79"/>
      <c r="E162" s="79"/>
      <c r="O162" s="79"/>
      <c r="S162" s="79"/>
      <c r="T162" s="79"/>
      <c r="Y162" s="79"/>
      <c r="AC162" s="130"/>
      <c r="AE162" s="106"/>
    </row>
    <row r="163">
      <c r="C163" s="79"/>
      <c r="D163" s="79"/>
      <c r="E163" s="79"/>
      <c r="O163" s="79"/>
      <c r="S163" s="79"/>
      <c r="T163" s="79"/>
      <c r="Y163" s="79"/>
      <c r="AC163" s="130"/>
      <c r="AE163" s="106"/>
    </row>
    <row r="164">
      <c r="C164" s="79"/>
      <c r="D164" s="79"/>
      <c r="E164" s="79"/>
      <c r="O164" s="79"/>
      <c r="S164" s="79"/>
      <c r="T164" s="79"/>
      <c r="Y164" s="79"/>
      <c r="AC164" s="130"/>
      <c r="AE164" s="106"/>
    </row>
    <row r="165">
      <c r="C165" s="79"/>
      <c r="D165" s="79"/>
      <c r="E165" s="79"/>
      <c r="O165" s="79"/>
      <c r="S165" s="79"/>
      <c r="T165" s="79"/>
      <c r="Y165" s="79"/>
      <c r="AC165" s="130"/>
      <c r="AE165" s="106"/>
    </row>
    <row r="166">
      <c r="C166" s="79"/>
      <c r="D166" s="79"/>
      <c r="E166" s="79"/>
      <c r="O166" s="79"/>
      <c r="S166" s="79"/>
      <c r="T166" s="79"/>
      <c r="Y166" s="79"/>
      <c r="AC166" s="130"/>
      <c r="AE166" s="106"/>
    </row>
    <row r="167">
      <c r="C167" s="79"/>
      <c r="D167" s="79"/>
      <c r="E167" s="79"/>
      <c r="O167" s="79"/>
      <c r="S167" s="79"/>
      <c r="T167" s="79"/>
      <c r="Y167" s="79"/>
      <c r="AC167" s="130"/>
      <c r="AE167" s="106"/>
    </row>
    <row r="168">
      <c r="C168" s="79"/>
      <c r="D168" s="79"/>
      <c r="E168" s="79"/>
      <c r="O168" s="79"/>
      <c r="S168" s="79"/>
      <c r="T168" s="79"/>
      <c r="Y168" s="79"/>
      <c r="AC168" s="130"/>
      <c r="AE168" s="106"/>
    </row>
    <row r="169">
      <c r="C169" s="79"/>
      <c r="D169" s="79"/>
      <c r="E169" s="79"/>
      <c r="O169" s="79"/>
      <c r="S169" s="79"/>
      <c r="T169" s="79"/>
      <c r="Y169" s="79"/>
      <c r="AC169" s="130"/>
      <c r="AE169" s="106"/>
    </row>
    <row r="170">
      <c r="C170" s="79"/>
      <c r="D170" s="79"/>
      <c r="E170" s="79"/>
      <c r="O170" s="79"/>
      <c r="S170" s="79"/>
      <c r="T170" s="79"/>
      <c r="Y170" s="79"/>
      <c r="AC170" s="130"/>
      <c r="AE170" s="106"/>
    </row>
    <row r="171">
      <c r="C171" s="79"/>
      <c r="D171" s="79"/>
      <c r="E171" s="79"/>
      <c r="O171" s="79"/>
      <c r="S171" s="79"/>
      <c r="T171" s="79"/>
      <c r="Y171" s="79"/>
      <c r="AC171" s="130"/>
      <c r="AE171" s="106"/>
    </row>
    <row r="172">
      <c r="C172" s="79"/>
      <c r="D172" s="79"/>
      <c r="E172" s="79"/>
      <c r="O172" s="79"/>
      <c r="S172" s="79"/>
      <c r="T172" s="79"/>
      <c r="Y172" s="79"/>
      <c r="AC172" s="130"/>
      <c r="AE172" s="106"/>
    </row>
    <row r="173">
      <c r="C173" s="79"/>
      <c r="D173" s="79"/>
      <c r="E173" s="79"/>
      <c r="O173" s="79"/>
      <c r="S173" s="79"/>
      <c r="T173" s="79"/>
      <c r="Y173" s="79"/>
      <c r="AC173" s="130"/>
      <c r="AE173" s="106"/>
    </row>
    <row r="174">
      <c r="C174" s="79"/>
      <c r="D174" s="79"/>
      <c r="E174" s="79"/>
      <c r="O174" s="79"/>
      <c r="S174" s="79"/>
      <c r="T174" s="79"/>
      <c r="Y174" s="79"/>
      <c r="AC174" s="130"/>
      <c r="AE174" s="106"/>
    </row>
    <row r="175">
      <c r="C175" s="79"/>
      <c r="D175" s="79"/>
      <c r="E175" s="79"/>
      <c r="O175" s="79"/>
      <c r="S175" s="79"/>
      <c r="T175" s="79"/>
      <c r="Y175" s="79"/>
      <c r="AC175" s="130"/>
      <c r="AE175" s="106"/>
    </row>
    <row r="176">
      <c r="C176" s="79"/>
      <c r="D176" s="79"/>
      <c r="E176" s="79"/>
      <c r="O176" s="79"/>
      <c r="S176" s="79"/>
      <c r="T176" s="79"/>
      <c r="Y176" s="79"/>
      <c r="AC176" s="130"/>
      <c r="AE176" s="106"/>
    </row>
    <row r="177">
      <c r="C177" s="79"/>
      <c r="D177" s="79"/>
      <c r="E177" s="79"/>
      <c r="O177" s="79"/>
      <c r="S177" s="79"/>
      <c r="T177" s="79"/>
      <c r="Y177" s="79"/>
      <c r="AC177" s="130"/>
      <c r="AE177" s="106"/>
    </row>
    <row r="178">
      <c r="C178" s="79"/>
      <c r="D178" s="79"/>
      <c r="E178" s="79"/>
      <c r="O178" s="79"/>
      <c r="S178" s="79"/>
      <c r="T178" s="79"/>
      <c r="Y178" s="79"/>
      <c r="AC178" s="130"/>
      <c r="AE178" s="106"/>
    </row>
    <row r="179">
      <c r="C179" s="79"/>
      <c r="D179" s="79"/>
      <c r="E179" s="79"/>
      <c r="O179" s="79"/>
      <c r="S179" s="79"/>
      <c r="T179" s="79"/>
      <c r="Y179" s="79"/>
      <c r="AC179" s="130"/>
      <c r="AE179" s="106"/>
    </row>
    <row r="180">
      <c r="C180" s="79"/>
      <c r="D180" s="79"/>
      <c r="E180" s="79"/>
      <c r="O180" s="79"/>
      <c r="S180" s="79"/>
      <c r="T180" s="79"/>
      <c r="Y180" s="79"/>
      <c r="AC180" s="130"/>
      <c r="AE180" s="106"/>
    </row>
    <row r="181">
      <c r="C181" s="79"/>
      <c r="D181" s="79"/>
      <c r="E181" s="79"/>
      <c r="O181" s="79"/>
      <c r="S181" s="79"/>
      <c r="T181" s="79"/>
      <c r="Y181" s="79"/>
      <c r="AC181" s="130"/>
      <c r="AE181" s="106"/>
    </row>
    <row r="182">
      <c r="C182" s="79"/>
      <c r="D182" s="79"/>
      <c r="E182" s="79"/>
      <c r="O182" s="79"/>
      <c r="S182" s="79"/>
      <c r="T182" s="79"/>
      <c r="Y182" s="79"/>
      <c r="AC182" s="130"/>
      <c r="AE182" s="106"/>
    </row>
    <row r="183">
      <c r="C183" s="79"/>
      <c r="D183" s="79"/>
      <c r="E183" s="79"/>
      <c r="O183" s="79"/>
      <c r="S183" s="79"/>
      <c r="T183" s="79"/>
      <c r="Y183" s="79"/>
      <c r="AC183" s="130"/>
      <c r="AE183" s="106"/>
    </row>
    <row r="184">
      <c r="C184" s="79"/>
      <c r="D184" s="79"/>
      <c r="E184" s="79"/>
      <c r="O184" s="79"/>
      <c r="S184" s="79"/>
      <c r="T184" s="79"/>
      <c r="Y184" s="79"/>
      <c r="AC184" s="130"/>
      <c r="AE184" s="106"/>
    </row>
    <row r="185">
      <c r="C185" s="79"/>
      <c r="D185" s="79"/>
      <c r="E185" s="79"/>
      <c r="O185" s="79"/>
      <c r="S185" s="79"/>
      <c r="T185" s="79"/>
      <c r="Y185" s="79"/>
      <c r="AC185" s="130"/>
      <c r="AE185" s="106"/>
    </row>
    <row r="186">
      <c r="C186" s="79"/>
      <c r="D186" s="79"/>
      <c r="E186" s="79"/>
      <c r="O186" s="79"/>
      <c r="S186" s="79"/>
      <c r="T186" s="79"/>
      <c r="Y186" s="79"/>
      <c r="AC186" s="130"/>
      <c r="AE186" s="106"/>
    </row>
    <row r="187">
      <c r="C187" s="79"/>
      <c r="D187" s="79"/>
      <c r="E187" s="79"/>
      <c r="O187" s="79"/>
      <c r="S187" s="79"/>
      <c r="T187" s="79"/>
      <c r="Y187" s="79"/>
      <c r="AC187" s="130"/>
      <c r="AE187" s="106"/>
    </row>
    <row r="188">
      <c r="C188" s="79"/>
      <c r="D188" s="79"/>
      <c r="E188" s="79"/>
      <c r="O188" s="79"/>
      <c r="S188" s="79"/>
      <c r="T188" s="79"/>
      <c r="Y188" s="79"/>
      <c r="AC188" s="130"/>
      <c r="AE188" s="106"/>
    </row>
    <row r="189">
      <c r="C189" s="79"/>
      <c r="D189" s="79"/>
      <c r="E189" s="79"/>
      <c r="O189" s="79"/>
      <c r="S189" s="79"/>
      <c r="T189" s="79"/>
      <c r="Y189" s="79"/>
      <c r="AC189" s="130"/>
      <c r="AE189" s="106"/>
    </row>
    <row r="190">
      <c r="C190" s="79"/>
      <c r="D190" s="79"/>
      <c r="E190" s="79"/>
      <c r="O190" s="79"/>
      <c r="S190" s="79"/>
      <c r="T190" s="79"/>
      <c r="Y190" s="79"/>
      <c r="AC190" s="130"/>
      <c r="AE190" s="106"/>
    </row>
    <row r="191">
      <c r="C191" s="79"/>
      <c r="D191" s="79"/>
      <c r="E191" s="79"/>
      <c r="O191" s="79"/>
      <c r="S191" s="79"/>
      <c r="T191" s="79"/>
      <c r="Y191" s="79"/>
      <c r="AC191" s="130"/>
      <c r="AE191" s="106"/>
    </row>
    <row r="192">
      <c r="C192" s="79"/>
      <c r="D192" s="79"/>
      <c r="E192" s="79"/>
      <c r="O192" s="79"/>
      <c r="S192" s="79"/>
      <c r="T192" s="79"/>
      <c r="Y192" s="79"/>
      <c r="AC192" s="130"/>
      <c r="AE192" s="106"/>
    </row>
    <row r="193">
      <c r="C193" s="79"/>
      <c r="D193" s="79"/>
      <c r="E193" s="79"/>
      <c r="O193" s="79"/>
      <c r="S193" s="79"/>
      <c r="T193" s="79"/>
      <c r="Y193" s="79"/>
      <c r="AC193" s="130"/>
      <c r="AE193" s="106"/>
    </row>
    <row r="194">
      <c r="C194" s="79"/>
      <c r="D194" s="79"/>
      <c r="E194" s="79"/>
      <c r="O194" s="79"/>
      <c r="S194" s="79"/>
      <c r="T194" s="79"/>
      <c r="Y194" s="79"/>
      <c r="AC194" s="130"/>
      <c r="AE194" s="106"/>
    </row>
    <row r="195">
      <c r="C195" s="79"/>
      <c r="D195" s="79"/>
      <c r="E195" s="79"/>
      <c r="O195" s="79"/>
      <c r="S195" s="79"/>
      <c r="T195" s="79"/>
      <c r="Y195" s="79"/>
      <c r="AC195" s="130"/>
      <c r="AE195" s="106"/>
    </row>
    <row r="196">
      <c r="C196" s="79"/>
      <c r="D196" s="79"/>
      <c r="E196" s="79"/>
      <c r="O196" s="79"/>
      <c r="S196" s="79"/>
      <c r="T196" s="79"/>
      <c r="Y196" s="79"/>
      <c r="AC196" s="130"/>
      <c r="AE196" s="106"/>
    </row>
    <row r="197">
      <c r="C197" s="79"/>
      <c r="D197" s="79"/>
      <c r="E197" s="79"/>
      <c r="O197" s="79"/>
      <c r="S197" s="79"/>
      <c r="T197" s="79"/>
      <c r="Y197" s="79"/>
      <c r="AC197" s="130"/>
      <c r="AE197" s="106"/>
    </row>
    <row r="198">
      <c r="C198" s="79"/>
      <c r="D198" s="79"/>
      <c r="E198" s="79"/>
      <c r="O198" s="79"/>
      <c r="S198" s="79"/>
      <c r="T198" s="79"/>
      <c r="Y198" s="79"/>
      <c r="AC198" s="130"/>
      <c r="AE198" s="106"/>
    </row>
    <row r="199">
      <c r="C199" s="79"/>
      <c r="D199" s="79"/>
      <c r="E199" s="79"/>
      <c r="O199" s="79"/>
      <c r="S199" s="79"/>
      <c r="T199" s="79"/>
      <c r="Y199" s="79"/>
      <c r="AC199" s="130"/>
      <c r="AE199" s="106"/>
    </row>
    <row r="200">
      <c r="C200" s="79"/>
      <c r="D200" s="79"/>
      <c r="E200" s="79"/>
      <c r="O200" s="79"/>
      <c r="S200" s="79"/>
      <c r="T200" s="79"/>
      <c r="Y200" s="79"/>
      <c r="AC200" s="130"/>
      <c r="AE200" s="106"/>
    </row>
    <row r="201">
      <c r="C201" s="79"/>
      <c r="D201" s="79"/>
      <c r="E201" s="79"/>
      <c r="O201" s="79"/>
      <c r="S201" s="79"/>
      <c r="T201" s="79"/>
      <c r="Y201" s="79"/>
      <c r="AC201" s="130"/>
      <c r="AE201" s="106"/>
    </row>
    <row r="202">
      <c r="C202" s="79"/>
      <c r="D202" s="79"/>
      <c r="E202" s="79"/>
      <c r="O202" s="79"/>
      <c r="S202" s="79"/>
      <c r="T202" s="79"/>
      <c r="Y202" s="79"/>
      <c r="AC202" s="130"/>
      <c r="AE202" s="106"/>
    </row>
    <row r="203">
      <c r="C203" s="79"/>
      <c r="D203" s="79"/>
      <c r="E203" s="79"/>
      <c r="O203" s="79"/>
      <c r="S203" s="79"/>
      <c r="T203" s="79"/>
      <c r="Y203" s="79"/>
      <c r="AC203" s="130"/>
      <c r="AE203" s="106"/>
    </row>
    <row r="204">
      <c r="C204" s="79"/>
      <c r="D204" s="79"/>
      <c r="E204" s="79"/>
      <c r="O204" s="79"/>
      <c r="S204" s="79"/>
      <c r="T204" s="79"/>
      <c r="Y204" s="79"/>
      <c r="AC204" s="130"/>
      <c r="AE204" s="106"/>
    </row>
    <row r="205">
      <c r="C205" s="79"/>
      <c r="D205" s="79"/>
      <c r="E205" s="79"/>
      <c r="O205" s="79"/>
      <c r="S205" s="79"/>
      <c r="T205" s="79"/>
      <c r="Y205" s="79"/>
      <c r="AC205" s="130"/>
      <c r="AE205" s="106"/>
    </row>
    <row r="206">
      <c r="C206" s="79"/>
      <c r="D206" s="79"/>
      <c r="E206" s="79"/>
      <c r="O206" s="79"/>
      <c r="S206" s="79"/>
      <c r="T206" s="79"/>
      <c r="Y206" s="79"/>
      <c r="AC206" s="130"/>
      <c r="AE206" s="106"/>
    </row>
    <row r="207">
      <c r="C207" s="79"/>
      <c r="D207" s="79"/>
      <c r="E207" s="79"/>
      <c r="O207" s="79"/>
      <c r="S207" s="79"/>
      <c r="T207" s="79"/>
      <c r="Y207" s="79"/>
      <c r="AC207" s="130"/>
      <c r="AE207" s="106"/>
    </row>
    <row r="208">
      <c r="C208" s="79"/>
      <c r="D208" s="79"/>
      <c r="E208" s="79"/>
      <c r="O208" s="79"/>
      <c r="S208" s="79"/>
      <c r="T208" s="79"/>
      <c r="Y208" s="79"/>
      <c r="AC208" s="130"/>
      <c r="AE208" s="106"/>
    </row>
    <row r="209">
      <c r="C209" s="79"/>
      <c r="D209" s="79"/>
      <c r="E209" s="79"/>
      <c r="O209" s="79"/>
      <c r="S209" s="79"/>
      <c r="T209" s="79"/>
      <c r="Y209" s="79"/>
      <c r="AC209" s="130"/>
      <c r="AE209" s="106"/>
    </row>
    <row r="210">
      <c r="C210" s="79"/>
      <c r="D210" s="79"/>
      <c r="E210" s="79"/>
      <c r="O210" s="79"/>
      <c r="S210" s="79"/>
      <c r="T210" s="79"/>
      <c r="Y210" s="79"/>
      <c r="AC210" s="130"/>
      <c r="AE210" s="106"/>
    </row>
    <row r="211">
      <c r="C211" s="79"/>
      <c r="D211" s="79"/>
      <c r="E211" s="79"/>
      <c r="O211" s="79"/>
      <c r="S211" s="79"/>
      <c r="T211" s="79"/>
      <c r="Y211" s="79"/>
      <c r="AC211" s="130"/>
      <c r="AE211" s="106"/>
    </row>
    <row r="212">
      <c r="C212" s="79"/>
      <c r="D212" s="79"/>
      <c r="E212" s="79"/>
      <c r="O212" s="79"/>
      <c r="S212" s="79"/>
      <c r="T212" s="79"/>
      <c r="Y212" s="79"/>
      <c r="AC212" s="130"/>
      <c r="AE212" s="106"/>
    </row>
    <row r="213">
      <c r="C213" s="79"/>
      <c r="D213" s="79"/>
      <c r="E213" s="79"/>
      <c r="O213" s="79"/>
      <c r="S213" s="79"/>
      <c r="T213" s="79"/>
      <c r="Y213" s="79"/>
      <c r="AC213" s="130"/>
      <c r="AE213" s="106"/>
    </row>
    <row r="214">
      <c r="C214" s="79"/>
      <c r="D214" s="79"/>
      <c r="E214" s="79"/>
      <c r="O214" s="79"/>
      <c r="S214" s="79"/>
      <c r="T214" s="79"/>
      <c r="Y214" s="79"/>
      <c r="AC214" s="130"/>
      <c r="AE214" s="106"/>
    </row>
    <row r="215">
      <c r="C215" s="79"/>
      <c r="D215" s="79"/>
      <c r="E215" s="79"/>
      <c r="O215" s="79"/>
      <c r="S215" s="79"/>
      <c r="T215" s="79"/>
      <c r="Y215" s="79"/>
      <c r="AC215" s="130"/>
      <c r="AE215" s="106"/>
    </row>
    <row r="216">
      <c r="C216" s="79"/>
      <c r="D216" s="79"/>
      <c r="E216" s="79"/>
      <c r="O216" s="79"/>
      <c r="S216" s="79"/>
      <c r="T216" s="79"/>
      <c r="Y216" s="79"/>
      <c r="AC216" s="130"/>
      <c r="AE216" s="106"/>
    </row>
    <row r="217">
      <c r="C217" s="79"/>
      <c r="D217" s="79"/>
      <c r="E217" s="79"/>
      <c r="O217" s="79"/>
      <c r="S217" s="79"/>
      <c r="T217" s="79"/>
      <c r="Y217" s="79"/>
      <c r="AC217" s="130"/>
      <c r="AE217" s="106"/>
    </row>
    <row r="218">
      <c r="C218" s="79"/>
      <c r="D218" s="79"/>
      <c r="E218" s="79"/>
      <c r="O218" s="79"/>
      <c r="S218" s="79"/>
      <c r="T218" s="79"/>
      <c r="Y218" s="79"/>
      <c r="AC218" s="130"/>
      <c r="AE218" s="106"/>
    </row>
    <row r="219">
      <c r="C219" s="79"/>
      <c r="D219" s="79"/>
      <c r="E219" s="79"/>
      <c r="O219" s="79"/>
      <c r="S219" s="79"/>
      <c r="T219" s="79"/>
      <c r="Y219" s="79"/>
      <c r="AC219" s="130"/>
      <c r="AE219" s="106"/>
    </row>
    <row r="220">
      <c r="C220" s="79"/>
      <c r="D220" s="79"/>
      <c r="E220" s="79"/>
      <c r="O220" s="79"/>
      <c r="S220" s="79"/>
      <c r="T220" s="79"/>
      <c r="Y220" s="79"/>
      <c r="AC220" s="130"/>
      <c r="AE220" s="106"/>
    </row>
    <row r="221">
      <c r="C221" s="79"/>
      <c r="D221" s="79"/>
      <c r="E221" s="79"/>
      <c r="O221" s="79"/>
      <c r="S221" s="79"/>
      <c r="T221" s="79"/>
      <c r="Y221" s="79"/>
      <c r="AC221" s="130"/>
      <c r="AE221" s="106"/>
    </row>
    <row r="222">
      <c r="C222" s="79"/>
      <c r="D222" s="79"/>
      <c r="E222" s="79"/>
      <c r="O222" s="79"/>
      <c r="S222" s="79"/>
      <c r="T222" s="79"/>
      <c r="Y222" s="79"/>
      <c r="AC222" s="130"/>
      <c r="AE222" s="106"/>
    </row>
    <row r="223">
      <c r="C223" s="79"/>
      <c r="D223" s="79"/>
      <c r="E223" s="79"/>
      <c r="O223" s="79"/>
      <c r="S223" s="79"/>
      <c r="T223" s="79"/>
      <c r="Y223" s="79"/>
      <c r="AC223" s="130"/>
      <c r="AE223" s="106"/>
    </row>
    <row r="224">
      <c r="C224" s="79"/>
      <c r="D224" s="79"/>
      <c r="E224" s="79"/>
      <c r="O224" s="79"/>
      <c r="S224" s="79"/>
      <c r="T224" s="79"/>
      <c r="Y224" s="79"/>
      <c r="AC224" s="130"/>
      <c r="AE224" s="106"/>
    </row>
    <row r="225">
      <c r="C225" s="79"/>
      <c r="D225" s="79"/>
      <c r="E225" s="79"/>
      <c r="O225" s="79"/>
      <c r="S225" s="79"/>
      <c r="T225" s="79"/>
      <c r="Y225" s="79"/>
      <c r="AC225" s="130"/>
      <c r="AE225" s="106"/>
    </row>
    <row r="226">
      <c r="C226" s="79"/>
      <c r="D226" s="79"/>
      <c r="E226" s="79"/>
      <c r="O226" s="79"/>
      <c r="S226" s="79"/>
      <c r="T226" s="79"/>
      <c r="Y226" s="79"/>
      <c r="AC226" s="130"/>
      <c r="AE226" s="106"/>
    </row>
    <row r="227">
      <c r="C227" s="79"/>
      <c r="D227" s="79"/>
      <c r="E227" s="79"/>
      <c r="O227" s="79"/>
      <c r="S227" s="79"/>
      <c r="T227" s="79"/>
      <c r="Y227" s="79"/>
      <c r="AC227" s="130"/>
      <c r="AE227" s="106"/>
    </row>
    <row r="228">
      <c r="C228" s="79"/>
      <c r="D228" s="79"/>
      <c r="E228" s="79"/>
      <c r="O228" s="79"/>
      <c r="S228" s="79"/>
      <c r="T228" s="79"/>
      <c r="Y228" s="79"/>
      <c r="AC228" s="130"/>
      <c r="AE228" s="106"/>
    </row>
    <row r="229">
      <c r="C229" s="79"/>
      <c r="D229" s="79"/>
      <c r="E229" s="79"/>
      <c r="O229" s="79"/>
      <c r="S229" s="79"/>
      <c r="T229" s="79"/>
      <c r="Y229" s="79"/>
      <c r="AC229" s="130"/>
      <c r="AE229" s="106"/>
    </row>
    <row r="230">
      <c r="C230" s="79"/>
      <c r="D230" s="79"/>
      <c r="E230" s="79"/>
      <c r="O230" s="79"/>
      <c r="S230" s="79"/>
      <c r="T230" s="79"/>
      <c r="Y230" s="79"/>
      <c r="AC230" s="130"/>
      <c r="AE230" s="106"/>
    </row>
    <row r="231">
      <c r="C231" s="79"/>
      <c r="D231" s="79"/>
      <c r="E231" s="79"/>
      <c r="O231" s="79"/>
      <c r="S231" s="79"/>
      <c r="T231" s="79"/>
      <c r="Y231" s="79"/>
      <c r="AC231" s="130"/>
      <c r="AE231" s="106"/>
    </row>
    <row r="232">
      <c r="C232" s="79"/>
      <c r="D232" s="79"/>
      <c r="E232" s="79"/>
      <c r="O232" s="79"/>
      <c r="S232" s="79"/>
      <c r="T232" s="79"/>
      <c r="Y232" s="79"/>
      <c r="AC232" s="130"/>
      <c r="AE232" s="106"/>
    </row>
    <row r="233">
      <c r="C233" s="79"/>
      <c r="D233" s="79"/>
      <c r="E233" s="79"/>
      <c r="O233" s="79"/>
      <c r="S233" s="79"/>
      <c r="T233" s="79"/>
      <c r="Y233" s="79"/>
      <c r="AC233" s="130"/>
      <c r="AE233" s="106"/>
    </row>
    <row r="234">
      <c r="C234" s="79"/>
      <c r="D234" s="79"/>
      <c r="E234" s="79"/>
      <c r="O234" s="79"/>
      <c r="S234" s="79"/>
      <c r="T234" s="79"/>
      <c r="Y234" s="79"/>
      <c r="AC234" s="130"/>
      <c r="AE234" s="106"/>
    </row>
    <row r="235">
      <c r="C235" s="79"/>
      <c r="D235" s="79"/>
      <c r="E235" s="79"/>
      <c r="O235" s="79"/>
      <c r="S235" s="79"/>
      <c r="T235" s="79"/>
      <c r="Y235" s="79"/>
      <c r="AC235" s="130"/>
      <c r="AE235" s="106"/>
    </row>
    <row r="236">
      <c r="C236" s="79"/>
      <c r="D236" s="79"/>
      <c r="E236" s="79"/>
      <c r="O236" s="79"/>
      <c r="S236" s="79"/>
      <c r="T236" s="79"/>
      <c r="Y236" s="79"/>
      <c r="AC236" s="130"/>
      <c r="AE236" s="106"/>
    </row>
    <row r="237">
      <c r="C237" s="79"/>
      <c r="D237" s="79"/>
      <c r="E237" s="79"/>
      <c r="O237" s="79"/>
      <c r="S237" s="79"/>
      <c r="T237" s="79"/>
      <c r="Y237" s="79"/>
      <c r="AC237" s="130"/>
      <c r="AE237" s="106"/>
    </row>
    <row r="238">
      <c r="C238" s="79"/>
      <c r="D238" s="79"/>
      <c r="E238" s="79"/>
      <c r="O238" s="79"/>
      <c r="S238" s="79"/>
      <c r="T238" s="79"/>
      <c r="Y238" s="79"/>
      <c r="AC238" s="130"/>
      <c r="AE238" s="106"/>
    </row>
    <row r="239">
      <c r="C239" s="79"/>
      <c r="D239" s="79"/>
      <c r="E239" s="79"/>
      <c r="O239" s="79"/>
      <c r="S239" s="79"/>
      <c r="T239" s="79"/>
      <c r="Y239" s="79"/>
      <c r="AC239" s="130"/>
      <c r="AE239" s="106"/>
    </row>
    <row r="240">
      <c r="C240" s="79"/>
      <c r="D240" s="79"/>
      <c r="E240" s="79"/>
      <c r="O240" s="79"/>
      <c r="S240" s="79"/>
      <c r="T240" s="79"/>
      <c r="Y240" s="79"/>
      <c r="AC240" s="130"/>
      <c r="AE240" s="106"/>
    </row>
    <row r="241">
      <c r="C241" s="79"/>
      <c r="D241" s="79"/>
      <c r="E241" s="79"/>
      <c r="O241" s="79"/>
      <c r="S241" s="79"/>
      <c r="T241" s="79"/>
      <c r="Y241" s="79"/>
      <c r="AC241" s="130"/>
      <c r="AE241" s="106"/>
    </row>
    <row r="242">
      <c r="C242" s="79"/>
      <c r="D242" s="79"/>
      <c r="E242" s="79"/>
      <c r="O242" s="79"/>
      <c r="S242" s="79"/>
      <c r="T242" s="79"/>
      <c r="Y242" s="79"/>
      <c r="AC242" s="130"/>
      <c r="AE242" s="106"/>
    </row>
    <row r="243">
      <c r="C243" s="79"/>
      <c r="D243" s="79"/>
      <c r="E243" s="79"/>
      <c r="O243" s="79"/>
      <c r="S243" s="79"/>
      <c r="T243" s="79"/>
      <c r="Y243" s="79"/>
      <c r="AC243" s="130"/>
      <c r="AE243" s="106"/>
    </row>
    <row r="244">
      <c r="C244" s="79"/>
      <c r="D244" s="79"/>
      <c r="E244" s="79"/>
      <c r="O244" s="79"/>
      <c r="S244" s="79"/>
      <c r="T244" s="79"/>
      <c r="Y244" s="79"/>
      <c r="AC244" s="130"/>
      <c r="AE244" s="106"/>
    </row>
    <row r="245">
      <c r="C245" s="79"/>
      <c r="D245" s="79"/>
      <c r="E245" s="79"/>
      <c r="O245" s="79"/>
      <c r="S245" s="79"/>
      <c r="T245" s="79"/>
      <c r="Y245" s="79"/>
      <c r="AC245" s="130"/>
      <c r="AE245" s="106"/>
    </row>
    <row r="246">
      <c r="C246" s="79"/>
      <c r="D246" s="79"/>
      <c r="E246" s="79"/>
      <c r="O246" s="79"/>
      <c r="S246" s="79"/>
      <c r="T246" s="79"/>
      <c r="Y246" s="79"/>
      <c r="AC246" s="130"/>
      <c r="AE246" s="106"/>
    </row>
    <row r="247">
      <c r="C247" s="79"/>
      <c r="D247" s="79"/>
      <c r="E247" s="79"/>
      <c r="O247" s="79"/>
      <c r="S247" s="79"/>
      <c r="T247" s="79"/>
      <c r="Y247" s="79"/>
      <c r="AC247" s="130"/>
      <c r="AE247" s="106"/>
    </row>
    <row r="248">
      <c r="C248" s="79"/>
      <c r="D248" s="79"/>
      <c r="E248" s="79"/>
      <c r="O248" s="79"/>
      <c r="S248" s="79"/>
      <c r="T248" s="79"/>
      <c r="Y248" s="79"/>
      <c r="AC248" s="130"/>
      <c r="AE248" s="106"/>
    </row>
    <row r="249">
      <c r="C249" s="79"/>
      <c r="D249" s="79"/>
      <c r="E249" s="79"/>
      <c r="O249" s="79"/>
      <c r="S249" s="79"/>
      <c r="T249" s="79"/>
      <c r="Y249" s="79"/>
      <c r="AC249" s="130"/>
      <c r="AE249" s="106"/>
    </row>
    <row r="250">
      <c r="C250" s="79"/>
      <c r="D250" s="79"/>
      <c r="E250" s="79"/>
      <c r="O250" s="79"/>
      <c r="S250" s="79"/>
      <c r="T250" s="79"/>
      <c r="Y250" s="79"/>
      <c r="AC250" s="130"/>
      <c r="AE250" s="106"/>
    </row>
    <row r="251">
      <c r="C251" s="79"/>
      <c r="D251" s="79"/>
      <c r="E251" s="79"/>
      <c r="O251" s="79"/>
      <c r="S251" s="79"/>
      <c r="T251" s="79"/>
      <c r="Y251" s="79"/>
      <c r="AC251" s="130"/>
      <c r="AE251" s="106"/>
    </row>
    <row r="252">
      <c r="C252" s="79"/>
      <c r="D252" s="79"/>
      <c r="E252" s="79"/>
      <c r="O252" s="79"/>
      <c r="S252" s="79"/>
      <c r="T252" s="79"/>
      <c r="Y252" s="79"/>
      <c r="AC252" s="130"/>
      <c r="AE252" s="106"/>
    </row>
    <row r="253">
      <c r="C253" s="79"/>
      <c r="D253" s="79"/>
      <c r="E253" s="79"/>
      <c r="O253" s="79"/>
      <c r="S253" s="79"/>
      <c r="T253" s="79"/>
      <c r="Y253" s="79"/>
      <c r="AC253" s="130"/>
      <c r="AE253" s="106"/>
    </row>
    <row r="254">
      <c r="C254" s="79"/>
      <c r="D254" s="79"/>
      <c r="E254" s="79"/>
      <c r="O254" s="79"/>
      <c r="S254" s="79"/>
      <c r="T254" s="79"/>
      <c r="Y254" s="79"/>
      <c r="AC254" s="130"/>
      <c r="AE254" s="106"/>
    </row>
    <row r="255">
      <c r="C255" s="79"/>
      <c r="D255" s="79"/>
      <c r="E255" s="79"/>
      <c r="O255" s="79"/>
      <c r="S255" s="79"/>
      <c r="T255" s="79"/>
      <c r="Y255" s="79"/>
      <c r="AC255" s="130"/>
      <c r="AE255" s="106"/>
    </row>
    <row r="256">
      <c r="C256" s="79"/>
      <c r="D256" s="79"/>
      <c r="E256" s="79"/>
      <c r="O256" s="79"/>
      <c r="S256" s="79"/>
      <c r="T256" s="79"/>
      <c r="Y256" s="79"/>
      <c r="AC256" s="130"/>
      <c r="AE256" s="106"/>
    </row>
    <row r="257">
      <c r="C257" s="79"/>
      <c r="D257" s="79"/>
      <c r="E257" s="79"/>
      <c r="O257" s="79"/>
      <c r="S257" s="79"/>
      <c r="T257" s="79"/>
      <c r="Y257" s="79"/>
      <c r="AC257" s="130"/>
      <c r="AE257" s="106"/>
    </row>
    <row r="258">
      <c r="C258" s="79"/>
      <c r="D258" s="79"/>
      <c r="E258" s="79"/>
      <c r="O258" s="79"/>
      <c r="S258" s="79"/>
      <c r="T258" s="79"/>
      <c r="Y258" s="79"/>
      <c r="AC258" s="130"/>
      <c r="AE258" s="106"/>
    </row>
    <row r="259">
      <c r="C259" s="79"/>
      <c r="D259" s="79"/>
      <c r="E259" s="79"/>
      <c r="O259" s="79"/>
      <c r="S259" s="79"/>
      <c r="T259" s="79"/>
      <c r="Y259" s="79"/>
      <c r="AC259" s="130"/>
      <c r="AE259" s="106"/>
    </row>
    <row r="260">
      <c r="C260" s="79"/>
      <c r="D260" s="79"/>
      <c r="E260" s="79"/>
      <c r="O260" s="79"/>
      <c r="S260" s="79"/>
      <c r="T260" s="79"/>
      <c r="Y260" s="79"/>
      <c r="AC260" s="130"/>
      <c r="AE260" s="106"/>
    </row>
    <row r="261">
      <c r="C261" s="79"/>
      <c r="D261" s="79"/>
      <c r="E261" s="79"/>
      <c r="O261" s="79"/>
      <c r="S261" s="79"/>
      <c r="T261" s="79"/>
      <c r="Y261" s="79"/>
      <c r="AC261" s="130"/>
      <c r="AE261" s="106"/>
    </row>
    <row r="262">
      <c r="C262" s="79"/>
      <c r="D262" s="79"/>
      <c r="E262" s="79"/>
      <c r="O262" s="79"/>
      <c r="S262" s="79"/>
      <c r="T262" s="79"/>
      <c r="Y262" s="79"/>
      <c r="AC262" s="130"/>
      <c r="AE262" s="106"/>
    </row>
    <row r="263">
      <c r="C263" s="79"/>
      <c r="D263" s="79"/>
      <c r="E263" s="79"/>
      <c r="O263" s="79"/>
      <c r="S263" s="79"/>
      <c r="T263" s="79"/>
      <c r="Y263" s="79"/>
      <c r="AC263" s="130"/>
      <c r="AE263" s="106"/>
    </row>
    <row r="264">
      <c r="C264" s="79"/>
      <c r="D264" s="79"/>
      <c r="E264" s="79"/>
      <c r="O264" s="79"/>
      <c r="S264" s="79"/>
      <c r="T264" s="79"/>
      <c r="Y264" s="79"/>
      <c r="AC264" s="130"/>
      <c r="AE264" s="106"/>
    </row>
    <row r="265">
      <c r="C265" s="79"/>
      <c r="D265" s="79"/>
      <c r="E265" s="79"/>
      <c r="O265" s="79"/>
      <c r="S265" s="79"/>
      <c r="T265" s="79"/>
      <c r="Y265" s="79"/>
      <c r="AC265" s="130"/>
      <c r="AE265" s="106"/>
    </row>
    <row r="266">
      <c r="C266" s="79"/>
      <c r="D266" s="79"/>
      <c r="E266" s="79"/>
      <c r="O266" s="79"/>
      <c r="S266" s="79"/>
      <c r="T266" s="79"/>
      <c r="Y266" s="79"/>
      <c r="AC266" s="130"/>
      <c r="AE266" s="106"/>
    </row>
    <row r="267">
      <c r="C267" s="79"/>
      <c r="D267" s="79"/>
      <c r="E267" s="79"/>
      <c r="O267" s="79"/>
      <c r="S267" s="79"/>
      <c r="T267" s="79"/>
      <c r="Y267" s="79"/>
      <c r="AC267" s="130"/>
      <c r="AE267" s="106"/>
    </row>
    <row r="268">
      <c r="C268" s="79"/>
      <c r="D268" s="79"/>
      <c r="E268" s="79"/>
      <c r="O268" s="79"/>
      <c r="S268" s="79"/>
      <c r="T268" s="79"/>
      <c r="Y268" s="79"/>
      <c r="AC268" s="130"/>
      <c r="AE268" s="106"/>
    </row>
    <row r="269">
      <c r="C269" s="79"/>
      <c r="D269" s="79"/>
      <c r="E269" s="79"/>
      <c r="O269" s="79"/>
      <c r="S269" s="79"/>
      <c r="T269" s="79"/>
      <c r="Y269" s="79"/>
      <c r="AC269" s="130"/>
      <c r="AE269" s="106"/>
    </row>
    <row r="270">
      <c r="C270" s="79"/>
      <c r="D270" s="79"/>
      <c r="E270" s="79"/>
      <c r="O270" s="79"/>
      <c r="S270" s="79"/>
      <c r="T270" s="79"/>
      <c r="Y270" s="79"/>
      <c r="AC270" s="130"/>
      <c r="AE270" s="106"/>
    </row>
    <row r="271">
      <c r="C271" s="79"/>
      <c r="D271" s="79"/>
      <c r="E271" s="79"/>
      <c r="O271" s="79"/>
      <c r="S271" s="79"/>
      <c r="T271" s="79"/>
      <c r="Y271" s="79"/>
      <c r="AC271" s="130"/>
      <c r="AE271" s="106"/>
    </row>
    <row r="272">
      <c r="C272" s="79"/>
      <c r="D272" s="79"/>
      <c r="E272" s="79"/>
      <c r="O272" s="79"/>
      <c r="S272" s="79"/>
      <c r="T272" s="79"/>
      <c r="Y272" s="79"/>
      <c r="AC272" s="130"/>
      <c r="AE272" s="106"/>
    </row>
    <row r="273">
      <c r="C273" s="79"/>
      <c r="D273" s="79"/>
      <c r="E273" s="79"/>
      <c r="O273" s="79"/>
      <c r="S273" s="79"/>
      <c r="T273" s="79"/>
      <c r="Y273" s="79"/>
      <c r="AC273" s="130"/>
      <c r="AE273" s="106"/>
    </row>
    <row r="274">
      <c r="C274" s="79"/>
      <c r="D274" s="79"/>
      <c r="E274" s="79"/>
      <c r="O274" s="79"/>
      <c r="S274" s="79"/>
      <c r="T274" s="79"/>
      <c r="Y274" s="79"/>
      <c r="AC274" s="130"/>
      <c r="AE274" s="106"/>
    </row>
    <row r="275">
      <c r="C275" s="79"/>
      <c r="D275" s="79"/>
      <c r="E275" s="79"/>
      <c r="O275" s="79"/>
      <c r="S275" s="79"/>
      <c r="T275" s="79"/>
      <c r="Y275" s="79"/>
      <c r="AC275" s="130"/>
      <c r="AE275" s="106"/>
    </row>
    <row r="276">
      <c r="C276" s="79"/>
      <c r="D276" s="79"/>
      <c r="E276" s="79"/>
      <c r="O276" s="79"/>
      <c r="S276" s="79"/>
      <c r="T276" s="79"/>
      <c r="Y276" s="79"/>
      <c r="AC276" s="130"/>
      <c r="AE276" s="106"/>
    </row>
    <row r="277">
      <c r="C277" s="79"/>
      <c r="D277" s="79"/>
      <c r="E277" s="79"/>
      <c r="O277" s="79"/>
      <c r="S277" s="79"/>
      <c r="T277" s="79"/>
      <c r="Y277" s="79"/>
      <c r="AC277" s="130"/>
      <c r="AE277" s="106"/>
    </row>
    <row r="278">
      <c r="C278" s="79"/>
      <c r="D278" s="79"/>
      <c r="E278" s="79"/>
      <c r="O278" s="79"/>
      <c r="S278" s="79"/>
      <c r="T278" s="79"/>
      <c r="Y278" s="79"/>
      <c r="AC278" s="130"/>
      <c r="AE278" s="106"/>
    </row>
    <row r="279">
      <c r="C279" s="79"/>
      <c r="D279" s="79"/>
      <c r="E279" s="79"/>
      <c r="O279" s="79"/>
      <c r="S279" s="79"/>
      <c r="T279" s="79"/>
      <c r="Y279" s="79"/>
      <c r="AC279" s="130"/>
      <c r="AE279" s="106"/>
    </row>
    <row r="280">
      <c r="C280" s="79"/>
      <c r="D280" s="79"/>
      <c r="E280" s="79"/>
      <c r="O280" s="79"/>
      <c r="S280" s="79"/>
      <c r="T280" s="79"/>
      <c r="Y280" s="79"/>
      <c r="AC280" s="130"/>
      <c r="AE280" s="106"/>
    </row>
    <row r="281">
      <c r="C281" s="79"/>
      <c r="D281" s="79"/>
      <c r="E281" s="79"/>
      <c r="O281" s="79"/>
      <c r="S281" s="79"/>
      <c r="T281" s="79"/>
      <c r="Y281" s="79"/>
      <c r="AC281" s="130"/>
      <c r="AE281" s="106"/>
    </row>
    <row r="282">
      <c r="C282" s="79"/>
      <c r="D282" s="79"/>
      <c r="E282" s="79"/>
      <c r="O282" s="79"/>
      <c r="S282" s="79"/>
      <c r="T282" s="79"/>
      <c r="Y282" s="79"/>
      <c r="AC282" s="130"/>
      <c r="AE282" s="106"/>
    </row>
    <row r="283">
      <c r="C283" s="79"/>
      <c r="D283" s="79"/>
      <c r="E283" s="79"/>
      <c r="O283" s="79"/>
      <c r="S283" s="79"/>
      <c r="T283" s="79"/>
      <c r="Y283" s="79"/>
      <c r="AC283" s="130"/>
      <c r="AE283" s="106"/>
    </row>
    <row r="284">
      <c r="C284" s="79"/>
      <c r="D284" s="79"/>
      <c r="E284" s="79"/>
      <c r="O284" s="79"/>
      <c r="S284" s="79"/>
      <c r="T284" s="79"/>
      <c r="Y284" s="79"/>
      <c r="AC284" s="130"/>
      <c r="AE284" s="106"/>
    </row>
    <row r="285">
      <c r="C285" s="79"/>
      <c r="D285" s="79"/>
      <c r="E285" s="79"/>
      <c r="O285" s="79"/>
      <c r="S285" s="79"/>
      <c r="T285" s="79"/>
      <c r="Y285" s="79"/>
      <c r="AC285" s="130"/>
      <c r="AE285" s="106"/>
    </row>
    <row r="286">
      <c r="C286" s="79"/>
      <c r="D286" s="79"/>
      <c r="E286" s="79"/>
      <c r="O286" s="79"/>
      <c r="S286" s="79"/>
      <c r="T286" s="79"/>
      <c r="Y286" s="79"/>
      <c r="AC286" s="130"/>
      <c r="AE286" s="106"/>
    </row>
    <row r="287">
      <c r="C287" s="79"/>
      <c r="D287" s="79"/>
      <c r="E287" s="79"/>
      <c r="O287" s="79"/>
      <c r="S287" s="79"/>
      <c r="T287" s="79"/>
      <c r="Y287" s="79"/>
      <c r="AC287" s="130"/>
      <c r="AE287" s="106"/>
    </row>
    <row r="288">
      <c r="C288" s="79"/>
      <c r="D288" s="79"/>
      <c r="E288" s="79"/>
      <c r="O288" s="79"/>
      <c r="S288" s="79"/>
      <c r="T288" s="79"/>
      <c r="Y288" s="79"/>
      <c r="AC288" s="130"/>
      <c r="AE288" s="106"/>
    </row>
    <row r="289">
      <c r="C289" s="79"/>
      <c r="D289" s="79"/>
      <c r="E289" s="79"/>
      <c r="O289" s="79"/>
      <c r="S289" s="79"/>
      <c r="T289" s="79"/>
      <c r="Y289" s="79"/>
      <c r="AC289" s="130"/>
      <c r="AE289" s="106"/>
    </row>
    <row r="290">
      <c r="C290" s="79"/>
      <c r="D290" s="79"/>
      <c r="E290" s="79"/>
      <c r="O290" s="79"/>
      <c r="S290" s="79"/>
      <c r="T290" s="79"/>
      <c r="Y290" s="79"/>
      <c r="AC290" s="130"/>
      <c r="AE290" s="106"/>
    </row>
    <row r="291">
      <c r="C291" s="79"/>
      <c r="D291" s="79"/>
      <c r="E291" s="79"/>
      <c r="O291" s="79"/>
      <c r="S291" s="79"/>
      <c r="T291" s="79"/>
      <c r="Y291" s="79"/>
      <c r="AC291" s="130"/>
      <c r="AE291" s="106"/>
    </row>
    <row r="292">
      <c r="C292" s="79"/>
      <c r="D292" s="79"/>
      <c r="E292" s="79"/>
      <c r="O292" s="79"/>
      <c r="S292" s="79"/>
      <c r="T292" s="79"/>
      <c r="Y292" s="79"/>
      <c r="AC292" s="130"/>
      <c r="AE292" s="106"/>
    </row>
    <row r="293">
      <c r="C293" s="79"/>
      <c r="D293" s="79"/>
      <c r="E293" s="79"/>
      <c r="O293" s="79"/>
      <c r="S293" s="79"/>
      <c r="T293" s="79"/>
      <c r="Y293" s="79"/>
      <c r="AC293" s="130"/>
      <c r="AE293" s="106"/>
    </row>
    <row r="294">
      <c r="C294" s="79"/>
      <c r="D294" s="79"/>
      <c r="E294" s="79"/>
      <c r="O294" s="79"/>
      <c r="S294" s="79"/>
      <c r="T294" s="79"/>
      <c r="Y294" s="79"/>
      <c r="AC294" s="130"/>
      <c r="AE294" s="106"/>
    </row>
    <row r="295">
      <c r="C295" s="79"/>
      <c r="D295" s="79"/>
      <c r="E295" s="79"/>
      <c r="O295" s="79"/>
      <c r="S295" s="79"/>
      <c r="T295" s="79"/>
      <c r="Y295" s="79"/>
      <c r="AC295" s="130"/>
      <c r="AE295" s="106"/>
    </row>
    <row r="296">
      <c r="C296" s="79"/>
      <c r="D296" s="79"/>
      <c r="E296" s="79"/>
      <c r="O296" s="79"/>
      <c r="S296" s="79"/>
      <c r="T296" s="79"/>
      <c r="Y296" s="79"/>
      <c r="AC296" s="130"/>
      <c r="AE296" s="106"/>
    </row>
    <row r="297">
      <c r="C297" s="79"/>
      <c r="D297" s="79"/>
      <c r="E297" s="79"/>
      <c r="O297" s="79"/>
      <c r="S297" s="79"/>
      <c r="T297" s="79"/>
      <c r="Y297" s="79"/>
      <c r="AC297" s="130"/>
      <c r="AE297" s="106"/>
    </row>
    <row r="298">
      <c r="C298" s="79"/>
      <c r="D298" s="79"/>
      <c r="E298" s="79"/>
      <c r="O298" s="79"/>
      <c r="S298" s="79"/>
      <c r="T298" s="79"/>
      <c r="Y298" s="79"/>
      <c r="AC298" s="130"/>
      <c r="AE298" s="106"/>
    </row>
    <row r="299">
      <c r="C299" s="79"/>
      <c r="D299" s="79"/>
      <c r="E299" s="79"/>
      <c r="O299" s="79"/>
      <c r="S299" s="79"/>
      <c r="T299" s="79"/>
      <c r="Y299" s="79"/>
      <c r="AC299" s="130"/>
      <c r="AE299" s="106"/>
    </row>
    <row r="300">
      <c r="C300" s="79"/>
      <c r="D300" s="79"/>
      <c r="E300" s="79"/>
      <c r="O300" s="79"/>
      <c r="S300" s="79"/>
      <c r="T300" s="79"/>
      <c r="Y300" s="79"/>
      <c r="AC300" s="130"/>
      <c r="AE300" s="106"/>
    </row>
    <row r="301">
      <c r="C301" s="79"/>
      <c r="D301" s="79"/>
      <c r="E301" s="79"/>
      <c r="O301" s="79"/>
      <c r="S301" s="79"/>
      <c r="T301" s="79"/>
      <c r="Y301" s="79"/>
      <c r="AC301" s="130"/>
      <c r="AE301" s="106"/>
    </row>
    <row r="302">
      <c r="C302" s="79"/>
      <c r="D302" s="79"/>
      <c r="E302" s="79"/>
      <c r="O302" s="79"/>
      <c r="S302" s="79"/>
      <c r="T302" s="79"/>
      <c r="Y302" s="79"/>
      <c r="AC302" s="130"/>
      <c r="AE302" s="106"/>
    </row>
    <row r="303">
      <c r="C303" s="79"/>
      <c r="D303" s="79"/>
      <c r="E303" s="79"/>
      <c r="O303" s="79"/>
      <c r="S303" s="79"/>
      <c r="T303" s="79"/>
      <c r="Y303" s="79"/>
      <c r="AC303" s="130"/>
      <c r="AE303" s="106"/>
    </row>
    <row r="304">
      <c r="C304" s="79"/>
      <c r="D304" s="79"/>
      <c r="E304" s="79"/>
      <c r="O304" s="79"/>
      <c r="S304" s="79"/>
      <c r="T304" s="79"/>
      <c r="Y304" s="79"/>
      <c r="AC304" s="130"/>
      <c r="AE304" s="106"/>
    </row>
    <row r="305">
      <c r="C305" s="79"/>
      <c r="D305" s="79"/>
      <c r="E305" s="79"/>
      <c r="O305" s="79"/>
      <c r="S305" s="79"/>
      <c r="T305" s="79"/>
      <c r="Y305" s="79"/>
      <c r="AC305" s="130"/>
      <c r="AE305" s="106"/>
    </row>
    <row r="306">
      <c r="C306" s="79"/>
      <c r="D306" s="79"/>
      <c r="E306" s="79"/>
      <c r="O306" s="79"/>
      <c r="S306" s="79"/>
      <c r="T306" s="79"/>
      <c r="Y306" s="79"/>
      <c r="AC306" s="130"/>
      <c r="AE306" s="106"/>
    </row>
    <row r="307">
      <c r="C307" s="79"/>
      <c r="D307" s="79"/>
      <c r="E307" s="79"/>
      <c r="O307" s="79"/>
      <c r="S307" s="79"/>
      <c r="T307" s="79"/>
      <c r="Y307" s="79"/>
      <c r="AC307" s="130"/>
      <c r="AE307" s="106"/>
    </row>
    <row r="308">
      <c r="C308" s="79"/>
      <c r="D308" s="79"/>
      <c r="E308" s="79"/>
      <c r="O308" s="79"/>
      <c r="S308" s="79"/>
      <c r="T308" s="79"/>
      <c r="Y308" s="79"/>
      <c r="AC308" s="130"/>
      <c r="AE308" s="106"/>
    </row>
    <row r="309">
      <c r="C309" s="79"/>
      <c r="D309" s="79"/>
      <c r="E309" s="79"/>
      <c r="O309" s="79"/>
      <c r="S309" s="79"/>
      <c r="T309" s="79"/>
      <c r="Y309" s="79"/>
      <c r="AC309" s="130"/>
      <c r="AE309" s="106"/>
    </row>
    <row r="310">
      <c r="C310" s="79"/>
      <c r="D310" s="79"/>
      <c r="E310" s="79"/>
      <c r="O310" s="79"/>
      <c r="S310" s="79"/>
      <c r="T310" s="79"/>
      <c r="Y310" s="79"/>
      <c r="AC310" s="130"/>
      <c r="AE310" s="106"/>
    </row>
    <row r="311">
      <c r="C311" s="79"/>
      <c r="D311" s="79"/>
      <c r="E311" s="79"/>
      <c r="O311" s="79"/>
      <c r="S311" s="79"/>
      <c r="T311" s="79"/>
      <c r="Y311" s="79"/>
      <c r="AC311" s="130"/>
      <c r="AE311" s="106"/>
    </row>
    <row r="312">
      <c r="C312" s="79"/>
      <c r="D312" s="79"/>
      <c r="E312" s="79"/>
      <c r="O312" s="79"/>
      <c r="S312" s="79"/>
      <c r="T312" s="79"/>
      <c r="Y312" s="79"/>
      <c r="AC312" s="130"/>
      <c r="AE312" s="106"/>
    </row>
    <row r="313">
      <c r="C313" s="79"/>
      <c r="D313" s="79"/>
      <c r="E313" s="79"/>
      <c r="O313" s="79"/>
      <c r="S313" s="79"/>
      <c r="T313" s="79"/>
      <c r="Y313" s="79"/>
      <c r="AC313" s="130"/>
      <c r="AE313" s="106"/>
    </row>
    <row r="314">
      <c r="C314" s="79"/>
      <c r="D314" s="79"/>
      <c r="E314" s="79"/>
      <c r="O314" s="79"/>
      <c r="S314" s="79"/>
      <c r="T314" s="79"/>
      <c r="Y314" s="79"/>
      <c r="AC314" s="130"/>
      <c r="AE314" s="106"/>
    </row>
    <row r="315">
      <c r="C315" s="79"/>
      <c r="D315" s="79"/>
      <c r="E315" s="79"/>
      <c r="O315" s="79"/>
      <c r="S315" s="79"/>
      <c r="T315" s="79"/>
      <c r="Y315" s="79"/>
      <c r="AC315" s="130"/>
      <c r="AE315" s="106"/>
    </row>
    <row r="316">
      <c r="C316" s="79"/>
      <c r="D316" s="79"/>
      <c r="E316" s="79"/>
      <c r="O316" s="79"/>
      <c r="S316" s="79"/>
      <c r="T316" s="79"/>
      <c r="Y316" s="79"/>
      <c r="AC316" s="130"/>
      <c r="AE316" s="106"/>
    </row>
    <row r="317">
      <c r="C317" s="79"/>
      <c r="D317" s="79"/>
      <c r="E317" s="79"/>
      <c r="O317" s="79"/>
      <c r="S317" s="79"/>
      <c r="T317" s="79"/>
      <c r="Y317" s="79"/>
      <c r="AC317" s="130"/>
      <c r="AE317" s="106"/>
    </row>
    <row r="318">
      <c r="C318" s="79"/>
      <c r="D318" s="79"/>
      <c r="E318" s="79"/>
      <c r="O318" s="79"/>
      <c r="S318" s="79"/>
      <c r="T318" s="79"/>
      <c r="Y318" s="79"/>
      <c r="AC318" s="130"/>
      <c r="AE318" s="106"/>
    </row>
    <row r="319">
      <c r="C319" s="79"/>
      <c r="D319" s="79"/>
      <c r="E319" s="79"/>
      <c r="O319" s="79"/>
      <c r="S319" s="79"/>
      <c r="T319" s="79"/>
      <c r="Y319" s="79"/>
      <c r="AC319" s="130"/>
      <c r="AE319" s="106"/>
    </row>
    <row r="320">
      <c r="C320" s="79"/>
      <c r="D320" s="79"/>
      <c r="E320" s="79"/>
      <c r="O320" s="79"/>
      <c r="S320" s="79"/>
      <c r="T320" s="79"/>
      <c r="Y320" s="79"/>
      <c r="AC320" s="130"/>
      <c r="AE320" s="106"/>
    </row>
    <row r="321">
      <c r="C321" s="79"/>
      <c r="D321" s="79"/>
      <c r="E321" s="79"/>
      <c r="O321" s="79"/>
      <c r="S321" s="79"/>
      <c r="T321" s="79"/>
      <c r="Y321" s="79"/>
      <c r="AC321" s="130"/>
      <c r="AE321" s="106"/>
    </row>
    <row r="322">
      <c r="C322" s="79"/>
      <c r="D322" s="79"/>
      <c r="E322" s="79"/>
      <c r="O322" s="79"/>
      <c r="S322" s="79"/>
      <c r="T322" s="79"/>
      <c r="Y322" s="79"/>
      <c r="AC322" s="130"/>
      <c r="AE322" s="106"/>
    </row>
    <row r="323">
      <c r="C323" s="79"/>
      <c r="D323" s="79"/>
      <c r="E323" s="79"/>
      <c r="O323" s="79"/>
      <c r="S323" s="79"/>
      <c r="T323" s="79"/>
      <c r="Y323" s="79"/>
      <c r="AC323" s="130"/>
      <c r="AE323" s="106"/>
    </row>
    <row r="324">
      <c r="C324" s="79"/>
      <c r="D324" s="79"/>
      <c r="E324" s="79"/>
      <c r="O324" s="79"/>
      <c r="S324" s="79"/>
      <c r="T324" s="79"/>
      <c r="Y324" s="79"/>
      <c r="AC324" s="130"/>
      <c r="AE324" s="106"/>
    </row>
    <row r="325">
      <c r="C325" s="79"/>
      <c r="D325" s="79"/>
      <c r="E325" s="79"/>
      <c r="O325" s="79"/>
      <c r="S325" s="79"/>
      <c r="T325" s="79"/>
      <c r="Y325" s="79"/>
      <c r="AC325" s="130"/>
      <c r="AE325" s="106"/>
    </row>
    <row r="326">
      <c r="C326" s="79"/>
      <c r="D326" s="79"/>
      <c r="E326" s="79"/>
      <c r="O326" s="79"/>
      <c r="S326" s="79"/>
      <c r="T326" s="79"/>
      <c r="Y326" s="79"/>
      <c r="AC326" s="130"/>
      <c r="AE326" s="106"/>
    </row>
    <row r="327">
      <c r="C327" s="79"/>
      <c r="D327" s="79"/>
      <c r="E327" s="79"/>
      <c r="O327" s="79"/>
      <c r="S327" s="79"/>
      <c r="T327" s="79"/>
      <c r="Y327" s="79"/>
      <c r="AC327" s="130"/>
      <c r="AE327" s="106"/>
    </row>
    <row r="328">
      <c r="C328" s="79"/>
      <c r="D328" s="79"/>
      <c r="E328" s="79"/>
      <c r="O328" s="79"/>
      <c r="S328" s="79"/>
      <c r="T328" s="79"/>
      <c r="Y328" s="79"/>
      <c r="AC328" s="130"/>
      <c r="AE328" s="106"/>
    </row>
    <row r="329">
      <c r="C329" s="79"/>
      <c r="D329" s="79"/>
      <c r="E329" s="79"/>
      <c r="O329" s="79"/>
      <c r="S329" s="79"/>
      <c r="T329" s="79"/>
      <c r="Y329" s="79"/>
      <c r="AC329" s="130"/>
      <c r="AE329" s="106"/>
    </row>
    <row r="330">
      <c r="C330" s="79"/>
      <c r="D330" s="79"/>
      <c r="E330" s="79"/>
      <c r="O330" s="79"/>
      <c r="S330" s="79"/>
      <c r="T330" s="79"/>
      <c r="Y330" s="79"/>
      <c r="AC330" s="130"/>
      <c r="AE330" s="106"/>
    </row>
    <row r="331">
      <c r="C331" s="79"/>
      <c r="D331" s="79"/>
      <c r="E331" s="79"/>
      <c r="O331" s="79"/>
      <c r="S331" s="79"/>
      <c r="T331" s="79"/>
      <c r="Y331" s="79"/>
      <c r="AC331" s="130"/>
      <c r="AE331" s="106"/>
    </row>
    <row r="332">
      <c r="C332" s="79"/>
      <c r="D332" s="79"/>
      <c r="E332" s="79"/>
      <c r="O332" s="79"/>
      <c r="S332" s="79"/>
      <c r="T332" s="79"/>
      <c r="Y332" s="79"/>
      <c r="AC332" s="130"/>
      <c r="AE332" s="106"/>
    </row>
    <row r="333">
      <c r="C333" s="79"/>
      <c r="D333" s="79"/>
      <c r="E333" s="79"/>
      <c r="O333" s="79"/>
      <c r="S333" s="79"/>
      <c r="T333" s="79"/>
      <c r="Y333" s="79"/>
      <c r="AC333" s="130"/>
      <c r="AE333" s="106"/>
    </row>
    <row r="334">
      <c r="C334" s="79"/>
      <c r="D334" s="79"/>
      <c r="E334" s="79"/>
      <c r="O334" s="79"/>
      <c r="S334" s="79"/>
      <c r="T334" s="79"/>
      <c r="Y334" s="79"/>
      <c r="AC334" s="130"/>
      <c r="AE334" s="106"/>
    </row>
    <row r="335">
      <c r="C335" s="79"/>
      <c r="D335" s="79"/>
      <c r="E335" s="79"/>
      <c r="O335" s="79"/>
      <c r="S335" s="79"/>
      <c r="T335" s="79"/>
      <c r="Y335" s="79"/>
      <c r="AC335" s="130"/>
      <c r="AE335" s="106"/>
    </row>
    <row r="336">
      <c r="C336" s="79"/>
      <c r="D336" s="79"/>
      <c r="E336" s="79"/>
      <c r="O336" s="79"/>
      <c r="S336" s="79"/>
      <c r="T336" s="79"/>
      <c r="Y336" s="79"/>
      <c r="AC336" s="130"/>
      <c r="AE336" s="106"/>
    </row>
    <row r="337">
      <c r="C337" s="79"/>
      <c r="D337" s="79"/>
      <c r="E337" s="79"/>
      <c r="O337" s="79"/>
      <c r="S337" s="79"/>
      <c r="T337" s="79"/>
      <c r="Y337" s="79"/>
      <c r="AC337" s="130"/>
      <c r="AE337" s="106"/>
    </row>
    <row r="338">
      <c r="C338" s="79"/>
      <c r="D338" s="79"/>
      <c r="E338" s="79"/>
      <c r="O338" s="79"/>
      <c r="S338" s="79"/>
      <c r="T338" s="79"/>
      <c r="Y338" s="79"/>
      <c r="AC338" s="130"/>
      <c r="AE338" s="106"/>
    </row>
    <row r="339">
      <c r="C339" s="79"/>
      <c r="D339" s="79"/>
      <c r="E339" s="79"/>
      <c r="O339" s="79"/>
      <c r="S339" s="79"/>
      <c r="T339" s="79"/>
      <c r="Y339" s="79"/>
      <c r="AC339" s="130"/>
      <c r="AE339" s="106"/>
    </row>
    <row r="340">
      <c r="C340" s="79"/>
      <c r="D340" s="79"/>
      <c r="E340" s="79"/>
      <c r="O340" s="79"/>
      <c r="S340" s="79"/>
      <c r="T340" s="79"/>
      <c r="Y340" s="79"/>
      <c r="AC340" s="130"/>
      <c r="AE340" s="106"/>
    </row>
    <row r="341">
      <c r="C341" s="79"/>
      <c r="D341" s="79"/>
      <c r="E341" s="79"/>
      <c r="O341" s="79"/>
      <c r="S341" s="79"/>
      <c r="T341" s="79"/>
      <c r="Y341" s="79"/>
      <c r="AC341" s="130"/>
      <c r="AE341" s="106"/>
    </row>
    <row r="342">
      <c r="C342" s="79"/>
      <c r="D342" s="79"/>
      <c r="E342" s="79"/>
      <c r="O342" s="79"/>
      <c r="S342" s="79"/>
      <c r="T342" s="79"/>
      <c r="Y342" s="79"/>
      <c r="AC342" s="130"/>
      <c r="AE342" s="106"/>
    </row>
    <row r="343">
      <c r="C343" s="79"/>
      <c r="D343" s="79"/>
      <c r="E343" s="79"/>
      <c r="O343" s="79"/>
      <c r="S343" s="79"/>
      <c r="T343" s="79"/>
      <c r="Y343" s="79"/>
      <c r="AC343" s="130"/>
      <c r="AE343" s="106"/>
    </row>
    <row r="344">
      <c r="C344" s="79"/>
      <c r="D344" s="79"/>
      <c r="E344" s="79"/>
      <c r="O344" s="79"/>
      <c r="S344" s="79"/>
      <c r="T344" s="79"/>
      <c r="Y344" s="79"/>
      <c r="AC344" s="130"/>
      <c r="AE344" s="106"/>
    </row>
    <row r="345">
      <c r="C345" s="79"/>
      <c r="D345" s="79"/>
      <c r="E345" s="79"/>
      <c r="O345" s="79"/>
      <c r="S345" s="79"/>
      <c r="T345" s="79"/>
      <c r="Y345" s="79"/>
      <c r="AC345" s="130"/>
      <c r="AE345" s="106"/>
    </row>
    <row r="346">
      <c r="C346" s="79"/>
      <c r="D346" s="79"/>
      <c r="E346" s="79"/>
      <c r="O346" s="79"/>
      <c r="S346" s="79"/>
      <c r="T346" s="79"/>
      <c r="Y346" s="79"/>
      <c r="AC346" s="130"/>
      <c r="AE346" s="106"/>
    </row>
    <row r="347">
      <c r="C347" s="79"/>
      <c r="D347" s="79"/>
      <c r="E347" s="79"/>
      <c r="O347" s="79"/>
      <c r="S347" s="79"/>
      <c r="T347" s="79"/>
      <c r="Y347" s="79"/>
      <c r="AC347" s="130"/>
      <c r="AE347" s="106"/>
    </row>
    <row r="348">
      <c r="C348" s="79"/>
      <c r="D348" s="79"/>
      <c r="E348" s="79"/>
      <c r="O348" s="79"/>
      <c r="S348" s="79"/>
      <c r="T348" s="79"/>
      <c r="Y348" s="79"/>
      <c r="AC348" s="130"/>
      <c r="AE348" s="106"/>
    </row>
    <row r="349">
      <c r="C349" s="79"/>
      <c r="D349" s="79"/>
      <c r="E349" s="79"/>
      <c r="O349" s="79"/>
      <c r="S349" s="79"/>
      <c r="T349" s="79"/>
      <c r="Y349" s="79"/>
      <c r="AC349" s="130"/>
      <c r="AE349" s="106"/>
    </row>
    <row r="350">
      <c r="C350" s="79"/>
      <c r="D350" s="79"/>
      <c r="E350" s="79"/>
      <c r="O350" s="79"/>
      <c r="S350" s="79"/>
      <c r="T350" s="79"/>
      <c r="Y350" s="79"/>
      <c r="AC350" s="130"/>
      <c r="AE350" s="106"/>
    </row>
    <row r="351">
      <c r="C351" s="79"/>
      <c r="D351" s="79"/>
      <c r="E351" s="79"/>
      <c r="O351" s="79"/>
      <c r="S351" s="79"/>
      <c r="T351" s="79"/>
      <c r="Y351" s="79"/>
      <c r="AC351" s="130"/>
      <c r="AE351" s="106"/>
    </row>
    <row r="352">
      <c r="C352" s="79"/>
      <c r="D352" s="79"/>
      <c r="E352" s="79"/>
      <c r="O352" s="79"/>
      <c r="S352" s="79"/>
      <c r="T352" s="79"/>
      <c r="Y352" s="79"/>
      <c r="AC352" s="130"/>
      <c r="AE352" s="106"/>
    </row>
    <row r="353">
      <c r="C353" s="79"/>
      <c r="D353" s="79"/>
      <c r="E353" s="79"/>
      <c r="O353" s="79"/>
      <c r="S353" s="79"/>
      <c r="T353" s="79"/>
      <c r="Y353" s="79"/>
      <c r="AC353" s="130"/>
      <c r="AE353" s="106"/>
    </row>
    <row r="354">
      <c r="C354" s="79"/>
      <c r="D354" s="79"/>
      <c r="E354" s="79"/>
      <c r="O354" s="79"/>
      <c r="S354" s="79"/>
      <c r="T354" s="79"/>
      <c r="Y354" s="79"/>
      <c r="AC354" s="130"/>
      <c r="AE354" s="106"/>
    </row>
    <row r="355">
      <c r="C355" s="79"/>
      <c r="D355" s="79"/>
      <c r="E355" s="79"/>
      <c r="O355" s="79"/>
      <c r="S355" s="79"/>
      <c r="T355" s="79"/>
      <c r="Y355" s="79"/>
      <c r="AC355" s="130"/>
      <c r="AE355" s="106"/>
    </row>
    <row r="356">
      <c r="C356" s="79"/>
      <c r="D356" s="79"/>
      <c r="E356" s="79"/>
      <c r="O356" s="79"/>
      <c r="S356" s="79"/>
      <c r="T356" s="79"/>
      <c r="Y356" s="79"/>
      <c r="AC356" s="130"/>
      <c r="AE356" s="106"/>
    </row>
    <row r="357">
      <c r="C357" s="79"/>
      <c r="D357" s="79"/>
      <c r="E357" s="79"/>
      <c r="O357" s="79"/>
      <c r="S357" s="79"/>
      <c r="T357" s="79"/>
      <c r="Y357" s="79"/>
      <c r="AC357" s="130"/>
      <c r="AE357" s="106"/>
    </row>
    <row r="358">
      <c r="C358" s="79"/>
      <c r="D358" s="79"/>
      <c r="E358" s="79"/>
      <c r="O358" s="79"/>
      <c r="S358" s="79"/>
      <c r="T358" s="79"/>
      <c r="Y358" s="79"/>
      <c r="AC358" s="130"/>
      <c r="AE358" s="106"/>
    </row>
    <row r="359">
      <c r="C359" s="79"/>
      <c r="D359" s="79"/>
      <c r="E359" s="79"/>
      <c r="O359" s="79"/>
      <c r="S359" s="79"/>
      <c r="T359" s="79"/>
      <c r="Y359" s="79"/>
      <c r="AC359" s="130"/>
      <c r="AE359" s="106"/>
    </row>
    <row r="360">
      <c r="C360" s="79"/>
      <c r="D360" s="79"/>
      <c r="E360" s="79"/>
      <c r="O360" s="79"/>
      <c r="S360" s="79"/>
      <c r="T360" s="79"/>
      <c r="Y360" s="79"/>
      <c r="AC360" s="130"/>
      <c r="AE360" s="106"/>
    </row>
    <row r="361">
      <c r="C361" s="79"/>
      <c r="D361" s="79"/>
      <c r="E361" s="79"/>
      <c r="O361" s="79"/>
      <c r="S361" s="79"/>
      <c r="T361" s="79"/>
      <c r="Y361" s="79"/>
      <c r="AC361" s="130"/>
      <c r="AE361" s="106"/>
    </row>
    <row r="362">
      <c r="C362" s="79"/>
      <c r="D362" s="79"/>
      <c r="E362" s="79"/>
      <c r="O362" s="79"/>
      <c r="S362" s="79"/>
      <c r="T362" s="79"/>
      <c r="Y362" s="79"/>
      <c r="AC362" s="130"/>
      <c r="AE362" s="106"/>
    </row>
    <row r="363">
      <c r="C363" s="79"/>
      <c r="D363" s="79"/>
      <c r="E363" s="79"/>
      <c r="O363" s="79"/>
      <c r="S363" s="79"/>
      <c r="T363" s="79"/>
      <c r="Y363" s="79"/>
      <c r="AC363" s="130"/>
      <c r="AE363" s="106"/>
    </row>
    <row r="364">
      <c r="C364" s="79"/>
      <c r="D364" s="79"/>
      <c r="E364" s="79"/>
      <c r="O364" s="79"/>
      <c r="S364" s="79"/>
      <c r="T364" s="79"/>
      <c r="Y364" s="79"/>
      <c r="AC364" s="130"/>
      <c r="AE364" s="106"/>
    </row>
    <row r="365">
      <c r="C365" s="79"/>
      <c r="D365" s="79"/>
      <c r="E365" s="79"/>
      <c r="O365" s="79"/>
      <c r="S365" s="79"/>
      <c r="T365" s="79"/>
      <c r="Y365" s="79"/>
      <c r="AC365" s="130"/>
      <c r="AE365" s="106"/>
    </row>
    <row r="366">
      <c r="C366" s="79"/>
      <c r="D366" s="79"/>
      <c r="E366" s="79"/>
      <c r="O366" s="79"/>
      <c r="S366" s="79"/>
      <c r="T366" s="79"/>
      <c r="Y366" s="79"/>
      <c r="AC366" s="130"/>
      <c r="AE366" s="106"/>
    </row>
    <row r="367">
      <c r="C367" s="79"/>
      <c r="D367" s="79"/>
      <c r="E367" s="79"/>
      <c r="O367" s="79"/>
      <c r="S367" s="79"/>
      <c r="T367" s="79"/>
      <c r="Y367" s="79"/>
      <c r="AC367" s="130"/>
      <c r="AE367" s="106"/>
    </row>
    <row r="368">
      <c r="C368" s="79"/>
      <c r="D368" s="79"/>
      <c r="E368" s="79"/>
      <c r="O368" s="79"/>
      <c r="S368" s="79"/>
      <c r="T368" s="79"/>
      <c r="Y368" s="79"/>
      <c r="AC368" s="130"/>
      <c r="AE368" s="106"/>
    </row>
    <row r="369">
      <c r="C369" s="79"/>
      <c r="D369" s="79"/>
      <c r="E369" s="79"/>
      <c r="O369" s="79"/>
      <c r="S369" s="79"/>
      <c r="T369" s="79"/>
      <c r="Y369" s="79"/>
      <c r="AC369" s="130"/>
      <c r="AE369" s="106"/>
    </row>
    <row r="370">
      <c r="C370" s="79"/>
      <c r="D370" s="79"/>
      <c r="E370" s="79"/>
      <c r="O370" s="79"/>
      <c r="S370" s="79"/>
      <c r="T370" s="79"/>
      <c r="Y370" s="79"/>
      <c r="AC370" s="130"/>
      <c r="AE370" s="106"/>
    </row>
    <row r="371">
      <c r="C371" s="79"/>
      <c r="D371" s="79"/>
      <c r="E371" s="79"/>
      <c r="O371" s="79"/>
      <c r="S371" s="79"/>
      <c r="T371" s="79"/>
      <c r="Y371" s="79"/>
      <c r="AC371" s="130"/>
      <c r="AE371" s="106"/>
    </row>
    <row r="372">
      <c r="C372" s="79"/>
      <c r="D372" s="79"/>
      <c r="E372" s="79"/>
      <c r="O372" s="79"/>
      <c r="S372" s="79"/>
      <c r="T372" s="79"/>
      <c r="Y372" s="79"/>
      <c r="AC372" s="130"/>
      <c r="AE372" s="106"/>
    </row>
    <row r="373">
      <c r="C373" s="79"/>
      <c r="D373" s="79"/>
      <c r="E373" s="79"/>
      <c r="O373" s="79"/>
      <c r="S373" s="79"/>
      <c r="T373" s="79"/>
      <c r="Y373" s="79"/>
      <c r="AC373" s="130"/>
      <c r="AE373" s="106"/>
    </row>
    <row r="374">
      <c r="C374" s="79"/>
      <c r="D374" s="79"/>
      <c r="E374" s="79"/>
      <c r="O374" s="79"/>
      <c r="S374" s="79"/>
      <c r="T374" s="79"/>
      <c r="Y374" s="79"/>
      <c r="AC374" s="130"/>
      <c r="AE374" s="106"/>
    </row>
    <row r="375">
      <c r="C375" s="79"/>
      <c r="D375" s="79"/>
      <c r="E375" s="79"/>
      <c r="O375" s="79"/>
      <c r="S375" s="79"/>
      <c r="T375" s="79"/>
      <c r="Y375" s="79"/>
      <c r="AC375" s="130"/>
      <c r="AE375" s="106"/>
    </row>
    <row r="376">
      <c r="C376" s="79"/>
      <c r="D376" s="79"/>
      <c r="E376" s="79"/>
      <c r="O376" s="79"/>
      <c r="S376" s="79"/>
      <c r="T376" s="79"/>
      <c r="Y376" s="79"/>
      <c r="AC376" s="130"/>
      <c r="AE376" s="106"/>
    </row>
    <row r="377">
      <c r="C377" s="79"/>
      <c r="D377" s="79"/>
      <c r="E377" s="79"/>
      <c r="O377" s="79"/>
      <c r="S377" s="79"/>
      <c r="T377" s="79"/>
      <c r="Y377" s="79"/>
      <c r="AC377" s="130"/>
      <c r="AE377" s="106"/>
    </row>
    <row r="378">
      <c r="C378" s="79"/>
      <c r="D378" s="79"/>
      <c r="E378" s="79"/>
      <c r="O378" s="79"/>
      <c r="S378" s="79"/>
      <c r="T378" s="79"/>
      <c r="Y378" s="79"/>
      <c r="AC378" s="130"/>
      <c r="AE378" s="106"/>
    </row>
    <row r="379">
      <c r="C379" s="79"/>
      <c r="D379" s="79"/>
      <c r="E379" s="79"/>
      <c r="O379" s="79"/>
      <c r="S379" s="79"/>
      <c r="T379" s="79"/>
      <c r="Y379" s="79"/>
      <c r="AC379" s="130"/>
      <c r="AE379" s="106"/>
    </row>
    <row r="380">
      <c r="C380" s="79"/>
      <c r="D380" s="79"/>
      <c r="E380" s="79"/>
      <c r="O380" s="79"/>
      <c r="S380" s="79"/>
      <c r="T380" s="79"/>
      <c r="Y380" s="79"/>
      <c r="AC380" s="130"/>
      <c r="AE380" s="106"/>
    </row>
    <row r="381">
      <c r="C381" s="79"/>
      <c r="D381" s="79"/>
      <c r="E381" s="79"/>
      <c r="O381" s="79"/>
      <c r="S381" s="79"/>
      <c r="T381" s="79"/>
      <c r="Y381" s="79"/>
      <c r="AC381" s="130"/>
      <c r="AE381" s="106"/>
    </row>
    <row r="382">
      <c r="C382" s="79"/>
      <c r="D382" s="79"/>
      <c r="E382" s="79"/>
      <c r="O382" s="79"/>
      <c r="S382" s="79"/>
      <c r="T382" s="79"/>
      <c r="Y382" s="79"/>
      <c r="AC382" s="130"/>
      <c r="AE382" s="106"/>
    </row>
    <row r="383">
      <c r="C383" s="79"/>
      <c r="D383" s="79"/>
      <c r="E383" s="79"/>
      <c r="O383" s="79"/>
      <c r="S383" s="79"/>
      <c r="T383" s="79"/>
      <c r="Y383" s="79"/>
      <c r="AC383" s="130"/>
      <c r="AE383" s="106"/>
    </row>
    <row r="384">
      <c r="C384" s="79"/>
      <c r="D384" s="79"/>
      <c r="E384" s="79"/>
      <c r="O384" s="79"/>
      <c r="S384" s="79"/>
      <c r="T384" s="79"/>
      <c r="Y384" s="79"/>
      <c r="AC384" s="130"/>
      <c r="AE384" s="106"/>
    </row>
    <row r="385">
      <c r="C385" s="79"/>
      <c r="D385" s="79"/>
      <c r="E385" s="79"/>
      <c r="O385" s="79"/>
      <c r="S385" s="79"/>
      <c r="T385" s="79"/>
      <c r="Y385" s="79"/>
      <c r="AC385" s="130"/>
      <c r="AE385" s="106"/>
    </row>
    <row r="386">
      <c r="C386" s="79"/>
      <c r="D386" s="79"/>
      <c r="E386" s="79"/>
      <c r="O386" s="79"/>
      <c r="S386" s="79"/>
      <c r="T386" s="79"/>
      <c r="Y386" s="79"/>
      <c r="AC386" s="130"/>
      <c r="AE386" s="106"/>
    </row>
    <row r="387">
      <c r="C387" s="79"/>
      <c r="D387" s="79"/>
      <c r="E387" s="79"/>
      <c r="O387" s="79"/>
      <c r="S387" s="79"/>
      <c r="T387" s="79"/>
      <c r="Y387" s="79"/>
      <c r="AC387" s="130"/>
      <c r="AE387" s="106"/>
    </row>
    <row r="388">
      <c r="C388" s="79"/>
      <c r="D388" s="79"/>
      <c r="E388" s="79"/>
      <c r="O388" s="79"/>
      <c r="S388" s="79"/>
      <c r="T388" s="79"/>
      <c r="Y388" s="79"/>
      <c r="AC388" s="130"/>
      <c r="AE388" s="106"/>
    </row>
    <row r="389">
      <c r="C389" s="79"/>
      <c r="D389" s="79"/>
      <c r="E389" s="79"/>
      <c r="O389" s="79"/>
      <c r="S389" s="79"/>
      <c r="T389" s="79"/>
      <c r="Y389" s="79"/>
      <c r="AC389" s="130"/>
      <c r="AE389" s="106"/>
    </row>
    <row r="390">
      <c r="C390" s="79"/>
      <c r="D390" s="79"/>
      <c r="E390" s="79"/>
      <c r="O390" s="79"/>
      <c r="S390" s="79"/>
      <c r="T390" s="79"/>
      <c r="Y390" s="79"/>
      <c r="AC390" s="130"/>
      <c r="AE390" s="106"/>
    </row>
    <row r="391">
      <c r="C391" s="79"/>
      <c r="D391" s="79"/>
      <c r="E391" s="79"/>
      <c r="O391" s="79"/>
      <c r="S391" s="79"/>
      <c r="T391" s="79"/>
      <c r="Y391" s="79"/>
      <c r="AC391" s="130"/>
      <c r="AE391" s="106"/>
    </row>
    <row r="392">
      <c r="C392" s="79"/>
      <c r="D392" s="79"/>
      <c r="E392" s="79"/>
      <c r="O392" s="79"/>
      <c r="S392" s="79"/>
      <c r="T392" s="79"/>
      <c r="Y392" s="79"/>
      <c r="AC392" s="130"/>
      <c r="AE392" s="106"/>
    </row>
    <row r="393">
      <c r="C393" s="79"/>
      <c r="D393" s="79"/>
      <c r="E393" s="79"/>
      <c r="O393" s="79"/>
      <c r="S393" s="79"/>
      <c r="T393" s="79"/>
      <c r="Y393" s="79"/>
      <c r="AC393" s="130"/>
      <c r="AE393" s="106"/>
    </row>
    <row r="394">
      <c r="C394" s="79"/>
      <c r="D394" s="79"/>
      <c r="E394" s="79"/>
      <c r="O394" s="79"/>
      <c r="S394" s="79"/>
      <c r="T394" s="79"/>
      <c r="Y394" s="79"/>
      <c r="AC394" s="130"/>
      <c r="AE394" s="106"/>
    </row>
    <row r="395">
      <c r="C395" s="79"/>
      <c r="D395" s="79"/>
      <c r="E395" s="79"/>
      <c r="O395" s="79"/>
      <c r="S395" s="79"/>
      <c r="T395" s="79"/>
      <c r="Y395" s="79"/>
      <c r="AC395" s="130"/>
      <c r="AE395" s="106"/>
    </row>
    <row r="396">
      <c r="C396" s="79"/>
      <c r="D396" s="79"/>
      <c r="E396" s="79"/>
      <c r="O396" s="79"/>
      <c r="S396" s="79"/>
      <c r="T396" s="79"/>
      <c r="Y396" s="79"/>
      <c r="AC396" s="130"/>
      <c r="AE396" s="106"/>
    </row>
    <row r="397">
      <c r="C397" s="79"/>
      <c r="D397" s="79"/>
      <c r="E397" s="79"/>
      <c r="O397" s="79"/>
      <c r="S397" s="79"/>
      <c r="T397" s="79"/>
      <c r="Y397" s="79"/>
      <c r="AC397" s="130"/>
      <c r="AE397" s="106"/>
    </row>
    <row r="398">
      <c r="C398" s="79"/>
      <c r="D398" s="79"/>
      <c r="E398" s="79"/>
      <c r="O398" s="79"/>
      <c r="S398" s="79"/>
      <c r="T398" s="79"/>
      <c r="Y398" s="79"/>
      <c r="AC398" s="130"/>
      <c r="AE398" s="106"/>
    </row>
    <row r="399">
      <c r="C399" s="79"/>
      <c r="D399" s="79"/>
      <c r="E399" s="79"/>
      <c r="O399" s="79"/>
      <c r="S399" s="79"/>
      <c r="T399" s="79"/>
      <c r="Y399" s="79"/>
      <c r="AC399" s="130"/>
      <c r="AE399" s="106"/>
    </row>
    <row r="400">
      <c r="C400" s="79"/>
      <c r="D400" s="79"/>
      <c r="E400" s="79"/>
      <c r="O400" s="79"/>
      <c r="S400" s="79"/>
      <c r="T400" s="79"/>
      <c r="Y400" s="79"/>
      <c r="AC400" s="130"/>
      <c r="AE400" s="106"/>
    </row>
    <row r="401">
      <c r="C401" s="79"/>
      <c r="D401" s="79"/>
      <c r="E401" s="79"/>
      <c r="O401" s="79"/>
      <c r="S401" s="79"/>
      <c r="T401" s="79"/>
      <c r="Y401" s="79"/>
      <c r="AC401" s="130"/>
      <c r="AE401" s="106"/>
    </row>
    <row r="402">
      <c r="C402" s="79"/>
      <c r="D402" s="79"/>
      <c r="E402" s="79"/>
      <c r="O402" s="79"/>
      <c r="S402" s="79"/>
      <c r="T402" s="79"/>
      <c r="Y402" s="79"/>
      <c r="AC402" s="130"/>
      <c r="AE402" s="106"/>
    </row>
    <row r="403">
      <c r="C403" s="79"/>
      <c r="D403" s="79"/>
      <c r="E403" s="79"/>
      <c r="O403" s="79"/>
      <c r="S403" s="79"/>
      <c r="T403" s="79"/>
      <c r="Y403" s="79"/>
      <c r="AC403" s="130"/>
      <c r="AE403" s="106"/>
    </row>
    <row r="404">
      <c r="C404" s="79"/>
      <c r="D404" s="79"/>
      <c r="E404" s="79"/>
      <c r="O404" s="79"/>
      <c r="S404" s="79"/>
      <c r="T404" s="79"/>
      <c r="Y404" s="79"/>
      <c r="AC404" s="130"/>
      <c r="AE404" s="106"/>
    </row>
    <row r="405">
      <c r="C405" s="79"/>
      <c r="D405" s="79"/>
      <c r="E405" s="79"/>
      <c r="O405" s="79"/>
      <c r="S405" s="79"/>
      <c r="T405" s="79"/>
      <c r="Y405" s="79"/>
      <c r="AC405" s="130"/>
      <c r="AE405" s="106"/>
    </row>
    <row r="406">
      <c r="C406" s="79"/>
      <c r="D406" s="79"/>
      <c r="E406" s="79"/>
      <c r="O406" s="79"/>
      <c r="S406" s="79"/>
      <c r="T406" s="79"/>
      <c r="Y406" s="79"/>
      <c r="AC406" s="130"/>
      <c r="AE406" s="106"/>
    </row>
    <row r="407">
      <c r="C407" s="79"/>
      <c r="D407" s="79"/>
      <c r="E407" s="79"/>
      <c r="O407" s="79"/>
      <c r="S407" s="79"/>
      <c r="T407" s="79"/>
      <c r="Y407" s="79"/>
      <c r="AC407" s="130"/>
      <c r="AE407" s="106"/>
    </row>
    <row r="408">
      <c r="C408" s="79"/>
      <c r="D408" s="79"/>
      <c r="E408" s="79"/>
      <c r="O408" s="79"/>
      <c r="S408" s="79"/>
      <c r="T408" s="79"/>
      <c r="Y408" s="79"/>
      <c r="AC408" s="130"/>
      <c r="AE408" s="106"/>
    </row>
    <row r="409">
      <c r="C409" s="79"/>
      <c r="D409" s="79"/>
      <c r="E409" s="79"/>
      <c r="O409" s="79"/>
      <c r="S409" s="79"/>
      <c r="T409" s="79"/>
      <c r="Y409" s="79"/>
      <c r="AC409" s="130"/>
      <c r="AE409" s="106"/>
    </row>
    <row r="410">
      <c r="C410" s="79"/>
      <c r="D410" s="79"/>
      <c r="E410" s="79"/>
      <c r="O410" s="79"/>
      <c r="S410" s="79"/>
      <c r="T410" s="79"/>
      <c r="Y410" s="79"/>
      <c r="AC410" s="130"/>
      <c r="AE410" s="106"/>
    </row>
    <row r="411">
      <c r="C411" s="79"/>
      <c r="D411" s="79"/>
      <c r="E411" s="79"/>
      <c r="O411" s="79"/>
      <c r="S411" s="79"/>
      <c r="T411" s="79"/>
      <c r="Y411" s="79"/>
      <c r="AC411" s="130"/>
      <c r="AE411" s="106"/>
    </row>
    <row r="412">
      <c r="C412" s="79"/>
      <c r="D412" s="79"/>
      <c r="E412" s="79"/>
      <c r="O412" s="79"/>
      <c r="S412" s="79"/>
      <c r="T412" s="79"/>
      <c r="Y412" s="79"/>
      <c r="AC412" s="130"/>
      <c r="AE412" s="106"/>
    </row>
    <row r="413">
      <c r="C413" s="79"/>
      <c r="D413" s="79"/>
      <c r="E413" s="79"/>
      <c r="O413" s="79"/>
      <c r="S413" s="79"/>
      <c r="T413" s="79"/>
      <c r="Y413" s="79"/>
      <c r="AC413" s="130"/>
      <c r="AE413" s="106"/>
    </row>
    <row r="414">
      <c r="C414" s="79"/>
      <c r="D414" s="79"/>
      <c r="E414" s="79"/>
      <c r="O414" s="79"/>
      <c r="S414" s="79"/>
      <c r="T414" s="79"/>
      <c r="Y414" s="79"/>
      <c r="AC414" s="130"/>
      <c r="AE414" s="106"/>
    </row>
    <row r="415">
      <c r="C415" s="79"/>
      <c r="D415" s="79"/>
      <c r="E415" s="79"/>
      <c r="O415" s="79"/>
      <c r="S415" s="79"/>
      <c r="T415" s="79"/>
      <c r="Y415" s="79"/>
      <c r="AC415" s="130"/>
      <c r="AE415" s="106"/>
    </row>
    <row r="416">
      <c r="C416" s="79"/>
      <c r="D416" s="79"/>
      <c r="E416" s="79"/>
      <c r="O416" s="79"/>
      <c r="S416" s="79"/>
      <c r="T416" s="79"/>
      <c r="Y416" s="79"/>
      <c r="AC416" s="130"/>
      <c r="AE416" s="106"/>
    </row>
    <row r="417">
      <c r="C417" s="79"/>
      <c r="D417" s="79"/>
      <c r="E417" s="79"/>
      <c r="O417" s="79"/>
      <c r="S417" s="79"/>
      <c r="T417" s="79"/>
      <c r="Y417" s="79"/>
      <c r="AC417" s="130"/>
      <c r="AE417" s="106"/>
    </row>
    <row r="418">
      <c r="C418" s="79"/>
      <c r="D418" s="79"/>
      <c r="E418" s="79"/>
      <c r="O418" s="79"/>
      <c r="S418" s="79"/>
      <c r="T418" s="79"/>
      <c r="Y418" s="79"/>
      <c r="AC418" s="130"/>
      <c r="AE418" s="106"/>
    </row>
    <row r="419">
      <c r="C419" s="79"/>
      <c r="D419" s="79"/>
      <c r="E419" s="79"/>
      <c r="O419" s="79"/>
      <c r="S419" s="79"/>
      <c r="T419" s="79"/>
      <c r="Y419" s="79"/>
      <c r="AC419" s="130"/>
      <c r="AE419" s="106"/>
    </row>
    <row r="420">
      <c r="C420" s="79"/>
      <c r="D420" s="79"/>
      <c r="E420" s="79"/>
      <c r="O420" s="79"/>
      <c r="S420" s="79"/>
      <c r="T420" s="79"/>
      <c r="Y420" s="79"/>
      <c r="AC420" s="130"/>
      <c r="AE420" s="106"/>
    </row>
    <row r="421">
      <c r="C421" s="79"/>
      <c r="D421" s="79"/>
      <c r="E421" s="79"/>
      <c r="O421" s="79"/>
      <c r="S421" s="79"/>
      <c r="T421" s="79"/>
      <c r="Y421" s="79"/>
      <c r="AC421" s="130"/>
      <c r="AE421" s="106"/>
    </row>
    <row r="422">
      <c r="C422" s="79"/>
      <c r="D422" s="79"/>
      <c r="E422" s="79"/>
      <c r="O422" s="79"/>
      <c r="S422" s="79"/>
      <c r="T422" s="79"/>
      <c r="Y422" s="79"/>
      <c r="AC422" s="130"/>
      <c r="AE422" s="106"/>
    </row>
    <row r="423">
      <c r="C423" s="79"/>
      <c r="D423" s="79"/>
      <c r="E423" s="79"/>
      <c r="O423" s="79"/>
      <c r="S423" s="79"/>
      <c r="T423" s="79"/>
      <c r="Y423" s="79"/>
      <c r="AC423" s="130"/>
      <c r="AE423" s="106"/>
    </row>
    <row r="424">
      <c r="C424" s="79"/>
      <c r="D424" s="79"/>
      <c r="E424" s="79"/>
      <c r="O424" s="79"/>
      <c r="S424" s="79"/>
      <c r="T424" s="79"/>
      <c r="Y424" s="79"/>
      <c r="AC424" s="130"/>
      <c r="AE424" s="106"/>
    </row>
    <row r="425">
      <c r="C425" s="79"/>
      <c r="D425" s="79"/>
      <c r="E425" s="79"/>
      <c r="O425" s="79"/>
      <c r="S425" s="79"/>
      <c r="T425" s="79"/>
      <c r="Y425" s="79"/>
      <c r="AC425" s="130"/>
      <c r="AE425" s="106"/>
    </row>
    <row r="426">
      <c r="C426" s="79"/>
      <c r="D426" s="79"/>
      <c r="E426" s="79"/>
      <c r="O426" s="79"/>
      <c r="S426" s="79"/>
      <c r="T426" s="79"/>
      <c r="Y426" s="79"/>
      <c r="AC426" s="130"/>
      <c r="AE426" s="106"/>
    </row>
    <row r="427">
      <c r="C427" s="79"/>
      <c r="D427" s="79"/>
      <c r="E427" s="79"/>
      <c r="O427" s="79"/>
      <c r="S427" s="79"/>
      <c r="T427" s="79"/>
      <c r="Y427" s="79"/>
      <c r="AC427" s="130"/>
      <c r="AE427" s="106"/>
    </row>
    <row r="428">
      <c r="C428" s="79"/>
      <c r="D428" s="79"/>
      <c r="E428" s="79"/>
      <c r="O428" s="79"/>
      <c r="S428" s="79"/>
      <c r="T428" s="79"/>
      <c r="Y428" s="79"/>
      <c r="AC428" s="130"/>
      <c r="AE428" s="106"/>
    </row>
    <row r="429">
      <c r="C429" s="79"/>
      <c r="D429" s="79"/>
      <c r="E429" s="79"/>
      <c r="O429" s="79"/>
      <c r="S429" s="79"/>
      <c r="T429" s="79"/>
      <c r="Y429" s="79"/>
      <c r="AC429" s="130"/>
      <c r="AE429" s="106"/>
    </row>
    <row r="430">
      <c r="C430" s="79"/>
      <c r="D430" s="79"/>
      <c r="E430" s="79"/>
      <c r="O430" s="79"/>
      <c r="S430" s="79"/>
      <c r="T430" s="79"/>
      <c r="Y430" s="79"/>
      <c r="AC430" s="130"/>
      <c r="AE430" s="106"/>
    </row>
    <row r="431">
      <c r="C431" s="79"/>
      <c r="D431" s="79"/>
      <c r="E431" s="79"/>
      <c r="O431" s="79"/>
      <c r="S431" s="79"/>
      <c r="T431" s="79"/>
      <c r="Y431" s="79"/>
      <c r="AC431" s="130"/>
      <c r="AE431" s="106"/>
    </row>
    <row r="432">
      <c r="C432" s="79"/>
      <c r="D432" s="79"/>
      <c r="E432" s="79"/>
      <c r="O432" s="79"/>
      <c r="S432" s="79"/>
      <c r="T432" s="79"/>
      <c r="Y432" s="79"/>
      <c r="AC432" s="130"/>
      <c r="AE432" s="106"/>
    </row>
    <row r="433">
      <c r="C433" s="79"/>
      <c r="D433" s="79"/>
      <c r="E433" s="79"/>
      <c r="O433" s="79"/>
      <c r="S433" s="79"/>
      <c r="T433" s="79"/>
      <c r="Y433" s="79"/>
      <c r="AC433" s="130"/>
      <c r="AE433" s="106"/>
    </row>
    <row r="434">
      <c r="C434" s="79"/>
      <c r="D434" s="79"/>
      <c r="E434" s="79"/>
      <c r="O434" s="79"/>
      <c r="S434" s="79"/>
      <c r="T434" s="79"/>
      <c r="Y434" s="79"/>
      <c r="AC434" s="130"/>
      <c r="AE434" s="106"/>
    </row>
    <row r="435">
      <c r="C435" s="79"/>
      <c r="D435" s="79"/>
      <c r="E435" s="79"/>
      <c r="O435" s="79"/>
      <c r="S435" s="79"/>
      <c r="T435" s="79"/>
      <c r="Y435" s="79"/>
      <c r="AC435" s="130"/>
      <c r="AE435" s="106"/>
    </row>
    <row r="436">
      <c r="C436" s="79"/>
      <c r="D436" s="79"/>
      <c r="E436" s="79"/>
      <c r="O436" s="79"/>
      <c r="S436" s="79"/>
      <c r="T436" s="79"/>
      <c r="Y436" s="79"/>
      <c r="AC436" s="130"/>
      <c r="AE436" s="106"/>
    </row>
    <row r="437">
      <c r="C437" s="79"/>
      <c r="D437" s="79"/>
      <c r="E437" s="79"/>
      <c r="O437" s="79"/>
      <c r="S437" s="79"/>
      <c r="T437" s="79"/>
      <c r="Y437" s="79"/>
      <c r="AC437" s="130"/>
      <c r="AE437" s="106"/>
    </row>
    <row r="438">
      <c r="C438" s="79"/>
      <c r="D438" s="79"/>
      <c r="E438" s="79"/>
      <c r="O438" s="79"/>
      <c r="S438" s="79"/>
      <c r="T438" s="79"/>
      <c r="Y438" s="79"/>
      <c r="AC438" s="130"/>
      <c r="AE438" s="106"/>
    </row>
    <row r="439">
      <c r="C439" s="79"/>
      <c r="D439" s="79"/>
      <c r="E439" s="79"/>
      <c r="O439" s="79"/>
      <c r="S439" s="79"/>
      <c r="T439" s="79"/>
      <c r="Y439" s="79"/>
      <c r="AC439" s="130"/>
      <c r="AE439" s="106"/>
    </row>
    <row r="440">
      <c r="C440" s="79"/>
      <c r="D440" s="79"/>
      <c r="E440" s="79"/>
      <c r="O440" s="79"/>
      <c r="S440" s="79"/>
      <c r="T440" s="79"/>
      <c r="Y440" s="79"/>
      <c r="AC440" s="130"/>
      <c r="AE440" s="106"/>
    </row>
    <row r="441">
      <c r="C441" s="79"/>
      <c r="D441" s="79"/>
      <c r="E441" s="79"/>
      <c r="O441" s="79"/>
      <c r="S441" s="79"/>
      <c r="T441" s="79"/>
      <c r="Y441" s="79"/>
      <c r="AC441" s="130"/>
      <c r="AE441" s="106"/>
    </row>
    <row r="442">
      <c r="C442" s="79"/>
      <c r="D442" s="79"/>
      <c r="E442" s="79"/>
      <c r="O442" s="79"/>
      <c r="S442" s="79"/>
      <c r="T442" s="79"/>
      <c r="Y442" s="79"/>
      <c r="AC442" s="130"/>
      <c r="AE442" s="106"/>
    </row>
    <row r="443">
      <c r="C443" s="79"/>
      <c r="D443" s="79"/>
      <c r="E443" s="79"/>
      <c r="O443" s="79"/>
      <c r="S443" s="79"/>
      <c r="T443" s="79"/>
      <c r="Y443" s="79"/>
      <c r="AC443" s="130"/>
      <c r="AE443" s="106"/>
    </row>
    <row r="444">
      <c r="C444" s="79"/>
      <c r="D444" s="79"/>
      <c r="E444" s="79"/>
      <c r="O444" s="79"/>
      <c r="S444" s="79"/>
      <c r="T444" s="79"/>
      <c r="Y444" s="79"/>
      <c r="AC444" s="130"/>
      <c r="AE444" s="106"/>
    </row>
    <row r="445">
      <c r="C445" s="79"/>
      <c r="D445" s="79"/>
      <c r="E445" s="79"/>
      <c r="O445" s="79"/>
      <c r="S445" s="79"/>
      <c r="T445" s="79"/>
      <c r="Y445" s="79"/>
      <c r="AC445" s="130"/>
      <c r="AE445" s="106"/>
    </row>
    <row r="446">
      <c r="C446" s="79"/>
      <c r="D446" s="79"/>
      <c r="E446" s="79"/>
      <c r="O446" s="79"/>
      <c r="S446" s="79"/>
      <c r="T446" s="79"/>
      <c r="Y446" s="79"/>
      <c r="AC446" s="130"/>
      <c r="AE446" s="106"/>
    </row>
    <row r="447">
      <c r="C447" s="79"/>
      <c r="D447" s="79"/>
      <c r="E447" s="79"/>
      <c r="O447" s="79"/>
      <c r="S447" s="79"/>
      <c r="T447" s="79"/>
      <c r="Y447" s="79"/>
      <c r="AC447" s="130"/>
      <c r="AE447" s="106"/>
    </row>
    <row r="448">
      <c r="C448" s="79"/>
      <c r="D448" s="79"/>
      <c r="E448" s="79"/>
      <c r="O448" s="79"/>
      <c r="S448" s="79"/>
      <c r="T448" s="79"/>
      <c r="Y448" s="79"/>
      <c r="AC448" s="130"/>
      <c r="AE448" s="106"/>
    </row>
    <row r="449">
      <c r="C449" s="79"/>
      <c r="D449" s="79"/>
      <c r="E449" s="79"/>
      <c r="O449" s="79"/>
      <c r="S449" s="79"/>
      <c r="T449" s="79"/>
      <c r="Y449" s="79"/>
      <c r="AC449" s="130"/>
      <c r="AE449" s="106"/>
    </row>
    <row r="450">
      <c r="C450" s="79"/>
      <c r="D450" s="79"/>
      <c r="E450" s="79"/>
      <c r="O450" s="79"/>
      <c r="S450" s="79"/>
      <c r="T450" s="79"/>
      <c r="Y450" s="79"/>
      <c r="AC450" s="130"/>
      <c r="AE450" s="106"/>
    </row>
    <row r="451">
      <c r="C451" s="79"/>
      <c r="D451" s="79"/>
      <c r="E451" s="79"/>
      <c r="O451" s="79"/>
      <c r="S451" s="79"/>
      <c r="T451" s="79"/>
      <c r="Y451" s="79"/>
      <c r="AC451" s="130"/>
      <c r="AE451" s="106"/>
    </row>
    <row r="452">
      <c r="C452" s="79"/>
      <c r="D452" s="79"/>
      <c r="E452" s="79"/>
      <c r="O452" s="79"/>
      <c r="S452" s="79"/>
      <c r="T452" s="79"/>
      <c r="Y452" s="79"/>
      <c r="AC452" s="130"/>
      <c r="AE452" s="106"/>
    </row>
    <row r="453">
      <c r="C453" s="79"/>
      <c r="D453" s="79"/>
      <c r="E453" s="79"/>
      <c r="O453" s="79"/>
      <c r="S453" s="79"/>
      <c r="T453" s="79"/>
      <c r="Y453" s="79"/>
      <c r="AC453" s="130"/>
      <c r="AE453" s="106"/>
    </row>
    <row r="454">
      <c r="C454" s="79"/>
      <c r="D454" s="79"/>
      <c r="E454" s="79"/>
      <c r="O454" s="79"/>
      <c r="S454" s="79"/>
      <c r="T454" s="79"/>
      <c r="Y454" s="79"/>
      <c r="AC454" s="130"/>
      <c r="AE454" s="106"/>
    </row>
    <row r="455">
      <c r="C455" s="79"/>
      <c r="D455" s="79"/>
      <c r="E455" s="79"/>
      <c r="O455" s="79"/>
      <c r="S455" s="79"/>
      <c r="T455" s="79"/>
      <c r="Y455" s="79"/>
      <c r="AC455" s="130"/>
      <c r="AE455" s="106"/>
    </row>
    <row r="456">
      <c r="C456" s="79"/>
      <c r="D456" s="79"/>
      <c r="E456" s="79"/>
      <c r="O456" s="79"/>
      <c r="S456" s="79"/>
      <c r="T456" s="79"/>
      <c r="Y456" s="79"/>
      <c r="AC456" s="130"/>
      <c r="AE456" s="106"/>
    </row>
    <row r="457">
      <c r="C457" s="79"/>
      <c r="D457" s="79"/>
      <c r="E457" s="79"/>
      <c r="O457" s="79"/>
      <c r="S457" s="79"/>
      <c r="T457" s="79"/>
      <c r="Y457" s="79"/>
      <c r="AC457" s="130"/>
      <c r="AE457" s="106"/>
    </row>
    <row r="458">
      <c r="C458" s="79"/>
      <c r="D458" s="79"/>
      <c r="E458" s="79"/>
      <c r="O458" s="79"/>
      <c r="S458" s="79"/>
      <c r="T458" s="79"/>
      <c r="Y458" s="79"/>
      <c r="AC458" s="130"/>
      <c r="AE458" s="106"/>
    </row>
    <row r="459">
      <c r="C459" s="79"/>
      <c r="D459" s="79"/>
      <c r="E459" s="79"/>
      <c r="O459" s="79"/>
      <c r="S459" s="79"/>
      <c r="T459" s="79"/>
      <c r="Y459" s="79"/>
      <c r="AC459" s="130"/>
      <c r="AE459" s="106"/>
    </row>
    <row r="460">
      <c r="C460" s="79"/>
      <c r="D460" s="79"/>
      <c r="E460" s="79"/>
      <c r="O460" s="79"/>
      <c r="S460" s="79"/>
      <c r="T460" s="79"/>
      <c r="Y460" s="79"/>
      <c r="AC460" s="130"/>
      <c r="AE460" s="106"/>
    </row>
    <row r="461">
      <c r="C461" s="79"/>
      <c r="D461" s="79"/>
      <c r="E461" s="79"/>
      <c r="O461" s="79"/>
      <c r="S461" s="79"/>
      <c r="T461" s="79"/>
      <c r="Y461" s="79"/>
      <c r="AC461" s="130"/>
      <c r="AE461" s="106"/>
    </row>
    <row r="462">
      <c r="C462" s="79"/>
      <c r="D462" s="79"/>
      <c r="E462" s="79"/>
      <c r="O462" s="79"/>
      <c r="S462" s="79"/>
      <c r="T462" s="79"/>
      <c r="Y462" s="79"/>
      <c r="AC462" s="130"/>
      <c r="AE462" s="106"/>
    </row>
    <row r="463">
      <c r="C463" s="79"/>
      <c r="D463" s="79"/>
      <c r="E463" s="79"/>
      <c r="O463" s="79"/>
      <c r="S463" s="79"/>
      <c r="T463" s="79"/>
      <c r="Y463" s="79"/>
      <c r="AC463" s="130"/>
      <c r="AE463" s="106"/>
    </row>
    <row r="464">
      <c r="C464" s="79"/>
      <c r="D464" s="79"/>
      <c r="E464" s="79"/>
      <c r="O464" s="79"/>
      <c r="S464" s="79"/>
      <c r="T464" s="79"/>
      <c r="Y464" s="79"/>
      <c r="AC464" s="130"/>
      <c r="AE464" s="106"/>
    </row>
    <row r="465">
      <c r="C465" s="79"/>
      <c r="D465" s="79"/>
      <c r="E465" s="79"/>
      <c r="O465" s="79"/>
      <c r="S465" s="79"/>
      <c r="T465" s="79"/>
      <c r="Y465" s="79"/>
      <c r="AC465" s="130"/>
      <c r="AE465" s="106"/>
    </row>
    <row r="466">
      <c r="C466" s="79"/>
      <c r="D466" s="79"/>
      <c r="E466" s="79"/>
      <c r="O466" s="79"/>
      <c r="S466" s="79"/>
      <c r="T466" s="79"/>
      <c r="Y466" s="79"/>
      <c r="AC466" s="130"/>
      <c r="AE466" s="106"/>
    </row>
    <row r="467">
      <c r="C467" s="79"/>
      <c r="D467" s="79"/>
      <c r="E467" s="79"/>
      <c r="O467" s="79"/>
      <c r="S467" s="79"/>
      <c r="T467" s="79"/>
      <c r="Y467" s="79"/>
      <c r="AC467" s="130"/>
      <c r="AE467" s="106"/>
    </row>
    <row r="468">
      <c r="C468" s="79"/>
      <c r="D468" s="79"/>
      <c r="E468" s="79"/>
      <c r="O468" s="79"/>
      <c r="S468" s="79"/>
      <c r="T468" s="79"/>
      <c r="Y468" s="79"/>
      <c r="AC468" s="130"/>
      <c r="AE468" s="106"/>
    </row>
    <row r="469">
      <c r="C469" s="79"/>
      <c r="D469" s="79"/>
      <c r="E469" s="79"/>
      <c r="O469" s="79"/>
      <c r="S469" s="79"/>
      <c r="T469" s="79"/>
      <c r="Y469" s="79"/>
      <c r="AC469" s="130"/>
      <c r="AE469" s="106"/>
    </row>
    <row r="470">
      <c r="C470" s="79"/>
      <c r="D470" s="79"/>
      <c r="E470" s="79"/>
      <c r="O470" s="79"/>
      <c r="S470" s="79"/>
      <c r="T470" s="79"/>
      <c r="Y470" s="79"/>
      <c r="AC470" s="130"/>
      <c r="AE470" s="106"/>
    </row>
    <row r="471">
      <c r="C471" s="79"/>
      <c r="D471" s="79"/>
      <c r="E471" s="79"/>
      <c r="O471" s="79"/>
      <c r="S471" s="79"/>
      <c r="T471" s="79"/>
      <c r="Y471" s="79"/>
      <c r="AC471" s="130"/>
      <c r="AE471" s="106"/>
    </row>
    <row r="472">
      <c r="C472" s="79"/>
      <c r="D472" s="79"/>
      <c r="E472" s="79"/>
      <c r="O472" s="79"/>
      <c r="S472" s="79"/>
      <c r="T472" s="79"/>
      <c r="Y472" s="79"/>
      <c r="AC472" s="130"/>
      <c r="AE472" s="106"/>
    </row>
    <row r="473">
      <c r="C473" s="79"/>
      <c r="D473" s="79"/>
      <c r="E473" s="79"/>
      <c r="O473" s="79"/>
      <c r="S473" s="79"/>
      <c r="T473" s="79"/>
      <c r="Y473" s="79"/>
      <c r="AC473" s="130"/>
      <c r="AE473" s="106"/>
    </row>
    <row r="474">
      <c r="C474" s="79"/>
      <c r="D474" s="79"/>
      <c r="E474" s="79"/>
      <c r="O474" s="79"/>
      <c r="S474" s="79"/>
      <c r="T474" s="79"/>
      <c r="Y474" s="79"/>
      <c r="AC474" s="130"/>
      <c r="AE474" s="106"/>
    </row>
    <row r="475">
      <c r="C475" s="79"/>
      <c r="D475" s="79"/>
      <c r="E475" s="79"/>
      <c r="O475" s="79"/>
      <c r="S475" s="79"/>
      <c r="T475" s="79"/>
      <c r="Y475" s="79"/>
      <c r="AC475" s="130"/>
      <c r="AE475" s="106"/>
    </row>
    <row r="476">
      <c r="C476" s="79"/>
      <c r="D476" s="79"/>
      <c r="E476" s="79"/>
      <c r="O476" s="79"/>
      <c r="S476" s="79"/>
      <c r="T476" s="79"/>
      <c r="Y476" s="79"/>
      <c r="AC476" s="130"/>
      <c r="AE476" s="106"/>
    </row>
    <row r="477">
      <c r="C477" s="79"/>
      <c r="D477" s="79"/>
      <c r="E477" s="79"/>
      <c r="O477" s="79"/>
      <c r="S477" s="79"/>
      <c r="T477" s="79"/>
      <c r="Y477" s="79"/>
      <c r="AC477" s="130"/>
      <c r="AE477" s="106"/>
    </row>
    <row r="478">
      <c r="C478" s="79"/>
      <c r="D478" s="79"/>
      <c r="E478" s="79"/>
      <c r="O478" s="79"/>
      <c r="S478" s="79"/>
      <c r="T478" s="79"/>
      <c r="Y478" s="79"/>
      <c r="AC478" s="130"/>
      <c r="AE478" s="106"/>
    </row>
    <row r="479">
      <c r="C479" s="79"/>
      <c r="D479" s="79"/>
      <c r="E479" s="79"/>
      <c r="O479" s="79"/>
      <c r="S479" s="79"/>
      <c r="T479" s="79"/>
      <c r="Y479" s="79"/>
      <c r="AC479" s="130"/>
      <c r="AE479" s="106"/>
    </row>
    <row r="480">
      <c r="C480" s="79"/>
      <c r="D480" s="79"/>
      <c r="E480" s="79"/>
      <c r="O480" s="79"/>
      <c r="S480" s="79"/>
      <c r="T480" s="79"/>
      <c r="Y480" s="79"/>
      <c r="AC480" s="130"/>
      <c r="AE480" s="106"/>
    </row>
    <row r="481">
      <c r="C481" s="79"/>
      <c r="D481" s="79"/>
      <c r="E481" s="79"/>
      <c r="O481" s="79"/>
      <c r="S481" s="79"/>
      <c r="T481" s="79"/>
      <c r="Y481" s="79"/>
      <c r="AC481" s="130"/>
      <c r="AE481" s="106"/>
    </row>
    <row r="482">
      <c r="C482" s="79"/>
      <c r="D482" s="79"/>
      <c r="E482" s="79"/>
      <c r="O482" s="79"/>
      <c r="S482" s="79"/>
      <c r="T482" s="79"/>
      <c r="Y482" s="79"/>
      <c r="AC482" s="130"/>
      <c r="AE482" s="106"/>
    </row>
    <row r="483">
      <c r="C483" s="79"/>
      <c r="D483" s="79"/>
      <c r="E483" s="79"/>
      <c r="O483" s="79"/>
      <c r="S483" s="79"/>
      <c r="T483" s="79"/>
      <c r="Y483" s="79"/>
      <c r="AC483" s="130"/>
      <c r="AE483" s="106"/>
    </row>
    <row r="484">
      <c r="C484" s="79"/>
      <c r="D484" s="79"/>
      <c r="E484" s="79"/>
      <c r="O484" s="79"/>
      <c r="S484" s="79"/>
      <c r="T484" s="79"/>
      <c r="Y484" s="79"/>
      <c r="AC484" s="130"/>
      <c r="AE484" s="106"/>
    </row>
    <row r="485">
      <c r="C485" s="79"/>
      <c r="D485" s="79"/>
      <c r="E485" s="79"/>
      <c r="O485" s="79"/>
      <c r="S485" s="79"/>
      <c r="T485" s="79"/>
      <c r="Y485" s="79"/>
      <c r="AC485" s="130"/>
      <c r="AE485" s="106"/>
    </row>
    <row r="486">
      <c r="C486" s="79"/>
      <c r="D486" s="79"/>
      <c r="E486" s="79"/>
      <c r="O486" s="79"/>
      <c r="S486" s="79"/>
      <c r="T486" s="79"/>
      <c r="Y486" s="79"/>
      <c r="AC486" s="130"/>
      <c r="AE486" s="106"/>
    </row>
    <row r="487">
      <c r="C487" s="79"/>
      <c r="D487" s="79"/>
      <c r="E487" s="79"/>
      <c r="O487" s="79"/>
      <c r="S487" s="79"/>
      <c r="T487" s="79"/>
      <c r="Y487" s="79"/>
      <c r="AC487" s="130"/>
      <c r="AE487" s="106"/>
    </row>
    <row r="488">
      <c r="C488" s="79"/>
      <c r="D488" s="79"/>
      <c r="E488" s="79"/>
      <c r="O488" s="79"/>
      <c r="S488" s="79"/>
      <c r="T488" s="79"/>
      <c r="Y488" s="79"/>
      <c r="AC488" s="130"/>
      <c r="AE488" s="106"/>
    </row>
    <row r="489">
      <c r="C489" s="79"/>
      <c r="D489" s="79"/>
      <c r="E489" s="79"/>
      <c r="O489" s="79"/>
      <c r="S489" s="79"/>
      <c r="T489" s="79"/>
      <c r="Y489" s="79"/>
      <c r="AC489" s="130"/>
      <c r="AE489" s="106"/>
    </row>
    <row r="490">
      <c r="C490" s="79"/>
      <c r="D490" s="79"/>
      <c r="E490" s="79"/>
      <c r="O490" s="79"/>
      <c r="S490" s="79"/>
      <c r="T490" s="79"/>
      <c r="Y490" s="79"/>
      <c r="AC490" s="130"/>
      <c r="AE490" s="106"/>
    </row>
    <row r="491">
      <c r="C491" s="79"/>
      <c r="D491" s="79"/>
      <c r="E491" s="79"/>
      <c r="O491" s="79"/>
      <c r="S491" s="79"/>
      <c r="T491" s="79"/>
      <c r="Y491" s="79"/>
      <c r="AC491" s="130"/>
      <c r="AE491" s="106"/>
    </row>
    <row r="492">
      <c r="C492" s="79"/>
      <c r="D492" s="79"/>
      <c r="E492" s="79"/>
      <c r="O492" s="79"/>
      <c r="S492" s="79"/>
      <c r="T492" s="79"/>
      <c r="Y492" s="79"/>
      <c r="AC492" s="130"/>
      <c r="AE492" s="106"/>
    </row>
    <row r="493">
      <c r="C493" s="79"/>
      <c r="D493" s="79"/>
      <c r="E493" s="79"/>
      <c r="O493" s="79"/>
      <c r="S493" s="79"/>
      <c r="T493" s="79"/>
      <c r="Y493" s="79"/>
      <c r="AC493" s="130"/>
      <c r="AE493" s="106"/>
    </row>
    <row r="494">
      <c r="C494" s="79"/>
      <c r="D494" s="79"/>
      <c r="E494" s="79"/>
      <c r="O494" s="79"/>
      <c r="S494" s="79"/>
      <c r="T494" s="79"/>
      <c r="Y494" s="79"/>
      <c r="AC494" s="130"/>
      <c r="AE494" s="106"/>
    </row>
    <row r="495">
      <c r="C495" s="79"/>
      <c r="D495" s="79"/>
      <c r="E495" s="79"/>
      <c r="O495" s="79"/>
      <c r="S495" s="79"/>
      <c r="T495" s="79"/>
      <c r="Y495" s="79"/>
      <c r="AC495" s="130"/>
      <c r="AE495" s="106"/>
    </row>
    <row r="496">
      <c r="C496" s="79"/>
      <c r="D496" s="79"/>
      <c r="E496" s="79"/>
      <c r="O496" s="79"/>
      <c r="S496" s="79"/>
      <c r="T496" s="79"/>
      <c r="Y496" s="79"/>
      <c r="AC496" s="130"/>
      <c r="AE496" s="106"/>
    </row>
    <row r="497">
      <c r="C497" s="79"/>
      <c r="D497" s="79"/>
      <c r="E497" s="79"/>
      <c r="O497" s="79"/>
      <c r="S497" s="79"/>
      <c r="T497" s="79"/>
      <c r="Y497" s="79"/>
      <c r="AC497" s="130"/>
      <c r="AE497" s="106"/>
    </row>
    <row r="498">
      <c r="C498" s="79"/>
      <c r="D498" s="79"/>
      <c r="E498" s="79"/>
      <c r="O498" s="79"/>
      <c r="S498" s="79"/>
      <c r="T498" s="79"/>
      <c r="Y498" s="79"/>
      <c r="AC498" s="130"/>
      <c r="AE498" s="106"/>
    </row>
    <row r="499">
      <c r="C499" s="79"/>
      <c r="D499" s="79"/>
      <c r="E499" s="79"/>
      <c r="O499" s="79"/>
      <c r="S499" s="79"/>
      <c r="T499" s="79"/>
      <c r="Y499" s="79"/>
      <c r="AC499" s="130"/>
      <c r="AE499" s="106"/>
    </row>
    <row r="500">
      <c r="C500" s="79"/>
      <c r="D500" s="79"/>
      <c r="E500" s="79"/>
      <c r="O500" s="79"/>
      <c r="S500" s="79"/>
      <c r="T500" s="79"/>
      <c r="Y500" s="79"/>
      <c r="AC500" s="130"/>
      <c r="AE500" s="106"/>
    </row>
    <row r="501">
      <c r="C501" s="79"/>
      <c r="D501" s="79"/>
      <c r="E501" s="79"/>
      <c r="O501" s="79"/>
      <c r="S501" s="79"/>
      <c r="T501" s="79"/>
      <c r="Y501" s="79"/>
      <c r="AC501" s="130"/>
      <c r="AE501" s="106"/>
    </row>
    <row r="502">
      <c r="C502" s="79"/>
      <c r="D502" s="79"/>
      <c r="E502" s="79"/>
      <c r="O502" s="79"/>
      <c r="S502" s="79"/>
      <c r="T502" s="79"/>
      <c r="Y502" s="79"/>
      <c r="AC502" s="130"/>
      <c r="AE502" s="106"/>
    </row>
    <row r="503">
      <c r="C503" s="79"/>
      <c r="D503" s="79"/>
      <c r="E503" s="79"/>
      <c r="O503" s="79"/>
      <c r="S503" s="79"/>
      <c r="T503" s="79"/>
      <c r="Y503" s="79"/>
      <c r="AC503" s="130"/>
      <c r="AE503" s="106"/>
    </row>
    <row r="504">
      <c r="C504" s="79"/>
      <c r="D504" s="79"/>
      <c r="E504" s="79"/>
      <c r="O504" s="79"/>
      <c r="S504" s="79"/>
      <c r="T504" s="79"/>
      <c r="Y504" s="79"/>
      <c r="AC504" s="130"/>
      <c r="AE504" s="106"/>
    </row>
    <row r="505">
      <c r="C505" s="79"/>
      <c r="D505" s="79"/>
      <c r="E505" s="79"/>
      <c r="O505" s="79"/>
      <c r="S505" s="79"/>
      <c r="T505" s="79"/>
      <c r="Y505" s="79"/>
      <c r="AC505" s="130"/>
      <c r="AE505" s="106"/>
    </row>
    <row r="506">
      <c r="C506" s="79"/>
      <c r="D506" s="79"/>
      <c r="E506" s="79"/>
      <c r="O506" s="79"/>
      <c r="S506" s="79"/>
      <c r="T506" s="79"/>
      <c r="Y506" s="79"/>
      <c r="AC506" s="130"/>
      <c r="AE506" s="106"/>
    </row>
    <row r="507">
      <c r="C507" s="79"/>
      <c r="D507" s="79"/>
      <c r="E507" s="79"/>
      <c r="O507" s="79"/>
      <c r="S507" s="79"/>
      <c r="T507" s="79"/>
      <c r="Y507" s="79"/>
      <c r="AC507" s="130"/>
      <c r="AE507" s="106"/>
    </row>
    <row r="508">
      <c r="C508" s="79"/>
      <c r="D508" s="79"/>
      <c r="E508" s="79"/>
      <c r="O508" s="79"/>
      <c r="S508" s="79"/>
      <c r="T508" s="79"/>
      <c r="Y508" s="79"/>
      <c r="AC508" s="130"/>
      <c r="AE508" s="106"/>
    </row>
    <row r="509">
      <c r="C509" s="79"/>
      <c r="D509" s="79"/>
      <c r="E509" s="79"/>
      <c r="O509" s="79"/>
      <c r="S509" s="79"/>
      <c r="T509" s="79"/>
      <c r="Y509" s="79"/>
      <c r="AC509" s="130"/>
      <c r="AE509" s="106"/>
    </row>
    <row r="510">
      <c r="C510" s="79"/>
      <c r="D510" s="79"/>
      <c r="E510" s="79"/>
      <c r="O510" s="79"/>
      <c r="S510" s="79"/>
      <c r="T510" s="79"/>
      <c r="Y510" s="79"/>
      <c r="AC510" s="130"/>
      <c r="AE510" s="106"/>
    </row>
    <row r="511">
      <c r="C511" s="79"/>
      <c r="D511" s="79"/>
      <c r="E511" s="79"/>
      <c r="O511" s="79"/>
      <c r="S511" s="79"/>
      <c r="T511" s="79"/>
      <c r="Y511" s="79"/>
      <c r="AC511" s="130"/>
      <c r="AE511" s="106"/>
    </row>
    <row r="512">
      <c r="C512" s="79"/>
      <c r="D512" s="79"/>
      <c r="E512" s="79"/>
      <c r="O512" s="79"/>
      <c r="S512" s="79"/>
      <c r="T512" s="79"/>
      <c r="Y512" s="79"/>
      <c r="AC512" s="130"/>
      <c r="AE512" s="106"/>
    </row>
    <row r="513">
      <c r="C513" s="79"/>
      <c r="D513" s="79"/>
      <c r="E513" s="79"/>
      <c r="O513" s="79"/>
      <c r="S513" s="79"/>
      <c r="T513" s="79"/>
      <c r="Y513" s="79"/>
      <c r="AC513" s="130"/>
      <c r="AE513" s="106"/>
    </row>
    <row r="514">
      <c r="C514" s="79"/>
      <c r="D514" s="79"/>
      <c r="E514" s="79"/>
      <c r="O514" s="79"/>
      <c r="S514" s="79"/>
      <c r="T514" s="79"/>
      <c r="Y514" s="79"/>
      <c r="AC514" s="130"/>
      <c r="AE514" s="106"/>
    </row>
    <row r="515">
      <c r="C515" s="79"/>
      <c r="D515" s="79"/>
      <c r="E515" s="79"/>
      <c r="O515" s="79"/>
      <c r="S515" s="79"/>
      <c r="T515" s="79"/>
      <c r="Y515" s="79"/>
      <c r="AC515" s="130"/>
      <c r="AE515" s="106"/>
    </row>
    <row r="516">
      <c r="C516" s="79"/>
      <c r="D516" s="79"/>
      <c r="E516" s="79"/>
      <c r="O516" s="79"/>
      <c r="S516" s="79"/>
      <c r="T516" s="79"/>
      <c r="Y516" s="79"/>
      <c r="AC516" s="130"/>
      <c r="AE516" s="106"/>
    </row>
    <row r="517">
      <c r="C517" s="79"/>
      <c r="D517" s="79"/>
      <c r="E517" s="79"/>
      <c r="O517" s="79"/>
      <c r="S517" s="79"/>
      <c r="T517" s="79"/>
      <c r="Y517" s="79"/>
      <c r="AC517" s="130"/>
      <c r="AE517" s="106"/>
    </row>
    <row r="518">
      <c r="C518" s="79"/>
      <c r="D518" s="79"/>
      <c r="E518" s="79"/>
      <c r="O518" s="79"/>
      <c r="S518" s="79"/>
      <c r="T518" s="79"/>
      <c r="Y518" s="79"/>
      <c r="AC518" s="130"/>
      <c r="AE518" s="106"/>
    </row>
    <row r="519">
      <c r="C519" s="79"/>
      <c r="D519" s="79"/>
      <c r="E519" s="79"/>
      <c r="O519" s="79"/>
      <c r="S519" s="79"/>
      <c r="T519" s="79"/>
      <c r="Y519" s="79"/>
      <c r="AC519" s="130"/>
      <c r="AE519" s="106"/>
    </row>
    <row r="520">
      <c r="C520" s="79"/>
      <c r="D520" s="79"/>
      <c r="E520" s="79"/>
      <c r="O520" s="79"/>
      <c r="S520" s="79"/>
      <c r="T520" s="79"/>
      <c r="Y520" s="79"/>
      <c r="AC520" s="130"/>
      <c r="AE520" s="106"/>
    </row>
    <row r="521">
      <c r="C521" s="79"/>
      <c r="D521" s="79"/>
      <c r="E521" s="79"/>
      <c r="O521" s="79"/>
      <c r="S521" s="79"/>
      <c r="T521" s="79"/>
      <c r="Y521" s="79"/>
      <c r="AC521" s="130"/>
      <c r="AE521" s="106"/>
    </row>
    <row r="522">
      <c r="C522" s="79"/>
      <c r="D522" s="79"/>
      <c r="E522" s="79"/>
      <c r="O522" s="79"/>
      <c r="S522" s="79"/>
      <c r="T522" s="79"/>
      <c r="Y522" s="79"/>
      <c r="AC522" s="130"/>
      <c r="AE522" s="106"/>
    </row>
    <row r="523">
      <c r="C523" s="79"/>
      <c r="D523" s="79"/>
      <c r="E523" s="79"/>
      <c r="O523" s="79"/>
      <c r="S523" s="79"/>
      <c r="T523" s="79"/>
      <c r="Y523" s="79"/>
      <c r="AC523" s="130"/>
      <c r="AE523" s="106"/>
    </row>
    <row r="524">
      <c r="C524" s="79"/>
      <c r="D524" s="79"/>
      <c r="E524" s="79"/>
      <c r="O524" s="79"/>
      <c r="S524" s="79"/>
      <c r="T524" s="79"/>
      <c r="Y524" s="79"/>
      <c r="AC524" s="130"/>
      <c r="AE524" s="106"/>
    </row>
    <row r="525">
      <c r="C525" s="79"/>
      <c r="D525" s="79"/>
      <c r="E525" s="79"/>
      <c r="O525" s="79"/>
      <c r="S525" s="79"/>
      <c r="T525" s="79"/>
      <c r="Y525" s="79"/>
      <c r="AC525" s="130"/>
      <c r="AE525" s="106"/>
    </row>
    <row r="526">
      <c r="C526" s="79"/>
      <c r="D526" s="79"/>
      <c r="E526" s="79"/>
      <c r="O526" s="79"/>
      <c r="S526" s="79"/>
      <c r="T526" s="79"/>
      <c r="Y526" s="79"/>
      <c r="AC526" s="130"/>
      <c r="AE526" s="106"/>
    </row>
    <row r="527">
      <c r="C527" s="79"/>
      <c r="D527" s="79"/>
      <c r="E527" s="79"/>
      <c r="O527" s="79"/>
      <c r="S527" s="79"/>
      <c r="T527" s="79"/>
      <c r="Y527" s="79"/>
      <c r="AC527" s="130"/>
      <c r="AE527" s="106"/>
    </row>
    <row r="528">
      <c r="C528" s="79"/>
      <c r="D528" s="79"/>
      <c r="E528" s="79"/>
      <c r="O528" s="79"/>
      <c r="S528" s="79"/>
      <c r="T528" s="79"/>
      <c r="Y528" s="79"/>
      <c r="AC528" s="130"/>
      <c r="AE528" s="106"/>
    </row>
    <row r="529">
      <c r="C529" s="79"/>
      <c r="D529" s="79"/>
      <c r="E529" s="79"/>
      <c r="O529" s="79"/>
      <c r="S529" s="79"/>
      <c r="T529" s="79"/>
      <c r="Y529" s="79"/>
      <c r="AC529" s="130"/>
      <c r="AE529" s="106"/>
    </row>
    <row r="530">
      <c r="C530" s="79"/>
      <c r="D530" s="79"/>
      <c r="E530" s="79"/>
      <c r="O530" s="79"/>
      <c r="S530" s="79"/>
      <c r="T530" s="79"/>
      <c r="Y530" s="79"/>
      <c r="AC530" s="130"/>
      <c r="AE530" s="106"/>
    </row>
    <row r="531">
      <c r="C531" s="79"/>
      <c r="D531" s="79"/>
      <c r="E531" s="79"/>
      <c r="O531" s="79"/>
      <c r="S531" s="79"/>
      <c r="T531" s="79"/>
      <c r="Y531" s="79"/>
      <c r="AC531" s="130"/>
      <c r="AE531" s="106"/>
    </row>
    <row r="532">
      <c r="C532" s="79"/>
      <c r="D532" s="79"/>
      <c r="E532" s="79"/>
      <c r="O532" s="79"/>
      <c r="S532" s="79"/>
      <c r="T532" s="79"/>
      <c r="Y532" s="79"/>
      <c r="AC532" s="130"/>
      <c r="AE532" s="106"/>
    </row>
    <row r="533">
      <c r="C533" s="79"/>
      <c r="D533" s="79"/>
      <c r="E533" s="79"/>
      <c r="O533" s="79"/>
      <c r="S533" s="79"/>
      <c r="T533" s="79"/>
      <c r="Y533" s="79"/>
      <c r="AC533" s="130"/>
      <c r="AE533" s="106"/>
    </row>
    <row r="534">
      <c r="C534" s="79"/>
      <c r="D534" s="79"/>
      <c r="E534" s="79"/>
      <c r="O534" s="79"/>
      <c r="S534" s="79"/>
      <c r="T534" s="79"/>
      <c r="Y534" s="79"/>
      <c r="AC534" s="130"/>
      <c r="AE534" s="106"/>
    </row>
    <row r="535">
      <c r="C535" s="79"/>
      <c r="D535" s="79"/>
      <c r="E535" s="79"/>
      <c r="O535" s="79"/>
      <c r="S535" s="79"/>
      <c r="T535" s="79"/>
      <c r="Y535" s="79"/>
      <c r="AC535" s="130"/>
      <c r="AE535" s="106"/>
    </row>
    <row r="536">
      <c r="C536" s="79"/>
      <c r="D536" s="79"/>
      <c r="E536" s="79"/>
      <c r="O536" s="79"/>
      <c r="S536" s="79"/>
      <c r="T536" s="79"/>
      <c r="Y536" s="79"/>
      <c r="AC536" s="130"/>
      <c r="AE536" s="106"/>
    </row>
    <row r="537">
      <c r="C537" s="79"/>
      <c r="D537" s="79"/>
      <c r="E537" s="79"/>
      <c r="O537" s="79"/>
      <c r="S537" s="79"/>
      <c r="T537" s="79"/>
      <c r="Y537" s="79"/>
      <c r="AC537" s="130"/>
      <c r="AE537" s="106"/>
    </row>
    <row r="538">
      <c r="C538" s="79"/>
      <c r="D538" s="79"/>
      <c r="E538" s="79"/>
      <c r="O538" s="79"/>
      <c r="S538" s="79"/>
      <c r="T538" s="79"/>
      <c r="Y538" s="79"/>
      <c r="AC538" s="130"/>
      <c r="AE538" s="106"/>
    </row>
    <row r="539">
      <c r="C539" s="79"/>
      <c r="D539" s="79"/>
      <c r="E539" s="79"/>
      <c r="O539" s="79"/>
      <c r="S539" s="79"/>
      <c r="T539" s="79"/>
      <c r="Y539" s="79"/>
      <c r="AC539" s="130"/>
      <c r="AE539" s="106"/>
    </row>
    <row r="540">
      <c r="C540" s="79"/>
      <c r="D540" s="79"/>
      <c r="E540" s="79"/>
      <c r="O540" s="79"/>
      <c r="S540" s="79"/>
      <c r="T540" s="79"/>
      <c r="Y540" s="79"/>
      <c r="AC540" s="130"/>
      <c r="AE540" s="106"/>
    </row>
    <row r="541">
      <c r="C541" s="79"/>
      <c r="D541" s="79"/>
      <c r="E541" s="79"/>
      <c r="O541" s="79"/>
      <c r="S541" s="79"/>
      <c r="T541" s="79"/>
      <c r="Y541" s="79"/>
      <c r="AC541" s="130"/>
      <c r="AE541" s="106"/>
    </row>
    <row r="542">
      <c r="C542" s="79"/>
      <c r="D542" s="79"/>
      <c r="E542" s="79"/>
      <c r="O542" s="79"/>
      <c r="S542" s="79"/>
      <c r="T542" s="79"/>
      <c r="Y542" s="79"/>
      <c r="AC542" s="130"/>
      <c r="AE542" s="106"/>
    </row>
    <row r="543">
      <c r="C543" s="79"/>
      <c r="D543" s="79"/>
      <c r="E543" s="79"/>
      <c r="O543" s="79"/>
      <c r="S543" s="79"/>
      <c r="T543" s="79"/>
      <c r="Y543" s="79"/>
      <c r="AC543" s="130"/>
      <c r="AE543" s="106"/>
    </row>
    <row r="544">
      <c r="C544" s="79"/>
      <c r="D544" s="79"/>
      <c r="E544" s="79"/>
      <c r="O544" s="79"/>
      <c r="S544" s="79"/>
      <c r="T544" s="79"/>
      <c r="Y544" s="79"/>
      <c r="AC544" s="130"/>
      <c r="AE544" s="106"/>
    </row>
    <row r="545">
      <c r="C545" s="79"/>
      <c r="D545" s="79"/>
      <c r="E545" s="79"/>
      <c r="O545" s="79"/>
      <c r="S545" s="79"/>
      <c r="T545" s="79"/>
      <c r="Y545" s="79"/>
      <c r="AC545" s="130"/>
      <c r="AE545" s="106"/>
    </row>
    <row r="546">
      <c r="C546" s="79"/>
      <c r="D546" s="79"/>
      <c r="E546" s="79"/>
      <c r="O546" s="79"/>
      <c r="S546" s="79"/>
      <c r="T546" s="79"/>
      <c r="Y546" s="79"/>
      <c r="AC546" s="130"/>
      <c r="AE546" s="106"/>
    </row>
    <row r="547">
      <c r="C547" s="79"/>
      <c r="D547" s="79"/>
      <c r="E547" s="79"/>
      <c r="O547" s="79"/>
      <c r="S547" s="79"/>
      <c r="T547" s="79"/>
      <c r="Y547" s="79"/>
      <c r="AC547" s="130"/>
      <c r="AE547" s="106"/>
    </row>
    <row r="548">
      <c r="C548" s="79"/>
      <c r="D548" s="79"/>
      <c r="E548" s="79"/>
      <c r="O548" s="79"/>
      <c r="S548" s="79"/>
      <c r="T548" s="79"/>
      <c r="Y548" s="79"/>
      <c r="AC548" s="130"/>
      <c r="AE548" s="106"/>
    </row>
    <row r="549">
      <c r="C549" s="79"/>
      <c r="D549" s="79"/>
      <c r="E549" s="79"/>
      <c r="O549" s="79"/>
      <c r="S549" s="79"/>
      <c r="T549" s="79"/>
      <c r="Y549" s="79"/>
      <c r="AC549" s="130"/>
      <c r="AE549" s="106"/>
    </row>
    <row r="550">
      <c r="C550" s="79"/>
      <c r="D550" s="79"/>
      <c r="E550" s="79"/>
      <c r="O550" s="79"/>
      <c r="S550" s="79"/>
      <c r="T550" s="79"/>
      <c r="Y550" s="79"/>
      <c r="AC550" s="130"/>
      <c r="AE550" s="106"/>
    </row>
    <row r="551">
      <c r="C551" s="79"/>
      <c r="D551" s="79"/>
      <c r="E551" s="79"/>
      <c r="O551" s="79"/>
      <c r="S551" s="79"/>
      <c r="T551" s="79"/>
      <c r="Y551" s="79"/>
      <c r="AC551" s="130"/>
      <c r="AE551" s="106"/>
    </row>
    <row r="552">
      <c r="C552" s="79"/>
      <c r="D552" s="79"/>
      <c r="E552" s="79"/>
      <c r="O552" s="79"/>
      <c r="S552" s="79"/>
      <c r="T552" s="79"/>
      <c r="Y552" s="79"/>
      <c r="AC552" s="130"/>
      <c r="AE552" s="106"/>
    </row>
    <row r="553">
      <c r="C553" s="79"/>
      <c r="D553" s="79"/>
      <c r="E553" s="79"/>
      <c r="O553" s="79"/>
      <c r="S553" s="79"/>
      <c r="T553" s="79"/>
      <c r="Y553" s="79"/>
      <c r="AC553" s="130"/>
      <c r="AE553" s="106"/>
    </row>
    <row r="554">
      <c r="C554" s="79"/>
      <c r="D554" s="79"/>
      <c r="E554" s="79"/>
      <c r="O554" s="79"/>
      <c r="S554" s="79"/>
      <c r="T554" s="79"/>
      <c r="Y554" s="79"/>
      <c r="AC554" s="130"/>
      <c r="AE554" s="106"/>
    </row>
    <row r="555">
      <c r="C555" s="79"/>
      <c r="D555" s="79"/>
      <c r="E555" s="79"/>
      <c r="O555" s="79"/>
      <c r="S555" s="79"/>
      <c r="T555" s="79"/>
      <c r="Y555" s="79"/>
      <c r="AC555" s="130"/>
      <c r="AE555" s="106"/>
    </row>
    <row r="556">
      <c r="C556" s="79"/>
      <c r="D556" s="79"/>
      <c r="E556" s="79"/>
      <c r="O556" s="79"/>
      <c r="S556" s="79"/>
      <c r="T556" s="79"/>
      <c r="Y556" s="79"/>
      <c r="AC556" s="130"/>
      <c r="AE556" s="106"/>
    </row>
    <row r="557">
      <c r="C557" s="79"/>
      <c r="D557" s="79"/>
      <c r="E557" s="79"/>
      <c r="O557" s="79"/>
      <c r="S557" s="79"/>
      <c r="T557" s="79"/>
      <c r="Y557" s="79"/>
      <c r="AC557" s="130"/>
      <c r="AE557" s="106"/>
    </row>
    <row r="558">
      <c r="C558" s="79"/>
      <c r="D558" s="79"/>
      <c r="E558" s="79"/>
      <c r="O558" s="79"/>
      <c r="S558" s="79"/>
      <c r="T558" s="79"/>
      <c r="Y558" s="79"/>
      <c r="AC558" s="130"/>
      <c r="AE558" s="106"/>
    </row>
    <row r="559">
      <c r="C559" s="79"/>
      <c r="D559" s="79"/>
      <c r="E559" s="79"/>
      <c r="O559" s="79"/>
      <c r="S559" s="79"/>
      <c r="T559" s="79"/>
      <c r="Y559" s="79"/>
      <c r="AC559" s="130"/>
      <c r="AE559" s="106"/>
    </row>
    <row r="560">
      <c r="C560" s="79"/>
      <c r="D560" s="79"/>
      <c r="E560" s="79"/>
      <c r="O560" s="79"/>
      <c r="S560" s="79"/>
      <c r="T560" s="79"/>
      <c r="Y560" s="79"/>
      <c r="AC560" s="130"/>
      <c r="AE560" s="106"/>
    </row>
    <row r="561">
      <c r="C561" s="79"/>
      <c r="D561" s="79"/>
      <c r="E561" s="79"/>
      <c r="O561" s="79"/>
      <c r="S561" s="79"/>
      <c r="T561" s="79"/>
      <c r="Y561" s="79"/>
      <c r="AC561" s="130"/>
      <c r="AE561" s="106"/>
    </row>
    <row r="562">
      <c r="C562" s="79"/>
      <c r="D562" s="79"/>
      <c r="E562" s="79"/>
      <c r="O562" s="79"/>
      <c r="S562" s="79"/>
      <c r="T562" s="79"/>
      <c r="Y562" s="79"/>
      <c r="AC562" s="130"/>
      <c r="AE562" s="106"/>
    </row>
    <row r="563">
      <c r="C563" s="79"/>
      <c r="D563" s="79"/>
      <c r="E563" s="79"/>
      <c r="O563" s="79"/>
      <c r="S563" s="79"/>
      <c r="T563" s="79"/>
      <c r="Y563" s="79"/>
      <c r="AC563" s="130"/>
      <c r="AE563" s="106"/>
    </row>
    <row r="564">
      <c r="C564" s="79"/>
      <c r="D564" s="79"/>
      <c r="E564" s="79"/>
      <c r="O564" s="79"/>
      <c r="S564" s="79"/>
      <c r="T564" s="79"/>
      <c r="Y564" s="79"/>
      <c r="AC564" s="130"/>
      <c r="AE564" s="106"/>
    </row>
    <row r="565">
      <c r="C565" s="79"/>
      <c r="D565" s="79"/>
      <c r="E565" s="79"/>
      <c r="O565" s="79"/>
      <c r="S565" s="79"/>
      <c r="T565" s="79"/>
      <c r="Y565" s="79"/>
      <c r="AC565" s="130"/>
      <c r="AE565" s="106"/>
    </row>
    <row r="566">
      <c r="C566" s="79"/>
      <c r="D566" s="79"/>
      <c r="E566" s="79"/>
      <c r="O566" s="79"/>
      <c r="S566" s="79"/>
      <c r="T566" s="79"/>
      <c r="Y566" s="79"/>
      <c r="AC566" s="130"/>
      <c r="AE566" s="106"/>
    </row>
    <row r="567">
      <c r="C567" s="79"/>
      <c r="D567" s="79"/>
      <c r="E567" s="79"/>
      <c r="O567" s="79"/>
      <c r="S567" s="79"/>
      <c r="T567" s="79"/>
      <c r="Y567" s="79"/>
      <c r="AC567" s="130"/>
      <c r="AE567" s="106"/>
    </row>
    <row r="568">
      <c r="C568" s="79"/>
      <c r="D568" s="79"/>
      <c r="E568" s="79"/>
      <c r="O568" s="79"/>
      <c r="S568" s="79"/>
      <c r="T568" s="79"/>
      <c r="Y568" s="79"/>
      <c r="AC568" s="130"/>
      <c r="AE568" s="106"/>
    </row>
    <row r="569">
      <c r="C569" s="79"/>
      <c r="D569" s="79"/>
      <c r="E569" s="79"/>
      <c r="O569" s="79"/>
      <c r="S569" s="79"/>
      <c r="T569" s="79"/>
      <c r="Y569" s="79"/>
      <c r="AC569" s="130"/>
      <c r="AE569" s="106"/>
    </row>
    <row r="570">
      <c r="C570" s="79"/>
      <c r="D570" s="79"/>
      <c r="E570" s="79"/>
      <c r="O570" s="79"/>
      <c r="S570" s="79"/>
      <c r="T570" s="79"/>
      <c r="Y570" s="79"/>
      <c r="AC570" s="130"/>
      <c r="AE570" s="106"/>
    </row>
    <row r="571">
      <c r="C571" s="79"/>
      <c r="D571" s="79"/>
      <c r="E571" s="79"/>
      <c r="O571" s="79"/>
      <c r="S571" s="79"/>
      <c r="T571" s="79"/>
      <c r="Y571" s="79"/>
      <c r="AC571" s="130"/>
      <c r="AE571" s="106"/>
    </row>
    <row r="572">
      <c r="C572" s="79"/>
      <c r="D572" s="79"/>
      <c r="E572" s="79"/>
      <c r="O572" s="79"/>
      <c r="S572" s="79"/>
      <c r="T572" s="79"/>
      <c r="Y572" s="79"/>
      <c r="AC572" s="130"/>
      <c r="AE572" s="106"/>
    </row>
    <row r="573">
      <c r="C573" s="79"/>
      <c r="D573" s="79"/>
      <c r="E573" s="79"/>
      <c r="O573" s="79"/>
      <c r="S573" s="79"/>
      <c r="T573" s="79"/>
      <c r="Y573" s="79"/>
      <c r="AC573" s="130"/>
      <c r="AE573" s="106"/>
    </row>
    <row r="574">
      <c r="C574" s="79"/>
      <c r="D574" s="79"/>
      <c r="E574" s="79"/>
      <c r="O574" s="79"/>
      <c r="S574" s="79"/>
      <c r="T574" s="79"/>
      <c r="Y574" s="79"/>
      <c r="AC574" s="130"/>
      <c r="AE574" s="106"/>
    </row>
    <row r="575">
      <c r="C575" s="79"/>
      <c r="D575" s="79"/>
      <c r="E575" s="79"/>
      <c r="O575" s="79"/>
      <c r="S575" s="79"/>
      <c r="T575" s="79"/>
      <c r="Y575" s="79"/>
      <c r="AC575" s="130"/>
      <c r="AE575" s="106"/>
    </row>
    <row r="576">
      <c r="C576" s="79"/>
      <c r="D576" s="79"/>
      <c r="E576" s="79"/>
      <c r="O576" s="79"/>
      <c r="S576" s="79"/>
      <c r="T576" s="79"/>
      <c r="Y576" s="79"/>
      <c r="AC576" s="130"/>
      <c r="AE576" s="106"/>
    </row>
    <row r="577">
      <c r="C577" s="79"/>
      <c r="D577" s="79"/>
      <c r="E577" s="79"/>
      <c r="O577" s="79"/>
      <c r="S577" s="79"/>
      <c r="T577" s="79"/>
      <c r="Y577" s="79"/>
      <c r="AC577" s="130"/>
      <c r="AE577" s="106"/>
    </row>
    <row r="578">
      <c r="C578" s="79"/>
      <c r="D578" s="79"/>
      <c r="E578" s="79"/>
      <c r="O578" s="79"/>
      <c r="S578" s="79"/>
      <c r="T578" s="79"/>
      <c r="Y578" s="79"/>
      <c r="AC578" s="130"/>
      <c r="AE578" s="106"/>
    </row>
    <row r="579">
      <c r="C579" s="79"/>
      <c r="D579" s="79"/>
      <c r="E579" s="79"/>
      <c r="O579" s="79"/>
      <c r="S579" s="79"/>
      <c r="T579" s="79"/>
      <c r="Y579" s="79"/>
      <c r="AC579" s="130"/>
      <c r="AE579" s="106"/>
    </row>
    <row r="580">
      <c r="C580" s="79"/>
      <c r="D580" s="79"/>
      <c r="E580" s="79"/>
      <c r="O580" s="79"/>
      <c r="S580" s="79"/>
      <c r="T580" s="79"/>
      <c r="Y580" s="79"/>
      <c r="AC580" s="130"/>
      <c r="AE580" s="106"/>
    </row>
    <row r="581">
      <c r="C581" s="79"/>
      <c r="D581" s="79"/>
      <c r="E581" s="79"/>
      <c r="O581" s="79"/>
      <c r="S581" s="79"/>
      <c r="T581" s="79"/>
      <c r="Y581" s="79"/>
      <c r="AC581" s="130"/>
      <c r="AE581" s="106"/>
    </row>
    <row r="582">
      <c r="C582" s="79"/>
      <c r="D582" s="79"/>
      <c r="E582" s="79"/>
      <c r="O582" s="79"/>
      <c r="S582" s="79"/>
      <c r="T582" s="79"/>
      <c r="Y582" s="79"/>
      <c r="AC582" s="130"/>
      <c r="AE582" s="106"/>
    </row>
    <row r="583">
      <c r="C583" s="79"/>
      <c r="D583" s="79"/>
      <c r="E583" s="79"/>
      <c r="O583" s="79"/>
      <c r="S583" s="79"/>
      <c r="T583" s="79"/>
      <c r="Y583" s="79"/>
      <c r="AC583" s="130"/>
      <c r="AE583" s="106"/>
    </row>
    <row r="584">
      <c r="C584" s="79"/>
      <c r="D584" s="79"/>
      <c r="E584" s="79"/>
      <c r="O584" s="79"/>
      <c r="S584" s="79"/>
      <c r="T584" s="79"/>
      <c r="Y584" s="79"/>
      <c r="AC584" s="130"/>
      <c r="AE584" s="106"/>
    </row>
    <row r="585">
      <c r="C585" s="79"/>
      <c r="D585" s="79"/>
      <c r="E585" s="79"/>
      <c r="O585" s="79"/>
      <c r="S585" s="79"/>
      <c r="T585" s="79"/>
      <c r="Y585" s="79"/>
      <c r="AC585" s="130"/>
      <c r="AE585" s="106"/>
    </row>
    <row r="586">
      <c r="C586" s="79"/>
      <c r="D586" s="79"/>
      <c r="E586" s="79"/>
      <c r="O586" s="79"/>
      <c r="S586" s="79"/>
      <c r="T586" s="79"/>
      <c r="Y586" s="79"/>
      <c r="AC586" s="130"/>
      <c r="AE586" s="106"/>
    </row>
    <row r="587">
      <c r="C587" s="79"/>
      <c r="D587" s="79"/>
      <c r="E587" s="79"/>
      <c r="O587" s="79"/>
      <c r="S587" s="79"/>
      <c r="T587" s="79"/>
      <c r="Y587" s="79"/>
      <c r="AC587" s="130"/>
      <c r="AE587" s="106"/>
    </row>
    <row r="588">
      <c r="C588" s="79"/>
      <c r="D588" s="79"/>
      <c r="E588" s="79"/>
      <c r="O588" s="79"/>
      <c r="S588" s="79"/>
      <c r="T588" s="79"/>
      <c r="Y588" s="79"/>
      <c r="AC588" s="130"/>
      <c r="AE588" s="106"/>
    </row>
    <row r="589">
      <c r="C589" s="79"/>
      <c r="D589" s="79"/>
      <c r="E589" s="79"/>
      <c r="O589" s="79"/>
      <c r="S589" s="79"/>
      <c r="T589" s="79"/>
      <c r="Y589" s="79"/>
      <c r="AC589" s="130"/>
      <c r="AE589" s="106"/>
    </row>
    <row r="590">
      <c r="C590" s="79"/>
      <c r="D590" s="79"/>
      <c r="E590" s="79"/>
      <c r="O590" s="79"/>
      <c r="S590" s="79"/>
      <c r="T590" s="79"/>
      <c r="Y590" s="79"/>
      <c r="AC590" s="130"/>
      <c r="AE590" s="106"/>
    </row>
    <row r="591">
      <c r="C591" s="79"/>
      <c r="D591" s="79"/>
      <c r="E591" s="79"/>
      <c r="O591" s="79"/>
      <c r="S591" s="79"/>
      <c r="T591" s="79"/>
      <c r="Y591" s="79"/>
      <c r="AC591" s="130"/>
      <c r="AE591" s="106"/>
    </row>
    <row r="592">
      <c r="C592" s="79"/>
      <c r="D592" s="79"/>
      <c r="E592" s="79"/>
      <c r="O592" s="79"/>
      <c r="S592" s="79"/>
      <c r="T592" s="79"/>
      <c r="Y592" s="79"/>
      <c r="AC592" s="130"/>
      <c r="AE592" s="106"/>
    </row>
    <row r="593">
      <c r="C593" s="79"/>
      <c r="D593" s="79"/>
      <c r="E593" s="79"/>
      <c r="O593" s="79"/>
      <c r="S593" s="79"/>
      <c r="T593" s="79"/>
      <c r="Y593" s="79"/>
      <c r="AC593" s="130"/>
      <c r="AE593" s="106"/>
    </row>
    <row r="594">
      <c r="C594" s="79"/>
      <c r="D594" s="79"/>
      <c r="E594" s="79"/>
      <c r="O594" s="79"/>
      <c r="S594" s="79"/>
      <c r="T594" s="79"/>
      <c r="Y594" s="79"/>
      <c r="AC594" s="130"/>
      <c r="AE594" s="106"/>
    </row>
    <row r="595">
      <c r="C595" s="79"/>
      <c r="D595" s="79"/>
      <c r="E595" s="79"/>
      <c r="O595" s="79"/>
      <c r="S595" s="79"/>
      <c r="T595" s="79"/>
      <c r="Y595" s="79"/>
      <c r="AC595" s="130"/>
      <c r="AE595" s="106"/>
    </row>
    <row r="596">
      <c r="C596" s="79"/>
      <c r="D596" s="79"/>
      <c r="E596" s="79"/>
      <c r="O596" s="79"/>
      <c r="S596" s="79"/>
      <c r="T596" s="79"/>
      <c r="Y596" s="79"/>
      <c r="AC596" s="130"/>
      <c r="AE596" s="106"/>
    </row>
    <row r="597">
      <c r="C597" s="79"/>
      <c r="D597" s="79"/>
      <c r="E597" s="79"/>
      <c r="O597" s="79"/>
      <c r="S597" s="79"/>
      <c r="T597" s="79"/>
      <c r="Y597" s="79"/>
      <c r="AC597" s="130"/>
      <c r="AE597" s="106"/>
    </row>
    <row r="598">
      <c r="C598" s="79"/>
      <c r="D598" s="79"/>
      <c r="E598" s="79"/>
      <c r="O598" s="79"/>
      <c r="S598" s="79"/>
      <c r="T598" s="79"/>
      <c r="Y598" s="79"/>
      <c r="AC598" s="130"/>
      <c r="AE598" s="106"/>
    </row>
    <row r="599">
      <c r="C599" s="79"/>
      <c r="D599" s="79"/>
      <c r="E599" s="79"/>
      <c r="O599" s="79"/>
      <c r="S599" s="79"/>
      <c r="T599" s="79"/>
      <c r="Y599" s="79"/>
      <c r="AC599" s="130"/>
      <c r="AE599" s="106"/>
    </row>
    <row r="600">
      <c r="C600" s="79"/>
      <c r="D600" s="79"/>
      <c r="E600" s="79"/>
      <c r="O600" s="79"/>
      <c r="S600" s="79"/>
      <c r="T600" s="79"/>
      <c r="Y600" s="79"/>
      <c r="AC600" s="130"/>
      <c r="AE600" s="106"/>
    </row>
    <row r="601">
      <c r="C601" s="79"/>
      <c r="D601" s="79"/>
      <c r="E601" s="79"/>
      <c r="O601" s="79"/>
      <c r="S601" s="79"/>
      <c r="T601" s="79"/>
      <c r="Y601" s="79"/>
      <c r="AC601" s="130"/>
      <c r="AE601" s="106"/>
    </row>
    <row r="602">
      <c r="C602" s="79"/>
      <c r="D602" s="79"/>
      <c r="E602" s="79"/>
      <c r="O602" s="79"/>
      <c r="S602" s="79"/>
      <c r="T602" s="79"/>
      <c r="Y602" s="79"/>
      <c r="AC602" s="130"/>
      <c r="AE602" s="106"/>
    </row>
    <row r="603">
      <c r="C603" s="79"/>
      <c r="D603" s="79"/>
      <c r="E603" s="79"/>
      <c r="O603" s="79"/>
      <c r="S603" s="79"/>
      <c r="T603" s="79"/>
      <c r="Y603" s="79"/>
      <c r="AC603" s="130"/>
      <c r="AE603" s="106"/>
    </row>
    <row r="604">
      <c r="C604" s="79"/>
      <c r="D604" s="79"/>
      <c r="E604" s="79"/>
      <c r="O604" s="79"/>
      <c r="S604" s="79"/>
      <c r="T604" s="79"/>
      <c r="Y604" s="79"/>
      <c r="AC604" s="130"/>
      <c r="AE604" s="106"/>
    </row>
    <row r="605">
      <c r="C605" s="79"/>
      <c r="D605" s="79"/>
      <c r="E605" s="79"/>
      <c r="O605" s="79"/>
      <c r="S605" s="79"/>
      <c r="T605" s="79"/>
      <c r="Y605" s="79"/>
      <c r="AC605" s="130"/>
      <c r="AE605" s="106"/>
    </row>
    <row r="606">
      <c r="C606" s="79"/>
      <c r="D606" s="79"/>
      <c r="E606" s="79"/>
      <c r="O606" s="79"/>
      <c r="S606" s="79"/>
      <c r="T606" s="79"/>
      <c r="Y606" s="79"/>
      <c r="AC606" s="130"/>
      <c r="AE606" s="106"/>
    </row>
    <row r="607">
      <c r="C607" s="79"/>
      <c r="D607" s="79"/>
      <c r="E607" s="79"/>
      <c r="O607" s="79"/>
      <c r="S607" s="79"/>
      <c r="T607" s="79"/>
      <c r="Y607" s="79"/>
      <c r="AC607" s="130"/>
      <c r="AE607" s="106"/>
    </row>
    <row r="608">
      <c r="C608" s="79"/>
      <c r="D608" s="79"/>
      <c r="E608" s="79"/>
      <c r="O608" s="79"/>
      <c r="S608" s="79"/>
      <c r="T608" s="79"/>
      <c r="Y608" s="79"/>
      <c r="AC608" s="130"/>
      <c r="AE608" s="106"/>
    </row>
    <row r="609">
      <c r="C609" s="79"/>
      <c r="D609" s="79"/>
      <c r="E609" s="79"/>
      <c r="O609" s="79"/>
      <c r="S609" s="79"/>
      <c r="T609" s="79"/>
      <c r="Y609" s="79"/>
      <c r="AC609" s="130"/>
      <c r="AE609" s="106"/>
    </row>
    <row r="610">
      <c r="C610" s="79"/>
      <c r="D610" s="79"/>
      <c r="E610" s="79"/>
      <c r="O610" s="79"/>
      <c r="S610" s="79"/>
      <c r="T610" s="79"/>
      <c r="Y610" s="79"/>
      <c r="AC610" s="130"/>
      <c r="AE610" s="106"/>
    </row>
    <row r="611">
      <c r="C611" s="79"/>
      <c r="D611" s="79"/>
      <c r="E611" s="79"/>
      <c r="O611" s="79"/>
      <c r="S611" s="79"/>
      <c r="T611" s="79"/>
      <c r="Y611" s="79"/>
      <c r="AC611" s="130"/>
      <c r="AE611" s="106"/>
    </row>
    <row r="612">
      <c r="C612" s="79"/>
      <c r="D612" s="79"/>
      <c r="E612" s="79"/>
      <c r="O612" s="79"/>
      <c r="S612" s="79"/>
      <c r="T612" s="79"/>
      <c r="Y612" s="79"/>
      <c r="AC612" s="130"/>
      <c r="AE612" s="106"/>
    </row>
    <row r="613">
      <c r="C613" s="79"/>
      <c r="D613" s="79"/>
      <c r="E613" s="79"/>
      <c r="O613" s="79"/>
      <c r="S613" s="79"/>
      <c r="T613" s="79"/>
      <c r="Y613" s="79"/>
      <c r="AC613" s="130"/>
      <c r="AE613" s="106"/>
    </row>
    <row r="614">
      <c r="C614" s="79"/>
      <c r="D614" s="79"/>
      <c r="E614" s="79"/>
      <c r="O614" s="79"/>
      <c r="S614" s="79"/>
      <c r="T614" s="79"/>
      <c r="Y614" s="79"/>
      <c r="AC614" s="130"/>
      <c r="AE614" s="106"/>
    </row>
    <row r="615">
      <c r="C615" s="79"/>
      <c r="D615" s="79"/>
      <c r="E615" s="79"/>
      <c r="O615" s="79"/>
      <c r="S615" s="79"/>
      <c r="T615" s="79"/>
      <c r="Y615" s="79"/>
      <c r="AC615" s="130"/>
      <c r="AE615" s="106"/>
    </row>
    <row r="616">
      <c r="C616" s="79"/>
      <c r="D616" s="79"/>
      <c r="E616" s="79"/>
      <c r="O616" s="79"/>
      <c r="S616" s="79"/>
      <c r="T616" s="79"/>
      <c r="Y616" s="79"/>
      <c r="AC616" s="130"/>
      <c r="AE616" s="106"/>
    </row>
    <row r="617">
      <c r="C617" s="79"/>
      <c r="D617" s="79"/>
      <c r="E617" s="79"/>
      <c r="O617" s="79"/>
      <c r="S617" s="79"/>
      <c r="T617" s="79"/>
      <c r="Y617" s="79"/>
      <c r="AC617" s="130"/>
      <c r="AE617" s="106"/>
    </row>
    <row r="618">
      <c r="C618" s="79"/>
      <c r="D618" s="79"/>
      <c r="E618" s="79"/>
      <c r="O618" s="79"/>
      <c r="S618" s="79"/>
      <c r="T618" s="79"/>
      <c r="Y618" s="79"/>
      <c r="AC618" s="130"/>
      <c r="AE618" s="106"/>
    </row>
    <row r="619">
      <c r="C619" s="79"/>
      <c r="D619" s="79"/>
      <c r="E619" s="79"/>
      <c r="O619" s="79"/>
      <c r="S619" s="79"/>
      <c r="T619" s="79"/>
      <c r="Y619" s="79"/>
      <c r="AC619" s="130"/>
      <c r="AE619" s="106"/>
    </row>
    <row r="620">
      <c r="C620" s="79"/>
      <c r="D620" s="79"/>
      <c r="E620" s="79"/>
      <c r="O620" s="79"/>
      <c r="S620" s="79"/>
      <c r="T620" s="79"/>
      <c r="Y620" s="79"/>
      <c r="AC620" s="130"/>
      <c r="AE620" s="106"/>
    </row>
    <row r="621">
      <c r="C621" s="79"/>
      <c r="D621" s="79"/>
      <c r="E621" s="79"/>
      <c r="O621" s="79"/>
      <c r="S621" s="79"/>
      <c r="T621" s="79"/>
      <c r="Y621" s="79"/>
      <c r="AC621" s="130"/>
      <c r="AE621" s="106"/>
    </row>
    <row r="622">
      <c r="C622" s="79"/>
      <c r="D622" s="79"/>
      <c r="E622" s="79"/>
      <c r="O622" s="79"/>
      <c r="S622" s="79"/>
      <c r="T622" s="79"/>
      <c r="Y622" s="79"/>
      <c r="AC622" s="130"/>
      <c r="AE622" s="106"/>
    </row>
    <row r="623">
      <c r="C623" s="79"/>
      <c r="D623" s="79"/>
      <c r="E623" s="79"/>
      <c r="O623" s="79"/>
      <c r="S623" s="79"/>
      <c r="T623" s="79"/>
      <c r="Y623" s="79"/>
      <c r="AC623" s="130"/>
      <c r="AE623" s="106"/>
    </row>
    <row r="624">
      <c r="C624" s="79"/>
      <c r="D624" s="79"/>
      <c r="E624" s="79"/>
      <c r="O624" s="79"/>
      <c r="S624" s="79"/>
      <c r="T624" s="79"/>
      <c r="Y624" s="79"/>
      <c r="AC624" s="130"/>
      <c r="AE624" s="106"/>
    </row>
    <row r="625">
      <c r="C625" s="79"/>
      <c r="D625" s="79"/>
      <c r="E625" s="79"/>
      <c r="O625" s="79"/>
      <c r="S625" s="79"/>
      <c r="T625" s="79"/>
      <c r="Y625" s="79"/>
      <c r="AC625" s="130"/>
      <c r="AE625" s="106"/>
    </row>
    <row r="626">
      <c r="C626" s="79"/>
      <c r="D626" s="79"/>
      <c r="E626" s="79"/>
      <c r="O626" s="79"/>
      <c r="S626" s="79"/>
      <c r="T626" s="79"/>
      <c r="Y626" s="79"/>
      <c r="AC626" s="130"/>
      <c r="AE626" s="106"/>
    </row>
    <row r="627">
      <c r="C627" s="79"/>
      <c r="D627" s="79"/>
      <c r="E627" s="79"/>
      <c r="O627" s="79"/>
      <c r="S627" s="79"/>
      <c r="T627" s="79"/>
      <c r="Y627" s="79"/>
      <c r="AC627" s="130"/>
      <c r="AE627" s="106"/>
    </row>
    <row r="628">
      <c r="C628" s="79"/>
      <c r="D628" s="79"/>
      <c r="E628" s="79"/>
      <c r="O628" s="79"/>
      <c r="S628" s="79"/>
      <c r="T628" s="79"/>
      <c r="Y628" s="79"/>
      <c r="AC628" s="130"/>
      <c r="AE628" s="106"/>
    </row>
    <row r="629">
      <c r="C629" s="79"/>
      <c r="D629" s="79"/>
      <c r="E629" s="79"/>
      <c r="O629" s="79"/>
      <c r="S629" s="79"/>
      <c r="T629" s="79"/>
      <c r="Y629" s="79"/>
      <c r="AC629" s="130"/>
      <c r="AE629" s="106"/>
    </row>
    <row r="630">
      <c r="C630" s="79"/>
      <c r="D630" s="79"/>
      <c r="E630" s="79"/>
      <c r="O630" s="79"/>
      <c r="S630" s="79"/>
      <c r="T630" s="79"/>
      <c r="Y630" s="79"/>
      <c r="AC630" s="130"/>
      <c r="AE630" s="106"/>
    </row>
    <row r="631">
      <c r="C631" s="79"/>
      <c r="D631" s="79"/>
      <c r="E631" s="79"/>
      <c r="O631" s="79"/>
      <c r="S631" s="79"/>
      <c r="T631" s="79"/>
      <c r="Y631" s="79"/>
      <c r="AC631" s="130"/>
      <c r="AE631" s="106"/>
    </row>
    <row r="632">
      <c r="C632" s="79"/>
      <c r="D632" s="79"/>
      <c r="E632" s="79"/>
      <c r="O632" s="79"/>
      <c r="S632" s="79"/>
      <c r="T632" s="79"/>
      <c r="Y632" s="79"/>
      <c r="AC632" s="130"/>
      <c r="AE632" s="106"/>
    </row>
    <row r="633">
      <c r="C633" s="79"/>
      <c r="D633" s="79"/>
      <c r="E633" s="79"/>
      <c r="O633" s="79"/>
      <c r="S633" s="79"/>
      <c r="T633" s="79"/>
      <c r="Y633" s="79"/>
      <c r="AC633" s="130"/>
      <c r="AE633" s="106"/>
    </row>
    <row r="634">
      <c r="C634" s="79"/>
      <c r="D634" s="79"/>
      <c r="E634" s="79"/>
      <c r="O634" s="79"/>
      <c r="S634" s="79"/>
      <c r="T634" s="79"/>
      <c r="Y634" s="79"/>
      <c r="AC634" s="130"/>
      <c r="AE634" s="106"/>
    </row>
    <row r="635">
      <c r="C635" s="79"/>
      <c r="D635" s="79"/>
      <c r="E635" s="79"/>
      <c r="O635" s="79"/>
      <c r="S635" s="79"/>
      <c r="T635" s="79"/>
      <c r="Y635" s="79"/>
      <c r="AC635" s="130"/>
      <c r="AE635" s="106"/>
    </row>
    <row r="636">
      <c r="C636" s="79"/>
      <c r="D636" s="79"/>
      <c r="E636" s="79"/>
      <c r="O636" s="79"/>
      <c r="S636" s="79"/>
      <c r="T636" s="79"/>
      <c r="Y636" s="79"/>
      <c r="AC636" s="130"/>
      <c r="AE636" s="106"/>
    </row>
    <row r="637">
      <c r="C637" s="79"/>
      <c r="D637" s="79"/>
      <c r="E637" s="79"/>
      <c r="O637" s="79"/>
      <c r="S637" s="79"/>
      <c r="T637" s="79"/>
      <c r="Y637" s="79"/>
      <c r="AC637" s="130"/>
      <c r="AE637" s="106"/>
    </row>
    <row r="638">
      <c r="C638" s="79"/>
      <c r="D638" s="79"/>
      <c r="E638" s="79"/>
      <c r="O638" s="79"/>
      <c r="S638" s="79"/>
      <c r="T638" s="79"/>
      <c r="Y638" s="79"/>
      <c r="AC638" s="130"/>
      <c r="AE638" s="106"/>
    </row>
    <row r="639">
      <c r="C639" s="79"/>
      <c r="D639" s="79"/>
      <c r="E639" s="79"/>
      <c r="O639" s="79"/>
      <c r="S639" s="79"/>
      <c r="T639" s="79"/>
      <c r="Y639" s="79"/>
      <c r="AC639" s="130"/>
      <c r="AE639" s="106"/>
    </row>
    <row r="640">
      <c r="C640" s="79"/>
      <c r="D640" s="79"/>
      <c r="E640" s="79"/>
      <c r="O640" s="79"/>
      <c r="S640" s="79"/>
      <c r="T640" s="79"/>
      <c r="Y640" s="79"/>
      <c r="AC640" s="130"/>
      <c r="AE640" s="106"/>
    </row>
    <row r="641">
      <c r="C641" s="79"/>
      <c r="D641" s="79"/>
      <c r="E641" s="79"/>
      <c r="O641" s="79"/>
      <c r="S641" s="79"/>
      <c r="T641" s="79"/>
      <c r="Y641" s="79"/>
      <c r="AC641" s="130"/>
      <c r="AE641" s="106"/>
    </row>
    <row r="642">
      <c r="C642" s="79"/>
      <c r="D642" s="79"/>
      <c r="E642" s="79"/>
      <c r="O642" s="79"/>
      <c r="S642" s="79"/>
      <c r="T642" s="79"/>
      <c r="Y642" s="79"/>
      <c r="AC642" s="130"/>
      <c r="AE642" s="106"/>
    </row>
    <row r="643">
      <c r="C643" s="79"/>
      <c r="D643" s="79"/>
      <c r="E643" s="79"/>
      <c r="O643" s="79"/>
      <c r="S643" s="79"/>
      <c r="T643" s="79"/>
      <c r="Y643" s="79"/>
      <c r="AC643" s="130"/>
      <c r="AE643" s="106"/>
    </row>
    <row r="644">
      <c r="C644" s="79"/>
      <c r="D644" s="79"/>
      <c r="E644" s="79"/>
      <c r="O644" s="79"/>
      <c r="S644" s="79"/>
      <c r="T644" s="79"/>
      <c r="Y644" s="79"/>
      <c r="AC644" s="130"/>
      <c r="AE644" s="106"/>
    </row>
    <row r="645">
      <c r="C645" s="79"/>
      <c r="D645" s="79"/>
      <c r="E645" s="79"/>
      <c r="O645" s="79"/>
      <c r="S645" s="79"/>
      <c r="T645" s="79"/>
      <c r="Y645" s="79"/>
      <c r="AC645" s="130"/>
      <c r="AE645" s="106"/>
    </row>
    <row r="646">
      <c r="C646" s="79"/>
      <c r="D646" s="79"/>
      <c r="E646" s="79"/>
      <c r="O646" s="79"/>
      <c r="S646" s="79"/>
      <c r="T646" s="79"/>
      <c r="Y646" s="79"/>
      <c r="AC646" s="130"/>
      <c r="AE646" s="106"/>
    </row>
    <row r="647">
      <c r="C647" s="79"/>
      <c r="D647" s="79"/>
      <c r="E647" s="79"/>
      <c r="O647" s="79"/>
      <c r="S647" s="79"/>
      <c r="T647" s="79"/>
      <c r="Y647" s="79"/>
      <c r="AC647" s="130"/>
      <c r="AE647" s="106"/>
    </row>
    <row r="648">
      <c r="C648" s="79"/>
      <c r="D648" s="79"/>
      <c r="E648" s="79"/>
      <c r="O648" s="79"/>
      <c r="S648" s="79"/>
      <c r="T648" s="79"/>
      <c r="Y648" s="79"/>
      <c r="AC648" s="130"/>
      <c r="AE648" s="106"/>
    </row>
    <row r="649">
      <c r="C649" s="79"/>
      <c r="D649" s="79"/>
      <c r="E649" s="79"/>
      <c r="O649" s="79"/>
      <c r="S649" s="79"/>
      <c r="T649" s="79"/>
      <c r="Y649" s="79"/>
      <c r="AC649" s="130"/>
      <c r="AE649" s="106"/>
    </row>
    <row r="650">
      <c r="C650" s="79"/>
      <c r="D650" s="79"/>
      <c r="E650" s="79"/>
      <c r="O650" s="79"/>
      <c r="S650" s="79"/>
      <c r="T650" s="79"/>
      <c r="Y650" s="79"/>
      <c r="AC650" s="130"/>
      <c r="AE650" s="106"/>
    </row>
    <row r="651">
      <c r="C651" s="79"/>
      <c r="D651" s="79"/>
      <c r="E651" s="79"/>
      <c r="O651" s="79"/>
      <c r="S651" s="79"/>
      <c r="T651" s="79"/>
      <c r="Y651" s="79"/>
      <c r="AC651" s="130"/>
      <c r="AE651" s="106"/>
    </row>
    <row r="652">
      <c r="C652" s="79"/>
      <c r="D652" s="79"/>
      <c r="E652" s="79"/>
      <c r="O652" s="79"/>
      <c r="S652" s="79"/>
      <c r="T652" s="79"/>
      <c r="Y652" s="79"/>
      <c r="AC652" s="130"/>
      <c r="AE652" s="106"/>
    </row>
    <row r="653">
      <c r="C653" s="79"/>
      <c r="D653" s="79"/>
      <c r="E653" s="79"/>
      <c r="O653" s="79"/>
      <c r="S653" s="79"/>
      <c r="T653" s="79"/>
      <c r="Y653" s="79"/>
      <c r="AC653" s="130"/>
      <c r="AE653" s="106"/>
    </row>
    <row r="654">
      <c r="C654" s="79"/>
      <c r="D654" s="79"/>
      <c r="E654" s="79"/>
      <c r="O654" s="79"/>
      <c r="S654" s="79"/>
      <c r="T654" s="79"/>
      <c r="Y654" s="79"/>
      <c r="AC654" s="130"/>
      <c r="AE654" s="106"/>
    </row>
    <row r="655">
      <c r="C655" s="79"/>
      <c r="D655" s="79"/>
      <c r="E655" s="79"/>
      <c r="O655" s="79"/>
      <c r="S655" s="79"/>
      <c r="T655" s="79"/>
      <c r="Y655" s="79"/>
      <c r="AC655" s="130"/>
      <c r="AE655" s="106"/>
    </row>
    <row r="656">
      <c r="C656" s="79"/>
      <c r="D656" s="79"/>
      <c r="E656" s="79"/>
      <c r="O656" s="79"/>
      <c r="S656" s="79"/>
      <c r="T656" s="79"/>
      <c r="Y656" s="79"/>
      <c r="AC656" s="130"/>
      <c r="AE656" s="106"/>
    </row>
    <row r="657">
      <c r="C657" s="79"/>
      <c r="D657" s="79"/>
      <c r="E657" s="79"/>
      <c r="O657" s="79"/>
      <c r="S657" s="79"/>
      <c r="T657" s="79"/>
      <c r="Y657" s="79"/>
      <c r="AC657" s="130"/>
      <c r="AE657" s="106"/>
    </row>
    <row r="658">
      <c r="C658" s="79"/>
      <c r="D658" s="79"/>
      <c r="E658" s="79"/>
      <c r="O658" s="79"/>
      <c r="S658" s="79"/>
      <c r="T658" s="79"/>
      <c r="Y658" s="79"/>
      <c r="AC658" s="130"/>
      <c r="AE658" s="106"/>
    </row>
    <row r="659">
      <c r="C659" s="79"/>
      <c r="D659" s="79"/>
      <c r="E659" s="79"/>
      <c r="O659" s="79"/>
      <c r="S659" s="79"/>
      <c r="T659" s="79"/>
      <c r="Y659" s="79"/>
      <c r="AC659" s="130"/>
      <c r="AE659" s="106"/>
    </row>
    <row r="660">
      <c r="C660" s="79"/>
      <c r="D660" s="79"/>
      <c r="E660" s="79"/>
      <c r="O660" s="79"/>
      <c r="S660" s="79"/>
      <c r="T660" s="79"/>
      <c r="Y660" s="79"/>
      <c r="AC660" s="130"/>
      <c r="AE660" s="106"/>
    </row>
    <row r="661">
      <c r="C661" s="79"/>
      <c r="D661" s="79"/>
      <c r="E661" s="79"/>
      <c r="O661" s="79"/>
      <c r="S661" s="79"/>
      <c r="T661" s="79"/>
      <c r="Y661" s="79"/>
      <c r="AC661" s="130"/>
      <c r="AE661" s="106"/>
    </row>
    <row r="662">
      <c r="C662" s="79"/>
      <c r="D662" s="79"/>
      <c r="E662" s="79"/>
      <c r="O662" s="79"/>
      <c r="S662" s="79"/>
      <c r="T662" s="79"/>
      <c r="Y662" s="79"/>
      <c r="AC662" s="130"/>
      <c r="AE662" s="106"/>
    </row>
    <row r="663">
      <c r="C663" s="79"/>
      <c r="D663" s="79"/>
      <c r="E663" s="79"/>
      <c r="O663" s="79"/>
      <c r="S663" s="79"/>
      <c r="T663" s="79"/>
      <c r="Y663" s="79"/>
      <c r="AC663" s="130"/>
      <c r="AE663" s="106"/>
    </row>
    <row r="664">
      <c r="C664" s="79"/>
      <c r="D664" s="79"/>
      <c r="E664" s="79"/>
      <c r="O664" s="79"/>
      <c r="S664" s="79"/>
      <c r="T664" s="79"/>
      <c r="Y664" s="79"/>
      <c r="AC664" s="130"/>
      <c r="AE664" s="106"/>
    </row>
    <row r="665">
      <c r="C665" s="79"/>
      <c r="D665" s="79"/>
      <c r="E665" s="79"/>
      <c r="O665" s="79"/>
      <c r="S665" s="79"/>
      <c r="T665" s="79"/>
      <c r="Y665" s="79"/>
      <c r="AC665" s="130"/>
      <c r="AE665" s="106"/>
    </row>
    <row r="666">
      <c r="C666" s="79"/>
      <c r="D666" s="79"/>
      <c r="E666" s="79"/>
      <c r="O666" s="79"/>
      <c r="S666" s="79"/>
      <c r="T666" s="79"/>
      <c r="Y666" s="79"/>
      <c r="AC666" s="130"/>
      <c r="AE666" s="106"/>
    </row>
    <row r="667">
      <c r="C667" s="79"/>
      <c r="D667" s="79"/>
      <c r="E667" s="79"/>
      <c r="O667" s="79"/>
      <c r="S667" s="79"/>
      <c r="T667" s="79"/>
      <c r="Y667" s="79"/>
      <c r="AC667" s="130"/>
      <c r="AE667" s="106"/>
    </row>
    <row r="668">
      <c r="C668" s="79"/>
      <c r="D668" s="79"/>
      <c r="E668" s="79"/>
      <c r="O668" s="79"/>
      <c r="S668" s="79"/>
      <c r="T668" s="79"/>
      <c r="Y668" s="79"/>
      <c r="AC668" s="130"/>
      <c r="AE668" s="106"/>
    </row>
    <row r="669">
      <c r="C669" s="79"/>
      <c r="D669" s="79"/>
      <c r="E669" s="79"/>
      <c r="O669" s="79"/>
      <c r="S669" s="79"/>
      <c r="T669" s="79"/>
      <c r="Y669" s="79"/>
      <c r="AC669" s="130"/>
      <c r="AE669" s="106"/>
    </row>
    <row r="670">
      <c r="C670" s="79"/>
      <c r="D670" s="79"/>
      <c r="E670" s="79"/>
      <c r="O670" s="79"/>
      <c r="S670" s="79"/>
      <c r="T670" s="79"/>
      <c r="Y670" s="79"/>
      <c r="AC670" s="130"/>
      <c r="AE670" s="106"/>
    </row>
    <row r="671">
      <c r="C671" s="79"/>
      <c r="D671" s="79"/>
      <c r="E671" s="79"/>
      <c r="O671" s="79"/>
      <c r="S671" s="79"/>
      <c r="T671" s="79"/>
      <c r="Y671" s="79"/>
      <c r="AC671" s="130"/>
      <c r="AE671" s="106"/>
    </row>
    <row r="672">
      <c r="C672" s="79"/>
      <c r="D672" s="79"/>
      <c r="E672" s="79"/>
      <c r="O672" s="79"/>
      <c r="S672" s="79"/>
      <c r="T672" s="79"/>
      <c r="Y672" s="79"/>
      <c r="AC672" s="130"/>
      <c r="AE672" s="106"/>
    </row>
    <row r="673">
      <c r="C673" s="79"/>
      <c r="D673" s="79"/>
      <c r="E673" s="79"/>
      <c r="O673" s="79"/>
      <c r="S673" s="79"/>
      <c r="T673" s="79"/>
      <c r="Y673" s="79"/>
      <c r="AC673" s="130"/>
      <c r="AE673" s="106"/>
    </row>
    <row r="674">
      <c r="C674" s="79"/>
      <c r="D674" s="79"/>
      <c r="E674" s="79"/>
      <c r="O674" s="79"/>
      <c r="S674" s="79"/>
      <c r="T674" s="79"/>
      <c r="Y674" s="79"/>
      <c r="AC674" s="130"/>
      <c r="AE674" s="106"/>
    </row>
    <row r="675">
      <c r="C675" s="79"/>
      <c r="D675" s="79"/>
      <c r="E675" s="79"/>
      <c r="O675" s="79"/>
      <c r="S675" s="79"/>
      <c r="T675" s="79"/>
      <c r="Y675" s="79"/>
      <c r="AC675" s="130"/>
      <c r="AE675" s="106"/>
    </row>
    <row r="676">
      <c r="C676" s="79"/>
      <c r="D676" s="79"/>
      <c r="E676" s="79"/>
      <c r="O676" s="79"/>
      <c r="S676" s="79"/>
      <c r="T676" s="79"/>
      <c r="Y676" s="79"/>
      <c r="AC676" s="130"/>
      <c r="AE676" s="106"/>
    </row>
    <row r="677">
      <c r="C677" s="79"/>
      <c r="D677" s="79"/>
      <c r="E677" s="79"/>
      <c r="O677" s="79"/>
      <c r="S677" s="79"/>
      <c r="T677" s="79"/>
      <c r="Y677" s="79"/>
      <c r="AC677" s="130"/>
      <c r="AE677" s="106"/>
    </row>
    <row r="678">
      <c r="C678" s="79"/>
      <c r="D678" s="79"/>
      <c r="E678" s="79"/>
      <c r="O678" s="79"/>
      <c r="S678" s="79"/>
      <c r="T678" s="79"/>
      <c r="Y678" s="79"/>
      <c r="AC678" s="130"/>
      <c r="AE678" s="106"/>
    </row>
    <row r="679">
      <c r="C679" s="79"/>
      <c r="D679" s="79"/>
      <c r="E679" s="79"/>
      <c r="O679" s="79"/>
      <c r="S679" s="79"/>
      <c r="T679" s="79"/>
      <c r="Y679" s="79"/>
      <c r="AC679" s="130"/>
      <c r="AE679" s="106"/>
    </row>
    <row r="680">
      <c r="C680" s="79"/>
      <c r="D680" s="79"/>
      <c r="E680" s="79"/>
      <c r="O680" s="79"/>
      <c r="S680" s="79"/>
      <c r="T680" s="79"/>
      <c r="Y680" s="79"/>
      <c r="AC680" s="130"/>
      <c r="AE680" s="106"/>
    </row>
    <row r="681">
      <c r="C681" s="79"/>
      <c r="D681" s="79"/>
      <c r="E681" s="79"/>
      <c r="O681" s="79"/>
      <c r="S681" s="79"/>
      <c r="T681" s="79"/>
      <c r="Y681" s="79"/>
      <c r="AC681" s="130"/>
      <c r="AE681" s="106"/>
    </row>
    <row r="682">
      <c r="C682" s="79"/>
      <c r="D682" s="79"/>
      <c r="E682" s="79"/>
      <c r="O682" s="79"/>
      <c r="S682" s="79"/>
      <c r="T682" s="79"/>
      <c r="Y682" s="79"/>
      <c r="AC682" s="130"/>
      <c r="AE682" s="106"/>
    </row>
    <row r="683">
      <c r="C683" s="79"/>
      <c r="D683" s="79"/>
      <c r="E683" s="79"/>
      <c r="O683" s="79"/>
      <c r="S683" s="79"/>
      <c r="T683" s="79"/>
      <c r="Y683" s="79"/>
      <c r="AC683" s="130"/>
      <c r="AE683" s="106"/>
    </row>
    <row r="684">
      <c r="C684" s="79"/>
      <c r="D684" s="79"/>
      <c r="E684" s="79"/>
      <c r="O684" s="79"/>
      <c r="S684" s="79"/>
      <c r="T684" s="79"/>
      <c r="Y684" s="79"/>
      <c r="AC684" s="130"/>
      <c r="AE684" s="106"/>
    </row>
    <row r="685">
      <c r="C685" s="79"/>
      <c r="D685" s="79"/>
      <c r="E685" s="79"/>
      <c r="O685" s="79"/>
      <c r="S685" s="79"/>
      <c r="T685" s="79"/>
      <c r="Y685" s="79"/>
      <c r="AC685" s="130"/>
      <c r="AE685" s="106"/>
    </row>
    <row r="686">
      <c r="C686" s="79"/>
      <c r="D686" s="79"/>
      <c r="E686" s="79"/>
      <c r="O686" s="79"/>
      <c r="S686" s="79"/>
      <c r="T686" s="79"/>
      <c r="Y686" s="79"/>
      <c r="AC686" s="130"/>
      <c r="AE686" s="106"/>
    </row>
    <row r="687">
      <c r="C687" s="79"/>
      <c r="D687" s="79"/>
      <c r="E687" s="79"/>
      <c r="O687" s="79"/>
      <c r="S687" s="79"/>
      <c r="T687" s="79"/>
      <c r="Y687" s="79"/>
      <c r="AC687" s="130"/>
      <c r="AE687" s="106"/>
    </row>
    <row r="688">
      <c r="C688" s="79"/>
      <c r="D688" s="79"/>
      <c r="E688" s="79"/>
      <c r="O688" s="79"/>
      <c r="S688" s="79"/>
      <c r="T688" s="79"/>
      <c r="Y688" s="79"/>
      <c r="AC688" s="130"/>
      <c r="AE688" s="106"/>
    </row>
    <row r="689">
      <c r="C689" s="79"/>
      <c r="D689" s="79"/>
      <c r="E689" s="79"/>
      <c r="O689" s="79"/>
      <c r="S689" s="79"/>
      <c r="T689" s="79"/>
      <c r="Y689" s="79"/>
      <c r="AC689" s="130"/>
      <c r="AE689" s="106"/>
    </row>
    <row r="690">
      <c r="C690" s="79"/>
      <c r="D690" s="79"/>
      <c r="E690" s="79"/>
      <c r="O690" s="79"/>
      <c r="S690" s="79"/>
      <c r="T690" s="79"/>
      <c r="Y690" s="79"/>
      <c r="AC690" s="130"/>
      <c r="AE690" s="106"/>
    </row>
    <row r="691">
      <c r="C691" s="79"/>
      <c r="D691" s="79"/>
      <c r="E691" s="79"/>
      <c r="O691" s="79"/>
      <c r="S691" s="79"/>
      <c r="T691" s="79"/>
      <c r="Y691" s="79"/>
      <c r="AC691" s="130"/>
      <c r="AE691" s="106"/>
    </row>
    <row r="692">
      <c r="C692" s="79"/>
      <c r="D692" s="79"/>
      <c r="E692" s="79"/>
      <c r="O692" s="79"/>
      <c r="S692" s="79"/>
      <c r="T692" s="79"/>
      <c r="Y692" s="79"/>
      <c r="AC692" s="130"/>
      <c r="AE692" s="106"/>
    </row>
    <row r="693">
      <c r="C693" s="79"/>
      <c r="D693" s="79"/>
      <c r="E693" s="79"/>
      <c r="O693" s="79"/>
      <c r="S693" s="79"/>
      <c r="T693" s="79"/>
      <c r="Y693" s="79"/>
      <c r="AC693" s="130"/>
      <c r="AE693" s="106"/>
    </row>
    <row r="694">
      <c r="C694" s="79"/>
      <c r="D694" s="79"/>
      <c r="E694" s="79"/>
      <c r="O694" s="79"/>
      <c r="S694" s="79"/>
      <c r="T694" s="79"/>
      <c r="Y694" s="79"/>
      <c r="AC694" s="130"/>
      <c r="AE694" s="106"/>
    </row>
    <row r="695">
      <c r="C695" s="79"/>
      <c r="D695" s="79"/>
      <c r="E695" s="79"/>
      <c r="O695" s="79"/>
      <c r="S695" s="79"/>
      <c r="T695" s="79"/>
      <c r="Y695" s="79"/>
      <c r="AC695" s="130"/>
      <c r="AE695" s="106"/>
    </row>
    <row r="696">
      <c r="C696" s="79"/>
      <c r="D696" s="79"/>
      <c r="E696" s="79"/>
      <c r="O696" s="79"/>
      <c r="S696" s="79"/>
      <c r="T696" s="79"/>
      <c r="Y696" s="79"/>
      <c r="AC696" s="130"/>
      <c r="AE696" s="106"/>
    </row>
    <row r="697">
      <c r="C697" s="79"/>
      <c r="D697" s="79"/>
      <c r="E697" s="79"/>
      <c r="O697" s="79"/>
      <c r="S697" s="79"/>
      <c r="T697" s="79"/>
      <c r="Y697" s="79"/>
      <c r="AC697" s="130"/>
      <c r="AE697" s="106"/>
    </row>
    <row r="698">
      <c r="C698" s="79"/>
      <c r="D698" s="79"/>
      <c r="E698" s="79"/>
      <c r="O698" s="79"/>
      <c r="S698" s="79"/>
      <c r="T698" s="79"/>
      <c r="Y698" s="79"/>
      <c r="AC698" s="130"/>
      <c r="AE698" s="106"/>
    </row>
    <row r="699">
      <c r="C699" s="79"/>
      <c r="D699" s="79"/>
      <c r="E699" s="79"/>
      <c r="O699" s="79"/>
      <c r="S699" s="79"/>
      <c r="T699" s="79"/>
      <c r="Y699" s="79"/>
      <c r="AC699" s="130"/>
      <c r="AE699" s="106"/>
    </row>
    <row r="700">
      <c r="C700" s="79"/>
      <c r="D700" s="79"/>
      <c r="E700" s="79"/>
      <c r="O700" s="79"/>
      <c r="S700" s="79"/>
      <c r="T700" s="79"/>
      <c r="Y700" s="79"/>
      <c r="AC700" s="130"/>
      <c r="AE700" s="106"/>
    </row>
    <row r="701">
      <c r="C701" s="79"/>
      <c r="D701" s="79"/>
      <c r="E701" s="79"/>
      <c r="O701" s="79"/>
      <c r="S701" s="79"/>
      <c r="T701" s="79"/>
      <c r="Y701" s="79"/>
      <c r="AC701" s="130"/>
      <c r="AE701" s="106"/>
    </row>
    <row r="702">
      <c r="C702" s="79"/>
      <c r="D702" s="79"/>
      <c r="E702" s="79"/>
      <c r="O702" s="79"/>
      <c r="S702" s="79"/>
      <c r="T702" s="79"/>
      <c r="Y702" s="79"/>
      <c r="AC702" s="130"/>
      <c r="AE702" s="106"/>
    </row>
    <row r="703">
      <c r="C703" s="79"/>
      <c r="D703" s="79"/>
      <c r="E703" s="79"/>
      <c r="O703" s="79"/>
      <c r="S703" s="79"/>
      <c r="T703" s="79"/>
      <c r="Y703" s="79"/>
      <c r="AC703" s="130"/>
      <c r="AE703" s="106"/>
    </row>
    <row r="704">
      <c r="C704" s="79"/>
      <c r="D704" s="79"/>
      <c r="E704" s="79"/>
      <c r="O704" s="79"/>
      <c r="S704" s="79"/>
      <c r="T704" s="79"/>
      <c r="Y704" s="79"/>
      <c r="AC704" s="130"/>
      <c r="AE704" s="106"/>
    </row>
    <row r="705">
      <c r="C705" s="79"/>
      <c r="D705" s="79"/>
      <c r="E705" s="79"/>
      <c r="O705" s="79"/>
      <c r="S705" s="79"/>
      <c r="T705" s="79"/>
      <c r="Y705" s="79"/>
      <c r="AC705" s="130"/>
      <c r="AE705" s="106"/>
    </row>
    <row r="706">
      <c r="C706" s="79"/>
      <c r="D706" s="79"/>
      <c r="E706" s="79"/>
      <c r="O706" s="79"/>
      <c r="S706" s="79"/>
      <c r="T706" s="79"/>
      <c r="Y706" s="79"/>
      <c r="AC706" s="130"/>
      <c r="AE706" s="106"/>
    </row>
    <row r="707">
      <c r="C707" s="79"/>
      <c r="D707" s="79"/>
      <c r="E707" s="79"/>
      <c r="O707" s="79"/>
      <c r="S707" s="79"/>
      <c r="T707" s="79"/>
      <c r="Y707" s="79"/>
      <c r="AC707" s="130"/>
      <c r="AE707" s="106"/>
    </row>
    <row r="708">
      <c r="C708" s="79"/>
      <c r="D708" s="79"/>
      <c r="E708" s="79"/>
      <c r="O708" s="79"/>
      <c r="S708" s="79"/>
      <c r="T708" s="79"/>
      <c r="Y708" s="79"/>
      <c r="AC708" s="130"/>
      <c r="AE708" s="106"/>
    </row>
    <row r="709">
      <c r="C709" s="79"/>
      <c r="D709" s="79"/>
      <c r="E709" s="79"/>
      <c r="O709" s="79"/>
      <c r="S709" s="79"/>
      <c r="T709" s="79"/>
      <c r="Y709" s="79"/>
      <c r="AC709" s="130"/>
      <c r="AE709" s="106"/>
    </row>
    <row r="710">
      <c r="C710" s="79"/>
      <c r="D710" s="79"/>
      <c r="E710" s="79"/>
      <c r="O710" s="79"/>
      <c r="S710" s="79"/>
      <c r="T710" s="79"/>
      <c r="Y710" s="79"/>
      <c r="AC710" s="130"/>
      <c r="AE710" s="106"/>
    </row>
    <row r="711">
      <c r="C711" s="79"/>
      <c r="D711" s="79"/>
      <c r="E711" s="79"/>
      <c r="O711" s="79"/>
      <c r="S711" s="79"/>
      <c r="T711" s="79"/>
      <c r="Y711" s="79"/>
      <c r="AC711" s="130"/>
      <c r="AE711" s="106"/>
    </row>
    <row r="712">
      <c r="C712" s="79"/>
      <c r="D712" s="79"/>
      <c r="E712" s="79"/>
      <c r="O712" s="79"/>
      <c r="S712" s="79"/>
      <c r="T712" s="79"/>
      <c r="Y712" s="79"/>
      <c r="AC712" s="130"/>
      <c r="AE712" s="106"/>
    </row>
    <row r="713">
      <c r="C713" s="79"/>
      <c r="D713" s="79"/>
      <c r="E713" s="79"/>
      <c r="O713" s="79"/>
      <c r="S713" s="79"/>
      <c r="T713" s="79"/>
      <c r="Y713" s="79"/>
      <c r="AC713" s="130"/>
      <c r="AE713" s="106"/>
    </row>
    <row r="714">
      <c r="C714" s="79"/>
      <c r="D714" s="79"/>
      <c r="E714" s="79"/>
      <c r="O714" s="79"/>
      <c r="S714" s="79"/>
      <c r="T714" s="79"/>
      <c r="Y714" s="79"/>
      <c r="AC714" s="130"/>
      <c r="AE714" s="106"/>
    </row>
    <row r="715">
      <c r="C715" s="79"/>
      <c r="D715" s="79"/>
      <c r="E715" s="79"/>
      <c r="O715" s="79"/>
      <c r="S715" s="79"/>
      <c r="T715" s="79"/>
      <c r="Y715" s="79"/>
      <c r="AC715" s="130"/>
      <c r="AE715" s="106"/>
    </row>
    <row r="716">
      <c r="C716" s="79"/>
      <c r="D716" s="79"/>
      <c r="E716" s="79"/>
      <c r="O716" s="79"/>
      <c r="S716" s="79"/>
      <c r="T716" s="79"/>
      <c r="Y716" s="79"/>
      <c r="AC716" s="130"/>
      <c r="AE716" s="106"/>
    </row>
    <row r="717">
      <c r="C717" s="79"/>
      <c r="D717" s="79"/>
      <c r="E717" s="79"/>
      <c r="O717" s="79"/>
      <c r="S717" s="79"/>
      <c r="T717" s="79"/>
      <c r="Y717" s="79"/>
      <c r="AC717" s="130"/>
      <c r="AE717" s="106"/>
    </row>
    <row r="718">
      <c r="C718" s="79"/>
      <c r="D718" s="79"/>
      <c r="E718" s="79"/>
      <c r="O718" s="79"/>
      <c r="S718" s="79"/>
      <c r="T718" s="79"/>
      <c r="Y718" s="79"/>
      <c r="AC718" s="130"/>
      <c r="AE718" s="106"/>
    </row>
    <row r="719">
      <c r="C719" s="79"/>
      <c r="D719" s="79"/>
      <c r="E719" s="79"/>
      <c r="O719" s="79"/>
      <c r="S719" s="79"/>
      <c r="T719" s="79"/>
      <c r="Y719" s="79"/>
      <c r="AC719" s="130"/>
      <c r="AE719" s="106"/>
    </row>
    <row r="720">
      <c r="C720" s="79"/>
      <c r="D720" s="79"/>
      <c r="E720" s="79"/>
      <c r="O720" s="79"/>
      <c r="S720" s="79"/>
      <c r="T720" s="79"/>
      <c r="Y720" s="79"/>
      <c r="AC720" s="130"/>
      <c r="AE720" s="106"/>
    </row>
    <row r="721">
      <c r="C721" s="79"/>
      <c r="D721" s="79"/>
      <c r="E721" s="79"/>
      <c r="O721" s="79"/>
      <c r="S721" s="79"/>
      <c r="T721" s="79"/>
      <c r="Y721" s="79"/>
      <c r="AC721" s="130"/>
      <c r="AE721" s="106"/>
    </row>
    <row r="722">
      <c r="C722" s="79"/>
      <c r="D722" s="79"/>
      <c r="E722" s="79"/>
      <c r="O722" s="79"/>
      <c r="S722" s="79"/>
      <c r="T722" s="79"/>
      <c r="Y722" s="79"/>
      <c r="AC722" s="130"/>
      <c r="AE722" s="106"/>
    </row>
    <row r="723">
      <c r="C723" s="79"/>
      <c r="D723" s="79"/>
      <c r="E723" s="79"/>
      <c r="O723" s="79"/>
      <c r="S723" s="79"/>
      <c r="T723" s="79"/>
      <c r="Y723" s="79"/>
      <c r="AC723" s="130"/>
      <c r="AE723" s="106"/>
    </row>
    <row r="724">
      <c r="C724" s="79"/>
      <c r="D724" s="79"/>
      <c r="E724" s="79"/>
      <c r="O724" s="79"/>
      <c r="S724" s="79"/>
      <c r="T724" s="79"/>
      <c r="Y724" s="79"/>
      <c r="AC724" s="130"/>
      <c r="AE724" s="106"/>
    </row>
    <row r="725">
      <c r="C725" s="79"/>
      <c r="D725" s="79"/>
      <c r="E725" s="79"/>
      <c r="O725" s="79"/>
      <c r="S725" s="79"/>
      <c r="T725" s="79"/>
      <c r="Y725" s="79"/>
      <c r="AC725" s="130"/>
      <c r="AE725" s="106"/>
    </row>
    <row r="726">
      <c r="C726" s="79"/>
      <c r="D726" s="79"/>
      <c r="E726" s="79"/>
      <c r="O726" s="79"/>
      <c r="S726" s="79"/>
      <c r="T726" s="79"/>
      <c r="Y726" s="79"/>
      <c r="AC726" s="130"/>
      <c r="AE726" s="106"/>
    </row>
    <row r="727">
      <c r="C727" s="79"/>
      <c r="D727" s="79"/>
      <c r="E727" s="79"/>
      <c r="O727" s="79"/>
      <c r="S727" s="79"/>
      <c r="T727" s="79"/>
      <c r="Y727" s="79"/>
      <c r="AC727" s="130"/>
      <c r="AE727" s="106"/>
    </row>
    <row r="728">
      <c r="C728" s="79"/>
      <c r="D728" s="79"/>
      <c r="E728" s="79"/>
      <c r="O728" s="79"/>
      <c r="S728" s="79"/>
      <c r="T728" s="79"/>
      <c r="Y728" s="79"/>
      <c r="AC728" s="130"/>
      <c r="AE728" s="106"/>
    </row>
    <row r="729">
      <c r="C729" s="79"/>
      <c r="D729" s="79"/>
      <c r="E729" s="79"/>
      <c r="O729" s="79"/>
      <c r="S729" s="79"/>
      <c r="T729" s="79"/>
      <c r="Y729" s="79"/>
      <c r="AC729" s="130"/>
      <c r="AE729" s="106"/>
    </row>
    <row r="730">
      <c r="C730" s="79"/>
      <c r="D730" s="79"/>
      <c r="E730" s="79"/>
      <c r="O730" s="79"/>
      <c r="S730" s="79"/>
      <c r="T730" s="79"/>
      <c r="Y730" s="79"/>
      <c r="AC730" s="130"/>
      <c r="AE730" s="106"/>
    </row>
    <row r="731">
      <c r="C731" s="79"/>
      <c r="D731" s="79"/>
      <c r="E731" s="79"/>
      <c r="O731" s="79"/>
      <c r="S731" s="79"/>
      <c r="T731" s="79"/>
      <c r="Y731" s="79"/>
      <c r="AC731" s="130"/>
      <c r="AE731" s="106"/>
    </row>
    <row r="732">
      <c r="C732" s="79"/>
      <c r="D732" s="79"/>
      <c r="E732" s="79"/>
      <c r="O732" s="79"/>
      <c r="S732" s="79"/>
      <c r="T732" s="79"/>
      <c r="Y732" s="79"/>
      <c r="AC732" s="130"/>
      <c r="AE732" s="106"/>
    </row>
    <row r="733">
      <c r="C733" s="79"/>
      <c r="D733" s="79"/>
      <c r="E733" s="79"/>
      <c r="O733" s="79"/>
      <c r="S733" s="79"/>
      <c r="T733" s="79"/>
      <c r="Y733" s="79"/>
      <c r="AC733" s="130"/>
      <c r="AE733" s="106"/>
    </row>
    <row r="734">
      <c r="C734" s="79"/>
      <c r="D734" s="79"/>
      <c r="E734" s="79"/>
      <c r="O734" s="79"/>
      <c r="S734" s="79"/>
      <c r="T734" s="79"/>
      <c r="Y734" s="79"/>
      <c r="AC734" s="130"/>
      <c r="AE734" s="106"/>
    </row>
    <row r="735">
      <c r="C735" s="79"/>
      <c r="D735" s="79"/>
      <c r="E735" s="79"/>
      <c r="O735" s="79"/>
      <c r="S735" s="79"/>
      <c r="T735" s="79"/>
      <c r="Y735" s="79"/>
      <c r="AC735" s="130"/>
      <c r="AE735" s="106"/>
    </row>
    <row r="736">
      <c r="C736" s="79"/>
      <c r="D736" s="79"/>
      <c r="E736" s="79"/>
      <c r="O736" s="79"/>
      <c r="S736" s="79"/>
      <c r="T736" s="79"/>
      <c r="Y736" s="79"/>
      <c r="AC736" s="130"/>
      <c r="AE736" s="106"/>
    </row>
    <row r="737">
      <c r="C737" s="79"/>
      <c r="D737" s="79"/>
      <c r="E737" s="79"/>
      <c r="O737" s="79"/>
      <c r="S737" s="79"/>
      <c r="T737" s="79"/>
      <c r="Y737" s="79"/>
      <c r="AC737" s="130"/>
      <c r="AE737" s="106"/>
    </row>
    <row r="738">
      <c r="C738" s="79"/>
      <c r="D738" s="79"/>
      <c r="E738" s="79"/>
      <c r="O738" s="79"/>
      <c r="S738" s="79"/>
      <c r="T738" s="79"/>
      <c r="Y738" s="79"/>
      <c r="AC738" s="130"/>
      <c r="AE738" s="106"/>
    </row>
    <row r="739">
      <c r="C739" s="79"/>
      <c r="D739" s="79"/>
      <c r="E739" s="79"/>
      <c r="O739" s="79"/>
      <c r="S739" s="79"/>
      <c r="T739" s="79"/>
      <c r="Y739" s="79"/>
      <c r="AC739" s="130"/>
      <c r="AE739" s="106"/>
    </row>
    <row r="740">
      <c r="C740" s="79"/>
      <c r="D740" s="79"/>
      <c r="E740" s="79"/>
      <c r="O740" s="79"/>
      <c r="S740" s="79"/>
      <c r="T740" s="79"/>
      <c r="Y740" s="79"/>
      <c r="AC740" s="130"/>
      <c r="AE740" s="106"/>
    </row>
    <row r="741">
      <c r="C741" s="79"/>
      <c r="D741" s="79"/>
      <c r="E741" s="79"/>
      <c r="O741" s="79"/>
      <c r="S741" s="79"/>
      <c r="T741" s="79"/>
      <c r="Y741" s="79"/>
      <c r="AC741" s="130"/>
      <c r="AE741" s="106"/>
    </row>
    <row r="742">
      <c r="C742" s="79"/>
      <c r="D742" s="79"/>
      <c r="E742" s="79"/>
      <c r="O742" s="79"/>
      <c r="S742" s="79"/>
      <c r="T742" s="79"/>
      <c r="Y742" s="79"/>
      <c r="AC742" s="130"/>
      <c r="AE742" s="106"/>
    </row>
    <row r="743">
      <c r="C743" s="79"/>
      <c r="D743" s="79"/>
      <c r="E743" s="79"/>
      <c r="O743" s="79"/>
      <c r="S743" s="79"/>
      <c r="T743" s="79"/>
      <c r="Y743" s="79"/>
      <c r="AC743" s="130"/>
      <c r="AE743" s="106"/>
    </row>
    <row r="744">
      <c r="C744" s="79"/>
      <c r="D744" s="79"/>
      <c r="E744" s="79"/>
      <c r="O744" s="79"/>
      <c r="S744" s="79"/>
      <c r="T744" s="79"/>
      <c r="Y744" s="79"/>
      <c r="AC744" s="130"/>
      <c r="AE744" s="106"/>
    </row>
    <row r="745">
      <c r="C745" s="79"/>
      <c r="D745" s="79"/>
      <c r="E745" s="79"/>
      <c r="O745" s="79"/>
      <c r="S745" s="79"/>
      <c r="T745" s="79"/>
      <c r="Y745" s="79"/>
      <c r="AC745" s="130"/>
      <c r="AE745" s="106"/>
    </row>
    <row r="746">
      <c r="C746" s="79"/>
      <c r="D746" s="79"/>
      <c r="E746" s="79"/>
      <c r="O746" s="79"/>
      <c r="S746" s="79"/>
      <c r="T746" s="79"/>
      <c r="Y746" s="79"/>
      <c r="AC746" s="130"/>
      <c r="AE746" s="106"/>
    </row>
    <row r="747">
      <c r="C747" s="79"/>
      <c r="D747" s="79"/>
      <c r="E747" s="79"/>
      <c r="O747" s="79"/>
      <c r="S747" s="79"/>
      <c r="T747" s="79"/>
      <c r="Y747" s="79"/>
      <c r="AC747" s="130"/>
      <c r="AE747" s="106"/>
    </row>
    <row r="748">
      <c r="C748" s="79"/>
      <c r="D748" s="79"/>
      <c r="E748" s="79"/>
      <c r="O748" s="79"/>
      <c r="S748" s="79"/>
      <c r="T748" s="79"/>
      <c r="Y748" s="79"/>
      <c r="AC748" s="130"/>
      <c r="AE748" s="106"/>
    </row>
    <row r="749">
      <c r="C749" s="79"/>
      <c r="D749" s="79"/>
      <c r="E749" s="79"/>
      <c r="O749" s="79"/>
      <c r="S749" s="79"/>
      <c r="T749" s="79"/>
      <c r="Y749" s="79"/>
      <c r="AC749" s="130"/>
      <c r="AE749" s="106"/>
    </row>
    <row r="750">
      <c r="C750" s="79"/>
      <c r="D750" s="79"/>
      <c r="E750" s="79"/>
      <c r="O750" s="79"/>
      <c r="S750" s="79"/>
      <c r="T750" s="79"/>
      <c r="Y750" s="79"/>
      <c r="AC750" s="130"/>
      <c r="AE750" s="106"/>
    </row>
    <row r="751">
      <c r="C751" s="79"/>
      <c r="D751" s="79"/>
      <c r="E751" s="79"/>
      <c r="O751" s="79"/>
      <c r="S751" s="79"/>
      <c r="T751" s="79"/>
      <c r="Y751" s="79"/>
      <c r="AC751" s="130"/>
      <c r="AE751" s="106"/>
    </row>
    <row r="752">
      <c r="C752" s="79"/>
      <c r="D752" s="79"/>
      <c r="E752" s="79"/>
      <c r="O752" s="79"/>
      <c r="S752" s="79"/>
      <c r="T752" s="79"/>
      <c r="Y752" s="79"/>
      <c r="AC752" s="130"/>
      <c r="AE752" s="106"/>
    </row>
    <row r="753">
      <c r="C753" s="79"/>
      <c r="D753" s="79"/>
      <c r="E753" s="79"/>
      <c r="O753" s="79"/>
      <c r="S753" s="79"/>
      <c r="T753" s="79"/>
      <c r="Y753" s="79"/>
      <c r="AC753" s="130"/>
      <c r="AE753" s="106"/>
    </row>
    <row r="754">
      <c r="C754" s="79"/>
      <c r="D754" s="79"/>
      <c r="E754" s="79"/>
      <c r="O754" s="79"/>
      <c r="S754" s="79"/>
      <c r="T754" s="79"/>
      <c r="Y754" s="79"/>
      <c r="AC754" s="130"/>
      <c r="AE754" s="106"/>
    </row>
    <row r="755">
      <c r="C755" s="79"/>
      <c r="D755" s="79"/>
      <c r="E755" s="79"/>
      <c r="O755" s="79"/>
      <c r="S755" s="79"/>
      <c r="T755" s="79"/>
      <c r="Y755" s="79"/>
      <c r="AC755" s="130"/>
      <c r="AE755" s="106"/>
    </row>
    <row r="756">
      <c r="C756" s="79"/>
      <c r="D756" s="79"/>
      <c r="E756" s="79"/>
      <c r="O756" s="79"/>
      <c r="S756" s="79"/>
      <c r="T756" s="79"/>
      <c r="Y756" s="79"/>
      <c r="AC756" s="130"/>
      <c r="AE756" s="106"/>
    </row>
    <row r="757">
      <c r="C757" s="79"/>
      <c r="D757" s="79"/>
      <c r="E757" s="79"/>
      <c r="O757" s="79"/>
      <c r="S757" s="79"/>
      <c r="T757" s="79"/>
      <c r="Y757" s="79"/>
      <c r="AC757" s="130"/>
      <c r="AE757" s="106"/>
    </row>
    <row r="758">
      <c r="C758" s="79"/>
      <c r="D758" s="79"/>
      <c r="E758" s="79"/>
      <c r="O758" s="79"/>
      <c r="S758" s="79"/>
      <c r="T758" s="79"/>
      <c r="Y758" s="79"/>
      <c r="AC758" s="130"/>
      <c r="AE758" s="106"/>
    </row>
    <row r="759">
      <c r="C759" s="79"/>
      <c r="D759" s="79"/>
      <c r="E759" s="79"/>
      <c r="O759" s="79"/>
      <c r="S759" s="79"/>
      <c r="T759" s="79"/>
      <c r="Y759" s="79"/>
      <c r="AC759" s="130"/>
      <c r="AE759" s="106"/>
    </row>
    <row r="760">
      <c r="C760" s="79"/>
      <c r="D760" s="79"/>
      <c r="E760" s="79"/>
      <c r="O760" s="79"/>
      <c r="S760" s="79"/>
      <c r="T760" s="79"/>
      <c r="Y760" s="79"/>
      <c r="AC760" s="130"/>
      <c r="AE760" s="106"/>
    </row>
    <row r="761">
      <c r="C761" s="79"/>
      <c r="D761" s="79"/>
      <c r="E761" s="79"/>
      <c r="O761" s="79"/>
      <c r="S761" s="79"/>
      <c r="T761" s="79"/>
      <c r="Y761" s="79"/>
      <c r="AC761" s="130"/>
      <c r="AE761" s="106"/>
    </row>
    <row r="762">
      <c r="C762" s="79"/>
      <c r="D762" s="79"/>
      <c r="E762" s="79"/>
      <c r="O762" s="79"/>
      <c r="S762" s="79"/>
      <c r="T762" s="79"/>
      <c r="Y762" s="79"/>
      <c r="AC762" s="130"/>
      <c r="AE762" s="106"/>
    </row>
    <row r="763">
      <c r="C763" s="79"/>
      <c r="D763" s="79"/>
      <c r="E763" s="79"/>
      <c r="O763" s="79"/>
      <c r="S763" s="79"/>
      <c r="T763" s="79"/>
      <c r="Y763" s="79"/>
      <c r="AC763" s="130"/>
      <c r="AE763" s="106"/>
    </row>
    <row r="764">
      <c r="C764" s="79"/>
      <c r="D764" s="79"/>
      <c r="E764" s="79"/>
      <c r="O764" s="79"/>
      <c r="S764" s="79"/>
      <c r="T764" s="79"/>
      <c r="Y764" s="79"/>
      <c r="AC764" s="130"/>
      <c r="AE764" s="106"/>
    </row>
    <row r="765">
      <c r="C765" s="79"/>
      <c r="D765" s="79"/>
      <c r="E765" s="79"/>
      <c r="O765" s="79"/>
      <c r="S765" s="79"/>
      <c r="T765" s="79"/>
      <c r="Y765" s="79"/>
      <c r="AC765" s="130"/>
      <c r="AE765" s="106"/>
    </row>
    <row r="766">
      <c r="C766" s="79"/>
      <c r="D766" s="79"/>
      <c r="E766" s="79"/>
      <c r="O766" s="79"/>
      <c r="S766" s="79"/>
      <c r="T766" s="79"/>
      <c r="Y766" s="79"/>
      <c r="AC766" s="130"/>
      <c r="AE766" s="106"/>
    </row>
    <row r="767">
      <c r="C767" s="79"/>
      <c r="D767" s="79"/>
      <c r="E767" s="79"/>
      <c r="O767" s="79"/>
      <c r="S767" s="79"/>
      <c r="T767" s="79"/>
      <c r="Y767" s="79"/>
      <c r="AC767" s="130"/>
      <c r="AE767" s="106"/>
    </row>
    <row r="768">
      <c r="C768" s="79"/>
      <c r="D768" s="79"/>
      <c r="E768" s="79"/>
      <c r="O768" s="79"/>
      <c r="S768" s="79"/>
      <c r="T768" s="79"/>
      <c r="Y768" s="79"/>
      <c r="AC768" s="130"/>
      <c r="AE768" s="106"/>
    </row>
    <row r="769">
      <c r="C769" s="79"/>
      <c r="D769" s="79"/>
      <c r="E769" s="79"/>
      <c r="O769" s="79"/>
      <c r="S769" s="79"/>
      <c r="T769" s="79"/>
      <c r="Y769" s="79"/>
      <c r="AC769" s="130"/>
      <c r="AE769" s="106"/>
    </row>
    <row r="770">
      <c r="C770" s="79"/>
      <c r="D770" s="79"/>
      <c r="E770" s="79"/>
      <c r="O770" s="79"/>
      <c r="S770" s="79"/>
      <c r="T770" s="79"/>
      <c r="Y770" s="79"/>
      <c r="AC770" s="130"/>
      <c r="AE770" s="106"/>
    </row>
    <row r="771">
      <c r="C771" s="79"/>
      <c r="D771" s="79"/>
      <c r="E771" s="79"/>
      <c r="O771" s="79"/>
      <c r="S771" s="79"/>
      <c r="T771" s="79"/>
      <c r="Y771" s="79"/>
      <c r="AC771" s="130"/>
      <c r="AE771" s="106"/>
    </row>
    <row r="772">
      <c r="C772" s="79"/>
      <c r="D772" s="79"/>
      <c r="E772" s="79"/>
      <c r="O772" s="79"/>
      <c r="S772" s="79"/>
      <c r="T772" s="79"/>
      <c r="Y772" s="79"/>
      <c r="AC772" s="130"/>
      <c r="AE772" s="106"/>
    </row>
    <row r="773">
      <c r="C773" s="79"/>
      <c r="D773" s="79"/>
      <c r="E773" s="79"/>
      <c r="O773" s="79"/>
      <c r="S773" s="79"/>
      <c r="T773" s="79"/>
      <c r="Y773" s="79"/>
      <c r="AC773" s="130"/>
      <c r="AE773" s="106"/>
    </row>
    <row r="774">
      <c r="C774" s="79"/>
      <c r="D774" s="79"/>
      <c r="E774" s="79"/>
      <c r="O774" s="79"/>
      <c r="S774" s="79"/>
      <c r="T774" s="79"/>
      <c r="Y774" s="79"/>
      <c r="AC774" s="130"/>
      <c r="AE774" s="106"/>
    </row>
    <row r="775">
      <c r="C775" s="79"/>
      <c r="D775" s="79"/>
      <c r="E775" s="79"/>
      <c r="O775" s="79"/>
      <c r="S775" s="79"/>
      <c r="T775" s="79"/>
      <c r="Y775" s="79"/>
      <c r="AC775" s="130"/>
      <c r="AE775" s="106"/>
    </row>
    <row r="776">
      <c r="C776" s="79"/>
      <c r="D776" s="79"/>
      <c r="E776" s="79"/>
      <c r="O776" s="79"/>
      <c r="S776" s="79"/>
      <c r="T776" s="79"/>
      <c r="Y776" s="79"/>
      <c r="AC776" s="130"/>
      <c r="AE776" s="106"/>
    </row>
    <row r="777">
      <c r="C777" s="79"/>
      <c r="D777" s="79"/>
      <c r="E777" s="79"/>
      <c r="O777" s="79"/>
      <c r="S777" s="79"/>
      <c r="T777" s="79"/>
      <c r="Y777" s="79"/>
      <c r="AC777" s="130"/>
      <c r="AE777" s="106"/>
    </row>
    <row r="778">
      <c r="C778" s="79"/>
      <c r="D778" s="79"/>
      <c r="E778" s="79"/>
      <c r="O778" s="79"/>
      <c r="S778" s="79"/>
      <c r="T778" s="79"/>
      <c r="Y778" s="79"/>
      <c r="AC778" s="130"/>
      <c r="AE778" s="106"/>
    </row>
    <row r="779">
      <c r="C779" s="79"/>
      <c r="D779" s="79"/>
      <c r="E779" s="79"/>
      <c r="O779" s="79"/>
      <c r="S779" s="79"/>
      <c r="T779" s="79"/>
      <c r="Y779" s="79"/>
      <c r="AC779" s="130"/>
      <c r="AE779" s="106"/>
    </row>
    <row r="780">
      <c r="C780" s="79"/>
      <c r="D780" s="79"/>
      <c r="E780" s="79"/>
      <c r="O780" s="79"/>
      <c r="S780" s="79"/>
      <c r="T780" s="79"/>
      <c r="Y780" s="79"/>
      <c r="AC780" s="130"/>
      <c r="AE780" s="106"/>
    </row>
    <row r="781">
      <c r="C781" s="79"/>
      <c r="D781" s="79"/>
      <c r="E781" s="79"/>
      <c r="O781" s="79"/>
      <c r="S781" s="79"/>
      <c r="T781" s="79"/>
      <c r="Y781" s="79"/>
      <c r="AC781" s="130"/>
      <c r="AE781" s="106"/>
    </row>
    <row r="782">
      <c r="C782" s="79"/>
      <c r="D782" s="79"/>
      <c r="E782" s="79"/>
      <c r="O782" s="79"/>
      <c r="S782" s="79"/>
      <c r="T782" s="79"/>
      <c r="Y782" s="79"/>
      <c r="AC782" s="130"/>
      <c r="AE782" s="106"/>
    </row>
    <row r="783">
      <c r="C783" s="79"/>
      <c r="D783" s="79"/>
      <c r="E783" s="79"/>
      <c r="O783" s="79"/>
      <c r="S783" s="79"/>
      <c r="T783" s="79"/>
      <c r="Y783" s="79"/>
      <c r="AC783" s="130"/>
      <c r="AE783" s="106"/>
    </row>
    <row r="784">
      <c r="C784" s="79"/>
      <c r="D784" s="79"/>
      <c r="E784" s="79"/>
      <c r="O784" s="79"/>
      <c r="S784" s="79"/>
      <c r="T784" s="79"/>
      <c r="Y784" s="79"/>
      <c r="AC784" s="130"/>
      <c r="AE784" s="106"/>
    </row>
    <row r="785">
      <c r="C785" s="79"/>
      <c r="D785" s="79"/>
      <c r="E785" s="79"/>
      <c r="O785" s="79"/>
      <c r="S785" s="79"/>
      <c r="T785" s="79"/>
      <c r="Y785" s="79"/>
      <c r="AC785" s="130"/>
      <c r="AE785" s="106"/>
    </row>
    <row r="786">
      <c r="C786" s="79"/>
      <c r="D786" s="79"/>
      <c r="E786" s="79"/>
      <c r="O786" s="79"/>
      <c r="S786" s="79"/>
      <c r="T786" s="79"/>
      <c r="Y786" s="79"/>
      <c r="AC786" s="130"/>
      <c r="AE786" s="106"/>
    </row>
    <row r="787">
      <c r="C787" s="79"/>
      <c r="D787" s="79"/>
      <c r="E787" s="79"/>
      <c r="O787" s="79"/>
      <c r="S787" s="79"/>
      <c r="T787" s="79"/>
      <c r="Y787" s="79"/>
      <c r="AC787" s="130"/>
      <c r="AE787" s="106"/>
    </row>
    <row r="788">
      <c r="C788" s="79"/>
      <c r="D788" s="79"/>
      <c r="E788" s="79"/>
      <c r="O788" s="79"/>
      <c r="S788" s="79"/>
      <c r="T788" s="79"/>
      <c r="Y788" s="79"/>
      <c r="AC788" s="130"/>
      <c r="AE788" s="106"/>
    </row>
    <row r="789">
      <c r="C789" s="79"/>
      <c r="D789" s="79"/>
      <c r="E789" s="79"/>
      <c r="O789" s="79"/>
      <c r="S789" s="79"/>
      <c r="T789" s="79"/>
      <c r="Y789" s="79"/>
      <c r="AC789" s="130"/>
      <c r="AE789" s="106"/>
    </row>
    <row r="790">
      <c r="C790" s="79"/>
      <c r="D790" s="79"/>
      <c r="E790" s="79"/>
      <c r="O790" s="79"/>
      <c r="S790" s="79"/>
      <c r="T790" s="79"/>
      <c r="Y790" s="79"/>
      <c r="AC790" s="130"/>
      <c r="AE790" s="106"/>
    </row>
    <row r="791">
      <c r="C791" s="79"/>
      <c r="D791" s="79"/>
      <c r="E791" s="79"/>
      <c r="O791" s="79"/>
      <c r="S791" s="79"/>
      <c r="T791" s="79"/>
      <c r="Y791" s="79"/>
      <c r="AC791" s="130"/>
      <c r="AE791" s="106"/>
    </row>
    <row r="792">
      <c r="C792" s="79"/>
      <c r="D792" s="79"/>
      <c r="E792" s="79"/>
      <c r="O792" s="79"/>
      <c r="S792" s="79"/>
      <c r="T792" s="79"/>
      <c r="Y792" s="79"/>
      <c r="AC792" s="130"/>
      <c r="AE792" s="106"/>
    </row>
    <row r="793">
      <c r="C793" s="79"/>
      <c r="D793" s="79"/>
      <c r="E793" s="79"/>
      <c r="O793" s="79"/>
      <c r="S793" s="79"/>
      <c r="T793" s="79"/>
      <c r="Y793" s="79"/>
      <c r="AC793" s="130"/>
      <c r="AE793" s="106"/>
    </row>
    <row r="794">
      <c r="C794" s="79"/>
      <c r="D794" s="79"/>
      <c r="E794" s="79"/>
      <c r="O794" s="79"/>
      <c r="S794" s="79"/>
      <c r="T794" s="79"/>
      <c r="Y794" s="79"/>
      <c r="AC794" s="130"/>
      <c r="AE794" s="106"/>
    </row>
    <row r="795">
      <c r="C795" s="79"/>
      <c r="D795" s="79"/>
      <c r="E795" s="79"/>
      <c r="O795" s="79"/>
      <c r="S795" s="79"/>
      <c r="T795" s="79"/>
      <c r="Y795" s="79"/>
      <c r="AC795" s="130"/>
      <c r="AE795" s="106"/>
    </row>
    <row r="796">
      <c r="C796" s="79"/>
      <c r="D796" s="79"/>
      <c r="E796" s="79"/>
      <c r="O796" s="79"/>
      <c r="S796" s="79"/>
      <c r="T796" s="79"/>
      <c r="Y796" s="79"/>
      <c r="AC796" s="130"/>
      <c r="AE796" s="106"/>
    </row>
    <row r="797">
      <c r="C797" s="79"/>
      <c r="D797" s="79"/>
      <c r="E797" s="79"/>
      <c r="O797" s="79"/>
      <c r="S797" s="79"/>
      <c r="T797" s="79"/>
      <c r="Y797" s="79"/>
      <c r="AC797" s="130"/>
      <c r="AE797" s="106"/>
    </row>
    <row r="798">
      <c r="C798" s="79"/>
      <c r="D798" s="79"/>
      <c r="E798" s="79"/>
      <c r="O798" s="79"/>
      <c r="S798" s="79"/>
      <c r="T798" s="79"/>
      <c r="Y798" s="79"/>
      <c r="AC798" s="130"/>
      <c r="AE798" s="106"/>
    </row>
    <row r="799">
      <c r="C799" s="79"/>
      <c r="D799" s="79"/>
      <c r="E799" s="79"/>
      <c r="O799" s="79"/>
      <c r="S799" s="79"/>
      <c r="T799" s="79"/>
      <c r="Y799" s="79"/>
      <c r="AC799" s="130"/>
      <c r="AE799" s="106"/>
    </row>
    <row r="800">
      <c r="C800" s="79"/>
      <c r="D800" s="79"/>
      <c r="E800" s="79"/>
      <c r="O800" s="79"/>
      <c r="S800" s="79"/>
      <c r="T800" s="79"/>
      <c r="Y800" s="79"/>
      <c r="AC800" s="130"/>
      <c r="AE800" s="106"/>
    </row>
    <row r="801">
      <c r="C801" s="79"/>
      <c r="D801" s="79"/>
      <c r="E801" s="79"/>
      <c r="O801" s="79"/>
      <c r="S801" s="79"/>
      <c r="T801" s="79"/>
      <c r="Y801" s="79"/>
      <c r="AC801" s="130"/>
      <c r="AE801" s="106"/>
    </row>
    <row r="802">
      <c r="C802" s="79"/>
      <c r="D802" s="79"/>
      <c r="E802" s="79"/>
      <c r="O802" s="79"/>
      <c r="S802" s="79"/>
      <c r="T802" s="79"/>
      <c r="Y802" s="79"/>
      <c r="AC802" s="130"/>
      <c r="AE802" s="106"/>
    </row>
    <row r="803">
      <c r="C803" s="79"/>
      <c r="D803" s="79"/>
      <c r="E803" s="79"/>
      <c r="O803" s="79"/>
      <c r="S803" s="79"/>
      <c r="T803" s="79"/>
      <c r="Y803" s="79"/>
      <c r="AC803" s="130"/>
      <c r="AE803" s="106"/>
    </row>
    <row r="804">
      <c r="C804" s="79"/>
      <c r="D804" s="79"/>
      <c r="E804" s="79"/>
      <c r="O804" s="79"/>
      <c r="S804" s="79"/>
      <c r="T804" s="79"/>
      <c r="Y804" s="79"/>
      <c r="AC804" s="130"/>
      <c r="AE804" s="106"/>
    </row>
    <row r="805">
      <c r="C805" s="79"/>
      <c r="D805" s="79"/>
      <c r="E805" s="79"/>
      <c r="O805" s="79"/>
      <c r="S805" s="79"/>
      <c r="T805" s="79"/>
      <c r="Y805" s="79"/>
      <c r="AC805" s="130"/>
      <c r="AE805" s="106"/>
    </row>
    <row r="806">
      <c r="C806" s="79"/>
      <c r="D806" s="79"/>
      <c r="E806" s="79"/>
      <c r="O806" s="79"/>
      <c r="S806" s="79"/>
      <c r="T806" s="79"/>
      <c r="Y806" s="79"/>
      <c r="AC806" s="130"/>
      <c r="AE806" s="106"/>
    </row>
    <row r="807">
      <c r="C807" s="79"/>
      <c r="D807" s="79"/>
      <c r="E807" s="79"/>
      <c r="O807" s="79"/>
      <c r="S807" s="79"/>
      <c r="T807" s="79"/>
      <c r="Y807" s="79"/>
      <c r="AC807" s="130"/>
      <c r="AE807" s="106"/>
    </row>
    <row r="808">
      <c r="C808" s="79"/>
      <c r="D808" s="79"/>
      <c r="E808" s="79"/>
      <c r="O808" s="79"/>
      <c r="S808" s="79"/>
      <c r="T808" s="79"/>
      <c r="Y808" s="79"/>
      <c r="AC808" s="130"/>
      <c r="AE808" s="106"/>
    </row>
    <row r="809">
      <c r="C809" s="79"/>
      <c r="D809" s="79"/>
      <c r="E809" s="79"/>
      <c r="O809" s="79"/>
      <c r="S809" s="79"/>
      <c r="T809" s="79"/>
      <c r="Y809" s="79"/>
      <c r="AC809" s="130"/>
      <c r="AE809" s="106"/>
    </row>
    <row r="810">
      <c r="C810" s="79"/>
      <c r="D810" s="79"/>
      <c r="E810" s="79"/>
      <c r="O810" s="79"/>
      <c r="S810" s="79"/>
      <c r="T810" s="79"/>
      <c r="Y810" s="79"/>
      <c r="AC810" s="130"/>
      <c r="AE810" s="106"/>
    </row>
    <row r="811">
      <c r="C811" s="79"/>
      <c r="D811" s="79"/>
      <c r="E811" s="79"/>
      <c r="O811" s="79"/>
      <c r="S811" s="79"/>
      <c r="T811" s="79"/>
      <c r="Y811" s="79"/>
      <c r="AC811" s="130"/>
      <c r="AE811" s="106"/>
    </row>
    <row r="812">
      <c r="C812" s="79"/>
      <c r="D812" s="79"/>
      <c r="E812" s="79"/>
      <c r="O812" s="79"/>
      <c r="S812" s="79"/>
      <c r="T812" s="79"/>
      <c r="Y812" s="79"/>
      <c r="AC812" s="130"/>
      <c r="AE812" s="106"/>
    </row>
    <row r="813">
      <c r="C813" s="79"/>
      <c r="D813" s="79"/>
      <c r="E813" s="79"/>
      <c r="O813" s="79"/>
      <c r="S813" s="79"/>
      <c r="T813" s="79"/>
      <c r="Y813" s="79"/>
      <c r="AC813" s="130"/>
      <c r="AE813" s="106"/>
    </row>
    <row r="814">
      <c r="C814" s="79"/>
      <c r="D814" s="79"/>
      <c r="E814" s="79"/>
      <c r="O814" s="79"/>
      <c r="S814" s="79"/>
      <c r="T814" s="79"/>
      <c r="Y814" s="79"/>
      <c r="AC814" s="130"/>
      <c r="AE814" s="106"/>
    </row>
    <row r="815">
      <c r="C815" s="79"/>
      <c r="D815" s="79"/>
      <c r="E815" s="79"/>
      <c r="O815" s="79"/>
      <c r="S815" s="79"/>
      <c r="T815" s="79"/>
      <c r="Y815" s="79"/>
      <c r="AC815" s="130"/>
      <c r="AE815" s="106"/>
    </row>
    <row r="816">
      <c r="C816" s="79"/>
      <c r="D816" s="79"/>
      <c r="E816" s="79"/>
      <c r="O816" s="79"/>
      <c r="S816" s="79"/>
      <c r="T816" s="79"/>
      <c r="Y816" s="79"/>
      <c r="AC816" s="130"/>
      <c r="AE816" s="106"/>
    </row>
    <row r="817">
      <c r="C817" s="79"/>
      <c r="D817" s="79"/>
      <c r="E817" s="79"/>
      <c r="O817" s="79"/>
      <c r="S817" s="79"/>
      <c r="T817" s="79"/>
      <c r="Y817" s="79"/>
      <c r="AC817" s="130"/>
      <c r="AE817" s="106"/>
    </row>
    <row r="818">
      <c r="C818" s="79"/>
      <c r="D818" s="79"/>
      <c r="E818" s="79"/>
      <c r="O818" s="79"/>
      <c r="S818" s="79"/>
      <c r="T818" s="79"/>
      <c r="Y818" s="79"/>
      <c r="AC818" s="130"/>
      <c r="AE818" s="106"/>
    </row>
    <row r="819">
      <c r="C819" s="79"/>
      <c r="D819" s="79"/>
      <c r="E819" s="79"/>
      <c r="O819" s="79"/>
      <c r="S819" s="79"/>
      <c r="T819" s="79"/>
      <c r="Y819" s="79"/>
      <c r="AC819" s="130"/>
      <c r="AE819" s="106"/>
    </row>
    <row r="820">
      <c r="C820" s="79"/>
      <c r="D820" s="79"/>
      <c r="E820" s="79"/>
      <c r="O820" s="79"/>
      <c r="S820" s="79"/>
      <c r="T820" s="79"/>
      <c r="Y820" s="79"/>
      <c r="AC820" s="130"/>
      <c r="AE820" s="106"/>
    </row>
    <row r="821">
      <c r="C821" s="79"/>
      <c r="D821" s="79"/>
      <c r="E821" s="79"/>
      <c r="O821" s="79"/>
      <c r="S821" s="79"/>
      <c r="T821" s="79"/>
      <c r="Y821" s="79"/>
      <c r="AC821" s="130"/>
      <c r="AE821" s="106"/>
    </row>
    <row r="822">
      <c r="C822" s="79"/>
      <c r="D822" s="79"/>
      <c r="E822" s="79"/>
      <c r="O822" s="79"/>
      <c r="S822" s="79"/>
      <c r="T822" s="79"/>
      <c r="Y822" s="79"/>
      <c r="AC822" s="130"/>
      <c r="AE822" s="106"/>
    </row>
    <row r="823">
      <c r="C823" s="79"/>
      <c r="D823" s="79"/>
      <c r="E823" s="79"/>
      <c r="O823" s="79"/>
      <c r="S823" s="79"/>
      <c r="T823" s="79"/>
      <c r="Y823" s="79"/>
      <c r="AC823" s="130"/>
      <c r="AE823" s="106"/>
    </row>
    <row r="824">
      <c r="C824" s="79"/>
      <c r="D824" s="79"/>
      <c r="E824" s="79"/>
      <c r="O824" s="79"/>
      <c r="S824" s="79"/>
      <c r="T824" s="79"/>
      <c r="Y824" s="79"/>
      <c r="AC824" s="130"/>
      <c r="AE824" s="106"/>
    </row>
    <row r="825">
      <c r="C825" s="79"/>
      <c r="D825" s="79"/>
      <c r="E825" s="79"/>
      <c r="O825" s="79"/>
      <c r="S825" s="79"/>
      <c r="T825" s="79"/>
      <c r="Y825" s="79"/>
      <c r="AC825" s="130"/>
      <c r="AE825" s="106"/>
    </row>
    <row r="826">
      <c r="C826" s="79"/>
      <c r="D826" s="79"/>
      <c r="E826" s="79"/>
      <c r="O826" s="79"/>
      <c r="S826" s="79"/>
      <c r="T826" s="79"/>
      <c r="Y826" s="79"/>
      <c r="AC826" s="130"/>
      <c r="AE826" s="106"/>
    </row>
    <row r="827">
      <c r="C827" s="79"/>
      <c r="D827" s="79"/>
      <c r="E827" s="79"/>
      <c r="O827" s="79"/>
      <c r="S827" s="79"/>
      <c r="T827" s="79"/>
      <c r="Y827" s="79"/>
      <c r="AC827" s="130"/>
      <c r="AE827" s="106"/>
    </row>
    <row r="828">
      <c r="C828" s="79"/>
      <c r="D828" s="79"/>
      <c r="E828" s="79"/>
      <c r="O828" s="79"/>
      <c r="S828" s="79"/>
      <c r="T828" s="79"/>
      <c r="Y828" s="79"/>
      <c r="AC828" s="130"/>
      <c r="AE828" s="106"/>
    </row>
    <row r="829">
      <c r="C829" s="79"/>
      <c r="D829" s="79"/>
      <c r="E829" s="79"/>
      <c r="O829" s="79"/>
      <c r="S829" s="79"/>
      <c r="T829" s="79"/>
      <c r="Y829" s="79"/>
      <c r="AC829" s="130"/>
      <c r="AE829" s="106"/>
    </row>
    <row r="830">
      <c r="C830" s="79"/>
      <c r="D830" s="79"/>
      <c r="E830" s="79"/>
      <c r="O830" s="79"/>
      <c r="S830" s="79"/>
      <c r="T830" s="79"/>
      <c r="Y830" s="79"/>
      <c r="AC830" s="130"/>
      <c r="AE830" s="106"/>
    </row>
    <row r="831">
      <c r="C831" s="79"/>
      <c r="D831" s="79"/>
      <c r="E831" s="79"/>
      <c r="O831" s="79"/>
      <c r="S831" s="79"/>
      <c r="T831" s="79"/>
      <c r="Y831" s="79"/>
      <c r="AC831" s="130"/>
      <c r="AE831" s="106"/>
    </row>
    <row r="832">
      <c r="C832" s="79"/>
      <c r="D832" s="79"/>
      <c r="E832" s="79"/>
      <c r="O832" s="79"/>
      <c r="S832" s="79"/>
      <c r="T832" s="79"/>
      <c r="Y832" s="79"/>
      <c r="AC832" s="130"/>
      <c r="AE832" s="106"/>
    </row>
    <row r="833">
      <c r="C833" s="79"/>
      <c r="D833" s="79"/>
      <c r="E833" s="79"/>
      <c r="O833" s="79"/>
      <c r="S833" s="79"/>
      <c r="T833" s="79"/>
      <c r="Y833" s="79"/>
      <c r="AC833" s="130"/>
      <c r="AE833" s="106"/>
    </row>
    <row r="834">
      <c r="C834" s="79"/>
      <c r="D834" s="79"/>
      <c r="E834" s="79"/>
      <c r="O834" s="79"/>
      <c r="S834" s="79"/>
      <c r="T834" s="79"/>
      <c r="Y834" s="79"/>
      <c r="AC834" s="130"/>
      <c r="AE834" s="106"/>
    </row>
    <row r="835">
      <c r="C835" s="79"/>
      <c r="D835" s="79"/>
      <c r="E835" s="79"/>
      <c r="O835" s="79"/>
      <c r="S835" s="79"/>
      <c r="T835" s="79"/>
      <c r="Y835" s="79"/>
      <c r="AC835" s="130"/>
      <c r="AE835" s="106"/>
    </row>
    <row r="836">
      <c r="C836" s="79"/>
      <c r="D836" s="79"/>
      <c r="E836" s="79"/>
      <c r="O836" s="79"/>
      <c r="S836" s="79"/>
      <c r="T836" s="79"/>
      <c r="Y836" s="79"/>
      <c r="AC836" s="130"/>
      <c r="AE836" s="106"/>
    </row>
    <row r="837">
      <c r="C837" s="79"/>
      <c r="D837" s="79"/>
      <c r="E837" s="79"/>
      <c r="O837" s="79"/>
      <c r="S837" s="79"/>
      <c r="T837" s="79"/>
      <c r="Y837" s="79"/>
      <c r="AC837" s="130"/>
      <c r="AE837" s="106"/>
    </row>
    <row r="838">
      <c r="C838" s="79"/>
      <c r="D838" s="79"/>
      <c r="E838" s="79"/>
      <c r="O838" s="79"/>
      <c r="S838" s="79"/>
      <c r="T838" s="79"/>
      <c r="Y838" s="79"/>
      <c r="AC838" s="130"/>
      <c r="AE838" s="106"/>
    </row>
    <row r="839">
      <c r="C839" s="79"/>
      <c r="D839" s="79"/>
      <c r="E839" s="79"/>
      <c r="O839" s="79"/>
      <c r="S839" s="79"/>
      <c r="T839" s="79"/>
      <c r="Y839" s="79"/>
      <c r="AC839" s="130"/>
      <c r="AE839" s="106"/>
    </row>
    <row r="840">
      <c r="C840" s="79"/>
      <c r="D840" s="79"/>
      <c r="E840" s="79"/>
      <c r="O840" s="79"/>
      <c r="S840" s="79"/>
      <c r="T840" s="79"/>
      <c r="Y840" s="79"/>
      <c r="AC840" s="130"/>
      <c r="AE840" s="106"/>
    </row>
    <row r="841">
      <c r="C841" s="79"/>
      <c r="D841" s="79"/>
      <c r="E841" s="79"/>
      <c r="O841" s="79"/>
      <c r="S841" s="79"/>
      <c r="T841" s="79"/>
      <c r="Y841" s="79"/>
      <c r="AC841" s="130"/>
      <c r="AE841" s="106"/>
    </row>
    <row r="842">
      <c r="C842" s="79"/>
      <c r="D842" s="79"/>
      <c r="E842" s="79"/>
      <c r="O842" s="79"/>
      <c r="S842" s="79"/>
      <c r="T842" s="79"/>
      <c r="Y842" s="79"/>
      <c r="AC842" s="130"/>
      <c r="AE842" s="106"/>
    </row>
    <row r="843">
      <c r="C843" s="79"/>
      <c r="D843" s="79"/>
      <c r="E843" s="79"/>
      <c r="O843" s="79"/>
      <c r="S843" s="79"/>
      <c r="T843" s="79"/>
      <c r="Y843" s="79"/>
      <c r="AC843" s="130"/>
      <c r="AE843" s="106"/>
    </row>
    <row r="844">
      <c r="C844" s="79"/>
      <c r="D844" s="79"/>
      <c r="E844" s="79"/>
      <c r="O844" s="79"/>
      <c r="S844" s="79"/>
      <c r="T844" s="79"/>
      <c r="Y844" s="79"/>
      <c r="AC844" s="130"/>
      <c r="AE844" s="106"/>
    </row>
    <row r="845">
      <c r="C845" s="79"/>
      <c r="D845" s="79"/>
      <c r="E845" s="79"/>
      <c r="O845" s="79"/>
      <c r="S845" s="79"/>
      <c r="T845" s="79"/>
      <c r="Y845" s="79"/>
      <c r="AC845" s="130"/>
      <c r="AE845" s="106"/>
    </row>
    <row r="846">
      <c r="C846" s="79"/>
      <c r="D846" s="79"/>
      <c r="E846" s="79"/>
      <c r="O846" s="79"/>
      <c r="S846" s="79"/>
      <c r="T846" s="79"/>
      <c r="Y846" s="79"/>
      <c r="AC846" s="130"/>
      <c r="AE846" s="106"/>
    </row>
    <row r="847">
      <c r="C847" s="79"/>
      <c r="D847" s="79"/>
      <c r="E847" s="79"/>
      <c r="O847" s="79"/>
      <c r="S847" s="79"/>
      <c r="T847" s="79"/>
      <c r="Y847" s="79"/>
      <c r="AC847" s="130"/>
      <c r="AE847" s="106"/>
    </row>
    <row r="848">
      <c r="C848" s="79"/>
      <c r="D848" s="79"/>
      <c r="E848" s="79"/>
      <c r="O848" s="79"/>
      <c r="S848" s="79"/>
      <c r="T848" s="79"/>
      <c r="Y848" s="79"/>
      <c r="AC848" s="130"/>
      <c r="AE848" s="106"/>
    </row>
    <row r="849">
      <c r="C849" s="79"/>
      <c r="D849" s="79"/>
      <c r="E849" s="79"/>
      <c r="O849" s="79"/>
      <c r="S849" s="79"/>
      <c r="T849" s="79"/>
      <c r="Y849" s="79"/>
      <c r="AC849" s="130"/>
      <c r="AE849" s="106"/>
    </row>
    <row r="850">
      <c r="C850" s="79"/>
      <c r="D850" s="79"/>
      <c r="E850" s="79"/>
      <c r="O850" s="79"/>
      <c r="S850" s="79"/>
      <c r="T850" s="79"/>
      <c r="Y850" s="79"/>
      <c r="AC850" s="130"/>
      <c r="AE850" s="106"/>
    </row>
    <row r="851">
      <c r="C851" s="79"/>
      <c r="D851" s="79"/>
      <c r="E851" s="79"/>
      <c r="O851" s="79"/>
      <c r="S851" s="79"/>
      <c r="T851" s="79"/>
      <c r="Y851" s="79"/>
      <c r="AC851" s="130"/>
      <c r="AE851" s="106"/>
    </row>
    <row r="852">
      <c r="C852" s="79"/>
      <c r="D852" s="79"/>
      <c r="E852" s="79"/>
      <c r="O852" s="79"/>
      <c r="S852" s="79"/>
      <c r="T852" s="79"/>
      <c r="Y852" s="79"/>
      <c r="AC852" s="130"/>
      <c r="AE852" s="106"/>
    </row>
    <row r="853">
      <c r="C853" s="79"/>
      <c r="D853" s="79"/>
      <c r="E853" s="79"/>
      <c r="O853" s="79"/>
      <c r="S853" s="79"/>
      <c r="T853" s="79"/>
      <c r="Y853" s="79"/>
      <c r="AC853" s="130"/>
      <c r="AE853" s="106"/>
    </row>
    <row r="854">
      <c r="C854" s="79"/>
      <c r="D854" s="79"/>
      <c r="E854" s="79"/>
      <c r="O854" s="79"/>
      <c r="S854" s="79"/>
      <c r="T854" s="79"/>
      <c r="Y854" s="79"/>
      <c r="AC854" s="130"/>
      <c r="AE854" s="106"/>
    </row>
    <row r="855">
      <c r="C855" s="79"/>
      <c r="D855" s="79"/>
      <c r="E855" s="79"/>
      <c r="O855" s="79"/>
      <c r="S855" s="79"/>
      <c r="T855" s="79"/>
      <c r="Y855" s="79"/>
      <c r="AC855" s="130"/>
      <c r="AE855" s="106"/>
    </row>
    <row r="856">
      <c r="C856" s="79"/>
      <c r="D856" s="79"/>
      <c r="E856" s="79"/>
      <c r="O856" s="79"/>
      <c r="S856" s="79"/>
      <c r="T856" s="79"/>
      <c r="Y856" s="79"/>
      <c r="AC856" s="130"/>
      <c r="AE856" s="106"/>
    </row>
    <row r="857">
      <c r="C857" s="79"/>
      <c r="D857" s="79"/>
      <c r="E857" s="79"/>
      <c r="O857" s="79"/>
      <c r="S857" s="79"/>
      <c r="T857" s="79"/>
      <c r="Y857" s="79"/>
      <c r="AC857" s="130"/>
      <c r="AE857" s="106"/>
    </row>
    <row r="858">
      <c r="C858" s="79"/>
      <c r="D858" s="79"/>
      <c r="E858" s="79"/>
      <c r="O858" s="79"/>
      <c r="S858" s="79"/>
      <c r="T858" s="79"/>
      <c r="Y858" s="79"/>
      <c r="AC858" s="130"/>
      <c r="AE858" s="106"/>
    </row>
    <row r="859">
      <c r="C859" s="79"/>
      <c r="D859" s="79"/>
      <c r="E859" s="79"/>
      <c r="O859" s="79"/>
      <c r="S859" s="79"/>
      <c r="T859" s="79"/>
      <c r="Y859" s="79"/>
      <c r="AC859" s="130"/>
      <c r="AE859" s="106"/>
    </row>
    <row r="860">
      <c r="C860" s="79"/>
      <c r="D860" s="79"/>
      <c r="E860" s="79"/>
      <c r="O860" s="79"/>
      <c r="S860" s="79"/>
      <c r="T860" s="79"/>
      <c r="Y860" s="79"/>
      <c r="AC860" s="130"/>
      <c r="AE860" s="106"/>
    </row>
    <row r="861">
      <c r="C861" s="79"/>
      <c r="D861" s="79"/>
      <c r="E861" s="79"/>
      <c r="O861" s="79"/>
      <c r="S861" s="79"/>
      <c r="T861" s="79"/>
      <c r="Y861" s="79"/>
      <c r="AC861" s="130"/>
      <c r="AE861" s="106"/>
    </row>
    <row r="862">
      <c r="C862" s="79"/>
      <c r="D862" s="79"/>
      <c r="E862" s="79"/>
      <c r="O862" s="79"/>
      <c r="S862" s="79"/>
      <c r="T862" s="79"/>
      <c r="Y862" s="79"/>
      <c r="AC862" s="130"/>
      <c r="AE862" s="106"/>
    </row>
  </sheetData>
  <autoFilter ref="$A$39:$F$67">
    <sortState ref="A39:F67">
      <sortCondition descending="1" sortBy="cellColor" ref="E39:E67" dxfId="1"/>
      <sortCondition descending="1" sortBy="cellColor" ref="C39:C67" dxfId="1"/>
      <sortCondition descending="1" sortBy="cellColor" ref="A39:A67" dxfId="1"/>
    </sortState>
  </autoFilter>
  <mergeCells count="1">
    <mergeCell ref="B36:E36"/>
  </mergeCells>
  <drawing r:id="rId2"/>
  <legacyDrawing r:id="rId3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3" max="3" width="17.38"/>
    <col customWidth="1" min="5" max="5" width="20.88"/>
    <col customWidth="1" min="7" max="7" width="13.5"/>
    <col customWidth="1" min="8" max="8" width="13.25"/>
    <col customWidth="1" min="15" max="15" width="27.38"/>
    <col customWidth="1" min="26" max="26" width="14.63"/>
    <col customWidth="1" min="31" max="31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4</v>
      </c>
      <c r="J1" s="2" t="s">
        <v>5</v>
      </c>
      <c r="K1" s="2" t="s">
        <v>303</v>
      </c>
      <c r="L1" s="2" t="s">
        <v>6</v>
      </c>
      <c r="M1" s="2" t="s">
        <v>12</v>
      </c>
      <c r="N1" s="2" t="s">
        <v>49</v>
      </c>
      <c r="O1" s="105" t="s">
        <v>304</v>
      </c>
      <c r="P1" s="2" t="s">
        <v>37</v>
      </c>
      <c r="Q1" s="2" t="s">
        <v>10</v>
      </c>
      <c r="R1" s="2" t="s">
        <v>42</v>
      </c>
      <c r="S1" s="105" t="s">
        <v>656</v>
      </c>
      <c r="T1" s="105" t="s">
        <v>9</v>
      </c>
      <c r="U1" s="2" t="s">
        <v>164</v>
      </c>
      <c r="V1" s="105" t="s">
        <v>40</v>
      </c>
      <c r="W1" s="2" t="s">
        <v>83</v>
      </c>
      <c r="X1" s="2" t="s">
        <v>204</v>
      </c>
      <c r="Y1" s="105" t="s">
        <v>205</v>
      </c>
      <c r="Z1" s="2" t="s">
        <v>206</v>
      </c>
      <c r="AA1" s="2" t="s">
        <v>305</v>
      </c>
      <c r="AB1" s="3" t="s">
        <v>13</v>
      </c>
      <c r="AC1" s="3" t="s">
        <v>14</v>
      </c>
      <c r="AD1" s="3" t="s">
        <v>15</v>
      </c>
      <c r="AE1" s="106"/>
      <c r="AF1" s="265" t="s">
        <v>306</v>
      </c>
      <c r="AG1" s="266" t="s">
        <v>80</v>
      </c>
    </row>
    <row r="2">
      <c r="A2" s="74">
        <v>45565.0</v>
      </c>
      <c r="B2" s="93">
        <f>1236.61-54.83-13.92-19.35-90.57-45.87-15.45-39.56-36.75-32.79-47.95+754-129.68</f>
        <v>1463.89</v>
      </c>
      <c r="C2" s="93">
        <v>412.3</v>
      </c>
      <c r="D2" s="93">
        <f>317.2-131.8-48.6</f>
        <v>136.8</v>
      </c>
      <c r="E2" s="93"/>
      <c r="F2" s="93"/>
      <c r="G2" s="93">
        <v>180.0</v>
      </c>
      <c r="H2" s="93"/>
      <c r="I2" s="93">
        <v>163.56</v>
      </c>
      <c r="J2" s="180">
        <f>284.9+495</f>
        <v>779.9</v>
      </c>
      <c r="K2" s="93"/>
      <c r="L2" s="93"/>
      <c r="M2" s="93"/>
      <c r="N2" s="93">
        <f>468-144-156</f>
        <v>168</v>
      </c>
      <c r="O2" s="93"/>
      <c r="P2" s="72"/>
      <c r="Q2" s="93">
        <v>169.85</v>
      </c>
      <c r="R2" s="93"/>
      <c r="S2" s="93"/>
      <c r="T2" s="93"/>
      <c r="U2" s="93"/>
      <c r="V2" s="93"/>
      <c r="W2" s="93"/>
      <c r="X2" s="93"/>
      <c r="Y2" s="93"/>
      <c r="Z2" s="93"/>
      <c r="AA2" s="386"/>
      <c r="AB2" s="107">
        <f>SUM(B2:AA2)</f>
        <v>3474.3</v>
      </c>
      <c r="AC2" s="158">
        <v>3258.0</v>
      </c>
      <c r="AD2" s="59">
        <f t="shared" ref="AD2:AD8" si="1">AB2/AC2</f>
        <v>1.066390424</v>
      </c>
      <c r="AE2" s="109">
        <f t="shared" ref="AE2:AE8" si="2">A2</f>
        <v>45565</v>
      </c>
      <c r="AF2" s="267"/>
      <c r="AG2" s="268">
        <f t="shared" ref="AG2:AG8" si="3">AC2-AF2</f>
        <v>3258</v>
      </c>
    </row>
    <row r="3">
      <c r="A3" s="74">
        <f t="shared" ref="A3:A8" si="4">A2+1</f>
        <v>45566</v>
      </c>
      <c r="B3" s="93">
        <f>359.31-26.66-58.36-35.51</f>
        <v>238.78</v>
      </c>
      <c r="C3" s="93">
        <f>194.95-33.83-38.6+345.31-32.5-38.1</f>
        <v>397.23</v>
      </c>
      <c r="D3" s="93"/>
      <c r="E3" s="93"/>
      <c r="F3" s="93"/>
      <c r="G3" s="93"/>
      <c r="H3" s="168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326"/>
      <c r="AB3" s="107">
        <f t="shared" ref="AB3:AB8" si="5">SUM(B3:Z3)</f>
        <v>636.01</v>
      </c>
      <c r="AC3" s="158">
        <v>5948.6</v>
      </c>
      <c r="AD3" s="59">
        <f t="shared" si="1"/>
        <v>0.1069175941</v>
      </c>
      <c r="AE3" s="109">
        <f t="shared" si="2"/>
        <v>45566</v>
      </c>
      <c r="AF3" s="267"/>
      <c r="AG3" s="268">
        <f t="shared" si="3"/>
        <v>5948.6</v>
      </c>
    </row>
    <row r="4">
      <c r="A4" s="74">
        <f t="shared" si="4"/>
        <v>45567</v>
      </c>
      <c r="B4" s="93"/>
      <c r="C4" s="93">
        <f>442.07-29-148.32</f>
        <v>264.75</v>
      </c>
      <c r="D4" s="343">
        <v>614.215</v>
      </c>
      <c r="E4" s="93"/>
      <c r="F4" s="93"/>
      <c r="G4" s="93">
        <v>180.0</v>
      </c>
      <c r="H4" s="168"/>
      <c r="I4" s="93"/>
      <c r="J4" s="93">
        <f>396-198</f>
        <v>198</v>
      </c>
      <c r="K4" s="93"/>
      <c r="L4" s="93">
        <v>28.0</v>
      </c>
      <c r="M4" s="93"/>
      <c r="N4" s="93"/>
      <c r="O4" s="93"/>
      <c r="P4" s="160"/>
      <c r="Q4" s="93"/>
      <c r="R4" s="93"/>
      <c r="S4" s="93"/>
      <c r="T4" s="93"/>
      <c r="U4" s="93"/>
      <c r="V4" s="93"/>
      <c r="W4" s="93"/>
      <c r="X4" s="93"/>
      <c r="Y4" s="250">
        <v>75.38</v>
      </c>
      <c r="Z4" s="101"/>
      <c r="AA4" s="326"/>
      <c r="AB4" s="107">
        <f t="shared" si="5"/>
        <v>1360.345</v>
      </c>
      <c r="AC4" s="380">
        <f>183+3385</f>
        <v>3568</v>
      </c>
      <c r="AD4" s="59">
        <f t="shared" si="1"/>
        <v>0.3812626121</v>
      </c>
      <c r="AE4" s="109">
        <f t="shared" si="2"/>
        <v>45567</v>
      </c>
      <c r="AF4" s="267"/>
      <c r="AG4" s="268">
        <f t="shared" si="3"/>
        <v>3568</v>
      </c>
    </row>
    <row r="5">
      <c r="A5" s="74">
        <f t="shared" si="4"/>
        <v>45568</v>
      </c>
      <c r="B5" s="93">
        <f>1878.15-135.07-718.58-33.22-110-19.26-49.85-52.23-49.82-26.86-54.83-54.74-66.68-34.36-13.26-36.75-19.3-30.05</f>
        <v>373.29</v>
      </c>
      <c r="C5" s="93">
        <f>51+631.7-24.4-34.7-19.55-78-46.5-21.25-80.5</f>
        <v>377.8</v>
      </c>
      <c r="D5" s="93">
        <f>1057.11-587.2-154.8-120.7</f>
        <v>194.41</v>
      </c>
      <c r="E5" s="93"/>
      <c r="F5" s="93"/>
      <c r="G5" s="93"/>
      <c r="H5" s="160"/>
      <c r="I5" s="93"/>
      <c r="J5" s="93"/>
      <c r="K5" s="93"/>
      <c r="L5" s="93">
        <v>63.0</v>
      </c>
      <c r="M5" s="93">
        <v>47.8</v>
      </c>
      <c r="N5" s="93"/>
      <c r="O5" s="93"/>
      <c r="Q5" s="93"/>
      <c r="R5" s="93"/>
      <c r="S5" s="101"/>
      <c r="T5" s="93"/>
      <c r="U5" s="93"/>
      <c r="V5" s="93"/>
      <c r="W5" s="93"/>
      <c r="X5" s="93"/>
      <c r="Y5" s="101"/>
      <c r="Z5" s="101"/>
      <c r="AA5" s="327"/>
      <c r="AB5" s="7">
        <f t="shared" si="5"/>
        <v>1056.3</v>
      </c>
      <c r="AC5" s="380">
        <v>4524.3</v>
      </c>
      <c r="AD5" s="59">
        <f t="shared" si="1"/>
        <v>0.2334725814</v>
      </c>
      <c r="AE5" s="109">
        <f t="shared" si="2"/>
        <v>45568</v>
      </c>
      <c r="AF5" s="267"/>
      <c r="AG5" s="268">
        <f t="shared" si="3"/>
        <v>4524.3</v>
      </c>
    </row>
    <row r="6">
      <c r="A6" s="74">
        <f t="shared" si="4"/>
        <v>45569</v>
      </c>
      <c r="B6" s="93">
        <f>1337.46-36.71-26.4-79.61-44.07-165.24-66.71-109.48-27.38</f>
        <v>781.86</v>
      </c>
      <c r="C6" s="361"/>
      <c r="D6" s="93">
        <f>774.29-241.4-46.69-240-109.4</f>
        <v>136.8</v>
      </c>
      <c r="E6" s="93"/>
      <c r="F6" s="93"/>
      <c r="G6" s="93"/>
      <c r="H6" s="160"/>
      <c r="I6" s="93"/>
      <c r="J6" s="93"/>
      <c r="K6" s="93"/>
      <c r="L6" s="93">
        <f>166.4</f>
        <v>166.4</v>
      </c>
      <c r="M6" s="93"/>
      <c r="N6" s="93"/>
      <c r="O6" s="93"/>
      <c r="P6" s="250">
        <f>516-516</f>
        <v>0</v>
      </c>
      <c r="Q6" s="93"/>
      <c r="R6" s="93"/>
      <c r="S6" s="93"/>
      <c r="T6" s="374"/>
      <c r="U6" s="93"/>
      <c r="V6" s="93"/>
      <c r="W6" s="93"/>
      <c r="X6" s="93"/>
      <c r="Y6" s="93"/>
      <c r="Z6" s="93"/>
      <c r="AA6" s="327"/>
      <c r="AB6" s="7">
        <f t="shared" si="5"/>
        <v>1085.06</v>
      </c>
      <c r="AC6" s="380">
        <f>862+7795.8</f>
        <v>8657.8</v>
      </c>
      <c r="AD6" s="59">
        <f t="shared" si="1"/>
        <v>0.1253274504</v>
      </c>
      <c r="AE6" s="109">
        <f t="shared" si="2"/>
        <v>45569</v>
      </c>
      <c r="AF6" s="267"/>
      <c r="AG6" s="268">
        <f t="shared" si="3"/>
        <v>8657.8</v>
      </c>
    </row>
    <row r="7">
      <c r="A7" s="74">
        <f t="shared" si="4"/>
        <v>45570</v>
      </c>
      <c r="B7" s="93">
        <f>1492.76-69.64</f>
        <v>1423.12</v>
      </c>
      <c r="C7" s="361"/>
      <c r="D7" s="180">
        <v>304.3</v>
      </c>
      <c r="E7" s="79"/>
      <c r="F7" s="402"/>
      <c r="G7" s="93">
        <v>180.0</v>
      </c>
      <c r="H7" s="374"/>
      <c r="I7" s="93">
        <v>152.74</v>
      </c>
      <c r="J7" s="93"/>
      <c r="K7" s="93"/>
      <c r="L7" s="93"/>
      <c r="M7" s="93"/>
      <c r="N7" s="93"/>
      <c r="O7" s="93"/>
      <c r="P7" s="402"/>
      <c r="Q7" s="93"/>
      <c r="R7" s="93"/>
      <c r="S7" s="101"/>
      <c r="T7" s="93"/>
      <c r="U7" s="93"/>
      <c r="V7" s="93"/>
      <c r="W7" s="93"/>
      <c r="X7" s="93"/>
      <c r="Y7" s="101"/>
      <c r="Z7" s="93"/>
      <c r="AA7" s="327"/>
      <c r="AB7" s="7">
        <f t="shared" si="5"/>
        <v>2060.16</v>
      </c>
      <c r="AC7" s="380">
        <v>17515</v>
      </c>
      <c r="AD7" s="59">
        <f t="shared" si="1"/>
        <v>0.1176226092</v>
      </c>
      <c r="AE7" s="109">
        <f t="shared" si="2"/>
        <v>45570</v>
      </c>
      <c r="AF7" s="267"/>
      <c r="AG7" s="268">
        <f t="shared" si="3"/>
        <v>17515</v>
      </c>
    </row>
    <row r="8">
      <c r="A8" s="74">
        <f t="shared" si="4"/>
        <v>45571</v>
      </c>
      <c r="B8" s="93"/>
      <c r="C8" s="93"/>
      <c r="D8" s="180">
        <f>380+180.8</f>
        <v>560.8</v>
      </c>
      <c r="E8" s="112"/>
      <c r="F8" s="180">
        <v>513.86</v>
      </c>
      <c r="G8" s="10"/>
      <c r="H8" s="180">
        <f>1433.57+75.45</f>
        <v>1509.02</v>
      </c>
      <c r="I8" s="374"/>
      <c r="J8" s="180">
        <v>611.1</v>
      </c>
      <c r="K8" s="93"/>
      <c r="L8" s="112"/>
      <c r="M8" s="112"/>
      <c r="N8" s="93"/>
      <c r="O8" s="93"/>
      <c r="P8" s="402"/>
      <c r="Q8" s="93"/>
      <c r="R8" s="374"/>
      <c r="S8" s="374"/>
      <c r="T8" s="374"/>
      <c r="U8" s="374"/>
      <c r="V8" s="112"/>
      <c r="W8" s="112"/>
      <c r="X8" s="112"/>
      <c r="Y8" s="112"/>
      <c r="Z8" s="112"/>
      <c r="AA8" s="93"/>
      <c r="AB8" s="7">
        <f t="shared" si="5"/>
        <v>3194.78</v>
      </c>
      <c r="AC8" s="380">
        <f>2178+4129</f>
        <v>6307</v>
      </c>
      <c r="AD8" s="59">
        <f t="shared" si="1"/>
        <v>0.5065451086</v>
      </c>
      <c r="AE8" s="109">
        <f t="shared" si="2"/>
        <v>45571</v>
      </c>
      <c r="AF8" s="267"/>
      <c r="AG8" s="268">
        <f t="shared" si="3"/>
        <v>6307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AC9" s="129"/>
      <c r="AE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8"/>
      <c r="I10" s="78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AC10" s="129"/>
      <c r="AE10" s="106"/>
    </row>
    <row r="11">
      <c r="A11" s="165" t="s">
        <v>194</v>
      </c>
      <c r="B11" s="93">
        <f>13.92+19.35+45.87+16.45+39.56+32.79+129.68+26.66+32.22+19.26+19.3+30.05+36.71+79.61+44.07+66.71</f>
        <v>652.21</v>
      </c>
      <c r="C11" s="93">
        <f>33.83+32.5+38.1+31+24.4+19.55+21.25</f>
        <v>200.63</v>
      </c>
      <c r="D11" s="93">
        <f>154.8+46.69+240+109.4</f>
        <v>550.89</v>
      </c>
      <c r="E11" s="167"/>
      <c r="F11" s="168"/>
      <c r="G11" s="168"/>
      <c r="H11" s="166"/>
      <c r="I11" s="166"/>
      <c r="J11" s="93"/>
      <c r="K11" s="168"/>
      <c r="L11" s="93"/>
      <c r="M11" s="93"/>
      <c r="N11" s="93"/>
      <c r="O11" s="168"/>
      <c r="P11" s="168"/>
      <c r="Q11" s="168"/>
      <c r="R11" s="168"/>
      <c r="S11" s="168"/>
      <c r="T11" s="168"/>
      <c r="U11" s="168"/>
      <c r="V11" s="168"/>
      <c r="W11" s="1"/>
      <c r="X11" s="168"/>
      <c r="Y11" s="168"/>
      <c r="Z11" s="1"/>
      <c r="AA11" s="1"/>
      <c r="AB11" s="1"/>
      <c r="AC11" s="169"/>
      <c r="AD11" s="1"/>
      <c r="AE11" s="170"/>
    </row>
    <row r="12">
      <c r="A12" s="165" t="s">
        <v>195</v>
      </c>
      <c r="B12" s="438">
        <f>54.83+90.57+36.75+58.36+35.51+26.86+54.83+54.74+66.68+34.36+13.26+35.75+26.4+54.74</f>
        <v>643.64</v>
      </c>
      <c r="C12" s="93">
        <f>148.32+46.5</f>
        <v>194.82</v>
      </c>
      <c r="D12" s="93">
        <f>131.8+48.6+120.7+241.4</f>
        <v>542.5</v>
      </c>
      <c r="E12" s="93"/>
      <c r="F12" s="374"/>
      <c r="G12" s="93"/>
      <c r="H12" s="93"/>
      <c r="I12" s="93"/>
      <c r="J12" s="93">
        <v>198.0</v>
      </c>
      <c r="K12" s="93"/>
      <c r="L12" s="93"/>
      <c r="M12" s="93"/>
      <c r="N12" s="93">
        <v>300.0</v>
      </c>
      <c r="O12" s="168"/>
      <c r="P12" s="168"/>
      <c r="Q12" s="166"/>
      <c r="R12" s="166"/>
      <c r="S12" s="168"/>
      <c r="T12" s="166"/>
      <c r="U12" s="168"/>
      <c r="V12" s="168"/>
      <c r="W12" s="1"/>
      <c r="X12" s="93"/>
      <c r="Y12" s="168"/>
      <c r="Z12" s="1"/>
      <c r="AA12" s="1"/>
      <c r="AB12" s="1"/>
      <c r="AC12" s="171"/>
      <c r="AD12" s="1"/>
      <c r="AE12" s="170"/>
      <c r="AF12" s="32" t="s">
        <v>692</v>
      </c>
    </row>
    <row r="13">
      <c r="A13" s="172" t="s">
        <v>693</v>
      </c>
      <c r="B13" s="438">
        <f>47.95+135.07+718.58+49.85+52.23+49.82+165.24+54.74+27.38+69.64</f>
        <v>1370.5</v>
      </c>
      <c r="C13" s="93">
        <f>34.7+78+80.5</f>
        <v>193.2</v>
      </c>
      <c r="D13" s="93">
        <f>587.2</f>
        <v>587.2</v>
      </c>
      <c r="E13" s="178">
        <v>205.0</v>
      </c>
      <c r="F13" s="374"/>
      <c r="G13" s="93"/>
      <c r="H13" s="93">
        <f>799.82+403.06</f>
        <v>1202.88</v>
      </c>
      <c r="I13" s="93">
        <v>480.04</v>
      </c>
      <c r="J13" s="93"/>
      <c r="K13" s="93"/>
      <c r="L13" s="93"/>
      <c r="M13" s="93"/>
      <c r="N13" s="93"/>
      <c r="O13" s="168"/>
      <c r="P13" s="168"/>
      <c r="Q13" s="166">
        <v>147.0</v>
      </c>
      <c r="R13" s="166"/>
      <c r="S13" s="168"/>
      <c r="T13" s="166"/>
      <c r="U13" s="168"/>
      <c r="V13" s="168"/>
      <c r="W13" s="1"/>
      <c r="X13" s="93"/>
      <c r="Y13" s="168"/>
      <c r="Z13" s="1"/>
      <c r="AA13" s="1"/>
      <c r="AB13" s="1"/>
      <c r="AC13" s="171"/>
      <c r="AD13" s="1"/>
      <c r="AE13" s="170"/>
      <c r="AF13" s="45">
        <f>sum(B13:AE13)</f>
        <v>4185.82</v>
      </c>
    </row>
    <row r="14">
      <c r="A14" s="165" t="s">
        <v>198</v>
      </c>
      <c r="B14" s="438">
        <v>110.0</v>
      </c>
      <c r="C14" s="93"/>
      <c r="D14" s="93"/>
      <c r="E14" s="168"/>
      <c r="F14" s="166"/>
      <c r="G14" s="166"/>
      <c r="H14" s="168"/>
      <c r="I14" s="168"/>
      <c r="J14" s="93"/>
      <c r="K14" s="168"/>
      <c r="L14" s="168"/>
      <c r="M14" s="168"/>
      <c r="N14" s="93"/>
      <c r="O14" s="168"/>
      <c r="P14" s="168"/>
      <c r="Q14" s="166"/>
      <c r="R14" s="168"/>
      <c r="S14" s="168"/>
      <c r="T14" s="168"/>
      <c r="U14" s="1"/>
      <c r="V14" s="1"/>
      <c r="W14" s="1"/>
      <c r="X14" s="168"/>
      <c r="Y14" s="168"/>
      <c r="Z14" s="1"/>
      <c r="AA14" s="1"/>
      <c r="AB14" s="1"/>
      <c r="AC14" s="174"/>
      <c r="AD14" s="1"/>
      <c r="AE14" s="170"/>
    </row>
    <row r="15">
      <c r="A15" s="91"/>
      <c r="B15" s="375"/>
      <c r="C15" s="79"/>
      <c r="D15" s="79"/>
      <c r="E15" s="79"/>
      <c r="F15" s="78"/>
      <c r="G15" s="78"/>
      <c r="I15" s="78"/>
      <c r="J15" s="79"/>
      <c r="K15" s="79"/>
      <c r="L15" s="79"/>
      <c r="M15" s="79"/>
      <c r="N15" s="79"/>
      <c r="O15" s="79"/>
      <c r="R15" s="79"/>
      <c r="S15" s="79"/>
      <c r="T15" s="198"/>
      <c r="U15" s="198"/>
      <c r="Y15" s="79"/>
      <c r="AC15" s="131"/>
      <c r="AE15" s="106"/>
    </row>
    <row r="16">
      <c r="A16" s="91"/>
      <c r="B16" s="92"/>
      <c r="C16" s="192"/>
      <c r="D16" s="78"/>
      <c r="E16" s="151"/>
      <c r="F16" s="201"/>
      <c r="G16" s="248"/>
      <c r="H16" s="192"/>
      <c r="I16" s="198"/>
      <c r="J16" s="201"/>
      <c r="K16" s="199"/>
      <c r="L16" s="199"/>
      <c r="M16" s="200"/>
      <c r="N16" s="202"/>
      <c r="O16" s="198"/>
      <c r="R16" s="198"/>
      <c r="S16" s="79"/>
      <c r="T16" s="198"/>
      <c r="U16" s="198"/>
      <c r="V16" s="198"/>
      <c r="W16" s="198"/>
      <c r="X16" s="199"/>
      <c r="Y16" s="79"/>
      <c r="AC16" s="131"/>
      <c r="AE16" s="106"/>
    </row>
    <row r="17">
      <c r="A17" s="4" t="s">
        <v>22</v>
      </c>
      <c r="B17" s="11">
        <v>10000.0</v>
      </c>
      <c r="C17" s="79"/>
      <c r="D17" s="79"/>
      <c r="E17" s="78"/>
      <c r="G17" s="224"/>
      <c r="H17" s="192"/>
      <c r="K17" s="403"/>
      <c r="L17" s="201"/>
      <c r="M17" s="198"/>
      <c r="N17" s="200"/>
      <c r="O17" s="198"/>
      <c r="P17" s="204"/>
      <c r="R17" s="203"/>
      <c r="S17" s="427"/>
      <c r="T17" s="201"/>
      <c r="U17" s="198"/>
      <c r="V17" s="198"/>
      <c r="W17" s="198"/>
      <c r="X17" s="201"/>
      <c r="Y17" s="79"/>
      <c r="AC17" s="131"/>
      <c r="AE17" s="106"/>
    </row>
    <row r="18">
      <c r="A18" s="4" t="s">
        <v>23</v>
      </c>
      <c r="B18" s="12">
        <f>SUM(B2:AA8)</f>
        <v>12866.955</v>
      </c>
      <c r="C18" s="192"/>
      <c r="D18" s="177"/>
      <c r="E18" s="151"/>
      <c r="F18" s="213"/>
      <c r="G18" s="224"/>
      <c r="H18" s="38"/>
      <c r="I18" s="175"/>
      <c r="K18" s="384"/>
      <c r="L18" s="201"/>
      <c r="M18" s="201"/>
      <c r="N18" s="201"/>
      <c r="O18" s="198"/>
      <c r="P18" s="204"/>
      <c r="R18" s="203"/>
      <c r="S18" s="79"/>
      <c r="T18" s="201"/>
      <c r="U18" s="201"/>
      <c r="V18" s="198"/>
      <c r="W18" s="198"/>
      <c r="X18" s="191"/>
      <c r="Y18" s="79"/>
      <c r="AC18" s="131"/>
      <c r="AE18" s="106"/>
    </row>
    <row r="19">
      <c r="A19" s="4" t="s">
        <v>24</v>
      </c>
      <c r="B19" s="12">
        <f> SUM(B17-B18)</f>
        <v>-2866.955</v>
      </c>
      <c r="C19" s="79"/>
      <c r="D19" s="78"/>
      <c r="E19" s="151"/>
      <c r="F19" s="201"/>
      <c r="G19" s="224"/>
      <c r="H19" s="203"/>
      <c r="I19" s="203"/>
      <c r="K19" s="203"/>
      <c r="L19" s="199"/>
      <c r="M19" s="201"/>
      <c r="N19" s="200"/>
      <c r="O19" s="198"/>
      <c r="P19" s="204"/>
      <c r="R19" s="203"/>
      <c r="S19" s="79"/>
      <c r="T19" s="210"/>
      <c r="U19" s="210"/>
      <c r="V19" s="198"/>
      <c r="W19" s="198"/>
      <c r="X19" s="203"/>
      <c r="Y19" s="79"/>
      <c r="AC19" s="131"/>
      <c r="AE19" s="106"/>
    </row>
    <row r="20">
      <c r="C20" s="79"/>
      <c r="D20" s="79"/>
      <c r="E20" s="78"/>
      <c r="F20" s="213"/>
      <c r="G20" s="224"/>
      <c r="H20" s="203"/>
      <c r="I20" s="345"/>
      <c r="J20" s="78"/>
      <c r="K20" s="351"/>
      <c r="N20" s="198"/>
      <c r="O20" s="198"/>
      <c r="P20" s="204"/>
      <c r="R20" s="203"/>
      <c r="S20" s="79"/>
      <c r="T20" s="198"/>
      <c r="U20" s="428"/>
      <c r="V20" s="198"/>
      <c r="W20" s="198"/>
      <c r="X20" s="203"/>
      <c r="Y20" s="79"/>
      <c r="AC20" s="131"/>
      <c r="AE20" s="106"/>
    </row>
    <row r="21">
      <c r="A21" s="13" t="s">
        <v>25</v>
      </c>
      <c r="B21" s="14">
        <f>SUM(AC2:AC8)</f>
        <v>49778.7</v>
      </c>
      <c r="C21" s="79"/>
      <c r="D21" s="79"/>
      <c r="E21" s="78"/>
      <c r="F21" s="201"/>
      <c r="G21" s="224"/>
      <c r="H21" s="175"/>
      <c r="I21" s="203"/>
      <c r="J21" s="78"/>
      <c r="K21" s="203"/>
      <c r="L21" s="203"/>
      <c r="M21" s="203"/>
      <c r="N21" s="198"/>
      <c r="O21" s="198"/>
      <c r="P21" s="204"/>
      <c r="R21" s="203">
        <v>67.85</v>
      </c>
      <c r="S21" s="79"/>
      <c r="T21" s="198"/>
      <c r="U21" s="198"/>
      <c r="V21" s="198"/>
      <c r="W21" s="198"/>
      <c r="X21" s="203"/>
      <c r="Y21" s="79"/>
      <c r="AC21" s="181"/>
      <c r="AE21" s="106"/>
    </row>
    <row r="22">
      <c r="A22" s="13" t="s">
        <v>26</v>
      </c>
      <c r="B22" s="15">
        <f>B18/B21</f>
        <v>0.2584831464</v>
      </c>
      <c r="C22" s="79"/>
      <c r="D22" s="79"/>
      <c r="E22" s="78"/>
      <c r="F22" s="204"/>
      <c r="G22" s="224"/>
      <c r="H22" s="192"/>
      <c r="I22" s="203"/>
      <c r="J22" s="78"/>
      <c r="K22" s="203"/>
      <c r="L22" s="203"/>
      <c r="M22" s="203"/>
      <c r="N22" s="203"/>
      <c r="O22" s="198"/>
      <c r="P22" s="204"/>
      <c r="R22" s="203">
        <v>-33.83</v>
      </c>
      <c r="S22" s="79"/>
      <c r="T22" s="198"/>
      <c r="U22" s="198"/>
      <c r="V22" s="198"/>
      <c r="W22" s="198"/>
      <c r="X22" s="203"/>
      <c r="Y22" s="79"/>
      <c r="AC22" s="130"/>
      <c r="AE22" s="106"/>
    </row>
    <row r="23">
      <c r="C23" s="79"/>
      <c r="D23" s="79"/>
      <c r="E23" s="78"/>
      <c r="F23" s="204"/>
      <c r="H23" s="175"/>
      <c r="I23" s="78">
        <f>18330*27%</f>
        <v>4949.1</v>
      </c>
      <c r="J23" s="78"/>
      <c r="K23" s="203"/>
      <c r="L23" s="203"/>
      <c r="M23" s="203"/>
      <c r="N23" s="201"/>
      <c r="O23" s="198"/>
      <c r="P23" s="204"/>
      <c r="R23" s="198"/>
      <c r="S23" s="79"/>
      <c r="T23" s="198"/>
      <c r="U23" s="198"/>
      <c r="V23" s="198"/>
      <c r="W23" s="198"/>
      <c r="X23" s="203"/>
      <c r="Y23" s="79"/>
      <c r="AC23" s="182"/>
      <c r="AE23" s="106"/>
    </row>
    <row r="24">
      <c r="C24" s="79"/>
      <c r="D24" s="79"/>
      <c r="E24" s="79"/>
      <c r="F24" s="204"/>
      <c r="G24" s="78"/>
      <c r="H24" s="78"/>
      <c r="I24" s="203"/>
      <c r="J24" s="212"/>
      <c r="K24" s="203"/>
      <c r="L24" s="203"/>
      <c r="M24" s="203"/>
      <c r="N24" s="201"/>
      <c r="O24" s="198"/>
      <c r="P24" s="204"/>
      <c r="R24" s="198"/>
      <c r="S24" s="79"/>
      <c r="T24" s="198"/>
      <c r="U24" s="198"/>
      <c r="V24" s="198"/>
      <c r="W24" s="198"/>
      <c r="X24" s="203"/>
      <c r="Y24" s="79"/>
      <c r="AC24" s="130"/>
      <c r="AE24" s="106"/>
    </row>
    <row r="25">
      <c r="A25" s="16" t="s">
        <v>27</v>
      </c>
      <c r="B25" s="17"/>
      <c r="C25" s="114"/>
      <c r="D25" s="114"/>
      <c r="E25" s="115"/>
      <c r="F25" s="204"/>
      <c r="G25" s="78"/>
      <c r="H25" s="192"/>
      <c r="I25" s="78"/>
      <c r="J25" s="79"/>
      <c r="K25" s="203"/>
      <c r="L25" s="217"/>
      <c r="M25" s="208"/>
      <c r="N25" s="198"/>
      <c r="O25" s="198"/>
      <c r="P25" s="204"/>
      <c r="R25" s="200"/>
      <c r="S25" s="79"/>
      <c r="T25" s="198"/>
      <c r="U25" s="198"/>
      <c r="V25" s="198"/>
      <c r="W25" s="198"/>
      <c r="X25" s="203"/>
      <c r="Y25" s="79"/>
      <c r="AC25" s="130"/>
      <c r="AE25" s="106"/>
    </row>
    <row r="26">
      <c r="A26" s="19" t="s">
        <v>28</v>
      </c>
      <c r="B26" s="20"/>
      <c r="C26" s="116"/>
      <c r="D26" s="116"/>
      <c r="E26" s="117"/>
      <c r="F26" s="204"/>
      <c r="G26" s="212"/>
      <c r="H26" s="78"/>
      <c r="I26" s="224"/>
      <c r="J26" s="78"/>
      <c r="K26" s="203"/>
      <c r="L26" s="203"/>
      <c r="M26" s="209"/>
      <c r="N26" s="201"/>
      <c r="O26" s="198"/>
      <c r="P26" s="204"/>
      <c r="R26" s="198"/>
      <c r="S26" s="79"/>
      <c r="T26" s="198"/>
      <c r="U26" s="198"/>
      <c r="V26" s="198"/>
      <c r="W26" s="198"/>
      <c r="X26" s="203"/>
      <c r="Y26" s="79"/>
      <c r="AC26" s="130"/>
      <c r="AE26" s="106"/>
    </row>
    <row r="27">
      <c r="A27" s="183" t="s">
        <v>29</v>
      </c>
      <c r="B27" s="184" t="s">
        <v>30</v>
      </c>
      <c r="C27" s="183"/>
      <c r="D27" s="183" t="s">
        <v>170</v>
      </c>
      <c r="E27" s="219" t="s">
        <v>171</v>
      </c>
      <c r="F27" s="204"/>
      <c r="G27" s="79"/>
      <c r="H27" s="404"/>
      <c r="I27" s="79"/>
      <c r="J27" s="79"/>
      <c r="K27" s="203"/>
      <c r="L27" s="201"/>
      <c r="M27" s="209"/>
      <c r="N27" s="198"/>
      <c r="O27" s="198"/>
      <c r="P27" s="204"/>
      <c r="R27" s="198"/>
      <c r="S27" s="79"/>
      <c r="T27" s="198"/>
      <c r="U27" s="198"/>
      <c r="V27" s="198"/>
      <c r="W27" s="198"/>
      <c r="X27" s="203"/>
      <c r="Y27" s="79"/>
      <c r="Z27" s="195"/>
      <c r="AC27" s="130"/>
      <c r="AE27" s="106"/>
    </row>
    <row r="28">
      <c r="A28" s="405" t="s">
        <v>694</v>
      </c>
      <c r="B28" s="406">
        <f>1478.71+1395.03</f>
        <v>2873.74</v>
      </c>
      <c r="C28" s="407"/>
      <c r="D28" s="407"/>
      <c r="E28" s="407"/>
      <c r="O28" s="79"/>
      <c r="S28" s="79"/>
      <c r="T28" s="79"/>
      <c r="Y28" s="79"/>
      <c r="AC28" s="130"/>
      <c r="AE28" s="106"/>
    </row>
    <row r="29">
      <c r="A29" s="410" t="s">
        <v>684</v>
      </c>
      <c r="B29" s="411">
        <f>1222.2-611.1+203.7+1247.4</f>
        <v>2062.2</v>
      </c>
      <c r="C29" s="412"/>
      <c r="D29" s="412"/>
      <c r="E29" s="412"/>
      <c r="G29" s="195"/>
      <c r="O29" s="79"/>
      <c r="S29" s="79"/>
      <c r="T29" s="79"/>
      <c r="Y29" s="79"/>
      <c r="AC29" s="130"/>
      <c r="AE29" s="106"/>
    </row>
    <row r="30">
      <c r="A30" s="430" t="s">
        <v>695</v>
      </c>
      <c r="B30" s="431">
        <f>246.24</f>
        <v>246.24</v>
      </c>
      <c r="C30" s="432"/>
      <c r="D30" s="432"/>
      <c r="E30" s="432"/>
      <c r="O30" s="79"/>
      <c r="S30" s="79"/>
      <c r="T30" s="79"/>
      <c r="Y30" s="79"/>
      <c r="AC30" s="130"/>
      <c r="AE30" s="106"/>
    </row>
    <row r="31">
      <c r="A31" s="430" t="s">
        <v>696</v>
      </c>
      <c r="B31" s="431">
        <f>608.6-304.3+348.54+1001.8</f>
        <v>1654.64</v>
      </c>
      <c r="C31" s="432"/>
      <c r="D31" s="432"/>
      <c r="E31" s="432"/>
      <c r="O31" s="79"/>
      <c r="S31" s="79"/>
      <c r="T31" s="79"/>
      <c r="Y31" s="79"/>
      <c r="AC31" s="130"/>
      <c r="AE31" s="106"/>
    </row>
    <row r="32">
      <c r="A32" s="435" t="s">
        <v>687</v>
      </c>
      <c r="B32" s="436">
        <v>359.29</v>
      </c>
      <c r="C32" s="437"/>
      <c r="D32" s="437"/>
      <c r="E32" s="437"/>
      <c r="O32" s="79"/>
      <c r="S32" s="79"/>
      <c r="T32" s="79"/>
      <c r="Y32" s="79"/>
      <c r="AC32" s="130"/>
      <c r="AE32" s="106"/>
    </row>
    <row r="33">
      <c r="A33" s="173" t="s">
        <v>697</v>
      </c>
      <c r="B33" s="344">
        <v>603.86</v>
      </c>
      <c r="C33" s="241"/>
      <c r="D33" s="241"/>
      <c r="E33" s="241"/>
      <c r="O33" s="79"/>
      <c r="S33" s="79"/>
      <c r="T33" s="79"/>
      <c r="Y33" s="79"/>
      <c r="AC33" s="130"/>
      <c r="AE33" s="106"/>
    </row>
    <row r="34">
      <c r="A34" s="173" t="s">
        <v>698</v>
      </c>
      <c r="B34" s="344">
        <v>106.47</v>
      </c>
      <c r="C34" s="241"/>
      <c r="D34" s="241"/>
      <c r="E34" s="241"/>
      <c r="O34" s="79"/>
      <c r="S34" s="79"/>
      <c r="T34" s="79"/>
      <c r="Y34" s="79"/>
      <c r="AC34" s="130"/>
      <c r="AE34" s="106"/>
    </row>
    <row r="35">
      <c r="A35" s="173" t="s">
        <v>699</v>
      </c>
      <c r="B35" s="344">
        <v>299.8</v>
      </c>
      <c r="C35" s="241"/>
      <c r="D35" s="241"/>
      <c r="E35" s="241"/>
      <c r="O35" s="79"/>
      <c r="S35" s="79"/>
      <c r="T35" s="79"/>
      <c r="Y35" s="79"/>
      <c r="AC35" s="130"/>
      <c r="AE35" s="106"/>
    </row>
    <row r="36">
      <c r="A36" s="173" t="s">
        <v>700</v>
      </c>
      <c r="B36" s="344">
        <v>271.2</v>
      </c>
      <c r="C36" s="241"/>
      <c r="D36" s="241"/>
      <c r="E36" s="241"/>
      <c r="O36" s="79"/>
      <c r="S36" s="79"/>
      <c r="T36" s="79"/>
      <c r="Y36" s="79"/>
      <c r="AC36" s="130"/>
      <c r="AE36" s="106"/>
    </row>
    <row r="37">
      <c r="A37" s="173" t="s">
        <v>701</v>
      </c>
      <c r="B37" s="344">
        <v>680.9</v>
      </c>
      <c r="C37" s="241"/>
      <c r="D37" s="241"/>
      <c r="E37" s="241"/>
      <c r="O37" s="79"/>
      <c r="S37" s="79"/>
      <c r="T37" s="79"/>
      <c r="Y37" s="79"/>
      <c r="AC37" s="130"/>
      <c r="AE37" s="106"/>
    </row>
    <row r="38">
      <c r="A38" s="173" t="s">
        <v>702</v>
      </c>
      <c r="B38" s="344">
        <f>78+295</f>
        <v>373</v>
      </c>
      <c r="C38" s="241"/>
      <c r="D38" s="241"/>
      <c r="E38" s="241"/>
      <c r="O38" s="79"/>
      <c r="S38" s="79"/>
      <c r="T38" s="79"/>
      <c r="Y38" s="79"/>
      <c r="AC38" s="130"/>
      <c r="AE38" s="106"/>
    </row>
    <row r="39">
      <c r="C39" s="79"/>
      <c r="D39" s="79"/>
      <c r="E39" s="79"/>
      <c r="O39" s="79"/>
      <c r="S39" s="79"/>
      <c r="T39" s="79"/>
      <c r="Y39" s="79"/>
      <c r="AC39" s="130"/>
      <c r="AE39" s="106"/>
    </row>
    <row r="40">
      <c r="A40" s="274"/>
      <c r="B40" s="275" t="s">
        <v>315</v>
      </c>
      <c r="F40" s="274"/>
      <c r="G40" s="274"/>
      <c r="H40" s="274"/>
      <c r="I40" s="274"/>
      <c r="J40" s="274"/>
      <c r="K40" s="274"/>
      <c r="L40" s="274"/>
      <c r="M40" s="274"/>
      <c r="N40" s="274"/>
      <c r="O40" s="274"/>
      <c r="P40" s="274"/>
      <c r="Q40" s="274"/>
      <c r="R40" s="274"/>
      <c r="S40" s="274"/>
      <c r="T40" s="274"/>
      <c r="U40" s="274"/>
      <c r="V40" s="274"/>
      <c r="W40" s="274"/>
      <c r="X40" s="274"/>
      <c r="Y40" s="274"/>
      <c r="Z40" s="274"/>
      <c r="AA40" s="274"/>
      <c r="AB40" s="274"/>
      <c r="AC40" s="276"/>
      <c r="AD40" s="274"/>
      <c r="AE40" s="277"/>
      <c r="AF40" s="274"/>
      <c r="AG40" s="274"/>
      <c r="AH40" s="274"/>
    </row>
    <row r="41">
      <c r="A41" s="16" t="s">
        <v>316</v>
      </c>
      <c r="B41" s="17"/>
      <c r="C41" s="114"/>
      <c r="D41" s="114"/>
      <c r="E41" s="115"/>
      <c r="O41" s="79"/>
      <c r="S41" s="79"/>
      <c r="T41" s="79"/>
      <c r="Y41" s="79"/>
      <c r="AC41" s="130"/>
      <c r="AE41" s="106"/>
    </row>
    <row r="42">
      <c r="A42" s="19" t="s">
        <v>317</v>
      </c>
      <c r="B42" s="20"/>
      <c r="C42" s="116"/>
      <c r="D42" s="116"/>
      <c r="E42" s="117"/>
      <c r="O42" s="79"/>
      <c r="S42" s="79"/>
      <c r="T42" s="79"/>
      <c r="Y42" s="79"/>
      <c r="AC42" s="130"/>
      <c r="AE42" s="106"/>
    </row>
    <row r="43">
      <c r="A43" s="278" t="s">
        <v>318</v>
      </c>
      <c r="B43" s="279" t="s">
        <v>319</v>
      </c>
      <c r="C43" s="280" t="s">
        <v>285</v>
      </c>
      <c r="D43" s="280" t="s">
        <v>30</v>
      </c>
      <c r="E43" s="281" t="s">
        <v>320</v>
      </c>
      <c r="F43" s="281" t="s">
        <v>321</v>
      </c>
      <c r="O43" s="79"/>
      <c r="S43" s="79"/>
      <c r="T43" s="79"/>
      <c r="Y43" s="79"/>
      <c r="AC43" s="130"/>
      <c r="AE43" s="106"/>
    </row>
    <row r="44">
      <c r="A44" s="304" t="s">
        <v>495</v>
      </c>
      <c r="B44" s="305">
        <v>45489.0</v>
      </c>
      <c r="C44" s="234" t="s">
        <v>325</v>
      </c>
      <c r="D44" s="178">
        <v>1228.43</v>
      </c>
      <c r="E44" s="308">
        <v>45565.0</v>
      </c>
      <c r="F44" s="307">
        <f>D44/2</f>
        <v>614.215</v>
      </c>
      <c r="O44" s="79"/>
      <c r="S44" s="79"/>
      <c r="T44" s="79"/>
      <c r="Y44" s="79"/>
      <c r="AC44" s="130"/>
      <c r="AE44" s="106"/>
    </row>
    <row r="45">
      <c r="A45" s="304" t="s">
        <v>510</v>
      </c>
      <c r="B45" s="305">
        <v>45496.0</v>
      </c>
      <c r="C45" s="234" t="s">
        <v>325</v>
      </c>
      <c r="D45" s="178">
        <v>1194.77</v>
      </c>
      <c r="E45" s="308"/>
      <c r="F45" s="235"/>
      <c r="O45" s="79"/>
      <c r="S45" s="79"/>
      <c r="T45" s="79"/>
      <c r="Y45" s="79"/>
      <c r="AC45" s="130"/>
      <c r="AE45" s="106"/>
    </row>
    <row r="46">
      <c r="A46" s="304" t="s">
        <v>530</v>
      </c>
      <c r="B46" s="305">
        <v>45503.0</v>
      </c>
      <c r="C46" s="234" t="s">
        <v>325</v>
      </c>
      <c r="D46" s="178">
        <v>1211.18</v>
      </c>
      <c r="E46" s="308"/>
      <c r="F46" s="235"/>
      <c r="O46" s="79"/>
      <c r="S46" s="79"/>
      <c r="T46" s="79"/>
      <c r="Y46" s="79"/>
      <c r="AC46" s="130"/>
      <c r="AE46" s="106"/>
    </row>
    <row r="47">
      <c r="A47" s="304" t="s">
        <v>553</v>
      </c>
      <c r="B47" s="305">
        <v>45510.0</v>
      </c>
      <c r="C47" s="234" t="s">
        <v>325</v>
      </c>
      <c r="D47" s="178">
        <v>1409.57</v>
      </c>
      <c r="E47" s="308"/>
      <c r="F47" s="235"/>
      <c r="O47" s="79"/>
      <c r="S47" s="79"/>
      <c r="T47" s="79"/>
      <c r="Y47" s="79"/>
      <c r="AC47" s="130"/>
      <c r="AE47" s="106"/>
    </row>
    <row r="48">
      <c r="A48" s="304" t="s">
        <v>578</v>
      </c>
      <c r="B48" s="305">
        <v>45517.0</v>
      </c>
      <c r="C48" s="234" t="s">
        <v>325</v>
      </c>
      <c r="D48" s="178">
        <v>1391.12</v>
      </c>
      <c r="E48" s="308"/>
      <c r="F48" s="235"/>
      <c r="O48" s="79"/>
      <c r="S48" s="79"/>
      <c r="T48" s="79"/>
      <c r="Y48" s="79"/>
      <c r="AC48" s="130"/>
      <c r="AE48" s="106"/>
    </row>
    <row r="49">
      <c r="A49" s="304" t="s">
        <v>597</v>
      </c>
      <c r="B49" s="305">
        <v>45525.0</v>
      </c>
      <c r="C49" s="234" t="s">
        <v>325</v>
      </c>
      <c r="D49" s="178">
        <v>1420.83</v>
      </c>
      <c r="E49" s="308"/>
      <c r="F49" s="235"/>
      <c r="O49" s="79"/>
      <c r="S49" s="79"/>
      <c r="T49" s="79"/>
      <c r="Y49" s="79"/>
      <c r="AC49" s="130"/>
      <c r="AE49" s="106"/>
    </row>
    <row r="50">
      <c r="A50" s="304" t="s">
        <v>622</v>
      </c>
      <c r="B50" s="305">
        <v>45533.0</v>
      </c>
      <c r="C50" s="234" t="s">
        <v>325</v>
      </c>
      <c r="D50" s="178">
        <v>1404.36</v>
      </c>
      <c r="E50" s="308"/>
      <c r="F50" s="235"/>
      <c r="O50" s="79"/>
      <c r="S50" s="79"/>
      <c r="T50" s="79"/>
      <c r="Y50" s="79"/>
      <c r="AC50" s="130"/>
      <c r="AE50" s="106"/>
    </row>
    <row r="51">
      <c r="A51" s="304" t="s">
        <v>644</v>
      </c>
      <c r="B51" s="305">
        <v>45540.0</v>
      </c>
      <c r="C51" s="234" t="s">
        <v>325</v>
      </c>
      <c r="D51" s="178">
        <v>1415.74</v>
      </c>
      <c r="E51" s="308"/>
      <c r="F51" s="235"/>
      <c r="O51" s="79"/>
      <c r="S51" s="79"/>
      <c r="T51" s="79"/>
      <c r="Y51" s="79"/>
      <c r="AC51" s="130"/>
      <c r="AE51" s="106"/>
    </row>
    <row r="52">
      <c r="A52" s="304" t="s">
        <v>660</v>
      </c>
      <c r="B52" s="305">
        <v>45547.0</v>
      </c>
      <c r="C52" s="234" t="s">
        <v>325</v>
      </c>
      <c r="D52" s="178">
        <v>1419.33</v>
      </c>
      <c r="E52" s="308"/>
      <c r="F52" s="235"/>
      <c r="O52" s="79"/>
      <c r="S52" s="79"/>
      <c r="T52" s="79"/>
      <c r="Y52" s="79"/>
      <c r="AC52" s="130"/>
      <c r="AE52" s="106"/>
    </row>
    <row r="53">
      <c r="A53" s="304" t="s">
        <v>677</v>
      </c>
      <c r="B53" s="305">
        <v>45554.0</v>
      </c>
      <c r="C53" s="234" t="s">
        <v>325</v>
      </c>
      <c r="D53" s="178">
        <v>1439.4</v>
      </c>
      <c r="E53" s="308"/>
      <c r="F53" s="235"/>
      <c r="O53" s="79"/>
      <c r="S53" s="79"/>
      <c r="T53" s="79"/>
      <c r="Y53" s="79"/>
      <c r="AC53" s="130"/>
      <c r="AE53" s="106"/>
    </row>
    <row r="54">
      <c r="A54" s="304" t="s">
        <v>691</v>
      </c>
      <c r="B54" s="305">
        <v>45561.0</v>
      </c>
      <c r="C54" s="234" t="s">
        <v>325</v>
      </c>
      <c r="D54" s="178">
        <v>777.2</v>
      </c>
      <c r="E54" s="308"/>
      <c r="F54" s="235"/>
      <c r="O54" s="79"/>
      <c r="S54" s="79"/>
      <c r="T54" s="79"/>
      <c r="Y54" s="79"/>
      <c r="AC54" s="130"/>
      <c r="AE54" s="106"/>
    </row>
    <row r="55">
      <c r="A55" s="304" t="s">
        <v>703</v>
      </c>
      <c r="B55" s="305">
        <v>45568.0</v>
      </c>
      <c r="C55" s="234" t="s">
        <v>325</v>
      </c>
      <c r="D55" s="178">
        <v>1421.43</v>
      </c>
      <c r="E55" s="308"/>
      <c r="F55" s="235"/>
      <c r="O55" s="79"/>
      <c r="S55" s="79"/>
      <c r="T55" s="79"/>
      <c r="Y55" s="79"/>
      <c r="AC55" s="130"/>
      <c r="AE55" s="106"/>
    </row>
    <row r="56">
      <c r="A56" s="390" t="s">
        <v>537</v>
      </c>
      <c r="B56" s="391">
        <v>45506.0</v>
      </c>
      <c r="C56" s="392" t="s">
        <v>538</v>
      </c>
      <c r="D56" s="393">
        <v>1662.01</v>
      </c>
      <c r="E56" s="291"/>
      <c r="F56" s="6"/>
      <c r="O56" s="79"/>
      <c r="S56" s="79"/>
      <c r="T56" s="79"/>
      <c r="Y56" s="79"/>
      <c r="AC56" s="130"/>
      <c r="AE56" s="106"/>
    </row>
    <row r="57">
      <c r="A57" s="282" t="s">
        <v>645</v>
      </c>
      <c r="B57" s="283">
        <v>45528.0</v>
      </c>
      <c r="C57" s="166" t="s">
        <v>624</v>
      </c>
      <c r="D57" s="93">
        <v>190.0</v>
      </c>
      <c r="E57" s="291"/>
      <c r="F57" s="6"/>
      <c r="O57" s="79"/>
      <c r="S57" s="79"/>
      <c r="T57" s="79"/>
      <c r="Y57" s="79"/>
      <c r="AC57" s="130"/>
      <c r="AE57" s="106"/>
    </row>
    <row r="58">
      <c r="A58" s="282" t="s">
        <v>648</v>
      </c>
      <c r="B58" s="283">
        <v>45540.0</v>
      </c>
      <c r="C58" s="166" t="s">
        <v>164</v>
      </c>
      <c r="D58" s="93">
        <v>237.0</v>
      </c>
      <c r="E58" s="291"/>
      <c r="F58" s="6"/>
      <c r="O58" s="79"/>
      <c r="S58" s="79"/>
      <c r="T58" s="79"/>
      <c r="Y58" s="79"/>
      <c r="AC58" s="130"/>
      <c r="AE58" s="106"/>
    </row>
    <row r="59">
      <c r="A59" s="282" t="s">
        <v>663</v>
      </c>
      <c r="B59" s="283">
        <v>45541.0</v>
      </c>
      <c r="C59" s="166" t="s">
        <v>664</v>
      </c>
      <c r="D59" s="93">
        <v>581.9</v>
      </c>
      <c r="E59" s="291"/>
      <c r="F59" s="6"/>
      <c r="O59" s="79"/>
      <c r="S59" s="79"/>
      <c r="T59" s="79"/>
      <c r="Y59" s="79"/>
      <c r="AC59" s="130"/>
      <c r="AE59" s="106"/>
    </row>
    <row r="60">
      <c r="A60" s="390" t="s">
        <v>654</v>
      </c>
      <c r="B60" s="391">
        <v>45528.0</v>
      </c>
      <c r="C60" s="392" t="s">
        <v>655</v>
      </c>
      <c r="D60" s="393">
        <v>370.0</v>
      </c>
      <c r="E60" s="291"/>
      <c r="F60" s="6"/>
      <c r="O60" s="79"/>
      <c r="S60" s="79"/>
      <c r="T60" s="79"/>
      <c r="Y60" s="79"/>
      <c r="AC60" s="130"/>
      <c r="AE60" s="106"/>
    </row>
    <row r="61">
      <c r="A61" s="282" t="s">
        <v>665</v>
      </c>
      <c r="B61" s="283">
        <v>45545.0</v>
      </c>
      <c r="C61" s="166" t="s">
        <v>666</v>
      </c>
      <c r="D61" s="93">
        <v>1222.2</v>
      </c>
      <c r="E61" s="291" t="s">
        <v>704</v>
      </c>
      <c r="F61" s="6">
        <f t="shared" ref="F61:F62" si="6">D61/2</f>
        <v>611.1</v>
      </c>
      <c r="O61" s="79"/>
      <c r="S61" s="79"/>
      <c r="T61" s="79"/>
      <c r="Y61" s="79"/>
      <c r="AC61" s="130"/>
      <c r="AE61" s="106"/>
    </row>
    <row r="62">
      <c r="A62" s="282" t="s">
        <v>667</v>
      </c>
      <c r="B62" s="283">
        <v>45546.0</v>
      </c>
      <c r="C62" s="166" t="s">
        <v>668</v>
      </c>
      <c r="D62" s="93">
        <f>608.6</f>
        <v>608.6</v>
      </c>
      <c r="E62" s="291" t="s">
        <v>704</v>
      </c>
      <c r="F62" s="6">
        <f t="shared" si="6"/>
        <v>304.3</v>
      </c>
      <c r="O62" s="79"/>
      <c r="S62" s="79"/>
      <c r="T62" s="79"/>
      <c r="Y62" s="79"/>
      <c r="AC62" s="130"/>
      <c r="AE62" s="106"/>
    </row>
    <row r="63">
      <c r="A63" s="390" t="s">
        <v>667</v>
      </c>
      <c r="B63" s="391">
        <v>45547.0</v>
      </c>
      <c r="C63" s="392" t="s">
        <v>669</v>
      </c>
      <c r="D63" s="393">
        <v>380.0</v>
      </c>
      <c r="E63" s="337">
        <v>45565.0</v>
      </c>
      <c r="F63" s="6"/>
      <c r="O63" s="79"/>
      <c r="S63" s="79"/>
      <c r="T63" s="79"/>
      <c r="Y63" s="79"/>
      <c r="AC63" s="130"/>
      <c r="AE63" s="106"/>
    </row>
    <row r="64">
      <c r="A64" s="282" t="s">
        <v>670</v>
      </c>
      <c r="B64" s="283">
        <v>45549.0</v>
      </c>
      <c r="C64" s="166" t="s">
        <v>600</v>
      </c>
      <c r="D64" s="93">
        <v>286.4</v>
      </c>
      <c r="E64" s="291"/>
      <c r="F64" s="6"/>
      <c r="O64" s="79"/>
      <c r="S64" s="79"/>
      <c r="T64" s="79"/>
      <c r="Y64" s="79"/>
      <c r="AC64" s="130"/>
      <c r="AE64" s="106"/>
    </row>
    <row r="65">
      <c r="A65" s="282" t="s">
        <v>681</v>
      </c>
      <c r="B65" s="283">
        <v>45555.0</v>
      </c>
      <c r="C65" s="166" t="s">
        <v>664</v>
      </c>
      <c r="D65" s="93">
        <v>785.6</v>
      </c>
      <c r="E65" s="291"/>
      <c r="F65" s="6"/>
      <c r="O65" s="79"/>
      <c r="S65" s="79"/>
      <c r="T65" s="79"/>
      <c r="Y65" s="79"/>
      <c r="AC65" s="130"/>
      <c r="AE65" s="106"/>
    </row>
    <row r="66">
      <c r="A66" s="282" t="s">
        <v>682</v>
      </c>
      <c r="B66" s="283">
        <v>45558.0</v>
      </c>
      <c r="C66" s="166" t="s">
        <v>482</v>
      </c>
      <c r="D66" s="93">
        <v>1556.54</v>
      </c>
      <c r="E66" s="291"/>
      <c r="F66" s="6"/>
      <c r="O66" s="79"/>
      <c r="S66" s="79"/>
      <c r="T66" s="79"/>
      <c r="Y66" s="79"/>
      <c r="AC66" s="130"/>
      <c r="AE66" s="106"/>
    </row>
    <row r="67">
      <c r="A67" s="282" t="s">
        <v>705</v>
      </c>
      <c r="B67" s="283">
        <v>45570.0</v>
      </c>
      <c r="C67" s="166" t="s">
        <v>706</v>
      </c>
      <c r="D67" s="93">
        <v>106.47</v>
      </c>
      <c r="E67" s="337">
        <v>45572.0</v>
      </c>
      <c r="F67" s="6"/>
      <c r="O67" s="79"/>
      <c r="S67" s="79"/>
      <c r="T67" s="79"/>
      <c r="Y67" s="79"/>
      <c r="AC67" s="130"/>
      <c r="AE67" s="106"/>
    </row>
    <row r="68">
      <c r="A68" s="282" t="s">
        <v>707</v>
      </c>
      <c r="B68" s="283">
        <v>45570.0</v>
      </c>
      <c r="C68" s="166" t="s">
        <v>708</v>
      </c>
      <c r="D68" s="93">
        <v>271.2</v>
      </c>
      <c r="E68" s="337">
        <v>45572.0</v>
      </c>
      <c r="F68" s="6"/>
      <c r="O68" s="79"/>
      <c r="S68" s="79"/>
      <c r="T68" s="79"/>
      <c r="Y68" s="79"/>
      <c r="AC68" s="130"/>
      <c r="AE68" s="106"/>
    </row>
    <row r="69">
      <c r="A69" s="282" t="s">
        <v>709</v>
      </c>
      <c r="B69" s="283">
        <v>45570.0</v>
      </c>
      <c r="C69" s="166" t="s">
        <v>710</v>
      </c>
      <c r="D69" s="93">
        <v>1001.8</v>
      </c>
      <c r="E69" s="291"/>
      <c r="F69" s="6"/>
      <c r="O69" s="79"/>
      <c r="S69" s="79"/>
      <c r="T69" s="79"/>
      <c r="Y69" s="79"/>
      <c r="AC69" s="130"/>
      <c r="AE69" s="106"/>
    </row>
    <row r="70">
      <c r="A70" s="282" t="s">
        <v>711</v>
      </c>
      <c r="B70" s="283">
        <v>45567.0</v>
      </c>
      <c r="C70" s="166" t="s">
        <v>712</v>
      </c>
      <c r="D70" s="93">
        <f>603.86-15</f>
        <v>588.86</v>
      </c>
      <c r="E70" s="291"/>
      <c r="F70" s="6"/>
      <c r="O70" s="79"/>
      <c r="S70" s="79"/>
      <c r="T70" s="79"/>
      <c r="Y70" s="79"/>
      <c r="AC70" s="130"/>
      <c r="AE70" s="106"/>
    </row>
    <row r="71">
      <c r="A71" s="282" t="s">
        <v>713</v>
      </c>
      <c r="B71" s="283">
        <v>45568.0</v>
      </c>
      <c r="C71" s="166" t="s">
        <v>714</v>
      </c>
      <c r="D71" s="93">
        <v>373.0</v>
      </c>
      <c r="E71" s="291"/>
      <c r="F71" s="6"/>
      <c r="O71" s="79"/>
      <c r="S71" s="79"/>
      <c r="T71" s="79"/>
      <c r="Y71" s="79"/>
      <c r="AC71" s="130"/>
      <c r="AE71" s="106"/>
    </row>
    <row r="72">
      <c r="A72" s="282" t="s">
        <v>715</v>
      </c>
      <c r="B72" s="283">
        <v>45570.0</v>
      </c>
      <c r="C72" s="166" t="s">
        <v>716</v>
      </c>
      <c r="D72" s="93">
        <f>299.8-5.8</f>
        <v>294</v>
      </c>
      <c r="E72" s="291"/>
      <c r="F72" s="6"/>
      <c r="O72" s="79"/>
      <c r="S72" s="79"/>
      <c r="T72" s="79"/>
      <c r="Y72" s="79"/>
      <c r="AC72" s="130"/>
      <c r="AE72" s="106"/>
    </row>
    <row r="73">
      <c r="A73" s="282">
        <v>75477.0</v>
      </c>
      <c r="B73" s="283">
        <v>45562.0</v>
      </c>
      <c r="C73" s="166" t="s">
        <v>717</v>
      </c>
      <c r="D73" s="93">
        <v>2027.3</v>
      </c>
      <c r="E73" s="291" t="s">
        <v>718</v>
      </c>
      <c r="F73" s="6"/>
      <c r="O73" s="79"/>
      <c r="S73" s="79"/>
      <c r="T73" s="79"/>
      <c r="Y73" s="79"/>
      <c r="AC73" s="130"/>
      <c r="AE73" s="106"/>
    </row>
    <row r="74">
      <c r="A74" s="282" t="s">
        <v>719</v>
      </c>
      <c r="B74" s="283">
        <v>45569.0</v>
      </c>
      <c r="C74" s="166" t="s">
        <v>720</v>
      </c>
      <c r="D74" s="93">
        <v>680.9</v>
      </c>
      <c r="E74" s="291"/>
      <c r="F74" s="6"/>
      <c r="O74" s="79"/>
      <c r="S74" s="79"/>
      <c r="T74" s="79"/>
      <c r="Y74" s="79"/>
      <c r="AC74" s="130"/>
      <c r="AE74" s="106"/>
    </row>
    <row r="75">
      <c r="A75" s="282"/>
      <c r="B75" s="283"/>
      <c r="C75" s="166"/>
      <c r="D75" s="93"/>
      <c r="E75" s="291"/>
      <c r="F75" s="6"/>
      <c r="O75" s="79"/>
      <c r="S75" s="79"/>
      <c r="T75" s="79"/>
      <c r="Y75" s="79"/>
      <c r="AC75" s="130"/>
      <c r="AE75" s="106"/>
    </row>
    <row r="76">
      <c r="A76" s="282"/>
      <c r="B76" s="283"/>
      <c r="C76" s="166"/>
      <c r="D76" s="93"/>
      <c r="E76" s="291"/>
      <c r="F76" s="6"/>
      <c r="O76" s="79"/>
      <c r="S76" s="79"/>
      <c r="T76" s="79"/>
      <c r="Y76" s="79"/>
      <c r="AC76" s="130"/>
      <c r="AE76" s="106"/>
    </row>
    <row r="77">
      <c r="A77" s="282"/>
      <c r="B77" s="283"/>
      <c r="C77" s="166"/>
      <c r="D77" s="93"/>
      <c r="E77" s="291"/>
      <c r="F77" s="6"/>
      <c r="O77" s="79"/>
      <c r="S77" s="79"/>
      <c r="T77" s="79"/>
      <c r="Y77" s="79"/>
      <c r="AC77" s="130"/>
      <c r="AE77" s="106"/>
    </row>
    <row r="78">
      <c r="A78" s="282"/>
      <c r="B78" s="283"/>
      <c r="C78" s="166"/>
      <c r="D78" s="93"/>
      <c r="E78" s="291"/>
      <c r="F78" s="6"/>
      <c r="O78" s="79"/>
      <c r="S78" s="79"/>
      <c r="T78" s="79"/>
      <c r="Y78" s="79"/>
      <c r="AC78" s="130"/>
      <c r="AE78" s="106"/>
    </row>
    <row r="79">
      <c r="A79" s="282"/>
      <c r="B79" s="283"/>
      <c r="C79" s="166"/>
      <c r="D79" s="93"/>
      <c r="E79" s="291"/>
      <c r="F79" s="6"/>
      <c r="O79" s="79"/>
      <c r="S79" s="79"/>
      <c r="T79" s="79"/>
      <c r="Y79" s="79"/>
      <c r="AC79" s="130"/>
      <c r="AE79" s="106"/>
    </row>
    <row r="80">
      <c r="A80" s="282"/>
      <c r="B80" s="283"/>
      <c r="C80" s="166"/>
      <c r="D80" s="93"/>
      <c r="E80" s="291"/>
      <c r="F80" s="6"/>
      <c r="O80" s="79"/>
      <c r="S80" s="79"/>
      <c r="T80" s="79"/>
      <c r="Y80" s="79"/>
      <c r="AC80" s="130"/>
      <c r="AE80" s="106"/>
    </row>
    <row r="81">
      <c r="A81" s="282"/>
      <c r="B81" s="283"/>
      <c r="C81" s="166"/>
      <c r="D81" s="93"/>
      <c r="E81" s="291"/>
      <c r="F81" s="6"/>
      <c r="O81" s="79"/>
      <c r="S81" s="79"/>
      <c r="T81" s="79"/>
      <c r="Y81" s="79"/>
      <c r="AC81" s="130"/>
      <c r="AE81" s="106"/>
    </row>
    <row r="82">
      <c r="A82" s="282"/>
      <c r="B82" s="283"/>
      <c r="C82" s="166"/>
      <c r="D82" s="93"/>
      <c r="E82" s="291"/>
      <c r="F82" s="6"/>
      <c r="O82" s="79"/>
      <c r="S82" s="79"/>
      <c r="T82" s="79"/>
      <c r="Y82" s="79"/>
      <c r="AC82" s="130"/>
      <c r="AE82" s="106"/>
    </row>
    <row r="83">
      <c r="A83" s="282"/>
      <c r="B83" s="283"/>
      <c r="C83" s="166"/>
      <c r="D83" s="93"/>
      <c r="E83" s="291"/>
      <c r="F83" s="6"/>
      <c r="O83" s="79"/>
      <c r="S83" s="79"/>
      <c r="T83" s="79"/>
      <c r="Y83" s="79"/>
      <c r="AC83" s="130"/>
      <c r="AE83" s="106"/>
    </row>
    <row r="84">
      <c r="A84" s="282"/>
      <c r="B84" s="283"/>
      <c r="C84" s="166"/>
      <c r="D84" s="93"/>
      <c r="E84" s="291"/>
      <c r="F84" s="6"/>
      <c r="O84" s="79"/>
      <c r="S84" s="79"/>
      <c r="T84" s="79"/>
      <c r="Y84" s="79"/>
      <c r="AC84" s="130"/>
      <c r="AE84" s="106"/>
    </row>
    <row r="85">
      <c r="A85" s="282"/>
      <c r="B85" s="283"/>
      <c r="C85" s="166"/>
      <c r="D85" s="93"/>
      <c r="E85" s="291"/>
      <c r="F85" s="6"/>
      <c r="O85" s="79"/>
      <c r="S85" s="79"/>
      <c r="T85" s="79"/>
      <c r="Y85" s="79"/>
      <c r="AC85" s="130"/>
      <c r="AE85" s="106"/>
    </row>
    <row r="86">
      <c r="A86" s="282"/>
      <c r="B86" s="283"/>
      <c r="C86" s="166"/>
      <c r="D86" s="93"/>
      <c r="E86" s="291"/>
      <c r="F86" s="6"/>
      <c r="O86" s="79"/>
      <c r="S86" s="79"/>
      <c r="T86" s="79"/>
      <c r="Y86" s="79"/>
      <c r="AC86" s="130"/>
      <c r="AE86" s="106"/>
    </row>
    <row r="87">
      <c r="A87" s="282"/>
      <c r="B87" s="283"/>
      <c r="C87" s="166"/>
      <c r="D87" s="93"/>
      <c r="E87" s="291"/>
      <c r="F87" s="6"/>
      <c r="O87" s="79"/>
      <c r="S87" s="79"/>
      <c r="T87" s="79"/>
      <c r="Y87" s="79"/>
      <c r="AC87" s="130"/>
      <c r="AE87" s="106"/>
    </row>
    <row r="88">
      <c r="C88" s="79"/>
      <c r="D88" s="79"/>
      <c r="E88" s="79"/>
      <c r="O88" s="79"/>
      <c r="S88" s="79"/>
      <c r="T88" s="79"/>
      <c r="Y88" s="79"/>
      <c r="AC88" s="130"/>
      <c r="AE88" s="106"/>
    </row>
    <row r="89">
      <c r="C89" s="79"/>
      <c r="D89" s="79"/>
      <c r="E89" s="79"/>
      <c r="O89" s="79"/>
      <c r="S89" s="79"/>
      <c r="T89" s="79"/>
      <c r="Y89" s="79"/>
      <c r="AC89" s="130"/>
      <c r="AE89" s="106"/>
    </row>
    <row r="90">
      <c r="C90" s="79"/>
      <c r="D90" s="79"/>
      <c r="E90" s="79"/>
      <c r="O90" s="79"/>
      <c r="S90" s="79"/>
      <c r="T90" s="79"/>
      <c r="Y90" s="79"/>
      <c r="AC90" s="130"/>
      <c r="AE90" s="106"/>
    </row>
    <row r="91">
      <c r="C91" s="79"/>
      <c r="D91" s="79"/>
      <c r="E91" s="79"/>
      <c r="O91" s="79"/>
      <c r="S91" s="79"/>
      <c r="T91" s="79"/>
      <c r="Y91" s="79"/>
      <c r="AC91" s="130"/>
      <c r="AE91" s="106"/>
    </row>
    <row r="92">
      <c r="C92" s="79"/>
      <c r="D92" s="79"/>
      <c r="E92" s="79"/>
      <c r="O92" s="79"/>
      <c r="S92" s="79"/>
      <c r="T92" s="79"/>
      <c r="Y92" s="79"/>
      <c r="AC92" s="130"/>
      <c r="AE92" s="106"/>
    </row>
    <row r="93">
      <c r="C93" s="79"/>
      <c r="D93" s="79"/>
      <c r="E93" s="79"/>
      <c r="O93" s="79"/>
      <c r="S93" s="79"/>
      <c r="T93" s="79"/>
      <c r="Y93" s="79"/>
      <c r="AC93" s="130"/>
      <c r="AE93" s="106"/>
    </row>
    <row r="94">
      <c r="C94" s="79"/>
      <c r="D94" s="79"/>
      <c r="E94" s="79"/>
      <c r="O94" s="79"/>
      <c r="S94" s="79"/>
      <c r="T94" s="79"/>
      <c r="Y94" s="79"/>
      <c r="AC94" s="130"/>
      <c r="AE94" s="106"/>
    </row>
    <row r="95">
      <c r="C95" s="79"/>
      <c r="D95" s="79"/>
      <c r="E95" s="79"/>
      <c r="O95" s="79"/>
      <c r="S95" s="79"/>
      <c r="T95" s="79"/>
      <c r="Y95" s="79"/>
      <c r="AC95" s="130"/>
      <c r="AE95" s="106"/>
    </row>
    <row r="96">
      <c r="C96" s="79"/>
      <c r="D96" s="79"/>
      <c r="E96" s="79"/>
      <c r="O96" s="79"/>
      <c r="S96" s="79"/>
      <c r="T96" s="79"/>
      <c r="Y96" s="79"/>
      <c r="AC96" s="130"/>
      <c r="AE96" s="106"/>
    </row>
    <row r="97">
      <c r="C97" s="79"/>
      <c r="D97" s="79"/>
      <c r="E97" s="79"/>
      <c r="O97" s="79"/>
      <c r="S97" s="79"/>
      <c r="T97" s="79"/>
      <c r="Y97" s="79"/>
      <c r="AC97" s="130"/>
      <c r="AE97" s="106"/>
    </row>
    <row r="98">
      <c r="C98" s="79"/>
      <c r="D98" s="79"/>
      <c r="E98" s="79"/>
      <c r="O98" s="79"/>
      <c r="S98" s="79"/>
      <c r="T98" s="79"/>
      <c r="Y98" s="79"/>
      <c r="AC98" s="130"/>
      <c r="AE98" s="106"/>
    </row>
    <row r="99">
      <c r="C99" s="79"/>
      <c r="D99" s="79"/>
      <c r="E99" s="79"/>
      <c r="O99" s="79"/>
      <c r="S99" s="79"/>
      <c r="T99" s="79"/>
      <c r="Y99" s="79"/>
      <c r="AC99" s="130"/>
      <c r="AE99" s="106"/>
    </row>
    <row r="100">
      <c r="C100" s="79"/>
      <c r="D100" s="79"/>
      <c r="E100" s="79"/>
      <c r="O100" s="79"/>
      <c r="S100" s="79"/>
      <c r="T100" s="79"/>
      <c r="Y100" s="79"/>
      <c r="AC100" s="130"/>
      <c r="AE100" s="106"/>
    </row>
    <row r="101">
      <c r="C101" s="79"/>
      <c r="D101" s="79"/>
      <c r="E101" s="79"/>
      <c r="O101" s="79"/>
      <c r="S101" s="79"/>
      <c r="T101" s="79"/>
      <c r="Y101" s="79"/>
      <c r="AC101" s="130"/>
      <c r="AE101" s="106"/>
    </row>
    <row r="102">
      <c r="C102" s="79"/>
      <c r="D102" s="79"/>
      <c r="E102" s="79"/>
      <c r="O102" s="79"/>
      <c r="S102" s="79"/>
      <c r="T102" s="79"/>
      <c r="Y102" s="79"/>
      <c r="AC102" s="130"/>
      <c r="AE102" s="106"/>
    </row>
    <row r="103">
      <c r="C103" s="79"/>
      <c r="D103" s="79"/>
      <c r="E103" s="79"/>
      <c r="O103" s="79"/>
      <c r="S103" s="79"/>
      <c r="T103" s="79"/>
      <c r="Y103" s="79"/>
      <c r="AC103" s="130"/>
      <c r="AE103" s="106"/>
    </row>
    <row r="104">
      <c r="C104" s="79"/>
      <c r="D104" s="79"/>
      <c r="E104" s="79"/>
      <c r="O104" s="79"/>
      <c r="S104" s="79"/>
      <c r="T104" s="79"/>
      <c r="Y104" s="79"/>
      <c r="AC104" s="130"/>
      <c r="AE104" s="106"/>
    </row>
    <row r="105">
      <c r="C105" s="79"/>
      <c r="D105" s="79"/>
      <c r="E105" s="79"/>
      <c r="O105" s="79"/>
      <c r="S105" s="79"/>
      <c r="T105" s="79"/>
      <c r="Y105" s="79"/>
      <c r="AC105" s="130"/>
      <c r="AE105" s="106"/>
    </row>
    <row r="106">
      <c r="C106" s="79"/>
      <c r="D106" s="79"/>
      <c r="E106" s="79"/>
      <c r="O106" s="79"/>
      <c r="S106" s="79"/>
      <c r="T106" s="79"/>
      <c r="Y106" s="79"/>
      <c r="AC106" s="130"/>
      <c r="AE106" s="106"/>
    </row>
    <row r="107">
      <c r="C107" s="79"/>
      <c r="D107" s="79"/>
      <c r="E107" s="79"/>
      <c r="O107" s="79"/>
      <c r="S107" s="79"/>
      <c r="T107" s="79"/>
      <c r="Y107" s="79"/>
      <c r="AC107" s="130"/>
      <c r="AE107" s="106"/>
    </row>
    <row r="108">
      <c r="C108" s="79"/>
      <c r="D108" s="79"/>
      <c r="E108" s="79"/>
      <c r="O108" s="79"/>
      <c r="S108" s="79"/>
      <c r="T108" s="79"/>
      <c r="Y108" s="79"/>
      <c r="AC108" s="130"/>
      <c r="AE108" s="106"/>
    </row>
    <row r="109">
      <c r="C109" s="79"/>
      <c r="D109" s="79"/>
      <c r="E109" s="79"/>
      <c r="O109" s="79"/>
      <c r="S109" s="79"/>
      <c r="T109" s="79"/>
      <c r="Y109" s="79"/>
      <c r="AC109" s="130"/>
      <c r="AE109" s="106"/>
    </row>
    <row r="110">
      <c r="C110" s="79"/>
      <c r="D110" s="79"/>
      <c r="E110" s="79"/>
      <c r="O110" s="79"/>
      <c r="S110" s="79"/>
      <c r="T110" s="79"/>
      <c r="Y110" s="79"/>
      <c r="AC110" s="130"/>
      <c r="AE110" s="106"/>
    </row>
    <row r="111">
      <c r="C111" s="79"/>
      <c r="D111" s="79"/>
      <c r="E111" s="79"/>
      <c r="O111" s="79"/>
      <c r="S111" s="79"/>
      <c r="T111" s="79"/>
      <c r="Y111" s="79"/>
      <c r="AC111" s="130"/>
      <c r="AE111" s="106"/>
    </row>
    <row r="112">
      <c r="C112" s="79"/>
      <c r="D112" s="79"/>
      <c r="E112" s="79"/>
      <c r="O112" s="79"/>
      <c r="S112" s="79"/>
      <c r="T112" s="79"/>
      <c r="Y112" s="79"/>
      <c r="AC112" s="130"/>
      <c r="AE112" s="106"/>
    </row>
    <row r="113">
      <c r="C113" s="79"/>
      <c r="D113" s="79"/>
      <c r="E113" s="79"/>
      <c r="O113" s="79"/>
      <c r="S113" s="79"/>
      <c r="T113" s="79"/>
      <c r="Y113" s="79"/>
      <c r="AC113" s="130"/>
      <c r="AE113" s="106"/>
    </row>
    <row r="114">
      <c r="C114" s="79"/>
      <c r="D114" s="79"/>
      <c r="E114" s="79"/>
      <c r="O114" s="79"/>
      <c r="S114" s="79"/>
      <c r="T114" s="79"/>
      <c r="Y114" s="79"/>
      <c r="AC114" s="130"/>
      <c r="AE114" s="106"/>
    </row>
    <row r="115">
      <c r="C115" s="79"/>
      <c r="D115" s="79"/>
      <c r="E115" s="79"/>
      <c r="O115" s="79"/>
      <c r="S115" s="79"/>
      <c r="T115" s="79"/>
      <c r="Y115" s="79"/>
      <c r="AC115" s="130"/>
      <c r="AE115" s="106"/>
    </row>
    <row r="116">
      <c r="C116" s="79"/>
      <c r="D116" s="79"/>
      <c r="E116" s="79"/>
      <c r="O116" s="79"/>
      <c r="S116" s="79"/>
      <c r="T116" s="79"/>
      <c r="Y116" s="79"/>
      <c r="AC116" s="130"/>
      <c r="AE116" s="106"/>
    </row>
    <row r="117">
      <c r="C117" s="79"/>
      <c r="D117" s="79"/>
      <c r="E117" s="79"/>
      <c r="O117" s="79"/>
      <c r="S117" s="79"/>
      <c r="T117" s="79"/>
      <c r="Y117" s="79"/>
      <c r="AC117" s="130"/>
      <c r="AE117" s="106"/>
    </row>
    <row r="118">
      <c r="C118" s="79"/>
      <c r="D118" s="79"/>
      <c r="E118" s="79"/>
      <c r="O118" s="79"/>
      <c r="S118" s="79"/>
      <c r="T118" s="79"/>
      <c r="Y118" s="79"/>
      <c r="AC118" s="130"/>
      <c r="AE118" s="106"/>
    </row>
    <row r="119">
      <c r="C119" s="79"/>
      <c r="D119" s="79"/>
      <c r="E119" s="79"/>
      <c r="O119" s="79"/>
      <c r="S119" s="79"/>
      <c r="T119" s="79"/>
      <c r="Y119" s="79"/>
      <c r="AC119" s="130"/>
      <c r="AE119" s="106"/>
    </row>
    <row r="120">
      <c r="C120" s="79"/>
      <c r="D120" s="79"/>
      <c r="E120" s="79"/>
      <c r="O120" s="79"/>
      <c r="S120" s="79"/>
      <c r="T120" s="79"/>
      <c r="Y120" s="79"/>
      <c r="AC120" s="130"/>
      <c r="AE120" s="106"/>
    </row>
    <row r="121">
      <c r="C121" s="79"/>
      <c r="D121" s="79"/>
      <c r="E121" s="79"/>
      <c r="O121" s="79"/>
      <c r="S121" s="79"/>
      <c r="T121" s="79"/>
      <c r="Y121" s="79"/>
      <c r="AC121" s="130"/>
      <c r="AE121" s="106"/>
    </row>
    <row r="122">
      <c r="C122" s="79"/>
      <c r="D122" s="79"/>
      <c r="E122" s="79"/>
      <c r="O122" s="79"/>
      <c r="S122" s="79"/>
      <c r="T122" s="79"/>
      <c r="Y122" s="79"/>
      <c r="AC122" s="130"/>
      <c r="AE122" s="106"/>
    </row>
    <row r="123">
      <c r="C123" s="79"/>
      <c r="D123" s="79"/>
      <c r="E123" s="79"/>
      <c r="O123" s="79"/>
      <c r="S123" s="79"/>
      <c r="T123" s="79"/>
      <c r="Y123" s="79"/>
      <c r="AC123" s="130"/>
      <c r="AE123" s="106"/>
    </row>
    <row r="124">
      <c r="C124" s="79"/>
      <c r="D124" s="79"/>
      <c r="E124" s="79"/>
      <c r="O124" s="79"/>
      <c r="S124" s="79"/>
      <c r="T124" s="79"/>
      <c r="Y124" s="79"/>
      <c r="AC124" s="130"/>
      <c r="AE124" s="106"/>
    </row>
    <row r="125">
      <c r="C125" s="79"/>
      <c r="D125" s="79"/>
      <c r="E125" s="79"/>
      <c r="O125" s="79"/>
      <c r="S125" s="79"/>
      <c r="T125" s="79"/>
      <c r="Y125" s="79"/>
      <c r="AC125" s="130"/>
      <c r="AE125" s="106"/>
    </row>
    <row r="126">
      <c r="C126" s="79"/>
      <c r="D126" s="79"/>
      <c r="E126" s="79"/>
      <c r="O126" s="79"/>
      <c r="S126" s="79"/>
      <c r="T126" s="79"/>
      <c r="Y126" s="79"/>
      <c r="AC126" s="130"/>
      <c r="AE126" s="106"/>
    </row>
    <row r="127">
      <c r="C127" s="79"/>
      <c r="D127" s="79"/>
      <c r="E127" s="79"/>
      <c r="O127" s="79"/>
      <c r="S127" s="79"/>
      <c r="T127" s="79"/>
      <c r="Y127" s="79"/>
      <c r="AC127" s="130"/>
      <c r="AE127" s="106"/>
    </row>
    <row r="128">
      <c r="C128" s="79"/>
      <c r="D128" s="79"/>
      <c r="E128" s="79"/>
      <c r="O128" s="79"/>
      <c r="S128" s="79"/>
      <c r="T128" s="79"/>
      <c r="Y128" s="79"/>
      <c r="AC128" s="130"/>
      <c r="AE128" s="106"/>
    </row>
    <row r="129">
      <c r="C129" s="79"/>
      <c r="D129" s="79"/>
      <c r="E129" s="79"/>
      <c r="O129" s="79"/>
      <c r="S129" s="79"/>
      <c r="T129" s="79"/>
      <c r="Y129" s="79"/>
      <c r="AC129" s="130"/>
      <c r="AE129" s="106"/>
    </row>
    <row r="130">
      <c r="C130" s="79"/>
      <c r="D130" s="79"/>
      <c r="E130" s="79"/>
      <c r="O130" s="79"/>
      <c r="S130" s="79"/>
      <c r="T130" s="79"/>
      <c r="Y130" s="79"/>
      <c r="AC130" s="130"/>
      <c r="AE130" s="106"/>
    </row>
    <row r="131">
      <c r="C131" s="79"/>
      <c r="D131" s="79"/>
      <c r="E131" s="79"/>
      <c r="O131" s="79"/>
      <c r="S131" s="79"/>
      <c r="T131" s="79"/>
      <c r="Y131" s="79"/>
      <c r="AC131" s="130"/>
      <c r="AE131" s="106"/>
    </row>
    <row r="132">
      <c r="C132" s="79"/>
      <c r="D132" s="79"/>
      <c r="E132" s="79"/>
      <c r="O132" s="79"/>
      <c r="S132" s="79"/>
      <c r="T132" s="79"/>
      <c r="Y132" s="79"/>
      <c r="AC132" s="130"/>
      <c r="AE132" s="106"/>
    </row>
    <row r="133">
      <c r="C133" s="79"/>
      <c r="D133" s="79"/>
      <c r="E133" s="79"/>
      <c r="O133" s="79"/>
      <c r="S133" s="79"/>
      <c r="T133" s="79"/>
      <c r="Y133" s="79"/>
      <c r="AC133" s="130"/>
      <c r="AE133" s="106"/>
    </row>
    <row r="134">
      <c r="C134" s="79"/>
      <c r="D134" s="79"/>
      <c r="E134" s="79"/>
      <c r="O134" s="79"/>
      <c r="S134" s="79"/>
      <c r="T134" s="79"/>
      <c r="Y134" s="79"/>
      <c r="AC134" s="130"/>
      <c r="AE134" s="106"/>
    </row>
    <row r="135">
      <c r="C135" s="79"/>
      <c r="D135" s="79"/>
      <c r="E135" s="79"/>
      <c r="O135" s="79"/>
      <c r="S135" s="79"/>
      <c r="T135" s="79"/>
      <c r="Y135" s="79"/>
      <c r="AC135" s="130"/>
      <c r="AE135" s="106"/>
    </row>
    <row r="136">
      <c r="C136" s="79"/>
      <c r="D136" s="79"/>
      <c r="E136" s="79"/>
      <c r="O136" s="79"/>
      <c r="S136" s="79"/>
      <c r="T136" s="79"/>
      <c r="Y136" s="79"/>
      <c r="AC136" s="130"/>
      <c r="AE136" s="106"/>
    </row>
    <row r="137">
      <c r="C137" s="79"/>
      <c r="D137" s="79"/>
      <c r="E137" s="79"/>
      <c r="O137" s="79"/>
      <c r="S137" s="79"/>
      <c r="T137" s="79"/>
      <c r="Y137" s="79"/>
      <c r="AC137" s="130"/>
      <c r="AE137" s="106"/>
    </row>
    <row r="138">
      <c r="C138" s="79"/>
      <c r="D138" s="79"/>
      <c r="E138" s="79"/>
      <c r="O138" s="79"/>
      <c r="S138" s="79"/>
      <c r="T138" s="79"/>
      <c r="Y138" s="79"/>
      <c r="AC138" s="130"/>
      <c r="AE138" s="106"/>
    </row>
    <row r="139">
      <c r="C139" s="79"/>
      <c r="D139" s="79"/>
      <c r="E139" s="79"/>
      <c r="O139" s="79"/>
      <c r="S139" s="79"/>
      <c r="T139" s="79"/>
      <c r="Y139" s="79"/>
      <c r="AC139" s="130"/>
      <c r="AE139" s="106"/>
    </row>
    <row r="140">
      <c r="C140" s="79"/>
      <c r="D140" s="79"/>
      <c r="E140" s="79"/>
      <c r="O140" s="79"/>
      <c r="S140" s="79"/>
      <c r="T140" s="79"/>
      <c r="Y140" s="79"/>
      <c r="AC140" s="130"/>
      <c r="AE140" s="106"/>
    </row>
    <row r="141">
      <c r="C141" s="79"/>
      <c r="D141" s="79"/>
      <c r="E141" s="79"/>
      <c r="O141" s="79"/>
      <c r="S141" s="79"/>
      <c r="T141" s="79"/>
      <c r="Y141" s="79"/>
      <c r="AC141" s="130"/>
      <c r="AE141" s="106"/>
    </row>
    <row r="142">
      <c r="C142" s="79"/>
      <c r="D142" s="79"/>
      <c r="E142" s="79"/>
      <c r="O142" s="79"/>
      <c r="S142" s="79"/>
      <c r="T142" s="79"/>
      <c r="Y142" s="79"/>
      <c r="AC142" s="130"/>
      <c r="AE142" s="106"/>
    </row>
    <row r="143">
      <c r="C143" s="79"/>
      <c r="D143" s="79"/>
      <c r="E143" s="79"/>
      <c r="O143" s="79"/>
      <c r="S143" s="79"/>
      <c r="T143" s="79"/>
      <c r="Y143" s="79"/>
      <c r="AC143" s="130"/>
      <c r="AE143" s="106"/>
    </row>
    <row r="144">
      <c r="C144" s="79"/>
      <c r="D144" s="79"/>
      <c r="E144" s="79"/>
      <c r="O144" s="79"/>
      <c r="S144" s="79"/>
      <c r="T144" s="79"/>
      <c r="Y144" s="79"/>
      <c r="AC144" s="130"/>
      <c r="AE144" s="106"/>
    </row>
    <row r="145">
      <c r="C145" s="79"/>
      <c r="D145" s="79"/>
      <c r="E145" s="79"/>
      <c r="O145" s="79"/>
      <c r="S145" s="79"/>
      <c r="T145" s="79"/>
      <c r="Y145" s="79"/>
      <c r="AC145" s="130"/>
      <c r="AE145" s="106"/>
    </row>
    <row r="146">
      <c r="C146" s="79"/>
      <c r="D146" s="79"/>
      <c r="E146" s="79"/>
      <c r="O146" s="79"/>
      <c r="S146" s="79"/>
      <c r="T146" s="79"/>
      <c r="Y146" s="79"/>
      <c r="AC146" s="130"/>
      <c r="AE146" s="106"/>
    </row>
    <row r="147">
      <c r="C147" s="79"/>
      <c r="D147" s="79"/>
      <c r="E147" s="79"/>
      <c r="O147" s="79"/>
      <c r="S147" s="79"/>
      <c r="T147" s="79"/>
      <c r="Y147" s="79"/>
      <c r="AC147" s="130"/>
      <c r="AE147" s="106"/>
    </row>
    <row r="148">
      <c r="C148" s="79"/>
      <c r="D148" s="79"/>
      <c r="E148" s="79"/>
      <c r="O148" s="79"/>
      <c r="S148" s="79"/>
      <c r="T148" s="79"/>
      <c r="Y148" s="79"/>
      <c r="AC148" s="130"/>
      <c r="AE148" s="106"/>
    </row>
    <row r="149">
      <c r="C149" s="79"/>
      <c r="D149" s="79"/>
      <c r="E149" s="79"/>
      <c r="O149" s="79"/>
      <c r="S149" s="79"/>
      <c r="T149" s="79"/>
      <c r="Y149" s="79"/>
      <c r="AC149" s="130"/>
      <c r="AE149" s="106"/>
    </row>
    <row r="150">
      <c r="C150" s="79"/>
      <c r="D150" s="79"/>
      <c r="E150" s="79"/>
      <c r="O150" s="79"/>
      <c r="S150" s="79"/>
      <c r="T150" s="79"/>
      <c r="Y150" s="79"/>
      <c r="AC150" s="130"/>
      <c r="AE150" s="106"/>
    </row>
    <row r="151">
      <c r="C151" s="79"/>
      <c r="D151" s="79"/>
      <c r="E151" s="79"/>
      <c r="O151" s="79"/>
      <c r="S151" s="79"/>
      <c r="T151" s="79"/>
      <c r="Y151" s="79"/>
      <c r="AC151" s="130"/>
      <c r="AE151" s="106"/>
    </row>
    <row r="152">
      <c r="C152" s="79"/>
      <c r="D152" s="79"/>
      <c r="E152" s="79"/>
      <c r="O152" s="79"/>
      <c r="S152" s="79"/>
      <c r="T152" s="79"/>
      <c r="Y152" s="79"/>
      <c r="AC152" s="130"/>
      <c r="AE152" s="106"/>
    </row>
    <row r="153">
      <c r="C153" s="79"/>
      <c r="D153" s="79"/>
      <c r="E153" s="79"/>
      <c r="O153" s="79"/>
      <c r="S153" s="79"/>
      <c r="T153" s="79"/>
      <c r="Y153" s="79"/>
      <c r="AC153" s="130"/>
      <c r="AE153" s="106"/>
    </row>
    <row r="154">
      <c r="C154" s="79"/>
      <c r="D154" s="79"/>
      <c r="E154" s="79"/>
      <c r="O154" s="79"/>
      <c r="S154" s="79"/>
      <c r="T154" s="79"/>
      <c r="Y154" s="79"/>
      <c r="AC154" s="130"/>
      <c r="AE154" s="106"/>
    </row>
    <row r="155">
      <c r="C155" s="79"/>
      <c r="D155" s="79"/>
      <c r="E155" s="79"/>
      <c r="O155" s="79"/>
      <c r="S155" s="79"/>
      <c r="T155" s="79"/>
      <c r="Y155" s="79"/>
      <c r="AC155" s="130"/>
      <c r="AE155" s="106"/>
    </row>
    <row r="156">
      <c r="C156" s="79"/>
      <c r="D156" s="79"/>
      <c r="E156" s="79"/>
      <c r="O156" s="79"/>
      <c r="S156" s="79"/>
      <c r="T156" s="79"/>
      <c r="Y156" s="79"/>
      <c r="AC156" s="130"/>
      <c r="AE156" s="106"/>
    </row>
    <row r="157">
      <c r="C157" s="79"/>
      <c r="D157" s="79"/>
      <c r="E157" s="79"/>
      <c r="O157" s="79"/>
      <c r="S157" s="79"/>
      <c r="T157" s="79"/>
      <c r="Y157" s="79"/>
      <c r="AC157" s="130"/>
      <c r="AE157" s="106"/>
    </row>
    <row r="158">
      <c r="C158" s="79"/>
      <c r="D158" s="79"/>
      <c r="E158" s="79"/>
      <c r="O158" s="79"/>
      <c r="S158" s="79"/>
      <c r="T158" s="79"/>
      <c r="Y158" s="79"/>
      <c r="AC158" s="130"/>
      <c r="AE158" s="106"/>
    </row>
    <row r="159">
      <c r="C159" s="79"/>
      <c r="D159" s="79"/>
      <c r="E159" s="79"/>
      <c r="O159" s="79"/>
      <c r="S159" s="79"/>
      <c r="T159" s="79"/>
      <c r="Y159" s="79"/>
      <c r="AC159" s="130"/>
      <c r="AE159" s="106"/>
    </row>
    <row r="160">
      <c r="C160" s="79"/>
      <c r="D160" s="79"/>
      <c r="E160" s="79"/>
      <c r="O160" s="79"/>
      <c r="S160" s="79"/>
      <c r="T160" s="79"/>
      <c r="Y160" s="79"/>
      <c r="AC160" s="130"/>
      <c r="AE160" s="106"/>
    </row>
    <row r="161">
      <c r="C161" s="79"/>
      <c r="D161" s="79"/>
      <c r="E161" s="79"/>
      <c r="O161" s="79"/>
      <c r="S161" s="79"/>
      <c r="T161" s="79"/>
      <c r="Y161" s="79"/>
      <c r="AC161" s="130"/>
      <c r="AE161" s="106"/>
    </row>
    <row r="162">
      <c r="C162" s="79"/>
      <c r="D162" s="79"/>
      <c r="E162" s="79"/>
      <c r="O162" s="79"/>
      <c r="S162" s="79"/>
      <c r="T162" s="79"/>
      <c r="Y162" s="79"/>
      <c r="AC162" s="130"/>
      <c r="AE162" s="106"/>
    </row>
    <row r="163">
      <c r="C163" s="79"/>
      <c r="D163" s="79"/>
      <c r="E163" s="79"/>
      <c r="O163" s="79"/>
      <c r="S163" s="79"/>
      <c r="T163" s="79"/>
      <c r="Y163" s="79"/>
      <c r="AC163" s="130"/>
      <c r="AE163" s="106"/>
    </row>
    <row r="164">
      <c r="C164" s="79"/>
      <c r="D164" s="79"/>
      <c r="E164" s="79"/>
      <c r="O164" s="79"/>
      <c r="S164" s="79"/>
      <c r="T164" s="79"/>
      <c r="Y164" s="79"/>
      <c r="AC164" s="130"/>
      <c r="AE164" s="106"/>
    </row>
    <row r="165">
      <c r="C165" s="79"/>
      <c r="D165" s="79"/>
      <c r="E165" s="79"/>
      <c r="O165" s="79"/>
      <c r="S165" s="79"/>
      <c r="T165" s="79"/>
      <c r="Y165" s="79"/>
      <c r="AC165" s="130"/>
      <c r="AE165" s="106"/>
    </row>
    <row r="166">
      <c r="C166" s="79"/>
      <c r="D166" s="79"/>
      <c r="E166" s="79"/>
      <c r="O166" s="79"/>
      <c r="S166" s="79"/>
      <c r="T166" s="79"/>
      <c r="Y166" s="79"/>
      <c r="AC166" s="130"/>
      <c r="AE166" s="106"/>
    </row>
    <row r="167">
      <c r="C167" s="79"/>
      <c r="D167" s="79"/>
      <c r="E167" s="79"/>
      <c r="O167" s="79"/>
      <c r="S167" s="79"/>
      <c r="T167" s="79"/>
      <c r="Y167" s="79"/>
      <c r="AC167" s="130"/>
      <c r="AE167" s="106"/>
    </row>
    <row r="168">
      <c r="C168" s="79"/>
      <c r="D168" s="79"/>
      <c r="E168" s="79"/>
      <c r="O168" s="79"/>
      <c r="S168" s="79"/>
      <c r="T168" s="79"/>
      <c r="Y168" s="79"/>
      <c r="AC168" s="130"/>
      <c r="AE168" s="106"/>
    </row>
    <row r="169">
      <c r="C169" s="79"/>
      <c r="D169" s="79"/>
      <c r="E169" s="79"/>
      <c r="O169" s="79"/>
      <c r="S169" s="79"/>
      <c r="T169" s="79"/>
      <c r="Y169" s="79"/>
      <c r="AC169" s="130"/>
      <c r="AE169" s="106"/>
    </row>
    <row r="170">
      <c r="C170" s="79"/>
      <c r="D170" s="79"/>
      <c r="E170" s="79"/>
      <c r="O170" s="79"/>
      <c r="S170" s="79"/>
      <c r="T170" s="79"/>
      <c r="Y170" s="79"/>
      <c r="AC170" s="130"/>
      <c r="AE170" s="106"/>
    </row>
    <row r="171">
      <c r="C171" s="79"/>
      <c r="D171" s="79"/>
      <c r="E171" s="79"/>
      <c r="O171" s="79"/>
      <c r="S171" s="79"/>
      <c r="T171" s="79"/>
      <c r="Y171" s="79"/>
      <c r="AC171" s="130"/>
      <c r="AE171" s="106"/>
    </row>
    <row r="172">
      <c r="C172" s="79"/>
      <c r="D172" s="79"/>
      <c r="E172" s="79"/>
      <c r="O172" s="79"/>
      <c r="S172" s="79"/>
      <c r="T172" s="79"/>
      <c r="Y172" s="79"/>
      <c r="AC172" s="130"/>
      <c r="AE172" s="106"/>
    </row>
    <row r="173">
      <c r="C173" s="79"/>
      <c r="D173" s="79"/>
      <c r="E173" s="79"/>
      <c r="O173" s="79"/>
      <c r="S173" s="79"/>
      <c r="T173" s="79"/>
      <c r="Y173" s="79"/>
      <c r="AC173" s="130"/>
      <c r="AE173" s="106"/>
    </row>
    <row r="174">
      <c r="C174" s="79"/>
      <c r="D174" s="79"/>
      <c r="E174" s="79"/>
      <c r="O174" s="79"/>
      <c r="S174" s="79"/>
      <c r="T174" s="79"/>
      <c r="Y174" s="79"/>
      <c r="AC174" s="130"/>
      <c r="AE174" s="106"/>
    </row>
    <row r="175">
      <c r="C175" s="79"/>
      <c r="D175" s="79"/>
      <c r="E175" s="79"/>
      <c r="O175" s="79"/>
      <c r="S175" s="79"/>
      <c r="T175" s="79"/>
      <c r="Y175" s="79"/>
      <c r="AC175" s="130"/>
      <c r="AE175" s="106"/>
    </row>
    <row r="176">
      <c r="C176" s="79"/>
      <c r="D176" s="79"/>
      <c r="E176" s="79"/>
      <c r="O176" s="79"/>
      <c r="S176" s="79"/>
      <c r="T176" s="79"/>
      <c r="Y176" s="79"/>
      <c r="AC176" s="130"/>
      <c r="AE176" s="106"/>
    </row>
    <row r="177">
      <c r="C177" s="79"/>
      <c r="D177" s="79"/>
      <c r="E177" s="79"/>
      <c r="O177" s="79"/>
      <c r="S177" s="79"/>
      <c r="T177" s="79"/>
      <c r="Y177" s="79"/>
      <c r="AC177" s="130"/>
      <c r="AE177" s="106"/>
    </row>
    <row r="178">
      <c r="C178" s="79"/>
      <c r="D178" s="79"/>
      <c r="E178" s="79"/>
      <c r="O178" s="79"/>
      <c r="S178" s="79"/>
      <c r="T178" s="79"/>
      <c r="Y178" s="79"/>
      <c r="AC178" s="130"/>
      <c r="AE178" s="106"/>
    </row>
    <row r="179">
      <c r="C179" s="79"/>
      <c r="D179" s="79"/>
      <c r="E179" s="79"/>
      <c r="O179" s="79"/>
      <c r="S179" s="79"/>
      <c r="T179" s="79"/>
      <c r="Y179" s="79"/>
      <c r="AC179" s="130"/>
      <c r="AE179" s="106"/>
    </row>
    <row r="180">
      <c r="C180" s="79"/>
      <c r="D180" s="79"/>
      <c r="E180" s="79"/>
      <c r="O180" s="79"/>
      <c r="S180" s="79"/>
      <c r="T180" s="79"/>
      <c r="Y180" s="79"/>
      <c r="AC180" s="130"/>
      <c r="AE180" s="106"/>
    </row>
    <row r="181">
      <c r="C181" s="79"/>
      <c r="D181" s="79"/>
      <c r="E181" s="79"/>
      <c r="O181" s="79"/>
      <c r="S181" s="79"/>
      <c r="T181" s="79"/>
      <c r="Y181" s="79"/>
      <c r="AC181" s="130"/>
      <c r="AE181" s="106"/>
    </row>
    <row r="182">
      <c r="C182" s="79"/>
      <c r="D182" s="79"/>
      <c r="E182" s="79"/>
      <c r="O182" s="79"/>
      <c r="S182" s="79"/>
      <c r="T182" s="79"/>
      <c r="Y182" s="79"/>
      <c r="AC182" s="130"/>
      <c r="AE182" s="106"/>
    </row>
    <row r="183">
      <c r="C183" s="79"/>
      <c r="D183" s="79"/>
      <c r="E183" s="79"/>
      <c r="O183" s="79"/>
      <c r="S183" s="79"/>
      <c r="T183" s="79"/>
      <c r="Y183" s="79"/>
      <c r="AC183" s="130"/>
      <c r="AE183" s="106"/>
    </row>
    <row r="184">
      <c r="C184" s="79"/>
      <c r="D184" s="79"/>
      <c r="E184" s="79"/>
      <c r="O184" s="79"/>
      <c r="S184" s="79"/>
      <c r="T184" s="79"/>
      <c r="Y184" s="79"/>
      <c r="AC184" s="130"/>
      <c r="AE184" s="106"/>
    </row>
    <row r="185">
      <c r="C185" s="79"/>
      <c r="D185" s="79"/>
      <c r="E185" s="79"/>
      <c r="O185" s="79"/>
      <c r="S185" s="79"/>
      <c r="T185" s="79"/>
      <c r="Y185" s="79"/>
      <c r="AC185" s="130"/>
      <c r="AE185" s="106"/>
    </row>
    <row r="186">
      <c r="C186" s="79"/>
      <c r="D186" s="79"/>
      <c r="E186" s="79"/>
      <c r="O186" s="79"/>
      <c r="S186" s="79"/>
      <c r="T186" s="79"/>
      <c r="Y186" s="79"/>
      <c r="AC186" s="130"/>
      <c r="AE186" s="106"/>
    </row>
    <row r="187">
      <c r="C187" s="79"/>
      <c r="D187" s="79"/>
      <c r="E187" s="79"/>
      <c r="O187" s="79"/>
      <c r="S187" s="79"/>
      <c r="T187" s="79"/>
      <c r="Y187" s="79"/>
      <c r="AC187" s="130"/>
      <c r="AE187" s="106"/>
    </row>
    <row r="188">
      <c r="C188" s="79"/>
      <c r="D188" s="79"/>
      <c r="E188" s="79"/>
      <c r="O188" s="79"/>
      <c r="S188" s="79"/>
      <c r="T188" s="79"/>
      <c r="Y188" s="79"/>
      <c r="AC188" s="130"/>
      <c r="AE188" s="106"/>
    </row>
    <row r="189">
      <c r="C189" s="79"/>
      <c r="D189" s="79"/>
      <c r="E189" s="79"/>
      <c r="O189" s="79"/>
      <c r="S189" s="79"/>
      <c r="T189" s="79"/>
      <c r="Y189" s="79"/>
      <c r="AC189" s="130"/>
      <c r="AE189" s="106"/>
    </row>
    <row r="190">
      <c r="C190" s="79"/>
      <c r="D190" s="79"/>
      <c r="E190" s="79"/>
      <c r="O190" s="79"/>
      <c r="S190" s="79"/>
      <c r="T190" s="79"/>
      <c r="Y190" s="79"/>
      <c r="AC190" s="130"/>
      <c r="AE190" s="106"/>
    </row>
    <row r="191">
      <c r="C191" s="79"/>
      <c r="D191" s="79"/>
      <c r="E191" s="79"/>
      <c r="O191" s="79"/>
      <c r="S191" s="79"/>
      <c r="T191" s="79"/>
      <c r="Y191" s="79"/>
      <c r="AC191" s="130"/>
      <c r="AE191" s="106"/>
    </row>
    <row r="192">
      <c r="C192" s="79"/>
      <c r="D192" s="79"/>
      <c r="E192" s="79"/>
      <c r="O192" s="79"/>
      <c r="S192" s="79"/>
      <c r="T192" s="79"/>
      <c r="Y192" s="79"/>
      <c r="AC192" s="130"/>
      <c r="AE192" s="106"/>
    </row>
    <row r="193">
      <c r="C193" s="79"/>
      <c r="D193" s="79"/>
      <c r="E193" s="79"/>
      <c r="O193" s="79"/>
      <c r="S193" s="79"/>
      <c r="T193" s="79"/>
      <c r="Y193" s="79"/>
      <c r="AC193" s="130"/>
      <c r="AE193" s="106"/>
    </row>
    <row r="194">
      <c r="C194" s="79"/>
      <c r="D194" s="79"/>
      <c r="E194" s="79"/>
      <c r="O194" s="79"/>
      <c r="S194" s="79"/>
      <c r="T194" s="79"/>
      <c r="Y194" s="79"/>
      <c r="AC194" s="130"/>
      <c r="AE194" s="106"/>
    </row>
    <row r="195">
      <c r="C195" s="79"/>
      <c r="D195" s="79"/>
      <c r="E195" s="79"/>
      <c r="O195" s="79"/>
      <c r="S195" s="79"/>
      <c r="T195" s="79"/>
      <c r="Y195" s="79"/>
      <c r="AC195" s="130"/>
      <c r="AE195" s="106"/>
    </row>
    <row r="196">
      <c r="C196" s="79"/>
      <c r="D196" s="79"/>
      <c r="E196" s="79"/>
      <c r="O196" s="79"/>
      <c r="S196" s="79"/>
      <c r="T196" s="79"/>
      <c r="Y196" s="79"/>
      <c r="AC196" s="130"/>
      <c r="AE196" s="106"/>
    </row>
    <row r="197">
      <c r="C197" s="79"/>
      <c r="D197" s="79"/>
      <c r="E197" s="79"/>
      <c r="O197" s="79"/>
      <c r="S197" s="79"/>
      <c r="T197" s="79"/>
      <c r="Y197" s="79"/>
      <c r="AC197" s="130"/>
      <c r="AE197" s="106"/>
    </row>
    <row r="198">
      <c r="C198" s="79"/>
      <c r="D198" s="79"/>
      <c r="E198" s="79"/>
      <c r="O198" s="79"/>
      <c r="S198" s="79"/>
      <c r="T198" s="79"/>
      <c r="Y198" s="79"/>
      <c r="AC198" s="130"/>
      <c r="AE198" s="106"/>
    </row>
    <row r="199">
      <c r="C199" s="79"/>
      <c r="D199" s="79"/>
      <c r="E199" s="79"/>
      <c r="O199" s="79"/>
      <c r="S199" s="79"/>
      <c r="T199" s="79"/>
      <c r="Y199" s="79"/>
      <c r="AC199" s="130"/>
      <c r="AE199" s="106"/>
    </row>
    <row r="200">
      <c r="C200" s="79"/>
      <c r="D200" s="79"/>
      <c r="E200" s="79"/>
      <c r="O200" s="79"/>
      <c r="S200" s="79"/>
      <c r="T200" s="79"/>
      <c r="Y200" s="79"/>
      <c r="AC200" s="130"/>
      <c r="AE200" s="106"/>
    </row>
    <row r="201">
      <c r="C201" s="79"/>
      <c r="D201" s="79"/>
      <c r="E201" s="79"/>
      <c r="O201" s="79"/>
      <c r="S201" s="79"/>
      <c r="T201" s="79"/>
      <c r="Y201" s="79"/>
      <c r="AC201" s="130"/>
      <c r="AE201" s="106"/>
    </row>
    <row r="202">
      <c r="C202" s="79"/>
      <c r="D202" s="79"/>
      <c r="E202" s="79"/>
      <c r="O202" s="79"/>
      <c r="S202" s="79"/>
      <c r="T202" s="79"/>
      <c r="Y202" s="79"/>
      <c r="AC202" s="130"/>
      <c r="AE202" s="106"/>
    </row>
    <row r="203">
      <c r="C203" s="79"/>
      <c r="D203" s="79"/>
      <c r="E203" s="79"/>
      <c r="O203" s="79"/>
      <c r="S203" s="79"/>
      <c r="T203" s="79"/>
      <c r="Y203" s="79"/>
      <c r="AC203" s="130"/>
      <c r="AE203" s="106"/>
    </row>
    <row r="204">
      <c r="C204" s="79"/>
      <c r="D204" s="79"/>
      <c r="E204" s="79"/>
      <c r="O204" s="79"/>
      <c r="S204" s="79"/>
      <c r="T204" s="79"/>
      <c r="Y204" s="79"/>
      <c r="AC204" s="130"/>
      <c r="AE204" s="106"/>
    </row>
    <row r="205">
      <c r="C205" s="79"/>
      <c r="D205" s="79"/>
      <c r="E205" s="79"/>
      <c r="O205" s="79"/>
      <c r="S205" s="79"/>
      <c r="T205" s="79"/>
      <c r="Y205" s="79"/>
      <c r="AC205" s="130"/>
      <c r="AE205" s="106"/>
    </row>
    <row r="206">
      <c r="C206" s="79"/>
      <c r="D206" s="79"/>
      <c r="E206" s="79"/>
      <c r="O206" s="79"/>
      <c r="S206" s="79"/>
      <c r="T206" s="79"/>
      <c r="Y206" s="79"/>
      <c r="AC206" s="130"/>
      <c r="AE206" s="106"/>
    </row>
    <row r="207">
      <c r="C207" s="79"/>
      <c r="D207" s="79"/>
      <c r="E207" s="79"/>
      <c r="O207" s="79"/>
      <c r="S207" s="79"/>
      <c r="T207" s="79"/>
      <c r="Y207" s="79"/>
      <c r="AC207" s="130"/>
      <c r="AE207" s="106"/>
    </row>
    <row r="208">
      <c r="C208" s="79"/>
      <c r="D208" s="79"/>
      <c r="E208" s="79"/>
      <c r="O208" s="79"/>
      <c r="S208" s="79"/>
      <c r="T208" s="79"/>
      <c r="Y208" s="79"/>
      <c r="AC208" s="130"/>
      <c r="AE208" s="106"/>
    </row>
    <row r="209">
      <c r="C209" s="79"/>
      <c r="D209" s="79"/>
      <c r="E209" s="79"/>
      <c r="O209" s="79"/>
      <c r="S209" s="79"/>
      <c r="T209" s="79"/>
      <c r="Y209" s="79"/>
      <c r="AC209" s="130"/>
      <c r="AE209" s="106"/>
    </row>
    <row r="210">
      <c r="C210" s="79"/>
      <c r="D210" s="79"/>
      <c r="E210" s="79"/>
      <c r="O210" s="79"/>
      <c r="S210" s="79"/>
      <c r="T210" s="79"/>
      <c r="Y210" s="79"/>
      <c r="AC210" s="130"/>
      <c r="AE210" s="106"/>
    </row>
    <row r="211">
      <c r="C211" s="79"/>
      <c r="D211" s="79"/>
      <c r="E211" s="79"/>
      <c r="O211" s="79"/>
      <c r="S211" s="79"/>
      <c r="T211" s="79"/>
      <c r="Y211" s="79"/>
      <c r="AC211" s="130"/>
      <c r="AE211" s="106"/>
    </row>
    <row r="212">
      <c r="C212" s="79"/>
      <c r="D212" s="79"/>
      <c r="E212" s="79"/>
      <c r="O212" s="79"/>
      <c r="S212" s="79"/>
      <c r="T212" s="79"/>
      <c r="Y212" s="79"/>
      <c r="AC212" s="130"/>
      <c r="AE212" s="106"/>
    </row>
    <row r="213">
      <c r="C213" s="79"/>
      <c r="D213" s="79"/>
      <c r="E213" s="79"/>
      <c r="O213" s="79"/>
      <c r="S213" s="79"/>
      <c r="T213" s="79"/>
      <c r="Y213" s="79"/>
      <c r="AC213" s="130"/>
      <c r="AE213" s="106"/>
    </row>
    <row r="214">
      <c r="C214" s="79"/>
      <c r="D214" s="79"/>
      <c r="E214" s="79"/>
      <c r="O214" s="79"/>
      <c r="S214" s="79"/>
      <c r="T214" s="79"/>
      <c r="Y214" s="79"/>
      <c r="AC214" s="130"/>
      <c r="AE214" s="106"/>
    </row>
    <row r="215">
      <c r="C215" s="79"/>
      <c r="D215" s="79"/>
      <c r="E215" s="79"/>
      <c r="O215" s="79"/>
      <c r="S215" s="79"/>
      <c r="T215" s="79"/>
      <c r="Y215" s="79"/>
      <c r="AC215" s="130"/>
      <c r="AE215" s="106"/>
    </row>
    <row r="216">
      <c r="C216" s="79"/>
      <c r="D216" s="79"/>
      <c r="E216" s="79"/>
      <c r="O216" s="79"/>
      <c r="S216" s="79"/>
      <c r="T216" s="79"/>
      <c r="Y216" s="79"/>
      <c r="AC216" s="130"/>
      <c r="AE216" s="106"/>
    </row>
    <row r="217">
      <c r="C217" s="79"/>
      <c r="D217" s="79"/>
      <c r="E217" s="79"/>
      <c r="O217" s="79"/>
      <c r="S217" s="79"/>
      <c r="T217" s="79"/>
      <c r="Y217" s="79"/>
      <c r="AC217" s="130"/>
      <c r="AE217" s="106"/>
    </row>
    <row r="218">
      <c r="C218" s="79"/>
      <c r="D218" s="79"/>
      <c r="E218" s="79"/>
      <c r="O218" s="79"/>
      <c r="S218" s="79"/>
      <c r="T218" s="79"/>
      <c r="Y218" s="79"/>
      <c r="AC218" s="130"/>
      <c r="AE218" s="106"/>
    </row>
    <row r="219">
      <c r="C219" s="79"/>
      <c r="D219" s="79"/>
      <c r="E219" s="79"/>
      <c r="O219" s="79"/>
      <c r="S219" s="79"/>
      <c r="T219" s="79"/>
      <c r="Y219" s="79"/>
      <c r="AC219" s="130"/>
      <c r="AE219" s="106"/>
    </row>
    <row r="220">
      <c r="C220" s="79"/>
      <c r="D220" s="79"/>
      <c r="E220" s="79"/>
      <c r="O220" s="79"/>
      <c r="S220" s="79"/>
      <c r="T220" s="79"/>
      <c r="Y220" s="79"/>
      <c r="AC220" s="130"/>
      <c r="AE220" s="106"/>
    </row>
    <row r="221">
      <c r="C221" s="79"/>
      <c r="D221" s="79"/>
      <c r="E221" s="79"/>
      <c r="O221" s="79"/>
      <c r="S221" s="79"/>
      <c r="T221" s="79"/>
      <c r="Y221" s="79"/>
      <c r="AC221" s="130"/>
      <c r="AE221" s="106"/>
    </row>
    <row r="222">
      <c r="C222" s="79"/>
      <c r="D222" s="79"/>
      <c r="E222" s="79"/>
      <c r="O222" s="79"/>
      <c r="S222" s="79"/>
      <c r="T222" s="79"/>
      <c r="Y222" s="79"/>
      <c r="AC222" s="130"/>
      <c r="AE222" s="106"/>
    </row>
    <row r="223">
      <c r="C223" s="79"/>
      <c r="D223" s="79"/>
      <c r="E223" s="79"/>
      <c r="O223" s="79"/>
      <c r="S223" s="79"/>
      <c r="T223" s="79"/>
      <c r="Y223" s="79"/>
      <c r="AC223" s="130"/>
      <c r="AE223" s="106"/>
    </row>
    <row r="224">
      <c r="C224" s="79"/>
      <c r="D224" s="79"/>
      <c r="E224" s="79"/>
      <c r="O224" s="79"/>
      <c r="S224" s="79"/>
      <c r="T224" s="79"/>
      <c r="Y224" s="79"/>
      <c r="AC224" s="130"/>
      <c r="AE224" s="106"/>
    </row>
    <row r="225">
      <c r="C225" s="79"/>
      <c r="D225" s="79"/>
      <c r="E225" s="79"/>
      <c r="O225" s="79"/>
      <c r="S225" s="79"/>
      <c r="T225" s="79"/>
      <c r="Y225" s="79"/>
      <c r="AC225" s="130"/>
      <c r="AE225" s="106"/>
    </row>
    <row r="226">
      <c r="C226" s="79"/>
      <c r="D226" s="79"/>
      <c r="E226" s="79"/>
      <c r="O226" s="79"/>
      <c r="S226" s="79"/>
      <c r="T226" s="79"/>
      <c r="Y226" s="79"/>
      <c r="AC226" s="130"/>
      <c r="AE226" s="106"/>
    </row>
    <row r="227">
      <c r="C227" s="79"/>
      <c r="D227" s="79"/>
      <c r="E227" s="79"/>
      <c r="O227" s="79"/>
      <c r="S227" s="79"/>
      <c r="T227" s="79"/>
      <c r="Y227" s="79"/>
      <c r="AC227" s="130"/>
      <c r="AE227" s="106"/>
    </row>
    <row r="228">
      <c r="C228" s="79"/>
      <c r="D228" s="79"/>
      <c r="E228" s="79"/>
      <c r="O228" s="79"/>
      <c r="S228" s="79"/>
      <c r="T228" s="79"/>
      <c r="Y228" s="79"/>
      <c r="AC228" s="130"/>
      <c r="AE228" s="106"/>
    </row>
    <row r="229">
      <c r="C229" s="79"/>
      <c r="D229" s="79"/>
      <c r="E229" s="79"/>
      <c r="O229" s="79"/>
      <c r="S229" s="79"/>
      <c r="T229" s="79"/>
      <c r="Y229" s="79"/>
      <c r="AC229" s="130"/>
      <c r="AE229" s="106"/>
    </row>
    <row r="230">
      <c r="C230" s="79"/>
      <c r="D230" s="79"/>
      <c r="E230" s="79"/>
      <c r="O230" s="79"/>
      <c r="S230" s="79"/>
      <c r="T230" s="79"/>
      <c r="Y230" s="79"/>
      <c r="AC230" s="130"/>
      <c r="AE230" s="106"/>
    </row>
    <row r="231">
      <c r="C231" s="79"/>
      <c r="D231" s="79"/>
      <c r="E231" s="79"/>
      <c r="O231" s="79"/>
      <c r="S231" s="79"/>
      <c r="T231" s="79"/>
      <c r="Y231" s="79"/>
      <c r="AC231" s="130"/>
      <c r="AE231" s="106"/>
    </row>
    <row r="232">
      <c r="C232" s="79"/>
      <c r="D232" s="79"/>
      <c r="E232" s="79"/>
      <c r="O232" s="79"/>
      <c r="S232" s="79"/>
      <c r="T232" s="79"/>
      <c r="Y232" s="79"/>
      <c r="AC232" s="130"/>
      <c r="AE232" s="106"/>
    </row>
    <row r="233">
      <c r="C233" s="79"/>
      <c r="D233" s="79"/>
      <c r="E233" s="79"/>
      <c r="O233" s="79"/>
      <c r="S233" s="79"/>
      <c r="T233" s="79"/>
      <c r="Y233" s="79"/>
      <c r="AC233" s="130"/>
      <c r="AE233" s="106"/>
    </row>
    <row r="234">
      <c r="C234" s="79"/>
      <c r="D234" s="79"/>
      <c r="E234" s="79"/>
      <c r="O234" s="79"/>
      <c r="S234" s="79"/>
      <c r="T234" s="79"/>
      <c r="Y234" s="79"/>
      <c r="AC234" s="130"/>
      <c r="AE234" s="106"/>
    </row>
    <row r="235">
      <c r="C235" s="79"/>
      <c r="D235" s="79"/>
      <c r="E235" s="79"/>
      <c r="O235" s="79"/>
      <c r="S235" s="79"/>
      <c r="T235" s="79"/>
      <c r="Y235" s="79"/>
      <c r="AC235" s="130"/>
      <c r="AE235" s="106"/>
    </row>
    <row r="236">
      <c r="C236" s="79"/>
      <c r="D236" s="79"/>
      <c r="E236" s="79"/>
      <c r="O236" s="79"/>
      <c r="S236" s="79"/>
      <c r="T236" s="79"/>
      <c r="Y236" s="79"/>
      <c r="AC236" s="130"/>
      <c r="AE236" s="106"/>
    </row>
    <row r="237">
      <c r="C237" s="79"/>
      <c r="D237" s="79"/>
      <c r="E237" s="79"/>
      <c r="O237" s="79"/>
      <c r="S237" s="79"/>
      <c r="T237" s="79"/>
      <c r="Y237" s="79"/>
      <c r="AC237" s="130"/>
      <c r="AE237" s="106"/>
    </row>
    <row r="238">
      <c r="C238" s="79"/>
      <c r="D238" s="79"/>
      <c r="E238" s="79"/>
      <c r="O238" s="79"/>
      <c r="S238" s="79"/>
      <c r="T238" s="79"/>
      <c r="Y238" s="79"/>
      <c r="AC238" s="130"/>
      <c r="AE238" s="106"/>
    </row>
    <row r="239">
      <c r="C239" s="79"/>
      <c r="D239" s="79"/>
      <c r="E239" s="79"/>
      <c r="O239" s="79"/>
      <c r="S239" s="79"/>
      <c r="T239" s="79"/>
      <c r="Y239" s="79"/>
      <c r="AC239" s="130"/>
      <c r="AE239" s="106"/>
    </row>
    <row r="240">
      <c r="C240" s="79"/>
      <c r="D240" s="79"/>
      <c r="E240" s="79"/>
      <c r="O240" s="79"/>
      <c r="S240" s="79"/>
      <c r="T240" s="79"/>
      <c r="Y240" s="79"/>
      <c r="AC240" s="130"/>
      <c r="AE240" s="106"/>
    </row>
    <row r="241">
      <c r="C241" s="79"/>
      <c r="D241" s="79"/>
      <c r="E241" s="79"/>
      <c r="O241" s="79"/>
      <c r="S241" s="79"/>
      <c r="T241" s="79"/>
      <c r="Y241" s="79"/>
      <c r="AC241" s="130"/>
      <c r="AE241" s="106"/>
    </row>
    <row r="242">
      <c r="C242" s="79"/>
      <c r="D242" s="79"/>
      <c r="E242" s="79"/>
      <c r="O242" s="79"/>
      <c r="S242" s="79"/>
      <c r="T242" s="79"/>
      <c r="Y242" s="79"/>
      <c r="AC242" s="130"/>
      <c r="AE242" s="106"/>
    </row>
    <row r="243">
      <c r="C243" s="79"/>
      <c r="D243" s="79"/>
      <c r="E243" s="79"/>
      <c r="O243" s="79"/>
      <c r="S243" s="79"/>
      <c r="T243" s="79"/>
      <c r="Y243" s="79"/>
      <c r="AC243" s="130"/>
      <c r="AE243" s="106"/>
    </row>
    <row r="244">
      <c r="C244" s="79"/>
      <c r="D244" s="79"/>
      <c r="E244" s="79"/>
      <c r="O244" s="79"/>
      <c r="S244" s="79"/>
      <c r="T244" s="79"/>
      <c r="Y244" s="79"/>
      <c r="AC244" s="130"/>
      <c r="AE244" s="106"/>
    </row>
    <row r="245">
      <c r="C245" s="79"/>
      <c r="D245" s="79"/>
      <c r="E245" s="79"/>
      <c r="O245" s="79"/>
      <c r="S245" s="79"/>
      <c r="T245" s="79"/>
      <c r="Y245" s="79"/>
      <c r="AC245" s="130"/>
      <c r="AE245" s="106"/>
    </row>
    <row r="246">
      <c r="C246" s="79"/>
      <c r="D246" s="79"/>
      <c r="E246" s="79"/>
      <c r="O246" s="79"/>
      <c r="S246" s="79"/>
      <c r="T246" s="79"/>
      <c r="Y246" s="79"/>
      <c r="AC246" s="130"/>
      <c r="AE246" s="106"/>
    </row>
    <row r="247">
      <c r="C247" s="79"/>
      <c r="D247" s="79"/>
      <c r="E247" s="79"/>
      <c r="O247" s="79"/>
      <c r="S247" s="79"/>
      <c r="T247" s="79"/>
      <c r="Y247" s="79"/>
      <c r="AC247" s="130"/>
      <c r="AE247" s="106"/>
    </row>
    <row r="248">
      <c r="C248" s="79"/>
      <c r="D248" s="79"/>
      <c r="E248" s="79"/>
      <c r="O248" s="79"/>
      <c r="S248" s="79"/>
      <c r="T248" s="79"/>
      <c r="Y248" s="79"/>
      <c r="AC248" s="130"/>
      <c r="AE248" s="106"/>
    </row>
    <row r="249">
      <c r="C249" s="79"/>
      <c r="D249" s="79"/>
      <c r="E249" s="79"/>
      <c r="O249" s="79"/>
      <c r="S249" s="79"/>
      <c r="T249" s="79"/>
      <c r="Y249" s="79"/>
      <c r="AC249" s="130"/>
      <c r="AE249" s="106"/>
    </row>
    <row r="250">
      <c r="C250" s="79"/>
      <c r="D250" s="79"/>
      <c r="E250" s="79"/>
      <c r="O250" s="79"/>
      <c r="S250" s="79"/>
      <c r="T250" s="79"/>
      <c r="Y250" s="79"/>
      <c r="AC250" s="130"/>
      <c r="AE250" s="106"/>
    </row>
    <row r="251">
      <c r="C251" s="79"/>
      <c r="D251" s="79"/>
      <c r="E251" s="79"/>
      <c r="O251" s="79"/>
      <c r="S251" s="79"/>
      <c r="T251" s="79"/>
      <c r="Y251" s="79"/>
      <c r="AC251" s="130"/>
      <c r="AE251" s="106"/>
    </row>
    <row r="252">
      <c r="C252" s="79"/>
      <c r="D252" s="79"/>
      <c r="E252" s="79"/>
      <c r="O252" s="79"/>
      <c r="S252" s="79"/>
      <c r="T252" s="79"/>
      <c r="Y252" s="79"/>
      <c r="AC252" s="130"/>
      <c r="AE252" s="106"/>
    </row>
    <row r="253">
      <c r="C253" s="79"/>
      <c r="D253" s="79"/>
      <c r="E253" s="79"/>
      <c r="O253" s="79"/>
      <c r="S253" s="79"/>
      <c r="T253" s="79"/>
      <c r="Y253" s="79"/>
      <c r="AC253" s="130"/>
      <c r="AE253" s="106"/>
    </row>
    <row r="254">
      <c r="C254" s="79"/>
      <c r="D254" s="79"/>
      <c r="E254" s="79"/>
      <c r="O254" s="79"/>
      <c r="S254" s="79"/>
      <c r="T254" s="79"/>
      <c r="Y254" s="79"/>
      <c r="AC254" s="130"/>
      <c r="AE254" s="106"/>
    </row>
    <row r="255">
      <c r="C255" s="79"/>
      <c r="D255" s="79"/>
      <c r="E255" s="79"/>
      <c r="O255" s="79"/>
      <c r="S255" s="79"/>
      <c r="T255" s="79"/>
      <c r="Y255" s="79"/>
      <c r="AC255" s="130"/>
      <c r="AE255" s="106"/>
    </row>
    <row r="256">
      <c r="C256" s="79"/>
      <c r="D256" s="79"/>
      <c r="E256" s="79"/>
      <c r="O256" s="79"/>
      <c r="S256" s="79"/>
      <c r="T256" s="79"/>
      <c r="Y256" s="79"/>
      <c r="AC256" s="130"/>
      <c r="AE256" s="106"/>
    </row>
    <row r="257">
      <c r="C257" s="79"/>
      <c r="D257" s="79"/>
      <c r="E257" s="79"/>
      <c r="O257" s="79"/>
      <c r="S257" s="79"/>
      <c r="T257" s="79"/>
      <c r="Y257" s="79"/>
      <c r="AC257" s="130"/>
      <c r="AE257" s="106"/>
    </row>
    <row r="258">
      <c r="C258" s="79"/>
      <c r="D258" s="79"/>
      <c r="E258" s="79"/>
      <c r="O258" s="79"/>
      <c r="S258" s="79"/>
      <c r="T258" s="79"/>
      <c r="Y258" s="79"/>
      <c r="AC258" s="130"/>
      <c r="AE258" s="106"/>
    </row>
    <row r="259">
      <c r="C259" s="79"/>
      <c r="D259" s="79"/>
      <c r="E259" s="79"/>
      <c r="O259" s="79"/>
      <c r="S259" s="79"/>
      <c r="T259" s="79"/>
      <c r="Y259" s="79"/>
      <c r="AC259" s="130"/>
      <c r="AE259" s="106"/>
    </row>
    <row r="260">
      <c r="C260" s="79"/>
      <c r="D260" s="79"/>
      <c r="E260" s="79"/>
      <c r="O260" s="79"/>
      <c r="S260" s="79"/>
      <c r="T260" s="79"/>
      <c r="Y260" s="79"/>
      <c r="AC260" s="130"/>
      <c r="AE260" s="106"/>
    </row>
    <row r="261">
      <c r="C261" s="79"/>
      <c r="D261" s="79"/>
      <c r="E261" s="79"/>
      <c r="O261" s="79"/>
      <c r="S261" s="79"/>
      <c r="T261" s="79"/>
      <c r="Y261" s="79"/>
      <c r="AC261" s="130"/>
      <c r="AE261" s="106"/>
    </row>
    <row r="262">
      <c r="C262" s="79"/>
      <c r="D262" s="79"/>
      <c r="E262" s="79"/>
      <c r="O262" s="79"/>
      <c r="S262" s="79"/>
      <c r="T262" s="79"/>
      <c r="Y262" s="79"/>
      <c r="AC262" s="130"/>
      <c r="AE262" s="106"/>
    </row>
    <row r="263">
      <c r="C263" s="79"/>
      <c r="D263" s="79"/>
      <c r="E263" s="79"/>
      <c r="O263" s="79"/>
      <c r="S263" s="79"/>
      <c r="T263" s="79"/>
      <c r="Y263" s="79"/>
      <c r="AC263" s="130"/>
      <c r="AE263" s="106"/>
    </row>
    <row r="264">
      <c r="C264" s="79"/>
      <c r="D264" s="79"/>
      <c r="E264" s="79"/>
      <c r="O264" s="79"/>
      <c r="S264" s="79"/>
      <c r="T264" s="79"/>
      <c r="Y264" s="79"/>
      <c r="AC264" s="130"/>
      <c r="AE264" s="106"/>
    </row>
    <row r="265">
      <c r="C265" s="79"/>
      <c r="D265" s="79"/>
      <c r="E265" s="79"/>
      <c r="O265" s="79"/>
      <c r="S265" s="79"/>
      <c r="T265" s="79"/>
      <c r="Y265" s="79"/>
      <c r="AC265" s="130"/>
      <c r="AE265" s="106"/>
    </row>
    <row r="266">
      <c r="C266" s="79"/>
      <c r="D266" s="79"/>
      <c r="E266" s="79"/>
      <c r="O266" s="79"/>
      <c r="S266" s="79"/>
      <c r="T266" s="79"/>
      <c r="Y266" s="79"/>
      <c r="AC266" s="130"/>
      <c r="AE266" s="106"/>
    </row>
    <row r="267">
      <c r="C267" s="79"/>
      <c r="D267" s="79"/>
      <c r="E267" s="79"/>
      <c r="O267" s="79"/>
      <c r="S267" s="79"/>
      <c r="T267" s="79"/>
      <c r="Y267" s="79"/>
      <c r="AC267" s="130"/>
      <c r="AE267" s="106"/>
    </row>
    <row r="268">
      <c r="C268" s="79"/>
      <c r="D268" s="79"/>
      <c r="E268" s="79"/>
      <c r="O268" s="79"/>
      <c r="S268" s="79"/>
      <c r="T268" s="79"/>
      <c r="Y268" s="79"/>
      <c r="AC268" s="130"/>
      <c r="AE268" s="106"/>
    </row>
    <row r="269">
      <c r="C269" s="79"/>
      <c r="D269" s="79"/>
      <c r="E269" s="79"/>
      <c r="O269" s="79"/>
      <c r="S269" s="79"/>
      <c r="T269" s="79"/>
      <c r="Y269" s="79"/>
      <c r="AC269" s="130"/>
      <c r="AE269" s="106"/>
    </row>
    <row r="270">
      <c r="C270" s="79"/>
      <c r="D270" s="79"/>
      <c r="E270" s="79"/>
      <c r="O270" s="79"/>
      <c r="S270" s="79"/>
      <c r="T270" s="79"/>
      <c r="Y270" s="79"/>
      <c r="AC270" s="130"/>
      <c r="AE270" s="106"/>
    </row>
    <row r="271">
      <c r="C271" s="79"/>
      <c r="D271" s="79"/>
      <c r="E271" s="79"/>
      <c r="O271" s="79"/>
      <c r="S271" s="79"/>
      <c r="T271" s="79"/>
      <c r="Y271" s="79"/>
      <c r="AC271" s="130"/>
      <c r="AE271" s="106"/>
    </row>
    <row r="272">
      <c r="C272" s="79"/>
      <c r="D272" s="79"/>
      <c r="E272" s="79"/>
      <c r="O272" s="79"/>
      <c r="S272" s="79"/>
      <c r="T272" s="79"/>
      <c r="Y272" s="79"/>
      <c r="AC272" s="130"/>
      <c r="AE272" s="106"/>
    </row>
    <row r="273">
      <c r="C273" s="79"/>
      <c r="D273" s="79"/>
      <c r="E273" s="79"/>
      <c r="O273" s="79"/>
      <c r="S273" s="79"/>
      <c r="T273" s="79"/>
      <c r="Y273" s="79"/>
      <c r="AC273" s="130"/>
      <c r="AE273" s="106"/>
    </row>
    <row r="274">
      <c r="C274" s="79"/>
      <c r="D274" s="79"/>
      <c r="E274" s="79"/>
      <c r="O274" s="79"/>
      <c r="S274" s="79"/>
      <c r="T274" s="79"/>
      <c r="Y274" s="79"/>
      <c r="AC274" s="130"/>
      <c r="AE274" s="106"/>
    </row>
    <row r="275">
      <c r="C275" s="79"/>
      <c r="D275" s="79"/>
      <c r="E275" s="79"/>
      <c r="O275" s="79"/>
      <c r="S275" s="79"/>
      <c r="T275" s="79"/>
      <c r="Y275" s="79"/>
      <c r="AC275" s="130"/>
      <c r="AE275" s="106"/>
    </row>
    <row r="276">
      <c r="C276" s="79"/>
      <c r="D276" s="79"/>
      <c r="E276" s="79"/>
      <c r="O276" s="79"/>
      <c r="S276" s="79"/>
      <c r="T276" s="79"/>
      <c r="Y276" s="79"/>
      <c r="AC276" s="130"/>
      <c r="AE276" s="106"/>
    </row>
    <row r="277">
      <c r="C277" s="79"/>
      <c r="D277" s="79"/>
      <c r="E277" s="79"/>
      <c r="O277" s="79"/>
      <c r="S277" s="79"/>
      <c r="T277" s="79"/>
      <c r="Y277" s="79"/>
      <c r="AC277" s="130"/>
      <c r="AE277" s="106"/>
    </row>
    <row r="278">
      <c r="C278" s="79"/>
      <c r="D278" s="79"/>
      <c r="E278" s="79"/>
      <c r="O278" s="79"/>
      <c r="S278" s="79"/>
      <c r="T278" s="79"/>
      <c r="Y278" s="79"/>
      <c r="AC278" s="130"/>
      <c r="AE278" s="106"/>
    </row>
    <row r="279">
      <c r="C279" s="79"/>
      <c r="D279" s="79"/>
      <c r="E279" s="79"/>
      <c r="O279" s="79"/>
      <c r="S279" s="79"/>
      <c r="T279" s="79"/>
      <c r="Y279" s="79"/>
      <c r="AC279" s="130"/>
      <c r="AE279" s="106"/>
    </row>
    <row r="280">
      <c r="C280" s="79"/>
      <c r="D280" s="79"/>
      <c r="E280" s="79"/>
      <c r="O280" s="79"/>
      <c r="S280" s="79"/>
      <c r="T280" s="79"/>
      <c r="Y280" s="79"/>
      <c r="AC280" s="130"/>
      <c r="AE280" s="106"/>
    </row>
    <row r="281">
      <c r="C281" s="79"/>
      <c r="D281" s="79"/>
      <c r="E281" s="79"/>
      <c r="O281" s="79"/>
      <c r="S281" s="79"/>
      <c r="T281" s="79"/>
      <c r="Y281" s="79"/>
      <c r="AC281" s="130"/>
      <c r="AE281" s="106"/>
    </row>
    <row r="282">
      <c r="C282" s="79"/>
      <c r="D282" s="79"/>
      <c r="E282" s="79"/>
      <c r="O282" s="79"/>
      <c r="S282" s="79"/>
      <c r="T282" s="79"/>
      <c r="Y282" s="79"/>
      <c r="AC282" s="130"/>
      <c r="AE282" s="106"/>
    </row>
    <row r="283">
      <c r="C283" s="79"/>
      <c r="D283" s="79"/>
      <c r="E283" s="79"/>
      <c r="O283" s="79"/>
      <c r="S283" s="79"/>
      <c r="T283" s="79"/>
      <c r="Y283" s="79"/>
      <c r="AC283" s="130"/>
      <c r="AE283" s="106"/>
    </row>
    <row r="284">
      <c r="C284" s="79"/>
      <c r="D284" s="79"/>
      <c r="E284" s="79"/>
      <c r="O284" s="79"/>
      <c r="S284" s="79"/>
      <c r="T284" s="79"/>
      <c r="Y284" s="79"/>
      <c r="AC284" s="130"/>
      <c r="AE284" s="106"/>
    </row>
    <row r="285">
      <c r="C285" s="79"/>
      <c r="D285" s="79"/>
      <c r="E285" s="79"/>
      <c r="O285" s="79"/>
      <c r="S285" s="79"/>
      <c r="T285" s="79"/>
      <c r="Y285" s="79"/>
      <c r="AC285" s="130"/>
      <c r="AE285" s="106"/>
    </row>
    <row r="286">
      <c r="C286" s="79"/>
      <c r="D286" s="79"/>
      <c r="E286" s="79"/>
      <c r="O286" s="79"/>
      <c r="S286" s="79"/>
      <c r="T286" s="79"/>
      <c r="Y286" s="79"/>
      <c r="AC286" s="130"/>
      <c r="AE286" s="106"/>
    </row>
    <row r="287">
      <c r="C287" s="79"/>
      <c r="D287" s="79"/>
      <c r="E287" s="79"/>
      <c r="O287" s="79"/>
      <c r="S287" s="79"/>
      <c r="T287" s="79"/>
      <c r="Y287" s="79"/>
      <c r="AC287" s="130"/>
      <c r="AE287" s="106"/>
    </row>
    <row r="288">
      <c r="C288" s="79"/>
      <c r="D288" s="79"/>
      <c r="E288" s="79"/>
      <c r="O288" s="79"/>
      <c r="S288" s="79"/>
      <c r="T288" s="79"/>
      <c r="Y288" s="79"/>
      <c r="AC288" s="130"/>
      <c r="AE288" s="106"/>
    </row>
    <row r="289">
      <c r="C289" s="79"/>
      <c r="D289" s="79"/>
      <c r="E289" s="79"/>
      <c r="O289" s="79"/>
      <c r="S289" s="79"/>
      <c r="T289" s="79"/>
      <c r="Y289" s="79"/>
      <c r="AC289" s="130"/>
      <c r="AE289" s="106"/>
    </row>
    <row r="290">
      <c r="C290" s="79"/>
      <c r="D290" s="79"/>
      <c r="E290" s="79"/>
      <c r="O290" s="79"/>
      <c r="S290" s="79"/>
      <c r="T290" s="79"/>
      <c r="Y290" s="79"/>
      <c r="AC290" s="130"/>
      <c r="AE290" s="106"/>
    </row>
    <row r="291">
      <c r="C291" s="79"/>
      <c r="D291" s="79"/>
      <c r="E291" s="79"/>
      <c r="O291" s="79"/>
      <c r="S291" s="79"/>
      <c r="T291" s="79"/>
      <c r="Y291" s="79"/>
      <c r="AC291" s="130"/>
      <c r="AE291" s="106"/>
    </row>
    <row r="292">
      <c r="C292" s="79"/>
      <c r="D292" s="79"/>
      <c r="E292" s="79"/>
      <c r="O292" s="79"/>
      <c r="S292" s="79"/>
      <c r="T292" s="79"/>
      <c r="Y292" s="79"/>
      <c r="AC292" s="130"/>
      <c r="AE292" s="106"/>
    </row>
    <row r="293">
      <c r="C293" s="79"/>
      <c r="D293" s="79"/>
      <c r="E293" s="79"/>
      <c r="O293" s="79"/>
      <c r="S293" s="79"/>
      <c r="T293" s="79"/>
      <c r="Y293" s="79"/>
      <c r="AC293" s="130"/>
      <c r="AE293" s="106"/>
    </row>
    <row r="294">
      <c r="C294" s="79"/>
      <c r="D294" s="79"/>
      <c r="E294" s="79"/>
      <c r="O294" s="79"/>
      <c r="S294" s="79"/>
      <c r="T294" s="79"/>
      <c r="Y294" s="79"/>
      <c r="AC294" s="130"/>
      <c r="AE294" s="106"/>
    </row>
    <row r="295">
      <c r="C295" s="79"/>
      <c r="D295" s="79"/>
      <c r="E295" s="79"/>
      <c r="O295" s="79"/>
      <c r="S295" s="79"/>
      <c r="T295" s="79"/>
      <c r="Y295" s="79"/>
      <c r="AC295" s="130"/>
      <c r="AE295" s="106"/>
    </row>
    <row r="296">
      <c r="C296" s="79"/>
      <c r="D296" s="79"/>
      <c r="E296" s="79"/>
      <c r="O296" s="79"/>
      <c r="S296" s="79"/>
      <c r="T296" s="79"/>
      <c r="Y296" s="79"/>
      <c r="AC296" s="130"/>
      <c r="AE296" s="106"/>
    </row>
    <row r="297">
      <c r="C297" s="79"/>
      <c r="D297" s="79"/>
      <c r="E297" s="79"/>
      <c r="O297" s="79"/>
      <c r="S297" s="79"/>
      <c r="T297" s="79"/>
      <c r="Y297" s="79"/>
      <c r="AC297" s="130"/>
      <c r="AE297" s="106"/>
    </row>
    <row r="298">
      <c r="C298" s="79"/>
      <c r="D298" s="79"/>
      <c r="E298" s="79"/>
      <c r="O298" s="79"/>
      <c r="S298" s="79"/>
      <c r="T298" s="79"/>
      <c r="Y298" s="79"/>
      <c r="AC298" s="130"/>
      <c r="AE298" s="106"/>
    </row>
    <row r="299">
      <c r="C299" s="79"/>
      <c r="D299" s="79"/>
      <c r="E299" s="79"/>
      <c r="O299" s="79"/>
      <c r="S299" s="79"/>
      <c r="T299" s="79"/>
      <c r="Y299" s="79"/>
      <c r="AC299" s="130"/>
      <c r="AE299" s="106"/>
    </row>
    <row r="300">
      <c r="C300" s="79"/>
      <c r="D300" s="79"/>
      <c r="E300" s="79"/>
      <c r="O300" s="79"/>
      <c r="S300" s="79"/>
      <c r="T300" s="79"/>
      <c r="Y300" s="79"/>
      <c r="AC300" s="130"/>
      <c r="AE300" s="106"/>
    </row>
    <row r="301">
      <c r="C301" s="79"/>
      <c r="D301" s="79"/>
      <c r="E301" s="79"/>
      <c r="O301" s="79"/>
      <c r="S301" s="79"/>
      <c r="T301" s="79"/>
      <c r="Y301" s="79"/>
      <c r="AC301" s="130"/>
      <c r="AE301" s="106"/>
    </row>
    <row r="302">
      <c r="C302" s="79"/>
      <c r="D302" s="79"/>
      <c r="E302" s="79"/>
      <c r="O302" s="79"/>
      <c r="S302" s="79"/>
      <c r="T302" s="79"/>
      <c r="Y302" s="79"/>
      <c r="AC302" s="130"/>
      <c r="AE302" s="106"/>
    </row>
    <row r="303">
      <c r="C303" s="79"/>
      <c r="D303" s="79"/>
      <c r="E303" s="79"/>
      <c r="O303" s="79"/>
      <c r="S303" s="79"/>
      <c r="T303" s="79"/>
      <c r="Y303" s="79"/>
      <c r="AC303" s="130"/>
      <c r="AE303" s="106"/>
    </row>
    <row r="304">
      <c r="C304" s="79"/>
      <c r="D304" s="79"/>
      <c r="E304" s="79"/>
      <c r="O304" s="79"/>
      <c r="S304" s="79"/>
      <c r="T304" s="79"/>
      <c r="Y304" s="79"/>
      <c r="AC304" s="130"/>
      <c r="AE304" s="106"/>
    </row>
    <row r="305">
      <c r="C305" s="79"/>
      <c r="D305" s="79"/>
      <c r="E305" s="79"/>
      <c r="O305" s="79"/>
      <c r="S305" s="79"/>
      <c r="T305" s="79"/>
      <c r="Y305" s="79"/>
      <c r="AC305" s="130"/>
      <c r="AE305" s="106"/>
    </row>
    <row r="306">
      <c r="C306" s="79"/>
      <c r="D306" s="79"/>
      <c r="E306" s="79"/>
      <c r="O306" s="79"/>
      <c r="S306" s="79"/>
      <c r="T306" s="79"/>
      <c r="Y306" s="79"/>
      <c r="AC306" s="130"/>
      <c r="AE306" s="106"/>
    </row>
    <row r="307">
      <c r="C307" s="79"/>
      <c r="D307" s="79"/>
      <c r="E307" s="79"/>
      <c r="O307" s="79"/>
      <c r="S307" s="79"/>
      <c r="T307" s="79"/>
      <c r="Y307" s="79"/>
      <c r="AC307" s="130"/>
      <c r="AE307" s="106"/>
    </row>
    <row r="308">
      <c r="C308" s="79"/>
      <c r="D308" s="79"/>
      <c r="E308" s="79"/>
      <c r="O308" s="79"/>
      <c r="S308" s="79"/>
      <c r="T308" s="79"/>
      <c r="Y308" s="79"/>
      <c r="AC308" s="130"/>
      <c r="AE308" s="106"/>
    </row>
    <row r="309">
      <c r="C309" s="79"/>
      <c r="D309" s="79"/>
      <c r="E309" s="79"/>
      <c r="O309" s="79"/>
      <c r="S309" s="79"/>
      <c r="T309" s="79"/>
      <c r="Y309" s="79"/>
      <c r="AC309" s="130"/>
      <c r="AE309" s="106"/>
    </row>
    <row r="310">
      <c r="C310" s="79"/>
      <c r="D310" s="79"/>
      <c r="E310" s="79"/>
      <c r="O310" s="79"/>
      <c r="S310" s="79"/>
      <c r="T310" s="79"/>
      <c r="Y310" s="79"/>
      <c r="AC310" s="130"/>
      <c r="AE310" s="106"/>
    </row>
    <row r="311">
      <c r="C311" s="79"/>
      <c r="D311" s="79"/>
      <c r="E311" s="79"/>
      <c r="O311" s="79"/>
      <c r="S311" s="79"/>
      <c r="T311" s="79"/>
      <c r="Y311" s="79"/>
      <c r="AC311" s="130"/>
      <c r="AE311" s="106"/>
    </row>
    <row r="312">
      <c r="C312" s="79"/>
      <c r="D312" s="79"/>
      <c r="E312" s="79"/>
      <c r="O312" s="79"/>
      <c r="S312" s="79"/>
      <c r="T312" s="79"/>
      <c r="Y312" s="79"/>
      <c r="AC312" s="130"/>
      <c r="AE312" s="106"/>
    </row>
    <row r="313">
      <c r="C313" s="79"/>
      <c r="D313" s="79"/>
      <c r="E313" s="79"/>
      <c r="O313" s="79"/>
      <c r="S313" s="79"/>
      <c r="T313" s="79"/>
      <c r="Y313" s="79"/>
      <c r="AC313" s="130"/>
      <c r="AE313" s="106"/>
    </row>
    <row r="314">
      <c r="C314" s="79"/>
      <c r="D314" s="79"/>
      <c r="E314" s="79"/>
      <c r="O314" s="79"/>
      <c r="S314" s="79"/>
      <c r="T314" s="79"/>
      <c r="Y314" s="79"/>
      <c r="AC314" s="130"/>
      <c r="AE314" s="106"/>
    </row>
    <row r="315">
      <c r="C315" s="79"/>
      <c r="D315" s="79"/>
      <c r="E315" s="79"/>
      <c r="O315" s="79"/>
      <c r="S315" s="79"/>
      <c r="T315" s="79"/>
      <c r="Y315" s="79"/>
      <c r="AC315" s="130"/>
      <c r="AE315" s="106"/>
    </row>
    <row r="316">
      <c r="C316" s="79"/>
      <c r="D316" s="79"/>
      <c r="E316" s="79"/>
      <c r="O316" s="79"/>
      <c r="S316" s="79"/>
      <c r="T316" s="79"/>
      <c r="Y316" s="79"/>
      <c r="AC316" s="130"/>
      <c r="AE316" s="106"/>
    </row>
    <row r="317">
      <c r="C317" s="79"/>
      <c r="D317" s="79"/>
      <c r="E317" s="79"/>
      <c r="O317" s="79"/>
      <c r="S317" s="79"/>
      <c r="T317" s="79"/>
      <c r="Y317" s="79"/>
      <c r="AC317" s="130"/>
      <c r="AE317" s="106"/>
    </row>
    <row r="318">
      <c r="C318" s="79"/>
      <c r="D318" s="79"/>
      <c r="E318" s="79"/>
      <c r="O318" s="79"/>
      <c r="S318" s="79"/>
      <c r="T318" s="79"/>
      <c r="Y318" s="79"/>
      <c r="AC318" s="130"/>
      <c r="AE318" s="106"/>
    </row>
    <row r="319">
      <c r="C319" s="79"/>
      <c r="D319" s="79"/>
      <c r="E319" s="79"/>
      <c r="O319" s="79"/>
      <c r="S319" s="79"/>
      <c r="T319" s="79"/>
      <c r="Y319" s="79"/>
      <c r="AC319" s="130"/>
      <c r="AE319" s="106"/>
    </row>
    <row r="320">
      <c r="C320" s="79"/>
      <c r="D320" s="79"/>
      <c r="E320" s="79"/>
      <c r="O320" s="79"/>
      <c r="S320" s="79"/>
      <c r="T320" s="79"/>
      <c r="Y320" s="79"/>
      <c r="AC320" s="130"/>
      <c r="AE320" s="106"/>
    </row>
    <row r="321">
      <c r="C321" s="79"/>
      <c r="D321" s="79"/>
      <c r="E321" s="79"/>
      <c r="O321" s="79"/>
      <c r="S321" s="79"/>
      <c r="T321" s="79"/>
      <c r="Y321" s="79"/>
      <c r="AC321" s="130"/>
      <c r="AE321" s="106"/>
    </row>
    <row r="322">
      <c r="C322" s="79"/>
      <c r="D322" s="79"/>
      <c r="E322" s="79"/>
      <c r="O322" s="79"/>
      <c r="S322" s="79"/>
      <c r="T322" s="79"/>
      <c r="Y322" s="79"/>
      <c r="AC322" s="130"/>
      <c r="AE322" s="106"/>
    </row>
    <row r="323">
      <c r="C323" s="79"/>
      <c r="D323" s="79"/>
      <c r="E323" s="79"/>
      <c r="O323" s="79"/>
      <c r="S323" s="79"/>
      <c r="T323" s="79"/>
      <c r="Y323" s="79"/>
      <c r="AC323" s="130"/>
      <c r="AE323" s="106"/>
    </row>
    <row r="324">
      <c r="C324" s="79"/>
      <c r="D324" s="79"/>
      <c r="E324" s="79"/>
      <c r="O324" s="79"/>
      <c r="S324" s="79"/>
      <c r="T324" s="79"/>
      <c r="Y324" s="79"/>
      <c r="AC324" s="130"/>
      <c r="AE324" s="106"/>
    </row>
    <row r="325">
      <c r="C325" s="79"/>
      <c r="D325" s="79"/>
      <c r="E325" s="79"/>
      <c r="O325" s="79"/>
      <c r="S325" s="79"/>
      <c r="T325" s="79"/>
      <c r="Y325" s="79"/>
      <c r="AC325" s="130"/>
      <c r="AE325" s="106"/>
    </row>
    <row r="326">
      <c r="C326" s="79"/>
      <c r="D326" s="79"/>
      <c r="E326" s="79"/>
      <c r="O326" s="79"/>
      <c r="S326" s="79"/>
      <c r="T326" s="79"/>
      <c r="Y326" s="79"/>
      <c r="AC326" s="130"/>
      <c r="AE326" s="106"/>
    </row>
    <row r="327">
      <c r="C327" s="79"/>
      <c r="D327" s="79"/>
      <c r="E327" s="79"/>
      <c r="O327" s="79"/>
      <c r="S327" s="79"/>
      <c r="T327" s="79"/>
      <c r="Y327" s="79"/>
      <c r="AC327" s="130"/>
      <c r="AE327" s="106"/>
    </row>
    <row r="328">
      <c r="C328" s="79"/>
      <c r="D328" s="79"/>
      <c r="E328" s="79"/>
      <c r="O328" s="79"/>
      <c r="S328" s="79"/>
      <c r="T328" s="79"/>
      <c r="Y328" s="79"/>
      <c r="AC328" s="130"/>
      <c r="AE328" s="106"/>
    </row>
    <row r="329">
      <c r="C329" s="79"/>
      <c r="D329" s="79"/>
      <c r="E329" s="79"/>
      <c r="O329" s="79"/>
      <c r="S329" s="79"/>
      <c r="T329" s="79"/>
      <c r="Y329" s="79"/>
      <c r="AC329" s="130"/>
      <c r="AE329" s="106"/>
    </row>
    <row r="330">
      <c r="C330" s="79"/>
      <c r="D330" s="79"/>
      <c r="E330" s="79"/>
      <c r="O330" s="79"/>
      <c r="S330" s="79"/>
      <c r="T330" s="79"/>
      <c r="Y330" s="79"/>
      <c r="AC330" s="130"/>
      <c r="AE330" s="106"/>
    </row>
    <row r="331">
      <c r="C331" s="79"/>
      <c r="D331" s="79"/>
      <c r="E331" s="79"/>
      <c r="O331" s="79"/>
      <c r="S331" s="79"/>
      <c r="T331" s="79"/>
      <c r="Y331" s="79"/>
      <c r="AC331" s="130"/>
      <c r="AE331" s="106"/>
    </row>
    <row r="332">
      <c r="C332" s="79"/>
      <c r="D332" s="79"/>
      <c r="E332" s="79"/>
      <c r="O332" s="79"/>
      <c r="S332" s="79"/>
      <c r="T332" s="79"/>
      <c r="Y332" s="79"/>
      <c r="AC332" s="130"/>
      <c r="AE332" s="106"/>
    </row>
    <row r="333">
      <c r="C333" s="79"/>
      <c r="D333" s="79"/>
      <c r="E333" s="79"/>
      <c r="O333" s="79"/>
      <c r="S333" s="79"/>
      <c r="T333" s="79"/>
      <c r="Y333" s="79"/>
      <c r="AC333" s="130"/>
      <c r="AE333" s="106"/>
    </row>
    <row r="334">
      <c r="C334" s="79"/>
      <c r="D334" s="79"/>
      <c r="E334" s="79"/>
      <c r="O334" s="79"/>
      <c r="S334" s="79"/>
      <c r="T334" s="79"/>
      <c r="Y334" s="79"/>
      <c r="AC334" s="130"/>
      <c r="AE334" s="106"/>
    </row>
    <row r="335">
      <c r="C335" s="79"/>
      <c r="D335" s="79"/>
      <c r="E335" s="79"/>
      <c r="O335" s="79"/>
      <c r="S335" s="79"/>
      <c r="T335" s="79"/>
      <c r="Y335" s="79"/>
      <c r="AC335" s="130"/>
      <c r="AE335" s="106"/>
    </row>
    <row r="336">
      <c r="C336" s="79"/>
      <c r="D336" s="79"/>
      <c r="E336" s="79"/>
      <c r="O336" s="79"/>
      <c r="S336" s="79"/>
      <c r="T336" s="79"/>
      <c r="Y336" s="79"/>
      <c r="AC336" s="130"/>
      <c r="AE336" s="106"/>
    </row>
    <row r="337">
      <c r="C337" s="79"/>
      <c r="D337" s="79"/>
      <c r="E337" s="79"/>
      <c r="O337" s="79"/>
      <c r="S337" s="79"/>
      <c r="T337" s="79"/>
      <c r="Y337" s="79"/>
      <c r="AC337" s="130"/>
      <c r="AE337" s="106"/>
    </row>
    <row r="338">
      <c r="C338" s="79"/>
      <c r="D338" s="79"/>
      <c r="E338" s="79"/>
      <c r="O338" s="79"/>
      <c r="S338" s="79"/>
      <c r="T338" s="79"/>
      <c r="Y338" s="79"/>
      <c r="AC338" s="130"/>
      <c r="AE338" s="106"/>
    </row>
    <row r="339">
      <c r="C339" s="79"/>
      <c r="D339" s="79"/>
      <c r="E339" s="79"/>
      <c r="O339" s="79"/>
      <c r="S339" s="79"/>
      <c r="T339" s="79"/>
      <c r="Y339" s="79"/>
      <c r="AC339" s="130"/>
      <c r="AE339" s="106"/>
    </row>
    <row r="340">
      <c r="C340" s="79"/>
      <c r="D340" s="79"/>
      <c r="E340" s="79"/>
      <c r="O340" s="79"/>
      <c r="S340" s="79"/>
      <c r="T340" s="79"/>
      <c r="Y340" s="79"/>
      <c r="AC340" s="130"/>
      <c r="AE340" s="106"/>
    </row>
    <row r="341">
      <c r="C341" s="79"/>
      <c r="D341" s="79"/>
      <c r="E341" s="79"/>
      <c r="O341" s="79"/>
      <c r="S341" s="79"/>
      <c r="T341" s="79"/>
      <c r="Y341" s="79"/>
      <c r="AC341" s="130"/>
      <c r="AE341" s="106"/>
    </row>
    <row r="342">
      <c r="C342" s="79"/>
      <c r="D342" s="79"/>
      <c r="E342" s="79"/>
      <c r="O342" s="79"/>
      <c r="S342" s="79"/>
      <c r="T342" s="79"/>
      <c r="Y342" s="79"/>
      <c r="AC342" s="130"/>
      <c r="AE342" s="106"/>
    </row>
    <row r="343">
      <c r="C343" s="79"/>
      <c r="D343" s="79"/>
      <c r="E343" s="79"/>
      <c r="O343" s="79"/>
      <c r="S343" s="79"/>
      <c r="T343" s="79"/>
      <c r="Y343" s="79"/>
      <c r="AC343" s="130"/>
      <c r="AE343" s="106"/>
    </row>
    <row r="344">
      <c r="C344" s="79"/>
      <c r="D344" s="79"/>
      <c r="E344" s="79"/>
      <c r="O344" s="79"/>
      <c r="S344" s="79"/>
      <c r="T344" s="79"/>
      <c r="Y344" s="79"/>
      <c r="AC344" s="130"/>
      <c r="AE344" s="106"/>
    </row>
    <row r="345">
      <c r="C345" s="79"/>
      <c r="D345" s="79"/>
      <c r="E345" s="79"/>
      <c r="O345" s="79"/>
      <c r="S345" s="79"/>
      <c r="T345" s="79"/>
      <c r="Y345" s="79"/>
      <c r="AC345" s="130"/>
      <c r="AE345" s="106"/>
    </row>
    <row r="346">
      <c r="C346" s="79"/>
      <c r="D346" s="79"/>
      <c r="E346" s="79"/>
      <c r="O346" s="79"/>
      <c r="S346" s="79"/>
      <c r="T346" s="79"/>
      <c r="Y346" s="79"/>
      <c r="AC346" s="130"/>
      <c r="AE346" s="106"/>
    </row>
    <row r="347">
      <c r="C347" s="79"/>
      <c r="D347" s="79"/>
      <c r="E347" s="79"/>
      <c r="O347" s="79"/>
      <c r="S347" s="79"/>
      <c r="T347" s="79"/>
      <c r="Y347" s="79"/>
      <c r="AC347" s="130"/>
      <c r="AE347" s="106"/>
    </row>
    <row r="348">
      <c r="C348" s="79"/>
      <c r="D348" s="79"/>
      <c r="E348" s="79"/>
      <c r="O348" s="79"/>
      <c r="S348" s="79"/>
      <c r="T348" s="79"/>
      <c r="Y348" s="79"/>
      <c r="AC348" s="130"/>
      <c r="AE348" s="106"/>
    </row>
    <row r="349">
      <c r="C349" s="79"/>
      <c r="D349" s="79"/>
      <c r="E349" s="79"/>
      <c r="O349" s="79"/>
      <c r="S349" s="79"/>
      <c r="T349" s="79"/>
      <c r="Y349" s="79"/>
      <c r="AC349" s="130"/>
      <c r="AE349" s="106"/>
    </row>
    <row r="350">
      <c r="C350" s="79"/>
      <c r="D350" s="79"/>
      <c r="E350" s="79"/>
      <c r="O350" s="79"/>
      <c r="S350" s="79"/>
      <c r="T350" s="79"/>
      <c r="Y350" s="79"/>
      <c r="AC350" s="130"/>
      <c r="AE350" s="106"/>
    </row>
    <row r="351">
      <c r="C351" s="79"/>
      <c r="D351" s="79"/>
      <c r="E351" s="79"/>
      <c r="O351" s="79"/>
      <c r="S351" s="79"/>
      <c r="T351" s="79"/>
      <c r="Y351" s="79"/>
      <c r="AC351" s="130"/>
      <c r="AE351" s="106"/>
    </row>
    <row r="352">
      <c r="C352" s="79"/>
      <c r="D352" s="79"/>
      <c r="E352" s="79"/>
      <c r="O352" s="79"/>
      <c r="S352" s="79"/>
      <c r="T352" s="79"/>
      <c r="Y352" s="79"/>
      <c r="AC352" s="130"/>
      <c r="AE352" s="106"/>
    </row>
    <row r="353">
      <c r="C353" s="79"/>
      <c r="D353" s="79"/>
      <c r="E353" s="79"/>
      <c r="O353" s="79"/>
      <c r="S353" s="79"/>
      <c r="T353" s="79"/>
      <c r="Y353" s="79"/>
      <c r="AC353" s="130"/>
      <c r="AE353" s="106"/>
    </row>
    <row r="354">
      <c r="C354" s="79"/>
      <c r="D354" s="79"/>
      <c r="E354" s="79"/>
      <c r="O354" s="79"/>
      <c r="S354" s="79"/>
      <c r="T354" s="79"/>
      <c r="Y354" s="79"/>
      <c r="AC354" s="130"/>
      <c r="AE354" s="106"/>
    </row>
    <row r="355">
      <c r="C355" s="79"/>
      <c r="D355" s="79"/>
      <c r="E355" s="79"/>
      <c r="O355" s="79"/>
      <c r="S355" s="79"/>
      <c r="T355" s="79"/>
      <c r="Y355" s="79"/>
      <c r="AC355" s="130"/>
      <c r="AE355" s="106"/>
    </row>
    <row r="356">
      <c r="C356" s="79"/>
      <c r="D356" s="79"/>
      <c r="E356" s="79"/>
      <c r="O356" s="79"/>
      <c r="S356" s="79"/>
      <c r="T356" s="79"/>
      <c r="Y356" s="79"/>
      <c r="AC356" s="130"/>
      <c r="AE356" s="106"/>
    </row>
    <row r="357">
      <c r="C357" s="79"/>
      <c r="D357" s="79"/>
      <c r="E357" s="79"/>
      <c r="O357" s="79"/>
      <c r="S357" s="79"/>
      <c r="T357" s="79"/>
      <c r="Y357" s="79"/>
      <c r="AC357" s="130"/>
      <c r="AE357" s="106"/>
    </row>
    <row r="358">
      <c r="C358" s="79"/>
      <c r="D358" s="79"/>
      <c r="E358" s="79"/>
      <c r="O358" s="79"/>
      <c r="S358" s="79"/>
      <c r="T358" s="79"/>
      <c r="Y358" s="79"/>
      <c r="AC358" s="130"/>
      <c r="AE358" s="106"/>
    </row>
    <row r="359">
      <c r="C359" s="79"/>
      <c r="D359" s="79"/>
      <c r="E359" s="79"/>
      <c r="O359" s="79"/>
      <c r="S359" s="79"/>
      <c r="T359" s="79"/>
      <c r="Y359" s="79"/>
      <c r="AC359" s="130"/>
      <c r="AE359" s="106"/>
    </row>
    <row r="360">
      <c r="C360" s="79"/>
      <c r="D360" s="79"/>
      <c r="E360" s="79"/>
      <c r="O360" s="79"/>
      <c r="S360" s="79"/>
      <c r="T360" s="79"/>
      <c r="Y360" s="79"/>
      <c r="AC360" s="130"/>
      <c r="AE360" s="106"/>
    </row>
    <row r="361">
      <c r="C361" s="79"/>
      <c r="D361" s="79"/>
      <c r="E361" s="79"/>
      <c r="O361" s="79"/>
      <c r="S361" s="79"/>
      <c r="T361" s="79"/>
      <c r="Y361" s="79"/>
      <c r="AC361" s="130"/>
      <c r="AE361" s="106"/>
    </row>
    <row r="362">
      <c r="C362" s="79"/>
      <c r="D362" s="79"/>
      <c r="E362" s="79"/>
      <c r="O362" s="79"/>
      <c r="S362" s="79"/>
      <c r="T362" s="79"/>
      <c r="Y362" s="79"/>
      <c r="AC362" s="130"/>
      <c r="AE362" s="106"/>
    </row>
    <row r="363">
      <c r="C363" s="79"/>
      <c r="D363" s="79"/>
      <c r="E363" s="79"/>
      <c r="O363" s="79"/>
      <c r="S363" s="79"/>
      <c r="T363" s="79"/>
      <c r="Y363" s="79"/>
      <c r="AC363" s="130"/>
      <c r="AE363" s="106"/>
    </row>
    <row r="364">
      <c r="C364" s="79"/>
      <c r="D364" s="79"/>
      <c r="E364" s="79"/>
      <c r="O364" s="79"/>
      <c r="S364" s="79"/>
      <c r="T364" s="79"/>
      <c r="Y364" s="79"/>
      <c r="AC364" s="130"/>
      <c r="AE364" s="106"/>
    </row>
    <row r="365">
      <c r="C365" s="79"/>
      <c r="D365" s="79"/>
      <c r="E365" s="79"/>
      <c r="O365" s="79"/>
      <c r="S365" s="79"/>
      <c r="T365" s="79"/>
      <c r="Y365" s="79"/>
      <c r="AC365" s="130"/>
      <c r="AE365" s="106"/>
    </row>
    <row r="366">
      <c r="C366" s="79"/>
      <c r="D366" s="79"/>
      <c r="E366" s="79"/>
      <c r="O366" s="79"/>
      <c r="S366" s="79"/>
      <c r="T366" s="79"/>
      <c r="Y366" s="79"/>
      <c r="AC366" s="130"/>
      <c r="AE366" s="106"/>
    </row>
    <row r="367">
      <c r="C367" s="79"/>
      <c r="D367" s="79"/>
      <c r="E367" s="79"/>
      <c r="O367" s="79"/>
      <c r="S367" s="79"/>
      <c r="T367" s="79"/>
      <c r="Y367" s="79"/>
      <c r="AC367" s="130"/>
      <c r="AE367" s="106"/>
    </row>
    <row r="368">
      <c r="C368" s="79"/>
      <c r="D368" s="79"/>
      <c r="E368" s="79"/>
      <c r="O368" s="79"/>
      <c r="S368" s="79"/>
      <c r="T368" s="79"/>
      <c r="Y368" s="79"/>
      <c r="AC368" s="130"/>
      <c r="AE368" s="106"/>
    </row>
    <row r="369">
      <c r="C369" s="79"/>
      <c r="D369" s="79"/>
      <c r="E369" s="79"/>
      <c r="O369" s="79"/>
      <c r="S369" s="79"/>
      <c r="T369" s="79"/>
      <c r="Y369" s="79"/>
      <c r="AC369" s="130"/>
      <c r="AE369" s="106"/>
    </row>
    <row r="370">
      <c r="C370" s="79"/>
      <c r="D370" s="79"/>
      <c r="E370" s="79"/>
      <c r="O370" s="79"/>
      <c r="S370" s="79"/>
      <c r="T370" s="79"/>
      <c r="Y370" s="79"/>
      <c r="AC370" s="130"/>
      <c r="AE370" s="106"/>
    </row>
    <row r="371">
      <c r="C371" s="79"/>
      <c r="D371" s="79"/>
      <c r="E371" s="79"/>
      <c r="O371" s="79"/>
      <c r="S371" s="79"/>
      <c r="T371" s="79"/>
      <c r="Y371" s="79"/>
      <c r="AC371" s="130"/>
      <c r="AE371" s="106"/>
    </row>
    <row r="372">
      <c r="C372" s="79"/>
      <c r="D372" s="79"/>
      <c r="E372" s="79"/>
      <c r="O372" s="79"/>
      <c r="S372" s="79"/>
      <c r="T372" s="79"/>
      <c r="Y372" s="79"/>
      <c r="AC372" s="130"/>
      <c r="AE372" s="106"/>
    </row>
    <row r="373">
      <c r="C373" s="79"/>
      <c r="D373" s="79"/>
      <c r="E373" s="79"/>
      <c r="O373" s="79"/>
      <c r="S373" s="79"/>
      <c r="T373" s="79"/>
      <c r="Y373" s="79"/>
      <c r="AC373" s="130"/>
      <c r="AE373" s="106"/>
    </row>
    <row r="374">
      <c r="C374" s="79"/>
      <c r="D374" s="79"/>
      <c r="E374" s="79"/>
      <c r="O374" s="79"/>
      <c r="S374" s="79"/>
      <c r="T374" s="79"/>
      <c r="Y374" s="79"/>
      <c r="AC374" s="130"/>
      <c r="AE374" s="106"/>
    </row>
    <row r="375">
      <c r="C375" s="79"/>
      <c r="D375" s="79"/>
      <c r="E375" s="79"/>
      <c r="O375" s="79"/>
      <c r="S375" s="79"/>
      <c r="T375" s="79"/>
      <c r="Y375" s="79"/>
      <c r="AC375" s="130"/>
      <c r="AE375" s="106"/>
    </row>
    <row r="376">
      <c r="C376" s="79"/>
      <c r="D376" s="79"/>
      <c r="E376" s="79"/>
      <c r="O376" s="79"/>
      <c r="S376" s="79"/>
      <c r="T376" s="79"/>
      <c r="Y376" s="79"/>
      <c r="AC376" s="130"/>
      <c r="AE376" s="106"/>
    </row>
    <row r="377">
      <c r="C377" s="79"/>
      <c r="D377" s="79"/>
      <c r="E377" s="79"/>
      <c r="O377" s="79"/>
      <c r="S377" s="79"/>
      <c r="T377" s="79"/>
      <c r="Y377" s="79"/>
      <c r="AC377" s="130"/>
      <c r="AE377" s="106"/>
    </row>
    <row r="378">
      <c r="C378" s="79"/>
      <c r="D378" s="79"/>
      <c r="E378" s="79"/>
      <c r="O378" s="79"/>
      <c r="S378" s="79"/>
      <c r="T378" s="79"/>
      <c r="Y378" s="79"/>
      <c r="AC378" s="130"/>
      <c r="AE378" s="106"/>
    </row>
    <row r="379">
      <c r="C379" s="79"/>
      <c r="D379" s="79"/>
      <c r="E379" s="79"/>
      <c r="O379" s="79"/>
      <c r="S379" s="79"/>
      <c r="T379" s="79"/>
      <c r="Y379" s="79"/>
      <c r="AC379" s="130"/>
      <c r="AE379" s="106"/>
    </row>
    <row r="380">
      <c r="C380" s="79"/>
      <c r="D380" s="79"/>
      <c r="E380" s="79"/>
      <c r="O380" s="79"/>
      <c r="S380" s="79"/>
      <c r="T380" s="79"/>
      <c r="Y380" s="79"/>
      <c r="AC380" s="130"/>
      <c r="AE380" s="106"/>
    </row>
    <row r="381">
      <c r="C381" s="79"/>
      <c r="D381" s="79"/>
      <c r="E381" s="79"/>
      <c r="O381" s="79"/>
      <c r="S381" s="79"/>
      <c r="T381" s="79"/>
      <c r="Y381" s="79"/>
      <c r="AC381" s="130"/>
      <c r="AE381" s="106"/>
    </row>
    <row r="382">
      <c r="C382" s="79"/>
      <c r="D382" s="79"/>
      <c r="E382" s="79"/>
      <c r="O382" s="79"/>
      <c r="S382" s="79"/>
      <c r="T382" s="79"/>
      <c r="Y382" s="79"/>
      <c r="AC382" s="130"/>
      <c r="AE382" s="106"/>
    </row>
    <row r="383">
      <c r="C383" s="79"/>
      <c r="D383" s="79"/>
      <c r="E383" s="79"/>
      <c r="O383" s="79"/>
      <c r="S383" s="79"/>
      <c r="T383" s="79"/>
      <c r="Y383" s="79"/>
      <c r="AC383" s="130"/>
      <c r="AE383" s="106"/>
    </row>
    <row r="384">
      <c r="C384" s="79"/>
      <c r="D384" s="79"/>
      <c r="E384" s="79"/>
      <c r="O384" s="79"/>
      <c r="S384" s="79"/>
      <c r="T384" s="79"/>
      <c r="Y384" s="79"/>
      <c r="AC384" s="130"/>
      <c r="AE384" s="106"/>
    </row>
    <row r="385">
      <c r="C385" s="79"/>
      <c r="D385" s="79"/>
      <c r="E385" s="79"/>
      <c r="O385" s="79"/>
      <c r="S385" s="79"/>
      <c r="T385" s="79"/>
      <c r="Y385" s="79"/>
      <c r="AC385" s="130"/>
      <c r="AE385" s="106"/>
    </row>
    <row r="386">
      <c r="C386" s="79"/>
      <c r="D386" s="79"/>
      <c r="E386" s="79"/>
      <c r="O386" s="79"/>
      <c r="S386" s="79"/>
      <c r="T386" s="79"/>
      <c r="Y386" s="79"/>
      <c r="AC386" s="130"/>
      <c r="AE386" s="106"/>
    </row>
    <row r="387">
      <c r="C387" s="79"/>
      <c r="D387" s="79"/>
      <c r="E387" s="79"/>
      <c r="O387" s="79"/>
      <c r="S387" s="79"/>
      <c r="T387" s="79"/>
      <c r="Y387" s="79"/>
      <c r="AC387" s="130"/>
      <c r="AE387" s="106"/>
    </row>
    <row r="388">
      <c r="C388" s="79"/>
      <c r="D388" s="79"/>
      <c r="E388" s="79"/>
      <c r="O388" s="79"/>
      <c r="S388" s="79"/>
      <c r="T388" s="79"/>
      <c r="Y388" s="79"/>
      <c r="AC388" s="130"/>
      <c r="AE388" s="106"/>
    </row>
    <row r="389">
      <c r="C389" s="79"/>
      <c r="D389" s="79"/>
      <c r="E389" s="79"/>
      <c r="O389" s="79"/>
      <c r="S389" s="79"/>
      <c r="T389" s="79"/>
      <c r="Y389" s="79"/>
      <c r="AC389" s="130"/>
      <c r="AE389" s="106"/>
    </row>
    <row r="390">
      <c r="C390" s="79"/>
      <c r="D390" s="79"/>
      <c r="E390" s="79"/>
      <c r="O390" s="79"/>
      <c r="S390" s="79"/>
      <c r="T390" s="79"/>
      <c r="Y390" s="79"/>
      <c r="AC390" s="130"/>
      <c r="AE390" s="106"/>
    </row>
    <row r="391">
      <c r="C391" s="79"/>
      <c r="D391" s="79"/>
      <c r="E391" s="79"/>
      <c r="O391" s="79"/>
      <c r="S391" s="79"/>
      <c r="T391" s="79"/>
      <c r="Y391" s="79"/>
      <c r="AC391" s="130"/>
      <c r="AE391" s="106"/>
    </row>
    <row r="392">
      <c r="C392" s="79"/>
      <c r="D392" s="79"/>
      <c r="E392" s="79"/>
      <c r="O392" s="79"/>
      <c r="S392" s="79"/>
      <c r="T392" s="79"/>
      <c r="Y392" s="79"/>
      <c r="AC392" s="130"/>
      <c r="AE392" s="106"/>
    </row>
    <row r="393">
      <c r="C393" s="79"/>
      <c r="D393" s="79"/>
      <c r="E393" s="79"/>
      <c r="O393" s="79"/>
      <c r="S393" s="79"/>
      <c r="T393" s="79"/>
      <c r="Y393" s="79"/>
      <c r="AC393" s="130"/>
      <c r="AE393" s="106"/>
    </row>
    <row r="394">
      <c r="C394" s="79"/>
      <c r="D394" s="79"/>
      <c r="E394" s="79"/>
      <c r="O394" s="79"/>
      <c r="S394" s="79"/>
      <c r="T394" s="79"/>
      <c r="Y394" s="79"/>
      <c r="AC394" s="130"/>
      <c r="AE394" s="106"/>
    </row>
    <row r="395">
      <c r="C395" s="79"/>
      <c r="D395" s="79"/>
      <c r="E395" s="79"/>
      <c r="O395" s="79"/>
      <c r="S395" s="79"/>
      <c r="T395" s="79"/>
      <c r="Y395" s="79"/>
      <c r="AC395" s="130"/>
      <c r="AE395" s="106"/>
    </row>
    <row r="396">
      <c r="C396" s="79"/>
      <c r="D396" s="79"/>
      <c r="E396" s="79"/>
      <c r="O396" s="79"/>
      <c r="S396" s="79"/>
      <c r="T396" s="79"/>
      <c r="Y396" s="79"/>
      <c r="AC396" s="130"/>
      <c r="AE396" s="106"/>
    </row>
    <row r="397">
      <c r="C397" s="79"/>
      <c r="D397" s="79"/>
      <c r="E397" s="79"/>
      <c r="O397" s="79"/>
      <c r="S397" s="79"/>
      <c r="T397" s="79"/>
      <c r="Y397" s="79"/>
      <c r="AC397" s="130"/>
      <c r="AE397" s="106"/>
    </row>
    <row r="398">
      <c r="C398" s="79"/>
      <c r="D398" s="79"/>
      <c r="E398" s="79"/>
      <c r="O398" s="79"/>
      <c r="S398" s="79"/>
      <c r="T398" s="79"/>
      <c r="Y398" s="79"/>
      <c r="AC398" s="130"/>
      <c r="AE398" s="106"/>
    </row>
    <row r="399">
      <c r="C399" s="79"/>
      <c r="D399" s="79"/>
      <c r="E399" s="79"/>
      <c r="O399" s="79"/>
      <c r="S399" s="79"/>
      <c r="T399" s="79"/>
      <c r="Y399" s="79"/>
      <c r="AC399" s="130"/>
      <c r="AE399" s="106"/>
    </row>
    <row r="400">
      <c r="C400" s="79"/>
      <c r="D400" s="79"/>
      <c r="E400" s="79"/>
      <c r="O400" s="79"/>
      <c r="S400" s="79"/>
      <c r="T400" s="79"/>
      <c r="Y400" s="79"/>
      <c r="AC400" s="130"/>
      <c r="AE400" s="106"/>
    </row>
    <row r="401">
      <c r="C401" s="79"/>
      <c r="D401" s="79"/>
      <c r="E401" s="79"/>
      <c r="O401" s="79"/>
      <c r="S401" s="79"/>
      <c r="T401" s="79"/>
      <c r="Y401" s="79"/>
      <c r="AC401" s="130"/>
      <c r="AE401" s="106"/>
    </row>
    <row r="402">
      <c r="C402" s="79"/>
      <c r="D402" s="79"/>
      <c r="E402" s="79"/>
      <c r="O402" s="79"/>
      <c r="S402" s="79"/>
      <c r="T402" s="79"/>
      <c r="Y402" s="79"/>
      <c r="AC402" s="130"/>
      <c r="AE402" s="106"/>
    </row>
    <row r="403">
      <c r="C403" s="79"/>
      <c r="D403" s="79"/>
      <c r="E403" s="79"/>
      <c r="O403" s="79"/>
      <c r="S403" s="79"/>
      <c r="T403" s="79"/>
      <c r="Y403" s="79"/>
      <c r="AC403" s="130"/>
      <c r="AE403" s="106"/>
    </row>
    <row r="404">
      <c r="C404" s="79"/>
      <c r="D404" s="79"/>
      <c r="E404" s="79"/>
      <c r="O404" s="79"/>
      <c r="S404" s="79"/>
      <c r="T404" s="79"/>
      <c r="Y404" s="79"/>
      <c r="AC404" s="130"/>
      <c r="AE404" s="106"/>
    </row>
    <row r="405">
      <c r="C405" s="79"/>
      <c r="D405" s="79"/>
      <c r="E405" s="79"/>
      <c r="O405" s="79"/>
      <c r="S405" s="79"/>
      <c r="T405" s="79"/>
      <c r="Y405" s="79"/>
      <c r="AC405" s="130"/>
      <c r="AE405" s="106"/>
    </row>
    <row r="406">
      <c r="C406" s="79"/>
      <c r="D406" s="79"/>
      <c r="E406" s="79"/>
      <c r="O406" s="79"/>
      <c r="S406" s="79"/>
      <c r="T406" s="79"/>
      <c r="Y406" s="79"/>
      <c r="AC406" s="130"/>
      <c r="AE406" s="106"/>
    </row>
    <row r="407">
      <c r="C407" s="79"/>
      <c r="D407" s="79"/>
      <c r="E407" s="79"/>
      <c r="O407" s="79"/>
      <c r="S407" s="79"/>
      <c r="T407" s="79"/>
      <c r="Y407" s="79"/>
      <c r="AC407" s="130"/>
      <c r="AE407" s="106"/>
    </row>
    <row r="408">
      <c r="C408" s="79"/>
      <c r="D408" s="79"/>
      <c r="E408" s="79"/>
      <c r="O408" s="79"/>
      <c r="S408" s="79"/>
      <c r="T408" s="79"/>
      <c r="Y408" s="79"/>
      <c r="AC408" s="130"/>
      <c r="AE408" s="106"/>
    </row>
    <row r="409">
      <c r="C409" s="79"/>
      <c r="D409" s="79"/>
      <c r="E409" s="79"/>
      <c r="O409" s="79"/>
      <c r="S409" s="79"/>
      <c r="T409" s="79"/>
      <c r="Y409" s="79"/>
      <c r="AC409" s="130"/>
      <c r="AE409" s="106"/>
    </row>
    <row r="410">
      <c r="C410" s="79"/>
      <c r="D410" s="79"/>
      <c r="E410" s="79"/>
      <c r="O410" s="79"/>
      <c r="S410" s="79"/>
      <c r="T410" s="79"/>
      <c r="Y410" s="79"/>
      <c r="AC410" s="130"/>
      <c r="AE410" s="106"/>
    </row>
    <row r="411">
      <c r="C411" s="79"/>
      <c r="D411" s="79"/>
      <c r="E411" s="79"/>
      <c r="O411" s="79"/>
      <c r="S411" s="79"/>
      <c r="T411" s="79"/>
      <c r="Y411" s="79"/>
      <c r="AC411" s="130"/>
      <c r="AE411" s="106"/>
    </row>
    <row r="412">
      <c r="C412" s="79"/>
      <c r="D412" s="79"/>
      <c r="E412" s="79"/>
      <c r="O412" s="79"/>
      <c r="S412" s="79"/>
      <c r="T412" s="79"/>
      <c r="Y412" s="79"/>
      <c r="AC412" s="130"/>
      <c r="AE412" s="106"/>
    </row>
    <row r="413">
      <c r="C413" s="79"/>
      <c r="D413" s="79"/>
      <c r="E413" s="79"/>
      <c r="O413" s="79"/>
      <c r="S413" s="79"/>
      <c r="T413" s="79"/>
      <c r="Y413" s="79"/>
      <c r="AC413" s="130"/>
      <c r="AE413" s="106"/>
    </row>
    <row r="414">
      <c r="C414" s="79"/>
      <c r="D414" s="79"/>
      <c r="E414" s="79"/>
      <c r="O414" s="79"/>
      <c r="S414" s="79"/>
      <c r="T414" s="79"/>
      <c r="Y414" s="79"/>
      <c r="AC414" s="130"/>
      <c r="AE414" s="106"/>
    </row>
    <row r="415">
      <c r="C415" s="79"/>
      <c r="D415" s="79"/>
      <c r="E415" s="79"/>
      <c r="O415" s="79"/>
      <c r="S415" s="79"/>
      <c r="T415" s="79"/>
      <c r="Y415" s="79"/>
      <c r="AC415" s="130"/>
      <c r="AE415" s="106"/>
    </row>
    <row r="416">
      <c r="C416" s="79"/>
      <c r="D416" s="79"/>
      <c r="E416" s="79"/>
      <c r="O416" s="79"/>
      <c r="S416" s="79"/>
      <c r="T416" s="79"/>
      <c r="Y416" s="79"/>
      <c r="AC416" s="130"/>
      <c r="AE416" s="106"/>
    </row>
    <row r="417">
      <c r="C417" s="79"/>
      <c r="D417" s="79"/>
      <c r="E417" s="79"/>
      <c r="O417" s="79"/>
      <c r="S417" s="79"/>
      <c r="T417" s="79"/>
      <c r="Y417" s="79"/>
      <c r="AC417" s="130"/>
      <c r="AE417" s="106"/>
    </row>
    <row r="418">
      <c r="C418" s="79"/>
      <c r="D418" s="79"/>
      <c r="E418" s="79"/>
      <c r="O418" s="79"/>
      <c r="S418" s="79"/>
      <c r="T418" s="79"/>
      <c r="Y418" s="79"/>
      <c r="AC418" s="130"/>
      <c r="AE418" s="106"/>
    </row>
    <row r="419">
      <c r="C419" s="79"/>
      <c r="D419" s="79"/>
      <c r="E419" s="79"/>
      <c r="O419" s="79"/>
      <c r="S419" s="79"/>
      <c r="T419" s="79"/>
      <c r="Y419" s="79"/>
      <c r="AC419" s="130"/>
      <c r="AE419" s="106"/>
    </row>
    <row r="420">
      <c r="C420" s="79"/>
      <c r="D420" s="79"/>
      <c r="E420" s="79"/>
      <c r="O420" s="79"/>
      <c r="S420" s="79"/>
      <c r="T420" s="79"/>
      <c r="Y420" s="79"/>
      <c r="AC420" s="130"/>
      <c r="AE420" s="106"/>
    </row>
    <row r="421">
      <c r="C421" s="79"/>
      <c r="D421" s="79"/>
      <c r="E421" s="79"/>
      <c r="O421" s="79"/>
      <c r="S421" s="79"/>
      <c r="T421" s="79"/>
      <c r="Y421" s="79"/>
      <c r="AC421" s="130"/>
      <c r="AE421" s="106"/>
    </row>
    <row r="422">
      <c r="C422" s="79"/>
      <c r="D422" s="79"/>
      <c r="E422" s="79"/>
      <c r="O422" s="79"/>
      <c r="S422" s="79"/>
      <c r="T422" s="79"/>
      <c r="Y422" s="79"/>
      <c r="AC422" s="130"/>
      <c r="AE422" s="106"/>
    </row>
    <row r="423">
      <c r="C423" s="79"/>
      <c r="D423" s="79"/>
      <c r="E423" s="79"/>
      <c r="O423" s="79"/>
      <c r="S423" s="79"/>
      <c r="T423" s="79"/>
      <c r="Y423" s="79"/>
      <c r="AC423" s="130"/>
      <c r="AE423" s="106"/>
    </row>
    <row r="424">
      <c r="C424" s="79"/>
      <c r="D424" s="79"/>
      <c r="E424" s="79"/>
      <c r="O424" s="79"/>
      <c r="S424" s="79"/>
      <c r="T424" s="79"/>
      <c r="Y424" s="79"/>
      <c r="AC424" s="130"/>
      <c r="AE424" s="106"/>
    </row>
    <row r="425">
      <c r="C425" s="79"/>
      <c r="D425" s="79"/>
      <c r="E425" s="79"/>
      <c r="O425" s="79"/>
      <c r="S425" s="79"/>
      <c r="T425" s="79"/>
      <c r="Y425" s="79"/>
      <c r="AC425" s="130"/>
      <c r="AE425" s="106"/>
    </row>
    <row r="426">
      <c r="C426" s="79"/>
      <c r="D426" s="79"/>
      <c r="E426" s="79"/>
      <c r="O426" s="79"/>
      <c r="S426" s="79"/>
      <c r="T426" s="79"/>
      <c r="Y426" s="79"/>
      <c r="AC426" s="130"/>
      <c r="AE426" s="106"/>
    </row>
    <row r="427">
      <c r="C427" s="79"/>
      <c r="D427" s="79"/>
      <c r="E427" s="79"/>
      <c r="O427" s="79"/>
      <c r="S427" s="79"/>
      <c r="T427" s="79"/>
      <c r="Y427" s="79"/>
      <c r="AC427" s="130"/>
      <c r="AE427" s="106"/>
    </row>
    <row r="428">
      <c r="C428" s="79"/>
      <c r="D428" s="79"/>
      <c r="E428" s="79"/>
      <c r="O428" s="79"/>
      <c r="S428" s="79"/>
      <c r="T428" s="79"/>
      <c r="Y428" s="79"/>
      <c r="AC428" s="130"/>
      <c r="AE428" s="106"/>
    </row>
    <row r="429">
      <c r="C429" s="79"/>
      <c r="D429" s="79"/>
      <c r="E429" s="79"/>
      <c r="O429" s="79"/>
      <c r="S429" s="79"/>
      <c r="T429" s="79"/>
      <c r="Y429" s="79"/>
      <c r="AC429" s="130"/>
      <c r="AE429" s="106"/>
    </row>
    <row r="430">
      <c r="C430" s="79"/>
      <c r="D430" s="79"/>
      <c r="E430" s="79"/>
      <c r="O430" s="79"/>
      <c r="S430" s="79"/>
      <c r="T430" s="79"/>
      <c r="Y430" s="79"/>
      <c r="AC430" s="130"/>
      <c r="AE430" s="106"/>
    </row>
    <row r="431">
      <c r="C431" s="79"/>
      <c r="D431" s="79"/>
      <c r="E431" s="79"/>
      <c r="O431" s="79"/>
      <c r="S431" s="79"/>
      <c r="T431" s="79"/>
      <c r="Y431" s="79"/>
      <c r="AC431" s="130"/>
      <c r="AE431" s="106"/>
    </row>
    <row r="432">
      <c r="C432" s="79"/>
      <c r="D432" s="79"/>
      <c r="E432" s="79"/>
      <c r="O432" s="79"/>
      <c r="S432" s="79"/>
      <c r="T432" s="79"/>
      <c r="Y432" s="79"/>
      <c r="AC432" s="130"/>
      <c r="AE432" s="106"/>
    </row>
    <row r="433">
      <c r="C433" s="79"/>
      <c r="D433" s="79"/>
      <c r="E433" s="79"/>
      <c r="O433" s="79"/>
      <c r="S433" s="79"/>
      <c r="T433" s="79"/>
      <c r="Y433" s="79"/>
      <c r="AC433" s="130"/>
      <c r="AE433" s="106"/>
    </row>
    <row r="434">
      <c r="C434" s="79"/>
      <c r="D434" s="79"/>
      <c r="E434" s="79"/>
      <c r="O434" s="79"/>
      <c r="S434" s="79"/>
      <c r="T434" s="79"/>
      <c r="Y434" s="79"/>
      <c r="AC434" s="130"/>
      <c r="AE434" s="106"/>
    </row>
    <row r="435">
      <c r="C435" s="79"/>
      <c r="D435" s="79"/>
      <c r="E435" s="79"/>
      <c r="O435" s="79"/>
      <c r="S435" s="79"/>
      <c r="T435" s="79"/>
      <c r="Y435" s="79"/>
      <c r="AC435" s="130"/>
      <c r="AE435" s="106"/>
    </row>
    <row r="436">
      <c r="C436" s="79"/>
      <c r="D436" s="79"/>
      <c r="E436" s="79"/>
      <c r="O436" s="79"/>
      <c r="S436" s="79"/>
      <c r="T436" s="79"/>
      <c r="Y436" s="79"/>
      <c r="AC436" s="130"/>
      <c r="AE436" s="106"/>
    </row>
    <row r="437">
      <c r="C437" s="79"/>
      <c r="D437" s="79"/>
      <c r="E437" s="79"/>
      <c r="O437" s="79"/>
      <c r="S437" s="79"/>
      <c r="T437" s="79"/>
      <c r="Y437" s="79"/>
      <c r="AC437" s="130"/>
      <c r="AE437" s="106"/>
    </row>
    <row r="438">
      <c r="C438" s="79"/>
      <c r="D438" s="79"/>
      <c r="E438" s="79"/>
      <c r="O438" s="79"/>
      <c r="S438" s="79"/>
      <c r="T438" s="79"/>
      <c r="Y438" s="79"/>
      <c r="AC438" s="130"/>
      <c r="AE438" s="106"/>
    </row>
    <row r="439">
      <c r="C439" s="79"/>
      <c r="D439" s="79"/>
      <c r="E439" s="79"/>
      <c r="O439" s="79"/>
      <c r="S439" s="79"/>
      <c r="T439" s="79"/>
      <c r="Y439" s="79"/>
      <c r="AC439" s="130"/>
      <c r="AE439" s="106"/>
    </row>
    <row r="440">
      <c r="C440" s="79"/>
      <c r="D440" s="79"/>
      <c r="E440" s="79"/>
      <c r="O440" s="79"/>
      <c r="S440" s="79"/>
      <c r="T440" s="79"/>
      <c r="Y440" s="79"/>
      <c r="AC440" s="130"/>
      <c r="AE440" s="106"/>
    </row>
    <row r="441">
      <c r="C441" s="79"/>
      <c r="D441" s="79"/>
      <c r="E441" s="79"/>
      <c r="O441" s="79"/>
      <c r="S441" s="79"/>
      <c r="T441" s="79"/>
      <c r="Y441" s="79"/>
      <c r="AC441" s="130"/>
      <c r="AE441" s="106"/>
    </row>
    <row r="442">
      <c r="C442" s="79"/>
      <c r="D442" s="79"/>
      <c r="E442" s="79"/>
      <c r="O442" s="79"/>
      <c r="S442" s="79"/>
      <c r="T442" s="79"/>
      <c r="Y442" s="79"/>
      <c r="AC442" s="130"/>
      <c r="AE442" s="106"/>
    </row>
    <row r="443">
      <c r="C443" s="79"/>
      <c r="D443" s="79"/>
      <c r="E443" s="79"/>
      <c r="O443" s="79"/>
      <c r="S443" s="79"/>
      <c r="T443" s="79"/>
      <c r="Y443" s="79"/>
      <c r="AC443" s="130"/>
      <c r="AE443" s="106"/>
    </row>
    <row r="444">
      <c r="C444" s="79"/>
      <c r="D444" s="79"/>
      <c r="E444" s="79"/>
      <c r="O444" s="79"/>
      <c r="S444" s="79"/>
      <c r="T444" s="79"/>
      <c r="Y444" s="79"/>
      <c r="AC444" s="130"/>
      <c r="AE444" s="106"/>
    </row>
    <row r="445">
      <c r="C445" s="79"/>
      <c r="D445" s="79"/>
      <c r="E445" s="79"/>
      <c r="O445" s="79"/>
      <c r="S445" s="79"/>
      <c r="T445" s="79"/>
      <c r="Y445" s="79"/>
      <c r="AC445" s="130"/>
      <c r="AE445" s="106"/>
    </row>
    <row r="446">
      <c r="C446" s="79"/>
      <c r="D446" s="79"/>
      <c r="E446" s="79"/>
      <c r="O446" s="79"/>
      <c r="S446" s="79"/>
      <c r="T446" s="79"/>
      <c r="Y446" s="79"/>
      <c r="AC446" s="130"/>
      <c r="AE446" s="106"/>
    </row>
    <row r="447">
      <c r="C447" s="79"/>
      <c r="D447" s="79"/>
      <c r="E447" s="79"/>
      <c r="O447" s="79"/>
      <c r="S447" s="79"/>
      <c r="T447" s="79"/>
      <c r="Y447" s="79"/>
      <c r="AC447" s="130"/>
      <c r="AE447" s="106"/>
    </row>
    <row r="448">
      <c r="C448" s="79"/>
      <c r="D448" s="79"/>
      <c r="E448" s="79"/>
      <c r="O448" s="79"/>
      <c r="S448" s="79"/>
      <c r="T448" s="79"/>
      <c r="Y448" s="79"/>
      <c r="AC448" s="130"/>
      <c r="AE448" s="106"/>
    </row>
    <row r="449">
      <c r="C449" s="79"/>
      <c r="D449" s="79"/>
      <c r="E449" s="79"/>
      <c r="O449" s="79"/>
      <c r="S449" s="79"/>
      <c r="T449" s="79"/>
      <c r="Y449" s="79"/>
      <c r="AC449" s="130"/>
      <c r="AE449" s="106"/>
    </row>
    <row r="450">
      <c r="C450" s="79"/>
      <c r="D450" s="79"/>
      <c r="E450" s="79"/>
      <c r="O450" s="79"/>
      <c r="S450" s="79"/>
      <c r="T450" s="79"/>
      <c r="Y450" s="79"/>
      <c r="AC450" s="130"/>
      <c r="AE450" s="106"/>
    </row>
    <row r="451">
      <c r="C451" s="79"/>
      <c r="D451" s="79"/>
      <c r="E451" s="79"/>
      <c r="O451" s="79"/>
      <c r="S451" s="79"/>
      <c r="T451" s="79"/>
      <c r="Y451" s="79"/>
      <c r="AC451" s="130"/>
      <c r="AE451" s="106"/>
    </row>
    <row r="452">
      <c r="C452" s="79"/>
      <c r="D452" s="79"/>
      <c r="E452" s="79"/>
      <c r="O452" s="79"/>
      <c r="S452" s="79"/>
      <c r="T452" s="79"/>
      <c r="Y452" s="79"/>
      <c r="AC452" s="130"/>
      <c r="AE452" s="106"/>
    </row>
    <row r="453">
      <c r="C453" s="79"/>
      <c r="D453" s="79"/>
      <c r="E453" s="79"/>
      <c r="O453" s="79"/>
      <c r="S453" s="79"/>
      <c r="T453" s="79"/>
      <c r="Y453" s="79"/>
      <c r="AC453" s="130"/>
      <c r="AE453" s="106"/>
    </row>
    <row r="454">
      <c r="C454" s="79"/>
      <c r="D454" s="79"/>
      <c r="E454" s="79"/>
      <c r="O454" s="79"/>
      <c r="S454" s="79"/>
      <c r="T454" s="79"/>
      <c r="Y454" s="79"/>
      <c r="AC454" s="130"/>
      <c r="AE454" s="106"/>
    </row>
    <row r="455">
      <c r="C455" s="79"/>
      <c r="D455" s="79"/>
      <c r="E455" s="79"/>
      <c r="O455" s="79"/>
      <c r="S455" s="79"/>
      <c r="T455" s="79"/>
      <c r="Y455" s="79"/>
      <c r="AC455" s="130"/>
      <c r="AE455" s="106"/>
    </row>
    <row r="456">
      <c r="C456" s="79"/>
      <c r="D456" s="79"/>
      <c r="E456" s="79"/>
      <c r="O456" s="79"/>
      <c r="S456" s="79"/>
      <c r="T456" s="79"/>
      <c r="Y456" s="79"/>
      <c r="AC456" s="130"/>
      <c r="AE456" s="106"/>
    </row>
    <row r="457">
      <c r="C457" s="79"/>
      <c r="D457" s="79"/>
      <c r="E457" s="79"/>
      <c r="O457" s="79"/>
      <c r="S457" s="79"/>
      <c r="T457" s="79"/>
      <c r="Y457" s="79"/>
      <c r="AC457" s="130"/>
      <c r="AE457" s="106"/>
    </row>
    <row r="458">
      <c r="C458" s="79"/>
      <c r="D458" s="79"/>
      <c r="E458" s="79"/>
      <c r="O458" s="79"/>
      <c r="S458" s="79"/>
      <c r="T458" s="79"/>
      <c r="Y458" s="79"/>
      <c r="AC458" s="130"/>
      <c r="AE458" s="106"/>
    </row>
    <row r="459">
      <c r="C459" s="79"/>
      <c r="D459" s="79"/>
      <c r="E459" s="79"/>
      <c r="O459" s="79"/>
      <c r="S459" s="79"/>
      <c r="T459" s="79"/>
      <c r="Y459" s="79"/>
      <c r="AC459" s="130"/>
      <c r="AE459" s="106"/>
    </row>
    <row r="460">
      <c r="C460" s="79"/>
      <c r="D460" s="79"/>
      <c r="E460" s="79"/>
      <c r="O460" s="79"/>
      <c r="S460" s="79"/>
      <c r="T460" s="79"/>
      <c r="Y460" s="79"/>
      <c r="AC460" s="130"/>
      <c r="AE460" s="106"/>
    </row>
    <row r="461">
      <c r="C461" s="79"/>
      <c r="D461" s="79"/>
      <c r="E461" s="79"/>
      <c r="O461" s="79"/>
      <c r="S461" s="79"/>
      <c r="T461" s="79"/>
      <c r="Y461" s="79"/>
      <c r="AC461" s="130"/>
      <c r="AE461" s="106"/>
    </row>
    <row r="462">
      <c r="C462" s="79"/>
      <c r="D462" s="79"/>
      <c r="E462" s="79"/>
      <c r="O462" s="79"/>
      <c r="S462" s="79"/>
      <c r="T462" s="79"/>
      <c r="Y462" s="79"/>
      <c r="AC462" s="130"/>
      <c r="AE462" s="106"/>
    </row>
    <row r="463">
      <c r="C463" s="79"/>
      <c r="D463" s="79"/>
      <c r="E463" s="79"/>
      <c r="O463" s="79"/>
      <c r="S463" s="79"/>
      <c r="T463" s="79"/>
      <c r="Y463" s="79"/>
      <c r="AC463" s="130"/>
      <c r="AE463" s="106"/>
    </row>
    <row r="464">
      <c r="C464" s="79"/>
      <c r="D464" s="79"/>
      <c r="E464" s="79"/>
      <c r="O464" s="79"/>
      <c r="S464" s="79"/>
      <c r="T464" s="79"/>
      <c r="Y464" s="79"/>
      <c r="AC464" s="130"/>
      <c r="AE464" s="106"/>
    </row>
    <row r="465">
      <c r="C465" s="79"/>
      <c r="D465" s="79"/>
      <c r="E465" s="79"/>
      <c r="O465" s="79"/>
      <c r="S465" s="79"/>
      <c r="T465" s="79"/>
      <c r="Y465" s="79"/>
      <c r="AC465" s="130"/>
      <c r="AE465" s="106"/>
    </row>
    <row r="466">
      <c r="C466" s="79"/>
      <c r="D466" s="79"/>
      <c r="E466" s="79"/>
      <c r="O466" s="79"/>
      <c r="S466" s="79"/>
      <c r="T466" s="79"/>
      <c r="Y466" s="79"/>
      <c r="AC466" s="130"/>
      <c r="AE466" s="106"/>
    </row>
    <row r="467">
      <c r="C467" s="79"/>
      <c r="D467" s="79"/>
      <c r="E467" s="79"/>
      <c r="O467" s="79"/>
      <c r="S467" s="79"/>
      <c r="T467" s="79"/>
      <c r="Y467" s="79"/>
      <c r="AC467" s="130"/>
      <c r="AE467" s="106"/>
    </row>
    <row r="468">
      <c r="C468" s="79"/>
      <c r="D468" s="79"/>
      <c r="E468" s="79"/>
      <c r="O468" s="79"/>
      <c r="S468" s="79"/>
      <c r="T468" s="79"/>
      <c r="Y468" s="79"/>
      <c r="AC468" s="130"/>
      <c r="AE468" s="106"/>
    </row>
    <row r="469">
      <c r="C469" s="79"/>
      <c r="D469" s="79"/>
      <c r="E469" s="79"/>
      <c r="O469" s="79"/>
      <c r="S469" s="79"/>
      <c r="T469" s="79"/>
      <c r="Y469" s="79"/>
      <c r="AC469" s="130"/>
      <c r="AE469" s="106"/>
    </row>
    <row r="470">
      <c r="C470" s="79"/>
      <c r="D470" s="79"/>
      <c r="E470" s="79"/>
      <c r="O470" s="79"/>
      <c r="S470" s="79"/>
      <c r="T470" s="79"/>
      <c r="Y470" s="79"/>
      <c r="AC470" s="130"/>
      <c r="AE470" s="106"/>
    </row>
    <row r="471">
      <c r="C471" s="79"/>
      <c r="D471" s="79"/>
      <c r="E471" s="79"/>
      <c r="O471" s="79"/>
      <c r="S471" s="79"/>
      <c r="T471" s="79"/>
      <c r="Y471" s="79"/>
      <c r="AC471" s="130"/>
      <c r="AE471" s="106"/>
    </row>
    <row r="472">
      <c r="C472" s="79"/>
      <c r="D472" s="79"/>
      <c r="E472" s="79"/>
      <c r="O472" s="79"/>
      <c r="S472" s="79"/>
      <c r="T472" s="79"/>
      <c r="Y472" s="79"/>
      <c r="AC472" s="130"/>
      <c r="AE472" s="106"/>
    </row>
    <row r="473">
      <c r="C473" s="79"/>
      <c r="D473" s="79"/>
      <c r="E473" s="79"/>
      <c r="O473" s="79"/>
      <c r="S473" s="79"/>
      <c r="T473" s="79"/>
      <c r="Y473" s="79"/>
      <c r="AC473" s="130"/>
      <c r="AE473" s="106"/>
    </row>
    <row r="474">
      <c r="C474" s="79"/>
      <c r="D474" s="79"/>
      <c r="E474" s="79"/>
      <c r="O474" s="79"/>
      <c r="S474" s="79"/>
      <c r="T474" s="79"/>
      <c r="Y474" s="79"/>
      <c r="AC474" s="130"/>
      <c r="AE474" s="106"/>
    </row>
    <row r="475">
      <c r="C475" s="79"/>
      <c r="D475" s="79"/>
      <c r="E475" s="79"/>
      <c r="O475" s="79"/>
      <c r="S475" s="79"/>
      <c r="T475" s="79"/>
      <c r="Y475" s="79"/>
      <c r="AC475" s="130"/>
      <c r="AE475" s="106"/>
    </row>
    <row r="476">
      <c r="C476" s="79"/>
      <c r="D476" s="79"/>
      <c r="E476" s="79"/>
      <c r="O476" s="79"/>
      <c r="S476" s="79"/>
      <c r="T476" s="79"/>
      <c r="Y476" s="79"/>
      <c r="AC476" s="130"/>
      <c r="AE476" s="106"/>
    </row>
    <row r="477">
      <c r="C477" s="79"/>
      <c r="D477" s="79"/>
      <c r="E477" s="79"/>
      <c r="O477" s="79"/>
      <c r="S477" s="79"/>
      <c r="T477" s="79"/>
      <c r="Y477" s="79"/>
      <c r="AC477" s="130"/>
      <c r="AE477" s="106"/>
    </row>
    <row r="478">
      <c r="C478" s="79"/>
      <c r="D478" s="79"/>
      <c r="E478" s="79"/>
      <c r="O478" s="79"/>
      <c r="S478" s="79"/>
      <c r="T478" s="79"/>
      <c r="Y478" s="79"/>
      <c r="AC478" s="130"/>
      <c r="AE478" s="106"/>
    </row>
    <row r="479">
      <c r="C479" s="79"/>
      <c r="D479" s="79"/>
      <c r="E479" s="79"/>
      <c r="O479" s="79"/>
      <c r="S479" s="79"/>
      <c r="T479" s="79"/>
      <c r="Y479" s="79"/>
      <c r="AC479" s="130"/>
      <c r="AE479" s="106"/>
    </row>
    <row r="480">
      <c r="C480" s="79"/>
      <c r="D480" s="79"/>
      <c r="E480" s="79"/>
      <c r="O480" s="79"/>
      <c r="S480" s="79"/>
      <c r="T480" s="79"/>
      <c r="Y480" s="79"/>
      <c r="AC480" s="130"/>
      <c r="AE480" s="106"/>
    </row>
    <row r="481">
      <c r="C481" s="79"/>
      <c r="D481" s="79"/>
      <c r="E481" s="79"/>
      <c r="O481" s="79"/>
      <c r="S481" s="79"/>
      <c r="T481" s="79"/>
      <c r="Y481" s="79"/>
      <c r="AC481" s="130"/>
      <c r="AE481" s="106"/>
    </row>
    <row r="482">
      <c r="C482" s="79"/>
      <c r="D482" s="79"/>
      <c r="E482" s="79"/>
      <c r="O482" s="79"/>
      <c r="S482" s="79"/>
      <c r="T482" s="79"/>
      <c r="Y482" s="79"/>
      <c r="AC482" s="130"/>
      <c r="AE482" s="106"/>
    </row>
    <row r="483">
      <c r="C483" s="79"/>
      <c r="D483" s="79"/>
      <c r="E483" s="79"/>
      <c r="O483" s="79"/>
      <c r="S483" s="79"/>
      <c r="T483" s="79"/>
      <c r="Y483" s="79"/>
      <c r="AC483" s="130"/>
      <c r="AE483" s="106"/>
    </row>
    <row r="484">
      <c r="C484" s="79"/>
      <c r="D484" s="79"/>
      <c r="E484" s="79"/>
      <c r="O484" s="79"/>
      <c r="S484" s="79"/>
      <c r="T484" s="79"/>
      <c r="Y484" s="79"/>
      <c r="AC484" s="130"/>
      <c r="AE484" s="106"/>
    </row>
    <row r="485">
      <c r="C485" s="79"/>
      <c r="D485" s="79"/>
      <c r="E485" s="79"/>
      <c r="O485" s="79"/>
      <c r="S485" s="79"/>
      <c r="T485" s="79"/>
      <c r="Y485" s="79"/>
      <c r="AC485" s="130"/>
      <c r="AE485" s="106"/>
    </row>
    <row r="486">
      <c r="C486" s="79"/>
      <c r="D486" s="79"/>
      <c r="E486" s="79"/>
      <c r="O486" s="79"/>
      <c r="S486" s="79"/>
      <c r="T486" s="79"/>
      <c r="Y486" s="79"/>
      <c r="AC486" s="130"/>
      <c r="AE486" s="106"/>
    </row>
    <row r="487">
      <c r="C487" s="79"/>
      <c r="D487" s="79"/>
      <c r="E487" s="79"/>
      <c r="O487" s="79"/>
      <c r="S487" s="79"/>
      <c r="T487" s="79"/>
      <c r="Y487" s="79"/>
      <c r="AC487" s="130"/>
      <c r="AE487" s="106"/>
    </row>
    <row r="488">
      <c r="C488" s="79"/>
      <c r="D488" s="79"/>
      <c r="E488" s="79"/>
      <c r="O488" s="79"/>
      <c r="S488" s="79"/>
      <c r="T488" s="79"/>
      <c r="Y488" s="79"/>
      <c r="AC488" s="130"/>
      <c r="AE488" s="106"/>
    </row>
    <row r="489">
      <c r="C489" s="79"/>
      <c r="D489" s="79"/>
      <c r="E489" s="79"/>
      <c r="O489" s="79"/>
      <c r="S489" s="79"/>
      <c r="T489" s="79"/>
      <c r="Y489" s="79"/>
      <c r="AC489" s="130"/>
      <c r="AE489" s="106"/>
    </row>
    <row r="490">
      <c r="C490" s="79"/>
      <c r="D490" s="79"/>
      <c r="E490" s="79"/>
      <c r="O490" s="79"/>
      <c r="S490" s="79"/>
      <c r="T490" s="79"/>
      <c r="Y490" s="79"/>
      <c r="AC490" s="130"/>
      <c r="AE490" s="106"/>
    </row>
    <row r="491">
      <c r="C491" s="79"/>
      <c r="D491" s="79"/>
      <c r="E491" s="79"/>
      <c r="O491" s="79"/>
      <c r="S491" s="79"/>
      <c r="T491" s="79"/>
      <c r="Y491" s="79"/>
      <c r="AC491" s="130"/>
      <c r="AE491" s="106"/>
    </row>
    <row r="492">
      <c r="C492" s="79"/>
      <c r="D492" s="79"/>
      <c r="E492" s="79"/>
      <c r="O492" s="79"/>
      <c r="S492" s="79"/>
      <c r="T492" s="79"/>
      <c r="Y492" s="79"/>
      <c r="AC492" s="130"/>
      <c r="AE492" s="106"/>
    </row>
    <row r="493">
      <c r="C493" s="79"/>
      <c r="D493" s="79"/>
      <c r="E493" s="79"/>
      <c r="O493" s="79"/>
      <c r="S493" s="79"/>
      <c r="T493" s="79"/>
      <c r="Y493" s="79"/>
      <c r="AC493" s="130"/>
      <c r="AE493" s="106"/>
    </row>
    <row r="494">
      <c r="C494" s="79"/>
      <c r="D494" s="79"/>
      <c r="E494" s="79"/>
      <c r="O494" s="79"/>
      <c r="S494" s="79"/>
      <c r="T494" s="79"/>
      <c r="Y494" s="79"/>
      <c r="AC494" s="130"/>
      <c r="AE494" s="106"/>
    </row>
    <row r="495">
      <c r="C495" s="79"/>
      <c r="D495" s="79"/>
      <c r="E495" s="79"/>
      <c r="O495" s="79"/>
      <c r="S495" s="79"/>
      <c r="T495" s="79"/>
      <c r="Y495" s="79"/>
      <c r="AC495" s="130"/>
      <c r="AE495" s="106"/>
    </row>
    <row r="496">
      <c r="C496" s="79"/>
      <c r="D496" s="79"/>
      <c r="E496" s="79"/>
      <c r="O496" s="79"/>
      <c r="S496" s="79"/>
      <c r="T496" s="79"/>
      <c r="Y496" s="79"/>
      <c r="AC496" s="130"/>
      <c r="AE496" s="106"/>
    </row>
    <row r="497">
      <c r="C497" s="79"/>
      <c r="D497" s="79"/>
      <c r="E497" s="79"/>
      <c r="O497" s="79"/>
      <c r="S497" s="79"/>
      <c r="T497" s="79"/>
      <c r="Y497" s="79"/>
      <c r="AC497" s="130"/>
      <c r="AE497" s="106"/>
    </row>
    <row r="498">
      <c r="C498" s="79"/>
      <c r="D498" s="79"/>
      <c r="E498" s="79"/>
      <c r="O498" s="79"/>
      <c r="S498" s="79"/>
      <c r="T498" s="79"/>
      <c r="Y498" s="79"/>
      <c r="AC498" s="130"/>
      <c r="AE498" s="106"/>
    </row>
    <row r="499">
      <c r="C499" s="79"/>
      <c r="D499" s="79"/>
      <c r="E499" s="79"/>
      <c r="O499" s="79"/>
      <c r="S499" s="79"/>
      <c r="T499" s="79"/>
      <c r="Y499" s="79"/>
      <c r="AC499" s="130"/>
      <c r="AE499" s="106"/>
    </row>
    <row r="500">
      <c r="C500" s="79"/>
      <c r="D500" s="79"/>
      <c r="E500" s="79"/>
      <c r="O500" s="79"/>
      <c r="S500" s="79"/>
      <c r="T500" s="79"/>
      <c r="Y500" s="79"/>
      <c r="AC500" s="130"/>
      <c r="AE500" s="106"/>
    </row>
    <row r="501">
      <c r="C501" s="79"/>
      <c r="D501" s="79"/>
      <c r="E501" s="79"/>
      <c r="O501" s="79"/>
      <c r="S501" s="79"/>
      <c r="T501" s="79"/>
      <c r="Y501" s="79"/>
      <c r="AC501" s="130"/>
      <c r="AE501" s="106"/>
    </row>
    <row r="502">
      <c r="C502" s="79"/>
      <c r="D502" s="79"/>
      <c r="E502" s="79"/>
      <c r="O502" s="79"/>
      <c r="S502" s="79"/>
      <c r="T502" s="79"/>
      <c r="Y502" s="79"/>
      <c r="AC502" s="130"/>
      <c r="AE502" s="106"/>
    </row>
    <row r="503">
      <c r="C503" s="79"/>
      <c r="D503" s="79"/>
      <c r="E503" s="79"/>
      <c r="O503" s="79"/>
      <c r="S503" s="79"/>
      <c r="T503" s="79"/>
      <c r="Y503" s="79"/>
      <c r="AC503" s="130"/>
      <c r="AE503" s="106"/>
    </row>
    <row r="504">
      <c r="C504" s="79"/>
      <c r="D504" s="79"/>
      <c r="E504" s="79"/>
      <c r="O504" s="79"/>
      <c r="S504" s="79"/>
      <c r="T504" s="79"/>
      <c r="Y504" s="79"/>
      <c r="AC504" s="130"/>
      <c r="AE504" s="106"/>
    </row>
    <row r="505">
      <c r="C505" s="79"/>
      <c r="D505" s="79"/>
      <c r="E505" s="79"/>
      <c r="O505" s="79"/>
      <c r="S505" s="79"/>
      <c r="T505" s="79"/>
      <c r="Y505" s="79"/>
      <c r="AC505" s="130"/>
      <c r="AE505" s="106"/>
    </row>
    <row r="506">
      <c r="C506" s="79"/>
      <c r="D506" s="79"/>
      <c r="E506" s="79"/>
      <c r="O506" s="79"/>
      <c r="S506" s="79"/>
      <c r="T506" s="79"/>
      <c r="Y506" s="79"/>
      <c r="AC506" s="130"/>
      <c r="AE506" s="106"/>
    </row>
    <row r="507">
      <c r="C507" s="79"/>
      <c r="D507" s="79"/>
      <c r="E507" s="79"/>
      <c r="O507" s="79"/>
      <c r="S507" s="79"/>
      <c r="T507" s="79"/>
      <c r="Y507" s="79"/>
      <c r="AC507" s="130"/>
      <c r="AE507" s="106"/>
    </row>
    <row r="508">
      <c r="C508" s="79"/>
      <c r="D508" s="79"/>
      <c r="E508" s="79"/>
      <c r="O508" s="79"/>
      <c r="S508" s="79"/>
      <c r="T508" s="79"/>
      <c r="Y508" s="79"/>
      <c r="AC508" s="130"/>
      <c r="AE508" s="106"/>
    </row>
    <row r="509">
      <c r="C509" s="79"/>
      <c r="D509" s="79"/>
      <c r="E509" s="79"/>
      <c r="O509" s="79"/>
      <c r="S509" s="79"/>
      <c r="T509" s="79"/>
      <c r="Y509" s="79"/>
      <c r="AC509" s="130"/>
      <c r="AE509" s="106"/>
    </row>
    <row r="510">
      <c r="C510" s="79"/>
      <c r="D510" s="79"/>
      <c r="E510" s="79"/>
      <c r="O510" s="79"/>
      <c r="S510" s="79"/>
      <c r="T510" s="79"/>
      <c r="Y510" s="79"/>
      <c r="AC510" s="130"/>
      <c r="AE510" s="106"/>
    </row>
    <row r="511">
      <c r="C511" s="79"/>
      <c r="D511" s="79"/>
      <c r="E511" s="79"/>
      <c r="O511" s="79"/>
      <c r="S511" s="79"/>
      <c r="T511" s="79"/>
      <c r="Y511" s="79"/>
      <c r="AC511" s="130"/>
      <c r="AE511" s="106"/>
    </row>
    <row r="512">
      <c r="C512" s="79"/>
      <c r="D512" s="79"/>
      <c r="E512" s="79"/>
      <c r="O512" s="79"/>
      <c r="S512" s="79"/>
      <c r="T512" s="79"/>
      <c r="Y512" s="79"/>
      <c r="AC512" s="130"/>
      <c r="AE512" s="106"/>
    </row>
    <row r="513">
      <c r="C513" s="79"/>
      <c r="D513" s="79"/>
      <c r="E513" s="79"/>
      <c r="O513" s="79"/>
      <c r="S513" s="79"/>
      <c r="T513" s="79"/>
      <c r="Y513" s="79"/>
      <c r="AC513" s="130"/>
      <c r="AE513" s="106"/>
    </row>
    <row r="514">
      <c r="C514" s="79"/>
      <c r="D514" s="79"/>
      <c r="E514" s="79"/>
      <c r="O514" s="79"/>
      <c r="S514" s="79"/>
      <c r="T514" s="79"/>
      <c r="Y514" s="79"/>
      <c r="AC514" s="130"/>
      <c r="AE514" s="106"/>
    </row>
    <row r="515">
      <c r="C515" s="79"/>
      <c r="D515" s="79"/>
      <c r="E515" s="79"/>
      <c r="O515" s="79"/>
      <c r="S515" s="79"/>
      <c r="T515" s="79"/>
      <c r="Y515" s="79"/>
      <c r="AC515" s="130"/>
      <c r="AE515" s="106"/>
    </row>
    <row r="516">
      <c r="C516" s="79"/>
      <c r="D516" s="79"/>
      <c r="E516" s="79"/>
      <c r="O516" s="79"/>
      <c r="S516" s="79"/>
      <c r="T516" s="79"/>
      <c r="Y516" s="79"/>
      <c r="AC516" s="130"/>
      <c r="AE516" s="106"/>
    </row>
    <row r="517">
      <c r="C517" s="79"/>
      <c r="D517" s="79"/>
      <c r="E517" s="79"/>
      <c r="O517" s="79"/>
      <c r="S517" s="79"/>
      <c r="T517" s="79"/>
      <c r="Y517" s="79"/>
      <c r="AC517" s="130"/>
      <c r="AE517" s="106"/>
    </row>
    <row r="518">
      <c r="C518" s="79"/>
      <c r="D518" s="79"/>
      <c r="E518" s="79"/>
      <c r="O518" s="79"/>
      <c r="S518" s="79"/>
      <c r="T518" s="79"/>
      <c r="Y518" s="79"/>
      <c r="AC518" s="130"/>
      <c r="AE518" s="106"/>
    </row>
    <row r="519">
      <c r="C519" s="79"/>
      <c r="D519" s="79"/>
      <c r="E519" s="79"/>
      <c r="O519" s="79"/>
      <c r="S519" s="79"/>
      <c r="T519" s="79"/>
      <c r="Y519" s="79"/>
      <c r="AC519" s="130"/>
      <c r="AE519" s="106"/>
    </row>
    <row r="520">
      <c r="C520" s="79"/>
      <c r="D520" s="79"/>
      <c r="E520" s="79"/>
      <c r="O520" s="79"/>
      <c r="S520" s="79"/>
      <c r="T520" s="79"/>
      <c r="Y520" s="79"/>
      <c r="AC520" s="130"/>
      <c r="AE520" s="106"/>
    </row>
    <row r="521">
      <c r="C521" s="79"/>
      <c r="D521" s="79"/>
      <c r="E521" s="79"/>
      <c r="O521" s="79"/>
      <c r="S521" s="79"/>
      <c r="T521" s="79"/>
      <c r="Y521" s="79"/>
      <c r="AC521" s="130"/>
      <c r="AE521" s="106"/>
    </row>
    <row r="522">
      <c r="C522" s="79"/>
      <c r="D522" s="79"/>
      <c r="E522" s="79"/>
      <c r="O522" s="79"/>
      <c r="S522" s="79"/>
      <c r="T522" s="79"/>
      <c r="Y522" s="79"/>
      <c r="AC522" s="130"/>
      <c r="AE522" s="106"/>
    </row>
    <row r="523">
      <c r="C523" s="79"/>
      <c r="D523" s="79"/>
      <c r="E523" s="79"/>
      <c r="O523" s="79"/>
      <c r="S523" s="79"/>
      <c r="T523" s="79"/>
      <c r="Y523" s="79"/>
      <c r="AC523" s="130"/>
      <c r="AE523" s="106"/>
    </row>
    <row r="524">
      <c r="C524" s="79"/>
      <c r="D524" s="79"/>
      <c r="E524" s="79"/>
      <c r="O524" s="79"/>
      <c r="S524" s="79"/>
      <c r="T524" s="79"/>
      <c r="Y524" s="79"/>
      <c r="AC524" s="130"/>
      <c r="AE524" s="106"/>
    </row>
    <row r="525">
      <c r="C525" s="79"/>
      <c r="D525" s="79"/>
      <c r="E525" s="79"/>
      <c r="O525" s="79"/>
      <c r="S525" s="79"/>
      <c r="T525" s="79"/>
      <c r="Y525" s="79"/>
      <c r="AC525" s="130"/>
      <c r="AE525" s="106"/>
    </row>
    <row r="526">
      <c r="C526" s="79"/>
      <c r="D526" s="79"/>
      <c r="E526" s="79"/>
      <c r="O526" s="79"/>
      <c r="S526" s="79"/>
      <c r="T526" s="79"/>
      <c r="Y526" s="79"/>
      <c r="AC526" s="130"/>
      <c r="AE526" s="106"/>
    </row>
    <row r="527">
      <c r="C527" s="79"/>
      <c r="D527" s="79"/>
      <c r="E527" s="79"/>
      <c r="O527" s="79"/>
      <c r="S527" s="79"/>
      <c r="T527" s="79"/>
      <c r="Y527" s="79"/>
      <c r="AC527" s="130"/>
      <c r="AE527" s="106"/>
    </row>
    <row r="528">
      <c r="C528" s="79"/>
      <c r="D528" s="79"/>
      <c r="E528" s="79"/>
      <c r="O528" s="79"/>
      <c r="S528" s="79"/>
      <c r="T528" s="79"/>
      <c r="Y528" s="79"/>
      <c r="AC528" s="130"/>
      <c r="AE528" s="106"/>
    </row>
    <row r="529">
      <c r="C529" s="79"/>
      <c r="D529" s="79"/>
      <c r="E529" s="79"/>
      <c r="O529" s="79"/>
      <c r="S529" s="79"/>
      <c r="T529" s="79"/>
      <c r="Y529" s="79"/>
      <c r="AC529" s="130"/>
      <c r="AE529" s="106"/>
    </row>
    <row r="530">
      <c r="C530" s="79"/>
      <c r="D530" s="79"/>
      <c r="E530" s="79"/>
      <c r="O530" s="79"/>
      <c r="S530" s="79"/>
      <c r="T530" s="79"/>
      <c r="Y530" s="79"/>
      <c r="AC530" s="130"/>
      <c r="AE530" s="106"/>
    </row>
    <row r="531">
      <c r="C531" s="79"/>
      <c r="D531" s="79"/>
      <c r="E531" s="79"/>
      <c r="O531" s="79"/>
      <c r="S531" s="79"/>
      <c r="T531" s="79"/>
      <c r="Y531" s="79"/>
      <c r="AC531" s="130"/>
      <c r="AE531" s="106"/>
    </row>
    <row r="532">
      <c r="C532" s="79"/>
      <c r="D532" s="79"/>
      <c r="E532" s="79"/>
      <c r="O532" s="79"/>
      <c r="S532" s="79"/>
      <c r="T532" s="79"/>
      <c r="Y532" s="79"/>
      <c r="AC532" s="130"/>
      <c r="AE532" s="106"/>
    </row>
    <row r="533">
      <c r="C533" s="79"/>
      <c r="D533" s="79"/>
      <c r="E533" s="79"/>
      <c r="O533" s="79"/>
      <c r="S533" s="79"/>
      <c r="T533" s="79"/>
      <c r="Y533" s="79"/>
      <c r="AC533" s="130"/>
      <c r="AE533" s="106"/>
    </row>
    <row r="534">
      <c r="C534" s="79"/>
      <c r="D534" s="79"/>
      <c r="E534" s="79"/>
      <c r="O534" s="79"/>
      <c r="S534" s="79"/>
      <c r="T534" s="79"/>
      <c r="Y534" s="79"/>
      <c r="AC534" s="130"/>
      <c r="AE534" s="106"/>
    </row>
    <row r="535">
      <c r="C535" s="79"/>
      <c r="D535" s="79"/>
      <c r="E535" s="79"/>
      <c r="O535" s="79"/>
      <c r="S535" s="79"/>
      <c r="T535" s="79"/>
      <c r="Y535" s="79"/>
      <c r="AC535" s="130"/>
      <c r="AE535" s="106"/>
    </row>
    <row r="536">
      <c r="C536" s="79"/>
      <c r="D536" s="79"/>
      <c r="E536" s="79"/>
      <c r="O536" s="79"/>
      <c r="S536" s="79"/>
      <c r="T536" s="79"/>
      <c r="Y536" s="79"/>
      <c r="AC536" s="130"/>
      <c r="AE536" s="106"/>
    </row>
    <row r="537">
      <c r="C537" s="79"/>
      <c r="D537" s="79"/>
      <c r="E537" s="79"/>
      <c r="O537" s="79"/>
      <c r="S537" s="79"/>
      <c r="T537" s="79"/>
      <c r="Y537" s="79"/>
      <c r="AC537" s="130"/>
      <c r="AE537" s="106"/>
    </row>
    <row r="538">
      <c r="C538" s="79"/>
      <c r="D538" s="79"/>
      <c r="E538" s="79"/>
      <c r="O538" s="79"/>
      <c r="S538" s="79"/>
      <c r="T538" s="79"/>
      <c r="Y538" s="79"/>
      <c r="AC538" s="130"/>
      <c r="AE538" s="106"/>
    </row>
    <row r="539">
      <c r="C539" s="79"/>
      <c r="D539" s="79"/>
      <c r="E539" s="79"/>
      <c r="O539" s="79"/>
      <c r="S539" s="79"/>
      <c r="T539" s="79"/>
      <c r="Y539" s="79"/>
      <c r="AC539" s="130"/>
      <c r="AE539" s="106"/>
    </row>
    <row r="540">
      <c r="C540" s="79"/>
      <c r="D540" s="79"/>
      <c r="E540" s="79"/>
      <c r="O540" s="79"/>
      <c r="S540" s="79"/>
      <c r="T540" s="79"/>
      <c r="Y540" s="79"/>
      <c r="AC540" s="130"/>
      <c r="AE540" s="106"/>
    </row>
    <row r="541">
      <c r="C541" s="79"/>
      <c r="D541" s="79"/>
      <c r="E541" s="79"/>
      <c r="O541" s="79"/>
      <c r="S541" s="79"/>
      <c r="T541" s="79"/>
      <c r="Y541" s="79"/>
      <c r="AC541" s="130"/>
      <c r="AE541" s="106"/>
    </row>
    <row r="542">
      <c r="C542" s="79"/>
      <c r="D542" s="79"/>
      <c r="E542" s="79"/>
      <c r="O542" s="79"/>
      <c r="S542" s="79"/>
      <c r="T542" s="79"/>
      <c r="Y542" s="79"/>
      <c r="AC542" s="130"/>
      <c r="AE542" s="106"/>
    </row>
    <row r="543">
      <c r="C543" s="79"/>
      <c r="D543" s="79"/>
      <c r="E543" s="79"/>
      <c r="O543" s="79"/>
      <c r="S543" s="79"/>
      <c r="T543" s="79"/>
      <c r="Y543" s="79"/>
      <c r="AC543" s="130"/>
      <c r="AE543" s="106"/>
    </row>
    <row r="544">
      <c r="C544" s="79"/>
      <c r="D544" s="79"/>
      <c r="E544" s="79"/>
      <c r="O544" s="79"/>
      <c r="S544" s="79"/>
      <c r="T544" s="79"/>
      <c r="Y544" s="79"/>
      <c r="AC544" s="130"/>
      <c r="AE544" s="106"/>
    </row>
    <row r="545">
      <c r="C545" s="79"/>
      <c r="D545" s="79"/>
      <c r="E545" s="79"/>
      <c r="O545" s="79"/>
      <c r="S545" s="79"/>
      <c r="T545" s="79"/>
      <c r="Y545" s="79"/>
      <c r="AC545" s="130"/>
      <c r="AE545" s="106"/>
    </row>
    <row r="546">
      <c r="C546" s="79"/>
      <c r="D546" s="79"/>
      <c r="E546" s="79"/>
      <c r="O546" s="79"/>
      <c r="S546" s="79"/>
      <c r="T546" s="79"/>
      <c r="Y546" s="79"/>
      <c r="AC546" s="130"/>
      <c r="AE546" s="106"/>
    </row>
    <row r="547">
      <c r="C547" s="79"/>
      <c r="D547" s="79"/>
      <c r="E547" s="79"/>
      <c r="O547" s="79"/>
      <c r="S547" s="79"/>
      <c r="T547" s="79"/>
      <c r="Y547" s="79"/>
      <c r="AC547" s="130"/>
      <c r="AE547" s="106"/>
    </row>
    <row r="548">
      <c r="C548" s="79"/>
      <c r="D548" s="79"/>
      <c r="E548" s="79"/>
      <c r="O548" s="79"/>
      <c r="S548" s="79"/>
      <c r="T548" s="79"/>
      <c r="Y548" s="79"/>
      <c r="AC548" s="130"/>
      <c r="AE548" s="106"/>
    </row>
    <row r="549">
      <c r="C549" s="79"/>
      <c r="D549" s="79"/>
      <c r="E549" s="79"/>
      <c r="O549" s="79"/>
      <c r="S549" s="79"/>
      <c r="T549" s="79"/>
      <c r="Y549" s="79"/>
      <c r="AC549" s="130"/>
      <c r="AE549" s="106"/>
    </row>
    <row r="550">
      <c r="C550" s="79"/>
      <c r="D550" s="79"/>
      <c r="E550" s="79"/>
      <c r="O550" s="79"/>
      <c r="S550" s="79"/>
      <c r="T550" s="79"/>
      <c r="Y550" s="79"/>
      <c r="AC550" s="130"/>
      <c r="AE550" s="106"/>
    </row>
    <row r="551">
      <c r="C551" s="79"/>
      <c r="D551" s="79"/>
      <c r="E551" s="79"/>
      <c r="O551" s="79"/>
      <c r="S551" s="79"/>
      <c r="T551" s="79"/>
      <c r="Y551" s="79"/>
      <c r="AC551" s="130"/>
      <c r="AE551" s="106"/>
    </row>
    <row r="552">
      <c r="C552" s="79"/>
      <c r="D552" s="79"/>
      <c r="E552" s="79"/>
      <c r="O552" s="79"/>
      <c r="S552" s="79"/>
      <c r="T552" s="79"/>
      <c r="Y552" s="79"/>
      <c r="AC552" s="130"/>
      <c r="AE552" s="106"/>
    </row>
    <row r="553">
      <c r="C553" s="79"/>
      <c r="D553" s="79"/>
      <c r="E553" s="79"/>
      <c r="O553" s="79"/>
      <c r="S553" s="79"/>
      <c r="T553" s="79"/>
      <c r="Y553" s="79"/>
      <c r="AC553" s="130"/>
      <c r="AE553" s="106"/>
    </row>
    <row r="554">
      <c r="C554" s="79"/>
      <c r="D554" s="79"/>
      <c r="E554" s="79"/>
      <c r="O554" s="79"/>
      <c r="S554" s="79"/>
      <c r="T554" s="79"/>
      <c r="Y554" s="79"/>
      <c r="AC554" s="130"/>
      <c r="AE554" s="106"/>
    </row>
    <row r="555">
      <c r="C555" s="79"/>
      <c r="D555" s="79"/>
      <c r="E555" s="79"/>
      <c r="O555" s="79"/>
      <c r="S555" s="79"/>
      <c r="T555" s="79"/>
      <c r="Y555" s="79"/>
      <c r="AC555" s="130"/>
      <c r="AE555" s="106"/>
    </row>
    <row r="556">
      <c r="C556" s="79"/>
      <c r="D556" s="79"/>
      <c r="E556" s="79"/>
      <c r="O556" s="79"/>
      <c r="S556" s="79"/>
      <c r="T556" s="79"/>
      <c r="Y556" s="79"/>
      <c r="AC556" s="130"/>
      <c r="AE556" s="106"/>
    </row>
    <row r="557">
      <c r="C557" s="79"/>
      <c r="D557" s="79"/>
      <c r="E557" s="79"/>
      <c r="O557" s="79"/>
      <c r="S557" s="79"/>
      <c r="T557" s="79"/>
      <c r="Y557" s="79"/>
      <c r="AC557" s="130"/>
      <c r="AE557" s="106"/>
    </row>
    <row r="558">
      <c r="C558" s="79"/>
      <c r="D558" s="79"/>
      <c r="E558" s="79"/>
      <c r="O558" s="79"/>
      <c r="S558" s="79"/>
      <c r="T558" s="79"/>
      <c r="Y558" s="79"/>
      <c r="AC558" s="130"/>
      <c r="AE558" s="106"/>
    </row>
    <row r="559">
      <c r="C559" s="79"/>
      <c r="D559" s="79"/>
      <c r="E559" s="79"/>
      <c r="O559" s="79"/>
      <c r="S559" s="79"/>
      <c r="T559" s="79"/>
      <c r="Y559" s="79"/>
      <c r="AC559" s="130"/>
      <c r="AE559" s="106"/>
    </row>
    <row r="560">
      <c r="C560" s="79"/>
      <c r="D560" s="79"/>
      <c r="E560" s="79"/>
      <c r="O560" s="79"/>
      <c r="S560" s="79"/>
      <c r="T560" s="79"/>
      <c r="Y560" s="79"/>
      <c r="AC560" s="130"/>
      <c r="AE560" s="106"/>
    </row>
    <row r="561">
      <c r="C561" s="79"/>
      <c r="D561" s="79"/>
      <c r="E561" s="79"/>
      <c r="O561" s="79"/>
      <c r="S561" s="79"/>
      <c r="T561" s="79"/>
      <c r="Y561" s="79"/>
      <c r="AC561" s="130"/>
      <c r="AE561" s="106"/>
    </row>
    <row r="562">
      <c r="C562" s="79"/>
      <c r="D562" s="79"/>
      <c r="E562" s="79"/>
      <c r="O562" s="79"/>
      <c r="S562" s="79"/>
      <c r="T562" s="79"/>
      <c r="Y562" s="79"/>
      <c r="AC562" s="130"/>
      <c r="AE562" s="106"/>
    </row>
    <row r="563">
      <c r="C563" s="79"/>
      <c r="D563" s="79"/>
      <c r="E563" s="79"/>
      <c r="O563" s="79"/>
      <c r="S563" s="79"/>
      <c r="T563" s="79"/>
      <c r="Y563" s="79"/>
      <c r="AC563" s="130"/>
      <c r="AE563" s="106"/>
    </row>
    <row r="564">
      <c r="C564" s="79"/>
      <c r="D564" s="79"/>
      <c r="E564" s="79"/>
      <c r="O564" s="79"/>
      <c r="S564" s="79"/>
      <c r="T564" s="79"/>
      <c r="Y564" s="79"/>
      <c r="AC564" s="130"/>
      <c r="AE564" s="106"/>
    </row>
    <row r="565">
      <c r="C565" s="79"/>
      <c r="D565" s="79"/>
      <c r="E565" s="79"/>
      <c r="O565" s="79"/>
      <c r="S565" s="79"/>
      <c r="T565" s="79"/>
      <c r="Y565" s="79"/>
      <c r="AC565" s="130"/>
      <c r="AE565" s="106"/>
    </row>
    <row r="566">
      <c r="C566" s="79"/>
      <c r="D566" s="79"/>
      <c r="E566" s="79"/>
      <c r="O566" s="79"/>
      <c r="S566" s="79"/>
      <c r="T566" s="79"/>
      <c r="Y566" s="79"/>
      <c r="AC566" s="130"/>
      <c r="AE566" s="106"/>
    </row>
    <row r="567">
      <c r="C567" s="79"/>
      <c r="D567" s="79"/>
      <c r="E567" s="79"/>
      <c r="O567" s="79"/>
      <c r="S567" s="79"/>
      <c r="T567" s="79"/>
      <c r="Y567" s="79"/>
      <c r="AC567" s="130"/>
      <c r="AE567" s="106"/>
    </row>
    <row r="568">
      <c r="C568" s="79"/>
      <c r="D568" s="79"/>
      <c r="E568" s="79"/>
      <c r="O568" s="79"/>
      <c r="S568" s="79"/>
      <c r="T568" s="79"/>
      <c r="Y568" s="79"/>
      <c r="AC568" s="130"/>
      <c r="AE568" s="106"/>
    </row>
    <row r="569">
      <c r="C569" s="79"/>
      <c r="D569" s="79"/>
      <c r="E569" s="79"/>
      <c r="O569" s="79"/>
      <c r="S569" s="79"/>
      <c r="T569" s="79"/>
      <c r="Y569" s="79"/>
      <c r="AC569" s="130"/>
      <c r="AE569" s="106"/>
    </row>
    <row r="570">
      <c r="C570" s="79"/>
      <c r="D570" s="79"/>
      <c r="E570" s="79"/>
      <c r="O570" s="79"/>
      <c r="S570" s="79"/>
      <c r="T570" s="79"/>
      <c r="Y570" s="79"/>
      <c r="AC570" s="130"/>
      <c r="AE570" s="106"/>
    </row>
    <row r="571">
      <c r="C571" s="79"/>
      <c r="D571" s="79"/>
      <c r="E571" s="79"/>
      <c r="O571" s="79"/>
      <c r="S571" s="79"/>
      <c r="T571" s="79"/>
      <c r="Y571" s="79"/>
      <c r="AC571" s="130"/>
      <c r="AE571" s="106"/>
    </row>
    <row r="572">
      <c r="C572" s="79"/>
      <c r="D572" s="79"/>
      <c r="E572" s="79"/>
      <c r="O572" s="79"/>
      <c r="S572" s="79"/>
      <c r="T572" s="79"/>
      <c r="Y572" s="79"/>
      <c r="AC572" s="130"/>
      <c r="AE572" s="106"/>
    </row>
    <row r="573">
      <c r="C573" s="79"/>
      <c r="D573" s="79"/>
      <c r="E573" s="79"/>
      <c r="O573" s="79"/>
      <c r="S573" s="79"/>
      <c r="T573" s="79"/>
      <c r="Y573" s="79"/>
      <c r="AC573" s="130"/>
      <c r="AE573" s="106"/>
    </row>
    <row r="574">
      <c r="C574" s="79"/>
      <c r="D574" s="79"/>
      <c r="E574" s="79"/>
      <c r="O574" s="79"/>
      <c r="S574" s="79"/>
      <c r="T574" s="79"/>
      <c r="Y574" s="79"/>
      <c r="AC574" s="130"/>
      <c r="AE574" s="106"/>
    </row>
    <row r="575">
      <c r="C575" s="79"/>
      <c r="D575" s="79"/>
      <c r="E575" s="79"/>
      <c r="O575" s="79"/>
      <c r="S575" s="79"/>
      <c r="T575" s="79"/>
      <c r="Y575" s="79"/>
      <c r="AC575" s="130"/>
      <c r="AE575" s="106"/>
    </row>
    <row r="576">
      <c r="C576" s="79"/>
      <c r="D576" s="79"/>
      <c r="E576" s="79"/>
      <c r="O576" s="79"/>
      <c r="S576" s="79"/>
      <c r="T576" s="79"/>
      <c r="Y576" s="79"/>
      <c r="AC576" s="130"/>
      <c r="AE576" s="106"/>
    </row>
    <row r="577">
      <c r="C577" s="79"/>
      <c r="D577" s="79"/>
      <c r="E577" s="79"/>
      <c r="O577" s="79"/>
      <c r="S577" s="79"/>
      <c r="T577" s="79"/>
      <c r="Y577" s="79"/>
      <c r="AC577" s="130"/>
      <c r="AE577" s="106"/>
    </row>
    <row r="578">
      <c r="C578" s="79"/>
      <c r="D578" s="79"/>
      <c r="E578" s="79"/>
      <c r="O578" s="79"/>
      <c r="S578" s="79"/>
      <c r="T578" s="79"/>
      <c r="Y578" s="79"/>
      <c r="AC578" s="130"/>
      <c r="AE578" s="106"/>
    </row>
    <row r="579">
      <c r="C579" s="79"/>
      <c r="D579" s="79"/>
      <c r="E579" s="79"/>
      <c r="O579" s="79"/>
      <c r="S579" s="79"/>
      <c r="T579" s="79"/>
      <c r="Y579" s="79"/>
      <c r="AC579" s="130"/>
      <c r="AE579" s="106"/>
    </row>
    <row r="580">
      <c r="C580" s="79"/>
      <c r="D580" s="79"/>
      <c r="E580" s="79"/>
      <c r="O580" s="79"/>
      <c r="S580" s="79"/>
      <c r="T580" s="79"/>
      <c r="Y580" s="79"/>
      <c r="AC580" s="130"/>
      <c r="AE580" s="106"/>
    </row>
    <row r="581">
      <c r="C581" s="79"/>
      <c r="D581" s="79"/>
      <c r="E581" s="79"/>
      <c r="O581" s="79"/>
      <c r="S581" s="79"/>
      <c r="T581" s="79"/>
      <c r="Y581" s="79"/>
      <c r="AC581" s="130"/>
      <c r="AE581" s="106"/>
    </row>
    <row r="582">
      <c r="C582" s="79"/>
      <c r="D582" s="79"/>
      <c r="E582" s="79"/>
      <c r="O582" s="79"/>
      <c r="S582" s="79"/>
      <c r="T582" s="79"/>
      <c r="Y582" s="79"/>
      <c r="AC582" s="130"/>
      <c r="AE582" s="106"/>
    </row>
    <row r="583">
      <c r="C583" s="79"/>
      <c r="D583" s="79"/>
      <c r="E583" s="79"/>
      <c r="O583" s="79"/>
      <c r="S583" s="79"/>
      <c r="T583" s="79"/>
      <c r="Y583" s="79"/>
      <c r="AC583" s="130"/>
      <c r="AE583" s="106"/>
    </row>
    <row r="584">
      <c r="C584" s="79"/>
      <c r="D584" s="79"/>
      <c r="E584" s="79"/>
      <c r="O584" s="79"/>
      <c r="S584" s="79"/>
      <c r="T584" s="79"/>
      <c r="Y584" s="79"/>
      <c r="AC584" s="130"/>
      <c r="AE584" s="106"/>
    </row>
    <row r="585">
      <c r="C585" s="79"/>
      <c r="D585" s="79"/>
      <c r="E585" s="79"/>
      <c r="O585" s="79"/>
      <c r="S585" s="79"/>
      <c r="T585" s="79"/>
      <c r="Y585" s="79"/>
      <c r="AC585" s="130"/>
      <c r="AE585" s="106"/>
    </row>
    <row r="586">
      <c r="C586" s="79"/>
      <c r="D586" s="79"/>
      <c r="E586" s="79"/>
      <c r="O586" s="79"/>
      <c r="S586" s="79"/>
      <c r="T586" s="79"/>
      <c r="Y586" s="79"/>
      <c r="AC586" s="130"/>
      <c r="AE586" s="106"/>
    </row>
    <row r="587">
      <c r="C587" s="79"/>
      <c r="D587" s="79"/>
      <c r="E587" s="79"/>
      <c r="O587" s="79"/>
      <c r="S587" s="79"/>
      <c r="T587" s="79"/>
      <c r="Y587" s="79"/>
      <c r="AC587" s="130"/>
      <c r="AE587" s="106"/>
    </row>
    <row r="588">
      <c r="C588" s="79"/>
      <c r="D588" s="79"/>
      <c r="E588" s="79"/>
      <c r="O588" s="79"/>
      <c r="S588" s="79"/>
      <c r="T588" s="79"/>
      <c r="Y588" s="79"/>
      <c r="AC588" s="130"/>
      <c r="AE588" s="106"/>
    </row>
    <row r="589">
      <c r="C589" s="79"/>
      <c r="D589" s="79"/>
      <c r="E589" s="79"/>
      <c r="O589" s="79"/>
      <c r="S589" s="79"/>
      <c r="T589" s="79"/>
      <c r="Y589" s="79"/>
      <c r="AC589" s="130"/>
      <c r="AE589" s="106"/>
    </row>
    <row r="590">
      <c r="C590" s="79"/>
      <c r="D590" s="79"/>
      <c r="E590" s="79"/>
      <c r="O590" s="79"/>
      <c r="S590" s="79"/>
      <c r="T590" s="79"/>
      <c r="Y590" s="79"/>
      <c r="AC590" s="130"/>
      <c r="AE590" s="106"/>
    </row>
    <row r="591">
      <c r="C591" s="79"/>
      <c r="D591" s="79"/>
      <c r="E591" s="79"/>
      <c r="O591" s="79"/>
      <c r="S591" s="79"/>
      <c r="T591" s="79"/>
      <c r="Y591" s="79"/>
      <c r="AC591" s="130"/>
      <c r="AE591" s="106"/>
    </row>
    <row r="592">
      <c r="C592" s="79"/>
      <c r="D592" s="79"/>
      <c r="E592" s="79"/>
      <c r="O592" s="79"/>
      <c r="S592" s="79"/>
      <c r="T592" s="79"/>
      <c r="Y592" s="79"/>
      <c r="AC592" s="130"/>
      <c r="AE592" s="106"/>
    </row>
    <row r="593">
      <c r="C593" s="79"/>
      <c r="D593" s="79"/>
      <c r="E593" s="79"/>
      <c r="O593" s="79"/>
      <c r="S593" s="79"/>
      <c r="T593" s="79"/>
      <c r="Y593" s="79"/>
      <c r="AC593" s="130"/>
      <c r="AE593" s="106"/>
    </row>
    <row r="594">
      <c r="C594" s="79"/>
      <c r="D594" s="79"/>
      <c r="E594" s="79"/>
      <c r="O594" s="79"/>
      <c r="S594" s="79"/>
      <c r="T594" s="79"/>
      <c r="Y594" s="79"/>
      <c r="AC594" s="130"/>
      <c r="AE594" s="106"/>
    </row>
    <row r="595">
      <c r="C595" s="79"/>
      <c r="D595" s="79"/>
      <c r="E595" s="79"/>
      <c r="O595" s="79"/>
      <c r="S595" s="79"/>
      <c r="T595" s="79"/>
      <c r="Y595" s="79"/>
      <c r="AC595" s="130"/>
      <c r="AE595" s="106"/>
    </row>
    <row r="596">
      <c r="C596" s="79"/>
      <c r="D596" s="79"/>
      <c r="E596" s="79"/>
      <c r="O596" s="79"/>
      <c r="S596" s="79"/>
      <c r="T596" s="79"/>
      <c r="Y596" s="79"/>
      <c r="AC596" s="130"/>
      <c r="AE596" s="106"/>
    </row>
    <row r="597">
      <c r="C597" s="79"/>
      <c r="D597" s="79"/>
      <c r="E597" s="79"/>
      <c r="O597" s="79"/>
      <c r="S597" s="79"/>
      <c r="T597" s="79"/>
      <c r="Y597" s="79"/>
      <c r="AC597" s="130"/>
      <c r="AE597" s="106"/>
    </row>
    <row r="598">
      <c r="C598" s="79"/>
      <c r="D598" s="79"/>
      <c r="E598" s="79"/>
      <c r="O598" s="79"/>
      <c r="S598" s="79"/>
      <c r="T598" s="79"/>
      <c r="Y598" s="79"/>
      <c r="AC598" s="130"/>
      <c r="AE598" s="106"/>
    </row>
    <row r="599">
      <c r="C599" s="79"/>
      <c r="D599" s="79"/>
      <c r="E599" s="79"/>
      <c r="O599" s="79"/>
      <c r="S599" s="79"/>
      <c r="T599" s="79"/>
      <c r="Y599" s="79"/>
      <c r="AC599" s="130"/>
      <c r="AE599" s="106"/>
    </row>
    <row r="600">
      <c r="C600" s="79"/>
      <c r="D600" s="79"/>
      <c r="E600" s="79"/>
      <c r="O600" s="79"/>
      <c r="S600" s="79"/>
      <c r="T600" s="79"/>
      <c r="Y600" s="79"/>
      <c r="AC600" s="130"/>
      <c r="AE600" s="106"/>
    </row>
    <row r="601">
      <c r="C601" s="79"/>
      <c r="D601" s="79"/>
      <c r="E601" s="79"/>
      <c r="O601" s="79"/>
      <c r="S601" s="79"/>
      <c r="T601" s="79"/>
      <c r="Y601" s="79"/>
      <c r="AC601" s="130"/>
      <c r="AE601" s="106"/>
    </row>
    <row r="602">
      <c r="C602" s="79"/>
      <c r="D602" s="79"/>
      <c r="E602" s="79"/>
      <c r="O602" s="79"/>
      <c r="S602" s="79"/>
      <c r="T602" s="79"/>
      <c r="Y602" s="79"/>
      <c r="AC602" s="130"/>
      <c r="AE602" s="106"/>
    </row>
    <row r="603">
      <c r="C603" s="79"/>
      <c r="D603" s="79"/>
      <c r="E603" s="79"/>
      <c r="O603" s="79"/>
      <c r="S603" s="79"/>
      <c r="T603" s="79"/>
      <c r="Y603" s="79"/>
      <c r="AC603" s="130"/>
      <c r="AE603" s="106"/>
    </row>
    <row r="604">
      <c r="C604" s="79"/>
      <c r="D604" s="79"/>
      <c r="E604" s="79"/>
      <c r="O604" s="79"/>
      <c r="S604" s="79"/>
      <c r="T604" s="79"/>
      <c r="Y604" s="79"/>
      <c r="AC604" s="130"/>
      <c r="AE604" s="106"/>
    </row>
    <row r="605">
      <c r="C605" s="79"/>
      <c r="D605" s="79"/>
      <c r="E605" s="79"/>
      <c r="O605" s="79"/>
      <c r="S605" s="79"/>
      <c r="T605" s="79"/>
      <c r="Y605" s="79"/>
      <c r="AC605" s="130"/>
      <c r="AE605" s="106"/>
    </row>
    <row r="606">
      <c r="C606" s="79"/>
      <c r="D606" s="79"/>
      <c r="E606" s="79"/>
      <c r="O606" s="79"/>
      <c r="S606" s="79"/>
      <c r="T606" s="79"/>
      <c r="Y606" s="79"/>
      <c r="AC606" s="130"/>
      <c r="AE606" s="106"/>
    </row>
    <row r="607">
      <c r="C607" s="79"/>
      <c r="D607" s="79"/>
      <c r="E607" s="79"/>
      <c r="O607" s="79"/>
      <c r="S607" s="79"/>
      <c r="T607" s="79"/>
      <c r="Y607" s="79"/>
      <c r="AC607" s="130"/>
      <c r="AE607" s="106"/>
    </row>
    <row r="608">
      <c r="C608" s="79"/>
      <c r="D608" s="79"/>
      <c r="E608" s="79"/>
      <c r="O608" s="79"/>
      <c r="S608" s="79"/>
      <c r="T608" s="79"/>
      <c r="Y608" s="79"/>
      <c r="AC608" s="130"/>
      <c r="AE608" s="106"/>
    </row>
    <row r="609">
      <c r="C609" s="79"/>
      <c r="D609" s="79"/>
      <c r="E609" s="79"/>
      <c r="O609" s="79"/>
      <c r="S609" s="79"/>
      <c r="T609" s="79"/>
      <c r="Y609" s="79"/>
      <c r="AC609" s="130"/>
      <c r="AE609" s="106"/>
    </row>
    <row r="610">
      <c r="C610" s="79"/>
      <c r="D610" s="79"/>
      <c r="E610" s="79"/>
      <c r="O610" s="79"/>
      <c r="S610" s="79"/>
      <c r="T610" s="79"/>
      <c r="Y610" s="79"/>
      <c r="AC610" s="130"/>
      <c r="AE610" s="106"/>
    </row>
    <row r="611">
      <c r="C611" s="79"/>
      <c r="D611" s="79"/>
      <c r="E611" s="79"/>
      <c r="O611" s="79"/>
      <c r="S611" s="79"/>
      <c r="T611" s="79"/>
      <c r="Y611" s="79"/>
      <c r="AC611" s="130"/>
      <c r="AE611" s="106"/>
    </row>
    <row r="612">
      <c r="C612" s="79"/>
      <c r="D612" s="79"/>
      <c r="E612" s="79"/>
      <c r="O612" s="79"/>
      <c r="S612" s="79"/>
      <c r="T612" s="79"/>
      <c r="Y612" s="79"/>
      <c r="AC612" s="130"/>
      <c r="AE612" s="106"/>
    </row>
    <row r="613">
      <c r="C613" s="79"/>
      <c r="D613" s="79"/>
      <c r="E613" s="79"/>
      <c r="O613" s="79"/>
      <c r="S613" s="79"/>
      <c r="T613" s="79"/>
      <c r="Y613" s="79"/>
      <c r="AC613" s="130"/>
      <c r="AE613" s="106"/>
    </row>
    <row r="614">
      <c r="C614" s="79"/>
      <c r="D614" s="79"/>
      <c r="E614" s="79"/>
      <c r="O614" s="79"/>
      <c r="S614" s="79"/>
      <c r="T614" s="79"/>
      <c r="Y614" s="79"/>
      <c r="AC614" s="130"/>
      <c r="AE614" s="106"/>
    </row>
    <row r="615">
      <c r="C615" s="79"/>
      <c r="D615" s="79"/>
      <c r="E615" s="79"/>
      <c r="O615" s="79"/>
      <c r="S615" s="79"/>
      <c r="T615" s="79"/>
      <c r="Y615" s="79"/>
      <c r="AC615" s="130"/>
      <c r="AE615" s="106"/>
    </row>
    <row r="616">
      <c r="C616" s="79"/>
      <c r="D616" s="79"/>
      <c r="E616" s="79"/>
      <c r="O616" s="79"/>
      <c r="S616" s="79"/>
      <c r="T616" s="79"/>
      <c r="Y616" s="79"/>
      <c r="AC616" s="130"/>
      <c r="AE616" s="106"/>
    </row>
    <row r="617">
      <c r="C617" s="79"/>
      <c r="D617" s="79"/>
      <c r="E617" s="79"/>
      <c r="O617" s="79"/>
      <c r="S617" s="79"/>
      <c r="T617" s="79"/>
      <c r="Y617" s="79"/>
      <c r="AC617" s="130"/>
      <c r="AE617" s="106"/>
    </row>
    <row r="618">
      <c r="C618" s="79"/>
      <c r="D618" s="79"/>
      <c r="E618" s="79"/>
      <c r="O618" s="79"/>
      <c r="S618" s="79"/>
      <c r="T618" s="79"/>
      <c r="Y618" s="79"/>
      <c r="AC618" s="130"/>
      <c r="AE618" s="106"/>
    </row>
    <row r="619">
      <c r="C619" s="79"/>
      <c r="D619" s="79"/>
      <c r="E619" s="79"/>
      <c r="O619" s="79"/>
      <c r="S619" s="79"/>
      <c r="T619" s="79"/>
      <c r="Y619" s="79"/>
      <c r="AC619" s="130"/>
      <c r="AE619" s="106"/>
    </row>
    <row r="620">
      <c r="C620" s="79"/>
      <c r="D620" s="79"/>
      <c r="E620" s="79"/>
      <c r="O620" s="79"/>
      <c r="S620" s="79"/>
      <c r="T620" s="79"/>
      <c r="Y620" s="79"/>
      <c r="AC620" s="130"/>
      <c r="AE620" s="106"/>
    </row>
    <row r="621">
      <c r="C621" s="79"/>
      <c r="D621" s="79"/>
      <c r="E621" s="79"/>
      <c r="O621" s="79"/>
      <c r="S621" s="79"/>
      <c r="T621" s="79"/>
      <c r="Y621" s="79"/>
      <c r="AC621" s="130"/>
      <c r="AE621" s="106"/>
    </row>
    <row r="622">
      <c r="C622" s="79"/>
      <c r="D622" s="79"/>
      <c r="E622" s="79"/>
      <c r="O622" s="79"/>
      <c r="S622" s="79"/>
      <c r="T622" s="79"/>
      <c r="Y622" s="79"/>
      <c r="AC622" s="130"/>
      <c r="AE622" s="106"/>
    </row>
    <row r="623">
      <c r="C623" s="79"/>
      <c r="D623" s="79"/>
      <c r="E623" s="79"/>
      <c r="O623" s="79"/>
      <c r="S623" s="79"/>
      <c r="T623" s="79"/>
      <c r="Y623" s="79"/>
      <c r="AC623" s="130"/>
      <c r="AE623" s="106"/>
    </row>
    <row r="624">
      <c r="C624" s="79"/>
      <c r="D624" s="79"/>
      <c r="E624" s="79"/>
      <c r="O624" s="79"/>
      <c r="S624" s="79"/>
      <c r="T624" s="79"/>
      <c r="Y624" s="79"/>
      <c r="AC624" s="130"/>
      <c r="AE624" s="106"/>
    </row>
    <row r="625">
      <c r="C625" s="79"/>
      <c r="D625" s="79"/>
      <c r="E625" s="79"/>
      <c r="O625" s="79"/>
      <c r="S625" s="79"/>
      <c r="T625" s="79"/>
      <c r="Y625" s="79"/>
      <c r="AC625" s="130"/>
      <c r="AE625" s="106"/>
    </row>
    <row r="626">
      <c r="C626" s="79"/>
      <c r="D626" s="79"/>
      <c r="E626" s="79"/>
      <c r="O626" s="79"/>
      <c r="S626" s="79"/>
      <c r="T626" s="79"/>
      <c r="Y626" s="79"/>
      <c r="AC626" s="130"/>
      <c r="AE626" s="106"/>
    </row>
    <row r="627">
      <c r="C627" s="79"/>
      <c r="D627" s="79"/>
      <c r="E627" s="79"/>
      <c r="O627" s="79"/>
      <c r="S627" s="79"/>
      <c r="T627" s="79"/>
      <c r="Y627" s="79"/>
      <c r="AC627" s="130"/>
      <c r="AE627" s="106"/>
    </row>
    <row r="628">
      <c r="C628" s="79"/>
      <c r="D628" s="79"/>
      <c r="E628" s="79"/>
      <c r="O628" s="79"/>
      <c r="S628" s="79"/>
      <c r="T628" s="79"/>
      <c r="Y628" s="79"/>
      <c r="AC628" s="130"/>
      <c r="AE628" s="106"/>
    </row>
    <row r="629">
      <c r="C629" s="79"/>
      <c r="D629" s="79"/>
      <c r="E629" s="79"/>
      <c r="O629" s="79"/>
      <c r="S629" s="79"/>
      <c r="T629" s="79"/>
      <c r="Y629" s="79"/>
      <c r="AC629" s="130"/>
      <c r="AE629" s="106"/>
    </row>
    <row r="630">
      <c r="C630" s="79"/>
      <c r="D630" s="79"/>
      <c r="E630" s="79"/>
      <c r="O630" s="79"/>
      <c r="S630" s="79"/>
      <c r="T630" s="79"/>
      <c r="Y630" s="79"/>
      <c r="AC630" s="130"/>
      <c r="AE630" s="106"/>
    </row>
    <row r="631">
      <c r="C631" s="79"/>
      <c r="D631" s="79"/>
      <c r="E631" s="79"/>
      <c r="O631" s="79"/>
      <c r="S631" s="79"/>
      <c r="T631" s="79"/>
      <c r="Y631" s="79"/>
      <c r="AC631" s="130"/>
      <c r="AE631" s="106"/>
    </row>
    <row r="632">
      <c r="C632" s="79"/>
      <c r="D632" s="79"/>
      <c r="E632" s="79"/>
      <c r="O632" s="79"/>
      <c r="S632" s="79"/>
      <c r="T632" s="79"/>
      <c r="Y632" s="79"/>
      <c r="AC632" s="130"/>
      <c r="AE632" s="106"/>
    </row>
    <row r="633">
      <c r="C633" s="79"/>
      <c r="D633" s="79"/>
      <c r="E633" s="79"/>
      <c r="O633" s="79"/>
      <c r="S633" s="79"/>
      <c r="T633" s="79"/>
      <c r="Y633" s="79"/>
      <c r="AC633" s="130"/>
      <c r="AE633" s="106"/>
    </row>
    <row r="634">
      <c r="C634" s="79"/>
      <c r="D634" s="79"/>
      <c r="E634" s="79"/>
      <c r="O634" s="79"/>
      <c r="S634" s="79"/>
      <c r="T634" s="79"/>
      <c r="Y634" s="79"/>
      <c r="AC634" s="130"/>
      <c r="AE634" s="106"/>
    </row>
    <row r="635">
      <c r="C635" s="79"/>
      <c r="D635" s="79"/>
      <c r="E635" s="79"/>
      <c r="O635" s="79"/>
      <c r="S635" s="79"/>
      <c r="T635" s="79"/>
      <c r="Y635" s="79"/>
      <c r="AC635" s="130"/>
      <c r="AE635" s="106"/>
    </row>
    <row r="636">
      <c r="C636" s="79"/>
      <c r="D636" s="79"/>
      <c r="E636" s="79"/>
      <c r="O636" s="79"/>
      <c r="S636" s="79"/>
      <c r="T636" s="79"/>
      <c r="Y636" s="79"/>
      <c r="AC636" s="130"/>
      <c r="AE636" s="106"/>
    </row>
    <row r="637">
      <c r="C637" s="79"/>
      <c r="D637" s="79"/>
      <c r="E637" s="79"/>
      <c r="O637" s="79"/>
      <c r="S637" s="79"/>
      <c r="T637" s="79"/>
      <c r="Y637" s="79"/>
      <c r="AC637" s="130"/>
      <c r="AE637" s="106"/>
    </row>
    <row r="638">
      <c r="C638" s="79"/>
      <c r="D638" s="79"/>
      <c r="E638" s="79"/>
      <c r="O638" s="79"/>
      <c r="S638" s="79"/>
      <c r="T638" s="79"/>
      <c r="Y638" s="79"/>
      <c r="AC638" s="130"/>
      <c r="AE638" s="106"/>
    </row>
    <row r="639">
      <c r="C639" s="79"/>
      <c r="D639" s="79"/>
      <c r="E639" s="79"/>
      <c r="O639" s="79"/>
      <c r="S639" s="79"/>
      <c r="T639" s="79"/>
      <c r="Y639" s="79"/>
      <c r="AC639" s="130"/>
      <c r="AE639" s="106"/>
    </row>
    <row r="640">
      <c r="C640" s="79"/>
      <c r="D640" s="79"/>
      <c r="E640" s="79"/>
      <c r="O640" s="79"/>
      <c r="S640" s="79"/>
      <c r="T640" s="79"/>
      <c r="Y640" s="79"/>
      <c r="AC640" s="130"/>
      <c r="AE640" s="106"/>
    </row>
    <row r="641">
      <c r="C641" s="79"/>
      <c r="D641" s="79"/>
      <c r="E641" s="79"/>
      <c r="O641" s="79"/>
      <c r="S641" s="79"/>
      <c r="T641" s="79"/>
      <c r="Y641" s="79"/>
      <c r="AC641" s="130"/>
      <c r="AE641" s="106"/>
    </row>
    <row r="642">
      <c r="C642" s="79"/>
      <c r="D642" s="79"/>
      <c r="E642" s="79"/>
      <c r="O642" s="79"/>
      <c r="S642" s="79"/>
      <c r="T642" s="79"/>
      <c r="Y642" s="79"/>
      <c r="AC642" s="130"/>
      <c r="AE642" s="106"/>
    </row>
    <row r="643">
      <c r="C643" s="79"/>
      <c r="D643" s="79"/>
      <c r="E643" s="79"/>
      <c r="O643" s="79"/>
      <c r="S643" s="79"/>
      <c r="T643" s="79"/>
      <c r="Y643" s="79"/>
      <c r="AC643" s="130"/>
      <c r="AE643" s="106"/>
    </row>
    <row r="644">
      <c r="C644" s="79"/>
      <c r="D644" s="79"/>
      <c r="E644" s="79"/>
      <c r="O644" s="79"/>
      <c r="S644" s="79"/>
      <c r="T644" s="79"/>
      <c r="Y644" s="79"/>
      <c r="AC644" s="130"/>
      <c r="AE644" s="106"/>
    </row>
    <row r="645">
      <c r="C645" s="79"/>
      <c r="D645" s="79"/>
      <c r="E645" s="79"/>
      <c r="O645" s="79"/>
      <c r="S645" s="79"/>
      <c r="T645" s="79"/>
      <c r="Y645" s="79"/>
      <c r="AC645" s="130"/>
      <c r="AE645" s="106"/>
    </row>
    <row r="646">
      <c r="C646" s="79"/>
      <c r="D646" s="79"/>
      <c r="E646" s="79"/>
      <c r="O646" s="79"/>
      <c r="S646" s="79"/>
      <c r="T646" s="79"/>
      <c r="Y646" s="79"/>
      <c r="AC646" s="130"/>
      <c r="AE646" s="106"/>
    </row>
    <row r="647">
      <c r="C647" s="79"/>
      <c r="D647" s="79"/>
      <c r="E647" s="79"/>
      <c r="O647" s="79"/>
      <c r="S647" s="79"/>
      <c r="T647" s="79"/>
      <c r="Y647" s="79"/>
      <c r="AC647" s="130"/>
      <c r="AE647" s="106"/>
    </row>
    <row r="648">
      <c r="C648" s="79"/>
      <c r="D648" s="79"/>
      <c r="E648" s="79"/>
      <c r="O648" s="79"/>
      <c r="S648" s="79"/>
      <c r="T648" s="79"/>
      <c r="Y648" s="79"/>
      <c r="AC648" s="130"/>
      <c r="AE648" s="106"/>
    </row>
    <row r="649">
      <c r="C649" s="79"/>
      <c r="D649" s="79"/>
      <c r="E649" s="79"/>
      <c r="O649" s="79"/>
      <c r="S649" s="79"/>
      <c r="T649" s="79"/>
      <c r="Y649" s="79"/>
      <c r="AC649" s="130"/>
      <c r="AE649" s="106"/>
    </row>
    <row r="650">
      <c r="C650" s="79"/>
      <c r="D650" s="79"/>
      <c r="E650" s="79"/>
      <c r="O650" s="79"/>
      <c r="S650" s="79"/>
      <c r="T650" s="79"/>
      <c r="Y650" s="79"/>
      <c r="AC650" s="130"/>
      <c r="AE650" s="106"/>
    </row>
    <row r="651">
      <c r="C651" s="79"/>
      <c r="D651" s="79"/>
      <c r="E651" s="79"/>
      <c r="O651" s="79"/>
      <c r="S651" s="79"/>
      <c r="T651" s="79"/>
      <c r="Y651" s="79"/>
      <c r="AC651" s="130"/>
      <c r="AE651" s="106"/>
    </row>
    <row r="652">
      <c r="C652" s="79"/>
      <c r="D652" s="79"/>
      <c r="E652" s="79"/>
      <c r="O652" s="79"/>
      <c r="S652" s="79"/>
      <c r="T652" s="79"/>
      <c r="Y652" s="79"/>
      <c r="AC652" s="130"/>
      <c r="AE652" s="106"/>
    </row>
    <row r="653">
      <c r="C653" s="79"/>
      <c r="D653" s="79"/>
      <c r="E653" s="79"/>
      <c r="O653" s="79"/>
      <c r="S653" s="79"/>
      <c r="T653" s="79"/>
      <c r="Y653" s="79"/>
      <c r="AC653" s="130"/>
      <c r="AE653" s="106"/>
    </row>
    <row r="654">
      <c r="C654" s="79"/>
      <c r="D654" s="79"/>
      <c r="E654" s="79"/>
      <c r="O654" s="79"/>
      <c r="S654" s="79"/>
      <c r="T654" s="79"/>
      <c r="Y654" s="79"/>
      <c r="AC654" s="130"/>
      <c r="AE654" s="106"/>
    </row>
    <row r="655">
      <c r="C655" s="79"/>
      <c r="D655" s="79"/>
      <c r="E655" s="79"/>
      <c r="O655" s="79"/>
      <c r="S655" s="79"/>
      <c r="T655" s="79"/>
      <c r="Y655" s="79"/>
      <c r="AC655" s="130"/>
      <c r="AE655" s="106"/>
    </row>
    <row r="656">
      <c r="C656" s="79"/>
      <c r="D656" s="79"/>
      <c r="E656" s="79"/>
      <c r="O656" s="79"/>
      <c r="S656" s="79"/>
      <c r="T656" s="79"/>
      <c r="Y656" s="79"/>
      <c r="AC656" s="130"/>
      <c r="AE656" s="106"/>
    </row>
    <row r="657">
      <c r="C657" s="79"/>
      <c r="D657" s="79"/>
      <c r="E657" s="79"/>
      <c r="O657" s="79"/>
      <c r="S657" s="79"/>
      <c r="T657" s="79"/>
      <c r="Y657" s="79"/>
      <c r="AC657" s="130"/>
      <c r="AE657" s="106"/>
    </row>
    <row r="658">
      <c r="C658" s="79"/>
      <c r="D658" s="79"/>
      <c r="E658" s="79"/>
      <c r="O658" s="79"/>
      <c r="S658" s="79"/>
      <c r="T658" s="79"/>
      <c r="Y658" s="79"/>
      <c r="AC658" s="130"/>
      <c r="AE658" s="106"/>
    </row>
    <row r="659">
      <c r="C659" s="79"/>
      <c r="D659" s="79"/>
      <c r="E659" s="79"/>
      <c r="O659" s="79"/>
      <c r="S659" s="79"/>
      <c r="T659" s="79"/>
      <c r="Y659" s="79"/>
      <c r="AC659" s="130"/>
      <c r="AE659" s="106"/>
    </row>
    <row r="660">
      <c r="C660" s="79"/>
      <c r="D660" s="79"/>
      <c r="E660" s="79"/>
      <c r="O660" s="79"/>
      <c r="S660" s="79"/>
      <c r="T660" s="79"/>
      <c r="Y660" s="79"/>
      <c r="AC660" s="130"/>
      <c r="AE660" s="106"/>
    </row>
    <row r="661">
      <c r="C661" s="79"/>
      <c r="D661" s="79"/>
      <c r="E661" s="79"/>
      <c r="O661" s="79"/>
      <c r="S661" s="79"/>
      <c r="T661" s="79"/>
      <c r="Y661" s="79"/>
      <c r="AC661" s="130"/>
      <c r="AE661" s="106"/>
    </row>
    <row r="662">
      <c r="C662" s="79"/>
      <c r="D662" s="79"/>
      <c r="E662" s="79"/>
      <c r="O662" s="79"/>
      <c r="S662" s="79"/>
      <c r="T662" s="79"/>
      <c r="Y662" s="79"/>
      <c r="AC662" s="130"/>
      <c r="AE662" s="106"/>
    </row>
    <row r="663">
      <c r="C663" s="79"/>
      <c r="D663" s="79"/>
      <c r="E663" s="79"/>
      <c r="O663" s="79"/>
      <c r="S663" s="79"/>
      <c r="T663" s="79"/>
      <c r="Y663" s="79"/>
      <c r="AC663" s="130"/>
      <c r="AE663" s="106"/>
    </row>
    <row r="664">
      <c r="C664" s="79"/>
      <c r="D664" s="79"/>
      <c r="E664" s="79"/>
      <c r="O664" s="79"/>
      <c r="S664" s="79"/>
      <c r="T664" s="79"/>
      <c r="Y664" s="79"/>
      <c r="AC664" s="130"/>
      <c r="AE664" s="106"/>
    </row>
    <row r="665">
      <c r="C665" s="79"/>
      <c r="D665" s="79"/>
      <c r="E665" s="79"/>
      <c r="O665" s="79"/>
      <c r="S665" s="79"/>
      <c r="T665" s="79"/>
      <c r="Y665" s="79"/>
      <c r="AC665" s="130"/>
      <c r="AE665" s="106"/>
    </row>
    <row r="666">
      <c r="C666" s="79"/>
      <c r="D666" s="79"/>
      <c r="E666" s="79"/>
      <c r="O666" s="79"/>
      <c r="S666" s="79"/>
      <c r="T666" s="79"/>
      <c r="Y666" s="79"/>
      <c r="AC666" s="130"/>
      <c r="AE666" s="106"/>
    </row>
    <row r="667">
      <c r="C667" s="79"/>
      <c r="D667" s="79"/>
      <c r="E667" s="79"/>
      <c r="O667" s="79"/>
      <c r="S667" s="79"/>
      <c r="T667" s="79"/>
      <c r="Y667" s="79"/>
      <c r="AC667" s="130"/>
      <c r="AE667" s="106"/>
    </row>
    <row r="668">
      <c r="C668" s="79"/>
      <c r="D668" s="79"/>
      <c r="E668" s="79"/>
      <c r="O668" s="79"/>
      <c r="S668" s="79"/>
      <c r="T668" s="79"/>
      <c r="Y668" s="79"/>
      <c r="AC668" s="130"/>
      <c r="AE668" s="106"/>
    </row>
    <row r="669">
      <c r="C669" s="79"/>
      <c r="D669" s="79"/>
      <c r="E669" s="79"/>
      <c r="O669" s="79"/>
      <c r="S669" s="79"/>
      <c r="T669" s="79"/>
      <c r="Y669" s="79"/>
      <c r="AC669" s="130"/>
      <c r="AE669" s="106"/>
    </row>
    <row r="670">
      <c r="C670" s="79"/>
      <c r="D670" s="79"/>
      <c r="E670" s="79"/>
      <c r="O670" s="79"/>
      <c r="S670" s="79"/>
      <c r="T670" s="79"/>
      <c r="Y670" s="79"/>
      <c r="AC670" s="130"/>
      <c r="AE670" s="106"/>
    </row>
    <row r="671">
      <c r="C671" s="79"/>
      <c r="D671" s="79"/>
      <c r="E671" s="79"/>
      <c r="O671" s="79"/>
      <c r="S671" s="79"/>
      <c r="T671" s="79"/>
      <c r="Y671" s="79"/>
      <c r="AC671" s="130"/>
      <c r="AE671" s="106"/>
    </row>
    <row r="672">
      <c r="C672" s="79"/>
      <c r="D672" s="79"/>
      <c r="E672" s="79"/>
      <c r="O672" s="79"/>
      <c r="S672" s="79"/>
      <c r="T672" s="79"/>
      <c r="Y672" s="79"/>
      <c r="AC672" s="130"/>
      <c r="AE672" s="106"/>
    </row>
    <row r="673">
      <c r="C673" s="79"/>
      <c r="D673" s="79"/>
      <c r="E673" s="79"/>
      <c r="O673" s="79"/>
      <c r="S673" s="79"/>
      <c r="T673" s="79"/>
      <c r="Y673" s="79"/>
      <c r="AC673" s="130"/>
      <c r="AE673" s="106"/>
    </row>
    <row r="674">
      <c r="C674" s="79"/>
      <c r="D674" s="79"/>
      <c r="E674" s="79"/>
      <c r="O674" s="79"/>
      <c r="S674" s="79"/>
      <c r="T674" s="79"/>
      <c r="Y674" s="79"/>
      <c r="AC674" s="130"/>
      <c r="AE674" s="106"/>
    </row>
    <row r="675">
      <c r="C675" s="79"/>
      <c r="D675" s="79"/>
      <c r="E675" s="79"/>
      <c r="O675" s="79"/>
      <c r="S675" s="79"/>
      <c r="T675" s="79"/>
      <c r="Y675" s="79"/>
      <c r="AC675" s="130"/>
      <c r="AE675" s="106"/>
    </row>
    <row r="676">
      <c r="C676" s="79"/>
      <c r="D676" s="79"/>
      <c r="E676" s="79"/>
      <c r="O676" s="79"/>
      <c r="S676" s="79"/>
      <c r="T676" s="79"/>
      <c r="Y676" s="79"/>
      <c r="AC676" s="130"/>
      <c r="AE676" s="106"/>
    </row>
    <row r="677">
      <c r="C677" s="79"/>
      <c r="D677" s="79"/>
      <c r="E677" s="79"/>
      <c r="O677" s="79"/>
      <c r="S677" s="79"/>
      <c r="T677" s="79"/>
      <c r="Y677" s="79"/>
      <c r="AC677" s="130"/>
      <c r="AE677" s="106"/>
    </row>
    <row r="678">
      <c r="C678" s="79"/>
      <c r="D678" s="79"/>
      <c r="E678" s="79"/>
      <c r="O678" s="79"/>
      <c r="S678" s="79"/>
      <c r="T678" s="79"/>
      <c r="Y678" s="79"/>
      <c r="AC678" s="130"/>
      <c r="AE678" s="106"/>
    </row>
    <row r="679">
      <c r="C679" s="79"/>
      <c r="D679" s="79"/>
      <c r="E679" s="79"/>
      <c r="O679" s="79"/>
      <c r="S679" s="79"/>
      <c r="T679" s="79"/>
      <c r="Y679" s="79"/>
      <c r="AC679" s="130"/>
      <c r="AE679" s="106"/>
    </row>
    <row r="680">
      <c r="C680" s="79"/>
      <c r="D680" s="79"/>
      <c r="E680" s="79"/>
      <c r="O680" s="79"/>
      <c r="S680" s="79"/>
      <c r="T680" s="79"/>
      <c r="Y680" s="79"/>
      <c r="AC680" s="130"/>
      <c r="AE680" s="106"/>
    </row>
    <row r="681">
      <c r="C681" s="79"/>
      <c r="D681" s="79"/>
      <c r="E681" s="79"/>
      <c r="O681" s="79"/>
      <c r="S681" s="79"/>
      <c r="T681" s="79"/>
      <c r="Y681" s="79"/>
      <c r="AC681" s="130"/>
      <c r="AE681" s="106"/>
    </row>
    <row r="682">
      <c r="C682" s="79"/>
      <c r="D682" s="79"/>
      <c r="E682" s="79"/>
      <c r="O682" s="79"/>
      <c r="S682" s="79"/>
      <c r="T682" s="79"/>
      <c r="Y682" s="79"/>
      <c r="AC682" s="130"/>
      <c r="AE682" s="106"/>
    </row>
    <row r="683">
      <c r="C683" s="79"/>
      <c r="D683" s="79"/>
      <c r="E683" s="79"/>
      <c r="O683" s="79"/>
      <c r="S683" s="79"/>
      <c r="T683" s="79"/>
      <c r="Y683" s="79"/>
      <c r="AC683" s="130"/>
      <c r="AE683" s="106"/>
    </row>
    <row r="684">
      <c r="C684" s="79"/>
      <c r="D684" s="79"/>
      <c r="E684" s="79"/>
      <c r="O684" s="79"/>
      <c r="S684" s="79"/>
      <c r="T684" s="79"/>
      <c r="Y684" s="79"/>
      <c r="AC684" s="130"/>
      <c r="AE684" s="106"/>
    </row>
    <row r="685">
      <c r="C685" s="79"/>
      <c r="D685" s="79"/>
      <c r="E685" s="79"/>
      <c r="O685" s="79"/>
      <c r="S685" s="79"/>
      <c r="T685" s="79"/>
      <c r="Y685" s="79"/>
      <c r="AC685" s="130"/>
      <c r="AE685" s="106"/>
    </row>
    <row r="686">
      <c r="C686" s="79"/>
      <c r="D686" s="79"/>
      <c r="E686" s="79"/>
      <c r="O686" s="79"/>
      <c r="S686" s="79"/>
      <c r="T686" s="79"/>
      <c r="Y686" s="79"/>
      <c r="AC686" s="130"/>
      <c r="AE686" s="106"/>
    </row>
    <row r="687">
      <c r="C687" s="79"/>
      <c r="D687" s="79"/>
      <c r="E687" s="79"/>
      <c r="O687" s="79"/>
      <c r="S687" s="79"/>
      <c r="T687" s="79"/>
      <c r="Y687" s="79"/>
      <c r="AC687" s="130"/>
      <c r="AE687" s="106"/>
    </row>
    <row r="688">
      <c r="C688" s="79"/>
      <c r="D688" s="79"/>
      <c r="E688" s="79"/>
      <c r="O688" s="79"/>
      <c r="S688" s="79"/>
      <c r="T688" s="79"/>
      <c r="Y688" s="79"/>
      <c r="AC688" s="130"/>
      <c r="AE688" s="106"/>
    </row>
    <row r="689">
      <c r="C689" s="79"/>
      <c r="D689" s="79"/>
      <c r="E689" s="79"/>
      <c r="O689" s="79"/>
      <c r="S689" s="79"/>
      <c r="T689" s="79"/>
      <c r="Y689" s="79"/>
      <c r="AC689" s="130"/>
      <c r="AE689" s="106"/>
    </row>
    <row r="690">
      <c r="C690" s="79"/>
      <c r="D690" s="79"/>
      <c r="E690" s="79"/>
      <c r="O690" s="79"/>
      <c r="S690" s="79"/>
      <c r="T690" s="79"/>
      <c r="Y690" s="79"/>
      <c r="AC690" s="130"/>
      <c r="AE690" s="106"/>
    </row>
    <row r="691">
      <c r="C691" s="79"/>
      <c r="D691" s="79"/>
      <c r="E691" s="79"/>
      <c r="O691" s="79"/>
      <c r="S691" s="79"/>
      <c r="T691" s="79"/>
      <c r="Y691" s="79"/>
      <c r="AC691" s="130"/>
      <c r="AE691" s="106"/>
    </row>
    <row r="692">
      <c r="C692" s="79"/>
      <c r="D692" s="79"/>
      <c r="E692" s="79"/>
      <c r="O692" s="79"/>
      <c r="S692" s="79"/>
      <c r="T692" s="79"/>
      <c r="Y692" s="79"/>
      <c r="AC692" s="130"/>
      <c r="AE692" s="106"/>
    </row>
    <row r="693">
      <c r="C693" s="79"/>
      <c r="D693" s="79"/>
      <c r="E693" s="79"/>
      <c r="O693" s="79"/>
      <c r="S693" s="79"/>
      <c r="T693" s="79"/>
      <c r="Y693" s="79"/>
      <c r="AC693" s="130"/>
      <c r="AE693" s="106"/>
    </row>
    <row r="694">
      <c r="C694" s="79"/>
      <c r="D694" s="79"/>
      <c r="E694" s="79"/>
      <c r="O694" s="79"/>
      <c r="S694" s="79"/>
      <c r="T694" s="79"/>
      <c r="Y694" s="79"/>
      <c r="AC694" s="130"/>
      <c r="AE694" s="106"/>
    </row>
    <row r="695">
      <c r="C695" s="79"/>
      <c r="D695" s="79"/>
      <c r="E695" s="79"/>
      <c r="O695" s="79"/>
      <c r="S695" s="79"/>
      <c r="T695" s="79"/>
      <c r="Y695" s="79"/>
      <c r="AC695" s="130"/>
      <c r="AE695" s="106"/>
    </row>
    <row r="696">
      <c r="C696" s="79"/>
      <c r="D696" s="79"/>
      <c r="E696" s="79"/>
      <c r="O696" s="79"/>
      <c r="S696" s="79"/>
      <c r="T696" s="79"/>
      <c r="Y696" s="79"/>
      <c r="AC696" s="130"/>
      <c r="AE696" s="106"/>
    </row>
    <row r="697">
      <c r="C697" s="79"/>
      <c r="D697" s="79"/>
      <c r="E697" s="79"/>
      <c r="O697" s="79"/>
      <c r="S697" s="79"/>
      <c r="T697" s="79"/>
      <c r="Y697" s="79"/>
      <c r="AC697" s="130"/>
      <c r="AE697" s="106"/>
    </row>
    <row r="698">
      <c r="C698" s="79"/>
      <c r="D698" s="79"/>
      <c r="E698" s="79"/>
      <c r="O698" s="79"/>
      <c r="S698" s="79"/>
      <c r="T698" s="79"/>
      <c r="Y698" s="79"/>
      <c r="AC698" s="130"/>
      <c r="AE698" s="106"/>
    </row>
    <row r="699">
      <c r="C699" s="79"/>
      <c r="D699" s="79"/>
      <c r="E699" s="79"/>
      <c r="O699" s="79"/>
      <c r="S699" s="79"/>
      <c r="T699" s="79"/>
      <c r="Y699" s="79"/>
      <c r="AC699" s="130"/>
      <c r="AE699" s="106"/>
    </row>
    <row r="700">
      <c r="C700" s="79"/>
      <c r="D700" s="79"/>
      <c r="E700" s="79"/>
      <c r="O700" s="79"/>
      <c r="S700" s="79"/>
      <c r="T700" s="79"/>
      <c r="Y700" s="79"/>
      <c r="AC700" s="130"/>
      <c r="AE700" s="106"/>
    </row>
    <row r="701">
      <c r="C701" s="79"/>
      <c r="D701" s="79"/>
      <c r="E701" s="79"/>
      <c r="O701" s="79"/>
      <c r="S701" s="79"/>
      <c r="T701" s="79"/>
      <c r="Y701" s="79"/>
      <c r="AC701" s="130"/>
      <c r="AE701" s="106"/>
    </row>
    <row r="702">
      <c r="C702" s="79"/>
      <c r="D702" s="79"/>
      <c r="E702" s="79"/>
      <c r="O702" s="79"/>
      <c r="S702" s="79"/>
      <c r="T702" s="79"/>
      <c r="Y702" s="79"/>
      <c r="AC702" s="130"/>
      <c r="AE702" s="106"/>
    </row>
    <row r="703">
      <c r="C703" s="79"/>
      <c r="D703" s="79"/>
      <c r="E703" s="79"/>
      <c r="O703" s="79"/>
      <c r="S703" s="79"/>
      <c r="T703" s="79"/>
      <c r="Y703" s="79"/>
      <c r="AC703" s="130"/>
      <c r="AE703" s="106"/>
    </row>
    <row r="704">
      <c r="C704" s="79"/>
      <c r="D704" s="79"/>
      <c r="E704" s="79"/>
      <c r="O704" s="79"/>
      <c r="S704" s="79"/>
      <c r="T704" s="79"/>
      <c r="Y704" s="79"/>
      <c r="AC704" s="130"/>
      <c r="AE704" s="106"/>
    </row>
    <row r="705">
      <c r="C705" s="79"/>
      <c r="D705" s="79"/>
      <c r="E705" s="79"/>
      <c r="O705" s="79"/>
      <c r="S705" s="79"/>
      <c r="T705" s="79"/>
      <c r="Y705" s="79"/>
      <c r="AC705" s="130"/>
      <c r="AE705" s="106"/>
    </row>
    <row r="706">
      <c r="C706" s="79"/>
      <c r="D706" s="79"/>
      <c r="E706" s="79"/>
      <c r="O706" s="79"/>
      <c r="S706" s="79"/>
      <c r="T706" s="79"/>
      <c r="Y706" s="79"/>
      <c r="AC706" s="130"/>
      <c r="AE706" s="106"/>
    </row>
    <row r="707">
      <c r="C707" s="79"/>
      <c r="D707" s="79"/>
      <c r="E707" s="79"/>
      <c r="O707" s="79"/>
      <c r="S707" s="79"/>
      <c r="T707" s="79"/>
      <c r="Y707" s="79"/>
      <c r="AC707" s="130"/>
      <c r="AE707" s="106"/>
    </row>
    <row r="708">
      <c r="C708" s="79"/>
      <c r="D708" s="79"/>
      <c r="E708" s="79"/>
      <c r="O708" s="79"/>
      <c r="S708" s="79"/>
      <c r="T708" s="79"/>
      <c r="Y708" s="79"/>
      <c r="AC708" s="130"/>
      <c r="AE708" s="106"/>
    </row>
    <row r="709">
      <c r="C709" s="79"/>
      <c r="D709" s="79"/>
      <c r="E709" s="79"/>
      <c r="O709" s="79"/>
      <c r="S709" s="79"/>
      <c r="T709" s="79"/>
      <c r="Y709" s="79"/>
      <c r="AC709" s="130"/>
      <c r="AE709" s="106"/>
    </row>
    <row r="710">
      <c r="C710" s="79"/>
      <c r="D710" s="79"/>
      <c r="E710" s="79"/>
      <c r="O710" s="79"/>
      <c r="S710" s="79"/>
      <c r="T710" s="79"/>
      <c r="Y710" s="79"/>
      <c r="AC710" s="130"/>
      <c r="AE710" s="106"/>
    </row>
    <row r="711">
      <c r="C711" s="79"/>
      <c r="D711" s="79"/>
      <c r="E711" s="79"/>
      <c r="O711" s="79"/>
      <c r="S711" s="79"/>
      <c r="T711" s="79"/>
      <c r="Y711" s="79"/>
      <c r="AC711" s="130"/>
      <c r="AE711" s="106"/>
    </row>
    <row r="712">
      <c r="C712" s="79"/>
      <c r="D712" s="79"/>
      <c r="E712" s="79"/>
      <c r="O712" s="79"/>
      <c r="S712" s="79"/>
      <c r="T712" s="79"/>
      <c r="Y712" s="79"/>
      <c r="AC712" s="130"/>
      <c r="AE712" s="106"/>
    </row>
    <row r="713">
      <c r="C713" s="79"/>
      <c r="D713" s="79"/>
      <c r="E713" s="79"/>
      <c r="O713" s="79"/>
      <c r="S713" s="79"/>
      <c r="T713" s="79"/>
      <c r="Y713" s="79"/>
      <c r="AC713" s="130"/>
      <c r="AE713" s="106"/>
    </row>
    <row r="714">
      <c r="C714" s="79"/>
      <c r="D714" s="79"/>
      <c r="E714" s="79"/>
      <c r="O714" s="79"/>
      <c r="S714" s="79"/>
      <c r="T714" s="79"/>
      <c r="Y714" s="79"/>
      <c r="AC714" s="130"/>
      <c r="AE714" s="106"/>
    </row>
    <row r="715">
      <c r="C715" s="79"/>
      <c r="D715" s="79"/>
      <c r="E715" s="79"/>
      <c r="O715" s="79"/>
      <c r="S715" s="79"/>
      <c r="T715" s="79"/>
      <c r="Y715" s="79"/>
      <c r="AC715" s="130"/>
      <c r="AE715" s="106"/>
    </row>
    <row r="716">
      <c r="C716" s="79"/>
      <c r="D716" s="79"/>
      <c r="E716" s="79"/>
      <c r="O716" s="79"/>
      <c r="S716" s="79"/>
      <c r="T716" s="79"/>
      <c r="Y716" s="79"/>
      <c r="AC716" s="130"/>
      <c r="AE716" s="106"/>
    </row>
    <row r="717">
      <c r="C717" s="79"/>
      <c r="D717" s="79"/>
      <c r="E717" s="79"/>
      <c r="O717" s="79"/>
      <c r="S717" s="79"/>
      <c r="T717" s="79"/>
      <c r="Y717" s="79"/>
      <c r="AC717" s="130"/>
      <c r="AE717" s="106"/>
    </row>
    <row r="718">
      <c r="C718" s="79"/>
      <c r="D718" s="79"/>
      <c r="E718" s="79"/>
      <c r="O718" s="79"/>
      <c r="S718" s="79"/>
      <c r="T718" s="79"/>
      <c r="Y718" s="79"/>
      <c r="AC718" s="130"/>
      <c r="AE718" s="106"/>
    </row>
    <row r="719">
      <c r="C719" s="79"/>
      <c r="D719" s="79"/>
      <c r="E719" s="79"/>
      <c r="O719" s="79"/>
      <c r="S719" s="79"/>
      <c r="T719" s="79"/>
      <c r="Y719" s="79"/>
      <c r="AC719" s="130"/>
      <c r="AE719" s="106"/>
    </row>
    <row r="720">
      <c r="C720" s="79"/>
      <c r="D720" s="79"/>
      <c r="E720" s="79"/>
      <c r="O720" s="79"/>
      <c r="S720" s="79"/>
      <c r="T720" s="79"/>
      <c r="Y720" s="79"/>
      <c r="AC720" s="130"/>
      <c r="AE720" s="106"/>
    </row>
    <row r="721">
      <c r="C721" s="79"/>
      <c r="D721" s="79"/>
      <c r="E721" s="79"/>
      <c r="O721" s="79"/>
      <c r="S721" s="79"/>
      <c r="T721" s="79"/>
      <c r="Y721" s="79"/>
      <c r="AC721" s="130"/>
      <c r="AE721" s="106"/>
    </row>
    <row r="722">
      <c r="C722" s="79"/>
      <c r="D722" s="79"/>
      <c r="E722" s="79"/>
      <c r="O722" s="79"/>
      <c r="S722" s="79"/>
      <c r="T722" s="79"/>
      <c r="Y722" s="79"/>
      <c r="AC722" s="130"/>
      <c r="AE722" s="106"/>
    </row>
    <row r="723">
      <c r="C723" s="79"/>
      <c r="D723" s="79"/>
      <c r="E723" s="79"/>
      <c r="O723" s="79"/>
      <c r="S723" s="79"/>
      <c r="T723" s="79"/>
      <c r="Y723" s="79"/>
      <c r="AC723" s="130"/>
      <c r="AE723" s="106"/>
    </row>
    <row r="724">
      <c r="C724" s="79"/>
      <c r="D724" s="79"/>
      <c r="E724" s="79"/>
      <c r="O724" s="79"/>
      <c r="S724" s="79"/>
      <c r="T724" s="79"/>
      <c r="Y724" s="79"/>
      <c r="AC724" s="130"/>
      <c r="AE724" s="106"/>
    </row>
    <row r="725">
      <c r="C725" s="79"/>
      <c r="D725" s="79"/>
      <c r="E725" s="79"/>
      <c r="O725" s="79"/>
      <c r="S725" s="79"/>
      <c r="T725" s="79"/>
      <c r="Y725" s="79"/>
      <c r="AC725" s="130"/>
      <c r="AE725" s="106"/>
    </row>
    <row r="726">
      <c r="C726" s="79"/>
      <c r="D726" s="79"/>
      <c r="E726" s="79"/>
      <c r="O726" s="79"/>
      <c r="S726" s="79"/>
      <c r="T726" s="79"/>
      <c r="Y726" s="79"/>
      <c r="AC726" s="130"/>
      <c r="AE726" s="106"/>
    </row>
    <row r="727">
      <c r="C727" s="79"/>
      <c r="D727" s="79"/>
      <c r="E727" s="79"/>
      <c r="O727" s="79"/>
      <c r="S727" s="79"/>
      <c r="T727" s="79"/>
      <c r="Y727" s="79"/>
      <c r="AC727" s="130"/>
      <c r="AE727" s="106"/>
    </row>
    <row r="728">
      <c r="C728" s="79"/>
      <c r="D728" s="79"/>
      <c r="E728" s="79"/>
      <c r="O728" s="79"/>
      <c r="S728" s="79"/>
      <c r="T728" s="79"/>
      <c r="Y728" s="79"/>
      <c r="AC728" s="130"/>
      <c r="AE728" s="106"/>
    </row>
    <row r="729">
      <c r="C729" s="79"/>
      <c r="D729" s="79"/>
      <c r="E729" s="79"/>
      <c r="O729" s="79"/>
      <c r="S729" s="79"/>
      <c r="T729" s="79"/>
      <c r="Y729" s="79"/>
      <c r="AC729" s="130"/>
      <c r="AE729" s="106"/>
    </row>
    <row r="730">
      <c r="C730" s="79"/>
      <c r="D730" s="79"/>
      <c r="E730" s="79"/>
      <c r="O730" s="79"/>
      <c r="S730" s="79"/>
      <c r="T730" s="79"/>
      <c r="Y730" s="79"/>
      <c r="AC730" s="130"/>
      <c r="AE730" s="106"/>
    </row>
    <row r="731">
      <c r="C731" s="79"/>
      <c r="D731" s="79"/>
      <c r="E731" s="79"/>
      <c r="O731" s="79"/>
      <c r="S731" s="79"/>
      <c r="T731" s="79"/>
      <c r="Y731" s="79"/>
      <c r="AC731" s="130"/>
      <c r="AE731" s="106"/>
    </row>
    <row r="732">
      <c r="C732" s="79"/>
      <c r="D732" s="79"/>
      <c r="E732" s="79"/>
      <c r="O732" s="79"/>
      <c r="S732" s="79"/>
      <c r="T732" s="79"/>
      <c r="Y732" s="79"/>
      <c r="AC732" s="130"/>
      <c r="AE732" s="106"/>
    </row>
    <row r="733">
      <c r="C733" s="79"/>
      <c r="D733" s="79"/>
      <c r="E733" s="79"/>
      <c r="O733" s="79"/>
      <c r="S733" s="79"/>
      <c r="T733" s="79"/>
      <c r="Y733" s="79"/>
      <c r="AC733" s="130"/>
      <c r="AE733" s="106"/>
    </row>
    <row r="734">
      <c r="C734" s="79"/>
      <c r="D734" s="79"/>
      <c r="E734" s="79"/>
      <c r="O734" s="79"/>
      <c r="S734" s="79"/>
      <c r="T734" s="79"/>
      <c r="Y734" s="79"/>
      <c r="AC734" s="130"/>
      <c r="AE734" s="106"/>
    </row>
    <row r="735">
      <c r="C735" s="79"/>
      <c r="D735" s="79"/>
      <c r="E735" s="79"/>
      <c r="O735" s="79"/>
      <c r="S735" s="79"/>
      <c r="T735" s="79"/>
      <c r="Y735" s="79"/>
      <c r="AC735" s="130"/>
      <c r="AE735" s="106"/>
    </row>
    <row r="736">
      <c r="C736" s="79"/>
      <c r="D736" s="79"/>
      <c r="E736" s="79"/>
      <c r="O736" s="79"/>
      <c r="S736" s="79"/>
      <c r="T736" s="79"/>
      <c r="Y736" s="79"/>
      <c r="AC736" s="130"/>
      <c r="AE736" s="106"/>
    </row>
    <row r="737">
      <c r="C737" s="79"/>
      <c r="D737" s="79"/>
      <c r="E737" s="79"/>
      <c r="O737" s="79"/>
      <c r="S737" s="79"/>
      <c r="T737" s="79"/>
      <c r="Y737" s="79"/>
      <c r="AC737" s="130"/>
      <c r="AE737" s="106"/>
    </row>
    <row r="738">
      <c r="C738" s="79"/>
      <c r="D738" s="79"/>
      <c r="E738" s="79"/>
      <c r="O738" s="79"/>
      <c r="S738" s="79"/>
      <c r="T738" s="79"/>
      <c r="Y738" s="79"/>
      <c r="AC738" s="130"/>
      <c r="AE738" s="106"/>
    </row>
    <row r="739">
      <c r="C739" s="79"/>
      <c r="D739" s="79"/>
      <c r="E739" s="79"/>
      <c r="O739" s="79"/>
      <c r="S739" s="79"/>
      <c r="T739" s="79"/>
      <c r="Y739" s="79"/>
      <c r="AC739" s="130"/>
      <c r="AE739" s="106"/>
    </row>
    <row r="740">
      <c r="C740" s="79"/>
      <c r="D740" s="79"/>
      <c r="E740" s="79"/>
      <c r="O740" s="79"/>
      <c r="S740" s="79"/>
      <c r="T740" s="79"/>
      <c r="Y740" s="79"/>
      <c r="AC740" s="130"/>
      <c r="AE740" s="106"/>
    </row>
    <row r="741">
      <c r="C741" s="79"/>
      <c r="D741" s="79"/>
      <c r="E741" s="79"/>
      <c r="O741" s="79"/>
      <c r="S741" s="79"/>
      <c r="T741" s="79"/>
      <c r="Y741" s="79"/>
      <c r="AC741" s="130"/>
      <c r="AE741" s="106"/>
    </row>
    <row r="742">
      <c r="C742" s="79"/>
      <c r="D742" s="79"/>
      <c r="E742" s="79"/>
      <c r="O742" s="79"/>
      <c r="S742" s="79"/>
      <c r="T742" s="79"/>
      <c r="Y742" s="79"/>
      <c r="AC742" s="130"/>
      <c r="AE742" s="106"/>
    </row>
    <row r="743">
      <c r="C743" s="79"/>
      <c r="D743" s="79"/>
      <c r="E743" s="79"/>
      <c r="O743" s="79"/>
      <c r="S743" s="79"/>
      <c r="T743" s="79"/>
      <c r="Y743" s="79"/>
      <c r="AC743" s="130"/>
      <c r="AE743" s="106"/>
    </row>
    <row r="744">
      <c r="C744" s="79"/>
      <c r="D744" s="79"/>
      <c r="E744" s="79"/>
      <c r="O744" s="79"/>
      <c r="S744" s="79"/>
      <c r="T744" s="79"/>
      <c r="Y744" s="79"/>
      <c r="AC744" s="130"/>
      <c r="AE744" s="106"/>
    </row>
    <row r="745">
      <c r="C745" s="79"/>
      <c r="D745" s="79"/>
      <c r="E745" s="79"/>
      <c r="O745" s="79"/>
      <c r="S745" s="79"/>
      <c r="T745" s="79"/>
      <c r="Y745" s="79"/>
      <c r="AC745" s="130"/>
      <c r="AE745" s="106"/>
    </row>
    <row r="746">
      <c r="C746" s="79"/>
      <c r="D746" s="79"/>
      <c r="E746" s="79"/>
      <c r="O746" s="79"/>
      <c r="S746" s="79"/>
      <c r="T746" s="79"/>
      <c r="Y746" s="79"/>
      <c r="AC746" s="130"/>
      <c r="AE746" s="106"/>
    </row>
    <row r="747">
      <c r="C747" s="79"/>
      <c r="D747" s="79"/>
      <c r="E747" s="79"/>
      <c r="O747" s="79"/>
      <c r="S747" s="79"/>
      <c r="T747" s="79"/>
      <c r="Y747" s="79"/>
      <c r="AC747" s="130"/>
      <c r="AE747" s="106"/>
    </row>
    <row r="748">
      <c r="C748" s="79"/>
      <c r="D748" s="79"/>
      <c r="E748" s="79"/>
      <c r="O748" s="79"/>
      <c r="S748" s="79"/>
      <c r="T748" s="79"/>
      <c r="Y748" s="79"/>
      <c r="AC748" s="130"/>
      <c r="AE748" s="106"/>
    </row>
    <row r="749">
      <c r="C749" s="79"/>
      <c r="D749" s="79"/>
      <c r="E749" s="79"/>
      <c r="O749" s="79"/>
      <c r="S749" s="79"/>
      <c r="T749" s="79"/>
      <c r="Y749" s="79"/>
      <c r="AC749" s="130"/>
      <c r="AE749" s="106"/>
    </row>
    <row r="750">
      <c r="C750" s="79"/>
      <c r="D750" s="79"/>
      <c r="E750" s="79"/>
      <c r="O750" s="79"/>
      <c r="S750" s="79"/>
      <c r="T750" s="79"/>
      <c r="Y750" s="79"/>
      <c r="AC750" s="130"/>
      <c r="AE750" s="106"/>
    </row>
    <row r="751">
      <c r="C751" s="79"/>
      <c r="D751" s="79"/>
      <c r="E751" s="79"/>
      <c r="O751" s="79"/>
      <c r="S751" s="79"/>
      <c r="T751" s="79"/>
      <c r="Y751" s="79"/>
      <c r="AC751" s="130"/>
      <c r="AE751" s="106"/>
    </row>
    <row r="752">
      <c r="C752" s="79"/>
      <c r="D752" s="79"/>
      <c r="E752" s="79"/>
      <c r="O752" s="79"/>
      <c r="S752" s="79"/>
      <c r="T752" s="79"/>
      <c r="Y752" s="79"/>
      <c r="AC752" s="130"/>
      <c r="AE752" s="106"/>
    </row>
    <row r="753">
      <c r="C753" s="79"/>
      <c r="D753" s="79"/>
      <c r="E753" s="79"/>
      <c r="O753" s="79"/>
      <c r="S753" s="79"/>
      <c r="T753" s="79"/>
      <c r="Y753" s="79"/>
      <c r="AC753" s="130"/>
      <c r="AE753" s="106"/>
    </row>
    <row r="754">
      <c r="C754" s="79"/>
      <c r="D754" s="79"/>
      <c r="E754" s="79"/>
      <c r="O754" s="79"/>
      <c r="S754" s="79"/>
      <c r="T754" s="79"/>
      <c r="Y754" s="79"/>
      <c r="AC754" s="130"/>
      <c r="AE754" s="106"/>
    </row>
    <row r="755">
      <c r="C755" s="79"/>
      <c r="D755" s="79"/>
      <c r="E755" s="79"/>
      <c r="O755" s="79"/>
      <c r="S755" s="79"/>
      <c r="T755" s="79"/>
      <c r="Y755" s="79"/>
      <c r="AC755" s="130"/>
      <c r="AE755" s="106"/>
    </row>
    <row r="756">
      <c r="C756" s="79"/>
      <c r="D756" s="79"/>
      <c r="E756" s="79"/>
      <c r="O756" s="79"/>
      <c r="S756" s="79"/>
      <c r="T756" s="79"/>
      <c r="Y756" s="79"/>
      <c r="AC756" s="130"/>
      <c r="AE756" s="106"/>
    </row>
    <row r="757">
      <c r="C757" s="79"/>
      <c r="D757" s="79"/>
      <c r="E757" s="79"/>
      <c r="O757" s="79"/>
      <c r="S757" s="79"/>
      <c r="T757" s="79"/>
      <c r="Y757" s="79"/>
      <c r="AC757" s="130"/>
      <c r="AE757" s="106"/>
    </row>
    <row r="758">
      <c r="C758" s="79"/>
      <c r="D758" s="79"/>
      <c r="E758" s="79"/>
      <c r="O758" s="79"/>
      <c r="S758" s="79"/>
      <c r="T758" s="79"/>
      <c r="Y758" s="79"/>
      <c r="AC758" s="130"/>
      <c r="AE758" s="106"/>
    </row>
    <row r="759">
      <c r="C759" s="79"/>
      <c r="D759" s="79"/>
      <c r="E759" s="79"/>
      <c r="O759" s="79"/>
      <c r="S759" s="79"/>
      <c r="T759" s="79"/>
      <c r="Y759" s="79"/>
      <c r="AC759" s="130"/>
      <c r="AE759" s="106"/>
    </row>
    <row r="760">
      <c r="C760" s="79"/>
      <c r="D760" s="79"/>
      <c r="E760" s="79"/>
      <c r="O760" s="79"/>
      <c r="S760" s="79"/>
      <c r="T760" s="79"/>
      <c r="Y760" s="79"/>
      <c r="AC760" s="130"/>
      <c r="AE760" s="106"/>
    </row>
    <row r="761">
      <c r="C761" s="79"/>
      <c r="D761" s="79"/>
      <c r="E761" s="79"/>
      <c r="O761" s="79"/>
      <c r="S761" s="79"/>
      <c r="T761" s="79"/>
      <c r="Y761" s="79"/>
      <c r="AC761" s="130"/>
      <c r="AE761" s="106"/>
    </row>
    <row r="762">
      <c r="C762" s="79"/>
      <c r="D762" s="79"/>
      <c r="E762" s="79"/>
      <c r="O762" s="79"/>
      <c r="S762" s="79"/>
      <c r="T762" s="79"/>
      <c r="Y762" s="79"/>
      <c r="AC762" s="130"/>
      <c r="AE762" s="106"/>
    </row>
    <row r="763">
      <c r="C763" s="79"/>
      <c r="D763" s="79"/>
      <c r="E763" s="79"/>
      <c r="O763" s="79"/>
      <c r="S763" s="79"/>
      <c r="T763" s="79"/>
      <c r="Y763" s="79"/>
      <c r="AC763" s="130"/>
      <c r="AE763" s="106"/>
    </row>
    <row r="764">
      <c r="C764" s="79"/>
      <c r="D764" s="79"/>
      <c r="E764" s="79"/>
      <c r="O764" s="79"/>
      <c r="S764" s="79"/>
      <c r="T764" s="79"/>
      <c r="Y764" s="79"/>
      <c r="AC764" s="130"/>
      <c r="AE764" s="106"/>
    </row>
    <row r="765">
      <c r="C765" s="79"/>
      <c r="D765" s="79"/>
      <c r="E765" s="79"/>
      <c r="O765" s="79"/>
      <c r="S765" s="79"/>
      <c r="T765" s="79"/>
      <c r="Y765" s="79"/>
      <c r="AC765" s="130"/>
      <c r="AE765" s="106"/>
    </row>
    <row r="766">
      <c r="C766" s="79"/>
      <c r="D766" s="79"/>
      <c r="E766" s="79"/>
      <c r="O766" s="79"/>
      <c r="S766" s="79"/>
      <c r="T766" s="79"/>
      <c r="Y766" s="79"/>
      <c r="AC766" s="130"/>
      <c r="AE766" s="106"/>
    </row>
    <row r="767">
      <c r="C767" s="79"/>
      <c r="D767" s="79"/>
      <c r="E767" s="79"/>
      <c r="O767" s="79"/>
      <c r="S767" s="79"/>
      <c r="T767" s="79"/>
      <c r="Y767" s="79"/>
      <c r="AC767" s="130"/>
      <c r="AE767" s="106"/>
    </row>
    <row r="768">
      <c r="C768" s="79"/>
      <c r="D768" s="79"/>
      <c r="E768" s="79"/>
      <c r="O768" s="79"/>
      <c r="S768" s="79"/>
      <c r="T768" s="79"/>
      <c r="Y768" s="79"/>
      <c r="AC768" s="130"/>
      <c r="AE768" s="106"/>
    </row>
    <row r="769">
      <c r="C769" s="79"/>
      <c r="D769" s="79"/>
      <c r="E769" s="79"/>
      <c r="O769" s="79"/>
      <c r="S769" s="79"/>
      <c r="T769" s="79"/>
      <c r="Y769" s="79"/>
      <c r="AC769" s="130"/>
      <c r="AE769" s="106"/>
    </row>
    <row r="770">
      <c r="C770" s="79"/>
      <c r="D770" s="79"/>
      <c r="E770" s="79"/>
      <c r="O770" s="79"/>
      <c r="S770" s="79"/>
      <c r="T770" s="79"/>
      <c r="Y770" s="79"/>
      <c r="AC770" s="130"/>
      <c r="AE770" s="106"/>
    </row>
    <row r="771">
      <c r="C771" s="79"/>
      <c r="D771" s="79"/>
      <c r="E771" s="79"/>
      <c r="O771" s="79"/>
      <c r="S771" s="79"/>
      <c r="T771" s="79"/>
      <c r="Y771" s="79"/>
      <c r="AC771" s="130"/>
      <c r="AE771" s="106"/>
    </row>
    <row r="772">
      <c r="C772" s="79"/>
      <c r="D772" s="79"/>
      <c r="E772" s="79"/>
      <c r="O772" s="79"/>
      <c r="S772" s="79"/>
      <c r="T772" s="79"/>
      <c r="Y772" s="79"/>
      <c r="AC772" s="130"/>
      <c r="AE772" s="106"/>
    </row>
    <row r="773">
      <c r="C773" s="79"/>
      <c r="D773" s="79"/>
      <c r="E773" s="79"/>
      <c r="O773" s="79"/>
      <c r="S773" s="79"/>
      <c r="T773" s="79"/>
      <c r="Y773" s="79"/>
      <c r="AC773" s="130"/>
      <c r="AE773" s="106"/>
    </row>
    <row r="774">
      <c r="C774" s="79"/>
      <c r="D774" s="79"/>
      <c r="E774" s="79"/>
      <c r="O774" s="79"/>
      <c r="S774" s="79"/>
      <c r="T774" s="79"/>
      <c r="Y774" s="79"/>
      <c r="AC774" s="130"/>
      <c r="AE774" s="106"/>
    </row>
    <row r="775">
      <c r="C775" s="79"/>
      <c r="D775" s="79"/>
      <c r="E775" s="79"/>
      <c r="O775" s="79"/>
      <c r="S775" s="79"/>
      <c r="T775" s="79"/>
      <c r="Y775" s="79"/>
      <c r="AC775" s="130"/>
      <c r="AE775" s="106"/>
    </row>
    <row r="776">
      <c r="C776" s="79"/>
      <c r="D776" s="79"/>
      <c r="E776" s="79"/>
      <c r="O776" s="79"/>
      <c r="S776" s="79"/>
      <c r="T776" s="79"/>
      <c r="Y776" s="79"/>
      <c r="AC776" s="130"/>
      <c r="AE776" s="106"/>
    </row>
    <row r="777">
      <c r="C777" s="79"/>
      <c r="D777" s="79"/>
      <c r="E777" s="79"/>
      <c r="O777" s="79"/>
      <c r="S777" s="79"/>
      <c r="T777" s="79"/>
      <c r="Y777" s="79"/>
      <c r="AC777" s="130"/>
      <c r="AE777" s="106"/>
    </row>
    <row r="778">
      <c r="C778" s="79"/>
      <c r="D778" s="79"/>
      <c r="E778" s="79"/>
      <c r="O778" s="79"/>
      <c r="S778" s="79"/>
      <c r="T778" s="79"/>
      <c r="Y778" s="79"/>
      <c r="AC778" s="130"/>
      <c r="AE778" s="106"/>
    </row>
    <row r="779">
      <c r="C779" s="79"/>
      <c r="D779" s="79"/>
      <c r="E779" s="79"/>
      <c r="O779" s="79"/>
      <c r="S779" s="79"/>
      <c r="T779" s="79"/>
      <c r="Y779" s="79"/>
      <c r="AC779" s="130"/>
      <c r="AE779" s="106"/>
    </row>
    <row r="780">
      <c r="C780" s="79"/>
      <c r="D780" s="79"/>
      <c r="E780" s="79"/>
      <c r="O780" s="79"/>
      <c r="S780" s="79"/>
      <c r="T780" s="79"/>
      <c r="Y780" s="79"/>
      <c r="AC780" s="130"/>
      <c r="AE780" s="106"/>
    </row>
    <row r="781">
      <c r="C781" s="79"/>
      <c r="D781" s="79"/>
      <c r="E781" s="79"/>
      <c r="O781" s="79"/>
      <c r="S781" s="79"/>
      <c r="T781" s="79"/>
      <c r="Y781" s="79"/>
      <c r="AC781" s="130"/>
      <c r="AE781" s="106"/>
    </row>
    <row r="782">
      <c r="C782" s="79"/>
      <c r="D782" s="79"/>
      <c r="E782" s="79"/>
      <c r="O782" s="79"/>
      <c r="S782" s="79"/>
      <c r="T782" s="79"/>
      <c r="Y782" s="79"/>
      <c r="AC782" s="130"/>
      <c r="AE782" s="106"/>
    </row>
    <row r="783">
      <c r="C783" s="79"/>
      <c r="D783" s="79"/>
      <c r="E783" s="79"/>
      <c r="O783" s="79"/>
      <c r="S783" s="79"/>
      <c r="T783" s="79"/>
      <c r="Y783" s="79"/>
      <c r="AC783" s="130"/>
      <c r="AE783" s="106"/>
    </row>
    <row r="784">
      <c r="C784" s="79"/>
      <c r="D784" s="79"/>
      <c r="E784" s="79"/>
      <c r="O784" s="79"/>
      <c r="S784" s="79"/>
      <c r="T784" s="79"/>
      <c r="Y784" s="79"/>
      <c r="AC784" s="130"/>
      <c r="AE784" s="106"/>
    </row>
    <row r="785">
      <c r="C785" s="79"/>
      <c r="D785" s="79"/>
      <c r="E785" s="79"/>
      <c r="O785" s="79"/>
      <c r="S785" s="79"/>
      <c r="T785" s="79"/>
      <c r="Y785" s="79"/>
      <c r="AC785" s="130"/>
      <c r="AE785" s="106"/>
    </row>
    <row r="786">
      <c r="C786" s="79"/>
      <c r="D786" s="79"/>
      <c r="E786" s="79"/>
      <c r="O786" s="79"/>
      <c r="S786" s="79"/>
      <c r="T786" s="79"/>
      <c r="Y786" s="79"/>
      <c r="AC786" s="130"/>
      <c r="AE786" s="106"/>
    </row>
    <row r="787">
      <c r="C787" s="79"/>
      <c r="D787" s="79"/>
      <c r="E787" s="79"/>
      <c r="O787" s="79"/>
      <c r="S787" s="79"/>
      <c r="T787" s="79"/>
      <c r="Y787" s="79"/>
      <c r="AC787" s="130"/>
      <c r="AE787" s="106"/>
    </row>
    <row r="788">
      <c r="C788" s="79"/>
      <c r="D788" s="79"/>
      <c r="E788" s="79"/>
      <c r="O788" s="79"/>
      <c r="S788" s="79"/>
      <c r="T788" s="79"/>
      <c r="Y788" s="79"/>
      <c r="AC788" s="130"/>
      <c r="AE788" s="106"/>
    </row>
    <row r="789">
      <c r="C789" s="79"/>
      <c r="D789" s="79"/>
      <c r="E789" s="79"/>
      <c r="O789" s="79"/>
      <c r="S789" s="79"/>
      <c r="T789" s="79"/>
      <c r="Y789" s="79"/>
      <c r="AC789" s="130"/>
      <c r="AE789" s="106"/>
    </row>
    <row r="790">
      <c r="C790" s="79"/>
      <c r="D790" s="79"/>
      <c r="E790" s="79"/>
      <c r="O790" s="79"/>
      <c r="S790" s="79"/>
      <c r="T790" s="79"/>
      <c r="Y790" s="79"/>
      <c r="AC790" s="130"/>
      <c r="AE790" s="106"/>
    </row>
    <row r="791">
      <c r="C791" s="79"/>
      <c r="D791" s="79"/>
      <c r="E791" s="79"/>
      <c r="O791" s="79"/>
      <c r="S791" s="79"/>
      <c r="T791" s="79"/>
      <c r="Y791" s="79"/>
      <c r="AC791" s="130"/>
      <c r="AE791" s="106"/>
    </row>
    <row r="792">
      <c r="C792" s="79"/>
      <c r="D792" s="79"/>
      <c r="E792" s="79"/>
      <c r="O792" s="79"/>
      <c r="S792" s="79"/>
      <c r="T792" s="79"/>
      <c r="Y792" s="79"/>
      <c r="AC792" s="130"/>
      <c r="AE792" s="106"/>
    </row>
    <row r="793">
      <c r="C793" s="79"/>
      <c r="D793" s="79"/>
      <c r="E793" s="79"/>
      <c r="O793" s="79"/>
      <c r="S793" s="79"/>
      <c r="T793" s="79"/>
      <c r="Y793" s="79"/>
      <c r="AC793" s="130"/>
      <c r="AE793" s="106"/>
    </row>
    <row r="794">
      <c r="C794" s="79"/>
      <c r="D794" s="79"/>
      <c r="E794" s="79"/>
      <c r="O794" s="79"/>
      <c r="S794" s="79"/>
      <c r="T794" s="79"/>
      <c r="Y794" s="79"/>
      <c r="AC794" s="130"/>
      <c r="AE794" s="106"/>
    </row>
    <row r="795">
      <c r="C795" s="79"/>
      <c r="D795" s="79"/>
      <c r="E795" s="79"/>
      <c r="O795" s="79"/>
      <c r="S795" s="79"/>
      <c r="T795" s="79"/>
      <c r="Y795" s="79"/>
      <c r="AC795" s="130"/>
      <c r="AE795" s="106"/>
    </row>
    <row r="796">
      <c r="C796" s="79"/>
      <c r="D796" s="79"/>
      <c r="E796" s="79"/>
      <c r="O796" s="79"/>
      <c r="S796" s="79"/>
      <c r="T796" s="79"/>
      <c r="Y796" s="79"/>
      <c r="AC796" s="130"/>
      <c r="AE796" s="106"/>
    </row>
    <row r="797">
      <c r="C797" s="79"/>
      <c r="D797" s="79"/>
      <c r="E797" s="79"/>
      <c r="O797" s="79"/>
      <c r="S797" s="79"/>
      <c r="T797" s="79"/>
      <c r="Y797" s="79"/>
      <c r="AC797" s="130"/>
      <c r="AE797" s="106"/>
    </row>
    <row r="798">
      <c r="C798" s="79"/>
      <c r="D798" s="79"/>
      <c r="E798" s="79"/>
      <c r="O798" s="79"/>
      <c r="S798" s="79"/>
      <c r="T798" s="79"/>
      <c r="Y798" s="79"/>
      <c r="AC798" s="130"/>
      <c r="AE798" s="106"/>
    </row>
    <row r="799">
      <c r="C799" s="79"/>
      <c r="D799" s="79"/>
      <c r="E799" s="79"/>
      <c r="O799" s="79"/>
      <c r="S799" s="79"/>
      <c r="T799" s="79"/>
      <c r="Y799" s="79"/>
      <c r="AC799" s="130"/>
      <c r="AE799" s="106"/>
    </row>
    <row r="800">
      <c r="C800" s="79"/>
      <c r="D800" s="79"/>
      <c r="E800" s="79"/>
      <c r="O800" s="79"/>
      <c r="S800" s="79"/>
      <c r="T800" s="79"/>
      <c r="Y800" s="79"/>
      <c r="AC800" s="130"/>
      <c r="AE800" s="106"/>
    </row>
    <row r="801">
      <c r="C801" s="79"/>
      <c r="D801" s="79"/>
      <c r="E801" s="79"/>
      <c r="O801" s="79"/>
      <c r="S801" s="79"/>
      <c r="T801" s="79"/>
      <c r="Y801" s="79"/>
      <c r="AC801" s="130"/>
      <c r="AE801" s="106"/>
    </row>
    <row r="802">
      <c r="C802" s="79"/>
      <c r="D802" s="79"/>
      <c r="E802" s="79"/>
      <c r="O802" s="79"/>
      <c r="S802" s="79"/>
      <c r="T802" s="79"/>
      <c r="Y802" s="79"/>
      <c r="AC802" s="130"/>
      <c r="AE802" s="106"/>
    </row>
    <row r="803">
      <c r="C803" s="79"/>
      <c r="D803" s="79"/>
      <c r="E803" s="79"/>
      <c r="O803" s="79"/>
      <c r="S803" s="79"/>
      <c r="T803" s="79"/>
      <c r="Y803" s="79"/>
      <c r="AC803" s="130"/>
      <c r="AE803" s="106"/>
    </row>
    <row r="804">
      <c r="C804" s="79"/>
      <c r="D804" s="79"/>
      <c r="E804" s="79"/>
      <c r="O804" s="79"/>
      <c r="S804" s="79"/>
      <c r="T804" s="79"/>
      <c r="Y804" s="79"/>
      <c r="AC804" s="130"/>
      <c r="AE804" s="106"/>
    </row>
    <row r="805">
      <c r="C805" s="79"/>
      <c r="D805" s="79"/>
      <c r="E805" s="79"/>
      <c r="O805" s="79"/>
      <c r="S805" s="79"/>
      <c r="T805" s="79"/>
      <c r="Y805" s="79"/>
      <c r="AC805" s="130"/>
      <c r="AE805" s="106"/>
    </row>
    <row r="806">
      <c r="C806" s="79"/>
      <c r="D806" s="79"/>
      <c r="E806" s="79"/>
      <c r="O806" s="79"/>
      <c r="S806" s="79"/>
      <c r="T806" s="79"/>
      <c r="Y806" s="79"/>
      <c r="AC806" s="130"/>
      <c r="AE806" s="106"/>
    </row>
    <row r="807">
      <c r="C807" s="79"/>
      <c r="D807" s="79"/>
      <c r="E807" s="79"/>
      <c r="O807" s="79"/>
      <c r="S807" s="79"/>
      <c r="T807" s="79"/>
      <c r="Y807" s="79"/>
      <c r="AC807" s="130"/>
      <c r="AE807" s="106"/>
    </row>
    <row r="808">
      <c r="C808" s="79"/>
      <c r="D808" s="79"/>
      <c r="E808" s="79"/>
      <c r="O808" s="79"/>
      <c r="S808" s="79"/>
      <c r="T808" s="79"/>
      <c r="Y808" s="79"/>
      <c r="AC808" s="130"/>
      <c r="AE808" s="106"/>
    </row>
    <row r="809">
      <c r="C809" s="79"/>
      <c r="D809" s="79"/>
      <c r="E809" s="79"/>
      <c r="O809" s="79"/>
      <c r="S809" s="79"/>
      <c r="T809" s="79"/>
      <c r="Y809" s="79"/>
      <c r="AC809" s="130"/>
      <c r="AE809" s="106"/>
    </row>
    <row r="810">
      <c r="C810" s="79"/>
      <c r="D810" s="79"/>
      <c r="E810" s="79"/>
      <c r="O810" s="79"/>
      <c r="S810" s="79"/>
      <c r="T810" s="79"/>
      <c r="Y810" s="79"/>
      <c r="AC810" s="130"/>
      <c r="AE810" s="106"/>
    </row>
    <row r="811">
      <c r="C811" s="79"/>
      <c r="D811" s="79"/>
      <c r="E811" s="79"/>
      <c r="O811" s="79"/>
      <c r="S811" s="79"/>
      <c r="T811" s="79"/>
      <c r="Y811" s="79"/>
      <c r="AC811" s="130"/>
      <c r="AE811" s="106"/>
    </row>
    <row r="812">
      <c r="C812" s="79"/>
      <c r="D812" s="79"/>
      <c r="E812" s="79"/>
      <c r="O812" s="79"/>
      <c r="S812" s="79"/>
      <c r="T812" s="79"/>
      <c r="Y812" s="79"/>
      <c r="AC812" s="130"/>
      <c r="AE812" s="106"/>
    </row>
    <row r="813">
      <c r="C813" s="79"/>
      <c r="D813" s="79"/>
      <c r="E813" s="79"/>
      <c r="O813" s="79"/>
      <c r="S813" s="79"/>
      <c r="T813" s="79"/>
      <c r="Y813" s="79"/>
      <c r="AC813" s="130"/>
      <c r="AE813" s="106"/>
    </row>
    <row r="814">
      <c r="C814" s="79"/>
      <c r="D814" s="79"/>
      <c r="E814" s="79"/>
      <c r="O814" s="79"/>
      <c r="S814" s="79"/>
      <c r="T814" s="79"/>
      <c r="Y814" s="79"/>
      <c r="AC814" s="130"/>
      <c r="AE814" s="106"/>
    </row>
    <row r="815">
      <c r="C815" s="79"/>
      <c r="D815" s="79"/>
      <c r="E815" s="79"/>
      <c r="O815" s="79"/>
      <c r="S815" s="79"/>
      <c r="T815" s="79"/>
      <c r="Y815" s="79"/>
      <c r="AC815" s="130"/>
      <c r="AE815" s="106"/>
    </row>
    <row r="816">
      <c r="C816" s="79"/>
      <c r="D816" s="79"/>
      <c r="E816" s="79"/>
      <c r="O816" s="79"/>
      <c r="S816" s="79"/>
      <c r="T816" s="79"/>
      <c r="Y816" s="79"/>
      <c r="AC816" s="130"/>
      <c r="AE816" s="106"/>
    </row>
    <row r="817">
      <c r="C817" s="79"/>
      <c r="D817" s="79"/>
      <c r="E817" s="79"/>
      <c r="O817" s="79"/>
      <c r="S817" s="79"/>
      <c r="T817" s="79"/>
      <c r="Y817" s="79"/>
      <c r="AC817" s="130"/>
      <c r="AE817" s="106"/>
    </row>
    <row r="818">
      <c r="C818" s="79"/>
      <c r="D818" s="79"/>
      <c r="E818" s="79"/>
      <c r="O818" s="79"/>
      <c r="S818" s="79"/>
      <c r="T818" s="79"/>
      <c r="Y818" s="79"/>
      <c r="AC818" s="130"/>
      <c r="AE818" s="106"/>
    </row>
    <row r="819">
      <c r="C819" s="79"/>
      <c r="D819" s="79"/>
      <c r="E819" s="79"/>
      <c r="O819" s="79"/>
      <c r="S819" s="79"/>
      <c r="T819" s="79"/>
      <c r="Y819" s="79"/>
      <c r="AC819" s="130"/>
      <c r="AE819" s="106"/>
    </row>
    <row r="820">
      <c r="C820" s="79"/>
      <c r="D820" s="79"/>
      <c r="E820" s="79"/>
      <c r="O820" s="79"/>
      <c r="S820" s="79"/>
      <c r="T820" s="79"/>
      <c r="Y820" s="79"/>
      <c r="AC820" s="130"/>
      <c r="AE820" s="106"/>
    </row>
    <row r="821">
      <c r="C821" s="79"/>
      <c r="D821" s="79"/>
      <c r="E821" s="79"/>
      <c r="O821" s="79"/>
      <c r="S821" s="79"/>
      <c r="T821" s="79"/>
      <c r="Y821" s="79"/>
      <c r="AC821" s="130"/>
      <c r="AE821" s="106"/>
    </row>
    <row r="822">
      <c r="C822" s="79"/>
      <c r="D822" s="79"/>
      <c r="E822" s="79"/>
      <c r="O822" s="79"/>
      <c r="S822" s="79"/>
      <c r="T822" s="79"/>
      <c r="Y822" s="79"/>
      <c r="AC822" s="130"/>
      <c r="AE822" s="106"/>
    </row>
    <row r="823">
      <c r="C823" s="79"/>
      <c r="D823" s="79"/>
      <c r="E823" s="79"/>
      <c r="O823" s="79"/>
      <c r="S823" s="79"/>
      <c r="T823" s="79"/>
      <c r="Y823" s="79"/>
      <c r="AC823" s="130"/>
      <c r="AE823" s="106"/>
    </row>
    <row r="824">
      <c r="C824" s="79"/>
      <c r="D824" s="79"/>
      <c r="E824" s="79"/>
      <c r="O824" s="79"/>
      <c r="S824" s="79"/>
      <c r="T824" s="79"/>
      <c r="Y824" s="79"/>
      <c r="AC824" s="130"/>
      <c r="AE824" s="106"/>
    </row>
    <row r="825">
      <c r="C825" s="79"/>
      <c r="D825" s="79"/>
      <c r="E825" s="79"/>
      <c r="O825" s="79"/>
      <c r="S825" s="79"/>
      <c r="T825" s="79"/>
      <c r="Y825" s="79"/>
      <c r="AC825" s="130"/>
      <c r="AE825" s="106"/>
    </row>
    <row r="826">
      <c r="C826" s="79"/>
      <c r="D826" s="79"/>
      <c r="E826" s="79"/>
      <c r="O826" s="79"/>
      <c r="S826" s="79"/>
      <c r="T826" s="79"/>
      <c r="Y826" s="79"/>
      <c r="AC826" s="130"/>
      <c r="AE826" s="106"/>
    </row>
    <row r="827">
      <c r="C827" s="79"/>
      <c r="D827" s="79"/>
      <c r="E827" s="79"/>
      <c r="O827" s="79"/>
      <c r="S827" s="79"/>
      <c r="T827" s="79"/>
      <c r="Y827" s="79"/>
      <c r="AC827" s="130"/>
      <c r="AE827" s="106"/>
    </row>
    <row r="828">
      <c r="C828" s="79"/>
      <c r="D828" s="79"/>
      <c r="E828" s="79"/>
      <c r="O828" s="79"/>
      <c r="S828" s="79"/>
      <c r="T828" s="79"/>
      <c r="Y828" s="79"/>
      <c r="AC828" s="130"/>
      <c r="AE828" s="106"/>
    </row>
    <row r="829">
      <c r="C829" s="79"/>
      <c r="D829" s="79"/>
      <c r="E829" s="79"/>
      <c r="O829" s="79"/>
      <c r="S829" s="79"/>
      <c r="T829" s="79"/>
      <c r="Y829" s="79"/>
      <c r="AC829" s="130"/>
      <c r="AE829" s="106"/>
    </row>
    <row r="830">
      <c r="C830" s="79"/>
      <c r="D830" s="79"/>
      <c r="E830" s="79"/>
      <c r="O830" s="79"/>
      <c r="S830" s="79"/>
      <c r="T830" s="79"/>
      <c r="Y830" s="79"/>
      <c r="AC830" s="130"/>
      <c r="AE830" s="106"/>
    </row>
    <row r="831">
      <c r="C831" s="79"/>
      <c r="D831" s="79"/>
      <c r="E831" s="79"/>
      <c r="O831" s="79"/>
      <c r="S831" s="79"/>
      <c r="T831" s="79"/>
      <c r="Y831" s="79"/>
      <c r="AC831" s="130"/>
      <c r="AE831" s="106"/>
    </row>
    <row r="832">
      <c r="C832" s="79"/>
      <c r="D832" s="79"/>
      <c r="E832" s="79"/>
      <c r="O832" s="79"/>
      <c r="S832" s="79"/>
      <c r="T832" s="79"/>
      <c r="Y832" s="79"/>
      <c r="AC832" s="130"/>
      <c r="AE832" s="106"/>
    </row>
    <row r="833">
      <c r="C833" s="79"/>
      <c r="D833" s="79"/>
      <c r="E833" s="79"/>
      <c r="O833" s="79"/>
      <c r="S833" s="79"/>
      <c r="T833" s="79"/>
      <c r="Y833" s="79"/>
      <c r="AC833" s="130"/>
      <c r="AE833" s="106"/>
    </row>
    <row r="834">
      <c r="C834" s="79"/>
      <c r="D834" s="79"/>
      <c r="E834" s="79"/>
      <c r="O834" s="79"/>
      <c r="S834" s="79"/>
      <c r="T834" s="79"/>
      <c r="Y834" s="79"/>
      <c r="AC834" s="130"/>
      <c r="AE834" s="106"/>
    </row>
    <row r="835">
      <c r="C835" s="79"/>
      <c r="D835" s="79"/>
      <c r="E835" s="79"/>
      <c r="O835" s="79"/>
      <c r="S835" s="79"/>
      <c r="T835" s="79"/>
      <c r="Y835" s="79"/>
      <c r="AC835" s="130"/>
      <c r="AE835" s="106"/>
    </row>
    <row r="836">
      <c r="C836" s="79"/>
      <c r="D836" s="79"/>
      <c r="E836" s="79"/>
      <c r="O836" s="79"/>
      <c r="S836" s="79"/>
      <c r="T836" s="79"/>
      <c r="Y836" s="79"/>
      <c r="AC836" s="130"/>
      <c r="AE836" s="106"/>
    </row>
    <row r="837">
      <c r="C837" s="79"/>
      <c r="D837" s="79"/>
      <c r="E837" s="79"/>
      <c r="O837" s="79"/>
      <c r="S837" s="79"/>
      <c r="T837" s="79"/>
      <c r="Y837" s="79"/>
      <c r="AC837" s="130"/>
      <c r="AE837" s="106"/>
    </row>
    <row r="838">
      <c r="C838" s="79"/>
      <c r="D838" s="79"/>
      <c r="E838" s="79"/>
      <c r="O838" s="79"/>
      <c r="S838" s="79"/>
      <c r="T838" s="79"/>
      <c r="Y838" s="79"/>
      <c r="AC838" s="130"/>
      <c r="AE838" s="106"/>
    </row>
    <row r="839">
      <c r="C839" s="79"/>
      <c r="D839" s="79"/>
      <c r="E839" s="79"/>
      <c r="O839" s="79"/>
      <c r="S839" s="79"/>
      <c r="T839" s="79"/>
      <c r="Y839" s="79"/>
      <c r="AC839" s="130"/>
      <c r="AE839" s="106"/>
    </row>
    <row r="840">
      <c r="C840" s="79"/>
      <c r="D840" s="79"/>
      <c r="E840" s="79"/>
      <c r="O840" s="79"/>
      <c r="S840" s="79"/>
      <c r="T840" s="79"/>
      <c r="Y840" s="79"/>
      <c r="AC840" s="130"/>
      <c r="AE840" s="106"/>
    </row>
    <row r="841">
      <c r="C841" s="79"/>
      <c r="D841" s="79"/>
      <c r="E841" s="79"/>
      <c r="O841" s="79"/>
      <c r="S841" s="79"/>
      <c r="T841" s="79"/>
      <c r="Y841" s="79"/>
      <c r="AC841" s="130"/>
      <c r="AE841" s="106"/>
    </row>
    <row r="842">
      <c r="C842" s="79"/>
      <c r="D842" s="79"/>
      <c r="E842" s="79"/>
      <c r="O842" s="79"/>
      <c r="S842" s="79"/>
      <c r="T842" s="79"/>
      <c r="Y842" s="79"/>
      <c r="AC842" s="130"/>
      <c r="AE842" s="106"/>
    </row>
    <row r="843">
      <c r="C843" s="79"/>
      <c r="D843" s="79"/>
      <c r="E843" s="79"/>
      <c r="O843" s="79"/>
      <c r="S843" s="79"/>
      <c r="T843" s="79"/>
      <c r="Y843" s="79"/>
      <c r="AC843" s="130"/>
      <c r="AE843" s="106"/>
    </row>
    <row r="844">
      <c r="C844" s="79"/>
      <c r="D844" s="79"/>
      <c r="E844" s="79"/>
      <c r="O844" s="79"/>
      <c r="S844" s="79"/>
      <c r="T844" s="79"/>
      <c r="Y844" s="79"/>
      <c r="AC844" s="130"/>
      <c r="AE844" s="106"/>
    </row>
    <row r="845">
      <c r="C845" s="79"/>
      <c r="D845" s="79"/>
      <c r="E845" s="79"/>
      <c r="O845" s="79"/>
      <c r="S845" s="79"/>
      <c r="T845" s="79"/>
      <c r="Y845" s="79"/>
      <c r="AC845" s="130"/>
      <c r="AE845" s="106"/>
    </row>
    <row r="846">
      <c r="C846" s="79"/>
      <c r="D846" s="79"/>
      <c r="E846" s="79"/>
      <c r="O846" s="79"/>
      <c r="S846" s="79"/>
      <c r="T846" s="79"/>
      <c r="Y846" s="79"/>
      <c r="AC846" s="130"/>
      <c r="AE846" s="106"/>
    </row>
    <row r="847">
      <c r="C847" s="79"/>
      <c r="D847" s="79"/>
      <c r="E847" s="79"/>
      <c r="O847" s="79"/>
      <c r="S847" s="79"/>
      <c r="T847" s="79"/>
      <c r="Y847" s="79"/>
      <c r="AC847" s="130"/>
      <c r="AE847" s="106"/>
    </row>
    <row r="848">
      <c r="C848" s="79"/>
      <c r="D848" s="79"/>
      <c r="E848" s="79"/>
      <c r="O848" s="79"/>
      <c r="S848" s="79"/>
      <c r="T848" s="79"/>
      <c r="Y848" s="79"/>
      <c r="AC848" s="130"/>
      <c r="AE848" s="106"/>
    </row>
    <row r="849">
      <c r="C849" s="79"/>
      <c r="D849" s="79"/>
      <c r="E849" s="79"/>
      <c r="O849" s="79"/>
      <c r="S849" s="79"/>
      <c r="T849" s="79"/>
      <c r="Y849" s="79"/>
      <c r="AC849" s="130"/>
      <c r="AE849" s="106"/>
    </row>
    <row r="850">
      <c r="C850" s="79"/>
      <c r="D850" s="79"/>
      <c r="E850" s="79"/>
      <c r="O850" s="79"/>
      <c r="S850" s="79"/>
      <c r="T850" s="79"/>
      <c r="Y850" s="79"/>
      <c r="AC850" s="130"/>
      <c r="AE850" s="106"/>
    </row>
    <row r="851">
      <c r="C851" s="79"/>
      <c r="D851" s="79"/>
      <c r="E851" s="79"/>
      <c r="O851" s="79"/>
      <c r="S851" s="79"/>
      <c r="T851" s="79"/>
      <c r="Y851" s="79"/>
      <c r="AC851" s="130"/>
      <c r="AE851" s="106"/>
    </row>
    <row r="852">
      <c r="C852" s="79"/>
      <c r="D852" s="79"/>
      <c r="E852" s="79"/>
      <c r="O852" s="79"/>
      <c r="S852" s="79"/>
      <c r="T852" s="79"/>
      <c r="Y852" s="79"/>
      <c r="AC852" s="130"/>
      <c r="AE852" s="106"/>
    </row>
    <row r="853">
      <c r="C853" s="79"/>
      <c r="D853" s="79"/>
      <c r="E853" s="79"/>
      <c r="O853" s="79"/>
      <c r="S853" s="79"/>
      <c r="T853" s="79"/>
      <c r="Y853" s="79"/>
      <c r="AC853" s="130"/>
      <c r="AE853" s="106"/>
    </row>
    <row r="854">
      <c r="C854" s="79"/>
      <c r="D854" s="79"/>
      <c r="E854" s="79"/>
      <c r="O854" s="79"/>
      <c r="S854" s="79"/>
      <c r="T854" s="79"/>
      <c r="Y854" s="79"/>
      <c r="AC854" s="130"/>
      <c r="AE854" s="106"/>
    </row>
    <row r="855">
      <c r="C855" s="79"/>
      <c r="D855" s="79"/>
      <c r="E855" s="79"/>
      <c r="O855" s="79"/>
      <c r="S855" s="79"/>
      <c r="T855" s="79"/>
      <c r="Y855" s="79"/>
      <c r="AC855" s="130"/>
      <c r="AE855" s="106"/>
    </row>
    <row r="856">
      <c r="C856" s="79"/>
      <c r="D856" s="79"/>
      <c r="E856" s="79"/>
      <c r="O856" s="79"/>
      <c r="S856" s="79"/>
      <c r="T856" s="79"/>
      <c r="Y856" s="79"/>
      <c r="AC856" s="130"/>
      <c r="AE856" s="106"/>
    </row>
    <row r="857">
      <c r="C857" s="79"/>
      <c r="D857" s="79"/>
      <c r="E857" s="79"/>
      <c r="O857" s="79"/>
      <c r="S857" s="79"/>
      <c r="T857" s="79"/>
      <c r="Y857" s="79"/>
      <c r="AC857" s="130"/>
      <c r="AE857" s="106"/>
    </row>
    <row r="858">
      <c r="C858" s="79"/>
      <c r="D858" s="79"/>
      <c r="E858" s="79"/>
      <c r="O858" s="79"/>
      <c r="S858" s="79"/>
      <c r="T858" s="79"/>
      <c r="Y858" s="79"/>
      <c r="AC858" s="130"/>
      <c r="AE858" s="106"/>
    </row>
    <row r="859">
      <c r="C859" s="79"/>
      <c r="D859" s="79"/>
      <c r="E859" s="79"/>
      <c r="O859" s="79"/>
      <c r="S859" s="79"/>
      <c r="T859" s="79"/>
      <c r="Y859" s="79"/>
      <c r="AC859" s="130"/>
      <c r="AE859" s="106"/>
    </row>
    <row r="860">
      <c r="C860" s="79"/>
      <c r="D860" s="79"/>
      <c r="E860" s="79"/>
      <c r="O860" s="79"/>
      <c r="S860" s="79"/>
      <c r="T860" s="79"/>
      <c r="Y860" s="79"/>
      <c r="AC860" s="130"/>
      <c r="AE860" s="106"/>
    </row>
    <row r="861">
      <c r="C861" s="79"/>
      <c r="D861" s="79"/>
      <c r="E861" s="79"/>
      <c r="O861" s="79"/>
      <c r="S861" s="79"/>
      <c r="T861" s="79"/>
      <c r="Y861" s="79"/>
      <c r="AC861" s="130"/>
      <c r="AE861" s="106"/>
    </row>
    <row r="862">
      <c r="C862" s="79"/>
      <c r="D862" s="79"/>
      <c r="E862" s="79"/>
      <c r="O862" s="79"/>
      <c r="S862" s="79"/>
      <c r="T862" s="79"/>
      <c r="Y862" s="79"/>
      <c r="AC862" s="130"/>
      <c r="AE862" s="106"/>
    </row>
    <row r="863">
      <c r="C863" s="79"/>
      <c r="D863" s="79"/>
      <c r="E863" s="79"/>
      <c r="O863" s="79"/>
      <c r="S863" s="79"/>
      <c r="T863" s="79"/>
      <c r="Y863" s="79"/>
      <c r="AC863" s="130"/>
      <c r="AE863" s="106"/>
    </row>
    <row r="864">
      <c r="C864" s="79"/>
      <c r="D864" s="79"/>
      <c r="E864" s="79"/>
      <c r="O864" s="79"/>
      <c r="S864" s="79"/>
      <c r="T864" s="79"/>
      <c r="Y864" s="79"/>
      <c r="AC864" s="130"/>
      <c r="AE864" s="106"/>
    </row>
    <row r="865">
      <c r="C865" s="79"/>
      <c r="D865" s="79"/>
      <c r="E865" s="79"/>
      <c r="O865" s="79"/>
      <c r="S865" s="79"/>
      <c r="T865" s="79"/>
      <c r="Y865" s="79"/>
      <c r="AC865" s="130"/>
      <c r="AE865" s="106"/>
    </row>
    <row r="866">
      <c r="C866" s="79"/>
      <c r="D866" s="79"/>
      <c r="E866" s="79"/>
      <c r="O866" s="79"/>
      <c r="S866" s="79"/>
      <c r="T866" s="79"/>
      <c r="Y866" s="79"/>
      <c r="AC866" s="130"/>
      <c r="AE866" s="106"/>
    </row>
  </sheetData>
  <autoFilter ref="$A$43:$F$74">
    <sortState ref="A43:F74">
      <sortCondition descending="1" sortBy="cellColor" ref="E43:E74" dxfId="1"/>
      <sortCondition descending="1" sortBy="cellColor" ref="C43:C74" dxfId="1"/>
      <sortCondition descending="1" sortBy="cellColor" ref="A43:A74" dxfId="1"/>
    </sortState>
  </autoFilter>
  <mergeCells count="1">
    <mergeCell ref="B40:E40"/>
  </mergeCells>
  <drawing r:id="rId2"/>
  <legacyDrawing r:id="rId3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3" max="3" width="17.38"/>
    <col customWidth="1" min="4" max="4" width="25.75"/>
    <col customWidth="1" min="5" max="5" width="20.88"/>
    <col customWidth="1" min="6" max="6" width="22.38"/>
    <col customWidth="1" min="7" max="7" width="37.88"/>
    <col customWidth="1" min="8" max="8" width="27.0"/>
    <col customWidth="1" min="9" max="10" width="14.88"/>
    <col customWidth="1" min="11" max="11" width="13.63"/>
    <col customWidth="1" min="12" max="12" width="17.88"/>
    <col customWidth="1" min="13" max="13" width="13.88"/>
    <col customWidth="1" min="15" max="15" width="27.38"/>
    <col customWidth="1" min="26" max="26" width="14.63"/>
    <col customWidth="1" min="31" max="31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4</v>
      </c>
      <c r="J1" s="2" t="s">
        <v>5</v>
      </c>
      <c r="K1" s="2" t="s">
        <v>303</v>
      </c>
      <c r="L1" s="2" t="s">
        <v>6</v>
      </c>
      <c r="M1" s="2" t="s">
        <v>12</v>
      </c>
      <c r="N1" s="2" t="s">
        <v>49</v>
      </c>
      <c r="O1" s="105" t="s">
        <v>304</v>
      </c>
      <c r="P1" s="2" t="s">
        <v>37</v>
      </c>
      <c r="Q1" s="2" t="s">
        <v>10</v>
      </c>
      <c r="R1" s="2" t="s">
        <v>42</v>
      </c>
      <c r="S1" s="105" t="s">
        <v>656</v>
      </c>
      <c r="T1" s="105" t="s">
        <v>9</v>
      </c>
      <c r="U1" s="2" t="s">
        <v>164</v>
      </c>
      <c r="V1" s="105" t="s">
        <v>40</v>
      </c>
      <c r="W1" s="2" t="s">
        <v>83</v>
      </c>
      <c r="X1" s="2" t="s">
        <v>204</v>
      </c>
      <c r="Y1" s="105" t="s">
        <v>205</v>
      </c>
      <c r="Z1" s="2" t="s">
        <v>206</v>
      </c>
      <c r="AA1" s="2" t="s">
        <v>305</v>
      </c>
      <c r="AB1" s="3" t="s">
        <v>13</v>
      </c>
      <c r="AC1" s="3" t="s">
        <v>14</v>
      </c>
      <c r="AD1" s="3" t="s">
        <v>15</v>
      </c>
      <c r="AE1" s="106"/>
      <c r="AF1" s="265" t="s">
        <v>306</v>
      </c>
      <c r="AG1" s="266" t="s">
        <v>80</v>
      </c>
    </row>
    <row r="2">
      <c r="A2" s="74">
        <v>45572.0</v>
      </c>
      <c r="B2" s="93">
        <f>761.95-193.44+1459.63-54.74-39.88-47.26-28.79-54.83-359.29-42.89-19.34</f>
        <v>1381.12</v>
      </c>
      <c r="C2" s="93">
        <f>373.8-225</f>
        <v>148.8</v>
      </c>
      <c r="D2" s="93">
        <v>165.01</v>
      </c>
      <c r="E2" s="93"/>
      <c r="F2" s="93"/>
      <c r="G2" s="93">
        <v>180.0</v>
      </c>
      <c r="H2" s="93"/>
      <c r="I2" s="93"/>
      <c r="J2" s="344">
        <v>680.9</v>
      </c>
      <c r="K2" s="93"/>
      <c r="L2" s="93"/>
      <c r="M2" s="93"/>
      <c r="N2" s="93">
        <v>168.0</v>
      </c>
      <c r="O2" s="93"/>
      <c r="P2" s="72"/>
      <c r="Q2" s="93">
        <f>230.85-60</f>
        <v>170.85</v>
      </c>
      <c r="R2" s="93"/>
      <c r="S2" s="93"/>
      <c r="T2" s="93"/>
      <c r="U2" s="93"/>
      <c r="V2" s="93"/>
      <c r="W2" s="93"/>
      <c r="X2" s="93"/>
      <c r="Y2" s="93"/>
      <c r="Z2" s="93"/>
      <c r="AA2" s="386"/>
      <c r="AB2" s="107">
        <f>SUM(B2:AA2)</f>
        <v>2894.68</v>
      </c>
      <c r="AC2" s="158">
        <v>4144.0</v>
      </c>
      <c r="AD2" s="59">
        <f t="shared" ref="AD2:AD8" si="1">AB2/AC2</f>
        <v>0.698523166</v>
      </c>
      <c r="AE2" s="109">
        <f t="shared" ref="AE2:AE8" si="2">A2</f>
        <v>45572</v>
      </c>
      <c r="AF2" s="267"/>
      <c r="AG2" s="268">
        <f t="shared" ref="AG2:AG8" si="3">AC2-AF2</f>
        <v>4144</v>
      </c>
    </row>
    <row r="3">
      <c r="A3" s="74">
        <f t="shared" ref="A3:A8" si="4">A2+1</f>
        <v>45573</v>
      </c>
      <c r="B3" s="93"/>
      <c r="C3" s="93">
        <f>309.35-34.7</f>
        <v>274.65</v>
      </c>
      <c r="D3" s="343">
        <v>614.215</v>
      </c>
      <c r="E3" s="250">
        <v>124.0</v>
      </c>
      <c r="F3" s="93"/>
      <c r="G3" s="93"/>
      <c r="H3" s="168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326"/>
      <c r="AB3" s="107">
        <f t="shared" ref="AB3:AB8" si="5">SUM(B3:Z3)</f>
        <v>1012.865</v>
      </c>
      <c r="AC3" s="158">
        <v>6454.4</v>
      </c>
      <c r="AD3" s="59">
        <f t="shared" si="1"/>
        <v>0.1569262828</v>
      </c>
      <c r="AE3" s="109">
        <f t="shared" si="2"/>
        <v>45573</v>
      </c>
      <c r="AF3" s="267"/>
      <c r="AG3" s="268">
        <f t="shared" si="3"/>
        <v>6454.4</v>
      </c>
    </row>
    <row r="4">
      <c r="A4" s="74">
        <f t="shared" si="4"/>
        <v>45574</v>
      </c>
      <c r="B4" s="93">
        <f>686.42-45.3-237.1-36.75</f>
        <v>367.27</v>
      </c>
      <c r="C4" s="93"/>
      <c r="D4" s="101"/>
      <c r="E4" s="93"/>
      <c r="F4" s="93"/>
      <c r="G4" s="93">
        <v>180.0</v>
      </c>
      <c r="H4" s="168"/>
      <c r="I4" s="93">
        <v>152.33</v>
      </c>
      <c r="J4" s="93">
        <f>680.9-198-148.5</f>
        <v>334.4</v>
      </c>
      <c r="K4" s="93"/>
      <c r="L4" s="93">
        <v>28.0</v>
      </c>
      <c r="M4" s="93"/>
      <c r="N4" s="93"/>
      <c r="O4" s="93"/>
      <c r="P4" s="160"/>
      <c r="Q4" s="93"/>
      <c r="R4" s="93"/>
      <c r="S4" s="93"/>
      <c r="T4" s="93"/>
      <c r="U4" s="93"/>
      <c r="V4" s="93"/>
      <c r="W4" s="93"/>
      <c r="X4" s="93"/>
      <c r="Y4" s="93"/>
      <c r="Z4" s="101"/>
      <c r="AA4" s="326"/>
      <c r="AB4" s="107">
        <f t="shared" si="5"/>
        <v>1062</v>
      </c>
      <c r="AC4" s="380">
        <v>4014.6</v>
      </c>
      <c r="AD4" s="59">
        <f t="shared" si="1"/>
        <v>0.2645344493</v>
      </c>
      <c r="AE4" s="109">
        <f t="shared" si="2"/>
        <v>45574</v>
      </c>
      <c r="AF4" s="267"/>
      <c r="AG4" s="268">
        <f t="shared" si="3"/>
        <v>4014.6</v>
      </c>
    </row>
    <row r="5">
      <c r="A5" s="74">
        <f t="shared" si="4"/>
        <v>45575</v>
      </c>
      <c r="B5" s="93">
        <f>1184.39-65.16-26.4-47.26-36.5-24.71-165.24-63.95-43.21-147-25.51-15.21-28.83-6.3-209.87</f>
        <v>279.24</v>
      </c>
      <c r="C5" s="93"/>
      <c r="D5" s="93">
        <f>317.6-131.8</f>
        <v>185.8</v>
      </c>
      <c r="E5" s="93"/>
      <c r="F5" s="93"/>
      <c r="G5" s="93"/>
      <c r="H5" s="160"/>
      <c r="I5" s="93"/>
      <c r="J5" s="93"/>
      <c r="K5" s="93"/>
      <c r="L5" s="93"/>
      <c r="M5" s="93"/>
      <c r="N5" s="93"/>
      <c r="O5" s="93"/>
      <c r="P5" s="93"/>
      <c r="Q5" s="93">
        <v>68.0</v>
      </c>
      <c r="R5" s="93"/>
      <c r="S5" s="101"/>
      <c r="T5" s="93"/>
      <c r="U5" s="93"/>
      <c r="V5" s="93"/>
      <c r="W5" s="93"/>
      <c r="X5" s="93"/>
      <c r="Y5" s="101"/>
      <c r="Z5" s="101"/>
      <c r="AA5" s="327"/>
      <c r="AB5" s="7">
        <f t="shared" si="5"/>
        <v>533.04</v>
      </c>
      <c r="AC5" s="380">
        <f>701+4093</f>
        <v>4794</v>
      </c>
      <c r="AD5" s="59">
        <f t="shared" si="1"/>
        <v>0.1111889862</v>
      </c>
      <c r="AE5" s="109">
        <f t="shared" si="2"/>
        <v>45575</v>
      </c>
      <c r="AF5" s="267"/>
      <c r="AG5" s="268">
        <f t="shared" si="3"/>
        <v>4794</v>
      </c>
    </row>
    <row r="6">
      <c r="A6" s="74">
        <f t="shared" si="4"/>
        <v>45576</v>
      </c>
      <c r="B6" s="93">
        <f>548.42-17.77-48.16-47.2-46.84</f>
        <v>388.45</v>
      </c>
      <c r="C6" s="361">
        <f>496.3-25</f>
        <v>471.3</v>
      </c>
      <c r="D6" s="93">
        <f>1029.85-122-87.19-72.82-504.64</f>
        <v>243.2</v>
      </c>
      <c r="E6" s="93">
        <v>22.5</v>
      </c>
      <c r="F6" s="93"/>
      <c r="G6" s="93"/>
      <c r="H6" s="160"/>
      <c r="I6" s="93"/>
      <c r="J6" s="93">
        <f>396-198</f>
        <v>198</v>
      </c>
      <c r="K6" s="93"/>
      <c r="L6" s="93">
        <v>123.0</v>
      </c>
      <c r="M6" s="93">
        <v>47.8</v>
      </c>
      <c r="N6" s="93"/>
      <c r="O6" s="93"/>
      <c r="P6" s="250">
        <v>516.0</v>
      </c>
      <c r="Q6" s="93"/>
      <c r="R6" s="93"/>
      <c r="S6" s="93"/>
      <c r="T6" s="374"/>
      <c r="U6" s="93"/>
      <c r="V6" s="93"/>
      <c r="W6" s="93"/>
      <c r="X6" s="93"/>
      <c r="Y6" s="93"/>
      <c r="Z6" s="93"/>
      <c r="AA6" s="327"/>
      <c r="AB6" s="7">
        <f t="shared" si="5"/>
        <v>2010.25</v>
      </c>
      <c r="AC6" s="380">
        <f>429+7016.2</f>
        <v>7445.2</v>
      </c>
      <c r="AD6" s="59">
        <f t="shared" si="1"/>
        <v>0.2700061785</v>
      </c>
      <c r="AE6" s="109">
        <f t="shared" si="2"/>
        <v>45576</v>
      </c>
      <c r="AF6" s="267"/>
      <c r="AG6" s="268">
        <f t="shared" si="3"/>
        <v>7445.2</v>
      </c>
    </row>
    <row r="7">
      <c r="A7" s="74">
        <f t="shared" si="4"/>
        <v>45577</v>
      </c>
      <c r="B7" s="93">
        <f>672.88-16.45+128.82</f>
        <v>785.25</v>
      </c>
      <c r="C7" s="361">
        <f>427.05-150</f>
        <v>277.05</v>
      </c>
      <c r="D7" s="180">
        <v>304.3</v>
      </c>
      <c r="E7" s="79"/>
      <c r="F7" s="402"/>
      <c r="G7" s="93">
        <v>180.0</v>
      </c>
      <c r="H7" s="374"/>
      <c r="I7" s="93">
        <f>386.64-145.8-101.3+19.93</f>
        <v>159.47</v>
      </c>
      <c r="J7" s="93"/>
      <c r="K7" s="93"/>
      <c r="L7" s="93"/>
      <c r="M7" s="93"/>
      <c r="N7" s="93">
        <v>84.0</v>
      </c>
      <c r="O7" s="93"/>
      <c r="P7" s="402"/>
      <c r="Q7" s="93"/>
      <c r="R7" s="93"/>
      <c r="S7" s="101"/>
      <c r="T7" s="93"/>
      <c r="U7" s="93"/>
      <c r="V7" s="93"/>
      <c r="W7" s="93"/>
      <c r="X7" s="93"/>
      <c r="Y7" s="101"/>
      <c r="Z7" s="93"/>
      <c r="AA7" s="327"/>
      <c r="AB7" s="7">
        <f t="shared" si="5"/>
        <v>1790.07</v>
      </c>
      <c r="AC7" s="380">
        <v>13155.59</v>
      </c>
      <c r="AD7" s="59">
        <f t="shared" si="1"/>
        <v>0.1360691539</v>
      </c>
      <c r="AE7" s="109">
        <f t="shared" si="2"/>
        <v>45577</v>
      </c>
      <c r="AF7" s="267"/>
      <c r="AG7" s="268">
        <f t="shared" si="3"/>
        <v>13155.59</v>
      </c>
    </row>
    <row r="8">
      <c r="A8" s="74">
        <f t="shared" si="4"/>
        <v>45578</v>
      </c>
      <c r="B8" s="344">
        <f>359.29+271.2</f>
        <v>630.49</v>
      </c>
      <c r="C8" s="344">
        <v>299.8</v>
      </c>
      <c r="D8" s="344">
        <f>246.24</f>
        <v>246.24</v>
      </c>
      <c r="E8" s="112"/>
      <c r="F8" s="344">
        <v>603.86</v>
      </c>
      <c r="G8" s="10"/>
      <c r="H8" s="93"/>
      <c r="I8" s="344">
        <v>106.47</v>
      </c>
      <c r="J8" s="344">
        <f>611.1+203.7</f>
        <v>814.8</v>
      </c>
      <c r="K8" s="93"/>
      <c r="L8" s="112"/>
      <c r="M8" s="112"/>
      <c r="N8" s="93"/>
      <c r="O8" s="93"/>
      <c r="P8" s="93"/>
      <c r="Q8" s="93"/>
      <c r="R8" s="374"/>
      <c r="S8" s="374"/>
      <c r="T8" s="374"/>
      <c r="U8" s="374"/>
      <c r="V8" s="112"/>
      <c r="W8" s="112"/>
      <c r="X8" s="112"/>
      <c r="Y8" s="112"/>
      <c r="Z8" s="112"/>
      <c r="AA8" s="93"/>
      <c r="AB8" s="7">
        <f t="shared" si="5"/>
        <v>2701.66</v>
      </c>
      <c r="AC8" s="380">
        <v>6969</v>
      </c>
      <c r="AD8" s="59">
        <f t="shared" si="1"/>
        <v>0.3876682451</v>
      </c>
      <c r="AE8" s="109">
        <f t="shared" si="2"/>
        <v>45578</v>
      </c>
      <c r="AF8" s="267"/>
      <c r="AG8" s="268">
        <f t="shared" si="3"/>
        <v>6969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AC9" s="129"/>
      <c r="AE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AC10" s="129"/>
      <c r="AE10" s="106"/>
    </row>
    <row r="11">
      <c r="A11" s="165" t="s">
        <v>194</v>
      </c>
      <c r="B11" s="93">
        <f>193.44+39.88+28.79+42.89+19.34+45.3+47.26+36.5+63.95+25.51+15.21+28.83+6.3+48.16+46.84+16.45</f>
        <v>704.65</v>
      </c>
      <c r="C11" s="93">
        <v>25.0</v>
      </c>
      <c r="D11" s="93">
        <v>87.19</v>
      </c>
      <c r="E11" s="167"/>
      <c r="F11" s="168"/>
      <c r="G11" s="168"/>
      <c r="H11" s="166"/>
      <c r="I11" s="166">
        <v>145.8</v>
      </c>
      <c r="J11" s="93"/>
      <c r="K11" s="168"/>
      <c r="L11" s="93"/>
      <c r="M11" s="93"/>
      <c r="N11" s="93"/>
      <c r="O11" s="168"/>
      <c r="P11" s="168"/>
      <c r="Q11" s="168"/>
      <c r="R11" s="168"/>
      <c r="S11" s="168"/>
      <c r="T11" s="168"/>
      <c r="U11" s="168"/>
      <c r="V11" s="168"/>
      <c r="W11" s="1"/>
      <c r="X11" s="168"/>
      <c r="Y11" s="168"/>
      <c r="Z11" s="1"/>
      <c r="AA11" s="1"/>
      <c r="AB11" s="1"/>
      <c r="AC11" s="169"/>
      <c r="AD11" s="1"/>
      <c r="AE11" s="170"/>
    </row>
    <row r="12">
      <c r="A12" s="165" t="s">
        <v>195</v>
      </c>
      <c r="B12" s="93">
        <f>54.74+47.26+54.83+359.29+36.75+65.16+24.71+165.24+147+17.77+47.2</f>
        <v>1019.95</v>
      </c>
      <c r="C12" s="93">
        <f>225+150</f>
        <v>375</v>
      </c>
      <c r="D12" s="93">
        <f>131.8+17.77+47.2</f>
        <v>196.77</v>
      </c>
      <c r="E12" s="93"/>
      <c r="F12" s="374"/>
      <c r="G12" s="93"/>
      <c r="H12" s="93"/>
      <c r="I12" s="93">
        <f>237.86+101.3</f>
        <v>339.16</v>
      </c>
      <c r="J12" s="93">
        <v>198.0</v>
      </c>
      <c r="K12" s="93"/>
      <c r="L12" s="93"/>
      <c r="M12" s="93"/>
      <c r="N12" s="93">
        <v>300.0</v>
      </c>
      <c r="O12" s="168"/>
      <c r="P12" s="168"/>
      <c r="Q12" s="166"/>
      <c r="R12" s="166"/>
      <c r="S12" s="168"/>
      <c r="T12" s="166"/>
      <c r="U12" s="168"/>
      <c r="V12" s="168"/>
      <c r="W12" s="1"/>
      <c r="X12" s="93"/>
      <c r="Y12" s="168"/>
      <c r="Z12" s="1"/>
      <c r="AA12" s="1"/>
      <c r="AB12" s="1"/>
      <c r="AC12" s="171"/>
      <c r="AD12" s="1"/>
      <c r="AE12" s="170"/>
      <c r="AF12" s="32" t="s">
        <v>721</v>
      </c>
    </row>
    <row r="13">
      <c r="A13" s="172" t="s">
        <v>693</v>
      </c>
      <c r="B13" s="348"/>
      <c r="C13" s="348"/>
      <c r="D13" s="180">
        <v>398.26</v>
      </c>
      <c r="E13" s="93">
        <v>124.0</v>
      </c>
      <c r="F13" s="374"/>
      <c r="G13" s="93"/>
      <c r="H13" s="93"/>
      <c r="I13" s="93"/>
      <c r="J13" s="93">
        <v>148.5</v>
      </c>
      <c r="K13" s="180">
        <v>608.5</v>
      </c>
      <c r="L13" s="93"/>
      <c r="M13" s="93"/>
      <c r="N13" s="93"/>
      <c r="O13" s="166">
        <v>192.0</v>
      </c>
      <c r="P13" s="168"/>
      <c r="Q13" s="249">
        <f>60+147</f>
        <v>207</v>
      </c>
      <c r="R13" s="166"/>
      <c r="S13" s="168"/>
      <c r="T13" s="166"/>
      <c r="U13" s="168"/>
      <c r="V13" s="168"/>
      <c r="W13" s="1"/>
      <c r="X13" s="93"/>
      <c r="Y13" s="168"/>
      <c r="Z13" s="1"/>
      <c r="AA13" s="1"/>
      <c r="AB13" s="1"/>
      <c r="AC13" s="171"/>
      <c r="AD13" s="1"/>
      <c r="AE13" s="170"/>
      <c r="AF13" s="45">
        <f>sum(B13:AE13)</f>
        <v>1678.26</v>
      </c>
    </row>
    <row r="14">
      <c r="A14" s="165" t="s">
        <v>198</v>
      </c>
      <c r="B14" s="93">
        <f>26.4+43.21+209.87</f>
        <v>279.48</v>
      </c>
      <c r="C14" s="348"/>
      <c r="D14" s="93"/>
      <c r="E14" s="168"/>
      <c r="F14" s="166"/>
      <c r="G14" s="166"/>
      <c r="H14" s="168"/>
      <c r="I14" s="168"/>
      <c r="J14" s="93"/>
      <c r="K14" s="168"/>
      <c r="L14" s="168"/>
      <c r="M14" s="168"/>
      <c r="N14" s="93"/>
      <c r="O14" s="168"/>
      <c r="P14" s="168"/>
      <c r="Q14" s="166"/>
      <c r="R14" s="168"/>
      <c r="S14" s="168"/>
      <c r="T14" s="168"/>
      <c r="U14" s="1"/>
      <c r="V14" s="1"/>
      <c r="W14" s="1"/>
      <c r="X14" s="168"/>
      <c r="Y14" s="168"/>
      <c r="Z14" s="1"/>
      <c r="AA14" s="1"/>
      <c r="AB14" s="1"/>
      <c r="AC14" s="174"/>
      <c r="AD14" s="1"/>
      <c r="AE14" s="170"/>
    </row>
    <row r="15">
      <c r="A15" s="91"/>
      <c r="B15" s="375"/>
      <c r="C15" s="79"/>
      <c r="D15" s="79"/>
      <c r="E15" s="79"/>
      <c r="F15" s="78"/>
      <c r="G15" s="78"/>
      <c r="H15" s="79"/>
      <c r="I15" s="78"/>
      <c r="J15" s="79"/>
      <c r="K15" s="79"/>
      <c r="L15" s="79"/>
      <c r="M15" s="79"/>
      <c r="N15" s="79"/>
      <c r="O15" s="79"/>
      <c r="R15" s="79"/>
      <c r="S15" s="79"/>
      <c r="T15" s="198"/>
      <c r="U15" s="198"/>
      <c r="Y15" s="79"/>
      <c r="AC15" s="131"/>
      <c r="AE15" s="106"/>
    </row>
    <row r="16">
      <c r="A16" s="91"/>
      <c r="B16" s="375"/>
      <c r="F16" s="201"/>
      <c r="G16" s="199"/>
      <c r="H16" s="192"/>
      <c r="I16" s="198"/>
      <c r="J16" s="201"/>
      <c r="K16" s="199"/>
      <c r="L16" s="199"/>
      <c r="M16" s="200"/>
      <c r="N16" s="202"/>
      <c r="O16" s="198"/>
      <c r="R16" s="198"/>
      <c r="S16" s="79"/>
      <c r="T16" s="198"/>
      <c r="U16" s="198"/>
      <c r="V16" s="198"/>
      <c r="W16" s="198"/>
      <c r="X16" s="199"/>
      <c r="Y16" s="79"/>
      <c r="AC16" s="131"/>
      <c r="AE16" s="106"/>
    </row>
    <row r="17">
      <c r="A17" s="4" t="s">
        <v>22</v>
      </c>
      <c r="B17" s="11">
        <v>10000.0</v>
      </c>
      <c r="C17" s="79"/>
      <c r="D17" s="79"/>
      <c r="E17" s="78"/>
      <c r="G17" s="224"/>
      <c r="H17" s="192"/>
      <c r="K17" s="403"/>
      <c r="L17" s="201"/>
      <c r="M17" s="198"/>
      <c r="N17" s="200"/>
      <c r="O17" s="198"/>
      <c r="P17" s="204"/>
      <c r="R17" s="203"/>
      <c r="S17" s="427"/>
      <c r="T17" s="201"/>
      <c r="U17" s="198"/>
      <c r="V17" s="198"/>
      <c r="W17" s="198"/>
      <c r="X17" s="201"/>
      <c r="Y17" s="79"/>
      <c r="AC17" s="131"/>
      <c r="AE17" s="106"/>
    </row>
    <row r="18">
      <c r="A18" s="4" t="s">
        <v>23</v>
      </c>
      <c r="B18" s="12">
        <f>SUM(B2:AA8)</f>
        <v>12004.565</v>
      </c>
      <c r="C18" s="192"/>
      <c r="D18" s="177"/>
      <c r="E18" s="151"/>
      <c r="F18" s="213"/>
      <c r="G18" s="224"/>
      <c r="H18" s="38"/>
      <c r="K18" s="175">
        <v>838.4</v>
      </c>
      <c r="L18" s="201"/>
      <c r="M18" s="201"/>
      <c r="N18" s="201"/>
      <c r="O18" s="198"/>
      <c r="P18" s="204"/>
      <c r="R18" s="203"/>
      <c r="S18" s="79"/>
      <c r="T18" s="201"/>
      <c r="U18" s="201"/>
      <c r="V18" s="198"/>
      <c r="W18" s="198"/>
      <c r="X18" s="191"/>
      <c r="Y18" s="79"/>
      <c r="AC18" s="131"/>
      <c r="AE18" s="106"/>
    </row>
    <row r="19">
      <c r="A19" s="4" t="s">
        <v>24</v>
      </c>
      <c r="B19" s="12">
        <f> SUM(B17-B18)</f>
        <v>-2004.565</v>
      </c>
      <c r="C19" s="79"/>
      <c r="D19" s="78"/>
      <c r="E19" s="151"/>
      <c r="F19" s="201"/>
      <c r="G19" s="224"/>
      <c r="H19" s="203"/>
      <c r="K19" s="203">
        <v>1241.0</v>
      </c>
      <c r="L19" s="199"/>
      <c r="M19" s="201"/>
      <c r="N19" s="200"/>
      <c r="O19" s="198"/>
      <c r="P19" s="204"/>
      <c r="R19" s="203"/>
      <c r="S19" s="79"/>
      <c r="T19" s="210"/>
      <c r="U19" s="210"/>
      <c r="V19" s="198"/>
      <c r="W19" s="198"/>
      <c r="X19" s="203"/>
      <c r="Y19" s="79"/>
      <c r="AC19" s="131"/>
      <c r="AE19" s="106"/>
    </row>
    <row r="20">
      <c r="E20" s="439" t="s">
        <v>195</v>
      </c>
      <c r="F20" s="440" t="s">
        <v>722</v>
      </c>
      <c r="G20" s="441" t="s">
        <v>723</v>
      </c>
      <c r="H20" s="203"/>
      <c r="J20" s="78"/>
      <c r="K20" s="345">
        <v>3419.0</v>
      </c>
      <c r="N20" s="198"/>
      <c r="O20" s="198"/>
      <c r="P20" s="204"/>
      <c r="R20" s="203"/>
      <c r="S20" s="79"/>
      <c r="T20" s="198"/>
      <c r="U20" s="428"/>
      <c r="V20" s="198"/>
      <c r="W20" s="198"/>
      <c r="X20" s="203"/>
      <c r="Y20" s="79"/>
      <c r="AC20" s="131"/>
      <c r="AE20" s="106"/>
    </row>
    <row r="21">
      <c r="A21" s="13" t="s">
        <v>25</v>
      </c>
      <c r="B21" s="14">
        <f>SUM(AC2:AC8)</f>
        <v>46976.79</v>
      </c>
      <c r="C21" s="79"/>
      <c r="D21" s="13" t="s">
        <v>724</v>
      </c>
      <c r="E21" s="442">
        <f>10328-F21</f>
        <v>3261.05</v>
      </c>
      <c r="F21" s="443">
        <v>7066.95</v>
      </c>
      <c r="G21" s="444">
        <f>E21+F21</f>
        <v>10328</v>
      </c>
      <c r="H21" s="175"/>
      <c r="J21" s="78"/>
      <c r="K21" s="203">
        <v>3496.0</v>
      </c>
      <c r="L21" s="203"/>
      <c r="M21" s="203"/>
      <c r="N21" s="198"/>
      <c r="O21" s="198"/>
      <c r="P21" s="204"/>
      <c r="R21" s="203"/>
      <c r="S21" s="79"/>
      <c r="T21" s="198"/>
      <c r="U21" s="198"/>
      <c r="V21" s="198"/>
      <c r="W21" s="198"/>
      <c r="X21" s="203"/>
      <c r="Y21" s="79"/>
      <c r="AC21" s="181"/>
      <c r="AE21" s="106"/>
    </row>
    <row r="22">
      <c r="A22" s="13" t="s">
        <v>26</v>
      </c>
      <c r="B22" s="15">
        <f>B18/B21</f>
        <v>0.2555424711</v>
      </c>
      <c r="C22" s="79"/>
      <c r="D22" s="13" t="s">
        <v>25</v>
      </c>
      <c r="E22" s="445">
        <f>838.4+1241.5+3384.5+3496+1180</f>
        <v>10140.4</v>
      </c>
      <c r="F22" s="446">
        <v>10336.0</v>
      </c>
      <c r="G22" s="447">
        <f>F22+E22</f>
        <v>20476.4</v>
      </c>
      <c r="H22" s="192"/>
      <c r="J22" s="78"/>
      <c r="K22" s="203">
        <v>1180.0</v>
      </c>
      <c r="L22" s="203"/>
      <c r="M22" s="203"/>
      <c r="N22" s="203"/>
      <c r="O22" s="198"/>
      <c r="P22" s="204"/>
      <c r="R22" s="203"/>
      <c r="S22" s="79"/>
      <c r="T22" s="198"/>
      <c r="U22" s="198"/>
      <c r="V22" s="198"/>
      <c r="W22" s="198"/>
      <c r="X22" s="203"/>
      <c r="Y22" s="79"/>
      <c r="AC22" s="130"/>
      <c r="AE22" s="106"/>
    </row>
    <row r="23">
      <c r="C23" s="79"/>
      <c r="D23" s="448" t="s">
        <v>26</v>
      </c>
      <c r="E23" s="449">
        <f t="shared" ref="E23:G23" si="6">E21/E22</f>
        <v>0.3215898781</v>
      </c>
      <c r="F23" s="450">
        <f t="shared" si="6"/>
        <v>0.6837219427</v>
      </c>
      <c r="G23" s="451">
        <f t="shared" si="6"/>
        <v>0.5043855365</v>
      </c>
      <c r="H23" s="175"/>
      <c r="I23" s="78"/>
      <c r="J23" s="78"/>
      <c r="K23" s="203"/>
      <c r="L23" s="203"/>
      <c r="M23" s="203"/>
      <c r="N23" s="201"/>
      <c r="O23" s="198"/>
      <c r="P23" s="204"/>
      <c r="R23" s="198"/>
      <c r="S23" s="79"/>
      <c r="T23" s="198"/>
      <c r="U23" s="198"/>
      <c r="V23" s="198"/>
      <c r="W23" s="198"/>
      <c r="X23" s="203"/>
      <c r="Y23" s="79"/>
      <c r="AC23" s="182"/>
      <c r="AE23" s="106"/>
    </row>
    <row r="24">
      <c r="C24" s="79"/>
      <c r="D24" s="79"/>
      <c r="E24" s="79"/>
      <c r="F24" s="204"/>
      <c r="G24" s="78"/>
      <c r="H24" s="78"/>
      <c r="I24" s="203"/>
      <c r="J24" s="212"/>
      <c r="K24" s="203"/>
      <c r="L24" s="203"/>
      <c r="M24" s="203"/>
      <c r="N24" s="201"/>
      <c r="O24" s="198"/>
      <c r="P24" s="204"/>
      <c r="R24" s="198"/>
      <c r="S24" s="79"/>
      <c r="T24" s="198"/>
      <c r="U24" s="198"/>
      <c r="V24" s="198"/>
      <c r="W24" s="198"/>
      <c r="X24" s="203"/>
      <c r="Y24" s="79"/>
      <c r="AC24" s="130"/>
      <c r="AE24" s="106"/>
    </row>
    <row r="25">
      <c r="A25" s="16" t="s">
        <v>27</v>
      </c>
      <c r="B25" s="17"/>
      <c r="C25" s="114"/>
      <c r="D25" s="114"/>
      <c r="E25" s="115"/>
      <c r="F25" s="204"/>
      <c r="G25" s="78"/>
      <c r="H25" s="192"/>
      <c r="I25" s="78"/>
      <c r="J25" s="79"/>
      <c r="K25" s="203"/>
      <c r="L25" s="217"/>
      <c r="M25" s="208"/>
      <c r="N25" s="198"/>
      <c r="O25" s="198"/>
      <c r="P25" s="204"/>
      <c r="R25" s="200"/>
      <c r="S25" s="79"/>
      <c r="T25" s="198"/>
      <c r="U25" s="198"/>
      <c r="V25" s="198"/>
      <c r="W25" s="198"/>
      <c r="X25" s="203"/>
      <c r="Y25" s="79"/>
      <c r="AC25" s="130"/>
      <c r="AE25" s="106"/>
    </row>
    <row r="26">
      <c r="A26" s="19" t="s">
        <v>28</v>
      </c>
      <c r="B26" s="20"/>
      <c r="C26" s="116"/>
      <c r="D26" s="116"/>
      <c r="E26" s="117"/>
      <c r="F26" s="45">
        <v>4185.820000000001</v>
      </c>
      <c r="G26" s="78" t="s">
        <v>725</v>
      </c>
      <c r="H26" s="78"/>
      <c r="I26" s="224"/>
      <c r="J26" s="78"/>
      <c r="K26" s="203"/>
      <c r="L26" s="203"/>
      <c r="M26" s="209"/>
      <c r="N26" s="201"/>
      <c r="O26" s="198"/>
      <c r="P26" s="204"/>
      <c r="R26" s="198"/>
      <c r="S26" s="79"/>
      <c r="T26" s="198"/>
      <c r="U26" s="198"/>
      <c r="V26" s="198"/>
      <c r="W26" s="198"/>
      <c r="X26" s="203"/>
      <c r="Y26" s="79"/>
      <c r="AC26" s="130"/>
      <c r="AE26" s="106"/>
    </row>
    <row r="27">
      <c r="A27" s="183" t="s">
        <v>29</v>
      </c>
      <c r="B27" s="184" t="s">
        <v>30</v>
      </c>
      <c r="C27" s="183"/>
      <c r="D27" s="183" t="s">
        <v>170</v>
      </c>
      <c r="E27" s="219" t="s">
        <v>171</v>
      </c>
      <c r="F27" s="207">
        <v>1678.26</v>
      </c>
      <c r="G27" s="78" t="s">
        <v>726</v>
      </c>
      <c r="H27" s="242"/>
      <c r="I27" s="79"/>
      <c r="J27" s="79"/>
      <c r="K27" s="203"/>
      <c r="L27" s="201"/>
      <c r="M27" s="209"/>
      <c r="N27" s="198"/>
      <c r="O27" s="198"/>
      <c r="P27" s="204"/>
      <c r="R27" s="198"/>
      <c r="S27" s="79"/>
      <c r="T27" s="198"/>
      <c r="U27" s="198"/>
      <c r="V27" s="198"/>
      <c r="W27" s="198"/>
      <c r="X27" s="203"/>
      <c r="Y27" s="79"/>
      <c r="Z27" s="195"/>
      <c r="AC27" s="130"/>
      <c r="AE27" s="106"/>
    </row>
    <row r="28">
      <c r="A28" s="405" t="s">
        <v>694</v>
      </c>
      <c r="B28" s="406">
        <f>1478.71+1395.03</f>
        <v>2873.74</v>
      </c>
      <c r="C28" s="407"/>
      <c r="D28" s="407"/>
      <c r="E28" s="407"/>
      <c r="F28" s="452">
        <v>1202.87</v>
      </c>
      <c r="G28" s="452" t="s">
        <v>727</v>
      </c>
      <c r="O28" s="79"/>
      <c r="S28" s="79"/>
      <c r="T28" s="79"/>
      <c r="Y28" s="79"/>
      <c r="AC28" s="130"/>
      <c r="AE28" s="106"/>
    </row>
    <row r="29">
      <c r="A29" s="410" t="s">
        <v>728</v>
      </c>
      <c r="B29" s="411">
        <f>1247.4</f>
        <v>1247.4</v>
      </c>
      <c r="C29" s="412"/>
      <c r="D29" s="412"/>
      <c r="E29" s="412"/>
      <c r="F29" s="453">
        <f>sum(F26:F28)</f>
        <v>7066.95</v>
      </c>
      <c r="G29" s="127" t="s">
        <v>729</v>
      </c>
      <c r="O29" s="79"/>
      <c r="S29" s="79"/>
      <c r="T29" s="79"/>
      <c r="Y29" s="79"/>
      <c r="AC29" s="130"/>
      <c r="AE29" s="106"/>
    </row>
    <row r="30">
      <c r="A30" s="430" t="s">
        <v>730</v>
      </c>
      <c r="B30" s="431">
        <f>348.54+1001.8</f>
        <v>1350.34</v>
      </c>
      <c r="C30" s="432"/>
      <c r="D30" s="432"/>
      <c r="E30" s="432"/>
      <c r="O30" s="79"/>
      <c r="S30" s="79"/>
      <c r="T30" s="79"/>
      <c r="Y30" s="79"/>
      <c r="AC30" s="130"/>
      <c r="AE30" s="106"/>
    </row>
    <row r="31">
      <c r="A31" s="173" t="s">
        <v>702</v>
      </c>
      <c r="B31" s="344">
        <f>78+295</f>
        <v>373</v>
      </c>
      <c r="C31" s="241"/>
      <c r="D31" s="241"/>
      <c r="E31" s="241"/>
      <c r="O31" s="79"/>
      <c r="S31" s="79"/>
      <c r="T31" s="79"/>
      <c r="Y31" s="79"/>
      <c r="AC31" s="130"/>
      <c r="AE31" s="106"/>
    </row>
    <row r="32">
      <c r="A32" s="245" t="s">
        <v>731</v>
      </c>
      <c r="B32" s="340">
        <f>1217-608+1219</f>
        <v>1828</v>
      </c>
      <c r="C32" s="247"/>
      <c r="D32" s="247"/>
      <c r="E32" s="247"/>
      <c r="O32" s="79"/>
      <c r="S32" s="79"/>
      <c r="T32" s="79"/>
      <c r="Y32" s="79"/>
      <c r="AC32" s="130"/>
      <c r="AE32" s="106"/>
    </row>
    <row r="33">
      <c r="A33" s="245" t="s">
        <v>732</v>
      </c>
      <c r="B33" s="340">
        <v>354.47</v>
      </c>
      <c r="C33" s="247"/>
      <c r="D33" s="247"/>
      <c r="E33" s="247"/>
      <c r="O33" s="79"/>
      <c r="S33" s="79"/>
      <c r="T33" s="79"/>
      <c r="Y33" s="79"/>
      <c r="AC33" s="130"/>
      <c r="AE33" s="106"/>
    </row>
    <row r="34">
      <c r="A34" s="245" t="s">
        <v>733</v>
      </c>
      <c r="B34" s="340">
        <v>504.64</v>
      </c>
      <c r="C34" s="247"/>
      <c r="D34" s="247"/>
      <c r="E34" s="247"/>
      <c r="O34" s="79"/>
      <c r="S34" s="79"/>
      <c r="T34" s="79"/>
      <c r="Y34" s="79"/>
      <c r="AC34" s="130"/>
      <c r="AE34" s="106"/>
    </row>
    <row r="35">
      <c r="A35" s="245" t="s">
        <v>734</v>
      </c>
      <c r="B35" s="340">
        <v>237.1</v>
      </c>
      <c r="C35" s="247"/>
      <c r="D35" s="247"/>
      <c r="E35" s="247"/>
      <c r="O35" s="79"/>
      <c r="S35" s="79"/>
      <c r="T35" s="79"/>
      <c r="Y35" s="79"/>
      <c r="AC35" s="130"/>
      <c r="AE35" s="106"/>
    </row>
    <row r="36">
      <c r="C36" s="79"/>
      <c r="D36" s="79"/>
      <c r="E36" s="79"/>
      <c r="O36" s="79"/>
      <c r="S36" s="79"/>
      <c r="T36" s="79"/>
      <c r="Y36" s="79"/>
      <c r="AC36" s="130"/>
      <c r="AE36" s="106"/>
    </row>
    <row r="37">
      <c r="A37" s="274"/>
      <c r="B37" s="275" t="s">
        <v>315</v>
      </c>
      <c r="F37" s="274"/>
      <c r="G37" s="274"/>
      <c r="H37" s="274"/>
      <c r="I37" s="274"/>
      <c r="J37" s="274"/>
      <c r="K37" s="274"/>
      <c r="L37" s="274"/>
      <c r="M37" s="274"/>
      <c r="N37" s="274"/>
      <c r="O37" s="274"/>
      <c r="P37" s="274"/>
      <c r="Q37" s="274"/>
      <c r="R37" s="274"/>
      <c r="S37" s="274"/>
      <c r="T37" s="274"/>
      <c r="U37" s="274"/>
      <c r="V37" s="274"/>
      <c r="W37" s="274"/>
      <c r="X37" s="274"/>
      <c r="Y37" s="274"/>
      <c r="Z37" s="274"/>
      <c r="AA37" s="274"/>
      <c r="AB37" s="274"/>
      <c r="AC37" s="276"/>
      <c r="AD37" s="274"/>
      <c r="AE37" s="277"/>
      <c r="AF37" s="274"/>
      <c r="AG37" s="274"/>
      <c r="AH37" s="274"/>
    </row>
    <row r="38">
      <c r="A38" s="454" t="s">
        <v>316</v>
      </c>
      <c r="B38" s="17"/>
      <c r="C38" s="114"/>
      <c r="D38" s="114"/>
      <c r="E38" s="115"/>
      <c r="H38" s="455" t="s">
        <v>735</v>
      </c>
      <c r="I38" s="17"/>
      <c r="J38" s="114"/>
      <c r="K38" s="114"/>
      <c r="L38" s="115"/>
      <c r="O38" s="79"/>
      <c r="S38" s="79"/>
      <c r="T38" s="79"/>
      <c r="Y38" s="79"/>
      <c r="AC38" s="130"/>
      <c r="AE38" s="106"/>
    </row>
    <row r="39">
      <c r="A39" s="456" t="s">
        <v>317</v>
      </c>
      <c r="B39" s="20"/>
      <c r="C39" s="116"/>
      <c r="D39" s="116"/>
      <c r="E39" s="117"/>
      <c r="H39" s="457" t="s">
        <v>736</v>
      </c>
      <c r="I39" s="20"/>
      <c r="J39" s="116"/>
      <c r="K39" s="116"/>
      <c r="L39" s="117"/>
      <c r="O39" s="79"/>
      <c r="S39" s="79"/>
      <c r="T39" s="79"/>
      <c r="Y39" s="79"/>
      <c r="AC39" s="130"/>
      <c r="AE39" s="106"/>
    </row>
    <row r="40">
      <c r="A40" s="278" t="s">
        <v>318</v>
      </c>
      <c r="B40" s="279" t="s">
        <v>319</v>
      </c>
      <c r="C40" s="280" t="s">
        <v>285</v>
      </c>
      <c r="D40" s="280" t="s">
        <v>30</v>
      </c>
      <c r="E40" s="281" t="s">
        <v>320</v>
      </c>
      <c r="F40" s="281" t="s">
        <v>321</v>
      </c>
      <c r="H40" s="458" t="s">
        <v>318</v>
      </c>
      <c r="I40" s="459" t="s">
        <v>319</v>
      </c>
      <c r="J40" s="458" t="s">
        <v>285</v>
      </c>
      <c r="K40" s="458" t="s">
        <v>737</v>
      </c>
      <c r="L40" s="458" t="s">
        <v>738</v>
      </c>
      <c r="M40" s="458" t="s">
        <v>739</v>
      </c>
      <c r="N40" s="458" t="s">
        <v>740</v>
      </c>
      <c r="O40" s="458" t="s">
        <v>741</v>
      </c>
      <c r="P40" s="458" t="s">
        <v>320</v>
      </c>
      <c r="Q40" s="458" t="s">
        <v>742</v>
      </c>
      <c r="R40" s="458" t="s">
        <v>740</v>
      </c>
      <c r="S40" s="458" t="s">
        <v>741</v>
      </c>
      <c r="T40" s="458" t="s">
        <v>320</v>
      </c>
      <c r="U40" s="458" t="s">
        <v>740</v>
      </c>
      <c r="V40" s="458" t="s">
        <v>741</v>
      </c>
      <c r="W40" s="460" t="s">
        <v>320</v>
      </c>
      <c r="X40" s="461" t="s">
        <v>743</v>
      </c>
      <c r="Y40" s="79"/>
      <c r="AC40" s="130"/>
      <c r="AE40" s="106"/>
    </row>
    <row r="41">
      <c r="A41" s="418" t="s">
        <v>495</v>
      </c>
      <c r="B41" s="419">
        <v>45489.0</v>
      </c>
      <c r="C41" s="420" t="s">
        <v>325</v>
      </c>
      <c r="D41" s="421">
        <v>1228.43</v>
      </c>
      <c r="E41" s="462" t="s">
        <v>744</v>
      </c>
      <c r="F41" s="423">
        <f>(D41/2)-409</f>
        <v>205.215</v>
      </c>
      <c r="H41" s="463">
        <v>582447.0</v>
      </c>
      <c r="I41" s="464">
        <v>45553.0</v>
      </c>
      <c r="J41" s="465" t="s">
        <v>437</v>
      </c>
      <c r="K41" s="466">
        <v>1.0</v>
      </c>
      <c r="L41" s="467">
        <v>398.39</v>
      </c>
      <c r="M41" s="467">
        <f t="shared" ref="M41:M45" si="7">L41/K41</f>
        <v>398.39</v>
      </c>
      <c r="N41" s="468">
        <v>-1.0</v>
      </c>
      <c r="O41" s="467">
        <f t="shared" ref="O41:O44" si="8">N41*M41</f>
        <v>-398.39</v>
      </c>
      <c r="P41" s="465" t="s">
        <v>745</v>
      </c>
      <c r="Q41" s="468">
        <v>0.0</v>
      </c>
      <c r="R41" s="469"/>
      <c r="S41" s="469"/>
      <c r="T41" s="469"/>
      <c r="U41" s="469"/>
      <c r="V41" s="469"/>
      <c r="W41" s="470"/>
      <c r="X41" s="471">
        <f t="shared" ref="X41:X53" si="9">K41+N41+R41+U41</f>
        <v>0</v>
      </c>
      <c r="Y41" s="79"/>
      <c r="AC41" s="130"/>
      <c r="AE41" s="106"/>
    </row>
    <row r="42">
      <c r="A42" s="304" t="s">
        <v>510</v>
      </c>
      <c r="B42" s="305">
        <v>45496.0</v>
      </c>
      <c r="C42" s="234" t="s">
        <v>325</v>
      </c>
      <c r="D42" s="178">
        <v>1194.77</v>
      </c>
      <c r="E42" s="306" t="s">
        <v>746</v>
      </c>
      <c r="F42" s="307">
        <f>D42-D13</f>
        <v>796.51</v>
      </c>
      <c r="H42" s="463">
        <v>584270.0</v>
      </c>
      <c r="I42" s="464">
        <v>45560.0</v>
      </c>
      <c r="J42" s="465" t="s">
        <v>437</v>
      </c>
      <c r="K42" s="466">
        <v>6.0</v>
      </c>
      <c r="L42" s="467">
        <v>2418.34</v>
      </c>
      <c r="M42" s="467">
        <f t="shared" si="7"/>
        <v>403.0566667</v>
      </c>
      <c r="N42" s="468">
        <v>-5.0</v>
      </c>
      <c r="O42" s="467">
        <f t="shared" si="8"/>
        <v>-2015.283333</v>
      </c>
      <c r="P42" s="465" t="s">
        <v>745</v>
      </c>
      <c r="Q42" s="468">
        <v>1.0</v>
      </c>
      <c r="R42" s="469"/>
      <c r="S42" s="469"/>
      <c r="T42" s="469"/>
      <c r="U42" s="469"/>
      <c r="V42" s="469"/>
      <c r="W42" s="472"/>
      <c r="X42" s="471">
        <f t="shared" si="9"/>
        <v>1</v>
      </c>
      <c r="Y42" s="79"/>
      <c r="AC42" s="130"/>
      <c r="AE42" s="106"/>
    </row>
    <row r="43">
      <c r="A43" s="304" t="s">
        <v>530</v>
      </c>
      <c r="B43" s="305">
        <v>45503.0</v>
      </c>
      <c r="C43" s="234" t="s">
        <v>325</v>
      </c>
      <c r="D43" s="178">
        <v>1211.18</v>
      </c>
      <c r="E43" s="308"/>
      <c r="F43" s="235"/>
      <c r="H43" s="463">
        <v>586497.0</v>
      </c>
      <c r="I43" s="464">
        <v>45567.0</v>
      </c>
      <c r="J43" s="465" t="s">
        <v>437</v>
      </c>
      <c r="K43" s="466">
        <v>8.0</v>
      </c>
      <c r="L43" s="467">
        <v>3199.26</v>
      </c>
      <c r="M43" s="467">
        <f t="shared" si="7"/>
        <v>399.9075</v>
      </c>
      <c r="N43" s="468">
        <v>-2.0</v>
      </c>
      <c r="O43" s="467">
        <f t="shared" si="8"/>
        <v>-799.815</v>
      </c>
      <c r="P43" s="465" t="s">
        <v>745</v>
      </c>
      <c r="Q43" s="468">
        <v>6.0</v>
      </c>
      <c r="R43" s="469"/>
      <c r="S43" s="469"/>
      <c r="T43" s="469"/>
      <c r="U43" s="469"/>
      <c r="V43" s="469"/>
      <c r="W43" s="472"/>
      <c r="X43" s="471">
        <f t="shared" si="9"/>
        <v>6</v>
      </c>
      <c r="Y43" s="79"/>
      <c r="AC43" s="130"/>
      <c r="AE43" s="106"/>
    </row>
    <row r="44">
      <c r="A44" s="304" t="s">
        <v>553</v>
      </c>
      <c r="B44" s="305">
        <v>45510.0</v>
      </c>
      <c r="C44" s="234" t="s">
        <v>325</v>
      </c>
      <c r="D44" s="178">
        <v>1409.57</v>
      </c>
      <c r="E44" s="308"/>
      <c r="F44" s="235"/>
      <c r="H44" s="463">
        <v>586905.0</v>
      </c>
      <c r="I44" s="464">
        <v>45568.0</v>
      </c>
      <c r="J44" s="465" t="s">
        <v>437</v>
      </c>
      <c r="K44" s="466">
        <v>2.0</v>
      </c>
      <c r="L44" s="467">
        <v>806.11</v>
      </c>
      <c r="M44" s="467">
        <f t="shared" si="7"/>
        <v>403.055</v>
      </c>
      <c r="N44" s="468">
        <v>-1.0</v>
      </c>
      <c r="O44" s="467">
        <f t="shared" si="8"/>
        <v>-403.055</v>
      </c>
      <c r="P44" s="465" t="s">
        <v>745</v>
      </c>
      <c r="Q44" s="468">
        <v>1.0</v>
      </c>
      <c r="R44" s="469"/>
      <c r="S44" s="469"/>
      <c r="T44" s="469"/>
      <c r="U44" s="469"/>
      <c r="V44" s="469"/>
      <c r="W44" s="472"/>
      <c r="X44" s="471">
        <f t="shared" si="9"/>
        <v>1</v>
      </c>
      <c r="Y44" s="79"/>
      <c r="AC44" s="130"/>
      <c r="AE44" s="106"/>
    </row>
    <row r="45">
      <c r="A45" s="304" t="s">
        <v>578</v>
      </c>
      <c r="B45" s="305">
        <v>45517.0</v>
      </c>
      <c r="C45" s="234" t="s">
        <v>325</v>
      </c>
      <c r="D45" s="178">
        <v>1391.12</v>
      </c>
      <c r="E45" s="308"/>
      <c r="F45" s="235"/>
      <c r="H45" s="463">
        <v>588311.0</v>
      </c>
      <c r="I45" s="464">
        <v>45574.0</v>
      </c>
      <c r="J45" s="465" t="s">
        <v>437</v>
      </c>
      <c r="K45" s="466">
        <v>6.0</v>
      </c>
      <c r="L45" s="467">
        <v>2363.76</v>
      </c>
      <c r="M45" s="467">
        <f t="shared" si="7"/>
        <v>393.96</v>
      </c>
      <c r="N45" s="473"/>
      <c r="O45" s="473"/>
      <c r="P45" s="468">
        <f t="shared" ref="P45:P53" si="10">N45*M45</f>
        <v>0</v>
      </c>
      <c r="Q45" s="465"/>
      <c r="R45" s="469"/>
      <c r="S45" s="469"/>
      <c r="T45" s="469"/>
      <c r="U45" s="469"/>
      <c r="V45" s="469"/>
      <c r="W45" s="472"/>
      <c r="X45" s="471">
        <f t="shared" si="9"/>
        <v>6</v>
      </c>
      <c r="Y45" s="79"/>
      <c r="AC45" s="130"/>
      <c r="AE45" s="106"/>
    </row>
    <row r="46">
      <c r="A46" s="304" t="s">
        <v>597</v>
      </c>
      <c r="B46" s="305">
        <v>45525.0</v>
      </c>
      <c r="C46" s="234" t="s">
        <v>325</v>
      </c>
      <c r="D46" s="178">
        <v>1420.83</v>
      </c>
      <c r="E46" s="308"/>
      <c r="F46" s="235"/>
      <c r="H46" s="463"/>
      <c r="I46" s="464"/>
      <c r="J46" s="465" t="s">
        <v>437</v>
      </c>
      <c r="K46" s="466"/>
      <c r="L46" s="467"/>
      <c r="M46" s="467"/>
      <c r="N46" s="473"/>
      <c r="O46" s="473"/>
      <c r="P46" s="468">
        <f t="shared" si="10"/>
        <v>0</v>
      </c>
      <c r="Q46" s="465"/>
      <c r="R46" s="469"/>
      <c r="S46" s="469"/>
      <c r="T46" s="469"/>
      <c r="U46" s="469"/>
      <c r="V46" s="469"/>
      <c r="W46" s="472"/>
      <c r="X46" s="471">
        <f t="shared" si="9"/>
        <v>0</v>
      </c>
      <c r="Y46" s="79"/>
      <c r="AC46" s="130"/>
      <c r="AE46" s="106"/>
    </row>
    <row r="47">
      <c r="A47" s="304" t="s">
        <v>622</v>
      </c>
      <c r="B47" s="305">
        <v>45533.0</v>
      </c>
      <c r="C47" s="234" t="s">
        <v>325</v>
      </c>
      <c r="D47" s="178">
        <v>1404.36</v>
      </c>
      <c r="E47" s="308"/>
      <c r="F47" s="235"/>
      <c r="H47" s="463"/>
      <c r="I47" s="464"/>
      <c r="J47" s="465" t="s">
        <v>437</v>
      </c>
      <c r="K47" s="466"/>
      <c r="L47" s="467"/>
      <c r="M47" s="467"/>
      <c r="N47" s="473"/>
      <c r="O47" s="473"/>
      <c r="P47" s="468">
        <f t="shared" si="10"/>
        <v>0</v>
      </c>
      <c r="Q47" s="465"/>
      <c r="R47" s="469"/>
      <c r="S47" s="469"/>
      <c r="T47" s="469"/>
      <c r="U47" s="469"/>
      <c r="V47" s="469"/>
      <c r="W47" s="472"/>
      <c r="X47" s="471">
        <f t="shared" si="9"/>
        <v>0</v>
      </c>
      <c r="Y47" s="79"/>
      <c r="AC47" s="130"/>
      <c r="AE47" s="106"/>
    </row>
    <row r="48">
      <c r="A48" s="304" t="s">
        <v>644</v>
      </c>
      <c r="B48" s="305">
        <v>45540.0</v>
      </c>
      <c r="C48" s="234" t="s">
        <v>325</v>
      </c>
      <c r="D48" s="178">
        <v>1415.74</v>
      </c>
      <c r="E48" s="308"/>
      <c r="F48" s="235"/>
      <c r="H48" s="463"/>
      <c r="I48" s="464"/>
      <c r="J48" s="465" t="s">
        <v>437</v>
      </c>
      <c r="K48" s="466"/>
      <c r="L48" s="467"/>
      <c r="M48" s="467"/>
      <c r="N48" s="473"/>
      <c r="O48" s="473"/>
      <c r="P48" s="468">
        <f t="shared" si="10"/>
        <v>0</v>
      </c>
      <c r="Q48" s="465"/>
      <c r="R48" s="469"/>
      <c r="S48" s="469"/>
      <c r="T48" s="469"/>
      <c r="U48" s="469"/>
      <c r="V48" s="469"/>
      <c r="W48" s="472"/>
      <c r="X48" s="471">
        <f t="shared" si="9"/>
        <v>0</v>
      </c>
      <c r="Y48" s="79"/>
      <c r="AC48" s="130"/>
      <c r="AE48" s="106"/>
    </row>
    <row r="49">
      <c r="A49" s="304" t="s">
        <v>660</v>
      </c>
      <c r="B49" s="305">
        <v>45547.0</v>
      </c>
      <c r="C49" s="234" t="s">
        <v>325</v>
      </c>
      <c r="D49" s="178">
        <v>1419.33</v>
      </c>
      <c r="E49" s="308"/>
      <c r="F49" s="235"/>
      <c r="H49" s="463"/>
      <c r="I49" s="464"/>
      <c r="J49" s="465" t="s">
        <v>437</v>
      </c>
      <c r="K49" s="466"/>
      <c r="L49" s="467"/>
      <c r="M49" s="467"/>
      <c r="N49" s="473"/>
      <c r="O49" s="473"/>
      <c r="P49" s="468">
        <f t="shared" si="10"/>
        <v>0</v>
      </c>
      <c r="Q49" s="465"/>
      <c r="R49" s="469"/>
      <c r="S49" s="469"/>
      <c r="T49" s="469"/>
      <c r="U49" s="469"/>
      <c r="V49" s="469"/>
      <c r="W49" s="472"/>
      <c r="X49" s="471">
        <f t="shared" si="9"/>
        <v>0</v>
      </c>
      <c r="Y49" s="79"/>
      <c r="AC49" s="130"/>
      <c r="AE49" s="106"/>
    </row>
    <row r="50">
      <c r="A50" s="304" t="s">
        <v>677</v>
      </c>
      <c r="B50" s="305">
        <v>45554.0</v>
      </c>
      <c r="C50" s="234" t="s">
        <v>325</v>
      </c>
      <c r="D50" s="178">
        <v>1439.4</v>
      </c>
      <c r="E50" s="308"/>
      <c r="F50" s="235"/>
      <c r="H50" s="463"/>
      <c r="I50" s="464"/>
      <c r="J50" s="465" t="s">
        <v>437</v>
      </c>
      <c r="K50" s="466"/>
      <c r="L50" s="467"/>
      <c r="M50" s="467"/>
      <c r="N50" s="473"/>
      <c r="O50" s="473"/>
      <c r="P50" s="468">
        <f t="shared" si="10"/>
        <v>0</v>
      </c>
      <c r="Q50" s="465"/>
      <c r="R50" s="469"/>
      <c r="S50" s="469"/>
      <c r="T50" s="469"/>
      <c r="U50" s="469"/>
      <c r="V50" s="469"/>
      <c r="W50" s="472"/>
      <c r="X50" s="471">
        <f t="shared" si="9"/>
        <v>0</v>
      </c>
      <c r="Y50" s="79"/>
      <c r="AC50" s="130"/>
      <c r="AE50" s="106"/>
    </row>
    <row r="51">
      <c r="A51" s="304" t="s">
        <v>691</v>
      </c>
      <c r="B51" s="305">
        <v>45561.0</v>
      </c>
      <c r="C51" s="234" t="s">
        <v>325</v>
      </c>
      <c r="D51" s="178">
        <v>777.2</v>
      </c>
      <c r="E51" s="308"/>
      <c r="F51" s="235"/>
      <c r="H51" s="463"/>
      <c r="I51" s="464"/>
      <c r="J51" s="465" t="s">
        <v>437</v>
      </c>
      <c r="K51" s="466"/>
      <c r="L51" s="467"/>
      <c r="M51" s="467"/>
      <c r="N51" s="473"/>
      <c r="O51" s="473"/>
      <c r="P51" s="468">
        <f t="shared" si="10"/>
        <v>0</v>
      </c>
      <c r="Q51" s="465"/>
      <c r="R51" s="469"/>
      <c r="S51" s="469"/>
      <c r="T51" s="469"/>
      <c r="U51" s="469"/>
      <c r="V51" s="469"/>
      <c r="W51" s="472"/>
      <c r="X51" s="471">
        <f t="shared" si="9"/>
        <v>0</v>
      </c>
      <c r="Y51" s="79"/>
      <c r="AC51" s="130"/>
      <c r="AE51" s="106"/>
    </row>
    <row r="52">
      <c r="A52" s="304" t="s">
        <v>703</v>
      </c>
      <c r="B52" s="305">
        <v>45568.0</v>
      </c>
      <c r="C52" s="234" t="s">
        <v>325</v>
      </c>
      <c r="D52" s="178">
        <v>1421.43</v>
      </c>
      <c r="E52" s="308"/>
      <c r="F52" s="235"/>
      <c r="H52" s="463"/>
      <c r="I52" s="464"/>
      <c r="J52" s="465" t="s">
        <v>437</v>
      </c>
      <c r="K52" s="466"/>
      <c r="L52" s="467"/>
      <c r="M52" s="467"/>
      <c r="N52" s="473"/>
      <c r="O52" s="473"/>
      <c r="P52" s="468">
        <f t="shared" si="10"/>
        <v>0</v>
      </c>
      <c r="Q52" s="465"/>
      <c r="R52" s="469"/>
      <c r="S52" s="469"/>
      <c r="T52" s="469"/>
      <c r="U52" s="469"/>
      <c r="V52" s="469"/>
      <c r="W52" s="472"/>
      <c r="X52" s="471">
        <f t="shared" si="9"/>
        <v>0</v>
      </c>
      <c r="Y52" s="79"/>
      <c r="AC52" s="130"/>
      <c r="AE52" s="106"/>
    </row>
    <row r="53">
      <c r="A53" s="304" t="s">
        <v>747</v>
      </c>
      <c r="B53" s="305">
        <v>45574.0</v>
      </c>
      <c r="C53" s="234" t="s">
        <v>325</v>
      </c>
      <c r="D53" s="178">
        <v>1449.58</v>
      </c>
      <c r="E53" s="308"/>
      <c r="F53" s="235"/>
      <c r="H53" s="473"/>
      <c r="I53" s="464"/>
      <c r="J53" s="473"/>
      <c r="K53" s="466"/>
      <c r="L53" s="467"/>
      <c r="M53" s="467"/>
      <c r="N53" s="473"/>
      <c r="O53" s="473"/>
      <c r="P53" s="468">
        <f t="shared" si="10"/>
        <v>0</v>
      </c>
      <c r="Q53" s="465"/>
      <c r="R53" s="469"/>
      <c r="S53" s="469"/>
      <c r="T53" s="469"/>
      <c r="U53" s="469"/>
      <c r="V53" s="469"/>
      <c r="W53" s="472"/>
      <c r="X53" s="474">
        <f t="shared" si="9"/>
        <v>0</v>
      </c>
      <c r="Y53" s="79"/>
      <c r="AC53" s="130"/>
      <c r="AE53" s="106"/>
    </row>
    <row r="54">
      <c r="A54" s="282" t="s">
        <v>665</v>
      </c>
      <c r="B54" s="283">
        <v>45545.0</v>
      </c>
      <c r="C54" s="166" t="s">
        <v>666</v>
      </c>
      <c r="D54" s="93">
        <v>1222.2</v>
      </c>
      <c r="E54" s="291" t="s">
        <v>704</v>
      </c>
      <c r="F54" s="6">
        <f t="shared" ref="F54:F55" si="11">D54/2</f>
        <v>611.1</v>
      </c>
      <c r="O54" s="79"/>
      <c r="S54" s="79"/>
      <c r="T54" s="79"/>
      <c r="Y54" s="79"/>
      <c r="AC54" s="130"/>
      <c r="AE54" s="106"/>
    </row>
    <row r="55">
      <c r="A55" s="390" t="s">
        <v>667</v>
      </c>
      <c r="B55" s="391">
        <v>45546.0</v>
      </c>
      <c r="C55" s="475" t="s">
        <v>668</v>
      </c>
      <c r="D55" s="476">
        <f>608.6</f>
        <v>608.6</v>
      </c>
      <c r="E55" s="477" t="s">
        <v>744</v>
      </c>
      <c r="F55" s="478">
        <f t="shared" si="11"/>
        <v>304.3</v>
      </c>
      <c r="H55" s="479" t="s">
        <v>287</v>
      </c>
      <c r="I55" s="32" t="s">
        <v>748</v>
      </c>
      <c r="J55" s="479" t="s">
        <v>749</v>
      </c>
      <c r="K55" s="479" t="s">
        <v>750</v>
      </c>
      <c r="O55" s="79"/>
      <c r="P55" s="79"/>
      <c r="S55" s="79"/>
      <c r="T55" s="79"/>
      <c r="Y55" s="79"/>
      <c r="AC55" s="130"/>
      <c r="AE55" s="106"/>
    </row>
    <row r="56">
      <c r="A56" s="282" t="s">
        <v>681</v>
      </c>
      <c r="B56" s="283">
        <v>45555.0</v>
      </c>
      <c r="C56" s="166" t="s">
        <v>664</v>
      </c>
      <c r="D56" s="93">
        <v>785.6</v>
      </c>
      <c r="E56" s="291"/>
      <c r="F56" s="6"/>
      <c r="H56" s="286">
        <v>45578.0</v>
      </c>
      <c r="I56" s="32">
        <v>6.0</v>
      </c>
      <c r="J56" s="480">
        <v>2413.68</v>
      </c>
      <c r="K56" s="479" t="s">
        <v>751</v>
      </c>
      <c r="O56" s="79"/>
      <c r="S56" s="79"/>
      <c r="T56" s="79"/>
      <c r="Y56" s="79"/>
      <c r="AC56" s="130"/>
      <c r="AE56" s="106"/>
    </row>
    <row r="57">
      <c r="A57" s="282" t="s">
        <v>682</v>
      </c>
      <c r="B57" s="283">
        <v>45558.0</v>
      </c>
      <c r="C57" s="166" t="s">
        <v>482</v>
      </c>
      <c r="D57" s="93">
        <v>1556.54</v>
      </c>
      <c r="E57" s="291"/>
      <c r="F57" s="6"/>
      <c r="H57" s="286">
        <v>45578.0</v>
      </c>
      <c r="I57" s="32">
        <v>3.0</v>
      </c>
      <c r="J57" s="480">
        <v>1202.87</v>
      </c>
      <c r="K57" s="479" t="s">
        <v>752</v>
      </c>
      <c r="O57" s="79"/>
      <c r="S57" s="79"/>
      <c r="T57" s="79"/>
      <c r="Y57" s="79"/>
      <c r="AC57" s="130"/>
      <c r="AE57" s="106"/>
    </row>
    <row r="58">
      <c r="A58" s="282" t="s">
        <v>705</v>
      </c>
      <c r="B58" s="283">
        <v>45570.0</v>
      </c>
      <c r="C58" s="166" t="s">
        <v>706</v>
      </c>
      <c r="D58" s="93">
        <v>106.47</v>
      </c>
      <c r="E58" s="337">
        <v>45572.0</v>
      </c>
      <c r="F58" s="6"/>
      <c r="H58" s="479"/>
      <c r="I58" s="481"/>
      <c r="J58" s="481"/>
      <c r="K58" s="481"/>
      <c r="O58" s="79"/>
      <c r="S58" s="79"/>
      <c r="T58" s="79"/>
      <c r="Y58" s="79"/>
      <c r="AC58" s="130"/>
      <c r="AE58" s="106"/>
    </row>
    <row r="59">
      <c r="A59" s="282" t="s">
        <v>707</v>
      </c>
      <c r="B59" s="283">
        <v>45570.0</v>
      </c>
      <c r="C59" s="166" t="s">
        <v>708</v>
      </c>
      <c r="D59" s="93">
        <v>271.2</v>
      </c>
      <c r="E59" s="337">
        <v>45572.0</v>
      </c>
      <c r="F59" s="6"/>
      <c r="H59" s="479"/>
      <c r="I59" s="481"/>
      <c r="J59" s="481"/>
      <c r="K59" s="481"/>
      <c r="O59" s="79"/>
      <c r="S59" s="79"/>
      <c r="T59" s="79"/>
      <c r="Y59" s="79"/>
      <c r="AC59" s="130"/>
      <c r="AE59" s="106"/>
    </row>
    <row r="60">
      <c r="A60" s="282" t="s">
        <v>709</v>
      </c>
      <c r="B60" s="283">
        <v>45570.0</v>
      </c>
      <c r="C60" s="166" t="s">
        <v>710</v>
      </c>
      <c r="D60" s="93">
        <v>1001.8</v>
      </c>
      <c r="E60" s="291"/>
      <c r="F60" s="6"/>
      <c r="H60" s="479"/>
      <c r="I60" s="481"/>
      <c r="J60" s="481"/>
      <c r="K60" s="481"/>
      <c r="O60" s="79"/>
      <c r="S60" s="79"/>
      <c r="T60" s="79"/>
      <c r="Y60" s="79"/>
      <c r="AC60" s="130"/>
      <c r="AE60" s="106"/>
    </row>
    <row r="61">
      <c r="A61" s="282" t="s">
        <v>711</v>
      </c>
      <c r="B61" s="283">
        <v>45567.0</v>
      </c>
      <c r="C61" s="166" t="s">
        <v>712</v>
      </c>
      <c r="D61" s="93">
        <f>603.86-15</f>
        <v>588.86</v>
      </c>
      <c r="E61" s="291"/>
      <c r="F61" s="6"/>
      <c r="H61" s="479"/>
      <c r="I61" s="481"/>
      <c r="J61" s="481"/>
      <c r="K61" s="481"/>
      <c r="O61" s="79"/>
      <c r="S61" s="79"/>
      <c r="T61" s="79"/>
      <c r="Y61" s="79"/>
      <c r="AC61" s="130"/>
      <c r="AE61" s="106"/>
    </row>
    <row r="62">
      <c r="A62" s="282" t="s">
        <v>713</v>
      </c>
      <c r="B62" s="283">
        <v>45568.0</v>
      </c>
      <c r="C62" s="166" t="s">
        <v>714</v>
      </c>
      <c r="D62" s="93">
        <v>373.0</v>
      </c>
      <c r="E62" s="291"/>
      <c r="F62" s="6"/>
      <c r="H62" s="479"/>
      <c r="I62" s="481"/>
      <c r="J62" s="481"/>
      <c r="K62" s="481"/>
      <c r="O62" s="79"/>
      <c r="S62" s="79"/>
      <c r="T62" s="79"/>
      <c r="Y62" s="79"/>
      <c r="AC62" s="130"/>
      <c r="AE62" s="106"/>
    </row>
    <row r="63">
      <c r="A63" s="282" t="s">
        <v>715</v>
      </c>
      <c r="B63" s="283">
        <v>45570.0</v>
      </c>
      <c r="C63" s="166" t="s">
        <v>716</v>
      </c>
      <c r="D63" s="93">
        <f>299.8-5.8</f>
        <v>294</v>
      </c>
      <c r="E63" s="291"/>
      <c r="F63" s="6"/>
      <c r="H63" s="479"/>
      <c r="I63" s="481"/>
      <c r="J63" s="481"/>
      <c r="K63" s="481"/>
      <c r="O63" s="79"/>
      <c r="S63" s="79"/>
      <c r="T63" s="79"/>
      <c r="Y63" s="79"/>
      <c r="AC63" s="130"/>
      <c r="AE63" s="106"/>
    </row>
    <row r="64">
      <c r="A64" s="282" t="s">
        <v>753</v>
      </c>
      <c r="B64" s="283">
        <v>45574.0</v>
      </c>
      <c r="C64" s="166" t="s">
        <v>754</v>
      </c>
      <c r="D64" s="93">
        <v>237.1</v>
      </c>
      <c r="E64" s="291"/>
      <c r="F64" s="6"/>
      <c r="H64" s="479"/>
      <c r="I64" s="481"/>
      <c r="J64" s="481"/>
      <c r="K64" s="481"/>
      <c r="O64" s="79"/>
      <c r="S64" s="79"/>
      <c r="T64" s="79"/>
      <c r="Y64" s="79"/>
      <c r="AC64" s="130"/>
      <c r="AE64" s="106"/>
    </row>
    <row r="65">
      <c r="A65" s="282" t="s">
        <v>755</v>
      </c>
      <c r="B65" s="283">
        <v>45576.0</v>
      </c>
      <c r="C65" s="166" t="s">
        <v>756</v>
      </c>
      <c r="D65" s="93">
        <v>504.64</v>
      </c>
      <c r="E65" s="291"/>
      <c r="F65" s="6"/>
      <c r="H65" s="479"/>
      <c r="I65" s="481"/>
      <c r="J65" s="481"/>
      <c r="K65" s="481"/>
      <c r="O65" s="79"/>
      <c r="S65" s="79"/>
      <c r="T65" s="79"/>
      <c r="Y65" s="79"/>
      <c r="AC65" s="130"/>
      <c r="AE65" s="106"/>
    </row>
    <row r="66">
      <c r="A66" s="282" t="s">
        <v>757</v>
      </c>
      <c r="B66" s="283">
        <v>45561.0</v>
      </c>
      <c r="C66" s="166" t="s">
        <v>536</v>
      </c>
      <c r="D66" s="93">
        <v>1160.0</v>
      </c>
      <c r="E66" s="291"/>
      <c r="F66" s="6"/>
      <c r="H66" s="479"/>
      <c r="I66" s="481"/>
      <c r="J66" s="481"/>
      <c r="K66" s="481"/>
      <c r="O66" s="79"/>
      <c r="S66" s="79"/>
      <c r="T66" s="79"/>
      <c r="Y66" s="79"/>
      <c r="AC66" s="130"/>
      <c r="AE66" s="106"/>
    </row>
    <row r="67">
      <c r="A67" s="282" t="s">
        <v>758</v>
      </c>
      <c r="B67" s="283">
        <v>45561.0</v>
      </c>
      <c r="C67" s="166" t="s">
        <v>536</v>
      </c>
      <c r="D67" s="93">
        <v>1160.0</v>
      </c>
      <c r="E67" s="291"/>
      <c r="F67" s="6"/>
      <c r="H67" s="479"/>
      <c r="I67" s="481"/>
      <c r="J67" s="481"/>
      <c r="K67" s="481"/>
      <c r="O67" s="79"/>
      <c r="S67" s="79"/>
      <c r="T67" s="79"/>
      <c r="Y67" s="79"/>
      <c r="AC67" s="130"/>
      <c r="AE67" s="106"/>
    </row>
    <row r="68">
      <c r="A68" s="282" t="s">
        <v>759</v>
      </c>
      <c r="B68" s="283">
        <v>45574.0</v>
      </c>
      <c r="C68" s="166" t="s">
        <v>712</v>
      </c>
      <c r="D68" s="93">
        <f>354.47-15</f>
        <v>339.47</v>
      </c>
      <c r="E68" s="291"/>
      <c r="F68" s="6"/>
      <c r="H68" s="479"/>
      <c r="I68" s="481"/>
      <c r="J68" s="481"/>
      <c r="K68" s="481"/>
      <c r="O68" s="79"/>
      <c r="S68" s="79"/>
      <c r="T68" s="79"/>
      <c r="Y68" s="79"/>
      <c r="AC68" s="130"/>
      <c r="AE68" s="106"/>
    </row>
    <row r="69">
      <c r="A69" s="282"/>
      <c r="B69" s="283"/>
      <c r="C69" s="166"/>
      <c r="D69" s="93"/>
      <c r="E69" s="291"/>
      <c r="F69" s="6"/>
      <c r="O69" s="79"/>
      <c r="S69" s="79"/>
      <c r="T69" s="79"/>
      <c r="Y69" s="79"/>
      <c r="AC69" s="130"/>
      <c r="AE69" s="106"/>
    </row>
    <row r="70">
      <c r="A70" s="282"/>
      <c r="B70" s="283"/>
      <c r="C70" s="166"/>
      <c r="D70" s="93"/>
      <c r="E70" s="291"/>
      <c r="F70" s="6"/>
      <c r="O70" s="79"/>
      <c r="S70" s="79"/>
      <c r="T70" s="79"/>
      <c r="Y70" s="79"/>
      <c r="AC70" s="130"/>
      <c r="AE70" s="106"/>
    </row>
    <row r="71">
      <c r="A71" s="282"/>
      <c r="B71" s="283"/>
      <c r="C71" s="166"/>
      <c r="D71" s="93"/>
      <c r="E71" s="291"/>
      <c r="F71" s="6"/>
      <c r="O71" s="79"/>
      <c r="S71" s="79"/>
      <c r="T71" s="79"/>
      <c r="Y71" s="79"/>
      <c r="AC71" s="130"/>
      <c r="AE71" s="106"/>
    </row>
    <row r="72">
      <c r="A72" s="282"/>
      <c r="B72" s="283"/>
      <c r="C72" s="166"/>
      <c r="D72" s="93"/>
      <c r="E72" s="291"/>
      <c r="F72" s="6"/>
      <c r="O72" s="79"/>
      <c r="S72" s="79"/>
      <c r="T72" s="79"/>
      <c r="Y72" s="79"/>
      <c r="AC72" s="130"/>
      <c r="AE72" s="106"/>
    </row>
    <row r="73">
      <c r="A73" s="282"/>
      <c r="B73" s="283"/>
      <c r="C73" s="166"/>
      <c r="D73" s="93"/>
      <c r="E73" s="291"/>
      <c r="F73" s="6"/>
      <c r="O73" s="79"/>
      <c r="S73" s="79"/>
      <c r="T73" s="79"/>
      <c r="Y73" s="79"/>
      <c r="AC73" s="130"/>
      <c r="AE73" s="106"/>
    </row>
    <row r="74">
      <c r="A74" s="282"/>
      <c r="B74" s="283"/>
      <c r="C74" s="166"/>
      <c r="D74" s="93"/>
      <c r="E74" s="291"/>
      <c r="F74" s="6"/>
      <c r="O74" s="79"/>
      <c r="S74" s="79"/>
      <c r="T74" s="79"/>
      <c r="Y74" s="79"/>
      <c r="AC74" s="130"/>
      <c r="AE74" s="106"/>
    </row>
    <row r="75">
      <c r="A75" s="282"/>
      <c r="B75" s="283"/>
      <c r="C75" s="166"/>
      <c r="D75" s="93"/>
      <c r="E75" s="291"/>
      <c r="F75" s="6"/>
      <c r="O75" s="79"/>
      <c r="S75" s="79"/>
      <c r="T75" s="79"/>
      <c r="Y75" s="79"/>
      <c r="AC75" s="130"/>
      <c r="AE75" s="106"/>
    </row>
    <row r="76">
      <c r="A76" s="282"/>
      <c r="B76" s="283"/>
      <c r="C76" s="166"/>
      <c r="D76" s="93"/>
      <c r="E76" s="291"/>
      <c r="F76" s="6"/>
      <c r="O76" s="79"/>
      <c r="S76" s="79"/>
      <c r="T76" s="79"/>
      <c r="Y76" s="79"/>
      <c r="AC76" s="130"/>
      <c r="AE76" s="106"/>
    </row>
    <row r="77">
      <c r="A77" s="282"/>
      <c r="B77" s="283"/>
      <c r="C77" s="166"/>
      <c r="D77" s="93"/>
      <c r="E77" s="291"/>
      <c r="F77" s="6"/>
      <c r="O77" s="79"/>
      <c r="S77" s="79"/>
      <c r="T77" s="79"/>
      <c r="Y77" s="79"/>
      <c r="AC77" s="130"/>
      <c r="AE77" s="106"/>
    </row>
    <row r="78">
      <c r="A78" s="282"/>
      <c r="B78" s="283"/>
      <c r="C78" s="166"/>
      <c r="D78" s="93"/>
      <c r="E78" s="291"/>
      <c r="F78" s="6"/>
      <c r="O78" s="79"/>
      <c r="S78" s="79"/>
      <c r="T78" s="79"/>
      <c r="Y78" s="79"/>
      <c r="AC78" s="130"/>
      <c r="AE78" s="106"/>
    </row>
    <row r="79">
      <c r="C79" s="79"/>
      <c r="D79" s="79"/>
      <c r="E79" s="79"/>
      <c r="O79" s="79"/>
      <c r="S79" s="79"/>
      <c r="T79" s="79"/>
      <c r="Y79" s="79"/>
      <c r="AC79" s="130"/>
      <c r="AE79" s="106"/>
    </row>
    <row r="80">
      <c r="C80" s="79"/>
      <c r="D80" s="79"/>
      <c r="E80" s="79"/>
      <c r="O80" s="79"/>
      <c r="S80" s="79"/>
      <c r="T80" s="79"/>
      <c r="Y80" s="79"/>
      <c r="AC80" s="130"/>
      <c r="AE80" s="106"/>
    </row>
    <row r="81">
      <c r="C81" s="79"/>
      <c r="D81" s="79"/>
      <c r="E81" s="79"/>
      <c r="O81" s="79"/>
      <c r="S81" s="79"/>
      <c r="T81" s="79"/>
      <c r="Y81" s="79"/>
      <c r="AC81" s="130"/>
      <c r="AE81" s="106"/>
    </row>
    <row r="82">
      <c r="C82" s="79"/>
      <c r="D82" s="79"/>
      <c r="E82" s="79"/>
      <c r="O82" s="79"/>
      <c r="S82" s="79"/>
      <c r="T82" s="79"/>
      <c r="Y82" s="79"/>
      <c r="AC82" s="130"/>
      <c r="AE82" s="106"/>
    </row>
    <row r="83">
      <c r="C83" s="79"/>
      <c r="D83" s="79"/>
      <c r="E83" s="79"/>
      <c r="O83" s="79"/>
      <c r="S83" s="79"/>
      <c r="T83" s="79"/>
      <c r="Y83" s="79"/>
      <c r="AC83" s="130"/>
      <c r="AE83" s="106"/>
    </row>
    <row r="84">
      <c r="C84" s="79"/>
      <c r="D84" s="79"/>
      <c r="E84" s="79"/>
      <c r="O84" s="79"/>
      <c r="S84" s="79"/>
      <c r="T84" s="79"/>
      <c r="Y84" s="79"/>
      <c r="AC84" s="130"/>
      <c r="AE84" s="106"/>
    </row>
    <row r="85">
      <c r="C85" s="79"/>
      <c r="D85" s="79"/>
      <c r="E85" s="79"/>
      <c r="O85" s="79"/>
      <c r="S85" s="79"/>
      <c r="T85" s="79"/>
      <c r="Y85" s="79"/>
      <c r="AC85" s="130"/>
      <c r="AE85" s="106"/>
    </row>
    <row r="86">
      <c r="C86" s="79"/>
      <c r="D86" s="79"/>
      <c r="E86" s="79"/>
      <c r="O86" s="79"/>
      <c r="S86" s="79"/>
      <c r="T86" s="79"/>
      <c r="Y86" s="79"/>
      <c r="AC86" s="130"/>
      <c r="AE86" s="106"/>
    </row>
    <row r="87">
      <c r="C87" s="79"/>
      <c r="D87" s="79"/>
      <c r="E87" s="79"/>
      <c r="O87" s="79"/>
      <c r="S87" s="79"/>
      <c r="T87" s="79"/>
      <c r="Y87" s="79"/>
      <c r="AC87" s="130"/>
      <c r="AE87" s="106"/>
    </row>
    <row r="88">
      <c r="C88" s="79"/>
      <c r="D88" s="79"/>
      <c r="E88" s="79"/>
      <c r="O88" s="79"/>
      <c r="S88" s="79"/>
      <c r="T88" s="79"/>
      <c r="Y88" s="79"/>
      <c r="AC88" s="130"/>
      <c r="AE88" s="106"/>
    </row>
    <row r="89">
      <c r="C89" s="79"/>
      <c r="D89" s="79"/>
      <c r="E89" s="79"/>
      <c r="O89" s="79"/>
      <c r="S89" s="79"/>
      <c r="T89" s="79"/>
      <c r="Y89" s="79"/>
      <c r="AC89" s="130"/>
      <c r="AE89" s="106"/>
    </row>
    <row r="90">
      <c r="C90" s="79"/>
      <c r="D90" s="79"/>
      <c r="E90" s="79"/>
      <c r="O90" s="79"/>
      <c r="S90" s="79"/>
      <c r="T90" s="79"/>
      <c r="Y90" s="79"/>
      <c r="AC90" s="130"/>
      <c r="AE90" s="106"/>
    </row>
    <row r="91">
      <c r="C91" s="79"/>
      <c r="D91" s="79"/>
      <c r="E91" s="79"/>
      <c r="O91" s="79"/>
      <c r="S91" s="79"/>
      <c r="T91" s="79"/>
      <c r="Y91" s="79"/>
      <c r="AC91" s="130"/>
      <c r="AE91" s="106"/>
    </row>
    <row r="92">
      <c r="C92" s="79"/>
      <c r="D92" s="79"/>
      <c r="E92" s="79"/>
      <c r="O92" s="79"/>
      <c r="S92" s="79"/>
      <c r="T92" s="79"/>
      <c r="Y92" s="79"/>
      <c r="AC92" s="130"/>
      <c r="AE92" s="106"/>
    </row>
    <row r="93">
      <c r="C93" s="79"/>
      <c r="D93" s="79"/>
      <c r="E93" s="79"/>
      <c r="O93" s="79"/>
      <c r="S93" s="79"/>
      <c r="T93" s="79"/>
      <c r="Y93" s="79"/>
      <c r="AC93" s="130"/>
      <c r="AE93" s="106"/>
    </row>
    <row r="94">
      <c r="C94" s="79"/>
      <c r="D94" s="79"/>
      <c r="E94" s="79"/>
      <c r="O94" s="79"/>
      <c r="S94" s="79"/>
      <c r="T94" s="79"/>
      <c r="Y94" s="79"/>
      <c r="AC94" s="130"/>
      <c r="AE94" s="106"/>
    </row>
    <row r="95">
      <c r="C95" s="79"/>
      <c r="D95" s="79"/>
      <c r="E95" s="79"/>
      <c r="O95" s="79"/>
      <c r="S95" s="79"/>
      <c r="T95" s="79"/>
      <c r="Y95" s="79"/>
      <c r="AC95" s="130"/>
      <c r="AE95" s="106"/>
    </row>
    <row r="96">
      <c r="C96" s="79"/>
      <c r="D96" s="79"/>
      <c r="E96" s="79"/>
      <c r="O96" s="79"/>
      <c r="S96" s="79"/>
      <c r="T96" s="79"/>
      <c r="Y96" s="79"/>
      <c r="AC96" s="130"/>
      <c r="AE96" s="106"/>
    </row>
    <row r="97">
      <c r="C97" s="79"/>
      <c r="D97" s="79"/>
      <c r="E97" s="79"/>
      <c r="O97" s="79"/>
      <c r="S97" s="79"/>
      <c r="T97" s="79"/>
      <c r="Y97" s="79"/>
      <c r="AC97" s="130"/>
      <c r="AE97" s="106"/>
    </row>
    <row r="98">
      <c r="C98" s="79"/>
      <c r="D98" s="79"/>
      <c r="E98" s="79"/>
      <c r="O98" s="79"/>
      <c r="S98" s="79"/>
      <c r="T98" s="79"/>
      <c r="Y98" s="79"/>
      <c r="AC98" s="130"/>
      <c r="AE98" s="106"/>
    </row>
    <row r="99">
      <c r="C99" s="79"/>
      <c r="D99" s="79"/>
      <c r="E99" s="79"/>
      <c r="O99" s="79"/>
      <c r="S99" s="79"/>
      <c r="T99" s="79"/>
      <c r="Y99" s="79"/>
      <c r="AC99" s="130"/>
      <c r="AE99" s="106"/>
    </row>
    <row r="100">
      <c r="C100" s="79"/>
      <c r="D100" s="79"/>
      <c r="E100" s="79"/>
      <c r="O100" s="79"/>
      <c r="S100" s="79"/>
      <c r="T100" s="79"/>
      <c r="Y100" s="79"/>
      <c r="AC100" s="130"/>
      <c r="AE100" s="106"/>
    </row>
    <row r="101">
      <c r="C101" s="79"/>
      <c r="D101" s="79"/>
      <c r="E101" s="79"/>
      <c r="O101" s="79"/>
      <c r="S101" s="79"/>
      <c r="T101" s="79"/>
      <c r="Y101" s="79"/>
      <c r="AC101" s="130"/>
      <c r="AE101" s="106"/>
    </row>
    <row r="102">
      <c r="C102" s="79"/>
      <c r="D102" s="79"/>
      <c r="E102" s="79"/>
      <c r="O102" s="79"/>
      <c r="S102" s="79"/>
      <c r="T102" s="79"/>
      <c r="Y102" s="79"/>
      <c r="AC102" s="130"/>
      <c r="AE102" s="106"/>
    </row>
    <row r="103">
      <c r="C103" s="79"/>
      <c r="D103" s="79"/>
      <c r="E103" s="79"/>
      <c r="O103" s="79"/>
      <c r="S103" s="79"/>
      <c r="T103" s="79"/>
      <c r="Y103" s="79"/>
      <c r="AC103" s="130"/>
      <c r="AE103" s="106"/>
    </row>
    <row r="104">
      <c r="C104" s="79"/>
      <c r="D104" s="79"/>
      <c r="E104" s="79"/>
      <c r="O104" s="79"/>
      <c r="S104" s="79"/>
      <c r="T104" s="79"/>
      <c r="Y104" s="79"/>
      <c r="AC104" s="130"/>
      <c r="AE104" s="106"/>
    </row>
    <row r="105">
      <c r="C105" s="79"/>
      <c r="D105" s="79"/>
      <c r="E105" s="79"/>
      <c r="O105" s="79"/>
      <c r="S105" s="79"/>
      <c r="T105" s="79"/>
      <c r="Y105" s="79"/>
      <c r="AC105" s="130"/>
      <c r="AE105" s="106"/>
    </row>
    <row r="106">
      <c r="C106" s="79"/>
      <c r="D106" s="79"/>
      <c r="E106" s="79"/>
      <c r="O106" s="79"/>
      <c r="S106" s="79"/>
      <c r="T106" s="79"/>
      <c r="Y106" s="79"/>
      <c r="AC106" s="130"/>
      <c r="AE106" s="106"/>
    </row>
    <row r="107">
      <c r="C107" s="79"/>
      <c r="D107" s="79"/>
      <c r="E107" s="79"/>
      <c r="O107" s="79"/>
      <c r="S107" s="79"/>
      <c r="T107" s="79"/>
      <c r="Y107" s="79"/>
      <c r="AC107" s="130"/>
      <c r="AE107" s="106"/>
    </row>
    <row r="108">
      <c r="C108" s="79"/>
      <c r="D108" s="79"/>
      <c r="E108" s="79"/>
      <c r="O108" s="79"/>
      <c r="S108" s="79"/>
      <c r="T108" s="79"/>
      <c r="Y108" s="79"/>
      <c r="AC108" s="130"/>
      <c r="AE108" s="106"/>
    </row>
    <row r="109">
      <c r="C109" s="79"/>
      <c r="D109" s="79"/>
      <c r="E109" s="79"/>
      <c r="O109" s="79"/>
      <c r="S109" s="79"/>
      <c r="T109" s="79"/>
      <c r="Y109" s="79"/>
      <c r="AC109" s="130"/>
      <c r="AE109" s="106"/>
    </row>
    <row r="110">
      <c r="C110" s="79"/>
      <c r="D110" s="79"/>
      <c r="E110" s="79"/>
      <c r="O110" s="79"/>
      <c r="S110" s="79"/>
      <c r="T110" s="79"/>
      <c r="Y110" s="79"/>
      <c r="AC110" s="130"/>
      <c r="AE110" s="106"/>
    </row>
    <row r="111">
      <c r="C111" s="79"/>
      <c r="D111" s="79"/>
      <c r="E111" s="79"/>
      <c r="O111" s="79"/>
      <c r="S111" s="79"/>
      <c r="T111" s="79"/>
      <c r="Y111" s="79"/>
      <c r="AC111" s="130"/>
      <c r="AE111" s="106"/>
    </row>
    <row r="112">
      <c r="C112" s="79"/>
      <c r="D112" s="79"/>
      <c r="E112" s="79"/>
      <c r="O112" s="79"/>
      <c r="S112" s="79"/>
      <c r="T112" s="79"/>
      <c r="Y112" s="79"/>
      <c r="AC112" s="130"/>
      <c r="AE112" s="106"/>
    </row>
    <row r="113">
      <c r="C113" s="79"/>
      <c r="D113" s="79"/>
      <c r="E113" s="79"/>
      <c r="O113" s="79"/>
      <c r="S113" s="79"/>
      <c r="T113" s="79"/>
      <c r="Y113" s="79"/>
      <c r="AC113" s="130"/>
      <c r="AE113" s="106"/>
    </row>
    <row r="114">
      <c r="C114" s="79"/>
      <c r="D114" s="79"/>
      <c r="E114" s="79"/>
      <c r="O114" s="79"/>
      <c r="S114" s="79"/>
      <c r="T114" s="79"/>
      <c r="Y114" s="79"/>
      <c r="AC114" s="130"/>
      <c r="AE114" s="106"/>
    </row>
    <row r="115">
      <c r="C115" s="79"/>
      <c r="D115" s="79"/>
      <c r="E115" s="79"/>
      <c r="O115" s="79"/>
      <c r="S115" s="79"/>
      <c r="T115" s="79"/>
      <c r="Y115" s="79"/>
      <c r="AC115" s="130"/>
      <c r="AE115" s="106"/>
    </row>
    <row r="116">
      <c r="C116" s="79"/>
      <c r="D116" s="79"/>
      <c r="E116" s="79"/>
      <c r="O116" s="79"/>
      <c r="S116" s="79"/>
      <c r="T116" s="79"/>
      <c r="Y116" s="79"/>
      <c r="AC116" s="130"/>
      <c r="AE116" s="106"/>
    </row>
    <row r="117">
      <c r="C117" s="79"/>
      <c r="D117" s="79"/>
      <c r="E117" s="79"/>
      <c r="O117" s="79"/>
      <c r="S117" s="79"/>
      <c r="T117" s="79"/>
      <c r="Y117" s="79"/>
      <c r="AC117" s="130"/>
      <c r="AE117" s="106"/>
    </row>
    <row r="118">
      <c r="C118" s="79"/>
      <c r="D118" s="79"/>
      <c r="E118" s="79"/>
      <c r="O118" s="79"/>
      <c r="S118" s="79"/>
      <c r="T118" s="79"/>
      <c r="Y118" s="79"/>
      <c r="AC118" s="130"/>
      <c r="AE118" s="106"/>
    </row>
    <row r="119">
      <c r="C119" s="79"/>
      <c r="D119" s="79"/>
      <c r="E119" s="79"/>
      <c r="O119" s="79"/>
      <c r="S119" s="79"/>
      <c r="T119" s="79"/>
      <c r="Y119" s="79"/>
      <c r="AC119" s="130"/>
      <c r="AE119" s="106"/>
    </row>
    <row r="120">
      <c r="C120" s="79"/>
      <c r="D120" s="79"/>
      <c r="E120" s="79"/>
      <c r="O120" s="79"/>
      <c r="S120" s="79"/>
      <c r="T120" s="79"/>
      <c r="Y120" s="79"/>
      <c r="AC120" s="130"/>
      <c r="AE120" s="106"/>
    </row>
    <row r="121">
      <c r="C121" s="79"/>
      <c r="D121" s="79"/>
      <c r="E121" s="79"/>
      <c r="O121" s="79"/>
      <c r="S121" s="79"/>
      <c r="T121" s="79"/>
      <c r="Y121" s="79"/>
      <c r="AC121" s="130"/>
      <c r="AE121" s="106"/>
    </row>
    <row r="122">
      <c r="C122" s="79"/>
      <c r="D122" s="79"/>
      <c r="E122" s="79"/>
      <c r="O122" s="79"/>
      <c r="S122" s="79"/>
      <c r="T122" s="79"/>
      <c r="Y122" s="79"/>
      <c r="AC122" s="130"/>
      <c r="AE122" s="106"/>
    </row>
    <row r="123">
      <c r="C123" s="79"/>
      <c r="D123" s="79"/>
      <c r="E123" s="79"/>
      <c r="O123" s="79"/>
      <c r="S123" s="79"/>
      <c r="T123" s="79"/>
      <c r="Y123" s="79"/>
      <c r="AC123" s="130"/>
      <c r="AE123" s="106"/>
    </row>
    <row r="124">
      <c r="C124" s="79"/>
      <c r="D124" s="79"/>
      <c r="E124" s="79"/>
      <c r="O124" s="79"/>
      <c r="S124" s="79"/>
      <c r="T124" s="79"/>
      <c r="Y124" s="79"/>
      <c r="AC124" s="130"/>
      <c r="AE124" s="106"/>
    </row>
    <row r="125">
      <c r="C125" s="79"/>
      <c r="D125" s="79"/>
      <c r="E125" s="79"/>
      <c r="O125" s="79"/>
      <c r="S125" s="79"/>
      <c r="T125" s="79"/>
      <c r="Y125" s="79"/>
      <c r="AC125" s="130"/>
      <c r="AE125" s="106"/>
    </row>
    <row r="126">
      <c r="C126" s="79"/>
      <c r="D126" s="79"/>
      <c r="E126" s="79"/>
      <c r="O126" s="79"/>
      <c r="S126" s="79"/>
      <c r="T126" s="79"/>
      <c r="Y126" s="79"/>
      <c r="AC126" s="130"/>
      <c r="AE126" s="106"/>
    </row>
    <row r="127">
      <c r="C127" s="79"/>
      <c r="D127" s="79"/>
      <c r="E127" s="79"/>
      <c r="O127" s="79"/>
      <c r="S127" s="79"/>
      <c r="T127" s="79"/>
      <c r="Y127" s="79"/>
      <c r="AC127" s="130"/>
      <c r="AE127" s="106"/>
    </row>
    <row r="128">
      <c r="C128" s="79"/>
      <c r="D128" s="79"/>
      <c r="E128" s="79"/>
      <c r="O128" s="79"/>
      <c r="S128" s="79"/>
      <c r="T128" s="79"/>
      <c r="Y128" s="79"/>
      <c r="AC128" s="130"/>
      <c r="AE128" s="106"/>
    </row>
    <row r="129">
      <c r="C129" s="79"/>
      <c r="D129" s="79"/>
      <c r="E129" s="79"/>
      <c r="O129" s="79"/>
      <c r="S129" s="79"/>
      <c r="T129" s="79"/>
      <c r="Y129" s="79"/>
      <c r="AC129" s="130"/>
      <c r="AE129" s="106"/>
    </row>
    <row r="130">
      <c r="C130" s="79"/>
      <c r="D130" s="79"/>
      <c r="E130" s="79"/>
      <c r="O130" s="79"/>
      <c r="S130" s="79"/>
      <c r="T130" s="79"/>
      <c r="Y130" s="79"/>
      <c r="AC130" s="130"/>
      <c r="AE130" s="106"/>
    </row>
    <row r="131">
      <c r="C131" s="79"/>
      <c r="D131" s="79"/>
      <c r="E131" s="79"/>
      <c r="O131" s="79"/>
      <c r="S131" s="79"/>
      <c r="T131" s="79"/>
      <c r="Y131" s="79"/>
      <c r="AC131" s="130"/>
      <c r="AE131" s="106"/>
    </row>
    <row r="132">
      <c r="C132" s="79"/>
      <c r="D132" s="79"/>
      <c r="E132" s="79"/>
      <c r="O132" s="79"/>
      <c r="S132" s="79"/>
      <c r="T132" s="79"/>
      <c r="Y132" s="79"/>
      <c r="AC132" s="130"/>
      <c r="AE132" s="106"/>
    </row>
    <row r="133">
      <c r="C133" s="79"/>
      <c r="D133" s="79"/>
      <c r="E133" s="79"/>
      <c r="O133" s="79"/>
      <c r="S133" s="79"/>
      <c r="T133" s="79"/>
      <c r="Y133" s="79"/>
      <c r="AC133" s="130"/>
      <c r="AE133" s="106"/>
    </row>
    <row r="134">
      <c r="C134" s="79"/>
      <c r="D134" s="79"/>
      <c r="E134" s="79"/>
      <c r="O134" s="79"/>
      <c r="S134" s="79"/>
      <c r="T134" s="79"/>
      <c r="Y134" s="79"/>
      <c r="AC134" s="130"/>
      <c r="AE134" s="106"/>
    </row>
    <row r="135">
      <c r="C135" s="79"/>
      <c r="D135" s="79"/>
      <c r="E135" s="79"/>
      <c r="O135" s="79"/>
      <c r="S135" s="79"/>
      <c r="T135" s="79"/>
      <c r="Y135" s="79"/>
      <c r="AC135" s="130"/>
      <c r="AE135" s="106"/>
    </row>
    <row r="136">
      <c r="C136" s="79"/>
      <c r="D136" s="79"/>
      <c r="E136" s="79"/>
      <c r="O136" s="79"/>
      <c r="S136" s="79"/>
      <c r="T136" s="79"/>
      <c r="Y136" s="79"/>
      <c r="AC136" s="130"/>
      <c r="AE136" s="106"/>
    </row>
    <row r="137">
      <c r="C137" s="79"/>
      <c r="D137" s="79"/>
      <c r="E137" s="79"/>
      <c r="O137" s="79"/>
      <c r="S137" s="79"/>
      <c r="T137" s="79"/>
      <c r="Y137" s="79"/>
      <c r="AC137" s="130"/>
      <c r="AE137" s="106"/>
    </row>
    <row r="138">
      <c r="C138" s="79"/>
      <c r="D138" s="79"/>
      <c r="E138" s="79"/>
      <c r="O138" s="79"/>
      <c r="S138" s="79"/>
      <c r="T138" s="79"/>
      <c r="Y138" s="79"/>
      <c r="AC138" s="130"/>
      <c r="AE138" s="106"/>
    </row>
    <row r="139">
      <c r="C139" s="79"/>
      <c r="D139" s="79"/>
      <c r="E139" s="79"/>
      <c r="O139" s="79"/>
      <c r="S139" s="79"/>
      <c r="T139" s="79"/>
      <c r="Y139" s="79"/>
      <c r="AC139" s="130"/>
      <c r="AE139" s="106"/>
    </row>
    <row r="140">
      <c r="C140" s="79"/>
      <c r="D140" s="79"/>
      <c r="E140" s="79"/>
      <c r="O140" s="79"/>
      <c r="S140" s="79"/>
      <c r="T140" s="79"/>
      <c r="Y140" s="79"/>
      <c r="AC140" s="130"/>
      <c r="AE140" s="106"/>
    </row>
    <row r="141">
      <c r="C141" s="79"/>
      <c r="D141" s="79"/>
      <c r="E141" s="79"/>
      <c r="O141" s="79"/>
      <c r="S141" s="79"/>
      <c r="T141" s="79"/>
      <c r="Y141" s="79"/>
      <c r="AC141" s="130"/>
      <c r="AE141" s="106"/>
    </row>
    <row r="142">
      <c r="C142" s="79"/>
      <c r="D142" s="79"/>
      <c r="E142" s="79"/>
      <c r="O142" s="79"/>
      <c r="S142" s="79"/>
      <c r="T142" s="79"/>
      <c r="Y142" s="79"/>
      <c r="AC142" s="130"/>
      <c r="AE142" s="106"/>
    </row>
    <row r="143">
      <c r="C143" s="79"/>
      <c r="D143" s="79"/>
      <c r="E143" s="79"/>
      <c r="O143" s="79"/>
      <c r="S143" s="79"/>
      <c r="T143" s="79"/>
      <c r="Y143" s="79"/>
      <c r="AC143" s="130"/>
      <c r="AE143" s="106"/>
    </row>
    <row r="144">
      <c r="C144" s="79"/>
      <c r="D144" s="79"/>
      <c r="E144" s="79"/>
      <c r="O144" s="79"/>
      <c r="S144" s="79"/>
      <c r="T144" s="79"/>
      <c r="Y144" s="79"/>
      <c r="AC144" s="130"/>
      <c r="AE144" s="106"/>
    </row>
    <row r="145">
      <c r="C145" s="79"/>
      <c r="D145" s="79"/>
      <c r="E145" s="79"/>
      <c r="O145" s="79"/>
      <c r="S145" s="79"/>
      <c r="T145" s="79"/>
      <c r="Y145" s="79"/>
      <c r="AC145" s="130"/>
      <c r="AE145" s="106"/>
    </row>
    <row r="146">
      <c r="C146" s="79"/>
      <c r="D146" s="79"/>
      <c r="E146" s="79"/>
      <c r="O146" s="79"/>
      <c r="S146" s="79"/>
      <c r="T146" s="79"/>
      <c r="Y146" s="79"/>
      <c r="AC146" s="130"/>
      <c r="AE146" s="106"/>
    </row>
    <row r="147">
      <c r="C147" s="79"/>
      <c r="D147" s="79"/>
      <c r="E147" s="79"/>
      <c r="O147" s="79"/>
      <c r="S147" s="79"/>
      <c r="T147" s="79"/>
      <c r="Y147" s="79"/>
      <c r="AC147" s="130"/>
      <c r="AE147" s="106"/>
    </row>
    <row r="148">
      <c r="C148" s="79"/>
      <c r="D148" s="79"/>
      <c r="E148" s="79"/>
      <c r="O148" s="79"/>
      <c r="S148" s="79"/>
      <c r="T148" s="79"/>
      <c r="Y148" s="79"/>
      <c r="AC148" s="130"/>
      <c r="AE148" s="106"/>
    </row>
    <row r="149">
      <c r="C149" s="79"/>
      <c r="D149" s="79"/>
      <c r="E149" s="79"/>
      <c r="O149" s="79"/>
      <c r="S149" s="79"/>
      <c r="T149" s="79"/>
      <c r="Y149" s="79"/>
      <c r="AC149" s="130"/>
      <c r="AE149" s="106"/>
    </row>
    <row r="150">
      <c r="C150" s="79"/>
      <c r="D150" s="79"/>
      <c r="E150" s="79"/>
      <c r="O150" s="79"/>
      <c r="S150" s="79"/>
      <c r="T150" s="79"/>
      <c r="Y150" s="79"/>
      <c r="AC150" s="130"/>
      <c r="AE150" s="106"/>
    </row>
    <row r="151">
      <c r="C151" s="79"/>
      <c r="D151" s="79"/>
      <c r="E151" s="79"/>
      <c r="O151" s="79"/>
      <c r="S151" s="79"/>
      <c r="T151" s="79"/>
      <c r="Y151" s="79"/>
      <c r="AC151" s="130"/>
      <c r="AE151" s="106"/>
    </row>
    <row r="152">
      <c r="C152" s="79"/>
      <c r="D152" s="79"/>
      <c r="E152" s="79"/>
      <c r="O152" s="79"/>
      <c r="S152" s="79"/>
      <c r="T152" s="79"/>
      <c r="Y152" s="79"/>
      <c r="AC152" s="130"/>
      <c r="AE152" s="106"/>
    </row>
    <row r="153">
      <c r="C153" s="79"/>
      <c r="D153" s="79"/>
      <c r="E153" s="79"/>
      <c r="O153" s="79"/>
      <c r="S153" s="79"/>
      <c r="T153" s="79"/>
      <c r="Y153" s="79"/>
      <c r="AC153" s="130"/>
      <c r="AE153" s="106"/>
    </row>
    <row r="154">
      <c r="C154" s="79"/>
      <c r="D154" s="79"/>
      <c r="E154" s="79"/>
      <c r="O154" s="79"/>
      <c r="S154" s="79"/>
      <c r="T154" s="79"/>
      <c r="Y154" s="79"/>
      <c r="AC154" s="130"/>
      <c r="AE154" s="106"/>
    </row>
    <row r="155">
      <c r="C155" s="79"/>
      <c r="D155" s="79"/>
      <c r="E155" s="79"/>
      <c r="O155" s="79"/>
      <c r="S155" s="79"/>
      <c r="T155" s="79"/>
      <c r="Y155" s="79"/>
      <c r="AC155" s="130"/>
      <c r="AE155" s="106"/>
    </row>
    <row r="156">
      <c r="C156" s="79"/>
      <c r="D156" s="79"/>
      <c r="E156" s="79"/>
      <c r="O156" s="79"/>
      <c r="S156" s="79"/>
      <c r="T156" s="79"/>
      <c r="Y156" s="79"/>
      <c r="AC156" s="130"/>
      <c r="AE156" s="106"/>
    </row>
    <row r="157">
      <c r="C157" s="79"/>
      <c r="D157" s="79"/>
      <c r="E157" s="79"/>
      <c r="O157" s="79"/>
      <c r="S157" s="79"/>
      <c r="T157" s="79"/>
      <c r="Y157" s="79"/>
      <c r="AC157" s="130"/>
      <c r="AE157" s="106"/>
    </row>
    <row r="158">
      <c r="C158" s="79"/>
      <c r="D158" s="79"/>
      <c r="E158" s="79"/>
      <c r="O158" s="79"/>
      <c r="S158" s="79"/>
      <c r="T158" s="79"/>
      <c r="Y158" s="79"/>
      <c r="AC158" s="130"/>
      <c r="AE158" s="106"/>
    </row>
    <row r="159">
      <c r="C159" s="79"/>
      <c r="D159" s="79"/>
      <c r="E159" s="79"/>
      <c r="O159" s="79"/>
      <c r="S159" s="79"/>
      <c r="T159" s="79"/>
      <c r="Y159" s="79"/>
      <c r="AC159" s="130"/>
      <c r="AE159" s="106"/>
    </row>
    <row r="160">
      <c r="C160" s="79"/>
      <c r="D160" s="79"/>
      <c r="E160" s="79"/>
      <c r="O160" s="79"/>
      <c r="S160" s="79"/>
      <c r="T160" s="79"/>
      <c r="Y160" s="79"/>
      <c r="AC160" s="130"/>
      <c r="AE160" s="106"/>
    </row>
    <row r="161">
      <c r="C161" s="79"/>
      <c r="D161" s="79"/>
      <c r="E161" s="79"/>
      <c r="O161" s="79"/>
      <c r="S161" s="79"/>
      <c r="T161" s="79"/>
      <c r="Y161" s="79"/>
      <c r="AC161" s="130"/>
      <c r="AE161" s="106"/>
    </row>
    <row r="162">
      <c r="C162" s="79"/>
      <c r="D162" s="79"/>
      <c r="E162" s="79"/>
      <c r="O162" s="79"/>
      <c r="S162" s="79"/>
      <c r="T162" s="79"/>
      <c r="Y162" s="79"/>
      <c r="AC162" s="130"/>
      <c r="AE162" s="106"/>
    </row>
    <row r="163">
      <c r="C163" s="79"/>
      <c r="D163" s="79"/>
      <c r="E163" s="79"/>
      <c r="O163" s="79"/>
      <c r="S163" s="79"/>
      <c r="T163" s="79"/>
      <c r="Y163" s="79"/>
      <c r="AC163" s="130"/>
      <c r="AE163" s="106"/>
    </row>
    <row r="164">
      <c r="C164" s="79"/>
      <c r="D164" s="79"/>
      <c r="E164" s="79"/>
      <c r="O164" s="79"/>
      <c r="S164" s="79"/>
      <c r="T164" s="79"/>
      <c r="Y164" s="79"/>
      <c r="AC164" s="130"/>
      <c r="AE164" s="106"/>
    </row>
    <row r="165">
      <c r="C165" s="79"/>
      <c r="D165" s="79"/>
      <c r="E165" s="79"/>
      <c r="O165" s="79"/>
      <c r="S165" s="79"/>
      <c r="T165" s="79"/>
      <c r="Y165" s="79"/>
      <c r="AC165" s="130"/>
      <c r="AE165" s="106"/>
    </row>
    <row r="166">
      <c r="C166" s="79"/>
      <c r="D166" s="79"/>
      <c r="E166" s="79"/>
      <c r="O166" s="79"/>
      <c r="S166" s="79"/>
      <c r="T166" s="79"/>
      <c r="Y166" s="79"/>
      <c r="AC166" s="130"/>
      <c r="AE166" s="106"/>
    </row>
    <row r="167">
      <c r="C167" s="79"/>
      <c r="D167" s="79"/>
      <c r="E167" s="79"/>
      <c r="O167" s="79"/>
      <c r="S167" s="79"/>
      <c r="T167" s="79"/>
      <c r="Y167" s="79"/>
      <c r="AC167" s="130"/>
      <c r="AE167" s="106"/>
    </row>
    <row r="168">
      <c r="C168" s="79"/>
      <c r="D168" s="79"/>
      <c r="E168" s="79"/>
      <c r="O168" s="79"/>
      <c r="S168" s="79"/>
      <c r="T168" s="79"/>
      <c r="Y168" s="79"/>
      <c r="AC168" s="130"/>
      <c r="AE168" s="106"/>
    </row>
    <row r="169">
      <c r="C169" s="79"/>
      <c r="D169" s="79"/>
      <c r="E169" s="79"/>
      <c r="O169" s="79"/>
      <c r="S169" s="79"/>
      <c r="T169" s="79"/>
      <c r="Y169" s="79"/>
      <c r="AC169" s="130"/>
      <c r="AE169" s="106"/>
    </row>
    <row r="170">
      <c r="C170" s="79"/>
      <c r="D170" s="79"/>
      <c r="E170" s="79"/>
      <c r="O170" s="79"/>
      <c r="S170" s="79"/>
      <c r="T170" s="79"/>
      <c r="Y170" s="79"/>
      <c r="AC170" s="130"/>
      <c r="AE170" s="106"/>
    </row>
    <row r="171">
      <c r="C171" s="79"/>
      <c r="D171" s="79"/>
      <c r="E171" s="79"/>
      <c r="O171" s="79"/>
      <c r="S171" s="79"/>
      <c r="T171" s="79"/>
      <c r="Y171" s="79"/>
      <c r="AC171" s="130"/>
      <c r="AE171" s="106"/>
    </row>
    <row r="172">
      <c r="C172" s="79"/>
      <c r="D172" s="79"/>
      <c r="E172" s="79"/>
      <c r="O172" s="79"/>
      <c r="S172" s="79"/>
      <c r="T172" s="79"/>
      <c r="Y172" s="79"/>
      <c r="AC172" s="130"/>
      <c r="AE172" s="106"/>
    </row>
    <row r="173">
      <c r="C173" s="79"/>
      <c r="D173" s="79"/>
      <c r="E173" s="79"/>
      <c r="O173" s="79"/>
      <c r="S173" s="79"/>
      <c r="T173" s="79"/>
      <c r="Y173" s="79"/>
      <c r="AC173" s="130"/>
      <c r="AE173" s="106"/>
    </row>
    <row r="174">
      <c r="C174" s="79"/>
      <c r="D174" s="79"/>
      <c r="E174" s="79"/>
      <c r="O174" s="79"/>
      <c r="S174" s="79"/>
      <c r="T174" s="79"/>
      <c r="Y174" s="79"/>
      <c r="AC174" s="130"/>
      <c r="AE174" s="106"/>
    </row>
    <row r="175">
      <c r="C175" s="79"/>
      <c r="D175" s="79"/>
      <c r="E175" s="79"/>
      <c r="O175" s="79"/>
      <c r="S175" s="79"/>
      <c r="T175" s="79"/>
      <c r="Y175" s="79"/>
      <c r="AC175" s="130"/>
      <c r="AE175" s="106"/>
    </row>
    <row r="176">
      <c r="C176" s="79"/>
      <c r="D176" s="79"/>
      <c r="E176" s="79"/>
      <c r="O176" s="79"/>
      <c r="S176" s="79"/>
      <c r="T176" s="79"/>
      <c r="Y176" s="79"/>
      <c r="AC176" s="130"/>
      <c r="AE176" s="106"/>
    </row>
    <row r="177">
      <c r="C177" s="79"/>
      <c r="D177" s="79"/>
      <c r="E177" s="79"/>
      <c r="O177" s="79"/>
      <c r="S177" s="79"/>
      <c r="T177" s="79"/>
      <c r="Y177" s="79"/>
      <c r="AC177" s="130"/>
      <c r="AE177" s="106"/>
    </row>
    <row r="178">
      <c r="C178" s="79"/>
      <c r="D178" s="79"/>
      <c r="E178" s="79"/>
      <c r="O178" s="79"/>
      <c r="S178" s="79"/>
      <c r="T178" s="79"/>
      <c r="Y178" s="79"/>
      <c r="AC178" s="130"/>
      <c r="AE178" s="106"/>
    </row>
    <row r="179">
      <c r="C179" s="79"/>
      <c r="D179" s="79"/>
      <c r="E179" s="79"/>
      <c r="O179" s="79"/>
      <c r="S179" s="79"/>
      <c r="T179" s="79"/>
      <c r="Y179" s="79"/>
      <c r="AC179" s="130"/>
      <c r="AE179" s="106"/>
    </row>
    <row r="180">
      <c r="C180" s="79"/>
      <c r="D180" s="79"/>
      <c r="E180" s="79"/>
      <c r="O180" s="79"/>
      <c r="S180" s="79"/>
      <c r="T180" s="79"/>
      <c r="Y180" s="79"/>
      <c r="AC180" s="130"/>
      <c r="AE180" s="106"/>
    </row>
    <row r="181">
      <c r="C181" s="79"/>
      <c r="D181" s="79"/>
      <c r="E181" s="79"/>
      <c r="O181" s="79"/>
      <c r="S181" s="79"/>
      <c r="T181" s="79"/>
      <c r="Y181" s="79"/>
      <c r="AC181" s="130"/>
      <c r="AE181" s="106"/>
    </row>
    <row r="182">
      <c r="C182" s="79"/>
      <c r="D182" s="79"/>
      <c r="E182" s="79"/>
      <c r="O182" s="79"/>
      <c r="S182" s="79"/>
      <c r="T182" s="79"/>
      <c r="Y182" s="79"/>
      <c r="AC182" s="130"/>
      <c r="AE182" s="106"/>
    </row>
    <row r="183">
      <c r="C183" s="79"/>
      <c r="D183" s="79"/>
      <c r="E183" s="79"/>
      <c r="O183" s="79"/>
      <c r="S183" s="79"/>
      <c r="T183" s="79"/>
      <c r="Y183" s="79"/>
      <c r="AC183" s="130"/>
      <c r="AE183" s="106"/>
    </row>
    <row r="184">
      <c r="C184" s="79"/>
      <c r="D184" s="79"/>
      <c r="E184" s="79"/>
      <c r="O184" s="79"/>
      <c r="S184" s="79"/>
      <c r="T184" s="79"/>
      <c r="Y184" s="79"/>
      <c r="AC184" s="130"/>
      <c r="AE184" s="106"/>
    </row>
    <row r="185">
      <c r="C185" s="79"/>
      <c r="D185" s="79"/>
      <c r="E185" s="79"/>
      <c r="O185" s="79"/>
      <c r="S185" s="79"/>
      <c r="T185" s="79"/>
      <c r="Y185" s="79"/>
      <c r="AC185" s="130"/>
      <c r="AE185" s="106"/>
    </row>
    <row r="186">
      <c r="C186" s="79"/>
      <c r="D186" s="79"/>
      <c r="E186" s="79"/>
      <c r="O186" s="79"/>
      <c r="S186" s="79"/>
      <c r="T186" s="79"/>
      <c r="Y186" s="79"/>
      <c r="AC186" s="130"/>
      <c r="AE186" s="106"/>
    </row>
    <row r="187">
      <c r="C187" s="79"/>
      <c r="D187" s="79"/>
      <c r="E187" s="79"/>
      <c r="O187" s="79"/>
      <c r="S187" s="79"/>
      <c r="T187" s="79"/>
      <c r="Y187" s="79"/>
      <c r="AC187" s="130"/>
      <c r="AE187" s="106"/>
    </row>
    <row r="188">
      <c r="C188" s="79"/>
      <c r="D188" s="79"/>
      <c r="E188" s="79"/>
      <c r="O188" s="79"/>
      <c r="S188" s="79"/>
      <c r="T188" s="79"/>
      <c r="Y188" s="79"/>
      <c r="AC188" s="130"/>
      <c r="AE188" s="106"/>
    </row>
    <row r="189">
      <c r="C189" s="79"/>
      <c r="D189" s="79"/>
      <c r="E189" s="79"/>
      <c r="O189" s="79"/>
      <c r="S189" s="79"/>
      <c r="T189" s="79"/>
      <c r="Y189" s="79"/>
      <c r="AC189" s="130"/>
      <c r="AE189" s="106"/>
    </row>
    <row r="190">
      <c r="C190" s="79"/>
      <c r="D190" s="79"/>
      <c r="E190" s="79"/>
      <c r="O190" s="79"/>
      <c r="S190" s="79"/>
      <c r="T190" s="79"/>
      <c r="Y190" s="79"/>
      <c r="AC190" s="130"/>
      <c r="AE190" s="106"/>
    </row>
    <row r="191">
      <c r="C191" s="79"/>
      <c r="D191" s="79"/>
      <c r="E191" s="79"/>
      <c r="O191" s="79"/>
      <c r="S191" s="79"/>
      <c r="T191" s="79"/>
      <c r="Y191" s="79"/>
      <c r="AC191" s="130"/>
      <c r="AE191" s="106"/>
    </row>
    <row r="192">
      <c r="C192" s="79"/>
      <c r="D192" s="79"/>
      <c r="E192" s="79"/>
      <c r="O192" s="79"/>
      <c r="S192" s="79"/>
      <c r="T192" s="79"/>
      <c r="Y192" s="79"/>
      <c r="AC192" s="130"/>
      <c r="AE192" s="106"/>
    </row>
    <row r="193">
      <c r="C193" s="79"/>
      <c r="D193" s="79"/>
      <c r="E193" s="79"/>
      <c r="O193" s="79"/>
      <c r="S193" s="79"/>
      <c r="T193" s="79"/>
      <c r="Y193" s="79"/>
      <c r="AC193" s="130"/>
      <c r="AE193" s="106"/>
    </row>
    <row r="194">
      <c r="C194" s="79"/>
      <c r="D194" s="79"/>
      <c r="E194" s="79"/>
      <c r="O194" s="79"/>
      <c r="S194" s="79"/>
      <c r="T194" s="79"/>
      <c r="Y194" s="79"/>
      <c r="AC194" s="130"/>
      <c r="AE194" s="106"/>
    </row>
    <row r="195">
      <c r="C195" s="79"/>
      <c r="D195" s="79"/>
      <c r="E195" s="79"/>
      <c r="O195" s="79"/>
      <c r="S195" s="79"/>
      <c r="T195" s="79"/>
      <c r="Y195" s="79"/>
      <c r="AC195" s="130"/>
      <c r="AE195" s="106"/>
    </row>
    <row r="196">
      <c r="C196" s="79"/>
      <c r="D196" s="79"/>
      <c r="E196" s="79"/>
      <c r="O196" s="79"/>
      <c r="S196" s="79"/>
      <c r="T196" s="79"/>
      <c r="Y196" s="79"/>
      <c r="AC196" s="130"/>
      <c r="AE196" s="106"/>
    </row>
    <row r="197">
      <c r="C197" s="79"/>
      <c r="D197" s="79"/>
      <c r="E197" s="79"/>
      <c r="O197" s="79"/>
      <c r="S197" s="79"/>
      <c r="T197" s="79"/>
      <c r="Y197" s="79"/>
      <c r="AC197" s="130"/>
      <c r="AE197" s="106"/>
    </row>
    <row r="198">
      <c r="C198" s="79"/>
      <c r="D198" s="79"/>
      <c r="E198" s="79"/>
      <c r="O198" s="79"/>
      <c r="S198" s="79"/>
      <c r="T198" s="79"/>
      <c r="Y198" s="79"/>
      <c r="AC198" s="130"/>
      <c r="AE198" s="106"/>
    </row>
    <row r="199">
      <c r="C199" s="79"/>
      <c r="D199" s="79"/>
      <c r="E199" s="79"/>
      <c r="O199" s="79"/>
      <c r="S199" s="79"/>
      <c r="T199" s="79"/>
      <c r="Y199" s="79"/>
      <c r="AC199" s="130"/>
      <c r="AE199" s="106"/>
    </row>
    <row r="200">
      <c r="C200" s="79"/>
      <c r="D200" s="79"/>
      <c r="E200" s="79"/>
      <c r="O200" s="79"/>
      <c r="S200" s="79"/>
      <c r="T200" s="79"/>
      <c r="Y200" s="79"/>
      <c r="AC200" s="130"/>
      <c r="AE200" s="106"/>
    </row>
    <row r="201">
      <c r="C201" s="79"/>
      <c r="D201" s="79"/>
      <c r="E201" s="79"/>
      <c r="O201" s="79"/>
      <c r="S201" s="79"/>
      <c r="T201" s="79"/>
      <c r="Y201" s="79"/>
      <c r="AC201" s="130"/>
      <c r="AE201" s="106"/>
    </row>
    <row r="202">
      <c r="C202" s="79"/>
      <c r="D202" s="79"/>
      <c r="E202" s="79"/>
      <c r="O202" s="79"/>
      <c r="S202" s="79"/>
      <c r="T202" s="79"/>
      <c r="Y202" s="79"/>
      <c r="AC202" s="130"/>
      <c r="AE202" s="106"/>
    </row>
    <row r="203">
      <c r="C203" s="79"/>
      <c r="D203" s="79"/>
      <c r="E203" s="79"/>
      <c r="O203" s="79"/>
      <c r="S203" s="79"/>
      <c r="T203" s="79"/>
      <c r="Y203" s="79"/>
      <c r="AC203" s="130"/>
      <c r="AE203" s="106"/>
    </row>
    <row r="204">
      <c r="C204" s="79"/>
      <c r="D204" s="79"/>
      <c r="E204" s="79"/>
      <c r="O204" s="79"/>
      <c r="S204" s="79"/>
      <c r="T204" s="79"/>
      <c r="Y204" s="79"/>
      <c r="AC204" s="130"/>
      <c r="AE204" s="106"/>
    </row>
    <row r="205">
      <c r="C205" s="79"/>
      <c r="D205" s="79"/>
      <c r="E205" s="79"/>
      <c r="O205" s="79"/>
      <c r="S205" s="79"/>
      <c r="T205" s="79"/>
      <c r="Y205" s="79"/>
      <c r="AC205" s="130"/>
      <c r="AE205" s="106"/>
    </row>
    <row r="206">
      <c r="C206" s="79"/>
      <c r="D206" s="79"/>
      <c r="E206" s="79"/>
      <c r="O206" s="79"/>
      <c r="S206" s="79"/>
      <c r="T206" s="79"/>
      <c r="Y206" s="79"/>
      <c r="AC206" s="130"/>
      <c r="AE206" s="106"/>
    </row>
    <row r="207">
      <c r="C207" s="79"/>
      <c r="D207" s="79"/>
      <c r="E207" s="79"/>
      <c r="O207" s="79"/>
      <c r="S207" s="79"/>
      <c r="T207" s="79"/>
      <c r="Y207" s="79"/>
      <c r="AC207" s="130"/>
      <c r="AE207" s="106"/>
    </row>
    <row r="208">
      <c r="C208" s="79"/>
      <c r="D208" s="79"/>
      <c r="E208" s="79"/>
      <c r="O208" s="79"/>
      <c r="S208" s="79"/>
      <c r="T208" s="79"/>
      <c r="Y208" s="79"/>
      <c r="AC208" s="130"/>
      <c r="AE208" s="106"/>
    </row>
    <row r="209">
      <c r="C209" s="79"/>
      <c r="D209" s="79"/>
      <c r="E209" s="79"/>
      <c r="O209" s="79"/>
      <c r="S209" s="79"/>
      <c r="T209" s="79"/>
      <c r="Y209" s="79"/>
      <c r="AC209" s="130"/>
      <c r="AE209" s="106"/>
    </row>
    <row r="210">
      <c r="C210" s="79"/>
      <c r="D210" s="79"/>
      <c r="E210" s="79"/>
      <c r="O210" s="79"/>
      <c r="S210" s="79"/>
      <c r="T210" s="79"/>
      <c r="Y210" s="79"/>
      <c r="AC210" s="130"/>
      <c r="AE210" s="106"/>
    </row>
    <row r="211">
      <c r="C211" s="79"/>
      <c r="D211" s="79"/>
      <c r="E211" s="79"/>
      <c r="O211" s="79"/>
      <c r="S211" s="79"/>
      <c r="T211" s="79"/>
      <c r="Y211" s="79"/>
      <c r="AC211" s="130"/>
      <c r="AE211" s="106"/>
    </row>
    <row r="212">
      <c r="C212" s="79"/>
      <c r="D212" s="79"/>
      <c r="E212" s="79"/>
      <c r="O212" s="79"/>
      <c r="S212" s="79"/>
      <c r="T212" s="79"/>
      <c r="Y212" s="79"/>
      <c r="AC212" s="130"/>
      <c r="AE212" s="106"/>
    </row>
    <row r="213">
      <c r="C213" s="79"/>
      <c r="D213" s="79"/>
      <c r="E213" s="79"/>
      <c r="O213" s="79"/>
      <c r="S213" s="79"/>
      <c r="T213" s="79"/>
      <c r="Y213" s="79"/>
      <c r="AC213" s="130"/>
      <c r="AE213" s="106"/>
    </row>
    <row r="214">
      <c r="C214" s="79"/>
      <c r="D214" s="79"/>
      <c r="E214" s="79"/>
      <c r="O214" s="79"/>
      <c r="S214" s="79"/>
      <c r="T214" s="79"/>
      <c r="Y214" s="79"/>
      <c r="AC214" s="130"/>
      <c r="AE214" s="106"/>
    </row>
    <row r="215">
      <c r="C215" s="79"/>
      <c r="D215" s="79"/>
      <c r="E215" s="79"/>
      <c r="O215" s="79"/>
      <c r="S215" s="79"/>
      <c r="T215" s="79"/>
      <c r="Y215" s="79"/>
      <c r="AC215" s="130"/>
      <c r="AE215" s="106"/>
    </row>
    <row r="216">
      <c r="C216" s="79"/>
      <c r="D216" s="79"/>
      <c r="E216" s="79"/>
      <c r="O216" s="79"/>
      <c r="S216" s="79"/>
      <c r="T216" s="79"/>
      <c r="Y216" s="79"/>
      <c r="AC216" s="130"/>
      <c r="AE216" s="106"/>
    </row>
    <row r="217">
      <c r="C217" s="79"/>
      <c r="D217" s="79"/>
      <c r="E217" s="79"/>
      <c r="O217" s="79"/>
      <c r="S217" s="79"/>
      <c r="T217" s="79"/>
      <c r="Y217" s="79"/>
      <c r="AC217" s="130"/>
      <c r="AE217" s="106"/>
    </row>
    <row r="218">
      <c r="C218" s="79"/>
      <c r="D218" s="79"/>
      <c r="E218" s="79"/>
      <c r="O218" s="79"/>
      <c r="S218" s="79"/>
      <c r="T218" s="79"/>
      <c r="Y218" s="79"/>
      <c r="AC218" s="130"/>
      <c r="AE218" s="106"/>
    </row>
    <row r="219">
      <c r="C219" s="79"/>
      <c r="D219" s="79"/>
      <c r="E219" s="79"/>
      <c r="O219" s="79"/>
      <c r="S219" s="79"/>
      <c r="T219" s="79"/>
      <c r="Y219" s="79"/>
      <c r="AC219" s="130"/>
      <c r="AE219" s="106"/>
    </row>
    <row r="220">
      <c r="C220" s="79"/>
      <c r="D220" s="79"/>
      <c r="E220" s="79"/>
      <c r="O220" s="79"/>
      <c r="S220" s="79"/>
      <c r="T220" s="79"/>
      <c r="Y220" s="79"/>
      <c r="AC220" s="130"/>
      <c r="AE220" s="106"/>
    </row>
    <row r="221">
      <c r="C221" s="79"/>
      <c r="D221" s="79"/>
      <c r="E221" s="79"/>
      <c r="O221" s="79"/>
      <c r="S221" s="79"/>
      <c r="T221" s="79"/>
      <c r="Y221" s="79"/>
      <c r="AC221" s="130"/>
      <c r="AE221" s="106"/>
    </row>
    <row r="222">
      <c r="C222" s="79"/>
      <c r="D222" s="79"/>
      <c r="E222" s="79"/>
      <c r="O222" s="79"/>
      <c r="S222" s="79"/>
      <c r="T222" s="79"/>
      <c r="Y222" s="79"/>
      <c r="AC222" s="130"/>
      <c r="AE222" s="106"/>
    </row>
    <row r="223">
      <c r="C223" s="79"/>
      <c r="D223" s="79"/>
      <c r="E223" s="79"/>
      <c r="O223" s="79"/>
      <c r="S223" s="79"/>
      <c r="T223" s="79"/>
      <c r="Y223" s="79"/>
      <c r="AC223" s="130"/>
      <c r="AE223" s="106"/>
    </row>
    <row r="224">
      <c r="C224" s="79"/>
      <c r="D224" s="79"/>
      <c r="E224" s="79"/>
      <c r="O224" s="79"/>
      <c r="S224" s="79"/>
      <c r="T224" s="79"/>
      <c r="Y224" s="79"/>
      <c r="AC224" s="130"/>
      <c r="AE224" s="106"/>
    </row>
    <row r="225">
      <c r="C225" s="79"/>
      <c r="D225" s="79"/>
      <c r="E225" s="79"/>
      <c r="O225" s="79"/>
      <c r="S225" s="79"/>
      <c r="T225" s="79"/>
      <c r="Y225" s="79"/>
      <c r="AC225" s="130"/>
      <c r="AE225" s="106"/>
    </row>
    <row r="226">
      <c r="C226" s="79"/>
      <c r="D226" s="79"/>
      <c r="E226" s="79"/>
      <c r="O226" s="79"/>
      <c r="S226" s="79"/>
      <c r="T226" s="79"/>
      <c r="Y226" s="79"/>
      <c r="AC226" s="130"/>
      <c r="AE226" s="106"/>
    </row>
    <row r="227">
      <c r="C227" s="79"/>
      <c r="D227" s="79"/>
      <c r="E227" s="79"/>
      <c r="O227" s="79"/>
      <c r="S227" s="79"/>
      <c r="T227" s="79"/>
      <c r="Y227" s="79"/>
      <c r="AC227" s="130"/>
      <c r="AE227" s="106"/>
    </row>
    <row r="228">
      <c r="C228" s="79"/>
      <c r="D228" s="79"/>
      <c r="E228" s="79"/>
      <c r="O228" s="79"/>
      <c r="S228" s="79"/>
      <c r="T228" s="79"/>
      <c r="Y228" s="79"/>
      <c r="AC228" s="130"/>
      <c r="AE228" s="106"/>
    </row>
    <row r="229">
      <c r="C229" s="79"/>
      <c r="D229" s="79"/>
      <c r="E229" s="79"/>
      <c r="O229" s="79"/>
      <c r="S229" s="79"/>
      <c r="T229" s="79"/>
      <c r="Y229" s="79"/>
      <c r="AC229" s="130"/>
      <c r="AE229" s="106"/>
    </row>
    <row r="230">
      <c r="C230" s="79"/>
      <c r="D230" s="79"/>
      <c r="E230" s="79"/>
      <c r="O230" s="79"/>
      <c r="S230" s="79"/>
      <c r="T230" s="79"/>
      <c r="Y230" s="79"/>
      <c r="AC230" s="130"/>
      <c r="AE230" s="106"/>
    </row>
    <row r="231">
      <c r="C231" s="79"/>
      <c r="D231" s="79"/>
      <c r="E231" s="79"/>
      <c r="O231" s="79"/>
      <c r="S231" s="79"/>
      <c r="T231" s="79"/>
      <c r="Y231" s="79"/>
      <c r="AC231" s="130"/>
      <c r="AE231" s="106"/>
    </row>
    <row r="232">
      <c r="C232" s="79"/>
      <c r="D232" s="79"/>
      <c r="E232" s="79"/>
      <c r="O232" s="79"/>
      <c r="S232" s="79"/>
      <c r="T232" s="79"/>
      <c r="Y232" s="79"/>
      <c r="AC232" s="130"/>
      <c r="AE232" s="106"/>
    </row>
    <row r="233">
      <c r="C233" s="79"/>
      <c r="D233" s="79"/>
      <c r="E233" s="79"/>
      <c r="O233" s="79"/>
      <c r="S233" s="79"/>
      <c r="T233" s="79"/>
      <c r="Y233" s="79"/>
      <c r="AC233" s="130"/>
      <c r="AE233" s="106"/>
    </row>
    <row r="234">
      <c r="C234" s="79"/>
      <c r="D234" s="79"/>
      <c r="E234" s="79"/>
      <c r="O234" s="79"/>
      <c r="S234" s="79"/>
      <c r="T234" s="79"/>
      <c r="Y234" s="79"/>
      <c r="AC234" s="130"/>
      <c r="AE234" s="106"/>
    </row>
    <row r="235">
      <c r="C235" s="79"/>
      <c r="D235" s="79"/>
      <c r="E235" s="79"/>
      <c r="O235" s="79"/>
      <c r="S235" s="79"/>
      <c r="T235" s="79"/>
      <c r="Y235" s="79"/>
      <c r="AC235" s="130"/>
      <c r="AE235" s="106"/>
    </row>
    <row r="236">
      <c r="C236" s="79"/>
      <c r="D236" s="79"/>
      <c r="E236" s="79"/>
      <c r="O236" s="79"/>
      <c r="S236" s="79"/>
      <c r="T236" s="79"/>
      <c r="Y236" s="79"/>
      <c r="AC236" s="130"/>
      <c r="AE236" s="106"/>
    </row>
    <row r="237">
      <c r="C237" s="79"/>
      <c r="D237" s="79"/>
      <c r="E237" s="79"/>
      <c r="O237" s="79"/>
      <c r="S237" s="79"/>
      <c r="T237" s="79"/>
      <c r="Y237" s="79"/>
      <c r="AC237" s="130"/>
      <c r="AE237" s="106"/>
    </row>
    <row r="238">
      <c r="C238" s="79"/>
      <c r="D238" s="79"/>
      <c r="E238" s="79"/>
      <c r="O238" s="79"/>
      <c r="S238" s="79"/>
      <c r="T238" s="79"/>
      <c r="Y238" s="79"/>
      <c r="AC238" s="130"/>
      <c r="AE238" s="106"/>
    </row>
    <row r="239">
      <c r="C239" s="79"/>
      <c r="D239" s="79"/>
      <c r="E239" s="79"/>
      <c r="O239" s="79"/>
      <c r="S239" s="79"/>
      <c r="T239" s="79"/>
      <c r="Y239" s="79"/>
      <c r="AC239" s="130"/>
      <c r="AE239" s="106"/>
    </row>
    <row r="240">
      <c r="C240" s="79"/>
      <c r="D240" s="79"/>
      <c r="E240" s="79"/>
      <c r="O240" s="79"/>
      <c r="S240" s="79"/>
      <c r="T240" s="79"/>
      <c r="Y240" s="79"/>
      <c r="AC240" s="130"/>
      <c r="AE240" s="106"/>
    </row>
    <row r="241">
      <c r="C241" s="79"/>
      <c r="D241" s="79"/>
      <c r="E241" s="79"/>
      <c r="O241" s="79"/>
      <c r="S241" s="79"/>
      <c r="T241" s="79"/>
      <c r="Y241" s="79"/>
      <c r="AC241" s="130"/>
      <c r="AE241" s="106"/>
    </row>
    <row r="242">
      <c r="C242" s="79"/>
      <c r="D242" s="79"/>
      <c r="E242" s="79"/>
      <c r="O242" s="79"/>
      <c r="S242" s="79"/>
      <c r="T242" s="79"/>
      <c r="Y242" s="79"/>
      <c r="AC242" s="130"/>
      <c r="AE242" s="106"/>
    </row>
    <row r="243">
      <c r="C243" s="79"/>
      <c r="D243" s="79"/>
      <c r="E243" s="79"/>
      <c r="O243" s="79"/>
      <c r="S243" s="79"/>
      <c r="T243" s="79"/>
      <c r="Y243" s="79"/>
      <c r="AC243" s="130"/>
      <c r="AE243" s="106"/>
    </row>
    <row r="244">
      <c r="C244" s="79"/>
      <c r="D244" s="79"/>
      <c r="E244" s="79"/>
      <c r="O244" s="79"/>
      <c r="S244" s="79"/>
      <c r="T244" s="79"/>
      <c r="Y244" s="79"/>
      <c r="AC244" s="130"/>
      <c r="AE244" s="106"/>
    </row>
    <row r="245">
      <c r="C245" s="79"/>
      <c r="D245" s="79"/>
      <c r="E245" s="79"/>
      <c r="O245" s="79"/>
      <c r="S245" s="79"/>
      <c r="T245" s="79"/>
      <c r="Y245" s="79"/>
      <c r="AC245" s="130"/>
      <c r="AE245" s="106"/>
    </row>
    <row r="246">
      <c r="C246" s="79"/>
      <c r="D246" s="79"/>
      <c r="E246" s="79"/>
      <c r="O246" s="79"/>
      <c r="S246" s="79"/>
      <c r="T246" s="79"/>
      <c r="Y246" s="79"/>
      <c r="AC246" s="130"/>
      <c r="AE246" s="106"/>
    </row>
    <row r="247">
      <c r="C247" s="79"/>
      <c r="D247" s="79"/>
      <c r="E247" s="79"/>
      <c r="O247" s="79"/>
      <c r="S247" s="79"/>
      <c r="T247" s="79"/>
      <c r="Y247" s="79"/>
      <c r="AC247" s="130"/>
      <c r="AE247" s="106"/>
    </row>
    <row r="248">
      <c r="C248" s="79"/>
      <c r="D248" s="79"/>
      <c r="E248" s="79"/>
      <c r="O248" s="79"/>
      <c r="S248" s="79"/>
      <c r="T248" s="79"/>
      <c r="Y248" s="79"/>
      <c r="AC248" s="130"/>
      <c r="AE248" s="106"/>
    </row>
    <row r="249">
      <c r="C249" s="79"/>
      <c r="D249" s="79"/>
      <c r="E249" s="79"/>
      <c r="O249" s="79"/>
      <c r="S249" s="79"/>
      <c r="T249" s="79"/>
      <c r="Y249" s="79"/>
      <c r="AC249" s="130"/>
      <c r="AE249" s="106"/>
    </row>
    <row r="250">
      <c r="C250" s="79"/>
      <c r="D250" s="79"/>
      <c r="E250" s="79"/>
      <c r="O250" s="79"/>
      <c r="S250" s="79"/>
      <c r="T250" s="79"/>
      <c r="Y250" s="79"/>
      <c r="AC250" s="130"/>
      <c r="AE250" s="106"/>
    </row>
    <row r="251">
      <c r="C251" s="79"/>
      <c r="D251" s="79"/>
      <c r="E251" s="79"/>
      <c r="O251" s="79"/>
      <c r="S251" s="79"/>
      <c r="T251" s="79"/>
      <c r="Y251" s="79"/>
      <c r="AC251" s="130"/>
      <c r="AE251" s="106"/>
    </row>
    <row r="252">
      <c r="C252" s="79"/>
      <c r="D252" s="79"/>
      <c r="E252" s="79"/>
      <c r="O252" s="79"/>
      <c r="S252" s="79"/>
      <c r="T252" s="79"/>
      <c r="Y252" s="79"/>
      <c r="AC252" s="130"/>
      <c r="AE252" s="106"/>
    </row>
    <row r="253">
      <c r="C253" s="79"/>
      <c r="D253" s="79"/>
      <c r="E253" s="79"/>
      <c r="O253" s="79"/>
      <c r="S253" s="79"/>
      <c r="T253" s="79"/>
      <c r="Y253" s="79"/>
      <c r="AC253" s="130"/>
      <c r="AE253" s="106"/>
    </row>
    <row r="254">
      <c r="C254" s="79"/>
      <c r="D254" s="79"/>
      <c r="E254" s="79"/>
      <c r="O254" s="79"/>
      <c r="S254" s="79"/>
      <c r="T254" s="79"/>
      <c r="Y254" s="79"/>
      <c r="AC254" s="130"/>
      <c r="AE254" s="106"/>
    </row>
    <row r="255">
      <c r="C255" s="79"/>
      <c r="D255" s="79"/>
      <c r="E255" s="79"/>
      <c r="O255" s="79"/>
      <c r="S255" s="79"/>
      <c r="T255" s="79"/>
      <c r="Y255" s="79"/>
      <c r="AC255" s="130"/>
      <c r="AE255" s="106"/>
    </row>
    <row r="256">
      <c r="C256" s="79"/>
      <c r="D256" s="79"/>
      <c r="E256" s="79"/>
      <c r="O256" s="79"/>
      <c r="S256" s="79"/>
      <c r="T256" s="79"/>
      <c r="Y256" s="79"/>
      <c r="AC256" s="130"/>
      <c r="AE256" s="106"/>
    </row>
    <row r="257">
      <c r="C257" s="79"/>
      <c r="D257" s="79"/>
      <c r="E257" s="79"/>
      <c r="O257" s="79"/>
      <c r="S257" s="79"/>
      <c r="T257" s="79"/>
      <c r="Y257" s="79"/>
      <c r="AC257" s="130"/>
      <c r="AE257" s="106"/>
    </row>
    <row r="258">
      <c r="C258" s="79"/>
      <c r="D258" s="79"/>
      <c r="E258" s="79"/>
      <c r="O258" s="79"/>
      <c r="S258" s="79"/>
      <c r="T258" s="79"/>
      <c r="Y258" s="79"/>
      <c r="AC258" s="130"/>
      <c r="AE258" s="106"/>
    </row>
    <row r="259">
      <c r="C259" s="79"/>
      <c r="D259" s="79"/>
      <c r="E259" s="79"/>
      <c r="O259" s="79"/>
      <c r="S259" s="79"/>
      <c r="T259" s="79"/>
      <c r="Y259" s="79"/>
      <c r="AC259" s="130"/>
      <c r="AE259" s="106"/>
    </row>
    <row r="260">
      <c r="C260" s="79"/>
      <c r="D260" s="79"/>
      <c r="E260" s="79"/>
      <c r="O260" s="79"/>
      <c r="S260" s="79"/>
      <c r="T260" s="79"/>
      <c r="Y260" s="79"/>
      <c r="AC260" s="130"/>
      <c r="AE260" s="106"/>
    </row>
    <row r="261">
      <c r="C261" s="79"/>
      <c r="D261" s="79"/>
      <c r="E261" s="79"/>
      <c r="O261" s="79"/>
      <c r="S261" s="79"/>
      <c r="T261" s="79"/>
      <c r="Y261" s="79"/>
      <c r="AC261" s="130"/>
      <c r="AE261" s="106"/>
    </row>
    <row r="262">
      <c r="C262" s="79"/>
      <c r="D262" s="79"/>
      <c r="E262" s="79"/>
      <c r="O262" s="79"/>
      <c r="S262" s="79"/>
      <c r="T262" s="79"/>
      <c r="Y262" s="79"/>
      <c r="AC262" s="130"/>
      <c r="AE262" s="106"/>
    </row>
    <row r="263">
      <c r="C263" s="79"/>
      <c r="D263" s="79"/>
      <c r="E263" s="79"/>
      <c r="O263" s="79"/>
      <c r="S263" s="79"/>
      <c r="T263" s="79"/>
      <c r="Y263" s="79"/>
      <c r="AC263" s="130"/>
      <c r="AE263" s="106"/>
    </row>
    <row r="264">
      <c r="C264" s="79"/>
      <c r="D264" s="79"/>
      <c r="E264" s="79"/>
      <c r="O264" s="79"/>
      <c r="S264" s="79"/>
      <c r="T264" s="79"/>
      <c r="Y264" s="79"/>
      <c r="AC264" s="130"/>
      <c r="AE264" s="106"/>
    </row>
    <row r="265">
      <c r="C265" s="79"/>
      <c r="D265" s="79"/>
      <c r="E265" s="79"/>
      <c r="O265" s="79"/>
      <c r="S265" s="79"/>
      <c r="T265" s="79"/>
      <c r="Y265" s="79"/>
      <c r="AC265" s="130"/>
      <c r="AE265" s="106"/>
    </row>
    <row r="266">
      <c r="C266" s="79"/>
      <c r="D266" s="79"/>
      <c r="E266" s="79"/>
      <c r="O266" s="79"/>
      <c r="S266" s="79"/>
      <c r="T266" s="79"/>
      <c r="Y266" s="79"/>
      <c r="AC266" s="130"/>
      <c r="AE266" s="106"/>
    </row>
    <row r="267">
      <c r="C267" s="79"/>
      <c r="D267" s="79"/>
      <c r="E267" s="79"/>
      <c r="O267" s="79"/>
      <c r="S267" s="79"/>
      <c r="T267" s="79"/>
      <c r="Y267" s="79"/>
      <c r="AC267" s="130"/>
      <c r="AE267" s="106"/>
    </row>
    <row r="268">
      <c r="C268" s="79"/>
      <c r="D268" s="79"/>
      <c r="E268" s="79"/>
      <c r="O268" s="79"/>
      <c r="S268" s="79"/>
      <c r="T268" s="79"/>
      <c r="Y268" s="79"/>
      <c r="AC268" s="130"/>
      <c r="AE268" s="106"/>
    </row>
    <row r="269">
      <c r="C269" s="79"/>
      <c r="D269" s="79"/>
      <c r="E269" s="79"/>
      <c r="O269" s="79"/>
      <c r="S269" s="79"/>
      <c r="T269" s="79"/>
      <c r="Y269" s="79"/>
      <c r="AC269" s="130"/>
      <c r="AE269" s="106"/>
    </row>
    <row r="270">
      <c r="C270" s="79"/>
      <c r="D270" s="79"/>
      <c r="E270" s="79"/>
      <c r="O270" s="79"/>
      <c r="S270" s="79"/>
      <c r="T270" s="79"/>
      <c r="Y270" s="79"/>
      <c r="AC270" s="130"/>
      <c r="AE270" s="106"/>
    </row>
    <row r="271">
      <c r="C271" s="79"/>
      <c r="D271" s="79"/>
      <c r="E271" s="79"/>
      <c r="O271" s="79"/>
      <c r="S271" s="79"/>
      <c r="T271" s="79"/>
      <c r="Y271" s="79"/>
      <c r="AC271" s="130"/>
      <c r="AE271" s="106"/>
    </row>
    <row r="272">
      <c r="C272" s="79"/>
      <c r="D272" s="79"/>
      <c r="E272" s="79"/>
      <c r="O272" s="79"/>
      <c r="S272" s="79"/>
      <c r="T272" s="79"/>
      <c r="Y272" s="79"/>
      <c r="AC272" s="130"/>
      <c r="AE272" s="106"/>
    </row>
    <row r="273">
      <c r="C273" s="79"/>
      <c r="D273" s="79"/>
      <c r="E273" s="79"/>
      <c r="O273" s="79"/>
      <c r="S273" s="79"/>
      <c r="T273" s="79"/>
      <c r="Y273" s="79"/>
      <c r="AC273" s="130"/>
      <c r="AE273" s="106"/>
    </row>
    <row r="274">
      <c r="C274" s="79"/>
      <c r="D274" s="79"/>
      <c r="E274" s="79"/>
      <c r="O274" s="79"/>
      <c r="S274" s="79"/>
      <c r="T274" s="79"/>
      <c r="Y274" s="79"/>
      <c r="AC274" s="130"/>
      <c r="AE274" s="106"/>
    </row>
    <row r="275">
      <c r="C275" s="79"/>
      <c r="D275" s="79"/>
      <c r="E275" s="79"/>
      <c r="O275" s="79"/>
      <c r="S275" s="79"/>
      <c r="T275" s="79"/>
      <c r="Y275" s="79"/>
      <c r="AC275" s="130"/>
      <c r="AE275" s="106"/>
    </row>
    <row r="276">
      <c r="C276" s="79"/>
      <c r="D276" s="79"/>
      <c r="E276" s="79"/>
      <c r="O276" s="79"/>
      <c r="S276" s="79"/>
      <c r="T276" s="79"/>
      <c r="Y276" s="79"/>
      <c r="AC276" s="130"/>
      <c r="AE276" s="106"/>
    </row>
    <row r="277">
      <c r="C277" s="79"/>
      <c r="D277" s="79"/>
      <c r="E277" s="79"/>
      <c r="O277" s="79"/>
      <c r="S277" s="79"/>
      <c r="T277" s="79"/>
      <c r="Y277" s="79"/>
      <c r="AC277" s="130"/>
      <c r="AE277" s="106"/>
    </row>
    <row r="278">
      <c r="C278" s="79"/>
      <c r="D278" s="79"/>
      <c r="E278" s="79"/>
      <c r="O278" s="79"/>
      <c r="S278" s="79"/>
      <c r="T278" s="79"/>
      <c r="Y278" s="79"/>
      <c r="AC278" s="130"/>
      <c r="AE278" s="106"/>
    </row>
    <row r="279">
      <c r="C279" s="79"/>
      <c r="D279" s="79"/>
      <c r="E279" s="79"/>
      <c r="O279" s="79"/>
      <c r="S279" s="79"/>
      <c r="T279" s="79"/>
      <c r="Y279" s="79"/>
      <c r="AC279" s="130"/>
      <c r="AE279" s="106"/>
    </row>
    <row r="280">
      <c r="C280" s="79"/>
      <c r="D280" s="79"/>
      <c r="E280" s="79"/>
      <c r="O280" s="79"/>
      <c r="S280" s="79"/>
      <c r="T280" s="79"/>
      <c r="Y280" s="79"/>
      <c r="AC280" s="130"/>
      <c r="AE280" s="106"/>
    </row>
    <row r="281">
      <c r="C281" s="79"/>
      <c r="D281" s="79"/>
      <c r="E281" s="79"/>
      <c r="O281" s="79"/>
      <c r="S281" s="79"/>
      <c r="T281" s="79"/>
      <c r="Y281" s="79"/>
      <c r="AC281" s="130"/>
      <c r="AE281" s="106"/>
    </row>
    <row r="282">
      <c r="C282" s="79"/>
      <c r="D282" s="79"/>
      <c r="E282" s="79"/>
      <c r="O282" s="79"/>
      <c r="S282" s="79"/>
      <c r="T282" s="79"/>
      <c r="Y282" s="79"/>
      <c r="AC282" s="130"/>
      <c r="AE282" s="106"/>
    </row>
    <row r="283">
      <c r="C283" s="79"/>
      <c r="D283" s="79"/>
      <c r="E283" s="79"/>
      <c r="O283" s="79"/>
      <c r="S283" s="79"/>
      <c r="T283" s="79"/>
      <c r="Y283" s="79"/>
      <c r="AC283" s="130"/>
      <c r="AE283" s="106"/>
    </row>
    <row r="284">
      <c r="C284" s="79"/>
      <c r="D284" s="79"/>
      <c r="E284" s="79"/>
      <c r="O284" s="79"/>
      <c r="S284" s="79"/>
      <c r="T284" s="79"/>
      <c r="Y284" s="79"/>
      <c r="AC284" s="130"/>
      <c r="AE284" s="106"/>
    </row>
    <row r="285">
      <c r="C285" s="79"/>
      <c r="D285" s="79"/>
      <c r="E285" s="79"/>
      <c r="O285" s="79"/>
      <c r="S285" s="79"/>
      <c r="T285" s="79"/>
      <c r="Y285" s="79"/>
      <c r="AC285" s="130"/>
      <c r="AE285" s="106"/>
    </row>
    <row r="286">
      <c r="C286" s="79"/>
      <c r="D286" s="79"/>
      <c r="E286" s="79"/>
      <c r="O286" s="79"/>
      <c r="S286" s="79"/>
      <c r="T286" s="79"/>
      <c r="Y286" s="79"/>
      <c r="AC286" s="130"/>
      <c r="AE286" s="106"/>
    </row>
    <row r="287">
      <c r="C287" s="79"/>
      <c r="D287" s="79"/>
      <c r="E287" s="79"/>
      <c r="O287" s="79"/>
      <c r="S287" s="79"/>
      <c r="T287" s="79"/>
      <c r="Y287" s="79"/>
      <c r="AC287" s="130"/>
      <c r="AE287" s="106"/>
    </row>
    <row r="288">
      <c r="C288" s="79"/>
      <c r="D288" s="79"/>
      <c r="E288" s="79"/>
      <c r="O288" s="79"/>
      <c r="S288" s="79"/>
      <c r="T288" s="79"/>
      <c r="Y288" s="79"/>
      <c r="AC288" s="130"/>
      <c r="AE288" s="106"/>
    </row>
    <row r="289">
      <c r="C289" s="79"/>
      <c r="D289" s="79"/>
      <c r="E289" s="79"/>
      <c r="O289" s="79"/>
      <c r="S289" s="79"/>
      <c r="T289" s="79"/>
      <c r="Y289" s="79"/>
      <c r="AC289" s="130"/>
      <c r="AE289" s="106"/>
    </row>
    <row r="290">
      <c r="C290" s="79"/>
      <c r="D290" s="79"/>
      <c r="E290" s="79"/>
      <c r="O290" s="79"/>
      <c r="S290" s="79"/>
      <c r="T290" s="79"/>
      <c r="Y290" s="79"/>
      <c r="AC290" s="130"/>
      <c r="AE290" s="106"/>
    </row>
    <row r="291">
      <c r="C291" s="79"/>
      <c r="D291" s="79"/>
      <c r="E291" s="79"/>
      <c r="O291" s="79"/>
      <c r="S291" s="79"/>
      <c r="T291" s="79"/>
      <c r="Y291" s="79"/>
      <c r="AC291" s="130"/>
      <c r="AE291" s="106"/>
    </row>
    <row r="292">
      <c r="C292" s="79"/>
      <c r="D292" s="79"/>
      <c r="E292" s="79"/>
      <c r="O292" s="79"/>
      <c r="S292" s="79"/>
      <c r="T292" s="79"/>
      <c r="Y292" s="79"/>
      <c r="AC292" s="130"/>
      <c r="AE292" s="106"/>
    </row>
    <row r="293">
      <c r="C293" s="79"/>
      <c r="D293" s="79"/>
      <c r="E293" s="79"/>
      <c r="O293" s="79"/>
      <c r="S293" s="79"/>
      <c r="T293" s="79"/>
      <c r="Y293" s="79"/>
      <c r="AC293" s="130"/>
      <c r="AE293" s="106"/>
    </row>
    <row r="294">
      <c r="C294" s="79"/>
      <c r="D294" s="79"/>
      <c r="E294" s="79"/>
      <c r="O294" s="79"/>
      <c r="S294" s="79"/>
      <c r="T294" s="79"/>
      <c r="Y294" s="79"/>
      <c r="AC294" s="130"/>
      <c r="AE294" s="106"/>
    </row>
    <row r="295">
      <c r="C295" s="79"/>
      <c r="D295" s="79"/>
      <c r="E295" s="79"/>
      <c r="O295" s="79"/>
      <c r="S295" s="79"/>
      <c r="T295" s="79"/>
      <c r="Y295" s="79"/>
      <c r="AC295" s="130"/>
      <c r="AE295" s="106"/>
    </row>
    <row r="296">
      <c r="C296" s="79"/>
      <c r="D296" s="79"/>
      <c r="E296" s="79"/>
      <c r="O296" s="79"/>
      <c r="S296" s="79"/>
      <c r="T296" s="79"/>
      <c r="Y296" s="79"/>
      <c r="AC296" s="130"/>
      <c r="AE296" s="106"/>
    </row>
    <row r="297">
      <c r="C297" s="79"/>
      <c r="D297" s="79"/>
      <c r="E297" s="79"/>
      <c r="O297" s="79"/>
      <c r="S297" s="79"/>
      <c r="T297" s="79"/>
      <c r="Y297" s="79"/>
      <c r="AC297" s="130"/>
      <c r="AE297" s="106"/>
    </row>
    <row r="298">
      <c r="C298" s="79"/>
      <c r="D298" s="79"/>
      <c r="E298" s="79"/>
      <c r="O298" s="79"/>
      <c r="S298" s="79"/>
      <c r="T298" s="79"/>
      <c r="Y298" s="79"/>
      <c r="AC298" s="130"/>
      <c r="AE298" s="106"/>
    </row>
    <row r="299">
      <c r="C299" s="79"/>
      <c r="D299" s="79"/>
      <c r="E299" s="79"/>
      <c r="O299" s="79"/>
      <c r="S299" s="79"/>
      <c r="T299" s="79"/>
      <c r="Y299" s="79"/>
      <c r="AC299" s="130"/>
      <c r="AE299" s="106"/>
    </row>
    <row r="300">
      <c r="C300" s="79"/>
      <c r="D300" s="79"/>
      <c r="E300" s="79"/>
      <c r="O300" s="79"/>
      <c r="S300" s="79"/>
      <c r="T300" s="79"/>
      <c r="Y300" s="79"/>
      <c r="AC300" s="130"/>
      <c r="AE300" s="106"/>
    </row>
    <row r="301">
      <c r="C301" s="79"/>
      <c r="D301" s="79"/>
      <c r="E301" s="79"/>
      <c r="O301" s="79"/>
      <c r="S301" s="79"/>
      <c r="T301" s="79"/>
      <c r="Y301" s="79"/>
      <c r="AC301" s="130"/>
      <c r="AE301" s="106"/>
    </row>
    <row r="302">
      <c r="C302" s="79"/>
      <c r="D302" s="79"/>
      <c r="E302" s="79"/>
      <c r="O302" s="79"/>
      <c r="S302" s="79"/>
      <c r="T302" s="79"/>
      <c r="Y302" s="79"/>
      <c r="AC302" s="130"/>
      <c r="AE302" s="106"/>
    </row>
    <row r="303">
      <c r="C303" s="79"/>
      <c r="D303" s="79"/>
      <c r="E303" s="79"/>
      <c r="O303" s="79"/>
      <c r="S303" s="79"/>
      <c r="T303" s="79"/>
      <c r="Y303" s="79"/>
      <c r="AC303" s="130"/>
      <c r="AE303" s="106"/>
    </row>
    <row r="304">
      <c r="C304" s="79"/>
      <c r="D304" s="79"/>
      <c r="E304" s="79"/>
      <c r="O304" s="79"/>
      <c r="S304" s="79"/>
      <c r="T304" s="79"/>
      <c r="Y304" s="79"/>
      <c r="AC304" s="130"/>
      <c r="AE304" s="106"/>
    </row>
    <row r="305">
      <c r="C305" s="79"/>
      <c r="D305" s="79"/>
      <c r="E305" s="79"/>
      <c r="O305" s="79"/>
      <c r="S305" s="79"/>
      <c r="T305" s="79"/>
      <c r="Y305" s="79"/>
      <c r="AC305" s="130"/>
      <c r="AE305" s="106"/>
    </row>
    <row r="306">
      <c r="C306" s="79"/>
      <c r="D306" s="79"/>
      <c r="E306" s="79"/>
      <c r="O306" s="79"/>
      <c r="S306" s="79"/>
      <c r="T306" s="79"/>
      <c r="Y306" s="79"/>
      <c r="AC306" s="130"/>
      <c r="AE306" s="106"/>
    </row>
    <row r="307">
      <c r="C307" s="79"/>
      <c r="D307" s="79"/>
      <c r="E307" s="79"/>
      <c r="O307" s="79"/>
      <c r="S307" s="79"/>
      <c r="T307" s="79"/>
      <c r="Y307" s="79"/>
      <c r="AC307" s="130"/>
      <c r="AE307" s="106"/>
    </row>
    <row r="308">
      <c r="C308" s="79"/>
      <c r="D308" s="79"/>
      <c r="E308" s="79"/>
      <c r="O308" s="79"/>
      <c r="S308" s="79"/>
      <c r="T308" s="79"/>
      <c r="Y308" s="79"/>
      <c r="AC308" s="130"/>
      <c r="AE308" s="106"/>
    </row>
    <row r="309">
      <c r="C309" s="79"/>
      <c r="D309" s="79"/>
      <c r="E309" s="79"/>
      <c r="O309" s="79"/>
      <c r="S309" s="79"/>
      <c r="T309" s="79"/>
      <c r="Y309" s="79"/>
      <c r="AC309" s="130"/>
      <c r="AE309" s="106"/>
    </row>
    <row r="310">
      <c r="C310" s="79"/>
      <c r="D310" s="79"/>
      <c r="E310" s="79"/>
      <c r="O310" s="79"/>
      <c r="S310" s="79"/>
      <c r="T310" s="79"/>
      <c r="Y310" s="79"/>
      <c r="AC310" s="130"/>
      <c r="AE310" s="106"/>
    </row>
    <row r="311">
      <c r="C311" s="79"/>
      <c r="D311" s="79"/>
      <c r="E311" s="79"/>
      <c r="O311" s="79"/>
      <c r="S311" s="79"/>
      <c r="T311" s="79"/>
      <c r="Y311" s="79"/>
      <c r="AC311" s="130"/>
      <c r="AE311" s="106"/>
    </row>
    <row r="312">
      <c r="C312" s="79"/>
      <c r="D312" s="79"/>
      <c r="E312" s="79"/>
      <c r="O312" s="79"/>
      <c r="S312" s="79"/>
      <c r="T312" s="79"/>
      <c r="Y312" s="79"/>
      <c r="AC312" s="130"/>
      <c r="AE312" s="106"/>
    </row>
    <row r="313">
      <c r="C313" s="79"/>
      <c r="D313" s="79"/>
      <c r="E313" s="79"/>
      <c r="O313" s="79"/>
      <c r="S313" s="79"/>
      <c r="T313" s="79"/>
      <c r="Y313" s="79"/>
      <c r="AC313" s="130"/>
      <c r="AE313" s="106"/>
    </row>
    <row r="314">
      <c r="C314" s="79"/>
      <c r="D314" s="79"/>
      <c r="E314" s="79"/>
      <c r="O314" s="79"/>
      <c r="S314" s="79"/>
      <c r="T314" s="79"/>
      <c r="Y314" s="79"/>
      <c r="AC314" s="130"/>
      <c r="AE314" s="106"/>
    </row>
    <row r="315">
      <c r="C315" s="79"/>
      <c r="D315" s="79"/>
      <c r="E315" s="79"/>
      <c r="O315" s="79"/>
      <c r="S315" s="79"/>
      <c r="T315" s="79"/>
      <c r="Y315" s="79"/>
      <c r="AC315" s="130"/>
      <c r="AE315" s="106"/>
    </row>
    <row r="316">
      <c r="C316" s="79"/>
      <c r="D316" s="79"/>
      <c r="E316" s="79"/>
      <c r="O316" s="79"/>
      <c r="S316" s="79"/>
      <c r="T316" s="79"/>
      <c r="Y316" s="79"/>
      <c r="AC316" s="130"/>
      <c r="AE316" s="106"/>
    </row>
    <row r="317">
      <c r="C317" s="79"/>
      <c r="D317" s="79"/>
      <c r="E317" s="79"/>
      <c r="O317" s="79"/>
      <c r="S317" s="79"/>
      <c r="T317" s="79"/>
      <c r="Y317" s="79"/>
      <c r="AC317" s="130"/>
      <c r="AE317" s="106"/>
    </row>
    <row r="318">
      <c r="C318" s="79"/>
      <c r="D318" s="79"/>
      <c r="E318" s="79"/>
      <c r="O318" s="79"/>
      <c r="S318" s="79"/>
      <c r="T318" s="79"/>
      <c r="Y318" s="79"/>
      <c r="AC318" s="130"/>
      <c r="AE318" s="106"/>
    </row>
    <row r="319">
      <c r="C319" s="79"/>
      <c r="D319" s="79"/>
      <c r="E319" s="79"/>
      <c r="O319" s="79"/>
      <c r="S319" s="79"/>
      <c r="T319" s="79"/>
      <c r="Y319" s="79"/>
      <c r="AC319" s="130"/>
      <c r="AE319" s="106"/>
    </row>
    <row r="320">
      <c r="C320" s="79"/>
      <c r="D320" s="79"/>
      <c r="E320" s="79"/>
      <c r="O320" s="79"/>
      <c r="S320" s="79"/>
      <c r="T320" s="79"/>
      <c r="Y320" s="79"/>
      <c r="AC320" s="130"/>
      <c r="AE320" s="106"/>
    </row>
    <row r="321">
      <c r="C321" s="79"/>
      <c r="D321" s="79"/>
      <c r="E321" s="79"/>
      <c r="O321" s="79"/>
      <c r="S321" s="79"/>
      <c r="T321" s="79"/>
      <c r="Y321" s="79"/>
      <c r="AC321" s="130"/>
      <c r="AE321" s="106"/>
    </row>
    <row r="322">
      <c r="C322" s="79"/>
      <c r="D322" s="79"/>
      <c r="E322" s="79"/>
      <c r="O322" s="79"/>
      <c r="S322" s="79"/>
      <c r="T322" s="79"/>
      <c r="Y322" s="79"/>
      <c r="AC322" s="130"/>
      <c r="AE322" s="106"/>
    </row>
    <row r="323">
      <c r="C323" s="79"/>
      <c r="D323" s="79"/>
      <c r="E323" s="79"/>
      <c r="O323" s="79"/>
      <c r="S323" s="79"/>
      <c r="T323" s="79"/>
      <c r="Y323" s="79"/>
      <c r="AC323" s="130"/>
      <c r="AE323" s="106"/>
    </row>
    <row r="324">
      <c r="C324" s="79"/>
      <c r="D324" s="79"/>
      <c r="E324" s="79"/>
      <c r="O324" s="79"/>
      <c r="S324" s="79"/>
      <c r="T324" s="79"/>
      <c r="Y324" s="79"/>
      <c r="AC324" s="130"/>
      <c r="AE324" s="106"/>
    </row>
    <row r="325">
      <c r="C325" s="79"/>
      <c r="D325" s="79"/>
      <c r="E325" s="79"/>
      <c r="O325" s="79"/>
      <c r="S325" s="79"/>
      <c r="T325" s="79"/>
      <c r="Y325" s="79"/>
      <c r="AC325" s="130"/>
      <c r="AE325" s="106"/>
    </row>
    <row r="326">
      <c r="C326" s="79"/>
      <c r="D326" s="79"/>
      <c r="E326" s="79"/>
      <c r="O326" s="79"/>
      <c r="S326" s="79"/>
      <c r="T326" s="79"/>
      <c r="Y326" s="79"/>
      <c r="AC326" s="130"/>
      <c r="AE326" s="106"/>
    </row>
    <row r="327">
      <c r="C327" s="79"/>
      <c r="D327" s="79"/>
      <c r="E327" s="79"/>
      <c r="O327" s="79"/>
      <c r="S327" s="79"/>
      <c r="T327" s="79"/>
      <c r="Y327" s="79"/>
      <c r="AC327" s="130"/>
      <c r="AE327" s="106"/>
    </row>
    <row r="328">
      <c r="C328" s="79"/>
      <c r="D328" s="79"/>
      <c r="E328" s="79"/>
      <c r="O328" s="79"/>
      <c r="S328" s="79"/>
      <c r="T328" s="79"/>
      <c r="Y328" s="79"/>
      <c r="AC328" s="130"/>
      <c r="AE328" s="106"/>
    </row>
    <row r="329">
      <c r="C329" s="79"/>
      <c r="D329" s="79"/>
      <c r="E329" s="79"/>
      <c r="O329" s="79"/>
      <c r="S329" s="79"/>
      <c r="T329" s="79"/>
      <c r="Y329" s="79"/>
      <c r="AC329" s="130"/>
      <c r="AE329" s="106"/>
    </row>
    <row r="330">
      <c r="C330" s="79"/>
      <c r="D330" s="79"/>
      <c r="E330" s="79"/>
      <c r="O330" s="79"/>
      <c r="S330" s="79"/>
      <c r="T330" s="79"/>
      <c r="Y330" s="79"/>
      <c r="AC330" s="130"/>
      <c r="AE330" s="106"/>
    </row>
    <row r="331">
      <c r="C331" s="79"/>
      <c r="D331" s="79"/>
      <c r="E331" s="79"/>
      <c r="O331" s="79"/>
      <c r="S331" s="79"/>
      <c r="T331" s="79"/>
      <c r="Y331" s="79"/>
      <c r="AC331" s="130"/>
      <c r="AE331" s="106"/>
    </row>
    <row r="332">
      <c r="C332" s="79"/>
      <c r="D332" s="79"/>
      <c r="E332" s="79"/>
      <c r="O332" s="79"/>
      <c r="S332" s="79"/>
      <c r="T332" s="79"/>
      <c r="Y332" s="79"/>
      <c r="AC332" s="130"/>
      <c r="AE332" s="106"/>
    </row>
    <row r="333">
      <c r="C333" s="79"/>
      <c r="D333" s="79"/>
      <c r="E333" s="79"/>
      <c r="O333" s="79"/>
      <c r="S333" s="79"/>
      <c r="T333" s="79"/>
      <c r="Y333" s="79"/>
      <c r="AC333" s="130"/>
      <c r="AE333" s="106"/>
    </row>
    <row r="334">
      <c r="C334" s="79"/>
      <c r="D334" s="79"/>
      <c r="E334" s="79"/>
      <c r="O334" s="79"/>
      <c r="S334" s="79"/>
      <c r="T334" s="79"/>
      <c r="Y334" s="79"/>
      <c r="AC334" s="130"/>
      <c r="AE334" s="106"/>
    </row>
    <row r="335">
      <c r="C335" s="79"/>
      <c r="D335" s="79"/>
      <c r="E335" s="79"/>
      <c r="O335" s="79"/>
      <c r="S335" s="79"/>
      <c r="T335" s="79"/>
      <c r="Y335" s="79"/>
      <c r="AC335" s="130"/>
      <c r="AE335" s="106"/>
    </row>
    <row r="336">
      <c r="C336" s="79"/>
      <c r="D336" s="79"/>
      <c r="E336" s="79"/>
      <c r="O336" s="79"/>
      <c r="S336" s="79"/>
      <c r="T336" s="79"/>
      <c r="Y336" s="79"/>
      <c r="AC336" s="130"/>
      <c r="AE336" s="106"/>
    </row>
    <row r="337">
      <c r="C337" s="79"/>
      <c r="D337" s="79"/>
      <c r="E337" s="79"/>
      <c r="O337" s="79"/>
      <c r="S337" s="79"/>
      <c r="T337" s="79"/>
      <c r="Y337" s="79"/>
      <c r="AC337" s="130"/>
      <c r="AE337" s="106"/>
    </row>
    <row r="338">
      <c r="C338" s="79"/>
      <c r="D338" s="79"/>
      <c r="E338" s="79"/>
      <c r="O338" s="79"/>
      <c r="S338" s="79"/>
      <c r="T338" s="79"/>
      <c r="Y338" s="79"/>
      <c r="AC338" s="130"/>
      <c r="AE338" s="106"/>
    </row>
    <row r="339">
      <c r="C339" s="79"/>
      <c r="D339" s="79"/>
      <c r="E339" s="79"/>
      <c r="O339" s="79"/>
      <c r="S339" s="79"/>
      <c r="T339" s="79"/>
      <c r="Y339" s="79"/>
      <c r="AC339" s="130"/>
      <c r="AE339" s="106"/>
    </row>
    <row r="340">
      <c r="C340" s="79"/>
      <c r="D340" s="79"/>
      <c r="E340" s="79"/>
      <c r="O340" s="79"/>
      <c r="S340" s="79"/>
      <c r="T340" s="79"/>
      <c r="Y340" s="79"/>
      <c r="AC340" s="130"/>
      <c r="AE340" s="106"/>
    </row>
    <row r="341">
      <c r="C341" s="79"/>
      <c r="D341" s="79"/>
      <c r="E341" s="79"/>
      <c r="O341" s="79"/>
      <c r="S341" s="79"/>
      <c r="T341" s="79"/>
      <c r="Y341" s="79"/>
      <c r="AC341" s="130"/>
      <c r="AE341" s="106"/>
    </row>
    <row r="342">
      <c r="C342" s="79"/>
      <c r="D342" s="79"/>
      <c r="E342" s="79"/>
      <c r="O342" s="79"/>
      <c r="S342" s="79"/>
      <c r="T342" s="79"/>
      <c r="Y342" s="79"/>
      <c r="AC342" s="130"/>
      <c r="AE342" s="106"/>
    </row>
    <row r="343">
      <c r="C343" s="79"/>
      <c r="D343" s="79"/>
      <c r="E343" s="79"/>
      <c r="O343" s="79"/>
      <c r="S343" s="79"/>
      <c r="T343" s="79"/>
      <c r="Y343" s="79"/>
      <c r="AC343" s="130"/>
      <c r="AE343" s="106"/>
    </row>
    <row r="344">
      <c r="C344" s="79"/>
      <c r="D344" s="79"/>
      <c r="E344" s="79"/>
      <c r="O344" s="79"/>
      <c r="S344" s="79"/>
      <c r="T344" s="79"/>
      <c r="Y344" s="79"/>
      <c r="AC344" s="130"/>
      <c r="AE344" s="106"/>
    </row>
    <row r="345">
      <c r="C345" s="79"/>
      <c r="D345" s="79"/>
      <c r="E345" s="79"/>
      <c r="O345" s="79"/>
      <c r="S345" s="79"/>
      <c r="T345" s="79"/>
      <c r="Y345" s="79"/>
      <c r="AC345" s="130"/>
      <c r="AE345" s="106"/>
    </row>
    <row r="346">
      <c r="C346" s="79"/>
      <c r="D346" s="79"/>
      <c r="E346" s="79"/>
      <c r="O346" s="79"/>
      <c r="S346" s="79"/>
      <c r="T346" s="79"/>
      <c r="Y346" s="79"/>
      <c r="AC346" s="130"/>
      <c r="AE346" s="106"/>
    </row>
    <row r="347">
      <c r="C347" s="79"/>
      <c r="D347" s="79"/>
      <c r="E347" s="79"/>
      <c r="O347" s="79"/>
      <c r="S347" s="79"/>
      <c r="T347" s="79"/>
      <c r="Y347" s="79"/>
      <c r="AC347" s="130"/>
      <c r="AE347" s="106"/>
    </row>
    <row r="348">
      <c r="C348" s="79"/>
      <c r="D348" s="79"/>
      <c r="E348" s="79"/>
      <c r="O348" s="79"/>
      <c r="S348" s="79"/>
      <c r="T348" s="79"/>
      <c r="Y348" s="79"/>
      <c r="AC348" s="130"/>
      <c r="AE348" s="106"/>
    </row>
    <row r="349">
      <c r="C349" s="79"/>
      <c r="D349" s="79"/>
      <c r="E349" s="79"/>
      <c r="O349" s="79"/>
      <c r="S349" s="79"/>
      <c r="T349" s="79"/>
      <c r="Y349" s="79"/>
      <c r="AC349" s="130"/>
      <c r="AE349" s="106"/>
    </row>
    <row r="350">
      <c r="C350" s="79"/>
      <c r="D350" s="79"/>
      <c r="E350" s="79"/>
      <c r="O350" s="79"/>
      <c r="S350" s="79"/>
      <c r="T350" s="79"/>
      <c r="Y350" s="79"/>
      <c r="AC350" s="130"/>
      <c r="AE350" s="106"/>
    </row>
    <row r="351">
      <c r="C351" s="79"/>
      <c r="D351" s="79"/>
      <c r="E351" s="79"/>
      <c r="O351" s="79"/>
      <c r="S351" s="79"/>
      <c r="T351" s="79"/>
      <c r="Y351" s="79"/>
      <c r="AC351" s="130"/>
      <c r="AE351" s="106"/>
    </row>
    <row r="352">
      <c r="C352" s="79"/>
      <c r="D352" s="79"/>
      <c r="E352" s="79"/>
      <c r="O352" s="79"/>
      <c r="S352" s="79"/>
      <c r="T352" s="79"/>
      <c r="Y352" s="79"/>
      <c r="AC352" s="130"/>
      <c r="AE352" s="106"/>
    </row>
    <row r="353">
      <c r="C353" s="79"/>
      <c r="D353" s="79"/>
      <c r="E353" s="79"/>
      <c r="O353" s="79"/>
      <c r="S353" s="79"/>
      <c r="T353" s="79"/>
      <c r="Y353" s="79"/>
      <c r="AC353" s="130"/>
      <c r="AE353" s="106"/>
    </row>
    <row r="354">
      <c r="C354" s="79"/>
      <c r="D354" s="79"/>
      <c r="E354" s="79"/>
      <c r="O354" s="79"/>
      <c r="S354" s="79"/>
      <c r="T354" s="79"/>
      <c r="Y354" s="79"/>
      <c r="AC354" s="130"/>
      <c r="AE354" s="106"/>
    </row>
    <row r="355">
      <c r="C355" s="79"/>
      <c r="D355" s="79"/>
      <c r="E355" s="79"/>
      <c r="O355" s="79"/>
      <c r="S355" s="79"/>
      <c r="T355" s="79"/>
      <c r="Y355" s="79"/>
      <c r="AC355" s="130"/>
      <c r="AE355" s="106"/>
    </row>
    <row r="356">
      <c r="C356" s="79"/>
      <c r="D356" s="79"/>
      <c r="E356" s="79"/>
      <c r="O356" s="79"/>
      <c r="S356" s="79"/>
      <c r="T356" s="79"/>
      <c r="Y356" s="79"/>
      <c r="AC356" s="130"/>
      <c r="AE356" s="106"/>
    </row>
    <row r="357">
      <c r="C357" s="79"/>
      <c r="D357" s="79"/>
      <c r="E357" s="79"/>
      <c r="O357" s="79"/>
      <c r="S357" s="79"/>
      <c r="T357" s="79"/>
      <c r="Y357" s="79"/>
      <c r="AC357" s="130"/>
      <c r="AE357" s="106"/>
    </row>
    <row r="358">
      <c r="C358" s="79"/>
      <c r="D358" s="79"/>
      <c r="E358" s="79"/>
      <c r="O358" s="79"/>
      <c r="S358" s="79"/>
      <c r="T358" s="79"/>
      <c r="Y358" s="79"/>
      <c r="AC358" s="130"/>
      <c r="AE358" s="106"/>
    </row>
    <row r="359">
      <c r="C359" s="79"/>
      <c r="D359" s="79"/>
      <c r="E359" s="79"/>
      <c r="O359" s="79"/>
      <c r="S359" s="79"/>
      <c r="T359" s="79"/>
      <c r="Y359" s="79"/>
      <c r="AC359" s="130"/>
      <c r="AE359" s="106"/>
    </row>
    <row r="360">
      <c r="C360" s="79"/>
      <c r="D360" s="79"/>
      <c r="E360" s="79"/>
      <c r="O360" s="79"/>
      <c r="S360" s="79"/>
      <c r="T360" s="79"/>
      <c r="Y360" s="79"/>
      <c r="AC360" s="130"/>
      <c r="AE360" s="106"/>
    </row>
    <row r="361">
      <c r="C361" s="79"/>
      <c r="D361" s="79"/>
      <c r="E361" s="79"/>
      <c r="O361" s="79"/>
      <c r="S361" s="79"/>
      <c r="T361" s="79"/>
      <c r="Y361" s="79"/>
      <c r="AC361" s="130"/>
      <c r="AE361" s="106"/>
    </row>
    <row r="362">
      <c r="C362" s="79"/>
      <c r="D362" s="79"/>
      <c r="E362" s="79"/>
      <c r="O362" s="79"/>
      <c r="S362" s="79"/>
      <c r="T362" s="79"/>
      <c r="Y362" s="79"/>
      <c r="AC362" s="130"/>
      <c r="AE362" s="106"/>
    </row>
    <row r="363">
      <c r="C363" s="79"/>
      <c r="D363" s="79"/>
      <c r="E363" s="79"/>
      <c r="O363" s="79"/>
      <c r="S363" s="79"/>
      <c r="T363" s="79"/>
      <c r="Y363" s="79"/>
      <c r="AC363" s="130"/>
      <c r="AE363" s="106"/>
    </row>
    <row r="364">
      <c r="C364" s="79"/>
      <c r="D364" s="79"/>
      <c r="E364" s="79"/>
      <c r="O364" s="79"/>
      <c r="S364" s="79"/>
      <c r="T364" s="79"/>
      <c r="Y364" s="79"/>
      <c r="AC364" s="130"/>
      <c r="AE364" s="106"/>
    </row>
    <row r="365">
      <c r="C365" s="79"/>
      <c r="D365" s="79"/>
      <c r="E365" s="79"/>
      <c r="O365" s="79"/>
      <c r="S365" s="79"/>
      <c r="T365" s="79"/>
      <c r="Y365" s="79"/>
      <c r="AC365" s="130"/>
      <c r="AE365" s="106"/>
    </row>
    <row r="366">
      <c r="C366" s="79"/>
      <c r="D366" s="79"/>
      <c r="E366" s="79"/>
      <c r="O366" s="79"/>
      <c r="S366" s="79"/>
      <c r="T366" s="79"/>
      <c r="Y366" s="79"/>
      <c r="AC366" s="130"/>
      <c r="AE366" s="106"/>
    </row>
    <row r="367">
      <c r="C367" s="79"/>
      <c r="D367" s="79"/>
      <c r="E367" s="79"/>
      <c r="O367" s="79"/>
      <c r="S367" s="79"/>
      <c r="T367" s="79"/>
      <c r="Y367" s="79"/>
      <c r="AC367" s="130"/>
      <c r="AE367" s="106"/>
    </row>
    <row r="368">
      <c r="C368" s="79"/>
      <c r="D368" s="79"/>
      <c r="E368" s="79"/>
      <c r="O368" s="79"/>
      <c r="S368" s="79"/>
      <c r="T368" s="79"/>
      <c r="Y368" s="79"/>
      <c r="AC368" s="130"/>
      <c r="AE368" s="106"/>
    </row>
    <row r="369">
      <c r="C369" s="79"/>
      <c r="D369" s="79"/>
      <c r="E369" s="79"/>
      <c r="O369" s="79"/>
      <c r="S369" s="79"/>
      <c r="T369" s="79"/>
      <c r="Y369" s="79"/>
      <c r="AC369" s="130"/>
      <c r="AE369" s="106"/>
    </row>
    <row r="370">
      <c r="C370" s="79"/>
      <c r="D370" s="79"/>
      <c r="E370" s="79"/>
      <c r="O370" s="79"/>
      <c r="S370" s="79"/>
      <c r="T370" s="79"/>
      <c r="Y370" s="79"/>
      <c r="AC370" s="130"/>
      <c r="AE370" s="106"/>
    </row>
    <row r="371">
      <c r="C371" s="79"/>
      <c r="D371" s="79"/>
      <c r="E371" s="79"/>
      <c r="O371" s="79"/>
      <c r="S371" s="79"/>
      <c r="T371" s="79"/>
      <c r="Y371" s="79"/>
      <c r="AC371" s="130"/>
      <c r="AE371" s="106"/>
    </row>
    <row r="372">
      <c r="C372" s="79"/>
      <c r="D372" s="79"/>
      <c r="E372" s="79"/>
      <c r="O372" s="79"/>
      <c r="S372" s="79"/>
      <c r="T372" s="79"/>
      <c r="Y372" s="79"/>
      <c r="AC372" s="130"/>
      <c r="AE372" s="106"/>
    </row>
    <row r="373">
      <c r="C373" s="79"/>
      <c r="D373" s="79"/>
      <c r="E373" s="79"/>
      <c r="O373" s="79"/>
      <c r="S373" s="79"/>
      <c r="T373" s="79"/>
      <c r="Y373" s="79"/>
      <c r="AC373" s="130"/>
      <c r="AE373" s="106"/>
    </row>
    <row r="374">
      <c r="C374" s="79"/>
      <c r="D374" s="79"/>
      <c r="E374" s="79"/>
      <c r="O374" s="79"/>
      <c r="S374" s="79"/>
      <c r="T374" s="79"/>
      <c r="Y374" s="79"/>
      <c r="AC374" s="130"/>
      <c r="AE374" s="106"/>
    </row>
    <row r="375">
      <c r="C375" s="79"/>
      <c r="D375" s="79"/>
      <c r="E375" s="79"/>
      <c r="O375" s="79"/>
      <c r="S375" s="79"/>
      <c r="T375" s="79"/>
      <c r="Y375" s="79"/>
      <c r="AC375" s="130"/>
      <c r="AE375" s="106"/>
    </row>
    <row r="376">
      <c r="C376" s="79"/>
      <c r="D376" s="79"/>
      <c r="E376" s="79"/>
      <c r="O376" s="79"/>
      <c r="S376" s="79"/>
      <c r="T376" s="79"/>
      <c r="Y376" s="79"/>
      <c r="AC376" s="130"/>
      <c r="AE376" s="106"/>
    </row>
    <row r="377">
      <c r="C377" s="79"/>
      <c r="D377" s="79"/>
      <c r="E377" s="79"/>
      <c r="O377" s="79"/>
      <c r="S377" s="79"/>
      <c r="T377" s="79"/>
      <c r="Y377" s="79"/>
      <c r="AC377" s="130"/>
      <c r="AE377" s="106"/>
    </row>
    <row r="378">
      <c r="C378" s="79"/>
      <c r="D378" s="79"/>
      <c r="E378" s="79"/>
      <c r="O378" s="79"/>
      <c r="S378" s="79"/>
      <c r="T378" s="79"/>
      <c r="Y378" s="79"/>
      <c r="AC378" s="130"/>
      <c r="AE378" s="106"/>
    </row>
    <row r="379">
      <c r="C379" s="79"/>
      <c r="D379" s="79"/>
      <c r="E379" s="79"/>
      <c r="O379" s="79"/>
      <c r="S379" s="79"/>
      <c r="T379" s="79"/>
      <c r="Y379" s="79"/>
      <c r="AC379" s="130"/>
      <c r="AE379" s="106"/>
    </row>
    <row r="380">
      <c r="C380" s="79"/>
      <c r="D380" s="79"/>
      <c r="E380" s="79"/>
      <c r="O380" s="79"/>
      <c r="S380" s="79"/>
      <c r="T380" s="79"/>
      <c r="Y380" s="79"/>
      <c r="AC380" s="130"/>
      <c r="AE380" s="106"/>
    </row>
    <row r="381">
      <c r="C381" s="79"/>
      <c r="D381" s="79"/>
      <c r="E381" s="79"/>
      <c r="O381" s="79"/>
      <c r="S381" s="79"/>
      <c r="T381" s="79"/>
      <c r="Y381" s="79"/>
      <c r="AC381" s="130"/>
      <c r="AE381" s="106"/>
    </row>
    <row r="382">
      <c r="C382" s="79"/>
      <c r="D382" s="79"/>
      <c r="E382" s="79"/>
      <c r="O382" s="79"/>
      <c r="S382" s="79"/>
      <c r="T382" s="79"/>
      <c r="Y382" s="79"/>
      <c r="AC382" s="130"/>
      <c r="AE382" s="106"/>
    </row>
    <row r="383">
      <c r="C383" s="79"/>
      <c r="D383" s="79"/>
      <c r="E383" s="79"/>
      <c r="O383" s="79"/>
      <c r="S383" s="79"/>
      <c r="T383" s="79"/>
      <c r="Y383" s="79"/>
      <c r="AC383" s="130"/>
      <c r="AE383" s="106"/>
    </row>
    <row r="384">
      <c r="C384" s="79"/>
      <c r="D384" s="79"/>
      <c r="E384" s="79"/>
      <c r="O384" s="79"/>
      <c r="S384" s="79"/>
      <c r="T384" s="79"/>
      <c r="Y384" s="79"/>
      <c r="AC384" s="130"/>
      <c r="AE384" s="106"/>
    </row>
    <row r="385">
      <c r="C385" s="79"/>
      <c r="D385" s="79"/>
      <c r="E385" s="79"/>
      <c r="O385" s="79"/>
      <c r="S385" s="79"/>
      <c r="T385" s="79"/>
      <c r="Y385" s="79"/>
      <c r="AC385" s="130"/>
      <c r="AE385" s="106"/>
    </row>
    <row r="386">
      <c r="C386" s="79"/>
      <c r="D386" s="79"/>
      <c r="E386" s="79"/>
      <c r="O386" s="79"/>
      <c r="S386" s="79"/>
      <c r="T386" s="79"/>
      <c r="Y386" s="79"/>
      <c r="AC386" s="130"/>
      <c r="AE386" s="106"/>
    </row>
    <row r="387">
      <c r="C387" s="79"/>
      <c r="D387" s="79"/>
      <c r="E387" s="79"/>
      <c r="O387" s="79"/>
      <c r="S387" s="79"/>
      <c r="T387" s="79"/>
      <c r="Y387" s="79"/>
      <c r="AC387" s="130"/>
      <c r="AE387" s="106"/>
    </row>
    <row r="388">
      <c r="C388" s="79"/>
      <c r="D388" s="79"/>
      <c r="E388" s="79"/>
      <c r="O388" s="79"/>
      <c r="S388" s="79"/>
      <c r="T388" s="79"/>
      <c r="Y388" s="79"/>
      <c r="AC388" s="130"/>
      <c r="AE388" s="106"/>
    </row>
    <row r="389">
      <c r="C389" s="79"/>
      <c r="D389" s="79"/>
      <c r="E389" s="79"/>
      <c r="O389" s="79"/>
      <c r="S389" s="79"/>
      <c r="T389" s="79"/>
      <c r="Y389" s="79"/>
      <c r="AC389" s="130"/>
      <c r="AE389" s="106"/>
    </row>
    <row r="390">
      <c r="C390" s="79"/>
      <c r="D390" s="79"/>
      <c r="E390" s="79"/>
      <c r="O390" s="79"/>
      <c r="S390" s="79"/>
      <c r="T390" s="79"/>
      <c r="Y390" s="79"/>
      <c r="AC390" s="130"/>
      <c r="AE390" s="106"/>
    </row>
    <row r="391">
      <c r="C391" s="79"/>
      <c r="D391" s="79"/>
      <c r="E391" s="79"/>
      <c r="O391" s="79"/>
      <c r="S391" s="79"/>
      <c r="T391" s="79"/>
      <c r="Y391" s="79"/>
      <c r="AC391" s="130"/>
      <c r="AE391" s="106"/>
    </row>
    <row r="392">
      <c r="C392" s="79"/>
      <c r="D392" s="79"/>
      <c r="E392" s="79"/>
      <c r="O392" s="79"/>
      <c r="S392" s="79"/>
      <c r="T392" s="79"/>
      <c r="Y392" s="79"/>
      <c r="AC392" s="130"/>
      <c r="AE392" s="106"/>
    </row>
    <row r="393">
      <c r="C393" s="79"/>
      <c r="D393" s="79"/>
      <c r="E393" s="79"/>
      <c r="O393" s="79"/>
      <c r="S393" s="79"/>
      <c r="T393" s="79"/>
      <c r="Y393" s="79"/>
      <c r="AC393" s="130"/>
      <c r="AE393" s="106"/>
    </row>
    <row r="394">
      <c r="C394" s="79"/>
      <c r="D394" s="79"/>
      <c r="E394" s="79"/>
      <c r="O394" s="79"/>
      <c r="S394" s="79"/>
      <c r="T394" s="79"/>
      <c r="Y394" s="79"/>
      <c r="AC394" s="130"/>
      <c r="AE394" s="106"/>
    </row>
    <row r="395">
      <c r="C395" s="79"/>
      <c r="D395" s="79"/>
      <c r="E395" s="79"/>
      <c r="O395" s="79"/>
      <c r="S395" s="79"/>
      <c r="T395" s="79"/>
      <c r="Y395" s="79"/>
      <c r="AC395" s="130"/>
      <c r="AE395" s="106"/>
    </row>
    <row r="396">
      <c r="C396" s="79"/>
      <c r="D396" s="79"/>
      <c r="E396" s="79"/>
      <c r="O396" s="79"/>
      <c r="S396" s="79"/>
      <c r="T396" s="79"/>
      <c r="Y396" s="79"/>
      <c r="AC396" s="130"/>
      <c r="AE396" s="106"/>
    </row>
    <row r="397">
      <c r="C397" s="79"/>
      <c r="D397" s="79"/>
      <c r="E397" s="79"/>
      <c r="O397" s="79"/>
      <c r="S397" s="79"/>
      <c r="T397" s="79"/>
      <c r="Y397" s="79"/>
      <c r="AC397" s="130"/>
      <c r="AE397" s="106"/>
    </row>
    <row r="398">
      <c r="C398" s="79"/>
      <c r="D398" s="79"/>
      <c r="E398" s="79"/>
      <c r="O398" s="79"/>
      <c r="S398" s="79"/>
      <c r="T398" s="79"/>
      <c r="Y398" s="79"/>
      <c r="AC398" s="130"/>
      <c r="AE398" s="106"/>
    </row>
    <row r="399">
      <c r="C399" s="79"/>
      <c r="D399" s="79"/>
      <c r="E399" s="79"/>
      <c r="O399" s="79"/>
      <c r="S399" s="79"/>
      <c r="T399" s="79"/>
      <c r="Y399" s="79"/>
      <c r="AC399" s="130"/>
      <c r="AE399" s="106"/>
    </row>
    <row r="400">
      <c r="C400" s="79"/>
      <c r="D400" s="79"/>
      <c r="E400" s="79"/>
      <c r="O400" s="79"/>
      <c r="S400" s="79"/>
      <c r="T400" s="79"/>
      <c r="Y400" s="79"/>
      <c r="AC400" s="130"/>
      <c r="AE400" s="106"/>
    </row>
    <row r="401">
      <c r="C401" s="79"/>
      <c r="D401" s="79"/>
      <c r="E401" s="79"/>
      <c r="O401" s="79"/>
      <c r="S401" s="79"/>
      <c r="T401" s="79"/>
      <c r="Y401" s="79"/>
      <c r="AC401" s="130"/>
      <c r="AE401" s="106"/>
    </row>
    <row r="402">
      <c r="C402" s="79"/>
      <c r="D402" s="79"/>
      <c r="E402" s="79"/>
      <c r="O402" s="79"/>
      <c r="S402" s="79"/>
      <c r="T402" s="79"/>
      <c r="Y402" s="79"/>
      <c r="AC402" s="130"/>
      <c r="AE402" s="106"/>
    </row>
    <row r="403">
      <c r="C403" s="79"/>
      <c r="D403" s="79"/>
      <c r="E403" s="79"/>
      <c r="O403" s="79"/>
      <c r="S403" s="79"/>
      <c r="T403" s="79"/>
      <c r="Y403" s="79"/>
      <c r="AC403" s="130"/>
      <c r="AE403" s="106"/>
    </row>
    <row r="404">
      <c r="C404" s="79"/>
      <c r="D404" s="79"/>
      <c r="E404" s="79"/>
      <c r="O404" s="79"/>
      <c r="S404" s="79"/>
      <c r="T404" s="79"/>
      <c r="Y404" s="79"/>
      <c r="AC404" s="130"/>
      <c r="AE404" s="106"/>
    </row>
    <row r="405">
      <c r="C405" s="79"/>
      <c r="D405" s="79"/>
      <c r="E405" s="79"/>
      <c r="O405" s="79"/>
      <c r="S405" s="79"/>
      <c r="T405" s="79"/>
      <c r="Y405" s="79"/>
      <c r="AC405" s="130"/>
      <c r="AE405" s="106"/>
    </row>
    <row r="406">
      <c r="C406" s="79"/>
      <c r="D406" s="79"/>
      <c r="E406" s="79"/>
      <c r="O406" s="79"/>
      <c r="S406" s="79"/>
      <c r="T406" s="79"/>
      <c r="Y406" s="79"/>
      <c r="AC406" s="130"/>
      <c r="AE406" s="106"/>
    </row>
    <row r="407">
      <c r="C407" s="79"/>
      <c r="D407" s="79"/>
      <c r="E407" s="79"/>
      <c r="O407" s="79"/>
      <c r="S407" s="79"/>
      <c r="T407" s="79"/>
      <c r="Y407" s="79"/>
      <c r="AC407" s="130"/>
      <c r="AE407" s="106"/>
    </row>
    <row r="408">
      <c r="C408" s="79"/>
      <c r="D408" s="79"/>
      <c r="E408" s="79"/>
      <c r="O408" s="79"/>
      <c r="S408" s="79"/>
      <c r="T408" s="79"/>
      <c r="Y408" s="79"/>
      <c r="AC408" s="130"/>
      <c r="AE408" s="106"/>
    </row>
    <row r="409">
      <c r="C409" s="79"/>
      <c r="D409" s="79"/>
      <c r="E409" s="79"/>
      <c r="O409" s="79"/>
      <c r="S409" s="79"/>
      <c r="T409" s="79"/>
      <c r="Y409" s="79"/>
      <c r="AC409" s="130"/>
      <c r="AE409" s="106"/>
    </row>
    <row r="410">
      <c r="C410" s="79"/>
      <c r="D410" s="79"/>
      <c r="E410" s="79"/>
      <c r="O410" s="79"/>
      <c r="S410" s="79"/>
      <c r="T410" s="79"/>
      <c r="Y410" s="79"/>
      <c r="AC410" s="130"/>
      <c r="AE410" s="106"/>
    </row>
    <row r="411">
      <c r="C411" s="79"/>
      <c r="D411" s="79"/>
      <c r="E411" s="79"/>
      <c r="O411" s="79"/>
      <c r="S411" s="79"/>
      <c r="T411" s="79"/>
      <c r="Y411" s="79"/>
      <c r="AC411" s="130"/>
      <c r="AE411" s="106"/>
    </row>
    <row r="412">
      <c r="C412" s="79"/>
      <c r="D412" s="79"/>
      <c r="E412" s="79"/>
      <c r="O412" s="79"/>
      <c r="S412" s="79"/>
      <c r="T412" s="79"/>
      <c r="Y412" s="79"/>
      <c r="AC412" s="130"/>
      <c r="AE412" s="106"/>
    </row>
    <row r="413">
      <c r="C413" s="79"/>
      <c r="D413" s="79"/>
      <c r="E413" s="79"/>
      <c r="O413" s="79"/>
      <c r="S413" s="79"/>
      <c r="T413" s="79"/>
      <c r="Y413" s="79"/>
      <c r="AC413" s="130"/>
      <c r="AE413" s="106"/>
    </row>
    <row r="414">
      <c r="C414" s="79"/>
      <c r="D414" s="79"/>
      <c r="E414" s="79"/>
      <c r="O414" s="79"/>
      <c r="S414" s="79"/>
      <c r="T414" s="79"/>
      <c r="Y414" s="79"/>
      <c r="AC414" s="130"/>
      <c r="AE414" s="106"/>
    </row>
    <row r="415">
      <c r="C415" s="79"/>
      <c r="D415" s="79"/>
      <c r="E415" s="79"/>
      <c r="O415" s="79"/>
      <c r="S415" s="79"/>
      <c r="T415" s="79"/>
      <c r="Y415" s="79"/>
      <c r="AC415" s="130"/>
      <c r="AE415" s="106"/>
    </row>
    <row r="416">
      <c r="C416" s="79"/>
      <c r="D416" s="79"/>
      <c r="E416" s="79"/>
      <c r="O416" s="79"/>
      <c r="S416" s="79"/>
      <c r="T416" s="79"/>
      <c r="Y416" s="79"/>
      <c r="AC416" s="130"/>
      <c r="AE416" s="106"/>
    </row>
    <row r="417">
      <c r="C417" s="79"/>
      <c r="D417" s="79"/>
      <c r="E417" s="79"/>
      <c r="O417" s="79"/>
      <c r="S417" s="79"/>
      <c r="T417" s="79"/>
      <c r="Y417" s="79"/>
      <c r="AC417" s="130"/>
      <c r="AE417" s="106"/>
    </row>
    <row r="418">
      <c r="C418" s="79"/>
      <c r="D418" s="79"/>
      <c r="E418" s="79"/>
      <c r="O418" s="79"/>
      <c r="S418" s="79"/>
      <c r="T418" s="79"/>
      <c r="Y418" s="79"/>
      <c r="AC418" s="130"/>
      <c r="AE418" s="106"/>
    </row>
    <row r="419">
      <c r="C419" s="79"/>
      <c r="D419" s="79"/>
      <c r="E419" s="79"/>
      <c r="O419" s="79"/>
      <c r="S419" s="79"/>
      <c r="T419" s="79"/>
      <c r="Y419" s="79"/>
      <c r="AC419" s="130"/>
      <c r="AE419" s="106"/>
    </row>
    <row r="420">
      <c r="C420" s="79"/>
      <c r="D420" s="79"/>
      <c r="E420" s="79"/>
      <c r="O420" s="79"/>
      <c r="S420" s="79"/>
      <c r="T420" s="79"/>
      <c r="Y420" s="79"/>
      <c r="AC420" s="130"/>
      <c r="AE420" s="106"/>
    </row>
    <row r="421">
      <c r="C421" s="79"/>
      <c r="D421" s="79"/>
      <c r="E421" s="79"/>
      <c r="O421" s="79"/>
      <c r="S421" s="79"/>
      <c r="T421" s="79"/>
      <c r="Y421" s="79"/>
      <c r="AC421" s="130"/>
      <c r="AE421" s="106"/>
    </row>
    <row r="422">
      <c r="C422" s="79"/>
      <c r="D422" s="79"/>
      <c r="E422" s="79"/>
      <c r="O422" s="79"/>
      <c r="S422" s="79"/>
      <c r="T422" s="79"/>
      <c r="Y422" s="79"/>
      <c r="AC422" s="130"/>
      <c r="AE422" s="106"/>
    </row>
    <row r="423">
      <c r="C423" s="79"/>
      <c r="D423" s="79"/>
      <c r="E423" s="79"/>
      <c r="O423" s="79"/>
      <c r="S423" s="79"/>
      <c r="T423" s="79"/>
      <c r="Y423" s="79"/>
      <c r="AC423" s="130"/>
      <c r="AE423" s="106"/>
    </row>
    <row r="424">
      <c r="C424" s="79"/>
      <c r="D424" s="79"/>
      <c r="E424" s="79"/>
      <c r="O424" s="79"/>
      <c r="S424" s="79"/>
      <c r="T424" s="79"/>
      <c r="Y424" s="79"/>
      <c r="AC424" s="130"/>
      <c r="AE424" s="106"/>
    </row>
    <row r="425">
      <c r="C425" s="79"/>
      <c r="D425" s="79"/>
      <c r="E425" s="79"/>
      <c r="O425" s="79"/>
      <c r="S425" s="79"/>
      <c r="T425" s="79"/>
      <c r="Y425" s="79"/>
      <c r="AC425" s="130"/>
      <c r="AE425" s="106"/>
    </row>
    <row r="426">
      <c r="C426" s="79"/>
      <c r="D426" s="79"/>
      <c r="E426" s="79"/>
      <c r="O426" s="79"/>
      <c r="S426" s="79"/>
      <c r="T426" s="79"/>
      <c r="Y426" s="79"/>
      <c r="AC426" s="130"/>
      <c r="AE426" s="106"/>
    </row>
    <row r="427">
      <c r="C427" s="79"/>
      <c r="D427" s="79"/>
      <c r="E427" s="79"/>
      <c r="O427" s="79"/>
      <c r="S427" s="79"/>
      <c r="T427" s="79"/>
      <c r="Y427" s="79"/>
      <c r="AC427" s="130"/>
      <c r="AE427" s="106"/>
    </row>
    <row r="428">
      <c r="C428" s="79"/>
      <c r="D428" s="79"/>
      <c r="E428" s="79"/>
      <c r="O428" s="79"/>
      <c r="S428" s="79"/>
      <c r="T428" s="79"/>
      <c r="Y428" s="79"/>
      <c r="AC428" s="130"/>
      <c r="AE428" s="106"/>
    </row>
    <row r="429">
      <c r="C429" s="79"/>
      <c r="D429" s="79"/>
      <c r="E429" s="79"/>
      <c r="O429" s="79"/>
      <c r="S429" s="79"/>
      <c r="T429" s="79"/>
      <c r="Y429" s="79"/>
      <c r="AC429" s="130"/>
      <c r="AE429" s="106"/>
    </row>
    <row r="430">
      <c r="C430" s="79"/>
      <c r="D430" s="79"/>
      <c r="E430" s="79"/>
      <c r="O430" s="79"/>
      <c r="S430" s="79"/>
      <c r="T430" s="79"/>
      <c r="Y430" s="79"/>
      <c r="AC430" s="130"/>
      <c r="AE430" s="106"/>
    </row>
    <row r="431">
      <c r="C431" s="79"/>
      <c r="D431" s="79"/>
      <c r="E431" s="79"/>
      <c r="O431" s="79"/>
      <c r="S431" s="79"/>
      <c r="T431" s="79"/>
      <c r="Y431" s="79"/>
      <c r="AC431" s="130"/>
      <c r="AE431" s="106"/>
    </row>
    <row r="432">
      <c r="C432" s="79"/>
      <c r="D432" s="79"/>
      <c r="E432" s="79"/>
      <c r="O432" s="79"/>
      <c r="S432" s="79"/>
      <c r="T432" s="79"/>
      <c r="Y432" s="79"/>
      <c r="AC432" s="130"/>
      <c r="AE432" s="106"/>
    </row>
    <row r="433">
      <c r="C433" s="79"/>
      <c r="D433" s="79"/>
      <c r="E433" s="79"/>
      <c r="O433" s="79"/>
      <c r="S433" s="79"/>
      <c r="T433" s="79"/>
      <c r="Y433" s="79"/>
      <c r="AC433" s="130"/>
      <c r="AE433" s="106"/>
    </row>
    <row r="434">
      <c r="C434" s="79"/>
      <c r="D434" s="79"/>
      <c r="E434" s="79"/>
      <c r="O434" s="79"/>
      <c r="S434" s="79"/>
      <c r="T434" s="79"/>
      <c r="Y434" s="79"/>
      <c r="AC434" s="130"/>
      <c r="AE434" s="106"/>
    </row>
    <row r="435">
      <c r="C435" s="79"/>
      <c r="D435" s="79"/>
      <c r="E435" s="79"/>
      <c r="O435" s="79"/>
      <c r="S435" s="79"/>
      <c r="T435" s="79"/>
      <c r="Y435" s="79"/>
      <c r="AC435" s="130"/>
      <c r="AE435" s="106"/>
    </row>
    <row r="436">
      <c r="C436" s="79"/>
      <c r="D436" s="79"/>
      <c r="E436" s="79"/>
      <c r="O436" s="79"/>
      <c r="S436" s="79"/>
      <c r="T436" s="79"/>
      <c r="Y436" s="79"/>
      <c r="AC436" s="130"/>
      <c r="AE436" s="106"/>
    </row>
    <row r="437">
      <c r="C437" s="79"/>
      <c r="D437" s="79"/>
      <c r="E437" s="79"/>
      <c r="O437" s="79"/>
      <c r="S437" s="79"/>
      <c r="T437" s="79"/>
      <c r="Y437" s="79"/>
      <c r="AC437" s="130"/>
      <c r="AE437" s="106"/>
    </row>
    <row r="438">
      <c r="C438" s="79"/>
      <c r="D438" s="79"/>
      <c r="E438" s="79"/>
      <c r="O438" s="79"/>
      <c r="S438" s="79"/>
      <c r="T438" s="79"/>
      <c r="Y438" s="79"/>
      <c r="AC438" s="130"/>
      <c r="AE438" s="106"/>
    </row>
    <row r="439">
      <c r="C439" s="79"/>
      <c r="D439" s="79"/>
      <c r="E439" s="79"/>
      <c r="O439" s="79"/>
      <c r="S439" s="79"/>
      <c r="T439" s="79"/>
      <c r="Y439" s="79"/>
      <c r="AC439" s="130"/>
      <c r="AE439" s="106"/>
    </row>
    <row r="440">
      <c r="C440" s="79"/>
      <c r="D440" s="79"/>
      <c r="E440" s="79"/>
      <c r="O440" s="79"/>
      <c r="S440" s="79"/>
      <c r="T440" s="79"/>
      <c r="Y440" s="79"/>
      <c r="AC440" s="130"/>
      <c r="AE440" s="106"/>
    </row>
    <row r="441">
      <c r="C441" s="79"/>
      <c r="D441" s="79"/>
      <c r="E441" s="79"/>
      <c r="O441" s="79"/>
      <c r="S441" s="79"/>
      <c r="T441" s="79"/>
      <c r="Y441" s="79"/>
      <c r="AC441" s="130"/>
      <c r="AE441" s="106"/>
    </row>
    <row r="442">
      <c r="C442" s="79"/>
      <c r="D442" s="79"/>
      <c r="E442" s="79"/>
      <c r="O442" s="79"/>
      <c r="S442" s="79"/>
      <c r="T442" s="79"/>
      <c r="Y442" s="79"/>
      <c r="AC442" s="130"/>
      <c r="AE442" s="106"/>
    </row>
    <row r="443">
      <c r="C443" s="79"/>
      <c r="D443" s="79"/>
      <c r="E443" s="79"/>
      <c r="O443" s="79"/>
      <c r="S443" s="79"/>
      <c r="T443" s="79"/>
      <c r="Y443" s="79"/>
      <c r="AC443" s="130"/>
      <c r="AE443" s="106"/>
    </row>
    <row r="444">
      <c r="C444" s="79"/>
      <c r="D444" s="79"/>
      <c r="E444" s="79"/>
      <c r="O444" s="79"/>
      <c r="S444" s="79"/>
      <c r="T444" s="79"/>
      <c r="Y444" s="79"/>
      <c r="AC444" s="130"/>
      <c r="AE444" s="106"/>
    </row>
    <row r="445">
      <c r="C445" s="79"/>
      <c r="D445" s="79"/>
      <c r="E445" s="79"/>
      <c r="O445" s="79"/>
      <c r="S445" s="79"/>
      <c r="T445" s="79"/>
      <c r="Y445" s="79"/>
      <c r="AC445" s="130"/>
      <c r="AE445" s="106"/>
    </row>
    <row r="446">
      <c r="C446" s="79"/>
      <c r="D446" s="79"/>
      <c r="E446" s="79"/>
      <c r="O446" s="79"/>
      <c r="S446" s="79"/>
      <c r="T446" s="79"/>
      <c r="Y446" s="79"/>
      <c r="AC446" s="130"/>
      <c r="AE446" s="106"/>
    </row>
    <row r="447">
      <c r="C447" s="79"/>
      <c r="D447" s="79"/>
      <c r="E447" s="79"/>
      <c r="O447" s="79"/>
      <c r="S447" s="79"/>
      <c r="T447" s="79"/>
      <c r="Y447" s="79"/>
      <c r="AC447" s="130"/>
      <c r="AE447" s="106"/>
    </row>
    <row r="448">
      <c r="C448" s="79"/>
      <c r="D448" s="79"/>
      <c r="E448" s="79"/>
      <c r="O448" s="79"/>
      <c r="S448" s="79"/>
      <c r="T448" s="79"/>
      <c r="Y448" s="79"/>
      <c r="AC448" s="130"/>
      <c r="AE448" s="106"/>
    </row>
    <row r="449">
      <c r="C449" s="79"/>
      <c r="D449" s="79"/>
      <c r="E449" s="79"/>
      <c r="O449" s="79"/>
      <c r="S449" s="79"/>
      <c r="T449" s="79"/>
      <c r="Y449" s="79"/>
      <c r="AC449" s="130"/>
      <c r="AE449" s="106"/>
    </row>
    <row r="450">
      <c r="C450" s="79"/>
      <c r="D450" s="79"/>
      <c r="E450" s="79"/>
      <c r="O450" s="79"/>
      <c r="S450" s="79"/>
      <c r="T450" s="79"/>
      <c r="Y450" s="79"/>
      <c r="AC450" s="130"/>
      <c r="AE450" s="106"/>
    </row>
    <row r="451">
      <c r="C451" s="79"/>
      <c r="D451" s="79"/>
      <c r="E451" s="79"/>
      <c r="O451" s="79"/>
      <c r="S451" s="79"/>
      <c r="T451" s="79"/>
      <c r="Y451" s="79"/>
      <c r="AC451" s="130"/>
      <c r="AE451" s="106"/>
    </row>
    <row r="452">
      <c r="C452" s="79"/>
      <c r="D452" s="79"/>
      <c r="E452" s="79"/>
      <c r="O452" s="79"/>
      <c r="S452" s="79"/>
      <c r="T452" s="79"/>
      <c r="Y452" s="79"/>
      <c r="AC452" s="130"/>
      <c r="AE452" s="106"/>
    </row>
    <row r="453">
      <c r="C453" s="79"/>
      <c r="D453" s="79"/>
      <c r="E453" s="79"/>
      <c r="O453" s="79"/>
      <c r="S453" s="79"/>
      <c r="T453" s="79"/>
      <c r="Y453" s="79"/>
      <c r="AC453" s="130"/>
      <c r="AE453" s="106"/>
    </row>
    <row r="454">
      <c r="C454" s="79"/>
      <c r="D454" s="79"/>
      <c r="E454" s="79"/>
      <c r="O454" s="79"/>
      <c r="S454" s="79"/>
      <c r="T454" s="79"/>
      <c r="Y454" s="79"/>
      <c r="AC454" s="130"/>
      <c r="AE454" s="106"/>
    </row>
    <row r="455">
      <c r="C455" s="79"/>
      <c r="D455" s="79"/>
      <c r="E455" s="79"/>
      <c r="O455" s="79"/>
      <c r="S455" s="79"/>
      <c r="T455" s="79"/>
      <c r="Y455" s="79"/>
      <c r="AC455" s="130"/>
      <c r="AE455" s="106"/>
    </row>
    <row r="456">
      <c r="C456" s="79"/>
      <c r="D456" s="79"/>
      <c r="E456" s="79"/>
      <c r="O456" s="79"/>
      <c r="S456" s="79"/>
      <c r="T456" s="79"/>
      <c r="Y456" s="79"/>
      <c r="AC456" s="130"/>
      <c r="AE456" s="106"/>
    </row>
    <row r="457">
      <c r="C457" s="79"/>
      <c r="D457" s="79"/>
      <c r="E457" s="79"/>
      <c r="O457" s="79"/>
      <c r="S457" s="79"/>
      <c r="T457" s="79"/>
      <c r="Y457" s="79"/>
      <c r="AC457" s="130"/>
      <c r="AE457" s="106"/>
    </row>
    <row r="458">
      <c r="C458" s="79"/>
      <c r="D458" s="79"/>
      <c r="E458" s="79"/>
      <c r="O458" s="79"/>
      <c r="S458" s="79"/>
      <c r="T458" s="79"/>
      <c r="Y458" s="79"/>
      <c r="AC458" s="130"/>
      <c r="AE458" s="106"/>
    </row>
    <row r="459">
      <c r="C459" s="79"/>
      <c r="D459" s="79"/>
      <c r="E459" s="79"/>
      <c r="O459" s="79"/>
      <c r="S459" s="79"/>
      <c r="T459" s="79"/>
      <c r="Y459" s="79"/>
      <c r="AC459" s="130"/>
      <c r="AE459" s="106"/>
    </row>
    <row r="460">
      <c r="C460" s="79"/>
      <c r="D460" s="79"/>
      <c r="E460" s="79"/>
      <c r="O460" s="79"/>
      <c r="S460" s="79"/>
      <c r="T460" s="79"/>
      <c r="Y460" s="79"/>
      <c r="AC460" s="130"/>
      <c r="AE460" s="106"/>
    </row>
    <row r="461">
      <c r="C461" s="79"/>
      <c r="D461" s="79"/>
      <c r="E461" s="79"/>
      <c r="O461" s="79"/>
      <c r="S461" s="79"/>
      <c r="T461" s="79"/>
      <c r="Y461" s="79"/>
      <c r="AC461" s="130"/>
      <c r="AE461" s="106"/>
    </row>
    <row r="462">
      <c r="C462" s="79"/>
      <c r="D462" s="79"/>
      <c r="E462" s="79"/>
      <c r="O462" s="79"/>
      <c r="S462" s="79"/>
      <c r="T462" s="79"/>
      <c r="Y462" s="79"/>
      <c r="AC462" s="130"/>
      <c r="AE462" s="106"/>
    </row>
    <row r="463">
      <c r="C463" s="79"/>
      <c r="D463" s="79"/>
      <c r="E463" s="79"/>
      <c r="O463" s="79"/>
      <c r="S463" s="79"/>
      <c r="T463" s="79"/>
      <c r="Y463" s="79"/>
      <c r="AC463" s="130"/>
      <c r="AE463" s="106"/>
    </row>
    <row r="464">
      <c r="C464" s="79"/>
      <c r="D464" s="79"/>
      <c r="E464" s="79"/>
      <c r="O464" s="79"/>
      <c r="S464" s="79"/>
      <c r="T464" s="79"/>
      <c r="Y464" s="79"/>
      <c r="AC464" s="130"/>
      <c r="AE464" s="106"/>
    </row>
    <row r="465">
      <c r="C465" s="79"/>
      <c r="D465" s="79"/>
      <c r="E465" s="79"/>
      <c r="O465" s="79"/>
      <c r="S465" s="79"/>
      <c r="T465" s="79"/>
      <c r="Y465" s="79"/>
      <c r="AC465" s="130"/>
      <c r="AE465" s="106"/>
    </row>
    <row r="466">
      <c r="C466" s="79"/>
      <c r="D466" s="79"/>
      <c r="E466" s="79"/>
      <c r="O466" s="79"/>
      <c r="S466" s="79"/>
      <c r="T466" s="79"/>
      <c r="Y466" s="79"/>
      <c r="AC466" s="130"/>
      <c r="AE466" s="106"/>
    </row>
    <row r="467">
      <c r="C467" s="79"/>
      <c r="D467" s="79"/>
      <c r="E467" s="79"/>
      <c r="O467" s="79"/>
      <c r="S467" s="79"/>
      <c r="T467" s="79"/>
      <c r="Y467" s="79"/>
      <c r="AC467" s="130"/>
      <c r="AE467" s="106"/>
    </row>
    <row r="468">
      <c r="C468" s="79"/>
      <c r="D468" s="79"/>
      <c r="E468" s="79"/>
      <c r="O468" s="79"/>
      <c r="S468" s="79"/>
      <c r="T468" s="79"/>
      <c r="Y468" s="79"/>
      <c r="AC468" s="130"/>
      <c r="AE468" s="106"/>
    </row>
    <row r="469">
      <c r="C469" s="79"/>
      <c r="D469" s="79"/>
      <c r="E469" s="79"/>
      <c r="O469" s="79"/>
      <c r="S469" s="79"/>
      <c r="T469" s="79"/>
      <c r="Y469" s="79"/>
      <c r="AC469" s="130"/>
      <c r="AE469" s="106"/>
    </row>
    <row r="470">
      <c r="C470" s="79"/>
      <c r="D470" s="79"/>
      <c r="E470" s="79"/>
      <c r="O470" s="79"/>
      <c r="S470" s="79"/>
      <c r="T470" s="79"/>
      <c r="Y470" s="79"/>
      <c r="AC470" s="130"/>
      <c r="AE470" s="106"/>
    </row>
    <row r="471">
      <c r="C471" s="79"/>
      <c r="D471" s="79"/>
      <c r="E471" s="79"/>
      <c r="O471" s="79"/>
      <c r="S471" s="79"/>
      <c r="T471" s="79"/>
      <c r="Y471" s="79"/>
      <c r="AC471" s="130"/>
      <c r="AE471" s="106"/>
    </row>
    <row r="472">
      <c r="C472" s="79"/>
      <c r="D472" s="79"/>
      <c r="E472" s="79"/>
      <c r="O472" s="79"/>
      <c r="S472" s="79"/>
      <c r="T472" s="79"/>
      <c r="Y472" s="79"/>
      <c r="AC472" s="130"/>
      <c r="AE472" s="106"/>
    </row>
    <row r="473">
      <c r="C473" s="79"/>
      <c r="D473" s="79"/>
      <c r="E473" s="79"/>
      <c r="O473" s="79"/>
      <c r="S473" s="79"/>
      <c r="T473" s="79"/>
      <c r="Y473" s="79"/>
      <c r="AC473" s="130"/>
      <c r="AE473" s="106"/>
    </row>
    <row r="474">
      <c r="C474" s="79"/>
      <c r="D474" s="79"/>
      <c r="E474" s="79"/>
      <c r="O474" s="79"/>
      <c r="S474" s="79"/>
      <c r="T474" s="79"/>
      <c r="Y474" s="79"/>
      <c r="AC474" s="130"/>
      <c r="AE474" s="106"/>
    </row>
    <row r="475">
      <c r="C475" s="79"/>
      <c r="D475" s="79"/>
      <c r="E475" s="79"/>
      <c r="O475" s="79"/>
      <c r="S475" s="79"/>
      <c r="T475" s="79"/>
      <c r="Y475" s="79"/>
      <c r="AC475" s="130"/>
      <c r="AE475" s="106"/>
    </row>
    <row r="476">
      <c r="C476" s="79"/>
      <c r="D476" s="79"/>
      <c r="E476" s="79"/>
      <c r="O476" s="79"/>
      <c r="S476" s="79"/>
      <c r="T476" s="79"/>
      <c r="Y476" s="79"/>
      <c r="AC476" s="130"/>
      <c r="AE476" s="106"/>
    </row>
    <row r="477">
      <c r="C477" s="79"/>
      <c r="D477" s="79"/>
      <c r="E477" s="79"/>
      <c r="O477" s="79"/>
      <c r="S477" s="79"/>
      <c r="T477" s="79"/>
      <c r="Y477" s="79"/>
      <c r="AC477" s="130"/>
      <c r="AE477" s="106"/>
    </row>
    <row r="478">
      <c r="C478" s="79"/>
      <c r="D478" s="79"/>
      <c r="E478" s="79"/>
      <c r="O478" s="79"/>
      <c r="S478" s="79"/>
      <c r="T478" s="79"/>
      <c r="Y478" s="79"/>
      <c r="AC478" s="130"/>
      <c r="AE478" s="106"/>
    </row>
    <row r="479">
      <c r="C479" s="79"/>
      <c r="D479" s="79"/>
      <c r="E479" s="79"/>
      <c r="O479" s="79"/>
      <c r="S479" s="79"/>
      <c r="T479" s="79"/>
      <c r="Y479" s="79"/>
      <c r="AC479" s="130"/>
      <c r="AE479" s="106"/>
    </row>
    <row r="480">
      <c r="C480" s="79"/>
      <c r="D480" s="79"/>
      <c r="E480" s="79"/>
      <c r="O480" s="79"/>
      <c r="S480" s="79"/>
      <c r="T480" s="79"/>
      <c r="Y480" s="79"/>
      <c r="AC480" s="130"/>
      <c r="AE480" s="106"/>
    </row>
    <row r="481">
      <c r="C481" s="79"/>
      <c r="D481" s="79"/>
      <c r="E481" s="79"/>
      <c r="O481" s="79"/>
      <c r="S481" s="79"/>
      <c r="T481" s="79"/>
      <c r="Y481" s="79"/>
      <c r="AC481" s="130"/>
      <c r="AE481" s="106"/>
    </row>
    <row r="482">
      <c r="C482" s="79"/>
      <c r="D482" s="79"/>
      <c r="E482" s="79"/>
      <c r="O482" s="79"/>
      <c r="S482" s="79"/>
      <c r="T482" s="79"/>
      <c r="Y482" s="79"/>
      <c r="AC482" s="130"/>
      <c r="AE482" s="106"/>
    </row>
    <row r="483">
      <c r="C483" s="79"/>
      <c r="D483" s="79"/>
      <c r="E483" s="79"/>
      <c r="O483" s="79"/>
      <c r="S483" s="79"/>
      <c r="T483" s="79"/>
      <c r="Y483" s="79"/>
      <c r="AC483" s="130"/>
      <c r="AE483" s="106"/>
    </row>
    <row r="484">
      <c r="C484" s="79"/>
      <c r="D484" s="79"/>
      <c r="E484" s="79"/>
      <c r="O484" s="79"/>
      <c r="S484" s="79"/>
      <c r="T484" s="79"/>
      <c r="Y484" s="79"/>
      <c r="AC484" s="130"/>
      <c r="AE484" s="106"/>
    </row>
    <row r="485">
      <c r="C485" s="79"/>
      <c r="D485" s="79"/>
      <c r="E485" s="79"/>
      <c r="O485" s="79"/>
      <c r="S485" s="79"/>
      <c r="T485" s="79"/>
      <c r="Y485" s="79"/>
      <c r="AC485" s="130"/>
      <c r="AE485" s="106"/>
    </row>
    <row r="486">
      <c r="C486" s="79"/>
      <c r="D486" s="79"/>
      <c r="E486" s="79"/>
      <c r="O486" s="79"/>
      <c r="S486" s="79"/>
      <c r="T486" s="79"/>
      <c r="Y486" s="79"/>
      <c r="AC486" s="130"/>
      <c r="AE486" s="106"/>
    </row>
    <row r="487">
      <c r="C487" s="79"/>
      <c r="D487" s="79"/>
      <c r="E487" s="79"/>
      <c r="O487" s="79"/>
      <c r="S487" s="79"/>
      <c r="T487" s="79"/>
      <c r="Y487" s="79"/>
      <c r="AC487" s="130"/>
      <c r="AE487" s="106"/>
    </row>
    <row r="488">
      <c r="C488" s="79"/>
      <c r="D488" s="79"/>
      <c r="E488" s="79"/>
      <c r="O488" s="79"/>
      <c r="S488" s="79"/>
      <c r="T488" s="79"/>
      <c r="Y488" s="79"/>
      <c r="AC488" s="130"/>
      <c r="AE488" s="106"/>
    </row>
    <row r="489">
      <c r="C489" s="79"/>
      <c r="D489" s="79"/>
      <c r="E489" s="79"/>
      <c r="O489" s="79"/>
      <c r="S489" s="79"/>
      <c r="T489" s="79"/>
      <c r="Y489" s="79"/>
      <c r="AC489" s="130"/>
      <c r="AE489" s="106"/>
    </row>
    <row r="490">
      <c r="C490" s="79"/>
      <c r="D490" s="79"/>
      <c r="E490" s="79"/>
      <c r="O490" s="79"/>
      <c r="S490" s="79"/>
      <c r="T490" s="79"/>
      <c r="Y490" s="79"/>
      <c r="AC490" s="130"/>
      <c r="AE490" s="106"/>
    </row>
    <row r="491">
      <c r="C491" s="79"/>
      <c r="D491" s="79"/>
      <c r="E491" s="79"/>
      <c r="O491" s="79"/>
      <c r="S491" s="79"/>
      <c r="T491" s="79"/>
      <c r="Y491" s="79"/>
      <c r="AC491" s="130"/>
      <c r="AE491" s="106"/>
    </row>
    <row r="492">
      <c r="C492" s="79"/>
      <c r="D492" s="79"/>
      <c r="E492" s="79"/>
      <c r="O492" s="79"/>
      <c r="S492" s="79"/>
      <c r="T492" s="79"/>
      <c r="Y492" s="79"/>
      <c r="AC492" s="130"/>
      <c r="AE492" s="106"/>
    </row>
    <row r="493">
      <c r="C493" s="79"/>
      <c r="D493" s="79"/>
      <c r="E493" s="79"/>
      <c r="O493" s="79"/>
      <c r="S493" s="79"/>
      <c r="T493" s="79"/>
      <c r="Y493" s="79"/>
      <c r="AC493" s="130"/>
      <c r="AE493" s="106"/>
    </row>
    <row r="494">
      <c r="C494" s="79"/>
      <c r="D494" s="79"/>
      <c r="E494" s="79"/>
      <c r="O494" s="79"/>
      <c r="S494" s="79"/>
      <c r="T494" s="79"/>
      <c r="Y494" s="79"/>
      <c r="AC494" s="130"/>
      <c r="AE494" s="106"/>
    </row>
    <row r="495">
      <c r="C495" s="79"/>
      <c r="D495" s="79"/>
      <c r="E495" s="79"/>
      <c r="O495" s="79"/>
      <c r="S495" s="79"/>
      <c r="T495" s="79"/>
      <c r="Y495" s="79"/>
      <c r="AC495" s="130"/>
      <c r="AE495" s="106"/>
    </row>
    <row r="496">
      <c r="C496" s="79"/>
      <c r="D496" s="79"/>
      <c r="E496" s="79"/>
      <c r="O496" s="79"/>
      <c r="S496" s="79"/>
      <c r="T496" s="79"/>
      <c r="Y496" s="79"/>
      <c r="AC496" s="130"/>
      <c r="AE496" s="106"/>
    </row>
    <row r="497">
      <c r="C497" s="79"/>
      <c r="D497" s="79"/>
      <c r="E497" s="79"/>
      <c r="O497" s="79"/>
      <c r="S497" s="79"/>
      <c r="T497" s="79"/>
      <c r="Y497" s="79"/>
      <c r="AC497" s="130"/>
      <c r="AE497" s="106"/>
    </row>
    <row r="498">
      <c r="C498" s="79"/>
      <c r="D498" s="79"/>
      <c r="E498" s="79"/>
      <c r="O498" s="79"/>
      <c r="S498" s="79"/>
      <c r="T498" s="79"/>
      <c r="Y498" s="79"/>
      <c r="AC498" s="130"/>
      <c r="AE498" s="106"/>
    </row>
    <row r="499">
      <c r="C499" s="79"/>
      <c r="D499" s="79"/>
      <c r="E499" s="79"/>
      <c r="O499" s="79"/>
      <c r="S499" s="79"/>
      <c r="T499" s="79"/>
      <c r="Y499" s="79"/>
      <c r="AC499" s="130"/>
      <c r="AE499" s="106"/>
    </row>
    <row r="500">
      <c r="C500" s="79"/>
      <c r="D500" s="79"/>
      <c r="E500" s="79"/>
      <c r="O500" s="79"/>
      <c r="S500" s="79"/>
      <c r="T500" s="79"/>
      <c r="Y500" s="79"/>
      <c r="AC500" s="130"/>
      <c r="AE500" s="106"/>
    </row>
    <row r="501">
      <c r="C501" s="79"/>
      <c r="D501" s="79"/>
      <c r="E501" s="79"/>
      <c r="O501" s="79"/>
      <c r="S501" s="79"/>
      <c r="T501" s="79"/>
      <c r="Y501" s="79"/>
      <c r="AC501" s="130"/>
      <c r="AE501" s="106"/>
    </row>
    <row r="502">
      <c r="C502" s="79"/>
      <c r="D502" s="79"/>
      <c r="E502" s="79"/>
      <c r="O502" s="79"/>
      <c r="S502" s="79"/>
      <c r="T502" s="79"/>
      <c r="Y502" s="79"/>
      <c r="AC502" s="130"/>
      <c r="AE502" s="106"/>
    </row>
    <row r="503">
      <c r="C503" s="79"/>
      <c r="D503" s="79"/>
      <c r="E503" s="79"/>
      <c r="O503" s="79"/>
      <c r="S503" s="79"/>
      <c r="T503" s="79"/>
      <c r="Y503" s="79"/>
      <c r="AC503" s="130"/>
      <c r="AE503" s="106"/>
    </row>
    <row r="504">
      <c r="C504" s="79"/>
      <c r="D504" s="79"/>
      <c r="E504" s="79"/>
      <c r="O504" s="79"/>
      <c r="S504" s="79"/>
      <c r="T504" s="79"/>
      <c r="Y504" s="79"/>
      <c r="AC504" s="130"/>
      <c r="AE504" s="106"/>
    </row>
    <row r="505">
      <c r="C505" s="79"/>
      <c r="D505" s="79"/>
      <c r="E505" s="79"/>
      <c r="O505" s="79"/>
      <c r="S505" s="79"/>
      <c r="T505" s="79"/>
      <c r="Y505" s="79"/>
      <c r="AC505" s="130"/>
      <c r="AE505" s="106"/>
    </row>
    <row r="506">
      <c r="C506" s="79"/>
      <c r="D506" s="79"/>
      <c r="E506" s="79"/>
      <c r="O506" s="79"/>
      <c r="S506" s="79"/>
      <c r="T506" s="79"/>
      <c r="Y506" s="79"/>
      <c r="AC506" s="130"/>
      <c r="AE506" s="106"/>
    </row>
    <row r="507">
      <c r="C507" s="79"/>
      <c r="D507" s="79"/>
      <c r="E507" s="79"/>
      <c r="O507" s="79"/>
      <c r="S507" s="79"/>
      <c r="T507" s="79"/>
      <c r="Y507" s="79"/>
      <c r="AC507" s="130"/>
      <c r="AE507" s="106"/>
    </row>
    <row r="508">
      <c r="C508" s="79"/>
      <c r="D508" s="79"/>
      <c r="E508" s="79"/>
      <c r="O508" s="79"/>
      <c r="S508" s="79"/>
      <c r="T508" s="79"/>
      <c r="Y508" s="79"/>
      <c r="AC508" s="130"/>
      <c r="AE508" s="106"/>
    </row>
    <row r="509">
      <c r="C509" s="79"/>
      <c r="D509" s="79"/>
      <c r="E509" s="79"/>
      <c r="O509" s="79"/>
      <c r="S509" s="79"/>
      <c r="T509" s="79"/>
      <c r="Y509" s="79"/>
      <c r="AC509" s="130"/>
      <c r="AE509" s="106"/>
    </row>
    <row r="510">
      <c r="C510" s="79"/>
      <c r="D510" s="79"/>
      <c r="E510" s="79"/>
      <c r="O510" s="79"/>
      <c r="S510" s="79"/>
      <c r="T510" s="79"/>
      <c r="Y510" s="79"/>
      <c r="AC510" s="130"/>
      <c r="AE510" s="106"/>
    </row>
    <row r="511">
      <c r="C511" s="79"/>
      <c r="D511" s="79"/>
      <c r="E511" s="79"/>
      <c r="O511" s="79"/>
      <c r="S511" s="79"/>
      <c r="T511" s="79"/>
      <c r="Y511" s="79"/>
      <c r="AC511" s="130"/>
      <c r="AE511" s="106"/>
    </row>
    <row r="512">
      <c r="C512" s="79"/>
      <c r="D512" s="79"/>
      <c r="E512" s="79"/>
      <c r="O512" s="79"/>
      <c r="S512" s="79"/>
      <c r="T512" s="79"/>
      <c r="Y512" s="79"/>
      <c r="AC512" s="130"/>
      <c r="AE512" s="106"/>
    </row>
    <row r="513">
      <c r="C513" s="79"/>
      <c r="D513" s="79"/>
      <c r="E513" s="79"/>
      <c r="O513" s="79"/>
      <c r="S513" s="79"/>
      <c r="T513" s="79"/>
      <c r="Y513" s="79"/>
      <c r="AC513" s="130"/>
      <c r="AE513" s="106"/>
    </row>
    <row r="514">
      <c r="C514" s="79"/>
      <c r="D514" s="79"/>
      <c r="E514" s="79"/>
      <c r="O514" s="79"/>
      <c r="S514" s="79"/>
      <c r="T514" s="79"/>
      <c r="Y514" s="79"/>
      <c r="AC514" s="130"/>
      <c r="AE514" s="106"/>
    </row>
    <row r="515">
      <c r="C515" s="79"/>
      <c r="D515" s="79"/>
      <c r="E515" s="79"/>
      <c r="O515" s="79"/>
      <c r="S515" s="79"/>
      <c r="T515" s="79"/>
      <c r="Y515" s="79"/>
      <c r="AC515" s="130"/>
      <c r="AE515" s="106"/>
    </row>
    <row r="516">
      <c r="C516" s="79"/>
      <c r="D516" s="79"/>
      <c r="E516" s="79"/>
      <c r="O516" s="79"/>
      <c r="S516" s="79"/>
      <c r="T516" s="79"/>
      <c r="Y516" s="79"/>
      <c r="AC516" s="130"/>
      <c r="AE516" s="106"/>
    </row>
    <row r="517">
      <c r="C517" s="79"/>
      <c r="D517" s="79"/>
      <c r="E517" s="79"/>
      <c r="O517" s="79"/>
      <c r="S517" s="79"/>
      <c r="T517" s="79"/>
      <c r="Y517" s="79"/>
      <c r="AC517" s="130"/>
      <c r="AE517" s="106"/>
    </row>
    <row r="518">
      <c r="C518" s="79"/>
      <c r="D518" s="79"/>
      <c r="E518" s="79"/>
      <c r="O518" s="79"/>
      <c r="S518" s="79"/>
      <c r="T518" s="79"/>
      <c r="Y518" s="79"/>
      <c r="AC518" s="130"/>
      <c r="AE518" s="106"/>
    </row>
    <row r="519">
      <c r="C519" s="79"/>
      <c r="D519" s="79"/>
      <c r="E519" s="79"/>
      <c r="O519" s="79"/>
      <c r="S519" s="79"/>
      <c r="T519" s="79"/>
      <c r="Y519" s="79"/>
      <c r="AC519" s="130"/>
      <c r="AE519" s="106"/>
    </row>
    <row r="520">
      <c r="C520" s="79"/>
      <c r="D520" s="79"/>
      <c r="E520" s="79"/>
      <c r="O520" s="79"/>
      <c r="S520" s="79"/>
      <c r="T520" s="79"/>
      <c r="Y520" s="79"/>
      <c r="AC520" s="130"/>
      <c r="AE520" s="106"/>
    </row>
    <row r="521">
      <c r="C521" s="79"/>
      <c r="D521" s="79"/>
      <c r="E521" s="79"/>
      <c r="O521" s="79"/>
      <c r="S521" s="79"/>
      <c r="T521" s="79"/>
      <c r="Y521" s="79"/>
      <c r="AC521" s="130"/>
      <c r="AE521" s="106"/>
    </row>
    <row r="522">
      <c r="C522" s="79"/>
      <c r="D522" s="79"/>
      <c r="E522" s="79"/>
      <c r="O522" s="79"/>
      <c r="S522" s="79"/>
      <c r="T522" s="79"/>
      <c r="Y522" s="79"/>
      <c r="AC522" s="130"/>
      <c r="AE522" s="106"/>
    </row>
    <row r="523">
      <c r="C523" s="79"/>
      <c r="D523" s="79"/>
      <c r="E523" s="79"/>
      <c r="O523" s="79"/>
      <c r="S523" s="79"/>
      <c r="T523" s="79"/>
      <c r="Y523" s="79"/>
      <c r="AC523" s="130"/>
      <c r="AE523" s="106"/>
    </row>
    <row r="524">
      <c r="C524" s="79"/>
      <c r="D524" s="79"/>
      <c r="E524" s="79"/>
      <c r="O524" s="79"/>
      <c r="S524" s="79"/>
      <c r="T524" s="79"/>
      <c r="Y524" s="79"/>
      <c r="AC524" s="130"/>
      <c r="AE524" s="106"/>
    </row>
    <row r="525">
      <c r="C525" s="79"/>
      <c r="D525" s="79"/>
      <c r="E525" s="79"/>
      <c r="O525" s="79"/>
      <c r="S525" s="79"/>
      <c r="T525" s="79"/>
      <c r="Y525" s="79"/>
      <c r="AC525" s="130"/>
      <c r="AE525" s="106"/>
    </row>
    <row r="526">
      <c r="C526" s="79"/>
      <c r="D526" s="79"/>
      <c r="E526" s="79"/>
      <c r="O526" s="79"/>
      <c r="S526" s="79"/>
      <c r="T526" s="79"/>
      <c r="Y526" s="79"/>
      <c r="AC526" s="130"/>
      <c r="AE526" s="106"/>
    </row>
    <row r="527">
      <c r="C527" s="79"/>
      <c r="D527" s="79"/>
      <c r="E527" s="79"/>
      <c r="O527" s="79"/>
      <c r="S527" s="79"/>
      <c r="T527" s="79"/>
      <c r="Y527" s="79"/>
      <c r="AC527" s="130"/>
      <c r="AE527" s="106"/>
    </row>
    <row r="528">
      <c r="C528" s="79"/>
      <c r="D528" s="79"/>
      <c r="E528" s="79"/>
      <c r="O528" s="79"/>
      <c r="S528" s="79"/>
      <c r="T528" s="79"/>
      <c r="Y528" s="79"/>
      <c r="AC528" s="130"/>
      <c r="AE528" s="106"/>
    </row>
    <row r="529">
      <c r="C529" s="79"/>
      <c r="D529" s="79"/>
      <c r="E529" s="79"/>
      <c r="O529" s="79"/>
      <c r="S529" s="79"/>
      <c r="T529" s="79"/>
      <c r="Y529" s="79"/>
      <c r="AC529" s="130"/>
      <c r="AE529" s="106"/>
    </row>
    <row r="530">
      <c r="C530" s="79"/>
      <c r="D530" s="79"/>
      <c r="E530" s="79"/>
      <c r="O530" s="79"/>
      <c r="S530" s="79"/>
      <c r="T530" s="79"/>
      <c r="Y530" s="79"/>
      <c r="AC530" s="130"/>
      <c r="AE530" s="106"/>
    </row>
    <row r="531">
      <c r="C531" s="79"/>
      <c r="D531" s="79"/>
      <c r="E531" s="79"/>
      <c r="O531" s="79"/>
      <c r="S531" s="79"/>
      <c r="T531" s="79"/>
      <c r="Y531" s="79"/>
      <c r="AC531" s="130"/>
      <c r="AE531" s="106"/>
    </row>
    <row r="532">
      <c r="C532" s="79"/>
      <c r="D532" s="79"/>
      <c r="E532" s="79"/>
      <c r="O532" s="79"/>
      <c r="S532" s="79"/>
      <c r="T532" s="79"/>
      <c r="Y532" s="79"/>
      <c r="AC532" s="130"/>
      <c r="AE532" s="106"/>
    </row>
    <row r="533">
      <c r="C533" s="79"/>
      <c r="D533" s="79"/>
      <c r="E533" s="79"/>
      <c r="O533" s="79"/>
      <c r="S533" s="79"/>
      <c r="T533" s="79"/>
      <c r="Y533" s="79"/>
      <c r="AC533" s="130"/>
      <c r="AE533" s="106"/>
    </row>
    <row r="534">
      <c r="C534" s="79"/>
      <c r="D534" s="79"/>
      <c r="E534" s="79"/>
      <c r="O534" s="79"/>
      <c r="S534" s="79"/>
      <c r="T534" s="79"/>
      <c r="Y534" s="79"/>
      <c r="AC534" s="130"/>
      <c r="AE534" s="106"/>
    </row>
    <row r="535">
      <c r="C535" s="79"/>
      <c r="D535" s="79"/>
      <c r="E535" s="79"/>
      <c r="O535" s="79"/>
      <c r="S535" s="79"/>
      <c r="T535" s="79"/>
      <c r="Y535" s="79"/>
      <c r="AC535" s="130"/>
      <c r="AE535" s="106"/>
    </row>
    <row r="536">
      <c r="C536" s="79"/>
      <c r="D536" s="79"/>
      <c r="E536" s="79"/>
      <c r="O536" s="79"/>
      <c r="S536" s="79"/>
      <c r="T536" s="79"/>
      <c r="Y536" s="79"/>
      <c r="AC536" s="130"/>
      <c r="AE536" s="106"/>
    </row>
    <row r="537">
      <c r="C537" s="79"/>
      <c r="D537" s="79"/>
      <c r="E537" s="79"/>
      <c r="O537" s="79"/>
      <c r="S537" s="79"/>
      <c r="T537" s="79"/>
      <c r="Y537" s="79"/>
      <c r="AC537" s="130"/>
      <c r="AE537" s="106"/>
    </row>
    <row r="538">
      <c r="C538" s="79"/>
      <c r="D538" s="79"/>
      <c r="E538" s="79"/>
      <c r="O538" s="79"/>
      <c r="S538" s="79"/>
      <c r="T538" s="79"/>
      <c r="Y538" s="79"/>
      <c r="AC538" s="130"/>
      <c r="AE538" s="106"/>
    </row>
    <row r="539">
      <c r="C539" s="79"/>
      <c r="D539" s="79"/>
      <c r="E539" s="79"/>
      <c r="O539" s="79"/>
      <c r="S539" s="79"/>
      <c r="T539" s="79"/>
      <c r="Y539" s="79"/>
      <c r="AC539" s="130"/>
      <c r="AE539" s="106"/>
    </row>
    <row r="540">
      <c r="C540" s="79"/>
      <c r="D540" s="79"/>
      <c r="E540" s="79"/>
      <c r="O540" s="79"/>
      <c r="S540" s="79"/>
      <c r="T540" s="79"/>
      <c r="Y540" s="79"/>
      <c r="AC540" s="130"/>
      <c r="AE540" s="106"/>
    </row>
    <row r="541">
      <c r="C541" s="79"/>
      <c r="D541" s="79"/>
      <c r="E541" s="79"/>
      <c r="O541" s="79"/>
      <c r="S541" s="79"/>
      <c r="T541" s="79"/>
      <c r="Y541" s="79"/>
      <c r="AC541" s="130"/>
      <c r="AE541" s="106"/>
    </row>
    <row r="542">
      <c r="C542" s="79"/>
      <c r="D542" s="79"/>
      <c r="E542" s="79"/>
      <c r="O542" s="79"/>
      <c r="S542" s="79"/>
      <c r="T542" s="79"/>
      <c r="Y542" s="79"/>
      <c r="AC542" s="130"/>
      <c r="AE542" s="106"/>
    </row>
    <row r="543">
      <c r="C543" s="79"/>
      <c r="D543" s="79"/>
      <c r="E543" s="79"/>
      <c r="O543" s="79"/>
      <c r="S543" s="79"/>
      <c r="T543" s="79"/>
      <c r="Y543" s="79"/>
      <c r="AC543" s="130"/>
      <c r="AE543" s="106"/>
    </row>
    <row r="544">
      <c r="C544" s="79"/>
      <c r="D544" s="79"/>
      <c r="E544" s="79"/>
      <c r="O544" s="79"/>
      <c r="S544" s="79"/>
      <c r="T544" s="79"/>
      <c r="Y544" s="79"/>
      <c r="AC544" s="130"/>
      <c r="AE544" s="106"/>
    </row>
    <row r="545">
      <c r="C545" s="79"/>
      <c r="D545" s="79"/>
      <c r="E545" s="79"/>
      <c r="O545" s="79"/>
      <c r="S545" s="79"/>
      <c r="T545" s="79"/>
      <c r="Y545" s="79"/>
      <c r="AC545" s="130"/>
      <c r="AE545" s="106"/>
    </row>
    <row r="546">
      <c r="C546" s="79"/>
      <c r="D546" s="79"/>
      <c r="E546" s="79"/>
      <c r="O546" s="79"/>
      <c r="S546" s="79"/>
      <c r="T546" s="79"/>
      <c r="Y546" s="79"/>
      <c r="AC546" s="130"/>
      <c r="AE546" s="106"/>
    </row>
    <row r="547">
      <c r="C547" s="79"/>
      <c r="D547" s="79"/>
      <c r="E547" s="79"/>
      <c r="O547" s="79"/>
      <c r="S547" s="79"/>
      <c r="T547" s="79"/>
      <c r="Y547" s="79"/>
      <c r="AC547" s="130"/>
      <c r="AE547" s="106"/>
    </row>
    <row r="548">
      <c r="C548" s="79"/>
      <c r="D548" s="79"/>
      <c r="E548" s="79"/>
      <c r="O548" s="79"/>
      <c r="S548" s="79"/>
      <c r="T548" s="79"/>
      <c r="Y548" s="79"/>
      <c r="AC548" s="130"/>
      <c r="AE548" s="106"/>
    </row>
    <row r="549">
      <c r="C549" s="79"/>
      <c r="D549" s="79"/>
      <c r="E549" s="79"/>
      <c r="O549" s="79"/>
      <c r="S549" s="79"/>
      <c r="T549" s="79"/>
      <c r="Y549" s="79"/>
      <c r="AC549" s="130"/>
      <c r="AE549" s="106"/>
    </row>
    <row r="550">
      <c r="C550" s="79"/>
      <c r="D550" s="79"/>
      <c r="E550" s="79"/>
      <c r="O550" s="79"/>
      <c r="S550" s="79"/>
      <c r="T550" s="79"/>
      <c r="Y550" s="79"/>
      <c r="AC550" s="130"/>
      <c r="AE550" s="106"/>
    </row>
    <row r="551">
      <c r="C551" s="79"/>
      <c r="D551" s="79"/>
      <c r="E551" s="79"/>
      <c r="O551" s="79"/>
      <c r="S551" s="79"/>
      <c r="T551" s="79"/>
      <c r="Y551" s="79"/>
      <c r="AC551" s="130"/>
      <c r="AE551" s="106"/>
    </row>
    <row r="552">
      <c r="C552" s="79"/>
      <c r="D552" s="79"/>
      <c r="E552" s="79"/>
      <c r="O552" s="79"/>
      <c r="S552" s="79"/>
      <c r="T552" s="79"/>
      <c r="Y552" s="79"/>
      <c r="AC552" s="130"/>
      <c r="AE552" s="106"/>
    </row>
    <row r="553">
      <c r="C553" s="79"/>
      <c r="D553" s="79"/>
      <c r="E553" s="79"/>
      <c r="O553" s="79"/>
      <c r="S553" s="79"/>
      <c r="T553" s="79"/>
      <c r="Y553" s="79"/>
      <c r="AC553" s="130"/>
      <c r="AE553" s="106"/>
    </row>
    <row r="554">
      <c r="C554" s="79"/>
      <c r="D554" s="79"/>
      <c r="E554" s="79"/>
      <c r="O554" s="79"/>
      <c r="S554" s="79"/>
      <c r="T554" s="79"/>
      <c r="Y554" s="79"/>
      <c r="AC554" s="130"/>
      <c r="AE554" s="106"/>
    </row>
    <row r="555">
      <c r="C555" s="79"/>
      <c r="D555" s="79"/>
      <c r="E555" s="79"/>
      <c r="O555" s="79"/>
      <c r="S555" s="79"/>
      <c r="T555" s="79"/>
      <c r="Y555" s="79"/>
      <c r="AC555" s="130"/>
      <c r="AE555" s="106"/>
    </row>
    <row r="556">
      <c r="C556" s="79"/>
      <c r="D556" s="79"/>
      <c r="E556" s="79"/>
      <c r="O556" s="79"/>
      <c r="S556" s="79"/>
      <c r="T556" s="79"/>
      <c r="Y556" s="79"/>
      <c r="AC556" s="130"/>
      <c r="AE556" s="106"/>
    </row>
    <row r="557">
      <c r="C557" s="79"/>
      <c r="D557" s="79"/>
      <c r="E557" s="79"/>
      <c r="O557" s="79"/>
      <c r="S557" s="79"/>
      <c r="T557" s="79"/>
      <c r="Y557" s="79"/>
      <c r="AC557" s="130"/>
      <c r="AE557" s="106"/>
    </row>
    <row r="558">
      <c r="C558" s="79"/>
      <c r="D558" s="79"/>
      <c r="E558" s="79"/>
      <c r="O558" s="79"/>
      <c r="S558" s="79"/>
      <c r="T558" s="79"/>
      <c r="Y558" s="79"/>
      <c r="AC558" s="130"/>
      <c r="AE558" s="106"/>
    </row>
    <row r="559">
      <c r="C559" s="79"/>
      <c r="D559" s="79"/>
      <c r="E559" s="79"/>
      <c r="O559" s="79"/>
      <c r="S559" s="79"/>
      <c r="T559" s="79"/>
      <c r="Y559" s="79"/>
      <c r="AC559" s="130"/>
      <c r="AE559" s="106"/>
    </row>
    <row r="560">
      <c r="C560" s="79"/>
      <c r="D560" s="79"/>
      <c r="E560" s="79"/>
      <c r="O560" s="79"/>
      <c r="S560" s="79"/>
      <c r="T560" s="79"/>
      <c r="Y560" s="79"/>
      <c r="AC560" s="130"/>
      <c r="AE560" s="106"/>
    </row>
    <row r="561">
      <c r="C561" s="79"/>
      <c r="D561" s="79"/>
      <c r="E561" s="79"/>
      <c r="O561" s="79"/>
      <c r="S561" s="79"/>
      <c r="T561" s="79"/>
      <c r="Y561" s="79"/>
      <c r="AC561" s="130"/>
      <c r="AE561" s="106"/>
    </row>
    <row r="562">
      <c r="C562" s="79"/>
      <c r="D562" s="79"/>
      <c r="E562" s="79"/>
      <c r="O562" s="79"/>
      <c r="S562" s="79"/>
      <c r="T562" s="79"/>
      <c r="Y562" s="79"/>
      <c r="AC562" s="130"/>
      <c r="AE562" s="106"/>
    </row>
    <row r="563">
      <c r="C563" s="79"/>
      <c r="D563" s="79"/>
      <c r="E563" s="79"/>
      <c r="O563" s="79"/>
      <c r="S563" s="79"/>
      <c r="T563" s="79"/>
      <c r="Y563" s="79"/>
      <c r="AC563" s="130"/>
      <c r="AE563" s="106"/>
    </row>
    <row r="564">
      <c r="C564" s="79"/>
      <c r="D564" s="79"/>
      <c r="E564" s="79"/>
      <c r="O564" s="79"/>
      <c r="S564" s="79"/>
      <c r="T564" s="79"/>
      <c r="Y564" s="79"/>
      <c r="AC564" s="130"/>
      <c r="AE564" s="106"/>
    </row>
    <row r="565">
      <c r="C565" s="79"/>
      <c r="D565" s="79"/>
      <c r="E565" s="79"/>
      <c r="O565" s="79"/>
      <c r="S565" s="79"/>
      <c r="T565" s="79"/>
      <c r="Y565" s="79"/>
      <c r="AC565" s="130"/>
      <c r="AE565" s="106"/>
    </row>
    <row r="566">
      <c r="C566" s="79"/>
      <c r="D566" s="79"/>
      <c r="E566" s="79"/>
      <c r="O566" s="79"/>
      <c r="S566" s="79"/>
      <c r="T566" s="79"/>
      <c r="Y566" s="79"/>
      <c r="AC566" s="130"/>
      <c r="AE566" s="106"/>
    </row>
    <row r="567">
      <c r="C567" s="79"/>
      <c r="D567" s="79"/>
      <c r="E567" s="79"/>
      <c r="O567" s="79"/>
      <c r="S567" s="79"/>
      <c r="T567" s="79"/>
      <c r="Y567" s="79"/>
      <c r="AC567" s="130"/>
      <c r="AE567" s="106"/>
    </row>
    <row r="568">
      <c r="C568" s="79"/>
      <c r="D568" s="79"/>
      <c r="E568" s="79"/>
      <c r="O568" s="79"/>
      <c r="S568" s="79"/>
      <c r="T568" s="79"/>
      <c r="Y568" s="79"/>
      <c r="AC568" s="130"/>
      <c r="AE568" s="106"/>
    </row>
    <row r="569">
      <c r="C569" s="79"/>
      <c r="D569" s="79"/>
      <c r="E569" s="79"/>
      <c r="O569" s="79"/>
      <c r="S569" s="79"/>
      <c r="T569" s="79"/>
      <c r="Y569" s="79"/>
      <c r="AC569" s="130"/>
      <c r="AE569" s="106"/>
    </row>
    <row r="570">
      <c r="C570" s="79"/>
      <c r="D570" s="79"/>
      <c r="E570" s="79"/>
      <c r="O570" s="79"/>
      <c r="S570" s="79"/>
      <c r="T570" s="79"/>
      <c r="Y570" s="79"/>
      <c r="AC570" s="130"/>
      <c r="AE570" s="106"/>
    </row>
    <row r="571">
      <c r="C571" s="79"/>
      <c r="D571" s="79"/>
      <c r="E571" s="79"/>
      <c r="O571" s="79"/>
      <c r="S571" s="79"/>
      <c r="T571" s="79"/>
      <c r="Y571" s="79"/>
      <c r="AC571" s="130"/>
      <c r="AE571" s="106"/>
    </row>
    <row r="572">
      <c r="C572" s="79"/>
      <c r="D572" s="79"/>
      <c r="E572" s="79"/>
      <c r="O572" s="79"/>
      <c r="S572" s="79"/>
      <c r="T572" s="79"/>
      <c r="Y572" s="79"/>
      <c r="AC572" s="130"/>
      <c r="AE572" s="106"/>
    </row>
    <row r="573">
      <c r="C573" s="79"/>
      <c r="D573" s="79"/>
      <c r="E573" s="79"/>
      <c r="O573" s="79"/>
      <c r="S573" s="79"/>
      <c r="T573" s="79"/>
      <c r="Y573" s="79"/>
      <c r="AC573" s="130"/>
      <c r="AE573" s="106"/>
    </row>
    <row r="574">
      <c r="C574" s="79"/>
      <c r="D574" s="79"/>
      <c r="E574" s="79"/>
      <c r="O574" s="79"/>
      <c r="S574" s="79"/>
      <c r="T574" s="79"/>
      <c r="Y574" s="79"/>
      <c r="AC574" s="130"/>
      <c r="AE574" s="106"/>
    </row>
    <row r="575">
      <c r="C575" s="79"/>
      <c r="D575" s="79"/>
      <c r="E575" s="79"/>
      <c r="O575" s="79"/>
      <c r="S575" s="79"/>
      <c r="T575" s="79"/>
      <c r="Y575" s="79"/>
      <c r="AC575" s="130"/>
      <c r="AE575" s="106"/>
    </row>
    <row r="576">
      <c r="C576" s="79"/>
      <c r="D576" s="79"/>
      <c r="E576" s="79"/>
      <c r="O576" s="79"/>
      <c r="S576" s="79"/>
      <c r="T576" s="79"/>
      <c r="Y576" s="79"/>
      <c r="AC576" s="130"/>
      <c r="AE576" s="106"/>
    </row>
    <row r="577">
      <c r="C577" s="79"/>
      <c r="D577" s="79"/>
      <c r="E577" s="79"/>
      <c r="O577" s="79"/>
      <c r="S577" s="79"/>
      <c r="T577" s="79"/>
      <c r="Y577" s="79"/>
      <c r="AC577" s="130"/>
      <c r="AE577" s="106"/>
    </row>
    <row r="578">
      <c r="C578" s="79"/>
      <c r="D578" s="79"/>
      <c r="E578" s="79"/>
      <c r="O578" s="79"/>
      <c r="S578" s="79"/>
      <c r="T578" s="79"/>
      <c r="Y578" s="79"/>
      <c r="AC578" s="130"/>
      <c r="AE578" s="106"/>
    </row>
    <row r="579">
      <c r="C579" s="79"/>
      <c r="D579" s="79"/>
      <c r="E579" s="79"/>
      <c r="O579" s="79"/>
      <c r="S579" s="79"/>
      <c r="T579" s="79"/>
      <c r="Y579" s="79"/>
      <c r="AC579" s="130"/>
      <c r="AE579" s="106"/>
    </row>
    <row r="580">
      <c r="C580" s="79"/>
      <c r="D580" s="79"/>
      <c r="E580" s="79"/>
      <c r="O580" s="79"/>
      <c r="S580" s="79"/>
      <c r="T580" s="79"/>
      <c r="Y580" s="79"/>
      <c r="AC580" s="130"/>
      <c r="AE580" s="106"/>
    </row>
    <row r="581">
      <c r="C581" s="79"/>
      <c r="D581" s="79"/>
      <c r="E581" s="79"/>
      <c r="O581" s="79"/>
      <c r="S581" s="79"/>
      <c r="T581" s="79"/>
      <c r="Y581" s="79"/>
      <c r="AC581" s="130"/>
      <c r="AE581" s="106"/>
    </row>
    <row r="582">
      <c r="C582" s="79"/>
      <c r="D582" s="79"/>
      <c r="E582" s="79"/>
      <c r="O582" s="79"/>
      <c r="S582" s="79"/>
      <c r="T582" s="79"/>
      <c r="Y582" s="79"/>
      <c r="AC582" s="130"/>
      <c r="AE582" s="106"/>
    </row>
    <row r="583">
      <c r="C583" s="79"/>
      <c r="D583" s="79"/>
      <c r="E583" s="79"/>
      <c r="O583" s="79"/>
      <c r="S583" s="79"/>
      <c r="T583" s="79"/>
      <c r="Y583" s="79"/>
      <c r="AC583" s="130"/>
      <c r="AE583" s="106"/>
    </row>
    <row r="584">
      <c r="C584" s="79"/>
      <c r="D584" s="79"/>
      <c r="E584" s="79"/>
      <c r="O584" s="79"/>
      <c r="S584" s="79"/>
      <c r="T584" s="79"/>
      <c r="Y584" s="79"/>
      <c r="AC584" s="130"/>
      <c r="AE584" s="106"/>
    </row>
    <row r="585">
      <c r="C585" s="79"/>
      <c r="D585" s="79"/>
      <c r="E585" s="79"/>
      <c r="O585" s="79"/>
      <c r="S585" s="79"/>
      <c r="T585" s="79"/>
      <c r="Y585" s="79"/>
      <c r="AC585" s="130"/>
      <c r="AE585" s="106"/>
    </row>
    <row r="586">
      <c r="C586" s="79"/>
      <c r="D586" s="79"/>
      <c r="E586" s="79"/>
      <c r="O586" s="79"/>
      <c r="S586" s="79"/>
      <c r="T586" s="79"/>
      <c r="Y586" s="79"/>
      <c r="AC586" s="130"/>
      <c r="AE586" s="106"/>
    </row>
    <row r="587">
      <c r="C587" s="79"/>
      <c r="D587" s="79"/>
      <c r="E587" s="79"/>
      <c r="O587" s="79"/>
      <c r="S587" s="79"/>
      <c r="T587" s="79"/>
      <c r="Y587" s="79"/>
      <c r="AC587" s="130"/>
      <c r="AE587" s="106"/>
    </row>
    <row r="588">
      <c r="C588" s="79"/>
      <c r="D588" s="79"/>
      <c r="E588" s="79"/>
      <c r="O588" s="79"/>
      <c r="S588" s="79"/>
      <c r="T588" s="79"/>
      <c r="Y588" s="79"/>
      <c r="AC588" s="130"/>
      <c r="AE588" s="106"/>
    </row>
    <row r="589">
      <c r="C589" s="79"/>
      <c r="D589" s="79"/>
      <c r="E589" s="79"/>
      <c r="O589" s="79"/>
      <c r="S589" s="79"/>
      <c r="T589" s="79"/>
      <c r="Y589" s="79"/>
      <c r="AC589" s="130"/>
      <c r="AE589" s="106"/>
    </row>
    <row r="590">
      <c r="C590" s="79"/>
      <c r="D590" s="79"/>
      <c r="E590" s="79"/>
      <c r="O590" s="79"/>
      <c r="S590" s="79"/>
      <c r="T590" s="79"/>
      <c r="Y590" s="79"/>
      <c r="AC590" s="130"/>
      <c r="AE590" s="106"/>
    </row>
    <row r="591">
      <c r="C591" s="79"/>
      <c r="D591" s="79"/>
      <c r="E591" s="79"/>
      <c r="O591" s="79"/>
      <c r="S591" s="79"/>
      <c r="T591" s="79"/>
      <c r="Y591" s="79"/>
      <c r="AC591" s="130"/>
      <c r="AE591" s="106"/>
    </row>
    <row r="592">
      <c r="C592" s="79"/>
      <c r="D592" s="79"/>
      <c r="E592" s="79"/>
      <c r="O592" s="79"/>
      <c r="S592" s="79"/>
      <c r="T592" s="79"/>
      <c r="Y592" s="79"/>
      <c r="AC592" s="130"/>
      <c r="AE592" s="106"/>
    </row>
    <row r="593">
      <c r="C593" s="79"/>
      <c r="D593" s="79"/>
      <c r="E593" s="79"/>
      <c r="O593" s="79"/>
      <c r="S593" s="79"/>
      <c r="T593" s="79"/>
      <c r="Y593" s="79"/>
      <c r="AC593" s="130"/>
      <c r="AE593" s="106"/>
    </row>
    <row r="594">
      <c r="C594" s="79"/>
      <c r="D594" s="79"/>
      <c r="E594" s="79"/>
      <c r="O594" s="79"/>
      <c r="S594" s="79"/>
      <c r="T594" s="79"/>
      <c r="Y594" s="79"/>
      <c r="AC594" s="130"/>
      <c r="AE594" s="106"/>
    </row>
    <row r="595">
      <c r="C595" s="79"/>
      <c r="D595" s="79"/>
      <c r="E595" s="79"/>
      <c r="O595" s="79"/>
      <c r="S595" s="79"/>
      <c r="T595" s="79"/>
      <c r="Y595" s="79"/>
      <c r="AC595" s="130"/>
      <c r="AE595" s="106"/>
    </row>
    <row r="596">
      <c r="C596" s="79"/>
      <c r="D596" s="79"/>
      <c r="E596" s="79"/>
      <c r="O596" s="79"/>
      <c r="S596" s="79"/>
      <c r="T596" s="79"/>
      <c r="Y596" s="79"/>
      <c r="AC596" s="130"/>
      <c r="AE596" s="106"/>
    </row>
    <row r="597">
      <c r="C597" s="79"/>
      <c r="D597" s="79"/>
      <c r="E597" s="79"/>
      <c r="O597" s="79"/>
      <c r="S597" s="79"/>
      <c r="T597" s="79"/>
      <c r="Y597" s="79"/>
      <c r="AC597" s="130"/>
      <c r="AE597" s="106"/>
    </row>
    <row r="598">
      <c r="C598" s="79"/>
      <c r="D598" s="79"/>
      <c r="E598" s="79"/>
      <c r="O598" s="79"/>
      <c r="S598" s="79"/>
      <c r="T598" s="79"/>
      <c r="Y598" s="79"/>
      <c r="AC598" s="130"/>
      <c r="AE598" s="106"/>
    </row>
    <row r="599">
      <c r="C599" s="79"/>
      <c r="D599" s="79"/>
      <c r="E599" s="79"/>
      <c r="O599" s="79"/>
      <c r="S599" s="79"/>
      <c r="T599" s="79"/>
      <c r="Y599" s="79"/>
      <c r="AC599" s="130"/>
      <c r="AE599" s="106"/>
    </row>
    <row r="600">
      <c r="C600" s="79"/>
      <c r="D600" s="79"/>
      <c r="E600" s="79"/>
      <c r="O600" s="79"/>
      <c r="S600" s="79"/>
      <c r="T600" s="79"/>
      <c r="Y600" s="79"/>
      <c r="AC600" s="130"/>
      <c r="AE600" s="106"/>
    </row>
    <row r="601">
      <c r="C601" s="79"/>
      <c r="D601" s="79"/>
      <c r="E601" s="79"/>
      <c r="O601" s="79"/>
      <c r="S601" s="79"/>
      <c r="T601" s="79"/>
      <c r="Y601" s="79"/>
      <c r="AC601" s="130"/>
      <c r="AE601" s="106"/>
    </row>
    <row r="602">
      <c r="C602" s="79"/>
      <c r="D602" s="79"/>
      <c r="E602" s="79"/>
      <c r="O602" s="79"/>
      <c r="S602" s="79"/>
      <c r="T602" s="79"/>
      <c r="Y602" s="79"/>
      <c r="AC602" s="130"/>
      <c r="AE602" s="106"/>
    </row>
    <row r="603">
      <c r="C603" s="79"/>
      <c r="D603" s="79"/>
      <c r="E603" s="79"/>
      <c r="O603" s="79"/>
      <c r="S603" s="79"/>
      <c r="T603" s="79"/>
      <c r="Y603" s="79"/>
      <c r="AC603" s="130"/>
      <c r="AE603" s="106"/>
    </row>
    <row r="604">
      <c r="C604" s="79"/>
      <c r="D604" s="79"/>
      <c r="E604" s="79"/>
      <c r="O604" s="79"/>
      <c r="S604" s="79"/>
      <c r="T604" s="79"/>
      <c r="Y604" s="79"/>
      <c r="AC604" s="130"/>
      <c r="AE604" s="106"/>
    </row>
    <row r="605">
      <c r="C605" s="79"/>
      <c r="D605" s="79"/>
      <c r="E605" s="79"/>
      <c r="O605" s="79"/>
      <c r="S605" s="79"/>
      <c r="T605" s="79"/>
      <c r="Y605" s="79"/>
      <c r="AC605" s="130"/>
      <c r="AE605" s="106"/>
    </row>
    <row r="606">
      <c r="C606" s="79"/>
      <c r="D606" s="79"/>
      <c r="E606" s="79"/>
      <c r="O606" s="79"/>
      <c r="S606" s="79"/>
      <c r="T606" s="79"/>
      <c r="Y606" s="79"/>
      <c r="AC606" s="130"/>
      <c r="AE606" s="106"/>
    </row>
    <row r="607">
      <c r="C607" s="79"/>
      <c r="D607" s="79"/>
      <c r="E607" s="79"/>
      <c r="O607" s="79"/>
      <c r="S607" s="79"/>
      <c r="T607" s="79"/>
      <c r="Y607" s="79"/>
      <c r="AC607" s="130"/>
      <c r="AE607" s="106"/>
    </row>
    <row r="608">
      <c r="C608" s="79"/>
      <c r="D608" s="79"/>
      <c r="E608" s="79"/>
      <c r="O608" s="79"/>
      <c r="S608" s="79"/>
      <c r="T608" s="79"/>
      <c r="Y608" s="79"/>
      <c r="AC608" s="130"/>
      <c r="AE608" s="106"/>
    </row>
    <row r="609">
      <c r="C609" s="79"/>
      <c r="D609" s="79"/>
      <c r="E609" s="79"/>
      <c r="O609" s="79"/>
      <c r="S609" s="79"/>
      <c r="T609" s="79"/>
      <c r="Y609" s="79"/>
      <c r="AC609" s="130"/>
      <c r="AE609" s="106"/>
    </row>
    <row r="610">
      <c r="C610" s="79"/>
      <c r="D610" s="79"/>
      <c r="E610" s="79"/>
      <c r="O610" s="79"/>
      <c r="S610" s="79"/>
      <c r="T610" s="79"/>
      <c r="Y610" s="79"/>
      <c r="AC610" s="130"/>
      <c r="AE610" s="106"/>
    </row>
    <row r="611">
      <c r="C611" s="79"/>
      <c r="D611" s="79"/>
      <c r="E611" s="79"/>
      <c r="O611" s="79"/>
      <c r="S611" s="79"/>
      <c r="T611" s="79"/>
      <c r="Y611" s="79"/>
      <c r="AC611" s="130"/>
      <c r="AE611" s="106"/>
    </row>
    <row r="612">
      <c r="C612" s="79"/>
      <c r="D612" s="79"/>
      <c r="E612" s="79"/>
      <c r="O612" s="79"/>
      <c r="S612" s="79"/>
      <c r="T612" s="79"/>
      <c r="Y612" s="79"/>
      <c r="AC612" s="130"/>
      <c r="AE612" s="106"/>
    </row>
    <row r="613">
      <c r="C613" s="79"/>
      <c r="D613" s="79"/>
      <c r="E613" s="79"/>
      <c r="O613" s="79"/>
      <c r="S613" s="79"/>
      <c r="T613" s="79"/>
      <c r="Y613" s="79"/>
      <c r="AC613" s="130"/>
      <c r="AE613" s="106"/>
    </row>
    <row r="614">
      <c r="C614" s="79"/>
      <c r="D614" s="79"/>
      <c r="E614" s="79"/>
      <c r="O614" s="79"/>
      <c r="S614" s="79"/>
      <c r="T614" s="79"/>
      <c r="Y614" s="79"/>
      <c r="AC614" s="130"/>
      <c r="AE614" s="106"/>
    </row>
    <row r="615">
      <c r="C615" s="79"/>
      <c r="D615" s="79"/>
      <c r="E615" s="79"/>
      <c r="O615" s="79"/>
      <c r="S615" s="79"/>
      <c r="T615" s="79"/>
      <c r="Y615" s="79"/>
      <c r="AC615" s="130"/>
      <c r="AE615" s="106"/>
    </row>
    <row r="616">
      <c r="C616" s="79"/>
      <c r="D616" s="79"/>
      <c r="E616" s="79"/>
      <c r="O616" s="79"/>
      <c r="S616" s="79"/>
      <c r="T616" s="79"/>
      <c r="Y616" s="79"/>
      <c r="AC616" s="130"/>
      <c r="AE616" s="106"/>
    </row>
    <row r="617">
      <c r="C617" s="79"/>
      <c r="D617" s="79"/>
      <c r="E617" s="79"/>
      <c r="O617" s="79"/>
      <c r="S617" s="79"/>
      <c r="T617" s="79"/>
      <c r="Y617" s="79"/>
      <c r="AC617" s="130"/>
      <c r="AE617" s="106"/>
    </row>
    <row r="618">
      <c r="C618" s="79"/>
      <c r="D618" s="79"/>
      <c r="E618" s="79"/>
      <c r="O618" s="79"/>
      <c r="S618" s="79"/>
      <c r="T618" s="79"/>
      <c r="Y618" s="79"/>
      <c r="AC618" s="130"/>
      <c r="AE618" s="106"/>
    </row>
    <row r="619">
      <c r="C619" s="79"/>
      <c r="D619" s="79"/>
      <c r="E619" s="79"/>
      <c r="O619" s="79"/>
      <c r="S619" s="79"/>
      <c r="T619" s="79"/>
      <c r="Y619" s="79"/>
      <c r="AC619" s="130"/>
      <c r="AE619" s="106"/>
    </row>
    <row r="620">
      <c r="C620" s="79"/>
      <c r="D620" s="79"/>
      <c r="E620" s="79"/>
      <c r="O620" s="79"/>
      <c r="S620" s="79"/>
      <c r="T620" s="79"/>
      <c r="Y620" s="79"/>
      <c r="AC620" s="130"/>
      <c r="AE620" s="106"/>
    </row>
    <row r="621">
      <c r="C621" s="79"/>
      <c r="D621" s="79"/>
      <c r="E621" s="79"/>
      <c r="O621" s="79"/>
      <c r="S621" s="79"/>
      <c r="T621" s="79"/>
      <c r="Y621" s="79"/>
      <c r="AC621" s="130"/>
      <c r="AE621" s="106"/>
    </row>
    <row r="622">
      <c r="C622" s="79"/>
      <c r="D622" s="79"/>
      <c r="E622" s="79"/>
      <c r="O622" s="79"/>
      <c r="S622" s="79"/>
      <c r="T622" s="79"/>
      <c r="Y622" s="79"/>
      <c r="AC622" s="130"/>
      <c r="AE622" s="106"/>
    </row>
    <row r="623">
      <c r="C623" s="79"/>
      <c r="D623" s="79"/>
      <c r="E623" s="79"/>
      <c r="O623" s="79"/>
      <c r="S623" s="79"/>
      <c r="T623" s="79"/>
      <c r="Y623" s="79"/>
      <c r="AC623" s="130"/>
      <c r="AE623" s="106"/>
    </row>
    <row r="624">
      <c r="C624" s="79"/>
      <c r="D624" s="79"/>
      <c r="E624" s="79"/>
      <c r="O624" s="79"/>
      <c r="S624" s="79"/>
      <c r="T624" s="79"/>
      <c r="Y624" s="79"/>
      <c r="AC624" s="130"/>
      <c r="AE624" s="106"/>
    </row>
    <row r="625">
      <c r="C625" s="79"/>
      <c r="D625" s="79"/>
      <c r="E625" s="79"/>
      <c r="O625" s="79"/>
      <c r="S625" s="79"/>
      <c r="T625" s="79"/>
      <c r="Y625" s="79"/>
      <c r="AC625" s="130"/>
      <c r="AE625" s="106"/>
    </row>
    <row r="626">
      <c r="C626" s="79"/>
      <c r="D626" s="79"/>
      <c r="E626" s="79"/>
      <c r="O626" s="79"/>
      <c r="S626" s="79"/>
      <c r="T626" s="79"/>
      <c r="Y626" s="79"/>
      <c r="AC626" s="130"/>
      <c r="AE626" s="106"/>
    </row>
    <row r="627">
      <c r="C627" s="79"/>
      <c r="D627" s="79"/>
      <c r="E627" s="79"/>
      <c r="O627" s="79"/>
      <c r="S627" s="79"/>
      <c r="T627" s="79"/>
      <c r="Y627" s="79"/>
      <c r="AC627" s="130"/>
      <c r="AE627" s="106"/>
    </row>
    <row r="628">
      <c r="C628" s="79"/>
      <c r="D628" s="79"/>
      <c r="E628" s="79"/>
      <c r="O628" s="79"/>
      <c r="S628" s="79"/>
      <c r="T628" s="79"/>
      <c r="Y628" s="79"/>
      <c r="AC628" s="130"/>
      <c r="AE628" s="106"/>
    </row>
    <row r="629">
      <c r="C629" s="79"/>
      <c r="D629" s="79"/>
      <c r="E629" s="79"/>
      <c r="O629" s="79"/>
      <c r="S629" s="79"/>
      <c r="T629" s="79"/>
      <c r="Y629" s="79"/>
      <c r="AC629" s="130"/>
      <c r="AE629" s="106"/>
    </row>
    <row r="630">
      <c r="C630" s="79"/>
      <c r="D630" s="79"/>
      <c r="E630" s="79"/>
      <c r="O630" s="79"/>
      <c r="S630" s="79"/>
      <c r="T630" s="79"/>
      <c r="Y630" s="79"/>
      <c r="AC630" s="130"/>
      <c r="AE630" s="106"/>
    </row>
    <row r="631">
      <c r="C631" s="79"/>
      <c r="D631" s="79"/>
      <c r="E631" s="79"/>
      <c r="O631" s="79"/>
      <c r="S631" s="79"/>
      <c r="T631" s="79"/>
      <c r="Y631" s="79"/>
      <c r="AC631" s="130"/>
      <c r="AE631" s="106"/>
    </row>
    <row r="632">
      <c r="C632" s="79"/>
      <c r="D632" s="79"/>
      <c r="E632" s="79"/>
      <c r="O632" s="79"/>
      <c r="S632" s="79"/>
      <c r="T632" s="79"/>
      <c r="Y632" s="79"/>
      <c r="AC632" s="130"/>
      <c r="AE632" s="106"/>
    </row>
    <row r="633">
      <c r="C633" s="79"/>
      <c r="D633" s="79"/>
      <c r="E633" s="79"/>
      <c r="O633" s="79"/>
      <c r="S633" s="79"/>
      <c r="T633" s="79"/>
      <c r="Y633" s="79"/>
      <c r="AC633" s="130"/>
      <c r="AE633" s="106"/>
    </row>
    <row r="634">
      <c r="C634" s="79"/>
      <c r="D634" s="79"/>
      <c r="E634" s="79"/>
      <c r="O634" s="79"/>
      <c r="S634" s="79"/>
      <c r="T634" s="79"/>
      <c r="Y634" s="79"/>
      <c r="AC634" s="130"/>
      <c r="AE634" s="106"/>
    </row>
    <row r="635">
      <c r="C635" s="79"/>
      <c r="D635" s="79"/>
      <c r="E635" s="79"/>
      <c r="O635" s="79"/>
      <c r="S635" s="79"/>
      <c r="T635" s="79"/>
      <c r="Y635" s="79"/>
      <c r="AC635" s="130"/>
      <c r="AE635" s="106"/>
    </row>
    <row r="636">
      <c r="C636" s="79"/>
      <c r="D636" s="79"/>
      <c r="E636" s="79"/>
      <c r="O636" s="79"/>
      <c r="S636" s="79"/>
      <c r="T636" s="79"/>
      <c r="Y636" s="79"/>
      <c r="AC636" s="130"/>
      <c r="AE636" s="106"/>
    </row>
    <row r="637">
      <c r="C637" s="79"/>
      <c r="D637" s="79"/>
      <c r="E637" s="79"/>
      <c r="O637" s="79"/>
      <c r="S637" s="79"/>
      <c r="T637" s="79"/>
      <c r="Y637" s="79"/>
      <c r="AC637" s="130"/>
      <c r="AE637" s="106"/>
    </row>
    <row r="638">
      <c r="C638" s="79"/>
      <c r="D638" s="79"/>
      <c r="E638" s="79"/>
      <c r="O638" s="79"/>
      <c r="S638" s="79"/>
      <c r="T638" s="79"/>
      <c r="Y638" s="79"/>
      <c r="AC638" s="130"/>
      <c r="AE638" s="106"/>
    </row>
    <row r="639">
      <c r="C639" s="79"/>
      <c r="D639" s="79"/>
      <c r="E639" s="79"/>
      <c r="O639" s="79"/>
      <c r="S639" s="79"/>
      <c r="T639" s="79"/>
      <c r="Y639" s="79"/>
      <c r="AC639" s="130"/>
      <c r="AE639" s="106"/>
    </row>
    <row r="640">
      <c r="C640" s="79"/>
      <c r="D640" s="79"/>
      <c r="E640" s="79"/>
      <c r="O640" s="79"/>
      <c r="S640" s="79"/>
      <c r="T640" s="79"/>
      <c r="Y640" s="79"/>
      <c r="AC640" s="130"/>
      <c r="AE640" s="106"/>
    </row>
    <row r="641">
      <c r="C641" s="79"/>
      <c r="D641" s="79"/>
      <c r="E641" s="79"/>
      <c r="O641" s="79"/>
      <c r="S641" s="79"/>
      <c r="T641" s="79"/>
      <c r="Y641" s="79"/>
      <c r="AC641" s="130"/>
      <c r="AE641" s="106"/>
    </row>
    <row r="642">
      <c r="C642" s="79"/>
      <c r="D642" s="79"/>
      <c r="E642" s="79"/>
      <c r="O642" s="79"/>
      <c r="S642" s="79"/>
      <c r="T642" s="79"/>
      <c r="Y642" s="79"/>
      <c r="AC642" s="130"/>
      <c r="AE642" s="106"/>
    </row>
    <row r="643">
      <c r="C643" s="79"/>
      <c r="D643" s="79"/>
      <c r="E643" s="79"/>
      <c r="O643" s="79"/>
      <c r="S643" s="79"/>
      <c r="T643" s="79"/>
      <c r="Y643" s="79"/>
      <c r="AC643" s="130"/>
      <c r="AE643" s="106"/>
    </row>
    <row r="644">
      <c r="C644" s="79"/>
      <c r="D644" s="79"/>
      <c r="E644" s="79"/>
      <c r="O644" s="79"/>
      <c r="S644" s="79"/>
      <c r="T644" s="79"/>
      <c r="Y644" s="79"/>
      <c r="AC644" s="130"/>
      <c r="AE644" s="106"/>
    </row>
    <row r="645">
      <c r="C645" s="79"/>
      <c r="D645" s="79"/>
      <c r="E645" s="79"/>
      <c r="O645" s="79"/>
      <c r="S645" s="79"/>
      <c r="T645" s="79"/>
      <c r="Y645" s="79"/>
      <c r="AC645" s="130"/>
      <c r="AE645" s="106"/>
    </row>
    <row r="646">
      <c r="C646" s="79"/>
      <c r="D646" s="79"/>
      <c r="E646" s="79"/>
      <c r="O646" s="79"/>
      <c r="S646" s="79"/>
      <c r="T646" s="79"/>
      <c r="Y646" s="79"/>
      <c r="AC646" s="130"/>
      <c r="AE646" s="106"/>
    </row>
    <row r="647">
      <c r="C647" s="79"/>
      <c r="D647" s="79"/>
      <c r="E647" s="79"/>
      <c r="O647" s="79"/>
      <c r="S647" s="79"/>
      <c r="T647" s="79"/>
      <c r="Y647" s="79"/>
      <c r="AC647" s="130"/>
      <c r="AE647" s="106"/>
    </row>
    <row r="648">
      <c r="C648" s="79"/>
      <c r="D648" s="79"/>
      <c r="E648" s="79"/>
      <c r="O648" s="79"/>
      <c r="S648" s="79"/>
      <c r="T648" s="79"/>
      <c r="Y648" s="79"/>
      <c r="AC648" s="130"/>
      <c r="AE648" s="106"/>
    </row>
    <row r="649">
      <c r="C649" s="79"/>
      <c r="D649" s="79"/>
      <c r="E649" s="79"/>
      <c r="O649" s="79"/>
      <c r="S649" s="79"/>
      <c r="T649" s="79"/>
      <c r="Y649" s="79"/>
      <c r="AC649" s="130"/>
      <c r="AE649" s="106"/>
    </row>
    <row r="650">
      <c r="C650" s="79"/>
      <c r="D650" s="79"/>
      <c r="E650" s="79"/>
      <c r="O650" s="79"/>
      <c r="S650" s="79"/>
      <c r="T650" s="79"/>
      <c r="Y650" s="79"/>
      <c r="AC650" s="130"/>
      <c r="AE650" s="106"/>
    </row>
    <row r="651">
      <c r="C651" s="79"/>
      <c r="D651" s="79"/>
      <c r="E651" s="79"/>
      <c r="O651" s="79"/>
      <c r="S651" s="79"/>
      <c r="T651" s="79"/>
      <c r="Y651" s="79"/>
      <c r="AC651" s="130"/>
      <c r="AE651" s="106"/>
    </row>
    <row r="652">
      <c r="C652" s="79"/>
      <c r="D652" s="79"/>
      <c r="E652" s="79"/>
      <c r="O652" s="79"/>
      <c r="S652" s="79"/>
      <c r="T652" s="79"/>
      <c r="Y652" s="79"/>
      <c r="AC652" s="130"/>
      <c r="AE652" s="106"/>
    </row>
    <row r="653">
      <c r="C653" s="79"/>
      <c r="D653" s="79"/>
      <c r="E653" s="79"/>
      <c r="O653" s="79"/>
      <c r="S653" s="79"/>
      <c r="T653" s="79"/>
      <c r="Y653" s="79"/>
      <c r="AC653" s="130"/>
      <c r="AE653" s="106"/>
    </row>
    <row r="654">
      <c r="C654" s="79"/>
      <c r="D654" s="79"/>
      <c r="E654" s="79"/>
      <c r="O654" s="79"/>
      <c r="S654" s="79"/>
      <c r="T654" s="79"/>
      <c r="Y654" s="79"/>
      <c r="AC654" s="130"/>
      <c r="AE654" s="106"/>
    </row>
    <row r="655">
      <c r="C655" s="79"/>
      <c r="D655" s="79"/>
      <c r="E655" s="79"/>
      <c r="O655" s="79"/>
      <c r="S655" s="79"/>
      <c r="T655" s="79"/>
      <c r="Y655" s="79"/>
      <c r="AC655" s="130"/>
      <c r="AE655" s="106"/>
    </row>
    <row r="656">
      <c r="C656" s="79"/>
      <c r="D656" s="79"/>
      <c r="E656" s="79"/>
      <c r="O656" s="79"/>
      <c r="S656" s="79"/>
      <c r="T656" s="79"/>
      <c r="Y656" s="79"/>
      <c r="AC656" s="130"/>
      <c r="AE656" s="106"/>
    </row>
    <row r="657">
      <c r="C657" s="79"/>
      <c r="D657" s="79"/>
      <c r="E657" s="79"/>
      <c r="O657" s="79"/>
      <c r="S657" s="79"/>
      <c r="T657" s="79"/>
      <c r="Y657" s="79"/>
      <c r="AC657" s="130"/>
      <c r="AE657" s="106"/>
    </row>
    <row r="658">
      <c r="C658" s="79"/>
      <c r="D658" s="79"/>
      <c r="E658" s="79"/>
      <c r="O658" s="79"/>
      <c r="S658" s="79"/>
      <c r="T658" s="79"/>
      <c r="Y658" s="79"/>
      <c r="AC658" s="130"/>
      <c r="AE658" s="106"/>
    </row>
    <row r="659">
      <c r="C659" s="79"/>
      <c r="D659" s="79"/>
      <c r="E659" s="79"/>
      <c r="O659" s="79"/>
      <c r="S659" s="79"/>
      <c r="T659" s="79"/>
      <c r="Y659" s="79"/>
      <c r="AC659" s="130"/>
      <c r="AE659" s="106"/>
    </row>
    <row r="660">
      <c r="C660" s="79"/>
      <c r="D660" s="79"/>
      <c r="E660" s="79"/>
      <c r="O660" s="79"/>
      <c r="S660" s="79"/>
      <c r="T660" s="79"/>
      <c r="Y660" s="79"/>
      <c r="AC660" s="130"/>
      <c r="AE660" s="106"/>
    </row>
    <row r="661">
      <c r="C661" s="79"/>
      <c r="D661" s="79"/>
      <c r="E661" s="79"/>
      <c r="O661" s="79"/>
      <c r="S661" s="79"/>
      <c r="T661" s="79"/>
      <c r="Y661" s="79"/>
      <c r="AC661" s="130"/>
      <c r="AE661" s="106"/>
    </row>
    <row r="662">
      <c r="C662" s="79"/>
      <c r="D662" s="79"/>
      <c r="E662" s="79"/>
      <c r="O662" s="79"/>
      <c r="S662" s="79"/>
      <c r="T662" s="79"/>
      <c r="Y662" s="79"/>
      <c r="AC662" s="130"/>
      <c r="AE662" s="106"/>
    </row>
    <row r="663">
      <c r="C663" s="79"/>
      <c r="D663" s="79"/>
      <c r="E663" s="79"/>
      <c r="O663" s="79"/>
      <c r="S663" s="79"/>
      <c r="T663" s="79"/>
      <c r="Y663" s="79"/>
      <c r="AC663" s="130"/>
      <c r="AE663" s="106"/>
    </row>
    <row r="664">
      <c r="C664" s="79"/>
      <c r="D664" s="79"/>
      <c r="E664" s="79"/>
      <c r="O664" s="79"/>
      <c r="S664" s="79"/>
      <c r="T664" s="79"/>
      <c r="Y664" s="79"/>
      <c r="AC664" s="130"/>
      <c r="AE664" s="106"/>
    </row>
    <row r="665">
      <c r="C665" s="79"/>
      <c r="D665" s="79"/>
      <c r="E665" s="79"/>
      <c r="O665" s="79"/>
      <c r="S665" s="79"/>
      <c r="T665" s="79"/>
      <c r="Y665" s="79"/>
      <c r="AC665" s="130"/>
      <c r="AE665" s="106"/>
    </row>
    <row r="666">
      <c r="C666" s="79"/>
      <c r="D666" s="79"/>
      <c r="E666" s="79"/>
      <c r="O666" s="79"/>
      <c r="S666" s="79"/>
      <c r="T666" s="79"/>
      <c r="Y666" s="79"/>
      <c r="AC666" s="130"/>
      <c r="AE666" s="106"/>
    </row>
    <row r="667">
      <c r="C667" s="79"/>
      <c r="D667" s="79"/>
      <c r="E667" s="79"/>
      <c r="O667" s="79"/>
      <c r="S667" s="79"/>
      <c r="T667" s="79"/>
      <c r="Y667" s="79"/>
      <c r="AC667" s="130"/>
      <c r="AE667" s="106"/>
    </row>
    <row r="668">
      <c r="C668" s="79"/>
      <c r="D668" s="79"/>
      <c r="E668" s="79"/>
      <c r="O668" s="79"/>
      <c r="S668" s="79"/>
      <c r="T668" s="79"/>
      <c r="Y668" s="79"/>
      <c r="AC668" s="130"/>
      <c r="AE668" s="106"/>
    </row>
    <row r="669">
      <c r="C669" s="79"/>
      <c r="D669" s="79"/>
      <c r="E669" s="79"/>
      <c r="O669" s="79"/>
      <c r="S669" s="79"/>
      <c r="T669" s="79"/>
      <c r="Y669" s="79"/>
      <c r="AC669" s="130"/>
      <c r="AE669" s="106"/>
    </row>
    <row r="670">
      <c r="C670" s="79"/>
      <c r="D670" s="79"/>
      <c r="E670" s="79"/>
      <c r="O670" s="79"/>
      <c r="S670" s="79"/>
      <c r="T670" s="79"/>
      <c r="Y670" s="79"/>
      <c r="AC670" s="130"/>
      <c r="AE670" s="106"/>
    </row>
    <row r="671">
      <c r="C671" s="79"/>
      <c r="D671" s="79"/>
      <c r="E671" s="79"/>
      <c r="O671" s="79"/>
      <c r="S671" s="79"/>
      <c r="T671" s="79"/>
      <c r="Y671" s="79"/>
      <c r="AC671" s="130"/>
      <c r="AE671" s="106"/>
    </row>
    <row r="672">
      <c r="C672" s="79"/>
      <c r="D672" s="79"/>
      <c r="E672" s="79"/>
      <c r="O672" s="79"/>
      <c r="S672" s="79"/>
      <c r="T672" s="79"/>
      <c r="Y672" s="79"/>
      <c r="AC672" s="130"/>
      <c r="AE672" s="106"/>
    </row>
    <row r="673">
      <c r="C673" s="79"/>
      <c r="D673" s="79"/>
      <c r="E673" s="79"/>
      <c r="O673" s="79"/>
      <c r="S673" s="79"/>
      <c r="T673" s="79"/>
      <c r="Y673" s="79"/>
      <c r="AC673" s="130"/>
      <c r="AE673" s="106"/>
    </row>
    <row r="674">
      <c r="C674" s="79"/>
      <c r="D674" s="79"/>
      <c r="E674" s="79"/>
      <c r="O674" s="79"/>
      <c r="S674" s="79"/>
      <c r="T674" s="79"/>
      <c r="Y674" s="79"/>
      <c r="AC674" s="130"/>
      <c r="AE674" s="106"/>
    </row>
    <row r="675">
      <c r="C675" s="79"/>
      <c r="D675" s="79"/>
      <c r="E675" s="79"/>
      <c r="O675" s="79"/>
      <c r="S675" s="79"/>
      <c r="T675" s="79"/>
      <c r="Y675" s="79"/>
      <c r="AC675" s="130"/>
      <c r="AE675" s="106"/>
    </row>
    <row r="676">
      <c r="C676" s="79"/>
      <c r="D676" s="79"/>
      <c r="E676" s="79"/>
      <c r="O676" s="79"/>
      <c r="S676" s="79"/>
      <c r="T676" s="79"/>
      <c r="Y676" s="79"/>
      <c r="AC676" s="130"/>
      <c r="AE676" s="106"/>
    </row>
    <row r="677">
      <c r="C677" s="79"/>
      <c r="D677" s="79"/>
      <c r="E677" s="79"/>
      <c r="O677" s="79"/>
      <c r="S677" s="79"/>
      <c r="T677" s="79"/>
      <c r="Y677" s="79"/>
      <c r="AC677" s="130"/>
      <c r="AE677" s="106"/>
    </row>
    <row r="678">
      <c r="C678" s="79"/>
      <c r="D678" s="79"/>
      <c r="E678" s="79"/>
      <c r="O678" s="79"/>
      <c r="S678" s="79"/>
      <c r="T678" s="79"/>
      <c r="Y678" s="79"/>
      <c r="AC678" s="130"/>
      <c r="AE678" s="106"/>
    </row>
    <row r="679">
      <c r="C679" s="79"/>
      <c r="D679" s="79"/>
      <c r="E679" s="79"/>
      <c r="O679" s="79"/>
      <c r="S679" s="79"/>
      <c r="T679" s="79"/>
      <c r="Y679" s="79"/>
      <c r="AC679" s="130"/>
      <c r="AE679" s="106"/>
    </row>
    <row r="680">
      <c r="C680" s="79"/>
      <c r="D680" s="79"/>
      <c r="E680" s="79"/>
      <c r="O680" s="79"/>
      <c r="S680" s="79"/>
      <c r="T680" s="79"/>
      <c r="Y680" s="79"/>
      <c r="AC680" s="130"/>
      <c r="AE680" s="106"/>
    </row>
    <row r="681">
      <c r="C681" s="79"/>
      <c r="D681" s="79"/>
      <c r="E681" s="79"/>
      <c r="O681" s="79"/>
      <c r="S681" s="79"/>
      <c r="T681" s="79"/>
      <c r="Y681" s="79"/>
      <c r="AC681" s="130"/>
      <c r="AE681" s="106"/>
    </row>
    <row r="682">
      <c r="C682" s="79"/>
      <c r="D682" s="79"/>
      <c r="E682" s="79"/>
      <c r="O682" s="79"/>
      <c r="S682" s="79"/>
      <c r="T682" s="79"/>
      <c r="Y682" s="79"/>
      <c r="AC682" s="130"/>
      <c r="AE682" s="106"/>
    </row>
    <row r="683">
      <c r="C683" s="79"/>
      <c r="D683" s="79"/>
      <c r="E683" s="79"/>
      <c r="O683" s="79"/>
      <c r="S683" s="79"/>
      <c r="T683" s="79"/>
      <c r="Y683" s="79"/>
      <c r="AC683" s="130"/>
      <c r="AE683" s="106"/>
    </row>
    <row r="684">
      <c r="C684" s="79"/>
      <c r="D684" s="79"/>
      <c r="E684" s="79"/>
      <c r="O684" s="79"/>
      <c r="S684" s="79"/>
      <c r="T684" s="79"/>
      <c r="Y684" s="79"/>
      <c r="AC684" s="130"/>
      <c r="AE684" s="106"/>
    </row>
    <row r="685">
      <c r="C685" s="79"/>
      <c r="D685" s="79"/>
      <c r="E685" s="79"/>
      <c r="O685" s="79"/>
      <c r="S685" s="79"/>
      <c r="T685" s="79"/>
      <c r="Y685" s="79"/>
      <c r="AC685" s="130"/>
      <c r="AE685" s="106"/>
    </row>
    <row r="686">
      <c r="C686" s="79"/>
      <c r="D686" s="79"/>
      <c r="E686" s="79"/>
      <c r="O686" s="79"/>
      <c r="S686" s="79"/>
      <c r="T686" s="79"/>
      <c r="Y686" s="79"/>
      <c r="AC686" s="130"/>
      <c r="AE686" s="106"/>
    </row>
    <row r="687">
      <c r="C687" s="79"/>
      <c r="D687" s="79"/>
      <c r="E687" s="79"/>
      <c r="O687" s="79"/>
      <c r="S687" s="79"/>
      <c r="T687" s="79"/>
      <c r="Y687" s="79"/>
      <c r="AC687" s="130"/>
      <c r="AE687" s="106"/>
    </row>
    <row r="688">
      <c r="C688" s="79"/>
      <c r="D688" s="79"/>
      <c r="E688" s="79"/>
      <c r="O688" s="79"/>
      <c r="S688" s="79"/>
      <c r="T688" s="79"/>
      <c r="Y688" s="79"/>
      <c r="AC688" s="130"/>
      <c r="AE688" s="106"/>
    </row>
    <row r="689">
      <c r="C689" s="79"/>
      <c r="D689" s="79"/>
      <c r="E689" s="79"/>
      <c r="O689" s="79"/>
      <c r="S689" s="79"/>
      <c r="T689" s="79"/>
      <c r="Y689" s="79"/>
      <c r="AC689" s="130"/>
      <c r="AE689" s="106"/>
    </row>
    <row r="690">
      <c r="C690" s="79"/>
      <c r="D690" s="79"/>
      <c r="E690" s="79"/>
      <c r="O690" s="79"/>
      <c r="S690" s="79"/>
      <c r="T690" s="79"/>
      <c r="Y690" s="79"/>
      <c r="AC690" s="130"/>
      <c r="AE690" s="106"/>
    </row>
    <row r="691">
      <c r="C691" s="79"/>
      <c r="D691" s="79"/>
      <c r="E691" s="79"/>
      <c r="O691" s="79"/>
      <c r="S691" s="79"/>
      <c r="T691" s="79"/>
      <c r="Y691" s="79"/>
      <c r="AC691" s="130"/>
      <c r="AE691" s="106"/>
    </row>
    <row r="692">
      <c r="C692" s="79"/>
      <c r="D692" s="79"/>
      <c r="E692" s="79"/>
      <c r="O692" s="79"/>
      <c r="S692" s="79"/>
      <c r="T692" s="79"/>
      <c r="Y692" s="79"/>
      <c r="AC692" s="130"/>
      <c r="AE692" s="106"/>
    </row>
    <row r="693">
      <c r="C693" s="79"/>
      <c r="D693" s="79"/>
      <c r="E693" s="79"/>
      <c r="O693" s="79"/>
      <c r="S693" s="79"/>
      <c r="T693" s="79"/>
      <c r="Y693" s="79"/>
      <c r="AC693" s="130"/>
      <c r="AE693" s="106"/>
    </row>
    <row r="694">
      <c r="C694" s="79"/>
      <c r="D694" s="79"/>
      <c r="E694" s="79"/>
      <c r="O694" s="79"/>
      <c r="S694" s="79"/>
      <c r="T694" s="79"/>
      <c r="Y694" s="79"/>
      <c r="AC694" s="130"/>
      <c r="AE694" s="106"/>
    </row>
    <row r="695">
      <c r="C695" s="79"/>
      <c r="D695" s="79"/>
      <c r="E695" s="79"/>
      <c r="O695" s="79"/>
      <c r="S695" s="79"/>
      <c r="T695" s="79"/>
      <c r="Y695" s="79"/>
      <c r="AC695" s="130"/>
      <c r="AE695" s="106"/>
    </row>
    <row r="696">
      <c r="C696" s="79"/>
      <c r="D696" s="79"/>
      <c r="E696" s="79"/>
      <c r="O696" s="79"/>
      <c r="S696" s="79"/>
      <c r="T696" s="79"/>
      <c r="Y696" s="79"/>
      <c r="AC696" s="130"/>
      <c r="AE696" s="106"/>
    </row>
    <row r="697">
      <c r="C697" s="79"/>
      <c r="D697" s="79"/>
      <c r="E697" s="79"/>
      <c r="O697" s="79"/>
      <c r="S697" s="79"/>
      <c r="T697" s="79"/>
      <c r="Y697" s="79"/>
      <c r="AC697" s="130"/>
      <c r="AE697" s="106"/>
    </row>
    <row r="698">
      <c r="C698" s="79"/>
      <c r="D698" s="79"/>
      <c r="E698" s="79"/>
      <c r="O698" s="79"/>
      <c r="S698" s="79"/>
      <c r="T698" s="79"/>
      <c r="Y698" s="79"/>
      <c r="AC698" s="130"/>
      <c r="AE698" s="106"/>
    </row>
    <row r="699">
      <c r="C699" s="79"/>
      <c r="D699" s="79"/>
      <c r="E699" s="79"/>
      <c r="O699" s="79"/>
      <c r="S699" s="79"/>
      <c r="T699" s="79"/>
      <c r="Y699" s="79"/>
      <c r="AC699" s="130"/>
      <c r="AE699" s="106"/>
    </row>
    <row r="700">
      <c r="C700" s="79"/>
      <c r="D700" s="79"/>
      <c r="E700" s="79"/>
      <c r="O700" s="79"/>
      <c r="S700" s="79"/>
      <c r="T700" s="79"/>
      <c r="Y700" s="79"/>
      <c r="AC700" s="130"/>
      <c r="AE700" s="106"/>
    </row>
    <row r="701">
      <c r="C701" s="79"/>
      <c r="D701" s="79"/>
      <c r="E701" s="79"/>
      <c r="O701" s="79"/>
      <c r="S701" s="79"/>
      <c r="T701" s="79"/>
      <c r="Y701" s="79"/>
      <c r="AC701" s="130"/>
      <c r="AE701" s="106"/>
    </row>
    <row r="702">
      <c r="C702" s="79"/>
      <c r="D702" s="79"/>
      <c r="E702" s="79"/>
      <c r="O702" s="79"/>
      <c r="S702" s="79"/>
      <c r="T702" s="79"/>
      <c r="Y702" s="79"/>
      <c r="AC702" s="130"/>
      <c r="AE702" s="106"/>
    </row>
    <row r="703">
      <c r="C703" s="79"/>
      <c r="D703" s="79"/>
      <c r="E703" s="79"/>
      <c r="O703" s="79"/>
      <c r="S703" s="79"/>
      <c r="T703" s="79"/>
      <c r="Y703" s="79"/>
      <c r="AC703" s="130"/>
      <c r="AE703" s="106"/>
    </row>
    <row r="704">
      <c r="C704" s="79"/>
      <c r="D704" s="79"/>
      <c r="E704" s="79"/>
      <c r="O704" s="79"/>
      <c r="S704" s="79"/>
      <c r="T704" s="79"/>
      <c r="Y704" s="79"/>
      <c r="AC704" s="130"/>
      <c r="AE704" s="106"/>
    </row>
    <row r="705">
      <c r="C705" s="79"/>
      <c r="D705" s="79"/>
      <c r="E705" s="79"/>
      <c r="O705" s="79"/>
      <c r="S705" s="79"/>
      <c r="T705" s="79"/>
      <c r="Y705" s="79"/>
      <c r="AC705" s="130"/>
      <c r="AE705" s="106"/>
    </row>
    <row r="706">
      <c r="C706" s="79"/>
      <c r="D706" s="79"/>
      <c r="E706" s="79"/>
      <c r="O706" s="79"/>
      <c r="S706" s="79"/>
      <c r="T706" s="79"/>
      <c r="Y706" s="79"/>
      <c r="AC706" s="130"/>
      <c r="AE706" s="106"/>
    </row>
    <row r="707">
      <c r="C707" s="79"/>
      <c r="D707" s="79"/>
      <c r="E707" s="79"/>
      <c r="O707" s="79"/>
      <c r="S707" s="79"/>
      <c r="T707" s="79"/>
      <c r="Y707" s="79"/>
      <c r="AC707" s="130"/>
      <c r="AE707" s="106"/>
    </row>
    <row r="708">
      <c r="C708" s="79"/>
      <c r="D708" s="79"/>
      <c r="E708" s="79"/>
      <c r="O708" s="79"/>
      <c r="S708" s="79"/>
      <c r="T708" s="79"/>
      <c r="Y708" s="79"/>
      <c r="AC708" s="130"/>
      <c r="AE708" s="106"/>
    </row>
    <row r="709">
      <c r="C709" s="79"/>
      <c r="D709" s="79"/>
      <c r="E709" s="79"/>
      <c r="O709" s="79"/>
      <c r="S709" s="79"/>
      <c r="T709" s="79"/>
      <c r="Y709" s="79"/>
      <c r="AC709" s="130"/>
      <c r="AE709" s="106"/>
    </row>
    <row r="710">
      <c r="C710" s="79"/>
      <c r="D710" s="79"/>
      <c r="E710" s="79"/>
      <c r="O710" s="79"/>
      <c r="S710" s="79"/>
      <c r="T710" s="79"/>
      <c r="Y710" s="79"/>
      <c r="AC710" s="130"/>
      <c r="AE710" s="106"/>
    </row>
    <row r="711">
      <c r="C711" s="79"/>
      <c r="D711" s="79"/>
      <c r="E711" s="79"/>
      <c r="O711" s="79"/>
      <c r="S711" s="79"/>
      <c r="T711" s="79"/>
      <c r="Y711" s="79"/>
      <c r="AC711" s="130"/>
      <c r="AE711" s="106"/>
    </row>
    <row r="712">
      <c r="C712" s="79"/>
      <c r="D712" s="79"/>
      <c r="E712" s="79"/>
      <c r="O712" s="79"/>
      <c r="S712" s="79"/>
      <c r="T712" s="79"/>
      <c r="Y712" s="79"/>
      <c r="AC712" s="130"/>
      <c r="AE712" s="106"/>
    </row>
    <row r="713">
      <c r="C713" s="79"/>
      <c r="D713" s="79"/>
      <c r="E713" s="79"/>
      <c r="O713" s="79"/>
      <c r="S713" s="79"/>
      <c r="T713" s="79"/>
      <c r="Y713" s="79"/>
      <c r="AC713" s="130"/>
      <c r="AE713" s="106"/>
    </row>
    <row r="714">
      <c r="C714" s="79"/>
      <c r="D714" s="79"/>
      <c r="E714" s="79"/>
      <c r="O714" s="79"/>
      <c r="S714" s="79"/>
      <c r="T714" s="79"/>
      <c r="Y714" s="79"/>
      <c r="AC714" s="130"/>
      <c r="AE714" s="106"/>
    </row>
    <row r="715">
      <c r="C715" s="79"/>
      <c r="D715" s="79"/>
      <c r="E715" s="79"/>
      <c r="O715" s="79"/>
      <c r="S715" s="79"/>
      <c r="T715" s="79"/>
      <c r="Y715" s="79"/>
      <c r="AC715" s="130"/>
      <c r="AE715" s="106"/>
    </row>
    <row r="716">
      <c r="C716" s="79"/>
      <c r="D716" s="79"/>
      <c r="E716" s="79"/>
      <c r="O716" s="79"/>
      <c r="S716" s="79"/>
      <c r="T716" s="79"/>
      <c r="Y716" s="79"/>
      <c r="AC716" s="130"/>
      <c r="AE716" s="106"/>
    </row>
    <row r="717">
      <c r="C717" s="79"/>
      <c r="D717" s="79"/>
      <c r="E717" s="79"/>
      <c r="O717" s="79"/>
      <c r="S717" s="79"/>
      <c r="T717" s="79"/>
      <c r="Y717" s="79"/>
      <c r="AC717" s="130"/>
      <c r="AE717" s="106"/>
    </row>
    <row r="718">
      <c r="C718" s="79"/>
      <c r="D718" s="79"/>
      <c r="E718" s="79"/>
      <c r="O718" s="79"/>
      <c r="S718" s="79"/>
      <c r="T718" s="79"/>
      <c r="Y718" s="79"/>
      <c r="AC718" s="130"/>
      <c r="AE718" s="106"/>
    </row>
    <row r="719">
      <c r="C719" s="79"/>
      <c r="D719" s="79"/>
      <c r="E719" s="79"/>
      <c r="O719" s="79"/>
      <c r="S719" s="79"/>
      <c r="T719" s="79"/>
      <c r="Y719" s="79"/>
      <c r="AC719" s="130"/>
      <c r="AE719" s="106"/>
    </row>
    <row r="720">
      <c r="C720" s="79"/>
      <c r="D720" s="79"/>
      <c r="E720" s="79"/>
      <c r="O720" s="79"/>
      <c r="S720" s="79"/>
      <c r="T720" s="79"/>
      <c r="Y720" s="79"/>
      <c r="AC720" s="130"/>
      <c r="AE720" s="106"/>
    </row>
    <row r="721">
      <c r="C721" s="79"/>
      <c r="D721" s="79"/>
      <c r="E721" s="79"/>
      <c r="O721" s="79"/>
      <c r="S721" s="79"/>
      <c r="T721" s="79"/>
      <c r="Y721" s="79"/>
      <c r="AC721" s="130"/>
      <c r="AE721" s="106"/>
    </row>
    <row r="722">
      <c r="C722" s="79"/>
      <c r="D722" s="79"/>
      <c r="E722" s="79"/>
      <c r="O722" s="79"/>
      <c r="S722" s="79"/>
      <c r="T722" s="79"/>
      <c r="Y722" s="79"/>
      <c r="AC722" s="130"/>
      <c r="AE722" s="106"/>
    </row>
    <row r="723">
      <c r="C723" s="79"/>
      <c r="D723" s="79"/>
      <c r="E723" s="79"/>
      <c r="O723" s="79"/>
      <c r="S723" s="79"/>
      <c r="T723" s="79"/>
      <c r="Y723" s="79"/>
      <c r="AC723" s="130"/>
      <c r="AE723" s="106"/>
    </row>
    <row r="724">
      <c r="C724" s="79"/>
      <c r="D724" s="79"/>
      <c r="E724" s="79"/>
      <c r="O724" s="79"/>
      <c r="S724" s="79"/>
      <c r="T724" s="79"/>
      <c r="Y724" s="79"/>
      <c r="AC724" s="130"/>
      <c r="AE724" s="106"/>
    </row>
    <row r="725">
      <c r="C725" s="79"/>
      <c r="D725" s="79"/>
      <c r="E725" s="79"/>
      <c r="O725" s="79"/>
      <c r="S725" s="79"/>
      <c r="T725" s="79"/>
      <c r="Y725" s="79"/>
      <c r="AC725" s="130"/>
      <c r="AE725" s="106"/>
    </row>
    <row r="726">
      <c r="C726" s="79"/>
      <c r="D726" s="79"/>
      <c r="E726" s="79"/>
      <c r="O726" s="79"/>
      <c r="S726" s="79"/>
      <c r="T726" s="79"/>
      <c r="Y726" s="79"/>
      <c r="AC726" s="130"/>
      <c r="AE726" s="106"/>
    </row>
    <row r="727">
      <c r="C727" s="79"/>
      <c r="D727" s="79"/>
      <c r="E727" s="79"/>
      <c r="O727" s="79"/>
      <c r="S727" s="79"/>
      <c r="T727" s="79"/>
      <c r="Y727" s="79"/>
      <c r="AC727" s="130"/>
      <c r="AE727" s="106"/>
    </row>
    <row r="728">
      <c r="C728" s="79"/>
      <c r="D728" s="79"/>
      <c r="E728" s="79"/>
      <c r="O728" s="79"/>
      <c r="S728" s="79"/>
      <c r="T728" s="79"/>
      <c r="Y728" s="79"/>
      <c r="AC728" s="130"/>
      <c r="AE728" s="106"/>
    </row>
    <row r="729">
      <c r="C729" s="79"/>
      <c r="D729" s="79"/>
      <c r="E729" s="79"/>
      <c r="O729" s="79"/>
      <c r="S729" s="79"/>
      <c r="T729" s="79"/>
      <c r="Y729" s="79"/>
      <c r="AC729" s="130"/>
      <c r="AE729" s="106"/>
    </row>
    <row r="730">
      <c r="C730" s="79"/>
      <c r="D730" s="79"/>
      <c r="E730" s="79"/>
      <c r="O730" s="79"/>
      <c r="S730" s="79"/>
      <c r="T730" s="79"/>
      <c r="Y730" s="79"/>
      <c r="AC730" s="130"/>
      <c r="AE730" s="106"/>
    </row>
    <row r="731">
      <c r="C731" s="79"/>
      <c r="D731" s="79"/>
      <c r="E731" s="79"/>
      <c r="O731" s="79"/>
      <c r="S731" s="79"/>
      <c r="T731" s="79"/>
      <c r="Y731" s="79"/>
      <c r="AC731" s="130"/>
      <c r="AE731" s="106"/>
    </row>
    <row r="732">
      <c r="C732" s="79"/>
      <c r="D732" s="79"/>
      <c r="E732" s="79"/>
      <c r="O732" s="79"/>
      <c r="S732" s="79"/>
      <c r="T732" s="79"/>
      <c r="Y732" s="79"/>
      <c r="AC732" s="130"/>
      <c r="AE732" s="106"/>
    </row>
    <row r="733">
      <c r="C733" s="79"/>
      <c r="D733" s="79"/>
      <c r="E733" s="79"/>
      <c r="O733" s="79"/>
      <c r="S733" s="79"/>
      <c r="T733" s="79"/>
      <c r="Y733" s="79"/>
      <c r="AC733" s="130"/>
      <c r="AE733" s="106"/>
    </row>
    <row r="734">
      <c r="C734" s="79"/>
      <c r="D734" s="79"/>
      <c r="E734" s="79"/>
      <c r="O734" s="79"/>
      <c r="S734" s="79"/>
      <c r="T734" s="79"/>
      <c r="Y734" s="79"/>
      <c r="AC734" s="130"/>
      <c r="AE734" s="106"/>
    </row>
    <row r="735">
      <c r="C735" s="79"/>
      <c r="D735" s="79"/>
      <c r="E735" s="79"/>
      <c r="O735" s="79"/>
      <c r="S735" s="79"/>
      <c r="T735" s="79"/>
      <c r="Y735" s="79"/>
      <c r="AC735" s="130"/>
      <c r="AE735" s="106"/>
    </row>
    <row r="736">
      <c r="C736" s="79"/>
      <c r="D736" s="79"/>
      <c r="E736" s="79"/>
      <c r="O736" s="79"/>
      <c r="S736" s="79"/>
      <c r="T736" s="79"/>
      <c r="Y736" s="79"/>
      <c r="AC736" s="130"/>
      <c r="AE736" s="106"/>
    </row>
    <row r="737">
      <c r="C737" s="79"/>
      <c r="D737" s="79"/>
      <c r="E737" s="79"/>
      <c r="O737" s="79"/>
      <c r="S737" s="79"/>
      <c r="T737" s="79"/>
      <c r="Y737" s="79"/>
      <c r="AC737" s="130"/>
      <c r="AE737" s="106"/>
    </row>
    <row r="738">
      <c r="C738" s="79"/>
      <c r="D738" s="79"/>
      <c r="E738" s="79"/>
      <c r="O738" s="79"/>
      <c r="S738" s="79"/>
      <c r="T738" s="79"/>
      <c r="Y738" s="79"/>
      <c r="AC738" s="130"/>
      <c r="AE738" s="106"/>
    </row>
    <row r="739">
      <c r="C739" s="79"/>
      <c r="D739" s="79"/>
      <c r="E739" s="79"/>
      <c r="O739" s="79"/>
      <c r="S739" s="79"/>
      <c r="T739" s="79"/>
      <c r="Y739" s="79"/>
      <c r="AC739" s="130"/>
      <c r="AE739" s="106"/>
    </row>
    <row r="740">
      <c r="C740" s="79"/>
      <c r="D740" s="79"/>
      <c r="E740" s="79"/>
      <c r="O740" s="79"/>
      <c r="S740" s="79"/>
      <c r="T740" s="79"/>
      <c r="Y740" s="79"/>
      <c r="AC740" s="130"/>
      <c r="AE740" s="106"/>
    </row>
    <row r="741">
      <c r="C741" s="79"/>
      <c r="D741" s="79"/>
      <c r="E741" s="79"/>
      <c r="O741" s="79"/>
      <c r="S741" s="79"/>
      <c r="T741" s="79"/>
      <c r="Y741" s="79"/>
      <c r="AC741" s="130"/>
      <c r="AE741" s="106"/>
    </row>
    <row r="742">
      <c r="C742" s="79"/>
      <c r="D742" s="79"/>
      <c r="E742" s="79"/>
      <c r="O742" s="79"/>
      <c r="S742" s="79"/>
      <c r="T742" s="79"/>
      <c r="Y742" s="79"/>
      <c r="AC742" s="130"/>
      <c r="AE742" s="106"/>
    </row>
    <row r="743">
      <c r="C743" s="79"/>
      <c r="D743" s="79"/>
      <c r="E743" s="79"/>
      <c r="O743" s="79"/>
      <c r="S743" s="79"/>
      <c r="T743" s="79"/>
      <c r="Y743" s="79"/>
      <c r="AC743" s="130"/>
      <c r="AE743" s="106"/>
    </row>
    <row r="744">
      <c r="C744" s="79"/>
      <c r="D744" s="79"/>
      <c r="E744" s="79"/>
      <c r="O744" s="79"/>
      <c r="S744" s="79"/>
      <c r="T744" s="79"/>
      <c r="Y744" s="79"/>
      <c r="AC744" s="130"/>
      <c r="AE744" s="106"/>
    </row>
    <row r="745">
      <c r="C745" s="79"/>
      <c r="D745" s="79"/>
      <c r="E745" s="79"/>
      <c r="O745" s="79"/>
      <c r="S745" s="79"/>
      <c r="T745" s="79"/>
      <c r="Y745" s="79"/>
      <c r="AC745" s="130"/>
      <c r="AE745" s="106"/>
    </row>
    <row r="746">
      <c r="C746" s="79"/>
      <c r="D746" s="79"/>
      <c r="E746" s="79"/>
      <c r="O746" s="79"/>
      <c r="S746" s="79"/>
      <c r="T746" s="79"/>
      <c r="Y746" s="79"/>
      <c r="AC746" s="130"/>
      <c r="AE746" s="106"/>
    </row>
    <row r="747">
      <c r="C747" s="79"/>
      <c r="D747" s="79"/>
      <c r="E747" s="79"/>
      <c r="O747" s="79"/>
      <c r="S747" s="79"/>
      <c r="T747" s="79"/>
      <c r="Y747" s="79"/>
      <c r="AC747" s="130"/>
      <c r="AE747" s="106"/>
    </row>
    <row r="748">
      <c r="C748" s="79"/>
      <c r="D748" s="79"/>
      <c r="E748" s="79"/>
      <c r="O748" s="79"/>
      <c r="S748" s="79"/>
      <c r="T748" s="79"/>
      <c r="Y748" s="79"/>
      <c r="AC748" s="130"/>
      <c r="AE748" s="106"/>
    </row>
    <row r="749">
      <c r="C749" s="79"/>
      <c r="D749" s="79"/>
      <c r="E749" s="79"/>
      <c r="O749" s="79"/>
      <c r="S749" s="79"/>
      <c r="T749" s="79"/>
      <c r="Y749" s="79"/>
      <c r="AC749" s="130"/>
      <c r="AE749" s="106"/>
    </row>
    <row r="750">
      <c r="C750" s="79"/>
      <c r="D750" s="79"/>
      <c r="E750" s="79"/>
      <c r="O750" s="79"/>
      <c r="S750" s="79"/>
      <c r="T750" s="79"/>
      <c r="Y750" s="79"/>
      <c r="AC750" s="130"/>
      <c r="AE750" s="106"/>
    </row>
    <row r="751">
      <c r="C751" s="79"/>
      <c r="D751" s="79"/>
      <c r="E751" s="79"/>
      <c r="O751" s="79"/>
      <c r="S751" s="79"/>
      <c r="T751" s="79"/>
      <c r="Y751" s="79"/>
      <c r="AC751" s="130"/>
      <c r="AE751" s="106"/>
    </row>
    <row r="752">
      <c r="C752" s="79"/>
      <c r="D752" s="79"/>
      <c r="E752" s="79"/>
      <c r="O752" s="79"/>
      <c r="S752" s="79"/>
      <c r="T752" s="79"/>
      <c r="Y752" s="79"/>
      <c r="AC752" s="130"/>
      <c r="AE752" s="106"/>
    </row>
    <row r="753">
      <c r="C753" s="79"/>
      <c r="D753" s="79"/>
      <c r="E753" s="79"/>
      <c r="O753" s="79"/>
      <c r="S753" s="79"/>
      <c r="T753" s="79"/>
      <c r="Y753" s="79"/>
      <c r="AC753" s="130"/>
      <c r="AE753" s="106"/>
    </row>
    <row r="754">
      <c r="C754" s="79"/>
      <c r="D754" s="79"/>
      <c r="E754" s="79"/>
      <c r="O754" s="79"/>
      <c r="S754" s="79"/>
      <c r="T754" s="79"/>
      <c r="Y754" s="79"/>
      <c r="AC754" s="130"/>
      <c r="AE754" s="106"/>
    </row>
    <row r="755">
      <c r="C755" s="79"/>
      <c r="D755" s="79"/>
      <c r="E755" s="79"/>
      <c r="O755" s="79"/>
      <c r="S755" s="79"/>
      <c r="T755" s="79"/>
      <c r="Y755" s="79"/>
      <c r="AC755" s="130"/>
      <c r="AE755" s="106"/>
    </row>
    <row r="756">
      <c r="C756" s="79"/>
      <c r="D756" s="79"/>
      <c r="E756" s="79"/>
      <c r="O756" s="79"/>
      <c r="S756" s="79"/>
      <c r="T756" s="79"/>
      <c r="Y756" s="79"/>
      <c r="AC756" s="130"/>
      <c r="AE756" s="106"/>
    </row>
    <row r="757">
      <c r="C757" s="79"/>
      <c r="D757" s="79"/>
      <c r="E757" s="79"/>
      <c r="O757" s="79"/>
      <c r="S757" s="79"/>
      <c r="T757" s="79"/>
      <c r="Y757" s="79"/>
      <c r="AC757" s="130"/>
      <c r="AE757" s="106"/>
    </row>
    <row r="758">
      <c r="C758" s="79"/>
      <c r="D758" s="79"/>
      <c r="E758" s="79"/>
      <c r="O758" s="79"/>
      <c r="S758" s="79"/>
      <c r="T758" s="79"/>
      <c r="Y758" s="79"/>
      <c r="AC758" s="130"/>
      <c r="AE758" s="106"/>
    </row>
    <row r="759">
      <c r="C759" s="79"/>
      <c r="D759" s="79"/>
      <c r="E759" s="79"/>
      <c r="O759" s="79"/>
      <c r="S759" s="79"/>
      <c r="T759" s="79"/>
      <c r="Y759" s="79"/>
      <c r="AC759" s="130"/>
      <c r="AE759" s="106"/>
    </row>
    <row r="760">
      <c r="C760" s="79"/>
      <c r="D760" s="79"/>
      <c r="E760" s="79"/>
      <c r="O760" s="79"/>
      <c r="S760" s="79"/>
      <c r="T760" s="79"/>
      <c r="Y760" s="79"/>
      <c r="AC760" s="130"/>
      <c r="AE760" s="106"/>
    </row>
    <row r="761">
      <c r="C761" s="79"/>
      <c r="D761" s="79"/>
      <c r="E761" s="79"/>
      <c r="O761" s="79"/>
      <c r="S761" s="79"/>
      <c r="T761" s="79"/>
      <c r="Y761" s="79"/>
      <c r="AC761" s="130"/>
      <c r="AE761" s="106"/>
    </row>
    <row r="762">
      <c r="C762" s="79"/>
      <c r="D762" s="79"/>
      <c r="E762" s="79"/>
      <c r="O762" s="79"/>
      <c r="S762" s="79"/>
      <c r="T762" s="79"/>
      <c r="Y762" s="79"/>
      <c r="AC762" s="130"/>
      <c r="AE762" s="106"/>
    </row>
    <row r="763">
      <c r="C763" s="79"/>
      <c r="D763" s="79"/>
      <c r="E763" s="79"/>
      <c r="O763" s="79"/>
      <c r="S763" s="79"/>
      <c r="T763" s="79"/>
      <c r="Y763" s="79"/>
      <c r="AC763" s="130"/>
      <c r="AE763" s="106"/>
    </row>
    <row r="764">
      <c r="C764" s="79"/>
      <c r="D764" s="79"/>
      <c r="E764" s="79"/>
      <c r="O764" s="79"/>
      <c r="S764" s="79"/>
      <c r="T764" s="79"/>
      <c r="Y764" s="79"/>
      <c r="AC764" s="130"/>
      <c r="AE764" s="106"/>
    </row>
    <row r="765">
      <c r="C765" s="79"/>
      <c r="D765" s="79"/>
      <c r="E765" s="79"/>
      <c r="O765" s="79"/>
      <c r="S765" s="79"/>
      <c r="T765" s="79"/>
      <c r="Y765" s="79"/>
      <c r="AC765" s="130"/>
      <c r="AE765" s="106"/>
    </row>
    <row r="766">
      <c r="C766" s="79"/>
      <c r="D766" s="79"/>
      <c r="E766" s="79"/>
      <c r="O766" s="79"/>
      <c r="S766" s="79"/>
      <c r="T766" s="79"/>
      <c r="Y766" s="79"/>
      <c r="AC766" s="130"/>
      <c r="AE766" s="106"/>
    </row>
    <row r="767">
      <c r="C767" s="79"/>
      <c r="D767" s="79"/>
      <c r="E767" s="79"/>
      <c r="O767" s="79"/>
      <c r="S767" s="79"/>
      <c r="T767" s="79"/>
      <c r="Y767" s="79"/>
      <c r="AC767" s="130"/>
      <c r="AE767" s="106"/>
    </row>
    <row r="768">
      <c r="C768" s="79"/>
      <c r="D768" s="79"/>
      <c r="E768" s="79"/>
      <c r="O768" s="79"/>
      <c r="S768" s="79"/>
      <c r="T768" s="79"/>
      <c r="Y768" s="79"/>
      <c r="AC768" s="130"/>
      <c r="AE768" s="106"/>
    </row>
    <row r="769">
      <c r="C769" s="79"/>
      <c r="D769" s="79"/>
      <c r="E769" s="79"/>
      <c r="O769" s="79"/>
      <c r="S769" s="79"/>
      <c r="T769" s="79"/>
      <c r="Y769" s="79"/>
      <c r="AC769" s="130"/>
      <c r="AE769" s="106"/>
    </row>
    <row r="770">
      <c r="C770" s="79"/>
      <c r="D770" s="79"/>
      <c r="E770" s="79"/>
      <c r="O770" s="79"/>
      <c r="S770" s="79"/>
      <c r="T770" s="79"/>
      <c r="Y770" s="79"/>
      <c r="AC770" s="130"/>
      <c r="AE770" s="106"/>
    </row>
    <row r="771">
      <c r="C771" s="79"/>
      <c r="D771" s="79"/>
      <c r="E771" s="79"/>
      <c r="O771" s="79"/>
      <c r="S771" s="79"/>
      <c r="T771" s="79"/>
      <c r="Y771" s="79"/>
      <c r="AC771" s="130"/>
      <c r="AE771" s="106"/>
    </row>
    <row r="772">
      <c r="C772" s="79"/>
      <c r="D772" s="79"/>
      <c r="E772" s="79"/>
      <c r="O772" s="79"/>
      <c r="S772" s="79"/>
      <c r="T772" s="79"/>
      <c r="Y772" s="79"/>
      <c r="AC772" s="130"/>
      <c r="AE772" s="106"/>
    </row>
    <row r="773">
      <c r="C773" s="79"/>
      <c r="D773" s="79"/>
      <c r="E773" s="79"/>
      <c r="O773" s="79"/>
      <c r="S773" s="79"/>
      <c r="T773" s="79"/>
      <c r="Y773" s="79"/>
      <c r="AC773" s="130"/>
      <c r="AE773" s="106"/>
    </row>
    <row r="774">
      <c r="C774" s="79"/>
      <c r="D774" s="79"/>
      <c r="E774" s="79"/>
      <c r="O774" s="79"/>
      <c r="S774" s="79"/>
      <c r="T774" s="79"/>
      <c r="Y774" s="79"/>
      <c r="AC774" s="130"/>
      <c r="AE774" s="106"/>
    </row>
    <row r="775">
      <c r="C775" s="79"/>
      <c r="D775" s="79"/>
      <c r="E775" s="79"/>
      <c r="O775" s="79"/>
      <c r="S775" s="79"/>
      <c r="T775" s="79"/>
      <c r="Y775" s="79"/>
      <c r="AC775" s="130"/>
      <c r="AE775" s="106"/>
    </row>
    <row r="776">
      <c r="C776" s="79"/>
      <c r="D776" s="79"/>
      <c r="E776" s="79"/>
      <c r="O776" s="79"/>
      <c r="S776" s="79"/>
      <c r="T776" s="79"/>
      <c r="Y776" s="79"/>
      <c r="AC776" s="130"/>
      <c r="AE776" s="106"/>
    </row>
    <row r="777">
      <c r="C777" s="79"/>
      <c r="D777" s="79"/>
      <c r="E777" s="79"/>
      <c r="O777" s="79"/>
      <c r="S777" s="79"/>
      <c r="T777" s="79"/>
      <c r="Y777" s="79"/>
      <c r="AC777" s="130"/>
      <c r="AE777" s="106"/>
    </row>
    <row r="778">
      <c r="C778" s="79"/>
      <c r="D778" s="79"/>
      <c r="E778" s="79"/>
      <c r="O778" s="79"/>
      <c r="S778" s="79"/>
      <c r="T778" s="79"/>
      <c r="Y778" s="79"/>
      <c r="AC778" s="130"/>
      <c r="AE778" s="106"/>
    </row>
    <row r="779">
      <c r="C779" s="79"/>
      <c r="D779" s="79"/>
      <c r="E779" s="79"/>
      <c r="O779" s="79"/>
      <c r="S779" s="79"/>
      <c r="T779" s="79"/>
      <c r="Y779" s="79"/>
      <c r="AC779" s="130"/>
      <c r="AE779" s="106"/>
    </row>
    <row r="780">
      <c r="C780" s="79"/>
      <c r="D780" s="79"/>
      <c r="E780" s="79"/>
      <c r="O780" s="79"/>
      <c r="S780" s="79"/>
      <c r="T780" s="79"/>
      <c r="Y780" s="79"/>
      <c r="AC780" s="130"/>
      <c r="AE780" s="106"/>
    </row>
    <row r="781">
      <c r="C781" s="79"/>
      <c r="D781" s="79"/>
      <c r="E781" s="79"/>
      <c r="O781" s="79"/>
      <c r="S781" s="79"/>
      <c r="T781" s="79"/>
      <c r="Y781" s="79"/>
      <c r="AC781" s="130"/>
      <c r="AE781" s="106"/>
    </row>
    <row r="782">
      <c r="C782" s="79"/>
      <c r="D782" s="79"/>
      <c r="E782" s="79"/>
      <c r="O782" s="79"/>
      <c r="S782" s="79"/>
      <c r="T782" s="79"/>
      <c r="Y782" s="79"/>
      <c r="AC782" s="130"/>
      <c r="AE782" s="106"/>
    </row>
    <row r="783">
      <c r="C783" s="79"/>
      <c r="D783" s="79"/>
      <c r="E783" s="79"/>
      <c r="O783" s="79"/>
      <c r="S783" s="79"/>
      <c r="T783" s="79"/>
      <c r="Y783" s="79"/>
      <c r="AC783" s="130"/>
      <c r="AE783" s="106"/>
    </row>
    <row r="784">
      <c r="C784" s="79"/>
      <c r="D784" s="79"/>
      <c r="E784" s="79"/>
      <c r="O784" s="79"/>
      <c r="S784" s="79"/>
      <c r="T784" s="79"/>
      <c r="Y784" s="79"/>
      <c r="AC784" s="130"/>
      <c r="AE784" s="106"/>
    </row>
    <row r="785">
      <c r="C785" s="79"/>
      <c r="D785" s="79"/>
      <c r="E785" s="79"/>
      <c r="O785" s="79"/>
      <c r="S785" s="79"/>
      <c r="T785" s="79"/>
      <c r="Y785" s="79"/>
      <c r="AC785" s="130"/>
      <c r="AE785" s="106"/>
    </row>
    <row r="786">
      <c r="C786" s="79"/>
      <c r="D786" s="79"/>
      <c r="E786" s="79"/>
      <c r="O786" s="79"/>
      <c r="S786" s="79"/>
      <c r="T786" s="79"/>
      <c r="Y786" s="79"/>
      <c r="AC786" s="130"/>
      <c r="AE786" s="106"/>
    </row>
    <row r="787">
      <c r="C787" s="79"/>
      <c r="D787" s="79"/>
      <c r="E787" s="79"/>
      <c r="O787" s="79"/>
      <c r="S787" s="79"/>
      <c r="T787" s="79"/>
      <c r="Y787" s="79"/>
      <c r="AC787" s="130"/>
      <c r="AE787" s="106"/>
    </row>
    <row r="788">
      <c r="C788" s="79"/>
      <c r="D788" s="79"/>
      <c r="E788" s="79"/>
      <c r="O788" s="79"/>
      <c r="S788" s="79"/>
      <c r="T788" s="79"/>
      <c r="Y788" s="79"/>
      <c r="AC788" s="130"/>
      <c r="AE788" s="106"/>
    </row>
    <row r="789">
      <c r="C789" s="79"/>
      <c r="D789" s="79"/>
      <c r="E789" s="79"/>
      <c r="O789" s="79"/>
      <c r="S789" s="79"/>
      <c r="T789" s="79"/>
      <c r="Y789" s="79"/>
      <c r="AC789" s="130"/>
      <c r="AE789" s="106"/>
    </row>
    <row r="790">
      <c r="C790" s="79"/>
      <c r="D790" s="79"/>
      <c r="E790" s="79"/>
      <c r="O790" s="79"/>
      <c r="S790" s="79"/>
      <c r="T790" s="79"/>
      <c r="Y790" s="79"/>
      <c r="AC790" s="130"/>
      <c r="AE790" s="106"/>
    </row>
    <row r="791">
      <c r="C791" s="79"/>
      <c r="D791" s="79"/>
      <c r="E791" s="79"/>
      <c r="O791" s="79"/>
      <c r="S791" s="79"/>
      <c r="T791" s="79"/>
      <c r="Y791" s="79"/>
      <c r="AC791" s="130"/>
      <c r="AE791" s="106"/>
    </row>
    <row r="792">
      <c r="C792" s="79"/>
      <c r="D792" s="79"/>
      <c r="E792" s="79"/>
      <c r="O792" s="79"/>
      <c r="S792" s="79"/>
      <c r="T792" s="79"/>
      <c r="Y792" s="79"/>
      <c r="AC792" s="130"/>
      <c r="AE792" s="106"/>
    </row>
    <row r="793">
      <c r="C793" s="79"/>
      <c r="D793" s="79"/>
      <c r="E793" s="79"/>
      <c r="O793" s="79"/>
      <c r="S793" s="79"/>
      <c r="T793" s="79"/>
      <c r="Y793" s="79"/>
      <c r="AC793" s="130"/>
      <c r="AE793" s="106"/>
    </row>
    <row r="794">
      <c r="C794" s="79"/>
      <c r="D794" s="79"/>
      <c r="E794" s="79"/>
      <c r="O794" s="79"/>
      <c r="S794" s="79"/>
      <c r="T794" s="79"/>
      <c r="Y794" s="79"/>
      <c r="AC794" s="130"/>
      <c r="AE794" s="106"/>
    </row>
    <row r="795">
      <c r="C795" s="79"/>
      <c r="D795" s="79"/>
      <c r="E795" s="79"/>
      <c r="O795" s="79"/>
      <c r="S795" s="79"/>
      <c r="T795" s="79"/>
      <c r="Y795" s="79"/>
      <c r="AC795" s="130"/>
      <c r="AE795" s="106"/>
    </row>
    <row r="796">
      <c r="C796" s="79"/>
      <c r="D796" s="79"/>
      <c r="E796" s="79"/>
      <c r="O796" s="79"/>
      <c r="S796" s="79"/>
      <c r="T796" s="79"/>
      <c r="Y796" s="79"/>
      <c r="AC796" s="130"/>
      <c r="AE796" s="106"/>
    </row>
    <row r="797">
      <c r="C797" s="79"/>
      <c r="D797" s="79"/>
      <c r="E797" s="79"/>
      <c r="O797" s="79"/>
      <c r="S797" s="79"/>
      <c r="T797" s="79"/>
      <c r="Y797" s="79"/>
      <c r="AC797" s="130"/>
      <c r="AE797" s="106"/>
    </row>
    <row r="798">
      <c r="C798" s="79"/>
      <c r="D798" s="79"/>
      <c r="E798" s="79"/>
      <c r="O798" s="79"/>
      <c r="S798" s="79"/>
      <c r="T798" s="79"/>
      <c r="Y798" s="79"/>
      <c r="AC798" s="130"/>
      <c r="AE798" s="106"/>
    </row>
    <row r="799">
      <c r="C799" s="79"/>
      <c r="D799" s="79"/>
      <c r="E799" s="79"/>
      <c r="O799" s="79"/>
      <c r="S799" s="79"/>
      <c r="T799" s="79"/>
      <c r="Y799" s="79"/>
      <c r="AC799" s="130"/>
      <c r="AE799" s="106"/>
    </row>
    <row r="800">
      <c r="C800" s="79"/>
      <c r="D800" s="79"/>
      <c r="E800" s="79"/>
      <c r="O800" s="79"/>
      <c r="S800" s="79"/>
      <c r="T800" s="79"/>
      <c r="Y800" s="79"/>
      <c r="AC800" s="130"/>
      <c r="AE800" s="106"/>
    </row>
    <row r="801">
      <c r="C801" s="79"/>
      <c r="D801" s="79"/>
      <c r="E801" s="79"/>
      <c r="O801" s="79"/>
      <c r="S801" s="79"/>
      <c r="T801" s="79"/>
      <c r="Y801" s="79"/>
      <c r="AC801" s="130"/>
      <c r="AE801" s="106"/>
    </row>
    <row r="802">
      <c r="C802" s="79"/>
      <c r="D802" s="79"/>
      <c r="E802" s="79"/>
      <c r="O802" s="79"/>
      <c r="S802" s="79"/>
      <c r="T802" s="79"/>
      <c r="Y802" s="79"/>
      <c r="AC802" s="130"/>
      <c r="AE802" s="106"/>
    </row>
    <row r="803">
      <c r="C803" s="79"/>
      <c r="D803" s="79"/>
      <c r="E803" s="79"/>
      <c r="O803" s="79"/>
      <c r="S803" s="79"/>
      <c r="T803" s="79"/>
      <c r="Y803" s="79"/>
      <c r="AC803" s="130"/>
      <c r="AE803" s="106"/>
    </row>
    <row r="804">
      <c r="C804" s="79"/>
      <c r="D804" s="79"/>
      <c r="E804" s="79"/>
      <c r="O804" s="79"/>
      <c r="S804" s="79"/>
      <c r="T804" s="79"/>
      <c r="Y804" s="79"/>
      <c r="AC804" s="130"/>
      <c r="AE804" s="106"/>
    </row>
    <row r="805">
      <c r="C805" s="79"/>
      <c r="D805" s="79"/>
      <c r="E805" s="79"/>
      <c r="O805" s="79"/>
      <c r="S805" s="79"/>
      <c r="T805" s="79"/>
      <c r="Y805" s="79"/>
      <c r="AC805" s="130"/>
      <c r="AE805" s="106"/>
    </row>
    <row r="806">
      <c r="C806" s="79"/>
      <c r="D806" s="79"/>
      <c r="E806" s="79"/>
      <c r="O806" s="79"/>
      <c r="S806" s="79"/>
      <c r="T806" s="79"/>
      <c r="Y806" s="79"/>
      <c r="AC806" s="130"/>
      <c r="AE806" s="106"/>
    </row>
    <row r="807">
      <c r="C807" s="79"/>
      <c r="D807" s="79"/>
      <c r="E807" s="79"/>
      <c r="O807" s="79"/>
      <c r="S807" s="79"/>
      <c r="T807" s="79"/>
      <c r="Y807" s="79"/>
      <c r="AC807" s="130"/>
      <c r="AE807" s="106"/>
    </row>
    <row r="808">
      <c r="C808" s="79"/>
      <c r="D808" s="79"/>
      <c r="E808" s="79"/>
      <c r="O808" s="79"/>
      <c r="S808" s="79"/>
      <c r="T808" s="79"/>
      <c r="Y808" s="79"/>
      <c r="AC808" s="130"/>
      <c r="AE808" s="106"/>
    </row>
    <row r="809">
      <c r="C809" s="79"/>
      <c r="D809" s="79"/>
      <c r="E809" s="79"/>
      <c r="O809" s="79"/>
      <c r="S809" s="79"/>
      <c r="T809" s="79"/>
      <c r="Y809" s="79"/>
      <c r="AC809" s="130"/>
      <c r="AE809" s="106"/>
    </row>
    <row r="810">
      <c r="C810" s="79"/>
      <c r="D810" s="79"/>
      <c r="E810" s="79"/>
      <c r="O810" s="79"/>
      <c r="S810" s="79"/>
      <c r="T810" s="79"/>
      <c r="Y810" s="79"/>
      <c r="AC810" s="130"/>
      <c r="AE810" s="106"/>
    </row>
    <row r="811">
      <c r="C811" s="79"/>
      <c r="D811" s="79"/>
      <c r="E811" s="79"/>
      <c r="O811" s="79"/>
      <c r="S811" s="79"/>
      <c r="T811" s="79"/>
      <c r="Y811" s="79"/>
      <c r="AC811" s="130"/>
      <c r="AE811" s="106"/>
    </row>
    <row r="812">
      <c r="C812" s="79"/>
      <c r="D812" s="79"/>
      <c r="E812" s="79"/>
      <c r="O812" s="79"/>
      <c r="S812" s="79"/>
      <c r="T812" s="79"/>
      <c r="Y812" s="79"/>
      <c r="AC812" s="130"/>
      <c r="AE812" s="106"/>
    </row>
    <row r="813">
      <c r="C813" s="79"/>
      <c r="D813" s="79"/>
      <c r="E813" s="79"/>
      <c r="O813" s="79"/>
      <c r="S813" s="79"/>
      <c r="T813" s="79"/>
      <c r="Y813" s="79"/>
      <c r="AC813" s="130"/>
      <c r="AE813" s="106"/>
    </row>
    <row r="814">
      <c r="C814" s="79"/>
      <c r="D814" s="79"/>
      <c r="E814" s="79"/>
      <c r="O814" s="79"/>
      <c r="S814" s="79"/>
      <c r="T814" s="79"/>
      <c r="Y814" s="79"/>
      <c r="AC814" s="130"/>
      <c r="AE814" s="106"/>
    </row>
    <row r="815">
      <c r="C815" s="79"/>
      <c r="D815" s="79"/>
      <c r="E815" s="79"/>
      <c r="O815" s="79"/>
      <c r="S815" s="79"/>
      <c r="T815" s="79"/>
      <c r="Y815" s="79"/>
      <c r="AC815" s="130"/>
      <c r="AE815" s="106"/>
    </row>
    <row r="816">
      <c r="C816" s="79"/>
      <c r="D816" s="79"/>
      <c r="E816" s="79"/>
      <c r="O816" s="79"/>
      <c r="S816" s="79"/>
      <c r="T816" s="79"/>
      <c r="Y816" s="79"/>
      <c r="AC816" s="130"/>
      <c r="AE816" s="106"/>
    </row>
    <row r="817">
      <c r="C817" s="79"/>
      <c r="D817" s="79"/>
      <c r="E817" s="79"/>
      <c r="O817" s="79"/>
      <c r="S817" s="79"/>
      <c r="T817" s="79"/>
      <c r="Y817" s="79"/>
      <c r="AC817" s="130"/>
      <c r="AE817" s="106"/>
    </row>
    <row r="818">
      <c r="C818" s="79"/>
      <c r="D818" s="79"/>
      <c r="E818" s="79"/>
      <c r="O818" s="79"/>
      <c r="S818" s="79"/>
      <c r="T818" s="79"/>
      <c r="Y818" s="79"/>
      <c r="AC818" s="130"/>
      <c r="AE818" s="106"/>
    </row>
    <row r="819">
      <c r="C819" s="79"/>
      <c r="D819" s="79"/>
      <c r="E819" s="79"/>
      <c r="O819" s="79"/>
      <c r="S819" s="79"/>
      <c r="T819" s="79"/>
      <c r="Y819" s="79"/>
      <c r="AC819" s="130"/>
      <c r="AE819" s="106"/>
    </row>
    <row r="820">
      <c r="C820" s="79"/>
      <c r="D820" s="79"/>
      <c r="E820" s="79"/>
      <c r="O820" s="79"/>
      <c r="S820" s="79"/>
      <c r="T820" s="79"/>
      <c r="Y820" s="79"/>
      <c r="AC820" s="130"/>
      <c r="AE820" s="106"/>
    </row>
    <row r="821">
      <c r="C821" s="79"/>
      <c r="D821" s="79"/>
      <c r="E821" s="79"/>
      <c r="O821" s="79"/>
      <c r="S821" s="79"/>
      <c r="T821" s="79"/>
      <c r="Y821" s="79"/>
      <c r="AC821" s="130"/>
      <c r="AE821" s="106"/>
    </row>
    <row r="822">
      <c r="C822" s="79"/>
      <c r="D822" s="79"/>
      <c r="E822" s="79"/>
      <c r="O822" s="79"/>
      <c r="S822" s="79"/>
      <c r="T822" s="79"/>
      <c r="Y822" s="79"/>
      <c r="AC822" s="130"/>
      <c r="AE822" s="106"/>
    </row>
    <row r="823">
      <c r="C823" s="79"/>
      <c r="D823" s="79"/>
      <c r="E823" s="79"/>
      <c r="O823" s="79"/>
      <c r="S823" s="79"/>
      <c r="T823" s="79"/>
      <c r="Y823" s="79"/>
      <c r="AC823" s="130"/>
      <c r="AE823" s="106"/>
    </row>
    <row r="824">
      <c r="C824" s="79"/>
      <c r="D824" s="79"/>
      <c r="E824" s="79"/>
      <c r="O824" s="79"/>
      <c r="S824" s="79"/>
      <c r="T824" s="79"/>
      <c r="Y824" s="79"/>
      <c r="AC824" s="130"/>
      <c r="AE824" s="106"/>
    </row>
    <row r="825">
      <c r="C825" s="79"/>
      <c r="D825" s="79"/>
      <c r="E825" s="79"/>
      <c r="O825" s="79"/>
      <c r="S825" s="79"/>
      <c r="T825" s="79"/>
      <c r="Y825" s="79"/>
      <c r="AC825" s="130"/>
      <c r="AE825" s="106"/>
    </row>
    <row r="826">
      <c r="C826" s="79"/>
      <c r="D826" s="79"/>
      <c r="E826" s="79"/>
      <c r="O826" s="79"/>
      <c r="S826" s="79"/>
      <c r="T826" s="79"/>
      <c r="Y826" s="79"/>
      <c r="AC826" s="130"/>
      <c r="AE826" s="106"/>
    </row>
    <row r="827">
      <c r="C827" s="79"/>
      <c r="D827" s="79"/>
      <c r="E827" s="79"/>
      <c r="O827" s="79"/>
      <c r="S827" s="79"/>
      <c r="T827" s="79"/>
      <c r="Y827" s="79"/>
      <c r="AC827" s="130"/>
      <c r="AE827" s="106"/>
    </row>
    <row r="828">
      <c r="C828" s="79"/>
      <c r="D828" s="79"/>
      <c r="E828" s="79"/>
      <c r="O828" s="79"/>
      <c r="S828" s="79"/>
      <c r="T828" s="79"/>
      <c r="Y828" s="79"/>
      <c r="AC828" s="130"/>
      <c r="AE828" s="106"/>
    </row>
    <row r="829">
      <c r="C829" s="79"/>
      <c r="D829" s="79"/>
      <c r="E829" s="79"/>
      <c r="O829" s="79"/>
      <c r="S829" s="79"/>
      <c r="T829" s="79"/>
      <c r="Y829" s="79"/>
      <c r="AC829" s="130"/>
      <c r="AE829" s="106"/>
    </row>
    <row r="830">
      <c r="C830" s="79"/>
      <c r="D830" s="79"/>
      <c r="E830" s="79"/>
      <c r="O830" s="79"/>
      <c r="S830" s="79"/>
      <c r="T830" s="79"/>
      <c r="Y830" s="79"/>
      <c r="AC830" s="130"/>
      <c r="AE830" s="106"/>
    </row>
    <row r="831">
      <c r="C831" s="79"/>
      <c r="D831" s="79"/>
      <c r="E831" s="79"/>
      <c r="O831" s="79"/>
      <c r="S831" s="79"/>
      <c r="T831" s="79"/>
      <c r="Y831" s="79"/>
      <c r="AC831" s="130"/>
      <c r="AE831" s="106"/>
    </row>
    <row r="832">
      <c r="C832" s="79"/>
      <c r="D832" s="79"/>
      <c r="E832" s="79"/>
      <c r="O832" s="79"/>
      <c r="S832" s="79"/>
      <c r="T832" s="79"/>
      <c r="Y832" s="79"/>
      <c r="AC832" s="130"/>
      <c r="AE832" s="106"/>
    </row>
    <row r="833">
      <c r="C833" s="79"/>
      <c r="D833" s="79"/>
      <c r="E833" s="79"/>
      <c r="O833" s="79"/>
      <c r="S833" s="79"/>
      <c r="T833" s="79"/>
      <c r="Y833" s="79"/>
      <c r="AC833" s="130"/>
      <c r="AE833" s="106"/>
    </row>
    <row r="834">
      <c r="C834" s="79"/>
      <c r="D834" s="79"/>
      <c r="E834" s="79"/>
      <c r="O834" s="79"/>
      <c r="S834" s="79"/>
      <c r="T834" s="79"/>
      <c r="Y834" s="79"/>
      <c r="AC834" s="130"/>
      <c r="AE834" s="106"/>
    </row>
    <row r="835">
      <c r="C835" s="79"/>
      <c r="D835" s="79"/>
      <c r="E835" s="79"/>
      <c r="O835" s="79"/>
      <c r="S835" s="79"/>
      <c r="T835" s="79"/>
      <c r="Y835" s="79"/>
      <c r="AC835" s="130"/>
      <c r="AE835" s="106"/>
    </row>
    <row r="836">
      <c r="C836" s="79"/>
      <c r="D836" s="79"/>
      <c r="E836" s="79"/>
      <c r="O836" s="79"/>
      <c r="S836" s="79"/>
      <c r="T836" s="79"/>
      <c r="Y836" s="79"/>
      <c r="AC836" s="130"/>
      <c r="AE836" s="106"/>
    </row>
    <row r="837">
      <c r="C837" s="79"/>
      <c r="D837" s="79"/>
      <c r="E837" s="79"/>
      <c r="O837" s="79"/>
      <c r="S837" s="79"/>
      <c r="T837" s="79"/>
      <c r="Y837" s="79"/>
      <c r="AC837" s="130"/>
      <c r="AE837" s="106"/>
    </row>
    <row r="838">
      <c r="C838" s="79"/>
      <c r="D838" s="79"/>
      <c r="E838" s="79"/>
      <c r="O838" s="79"/>
      <c r="S838" s="79"/>
      <c r="T838" s="79"/>
      <c r="Y838" s="79"/>
      <c r="AC838" s="130"/>
      <c r="AE838" s="106"/>
    </row>
    <row r="839">
      <c r="C839" s="79"/>
      <c r="D839" s="79"/>
      <c r="E839" s="79"/>
      <c r="O839" s="79"/>
      <c r="S839" s="79"/>
      <c r="T839" s="79"/>
      <c r="Y839" s="79"/>
      <c r="AC839" s="130"/>
      <c r="AE839" s="106"/>
    </row>
    <row r="840">
      <c r="C840" s="79"/>
      <c r="D840" s="79"/>
      <c r="E840" s="79"/>
      <c r="O840" s="79"/>
      <c r="S840" s="79"/>
      <c r="T840" s="79"/>
      <c r="Y840" s="79"/>
      <c r="AC840" s="130"/>
      <c r="AE840" s="106"/>
    </row>
    <row r="841">
      <c r="C841" s="79"/>
      <c r="D841" s="79"/>
      <c r="E841" s="79"/>
      <c r="O841" s="79"/>
      <c r="S841" s="79"/>
      <c r="T841" s="79"/>
      <c r="Y841" s="79"/>
      <c r="AC841" s="130"/>
      <c r="AE841" s="106"/>
    </row>
    <row r="842">
      <c r="C842" s="79"/>
      <c r="D842" s="79"/>
      <c r="E842" s="79"/>
      <c r="O842" s="79"/>
      <c r="S842" s="79"/>
      <c r="T842" s="79"/>
      <c r="Y842" s="79"/>
      <c r="AC842" s="130"/>
      <c r="AE842" s="106"/>
    </row>
    <row r="843">
      <c r="C843" s="79"/>
      <c r="D843" s="79"/>
      <c r="E843" s="79"/>
      <c r="O843" s="79"/>
      <c r="S843" s="79"/>
      <c r="T843" s="79"/>
      <c r="Y843" s="79"/>
      <c r="AC843" s="130"/>
      <c r="AE843" s="106"/>
    </row>
    <row r="844">
      <c r="C844" s="79"/>
      <c r="D844" s="79"/>
      <c r="E844" s="79"/>
      <c r="O844" s="79"/>
      <c r="S844" s="79"/>
      <c r="T844" s="79"/>
      <c r="Y844" s="79"/>
      <c r="AC844" s="130"/>
      <c r="AE844" s="106"/>
    </row>
    <row r="845">
      <c r="C845" s="79"/>
      <c r="D845" s="79"/>
      <c r="E845" s="79"/>
      <c r="O845" s="79"/>
      <c r="S845" s="79"/>
      <c r="T845" s="79"/>
      <c r="Y845" s="79"/>
      <c r="AC845" s="130"/>
      <c r="AE845" s="106"/>
    </row>
    <row r="846">
      <c r="C846" s="79"/>
      <c r="D846" s="79"/>
      <c r="E846" s="79"/>
      <c r="O846" s="79"/>
      <c r="S846" s="79"/>
      <c r="T846" s="79"/>
      <c r="Y846" s="79"/>
      <c r="AC846" s="130"/>
      <c r="AE846" s="106"/>
    </row>
    <row r="847">
      <c r="C847" s="79"/>
      <c r="D847" s="79"/>
      <c r="E847" s="79"/>
      <c r="O847" s="79"/>
      <c r="S847" s="79"/>
      <c r="T847" s="79"/>
      <c r="Y847" s="79"/>
      <c r="AC847" s="130"/>
      <c r="AE847" s="106"/>
    </row>
    <row r="848">
      <c r="C848" s="79"/>
      <c r="D848" s="79"/>
      <c r="E848" s="79"/>
      <c r="O848" s="79"/>
      <c r="S848" s="79"/>
      <c r="T848" s="79"/>
      <c r="Y848" s="79"/>
      <c r="AC848" s="130"/>
      <c r="AE848" s="106"/>
    </row>
    <row r="849">
      <c r="C849" s="79"/>
      <c r="D849" s="79"/>
      <c r="E849" s="79"/>
      <c r="O849" s="79"/>
      <c r="S849" s="79"/>
      <c r="T849" s="79"/>
      <c r="Y849" s="79"/>
      <c r="AC849" s="130"/>
      <c r="AE849" s="106"/>
    </row>
    <row r="850">
      <c r="C850" s="79"/>
      <c r="D850" s="79"/>
      <c r="E850" s="79"/>
      <c r="O850" s="79"/>
      <c r="S850" s="79"/>
      <c r="T850" s="79"/>
      <c r="Y850" s="79"/>
      <c r="AC850" s="130"/>
      <c r="AE850" s="106"/>
    </row>
    <row r="851">
      <c r="C851" s="79"/>
      <c r="D851" s="79"/>
      <c r="E851" s="79"/>
      <c r="O851" s="79"/>
      <c r="S851" s="79"/>
      <c r="T851" s="79"/>
      <c r="Y851" s="79"/>
      <c r="AC851" s="130"/>
      <c r="AE851" s="106"/>
    </row>
    <row r="852">
      <c r="C852" s="79"/>
      <c r="D852" s="79"/>
      <c r="E852" s="79"/>
      <c r="O852" s="79"/>
      <c r="S852" s="79"/>
      <c r="T852" s="79"/>
      <c r="Y852" s="79"/>
      <c r="AC852" s="130"/>
      <c r="AE852" s="106"/>
    </row>
    <row r="853">
      <c r="C853" s="79"/>
      <c r="D853" s="79"/>
      <c r="E853" s="79"/>
      <c r="O853" s="79"/>
      <c r="S853" s="79"/>
      <c r="T853" s="79"/>
      <c r="Y853" s="79"/>
      <c r="AC853" s="130"/>
      <c r="AE853" s="106"/>
    </row>
    <row r="854">
      <c r="C854" s="79"/>
      <c r="D854" s="79"/>
      <c r="E854" s="79"/>
      <c r="O854" s="79"/>
      <c r="S854" s="79"/>
      <c r="T854" s="79"/>
      <c r="Y854" s="79"/>
      <c r="AC854" s="130"/>
      <c r="AE854" s="106"/>
    </row>
    <row r="855">
      <c r="C855" s="79"/>
      <c r="D855" s="79"/>
      <c r="E855" s="79"/>
      <c r="O855" s="79"/>
      <c r="S855" s="79"/>
      <c r="T855" s="79"/>
      <c r="Y855" s="79"/>
      <c r="AC855" s="130"/>
      <c r="AE855" s="106"/>
    </row>
    <row r="856">
      <c r="C856" s="79"/>
      <c r="D856" s="79"/>
      <c r="E856" s="79"/>
      <c r="O856" s="79"/>
      <c r="S856" s="79"/>
      <c r="T856" s="79"/>
      <c r="Y856" s="79"/>
      <c r="AC856" s="130"/>
      <c r="AE856" s="106"/>
    </row>
    <row r="857">
      <c r="C857" s="79"/>
      <c r="D857" s="79"/>
      <c r="E857" s="79"/>
      <c r="O857" s="79"/>
      <c r="S857" s="79"/>
      <c r="T857" s="79"/>
      <c r="Y857" s="79"/>
      <c r="AC857" s="130"/>
      <c r="AE857" s="106"/>
    </row>
  </sheetData>
  <autoFilter ref="$A$40:$F$68">
    <sortState ref="A40:F68">
      <sortCondition descending="1" sortBy="cellColor" ref="E40:E68" dxfId="1"/>
      <sortCondition descending="1" sortBy="cellColor" ref="C40:C68" dxfId="1"/>
      <sortCondition descending="1" sortBy="cellColor" ref="A40:A68" dxfId="1"/>
    </sortState>
  </autoFilter>
  <mergeCells count="1">
    <mergeCell ref="B37:E37"/>
  </mergeCells>
  <conditionalFormatting sqref="X41:X53">
    <cfRule type="cellIs" dxfId="2" priority="1" operator="greaterThanOrEqual">
      <formula>1</formula>
    </cfRule>
  </conditionalFormatting>
  <conditionalFormatting sqref="X41:X53">
    <cfRule type="cellIs" dxfId="3" priority="2" operator="lessThanOrEqual">
      <formula>0</formula>
    </cfRule>
  </conditionalFormatting>
  <drawing r:id="rId2"/>
  <legacyDrawing r:id="rId3"/>
  <tableParts count="1">
    <tablePart r:id="rId5"/>
  </tableParts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3" max="3" width="17.38"/>
    <col customWidth="1" min="5" max="5" width="25.75"/>
    <col customWidth="1" min="6" max="6" width="8.38"/>
    <col customWidth="1" min="7" max="7" width="18.25"/>
    <col customWidth="1" min="8" max="8" width="28.63"/>
    <col customWidth="1" min="9" max="13" width="15.5"/>
    <col customWidth="1" min="15" max="15" width="27.38"/>
    <col customWidth="1" min="26" max="26" width="14.63"/>
    <col customWidth="1" min="32" max="32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4</v>
      </c>
      <c r="J1" s="2" t="s">
        <v>5</v>
      </c>
      <c r="K1" s="2" t="s">
        <v>303</v>
      </c>
      <c r="L1" s="2" t="s">
        <v>6</v>
      </c>
      <c r="M1" s="2" t="s">
        <v>12</v>
      </c>
      <c r="N1" s="2" t="s">
        <v>49</v>
      </c>
      <c r="O1" s="105" t="s">
        <v>304</v>
      </c>
      <c r="P1" s="2" t="s">
        <v>37</v>
      </c>
      <c r="Q1" s="2" t="s">
        <v>10</v>
      </c>
      <c r="R1" s="2" t="s">
        <v>42</v>
      </c>
      <c r="S1" s="105" t="s">
        <v>656</v>
      </c>
      <c r="T1" s="105" t="s">
        <v>9</v>
      </c>
      <c r="U1" s="2" t="s">
        <v>164</v>
      </c>
      <c r="V1" s="105" t="s">
        <v>40</v>
      </c>
      <c r="W1" s="2" t="s">
        <v>83</v>
      </c>
      <c r="X1" s="2" t="s">
        <v>204</v>
      </c>
      <c r="Y1" s="105" t="s">
        <v>205</v>
      </c>
      <c r="Z1" s="2" t="s">
        <v>206</v>
      </c>
      <c r="AA1" s="2" t="s">
        <v>305</v>
      </c>
      <c r="AB1" s="3" t="s">
        <v>760</v>
      </c>
      <c r="AC1" s="3" t="s">
        <v>13</v>
      </c>
      <c r="AD1" s="3" t="s">
        <v>14</v>
      </c>
      <c r="AE1" s="3" t="s">
        <v>15</v>
      </c>
      <c r="AF1" s="106"/>
      <c r="AG1" s="265" t="s">
        <v>306</v>
      </c>
      <c r="AH1" s="266" t="s">
        <v>80</v>
      </c>
    </row>
    <row r="2">
      <c r="A2" s="74">
        <v>45579.0</v>
      </c>
      <c r="B2" s="93">
        <f>633.13-128.96+1071.12-32.79-44.07-28.79-24.91-37.22-37.8-162-36.5-23.58</f>
        <v>1147.63</v>
      </c>
      <c r="C2" s="93"/>
      <c r="D2" s="93"/>
      <c r="E2" s="93"/>
      <c r="F2" s="93"/>
      <c r="G2" s="93">
        <v>180.0</v>
      </c>
      <c r="I2" s="93">
        <f>152.33+7.95</f>
        <v>160.28</v>
      </c>
      <c r="J2" s="374"/>
      <c r="K2" s="93"/>
      <c r="L2" s="93"/>
      <c r="M2" s="93"/>
      <c r="N2" s="93">
        <v>168.0</v>
      </c>
      <c r="O2" s="93"/>
      <c r="P2" s="72"/>
      <c r="Q2" s="93"/>
      <c r="R2" s="93"/>
      <c r="S2" s="93"/>
      <c r="T2" s="93"/>
      <c r="U2" s="93"/>
      <c r="V2" s="93"/>
      <c r="W2" s="93"/>
      <c r="X2" s="93"/>
      <c r="Y2" s="93"/>
      <c r="Z2" s="93"/>
      <c r="AA2" s="386"/>
      <c r="AB2" s="171"/>
      <c r="AC2" s="107">
        <f>SUM(B2:AA2)</f>
        <v>1655.91</v>
      </c>
      <c r="AD2" s="158">
        <v>4295.0</v>
      </c>
      <c r="AE2" s="59">
        <f t="shared" ref="AE2:AE8" si="1">AC2/AD2</f>
        <v>0.3855436554</v>
      </c>
      <c r="AF2" s="109">
        <f t="shared" ref="AF2:AF8" si="2">A2</f>
        <v>45579</v>
      </c>
      <c r="AG2" s="267"/>
      <c r="AH2" s="268">
        <f t="shared" ref="AH2:AH8" si="3">AD2-AG2</f>
        <v>4295</v>
      </c>
    </row>
    <row r="3">
      <c r="A3" s="74">
        <f t="shared" ref="A3:A8" si="4">A2+1</f>
        <v>45580</v>
      </c>
      <c r="B3" s="93">
        <v>279.15</v>
      </c>
      <c r="C3" s="93"/>
      <c r="D3" s="101"/>
      <c r="E3" s="93">
        <v>83.5</v>
      </c>
      <c r="F3" s="93"/>
      <c r="G3" s="93"/>
      <c r="H3" s="168"/>
      <c r="I3" s="93">
        <v>28.0</v>
      </c>
      <c r="J3" s="93">
        <f>2285.75-1629.8</f>
        <v>655.95</v>
      </c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326"/>
      <c r="AB3" s="171"/>
      <c r="AC3" s="107">
        <f t="shared" ref="AC3:AC8" si="5">SUM(B3:Z3)</f>
        <v>1046.6</v>
      </c>
      <c r="AD3" s="158">
        <v>5106.0</v>
      </c>
      <c r="AE3" s="59">
        <f t="shared" si="1"/>
        <v>0.2049745398</v>
      </c>
      <c r="AF3" s="109">
        <f t="shared" si="2"/>
        <v>45580</v>
      </c>
      <c r="AG3" s="267"/>
      <c r="AH3" s="268">
        <f t="shared" si="3"/>
        <v>5106</v>
      </c>
    </row>
    <row r="4">
      <c r="A4" s="74">
        <f t="shared" si="4"/>
        <v>45581</v>
      </c>
      <c r="B4" s="93">
        <f>601.44-36.83-15.88-93.3-19+31.24</f>
        <v>467.67</v>
      </c>
      <c r="C4" s="93">
        <f>390.24-31</f>
        <v>359.24</v>
      </c>
      <c r="D4" s="482">
        <f>317.6-131.8+293.6</f>
        <v>479.4</v>
      </c>
      <c r="E4" s="93"/>
      <c r="F4" s="93"/>
      <c r="G4" s="93">
        <v>180.0</v>
      </c>
      <c r="H4" s="168"/>
      <c r="I4" s="93"/>
      <c r="J4" s="93"/>
      <c r="K4" s="93"/>
      <c r="L4" s="93">
        <v>28.0</v>
      </c>
      <c r="M4" s="93"/>
      <c r="N4" s="93"/>
      <c r="O4" s="93"/>
      <c r="P4" s="160"/>
      <c r="Q4" s="93"/>
      <c r="R4" s="93"/>
      <c r="S4" s="93"/>
      <c r="T4" s="93"/>
      <c r="U4" s="93"/>
      <c r="V4" s="93"/>
      <c r="W4" s="93"/>
      <c r="X4" s="93"/>
      <c r="Y4" s="93"/>
      <c r="Z4" s="101"/>
      <c r="AA4" s="326"/>
      <c r="AB4" s="171"/>
      <c r="AC4" s="107">
        <f t="shared" si="5"/>
        <v>1514.31</v>
      </c>
      <c r="AD4" s="380">
        <f>264+5406.5</f>
        <v>5670.5</v>
      </c>
      <c r="AE4" s="59">
        <f t="shared" si="1"/>
        <v>0.2670505246</v>
      </c>
      <c r="AF4" s="109">
        <f t="shared" si="2"/>
        <v>45581</v>
      </c>
      <c r="AG4" s="267"/>
      <c r="AH4" s="268">
        <f t="shared" si="3"/>
        <v>5670.5</v>
      </c>
    </row>
    <row r="5">
      <c r="A5" s="74">
        <f t="shared" si="4"/>
        <v>45582</v>
      </c>
      <c r="B5" s="93">
        <f>453.3-69.64-66.68-45.69</f>
        <v>271.29</v>
      </c>
      <c r="C5" s="5">
        <f>379.38-147</f>
        <v>232.38</v>
      </c>
      <c r="D5" s="93">
        <f>271.83-84-148.63</f>
        <v>39.2</v>
      </c>
      <c r="E5" s="93"/>
      <c r="F5" s="93"/>
      <c r="G5" s="93"/>
      <c r="H5" s="160"/>
      <c r="I5" s="93"/>
      <c r="J5" s="93"/>
      <c r="K5" s="93"/>
      <c r="L5" s="93"/>
      <c r="M5" s="93"/>
      <c r="N5" s="93">
        <v>84.0</v>
      </c>
      <c r="O5" s="93"/>
      <c r="P5" s="93"/>
      <c r="Q5" s="93"/>
      <c r="R5" s="93"/>
      <c r="S5" s="101"/>
      <c r="T5" s="93"/>
      <c r="U5" s="93"/>
      <c r="V5" s="93"/>
      <c r="W5" s="93"/>
      <c r="X5" s="93"/>
      <c r="Y5" s="101"/>
      <c r="Z5" s="101"/>
      <c r="AA5" s="327"/>
      <c r="AB5" s="270"/>
      <c r="AC5" s="7">
        <f t="shared" si="5"/>
        <v>626.87</v>
      </c>
      <c r="AD5" s="380">
        <f>253+3797</f>
        <v>4050</v>
      </c>
      <c r="AE5" s="59">
        <f t="shared" si="1"/>
        <v>0.154782716</v>
      </c>
      <c r="AF5" s="109">
        <f t="shared" si="2"/>
        <v>45582</v>
      </c>
      <c r="AG5" s="267"/>
      <c r="AH5" s="268">
        <f t="shared" si="3"/>
        <v>4050</v>
      </c>
    </row>
    <row r="6">
      <c r="A6" s="74">
        <f t="shared" si="4"/>
        <v>45583</v>
      </c>
      <c r="B6" s="93">
        <f>1152.25-66.71-12.2-12.14-32.79-9.31-13-70.56-74.7-26.5-27.42-13.92-36.83+60.23</f>
        <v>816.4</v>
      </c>
      <c r="C6" s="93">
        <f>167.55-82+717.46-337.5-5.8-90</f>
        <v>369.71</v>
      </c>
      <c r="D6" s="93">
        <f>627.64-33.4-160-91.02</f>
        <v>343.22</v>
      </c>
      <c r="E6" s="93">
        <v>22.5</v>
      </c>
      <c r="F6" s="93"/>
      <c r="G6" s="93"/>
      <c r="H6" s="160"/>
      <c r="I6" s="93">
        <f>154.79+7.95</f>
        <v>162.74</v>
      </c>
      <c r="J6" s="93">
        <v>396.0</v>
      </c>
      <c r="K6" s="93"/>
      <c r="L6" s="93">
        <v>166.4</v>
      </c>
      <c r="M6" s="93">
        <v>47.8</v>
      </c>
      <c r="N6" s="93"/>
      <c r="O6" s="93"/>
      <c r="P6" s="93"/>
      <c r="Q6" s="93"/>
      <c r="R6" s="93"/>
      <c r="S6" s="93"/>
      <c r="T6" s="374"/>
      <c r="U6" s="93"/>
      <c r="V6" s="93"/>
      <c r="W6" s="93"/>
      <c r="X6" s="93"/>
      <c r="Y6" s="93"/>
      <c r="Z6" s="93"/>
      <c r="AA6" s="327"/>
      <c r="AB6" s="270"/>
      <c r="AC6" s="7">
        <f t="shared" si="5"/>
        <v>2324.77</v>
      </c>
      <c r="AD6" s="380">
        <f>3462.5+7116</f>
        <v>10578.5</v>
      </c>
      <c r="AE6" s="59">
        <f t="shared" si="1"/>
        <v>0.2197636716</v>
      </c>
      <c r="AF6" s="109">
        <f t="shared" si="2"/>
        <v>45583</v>
      </c>
      <c r="AG6" s="267"/>
      <c r="AH6" s="268">
        <f t="shared" si="3"/>
        <v>10578.5</v>
      </c>
    </row>
    <row r="7">
      <c r="A7" s="74">
        <f t="shared" si="4"/>
        <v>45584</v>
      </c>
      <c r="B7" s="93">
        <f>465.44-28.79-6.63-13.42-18.12-33.62-9.29-62.71-7.35-4.44+22.23</f>
        <v>303.3</v>
      </c>
      <c r="C7" s="361">
        <f>825.75-46.5-50-32.5-23.8</f>
        <v>672.95</v>
      </c>
      <c r="D7" s="180">
        <v>796.51</v>
      </c>
      <c r="E7" s="79"/>
      <c r="F7" s="93"/>
      <c r="G7" s="93">
        <v>180.0</v>
      </c>
      <c r="H7" s="374"/>
      <c r="I7" s="250">
        <v>325.29</v>
      </c>
      <c r="J7" s="93"/>
      <c r="K7" s="93"/>
      <c r="L7" s="93"/>
      <c r="M7" s="93"/>
      <c r="N7" s="93"/>
      <c r="O7" s="93"/>
      <c r="P7" s="402"/>
      <c r="Q7" s="93"/>
      <c r="R7" s="93"/>
      <c r="S7" s="101"/>
      <c r="T7" s="93"/>
      <c r="U7" s="93"/>
      <c r="V7" s="93"/>
      <c r="W7" s="93"/>
      <c r="X7" s="93"/>
      <c r="Y7" s="101"/>
      <c r="Z7" s="93"/>
      <c r="AA7" s="327"/>
      <c r="AB7" s="270"/>
      <c r="AC7" s="7">
        <f t="shared" si="5"/>
        <v>2278.05</v>
      </c>
      <c r="AD7" s="380">
        <f>2046+11703.8</f>
        <v>13749.8</v>
      </c>
      <c r="AE7" s="59">
        <f t="shared" si="1"/>
        <v>0.1656787735</v>
      </c>
      <c r="AF7" s="109">
        <f t="shared" si="2"/>
        <v>45584</v>
      </c>
      <c r="AG7" s="267"/>
      <c r="AH7" s="268">
        <f t="shared" si="3"/>
        <v>13749.8</v>
      </c>
    </row>
    <row r="8">
      <c r="A8" s="74">
        <f t="shared" si="4"/>
        <v>45585</v>
      </c>
      <c r="B8" s="180">
        <v>237.1</v>
      </c>
      <c r="C8" s="374"/>
      <c r="D8" s="180">
        <v>348.54</v>
      </c>
      <c r="E8" s="112"/>
      <c r="F8" s="180">
        <v>354.47</v>
      </c>
      <c r="G8" s="10"/>
      <c r="H8" s="180">
        <v>778.27</v>
      </c>
      <c r="I8" s="374"/>
      <c r="J8" s="180">
        <v>623.7</v>
      </c>
      <c r="K8" s="180">
        <v>608.0</v>
      </c>
      <c r="L8" s="112"/>
      <c r="M8" s="112"/>
      <c r="N8" s="93"/>
      <c r="O8" s="93"/>
      <c r="P8" s="93"/>
      <c r="Q8" s="93"/>
      <c r="R8" s="374"/>
      <c r="S8" s="344">
        <f>78+295</f>
        <v>373</v>
      </c>
      <c r="T8" s="374"/>
      <c r="U8" s="374"/>
      <c r="V8" s="112"/>
      <c r="W8" s="112"/>
      <c r="X8" s="112"/>
      <c r="Y8" s="112"/>
      <c r="Z8" s="112"/>
      <c r="AA8" s="93"/>
      <c r="AB8" s="7"/>
      <c r="AC8" s="7">
        <f t="shared" si="5"/>
        <v>3323.08</v>
      </c>
      <c r="AD8" s="380">
        <f>1684+4855</f>
        <v>6539</v>
      </c>
      <c r="AE8" s="59">
        <f t="shared" si="1"/>
        <v>0.5081939134</v>
      </c>
      <c r="AF8" s="109">
        <f t="shared" si="2"/>
        <v>45585</v>
      </c>
      <c r="AG8" s="267"/>
      <c r="AH8" s="268">
        <f t="shared" si="3"/>
        <v>6539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AD9" s="129"/>
      <c r="AF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AD10" s="129"/>
      <c r="AF10" s="106"/>
    </row>
    <row r="11">
      <c r="A11" s="165" t="s">
        <v>194</v>
      </c>
      <c r="B11" s="93">
        <f>32.79+44.07+28.79+37.8+36.5+15.88+93.3+19+45.69+66.71+12.2+12.14+32.79+6.63+13.43+33.62+18.12+9.29</f>
        <v>558.75</v>
      </c>
      <c r="C11" s="93">
        <f>46.5+50+32.5+23.8</f>
        <v>152.8</v>
      </c>
      <c r="D11" s="93">
        <f>+84+148.63+33.4+160</f>
        <v>426.03</v>
      </c>
      <c r="E11" s="167"/>
      <c r="F11" s="168"/>
      <c r="G11" s="168"/>
      <c r="H11" s="166"/>
      <c r="I11" s="166"/>
      <c r="J11" s="93"/>
      <c r="K11" s="168"/>
      <c r="L11" s="93"/>
      <c r="M11" s="93"/>
      <c r="N11" s="93"/>
      <c r="O11" s="168"/>
      <c r="P11" s="168"/>
      <c r="Q11" s="168"/>
      <c r="R11" s="168"/>
      <c r="S11" s="168"/>
      <c r="T11" s="168"/>
      <c r="U11" s="168"/>
      <c r="V11" s="168"/>
      <c r="W11" s="1"/>
      <c r="X11" s="168"/>
      <c r="Y11" s="168"/>
      <c r="Z11" s="1"/>
      <c r="AA11" s="1"/>
      <c r="AB11" s="1"/>
      <c r="AC11" s="1"/>
      <c r="AD11" s="169"/>
      <c r="AE11" s="1"/>
      <c r="AF11" s="170"/>
    </row>
    <row r="12">
      <c r="A12" s="165" t="s">
        <v>195</v>
      </c>
      <c r="B12" s="93">
        <f>24.91+162+36.83+69.64+66.68+9.31+13+70.56+74.7+26.5+27.42+13.92+36.83+359.29+34.36+101.44</f>
        <v>1127.39</v>
      </c>
      <c r="C12" s="93">
        <f>82+225+90+337.5+5.8</f>
        <v>740.3</v>
      </c>
      <c r="D12" s="93">
        <f>131.8+229.3</f>
        <v>361.1</v>
      </c>
      <c r="E12" s="93"/>
      <c r="F12" s="374"/>
      <c r="G12" s="93"/>
      <c r="H12" s="93"/>
      <c r="I12" s="93">
        <v>250.0</v>
      </c>
      <c r="J12" s="93"/>
      <c r="K12" s="93"/>
      <c r="L12" s="93"/>
      <c r="M12" s="93"/>
      <c r="N12" s="93">
        <v>300.0</v>
      </c>
      <c r="O12" s="168"/>
      <c r="P12" s="168"/>
      <c r="Q12" s="166"/>
      <c r="R12" s="166"/>
      <c r="S12" s="168"/>
      <c r="T12" s="166"/>
      <c r="U12" s="168"/>
      <c r="V12" s="168"/>
      <c r="W12" s="1"/>
      <c r="X12" s="93"/>
      <c r="Y12" s="168"/>
      <c r="Z12" s="1"/>
      <c r="AA12" s="1"/>
      <c r="AB12" s="6">
        <f>sum(S42:S43)*-1</f>
        <v>2802.501667</v>
      </c>
      <c r="AC12" s="1"/>
      <c r="AD12" s="171"/>
      <c r="AE12" s="1"/>
      <c r="AF12" s="170"/>
    </row>
    <row r="13">
      <c r="A13" s="172" t="s">
        <v>761</v>
      </c>
      <c r="B13" s="348"/>
      <c r="C13" s="93"/>
      <c r="D13" s="93">
        <v>91.02</v>
      </c>
      <c r="E13" s="93"/>
      <c r="F13" s="374"/>
      <c r="G13" s="93"/>
      <c r="H13" s="93"/>
      <c r="I13" s="93"/>
      <c r="J13" s="93"/>
      <c r="K13" s="93"/>
      <c r="L13" s="93"/>
      <c r="M13" s="93"/>
      <c r="N13" s="93"/>
      <c r="O13" s="166"/>
      <c r="P13" s="168"/>
      <c r="Q13" s="166"/>
      <c r="R13" s="166"/>
      <c r="S13" s="168"/>
      <c r="T13" s="166"/>
      <c r="U13" s="168"/>
      <c r="V13" s="168"/>
      <c r="W13" s="1"/>
      <c r="X13" s="93"/>
      <c r="Y13" s="168"/>
      <c r="Z13" s="1"/>
      <c r="AA13" s="1"/>
      <c r="AB13" s="1"/>
      <c r="AC13" s="1"/>
      <c r="AD13" s="171"/>
      <c r="AE13" s="1"/>
      <c r="AF13" s="170"/>
    </row>
    <row r="14">
      <c r="A14" s="165" t="s">
        <v>198</v>
      </c>
      <c r="B14" s="93">
        <f>23.58+37.22</f>
        <v>60.8</v>
      </c>
      <c r="C14" s="348"/>
      <c r="D14" s="93"/>
      <c r="E14" s="168"/>
      <c r="F14" s="166"/>
      <c r="G14" s="166"/>
      <c r="H14" s="168"/>
      <c r="I14" s="168"/>
      <c r="J14" s="93"/>
      <c r="K14" s="168"/>
      <c r="L14" s="168"/>
      <c r="M14" s="168"/>
      <c r="N14" s="93"/>
      <c r="O14" s="168"/>
      <c r="P14" s="168"/>
      <c r="Q14" s="166"/>
      <c r="R14" s="168"/>
      <c r="S14" s="168"/>
      <c r="T14" s="168"/>
      <c r="U14" s="1"/>
      <c r="V14" s="1"/>
      <c r="W14" s="1"/>
      <c r="X14" s="168"/>
      <c r="Y14" s="168"/>
      <c r="Z14" s="1"/>
      <c r="AA14" s="1"/>
      <c r="AB14" s="1"/>
      <c r="AC14" s="1"/>
      <c r="AD14" s="174"/>
      <c r="AE14" s="1"/>
      <c r="AF14" s="170"/>
    </row>
    <row r="15">
      <c r="A15" s="91"/>
      <c r="B15" s="375"/>
      <c r="C15" s="79"/>
      <c r="D15" s="79"/>
      <c r="E15" s="79"/>
      <c r="F15" s="78"/>
      <c r="G15" s="78"/>
      <c r="H15" s="79"/>
      <c r="I15" s="78"/>
      <c r="J15" s="79"/>
      <c r="K15" s="79"/>
      <c r="L15" s="79"/>
      <c r="M15" s="79"/>
      <c r="N15" s="79"/>
      <c r="O15" s="79"/>
      <c r="R15" s="79"/>
      <c r="S15" s="79"/>
      <c r="T15" s="198"/>
      <c r="U15" s="198"/>
      <c r="Y15" s="79"/>
      <c r="AD15" s="131"/>
      <c r="AF15" s="106"/>
    </row>
    <row r="16">
      <c r="A16" s="91"/>
      <c r="B16" s="375"/>
      <c r="C16" s="192"/>
      <c r="D16" s="78"/>
      <c r="E16" s="147"/>
      <c r="F16" s="201"/>
      <c r="G16" s="199"/>
      <c r="H16" s="192"/>
      <c r="I16" s="198"/>
      <c r="J16" s="201"/>
      <c r="K16" s="199"/>
      <c r="L16" s="199"/>
      <c r="M16" s="200"/>
      <c r="N16" s="202"/>
      <c r="O16" s="198"/>
      <c r="R16" s="198"/>
      <c r="S16" s="79"/>
      <c r="T16" s="198"/>
      <c r="U16" s="198"/>
      <c r="V16" s="198"/>
      <c r="W16" s="198"/>
      <c r="X16" s="199"/>
      <c r="Y16" s="79"/>
      <c r="AD16" s="131"/>
      <c r="AF16" s="106"/>
    </row>
    <row r="17">
      <c r="A17" s="4" t="s">
        <v>22</v>
      </c>
      <c r="B17" s="11">
        <v>10000.0</v>
      </c>
      <c r="C17" s="79"/>
      <c r="D17" s="240"/>
      <c r="E17" s="148"/>
      <c r="G17" s="224"/>
      <c r="H17" s="192"/>
      <c r="K17" s="403"/>
      <c r="L17" s="201"/>
      <c r="M17" s="198"/>
      <c r="N17" s="200"/>
      <c r="O17" s="198"/>
      <c r="P17" s="204"/>
      <c r="R17" s="203"/>
      <c r="S17" s="427"/>
      <c r="T17" s="201"/>
      <c r="U17" s="198"/>
      <c r="V17" s="198"/>
      <c r="W17" s="198"/>
      <c r="X17" s="201"/>
      <c r="Y17" s="79"/>
      <c r="AD17" s="131"/>
      <c r="AF17" s="106"/>
    </row>
    <row r="18">
      <c r="A18" s="4" t="s">
        <v>23</v>
      </c>
      <c r="B18" s="12">
        <f>SUM(B2:AA8)</f>
        <v>12769.59</v>
      </c>
      <c r="C18" s="192"/>
      <c r="D18" s="177"/>
      <c r="E18" s="151"/>
      <c r="F18" s="213"/>
      <c r="G18" s="224"/>
      <c r="H18" s="38"/>
      <c r="I18" s="175"/>
      <c r="K18" s="384"/>
      <c r="L18" s="201"/>
      <c r="M18" s="201"/>
      <c r="N18" s="201"/>
      <c r="O18" s="198"/>
      <c r="P18" s="204"/>
      <c r="R18" s="203"/>
      <c r="S18" s="79"/>
      <c r="T18" s="201"/>
      <c r="U18" s="201"/>
      <c r="V18" s="198"/>
      <c r="W18" s="198"/>
      <c r="X18" s="191"/>
      <c r="Y18" s="79"/>
      <c r="AD18" s="131"/>
      <c r="AF18" s="106"/>
    </row>
    <row r="19">
      <c r="A19" s="4" t="s">
        <v>24</v>
      </c>
      <c r="B19" s="12">
        <f> SUM(B17-B18)</f>
        <v>-2769.59</v>
      </c>
      <c r="C19" s="79"/>
      <c r="D19" s="78"/>
      <c r="E19" s="151"/>
      <c r="F19" s="201"/>
      <c r="G19" s="224"/>
      <c r="H19" s="203"/>
      <c r="I19" s="203"/>
      <c r="K19" s="203"/>
      <c r="L19" s="199"/>
      <c r="M19" s="201"/>
      <c r="N19" s="200"/>
      <c r="O19" s="198"/>
      <c r="P19" s="204"/>
      <c r="R19" s="203"/>
      <c r="S19" s="79"/>
      <c r="T19" s="210"/>
      <c r="U19" s="210"/>
      <c r="V19" s="198"/>
      <c r="W19" s="198"/>
      <c r="X19" s="203"/>
      <c r="Y19" s="79"/>
      <c r="AD19" s="131"/>
      <c r="AF19" s="106"/>
    </row>
    <row r="20">
      <c r="C20" s="79"/>
      <c r="D20" s="79"/>
      <c r="F20" s="439" t="s">
        <v>195</v>
      </c>
      <c r="G20" s="224"/>
      <c r="H20" s="203"/>
      <c r="I20" s="345"/>
      <c r="J20" s="78"/>
      <c r="K20" s="351"/>
      <c r="N20" s="198"/>
      <c r="O20" s="198"/>
      <c r="P20" s="204"/>
      <c r="R20" s="203"/>
      <c r="S20" s="79"/>
      <c r="T20" s="198"/>
      <c r="U20" s="428"/>
      <c r="V20" s="198"/>
      <c r="W20" s="198"/>
      <c r="X20" s="203"/>
      <c r="Y20" s="79"/>
      <c r="AD20" s="131"/>
      <c r="AF20" s="106"/>
    </row>
    <row r="21">
      <c r="A21" s="13" t="s">
        <v>25</v>
      </c>
      <c r="B21" s="14">
        <f>SUM(AD2:AD8)</f>
        <v>49988.8</v>
      </c>
      <c r="C21" s="79"/>
      <c r="D21" s="79"/>
      <c r="E21" s="13" t="s">
        <v>724</v>
      </c>
      <c r="F21" s="442">
        <f>sum(B12:AF12)</f>
        <v>5581.291667</v>
      </c>
      <c r="G21" s="224"/>
      <c r="H21" s="175"/>
      <c r="I21" s="203"/>
      <c r="J21" s="78"/>
      <c r="K21" s="203"/>
      <c r="L21" s="203"/>
      <c r="M21" s="203"/>
      <c r="N21" s="198"/>
      <c r="O21" s="198"/>
      <c r="P21" s="204"/>
      <c r="R21" s="203"/>
      <c r="S21" s="79"/>
      <c r="T21" s="198"/>
      <c r="U21" s="198"/>
      <c r="V21" s="198"/>
      <c r="W21" s="198"/>
      <c r="X21" s="203"/>
      <c r="Y21" s="79"/>
      <c r="AD21" s="181"/>
      <c r="AF21" s="106"/>
    </row>
    <row r="22">
      <c r="A22" s="13" t="s">
        <v>26</v>
      </c>
      <c r="B22" s="15">
        <f>B18/B21</f>
        <v>0.2554490206</v>
      </c>
      <c r="C22" s="79"/>
      <c r="D22" s="79"/>
      <c r="E22" s="13" t="s">
        <v>25</v>
      </c>
      <c r="F22" s="445">
        <v>11104.0</v>
      </c>
      <c r="G22" s="224"/>
      <c r="H22" s="192"/>
      <c r="I22" s="203"/>
      <c r="J22" s="78"/>
      <c r="K22" s="203"/>
      <c r="L22" s="203"/>
      <c r="M22" s="203"/>
      <c r="N22" s="203"/>
      <c r="O22" s="198"/>
      <c r="P22" s="204"/>
      <c r="R22" s="203"/>
      <c r="S22" s="79"/>
      <c r="T22" s="198"/>
      <c r="U22" s="198"/>
      <c r="V22" s="198"/>
      <c r="W22" s="198"/>
      <c r="X22" s="203"/>
      <c r="Y22" s="79"/>
      <c r="AD22" s="130"/>
      <c r="AF22" s="106"/>
    </row>
    <row r="23">
      <c r="C23" s="79"/>
      <c r="D23" s="79"/>
      <c r="E23" s="448" t="s">
        <v>26</v>
      </c>
      <c r="F23" s="449">
        <f>F21/F22</f>
        <v>0.5026379383</v>
      </c>
      <c r="G23" s="224"/>
      <c r="H23" s="175"/>
      <c r="I23" s="78"/>
      <c r="J23" s="78"/>
      <c r="K23" s="203"/>
      <c r="L23" s="203"/>
      <c r="M23" s="203"/>
      <c r="N23" s="201"/>
      <c r="O23" s="198"/>
      <c r="P23" s="204"/>
      <c r="R23" s="198"/>
      <c r="S23" s="79"/>
      <c r="T23" s="198"/>
      <c r="U23" s="198"/>
      <c r="V23" s="198"/>
      <c r="W23" s="198"/>
      <c r="X23" s="203"/>
      <c r="Y23" s="79"/>
      <c r="AD23" s="182"/>
      <c r="AF23" s="106"/>
    </row>
    <row r="24">
      <c r="C24" s="79"/>
      <c r="D24" s="79"/>
      <c r="E24" s="79"/>
      <c r="F24" s="204"/>
      <c r="G24" s="192"/>
      <c r="H24" s="78"/>
      <c r="I24" s="203"/>
      <c r="J24" s="212"/>
      <c r="K24" s="203"/>
      <c r="L24" s="203"/>
      <c r="M24" s="203"/>
      <c r="N24" s="201"/>
      <c r="O24" s="198"/>
      <c r="P24" s="204"/>
      <c r="R24" s="198"/>
      <c r="S24" s="79"/>
      <c r="T24" s="198"/>
      <c r="U24" s="198"/>
      <c r="V24" s="198"/>
      <c r="W24" s="198"/>
      <c r="X24" s="203"/>
      <c r="Y24" s="79"/>
      <c r="AD24" s="130"/>
      <c r="AF24" s="106"/>
    </row>
    <row r="25">
      <c r="A25" s="16" t="s">
        <v>27</v>
      </c>
      <c r="B25" s="17"/>
      <c r="C25" s="114"/>
      <c r="D25" s="114"/>
      <c r="E25" s="115"/>
      <c r="F25" s="204"/>
      <c r="G25" s="78"/>
      <c r="H25" s="192"/>
      <c r="I25" s="78"/>
      <c r="J25" s="79"/>
      <c r="K25" s="203"/>
      <c r="L25" s="217"/>
      <c r="M25" s="208"/>
      <c r="N25" s="198"/>
      <c r="O25" s="198"/>
      <c r="P25" s="204"/>
      <c r="R25" s="200"/>
      <c r="S25" s="79"/>
      <c r="T25" s="198"/>
      <c r="U25" s="198"/>
      <c r="V25" s="198"/>
      <c r="W25" s="198"/>
      <c r="X25" s="203"/>
      <c r="Y25" s="79"/>
      <c r="AD25" s="130"/>
      <c r="AF25" s="106"/>
    </row>
    <row r="26">
      <c r="A26" s="19" t="s">
        <v>28</v>
      </c>
      <c r="B26" s="20"/>
      <c r="C26" s="116"/>
      <c r="D26" s="116"/>
      <c r="E26" s="117"/>
      <c r="F26" s="204"/>
      <c r="G26" s="212"/>
      <c r="H26" s="78"/>
      <c r="I26" s="224"/>
      <c r="J26" s="78"/>
      <c r="K26" s="203"/>
      <c r="L26" s="203"/>
      <c r="M26" s="209"/>
      <c r="N26" s="201"/>
      <c r="O26" s="198"/>
      <c r="P26" s="204"/>
      <c r="R26" s="198"/>
      <c r="S26" s="79"/>
      <c r="T26" s="198"/>
      <c r="U26" s="198"/>
      <c r="V26" s="198"/>
      <c r="W26" s="198"/>
      <c r="X26" s="203"/>
      <c r="Y26" s="79"/>
      <c r="AD26" s="130"/>
      <c r="AF26" s="106"/>
    </row>
    <row r="27">
      <c r="A27" s="183" t="s">
        <v>29</v>
      </c>
      <c r="B27" s="184" t="s">
        <v>30</v>
      </c>
      <c r="C27" s="183"/>
      <c r="D27" s="183" t="s">
        <v>170</v>
      </c>
      <c r="E27" s="219" t="s">
        <v>171</v>
      </c>
      <c r="F27" s="204"/>
      <c r="G27" s="79"/>
      <c r="H27" s="242"/>
      <c r="I27" s="79"/>
      <c r="J27" s="79"/>
      <c r="K27" s="203"/>
      <c r="L27" s="201"/>
      <c r="M27" s="209"/>
      <c r="N27" s="198"/>
      <c r="O27" s="198"/>
      <c r="P27" s="204"/>
      <c r="R27" s="198"/>
      <c r="S27" s="79"/>
      <c r="T27" s="198"/>
      <c r="U27" s="198"/>
      <c r="V27" s="198"/>
      <c r="W27" s="198"/>
      <c r="X27" s="203"/>
      <c r="Y27" s="79"/>
      <c r="Z27" s="195"/>
      <c r="AD27" s="130"/>
      <c r="AF27" s="106"/>
    </row>
    <row r="28">
      <c r="A28" s="405" t="s">
        <v>694</v>
      </c>
      <c r="B28" s="406">
        <f>1478.71-743.5+1395.03</f>
        <v>2130.24</v>
      </c>
      <c r="C28" s="407"/>
      <c r="D28" s="407"/>
      <c r="E28" s="407"/>
      <c r="O28" s="79"/>
      <c r="S28" s="79"/>
      <c r="T28" s="79"/>
      <c r="Y28" s="79"/>
      <c r="AD28" s="130"/>
      <c r="AF28" s="106"/>
    </row>
    <row r="29">
      <c r="A29" s="410" t="s">
        <v>762</v>
      </c>
      <c r="B29" s="411">
        <f>1247.4-623.7+1629.8</f>
        <v>2253.5</v>
      </c>
      <c r="C29" s="412"/>
      <c r="D29" s="412"/>
      <c r="E29" s="412"/>
      <c r="G29" s="195"/>
      <c r="O29" s="79"/>
      <c r="S29" s="79"/>
      <c r="T29" s="79"/>
      <c r="Y29" s="79"/>
      <c r="AD29" s="130"/>
      <c r="AF29" s="106"/>
    </row>
    <row r="30">
      <c r="A30" s="430" t="s">
        <v>763</v>
      </c>
      <c r="B30" s="431">
        <f>1001.8</f>
        <v>1001.8</v>
      </c>
      <c r="C30" s="432"/>
      <c r="D30" s="432"/>
      <c r="E30" s="432"/>
      <c r="O30" s="79"/>
      <c r="S30" s="79"/>
      <c r="T30" s="79"/>
      <c r="Y30" s="79"/>
      <c r="AD30" s="130"/>
      <c r="AF30" s="106"/>
    </row>
    <row r="31">
      <c r="A31" s="245" t="s">
        <v>764</v>
      </c>
      <c r="B31" s="340">
        <f>1219</f>
        <v>1219</v>
      </c>
      <c r="C31" s="247"/>
      <c r="D31" s="247"/>
      <c r="E31" s="247"/>
      <c r="O31" s="79"/>
      <c r="S31" s="79"/>
      <c r="T31" s="79"/>
      <c r="Y31" s="79"/>
      <c r="AD31" s="130"/>
      <c r="AF31" s="106"/>
    </row>
    <row r="32">
      <c r="A32" s="245" t="s">
        <v>733</v>
      </c>
      <c r="B32" s="340">
        <v>504.64</v>
      </c>
      <c r="C32" s="247"/>
      <c r="D32" s="247"/>
      <c r="E32" s="247"/>
      <c r="O32" s="79"/>
      <c r="S32" s="79"/>
      <c r="T32" s="79"/>
      <c r="Y32" s="79"/>
      <c r="AD32" s="130"/>
      <c r="AF32" s="106"/>
    </row>
    <row r="33">
      <c r="A33" s="221" t="s">
        <v>765</v>
      </c>
      <c r="B33" s="341">
        <v>547.0</v>
      </c>
      <c r="C33" s="223"/>
      <c r="D33" s="223"/>
      <c r="E33" s="223"/>
      <c r="O33" s="79"/>
      <c r="S33" s="79"/>
      <c r="T33" s="79"/>
      <c r="Y33" s="79"/>
      <c r="AD33" s="130"/>
      <c r="AF33" s="106"/>
    </row>
    <row r="34">
      <c r="A34" s="221" t="s">
        <v>766</v>
      </c>
      <c r="B34" s="341">
        <v>421.43</v>
      </c>
      <c r="C34" s="223"/>
      <c r="D34" s="223"/>
      <c r="E34" s="223"/>
      <c r="O34" s="79"/>
      <c r="S34" s="79"/>
      <c r="T34" s="79"/>
      <c r="Y34" s="79"/>
      <c r="AD34" s="130"/>
      <c r="AF34" s="106"/>
    </row>
    <row r="35">
      <c r="A35" s="221" t="s">
        <v>767</v>
      </c>
      <c r="B35" s="341">
        <v>658.0</v>
      </c>
      <c r="C35" s="223"/>
      <c r="D35" s="223"/>
      <c r="E35" s="223"/>
      <c r="O35" s="79"/>
      <c r="S35" s="79"/>
      <c r="T35" s="79"/>
      <c r="Y35" s="79"/>
      <c r="AD35" s="130"/>
      <c r="AF35" s="106"/>
    </row>
    <row r="36">
      <c r="C36" s="79"/>
      <c r="D36" s="79"/>
      <c r="E36" s="79"/>
      <c r="O36" s="79"/>
      <c r="S36" s="79"/>
      <c r="T36" s="79"/>
      <c r="Y36" s="79"/>
      <c r="AD36" s="130"/>
      <c r="AF36" s="106"/>
    </row>
    <row r="37">
      <c r="A37" s="274"/>
      <c r="B37" s="275" t="s">
        <v>315</v>
      </c>
      <c r="F37" s="274"/>
      <c r="G37" s="274"/>
      <c r="H37" s="274"/>
      <c r="I37" s="274"/>
      <c r="J37" s="274"/>
      <c r="K37" s="274"/>
      <c r="L37" s="274"/>
      <c r="M37" s="274"/>
      <c r="N37" s="274"/>
      <c r="O37" s="274"/>
      <c r="P37" s="274"/>
      <c r="Q37" s="274"/>
      <c r="R37" s="274"/>
      <c r="S37" s="274"/>
      <c r="T37" s="274"/>
      <c r="U37" s="274"/>
      <c r="V37" s="274"/>
      <c r="W37" s="274"/>
      <c r="X37" s="274"/>
      <c r="Y37" s="274"/>
      <c r="Z37" s="274"/>
      <c r="AA37" s="274"/>
      <c r="AB37" s="274"/>
      <c r="AC37" s="274"/>
      <c r="AD37" s="276"/>
      <c r="AE37" s="274"/>
      <c r="AF37" s="277"/>
      <c r="AG37" s="274"/>
      <c r="AH37" s="274"/>
      <c r="AI37" s="274"/>
    </row>
    <row r="38">
      <c r="A38" s="16" t="s">
        <v>316</v>
      </c>
      <c r="B38" s="17"/>
      <c r="C38" s="114"/>
      <c r="D38" s="114"/>
      <c r="E38" s="115"/>
      <c r="H38" s="455" t="s">
        <v>735</v>
      </c>
      <c r="I38" s="17"/>
      <c r="J38" s="114"/>
      <c r="K38" s="114"/>
      <c r="L38" s="115"/>
      <c r="O38" s="79"/>
      <c r="S38" s="79"/>
      <c r="T38" s="79"/>
      <c r="Y38" s="79"/>
      <c r="AD38" s="130"/>
      <c r="AF38" s="106"/>
    </row>
    <row r="39">
      <c r="A39" s="19" t="s">
        <v>317</v>
      </c>
      <c r="B39" s="20"/>
      <c r="C39" s="116"/>
      <c r="D39" s="116"/>
      <c r="E39" s="117"/>
      <c r="H39" s="457" t="s">
        <v>736</v>
      </c>
      <c r="I39" s="20"/>
      <c r="J39" s="116"/>
      <c r="K39" s="116"/>
      <c r="L39" s="117"/>
      <c r="O39" s="79"/>
      <c r="S39" s="79"/>
      <c r="T39" s="79"/>
      <c r="Y39" s="79"/>
      <c r="AD39" s="130"/>
      <c r="AF39" s="106"/>
    </row>
    <row r="40">
      <c r="A40" s="278" t="s">
        <v>318</v>
      </c>
      <c r="B40" s="279" t="s">
        <v>319</v>
      </c>
      <c r="C40" s="280" t="s">
        <v>285</v>
      </c>
      <c r="D40" s="280" t="s">
        <v>30</v>
      </c>
      <c r="E40" s="281" t="s">
        <v>320</v>
      </c>
      <c r="F40" s="281" t="s">
        <v>321</v>
      </c>
      <c r="H40" s="458" t="s">
        <v>318</v>
      </c>
      <c r="I40" s="459" t="s">
        <v>319</v>
      </c>
      <c r="J40" s="458" t="s">
        <v>285</v>
      </c>
      <c r="K40" s="458" t="s">
        <v>737</v>
      </c>
      <c r="L40" s="458" t="s">
        <v>738</v>
      </c>
      <c r="M40" s="458" t="s">
        <v>739</v>
      </c>
      <c r="N40" s="458" t="s">
        <v>740</v>
      </c>
      <c r="O40" s="458" t="s">
        <v>741</v>
      </c>
      <c r="P40" s="458" t="s">
        <v>320</v>
      </c>
      <c r="Q40" s="458" t="s">
        <v>742</v>
      </c>
      <c r="R40" s="458" t="s">
        <v>740</v>
      </c>
      <c r="S40" s="458" t="s">
        <v>741</v>
      </c>
      <c r="T40" s="458" t="s">
        <v>320</v>
      </c>
      <c r="U40" s="458" t="s">
        <v>740</v>
      </c>
      <c r="V40" s="458" t="s">
        <v>741</v>
      </c>
      <c r="W40" s="460" t="s">
        <v>320</v>
      </c>
      <c r="X40" s="461" t="s">
        <v>743</v>
      </c>
      <c r="Y40" s="79"/>
      <c r="AD40" s="130"/>
      <c r="AF40" s="106"/>
    </row>
    <row r="41">
      <c r="A41" s="418" t="s">
        <v>510</v>
      </c>
      <c r="B41" s="419">
        <v>45496.0</v>
      </c>
      <c r="C41" s="420" t="s">
        <v>325</v>
      </c>
      <c r="D41" s="421">
        <v>1194.77</v>
      </c>
      <c r="E41" s="462" t="s">
        <v>768</v>
      </c>
      <c r="F41" s="420"/>
      <c r="G41" s="483"/>
      <c r="H41" s="484">
        <v>582447.0</v>
      </c>
      <c r="I41" s="485">
        <v>45553.0</v>
      </c>
      <c r="J41" s="486" t="s">
        <v>437</v>
      </c>
      <c r="K41" s="487">
        <v>1.0</v>
      </c>
      <c r="L41" s="488">
        <v>398.39</v>
      </c>
      <c r="M41" s="488">
        <f t="shared" ref="M41:M46" si="6">L41/K41</f>
        <v>398.39</v>
      </c>
      <c r="N41" s="489">
        <v>-1.0</v>
      </c>
      <c r="O41" s="488">
        <f t="shared" ref="O41:O44" si="7">N41*M41</f>
        <v>-398.39</v>
      </c>
      <c r="P41" s="490">
        <v>45578.0</v>
      </c>
      <c r="Q41" s="489">
        <v>0.0</v>
      </c>
      <c r="R41" s="469"/>
      <c r="S41" s="469"/>
      <c r="T41" s="469"/>
      <c r="U41" s="469"/>
      <c r="V41" s="469"/>
      <c r="W41" s="470"/>
      <c r="X41" s="471">
        <f t="shared" ref="X41:X53" si="8">K41+N41+R41+U41</f>
        <v>0</v>
      </c>
      <c r="Y41" s="491"/>
      <c r="Z41" s="483"/>
      <c r="AA41" s="483"/>
      <c r="AB41" s="483"/>
      <c r="AC41" s="483"/>
      <c r="AD41" s="492"/>
      <c r="AE41" s="483"/>
      <c r="AF41" s="493"/>
      <c r="AG41" s="483"/>
      <c r="AH41" s="483"/>
      <c r="AI41" s="483"/>
    </row>
    <row r="42">
      <c r="A42" s="304" t="s">
        <v>530</v>
      </c>
      <c r="B42" s="305">
        <v>45503.0</v>
      </c>
      <c r="C42" s="234" t="s">
        <v>325</v>
      </c>
      <c r="D42" s="178">
        <v>1211.18</v>
      </c>
      <c r="E42" s="308"/>
      <c r="F42" s="235"/>
      <c r="H42" s="494">
        <v>584270.0</v>
      </c>
      <c r="I42" s="495">
        <v>45560.0</v>
      </c>
      <c r="J42" s="496" t="s">
        <v>437</v>
      </c>
      <c r="K42" s="497">
        <v>6.0</v>
      </c>
      <c r="L42" s="498">
        <v>2418.34</v>
      </c>
      <c r="M42" s="498">
        <f t="shared" si="6"/>
        <v>403.0566667</v>
      </c>
      <c r="N42" s="499">
        <v>-5.0</v>
      </c>
      <c r="O42" s="498">
        <f t="shared" si="7"/>
        <v>-2015.283333</v>
      </c>
      <c r="P42" s="496" t="s">
        <v>745</v>
      </c>
      <c r="Q42" s="499">
        <v>1.0</v>
      </c>
      <c r="R42" s="496">
        <v>-1.0</v>
      </c>
      <c r="S42" s="500">
        <f t="shared" ref="S42:S43" si="9">R42*M42</f>
        <v>-403.0566667</v>
      </c>
      <c r="T42" s="501">
        <v>45585.0</v>
      </c>
      <c r="U42" s="469"/>
      <c r="V42" s="469"/>
      <c r="W42" s="472"/>
      <c r="X42" s="471">
        <f t="shared" si="8"/>
        <v>0</v>
      </c>
      <c r="Y42" s="79"/>
      <c r="AD42" s="130"/>
      <c r="AF42" s="106"/>
    </row>
    <row r="43">
      <c r="A43" s="304" t="s">
        <v>553</v>
      </c>
      <c r="B43" s="305">
        <v>45510.0</v>
      </c>
      <c r="C43" s="234" t="s">
        <v>325</v>
      </c>
      <c r="D43" s="178">
        <v>1409.57</v>
      </c>
      <c r="E43" s="308"/>
      <c r="F43" s="235"/>
      <c r="H43" s="494">
        <v>586497.0</v>
      </c>
      <c r="I43" s="495">
        <v>45567.0</v>
      </c>
      <c r="J43" s="496" t="s">
        <v>437</v>
      </c>
      <c r="K43" s="497">
        <v>8.0</v>
      </c>
      <c r="L43" s="498">
        <v>3199.26</v>
      </c>
      <c r="M43" s="498">
        <f t="shared" si="6"/>
        <v>399.9075</v>
      </c>
      <c r="N43" s="499">
        <v>-2.0</v>
      </c>
      <c r="O43" s="498">
        <f t="shared" si="7"/>
        <v>-799.815</v>
      </c>
      <c r="P43" s="496" t="s">
        <v>745</v>
      </c>
      <c r="Q43" s="499">
        <v>6.0</v>
      </c>
      <c r="R43" s="496">
        <v>-6.0</v>
      </c>
      <c r="S43" s="500">
        <f t="shared" si="9"/>
        <v>-2399.445</v>
      </c>
      <c r="T43" s="501">
        <v>45585.0</v>
      </c>
      <c r="U43" s="469"/>
      <c r="V43" s="469"/>
      <c r="W43" s="472"/>
      <c r="X43" s="471">
        <f t="shared" si="8"/>
        <v>0</v>
      </c>
      <c r="Y43" s="79"/>
      <c r="AD43" s="130"/>
      <c r="AF43" s="106"/>
    </row>
    <row r="44">
      <c r="A44" s="304" t="s">
        <v>578</v>
      </c>
      <c r="B44" s="305">
        <v>45517.0</v>
      </c>
      <c r="C44" s="234" t="s">
        <v>325</v>
      </c>
      <c r="D44" s="178">
        <v>1391.12</v>
      </c>
      <c r="E44" s="308"/>
      <c r="F44" s="235"/>
      <c r="H44" s="463">
        <v>586905.0</v>
      </c>
      <c r="I44" s="464">
        <v>45568.0</v>
      </c>
      <c r="J44" s="465" t="s">
        <v>437</v>
      </c>
      <c r="K44" s="466">
        <v>2.0</v>
      </c>
      <c r="L44" s="467">
        <v>806.11</v>
      </c>
      <c r="M44" s="467">
        <f t="shared" si="6"/>
        <v>403.055</v>
      </c>
      <c r="N44" s="468">
        <v>-1.0</v>
      </c>
      <c r="O44" s="467">
        <f t="shared" si="7"/>
        <v>-403.055</v>
      </c>
      <c r="P44" s="465" t="s">
        <v>745</v>
      </c>
      <c r="Q44" s="468">
        <v>1.0</v>
      </c>
      <c r="R44" s="469"/>
      <c r="S44" s="469"/>
      <c r="T44" s="469"/>
      <c r="U44" s="469"/>
      <c r="V44" s="469"/>
      <c r="W44" s="472"/>
      <c r="X44" s="471">
        <f t="shared" si="8"/>
        <v>1</v>
      </c>
      <c r="Y44" s="79"/>
      <c r="AD44" s="130"/>
      <c r="AF44" s="106"/>
    </row>
    <row r="45">
      <c r="A45" s="304" t="s">
        <v>597</v>
      </c>
      <c r="B45" s="305">
        <v>45525.0</v>
      </c>
      <c r="C45" s="234" t="s">
        <v>325</v>
      </c>
      <c r="D45" s="178">
        <v>1420.83</v>
      </c>
      <c r="E45" s="308"/>
      <c r="F45" s="235"/>
      <c r="H45" s="463">
        <v>588311.0</v>
      </c>
      <c r="I45" s="464">
        <v>45574.0</v>
      </c>
      <c r="J45" s="465" t="s">
        <v>437</v>
      </c>
      <c r="K45" s="466">
        <v>6.0</v>
      </c>
      <c r="L45" s="467">
        <v>2363.76</v>
      </c>
      <c r="M45" s="467">
        <f t="shared" si="6"/>
        <v>393.96</v>
      </c>
      <c r="N45" s="473"/>
      <c r="O45" s="473"/>
      <c r="P45" s="468">
        <f t="shared" ref="P45:P53" si="10">N45*M45</f>
        <v>0</v>
      </c>
      <c r="Q45" s="465">
        <v>6.0</v>
      </c>
      <c r="R45" s="469"/>
      <c r="S45" s="469"/>
      <c r="T45" s="469"/>
      <c r="U45" s="469"/>
      <c r="V45" s="469"/>
      <c r="W45" s="472"/>
      <c r="X45" s="471">
        <f t="shared" si="8"/>
        <v>6</v>
      </c>
      <c r="Y45" s="79"/>
      <c r="AD45" s="130"/>
      <c r="AF45" s="106"/>
    </row>
    <row r="46">
      <c r="A46" s="304" t="s">
        <v>622</v>
      </c>
      <c r="B46" s="305">
        <v>45533.0</v>
      </c>
      <c r="C46" s="234" t="s">
        <v>325</v>
      </c>
      <c r="D46" s="178">
        <v>1404.36</v>
      </c>
      <c r="E46" s="308"/>
      <c r="F46" s="235"/>
      <c r="H46" s="502">
        <v>589695.0</v>
      </c>
      <c r="I46" s="464">
        <v>45581.0</v>
      </c>
      <c r="J46" s="465" t="s">
        <v>437</v>
      </c>
      <c r="K46" s="466">
        <v>6.0</v>
      </c>
      <c r="L46" s="467">
        <v>2362.36</v>
      </c>
      <c r="M46" s="467">
        <f t="shared" si="6"/>
        <v>393.7266667</v>
      </c>
      <c r="N46" s="473"/>
      <c r="O46" s="473"/>
      <c r="P46" s="468">
        <f t="shared" si="10"/>
        <v>0</v>
      </c>
      <c r="Q46" s="465">
        <v>6.0</v>
      </c>
      <c r="R46" s="469"/>
      <c r="S46" s="469"/>
      <c r="T46" s="469"/>
      <c r="U46" s="469"/>
      <c r="V46" s="469"/>
      <c r="W46" s="472"/>
      <c r="X46" s="471">
        <f t="shared" si="8"/>
        <v>6</v>
      </c>
      <c r="Y46" s="79"/>
      <c r="AD46" s="130"/>
      <c r="AF46" s="106"/>
    </row>
    <row r="47">
      <c r="A47" s="304" t="s">
        <v>644</v>
      </c>
      <c r="B47" s="305">
        <v>45540.0</v>
      </c>
      <c r="C47" s="234" t="s">
        <v>325</v>
      </c>
      <c r="D47" s="178">
        <v>1415.74</v>
      </c>
      <c r="E47" s="308"/>
      <c r="F47" s="235"/>
      <c r="H47" s="463"/>
      <c r="I47" s="464"/>
      <c r="J47" s="465" t="s">
        <v>437</v>
      </c>
      <c r="K47" s="466"/>
      <c r="L47" s="467"/>
      <c r="M47" s="467"/>
      <c r="N47" s="473"/>
      <c r="O47" s="473"/>
      <c r="P47" s="468">
        <f t="shared" si="10"/>
        <v>0</v>
      </c>
      <c r="Q47" s="465"/>
      <c r="R47" s="469"/>
      <c r="S47" s="469"/>
      <c r="T47" s="469"/>
      <c r="U47" s="469"/>
      <c r="V47" s="469"/>
      <c r="W47" s="472"/>
      <c r="X47" s="471">
        <f t="shared" si="8"/>
        <v>0</v>
      </c>
      <c r="Y47" s="79"/>
      <c r="AD47" s="130"/>
      <c r="AF47" s="106"/>
    </row>
    <row r="48">
      <c r="A48" s="304" t="s">
        <v>660</v>
      </c>
      <c r="B48" s="305">
        <v>45547.0</v>
      </c>
      <c r="C48" s="234" t="s">
        <v>325</v>
      </c>
      <c r="D48" s="178">
        <v>1419.33</v>
      </c>
      <c r="E48" s="308"/>
      <c r="F48" s="235"/>
      <c r="H48" s="463"/>
      <c r="I48" s="464"/>
      <c r="J48" s="465" t="s">
        <v>437</v>
      </c>
      <c r="K48" s="466"/>
      <c r="L48" s="467"/>
      <c r="M48" s="467"/>
      <c r="N48" s="473"/>
      <c r="O48" s="473"/>
      <c r="P48" s="468">
        <f t="shared" si="10"/>
        <v>0</v>
      </c>
      <c r="Q48" s="465"/>
      <c r="R48" s="469"/>
      <c r="S48" s="469"/>
      <c r="T48" s="469"/>
      <c r="U48" s="469"/>
      <c r="V48" s="469"/>
      <c r="W48" s="472"/>
      <c r="X48" s="471">
        <f t="shared" si="8"/>
        <v>0</v>
      </c>
      <c r="Y48" s="79"/>
      <c r="AD48" s="130"/>
      <c r="AF48" s="106"/>
    </row>
    <row r="49">
      <c r="A49" s="304" t="s">
        <v>677</v>
      </c>
      <c r="B49" s="305">
        <v>45554.0</v>
      </c>
      <c r="C49" s="234" t="s">
        <v>325</v>
      </c>
      <c r="D49" s="178">
        <v>1439.4</v>
      </c>
      <c r="E49" s="308"/>
      <c r="F49" s="235"/>
      <c r="H49" s="463"/>
      <c r="I49" s="464"/>
      <c r="J49" s="465" t="s">
        <v>437</v>
      </c>
      <c r="K49" s="466"/>
      <c r="L49" s="467"/>
      <c r="M49" s="467"/>
      <c r="N49" s="473"/>
      <c r="O49" s="473"/>
      <c r="P49" s="468">
        <f t="shared" si="10"/>
        <v>0</v>
      </c>
      <c r="Q49" s="465"/>
      <c r="R49" s="469"/>
      <c r="S49" s="469"/>
      <c r="T49" s="469"/>
      <c r="U49" s="469"/>
      <c r="V49" s="469"/>
      <c r="W49" s="472"/>
      <c r="X49" s="471">
        <f t="shared" si="8"/>
        <v>0</v>
      </c>
      <c r="Y49" s="79"/>
      <c r="AD49" s="130"/>
      <c r="AF49" s="106"/>
    </row>
    <row r="50">
      <c r="A50" s="304" t="s">
        <v>691</v>
      </c>
      <c r="B50" s="305">
        <v>45561.0</v>
      </c>
      <c r="C50" s="234" t="s">
        <v>325</v>
      </c>
      <c r="D50" s="178">
        <v>777.2</v>
      </c>
      <c r="E50" s="308"/>
      <c r="F50" s="235"/>
      <c r="H50" s="463"/>
      <c r="I50" s="464"/>
      <c r="J50" s="465" t="s">
        <v>437</v>
      </c>
      <c r="K50" s="466"/>
      <c r="L50" s="467"/>
      <c r="M50" s="467"/>
      <c r="N50" s="473"/>
      <c r="O50" s="473"/>
      <c r="P50" s="468">
        <f t="shared" si="10"/>
        <v>0</v>
      </c>
      <c r="Q50" s="465"/>
      <c r="R50" s="469"/>
      <c r="S50" s="469"/>
      <c r="T50" s="469"/>
      <c r="U50" s="469"/>
      <c r="V50" s="469"/>
      <c r="W50" s="472"/>
      <c r="X50" s="471">
        <f t="shared" si="8"/>
        <v>0</v>
      </c>
      <c r="Y50" s="79"/>
      <c r="AD50" s="130"/>
      <c r="AF50" s="106"/>
    </row>
    <row r="51">
      <c r="A51" s="304" t="s">
        <v>703</v>
      </c>
      <c r="B51" s="305">
        <v>45568.0</v>
      </c>
      <c r="C51" s="234" t="s">
        <v>325</v>
      </c>
      <c r="D51" s="178">
        <v>1421.43</v>
      </c>
      <c r="E51" s="308"/>
      <c r="F51" s="235"/>
      <c r="H51" s="463"/>
      <c r="I51" s="464"/>
      <c r="J51" s="465" t="s">
        <v>437</v>
      </c>
      <c r="K51" s="466"/>
      <c r="L51" s="467"/>
      <c r="M51" s="467"/>
      <c r="N51" s="473"/>
      <c r="O51" s="473"/>
      <c r="P51" s="468">
        <f t="shared" si="10"/>
        <v>0</v>
      </c>
      <c r="Q51" s="465"/>
      <c r="R51" s="469"/>
      <c r="S51" s="469"/>
      <c r="T51" s="469"/>
      <c r="U51" s="469"/>
      <c r="V51" s="469"/>
      <c r="W51" s="472"/>
      <c r="X51" s="471">
        <f t="shared" si="8"/>
        <v>0</v>
      </c>
      <c r="Y51" s="79"/>
      <c r="AD51" s="130"/>
      <c r="AF51" s="106"/>
    </row>
    <row r="52">
      <c r="A52" s="304" t="s">
        <v>747</v>
      </c>
      <c r="B52" s="305">
        <v>45574.0</v>
      </c>
      <c r="C52" s="234" t="s">
        <v>325</v>
      </c>
      <c r="D52" s="178">
        <v>1449.58</v>
      </c>
      <c r="E52" s="308"/>
      <c r="F52" s="235"/>
      <c r="H52" s="463"/>
      <c r="I52" s="464"/>
      <c r="J52" s="465" t="s">
        <v>437</v>
      </c>
      <c r="K52" s="466"/>
      <c r="L52" s="467"/>
      <c r="M52" s="467"/>
      <c r="N52" s="473"/>
      <c r="O52" s="473"/>
      <c r="P52" s="468">
        <f t="shared" si="10"/>
        <v>0</v>
      </c>
      <c r="Q52" s="465"/>
      <c r="R52" s="469"/>
      <c r="S52" s="469"/>
      <c r="T52" s="469"/>
      <c r="U52" s="469"/>
      <c r="V52" s="469"/>
      <c r="W52" s="472"/>
      <c r="X52" s="471">
        <f t="shared" si="8"/>
        <v>0</v>
      </c>
      <c r="Y52" s="79"/>
      <c r="AD52" s="130"/>
      <c r="AF52" s="106"/>
    </row>
    <row r="53">
      <c r="A53" s="304" t="s">
        <v>769</v>
      </c>
      <c r="B53" s="305">
        <v>45581.0</v>
      </c>
      <c r="C53" s="234" t="s">
        <v>325</v>
      </c>
      <c r="D53" s="178">
        <v>1436.0</v>
      </c>
      <c r="E53" s="308"/>
      <c r="F53" s="235"/>
      <c r="H53" s="473"/>
      <c r="I53" s="464"/>
      <c r="J53" s="473"/>
      <c r="K53" s="466"/>
      <c r="L53" s="467"/>
      <c r="M53" s="467"/>
      <c r="N53" s="473"/>
      <c r="O53" s="473"/>
      <c r="P53" s="468">
        <f t="shared" si="10"/>
        <v>0</v>
      </c>
      <c r="Q53" s="465"/>
      <c r="R53" s="469"/>
      <c r="S53" s="469"/>
      <c r="T53" s="469"/>
      <c r="U53" s="469"/>
      <c r="V53" s="469"/>
      <c r="W53" s="472"/>
      <c r="X53" s="474">
        <f t="shared" si="8"/>
        <v>0</v>
      </c>
      <c r="Y53" s="79"/>
      <c r="AD53" s="130"/>
      <c r="AF53" s="106"/>
    </row>
    <row r="54">
      <c r="A54" s="282" t="s">
        <v>665</v>
      </c>
      <c r="B54" s="283">
        <v>45545.0</v>
      </c>
      <c r="C54" s="166" t="s">
        <v>666</v>
      </c>
      <c r="D54" s="93">
        <v>1222.2</v>
      </c>
      <c r="E54" s="291" t="s">
        <v>704</v>
      </c>
      <c r="F54" s="6">
        <f t="shared" ref="F54:F55" si="11">D54/2</f>
        <v>611.1</v>
      </c>
      <c r="O54" s="79"/>
      <c r="S54" s="79"/>
      <c r="T54" s="79"/>
      <c r="Y54" s="79"/>
      <c r="AD54" s="130"/>
      <c r="AF54" s="106"/>
    </row>
    <row r="55">
      <c r="A55" s="282" t="s">
        <v>667</v>
      </c>
      <c r="B55" s="283">
        <v>45546.0</v>
      </c>
      <c r="C55" s="166" t="s">
        <v>668</v>
      </c>
      <c r="D55" s="93">
        <f>608.6</f>
        <v>608.6</v>
      </c>
      <c r="E55" s="291" t="s">
        <v>704</v>
      </c>
      <c r="F55" s="6">
        <f t="shared" si="11"/>
        <v>304.3</v>
      </c>
      <c r="H55" s="479" t="s">
        <v>287</v>
      </c>
      <c r="I55" s="32" t="s">
        <v>748</v>
      </c>
      <c r="J55" s="479" t="s">
        <v>749</v>
      </c>
      <c r="K55" s="479" t="s">
        <v>750</v>
      </c>
      <c r="O55" s="79"/>
      <c r="P55" s="79"/>
      <c r="S55" s="79"/>
      <c r="T55" s="79"/>
      <c r="Y55" s="79"/>
      <c r="AD55" s="130"/>
      <c r="AF55" s="106"/>
    </row>
    <row r="56">
      <c r="A56" s="282" t="s">
        <v>681</v>
      </c>
      <c r="B56" s="283">
        <v>45555.0</v>
      </c>
      <c r="C56" s="166" t="s">
        <v>664</v>
      </c>
      <c r="D56" s="93">
        <v>785.6</v>
      </c>
      <c r="E56" s="291"/>
      <c r="F56" s="6"/>
      <c r="H56" s="286">
        <v>45578.0</v>
      </c>
      <c r="I56" s="32">
        <v>6.0</v>
      </c>
      <c r="J56" s="480">
        <v>2413.68</v>
      </c>
      <c r="K56" s="479" t="s">
        <v>751</v>
      </c>
      <c r="O56" s="79"/>
      <c r="S56" s="79"/>
      <c r="T56" s="79"/>
      <c r="Y56" s="79"/>
      <c r="AD56" s="130"/>
      <c r="AF56" s="106"/>
    </row>
    <row r="57">
      <c r="A57" s="282" t="s">
        <v>682</v>
      </c>
      <c r="B57" s="283">
        <v>45558.0</v>
      </c>
      <c r="C57" s="166" t="s">
        <v>482</v>
      </c>
      <c r="D57" s="93">
        <v>1556.54</v>
      </c>
      <c r="E57" s="337">
        <v>45585.0</v>
      </c>
      <c r="F57" s="6">
        <f>D57/2</f>
        <v>778.27</v>
      </c>
      <c r="H57" s="286">
        <v>45578.0</v>
      </c>
      <c r="I57" s="32">
        <v>3.0</v>
      </c>
      <c r="J57" s="480">
        <v>1202.87</v>
      </c>
      <c r="K57" s="479" t="s">
        <v>752</v>
      </c>
      <c r="O57" s="79"/>
      <c r="S57" s="79"/>
      <c r="T57" s="79"/>
      <c r="Y57" s="79"/>
      <c r="AD57" s="130"/>
      <c r="AF57" s="106"/>
    </row>
    <row r="58">
      <c r="A58" s="390" t="s">
        <v>705</v>
      </c>
      <c r="B58" s="391">
        <v>45570.0</v>
      </c>
      <c r="C58" s="392" t="s">
        <v>706</v>
      </c>
      <c r="D58" s="393">
        <v>106.47</v>
      </c>
      <c r="E58" s="503">
        <v>45572.0</v>
      </c>
      <c r="F58" s="6"/>
      <c r="H58" s="504">
        <v>45585.0</v>
      </c>
      <c r="I58" s="479">
        <v>1.0</v>
      </c>
      <c r="J58" s="505">
        <f t="shared" ref="J58:J59" si="12">S42*-1</f>
        <v>403.0566667</v>
      </c>
      <c r="K58" s="479" t="s">
        <v>751</v>
      </c>
      <c r="O58" s="79"/>
      <c r="S58" s="79"/>
      <c r="T58" s="79"/>
      <c r="Y58" s="79"/>
      <c r="AD58" s="130"/>
      <c r="AF58" s="106"/>
    </row>
    <row r="59">
      <c r="A59" s="390" t="s">
        <v>707</v>
      </c>
      <c r="B59" s="391">
        <v>45570.0</v>
      </c>
      <c r="C59" s="392" t="s">
        <v>708</v>
      </c>
      <c r="D59" s="393">
        <v>271.2</v>
      </c>
      <c r="E59" s="503">
        <v>45572.0</v>
      </c>
      <c r="F59" s="6"/>
      <c r="H59" s="504">
        <v>45585.0</v>
      </c>
      <c r="I59" s="479">
        <v>6.0</v>
      </c>
      <c r="J59" s="505">
        <f t="shared" si="12"/>
        <v>2399.445</v>
      </c>
      <c r="K59" s="479" t="s">
        <v>751</v>
      </c>
      <c r="O59" s="79"/>
      <c r="S59" s="79"/>
      <c r="T59" s="79"/>
      <c r="Y59" s="79"/>
      <c r="AD59" s="130"/>
      <c r="AF59" s="106"/>
    </row>
    <row r="60">
      <c r="A60" s="282" t="s">
        <v>709</v>
      </c>
      <c r="B60" s="283">
        <v>45570.0</v>
      </c>
      <c r="C60" s="166" t="s">
        <v>710</v>
      </c>
      <c r="D60" s="93">
        <v>1001.8</v>
      </c>
      <c r="E60" s="291"/>
      <c r="F60" s="6"/>
      <c r="H60" s="479"/>
      <c r="I60" s="481"/>
      <c r="J60" s="481"/>
      <c r="K60" s="481"/>
      <c r="O60" s="79"/>
      <c r="S60" s="79"/>
      <c r="T60" s="79"/>
      <c r="Y60" s="79"/>
      <c r="AD60" s="130"/>
      <c r="AF60" s="106"/>
    </row>
    <row r="61">
      <c r="A61" s="282" t="s">
        <v>711</v>
      </c>
      <c r="B61" s="283">
        <v>45567.0</v>
      </c>
      <c r="C61" s="166" t="s">
        <v>712</v>
      </c>
      <c r="D61" s="93">
        <f>603.86-15</f>
        <v>588.86</v>
      </c>
      <c r="E61" s="291"/>
      <c r="F61" s="6"/>
      <c r="H61" s="479"/>
      <c r="I61" s="481"/>
      <c r="J61" s="481"/>
      <c r="K61" s="481"/>
      <c r="O61" s="79"/>
      <c r="S61" s="79"/>
      <c r="T61" s="79"/>
      <c r="Y61" s="79"/>
      <c r="AD61" s="130"/>
      <c r="AF61" s="106"/>
    </row>
    <row r="62">
      <c r="A62" s="390" t="s">
        <v>713</v>
      </c>
      <c r="B62" s="391">
        <v>45568.0</v>
      </c>
      <c r="C62" s="392" t="s">
        <v>714</v>
      </c>
      <c r="D62" s="393">
        <v>373.0</v>
      </c>
      <c r="E62" s="503">
        <v>45585.0</v>
      </c>
      <c r="F62" s="6"/>
      <c r="H62" s="479"/>
      <c r="I62" s="481"/>
      <c r="J62" s="481"/>
      <c r="K62" s="481"/>
      <c r="O62" s="79"/>
      <c r="S62" s="79"/>
      <c r="T62" s="79"/>
      <c r="Y62" s="79"/>
      <c r="AD62" s="130"/>
      <c r="AF62" s="106"/>
    </row>
    <row r="63">
      <c r="A63" s="282" t="s">
        <v>715</v>
      </c>
      <c r="B63" s="283">
        <v>45570.0</v>
      </c>
      <c r="C63" s="166" t="s">
        <v>716</v>
      </c>
      <c r="D63" s="93">
        <f>299.8-5.8</f>
        <v>294</v>
      </c>
      <c r="E63" s="291"/>
      <c r="F63" s="6"/>
      <c r="H63" s="479"/>
      <c r="I63" s="481"/>
      <c r="J63" s="481"/>
      <c r="K63" s="481"/>
      <c r="O63" s="79"/>
      <c r="S63" s="79"/>
      <c r="T63" s="79"/>
      <c r="Y63" s="79"/>
      <c r="AD63" s="130"/>
      <c r="AF63" s="106"/>
    </row>
    <row r="64">
      <c r="A64" s="282" t="s">
        <v>753</v>
      </c>
      <c r="B64" s="283">
        <v>45574.0</v>
      </c>
      <c r="C64" s="166" t="s">
        <v>754</v>
      </c>
      <c r="D64" s="93">
        <v>237.1</v>
      </c>
      <c r="E64" s="291"/>
      <c r="F64" s="6"/>
      <c r="H64" s="479"/>
      <c r="I64" s="481"/>
      <c r="J64" s="481"/>
      <c r="K64" s="481"/>
      <c r="O64" s="79"/>
      <c r="S64" s="79"/>
      <c r="T64" s="79"/>
      <c r="Y64" s="79"/>
      <c r="AD64" s="130"/>
      <c r="AF64" s="106"/>
    </row>
    <row r="65">
      <c r="A65" s="282" t="s">
        <v>755</v>
      </c>
      <c r="B65" s="283">
        <v>45576.0</v>
      </c>
      <c r="C65" s="166" t="s">
        <v>756</v>
      </c>
      <c r="D65" s="93">
        <v>504.64</v>
      </c>
      <c r="E65" s="291"/>
      <c r="F65" s="6"/>
      <c r="H65" s="479"/>
      <c r="I65" s="481"/>
      <c r="J65" s="481"/>
      <c r="K65" s="481"/>
      <c r="O65" s="79"/>
      <c r="S65" s="79"/>
      <c r="T65" s="79"/>
      <c r="Y65" s="79"/>
      <c r="AD65" s="130"/>
      <c r="AF65" s="106"/>
    </row>
    <row r="66">
      <c r="A66" s="390" t="s">
        <v>757</v>
      </c>
      <c r="B66" s="391">
        <v>45561.0</v>
      </c>
      <c r="C66" s="392" t="s">
        <v>536</v>
      </c>
      <c r="D66" s="393">
        <v>1160.0</v>
      </c>
      <c r="E66" s="394" t="s">
        <v>770</v>
      </c>
      <c r="F66" s="476">
        <f>D66/2</f>
        <v>580</v>
      </c>
      <c r="H66" s="479"/>
      <c r="I66" s="481"/>
      <c r="J66" s="481"/>
      <c r="K66" s="481"/>
      <c r="O66" s="79"/>
      <c r="S66" s="79"/>
      <c r="T66" s="79"/>
      <c r="Y66" s="79"/>
      <c r="AD66" s="130"/>
      <c r="AF66" s="106"/>
    </row>
    <row r="67">
      <c r="A67" s="282" t="s">
        <v>758</v>
      </c>
      <c r="B67" s="283">
        <v>45561.0</v>
      </c>
      <c r="C67" s="166" t="s">
        <v>536</v>
      </c>
      <c r="D67" s="93">
        <v>1160.0</v>
      </c>
      <c r="E67" s="291"/>
      <c r="F67" s="6"/>
      <c r="H67" s="479"/>
      <c r="I67" s="481"/>
      <c r="J67" s="481"/>
      <c r="K67" s="481"/>
      <c r="O67" s="79"/>
      <c r="S67" s="79"/>
      <c r="T67" s="79"/>
      <c r="Y67" s="79"/>
      <c r="AD67" s="130"/>
      <c r="AF67" s="106"/>
    </row>
    <row r="68">
      <c r="A68" s="282" t="s">
        <v>771</v>
      </c>
      <c r="B68" s="283">
        <v>45579.0</v>
      </c>
      <c r="C68" s="166" t="s">
        <v>772</v>
      </c>
      <c r="D68" s="93">
        <v>658.0</v>
      </c>
      <c r="E68" s="291"/>
      <c r="F68" s="6"/>
      <c r="H68" s="479"/>
      <c r="I68" s="481"/>
      <c r="J68" s="481"/>
      <c r="K68" s="481"/>
      <c r="O68" s="79"/>
      <c r="S68" s="79"/>
      <c r="T68" s="79"/>
      <c r="Y68" s="79"/>
      <c r="AD68" s="130"/>
      <c r="AF68" s="106"/>
    </row>
    <row r="69">
      <c r="A69" s="282" t="s">
        <v>773</v>
      </c>
      <c r="B69" s="283">
        <v>45581.0</v>
      </c>
      <c r="C69" s="166" t="s">
        <v>774</v>
      </c>
      <c r="D69" s="93">
        <f>547-15</f>
        <v>532</v>
      </c>
      <c r="E69" s="291"/>
      <c r="F69" s="6"/>
      <c r="O69" s="79"/>
      <c r="S69" s="79"/>
      <c r="T69" s="79"/>
      <c r="Y69" s="79"/>
      <c r="AD69" s="130"/>
      <c r="AF69" s="106"/>
    </row>
    <row r="70">
      <c r="A70" s="282" t="s">
        <v>775</v>
      </c>
      <c r="B70" s="283">
        <v>45581.0</v>
      </c>
      <c r="C70" s="166" t="s">
        <v>712</v>
      </c>
      <c r="D70" s="93">
        <f>421.43-5</f>
        <v>416.43</v>
      </c>
      <c r="E70" s="291"/>
      <c r="F70" s="6"/>
      <c r="O70" s="79"/>
      <c r="S70" s="79"/>
      <c r="T70" s="79"/>
      <c r="Y70" s="79"/>
      <c r="AD70" s="130"/>
      <c r="AF70" s="106"/>
    </row>
    <row r="71">
      <c r="A71" s="282" t="s">
        <v>776</v>
      </c>
      <c r="B71" s="283">
        <v>45583.0</v>
      </c>
      <c r="C71" s="166" t="s">
        <v>777</v>
      </c>
      <c r="D71" s="93">
        <v>91.02</v>
      </c>
      <c r="E71" s="291"/>
      <c r="F71" s="6"/>
      <c r="O71" s="79"/>
      <c r="S71" s="79"/>
      <c r="T71" s="79"/>
      <c r="Y71" s="79"/>
      <c r="AD71" s="130"/>
      <c r="AF71" s="106"/>
    </row>
    <row r="72">
      <c r="A72" s="282" t="s">
        <v>778</v>
      </c>
      <c r="B72" s="283">
        <v>45580.0</v>
      </c>
      <c r="C72" s="166" t="s">
        <v>626</v>
      </c>
      <c r="D72" s="93">
        <v>1629.6</v>
      </c>
      <c r="E72" s="291"/>
      <c r="F72" s="6"/>
      <c r="G72" s="68">
        <f t="shared" ref="G72:G73" si="13">1247.4/2</f>
        <v>623.7</v>
      </c>
      <c r="O72" s="79"/>
      <c r="S72" s="79"/>
      <c r="T72" s="79"/>
      <c r="Y72" s="79"/>
      <c r="AD72" s="130"/>
      <c r="AF72" s="106"/>
    </row>
    <row r="73">
      <c r="A73" s="282"/>
      <c r="B73" s="283"/>
      <c r="C73" s="166"/>
      <c r="D73" s="93"/>
      <c r="E73" s="291"/>
      <c r="F73" s="6"/>
      <c r="G73" s="68">
        <f t="shared" si="13"/>
        <v>623.7</v>
      </c>
      <c r="O73" s="79"/>
      <c r="S73" s="79"/>
      <c r="T73" s="79"/>
      <c r="Y73" s="79"/>
      <c r="AD73" s="130"/>
      <c r="AF73" s="106"/>
    </row>
    <row r="74">
      <c r="A74" s="282"/>
      <c r="B74" s="283"/>
      <c r="C74" s="166"/>
      <c r="D74" s="93"/>
      <c r="E74" s="291"/>
      <c r="F74" s="6"/>
      <c r="O74" s="79"/>
      <c r="S74" s="79"/>
      <c r="T74" s="79"/>
      <c r="Y74" s="79"/>
      <c r="AD74" s="130"/>
      <c r="AF74" s="106"/>
    </row>
    <row r="75">
      <c r="A75" s="282"/>
      <c r="B75" s="283"/>
      <c r="C75" s="166"/>
      <c r="D75" s="93"/>
      <c r="E75" s="291"/>
      <c r="F75" s="6"/>
      <c r="O75" s="79"/>
      <c r="S75" s="79"/>
      <c r="T75" s="79"/>
      <c r="Y75" s="79"/>
      <c r="AD75" s="130"/>
      <c r="AF75" s="106"/>
    </row>
    <row r="76">
      <c r="A76" s="282"/>
      <c r="B76" s="283"/>
      <c r="C76" s="166"/>
      <c r="D76" s="93"/>
      <c r="E76" s="291"/>
      <c r="F76" s="6"/>
      <c r="O76" s="79"/>
      <c r="S76" s="79"/>
      <c r="T76" s="79"/>
      <c r="Y76" s="79"/>
      <c r="AD76" s="130"/>
      <c r="AF76" s="106"/>
    </row>
    <row r="77">
      <c r="A77" s="282"/>
      <c r="B77" s="283"/>
      <c r="C77" s="166"/>
      <c r="D77" s="93"/>
      <c r="E77" s="291"/>
      <c r="F77" s="6"/>
      <c r="O77" s="79"/>
      <c r="S77" s="79"/>
      <c r="T77" s="79"/>
      <c r="Y77" s="79"/>
      <c r="AD77" s="130"/>
      <c r="AF77" s="106"/>
    </row>
    <row r="78">
      <c r="A78" s="282"/>
      <c r="B78" s="283"/>
      <c r="C78" s="166"/>
      <c r="D78" s="93"/>
      <c r="E78" s="291"/>
      <c r="F78" s="6"/>
      <c r="O78" s="79"/>
      <c r="S78" s="79"/>
      <c r="T78" s="79"/>
      <c r="Y78" s="79"/>
      <c r="AD78" s="130"/>
      <c r="AF78" s="106"/>
    </row>
    <row r="79">
      <c r="C79" s="79"/>
      <c r="D79" s="79"/>
      <c r="E79" s="79"/>
      <c r="O79" s="79"/>
      <c r="S79" s="79"/>
      <c r="T79" s="79"/>
      <c r="Y79" s="79"/>
      <c r="AD79" s="130"/>
      <c r="AF79" s="106"/>
    </row>
    <row r="80">
      <c r="C80" s="79"/>
      <c r="D80" s="79"/>
      <c r="E80" s="79"/>
      <c r="O80" s="79"/>
      <c r="S80" s="79"/>
      <c r="T80" s="79"/>
      <c r="Y80" s="79"/>
      <c r="AD80" s="130"/>
      <c r="AF80" s="106"/>
    </row>
    <row r="81">
      <c r="C81" s="79"/>
      <c r="D81" s="79"/>
      <c r="E81" s="79"/>
      <c r="O81" s="79"/>
      <c r="S81" s="79"/>
      <c r="T81" s="79"/>
      <c r="Y81" s="79"/>
      <c r="AD81" s="130"/>
      <c r="AF81" s="106"/>
    </row>
    <row r="82">
      <c r="C82" s="79"/>
      <c r="D82" s="79"/>
      <c r="E82" s="79"/>
      <c r="O82" s="79"/>
      <c r="S82" s="79"/>
      <c r="T82" s="79"/>
      <c r="Y82" s="79"/>
      <c r="AD82" s="130"/>
      <c r="AF82" s="106"/>
    </row>
    <row r="83">
      <c r="C83" s="79"/>
      <c r="D83" s="79"/>
      <c r="E83" s="79"/>
      <c r="O83" s="79"/>
      <c r="S83" s="79"/>
      <c r="T83" s="79"/>
      <c r="Y83" s="79"/>
      <c r="AD83" s="130"/>
      <c r="AF83" s="106"/>
    </row>
    <row r="84">
      <c r="C84" s="79"/>
      <c r="D84" s="79"/>
      <c r="E84" s="79"/>
      <c r="O84" s="79"/>
      <c r="S84" s="79"/>
      <c r="T84" s="79"/>
      <c r="Y84" s="79"/>
      <c r="AD84" s="130"/>
      <c r="AF84" s="106"/>
    </row>
    <row r="85">
      <c r="C85" s="79"/>
      <c r="D85" s="79"/>
      <c r="E85" s="79"/>
      <c r="O85" s="79"/>
      <c r="S85" s="79"/>
      <c r="T85" s="79"/>
      <c r="Y85" s="79"/>
      <c r="AD85" s="130"/>
      <c r="AF85" s="106"/>
    </row>
    <row r="86">
      <c r="C86" s="79"/>
      <c r="D86" s="79"/>
      <c r="E86" s="79"/>
      <c r="O86" s="79"/>
      <c r="S86" s="79"/>
      <c r="T86" s="79"/>
      <c r="Y86" s="79"/>
      <c r="AD86" s="130"/>
      <c r="AF86" s="106"/>
    </row>
    <row r="87">
      <c r="C87" s="79"/>
      <c r="D87" s="79"/>
      <c r="E87" s="79"/>
      <c r="O87" s="79"/>
      <c r="S87" s="79"/>
      <c r="T87" s="79"/>
      <c r="Y87" s="79"/>
      <c r="AD87" s="130"/>
      <c r="AF87" s="106"/>
    </row>
    <row r="88">
      <c r="C88" s="79"/>
      <c r="D88" s="79"/>
      <c r="E88" s="79"/>
      <c r="O88" s="79"/>
      <c r="S88" s="79"/>
      <c r="T88" s="79"/>
      <c r="Y88" s="79"/>
      <c r="AD88" s="130"/>
      <c r="AF88" s="106"/>
    </row>
    <row r="89">
      <c r="C89" s="79"/>
      <c r="D89" s="79"/>
      <c r="E89" s="79"/>
      <c r="O89" s="79"/>
      <c r="S89" s="79"/>
      <c r="T89" s="79"/>
      <c r="Y89" s="79"/>
      <c r="AD89" s="130"/>
      <c r="AF89" s="106"/>
    </row>
    <row r="90">
      <c r="C90" s="79"/>
      <c r="D90" s="79"/>
      <c r="E90" s="79"/>
      <c r="O90" s="79"/>
      <c r="S90" s="79"/>
      <c r="T90" s="79"/>
      <c r="Y90" s="79"/>
      <c r="AD90" s="130"/>
      <c r="AF90" s="106"/>
    </row>
    <row r="91">
      <c r="C91" s="79"/>
      <c r="D91" s="79"/>
      <c r="E91" s="79"/>
      <c r="O91" s="79"/>
      <c r="S91" s="79"/>
      <c r="T91" s="79"/>
      <c r="Y91" s="79"/>
      <c r="AD91" s="130"/>
      <c r="AF91" s="106"/>
    </row>
    <row r="92">
      <c r="C92" s="79"/>
      <c r="D92" s="79"/>
      <c r="E92" s="79"/>
      <c r="O92" s="79"/>
      <c r="S92" s="79"/>
      <c r="T92" s="79"/>
      <c r="Y92" s="79"/>
      <c r="AD92" s="130"/>
      <c r="AF92" s="106"/>
    </row>
    <row r="93">
      <c r="C93" s="79"/>
      <c r="D93" s="79"/>
      <c r="E93" s="79"/>
      <c r="O93" s="79"/>
      <c r="S93" s="79"/>
      <c r="T93" s="79"/>
      <c r="Y93" s="79"/>
      <c r="AD93" s="130"/>
      <c r="AF93" s="106"/>
    </row>
    <row r="94">
      <c r="C94" s="79"/>
      <c r="D94" s="79"/>
      <c r="E94" s="79"/>
      <c r="O94" s="79"/>
      <c r="S94" s="79"/>
      <c r="T94" s="79"/>
      <c r="Y94" s="79"/>
      <c r="AD94" s="130"/>
      <c r="AF94" s="106"/>
    </row>
    <row r="95">
      <c r="C95" s="79"/>
      <c r="D95" s="79"/>
      <c r="E95" s="79"/>
      <c r="O95" s="79"/>
      <c r="S95" s="79"/>
      <c r="T95" s="79"/>
      <c r="Y95" s="79"/>
      <c r="AD95" s="130"/>
      <c r="AF95" s="106"/>
    </row>
    <row r="96">
      <c r="C96" s="79"/>
      <c r="D96" s="79"/>
      <c r="E96" s="79"/>
      <c r="O96" s="79"/>
      <c r="S96" s="79"/>
      <c r="T96" s="79"/>
      <c r="Y96" s="79"/>
      <c r="AD96" s="130"/>
      <c r="AF96" s="106"/>
    </row>
    <row r="97">
      <c r="C97" s="79"/>
      <c r="D97" s="79"/>
      <c r="E97" s="79"/>
      <c r="O97" s="79"/>
      <c r="S97" s="79"/>
      <c r="T97" s="79"/>
      <c r="Y97" s="79"/>
      <c r="AD97" s="130"/>
      <c r="AF97" s="106"/>
    </row>
    <row r="98">
      <c r="C98" s="79"/>
      <c r="D98" s="79"/>
      <c r="E98" s="79"/>
      <c r="O98" s="79"/>
      <c r="S98" s="79"/>
      <c r="T98" s="79"/>
      <c r="Y98" s="79"/>
      <c r="AD98" s="130"/>
      <c r="AF98" s="106"/>
    </row>
    <row r="99">
      <c r="C99" s="79"/>
      <c r="D99" s="79"/>
      <c r="E99" s="79"/>
      <c r="O99" s="79"/>
      <c r="S99" s="79"/>
      <c r="T99" s="79"/>
      <c r="Y99" s="79"/>
      <c r="AD99" s="130"/>
      <c r="AF99" s="106"/>
    </row>
    <row r="100">
      <c r="C100" s="79"/>
      <c r="D100" s="79"/>
      <c r="E100" s="79"/>
      <c r="O100" s="79"/>
      <c r="S100" s="79"/>
      <c r="T100" s="79"/>
      <c r="Y100" s="79"/>
      <c r="AD100" s="130"/>
      <c r="AF100" s="106"/>
    </row>
    <row r="101">
      <c r="C101" s="79"/>
      <c r="D101" s="79"/>
      <c r="E101" s="79"/>
      <c r="O101" s="79"/>
      <c r="S101" s="79"/>
      <c r="T101" s="79"/>
      <c r="Y101" s="79"/>
      <c r="AD101" s="130"/>
      <c r="AF101" s="106"/>
    </row>
    <row r="102">
      <c r="C102" s="79"/>
      <c r="D102" s="79"/>
      <c r="E102" s="79"/>
      <c r="O102" s="79"/>
      <c r="S102" s="79"/>
      <c r="T102" s="79"/>
      <c r="Y102" s="79"/>
      <c r="AD102" s="130"/>
      <c r="AF102" s="106"/>
    </row>
    <row r="103">
      <c r="C103" s="79"/>
      <c r="D103" s="79"/>
      <c r="E103" s="79"/>
      <c r="O103" s="79"/>
      <c r="S103" s="79"/>
      <c r="T103" s="79"/>
      <c r="Y103" s="79"/>
      <c r="AD103" s="130"/>
      <c r="AF103" s="106"/>
    </row>
    <row r="104">
      <c r="C104" s="79"/>
      <c r="D104" s="79"/>
      <c r="E104" s="79"/>
      <c r="O104" s="79"/>
      <c r="S104" s="79"/>
      <c r="T104" s="79"/>
      <c r="Y104" s="79"/>
      <c r="AD104" s="130"/>
      <c r="AF104" s="106"/>
    </row>
    <row r="105">
      <c r="C105" s="79"/>
      <c r="D105" s="79"/>
      <c r="E105" s="79"/>
      <c r="O105" s="79"/>
      <c r="S105" s="79"/>
      <c r="T105" s="79"/>
      <c r="Y105" s="79"/>
      <c r="AD105" s="130"/>
      <c r="AF105" s="106"/>
    </row>
    <row r="106">
      <c r="C106" s="79"/>
      <c r="D106" s="79"/>
      <c r="E106" s="79"/>
      <c r="O106" s="79"/>
      <c r="S106" s="79"/>
      <c r="T106" s="79"/>
      <c r="Y106" s="79"/>
      <c r="AD106" s="130"/>
      <c r="AF106" s="106"/>
    </row>
    <row r="107">
      <c r="C107" s="79"/>
      <c r="D107" s="79"/>
      <c r="E107" s="79"/>
      <c r="O107" s="79"/>
      <c r="S107" s="79"/>
      <c r="T107" s="79"/>
      <c r="Y107" s="79"/>
      <c r="AD107" s="130"/>
      <c r="AF107" s="106"/>
    </row>
    <row r="108">
      <c r="C108" s="79"/>
      <c r="D108" s="79"/>
      <c r="E108" s="79"/>
      <c r="O108" s="79"/>
      <c r="S108" s="79"/>
      <c r="T108" s="79"/>
      <c r="Y108" s="79"/>
      <c r="AD108" s="130"/>
      <c r="AF108" s="106"/>
    </row>
    <row r="109">
      <c r="C109" s="79"/>
      <c r="D109" s="79"/>
      <c r="E109" s="79"/>
      <c r="O109" s="79"/>
      <c r="S109" s="79"/>
      <c r="T109" s="79"/>
      <c r="Y109" s="79"/>
      <c r="AD109" s="130"/>
      <c r="AF109" s="106"/>
    </row>
    <row r="110">
      <c r="C110" s="79"/>
      <c r="D110" s="79"/>
      <c r="E110" s="79"/>
      <c r="O110" s="79"/>
      <c r="S110" s="79"/>
      <c r="T110" s="79"/>
      <c r="Y110" s="79"/>
      <c r="AD110" s="130"/>
      <c r="AF110" s="106"/>
    </row>
    <row r="111">
      <c r="C111" s="79"/>
      <c r="D111" s="79"/>
      <c r="E111" s="79"/>
      <c r="O111" s="79"/>
      <c r="S111" s="79"/>
      <c r="T111" s="79"/>
      <c r="Y111" s="79"/>
      <c r="AD111" s="130"/>
      <c r="AF111" s="106"/>
    </row>
    <row r="112">
      <c r="C112" s="79"/>
      <c r="D112" s="79"/>
      <c r="E112" s="79"/>
      <c r="O112" s="79"/>
      <c r="S112" s="79"/>
      <c r="T112" s="79"/>
      <c r="Y112" s="79"/>
      <c r="AD112" s="130"/>
      <c r="AF112" s="106"/>
    </row>
    <row r="113">
      <c r="C113" s="79"/>
      <c r="D113" s="79"/>
      <c r="E113" s="79"/>
      <c r="O113" s="79"/>
      <c r="S113" s="79"/>
      <c r="T113" s="79"/>
      <c r="Y113" s="79"/>
      <c r="AD113" s="130"/>
      <c r="AF113" s="106"/>
    </row>
    <row r="114">
      <c r="C114" s="79"/>
      <c r="D114" s="79"/>
      <c r="E114" s="79"/>
      <c r="O114" s="79"/>
      <c r="S114" s="79"/>
      <c r="T114" s="79"/>
      <c r="Y114" s="79"/>
      <c r="AD114" s="130"/>
      <c r="AF114" s="106"/>
    </row>
    <row r="115">
      <c r="C115" s="79"/>
      <c r="D115" s="79"/>
      <c r="E115" s="79"/>
      <c r="O115" s="79"/>
      <c r="S115" s="79"/>
      <c r="T115" s="79"/>
      <c r="Y115" s="79"/>
      <c r="AD115" s="130"/>
      <c r="AF115" s="106"/>
    </row>
    <row r="116">
      <c r="C116" s="79"/>
      <c r="D116" s="79"/>
      <c r="E116" s="79"/>
      <c r="O116" s="79"/>
      <c r="S116" s="79"/>
      <c r="T116" s="79"/>
      <c r="Y116" s="79"/>
      <c r="AD116" s="130"/>
      <c r="AF116" s="106"/>
    </row>
    <row r="117">
      <c r="C117" s="79"/>
      <c r="D117" s="79"/>
      <c r="E117" s="79"/>
      <c r="O117" s="79"/>
      <c r="S117" s="79"/>
      <c r="T117" s="79"/>
      <c r="Y117" s="79"/>
      <c r="AD117" s="130"/>
      <c r="AF117" s="106"/>
    </row>
    <row r="118">
      <c r="C118" s="79"/>
      <c r="D118" s="79"/>
      <c r="E118" s="79"/>
      <c r="O118" s="79"/>
      <c r="S118" s="79"/>
      <c r="T118" s="79"/>
      <c r="Y118" s="79"/>
      <c r="AD118" s="130"/>
      <c r="AF118" s="106"/>
    </row>
    <row r="119">
      <c r="C119" s="79"/>
      <c r="D119" s="79"/>
      <c r="E119" s="79"/>
      <c r="O119" s="79"/>
      <c r="S119" s="79"/>
      <c r="T119" s="79"/>
      <c r="Y119" s="79"/>
      <c r="AD119" s="130"/>
      <c r="AF119" s="106"/>
    </row>
    <row r="120">
      <c r="C120" s="79"/>
      <c r="D120" s="79"/>
      <c r="E120" s="79"/>
      <c r="O120" s="79"/>
      <c r="S120" s="79"/>
      <c r="T120" s="79"/>
      <c r="Y120" s="79"/>
      <c r="AD120" s="130"/>
      <c r="AF120" s="106"/>
    </row>
    <row r="121">
      <c r="C121" s="79"/>
      <c r="D121" s="79"/>
      <c r="E121" s="79"/>
      <c r="O121" s="79"/>
      <c r="S121" s="79"/>
      <c r="T121" s="79"/>
      <c r="Y121" s="79"/>
      <c r="AD121" s="130"/>
      <c r="AF121" s="106"/>
    </row>
    <row r="122">
      <c r="C122" s="79"/>
      <c r="D122" s="79"/>
      <c r="E122" s="79"/>
      <c r="O122" s="79"/>
      <c r="S122" s="79"/>
      <c r="T122" s="79"/>
      <c r="Y122" s="79"/>
      <c r="AD122" s="130"/>
      <c r="AF122" s="106"/>
    </row>
    <row r="123">
      <c r="C123" s="79"/>
      <c r="D123" s="79"/>
      <c r="E123" s="79"/>
      <c r="O123" s="79"/>
      <c r="S123" s="79"/>
      <c r="T123" s="79"/>
      <c r="Y123" s="79"/>
      <c r="AD123" s="130"/>
      <c r="AF123" s="106"/>
    </row>
    <row r="124">
      <c r="C124" s="79"/>
      <c r="D124" s="79"/>
      <c r="E124" s="79"/>
      <c r="O124" s="79"/>
      <c r="S124" s="79"/>
      <c r="T124" s="79"/>
      <c r="Y124" s="79"/>
      <c r="AD124" s="130"/>
      <c r="AF124" s="106"/>
    </row>
    <row r="125">
      <c r="C125" s="79"/>
      <c r="D125" s="79"/>
      <c r="E125" s="79"/>
      <c r="O125" s="79"/>
      <c r="S125" s="79"/>
      <c r="T125" s="79"/>
      <c r="Y125" s="79"/>
      <c r="AD125" s="130"/>
      <c r="AF125" s="106"/>
    </row>
    <row r="126">
      <c r="C126" s="79"/>
      <c r="D126" s="79"/>
      <c r="E126" s="79"/>
      <c r="O126" s="79"/>
      <c r="S126" s="79"/>
      <c r="T126" s="79"/>
      <c r="Y126" s="79"/>
      <c r="AD126" s="130"/>
      <c r="AF126" s="106"/>
    </row>
    <row r="127">
      <c r="C127" s="79"/>
      <c r="D127" s="79"/>
      <c r="E127" s="79"/>
      <c r="O127" s="79"/>
      <c r="S127" s="79"/>
      <c r="T127" s="79"/>
      <c r="Y127" s="79"/>
      <c r="AD127" s="130"/>
      <c r="AF127" s="106"/>
    </row>
    <row r="128">
      <c r="C128" s="79"/>
      <c r="D128" s="79"/>
      <c r="E128" s="79"/>
      <c r="O128" s="79"/>
      <c r="S128" s="79"/>
      <c r="T128" s="79"/>
      <c r="Y128" s="79"/>
      <c r="AD128" s="130"/>
      <c r="AF128" s="106"/>
    </row>
    <row r="129">
      <c r="C129" s="79"/>
      <c r="D129" s="79"/>
      <c r="E129" s="79"/>
      <c r="O129" s="79"/>
      <c r="S129" s="79"/>
      <c r="T129" s="79"/>
      <c r="Y129" s="79"/>
      <c r="AD129" s="130"/>
      <c r="AF129" s="106"/>
    </row>
    <row r="130">
      <c r="C130" s="79"/>
      <c r="D130" s="79"/>
      <c r="E130" s="79"/>
      <c r="O130" s="79"/>
      <c r="S130" s="79"/>
      <c r="T130" s="79"/>
      <c r="Y130" s="79"/>
      <c r="AD130" s="130"/>
      <c r="AF130" s="106"/>
    </row>
    <row r="131">
      <c r="C131" s="79"/>
      <c r="D131" s="79"/>
      <c r="E131" s="79"/>
      <c r="O131" s="79"/>
      <c r="S131" s="79"/>
      <c r="T131" s="79"/>
      <c r="Y131" s="79"/>
      <c r="AD131" s="130"/>
      <c r="AF131" s="106"/>
    </row>
    <row r="132">
      <c r="C132" s="79"/>
      <c r="D132" s="79"/>
      <c r="E132" s="79"/>
      <c r="O132" s="79"/>
      <c r="S132" s="79"/>
      <c r="T132" s="79"/>
      <c r="Y132" s="79"/>
      <c r="AD132" s="130"/>
      <c r="AF132" s="106"/>
    </row>
    <row r="133">
      <c r="C133" s="79"/>
      <c r="D133" s="79"/>
      <c r="E133" s="79"/>
      <c r="O133" s="79"/>
      <c r="S133" s="79"/>
      <c r="T133" s="79"/>
      <c r="Y133" s="79"/>
      <c r="AD133" s="130"/>
      <c r="AF133" s="106"/>
    </row>
    <row r="134">
      <c r="C134" s="79"/>
      <c r="D134" s="79"/>
      <c r="E134" s="79"/>
      <c r="O134" s="79"/>
      <c r="S134" s="79"/>
      <c r="T134" s="79"/>
      <c r="Y134" s="79"/>
      <c r="AD134" s="130"/>
      <c r="AF134" s="106"/>
    </row>
    <row r="135">
      <c r="C135" s="79"/>
      <c r="D135" s="79"/>
      <c r="E135" s="79"/>
      <c r="O135" s="79"/>
      <c r="S135" s="79"/>
      <c r="T135" s="79"/>
      <c r="Y135" s="79"/>
      <c r="AD135" s="130"/>
      <c r="AF135" s="106"/>
    </row>
    <row r="136">
      <c r="C136" s="79"/>
      <c r="D136" s="79"/>
      <c r="E136" s="79"/>
      <c r="O136" s="79"/>
      <c r="S136" s="79"/>
      <c r="T136" s="79"/>
      <c r="Y136" s="79"/>
      <c r="AD136" s="130"/>
      <c r="AF136" s="106"/>
    </row>
    <row r="137">
      <c r="C137" s="79"/>
      <c r="D137" s="79"/>
      <c r="E137" s="79"/>
      <c r="O137" s="79"/>
      <c r="S137" s="79"/>
      <c r="T137" s="79"/>
      <c r="Y137" s="79"/>
      <c r="AD137" s="130"/>
      <c r="AF137" s="106"/>
    </row>
    <row r="138">
      <c r="C138" s="79"/>
      <c r="D138" s="79"/>
      <c r="E138" s="79"/>
      <c r="O138" s="79"/>
      <c r="S138" s="79"/>
      <c r="T138" s="79"/>
      <c r="Y138" s="79"/>
      <c r="AD138" s="130"/>
      <c r="AF138" s="106"/>
    </row>
    <row r="139">
      <c r="C139" s="79"/>
      <c r="D139" s="79"/>
      <c r="E139" s="79"/>
      <c r="O139" s="79"/>
      <c r="S139" s="79"/>
      <c r="T139" s="79"/>
      <c r="Y139" s="79"/>
      <c r="AD139" s="130"/>
      <c r="AF139" s="106"/>
    </row>
    <row r="140">
      <c r="C140" s="79"/>
      <c r="D140" s="79"/>
      <c r="E140" s="79"/>
      <c r="O140" s="79"/>
      <c r="S140" s="79"/>
      <c r="T140" s="79"/>
      <c r="Y140" s="79"/>
      <c r="AD140" s="130"/>
      <c r="AF140" s="106"/>
    </row>
    <row r="141">
      <c r="C141" s="79"/>
      <c r="D141" s="79"/>
      <c r="E141" s="79"/>
      <c r="O141" s="79"/>
      <c r="S141" s="79"/>
      <c r="T141" s="79"/>
      <c r="Y141" s="79"/>
      <c r="AD141" s="130"/>
      <c r="AF141" s="106"/>
    </row>
    <row r="142">
      <c r="C142" s="79"/>
      <c r="D142" s="79"/>
      <c r="E142" s="79"/>
      <c r="O142" s="79"/>
      <c r="S142" s="79"/>
      <c r="T142" s="79"/>
      <c r="Y142" s="79"/>
      <c r="AD142" s="130"/>
      <c r="AF142" s="106"/>
    </row>
    <row r="143">
      <c r="C143" s="79"/>
      <c r="D143" s="79"/>
      <c r="E143" s="79"/>
      <c r="O143" s="79"/>
      <c r="S143" s="79"/>
      <c r="T143" s="79"/>
      <c r="Y143" s="79"/>
      <c r="AD143" s="130"/>
      <c r="AF143" s="106"/>
    </row>
    <row r="144">
      <c r="C144" s="79"/>
      <c r="D144" s="79"/>
      <c r="E144" s="79"/>
      <c r="O144" s="79"/>
      <c r="S144" s="79"/>
      <c r="T144" s="79"/>
      <c r="Y144" s="79"/>
      <c r="AD144" s="130"/>
      <c r="AF144" s="106"/>
    </row>
    <row r="145">
      <c r="C145" s="79"/>
      <c r="D145" s="79"/>
      <c r="E145" s="79"/>
      <c r="O145" s="79"/>
      <c r="S145" s="79"/>
      <c r="T145" s="79"/>
      <c r="Y145" s="79"/>
      <c r="AD145" s="130"/>
      <c r="AF145" s="106"/>
    </row>
    <row r="146">
      <c r="C146" s="79"/>
      <c r="D146" s="79"/>
      <c r="E146" s="79"/>
      <c r="O146" s="79"/>
      <c r="S146" s="79"/>
      <c r="T146" s="79"/>
      <c r="Y146" s="79"/>
      <c r="AD146" s="130"/>
      <c r="AF146" s="106"/>
    </row>
    <row r="147">
      <c r="C147" s="79"/>
      <c r="D147" s="79"/>
      <c r="E147" s="79"/>
      <c r="O147" s="79"/>
      <c r="S147" s="79"/>
      <c r="T147" s="79"/>
      <c r="Y147" s="79"/>
      <c r="AD147" s="130"/>
      <c r="AF147" s="106"/>
    </row>
    <row r="148">
      <c r="C148" s="79"/>
      <c r="D148" s="79"/>
      <c r="E148" s="79"/>
      <c r="O148" s="79"/>
      <c r="S148" s="79"/>
      <c r="T148" s="79"/>
      <c r="Y148" s="79"/>
      <c r="AD148" s="130"/>
      <c r="AF148" s="106"/>
    </row>
    <row r="149">
      <c r="C149" s="79"/>
      <c r="D149" s="79"/>
      <c r="E149" s="79"/>
      <c r="O149" s="79"/>
      <c r="S149" s="79"/>
      <c r="T149" s="79"/>
      <c r="Y149" s="79"/>
      <c r="AD149" s="130"/>
      <c r="AF149" s="106"/>
    </row>
    <row r="150">
      <c r="C150" s="79"/>
      <c r="D150" s="79"/>
      <c r="E150" s="79"/>
      <c r="O150" s="79"/>
      <c r="S150" s="79"/>
      <c r="T150" s="79"/>
      <c r="Y150" s="79"/>
      <c r="AD150" s="130"/>
      <c r="AF150" s="106"/>
    </row>
    <row r="151">
      <c r="C151" s="79"/>
      <c r="D151" s="79"/>
      <c r="E151" s="79"/>
      <c r="O151" s="79"/>
      <c r="S151" s="79"/>
      <c r="T151" s="79"/>
      <c r="Y151" s="79"/>
      <c r="AD151" s="130"/>
      <c r="AF151" s="106"/>
    </row>
    <row r="152">
      <c r="C152" s="79"/>
      <c r="D152" s="79"/>
      <c r="E152" s="79"/>
      <c r="O152" s="79"/>
      <c r="S152" s="79"/>
      <c r="T152" s="79"/>
      <c r="Y152" s="79"/>
      <c r="AD152" s="130"/>
      <c r="AF152" s="106"/>
    </row>
    <row r="153">
      <c r="C153" s="79"/>
      <c r="D153" s="79"/>
      <c r="E153" s="79"/>
      <c r="O153" s="79"/>
      <c r="S153" s="79"/>
      <c r="T153" s="79"/>
      <c r="Y153" s="79"/>
      <c r="AD153" s="130"/>
      <c r="AF153" s="106"/>
    </row>
    <row r="154">
      <c r="C154" s="79"/>
      <c r="D154" s="79"/>
      <c r="E154" s="79"/>
      <c r="O154" s="79"/>
      <c r="S154" s="79"/>
      <c r="T154" s="79"/>
      <c r="Y154" s="79"/>
      <c r="AD154" s="130"/>
      <c r="AF154" s="106"/>
    </row>
    <row r="155">
      <c r="C155" s="79"/>
      <c r="D155" s="79"/>
      <c r="E155" s="79"/>
      <c r="O155" s="79"/>
      <c r="S155" s="79"/>
      <c r="T155" s="79"/>
      <c r="Y155" s="79"/>
      <c r="AD155" s="130"/>
      <c r="AF155" s="106"/>
    </row>
    <row r="156">
      <c r="C156" s="79"/>
      <c r="D156" s="79"/>
      <c r="E156" s="79"/>
      <c r="O156" s="79"/>
      <c r="S156" s="79"/>
      <c r="T156" s="79"/>
      <c r="Y156" s="79"/>
      <c r="AD156" s="130"/>
      <c r="AF156" s="106"/>
    </row>
    <row r="157">
      <c r="C157" s="79"/>
      <c r="D157" s="79"/>
      <c r="E157" s="79"/>
      <c r="O157" s="79"/>
      <c r="S157" s="79"/>
      <c r="T157" s="79"/>
      <c r="Y157" s="79"/>
      <c r="AD157" s="130"/>
      <c r="AF157" s="106"/>
    </row>
    <row r="158">
      <c r="C158" s="79"/>
      <c r="D158" s="79"/>
      <c r="E158" s="79"/>
      <c r="O158" s="79"/>
      <c r="S158" s="79"/>
      <c r="T158" s="79"/>
      <c r="Y158" s="79"/>
      <c r="AD158" s="130"/>
      <c r="AF158" s="106"/>
    </row>
    <row r="159">
      <c r="C159" s="79"/>
      <c r="D159" s="79"/>
      <c r="E159" s="79"/>
      <c r="O159" s="79"/>
      <c r="S159" s="79"/>
      <c r="T159" s="79"/>
      <c r="Y159" s="79"/>
      <c r="AD159" s="130"/>
      <c r="AF159" s="106"/>
    </row>
    <row r="160">
      <c r="C160" s="79"/>
      <c r="D160" s="79"/>
      <c r="E160" s="79"/>
      <c r="O160" s="79"/>
      <c r="S160" s="79"/>
      <c r="T160" s="79"/>
      <c r="Y160" s="79"/>
      <c r="AD160" s="130"/>
      <c r="AF160" s="106"/>
    </row>
    <row r="161">
      <c r="C161" s="79"/>
      <c r="D161" s="79"/>
      <c r="E161" s="79"/>
      <c r="O161" s="79"/>
      <c r="S161" s="79"/>
      <c r="T161" s="79"/>
      <c r="Y161" s="79"/>
      <c r="AD161" s="130"/>
      <c r="AF161" s="106"/>
    </row>
    <row r="162">
      <c r="C162" s="79"/>
      <c r="D162" s="79"/>
      <c r="E162" s="79"/>
      <c r="O162" s="79"/>
      <c r="S162" s="79"/>
      <c r="T162" s="79"/>
      <c r="Y162" s="79"/>
      <c r="AD162" s="130"/>
      <c r="AF162" s="106"/>
    </row>
    <row r="163">
      <c r="C163" s="79"/>
      <c r="D163" s="79"/>
      <c r="E163" s="79"/>
      <c r="O163" s="79"/>
      <c r="S163" s="79"/>
      <c r="T163" s="79"/>
      <c r="Y163" s="79"/>
      <c r="AD163" s="130"/>
      <c r="AF163" s="106"/>
    </row>
    <row r="164">
      <c r="C164" s="79"/>
      <c r="D164" s="79"/>
      <c r="E164" s="79"/>
      <c r="O164" s="79"/>
      <c r="S164" s="79"/>
      <c r="T164" s="79"/>
      <c r="Y164" s="79"/>
      <c r="AD164" s="130"/>
      <c r="AF164" s="106"/>
    </row>
    <row r="165">
      <c r="C165" s="79"/>
      <c r="D165" s="79"/>
      <c r="E165" s="79"/>
      <c r="O165" s="79"/>
      <c r="S165" s="79"/>
      <c r="T165" s="79"/>
      <c r="Y165" s="79"/>
      <c r="AD165" s="130"/>
      <c r="AF165" s="106"/>
    </row>
    <row r="166">
      <c r="C166" s="79"/>
      <c r="D166" s="79"/>
      <c r="E166" s="79"/>
      <c r="O166" s="79"/>
      <c r="S166" s="79"/>
      <c r="T166" s="79"/>
      <c r="Y166" s="79"/>
      <c r="AD166" s="130"/>
      <c r="AF166" s="106"/>
    </row>
    <row r="167">
      <c r="C167" s="79"/>
      <c r="D167" s="79"/>
      <c r="E167" s="79"/>
      <c r="O167" s="79"/>
      <c r="S167" s="79"/>
      <c r="T167" s="79"/>
      <c r="Y167" s="79"/>
      <c r="AD167" s="130"/>
      <c r="AF167" s="106"/>
    </row>
    <row r="168">
      <c r="C168" s="79"/>
      <c r="D168" s="79"/>
      <c r="E168" s="79"/>
      <c r="O168" s="79"/>
      <c r="S168" s="79"/>
      <c r="T168" s="79"/>
      <c r="Y168" s="79"/>
      <c r="AD168" s="130"/>
      <c r="AF168" s="106"/>
    </row>
    <row r="169">
      <c r="C169" s="79"/>
      <c r="D169" s="79"/>
      <c r="E169" s="79"/>
      <c r="O169" s="79"/>
      <c r="S169" s="79"/>
      <c r="T169" s="79"/>
      <c r="Y169" s="79"/>
      <c r="AD169" s="130"/>
      <c r="AF169" s="106"/>
    </row>
    <row r="170">
      <c r="C170" s="79"/>
      <c r="D170" s="79"/>
      <c r="E170" s="79"/>
      <c r="O170" s="79"/>
      <c r="S170" s="79"/>
      <c r="T170" s="79"/>
      <c r="Y170" s="79"/>
      <c r="AD170" s="130"/>
      <c r="AF170" s="106"/>
    </row>
    <row r="171">
      <c r="C171" s="79"/>
      <c r="D171" s="79"/>
      <c r="E171" s="79"/>
      <c r="O171" s="79"/>
      <c r="S171" s="79"/>
      <c r="T171" s="79"/>
      <c r="Y171" s="79"/>
      <c r="AD171" s="130"/>
      <c r="AF171" s="106"/>
    </row>
    <row r="172">
      <c r="C172" s="79"/>
      <c r="D172" s="79"/>
      <c r="E172" s="79"/>
      <c r="O172" s="79"/>
      <c r="S172" s="79"/>
      <c r="T172" s="79"/>
      <c r="Y172" s="79"/>
      <c r="AD172" s="130"/>
      <c r="AF172" s="106"/>
    </row>
    <row r="173">
      <c r="C173" s="79"/>
      <c r="D173" s="79"/>
      <c r="E173" s="79"/>
      <c r="O173" s="79"/>
      <c r="S173" s="79"/>
      <c r="T173" s="79"/>
      <c r="Y173" s="79"/>
      <c r="AD173" s="130"/>
      <c r="AF173" s="106"/>
    </row>
    <row r="174">
      <c r="C174" s="79"/>
      <c r="D174" s="79"/>
      <c r="E174" s="79"/>
      <c r="O174" s="79"/>
      <c r="S174" s="79"/>
      <c r="T174" s="79"/>
      <c r="Y174" s="79"/>
      <c r="AD174" s="130"/>
      <c r="AF174" s="106"/>
    </row>
    <row r="175">
      <c r="C175" s="79"/>
      <c r="D175" s="79"/>
      <c r="E175" s="79"/>
      <c r="O175" s="79"/>
      <c r="S175" s="79"/>
      <c r="T175" s="79"/>
      <c r="Y175" s="79"/>
      <c r="AD175" s="130"/>
      <c r="AF175" s="106"/>
    </row>
    <row r="176">
      <c r="C176" s="79"/>
      <c r="D176" s="79"/>
      <c r="E176" s="79"/>
      <c r="O176" s="79"/>
      <c r="S176" s="79"/>
      <c r="T176" s="79"/>
      <c r="Y176" s="79"/>
      <c r="AD176" s="130"/>
      <c r="AF176" s="106"/>
    </row>
    <row r="177">
      <c r="C177" s="79"/>
      <c r="D177" s="79"/>
      <c r="E177" s="79"/>
      <c r="O177" s="79"/>
      <c r="S177" s="79"/>
      <c r="T177" s="79"/>
      <c r="Y177" s="79"/>
      <c r="AD177" s="130"/>
      <c r="AF177" s="106"/>
    </row>
    <row r="178">
      <c r="C178" s="79"/>
      <c r="D178" s="79"/>
      <c r="E178" s="79"/>
      <c r="O178" s="79"/>
      <c r="S178" s="79"/>
      <c r="T178" s="79"/>
      <c r="Y178" s="79"/>
      <c r="AD178" s="130"/>
      <c r="AF178" s="106"/>
    </row>
    <row r="179">
      <c r="C179" s="79"/>
      <c r="D179" s="79"/>
      <c r="E179" s="79"/>
      <c r="O179" s="79"/>
      <c r="S179" s="79"/>
      <c r="T179" s="79"/>
      <c r="Y179" s="79"/>
      <c r="AD179" s="130"/>
      <c r="AF179" s="106"/>
    </row>
    <row r="180">
      <c r="C180" s="79"/>
      <c r="D180" s="79"/>
      <c r="E180" s="79"/>
      <c r="O180" s="79"/>
      <c r="S180" s="79"/>
      <c r="T180" s="79"/>
      <c r="Y180" s="79"/>
      <c r="AD180" s="130"/>
      <c r="AF180" s="106"/>
    </row>
    <row r="181">
      <c r="C181" s="79"/>
      <c r="D181" s="79"/>
      <c r="E181" s="79"/>
      <c r="O181" s="79"/>
      <c r="S181" s="79"/>
      <c r="T181" s="79"/>
      <c r="Y181" s="79"/>
      <c r="AD181" s="130"/>
      <c r="AF181" s="106"/>
    </row>
    <row r="182">
      <c r="C182" s="79"/>
      <c r="D182" s="79"/>
      <c r="E182" s="79"/>
      <c r="O182" s="79"/>
      <c r="S182" s="79"/>
      <c r="T182" s="79"/>
      <c r="Y182" s="79"/>
      <c r="AD182" s="130"/>
      <c r="AF182" s="106"/>
    </row>
    <row r="183">
      <c r="C183" s="79"/>
      <c r="D183" s="79"/>
      <c r="E183" s="79"/>
      <c r="O183" s="79"/>
      <c r="S183" s="79"/>
      <c r="T183" s="79"/>
      <c r="Y183" s="79"/>
      <c r="AD183" s="130"/>
      <c r="AF183" s="106"/>
    </row>
    <row r="184">
      <c r="C184" s="79"/>
      <c r="D184" s="79"/>
      <c r="E184" s="79"/>
      <c r="O184" s="79"/>
      <c r="S184" s="79"/>
      <c r="T184" s="79"/>
      <c r="Y184" s="79"/>
      <c r="AD184" s="130"/>
      <c r="AF184" s="106"/>
    </row>
    <row r="185">
      <c r="C185" s="79"/>
      <c r="D185" s="79"/>
      <c r="E185" s="79"/>
      <c r="O185" s="79"/>
      <c r="S185" s="79"/>
      <c r="T185" s="79"/>
      <c r="Y185" s="79"/>
      <c r="AD185" s="130"/>
      <c r="AF185" s="106"/>
    </row>
    <row r="186">
      <c r="C186" s="79"/>
      <c r="D186" s="79"/>
      <c r="E186" s="79"/>
      <c r="O186" s="79"/>
      <c r="S186" s="79"/>
      <c r="T186" s="79"/>
      <c r="Y186" s="79"/>
      <c r="AD186" s="130"/>
      <c r="AF186" s="106"/>
    </row>
    <row r="187">
      <c r="C187" s="79"/>
      <c r="D187" s="79"/>
      <c r="E187" s="79"/>
      <c r="O187" s="79"/>
      <c r="S187" s="79"/>
      <c r="T187" s="79"/>
      <c r="Y187" s="79"/>
      <c r="AD187" s="130"/>
      <c r="AF187" s="106"/>
    </row>
    <row r="188">
      <c r="C188" s="79"/>
      <c r="D188" s="79"/>
      <c r="E188" s="79"/>
      <c r="O188" s="79"/>
      <c r="S188" s="79"/>
      <c r="T188" s="79"/>
      <c r="Y188" s="79"/>
      <c r="AD188" s="130"/>
      <c r="AF188" s="106"/>
    </row>
    <row r="189">
      <c r="C189" s="79"/>
      <c r="D189" s="79"/>
      <c r="E189" s="79"/>
      <c r="O189" s="79"/>
      <c r="S189" s="79"/>
      <c r="T189" s="79"/>
      <c r="Y189" s="79"/>
      <c r="AD189" s="130"/>
      <c r="AF189" s="106"/>
    </row>
    <row r="190">
      <c r="C190" s="79"/>
      <c r="D190" s="79"/>
      <c r="E190" s="79"/>
      <c r="O190" s="79"/>
      <c r="S190" s="79"/>
      <c r="T190" s="79"/>
      <c r="Y190" s="79"/>
      <c r="AD190" s="130"/>
      <c r="AF190" s="106"/>
    </row>
    <row r="191">
      <c r="C191" s="79"/>
      <c r="D191" s="79"/>
      <c r="E191" s="79"/>
      <c r="O191" s="79"/>
      <c r="S191" s="79"/>
      <c r="T191" s="79"/>
      <c r="Y191" s="79"/>
      <c r="AD191" s="130"/>
      <c r="AF191" s="106"/>
    </row>
    <row r="192">
      <c r="C192" s="79"/>
      <c r="D192" s="79"/>
      <c r="E192" s="79"/>
      <c r="O192" s="79"/>
      <c r="S192" s="79"/>
      <c r="T192" s="79"/>
      <c r="Y192" s="79"/>
      <c r="AD192" s="130"/>
      <c r="AF192" s="106"/>
    </row>
    <row r="193">
      <c r="C193" s="79"/>
      <c r="D193" s="79"/>
      <c r="E193" s="79"/>
      <c r="O193" s="79"/>
      <c r="S193" s="79"/>
      <c r="T193" s="79"/>
      <c r="Y193" s="79"/>
      <c r="AD193" s="130"/>
      <c r="AF193" s="106"/>
    </row>
    <row r="194">
      <c r="C194" s="79"/>
      <c r="D194" s="79"/>
      <c r="E194" s="79"/>
      <c r="O194" s="79"/>
      <c r="S194" s="79"/>
      <c r="T194" s="79"/>
      <c r="Y194" s="79"/>
      <c r="AD194" s="130"/>
      <c r="AF194" s="106"/>
    </row>
    <row r="195">
      <c r="C195" s="79"/>
      <c r="D195" s="79"/>
      <c r="E195" s="79"/>
      <c r="O195" s="79"/>
      <c r="S195" s="79"/>
      <c r="T195" s="79"/>
      <c r="Y195" s="79"/>
      <c r="AD195" s="130"/>
      <c r="AF195" s="106"/>
    </row>
    <row r="196">
      <c r="C196" s="79"/>
      <c r="D196" s="79"/>
      <c r="E196" s="79"/>
      <c r="O196" s="79"/>
      <c r="S196" s="79"/>
      <c r="T196" s="79"/>
      <c r="Y196" s="79"/>
      <c r="AD196" s="130"/>
      <c r="AF196" s="106"/>
    </row>
    <row r="197">
      <c r="C197" s="79"/>
      <c r="D197" s="79"/>
      <c r="E197" s="79"/>
      <c r="O197" s="79"/>
      <c r="S197" s="79"/>
      <c r="T197" s="79"/>
      <c r="Y197" s="79"/>
      <c r="AD197" s="130"/>
      <c r="AF197" s="106"/>
    </row>
    <row r="198">
      <c r="C198" s="79"/>
      <c r="D198" s="79"/>
      <c r="E198" s="79"/>
      <c r="O198" s="79"/>
      <c r="S198" s="79"/>
      <c r="T198" s="79"/>
      <c r="Y198" s="79"/>
      <c r="AD198" s="130"/>
      <c r="AF198" s="106"/>
    </row>
    <row r="199">
      <c r="C199" s="79"/>
      <c r="D199" s="79"/>
      <c r="E199" s="79"/>
      <c r="O199" s="79"/>
      <c r="S199" s="79"/>
      <c r="T199" s="79"/>
      <c r="Y199" s="79"/>
      <c r="AD199" s="130"/>
      <c r="AF199" s="106"/>
    </row>
    <row r="200">
      <c r="C200" s="79"/>
      <c r="D200" s="79"/>
      <c r="E200" s="79"/>
      <c r="O200" s="79"/>
      <c r="S200" s="79"/>
      <c r="T200" s="79"/>
      <c r="Y200" s="79"/>
      <c r="AD200" s="130"/>
      <c r="AF200" s="106"/>
    </row>
    <row r="201">
      <c r="C201" s="79"/>
      <c r="D201" s="79"/>
      <c r="E201" s="79"/>
      <c r="O201" s="79"/>
      <c r="S201" s="79"/>
      <c r="T201" s="79"/>
      <c r="Y201" s="79"/>
      <c r="AD201" s="130"/>
      <c r="AF201" s="106"/>
    </row>
    <row r="202">
      <c r="C202" s="79"/>
      <c r="D202" s="79"/>
      <c r="E202" s="79"/>
      <c r="O202" s="79"/>
      <c r="S202" s="79"/>
      <c r="T202" s="79"/>
      <c r="Y202" s="79"/>
      <c r="AD202" s="130"/>
      <c r="AF202" s="106"/>
    </row>
    <row r="203">
      <c r="C203" s="79"/>
      <c r="D203" s="79"/>
      <c r="E203" s="79"/>
      <c r="O203" s="79"/>
      <c r="S203" s="79"/>
      <c r="T203" s="79"/>
      <c r="Y203" s="79"/>
      <c r="AD203" s="130"/>
      <c r="AF203" s="106"/>
    </row>
    <row r="204">
      <c r="C204" s="79"/>
      <c r="D204" s="79"/>
      <c r="E204" s="79"/>
      <c r="O204" s="79"/>
      <c r="S204" s="79"/>
      <c r="T204" s="79"/>
      <c r="Y204" s="79"/>
      <c r="AD204" s="130"/>
      <c r="AF204" s="106"/>
    </row>
    <row r="205">
      <c r="C205" s="79"/>
      <c r="D205" s="79"/>
      <c r="E205" s="79"/>
      <c r="O205" s="79"/>
      <c r="S205" s="79"/>
      <c r="T205" s="79"/>
      <c r="Y205" s="79"/>
      <c r="AD205" s="130"/>
      <c r="AF205" s="106"/>
    </row>
    <row r="206">
      <c r="C206" s="79"/>
      <c r="D206" s="79"/>
      <c r="E206" s="79"/>
      <c r="O206" s="79"/>
      <c r="S206" s="79"/>
      <c r="T206" s="79"/>
      <c r="Y206" s="79"/>
      <c r="AD206" s="130"/>
      <c r="AF206" s="106"/>
    </row>
    <row r="207">
      <c r="C207" s="79"/>
      <c r="D207" s="79"/>
      <c r="E207" s="79"/>
      <c r="O207" s="79"/>
      <c r="S207" s="79"/>
      <c r="T207" s="79"/>
      <c r="Y207" s="79"/>
      <c r="AD207" s="130"/>
      <c r="AF207" s="106"/>
    </row>
    <row r="208">
      <c r="C208" s="79"/>
      <c r="D208" s="79"/>
      <c r="E208" s="79"/>
      <c r="O208" s="79"/>
      <c r="S208" s="79"/>
      <c r="T208" s="79"/>
      <c r="Y208" s="79"/>
      <c r="AD208" s="130"/>
      <c r="AF208" s="106"/>
    </row>
    <row r="209">
      <c r="C209" s="79"/>
      <c r="D209" s="79"/>
      <c r="E209" s="79"/>
      <c r="O209" s="79"/>
      <c r="S209" s="79"/>
      <c r="T209" s="79"/>
      <c r="Y209" s="79"/>
      <c r="AD209" s="130"/>
      <c r="AF209" s="106"/>
    </row>
    <row r="210">
      <c r="C210" s="79"/>
      <c r="D210" s="79"/>
      <c r="E210" s="79"/>
      <c r="O210" s="79"/>
      <c r="S210" s="79"/>
      <c r="T210" s="79"/>
      <c r="Y210" s="79"/>
      <c r="AD210" s="130"/>
      <c r="AF210" s="106"/>
    </row>
    <row r="211">
      <c r="C211" s="79"/>
      <c r="D211" s="79"/>
      <c r="E211" s="79"/>
      <c r="O211" s="79"/>
      <c r="S211" s="79"/>
      <c r="T211" s="79"/>
      <c r="Y211" s="79"/>
      <c r="AD211" s="130"/>
      <c r="AF211" s="106"/>
    </row>
    <row r="212">
      <c r="C212" s="79"/>
      <c r="D212" s="79"/>
      <c r="E212" s="79"/>
      <c r="O212" s="79"/>
      <c r="S212" s="79"/>
      <c r="T212" s="79"/>
      <c r="Y212" s="79"/>
      <c r="AD212" s="130"/>
      <c r="AF212" s="106"/>
    </row>
    <row r="213">
      <c r="C213" s="79"/>
      <c r="D213" s="79"/>
      <c r="E213" s="79"/>
      <c r="O213" s="79"/>
      <c r="S213" s="79"/>
      <c r="T213" s="79"/>
      <c r="Y213" s="79"/>
      <c r="AD213" s="130"/>
      <c r="AF213" s="106"/>
    </row>
    <row r="214">
      <c r="C214" s="79"/>
      <c r="D214" s="79"/>
      <c r="E214" s="79"/>
      <c r="O214" s="79"/>
      <c r="S214" s="79"/>
      <c r="T214" s="79"/>
      <c r="Y214" s="79"/>
      <c r="AD214" s="130"/>
      <c r="AF214" s="106"/>
    </row>
    <row r="215">
      <c r="C215" s="79"/>
      <c r="D215" s="79"/>
      <c r="E215" s="79"/>
      <c r="O215" s="79"/>
      <c r="S215" s="79"/>
      <c r="T215" s="79"/>
      <c r="Y215" s="79"/>
      <c r="AD215" s="130"/>
      <c r="AF215" s="106"/>
    </row>
    <row r="216">
      <c r="C216" s="79"/>
      <c r="D216" s="79"/>
      <c r="E216" s="79"/>
      <c r="O216" s="79"/>
      <c r="S216" s="79"/>
      <c r="T216" s="79"/>
      <c r="Y216" s="79"/>
      <c r="AD216" s="130"/>
      <c r="AF216" s="106"/>
    </row>
    <row r="217">
      <c r="C217" s="79"/>
      <c r="D217" s="79"/>
      <c r="E217" s="79"/>
      <c r="O217" s="79"/>
      <c r="S217" s="79"/>
      <c r="T217" s="79"/>
      <c r="Y217" s="79"/>
      <c r="AD217" s="130"/>
      <c r="AF217" s="106"/>
    </row>
    <row r="218">
      <c r="C218" s="79"/>
      <c r="D218" s="79"/>
      <c r="E218" s="79"/>
      <c r="O218" s="79"/>
      <c r="S218" s="79"/>
      <c r="T218" s="79"/>
      <c r="Y218" s="79"/>
      <c r="AD218" s="130"/>
      <c r="AF218" s="106"/>
    </row>
    <row r="219">
      <c r="C219" s="79"/>
      <c r="D219" s="79"/>
      <c r="E219" s="79"/>
      <c r="O219" s="79"/>
      <c r="S219" s="79"/>
      <c r="T219" s="79"/>
      <c r="Y219" s="79"/>
      <c r="AD219" s="130"/>
      <c r="AF219" s="106"/>
    </row>
    <row r="220">
      <c r="C220" s="79"/>
      <c r="D220" s="79"/>
      <c r="E220" s="79"/>
      <c r="O220" s="79"/>
      <c r="S220" s="79"/>
      <c r="T220" s="79"/>
      <c r="Y220" s="79"/>
      <c r="AD220" s="130"/>
      <c r="AF220" s="106"/>
    </row>
    <row r="221">
      <c r="C221" s="79"/>
      <c r="D221" s="79"/>
      <c r="E221" s="79"/>
      <c r="O221" s="79"/>
      <c r="S221" s="79"/>
      <c r="T221" s="79"/>
      <c r="Y221" s="79"/>
      <c r="AD221" s="130"/>
      <c r="AF221" s="106"/>
    </row>
    <row r="222">
      <c r="C222" s="79"/>
      <c r="D222" s="79"/>
      <c r="E222" s="79"/>
      <c r="O222" s="79"/>
      <c r="S222" s="79"/>
      <c r="T222" s="79"/>
      <c r="Y222" s="79"/>
      <c r="AD222" s="130"/>
      <c r="AF222" s="106"/>
    </row>
    <row r="223">
      <c r="C223" s="79"/>
      <c r="D223" s="79"/>
      <c r="E223" s="79"/>
      <c r="O223" s="79"/>
      <c r="S223" s="79"/>
      <c r="T223" s="79"/>
      <c r="Y223" s="79"/>
      <c r="AD223" s="130"/>
      <c r="AF223" s="106"/>
    </row>
    <row r="224">
      <c r="C224" s="79"/>
      <c r="D224" s="79"/>
      <c r="E224" s="79"/>
      <c r="O224" s="79"/>
      <c r="S224" s="79"/>
      <c r="T224" s="79"/>
      <c r="Y224" s="79"/>
      <c r="AD224" s="130"/>
      <c r="AF224" s="106"/>
    </row>
    <row r="225">
      <c r="C225" s="79"/>
      <c r="D225" s="79"/>
      <c r="E225" s="79"/>
      <c r="O225" s="79"/>
      <c r="S225" s="79"/>
      <c r="T225" s="79"/>
      <c r="Y225" s="79"/>
      <c r="AD225" s="130"/>
      <c r="AF225" s="106"/>
    </row>
    <row r="226">
      <c r="C226" s="79"/>
      <c r="D226" s="79"/>
      <c r="E226" s="79"/>
      <c r="O226" s="79"/>
      <c r="S226" s="79"/>
      <c r="T226" s="79"/>
      <c r="Y226" s="79"/>
      <c r="AD226" s="130"/>
      <c r="AF226" s="106"/>
    </row>
    <row r="227">
      <c r="C227" s="79"/>
      <c r="D227" s="79"/>
      <c r="E227" s="79"/>
      <c r="O227" s="79"/>
      <c r="S227" s="79"/>
      <c r="T227" s="79"/>
      <c r="Y227" s="79"/>
      <c r="AD227" s="130"/>
      <c r="AF227" s="106"/>
    </row>
    <row r="228">
      <c r="C228" s="79"/>
      <c r="D228" s="79"/>
      <c r="E228" s="79"/>
      <c r="O228" s="79"/>
      <c r="S228" s="79"/>
      <c r="T228" s="79"/>
      <c r="Y228" s="79"/>
      <c r="AD228" s="130"/>
      <c r="AF228" s="106"/>
    </row>
    <row r="229">
      <c r="C229" s="79"/>
      <c r="D229" s="79"/>
      <c r="E229" s="79"/>
      <c r="O229" s="79"/>
      <c r="S229" s="79"/>
      <c r="T229" s="79"/>
      <c r="Y229" s="79"/>
      <c r="AD229" s="130"/>
      <c r="AF229" s="106"/>
    </row>
    <row r="230">
      <c r="C230" s="79"/>
      <c r="D230" s="79"/>
      <c r="E230" s="79"/>
      <c r="O230" s="79"/>
      <c r="S230" s="79"/>
      <c r="T230" s="79"/>
      <c r="Y230" s="79"/>
      <c r="AD230" s="130"/>
      <c r="AF230" s="106"/>
    </row>
    <row r="231">
      <c r="C231" s="79"/>
      <c r="D231" s="79"/>
      <c r="E231" s="79"/>
      <c r="O231" s="79"/>
      <c r="S231" s="79"/>
      <c r="T231" s="79"/>
      <c r="Y231" s="79"/>
      <c r="AD231" s="130"/>
      <c r="AF231" s="106"/>
    </row>
    <row r="232">
      <c r="C232" s="79"/>
      <c r="D232" s="79"/>
      <c r="E232" s="79"/>
      <c r="O232" s="79"/>
      <c r="S232" s="79"/>
      <c r="T232" s="79"/>
      <c r="Y232" s="79"/>
      <c r="AD232" s="130"/>
      <c r="AF232" s="106"/>
    </row>
    <row r="233">
      <c r="C233" s="79"/>
      <c r="D233" s="79"/>
      <c r="E233" s="79"/>
      <c r="O233" s="79"/>
      <c r="S233" s="79"/>
      <c r="T233" s="79"/>
      <c r="Y233" s="79"/>
      <c r="AD233" s="130"/>
      <c r="AF233" s="106"/>
    </row>
    <row r="234">
      <c r="C234" s="79"/>
      <c r="D234" s="79"/>
      <c r="E234" s="79"/>
      <c r="O234" s="79"/>
      <c r="S234" s="79"/>
      <c r="T234" s="79"/>
      <c r="Y234" s="79"/>
      <c r="AD234" s="130"/>
      <c r="AF234" s="106"/>
    </row>
    <row r="235">
      <c r="C235" s="79"/>
      <c r="D235" s="79"/>
      <c r="E235" s="79"/>
      <c r="O235" s="79"/>
      <c r="S235" s="79"/>
      <c r="T235" s="79"/>
      <c r="Y235" s="79"/>
      <c r="AD235" s="130"/>
      <c r="AF235" s="106"/>
    </row>
    <row r="236">
      <c r="C236" s="79"/>
      <c r="D236" s="79"/>
      <c r="E236" s="79"/>
      <c r="O236" s="79"/>
      <c r="S236" s="79"/>
      <c r="T236" s="79"/>
      <c r="Y236" s="79"/>
      <c r="AD236" s="130"/>
      <c r="AF236" s="106"/>
    </row>
    <row r="237">
      <c r="C237" s="79"/>
      <c r="D237" s="79"/>
      <c r="E237" s="79"/>
      <c r="O237" s="79"/>
      <c r="S237" s="79"/>
      <c r="T237" s="79"/>
      <c r="Y237" s="79"/>
      <c r="AD237" s="130"/>
      <c r="AF237" s="106"/>
    </row>
    <row r="238">
      <c r="C238" s="79"/>
      <c r="D238" s="79"/>
      <c r="E238" s="79"/>
      <c r="O238" s="79"/>
      <c r="S238" s="79"/>
      <c r="T238" s="79"/>
      <c r="Y238" s="79"/>
      <c r="AD238" s="130"/>
      <c r="AF238" s="106"/>
    </row>
    <row r="239">
      <c r="C239" s="79"/>
      <c r="D239" s="79"/>
      <c r="E239" s="79"/>
      <c r="O239" s="79"/>
      <c r="S239" s="79"/>
      <c r="T239" s="79"/>
      <c r="Y239" s="79"/>
      <c r="AD239" s="130"/>
      <c r="AF239" s="106"/>
    </row>
    <row r="240">
      <c r="C240" s="79"/>
      <c r="D240" s="79"/>
      <c r="E240" s="79"/>
      <c r="O240" s="79"/>
      <c r="S240" s="79"/>
      <c r="T240" s="79"/>
      <c r="Y240" s="79"/>
      <c r="AD240" s="130"/>
      <c r="AF240" s="106"/>
    </row>
    <row r="241">
      <c r="C241" s="79"/>
      <c r="D241" s="79"/>
      <c r="E241" s="79"/>
      <c r="O241" s="79"/>
      <c r="S241" s="79"/>
      <c r="T241" s="79"/>
      <c r="Y241" s="79"/>
      <c r="AD241" s="130"/>
      <c r="AF241" s="106"/>
    </row>
    <row r="242">
      <c r="C242" s="79"/>
      <c r="D242" s="79"/>
      <c r="E242" s="79"/>
      <c r="O242" s="79"/>
      <c r="S242" s="79"/>
      <c r="T242" s="79"/>
      <c r="Y242" s="79"/>
      <c r="AD242" s="130"/>
      <c r="AF242" s="106"/>
    </row>
    <row r="243">
      <c r="C243" s="79"/>
      <c r="D243" s="79"/>
      <c r="E243" s="79"/>
      <c r="O243" s="79"/>
      <c r="S243" s="79"/>
      <c r="T243" s="79"/>
      <c r="Y243" s="79"/>
      <c r="AD243" s="130"/>
      <c r="AF243" s="106"/>
    </row>
    <row r="244">
      <c r="C244" s="79"/>
      <c r="D244" s="79"/>
      <c r="E244" s="79"/>
      <c r="O244" s="79"/>
      <c r="S244" s="79"/>
      <c r="T244" s="79"/>
      <c r="Y244" s="79"/>
      <c r="AD244" s="130"/>
      <c r="AF244" s="106"/>
    </row>
    <row r="245">
      <c r="C245" s="79"/>
      <c r="D245" s="79"/>
      <c r="E245" s="79"/>
      <c r="O245" s="79"/>
      <c r="S245" s="79"/>
      <c r="T245" s="79"/>
      <c r="Y245" s="79"/>
      <c r="AD245" s="130"/>
      <c r="AF245" s="106"/>
    </row>
    <row r="246">
      <c r="C246" s="79"/>
      <c r="D246" s="79"/>
      <c r="E246" s="79"/>
      <c r="O246" s="79"/>
      <c r="S246" s="79"/>
      <c r="T246" s="79"/>
      <c r="Y246" s="79"/>
      <c r="AD246" s="130"/>
      <c r="AF246" s="106"/>
    </row>
    <row r="247">
      <c r="C247" s="79"/>
      <c r="D247" s="79"/>
      <c r="E247" s="79"/>
      <c r="O247" s="79"/>
      <c r="S247" s="79"/>
      <c r="T247" s="79"/>
      <c r="Y247" s="79"/>
      <c r="AD247" s="130"/>
      <c r="AF247" s="106"/>
    </row>
    <row r="248">
      <c r="C248" s="79"/>
      <c r="D248" s="79"/>
      <c r="E248" s="79"/>
      <c r="O248" s="79"/>
      <c r="S248" s="79"/>
      <c r="T248" s="79"/>
      <c r="Y248" s="79"/>
      <c r="AD248" s="130"/>
      <c r="AF248" s="106"/>
    </row>
    <row r="249">
      <c r="C249" s="79"/>
      <c r="D249" s="79"/>
      <c r="E249" s="79"/>
      <c r="O249" s="79"/>
      <c r="S249" s="79"/>
      <c r="T249" s="79"/>
      <c r="Y249" s="79"/>
      <c r="AD249" s="130"/>
      <c r="AF249" s="106"/>
    </row>
    <row r="250">
      <c r="C250" s="79"/>
      <c r="D250" s="79"/>
      <c r="E250" s="79"/>
      <c r="O250" s="79"/>
      <c r="S250" s="79"/>
      <c r="T250" s="79"/>
      <c r="Y250" s="79"/>
      <c r="AD250" s="130"/>
      <c r="AF250" s="106"/>
    </row>
    <row r="251">
      <c r="C251" s="79"/>
      <c r="D251" s="79"/>
      <c r="E251" s="79"/>
      <c r="O251" s="79"/>
      <c r="S251" s="79"/>
      <c r="T251" s="79"/>
      <c r="Y251" s="79"/>
      <c r="AD251" s="130"/>
      <c r="AF251" s="106"/>
    </row>
    <row r="252">
      <c r="C252" s="79"/>
      <c r="D252" s="79"/>
      <c r="E252" s="79"/>
      <c r="O252" s="79"/>
      <c r="S252" s="79"/>
      <c r="T252" s="79"/>
      <c r="Y252" s="79"/>
      <c r="AD252" s="130"/>
      <c r="AF252" s="106"/>
    </row>
    <row r="253">
      <c r="C253" s="79"/>
      <c r="D253" s="79"/>
      <c r="E253" s="79"/>
      <c r="O253" s="79"/>
      <c r="S253" s="79"/>
      <c r="T253" s="79"/>
      <c r="Y253" s="79"/>
      <c r="AD253" s="130"/>
      <c r="AF253" s="106"/>
    </row>
    <row r="254">
      <c r="C254" s="79"/>
      <c r="D254" s="79"/>
      <c r="E254" s="79"/>
      <c r="O254" s="79"/>
      <c r="S254" s="79"/>
      <c r="T254" s="79"/>
      <c r="Y254" s="79"/>
      <c r="AD254" s="130"/>
      <c r="AF254" s="106"/>
    </row>
    <row r="255">
      <c r="C255" s="79"/>
      <c r="D255" s="79"/>
      <c r="E255" s="79"/>
      <c r="O255" s="79"/>
      <c r="S255" s="79"/>
      <c r="T255" s="79"/>
      <c r="Y255" s="79"/>
      <c r="AD255" s="130"/>
      <c r="AF255" s="106"/>
    </row>
    <row r="256">
      <c r="C256" s="79"/>
      <c r="D256" s="79"/>
      <c r="E256" s="79"/>
      <c r="O256" s="79"/>
      <c r="S256" s="79"/>
      <c r="T256" s="79"/>
      <c r="Y256" s="79"/>
      <c r="AD256" s="130"/>
      <c r="AF256" s="106"/>
    </row>
    <row r="257">
      <c r="C257" s="79"/>
      <c r="D257" s="79"/>
      <c r="E257" s="79"/>
      <c r="O257" s="79"/>
      <c r="S257" s="79"/>
      <c r="T257" s="79"/>
      <c r="Y257" s="79"/>
      <c r="AD257" s="130"/>
      <c r="AF257" s="106"/>
    </row>
    <row r="258">
      <c r="C258" s="79"/>
      <c r="D258" s="79"/>
      <c r="E258" s="79"/>
      <c r="O258" s="79"/>
      <c r="S258" s="79"/>
      <c r="T258" s="79"/>
      <c r="Y258" s="79"/>
      <c r="AD258" s="130"/>
      <c r="AF258" s="106"/>
    </row>
    <row r="259">
      <c r="C259" s="79"/>
      <c r="D259" s="79"/>
      <c r="E259" s="79"/>
      <c r="O259" s="79"/>
      <c r="S259" s="79"/>
      <c r="T259" s="79"/>
      <c r="Y259" s="79"/>
      <c r="AD259" s="130"/>
      <c r="AF259" s="106"/>
    </row>
    <row r="260">
      <c r="C260" s="79"/>
      <c r="D260" s="79"/>
      <c r="E260" s="79"/>
      <c r="O260" s="79"/>
      <c r="S260" s="79"/>
      <c r="T260" s="79"/>
      <c r="Y260" s="79"/>
      <c r="AD260" s="130"/>
      <c r="AF260" s="106"/>
    </row>
    <row r="261">
      <c r="C261" s="79"/>
      <c r="D261" s="79"/>
      <c r="E261" s="79"/>
      <c r="O261" s="79"/>
      <c r="S261" s="79"/>
      <c r="T261" s="79"/>
      <c r="Y261" s="79"/>
      <c r="AD261" s="130"/>
      <c r="AF261" s="106"/>
    </row>
    <row r="262">
      <c r="C262" s="79"/>
      <c r="D262" s="79"/>
      <c r="E262" s="79"/>
      <c r="O262" s="79"/>
      <c r="S262" s="79"/>
      <c r="T262" s="79"/>
      <c r="Y262" s="79"/>
      <c r="AD262" s="130"/>
      <c r="AF262" s="106"/>
    </row>
    <row r="263">
      <c r="C263" s="79"/>
      <c r="D263" s="79"/>
      <c r="E263" s="79"/>
      <c r="O263" s="79"/>
      <c r="S263" s="79"/>
      <c r="T263" s="79"/>
      <c r="Y263" s="79"/>
      <c r="AD263" s="130"/>
      <c r="AF263" s="106"/>
    </row>
    <row r="264">
      <c r="C264" s="79"/>
      <c r="D264" s="79"/>
      <c r="E264" s="79"/>
      <c r="O264" s="79"/>
      <c r="S264" s="79"/>
      <c r="T264" s="79"/>
      <c r="Y264" s="79"/>
      <c r="AD264" s="130"/>
      <c r="AF264" s="106"/>
    </row>
    <row r="265">
      <c r="C265" s="79"/>
      <c r="D265" s="79"/>
      <c r="E265" s="79"/>
      <c r="O265" s="79"/>
      <c r="S265" s="79"/>
      <c r="T265" s="79"/>
      <c r="Y265" s="79"/>
      <c r="AD265" s="130"/>
      <c r="AF265" s="106"/>
    </row>
    <row r="266">
      <c r="C266" s="79"/>
      <c r="D266" s="79"/>
      <c r="E266" s="79"/>
      <c r="O266" s="79"/>
      <c r="S266" s="79"/>
      <c r="T266" s="79"/>
      <c r="Y266" s="79"/>
      <c r="AD266" s="130"/>
      <c r="AF266" s="106"/>
    </row>
    <row r="267">
      <c r="C267" s="79"/>
      <c r="D267" s="79"/>
      <c r="E267" s="79"/>
      <c r="O267" s="79"/>
      <c r="S267" s="79"/>
      <c r="T267" s="79"/>
      <c r="Y267" s="79"/>
      <c r="AD267" s="130"/>
      <c r="AF267" s="106"/>
    </row>
    <row r="268">
      <c r="C268" s="79"/>
      <c r="D268" s="79"/>
      <c r="E268" s="79"/>
      <c r="O268" s="79"/>
      <c r="S268" s="79"/>
      <c r="T268" s="79"/>
      <c r="Y268" s="79"/>
      <c r="AD268" s="130"/>
      <c r="AF268" s="106"/>
    </row>
    <row r="269">
      <c r="C269" s="79"/>
      <c r="D269" s="79"/>
      <c r="E269" s="79"/>
      <c r="O269" s="79"/>
      <c r="S269" s="79"/>
      <c r="T269" s="79"/>
      <c r="Y269" s="79"/>
      <c r="AD269" s="130"/>
      <c r="AF269" s="106"/>
    </row>
    <row r="270">
      <c r="C270" s="79"/>
      <c r="D270" s="79"/>
      <c r="E270" s="79"/>
      <c r="O270" s="79"/>
      <c r="S270" s="79"/>
      <c r="T270" s="79"/>
      <c r="Y270" s="79"/>
      <c r="AD270" s="130"/>
      <c r="AF270" s="106"/>
    </row>
    <row r="271">
      <c r="C271" s="79"/>
      <c r="D271" s="79"/>
      <c r="E271" s="79"/>
      <c r="O271" s="79"/>
      <c r="S271" s="79"/>
      <c r="T271" s="79"/>
      <c r="Y271" s="79"/>
      <c r="AD271" s="130"/>
      <c r="AF271" s="106"/>
    </row>
    <row r="272">
      <c r="C272" s="79"/>
      <c r="D272" s="79"/>
      <c r="E272" s="79"/>
      <c r="O272" s="79"/>
      <c r="S272" s="79"/>
      <c r="T272" s="79"/>
      <c r="Y272" s="79"/>
      <c r="AD272" s="130"/>
      <c r="AF272" s="106"/>
    </row>
    <row r="273">
      <c r="C273" s="79"/>
      <c r="D273" s="79"/>
      <c r="E273" s="79"/>
      <c r="O273" s="79"/>
      <c r="S273" s="79"/>
      <c r="T273" s="79"/>
      <c r="Y273" s="79"/>
      <c r="AD273" s="130"/>
      <c r="AF273" s="106"/>
    </row>
    <row r="274">
      <c r="C274" s="79"/>
      <c r="D274" s="79"/>
      <c r="E274" s="79"/>
      <c r="O274" s="79"/>
      <c r="S274" s="79"/>
      <c r="T274" s="79"/>
      <c r="Y274" s="79"/>
      <c r="AD274" s="130"/>
      <c r="AF274" s="106"/>
    </row>
    <row r="275">
      <c r="C275" s="79"/>
      <c r="D275" s="79"/>
      <c r="E275" s="79"/>
      <c r="O275" s="79"/>
      <c r="S275" s="79"/>
      <c r="T275" s="79"/>
      <c r="Y275" s="79"/>
      <c r="AD275" s="130"/>
      <c r="AF275" s="106"/>
    </row>
    <row r="276">
      <c r="C276" s="79"/>
      <c r="D276" s="79"/>
      <c r="E276" s="79"/>
      <c r="O276" s="79"/>
      <c r="S276" s="79"/>
      <c r="T276" s="79"/>
      <c r="Y276" s="79"/>
      <c r="AD276" s="130"/>
      <c r="AF276" s="106"/>
    </row>
    <row r="277">
      <c r="C277" s="79"/>
      <c r="D277" s="79"/>
      <c r="E277" s="79"/>
      <c r="O277" s="79"/>
      <c r="S277" s="79"/>
      <c r="T277" s="79"/>
      <c r="Y277" s="79"/>
      <c r="AD277" s="130"/>
      <c r="AF277" s="106"/>
    </row>
    <row r="278">
      <c r="C278" s="79"/>
      <c r="D278" s="79"/>
      <c r="E278" s="79"/>
      <c r="O278" s="79"/>
      <c r="S278" s="79"/>
      <c r="T278" s="79"/>
      <c r="Y278" s="79"/>
      <c r="AD278" s="130"/>
      <c r="AF278" s="106"/>
    </row>
    <row r="279">
      <c r="C279" s="79"/>
      <c r="D279" s="79"/>
      <c r="E279" s="79"/>
      <c r="O279" s="79"/>
      <c r="S279" s="79"/>
      <c r="T279" s="79"/>
      <c r="Y279" s="79"/>
      <c r="AD279" s="130"/>
      <c r="AF279" s="106"/>
    </row>
    <row r="280">
      <c r="C280" s="79"/>
      <c r="D280" s="79"/>
      <c r="E280" s="79"/>
      <c r="O280" s="79"/>
      <c r="S280" s="79"/>
      <c r="T280" s="79"/>
      <c r="Y280" s="79"/>
      <c r="AD280" s="130"/>
      <c r="AF280" s="106"/>
    </row>
    <row r="281">
      <c r="C281" s="79"/>
      <c r="D281" s="79"/>
      <c r="E281" s="79"/>
      <c r="O281" s="79"/>
      <c r="S281" s="79"/>
      <c r="T281" s="79"/>
      <c r="Y281" s="79"/>
      <c r="AD281" s="130"/>
      <c r="AF281" s="106"/>
    </row>
    <row r="282">
      <c r="C282" s="79"/>
      <c r="D282" s="79"/>
      <c r="E282" s="79"/>
      <c r="O282" s="79"/>
      <c r="S282" s="79"/>
      <c r="T282" s="79"/>
      <c r="Y282" s="79"/>
      <c r="AD282" s="130"/>
      <c r="AF282" s="106"/>
    </row>
    <row r="283">
      <c r="C283" s="79"/>
      <c r="D283" s="79"/>
      <c r="E283" s="79"/>
      <c r="O283" s="79"/>
      <c r="S283" s="79"/>
      <c r="T283" s="79"/>
      <c r="Y283" s="79"/>
      <c r="AD283" s="130"/>
      <c r="AF283" s="106"/>
    </row>
    <row r="284">
      <c r="C284" s="79"/>
      <c r="D284" s="79"/>
      <c r="E284" s="79"/>
      <c r="O284" s="79"/>
      <c r="S284" s="79"/>
      <c r="T284" s="79"/>
      <c r="Y284" s="79"/>
      <c r="AD284" s="130"/>
      <c r="AF284" s="106"/>
    </row>
    <row r="285">
      <c r="C285" s="79"/>
      <c r="D285" s="79"/>
      <c r="E285" s="79"/>
      <c r="O285" s="79"/>
      <c r="S285" s="79"/>
      <c r="T285" s="79"/>
      <c r="Y285" s="79"/>
      <c r="AD285" s="130"/>
      <c r="AF285" s="106"/>
    </row>
    <row r="286">
      <c r="C286" s="79"/>
      <c r="D286" s="79"/>
      <c r="E286" s="79"/>
      <c r="O286" s="79"/>
      <c r="S286" s="79"/>
      <c r="T286" s="79"/>
      <c r="Y286" s="79"/>
      <c r="AD286" s="130"/>
      <c r="AF286" s="106"/>
    </row>
    <row r="287">
      <c r="C287" s="79"/>
      <c r="D287" s="79"/>
      <c r="E287" s="79"/>
      <c r="O287" s="79"/>
      <c r="S287" s="79"/>
      <c r="T287" s="79"/>
      <c r="Y287" s="79"/>
      <c r="AD287" s="130"/>
      <c r="AF287" s="106"/>
    </row>
    <row r="288">
      <c r="C288" s="79"/>
      <c r="D288" s="79"/>
      <c r="E288" s="79"/>
      <c r="O288" s="79"/>
      <c r="S288" s="79"/>
      <c r="T288" s="79"/>
      <c r="Y288" s="79"/>
      <c r="AD288" s="130"/>
      <c r="AF288" s="106"/>
    </row>
    <row r="289">
      <c r="C289" s="79"/>
      <c r="D289" s="79"/>
      <c r="E289" s="79"/>
      <c r="O289" s="79"/>
      <c r="S289" s="79"/>
      <c r="T289" s="79"/>
      <c r="Y289" s="79"/>
      <c r="AD289" s="130"/>
      <c r="AF289" s="106"/>
    </row>
    <row r="290">
      <c r="C290" s="79"/>
      <c r="D290" s="79"/>
      <c r="E290" s="79"/>
      <c r="O290" s="79"/>
      <c r="S290" s="79"/>
      <c r="T290" s="79"/>
      <c r="Y290" s="79"/>
      <c r="AD290" s="130"/>
      <c r="AF290" s="106"/>
    </row>
    <row r="291">
      <c r="C291" s="79"/>
      <c r="D291" s="79"/>
      <c r="E291" s="79"/>
      <c r="O291" s="79"/>
      <c r="S291" s="79"/>
      <c r="T291" s="79"/>
      <c r="Y291" s="79"/>
      <c r="AD291" s="130"/>
      <c r="AF291" s="106"/>
    </row>
    <row r="292">
      <c r="C292" s="79"/>
      <c r="D292" s="79"/>
      <c r="E292" s="79"/>
      <c r="O292" s="79"/>
      <c r="S292" s="79"/>
      <c r="T292" s="79"/>
      <c r="Y292" s="79"/>
      <c r="AD292" s="130"/>
      <c r="AF292" s="106"/>
    </row>
    <row r="293">
      <c r="C293" s="79"/>
      <c r="D293" s="79"/>
      <c r="E293" s="79"/>
      <c r="O293" s="79"/>
      <c r="S293" s="79"/>
      <c r="T293" s="79"/>
      <c r="Y293" s="79"/>
      <c r="AD293" s="130"/>
      <c r="AF293" s="106"/>
    </row>
    <row r="294">
      <c r="C294" s="79"/>
      <c r="D294" s="79"/>
      <c r="E294" s="79"/>
      <c r="O294" s="79"/>
      <c r="S294" s="79"/>
      <c r="T294" s="79"/>
      <c r="Y294" s="79"/>
      <c r="AD294" s="130"/>
      <c r="AF294" s="106"/>
    </row>
    <row r="295">
      <c r="C295" s="79"/>
      <c r="D295" s="79"/>
      <c r="E295" s="79"/>
      <c r="O295" s="79"/>
      <c r="S295" s="79"/>
      <c r="T295" s="79"/>
      <c r="Y295" s="79"/>
      <c r="AD295" s="130"/>
      <c r="AF295" s="106"/>
    </row>
    <row r="296">
      <c r="C296" s="79"/>
      <c r="D296" s="79"/>
      <c r="E296" s="79"/>
      <c r="O296" s="79"/>
      <c r="S296" s="79"/>
      <c r="T296" s="79"/>
      <c r="Y296" s="79"/>
      <c r="AD296" s="130"/>
      <c r="AF296" s="106"/>
    </row>
    <row r="297">
      <c r="C297" s="79"/>
      <c r="D297" s="79"/>
      <c r="E297" s="79"/>
      <c r="O297" s="79"/>
      <c r="S297" s="79"/>
      <c r="T297" s="79"/>
      <c r="Y297" s="79"/>
      <c r="AD297" s="130"/>
      <c r="AF297" s="106"/>
    </row>
    <row r="298">
      <c r="C298" s="79"/>
      <c r="D298" s="79"/>
      <c r="E298" s="79"/>
      <c r="O298" s="79"/>
      <c r="S298" s="79"/>
      <c r="T298" s="79"/>
      <c r="Y298" s="79"/>
      <c r="AD298" s="130"/>
      <c r="AF298" s="106"/>
    </row>
    <row r="299">
      <c r="C299" s="79"/>
      <c r="D299" s="79"/>
      <c r="E299" s="79"/>
      <c r="O299" s="79"/>
      <c r="S299" s="79"/>
      <c r="T299" s="79"/>
      <c r="Y299" s="79"/>
      <c r="AD299" s="130"/>
      <c r="AF299" s="106"/>
    </row>
    <row r="300">
      <c r="C300" s="79"/>
      <c r="D300" s="79"/>
      <c r="E300" s="79"/>
      <c r="O300" s="79"/>
      <c r="S300" s="79"/>
      <c r="T300" s="79"/>
      <c r="Y300" s="79"/>
      <c r="AD300" s="130"/>
      <c r="AF300" s="106"/>
    </row>
    <row r="301">
      <c r="C301" s="79"/>
      <c r="D301" s="79"/>
      <c r="E301" s="79"/>
      <c r="O301" s="79"/>
      <c r="S301" s="79"/>
      <c r="T301" s="79"/>
      <c r="Y301" s="79"/>
      <c r="AD301" s="130"/>
      <c r="AF301" s="106"/>
    </row>
    <row r="302">
      <c r="C302" s="79"/>
      <c r="D302" s="79"/>
      <c r="E302" s="79"/>
      <c r="O302" s="79"/>
      <c r="S302" s="79"/>
      <c r="T302" s="79"/>
      <c r="Y302" s="79"/>
      <c r="AD302" s="130"/>
      <c r="AF302" s="106"/>
    </row>
    <row r="303">
      <c r="C303" s="79"/>
      <c r="D303" s="79"/>
      <c r="E303" s="79"/>
      <c r="O303" s="79"/>
      <c r="S303" s="79"/>
      <c r="T303" s="79"/>
      <c r="Y303" s="79"/>
      <c r="AD303" s="130"/>
      <c r="AF303" s="106"/>
    </row>
    <row r="304">
      <c r="C304" s="79"/>
      <c r="D304" s="79"/>
      <c r="E304" s="79"/>
      <c r="O304" s="79"/>
      <c r="S304" s="79"/>
      <c r="T304" s="79"/>
      <c r="Y304" s="79"/>
      <c r="AD304" s="130"/>
      <c r="AF304" s="106"/>
    </row>
    <row r="305">
      <c r="C305" s="79"/>
      <c r="D305" s="79"/>
      <c r="E305" s="79"/>
      <c r="O305" s="79"/>
      <c r="S305" s="79"/>
      <c r="T305" s="79"/>
      <c r="Y305" s="79"/>
      <c r="AD305" s="130"/>
      <c r="AF305" s="106"/>
    </row>
    <row r="306">
      <c r="C306" s="79"/>
      <c r="D306" s="79"/>
      <c r="E306" s="79"/>
      <c r="O306" s="79"/>
      <c r="S306" s="79"/>
      <c r="T306" s="79"/>
      <c r="Y306" s="79"/>
      <c r="AD306" s="130"/>
      <c r="AF306" s="106"/>
    </row>
    <row r="307">
      <c r="C307" s="79"/>
      <c r="D307" s="79"/>
      <c r="E307" s="79"/>
      <c r="O307" s="79"/>
      <c r="S307" s="79"/>
      <c r="T307" s="79"/>
      <c r="Y307" s="79"/>
      <c r="AD307" s="130"/>
      <c r="AF307" s="106"/>
    </row>
    <row r="308">
      <c r="C308" s="79"/>
      <c r="D308" s="79"/>
      <c r="E308" s="79"/>
      <c r="O308" s="79"/>
      <c r="S308" s="79"/>
      <c r="T308" s="79"/>
      <c r="Y308" s="79"/>
      <c r="AD308" s="130"/>
      <c r="AF308" s="106"/>
    </row>
    <row r="309">
      <c r="C309" s="79"/>
      <c r="D309" s="79"/>
      <c r="E309" s="79"/>
      <c r="O309" s="79"/>
      <c r="S309" s="79"/>
      <c r="T309" s="79"/>
      <c r="Y309" s="79"/>
      <c r="AD309" s="130"/>
      <c r="AF309" s="106"/>
    </row>
    <row r="310">
      <c r="C310" s="79"/>
      <c r="D310" s="79"/>
      <c r="E310" s="79"/>
      <c r="O310" s="79"/>
      <c r="S310" s="79"/>
      <c r="T310" s="79"/>
      <c r="Y310" s="79"/>
      <c r="AD310" s="130"/>
      <c r="AF310" s="106"/>
    </row>
    <row r="311">
      <c r="C311" s="79"/>
      <c r="D311" s="79"/>
      <c r="E311" s="79"/>
      <c r="O311" s="79"/>
      <c r="S311" s="79"/>
      <c r="T311" s="79"/>
      <c r="Y311" s="79"/>
      <c r="AD311" s="130"/>
      <c r="AF311" s="106"/>
    </row>
    <row r="312">
      <c r="C312" s="79"/>
      <c r="D312" s="79"/>
      <c r="E312" s="79"/>
      <c r="O312" s="79"/>
      <c r="S312" s="79"/>
      <c r="T312" s="79"/>
      <c r="Y312" s="79"/>
      <c r="AD312" s="130"/>
      <c r="AF312" s="106"/>
    </row>
    <row r="313">
      <c r="C313" s="79"/>
      <c r="D313" s="79"/>
      <c r="E313" s="79"/>
      <c r="O313" s="79"/>
      <c r="S313" s="79"/>
      <c r="T313" s="79"/>
      <c r="Y313" s="79"/>
      <c r="AD313" s="130"/>
      <c r="AF313" s="106"/>
    </row>
    <row r="314">
      <c r="C314" s="79"/>
      <c r="D314" s="79"/>
      <c r="E314" s="79"/>
      <c r="O314" s="79"/>
      <c r="S314" s="79"/>
      <c r="T314" s="79"/>
      <c r="Y314" s="79"/>
      <c r="AD314" s="130"/>
      <c r="AF314" s="106"/>
    </row>
    <row r="315">
      <c r="C315" s="79"/>
      <c r="D315" s="79"/>
      <c r="E315" s="79"/>
      <c r="O315" s="79"/>
      <c r="S315" s="79"/>
      <c r="T315" s="79"/>
      <c r="Y315" s="79"/>
      <c r="AD315" s="130"/>
      <c r="AF315" s="106"/>
    </row>
    <row r="316">
      <c r="C316" s="79"/>
      <c r="D316" s="79"/>
      <c r="E316" s="79"/>
      <c r="O316" s="79"/>
      <c r="S316" s="79"/>
      <c r="T316" s="79"/>
      <c r="Y316" s="79"/>
      <c r="AD316" s="130"/>
      <c r="AF316" s="106"/>
    </row>
    <row r="317">
      <c r="C317" s="79"/>
      <c r="D317" s="79"/>
      <c r="E317" s="79"/>
      <c r="O317" s="79"/>
      <c r="S317" s="79"/>
      <c r="T317" s="79"/>
      <c r="Y317" s="79"/>
      <c r="AD317" s="130"/>
      <c r="AF317" s="106"/>
    </row>
    <row r="318">
      <c r="C318" s="79"/>
      <c r="D318" s="79"/>
      <c r="E318" s="79"/>
      <c r="O318" s="79"/>
      <c r="S318" s="79"/>
      <c r="T318" s="79"/>
      <c r="Y318" s="79"/>
      <c r="AD318" s="130"/>
      <c r="AF318" s="106"/>
    </row>
    <row r="319">
      <c r="C319" s="79"/>
      <c r="D319" s="79"/>
      <c r="E319" s="79"/>
      <c r="O319" s="79"/>
      <c r="S319" s="79"/>
      <c r="T319" s="79"/>
      <c r="Y319" s="79"/>
      <c r="AD319" s="130"/>
      <c r="AF319" s="106"/>
    </row>
    <row r="320">
      <c r="C320" s="79"/>
      <c r="D320" s="79"/>
      <c r="E320" s="79"/>
      <c r="O320" s="79"/>
      <c r="S320" s="79"/>
      <c r="T320" s="79"/>
      <c r="Y320" s="79"/>
      <c r="AD320" s="130"/>
      <c r="AF320" s="106"/>
    </row>
    <row r="321">
      <c r="C321" s="79"/>
      <c r="D321" s="79"/>
      <c r="E321" s="79"/>
      <c r="O321" s="79"/>
      <c r="S321" s="79"/>
      <c r="T321" s="79"/>
      <c r="Y321" s="79"/>
      <c r="AD321" s="130"/>
      <c r="AF321" s="106"/>
    </row>
    <row r="322">
      <c r="C322" s="79"/>
      <c r="D322" s="79"/>
      <c r="E322" s="79"/>
      <c r="O322" s="79"/>
      <c r="S322" s="79"/>
      <c r="T322" s="79"/>
      <c r="Y322" s="79"/>
      <c r="AD322" s="130"/>
      <c r="AF322" s="106"/>
    </row>
    <row r="323">
      <c r="C323" s="79"/>
      <c r="D323" s="79"/>
      <c r="E323" s="79"/>
      <c r="O323" s="79"/>
      <c r="S323" s="79"/>
      <c r="T323" s="79"/>
      <c r="Y323" s="79"/>
      <c r="AD323" s="130"/>
      <c r="AF323" s="106"/>
    </row>
    <row r="324">
      <c r="C324" s="79"/>
      <c r="D324" s="79"/>
      <c r="E324" s="79"/>
      <c r="O324" s="79"/>
      <c r="S324" s="79"/>
      <c r="T324" s="79"/>
      <c r="Y324" s="79"/>
      <c r="AD324" s="130"/>
      <c r="AF324" s="106"/>
    </row>
    <row r="325">
      <c r="C325" s="79"/>
      <c r="D325" s="79"/>
      <c r="E325" s="79"/>
      <c r="O325" s="79"/>
      <c r="S325" s="79"/>
      <c r="T325" s="79"/>
      <c r="Y325" s="79"/>
      <c r="AD325" s="130"/>
      <c r="AF325" s="106"/>
    </row>
    <row r="326">
      <c r="C326" s="79"/>
      <c r="D326" s="79"/>
      <c r="E326" s="79"/>
      <c r="O326" s="79"/>
      <c r="S326" s="79"/>
      <c r="T326" s="79"/>
      <c r="Y326" s="79"/>
      <c r="AD326" s="130"/>
      <c r="AF326" s="106"/>
    </row>
    <row r="327">
      <c r="C327" s="79"/>
      <c r="D327" s="79"/>
      <c r="E327" s="79"/>
      <c r="O327" s="79"/>
      <c r="S327" s="79"/>
      <c r="T327" s="79"/>
      <c r="Y327" s="79"/>
      <c r="AD327" s="130"/>
      <c r="AF327" s="106"/>
    </row>
    <row r="328">
      <c r="C328" s="79"/>
      <c r="D328" s="79"/>
      <c r="E328" s="79"/>
      <c r="O328" s="79"/>
      <c r="S328" s="79"/>
      <c r="T328" s="79"/>
      <c r="Y328" s="79"/>
      <c r="AD328" s="130"/>
      <c r="AF328" s="106"/>
    </row>
    <row r="329">
      <c r="C329" s="79"/>
      <c r="D329" s="79"/>
      <c r="E329" s="79"/>
      <c r="O329" s="79"/>
      <c r="S329" s="79"/>
      <c r="T329" s="79"/>
      <c r="Y329" s="79"/>
      <c r="AD329" s="130"/>
      <c r="AF329" s="106"/>
    </row>
    <row r="330">
      <c r="C330" s="79"/>
      <c r="D330" s="79"/>
      <c r="E330" s="79"/>
      <c r="O330" s="79"/>
      <c r="S330" s="79"/>
      <c r="T330" s="79"/>
      <c r="Y330" s="79"/>
      <c r="AD330" s="130"/>
      <c r="AF330" s="106"/>
    </row>
    <row r="331">
      <c r="C331" s="79"/>
      <c r="D331" s="79"/>
      <c r="E331" s="79"/>
      <c r="O331" s="79"/>
      <c r="S331" s="79"/>
      <c r="T331" s="79"/>
      <c r="Y331" s="79"/>
      <c r="AD331" s="130"/>
      <c r="AF331" s="106"/>
    </row>
    <row r="332">
      <c r="C332" s="79"/>
      <c r="D332" s="79"/>
      <c r="E332" s="79"/>
      <c r="O332" s="79"/>
      <c r="S332" s="79"/>
      <c r="T332" s="79"/>
      <c r="Y332" s="79"/>
      <c r="AD332" s="130"/>
      <c r="AF332" s="106"/>
    </row>
    <row r="333">
      <c r="C333" s="79"/>
      <c r="D333" s="79"/>
      <c r="E333" s="79"/>
      <c r="O333" s="79"/>
      <c r="S333" s="79"/>
      <c r="T333" s="79"/>
      <c r="Y333" s="79"/>
      <c r="AD333" s="130"/>
      <c r="AF333" s="106"/>
    </row>
    <row r="334">
      <c r="C334" s="79"/>
      <c r="D334" s="79"/>
      <c r="E334" s="79"/>
      <c r="O334" s="79"/>
      <c r="S334" s="79"/>
      <c r="T334" s="79"/>
      <c r="Y334" s="79"/>
      <c r="AD334" s="130"/>
      <c r="AF334" s="106"/>
    </row>
    <row r="335">
      <c r="C335" s="79"/>
      <c r="D335" s="79"/>
      <c r="E335" s="79"/>
      <c r="O335" s="79"/>
      <c r="S335" s="79"/>
      <c r="T335" s="79"/>
      <c r="Y335" s="79"/>
      <c r="AD335" s="130"/>
      <c r="AF335" s="106"/>
    </row>
    <row r="336">
      <c r="C336" s="79"/>
      <c r="D336" s="79"/>
      <c r="E336" s="79"/>
      <c r="O336" s="79"/>
      <c r="S336" s="79"/>
      <c r="T336" s="79"/>
      <c r="Y336" s="79"/>
      <c r="AD336" s="130"/>
      <c r="AF336" s="106"/>
    </row>
    <row r="337">
      <c r="C337" s="79"/>
      <c r="D337" s="79"/>
      <c r="E337" s="79"/>
      <c r="O337" s="79"/>
      <c r="S337" s="79"/>
      <c r="T337" s="79"/>
      <c r="Y337" s="79"/>
      <c r="AD337" s="130"/>
      <c r="AF337" s="106"/>
    </row>
    <row r="338">
      <c r="C338" s="79"/>
      <c r="D338" s="79"/>
      <c r="E338" s="79"/>
      <c r="O338" s="79"/>
      <c r="S338" s="79"/>
      <c r="T338" s="79"/>
      <c r="Y338" s="79"/>
      <c r="AD338" s="130"/>
      <c r="AF338" s="106"/>
    </row>
    <row r="339">
      <c r="C339" s="79"/>
      <c r="D339" s="79"/>
      <c r="E339" s="79"/>
      <c r="O339" s="79"/>
      <c r="S339" s="79"/>
      <c r="T339" s="79"/>
      <c r="Y339" s="79"/>
      <c r="AD339" s="130"/>
      <c r="AF339" s="106"/>
    </row>
    <row r="340">
      <c r="C340" s="79"/>
      <c r="D340" s="79"/>
      <c r="E340" s="79"/>
      <c r="O340" s="79"/>
      <c r="S340" s="79"/>
      <c r="T340" s="79"/>
      <c r="Y340" s="79"/>
      <c r="AD340" s="130"/>
      <c r="AF340" s="106"/>
    </row>
    <row r="341">
      <c r="C341" s="79"/>
      <c r="D341" s="79"/>
      <c r="E341" s="79"/>
      <c r="O341" s="79"/>
      <c r="S341" s="79"/>
      <c r="T341" s="79"/>
      <c r="Y341" s="79"/>
      <c r="AD341" s="130"/>
      <c r="AF341" s="106"/>
    </row>
    <row r="342">
      <c r="C342" s="79"/>
      <c r="D342" s="79"/>
      <c r="E342" s="79"/>
      <c r="O342" s="79"/>
      <c r="S342" s="79"/>
      <c r="T342" s="79"/>
      <c r="Y342" s="79"/>
      <c r="AD342" s="130"/>
      <c r="AF342" s="106"/>
    </row>
    <row r="343">
      <c r="C343" s="79"/>
      <c r="D343" s="79"/>
      <c r="E343" s="79"/>
      <c r="O343" s="79"/>
      <c r="S343" s="79"/>
      <c r="T343" s="79"/>
      <c r="Y343" s="79"/>
      <c r="AD343" s="130"/>
      <c r="AF343" s="106"/>
    </row>
    <row r="344">
      <c r="C344" s="79"/>
      <c r="D344" s="79"/>
      <c r="E344" s="79"/>
      <c r="O344" s="79"/>
      <c r="S344" s="79"/>
      <c r="T344" s="79"/>
      <c r="Y344" s="79"/>
      <c r="AD344" s="130"/>
      <c r="AF344" s="106"/>
    </row>
    <row r="345">
      <c r="C345" s="79"/>
      <c r="D345" s="79"/>
      <c r="E345" s="79"/>
      <c r="O345" s="79"/>
      <c r="S345" s="79"/>
      <c r="T345" s="79"/>
      <c r="Y345" s="79"/>
      <c r="AD345" s="130"/>
      <c r="AF345" s="106"/>
    </row>
    <row r="346">
      <c r="C346" s="79"/>
      <c r="D346" s="79"/>
      <c r="E346" s="79"/>
      <c r="O346" s="79"/>
      <c r="S346" s="79"/>
      <c r="T346" s="79"/>
      <c r="Y346" s="79"/>
      <c r="AD346" s="130"/>
      <c r="AF346" s="106"/>
    </row>
    <row r="347">
      <c r="C347" s="79"/>
      <c r="D347" s="79"/>
      <c r="E347" s="79"/>
      <c r="O347" s="79"/>
      <c r="S347" s="79"/>
      <c r="T347" s="79"/>
      <c r="Y347" s="79"/>
      <c r="AD347" s="130"/>
      <c r="AF347" s="106"/>
    </row>
    <row r="348">
      <c r="C348" s="79"/>
      <c r="D348" s="79"/>
      <c r="E348" s="79"/>
      <c r="O348" s="79"/>
      <c r="S348" s="79"/>
      <c r="T348" s="79"/>
      <c r="Y348" s="79"/>
      <c r="AD348" s="130"/>
      <c r="AF348" s="106"/>
    </row>
    <row r="349">
      <c r="C349" s="79"/>
      <c r="D349" s="79"/>
      <c r="E349" s="79"/>
      <c r="O349" s="79"/>
      <c r="S349" s="79"/>
      <c r="T349" s="79"/>
      <c r="Y349" s="79"/>
      <c r="AD349" s="130"/>
      <c r="AF349" s="106"/>
    </row>
    <row r="350">
      <c r="C350" s="79"/>
      <c r="D350" s="79"/>
      <c r="E350" s="79"/>
      <c r="O350" s="79"/>
      <c r="S350" s="79"/>
      <c r="T350" s="79"/>
      <c r="Y350" s="79"/>
      <c r="AD350" s="130"/>
      <c r="AF350" s="106"/>
    </row>
    <row r="351">
      <c r="C351" s="79"/>
      <c r="D351" s="79"/>
      <c r="E351" s="79"/>
      <c r="O351" s="79"/>
      <c r="S351" s="79"/>
      <c r="T351" s="79"/>
      <c r="Y351" s="79"/>
      <c r="AD351" s="130"/>
      <c r="AF351" s="106"/>
    </row>
    <row r="352">
      <c r="C352" s="79"/>
      <c r="D352" s="79"/>
      <c r="E352" s="79"/>
      <c r="O352" s="79"/>
      <c r="S352" s="79"/>
      <c r="T352" s="79"/>
      <c r="Y352" s="79"/>
      <c r="AD352" s="130"/>
      <c r="AF352" s="106"/>
    </row>
    <row r="353">
      <c r="C353" s="79"/>
      <c r="D353" s="79"/>
      <c r="E353" s="79"/>
      <c r="O353" s="79"/>
      <c r="S353" s="79"/>
      <c r="T353" s="79"/>
      <c r="Y353" s="79"/>
      <c r="AD353" s="130"/>
      <c r="AF353" s="106"/>
    </row>
    <row r="354">
      <c r="C354" s="79"/>
      <c r="D354" s="79"/>
      <c r="E354" s="79"/>
      <c r="O354" s="79"/>
      <c r="S354" s="79"/>
      <c r="T354" s="79"/>
      <c r="Y354" s="79"/>
      <c r="AD354" s="130"/>
      <c r="AF354" s="106"/>
    </row>
    <row r="355">
      <c r="C355" s="79"/>
      <c r="D355" s="79"/>
      <c r="E355" s="79"/>
      <c r="O355" s="79"/>
      <c r="S355" s="79"/>
      <c r="T355" s="79"/>
      <c r="Y355" s="79"/>
      <c r="AD355" s="130"/>
      <c r="AF355" s="106"/>
    </row>
    <row r="356">
      <c r="C356" s="79"/>
      <c r="D356" s="79"/>
      <c r="E356" s="79"/>
      <c r="O356" s="79"/>
      <c r="S356" s="79"/>
      <c r="T356" s="79"/>
      <c r="Y356" s="79"/>
      <c r="AD356" s="130"/>
      <c r="AF356" s="106"/>
    </row>
    <row r="357">
      <c r="C357" s="79"/>
      <c r="D357" s="79"/>
      <c r="E357" s="79"/>
      <c r="O357" s="79"/>
      <c r="S357" s="79"/>
      <c r="T357" s="79"/>
      <c r="Y357" s="79"/>
      <c r="AD357" s="130"/>
      <c r="AF357" s="106"/>
    </row>
    <row r="358">
      <c r="C358" s="79"/>
      <c r="D358" s="79"/>
      <c r="E358" s="79"/>
      <c r="O358" s="79"/>
      <c r="S358" s="79"/>
      <c r="T358" s="79"/>
      <c r="Y358" s="79"/>
      <c r="AD358" s="130"/>
      <c r="AF358" s="106"/>
    </row>
    <row r="359">
      <c r="C359" s="79"/>
      <c r="D359" s="79"/>
      <c r="E359" s="79"/>
      <c r="O359" s="79"/>
      <c r="S359" s="79"/>
      <c r="T359" s="79"/>
      <c r="Y359" s="79"/>
      <c r="AD359" s="130"/>
      <c r="AF359" s="106"/>
    </row>
    <row r="360">
      <c r="C360" s="79"/>
      <c r="D360" s="79"/>
      <c r="E360" s="79"/>
      <c r="O360" s="79"/>
      <c r="S360" s="79"/>
      <c r="T360" s="79"/>
      <c r="Y360" s="79"/>
      <c r="AD360" s="130"/>
      <c r="AF360" s="106"/>
    </row>
    <row r="361">
      <c r="C361" s="79"/>
      <c r="D361" s="79"/>
      <c r="E361" s="79"/>
      <c r="O361" s="79"/>
      <c r="S361" s="79"/>
      <c r="T361" s="79"/>
      <c r="Y361" s="79"/>
      <c r="AD361" s="130"/>
      <c r="AF361" s="106"/>
    </row>
    <row r="362">
      <c r="C362" s="79"/>
      <c r="D362" s="79"/>
      <c r="E362" s="79"/>
      <c r="O362" s="79"/>
      <c r="S362" s="79"/>
      <c r="T362" s="79"/>
      <c r="Y362" s="79"/>
      <c r="AD362" s="130"/>
      <c r="AF362" s="106"/>
    </row>
    <row r="363">
      <c r="C363" s="79"/>
      <c r="D363" s="79"/>
      <c r="E363" s="79"/>
      <c r="O363" s="79"/>
      <c r="S363" s="79"/>
      <c r="T363" s="79"/>
      <c r="Y363" s="79"/>
      <c r="AD363" s="130"/>
      <c r="AF363" s="106"/>
    </row>
    <row r="364">
      <c r="C364" s="79"/>
      <c r="D364" s="79"/>
      <c r="E364" s="79"/>
      <c r="O364" s="79"/>
      <c r="S364" s="79"/>
      <c r="T364" s="79"/>
      <c r="Y364" s="79"/>
      <c r="AD364" s="130"/>
      <c r="AF364" s="106"/>
    </row>
    <row r="365">
      <c r="C365" s="79"/>
      <c r="D365" s="79"/>
      <c r="E365" s="79"/>
      <c r="O365" s="79"/>
      <c r="S365" s="79"/>
      <c r="T365" s="79"/>
      <c r="Y365" s="79"/>
      <c r="AD365" s="130"/>
      <c r="AF365" s="106"/>
    </row>
    <row r="366">
      <c r="C366" s="79"/>
      <c r="D366" s="79"/>
      <c r="E366" s="79"/>
      <c r="O366" s="79"/>
      <c r="S366" s="79"/>
      <c r="T366" s="79"/>
      <c r="Y366" s="79"/>
      <c r="AD366" s="130"/>
      <c r="AF366" s="106"/>
    </row>
    <row r="367">
      <c r="C367" s="79"/>
      <c r="D367" s="79"/>
      <c r="E367" s="79"/>
      <c r="O367" s="79"/>
      <c r="S367" s="79"/>
      <c r="T367" s="79"/>
      <c r="Y367" s="79"/>
      <c r="AD367" s="130"/>
      <c r="AF367" s="106"/>
    </row>
    <row r="368">
      <c r="C368" s="79"/>
      <c r="D368" s="79"/>
      <c r="E368" s="79"/>
      <c r="O368" s="79"/>
      <c r="S368" s="79"/>
      <c r="T368" s="79"/>
      <c r="Y368" s="79"/>
      <c r="AD368" s="130"/>
      <c r="AF368" s="106"/>
    </row>
    <row r="369">
      <c r="C369" s="79"/>
      <c r="D369" s="79"/>
      <c r="E369" s="79"/>
      <c r="O369" s="79"/>
      <c r="S369" s="79"/>
      <c r="T369" s="79"/>
      <c r="Y369" s="79"/>
      <c r="AD369" s="130"/>
      <c r="AF369" s="106"/>
    </row>
    <row r="370">
      <c r="C370" s="79"/>
      <c r="D370" s="79"/>
      <c r="E370" s="79"/>
      <c r="O370" s="79"/>
      <c r="S370" s="79"/>
      <c r="T370" s="79"/>
      <c r="Y370" s="79"/>
      <c r="AD370" s="130"/>
      <c r="AF370" s="106"/>
    </row>
    <row r="371">
      <c r="C371" s="79"/>
      <c r="D371" s="79"/>
      <c r="E371" s="79"/>
      <c r="O371" s="79"/>
      <c r="S371" s="79"/>
      <c r="T371" s="79"/>
      <c r="Y371" s="79"/>
      <c r="AD371" s="130"/>
      <c r="AF371" s="106"/>
    </row>
    <row r="372">
      <c r="C372" s="79"/>
      <c r="D372" s="79"/>
      <c r="E372" s="79"/>
      <c r="O372" s="79"/>
      <c r="S372" s="79"/>
      <c r="T372" s="79"/>
      <c r="Y372" s="79"/>
      <c r="AD372" s="130"/>
      <c r="AF372" s="106"/>
    </row>
    <row r="373">
      <c r="C373" s="79"/>
      <c r="D373" s="79"/>
      <c r="E373" s="79"/>
      <c r="O373" s="79"/>
      <c r="S373" s="79"/>
      <c r="T373" s="79"/>
      <c r="Y373" s="79"/>
      <c r="AD373" s="130"/>
      <c r="AF373" s="106"/>
    </row>
    <row r="374">
      <c r="C374" s="79"/>
      <c r="D374" s="79"/>
      <c r="E374" s="79"/>
      <c r="O374" s="79"/>
      <c r="S374" s="79"/>
      <c r="T374" s="79"/>
      <c r="Y374" s="79"/>
      <c r="AD374" s="130"/>
      <c r="AF374" s="106"/>
    </row>
    <row r="375">
      <c r="C375" s="79"/>
      <c r="D375" s="79"/>
      <c r="E375" s="79"/>
      <c r="O375" s="79"/>
      <c r="S375" s="79"/>
      <c r="T375" s="79"/>
      <c r="Y375" s="79"/>
      <c r="AD375" s="130"/>
      <c r="AF375" s="106"/>
    </row>
    <row r="376">
      <c r="C376" s="79"/>
      <c r="D376" s="79"/>
      <c r="E376" s="79"/>
      <c r="O376" s="79"/>
      <c r="S376" s="79"/>
      <c r="T376" s="79"/>
      <c r="Y376" s="79"/>
      <c r="AD376" s="130"/>
      <c r="AF376" s="106"/>
    </row>
    <row r="377">
      <c r="C377" s="79"/>
      <c r="D377" s="79"/>
      <c r="E377" s="79"/>
      <c r="O377" s="79"/>
      <c r="S377" s="79"/>
      <c r="T377" s="79"/>
      <c r="Y377" s="79"/>
      <c r="AD377" s="130"/>
      <c r="AF377" s="106"/>
    </row>
    <row r="378">
      <c r="C378" s="79"/>
      <c r="D378" s="79"/>
      <c r="E378" s="79"/>
      <c r="O378" s="79"/>
      <c r="S378" s="79"/>
      <c r="T378" s="79"/>
      <c r="Y378" s="79"/>
      <c r="AD378" s="130"/>
      <c r="AF378" s="106"/>
    </row>
    <row r="379">
      <c r="C379" s="79"/>
      <c r="D379" s="79"/>
      <c r="E379" s="79"/>
      <c r="O379" s="79"/>
      <c r="S379" s="79"/>
      <c r="T379" s="79"/>
      <c r="Y379" s="79"/>
      <c r="AD379" s="130"/>
      <c r="AF379" s="106"/>
    </row>
    <row r="380">
      <c r="C380" s="79"/>
      <c r="D380" s="79"/>
      <c r="E380" s="79"/>
      <c r="O380" s="79"/>
      <c r="S380" s="79"/>
      <c r="T380" s="79"/>
      <c r="Y380" s="79"/>
      <c r="AD380" s="130"/>
      <c r="AF380" s="106"/>
    </row>
    <row r="381">
      <c r="C381" s="79"/>
      <c r="D381" s="79"/>
      <c r="E381" s="79"/>
      <c r="O381" s="79"/>
      <c r="S381" s="79"/>
      <c r="T381" s="79"/>
      <c r="Y381" s="79"/>
      <c r="AD381" s="130"/>
      <c r="AF381" s="106"/>
    </row>
    <row r="382">
      <c r="C382" s="79"/>
      <c r="D382" s="79"/>
      <c r="E382" s="79"/>
      <c r="O382" s="79"/>
      <c r="S382" s="79"/>
      <c r="T382" s="79"/>
      <c r="Y382" s="79"/>
      <c r="AD382" s="130"/>
      <c r="AF382" s="106"/>
    </row>
    <row r="383">
      <c r="C383" s="79"/>
      <c r="D383" s="79"/>
      <c r="E383" s="79"/>
      <c r="O383" s="79"/>
      <c r="S383" s="79"/>
      <c r="T383" s="79"/>
      <c r="Y383" s="79"/>
      <c r="AD383" s="130"/>
      <c r="AF383" s="106"/>
    </row>
    <row r="384">
      <c r="C384" s="79"/>
      <c r="D384" s="79"/>
      <c r="E384" s="79"/>
      <c r="O384" s="79"/>
      <c r="S384" s="79"/>
      <c r="T384" s="79"/>
      <c r="Y384" s="79"/>
      <c r="AD384" s="130"/>
      <c r="AF384" s="106"/>
    </row>
    <row r="385">
      <c r="C385" s="79"/>
      <c r="D385" s="79"/>
      <c r="E385" s="79"/>
      <c r="O385" s="79"/>
      <c r="S385" s="79"/>
      <c r="T385" s="79"/>
      <c r="Y385" s="79"/>
      <c r="AD385" s="130"/>
      <c r="AF385" s="106"/>
    </row>
    <row r="386">
      <c r="C386" s="79"/>
      <c r="D386" s="79"/>
      <c r="E386" s="79"/>
      <c r="O386" s="79"/>
      <c r="S386" s="79"/>
      <c r="T386" s="79"/>
      <c r="Y386" s="79"/>
      <c r="AD386" s="130"/>
      <c r="AF386" s="106"/>
    </row>
    <row r="387">
      <c r="C387" s="79"/>
      <c r="D387" s="79"/>
      <c r="E387" s="79"/>
      <c r="O387" s="79"/>
      <c r="S387" s="79"/>
      <c r="T387" s="79"/>
      <c r="Y387" s="79"/>
      <c r="AD387" s="130"/>
      <c r="AF387" s="106"/>
    </row>
    <row r="388">
      <c r="C388" s="79"/>
      <c r="D388" s="79"/>
      <c r="E388" s="79"/>
      <c r="O388" s="79"/>
      <c r="S388" s="79"/>
      <c r="T388" s="79"/>
      <c r="Y388" s="79"/>
      <c r="AD388" s="130"/>
      <c r="AF388" s="106"/>
    </row>
    <row r="389">
      <c r="C389" s="79"/>
      <c r="D389" s="79"/>
      <c r="E389" s="79"/>
      <c r="O389" s="79"/>
      <c r="S389" s="79"/>
      <c r="T389" s="79"/>
      <c r="Y389" s="79"/>
      <c r="AD389" s="130"/>
      <c r="AF389" s="106"/>
    </row>
    <row r="390">
      <c r="C390" s="79"/>
      <c r="D390" s="79"/>
      <c r="E390" s="79"/>
      <c r="O390" s="79"/>
      <c r="S390" s="79"/>
      <c r="T390" s="79"/>
      <c r="Y390" s="79"/>
      <c r="AD390" s="130"/>
      <c r="AF390" s="106"/>
    </row>
    <row r="391">
      <c r="C391" s="79"/>
      <c r="D391" s="79"/>
      <c r="E391" s="79"/>
      <c r="O391" s="79"/>
      <c r="S391" s="79"/>
      <c r="T391" s="79"/>
      <c r="Y391" s="79"/>
      <c r="AD391" s="130"/>
      <c r="AF391" s="106"/>
    </row>
    <row r="392">
      <c r="C392" s="79"/>
      <c r="D392" s="79"/>
      <c r="E392" s="79"/>
      <c r="O392" s="79"/>
      <c r="S392" s="79"/>
      <c r="T392" s="79"/>
      <c r="Y392" s="79"/>
      <c r="AD392" s="130"/>
      <c r="AF392" s="106"/>
    </row>
    <row r="393">
      <c r="C393" s="79"/>
      <c r="D393" s="79"/>
      <c r="E393" s="79"/>
      <c r="O393" s="79"/>
      <c r="S393" s="79"/>
      <c r="T393" s="79"/>
      <c r="Y393" s="79"/>
      <c r="AD393" s="130"/>
      <c r="AF393" s="106"/>
    </row>
    <row r="394">
      <c r="C394" s="79"/>
      <c r="D394" s="79"/>
      <c r="E394" s="79"/>
      <c r="O394" s="79"/>
      <c r="S394" s="79"/>
      <c r="T394" s="79"/>
      <c r="Y394" s="79"/>
      <c r="AD394" s="130"/>
      <c r="AF394" s="106"/>
    </row>
    <row r="395">
      <c r="C395" s="79"/>
      <c r="D395" s="79"/>
      <c r="E395" s="79"/>
      <c r="O395" s="79"/>
      <c r="S395" s="79"/>
      <c r="T395" s="79"/>
      <c r="Y395" s="79"/>
      <c r="AD395" s="130"/>
      <c r="AF395" s="106"/>
    </row>
    <row r="396">
      <c r="C396" s="79"/>
      <c r="D396" s="79"/>
      <c r="E396" s="79"/>
      <c r="O396" s="79"/>
      <c r="S396" s="79"/>
      <c r="T396" s="79"/>
      <c r="Y396" s="79"/>
      <c r="AD396" s="130"/>
      <c r="AF396" s="106"/>
    </row>
    <row r="397">
      <c r="C397" s="79"/>
      <c r="D397" s="79"/>
      <c r="E397" s="79"/>
      <c r="O397" s="79"/>
      <c r="S397" s="79"/>
      <c r="T397" s="79"/>
      <c r="Y397" s="79"/>
      <c r="AD397" s="130"/>
      <c r="AF397" s="106"/>
    </row>
    <row r="398">
      <c r="C398" s="79"/>
      <c r="D398" s="79"/>
      <c r="E398" s="79"/>
      <c r="O398" s="79"/>
      <c r="S398" s="79"/>
      <c r="T398" s="79"/>
      <c r="Y398" s="79"/>
      <c r="AD398" s="130"/>
      <c r="AF398" s="106"/>
    </row>
    <row r="399">
      <c r="C399" s="79"/>
      <c r="D399" s="79"/>
      <c r="E399" s="79"/>
      <c r="O399" s="79"/>
      <c r="S399" s="79"/>
      <c r="T399" s="79"/>
      <c r="Y399" s="79"/>
      <c r="AD399" s="130"/>
      <c r="AF399" s="106"/>
    </row>
    <row r="400">
      <c r="C400" s="79"/>
      <c r="D400" s="79"/>
      <c r="E400" s="79"/>
      <c r="O400" s="79"/>
      <c r="S400" s="79"/>
      <c r="T400" s="79"/>
      <c r="Y400" s="79"/>
      <c r="AD400" s="130"/>
      <c r="AF400" s="106"/>
    </row>
    <row r="401">
      <c r="C401" s="79"/>
      <c r="D401" s="79"/>
      <c r="E401" s="79"/>
      <c r="O401" s="79"/>
      <c r="S401" s="79"/>
      <c r="T401" s="79"/>
      <c r="Y401" s="79"/>
      <c r="AD401" s="130"/>
      <c r="AF401" s="106"/>
    </row>
    <row r="402">
      <c r="C402" s="79"/>
      <c r="D402" s="79"/>
      <c r="E402" s="79"/>
      <c r="O402" s="79"/>
      <c r="S402" s="79"/>
      <c r="T402" s="79"/>
      <c r="Y402" s="79"/>
      <c r="AD402" s="130"/>
      <c r="AF402" s="106"/>
    </row>
    <row r="403">
      <c r="C403" s="79"/>
      <c r="D403" s="79"/>
      <c r="E403" s="79"/>
      <c r="O403" s="79"/>
      <c r="S403" s="79"/>
      <c r="T403" s="79"/>
      <c r="Y403" s="79"/>
      <c r="AD403" s="130"/>
      <c r="AF403" s="106"/>
    </row>
    <row r="404">
      <c r="C404" s="79"/>
      <c r="D404" s="79"/>
      <c r="E404" s="79"/>
      <c r="O404" s="79"/>
      <c r="S404" s="79"/>
      <c r="T404" s="79"/>
      <c r="Y404" s="79"/>
      <c r="AD404" s="130"/>
      <c r="AF404" s="106"/>
    </row>
    <row r="405">
      <c r="C405" s="79"/>
      <c r="D405" s="79"/>
      <c r="E405" s="79"/>
      <c r="O405" s="79"/>
      <c r="S405" s="79"/>
      <c r="T405" s="79"/>
      <c r="Y405" s="79"/>
      <c r="AD405" s="130"/>
      <c r="AF405" s="106"/>
    </row>
    <row r="406">
      <c r="C406" s="79"/>
      <c r="D406" s="79"/>
      <c r="E406" s="79"/>
      <c r="O406" s="79"/>
      <c r="S406" s="79"/>
      <c r="T406" s="79"/>
      <c r="Y406" s="79"/>
      <c r="AD406" s="130"/>
      <c r="AF406" s="106"/>
    </row>
    <row r="407">
      <c r="C407" s="79"/>
      <c r="D407" s="79"/>
      <c r="E407" s="79"/>
      <c r="O407" s="79"/>
      <c r="S407" s="79"/>
      <c r="T407" s="79"/>
      <c r="Y407" s="79"/>
      <c r="AD407" s="130"/>
      <c r="AF407" s="106"/>
    </row>
    <row r="408">
      <c r="C408" s="79"/>
      <c r="D408" s="79"/>
      <c r="E408" s="79"/>
      <c r="O408" s="79"/>
      <c r="S408" s="79"/>
      <c r="T408" s="79"/>
      <c r="Y408" s="79"/>
      <c r="AD408" s="130"/>
      <c r="AF408" s="106"/>
    </row>
    <row r="409">
      <c r="C409" s="79"/>
      <c r="D409" s="79"/>
      <c r="E409" s="79"/>
      <c r="O409" s="79"/>
      <c r="S409" s="79"/>
      <c r="T409" s="79"/>
      <c r="Y409" s="79"/>
      <c r="AD409" s="130"/>
      <c r="AF409" s="106"/>
    </row>
    <row r="410">
      <c r="C410" s="79"/>
      <c r="D410" s="79"/>
      <c r="E410" s="79"/>
      <c r="O410" s="79"/>
      <c r="S410" s="79"/>
      <c r="T410" s="79"/>
      <c r="Y410" s="79"/>
      <c r="AD410" s="130"/>
      <c r="AF410" s="106"/>
    </row>
    <row r="411">
      <c r="C411" s="79"/>
      <c r="D411" s="79"/>
      <c r="E411" s="79"/>
      <c r="O411" s="79"/>
      <c r="S411" s="79"/>
      <c r="T411" s="79"/>
      <c r="Y411" s="79"/>
      <c r="AD411" s="130"/>
      <c r="AF411" s="106"/>
    </row>
    <row r="412">
      <c r="C412" s="79"/>
      <c r="D412" s="79"/>
      <c r="E412" s="79"/>
      <c r="O412" s="79"/>
      <c r="S412" s="79"/>
      <c r="T412" s="79"/>
      <c r="Y412" s="79"/>
      <c r="AD412" s="130"/>
      <c r="AF412" s="106"/>
    </row>
    <row r="413">
      <c r="C413" s="79"/>
      <c r="D413" s="79"/>
      <c r="E413" s="79"/>
      <c r="O413" s="79"/>
      <c r="S413" s="79"/>
      <c r="T413" s="79"/>
      <c r="Y413" s="79"/>
      <c r="AD413" s="130"/>
      <c r="AF413" s="106"/>
    </row>
    <row r="414">
      <c r="C414" s="79"/>
      <c r="D414" s="79"/>
      <c r="E414" s="79"/>
      <c r="O414" s="79"/>
      <c r="S414" s="79"/>
      <c r="T414" s="79"/>
      <c r="Y414" s="79"/>
      <c r="AD414" s="130"/>
      <c r="AF414" s="106"/>
    </row>
    <row r="415">
      <c r="C415" s="79"/>
      <c r="D415" s="79"/>
      <c r="E415" s="79"/>
      <c r="O415" s="79"/>
      <c r="S415" s="79"/>
      <c r="T415" s="79"/>
      <c r="Y415" s="79"/>
      <c r="AD415" s="130"/>
      <c r="AF415" s="106"/>
    </row>
    <row r="416">
      <c r="C416" s="79"/>
      <c r="D416" s="79"/>
      <c r="E416" s="79"/>
      <c r="O416" s="79"/>
      <c r="S416" s="79"/>
      <c r="T416" s="79"/>
      <c r="Y416" s="79"/>
      <c r="AD416" s="130"/>
      <c r="AF416" s="106"/>
    </row>
    <row r="417">
      <c r="C417" s="79"/>
      <c r="D417" s="79"/>
      <c r="E417" s="79"/>
      <c r="O417" s="79"/>
      <c r="S417" s="79"/>
      <c r="T417" s="79"/>
      <c r="Y417" s="79"/>
      <c r="AD417" s="130"/>
      <c r="AF417" s="106"/>
    </row>
    <row r="418">
      <c r="C418" s="79"/>
      <c r="D418" s="79"/>
      <c r="E418" s="79"/>
      <c r="O418" s="79"/>
      <c r="S418" s="79"/>
      <c r="T418" s="79"/>
      <c r="Y418" s="79"/>
      <c r="AD418" s="130"/>
      <c r="AF418" s="106"/>
    </row>
    <row r="419">
      <c r="C419" s="79"/>
      <c r="D419" s="79"/>
      <c r="E419" s="79"/>
      <c r="O419" s="79"/>
      <c r="S419" s="79"/>
      <c r="T419" s="79"/>
      <c r="Y419" s="79"/>
      <c r="AD419" s="130"/>
      <c r="AF419" s="106"/>
    </row>
    <row r="420">
      <c r="C420" s="79"/>
      <c r="D420" s="79"/>
      <c r="E420" s="79"/>
      <c r="O420" s="79"/>
      <c r="S420" s="79"/>
      <c r="T420" s="79"/>
      <c r="Y420" s="79"/>
      <c r="AD420" s="130"/>
      <c r="AF420" s="106"/>
    </row>
    <row r="421">
      <c r="C421" s="79"/>
      <c r="D421" s="79"/>
      <c r="E421" s="79"/>
      <c r="O421" s="79"/>
      <c r="S421" s="79"/>
      <c r="T421" s="79"/>
      <c r="Y421" s="79"/>
      <c r="AD421" s="130"/>
      <c r="AF421" s="106"/>
    </row>
    <row r="422">
      <c r="C422" s="79"/>
      <c r="D422" s="79"/>
      <c r="E422" s="79"/>
      <c r="O422" s="79"/>
      <c r="S422" s="79"/>
      <c r="T422" s="79"/>
      <c r="Y422" s="79"/>
      <c r="AD422" s="130"/>
      <c r="AF422" s="106"/>
    </row>
    <row r="423">
      <c r="C423" s="79"/>
      <c r="D423" s="79"/>
      <c r="E423" s="79"/>
      <c r="O423" s="79"/>
      <c r="S423" s="79"/>
      <c r="T423" s="79"/>
      <c r="Y423" s="79"/>
      <c r="AD423" s="130"/>
      <c r="AF423" s="106"/>
    </row>
    <row r="424">
      <c r="C424" s="79"/>
      <c r="D424" s="79"/>
      <c r="E424" s="79"/>
      <c r="O424" s="79"/>
      <c r="S424" s="79"/>
      <c r="T424" s="79"/>
      <c r="Y424" s="79"/>
      <c r="AD424" s="130"/>
      <c r="AF424" s="106"/>
    </row>
    <row r="425">
      <c r="C425" s="79"/>
      <c r="D425" s="79"/>
      <c r="E425" s="79"/>
      <c r="O425" s="79"/>
      <c r="S425" s="79"/>
      <c r="T425" s="79"/>
      <c r="Y425" s="79"/>
      <c r="AD425" s="130"/>
      <c r="AF425" s="106"/>
    </row>
    <row r="426">
      <c r="C426" s="79"/>
      <c r="D426" s="79"/>
      <c r="E426" s="79"/>
      <c r="O426" s="79"/>
      <c r="S426" s="79"/>
      <c r="T426" s="79"/>
      <c r="Y426" s="79"/>
      <c r="AD426" s="130"/>
      <c r="AF426" s="106"/>
    </row>
    <row r="427">
      <c r="C427" s="79"/>
      <c r="D427" s="79"/>
      <c r="E427" s="79"/>
      <c r="O427" s="79"/>
      <c r="S427" s="79"/>
      <c r="T427" s="79"/>
      <c r="Y427" s="79"/>
      <c r="AD427" s="130"/>
      <c r="AF427" s="106"/>
    </row>
    <row r="428">
      <c r="C428" s="79"/>
      <c r="D428" s="79"/>
      <c r="E428" s="79"/>
      <c r="O428" s="79"/>
      <c r="S428" s="79"/>
      <c r="T428" s="79"/>
      <c r="Y428" s="79"/>
      <c r="AD428" s="130"/>
      <c r="AF428" s="106"/>
    </row>
    <row r="429">
      <c r="C429" s="79"/>
      <c r="D429" s="79"/>
      <c r="E429" s="79"/>
      <c r="O429" s="79"/>
      <c r="S429" s="79"/>
      <c r="T429" s="79"/>
      <c r="Y429" s="79"/>
      <c r="AD429" s="130"/>
      <c r="AF429" s="106"/>
    </row>
    <row r="430">
      <c r="C430" s="79"/>
      <c r="D430" s="79"/>
      <c r="E430" s="79"/>
      <c r="O430" s="79"/>
      <c r="S430" s="79"/>
      <c r="T430" s="79"/>
      <c r="Y430" s="79"/>
      <c r="AD430" s="130"/>
      <c r="AF430" s="106"/>
    </row>
    <row r="431">
      <c r="C431" s="79"/>
      <c r="D431" s="79"/>
      <c r="E431" s="79"/>
      <c r="O431" s="79"/>
      <c r="S431" s="79"/>
      <c r="T431" s="79"/>
      <c r="Y431" s="79"/>
      <c r="AD431" s="130"/>
      <c r="AF431" s="106"/>
    </row>
    <row r="432">
      <c r="C432" s="79"/>
      <c r="D432" s="79"/>
      <c r="E432" s="79"/>
      <c r="O432" s="79"/>
      <c r="S432" s="79"/>
      <c r="T432" s="79"/>
      <c r="Y432" s="79"/>
      <c r="AD432" s="130"/>
      <c r="AF432" s="106"/>
    </row>
    <row r="433">
      <c r="C433" s="79"/>
      <c r="D433" s="79"/>
      <c r="E433" s="79"/>
      <c r="O433" s="79"/>
      <c r="S433" s="79"/>
      <c r="T433" s="79"/>
      <c r="Y433" s="79"/>
      <c r="AD433" s="130"/>
      <c r="AF433" s="106"/>
    </row>
    <row r="434">
      <c r="C434" s="79"/>
      <c r="D434" s="79"/>
      <c r="E434" s="79"/>
      <c r="O434" s="79"/>
      <c r="S434" s="79"/>
      <c r="T434" s="79"/>
      <c r="Y434" s="79"/>
      <c r="AD434" s="130"/>
      <c r="AF434" s="106"/>
    </row>
    <row r="435">
      <c r="C435" s="79"/>
      <c r="D435" s="79"/>
      <c r="E435" s="79"/>
      <c r="O435" s="79"/>
      <c r="S435" s="79"/>
      <c r="T435" s="79"/>
      <c r="Y435" s="79"/>
      <c r="AD435" s="130"/>
      <c r="AF435" s="106"/>
    </row>
    <row r="436">
      <c r="C436" s="79"/>
      <c r="D436" s="79"/>
      <c r="E436" s="79"/>
      <c r="O436" s="79"/>
      <c r="S436" s="79"/>
      <c r="T436" s="79"/>
      <c r="Y436" s="79"/>
      <c r="AD436" s="130"/>
      <c r="AF436" s="106"/>
    </row>
    <row r="437">
      <c r="C437" s="79"/>
      <c r="D437" s="79"/>
      <c r="E437" s="79"/>
      <c r="O437" s="79"/>
      <c r="S437" s="79"/>
      <c r="T437" s="79"/>
      <c r="Y437" s="79"/>
      <c r="AD437" s="130"/>
      <c r="AF437" s="106"/>
    </row>
    <row r="438">
      <c r="C438" s="79"/>
      <c r="D438" s="79"/>
      <c r="E438" s="79"/>
      <c r="O438" s="79"/>
      <c r="S438" s="79"/>
      <c r="T438" s="79"/>
      <c r="Y438" s="79"/>
      <c r="AD438" s="130"/>
      <c r="AF438" s="106"/>
    </row>
    <row r="439">
      <c r="C439" s="79"/>
      <c r="D439" s="79"/>
      <c r="E439" s="79"/>
      <c r="O439" s="79"/>
      <c r="S439" s="79"/>
      <c r="T439" s="79"/>
      <c r="Y439" s="79"/>
      <c r="AD439" s="130"/>
      <c r="AF439" s="106"/>
    </row>
    <row r="440">
      <c r="C440" s="79"/>
      <c r="D440" s="79"/>
      <c r="E440" s="79"/>
      <c r="O440" s="79"/>
      <c r="S440" s="79"/>
      <c r="T440" s="79"/>
      <c r="Y440" s="79"/>
      <c r="AD440" s="130"/>
      <c r="AF440" s="106"/>
    </row>
    <row r="441">
      <c r="C441" s="79"/>
      <c r="D441" s="79"/>
      <c r="E441" s="79"/>
      <c r="O441" s="79"/>
      <c r="S441" s="79"/>
      <c r="T441" s="79"/>
      <c r="Y441" s="79"/>
      <c r="AD441" s="130"/>
      <c r="AF441" s="106"/>
    </row>
    <row r="442">
      <c r="C442" s="79"/>
      <c r="D442" s="79"/>
      <c r="E442" s="79"/>
      <c r="O442" s="79"/>
      <c r="S442" s="79"/>
      <c r="T442" s="79"/>
      <c r="Y442" s="79"/>
      <c r="AD442" s="130"/>
      <c r="AF442" s="106"/>
    </row>
    <row r="443">
      <c r="C443" s="79"/>
      <c r="D443" s="79"/>
      <c r="E443" s="79"/>
      <c r="O443" s="79"/>
      <c r="S443" s="79"/>
      <c r="T443" s="79"/>
      <c r="Y443" s="79"/>
      <c r="AD443" s="130"/>
      <c r="AF443" s="106"/>
    </row>
    <row r="444">
      <c r="C444" s="79"/>
      <c r="D444" s="79"/>
      <c r="E444" s="79"/>
      <c r="O444" s="79"/>
      <c r="S444" s="79"/>
      <c r="T444" s="79"/>
      <c r="Y444" s="79"/>
      <c r="AD444" s="130"/>
      <c r="AF444" s="106"/>
    </row>
    <row r="445">
      <c r="C445" s="79"/>
      <c r="D445" s="79"/>
      <c r="E445" s="79"/>
      <c r="O445" s="79"/>
      <c r="S445" s="79"/>
      <c r="T445" s="79"/>
      <c r="Y445" s="79"/>
      <c r="AD445" s="130"/>
      <c r="AF445" s="106"/>
    </row>
    <row r="446">
      <c r="C446" s="79"/>
      <c r="D446" s="79"/>
      <c r="E446" s="79"/>
      <c r="O446" s="79"/>
      <c r="S446" s="79"/>
      <c r="T446" s="79"/>
      <c r="Y446" s="79"/>
      <c r="AD446" s="130"/>
      <c r="AF446" s="106"/>
    </row>
    <row r="447">
      <c r="C447" s="79"/>
      <c r="D447" s="79"/>
      <c r="E447" s="79"/>
      <c r="O447" s="79"/>
      <c r="S447" s="79"/>
      <c r="T447" s="79"/>
      <c r="Y447" s="79"/>
      <c r="AD447" s="130"/>
      <c r="AF447" s="106"/>
    </row>
    <row r="448">
      <c r="C448" s="79"/>
      <c r="D448" s="79"/>
      <c r="E448" s="79"/>
      <c r="O448" s="79"/>
      <c r="S448" s="79"/>
      <c r="T448" s="79"/>
      <c r="Y448" s="79"/>
      <c r="AD448" s="130"/>
      <c r="AF448" s="106"/>
    </row>
    <row r="449">
      <c r="C449" s="79"/>
      <c r="D449" s="79"/>
      <c r="E449" s="79"/>
      <c r="O449" s="79"/>
      <c r="S449" s="79"/>
      <c r="T449" s="79"/>
      <c r="Y449" s="79"/>
      <c r="AD449" s="130"/>
      <c r="AF449" s="106"/>
    </row>
    <row r="450">
      <c r="C450" s="79"/>
      <c r="D450" s="79"/>
      <c r="E450" s="79"/>
      <c r="O450" s="79"/>
      <c r="S450" s="79"/>
      <c r="T450" s="79"/>
      <c r="Y450" s="79"/>
      <c r="AD450" s="130"/>
      <c r="AF450" s="106"/>
    </row>
    <row r="451">
      <c r="C451" s="79"/>
      <c r="D451" s="79"/>
      <c r="E451" s="79"/>
      <c r="O451" s="79"/>
      <c r="S451" s="79"/>
      <c r="T451" s="79"/>
      <c r="Y451" s="79"/>
      <c r="AD451" s="130"/>
      <c r="AF451" s="106"/>
    </row>
    <row r="452">
      <c r="C452" s="79"/>
      <c r="D452" s="79"/>
      <c r="E452" s="79"/>
      <c r="O452" s="79"/>
      <c r="S452" s="79"/>
      <c r="T452" s="79"/>
      <c r="Y452" s="79"/>
      <c r="AD452" s="130"/>
      <c r="AF452" s="106"/>
    </row>
    <row r="453">
      <c r="C453" s="79"/>
      <c r="D453" s="79"/>
      <c r="E453" s="79"/>
      <c r="O453" s="79"/>
      <c r="S453" s="79"/>
      <c r="T453" s="79"/>
      <c r="Y453" s="79"/>
      <c r="AD453" s="130"/>
      <c r="AF453" s="106"/>
    </row>
    <row r="454">
      <c r="C454" s="79"/>
      <c r="D454" s="79"/>
      <c r="E454" s="79"/>
      <c r="O454" s="79"/>
      <c r="S454" s="79"/>
      <c r="T454" s="79"/>
      <c r="Y454" s="79"/>
      <c r="AD454" s="130"/>
      <c r="AF454" s="106"/>
    </row>
    <row r="455">
      <c r="C455" s="79"/>
      <c r="D455" s="79"/>
      <c r="E455" s="79"/>
      <c r="O455" s="79"/>
      <c r="S455" s="79"/>
      <c r="T455" s="79"/>
      <c r="Y455" s="79"/>
      <c r="AD455" s="130"/>
      <c r="AF455" s="106"/>
    </row>
    <row r="456">
      <c r="C456" s="79"/>
      <c r="D456" s="79"/>
      <c r="E456" s="79"/>
      <c r="O456" s="79"/>
      <c r="S456" s="79"/>
      <c r="T456" s="79"/>
      <c r="Y456" s="79"/>
      <c r="AD456" s="130"/>
      <c r="AF456" s="106"/>
    </row>
    <row r="457">
      <c r="C457" s="79"/>
      <c r="D457" s="79"/>
      <c r="E457" s="79"/>
      <c r="O457" s="79"/>
      <c r="S457" s="79"/>
      <c r="T457" s="79"/>
      <c r="Y457" s="79"/>
      <c r="AD457" s="130"/>
      <c r="AF457" s="106"/>
    </row>
    <row r="458">
      <c r="C458" s="79"/>
      <c r="D458" s="79"/>
      <c r="E458" s="79"/>
      <c r="O458" s="79"/>
      <c r="S458" s="79"/>
      <c r="T458" s="79"/>
      <c r="Y458" s="79"/>
      <c r="AD458" s="130"/>
      <c r="AF458" s="106"/>
    </row>
    <row r="459">
      <c r="C459" s="79"/>
      <c r="D459" s="79"/>
      <c r="E459" s="79"/>
      <c r="O459" s="79"/>
      <c r="S459" s="79"/>
      <c r="T459" s="79"/>
      <c r="Y459" s="79"/>
      <c r="AD459" s="130"/>
      <c r="AF459" s="106"/>
    </row>
    <row r="460">
      <c r="C460" s="79"/>
      <c r="D460" s="79"/>
      <c r="E460" s="79"/>
      <c r="O460" s="79"/>
      <c r="S460" s="79"/>
      <c r="T460" s="79"/>
      <c r="Y460" s="79"/>
      <c r="AD460" s="130"/>
      <c r="AF460" s="106"/>
    </row>
    <row r="461">
      <c r="C461" s="79"/>
      <c r="D461" s="79"/>
      <c r="E461" s="79"/>
      <c r="O461" s="79"/>
      <c r="S461" s="79"/>
      <c r="T461" s="79"/>
      <c r="Y461" s="79"/>
      <c r="AD461" s="130"/>
      <c r="AF461" s="106"/>
    </row>
    <row r="462">
      <c r="C462" s="79"/>
      <c r="D462" s="79"/>
      <c r="E462" s="79"/>
      <c r="O462" s="79"/>
      <c r="S462" s="79"/>
      <c r="T462" s="79"/>
      <c r="Y462" s="79"/>
      <c r="AD462" s="130"/>
      <c r="AF462" s="106"/>
    </row>
    <row r="463">
      <c r="C463" s="79"/>
      <c r="D463" s="79"/>
      <c r="E463" s="79"/>
      <c r="O463" s="79"/>
      <c r="S463" s="79"/>
      <c r="T463" s="79"/>
      <c r="Y463" s="79"/>
      <c r="AD463" s="130"/>
      <c r="AF463" s="106"/>
    </row>
    <row r="464">
      <c r="C464" s="79"/>
      <c r="D464" s="79"/>
      <c r="E464" s="79"/>
      <c r="O464" s="79"/>
      <c r="S464" s="79"/>
      <c r="T464" s="79"/>
      <c r="Y464" s="79"/>
      <c r="AD464" s="130"/>
      <c r="AF464" s="106"/>
    </row>
    <row r="465">
      <c r="C465" s="79"/>
      <c r="D465" s="79"/>
      <c r="E465" s="79"/>
      <c r="O465" s="79"/>
      <c r="S465" s="79"/>
      <c r="T465" s="79"/>
      <c r="Y465" s="79"/>
      <c r="AD465" s="130"/>
      <c r="AF465" s="106"/>
    </row>
    <row r="466">
      <c r="C466" s="79"/>
      <c r="D466" s="79"/>
      <c r="E466" s="79"/>
      <c r="O466" s="79"/>
      <c r="S466" s="79"/>
      <c r="T466" s="79"/>
      <c r="Y466" s="79"/>
      <c r="AD466" s="130"/>
      <c r="AF466" s="106"/>
    </row>
    <row r="467">
      <c r="C467" s="79"/>
      <c r="D467" s="79"/>
      <c r="E467" s="79"/>
      <c r="O467" s="79"/>
      <c r="S467" s="79"/>
      <c r="T467" s="79"/>
      <c r="Y467" s="79"/>
      <c r="AD467" s="130"/>
      <c r="AF467" s="106"/>
    </row>
    <row r="468">
      <c r="C468" s="79"/>
      <c r="D468" s="79"/>
      <c r="E468" s="79"/>
      <c r="O468" s="79"/>
      <c r="S468" s="79"/>
      <c r="T468" s="79"/>
      <c r="Y468" s="79"/>
      <c r="AD468" s="130"/>
      <c r="AF468" s="106"/>
    </row>
    <row r="469">
      <c r="C469" s="79"/>
      <c r="D469" s="79"/>
      <c r="E469" s="79"/>
      <c r="O469" s="79"/>
      <c r="S469" s="79"/>
      <c r="T469" s="79"/>
      <c r="Y469" s="79"/>
      <c r="AD469" s="130"/>
      <c r="AF469" s="106"/>
    </row>
    <row r="470">
      <c r="C470" s="79"/>
      <c r="D470" s="79"/>
      <c r="E470" s="79"/>
      <c r="O470" s="79"/>
      <c r="S470" s="79"/>
      <c r="T470" s="79"/>
      <c r="Y470" s="79"/>
      <c r="AD470" s="130"/>
      <c r="AF470" s="106"/>
    </row>
    <row r="471">
      <c r="C471" s="79"/>
      <c r="D471" s="79"/>
      <c r="E471" s="79"/>
      <c r="O471" s="79"/>
      <c r="S471" s="79"/>
      <c r="T471" s="79"/>
      <c r="Y471" s="79"/>
      <c r="AD471" s="130"/>
      <c r="AF471" s="106"/>
    </row>
    <row r="472">
      <c r="C472" s="79"/>
      <c r="D472" s="79"/>
      <c r="E472" s="79"/>
      <c r="O472" s="79"/>
      <c r="S472" s="79"/>
      <c r="T472" s="79"/>
      <c r="Y472" s="79"/>
      <c r="AD472" s="130"/>
      <c r="AF472" s="106"/>
    </row>
    <row r="473">
      <c r="C473" s="79"/>
      <c r="D473" s="79"/>
      <c r="E473" s="79"/>
      <c r="O473" s="79"/>
      <c r="S473" s="79"/>
      <c r="T473" s="79"/>
      <c r="Y473" s="79"/>
      <c r="AD473" s="130"/>
      <c r="AF473" s="106"/>
    </row>
    <row r="474">
      <c r="C474" s="79"/>
      <c r="D474" s="79"/>
      <c r="E474" s="79"/>
      <c r="O474" s="79"/>
      <c r="S474" s="79"/>
      <c r="T474" s="79"/>
      <c r="Y474" s="79"/>
      <c r="AD474" s="130"/>
      <c r="AF474" s="106"/>
    </row>
    <row r="475">
      <c r="C475" s="79"/>
      <c r="D475" s="79"/>
      <c r="E475" s="79"/>
      <c r="O475" s="79"/>
      <c r="S475" s="79"/>
      <c r="T475" s="79"/>
      <c r="Y475" s="79"/>
      <c r="AD475" s="130"/>
      <c r="AF475" s="106"/>
    </row>
    <row r="476">
      <c r="C476" s="79"/>
      <c r="D476" s="79"/>
      <c r="E476" s="79"/>
      <c r="O476" s="79"/>
      <c r="S476" s="79"/>
      <c r="T476" s="79"/>
      <c r="Y476" s="79"/>
      <c r="AD476" s="130"/>
      <c r="AF476" s="106"/>
    </row>
    <row r="477">
      <c r="C477" s="79"/>
      <c r="D477" s="79"/>
      <c r="E477" s="79"/>
      <c r="O477" s="79"/>
      <c r="S477" s="79"/>
      <c r="T477" s="79"/>
      <c r="Y477" s="79"/>
      <c r="AD477" s="130"/>
      <c r="AF477" s="106"/>
    </row>
    <row r="478">
      <c r="C478" s="79"/>
      <c r="D478" s="79"/>
      <c r="E478" s="79"/>
      <c r="O478" s="79"/>
      <c r="S478" s="79"/>
      <c r="T478" s="79"/>
      <c r="Y478" s="79"/>
      <c r="AD478" s="130"/>
      <c r="AF478" s="106"/>
    </row>
    <row r="479">
      <c r="C479" s="79"/>
      <c r="D479" s="79"/>
      <c r="E479" s="79"/>
      <c r="O479" s="79"/>
      <c r="S479" s="79"/>
      <c r="T479" s="79"/>
      <c r="Y479" s="79"/>
      <c r="AD479" s="130"/>
      <c r="AF479" s="106"/>
    </row>
    <row r="480">
      <c r="C480" s="79"/>
      <c r="D480" s="79"/>
      <c r="E480" s="79"/>
      <c r="O480" s="79"/>
      <c r="S480" s="79"/>
      <c r="T480" s="79"/>
      <c r="Y480" s="79"/>
      <c r="AD480" s="130"/>
      <c r="AF480" s="106"/>
    </row>
    <row r="481">
      <c r="C481" s="79"/>
      <c r="D481" s="79"/>
      <c r="E481" s="79"/>
      <c r="O481" s="79"/>
      <c r="S481" s="79"/>
      <c r="T481" s="79"/>
      <c r="Y481" s="79"/>
      <c r="AD481" s="130"/>
      <c r="AF481" s="106"/>
    </row>
    <row r="482">
      <c r="C482" s="79"/>
      <c r="D482" s="79"/>
      <c r="E482" s="79"/>
      <c r="O482" s="79"/>
      <c r="S482" s="79"/>
      <c r="T482" s="79"/>
      <c r="Y482" s="79"/>
      <c r="AD482" s="130"/>
      <c r="AF482" s="106"/>
    </row>
    <row r="483">
      <c r="C483" s="79"/>
      <c r="D483" s="79"/>
      <c r="E483" s="79"/>
      <c r="O483" s="79"/>
      <c r="S483" s="79"/>
      <c r="T483" s="79"/>
      <c r="Y483" s="79"/>
      <c r="AD483" s="130"/>
      <c r="AF483" s="106"/>
    </row>
    <row r="484">
      <c r="C484" s="79"/>
      <c r="D484" s="79"/>
      <c r="E484" s="79"/>
      <c r="O484" s="79"/>
      <c r="S484" s="79"/>
      <c r="T484" s="79"/>
      <c r="Y484" s="79"/>
      <c r="AD484" s="130"/>
      <c r="AF484" s="106"/>
    </row>
    <row r="485">
      <c r="C485" s="79"/>
      <c r="D485" s="79"/>
      <c r="E485" s="79"/>
      <c r="O485" s="79"/>
      <c r="S485" s="79"/>
      <c r="T485" s="79"/>
      <c r="Y485" s="79"/>
      <c r="AD485" s="130"/>
      <c r="AF485" s="106"/>
    </row>
    <row r="486">
      <c r="C486" s="79"/>
      <c r="D486" s="79"/>
      <c r="E486" s="79"/>
      <c r="O486" s="79"/>
      <c r="S486" s="79"/>
      <c r="T486" s="79"/>
      <c r="Y486" s="79"/>
      <c r="AD486" s="130"/>
      <c r="AF486" s="106"/>
    </row>
    <row r="487">
      <c r="C487" s="79"/>
      <c r="D487" s="79"/>
      <c r="E487" s="79"/>
      <c r="O487" s="79"/>
      <c r="S487" s="79"/>
      <c r="T487" s="79"/>
      <c r="Y487" s="79"/>
      <c r="AD487" s="130"/>
      <c r="AF487" s="106"/>
    </row>
    <row r="488">
      <c r="C488" s="79"/>
      <c r="D488" s="79"/>
      <c r="E488" s="79"/>
      <c r="O488" s="79"/>
      <c r="S488" s="79"/>
      <c r="T488" s="79"/>
      <c r="Y488" s="79"/>
      <c r="AD488" s="130"/>
      <c r="AF488" s="106"/>
    </row>
    <row r="489">
      <c r="C489" s="79"/>
      <c r="D489" s="79"/>
      <c r="E489" s="79"/>
      <c r="O489" s="79"/>
      <c r="S489" s="79"/>
      <c r="T489" s="79"/>
      <c r="Y489" s="79"/>
      <c r="AD489" s="130"/>
      <c r="AF489" s="106"/>
    </row>
    <row r="490">
      <c r="C490" s="79"/>
      <c r="D490" s="79"/>
      <c r="E490" s="79"/>
      <c r="O490" s="79"/>
      <c r="S490" s="79"/>
      <c r="T490" s="79"/>
      <c r="Y490" s="79"/>
      <c r="AD490" s="130"/>
      <c r="AF490" s="106"/>
    </row>
    <row r="491">
      <c r="C491" s="79"/>
      <c r="D491" s="79"/>
      <c r="E491" s="79"/>
      <c r="O491" s="79"/>
      <c r="S491" s="79"/>
      <c r="T491" s="79"/>
      <c r="Y491" s="79"/>
      <c r="AD491" s="130"/>
      <c r="AF491" s="106"/>
    </row>
    <row r="492">
      <c r="C492" s="79"/>
      <c r="D492" s="79"/>
      <c r="E492" s="79"/>
      <c r="O492" s="79"/>
      <c r="S492" s="79"/>
      <c r="T492" s="79"/>
      <c r="Y492" s="79"/>
      <c r="AD492" s="130"/>
      <c r="AF492" s="106"/>
    </row>
    <row r="493">
      <c r="C493" s="79"/>
      <c r="D493" s="79"/>
      <c r="E493" s="79"/>
      <c r="O493" s="79"/>
      <c r="S493" s="79"/>
      <c r="T493" s="79"/>
      <c r="Y493" s="79"/>
      <c r="AD493" s="130"/>
      <c r="AF493" s="106"/>
    </row>
    <row r="494">
      <c r="C494" s="79"/>
      <c r="D494" s="79"/>
      <c r="E494" s="79"/>
      <c r="O494" s="79"/>
      <c r="S494" s="79"/>
      <c r="T494" s="79"/>
      <c r="Y494" s="79"/>
      <c r="AD494" s="130"/>
      <c r="AF494" s="106"/>
    </row>
    <row r="495">
      <c r="C495" s="79"/>
      <c r="D495" s="79"/>
      <c r="E495" s="79"/>
      <c r="O495" s="79"/>
      <c r="S495" s="79"/>
      <c r="T495" s="79"/>
      <c r="Y495" s="79"/>
      <c r="AD495" s="130"/>
      <c r="AF495" s="106"/>
    </row>
    <row r="496">
      <c r="C496" s="79"/>
      <c r="D496" s="79"/>
      <c r="E496" s="79"/>
      <c r="O496" s="79"/>
      <c r="S496" s="79"/>
      <c r="T496" s="79"/>
      <c r="Y496" s="79"/>
      <c r="AD496" s="130"/>
      <c r="AF496" s="106"/>
    </row>
    <row r="497">
      <c r="C497" s="79"/>
      <c r="D497" s="79"/>
      <c r="E497" s="79"/>
      <c r="O497" s="79"/>
      <c r="S497" s="79"/>
      <c r="T497" s="79"/>
      <c r="Y497" s="79"/>
      <c r="AD497" s="130"/>
      <c r="AF497" s="106"/>
    </row>
    <row r="498">
      <c r="C498" s="79"/>
      <c r="D498" s="79"/>
      <c r="E498" s="79"/>
      <c r="O498" s="79"/>
      <c r="S498" s="79"/>
      <c r="T498" s="79"/>
      <c r="Y498" s="79"/>
      <c r="AD498" s="130"/>
      <c r="AF498" s="106"/>
    </row>
    <row r="499">
      <c r="C499" s="79"/>
      <c r="D499" s="79"/>
      <c r="E499" s="79"/>
      <c r="O499" s="79"/>
      <c r="S499" s="79"/>
      <c r="T499" s="79"/>
      <c r="Y499" s="79"/>
      <c r="AD499" s="130"/>
      <c r="AF499" s="106"/>
    </row>
    <row r="500">
      <c r="C500" s="79"/>
      <c r="D500" s="79"/>
      <c r="E500" s="79"/>
      <c r="O500" s="79"/>
      <c r="S500" s="79"/>
      <c r="T500" s="79"/>
      <c r="Y500" s="79"/>
      <c r="AD500" s="130"/>
      <c r="AF500" s="106"/>
    </row>
    <row r="501">
      <c r="C501" s="79"/>
      <c r="D501" s="79"/>
      <c r="E501" s="79"/>
      <c r="O501" s="79"/>
      <c r="S501" s="79"/>
      <c r="T501" s="79"/>
      <c r="Y501" s="79"/>
      <c r="AD501" s="130"/>
      <c r="AF501" s="106"/>
    </row>
    <row r="502">
      <c r="C502" s="79"/>
      <c r="D502" s="79"/>
      <c r="E502" s="79"/>
      <c r="O502" s="79"/>
      <c r="S502" s="79"/>
      <c r="T502" s="79"/>
      <c r="Y502" s="79"/>
      <c r="AD502" s="130"/>
      <c r="AF502" s="106"/>
    </row>
    <row r="503">
      <c r="C503" s="79"/>
      <c r="D503" s="79"/>
      <c r="E503" s="79"/>
      <c r="O503" s="79"/>
      <c r="S503" s="79"/>
      <c r="T503" s="79"/>
      <c r="Y503" s="79"/>
      <c r="AD503" s="130"/>
      <c r="AF503" s="106"/>
    </row>
    <row r="504">
      <c r="C504" s="79"/>
      <c r="D504" s="79"/>
      <c r="E504" s="79"/>
      <c r="O504" s="79"/>
      <c r="S504" s="79"/>
      <c r="T504" s="79"/>
      <c r="Y504" s="79"/>
      <c r="AD504" s="130"/>
      <c r="AF504" s="106"/>
    </row>
    <row r="505">
      <c r="C505" s="79"/>
      <c r="D505" s="79"/>
      <c r="E505" s="79"/>
      <c r="O505" s="79"/>
      <c r="S505" s="79"/>
      <c r="T505" s="79"/>
      <c r="Y505" s="79"/>
      <c r="AD505" s="130"/>
      <c r="AF505" s="106"/>
    </row>
    <row r="506">
      <c r="C506" s="79"/>
      <c r="D506" s="79"/>
      <c r="E506" s="79"/>
      <c r="O506" s="79"/>
      <c r="S506" s="79"/>
      <c r="T506" s="79"/>
      <c r="Y506" s="79"/>
      <c r="AD506" s="130"/>
      <c r="AF506" s="106"/>
    </row>
    <row r="507">
      <c r="C507" s="79"/>
      <c r="D507" s="79"/>
      <c r="E507" s="79"/>
      <c r="O507" s="79"/>
      <c r="S507" s="79"/>
      <c r="T507" s="79"/>
      <c r="Y507" s="79"/>
      <c r="AD507" s="130"/>
      <c r="AF507" s="106"/>
    </row>
    <row r="508">
      <c r="C508" s="79"/>
      <c r="D508" s="79"/>
      <c r="E508" s="79"/>
      <c r="O508" s="79"/>
      <c r="S508" s="79"/>
      <c r="T508" s="79"/>
      <c r="Y508" s="79"/>
      <c r="AD508" s="130"/>
      <c r="AF508" s="106"/>
    </row>
    <row r="509">
      <c r="C509" s="79"/>
      <c r="D509" s="79"/>
      <c r="E509" s="79"/>
      <c r="O509" s="79"/>
      <c r="S509" s="79"/>
      <c r="T509" s="79"/>
      <c r="Y509" s="79"/>
      <c r="AD509" s="130"/>
      <c r="AF509" s="106"/>
    </row>
    <row r="510">
      <c r="C510" s="79"/>
      <c r="D510" s="79"/>
      <c r="E510" s="79"/>
      <c r="O510" s="79"/>
      <c r="S510" s="79"/>
      <c r="T510" s="79"/>
      <c r="Y510" s="79"/>
      <c r="AD510" s="130"/>
      <c r="AF510" s="106"/>
    </row>
    <row r="511">
      <c r="C511" s="79"/>
      <c r="D511" s="79"/>
      <c r="E511" s="79"/>
      <c r="O511" s="79"/>
      <c r="S511" s="79"/>
      <c r="T511" s="79"/>
      <c r="Y511" s="79"/>
      <c r="AD511" s="130"/>
      <c r="AF511" s="106"/>
    </row>
    <row r="512">
      <c r="C512" s="79"/>
      <c r="D512" s="79"/>
      <c r="E512" s="79"/>
      <c r="O512" s="79"/>
      <c r="S512" s="79"/>
      <c r="T512" s="79"/>
      <c r="Y512" s="79"/>
      <c r="AD512" s="130"/>
      <c r="AF512" s="106"/>
    </row>
    <row r="513">
      <c r="C513" s="79"/>
      <c r="D513" s="79"/>
      <c r="E513" s="79"/>
      <c r="O513" s="79"/>
      <c r="S513" s="79"/>
      <c r="T513" s="79"/>
      <c r="Y513" s="79"/>
      <c r="AD513" s="130"/>
      <c r="AF513" s="106"/>
    </row>
    <row r="514">
      <c r="C514" s="79"/>
      <c r="D514" s="79"/>
      <c r="E514" s="79"/>
      <c r="O514" s="79"/>
      <c r="S514" s="79"/>
      <c r="T514" s="79"/>
      <c r="Y514" s="79"/>
      <c r="AD514" s="130"/>
      <c r="AF514" s="106"/>
    </row>
    <row r="515">
      <c r="C515" s="79"/>
      <c r="D515" s="79"/>
      <c r="E515" s="79"/>
      <c r="O515" s="79"/>
      <c r="S515" s="79"/>
      <c r="T515" s="79"/>
      <c r="Y515" s="79"/>
      <c r="AD515" s="130"/>
      <c r="AF515" s="106"/>
    </row>
    <row r="516">
      <c r="C516" s="79"/>
      <c r="D516" s="79"/>
      <c r="E516" s="79"/>
      <c r="O516" s="79"/>
      <c r="S516" s="79"/>
      <c r="T516" s="79"/>
      <c r="Y516" s="79"/>
      <c r="AD516" s="130"/>
      <c r="AF516" s="106"/>
    </row>
    <row r="517">
      <c r="C517" s="79"/>
      <c r="D517" s="79"/>
      <c r="E517" s="79"/>
      <c r="O517" s="79"/>
      <c r="S517" s="79"/>
      <c r="T517" s="79"/>
      <c r="Y517" s="79"/>
      <c r="AD517" s="130"/>
      <c r="AF517" s="106"/>
    </row>
    <row r="518">
      <c r="C518" s="79"/>
      <c r="D518" s="79"/>
      <c r="E518" s="79"/>
      <c r="O518" s="79"/>
      <c r="S518" s="79"/>
      <c r="T518" s="79"/>
      <c r="Y518" s="79"/>
      <c r="AD518" s="130"/>
      <c r="AF518" s="106"/>
    </row>
    <row r="519">
      <c r="C519" s="79"/>
      <c r="D519" s="79"/>
      <c r="E519" s="79"/>
      <c r="O519" s="79"/>
      <c r="S519" s="79"/>
      <c r="T519" s="79"/>
      <c r="Y519" s="79"/>
      <c r="AD519" s="130"/>
      <c r="AF519" s="106"/>
    </row>
    <row r="520">
      <c r="C520" s="79"/>
      <c r="D520" s="79"/>
      <c r="E520" s="79"/>
      <c r="O520" s="79"/>
      <c r="S520" s="79"/>
      <c r="T520" s="79"/>
      <c r="Y520" s="79"/>
      <c r="AD520" s="130"/>
      <c r="AF520" s="106"/>
    </row>
    <row r="521">
      <c r="C521" s="79"/>
      <c r="D521" s="79"/>
      <c r="E521" s="79"/>
      <c r="O521" s="79"/>
      <c r="S521" s="79"/>
      <c r="T521" s="79"/>
      <c r="Y521" s="79"/>
      <c r="AD521" s="130"/>
      <c r="AF521" s="106"/>
    </row>
    <row r="522">
      <c r="C522" s="79"/>
      <c r="D522" s="79"/>
      <c r="E522" s="79"/>
      <c r="O522" s="79"/>
      <c r="S522" s="79"/>
      <c r="T522" s="79"/>
      <c r="Y522" s="79"/>
      <c r="AD522" s="130"/>
      <c r="AF522" s="106"/>
    </row>
    <row r="523">
      <c r="C523" s="79"/>
      <c r="D523" s="79"/>
      <c r="E523" s="79"/>
      <c r="O523" s="79"/>
      <c r="S523" s="79"/>
      <c r="T523" s="79"/>
      <c r="Y523" s="79"/>
      <c r="AD523" s="130"/>
      <c r="AF523" s="106"/>
    </row>
    <row r="524">
      <c r="C524" s="79"/>
      <c r="D524" s="79"/>
      <c r="E524" s="79"/>
      <c r="O524" s="79"/>
      <c r="S524" s="79"/>
      <c r="T524" s="79"/>
      <c r="Y524" s="79"/>
      <c r="AD524" s="130"/>
      <c r="AF524" s="106"/>
    </row>
    <row r="525">
      <c r="C525" s="79"/>
      <c r="D525" s="79"/>
      <c r="E525" s="79"/>
      <c r="O525" s="79"/>
      <c r="S525" s="79"/>
      <c r="T525" s="79"/>
      <c r="Y525" s="79"/>
      <c r="AD525" s="130"/>
      <c r="AF525" s="106"/>
    </row>
    <row r="526">
      <c r="C526" s="79"/>
      <c r="D526" s="79"/>
      <c r="E526" s="79"/>
      <c r="O526" s="79"/>
      <c r="S526" s="79"/>
      <c r="T526" s="79"/>
      <c r="Y526" s="79"/>
      <c r="AD526" s="130"/>
      <c r="AF526" s="106"/>
    </row>
    <row r="527">
      <c r="C527" s="79"/>
      <c r="D527" s="79"/>
      <c r="E527" s="79"/>
      <c r="O527" s="79"/>
      <c r="S527" s="79"/>
      <c r="T527" s="79"/>
      <c r="Y527" s="79"/>
      <c r="AD527" s="130"/>
      <c r="AF527" s="106"/>
    </row>
    <row r="528">
      <c r="C528" s="79"/>
      <c r="D528" s="79"/>
      <c r="E528" s="79"/>
      <c r="O528" s="79"/>
      <c r="S528" s="79"/>
      <c r="T528" s="79"/>
      <c r="Y528" s="79"/>
      <c r="AD528" s="130"/>
      <c r="AF528" s="106"/>
    </row>
    <row r="529">
      <c r="C529" s="79"/>
      <c r="D529" s="79"/>
      <c r="E529" s="79"/>
      <c r="O529" s="79"/>
      <c r="S529" s="79"/>
      <c r="T529" s="79"/>
      <c r="Y529" s="79"/>
      <c r="AD529" s="130"/>
      <c r="AF529" s="106"/>
    </row>
    <row r="530">
      <c r="C530" s="79"/>
      <c r="D530" s="79"/>
      <c r="E530" s="79"/>
      <c r="O530" s="79"/>
      <c r="S530" s="79"/>
      <c r="T530" s="79"/>
      <c r="Y530" s="79"/>
      <c r="AD530" s="130"/>
      <c r="AF530" s="106"/>
    </row>
    <row r="531">
      <c r="C531" s="79"/>
      <c r="D531" s="79"/>
      <c r="E531" s="79"/>
      <c r="O531" s="79"/>
      <c r="S531" s="79"/>
      <c r="T531" s="79"/>
      <c r="Y531" s="79"/>
      <c r="AD531" s="130"/>
      <c r="AF531" s="106"/>
    </row>
    <row r="532">
      <c r="C532" s="79"/>
      <c r="D532" s="79"/>
      <c r="E532" s="79"/>
      <c r="O532" s="79"/>
      <c r="S532" s="79"/>
      <c r="T532" s="79"/>
      <c r="Y532" s="79"/>
      <c r="AD532" s="130"/>
      <c r="AF532" s="106"/>
    </row>
    <row r="533">
      <c r="C533" s="79"/>
      <c r="D533" s="79"/>
      <c r="E533" s="79"/>
      <c r="O533" s="79"/>
      <c r="S533" s="79"/>
      <c r="T533" s="79"/>
      <c r="Y533" s="79"/>
      <c r="AD533" s="130"/>
      <c r="AF533" s="106"/>
    </row>
    <row r="534">
      <c r="C534" s="79"/>
      <c r="D534" s="79"/>
      <c r="E534" s="79"/>
      <c r="O534" s="79"/>
      <c r="S534" s="79"/>
      <c r="T534" s="79"/>
      <c r="Y534" s="79"/>
      <c r="AD534" s="130"/>
      <c r="AF534" s="106"/>
    </row>
    <row r="535">
      <c r="C535" s="79"/>
      <c r="D535" s="79"/>
      <c r="E535" s="79"/>
      <c r="O535" s="79"/>
      <c r="S535" s="79"/>
      <c r="T535" s="79"/>
      <c r="Y535" s="79"/>
      <c r="AD535" s="130"/>
      <c r="AF535" s="106"/>
    </row>
    <row r="536">
      <c r="C536" s="79"/>
      <c r="D536" s="79"/>
      <c r="E536" s="79"/>
      <c r="O536" s="79"/>
      <c r="S536" s="79"/>
      <c r="T536" s="79"/>
      <c r="Y536" s="79"/>
      <c r="AD536" s="130"/>
      <c r="AF536" s="106"/>
    </row>
    <row r="537">
      <c r="C537" s="79"/>
      <c r="D537" s="79"/>
      <c r="E537" s="79"/>
      <c r="O537" s="79"/>
      <c r="S537" s="79"/>
      <c r="T537" s="79"/>
      <c r="Y537" s="79"/>
      <c r="AD537" s="130"/>
      <c r="AF537" s="106"/>
    </row>
    <row r="538">
      <c r="C538" s="79"/>
      <c r="D538" s="79"/>
      <c r="E538" s="79"/>
      <c r="O538" s="79"/>
      <c r="S538" s="79"/>
      <c r="T538" s="79"/>
      <c r="Y538" s="79"/>
      <c r="AD538" s="130"/>
      <c r="AF538" s="106"/>
    </row>
    <row r="539">
      <c r="C539" s="79"/>
      <c r="D539" s="79"/>
      <c r="E539" s="79"/>
      <c r="O539" s="79"/>
      <c r="S539" s="79"/>
      <c r="T539" s="79"/>
      <c r="Y539" s="79"/>
      <c r="AD539" s="130"/>
      <c r="AF539" s="106"/>
    </row>
    <row r="540">
      <c r="C540" s="79"/>
      <c r="D540" s="79"/>
      <c r="E540" s="79"/>
      <c r="O540" s="79"/>
      <c r="S540" s="79"/>
      <c r="T540" s="79"/>
      <c r="Y540" s="79"/>
      <c r="AD540" s="130"/>
      <c r="AF540" s="106"/>
    </row>
    <row r="541">
      <c r="C541" s="79"/>
      <c r="D541" s="79"/>
      <c r="E541" s="79"/>
      <c r="O541" s="79"/>
      <c r="S541" s="79"/>
      <c r="T541" s="79"/>
      <c r="Y541" s="79"/>
      <c r="AD541" s="130"/>
      <c r="AF541" s="106"/>
    </row>
    <row r="542">
      <c r="C542" s="79"/>
      <c r="D542" s="79"/>
      <c r="E542" s="79"/>
      <c r="O542" s="79"/>
      <c r="S542" s="79"/>
      <c r="T542" s="79"/>
      <c r="Y542" s="79"/>
      <c r="AD542" s="130"/>
      <c r="AF542" s="106"/>
    </row>
    <row r="543">
      <c r="C543" s="79"/>
      <c r="D543" s="79"/>
      <c r="E543" s="79"/>
      <c r="O543" s="79"/>
      <c r="S543" s="79"/>
      <c r="T543" s="79"/>
      <c r="Y543" s="79"/>
      <c r="AD543" s="130"/>
      <c r="AF543" s="106"/>
    </row>
    <row r="544">
      <c r="C544" s="79"/>
      <c r="D544" s="79"/>
      <c r="E544" s="79"/>
      <c r="O544" s="79"/>
      <c r="S544" s="79"/>
      <c r="T544" s="79"/>
      <c r="Y544" s="79"/>
      <c r="AD544" s="130"/>
      <c r="AF544" s="106"/>
    </row>
    <row r="545">
      <c r="C545" s="79"/>
      <c r="D545" s="79"/>
      <c r="E545" s="79"/>
      <c r="O545" s="79"/>
      <c r="S545" s="79"/>
      <c r="T545" s="79"/>
      <c r="Y545" s="79"/>
      <c r="AD545" s="130"/>
      <c r="AF545" s="106"/>
    </row>
    <row r="546">
      <c r="C546" s="79"/>
      <c r="D546" s="79"/>
      <c r="E546" s="79"/>
      <c r="O546" s="79"/>
      <c r="S546" s="79"/>
      <c r="T546" s="79"/>
      <c r="Y546" s="79"/>
      <c r="AD546" s="130"/>
      <c r="AF546" s="106"/>
    </row>
    <row r="547">
      <c r="C547" s="79"/>
      <c r="D547" s="79"/>
      <c r="E547" s="79"/>
      <c r="O547" s="79"/>
      <c r="S547" s="79"/>
      <c r="T547" s="79"/>
      <c r="Y547" s="79"/>
      <c r="AD547" s="130"/>
      <c r="AF547" s="106"/>
    </row>
    <row r="548">
      <c r="C548" s="79"/>
      <c r="D548" s="79"/>
      <c r="E548" s="79"/>
      <c r="O548" s="79"/>
      <c r="S548" s="79"/>
      <c r="T548" s="79"/>
      <c r="Y548" s="79"/>
      <c r="AD548" s="130"/>
      <c r="AF548" s="106"/>
    </row>
    <row r="549">
      <c r="C549" s="79"/>
      <c r="D549" s="79"/>
      <c r="E549" s="79"/>
      <c r="O549" s="79"/>
      <c r="S549" s="79"/>
      <c r="T549" s="79"/>
      <c r="Y549" s="79"/>
      <c r="AD549" s="130"/>
      <c r="AF549" s="106"/>
    </row>
    <row r="550">
      <c r="C550" s="79"/>
      <c r="D550" s="79"/>
      <c r="E550" s="79"/>
      <c r="O550" s="79"/>
      <c r="S550" s="79"/>
      <c r="T550" s="79"/>
      <c r="Y550" s="79"/>
      <c r="AD550" s="130"/>
      <c r="AF550" s="106"/>
    </row>
    <row r="551">
      <c r="C551" s="79"/>
      <c r="D551" s="79"/>
      <c r="E551" s="79"/>
      <c r="O551" s="79"/>
      <c r="S551" s="79"/>
      <c r="T551" s="79"/>
      <c r="Y551" s="79"/>
      <c r="AD551" s="130"/>
      <c r="AF551" s="106"/>
    </row>
    <row r="552">
      <c r="C552" s="79"/>
      <c r="D552" s="79"/>
      <c r="E552" s="79"/>
      <c r="O552" s="79"/>
      <c r="S552" s="79"/>
      <c r="T552" s="79"/>
      <c r="Y552" s="79"/>
      <c r="AD552" s="130"/>
      <c r="AF552" s="106"/>
    </row>
    <row r="553">
      <c r="C553" s="79"/>
      <c r="D553" s="79"/>
      <c r="E553" s="79"/>
      <c r="O553" s="79"/>
      <c r="S553" s="79"/>
      <c r="T553" s="79"/>
      <c r="Y553" s="79"/>
      <c r="AD553" s="130"/>
      <c r="AF553" s="106"/>
    </row>
    <row r="554">
      <c r="C554" s="79"/>
      <c r="D554" s="79"/>
      <c r="E554" s="79"/>
      <c r="O554" s="79"/>
      <c r="S554" s="79"/>
      <c r="T554" s="79"/>
      <c r="Y554" s="79"/>
      <c r="AD554" s="130"/>
      <c r="AF554" s="106"/>
    </row>
    <row r="555">
      <c r="C555" s="79"/>
      <c r="D555" s="79"/>
      <c r="E555" s="79"/>
      <c r="O555" s="79"/>
      <c r="S555" s="79"/>
      <c r="T555" s="79"/>
      <c r="Y555" s="79"/>
      <c r="AD555" s="130"/>
      <c r="AF555" s="106"/>
    </row>
    <row r="556">
      <c r="C556" s="79"/>
      <c r="D556" s="79"/>
      <c r="E556" s="79"/>
      <c r="O556" s="79"/>
      <c r="S556" s="79"/>
      <c r="T556" s="79"/>
      <c r="Y556" s="79"/>
      <c r="AD556" s="130"/>
      <c r="AF556" s="106"/>
    </row>
    <row r="557">
      <c r="C557" s="79"/>
      <c r="D557" s="79"/>
      <c r="E557" s="79"/>
      <c r="O557" s="79"/>
      <c r="S557" s="79"/>
      <c r="T557" s="79"/>
      <c r="Y557" s="79"/>
      <c r="AD557" s="130"/>
      <c r="AF557" s="106"/>
    </row>
    <row r="558">
      <c r="C558" s="79"/>
      <c r="D558" s="79"/>
      <c r="E558" s="79"/>
      <c r="O558" s="79"/>
      <c r="S558" s="79"/>
      <c r="T558" s="79"/>
      <c r="Y558" s="79"/>
      <c r="AD558" s="130"/>
      <c r="AF558" s="106"/>
    </row>
    <row r="559">
      <c r="C559" s="79"/>
      <c r="D559" s="79"/>
      <c r="E559" s="79"/>
      <c r="O559" s="79"/>
      <c r="S559" s="79"/>
      <c r="T559" s="79"/>
      <c r="Y559" s="79"/>
      <c r="AD559" s="130"/>
      <c r="AF559" s="106"/>
    </row>
    <row r="560">
      <c r="C560" s="79"/>
      <c r="D560" s="79"/>
      <c r="E560" s="79"/>
      <c r="O560" s="79"/>
      <c r="S560" s="79"/>
      <c r="T560" s="79"/>
      <c r="Y560" s="79"/>
      <c r="AD560" s="130"/>
      <c r="AF560" s="106"/>
    </row>
    <row r="561">
      <c r="C561" s="79"/>
      <c r="D561" s="79"/>
      <c r="E561" s="79"/>
      <c r="O561" s="79"/>
      <c r="S561" s="79"/>
      <c r="T561" s="79"/>
      <c r="Y561" s="79"/>
      <c r="AD561" s="130"/>
      <c r="AF561" s="106"/>
    </row>
    <row r="562">
      <c r="C562" s="79"/>
      <c r="D562" s="79"/>
      <c r="E562" s="79"/>
      <c r="O562" s="79"/>
      <c r="S562" s="79"/>
      <c r="T562" s="79"/>
      <c r="Y562" s="79"/>
      <c r="AD562" s="130"/>
      <c r="AF562" s="106"/>
    </row>
    <row r="563">
      <c r="C563" s="79"/>
      <c r="D563" s="79"/>
      <c r="E563" s="79"/>
      <c r="O563" s="79"/>
      <c r="S563" s="79"/>
      <c r="T563" s="79"/>
      <c r="Y563" s="79"/>
      <c r="AD563" s="130"/>
      <c r="AF563" s="106"/>
    </row>
    <row r="564">
      <c r="C564" s="79"/>
      <c r="D564" s="79"/>
      <c r="E564" s="79"/>
      <c r="O564" s="79"/>
      <c r="S564" s="79"/>
      <c r="T564" s="79"/>
      <c r="Y564" s="79"/>
      <c r="AD564" s="130"/>
      <c r="AF564" s="106"/>
    </row>
    <row r="565">
      <c r="C565" s="79"/>
      <c r="D565" s="79"/>
      <c r="E565" s="79"/>
      <c r="O565" s="79"/>
      <c r="S565" s="79"/>
      <c r="T565" s="79"/>
      <c r="Y565" s="79"/>
      <c r="AD565" s="130"/>
      <c r="AF565" s="106"/>
    </row>
    <row r="566">
      <c r="C566" s="79"/>
      <c r="D566" s="79"/>
      <c r="E566" s="79"/>
      <c r="O566" s="79"/>
      <c r="S566" s="79"/>
      <c r="T566" s="79"/>
      <c r="Y566" s="79"/>
      <c r="AD566" s="130"/>
      <c r="AF566" s="106"/>
    </row>
    <row r="567">
      <c r="C567" s="79"/>
      <c r="D567" s="79"/>
      <c r="E567" s="79"/>
      <c r="O567" s="79"/>
      <c r="S567" s="79"/>
      <c r="T567" s="79"/>
      <c r="Y567" s="79"/>
      <c r="AD567" s="130"/>
      <c r="AF567" s="106"/>
    </row>
    <row r="568">
      <c r="C568" s="79"/>
      <c r="D568" s="79"/>
      <c r="E568" s="79"/>
      <c r="O568" s="79"/>
      <c r="S568" s="79"/>
      <c r="T568" s="79"/>
      <c r="Y568" s="79"/>
      <c r="AD568" s="130"/>
      <c r="AF568" s="106"/>
    </row>
    <row r="569">
      <c r="C569" s="79"/>
      <c r="D569" s="79"/>
      <c r="E569" s="79"/>
      <c r="O569" s="79"/>
      <c r="S569" s="79"/>
      <c r="T569" s="79"/>
      <c r="Y569" s="79"/>
      <c r="AD569" s="130"/>
      <c r="AF569" s="106"/>
    </row>
    <row r="570">
      <c r="C570" s="79"/>
      <c r="D570" s="79"/>
      <c r="E570" s="79"/>
      <c r="O570" s="79"/>
      <c r="S570" s="79"/>
      <c r="T570" s="79"/>
      <c r="Y570" s="79"/>
      <c r="AD570" s="130"/>
      <c r="AF570" s="106"/>
    </row>
    <row r="571">
      <c r="C571" s="79"/>
      <c r="D571" s="79"/>
      <c r="E571" s="79"/>
      <c r="O571" s="79"/>
      <c r="S571" s="79"/>
      <c r="T571" s="79"/>
      <c r="Y571" s="79"/>
      <c r="AD571" s="130"/>
      <c r="AF571" s="106"/>
    </row>
    <row r="572">
      <c r="C572" s="79"/>
      <c r="D572" s="79"/>
      <c r="E572" s="79"/>
      <c r="O572" s="79"/>
      <c r="S572" s="79"/>
      <c r="T572" s="79"/>
      <c r="Y572" s="79"/>
      <c r="AD572" s="130"/>
      <c r="AF572" s="106"/>
    </row>
    <row r="573">
      <c r="C573" s="79"/>
      <c r="D573" s="79"/>
      <c r="E573" s="79"/>
      <c r="O573" s="79"/>
      <c r="S573" s="79"/>
      <c r="T573" s="79"/>
      <c r="Y573" s="79"/>
      <c r="AD573" s="130"/>
      <c r="AF573" s="106"/>
    </row>
    <row r="574">
      <c r="C574" s="79"/>
      <c r="D574" s="79"/>
      <c r="E574" s="79"/>
      <c r="O574" s="79"/>
      <c r="S574" s="79"/>
      <c r="T574" s="79"/>
      <c r="Y574" s="79"/>
      <c r="AD574" s="130"/>
      <c r="AF574" s="106"/>
    </row>
    <row r="575">
      <c r="C575" s="79"/>
      <c r="D575" s="79"/>
      <c r="E575" s="79"/>
      <c r="O575" s="79"/>
      <c r="S575" s="79"/>
      <c r="T575" s="79"/>
      <c r="Y575" s="79"/>
      <c r="AD575" s="130"/>
      <c r="AF575" s="106"/>
    </row>
    <row r="576">
      <c r="C576" s="79"/>
      <c r="D576" s="79"/>
      <c r="E576" s="79"/>
      <c r="O576" s="79"/>
      <c r="S576" s="79"/>
      <c r="T576" s="79"/>
      <c r="Y576" s="79"/>
      <c r="AD576" s="130"/>
      <c r="AF576" s="106"/>
    </row>
    <row r="577">
      <c r="C577" s="79"/>
      <c r="D577" s="79"/>
      <c r="E577" s="79"/>
      <c r="O577" s="79"/>
      <c r="S577" s="79"/>
      <c r="T577" s="79"/>
      <c r="Y577" s="79"/>
      <c r="AD577" s="130"/>
      <c r="AF577" s="106"/>
    </row>
    <row r="578">
      <c r="C578" s="79"/>
      <c r="D578" s="79"/>
      <c r="E578" s="79"/>
      <c r="O578" s="79"/>
      <c r="S578" s="79"/>
      <c r="T578" s="79"/>
      <c r="Y578" s="79"/>
      <c r="AD578" s="130"/>
      <c r="AF578" s="106"/>
    </row>
    <row r="579">
      <c r="C579" s="79"/>
      <c r="D579" s="79"/>
      <c r="E579" s="79"/>
      <c r="O579" s="79"/>
      <c r="S579" s="79"/>
      <c r="T579" s="79"/>
      <c r="Y579" s="79"/>
      <c r="AD579" s="130"/>
      <c r="AF579" s="106"/>
    </row>
    <row r="580">
      <c r="C580" s="79"/>
      <c r="D580" s="79"/>
      <c r="E580" s="79"/>
      <c r="O580" s="79"/>
      <c r="S580" s="79"/>
      <c r="T580" s="79"/>
      <c r="Y580" s="79"/>
      <c r="AD580" s="130"/>
      <c r="AF580" s="106"/>
    </row>
    <row r="581">
      <c r="C581" s="79"/>
      <c r="D581" s="79"/>
      <c r="E581" s="79"/>
      <c r="O581" s="79"/>
      <c r="S581" s="79"/>
      <c r="T581" s="79"/>
      <c r="Y581" s="79"/>
      <c r="AD581" s="130"/>
      <c r="AF581" s="106"/>
    </row>
    <row r="582">
      <c r="C582" s="79"/>
      <c r="D582" s="79"/>
      <c r="E582" s="79"/>
      <c r="O582" s="79"/>
      <c r="S582" s="79"/>
      <c r="T582" s="79"/>
      <c r="Y582" s="79"/>
      <c r="AD582" s="130"/>
      <c r="AF582" s="106"/>
    </row>
    <row r="583">
      <c r="C583" s="79"/>
      <c r="D583" s="79"/>
      <c r="E583" s="79"/>
      <c r="O583" s="79"/>
      <c r="S583" s="79"/>
      <c r="T583" s="79"/>
      <c r="Y583" s="79"/>
      <c r="AD583" s="130"/>
      <c r="AF583" s="106"/>
    </row>
    <row r="584">
      <c r="C584" s="79"/>
      <c r="D584" s="79"/>
      <c r="E584" s="79"/>
      <c r="O584" s="79"/>
      <c r="S584" s="79"/>
      <c r="T584" s="79"/>
      <c r="Y584" s="79"/>
      <c r="AD584" s="130"/>
      <c r="AF584" s="106"/>
    </row>
    <row r="585">
      <c r="C585" s="79"/>
      <c r="D585" s="79"/>
      <c r="E585" s="79"/>
      <c r="O585" s="79"/>
      <c r="S585" s="79"/>
      <c r="T585" s="79"/>
      <c r="Y585" s="79"/>
      <c r="AD585" s="130"/>
      <c r="AF585" s="106"/>
    </row>
    <row r="586">
      <c r="C586" s="79"/>
      <c r="D586" s="79"/>
      <c r="E586" s="79"/>
      <c r="O586" s="79"/>
      <c r="S586" s="79"/>
      <c r="T586" s="79"/>
      <c r="Y586" s="79"/>
      <c r="AD586" s="130"/>
      <c r="AF586" s="106"/>
    </row>
    <row r="587">
      <c r="C587" s="79"/>
      <c r="D587" s="79"/>
      <c r="E587" s="79"/>
      <c r="O587" s="79"/>
      <c r="S587" s="79"/>
      <c r="T587" s="79"/>
      <c r="Y587" s="79"/>
      <c r="AD587" s="130"/>
      <c r="AF587" s="106"/>
    </row>
    <row r="588">
      <c r="C588" s="79"/>
      <c r="D588" s="79"/>
      <c r="E588" s="79"/>
      <c r="O588" s="79"/>
      <c r="S588" s="79"/>
      <c r="T588" s="79"/>
      <c r="Y588" s="79"/>
      <c r="AD588" s="130"/>
      <c r="AF588" s="106"/>
    </row>
    <row r="589">
      <c r="C589" s="79"/>
      <c r="D589" s="79"/>
      <c r="E589" s="79"/>
      <c r="O589" s="79"/>
      <c r="S589" s="79"/>
      <c r="T589" s="79"/>
      <c r="Y589" s="79"/>
      <c r="AD589" s="130"/>
      <c r="AF589" s="106"/>
    </row>
    <row r="590">
      <c r="C590" s="79"/>
      <c r="D590" s="79"/>
      <c r="E590" s="79"/>
      <c r="O590" s="79"/>
      <c r="S590" s="79"/>
      <c r="T590" s="79"/>
      <c r="Y590" s="79"/>
      <c r="AD590" s="130"/>
      <c r="AF590" s="106"/>
    </row>
    <row r="591">
      <c r="C591" s="79"/>
      <c r="D591" s="79"/>
      <c r="E591" s="79"/>
      <c r="O591" s="79"/>
      <c r="S591" s="79"/>
      <c r="T591" s="79"/>
      <c r="Y591" s="79"/>
      <c r="AD591" s="130"/>
      <c r="AF591" s="106"/>
    </row>
    <row r="592">
      <c r="C592" s="79"/>
      <c r="D592" s="79"/>
      <c r="E592" s="79"/>
      <c r="O592" s="79"/>
      <c r="S592" s="79"/>
      <c r="T592" s="79"/>
      <c r="Y592" s="79"/>
      <c r="AD592" s="130"/>
      <c r="AF592" s="106"/>
    </row>
    <row r="593">
      <c r="C593" s="79"/>
      <c r="D593" s="79"/>
      <c r="E593" s="79"/>
      <c r="O593" s="79"/>
      <c r="S593" s="79"/>
      <c r="T593" s="79"/>
      <c r="Y593" s="79"/>
      <c r="AD593" s="130"/>
      <c r="AF593" s="106"/>
    </row>
    <row r="594">
      <c r="C594" s="79"/>
      <c r="D594" s="79"/>
      <c r="E594" s="79"/>
      <c r="O594" s="79"/>
      <c r="S594" s="79"/>
      <c r="T594" s="79"/>
      <c r="Y594" s="79"/>
      <c r="AD594" s="130"/>
      <c r="AF594" s="106"/>
    </row>
    <row r="595">
      <c r="C595" s="79"/>
      <c r="D595" s="79"/>
      <c r="E595" s="79"/>
      <c r="O595" s="79"/>
      <c r="S595" s="79"/>
      <c r="T595" s="79"/>
      <c r="Y595" s="79"/>
      <c r="AD595" s="130"/>
      <c r="AF595" s="106"/>
    </row>
    <row r="596">
      <c r="C596" s="79"/>
      <c r="D596" s="79"/>
      <c r="E596" s="79"/>
      <c r="O596" s="79"/>
      <c r="S596" s="79"/>
      <c r="T596" s="79"/>
      <c r="Y596" s="79"/>
      <c r="AD596" s="130"/>
      <c r="AF596" s="106"/>
    </row>
    <row r="597">
      <c r="C597" s="79"/>
      <c r="D597" s="79"/>
      <c r="E597" s="79"/>
      <c r="O597" s="79"/>
      <c r="S597" s="79"/>
      <c r="T597" s="79"/>
      <c r="Y597" s="79"/>
      <c r="AD597" s="130"/>
      <c r="AF597" s="106"/>
    </row>
    <row r="598">
      <c r="C598" s="79"/>
      <c r="D598" s="79"/>
      <c r="E598" s="79"/>
      <c r="O598" s="79"/>
      <c r="S598" s="79"/>
      <c r="T598" s="79"/>
      <c r="Y598" s="79"/>
      <c r="AD598" s="130"/>
      <c r="AF598" s="106"/>
    </row>
    <row r="599">
      <c r="C599" s="79"/>
      <c r="D599" s="79"/>
      <c r="E599" s="79"/>
      <c r="O599" s="79"/>
      <c r="S599" s="79"/>
      <c r="T599" s="79"/>
      <c r="Y599" s="79"/>
      <c r="AD599" s="130"/>
      <c r="AF599" s="106"/>
    </row>
    <row r="600">
      <c r="C600" s="79"/>
      <c r="D600" s="79"/>
      <c r="E600" s="79"/>
      <c r="O600" s="79"/>
      <c r="S600" s="79"/>
      <c r="T600" s="79"/>
      <c r="Y600" s="79"/>
      <c r="AD600" s="130"/>
      <c r="AF600" s="106"/>
    </row>
    <row r="601">
      <c r="C601" s="79"/>
      <c r="D601" s="79"/>
      <c r="E601" s="79"/>
      <c r="O601" s="79"/>
      <c r="S601" s="79"/>
      <c r="T601" s="79"/>
      <c r="Y601" s="79"/>
      <c r="AD601" s="130"/>
      <c r="AF601" s="106"/>
    </row>
    <row r="602">
      <c r="C602" s="79"/>
      <c r="D602" s="79"/>
      <c r="E602" s="79"/>
      <c r="O602" s="79"/>
      <c r="S602" s="79"/>
      <c r="T602" s="79"/>
      <c r="Y602" s="79"/>
      <c r="AD602" s="130"/>
      <c r="AF602" s="106"/>
    </row>
    <row r="603">
      <c r="C603" s="79"/>
      <c r="D603" s="79"/>
      <c r="E603" s="79"/>
      <c r="O603" s="79"/>
      <c r="S603" s="79"/>
      <c r="T603" s="79"/>
      <c r="Y603" s="79"/>
      <c r="AD603" s="130"/>
      <c r="AF603" s="106"/>
    </row>
    <row r="604">
      <c r="C604" s="79"/>
      <c r="D604" s="79"/>
      <c r="E604" s="79"/>
      <c r="O604" s="79"/>
      <c r="S604" s="79"/>
      <c r="T604" s="79"/>
      <c r="Y604" s="79"/>
      <c r="AD604" s="130"/>
      <c r="AF604" s="106"/>
    </row>
    <row r="605">
      <c r="C605" s="79"/>
      <c r="D605" s="79"/>
      <c r="E605" s="79"/>
      <c r="O605" s="79"/>
      <c r="S605" s="79"/>
      <c r="T605" s="79"/>
      <c r="Y605" s="79"/>
      <c r="AD605" s="130"/>
      <c r="AF605" s="106"/>
    </row>
    <row r="606">
      <c r="C606" s="79"/>
      <c r="D606" s="79"/>
      <c r="E606" s="79"/>
      <c r="O606" s="79"/>
      <c r="S606" s="79"/>
      <c r="T606" s="79"/>
      <c r="Y606" s="79"/>
      <c r="AD606" s="130"/>
      <c r="AF606" s="106"/>
    </row>
    <row r="607">
      <c r="C607" s="79"/>
      <c r="D607" s="79"/>
      <c r="E607" s="79"/>
      <c r="O607" s="79"/>
      <c r="S607" s="79"/>
      <c r="T607" s="79"/>
      <c r="Y607" s="79"/>
      <c r="AD607" s="130"/>
      <c r="AF607" s="106"/>
    </row>
    <row r="608">
      <c r="C608" s="79"/>
      <c r="D608" s="79"/>
      <c r="E608" s="79"/>
      <c r="O608" s="79"/>
      <c r="S608" s="79"/>
      <c r="T608" s="79"/>
      <c r="Y608" s="79"/>
      <c r="AD608" s="130"/>
      <c r="AF608" s="106"/>
    </row>
    <row r="609">
      <c r="C609" s="79"/>
      <c r="D609" s="79"/>
      <c r="E609" s="79"/>
      <c r="O609" s="79"/>
      <c r="S609" s="79"/>
      <c r="T609" s="79"/>
      <c r="Y609" s="79"/>
      <c r="AD609" s="130"/>
      <c r="AF609" s="106"/>
    </row>
    <row r="610">
      <c r="C610" s="79"/>
      <c r="D610" s="79"/>
      <c r="E610" s="79"/>
      <c r="O610" s="79"/>
      <c r="S610" s="79"/>
      <c r="T610" s="79"/>
      <c r="Y610" s="79"/>
      <c r="AD610" s="130"/>
      <c r="AF610" s="106"/>
    </row>
    <row r="611">
      <c r="C611" s="79"/>
      <c r="D611" s="79"/>
      <c r="E611" s="79"/>
      <c r="O611" s="79"/>
      <c r="S611" s="79"/>
      <c r="T611" s="79"/>
      <c r="Y611" s="79"/>
      <c r="AD611" s="130"/>
      <c r="AF611" s="106"/>
    </row>
    <row r="612">
      <c r="C612" s="79"/>
      <c r="D612" s="79"/>
      <c r="E612" s="79"/>
      <c r="O612" s="79"/>
      <c r="S612" s="79"/>
      <c r="T612" s="79"/>
      <c r="Y612" s="79"/>
      <c r="AD612" s="130"/>
      <c r="AF612" s="106"/>
    </row>
    <row r="613">
      <c r="C613" s="79"/>
      <c r="D613" s="79"/>
      <c r="E613" s="79"/>
      <c r="O613" s="79"/>
      <c r="S613" s="79"/>
      <c r="T613" s="79"/>
      <c r="Y613" s="79"/>
      <c r="AD613" s="130"/>
      <c r="AF613" s="106"/>
    </row>
    <row r="614">
      <c r="C614" s="79"/>
      <c r="D614" s="79"/>
      <c r="E614" s="79"/>
      <c r="O614" s="79"/>
      <c r="S614" s="79"/>
      <c r="T614" s="79"/>
      <c r="Y614" s="79"/>
      <c r="AD614" s="130"/>
      <c r="AF614" s="106"/>
    </row>
    <row r="615">
      <c r="C615" s="79"/>
      <c r="D615" s="79"/>
      <c r="E615" s="79"/>
      <c r="O615" s="79"/>
      <c r="S615" s="79"/>
      <c r="T615" s="79"/>
      <c r="Y615" s="79"/>
      <c r="AD615" s="130"/>
      <c r="AF615" s="106"/>
    </row>
    <row r="616">
      <c r="C616" s="79"/>
      <c r="D616" s="79"/>
      <c r="E616" s="79"/>
      <c r="O616" s="79"/>
      <c r="S616" s="79"/>
      <c r="T616" s="79"/>
      <c r="Y616" s="79"/>
      <c r="AD616" s="130"/>
      <c r="AF616" s="106"/>
    </row>
    <row r="617">
      <c r="C617" s="79"/>
      <c r="D617" s="79"/>
      <c r="E617" s="79"/>
      <c r="O617" s="79"/>
      <c r="S617" s="79"/>
      <c r="T617" s="79"/>
      <c r="Y617" s="79"/>
      <c r="AD617" s="130"/>
      <c r="AF617" s="106"/>
    </row>
    <row r="618">
      <c r="C618" s="79"/>
      <c r="D618" s="79"/>
      <c r="E618" s="79"/>
      <c r="O618" s="79"/>
      <c r="S618" s="79"/>
      <c r="T618" s="79"/>
      <c r="Y618" s="79"/>
      <c r="AD618" s="130"/>
      <c r="AF618" s="106"/>
    </row>
    <row r="619">
      <c r="C619" s="79"/>
      <c r="D619" s="79"/>
      <c r="E619" s="79"/>
      <c r="O619" s="79"/>
      <c r="S619" s="79"/>
      <c r="T619" s="79"/>
      <c r="Y619" s="79"/>
      <c r="AD619" s="130"/>
      <c r="AF619" s="106"/>
    </row>
    <row r="620">
      <c r="C620" s="79"/>
      <c r="D620" s="79"/>
      <c r="E620" s="79"/>
      <c r="O620" s="79"/>
      <c r="S620" s="79"/>
      <c r="T620" s="79"/>
      <c r="Y620" s="79"/>
      <c r="AD620" s="130"/>
      <c r="AF620" s="106"/>
    </row>
    <row r="621">
      <c r="C621" s="79"/>
      <c r="D621" s="79"/>
      <c r="E621" s="79"/>
      <c r="O621" s="79"/>
      <c r="S621" s="79"/>
      <c r="T621" s="79"/>
      <c r="Y621" s="79"/>
      <c r="AD621" s="130"/>
      <c r="AF621" s="106"/>
    </row>
    <row r="622">
      <c r="C622" s="79"/>
      <c r="D622" s="79"/>
      <c r="E622" s="79"/>
      <c r="O622" s="79"/>
      <c r="S622" s="79"/>
      <c r="T622" s="79"/>
      <c r="Y622" s="79"/>
      <c r="AD622" s="130"/>
      <c r="AF622" s="106"/>
    </row>
    <row r="623">
      <c r="C623" s="79"/>
      <c r="D623" s="79"/>
      <c r="E623" s="79"/>
      <c r="O623" s="79"/>
      <c r="S623" s="79"/>
      <c r="T623" s="79"/>
      <c r="Y623" s="79"/>
      <c r="AD623" s="130"/>
      <c r="AF623" s="106"/>
    </row>
    <row r="624">
      <c r="C624" s="79"/>
      <c r="D624" s="79"/>
      <c r="E624" s="79"/>
      <c r="O624" s="79"/>
      <c r="S624" s="79"/>
      <c r="T624" s="79"/>
      <c r="Y624" s="79"/>
      <c r="AD624" s="130"/>
      <c r="AF624" s="106"/>
    </row>
    <row r="625">
      <c r="C625" s="79"/>
      <c r="D625" s="79"/>
      <c r="E625" s="79"/>
      <c r="O625" s="79"/>
      <c r="S625" s="79"/>
      <c r="T625" s="79"/>
      <c r="Y625" s="79"/>
      <c r="AD625" s="130"/>
      <c r="AF625" s="106"/>
    </row>
    <row r="626">
      <c r="C626" s="79"/>
      <c r="D626" s="79"/>
      <c r="E626" s="79"/>
      <c r="O626" s="79"/>
      <c r="S626" s="79"/>
      <c r="T626" s="79"/>
      <c r="Y626" s="79"/>
      <c r="AD626" s="130"/>
      <c r="AF626" s="106"/>
    </row>
    <row r="627">
      <c r="C627" s="79"/>
      <c r="D627" s="79"/>
      <c r="E627" s="79"/>
      <c r="O627" s="79"/>
      <c r="S627" s="79"/>
      <c r="T627" s="79"/>
      <c r="Y627" s="79"/>
      <c r="AD627" s="130"/>
      <c r="AF627" s="106"/>
    </row>
    <row r="628">
      <c r="C628" s="79"/>
      <c r="D628" s="79"/>
      <c r="E628" s="79"/>
      <c r="O628" s="79"/>
      <c r="S628" s="79"/>
      <c r="T628" s="79"/>
      <c r="Y628" s="79"/>
      <c r="AD628" s="130"/>
      <c r="AF628" s="106"/>
    </row>
    <row r="629">
      <c r="C629" s="79"/>
      <c r="D629" s="79"/>
      <c r="E629" s="79"/>
      <c r="O629" s="79"/>
      <c r="S629" s="79"/>
      <c r="T629" s="79"/>
      <c r="Y629" s="79"/>
      <c r="AD629" s="130"/>
      <c r="AF629" s="106"/>
    </row>
    <row r="630">
      <c r="C630" s="79"/>
      <c r="D630" s="79"/>
      <c r="E630" s="79"/>
      <c r="O630" s="79"/>
      <c r="S630" s="79"/>
      <c r="T630" s="79"/>
      <c r="Y630" s="79"/>
      <c r="AD630" s="130"/>
      <c r="AF630" s="106"/>
    </row>
    <row r="631">
      <c r="C631" s="79"/>
      <c r="D631" s="79"/>
      <c r="E631" s="79"/>
      <c r="O631" s="79"/>
      <c r="S631" s="79"/>
      <c r="T631" s="79"/>
      <c r="Y631" s="79"/>
      <c r="AD631" s="130"/>
      <c r="AF631" s="106"/>
    </row>
    <row r="632">
      <c r="C632" s="79"/>
      <c r="D632" s="79"/>
      <c r="E632" s="79"/>
      <c r="O632" s="79"/>
      <c r="S632" s="79"/>
      <c r="T632" s="79"/>
      <c r="Y632" s="79"/>
      <c r="AD632" s="130"/>
      <c r="AF632" s="106"/>
    </row>
    <row r="633">
      <c r="C633" s="79"/>
      <c r="D633" s="79"/>
      <c r="E633" s="79"/>
      <c r="O633" s="79"/>
      <c r="S633" s="79"/>
      <c r="T633" s="79"/>
      <c r="Y633" s="79"/>
      <c r="AD633" s="130"/>
      <c r="AF633" s="106"/>
    </row>
    <row r="634">
      <c r="C634" s="79"/>
      <c r="D634" s="79"/>
      <c r="E634" s="79"/>
      <c r="O634" s="79"/>
      <c r="S634" s="79"/>
      <c r="T634" s="79"/>
      <c r="Y634" s="79"/>
      <c r="AD634" s="130"/>
      <c r="AF634" s="106"/>
    </row>
    <row r="635">
      <c r="C635" s="79"/>
      <c r="D635" s="79"/>
      <c r="E635" s="79"/>
      <c r="O635" s="79"/>
      <c r="S635" s="79"/>
      <c r="T635" s="79"/>
      <c r="Y635" s="79"/>
      <c r="AD635" s="130"/>
      <c r="AF635" s="106"/>
    </row>
    <row r="636">
      <c r="C636" s="79"/>
      <c r="D636" s="79"/>
      <c r="E636" s="79"/>
      <c r="O636" s="79"/>
      <c r="S636" s="79"/>
      <c r="T636" s="79"/>
      <c r="Y636" s="79"/>
      <c r="AD636" s="130"/>
      <c r="AF636" s="106"/>
    </row>
    <row r="637">
      <c r="C637" s="79"/>
      <c r="D637" s="79"/>
      <c r="E637" s="79"/>
      <c r="O637" s="79"/>
      <c r="S637" s="79"/>
      <c r="T637" s="79"/>
      <c r="Y637" s="79"/>
      <c r="AD637" s="130"/>
      <c r="AF637" s="106"/>
    </row>
    <row r="638">
      <c r="C638" s="79"/>
      <c r="D638" s="79"/>
      <c r="E638" s="79"/>
      <c r="O638" s="79"/>
      <c r="S638" s="79"/>
      <c r="T638" s="79"/>
      <c r="Y638" s="79"/>
      <c r="AD638" s="130"/>
      <c r="AF638" s="106"/>
    </row>
    <row r="639">
      <c r="C639" s="79"/>
      <c r="D639" s="79"/>
      <c r="E639" s="79"/>
      <c r="O639" s="79"/>
      <c r="S639" s="79"/>
      <c r="T639" s="79"/>
      <c r="Y639" s="79"/>
      <c r="AD639" s="130"/>
      <c r="AF639" s="106"/>
    </row>
    <row r="640">
      <c r="C640" s="79"/>
      <c r="D640" s="79"/>
      <c r="E640" s="79"/>
      <c r="O640" s="79"/>
      <c r="S640" s="79"/>
      <c r="T640" s="79"/>
      <c r="Y640" s="79"/>
      <c r="AD640" s="130"/>
      <c r="AF640" s="106"/>
    </row>
    <row r="641">
      <c r="C641" s="79"/>
      <c r="D641" s="79"/>
      <c r="E641" s="79"/>
      <c r="O641" s="79"/>
      <c r="S641" s="79"/>
      <c r="T641" s="79"/>
      <c r="Y641" s="79"/>
      <c r="AD641" s="130"/>
      <c r="AF641" s="106"/>
    </row>
    <row r="642">
      <c r="C642" s="79"/>
      <c r="D642" s="79"/>
      <c r="E642" s="79"/>
      <c r="O642" s="79"/>
      <c r="S642" s="79"/>
      <c r="T642" s="79"/>
      <c r="Y642" s="79"/>
      <c r="AD642" s="130"/>
      <c r="AF642" s="106"/>
    </row>
    <row r="643">
      <c r="C643" s="79"/>
      <c r="D643" s="79"/>
      <c r="E643" s="79"/>
      <c r="O643" s="79"/>
      <c r="S643" s="79"/>
      <c r="T643" s="79"/>
      <c r="Y643" s="79"/>
      <c r="AD643" s="130"/>
      <c r="AF643" s="106"/>
    </row>
    <row r="644">
      <c r="C644" s="79"/>
      <c r="D644" s="79"/>
      <c r="E644" s="79"/>
      <c r="O644" s="79"/>
      <c r="S644" s="79"/>
      <c r="T644" s="79"/>
      <c r="Y644" s="79"/>
      <c r="AD644" s="130"/>
      <c r="AF644" s="106"/>
    </row>
    <row r="645">
      <c r="C645" s="79"/>
      <c r="D645" s="79"/>
      <c r="E645" s="79"/>
      <c r="O645" s="79"/>
      <c r="S645" s="79"/>
      <c r="T645" s="79"/>
      <c r="Y645" s="79"/>
      <c r="AD645" s="130"/>
      <c r="AF645" s="106"/>
    </row>
    <row r="646">
      <c r="C646" s="79"/>
      <c r="D646" s="79"/>
      <c r="E646" s="79"/>
      <c r="O646" s="79"/>
      <c r="S646" s="79"/>
      <c r="T646" s="79"/>
      <c r="Y646" s="79"/>
      <c r="AD646" s="130"/>
      <c r="AF646" s="106"/>
    </row>
    <row r="647">
      <c r="C647" s="79"/>
      <c r="D647" s="79"/>
      <c r="E647" s="79"/>
      <c r="O647" s="79"/>
      <c r="S647" s="79"/>
      <c r="T647" s="79"/>
      <c r="Y647" s="79"/>
      <c r="AD647" s="130"/>
      <c r="AF647" s="106"/>
    </row>
    <row r="648">
      <c r="C648" s="79"/>
      <c r="D648" s="79"/>
      <c r="E648" s="79"/>
      <c r="O648" s="79"/>
      <c r="S648" s="79"/>
      <c r="T648" s="79"/>
      <c r="Y648" s="79"/>
      <c r="AD648" s="130"/>
      <c r="AF648" s="106"/>
    </row>
    <row r="649">
      <c r="C649" s="79"/>
      <c r="D649" s="79"/>
      <c r="E649" s="79"/>
      <c r="O649" s="79"/>
      <c r="S649" s="79"/>
      <c r="T649" s="79"/>
      <c r="Y649" s="79"/>
      <c r="AD649" s="130"/>
      <c r="AF649" s="106"/>
    </row>
    <row r="650">
      <c r="C650" s="79"/>
      <c r="D650" s="79"/>
      <c r="E650" s="79"/>
      <c r="O650" s="79"/>
      <c r="S650" s="79"/>
      <c r="T650" s="79"/>
      <c r="Y650" s="79"/>
      <c r="AD650" s="130"/>
      <c r="AF650" s="106"/>
    </row>
    <row r="651">
      <c r="C651" s="79"/>
      <c r="D651" s="79"/>
      <c r="E651" s="79"/>
      <c r="O651" s="79"/>
      <c r="S651" s="79"/>
      <c r="T651" s="79"/>
      <c r="Y651" s="79"/>
      <c r="AD651" s="130"/>
      <c r="AF651" s="106"/>
    </row>
    <row r="652">
      <c r="C652" s="79"/>
      <c r="D652" s="79"/>
      <c r="E652" s="79"/>
      <c r="O652" s="79"/>
      <c r="S652" s="79"/>
      <c r="T652" s="79"/>
      <c r="Y652" s="79"/>
      <c r="AD652" s="130"/>
      <c r="AF652" s="106"/>
    </row>
    <row r="653">
      <c r="C653" s="79"/>
      <c r="D653" s="79"/>
      <c r="E653" s="79"/>
      <c r="O653" s="79"/>
      <c r="S653" s="79"/>
      <c r="T653" s="79"/>
      <c r="Y653" s="79"/>
      <c r="AD653" s="130"/>
      <c r="AF653" s="106"/>
    </row>
    <row r="654">
      <c r="C654" s="79"/>
      <c r="D654" s="79"/>
      <c r="E654" s="79"/>
      <c r="O654" s="79"/>
      <c r="S654" s="79"/>
      <c r="T654" s="79"/>
      <c r="Y654" s="79"/>
      <c r="AD654" s="130"/>
      <c r="AF654" s="106"/>
    </row>
    <row r="655">
      <c r="C655" s="79"/>
      <c r="D655" s="79"/>
      <c r="E655" s="79"/>
      <c r="O655" s="79"/>
      <c r="S655" s="79"/>
      <c r="T655" s="79"/>
      <c r="Y655" s="79"/>
      <c r="AD655" s="130"/>
      <c r="AF655" s="106"/>
    </row>
    <row r="656">
      <c r="C656" s="79"/>
      <c r="D656" s="79"/>
      <c r="E656" s="79"/>
      <c r="O656" s="79"/>
      <c r="S656" s="79"/>
      <c r="T656" s="79"/>
      <c r="Y656" s="79"/>
      <c r="AD656" s="130"/>
      <c r="AF656" s="106"/>
    </row>
    <row r="657">
      <c r="C657" s="79"/>
      <c r="D657" s="79"/>
      <c r="E657" s="79"/>
      <c r="O657" s="79"/>
      <c r="S657" s="79"/>
      <c r="T657" s="79"/>
      <c r="Y657" s="79"/>
      <c r="AD657" s="130"/>
      <c r="AF657" s="106"/>
    </row>
    <row r="658">
      <c r="C658" s="79"/>
      <c r="D658" s="79"/>
      <c r="E658" s="79"/>
      <c r="O658" s="79"/>
      <c r="S658" s="79"/>
      <c r="T658" s="79"/>
      <c r="Y658" s="79"/>
      <c r="AD658" s="130"/>
      <c r="AF658" s="106"/>
    </row>
    <row r="659">
      <c r="C659" s="79"/>
      <c r="D659" s="79"/>
      <c r="E659" s="79"/>
      <c r="O659" s="79"/>
      <c r="S659" s="79"/>
      <c r="T659" s="79"/>
      <c r="Y659" s="79"/>
      <c r="AD659" s="130"/>
      <c r="AF659" s="106"/>
    </row>
    <row r="660">
      <c r="C660" s="79"/>
      <c r="D660" s="79"/>
      <c r="E660" s="79"/>
      <c r="O660" s="79"/>
      <c r="S660" s="79"/>
      <c r="T660" s="79"/>
      <c r="Y660" s="79"/>
      <c r="AD660" s="130"/>
      <c r="AF660" s="106"/>
    </row>
    <row r="661">
      <c r="C661" s="79"/>
      <c r="D661" s="79"/>
      <c r="E661" s="79"/>
      <c r="O661" s="79"/>
      <c r="S661" s="79"/>
      <c r="T661" s="79"/>
      <c r="Y661" s="79"/>
      <c r="AD661" s="130"/>
      <c r="AF661" s="106"/>
    </row>
    <row r="662">
      <c r="C662" s="79"/>
      <c r="D662" s="79"/>
      <c r="E662" s="79"/>
      <c r="O662" s="79"/>
      <c r="S662" s="79"/>
      <c r="T662" s="79"/>
      <c r="Y662" s="79"/>
      <c r="AD662" s="130"/>
      <c r="AF662" s="106"/>
    </row>
    <row r="663">
      <c r="C663" s="79"/>
      <c r="D663" s="79"/>
      <c r="E663" s="79"/>
      <c r="O663" s="79"/>
      <c r="S663" s="79"/>
      <c r="T663" s="79"/>
      <c r="Y663" s="79"/>
      <c r="AD663" s="130"/>
      <c r="AF663" s="106"/>
    </row>
    <row r="664">
      <c r="C664" s="79"/>
      <c r="D664" s="79"/>
      <c r="E664" s="79"/>
      <c r="O664" s="79"/>
      <c r="S664" s="79"/>
      <c r="T664" s="79"/>
      <c r="Y664" s="79"/>
      <c r="AD664" s="130"/>
      <c r="AF664" s="106"/>
    </row>
    <row r="665">
      <c r="C665" s="79"/>
      <c r="D665" s="79"/>
      <c r="E665" s="79"/>
      <c r="O665" s="79"/>
      <c r="S665" s="79"/>
      <c r="T665" s="79"/>
      <c r="Y665" s="79"/>
      <c r="AD665" s="130"/>
      <c r="AF665" s="106"/>
    </row>
    <row r="666">
      <c r="C666" s="79"/>
      <c r="D666" s="79"/>
      <c r="E666" s="79"/>
      <c r="O666" s="79"/>
      <c r="S666" s="79"/>
      <c r="T666" s="79"/>
      <c r="Y666" s="79"/>
      <c r="AD666" s="130"/>
      <c r="AF666" s="106"/>
    </row>
    <row r="667">
      <c r="C667" s="79"/>
      <c r="D667" s="79"/>
      <c r="E667" s="79"/>
      <c r="O667" s="79"/>
      <c r="S667" s="79"/>
      <c r="T667" s="79"/>
      <c r="Y667" s="79"/>
      <c r="AD667" s="130"/>
      <c r="AF667" s="106"/>
    </row>
    <row r="668">
      <c r="C668" s="79"/>
      <c r="D668" s="79"/>
      <c r="E668" s="79"/>
      <c r="O668" s="79"/>
      <c r="S668" s="79"/>
      <c r="T668" s="79"/>
      <c r="Y668" s="79"/>
      <c r="AD668" s="130"/>
      <c r="AF668" s="106"/>
    </row>
    <row r="669">
      <c r="C669" s="79"/>
      <c r="D669" s="79"/>
      <c r="E669" s="79"/>
      <c r="O669" s="79"/>
      <c r="S669" s="79"/>
      <c r="T669" s="79"/>
      <c r="Y669" s="79"/>
      <c r="AD669" s="130"/>
      <c r="AF669" s="106"/>
    </row>
    <row r="670">
      <c r="C670" s="79"/>
      <c r="D670" s="79"/>
      <c r="E670" s="79"/>
      <c r="O670" s="79"/>
      <c r="S670" s="79"/>
      <c r="T670" s="79"/>
      <c r="Y670" s="79"/>
      <c r="AD670" s="130"/>
      <c r="AF670" s="106"/>
    </row>
    <row r="671">
      <c r="C671" s="79"/>
      <c r="D671" s="79"/>
      <c r="E671" s="79"/>
      <c r="O671" s="79"/>
      <c r="S671" s="79"/>
      <c r="T671" s="79"/>
      <c r="Y671" s="79"/>
      <c r="AD671" s="130"/>
      <c r="AF671" s="106"/>
    </row>
    <row r="672">
      <c r="C672" s="79"/>
      <c r="D672" s="79"/>
      <c r="E672" s="79"/>
      <c r="O672" s="79"/>
      <c r="S672" s="79"/>
      <c r="T672" s="79"/>
      <c r="Y672" s="79"/>
      <c r="AD672" s="130"/>
      <c r="AF672" s="106"/>
    </row>
    <row r="673">
      <c r="C673" s="79"/>
      <c r="D673" s="79"/>
      <c r="E673" s="79"/>
      <c r="O673" s="79"/>
      <c r="S673" s="79"/>
      <c r="T673" s="79"/>
      <c r="Y673" s="79"/>
      <c r="AD673" s="130"/>
      <c r="AF673" s="106"/>
    </row>
    <row r="674">
      <c r="C674" s="79"/>
      <c r="D674" s="79"/>
      <c r="E674" s="79"/>
      <c r="O674" s="79"/>
      <c r="S674" s="79"/>
      <c r="T674" s="79"/>
      <c r="Y674" s="79"/>
      <c r="AD674" s="130"/>
      <c r="AF674" s="106"/>
    </row>
    <row r="675">
      <c r="C675" s="79"/>
      <c r="D675" s="79"/>
      <c r="E675" s="79"/>
      <c r="O675" s="79"/>
      <c r="S675" s="79"/>
      <c r="T675" s="79"/>
      <c r="Y675" s="79"/>
      <c r="AD675" s="130"/>
      <c r="AF675" s="106"/>
    </row>
    <row r="676">
      <c r="C676" s="79"/>
      <c r="D676" s="79"/>
      <c r="E676" s="79"/>
      <c r="O676" s="79"/>
      <c r="S676" s="79"/>
      <c r="T676" s="79"/>
      <c r="Y676" s="79"/>
      <c r="AD676" s="130"/>
      <c r="AF676" s="106"/>
    </row>
    <row r="677">
      <c r="C677" s="79"/>
      <c r="D677" s="79"/>
      <c r="E677" s="79"/>
      <c r="O677" s="79"/>
      <c r="S677" s="79"/>
      <c r="T677" s="79"/>
      <c r="Y677" s="79"/>
      <c r="AD677" s="130"/>
      <c r="AF677" s="106"/>
    </row>
    <row r="678">
      <c r="C678" s="79"/>
      <c r="D678" s="79"/>
      <c r="E678" s="79"/>
      <c r="O678" s="79"/>
      <c r="S678" s="79"/>
      <c r="T678" s="79"/>
      <c r="Y678" s="79"/>
      <c r="AD678" s="130"/>
      <c r="AF678" s="106"/>
    </row>
    <row r="679">
      <c r="C679" s="79"/>
      <c r="D679" s="79"/>
      <c r="E679" s="79"/>
      <c r="O679" s="79"/>
      <c r="S679" s="79"/>
      <c r="T679" s="79"/>
      <c r="Y679" s="79"/>
      <c r="AD679" s="130"/>
      <c r="AF679" s="106"/>
    </row>
    <row r="680">
      <c r="C680" s="79"/>
      <c r="D680" s="79"/>
      <c r="E680" s="79"/>
      <c r="O680" s="79"/>
      <c r="S680" s="79"/>
      <c r="T680" s="79"/>
      <c r="Y680" s="79"/>
      <c r="AD680" s="130"/>
      <c r="AF680" s="106"/>
    </row>
    <row r="681">
      <c r="C681" s="79"/>
      <c r="D681" s="79"/>
      <c r="E681" s="79"/>
      <c r="O681" s="79"/>
      <c r="S681" s="79"/>
      <c r="T681" s="79"/>
      <c r="Y681" s="79"/>
      <c r="AD681" s="130"/>
      <c r="AF681" s="106"/>
    </row>
    <row r="682">
      <c r="C682" s="79"/>
      <c r="D682" s="79"/>
      <c r="E682" s="79"/>
      <c r="O682" s="79"/>
      <c r="S682" s="79"/>
      <c r="T682" s="79"/>
      <c r="Y682" s="79"/>
      <c r="AD682" s="130"/>
      <c r="AF682" s="106"/>
    </row>
    <row r="683">
      <c r="C683" s="79"/>
      <c r="D683" s="79"/>
      <c r="E683" s="79"/>
      <c r="O683" s="79"/>
      <c r="S683" s="79"/>
      <c r="T683" s="79"/>
      <c r="Y683" s="79"/>
      <c r="AD683" s="130"/>
      <c r="AF683" s="106"/>
    </row>
    <row r="684">
      <c r="C684" s="79"/>
      <c r="D684" s="79"/>
      <c r="E684" s="79"/>
      <c r="O684" s="79"/>
      <c r="S684" s="79"/>
      <c r="T684" s="79"/>
      <c r="Y684" s="79"/>
      <c r="AD684" s="130"/>
      <c r="AF684" s="106"/>
    </row>
    <row r="685">
      <c r="C685" s="79"/>
      <c r="D685" s="79"/>
      <c r="E685" s="79"/>
      <c r="O685" s="79"/>
      <c r="S685" s="79"/>
      <c r="T685" s="79"/>
      <c r="Y685" s="79"/>
      <c r="AD685" s="130"/>
      <c r="AF685" s="106"/>
    </row>
    <row r="686">
      <c r="C686" s="79"/>
      <c r="D686" s="79"/>
      <c r="E686" s="79"/>
      <c r="O686" s="79"/>
      <c r="S686" s="79"/>
      <c r="T686" s="79"/>
      <c r="Y686" s="79"/>
      <c r="AD686" s="130"/>
      <c r="AF686" s="106"/>
    </row>
    <row r="687">
      <c r="C687" s="79"/>
      <c r="D687" s="79"/>
      <c r="E687" s="79"/>
      <c r="O687" s="79"/>
      <c r="S687" s="79"/>
      <c r="T687" s="79"/>
      <c r="Y687" s="79"/>
      <c r="AD687" s="130"/>
      <c r="AF687" s="106"/>
    </row>
    <row r="688">
      <c r="C688" s="79"/>
      <c r="D688" s="79"/>
      <c r="E688" s="79"/>
      <c r="O688" s="79"/>
      <c r="S688" s="79"/>
      <c r="T688" s="79"/>
      <c r="Y688" s="79"/>
      <c r="AD688" s="130"/>
      <c r="AF688" s="106"/>
    </row>
    <row r="689">
      <c r="C689" s="79"/>
      <c r="D689" s="79"/>
      <c r="E689" s="79"/>
      <c r="O689" s="79"/>
      <c r="S689" s="79"/>
      <c r="T689" s="79"/>
      <c r="Y689" s="79"/>
      <c r="AD689" s="130"/>
      <c r="AF689" s="106"/>
    </row>
    <row r="690">
      <c r="C690" s="79"/>
      <c r="D690" s="79"/>
      <c r="E690" s="79"/>
      <c r="O690" s="79"/>
      <c r="S690" s="79"/>
      <c r="T690" s="79"/>
      <c r="Y690" s="79"/>
      <c r="AD690" s="130"/>
      <c r="AF690" s="106"/>
    </row>
    <row r="691">
      <c r="C691" s="79"/>
      <c r="D691" s="79"/>
      <c r="E691" s="79"/>
      <c r="O691" s="79"/>
      <c r="S691" s="79"/>
      <c r="T691" s="79"/>
      <c r="Y691" s="79"/>
      <c r="AD691" s="130"/>
      <c r="AF691" s="106"/>
    </row>
    <row r="692">
      <c r="C692" s="79"/>
      <c r="D692" s="79"/>
      <c r="E692" s="79"/>
      <c r="O692" s="79"/>
      <c r="S692" s="79"/>
      <c r="T692" s="79"/>
      <c r="Y692" s="79"/>
      <c r="AD692" s="130"/>
      <c r="AF692" s="106"/>
    </row>
    <row r="693">
      <c r="C693" s="79"/>
      <c r="D693" s="79"/>
      <c r="E693" s="79"/>
      <c r="O693" s="79"/>
      <c r="S693" s="79"/>
      <c r="T693" s="79"/>
      <c r="Y693" s="79"/>
      <c r="AD693" s="130"/>
      <c r="AF693" s="106"/>
    </row>
    <row r="694">
      <c r="C694" s="79"/>
      <c r="D694" s="79"/>
      <c r="E694" s="79"/>
      <c r="O694" s="79"/>
      <c r="S694" s="79"/>
      <c r="T694" s="79"/>
      <c r="Y694" s="79"/>
      <c r="AD694" s="130"/>
      <c r="AF694" s="106"/>
    </row>
    <row r="695">
      <c r="C695" s="79"/>
      <c r="D695" s="79"/>
      <c r="E695" s="79"/>
      <c r="O695" s="79"/>
      <c r="S695" s="79"/>
      <c r="T695" s="79"/>
      <c r="Y695" s="79"/>
      <c r="AD695" s="130"/>
      <c r="AF695" s="106"/>
    </row>
    <row r="696">
      <c r="C696" s="79"/>
      <c r="D696" s="79"/>
      <c r="E696" s="79"/>
      <c r="O696" s="79"/>
      <c r="S696" s="79"/>
      <c r="T696" s="79"/>
      <c r="Y696" s="79"/>
      <c r="AD696" s="130"/>
      <c r="AF696" s="106"/>
    </row>
    <row r="697">
      <c r="C697" s="79"/>
      <c r="D697" s="79"/>
      <c r="E697" s="79"/>
      <c r="O697" s="79"/>
      <c r="S697" s="79"/>
      <c r="T697" s="79"/>
      <c r="Y697" s="79"/>
      <c r="AD697" s="130"/>
      <c r="AF697" s="106"/>
    </row>
    <row r="698">
      <c r="C698" s="79"/>
      <c r="D698" s="79"/>
      <c r="E698" s="79"/>
      <c r="O698" s="79"/>
      <c r="S698" s="79"/>
      <c r="T698" s="79"/>
      <c r="Y698" s="79"/>
      <c r="AD698" s="130"/>
      <c r="AF698" s="106"/>
    </row>
    <row r="699">
      <c r="C699" s="79"/>
      <c r="D699" s="79"/>
      <c r="E699" s="79"/>
      <c r="O699" s="79"/>
      <c r="S699" s="79"/>
      <c r="T699" s="79"/>
      <c r="Y699" s="79"/>
      <c r="AD699" s="130"/>
      <c r="AF699" s="106"/>
    </row>
    <row r="700">
      <c r="C700" s="79"/>
      <c r="D700" s="79"/>
      <c r="E700" s="79"/>
      <c r="O700" s="79"/>
      <c r="S700" s="79"/>
      <c r="T700" s="79"/>
      <c r="Y700" s="79"/>
      <c r="AD700" s="130"/>
      <c r="AF700" s="106"/>
    </row>
    <row r="701">
      <c r="C701" s="79"/>
      <c r="D701" s="79"/>
      <c r="E701" s="79"/>
      <c r="O701" s="79"/>
      <c r="S701" s="79"/>
      <c r="T701" s="79"/>
      <c r="Y701" s="79"/>
      <c r="AD701" s="130"/>
      <c r="AF701" s="106"/>
    </row>
    <row r="702">
      <c r="C702" s="79"/>
      <c r="D702" s="79"/>
      <c r="E702" s="79"/>
      <c r="O702" s="79"/>
      <c r="S702" s="79"/>
      <c r="T702" s="79"/>
      <c r="Y702" s="79"/>
      <c r="AD702" s="130"/>
      <c r="AF702" s="106"/>
    </row>
    <row r="703">
      <c r="C703" s="79"/>
      <c r="D703" s="79"/>
      <c r="E703" s="79"/>
      <c r="O703" s="79"/>
      <c r="S703" s="79"/>
      <c r="T703" s="79"/>
      <c r="Y703" s="79"/>
      <c r="AD703" s="130"/>
      <c r="AF703" s="106"/>
    </row>
    <row r="704">
      <c r="C704" s="79"/>
      <c r="D704" s="79"/>
      <c r="E704" s="79"/>
      <c r="O704" s="79"/>
      <c r="S704" s="79"/>
      <c r="T704" s="79"/>
      <c r="Y704" s="79"/>
      <c r="AD704" s="130"/>
      <c r="AF704" s="106"/>
    </row>
    <row r="705">
      <c r="C705" s="79"/>
      <c r="D705" s="79"/>
      <c r="E705" s="79"/>
      <c r="O705" s="79"/>
      <c r="S705" s="79"/>
      <c r="T705" s="79"/>
      <c r="Y705" s="79"/>
      <c r="AD705" s="130"/>
      <c r="AF705" s="106"/>
    </row>
    <row r="706">
      <c r="C706" s="79"/>
      <c r="D706" s="79"/>
      <c r="E706" s="79"/>
      <c r="O706" s="79"/>
      <c r="S706" s="79"/>
      <c r="T706" s="79"/>
      <c r="Y706" s="79"/>
      <c r="AD706" s="130"/>
      <c r="AF706" s="106"/>
    </row>
    <row r="707">
      <c r="C707" s="79"/>
      <c r="D707" s="79"/>
      <c r="E707" s="79"/>
      <c r="O707" s="79"/>
      <c r="S707" s="79"/>
      <c r="T707" s="79"/>
      <c r="Y707" s="79"/>
      <c r="AD707" s="130"/>
      <c r="AF707" s="106"/>
    </row>
    <row r="708">
      <c r="C708" s="79"/>
      <c r="D708" s="79"/>
      <c r="E708" s="79"/>
      <c r="O708" s="79"/>
      <c r="S708" s="79"/>
      <c r="T708" s="79"/>
      <c r="Y708" s="79"/>
      <c r="AD708" s="130"/>
      <c r="AF708" s="106"/>
    </row>
    <row r="709">
      <c r="C709" s="79"/>
      <c r="D709" s="79"/>
      <c r="E709" s="79"/>
      <c r="O709" s="79"/>
      <c r="S709" s="79"/>
      <c r="T709" s="79"/>
      <c r="Y709" s="79"/>
      <c r="AD709" s="130"/>
      <c r="AF709" s="106"/>
    </row>
    <row r="710">
      <c r="C710" s="79"/>
      <c r="D710" s="79"/>
      <c r="E710" s="79"/>
      <c r="O710" s="79"/>
      <c r="S710" s="79"/>
      <c r="T710" s="79"/>
      <c r="Y710" s="79"/>
      <c r="AD710" s="130"/>
      <c r="AF710" s="106"/>
    </row>
    <row r="711">
      <c r="C711" s="79"/>
      <c r="D711" s="79"/>
      <c r="E711" s="79"/>
      <c r="O711" s="79"/>
      <c r="S711" s="79"/>
      <c r="T711" s="79"/>
      <c r="Y711" s="79"/>
      <c r="AD711" s="130"/>
      <c r="AF711" s="106"/>
    </row>
    <row r="712">
      <c r="C712" s="79"/>
      <c r="D712" s="79"/>
      <c r="E712" s="79"/>
      <c r="O712" s="79"/>
      <c r="S712" s="79"/>
      <c r="T712" s="79"/>
      <c r="Y712" s="79"/>
      <c r="AD712" s="130"/>
      <c r="AF712" s="106"/>
    </row>
    <row r="713">
      <c r="C713" s="79"/>
      <c r="D713" s="79"/>
      <c r="E713" s="79"/>
      <c r="O713" s="79"/>
      <c r="S713" s="79"/>
      <c r="T713" s="79"/>
      <c r="Y713" s="79"/>
      <c r="AD713" s="130"/>
      <c r="AF713" s="106"/>
    </row>
    <row r="714">
      <c r="C714" s="79"/>
      <c r="D714" s="79"/>
      <c r="E714" s="79"/>
      <c r="O714" s="79"/>
      <c r="S714" s="79"/>
      <c r="T714" s="79"/>
      <c r="Y714" s="79"/>
      <c r="AD714" s="130"/>
      <c r="AF714" s="106"/>
    </row>
    <row r="715">
      <c r="C715" s="79"/>
      <c r="D715" s="79"/>
      <c r="E715" s="79"/>
      <c r="O715" s="79"/>
      <c r="S715" s="79"/>
      <c r="T715" s="79"/>
      <c r="Y715" s="79"/>
      <c r="AD715" s="130"/>
      <c r="AF715" s="106"/>
    </row>
    <row r="716">
      <c r="C716" s="79"/>
      <c r="D716" s="79"/>
      <c r="E716" s="79"/>
      <c r="O716" s="79"/>
      <c r="S716" s="79"/>
      <c r="T716" s="79"/>
      <c r="Y716" s="79"/>
      <c r="AD716" s="130"/>
      <c r="AF716" s="106"/>
    </row>
    <row r="717">
      <c r="C717" s="79"/>
      <c r="D717" s="79"/>
      <c r="E717" s="79"/>
      <c r="O717" s="79"/>
      <c r="S717" s="79"/>
      <c r="T717" s="79"/>
      <c r="Y717" s="79"/>
      <c r="AD717" s="130"/>
      <c r="AF717" s="106"/>
    </row>
    <row r="718">
      <c r="C718" s="79"/>
      <c r="D718" s="79"/>
      <c r="E718" s="79"/>
      <c r="O718" s="79"/>
      <c r="S718" s="79"/>
      <c r="T718" s="79"/>
      <c r="Y718" s="79"/>
      <c r="AD718" s="130"/>
      <c r="AF718" s="106"/>
    </row>
    <row r="719">
      <c r="C719" s="79"/>
      <c r="D719" s="79"/>
      <c r="E719" s="79"/>
      <c r="O719" s="79"/>
      <c r="S719" s="79"/>
      <c r="T719" s="79"/>
      <c r="Y719" s="79"/>
      <c r="AD719" s="130"/>
      <c r="AF719" s="106"/>
    </row>
    <row r="720">
      <c r="C720" s="79"/>
      <c r="D720" s="79"/>
      <c r="E720" s="79"/>
      <c r="O720" s="79"/>
      <c r="S720" s="79"/>
      <c r="T720" s="79"/>
      <c r="Y720" s="79"/>
      <c r="AD720" s="130"/>
      <c r="AF720" s="106"/>
    </row>
    <row r="721">
      <c r="C721" s="79"/>
      <c r="D721" s="79"/>
      <c r="E721" s="79"/>
      <c r="O721" s="79"/>
      <c r="S721" s="79"/>
      <c r="T721" s="79"/>
      <c r="Y721" s="79"/>
      <c r="AD721" s="130"/>
      <c r="AF721" s="106"/>
    </row>
    <row r="722">
      <c r="C722" s="79"/>
      <c r="D722" s="79"/>
      <c r="E722" s="79"/>
      <c r="O722" s="79"/>
      <c r="S722" s="79"/>
      <c r="T722" s="79"/>
      <c r="Y722" s="79"/>
      <c r="AD722" s="130"/>
      <c r="AF722" s="106"/>
    </row>
    <row r="723">
      <c r="C723" s="79"/>
      <c r="D723" s="79"/>
      <c r="E723" s="79"/>
      <c r="O723" s="79"/>
      <c r="S723" s="79"/>
      <c r="T723" s="79"/>
      <c r="Y723" s="79"/>
      <c r="AD723" s="130"/>
      <c r="AF723" s="106"/>
    </row>
    <row r="724">
      <c r="C724" s="79"/>
      <c r="D724" s="79"/>
      <c r="E724" s="79"/>
      <c r="O724" s="79"/>
      <c r="S724" s="79"/>
      <c r="T724" s="79"/>
      <c r="Y724" s="79"/>
      <c r="AD724" s="130"/>
      <c r="AF724" s="106"/>
    </row>
    <row r="725">
      <c r="C725" s="79"/>
      <c r="D725" s="79"/>
      <c r="E725" s="79"/>
      <c r="O725" s="79"/>
      <c r="S725" s="79"/>
      <c r="T725" s="79"/>
      <c r="Y725" s="79"/>
      <c r="AD725" s="130"/>
      <c r="AF725" s="106"/>
    </row>
    <row r="726">
      <c r="C726" s="79"/>
      <c r="D726" s="79"/>
      <c r="E726" s="79"/>
      <c r="O726" s="79"/>
      <c r="S726" s="79"/>
      <c r="T726" s="79"/>
      <c r="Y726" s="79"/>
      <c r="AD726" s="130"/>
      <c r="AF726" s="106"/>
    </row>
    <row r="727">
      <c r="C727" s="79"/>
      <c r="D727" s="79"/>
      <c r="E727" s="79"/>
      <c r="O727" s="79"/>
      <c r="S727" s="79"/>
      <c r="T727" s="79"/>
      <c r="Y727" s="79"/>
      <c r="AD727" s="130"/>
      <c r="AF727" s="106"/>
    </row>
    <row r="728">
      <c r="C728" s="79"/>
      <c r="D728" s="79"/>
      <c r="E728" s="79"/>
      <c r="O728" s="79"/>
      <c r="S728" s="79"/>
      <c r="T728" s="79"/>
      <c r="Y728" s="79"/>
      <c r="AD728" s="130"/>
      <c r="AF728" s="106"/>
    </row>
    <row r="729">
      <c r="C729" s="79"/>
      <c r="D729" s="79"/>
      <c r="E729" s="79"/>
      <c r="O729" s="79"/>
      <c r="S729" s="79"/>
      <c r="T729" s="79"/>
      <c r="Y729" s="79"/>
      <c r="AD729" s="130"/>
      <c r="AF729" s="106"/>
    </row>
    <row r="730">
      <c r="C730" s="79"/>
      <c r="D730" s="79"/>
      <c r="E730" s="79"/>
      <c r="O730" s="79"/>
      <c r="S730" s="79"/>
      <c r="T730" s="79"/>
      <c r="Y730" s="79"/>
      <c r="AD730" s="130"/>
      <c r="AF730" s="106"/>
    </row>
    <row r="731">
      <c r="C731" s="79"/>
      <c r="D731" s="79"/>
      <c r="E731" s="79"/>
      <c r="O731" s="79"/>
      <c r="S731" s="79"/>
      <c r="T731" s="79"/>
      <c r="Y731" s="79"/>
      <c r="AD731" s="130"/>
      <c r="AF731" s="106"/>
    </row>
    <row r="732">
      <c r="C732" s="79"/>
      <c r="D732" s="79"/>
      <c r="E732" s="79"/>
      <c r="O732" s="79"/>
      <c r="S732" s="79"/>
      <c r="T732" s="79"/>
      <c r="Y732" s="79"/>
      <c r="AD732" s="130"/>
      <c r="AF732" s="106"/>
    </row>
    <row r="733">
      <c r="C733" s="79"/>
      <c r="D733" s="79"/>
      <c r="E733" s="79"/>
      <c r="O733" s="79"/>
      <c r="S733" s="79"/>
      <c r="T733" s="79"/>
      <c r="Y733" s="79"/>
      <c r="AD733" s="130"/>
      <c r="AF733" s="106"/>
    </row>
    <row r="734">
      <c r="C734" s="79"/>
      <c r="D734" s="79"/>
      <c r="E734" s="79"/>
      <c r="O734" s="79"/>
      <c r="S734" s="79"/>
      <c r="T734" s="79"/>
      <c r="Y734" s="79"/>
      <c r="AD734" s="130"/>
      <c r="AF734" s="106"/>
    </row>
    <row r="735">
      <c r="C735" s="79"/>
      <c r="D735" s="79"/>
      <c r="E735" s="79"/>
      <c r="O735" s="79"/>
      <c r="S735" s="79"/>
      <c r="T735" s="79"/>
      <c r="Y735" s="79"/>
      <c r="AD735" s="130"/>
      <c r="AF735" s="106"/>
    </row>
    <row r="736">
      <c r="C736" s="79"/>
      <c r="D736" s="79"/>
      <c r="E736" s="79"/>
      <c r="O736" s="79"/>
      <c r="S736" s="79"/>
      <c r="T736" s="79"/>
      <c r="Y736" s="79"/>
      <c r="AD736" s="130"/>
      <c r="AF736" s="106"/>
    </row>
    <row r="737">
      <c r="C737" s="79"/>
      <c r="D737" s="79"/>
      <c r="E737" s="79"/>
      <c r="O737" s="79"/>
      <c r="S737" s="79"/>
      <c r="T737" s="79"/>
      <c r="Y737" s="79"/>
      <c r="AD737" s="130"/>
      <c r="AF737" s="106"/>
    </row>
    <row r="738">
      <c r="C738" s="79"/>
      <c r="D738" s="79"/>
      <c r="E738" s="79"/>
      <c r="O738" s="79"/>
      <c r="S738" s="79"/>
      <c r="T738" s="79"/>
      <c r="Y738" s="79"/>
      <c r="AD738" s="130"/>
      <c r="AF738" s="106"/>
    </row>
    <row r="739">
      <c r="C739" s="79"/>
      <c r="D739" s="79"/>
      <c r="E739" s="79"/>
      <c r="O739" s="79"/>
      <c r="S739" s="79"/>
      <c r="T739" s="79"/>
      <c r="Y739" s="79"/>
      <c r="AD739" s="130"/>
      <c r="AF739" s="106"/>
    </row>
    <row r="740">
      <c r="C740" s="79"/>
      <c r="D740" s="79"/>
      <c r="E740" s="79"/>
      <c r="O740" s="79"/>
      <c r="S740" s="79"/>
      <c r="T740" s="79"/>
      <c r="Y740" s="79"/>
      <c r="AD740" s="130"/>
      <c r="AF740" s="106"/>
    </row>
    <row r="741">
      <c r="C741" s="79"/>
      <c r="D741" s="79"/>
      <c r="E741" s="79"/>
      <c r="O741" s="79"/>
      <c r="S741" s="79"/>
      <c r="T741" s="79"/>
      <c r="Y741" s="79"/>
      <c r="AD741" s="130"/>
      <c r="AF741" s="106"/>
    </row>
    <row r="742">
      <c r="C742" s="79"/>
      <c r="D742" s="79"/>
      <c r="E742" s="79"/>
      <c r="O742" s="79"/>
      <c r="S742" s="79"/>
      <c r="T742" s="79"/>
      <c r="Y742" s="79"/>
      <c r="AD742" s="130"/>
      <c r="AF742" s="106"/>
    </row>
    <row r="743">
      <c r="C743" s="79"/>
      <c r="D743" s="79"/>
      <c r="E743" s="79"/>
      <c r="O743" s="79"/>
      <c r="S743" s="79"/>
      <c r="T743" s="79"/>
      <c r="Y743" s="79"/>
      <c r="AD743" s="130"/>
      <c r="AF743" s="106"/>
    </row>
    <row r="744">
      <c r="C744" s="79"/>
      <c r="D744" s="79"/>
      <c r="E744" s="79"/>
      <c r="O744" s="79"/>
      <c r="S744" s="79"/>
      <c r="T744" s="79"/>
      <c r="Y744" s="79"/>
      <c r="AD744" s="130"/>
      <c r="AF744" s="106"/>
    </row>
    <row r="745">
      <c r="C745" s="79"/>
      <c r="D745" s="79"/>
      <c r="E745" s="79"/>
      <c r="O745" s="79"/>
      <c r="S745" s="79"/>
      <c r="T745" s="79"/>
      <c r="Y745" s="79"/>
      <c r="AD745" s="130"/>
      <c r="AF745" s="106"/>
    </row>
    <row r="746">
      <c r="C746" s="79"/>
      <c r="D746" s="79"/>
      <c r="E746" s="79"/>
      <c r="O746" s="79"/>
      <c r="S746" s="79"/>
      <c r="T746" s="79"/>
      <c r="Y746" s="79"/>
      <c r="AD746" s="130"/>
      <c r="AF746" s="106"/>
    </row>
    <row r="747">
      <c r="C747" s="79"/>
      <c r="D747" s="79"/>
      <c r="E747" s="79"/>
      <c r="O747" s="79"/>
      <c r="S747" s="79"/>
      <c r="T747" s="79"/>
      <c r="Y747" s="79"/>
      <c r="AD747" s="130"/>
      <c r="AF747" s="106"/>
    </row>
    <row r="748">
      <c r="C748" s="79"/>
      <c r="D748" s="79"/>
      <c r="E748" s="79"/>
      <c r="O748" s="79"/>
      <c r="S748" s="79"/>
      <c r="T748" s="79"/>
      <c r="Y748" s="79"/>
      <c r="AD748" s="130"/>
      <c r="AF748" s="106"/>
    </row>
    <row r="749">
      <c r="C749" s="79"/>
      <c r="D749" s="79"/>
      <c r="E749" s="79"/>
      <c r="O749" s="79"/>
      <c r="S749" s="79"/>
      <c r="T749" s="79"/>
      <c r="Y749" s="79"/>
      <c r="AD749" s="130"/>
      <c r="AF749" s="106"/>
    </row>
    <row r="750">
      <c r="C750" s="79"/>
      <c r="D750" s="79"/>
      <c r="E750" s="79"/>
      <c r="O750" s="79"/>
      <c r="S750" s="79"/>
      <c r="T750" s="79"/>
      <c r="Y750" s="79"/>
      <c r="AD750" s="130"/>
      <c r="AF750" s="106"/>
    </row>
    <row r="751">
      <c r="C751" s="79"/>
      <c r="D751" s="79"/>
      <c r="E751" s="79"/>
      <c r="O751" s="79"/>
      <c r="S751" s="79"/>
      <c r="T751" s="79"/>
      <c r="Y751" s="79"/>
      <c r="AD751" s="130"/>
      <c r="AF751" s="106"/>
    </row>
    <row r="752">
      <c r="C752" s="79"/>
      <c r="D752" s="79"/>
      <c r="E752" s="79"/>
      <c r="O752" s="79"/>
      <c r="S752" s="79"/>
      <c r="T752" s="79"/>
      <c r="Y752" s="79"/>
      <c r="AD752" s="130"/>
      <c r="AF752" s="106"/>
    </row>
    <row r="753">
      <c r="C753" s="79"/>
      <c r="D753" s="79"/>
      <c r="E753" s="79"/>
      <c r="O753" s="79"/>
      <c r="S753" s="79"/>
      <c r="T753" s="79"/>
      <c r="Y753" s="79"/>
      <c r="AD753" s="130"/>
      <c r="AF753" s="106"/>
    </row>
    <row r="754">
      <c r="C754" s="79"/>
      <c r="D754" s="79"/>
      <c r="E754" s="79"/>
      <c r="O754" s="79"/>
      <c r="S754" s="79"/>
      <c r="T754" s="79"/>
      <c r="Y754" s="79"/>
      <c r="AD754" s="130"/>
      <c r="AF754" s="106"/>
    </row>
    <row r="755">
      <c r="C755" s="79"/>
      <c r="D755" s="79"/>
      <c r="E755" s="79"/>
      <c r="O755" s="79"/>
      <c r="S755" s="79"/>
      <c r="T755" s="79"/>
      <c r="Y755" s="79"/>
      <c r="AD755" s="130"/>
      <c r="AF755" s="106"/>
    </row>
    <row r="756">
      <c r="C756" s="79"/>
      <c r="D756" s="79"/>
      <c r="E756" s="79"/>
      <c r="O756" s="79"/>
      <c r="S756" s="79"/>
      <c r="T756" s="79"/>
      <c r="Y756" s="79"/>
      <c r="AD756" s="130"/>
      <c r="AF756" s="106"/>
    </row>
    <row r="757">
      <c r="C757" s="79"/>
      <c r="D757" s="79"/>
      <c r="E757" s="79"/>
      <c r="O757" s="79"/>
      <c r="S757" s="79"/>
      <c r="T757" s="79"/>
      <c r="Y757" s="79"/>
      <c r="AD757" s="130"/>
      <c r="AF757" s="106"/>
    </row>
    <row r="758">
      <c r="C758" s="79"/>
      <c r="D758" s="79"/>
      <c r="E758" s="79"/>
      <c r="O758" s="79"/>
      <c r="S758" s="79"/>
      <c r="T758" s="79"/>
      <c r="Y758" s="79"/>
      <c r="AD758" s="130"/>
      <c r="AF758" s="106"/>
    </row>
    <row r="759">
      <c r="C759" s="79"/>
      <c r="D759" s="79"/>
      <c r="E759" s="79"/>
      <c r="O759" s="79"/>
      <c r="S759" s="79"/>
      <c r="T759" s="79"/>
      <c r="Y759" s="79"/>
      <c r="AD759" s="130"/>
      <c r="AF759" s="106"/>
    </row>
    <row r="760">
      <c r="C760" s="79"/>
      <c r="D760" s="79"/>
      <c r="E760" s="79"/>
      <c r="O760" s="79"/>
      <c r="S760" s="79"/>
      <c r="T760" s="79"/>
      <c r="Y760" s="79"/>
      <c r="AD760" s="130"/>
      <c r="AF760" s="106"/>
    </row>
    <row r="761">
      <c r="C761" s="79"/>
      <c r="D761" s="79"/>
      <c r="E761" s="79"/>
      <c r="O761" s="79"/>
      <c r="S761" s="79"/>
      <c r="T761" s="79"/>
      <c r="Y761" s="79"/>
      <c r="AD761" s="130"/>
      <c r="AF761" s="106"/>
    </row>
    <row r="762">
      <c r="C762" s="79"/>
      <c r="D762" s="79"/>
      <c r="E762" s="79"/>
      <c r="O762" s="79"/>
      <c r="S762" s="79"/>
      <c r="T762" s="79"/>
      <c r="Y762" s="79"/>
      <c r="AD762" s="130"/>
      <c r="AF762" s="106"/>
    </row>
    <row r="763">
      <c r="C763" s="79"/>
      <c r="D763" s="79"/>
      <c r="E763" s="79"/>
      <c r="O763" s="79"/>
      <c r="S763" s="79"/>
      <c r="T763" s="79"/>
      <c r="Y763" s="79"/>
      <c r="AD763" s="130"/>
      <c r="AF763" s="106"/>
    </row>
    <row r="764">
      <c r="C764" s="79"/>
      <c r="D764" s="79"/>
      <c r="E764" s="79"/>
      <c r="O764" s="79"/>
      <c r="S764" s="79"/>
      <c r="T764" s="79"/>
      <c r="Y764" s="79"/>
      <c r="AD764" s="130"/>
      <c r="AF764" s="106"/>
    </row>
    <row r="765">
      <c r="C765" s="79"/>
      <c r="D765" s="79"/>
      <c r="E765" s="79"/>
      <c r="O765" s="79"/>
      <c r="S765" s="79"/>
      <c r="T765" s="79"/>
      <c r="Y765" s="79"/>
      <c r="AD765" s="130"/>
      <c r="AF765" s="106"/>
    </row>
    <row r="766">
      <c r="C766" s="79"/>
      <c r="D766" s="79"/>
      <c r="E766" s="79"/>
      <c r="O766" s="79"/>
      <c r="S766" s="79"/>
      <c r="T766" s="79"/>
      <c r="Y766" s="79"/>
      <c r="AD766" s="130"/>
      <c r="AF766" s="106"/>
    </row>
    <row r="767">
      <c r="C767" s="79"/>
      <c r="D767" s="79"/>
      <c r="E767" s="79"/>
      <c r="O767" s="79"/>
      <c r="S767" s="79"/>
      <c r="T767" s="79"/>
      <c r="Y767" s="79"/>
      <c r="AD767" s="130"/>
      <c r="AF767" s="106"/>
    </row>
    <row r="768">
      <c r="C768" s="79"/>
      <c r="D768" s="79"/>
      <c r="E768" s="79"/>
      <c r="O768" s="79"/>
      <c r="S768" s="79"/>
      <c r="T768" s="79"/>
      <c r="Y768" s="79"/>
      <c r="AD768" s="130"/>
      <c r="AF768" s="106"/>
    </row>
    <row r="769">
      <c r="C769" s="79"/>
      <c r="D769" s="79"/>
      <c r="E769" s="79"/>
      <c r="O769" s="79"/>
      <c r="S769" s="79"/>
      <c r="T769" s="79"/>
      <c r="Y769" s="79"/>
      <c r="AD769" s="130"/>
      <c r="AF769" s="106"/>
    </row>
    <row r="770">
      <c r="C770" s="79"/>
      <c r="D770" s="79"/>
      <c r="E770" s="79"/>
      <c r="O770" s="79"/>
      <c r="S770" s="79"/>
      <c r="T770" s="79"/>
      <c r="Y770" s="79"/>
      <c r="AD770" s="130"/>
      <c r="AF770" s="106"/>
    </row>
    <row r="771">
      <c r="C771" s="79"/>
      <c r="D771" s="79"/>
      <c r="E771" s="79"/>
      <c r="O771" s="79"/>
      <c r="S771" s="79"/>
      <c r="T771" s="79"/>
      <c r="Y771" s="79"/>
      <c r="AD771" s="130"/>
      <c r="AF771" s="106"/>
    </row>
    <row r="772">
      <c r="C772" s="79"/>
      <c r="D772" s="79"/>
      <c r="E772" s="79"/>
      <c r="O772" s="79"/>
      <c r="S772" s="79"/>
      <c r="T772" s="79"/>
      <c r="Y772" s="79"/>
      <c r="AD772" s="130"/>
      <c r="AF772" s="106"/>
    </row>
    <row r="773">
      <c r="C773" s="79"/>
      <c r="D773" s="79"/>
      <c r="E773" s="79"/>
      <c r="O773" s="79"/>
      <c r="S773" s="79"/>
      <c r="T773" s="79"/>
      <c r="Y773" s="79"/>
      <c r="AD773" s="130"/>
      <c r="AF773" s="106"/>
    </row>
    <row r="774">
      <c r="C774" s="79"/>
      <c r="D774" s="79"/>
      <c r="E774" s="79"/>
      <c r="O774" s="79"/>
      <c r="S774" s="79"/>
      <c r="T774" s="79"/>
      <c r="Y774" s="79"/>
      <c r="AD774" s="130"/>
      <c r="AF774" s="106"/>
    </row>
    <row r="775">
      <c r="C775" s="79"/>
      <c r="D775" s="79"/>
      <c r="E775" s="79"/>
      <c r="O775" s="79"/>
      <c r="S775" s="79"/>
      <c r="T775" s="79"/>
      <c r="Y775" s="79"/>
      <c r="AD775" s="130"/>
      <c r="AF775" s="106"/>
    </row>
    <row r="776">
      <c r="C776" s="79"/>
      <c r="D776" s="79"/>
      <c r="E776" s="79"/>
      <c r="O776" s="79"/>
      <c r="S776" s="79"/>
      <c r="T776" s="79"/>
      <c r="Y776" s="79"/>
      <c r="AD776" s="130"/>
      <c r="AF776" s="106"/>
    </row>
    <row r="777">
      <c r="C777" s="79"/>
      <c r="D777" s="79"/>
      <c r="E777" s="79"/>
      <c r="O777" s="79"/>
      <c r="S777" s="79"/>
      <c r="T777" s="79"/>
      <c r="Y777" s="79"/>
      <c r="AD777" s="130"/>
      <c r="AF777" s="106"/>
    </row>
    <row r="778">
      <c r="C778" s="79"/>
      <c r="D778" s="79"/>
      <c r="E778" s="79"/>
      <c r="O778" s="79"/>
      <c r="S778" s="79"/>
      <c r="T778" s="79"/>
      <c r="Y778" s="79"/>
      <c r="AD778" s="130"/>
      <c r="AF778" s="106"/>
    </row>
    <row r="779">
      <c r="C779" s="79"/>
      <c r="D779" s="79"/>
      <c r="E779" s="79"/>
      <c r="O779" s="79"/>
      <c r="S779" s="79"/>
      <c r="T779" s="79"/>
      <c r="Y779" s="79"/>
      <c r="AD779" s="130"/>
      <c r="AF779" s="106"/>
    </row>
    <row r="780">
      <c r="C780" s="79"/>
      <c r="D780" s="79"/>
      <c r="E780" s="79"/>
      <c r="O780" s="79"/>
      <c r="S780" s="79"/>
      <c r="T780" s="79"/>
      <c r="Y780" s="79"/>
      <c r="AD780" s="130"/>
      <c r="AF780" s="106"/>
    </row>
    <row r="781">
      <c r="C781" s="79"/>
      <c r="D781" s="79"/>
      <c r="E781" s="79"/>
      <c r="O781" s="79"/>
      <c r="S781" s="79"/>
      <c r="T781" s="79"/>
      <c r="Y781" s="79"/>
      <c r="AD781" s="130"/>
      <c r="AF781" s="106"/>
    </row>
    <row r="782">
      <c r="C782" s="79"/>
      <c r="D782" s="79"/>
      <c r="E782" s="79"/>
      <c r="O782" s="79"/>
      <c r="S782" s="79"/>
      <c r="T782" s="79"/>
      <c r="Y782" s="79"/>
      <c r="AD782" s="130"/>
      <c r="AF782" s="106"/>
    </row>
    <row r="783">
      <c r="C783" s="79"/>
      <c r="D783" s="79"/>
      <c r="E783" s="79"/>
      <c r="O783" s="79"/>
      <c r="S783" s="79"/>
      <c r="T783" s="79"/>
      <c r="Y783" s="79"/>
      <c r="AD783" s="130"/>
      <c r="AF783" s="106"/>
    </row>
    <row r="784">
      <c r="C784" s="79"/>
      <c r="D784" s="79"/>
      <c r="E784" s="79"/>
      <c r="O784" s="79"/>
      <c r="S784" s="79"/>
      <c r="T784" s="79"/>
      <c r="Y784" s="79"/>
      <c r="AD784" s="130"/>
      <c r="AF784" s="106"/>
    </row>
    <row r="785">
      <c r="C785" s="79"/>
      <c r="D785" s="79"/>
      <c r="E785" s="79"/>
      <c r="O785" s="79"/>
      <c r="S785" s="79"/>
      <c r="T785" s="79"/>
      <c r="Y785" s="79"/>
      <c r="AD785" s="130"/>
      <c r="AF785" s="106"/>
    </row>
    <row r="786">
      <c r="C786" s="79"/>
      <c r="D786" s="79"/>
      <c r="E786" s="79"/>
      <c r="O786" s="79"/>
      <c r="S786" s="79"/>
      <c r="T786" s="79"/>
      <c r="Y786" s="79"/>
      <c r="AD786" s="130"/>
      <c r="AF786" s="106"/>
    </row>
    <row r="787">
      <c r="C787" s="79"/>
      <c r="D787" s="79"/>
      <c r="E787" s="79"/>
      <c r="O787" s="79"/>
      <c r="S787" s="79"/>
      <c r="T787" s="79"/>
      <c r="Y787" s="79"/>
      <c r="AD787" s="130"/>
      <c r="AF787" s="106"/>
    </row>
    <row r="788">
      <c r="C788" s="79"/>
      <c r="D788" s="79"/>
      <c r="E788" s="79"/>
      <c r="O788" s="79"/>
      <c r="S788" s="79"/>
      <c r="T788" s="79"/>
      <c r="Y788" s="79"/>
      <c r="AD788" s="130"/>
      <c r="AF788" s="106"/>
    </row>
    <row r="789">
      <c r="C789" s="79"/>
      <c r="D789" s="79"/>
      <c r="E789" s="79"/>
      <c r="O789" s="79"/>
      <c r="S789" s="79"/>
      <c r="T789" s="79"/>
      <c r="Y789" s="79"/>
      <c r="AD789" s="130"/>
      <c r="AF789" s="106"/>
    </row>
    <row r="790">
      <c r="C790" s="79"/>
      <c r="D790" s="79"/>
      <c r="E790" s="79"/>
      <c r="O790" s="79"/>
      <c r="S790" s="79"/>
      <c r="T790" s="79"/>
      <c r="Y790" s="79"/>
      <c r="AD790" s="130"/>
      <c r="AF790" s="106"/>
    </row>
    <row r="791">
      <c r="C791" s="79"/>
      <c r="D791" s="79"/>
      <c r="E791" s="79"/>
      <c r="O791" s="79"/>
      <c r="S791" s="79"/>
      <c r="T791" s="79"/>
      <c r="Y791" s="79"/>
      <c r="AD791" s="130"/>
      <c r="AF791" s="106"/>
    </row>
    <row r="792">
      <c r="C792" s="79"/>
      <c r="D792" s="79"/>
      <c r="E792" s="79"/>
      <c r="O792" s="79"/>
      <c r="S792" s="79"/>
      <c r="T792" s="79"/>
      <c r="Y792" s="79"/>
      <c r="AD792" s="130"/>
      <c r="AF792" s="106"/>
    </row>
    <row r="793">
      <c r="C793" s="79"/>
      <c r="D793" s="79"/>
      <c r="E793" s="79"/>
      <c r="O793" s="79"/>
      <c r="S793" s="79"/>
      <c r="T793" s="79"/>
      <c r="Y793" s="79"/>
      <c r="AD793" s="130"/>
      <c r="AF793" s="106"/>
    </row>
    <row r="794">
      <c r="C794" s="79"/>
      <c r="D794" s="79"/>
      <c r="E794" s="79"/>
      <c r="O794" s="79"/>
      <c r="S794" s="79"/>
      <c r="T794" s="79"/>
      <c r="Y794" s="79"/>
      <c r="AD794" s="130"/>
      <c r="AF794" s="106"/>
    </row>
    <row r="795">
      <c r="C795" s="79"/>
      <c r="D795" s="79"/>
      <c r="E795" s="79"/>
      <c r="O795" s="79"/>
      <c r="S795" s="79"/>
      <c r="T795" s="79"/>
      <c r="Y795" s="79"/>
      <c r="AD795" s="130"/>
      <c r="AF795" s="106"/>
    </row>
    <row r="796">
      <c r="C796" s="79"/>
      <c r="D796" s="79"/>
      <c r="E796" s="79"/>
      <c r="O796" s="79"/>
      <c r="S796" s="79"/>
      <c r="T796" s="79"/>
      <c r="Y796" s="79"/>
      <c r="AD796" s="130"/>
      <c r="AF796" s="106"/>
    </row>
    <row r="797">
      <c r="C797" s="79"/>
      <c r="D797" s="79"/>
      <c r="E797" s="79"/>
      <c r="O797" s="79"/>
      <c r="S797" s="79"/>
      <c r="T797" s="79"/>
      <c r="Y797" s="79"/>
      <c r="AD797" s="130"/>
      <c r="AF797" s="106"/>
    </row>
    <row r="798">
      <c r="C798" s="79"/>
      <c r="D798" s="79"/>
      <c r="E798" s="79"/>
      <c r="O798" s="79"/>
      <c r="S798" s="79"/>
      <c r="T798" s="79"/>
      <c r="Y798" s="79"/>
      <c r="AD798" s="130"/>
      <c r="AF798" s="106"/>
    </row>
    <row r="799">
      <c r="C799" s="79"/>
      <c r="D799" s="79"/>
      <c r="E799" s="79"/>
      <c r="O799" s="79"/>
      <c r="S799" s="79"/>
      <c r="T799" s="79"/>
      <c r="Y799" s="79"/>
      <c r="AD799" s="130"/>
      <c r="AF799" s="106"/>
    </row>
    <row r="800">
      <c r="C800" s="79"/>
      <c r="D800" s="79"/>
      <c r="E800" s="79"/>
      <c r="O800" s="79"/>
      <c r="S800" s="79"/>
      <c r="T800" s="79"/>
      <c r="Y800" s="79"/>
      <c r="AD800" s="130"/>
      <c r="AF800" s="106"/>
    </row>
    <row r="801">
      <c r="C801" s="79"/>
      <c r="D801" s="79"/>
      <c r="E801" s="79"/>
      <c r="O801" s="79"/>
      <c r="S801" s="79"/>
      <c r="T801" s="79"/>
      <c r="Y801" s="79"/>
      <c r="AD801" s="130"/>
      <c r="AF801" s="106"/>
    </row>
    <row r="802">
      <c r="C802" s="79"/>
      <c r="D802" s="79"/>
      <c r="E802" s="79"/>
      <c r="O802" s="79"/>
      <c r="S802" s="79"/>
      <c r="T802" s="79"/>
      <c r="Y802" s="79"/>
      <c r="AD802" s="130"/>
      <c r="AF802" s="106"/>
    </row>
    <row r="803">
      <c r="C803" s="79"/>
      <c r="D803" s="79"/>
      <c r="E803" s="79"/>
      <c r="O803" s="79"/>
      <c r="S803" s="79"/>
      <c r="T803" s="79"/>
      <c r="Y803" s="79"/>
      <c r="AD803" s="130"/>
      <c r="AF803" s="106"/>
    </row>
    <row r="804">
      <c r="C804" s="79"/>
      <c r="D804" s="79"/>
      <c r="E804" s="79"/>
      <c r="O804" s="79"/>
      <c r="S804" s="79"/>
      <c r="T804" s="79"/>
      <c r="Y804" s="79"/>
      <c r="AD804" s="130"/>
      <c r="AF804" s="106"/>
    </row>
    <row r="805">
      <c r="C805" s="79"/>
      <c r="D805" s="79"/>
      <c r="E805" s="79"/>
      <c r="O805" s="79"/>
      <c r="S805" s="79"/>
      <c r="T805" s="79"/>
      <c r="Y805" s="79"/>
      <c r="AD805" s="130"/>
      <c r="AF805" s="106"/>
    </row>
    <row r="806">
      <c r="C806" s="79"/>
      <c r="D806" s="79"/>
      <c r="E806" s="79"/>
      <c r="O806" s="79"/>
      <c r="S806" s="79"/>
      <c r="T806" s="79"/>
      <c r="Y806" s="79"/>
      <c r="AD806" s="130"/>
      <c r="AF806" s="106"/>
    </row>
    <row r="807">
      <c r="C807" s="79"/>
      <c r="D807" s="79"/>
      <c r="E807" s="79"/>
      <c r="O807" s="79"/>
      <c r="S807" s="79"/>
      <c r="T807" s="79"/>
      <c r="Y807" s="79"/>
      <c r="AD807" s="130"/>
      <c r="AF807" s="106"/>
    </row>
    <row r="808">
      <c r="C808" s="79"/>
      <c r="D808" s="79"/>
      <c r="E808" s="79"/>
      <c r="O808" s="79"/>
      <c r="S808" s="79"/>
      <c r="T808" s="79"/>
      <c r="Y808" s="79"/>
      <c r="AD808" s="130"/>
      <c r="AF808" s="106"/>
    </row>
    <row r="809">
      <c r="C809" s="79"/>
      <c r="D809" s="79"/>
      <c r="E809" s="79"/>
      <c r="O809" s="79"/>
      <c r="S809" s="79"/>
      <c r="T809" s="79"/>
      <c r="Y809" s="79"/>
      <c r="AD809" s="130"/>
      <c r="AF809" s="106"/>
    </row>
    <row r="810">
      <c r="C810" s="79"/>
      <c r="D810" s="79"/>
      <c r="E810" s="79"/>
      <c r="O810" s="79"/>
      <c r="S810" s="79"/>
      <c r="T810" s="79"/>
      <c r="Y810" s="79"/>
      <c r="AD810" s="130"/>
      <c r="AF810" s="106"/>
    </row>
    <row r="811">
      <c r="C811" s="79"/>
      <c r="D811" s="79"/>
      <c r="E811" s="79"/>
      <c r="O811" s="79"/>
      <c r="S811" s="79"/>
      <c r="T811" s="79"/>
      <c r="Y811" s="79"/>
      <c r="AD811" s="130"/>
      <c r="AF811" s="106"/>
    </row>
    <row r="812">
      <c r="C812" s="79"/>
      <c r="D812" s="79"/>
      <c r="E812" s="79"/>
      <c r="O812" s="79"/>
      <c r="S812" s="79"/>
      <c r="T812" s="79"/>
      <c r="Y812" s="79"/>
      <c r="AD812" s="130"/>
      <c r="AF812" s="106"/>
    </row>
    <row r="813">
      <c r="C813" s="79"/>
      <c r="D813" s="79"/>
      <c r="E813" s="79"/>
      <c r="O813" s="79"/>
      <c r="S813" s="79"/>
      <c r="T813" s="79"/>
      <c r="Y813" s="79"/>
      <c r="AD813" s="130"/>
      <c r="AF813" s="106"/>
    </row>
    <row r="814">
      <c r="C814" s="79"/>
      <c r="D814" s="79"/>
      <c r="E814" s="79"/>
      <c r="O814" s="79"/>
      <c r="S814" s="79"/>
      <c r="T814" s="79"/>
      <c r="Y814" s="79"/>
      <c r="AD814" s="130"/>
      <c r="AF814" s="106"/>
    </row>
    <row r="815">
      <c r="C815" s="79"/>
      <c r="D815" s="79"/>
      <c r="E815" s="79"/>
      <c r="O815" s="79"/>
      <c r="S815" s="79"/>
      <c r="T815" s="79"/>
      <c r="Y815" s="79"/>
      <c r="AD815" s="130"/>
      <c r="AF815" s="106"/>
    </row>
    <row r="816">
      <c r="C816" s="79"/>
      <c r="D816" s="79"/>
      <c r="E816" s="79"/>
      <c r="O816" s="79"/>
      <c r="S816" s="79"/>
      <c r="T816" s="79"/>
      <c r="Y816" s="79"/>
      <c r="AD816" s="130"/>
      <c r="AF816" s="106"/>
    </row>
    <row r="817">
      <c r="C817" s="79"/>
      <c r="D817" s="79"/>
      <c r="E817" s="79"/>
      <c r="O817" s="79"/>
      <c r="S817" s="79"/>
      <c r="T817" s="79"/>
      <c r="Y817" s="79"/>
      <c r="AD817" s="130"/>
      <c r="AF817" s="106"/>
    </row>
    <row r="818">
      <c r="C818" s="79"/>
      <c r="D818" s="79"/>
      <c r="E818" s="79"/>
      <c r="O818" s="79"/>
      <c r="S818" s="79"/>
      <c r="T818" s="79"/>
      <c r="Y818" s="79"/>
      <c r="AD818" s="130"/>
      <c r="AF818" s="106"/>
    </row>
    <row r="819">
      <c r="C819" s="79"/>
      <c r="D819" s="79"/>
      <c r="E819" s="79"/>
      <c r="O819" s="79"/>
      <c r="S819" s="79"/>
      <c r="T819" s="79"/>
      <c r="Y819" s="79"/>
      <c r="AD819" s="130"/>
      <c r="AF819" s="106"/>
    </row>
    <row r="820">
      <c r="C820" s="79"/>
      <c r="D820" s="79"/>
      <c r="E820" s="79"/>
      <c r="O820" s="79"/>
      <c r="S820" s="79"/>
      <c r="T820" s="79"/>
      <c r="Y820" s="79"/>
      <c r="AD820" s="130"/>
      <c r="AF820" s="106"/>
    </row>
    <row r="821">
      <c r="C821" s="79"/>
      <c r="D821" s="79"/>
      <c r="E821" s="79"/>
      <c r="O821" s="79"/>
      <c r="S821" s="79"/>
      <c r="T821" s="79"/>
      <c r="Y821" s="79"/>
      <c r="AD821" s="130"/>
      <c r="AF821" s="106"/>
    </row>
    <row r="822">
      <c r="C822" s="79"/>
      <c r="D822" s="79"/>
      <c r="E822" s="79"/>
      <c r="O822" s="79"/>
      <c r="S822" s="79"/>
      <c r="T822" s="79"/>
      <c r="Y822" s="79"/>
      <c r="AD822" s="130"/>
      <c r="AF822" s="106"/>
    </row>
    <row r="823">
      <c r="C823" s="79"/>
      <c r="D823" s="79"/>
      <c r="E823" s="79"/>
      <c r="O823" s="79"/>
      <c r="S823" s="79"/>
      <c r="T823" s="79"/>
      <c r="Y823" s="79"/>
      <c r="AD823" s="130"/>
      <c r="AF823" s="106"/>
    </row>
    <row r="824">
      <c r="C824" s="79"/>
      <c r="D824" s="79"/>
      <c r="E824" s="79"/>
      <c r="O824" s="79"/>
      <c r="S824" s="79"/>
      <c r="T824" s="79"/>
      <c r="Y824" s="79"/>
      <c r="AD824" s="130"/>
      <c r="AF824" s="106"/>
    </row>
    <row r="825">
      <c r="C825" s="79"/>
      <c r="D825" s="79"/>
      <c r="E825" s="79"/>
      <c r="O825" s="79"/>
      <c r="S825" s="79"/>
      <c r="T825" s="79"/>
      <c r="Y825" s="79"/>
      <c r="AD825" s="130"/>
      <c r="AF825" s="106"/>
    </row>
    <row r="826">
      <c r="C826" s="79"/>
      <c r="D826" s="79"/>
      <c r="E826" s="79"/>
      <c r="O826" s="79"/>
      <c r="S826" s="79"/>
      <c r="T826" s="79"/>
      <c r="Y826" s="79"/>
      <c r="AD826" s="130"/>
      <c r="AF826" s="106"/>
    </row>
    <row r="827">
      <c r="C827" s="79"/>
      <c r="D827" s="79"/>
      <c r="E827" s="79"/>
      <c r="O827" s="79"/>
      <c r="S827" s="79"/>
      <c r="T827" s="79"/>
      <c r="Y827" s="79"/>
      <c r="AD827" s="130"/>
      <c r="AF827" s="106"/>
    </row>
    <row r="828">
      <c r="C828" s="79"/>
      <c r="D828" s="79"/>
      <c r="E828" s="79"/>
      <c r="O828" s="79"/>
      <c r="S828" s="79"/>
      <c r="T828" s="79"/>
      <c r="Y828" s="79"/>
      <c r="AD828" s="130"/>
      <c r="AF828" s="106"/>
    </row>
    <row r="829">
      <c r="C829" s="79"/>
      <c r="D829" s="79"/>
      <c r="E829" s="79"/>
      <c r="O829" s="79"/>
      <c r="S829" s="79"/>
      <c r="T829" s="79"/>
      <c r="Y829" s="79"/>
      <c r="AD829" s="130"/>
      <c r="AF829" s="106"/>
    </row>
    <row r="830">
      <c r="C830" s="79"/>
      <c r="D830" s="79"/>
      <c r="E830" s="79"/>
      <c r="O830" s="79"/>
      <c r="S830" s="79"/>
      <c r="T830" s="79"/>
      <c r="Y830" s="79"/>
      <c r="AD830" s="130"/>
      <c r="AF830" s="106"/>
    </row>
    <row r="831">
      <c r="C831" s="79"/>
      <c r="D831" s="79"/>
      <c r="E831" s="79"/>
      <c r="O831" s="79"/>
      <c r="S831" s="79"/>
      <c r="T831" s="79"/>
      <c r="Y831" s="79"/>
      <c r="AD831" s="130"/>
      <c r="AF831" s="106"/>
    </row>
    <row r="832">
      <c r="C832" s="79"/>
      <c r="D832" s="79"/>
      <c r="E832" s="79"/>
      <c r="O832" s="79"/>
      <c r="S832" s="79"/>
      <c r="T832" s="79"/>
      <c r="Y832" s="79"/>
      <c r="AD832" s="130"/>
      <c r="AF832" s="106"/>
    </row>
    <row r="833">
      <c r="C833" s="79"/>
      <c r="D833" s="79"/>
      <c r="E833" s="79"/>
      <c r="O833" s="79"/>
      <c r="S833" s="79"/>
      <c r="T833" s="79"/>
      <c r="Y833" s="79"/>
      <c r="AD833" s="130"/>
      <c r="AF833" s="106"/>
    </row>
    <row r="834">
      <c r="C834" s="79"/>
      <c r="D834" s="79"/>
      <c r="E834" s="79"/>
      <c r="O834" s="79"/>
      <c r="S834" s="79"/>
      <c r="T834" s="79"/>
      <c r="Y834" s="79"/>
      <c r="AD834" s="130"/>
      <c r="AF834" s="106"/>
    </row>
    <row r="835">
      <c r="C835" s="79"/>
      <c r="D835" s="79"/>
      <c r="E835" s="79"/>
      <c r="O835" s="79"/>
      <c r="S835" s="79"/>
      <c r="T835" s="79"/>
      <c r="Y835" s="79"/>
      <c r="AD835" s="130"/>
      <c r="AF835" s="106"/>
    </row>
    <row r="836">
      <c r="C836" s="79"/>
      <c r="D836" s="79"/>
      <c r="E836" s="79"/>
      <c r="O836" s="79"/>
      <c r="S836" s="79"/>
      <c r="T836" s="79"/>
      <c r="Y836" s="79"/>
      <c r="AD836" s="130"/>
      <c r="AF836" s="106"/>
    </row>
    <row r="837">
      <c r="C837" s="79"/>
      <c r="D837" s="79"/>
      <c r="E837" s="79"/>
      <c r="O837" s="79"/>
      <c r="S837" s="79"/>
      <c r="T837" s="79"/>
      <c r="Y837" s="79"/>
      <c r="AD837" s="130"/>
      <c r="AF837" s="106"/>
    </row>
    <row r="838">
      <c r="C838" s="79"/>
      <c r="D838" s="79"/>
      <c r="E838" s="79"/>
      <c r="O838" s="79"/>
      <c r="S838" s="79"/>
      <c r="T838" s="79"/>
      <c r="Y838" s="79"/>
      <c r="AD838" s="130"/>
      <c r="AF838" s="106"/>
    </row>
    <row r="839">
      <c r="C839" s="79"/>
      <c r="D839" s="79"/>
      <c r="E839" s="79"/>
      <c r="O839" s="79"/>
      <c r="S839" s="79"/>
      <c r="T839" s="79"/>
      <c r="Y839" s="79"/>
      <c r="AD839" s="130"/>
      <c r="AF839" s="106"/>
    </row>
    <row r="840">
      <c r="C840" s="79"/>
      <c r="D840" s="79"/>
      <c r="E840" s="79"/>
      <c r="O840" s="79"/>
      <c r="S840" s="79"/>
      <c r="T840" s="79"/>
      <c r="Y840" s="79"/>
      <c r="AD840" s="130"/>
      <c r="AF840" s="106"/>
    </row>
    <row r="841">
      <c r="C841" s="79"/>
      <c r="D841" s="79"/>
      <c r="E841" s="79"/>
      <c r="O841" s="79"/>
      <c r="S841" s="79"/>
      <c r="T841" s="79"/>
      <c r="Y841" s="79"/>
      <c r="AD841" s="130"/>
      <c r="AF841" s="106"/>
    </row>
    <row r="842">
      <c r="C842" s="79"/>
      <c r="D842" s="79"/>
      <c r="E842" s="79"/>
      <c r="O842" s="79"/>
      <c r="S842" s="79"/>
      <c r="T842" s="79"/>
      <c r="Y842" s="79"/>
      <c r="AD842" s="130"/>
      <c r="AF842" s="106"/>
    </row>
    <row r="843">
      <c r="C843" s="79"/>
      <c r="D843" s="79"/>
      <c r="E843" s="79"/>
      <c r="O843" s="79"/>
      <c r="S843" s="79"/>
      <c r="T843" s="79"/>
      <c r="Y843" s="79"/>
      <c r="AD843" s="130"/>
      <c r="AF843" s="106"/>
    </row>
    <row r="844">
      <c r="C844" s="79"/>
      <c r="D844" s="79"/>
      <c r="E844" s="79"/>
      <c r="O844" s="79"/>
      <c r="S844" s="79"/>
      <c r="T844" s="79"/>
      <c r="Y844" s="79"/>
      <c r="AD844" s="130"/>
      <c r="AF844" s="106"/>
    </row>
    <row r="845">
      <c r="C845" s="79"/>
      <c r="D845" s="79"/>
      <c r="E845" s="79"/>
      <c r="O845" s="79"/>
      <c r="S845" s="79"/>
      <c r="T845" s="79"/>
      <c r="Y845" s="79"/>
      <c r="AD845" s="130"/>
      <c r="AF845" s="106"/>
    </row>
    <row r="846">
      <c r="C846" s="79"/>
      <c r="D846" s="79"/>
      <c r="E846" s="79"/>
      <c r="O846" s="79"/>
      <c r="S846" s="79"/>
      <c r="T846" s="79"/>
      <c r="Y846" s="79"/>
      <c r="AD846" s="130"/>
      <c r="AF846" s="106"/>
    </row>
    <row r="847">
      <c r="C847" s="79"/>
      <c r="D847" s="79"/>
      <c r="E847" s="79"/>
      <c r="O847" s="79"/>
      <c r="S847" s="79"/>
      <c r="T847" s="79"/>
      <c r="Y847" s="79"/>
      <c r="AD847" s="130"/>
      <c r="AF847" s="106"/>
    </row>
    <row r="848">
      <c r="C848" s="79"/>
      <c r="D848" s="79"/>
      <c r="E848" s="79"/>
      <c r="O848" s="79"/>
      <c r="S848" s="79"/>
      <c r="T848" s="79"/>
      <c r="Y848" s="79"/>
      <c r="AD848" s="130"/>
      <c r="AF848" s="106"/>
    </row>
    <row r="849">
      <c r="C849" s="79"/>
      <c r="D849" s="79"/>
      <c r="E849" s="79"/>
      <c r="O849" s="79"/>
      <c r="S849" s="79"/>
      <c r="T849" s="79"/>
      <c r="Y849" s="79"/>
      <c r="AD849" s="130"/>
      <c r="AF849" s="106"/>
    </row>
    <row r="850">
      <c r="C850" s="79"/>
      <c r="D850" s="79"/>
      <c r="E850" s="79"/>
      <c r="O850" s="79"/>
      <c r="S850" s="79"/>
      <c r="T850" s="79"/>
      <c r="Y850" s="79"/>
      <c r="AD850" s="130"/>
      <c r="AF850" s="106"/>
    </row>
    <row r="851">
      <c r="C851" s="79"/>
      <c r="D851" s="79"/>
      <c r="E851" s="79"/>
      <c r="O851" s="79"/>
      <c r="S851" s="79"/>
      <c r="T851" s="79"/>
      <c r="Y851" s="79"/>
      <c r="AD851" s="130"/>
      <c r="AF851" s="106"/>
    </row>
    <row r="852">
      <c r="C852" s="79"/>
      <c r="D852" s="79"/>
      <c r="E852" s="79"/>
      <c r="O852" s="79"/>
      <c r="S852" s="79"/>
      <c r="T852" s="79"/>
      <c r="Y852" s="79"/>
      <c r="AD852" s="130"/>
      <c r="AF852" s="106"/>
    </row>
    <row r="853">
      <c r="C853" s="79"/>
      <c r="D853" s="79"/>
      <c r="E853" s="79"/>
      <c r="O853" s="79"/>
      <c r="S853" s="79"/>
      <c r="T853" s="79"/>
      <c r="Y853" s="79"/>
      <c r="AD853" s="130"/>
      <c r="AF853" s="106"/>
    </row>
    <row r="854">
      <c r="C854" s="79"/>
      <c r="D854" s="79"/>
      <c r="E854" s="79"/>
      <c r="O854" s="79"/>
      <c r="S854" s="79"/>
      <c r="T854" s="79"/>
      <c r="Y854" s="79"/>
      <c r="AD854" s="130"/>
      <c r="AF854" s="106"/>
    </row>
    <row r="855">
      <c r="C855" s="79"/>
      <c r="D855" s="79"/>
      <c r="E855" s="79"/>
      <c r="O855" s="79"/>
      <c r="S855" s="79"/>
      <c r="T855" s="79"/>
      <c r="Y855" s="79"/>
      <c r="AD855" s="130"/>
      <c r="AF855" s="106"/>
    </row>
    <row r="856">
      <c r="C856" s="79"/>
      <c r="D856" s="79"/>
      <c r="E856" s="79"/>
      <c r="O856" s="79"/>
      <c r="S856" s="79"/>
      <c r="T856" s="79"/>
      <c r="Y856" s="79"/>
      <c r="AD856" s="130"/>
      <c r="AF856" s="106"/>
    </row>
    <row r="857">
      <c r="C857" s="79"/>
      <c r="D857" s="79"/>
      <c r="E857" s="79"/>
      <c r="O857" s="79"/>
      <c r="S857" s="79"/>
      <c r="T857" s="79"/>
      <c r="Y857" s="79"/>
      <c r="AD857" s="130"/>
      <c r="AF857" s="106"/>
    </row>
  </sheetData>
  <autoFilter ref="$A$40:$F$72">
    <sortState ref="A40:F72">
      <sortCondition descending="1" sortBy="cellColor" ref="E40:E72" dxfId="1"/>
      <sortCondition descending="1" sortBy="cellColor" ref="C40:C72" dxfId="1"/>
      <sortCondition descending="1" sortBy="cellColor" ref="A40:A72" dxfId="1"/>
    </sortState>
  </autoFilter>
  <mergeCells count="1">
    <mergeCell ref="B37:E37"/>
  </mergeCells>
  <conditionalFormatting sqref="X41:X53">
    <cfRule type="cellIs" dxfId="2" priority="1" operator="greaterThanOrEqual">
      <formula>1</formula>
    </cfRule>
  </conditionalFormatting>
  <conditionalFormatting sqref="X41:X53">
    <cfRule type="cellIs" dxfId="3" priority="2" operator="lessThanOrEqual">
      <formula>0</formula>
    </cfRule>
  </conditionalFormatting>
  <drawing r:id="rId2"/>
  <legacyDrawing r:id="rId3"/>
  <tableParts count="1">
    <tablePart r:id="rId5"/>
  </tableParts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3" max="3" width="17.38"/>
    <col customWidth="1" min="4" max="4" width="25.75"/>
    <col customWidth="1" min="5" max="5" width="20.88"/>
    <col customWidth="1" min="6" max="6" width="15.5"/>
    <col customWidth="1" min="7" max="7" width="13.5"/>
    <col customWidth="1" min="8" max="8" width="28.63"/>
    <col customWidth="1" min="9" max="10" width="15.5"/>
    <col customWidth="1" min="11" max="11" width="16.5"/>
    <col customWidth="1" min="12" max="13" width="15.5"/>
    <col customWidth="1" min="15" max="15" width="27.38"/>
    <col customWidth="1" min="26" max="26" width="14.63"/>
    <col customWidth="1" min="32" max="32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4</v>
      </c>
      <c r="J1" s="2" t="s">
        <v>5</v>
      </c>
      <c r="K1" s="2" t="s">
        <v>303</v>
      </c>
      <c r="L1" s="2" t="s">
        <v>6</v>
      </c>
      <c r="M1" s="2" t="s">
        <v>12</v>
      </c>
      <c r="N1" s="2" t="s">
        <v>49</v>
      </c>
      <c r="O1" s="105" t="s">
        <v>304</v>
      </c>
      <c r="P1" s="2" t="s">
        <v>37</v>
      </c>
      <c r="Q1" s="2" t="s">
        <v>10</v>
      </c>
      <c r="R1" s="2" t="s">
        <v>42</v>
      </c>
      <c r="S1" s="105" t="s">
        <v>656</v>
      </c>
      <c r="T1" s="105" t="s">
        <v>9</v>
      </c>
      <c r="U1" s="2" t="s">
        <v>164</v>
      </c>
      <c r="V1" s="105" t="s">
        <v>40</v>
      </c>
      <c r="W1" s="2" t="s">
        <v>83</v>
      </c>
      <c r="X1" s="2" t="s">
        <v>204</v>
      </c>
      <c r="Y1" s="105" t="s">
        <v>205</v>
      </c>
      <c r="Z1" s="2" t="s">
        <v>206</v>
      </c>
      <c r="AA1" s="2" t="s">
        <v>305</v>
      </c>
      <c r="AB1" s="3" t="s">
        <v>760</v>
      </c>
      <c r="AC1" s="3" t="s">
        <v>13</v>
      </c>
      <c r="AD1" s="3" t="s">
        <v>14</v>
      </c>
      <c r="AE1" s="3" t="s">
        <v>15</v>
      </c>
      <c r="AF1" s="106"/>
      <c r="AG1" s="265" t="s">
        <v>306</v>
      </c>
      <c r="AH1" s="266" t="s">
        <v>80</v>
      </c>
    </row>
    <row r="2">
      <c r="A2" s="74">
        <v>45586.0</v>
      </c>
      <c r="B2" s="93">
        <f>1556.69-222.84-38.36-39.21-38.18-38.54-86.42+713.64-193.44-162</f>
        <v>1451.34</v>
      </c>
      <c r="C2" s="93"/>
      <c r="D2" s="93"/>
      <c r="E2" s="93"/>
      <c r="F2" s="93"/>
      <c r="G2" s="93">
        <v>180.0</v>
      </c>
      <c r="H2" s="93"/>
      <c r="I2" s="93">
        <v>241.07</v>
      </c>
      <c r="J2" s="374"/>
      <c r="K2" s="93"/>
      <c r="L2" s="93"/>
      <c r="M2" s="93"/>
      <c r="N2" s="93">
        <v>168.0</v>
      </c>
      <c r="O2" s="93"/>
      <c r="P2" s="72"/>
      <c r="Q2" s="93"/>
      <c r="R2" s="93"/>
      <c r="S2" s="93"/>
      <c r="T2" s="93"/>
      <c r="U2" s="93"/>
      <c r="V2" s="93"/>
      <c r="W2" s="93"/>
      <c r="X2" s="93"/>
      <c r="Y2" s="93"/>
      <c r="Z2" s="93"/>
      <c r="AA2" s="386"/>
      <c r="AB2" s="171"/>
      <c r="AC2" s="107">
        <f>SUM(B2:AA2)</f>
        <v>2040.41</v>
      </c>
      <c r="AD2" s="158">
        <f>5558.52-2166.04</f>
        <v>3392.48</v>
      </c>
      <c r="AE2" s="59">
        <f t="shared" ref="AE2:AE8" si="1">AC2/AD2</f>
        <v>0.601450856</v>
      </c>
      <c r="AF2" s="109">
        <f t="shared" ref="AF2:AF8" si="2">A2</f>
        <v>45586</v>
      </c>
      <c r="AG2" s="267"/>
      <c r="AH2" s="268">
        <f t="shared" ref="AH2:AH8" si="3">AD2-AG2</f>
        <v>3392.48</v>
      </c>
    </row>
    <row r="3">
      <c r="A3" s="74">
        <f t="shared" ref="A3:A8" si="4">A2+1</f>
        <v>45587</v>
      </c>
      <c r="B3" s="93"/>
      <c r="C3" s="93">
        <f>913.7-27.54-47.76-10.35</f>
        <v>828.05</v>
      </c>
      <c r="D3" s="101">
        <f>117+180.8+1051.54-131.8</f>
        <v>1217.54</v>
      </c>
      <c r="E3" s="250">
        <v>193.0</v>
      </c>
      <c r="F3" s="93"/>
      <c r="G3" s="93"/>
      <c r="H3" s="168"/>
      <c r="I3" s="93"/>
      <c r="J3" s="93">
        <f>731.34-148.5</f>
        <v>582.84</v>
      </c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326"/>
      <c r="AB3" s="171"/>
      <c r="AC3" s="107">
        <f t="shared" ref="AC3:AC8" si="5">SUM(B3:Z3)</f>
        <v>2821.43</v>
      </c>
      <c r="AD3" s="158">
        <v>3593</v>
      </c>
      <c r="AE3" s="59">
        <f t="shared" si="1"/>
        <v>0.785257445</v>
      </c>
      <c r="AF3" s="109">
        <f t="shared" si="2"/>
        <v>45587</v>
      </c>
      <c r="AG3" s="267"/>
      <c r="AH3" s="268">
        <f t="shared" si="3"/>
        <v>3593</v>
      </c>
    </row>
    <row r="4">
      <c r="A4" s="74">
        <f t="shared" si="4"/>
        <v>45588</v>
      </c>
      <c r="B4" s="93">
        <f>1546.39-160.29-27.06-37.8-16.45-66.71-58.36-24.91-27.48-43.08-44.07-27.93-10.87-18.12-9.83-45.65</f>
        <v>927.78</v>
      </c>
      <c r="C4" s="93">
        <f>127.71-25.01</f>
        <v>102.7</v>
      </c>
      <c r="D4" s="93">
        <v>207.5</v>
      </c>
      <c r="E4" s="93"/>
      <c r="F4" s="93"/>
      <c r="G4" s="93">
        <v>180.0</v>
      </c>
      <c r="H4" s="168"/>
      <c r="I4" s="93"/>
      <c r="J4" s="93"/>
      <c r="K4" s="93"/>
      <c r="L4" s="93">
        <v>28.0</v>
      </c>
      <c r="M4" s="93"/>
      <c r="N4" s="93"/>
      <c r="O4" s="93"/>
      <c r="P4" s="160"/>
      <c r="Q4" s="93"/>
      <c r="R4" s="93"/>
      <c r="S4" s="93"/>
      <c r="T4" s="93"/>
      <c r="U4" s="93"/>
      <c r="V4" s="93"/>
      <c r="W4" s="93"/>
      <c r="X4" s="93"/>
      <c r="Y4" s="93"/>
      <c r="Z4" s="101"/>
      <c r="AA4" s="326"/>
      <c r="AB4" s="171"/>
      <c r="AC4" s="107">
        <f t="shared" si="5"/>
        <v>1445.98</v>
      </c>
      <c r="AD4" s="380">
        <v>4244</v>
      </c>
      <c r="AE4" s="59">
        <f t="shared" si="1"/>
        <v>0.3407115928</v>
      </c>
      <c r="AF4" s="109">
        <f t="shared" si="2"/>
        <v>45588</v>
      </c>
      <c r="AG4" s="267"/>
      <c r="AH4" s="268">
        <f t="shared" si="3"/>
        <v>4244</v>
      </c>
    </row>
    <row r="5">
      <c r="A5" s="74">
        <f t="shared" si="4"/>
        <v>45589</v>
      </c>
      <c r="B5" s="93">
        <v>229.25</v>
      </c>
      <c r="C5" s="93"/>
      <c r="D5" s="93"/>
      <c r="E5" s="93"/>
      <c r="F5" s="93"/>
      <c r="G5" s="93"/>
      <c r="H5" s="160"/>
      <c r="I5" s="93"/>
      <c r="J5" s="93"/>
      <c r="K5" s="93"/>
      <c r="L5" s="93"/>
      <c r="M5" s="93"/>
      <c r="N5" s="93"/>
      <c r="O5" s="93"/>
      <c r="P5" s="93"/>
      <c r="Q5" s="93"/>
      <c r="R5" s="93"/>
      <c r="S5" s="101"/>
      <c r="T5" s="93"/>
      <c r="U5" s="93"/>
      <c r="V5" s="93"/>
      <c r="W5" s="93"/>
      <c r="X5" s="93"/>
      <c r="Y5" s="101"/>
      <c r="Z5" s="101"/>
      <c r="AA5" s="327"/>
      <c r="AB5" s="270"/>
      <c r="AC5" s="7">
        <f t="shared" si="5"/>
        <v>229.25</v>
      </c>
      <c r="AD5" s="380">
        <f>393+8530.9</f>
        <v>8923.9</v>
      </c>
      <c r="AE5" s="59">
        <f t="shared" si="1"/>
        <v>0.02568944072</v>
      </c>
      <c r="AF5" s="109">
        <f t="shared" si="2"/>
        <v>45589</v>
      </c>
      <c r="AG5" s="267"/>
      <c r="AH5" s="268">
        <f t="shared" si="3"/>
        <v>8923.9</v>
      </c>
    </row>
    <row r="6">
      <c r="A6" s="74">
        <f t="shared" si="4"/>
        <v>45590</v>
      </c>
      <c r="B6" s="93">
        <f>1282.54-11.24-11.05-52.23-52-129.87-165.91-47.2-8.19-36.83-38.18-20.44-7.15-127.1-24.44-13.9-42.16</f>
        <v>494.65</v>
      </c>
      <c r="C6" s="361">
        <f>87.5-32-23</f>
        <v>32.5</v>
      </c>
      <c r="D6" s="180">
        <v>250.45</v>
      </c>
      <c r="E6" s="93"/>
      <c r="F6" s="93"/>
      <c r="G6" s="93"/>
      <c r="H6" s="160"/>
      <c r="I6" s="93"/>
      <c r="J6" s="93">
        <f>849.2-198-284.9</f>
        <v>366.3</v>
      </c>
      <c r="K6" s="93"/>
      <c r="L6" s="93">
        <v>166.4</v>
      </c>
      <c r="M6" s="93"/>
      <c r="N6" s="93"/>
      <c r="O6" s="93"/>
      <c r="P6" s="93"/>
      <c r="Q6" s="93">
        <v>61.9</v>
      </c>
      <c r="R6" s="93"/>
      <c r="S6" s="93"/>
      <c r="T6" s="374"/>
      <c r="U6" s="93"/>
      <c r="V6" s="93"/>
      <c r="W6" s="93"/>
      <c r="X6" s="93"/>
      <c r="Y6" s="93"/>
      <c r="Z6" s="93"/>
      <c r="AA6" s="327"/>
      <c r="AB6" s="270"/>
      <c r="AC6" s="7">
        <f t="shared" si="5"/>
        <v>1372.2</v>
      </c>
      <c r="AD6" s="380">
        <f>630+5747</f>
        <v>6377</v>
      </c>
      <c r="AE6" s="59">
        <f t="shared" si="1"/>
        <v>0.2151795515</v>
      </c>
      <c r="AF6" s="109">
        <f t="shared" si="2"/>
        <v>45590</v>
      </c>
      <c r="AG6" s="267"/>
      <c r="AH6" s="268">
        <f t="shared" si="3"/>
        <v>6377</v>
      </c>
    </row>
    <row r="7">
      <c r="A7" s="74">
        <f t="shared" si="4"/>
        <v>45591</v>
      </c>
      <c r="B7" s="93">
        <f>136.77+678.24-370.11-23.36--61.8-25.13</f>
        <v>458.21</v>
      </c>
      <c r="C7" s="361">
        <f>979.21-14.85-27.54-126-225-38.6-22.7-148.32</f>
        <v>376.2</v>
      </c>
      <c r="D7" s="93">
        <f>502.8-97.8-79.4-161.8</f>
        <v>163.8</v>
      </c>
      <c r="E7" s="79"/>
      <c r="F7" s="93"/>
      <c r="G7" s="93">
        <v>180.0</v>
      </c>
      <c r="H7" s="374"/>
      <c r="I7" s="93"/>
      <c r="J7" s="93"/>
      <c r="K7" s="93"/>
      <c r="L7" s="93"/>
      <c r="M7" s="93"/>
      <c r="N7" s="93"/>
      <c r="O7" s="93"/>
      <c r="P7" s="402"/>
      <c r="Q7" s="93"/>
      <c r="R7" s="93"/>
      <c r="S7" s="101"/>
      <c r="T7" s="93"/>
      <c r="U7" s="93"/>
      <c r="V7" s="93"/>
      <c r="W7" s="93"/>
      <c r="X7" s="93"/>
      <c r="Y7" s="101"/>
      <c r="Z7" s="93"/>
      <c r="AA7" s="327"/>
      <c r="AB7" s="270"/>
      <c r="AC7" s="7">
        <f t="shared" si="5"/>
        <v>1178.21</v>
      </c>
      <c r="AD7" s="380">
        <f>2395+6251</f>
        <v>8646</v>
      </c>
      <c r="AE7" s="59">
        <f t="shared" si="1"/>
        <v>0.1362722646</v>
      </c>
      <c r="AF7" s="109">
        <f t="shared" si="2"/>
        <v>45591</v>
      </c>
      <c r="AG7" s="267"/>
      <c r="AH7" s="268">
        <f t="shared" si="3"/>
        <v>8646</v>
      </c>
    </row>
    <row r="8">
      <c r="A8" s="74">
        <f t="shared" si="4"/>
        <v>45592</v>
      </c>
      <c r="B8" s="93"/>
      <c r="C8" s="374"/>
      <c r="D8" s="180">
        <v>605.59</v>
      </c>
      <c r="E8" s="112"/>
      <c r="F8" s="180">
        <v>421.43</v>
      </c>
      <c r="G8" s="10"/>
      <c r="H8" s="93"/>
      <c r="I8" s="374"/>
      <c r="J8" s="180">
        <v>623.7</v>
      </c>
      <c r="K8" s="180">
        <v>386.67</v>
      </c>
      <c r="L8" s="112"/>
      <c r="M8" s="112"/>
      <c r="N8" s="93"/>
      <c r="O8" s="93"/>
      <c r="P8" s="93"/>
      <c r="Q8" s="93"/>
      <c r="R8" s="374"/>
      <c r="S8" s="344">
        <v>329.0</v>
      </c>
      <c r="T8" s="374"/>
      <c r="U8" s="241">
        <v>273.5</v>
      </c>
      <c r="V8" s="112"/>
      <c r="W8" s="112"/>
      <c r="X8" s="112"/>
      <c r="Y8" s="112"/>
      <c r="Z8" s="112"/>
      <c r="AA8" s="93"/>
      <c r="AB8" s="7"/>
      <c r="AC8" s="7">
        <f t="shared" si="5"/>
        <v>2639.89</v>
      </c>
      <c r="AD8" s="380">
        <f>1805+4687</f>
        <v>6492</v>
      </c>
      <c r="AE8" s="59">
        <f t="shared" si="1"/>
        <v>0.4066373999</v>
      </c>
      <c r="AF8" s="109">
        <f t="shared" si="2"/>
        <v>45592</v>
      </c>
      <c r="AG8" s="267"/>
      <c r="AH8" s="268">
        <f t="shared" si="3"/>
        <v>6492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AD9" s="129"/>
      <c r="AF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AD10" s="129"/>
      <c r="AF10" s="106"/>
    </row>
    <row r="11">
      <c r="A11" s="165" t="s">
        <v>194</v>
      </c>
      <c r="B11" s="93">
        <f>38.18+38.54+193.44+37.8+16.45+66.71+58.36+44.07+11.24+11.05+129.87+38.18+20.44+7.15+127.1+24.44+13.9+42.16+23.36+61.8+25.13</f>
        <v>1029.37</v>
      </c>
      <c r="C11" s="93">
        <f>23+22.7+14.85+38.6+25.01</f>
        <v>124.16</v>
      </c>
      <c r="D11" s="93">
        <f>97.8+79.4+161.8</f>
        <v>339</v>
      </c>
      <c r="E11" s="167"/>
      <c r="F11" s="168"/>
      <c r="G11" s="168"/>
      <c r="H11" s="166"/>
      <c r="I11" s="166"/>
      <c r="J11" s="93"/>
      <c r="K11" s="168"/>
      <c r="L11" s="93"/>
      <c r="M11" s="93"/>
      <c r="N11" s="93"/>
      <c r="O11" s="168"/>
      <c r="P11" s="168"/>
      <c r="Q11" s="168"/>
      <c r="R11" s="168"/>
      <c r="S11" s="168"/>
      <c r="T11" s="168"/>
      <c r="U11" s="168"/>
      <c r="V11" s="168"/>
      <c r="W11" s="1"/>
      <c r="X11" s="168"/>
      <c r="Y11" s="168"/>
      <c r="Z11" s="1"/>
      <c r="AA11" s="1"/>
      <c r="AB11" s="1"/>
      <c r="AC11" s="1"/>
      <c r="AD11" s="169"/>
      <c r="AE11" s="1"/>
      <c r="AF11" s="170"/>
    </row>
    <row r="12">
      <c r="A12" s="165" t="s">
        <v>195</v>
      </c>
      <c r="B12" s="93">
        <f>222.84+160.29+162+27.06+24.91+27.48+43.09+10.87+18.12+9.83+45.65+52.23+47.2+8.19+36.83+162+370</f>
        <v>1428.59</v>
      </c>
      <c r="C12" s="93">
        <f>27.54+47.76+10.35+84.01+32+148.32+27.54+126+148.32+225</f>
        <v>876.84</v>
      </c>
      <c r="D12" s="93">
        <v>131.8</v>
      </c>
      <c r="E12" s="93"/>
      <c r="F12" s="374"/>
      <c r="G12" s="93"/>
      <c r="H12" s="93"/>
      <c r="I12" s="93"/>
      <c r="J12" s="93">
        <f>148.5+198</f>
        <v>346.5</v>
      </c>
      <c r="K12" s="93"/>
      <c r="L12" s="93"/>
      <c r="M12" s="93"/>
      <c r="N12" s="93">
        <v>300.0</v>
      </c>
      <c r="O12" s="168"/>
      <c r="P12" s="168"/>
      <c r="Q12" s="166"/>
      <c r="R12" s="166"/>
      <c r="S12" s="168"/>
      <c r="T12" s="166"/>
      <c r="U12" s="168"/>
      <c r="V12" s="168"/>
      <c r="W12" s="1"/>
      <c r="X12" s="93"/>
      <c r="Y12" s="168"/>
      <c r="Z12" s="1"/>
      <c r="AA12" s="1"/>
      <c r="AB12" s="6">
        <f>J63</f>
        <v>2372.855</v>
      </c>
      <c r="AC12" s="1"/>
      <c r="AD12" s="171"/>
      <c r="AE12" s="1"/>
      <c r="AF12" s="170"/>
    </row>
    <row r="13">
      <c r="A13" s="172" t="s">
        <v>265</v>
      </c>
      <c r="B13" s="93">
        <v>38.36</v>
      </c>
      <c r="C13" s="93"/>
      <c r="D13" s="93"/>
      <c r="E13" s="93"/>
      <c r="F13" s="374"/>
      <c r="G13" s="93"/>
      <c r="H13" s="93"/>
      <c r="I13" s="93"/>
      <c r="J13" s="93"/>
      <c r="K13" s="93"/>
      <c r="L13" s="93"/>
      <c r="M13" s="93"/>
      <c r="N13" s="93"/>
      <c r="O13" s="166"/>
      <c r="P13" s="168"/>
      <c r="Q13" s="166"/>
      <c r="R13" s="166"/>
      <c r="S13" s="168"/>
      <c r="T13" s="166"/>
      <c r="U13" s="168"/>
      <c r="V13" s="168"/>
      <c r="W13" s="1"/>
      <c r="X13" s="93"/>
      <c r="Y13" s="168"/>
      <c r="Z13" s="1"/>
      <c r="AA13" s="1"/>
      <c r="AB13" s="1"/>
      <c r="AC13" s="1"/>
      <c r="AD13" s="171"/>
      <c r="AE13" s="1"/>
      <c r="AF13" s="170"/>
    </row>
    <row r="14">
      <c r="A14" s="172" t="s">
        <v>761</v>
      </c>
      <c r="B14" s="93">
        <f>23.56+42.66+12.22+28.7+20.44+39.9+27.84</f>
        <v>195.32</v>
      </c>
      <c r="C14" s="348"/>
      <c r="D14" s="93">
        <f>327.54+587.2</f>
        <v>914.74</v>
      </c>
      <c r="E14" s="168"/>
      <c r="F14" s="166"/>
      <c r="G14" s="166"/>
      <c r="H14" s="168"/>
      <c r="I14" s="168"/>
      <c r="J14" s="93"/>
      <c r="K14" s="168"/>
      <c r="L14" s="168"/>
      <c r="M14" s="168"/>
      <c r="N14" s="93"/>
      <c r="O14" s="168"/>
      <c r="P14" s="168"/>
      <c r="Q14" s="166"/>
      <c r="R14" s="168"/>
      <c r="S14" s="168"/>
      <c r="T14" s="168"/>
      <c r="U14" s="1"/>
      <c r="V14" s="1"/>
      <c r="W14" s="1"/>
      <c r="X14" s="168"/>
      <c r="Y14" s="168"/>
      <c r="Z14" s="1"/>
      <c r="AA14" s="1"/>
      <c r="AB14" s="1"/>
      <c r="AC14" s="1"/>
      <c r="AD14" s="174"/>
      <c r="AE14" s="1"/>
      <c r="AF14" s="170"/>
    </row>
    <row r="15">
      <c r="A15" s="165" t="s">
        <v>198</v>
      </c>
      <c r="B15" s="93">
        <f>39.21+86.42+27.93+165.91</f>
        <v>319.47</v>
      </c>
      <c r="C15" s="348"/>
      <c r="D15" s="93"/>
      <c r="E15" s="168"/>
      <c r="F15" s="166"/>
      <c r="G15" s="166"/>
      <c r="H15" s="168"/>
      <c r="I15" s="168"/>
      <c r="J15" s="93"/>
      <c r="K15" s="168"/>
      <c r="L15" s="168"/>
      <c r="M15" s="168"/>
      <c r="N15" s="93"/>
      <c r="O15" s="168"/>
      <c r="P15" s="168"/>
      <c r="Q15" s="166"/>
      <c r="R15" s="168"/>
      <c r="S15" s="168"/>
      <c r="T15" s="168"/>
      <c r="U15" s="1"/>
      <c r="V15" s="1"/>
      <c r="W15" s="1"/>
      <c r="X15" s="168"/>
      <c r="Y15" s="168"/>
      <c r="Z15" s="1"/>
      <c r="AA15" s="1"/>
      <c r="AB15" s="1"/>
      <c r="AC15" s="1"/>
      <c r="AD15" s="174"/>
      <c r="AE15" s="1"/>
      <c r="AF15" s="170"/>
    </row>
    <row r="16">
      <c r="A16" s="91"/>
      <c r="B16" s="375"/>
      <c r="C16" s="79"/>
      <c r="D16" s="79"/>
      <c r="E16" s="79"/>
      <c r="F16" s="78"/>
      <c r="G16" s="78"/>
      <c r="H16" s="79"/>
      <c r="I16" s="78"/>
      <c r="J16" s="79"/>
      <c r="K16" s="79"/>
      <c r="L16" s="79"/>
      <c r="M16" s="79"/>
      <c r="N16" s="79"/>
      <c r="O16" s="79"/>
      <c r="R16" s="79"/>
      <c r="S16" s="79"/>
      <c r="T16" s="198"/>
      <c r="U16" s="198"/>
      <c r="Y16" s="79"/>
      <c r="AD16" s="131"/>
      <c r="AF16" s="106"/>
    </row>
    <row r="17">
      <c r="A17" s="91"/>
      <c r="B17" s="375"/>
      <c r="C17" s="192"/>
      <c r="D17" s="78"/>
      <c r="E17" s="147"/>
      <c r="F17" s="201"/>
      <c r="G17" s="199"/>
      <c r="H17" s="192"/>
      <c r="I17" s="198"/>
      <c r="J17" s="201"/>
      <c r="K17" s="199"/>
      <c r="L17" s="199"/>
      <c r="M17" s="200"/>
      <c r="N17" s="202"/>
      <c r="O17" s="198"/>
      <c r="R17" s="198"/>
      <c r="S17" s="79"/>
      <c r="T17" s="198"/>
      <c r="U17" s="198"/>
      <c r="V17" s="198"/>
      <c r="W17" s="198"/>
      <c r="X17" s="199"/>
      <c r="Y17" s="79"/>
      <c r="AD17" s="131"/>
      <c r="AF17" s="106"/>
    </row>
    <row r="18">
      <c r="A18" s="4" t="s">
        <v>22</v>
      </c>
      <c r="B18" s="11">
        <v>10000.0</v>
      </c>
      <c r="C18" s="79"/>
      <c r="D18" s="240"/>
      <c r="E18" s="148"/>
      <c r="G18" s="224"/>
      <c r="H18" s="192"/>
      <c r="K18" s="403"/>
      <c r="L18" s="201"/>
      <c r="M18" s="198"/>
      <c r="N18" s="200"/>
      <c r="O18" s="198"/>
      <c r="P18" s="204"/>
      <c r="R18" s="203"/>
      <c r="S18" s="427"/>
      <c r="T18" s="201"/>
      <c r="U18" s="198"/>
      <c r="V18" s="198"/>
      <c r="W18" s="198"/>
      <c r="X18" s="201"/>
      <c r="Y18" s="79"/>
      <c r="AD18" s="131"/>
      <c r="AF18" s="106"/>
    </row>
    <row r="19">
      <c r="A19" s="4" t="s">
        <v>23</v>
      </c>
      <c r="B19" s="12">
        <f>SUM(B2:AA8)</f>
        <v>11727.37</v>
      </c>
      <c r="C19" s="192"/>
      <c r="D19" s="177"/>
      <c r="E19" s="151"/>
      <c r="F19" s="148"/>
      <c r="G19" s="224"/>
      <c r="H19" s="38"/>
      <c r="I19" s="175"/>
      <c r="K19" s="384"/>
      <c r="L19" s="201"/>
      <c r="M19" s="201"/>
      <c r="N19" s="201"/>
      <c r="O19" s="198"/>
      <c r="P19" s="204"/>
      <c r="R19" s="203"/>
      <c r="S19" s="79"/>
      <c r="T19" s="201"/>
      <c r="U19" s="201"/>
      <c r="V19" s="198"/>
      <c r="W19" s="198"/>
      <c r="X19" s="191"/>
      <c r="Y19" s="79"/>
      <c r="AD19" s="131"/>
      <c r="AF19" s="106"/>
    </row>
    <row r="20">
      <c r="A20" s="4" t="s">
        <v>24</v>
      </c>
      <c r="B20" s="12">
        <f> SUM(B18-B19)</f>
        <v>-1727.37</v>
      </c>
      <c r="C20" s="79"/>
      <c r="D20" s="78"/>
      <c r="E20" s="151"/>
      <c r="F20" s="201"/>
      <c r="G20" s="224"/>
      <c r="H20" s="224"/>
      <c r="I20" s="203"/>
      <c r="K20" s="203"/>
      <c r="L20" s="199"/>
      <c r="M20" s="201"/>
      <c r="N20" s="200"/>
      <c r="O20" s="198"/>
      <c r="P20" s="204"/>
      <c r="R20" s="203"/>
      <c r="S20" s="79"/>
      <c r="T20" s="210"/>
      <c r="U20" s="210"/>
      <c r="V20" s="198"/>
      <c r="W20" s="198"/>
      <c r="X20" s="203"/>
      <c r="Y20" s="79"/>
      <c r="AD20" s="131"/>
      <c r="AF20" s="106"/>
    </row>
    <row r="21">
      <c r="C21" s="79"/>
      <c r="E21" s="439" t="s">
        <v>195</v>
      </c>
      <c r="F21" s="440" t="s">
        <v>779</v>
      </c>
      <c r="G21" s="224"/>
      <c r="H21" s="224"/>
      <c r="I21" s="345"/>
      <c r="J21" s="78"/>
      <c r="K21" s="351"/>
      <c r="N21" s="198"/>
      <c r="O21" s="198"/>
      <c r="P21" s="204"/>
      <c r="R21" s="203"/>
      <c r="S21" s="79"/>
      <c r="T21" s="198"/>
      <c r="U21" s="428"/>
      <c r="V21" s="198"/>
      <c r="W21" s="198"/>
      <c r="X21" s="203"/>
      <c r="Y21" s="79"/>
      <c r="AD21" s="131"/>
      <c r="AF21" s="106"/>
    </row>
    <row r="22">
      <c r="A22" s="13" t="s">
        <v>25</v>
      </c>
      <c r="B22" s="14">
        <f>SUM(AD2:AD8)</f>
        <v>41668.38</v>
      </c>
      <c r="C22" s="79"/>
      <c r="D22" s="13" t="s">
        <v>724</v>
      </c>
      <c r="E22" s="442">
        <f>sum(B12:AB12)</f>
        <v>5456.585</v>
      </c>
      <c r="F22" s="443">
        <f>91.02+sum(B14:AB14)</f>
        <v>1201.08</v>
      </c>
      <c r="G22" s="224"/>
      <c r="H22" s="224"/>
      <c r="I22" s="203"/>
      <c r="J22" s="78"/>
      <c r="K22" s="203"/>
      <c r="L22" s="203"/>
      <c r="M22" s="203"/>
      <c r="N22" s="198"/>
      <c r="O22" s="198"/>
      <c r="P22" s="204"/>
      <c r="R22" s="203"/>
      <c r="S22" s="79"/>
      <c r="T22" s="198"/>
      <c r="U22" s="198"/>
      <c r="V22" s="198"/>
      <c r="W22" s="198"/>
      <c r="X22" s="203"/>
      <c r="Y22" s="79"/>
      <c r="AD22" s="181"/>
      <c r="AF22" s="106"/>
    </row>
    <row r="23">
      <c r="A23" s="13" t="s">
        <v>26</v>
      </c>
      <c r="B23" s="15">
        <f>B19/B22</f>
        <v>0.281445307</v>
      </c>
      <c r="C23" s="79"/>
      <c r="D23" s="13" t="s">
        <v>25</v>
      </c>
      <c r="E23" s="445">
        <f>3409+1966.83+854+3127+3791</f>
        <v>13147.83</v>
      </c>
      <c r="F23" s="446">
        <v>8200.0</v>
      </c>
      <c r="G23" s="224"/>
      <c r="H23" s="224"/>
      <c r="I23" s="203"/>
      <c r="J23" s="78"/>
      <c r="K23" s="203"/>
      <c r="L23" s="203"/>
      <c r="M23" s="203"/>
      <c r="N23" s="203"/>
      <c r="O23" s="198"/>
      <c r="P23" s="204"/>
      <c r="R23" s="203"/>
      <c r="S23" s="79"/>
      <c r="T23" s="198"/>
      <c r="U23" s="198"/>
      <c r="V23" s="198"/>
      <c r="W23" s="198"/>
      <c r="X23" s="203"/>
      <c r="Y23" s="79"/>
      <c r="AD23" s="130"/>
      <c r="AF23" s="106"/>
    </row>
    <row r="24">
      <c r="C24" s="79"/>
      <c r="D24" s="448" t="s">
        <v>26</v>
      </c>
      <c r="E24" s="449">
        <f t="shared" ref="E24:F24" si="6">E22/E23</f>
        <v>0.4150179155</v>
      </c>
      <c r="F24" s="450">
        <f t="shared" si="6"/>
        <v>0.1464731707</v>
      </c>
      <c r="H24" s="224"/>
      <c r="I24" s="78"/>
      <c r="J24" s="78"/>
      <c r="K24" s="203"/>
      <c r="L24" s="203"/>
      <c r="M24" s="203"/>
      <c r="N24" s="201"/>
      <c r="O24" s="198"/>
      <c r="P24" s="204"/>
      <c r="R24" s="198"/>
      <c r="S24" s="79"/>
      <c r="T24" s="198"/>
      <c r="U24" s="198"/>
      <c r="V24" s="198"/>
      <c r="W24" s="198"/>
      <c r="X24" s="203"/>
      <c r="Y24" s="79"/>
      <c r="AD24" s="182"/>
      <c r="AF24" s="106"/>
    </row>
    <row r="25">
      <c r="C25" s="79"/>
      <c r="D25" s="79"/>
      <c r="E25" s="79"/>
      <c r="F25" s="204"/>
      <c r="G25" s="192"/>
      <c r="H25" s="213"/>
      <c r="I25" s="203"/>
      <c r="J25" s="212"/>
      <c r="K25" s="203"/>
      <c r="L25" s="203"/>
      <c r="M25" s="203"/>
      <c r="N25" s="201"/>
      <c r="O25" s="198"/>
      <c r="P25" s="204"/>
      <c r="R25" s="198"/>
      <c r="S25" s="79"/>
      <c r="T25" s="198"/>
      <c r="U25" s="198"/>
      <c r="V25" s="198"/>
      <c r="W25" s="198"/>
      <c r="X25" s="203"/>
      <c r="Y25" s="79"/>
      <c r="AD25" s="130"/>
      <c r="AF25" s="106"/>
    </row>
    <row r="26">
      <c r="A26" s="16" t="s">
        <v>27</v>
      </c>
      <c r="B26" s="17"/>
      <c r="C26" s="114"/>
      <c r="D26" s="114"/>
      <c r="E26" s="115"/>
      <c r="F26" s="204"/>
      <c r="G26" s="78"/>
      <c r="H26" s="224"/>
      <c r="I26" s="78"/>
      <c r="J26" s="79"/>
      <c r="K26" s="203"/>
      <c r="L26" s="217"/>
      <c r="M26" s="208"/>
      <c r="N26" s="198"/>
      <c r="O26" s="198"/>
      <c r="P26" s="204"/>
      <c r="R26" s="200"/>
      <c r="S26" s="79"/>
      <c r="T26" s="198"/>
      <c r="U26" s="198"/>
      <c r="V26" s="198"/>
      <c r="W26" s="198"/>
      <c r="X26" s="203"/>
      <c r="Y26" s="79"/>
      <c r="AD26" s="130"/>
      <c r="AF26" s="106"/>
    </row>
    <row r="27">
      <c r="A27" s="19" t="s">
        <v>28</v>
      </c>
      <c r="B27" s="20"/>
      <c r="C27" s="116"/>
      <c r="D27" s="116"/>
      <c r="E27" s="117"/>
      <c r="F27" s="204"/>
      <c r="G27" s="212"/>
      <c r="H27" s="213"/>
      <c r="I27" s="224"/>
      <c r="J27" s="78"/>
      <c r="K27" s="203"/>
      <c r="L27" s="203"/>
      <c r="M27" s="209"/>
      <c r="N27" s="201"/>
      <c r="O27" s="198"/>
      <c r="P27" s="204"/>
      <c r="R27" s="198"/>
      <c r="S27" s="79"/>
      <c r="T27" s="198"/>
      <c r="U27" s="198"/>
      <c r="V27" s="198"/>
      <c r="W27" s="198"/>
      <c r="X27" s="203"/>
      <c r="Y27" s="79"/>
      <c r="AD27" s="130"/>
      <c r="AF27" s="106"/>
    </row>
    <row r="28">
      <c r="A28" s="183" t="s">
        <v>29</v>
      </c>
      <c r="B28" s="184" t="s">
        <v>30</v>
      </c>
      <c r="C28" s="183"/>
      <c r="D28" s="183" t="s">
        <v>170</v>
      </c>
      <c r="E28" s="219" t="s">
        <v>171</v>
      </c>
      <c r="F28" s="204"/>
      <c r="G28" s="79"/>
      <c r="H28" s="242"/>
      <c r="I28" s="79"/>
      <c r="J28" s="79"/>
      <c r="K28" s="203"/>
      <c r="L28" s="201"/>
      <c r="M28" s="209"/>
      <c r="N28" s="198"/>
      <c r="O28" s="198"/>
      <c r="P28" s="204"/>
      <c r="R28" s="198"/>
      <c r="S28" s="79"/>
      <c r="T28" s="198"/>
      <c r="U28" s="198"/>
      <c r="V28" s="198"/>
      <c r="W28" s="198"/>
      <c r="X28" s="203"/>
      <c r="Y28" s="79"/>
      <c r="Z28" s="195"/>
      <c r="AD28" s="130"/>
      <c r="AF28" s="106"/>
    </row>
    <row r="29">
      <c r="A29" s="405" t="s">
        <v>780</v>
      </c>
      <c r="B29" s="406">
        <f>735.21+1395.03+1526</f>
        <v>3656.24</v>
      </c>
      <c r="C29" s="407"/>
      <c r="D29" s="407"/>
      <c r="E29" s="407"/>
      <c r="O29" s="79"/>
      <c r="S29" s="79"/>
      <c r="T29" s="79"/>
      <c r="Y29" s="79"/>
      <c r="AD29" s="130"/>
      <c r="AF29" s="106"/>
    </row>
    <row r="30">
      <c r="A30" s="410" t="s">
        <v>781</v>
      </c>
      <c r="B30" s="411">
        <f>1629.8</f>
        <v>1629.8</v>
      </c>
      <c r="C30" s="412"/>
      <c r="D30" s="412"/>
      <c r="E30" s="412"/>
      <c r="G30" s="195"/>
      <c r="O30" s="79"/>
      <c r="S30" s="79"/>
      <c r="T30" s="79"/>
      <c r="Y30" s="79"/>
      <c r="AD30" s="130"/>
      <c r="AF30" s="106"/>
    </row>
    <row r="31">
      <c r="A31" s="430" t="s">
        <v>763</v>
      </c>
      <c r="B31" s="431">
        <f>1001.8-250.45</f>
        <v>751.35</v>
      </c>
      <c r="C31" s="432"/>
      <c r="D31" s="432"/>
      <c r="E31" s="432"/>
      <c r="I31" s="68">
        <f>I30*20</f>
        <v>0</v>
      </c>
      <c r="O31" s="79"/>
      <c r="S31" s="79"/>
      <c r="T31" s="79"/>
      <c r="Y31" s="79"/>
      <c r="AD31" s="130"/>
      <c r="AF31" s="106"/>
    </row>
    <row r="32">
      <c r="A32" s="245" t="s">
        <v>764</v>
      </c>
      <c r="B32" s="340">
        <f>1219-406</f>
        <v>813</v>
      </c>
      <c r="C32" s="247"/>
      <c r="D32" s="247"/>
      <c r="E32" s="247"/>
      <c r="O32" s="79"/>
      <c r="S32" s="79"/>
      <c r="T32" s="79"/>
      <c r="Y32" s="79"/>
      <c r="AD32" s="130"/>
      <c r="AF32" s="106"/>
    </row>
    <row r="33">
      <c r="A33" s="245" t="s">
        <v>733</v>
      </c>
      <c r="B33" s="340">
        <v>504.64</v>
      </c>
      <c r="C33" s="247"/>
      <c r="D33" s="247"/>
      <c r="E33" s="247"/>
      <c r="O33" s="79"/>
      <c r="S33" s="79"/>
      <c r="T33" s="79"/>
      <c r="Y33" s="79"/>
      <c r="AD33" s="130"/>
      <c r="AF33" s="106"/>
    </row>
    <row r="34">
      <c r="A34" s="221" t="s">
        <v>782</v>
      </c>
      <c r="B34" s="341">
        <f>547-273+192</f>
        <v>466</v>
      </c>
      <c r="C34" s="223"/>
      <c r="D34" s="223"/>
      <c r="E34" s="223"/>
      <c r="O34" s="79"/>
      <c r="S34" s="79"/>
      <c r="T34" s="79"/>
      <c r="Y34" s="79"/>
      <c r="AD34" s="130"/>
      <c r="AF34" s="106"/>
    </row>
    <row r="35">
      <c r="A35" s="221" t="s">
        <v>767</v>
      </c>
      <c r="B35" s="341">
        <f>658-329</f>
        <v>329</v>
      </c>
      <c r="C35" s="223"/>
      <c r="D35" s="223"/>
      <c r="E35" s="223"/>
      <c r="O35" s="79"/>
      <c r="S35" s="79"/>
      <c r="T35" s="79"/>
      <c r="Y35" s="79"/>
      <c r="AD35" s="130"/>
      <c r="AF35" s="106"/>
    </row>
    <row r="36">
      <c r="A36" s="173" t="s">
        <v>783</v>
      </c>
      <c r="B36" s="344">
        <v>284.9</v>
      </c>
      <c r="C36" s="241"/>
      <c r="D36" s="241"/>
      <c r="E36" s="241"/>
      <c r="O36" s="79"/>
      <c r="S36" s="79"/>
      <c r="T36" s="79"/>
      <c r="Y36" s="79"/>
      <c r="AD36" s="130"/>
      <c r="AF36" s="106"/>
    </row>
    <row r="37">
      <c r="A37" s="173" t="s">
        <v>784</v>
      </c>
      <c r="B37" s="344">
        <v>376.64</v>
      </c>
      <c r="C37" s="241"/>
      <c r="D37" s="241"/>
      <c r="E37" s="241"/>
      <c r="O37" s="79"/>
      <c r="S37" s="79"/>
      <c r="T37" s="79"/>
      <c r="Y37" s="79"/>
      <c r="AD37" s="130"/>
      <c r="AF37" s="106"/>
    </row>
    <row r="38">
      <c r="A38" s="173" t="s">
        <v>785</v>
      </c>
      <c r="B38" s="344">
        <v>421.43</v>
      </c>
      <c r="C38" s="241"/>
      <c r="D38" s="241"/>
      <c r="E38" s="241"/>
      <c r="O38" s="79"/>
      <c r="S38" s="79"/>
      <c r="T38" s="79"/>
      <c r="Y38" s="79"/>
      <c r="AD38" s="130"/>
      <c r="AF38" s="106"/>
    </row>
    <row r="39">
      <c r="C39" s="79"/>
      <c r="D39" s="79"/>
      <c r="E39" s="79"/>
      <c r="O39" s="79"/>
      <c r="S39" s="79"/>
      <c r="T39" s="79"/>
      <c r="Y39" s="79"/>
      <c r="AD39" s="130"/>
      <c r="AF39" s="106"/>
    </row>
    <row r="40">
      <c r="A40" s="274"/>
      <c r="B40" s="275" t="s">
        <v>315</v>
      </c>
      <c r="F40" s="274"/>
      <c r="G40" s="274"/>
      <c r="H40" s="274"/>
      <c r="I40" s="274"/>
      <c r="J40" s="274"/>
      <c r="K40" s="274"/>
      <c r="L40" s="274"/>
      <c r="M40" s="274"/>
      <c r="N40" s="274"/>
      <c r="O40" s="274"/>
      <c r="P40" s="274"/>
      <c r="Q40" s="274"/>
      <c r="R40" s="274"/>
      <c r="S40" s="274"/>
      <c r="T40" s="274"/>
      <c r="U40" s="274"/>
      <c r="V40" s="274"/>
      <c r="W40" s="274"/>
      <c r="X40" s="274"/>
      <c r="Y40" s="274"/>
      <c r="Z40" s="274"/>
      <c r="AA40" s="274"/>
      <c r="AB40" s="274"/>
      <c r="AC40" s="274"/>
      <c r="AD40" s="276"/>
      <c r="AE40" s="274"/>
      <c r="AF40" s="277"/>
      <c r="AG40" s="274"/>
      <c r="AH40" s="274"/>
      <c r="AI40" s="274"/>
    </row>
    <row r="41">
      <c r="A41" s="16" t="s">
        <v>316</v>
      </c>
      <c r="B41" s="17"/>
      <c r="C41" s="114"/>
      <c r="D41" s="114"/>
      <c r="E41" s="115"/>
      <c r="H41" s="455" t="s">
        <v>735</v>
      </c>
      <c r="I41" s="17"/>
      <c r="J41" s="114"/>
      <c r="K41" s="114"/>
      <c r="L41" s="115"/>
      <c r="O41" s="79"/>
      <c r="S41" s="79"/>
      <c r="T41" s="79"/>
      <c r="Y41" s="79"/>
      <c r="AD41" s="130"/>
      <c r="AF41" s="106"/>
    </row>
    <row r="42">
      <c r="A42" s="19" t="s">
        <v>317</v>
      </c>
      <c r="B42" s="20"/>
      <c r="C42" s="116"/>
      <c r="D42" s="116"/>
      <c r="E42" s="117"/>
      <c r="H42" s="457" t="s">
        <v>736</v>
      </c>
      <c r="I42" s="20"/>
      <c r="J42" s="116"/>
      <c r="K42" s="116"/>
      <c r="L42" s="117"/>
      <c r="O42" s="79"/>
      <c r="S42" s="79"/>
      <c r="T42" s="79"/>
      <c r="Y42" s="79"/>
      <c r="AD42" s="130"/>
      <c r="AF42" s="106"/>
    </row>
    <row r="43">
      <c r="A43" s="278" t="s">
        <v>318</v>
      </c>
      <c r="B43" s="279" t="s">
        <v>319</v>
      </c>
      <c r="C43" s="280" t="s">
        <v>285</v>
      </c>
      <c r="D43" s="280" t="s">
        <v>30</v>
      </c>
      <c r="E43" s="281" t="s">
        <v>320</v>
      </c>
      <c r="F43" s="281" t="s">
        <v>321</v>
      </c>
      <c r="H43" s="458" t="s">
        <v>318</v>
      </c>
      <c r="I43" s="459" t="s">
        <v>319</v>
      </c>
      <c r="J43" s="458" t="s">
        <v>285</v>
      </c>
      <c r="K43" s="458" t="s">
        <v>737</v>
      </c>
      <c r="L43" s="458" t="s">
        <v>738</v>
      </c>
      <c r="M43" s="460" t="s">
        <v>739</v>
      </c>
      <c r="N43" s="506" t="s">
        <v>740</v>
      </c>
      <c r="O43" s="507" t="s">
        <v>741</v>
      </c>
      <c r="P43" s="508" t="s">
        <v>320</v>
      </c>
      <c r="Q43" s="509" t="s">
        <v>742</v>
      </c>
      <c r="R43" s="510" t="s">
        <v>740</v>
      </c>
      <c r="S43" s="458" t="s">
        <v>741</v>
      </c>
      <c r="T43" s="460" t="s">
        <v>320</v>
      </c>
      <c r="U43" s="510" t="s">
        <v>740</v>
      </c>
      <c r="V43" s="458" t="s">
        <v>741</v>
      </c>
      <c r="W43" s="460" t="s">
        <v>320</v>
      </c>
      <c r="X43" s="461" t="s">
        <v>743</v>
      </c>
      <c r="Y43" s="79"/>
      <c r="AD43" s="130"/>
      <c r="AF43" s="106"/>
    </row>
    <row r="44">
      <c r="A44" s="304" t="s">
        <v>530</v>
      </c>
      <c r="B44" s="305">
        <v>45503.0</v>
      </c>
      <c r="C44" s="234" t="s">
        <v>325</v>
      </c>
      <c r="D44" s="178">
        <v>1211.18</v>
      </c>
      <c r="E44" s="422"/>
      <c r="F44" s="307">
        <f>D44/2</f>
        <v>605.59</v>
      </c>
      <c r="G44" s="483"/>
      <c r="H44" s="484">
        <v>582447.0</v>
      </c>
      <c r="I44" s="485">
        <v>45553.0</v>
      </c>
      <c r="J44" s="486" t="s">
        <v>437</v>
      </c>
      <c r="K44" s="487">
        <v>1.0</v>
      </c>
      <c r="L44" s="488">
        <v>398.39</v>
      </c>
      <c r="M44" s="511">
        <f t="shared" ref="M44:M50" si="7">L44/K44</f>
        <v>398.39</v>
      </c>
      <c r="N44" s="512">
        <v>-1.0</v>
      </c>
      <c r="O44" s="488">
        <f t="shared" ref="O44:O48" si="8">N44*M44</f>
        <v>-398.39</v>
      </c>
      <c r="P44" s="513">
        <v>45578.0</v>
      </c>
      <c r="Q44" s="514">
        <v>0.0</v>
      </c>
      <c r="R44" s="515"/>
      <c r="S44" s="469"/>
      <c r="T44" s="472"/>
      <c r="U44" s="515"/>
      <c r="V44" s="469"/>
      <c r="W44" s="470"/>
      <c r="X44" s="471">
        <f t="shared" ref="X44:X56" si="9">K44+N44+R44+U44</f>
        <v>0</v>
      </c>
      <c r="Y44" s="491"/>
      <c r="Z44" s="483"/>
      <c r="AA44" s="483"/>
      <c r="AB44" s="483"/>
      <c r="AC44" s="483"/>
      <c r="AD44" s="492"/>
      <c r="AE44" s="483"/>
      <c r="AF44" s="493"/>
      <c r="AG44" s="483"/>
      <c r="AH44" s="483"/>
      <c r="AI44" s="483"/>
    </row>
    <row r="45">
      <c r="A45" s="304" t="s">
        <v>553</v>
      </c>
      <c r="B45" s="305">
        <v>45510.0</v>
      </c>
      <c r="C45" s="234" t="s">
        <v>325</v>
      </c>
      <c r="D45" s="178">
        <v>1409.57</v>
      </c>
      <c r="E45" s="308"/>
      <c r="F45" s="235"/>
      <c r="H45" s="516">
        <v>584270.0</v>
      </c>
      <c r="I45" s="517">
        <v>45560.0</v>
      </c>
      <c r="J45" s="518" t="s">
        <v>437</v>
      </c>
      <c r="K45" s="519">
        <v>6.0</v>
      </c>
      <c r="L45" s="520">
        <v>2418.34</v>
      </c>
      <c r="M45" s="521">
        <f t="shared" si="7"/>
        <v>403.0566667</v>
      </c>
      <c r="N45" s="522">
        <v>-5.0</v>
      </c>
      <c r="O45" s="520">
        <f t="shared" si="8"/>
        <v>-2015.283333</v>
      </c>
      <c r="P45" s="523" t="s">
        <v>745</v>
      </c>
      <c r="Q45" s="524">
        <v>1.0</v>
      </c>
      <c r="R45" s="525">
        <v>-1.0</v>
      </c>
      <c r="S45" s="526">
        <f t="shared" ref="S45:S47" si="10">R45*M45</f>
        <v>-403.0566667</v>
      </c>
      <c r="T45" s="527">
        <v>45585.0</v>
      </c>
      <c r="U45" s="528"/>
      <c r="V45" s="529"/>
      <c r="W45" s="530"/>
      <c r="X45" s="471">
        <f t="shared" si="9"/>
        <v>0</v>
      </c>
      <c r="Y45" s="79"/>
      <c r="AD45" s="130"/>
      <c r="AF45" s="106"/>
    </row>
    <row r="46">
      <c r="A46" s="304" t="s">
        <v>578</v>
      </c>
      <c r="B46" s="305">
        <v>45517.0</v>
      </c>
      <c r="C46" s="234" t="s">
        <v>325</v>
      </c>
      <c r="D46" s="178">
        <v>1391.12</v>
      </c>
      <c r="E46" s="308"/>
      <c r="F46" s="235"/>
      <c r="H46" s="516">
        <v>586497.0</v>
      </c>
      <c r="I46" s="517">
        <v>45567.0</v>
      </c>
      <c r="J46" s="518" t="s">
        <v>437</v>
      </c>
      <c r="K46" s="519">
        <v>8.0</v>
      </c>
      <c r="L46" s="520">
        <v>3199.26</v>
      </c>
      <c r="M46" s="521">
        <f t="shared" si="7"/>
        <v>399.9075</v>
      </c>
      <c r="N46" s="522">
        <v>-2.0</v>
      </c>
      <c r="O46" s="520">
        <f t="shared" si="8"/>
        <v>-799.815</v>
      </c>
      <c r="P46" s="523" t="s">
        <v>745</v>
      </c>
      <c r="Q46" s="524">
        <v>6.0</v>
      </c>
      <c r="R46" s="525">
        <v>-6.0</v>
      </c>
      <c r="S46" s="526">
        <f t="shared" si="10"/>
        <v>-2399.445</v>
      </c>
      <c r="T46" s="527">
        <v>45585.0</v>
      </c>
      <c r="U46" s="528"/>
      <c r="V46" s="529"/>
      <c r="W46" s="530"/>
      <c r="X46" s="471">
        <f t="shared" si="9"/>
        <v>0</v>
      </c>
      <c r="Y46" s="79"/>
      <c r="AD46" s="130"/>
      <c r="AF46" s="106"/>
    </row>
    <row r="47">
      <c r="A47" s="304" t="s">
        <v>597</v>
      </c>
      <c r="B47" s="305">
        <v>45525.0</v>
      </c>
      <c r="C47" s="234" t="s">
        <v>325</v>
      </c>
      <c r="D47" s="178">
        <v>1420.83</v>
      </c>
      <c r="E47" s="308"/>
      <c r="F47" s="235"/>
      <c r="H47" s="484">
        <v>586905.0</v>
      </c>
      <c r="I47" s="485">
        <v>45568.0</v>
      </c>
      <c r="J47" s="486" t="s">
        <v>437</v>
      </c>
      <c r="K47" s="487">
        <v>2.0</v>
      </c>
      <c r="L47" s="488">
        <v>806.11</v>
      </c>
      <c r="M47" s="511">
        <f t="shared" si="7"/>
        <v>403.055</v>
      </c>
      <c r="N47" s="512">
        <v>-1.0</v>
      </c>
      <c r="O47" s="488">
        <f t="shared" si="8"/>
        <v>-403.055</v>
      </c>
      <c r="P47" s="531" t="s">
        <v>745</v>
      </c>
      <c r="Q47" s="532">
        <v>1.0</v>
      </c>
      <c r="R47" s="533">
        <v>-1.0</v>
      </c>
      <c r="S47" s="534">
        <f t="shared" si="10"/>
        <v>-403.055</v>
      </c>
      <c r="T47" s="535">
        <v>45592.0</v>
      </c>
      <c r="U47" s="515"/>
      <c r="V47" s="469"/>
      <c r="W47" s="472"/>
      <c r="X47" s="471">
        <f t="shared" si="9"/>
        <v>0</v>
      </c>
      <c r="Y47" s="79"/>
      <c r="AD47" s="130"/>
      <c r="AF47" s="106"/>
    </row>
    <row r="48">
      <c r="A48" s="304" t="s">
        <v>622</v>
      </c>
      <c r="B48" s="305">
        <v>45533.0</v>
      </c>
      <c r="C48" s="234" t="s">
        <v>325</v>
      </c>
      <c r="D48" s="178">
        <v>1404.36</v>
      </c>
      <c r="E48" s="308"/>
      <c r="F48" s="235"/>
      <c r="H48" s="463">
        <v>588311.0</v>
      </c>
      <c r="I48" s="464">
        <v>45574.0</v>
      </c>
      <c r="J48" s="465" t="s">
        <v>437</v>
      </c>
      <c r="K48" s="466">
        <v>6.0</v>
      </c>
      <c r="L48" s="467">
        <v>2363.76</v>
      </c>
      <c r="M48" s="536">
        <f t="shared" si="7"/>
        <v>393.96</v>
      </c>
      <c r="N48" s="537">
        <v>-5.0</v>
      </c>
      <c r="O48" s="467">
        <f t="shared" si="8"/>
        <v>-1969.8</v>
      </c>
      <c r="P48" s="538">
        <v>45592.0</v>
      </c>
      <c r="Q48" s="539">
        <v>6.0</v>
      </c>
      <c r="R48" s="533"/>
      <c r="S48" s="469"/>
      <c r="T48" s="535"/>
      <c r="U48" s="515"/>
      <c r="V48" s="469"/>
      <c r="W48" s="472"/>
      <c r="X48" s="471">
        <f t="shared" si="9"/>
        <v>1</v>
      </c>
      <c r="Y48" s="79"/>
      <c r="AD48" s="130"/>
      <c r="AF48" s="106"/>
    </row>
    <row r="49">
      <c r="A49" s="304" t="s">
        <v>644</v>
      </c>
      <c r="B49" s="305">
        <v>45540.0</v>
      </c>
      <c r="C49" s="234" t="s">
        <v>325</v>
      </c>
      <c r="D49" s="178">
        <v>1415.74</v>
      </c>
      <c r="E49" s="308"/>
      <c r="F49" s="235"/>
      <c r="H49" s="502">
        <v>589695.0</v>
      </c>
      <c r="I49" s="464">
        <v>45581.0</v>
      </c>
      <c r="J49" s="465" t="s">
        <v>437</v>
      </c>
      <c r="K49" s="466">
        <v>6.0</v>
      </c>
      <c r="L49" s="467">
        <v>2362.36</v>
      </c>
      <c r="M49" s="536">
        <f t="shared" si="7"/>
        <v>393.7266667</v>
      </c>
      <c r="N49" s="540"/>
      <c r="O49" s="473"/>
      <c r="P49" s="541">
        <f t="shared" ref="P49:P56" si="11">N49*M49</f>
        <v>0</v>
      </c>
      <c r="Q49" s="539">
        <v>6.0</v>
      </c>
      <c r="R49" s="515"/>
      <c r="S49" s="469"/>
      <c r="T49" s="472"/>
      <c r="U49" s="515"/>
      <c r="V49" s="469"/>
      <c r="W49" s="472"/>
      <c r="X49" s="471">
        <f t="shared" si="9"/>
        <v>6</v>
      </c>
      <c r="Y49" s="79"/>
      <c r="AD49" s="130"/>
      <c r="AF49" s="106"/>
    </row>
    <row r="50">
      <c r="A50" s="304" t="s">
        <v>660</v>
      </c>
      <c r="B50" s="305">
        <v>45547.0</v>
      </c>
      <c r="C50" s="234" t="s">
        <v>325</v>
      </c>
      <c r="D50" s="178">
        <v>1419.33</v>
      </c>
      <c r="E50" s="308"/>
      <c r="F50" s="235"/>
      <c r="H50" s="463">
        <v>591406.0</v>
      </c>
      <c r="I50" s="464">
        <v>45588.0</v>
      </c>
      <c r="J50" s="465" t="s">
        <v>437</v>
      </c>
      <c r="K50" s="466">
        <v>6.0</v>
      </c>
      <c r="L50" s="467">
        <v>2553.65</v>
      </c>
      <c r="M50" s="536">
        <f t="shared" si="7"/>
        <v>425.6083333</v>
      </c>
      <c r="N50" s="540"/>
      <c r="O50" s="473"/>
      <c r="P50" s="541">
        <f t="shared" si="11"/>
        <v>0</v>
      </c>
      <c r="Q50" s="539"/>
      <c r="R50" s="515"/>
      <c r="S50" s="469"/>
      <c r="T50" s="472"/>
      <c r="U50" s="515"/>
      <c r="V50" s="469"/>
      <c r="W50" s="472"/>
      <c r="X50" s="471">
        <f t="shared" si="9"/>
        <v>6</v>
      </c>
      <c r="Y50" s="79"/>
      <c r="AD50" s="130"/>
      <c r="AF50" s="106"/>
    </row>
    <row r="51">
      <c r="A51" s="304" t="s">
        <v>677</v>
      </c>
      <c r="B51" s="305">
        <v>45554.0</v>
      </c>
      <c r="C51" s="234" t="s">
        <v>325</v>
      </c>
      <c r="D51" s="178">
        <v>1439.4</v>
      </c>
      <c r="E51" s="308"/>
      <c r="F51" s="235"/>
      <c r="H51" s="463">
        <v>593114.0</v>
      </c>
      <c r="I51" s="464">
        <v>45595.0</v>
      </c>
      <c r="J51" s="465" t="s">
        <v>437</v>
      </c>
      <c r="K51" s="466">
        <v>6.0</v>
      </c>
      <c r="L51" s="467">
        <v>2575.54</v>
      </c>
      <c r="M51" s="536"/>
      <c r="N51" s="540"/>
      <c r="O51" s="473"/>
      <c r="P51" s="541">
        <f t="shared" si="11"/>
        <v>0</v>
      </c>
      <c r="Q51" s="539"/>
      <c r="R51" s="515"/>
      <c r="S51" s="469"/>
      <c r="T51" s="472"/>
      <c r="U51" s="515"/>
      <c r="V51" s="469"/>
      <c r="W51" s="472"/>
      <c r="X51" s="471">
        <f t="shared" si="9"/>
        <v>6</v>
      </c>
      <c r="Y51" s="79"/>
      <c r="AD51" s="130"/>
      <c r="AF51" s="106"/>
    </row>
    <row r="52">
      <c r="A52" s="304" t="s">
        <v>691</v>
      </c>
      <c r="B52" s="305">
        <v>45561.0</v>
      </c>
      <c r="C52" s="234" t="s">
        <v>325</v>
      </c>
      <c r="D52" s="178">
        <v>777.2</v>
      </c>
      <c r="E52" s="308"/>
      <c r="F52" s="235"/>
      <c r="H52" s="463"/>
      <c r="I52" s="464"/>
      <c r="J52" s="465" t="s">
        <v>437</v>
      </c>
      <c r="K52" s="466"/>
      <c r="L52" s="467"/>
      <c r="M52" s="536"/>
      <c r="N52" s="540"/>
      <c r="O52" s="473"/>
      <c r="P52" s="541">
        <f t="shared" si="11"/>
        <v>0</v>
      </c>
      <c r="Q52" s="539"/>
      <c r="R52" s="515"/>
      <c r="S52" s="469"/>
      <c r="T52" s="472"/>
      <c r="U52" s="515"/>
      <c r="V52" s="469"/>
      <c r="W52" s="472"/>
      <c r="X52" s="471">
        <f t="shared" si="9"/>
        <v>0</v>
      </c>
      <c r="Y52" s="79"/>
      <c r="AD52" s="130"/>
      <c r="AF52" s="106"/>
    </row>
    <row r="53">
      <c r="A53" s="304" t="s">
        <v>703</v>
      </c>
      <c r="B53" s="305">
        <v>45568.0</v>
      </c>
      <c r="C53" s="234" t="s">
        <v>325</v>
      </c>
      <c r="D53" s="178">
        <v>1421.43</v>
      </c>
      <c r="E53" s="308"/>
      <c r="F53" s="235"/>
      <c r="H53" s="463"/>
      <c r="I53" s="464"/>
      <c r="J53" s="465" t="s">
        <v>437</v>
      </c>
      <c r="K53" s="466"/>
      <c r="L53" s="467"/>
      <c r="M53" s="536"/>
      <c r="N53" s="540"/>
      <c r="O53" s="473"/>
      <c r="P53" s="541">
        <f t="shared" si="11"/>
        <v>0</v>
      </c>
      <c r="Q53" s="539"/>
      <c r="R53" s="515"/>
      <c r="S53" s="469"/>
      <c r="T53" s="472"/>
      <c r="U53" s="515"/>
      <c r="V53" s="469"/>
      <c r="W53" s="472"/>
      <c r="X53" s="471">
        <f t="shared" si="9"/>
        <v>0</v>
      </c>
      <c r="Y53" s="79"/>
      <c r="AD53" s="130"/>
      <c r="AF53" s="106"/>
    </row>
    <row r="54">
      <c r="A54" s="304" t="s">
        <v>747</v>
      </c>
      <c r="B54" s="305">
        <v>45574.0</v>
      </c>
      <c r="C54" s="234" t="s">
        <v>325</v>
      </c>
      <c r="D54" s="178">
        <v>1449.58</v>
      </c>
      <c r="E54" s="308"/>
      <c r="F54" s="235"/>
      <c r="H54" s="463"/>
      <c r="I54" s="464"/>
      <c r="J54" s="465" t="s">
        <v>437</v>
      </c>
      <c r="K54" s="466"/>
      <c r="L54" s="467"/>
      <c r="M54" s="536"/>
      <c r="N54" s="540"/>
      <c r="O54" s="473"/>
      <c r="P54" s="541">
        <f t="shared" si="11"/>
        <v>0</v>
      </c>
      <c r="Q54" s="539"/>
      <c r="R54" s="515"/>
      <c r="S54" s="469"/>
      <c r="T54" s="472"/>
      <c r="U54" s="515"/>
      <c r="V54" s="469"/>
      <c r="W54" s="472"/>
      <c r="X54" s="471">
        <f t="shared" si="9"/>
        <v>0</v>
      </c>
      <c r="Y54" s="79"/>
      <c r="AD54" s="130"/>
      <c r="AF54" s="106"/>
    </row>
    <row r="55">
      <c r="A55" s="304" t="s">
        <v>769</v>
      </c>
      <c r="B55" s="305">
        <v>45581.0</v>
      </c>
      <c r="C55" s="234" t="s">
        <v>325</v>
      </c>
      <c r="D55" s="178">
        <v>1436.0</v>
      </c>
      <c r="E55" s="308"/>
      <c r="F55" s="235"/>
      <c r="H55" s="463"/>
      <c r="I55" s="464"/>
      <c r="J55" s="465" t="s">
        <v>437</v>
      </c>
      <c r="K55" s="466"/>
      <c r="L55" s="467"/>
      <c r="M55" s="536"/>
      <c r="N55" s="540"/>
      <c r="O55" s="473"/>
      <c r="P55" s="541">
        <f t="shared" si="11"/>
        <v>0</v>
      </c>
      <c r="Q55" s="539"/>
      <c r="R55" s="515"/>
      <c r="S55" s="469"/>
      <c r="T55" s="472"/>
      <c r="U55" s="515"/>
      <c r="V55" s="469"/>
      <c r="W55" s="472"/>
      <c r="X55" s="471">
        <f t="shared" si="9"/>
        <v>0</v>
      </c>
      <c r="Y55" s="79"/>
      <c r="AD55" s="130"/>
      <c r="AF55" s="106"/>
    </row>
    <row r="56">
      <c r="A56" s="304" t="s">
        <v>786</v>
      </c>
      <c r="B56" s="305">
        <v>45588.0</v>
      </c>
      <c r="C56" s="234" t="s">
        <v>325</v>
      </c>
      <c r="D56" s="178">
        <v>823.39</v>
      </c>
      <c r="E56" s="308"/>
      <c r="H56" s="473"/>
      <c r="I56" s="464"/>
      <c r="J56" s="473"/>
      <c r="K56" s="466"/>
      <c r="L56" s="467"/>
      <c r="M56" s="536"/>
      <c r="N56" s="540"/>
      <c r="O56" s="473"/>
      <c r="P56" s="541">
        <f t="shared" si="11"/>
        <v>0</v>
      </c>
      <c r="Q56" s="539"/>
      <c r="R56" s="515"/>
      <c r="S56" s="469"/>
      <c r="T56" s="472"/>
      <c r="U56" s="515"/>
      <c r="V56" s="469"/>
      <c r="W56" s="472"/>
      <c r="X56" s="474">
        <f t="shared" si="9"/>
        <v>0</v>
      </c>
      <c r="Y56" s="79"/>
      <c r="AD56" s="130"/>
      <c r="AF56" s="106"/>
    </row>
    <row r="57">
      <c r="A57" s="282" t="s">
        <v>667</v>
      </c>
      <c r="B57" s="283">
        <v>45546.0</v>
      </c>
      <c r="C57" s="166" t="s">
        <v>668</v>
      </c>
      <c r="D57" s="93">
        <f>608.6</f>
        <v>608.6</v>
      </c>
      <c r="E57" s="291" t="s">
        <v>704</v>
      </c>
      <c r="F57" s="6">
        <f>D57/2</f>
        <v>304.3</v>
      </c>
      <c r="O57" s="79"/>
      <c r="S57" s="79"/>
      <c r="T57" s="79"/>
      <c r="Y57" s="79"/>
      <c r="AD57" s="130"/>
      <c r="AF57" s="106"/>
    </row>
    <row r="58">
      <c r="A58" s="282" t="s">
        <v>681</v>
      </c>
      <c r="B58" s="283">
        <v>45555.0</v>
      </c>
      <c r="C58" s="166" t="s">
        <v>664</v>
      </c>
      <c r="D58" s="93">
        <v>785.6</v>
      </c>
      <c r="E58" s="291"/>
      <c r="F58" s="6"/>
      <c r="H58" s="479" t="s">
        <v>287</v>
      </c>
      <c r="I58" s="32" t="s">
        <v>748</v>
      </c>
      <c r="J58" s="479" t="s">
        <v>749</v>
      </c>
      <c r="K58" s="479" t="s">
        <v>750</v>
      </c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AD58" s="130"/>
      <c r="AF58" s="106"/>
    </row>
    <row r="59">
      <c r="A59" s="282" t="s">
        <v>682</v>
      </c>
      <c r="B59" s="283">
        <v>45558.0</v>
      </c>
      <c r="C59" s="166" t="s">
        <v>482</v>
      </c>
      <c r="D59" s="93">
        <v>1556.54</v>
      </c>
      <c r="E59" s="291"/>
      <c r="F59" s="6"/>
      <c r="H59" s="286">
        <v>45578.0</v>
      </c>
      <c r="I59" s="32">
        <v>6.0</v>
      </c>
      <c r="J59" s="480">
        <v>2413.68</v>
      </c>
      <c r="K59" s="479" t="s">
        <v>751</v>
      </c>
      <c r="L59" s="79"/>
      <c r="M59" s="242">
        <f>M48*6</f>
        <v>2363.76</v>
      </c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AD59" s="130"/>
      <c r="AF59" s="106"/>
    </row>
    <row r="60">
      <c r="A60" s="66" t="s">
        <v>709</v>
      </c>
      <c r="B60" s="542">
        <v>45570.0</v>
      </c>
      <c r="C60" s="543" t="s">
        <v>710</v>
      </c>
      <c r="D60" s="433">
        <v>1001.8</v>
      </c>
      <c r="E60" s="544" t="s">
        <v>787</v>
      </c>
      <c r="F60" s="7">
        <f>D60/4</f>
        <v>250.45</v>
      </c>
      <c r="H60" s="286">
        <v>45578.0</v>
      </c>
      <c r="I60" s="32">
        <v>3.0</v>
      </c>
      <c r="J60" s="480">
        <v>1202.87</v>
      </c>
      <c r="K60" s="479" t="s">
        <v>752</v>
      </c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AD60" s="130"/>
      <c r="AF60" s="106"/>
    </row>
    <row r="61">
      <c r="A61" s="282" t="s">
        <v>711</v>
      </c>
      <c r="B61" s="283">
        <v>45567.0</v>
      </c>
      <c r="C61" s="166" t="s">
        <v>712</v>
      </c>
      <c r="D61" s="93">
        <f>603.86-15</f>
        <v>588.86</v>
      </c>
      <c r="E61" s="291"/>
      <c r="F61" s="6"/>
      <c r="H61" s="504">
        <v>45585.0</v>
      </c>
      <c r="I61" s="479">
        <v>1.0</v>
      </c>
      <c r="J61" s="505">
        <f t="shared" ref="J61:J62" si="12">S45*-1</f>
        <v>403.0566667</v>
      </c>
      <c r="K61" s="479" t="s">
        <v>751</v>
      </c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AD61" s="130"/>
      <c r="AF61" s="106"/>
    </row>
    <row r="62">
      <c r="A62" s="282" t="s">
        <v>715</v>
      </c>
      <c r="B62" s="283">
        <v>45570.0</v>
      </c>
      <c r="C62" s="166" t="s">
        <v>716</v>
      </c>
      <c r="D62" s="93">
        <f>299.8-5.8</f>
        <v>294</v>
      </c>
      <c r="E62" s="291"/>
      <c r="F62" s="6"/>
      <c r="H62" s="504">
        <v>45585.0</v>
      </c>
      <c r="I62" s="479">
        <v>6.0</v>
      </c>
      <c r="J62" s="505">
        <f t="shared" si="12"/>
        <v>2399.445</v>
      </c>
      <c r="K62" s="479" t="s">
        <v>751</v>
      </c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AD62" s="130"/>
      <c r="AF62" s="106"/>
    </row>
    <row r="63">
      <c r="A63" s="282" t="s">
        <v>753</v>
      </c>
      <c r="B63" s="283">
        <v>45574.0</v>
      </c>
      <c r="C63" s="166" t="s">
        <v>754</v>
      </c>
      <c r="D63" s="93">
        <v>237.1</v>
      </c>
      <c r="E63" s="291"/>
      <c r="F63" s="6"/>
      <c r="H63" s="504">
        <v>45592.0</v>
      </c>
      <c r="I63" s="479">
        <v>6.0</v>
      </c>
      <c r="J63" s="505">
        <f>(S47+O48)*-1</f>
        <v>2372.855</v>
      </c>
      <c r="K63" s="479" t="s">
        <v>751</v>
      </c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AD63" s="130"/>
      <c r="AF63" s="106"/>
    </row>
    <row r="64">
      <c r="A64" s="282" t="s">
        <v>755</v>
      </c>
      <c r="B64" s="283">
        <v>45576.0</v>
      </c>
      <c r="C64" s="166" t="s">
        <v>756</v>
      </c>
      <c r="D64" s="93">
        <v>504.64</v>
      </c>
      <c r="E64" s="291"/>
      <c r="F64" s="6"/>
      <c r="H64" s="479"/>
      <c r="I64" s="481"/>
      <c r="J64" s="481"/>
      <c r="K64" s="481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AD64" s="130"/>
      <c r="AF64" s="106"/>
    </row>
    <row r="65">
      <c r="A65" s="282" t="s">
        <v>758</v>
      </c>
      <c r="B65" s="283">
        <v>45561.0</v>
      </c>
      <c r="C65" s="166" t="s">
        <v>536</v>
      </c>
      <c r="D65" s="93">
        <v>1160.0</v>
      </c>
      <c r="E65" s="291"/>
      <c r="F65" s="6"/>
      <c r="H65" s="479"/>
      <c r="I65" s="481"/>
      <c r="J65" s="481"/>
      <c r="K65" s="481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AD65" s="130"/>
      <c r="AF65" s="106"/>
    </row>
    <row r="66">
      <c r="A66" s="282" t="s">
        <v>771</v>
      </c>
      <c r="B66" s="283">
        <v>45579.0</v>
      </c>
      <c r="C66" s="166" t="s">
        <v>772</v>
      </c>
      <c r="D66" s="93">
        <v>658.0</v>
      </c>
      <c r="E66" s="291"/>
      <c r="F66" s="6"/>
      <c r="H66" s="479"/>
      <c r="I66" s="481"/>
      <c r="J66" s="481"/>
      <c r="K66" s="481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AD66" s="130"/>
      <c r="AF66" s="106"/>
    </row>
    <row r="67">
      <c r="A67" s="282" t="s">
        <v>773</v>
      </c>
      <c r="B67" s="283">
        <v>45581.0</v>
      </c>
      <c r="C67" s="166" t="s">
        <v>774</v>
      </c>
      <c r="D67" s="93">
        <f>547-15</f>
        <v>532</v>
      </c>
      <c r="E67" s="291"/>
      <c r="F67" s="6"/>
      <c r="H67" s="479"/>
      <c r="I67" s="481"/>
      <c r="J67" s="481"/>
      <c r="K67" s="481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AD67" s="130"/>
      <c r="AF67" s="106"/>
    </row>
    <row r="68">
      <c r="A68" s="282" t="s">
        <v>775</v>
      </c>
      <c r="B68" s="283">
        <v>45581.0</v>
      </c>
      <c r="C68" s="166" t="s">
        <v>712</v>
      </c>
      <c r="D68" s="93">
        <f>421.43-5</f>
        <v>416.43</v>
      </c>
      <c r="E68" s="291"/>
      <c r="F68" s="6"/>
      <c r="H68" s="479"/>
      <c r="I68" s="481"/>
      <c r="J68" s="481"/>
      <c r="K68" s="481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AD68" s="130"/>
      <c r="AF68" s="106"/>
    </row>
    <row r="69">
      <c r="A69" s="282" t="s">
        <v>776</v>
      </c>
      <c r="B69" s="283">
        <v>45583.0</v>
      </c>
      <c r="C69" s="166" t="s">
        <v>777</v>
      </c>
      <c r="D69" s="93">
        <v>91.02</v>
      </c>
      <c r="E69" s="291"/>
      <c r="F69" s="6"/>
      <c r="H69" s="479"/>
      <c r="I69" s="481"/>
      <c r="J69" s="481"/>
      <c r="K69" s="481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AD69" s="130"/>
      <c r="AF69" s="106"/>
    </row>
    <row r="70">
      <c r="A70" s="282" t="s">
        <v>778</v>
      </c>
      <c r="B70" s="283">
        <v>45580.0</v>
      </c>
      <c r="C70" s="166" t="s">
        <v>626</v>
      </c>
      <c r="D70" s="93">
        <v>1629.6</v>
      </c>
      <c r="E70" s="291"/>
      <c r="F70" s="6"/>
      <c r="H70" s="479"/>
      <c r="I70" s="481"/>
      <c r="J70" s="481"/>
      <c r="K70" s="481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AD70" s="130"/>
      <c r="AF70" s="106"/>
    </row>
    <row r="71">
      <c r="A71" s="282" t="s">
        <v>788</v>
      </c>
      <c r="B71" s="283">
        <v>45587.0</v>
      </c>
      <c r="C71" s="166" t="s">
        <v>482</v>
      </c>
      <c r="D71" s="93">
        <v>1526.52</v>
      </c>
      <c r="E71" s="291"/>
      <c r="F71" s="6"/>
      <c r="H71" s="479"/>
      <c r="I71" s="481"/>
      <c r="J71" s="481"/>
      <c r="K71" s="481"/>
      <c r="L71" s="481"/>
      <c r="M71" s="481"/>
      <c r="N71" s="481"/>
      <c r="O71" s="545"/>
      <c r="P71" s="79"/>
      <c r="Q71" s="481"/>
      <c r="R71" s="481"/>
      <c r="S71" s="545"/>
      <c r="T71" s="545"/>
      <c r="U71" s="481"/>
      <c r="V71" s="481"/>
      <c r="W71" s="481"/>
      <c r="X71" s="481"/>
      <c r="Y71" s="79"/>
      <c r="AD71" s="130"/>
      <c r="AF71" s="106"/>
    </row>
    <row r="72">
      <c r="A72" s="282" t="s">
        <v>789</v>
      </c>
      <c r="B72" s="283">
        <v>45588.0</v>
      </c>
      <c r="C72" s="166" t="s">
        <v>712</v>
      </c>
      <c r="D72" s="93">
        <v>406.0</v>
      </c>
      <c r="E72" s="291"/>
      <c r="F72" s="6"/>
      <c r="O72" s="79"/>
      <c r="S72" s="79"/>
      <c r="T72" s="79"/>
      <c r="Y72" s="79"/>
      <c r="AD72" s="130"/>
      <c r="AF72" s="106"/>
    </row>
    <row r="73">
      <c r="A73" s="282" t="s">
        <v>773</v>
      </c>
      <c r="B73" s="283">
        <v>45588.0</v>
      </c>
      <c r="C73" s="166" t="s">
        <v>164</v>
      </c>
      <c r="D73" s="93">
        <v>177.0</v>
      </c>
      <c r="E73" s="291"/>
      <c r="F73" s="6"/>
      <c r="O73" s="79"/>
      <c r="S73" s="79"/>
      <c r="T73" s="79"/>
      <c r="Y73" s="79"/>
      <c r="AD73" s="130"/>
      <c r="AF73" s="106"/>
    </row>
    <row r="74">
      <c r="A74" s="282" t="s">
        <v>790</v>
      </c>
      <c r="B74" s="283">
        <v>45590.0</v>
      </c>
      <c r="C74" s="166" t="s">
        <v>791</v>
      </c>
      <c r="D74" s="93">
        <v>284.0</v>
      </c>
      <c r="E74" s="291"/>
      <c r="F74" s="6"/>
      <c r="O74" s="79"/>
      <c r="S74" s="79"/>
      <c r="T74" s="79"/>
      <c r="Y74" s="79"/>
      <c r="AD74" s="130"/>
      <c r="AF74" s="106"/>
    </row>
    <row r="75">
      <c r="A75" s="282" t="s">
        <v>792</v>
      </c>
      <c r="B75" s="283">
        <v>45590.0</v>
      </c>
      <c r="C75" s="166" t="s">
        <v>793</v>
      </c>
      <c r="D75" s="93">
        <f>207.92+180.18</f>
        <v>388.1</v>
      </c>
      <c r="E75" s="291"/>
      <c r="F75" s="6"/>
      <c r="O75" s="79"/>
      <c r="S75" s="79"/>
      <c r="T75" s="79"/>
      <c r="Y75" s="79"/>
      <c r="AD75" s="130"/>
      <c r="AF75" s="106"/>
    </row>
    <row r="76">
      <c r="A76" s="282" t="s">
        <v>794</v>
      </c>
      <c r="B76" s="283">
        <v>45587.0</v>
      </c>
      <c r="C76" s="166" t="s">
        <v>795</v>
      </c>
      <c r="D76" s="93">
        <v>386.0</v>
      </c>
      <c r="E76" s="291"/>
      <c r="F76" s="6">
        <f>D76/2</f>
        <v>193</v>
      </c>
      <c r="O76" s="79"/>
      <c r="S76" s="79"/>
      <c r="T76" s="79"/>
      <c r="Y76" s="79"/>
      <c r="AD76" s="130"/>
      <c r="AF76" s="106"/>
    </row>
    <row r="77">
      <c r="A77" s="282"/>
      <c r="B77" s="283"/>
      <c r="C77" s="166"/>
      <c r="D77" s="93"/>
      <c r="E77" s="291"/>
      <c r="F77" s="6"/>
      <c r="O77" s="79"/>
      <c r="S77" s="79"/>
      <c r="T77" s="79"/>
      <c r="Y77" s="79"/>
      <c r="AD77" s="130"/>
      <c r="AF77" s="106"/>
    </row>
    <row r="78">
      <c r="A78" s="282"/>
      <c r="B78" s="283"/>
      <c r="C78" s="166"/>
      <c r="D78" s="93"/>
      <c r="E78" s="291"/>
      <c r="F78" s="6"/>
      <c r="O78" s="79"/>
      <c r="S78" s="79"/>
      <c r="T78" s="79"/>
      <c r="Y78" s="79"/>
      <c r="AD78" s="130"/>
      <c r="AF78" s="106"/>
    </row>
    <row r="79">
      <c r="A79" s="282"/>
      <c r="B79" s="283"/>
      <c r="C79" s="166"/>
      <c r="D79" s="93"/>
      <c r="E79" s="291"/>
      <c r="F79" s="6"/>
      <c r="O79" s="79"/>
      <c r="S79" s="79"/>
      <c r="T79" s="79"/>
      <c r="Y79" s="79"/>
      <c r="AD79" s="130"/>
      <c r="AF79" s="106"/>
    </row>
    <row r="80">
      <c r="A80" s="282"/>
      <c r="B80" s="283"/>
      <c r="C80" s="166"/>
      <c r="D80" s="93"/>
      <c r="E80" s="291"/>
      <c r="F80" s="6"/>
      <c r="O80" s="79"/>
      <c r="S80" s="79"/>
      <c r="T80" s="79"/>
      <c r="Y80" s="79"/>
      <c r="AD80" s="130"/>
      <c r="AF80" s="106"/>
    </row>
    <row r="81">
      <c r="A81" s="282"/>
      <c r="B81" s="283"/>
      <c r="C81" s="166"/>
      <c r="D81" s="93"/>
      <c r="E81" s="291"/>
      <c r="F81" s="6"/>
      <c r="O81" s="79"/>
      <c r="S81" s="79"/>
      <c r="T81" s="79"/>
      <c r="Y81" s="79"/>
      <c r="AD81" s="130"/>
      <c r="AF81" s="106"/>
    </row>
    <row r="82">
      <c r="A82" s="282"/>
      <c r="B82" s="283"/>
      <c r="C82" s="166"/>
      <c r="D82" s="93"/>
      <c r="E82" s="291"/>
      <c r="F82" s="6"/>
      <c r="O82" s="79"/>
      <c r="S82" s="79"/>
      <c r="T82" s="79"/>
      <c r="Y82" s="79"/>
      <c r="AD82" s="130"/>
      <c r="AF82" s="106"/>
    </row>
    <row r="83">
      <c r="A83" s="282"/>
      <c r="B83" s="283"/>
      <c r="C83" s="166"/>
      <c r="D83" s="93"/>
      <c r="E83" s="291"/>
      <c r="F83" s="6"/>
      <c r="O83" s="79"/>
      <c r="S83" s="79"/>
      <c r="T83" s="79"/>
      <c r="Y83" s="79"/>
      <c r="AD83" s="130"/>
      <c r="AF83" s="106"/>
    </row>
    <row r="84">
      <c r="C84" s="79"/>
      <c r="D84" s="79"/>
      <c r="E84" s="79"/>
      <c r="O84" s="79"/>
      <c r="S84" s="79"/>
      <c r="T84" s="79"/>
      <c r="Y84" s="79"/>
      <c r="AD84" s="130"/>
      <c r="AF84" s="106"/>
    </row>
    <row r="85">
      <c r="C85" s="79"/>
      <c r="D85" s="79"/>
      <c r="E85" s="79"/>
      <c r="O85" s="79"/>
      <c r="S85" s="79"/>
      <c r="T85" s="79"/>
      <c r="Y85" s="79"/>
      <c r="AD85" s="130"/>
      <c r="AF85" s="106"/>
    </row>
    <row r="86">
      <c r="C86" s="79"/>
      <c r="D86" s="79"/>
      <c r="E86" s="79"/>
      <c r="O86" s="79"/>
      <c r="S86" s="79"/>
      <c r="T86" s="79"/>
      <c r="Y86" s="79"/>
      <c r="AD86" s="130"/>
      <c r="AF86" s="106"/>
    </row>
    <row r="87">
      <c r="C87" s="79"/>
      <c r="D87" s="79"/>
      <c r="E87" s="79"/>
      <c r="O87" s="79"/>
      <c r="S87" s="79"/>
      <c r="T87" s="79"/>
      <c r="Y87" s="79"/>
      <c r="AD87" s="130"/>
      <c r="AF87" s="106"/>
    </row>
    <row r="88">
      <c r="C88" s="79"/>
      <c r="D88" s="79"/>
      <c r="E88" s="79"/>
      <c r="O88" s="79"/>
      <c r="S88" s="79"/>
      <c r="T88" s="79"/>
      <c r="Y88" s="79"/>
      <c r="AD88" s="130"/>
      <c r="AF88" s="106"/>
    </row>
    <row r="89">
      <c r="C89" s="79"/>
      <c r="D89" s="79"/>
      <c r="E89" s="79"/>
      <c r="O89" s="79"/>
      <c r="S89" s="79"/>
      <c r="T89" s="79"/>
      <c r="Y89" s="79"/>
      <c r="AD89" s="130"/>
      <c r="AF89" s="106"/>
    </row>
    <row r="90">
      <c r="C90" s="79"/>
      <c r="D90" s="79"/>
      <c r="E90" s="79"/>
      <c r="O90" s="79"/>
      <c r="S90" s="79"/>
      <c r="T90" s="79"/>
      <c r="Y90" s="79"/>
      <c r="AD90" s="130"/>
      <c r="AF90" s="106"/>
    </row>
    <row r="91">
      <c r="C91" s="79"/>
      <c r="D91" s="79"/>
      <c r="E91" s="79"/>
      <c r="O91" s="79"/>
      <c r="S91" s="79"/>
      <c r="T91" s="79"/>
      <c r="Y91" s="79"/>
      <c r="AD91" s="130"/>
      <c r="AF91" s="106"/>
    </row>
    <row r="92">
      <c r="C92" s="79"/>
      <c r="D92" s="79"/>
      <c r="E92" s="79"/>
      <c r="O92" s="79"/>
      <c r="S92" s="79"/>
      <c r="T92" s="79"/>
      <c r="Y92" s="79"/>
      <c r="AD92" s="130"/>
      <c r="AF92" s="106"/>
    </row>
    <row r="93">
      <c r="C93" s="79"/>
      <c r="D93" s="79"/>
      <c r="E93" s="79"/>
      <c r="O93" s="79"/>
      <c r="S93" s="79"/>
      <c r="T93" s="79"/>
      <c r="Y93" s="79"/>
      <c r="AD93" s="130"/>
      <c r="AF93" s="106"/>
    </row>
    <row r="94">
      <c r="C94" s="79"/>
      <c r="D94" s="79"/>
      <c r="E94" s="79"/>
      <c r="O94" s="79"/>
      <c r="S94" s="79"/>
      <c r="T94" s="79"/>
      <c r="Y94" s="79"/>
      <c r="AD94" s="130"/>
      <c r="AF94" s="106"/>
    </row>
    <row r="95">
      <c r="C95" s="79"/>
      <c r="D95" s="79"/>
      <c r="E95" s="79"/>
      <c r="O95" s="79"/>
      <c r="S95" s="79"/>
      <c r="T95" s="79"/>
      <c r="Y95" s="79"/>
      <c r="AD95" s="130"/>
      <c r="AF95" s="106"/>
    </row>
    <row r="96">
      <c r="C96" s="79"/>
      <c r="D96" s="79"/>
      <c r="E96" s="79"/>
      <c r="O96" s="79"/>
      <c r="S96" s="79"/>
      <c r="T96" s="79"/>
      <c r="Y96" s="79"/>
      <c r="AD96" s="130"/>
      <c r="AF96" s="106"/>
    </row>
    <row r="97">
      <c r="C97" s="79"/>
      <c r="D97" s="79"/>
      <c r="E97" s="79"/>
      <c r="O97" s="79"/>
      <c r="S97" s="79"/>
      <c r="T97" s="79"/>
      <c r="Y97" s="79"/>
      <c r="AD97" s="130"/>
      <c r="AF97" s="106"/>
    </row>
    <row r="98">
      <c r="C98" s="79"/>
      <c r="D98" s="79"/>
      <c r="E98" s="79"/>
      <c r="O98" s="79"/>
      <c r="S98" s="79"/>
      <c r="T98" s="79"/>
      <c r="Y98" s="79"/>
      <c r="AD98" s="130"/>
      <c r="AF98" s="106"/>
    </row>
    <row r="99">
      <c r="C99" s="79"/>
      <c r="D99" s="79"/>
      <c r="E99" s="79"/>
      <c r="O99" s="79"/>
      <c r="S99" s="79"/>
      <c r="T99" s="79"/>
      <c r="Y99" s="79"/>
      <c r="AD99" s="130"/>
      <c r="AF99" s="106"/>
    </row>
    <row r="100">
      <c r="C100" s="79"/>
      <c r="D100" s="79"/>
      <c r="E100" s="79"/>
      <c r="O100" s="79"/>
      <c r="S100" s="79"/>
      <c r="T100" s="79"/>
      <c r="Y100" s="79"/>
      <c r="AD100" s="130"/>
      <c r="AF100" s="106"/>
    </row>
    <row r="101">
      <c r="C101" s="79"/>
      <c r="D101" s="79"/>
      <c r="E101" s="79"/>
      <c r="O101" s="79"/>
      <c r="S101" s="79"/>
      <c r="T101" s="79"/>
      <c r="Y101" s="79"/>
      <c r="AD101" s="130"/>
      <c r="AF101" s="106"/>
    </row>
    <row r="102">
      <c r="C102" s="79"/>
      <c r="D102" s="79"/>
      <c r="E102" s="79"/>
      <c r="O102" s="79"/>
      <c r="S102" s="79"/>
      <c r="T102" s="79"/>
      <c r="Y102" s="79"/>
      <c r="AD102" s="130"/>
      <c r="AF102" s="106"/>
    </row>
    <row r="103">
      <c r="C103" s="79"/>
      <c r="D103" s="79"/>
      <c r="E103" s="79"/>
      <c r="O103" s="79"/>
      <c r="S103" s="79"/>
      <c r="T103" s="79"/>
      <c r="Y103" s="79"/>
      <c r="AD103" s="130"/>
      <c r="AF103" s="106"/>
    </row>
    <row r="104">
      <c r="C104" s="79"/>
      <c r="D104" s="79"/>
      <c r="E104" s="79"/>
      <c r="O104" s="79"/>
      <c r="S104" s="79"/>
      <c r="T104" s="79"/>
      <c r="Y104" s="79"/>
      <c r="AD104" s="130"/>
      <c r="AF104" s="106"/>
    </row>
    <row r="105">
      <c r="C105" s="79"/>
      <c r="D105" s="79"/>
      <c r="E105" s="79"/>
      <c r="O105" s="79"/>
      <c r="S105" s="79"/>
      <c r="T105" s="79"/>
      <c r="Y105" s="79"/>
      <c r="AD105" s="130"/>
      <c r="AF105" s="106"/>
    </row>
    <row r="106">
      <c r="C106" s="79"/>
      <c r="D106" s="79"/>
      <c r="E106" s="79"/>
      <c r="O106" s="79"/>
      <c r="S106" s="79"/>
      <c r="T106" s="79"/>
      <c r="Y106" s="79"/>
      <c r="AD106" s="130"/>
      <c r="AF106" s="106"/>
    </row>
    <row r="107">
      <c r="C107" s="79"/>
      <c r="D107" s="79"/>
      <c r="E107" s="79"/>
      <c r="O107" s="79"/>
      <c r="S107" s="79"/>
      <c r="T107" s="79"/>
      <c r="Y107" s="79"/>
      <c r="AD107" s="130"/>
      <c r="AF107" s="106"/>
    </row>
    <row r="108">
      <c r="C108" s="79"/>
      <c r="D108" s="79"/>
      <c r="E108" s="79"/>
      <c r="O108" s="79"/>
      <c r="S108" s="79"/>
      <c r="T108" s="79"/>
      <c r="Y108" s="79"/>
      <c r="AD108" s="130"/>
      <c r="AF108" s="106"/>
    </row>
    <row r="109">
      <c r="C109" s="79"/>
      <c r="D109" s="79"/>
      <c r="E109" s="79"/>
      <c r="O109" s="79"/>
      <c r="S109" s="79"/>
      <c r="T109" s="79"/>
      <c r="Y109" s="79"/>
      <c r="AD109" s="130"/>
      <c r="AF109" s="106"/>
    </row>
    <row r="110">
      <c r="C110" s="79"/>
      <c r="D110" s="79"/>
      <c r="E110" s="79"/>
      <c r="O110" s="79"/>
      <c r="S110" s="79"/>
      <c r="T110" s="79"/>
      <c r="Y110" s="79"/>
      <c r="AD110" s="130"/>
      <c r="AF110" s="106"/>
    </row>
    <row r="111">
      <c r="C111" s="79"/>
      <c r="D111" s="79"/>
      <c r="E111" s="79"/>
      <c r="O111" s="79"/>
      <c r="S111" s="79"/>
      <c r="T111" s="79"/>
      <c r="Y111" s="79"/>
      <c r="AD111" s="130"/>
      <c r="AF111" s="106"/>
    </row>
    <row r="112">
      <c r="C112" s="79"/>
      <c r="D112" s="79"/>
      <c r="E112" s="79"/>
      <c r="O112" s="79"/>
      <c r="S112" s="79"/>
      <c r="T112" s="79"/>
      <c r="Y112" s="79"/>
      <c r="AD112" s="130"/>
      <c r="AF112" s="106"/>
    </row>
    <row r="113">
      <c r="C113" s="79"/>
      <c r="D113" s="79"/>
      <c r="E113" s="79"/>
      <c r="O113" s="79"/>
      <c r="S113" s="79"/>
      <c r="T113" s="79"/>
      <c r="Y113" s="79"/>
      <c r="AD113" s="130"/>
      <c r="AF113" s="106"/>
    </row>
    <row r="114">
      <c r="C114" s="79"/>
      <c r="D114" s="79"/>
      <c r="E114" s="79"/>
      <c r="O114" s="79"/>
      <c r="S114" s="79"/>
      <c r="T114" s="79"/>
      <c r="Y114" s="79"/>
      <c r="AD114" s="130"/>
      <c r="AF114" s="106"/>
    </row>
    <row r="115">
      <c r="C115" s="79"/>
      <c r="D115" s="79"/>
      <c r="E115" s="79"/>
      <c r="O115" s="79"/>
      <c r="S115" s="79"/>
      <c r="T115" s="79"/>
      <c r="Y115" s="79"/>
      <c r="AD115" s="130"/>
      <c r="AF115" s="106"/>
    </row>
    <row r="116">
      <c r="C116" s="79"/>
      <c r="D116" s="79"/>
      <c r="E116" s="79"/>
      <c r="O116" s="79"/>
      <c r="S116" s="79"/>
      <c r="T116" s="79"/>
      <c r="Y116" s="79"/>
      <c r="AD116" s="130"/>
      <c r="AF116" s="106"/>
    </row>
    <row r="117">
      <c r="C117" s="79"/>
      <c r="D117" s="79"/>
      <c r="E117" s="79"/>
      <c r="O117" s="79"/>
      <c r="S117" s="79"/>
      <c r="T117" s="79"/>
      <c r="Y117" s="79"/>
      <c r="AD117" s="130"/>
      <c r="AF117" s="106"/>
    </row>
    <row r="118">
      <c r="C118" s="79"/>
      <c r="D118" s="79"/>
      <c r="E118" s="79"/>
      <c r="O118" s="79"/>
      <c r="S118" s="79"/>
      <c r="T118" s="79"/>
      <c r="Y118" s="79"/>
      <c r="AD118" s="130"/>
      <c r="AF118" s="106"/>
    </row>
    <row r="119">
      <c r="C119" s="79"/>
      <c r="D119" s="79"/>
      <c r="E119" s="79"/>
      <c r="O119" s="79"/>
      <c r="S119" s="79"/>
      <c r="T119" s="79"/>
      <c r="Y119" s="79"/>
      <c r="AD119" s="130"/>
      <c r="AF119" s="106"/>
    </row>
    <row r="120">
      <c r="C120" s="79"/>
      <c r="D120" s="79"/>
      <c r="E120" s="79"/>
      <c r="O120" s="79"/>
      <c r="S120" s="79"/>
      <c r="T120" s="79"/>
      <c r="Y120" s="79"/>
      <c r="AD120" s="130"/>
      <c r="AF120" s="106"/>
    </row>
    <row r="121">
      <c r="C121" s="79"/>
      <c r="D121" s="79"/>
      <c r="E121" s="79"/>
      <c r="O121" s="79"/>
      <c r="S121" s="79"/>
      <c r="T121" s="79"/>
      <c r="Y121" s="79"/>
      <c r="AD121" s="130"/>
      <c r="AF121" s="106"/>
    </row>
    <row r="122">
      <c r="C122" s="79"/>
      <c r="D122" s="79"/>
      <c r="E122" s="79"/>
      <c r="O122" s="79"/>
      <c r="S122" s="79"/>
      <c r="T122" s="79"/>
      <c r="Y122" s="79"/>
      <c r="AD122" s="130"/>
      <c r="AF122" s="106"/>
    </row>
    <row r="123">
      <c r="C123" s="79"/>
      <c r="D123" s="79"/>
      <c r="E123" s="79"/>
      <c r="O123" s="79"/>
      <c r="S123" s="79"/>
      <c r="T123" s="79"/>
      <c r="Y123" s="79"/>
      <c r="AD123" s="130"/>
      <c r="AF123" s="106"/>
    </row>
    <row r="124">
      <c r="C124" s="79"/>
      <c r="D124" s="79"/>
      <c r="E124" s="79"/>
      <c r="O124" s="79"/>
      <c r="S124" s="79"/>
      <c r="T124" s="79"/>
      <c r="Y124" s="79"/>
      <c r="AD124" s="130"/>
      <c r="AF124" s="106"/>
    </row>
    <row r="125">
      <c r="C125" s="79"/>
      <c r="D125" s="79"/>
      <c r="E125" s="79"/>
      <c r="O125" s="79"/>
      <c r="S125" s="79"/>
      <c r="T125" s="79"/>
      <c r="Y125" s="79"/>
      <c r="AD125" s="130"/>
      <c r="AF125" s="106"/>
    </row>
    <row r="126">
      <c r="C126" s="79"/>
      <c r="D126" s="79"/>
      <c r="E126" s="79"/>
      <c r="O126" s="79"/>
      <c r="S126" s="79"/>
      <c r="T126" s="79"/>
      <c r="Y126" s="79"/>
      <c r="AD126" s="130"/>
      <c r="AF126" s="106"/>
    </row>
    <row r="127">
      <c r="C127" s="79"/>
      <c r="D127" s="79"/>
      <c r="E127" s="79"/>
      <c r="O127" s="79"/>
      <c r="S127" s="79"/>
      <c r="T127" s="79"/>
      <c r="Y127" s="79"/>
      <c r="AD127" s="130"/>
      <c r="AF127" s="106"/>
    </row>
    <row r="128">
      <c r="C128" s="79"/>
      <c r="D128" s="79"/>
      <c r="E128" s="79"/>
      <c r="O128" s="79"/>
      <c r="S128" s="79"/>
      <c r="T128" s="79"/>
      <c r="Y128" s="79"/>
      <c r="AD128" s="130"/>
      <c r="AF128" s="106"/>
    </row>
    <row r="129">
      <c r="C129" s="79"/>
      <c r="D129" s="79"/>
      <c r="E129" s="79"/>
      <c r="O129" s="79"/>
      <c r="S129" s="79"/>
      <c r="T129" s="79"/>
      <c r="Y129" s="79"/>
      <c r="AD129" s="130"/>
      <c r="AF129" s="106"/>
    </row>
    <row r="130">
      <c r="C130" s="79"/>
      <c r="D130" s="79"/>
      <c r="E130" s="79"/>
      <c r="O130" s="79"/>
      <c r="S130" s="79"/>
      <c r="T130" s="79"/>
      <c r="Y130" s="79"/>
      <c r="AD130" s="130"/>
      <c r="AF130" s="106"/>
    </row>
    <row r="131">
      <c r="C131" s="79"/>
      <c r="D131" s="79"/>
      <c r="E131" s="79"/>
      <c r="O131" s="79"/>
      <c r="S131" s="79"/>
      <c r="T131" s="79"/>
      <c r="Y131" s="79"/>
      <c r="AD131" s="130"/>
      <c r="AF131" s="106"/>
    </row>
    <row r="132">
      <c r="C132" s="79"/>
      <c r="D132" s="79"/>
      <c r="E132" s="79"/>
      <c r="O132" s="79"/>
      <c r="S132" s="79"/>
      <c r="T132" s="79"/>
      <c r="Y132" s="79"/>
      <c r="AD132" s="130"/>
      <c r="AF132" s="106"/>
    </row>
    <row r="133">
      <c r="C133" s="79"/>
      <c r="D133" s="79"/>
      <c r="E133" s="79"/>
      <c r="O133" s="79"/>
      <c r="S133" s="79"/>
      <c r="T133" s="79"/>
      <c r="Y133" s="79"/>
      <c r="AD133" s="130"/>
      <c r="AF133" s="106"/>
    </row>
    <row r="134">
      <c r="C134" s="79"/>
      <c r="D134" s="79"/>
      <c r="E134" s="79"/>
      <c r="O134" s="79"/>
      <c r="S134" s="79"/>
      <c r="T134" s="79"/>
      <c r="Y134" s="79"/>
      <c r="AD134" s="130"/>
      <c r="AF134" s="106"/>
    </row>
    <row r="135">
      <c r="C135" s="79"/>
      <c r="D135" s="79"/>
      <c r="E135" s="79"/>
      <c r="O135" s="79"/>
      <c r="S135" s="79"/>
      <c r="T135" s="79"/>
      <c r="Y135" s="79"/>
      <c r="AD135" s="130"/>
      <c r="AF135" s="106"/>
    </row>
    <row r="136">
      <c r="C136" s="79"/>
      <c r="D136" s="79"/>
      <c r="E136" s="79"/>
      <c r="O136" s="79"/>
      <c r="S136" s="79"/>
      <c r="T136" s="79"/>
      <c r="Y136" s="79"/>
      <c r="AD136" s="130"/>
      <c r="AF136" s="106"/>
    </row>
    <row r="137">
      <c r="C137" s="79"/>
      <c r="D137" s="79"/>
      <c r="E137" s="79"/>
      <c r="O137" s="79"/>
      <c r="S137" s="79"/>
      <c r="T137" s="79"/>
      <c r="Y137" s="79"/>
      <c r="AD137" s="130"/>
      <c r="AF137" s="106"/>
    </row>
    <row r="138">
      <c r="C138" s="79"/>
      <c r="D138" s="79"/>
      <c r="E138" s="79"/>
      <c r="O138" s="79"/>
      <c r="S138" s="79"/>
      <c r="T138" s="79"/>
      <c r="Y138" s="79"/>
      <c r="AD138" s="130"/>
      <c r="AF138" s="106"/>
    </row>
    <row r="139">
      <c r="C139" s="79"/>
      <c r="D139" s="79"/>
      <c r="E139" s="79"/>
      <c r="O139" s="79"/>
      <c r="S139" s="79"/>
      <c r="T139" s="79"/>
      <c r="Y139" s="79"/>
      <c r="AD139" s="130"/>
      <c r="AF139" s="106"/>
    </row>
    <row r="140">
      <c r="C140" s="79"/>
      <c r="D140" s="79"/>
      <c r="E140" s="79"/>
      <c r="O140" s="79"/>
      <c r="S140" s="79"/>
      <c r="T140" s="79"/>
      <c r="Y140" s="79"/>
      <c r="AD140" s="130"/>
      <c r="AF140" s="106"/>
    </row>
    <row r="141">
      <c r="C141" s="79"/>
      <c r="D141" s="79"/>
      <c r="E141" s="79"/>
      <c r="O141" s="79"/>
      <c r="S141" s="79"/>
      <c r="T141" s="79"/>
      <c r="Y141" s="79"/>
      <c r="AD141" s="130"/>
      <c r="AF141" s="106"/>
    </row>
    <row r="142">
      <c r="C142" s="79"/>
      <c r="D142" s="79"/>
      <c r="E142" s="79"/>
      <c r="O142" s="79"/>
      <c r="S142" s="79"/>
      <c r="T142" s="79"/>
      <c r="Y142" s="79"/>
      <c r="AD142" s="130"/>
      <c r="AF142" s="106"/>
    </row>
    <row r="143">
      <c r="C143" s="79"/>
      <c r="D143" s="79"/>
      <c r="E143" s="79"/>
      <c r="O143" s="79"/>
      <c r="S143" s="79"/>
      <c r="T143" s="79"/>
      <c r="Y143" s="79"/>
      <c r="AD143" s="130"/>
      <c r="AF143" s="106"/>
    </row>
    <row r="144">
      <c r="C144" s="79"/>
      <c r="D144" s="79"/>
      <c r="E144" s="79"/>
      <c r="O144" s="79"/>
      <c r="S144" s="79"/>
      <c r="T144" s="79"/>
      <c r="Y144" s="79"/>
      <c r="AD144" s="130"/>
      <c r="AF144" s="106"/>
    </row>
    <row r="145">
      <c r="C145" s="79"/>
      <c r="D145" s="79"/>
      <c r="E145" s="79"/>
      <c r="O145" s="79"/>
      <c r="S145" s="79"/>
      <c r="T145" s="79"/>
      <c r="Y145" s="79"/>
      <c r="AD145" s="130"/>
      <c r="AF145" s="106"/>
    </row>
    <row r="146">
      <c r="C146" s="79"/>
      <c r="D146" s="79"/>
      <c r="E146" s="79"/>
      <c r="O146" s="79"/>
      <c r="S146" s="79"/>
      <c r="T146" s="79"/>
      <c r="Y146" s="79"/>
      <c r="AD146" s="130"/>
      <c r="AF146" s="106"/>
    </row>
    <row r="147">
      <c r="C147" s="79"/>
      <c r="D147" s="79"/>
      <c r="E147" s="79"/>
      <c r="O147" s="79"/>
      <c r="S147" s="79"/>
      <c r="T147" s="79"/>
      <c r="Y147" s="79"/>
      <c r="AD147" s="130"/>
      <c r="AF147" s="106"/>
    </row>
    <row r="148">
      <c r="C148" s="79"/>
      <c r="D148" s="79"/>
      <c r="E148" s="79"/>
      <c r="O148" s="79"/>
      <c r="S148" s="79"/>
      <c r="T148" s="79"/>
      <c r="Y148" s="79"/>
      <c r="AD148" s="130"/>
      <c r="AF148" s="106"/>
    </row>
    <row r="149">
      <c r="C149" s="79"/>
      <c r="D149" s="79"/>
      <c r="E149" s="79"/>
      <c r="O149" s="79"/>
      <c r="S149" s="79"/>
      <c r="T149" s="79"/>
      <c r="Y149" s="79"/>
      <c r="AD149" s="130"/>
      <c r="AF149" s="106"/>
    </row>
    <row r="150">
      <c r="C150" s="79"/>
      <c r="D150" s="79"/>
      <c r="E150" s="79"/>
      <c r="O150" s="79"/>
      <c r="S150" s="79"/>
      <c r="T150" s="79"/>
      <c r="Y150" s="79"/>
      <c r="AD150" s="130"/>
      <c r="AF150" s="106"/>
    </row>
    <row r="151">
      <c r="C151" s="79"/>
      <c r="D151" s="79"/>
      <c r="E151" s="79"/>
      <c r="O151" s="79"/>
      <c r="S151" s="79"/>
      <c r="T151" s="79"/>
      <c r="Y151" s="79"/>
      <c r="AD151" s="130"/>
      <c r="AF151" s="106"/>
    </row>
    <row r="152">
      <c r="C152" s="79"/>
      <c r="D152" s="79"/>
      <c r="E152" s="79"/>
      <c r="O152" s="79"/>
      <c r="S152" s="79"/>
      <c r="T152" s="79"/>
      <c r="Y152" s="79"/>
      <c r="AD152" s="130"/>
      <c r="AF152" s="106"/>
    </row>
    <row r="153">
      <c r="C153" s="79"/>
      <c r="D153" s="79"/>
      <c r="E153" s="79"/>
      <c r="O153" s="79"/>
      <c r="S153" s="79"/>
      <c r="T153" s="79"/>
      <c r="Y153" s="79"/>
      <c r="AD153" s="130"/>
      <c r="AF153" s="106"/>
    </row>
    <row r="154">
      <c r="C154" s="79"/>
      <c r="D154" s="79"/>
      <c r="E154" s="79"/>
      <c r="O154" s="79"/>
      <c r="S154" s="79"/>
      <c r="T154" s="79"/>
      <c r="Y154" s="79"/>
      <c r="AD154" s="130"/>
      <c r="AF154" s="106"/>
    </row>
    <row r="155">
      <c r="C155" s="79"/>
      <c r="D155" s="79"/>
      <c r="E155" s="79"/>
      <c r="O155" s="79"/>
      <c r="S155" s="79"/>
      <c r="T155" s="79"/>
      <c r="Y155" s="79"/>
      <c r="AD155" s="130"/>
      <c r="AF155" s="106"/>
    </row>
    <row r="156">
      <c r="C156" s="79"/>
      <c r="D156" s="79"/>
      <c r="E156" s="79"/>
      <c r="O156" s="79"/>
      <c r="S156" s="79"/>
      <c r="T156" s="79"/>
      <c r="Y156" s="79"/>
      <c r="AD156" s="130"/>
      <c r="AF156" s="106"/>
    </row>
    <row r="157">
      <c r="C157" s="79"/>
      <c r="D157" s="79"/>
      <c r="E157" s="79"/>
      <c r="O157" s="79"/>
      <c r="S157" s="79"/>
      <c r="T157" s="79"/>
      <c r="Y157" s="79"/>
      <c r="AD157" s="130"/>
      <c r="AF157" s="106"/>
    </row>
    <row r="158">
      <c r="C158" s="79"/>
      <c r="D158" s="79"/>
      <c r="E158" s="79"/>
      <c r="O158" s="79"/>
      <c r="S158" s="79"/>
      <c r="T158" s="79"/>
      <c r="Y158" s="79"/>
      <c r="AD158" s="130"/>
      <c r="AF158" s="106"/>
    </row>
    <row r="159">
      <c r="C159" s="79"/>
      <c r="D159" s="79"/>
      <c r="E159" s="79"/>
      <c r="O159" s="79"/>
      <c r="S159" s="79"/>
      <c r="T159" s="79"/>
      <c r="Y159" s="79"/>
      <c r="AD159" s="130"/>
      <c r="AF159" s="106"/>
    </row>
    <row r="160">
      <c r="C160" s="79"/>
      <c r="D160" s="79"/>
      <c r="E160" s="79"/>
      <c r="O160" s="79"/>
      <c r="S160" s="79"/>
      <c r="T160" s="79"/>
      <c r="Y160" s="79"/>
      <c r="AD160" s="130"/>
      <c r="AF160" s="106"/>
    </row>
    <row r="161">
      <c r="C161" s="79"/>
      <c r="D161" s="79"/>
      <c r="E161" s="79"/>
      <c r="O161" s="79"/>
      <c r="S161" s="79"/>
      <c r="T161" s="79"/>
      <c r="Y161" s="79"/>
      <c r="AD161" s="130"/>
      <c r="AF161" s="106"/>
    </row>
    <row r="162">
      <c r="C162" s="79"/>
      <c r="D162" s="79"/>
      <c r="E162" s="79"/>
      <c r="O162" s="79"/>
      <c r="S162" s="79"/>
      <c r="T162" s="79"/>
      <c r="Y162" s="79"/>
      <c r="AD162" s="130"/>
      <c r="AF162" s="106"/>
    </row>
    <row r="163">
      <c r="C163" s="79"/>
      <c r="D163" s="79"/>
      <c r="E163" s="79"/>
      <c r="O163" s="79"/>
      <c r="S163" s="79"/>
      <c r="T163" s="79"/>
      <c r="Y163" s="79"/>
      <c r="AD163" s="130"/>
      <c r="AF163" s="106"/>
    </row>
    <row r="164">
      <c r="C164" s="79"/>
      <c r="D164" s="79"/>
      <c r="E164" s="79"/>
      <c r="O164" s="79"/>
      <c r="S164" s="79"/>
      <c r="T164" s="79"/>
      <c r="Y164" s="79"/>
      <c r="AD164" s="130"/>
      <c r="AF164" s="106"/>
    </row>
    <row r="165">
      <c r="C165" s="79"/>
      <c r="D165" s="79"/>
      <c r="E165" s="79"/>
      <c r="O165" s="79"/>
      <c r="S165" s="79"/>
      <c r="T165" s="79"/>
      <c r="Y165" s="79"/>
      <c r="AD165" s="130"/>
      <c r="AF165" s="106"/>
    </row>
    <row r="166">
      <c r="C166" s="79"/>
      <c r="D166" s="79"/>
      <c r="E166" s="79"/>
      <c r="O166" s="79"/>
      <c r="S166" s="79"/>
      <c r="T166" s="79"/>
      <c r="Y166" s="79"/>
      <c r="AD166" s="130"/>
      <c r="AF166" s="106"/>
    </row>
    <row r="167">
      <c r="C167" s="79"/>
      <c r="D167" s="79"/>
      <c r="E167" s="79"/>
      <c r="O167" s="79"/>
      <c r="S167" s="79"/>
      <c r="T167" s="79"/>
      <c r="Y167" s="79"/>
      <c r="AD167" s="130"/>
      <c r="AF167" s="106"/>
    </row>
    <row r="168">
      <c r="C168" s="79"/>
      <c r="D168" s="79"/>
      <c r="E168" s="79"/>
      <c r="O168" s="79"/>
      <c r="S168" s="79"/>
      <c r="T168" s="79"/>
      <c r="Y168" s="79"/>
      <c r="AD168" s="130"/>
      <c r="AF168" s="106"/>
    </row>
    <row r="169">
      <c r="C169" s="79"/>
      <c r="D169" s="79"/>
      <c r="E169" s="79"/>
      <c r="O169" s="79"/>
      <c r="S169" s="79"/>
      <c r="T169" s="79"/>
      <c r="Y169" s="79"/>
      <c r="AD169" s="130"/>
      <c r="AF169" s="106"/>
    </row>
    <row r="170">
      <c r="C170" s="79"/>
      <c r="D170" s="79"/>
      <c r="E170" s="79"/>
      <c r="O170" s="79"/>
      <c r="S170" s="79"/>
      <c r="T170" s="79"/>
      <c r="Y170" s="79"/>
      <c r="AD170" s="130"/>
      <c r="AF170" s="106"/>
    </row>
    <row r="171">
      <c r="C171" s="79"/>
      <c r="D171" s="79"/>
      <c r="E171" s="79"/>
      <c r="O171" s="79"/>
      <c r="S171" s="79"/>
      <c r="T171" s="79"/>
      <c r="Y171" s="79"/>
      <c r="AD171" s="130"/>
      <c r="AF171" s="106"/>
    </row>
    <row r="172">
      <c r="C172" s="79"/>
      <c r="D172" s="79"/>
      <c r="E172" s="79"/>
      <c r="O172" s="79"/>
      <c r="S172" s="79"/>
      <c r="T172" s="79"/>
      <c r="Y172" s="79"/>
      <c r="AD172" s="130"/>
      <c r="AF172" s="106"/>
    </row>
    <row r="173">
      <c r="C173" s="79"/>
      <c r="D173" s="79"/>
      <c r="E173" s="79"/>
      <c r="O173" s="79"/>
      <c r="S173" s="79"/>
      <c r="T173" s="79"/>
      <c r="Y173" s="79"/>
      <c r="AD173" s="130"/>
      <c r="AF173" s="106"/>
    </row>
    <row r="174">
      <c r="C174" s="79"/>
      <c r="D174" s="79"/>
      <c r="E174" s="79"/>
      <c r="O174" s="79"/>
      <c r="S174" s="79"/>
      <c r="T174" s="79"/>
      <c r="Y174" s="79"/>
      <c r="AD174" s="130"/>
      <c r="AF174" s="106"/>
    </row>
    <row r="175">
      <c r="C175" s="79"/>
      <c r="D175" s="79"/>
      <c r="E175" s="79"/>
      <c r="O175" s="79"/>
      <c r="S175" s="79"/>
      <c r="T175" s="79"/>
      <c r="Y175" s="79"/>
      <c r="AD175" s="130"/>
      <c r="AF175" s="106"/>
    </row>
    <row r="176">
      <c r="C176" s="79"/>
      <c r="D176" s="79"/>
      <c r="E176" s="79"/>
      <c r="O176" s="79"/>
      <c r="S176" s="79"/>
      <c r="T176" s="79"/>
      <c r="Y176" s="79"/>
      <c r="AD176" s="130"/>
      <c r="AF176" s="106"/>
    </row>
    <row r="177">
      <c r="C177" s="79"/>
      <c r="D177" s="79"/>
      <c r="E177" s="79"/>
      <c r="O177" s="79"/>
      <c r="S177" s="79"/>
      <c r="T177" s="79"/>
      <c r="Y177" s="79"/>
      <c r="AD177" s="130"/>
      <c r="AF177" s="106"/>
    </row>
    <row r="178">
      <c r="C178" s="79"/>
      <c r="D178" s="79"/>
      <c r="E178" s="79"/>
      <c r="O178" s="79"/>
      <c r="S178" s="79"/>
      <c r="T178" s="79"/>
      <c r="Y178" s="79"/>
      <c r="AD178" s="130"/>
      <c r="AF178" s="106"/>
    </row>
    <row r="179">
      <c r="C179" s="79"/>
      <c r="D179" s="79"/>
      <c r="E179" s="79"/>
      <c r="O179" s="79"/>
      <c r="S179" s="79"/>
      <c r="T179" s="79"/>
      <c r="Y179" s="79"/>
      <c r="AD179" s="130"/>
      <c r="AF179" s="106"/>
    </row>
    <row r="180">
      <c r="C180" s="79"/>
      <c r="D180" s="79"/>
      <c r="E180" s="79"/>
      <c r="O180" s="79"/>
      <c r="S180" s="79"/>
      <c r="T180" s="79"/>
      <c r="Y180" s="79"/>
      <c r="AD180" s="130"/>
      <c r="AF180" s="106"/>
    </row>
    <row r="181">
      <c r="C181" s="79"/>
      <c r="D181" s="79"/>
      <c r="E181" s="79"/>
      <c r="O181" s="79"/>
      <c r="S181" s="79"/>
      <c r="T181" s="79"/>
      <c r="Y181" s="79"/>
      <c r="AD181" s="130"/>
      <c r="AF181" s="106"/>
    </row>
    <row r="182">
      <c r="C182" s="79"/>
      <c r="D182" s="79"/>
      <c r="E182" s="79"/>
      <c r="O182" s="79"/>
      <c r="S182" s="79"/>
      <c r="T182" s="79"/>
      <c r="Y182" s="79"/>
      <c r="AD182" s="130"/>
      <c r="AF182" s="106"/>
    </row>
    <row r="183">
      <c r="C183" s="79"/>
      <c r="D183" s="79"/>
      <c r="E183" s="79"/>
      <c r="O183" s="79"/>
      <c r="S183" s="79"/>
      <c r="T183" s="79"/>
      <c r="Y183" s="79"/>
      <c r="AD183" s="130"/>
      <c r="AF183" s="106"/>
    </row>
    <row r="184">
      <c r="C184" s="79"/>
      <c r="D184" s="79"/>
      <c r="E184" s="79"/>
      <c r="O184" s="79"/>
      <c r="S184" s="79"/>
      <c r="T184" s="79"/>
      <c r="Y184" s="79"/>
      <c r="AD184" s="130"/>
      <c r="AF184" s="106"/>
    </row>
    <row r="185">
      <c r="C185" s="79"/>
      <c r="D185" s="79"/>
      <c r="E185" s="79"/>
      <c r="O185" s="79"/>
      <c r="S185" s="79"/>
      <c r="T185" s="79"/>
      <c r="Y185" s="79"/>
      <c r="AD185" s="130"/>
      <c r="AF185" s="106"/>
    </row>
    <row r="186">
      <c r="C186" s="79"/>
      <c r="D186" s="79"/>
      <c r="E186" s="79"/>
      <c r="O186" s="79"/>
      <c r="S186" s="79"/>
      <c r="T186" s="79"/>
      <c r="Y186" s="79"/>
      <c r="AD186" s="130"/>
      <c r="AF186" s="106"/>
    </row>
    <row r="187">
      <c r="C187" s="79"/>
      <c r="D187" s="79"/>
      <c r="E187" s="79"/>
      <c r="O187" s="79"/>
      <c r="S187" s="79"/>
      <c r="T187" s="79"/>
      <c r="Y187" s="79"/>
      <c r="AD187" s="130"/>
      <c r="AF187" s="106"/>
    </row>
    <row r="188">
      <c r="C188" s="79"/>
      <c r="D188" s="79"/>
      <c r="E188" s="79"/>
      <c r="O188" s="79"/>
      <c r="S188" s="79"/>
      <c r="T188" s="79"/>
      <c r="Y188" s="79"/>
      <c r="AD188" s="130"/>
      <c r="AF188" s="106"/>
    </row>
    <row r="189">
      <c r="C189" s="79"/>
      <c r="D189" s="79"/>
      <c r="E189" s="79"/>
      <c r="O189" s="79"/>
      <c r="S189" s="79"/>
      <c r="T189" s="79"/>
      <c r="Y189" s="79"/>
      <c r="AD189" s="130"/>
      <c r="AF189" s="106"/>
    </row>
    <row r="190">
      <c r="C190" s="79"/>
      <c r="D190" s="79"/>
      <c r="E190" s="79"/>
      <c r="O190" s="79"/>
      <c r="S190" s="79"/>
      <c r="T190" s="79"/>
      <c r="Y190" s="79"/>
      <c r="AD190" s="130"/>
      <c r="AF190" s="106"/>
    </row>
    <row r="191">
      <c r="C191" s="79"/>
      <c r="D191" s="79"/>
      <c r="E191" s="79"/>
      <c r="O191" s="79"/>
      <c r="S191" s="79"/>
      <c r="T191" s="79"/>
      <c r="Y191" s="79"/>
      <c r="AD191" s="130"/>
      <c r="AF191" s="106"/>
    </row>
    <row r="192">
      <c r="C192" s="79"/>
      <c r="D192" s="79"/>
      <c r="E192" s="79"/>
      <c r="O192" s="79"/>
      <c r="S192" s="79"/>
      <c r="T192" s="79"/>
      <c r="Y192" s="79"/>
      <c r="AD192" s="130"/>
      <c r="AF192" s="106"/>
    </row>
    <row r="193">
      <c r="C193" s="79"/>
      <c r="D193" s="79"/>
      <c r="E193" s="79"/>
      <c r="O193" s="79"/>
      <c r="S193" s="79"/>
      <c r="T193" s="79"/>
      <c r="Y193" s="79"/>
      <c r="AD193" s="130"/>
      <c r="AF193" s="106"/>
    </row>
    <row r="194">
      <c r="C194" s="79"/>
      <c r="D194" s="79"/>
      <c r="E194" s="79"/>
      <c r="O194" s="79"/>
      <c r="S194" s="79"/>
      <c r="T194" s="79"/>
      <c r="Y194" s="79"/>
      <c r="AD194" s="130"/>
      <c r="AF194" s="106"/>
    </row>
    <row r="195">
      <c r="C195" s="79"/>
      <c r="D195" s="79"/>
      <c r="E195" s="79"/>
      <c r="O195" s="79"/>
      <c r="S195" s="79"/>
      <c r="T195" s="79"/>
      <c r="Y195" s="79"/>
      <c r="AD195" s="130"/>
      <c r="AF195" s="106"/>
    </row>
    <row r="196">
      <c r="C196" s="79"/>
      <c r="D196" s="79"/>
      <c r="E196" s="79"/>
      <c r="O196" s="79"/>
      <c r="S196" s="79"/>
      <c r="T196" s="79"/>
      <c r="Y196" s="79"/>
      <c r="AD196" s="130"/>
      <c r="AF196" s="106"/>
    </row>
    <row r="197">
      <c r="C197" s="79"/>
      <c r="D197" s="79"/>
      <c r="E197" s="79"/>
      <c r="O197" s="79"/>
      <c r="S197" s="79"/>
      <c r="T197" s="79"/>
      <c r="Y197" s="79"/>
      <c r="AD197" s="130"/>
      <c r="AF197" s="106"/>
    </row>
    <row r="198">
      <c r="C198" s="79"/>
      <c r="D198" s="79"/>
      <c r="E198" s="79"/>
      <c r="O198" s="79"/>
      <c r="S198" s="79"/>
      <c r="T198" s="79"/>
      <c r="Y198" s="79"/>
      <c r="AD198" s="130"/>
      <c r="AF198" s="106"/>
    </row>
    <row r="199">
      <c r="C199" s="79"/>
      <c r="D199" s="79"/>
      <c r="E199" s="79"/>
      <c r="O199" s="79"/>
      <c r="S199" s="79"/>
      <c r="T199" s="79"/>
      <c r="Y199" s="79"/>
      <c r="AD199" s="130"/>
      <c r="AF199" s="106"/>
    </row>
    <row r="200">
      <c r="C200" s="79"/>
      <c r="D200" s="79"/>
      <c r="E200" s="79"/>
      <c r="O200" s="79"/>
      <c r="S200" s="79"/>
      <c r="T200" s="79"/>
      <c r="Y200" s="79"/>
      <c r="AD200" s="130"/>
      <c r="AF200" s="106"/>
    </row>
    <row r="201">
      <c r="C201" s="79"/>
      <c r="D201" s="79"/>
      <c r="E201" s="79"/>
      <c r="O201" s="79"/>
      <c r="S201" s="79"/>
      <c r="T201" s="79"/>
      <c r="Y201" s="79"/>
      <c r="AD201" s="130"/>
      <c r="AF201" s="106"/>
    </row>
    <row r="202">
      <c r="C202" s="79"/>
      <c r="D202" s="79"/>
      <c r="E202" s="79"/>
      <c r="O202" s="79"/>
      <c r="S202" s="79"/>
      <c r="T202" s="79"/>
      <c r="Y202" s="79"/>
      <c r="AD202" s="130"/>
      <c r="AF202" s="106"/>
    </row>
    <row r="203">
      <c r="C203" s="79"/>
      <c r="D203" s="79"/>
      <c r="E203" s="79"/>
      <c r="O203" s="79"/>
      <c r="S203" s="79"/>
      <c r="T203" s="79"/>
      <c r="Y203" s="79"/>
      <c r="AD203" s="130"/>
      <c r="AF203" s="106"/>
    </row>
    <row r="204">
      <c r="C204" s="79"/>
      <c r="D204" s="79"/>
      <c r="E204" s="79"/>
      <c r="O204" s="79"/>
      <c r="S204" s="79"/>
      <c r="T204" s="79"/>
      <c r="Y204" s="79"/>
      <c r="AD204" s="130"/>
      <c r="AF204" s="106"/>
    </row>
    <row r="205">
      <c r="C205" s="79"/>
      <c r="D205" s="79"/>
      <c r="E205" s="79"/>
      <c r="O205" s="79"/>
      <c r="S205" s="79"/>
      <c r="T205" s="79"/>
      <c r="Y205" s="79"/>
      <c r="AD205" s="130"/>
      <c r="AF205" s="106"/>
    </row>
    <row r="206">
      <c r="C206" s="79"/>
      <c r="D206" s="79"/>
      <c r="E206" s="79"/>
      <c r="O206" s="79"/>
      <c r="S206" s="79"/>
      <c r="T206" s="79"/>
      <c r="Y206" s="79"/>
      <c r="AD206" s="130"/>
      <c r="AF206" s="106"/>
    </row>
    <row r="207">
      <c r="C207" s="79"/>
      <c r="D207" s="79"/>
      <c r="E207" s="79"/>
      <c r="O207" s="79"/>
      <c r="S207" s="79"/>
      <c r="T207" s="79"/>
      <c r="Y207" s="79"/>
      <c r="AD207" s="130"/>
      <c r="AF207" s="106"/>
    </row>
    <row r="208">
      <c r="C208" s="79"/>
      <c r="D208" s="79"/>
      <c r="E208" s="79"/>
      <c r="O208" s="79"/>
      <c r="S208" s="79"/>
      <c r="T208" s="79"/>
      <c r="Y208" s="79"/>
      <c r="AD208" s="130"/>
      <c r="AF208" s="106"/>
    </row>
    <row r="209">
      <c r="C209" s="79"/>
      <c r="D209" s="79"/>
      <c r="E209" s="79"/>
      <c r="O209" s="79"/>
      <c r="S209" s="79"/>
      <c r="T209" s="79"/>
      <c r="Y209" s="79"/>
      <c r="AD209" s="130"/>
      <c r="AF209" s="106"/>
    </row>
    <row r="210">
      <c r="C210" s="79"/>
      <c r="D210" s="79"/>
      <c r="E210" s="79"/>
      <c r="O210" s="79"/>
      <c r="S210" s="79"/>
      <c r="T210" s="79"/>
      <c r="Y210" s="79"/>
      <c r="AD210" s="130"/>
      <c r="AF210" s="106"/>
    </row>
    <row r="211">
      <c r="C211" s="79"/>
      <c r="D211" s="79"/>
      <c r="E211" s="79"/>
      <c r="O211" s="79"/>
      <c r="S211" s="79"/>
      <c r="T211" s="79"/>
      <c r="Y211" s="79"/>
      <c r="AD211" s="130"/>
      <c r="AF211" s="106"/>
    </row>
    <row r="212">
      <c r="C212" s="79"/>
      <c r="D212" s="79"/>
      <c r="E212" s="79"/>
      <c r="O212" s="79"/>
      <c r="S212" s="79"/>
      <c r="T212" s="79"/>
      <c r="Y212" s="79"/>
      <c r="AD212" s="130"/>
      <c r="AF212" s="106"/>
    </row>
    <row r="213">
      <c r="C213" s="79"/>
      <c r="D213" s="79"/>
      <c r="E213" s="79"/>
      <c r="O213" s="79"/>
      <c r="S213" s="79"/>
      <c r="T213" s="79"/>
      <c r="Y213" s="79"/>
      <c r="AD213" s="130"/>
      <c r="AF213" s="106"/>
    </row>
    <row r="214">
      <c r="C214" s="79"/>
      <c r="D214" s="79"/>
      <c r="E214" s="79"/>
      <c r="O214" s="79"/>
      <c r="S214" s="79"/>
      <c r="T214" s="79"/>
      <c r="Y214" s="79"/>
      <c r="AD214" s="130"/>
      <c r="AF214" s="106"/>
    </row>
    <row r="215">
      <c r="C215" s="79"/>
      <c r="D215" s="79"/>
      <c r="E215" s="79"/>
      <c r="O215" s="79"/>
      <c r="S215" s="79"/>
      <c r="T215" s="79"/>
      <c r="Y215" s="79"/>
      <c r="AD215" s="130"/>
      <c r="AF215" s="106"/>
    </row>
    <row r="216">
      <c r="C216" s="79"/>
      <c r="D216" s="79"/>
      <c r="E216" s="79"/>
      <c r="O216" s="79"/>
      <c r="S216" s="79"/>
      <c r="T216" s="79"/>
      <c r="Y216" s="79"/>
      <c r="AD216" s="130"/>
      <c r="AF216" s="106"/>
    </row>
    <row r="217">
      <c r="C217" s="79"/>
      <c r="D217" s="79"/>
      <c r="E217" s="79"/>
      <c r="O217" s="79"/>
      <c r="S217" s="79"/>
      <c r="T217" s="79"/>
      <c r="Y217" s="79"/>
      <c r="AD217" s="130"/>
      <c r="AF217" s="106"/>
    </row>
    <row r="218">
      <c r="C218" s="79"/>
      <c r="D218" s="79"/>
      <c r="E218" s="79"/>
      <c r="O218" s="79"/>
      <c r="S218" s="79"/>
      <c r="T218" s="79"/>
      <c r="Y218" s="79"/>
      <c r="AD218" s="130"/>
      <c r="AF218" s="106"/>
    </row>
    <row r="219">
      <c r="C219" s="79"/>
      <c r="D219" s="79"/>
      <c r="E219" s="79"/>
      <c r="O219" s="79"/>
      <c r="S219" s="79"/>
      <c r="T219" s="79"/>
      <c r="Y219" s="79"/>
      <c r="AD219" s="130"/>
      <c r="AF219" s="106"/>
    </row>
    <row r="220">
      <c r="C220" s="79"/>
      <c r="D220" s="79"/>
      <c r="E220" s="79"/>
      <c r="O220" s="79"/>
      <c r="S220" s="79"/>
      <c r="T220" s="79"/>
      <c r="Y220" s="79"/>
      <c r="AD220" s="130"/>
      <c r="AF220" s="106"/>
    </row>
    <row r="221">
      <c r="C221" s="79"/>
      <c r="D221" s="79"/>
      <c r="E221" s="79"/>
      <c r="O221" s="79"/>
      <c r="S221" s="79"/>
      <c r="T221" s="79"/>
      <c r="Y221" s="79"/>
      <c r="AD221" s="130"/>
      <c r="AF221" s="106"/>
    </row>
    <row r="222">
      <c r="C222" s="79"/>
      <c r="D222" s="79"/>
      <c r="E222" s="79"/>
      <c r="O222" s="79"/>
      <c r="S222" s="79"/>
      <c r="T222" s="79"/>
      <c r="Y222" s="79"/>
      <c r="AD222" s="130"/>
      <c r="AF222" s="106"/>
    </row>
    <row r="223">
      <c r="C223" s="79"/>
      <c r="D223" s="79"/>
      <c r="E223" s="79"/>
      <c r="O223" s="79"/>
      <c r="S223" s="79"/>
      <c r="T223" s="79"/>
      <c r="Y223" s="79"/>
      <c r="AD223" s="130"/>
      <c r="AF223" s="106"/>
    </row>
    <row r="224">
      <c r="C224" s="79"/>
      <c r="D224" s="79"/>
      <c r="E224" s="79"/>
      <c r="O224" s="79"/>
      <c r="S224" s="79"/>
      <c r="T224" s="79"/>
      <c r="Y224" s="79"/>
      <c r="AD224" s="130"/>
      <c r="AF224" s="106"/>
    </row>
    <row r="225">
      <c r="C225" s="79"/>
      <c r="D225" s="79"/>
      <c r="E225" s="79"/>
      <c r="O225" s="79"/>
      <c r="S225" s="79"/>
      <c r="T225" s="79"/>
      <c r="Y225" s="79"/>
      <c r="AD225" s="130"/>
      <c r="AF225" s="106"/>
    </row>
    <row r="226">
      <c r="C226" s="79"/>
      <c r="D226" s="79"/>
      <c r="E226" s="79"/>
      <c r="O226" s="79"/>
      <c r="S226" s="79"/>
      <c r="T226" s="79"/>
      <c r="Y226" s="79"/>
      <c r="AD226" s="130"/>
      <c r="AF226" s="106"/>
    </row>
    <row r="227">
      <c r="C227" s="79"/>
      <c r="D227" s="79"/>
      <c r="E227" s="79"/>
      <c r="O227" s="79"/>
      <c r="S227" s="79"/>
      <c r="T227" s="79"/>
      <c r="Y227" s="79"/>
      <c r="AD227" s="130"/>
      <c r="AF227" s="106"/>
    </row>
    <row r="228">
      <c r="C228" s="79"/>
      <c r="D228" s="79"/>
      <c r="E228" s="79"/>
      <c r="O228" s="79"/>
      <c r="S228" s="79"/>
      <c r="T228" s="79"/>
      <c r="Y228" s="79"/>
      <c r="AD228" s="130"/>
      <c r="AF228" s="106"/>
    </row>
    <row r="229">
      <c r="C229" s="79"/>
      <c r="D229" s="79"/>
      <c r="E229" s="79"/>
      <c r="O229" s="79"/>
      <c r="S229" s="79"/>
      <c r="T229" s="79"/>
      <c r="Y229" s="79"/>
      <c r="AD229" s="130"/>
      <c r="AF229" s="106"/>
    </row>
    <row r="230">
      <c r="C230" s="79"/>
      <c r="D230" s="79"/>
      <c r="E230" s="79"/>
      <c r="O230" s="79"/>
      <c r="S230" s="79"/>
      <c r="T230" s="79"/>
      <c r="Y230" s="79"/>
      <c r="AD230" s="130"/>
      <c r="AF230" s="106"/>
    </row>
    <row r="231">
      <c r="C231" s="79"/>
      <c r="D231" s="79"/>
      <c r="E231" s="79"/>
      <c r="O231" s="79"/>
      <c r="S231" s="79"/>
      <c r="T231" s="79"/>
      <c r="Y231" s="79"/>
      <c r="AD231" s="130"/>
      <c r="AF231" s="106"/>
    </row>
    <row r="232">
      <c r="C232" s="79"/>
      <c r="D232" s="79"/>
      <c r="E232" s="79"/>
      <c r="O232" s="79"/>
      <c r="S232" s="79"/>
      <c r="T232" s="79"/>
      <c r="Y232" s="79"/>
      <c r="AD232" s="130"/>
      <c r="AF232" s="106"/>
    </row>
    <row r="233">
      <c r="C233" s="79"/>
      <c r="D233" s="79"/>
      <c r="E233" s="79"/>
      <c r="O233" s="79"/>
      <c r="S233" s="79"/>
      <c r="T233" s="79"/>
      <c r="Y233" s="79"/>
      <c r="AD233" s="130"/>
      <c r="AF233" s="106"/>
    </row>
    <row r="234">
      <c r="C234" s="79"/>
      <c r="D234" s="79"/>
      <c r="E234" s="79"/>
      <c r="O234" s="79"/>
      <c r="S234" s="79"/>
      <c r="T234" s="79"/>
      <c r="Y234" s="79"/>
      <c r="AD234" s="130"/>
      <c r="AF234" s="106"/>
    </row>
    <row r="235">
      <c r="C235" s="79"/>
      <c r="D235" s="79"/>
      <c r="E235" s="79"/>
      <c r="O235" s="79"/>
      <c r="S235" s="79"/>
      <c r="T235" s="79"/>
      <c r="Y235" s="79"/>
      <c r="AD235" s="130"/>
      <c r="AF235" s="106"/>
    </row>
    <row r="236">
      <c r="C236" s="79"/>
      <c r="D236" s="79"/>
      <c r="E236" s="79"/>
      <c r="O236" s="79"/>
      <c r="S236" s="79"/>
      <c r="T236" s="79"/>
      <c r="Y236" s="79"/>
      <c r="AD236" s="130"/>
      <c r="AF236" s="106"/>
    </row>
    <row r="237">
      <c r="C237" s="79"/>
      <c r="D237" s="79"/>
      <c r="E237" s="79"/>
      <c r="O237" s="79"/>
      <c r="S237" s="79"/>
      <c r="T237" s="79"/>
      <c r="Y237" s="79"/>
      <c r="AD237" s="130"/>
      <c r="AF237" s="106"/>
    </row>
    <row r="238">
      <c r="C238" s="79"/>
      <c r="D238" s="79"/>
      <c r="E238" s="79"/>
      <c r="O238" s="79"/>
      <c r="S238" s="79"/>
      <c r="T238" s="79"/>
      <c r="Y238" s="79"/>
      <c r="AD238" s="130"/>
      <c r="AF238" s="106"/>
    </row>
    <row r="239">
      <c r="C239" s="79"/>
      <c r="D239" s="79"/>
      <c r="E239" s="79"/>
      <c r="O239" s="79"/>
      <c r="S239" s="79"/>
      <c r="T239" s="79"/>
      <c r="Y239" s="79"/>
      <c r="AD239" s="130"/>
      <c r="AF239" s="106"/>
    </row>
    <row r="240">
      <c r="C240" s="79"/>
      <c r="D240" s="79"/>
      <c r="E240" s="79"/>
      <c r="O240" s="79"/>
      <c r="S240" s="79"/>
      <c r="T240" s="79"/>
      <c r="Y240" s="79"/>
      <c r="AD240" s="130"/>
      <c r="AF240" s="106"/>
    </row>
    <row r="241">
      <c r="C241" s="79"/>
      <c r="D241" s="79"/>
      <c r="E241" s="79"/>
      <c r="O241" s="79"/>
      <c r="S241" s="79"/>
      <c r="T241" s="79"/>
      <c r="Y241" s="79"/>
      <c r="AD241" s="130"/>
      <c r="AF241" s="106"/>
    </row>
    <row r="242">
      <c r="C242" s="79"/>
      <c r="D242" s="79"/>
      <c r="E242" s="79"/>
      <c r="O242" s="79"/>
      <c r="S242" s="79"/>
      <c r="T242" s="79"/>
      <c r="Y242" s="79"/>
      <c r="AD242" s="130"/>
      <c r="AF242" s="106"/>
    </row>
    <row r="243">
      <c r="C243" s="79"/>
      <c r="D243" s="79"/>
      <c r="E243" s="79"/>
      <c r="O243" s="79"/>
      <c r="S243" s="79"/>
      <c r="T243" s="79"/>
      <c r="Y243" s="79"/>
      <c r="AD243" s="130"/>
      <c r="AF243" s="106"/>
    </row>
    <row r="244">
      <c r="C244" s="79"/>
      <c r="D244" s="79"/>
      <c r="E244" s="79"/>
      <c r="O244" s="79"/>
      <c r="S244" s="79"/>
      <c r="T244" s="79"/>
      <c r="Y244" s="79"/>
      <c r="AD244" s="130"/>
      <c r="AF244" s="106"/>
    </row>
    <row r="245">
      <c r="C245" s="79"/>
      <c r="D245" s="79"/>
      <c r="E245" s="79"/>
      <c r="O245" s="79"/>
      <c r="S245" s="79"/>
      <c r="T245" s="79"/>
      <c r="Y245" s="79"/>
      <c r="AD245" s="130"/>
      <c r="AF245" s="106"/>
    </row>
    <row r="246">
      <c r="C246" s="79"/>
      <c r="D246" s="79"/>
      <c r="E246" s="79"/>
      <c r="O246" s="79"/>
      <c r="S246" s="79"/>
      <c r="T246" s="79"/>
      <c r="Y246" s="79"/>
      <c r="AD246" s="130"/>
      <c r="AF246" s="106"/>
    </row>
    <row r="247">
      <c r="C247" s="79"/>
      <c r="D247" s="79"/>
      <c r="E247" s="79"/>
      <c r="O247" s="79"/>
      <c r="S247" s="79"/>
      <c r="T247" s="79"/>
      <c r="Y247" s="79"/>
      <c r="AD247" s="130"/>
      <c r="AF247" s="106"/>
    </row>
    <row r="248">
      <c r="C248" s="79"/>
      <c r="D248" s="79"/>
      <c r="E248" s="79"/>
      <c r="O248" s="79"/>
      <c r="S248" s="79"/>
      <c r="T248" s="79"/>
      <c r="Y248" s="79"/>
      <c r="AD248" s="130"/>
      <c r="AF248" s="106"/>
    </row>
    <row r="249">
      <c r="C249" s="79"/>
      <c r="D249" s="79"/>
      <c r="E249" s="79"/>
      <c r="O249" s="79"/>
      <c r="S249" s="79"/>
      <c r="T249" s="79"/>
      <c r="Y249" s="79"/>
      <c r="AD249" s="130"/>
      <c r="AF249" s="106"/>
    </row>
    <row r="250">
      <c r="C250" s="79"/>
      <c r="D250" s="79"/>
      <c r="E250" s="79"/>
      <c r="O250" s="79"/>
      <c r="S250" s="79"/>
      <c r="T250" s="79"/>
      <c r="Y250" s="79"/>
      <c r="AD250" s="130"/>
      <c r="AF250" s="106"/>
    </row>
    <row r="251">
      <c r="C251" s="79"/>
      <c r="D251" s="79"/>
      <c r="E251" s="79"/>
      <c r="O251" s="79"/>
      <c r="S251" s="79"/>
      <c r="T251" s="79"/>
      <c r="Y251" s="79"/>
      <c r="AD251" s="130"/>
      <c r="AF251" s="106"/>
    </row>
    <row r="252">
      <c r="C252" s="79"/>
      <c r="D252" s="79"/>
      <c r="E252" s="79"/>
      <c r="O252" s="79"/>
      <c r="S252" s="79"/>
      <c r="T252" s="79"/>
      <c r="Y252" s="79"/>
      <c r="AD252" s="130"/>
      <c r="AF252" s="106"/>
    </row>
    <row r="253">
      <c r="C253" s="79"/>
      <c r="D253" s="79"/>
      <c r="E253" s="79"/>
      <c r="O253" s="79"/>
      <c r="S253" s="79"/>
      <c r="T253" s="79"/>
      <c r="Y253" s="79"/>
      <c r="AD253" s="130"/>
      <c r="AF253" s="106"/>
    </row>
    <row r="254">
      <c r="C254" s="79"/>
      <c r="D254" s="79"/>
      <c r="E254" s="79"/>
      <c r="O254" s="79"/>
      <c r="S254" s="79"/>
      <c r="T254" s="79"/>
      <c r="Y254" s="79"/>
      <c r="AD254" s="130"/>
      <c r="AF254" s="106"/>
    </row>
    <row r="255">
      <c r="C255" s="79"/>
      <c r="D255" s="79"/>
      <c r="E255" s="79"/>
      <c r="O255" s="79"/>
      <c r="S255" s="79"/>
      <c r="T255" s="79"/>
      <c r="Y255" s="79"/>
      <c r="AD255" s="130"/>
      <c r="AF255" s="106"/>
    </row>
    <row r="256">
      <c r="C256" s="79"/>
      <c r="D256" s="79"/>
      <c r="E256" s="79"/>
      <c r="O256" s="79"/>
      <c r="S256" s="79"/>
      <c r="T256" s="79"/>
      <c r="Y256" s="79"/>
      <c r="AD256" s="130"/>
      <c r="AF256" s="106"/>
    </row>
    <row r="257">
      <c r="C257" s="79"/>
      <c r="D257" s="79"/>
      <c r="E257" s="79"/>
      <c r="O257" s="79"/>
      <c r="S257" s="79"/>
      <c r="T257" s="79"/>
      <c r="Y257" s="79"/>
      <c r="AD257" s="130"/>
      <c r="AF257" s="106"/>
    </row>
    <row r="258">
      <c r="C258" s="79"/>
      <c r="D258" s="79"/>
      <c r="E258" s="79"/>
      <c r="O258" s="79"/>
      <c r="S258" s="79"/>
      <c r="T258" s="79"/>
      <c r="Y258" s="79"/>
      <c r="AD258" s="130"/>
      <c r="AF258" s="106"/>
    </row>
    <row r="259">
      <c r="C259" s="79"/>
      <c r="D259" s="79"/>
      <c r="E259" s="79"/>
      <c r="O259" s="79"/>
      <c r="S259" s="79"/>
      <c r="T259" s="79"/>
      <c r="Y259" s="79"/>
      <c r="AD259" s="130"/>
      <c r="AF259" s="106"/>
    </row>
    <row r="260">
      <c r="C260" s="79"/>
      <c r="D260" s="79"/>
      <c r="E260" s="79"/>
      <c r="O260" s="79"/>
      <c r="S260" s="79"/>
      <c r="T260" s="79"/>
      <c r="Y260" s="79"/>
      <c r="AD260" s="130"/>
      <c r="AF260" s="106"/>
    </row>
    <row r="261">
      <c r="C261" s="79"/>
      <c r="D261" s="79"/>
      <c r="E261" s="79"/>
      <c r="O261" s="79"/>
      <c r="S261" s="79"/>
      <c r="T261" s="79"/>
      <c r="Y261" s="79"/>
      <c r="AD261" s="130"/>
      <c r="AF261" s="106"/>
    </row>
    <row r="262">
      <c r="C262" s="79"/>
      <c r="D262" s="79"/>
      <c r="E262" s="79"/>
      <c r="O262" s="79"/>
      <c r="S262" s="79"/>
      <c r="T262" s="79"/>
      <c r="Y262" s="79"/>
      <c r="AD262" s="130"/>
      <c r="AF262" s="106"/>
    </row>
    <row r="263">
      <c r="C263" s="79"/>
      <c r="D263" s="79"/>
      <c r="E263" s="79"/>
      <c r="O263" s="79"/>
      <c r="S263" s="79"/>
      <c r="T263" s="79"/>
      <c r="Y263" s="79"/>
      <c r="AD263" s="130"/>
      <c r="AF263" s="106"/>
    </row>
    <row r="264">
      <c r="C264" s="79"/>
      <c r="D264" s="79"/>
      <c r="E264" s="79"/>
      <c r="O264" s="79"/>
      <c r="S264" s="79"/>
      <c r="T264" s="79"/>
      <c r="Y264" s="79"/>
      <c r="AD264" s="130"/>
      <c r="AF264" s="106"/>
    </row>
    <row r="265">
      <c r="C265" s="79"/>
      <c r="D265" s="79"/>
      <c r="E265" s="79"/>
      <c r="O265" s="79"/>
      <c r="S265" s="79"/>
      <c r="T265" s="79"/>
      <c r="Y265" s="79"/>
      <c r="AD265" s="130"/>
      <c r="AF265" s="106"/>
    </row>
    <row r="266">
      <c r="C266" s="79"/>
      <c r="D266" s="79"/>
      <c r="E266" s="79"/>
      <c r="O266" s="79"/>
      <c r="S266" s="79"/>
      <c r="T266" s="79"/>
      <c r="Y266" s="79"/>
      <c r="AD266" s="130"/>
      <c r="AF266" s="106"/>
    </row>
    <row r="267">
      <c r="C267" s="79"/>
      <c r="D267" s="79"/>
      <c r="E267" s="79"/>
      <c r="O267" s="79"/>
      <c r="S267" s="79"/>
      <c r="T267" s="79"/>
      <c r="Y267" s="79"/>
      <c r="AD267" s="130"/>
      <c r="AF267" s="106"/>
    </row>
    <row r="268">
      <c r="C268" s="79"/>
      <c r="D268" s="79"/>
      <c r="E268" s="79"/>
      <c r="O268" s="79"/>
      <c r="S268" s="79"/>
      <c r="T268" s="79"/>
      <c r="Y268" s="79"/>
      <c r="AD268" s="130"/>
      <c r="AF268" s="106"/>
    </row>
    <row r="269">
      <c r="C269" s="79"/>
      <c r="D269" s="79"/>
      <c r="E269" s="79"/>
      <c r="O269" s="79"/>
      <c r="S269" s="79"/>
      <c r="T269" s="79"/>
      <c r="Y269" s="79"/>
      <c r="AD269" s="130"/>
      <c r="AF269" s="106"/>
    </row>
    <row r="270">
      <c r="C270" s="79"/>
      <c r="D270" s="79"/>
      <c r="E270" s="79"/>
      <c r="O270" s="79"/>
      <c r="S270" s="79"/>
      <c r="T270" s="79"/>
      <c r="Y270" s="79"/>
      <c r="AD270" s="130"/>
      <c r="AF270" s="106"/>
    </row>
    <row r="271">
      <c r="C271" s="79"/>
      <c r="D271" s="79"/>
      <c r="E271" s="79"/>
      <c r="O271" s="79"/>
      <c r="S271" s="79"/>
      <c r="T271" s="79"/>
      <c r="Y271" s="79"/>
      <c r="AD271" s="130"/>
      <c r="AF271" s="106"/>
    </row>
    <row r="272">
      <c r="C272" s="79"/>
      <c r="D272" s="79"/>
      <c r="E272" s="79"/>
      <c r="O272" s="79"/>
      <c r="S272" s="79"/>
      <c r="T272" s="79"/>
      <c r="Y272" s="79"/>
      <c r="AD272" s="130"/>
      <c r="AF272" s="106"/>
    </row>
    <row r="273">
      <c r="C273" s="79"/>
      <c r="D273" s="79"/>
      <c r="E273" s="79"/>
      <c r="O273" s="79"/>
      <c r="S273" s="79"/>
      <c r="T273" s="79"/>
      <c r="Y273" s="79"/>
      <c r="AD273" s="130"/>
      <c r="AF273" s="106"/>
    </row>
    <row r="274">
      <c r="C274" s="79"/>
      <c r="D274" s="79"/>
      <c r="E274" s="79"/>
      <c r="O274" s="79"/>
      <c r="S274" s="79"/>
      <c r="T274" s="79"/>
      <c r="Y274" s="79"/>
      <c r="AD274" s="130"/>
      <c r="AF274" s="106"/>
    </row>
    <row r="275">
      <c r="C275" s="79"/>
      <c r="D275" s="79"/>
      <c r="E275" s="79"/>
      <c r="O275" s="79"/>
      <c r="S275" s="79"/>
      <c r="T275" s="79"/>
      <c r="Y275" s="79"/>
      <c r="AD275" s="130"/>
      <c r="AF275" s="106"/>
    </row>
    <row r="276">
      <c r="C276" s="79"/>
      <c r="D276" s="79"/>
      <c r="E276" s="79"/>
      <c r="O276" s="79"/>
      <c r="S276" s="79"/>
      <c r="T276" s="79"/>
      <c r="Y276" s="79"/>
      <c r="AD276" s="130"/>
      <c r="AF276" s="106"/>
    </row>
    <row r="277">
      <c r="C277" s="79"/>
      <c r="D277" s="79"/>
      <c r="E277" s="79"/>
      <c r="O277" s="79"/>
      <c r="S277" s="79"/>
      <c r="T277" s="79"/>
      <c r="Y277" s="79"/>
      <c r="AD277" s="130"/>
      <c r="AF277" s="106"/>
    </row>
    <row r="278">
      <c r="C278" s="79"/>
      <c r="D278" s="79"/>
      <c r="E278" s="79"/>
      <c r="O278" s="79"/>
      <c r="S278" s="79"/>
      <c r="T278" s="79"/>
      <c r="Y278" s="79"/>
      <c r="AD278" s="130"/>
      <c r="AF278" s="106"/>
    </row>
    <row r="279">
      <c r="C279" s="79"/>
      <c r="D279" s="79"/>
      <c r="E279" s="79"/>
      <c r="O279" s="79"/>
      <c r="S279" s="79"/>
      <c r="T279" s="79"/>
      <c r="Y279" s="79"/>
      <c r="AD279" s="130"/>
      <c r="AF279" s="106"/>
    </row>
    <row r="280">
      <c r="C280" s="79"/>
      <c r="D280" s="79"/>
      <c r="E280" s="79"/>
      <c r="O280" s="79"/>
      <c r="S280" s="79"/>
      <c r="T280" s="79"/>
      <c r="Y280" s="79"/>
      <c r="AD280" s="130"/>
      <c r="AF280" s="106"/>
    </row>
    <row r="281">
      <c r="C281" s="79"/>
      <c r="D281" s="79"/>
      <c r="E281" s="79"/>
      <c r="O281" s="79"/>
      <c r="S281" s="79"/>
      <c r="T281" s="79"/>
      <c r="Y281" s="79"/>
      <c r="AD281" s="130"/>
      <c r="AF281" s="106"/>
    </row>
    <row r="282">
      <c r="C282" s="79"/>
      <c r="D282" s="79"/>
      <c r="E282" s="79"/>
      <c r="O282" s="79"/>
      <c r="S282" s="79"/>
      <c r="T282" s="79"/>
      <c r="Y282" s="79"/>
      <c r="AD282" s="130"/>
      <c r="AF282" s="106"/>
    </row>
    <row r="283">
      <c r="C283" s="79"/>
      <c r="D283" s="79"/>
      <c r="E283" s="79"/>
      <c r="O283" s="79"/>
      <c r="S283" s="79"/>
      <c r="T283" s="79"/>
      <c r="Y283" s="79"/>
      <c r="AD283" s="130"/>
      <c r="AF283" s="106"/>
    </row>
    <row r="284">
      <c r="C284" s="79"/>
      <c r="D284" s="79"/>
      <c r="E284" s="79"/>
      <c r="O284" s="79"/>
      <c r="S284" s="79"/>
      <c r="T284" s="79"/>
      <c r="Y284" s="79"/>
      <c r="AD284" s="130"/>
      <c r="AF284" s="106"/>
    </row>
    <row r="285">
      <c r="C285" s="79"/>
      <c r="D285" s="79"/>
      <c r="E285" s="79"/>
      <c r="O285" s="79"/>
      <c r="S285" s="79"/>
      <c r="T285" s="79"/>
      <c r="Y285" s="79"/>
      <c r="AD285" s="130"/>
      <c r="AF285" s="106"/>
    </row>
    <row r="286">
      <c r="C286" s="79"/>
      <c r="D286" s="79"/>
      <c r="E286" s="79"/>
      <c r="O286" s="79"/>
      <c r="S286" s="79"/>
      <c r="T286" s="79"/>
      <c r="Y286" s="79"/>
      <c r="AD286" s="130"/>
      <c r="AF286" s="106"/>
    </row>
    <row r="287">
      <c r="C287" s="79"/>
      <c r="D287" s="79"/>
      <c r="E287" s="79"/>
      <c r="O287" s="79"/>
      <c r="S287" s="79"/>
      <c r="T287" s="79"/>
      <c r="Y287" s="79"/>
      <c r="AD287" s="130"/>
      <c r="AF287" s="106"/>
    </row>
    <row r="288">
      <c r="C288" s="79"/>
      <c r="D288" s="79"/>
      <c r="E288" s="79"/>
      <c r="O288" s="79"/>
      <c r="S288" s="79"/>
      <c r="T288" s="79"/>
      <c r="Y288" s="79"/>
      <c r="AD288" s="130"/>
      <c r="AF288" s="106"/>
    </row>
    <row r="289">
      <c r="C289" s="79"/>
      <c r="D289" s="79"/>
      <c r="E289" s="79"/>
      <c r="O289" s="79"/>
      <c r="S289" s="79"/>
      <c r="T289" s="79"/>
      <c r="Y289" s="79"/>
      <c r="AD289" s="130"/>
      <c r="AF289" s="106"/>
    </row>
    <row r="290">
      <c r="C290" s="79"/>
      <c r="D290" s="79"/>
      <c r="E290" s="79"/>
      <c r="O290" s="79"/>
      <c r="S290" s="79"/>
      <c r="T290" s="79"/>
      <c r="Y290" s="79"/>
      <c r="AD290" s="130"/>
      <c r="AF290" s="106"/>
    </row>
    <row r="291">
      <c r="C291" s="79"/>
      <c r="D291" s="79"/>
      <c r="E291" s="79"/>
      <c r="O291" s="79"/>
      <c r="S291" s="79"/>
      <c r="T291" s="79"/>
      <c r="Y291" s="79"/>
      <c r="AD291" s="130"/>
      <c r="AF291" s="106"/>
    </row>
    <row r="292">
      <c r="C292" s="79"/>
      <c r="D292" s="79"/>
      <c r="E292" s="79"/>
      <c r="O292" s="79"/>
      <c r="S292" s="79"/>
      <c r="T292" s="79"/>
      <c r="Y292" s="79"/>
      <c r="AD292" s="130"/>
      <c r="AF292" s="106"/>
    </row>
    <row r="293">
      <c r="C293" s="79"/>
      <c r="D293" s="79"/>
      <c r="E293" s="79"/>
      <c r="O293" s="79"/>
      <c r="S293" s="79"/>
      <c r="T293" s="79"/>
      <c r="Y293" s="79"/>
      <c r="AD293" s="130"/>
      <c r="AF293" s="106"/>
    </row>
    <row r="294">
      <c r="C294" s="79"/>
      <c r="D294" s="79"/>
      <c r="E294" s="79"/>
      <c r="O294" s="79"/>
      <c r="S294" s="79"/>
      <c r="T294" s="79"/>
      <c r="Y294" s="79"/>
      <c r="AD294" s="130"/>
      <c r="AF294" s="106"/>
    </row>
    <row r="295">
      <c r="C295" s="79"/>
      <c r="D295" s="79"/>
      <c r="E295" s="79"/>
      <c r="O295" s="79"/>
      <c r="S295" s="79"/>
      <c r="T295" s="79"/>
      <c r="Y295" s="79"/>
      <c r="AD295" s="130"/>
      <c r="AF295" s="106"/>
    </row>
    <row r="296">
      <c r="C296" s="79"/>
      <c r="D296" s="79"/>
      <c r="E296" s="79"/>
      <c r="O296" s="79"/>
      <c r="S296" s="79"/>
      <c r="T296" s="79"/>
      <c r="Y296" s="79"/>
      <c r="AD296" s="130"/>
      <c r="AF296" s="106"/>
    </row>
    <row r="297">
      <c r="C297" s="79"/>
      <c r="D297" s="79"/>
      <c r="E297" s="79"/>
      <c r="O297" s="79"/>
      <c r="S297" s="79"/>
      <c r="T297" s="79"/>
      <c r="Y297" s="79"/>
      <c r="AD297" s="130"/>
      <c r="AF297" s="106"/>
    </row>
    <row r="298">
      <c r="C298" s="79"/>
      <c r="D298" s="79"/>
      <c r="E298" s="79"/>
      <c r="O298" s="79"/>
      <c r="S298" s="79"/>
      <c r="T298" s="79"/>
      <c r="Y298" s="79"/>
      <c r="AD298" s="130"/>
      <c r="AF298" s="106"/>
    </row>
    <row r="299">
      <c r="C299" s="79"/>
      <c r="D299" s="79"/>
      <c r="E299" s="79"/>
      <c r="O299" s="79"/>
      <c r="S299" s="79"/>
      <c r="T299" s="79"/>
      <c r="Y299" s="79"/>
      <c r="AD299" s="130"/>
      <c r="AF299" s="106"/>
    </row>
    <row r="300">
      <c r="C300" s="79"/>
      <c r="D300" s="79"/>
      <c r="E300" s="79"/>
      <c r="O300" s="79"/>
      <c r="S300" s="79"/>
      <c r="T300" s="79"/>
      <c r="Y300" s="79"/>
      <c r="AD300" s="130"/>
      <c r="AF300" s="106"/>
    </row>
    <row r="301">
      <c r="C301" s="79"/>
      <c r="D301" s="79"/>
      <c r="E301" s="79"/>
      <c r="O301" s="79"/>
      <c r="S301" s="79"/>
      <c r="T301" s="79"/>
      <c r="Y301" s="79"/>
      <c r="AD301" s="130"/>
      <c r="AF301" s="106"/>
    </row>
    <row r="302">
      <c r="C302" s="79"/>
      <c r="D302" s="79"/>
      <c r="E302" s="79"/>
      <c r="O302" s="79"/>
      <c r="S302" s="79"/>
      <c r="T302" s="79"/>
      <c r="Y302" s="79"/>
      <c r="AD302" s="130"/>
      <c r="AF302" s="106"/>
    </row>
    <row r="303">
      <c r="C303" s="79"/>
      <c r="D303" s="79"/>
      <c r="E303" s="79"/>
      <c r="O303" s="79"/>
      <c r="S303" s="79"/>
      <c r="T303" s="79"/>
      <c r="Y303" s="79"/>
      <c r="AD303" s="130"/>
      <c r="AF303" s="106"/>
    </row>
    <row r="304">
      <c r="C304" s="79"/>
      <c r="D304" s="79"/>
      <c r="E304" s="79"/>
      <c r="O304" s="79"/>
      <c r="S304" s="79"/>
      <c r="T304" s="79"/>
      <c r="Y304" s="79"/>
      <c r="AD304" s="130"/>
      <c r="AF304" s="106"/>
    </row>
    <row r="305">
      <c r="C305" s="79"/>
      <c r="D305" s="79"/>
      <c r="E305" s="79"/>
      <c r="O305" s="79"/>
      <c r="S305" s="79"/>
      <c r="T305" s="79"/>
      <c r="Y305" s="79"/>
      <c r="AD305" s="130"/>
      <c r="AF305" s="106"/>
    </row>
    <row r="306">
      <c r="C306" s="79"/>
      <c r="D306" s="79"/>
      <c r="E306" s="79"/>
      <c r="O306" s="79"/>
      <c r="S306" s="79"/>
      <c r="T306" s="79"/>
      <c r="Y306" s="79"/>
      <c r="AD306" s="130"/>
      <c r="AF306" s="106"/>
    </row>
    <row r="307">
      <c r="C307" s="79"/>
      <c r="D307" s="79"/>
      <c r="E307" s="79"/>
      <c r="O307" s="79"/>
      <c r="S307" s="79"/>
      <c r="T307" s="79"/>
      <c r="Y307" s="79"/>
      <c r="AD307" s="130"/>
      <c r="AF307" s="106"/>
    </row>
    <row r="308">
      <c r="C308" s="79"/>
      <c r="D308" s="79"/>
      <c r="E308" s="79"/>
      <c r="O308" s="79"/>
      <c r="S308" s="79"/>
      <c r="T308" s="79"/>
      <c r="Y308" s="79"/>
      <c r="AD308" s="130"/>
      <c r="AF308" s="106"/>
    </row>
    <row r="309">
      <c r="C309" s="79"/>
      <c r="D309" s="79"/>
      <c r="E309" s="79"/>
      <c r="O309" s="79"/>
      <c r="S309" s="79"/>
      <c r="T309" s="79"/>
      <c r="Y309" s="79"/>
      <c r="AD309" s="130"/>
      <c r="AF309" s="106"/>
    </row>
    <row r="310">
      <c r="C310" s="79"/>
      <c r="D310" s="79"/>
      <c r="E310" s="79"/>
      <c r="O310" s="79"/>
      <c r="S310" s="79"/>
      <c r="T310" s="79"/>
      <c r="Y310" s="79"/>
      <c r="AD310" s="130"/>
      <c r="AF310" s="106"/>
    </row>
    <row r="311">
      <c r="C311" s="79"/>
      <c r="D311" s="79"/>
      <c r="E311" s="79"/>
      <c r="O311" s="79"/>
      <c r="S311" s="79"/>
      <c r="T311" s="79"/>
      <c r="Y311" s="79"/>
      <c r="AD311" s="130"/>
      <c r="AF311" s="106"/>
    </row>
    <row r="312">
      <c r="C312" s="79"/>
      <c r="D312" s="79"/>
      <c r="E312" s="79"/>
      <c r="O312" s="79"/>
      <c r="S312" s="79"/>
      <c r="T312" s="79"/>
      <c r="Y312" s="79"/>
      <c r="AD312" s="130"/>
      <c r="AF312" s="106"/>
    </row>
    <row r="313">
      <c r="C313" s="79"/>
      <c r="D313" s="79"/>
      <c r="E313" s="79"/>
      <c r="O313" s="79"/>
      <c r="S313" s="79"/>
      <c r="T313" s="79"/>
      <c r="Y313" s="79"/>
      <c r="AD313" s="130"/>
      <c r="AF313" s="106"/>
    </row>
    <row r="314">
      <c r="C314" s="79"/>
      <c r="D314" s="79"/>
      <c r="E314" s="79"/>
      <c r="O314" s="79"/>
      <c r="S314" s="79"/>
      <c r="T314" s="79"/>
      <c r="Y314" s="79"/>
      <c r="AD314" s="130"/>
      <c r="AF314" s="106"/>
    </row>
    <row r="315">
      <c r="C315" s="79"/>
      <c r="D315" s="79"/>
      <c r="E315" s="79"/>
      <c r="O315" s="79"/>
      <c r="S315" s="79"/>
      <c r="T315" s="79"/>
      <c r="Y315" s="79"/>
      <c r="AD315" s="130"/>
      <c r="AF315" s="106"/>
    </row>
    <row r="316">
      <c r="C316" s="79"/>
      <c r="D316" s="79"/>
      <c r="E316" s="79"/>
      <c r="O316" s="79"/>
      <c r="S316" s="79"/>
      <c r="T316" s="79"/>
      <c r="Y316" s="79"/>
      <c r="AD316" s="130"/>
      <c r="AF316" s="106"/>
    </row>
    <row r="317">
      <c r="C317" s="79"/>
      <c r="D317" s="79"/>
      <c r="E317" s="79"/>
      <c r="O317" s="79"/>
      <c r="S317" s="79"/>
      <c r="T317" s="79"/>
      <c r="Y317" s="79"/>
      <c r="AD317" s="130"/>
      <c r="AF317" s="106"/>
    </row>
    <row r="318">
      <c r="C318" s="79"/>
      <c r="D318" s="79"/>
      <c r="E318" s="79"/>
      <c r="O318" s="79"/>
      <c r="S318" s="79"/>
      <c r="T318" s="79"/>
      <c r="Y318" s="79"/>
      <c r="AD318" s="130"/>
      <c r="AF318" s="106"/>
    </row>
    <row r="319">
      <c r="C319" s="79"/>
      <c r="D319" s="79"/>
      <c r="E319" s="79"/>
      <c r="O319" s="79"/>
      <c r="S319" s="79"/>
      <c r="T319" s="79"/>
      <c r="Y319" s="79"/>
      <c r="AD319" s="130"/>
      <c r="AF319" s="106"/>
    </row>
    <row r="320">
      <c r="C320" s="79"/>
      <c r="D320" s="79"/>
      <c r="E320" s="79"/>
      <c r="O320" s="79"/>
      <c r="S320" s="79"/>
      <c r="T320" s="79"/>
      <c r="Y320" s="79"/>
      <c r="AD320" s="130"/>
      <c r="AF320" s="106"/>
    </row>
    <row r="321">
      <c r="C321" s="79"/>
      <c r="D321" s="79"/>
      <c r="E321" s="79"/>
      <c r="O321" s="79"/>
      <c r="S321" s="79"/>
      <c r="T321" s="79"/>
      <c r="Y321" s="79"/>
      <c r="AD321" s="130"/>
      <c r="AF321" s="106"/>
    </row>
    <row r="322">
      <c r="C322" s="79"/>
      <c r="D322" s="79"/>
      <c r="E322" s="79"/>
      <c r="O322" s="79"/>
      <c r="S322" s="79"/>
      <c r="T322" s="79"/>
      <c r="Y322" s="79"/>
      <c r="AD322" s="130"/>
      <c r="AF322" s="106"/>
    </row>
    <row r="323">
      <c r="C323" s="79"/>
      <c r="D323" s="79"/>
      <c r="E323" s="79"/>
      <c r="O323" s="79"/>
      <c r="S323" s="79"/>
      <c r="T323" s="79"/>
      <c r="Y323" s="79"/>
      <c r="AD323" s="130"/>
      <c r="AF323" s="106"/>
    </row>
    <row r="324">
      <c r="C324" s="79"/>
      <c r="D324" s="79"/>
      <c r="E324" s="79"/>
      <c r="O324" s="79"/>
      <c r="S324" s="79"/>
      <c r="T324" s="79"/>
      <c r="Y324" s="79"/>
      <c r="AD324" s="130"/>
      <c r="AF324" s="106"/>
    </row>
    <row r="325">
      <c r="C325" s="79"/>
      <c r="D325" s="79"/>
      <c r="E325" s="79"/>
      <c r="O325" s="79"/>
      <c r="S325" s="79"/>
      <c r="T325" s="79"/>
      <c r="Y325" s="79"/>
      <c r="AD325" s="130"/>
      <c r="AF325" s="106"/>
    </row>
    <row r="326">
      <c r="C326" s="79"/>
      <c r="D326" s="79"/>
      <c r="E326" s="79"/>
      <c r="O326" s="79"/>
      <c r="S326" s="79"/>
      <c r="T326" s="79"/>
      <c r="Y326" s="79"/>
      <c r="AD326" s="130"/>
      <c r="AF326" s="106"/>
    </row>
    <row r="327">
      <c r="C327" s="79"/>
      <c r="D327" s="79"/>
      <c r="E327" s="79"/>
      <c r="O327" s="79"/>
      <c r="S327" s="79"/>
      <c r="T327" s="79"/>
      <c r="Y327" s="79"/>
      <c r="AD327" s="130"/>
      <c r="AF327" s="106"/>
    </row>
    <row r="328">
      <c r="C328" s="79"/>
      <c r="D328" s="79"/>
      <c r="E328" s="79"/>
      <c r="O328" s="79"/>
      <c r="S328" s="79"/>
      <c r="T328" s="79"/>
      <c r="Y328" s="79"/>
      <c r="AD328" s="130"/>
      <c r="AF328" s="106"/>
    </row>
    <row r="329">
      <c r="C329" s="79"/>
      <c r="D329" s="79"/>
      <c r="E329" s="79"/>
      <c r="O329" s="79"/>
      <c r="S329" s="79"/>
      <c r="T329" s="79"/>
      <c r="Y329" s="79"/>
      <c r="AD329" s="130"/>
      <c r="AF329" s="106"/>
    </row>
    <row r="330">
      <c r="C330" s="79"/>
      <c r="D330" s="79"/>
      <c r="E330" s="79"/>
      <c r="O330" s="79"/>
      <c r="S330" s="79"/>
      <c r="T330" s="79"/>
      <c r="Y330" s="79"/>
      <c r="AD330" s="130"/>
      <c r="AF330" s="106"/>
    </row>
    <row r="331">
      <c r="C331" s="79"/>
      <c r="D331" s="79"/>
      <c r="E331" s="79"/>
      <c r="O331" s="79"/>
      <c r="S331" s="79"/>
      <c r="T331" s="79"/>
      <c r="Y331" s="79"/>
      <c r="AD331" s="130"/>
      <c r="AF331" s="106"/>
    </row>
    <row r="332">
      <c r="C332" s="79"/>
      <c r="D332" s="79"/>
      <c r="E332" s="79"/>
      <c r="O332" s="79"/>
      <c r="S332" s="79"/>
      <c r="T332" s="79"/>
      <c r="Y332" s="79"/>
      <c r="AD332" s="130"/>
      <c r="AF332" s="106"/>
    </row>
    <row r="333">
      <c r="C333" s="79"/>
      <c r="D333" s="79"/>
      <c r="E333" s="79"/>
      <c r="O333" s="79"/>
      <c r="S333" s="79"/>
      <c r="T333" s="79"/>
      <c r="Y333" s="79"/>
      <c r="AD333" s="130"/>
      <c r="AF333" s="106"/>
    </row>
    <row r="334">
      <c r="C334" s="79"/>
      <c r="D334" s="79"/>
      <c r="E334" s="79"/>
      <c r="O334" s="79"/>
      <c r="S334" s="79"/>
      <c r="T334" s="79"/>
      <c r="Y334" s="79"/>
      <c r="AD334" s="130"/>
      <c r="AF334" s="106"/>
    </row>
    <row r="335">
      <c r="C335" s="79"/>
      <c r="D335" s="79"/>
      <c r="E335" s="79"/>
      <c r="O335" s="79"/>
      <c r="S335" s="79"/>
      <c r="T335" s="79"/>
      <c r="Y335" s="79"/>
      <c r="AD335" s="130"/>
      <c r="AF335" s="106"/>
    </row>
    <row r="336">
      <c r="C336" s="79"/>
      <c r="D336" s="79"/>
      <c r="E336" s="79"/>
      <c r="O336" s="79"/>
      <c r="S336" s="79"/>
      <c r="T336" s="79"/>
      <c r="Y336" s="79"/>
      <c r="AD336" s="130"/>
      <c r="AF336" s="106"/>
    </row>
    <row r="337">
      <c r="C337" s="79"/>
      <c r="D337" s="79"/>
      <c r="E337" s="79"/>
      <c r="O337" s="79"/>
      <c r="S337" s="79"/>
      <c r="T337" s="79"/>
      <c r="Y337" s="79"/>
      <c r="AD337" s="130"/>
      <c r="AF337" s="106"/>
    </row>
    <row r="338">
      <c r="C338" s="79"/>
      <c r="D338" s="79"/>
      <c r="E338" s="79"/>
      <c r="O338" s="79"/>
      <c r="S338" s="79"/>
      <c r="T338" s="79"/>
      <c r="Y338" s="79"/>
      <c r="AD338" s="130"/>
      <c r="AF338" s="106"/>
    </row>
    <row r="339">
      <c r="C339" s="79"/>
      <c r="D339" s="79"/>
      <c r="E339" s="79"/>
      <c r="O339" s="79"/>
      <c r="S339" s="79"/>
      <c r="T339" s="79"/>
      <c r="Y339" s="79"/>
      <c r="AD339" s="130"/>
      <c r="AF339" s="106"/>
    </row>
    <row r="340">
      <c r="C340" s="79"/>
      <c r="D340" s="79"/>
      <c r="E340" s="79"/>
      <c r="O340" s="79"/>
      <c r="S340" s="79"/>
      <c r="T340" s="79"/>
      <c r="Y340" s="79"/>
      <c r="AD340" s="130"/>
      <c r="AF340" s="106"/>
    </row>
    <row r="341">
      <c r="C341" s="79"/>
      <c r="D341" s="79"/>
      <c r="E341" s="79"/>
      <c r="O341" s="79"/>
      <c r="S341" s="79"/>
      <c r="T341" s="79"/>
      <c r="Y341" s="79"/>
      <c r="AD341" s="130"/>
      <c r="AF341" s="106"/>
    </row>
    <row r="342">
      <c r="C342" s="79"/>
      <c r="D342" s="79"/>
      <c r="E342" s="79"/>
      <c r="O342" s="79"/>
      <c r="S342" s="79"/>
      <c r="T342" s="79"/>
      <c r="Y342" s="79"/>
      <c r="AD342" s="130"/>
      <c r="AF342" s="106"/>
    </row>
    <row r="343">
      <c r="C343" s="79"/>
      <c r="D343" s="79"/>
      <c r="E343" s="79"/>
      <c r="O343" s="79"/>
      <c r="S343" s="79"/>
      <c r="T343" s="79"/>
      <c r="Y343" s="79"/>
      <c r="AD343" s="130"/>
      <c r="AF343" s="106"/>
    </row>
    <row r="344">
      <c r="C344" s="79"/>
      <c r="D344" s="79"/>
      <c r="E344" s="79"/>
      <c r="O344" s="79"/>
      <c r="S344" s="79"/>
      <c r="T344" s="79"/>
      <c r="Y344" s="79"/>
      <c r="AD344" s="130"/>
      <c r="AF344" s="106"/>
    </row>
    <row r="345">
      <c r="C345" s="79"/>
      <c r="D345" s="79"/>
      <c r="E345" s="79"/>
      <c r="O345" s="79"/>
      <c r="S345" s="79"/>
      <c r="T345" s="79"/>
      <c r="Y345" s="79"/>
      <c r="AD345" s="130"/>
      <c r="AF345" s="106"/>
    </row>
    <row r="346">
      <c r="C346" s="79"/>
      <c r="D346" s="79"/>
      <c r="E346" s="79"/>
      <c r="O346" s="79"/>
      <c r="S346" s="79"/>
      <c r="T346" s="79"/>
      <c r="Y346" s="79"/>
      <c r="AD346" s="130"/>
      <c r="AF346" s="106"/>
    </row>
    <row r="347">
      <c r="C347" s="79"/>
      <c r="D347" s="79"/>
      <c r="E347" s="79"/>
      <c r="O347" s="79"/>
      <c r="S347" s="79"/>
      <c r="T347" s="79"/>
      <c r="Y347" s="79"/>
      <c r="AD347" s="130"/>
      <c r="AF347" s="106"/>
    </row>
    <row r="348">
      <c r="C348" s="79"/>
      <c r="D348" s="79"/>
      <c r="E348" s="79"/>
      <c r="O348" s="79"/>
      <c r="S348" s="79"/>
      <c r="T348" s="79"/>
      <c r="Y348" s="79"/>
      <c r="AD348" s="130"/>
      <c r="AF348" s="106"/>
    </row>
    <row r="349">
      <c r="C349" s="79"/>
      <c r="D349" s="79"/>
      <c r="E349" s="79"/>
      <c r="O349" s="79"/>
      <c r="S349" s="79"/>
      <c r="T349" s="79"/>
      <c r="Y349" s="79"/>
      <c r="AD349" s="130"/>
      <c r="AF349" s="106"/>
    </row>
    <row r="350">
      <c r="C350" s="79"/>
      <c r="D350" s="79"/>
      <c r="E350" s="79"/>
      <c r="O350" s="79"/>
      <c r="S350" s="79"/>
      <c r="T350" s="79"/>
      <c r="Y350" s="79"/>
      <c r="AD350" s="130"/>
      <c r="AF350" s="106"/>
    </row>
    <row r="351">
      <c r="C351" s="79"/>
      <c r="D351" s="79"/>
      <c r="E351" s="79"/>
      <c r="O351" s="79"/>
      <c r="S351" s="79"/>
      <c r="T351" s="79"/>
      <c r="Y351" s="79"/>
      <c r="AD351" s="130"/>
      <c r="AF351" s="106"/>
    </row>
    <row r="352">
      <c r="C352" s="79"/>
      <c r="D352" s="79"/>
      <c r="E352" s="79"/>
      <c r="O352" s="79"/>
      <c r="S352" s="79"/>
      <c r="T352" s="79"/>
      <c r="Y352" s="79"/>
      <c r="AD352" s="130"/>
      <c r="AF352" s="106"/>
    </row>
    <row r="353">
      <c r="C353" s="79"/>
      <c r="D353" s="79"/>
      <c r="E353" s="79"/>
      <c r="O353" s="79"/>
      <c r="S353" s="79"/>
      <c r="T353" s="79"/>
      <c r="Y353" s="79"/>
      <c r="AD353" s="130"/>
      <c r="AF353" s="106"/>
    </row>
    <row r="354">
      <c r="C354" s="79"/>
      <c r="D354" s="79"/>
      <c r="E354" s="79"/>
      <c r="O354" s="79"/>
      <c r="S354" s="79"/>
      <c r="T354" s="79"/>
      <c r="Y354" s="79"/>
      <c r="AD354" s="130"/>
      <c r="AF354" s="106"/>
    </row>
    <row r="355">
      <c r="C355" s="79"/>
      <c r="D355" s="79"/>
      <c r="E355" s="79"/>
      <c r="O355" s="79"/>
      <c r="S355" s="79"/>
      <c r="T355" s="79"/>
      <c r="Y355" s="79"/>
      <c r="AD355" s="130"/>
      <c r="AF355" s="106"/>
    </row>
    <row r="356">
      <c r="C356" s="79"/>
      <c r="D356" s="79"/>
      <c r="E356" s="79"/>
      <c r="O356" s="79"/>
      <c r="S356" s="79"/>
      <c r="T356" s="79"/>
      <c r="Y356" s="79"/>
      <c r="AD356" s="130"/>
      <c r="AF356" s="106"/>
    </row>
    <row r="357">
      <c r="C357" s="79"/>
      <c r="D357" s="79"/>
      <c r="E357" s="79"/>
      <c r="O357" s="79"/>
      <c r="S357" s="79"/>
      <c r="T357" s="79"/>
      <c r="Y357" s="79"/>
      <c r="AD357" s="130"/>
      <c r="AF357" s="106"/>
    </row>
    <row r="358">
      <c r="C358" s="79"/>
      <c r="D358" s="79"/>
      <c r="E358" s="79"/>
      <c r="O358" s="79"/>
      <c r="S358" s="79"/>
      <c r="T358" s="79"/>
      <c r="Y358" s="79"/>
      <c r="AD358" s="130"/>
      <c r="AF358" s="106"/>
    </row>
    <row r="359">
      <c r="C359" s="79"/>
      <c r="D359" s="79"/>
      <c r="E359" s="79"/>
      <c r="O359" s="79"/>
      <c r="S359" s="79"/>
      <c r="T359" s="79"/>
      <c r="Y359" s="79"/>
      <c r="AD359" s="130"/>
      <c r="AF359" s="106"/>
    </row>
    <row r="360">
      <c r="C360" s="79"/>
      <c r="D360" s="79"/>
      <c r="E360" s="79"/>
      <c r="O360" s="79"/>
      <c r="S360" s="79"/>
      <c r="T360" s="79"/>
      <c r="Y360" s="79"/>
      <c r="AD360" s="130"/>
      <c r="AF360" s="106"/>
    </row>
    <row r="361">
      <c r="C361" s="79"/>
      <c r="D361" s="79"/>
      <c r="E361" s="79"/>
      <c r="O361" s="79"/>
      <c r="S361" s="79"/>
      <c r="T361" s="79"/>
      <c r="Y361" s="79"/>
      <c r="AD361" s="130"/>
      <c r="AF361" s="106"/>
    </row>
    <row r="362">
      <c r="C362" s="79"/>
      <c r="D362" s="79"/>
      <c r="E362" s="79"/>
      <c r="O362" s="79"/>
      <c r="S362" s="79"/>
      <c r="T362" s="79"/>
      <c r="Y362" s="79"/>
      <c r="AD362" s="130"/>
      <c r="AF362" s="106"/>
    </row>
    <row r="363">
      <c r="C363" s="79"/>
      <c r="D363" s="79"/>
      <c r="E363" s="79"/>
      <c r="O363" s="79"/>
      <c r="S363" s="79"/>
      <c r="T363" s="79"/>
      <c r="Y363" s="79"/>
      <c r="AD363" s="130"/>
      <c r="AF363" s="106"/>
    </row>
    <row r="364">
      <c r="C364" s="79"/>
      <c r="D364" s="79"/>
      <c r="E364" s="79"/>
      <c r="O364" s="79"/>
      <c r="S364" s="79"/>
      <c r="T364" s="79"/>
      <c r="Y364" s="79"/>
      <c r="AD364" s="130"/>
      <c r="AF364" s="106"/>
    </row>
    <row r="365">
      <c r="C365" s="79"/>
      <c r="D365" s="79"/>
      <c r="E365" s="79"/>
      <c r="O365" s="79"/>
      <c r="S365" s="79"/>
      <c r="T365" s="79"/>
      <c r="Y365" s="79"/>
      <c r="AD365" s="130"/>
      <c r="AF365" s="106"/>
    </row>
    <row r="366">
      <c r="C366" s="79"/>
      <c r="D366" s="79"/>
      <c r="E366" s="79"/>
      <c r="O366" s="79"/>
      <c r="S366" s="79"/>
      <c r="T366" s="79"/>
      <c r="Y366" s="79"/>
      <c r="AD366" s="130"/>
      <c r="AF366" s="106"/>
    </row>
    <row r="367">
      <c r="C367" s="79"/>
      <c r="D367" s="79"/>
      <c r="E367" s="79"/>
      <c r="O367" s="79"/>
      <c r="S367" s="79"/>
      <c r="T367" s="79"/>
      <c r="Y367" s="79"/>
      <c r="AD367" s="130"/>
      <c r="AF367" s="106"/>
    </row>
    <row r="368">
      <c r="C368" s="79"/>
      <c r="D368" s="79"/>
      <c r="E368" s="79"/>
      <c r="O368" s="79"/>
      <c r="S368" s="79"/>
      <c r="T368" s="79"/>
      <c r="Y368" s="79"/>
      <c r="AD368" s="130"/>
      <c r="AF368" s="106"/>
    </row>
    <row r="369">
      <c r="C369" s="79"/>
      <c r="D369" s="79"/>
      <c r="E369" s="79"/>
      <c r="O369" s="79"/>
      <c r="S369" s="79"/>
      <c r="T369" s="79"/>
      <c r="Y369" s="79"/>
      <c r="AD369" s="130"/>
      <c r="AF369" s="106"/>
    </row>
    <row r="370">
      <c r="C370" s="79"/>
      <c r="D370" s="79"/>
      <c r="E370" s="79"/>
      <c r="O370" s="79"/>
      <c r="S370" s="79"/>
      <c r="T370" s="79"/>
      <c r="Y370" s="79"/>
      <c r="AD370" s="130"/>
      <c r="AF370" s="106"/>
    </row>
    <row r="371">
      <c r="C371" s="79"/>
      <c r="D371" s="79"/>
      <c r="E371" s="79"/>
      <c r="O371" s="79"/>
      <c r="S371" s="79"/>
      <c r="T371" s="79"/>
      <c r="Y371" s="79"/>
      <c r="AD371" s="130"/>
      <c r="AF371" s="106"/>
    </row>
    <row r="372">
      <c r="C372" s="79"/>
      <c r="D372" s="79"/>
      <c r="E372" s="79"/>
      <c r="O372" s="79"/>
      <c r="S372" s="79"/>
      <c r="T372" s="79"/>
      <c r="Y372" s="79"/>
      <c r="AD372" s="130"/>
      <c r="AF372" s="106"/>
    </row>
    <row r="373">
      <c r="C373" s="79"/>
      <c r="D373" s="79"/>
      <c r="E373" s="79"/>
      <c r="O373" s="79"/>
      <c r="S373" s="79"/>
      <c r="T373" s="79"/>
      <c r="Y373" s="79"/>
      <c r="AD373" s="130"/>
      <c r="AF373" s="106"/>
    </row>
    <row r="374">
      <c r="C374" s="79"/>
      <c r="D374" s="79"/>
      <c r="E374" s="79"/>
      <c r="O374" s="79"/>
      <c r="S374" s="79"/>
      <c r="T374" s="79"/>
      <c r="Y374" s="79"/>
      <c r="AD374" s="130"/>
      <c r="AF374" s="106"/>
    </row>
    <row r="375">
      <c r="C375" s="79"/>
      <c r="D375" s="79"/>
      <c r="E375" s="79"/>
      <c r="O375" s="79"/>
      <c r="S375" s="79"/>
      <c r="T375" s="79"/>
      <c r="Y375" s="79"/>
      <c r="AD375" s="130"/>
      <c r="AF375" s="106"/>
    </row>
    <row r="376">
      <c r="C376" s="79"/>
      <c r="D376" s="79"/>
      <c r="E376" s="79"/>
      <c r="O376" s="79"/>
      <c r="S376" s="79"/>
      <c r="T376" s="79"/>
      <c r="Y376" s="79"/>
      <c r="AD376" s="130"/>
      <c r="AF376" s="106"/>
    </row>
    <row r="377">
      <c r="C377" s="79"/>
      <c r="D377" s="79"/>
      <c r="E377" s="79"/>
      <c r="O377" s="79"/>
      <c r="S377" s="79"/>
      <c r="T377" s="79"/>
      <c r="Y377" s="79"/>
      <c r="AD377" s="130"/>
      <c r="AF377" s="106"/>
    </row>
    <row r="378">
      <c r="C378" s="79"/>
      <c r="D378" s="79"/>
      <c r="E378" s="79"/>
      <c r="O378" s="79"/>
      <c r="S378" s="79"/>
      <c r="T378" s="79"/>
      <c r="Y378" s="79"/>
      <c r="AD378" s="130"/>
      <c r="AF378" s="106"/>
    </row>
    <row r="379">
      <c r="C379" s="79"/>
      <c r="D379" s="79"/>
      <c r="E379" s="79"/>
      <c r="O379" s="79"/>
      <c r="S379" s="79"/>
      <c r="T379" s="79"/>
      <c r="Y379" s="79"/>
      <c r="AD379" s="130"/>
      <c r="AF379" s="106"/>
    </row>
    <row r="380">
      <c r="C380" s="79"/>
      <c r="D380" s="79"/>
      <c r="E380" s="79"/>
      <c r="O380" s="79"/>
      <c r="S380" s="79"/>
      <c r="T380" s="79"/>
      <c r="Y380" s="79"/>
      <c r="AD380" s="130"/>
      <c r="AF380" s="106"/>
    </row>
    <row r="381">
      <c r="C381" s="79"/>
      <c r="D381" s="79"/>
      <c r="E381" s="79"/>
      <c r="O381" s="79"/>
      <c r="S381" s="79"/>
      <c r="T381" s="79"/>
      <c r="Y381" s="79"/>
      <c r="AD381" s="130"/>
      <c r="AF381" s="106"/>
    </row>
    <row r="382">
      <c r="C382" s="79"/>
      <c r="D382" s="79"/>
      <c r="E382" s="79"/>
      <c r="O382" s="79"/>
      <c r="S382" s="79"/>
      <c r="T382" s="79"/>
      <c r="Y382" s="79"/>
      <c r="AD382" s="130"/>
      <c r="AF382" s="106"/>
    </row>
    <row r="383">
      <c r="C383" s="79"/>
      <c r="D383" s="79"/>
      <c r="E383" s="79"/>
      <c r="O383" s="79"/>
      <c r="S383" s="79"/>
      <c r="T383" s="79"/>
      <c r="Y383" s="79"/>
      <c r="AD383" s="130"/>
      <c r="AF383" s="106"/>
    </row>
    <row r="384">
      <c r="C384" s="79"/>
      <c r="D384" s="79"/>
      <c r="E384" s="79"/>
      <c r="O384" s="79"/>
      <c r="S384" s="79"/>
      <c r="T384" s="79"/>
      <c r="Y384" s="79"/>
      <c r="AD384" s="130"/>
      <c r="AF384" s="106"/>
    </row>
    <row r="385">
      <c r="C385" s="79"/>
      <c r="D385" s="79"/>
      <c r="E385" s="79"/>
      <c r="O385" s="79"/>
      <c r="S385" s="79"/>
      <c r="T385" s="79"/>
      <c r="Y385" s="79"/>
      <c r="AD385" s="130"/>
      <c r="AF385" s="106"/>
    </row>
    <row r="386">
      <c r="C386" s="79"/>
      <c r="D386" s="79"/>
      <c r="E386" s="79"/>
      <c r="O386" s="79"/>
      <c r="S386" s="79"/>
      <c r="T386" s="79"/>
      <c r="Y386" s="79"/>
      <c r="AD386" s="130"/>
      <c r="AF386" s="106"/>
    </row>
    <row r="387">
      <c r="C387" s="79"/>
      <c r="D387" s="79"/>
      <c r="E387" s="79"/>
      <c r="O387" s="79"/>
      <c r="S387" s="79"/>
      <c r="T387" s="79"/>
      <c r="Y387" s="79"/>
      <c r="AD387" s="130"/>
      <c r="AF387" s="106"/>
    </row>
    <row r="388">
      <c r="C388" s="79"/>
      <c r="D388" s="79"/>
      <c r="E388" s="79"/>
      <c r="O388" s="79"/>
      <c r="S388" s="79"/>
      <c r="T388" s="79"/>
      <c r="Y388" s="79"/>
      <c r="AD388" s="130"/>
      <c r="AF388" s="106"/>
    </row>
    <row r="389">
      <c r="C389" s="79"/>
      <c r="D389" s="79"/>
      <c r="E389" s="79"/>
      <c r="O389" s="79"/>
      <c r="S389" s="79"/>
      <c r="T389" s="79"/>
      <c r="Y389" s="79"/>
      <c r="AD389" s="130"/>
      <c r="AF389" s="106"/>
    </row>
    <row r="390">
      <c r="C390" s="79"/>
      <c r="D390" s="79"/>
      <c r="E390" s="79"/>
      <c r="O390" s="79"/>
      <c r="S390" s="79"/>
      <c r="T390" s="79"/>
      <c r="Y390" s="79"/>
      <c r="AD390" s="130"/>
      <c r="AF390" s="106"/>
    </row>
    <row r="391">
      <c r="C391" s="79"/>
      <c r="D391" s="79"/>
      <c r="E391" s="79"/>
      <c r="O391" s="79"/>
      <c r="S391" s="79"/>
      <c r="T391" s="79"/>
      <c r="Y391" s="79"/>
      <c r="AD391" s="130"/>
      <c r="AF391" s="106"/>
    </row>
    <row r="392">
      <c r="C392" s="79"/>
      <c r="D392" s="79"/>
      <c r="E392" s="79"/>
      <c r="O392" s="79"/>
      <c r="S392" s="79"/>
      <c r="T392" s="79"/>
      <c r="Y392" s="79"/>
      <c r="AD392" s="130"/>
      <c r="AF392" s="106"/>
    </row>
    <row r="393">
      <c r="C393" s="79"/>
      <c r="D393" s="79"/>
      <c r="E393" s="79"/>
      <c r="O393" s="79"/>
      <c r="S393" s="79"/>
      <c r="T393" s="79"/>
      <c r="Y393" s="79"/>
      <c r="AD393" s="130"/>
      <c r="AF393" s="106"/>
    </row>
    <row r="394">
      <c r="C394" s="79"/>
      <c r="D394" s="79"/>
      <c r="E394" s="79"/>
      <c r="O394" s="79"/>
      <c r="S394" s="79"/>
      <c r="T394" s="79"/>
      <c r="Y394" s="79"/>
      <c r="AD394" s="130"/>
      <c r="AF394" s="106"/>
    </row>
    <row r="395">
      <c r="C395" s="79"/>
      <c r="D395" s="79"/>
      <c r="E395" s="79"/>
      <c r="O395" s="79"/>
      <c r="S395" s="79"/>
      <c r="T395" s="79"/>
      <c r="Y395" s="79"/>
      <c r="AD395" s="130"/>
      <c r="AF395" s="106"/>
    </row>
    <row r="396">
      <c r="C396" s="79"/>
      <c r="D396" s="79"/>
      <c r="E396" s="79"/>
      <c r="O396" s="79"/>
      <c r="S396" s="79"/>
      <c r="T396" s="79"/>
      <c r="Y396" s="79"/>
      <c r="AD396" s="130"/>
      <c r="AF396" s="106"/>
    </row>
    <row r="397">
      <c r="C397" s="79"/>
      <c r="D397" s="79"/>
      <c r="E397" s="79"/>
      <c r="O397" s="79"/>
      <c r="S397" s="79"/>
      <c r="T397" s="79"/>
      <c r="Y397" s="79"/>
      <c r="AD397" s="130"/>
      <c r="AF397" s="106"/>
    </row>
    <row r="398">
      <c r="C398" s="79"/>
      <c r="D398" s="79"/>
      <c r="E398" s="79"/>
      <c r="O398" s="79"/>
      <c r="S398" s="79"/>
      <c r="T398" s="79"/>
      <c r="Y398" s="79"/>
      <c r="AD398" s="130"/>
      <c r="AF398" s="106"/>
    </row>
    <row r="399">
      <c r="C399" s="79"/>
      <c r="D399" s="79"/>
      <c r="E399" s="79"/>
      <c r="O399" s="79"/>
      <c r="S399" s="79"/>
      <c r="T399" s="79"/>
      <c r="Y399" s="79"/>
      <c r="AD399" s="130"/>
      <c r="AF399" s="106"/>
    </row>
    <row r="400">
      <c r="C400" s="79"/>
      <c r="D400" s="79"/>
      <c r="E400" s="79"/>
      <c r="O400" s="79"/>
      <c r="S400" s="79"/>
      <c r="T400" s="79"/>
      <c r="Y400" s="79"/>
      <c r="AD400" s="130"/>
      <c r="AF400" s="106"/>
    </row>
    <row r="401">
      <c r="C401" s="79"/>
      <c r="D401" s="79"/>
      <c r="E401" s="79"/>
      <c r="O401" s="79"/>
      <c r="S401" s="79"/>
      <c r="T401" s="79"/>
      <c r="Y401" s="79"/>
      <c r="AD401" s="130"/>
      <c r="AF401" s="106"/>
    </row>
    <row r="402">
      <c r="C402" s="79"/>
      <c r="D402" s="79"/>
      <c r="E402" s="79"/>
      <c r="O402" s="79"/>
      <c r="S402" s="79"/>
      <c r="T402" s="79"/>
      <c r="Y402" s="79"/>
      <c r="AD402" s="130"/>
      <c r="AF402" s="106"/>
    </row>
    <row r="403">
      <c r="C403" s="79"/>
      <c r="D403" s="79"/>
      <c r="E403" s="79"/>
      <c r="O403" s="79"/>
      <c r="S403" s="79"/>
      <c r="T403" s="79"/>
      <c r="Y403" s="79"/>
      <c r="AD403" s="130"/>
      <c r="AF403" s="106"/>
    </row>
    <row r="404">
      <c r="C404" s="79"/>
      <c r="D404" s="79"/>
      <c r="E404" s="79"/>
      <c r="O404" s="79"/>
      <c r="S404" s="79"/>
      <c r="T404" s="79"/>
      <c r="Y404" s="79"/>
      <c r="AD404" s="130"/>
      <c r="AF404" s="106"/>
    </row>
    <row r="405">
      <c r="C405" s="79"/>
      <c r="D405" s="79"/>
      <c r="E405" s="79"/>
      <c r="O405" s="79"/>
      <c r="S405" s="79"/>
      <c r="T405" s="79"/>
      <c r="Y405" s="79"/>
      <c r="AD405" s="130"/>
      <c r="AF405" s="106"/>
    </row>
    <row r="406">
      <c r="C406" s="79"/>
      <c r="D406" s="79"/>
      <c r="E406" s="79"/>
      <c r="O406" s="79"/>
      <c r="S406" s="79"/>
      <c r="T406" s="79"/>
      <c r="Y406" s="79"/>
      <c r="AD406" s="130"/>
      <c r="AF406" s="106"/>
    </row>
    <row r="407">
      <c r="C407" s="79"/>
      <c r="D407" s="79"/>
      <c r="E407" s="79"/>
      <c r="O407" s="79"/>
      <c r="S407" s="79"/>
      <c r="T407" s="79"/>
      <c r="Y407" s="79"/>
      <c r="AD407" s="130"/>
      <c r="AF407" s="106"/>
    </row>
    <row r="408">
      <c r="C408" s="79"/>
      <c r="D408" s="79"/>
      <c r="E408" s="79"/>
      <c r="O408" s="79"/>
      <c r="S408" s="79"/>
      <c r="T408" s="79"/>
      <c r="Y408" s="79"/>
      <c r="AD408" s="130"/>
      <c r="AF408" s="106"/>
    </row>
    <row r="409">
      <c r="C409" s="79"/>
      <c r="D409" s="79"/>
      <c r="E409" s="79"/>
      <c r="O409" s="79"/>
      <c r="S409" s="79"/>
      <c r="T409" s="79"/>
      <c r="Y409" s="79"/>
      <c r="AD409" s="130"/>
      <c r="AF409" s="106"/>
    </row>
    <row r="410">
      <c r="C410" s="79"/>
      <c r="D410" s="79"/>
      <c r="E410" s="79"/>
      <c r="O410" s="79"/>
      <c r="S410" s="79"/>
      <c r="T410" s="79"/>
      <c r="Y410" s="79"/>
      <c r="AD410" s="130"/>
      <c r="AF410" s="106"/>
    </row>
    <row r="411">
      <c r="C411" s="79"/>
      <c r="D411" s="79"/>
      <c r="E411" s="79"/>
      <c r="O411" s="79"/>
      <c r="S411" s="79"/>
      <c r="T411" s="79"/>
      <c r="Y411" s="79"/>
      <c r="AD411" s="130"/>
      <c r="AF411" s="106"/>
    </row>
    <row r="412">
      <c r="C412" s="79"/>
      <c r="D412" s="79"/>
      <c r="E412" s="79"/>
      <c r="O412" s="79"/>
      <c r="S412" s="79"/>
      <c r="T412" s="79"/>
      <c r="Y412" s="79"/>
      <c r="AD412" s="130"/>
      <c r="AF412" s="106"/>
    </row>
    <row r="413">
      <c r="C413" s="79"/>
      <c r="D413" s="79"/>
      <c r="E413" s="79"/>
      <c r="O413" s="79"/>
      <c r="S413" s="79"/>
      <c r="T413" s="79"/>
      <c r="Y413" s="79"/>
      <c r="AD413" s="130"/>
      <c r="AF413" s="106"/>
    </row>
    <row r="414">
      <c r="C414" s="79"/>
      <c r="D414" s="79"/>
      <c r="E414" s="79"/>
      <c r="O414" s="79"/>
      <c r="S414" s="79"/>
      <c r="T414" s="79"/>
      <c r="Y414" s="79"/>
      <c r="AD414" s="130"/>
      <c r="AF414" s="106"/>
    </row>
    <row r="415">
      <c r="C415" s="79"/>
      <c r="D415" s="79"/>
      <c r="E415" s="79"/>
      <c r="O415" s="79"/>
      <c r="S415" s="79"/>
      <c r="T415" s="79"/>
      <c r="Y415" s="79"/>
      <c r="AD415" s="130"/>
      <c r="AF415" s="106"/>
    </row>
    <row r="416">
      <c r="C416" s="79"/>
      <c r="D416" s="79"/>
      <c r="E416" s="79"/>
      <c r="O416" s="79"/>
      <c r="S416" s="79"/>
      <c r="T416" s="79"/>
      <c r="Y416" s="79"/>
      <c r="AD416" s="130"/>
      <c r="AF416" s="106"/>
    </row>
    <row r="417">
      <c r="C417" s="79"/>
      <c r="D417" s="79"/>
      <c r="E417" s="79"/>
      <c r="O417" s="79"/>
      <c r="S417" s="79"/>
      <c r="T417" s="79"/>
      <c r="Y417" s="79"/>
      <c r="AD417" s="130"/>
      <c r="AF417" s="106"/>
    </row>
    <row r="418">
      <c r="C418" s="79"/>
      <c r="D418" s="79"/>
      <c r="E418" s="79"/>
      <c r="O418" s="79"/>
      <c r="S418" s="79"/>
      <c r="T418" s="79"/>
      <c r="Y418" s="79"/>
      <c r="AD418" s="130"/>
      <c r="AF418" s="106"/>
    </row>
    <row r="419">
      <c r="C419" s="79"/>
      <c r="D419" s="79"/>
      <c r="E419" s="79"/>
      <c r="O419" s="79"/>
      <c r="S419" s="79"/>
      <c r="T419" s="79"/>
      <c r="Y419" s="79"/>
      <c r="AD419" s="130"/>
      <c r="AF419" s="106"/>
    </row>
    <row r="420">
      <c r="C420" s="79"/>
      <c r="D420" s="79"/>
      <c r="E420" s="79"/>
      <c r="O420" s="79"/>
      <c r="S420" s="79"/>
      <c r="T420" s="79"/>
      <c r="Y420" s="79"/>
      <c r="AD420" s="130"/>
      <c r="AF420" s="106"/>
    </row>
    <row r="421">
      <c r="C421" s="79"/>
      <c r="D421" s="79"/>
      <c r="E421" s="79"/>
      <c r="O421" s="79"/>
      <c r="S421" s="79"/>
      <c r="T421" s="79"/>
      <c r="Y421" s="79"/>
      <c r="AD421" s="130"/>
      <c r="AF421" s="106"/>
    </row>
    <row r="422">
      <c r="C422" s="79"/>
      <c r="D422" s="79"/>
      <c r="E422" s="79"/>
      <c r="O422" s="79"/>
      <c r="S422" s="79"/>
      <c r="T422" s="79"/>
      <c r="Y422" s="79"/>
      <c r="AD422" s="130"/>
      <c r="AF422" s="106"/>
    </row>
    <row r="423">
      <c r="C423" s="79"/>
      <c r="D423" s="79"/>
      <c r="E423" s="79"/>
      <c r="O423" s="79"/>
      <c r="S423" s="79"/>
      <c r="T423" s="79"/>
      <c r="Y423" s="79"/>
      <c r="AD423" s="130"/>
      <c r="AF423" s="106"/>
    </row>
    <row r="424">
      <c r="C424" s="79"/>
      <c r="D424" s="79"/>
      <c r="E424" s="79"/>
      <c r="O424" s="79"/>
      <c r="S424" s="79"/>
      <c r="T424" s="79"/>
      <c r="Y424" s="79"/>
      <c r="AD424" s="130"/>
      <c r="AF424" s="106"/>
    </row>
    <row r="425">
      <c r="C425" s="79"/>
      <c r="D425" s="79"/>
      <c r="E425" s="79"/>
      <c r="O425" s="79"/>
      <c r="S425" s="79"/>
      <c r="T425" s="79"/>
      <c r="Y425" s="79"/>
      <c r="AD425" s="130"/>
      <c r="AF425" s="106"/>
    </row>
    <row r="426">
      <c r="C426" s="79"/>
      <c r="D426" s="79"/>
      <c r="E426" s="79"/>
      <c r="O426" s="79"/>
      <c r="S426" s="79"/>
      <c r="T426" s="79"/>
      <c r="Y426" s="79"/>
      <c r="AD426" s="130"/>
      <c r="AF426" s="106"/>
    </row>
    <row r="427">
      <c r="C427" s="79"/>
      <c r="D427" s="79"/>
      <c r="E427" s="79"/>
      <c r="O427" s="79"/>
      <c r="S427" s="79"/>
      <c r="T427" s="79"/>
      <c r="Y427" s="79"/>
      <c r="AD427" s="130"/>
      <c r="AF427" s="106"/>
    </row>
    <row r="428">
      <c r="C428" s="79"/>
      <c r="D428" s="79"/>
      <c r="E428" s="79"/>
      <c r="O428" s="79"/>
      <c r="S428" s="79"/>
      <c r="T428" s="79"/>
      <c r="Y428" s="79"/>
      <c r="AD428" s="130"/>
      <c r="AF428" s="106"/>
    </row>
    <row r="429">
      <c r="C429" s="79"/>
      <c r="D429" s="79"/>
      <c r="E429" s="79"/>
      <c r="O429" s="79"/>
      <c r="S429" s="79"/>
      <c r="T429" s="79"/>
      <c r="Y429" s="79"/>
      <c r="AD429" s="130"/>
      <c r="AF429" s="106"/>
    </row>
    <row r="430">
      <c r="C430" s="79"/>
      <c r="D430" s="79"/>
      <c r="E430" s="79"/>
      <c r="O430" s="79"/>
      <c r="S430" s="79"/>
      <c r="T430" s="79"/>
      <c r="Y430" s="79"/>
      <c r="AD430" s="130"/>
      <c r="AF430" s="106"/>
    </row>
    <row r="431">
      <c r="C431" s="79"/>
      <c r="D431" s="79"/>
      <c r="E431" s="79"/>
      <c r="O431" s="79"/>
      <c r="S431" s="79"/>
      <c r="T431" s="79"/>
      <c r="Y431" s="79"/>
      <c r="AD431" s="130"/>
      <c r="AF431" s="106"/>
    </row>
    <row r="432">
      <c r="C432" s="79"/>
      <c r="D432" s="79"/>
      <c r="E432" s="79"/>
      <c r="O432" s="79"/>
      <c r="S432" s="79"/>
      <c r="T432" s="79"/>
      <c r="Y432" s="79"/>
      <c r="AD432" s="130"/>
      <c r="AF432" s="106"/>
    </row>
    <row r="433">
      <c r="C433" s="79"/>
      <c r="D433" s="79"/>
      <c r="E433" s="79"/>
      <c r="O433" s="79"/>
      <c r="S433" s="79"/>
      <c r="T433" s="79"/>
      <c r="Y433" s="79"/>
      <c r="AD433" s="130"/>
      <c r="AF433" s="106"/>
    </row>
    <row r="434">
      <c r="C434" s="79"/>
      <c r="D434" s="79"/>
      <c r="E434" s="79"/>
      <c r="O434" s="79"/>
      <c r="S434" s="79"/>
      <c r="T434" s="79"/>
      <c r="Y434" s="79"/>
      <c r="AD434" s="130"/>
      <c r="AF434" s="106"/>
    </row>
    <row r="435">
      <c r="C435" s="79"/>
      <c r="D435" s="79"/>
      <c r="E435" s="79"/>
      <c r="O435" s="79"/>
      <c r="S435" s="79"/>
      <c r="T435" s="79"/>
      <c r="Y435" s="79"/>
      <c r="AD435" s="130"/>
      <c r="AF435" s="106"/>
    </row>
    <row r="436">
      <c r="C436" s="79"/>
      <c r="D436" s="79"/>
      <c r="E436" s="79"/>
      <c r="O436" s="79"/>
      <c r="S436" s="79"/>
      <c r="T436" s="79"/>
      <c r="Y436" s="79"/>
      <c r="AD436" s="130"/>
      <c r="AF436" s="106"/>
    </row>
    <row r="437">
      <c r="C437" s="79"/>
      <c r="D437" s="79"/>
      <c r="E437" s="79"/>
      <c r="O437" s="79"/>
      <c r="S437" s="79"/>
      <c r="T437" s="79"/>
      <c r="Y437" s="79"/>
      <c r="AD437" s="130"/>
      <c r="AF437" s="106"/>
    </row>
    <row r="438">
      <c r="C438" s="79"/>
      <c r="D438" s="79"/>
      <c r="E438" s="79"/>
      <c r="O438" s="79"/>
      <c r="S438" s="79"/>
      <c r="T438" s="79"/>
      <c r="Y438" s="79"/>
      <c r="AD438" s="130"/>
      <c r="AF438" s="106"/>
    </row>
    <row r="439">
      <c r="C439" s="79"/>
      <c r="D439" s="79"/>
      <c r="E439" s="79"/>
      <c r="O439" s="79"/>
      <c r="S439" s="79"/>
      <c r="T439" s="79"/>
      <c r="Y439" s="79"/>
      <c r="AD439" s="130"/>
      <c r="AF439" s="106"/>
    </row>
    <row r="440">
      <c r="C440" s="79"/>
      <c r="D440" s="79"/>
      <c r="E440" s="79"/>
      <c r="O440" s="79"/>
      <c r="S440" s="79"/>
      <c r="T440" s="79"/>
      <c r="Y440" s="79"/>
      <c r="AD440" s="130"/>
      <c r="AF440" s="106"/>
    </row>
    <row r="441">
      <c r="C441" s="79"/>
      <c r="D441" s="79"/>
      <c r="E441" s="79"/>
      <c r="O441" s="79"/>
      <c r="S441" s="79"/>
      <c r="T441" s="79"/>
      <c r="Y441" s="79"/>
      <c r="AD441" s="130"/>
      <c r="AF441" s="106"/>
    </row>
    <row r="442">
      <c r="C442" s="79"/>
      <c r="D442" s="79"/>
      <c r="E442" s="79"/>
      <c r="O442" s="79"/>
      <c r="S442" s="79"/>
      <c r="T442" s="79"/>
      <c r="Y442" s="79"/>
      <c r="AD442" s="130"/>
      <c r="AF442" s="106"/>
    </row>
    <row r="443">
      <c r="C443" s="79"/>
      <c r="D443" s="79"/>
      <c r="E443" s="79"/>
      <c r="O443" s="79"/>
      <c r="S443" s="79"/>
      <c r="T443" s="79"/>
      <c r="Y443" s="79"/>
      <c r="AD443" s="130"/>
      <c r="AF443" s="106"/>
    </row>
    <row r="444">
      <c r="C444" s="79"/>
      <c r="D444" s="79"/>
      <c r="E444" s="79"/>
      <c r="O444" s="79"/>
      <c r="S444" s="79"/>
      <c r="T444" s="79"/>
      <c r="Y444" s="79"/>
      <c r="AD444" s="130"/>
      <c r="AF444" s="106"/>
    </row>
    <row r="445">
      <c r="C445" s="79"/>
      <c r="D445" s="79"/>
      <c r="E445" s="79"/>
      <c r="O445" s="79"/>
      <c r="S445" s="79"/>
      <c r="T445" s="79"/>
      <c r="Y445" s="79"/>
      <c r="AD445" s="130"/>
      <c r="AF445" s="106"/>
    </row>
    <row r="446">
      <c r="C446" s="79"/>
      <c r="D446" s="79"/>
      <c r="E446" s="79"/>
      <c r="O446" s="79"/>
      <c r="S446" s="79"/>
      <c r="T446" s="79"/>
      <c r="Y446" s="79"/>
      <c r="AD446" s="130"/>
      <c r="AF446" s="106"/>
    </row>
    <row r="447">
      <c r="C447" s="79"/>
      <c r="D447" s="79"/>
      <c r="E447" s="79"/>
      <c r="O447" s="79"/>
      <c r="S447" s="79"/>
      <c r="T447" s="79"/>
      <c r="Y447" s="79"/>
      <c r="AD447" s="130"/>
      <c r="AF447" s="106"/>
    </row>
    <row r="448">
      <c r="C448" s="79"/>
      <c r="D448" s="79"/>
      <c r="E448" s="79"/>
      <c r="O448" s="79"/>
      <c r="S448" s="79"/>
      <c r="T448" s="79"/>
      <c r="Y448" s="79"/>
      <c r="AD448" s="130"/>
      <c r="AF448" s="106"/>
    </row>
    <row r="449">
      <c r="C449" s="79"/>
      <c r="D449" s="79"/>
      <c r="E449" s="79"/>
      <c r="O449" s="79"/>
      <c r="S449" s="79"/>
      <c r="T449" s="79"/>
      <c r="Y449" s="79"/>
      <c r="AD449" s="130"/>
      <c r="AF449" s="106"/>
    </row>
    <row r="450">
      <c r="C450" s="79"/>
      <c r="D450" s="79"/>
      <c r="E450" s="79"/>
      <c r="O450" s="79"/>
      <c r="S450" s="79"/>
      <c r="T450" s="79"/>
      <c r="Y450" s="79"/>
      <c r="AD450" s="130"/>
      <c r="AF450" s="106"/>
    </row>
    <row r="451">
      <c r="C451" s="79"/>
      <c r="D451" s="79"/>
      <c r="E451" s="79"/>
      <c r="O451" s="79"/>
      <c r="S451" s="79"/>
      <c r="T451" s="79"/>
      <c r="Y451" s="79"/>
      <c r="AD451" s="130"/>
      <c r="AF451" s="106"/>
    </row>
    <row r="452">
      <c r="C452" s="79"/>
      <c r="D452" s="79"/>
      <c r="E452" s="79"/>
      <c r="O452" s="79"/>
      <c r="S452" s="79"/>
      <c r="T452" s="79"/>
      <c r="Y452" s="79"/>
      <c r="AD452" s="130"/>
      <c r="AF452" s="106"/>
    </row>
    <row r="453">
      <c r="C453" s="79"/>
      <c r="D453" s="79"/>
      <c r="E453" s="79"/>
      <c r="O453" s="79"/>
      <c r="S453" s="79"/>
      <c r="T453" s="79"/>
      <c r="Y453" s="79"/>
      <c r="AD453" s="130"/>
      <c r="AF453" s="106"/>
    </row>
    <row r="454">
      <c r="C454" s="79"/>
      <c r="D454" s="79"/>
      <c r="E454" s="79"/>
      <c r="O454" s="79"/>
      <c r="S454" s="79"/>
      <c r="T454" s="79"/>
      <c r="Y454" s="79"/>
      <c r="AD454" s="130"/>
      <c r="AF454" s="106"/>
    </row>
    <row r="455">
      <c r="C455" s="79"/>
      <c r="D455" s="79"/>
      <c r="E455" s="79"/>
      <c r="O455" s="79"/>
      <c r="S455" s="79"/>
      <c r="T455" s="79"/>
      <c r="Y455" s="79"/>
      <c r="AD455" s="130"/>
      <c r="AF455" s="106"/>
    </row>
    <row r="456">
      <c r="C456" s="79"/>
      <c r="D456" s="79"/>
      <c r="E456" s="79"/>
      <c r="O456" s="79"/>
      <c r="S456" s="79"/>
      <c r="T456" s="79"/>
      <c r="Y456" s="79"/>
      <c r="AD456" s="130"/>
      <c r="AF456" s="106"/>
    </row>
    <row r="457">
      <c r="C457" s="79"/>
      <c r="D457" s="79"/>
      <c r="E457" s="79"/>
      <c r="O457" s="79"/>
      <c r="S457" s="79"/>
      <c r="T457" s="79"/>
      <c r="Y457" s="79"/>
      <c r="AD457" s="130"/>
      <c r="AF457" s="106"/>
    </row>
    <row r="458">
      <c r="C458" s="79"/>
      <c r="D458" s="79"/>
      <c r="E458" s="79"/>
      <c r="O458" s="79"/>
      <c r="S458" s="79"/>
      <c r="T458" s="79"/>
      <c r="Y458" s="79"/>
      <c r="AD458" s="130"/>
      <c r="AF458" s="106"/>
    </row>
    <row r="459">
      <c r="C459" s="79"/>
      <c r="D459" s="79"/>
      <c r="E459" s="79"/>
      <c r="O459" s="79"/>
      <c r="S459" s="79"/>
      <c r="T459" s="79"/>
      <c r="Y459" s="79"/>
      <c r="AD459" s="130"/>
      <c r="AF459" s="106"/>
    </row>
    <row r="460">
      <c r="C460" s="79"/>
      <c r="D460" s="79"/>
      <c r="E460" s="79"/>
      <c r="O460" s="79"/>
      <c r="S460" s="79"/>
      <c r="T460" s="79"/>
      <c r="Y460" s="79"/>
      <c r="AD460" s="130"/>
      <c r="AF460" s="106"/>
    </row>
    <row r="461">
      <c r="C461" s="79"/>
      <c r="D461" s="79"/>
      <c r="E461" s="79"/>
      <c r="O461" s="79"/>
      <c r="S461" s="79"/>
      <c r="T461" s="79"/>
      <c r="Y461" s="79"/>
      <c r="AD461" s="130"/>
      <c r="AF461" s="106"/>
    </row>
    <row r="462">
      <c r="C462" s="79"/>
      <c r="D462" s="79"/>
      <c r="E462" s="79"/>
      <c r="O462" s="79"/>
      <c r="S462" s="79"/>
      <c r="T462" s="79"/>
      <c r="Y462" s="79"/>
      <c r="AD462" s="130"/>
      <c r="AF462" s="106"/>
    </row>
    <row r="463">
      <c r="C463" s="79"/>
      <c r="D463" s="79"/>
      <c r="E463" s="79"/>
      <c r="O463" s="79"/>
      <c r="S463" s="79"/>
      <c r="T463" s="79"/>
      <c r="Y463" s="79"/>
      <c r="AD463" s="130"/>
      <c r="AF463" s="106"/>
    </row>
    <row r="464">
      <c r="C464" s="79"/>
      <c r="D464" s="79"/>
      <c r="E464" s="79"/>
      <c r="O464" s="79"/>
      <c r="S464" s="79"/>
      <c r="T464" s="79"/>
      <c r="Y464" s="79"/>
      <c r="AD464" s="130"/>
      <c r="AF464" s="106"/>
    </row>
    <row r="465">
      <c r="C465" s="79"/>
      <c r="D465" s="79"/>
      <c r="E465" s="79"/>
      <c r="O465" s="79"/>
      <c r="S465" s="79"/>
      <c r="T465" s="79"/>
      <c r="Y465" s="79"/>
      <c r="AD465" s="130"/>
      <c r="AF465" s="106"/>
    </row>
    <row r="466">
      <c r="C466" s="79"/>
      <c r="D466" s="79"/>
      <c r="E466" s="79"/>
      <c r="O466" s="79"/>
      <c r="S466" s="79"/>
      <c r="T466" s="79"/>
      <c r="Y466" s="79"/>
      <c r="AD466" s="130"/>
      <c r="AF466" s="106"/>
    </row>
    <row r="467">
      <c r="C467" s="79"/>
      <c r="D467" s="79"/>
      <c r="E467" s="79"/>
      <c r="O467" s="79"/>
      <c r="S467" s="79"/>
      <c r="T467" s="79"/>
      <c r="Y467" s="79"/>
      <c r="AD467" s="130"/>
      <c r="AF467" s="106"/>
    </row>
    <row r="468">
      <c r="C468" s="79"/>
      <c r="D468" s="79"/>
      <c r="E468" s="79"/>
      <c r="O468" s="79"/>
      <c r="S468" s="79"/>
      <c r="T468" s="79"/>
      <c r="Y468" s="79"/>
      <c r="AD468" s="130"/>
      <c r="AF468" s="106"/>
    </row>
    <row r="469">
      <c r="C469" s="79"/>
      <c r="D469" s="79"/>
      <c r="E469" s="79"/>
      <c r="O469" s="79"/>
      <c r="S469" s="79"/>
      <c r="T469" s="79"/>
      <c r="Y469" s="79"/>
      <c r="AD469" s="130"/>
      <c r="AF469" s="106"/>
    </row>
    <row r="470">
      <c r="C470" s="79"/>
      <c r="D470" s="79"/>
      <c r="E470" s="79"/>
      <c r="O470" s="79"/>
      <c r="S470" s="79"/>
      <c r="T470" s="79"/>
      <c r="Y470" s="79"/>
      <c r="AD470" s="130"/>
      <c r="AF470" s="106"/>
    </row>
    <row r="471">
      <c r="C471" s="79"/>
      <c r="D471" s="79"/>
      <c r="E471" s="79"/>
      <c r="O471" s="79"/>
      <c r="S471" s="79"/>
      <c r="T471" s="79"/>
      <c r="Y471" s="79"/>
      <c r="AD471" s="130"/>
      <c r="AF471" s="106"/>
    </row>
    <row r="472">
      <c r="C472" s="79"/>
      <c r="D472" s="79"/>
      <c r="E472" s="79"/>
      <c r="O472" s="79"/>
      <c r="S472" s="79"/>
      <c r="T472" s="79"/>
      <c r="Y472" s="79"/>
      <c r="AD472" s="130"/>
      <c r="AF472" s="106"/>
    </row>
    <row r="473">
      <c r="C473" s="79"/>
      <c r="D473" s="79"/>
      <c r="E473" s="79"/>
      <c r="O473" s="79"/>
      <c r="S473" s="79"/>
      <c r="T473" s="79"/>
      <c r="Y473" s="79"/>
      <c r="AD473" s="130"/>
      <c r="AF473" s="106"/>
    </row>
    <row r="474">
      <c r="C474" s="79"/>
      <c r="D474" s="79"/>
      <c r="E474" s="79"/>
      <c r="O474" s="79"/>
      <c r="S474" s="79"/>
      <c r="T474" s="79"/>
      <c r="Y474" s="79"/>
      <c r="AD474" s="130"/>
      <c r="AF474" s="106"/>
    </row>
    <row r="475">
      <c r="C475" s="79"/>
      <c r="D475" s="79"/>
      <c r="E475" s="79"/>
      <c r="O475" s="79"/>
      <c r="S475" s="79"/>
      <c r="T475" s="79"/>
      <c r="Y475" s="79"/>
      <c r="AD475" s="130"/>
      <c r="AF475" s="106"/>
    </row>
    <row r="476">
      <c r="C476" s="79"/>
      <c r="D476" s="79"/>
      <c r="E476" s="79"/>
      <c r="O476" s="79"/>
      <c r="S476" s="79"/>
      <c r="T476" s="79"/>
      <c r="Y476" s="79"/>
      <c r="AD476" s="130"/>
      <c r="AF476" s="106"/>
    </row>
    <row r="477">
      <c r="C477" s="79"/>
      <c r="D477" s="79"/>
      <c r="E477" s="79"/>
      <c r="O477" s="79"/>
      <c r="S477" s="79"/>
      <c r="T477" s="79"/>
      <c r="Y477" s="79"/>
      <c r="AD477" s="130"/>
      <c r="AF477" s="106"/>
    </row>
    <row r="478">
      <c r="C478" s="79"/>
      <c r="D478" s="79"/>
      <c r="E478" s="79"/>
      <c r="O478" s="79"/>
      <c r="S478" s="79"/>
      <c r="T478" s="79"/>
      <c r="Y478" s="79"/>
      <c r="AD478" s="130"/>
      <c r="AF478" s="106"/>
    </row>
    <row r="479">
      <c r="C479" s="79"/>
      <c r="D479" s="79"/>
      <c r="E479" s="79"/>
      <c r="O479" s="79"/>
      <c r="S479" s="79"/>
      <c r="T479" s="79"/>
      <c r="Y479" s="79"/>
      <c r="AD479" s="130"/>
      <c r="AF479" s="106"/>
    </row>
    <row r="480">
      <c r="C480" s="79"/>
      <c r="D480" s="79"/>
      <c r="E480" s="79"/>
      <c r="O480" s="79"/>
      <c r="S480" s="79"/>
      <c r="T480" s="79"/>
      <c r="Y480" s="79"/>
      <c r="AD480" s="130"/>
      <c r="AF480" s="106"/>
    </row>
    <row r="481">
      <c r="C481" s="79"/>
      <c r="D481" s="79"/>
      <c r="E481" s="79"/>
      <c r="O481" s="79"/>
      <c r="S481" s="79"/>
      <c r="T481" s="79"/>
      <c r="Y481" s="79"/>
      <c r="AD481" s="130"/>
      <c r="AF481" s="106"/>
    </row>
    <row r="482">
      <c r="C482" s="79"/>
      <c r="D482" s="79"/>
      <c r="E482" s="79"/>
      <c r="O482" s="79"/>
      <c r="S482" s="79"/>
      <c r="T482" s="79"/>
      <c r="Y482" s="79"/>
      <c r="AD482" s="130"/>
      <c r="AF482" s="106"/>
    </row>
    <row r="483">
      <c r="C483" s="79"/>
      <c r="D483" s="79"/>
      <c r="E483" s="79"/>
      <c r="O483" s="79"/>
      <c r="S483" s="79"/>
      <c r="T483" s="79"/>
      <c r="Y483" s="79"/>
      <c r="AD483" s="130"/>
      <c r="AF483" s="106"/>
    </row>
    <row r="484">
      <c r="C484" s="79"/>
      <c r="D484" s="79"/>
      <c r="E484" s="79"/>
      <c r="O484" s="79"/>
      <c r="S484" s="79"/>
      <c r="T484" s="79"/>
      <c r="Y484" s="79"/>
      <c r="AD484" s="130"/>
      <c r="AF484" s="106"/>
    </row>
    <row r="485">
      <c r="C485" s="79"/>
      <c r="D485" s="79"/>
      <c r="E485" s="79"/>
      <c r="O485" s="79"/>
      <c r="S485" s="79"/>
      <c r="T485" s="79"/>
      <c r="Y485" s="79"/>
      <c r="AD485" s="130"/>
      <c r="AF485" s="106"/>
    </row>
    <row r="486">
      <c r="C486" s="79"/>
      <c r="D486" s="79"/>
      <c r="E486" s="79"/>
      <c r="O486" s="79"/>
      <c r="S486" s="79"/>
      <c r="T486" s="79"/>
      <c r="Y486" s="79"/>
      <c r="AD486" s="130"/>
      <c r="AF486" s="106"/>
    </row>
    <row r="487">
      <c r="C487" s="79"/>
      <c r="D487" s="79"/>
      <c r="E487" s="79"/>
      <c r="O487" s="79"/>
      <c r="S487" s="79"/>
      <c r="T487" s="79"/>
      <c r="Y487" s="79"/>
      <c r="AD487" s="130"/>
      <c r="AF487" s="106"/>
    </row>
    <row r="488">
      <c r="C488" s="79"/>
      <c r="D488" s="79"/>
      <c r="E488" s="79"/>
      <c r="O488" s="79"/>
      <c r="S488" s="79"/>
      <c r="T488" s="79"/>
      <c r="Y488" s="79"/>
      <c r="AD488" s="130"/>
      <c r="AF488" s="106"/>
    </row>
    <row r="489">
      <c r="C489" s="79"/>
      <c r="D489" s="79"/>
      <c r="E489" s="79"/>
      <c r="O489" s="79"/>
      <c r="S489" s="79"/>
      <c r="T489" s="79"/>
      <c r="Y489" s="79"/>
      <c r="AD489" s="130"/>
      <c r="AF489" s="106"/>
    </row>
    <row r="490">
      <c r="C490" s="79"/>
      <c r="D490" s="79"/>
      <c r="E490" s="79"/>
      <c r="O490" s="79"/>
      <c r="S490" s="79"/>
      <c r="T490" s="79"/>
      <c r="Y490" s="79"/>
      <c r="AD490" s="130"/>
      <c r="AF490" s="106"/>
    </row>
    <row r="491">
      <c r="C491" s="79"/>
      <c r="D491" s="79"/>
      <c r="E491" s="79"/>
      <c r="O491" s="79"/>
      <c r="S491" s="79"/>
      <c r="T491" s="79"/>
      <c r="Y491" s="79"/>
      <c r="AD491" s="130"/>
      <c r="AF491" s="106"/>
    </row>
    <row r="492">
      <c r="C492" s="79"/>
      <c r="D492" s="79"/>
      <c r="E492" s="79"/>
      <c r="O492" s="79"/>
      <c r="S492" s="79"/>
      <c r="T492" s="79"/>
      <c r="Y492" s="79"/>
      <c r="AD492" s="130"/>
      <c r="AF492" s="106"/>
    </row>
    <row r="493">
      <c r="C493" s="79"/>
      <c r="D493" s="79"/>
      <c r="E493" s="79"/>
      <c r="O493" s="79"/>
      <c r="S493" s="79"/>
      <c r="T493" s="79"/>
      <c r="Y493" s="79"/>
      <c r="AD493" s="130"/>
      <c r="AF493" s="106"/>
    </row>
    <row r="494">
      <c r="C494" s="79"/>
      <c r="D494" s="79"/>
      <c r="E494" s="79"/>
      <c r="O494" s="79"/>
      <c r="S494" s="79"/>
      <c r="T494" s="79"/>
      <c r="Y494" s="79"/>
      <c r="AD494" s="130"/>
      <c r="AF494" s="106"/>
    </row>
    <row r="495">
      <c r="C495" s="79"/>
      <c r="D495" s="79"/>
      <c r="E495" s="79"/>
      <c r="O495" s="79"/>
      <c r="S495" s="79"/>
      <c r="T495" s="79"/>
      <c r="Y495" s="79"/>
      <c r="AD495" s="130"/>
      <c r="AF495" s="106"/>
    </row>
    <row r="496">
      <c r="C496" s="79"/>
      <c r="D496" s="79"/>
      <c r="E496" s="79"/>
      <c r="O496" s="79"/>
      <c r="S496" s="79"/>
      <c r="T496" s="79"/>
      <c r="Y496" s="79"/>
      <c r="AD496" s="130"/>
      <c r="AF496" s="106"/>
    </row>
    <row r="497">
      <c r="C497" s="79"/>
      <c r="D497" s="79"/>
      <c r="E497" s="79"/>
      <c r="O497" s="79"/>
      <c r="S497" s="79"/>
      <c r="T497" s="79"/>
      <c r="Y497" s="79"/>
      <c r="AD497" s="130"/>
      <c r="AF497" s="106"/>
    </row>
    <row r="498">
      <c r="C498" s="79"/>
      <c r="D498" s="79"/>
      <c r="E498" s="79"/>
      <c r="O498" s="79"/>
      <c r="S498" s="79"/>
      <c r="T498" s="79"/>
      <c r="Y498" s="79"/>
      <c r="AD498" s="130"/>
      <c r="AF498" s="106"/>
    </row>
    <row r="499">
      <c r="C499" s="79"/>
      <c r="D499" s="79"/>
      <c r="E499" s="79"/>
      <c r="O499" s="79"/>
      <c r="S499" s="79"/>
      <c r="T499" s="79"/>
      <c r="Y499" s="79"/>
      <c r="AD499" s="130"/>
      <c r="AF499" s="106"/>
    </row>
    <row r="500">
      <c r="C500" s="79"/>
      <c r="D500" s="79"/>
      <c r="E500" s="79"/>
      <c r="O500" s="79"/>
      <c r="S500" s="79"/>
      <c r="T500" s="79"/>
      <c r="Y500" s="79"/>
      <c r="AD500" s="130"/>
      <c r="AF500" s="106"/>
    </row>
    <row r="501">
      <c r="C501" s="79"/>
      <c r="D501" s="79"/>
      <c r="E501" s="79"/>
      <c r="O501" s="79"/>
      <c r="S501" s="79"/>
      <c r="T501" s="79"/>
      <c r="Y501" s="79"/>
      <c r="AD501" s="130"/>
      <c r="AF501" s="106"/>
    </row>
    <row r="502">
      <c r="C502" s="79"/>
      <c r="D502" s="79"/>
      <c r="E502" s="79"/>
      <c r="O502" s="79"/>
      <c r="S502" s="79"/>
      <c r="T502" s="79"/>
      <c r="Y502" s="79"/>
      <c r="AD502" s="130"/>
      <c r="AF502" s="106"/>
    </row>
    <row r="503">
      <c r="C503" s="79"/>
      <c r="D503" s="79"/>
      <c r="E503" s="79"/>
      <c r="O503" s="79"/>
      <c r="S503" s="79"/>
      <c r="T503" s="79"/>
      <c r="Y503" s="79"/>
      <c r="AD503" s="130"/>
      <c r="AF503" s="106"/>
    </row>
    <row r="504">
      <c r="C504" s="79"/>
      <c r="D504" s="79"/>
      <c r="E504" s="79"/>
      <c r="O504" s="79"/>
      <c r="S504" s="79"/>
      <c r="T504" s="79"/>
      <c r="Y504" s="79"/>
      <c r="AD504" s="130"/>
      <c r="AF504" s="106"/>
    </row>
    <row r="505">
      <c r="C505" s="79"/>
      <c r="D505" s="79"/>
      <c r="E505" s="79"/>
      <c r="O505" s="79"/>
      <c r="S505" s="79"/>
      <c r="T505" s="79"/>
      <c r="Y505" s="79"/>
      <c r="AD505" s="130"/>
      <c r="AF505" s="106"/>
    </row>
    <row r="506">
      <c r="C506" s="79"/>
      <c r="D506" s="79"/>
      <c r="E506" s="79"/>
      <c r="O506" s="79"/>
      <c r="S506" s="79"/>
      <c r="T506" s="79"/>
      <c r="Y506" s="79"/>
      <c r="AD506" s="130"/>
      <c r="AF506" s="106"/>
    </row>
    <row r="507">
      <c r="C507" s="79"/>
      <c r="D507" s="79"/>
      <c r="E507" s="79"/>
      <c r="O507" s="79"/>
      <c r="S507" s="79"/>
      <c r="T507" s="79"/>
      <c r="Y507" s="79"/>
      <c r="AD507" s="130"/>
      <c r="AF507" s="106"/>
    </row>
    <row r="508">
      <c r="C508" s="79"/>
      <c r="D508" s="79"/>
      <c r="E508" s="79"/>
      <c r="O508" s="79"/>
      <c r="S508" s="79"/>
      <c r="T508" s="79"/>
      <c r="Y508" s="79"/>
      <c r="AD508" s="130"/>
      <c r="AF508" s="106"/>
    </row>
    <row r="509">
      <c r="C509" s="79"/>
      <c r="D509" s="79"/>
      <c r="E509" s="79"/>
      <c r="O509" s="79"/>
      <c r="S509" s="79"/>
      <c r="T509" s="79"/>
      <c r="Y509" s="79"/>
      <c r="AD509" s="130"/>
      <c r="AF509" s="106"/>
    </row>
    <row r="510">
      <c r="C510" s="79"/>
      <c r="D510" s="79"/>
      <c r="E510" s="79"/>
      <c r="O510" s="79"/>
      <c r="S510" s="79"/>
      <c r="T510" s="79"/>
      <c r="Y510" s="79"/>
      <c r="AD510" s="130"/>
      <c r="AF510" s="106"/>
    </row>
    <row r="511">
      <c r="C511" s="79"/>
      <c r="D511" s="79"/>
      <c r="E511" s="79"/>
      <c r="O511" s="79"/>
      <c r="S511" s="79"/>
      <c r="T511" s="79"/>
      <c r="Y511" s="79"/>
      <c r="AD511" s="130"/>
      <c r="AF511" s="106"/>
    </row>
    <row r="512">
      <c r="C512" s="79"/>
      <c r="D512" s="79"/>
      <c r="E512" s="79"/>
      <c r="O512" s="79"/>
      <c r="S512" s="79"/>
      <c r="T512" s="79"/>
      <c r="Y512" s="79"/>
      <c r="AD512" s="130"/>
      <c r="AF512" s="106"/>
    </row>
    <row r="513">
      <c r="C513" s="79"/>
      <c r="D513" s="79"/>
      <c r="E513" s="79"/>
      <c r="O513" s="79"/>
      <c r="S513" s="79"/>
      <c r="T513" s="79"/>
      <c r="Y513" s="79"/>
      <c r="AD513" s="130"/>
      <c r="AF513" s="106"/>
    </row>
    <row r="514">
      <c r="C514" s="79"/>
      <c r="D514" s="79"/>
      <c r="E514" s="79"/>
      <c r="O514" s="79"/>
      <c r="S514" s="79"/>
      <c r="T514" s="79"/>
      <c r="Y514" s="79"/>
      <c r="AD514" s="130"/>
      <c r="AF514" s="106"/>
    </row>
    <row r="515">
      <c r="C515" s="79"/>
      <c r="D515" s="79"/>
      <c r="E515" s="79"/>
      <c r="O515" s="79"/>
      <c r="S515" s="79"/>
      <c r="T515" s="79"/>
      <c r="Y515" s="79"/>
      <c r="AD515" s="130"/>
      <c r="AF515" s="106"/>
    </row>
    <row r="516">
      <c r="C516" s="79"/>
      <c r="D516" s="79"/>
      <c r="E516" s="79"/>
      <c r="O516" s="79"/>
      <c r="S516" s="79"/>
      <c r="T516" s="79"/>
      <c r="Y516" s="79"/>
      <c r="AD516" s="130"/>
      <c r="AF516" s="106"/>
    </row>
    <row r="517">
      <c r="C517" s="79"/>
      <c r="D517" s="79"/>
      <c r="E517" s="79"/>
      <c r="O517" s="79"/>
      <c r="S517" s="79"/>
      <c r="T517" s="79"/>
      <c r="Y517" s="79"/>
      <c r="AD517" s="130"/>
      <c r="AF517" s="106"/>
    </row>
    <row r="518">
      <c r="C518" s="79"/>
      <c r="D518" s="79"/>
      <c r="E518" s="79"/>
      <c r="O518" s="79"/>
      <c r="S518" s="79"/>
      <c r="T518" s="79"/>
      <c r="Y518" s="79"/>
      <c r="AD518" s="130"/>
      <c r="AF518" s="106"/>
    </row>
    <row r="519">
      <c r="C519" s="79"/>
      <c r="D519" s="79"/>
      <c r="E519" s="79"/>
      <c r="O519" s="79"/>
      <c r="S519" s="79"/>
      <c r="T519" s="79"/>
      <c r="Y519" s="79"/>
      <c r="AD519" s="130"/>
      <c r="AF519" s="106"/>
    </row>
    <row r="520">
      <c r="C520" s="79"/>
      <c r="D520" s="79"/>
      <c r="E520" s="79"/>
      <c r="O520" s="79"/>
      <c r="S520" s="79"/>
      <c r="T520" s="79"/>
      <c r="Y520" s="79"/>
      <c r="AD520" s="130"/>
      <c r="AF520" s="106"/>
    </row>
    <row r="521">
      <c r="C521" s="79"/>
      <c r="D521" s="79"/>
      <c r="E521" s="79"/>
      <c r="O521" s="79"/>
      <c r="S521" s="79"/>
      <c r="T521" s="79"/>
      <c r="Y521" s="79"/>
      <c r="AD521" s="130"/>
      <c r="AF521" s="106"/>
    </row>
    <row r="522">
      <c r="C522" s="79"/>
      <c r="D522" s="79"/>
      <c r="E522" s="79"/>
      <c r="O522" s="79"/>
      <c r="S522" s="79"/>
      <c r="T522" s="79"/>
      <c r="Y522" s="79"/>
      <c r="AD522" s="130"/>
      <c r="AF522" s="106"/>
    </row>
    <row r="523">
      <c r="C523" s="79"/>
      <c r="D523" s="79"/>
      <c r="E523" s="79"/>
      <c r="O523" s="79"/>
      <c r="S523" s="79"/>
      <c r="T523" s="79"/>
      <c r="Y523" s="79"/>
      <c r="AD523" s="130"/>
      <c r="AF523" s="106"/>
    </row>
    <row r="524">
      <c r="C524" s="79"/>
      <c r="D524" s="79"/>
      <c r="E524" s="79"/>
      <c r="O524" s="79"/>
      <c r="S524" s="79"/>
      <c r="T524" s="79"/>
      <c r="Y524" s="79"/>
      <c r="AD524" s="130"/>
      <c r="AF524" s="106"/>
    </row>
    <row r="525">
      <c r="C525" s="79"/>
      <c r="D525" s="79"/>
      <c r="E525" s="79"/>
      <c r="O525" s="79"/>
      <c r="S525" s="79"/>
      <c r="T525" s="79"/>
      <c r="Y525" s="79"/>
      <c r="AD525" s="130"/>
      <c r="AF525" s="106"/>
    </row>
    <row r="526">
      <c r="C526" s="79"/>
      <c r="D526" s="79"/>
      <c r="E526" s="79"/>
      <c r="O526" s="79"/>
      <c r="S526" s="79"/>
      <c r="T526" s="79"/>
      <c r="Y526" s="79"/>
      <c r="AD526" s="130"/>
      <c r="AF526" s="106"/>
    </row>
    <row r="527">
      <c r="C527" s="79"/>
      <c r="D527" s="79"/>
      <c r="E527" s="79"/>
      <c r="O527" s="79"/>
      <c r="S527" s="79"/>
      <c r="T527" s="79"/>
      <c r="Y527" s="79"/>
      <c r="AD527" s="130"/>
      <c r="AF527" s="106"/>
    </row>
    <row r="528">
      <c r="C528" s="79"/>
      <c r="D528" s="79"/>
      <c r="E528" s="79"/>
      <c r="O528" s="79"/>
      <c r="S528" s="79"/>
      <c r="T528" s="79"/>
      <c r="Y528" s="79"/>
      <c r="AD528" s="130"/>
      <c r="AF528" s="106"/>
    </row>
    <row r="529">
      <c r="C529" s="79"/>
      <c r="D529" s="79"/>
      <c r="E529" s="79"/>
      <c r="O529" s="79"/>
      <c r="S529" s="79"/>
      <c r="T529" s="79"/>
      <c r="Y529" s="79"/>
      <c r="AD529" s="130"/>
      <c r="AF529" s="106"/>
    </row>
    <row r="530">
      <c r="C530" s="79"/>
      <c r="D530" s="79"/>
      <c r="E530" s="79"/>
      <c r="O530" s="79"/>
      <c r="S530" s="79"/>
      <c r="T530" s="79"/>
      <c r="Y530" s="79"/>
      <c r="AD530" s="130"/>
      <c r="AF530" s="106"/>
    </row>
    <row r="531">
      <c r="C531" s="79"/>
      <c r="D531" s="79"/>
      <c r="E531" s="79"/>
      <c r="O531" s="79"/>
      <c r="S531" s="79"/>
      <c r="T531" s="79"/>
      <c r="Y531" s="79"/>
      <c r="AD531" s="130"/>
      <c r="AF531" s="106"/>
    </row>
    <row r="532">
      <c r="C532" s="79"/>
      <c r="D532" s="79"/>
      <c r="E532" s="79"/>
      <c r="O532" s="79"/>
      <c r="S532" s="79"/>
      <c r="T532" s="79"/>
      <c r="Y532" s="79"/>
      <c r="AD532" s="130"/>
      <c r="AF532" s="106"/>
    </row>
    <row r="533">
      <c r="C533" s="79"/>
      <c r="D533" s="79"/>
      <c r="E533" s="79"/>
      <c r="O533" s="79"/>
      <c r="S533" s="79"/>
      <c r="T533" s="79"/>
      <c r="Y533" s="79"/>
      <c r="AD533" s="130"/>
      <c r="AF533" s="106"/>
    </row>
    <row r="534">
      <c r="C534" s="79"/>
      <c r="D534" s="79"/>
      <c r="E534" s="79"/>
      <c r="O534" s="79"/>
      <c r="S534" s="79"/>
      <c r="T534" s="79"/>
      <c r="Y534" s="79"/>
      <c r="AD534" s="130"/>
      <c r="AF534" s="106"/>
    </row>
    <row r="535">
      <c r="C535" s="79"/>
      <c r="D535" s="79"/>
      <c r="E535" s="79"/>
      <c r="O535" s="79"/>
      <c r="S535" s="79"/>
      <c r="T535" s="79"/>
      <c r="Y535" s="79"/>
      <c r="AD535" s="130"/>
      <c r="AF535" s="106"/>
    </row>
    <row r="536">
      <c r="C536" s="79"/>
      <c r="D536" s="79"/>
      <c r="E536" s="79"/>
      <c r="O536" s="79"/>
      <c r="S536" s="79"/>
      <c r="T536" s="79"/>
      <c r="Y536" s="79"/>
      <c r="AD536" s="130"/>
      <c r="AF536" s="106"/>
    </row>
    <row r="537">
      <c r="C537" s="79"/>
      <c r="D537" s="79"/>
      <c r="E537" s="79"/>
      <c r="O537" s="79"/>
      <c r="S537" s="79"/>
      <c r="T537" s="79"/>
      <c r="Y537" s="79"/>
      <c r="AD537" s="130"/>
      <c r="AF537" s="106"/>
    </row>
    <row r="538">
      <c r="C538" s="79"/>
      <c r="D538" s="79"/>
      <c r="E538" s="79"/>
      <c r="O538" s="79"/>
      <c r="S538" s="79"/>
      <c r="T538" s="79"/>
      <c r="Y538" s="79"/>
      <c r="AD538" s="130"/>
      <c r="AF538" s="106"/>
    </row>
    <row r="539">
      <c r="C539" s="79"/>
      <c r="D539" s="79"/>
      <c r="E539" s="79"/>
      <c r="O539" s="79"/>
      <c r="S539" s="79"/>
      <c r="T539" s="79"/>
      <c r="Y539" s="79"/>
      <c r="AD539" s="130"/>
      <c r="AF539" s="106"/>
    </row>
    <row r="540">
      <c r="C540" s="79"/>
      <c r="D540" s="79"/>
      <c r="E540" s="79"/>
      <c r="O540" s="79"/>
      <c r="S540" s="79"/>
      <c r="T540" s="79"/>
      <c r="Y540" s="79"/>
      <c r="AD540" s="130"/>
      <c r="AF540" s="106"/>
    </row>
    <row r="541">
      <c r="C541" s="79"/>
      <c r="D541" s="79"/>
      <c r="E541" s="79"/>
      <c r="O541" s="79"/>
      <c r="S541" s="79"/>
      <c r="T541" s="79"/>
      <c r="Y541" s="79"/>
      <c r="AD541" s="130"/>
      <c r="AF541" s="106"/>
    </row>
    <row r="542">
      <c r="C542" s="79"/>
      <c r="D542" s="79"/>
      <c r="E542" s="79"/>
      <c r="O542" s="79"/>
      <c r="S542" s="79"/>
      <c r="T542" s="79"/>
      <c r="Y542" s="79"/>
      <c r="AD542" s="130"/>
      <c r="AF542" s="106"/>
    </row>
    <row r="543">
      <c r="C543" s="79"/>
      <c r="D543" s="79"/>
      <c r="E543" s="79"/>
      <c r="O543" s="79"/>
      <c r="S543" s="79"/>
      <c r="T543" s="79"/>
      <c r="Y543" s="79"/>
      <c r="AD543" s="130"/>
      <c r="AF543" s="106"/>
    </row>
    <row r="544">
      <c r="C544" s="79"/>
      <c r="D544" s="79"/>
      <c r="E544" s="79"/>
      <c r="O544" s="79"/>
      <c r="S544" s="79"/>
      <c r="T544" s="79"/>
      <c r="Y544" s="79"/>
      <c r="AD544" s="130"/>
      <c r="AF544" s="106"/>
    </row>
    <row r="545">
      <c r="C545" s="79"/>
      <c r="D545" s="79"/>
      <c r="E545" s="79"/>
      <c r="O545" s="79"/>
      <c r="S545" s="79"/>
      <c r="T545" s="79"/>
      <c r="Y545" s="79"/>
      <c r="AD545" s="130"/>
      <c r="AF545" s="106"/>
    </row>
    <row r="546">
      <c r="C546" s="79"/>
      <c r="D546" s="79"/>
      <c r="E546" s="79"/>
      <c r="O546" s="79"/>
      <c r="S546" s="79"/>
      <c r="T546" s="79"/>
      <c r="Y546" s="79"/>
      <c r="AD546" s="130"/>
      <c r="AF546" s="106"/>
    </row>
    <row r="547">
      <c r="C547" s="79"/>
      <c r="D547" s="79"/>
      <c r="E547" s="79"/>
      <c r="O547" s="79"/>
      <c r="S547" s="79"/>
      <c r="T547" s="79"/>
      <c r="Y547" s="79"/>
      <c r="AD547" s="130"/>
      <c r="AF547" s="106"/>
    </row>
    <row r="548">
      <c r="C548" s="79"/>
      <c r="D548" s="79"/>
      <c r="E548" s="79"/>
      <c r="O548" s="79"/>
      <c r="S548" s="79"/>
      <c r="T548" s="79"/>
      <c r="Y548" s="79"/>
      <c r="AD548" s="130"/>
      <c r="AF548" s="106"/>
    </row>
    <row r="549">
      <c r="C549" s="79"/>
      <c r="D549" s="79"/>
      <c r="E549" s="79"/>
      <c r="O549" s="79"/>
      <c r="S549" s="79"/>
      <c r="T549" s="79"/>
      <c r="Y549" s="79"/>
      <c r="AD549" s="130"/>
      <c r="AF549" s="106"/>
    </row>
    <row r="550">
      <c r="C550" s="79"/>
      <c r="D550" s="79"/>
      <c r="E550" s="79"/>
      <c r="O550" s="79"/>
      <c r="S550" s="79"/>
      <c r="T550" s="79"/>
      <c r="Y550" s="79"/>
      <c r="AD550" s="130"/>
      <c r="AF550" s="106"/>
    </row>
    <row r="551">
      <c r="C551" s="79"/>
      <c r="D551" s="79"/>
      <c r="E551" s="79"/>
      <c r="O551" s="79"/>
      <c r="S551" s="79"/>
      <c r="T551" s="79"/>
      <c r="Y551" s="79"/>
      <c r="AD551" s="130"/>
      <c r="AF551" s="106"/>
    </row>
    <row r="552">
      <c r="C552" s="79"/>
      <c r="D552" s="79"/>
      <c r="E552" s="79"/>
      <c r="O552" s="79"/>
      <c r="S552" s="79"/>
      <c r="T552" s="79"/>
      <c r="Y552" s="79"/>
      <c r="AD552" s="130"/>
      <c r="AF552" s="106"/>
    </row>
    <row r="553">
      <c r="C553" s="79"/>
      <c r="D553" s="79"/>
      <c r="E553" s="79"/>
      <c r="O553" s="79"/>
      <c r="S553" s="79"/>
      <c r="T553" s="79"/>
      <c r="Y553" s="79"/>
      <c r="AD553" s="130"/>
      <c r="AF553" s="106"/>
    </row>
    <row r="554">
      <c r="C554" s="79"/>
      <c r="D554" s="79"/>
      <c r="E554" s="79"/>
      <c r="O554" s="79"/>
      <c r="S554" s="79"/>
      <c r="T554" s="79"/>
      <c r="Y554" s="79"/>
      <c r="AD554" s="130"/>
      <c r="AF554" s="106"/>
    </row>
    <row r="555">
      <c r="C555" s="79"/>
      <c r="D555" s="79"/>
      <c r="E555" s="79"/>
      <c r="O555" s="79"/>
      <c r="S555" s="79"/>
      <c r="T555" s="79"/>
      <c r="Y555" s="79"/>
      <c r="AD555" s="130"/>
      <c r="AF555" s="106"/>
    </row>
    <row r="556">
      <c r="C556" s="79"/>
      <c r="D556" s="79"/>
      <c r="E556" s="79"/>
      <c r="O556" s="79"/>
      <c r="S556" s="79"/>
      <c r="T556" s="79"/>
      <c r="Y556" s="79"/>
      <c r="AD556" s="130"/>
      <c r="AF556" s="106"/>
    </row>
    <row r="557">
      <c r="C557" s="79"/>
      <c r="D557" s="79"/>
      <c r="E557" s="79"/>
      <c r="O557" s="79"/>
      <c r="S557" s="79"/>
      <c r="T557" s="79"/>
      <c r="Y557" s="79"/>
      <c r="AD557" s="130"/>
      <c r="AF557" s="106"/>
    </row>
    <row r="558">
      <c r="C558" s="79"/>
      <c r="D558" s="79"/>
      <c r="E558" s="79"/>
      <c r="O558" s="79"/>
      <c r="S558" s="79"/>
      <c r="T558" s="79"/>
      <c r="Y558" s="79"/>
      <c r="AD558" s="130"/>
      <c r="AF558" s="106"/>
    </row>
    <row r="559">
      <c r="C559" s="79"/>
      <c r="D559" s="79"/>
      <c r="E559" s="79"/>
      <c r="O559" s="79"/>
      <c r="S559" s="79"/>
      <c r="T559" s="79"/>
      <c r="Y559" s="79"/>
      <c r="AD559" s="130"/>
      <c r="AF559" s="106"/>
    </row>
    <row r="560">
      <c r="C560" s="79"/>
      <c r="D560" s="79"/>
      <c r="E560" s="79"/>
      <c r="O560" s="79"/>
      <c r="S560" s="79"/>
      <c r="T560" s="79"/>
      <c r="Y560" s="79"/>
      <c r="AD560" s="130"/>
      <c r="AF560" s="106"/>
    </row>
    <row r="561">
      <c r="C561" s="79"/>
      <c r="D561" s="79"/>
      <c r="E561" s="79"/>
      <c r="O561" s="79"/>
      <c r="S561" s="79"/>
      <c r="T561" s="79"/>
      <c r="Y561" s="79"/>
      <c r="AD561" s="130"/>
      <c r="AF561" s="106"/>
    </row>
    <row r="562">
      <c r="C562" s="79"/>
      <c r="D562" s="79"/>
      <c r="E562" s="79"/>
      <c r="O562" s="79"/>
      <c r="S562" s="79"/>
      <c r="T562" s="79"/>
      <c r="Y562" s="79"/>
      <c r="AD562" s="130"/>
      <c r="AF562" s="106"/>
    </row>
    <row r="563">
      <c r="C563" s="79"/>
      <c r="D563" s="79"/>
      <c r="E563" s="79"/>
      <c r="O563" s="79"/>
      <c r="S563" s="79"/>
      <c r="T563" s="79"/>
      <c r="Y563" s="79"/>
      <c r="AD563" s="130"/>
      <c r="AF563" s="106"/>
    </row>
    <row r="564">
      <c r="C564" s="79"/>
      <c r="D564" s="79"/>
      <c r="E564" s="79"/>
      <c r="O564" s="79"/>
      <c r="S564" s="79"/>
      <c r="T564" s="79"/>
      <c r="Y564" s="79"/>
      <c r="AD564" s="130"/>
      <c r="AF564" s="106"/>
    </row>
    <row r="565">
      <c r="C565" s="79"/>
      <c r="D565" s="79"/>
      <c r="E565" s="79"/>
      <c r="O565" s="79"/>
      <c r="S565" s="79"/>
      <c r="T565" s="79"/>
      <c r="Y565" s="79"/>
      <c r="AD565" s="130"/>
      <c r="AF565" s="106"/>
    </row>
    <row r="566">
      <c r="C566" s="79"/>
      <c r="D566" s="79"/>
      <c r="E566" s="79"/>
      <c r="O566" s="79"/>
      <c r="S566" s="79"/>
      <c r="T566" s="79"/>
      <c r="Y566" s="79"/>
      <c r="AD566" s="130"/>
      <c r="AF566" s="106"/>
    </row>
    <row r="567">
      <c r="C567" s="79"/>
      <c r="D567" s="79"/>
      <c r="E567" s="79"/>
      <c r="O567" s="79"/>
      <c r="S567" s="79"/>
      <c r="T567" s="79"/>
      <c r="Y567" s="79"/>
      <c r="AD567" s="130"/>
      <c r="AF567" s="106"/>
    </row>
    <row r="568">
      <c r="C568" s="79"/>
      <c r="D568" s="79"/>
      <c r="E568" s="79"/>
      <c r="O568" s="79"/>
      <c r="S568" s="79"/>
      <c r="T568" s="79"/>
      <c r="Y568" s="79"/>
      <c r="AD568" s="130"/>
      <c r="AF568" s="106"/>
    </row>
    <row r="569">
      <c r="C569" s="79"/>
      <c r="D569" s="79"/>
      <c r="E569" s="79"/>
      <c r="O569" s="79"/>
      <c r="S569" s="79"/>
      <c r="T569" s="79"/>
      <c r="Y569" s="79"/>
      <c r="AD569" s="130"/>
      <c r="AF569" s="106"/>
    </row>
    <row r="570">
      <c r="C570" s="79"/>
      <c r="D570" s="79"/>
      <c r="E570" s="79"/>
      <c r="O570" s="79"/>
      <c r="S570" s="79"/>
      <c r="T570" s="79"/>
      <c r="Y570" s="79"/>
      <c r="AD570" s="130"/>
      <c r="AF570" s="106"/>
    </row>
    <row r="571">
      <c r="C571" s="79"/>
      <c r="D571" s="79"/>
      <c r="E571" s="79"/>
      <c r="O571" s="79"/>
      <c r="S571" s="79"/>
      <c r="T571" s="79"/>
      <c r="Y571" s="79"/>
      <c r="AD571" s="130"/>
      <c r="AF571" s="106"/>
    </row>
    <row r="572">
      <c r="C572" s="79"/>
      <c r="D572" s="79"/>
      <c r="E572" s="79"/>
      <c r="O572" s="79"/>
      <c r="S572" s="79"/>
      <c r="T572" s="79"/>
      <c r="Y572" s="79"/>
      <c r="AD572" s="130"/>
      <c r="AF572" s="106"/>
    </row>
    <row r="573">
      <c r="C573" s="79"/>
      <c r="D573" s="79"/>
      <c r="E573" s="79"/>
      <c r="O573" s="79"/>
      <c r="S573" s="79"/>
      <c r="T573" s="79"/>
      <c r="Y573" s="79"/>
      <c r="AD573" s="130"/>
      <c r="AF573" s="106"/>
    </row>
    <row r="574">
      <c r="C574" s="79"/>
      <c r="D574" s="79"/>
      <c r="E574" s="79"/>
      <c r="O574" s="79"/>
      <c r="S574" s="79"/>
      <c r="T574" s="79"/>
      <c r="Y574" s="79"/>
      <c r="AD574" s="130"/>
      <c r="AF574" s="106"/>
    </row>
    <row r="575">
      <c r="C575" s="79"/>
      <c r="D575" s="79"/>
      <c r="E575" s="79"/>
      <c r="O575" s="79"/>
      <c r="S575" s="79"/>
      <c r="T575" s="79"/>
      <c r="Y575" s="79"/>
      <c r="AD575" s="130"/>
      <c r="AF575" s="106"/>
    </row>
    <row r="576">
      <c r="C576" s="79"/>
      <c r="D576" s="79"/>
      <c r="E576" s="79"/>
      <c r="O576" s="79"/>
      <c r="S576" s="79"/>
      <c r="T576" s="79"/>
      <c r="Y576" s="79"/>
      <c r="AD576" s="130"/>
      <c r="AF576" s="106"/>
    </row>
    <row r="577">
      <c r="C577" s="79"/>
      <c r="D577" s="79"/>
      <c r="E577" s="79"/>
      <c r="O577" s="79"/>
      <c r="S577" s="79"/>
      <c r="T577" s="79"/>
      <c r="Y577" s="79"/>
      <c r="AD577" s="130"/>
      <c r="AF577" s="106"/>
    </row>
    <row r="578">
      <c r="C578" s="79"/>
      <c r="D578" s="79"/>
      <c r="E578" s="79"/>
      <c r="O578" s="79"/>
      <c r="S578" s="79"/>
      <c r="T578" s="79"/>
      <c r="Y578" s="79"/>
      <c r="AD578" s="130"/>
      <c r="AF578" s="106"/>
    </row>
    <row r="579">
      <c r="C579" s="79"/>
      <c r="D579" s="79"/>
      <c r="E579" s="79"/>
      <c r="O579" s="79"/>
      <c r="S579" s="79"/>
      <c r="T579" s="79"/>
      <c r="Y579" s="79"/>
      <c r="AD579" s="130"/>
      <c r="AF579" s="106"/>
    </row>
    <row r="580">
      <c r="C580" s="79"/>
      <c r="D580" s="79"/>
      <c r="E580" s="79"/>
      <c r="O580" s="79"/>
      <c r="S580" s="79"/>
      <c r="T580" s="79"/>
      <c r="Y580" s="79"/>
      <c r="AD580" s="130"/>
      <c r="AF580" s="106"/>
    </row>
    <row r="581">
      <c r="C581" s="79"/>
      <c r="D581" s="79"/>
      <c r="E581" s="79"/>
      <c r="O581" s="79"/>
      <c r="S581" s="79"/>
      <c r="T581" s="79"/>
      <c r="Y581" s="79"/>
      <c r="AD581" s="130"/>
      <c r="AF581" s="106"/>
    </row>
    <row r="582">
      <c r="C582" s="79"/>
      <c r="D582" s="79"/>
      <c r="E582" s="79"/>
      <c r="O582" s="79"/>
      <c r="S582" s="79"/>
      <c r="T582" s="79"/>
      <c r="Y582" s="79"/>
      <c r="AD582" s="130"/>
      <c r="AF582" s="106"/>
    </row>
    <row r="583">
      <c r="C583" s="79"/>
      <c r="D583" s="79"/>
      <c r="E583" s="79"/>
      <c r="O583" s="79"/>
      <c r="S583" s="79"/>
      <c r="T583" s="79"/>
      <c r="Y583" s="79"/>
      <c r="AD583" s="130"/>
      <c r="AF583" s="106"/>
    </row>
    <row r="584">
      <c r="C584" s="79"/>
      <c r="D584" s="79"/>
      <c r="E584" s="79"/>
      <c r="O584" s="79"/>
      <c r="S584" s="79"/>
      <c r="T584" s="79"/>
      <c r="Y584" s="79"/>
      <c r="AD584" s="130"/>
      <c r="AF584" s="106"/>
    </row>
    <row r="585">
      <c r="C585" s="79"/>
      <c r="D585" s="79"/>
      <c r="E585" s="79"/>
      <c r="O585" s="79"/>
      <c r="S585" s="79"/>
      <c r="T585" s="79"/>
      <c r="Y585" s="79"/>
      <c r="AD585" s="130"/>
      <c r="AF585" s="106"/>
    </row>
    <row r="586">
      <c r="C586" s="79"/>
      <c r="D586" s="79"/>
      <c r="E586" s="79"/>
      <c r="O586" s="79"/>
      <c r="S586" s="79"/>
      <c r="T586" s="79"/>
      <c r="Y586" s="79"/>
      <c r="AD586" s="130"/>
      <c r="AF586" s="106"/>
    </row>
    <row r="587">
      <c r="C587" s="79"/>
      <c r="D587" s="79"/>
      <c r="E587" s="79"/>
      <c r="O587" s="79"/>
      <c r="S587" s="79"/>
      <c r="T587" s="79"/>
      <c r="Y587" s="79"/>
      <c r="AD587" s="130"/>
      <c r="AF587" s="106"/>
    </row>
    <row r="588">
      <c r="C588" s="79"/>
      <c r="D588" s="79"/>
      <c r="E588" s="79"/>
      <c r="O588" s="79"/>
      <c r="S588" s="79"/>
      <c r="T588" s="79"/>
      <c r="Y588" s="79"/>
      <c r="AD588" s="130"/>
      <c r="AF588" s="106"/>
    </row>
    <row r="589">
      <c r="C589" s="79"/>
      <c r="D589" s="79"/>
      <c r="E589" s="79"/>
      <c r="O589" s="79"/>
      <c r="S589" s="79"/>
      <c r="T589" s="79"/>
      <c r="Y589" s="79"/>
      <c r="AD589" s="130"/>
      <c r="AF589" s="106"/>
    </row>
    <row r="590">
      <c r="C590" s="79"/>
      <c r="D590" s="79"/>
      <c r="E590" s="79"/>
      <c r="O590" s="79"/>
      <c r="S590" s="79"/>
      <c r="T590" s="79"/>
      <c r="Y590" s="79"/>
      <c r="AD590" s="130"/>
      <c r="AF590" s="106"/>
    </row>
    <row r="591">
      <c r="C591" s="79"/>
      <c r="D591" s="79"/>
      <c r="E591" s="79"/>
      <c r="O591" s="79"/>
      <c r="S591" s="79"/>
      <c r="T591" s="79"/>
      <c r="Y591" s="79"/>
      <c r="AD591" s="130"/>
      <c r="AF591" s="106"/>
    </row>
    <row r="592">
      <c r="C592" s="79"/>
      <c r="D592" s="79"/>
      <c r="E592" s="79"/>
      <c r="O592" s="79"/>
      <c r="S592" s="79"/>
      <c r="T592" s="79"/>
      <c r="Y592" s="79"/>
      <c r="AD592" s="130"/>
      <c r="AF592" s="106"/>
    </row>
    <row r="593">
      <c r="C593" s="79"/>
      <c r="D593" s="79"/>
      <c r="E593" s="79"/>
      <c r="O593" s="79"/>
      <c r="S593" s="79"/>
      <c r="T593" s="79"/>
      <c r="Y593" s="79"/>
      <c r="AD593" s="130"/>
      <c r="AF593" s="106"/>
    </row>
    <row r="594">
      <c r="C594" s="79"/>
      <c r="D594" s="79"/>
      <c r="E594" s="79"/>
      <c r="O594" s="79"/>
      <c r="S594" s="79"/>
      <c r="T594" s="79"/>
      <c r="Y594" s="79"/>
      <c r="AD594" s="130"/>
      <c r="AF594" s="106"/>
    </row>
    <row r="595">
      <c r="C595" s="79"/>
      <c r="D595" s="79"/>
      <c r="E595" s="79"/>
      <c r="O595" s="79"/>
      <c r="S595" s="79"/>
      <c r="T595" s="79"/>
      <c r="Y595" s="79"/>
      <c r="AD595" s="130"/>
      <c r="AF595" s="106"/>
    </row>
    <row r="596">
      <c r="C596" s="79"/>
      <c r="D596" s="79"/>
      <c r="E596" s="79"/>
      <c r="O596" s="79"/>
      <c r="S596" s="79"/>
      <c r="T596" s="79"/>
      <c r="Y596" s="79"/>
      <c r="AD596" s="130"/>
      <c r="AF596" s="106"/>
    </row>
    <row r="597">
      <c r="C597" s="79"/>
      <c r="D597" s="79"/>
      <c r="E597" s="79"/>
      <c r="O597" s="79"/>
      <c r="S597" s="79"/>
      <c r="T597" s="79"/>
      <c r="Y597" s="79"/>
      <c r="AD597" s="130"/>
      <c r="AF597" s="106"/>
    </row>
    <row r="598">
      <c r="C598" s="79"/>
      <c r="D598" s="79"/>
      <c r="E598" s="79"/>
      <c r="O598" s="79"/>
      <c r="S598" s="79"/>
      <c r="T598" s="79"/>
      <c r="Y598" s="79"/>
      <c r="AD598" s="130"/>
      <c r="AF598" s="106"/>
    </row>
    <row r="599">
      <c r="C599" s="79"/>
      <c r="D599" s="79"/>
      <c r="E599" s="79"/>
      <c r="O599" s="79"/>
      <c r="S599" s="79"/>
      <c r="T599" s="79"/>
      <c r="Y599" s="79"/>
      <c r="AD599" s="130"/>
      <c r="AF599" s="106"/>
    </row>
    <row r="600">
      <c r="C600" s="79"/>
      <c r="D600" s="79"/>
      <c r="E600" s="79"/>
      <c r="O600" s="79"/>
      <c r="S600" s="79"/>
      <c r="T600" s="79"/>
      <c r="Y600" s="79"/>
      <c r="AD600" s="130"/>
      <c r="AF600" s="106"/>
    </row>
    <row r="601">
      <c r="C601" s="79"/>
      <c r="D601" s="79"/>
      <c r="E601" s="79"/>
      <c r="O601" s="79"/>
      <c r="S601" s="79"/>
      <c r="T601" s="79"/>
      <c r="Y601" s="79"/>
      <c r="AD601" s="130"/>
      <c r="AF601" s="106"/>
    </row>
    <row r="602">
      <c r="C602" s="79"/>
      <c r="D602" s="79"/>
      <c r="E602" s="79"/>
      <c r="O602" s="79"/>
      <c r="S602" s="79"/>
      <c r="T602" s="79"/>
      <c r="Y602" s="79"/>
      <c r="AD602" s="130"/>
      <c r="AF602" s="106"/>
    </row>
    <row r="603">
      <c r="C603" s="79"/>
      <c r="D603" s="79"/>
      <c r="E603" s="79"/>
      <c r="O603" s="79"/>
      <c r="S603" s="79"/>
      <c r="T603" s="79"/>
      <c r="Y603" s="79"/>
      <c r="AD603" s="130"/>
      <c r="AF603" s="106"/>
    </row>
    <row r="604">
      <c r="C604" s="79"/>
      <c r="D604" s="79"/>
      <c r="E604" s="79"/>
      <c r="O604" s="79"/>
      <c r="S604" s="79"/>
      <c r="T604" s="79"/>
      <c r="Y604" s="79"/>
      <c r="AD604" s="130"/>
      <c r="AF604" s="106"/>
    </row>
    <row r="605">
      <c r="C605" s="79"/>
      <c r="D605" s="79"/>
      <c r="E605" s="79"/>
      <c r="O605" s="79"/>
      <c r="S605" s="79"/>
      <c r="T605" s="79"/>
      <c r="Y605" s="79"/>
      <c r="AD605" s="130"/>
      <c r="AF605" s="106"/>
    </row>
    <row r="606">
      <c r="C606" s="79"/>
      <c r="D606" s="79"/>
      <c r="E606" s="79"/>
      <c r="O606" s="79"/>
      <c r="S606" s="79"/>
      <c r="T606" s="79"/>
      <c r="Y606" s="79"/>
      <c r="AD606" s="130"/>
      <c r="AF606" s="106"/>
    </row>
    <row r="607">
      <c r="C607" s="79"/>
      <c r="D607" s="79"/>
      <c r="E607" s="79"/>
      <c r="O607" s="79"/>
      <c r="S607" s="79"/>
      <c r="T607" s="79"/>
      <c r="Y607" s="79"/>
      <c r="AD607" s="130"/>
      <c r="AF607" s="106"/>
    </row>
    <row r="608">
      <c r="C608" s="79"/>
      <c r="D608" s="79"/>
      <c r="E608" s="79"/>
      <c r="O608" s="79"/>
      <c r="S608" s="79"/>
      <c r="T608" s="79"/>
      <c r="Y608" s="79"/>
      <c r="AD608" s="130"/>
      <c r="AF608" s="106"/>
    </row>
    <row r="609">
      <c r="C609" s="79"/>
      <c r="D609" s="79"/>
      <c r="E609" s="79"/>
      <c r="O609" s="79"/>
      <c r="S609" s="79"/>
      <c r="T609" s="79"/>
      <c r="Y609" s="79"/>
      <c r="AD609" s="130"/>
      <c r="AF609" s="106"/>
    </row>
    <row r="610">
      <c r="C610" s="79"/>
      <c r="D610" s="79"/>
      <c r="E610" s="79"/>
      <c r="O610" s="79"/>
      <c r="S610" s="79"/>
      <c r="T610" s="79"/>
      <c r="Y610" s="79"/>
      <c r="AD610" s="130"/>
      <c r="AF610" s="106"/>
    </row>
    <row r="611">
      <c r="C611" s="79"/>
      <c r="D611" s="79"/>
      <c r="E611" s="79"/>
      <c r="O611" s="79"/>
      <c r="S611" s="79"/>
      <c r="T611" s="79"/>
      <c r="Y611" s="79"/>
      <c r="AD611" s="130"/>
      <c r="AF611" s="106"/>
    </row>
    <row r="612">
      <c r="C612" s="79"/>
      <c r="D612" s="79"/>
      <c r="E612" s="79"/>
      <c r="O612" s="79"/>
      <c r="S612" s="79"/>
      <c r="T612" s="79"/>
      <c r="Y612" s="79"/>
      <c r="AD612" s="130"/>
      <c r="AF612" s="106"/>
    </row>
    <row r="613">
      <c r="C613" s="79"/>
      <c r="D613" s="79"/>
      <c r="E613" s="79"/>
      <c r="O613" s="79"/>
      <c r="S613" s="79"/>
      <c r="T613" s="79"/>
      <c r="Y613" s="79"/>
      <c r="AD613" s="130"/>
      <c r="AF613" s="106"/>
    </row>
    <row r="614">
      <c r="C614" s="79"/>
      <c r="D614" s="79"/>
      <c r="E614" s="79"/>
      <c r="O614" s="79"/>
      <c r="S614" s="79"/>
      <c r="T614" s="79"/>
      <c r="Y614" s="79"/>
      <c r="AD614" s="130"/>
      <c r="AF614" s="106"/>
    </row>
    <row r="615">
      <c r="C615" s="79"/>
      <c r="D615" s="79"/>
      <c r="E615" s="79"/>
      <c r="O615" s="79"/>
      <c r="S615" s="79"/>
      <c r="T615" s="79"/>
      <c r="Y615" s="79"/>
      <c r="AD615" s="130"/>
      <c r="AF615" s="106"/>
    </row>
    <row r="616">
      <c r="C616" s="79"/>
      <c r="D616" s="79"/>
      <c r="E616" s="79"/>
      <c r="O616" s="79"/>
      <c r="S616" s="79"/>
      <c r="T616" s="79"/>
      <c r="Y616" s="79"/>
      <c r="AD616" s="130"/>
      <c r="AF616" s="106"/>
    </row>
    <row r="617">
      <c r="C617" s="79"/>
      <c r="D617" s="79"/>
      <c r="E617" s="79"/>
      <c r="O617" s="79"/>
      <c r="S617" s="79"/>
      <c r="T617" s="79"/>
      <c r="Y617" s="79"/>
      <c r="AD617" s="130"/>
      <c r="AF617" s="106"/>
    </row>
    <row r="618">
      <c r="C618" s="79"/>
      <c r="D618" s="79"/>
      <c r="E618" s="79"/>
      <c r="O618" s="79"/>
      <c r="S618" s="79"/>
      <c r="T618" s="79"/>
      <c r="Y618" s="79"/>
      <c r="AD618" s="130"/>
      <c r="AF618" s="106"/>
    </row>
    <row r="619">
      <c r="C619" s="79"/>
      <c r="D619" s="79"/>
      <c r="E619" s="79"/>
      <c r="O619" s="79"/>
      <c r="S619" s="79"/>
      <c r="T619" s="79"/>
      <c r="Y619" s="79"/>
      <c r="AD619" s="130"/>
      <c r="AF619" s="106"/>
    </row>
    <row r="620">
      <c r="C620" s="79"/>
      <c r="D620" s="79"/>
      <c r="E620" s="79"/>
      <c r="O620" s="79"/>
      <c r="S620" s="79"/>
      <c r="T620" s="79"/>
      <c r="Y620" s="79"/>
      <c r="AD620" s="130"/>
      <c r="AF620" s="106"/>
    </row>
    <row r="621">
      <c r="C621" s="79"/>
      <c r="D621" s="79"/>
      <c r="E621" s="79"/>
      <c r="O621" s="79"/>
      <c r="S621" s="79"/>
      <c r="T621" s="79"/>
      <c r="Y621" s="79"/>
      <c r="AD621" s="130"/>
      <c r="AF621" s="106"/>
    </row>
    <row r="622">
      <c r="C622" s="79"/>
      <c r="D622" s="79"/>
      <c r="E622" s="79"/>
      <c r="O622" s="79"/>
      <c r="S622" s="79"/>
      <c r="T622" s="79"/>
      <c r="Y622" s="79"/>
      <c r="AD622" s="130"/>
      <c r="AF622" s="106"/>
    </row>
    <row r="623">
      <c r="C623" s="79"/>
      <c r="D623" s="79"/>
      <c r="E623" s="79"/>
      <c r="O623" s="79"/>
      <c r="S623" s="79"/>
      <c r="T623" s="79"/>
      <c r="Y623" s="79"/>
      <c r="AD623" s="130"/>
      <c r="AF623" s="106"/>
    </row>
    <row r="624">
      <c r="C624" s="79"/>
      <c r="D624" s="79"/>
      <c r="E624" s="79"/>
      <c r="O624" s="79"/>
      <c r="S624" s="79"/>
      <c r="T624" s="79"/>
      <c r="Y624" s="79"/>
      <c r="AD624" s="130"/>
      <c r="AF624" s="106"/>
    </row>
    <row r="625">
      <c r="C625" s="79"/>
      <c r="D625" s="79"/>
      <c r="E625" s="79"/>
      <c r="O625" s="79"/>
      <c r="S625" s="79"/>
      <c r="T625" s="79"/>
      <c r="Y625" s="79"/>
      <c r="AD625" s="130"/>
      <c r="AF625" s="106"/>
    </row>
    <row r="626">
      <c r="C626" s="79"/>
      <c r="D626" s="79"/>
      <c r="E626" s="79"/>
      <c r="O626" s="79"/>
      <c r="S626" s="79"/>
      <c r="T626" s="79"/>
      <c r="Y626" s="79"/>
      <c r="AD626" s="130"/>
      <c r="AF626" s="106"/>
    </row>
    <row r="627">
      <c r="C627" s="79"/>
      <c r="D627" s="79"/>
      <c r="E627" s="79"/>
      <c r="O627" s="79"/>
      <c r="S627" s="79"/>
      <c r="T627" s="79"/>
      <c r="Y627" s="79"/>
      <c r="AD627" s="130"/>
      <c r="AF627" s="106"/>
    </row>
    <row r="628">
      <c r="C628" s="79"/>
      <c r="D628" s="79"/>
      <c r="E628" s="79"/>
      <c r="O628" s="79"/>
      <c r="S628" s="79"/>
      <c r="T628" s="79"/>
      <c r="Y628" s="79"/>
      <c r="AD628" s="130"/>
      <c r="AF628" s="106"/>
    </row>
    <row r="629">
      <c r="C629" s="79"/>
      <c r="D629" s="79"/>
      <c r="E629" s="79"/>
      <c r="O629" s="79"/>
      <c r="S629" s="79"/>
      <c r="T629" s="79"/>
      <c r="Y629" s="79"/>
      <c r="AD629" s="130"/>
      <c r="AF629" s="106"/>
    </row>
    <row r="630">
      <c r="C630" s="79"/>
      <c r="D630" s="79"/>
      <c r="E630" s="79"/>
      <c r="O630" s="79"/>
      <c r="S630" s="79"/>
      <c r="T630" s="79"/>
      <c r="Y630" s="79"/>
      <c r="AD630" s="130"/>
      <c r="AF630" s="106"/>
    </row>
    <row r="631">
      <c r="C631" s="79"/>
      <c r="D631" s="79"/>
      <c r="E631" s="79"/>
      <c r="O631" s="79"/>
      <c r="S631" s="79"/>
      <c r="T631" s="79"/>
      <c r="Y631" s="79"/>
      <c r="AD631" s="130"/>
      <c r="AF631" s="106"/>
    </row>
    <row r="632">
      <c r="C632" s="79"/>
      <c r="D632" s="79"/>
      <c r="E632" s="79"/>
      <c r="O632" s="79"/>
      <c r="S632" s="79"/>
      <c r="T632" s="79"/>
      <c r="Y632" s="79"/>
      <c r="AD632" s="130"/>
      <c r="AF632" s="106"/>
    </row>
    <row r="633">
      <c r="C633" s="79"/>
      <c r="D633" s="79"/>
      <c r="E633" s="79"/>
      <c r="O633" s="79"/>
      <c r="S633" s="79"/>
      <c r="T633" s="79"/>
      <c r="Y633" s="79"/>
      <c r="AD633" s="130"/>
      <c r="AF633" s="106"/>
    </row>
    <row r="634">
      <c r="C634" s="79"/>
      <c r="D634" s="79"/>
      <c r="E634" s="79"/>
      <c r="O634" s="79"/>
      <c r="S634" s="79"/>
      <c r="T634" s="79"/>
      <c r="Y634" s="79"/>
      <c r="AD634" s="130"/>
      <c r="AF634" s="106"/>
    </row>
    <row r="635">
      <c r="C635" s="79"/>
      <c r="D635" s="79"/>
      <c r="E635" s="79"/>
      <c r="O635" s="79"/>
      <c r="S635" s="79"/>
      <c r="T635" s="79"/>
      <c r="Y635" s="79"/>
      <c r="AD635" s="130"/>
      <c r="AF635" s="106"/>
    </row>
    <row r="636">
      <c r="C636" s="79"/>
      <c r="D636" s="79"/>
      <c r="E636" s="79"/>
      <c r="O636" s="79"/>
      <c r="S636" s="79"/>
      <c r="T636" s="79"/>
      <c r="Y636" s="79"/>
      <c r="AD636" s="130"/>
      <c r="AF636" s="106"/>
    </row>
    <row r="637">
      <c r="C637" s="79"/>
      <c r="D637" s="79"/>
      <c r="E637" s="79"/>
      <c r="O637" s="79"/>
      <c r="S637" s="79"/>
      <c r="T637" s="79"/>
      <c r="Y637" s="79"/>
      <c r="AD637" s="130"/>
      <c r="AF637" s="106"/>
    </row>
    <row r="638">
      <c r="C638" s="79"/>
      <c r="D638" s="79"/>
      <c r="E638" s="79"/>
      <c r="O638" s="79"/>
      <c r="S638" s="79"/>
      <c r="T638" s="79"/>
      <c r="Y638" s="79"/>
      <c r="AD638" s="130"/>
      <c r="AF638" s="106"/>
    </row>
    <row r="639">
      <c r="C639" s="79"/>
      <c r="D639" s="79"/>
      <c r="E639" s="79"/>
      <c r="O639" s="79"/>
      <c r="S639" s="79"/>
      <c r="T639" s="79"/>
      <c r="Y639" s="79"/>
      <c r="AD639" s="130"/>
      <c r="AF639" s="106"/>
    </row>
    <row r="640">
      <c r="C640" s="79"/>
      <c r="D640" s="79"/>
      <c r="E640" s="79"/>
      <c r="O640" s="79"/>
      <c r="S640" s="79"/>
      <c r="T640" s="79"/>
      <c r="Y640" s="79"/>
      <c r="AD640" s="130"/>
      <c r="AF640" s="106"/>
    </row>
    <row r="641">
      <c r="C641" s="79"/>
      <c r="D641" s="79"/>
      <c r="E641" s="79"/>
      <c r="O641" s="79"/>
      <c r="S641" s="79"/>
      <c r="T641" s="79"/>
      <c r="Y641" s="79"/>
      <c r="AD641" s="130"/>
      <c r="AF641" s="106"/>
    </row>
    <row r="642">
      <c r="C642" s="79"/>
      <c r="D642" s="79"/>
      <c r="E642" s="79"/>
      <c r="O642" s="79"/>
      <c r="S642" s="79"/>
      <c r="T642" s="79"/>
      <c r="Y642" s="79"/>
      <c r="AD642" s="130"/>
      <c r="AF642" s="106"/>
    </row>
    <row r="643">
      <c r="C643" s="79"/>
      <c r="D643" s="79"/>
      <c r="E643" s="79"/>
      <c r="O643" s="79"/>
      <c r="S643" s="79"/>
      <c r="T643" s="79"/>
      <c r="Y643" s="79"/>
      <c r="AD643" s="130"/>
      <c r="AF643" s="106"/>
    </row>
    <row r="644">
      <c r="C644" s="79"/>
      <c r="D644" s="79"/>
      <c r="E644" s="79"/>
      <c r="O644" s="79"/>
      <c r="S644" s="79"/>
      <c r="T644" s="79"/>
      <c r="Y644" s="79"/>
      <c r="AD644" s="130"/>
      <c r="AF644" s="106"/>
    </row>
    <row r="645">
      <c r="C645" s="79"/>
      <c r="D645" s="79"/>
      <c r="E645" s="79"/>
      <c r="O645" s="79"/>
      <c r="S645" s="79"/>
      <c r="T645" s="79"/>
      <c r="Y645" s="79"/>
      <c r="AD645" s="130"/>
      <c r="AF645" s="106"/>
    </row>
    <row r="646">
      <c r="C646" s="79"/>
      <c r="D646" s="79"/>
      <c r="E646" s="79"/>
      <c r="O646" s="79"/>
      <c r="S646" s="79"/>
      <c r="T646" s="79"/>
      <c r="Y646" s="79"/>
      <c r="AD646" s="130"/>
      <c r="AF646" s="106"/>
    </row>
    <row r="647">
      <c r="C647" s="79"/>
      <c r="D647" s="79"/>
      <c r="E647" s="79"/>
      <c r="O647" s="79"/>
      <c r="S647" s="79"/>
      <c r="T647" s="79"/>
      <c r="Y647" s="79"/>
      <c r="AD647" s="130"/>
      <c r="AF647" s="106"/>
    </row>
    <row r="648">
      <c r="C648" s="79"/>
      <c r="D648" s="79"/>
      <c r="E648" s="79"/>
      <c r="O648" s="79"/>
      <c r="S648" s="79"/>
      <c r="T648" s="79"/>
      <c r="Y648" s="79"/>
      <c r="AD648" s="130"/>
      <c r="AF648" s="106"/>
    </row>
    <row r="649">
      <c r="C649" s="79"/>
      <c r="D649" s="79"/>
      <c r="E649" s="79"/>
      <c r="O649" s="79"/>
      <c r="S649" s="79"/>
      <c r="T649" s="79"/>
      <c r="Y649" s="79"/>
      <c r="AD649" s="130"/>
      <c r="AF649" s="106"/>
    </row>
    <row r="650">
      <c r="C650" s="79"/>
      <c r="D650" s="79"/>
      <c r="E650" s="79"/>
      <c r="O650" s="79"/>
      <c r="S650" s="79"/>
      <c r="T650" s="79"/>
      <c r="Y650" s="79"/>
      <c r="AD650" s="130"/>
      <c r="AF650" s="106"/>
    </row>
    <row r="651">
      <c r="C651" s="79"/>
      <c r="D651" s="79"/>
      <c r="E651" s="79"/>
      <c r="O651" s="79"/>
      <c r="S651" s="79"/>
      <c r="T651" s="79"/>
      <c r="Y651" s="79"/>
      <c r="AD651" s="130"/>
      <c r="AF651" s="106"/>
    </row>
    <row r="652">
      <c r="C652" s="79"/>
      <c r="D652" s="79"/>
      <c r="E652" s="79"/>
      <c r="O652" s="79"/>
      <c r="S652" s="79"/>
      <c r="T652" s="79"/>
      <c r="Y652" s="79"/>
      <c r="AD652" s="130"/>
      <c r="AF652" s="106"/>
    </row>
    <row r="653">
      <c r="C653" s="79"/>
      <c r="D653" s="79"/>
      <c r="E653" s="79"/>
      <c r="O653" s="79"/>
      <c r="S653" s="79"/>
      <c r="T653" s="79"/>
      <c r="Y653" s="79"/>
      <c r="AD653" s="130"/>
      <c r="AF653" s="106"/>
    </row>
    <row r="654">
      <c r="C654" s="79"/>
      <c r="D654" s="79"/>
      <c r="E654" s="79"/>
      <c r="O654" s="79"/>
      <c r="S654" s="79"/>
      <c r="T654" s="79"/>
      <c r="Y654" s="79"/>
      <c r="AD654" s="130"/>
      <c r="AF654" s="106"/>
    </row>
    <row r="655">
      <c r="C655" s="79"/>
      <c r="D655" s="79"/>
      <c r="E655" s="79"/>
      <c r="O655" s="79"/>
      <c r="S655" s="79"/>
      <c r="T655" s="79"/>
      <c r="Y655" s="79"/>
      <c r="AD655" s="130"/>
      <c r="AF655" s="106"/>
    </row>
    <row r="656">
      <c r="C656" s="79"/>
      <c r="D656" s="79"/>
      <c r="E656" s="79"/>
      <c r="O656" s="79"/>
      <c r="S656" s="79"/>
      <c r="T656" s="79"/>
      <c r="Y656" s="79"/>
      <c r="AD656" s="130"/>
      <c r="AF656" s="106"/>
    </row>
    <row r="657">
      <c r="C657" s="79"/>
      <c r="D657" s="79"/>
      <c r="E657" s="79"/>
      <c r="O657" s="79"/>
      <c r="S657" s="79"/>
      <c r="T657" s="79"/>
      <c r="Y657" s="79"/>
      <c r="AD657" s="130"/>
      <c r="AF657" s="106"/>
    </row>
    <row r="658">
      <c r="C658" s="79"/>
      <c r="D658" s="79"/>
      <c r="E658" s="79"/>
      <c r="O658" s="79"/>
      <c r="S658" s="79"/>
      <c r="T658" s="79"/>
      <c r="Y658" s="79"/>
      <c r="AD658" s="130"/>
      <c r="AF658" s="106"/>
    </row>
    <row r="659">
      <c r="C659" s="79"/>
      <c r="D659" s="79"/>
      <c r="E659" s="79"/>
      <c r="O659" s="79"/>
      <c r="S659" s="79"/>
      <c r="T659" s="79"/>
      <c r="Y659" s="79"/>
      <c r="AD659" s="130"/>
      <c r="AF659" s="106"/>
    </row>
    <row r="660">
      <c r="C660" s="79"/>
      <c r="D660" s="79"/>
      <c r="E660" s="79"/>
      <c r="O660" s="79"/>
      <c r="S660" s="79"/>
      <c r="T660" s="79"/>
      <c r="Y660" s="79"/>
      <c r="AD660" s="130"/>
      <c r="AF660" s="106"/>
    </row>
    <row r="661">
      <c r="C661" s="79"/>
      <c r="D661" s="79"/>
      <c r="E661" s="79"/>
      <c r="O661" s="79"/>
      <c r="S661" s="79"/>
      <c r="T661" s="79"/>
      <c r="Y661" s="79"/>
      <c r="AD661" s="130"/>
      <c r="AF661" s="106"/>
    </row>
    <row r="662">
      <c r="C662" s="79"/>
      <c r="D662" s="79"/>
      <c r="E662" s="79"/>
      <c r="O662" s="79"/>
      <c r="S662" s="79"/>
      <c r="T662" s="79"/>
      <c r="Y662" s="79"/>
      <c r="AD662" s="130"/>
      <c r="AF662" s="106"/>
    </row>
    <row r="663">
      <c r="C663" s="79"/>
      <c r="D663" s="79"/>
      <c r="E663" s="79"/>
      <c r="O663" s="79"/>
      <c r="S663" s="79"/>
      <c r="T663" s="79"/>
      <c r="Y663" s="79"/>
      <c r="AD663" s="130"/>
      <c r="AF663" s="106"/>
    </row>
    <row r="664">
      <c r="C664" s="79"/>
      <c r="D664" s="79"/>
      <c r="E664" s="79"/>
      <c r="O664" s="79"/>
      <c r="S664" s="79"/>
      <c r="T664" s="79"/>
      <c r="Y664" s="79"/>
      <c r="AD664" s="130"/>
      <c r="AF664" s="106"/>
    </row>
    <row r="665">
      <c r="C665" s="79"/>
      <c r="D665" s="79"/>
      <c r="E665" s="79"/>
      <c r="O665" s="79"/>
      <c r="S665" s="79"/>
      <c r="T665" s="79"/>
      <c r="Y665" s="79"/>
      <c r="AD665" s="130"/>
      <c r="AF665" s="106"/>
    </row>
    <row r="666">
      <c r="C666" s="79"/>
      <c r="D666" s="79"/>
      <c r="E666" s="79"/>
      <c r="O666" s="79"/>
      <c r="S666" s="79"/>
      <c r="T666" s="79"/>
      <c r="Y666" s="79"/>
      <c r="AD666" s="130"/>
      <c r="AF666" s="106"/>
    </row>
    <row r="667">
      <c r="C667" s="79"/>
      <c r="D667" s="79"/>
      <c r="E667" s="79"/>
      <c r="O667" s="79"/>
      <c r="S667" s="79"/>
      <c r="T667" s="79"/>
      <c r="Y667" s="79"/>
      <c r="AD667" s="130"/>
      <c r="AF667" s="106"/>
    </row>
    <row r="668">
      <c r="C668" s="79"/>
      <c r="D668" s="79"/>
      <c r="E668" s="79"/>
      <c r="O668" s="79"/>
      <c r="S668" s="79"/>
      <c r="T668" s="79"/>
      <c r="Y668" s="79"/>
      <c r="AD668" s="130"/>
      <c r="AF668" s="106"/>
    </row>
    <row r="669">
      <c r="C669" s="79"/>
      <c r="D669" s="79"/>
      <c r="E669" s="79"/>
      <c r="O669" s="79"/>
      <c r="S669" s="79"/>
      <c r="T669" s="79"/>
      <c r="Y669" s="79"/>
      <c r="AD669" s="130"/>
      <c r="AF669" s="106"/>
    </row>
    <row r="670">
      <c r="C670" s="79"/>
      <c r="D670" s="79"/>
      <c r="E670" s="79"/>
      <c r="O670" s="79"/>
      <c r="S670" s="79"/>
      <c r="T670" s="79"/>
      <c r="Y670" s="79"/>
      <c r="AD670" s="130"/>
      <c r="AF670" s="106"/>
    </row>
    <row r="671">
      <c r="C671" s="79"/>
      <c r="D671" s="79"/>
      <c r="E671" s="79"/>
      <c r="O671" s="79"/>
      <c r="S671" s="79"/>
      <c r="T671" s="79"/>
      <c r="Y671" s="79"/>
      <c r="AD671" s="130"/>
      <c r="AF671" s="106"/>
    </row>
    <row r="672">
      <c r="C672" s="79"/>
      <c r="D672" s="79"/>
      <c r="E672" s="79"/>
      <c r="O672" s="79"/>
      <c r="S672" s="79"/>
      <c r="T672" s="79"/>
      <c r="Y672" s="79"/>
      <c r="AD672" s="130"/>
      <c r="AF672" s="106"/>
    </row>
    <row r="673">
      <c r="C673" s="79"/>
      <c r="D673" s="79"/>
      <c r="E673" s="79"/>
      <c r="O673" s="79"/>
      <c r="S673" s="79"/>
      <c r="T673" s="79"/>
      <c r="Y673" s="79"/>
      <c r="AD673" s="130"/>
      <c r="AF673" s="106"/>
    </row>
    <row r="674">
      <c r="C674" s="79"/>
      <c r="D674" s="79"/>
      <c r="E674" s="79"/>
      <c r="O674" s="79"/>
      <c r="S674" s="79"/>
      <c r="T674" s="79"/>
      <c r="Y674" s="79"/>
      <c r="AD674" s="130"/>
      <c r="AF674" s="106"/>
    </row>
    <row r="675">
      <c r="C675" s="79"/>
      <c r="D675" s="79"/>
      <c r="E675" s="79"/>
      <c r="O675" s="79"/>
      <c r="S675" s="79"/>
      <c r="T675" s="79"/>
      <c r="Y675" s="79"/>
      <c r="AD675" s="130"/>
      <c r="AF675" s="106"/>
    </row>
    <row r="676">
      <c r="C676" s="79"/>
      <c r="D676" s="79"/>
      <c r="E676" s="79"/>
      <c r="O676" s="79"/>
      <c r="S676" s="79"/>
      <c r="T676" s="79"/>
      <c r="Y676" s="79"/>
      <c r="AD676" s="130"/>
      <c r="AF676" s="106"/>
    </row>
    <row r="677">
      <c r="C677" s="79"/>
      <c r="D677" s="79"/>
      <c r="E677" s="79"/>
      <c r="O677" s="79"/>
      <c r="S677" s="79"/>
      <c r="T677" s="79"/>
      <c r="Y677" s="79"/>
      <c r="AD677" s="130"/>
      <c r="AF677" s="106"/>
    </row>
    <row r="678">
      <c r="C678" s="79"/>
      <c r="D678" s="79"/>
      <c r="E678" s="79"/>
      <c r="O678" s="79"/>
      <c r="S678" s="79"/>
      <c r="T678" s="79"/>
      <c r="Y678" s="79"/>
      <c r="AD678" s="130"/>
      <c r="AF678" s="106"/>
    </row>
    <row r="679">
      <c r="C679" s="79"/>
      <c r="D679" s="79"/>
      <c r="E679" s="79"/>
      <c r="O679" s="79"/>
      <c r="S679" s="79"/>
      <c r="T679" s="79"/>
      <c r="Y679" s="79"/>
      <c r="AD679" s="130"/>
      <c r="AF679" s="106"/>
    </row>
    <row r="680">
      <c r="C680" s="79"/>
      <c r="D680" s="79"/>
      <c r="E680" s="79"/>
      <c r="O680" s="79"/>
      <c r="S680" s="79"/>
      <c r="T680" s="79"/>
      <c r="Y680" s="79"/>
      <c r="AD680" s="130"/>
      <c r="AF680" s="106"/>
    </row>
    <row r="681">
      <c r="C681" s="79"/>
      <c r="D681" s="79"/>
      <c r="E681" s="79"/>
      <c r="O681" s="79"/>
      <c r="S681" s="79"/>
      <c r="T681" s="79"/>
      <c r="Y681" s="79"/>
      <c r="AD681" s="130"/>
      <c r="AF681" s="106"/>
    </row>
    <row r="682">
      <c r="C682" s="79"/>
      <c r="D682" s="79"/>
      <c r="E682" s="79"/>
      <c r="O682" s="79"/>
      <c r="S682" s="79"/>
      <c r="T682" s="79"/>
      <c r="Y682" s="79"/>
      <c r="AD682" s="130"/>
      <c r="AF682" s="106"/>
    </row>
    <row r="683">
      <c r="C683" s="79"/>
      <c r="D683" s="79"/>
      <c r="E683" s="79"/>
      <c r="O683" s="79"/>
      <c r="S683" s="79"/>
      <c r="T683" s="79"/>
      <c r="Y683" s="79"/>
      <c r="AD683" s="130"/>
      <c r="AF683" s="106"/>
    </row>
    <row r="684">
      <c r="C684" s="79"/>
      <c r="D684" s="79"/>
      <c r="E684" s="79"/>
      <c r="O684" s="79"/>
      <c r="S684" s="79"/>
      <c r="T684" s="79"/>
      <c r="Y684" s="79"/>
      <c r="AD684" s="130"/>
      <c r="AF684" s="106"/>
    </row>
    <row r="685">
      <c r="C685" s="79"/>
      <c r="D685" s="79"/>
      <c r="E685" s="79"/>
      <c r="O685" s="79"/>
      <c r="S685" s="79"/>
      <c r="T685" s="79"/>
      <c r="Y685" s="79"/>
      <c r="AD685" s="130"/>
      <c r="AF685" s="106"/>
    </row>
    <row r="686">
      <c r="C686" s="79"/>
      <c r="D686" s="79"/>
      <c r="E686" s="79"/>
      <c r="O686" s="79"/>
      <c r="S686" s="79"/>
      <c r="T686" s="79"/>
      <c r="Y686" s="79"/>
      <c r="AD686" s="130"/>
      <c r="AF686" s="106"/>
    </row>
    <row r="687">
      <c r="C687" s="79"/>
      <c r="D687" s="79"/>
      <c r="E687" s="79"/>
      <c r="O687" s="79"/>
      <c r="S687" s="79"/>
      <c r="T687" s="79"/>
      <c r="Y687" s="79"/>
      <c r="AD687" s="130"/>
      <c r="AF687" s="106"/>
    </row>
    <row r="688">
      <c r="C688" s="79"/>
      <c r="D688" s="79"/>
      <c r="E688" s="79"/>
      <c r="O688" s="79"/>
      <c r="S688" s="79"/>
      <c r="T688" s="79"/>
      <c r="Y688" s="79"/>
      <c r="AD688" s="130"/>
      <c r="AF688" s="106"/>
    </row>
    <row r="689">
      <c r="C689" s="79"/>
      <c r="D689" s="79"/>
      <c r="E689" s="79"/>
      <c r="O689" s="79"/>
      <c r="S689" s="79"/>
      <c r="T689" s="79"/>
      <c r="Y689" s="79"/>
      <c r="AD689" s="130"/>
      <c r="AF689" s="106"/>
    </row>
    <row r="690">
      <c r="C690" s="79"/>
      <c r="D690" s="79"/>
      <c r="E690" s="79"/>
      <c r="O690" s="79"/>
      <c r="S690" s="79"/>
      <c r="T690" s="79"/>
      <c r="Y690" s="79"/>
      <c r="AD690" s="130"/>
      <c r="AF690" s="106"/>
    </row>
    <row r="691">
      <c r="C691" s="79"/>
      <c r="D691" s="79"/>
      <c r="E691" s="79"/>
      <c r="O691" s="79"/>
      <c r="S691" s="79"/>
      <c r="T691" s="79"/>
      <c r="Y691" s="79"/>
      <c r="AD691" s="130"/>
      <c r="AF691" s="106"/>
    </row>
    <row r="692">
      <c r="C692" s="79"/>
      <c r="D692" s="79"/>
      <c r="E692" s="79"/>
      <c r="O692" s="79"/>
      <c r="S692" s="79"/>
      <c r="T692" s="79"/>
      <c r="Y692" s="79"/>
      <c r="AD692" s="130"/>
      <c r="AF692" s="106"/>
    </row>
    <row r="693">
      <c r="C693" s="79"/>
      <c r="D693" s="79"/>
      <c r="E693" s="79"/>
      <c r="O693" s="79"/>
      <c r="S693" s="79"/>
      <c r="T693" s="79"/>
      <c r="Y693" s="79"/>
      <c r="AD693" s="130"/>
      <c r="AF693" s="106"/>
    </row>
    <row r="694">
      <c r="C694" s="79"/>
      <c r="D694" s="79"/>
      <c r="E694" s="79"/>
      <c r="O694" s="79"/>
      <c r="S694" s="79"/>
      <c r="T694" s="79"/>
      <c r="Y694" s="79"/>
      <c r="AD694" s="130"/>
      <c r="AF694" s="106"/>
    </row>
    <row r="695">
      <c r="C695" s="79"/>
      <c r="D695" s="79"/>
      <c r="E695" s="79"/>
      <c r="O695" s="79"/>
      <c r="S695" s="79"/>
      <c r="T695" s="79"/>
      <c r="Y695" s="79"/>
      <c r="AD695" s="130"/>
      <c r="AF695" s="106"/>
    </row>
    <row r="696">
      <c r="C696" s="79"/>
      <c r="D696" s="79"/>
      <c r="E696" s="79"/>
      <c r="O696" s="79"/>
      <c r="S696" s="79"/>
      <c r="T696" s="79"/>
      <c r="Y696" s="79"/>
      <c r="AD696" s="130"/>
      <c r="AF696" s="106"/>
    </row>
    <row r="697">
      <c r="C697" s="79"/>
      <c r="D697" s="79"/>
      <c r="E697" s="79"/>
      <c r="O697" s="79"/>
      <c r="S697" s="79"/>
      <c r="T697" s="79"/>
      <c r="Y697" s="79"/>
      <c r="AD697" s="130"/>
      <c r="AF697" s="106"/>
    </row>
    <row r="698">
      <c r="C698" s="79"/>
      <c r="D698" s="79"/>
      <c r="E698" s="79"/>
      <c r="O698" s="79"/>
      <c r="S698" s="79"/>
      <c r="T698" s="79"/>
      <c r="Y698" s="79"/>
      <c r="AD698" s="130"/>
      <c r="AF698" s="106"/>
    </row>
    <row r="699">
      <c r="C699" s="79"/>
      <c r="D699" s="79"/>
      <c r="E699" s="79"/>
      <c r="O699" s="79"/>
      <c r="S699" s="79"/>
      <c r="T699" s="79"/>
      <c r="Y699" s="79"/>
      <c r="AD699" s="130"/>
      <c r="AF699" s="106"/>
    </row>
    <row r="700">
      <c r="C700" s="79"/>
      <c r="D700" s="79"/>
      <c r="E700" s="79"/>
      <c r="O700" s="79"/>
      <c r="S700" s="79"/>
      <c r="T700" s="79"/>
      <c r="Y700" s="79"/>
      <c r="AD700" s="130"/>
      <c r="AF700" s="106"/>
    </row>
    <row r="701">
      <c r="C701" s="79"/>
      <c r="D701" s="79"/>
      <c r="E701" s="79"/>
      <c r="O701" s="79"/>
      <c r="S701" s="79"/>
      <c r="T701" s="79"/>
      <c r="Y701" s="79"/>
      <c r="AD701" s="130"/>
      <c r="AF701" s="106"/>
    </row>
    <row r="702">
      <c r="C702" s="79"/>
      <c r="D702" s="79"/>
      <c r="E702" s="79"/>
      <c r="O702" s="79"/>
      <c r="S702" s="79"/>
      <c r="T702" s="79"/>
      <c r="Y702" s="79"/>
      <c r="AD702" s="130"/>
      <c r="AF702" s="106"/>
    </row>
    <row r="703">
      <c r="C703" s="79"/>
      <c r="D703" s="79"/>
      <c r="E703" s="79"/>
      <c r="O703" s="79"/>
      <c r="S703" s="79"/>
      <c r="T703" s="79"/>
      <c r="Y703" s="79"/>
      <c r="AD703" s="130"/>
      <c r="AF703" s="106"/>
    </row>
    <row r="704">
      <c r="C704" s="79"/>
      <c r="D704" s="79"/>
      <c r="E704" s="79"/>
      <c r="O704" s="79"/>
      <c r="S704" s="79"/>
      <c r="T704" s="79"/>
      <c r="Y704" s="79"/>
      <c r="AD704" s="130"/>
      <c r="AF704" s="106"/>
    </row>
    <row r="705">
      <c r="C705" s="79"/>
      <c r="D705" s="79"/>
      <c r="E705" s="79"/>
      <c r="O705" s="79"/>
      <c r="S705" s="79"/>
      <c r="T705" s="79"/>
      <c r="Y705" s="79"/>
      <c r="AD705" s="130"/>
      <c r="AF705" s="106"/>
    </row>
    <row r="706">
      <c r="C706" s="79"/>
      <c r="D706" s="79"/>
      <c r="E706" s="79"/>
      <c r="O706" s="79"/>
      <c r="S706" s="79"/>
      <c r="T706" s="79"/>
      <c r="Y706" s="79"/>
      <c r="AD706" s="130"/>
      <c r="AF706" s="106"/>
    </row>
    <row r="707">
      <c r="C707" s="79"/>
      <c r="D707" s="79"/>
      <c r="E707" s="79"/>
      <c r="O707" s="79"/>
      <c r="S707" s="79"/>
      <c r="T707" s="79"/>
      <c r="Y707" s="79"/>
      <c r="AD707" s="130"/>
      <c r="AF707" s="106"/>
    </row>
    <row r="708">
      <c r="C708" s="79"/>
      <c r="D708" s="79"/>
      <c r="E708" s="79"/>
      <c r="O708" s="79"/>
      <c r="S708" s="79"/>
      <c r="T708" s="79"/>
      <c r="Y708" s="79"/>
      <c r="AD708" s="130"/>
      <c r="AF708" s="106"/>
    </row>
    <row r="709">
      <c r="C709" s="79"/>
      <c r="D709" s="79"/>
      <c r="E709" s="79"/>
      <c r="O709" s="79"/>
      <c r="S709" s="79"/>
      <c r="T709" s="79"/>
      <c r="Y709" s="79"/>
      <c r="AD709" s="130"/>
      <c r="AF709" s="106"/>
    </row>
    <row r="710">
      <c r="C710" s="79"/>
      <c r="D710" s="79"/>
      <c r="E710" s="79"/>
      <c r="O710" s="79"/>
      <c r="S710" s="79"/>
      <c r="T710" s="79"/>
      <c r="Y710" s="79"/>
      <c r="AD710" s="130"/>
      <c r="AF710" s="106"/>
    </row>
    <row r="711">
      <c r="C711" s="79"/>
      <c r="D711" s="79"/>
      <c r="E711" s="79"/>
      <c r="O711" s="79"/>
      <c r="S711" s="79"/>
      <c r="T711" s="79"/>
      <c r="Y711" s="79"/>
      <c r="AD711" s="130"/>
      <c r="AF711" s="106"/>
    </row>
    <row r="712">
      <c r="C712" s="79"/>
      <c r="D712" s="79"/>
      <c r="E712" s="79"/>
      <c r="O712" s="79"/>
      <c r="S712" s="79"/>
      <c r="T712" s="79"/>
      <c r="Y712" s="79"/>
      <c r="AD712" s="130"/>
      <c r="AF712" s="106"/>
    </row>
    <row r="713">
      <c r="C713" s="79"/>
      <c r="D713" s="79"/>
      <c r="E713" s="79"/>
      <c r="O713" s="79"/>
      <c r="S713" s="79"/>
      <c r="T713" s="79"/>
      <c r="Y713" s="79"/>
      <c r="AD713" s="130"/>
      <c r="AF713" s="106"/>
    </row>
    <row r="714">
      <c r="C714" s="79"/>
      <c r="D714" s="79"/>
      <c r="E714" s="79"/>
      <c r="O714" s="79"/>
      <c r="S714" s="79"/>
      <c r="T714" s="79"/>
      <c r="Y714" s="79"/>
      <c r="AD714" s="130"/>
      <c r="AF714" s="106"/>
    </row>
    <row r="715">
      <c r="C715" s="79"/>
      <c r="D715" s="79"/>
      <c r="E715" s="79"/>
      <c r="O715" s="79"/>
      <c r="S715" s="79"/>
      <c r="T715" s="79"/>
      <c r="Y715" s="79"/>
      <c r="AD715" s="130"/>
      <c r="AF715" s="106"/>
    </row>
    <row r="716">
      <c r="C716" s="79"/>
      <c r="D716" s="79"/>
      <c r="E716" s="79"/>
      <c r="O716" s="79"/>
      <c r="S716" s="79"/>
      <c r="T716" s="79"/>
      <c r="Y716" s="79"/>
      <c r="AD716" s="130"/>
      <c r="AF716" s="106"/>
    </row>
    <row r="717">
      <c r="C717" s="79"/>
      <c r="D717" s="79"/>
      <c r="E717" s="79"/>
      <c r="O717" s="79"/>
      <c r="S717" s="79"/>
      <c r="T717" s="79"/>
      <c r="Y717" s="79"/>
      <c r="AD717" s="130"/>
      <c r="AF717" s="106"/>
    </row>
    <row r="718">
      <c r="C718" s="79"/>
      <c r="D718" s="79"/>
      <c r="E718" s="79"/>
      <c r="O718" s="79"/>
      <c r="S718" s="79"/>
      <c r="T718" s="79"/>
      <c r="Y718" s="79"/>
      <c r="AD718" s="130"/>
      <c r="AF718" s="106"/>
    </row>
    <row r="719">
      <c r="C719" s="79"/>
      <c r="D719" s="79"/>
      <c r="E719" s="79"/>
      <c r="O719" s="79"/>
      <c r="S719" s="79"/>
      <c r="T719" s="79"/>
      <c r="Y719" s="79"/>
      <c r="AD719" s="130"/>
      <c r="AF719" s="106"/>
    </row>
    <row r="720">
      <c r="C720" s="79"/>
      <c r="D720" s="79"/>
      <c r="E720" s="79"/>
      <c r="O720" s="79"/>
      <c r="S720" s="79"/>
      <c r="T720" s="79"/>
      <c r="Y720" s="79"/>
      <c r="AD720" s="130"/>
      <c r="AF720" s="106"/>
    </row>
    <row r="721">
      <c r="C721" s="79"/>
      <c r="D721" s="79"/>
      <c r="E721" s="79"/>
      <c r="O721" s="79"/>
      <c r="S721" s="79"/>
      <c r="T721" s="79"/>
      <c r="Y721" s="79"/>
      <c r="AD721" s="130"/>
      <c r="AF721" s="106"/>
    </row>
    <row r="722">
      <c r="C722" s="79"/>
      <c r="D722" s="79"/>
      <c r="E722" s="79"/>
      <c r="O722" s="79"/>
      <c r="S722" s="79"/>
      <c r="T722" s="79"/>
      <c r="Y722" s="79"/>
      <c r="AD722" s="130"/>
      <c r="AF722" s="106"/>
    </row>
    <row r="723">
      <c r="C723" s="79"/>
      <c r="D723" s="79"/>
      <c r="E723" s="79"/>
      <c r="O723" s="79"/>
      <c r="S723" s="79"/>
      <c r="T723" s="79"/>
      <c r="Y723" s="79"/>
      <c r="AD723" s="130"/>
      <c r="AF723" s="106"/>
    </row>
    <row r="724">
      <c r="C724" s="79"/>
      <c r="D724" s="79"/>
      <c r="E724" s="79"/>
      <c r="O724" s="79"/>
      <c r="S724" s="79"/>
      <c r="T724" s="79"/>
      <c r="Y724" s="79"/>
      <c r="AD724" s="130"/>
      <c r="AF724" s="106"/>
    </row>
    <row r="725">
      <c r="C725" s="79"/>
      <c r="D725" s="79"/>
      <c r="E725" s="79"/>
      <c r="O725" s="79"/>
      <c r="S725" s="79"/>
      <c r="T725" s="79"/>
      <c r="Y725" s="79"/>
      <c r="AD725" s="130"/>
      <c r="AF725" s="106"/>
    </row>
    <row r="726">
      <c r="C726" s="79"/>
      <c r="D726" s="79"/>
      <c r="E726" s="79"/>
      <c r="O726" s="79"/>
      <c r="S726" s="79"/>
      <c r="T726" s="79"/>
      <c r="Y726" s="79"/>
      <c r="AD726" s="130"/>
      <c r="AF726" s="106"/>
    </row>
    <row r="727">
      <c r="C727" s="79"/>
      <c r="D727" s="79"/>
      <c r="E727" s="79"/>
      <c r="O727" s="79"/>
      <c r="S727" s="79"/>
      <c r="T727" s="79"/>
      <c r="Y727" s="79"/>
      <c r="AD727" s="130"/>
      <c r="AF727" s="106"/>
    </row>
    <row r="728">
      <c r="C728" s="79"/>
      <c r="D728" s="79"/>
      <c r="E728" s="79"/>
      <c r="O728" s="79"/>
      <c r="S728" s="79"/>
      <c r="T728" s="79"/>
      <c r="Y728" s="79"/>
      <c r="AD728" s="130"/>
      <c r="AF728" s="106"/>
    </row>
    <row r="729">
      <c r="C729" s="79"/>
      <c r="D729" s="79"/>
      <c r="E729" s="79"/>
      <c r="O729" s="79"/>
      <c r="S729" s="79"/>
      <c r="T729" s="79"/>
      <c r="Y729" s="79"/>
      <c r="AD729" s="130"/>
      <c r="AF729" s="106"/>
    </row>
    <row r="730">
      <c r="C730" s="79"/>
      <c r="D730" s="79"/>
      <c r="E730" s="79"/>
      <c r="O730" s="79"/>
      <c r="S730" s="79"/>
      <c r="T730" s="79"/>
      <c r="Y730" s="79"/>
      <c r="AD730" s="130"/>
      <c r="AF730" s="106"/>
    </row>
    <row r="731">
      <c r="C731" s="79"/>
      <c r="D731" s="79"/>
      <c r="E731" s="79"/>
      <c r="O731" s="79"/>
      <c r="S731" s="79"/>
      <c r="T731" s="79"/>
      <c r="Y731" s="79"/>
      <c r="AD731" s="130"/>
      <c r="AF731" s="106"/>
    </row>
    <row r="732">
      <c r="C732" s="79"/>
      <c r="D732" s="79"/>
      <c r="E732" s="79"/>
      <c r="O732" s="79"/>
      <c r="S732" s="79"/>
      <c r="T732" s="79"/>
      <c r="Y732" s="79"/>
      <c r="AD732" s="130"/>
      <c r="AF732" s="106"/>
    </row>
    <row r="733">
      <c r="C733" s="79"/>
      <c r="D733" s="79"/>
      <c r="E733" s="79"/>
      <c r="O733" s="79"/>
      <c r="S733" s="79"/>
      <c r="T733" s="79"/>
      <c r="Y733" s="79"/>
      <c r="AD733" s="130"/>
      <c r="AF733" s="106"/>
    </row>
    <row r="734">
      <c r="C734" s="79"/>
      <c r="D734" s="79"/>
      <c r="E734" s="79"/>
      <c r="O734" s="79"/>
      <c r="S734" s="79"/>
      <c r="T734" s="79"/>
      <c r="Y734" s="79"/>
      <c r="AD734" s="130"/>
      <c r="AF734" s="106"/>
    </row>
    <row r="735">
      <c r="C735" s="79"/>
      <c r="D735" s="79"/>
      <c r="E735" s="79"/>
      <c r="O735" s="79"/>
      <c r="S735" s="79"/>
      <c r="T735" s="79"/>
      <c r="Y735" s="79"/>
      <c r="AD735" s="130"/>
      <c r="AF735" s="106"/>
    </row>
    <row r="736">
      <c r="C736" s="79"/>
      <c r="D736" s="79"/>
      <c r="E736" s="79"/>
      <c r="O736" s="79"/>
      <c r="S736" s="79"/>
      <c r="T736" s="79"/>
      <c r="Y736" s="79"/>
      <c r="AD736" s="130"/>
      <c r="AF736" s="106"/>
    </row>
    <row r="737">
      <c r="C737" s="79"/>
      <c r="D737" s="79"/>
      <c r="E737" s="79"/>
      <c r="O737" s="79"/>
      <c r="S737" s="79"/>
      <c r="T737" s="79"/>
      <c r="Y737" s="79"/>
      <c r="AD737" s="130"/>
      <c r="AF737" s="106"/>
    </row>
    <row r="738">
      <c r="C738" s="79"/>
      <c r="D738" s="79"/>
      <c r="E738" s="79"/>
      <c r="O738" s="79"/>
      <c r="S738" s="79"/>
      <c r="T738" s="79"/>
      <c r="Y738" s="79"/>
      <c r="AD738" s="130"/>
      <c r="AF738" s="106"/>
    </row>
    <row r="739">
      <c r="C739" s="79"/>
      <c r="D739" s="79"/>
      <c r="E739" s="79"/>
      <c r="O739" s="79"/>
      <c r="S739" s="79"/>
      <c r="T739" s="79"/>
      <c r="Y739" s="79"/>
      <c r="AD739" s="130"/>
      <c r="AF739" s="106"/>
    </row>
    <row r="740">
      <c r="C740" s="79"/>
      <c r="D740" s="79"/>
      <c r="E740" s="79"/>
      <c r="O740" s="79"/>
      <c r="S740" s="79"/>
      <c r="T740" s="79"/>
      <c r="Y740" s="79"/>
      <c r="AD740" s="130"/>
      <c r="AF740" s="106"/>
    </row>
    <row r="741">
      <c r="C741" s="79"/>
      <c r="D741" s="79"/>
      <c r="E741" s="79"/>
      <c r="O741" s="79"/>
      <c r="S741" s="79"/>
      <c r="T741" s="79"/>
      <c r="Y741" s="79"/>
      <c r="AD741" s="130"/>
      <c r="AF741" s="106"/>
    </row>
    <row r="742">
      <c r="C742" s="79"/>
      <c r="D742" s="79"/>
      <c r="E742" s="79"/>
      <c r="O742" s="79"/>
      <c r="S742" s="79"/>
      <c r="T742" s="79"/>
      <c r="Y742" s="79"/>
      <c r="AD742" s="130"/>
      <c r="AF742" s="106"/>
    </row>
    <row r="743">
      <c r="C743" s="79"/>
      <c r="D743" s="79"/>
      <c r="E743" s="79"/>
      <c r="O743" s="79"/>
      <c r="S743" s="79"/>
      <c r="T743" s="79"/>
      <c r="Y743" s="79"/>
      <c r="AD743" s="130"/>
      <c r="AF743" s="106"/>
    </row>
    <row r="744">
      <c r="C744" s="79"/>
      <c r="D744" s="79"/>
      <c r="E744" s="79"/>
      <c r="O744" s="79"/>
      <c r="S744" s="79"/>
      <c r="T744" s="79"/>
      <c r="Y744" s="79"/>
      <c r="AD744" s="130"/>
      <c r="AF744" s="106"/>
    </row>
    <row r="745">
      <c r="C745" s="79"/>
      <c r="D745" s="79"/>
      <c r="E745" s="79"/>
      <c r="O745" s="79"/>
      <c r="S745" s="79"/>
      <c r="T745" s="79"/>
      <c r="Y745" s="79"/>
      <c r="AD745" s="130"/>
      <c r="AF745" s="106"/>
    </row>
    <row r="746">
      <c r="C746" s="79"/>
      <c r="D746" s="79"/>
      <c r="E746" s="79"/>
      <c r="O746" s="79"/>
      <c r="S746" s="79"/>
      <c r="T746" s="79"/>
      <c r="Y746" s="79"/>
      <c r="AD746" s="130"/>
      <c r="AF746" s="106"/>
    </row>
    <row r="747">
      <c r="C747" s="79"/>
      <c r="D747" s="79"/>
      <c r="E747" s="79"/>
      <c r="O747" s="79"/>
      <c r="S747" s="79"/>
      <c r="T747" s="79"/>
      <c r="Y747" s="79"/>
      <c r="AD747" s="130"/>
      <c r="AF747" s="106"/>
    </row>
    <row r="748">
      <c r="C748" s="79"/>
      <c r="D748" s="79"/>
      <c r="E748" s="79"/>
      <c r="O748" s="79"/>
      <c r="S748" s="79"/>
      <c r="T748" s="79"/>
      <c r="Y748" s="79"/>
      <c r="AD748" s="130"/>
      <c r="AF748" s="106"/>
    </row>
    <row r="749">
      <c r="C749" s="79"/>
      <c r="D749" s="79"/>
      <c r="E749" s="79"/>
      <c r="O749" s="79"/>
      <c r="S749" s="79"/>
      <c r="T749" s="79"/>
      <c r="Y749" s="79"/>
      <c r="AD749" s="130"/>
      <c r="AF749" s="106"/>
    </row>
    <row r="750">
      <c r="C750" s="79"/>
      <c r="D750" s="79"/>
      <c r="E750" s="79"/>
      <c r="O750" s="79"/>
      <c r="S750" s="79"/>
      <c r="T750" s="79"/>
      <c r="Y750" s="79"/>
      <c r="AD750" s="130"/>
      <c r="AF750" s="106"/>
    </row>
    <row r="751">
      <c r="C751" s="79"/>
      <c r="D751" s="79"/>
      <c r="E751" s="79"/>
      <c r="O751" s="79"/>
      <c r="S751" s="79"/>
      <c r="T751" s="79"/>
      <c r="Y751" s="79"/>
      <c r="AD751" s="130"/>
      <c r="AF751" s="106"/>
    </row>
    <row r="752">
      <c r="C752" s="79"/>
      <c r="D752" s="79"/>
      <c r="E752" s="79"/>
      <c r="O752" s="79"/>
      <c r="S752" s="79"/>
      <c r="T752" s="79"/>
      <c r="Y752" s="79"/>
      <c r="AD752" s="130"/>
      <c r="AF752" s="106"/>
    </row>
    <row r="753">
      <c r="C753" s="79"/>
      <c r="D753" s="79"/>
      <c r="E753" s="79"/>
      <c r="O753" s="79"/>
      <c r="S753" s="79"/>
      <c r="T753" s="79"/>
      <c r="Y753" s="79"/>
      <c r="AD753" s="130"/>
      <c r="AF753" s="106"/>
    </row>
    <row r="754">
      <c r="C754" s="79"/>
      <c r="D754" s="79"/>
      <c r="E754" s="79"/>
      <c r="O754" s="79"/>
      <c r="S754" s="79"/>
      <c r="T754" s="79"/>
      <c r="Y754" s="79"/>
      <c r="AD754" s="130"/>
      <c r="AF754" s="106"/>
    </row>
    <row r="755">
      <c r="C755" s="79"/>
      <c r="D755" s="79"/>
      <c r="E755" s="79"/>
      <c r="O755" s="79"/>
      <c r="S755" s="79"/>
      <c r="T755" s="79"/>
      <c r="Y755" s="79"/>
      <c r="AD755" s="130"/>
      <c r="AF755" s="106"/>
    </row>
    <row r="756">
      <c r="C756" s="79"/>
      <c r="D756" s="79"/>
      <c r="E756" s="79"/>
      <c r="O756" s="79"/>
      <c r="S756" s="79"/>
      <c r="T756" s="79"/>
      <c r="Y756" s="79"/>
      <c r="AD756" s="130"/>
      <c r="AF756" s="106"/>
    </row>
    <row r="757">
      <c r="C757" s="79"/>
      <c r="D757" s="79"/>
      <c r="E757" s="79"/>
      <c r="O757" s="79"/>
      <c r="S757" s="79"/>
      <c r="T757" s="79"/>
      <c r="Y757" s="79"/>
      <c r="AD757" s="130"/>
      <c r="AF757" s="106"/>
    </row>
    <row r="758">
      <c r="C758" s="79"/>
      <c r="D758" s="79"/>
      <c r="E758" s="79"/>
      <c r="O758" s="79"/>
      <c r="S758" s="79"/>
      <c r="T758" s="79"/>
      <c r="Y758" s="79"/>
      <c r="AD758" s="130"/>
      <c r="AF758" s="106"/>
    </row>
    <row r="759">
      <c r="C759" s="79"/>
      <c r="D759" s="79"/>
      <c r="E759" s="79"/>
      <c r="O759" s="79"/>
      <c r="S759" s="79"/>
      <c r="T759" s="79"/>
      <c r="Y759" s="79"/>
      <c r="AD759" s="130"/>
      <c r="AF759" s="106"/>
    </row>
    <row r="760">
      <c r="C760" s="79"/>
      <c r="D760" s="79"/>
      <c r="E760" s="79"/>
      <c r="O760" s="79"/>
      <c r="S760" s="79"/>
      <c r="T760" s="79"/>
      <c r="Y760" s="79"/>
      <c r="AD760" s="130"/>
      <c r="AF760" s="106"/>
    </row>
    <row r="761">
      <c r="C761" s="79"/>
      <c r="D761" s="79"/>
      <c r="E761" s="79"/>
      <c r="O761" s="79"/>
      <c r="S761" s="79"/>
      <c r="T761" s="79"/>
      <c r="Y761" s="79"/>
      <c r="AD761" s="130"/>
      <c r="AF761" s="106"/>
    </row>
    <row r="762">
      <c r="C762" s="79"/>
      <c r="D762" s="79"/>
      <c r="E762" s="79"/>
      <c r="O762" s="79"/>
      <c r="S762" s="79"/>
      <c r="T762" s="79"/>
      <c r="Y762" s="79"/>
      <c r="AD762" s="130"/>
      <c r="AF762" s="106"/>
    </row>
    <row r="763">
      <c r="C763" s="79"/>
      <c r="D763" s="79"/>
      <c r="E763" s="79"/>
      <c r="O763" s="79"/>
      <c r="S763" s="79"/>
      <c r="T763" s="79"/>
      <c r="Y763" s="79"/>
      <c r="AD763" s="130"/>
      <c r="AF763" s="106"/>
    </row>
    <row r="764">
      <c r="C764" s="79"/>
      <c r="D764" s="79"/>
      <c r="E764" s="79"/>
      <c r="O764" s="79"/>
      <c r="S764" s="79"/>
      <c r="T764" s="79"/>
      <c r="Y764" s="79"/>
      <c r="AD764" s="130"/>
      <c r="AF764" s="106"/>
    </row>
    <row r="765">
      <c r="C765" s="79"/>
      <c r="D765" s="79"/>
      <c r="E765" s="79"/>
      <c r="O765" s="79"/>
      <c r="S765" s="79"/>
      <c r="T765" s="79"/>
      <c r="Y765" s="79"/>
      <c r="AD765" s="130"/>
      <c r="AF765" s="106"/>
    </row>
    <row r="766">
      <c r="C766" s="79"/>
      <c r="D766" s="79"/>
      <c r="E766" s="79"/>
      <c r="O766" s="79"/>
      <c r="S766" s="79"/>
      <c r="T766" s="79"/>
      <c r="Y766" s="79"/>
      <c r="AD766" s="130"/>
      <c r="AF766" s="106"/>
    </row>
    <row r="767">
      <c r="C767" s="79"/>
      <c r="D767" s="79"/>
      <c r="E767" s="79"/>
      <c r="O767" s="79"/>
      <c r="S767" s="79"/>
      <c r="T767" s="79"/>
      <c r="Y767" s="79"/>
      <c r="AD767" s="130"/>
      <c r="AF767" s="106"/>
    </row>
    <row r="768">
      <c r="C768" s="79"/>
      <c r="D768" s="79"/>
      <c r="E768" s="79"/>
      <c r="O768" s="79"/>
      <c r="S768" s="79"/>
      <c r="T768" s="79"/>
      <c r="Y768" s="79"/>
      <c r="AD768" s="130"/>
      <c r="AF768" s="106"/>
    </row>
    <row r="769">
      <c r="C769" s="79"/>
      <c r="D769" s="79"/>
      <c r="E769" s="79"/>
      <c r="O769" s="79"/>
      <c r="S769" s="79"/>
      <c r="T769" s="79"/>
      <c r="Y769" s="79"/>
      <c r="AD769" s="130"/>
      <c r="AF769" s="106"/>
    </row>
    <row r="770">
      <c r="C770" s="79"/>
      <c r="D770" s="79"/>
      <c r="E770" s="79"/>
      <c r="O770" s="79"/>
      <c r="S770" s="79"/>
      <c r="T770" s="79"/>
      <c r="Y770" s="79"/>
      <c r="AD770" s="130"/>
      <c r="AF770" s="106"/>
    </row>
    <row r="771">
      <c r="C771" s="79"/>
      <c r="D771" s="79"/>
      <c r="E771" s="79"/>
      <c r="O771" s="79"/>
      <c r="S771" s="79"/>
      <c r="T771" s="79"/>
      <c r="Y771" s="79"/>
      <c r="AD771" s="130"/>
      <c r="AF771" s="106"/>
    </row>
    <row r="772">
      <c r="C772" s="79"/>
      <c r="D772" s="79"/>
      <c r="E772" s="79"/>
      <c r="O772" s="79"/>
      <c r="S772" s="79"/>
      <c r="T772" s="79"/>
      <c r="Y772" s="79"/>
      <c r="AD772" s="130"/>
      <c r="AF772" s="106"/>
    </row>
    <row r="773">
      <c r="C773" s="79"/>
      <c r="D773" s="79"/>
      <c r="E773" s="79"/>
      <c r="O773" s="79"/>
      <c r="S773" s="79"/>
      <c r="T773" s="79"/>
      <c r="Y773" s="79"/>
      <c r="AD773" s="130"/>
      <c r="AF773" s="106"/>
    </row>
    <row r="774">
      <c r="C774" s="79"/>
      <c r="D774" s="79"/>
      <c r="E774" s="79"/>
      <c r="O774" s="79"/>
      <c r="S774" s="79"/>
      <c r="T774" s="79"/>
      <c r="Y774" s="79"/>
      <c r="AD774" s="130"/>
      <c r="AF774" s="106"/>
    </row>
    <row r="775">
      <c r="C775" s="79"/>
      <c r="D775" s="79"/>
      <c r="E775" s="79"/>
      <c r="O775" s="79"/>
      <c r="S775" s="79"/>
      <c r="T775" s="79"/>
      <c r="Y775" s="79"/>
      <c r="AD775" s="130"/>
      <c r="AF775" s="106"/>
    </row>
    <row r="776">
      <c r="C776" s="79"/>
      <c r="D776" s="79"/>
      <c r="E776" s="79"/>
      <c r="O776" s="79"/>
      <c r="S776" s="79"/>
      <c r="T776" s="79"/>
      <c r="Y776" s="79"/>
      <c r="AD776" s="130"/>
      <c r="AF776" s="106"/>
    </row>
    <row r="777">
      <c r="C777" s="79"/>
      <c r="D777" s="79"/>
      <c r="E777" s="79"/>
      <c r="O777" s="79"/>
      <c r="S777" s="79"/>
      <c r="T777" s="79"/>
      <c r="Y777" s="79"/>
      <c r="AD777" s="130"/>
      <c r="AF777" s="106"/>
    </row>
    <row r="778">
      <c r="C778" s="79"/>
      <c r="D778" s="79"/>
      <c r="E778" s="79"/>
      <c r="O778" s="79"/>
      <c r="S778" s="79"/>
      <c r="T778" s="79"/>
      <c r="Y778" s="79"/>
      <c r="AD778" s="130"/>
      <c r="AF778" s="106"/>
    </row>
    <row r="779">
      <c r="C779" s="79"/>
      <c r="D779" s="79"/>
      <c r="E779" s="79"/>
      <c r="O779" s="79"/>
      <c r="S779" s="79"/>
      <c r="T779" s="79"/>
      <c r="Y779" s="79"/>
      <c r="AD779" s="130"/>
      <c r="AF779" s="106"/>
    </row>
    <row r="780">
      <c r="C780" s="79"/>
      <c r="D780" s="79"/>
      <c r="E780" s="79"/>
      <c r="O780" s="79"/>
      <c r="S780" s="79"/>
      <c r="T780" s="79"/>
      <c r="Y780" s="79"/>
      <c r="AD780" s="130"/>
      <c r="AF780" s="106"/>
    </row>
    <row r="781">
      <c r="C781" s="79"/>
      <c r="D781" s="79"/>
      <c r="E781" s="79"/>
      <c r="O781" s="79"/>
      <c r="S781" s="79"/>
      <c r="T781" s="79"/>
      <c r="Y781" s="79"/>
      <c r="AD781" s="130"/>
      <c r="AF781" s="106"/>
    </row>
    <row r="782">
      <c r="C782" s="79"/>
      <c r="D782" s="79"/>
      <c r="E782" s="79"/>
      <c r="O782" s="79"/>
      <c r="S782" s="79"/>
      <c r="T782" s="79"/>
      <c r="Y782" s="79"/>
      <c r="AD782" s="130"/>
      <c r="AF782" s="106"/>
    </row>
    <row r="783">
      <c r="C783" s="79"/>
      <c r="D783" s="79"/>
      <c r="E783" s="79"/>
      <c r="O783" s="79"/>
      <c r="S783" s="79"/>
      <c r="T783" s="79"/>
      <c r="Y783" s="79"/>
      <c r="AD783" s="130"/>
      <c r="AF783" s="106"/>
    </row>
    <row r="784">
      <c r="C784" s="79"/>
      <c r="D784" s="79"/>
      <c r="E784" s="79"/>
      <c r="O784" s="79"/>
      <c r="S784" s="79"/>
      <c r="T784" s="79"/>
      <c r="Y784" s="79"/>
      <c r="AD784" s="130"/>
      <c r="AF784" s="106"/>
    </row>
    <row r="785">
      <c r="C785" s="79"/>
      <c r="D785" s="79"/>
      <c r="E785" s="79"/>
      <c r="O785" s="79"/>
      <c r="S785" s="79"/>
      <c r="T785" s="79"/>
      <c r="Y785" s="79"/>
      <c r="AD785" s="130"/>
      <c r="AF785" s="106"/>
    </row>
    <row r="786">
      <c r="C786" s="79"/>
      <c r="D786" s="79"/>
      <c r="E786" s="79"/>
      <c r="O786" s="79"/>
      <c r="S786" s="79"/>
      <c r="T786" s="79"/>
      <c r="Y786" s="79"/>
      <c r="AD786" s="130"/>
      <c r="AF786" s="106"/>
    </row>
    <row r="787">
      <c r="C787" s="79"/>
      <c r="D787" s="79"/>
      <c r="E787" s="79"/>
      <c r="O787" s="79"/>
      <c r="S787" s="79"/>
      <c r="T787" s="79"/>
      <c r="Y787" s="79"/>
      <c r="AD787" s="130"/>
      <c r="AF787" s="106"/>
    </row>
    <row r="788">
      <c r="C788" s="79"/>
      <c r="D788" s="79"/>
      <c r="E788" s="79"/>
      <c r="O788" s="79"/>
      <c r="S788" s="79"/>
      <c r="T788" s="79"/>
      <c r="Y788" s="79"/>
      <c r="AD788" s="130"/>
      <c r="AF788" s="106"/>
    </row>
    <row r="789">
      <c r="C789" s="79"/>
      <c r="D789" s="79"/>
      <c r="E789" s="79"/>
      <c r="O789" s="79"/>
      <c r="S789" s="79"/>
      <c r="T789" s="79"/>
      <c r="Y789" s="79"/>
      <c r="AD789" s="130"/>
      <c r="AF789" s="106"/>
    </row>
    <row r="790">
      <c r="C790" s="79"/>
      <c r="D790" s="79"/>
      <c r="E790" s="79"/>
      <c r="O790" s="79"/>
      <c r="S790" s="79"/>
      <c r="T790" s="79"/>
      <c r="Y790" s="79"/>
      <c r="AD790" s="130"/>
      <c r="AF790" s="106"/>
    </row>
    <row r="791">
      <c r="C791" s="79"/>
      <c r="D791" s="79"/>
      <c r="E791" s="79"/>
      <c r="O791" s="79"/>
      <c r="S791" s="79"/>
      <c r="T791" s="79"/>
      <c r="Y791" s="79"/>
      <c r="AD791" s="130"/>
      <c r="AF791" s="106"/>
    </row>
    <row r="792">
      <c r="C792" s="79"/>
      <c r="D792" s="79"/>
      <c r="E792" s="79"/>
      <c r="O792" s="79"/>
      <c r="S792" s="79"/>
      <c r="T792" s="79"/>
      <c r="Y792" s="79"/>
      <c r="AD792" s="130"/>
      <c r="AF792" s="106"/>
    </row>
    <row r="793">
      <c r="C793" s="79"/>
      <c r="D793" s="79"/>
      <c r="E793" s="79"/>
      <c r="O793" s="79"/>
      <c r="S793" s="79"/>
      <c r="T793" s="79"/>
      <c r="Y793" s="79"/>
      <c r="AD793" s="130"/>
      <c r="AF793" s="106"/>
    </row>
    <row r="794">
      <c r="C794" s="79"/>
      <c r="D794" s="79"/>
      <c r="E794" s="79"/>
      <c r="O794" s="79"/>
      <c r="S794" s="79"/>
      <c r="T794" s="79"/>
      <c r="Y794" s="79"/>
      <c r="AD794" s="130"/>
      <c r="AF794" s="106"/>
    </row>
    <row r="795">
      <c r="C795" s="79"/>
      <c r="D795" s="79"/>
      <c r="E795" s="79"/>
      <c r="O795" s="79"/>
      <c r="S795" s="79"/>
      <c r="T795" s="79"/>
      <c r="Y795" s="79"/>
      <c r="AD795" s="130"/>
      <c r="AF795" s="106"/>
    </row>
    <row r="796">
      <c r="C796" s="79"/>
      <c r="D796" s="79"/>
      <c r="E796" s="79"/>
      <c r="O796" s="79"/>
      <c r="S796" s="79"/>
      <c r="T796" s="79"/>
      <c r="Y796" s="79"/>
      <c r="AD796" s="130"/>
      <c r="AF796" s="106"/>
    </row>
    <row r="797">
      <c r="C797" s="79"/>
      <c r="D797" s="79"/>
      <c r="E797" s="79"/>
      <c r="O797" s="79"/>
      <c r="S797" s="79"/>
      <c r="T797" s="79"/>
      <c r="Y797" s="79"/>
      <c r="AD797" s="130"/>
      <c r="AF797" s="106"/>
    </row>
    <row r="798">
      <c r="C798" s="79"/>
      <c r="D798" s="79"/>
      <c r="E798" s="79"/>
      <c r="O798" s="79"/>
      <c r="S798" s="79"/>
      <c r="T798" s="79"/>
      <c r="Y798" s="79"/>
      <c r="AD798" s="130"/>
      <c r="AF798" s="106"/>
    </row>
    <row r="799">
      <c r="C799" s="79"/>
      <c r="D799" s="79"/>
      <c r="E799" s="79"/>
      <c r="O799" s="79"/>
      <c r="S799" s="79"/>
      <c r="T799" s="79"/>
      <c r="Y799" s="79"/>
      <c r="AD799" s="130"/>
      <c r="AF799" s="106"/>
    </row>
    <row r="800">
      <c r="C800" s="79"/>
      <c r="D800" s="79"/>
      <c r="E800" s="79"/>
      <c r="O800" s="79"/>
      <c r="S800" s="79"/>
      <c r="T800" s="79"/>
      <c r="Y800" s="79"/>
      <c r="AD800" s="130"/>
      <c r="AF800" s="106"/>
    </row>
    <row r="801">
      <c r="C801" s="79"/>
      <c r="D801" s="79"/>
      <c r="E801" s="79"/>
      <c r="O801" s="79"/>
      <c r="S801" s="79"/>
      <c r="T801" s="79"/>
      <c r="Y801" s="79"/>
      <c r="AD801" s="130"/>
      <c r="AF801" s="106"/>
    </row>
    <row r="802">
      <c r="C802" s="79"/>
      <c r="D802" s="79"/>
      <c r="E802" s="79"/>
      <c r="O802" s="79"/>
      <c r="S802" s="79"/>
      <c r="T802" s="79"/>
      <c r="Y802" s="79"/>
      <c r="AD802" s="130"/>
      <c r="AF802" s="106"/>
    </row>
    <row r="803">
      <c r="C803" s="79"/>
      <c r="D803" s="79"/>
      <c r="E803" s="79"/>
      <c r="O803" s="79"/>
      <c r="S803" s="79"/>
      <c r="T803" s="79"/>
      <c r="Y803" s="79"/>
      <c r="AD803" s="130"/>
      <c r="AF803" s="106"/>
    </row>
    <row r="804">
      <c r="C804" s="79"/>
      <c r="D804" s="79"/>
      <c r="E804" s="79"/>
      <c r="O804" s="79"/>
      <c r="S804" s="79"/>
      <c r="T804" s="79"/>
      <c r="Y804" s="79"/>
      <c r="AD804" s="130"/>
      <c r="AF804" s="106"/>
    </row>
    <row r="805">
      <c r="C805" s="79"/>
      <c r="D805" s="79"/>
      <c r="E805" s="79"/>
      <c r="O805" s="79"/>
      <c r="S805" s="79"/>
      <c r="T805" s="79"/>
      <c r="Y805" s="79"/>
      <c r="AD805" s="130"/>
      <c r="AF805" s="106"/>
    </row>
    <row r="806">
      <c r="C806" s="79"/>
      <c r="D806" s="79"/>
      <c r="E806" s="79"/>
      <c r="O806" s="79"/>
      <c r="S806" s="79"/>
      <c r="T806" s="79"/>
      <c r="Y806" s="79"/>
      <c r="AD806" s="130"/>
      <c r="AF806" s="106"/>
    </row>
    <row r="807">
      <c r="C807" s="79"/>
      <c r="D807" s="79"/>
      <c r="E807" s="79"/>
      <c r="O807" s="79"/>
      <c r="S807" s="79"/>
      <c r="T807" s="79"/>
      <c r="Y807" s="79"/>
      <c r="AD807" s="130"/>
      <c r="AF807" s="106"/>
    </row>
    <row r="808">
      <c r="C808" s="79"/>
      <c r="D808" s="79"/>
      <c r="E808" s="79"/>
      <c r="O808" s="79"/>
      <c r="S808" s="79"/>
      <c r="T808" s="79"/>
      <c r="Y808" s="79"/>
      <c r="AD808" s="130"/>
      <c r="AF808" s="106"/>
    </row>
    <row r="809">
      <c r="C809" s="79"/>
      <c r="D809" s="79"/>
      <c r="E809" s="79"/>
      <c r="O809" s="79"/>
      <c r="S809" s="79"/>
      <c r="T809" s="79"/>
      <c r="Y809" s="79"/>
      <c r="AD809" s="130"/>
      <c r="AF809" s="106"/>
    </row>
    <row r="810">
      <c r="C810" s="79"/>
      <c r="D810" s="79"/>
      <c r="E810" s="79"/>
      <c r="O810" s="79"/>
      <c r="S810" s="79"/>
      <c r="T810" s="79"/>
      <c r="Y810" s="79"/>
      <c r="AD810" s="130"/>
      <c r="AF810" s="106"/>
    </row>
    <row r="811">
      <c r="C811" s="79"/>
      <c r="D811" s="79"/>
      <c r="E811" s="79"/>
      <c r="O811" s="79"/>
      <c r="S811" s="79"/>
      <c r="T811" s="79"/>
      <c r="Y811" s="79"/>
      <c r="AD811" s="130"/>
      <c r="AF811" s="106"/>
    </row>
    <row r="812">
      <c r="C812" s="79"/>
      <c r="D812" s="79"/>
      <c r="E812" s="79"/>
      <c r="O812" s="79"/>
      <c r="S812" s="79"/>
      <c r="T812" s="79"/>
      <c r="Y812" s="79"/>
      <c r="AD812" s="130"/>
      <c r="AF812" s="106"/>
    </row>
    <row r="813">
      <c r="C813" s="79"/>
      <c r="D813" s="79"/>
      <c r="E813" s="79"/>
      <c r="O813" s="79"/>
      <c r="S813" s="79"/>
      <c r="T813" s="79"/>
      <c r="Y813" s="79"/>
      <c r="AD813" s="130"/>
      <c r="AF813" s="106"/>
    </row>
    <row r="814">
      <c r="C814" s="79"/>
      <c r="D814" s="79"/>
      <c r="E814" s="79"/>
      <c r="O814" s="79"/>
      <c r="S814" s="79"/>
      <c r="T814" s="79"/>
      <c r="Y814" s="79"/>
      <c r="AD814" s="130"/>
      <c r="AF814" s="106"/>
    </row>
    <row r="815">
      <c r="C815" s="79"/>
      <c r="D815" s="79"/>
      <c r="E815" s="79"/>
      <c r="O815" s="79"/>
      <c r="S815" s="79"/>
      <c r="T815" s="79"/>
      <c r="Y815" s="79"/>
      <c r="AD815" s="130"/>
      <c r="AF815" s="106"/>
    </row>
    <row r="816">
      <c r="C816" s="79"/>
      <c r="D816" s="79"/>
      <c r="E816" s="79"/>
      <c r="O816" s="79"/>
      <c r="S816" s="79"/>
      <c r="T816" s="79"/>
      <c r="Y816" s="79"/>
      <c r="AD816" s="130"/>
      <c r="AF816" s="106"/>
    </row>
    <row r="817">
      <c r="C817" s="79"/>
      <c r="D817" s="79"/>
      <c r="E817" s="79"/>
      <c r="O817" s="79"/>
      <c r="S817" s="79"/>
      <c r="T817" s="79"/>
      <c r="Y817" s="79"/>
      <c r="AD817" s="130"/>
      <c r="AF817" s="106"/>
    </row>
    <row r="818">
      <c r="C818" s="79"/>
      <c r="D818" s="79"/>
      <c r="E818" s="79"/>
      <c r="O818" s="79"/>
      <c r="S818" s="79"/>
      <c r="T818" s="79"/>
      <c r="Y818" s="79"/>
      <c r="AD818" s="130"/>
      <c r="AF818" s="106"/>
    </row>
    <row r="819">
      <c r="C819" s="79"/>
      <c r="D819" s="79"/>
      <c r="E819" s="79"/>
      <c r="O819" s="79"/>
      <c r="S819" s="79"/>
      <c r="T819" s="79"/>
      <c r="Y819" s="79"/>
      <c r="AD819" s="130"/>
      <c r="AF819" s="106"/>
    </row>
    <row r="820">
      <c r="C820" s="79"/>
      <c r="D820" s="79"/>
      <c r="E820" s="79"/>
      <c r="O820" s="79"/>
      <c r="S820" s="79"/>
      <c r="T820" s="79"/>
      <c r="Y820" s="79"/>
      <c r="AD820" s="130"/>
      <c r="AF820" s="106"/>
    </row>
    <row r="821">
      <c r="C821" s="79"/>
      <c r="D821" s="79"/>
      <c r="E821" s="79"/>
      <c r="O821" s="79"/>
      <c r="S821" s="79"/>
      <c r="T821" s="79"/>
      <c r="Y821" s="79"/>
      <c r="AD821" s="130"/>
      <c r="AF821" s="106"/>
    </row>
    <row r="822">
      <c r="C822" s="79"/>
      <c r="D822" s="79"/>
      <c r="E822" s="79"/>
      <c r="O822" s="79"/>
      <c r="S822" s="79"/>
      <c r="T822" s="79"/>
      <c r="Y822" s="79"/>
      <c r="AD822" s="130"/>
      <c r="AF822" s="106"/>
    </row>
    <row r="823">
      <c r="C823" s="79"/>
      <c r="D823" s="79"/>
      <c r="E823" s="79"/>
      <c r="O823" s="79"/>
      <c r="S823" s="79"/>
      <c r="T823" s="79"/>
      <c r="Y823" s="79"/>
      <c r="AD823" s="130"/>
      <c r="AF823" s="106"/>
    </row>
    <row r="824">
      <c r="C824" s="79"/>
      <c r="D824" s="79"/>
      <c r="E824" s="79"/>
      <c r="O824" s="79"/>
      <c r="S824" s="79"/>
      <c r="T824" s="79"/>
      <c r="Y824" s="79"/>
      <c r="AD824" s="130"/>
      <c r="AF824" s="106"/>
    </row>
    <row r="825">
      <c r="C825" s="79"/>
      <c r="D825" s="79"/>
      <c r="E825" s="79"/>
      <c r="O825" s="79"/>
      <c r="S825" s="79"/>
      <c r="T825" s="79"/>
      <c r="Y825" s="79"/>
      <c r="AD825" s="130"/>
      <c r="AF825" s="106"/>
    </row>
    <row r="826">
      <c r="C826" s="79"/>
      <c r="D826" s="79"/>
      <c r="E826" s="79"/>
      <c r="O826" s="79"/>
      <c r="S826" s="79"/>
      <c r="T826" s="79"/>
      <c r="Y826" s="79"/>
      <c r="AD826" s="130"/>
      <c r="AF826" s="106"/>
    </row>
    <row r="827">
      <c r="C827" s="79"/>
      <c r="D827" s="79"/>
      <c r="E827" s="79"/>
      <c r="O827" s="79"/>
      <c r="S827" s="79"/>
      <c r="T827" s="79"/>
      <c r="Y827" s="79"/>
      <c r="AD827" s="130"/>
      <c r="AF827" s="106"/>
    </row>
    <row r="828">
      <c r="C828" s="79"/>
      <c r="D828" s="79"/>
      <c r="E828" s="79"/>
      <c r="O828" s="79"/>
      <c r="S828" s="79"/>
      <c r="T828" s="79"/>
      <c r="Y828" s="79"/>
      <c r="AD828" s="130"/>
      <c r="AF828" s="106"/>
    </row>
    <row r="829">
      <c r="C829" s="79"/>
      <c r="D829" s="79"/>
      <c r="E829" s="79"/>
      <c r="O829" s="79"/>
      <c r="S829" s="79"/>
      <c r="T829" s="79"/>
      <c r="Y829" s="79"/>
      <c r="AD829" s="130"/>
      <c r="AF829" s="106"/>
    </row>
    <row r="830">
      <c r="C830" s="79"/>
      <c r="D830" s="79"/>
      <c r="E830" s="79"/>
      <c r="O830" s="79"/>
      <c r="S830" s="79"/>
      <c r="T830" s="79"/>
      <c r="Y830" s="79"/>
      <c r="AD830" s="130"/>
      <c r="AF830" s="106"/>
    </row>
    <row r="831">
      <c r="C831" s="79"/>
      <c r="D831" s="79"/>
      <c r="E831" s="79"/>
      <c r="O831" s="79"/>
      <c r="S831" s="79"/>
      <c r="T831" s="79"/>
      <c r="Y831" s="79"/>
      <c r="AD831" s="130"/>
      <c r="AF831" s="106"/>
    </row>
    <row r="832">
      <c r="C832" s="79"/>
      <c r="D832" s="79"/>
      <c r="E832" s="79"/>
      <c r="O832" s="79"/>
      <c r="S832" s="79"/>
      <c r="T832" s="79"/>
      <c r="Y832" s="79"/>
      <c r="AD832" s="130"/>
      <c r="AF832" s="106"/>
    </row>
    <row r="833">
      <c r="C833" s="79"/>
      <c r="D833" s="79"/>
      <c r="E833" s="79"/>
      <c r="O833" s="79"/>
      <c r="S833" s="79"/>
      <c r="T833" s="79"/>
      <c r="Y833" s="79"/>
      <c r="AD833" s="130"/>
      <c r="AF833" s="106"/>
    </row>
    <row r="834">
      <c r="C834" s="79"/>
      <c r="D834" s="79"/>
      <c r="E834" s="79"/>
      <c r="O834" s="79"/>
      <c r="S834" s="79"/>
      <c r="T834" s="79"/>
      <c r="Y834" s="79"/>
      <c r="AD834" s="130"/>
      <c r="AF834" s="106"/>
    </row>
    <row r="835">
      <c r="C835" s="79"/>
      <c r="D835" s="79"/>
      <c r="E835" s="79"/>
      <c r="O835" s="79"/>
      <c r="S835" s="79"/>
      <c r="T835" s="79"/>
      <c r="Y835" s="79"/>
      <c r="AD835" s="130"/>
      <c r="AF835" s="106"/>
    </row>
    <row r="836">
      <c r="C836" s="79"/>
      <c r="D836" s="79"/>
      <c r="E836" s="79"/>
      <c r="O836" s="79"/>
      <c r="S836" s="79"/>
      <c r="T836" s="79"/>
      <c r="Y836" s="79"/>
      <c r="AD836" s="130"/>
      <c r="AF836" s="106"/>
    </row>
    <row r="837">
      <c r="C837" s="79"/>
      <c r="D837" s="79"/>
      <c r="E837" s="79"/>
      <c r="O837" s="79"/>
      <c r="S837" s="79"/>
      <c r="T837" s="79"/>
      <c r="Y837" s="79"/>
      <c r="AD837" s="130"/>
      <c r="AF837" s="106"/>
    </row>
    <row r="838">
      <c r="C838" s="79"/>
      <c r="D838" s="79"/>
      <c r="E838" s="79"/>
      <c r="O838" s="79"/>
      <c r="S838" s="79"/>
      <c r="T838" s="79"/>
      <c r="Y838" s="79"/>
      <c r="AD838" s="130"/>
      <c r="AF838" s="106"/>
    </row>
    <row r="839">
      <c r="C839" s="79"/>
      <c r="D839" s="79"/>
      <c r="E839" s="79"/>
      <c r="O839" s="79"/>
      <c r="S839" s="79"/>
      <c r="T839" s="79"/>
      <c r="Y839" s="79"/>
      <c r="AD839" s="130"/>
      <c r="AF839" s="106"/>
    </row>
    <row r="840">
      <c r="C840" s="79"/>
      <c r="D840" s="79"/>
      <c r="E840" s="79"/>
      <c r="O840" s="79"/>
      <c r="S840" s="79"/>
      <c r="T840" s="79"/>
      <c r="Y840" s="79"/>
      <c r="AD840" s="130"/>
      <c r="AF840" s="106"/>
    </row>
    <row r="841">
      <c r="C841" s="79"/>
      <c r="D841" s="79"/>
      <c r="E841" s="79"/>
      <c r="O841" s="79"/>
      <c r="S841" s="79"/>
      <c r="T841" s="79"/>
      <c r="Y841" s="79"/>
      <c r="AD841" s="130"/>
      <c r="AF841" s="106"/>
    </row>
    <row r="842">
      <c r="C842" s="79"/>
      <c r="D842" s="79"/>
      <c r="E842" s="79"/>
      <c r="O842" s="79"/>
      <c r="S842" s="79"/>
      <c r="T842" s="79"/>
      <c r="Y842" s="79"/>
      <c r="AD842" s="130"/>
      <c r="AF842" s="106"/>
    </row>
    <row r="843">
      <c r="C843" s="79"/>
      <c r="D843" s="79"/>
      <c r="E843" s="79"/>
      <c r="O843" s="79"/>
      <c r="S843" s="79"/>
      <c r="T843" s="79"/>
      <c r="Y843" s="79"/>
      <c r="AD843" s="130"/>
      <c r="AF843" s="106"/>
    </row>
    <row r="844">
      <c r="C844" s="79"/>
      <c r="D844" s="79"/>
      <c r="E844" s="79"/>
      <c r="O844" s="79"/>
      <c r="S844" s="79"/>
      <c r="T844" s="79"/>
      <c r="Y844" s="79"/>
      <c r="AD844" s="130"/>
      <c r="AF844" s="106"/>
    </row>
    <row r="845">
      <c r="C845" s="79"/>
      <c r="D845" s="79"/>
      <c r="E845" s="79"/>
      <c r="O845" s="79"/>
      <c r="S845" s="79"/>
      <c r="T845" s="79"/>
      <c r="Y845" s="79"/>
      <c r="AD845" s="130"/>
      <c r="AF845" s="106"/>
    </row>
    <row r="846">
      <c r="C846" s="79"/>
      <c r="D846" s="79"/>
      <c r="E846" s="79"/>
      <c r="O846" s="79"/>
      <c r="S846" s="79"/>
      <c r="T846" s="79"/>
      <c r="Y846" s="79"/>
      <c r="AD846" s="130"/>
      <c r="AF846" s="106"/>
    </row>
    <row r="847">
      <c r="C847" s="79"/>
      <c r="D847" s="79"/>
      <c r="E847" s="79"/>
      <c r="O847" s="79"/>
      <c r="S847" s="79"/>
      <c r="T847" s="79"/>
      <c r="Y847" s="79"/>
      <c r="AD847" s="130"/>
      <c r="AF847" s="106"/>
    </row>
    <row r="848">
      <c r="C848" s="79"/>
      <c r="D848" s="79"/>
      <c r="E848" s="79"/>
      <c r="O848" s="79"/>
      <c r="S848" s="79"/>
      <c r="T848" s="79"/>
      <c r="Y848" s="79"/>
      <c r="AD848" s="130"/>
      <c r="AF848" s="106"/>
    </row>
    <row r="849">
      <c r="C849" s="79"/>
      <c r="D849" s="79"/>
      <c r="E849" s="79"/>
      <c r="O849" s="79"/>
      <c r="S849" s="79"/>
      <c r="T849" s="79"/>
      <c r="Y849" s="79"/>
      <c r="AD849" s="130"/>
      <c r="AF849" s="106"/>
    </row>
    <row r="850">
      <c r="C850" s="79"/>
      <c r="D850" s="79"/>
      <c r="E850" s="79"/>
      <c r="O850" s="79"/>
      <c r="S850" s="79"/>
      <c r="T850" s="79"/>
      <c r="Y850" s="79"/>
      <c r="AD850" s="130"/>
      <c r="AF850" s="106"/>
    </row>
    <row r="851">
      <c r="C851" s="79"/>
      <c r="D851" s="79"/>
      <c r="E851" s="79"/>
      <c r="O851" s="79"/>
      <c r="S851" s="79"/>
      <c r="T851" s="79"/>
      <c r="Y851" s="79"/>
      <c r="AD851" s="130"/>
      <c r="AF851" s="106"/>
    </row>
    <row r="852">
      <c r="C852" s="79"/>
      <c r="D852" s="79"/>
      <c r="E852" s="79"/>
      <c r="O852" s="79"/>
      <c r="S852" s="79"/>
      <c r="T852" s="79"/>
      <c r="Y852" s="79"/>
      <c r="AD852" s="130"/>
      <c r="AF852" s="106"/>
    </row>
    <row r="853">
      <c r="C853" s="79"/>
      <c r="D853" s="79"/>
      <c r="E853" s="79"/>
      <c r="O853" s="79"/>
      <c r="S853" s="79"/>
      <c r="T853" s="79"/>
      <c r="Y853" s="79"/>
      <c r="AD853" s="130"/>
      <c r="AF853" s="106"/>
    </row>
    <row r="854">
      <c r="C854" s="79"/>
      <c r="D854" s="79"/>
      <c r="E854" s="79"/>
      <c r="O854" s="79"/>
      <c r="S854" s="79"/>
      <c r="T854" s="79"/>
      <c r="Y854" s="79"/>
      <c r="AD854" s="130"/>
      <c r="AF854" s="106"/>
    </row>
    <row r="855">
      <c r="O855" s="79"/>
      <c r="S855" s="79"/>
      <c r="T855" s="79"/>
      <c r="Y855" s="79"/>
      <c r="AD855" s="130"/>
      <c r="AF855" s="106"/>
    </row>
    <row r="856">
      <c r="O856" s="79"/>
      <c r="S856" s="79"/>
      <c r="T856" s="79"/>
      <c r="Y856" s="79"/>
      <c r="AD856" s="130"/>
      <c r="AF856" s="106"/>
    </row>
    <row r="857">
      <c r="O857" s="79"/>
      <c r="S857" s="79"/>
      <c r="T857" s="79"/>
      <c r="Y857" s="79"/>
      <c r="AD857" s="130"/>
      <c r="AF857" s="106"/>
    </row>
    <row r="858">
      <c r="O858" s="79"/>
      <c r="S858" s="79"/>
      <c r="T858" s="79"/>
      <c r="Y858" s="79"/>
      <c r="AD858" s="130"/>
      <c r="AF858" s="106"/>
    </row>
    <row r="859">
      <c r="O859" s="79"/>
      <c r="S859" s="79"/>
      <c r="T859" s="79"/>
      <c r="Y859" s="79"/>
      <c r="AD859" s="130"/>
      <c r="AF859" s="106"/>
    </row>
    <row r="860">
      <c r="O860" s="79"/>
      <c r="S860" s="79"/>
      <c r="T860" s="79"/>
      <c r="Y860" s="79"/>
      <c r="AD860" s="130"/>
      <c r="AF860" s="106"/>
    </row>
  </sheetData>
  <autoFilter ref="$A$43:$F$76">
    <sortState ref="A43:F76">
      <sortCondition descending="1" sortBy="cellColor" ref="E43:E76" dxfId="1"/>
      <sortCondition descending="1" sortBy="cellColor" ref="C43:C76" dxfId="1"/>
      <sortCondition descending="1" sortBy="cellColor" ref="A43:A76" dxfId="1"/>
    </sortState>
  </autoFilter>
  <mergeCells count="1">
    <mergeCell ref="B40:E40"/>
  </mergeCells>
  <conditionalFormatting sqref="X44:X56">
    <cfRule type="cellIs" dxfId="2" priority="1" operator="greaterThanOrEqual">
      <formula>1</formula>
    </cfRule>
  </conditionalFormatting>
  <conditionalFormatting sqref="X44:X56">
    <cfRule type="cellIs" dxfId="3" priority="2" operator="lessThanOrEqual">
      <formula>0</formula>
    </cfRule>
  </conditionalFormatting>
  <drawing r:id="rId2"/>
  <legacyDrawing r:id="rId3"/>
  <tableParts count="1">
    <tablePart r:id="rId5"/>
  </tableParts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3" max="3" width="17.38"/>
    <col customWidth="1" min="4" max="4" width="25.75"/>
    <col customWidth="1" min="5" max="5" width="20.88"/>
    <col customWidth="1" min="6" max="6" width="15.5"/>
    <col customWidth="1" min="7" max="7" width="13.5"/>
    <col customWidth="1" min="8" max="8" width="28.63"/>
    <col customWidth="1" min="9" max="10" width="15.5"/>
    <col customWidth="1" min="11" max="11" width="16.5"/>
    <col customWidth="1" min="12" max="13" width="15.5"/>
    <col customWidth="1" min="15" max="15" width="27.38"/>
    <col customWidth="1" min="26" max="26" width="14.63"/>
    <col customWidth="1" min="32" max="32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4</v>
      </c>
      <c r="J1" s="2" t="s">
        <v>5</v>
      </c>
      <c r="K1" s="2" t="s">
        <v>303</v>
      </c>
      <c r="L1" s="2" t="s">
        <v>6</v>
      </c>
      <c r="M1" s="2" t="s">
        <v>12</v>
      </c>
      <c r="N1" s="2" t="s">
        <v>49</v>
      </c>
      <c r="O1" s="105" t="s">
        <v>304</v>
      </c>
      <c r="P1" s="2" t="s">
        <v>37</v>
      </c>
      <c r="Q1" s="2" t="s">
        <v>10</v>
      </c>
      <c r="R1" s="2" t="s">
        <v>42</v>
      </c>
      <c r="S1" s="105" t="s">
        <v>656</v>
      </c>
      <c r="T1" s="105" t="s">
        <v>9</v>
      </c>
      <c r="U1" s="2" t="s">
        <v>164</v>
      </c>
      <c r="V1" s="105" t="s">
        <v>40</v>
      </c>
      <c r="W1" s="2" t="s">
        <v>83</v>
      </c>
      <c r="X1" s="2" t="s">
        <v>204</v>
      </c>
      <c r="Y1" s="105" t="s">
        <v>205</v>
      </c>
      <c r="Z1" s="2" t="s">
        <v>206</v>
      </c>
      <c r="AA1" s="2" t="s">
        <v>305</v>
      </c>
      <c r="AB1" s="3" t="s">
        <v>760</v>
      </c>
      <c r="AC1" s="3" t="s">
        <v>13</v>
      </c>
      <c r="AD1" s="3" t="s">
        <v>14</v>
      </c>
      <c r="AE1" s="3" t="s">
        <v>15</v>
      </c>
      <c r="AF1" s="106"/>
      <c r="AG1" s="265" t="s">
        <v>306</v>
      </c>
      <c r="AH1" s="266" t="s">
        <v>80</v>
      </c>
    </row>
    <row r="2">
      <c r="A2" s="74">
        <v>45593.0</v>
      </c>
      <c r="B2" s="93">
        <f>633.13-128.96+32.9</f>
        <v>537.07</v>
      </c>
      <c r="C2" s="328">
        <v>59.99</v>
      </c>
      <c r="D2" s="93"/>
      <c r="E2" s="93"/>
      <c r="F2" s="93"/>
      <c r="G2" s="93">
        <v>180.0</v>
      </c>
      <c r="H2" s="93"/>
      <c r="I2" s="93"/>
      <c r="J2" s="344">
        <v>284.9</v>
      </c>
      <c r="K2" s="93"/>
      <c r="L2" s="93"/>
      <c r="M2" s="93"/>
      <c r="N2" s="93">
        <f>84</f>
        <v>84</v>
      </c>
      <c r="O2" s="93"/>
      <c r="P2" s="72"/>
      <c r="Q2" s="93">
        <f>101.9-40</f>
        <v>61.9</v>
      </c>
      <c r="R2" s="93"/>
      <c r="S2" s="93"/>
      <c r="T2" s="93"/>
      <c r="U2" s="93"/>
      <c r="V2" s="93"/>
      <c r="W2" s="93"/>
      <c r="X2" s="93"/>
      <c r="Y2" s="93"/>
      <c r="Z2" s="93"/>
      <c r="AA2" s="386"/>
      <c r="AB2" s="171"/>
      <c r="AC2" s="107">
        <f>SUM(B2:AA2)</f>
        <v>1207.86</v>
      </c>
      <c r="AD2" s="158">
        <v>0.0</v>
      </c>
      <c r="AE2" s="59" t="str">
        <f t="shared" ref="AE2:AE8" si="1">AC2/AD2</f>
        <v>#DIV/0!</v>
      </c>
      <c r="AF2" s="109">
        <f t="shared" ref="AF2:AF8" si="2">A2</f>
        <v>45593</v>
      </c>
      <c r="AG2" s="267"/>
      <c r="AH2" s="268">
        <f t="shared" ref="AH2:AH8" si="3">AD2-AG2</f>
        <v>0</v>
      </c>
    </row>
    <row r="3">
      <c r="A3" s="74">
        <f t="shared" ref="A3:A8" si="4">A2+1</f>
        <v>45594</v>
      </c>
      <c r="B3" s="93">
        <f>1095.65-28.1-89.78-73.95-102.48-39.89-39.5-64.71-32.7-278.34-8.32</f>
        <v>337.88</v>
      </c>
      <c r="C3" s="93">
        <f>945.31-22-34.04-32.5-35.5-25.5-36-148.32-90-42.35-35.25</f>
        <v>443.85</v>
      </c>
      <c r="D3" s="93">
        <f>885.68-14.5-304.8-183.9-48.6-263.6</f>
        <v>70.28</v>
      </c>
      <c r="E3" s="93"/>
      <c r="F3" s="93"/>
      <c r="G3" s="93"/>
      <c r="H3" s="168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326"/>
      <c r="AB3" s="171"/>
      <c r="AC3" s="107">
        <f t="shared" ref="AC3:AC8" si="5">SUM(B3:Z3)</f>
        <v>852.01</v>
      </c>
      <c r="AD3" s="158">
        <v>3498.0</v>
      </c>
      <c r="AE3" s="59">
        <f t="shared" si="1"/>
        <v>0.2435706118</v>
      </c>
      <c r="AF3" s="109">
        <f t="shared" si="2"/>
        <v>45594</v>
      </c>
      <c r="AG3" s="267"/>
      <c r="AH3" s="268">
        <f t="shared" si="3"/>
        <v>3498</v>
      </c>
    </row>
    <row r="4">
      <c r="A4" s="74">
        <f t="shared" si="4"/>
        <v>45595</v>
      </c>
      <c r="B4" s="93">
        <f>1297.72-45.3-222.84-27.1-79.47-26.04-34.36-8.09-17.4-32.58-370.11-107.28+7.95+60</f>
        <v>395.1</v>
      </c>
      <c r="C4" s="93">
        <v>164.05</v>
      </c>
      <c r="D4" s="93"/>
      <c r="E4" s="93"/>
      <c r="F4" s="93"/>
      <c r="G4" s="93">
        <v>180.0</v>
      </c>
      <c r="H4" s="168"/>
      <c r="I4" s="93">
        <f>219.32-91.04</f>
        <v>128.28</v>
      </c>
      <c r="J4" s="93"/>
      <c r="K4" s="93"/>
      <c r="L4" s="93"/>
      <c r="M4" s="93"/>
      <c r="N4" s="93"/>
      <c r="O4" s="93"/>
      <c r="P4" s="160"/>
      <c r="Q4" s="93"/>
      <c r="R4" s="93"/>
      <c r="S4" s="93"/>
      <c r="T4" s="93"/>
      <c r="U4" s="93"/>
      <c r="V4" s="93"/>
      <c r="W4" s="93"/>
      <c r="X4" s="93"/>
      <c r="Y4" s="93"/>
      <c r="Z4" s="101"/>
      <c r="AA4" s="326"/>
      <c r="AB4" s="171"/>
      <c r="AC4" s="107">
        <f t="shared" si="5"/>
        <v>867.43</v>
      </c>
      <c r="AD4" s="380">
        <v>4192</v>
      </c>
      <c r="AE4" s="59">
        <f t="shared" si="1"/>
        <v>0.2069250954</v>
      </c>
      <c r="AF4" s="109">
        <f t="shared" si="2"/>
        <v>45595</v>
      </c>
      <c r="AG4" s="267"/>
      <c r="AH4" s="268">
        <f t="shared" si="3"/>
        <v>4192</v>
      </c>
    </row>
    <row r="5">
      <c r="A5" s="74">
        <f t="shared" si="4"/>
        <v>45596</v>
      </c>
      <c r="B5" s="93">
        <f>365.68-48.79-13.41-36.83-9.54-8.62-13.02-66.68+136.77+30</f>
        <v>335.56</v>
      </c>
      <c r="C5" s="93"/>
      <c r="D5" s="93"/>
      <c r="E5" s="93"/>
      <c r="F5" s="93"/>
      <c r="G5" s="93"/>
      <c r="H5" s="160"/>
      <c r="I5" s="93"/>
      <c r="J5" s="93"/>
      <c r="K5" s="93"/>
      <c r="L5" s="93"/>
      <c r="M5" s="93"/>
      <c r="N5" s="93"/>
      <c r="O5" s="93"/>
      <c r="P5" s="93"/>
      <c r="Q5" s="93"/>
      <c r="R5" s="93"/>
      <c r="S5" s="101"/>
      <c r="T5" s="93"/>
      <c r="U5" s="93"/>
      <c r="V5" s="93"/>
      <c r="W5" s="93"/>
      <c r="X5" s="93"/>
      <c r="Y5" s="101"/>
      <c r="Z5" s="101"/>
      <c r="AA5" s="327"/>
      <c r="AB5" s="270"/>
      <c r="AC5" s="7">
        <f t="shared" si="5"/>
        <v>335.56</v>
      </c>
      <c r="AD5" s="380">
        <v>1033.0</v>
      </c>
      <c r="AE5" s="59">
        <f t="shared" si="1"/>
        <v>0.3248402711</v>
      </c>
      <c r="AF5" s="109">
        <f t="shared" si="2"/>
        <v>45596</v>
      </c>
      <c r="AG5" s="267"/>
      <c r="AH5" s="268">
        <f t="shared" si="3"/>
        <v>1033</v>
      </c>
    </row>
    <row r="6">
      <c r="A6" s="74">
        <f t="shared" si="4"/>
        <v>45597</v>
      </c>
      <c r="B6" s="93"/>
      <c r="C6" s="361">
        <f>119.75-35.5</f>
        <v>84.25</v>
      </c>
      <c r="D6" s="93">
        <v>131.8</v>
      </c>
      <c r="E6" s="93"/>
      <c r="F6" s="93"/>
      <c r="G6" s="93"/>
      <c r="H6" s="160"/>
      <c r="I6" s="93"/>
      <c r="J6" s="93">
        <f>297-148.5</f>
        <v>148.5</v>
      </c>
      <c r="K6" s="93"/>
      <c r="L6" s="93"/>
      <c r="M6" s="93"/>
      <c r="N6" s="93"/>
      <c r="O6" s="93"/>
      <c r="P6" s="93"/>
      <c r="Q6" s="93">
        <v>30.0</v>
      </c>
      <c r="R6" s="93"/>
      <c r="S6" s="93"/>
      <c r="T6" s="374"/>
      <c r="U6" s="93"/>
      <c r="V6" s="93"/>
      <c r="W6" s="93"/>
      <c r="X6" s="93"/>
      <c r="Y6" s="93"/>
      <c r="Z6" s="93"/>
      <c r="AA6" s="327"/>
      <c r="AB6" s="270"/>
      <c r="AC6" s="7">
        <f t="shared" si="5"/>
        <v>394.55</v>
      </c>
      <c r="AD6" s="380">
        <v>7173.0</v>
      </c>
      <c r="AE6" s="59">
        <f t="shared" si="1"/>
        <v>0.05500487941</v>
      </c>
      <c r="AF6" s="109">
        <f t="shared" si="2"/>
        <v>45597</v>
      </c>
      <c r="AG6" s="267"/>
      <c r="AH6" s="268">
        <f t="shared" si="3"/>
        <v>7173</v>
      </c>
    </row>
    <row r="7">
      <c r="A7" s="74">
        <f t="shared" si="4"/>
        <v>45598</v>
      </c>
      <c r="B7" s="93"/>
      <c r="C7" s="361">
        <f>254.05-25.25-22-75-30.65-27.35</f>
        <v>73.8</v>
      </c>
      <c r="D7" s="93">
        <v>43.99</v>
      </c>
      <c r="E7" s="93"/>
      <c r="F7" s="93"/>
      <c r="G7" s="93">
        <v>180.0</v>
      </c>
      <c r="H7" s="180">
        <v>250.45</v>
      </c>
      <c r="I7" s="93"/>
      <c r="J7" s="93"/>
      <c r="K7" s="93"/>
      <c r="L7" s="93"/>
      <c r="M7" s="93"/>
      <c r="N7" s="93">
        <v>84.0</v>
      </c>
      <c r="O7" s="93"/>
      <c r="P7" s="402"/>
      <c r="Q7" s="93"/>
      <c r="R7" s="93"/>
      <c r="S7" s="101"/>
      <c r="T7" s="93"/>
      <c r="U7" s="93"/>
      <c r="V7" s="93"/>
      <c r="W7" s="93"/>
      <c r="X7" s="93"/>
      <c r="Y7" s="101"/>
      <c r="Z7" s="93"/>
      <c r="AA7" s="327"/>
      <c r="AB7" s="270"/>
      <c r="AC7" s="7">
        <f t="shared" si="5"/>
        <v>632.24</v>
      </c>
      <c r="AD7" s="380">
        <v>9504.0</v>
      </c>
      <c r="AE7" s="59">
        <f t="shared" si="1"/>
        <v>0.06652356902</v>
      </c>
      <c r="AF7" s="109">
        <f t="shared" si="2"/>
        <v>45598</v>
      </c>
      <c r="AG7" s="267"/>
      <c r="AH7" s="268">
        <f t="shared" si="3"/>
        <v>9504</v>
      </c>
    </row>
    <row r="8">
      <c r="A8" s="74">
        <f t="shared" si="4"/>
        <v>45599</v>
      </c>
      <c r="B8" s="93"/>
      <c r="C8" s="374"/>
      <c r="D8" s="180">
        <v>201.86</v>
      </c>
      <c r="E8" s="93"/>
      <c r="F8" s="344">
        <f>421.43-15</f>
        <v>406.43</v>
      </c>
      <c r="G8" s="10"/>
      <c r="H8" s="180">
        <v>778.27</v>
      </c>
      <c r="I8" s="344">
        <v>376.64</v>
      </c>
      <c r="J8" s="180">
        <v>543.2</v>
      </c>
      <c r="K8" s="93"/>
      <c r="L8" s="112"/>
      <c r="M8" s="112"/>
      <c r="N8" s="93"/>
      <c r="O8" s="93"/>
      <c r="P8" s="93"/>
      <c r="Q8" s="93"/>
      <c r="R8" s="374"/>
      <c r="S8" s="101"/>
      <c r="T8" s="374"/>
      <c r="U8" s="180">
        <v>273.0</v>
      </c>
      <c r="V8" s="112"/>
      <c r="W8" s="112"/>
      <c r="X8" s="112"/>
      <c r="Y8" s="112"/>
      <c r="Z8" s="112"/>
      <c r="AA8" s="93"/>
      <c r="AB8" s="7"/>
      <c r="AC8" s="7">
        <f t="shared" si="5"/>
        <v>2579.4</v>
      </c>
      <c r="AD8" s="380"/>
      <c r="AE8" s="59" t="str">
        <f t="shared" si="1"/>
        <v>#DIV/0!</v>
      </c>
      <c r="AF8" s="109">
        <f t="shared" si="2"/>
        <v>45599</v>
      </c>
      <c r="AG8" s="267"/>
      <c r="AH8" s="268">
        <f t="shared" si="3"/>
        <v>0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AD9" s="129"/>
      <c r="AF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AD10" s="129"/>
      <c r="AF10" s="106"/>
    </row>
    <row r="11">
      <c r="A11" s="165" t="s">
        <v>194</v>
      </c>
      <c r="B11" s="93">
        <f>39.89+27.1+8.32+48.79+13.41+66.68</f>
        <v>204.19</v>
      </c>
      <c r="C11" s="93">
        <f>32.5+35.5+25.5</f>
        <v>93.5</v>
      </c>
      <c r="D11" s="93">
        <f>120</f>
        <v>120</v>
      </c>
      <c r="E11" s="167"/>
      <c r="F11" s="168"/>
      <c r="G11" s="168"/>
      <c r="H11" s="166"/>
      <c r="I11" s="166"/>
      <c r="J11" s="93"/>
      <c r="K11" s="168"/>
      <c r="L11" s="93">
        <v>28.0</v>
      </c>
      <c r="M11" s="93"/>
      <c r="N11" s="93"/>
      <c r="O11" s="168"/>
      <c r="P11" s="168"/>
      <c r="Q11" s="168"/>
      <c r="R11" s="168"/>
      <c r="S11" s="168"/>
      <c r="T11" s="168"/>
      <c r="U11" s="168"/>
      <c r="V11" s="168"/>
      <c r="W11" s="1"/>
      <c r="X11" s="168"/>
      <c r="Y11" s="168"/>
      <c r="Z11" s="1"/>
      <c r="AA11" s="1"/>
      <c r="AB11" s="1"/>
      <c r="AC11" s="1"/>
      <c r="AD11" s="169"/>
      <c r="AE11" s="1"/>
      <c r="AF11" s="170"/>
    </row>
    <row r="12">
      <c r="A12" s="165" t="s">
        <v>195</v>
      </c>
      <c r="B12" s="224">
        <f>28.1+139.17+45.3+222.84+79.47+26.04+34.36+8.09+17.4+32.58+370.11+36.83+9.54+8.62+13.02</f>
        <v>1071.47</v>
      </c>
      <c r="C12" s="93">
        <f>22+148.32+90+35.5+25.25+22+75+30.65+27.35</f>
        <v>476.07</v>
      </c>
      <c r="D12" s="93">
        <f>120.84+171.6</f>
        <v>292.44</v>
      </c>
      <c r="E12" s="93"/>
      <c r="F12" s="374"/>
      <c r="G12" s="93"/>
      <c r="H12" s="93"/>
      <c r="I12" s="93">
        <f>91.04</f>
        <v>91.04</v>
      </c>
      <c r="J12" s="93">
        <v>148.5</v>
      </c>
      <c r="L12" s="93"/>
      <c r="M12" s="93"/>
      <c r="N12" s="93">
        <f>72+156</f>
        <v>228</v>
      </c>
      <c r="O12" s="168"/>
      <c r="P12" s="168"/>
      <c r="Q12" s="166"/>
      <c r="R12" s="166"/>
      <c r="S12" s="180">
        <f>658-329</f>
        <v>329</v>
      </c>
      <c r="T12" s="166"/>
      <c r="U12" s="168"/>
      <c r="V12" s="168"/>
      <c r="W12" s="1"/>
      <c r="X12" s="93"/>
      <c r="Y12" s="168"/>
      <c r="Z12" s="1"/>
      <c r="AA12" s="1"/>
      <c r="AB12" s="6">
        <f>J61</f>
        <v>2362.593333</v>
      </c>
      <c r="AC12" s="1"/>
      <c r="AD12" s="171"/>
      <c r="AE12" s="1"/>
      <c r="AF12" s="170"/>
    </row>
    <row r="13">
      <c r="A13" s="172" t="s">
        <v>796</v>
      </c>
      <c r="B13" s="93">
        <f>213.28+89.78+73.95+102.48+39.5+64.71+32.7+139.17</f>
        <v>755.57</v>
      </c>
      <c r="C13" s="93">
        <f>34.04+36</f>
        <v>70.04</v>
      </c>
      <c r="D13" s="93">
        <f>14.5+304.8+183.9+48.6+263.6</f>
        <v>815.4</v>
      </c>
      <c r="E13" s="180">
        <f>403.7+198</f>
        <v>601.7</v>
      </c>
      <c r="F13" s="374"/>
      <c r="G13" s="93"/>
      <c r="H13" s="93"/>
      <c r="I13" s="93"/>
      <c r="J13" s="93"/>
      <c r="K13" s="344">
        <f>1219-406-406</f>
        <v>407</v>
      </c>
      <c r="L13" s="93"/>
      <c r="M13" s="93"/>
      <c r="N13" s="93">
        <v>84.0</v>
      </c>
      <c r="O13" s="166"/>
      <c r="P13" s="168"/>
      <c r="Q13" s="93">
        <v>40.0</v>
      </c>
      <c r="R13" s="166"/>
      <c r="S13" s="168"/>
      <c r="T13" s="166"/>
      <c r="U13" s="180">
        <v>192.0</v>
      </c>
      <c r="V13" s="168"/>
      <c r="W13" s="1"/>
      <c r="X13" s="93"/>
      <c r="Y13" s="168"/>
      <c r="Z13" s="1"/>
      <c r="AA13" s="1"/>
      <c r="AB13" s="1"/>
      <c r="AC13" s="1"/>
      <c r="AD13" s="171"/>
      <c r="AE13" s="1"/>
      <c r="AF13" s="170"/>
    </row>
    <row r="14">
      <c r="A14" s="165" t="s">
        <v>198</v>
      </c>
      <c r="B14" s="93">
        <v>107.28</v>
      </c>
      <c r="C14" s="348">
        <f>42.35+35.25</f>
        <v>77.6</v>
      </c>
      <c r="D14" s="93"/>
      <c r="E14" s="168"/>
      <c r="F14" s="166"/>
      <c r="G14" s="166"/>
      <c r="H14" s="168"/>
      <c r="I14" s="168"/>
      <c r="J14" s="93"/>
      <c r="K14" s="168"/>
      <c r="L14" s="168"/>
      <c r="M14" s="168"/>
      <c r="N14" s="93"/>
      <c r="O14" s="168"/>
      <c r="P14" s="168"/>
      <c r="Q14" s="166"/>
      <c r="R14" s="168"/>
      <c r="S14" s="168"/>
      <c r="T14" s="168"/>
      <c r="U14" s="1"/>
      <c r="V14" s="1"/>
      <c r="W14" s="1"/>
      <c r="X14" s="168"/>
      <c r="Y14" s="168"/>
      <c r="Z14" s="1"/>
      <c r="AA14" s="1"/>
      <c r="AB14" s="1"/>
      <c r="AC14" s="1"/>
      <c r="AD14" s="174"/>
      <c r="AE14" s="1"/>
      <c r="AF14" s="170"/>
    </row>
    <row r="15">
      <c r="A15" s="91"/>
      <c r="B15" s="375"/>
      <c r="C15" s="79"/>
      <c r="D15" s="79"/>
      <c r="E15" s="79"/>
      <c r="F15" s="78"/>
      <c r="G15" s="78"/>
      <c r="H15" s="79"/>
      <c r="I15" s="78"/>
      <c r="J15" s="79"/>
      <c r="K15" s="79"/>
      <c r="L15" s="79"/>
      <c r="M15" s="79"/>
      <c r="N15" s="79"/>
      <c r="O15" s="79"/>
      <c r="R15" s="79"/>
      <c r="S15" s="79"/>
      <c r="T15" s="198"/>
      <c r="U15" s="198"/>
      <c r="Y15" s="79"/>
      <c r="AD15" s="131"/>
      <c r="AF15" s="106"/>
    </row>
    <row r="16">
      <c r="A16" s="91"/>
      <c r="B16" s="375"/>
      <c r="C16" s="192"/>
      <c r="D16" s="78"/>
      <c r="E16" s="147"/>
      <c r="F16" s="201"/>
      <c r="G16" s="199"/>
      <c r="H16" s="192"/>
      <c r="I16" s="198"/>
      <c r="J16" s="201"/>
      <c r="K16" s="199"/>
      <c r="L16" s="546"/>
      <c r="M16" s="200"/>
      <c r="N16" s="202"/>
      <c r="O16" s="198"/>
      <c r="R16" s="198"/>
      <c r="S16" s="79"/>
      <c r="T16" s="198"/>
      <c r="U16" s="198"/>
      <c r="V16" s="198"/>
      <c r="W16" s="198"/>
      <c r="X16" s="199"/>
      <c r="Y16" s="79"/>
      <c r="AD16" s="131"/>
      <c r="AF16" s="106"/>
    </row>
    <row r="17">
      <c r="A17" s="4" t="s">
        <v>22</v>
      </c>
      <c r="B17" s="11">
        <v>7000.0</v>
      </c>
      <c r="C17" s="79"/>
      <c r="D17" s="240"/>
      <c r="E17" s="148"/>
      <c r="G17" s="224"/>
      <c r="H17" s="192"/>
      <c r="K17" s="403"/>
      <c r="L17" s="201"/>
      <c r="M17" s="198"/>
      <c r="N17" s="200"/>
      <c r="O17" s="198"/>
      <c r="P17" s="204"/>
      <c r="R17" s="203"/>
      <c r="S17" s="427"/>
      <c r="T17" s="201"/>
      <c r="U17" s="198"/>
      <c r="V17" s="198"/>
      <c r="W17" s="198"/>
      <c r="X17" s="201"/>
      <c r="Y17" s="79"/>
      <c r="AD17" s="131"/>
      <c r="AF17" s="106"/>
    </row>
    <row r="18">
      <c r="A18" s="4" t="s">
        <v>23</v>
      </c>
      <c r="B18" s="12">
        <f>SUM(B2:AA8)</f>
        <v>6869.05</v>
      </c>
      <c r="C18" s="192"/>
      <c r="D18" s="177"/>
      <c r="E18" s="151"/>
      <c r="F18" s="204"/>
      <c r="G18" s="224"/>
      <c r="H18" s="38"/>
      <c r="I18" s="175"/>
      <c r="K18" s="384"/>
      <c r="L18" s="201"/>
      <c r="M18" s="201"/>
      <c r="N18" s="201"/>
      <c r="O18" s="198"/>
      <c r="P18" s="204"/>
      <c r="R18" s="203"/>
      <c r="S18" s="79"/>
      <c r="T18" s="201"/>
      <c r="U18" s="201"/>
      <c r="V18" s="201"/>
      <c r="W18" s="198"/>
      <c r="X18" s="191"/>
      <c r="Y18" s="79"/>
      <c r="AD18" s="131"/>
      <c r="AF18" s="106"/>
    </row>
    <row r="19">
      <c r="A19" s="4" t="s">
        <v>24</v>
      </c>
      <c r="B19" s="12">
        <f> SUM(B17-B18)</f>
        <v>130.95</v>
      </c>
      <c r="C19" s="79"/>
      <c r="D19" s="78"/>
      <c r="E19" s="151"/>
      <c r="F19" s="204"/>
      <c r="G19" s="224"/>
      <c r="H19" s="224"/>
      <c r="I19" s="203"/>
      <c r="K19" s="203"/>
      <c r="L19" s="199">
        <f>1160/3</f>
        <v>386.6666667</v>
      </c>
      <c r="M19" s="201">
        <f>1219.9/3</f>
        <v>406.6333333</v>
      </c>
      <c r="N19" s="200"/>
      <c r="O19" s="198"/>
      <c r="P19" s="204"/>
      <c r="R19" s="203"/>
      <c r="S19" s="79"/>
      <c r="T19" s="210"/>
      <c r="U19" s="210"/>
      <c r="V19" s="198"/>
      <c r="W19" s="198"/>
      <c r="X19" s="203"/>
      <c r="Y19" s="79"/>
      <c r="AD19" s="131"/>
      <c r="AF19" s="106"/>
    </row>
    <row r="20">
      <c r="C20" s="79"/>
      <c r="E20" s="439" t="s">
        <v>195</v>
      </c>
      <c r="F20" s="204"/>
      <c r="G20" s="224"/>
      <c r="H20" s="224"/>
      <c r="I20" s="345"/>
      <c r="J20" s="78"/>
      <c r="K20" s="351"/>
      <c r="N20" s="198"/>
      <c r="O20" s="198"/>
      <c r="P20" s="204"/>
      <c r="R20" s="203"/>
      <c r="S20" s="79"/>
      <c r="T20" s="198"/>
      <c r="U20" s="428"/>
      <c r="V20" s="198"/>
      <c r="W20" s="198"/>
      <c r="X20" s="203"/>
      <c r="Y20" s="79"/>
      <c r="AD20" s="131"/>
      <c r="AF20" s="106"/>
    </row>
    <row r="21">
      <c r="A21" s="13" t="s">
        <v>25</v>
      </c>
      <c r="B21" s="14">
        <f>SUM(AD2:AD8)</f>
        <v>25400</v>
      </c>
      <c r="C21" s="79"/>
      <c r="D21" s="13" t="s">
        <v>724</v>
      </c>
      <c r="E21" s="442">
        <f>sum(B12:AB13)</f>
        <v>7964.823333</v>
      </c>
      <c r="F21" s="204"/>
      <c r="G21" s="224"/>
      <c r="H21" s="224"/>
      <c r="I21" s="203"/>
      <c r="J21" s="78"/>
      <c r="K21" s="203"/>
      <c r="L21" s="203"/>
      <c r="M21" s="203"/>
      <c r="N21" s="198"/>
      <c r="O21" s="198"/>
      <c r="P21" s="204"/>
      <c r="R21" s="203"/>
      <c r="S21" s="79"/>
      <c r="T21" s="198"/>
      <c r="U21" s="198"/>
      <c r="V21" s="198"/>
      <c r="W21" s="198"/>
      <c r="X21" s="203"/>
      <c r="Y21" s="79"/>
      <c r="AD21" s="181"/>
      <c r="AF21" s="106"/>
    </row>
    <row r="22">
      <c r="A22" s="13" t="s">
        <v>26</v>
      </c>
      <c r="B22" s="15">
        <f>B18/B21</f>
        <v>0.2704350394</v>
      </c>
      <c r="C22" s="79"/>
      <c r="D22" s="13" t="s">
        <v>25</v>
      </c>
      <c r="E22" s="445">
        <f>1001.35+1209+3329.5+3932.5+32+1000+8079</f>
        <v>18583.35</v>
      </c>
      <c r="F22" s="204"/>
      <c r="G22" s="224"/>
      <c r="H22" s="224"/>
      <c r="I22" s="203"/>
      <c r="J22" s="78"/>
      <c r="K22" s="203"/>
      <c r="L22" s="203"/>
      <c r="M22" s="203"/>
      <c r="N22" s="203"/>
      <c r="O22" s="198"/>
      <c r="P22" s="204"/>
      <c r="R22" s="203"/>
      <c r="S22" s="79"/>
      <c r="T22" s="198"/>
      <c r="U22" s="198"/>
      <c r="V22" s="198"/>
      <c r="W22" s="198"/>
      <c r="X22" s="203"/>
      <c r="Y22" s="79"/>
      <c r="AD22" s="130"/>
      <c r="AF22" s="106"/>
    </row>
    <row r="23">
      <c r="C23" s="79"/>
      <c r="D23" s="448" t="s">
        <v>26</v>
      </c>
      <c r="E23" s="449">
        <f>E21/E22</f>
        <v>0.4285999743</v>
      </c>
      <c r="F23" s="204"/>
      <c r="H23" s="224"/>
      <c r="I23" s="78"/>
      <c r="J23" s="78"/>
      <c r="K23" s="203"/>
      <c r="L23" s="203"/>
      <c r="M23" s="203"/>
      <c r="N23" s="201"/>
      <c r="O23" s="198"/>
      <c r="P23" s="204"/>
      <c r="R23" s="198"/>
      <c r="S23" s="79"/>
      <c r="T23" s="198"/>
      <c r="U23" s="198"/>
      <c r="V23" s="198"/>
      <c r="W23" s="198"/>
      <c r="X23" s="203"/>
      <c r="Y23" s="79"/>
      <c r="AD23" s="182"/>
      <c r="AF23" s="106"/>
    </row>
    <row r="24">
      <c r="C24" s="79"/>
      <c r="D24" s="79"/>
      <c r="E24" s="79"/>
      <c r="F24" s="204"/>
      <c r="G24" s="192"/>
      <c r="H24" s="213"/>
      <c r="I24" s="203"/>
      <c r="J24" s="212"/>
      <c r="K24" s="203"/>
      <c r="L24" s="203"/>
      <c r="M24" s="203"/>
      <c r="N24" s="201"/>
      <c r="O24" s="198"/>
      <c r="P24" s="204"/>
      <c r="R24" s="198"/>
      <c r="S24" s="79"/>
      <c r="T24" s="198"/>
      <c r="U24" s="198"/>
      <c r="V24" s="198"/>
      <c r="W24" s="198"/>
      <c r="X24" s="203"/>
      <c r="Y24" s="79"/>
      <c r="AD24" s="130"/>
      <c r="AF24" s="106"/>
    </row>
    <row r="25">
      <c r="A25" s="16" t="s">
        <v>27</v>
      </c>
      <c r="B25" s="17"/>
      <c r="C25" s="114"/>
      <c r="D25" s="114"/>
      <c r="E25" s="115"/>
      <c r="F25" s="204"/>
      <c r="G25" s="78"/>
      <c r="H25" s="224"/>
      <c r="I25" s="78"/>
      <c r="J25" s="79"/>
      <c r="K25" s="203"/>
      <c r="L25" s="217"/>
      <c r="M25" s="208"/>
      <c r="N25" s="198"/>
      <c r="O25" s="198"/>
      <c r="P25" s="204"/>
      <c r="R25" s="200"/>
      <c r="S25" s="79"/>
      <c r="T25" s="198"/>
      <c r="U25" s="198"/>
      <c r="V25" s="198"/>
      <c r="W25" s="198"/>
      <c r="X25" s="203"/>
      <c r="Y25" s="79"/>
      <c r="AD25" s="130"/>
      <c r="AF25" s="106"/>
    </row>
    <row r="26">
      <c r="A26" s="19" t="s">
        <v>28</v>
      </c>
      <c r="B26" s="20"/>
      <c r="C26" s="116"/>
      <c r="D26" s="116"/>
      <c r="E26" s="117"/>
      <c r="F26" s="204"/>
      <c r="G26" s="212"/>
      <c r="H26" s="213"/>
      <c r="I26" s="224"/>
      <c r="J26" s="78"/>
      <c r="K26" s="203"/>
      <c r="L26" s="203"/>
      <c r="M26" s="209"/>
      <c r="N26" s="201"/>
      <c r="O26" s="198"/>
      <c r="P26" s="204"/>
      <c r="R26" s="198"/>
      <c r="S26" s="79"/>
      <c r="T26" s="198"/>
      <c r="U26" s="198"/>
      <c r="V26" s="198"/>
      <c r="W26" s="198"/>
      <c r="X26" s="203"/>
      <c r="Y26" s="79"/>
      <c r="AD26" s="130"/>
      <c r="AF26" s="106"/>
    </row>
    <row r="27">
      <c r="A27" s="183" t="s">
        <v>29</v>
      </c>
      <c r="B27" s="184" t="s">
        <v>30</v>
      </c>
      <c r="C27" s="183"/>
      <c r="D27" s="183" t="s">
        <v>170</v>
      </c>
      <c r="E27" s="219" t="s">
        <v>171</v>
      </c>
      <c r="F27" s="204"/>
      <c r="G27" s="79"/>
      <c r="H27" s="242"/>
      <c r="I27" s="79"/>
      <c r="J27" s="79"/>
      <c r="K27" s="203"/>
      <c r="L27" s="201"/>
      <c r="M27" s="209"/>
      <c r="N27" s="198"/>
      <c r="O27" s="198"/>
      <c r="P27" s="204"/>
      <c r="R27" s="198"/>
      <c r="S27" s="79"/>
      <c r="T27" s="198"/>
      <c r="U27" s="198"/>
      <c r="V27" s="198"/>
      <c r="W27" s="198"/>
      <c r="X27" s="203"/>
      <c r="Y27" s="79"/>
      <c r="Z27" s="195"/>
      <c r="AD27" s="130"/>
      <c r="AF27" s="106"/>
    </row>
    <row r="28">
      <c r="A28" s="405" t="s">
        <v>797</v>
      </c>
      <c r="B28" s="406">
        <f>+1395.03+1526</f>
        <v>2921.03</v>
      </c>
      <c r="C28" s="407"/>
      <c r="D28" s="407"/>
      <c r="E28" s="407"/>
      <c r="F28" s="204"/>
      <c r="O28" s="79"/>
      <c r="S28" s="79"/>
      <c r="T28" s="79"/>
      <c r="Y28" s="79"/>
      <c r="AD28" s="130"/>
      <c r="AF28" s="106"/>
    </row>
    <row r="29">
      <c r="A29" s="410" t="s">
        <v>781</v>
      </c>
      <c r="B29" s="411">
        <f>1629.8-543.2</f>
        <v>1086.6</v>
      </c>
      <c r="C29" s="412"/>
      <c r="D29" s="412"/>
      <c r="E29" s="412"/>
      <c r="F29" s="204"/>
      <c r="G29" s="195"/>
      <c r="O29" s="79"/>
      <c r="S29" s="79"/>
      <c r="T29" s="79"/>
      <c r="Y29" s="79"/>
      <c r="AD29" s="130"/>
      <c r="AF29" s="106"/>
    </row>
    <row r="30">
      <c r="A30" s="410" t="s">
        <v>764</v>
      </c>
      <c r="B30" s="411">
        <v>406.0</v>
      </c>
      <c r="C30" s="412"/>
      <c r="D30" s="412"/>
      <c r="E30" s="412"/>
      <c r="F30" s="204"/>
      <c r="G30" s="195"/>
      <c r="O30" s="79"/>
      <c r="S30" s="79"/>
      <c r="T30" s="79"/>
      <c r="Y30" s="79"/>
      <c r="AD30" s="130"/>
      <c r="AF30" s="106"/>
    </row>
    <row r="31">
      <c r="A31" s="430" t="s">
        <v>763</v>
      </c>
      <c r="B31" s="431">
        <f>1001.8-250.45-250.45</f>
        <v>500.9</v>
      </c>
      <c r="C31" s="432"/>
      <c r="D31" s="432"/>
      <c r="E31" s="432"/>
      <c r="F31" s="204"/>
      <c r="O31" s="79"/>
      <c r="S31" s="79"/>
      <c r="T31" s="79"/>
      <c r="Y31" s="79"/>
      <c r="AD31" s="130"/>
      <c r="AF31" s="106"/>
    </row>
    <row r="32">
      <c r="A32" s="245" t="s">
        <v>798</v>
      </c>
      <c r="B32" s="340">
        <f>504.64+392.16</f>
        <v>896.8</v>
      </c>
      <c r="C32" s="247"/>
      <c r="D32" s="247"/>
      <c r="E32" s="247"/>
      <c r="O32" s="79"/>
      <c r="S32" s="79"/>
      <c r="T32" s="79"/>
      <c r="Y32" s="79"/>
      <c r="AD32" s="130"/>
      <c r="AF32" s="106"/>
    </row>
    <row r="33">
      <c r="A33" s="221" t="s">
        <v>799</v>
      </c>
      <c r="B33" s="341">
        <f>310</f>
        <v>310</v>
      </c>
      <c r="C33" s="223"/>
      <c r="D33" s="223"/>
      <c r="E33" s="223"/>
      <c r="O33" s="79"/>
      <c r="S33" s="79"/>
      <c r="T33" s="79"/>
      <c r="Y33" s="79"/>
      <c r="AD33" s="130"/>
      <c r="AF33" s="106"/>
    </row>
    <row r="34">
      <c r="A34" s="196" t="s">
        <v>800</v>
      </c>
      <c r="B34" s="547">
        <v>446.9</v>
      </c>
      <c r="C34" s="220"/>
      <c r="D34" s="220"/>
      <c r="E34" s="220"/>
      <c r="O34" s="79"/>
      <c r="S34" s="79"/>
      <c r="T34" s="79"/>
      <c r="Y34" s="79"/>
      <c r="AD34" s="130"/>
      <c r="AF34" s="106"/>
    </row>
    <row r="36">
      <c r="C36" s="79"/>
      <c r="D36" s="79"/>
      <c r="E36" s="79"/>
      <c r="O36" s="79"/>
      <c r="S36" s="79"/>
      <c r="T36" s="79"/>
      <c r="Y36" s="79"/>
      <c r="AD36" s="130"/>
      <c r="AF36" s="106"/>
    </row>
    <row r="37">
      <c r="A37" s="274"/>
      <c r="B37" s="275" t="s">
        <v>315</v>
      </c>
      <c r="F37" s="274"/>
      <c r="G37" s="274"/>
      <c r="H37" s="274"/>
      <c r="I37" s="274"/>
      <c r="J37" s="274"/>
      <c r="K37" s="274"/>
      <c r="L37" s="274"/>
      <c r="M37" s="274"/>
      <c r="N37" s="274"/>
      <c r="O37" s="274"/>
      <c r="P37" s="274"/>
      <c r="Q37" s="274"/>
      <c r="R37" s="274"/>
      <c r="S37" s="274"/>
      <c r="T37" s="274"/>
      <c r="U37" s="274"/>
      <c r="V37" s="274"/>
      <c r="W37" s="274"/>
      <c r="X37" s="274"/>
      <c r="Y37" s="274"/>
      <c r="Z37" s="274"/>
      <c r="AA37" s="274"/>
      <c r="AB37" s="274"/>
      <c r="AC37" s="274"/>
      <c r="AD37" s="276"/>
      <c r="AE37" s="274"/>
      <c r="AF37" s="277"/>
      <c r="AG37" s="274"/>
      <c r="AH37" s="274"/>
      <c r="AI37" s="274"/>
    </row>
    <row r="38">
      <c r="A38" s="16" t="s">
        <v>316</v>
      </c>
      <c r="B38" s="17"/>
      <c r="C38" s="114"/>
      <c r="D38" s="114"/>
      <c r="E38" s="115"/>
      <c r="H38" s="455" t="s">
        <v>735</v>
      </c>
      <c r="I38" s="17"/>
      <c r="J38" s="114"/>
      <c r="K38" s="114"/>
      <c r="L38" s="115"/>
      <c r="O38" s="79"/>
      <c r="S38" s="79"/>
      <c r="T38" s="79"/>
      <c r="Y38" s="79"/>
      <c r="AD38" s="130"/>
      <c r="AF38" s="106"/>
    </row>
    <row r="39">
      <c r="A39" s="19" t="s">
        <v>317</v>
      </c>
      <c r="B39" s="20"/>
      <c r="C39" s="116"/>
      <c r="D39" s="116"/>
      <c r="E39" s="117"/>
      <c r="H39" s="457" t="s">
        <v>736</v>
      </c>
      <c r="I39" s="20"/>
      <c r="J39" s="116"/>
      <c r="K39" s="116"/>
      <c r="L39" s="117"/>
      <c r="O39" s="79"/>
      <c r="S39" s="79"/>
      <c r="T39" s="79"/>
      <c r="Y39" s="79"/>
      <c r="AD39" s="130"/>
      <c r="AF39" s="106"/>
    </row>
    <row r="40">
      <c r="A40" s="278" t="s">
        <v>318</v>
      </c>
      <c r="B40" s="279" t="s">
        <v>319</v>
      </c>
      <c r="C40" s="280" t="s">
        <v>285</v>
      </c>
      <c r="D40" s="280" t="s">
        <v>30</v>
      </c>
      <c r="E40" s="281" t="s">
        <v>320</v>
      </c>
      <c r="F40" s="281" t="s">
        <v>321</v>
      </c>
      <c r="H40" s="458" t="s">
        <v>318</v>
      </c>
      <c r="I40" s="459" t="s">
        <v>319</v>
      </c>
      <c r="J40" s="458" t="s">
        <v>285</v>
      </c>
      <c r="K40" s="458" t="s">
        <v>737</v>
      </c>
      <c r="L40" s="458" t="s">
        <v>738</v>
      </c>
      <c r="M40" s="458" t="s">
        <v>739</v>
      </c>
      <c r="N40" s="458" t="s">
        <v>740</v>
      </c>
      <c r="O40" s="458" t="s">
        <v>741</v>
      </c>
      <c r="P40" s="458" t="s">
        <v>320</v>
      </c>
      <c r="Q40" s="458" t="s">
        <v>742</v>
      </c>
      <c r="R40" s="458" t="s">
        <v>740</v>
      </c>
      <c r="S40" s="458" t="s">
        <v>741</v>
      </c>
      <c r="T40" s="458" t="s">
        <v>320</v>
      </c>
      <c r="U40" s="458" t="s">
        <v>740</v>
      </c>
      <c r="V40" s="458" t="s">
        <v>741</v>
      </c>
      <c r="W40" s="460" t="s">
        <v>320</v>
      </c>
      <c r="X40" s="461" t="s">
        <v>743</v>
      </c>
      <c r="Y40" s="79"/>
      <c r="AD40" s="130"/>
      <c r="AF40" s="106"/>
    </row>
    <row r="41">
      <c r="A41" s="418" t="s">
        <v>530</v>
      </c>
      <c r="B41" s="419">
        <v>45503.0</v>
      </c>
      <c r="C41" s="420" t="s">
        <v>325</v>
      </c>
      <c r="D41" s="548">
        <v>1211.18</v>
      </c>
      <c r="E41" s="462" t="s">
        <v>801</v>
      </c>
      <c r="F41" s="549"/>
      <c r="G41" s="483"/>
      <c r="H41" s="484">
        <v>582447.0</v>
      </c>
      <c r="I41" s="485">
        <v>45553.0</v>
      </c>
      <c r="J41" s="486" t="s">
        <v>437</v>
      </c>
      <c r="K41" s="487">
        <v>1.0</v>
      </c>
      <c r="L41" s="488">
        <v>398.39</v>
      </c>
      <c r="M41" s="511">
        <f t="shared" ref="M41:M53" si="6">L41/K41</f>
        <v>398.39</v>
      </c>
      <c r="N41" s="512">
        <v>-1.0</v>
      </c>
      <c r="O41" s="488">
        <f t="shared" ref="O41:O46" si="7">N41*M41</f>
        <v>-398.39</v>
      </c>
      <c r="P41" s="513">
        <v>45578.0</v>
      </c>
      <c r="Q41" s="514">
        <v>0.0</v>
      </c>
      <c r="R41" s="515"/>
      <c r="S41" s="469"/>
      <c r="T41" s="472"/>
      <c r="U41" s="515"/>
      <c r="V41" s="469"/>
      <c r="W41" s="470"/>
      <c r="X41" s="471">
        <f t="shared" ref="X41:X53" si="8">K41+N41+R41+U41</f>
        <v>0</v>
      </c>
      <c r="Y41" s="491"/>
      <c r="Z41" s="483"/>
      <c r="AA41" s="483"/>
      <c r="AB41" s="483"/>
      <c r="AC41" s="483"/>
      <c r="AD41" s="492"/>
      <c r="AE41" s="483"/>
      <c r="AF41" s="493"/>
      <c r="AG41" s="483"/>
      <c r="AH41" s="483"/>
      <c r="AI41" s="483"/>
    </row>
    <row r="42">
      <c r="A42" s="304" t="s">
        <v>553</v>
      </c>
      <c r="B42" s="305">
        <v>45510.0</v>
      </c>
      <c r="C42" s="234" t="s">
        <v>325</v>
      </c>
      <c r="D42" s="178">
        <v>1409.57</v>
      </c>
      <c r="E42" s="308"/>
      <c r="F42" s="235"/>
      <c r="H42" s="516">
        <v>584270.0</v>
      </c>
      <c r="I42" s="517">
        <v>45560.0</v>
      </c>
      <c r="J42" s="518" t="s">
        <v>437</v>
      </c>
      <c r="K42" s="519">
        <v>6.0</v>
      </c>
      <c r="L42" s="520">
        <v>2418.34</v>
      </c>
      <c r="M42" s="521">
        <f t="shared" si="6"/>
        <v>403.0566667</v>
      </c>
      <c r="N42" s="522">
        <v>-5.0</v>
      </c>
      <c r="O42" s="520">
        <f t="shared" si="7"/>
        <v>-2015.283333</v>
      </c>
      <c r="P42" s="523" t="s">
        <v>745</v>
      </c>
      <c r="Q42" s="524">
        <v>1.0</v>
      </c>
      <c r="R42" s="525">
        <v>-1.0</v>
      </c>
      <c r="S42" s="526">
        <f t="shared" ref="S42:S46" si="9">R42*M42</f>
        <v>-403.0566667</v>
      </c>
      <c r="T42" s="527">
        <v>45585.0</v>
      </c>
      <c r="U42" s="528"/>
      <c r="V42" s="529"/>
      <c r="W42" s="530"/>
      <c r="X42" s="471">
        <f t="shared" si="8"/>
        <v>0</v>
      </c>
      <c r="Y42" s="79"/>
      <c r="AD42" s="130"/>
      <c r="AF42" s="106"/>
    </row>
    <row r="43">
      <c r="A43" s="304" t="s">
        <v>578</v>
      </c>
      <c r="B43" s="305">
        <v>45517.0</v>
      </c>
      <c r="C43" s="234" t="s">
        <v>325</v>
      </c>
      <c r="D43" s="178">
        <v>1391.12</v>
      </c>
      <c r="E43" s="308"/>
      <c r="F43" s="235"/>
      <c r="H43" s="516">
        <v>586497.0</v>
      </c>
      <c r="I43" s="517">
        <v>45567.0</v>
      </c>
      <c r="J43" s="518" t="s">
        <v>437</v>
      </c>
      <c r="K43" s="519">
        <v>8.0</v>
      </c>
      <c r="L43" s="520">
        <v>3199.26</v>
      </c>
      <c r="M43" s="521">
        <f t="shared" si="6"/>
        <v>399.9075</v>
      </c>
      <c r="N43" s="522">
        <v>-2.0</v>
      </c>
      <c r="O43" s="520">
        <f t="shared" si="7"/>
        <v>-799.815</v>
      </c>
      <c r="P43" s="523" t="s">
        <v>745</v>
      </c>
      <c r="Q43" s="524">
        <v>6.0</v>
      </c>
      <c r="R43" s="525">
        <v>-6.0</v>
      </c>
      <c r="S43" s="526">
        <f t="shared" si="9"/>
        <v>-2399.445</v>
      </c>
      <c r="T43" s="527">
        <v>45585.0</v>
      </c>
      <c r="U43" s="528"/>
      <c r="V43" s="529"/>
      <c r="W43" s="530"/>
      <c r="X43" s="471">
        <f t="shared" si="8"/>
        <v>0</v>
      </c>
      <c r="Y43" s="79"/>
      <c r="AD43" s="130"/>
      <c r="AF43" s="106"/>
    </row>
    <row r="44">
      <c r="A44" s="304" t="s">
        <v>597</v>
      </c>
      <c r="B44" s="305">
        <v>45525.0</v>
      </c>
      <c r="C44" s="234" t="s">
        <v>325</v>
      </c>
      <c r="D44" s="178">
        <v>1420.83</v>
      </c>
      <c r="E44" s="308"/>
      <c r="F44" s="235"/>
      <c r="H44" s="484">
        <v>586905.0</v>
      </c>
      <c r="I44" s="485">
        <v>45568.0</v>
      </c>
      <c r="J44" s="486" t="s">
        <v>437</v>
      </c>
      <c r="K44" s="487">
        <v>2.0</v>
      </c>
      <c r="L44" s="488">
        <v>806.11</v>
      </c>
      <c r="M44" s="511">
        <f t="shared" si="6"/>
        <v>403.055</v>
      </c>
      <c r="N44" s="512">
        <v>-1.0</v>
      </c>
      <c r="O44" s="488">
        <f t="shared" si="7"/>
        <v>-403.055</v>
      </c>
      <c r="P44" s="531" t="s">
        <v>745</v>
      </c>
      <c r="Q44" s="532">
        <v>1.0</v>
      </c>
      <c r="R44" s="533">
        <v>-1.0</v>
      </c>
      <c r="S44" s="534">
        <f t="shared" si="9"/>
        <v>-403.055</v>
      </c>
      <c r="T44" s="535">
        <v>45592.0</v>
      </c>
      <c r="U44" s="515"/>
      <c r="V44" s="469"/>
      <c r="W44" s="472"/>
      <c r="X44" s="471">
        <f t="shared" si="8"/>
        <v>0</v>
      </c>
      <c r="Y44" s="79"/>
      <c r="AD44" s="130"/>
      <c r="AF44" s="106"/>
    </row>
    <row r="45">
      <c r="A45" s="304" t="s">
        <v>622</v>
      </c>
      <c r="B45" s="305">
        <v>45533.0</v>
      </c>
      <c r="C45" s="234" t="s">
        <v>325</v>
      </c>
      <c r="D45" s="178">
        <v>1404.36</v>
      </c>
      <c r="E45" s="308"/>
      <c r="F45" s="235"/>
      <c r="H45" s="484">
        <v>588311.0</v>
      </c>
      <c r="I45" s="485">
        <v>45574.0</v>
      </c>
      <c r="J45" s="486" t="s">
        <v>437</v>
      </c>
      <c r="K45" s="487">
        <v>6.0</v>
      </c>
      <c r="L45" s="488">
        <v>2363.76</v>
      </c>
      <c r="M45" s="511">
        <f t="shared" si="6"/>
        <v>393.96</v>
      </c>
      <c r="N45" s="512">
        <v>-5.0</v>
      </c>
      <c r="O45" s="488">
        <f t="shared" si="7"/>
        <v>-1969.8</v>
      </c>
      <c r="P45" s="550">
        <v>45592.0</v>
      </c>
      <c r="Q45" s="551">
        <v>6.0</v>
      </c>
      <c r="R45" s="552">
        <v>-1.0</v>
      </c>
      <c r="S45" s="553">
        <f t="shared" si="9"/>
        <v>-393.96</v>
      </c>
      <c r="T45" s="554">
        <v>45593.0</v>
      </c>
      <c r="U45" s="515"/>
      <c r="V45" s="469"/>
      <c r="W45" s="472"/>
      <c r="X45" s="471">
        <f t="shared" si="8"/>
        <v>0</v>
      </c>
      <c r="Y45" s="79"/>
      <c r="AD45" s="130"/>
      <c r="AF45" s="106"/>
    </row>
    <row r="46">
      <c r="A46" s="304" t="s">
        <v>644</v>
      </c>
      <c r="B46" s="305">
        <v>45540.0</v>
      </c>
      <c r="C46" s="234" t="s">
        <v>325</v>
      </c>
      <c r="D46" s="178">
        <v>1415.74</v>
      </c>
      <c r="E46" s="308"/>
      <c r="F46" s="235"/>
      <c r="H46" s="502">
        <v>589695.0</v>
      </c>
      <c r="I46" s="464">
        <v>45581.0</v>
      </c>
      <c r="J46" s="465" t="s">
        <v>437</v>
      </c>
      <c r="K46" s="466">
        <v>6.0</v>
      </c>
      <c r="L46" s="467">
        <v>2362.36</v>
      </c>
      <c r="M46" s="536">
        <f t="shared" si="6"/>
        <v>393.7266667</v>
      </c>
      <c r="N46" s="555">
        <v>-5.0</v>
      </c>
      <c r="O46" s="556">
        <f t="shared" si="7"/>
        <v>-1968.633333</v>
      </c>
      <c r="P46" s="557">
        <v>45602.0</v>
      </c>
      <c r="Q46" s="539">
        <v>6.0</v>
      </c>
      <c r="R46" s="515"/>
      <c r="S46" s="534">
        <f t="shared" si="9"/>
        <v>0</v>
      </c>
      <c r="T46" s="535">
        <v>45594.0</v>
      </c>
      <c r="U46" s="515"/>
      <c r="V46" s="469"/>
      <c r="W46" s="472"/>
      <c r="X46" s="471">
        <f t="shared" si="8"/>
        <v>1</v>
      </c>
      <c r="Y46" s="79"/>
      <c r="AD46" s="130"/>
      <c r="AF46" s="106"/>
    </row>
    <row r="47">
      <c r="A47" s="304" t="s">
        <v>660</v>
      </c>
      <c r="B47" s="305">
        <v>45547.0</v>
      </c>
      <c r="C47" s="234" t="s">
        <v>325</v>
      </c>
      <c r="D47" s="178">
        <v>1419.33</v>
      </c>
      <c r="E47" s="308"/>
      <c r="F47" s="235"/>
      <c r="H47" s="463">
        <v>591406.0</v>
      </c>
      <c r="I47" s="464">
        <v>45588.0</v>
      </c>
      <c r="J47" s="465" t="s">
        <v>437</v>
      </c>
      <c r="K47" s="466">
        <v>6.0</v>
      </c>
      <c r="L47" s="467">
        <v>2553.65</v>
      </c>
      <c r="M47" s="536">
        <f t="shared" si="6"/>
        <v>425.6083333</v>
      </c>
      <c r="N47" s="540"/>
      <c r="O47" s="473"/>
      <c r="P47" s="541">
        <f t="shared" ref="P47:P53" si="10">N47*M47</f>
        <v>0</v>
      </c>
      <c r="Q47" s="539"/>
      <c r="R47" s="515"/>
      <c r="S47" s="469"/>
      <c r="T47" s="472"/>
      <c r="U47" s="515"/>
      <c r="V47" s="469"/>
      <c r="W47" s="472"/>
      <c r="X47" s="471">
        <f t="shared" si="8"/>
        <v>6</v>
      </c>
      <c r="Y47" s="79"/>
      <c r="AD47" s="130"/>
      <c r="AF47" s="106"/>
    </row>
    <row r="48">
      <c r="A48" s="304" t="s">
        <v>677</v>
      </c>
      <c r="B48" s="305">
        <v>45554.0</v>
      </c>
      <c r="C48" s="234" t="s">
        <v>325</v>
      </c>
      <c r="D48" s="178">
        <v>1439.4</v>
      </c>
      <c r="E48" s="308"/>
      <c r="F48" s="235"/>
      <c r="H48" s="463">
        <v>593114.0</v>
      </c>
      <c r="I48" s="464">
        <v>45595.0</v>
      </c>
      <c r="J48" s="465" t="s">
        <v>437</v>
      </c>
      <c r="K48" s="466">
        <v>6.0</v>
      </c>
      <c r="L48" s="467">
        <v>2575.54</v>
      </c>
      <c r="M48" s="536">
        <f t="shared" si="6"/>
        <v>429.2566667</v>
      </c>
      <c r="N48" s="540"/>
      <c r="O48" s="473"/>
      <c r="P48" s="541">
        <f t="shared" si="10"/>
        <v>0</v>
      </c>
      <c r="Q48" s="539"/>
      <c r="R48" s="515"/>
      <c r="S48" s="469"/>
      <c r="T48" s="472"/>
      <c r="U48" s="515"/>
      <c r="V48" s="469"/>
      <c r="W48" s="472"/>
      <c r="X48" s="471">
        <f t="shared" si="8"/>
        <v>6</v>
      </c>
      <c r="Y48" s="79"/>
      <c r="AD48" s="130"/>
      <c r="AF48" s="106"/>
    </row>
    <row r="49">
      <c r="A49" s="304" t="s">
        <v>691</v>
      </c>
      <c r="B49" s="305">
        <v>45561.0</v>
      </c>
      <c r="C49" s="234" t="s">
        <v>325</v>
      </c>
      <c r="D49" s="178">
        <v>777.2</v>
      </c>
      <c r="E49" s="308"/>
      <c r="F49" s="235"/>
      <c r="H49" s="463">
        <v>594673.0</v>
      </c>
      <c r="I49" s="464">
        <v>45602.0</v>
      </c>
      <c r="J49" s="465" t="s">
        <v>437</v>
      </c>
      <c r="K49" s="466">
        <v>6.0</v>
      </c>
      <c r="L49" s="467">
        <v>2561.15</v>
      </c>
      <c r="M49" s="467">
        <f t="shared" si="6"/>
        <v>426.8583333</v>
      </c>
      <c r="N49" s="473"/>
      <c r="O49" s="473"/>
      <c r="P49" s="468">
        <f t="shared" si="10"/>
        <v>0</v>
      </c>
      <c r="Q49" s="465"/>
      <c r="R49" s="469"/>
      <c r="S49" s="469"/>
      <c r="T49" s="469"/>
      <c r="U49" s="469"/>
      <c r="V49" s="469"/>
      <c r="W49" s="472"/>
      <c r="X49" s="471">
        <f t="shared" si="8"/>
        <v>6</v>
      </c>
      <c r="Y49" s="79"/>
      <c r="AD49" s="130"/>
      <c r="AF49" s="106"/>
    </row>
    <row r="50">
      <c r="A50" s="304" t="s">
        <v>703</v>
      </c>
      <c r="B50" s="305">
        <v>45568.0</v>
      </c>
      <c r="C50" s="234" t="s">
        <v>325</v>
      </c>
      <c r="D50" s="178">
        <v>1421.43</v>
      </c>
      <c r="E50" s="308"/>
      <c r="F50" s="235"/>
      <c r="H50" s="463">
        <v>595849.0</v>
      </c>
      <c r="I50" s="464">
        <v>45604.0</v>
      </c>
      <c r="J50" s="465" t="s">
        <v>437</v>
      </c>
      <c r="K50" s="466">
        <v>3.0</v>
      </c>
      <c r="L50" s="467">
        <v>1262.58</v>
      </c>
      <c r="M50" s="467">
        <f t="shared" si="6"/>
        <v>420.86</v>
      </c>
      <c r="N50" s="473"/>
      <c r="O50" s="473"/>
      <c r="P50" s="468">
        <f t="shared" si="10"/>
        <v>0</v>
      </c>
      <c r="Q50" s="465"/>
      <c r="R50" s="469"/>
      <c r="S50" s="469"/>
      <c r="T50" s="469"/>
      <c r="U50" s="469"/>
      <c r="V50" s="469"/>
      <c r="W50" s="472"/>
      <c r="X50" s="471">
        <f t="shared" si="8"/>
        <v>3</v>
      </c>
      <c r="Y50" s="79"/>
      <c r="AD50" s="130"/>
      <c r="AF50" s="106"/>
    </row>
    <row r="51">
      <c r="A51" s="304" t="s">
        <v>747</v>
      </c>
      <c r="B51" s="305">
        <v>45574.0</v>
      </c>
      <c r="C51" s="234" t="s">
        <v>325</v>
      </c>
      <c r="D51" s="178">
        <v>1449.58</v>
      </c>
      <c r="E51" s="308"/>
      <c r="F51" s="235"/>
      <c r="H51" s="463"/>
      <c r="I51" s="464"/>
      <c r="J51" s="465" t="s">
        <v>437</v>
      </c>
      <c r="K51" s="466"/>
      <c r="L51" s="467"/>
      <c r="M51" s="467" t="str">
        <f t="shared" si="6"/>
        <v>#DIV/0!</v>
      </c>
      <c r="N51" s="473"/>
      <c r="O51" s="473"/>
      <c r="P51" s="468" t="str">
        <f t="shared" si="10"/>
        <v>#DIV/0!</v>
      </c>
      <c r="Q51" s="465"/>
      <c r="R51" s="469"/>
      <c r="S51" s="469"/>
      <c r="T51" s="469"/>
      <c r="U51" s="469"/>
      <c r="V51" s="469"/>
      <c r="W51" s="472"/>
      <c r="X51" s="471">
        <f t="shared" si="8"/>
        <v>0</v>
      </c>
      <c r="Y51" s="79"/>
      <c r="AD51" s="130"/>
      <c r="AF51" s="106"/>
    </row>
    <row r="52">
      <c r="A52" s="304" t="s">
        <v>769</v>
      </c>
      <c r="B52" s="305">
        <v>45581.0</v>
      </c>
      <c r="C52" s="234" t="s">
        <v>325</v>
      </c>
      <c r="D52" s="178">
        <v>1436.0</v>
      </c>
      <c r="E52" s="308"/>
      <c r="F52" s="235"/>
      <c r="H52" s="463"/>
      <c r="I52" s="464"/>
      <c r="J52" s="465" t="s">
        <v>437</v>
      </c>
      <c r="K52" s="466"/>
      <c r="L52" s="467"/>
      <c r="M52" s="467" t="str">
        <f t="shared" si="6"/>
        <v>#DIV/0!</v>
      </c>
      <c r="N52" s="473"/>
      <c r="O52" s="473"/>
      <c r="P52" s="468" t="str">
        <f t="shared" si="10"/>
        <v>#DIV/0!</v>
      </c>
      <c r="Q52" s="465"/>
      <c r="R52" s="469"/>
      <c r="S52" s="469"/>
      <c r="T52" s="469"/>
      <c r="U52" s="469"/>
      <c r="V52" s="469"/>
      <c r="W52" s="472"/>
      <c r="X52" s="471">
        <f t="shared" si="8"/>
        <v>0</v>
      </c>
      <c r="Y52" s="79"/>
      <c r="AD52" s="130"/>
      <c r="AF52" s="106"/>
    </row>
    <row r="53">
      <c r="A53" s="304" t="s">
        <v>786</v>
      </c>
      <c r="B53" s="305">
        <v>45588.0</v>
      </c>
      <c r="C53" s="234" t="s">
        <v>325</v>
      </c>
      <c r="D53" s="178">
        <v>823.39</v>
      </c>
      <c r="E53" s="308"/>
      <c r="F53" s="235"/>
      <c r="H53" s="473"/>
      <c r="I53" s="464"/>
      <c r="J53" s="465" t="s">
        <v>437</v>
      </c>
      <c r="K53" s="466"/>
      <c r="L53" s="467"/>
      <c r="M53" s="467" t="str">
        <f t="shared" si="6"/>
        <v>#DIV/0!</v>
      </c>
      <c r="N53" s="473"/>
      <c r="O53" s="473"/>
      <c r="P53" s="468" t="str">
        <f t="shared" si="10"/>
        <v>#DIV/0!</v>
      </c>
      <c r="Q53" s="465"/>
      <c r="R53" s="469"/>
      <c r="S53" s="469"/>
      <c r="T53" s="469"/>
      <c r="U53" s="469"/>
      <c r="V53" s="469"/>
      <c r="W53" s="472"/>
      <c r="X53" s="474">
        <f t="shared" si="8"/>
        <v>0</v>
      </c>
      <c r="Y53" s="79"/>
      <c r="AD53" s="130"/>
      <c r="AF53" s="106"/>
    </row>
    <row r="54">
      <c r="A54" s="304" t="s">
        <v>802</v>
      </c>
      <c r="B54" s="305">
        <v>45595.0</v>
      </c>
      <c r="C54" s="234" t="s">
        <v>325</v>
      </c>
      <c r="D54" s="178">
        <v>817.04</v>
      </c>
      <c r="E54" s="308"/>
      <c r="F54" s="235"/>
      <c r="O54" s="79"/>
      <c r="S54" s="79"/>
      <c r="T54" s="79"/>
      <c r="Y54" s="79"/>
      <c r="AD54" s="130"/>
      <c r="AF54" s="106"/>
    </row>
    <row r="55">
      <c r="A55" s="282" t="s">
        <v>667</v>
      </c>
      <c r="B55" s="283">
        <v>45546.0</v>
      </c>
      <c r="C55" s="166" t="s">
        <v>668</v>
      </c>
      <c r="D55" s="93">
        <f>608.6</f>
        <v>608.6</v>
      </c>
      <c r="E55" s="291" t="s">
        <v>704</v>
      </c>
      <c r="F55" s="6">
        <f>D55/2</f>
        <v>304.3</v>
      </c>
      <c r="H55" s="479" t="s">
        <v>287</v>
      </c>
      <c r="I55" s="32" t="s">
        <v>748</v>
      </c>
      <c r="J55" s="479" t="s">
        <v>749</v>
      </c>
      <c r="K55" s="479" t="s">
        <v>750</v>
      </c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AD55" s="130"/>
      <c r="AF55" s="106"/>
    </row>
    <row r="56">
      <c r="A56" s="282" t="s">
        <v>681</v>
      </c>
      <c r="B56" s="283">
        <v>45555.0</v>
      </c>
      <c r="C56" s="166" t="s">
        <v>664</v>
      </c>
      <c r="D56" s="93">
        <v>785.6</v>
      </c>
      <c r="E56" s="291"/>
      <c r="F56" s="6"/>
      <c r="H56" s="286">
        <v>45578.0</v>
      </c>
      <c r="I56" s="32">
        <v>6.0</v>
      </c>
      <c r="J56" s="480">
        <v>2413.68</v>
      </c>
      <c r="K56" s="479" t="s">
        <v>751</v>
      </c>
      <c r="L56" s="79"/>
      <c r="M56" s="242">
        <f>M45*6</f>
        <v>2363.76</v>
      </c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AD56" s="130"/>
      <c r="AF56" s="106"/>
    </row>
    <row r="57">
      <c r="A57" s="390" t="s">
        <v>682</v>
      </c>
      <c r="B57" s="391">
        <v>45558.0</v>
      </c>
      <c r="C57" s="392" t="s">
        <v>482</v>
      </c>
      <c r="D57" s="393">
        <v>1556.54</v>
      </c>
      <c r="E57" s="394" t="s">
        <v>803</v>
      </c>
      <c r="F57" s="478">
        <f>-778.27-778.27</f>
        <v>-1556.54</v>
      </c>
      <c r="H57" s="286">
        <v>45578.0</v>
      </c>
      <c r="I57" s="32">
        <v>3.0</v>
      </c>
      <c r="J57" s="480">
        <v>1202.87</v>
      </c>
      <c r="K57" s="479" t="s">
        <v>752</v>
      </c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AD57" s="130"/>
      <c r="AF57" s="106"/>
    </row>
    <row r="58">
      <c r="A58" s="282" t="s">
        <v>709</v>
      </c>
      <c r="B58" s="283">
        <v>45570.0</v>
      </c>
      <c r="C58" s="166" t="s">
        <v>710</v>
      </c>
      <c r="D58" s="93">
        <v>1001.8</v>
      </c>
      <c r="E58" s="291" t="s">
        <v>804</v>
      </c>
      <c r="F58" s="6">
        <f>-250.45-250.45</f>
        <v>-500.9</v>
      </c>
      <c r="H58" s="504">
        <v>45585.0</v>
      </c>
      <c r="I58" s="479">
        <v>1.0</v>
      </c>
      <c r="J58" s="505">
        <f t="shared" ref="J58:J59" si="11">S42*-1</f>
        <v>403.0566667</v>
      </c>
      <c r="K58" s="479" t="s">
        <v>751</v>
      </c>
      <c r="L58" s="79"/>
      <c r="M58" s="242">
        <f>M46*6</f>
        <v>2362.36</v>
      </c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AD58" s="130"/>
      <c r="AF58" s="106"/>
    </row>
    <row r="59">
      <c r="A59" s="390" t="s">
        <v>711</v>
      </c>
      <c r="B59" s="391">
        <v>45567.0</v>
      </c>
      <c r="C59" s="392" t="s">
        <v>712</v>
      </c>
      <c r="D59" s="393">
        <f>603.86-15</f>
        <v>588.86</v>
      </c>
      <c r="E59" s="503">
        <v>45595.0</v>
      </c>
      <c r="F59" s="6"/>
      <c r="H59" s="504">
        <v>45585.0</v>
      </c>
      <c r="I59" s="479">
        <v>6.0</v>
      </c>
      <c r="J59" s="505">
        <f t="shared" si="11"/>
        <v>2399.445</v>
      </c>
      <c r="K59" s="479" t="s">
        <v>751</v>
      </c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AD59" s="130"/>
      <c r="AF59" s="106"/>
    </row>
    <row r="60">
      <c r="A60" s="282" t="s">
        <v>715</v>
      </c>
      <c r="B60" s="283">
        <v>45570.0</v>
      </c>
      <c r="C60" s="166" t="s">
        <v>716</v>
      </c>
      <c r="D60" s="93">
        <f>299.8-5.8</f>
        <v>294</v>
      </c>
      <c r="E60" s="291"/>
      <c r="F60" s="6"/>
      <c r="H60" s="504">
        <v>45592.0</v>
      </c>
      <c r="I60" s="479">
        <v>6.0</v>
      </c>
      <c r="J60" s="505">
        <f>(S44+O45)*-1</f>
        <v>2372.855</v>
      </c>
      <c r="K60" s="479" t="s">
        <v>751</v>
      </c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AD60" s="130"/>
      <c r="AF60" s="106"/>
    </row>
    <row r="61">
      <c r="A61" s="282" t="s">
        <v>753</v>
      </c>
      <c r="B61" s="283">
        <v>45574.0</v>
      </c>
      <c r="C61" s="166" t="s">
        <v>754</v>
      </c>
      <c r="D61" s="93">
        <v>237.1</v>
      </c>
      <c r="E61" s="291"/>
      <c r="F61" s="6"/>
      <c r="H61" s="504">
        <v>45599.0</v>
      </c>
      <c r="I61" s="479">
        <v>6.0</v>
      </c>
      <c r="J61" s="505">
        <f>-1*(O46+S45)</f>
        <v>2362.593333</v>
      </c>
      <c r="K61" s="479" t="s">
        <v>751</v>
      </c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AD61" s="130"/>
      <c r="AF61" s="106"/>
    </row>
    <row r="62">
      <c r="A62" s="282" t="s">
        <v>755</v>
      </c>
      <c r="B62" s="283">
        <v>45576.0</v>
      </c>
      <c r="C62" s="166" t="s">
        <v>756</v>
      </c>
      <c r="D62" s="93">
        <v>504.64</v>
      </c>
      <c r="E62" s="291"/>
      <c r="F62" s="6"/>
      <c r="H62" s="479"/>
      <c r="I62" s="481"/>
      <c r="J62" s="481"/>
      <c r="K62" s="481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AD62" s="130"/>
      <c r="AF62" s="106"/>
    </row>
    <row r="63">
      <c r="A63" s="282" t="s">
        <v>758</v>
      </c>
      <c r="B63" s="283">
        <v>45561.0</v>
      </c>
      <c r="C63" s="166" t="s">
        <v>536</v>
      </c>
      <c r="D63" s="93">
        <v>1160.0</v>
      </c>
      <c r="E63" s="291" t="s">
        <v>805</v>
      </c>
      <c r="F63" s="6">
        <f>-386.67-386.67</f>
        <v>-773.34</v>
      </c>
      <c r="H63" s="479"/>
      <c r="I63" s="481"/>
      <c r="J63" s="481"/>
      <c r="K63" s="481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AD63" s="130"/>
      <c r="AF63" s="106"/>
    </row>
    <row r="64">
      <c r="A64" s="390" t="s">
        <v>771</v>
      </c>
      <c r="B64" s="391">
        <v>45579.0</v>
      </c>
      <c r="C64" s="392" t="s">
        <v>772</v>
      </c>
      <c r="D64" s="393">
        <v>658.0</v>
      </c>
      <c r="E64" s="394" t="s">
        <v>805</v>
      </c>
      <c r="F64" s="478">
        <f>-329-329</f>
        <v>-658</v>
      </c>
      <c r="H64" s="479"/>
      <c r="I64" s="481"/>
      <c r="J64" s="481"/>
      <c r="K64" s="481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AD64" s="130"/>
      <c r="AF64" s="106"/>
    </row>
    <row r="65">
      <c r="A65" s="282" t="s">
        <v>806</v>
      </c>
      <c r="B65" s="283">
        <v>45581.0</v>
      </c>
      <c r="C65" s="166" t="s">
        <v>774</v>
      </c>
      <c r="D65" s="93">
        <f>547-15</f>
        <v>532</v>
      </c>
      <c r="E65" s="503"/>
      <c r="F65" s="478"/>
      <c r="H65" s="479"/>
      <c r="I65" s="481"/>
      <c r="J65" s="481"/>
      <c r="K65" s="481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AD65" s="130"/>
      <c r="AF65" s="106"/>
    </row>
    <row r="66">
      <c r="A66" s="282" t="s">
        <v>775</v>
      </c>
      <c r="B66" s="283">
        <v>45581.0</v>
      </c>
      <c r="C66" s="166" t="s">
        <v>712</v>
      </c>
      <c r="D66" s="93">
        <f>421.43-5</f>
        <v>416.43</v>
      </c>
      <c r="E66" s="291"/>
      <c r="F66" s="6"/>
      <c r="H66" s="479"/>
      <c r="I66" s="481"/>
      <c r="J66" s="481"/>
      <c r="K66" s="481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AD66" s="130"/>
      <c r="AF66" s="106"/>
    </row>
    <row r="67">
      <c r="A67" s="282" t="s">
        <v>776</v>
      </c>
      <c r="B67" s="283">
        <v>45583.0</v>
      </c>
      <c r="C67" s="166" t="s">
        <v>777</v>
      </c>
      <c r="D67" s="93">
        <v>91.02</v>
      </c>
      <c r="E67" s="291"/>
      <c r="F67" s="6"/>
      <c r="H67" s="479"/>
      <c r="I67" s="481"/>
      <c r="J67" s="481"/>
      <c r="K67" s="481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AD67" s="130"/>
      <c r="AF67" s="106"/>
    </row>
    <row r="68">
      <c r="A68" s="282" t="s">
        <v>778</v>
      </c>
      <c r="B68" s="283">
        <v>45580.0</v>
      </c>
      <c r="C68" s="166" t="s">
        <v>626</v>
      </c>
      <c r="D68" s="93">
        <v>1629.6</v>
      </c>
      <c r="E68" s="337">
        <v>45595.0</v>
      </c>
      <c r="F68" s="6">
        <f>-543.2</f>
        <v>-543.2</v>
      </c>
      <c r="H68" s="479"/>
      <c r="I68" s="481"/>
      <c r="J68" s="481"/>
      <c r="K68" s="481"/>
      <c r="L68" s="481"/>
      <c r="M68" s="481"/>
      <c r="N68" s="481"/>
      <c r="O68" s="545"/>
      <c r="P68" s="79"/>
      <c r="Q68" s="481"/>
      <c r="R68" s="481"/>
      <c r="S68" s="545"/>
      <c r="T68" s="545"/>
      <c r="U68" s="481"/>
      <c r="V68" s="481"/>
      <c r="W68" s="481"/>
      <c r="X68" s="481"/>
      <c r="Y68" s="79"/>
      <c r="AD68" s="130"/>
      <c r="AF68" s="106"/>
    </row>
    <row r="69">
      <c r="A69" s="282"/>
      <c r="B69" s="283"/>
      <c r="C69" s="166"/>
      <c r="D69" s="93"/>
      <c r="E69" s="291"/>
      <c r="F69" s="6"/>
      <c r="O69" s="79"/>
      <c r="S69" s="79"/>
      <c r="T69" s="79"/>
      <c r="Y69" s="79"/>
      <c r="AD69" s="130"/>
      <c r="AF69" s="106"/>
    </row>
    <row r="70">
      <c r="A70" s="282"/>
      <c r="B70" s="283"/>
      <c r="C70" s="166"/>
      <c r="D70" s="93"/>
      <c r="E70" s="291"/>
      <c r="F70" s="6"/>
      <c r="O70" s="79"/>
      <c r="S70" s="79"/>
      <c r="T70" s="79"/>
      <c r="Y70" s="79"/>
      <c r="AD70" s="130"/>
      <c r="AF70" s="106"/>
    </row>
    <row r="71">
      <c r="A71" s="282"/>
      <c r="B71" s="283"/>
      <c r="C71" s="166"/>
      <c r="D71" s="93"/>
      <c r="E71" s="291"/>
      <c r="F71" s="6"/>
      <c r="O71" s="79"/>
      <c r="S71" s="79"/>
      <c r="T71" s="79"/>
      <c r="Y71" s="79"/>
      <c r="AD71" s="130"/>
      <c r="AF71" s="106"/>
    </row>
    <row r="72">
      <c r="A72" s="282"/>
      <c r="B72" s="283"/>
      <c r="C72" s="166"/>
      <c r="D72" s="93"/>
      <c r="E72" s="291"/>
      <c r="F72" s="6"/>
      <c r="O72" s="79"/>
      <c r="S72" s="79"/>
      <c r="T72" s="79"/>
      <c r="Y72" s="79"/>
      <c r="AD72" s="130"/>
      <c r="AF72" s="106"/>
    </row>
    <row r="73">
      <c r="C73" s="79"/>
      <c r="D73" s="79"/>
      <c r="E73" s="79"/>
      <c r="O73" s="79"/>
      <c r="S73" s="79"/>
      <c r="T73" s="79"/>
      <c r="Y73" s="79"/>
      <c r="AD73" s="130"/>
      <c r="AF73" s="106"/>
    </row>
    <row r="74">
      <c r="C74" s="79"/>
      <c r="D74" s="79"/>
      <c r="E74" s="79"/>
      <c r="O74" s="79"/>
      <c r="S74" s="79"/>
      <c r="T74" s="79"/>
      <c r="Y74" s="79"/>
      <c r="AD74" s="130"/>
      <c r="AF74" s="106"/>
    </row>
    <row r="75">
      <c r="C75" s="79"/>
      <c r="D75" s="79"/>
      <c r="E75" s="79"/>
      <c r="O75" s="79"/>
      <c r="S75" s="79"/>
      <c r="T75" s="79"/>
      <c r="Y75" s="79"/>
      <c r="AD75" s="130"/>
      <c r="AF75" s="106"/>
    </row>
    <row r="76">
      <c r="C76" s="79"/>
      <c r="D76" s="79"/>
      <c r="E76" s="79"/>
      <c r="O76" s="79"/>
      <c r="S76" s="79"/>
      <c r="T76" s="79"/>
      <c r="Y76" s="79"/>
      <c r="AD76" s="130"/>
      <c r="AF76" s="106"/>
    </row>
    <row r="77">
      <c r="C77" s="79"/>
      <c r="D77" s="79"/>
      <c r="E77" s="79"/>
      <c r="O77" s="79"/>
      <c r="S77" s="79"/>
      <c r="T77" s="79"/>
      <c r="Y77" s="79"/>
      <c r="AD77" s="130"/>
      <c r="AF77" s="106"/>
    </row>
    <row r="78">
      <c r="C78" s="79"/>
      <c r="D78" s="79"/>
      <c r="E78" s="79"/>
      <c r="O78" s="79"/>
      <c r="S78" s="79"/>
      <c r="T78" s="79"/>
      <c r="Y78" s="79"/>
      <c r="AD78" s="130"/>
      <c r="AF78" s="106"/>
    </row>
    <row r="79">
      <c r="C79" s="79"/>
      <c r="D79" s="79"/>
      <c r="E79" s="79"/>
      <c r="O79" s="79"/>
      <c r="S79" s="79"/>
      <c r="T79" s="79"/>
      <c r="Y79" s="79"/>
      <c r="AD79" s="130"/>
      <c r="AF79" s="106"/>
    </row>
    <row r="80">
      <c r="C80" s="79"/>
      <c r="D80" s="79"/>
      <c r="E80" s="79"/>
      <c r="O80" s="79"/>
      <c r="S80" s="79"/>
      <c r="T80" s="79"/>
      <c r="Y80" s="79"/>
      <c r="AD80" s="130"/>
      <c r="AF80" s="106"/>
    </row>
    <row r="81">
      <c r="C81" s="79"/>
      <c r="D81" s="79"/>
      <c r="E81" s="79"/>
      <c r="O81" s="79"/>
      <c r="S81" s="79"/>
      <c r="T81" s="79"/>
      <c r="Y81" s="79"/>
      <c r="AD81" s="130"/>
      <c r="AF81" s="106"/>
    </row>
    <row r="82">
      <c r="C82" s="79"/>
      <c r="D82" s="79"/>
      <c r="E82" s="79"/>
      <c r="O82" s="79"/>
      <c r="S82" s="79"/>
      <c r="T82" s="79"/>
      <c r="Y82" s="79"/>
      <c r="AD82" s="130"/>
      <c r="AF82" s="106"/>
    </row>
    <row r="83">
      <c r="C83" s="79"/>
      <c r="D83" s="79"/>
      <c r="E83" s="79"/>
      <c r="O83" s="79"/>
      <c r="S83" s="79"/>
      <c r="T83" s="79"/>
      <c r="Y83" s="79"/>
      <c r="AD83" s="130"/>
      <c r="AF83" s="106"/>
    </row>
    <row r="84">
      <c r="C84" s="79"/>
      <c r="D84" s="79"/>
      <c r="E84" s="79"/>
      <c r="O84" s="79"/>
      <c r="S84" s="79"/>
      <c r="T84" s="79"/>
      <c r="Y84" s="79"/>
      <c r="AD84" s="130"/>
      <c r="AF84" s="106"/>
    </row>
    <row r="85">
      <c r="C85" s="79"/>
      <c r="D85" s="79"/>
      <c r="E85" s="79"/>
      <c r="O85" s="79"/>
      <c r="S85" s="79"/>
      <c r="T85" s="79"/>
      <c r="Y85" s="79"/>
      <c r="AD85" s="130"/>
      <c r="AF85" s="106"/>
    </row>
    <row r="86">
      <c r="C86" s="79"/>
      <c r="D86" s="79"/>
      <c r="E86" s="79"/>
      <c r="O86" s="79"/>
      <c r="S86" s="79"/>
      <c r="T86" s="79"/>
      <c r="Y86" s="79"/>
      <c r="AD86" s="130"/>
      <c r="AF86" s="106"/>
    </row>
    <row r="87">
      <c r="C87" s="79"/>
      <c r="D87" s="79"/>
      <c r="E87" s="79"/>
      <c r="O87" s="79"/>
      <c r="S87" s="79"/>
      <c r="T87" s="79"/>
      <c r="Y87" s="79"/>
      <c r="AD87" s="130"/>
      <c r="AF87" s="106"/>
    </row>
    <row r="88">
      <c r="C88" s="79"/>
      <c r="D88" s="79"/>
      <c r="E88" s="79"/>
      <c r="O88" s="79"/>
      <c r="S88" s="79"/>
      <c r="T88" s="79"/>
      <c r="Y88" s="79"/>
      <c r="AD88" s="130"/>
      <c r="AF88" s="106"/>
    </row>
    <row r="89">
      <c r="C89" s="79"/>
      <c r="D89" s="79"/>
      <c r="E89" s="79"/>
      <c r="O89" s="79"/>
      <c r="S89" s="79"/>
      <c r="T89" s="79"/>
      <c r="Y89" s="79"/>
      <c r="AD89" s="130"/>
      <c r="AF89" s="106"/>
    </row>
    <row r="90">
      <c r="C90" s="79"/>
      <c r="D90" s="79"/>
      <c r="E90" s="79"/>
      <c r="O90" s="79"/>
      <c r="S90" s="79"/>
      <c r="T90" s="79"/>
      <c r="Y90" s="79"/>
      <c r="AD90" s="130"/>
      <c r="AF90" s="106"/>
    </row>
    <row r="91">
      <c r="C91" s="79"/>
      <c r="D91" s="79"/>
      <c r="E91" s="79"/>
      <c r="O91" s="79"/>
      <c r="S91" s="79"/>
      <c r="T91" s="79"/>
      <c r="Y91" s="79"/>
      <c r="AD91" s="130"/>
      <c r="AF91" s="106"/>
    </row>
    <row r="92">
      <c r="C92" s="79"/>
      <c r="D92" s="79"/>
      <c r="E92" s="79"/>
      <c r="O92" s="79"/>
      <c r="S92" s="79"/>
      <c r="T92" s="79"/>
      <c r="Y92" s="79"/>
      <c r="AD92" s="130"/>
      <c r="AF92" s="106"/>
    </row>
    <row r="93">
      <c r="C93" s="79"/>
      <c r="D93" s="79"/>
      <c r="E93" s="79"/>
      <c r="O93" s="79"/>
      <c r="S93" s="79"/>
      <c r="T93" s="79"/>
      <c r="Y93" s="79"/>
      <c r="AD93" s="130"/>
      <c r="AF93" s="106"/>
    </row>
    <row r="94">
      <c r="C94" s="79"/>
      <c r="D94" s="79"/>
      <c r="E94" s="79"/>
      <c r="O94" s="79"/>
      <c r="S94" s="79"/>
      <c r="T94" s="79"/>
      <c r="Y94" s="79"/>
      <c r="AD94" s="130"/>
      <c r="AF94" s="106"/>
    </row>
    <row r="95">
      <c r="C95" s="79"/>
      <c r="D95" s="79"/>
      <c r="E95" s="79"/>
      <c r="O95" s="79"/>
      <c r="S95" s="79"/>
      <c r="T95" s="79"/>
      <c r="Y95" s="79"/>
      <c r="AD95" s="130"/>
      <c r="AF95" s="106"/>
    </row>
    <row r="96">
      <c r="C96" s="79"/>
      <c r="D96" s="79"/>
      <c r="E96" s="79"/>
      <c r="O96" s="79"/>
      <c r="S96" s="79"/>
      <c r="T96" s="79"/>
      <c r="Y96" s="79"/>
      <c r="AD96" s="130"/>
      <c r="AF96" s="106"/>
    </row>
    <row r="97">
      <c r="C97" s="79"/>
      <c r="D97" s="79"/>
      <c r="E97" s="79"/>
      <c r="O97" s="79"/>
      <c r="S97" s="79"/>
      <c r="T97" s="79"/>
      <c r="Y97" s="79"/>
      <c r="AD97" s="130"/>
      <c r="AF97" s="106"/>
    </row>
    <row r="98">
      <c r="C98" s="79"/>
      <c r="D98" s="79"/>
      <c r="E98" s="79"/>
      <c r="O98" s="79"/>
      <c r="S98" s="79"/>
      <c r="T98" s="79"/>
      <c r="Y98" s="79"/>
      <c r="AD98" s="130"/>
      <c r="AF98" s="106"/>
    </row>
    <row r="99">
      <c r="C99" s="79"/>
      <c r="D99" s="79"/>
      <c r="E99" s="79"/>
      <c r="O99" s="79"/>
      <c r="S99" s="79"/>
      <c r="T99" s="79"/>
      <c r="Y99" s="79"/>
      <c r="AD99" s="130"/>
      <c r="AF99" s="106"/>
    </row>
    <row r="100">
      <c r="C100" s="79"/>
      <c r="D100" s="79"/>
      <c r="E100" s="79"/>
      <c r="O100" s="79"/>
      <c r="S100" s="79"/>
      <c r="T100" s="79"/>
      <c r="Y100" s="79"/>
      <c r="AD100" s="130"/>
      <c r="AF100" s="106"/>
    </row>
    <row r="101">
      <c r="C101" s="79"/>
      <c r="D101" s="79"/>
      <c r="E101" s="79"/>
      <c r="O101" s="79"/>
      <c r="S101" s="79"/>
      <c r="T101" s="79"/>
      <c r="Y101" s="79"/>
      <c r="AD101" s="130"/>
      <c r="AF101" s="106"/>
    </row>
    <row r="102">
      <c r="C102" s="79"/>
      <c r="D102" s="79"/>
      <c r="E102" s="79"/>
      <c r="O102" s="79"/>
      <c r="S102" s="79"/>
      <c r="T102" s="79"/>
      <c r="Y102" s="79"/>
      <c r="AD102" s="130"/>
      <c r="AF102" s="106"/>
    </row>
    <row r="103">
      <c r="C103" s="79"/>
      <c r="D103" s="79"/>
      <c r="E103" s="79"/>
      <c r="O103" s="79"/>
      <c r="S103" s="79"/>
      <c r="T103" s="79"/>
      <c r="Y103" s="79"/>
      <c r="AD103" s="130"/>
      <c r="AF103" s="106"/>
    </row>
    <row r="104">
      <c r="C104" s="79"/>
      <c r="D104" s="79"/>
      <c r="E104" s="79"/>
      <c r="O104" s="79"/>
      <c r="S104" s="79"/>
      <c r="T104" s="79"/>
      <c r="Y104" s="79"/>
      <c r="AD104" s="130"/>
      <c r="AF104" s="106"/>
    </row>
    <row r="105">
      <c r="C105" s="79"/>
      <c r="D105" s="79"/>
      <c r="E105" s="79"/>
      <c r="O105" s="79"/>
      <c r="S105" s="79"/>
      <c r="T105" s="79"/>
      <c r="Y105" s="79"/>
      <c r="AD105" s="130"/>
      <c r="AF105" s="106"/>
    </row>
    <row r="106">
      <c r="C106" s="79"/>
      <c r="D106" s="79"/>
      <c r="E106" s="79"/>
      <c r="O106" s="79"/>
      <c r="S106" s="79"/>
      <c r="T106" s="79"/>
      <c r="Y106" s="79"/>
      <c r="AD106" s="130"/>
      <c r="AF106" s="106"/>
    </row>
    <row r="107">
      <c r="C107" s="79"/>
      <c r="D107" s="79"/>
      <c r="E107" s="79"/>
      <c r="O107" s="79"/>
      <c r="S107" s="79"/>
      <c r="T107" s="79"/>
      <c r="Y107" s="79"/>
      <c r="AD107" s="130"/>
      <c r="AF107" s="106"/>
    </row>
    <row r="108">
      <c r="C108" s="79"/>
      <c r="D108" s="79"/>
      <c r="E108" s="79"/>
      <c r="O108" s="79"/>
      <c r="S108" s="79"/>
      <c r="T108" s="79"/>
      <c r="Y108" s="79"/>
      <c r="AD108" s="130"/>
      <c r="AF108" s="106"/>
    </row>
    <row r="109">
      <c r="C109" s="79"/>
      <c r="D109" s="79"/>
      <c r="E109" s="79"/>
      <c r="O109" s="79"/>
      <c r="S109" s="79"/>
      <c r="T109" s="79"/>
      <c r="Y109" s="79"/>
      <c r="AD109" s="130"/>
      <c r="AF109" s="106"/>
    </row>
    <row r="110">
      <c r="C110" s="79"/>
      <c r="D110" s="79"/>
      <c r="E110" s="79"/>
      <c r="O110" s="79"/>
      <c r="S110" s="79"/>
      <c r="T110" s="79"/>
      <c r="Y110" s="79"/>
      <c r="AD110" s="130"/>
      <c r="AF110" s="106"/>
    </row>
    <row r="111">
      <c r="C111" s="79"/>
      <c r="D111" s="79"/>
      <c r="E111" s="79"/>
      <c r="O111" s="79"/>
      <c r="S111" s="79"/>
      <c r="T111" s="79"/>
      <c r="Y111" s="79"/>
      <c r="AD111" s="130"/>
      <c r="AF111" s="106"/>
    </row>
    <row r="112">
      <c r="C112" s="79"/>
      <c r="D112" s="79"/>
      <c r="E112" s="79"/>
      <c r="O112" s="79"/>
      <c r="S112" s="79"/>
      <c r="T112" s="79"/>
      <c r="Y112" s="79"/>
      <c r="AD112" s="130"/>
      <c r="AF112" s="106"/>
    </row>
    <row r="113">
      <c r="C113" s="79"/>
      <c r="D113" s="79"/>
      <c r="E113" s="79"/>
      <c r="O113" s="79"/>
      <c r="S113" s="79"/>
      <c r="T113" s="79"/>
      <c r="Y113" s="79"/>
      <c r="AD113" s="130"/>
      <c r="AF113" s="106"/>
    </row>
    <row r="114">
      <c r="C114" s="79"/>
      <c r="D114" s="79"/>
      <c r="E114" s="79"/>
      <c r="O114" s="79"/>
      <c r="S114" s="79"/>
      <c r="T114" s="79"/>
      <c r="Y114" s="79"/>
      <c r="AD114" s="130"/>
      <c r="AF114" s="106"/>
    </row>
    <row r="115">
      <c r="C115" s="79"/>
      <c r="D115" s="79"/>
      <c r="E115" s="79"/>
      <c r="O115" s="79"/>
      <c r="S115" s="79"/>
      <c r="T115" s="79"/>
      <c r="Y115" s="79"/>
      <c r="AD115" s="130"/>
      <c r="AF115" s="106"/>
    </row>
    <row r="116">
      <c r="C116" s="79"/>
      <c r="D116" s="79"/>
      <c r="E116" s="79"/>
      <c r="O116" s="79"/>
      <c r="S116" s="79"/>
      <c r="T116" s="79"/>
      <c r="Y116" s="79"/>
      <c r="AD116" s="130"/>
      <c r="AF116" s="106"/>
    </row>
    <row r="117">
      <c r="C117" s="79"/>
      <c r="D117" s="79"/>
      <c r="E117" s="79"/>
      <c r="O117" s="79"/>
      <c r="S117" s="79"/>
      <c r="T117" s="79"/>
      <c r="Y117" s="79"/>
      <c r="AD117" s="130"/>
      <c r="AF117" s="106"/>
    </row>
    <row r="118">
      <c r="C118" s="79"/>
      <c r="D118" s="79"/>
      <c r="E118" s="79"/>
      <c r="O118" s="79"/>
      <c r="S118" s="79"/>
      <c r="T118" s="79"/>
      <c r="Y118" s="79"/>
      <c r="AD118" s="130"/>
      <c r="AF118" s="106"/>
    </row>
    <row r="119">
      <c r="C119" s="79"/>
      <c r="D119" s="79"/>
      <c r="E119" s="79"/>
      <c r="O119" s="79"/>
      <c r="S119" s="79"/>
      <c r="T119" s="79"/>
      <c r="Y119" s="79"/>
      <c r="AD119" s="130"/>
      <c r="AF119" s="106"/>
    </row>
    <row r="120">
      <c r="C120" s="79"/>
      <c r="D120" s="79"/>
      <c r="E120" s="79"/>
      <c r="O120" s="79"/>
      <c r="S120" s="79"/>
      <c r="T120" s="79"/>
      <c r="Y120" s="79"/>
      <c r="AD120" s="130"/>
      <c r="AF120" s="106"/>
    </row>
    <row r="121">
      <c r="C121" s="79"/>
      <c r="D121" s="79"/>
      <c r="E121" s="79"/>
      <c r="O121" s="79"/>
      <c r="S121" s="79"/>
      <c r="T121" s="79"/>
      <c r="Y121" s="79"/>
      <c r="AD121" s="130"/>
      <c r="AF121" s="106"/>
    </row>
    <row r="122">
      <c r="C122" s="79"/>
      <c r="D122" s="79"/>
      <c r="E122" s="79"/>
      <c r="O122" s="79"/>
      <c r="S122" s="79"/>
      <c r="T122" s="79"/>
      <c r="Y122" s="79"/>
      <c r="AD122" s="130"/>
      <c r="AF122" s="106"/>
    </row>
    <row r="123">
      <c r="C123" s="79"/>
      <c r="D123" s="79"/>
      <c r="E123" s="79"/>
      <c r="O123" s="79"/>
      <c r="S123" s="79"/>
      <c r="T123" s="79"/>
      <c r="Y123" s="79"/>
      <c r="AD123" s="130"/>
      <c r="AF123" s="106"/>
    </row>
    <row r="124">
      <c r="C124" s="79"/>
      <c r="D124" s="79"/>
      <c r="E124" s="79"/>
      <c r="O124" s="79"/>
      <c r="S124" s="79"/>
      <c r="T124" s="79"/>
      <c r="Y124" s="79"/>
      <c r="AD124" s="130"/>
      <c r="AF124" s="106"/>
    </row>
    <row r="125">
      <c r="C125" s="79"/>
      <c r="D125" s="79"/>
      <c r="E125" s="79"/>
      <c r="O125" s="79"/>
      <c r="S125" s="79"/>
      <c r="T125" s="79"/>
      <c r="Y125" s="79"/>
      <c r="AD125" s="130"/>
      <c r="AF125" s="106"/>
    </row>
    <row r="126">
      <c r="C126" s="79"/>
      <c r="D126" s="79"/>
      <c r="E126" s="79"/>
      <c r="O126" s="79"/>
      <c r="S126" s="79"/>
      <c r="T126" s="79"/>
      <c r="Y126" s="79"/>
      <c r="AD126" s="130"/>
      <c r="AF126" s="106"/>
    </row>
    <row r="127">
      <c r="C127" s="79"/>
      <c r="D127" s="79"/>
      <c r="E127" s="79"/>
      <c r="O127" s="79"/>
      <c r="S127" s="79"/>
      <c r="T127" s="79"/>
      <c r="Y127" s="79"/>
      <c r="AD127" s="130"/>
      <c r="AF127" s="106"/>
    </row>
    <row r="128">
      <c r="C128" s="79"/>
      <c r="D128" s="79"/>
      <c r="E128" s="79"/>
      <c r="O128" s="79"/>
      <c r="S128" s="79"/>
      <c r="T128" s="79"/>
      <c r="Y128" s="79"/>
      <c r="AD128" s="130"/>
      <c r="AF128" s="106"/>
    </row>
    <row r="129">
      <c r="C129" s="79"/>
      <c r="D129" s="79"/>
      <c r="E129" s="79"/>
      <c r="O129" s="79"/>
      <c r="S129" s="79"/>
      <c r="T129" s="79"/>
      <c r="Y129" s="79"/>
      <c r="AD129" s="130"/>
      <c r="AF129" s="106"/>
    </row>
    <row r="130">
      <c r="C130" s="79"/>
      <c r="D130" s="79"/>
      <c r="E130" s="79"/>
      <c r="O130" s="79"/>
      <c r="S130" s="79"/>
      <c r="T130" s="79"/>
      <c r="Y130" s="79"/>
      <c r="AD130" s="130"/>
      <c r="AF130" s="106"/>
    </row>
    <row r="131">
      <c r="C131" s="79"/>
      <c r="D131" s="79"/>
      <c r="E131" s="79"/>
      <c r="O131" s="79"/>
      <c r="S131" s="79"/>
      <c r="T131" s="79"/>
      <c r="Y131" s="79"/>
      <c r="AD131" s="130"/>
      <c r="AF131" s="106"/>
    </row>
    <row r="132">
      <c r="C132" s="79"/>
      <c r="D132" s="79"/>
      <c r="E132" s="79"/>
      <c r="O132" s="79"/>
      <c r="S132" s="79"/>
      <c r="T132" s="79"/>
      <c r="Y132" s="79"/>
      <c r="AD132" s="130"/>
      <c r="AF132" s="106"/>
    </row>
    <row r="133">
      <c r="C133" s="79"/>
      <c r="D133" s="79"/>
      <c r="E133" s="79"/>
      <c r="O133" s="79"/>
      <c r="S133" s="79"/>
      <c r="T133" s="79"/>
      <c r="Y133" s="79"/>
      <c r="AD133" s="130"/>
      <c r="AF133" s="106"/>
    </row>
    <row r="134">
      <c r="C134" s="79"/>
      <c r="D134" s="79"/>
      <c r="E134" s="79"/>
      <c r="O134" s="79"/>
      <c r="S134" s="79"/>
      <c r="T134" s="79"/>
      <c r="Y134" s="79"/>
      <c r="AD134" s="130"/>
      <c r="AF134" s="106"/>
    </row>
    <row r="135">
      <c r="C135" s="79"/>
      <c r="D135" s="79"/>
      <c r="E135" s="79"/>
      <c r="O135" s="79"/>
      <c r="S135" s="79"/>
      <c r="T135" s="79"/>
      <c r="Y135" s="79"/>
      <c r="AD135" s="130"/>
      <c r="AF135" s="106"/>
    </row>
    <row r="136">
      <c r="C136" s="79"/>
      <c r="D136" s="79"/>
      <c r="E136" s="79"/>
      <c r="O136" s="79"/>
      <c r="S136" s="79"/>
      <c r="T136" s="79"/>
      <c r="Y136" s="79"/>
      <c r="AD136" s="130"/>
      <c r="AF136" s="106"/>
    </row>
    <row r="137">
      <c r="C137" s="79"/>
      <c r="D137" s="79"/>
      <c r="E137" s="79"/>
      <c r="O137" s="79"/>
      <c r="S137" s="79"/>
      <c r="T137" s="79"/>
      <c r="Y137" s="79"/>
      <c r="AD137" s="130"/>
      <c r="AF137" s="106"/>
    </row>
    <row r="138">
      <c r="C138" s="79"/>
      <c r="D138" s="79"/>
      <c r="E138" s="79"/>
      <c r="O138" s="79"/>
      <c r="S138" s="79"/>
      <c r="T138" s="79"/>
      <c r="Y138" s="79"/>
      <c r="AD138" s="130"/>
      <c r="AF138" s="106"/>
    </row>
    <row r="139">
      <c r="C139" s="79"/>
      <c r="D139" s="79"/>
      <c r="E139" s="79"/>
      <c r="O139" s="79"/>
      <c r="S139" s="79"/>
      <c r="T139" s="79"/>
      <c r="Y139" s="79"/>
      <c r="AD139" s="130"/>
      <c r="AF139" s="106"/>
    </row>
    <row r="140">
      <c r="C140" s="79"/>
      <c r="D140" s="79"/>
      <c r="E140" s="79"/>
      <c r="O140" s="79"/>
      <c r="S140" s="79"/>
      <c r="T140" s="79"/>
      <c r="Y140" s="79"/>
      <c r="AD140" s="130"/>
      <c r="AF140" s="106"/>
    </row>
    <row r="141">
      <c r="C141" s="79"/>
      <c r="D141" s="79"/>
      <c r="E141" s="79"/>
      <c r="O141" s="79"/>
      <c r="S141" s="79"/>
      <c r="T141" s="79"/>
      <c r="Y141" s="79"/>
      <c r="AD141" s="130"/>
      <c r="AF141" s="106"/>
    </row>
    <row r="142">
      <c r="C142" s="79"/>
      <c r="D142" s="79"/>
      <c r="E142" s="79"/>
      <c r="O142" s="79"/>
      <c r="S142" s="79"/>
      <c r="T142" s="79"/>
      <c r="Y142" s="79"/>
      <c r="AD142" s="130"/>
      <c r="AF142" s="106"/>
    </row>
    <row r="143">
      <c r="C143" s="79"/>
      <c r="D143" s="79"/>
      <c r="E143" s="79"/>
      <c r="O143" s="79"/>
      <c r="S143" s="79"/>
      <c r="T143" s="79"/>
      <c r="Y143" s="79"/>
      <c r="AD143" s="130"/>
      <c r="AF143" s="106"/>
    </row>
    <row r="144">
      <c r="C144" s="79"/>
      <c r="D144" s="79"/>
      <c r="E144" s="79"/>
      <c r="O144" s="79"/>
      <c r="S144" s="79"/>
      <c r="T144" s="79"/>
      <c r="Y144" s="79"/>
      <c r="AD144" s="130"/>
      <c r="AF144" s="106"/>
    </row>
    <row r="145">
      <c r="C145" s="79"/>
      <c r="D145" s="79"/>
      <c r="E145" s="79"/>
      <c r="O145" s="79"/>
      <c r="S145" s="79"/>
      <c r="T145" s="79"/>
      <c r="Y145" s="79"/>
      <c r="AD145" s="130"/>
      <c r="AF145" s="106"/>
    </row>
    <row r="146">
      <c r="C146" s="79"/>
      <c r="D146" s="79"/>
      <c r="E146" s="79"/>
      <c r="O146" s="79"/>
      <c r="S146" s="79"/>
      <c r="T146" s="79"/>
      <c r="Y146" s="79"/>
      <c r="AD146" s="130"/>
      <c r="AF146" s="106"/>
    </row>
    <row r="147">
      <c r="C147" s="79"/>
      <c r="D147" s="79"/>
      <c r="E147" s="79"/>
      <c r="O147" s="79"/>
      <c r="S147" s="79"/>
      <c r="T147" s="79"/>
      <c r="Y147" s="79"/>
      <c r="AD147" s="130"/>
      <c r="AF147" s="106"/>
    </row>
    <row r="148">
      <c r="C148" s="79"/>
      <c r="D148" s="79"/>
      <c r="E148" s="79"/>
      <c r="O148" s="79"/>
      <c r="S148" s="79"/>
      <c r="T148" s="79"/>
      <c r="Y148" s="79"/>
      <c r="AD148" s="130"/>
      <c r="AF148" s="106"/>
    </row>
    <row r="149">
      <c r="C149" s="79"/>
      <c r="D149" s="79"/>
      <c r="E149" s="79"/>
      <c r="O149" s="79"/>
      <c r="S149" s="79"/>
      <c r="T149" s="79"/>
      <c r="Y149" s="79"/>
      <c r="AD149" s="130"/>
      <c r="AF149" s="106"/>
    </row>
    <row r="150">
      <c r="C150" s="79"/>
      <c r="D150" s="79"/>
      <c r="E150" s="79"/>
      <c r="O150" s="79"/>
      <c r="S150" s="79"/>
      <c r="T150" s="79"/>
      <c r="Y150" s="79"/>
      <c r="AD150" s="130"/>
      <c r="AF150" s="106"/>
    </row>
    <row r="151">
      <c r="C151" s="79"/>
      <c r="D151" s="79"/>
      <c r="E151" s="79"/>
      <c r="O151" s="79"/>
      <c r="S151" s="79"/>
      <c r="T151" s="79"/>
      <c r="Y151" s="79"/>
      <c r="AD151" s="130"/>
      <c r="AF151" s="106"/>
    </row>
    <row r="152">
      <c r="C152" s="79"/>
      <c r="D152" s="79"/>
      <c r="E152" s="79"/>
      <c r="O152" s="79"/>
      <c r="S152" s="79"/>
      <c r="T152" s="79"/>
      <c r="Y152" s="79"/>
      <c r="AD152" s="130"/>
      <c r="AF152" s="106"/>
    </row>
    <row r="153">
      <c r="C153" s="79"/>
      <c r="D153" s="79"/>
      <c r="E153" s="79"/>
      <c r="O153" s="79"/>
      <c r="S153" s="79"/>
      <c r="T153" s="79"/>
      <c r="Y153" s="79"/>
      <c r="AD153" s="130"/>
      <c r="AF153" s="106"/>
    </row>
    <row r="154">
      <c r="C154" s="79"/>
      <c r="D154" s="79"/>
      <c r="E154" s="79"/>
      <c r="O154" s="79"/>
      <c r="S154" s="79"/>
      <c r="T154" s="79"/>
      <c r="Y154" s="79"/>
      <c r="AD154" s="130"/>
      <c r="AF154" s="106"/>
    </row>
    <row r="155">
      <c r="C155" s="79"/>
      <c r="D155" s="79"/>
      <c r="E155" s="79"/>
      <c r="O155" s="79"/>
      <c r="S155" s="79"/>
      <c r="T155" s="79"/>
      <c r="Y155" s="79"/>
      <c r="AD155" s="130"/>
      <c r="AF155" s="106"/>
    </row>
    <row r="156">
      <c r="C156" s="79"/>
      <c r="D156" s="79"/>
      <c r="E156" s="79"/>
      <c r="O156" s="79"/>
      <c r="S156" s="79"/>
      <c r="T156" s="79"/>
      <c r="Y156" s="79"/>
      <c r="AD156" s="130"/>
      <c r="AF156" s="106"/>
    </row>
    <row r="157">
      <c r="C157" s="79"/>
      <c r="D157" s="79"/>
      <c r="E157" s="79"/>
      <c r="O157" s="79"/>
      <c r="S157" s="79"/>
      <c r="T157" s="79"/>
      <c r="Y157" s="79"/>
      <c r="AD157" s="130"/>
      <c r="AF157" s="106"/>
    </row>
    <row r="158">
      <c r="C158" s="79"/>
      <c r="D158" s="79"/>
      <c r="E158" s="79"/>
      <c r="O158" s="79"/>
      <c r="S158" s="79"/>
      <c r="T158" s="79"/>
      <c r="Y158" s="79"/>
      <c r="AD158" s="130"/>
      <c r="AF158" s="106"/>
    </row>
    <row r="159">
      <c r="C159" s="79"/>
      <c r="D159" s="79"/>
      <c r="E159" s="79"/>
      <c r="O159" s="79"/>
      <c r="S159" s="79"/>
      <c r="T159" s="79"/>
      <c r="Y159" s="79"/>
      <c r="AD159" s="130"/>
      <c r="AF159" s="106"/>
    </row>
    <row r="160">
      <c r="C160" s="79"/>
      <c r="D160" s="79"/>
      <c r="E160" s="79"/>
      <c r="O160" s="79"/>
      <c r="S160" s="79"/>
      <c r="T160" s="79"/>
      <c r="Y160" s="79"/>
      <c r="AD160" s="130"/>
      <c r="AF160" s="106"/>
    </row>
    <row r="161">
      <c r="C161" s="79"/>
      <c r="D161" s="79"/>
      <c r="E161" s="79"/>
      <c r="O161" s="79"/>
      <c r="S161" s="79"/>
      <c r="T161" s="79"/>
      <c r="Y161" s="79"/>
      <c r="AD161" s="130"/>
      <c r="AF161" s="106"/>
    </row>
    <row r="162">
      <c r="C162" s="79"/>
      <c r="D162" s="79"/>
      <c r="E162" s="79"/>
      <c r="O162" s="79"/>
      <c r="S162" s="79"/>
      <c r="T162" s="79"/>
      <c r="Y162" s="79"/>
      <c r="AD162" s="130"/>
      <c r="AF162" s="106"/>
    </row>
    <row r="163">
      <c r="C163" s="79"/>
      <c r="D163" s="79"/>
      <c r="E163" s="79"/>
      <c r="O163" s="79"/>
      <c r="S163" s="79"/>
      <c r="T163" s="79"/>
      <c r="Y163" s="79"/>
      <c r="AD163" s="130"/>
      <c r="AF163" s="106"/>
    </row>
    <row r="164">
      <c r="C164" s="79"/>
      <c r="D164" s="79"/>
      <c r="E164" s="79"/>
      <c r="O164" s="79"/>
      <c r="S164" s="79"/>
      <c r="T164" s="79"/>
      <c r="Y164" s="79"/>
      <c r="AD164" s="130"/>
      <c r="AF164" s="106"/>
    </row>
    <row r="165">
      <c r="C165" s="79"/>
      <c r="D165" s="79"/>
      <c r="E165" s="79"/>
      <c r="O165" s="79"/>
      <c r="S165" s="79"/>
      <c r="T165" s="79"/>
      <c r="Y165" s="79"/>
      <c r="AD165" s="130"/>
      <c r="AF165" s="106"/>
    </row>
    <row r="166">
      <c r="C166" s="79"/>
      <c r="D166" s="79"/>
      <c r="E166" s="79"/>
      <c r="O166" s="79"/>
      <c r="S166" s="79"/>
      <c r="T166" s="79"/>
      <c r="Y166" s="79"/>
      <c r="AD166" s="130"/>
      <c r="AF166" s="106"/>
    </row>
    <row r="167">
      <c r="C167" s="79"/>
      <c r="D167" s="79"/>
      <c r="E167" s="79"/>
      <c r="O167" s="79"/>
      <c r="S167" s="79"/>
      <c r="T167" s="79"/>
      <c r="Y167" s="79"/>
      <c r="AD167" s="130"/>
      <c r="AF167" s="106"/>
    </row>
    <row r="168">
      <c r="C168" s="79"/>
      <c r="D168" s="79"/>
      <c r="E168" s="79"/>
      <c r="O168" s="79"/>
      <c r="S168" s="79"/>
      <c r="T168" s="79"/>
      <c r="Y168" s="79"/>
      <c r="AD168" s="130"/>
      <c r="AF168" s="106"/>
    </row>
    <row r="169">
      <c r="C169" s="79"/>
      <c r="D169" s="79"/>
      <c r="E169" s="79"/>
      <c r="O169" s="79"/>
      <c r="S169" s="79"/>
      <c r="T169" s="79"/>
      <c r="Y169" s="79"/>
      <c r="AD169" s="130"/>
      <c r="AF169" s="106"/>
    </row>
    <row r="170">
      <c r="C170" s="79"/>
      <c r="D170" s="79"/>
      <c r="E170" s="79"/>
      <c r="O170" s="79"/>
      <c r="S170" s="79"/>
      <c r="T170" s="79"/>
      <c r="Y170" s="79"/>
      <c r="AD170" s="130"/>
      <c r="AF170" s="106"/>
    </row>
    <row r="171">
      <c r="C171" s="79"/>
      <c r="D171" s="79"/>
      <c r="E171" s="79"/>
      <c r="O171" s="79"/>
      <c r="S171" s="79"/>
      <c r="T171" s="79"/>
      <c r="Y171" s="79"/>
      <c r="AD171" s="130"/>
      <c r="AF171" s="106"/>
    </row>
    <row r="172">
      <c r="C172" s="79"/>
      <c r="D172" s="79"/>
      <c r="E172" s="79"/>
      <c r="O172" s="79"/>
      <c r="S172" s="79"/>
      <c r="T172" s="79"/>
      <c r="Y172" s="79"/>
      <c r="AD172" s="130"/>
      <c r="AF172" s="106"/>
    </row>
    <row r="173">
      <c r="C173" s="79"/>
      <c r="D173" s="79"/>
      <c r="E173" s="79"/>
      <c r="O173" s="79"/>
      <c r="S173" s="79"/>
      <c r="T173" s="79"/>
      <c r="Y173" s="79"/>
      <c r="AD173" s="130"/>
      <c r="AF173" s="106"/>
    </row>
    <row r="174">
      <c r="C174" s="79"/>
      <c r="D174" s="79"/>
      <c r="E174" s="79"/>
      <c r="O174" s="79"/>
      <c r="S174" s="79"/>
      <c r="T174" s="79"/>
      <c r="Y174" s="79"/>
      <c r="AD174" s="130"/>
      <c r="AF174" s="106"/>
    </row>
    <row r="175">
      <c r="C175" s="79"/>
      <c r="D175" s="79"/>
      <c r="E175" s="79"/>
      <c r="O175" s="79"/>
      <c r="S175" s="79"/>
      <c r="T175" s="79"/>
      <c r="Y175" s="79"/>
      <c r="AD175" s="130"/>
      <c r="AF175" s="106"/>
    </row>
    <row r="176">
      <c r="C176" s="79"/>
      <c r="D176" s="79"/>
      <c r="E176" s="79"/>
      <c r="O176" s="79"/>
      <c r="S176" s="79"/>
      <c r="T176" s="79"/>
      <c r="Y176" s="79"/>
      <c r="AD176" s="130"/>
      <c r="AF176" s="106"/>
    </row>
    <row r="177">
      <c r="C177" s="79"/>
      <c r="D177" s="79"/>
      <c r="E177" s="79"/>
      <c r="O177" s="79"/>
      <c r="S177" s="79"/>
      <c r="T177" s="79"/>
      <c r="Y177" s="79"/>
      <c r="AD177" s="130"/>
      <c r="AF177" s="106"/>
    </row>
    <row r="178">
      <c r="C178" s="79"/>
      <c r="D178" s="79"/>
      <c r="E178" s="79"/>
      <c r="O178" s="79"/>
      <c r="S178" s="79"/>
      <c r="T178" s="79"/>
      <c r="Y178" s="79"/>
      <c r="AD178" s="130"/>
      <c r="AF178" s="106"/>
    </row>
    <row r="179">
      <c r="C179" s="79"/>
      <c r="D179" s="79"/>
      <c r="E179" s="79"/>
      <c r="O179" s="79"/>
      <c r="S179" s="79"/>
      <c r="T179" s="79"/>
      <c r="Y179" s="79"/>
      <c r="AD179" s="130"/>
      <c r="AF179" s="106"/>
    </row>
    <row r="180">
      <c r="C180" s="79"/>
      <c r="D180" s="79"/>
      <c r="E180" s="79"/>
      <c r="O180" s="79"/>
      <c r="S180" s="79"/>
      <c r="T180" s="79"/>
      <c r="Y180" s="79"/>
      <c r="AD180" s="130"/>
      <c r="AF180" s="106"/>
    </row>
    <row r="181">
      <c r="C181" s="79"/>
      <c r="D181" s="79"/>
      <c r="E181" s="79"/>
      <c r="O181" s="79"/>
      <c r="S181" s="79"/>
      <c r="T181" s="79"/>
      <c r="Y181" s="79"/>
      <c r="AD181" s="130"/>
      <c r="AF181" s="106"/>
    </row>
    <row r="182">
      <c r="C182" s="79"/>
      <c r="D182" s="79"/>
      <c r="E182" s="79"/>
      <c r="O182" s="79"/>
      <c r="S182" s="79"/>
      <c r="T182" s="79"/>
      <c r="Y182" s="79"/>
      <c r="AD182" s="130"/>
      <c r="AF182" s="106"/>
    </row>
    <row r="183">
      <c r="C183" s="79"/>
      <c r="D183" s="79"/>
      <c r="E183" s="79"/>
      <c r="O183" s="79"/>
      <c r="S183" s="79"/>
      <c r="T183" s="79"/>
      <c r="Y183" s="79"/>
      <c r="AD183" s="130"/>
      <c r="AF183" s="106"/>
    </row>
    <row r="184">
      <c r="C184" s="79"/>
      <c r="D184" s="79"/>
      <c r="E184" s="79"/>
      <c r="O184" s="79"/>
      <c r="S184" s="79"/>
      <c r="T184" s="79"/>
      <c r="Y184" s="79"/>
      <c r="AD184" s="130"/>
      <c r="AF184" s="106"/>
    </row>
    <row r="185">
      <c r="C185" s="79"/>
      <c r="D185" s="79"/>
      <c r="E185" s="79"/>
      <c r="O185" s="79"/>
      <c r="S185" s="79"/>
      <c r="T185" s="79"/>
      <c r="Y185" s="79"/>
      <c r="AD185" s="130"/>
      <c r="AF185" s="106"/>
    </row>
    <row r="186">
      <c r="C186" s="79"/>
      <c r="D186" s="79"/>
      <c r="E186" s="79"/>
      <c r="O186" s="79"/>
      <c r="S186" s="79"/>
      <c r="T186" s="79"/>
      <c r="Y186" s="79"/>
      <c r="AD186" s="130"/>
      <c r="AF186" s="106"/>
    </row>
    <row r="187">
      <c r="C187" s="79"/>
      <c r="D187" s="79"/>
      <c r="E187" s="79"/>
      <c r="O187" s="79"/>
      <c r="S187" s="79"/>
      <c r="T187" s="79"/>
      <c r="Y187" s="79"/>
      <c r="AD187" s="130"/>
      <c r="AF187" s="106"/>
    </row>
    <row r="188">
      <c r="C188" s="79"/>
      <c r="D188" s="79"/>
      <c r="E188" s="79"/>
      <c r="O188" s="79"/>
      <c r="S188" s="79"/>
      <c r="T188" s="79"/>
      <c r="Y188" s="79"/>
      <c r="AD188" s="130"/>
      <c r="AF188" s="106"/>
    </row>
    <row r="189">
      <c r="C189" s="79"/>
      <c r="D189" s="79"/>
      <c r="E189" s="79"/>
      <c r="O189" s="79"/>
      <c r="S189" s="79"/>
      <c r="T189" s="79"/>
      <c r="Y189" s="79"/>
      <c r="AD189" s="130"/>
      <c r="AF189" s="106"/>
    </row>
    <row r="190">
      <c r="C190" s="79"/>
      <c r="D190" s="79"/>
      <c r="E190" s="79"/>
      <c r="O190" s="79"/>
      <c r="S190" s="79"/>
      <c r="T190" s="79"/>
      <c r="Y190" s="79"/>
      <c r="AD190" s="130"/>
      <c r="AF190" s="106"/>
    </row>
    <row r="191">
      <c r="C191" s="79"/>
      <c r="D191" s="79"/>
      <c r="E191" s="79"/>
      <c r="O191" s="79"/>
      <c r="S191" s="79"/>
      <c r="T191" s="79"/>
      <c r="Y191" s="79"/>
      <c r="AD191" s="130"/>
      <c r="AF191" s="106"/>
    </row>
    <row r="192">
      <c r="C192" s="79"/>
      <c r="D192" s="79"/>
      <c r="E192" s="79"/>
      <c r="O192" s="79"/>
      <c r="S192" s="79"/>
      <c r="T192" s="79"/>
      <c r="Y192" s="79"/>
      <c r="AD192" s="130"/>
      <c r="AF192" s="106"/>
    </row>
    <row r="193">
      <c r="C193" s="79"/>
      <c r="D193" s="79"/>
      <c r="E193" s="79"/>
      <c r="O193" s="79"/>
      <c r="S193" s="79"/>
      <c r="T193" s="79"/>
      <c r="Y193" s="79"/>
      <c r="AD193" s="130"/>
      <c r="AF193" s="106"/>
    </row>
    <row r="194">
      <c r="C194" s="79"/>
      <c r="D194" s="79"/>
      <c r="E194" s="79"/>
      <c r="O194" s="79"/>
      <c r="S194" s="79"/>
      <c r="T194" s="79"/>
      <c r="Y194" s="79"/>
      <c r="AD194" s="130"/>
      <c r="AF194" s="106"/>
    </row>
    <row r="195">
      <c r="C195" s="79"/>
      <c r="D195" s="79"/>
      <c r="E195" s="79"/>
      <c r="O195" s="79"/>
      <c r="S195" s="79"/>
      <c r="T195" s="79"/>
      <c r="Y195" s="79"/>
      <c r="AD195" s="130"/>
      <c r="AF195" s="106"/>
    </row>
    <row r="196">
      <c r="C196" s="79"/>
      <c r="D196" s="79"/>
      <c r="E196" s="79"/>
      <c r="O196" s="79"/>
      <c r="S196" s="79"/>
      <c r="T196" s="79"/>
      <c r="Y196" s="79"/>
      <c r="AD196" s="130"/>
      <c r="AF196" s="106"/>
    </row>
    <row r="197">
      <c r="C197" s="79"/>
      <c r="D197" s="79"/>
      <c r="E197" s="79"/>
      <c r="O197" s="79"/>
      <c r="S197" s="79"/>
      <c r="T197" s="79"/>
      <c r="Y197" s="79"/>
      <c r="AD197" s="130"/>
      <c r="AF197" s="106"/>
    </row>
    <row r="198">
      <c r="C198" s="79"/>
      <c r="D198" s="79"/>
      <c r="E198" s="79"/>
      <c r="O198" s="79"/>
      <c r="S198" s="79"/>
      <c r="T198" s="79"/>
      <c r="Y198" s="79"/>
      <c r="AD198" s="130"/>
      <c r="AF198" s="106"/>
    </row>
    <row r="199">
      <c r="C199" s="79"/>
      <c r="D199" s="79"/>
      <c r="E199" s="79"/>
      <c r="O199" s="79"/>
      <c r="S199" s="79"/>
      <c r="T199" s="79"/>
      <c r="Y199" s="79"/>
      <c r="AD199" s="130"/>
      <c r="AF199" s="106"/>
    </row>
    <row r="200">
      <c r="C200" s="79"/>
      <c r="D200" s="79"/>
      <c r="E200" s="79"/>
      <c r="O200" s="79"/>
      <c r="S200" s="79"/>
      <c r="T200" s="79"/>
      <c r="Y200" s="79"/>
      <c r="AD200" s="130"/>
      <c r="AF200" s="106"/>
    </row>
    <row r="201">
      <c r="C201" s="79"/>
      <c r="D201" s="79"/>
      <c r="E201" s="79"/>
      <c r="O201" s="79"/>
      <c r="S201" s="79"/>
      <c r="T201" s="79"/>
      <c r="Y201" s="79"/>
      <c r="AD201" s="130"/>
      <c r="AF201" s="106"/>
    </row>
    <row r="202">
      <c r="C202" s="79"/>
      <c r="D202" s="79"/>
      <c r="E202" s="79"/>
      <c r="O202" s="79"/>
      <c r="S202" s="79"/>
      <c r="T202" s="79"/>
      <c r="Y202" s="79"/>
      <c r="AD202" s="130"/>
      <c r="AF202" s="106"/>
    </row>
    <row r="203">
      <c r="C203" s="79"/>
      <c r="D203" s="79"/>
      <c r="E203" s="79"/>
      <c r="O203" s="79"/>
      <c r="S203" s="79"/>
      <c r="T203" s="79"/>
      <c r="Y203" s="79"/>
      <c r="AD203" s="130"/>
      <c r="AF203" s="106"/>
    </row>
    <row r="204">
      <c r="C204" s="79"/>
      <c r="D204" s="79"/>
      <c r="E204" s="79"/>
      <c r="O204" s="79"/>
      <c r="S204" s="79"/>
      <c r="T204" s="79"/>
      <c r="Y204" s="79"/>
      <c r="AD204" s="130"/>
      <c r="AF204" s="106"/>
    </row>
    <row r="205">
      <c r="C205" s="79"/>
      <c r="D205" s="79"/>
      <c r="E205" s="79"/>
      <c r="O205" s="79"/>
      <c r="S205" s="79"/>
      <c r="T205" s="79"/>
      <c r="Y205" s="79"/>
      <c r="AD205" s="130"/>
      <c r="AF205" s="106"/>
    </row>
    <row r="206">
      <c r="C206" s="79"/>
      <c r="D206" s="79"/>
      <c r="E206" s="79"/>
      <c r="O206" s="79"/>
      <c r="S206" s="79"/>
      <c r="T206" s="79"/>
      <c r="Y206" s="79"/>
      <c r="AD206" s="130"/>
      <c r="AF206" s="106"/>
    </row>
    <row r="207">
      <c r="C207" s="79"/>
      <c r="D207" s="79"/>
      <c r="E207" s="79"/>
      <c r="O207" s="79"/>
      <c r="S207" s="79"/>
      <c r="T207" s="79"/>
      <c r="Y207" s="79"/>
      <c r="AD207" s="130"/>
      <c r="AF207" s="106"/>
    </row>
    <row r="208">
      <c r="C208" s="79"/>
      <c r="D208" s="79"/>
      <c r="E208" s="79"/>
      <c r="O208" s="79"/>
      <c r="S208" s="79"/>
      <c r="T208" s="79"/>
      <c r="Y208" s="79"/>
      <c r="AD208" s="130"/>
      <c r="AF208" s="106"/>
    </row>
    <row r="209">
      <c r="C209" s="79"/>
      <c r="D209" s="79"/>
      <c r="E209" s="79"/>
      <c r="O209" s="79"/>
      <c r="S209" s="79"/>
      <c r="T209" s="79"/>
      <c r="Y209" s="79"/>
      <c r="AD209" s="130"/>
      <c r="AF209" s="106"/>
    </row>
    <row r="210">
      <c r="C210" s="79"/>
      <c r="D210" s="79"/>
      <c r="E210" s="79"/>
      <c r="O210" s="79"/>
      <c r="S210" s="79"/>
      <c r="T210" s="79"/>
      <c r="Y210" s="79"/>
      <c r="AD210" s="130"/>
      <c r="AF210" s="106"/>
    </row>
    <row r="211">
      <c r="C211" s="79"/>
      <c r="D211" s="79"/>
      <c r="E211" s="79"/>
      <c r="O211" s="79"/>
      <c r="S211" s="79"/>
      <c r="T211" s="79"/>
      <c r="Y211" s="79"/>
      <c r="AD211" s="130"/>
      <c r="AF211" s="106"/>
    </row>
    <row r="212">
      <c r="C212" s="79"/>
      <c r="D212" s="79"/>
      <c r="E212" s="79"/>
      <c r="O212" s="79"/>
      <c r="S212" s="79"/>
      <c r="T212" s="79"/>
      <c r="Y212" s="79"/>
      <c r="AD212" s="130"/>
      <c r="AF212" s="106"/>
    </row>
    <row r="213">
      <c r="C213" s="79"/>
      <c r="D213" s="79"/>
      <c r="E213" s="79"/>
      <c r="O213" s="79"/>
      <c r="S213" s="79"/>
      <c r="T213" s="79"/>
      <c r="Y213" s="79"/>
      <c r="AD213" s="130"/>
      <c r="AF213" s="106"/>
    </row>
    <row r="214">
      <c r="C214" s="79"/>
      <c r="D214" s="79"/>
      <c r="E214" s="79"/>
      <c r="O214" s="79"/>
      <c r="S214" s="79"/>
      <c r="T214" s="79"/>
      <c r="Y214" s="79"/>
      <c r="AD214" s="130"/>
      <c r="AF214" s="106"/>
    </row>
    <row r="215">
      <c r="C215" s="79"/>
      <c r="D215" s="79"/>
      <c r="E215" s="79"/>
      <c r="O215" s="79"/>
      <c r="S215" s="79"/>
      <c r="T215" s="79"/>
      <c r="Y215" s="79"/>
      <c r="AD215" s="130"/>
      <c r="AF215" s="106"/>
    </row>
    <row r="216">
      <c r="C216" s="79"/>
      <c r="D216" s="79"/>
      <c r="E216" s="79"/>
      <c r="O216" s="79"/>
      <c r="S216" s="79"/>
      <c r="T216" s="79"/>
      <c r="Y216" s="79"/>
      <c r="AD216" s="130"/>
      <c r="AF216" s="106"/>
    </row>
    <row r="217">
      <c r="C217" s="79"/>
      <c r="D217" s="79"/>
      <c r="E217" s="79"/>
      <c r="O217" s="79"/>
      <c r="S217" s="79"/>
      <c r="T217" s="79"/>
      <c r="Y217" s="79"/>
      <c r="AD217" s="130"/>
      <c r="AF217" s="106"/>
    </row>
    <row r="218">
      <c r="C218" s="79"/>
      <c r="D218" s="79"/>
      <c r="E218" s="79"/>
      <c r="O218" s="79"/>
      <c r="S218" s="79"/>
      <c r="T218" s="79"/>
      <c r="Y218" s="79"/>
      <c r="AD218" s="130"/>
      <c r="AF218" s="106"/>
    </row>
    <row r="219">
      <c r="C219" s="79"/>
      <c r="D219" s="79"/>
      <c r="E219" s="79"/>
      <c r="O219" s="79"/>
      <c r="S219" s="79"/>
      <c r="T219" s="79"/>
      <c r="Y219" s="79"/>
      <c r="AD219" s="130"/>
      <c r="AF219" s="106"/>
    </row>
    <row r="220">
      <c r="C220" s="79"/>
      <c r="D220" s="79"/>
      <c r="E220" s="79"/>
      <c r="O220" s="79"/>
      <c r="S220" s="79"/>
      <c r="T220" s="79"/>
      <c r="Y220" s="79"/>
      <c r="AD220" s="130"/>
      <c r="AF220" s="106"/>
    </row>
    <row r="221">
      <c r="C221" s="79"/>
      <c r="D221" s="79"/>
      <c r="E221" s="79"/>
      <c r="O221" s="79"/>
      <c r="S221" s="79"/>
      <c r="T221" s="79"/>
      <c r="Y221" s="79"/>
      <c r="AD221" s="130"/>
      <c r="AF221" s="106"/>
    </row>
    <row r="222">
      <c r="C222" s="79"/>
      <c r="D222" s="79"/>
      <c r="E222" s="79"/>
      <c r="O222" s="79"/>
      <c r="S222" s="79"/>
      <c r="T222" s="79"/>
      <c r="Y222" s="79"/>
      <c r="AD222" s="130"/>
      <c r="AF222" s="106"/>
    </row>
    <row r="223">
      <c r="C223" s="79"/>
      <c r="D223" s="79"/>
      <c r="E223" s="79"/>
      <c r="O223" s="79"/>
      <c r="S223" s="79"/>
      <c r="T223" s="79"/>
      <c r="Y223" s="79"/>
      <c r="AD223" s="130"/>
      <c r="AF223" s="106"/>
    </row>
    <row r="224">
      <c r="C224" s="79"/>
      <c r="D224" s="79"/>
      <c r="E224" s="79"/>
      <c r="O224" s="79"/>
      <c r="S224" s="79"/>
      <c r="T224" s="79"/>
      <c r="Y224" s="79"/>
      <c r="AD224" s="130"/>
      <c r="AF224" s="106"/>
    </row>
    <row r="225">
      <c r="C225" s="79"/>
      <c r="D225" s="79"/>
      <c r="E225" s="79"/>
      <c r="O225" s="79"/>
      <c r="S225" s="79"/>
      <c r="T225" s="79"/>
      <c r="Y225" s="79"/>
      <c r="AD225" s="130"/>
      <c r="AF225" s="106"/>
    </row>
    <row r="226">
      <c r="C226" s="79"/>
      <c r="D226" s="79"/>
      <c r="E226" s="79"/>
      <c r="O226" s="79"/>
      <c r="S226" s="79"/>
      <c r="T226" s="79"/>
      <c r="Y226" s="79"/>
      <c r="AD226" s="130"/>
      <c r="AF226" s="106"/>
    </row>
    <row r="227">
      <c r="C227" s="79"/>
      <c r="D227" s="79"/>
      <c r="E227" s="79"/>
      <c r="O227" s="79"/>
      <c r="S227" s="79"/>
      <c r="T227" s="79"/>
      <c r="Y227" s="79"/>
      <c r="AD227" s="130"/>
      <c r="AF227" s="106"/>
    </row>
    <row r="228">
      <c r="C228" s="79"/>
      <c r="D228" s="79"/>
      <c r="E228" s="79"/>
      <c r="O228" s="79"/>
      <c r="S228" s="79"/>
      <c r="T228" s="79"/>
      <c r="Y228" s="79"/>
      <c r="AD228" s="130"/>
      <c r="AF228" s="106"/>
    </row>
    <row r="229">
      <c r="C229" s="79"/>
      <c r="D229" s="79"/>
      <c r="E229" s="79"/>
      <c r="O229" s="79"/>
      <c r="S229" s="79"/>
      <c r="T229" s="79"/>
      <c r="Y229" s="79"/>
      <c r="AD229" s="130"/>
      <c r="AF229" s="106"/>
    </row>
    <row r="230">
      <c r="C230" s="79"/>
      <c r="D230" s="79"/>
      <c r="E230" s="79"/>
      <c r="O230" s="79"/>
      <c r="S230" s="79"/>
      <c r="T230" s="79"/>
      <c r="Y230" s="79"/>
      <c r="AD230" s="130"/>
      <c r="AF230" s="106"/>
    </row>
    <row r="231">
      <c r="C231" s="79"/>
      <c r="D231" s="79"/>
      <c r="E231" s="79"/>
      <c r="O231" s="79"/>
      <c r="S231" s="79"/>
      <c r="T231" s="79"/>
      <c r="Y231" s="79"/>
      <c r="AD231" s="130"/>
      <c r="AF231" s="106"/>
    </row>
    <row r="232">
      <c r="C232" s="79"/>
      <c r="D232" s="79"/>
      <c r="E232" s="79"/>
      <c r="O232" s="79"/>
      <c r="S232" s="79"/>
      <c r="T232" s="79"/>
      <c r="Y232" s="79"/>
      <c r="AD232" s="130"/>
      <c r="AF232" s="106"/>
    </row>
    <row r="233">
      <c r="C233" s="79"/>
      <c r="D233" s="79"/>
      <c r="E233" s="79"/>
      <c r="O233" s="79"/>
      <c r="S233" s="79"/>
      <c r="T233" s="79"/>
      <c r="Y233" s="79"/>
      <c r="AD233" s="130"/>
      <c r="AF233" s="106"/>
    </row>
    <row r="234">
      <c r="C234" s="79"/>
      <c r="D234" s="79"/>
      <c r="E234" s="79"/>
      <c r="O234" s="79"/>
      <c r="S234" s="79"/>
      <c r="T234" s="79"/>
      <c r="Y234" s="79"/>
      <c r="AD234" s="130"/>
      <c r="AF234" s="106"/>
    </row>
    <row r="235">
      <c r="C235" s="79"/>
      <c r="D235" s="79"/>
      <c r="E235" s="79"/>
      <c r="O235" s="79"/>
      <c r="S235" s="79"/>
      <c r="T235" s="79"/>
      <c r="Y235" s="79"/>
      <c r="AD235" s="130"/>
      <c r="AF235" s="106"/>
    </row>
    <row r="236">
      <c r="C236" s="79"/>
      <c r="D236" s="79"/>
      <c r="E236" s="79"/>
      <c r="O236" s="79"/>
      <c r="S236" s="79"/>
      <c r="T236" s="79"/>
      <c r="Y236" s="79"/>
      <c r="AD236" s="130"/>
      <c r="AF236" s="106"/>
    </row>
    <row r="237">
      <c r="C237" s="79"/>
      <c r="D237" s="79"/>
      <c r="E237" s="79"/>
      <c r="O237" s="79"/>
      <c r="S237" s="79"/>
      <c r="T237" s="79"/>
      <c r="Y237" s="79"/>
      <c r="AD237" s="130"/>
      <c r="AF237" s="106"/>
    </row>
    <row r="238">
      <c r="C238" s="79"/>
      <c r="D238" s="79"/>
      <c r="E238" s="79"/>
      <c r="O238" s="79"/>
      <c r="S238" s="79"/>
      <c r="T238" s="79"/>
      <c r="Y238" s="79"/>
      <c r="AD238" s="130"/>
      <c r="AF238" s="106"/>
    </row>
    <row r="239">
      <c r="C239" s="79"/>
      <c r="D239" s="79"/>
      <c r="E239" s="79"/>
      <c r="O239" s="79"/>
      <c r="S239" s="79"/>
      <c r="T239" s="79"/>
      <c r="Y239" s="79"/>
      <c r="AD239" s="130"/>
      <c r="AF239" s="106"/>
    </row>
    <row r="240">
      <c r="C240" s="79"/>
      <c r="D240" s="79"/>
      <c r="E240" s="79"/>
      <c r="O240" s="79"/>
      <c r="S240" s="79"/>
      <c r="T240" s="79"/>
      <c r="Y240" s="79"/>
      <c r="AD240" s="130"/>
      <c r="AF240" s="106"/>
    </row>
    <row r="241">
      <c r="C241" s="79"/>
      <c r="D241" s="79"/>
      <c r="E241" s="79"/>
      <c r="O241" s="79"/>
      <c r="S241" s="79"/>
      <c r="T241" s="79"/>
      <c r="Y241" s="79"/>
      <c r="AD241" s="130"/>
      <c r="AF241" s="106"/>
    </row>
    <row r="242">
      <c r="C242" s="79"/>
      <c r="D242" s="79"/>
      <c r="E242" s="79"/>
      <c r="O242" s="79"/>
      <c r="S242" s="79"/>
      <c r="T242" s="79"/>
      <c r="Y242" s="79"/>
      <c r="AD242" s="130"/>
      <c r="AF242" s="106"/>
    </row>
    <row r="243">
      <c r="C243" s="79"/>
      <c r="D243" s="79"/>
      <c r="E243" s="79"/>
      <c r="O243" s="79"/>
      <c r="S243" s="79"/>
      <c r="T243" s="79"/>
      <c r="Y243" s="79"/>
      <c r="AD243" s="130"/>
      <c r="AF243" s="106"/>
    </row>
    <row r="244">
      <c r="C244" s="79"/>
      <c r="D244" s="79"/>
      <c r="E244" s="79"/>
      <c r="O244" s="79"/>
      <c r="S244" s="79"/>
      <c r="T244" s="79"/>
      <c r="Y244" s="79"/>
      <c r="AD244" s="130"/>
      <c r="AF244" s="106"/>
    </row>
    <row r="245">
      <c r="C245" s="79"/>
      <c r="D245" s="79"/>
      <c r="E245" s="79"/>
      <c r="O245" s="79"/>
      <c r="S245" s="79"/>
      <c r="T245" s="79"/>
      <c r="Y245" s="79"/>
      <c r="AD245" s="130"/>
      <c r="AF245" s="106"/>
    </row>
    <row r="246">
      <c r="C246" s="79"/>
      <c r="D246" s="79"/>
      <c r="E246" s="79"/>
      <c r="O246" s="79"/>
      <c r="S246" s="79"/>
      <c r="T246" s="79"/>
      <c r="Y246" s="79"/>
      <c r="AD246" s="130"/>
      <c r="AF246" s="106"/>
    </row>
    <row r="247">
      <c r="C247" s="79"/>
      <c r="D247" s="79"/>
      <c r="E247" s="79"/>
      <c r="O247" s="79"/>
      <c r="S247" s="79"/>
      <c r="T247" s="79"/>
      <c r="Y247" s="79"/>
      <c r="AD247" s="130"/>
      <c r="AF247" s="106"/>
    </row>
    <row r="248">
      <c r="C248" s="79"/>
      <c r="D248" s="79"/>
      <c r="E248" s="79"/>
      <c r="O248" s="79"/>
      <c r="S248" s="79"/>
      <c r="T248" s="79"/>
      <c r="Y248" s="79"/>
      <c r="AD248" s="130"/>
      <c r="AF248" s="106"/>
    </row>
    <row r="249">
      <c r="C249" s="79"/>
      <c r="D249" s="79"/>
      <c r="E249" s="79"/>
      <c r="O249" s="79"/>
      <c r="S249" s="79"/>
      <c r="T249" s="79"/>
      <c r="Y249" s="79"/>
      <c r="AD249" s="130"/>
      <c r="AF249" s="106"/>
    </row>
    <row r="250">
      <c r="C250" s="79"/>
      <c r="D250" s="79"/>
      <c r="E250" s="79"/>
      <c r="O250" s="79"/>
      <c r="S250" s="79"/>
      <c r="T250" s="79"/>
      <c r="Y250" s="79"/>
      <c r="AD250" s="130"/>
      <c r="AF250" s="106"/>
    </row>
    <row r="251">
      <c r="C251" s="79"/>
      <c r="D251" s="79"/>
      <c r="E251" s="79"/>
      <c r="O251" s="79"/>
      <c r="S251" s="79"/>
      <c r="T251" s="79"/>
      <c r="Y251" s="79"/>
      <c r="AD251" s="130"/>
      <c r="AF251" s="106"/>
    </row>
    <row r="252">
      <c r="C252" s="79"/>
      <c r="D252" s="79"/>
      <c r="E252" s="79"/>
      <c r="O252" s="79"/>
      <c r="S252" s="79"/>
      <c r="T252" s="79"/>
      <c r="Y252" s="79"/>
      <c r="AD252" s="130"/>
      <c r="AF252" s="106"/>
    </row>
    <row r="253">
      <c r="C253" s="79"/>
      <c r="D253" s="79"/>
      <c r="E253" s="79"/>
      <c r="O253" s="79"/>
      <c r="S253" s="79"/>
      <c r="T253" s="79"/>
      <c r="Y253" s="79"/>
      <c r="AD253" s="130"/>
      <c r="AF253" s="106"/>
    </row>
    <row r="254">
      <c r="C254" s="79"/>
      <c r="D254" s="79"/>
      <c r="E254" s="79"/>
      <c r="O254" s="79"/>
      <c r="S254" s="79"/>
      <c r="T254" s="79"/>
      <c r="Y254" s="79"/>
      <c r="AD254" s="130"/>
      <c r="AF254" s="106"/>
    </row>
    <row r="255">
      <c r="C255" s="79"/>
      <c r="D255" s="79"/>
      <c r="E255" s="79"/>
      <c r="O255" s="79"/>
      <c r="S255" s="79"/>
      <c r="T255" s="79"/>
      <c r="Y255" s="79"/>
      <c r="AD255" s="130"/>
      <c r="AF255" s="106"/>
    </row>
    <row r="256">
      <c r="C256" s="79"/>
      <c r="D256" s="79"/>
      <c r="E256" s="79"/>
      <c r="O256" s="79"/>
      <c r="S256" s="79"/>
      <c r="T256" s="79"/>
      <c r="Y256" s="79"/>
      <c r="AD256" s="130"/>
      <c r="AF256" s="106"/>
    </row>
    <row r="257">
      <c r="C257" s="79"/>
      <c r="D257" s="79"/>
      <c r="E257" s="79"/>
      <c r="O257" s="79"/>
      <c r="S257" s="79"/>
      <c r="T257" s="79"/>
      <c r="Y257" s="79"/>
      <c r="AD257" s="130"/>
      <c r="AF257" s="106"/>
    </row>
    <row r="258">
      <c r="C258" s="79"/>
      <c r="D258" s="79"/>
      <c r="E258" s="79"/>
      <c r="O258" s="79"/>
      <c r="S258" s="79"/>
      <c r="T258" s="79"/>
      <c r="Y258" s="79"/>
      <c r="AD258" s="130"/>
      <c r="AF258" s="106"/>
    </row>
    <row r="259">
      <c r="C259" s="79"/>
      <c r="D259" s="79"/>
      <c r="E259" s="79"/>
      <c r="O259" s="79"/>
      <c r="S259" s="79"/>
      <c r="T259" s="79"/>
      <c r="Y259" s="79"/>
      <c r="AD259" s="130"/>
      <c r="AF259" s="106"/>
    </row>
    <row r="260">
      <c r="C260" s="79"/>
      <c r="D260" s="79"/>
      <c r="E260" s="79"/>
      <c r="O260" s="79"/>
      <c r="S260" s="79"/>
      <c r="T260" s="79"/>
      <c r="Y260" s="79"/>
      <c r="AD260" s="130"/>
      <c r="AF260" s="106"/>
    </row>
    <row r="261">
      <c r="C261" s="79"/>
      <c r="D261" s="79"/>
      <c r="E261" s="79"/>
      <c r="O261" s="79"/>
      <c r="S261" s="79"/>
      <c r="T261" s="79"/>
      <c r="Y261" s="79"/>
      <c r="AD261" s="130"/>
      <c r="AF261" s="106"/>
    </row>
    <row r="262">
      <c r="C262" s="79"/>
      <c r="D262" s="79"/>
      <c r="E262" s="79"/>
      <c r="O262" s="79"/>
      <c r="S262" s="79"/>
      <c r="T262" s="79"/>
      <c r="Y262" s="79"/>
      <c r="AD262" s="130"/>
      <c r="AF262" s="106"/>
    </row>
    <row r="263">
      <c r="C263" s="79"/>
      <c r="D263" s="79"/>
      <c r="E263" s="79"/>
      <c r="O263" s="79"/>
      <c r="S263" s="79"/>
      <c r="T263" s="79"/>
      <c r="Y263" s="79"/>
      <c r="AD263" s="130"/>
      <c r="AF263" s="106"/>
    </row>
    <row r="264">
      <c r="C264" s="79"/>
      <c r="D264" s="79"/>
      <c r="E264" s="79"/>
      <c r="O264" s="79"/>
      <c r="S264" s="79"/>
      <c r="T264" s="79"/>
      <c r="Y264" s="79"/>
      <c r="AD264" s="130"/>
      <c r="AF264" s="106"/>
    </row>
    <row r="265">
      <c r="C265" s="79"/>
      <c r="D265" s="79"/>
      <c r="E265" s="79"/>
      <c r="O265" s="79"/>
      <c r="S265" s="79"/>
      <c r="T265" s="79"/>
      <c r="Y265" s="79"/>
      <c r="AD265" s="130"/>
      <c r="AF265" s="106"/>
    </row>
    <row r="266">
      <c r="C266" s="79"/>
      <c r="D266" s="79"/>
      <c r="E266" s="79"/>
      <c r="O266" s="79"/>
      <c r="S266" s="79"/>
      <c r="T266" s="79"/>
      <c r="Y266" s="79"/>
      <c r="AD266" s="130"/>
      <c r="AF266" s="106"/>
    </row>
    <row r="267">
      <c r="C267" s="79"/>
      <c r="D267" s="79"/>
      <c r="E267" s="79"/>
      <c r="O267" s="79"/>
      <c r="S267" s="79"/>
      <c r="T267" s="79"/>
      <c r="Y267" s="79"/>
      <c r="AD267" s="130"/>
      <c r="AF267" s="106"/>
    </row>
    <row r="268">
      <c r="C268" s="79"/>
      <c r="D268" s="79"/>
      <c r="E268" s="79"/>
      <c r="O268" s="79"/>
      <c r="S268" s="79"/>
      <c r="T268" s="79"/>
      <c r="Y268" s="79"/>
      <c r="AD268" s="130"/>
      <c r="AF268" s="106"/>
    </row>
    <row r="269">
      <c r="C269" s="79"/>
      <c r="D269" s="79"/>
      <c r="E269" s="79"/>
      <c r="O269" s="79"/>
      <c r="S269" s="79"/>
      <c r="T269" s="79"/>
      <c r="Y269" s="79"/>
      <c r="AD269" s="130"/>
      <c r="AF269" s="106"/>
    </row>
    <row r="270">
      <c r="C270" s="79"/>
      <c r="D270" s="79"/>
      <c r="E270" s="79"/>
      <c r="O270" s="79"/>
      <c r="S270" s="79"/>
      <c r="T270" s="79"/>
      <c r="Y270" s="79"/>
      <c r="AD270" s="130"/>
      <c r="AF270" s="106"/>
    </row>
    <row r="271">
      <c r="C271" s="79"/>
      <c r="D271" s="79"/>
      <c r="E271" s="79"/>
      <c r="O271" s="79"/>
      <c r="S271" s="79"/>
      <c r="T271" s="79"/>
      <c r="Y271" s="79"/>
      <c r="AD271" s="130"/>
      <c r="AF271" s="106"/>
    </row>
    <row r="272">
      <c r="C272" s="79"/>
      <c r="D272" s="79"/>
      <c r="E272" s="79"/>
      <c r="O272" s="79"/>
      <c r="S272" s="79"/>
      <c r="T272" s="79"/>
      <c r="Y272" s="79"/>
      <c r="AD272" s="130"/>
      <c r="AF272" s="106"/>
    </row>
    <row r="273">
      <c r="C273" s="79"/>
      <c r="D273" s="79"/>
      <c r="E273" s="79"/>
      <c r="O273" s="79"/>
      <c r="S273" s="79"/>
      <c r="T273" s="79"/>
      <c r="Y273" s="79"/>
      <c r="AD273" s="130"/>
      <c r="AF273" s="106"/>
    </row>
    <row r="274">
      <c r="C274" s="79"/>
      <c r="D274" s="79"/>
      <c r="E274" s="79"/>
      <c r="O274" s="79"/>
      <c r="S274" s="79"/>
      <c r="T274" s="79"/>
      <c r="Y274" s="79"/>
      <c r="AD274" s="130"/>
      <c r="AF274" s="106"/>
    </row>
    <row r="275">
      <c r="C275" s="79"/>
      <c r="D275" s="79"/>
      <c r="E275" s="79"/>
      <c r="O275" s="79"/>
      <c r="S275" s="79"/>
      <c r="T275" s="79"/>
      <c r="Y275" s="79"/>
      <c r="AD275" s="130"/>
      <c r="AF275" s="106"/>
    </row>
    <row r="276">
      <c r="C276" s="79"/>
      <c r="D276" s="79"/>
      <c r="E276" s="79"/>
      <c r="O276" s="79"/>
      <c r="S276" s="79"/>
      <c r="T276" s="79"/>
      <c r="Y276" s="79"/>
      <c r="AD276" s="130"/>
      <c r="AF276" s="106"/>
    </row>
    <row r="277">
      <c r="C277" s="79"/>
      <c r="D277" s="79"/>
      <c r="E277" s="79"/>
      <c r="O277" s="79"/>
      <c r="S277" s="79"/>
      <c r="T277" s="79"/>
      <c r="Y277" s="79"/>
      <c r="AD277" s="130"/>
      <c r="AF277" s="106"/>
    </row>
    <row r="278">
      <c r="C278" s="79"/>
      <c r="D278" s="79"/>
      <c r="E278" s="79"/>
      <c r="O278" s="79"/>
      <c r="S278" s="79"/>
      <c r="T278" s="79"/>
      <c r="Y278" s="79"/>
      <c r="AD278" s="130"/>
      <c r="AF278" s="106"/>
    </row>
    <row r="279">
      <c r="C279" s="79"/>
      <c r="D279" s="79"/>
      <c r="E279" s="79"/>
      <c r="O279" s="79"/>
      <c r="S279" s="79"/>
      <c r="T279" s="79"/>
      <c r="Y279" s="79"/>
      <c r="AD279" s="130"/>
      <c r="AF279" s="106"/>
    </row>
    <row r="280">
      <c r="C280" s="79"/>
      <c r="D280" s="79"/>
      <c r="E280" s="79"/>
      <c r="O280" s="79"/>
      <c r="S280" s="79"/>
      <c r="T280" s="79"/>
      <c r="Y280" s="79"/>
      <c r="AD280" s="130"/>
      <c r="AF280" s="106"/>
    </row>
    <row r="281">
      <c r="C281" s="79"/>
      <c r="D281" s="79"/>
      <c r="E281" s="79"/>
      <c r="O281" s="79"/>
      <c r="S281" s="79"/>
      <c r="T281" s="79"/>
      <c r="Y281" s="79"/>
      <c r="AD281" s="130"/>
      <c r="AF281" s="106"/>
    </row>
    <row r="282">
      <c r="C282" s="79"/>
      <c r="D282" s="79"/>
      <c r="E282" s="79"/>
      <c r="O282" s="79"/>
      <c r="S282" s="79"/>
      <c r="T282" s="79"/>
      <c r="Y282" s="79"/>
      <c r="AD282" s="130"/>
      <c r="AF282" s="106"/>
    </row>
    <row r="283">
      <c r="C283" s="79"/>
      <c r="D283" s="79"/>
      <c r="E283" s="79"/>
      <c r="O283" s="79"/>
      <c r="S283" s="79"/>
      <c r="T283" s="79"/>
      <c r="Y283" s="79"/>
      <c r="AD283" s="130"/>
      <c r="AF283" s="106"/>
    </row>
    <row r="284">
      <c r="C284" s="79"/>
      <c r="D284" s="79"/>
      <c r="E284" s="79"/>
      <c r="O284" s="79"/>
      <c r="S284" s="79"/>
      <c r="T284" s="79"/>
      <c r="Y284" s="79"/>
      <c r="AD284" s="130"/>
      <c r="AF284" s="106"/>
    </row>
    <row r="285">
      <c r="C285" s="79"/>
      <c r="D285" s="79"/>
      <c r="E285" s="79"/>
      <c r="O285" s="79"/>
      <c r="S285" s="79"/>
      <c r="T285" s="79"/>
      <c r="Y285" s="79"/>
      <c r="AD285" s="130"/>
      <c r="AF285" s="106"/>
    </row>
    <row r="286">
      <c r="C286" s="79"/>
      <c r="D286" s="79"/>
      <c r="E286" s="79"/>
      <c r="O286" s="79"/>
      <c r="S286" s="79"/>
      <c r="T286" s="79"/>
      <c r="Y286" s="79"/>
      <c r="AD286" s="130"/>
      <c r="AF286" s="106"/>
    </row>
    <row r="287">
      <c r="C287" s="79"/>
      <c r="D287" s="79"/>
      <c r="E287" s="79"/>
      <c r="O287" s="79"/>
      <c r="S287" s="79"/>
      <c r="T287" s="79"/>
      <c r="Y287" s="79"/>
      <c r="AD287" s="130"/>
      <c r="AF287" s="106"/>
    </row>
    <row r="288">
      <c r="C288" s="79"/>
      <c r="D288" s="79"/>
      <c r="E288" s="79"/>
      <c r="O288" s="79"/>
      <c r="S288" s="79"/>
      <c r="T288" s="79"/>
      <c r="Y288" s="79"/>
      <c r="AD288" s="130"/>
      <c r="AF288" s="106"/>
    </row>
    <row r="289">
      <c r="C289" s="79"/>
      <c r="D289" s="79"/>
      <c r="E289" s="79"/>
      <c r="O289" s="79"/>
      <c r="S289" s="79"/>
      <c r="T289" s="79"/>
      <c r="Y289" s="79"/>
      <c r="AD289" s="130"/>
      <c r="AF289" s="106"/>
    </row>
    <row r="290">
      <c r="C290" s="79"/>
      <c r="D290" s="79"/>
      <c r="E290" s="79"/>
      <c r="O290" s="79"/>
      <c r="S290" s="79"/>
      <c r="T290" s="79"/>
      <c r="Y290" s="79"/>
      <c r="AD290" s="130"/>
      <c r="AF290" s="106"/>
    </row>
    <row r="291">
      <c r="C291" s="79"/>
      <c r="D291" s="79"/>
      <c r="E291" s="79"/>
      <c r="O291" s="79"/>
      <c r="S291" s="79"/>
      <c r="T291" s="79"/>
      <c r="Y291" s="79"/>
      <c r="AD291" s="130"/>
      <c r="AF291" s="106"/>
    </row>
    <row r="292">
      <c r="C292" s="79"/>
      <c r="D292" s="79"/>
      <c r="E292" s="79"/>
      <c r="O292" s="79"/>
      <c r="S292" s="79"/>
      <c r="T292" s="79"/>
      <c r="Y292" s="79"/>
      <c r="AD292" s="130"/>
      <c r="AF292" s="106"/>
    </row>
    <row r="293">
      <c r="C293" s="79"/>
      <c r="D293" s="79"/>
      <c r="E293" s="79"/>
      <c r="O293" s="79"/>
      <c r="S293" s="79"/>
      <c r="T293" s="79"/>
      <c r="Y293" s="79"/>
      <c r="AD293" s="130"/>
      <c r="AF293" s="106"/>
    </row>
    <row r="294">
      <c r="C294" s="79"/>
      <c r="D294" s="79"/>
      <c r="E294" s="79"/>
      <c r="O294" s="79"/>
      <c r="S294" s="79"/>
      <c r="T294" s="79"/>
      <c r="Y294" s="79"/>
      <c r="AD294" s="130"/>
      <c r="AF294" s="106"/>
    </row>
    <row r="295">
      <c r="C295" s="79"/>
      <c r="D295" s="79"/>
      <c r="E295" s="79"/>
      <c r="O295" s="79"/>
      <c r="S295" s="79"/>
      <c r="T295" s="79"/>
      <c r="Y295" s="79"/>
      <c r="AD295" s="130"/>
      <c r="AF295" s="106"/>
    </row>
    <row r="296">
      <c r="C296" s="79"/>
      <c r="D296" s="79"/>
      <c r="E296" s="79"/>
      <c r="O296" s="79"/>
      <c r="S296" s="79"/>
      <c r="T296" s="79"/>
      <c r="Y296" s="79"/>
      <c r="AD296" s="130"/>
      <c r="AF296" s="106"/>
    </row>
    <row r="297">
      <c r="C297" s="79"/>
      <c r="D297" s="79"/>
      <c r="E297" s="79"/>
      <c r="O297" s="79"/>
      <c r="S297" s="79"/>
      <c r="T297" s="79"/>
      <c r="Y297" s="79"/>
      <c r="AD297" s="130"/>
      <c r="AF297" s="106"/>
    </row>
    <row r="298">
      <c r="C298" s="79"/>
      <c r="D298" s="79"/>
      <c r="E298" s="79"/>
      <c r="O298" s="79"/>
      <c r="S298" s="79"/>
      <c r="T298" s="79"/>
      <c r="Y298" s="79"/>
      <c r="AD298" s="130"/>
      <c r="AF298" s="106"/>
    </row>
    <row r="299">
      <c r="C299" s="79"/>
      <c r="D299" s="79"/>
      <c r="E299" s="79"/>
      <c r="O299" s="79"/>
      <c r="S299" s="79"/>
      <c r="T299" s="79"/>
      <c r="Y299" s="79"/>
      <c r="AD299" s="130"/>
      <c r="AF299" s="106"/>
    </row>
    <row r="300">
      <c r="C300" s="79"/>
      <c r="D300" s="79"/>
      <c r="E300" s="79"/>
      <c r="O300" s="79"/>
      <c r="S300" s="79"/>
      <c r="T300" s="79"/>
      <c r="Y300" s="79"/>
      <c r="AD300" s="130"/>
      <c r="AF300" s="106"/>
    </row>
    <row r="301">
      <c r="C301" s="79"/>
      <c r="D301" s="79"/>
      <c r="E301" s="79"/>
      <c r="O301" s="79"/>
      <c r="S301" s="79"/>
      <c r="T301" s="79"/>
      <c r="Y301" s="79"/>
      <c r="AD301" s="130"/>
      <c r="AF301" s="106"/>
    </row>
    <row r="302">
      <c r="C302" s="79"/>
      <c r="D302" s="79"/>
      <c r="E302" s="79"/>
      <c r="O302" s="79"/>
      <c r="S302" s="79"/>
      <c r="T302" s="79"/>
      <c r="Y302" s="79"/>
      <c r="AD302" s="130"/>
      <c r="AF302" s="106"/>
    </row>
    <row r="303">
      <c r="C303" s="79"/>
      <c r="D303" s="79"/>
      <c r="E303" s="79"/>
      <c r="O303" s="79"/>
      <c r="S303" s="79"/>
      <c r="T303" s="79"/>
      <c r="Y303" s="79"/>
      <c r="AD303" s="130"/>
      <c r="AF303" s="106"/>
    </row>
    <row r="304">
      <c r="C304" s="79"/>
      <c r="D304" s="79"/>
      <c r="E304" s="79"/>
      <c r="O304" s="79"/>
      <c r="S304" s="79"/>
      <c r="T304" s="79"/>
      <c r="Y304" s="79"/>
      <c r="AD304" s="130"/>
      <c r="AF304" s="106"/>
    </row>
    <row r="305">
      <c r="C305" s="79"/>
      <c r="D305" s="79"/>
      <c r="E305" s="79"/>
      <c r="O305" s="79"/>
      <c r="S305" s="79"/>
      <c r="T305" s="79"/>
      <c r="Y305" s="79"/>
      <c r="AD305" s="130"/>
      <c r="AF305" s="106"/>
    </row>
    <row r="306">
      <c r="C306" s="79"/>
      <c r="D306" s="79"/>
      <c r="E306" s="79"/>
      <c r="O306" s="79"/>
      <c r="S306" s="79"/>
      <c r="T306" s="79"/>
      <c r="Y306" s="79"/>
      <c r="AD306" s="130"/>
      <c r="AF306" s="106"/>
    </row>
    <row r="307">
      <c r="C307" s="79"/>
      <c r="D307" s="79"/>
      <c r="E307" s="79"/>
      <c r="O307" s="79"/>
      <c r="S307" s="79"/>
      <c r="T307" s="79"/>
      <c r="Y307" s="79"/>
      <c r="AD307" s="130"/>
      <c r="AF307" s="106"/>
    </row>
    <row r="308">
      <c r="C308" s="79"/>
      <c r="D308" s="79"/>
      <c r="E308" s="79"/>
      <c r="O308" s="79"/>
      <c r="S308" s="79"/>
      <c r="T308" s="79"/>
      <c r="Y308" s="79"/>
      <c r="AD308" s="130"/>
      <c r="AF308" s="106"/>
    </row>
    <row r="309">
      <c r="C309" s="79"/>
      <c r="D309" s="79"/>
      <c r="E309" s="79"/>
      <c r="O309" s="79"/>
      <c r="S309" s="79"/>
      <c r="T309" s="79"/>
      <c r="Y309" s="79"/>
      <c r="AD309" s="130"/>
      <c r="AF309" s="106"/>
    </row>
    <row r="310">
      <c r="C310" s="79"/>
      <c r="D310" s="79"/>
      <c r="E310" s="79"/>
      <c r="O310" s="79"/>
      <c r="S310" s="79"/>
      <c r="T310" s="79"/>
      <c r="Y310" s="79"/>
      <c r="AD310" s="130"/>
      <c r="AF310" s="106"/>
    </row>
    <row r="311">
      <c r="C311" s="79"/>
      <c r="D311" s="79"/>
      <c r="E311" s="79"/>
      <c r="O311" s="79"/>
      <c r="S311" s="79"/>
      <c r="T311" s="79"/>
      <c r="Y311" s="79"/>
      <c r="AD311" s="130"/>
      <c r="AF311" s="106"/>
    </row>
    <row r="312">
      <c r="C312" s="79"/>
      <c r="D312" s="79"/>
      <c r="E312" s="79"/>
      <c r="O312" s="79"/>
      <c r="S312" s="79"/>
      <c r="T312" s="79"/>
      <c r="Y312" s="79"/>
      <c r="AD312" s="130"/>
      <c r="AF312" s="106"/>
    </row>
    <row r="313">
      <c r="C313" s="79"/>
      <c r="D313" s="79"/>
      <c r="E313" s="79"/>
      <c r="O313" s="79"/>
      <c r="S313" s="79"/>
      <c r="T313" s="79"/>
      <c r="Y313" s="79"/>
      <c r="AD313" s="130"/>
      <c r="AF313" s="106"/>
    </row>
    <row r="314">
      <c r="C314" s="79"/>
      <c r="D314" s="79"/>
      <c r="E314" s="79"/>
      <c r="O314" s="79"/>
      <c r="S314" s="79"/>
      <c r="T314" s="79"/>
      <c r="Y314" s="79"/>
      <c r="AD314" s="130"/>
      <c r="AF314" s="106"/>
    </row>
    <row r="315">
      <c r="C315" s="79"/>
      <c r="D315" s="79"/>
      <c r="E315" s="79"/>
      <c r="O315" s="79"/>
      <c r="S315" s="79"/>
      <c r="T315" s="79"/>
      <c r="Y315" s="79"/>
      <c r="AD315" s="130"/>
      <c r="AF315" s="106"/>
    </row>
    <row r="316">
      <c r="C316" s="79"/>
      <c r="D316" s="79"/>
      <c r="E316" s="79"/>
      <c r="O316" s="79"/>
      <c r="S316" s="79"/>
      <c r="T316" s="79"/>
      <c r="Y316" s="79"/>
      <c r="AD316" s="130"/>
      <c r="AF316" s="106"/>
    </row>
    <row r="317">
      <c r="C317" s="79"/>
      <c r="D317" s="79"/>
      <c r="E317" s="79"/>
      <c r="O317" s="79"/>
      <c r="S317" s="79"/>
      <c r="T317" s="79"/>
      <c r="Y317" s="79"/>
      <c r="AD317" s="130"/>
      <c r="AF317" s="106"/>
    </row>
    <row r="318">
      <c r="C318" s="79"/>
      <c r="D318" s="79"/>
      <c r="E318" s="79"/>
      <c r="O318" s="79"/>
      <c r="S318" s="79"/>
      <c r="T318" s="79"/>
      <c r="Y318" s="79"/>
      <c r="AD318" s="130"/>
      <c r="AF318" s="106"/>
    </row>
    <row r="319">
      <c r="C319" s="79"/>
      <c r="D319" s="79"/>
      <c r="E319" s="79"/>
      <c r="O319" s="79"/>
      <c r="S319" s="79"/>
      <c r="T319" s="79"/>
      <c r="Y319" s="79"/>
      <c r="AD319" s="130"/>
      <c r="AF319" s="106"/>
    </row>
    <row r="320">
      <c r="C320" s="79"/>
      <c r="D320" s="79"/>
      <c r="E320" s="79"/>
      <c r="O320" s="79"/>
      <c r="S320" s="79"/>
      <c r="T320" s="79"/>
      <c r="Y320" s="79"/>
      <c r="AD320" s="130"/>
      <c r="AF320" s="106"/>
    </row>
    <row r="321">
      <c r="C321" s="79"/>
      <c r="D321" s="79"/>
      <c r="E321" s="79"/>
      <c r="O321" s="79"/>
      <c r="S321" s="79"/>
      <c r="T321" s="79"/>
      <c r="Y321" s="79"/>
      <c r="AD321" s="130"/>
      <c r="AF321" s="106"/>
    </row>
    <row r="322">
      <c r="C322" s="79"/>
      <c r="D322" s="79"/>
      <c r="E322" s="79"/>
      <c r="O322" s="79"/>
      <c r="S322" s="79"/>
      <c r="T322" s="79"/>
      <c r="Y322" s="79"/>
      <c r="AD322" s="130"/>
      <c r="AF322" s="106"/>
    </row>
    <row r="323">
      <c r="C323" s="79"/>
      <c r="D323" s="79"/>
      <c r="E323" s="79"/>
      <c r="O323" s="79"/>
      <c r="S323" s="79"/>
      <c r="T323" s="79"/>
      <c r="Y323" s="79"/>
      <c r="AD323" s="130"/>
      <c r="AF323" s="106"/>
    </row>
    <row r="324">
      <c r="C324" s="79"/>
      <c r="D324" s="79"/>
      <c r="E324" s="79"/>
      <c r="O324" s="79"/>
      <c r="S324" s="79"/>
      <c r="T324" s="79"/>
      <c r="Y324" s="79"/>
      <c r="AD324" s="130"/>
      <c r="AF324" s="106"/>
    </row>
    <row r="325">
      <c r="C325" s="79"/>
      <c r="D325" s="79"/>
      <c r="E325" s="79"/>
      <c r="O325" s="79"/>
      <c r="S325" s="79"/>
      <c r="T325" s="79"/>
      <c r="Y325" s="79"/>
      <c r="AD325" s="130"/>
      <c r="AF325" s="106"/>
    </row>
    <row r="326">
      <c r="C326" s="79"/>
      <c r="D326" s="79"/>
      <c r="E326" s="79"/>
      <c r="O326" s="79"/>
      <c r="S326" s="79"/>
      <c r="T326" s="79"/>
      <c r="Y326" s="79"/>
      <c r="AD326" s="130"/>
      <c r="AF326" s="106"/>
    </row>
    <row r="327">
      <c r="C327" s="79"/>
      <c r="D327" s="79"/>
      <c r="E327" s="79"/>
      <c r="O327" s="79"/>
      <c r="S327" s="79"/>
      <c r="T327" s="79"/>
      <c r="Y327" s="79"/>
      <c r="AD327" s="130"/>
      <c r="AF327" s="106"/>
    </row>
    <row r="328">
      <c r="C328" s="79"/>
      <c r="D328" s="79"/>
      <c r="E328" s="79"/>
      <c r="O328" s="79"/>
      <c r="S328" s="79"/>
      <c r="T328" s="79"/>
      <c r="Y328" s="79"/>
      <c r="AD328" s="130"/>
      <c r="AF328" s="106"/>
    </row>
    <row r="329">
      <c r="C329" s="79"/>
      <c r="D329" s="79"/>
      <c r="E329" s="79"/>
      <c r="O329" s="79"/>
      <c r="S329" s="79"/>
      <c r="T329" s="79"/>
      <c r="Y329" s="79"/>
      <c r="AD329" s="130"/>
      <c r="AF329" s="106"/>
    </row>
    <row r="330">
      <c r="C330" s="79"/>
      <c r="D330" s="79"/>
      <c r="E330" s="79"/>
      <c r="O330" s="79"/>
      <c r="S330" s="79"/>
      <c r="T330" s="79"/>
      <c r="Y330" s="79"/>
      <c r="AD330" s="130"/>
      <c r="AF330" s="106"/>
    </row>
    <row r="331">
      <c r="C331" s="79"/>
      <c r="D331" s="79"/>
      <c r="E331" s="79"/>
      <c r="O331" s="79"/>
      <c r="S331" s="79"/>
      <c r="T331" s="79"/>
      <c r="Y331" s="79"/>
      <c r="AD331" s="130"/>
      <c r="AF331" s="106"/>
    </row>
    <row r="332">
      <c r="C332" s="79"/>
      <c r="D332" s="79"/>
      <c r="E332" s="79"/>
      <c r="O332" s="79"/>
      <c r="S332" s="79"/>
      <c r="T332" s="79"/>
      <c r="Y332" s="79"/>
      <c r="AD332" s="130"/>
      <c r="AF332" s="106"/>
    </row>
    <row r="333">
      <c r="C333" s="79"/>
      <c r="D333" s="79"/>
      <c r="E333" s="79"/>
      <c r="O333" s="79"/>
      <c r="S333" s="79"/>
      <c r="T333" s="79"/>
      <c r="Y333" s="79"/>
      <c r="AD333" s="130"/>
      <c r="AF333" s="106"/>
    </row>
    <row r="334">
      <c r="C334" s="79"/>
      <c r="D334" s="79"/>
      <c r="E334" s="79"/>
      <c r="O334" s="79"/>
      <c r="S334" s="79"/>
      <c r="T334" s="79"/>
      <c r="Y334" s="79"/>
      <c r="AD334" s="130"/>
      <c r="AF334" s="106"/>
    </row>
    <row r="335">
      <c r="C335" s="79"/>
      <c r="D335" s="79"/>
      <c r="E335" s="79"/>
      <c r="O335" s="79"/>
      <c r="S335" s="79"/>
      <c r="T335" s="79"/>
      <c r="Y335" s="79"/>
      <c r="AD335" s="130"/>
      <c r="AF335" s="106"/>
    </row>
    <row r="336">
      <c r="C336" s="79"/>
      <c r="D336" s="79"/>
      <c r="E336" s="79"/>
      <c r="O336" s="79"/>
      <c r="S336" s="79"/>
      <c r="T336" s="79"/>
      <c r="Y336" s="79"/>
      <c r="AD336" s="130"/>
      <c r="AF336" s="106"/>
    </row>
    <row r="337">
      <c r="C337" s="79"/>
      <c r="D337" s="79"/>
      <c r="E337" s="79"/>
      <c r="O337" s="79"/>
      <c r="S337" s="79"/>
      <c r="T337" s="79"/>
      <c r="Y337" s="79"/>
      <c r="AD337" s="130"/>
      <c r="AF337" s="106"/>
    </row>
    <row r="338">
      <c r="C338" s="79"/>
      <c r="D338" s="79"/>
      <c r="E338" s="79"/>
      <c r="O338" s="79"/>
      <c r="S338" s="79"/>
      <c r="T338" s="79"/>
      <c r="Y338" s="79"/>
      <c r="AD338" s="130"/>
      <c r="AF338" s="106"/>
    </row>
    <row r="339">
      <c r="C339" s="79"/>
      <c r="D339" s="79"/>
      <c r="E339" s="79"/>
      <c r="O339" s="79"/>
      <c r="S339" s="79"/>
      <c r="T339" s="79"/>
      <c r="Y339" s="79"/>
      <c r="AD339" s="130"/>
      <c r="AF339" s="106"/>
    </row>
    <row r="340">
      <c r="C340" s="79"/>
      <c r="D340" s="79"/>
      <c r="E340" s="79"/>
      <c r="O340" s="79"/>
      <c r="S340" s="79"/>
      <c r="T340" s="79"/>
      <c r="Y340" s="79"/>
      <c r="AD340" s="130"/>
      <c r="AF340" s="106"/>
    </row>
    <row r="341">
      <c r="C341" s="79"/>
      <c r="D341" s="79"/>
      <c r="E341" s="79"/>
      <c r="O341" s="79"/>
      <c r="S341" s="79"/>
      <c r="T341" s="79"/>
      <c r="Y341" s="79"/>
      <c r="AD341" s="130"/>
      <c r="AF341" s="106"/>
    </row>
    <row r="342">
      <c r="C342" s="79"/>
      <c r="D342" s="79"/>
      <c r="E342" s="79"/>
      <c r="O342" s="79"/>
      <c r="S342" s="79"/>
      <c r="T342" s="79"/>
      <c r="Y342" s="79"/>
      <c r="AD342" s="130"/>
      <c r="AF342" s="106"/>
    </row>
    <row r="343">
      <c r="C343" s="79"/>
      <c r="D343" s="79"/>
      <c r="E343" s="79"/>
      <c r="O343" s="79"/>
      <c r="S343" s="79"/>
      <c r="T343" s="79"/>
      <c r="Y343" s="79"/>
      <c r="AD343" s="130"/>
      <c r="AF343" s="106"/>
    </row>
    <row r="344">
      <c r="C344" s="79"/>
      <c r="D344" s="79"/>
      <c r="E344" s="79"/>
      <c r="O344" s="79"/>
      <c r="S344" s="79"/>
      <c r="T344" s="79"/>
      <c r="Y344" s="79"/>
      <c r="AD344" s="130"/>
      <c r="AF344" s="106"/>
    </row>
    <row r="345">
      <c r="C345" s="79"/>
      <c r="D345" s="79"/>
      <c r="E345" s="79"/>
      <c r="O345" s="79"/>
      <c r="S345" s="79"/>
      <c r="T345" s="79"/>
      <c r="Y345" s="79"/>
      <c r="AD345" s="130"/>
      <c r="AF345" s="106"/>
    </row>
    <row r="346">
      <c r="C346" s="79"/>
      <c r="D346" s="79"/>
      <c r="E346" s="79"/>
      <c r="O346" s="79"/>
      <c r="S346" s="79"/>
      <c r="T346" s="79"/>
      <c r="Y346" s="79"/>
      <c r="AD346" s="130"/>
      <c r="AF346" s="106"/>
    </row>
    <row r="347">
      <c r="C347" s="79"/>
      <c r="D347" s="79"/>
      <c r="E347" s="79"/>
      <c r="O347" s="79"/>
      <c r="S347" s="79"/>
      <c r="T347" s="79"/>
      <c r="Y347" s="79"/>
      <c r="AD347" s="130"/>
      <c r="AF347" s="106"/>
    </row>
    <row r="348">
      <c r="C348" s="79"/>
      <c r="D348" s="79"/>
      <c r="E348" s="79"/>
      <c r="O348" s="79"/>
      <c r="S348" s="79"/>
      <c r="T348" s="79"/>
      <c r="Y348" s="79"/>
      <c r="AD348" s="130"/>
      <c r="AF348" s="106"/>
    </row>
    <row r="349">
      <c r="C349" s="79"/>
      <c r="D349" s="79"/>
      <c r="E349" s="79"/>
      <c r="O349" s="79"/>
      <c r="S349" s="79"/>
      <c r="T349" s="79"/>
      <c r="Y349" s="79"/>
      <c r="AD349" s="130"/>
      <c r="AF349" s="106"/>
    </row>
    <row r="350">
      <c r="C350" s="79"/>
      <c r="D350" s="79"/>
      <c r="E350" s="79"/>
      <c r="O350" s="79"/>
      <c r="S350" s="79"/>
      <c r="T350" s="79"/>
      <c r="Y350" s="79"/>
      <c r="AD350" s="130"/>
      <c r="AF350" s="106"/>
    </row>
    <row r="351">
      <c r="C351" s="79"/>
      <c r="D351" s="79"/>
      <c r="E351" s="79"/>
      <c r="O351" s="79"/>
      <c r="S351" s="79"/>
      <c r="T351" s="79"/>
      <c r="Y351" s="79"/>
      <c r="AD351" s="130"/>
      <c r="AF351" s="106"/>
    </row>
    <row r="352">
      <c r="C352" s="79"/>
      <c r="D352" s="79"/>
      <c r="E352" s="79"/>
      <c r="O352" s="79"/>
      <c r="S352" s="79"/>
      <c r="T352" s="79"/>
      <c r="Y352" s="79"/>
      <c r="AD352" s="130"/>
      <c r="AF352" s="106"/>
    </row>
    <row r="353">
      <c r="C353" s="79"/>
      <c r="D353" s="79"/>
      <c r="E353" s="79"/>
      <c r="O353" s="79"/>
      <c r="S353" s="79"/>
      <c r="T353" s="79"/>
      <c r="Y353" s="79"/>
      <c r="AD353" s="130"/>
      <c r="AF353" s="106"/>
    </row>
    <row r="354">
      <c r="C354" s="79"/>
      <c r="D354" s="79"/>
      <c r="E354" s="79"/>
      <c r="O354" s="79"/>
      <c r="S354" s="79"/>
      <c r="T354" s="79"/>
      <c r="Y354" s="79"/>
      <c r="AD354" s="130"/>
      <c r="AF354" s="106"/>
    </row>
    <row r="355">
      <c r="C355" s="79"/>
      <c r="D355" s="79"/>
      <c r="E355" s="79"/>
      <c r="O355" s="79"/>
      <c r="S355" s="79"/>
      <c r="T355" s="79"/>
      <c r="Y355" s="79"/>
      <c r="AD355" s="130"/>
      <c r="AF355" s="106"/>
    </row>
    <row r="356">
      <c r="C356" s="79"/>
      <c r="D356" s="79"/>
      <c r="E356" s="79"/>
      <c r="O356" s="79"/>
      <c r="S356" s="79"/>
      <c r="T356" s="79"/>
      <c r="Y356" s="79"/>
      <c r="AD356" s="130"/>
      <c r="AF356" s="106"/>
    </row>
    <row r="357">
      <c r="C357" s="79"/>
      <c r="D357" s="79"/>
      <c r="E357" s="79"/>
      <c r="O357" s="79"/>
      <c r="S357" s="79"/>
      <c r="T357" s="79"/>
      <c r="Y357" s="79"/>
      <c r="AD357" s="130"/>
      <c r="AF357" s="106"/>
    </row>
    <row r="358">
      <c r="C358" s="79"/>
      <c r="D358" s="79"/>
      <c r="E358" s="79"/>
      <c r="O358" s="79"/>
      <c r="S358" s="79"/>
      <c r="T358" s="79"/>
      <c r="Y358" s="79"/>
      <c r="AD358" s="130"/>
      <c r="AF358" s="106"/>
    </row>
    <row r="359">
      <c r="C359" s="79"/>
      <c r="D359" s="79"/>
      <c r="E359" s="79"/>
      <c r="O359" s="79"/>
      <c r="S359" s="79"/>
      <c r="T359" s="79"/>
      <c r="Y359" s="79"/>
      <c r="AD359" s="130"/>
      <c r="AF359" s="106"/>
    </row>
    <row r="360">
      <c r="C360" s="79"/>
      <c r="D360" s="79"/>
      <c r="E360" s="79"/>
      <c r="O360" s="79"/>
      <c r="S360" s="79"/>
      <c r="T360" s="79"/>
      <c r="Y360" s="79"/>
      <c r="AD360" s="130"/>
      <c r="AF360" s="106"/>
    </row>
    <row r="361">
      <c r="C361" s="79"/>
      <c r="D361" s="79"/>
      <c r="E361" s="79"/>
      <c r="O361" s="79"/>
      <c r="S361" s="79"/>
      <c r="T361" s="79"/>
      <c r="Y361" s="79"/>
      <c r="AD361" s="130"/>
      <c r="AF361" s="106"/>
    </row>
    <row r="362">
      <c r="C362" s="79"/>
      <c r="D362" s="79"/>
      <c r="E362" s="79"/>
      <c r="O362" s="79"/>
      <c r="S362" s="79"/>
      <c r="T362" s="79"/>
      <c r="Y362" s="79"/>
      <c r="AD362" s="130"/>
      <c r="AF362" s="106"/>
    </row>
    <row r="363">
      <c r="C363" s="79"/>
      <c r="D363" s="79"/>
      <c r="E363" s="79"/>
      <c r="O363" s="79"/>
      <c r="S363" s="79"/>
      <c r="T363" s="79"/>
      <c r="Y363" s="79"/>
      <c r="AD363" s="130"/>
      <c r="AF363" s="106"/>
    </row>
    <row r="364">
      <c r="C364" s="79"/>
      <c r="D364" s="79"/>
      <c r="E364" s="79"/>
      <c r="O364" s="79"/>
      <c r="S364" s="79"/>
      <c r="T364" s="79"/>
      <c r="Y364" s="79"/>
      <c r="AD364" s="130"/>
      <c r="AF364" s="106"/>
    </row>
    <row r="365">
      <c r="C365" s="79"/>
      <c r="D365" s="79"/>
      <c r="E365" s="79"/>
      <c r="O365" s="79"/>
      <c r="S365" s="79"/>
      <c r="T365" s="79"/>
      <c r="Y365" s="79"/>
      <c r="AD365" s="130"/>
      <c r="AF365" s="106"/>
    </row>
    <row r="366">
      <c r="C366" s="79"/>
      <c r="D366" s="79"/>
      <c r="E366" s="79"/>
      <c r="O366" s="79"/>
      <c r="S366" s="79"/>
      <c r="T366" s="79"/>
      <c r="Y366" s="79"/>
      <c r="AD366" s="130"/>
      <c r="AF366" s="106"/>
    </row>
    <row r="367">
      <c r="C367" s="79"/>
      <c r="D367" s="79"/>
      <c r="E367" s="79"/>
      <c r="O367" s="79"/>
      <c r="S367" s="79"/>
      <c r="T367" s="79"/>
      <c r="Y367" s="79"/>
      <c r="AD367" s="130"/>
      <c r="AF367" s="106"/>
    </row>
    <row r="368">
      <c r="C368" s="79"/>
      <c r="D368" s="79"/>
      <c r="E368" s="79"/>
      <c r="O368" s="79"/>
      <c r="S368" s="79"/>
      <c r="T368" s="79"/>
      <c r="Y368" s="79"/>
      <c r="AD368" s="130"/>
      <c r="AF368" s="106"/>
    </row>
    <row r="369">
      <c r="C369" s="79"/>
      <c r="D369" s="79"/>
      <c r="E369" s="79"/>
      <c r="O369" s="79"/>
      <c r="S369" s="79"/>
      <c r="T369" s="79"/>
      <c r="Y369" s="79"/>
      <c r="AD369" s="130"/>
      <c r="AF369" s="106"/>
    </row>
    <row r="370">
      <c r="C370" s="79"/>
      <c r="D370" s="79"/>
      <c r="E370" s="79"/>
      <c r="O370" s="79"/>
      <c r="S370" s="79"/>
      <c r="T370" s="79"/>
      <c r="Y370" s="79"/>
      <c r="AD370" s="130"/>
      <c r="AF370" s="106"/>
    </row>
    <row r="371">
      <c r="C371" s="79"/>
      <c r="D371" s="79"/>
      <c r="E371" s="79"/>
      <c r="O371" s="79"/>
      <c r="S371" s="79"/>
      <c r="T371" s="79"/>
      <c r="Y371" s="79"/>
      <c r="AD371" s="130"/>
      <c r="AF371" s="106"/>
    </row>
    <row r="372">
      <c r="C372" s="79"/>
      <c r="D372" s="79"/>
      <c r="E372" s="79"/>
      <c r="O372" s="79"/>
      <c r="S372" s="79"/>
      <c r="T372" s="79"/>
      <c r="Y372" s="79"/>
      <c r="AD372" s="130"/>
      <c r="AF372" s="106"/>
    </row>
    <row r="373">
      <c r="C373" s="79"/>
      <c r="D373" s="79"/>
      <c r="E373" s="79"/>
      <c r="O373" s="79"/>
      <c r="S373" s="79"/>
      <c r="T373" s="79"/>
      <c r="Y373" s="79"/>
      <c r="AD373" s="130"/>
      <c r="AF373" s="106"/>
    </row>
    <row r="374">
      <c r="C374" s="79"/>
      <c r="D374" s="79"/>
      <c r="E374" s="79"/>
      <c r="O374" s="79"/>
      <c r="S374" s="79"/>
      <c r="T374" s="79"/>
      <c r="Y374" s="79"/>
      <c r="AD374" s="130"/>
      <c r="AF374" s="106"/>
    </row>
    <row r="375">
      <c r="C375" s="79"/>
      <c r="D375" s="79"/>
      <c r="E375" s="79"/>
      <c r="O375" s="79"/>
      <c r="S375" s="79"/>
      <c r="T375" s="79"/>
      <c r="Y375" s="79"/>
      <c r="AD375" s="130"/>
      <c r="AF375" s="106"/>
    </row>
    <row r="376">
      <c r="C376" s="79"/>
      <c r="D376" s="79"/>
      <c r="E376" s="79"/>
      <c r="O376" s="79"/>
      <c r="S376" s="79"/>
      <c r="T376" s="79"/>
      <c r="Y376" s="79"/>
      <c r="AD376" s="130"/>
      <c r="AF376" s="106"/>
    </row>
    <row r="377">
      <c r="C377" s="79"/>
      <c r="D377" s="79"/>
      <c r="E377" s="79"/>
      <c r="O377" s="79"/>
      <c r="S377" s="79"/>
      <c r="T377" s="79"/>
      <c r="Y377" s="79"/>
      <c r="AD377" s="130"/>
      <c r="AF377" s="106"/>
    </row>
    <row r="378">
      <c r="C378" s="79"/>
      <c r="D378" s="79"/>
      <c r="E378" s="79"/>
      <c r="O378" s="79"/>
      <c r="S378" s="79"/>
      <c r="T378" s="79"/>
      <c r="Y378" s="79"/>
      <c r="AD378" s="130"/>
      <c r="AF378" s="106"/>
    </row>
    <row r="379">
      <c r="C379" s="79"/>
      <c r="D379" s="79"/>
      <c r="E379" s="79"/>
      <c r="O379" s="79"/>
      <c r="S379" s="79"/>
      <c r="T379" s="79"/>
      <c r="Y379" s="79"/>
      <c r="AD379" s="130"/>
      <c r="AF379" s="106"/>
    </row>
    <row r="380">
      <c r="C380" s="79"/>
      <c r="D380" s="79"/>
      <c r="E380" s="79"/>
      <c r="O380" s="79"/>
      <c r="S380" s="79"/>
      <c r="T380" s="79"/>
      <c r="Y380" s="79"/>
      <c r="AD380" s="130"/>
      <c r="AF380" s="106"/>
    </row>
    <row r="381">
      <c r="C381" s="79"/>
      <c r="D381" s="79"/>
      <c r="E381" s="79"/>
      <c r="O381" s="79"/>
      <c r="S381" s="79"/>
      <c r="T381" s="79"/>
      <c r="Y381" s="79"/>
      <c r="AD381" s="130"/>
      <c r="AF381" s="106"/>
    </row>
    <row r="382">
      <c r="C382" s="79"/>
      <c r="D382" s="79"/>
      <c r="E382" s="79"/>
      <c r="O382" s="79"/>
      <c r="S382" s="79"/>
      <c r="T382" s="79"/>
      <c r="Y382" s="79"/>
      <c r="AD382" s="130"/>
      <c r="AF382" s="106"/>
    </row>
    <row r="383">
      <c r="C383" s="79"/>
      <c r="D383" s="79"/>
      <c r="E383" s="79"/>
      <c r="O383" s="79"/>
      <c r="S383" s="79"/>
      <c r="T383" s="79"/>
      <c r="Y383" s="79"/>
      <c r="AD383" s="130"/>
      <c r="AF383" s="106"/>
    </row>
    <row r="384">
      <c r="C384" s="79"/>
      <c r="D384" s="79"/>
      <c r="E384" s="79"/>
      <c r="O384" s="79"/>
      <c r="S384" s="79"/>
      <c r="T384" s="79"/>
      <c r="Y384" s="79"/>
      <c r="AD384" s="130"/>
      <c r="AF384" s="106"/>
    </row>
    <row r="385">
      <c r="C385" s="79"/>
      <c r="D385" s="79"/>
      <c r="E385" s="79"/>
      <c r="O385" s="79"/>
      <c r="S385" s="79"/>
      <c r="T385" s="79"/>
      <c r="Y385" s="79"/>
      <c r="AD385" s="130"/>
      <c r="AF385" s="106"/>
    </row>
    <row r="386">
      <c r="C386" s="79"/>
      <c r="D386" s="79"/>
      <c r="E386" s="79"/>
      <c r="O386" s="79"/>
      <c r="S386" s="79"/>
      <c r="T386" s="79"/>
      <c r="Y386" s="79"/>
      <c r="AD386" s="130"/>
      <c r="AF386" s="106"/>
    </row>
    <row r="387">
      <c r="C387" s="79"/>
      <c r="D387" s="79"/>
      <c r="E387" s="79"/>
      <c r="O387" s="79"/>
      <c r="S387" s="79"/>
      <c r="T387" s="79"/>
      <c r="Y387" s="79"/>
      <c r="AD387" s="130"/>
      <c r="AF387" s="106"/>
    </row>
    <row r="388">
      <c r="C388" s="79"/>
      <c r="D388" s="79"/>
      <c r="E388" s="79"/>
      <c r="O388" s="79"/>
      <c r="S388" s="79"/>
      <c r="T388" s="79"/>
      <c r="Y388" s="79"/>
      <c r="AD388" s="130"/>
      <c r="AF388" s="106"/>
    </row>
    <row r="389">
      <c r="C389" s="79"/>
      <c r="D389" s="79"/>
      <c r="E389" s="79"/>
      <c r="O389" s="79"/>
      <c r="S389" s="79"/>
      <c r="T389" s="79"/>
      <c r="Y389" s="79"/>
      <c r="AD389" s="130"/>
      <c r="AF389" s="106"/>
    </row>
    <row r="390">
      <c r="C390" s="79"/>
      <c r="D390" s="79"/>
      <c r="E390" s="79"/>
      <c r="O390" s="79"/>
      <c r="S390" s="79"/>
      <c r="T390" s="79"/>
      <c r="Y390" s="79"/>
      <c r="AD390" s="130"/>
      <c r="AF390" s="106"/>
    </row>
    <row r="391">
      <c r="C391" s="79"/>
      <c r="D391" s="79"/>
      <c r="E391" s="79"/>
      <c r="O391" s="79"/>
      <c r="S391" s="79"/>
      <c r="T391" s="79"/>
      <c r="Y391" s="79"/>
      <c r="AD391" s="130"/>
      <c r="AF391" s="106"/>
    </row>
    <row r="392">
      <c r="C392" s="79"/>
      <c r="D392" s="79"/>
      <c r="E392" s="79"/>
      <c r="O392" s="79"/>
      <c r="S392" s="79"/>
      <c r="T392" s="79"/>
      <c r="Y392" s="79"/>
      <c r="AD392" s="130"/>
      <c r="AF392" s="106"/>
    </row>
    <row r="393">
      <c r="C393" s="79"/>
      <c r="D393" s="79"/>
      <c r="E393" s="79"/>
      <c r="O393" s="79"/>
      <c r="S393" s="79"/>
      <c r="T393" s="79"/>
      <c r="Y393" s="79"/>
      <c r="AD393" s="130"/>
      <c r="AF393" s="106"/>
    </row>
    <row r="394">
      <c r="C394" s="79"/>
      <c r="D394" s="79"/>
      <c r="E394" s="79"/>
      <c r="O394" s="79"/>
      <c r="S394" s="79"/>
      <c r="T394" s="79"/>
      <c r="Y394" s="79"/>
      <c r="AD394" s="130"/>
      <c r="AF394" s="106"/>
    </row>
    <row r="395">
      <c r="C395" s="79"/>
      <c r="D395" s="79"/>
      <c r="E395" s="79"/>
      <c r="O395" s="79"/>
      <c r="S395" s="79"/>
      <c r="T395" s="79"/>
      <c r="Y395" s="79"/>
      <c r="AD395" s="130"/>
      <c r="AF395" s="106"/>
    </row>
    <row r="396">
      <c r="C396" s="79"/>
      <c r="D396" s="79"/>
      <c r="E396" s="79"/>
      <c r="O396" s="79"/>
      <c r="S396" s="79"/>
      <c r="T396" s="79"/>
      <c r="Y396" s="79"/>
      <c r="AD396" s="130"/>
      <c r="AF396" s="106"/>
    </row>
    <row r="397">
      <c r="C397" s="79"/>
      <c r="D397" s="79"/>
      <c r="E397" s="79"/>
      <c r="O397" s="79"/>
      <c r="S397" s="79"/>
      <c r="T397" s="79"/>
      <c r="Y397" s="79"/>
      <c r="AD397" s="130"/>
      <c r="AF397" s="106"/>
    </row>
    <row r="398">
      <c r="C398" s="79"/>
      <c r="D398" s="79"/>
      <c r="E398" s="79"/>
      <c r="O398" s="79"/>
      <c r="S398" s="79"/>
      <c r="T398" s="79"/>
      <c r="Y398" s="79"/>
      <c r="AD398" s="130"/>
      <c r="AF398" s="106"/>
    </row>
    <row r="399">
      <c r="C399" s="79"/>
      <c r="D399" s="79"/>
      <c r="E399" s="79"/>
      <c r="O399" s="79"/>
      <c r="S399" s="79"/>
      <c r="T399" s="79"/>
      <c r="Y399" s="79"/>
      <c r="AD399" s="130"/>
      <c r="AF399" s="106"/>
    </row>
    <row r="400">
      <c r="C400" s="79"/>
      <c r="D400" s="79"/>
      <c r="E400" s="79"/>
      <c r="O400" s="79"/>
      <c r="S400" s="79"/>
      <c r="T400" s="79"/>
      <c r="Y400" s="79"/>
      <c r="AD400" s="130"/>
      <c r="AF400" s="106"/>
    </row>
    <row r="401">
      <c r="C401" s="79"/>
      <c r="D401" s="79"/>
      <c r="E401" s="79"/>
      <c r="O401" s="79"/>
      <c r="S401" s="79"/>
      <c r="T401" s="79"/>
      <c r="Y401" s="79"/>
      <c r="AD401" s="130"/>
      <c r="AF401" s="106"/>
    </row>
    <row r="402">
      <c r="C402" s="79"/>
      <c r="D402" s="79"/>
      <c r="E402" s="79"/>
      <c r="O402" s="79"/>
      <c r="S402" s="79"/>
      <c r="T402" s="79"/>
      <c r="Y402" s="79"/>
      <c r="AD402" s="130"/>
      <c r="AF402" s="106"/>
    </row>
    <row r="403">
      <c r="C403" s="79"/>
      <c r="D403" s="79"/>
      <c r="E403" s="79"/>
      <c r="O403" s="79"/>
      <c r="S403" s="79"/>
      <c r="T403" s="79"/>
      <c r="Y403" s="79"/>
      <c r="AD403" s="130"/>
      <c r="AF403" s="106"/>
    </row>
    <row r="404">
      <c r="C404" s="79"/>
      <c r="D404" s="79"/>
      <c r="E404" s="79"/>
      <c r="O404" s="79"/>
      <c r="S404" s="79"/>
      <c r="T404" s="79"/>
      <c r="Y404" s="79"/>
      <c r="AD404" s="130"/>
      <c r="AF404" s="106"/>
    </row>
    <row r="405">
      <c r="C405" s="79"/>
      <c r="D405" s="79"/>
      <c r="E405" s="79"/>
      <c r="O405" s="79"/>
      <c r="S405" s="79"/>
      <c r="T405" s="79"/>
      <c r="Y405" s="79"/>
      <c r="AD405" s="130"/>
      <c r="AF405" s="106"/>
    </row>
    <row r="406">
      <c r="C406" s="79"/>
      <c r="D406" s="79"/>
      <c r="E406" s="79"/>
      <c r="O406" s="79"/>
      <c r="S406" s="79"/>
      <c r="T406" s="79"/>
      <c r="Y406" s="79"/>
      <c r="AD406" s="130"/>
      <c r="AF406" s="106"/>
    </row>
    <row r="407">
      <c r="C407" s="79"/>
      <c r="D407" s="79"/>
      <c r="E407" s="79"/>
      <c r="O407" s="79"/>
      <c r="S407" s="79"/>
      <c r="T407" s="79"/>
      <c r="Y407" s="79"/>
      <c r="AD407" s="130"/>
      <c r="AF407" s="106"/>
    </row>
    <row r="408">
      <c r="C408" s="79"/>
      <c r="D408" s="79"/>
      <c r="E408" s="79"/>
      <c r="O408" s="79"/>
      <c r="S408" s="79"/>
      <c r="T408" s="79"/>
      <c r="Y408" s="79"/>
      <c r="AD408" s="130"/>
      <c r="AF408" s="106"/>
    </row>
    <row r="409">
      <c r="C409" s="79"/>
      <c r="D409" s="79"/>
      <c r="E409" s="79"/>
      <c r="O409" s="79"/>
      <c r="S409" s="79"/>
      <c r="T409" s="79"/>
      <c r="Y409" s="79"/>
      <c r="AD409" s="130"/>
      <c r="AF409" s="106"/>
    </row>
    <row r="410">
      <c r="C410" s="79"/>
      <c r="D410" s="79"/>
      <c r="E410" s="79"/>
      <c r="O410" s="79"/>
      <c r="S410" s="79"/>
      <c r="T410" s="79"/>
      <c r="Y410" s="79"/>
      <c r="AD410" s="130"/>
      <c r="AF410" s="106"/>
    </row>
    <row r="411">
      <c r="C411" s="79"/>
      <c r="D411" s="79"/>
      <c r="E411" s="79"/>
      <c r="O411" s="79"/>
      <c r="S411" s="79"/>
      <c r="T411" s="79"/>
      <c r="Y411" s="79"/>
      <c r="AD411" s="130"/>
      <c r="AF411" s="106"/>
    </row>
    <row r="412">
      <c r="C412" s="79"/>
      <c r="D412" s="79"/>
      <c r="E412" s="79"/>
      <c r="O412" s="79"/>
      <c r="S412" s="79"/>
      <c r="T412" s="79"/>
      <c r="Y412" s="79"/>
      <c r="AD412" s="130"/>
      <c r="AF412" s="106"/>
    </row>
    <row r="413">
      <c r="C413" s="79"/>
      <c r="D413" s="79"/>
      <c r="E413" s="79"/>
      <c r="O413" s="79"/>
      <c r="S413" s="79"/>
      <c r="T413" s="79"/>
      <c r="Y413" s="79"/>
      <c r="AD413" s="130"/>
      <c r="AF413" s="106"/>
    </row>
    <row r="414">
      <c r="C414" s="79"/>
      <c r="D414" s="79"/>
      <c r="E414" s="79"/>
      <c r="O414" s="79"/>
      <c r="S414" s="79"/>
      <c r="T414" s="79"/>
      <c r="Y414" s="79"/>
      <c r="AD414" s="130"/>
      <c r="AF414" s="106"/>
    </row>
    <row r="415">
      <c r="C415" s="79"/>
      <c r="D415" s="79"/>
      <c r="E415" s="79"/>
      <c r="O415" s="79"/>
      <c r="S415" s="79"/>
      <c r="T415" s="79"/>
      <c r="Y415" s="79"/>
      <c r="AD415" s="130"/>
      <c r="AF415" s="106"/>
    </row>
    <row r="416">
      <c r="C416" s="79"/>
      <c r="D416" s="79"/>
      <c r="E416" s="79"/>
      <c r="O416" s="79"/>
      <c r="S416" s="79"/>
      <c r="T416" s="79"/>
      <c r="Y416" s="79"/>
      <c r="AD416" s="130"/>
      <c r="AF416" s="106"/>
    </row>
    <row r="417">
      <c r="C417" s="79"/>
      <c r="D417" s="79"/>
      <c r="E417" s="79"/>
      <c r="O417" s="79"/>
      <c r="S417" s="79"/>
      <c r="T417" s="79"/>
      <c r="Y417" s="79"/>
      <c r="AD417" s="130"/>
      <c r="AF417" s="106"/>
    </row>
    <row r="418">
      <c r="C418" s="79"/>
      <c r="D418" s="79"/>
      <c r="E418" s="79"/>
      <c r="O418" s="79"/>
      <c r="S418" s="79"/>
      <c r="T418" s="79"/>
      <c r="Y418" s="79"/>
      <c r="AD418" s="130"/>
      <c r="AF418" s="106"/>
    </row>
    <row r="419">
      <c r="C419" s="79"/>
      <c r="D419" s="79"/>
      <c r="E419" s="79"/>
      <c r="O419" s="79"/>
      <c r="S419" s="79"/>
      <c r="T419" s="79"/>
      <c r="Y419" s="79"/>
      <c r="AD419" s="130"/>
      <c r="AF419" s="106"/>
    </row>
    <row r="420">
      <c r="C420" s="79"/>
      <c r="D420" s="79"/>
      <c r="E420" s="79"/>
      <c r="O420" s="79"/>
      <c r="S420" s="79"/>
      <c r="T420" s="79"/>
      <c r="Y420" s="79"/>
      <c r="AD420" s="130"/>
      <c r="AF420" s="106"/>
    </row>
    <row r="421">
      <c r="C421" s="79"/>
      <c r="D421" s="79"/>
      <c r="E421" s="79"/>
      <c r="O421" s="79"/>
      <c r="S421" s="79"/>
      <c r="T421" s="79"/>
      <c r="Y421" s="79"/>
      <c r="AD421" s="130"/>
      <c r="AF421" s="106"/>
    </row>
    <row r="422">
      <c r="C422" s="79"/>
      <c r="D422" s="79"/>
      <c r="E422" s="79"/>
      <c r="O422" s="79"/>
      <c r="S422" s="79"/>
      <c r="T422" s="79"/>
      <c r="Y422" s="79"/>
      <c r="AD422" s="130"/>
      <c r="AF422" s="106"/>
    </row>
    <row r="423">
      <c r="C423" s="79"/>
      <c r="D423" s="79"/>
      <c r="E423" s="79"/>
      <c r="O423" s="79"/>
      <c r="S423" s="79"/>
      <c r="T423" s="79"/>
      <c r="Y423" s="79"/>
      <c r="AD423" s="130"/>
      <c r="AF423" s="106"/>
    </row>
    <row r="424">
      <c r="C424" s="79"/>
      <c r="D424" s="79"/>
      <c r="E424" s="79"/>
      <c r="O424" s="79"/>
      <c r="S424" s="79"/>
      <c r="T424" s="79"/>
      <c r="Y424" s="79"/>
      <c r="AD424" s="130"/>
      <c r="AF424" s="106"/>
    </row>
    <row r="425">
      <c r="C425" s="79"/>
      <c r="D425" s="79"/>
      <c r="E425" s="79"/>
      <c r="O425" s="79"/>
      <c r="S425" s="79"/>
      <c r="T425" s="79"/>
      <c r="Y425" s="79"/>
      <c r="AD425" s="130"/>
      <c r="AF425" s="106"/>
    </row>
    <row r="426">
      <c r="C426" s="79"/>
      <c r="D426" s="79"/>
      <c r="E426" s="79"/>
      <c r="O426" s="79"/>
      <c r="S426" s="79"/>
      <c r="T426" s="79"/>
      <c r="Y426" s="79"/>
      <c r="AD426" s="130"/>
      <c r="AF426" s="106"/>
    </row>
    <row r="427">
      <c r="C427" s="79"/>
      <c r="D427" s="79"/>
      <c r="E427" s="79"/>
      <c r="O427" s="79"/>
      <c r="S427" s="79"/>
      <c r="T427" s="79"/>
      <c r="Y427" s="79"/>
      <c r="AD427" s="130"/>
      <c r="AF427" s="106"/>
    </row>
    <row r="428">
      <c r="C428" s="79"/>
      <c r="D428" s="79"/>
      <c r="E428" s="79"/>
      <c r="O428" s="79"/>
      <c r="S428" s="79"/>
      <c r="T428" s="79"/>
      <c r="Y428" s="79"/>
      <c r="AD428" s="130"/>
      <c r="AF428" s="106"/>
    </row>
    <row r="429">
      <c r="C429" s="79"/>
      <c r="D429" s="79"/>
      <c r="E429" s="79"/>
      <c r="O429" s="79"/>
      <c r="S429" s="79"/>
      <c r="T429" s="79"/>
      <c r="Y429" s="79"/>
      <c r="AD429" s="130"/>
      <c r="AF429" s="106"/>
    </row>
    <row r="430">
      <c r="C430" s="79"/>
      <c r="D430" s="79"/>
      <c r="E430" s="79"/>
      <c r="O430" s="79"/>
      <c r="S430" s="79"/>
      <c r="T430" s="79"/>
      <c r="Y430" s="79"/>
      <c r="AD430" s="130"/>
      <c r="AF430" s="106"/>
    </row>
    <row r="431">
      <c r="C431" s="79"/>
      <c r="D431" s="79"/>
      <c r="E431" s="79"/>
      <c r="O431" s="79"/>
      <c r="S431" s="79"/>
      <c r="T431" s="79"/>
      <c r="Y431" s="79"/>
      <c r="AD431" s="130"/>
      <c r="AF431" s="106"/>
    </row>
    <row r="432">
      <c r="C432" s="79"/>
      <c r="D432" s="79"/>
      <c r="E432" s="79"/>
      <c r="O432" s="79"/>
      <c r="S432" s="79"/>
      <c r="T432" s="79"/>
      <c r="Y432" s="79"/>
      <c r="AD432" s="130"/>
      <c r="AF432" s="106"/>
    </row>
    <row r="433">
      <c r="C433" s="79"/>
      <c r="D433" s="79"/>
      <c r="E433" s="79"/>
      <c r="O433" s="79"/>
      <c r="S433" s="79"/>
      <c r="T433" s="79"/>
      <c r="Y433" s="79"/>
      <c r="AD433" s="130"/>
      <c r="AF433" s="106"/>
    </row>
    <row r="434">
      <c r="C434" s="79"/>
      <c r="D434" s="79"/>
      <c r="E434" s="79"/>
      <c r="O434" s="79"/>
      <c r="S434" s="79"/>
      <c r="T434" s="79"/>
      <c r="Y434" s="79"/>
      <c r="AD434" s="130"/>
      <c r="AF434" s="106"/>
    </row>
    <row r="435">
      <c r="C435" s="79"/>
      <c r="D435" s="79"/>
      <c r="E435" s="79"/>
      <c r="O435" s="79"/>
      <c r="S435" s="79"/>
      <c r="T435" s="79"/>
      <c r="Y435" s="79"/>
      <c r="AD435" s="130"/>
      <c r="AF435" s="106"/>
    </row>
    <row r="436">
      <c r="C436" s="79"/>
      <c r="D436" s="79"/>
      <c r="E436" s="79"/>
      <c r="O436" s="79"/>
      <c r="S436" s="79"/>
      <c r="T436" s="79"/>
      <c r="Y436" s="79"/>
      <c r="AD436" s="130"/>
      <c r="AF436" s="106"/>
    </row>
    <row r="437">
      <c r="C437" s="79"/>
      <c r="D437" s="79"/>
      <c r="E437" s="79"/>
      <c r="O437" s="79"/>
      <c r="S437" s="79"/>
      <c r="T437" s="79"/>
      <c r="Y437" s="79"/>
      <c r="AD437" s="130"/>
      <c r="AF437" s="106"/>
    </row>
    <row r="438">
      <c r="C438" s="79"/>
      <c r="D438" s="79"/>
      <c r="E438" s="79"/>
      <c r="O438" s="79"/>
      <c r="S438" s="79"/>
      <c r="T438" s="79"/>
      <c r="Y438" s="79"/>
      <c r="AD438" s="130"/>
      <c r="AF438" s="106"/>
    </row>
    <row r="439">
      <c r="C439" s="79"/>
      <c r="D439" s="79"/>
      <c r="E439" s="79"/>
      <c r="O439" s="79"/>
      <c r="S439" s="79"/>
      <c r="T439" s="79"/>
      <c r="Y439" s="79"/>
      <c r="AD439" s="130"/>
      <c r="AF439" s="106"/>
    </row>
    <row r="440">
      <c r="C440" s="79"/>
      <c r="D440" s="79"/>
      <c r="E440" s="79"/>
      <c r="O440" s="79"/>
      <c r="S440" s="79"/>
      <c r="T440" s="79"/>
      <c r="Y440" s="79"/>
      <c r="AD440" s="130"/>
      <c r="AF440" s="106"/>
    </row>
    <row r="441">
      <c r="C441" s="79"/>
      <c r="D441" s="79"/>
      <c r="E441" s="79"/>
      <c r="O441" s="79"/>
      <c r="S441" s="79"/>
      <c r="T441" s="79"/>
      <c r="Y441" s="79"/>
      <c r="AD441" s="130"/>
      <c r="AF441" s="106"/>
    </row>
    <row r="442">
      <c r="C442" s="79"/>
      <c r="D442" s="79"/>
      <c r="E442" s="79"/>
      <c r="O442" s="79"/>
      <c r="S442" s="79"/>
      <c r="T442" s="79"/>
      <c r="Y442" s="79"/>
      <c r="AD442" s="130"/>
      <c r="AF442" s="106"/>
    </row>
    <row r="443">
      <c r="C443" s="79"/>
      <c r="D443" s="79"/>
      <c r="E443" s="79"/>
      <c r="O443" s="79"/>
      <c r="S443" s="79"/>
      <c r="T443" s="79"/>
      <c r="Y443" s="79"/>
      <c r="AD443" s="130"/>
      <c r="AF443" s="106"/>
    </row>
    <row r="444">
      <c r="C444" s="79"/>
      <c r="D444" s="79"/>
      <c r="E444" s="79"/>
      <c r="O444" s="79"/>
      <c r="S444" s="79"/>
      <c r="T444" s="79"/>
      <c r="Y444" s="79"/>
      <c r="AD444" s="130"/>
      <c r="AF444" s="106"/>
    </row>
    <row r="445">
      <c r="C445" s="79"/>
      <c r="D445" s="79"/>
      <c r="E445" s="79"/>
      <c r="O445" s="79"/>
      <c r="S445" s="79"/>
      <c r="T445" s="79"/>
      <c r="Y445" s="79"/>
      <c r="AD445" s="130"/>
      <c r="AF445" s="106"/>
    </row>
    <row r="446">
      <c r="C446" s="79"/>
      <c r="D446" s="79"/>
      <c r="E446" s="79"/>
      <c r="O446" s="79"/>
      <c r="S446" s="79"/>
      <c r="T446" s="79"/>
      <c r="Y446" s="79"/>
      <c r="AD446" s="130"/>
      <c r="AF446" s="106"/>
    </row>
    <row r="447">
      <c r="C447" s="79"/>
      <c r="D447" s="79"/>
      <c r="E447" s="79"/>
      <c r="O447" s="79"/>
      <c r="S447" s="79"/>
      <c r="T447" s="79"/>
      <c r="Y447" s="79"/>
      <c r="AD447" s="130"/>
      <c r="AF447" s="106"/>
    </row>
    <row r="448">
      <c r="C448" s="79"/>
      <c r="D448" s="79"/>
      <c r="E448" s="79"/>
      <c r="O448" s="79"/>
      <c r="S448" s="79"/>
      <c r="T448" s="79"/>
      <c r="Y448" s="79"/>
      <c r="AD448" s="130"/>
      <c r="AF448" s="106"/>
    </row>
    <row r="449">
      <c r="C449" s="79"/>
      <c r="D449" s="79"/>
      <c r="E449" s="79"/>
      <c r="O449" s="79"/>
      <c r="S449" s="79"/>
      <c r="T449" s="79"/>
      <c r="Y449" s="79"/>
      <c r="AD449" s="130"/>
      <c r="AF449" s="106"/>
    </row>
    <row r="450">
      <c r="C450" s="79"/>
      <c r="D450" s="79"/>
      <c r="E450" s="79"/>
      <c r="O450" s="79"/>
      <c r="S450" s="79"/>
      <c r="T450" s="79"/>
      <c r="Y450" s="79"/>
      <c r="AD450" s="130"/>
      <c r="AF450" s="106"/>
    </row>
    <row r="451">
      <c r="C451" s="79"/>
      <c r="D451" s="79"/>
      <c r="E451" s="79"/>
      <c r="O451" s="79"/>
      <c r="S451" s="79"/>
      <c r="T451" s="79"/>
      <c r="Y451" s="79"/>
      <c r="AD451" s="130"/>
      <c r="AF451" s="106"/>
    </row>
    <row r="452">
      <c r="C452" s="79"/>
      <c r="D452" s="79"/>
      <c r="E452" s="79"/>
      <c r="O452" s="79"/>
      <c r="S452" s="79"/>
      <c r="T452" s="79"/>
      <c r="Y452" s="79"/>
      <c r="AD452" s="130"/>
      <c r="AF452" s="106"/>
    </row>
    <row r="453">
      <c r="C453" s="79"/>
      <c r="D453" s="79"/>
      <c r="E453" s="79"/>
      <c r="O453" s="79"/>
      <c r="S453" s="79"/>
      <c r="T453" s="79"/>
      <c r="Y453" s="79"/>
      <c r="AD453" s="130"/>
      <c r="AF453" s="106"/>
    </row>
    <row r="454">
      <c r="C454" s="79"/>
      <c r="D454" s="79"/>
      <c r="E454" s="79"/>
      <c r="O454" s="79"/>
      <c r="S454" s="79"/>
      <c r="T454" s="79"/>
      <c r="Y454" s="79"/>
      <c r="AD454" s="130"/>
      <c r="AF454" s="106"/>
    </row>
    <row r="455">
      <c r="C455" s="79"/>
      <c r="D455" s="79"/>
      <c r="E455" s="79"/>
      <c r="O455" s="79"/>
      <c r="S455" s="79"/>
      <c r="T455" s="79"/>
      <c r="Y455" s="79"/>
      <c r="AD455" s="130"/>
      <c r="AF455" s="106"/>
    </row>
    <row r="456">
      <c r="C456" s="79"/>
      <c r="D456" s="79"/>
      <c r="E456" s="79"/>
      <c r="O456" s="79"/>
      <c r="S456" s="79"/>
      <c r="T456" s="79"/>
      <c r="Y456" s="79"/>
      <c r="AD456" s="130"/>
      <c r="AF456" s="106"/>
    </row>
    <row r="457">
      <c r="C457" s="79"/>
      <c r="D457" s="79"/>
      <c r="E457" s="79"/>
      <c r="O457" s="79"/>
      <c r="S457" s="79"/>
      <c r="T457" s="79"/>
      <c r="Y457" s="79"/>
      <c r="AD457" s="130"/>
      <c r="AF457" s="106"/>
    </row>
    <row r="458">
      <c r="C458" s="79"/>
      <c r="D458" s="79"/>
      <c r="E458" s="79"/>
      <c r="O458" s="79"/>
      <c r="S458" s="79"/>
      <c r="T458" s="79"/>
      <c r="Y458" s="79"/>
      <c r="AD458" s="130"/>
      <c r="AF458" s="106"/>
    </row>
    <row r="459">
      <c r="C459" s="79"/>
      <c r="D459" s="79"/>
      <c r="E459" s="79"/>
      <c r="O459" s="79"/>
      <c r="S459" s="79"/>
      <c r="T459" s="79"/>
      <c r="Y459" s="79"/>
      <c r="AD459" s="130"/>
      <c r="AF459" s="106"/>
    </row>
    <row r="460">
      <c r="C460" s="79"/>
      <c r="D460" s="79"/>
      <c r="E460" s="79"/>
      <c r="O460" s="79"/>
      <c r="S460" s="79"/>
      <c r="T460" s="79"/>
      <c r="Y460" s="79"/>
      <c r="AD460" s="130"/>
      <c r="AF460" s="106"/>
    </row>
    <row r="461">
      <c r="C461" s="79"/>
      <c r="D461" s="79"/>
      <c r="E461" s="79"/>
      <c r="O461" s="79"/>
      <c r="S461" s="79"/>
      <c r="T461" s="79"/>
      <c r="Y461" s="79"/>
      <c r="AD461" s="130"/>
      <c r="AF461" s="106"/>
    </row>
    <row r="462">
      <c r="C462" s="79"/>
      <c r="D462" s="79"/>
      <c r="E462" s="79"/>
      <c r="O462" s="79"/>
      <c r="S462" s="79"/>
      <c r="T462" s="79"/>
      <c r="Y462" s="79"/>
      <c r="AD462" s="130"/>
      <c r="AF462" s="106"/>
    </row>
    <row r="463">
      <c r="C463" s="79"/>
      <c r="D463" s="79"/>
      <c r="E463" s="79"/>
      <c r="O463" s="79"/>
      <c r="S463" s="79"/>
      <c r="T463" s="79"/>
      <c r="Y463" s="79"/>
      <c r="AD463" s="130"/>
      <c r="AF463" s="106"/>
    </row>
    <row r="464">
      <c r="C464" s="79"/>
      <c r="D464" s="79"/>
      <c r="E464" s="79"/>
      <c r="O464" s="79"/>
      <c r="S464" s="79"/>
      <c r="T464" s="79"/>
      <c r="Y464" s="79"/>
      <c r="AD464" s="130"/>
      <c r="AF464" s="106"/>
    </row>
    <row r="465">
      <c r="C465" s="79"/>
      <c r="D465" s="79"/>
      <c r="E465" s="79"/>
      <c r="O465" s="79"/>
      <c r="S465" s="79"/>
      <c r="T465" s="79"/>
      <c r="Y465" s="79"/>
      <c r="AD465" s="130"/>
      <c r="AF465" s="106"/>
    </row>
    <row r="466">
      <c r="C466" s="79"/>
      <c r="D466" s="79"/>
      <c r="E466" s="79"/>
      <c r="O466" s="79"/>
      <c r="S466" s="79"/>
      <c r="T466" s="79"/>
      <c r="Y466" s="79"/>
      <c r="AD466" s="130"/>
      <c r="AF466" s="106"/>
    </row>
    <row r="467">
      <c r="C467" s="79"/>
      <c r="D467" s="79"/>
      <c r="E467" s="79"/>
      <c r="O467" s="79"/>
      <c r="S467" s="79"/>
      <c r="T467" s="79"/>
      <c r="Y467" s="79"/>
      <c r="AD467" s="130"/>
      <c r="AF467" s="106"/>
    </row>
    <row r="468">
      <c r="C468" s="79"/>
      <c r="D468" s="79"/>
      <c r="E468" s="79"/>
      <c r="O468" s="79"/>
      <c r="S468" s="79"/>
      <c r="T468" s="79"/>
      <c r="Y468" s="79"/>
      <c r="AD468" s="130"/>
      <c r="AF468" s="106"/>
    </row>
    <row r="469">
      <c r="C469" s="79"/>
      <c r="D469" s="79"/>
      <c r="E469" s="79"/>
      <c r="O469" s="79"/>
      <c r="S469" s="79"/>
      <c r="T469" s="79"/>
      <c r="Y469" s="79"/>
      <c r="AD469" s="130"/>
      <c r="AF469" s="106"/>
    </row>
    <row r="470">
      <c r="C470" s="79"/>
      <c r="D470" s="79"/>
      <c r="E470" s="79"/>
      <c r="O470" s="79"/>
      <c r="S470" s="79"/>
      <c r="T470" s="79"/>
      <c r="Y470" s="79"/>
      <c r="AD470" s="130"/>
      <c r="AF470" s="106"/>
    </row>
    <row r="471">
      <c r="C471" s="79"/>
      <c r="D471" s="79"/>
      <c r="E471" s="79"/>
      <c r="O471" s="79"/>
      <c r="S471" s="79"/>
      <c r="T471" s="79"/>
      <c r="Y471" s="79"/>
      <c r="AD471" s="130"/>
      <c r="AF471" s="106"/>
    </row>
    <row r="472">
      <c r="C472" s="79"/>
      <c r="D472" s="79"/>
      <c r="E472" s="79"/>
      <c r="O472" s="79"/>
      <c r="S472" s="79"/>
      <c r="T472" s="79"/>
      <c r="Y472" s="79"/>
      <c r="AD472" s="130"/>
      <c r="AF472" s="106"/>
    </row>
    <row r="473">
      <c r="C473" s="79"/>
      <c r="D473" s="79"/>
      <c r="E473" s="79"/>
      <c r="O473" s="79"/>
      <c r="S473" s="79"/>
      <c r="T473" s="79"/>
      <c r="Y473" s="79"/>
      <c r="AD473" s="130"/>
      <c r="AF473" s="106"/>
    </row>
    <row r="474">
      <c r="C474" s="79"/>
      <c r="D474" s="79"/>
      <c r="E474" s="79"/>
      <c r="O474" s="79"/>
      <c r="S474" s="79"/>
      <c r="T474" s="79"/>
      <c r="Y474" s="79"/>
      <c r="AD474" s="130"/>
      <c r="AF474" s="106"/>
    </row>
    <row r="475">
      <c r="C475" s="79"/>
      <c r="D475" s="79"/>
      <c r="E475" s="79"/>
      <c r="O475" s="79"/>
      <c r="S475" s="79"/>
      <c r="T475" s="79"/>
      <c r="Y475" s="79"/>
      <c r="AD475" s="130"/>
      <c r="AF475" s="106"/>
    </row>
    <row r="476">
      <c r="C476" s="79"/>
      <c r="D476" s="79"/>
      <c r="E476" s="79"/>
      <c r="O476" s="79"/>
      <c r="S476" s="79"/>
      <c r="T476" s="79"/>
      <c r="Y476" s="79"/>
      <c r="AD476" s="130"/>
      <c r="AF476" s="106"/>
    </row>
    <row r="477">
      <c r="C477" s="79"/>
      <c r="D477" s="79"/>
      <c r="E477" s="79"/>
      <c r="O477" s="79"/>
      <c r="S477" s="79"/>
      <c r="T477" s="79"/>
      <c r="Y477" s="79"/>
      <c r="AD477" s="130"/>
      <c r="AF477" s="106"/>
    </row>
    <row r="478">
      <c r="C478" s="79"/>
      <c r="D478" s="79"/>
      <c r="E478" s="79"/>
      <c r="O478" s="79"/>
      <c r="S478" s="79"/>
      <c r="T478" s="79"/>
      <c r="Y478" s="79"/>
      <c r="AD478" s="130"/>
      <c r="AF478" s="106"/>
    </row>
    <row r="479">
      <c r="C479" s="79"/>
      <c r="D479" s="79"/>
      <c r="E479" s="79"/>
      <c r="O479" s="79"/>
      <c r="S479" s="79"/>
      <c r="T479" s="79"/>
      <c r="Y479" s="79"/>
      <c r="AD479" s="130"/>
      <c r="AF479" s="106"/>
    </row>
    <row r="480">
      <c r="C480" s="79"/>
      <c r="D480" s="79"/>
      <c r="E480" s="79"/>
      <c r="O480" s="79"/>
      <c r="S480" s="79"/>
      <c r="T480" s="79"/>
      <c r="Y480" s="79"/>
      <c r="AD480" s="130"/>
      <c r="AF480" s="106"/>
    </row>
    <row r="481">
      <c r="C481" s="79"/>
      <c r="D481" s="79"/>
      <c r="E481" s="79"/>
      <c r="O481" s="79"/>
      <c r="S481" s="79"/>
      <c r="T481" s="79"/>
      <c r="Y481" s="79"/>
      <c r="AD481" s="130"/>
      <c r="AF481" s="106"/>
    </row>
    <row r="482">
      <c r="C482" s="79"/>
      <c r="D482" s="79"/>
      <c r="E482" s="79"/>
      <c r="O482" s="79"/>
      <c r="S482" s="79"/>
      <c r="T482" s="79"/>
      <c r="Y482" s="79"/>
      <c r="AD482" s="130"/>
      <c r="AF482" s="106"/>
    </row>
    <row r="483">
      <c r="C483" s="79"/>
      <c r="D483" s="79"/>
      <c r="E483" s="79"/>
      <c r="O483" s="79"/>
      <c r="S483" s="79"/>
      <c r="T483" s="79"/>
      <c r="Y483" s="79"/>
      <c r="AD483" s="130"/>
      <c r="AF483" s="106"/>
    </row>
    <row r="484">
      <c r="C484" s="79"/>
      <c r="D484" s="79"/>
      <c r="E484" s="79"/>
      <c r="O484" s="79"/>
      <c r="S484" s="79"/>
      <c r="T484" s="79"/>
      <c r="Y484" s="79"/>
      <c r="AD484" s="130"/>
      <c r="AF484" s="106"/>
    </row>
    <row r="485">
      <c r="C485" s="79"/>
      <c r="D485" s="79"/>
      <c r="E485" s="79"/>
      <c r="O485" s="79"/>
      <c r="S485" s="79"/>
      <c r="T485" s="79"/>
      <c r="Y485" s="79"/>
      <c r="AD485" s="130"/>
      <c r="AF485" s="106"/>
    </row>
    <row r="486">
      <c r="C486" s="79"/>
      <c r="D486" s="79"/>
      <c r="E486" s="79"/>
      <c r="O486" s="79"/>
      <c r="S486" s="79"/>
      <c r="T486" s="79"/>
      <c r="Y486" s="79"/>
      <c r="AD486" s="130"/>
      <c r="AF486" s="106"/>
    </row>
    <row r="487">
      <c r="C487" s="79"/>
      <c r="D487" s="79"/>
      <c r="E487" s="79"/>
      <c r="O487" s="79"/>
      <c r="S487" s="79"/>
      <c r="T487" s="79"/>
      <c r="Y487" s="79"/>
      <c r="AD487" s="130"/>
      <c r="AF487" s="106"/>
    </row>
    <row r="488">
      <c r="C488" s="79"/>
      <c r="D488" s="79"/>
      <c r="E488" s="79"/>
      <c r="O488" s="79"/>
      <c r="S488" s="79"/>
      <c r="T488" s="79"/>
      <c r="Y488" s="79"/>
      <c r="AD488" s="130"/>
      <c r="AF488" s="106"/>
    </row>
    <row r="489">
      <c r="C489" s="79"/>
      <c r="D489" s="79"/>
      <c r="E489" s="79"/>
      <c r="O489" s="79"/>
      <c r="S489" s="79"/>
      <c r="T489" s="79"/>
      <c r="Y489" s="79"/>
      <c r="AD489" s="130"/>
      <c r="AF489" s="106"/>
    </row>
    <row r="490">
      <c r="C490" s="79"/>
      <c r="D490" s="79"/>
      <c r="E490" s="79"/>
      <c r="O490" s="79"/>
      <c r="S490" s="79"/>
      <c r="T490" s="79"/>
      <c r="Y490" s="79"/>
      <c r="AD490" s="130"/>
      <c r="AF490" s="106"/>
    </row>
    <row r="491">
      <c r="C491" s="79"/>
      <c r="D491" s="79"/>
      <c r="E491" s="79"/>
      <c r="O491" s="79"/>
      <c r="S491" s="79"/>
      <c r="T491" s="79"/>
      <c r="Y491" s="79"/>
      <c r="AD491" s="130"/>
      <c r="AF491" s="106"/>
    </row>
    <row r="492">
      <c r="C492" s="79"/>
      <c r="D492" s="79"/>
      <c r="E492" s="79"/>
      <c r="O492" s="79"/>
      <c r="S492" s="79"/>
      <c r="T492" s="79"/>
      <c r="Y492" s="79"/>
      <c r="AD492" s="130"/>
      <c r="AF492" s="106"/>
    </row>
    <row r="493">
      <c r="C493" s="79"/>
      <c r="D493" s="79"/>
      <c r="E493" s="79"/>
      <c r="O493" s="79"/>
      <c r="S493" s="79"/>
      <c r="T493" s="79"/>
      <c r="Y493" s="79"/>
      <c r="AD493" s="130"/>
      <c r="AF493" s="106"/>
    </row>
    <row r="494">
      <c r="C494" s="79"/>
      <c r="D494" s="79"/>
      <c r="E494" s="79"/>
      <c r="O494" s="79"/>
      <c r="S494" s="79"/>
      <c r="T494" s="79"/>
      <c r="Y494" s="79"/>
      <c r="AD494" s="130"/>
      <c r="AF494" s="106"/>
    </row>
    <row r="495">
      <c r="C495" s="79"/>
      <c r="D495" s="79"/>
      <c r="E495" s="79"/>
      <c r="O495" s="79"/>
      <c r="S495" s="79"/>
      <c r="T495" s="79"/>
      <c r="Y495" s="79"/>
      <c r="AD495" s="130"/>
      <c r="AF495" s="106"/>
    </row>
    <row r="496">
      <c r="C496" s="79"/>
      <c r="D496" s="79"/>
      <c r="E496" s="79"/>
      <c r="O496" s="79"/>
      <c r="S496" s="79"/>
      <c r="T496" s="79"/>
      <c r="Y496" s="79"/>
      <c r="AD496" s="130"/>
      <c r="AF496" s="106"/>
    </row>
    <row r="497">
      <c r="C497" s="79"/>
      <c r="D497" s="79"/>
      <c r="E497" s="79"/>
      <c r="O497" s="79"/>
      <c r="S497" s="79"/>
      <c r="T497" s="79"/>
      <c r="Y497" s="79"/>
      <c r="AD497" s="130"/>
      <c r="AF497" s="106"/>
    </row>
    <row r="498">
      <c r="C498" s="79"/>
      <c r="D498" s="79"/>
      <c r="E498" s="79"/>
      <c r="O498" s="79"/>
      <c r="S498" s="79"/>
      <c r="T498" s="79"/>
      <c r="Y498" s="79"/>
      <c r="AD498" s="130"/>
      <c r="AF498" s="106"/>
    </row>
    <row r="499">
      <c r="C499" s="79"/>
      <c r="D499" s="79"/>
      <c r="E499" s="79"/>
      <c r="O499" s="79"/>
      <c r="S499" s="79"/>
      <c r="T499" s="79"/>
      <c r="Y499" s="79"/>
      <c r="AD499" s="130"/>
      <c r="AF499" s="106"/>
    </row>
    <row r="500">
      <c r="C500" s="79"/>
      <c r="D500" s="79"/>
      <c r="E500" s="79"/>
      <c r="O500" s="79"/>
      <c r="S500" s="79"/>
      <c r="T500" s="79"/>
      <c r="Y500" s="79"/>
      <c r="AD500" s="130"/>
      <c r="AF500" s="106"/>
    </row>
    <row r="501">
      <c r="C501" s="79"/>
      <c r="D501" s="79"/>
      <c r="E501" s="79"/>
      <c r="O501" s="79"/>
      <c r="S501" s="79"/>
      <c r="T501" s="79"/>
      <c r="Y501" s="79"/>
      <c r="AD501" s="130"/>
      <c r="AF501" s="106"/>
    </row>
    <row r="502">
      <c r="C502" s="79"/>
      <c r="D502" s="79"/>
      <c r="E502" s="79"/>
      <c r="O502" s="79"/>
      <c r="S502" s="79"/>
      <c r="T502" s="79"/>
      <c r="Y502" s="79"/>
      <c r="AD502" s="130"/>
      <c r="AF502" s="106"/>
    </row>
    <row r="503">
      <c r="C503" s="79"/>
      <c r="D503" s="79"/>
      <c r="E503" s="79"/>
      <c r="O503" s="79"/>
      <c r="S503" s="79"/>
      <c r="T503" s="79"/>
      <c r="Y503" s="79"/>
      <c r="AD503" s="130"/>
      <c r="AF503" s="106"/>
    </row>
    <row r="504">
      <c r="C504" s="79"/>
      <c r="D504" s="79"/>
      <c r="E504" s="79"/>
      <c r="O504" s="79"/>
      <c r="S504" s="79"/>
      <c r="T504" s="79"/>
      <c r="Y504" s="79"/>
      <c r="AD504" s="130"/>
      <c r="AF504" s="106"/>
    </row>
    <row r="505">
      <c r="C505" s="79"/>
      <c r="D505" s="79"/>
      <c r="E505" s="79"/>
      <c r="O505" s="79"/>
      <c r="S505" s="79"/>
      <c r="T505" s="79"/>
      <c r="Y505" s="79"/>
      <c r="AD505" s="130"/>
      <c r="AF505" s="106"/>
    </row>
    <row r="506">
      <c r="C506" s="79"/>
      <c r="D506" s="79"/>
      <c r="E506" s="79"/>
      <c r="O506" s="79"/>
      <c r="S506" s="79"/>
      <c r="T506" s="79"/>
      <c r="Y506" s="79"/>
      <c r="AD506" s="130"/>
      <c r="AF506" s="106"/>
    </row>
    <row r="507">
      <c r="C507" s="79"/>
      <c r="D507" s="79"/>
      <c r="E507" s="79"/>
      <c r="O507" s="79"/>
      <c r="S507" s="79"/>
      <c r="T507" s="79"/>
      <c r="Y507" s="79"/>
      <c r="AD507" s="130"/>
      <c r="AF507" s="106"/>
    </row>
    <row r="508">
      <c r="C508" s="79"/>
      <c r="D508" s="79"/>
      <c r="E508" s="79"/>
      <c r="O508" s="79"/>
      <c r="S508" s="79"/>
      <c r="T508" s="79"/>
      <c r="Y508" s="79"/>
      <c r="AD508" s="130"/>
      <c r="AF508" s="106"/>
    </row>
    <row r="509">
      <c r="C509" s="79"/>
      <c r="D509" s="79"/>
      <c r="E509" s="79"/>
      <c r="O509" s="79"/>
      <c r="S509" s="79"/>
      <c r="T509" s="79"/>
      <c r="Y509" s="79"/>
      <c r="AD509" s="130"/>
      <c r="AF509" s="106"/>
    </row>
    <row r="510">
      <c r="C510" s="79"/>
      <c r="D510" s="79"/>
      <c r="E510" s="79"/>
      <c r="O510" s="79"/>
      <c r="S510" s="79"/>
      <c r="T510" s="79"/>
      <c r="Y510" s="79"/>
      <c r="AD510" s="130"/>
      <c r="AF510" s="106"/>
    </row>
    <row r="511">
      <c r="C511" s="79"/>
      <c r="D511" s="79"/>
      <c r="E511" s="79"/>
      <c r="O511" s="79"/>
      <c r="S511" s="79"/>
      <c r="T511" s="79"/>
      <c r="Y511" s="79"/>
      <c r="AD511" s="130"/>
      <c r="AF511" s="106"/>
    </row>
    <row r="512">
      <c r="C512" s="79"/>
      <c r="D512" s="79"/>
      <c r="E512" s="79"/>
      <c r="O512" s="79"/>
      <c r="S512" s="79"/>
      <c r="T512" s="79"/>
      <c r="Y512" s="79"/>
      <c r="AD512" s="130"/>
      <c r="AF512" s="106"/>
    </row>
    <row r="513">
      <c r="C513" s="79"/>
      <c r="D513" s="79"/>
      <c r="E513" s="79"/>
      <c r="O513" s="79"/>
      <c r="S513" s="79"/>
      <c r="T513" s="79"/>
      <c r="Y513" s="79"/>
      <c r="AD513" s="130"/>
      <c r="AF513" s="106"/>
    </row>
    <row r="514">
      <c r="C514" s="79"/>
      <c r="D514" s="79"/>
      <c r="E514" s="79"/>
      <c r="O514" s="79"/>
      <c r="S514" s="79"/>
      <c r="T514" s="79"/>
      <c r="Y514" s="79"/>
      <c r="AD514" s="130"/>
      <c r="AF514" s="106"/>
    </row>
    <row r="515">
      <c r="C515" s="79"/>
      <c r="D515" s="79"/>
      <c r="E515" s="79"/>
      <c r="O515" s="79"/>
      <c r="S515" s="79"/>
      <c r="T515" s="79"/>
      <c r="Y515" s="79"/>
      <c r="AD515" s="130"/>
      <c r="AF515" s="106"/>
    </row>
    <row r="516">
      <c r="C516" s="79"/>
      <c r="D516" s="79"/>
      <c r="E516" s="79"/>
      <c r="O516" s="79"/>
      <c r="S516" s="79"/>
      <c r="T516" s="79"/>
      <c r="Y516" s="79"/>
      <c r="AD516" s="130"/>
      <c r="AF516" s="106"/>
    </row>
    <row r="517">
      <c r="C517" s="79"/>
      <c r="D517" s="79"/>
      <c r="E517" s="79"/>
      <c r="O517" s="79"/>
      <c r="S517" s="79"/>
      <c r="T517" s="79"/>
      <c r="Y517" s="79"/>
      <c r="AD517" s="130"/>
      <c r="AF517" s="106"/>
    </row>
    <row r="518">
      <c r="C518" s="79"/>
      <c r="D518" s="79"/>
      <c r="E518" s="79"/>
      <c r="O518" s="79"/>
      <c r="S518" s="79"/>
      <c r="T518" s="79"/>
      <c r="Y518" s="79"/>
      <c r="AD518" s="130"/>
      <c r="AF518" s="106"/>
    </row>
    <row r="519">
      <c r="C519" s="79"/>
      <c r="D519" s="79"/>
      <c r="E519" s="79"/>
      <c r="O519" s="79"/>
      <c r="S519" s="79"/>
      <c r="T519" s="79"/>
      <c r="Y519" s="79"/>
      <c r="AD519" s="130"/>
      <c r="AF519" s="106"/>
    </row>
    <row r="520">
      <c r="C520" s="79"/>
      <c r="D520" s="79"/>
      <c r="E520" s="79"/>
      <c r="O520" s="79"/>
      <c r="S520" s="79"/>
      <c r="T520" s="79"/>
      <c r="Y520" s="79"/>
      <c r="AD520" s="130"/>
      <c r="AF520" s="106"/>
    </row>
    <row r="521">
      <c r="C521" s="79"/>
      <c r="D521" s="79"/>
      <c r="E521" s="79"/>
      <c r="O521" s="79"/>
      <c r="S521" s="79"/>
      <c r="T521" s="79"/>
      <c r="Y521" s="79"/>
      <c r="AD521" s="130"/>
      <c r="AF521" s="106"/>
    </row>
    <row r="522">
      <c r="C522" s="79"/>
      <c r="D522" s="79"/>
      <c r="E522" s="79"/>
      <c r="O522" s="79"/>
      <c r="S522" s="79"/>
      <c r="T522" s="79"/>
      <c r="Y522" s="79"/>
      <c r="AD522" s="130"/>
      <c r="AF522" s="106"/>
    </row>
    <row r="523">
      <c r="C523" s="79"/>
      <c r="D523" s="79"/>
      <c r="E523" s="79"/>
      <c r="O523" s="79"/>
      <c r="S523" s="79"/>
      <c r="T523" s="79"/>
      <c r="Y523" s="79"/>
      <c r="AD523" s="130"/>
      <c r="AF523" s="106"/>
    </row>
    <row r="524">
      <c r="C524" s="79"/>
      <c r="D524" s="79"/>
      <c r="E524" s="79"/>
      <c r="O524" s="79"/>
      <c r="S524" s="79"/>
      <c r="T524" s="79"/>
      <c r="Y524" s="79"/>
      <c r="AD524" s="130"/>
      <c r="AF524" s="106"/>
    </row>
    <row r="525">
      <c r="C525" s="79"/>
      <c r="D525" s="79"/>
      <c r="E525" s="79"/>
      <c r="O525" s="79"/>
      <c r="S525" s="79"/>
      <c r="T525" s="79"/>
      <c r="Y525" s="79"/>
      <c r="AD525" s="130"/>
      <c r="AF525" s="106"/>
    </row>
    <row r="526">
      <c r="C526" s="79"/>
      <c r="D526" s="79"/>
      <c r="E526" s="79"/>
      <c r="O526" s="79"/>
      <c r="S526" s="79"/>
      <c r="T526" s="79"/>
      <c r="Y526" s="79"/>
      <c r="AD526" s="130"/>
      <c r="AF526" s="106"/>
    </row>
    <row r="527">
      <c r="C527" s="79"/>
      <c r="D527" s="79"/>
      <c r="E527" s="79"/>
      <c r="O527" s="79"/>
      <c r="S527" s="79"/>
      <c r="T527" s="79"/>
      <c r="Y527" s="79"/>
      <c r="AD527" s="130"/>
      <c r="AF527" s="106"/>
    </row>
    <row r="528">
      <c r="C528" s="79"/>
      <c r="D528" s="79"/>
      <c r="E528" s="79"/>
      <c r="O528" s="79"/>
      <c r="S528" s="79"/>
      <c r="T528" s="79"/>
      <c r="Y528" s="79"/>
      <c r="AD528" s="130"/>
      <c r="AF528" s="106"/>
    </row>
    <row r="529">
      <c r="C529" s="79"/>
      <c r="D529" s="79"/>
      <c r="E529" s="79"/>
      <c r="O529" s="79"/>
      <c r="S529" s="79"/>
      <c r="T529" s="79"/>
      <c r="Y529" s="79"/>
      <c r="AD529" s="130"/>
      <c r="AF529" s="106"/>
    </row>
    <row r="530">
      <c r="C530" s="79"/>
      <c r="D530" s="79"/>
      <c r="E530" s="79"/>
      <c r="O530" s="79"/>
      <c r="S530" s="79"/>
      <c r="T530" s="79"/>
      <c r="Y530" s="79"/>
      <c r="AD530" s="130"/>
      <c r="AF530" s="106"/>
    </row>
    <row r="531">
      <c r="C531" s="79"/>
      <c r="D531" s="79"/>
      <c r="E531" s="79"/>
      <c r="O531" s="79"/>
      <c r="S531" s="79"/>
      <c r="T531" s="79"/>
      <c r="Y531" s="79"/>
      <c r="AD531" s="130"/>
      <c r="AF531" s="106"/>
    </row>
    <row r="532">
      <c r="C532" s="79"/>
      <c r="D532" s="79"/>
      <c r="E532" s="79"/>
      <c r="O532" s="79"/>
      <c r="S532" s="79"/>
      <c r="T532" s="79"/>
      <c r="Y532" s="79"/>
      <c r="AD532" s="130"/>
      <c r="AF532" s="106"/>
    </row>
    <row r="533">
      <c r="C533" s="79"/>
      <c r="D533" s="79"/>
      <c r="E533" s="79"/>
      <c r="O533" s="79"/>
      <c r="S533" s="79"/>
      <c r="T533" s="79"/>
      <c r="Y533" s="79"/>
      <c r="AD533" s="130"/>
      <c r="AF533" s="106"/>
    </row>
    <row r="534">
      <c r="C534" s="79"/>
      <c r="D534" s="79"/>
      <c r="E534" s="79"/>
      <c r="O534" s="79"/>
      <c r="S534" s="79"/>
      <c r="T534" s="79"/>
      <c r="Y534" s="79"/>
      <c r="AD534" s="130"/>
      <c r="AF534" s="106"/>
    </row>
    <row r="535">
      <c r="C535" s="79"/>
      <c r="D535" s="79"/>
      <c r="E535" s="79"/>
      <c r="O535" s="79"/>
      <c r="S535" s="79"/>
      <c r="T535" s="79"/>
      <c r="Y535" s="79"/>
      <c r="AD535" s="130"/>
      <c r="AF535" s="106"/>
    </row>
    <row r="536">
      <c r="C536" s="79"/>
      <c r="D536" s="79"/>
      <c r="E536" s="79"/>
      <c r="O536" s="79"/>
      <c r="S536" s="79"/>
      <c r="T536" s="79"/>
      <c r="Y536" s="79"/>
      <c r="AD536" s="130"/>
      <c r="AF536" s="106"/>
    </row>
    <row r="537">
      <c r="C537" s="79"/>
      <c r="D537" s="79"/>
      <c r="E537" s="79"/>
      <c r="O537" s="79"/>
      <c r="S537" s="79"/>
      <c r="T537" s="79"/>
      <c r="Y537" s="79"/>
      <c r="AD537" s="130"/>
      <c r="AF537" s="106"/>
    </row>
    <row r="538">
      <c r="C538" s="79"/>
      <c r="D538" s="79"/>
      <c r="E538" s="79"/>
      <c r="O538" s="79"/>
      <c r="S538" s="79"/>
      <c r="T538" s="79"/>
      <c r="Y538" s="79"/>
      <c r="AD538" s="130"/>
      <c r="AF538" s="106"/>
    </row>
    <row r="539">
      <c r="C539" s="79"/>
      <c r="D539" s="79"/>
      <c r="E539" s="79"/>
      <c r="O539" s="79"/>
      <c r="S539" s="79"/>
      <c r="T539" s="79"/>
      <c r="Y539" s="79"/>
      <c r="AD539" s="130"/>
      <c r="AF539" s="106"/>
    </row>
    <row r="540">
      <c r="C540" s="79"/>
      <c r="D540" s="79"/>
      <c r="E540" s="79"/>
      <c r="O540" s="79"/>
      <c r="S540" s="79"/>
      <c r="T540" s="79"/>
      <c r="Y540" s="79"/>
      <c r="AD540" s="130"/>
      <c r="AF540" s="106"/>
    </row>
    <row r="541">
      <c r="C541" s="79"/>
      <c r="D541" s="79"/>
      <c r="E541" s="79"/>
      <c r="O541" s="79"/>
      <c r="S541" s="79"/>
      <c r="T541" s="79"/>
      <c r="Y541" s="79"/>
      <c r="AD541" s="130"/>
      <c r="AF541" s="106"/>
    </row>
    <row r="542">
      <c r="C542" s="79"/>
      <c r="D542" s="79"/>
      <c r="E542" s="79"/>
      <c r="O542" s="79"/>
      <c r="S542" s="79"/>
      <c r="T542" s="79"/>
      <c r="Y542" s="79"/>
      <c r="AD542" s="130"/>
      <c r="AF542" s="106"/>
    </row>
    <row r="543">
      <c r="C543" s="79"/>
      <c r="D543" s="79"/>
      <c r="E543" s="79"/>
      <c r="O543" s="79"/>
      <c r="S543" s="79"/>
      <c r="T543" s="79"/>
      <c r="Y543" s="79"/>
      <c r="AD543" s="130"/>
      <c r="AF543" s="106"/>
    </row>
    <row r="544">
      <c r="C544" s="79"/>
      <c r="D544" s="79"/>
      <c r="E544" s="79"/>
      <c r="O544" s="79"/>
      <c r="S544" s="79"/>
      <c r="T544" s="79"/>
      <c r="Y544" s="79"/>
      <c r="AD544" s="130"/>
      <c r="AF544" s="106"/>
    </row>
    <row r="545">
      <c r="C545" s="79"/>
      <c r="D545" s="79"/>
      <c r="E545" s="79"/>
      <c r="O545" s="79"/>
      <c r="S545" s="79"/>
      <c r="T545" s="79"/>
      <c r="Y545" s="79"/>
      <c r="AD545" s="130"/>
      <c r="AF545" s="106"/>
    </row>
    <row r="546">
      <c r="C546" s="79"/>
      <c r="D546" s="79"/>
      <c r="E546" s="79"/>
      <c r="O546" s="79"/>
      <c r="S546" s="79"/>
      <c r="T546" s="79"/>
      <c r="Y546" s="79"/>
      <c r="AD546" s="130"/>
      <c r="AF546" s="106"/>
    </row>
    <row r="547">
      <c r="C547" s="79"/>
      <c r="D547" s="79"/>
      <c r="E547" s="79"/>
      <c r="O547" s="79"/>
      <c r="S547" s="79"/>
      <c r="T547" s="79"/>
      <c r="Y547" s="79"/>
      <c r="AD547" s="130"/>
      <c r="AF547" s="106"/>
    </row>
    <row r="548">
      <c r="C548" s="79"/>
      <c r="D548" s="79"/>
      <c r="E548" s="79"/>
      <c r="O548" s="79"/>
      <c r="S548" s="79"/>
      <c r="T548" s="79"/>
      <c r="Y548" s="79"/>
      <c r="AD548" s="130"/>
      <c r="AF548" s="106"/>
    </row>
    <row r="549">
      <c r="C549" s="79"/>
      <c r="D549" s="79"/>
      <c r="E549" s="79"/>
      <c r="O549" s="79"/>
      <c r="S549" s="79"/>
      <c r="T549" s="79"/>
      <c r="Y549" s="79"/>
      <c r="AD549" s="130"/>
      <c r="AF549" s="106"/>
    </row>
    <row r="550">
      <c r="C550" s="79"/>
      <c r="D550" s="79"/>
      <c r="E550" s="79"/>
      <c r="O550" s="79"/>
      <c r="S550" s="79"/>
      <c r="T550" s="79"/>
      <c r="Y550" s="79"/>
      <c r="AD550" s="130"/>
      <c r="AF550" s="106"/>
    </row>
    <row r="551">
      <c r="C551" s="79"/>
      <c r="D551" s="79"/>
      <c r="E551" s="79"/>
      <c r="O551" s="79"/>
      <c r="S551" s="79"/>
      <c r="T551" s="79"/>
      <c r="Y551" s="79"/>
      <c r="AD551" s="130"/>
      <c r="AF551" s="106"/>
    </row>
    <row r="552">
      <c r="C552" s="79"/>
      <c r="D552" s="79"/>
      <c r="E552" s="79"/>
      <c r="O552" s="79"/>
      <c r="S552" s="79"/>
      <c r="T552" s="79"/>
      <c r="Y552" s="79"/>
      <c r="AD552" s="130"/>
      <c r="AF552" s="106"/>
    </row>
    <row r="553">
      <c r="C553" s="79"/>
      <c r="D553" s="79"/>
      <c r="E553" s="79"/>
      <c r="O553" s="79"/>
      <c r="S553" s="79"/>
      <c r="T553" s="79"/>
      <c r="Y553" s="79"/>
      <c r="AD553" s="130"/>
      <c r="AF553" s="106"/>
    </row>
    <row r="554">
      <c r="C554" s="79"/>
      <c r="D554" s="79"/>
      <c r="E554" s="79"/>
      <c r="O554" s="79"/>
      <c r="S554" s="79"/>
      <c r="T554" s="79"/>
      <c r="Y554" s="79"/>
      <c r="AD554" s="130"/>
      <c r="AF554" s="106"/>
    </row>
    <row r="555">
      <c r="C555" s="79"/>
      <c r="D555" s="79"/>
      <c r="E555" s="79"/>
      <c r="O555" s="79"/>
      <c r="S555" s="79"/>
      <c r="T555" s="79"/>
      <c r="Y555" s="79"/>
      <c r="AD555" s="130"/>
      <c r="AF555" s="106"/>
    </row>
    <row r="556">
      <c r="C556" s="79"/>
      <c r="D556" s="79"/>
      <c r="E556" s="79"/>
      <c r="O556" s="79"/>
      <c r="S556" s="79"/>
      <c r="T556" s="79"/>
      <c r="Y556" s="79"/>
      <c r="AD556" s="130"/>
      <c r="AF556" s="106"/>
    </row>
    <row r="557">
      <c r="C557" s="79"/>
      <c r="D557" s="79"/>
      <c r="E557" s="79"/>
      <c r="O557" s="79"/>
      <c r="S557" s="79"/>
      <c r="T557" s="79"/>
      <c r="Y557" s="79"/>
      <c r="AD557" s="130"/>
      <c r="AF557" s="106"/>
    </row>
    <row r="558">
      <c r="C558" s="79"/>
      <c r="D558" s="79"/>
      <c r="E558" s="79"/>
      <c r="O558" s="79"/>
      <c r="S558" s="79"/>
      <c r="T558" s="79"/>
      <c r="Y558" s="79"/>
      <c r="AD558" s="130"/>
      <c r="AF558" s="106"/>
    </row>
    <row r="559">
      <c r="C559" s="79"/>
      <c r="D559" s="79"/>
      <c r="E559" s="79"/>
      <c r="O559" s="79"/>
      <c r="S559" s="79"/>
      <c r="T559" s="79"/>
      <c r="Y559" s="79"/>
      <c r="AD559" s="130"/>
      <c r="AF559" s="106"/>
    </row>
    <row r="560">
      <c r="C560" s="79"/>
      <c r="D560" s="79"/>
      <c r="E560" s="79"/>
      <c r="O560" s="79"/>
      <c r="S560" s="79"/>
      <c r="T560" s="79"/>
      <c r="Y560" s="79"/>
      <c r="AD560" s="130"/>
      <c r="AF560" s="106"/>
    </row>
    <row r="561">
      <c r="C561" s="79"/>
      <c r="D561" s="79"/>
      <c r="E561" s="79"/>
      <c r="O561" s="79"/>
      <c r="S561" s="79"/>
      <c r="T561" s="79"/>
      <c r="Y561" s="79"/>
      <c r="AD561" s="130"/>
      <c r="AF561" s="106"/>
    </row>
    <row r="562">
      <c r="C562" s="79"/>
      <c r="D562" s="79"/>
      <c r="E562" s="79"/>
      <c r="O562" s="79"/>
      <c r="S562" s="79"/>
      <c r="T562" s="79"/>
      <c r="Y562" s="79"/>
      <c r="AD562" s="130"/>
      <c r="AF562" s="106"/>
    </row>
    <row r="563">
      <c r="C563" s="79"/>
      <c r="D563" s="79"/>
      <c r="E563" s="79"/>
      <c r="O563" s="79"/>
      <c r="S563" s="79"/>
      <c r="T563" s="79"/>
      <c r="Y563" s="79"/>
      <c r="AD563" s="130"/>
      <c r="AF563" s="106"/>
    </row>
    <row r="564">
      <c r="C564" s="79"/>
      <c r="D564" s="79"/>
      <c r="E564" s="79"/>
      <c r="O564" s="79"/>
      <c r="S564" s="79"/>
      <c r="T564" s="79"/>
      <c r="Y564" s="79"/>
      <c r="AD564" s="130"/>
      <c r="AF564" s="106"/>
    </row>
    <row r="565">
      <c r="C565" s="79"/>
      <c r="D565" s="79"/>
      <c r="E565" s="79"/>
      <c r="O565" s="79"/>
      <c r="S565" s="79"/>
      <c r="T565" s="79"/>
      <c r="Y565" s="79"/>
      <c r="AD565" s="130"/>
      <c r="AF565" s="106"/>
    </row>
    <row r="566">
      <c r="C566" s="79"/>
      <c r="D566" s="79"/>
      <c r="E566" s="79"/>
      <c r="O566" s="79"/>
      <c r="S566" s="79"/>
      <c r="T566" s="79"/>
      <c r="Y566" s="79"/>
      <c r="AD566" s="130"/>
      <c r="AF566" s="106"/>
    </row>
    <row r="567">
      <c r="C567" s="79"/>
      <c r="D567" s="79"/>
      <c r="E567" s="79"/>
      <c r="O567" s="79"/>
      <c r="S567" s="79"/>
      <c r="T567" s="79"/>
      <c r="Y567" s="79"/>
      <c r="AD567" s="130"/>
      <c r="AF567" s="106"/>
    </row>
    <row r="568">
      <c r="C568" s="79"/>
      <c r="D568" s="79"/>
      <c r="E568" s="79"/>
      <c r="O568" s="79"/>
      <c r="S568" s="79"/>
      <c r="T568" s="79"/>
      <c r="Y568" s="79"/>
      <c r="AD568" s="130"/>
      <c r="AF568" s="106"/>
    </row>
    <row r="569">
      <c r="C569" s="79"/>
      <c r="D569" s="79"/>
      <c r="E569" s="79"/>
      <c r="O569" s="79"/>
      <c r="S569" s="79"/>
      <c r="T569" s="79"/>
      <c r="Y569" s="79"/>
      <c r="AD569" s="130"/>
      <c r="AF569" s="106"/>
    </row>
    <row r="570">
      <c r="C570" s="79"/>
      <c r="D570" s="79"/>
      <c r="E570" s="79"/>
      <c r="O570" s="79"/>
      <c r="S570" s="79"/>
      <c r="T570" s="79"/>
      <c r="Y570" s="79"/>
      <c r="AD570" s="130"/>
      <c r="AF570" s="106"/>
    </row>
    <row r="571">
      <c r="C571" s="79"/>
      <c r="D571" s="79"/>
      <c r="E571" s="79"/>
      <c r="O571" s="79"/>
      <c r="S571" s="79"/>
      <c r="T571" s="79"/>
      <c r="Y571" s="79"/>
      <c r="AD571" s="130"/>
      <c r="AF571" s="106"/>
    </row>
    <row r="572">
      <c r="C572" s="79"/>
      <c r="D572" s="79"/>
      <c r="E572" s="79"/>
      <c r="O572" s="79"/>
      <c r="S572" s="79"/>
      <c r="T572" s="79"/>
      <c r="Y572" s="79"/>
      <c r="AD572" s="130"/>
      <c r="AF572" s="106"/>
    </row>
    <row r="573">
      <c r="C573" s="79"/>
      <c r="D573" s="79"/>
      <c r="E573" s="79"/>
      <c r="O573" s="79"/>
      <c r="S573" s="79"/>
      <c r="T573" s="79"/>
      <c r="Y573" s="79"/>
      <c r="AD573" s="130"/>
      <c r="AF573" s="106"/>
    </row>
    <row r="574">
      <c r="C574" s="79"/>
      <c r="D574" s="79"/>
      <c r="E574" s="79"/>
      <c r="O574" s="79"/>
      <c r="S574" s="79"/>
      <c r="T574" s="79"/>
      <c r="Y574" s="79"/>
      <c r="AD574" s="130"/>
      <c r="AF574" s="106"/>
    </row>
    <row r="575">
      <c r="C575" s="79"/>
      <c r="D575" s="79"/>
      <c r="E575" s="79"/>
      <c r="O575" s="79"/>
      <c r="S575" s="79"/>
      <c r="T575" s="79"/>
      <c r="Y575" s="79"/>
      <c r="AD575" s="130"/>
      <c r="AF575" s="106"/>
    </row>
    <row r="576">
      <c r="C576" s="79"/>
      <c r="D576" s="79"/>
      <c r="E576" s="79"/>
      <c r="O576" s="79"/>
      <c r="S576" s="79"/>
      <c r="T576" s="79"/>
      <c r="Y576" s="79"/>
      <c r="AD576" s="130"/>
      <c r="AF576" s="106"/>
    </row>
    <row r="577">
      <c r="C577" s="79"/>
      <c r="D577" s="79"/>
      <c r="E577" s="79"/>
      <c r="O577" s="79"/>
      <c r="S577" s="79"/>
      <c r="T577" s="79"/>
      <c r="Y577" s="79"/>
      <c r="AD577" s="130"/>
      <c r="AF577" s="106"/>
    </row>
    <row r="578">
      <c r="C578" s="79"/>
      <c r="D578" s="79"/>
      <c r="E578" s="79"/>
      <c r="O578" s="79"/>
      <c r="S578" s="79"/>
      <c r="T578" s="79"/>
      <c r="Y578" s="79"/>
      <c r="AD578" s="130"/>
      <c r="AF578" s="106"/>
    </row>
    <row r="579">
      <c r="C579" s="79"/>
      <c r="D579" s="79"/>
      <c r="E579" s="79"/>
      <c r="O579" s="79"/>
      <c r="S579" s="79"/>
      <c r="T579" s="79"/>
      <c r="Y579" s="79"/>
      <c r="AD579" s="130"/>
      <c r="AF579" s="106"/>
    </row>
    <row r="580">
      <c r="C580" s="79"/>
      <c r="D580" s="79"/>
      <c r="E580" s="79"/>
      <c r="O580" s="79"/>
      <c r="S580" s="79"/>
      <c r="T580" s="79"/>
      <c r="Y580" s="79"/>
      <c r="AD580" s="130"/>
      <c r="AF580" s="106"/>
    </row>
    <row r="581">
      <c r="C581" s="79"/>
      <c r="D581" s="79"/>
      <c r="E581" s="79"/>
      <c r="O581" s="79"/>
      <c r="S581" s="79"/>
      <c r="T581" s="79"/>
      <c r="Y581" s="79"/>
      <c r="AD581" s="130"/>
      <c r="AF581" s="106"/>
    </row>
    <row r="582">
      <c r="C582" s="79"/>
      <c r="D582" s="79"/>
      <c r="E582" s="79"/>
      <c r="O582" s="79"/>
      <c r="S582" s="79"/>
      <c r="T582" s="79"/>
      <c r="Y582" s="79"/>
      <c r="AD582" s="130"/>
      <c r="AF582" s="106"/>
    </row>
    <row r="583">
      <c r="C583" s="79"/>
      <c r="D583" s="79"/>
      <c r="E583" s="79"/>
      <c r="O583" s="79"/>
      <c r="S583" s="79"/>
      <c r="T583" s="79"/>
      <c r="Y583" s="79"/>
      <c r="AD583" s="130"/>
      <c r="AF583" s="106"/>
    </row>
    <row r="584">
      <c r="C584" s="79"/>
      <c r="D584" s="79"/>
      <c r="E584" s="79"/>
      <c r="O584" s="79"/>
      <c r="S584" s="79"/>
      <c r="T584" s="79"/>
      <c r="Y584" s="79"/>
      <c r="AD584" s="130"/>
      <c r="AF584" s="106"/>
    </row>
    <row r="585">
      <c r="C585" s="79"/>
      <c r="D585" s="79"/>
      <c r="E585" s="79"/>
      <c r="O585" s="79"/>
      <c r="S585" s="79"/>
      <c r="T585" s="79"/>
      <c r="Y585" s="79"/>
      <c r="AD585" s="130"/>
      <c r="AF585" s="106"/>
    </row>
    <row r="586">
      <c r="C586" s="79"/>
      <c r="D586" s="79"/>
      <c r="E586" s="79"/>
      <c r="O586" s="79"/>
      <c r="S586" s="79"/>
      <c r="T586" s="79"/>
      <c r="Y586" s="79"/>
      <c r="AD586" s="130"/>
      <c r="AF586" s="106"/>
    </row>
    <row r="587">
      <c r="C587" s="79"/>
      <c r="D587" s="79"/>
      <c r="E587" s="79"/>
      <c r="O587" s="79"/>
      <c r="S587" s="79"/>
      <c r="T587" s="79"/>
      <c r="Y587" s="79"/>
      <c r="AD587" s="130"/>
      <c r="AF587" s="106"/>
    </row>
    <row r="588">
      <c r="C588" s="79"/>
      <c r="D588" s="79"/>
      <c r="E588" s="79"/>
      <c r="O588" s="79"/>
      <c r="S588" s="79"/>
      <c r="T588" s="79"/>
      <c r="Y588" s="79"/>
      <c r="AD588" s="130"/>
      <c r="AF588" s="106"/>
    </row>
    <row r="589">
      <c r="C589" s="79"/>
      <c r="D589" s="79"/>
      <c r="E589" s="79"/>
      <c r="O589" s="79"/>
      <c r="S589" s="79"/>
      <c r="T589" s="79"/>
      <c r="Y589" s="79"/>
      <c r="AD589" s="130"/>
      <c r="AF589" s="106"/>
    </row>
    <row r="590">
      <c r="C590" s="79"/>
      <c r="D590" s="79"/>
      <c r="E590" s="79"/>
      <c r="O590" s="79"/>
      <c r="S590" s="79"/>
      <c r="T590" s="79"/>
      <c r="Y590" s="79"/>
      <c r="AD590" s="130"/>
      <c r="AF590" s="106"/>
    </row>
    <row r="591">
      <c r="C591" s="79"/>
      <c r="D591" s="79"/>
      <c r="E591" s="79"/>
      <c r="O591" s="79"/>
      <c r="S591" s="79"/>
      <c r="T591" s="79"/>
      <c r="Y591" s="79"/>
      <c r="AD591" s="130"/>
      <c r="AF591" s="106"/>
    </row>
    <row r="592">
      <c r="C592" s="79"/>
      <c r="D592" s="79"/>
      <c r="E592" s="79"/>
      <c r="O592" s="79"/>
      <c r="S592" s="79"/>
      <c r="T592" s="79"/>
      <c r="Y592" s="79"/>
      <c r="AD592" s="130"/>
      <c r="AF592" s="106"/>
    </row>
    <row r="593">
      <c r="C593" s="79"/>
      <c r="D593" s="79"/>
      <c r="E593" s="79"/>
      <c r="O593" s="79"/>
      <c r="S593" s="79"/>
      <c r="T593" s="79"/>
      <c r="Y593" s="79"/>
      <c r="AD593" s="130"/>
      <c r="AF593" s="106"/>
    </row>
    <row r="594">
      <c r="C594" s="79"/>
      <c r="D594" s="79"/>
      <c r="E594" s="79"/>
      <c r="O594" s="79"/>
      <c r="S594" s="79"/>
      <c r="T594" s="79"/>
      <c r="Y594" s="79"/>
      <c r="AD594" s="130"/>
      <c r="AF594" s="106"/>
    </row>
    <row r="595">
      <c r="C595" s="79"/>
      <c r="D595" s="79"/>
      <c r="E595" s="79"/>
      <c r="O595" s="79"/>
      <c r="S595" s="79"/>
      <c r="T595" s="79"/>
      <c r="Y595" s="79"/>
      <c r="AD595" s="130"/>
      <c r="AF595" s="106"/>
    </row>
    <row r="596">
      <c r="C596" s="79"/>
      <c r="D596" s="79"/>
      <c r="E596" s="79"/>
      <c r="O596" s="79"/>
      <c r="S596" s="79"/>
      <c r="T596" s="79"/>
      <c r="Y596" s="79"/>
      <c r="AD596" s="130"/>
      <c r="AF596" s="106"/>
    </row>
    <row r="597">
      <c r="C597" s="79"/>
      <c r="D597" s="79"/>
      <c r="E597" s="79"/>
      <c r="O597" s="79"/>
      <c r="S597" s="79"/>
      <c r="T597" s="79"/>
      <c r="Y597" s="79"/>
      <c r="AD597" s="130"/>
      <c r="AF597" s="106"/>
    </row>
    <row r="598">
      <c r="C598" s="79"/>
      <c r="D598" s="79"/>
      <c r="E598" s="79"/>
      <c r="O598" s="79"/>
      <c r="S598" s="79"/>
      <c r="T598" s="79"/>
      <c r="Y598" s="79"/>
      <c r="AD598" s="130"/>
      <c r="AF598" s="106"/>
    </row>
    <row r="599">
      <c r="C599" s="79"/>
      <c r="D599" s="79"/>
      <c r="E599" s="79"/>
      <c r="O599" s="79"/>
      <c r="S599" s="79"/>
      <c r="T599" s="79"/>
      <c r="Y599" s="79"/>
      <c r="AD599" s="130"/>
      <c r="AF599" s="106"/>
    </row>
    <row r="600">
      <c r="C600" s="79"/>
      <c r="D600" s="79"/>
      <c r="E600" s="79"/>
      <c r="O600" s="79"/>
      <c r="S600" s="79"/>
      <c r="T600" s="79"/>
      <c r="Y600" s="79"/>
      <c r="AD600" s="130"/>
      <c r="AF600" s="106"/>
    </row>
    <row r="601">
      <c r="C601" s="79"/>
      <c r="D601" s="79"/>
      <c r="E601" s="79"/>
      <c r="O601" s="79"/>
      <c r="S601" s="79"/>
      <c r="T601" s="79"/>
      <c r="Y601" s="79"/>
      <c r="AD601" s="130"/>
      <c r="AF601" s="106"/>
    </row>
    <row r="602">
      <c r="C602" s="79"/>
      <c r="D602" s="79"/>
      <c r="E602" s="79"/>
      <c r="O602" s="79"/>
      <c r="S602" s="79"/>
      <c r="T602" s="79"/>
      <c r="Y602" s="79"/>
      <c r="AD602" s="130"/>
      <c r="AF602" s="106"/>
    </row>
    <row r="603">
      <c r="C603" s="79"/>
      <c r="D603" s="79"/>
      <c r="E603" s="79"/>
      <c r="O603" s="79"/>
      <c r="S603" s="79"/>
      <c r="T603" s="79"/>
      <c r="Y603" s="79"/>
      <c r="AD603" s="130"/>
      <c r="AF603" s="106"/>
    </row>
    <row r="604">
      <c r="C604" s="79"/>
      <c r="D604" s="79"/>
      <c r="E604" s="79"/>
      <c r="O604" s="79"/>
      <c r="S604" s="79"/>
      <c r="T604" s="79"/>
      <c r="Y604" s="79"/>
      <c r="AD604" s="130"/>
      <c r="AF604" s="106"/>
    </row>
    <row r="605">
      <c r="C605" s="79"/>
      <c r="D605" s="79"/>
      <c r="E605" s="79"/>
      <c r="O605" s="79"/>
      <c r="S605" s="79"/>
      <c r="T605" s="79"/>
      <c r="Y605" s="79"/>
      <c r="AD605" s="130"/>
      <c r="AF605" s="106"/>
    </row>
    <row r="606">
      <c r="C606" s="79"/>
      <c r="D606" s="79"/>
      <c r="E606" s="79"/>
      <c r="O606" s="79"/>
      <c r="S606" s="79"/>
      <c r="T606" s="79"/>
      <c r="Y606" s="79"/>
      <c r="AD606" s="130"/>
      <c r="AF606" s="106"/>
    </row>
    <row r="607">
      <c r="C607" s="79"/>
      <c r="D607" s="79"/>
      <c r="E607" s="79"/>
      <c r="O607" s="79"/>
      <c r="S607" s="79"/>
      <c r="T607" s="79"/>
      <c r="Y607" s="79"/>
      <c r="AD607" s="130"/>
      <c r="AF607" s="106"/>
    </row>
    <row r="608">
      <c r="C608" s="79"/>
      <c r="D608" s="79"/>
      <c r="E608" s="79"/>
      <c r="O608" s="79"/>
      <c r="S608" s="79"/>
      <c r="T608" s="79"/>
      <c r="Y608" s="79"/>
      <c r="AD608" s="130"/>
      <c r="AF608" s="106"/>
    </row>
    <row r="609">
      <c r="C609" s="79"/>
      <c r="D609" s="79"/>
      <c r="E609" s="79"/>
      <c r="O609" s="79"/>
      <c r="S609" s="79"/>
      <c r="T609" s="79"/>
      <c r="Y609" s="79"/>
      <c r="AD609" s="130"/>
      <c r="AF609" s="106"/>
    </row>
    <row r="610">
      <c r="C610" s="79"/>
      <c r="D610" s="79"/>
      <c r="E610" s="79"/>
      <c r="O610" s="79"/>
      <c r="S610" s="79"/>
      <c r="T610" s="79"/>
      <c r="Y610" s="79"/>
      <c r="AD610" s="130"/>
      <c r="AF610" s="106"/>
    </row>
    <row r="611">
      <c r="C611" s="79"/>
      <c r="D611" s="79"/>
      <c r="E611" s="79"/>
      <c r="O611" s="79"/>
      <c r="S611" s="79"/>
      <c r="T611" s="79"/>
      <c r="Y611" s="79"/>
      <c r="AD611" s="130"/>
      <c r="AF611" s="106"/>
    </row>
    <row r="612">
      <c r="C612" s="79"/>
      <c r="D612" s="79"/>
      <c r="E612" s="79"/>
      <c r="O612" s="79"/>
      <c r="S612" s="79"/>
      <c r="T612" s="79"/>
      <c r="Y612" s="79"/>
      <c r="AD612" s="130"/>
      <c r="AF612" s="106"/>
    </row>
    <row r="613">
      <c r="C613" s="79"/>
      <c r="D613" s="79"/>
      <c r="E613" s="79"/>
      <c r="O613" s="79"/>
      <c r="S613" s="79"/>
      <c r="T613" s="79"/>
      <c r="Y613" s="79"/>
      <c r="AD613" s="130"/>
      <c r="AF613" s="106"/>
    </row>
    <row r="614">
      <c r="C614" s="79"/>
      <c r="D614" s="79"/>
      <c r="E614" s="79"/>
      <c r="O614" s="79"/>
      <c r="S614" s="79"/>
      <c r="T614" s="79"/>
      <c r="Y614" s="79"/>
      <c r="AD614" s="130"/>
      <c r="AF614" s="106"/>
    </row>
    <row r="615">
      <c r="C615" s="79"/>
      <c r="D615" s="79"/>
      <c r="E615" s="79"/>
      <c r="O615" s="79"/>
      <c r="S615" s="79"/>
      <c r="T615" s="79"/>
      <c r="Y615" s="79"/>
      <c r="AD615" s="130"/>
      <c r="AF615" s="106"/>
    </row>
    <row r="616">
      <c r="C616" s="79"/>
      <c r="D616" s="79"/>
      <c r="E616" s="79"/>
      <c r="O616" s="79"/>
      <c r="S616" s="79"/>
      <c r="T616" s="79"/>
      <c r="Y616" s="79"/>
      <c r="AD616" s="130"/>
      <c r="AF616" s="106"/>
    </row>
    <row r="617">
      <c r="C617" s="79"/>
      <c r="D617" s="79"/>
      <c r="E617" s="79"/>
      <c r="O617" s="79"/>
      <c r="S617" s="79"/>
      <c r="T617" s="79"/>
      <c r="Y617" s="79"/>
      <c r="AD617" s="130"/>
      <c r="AF617" s="106"/>
    </row>
    <row r="618">
      <c r="C618" s="79"/>
      <c r="D618" s="79"/>
      <c r="E618" s="79"/>
      <c r="O618" s="79"/>
      <c r="S618" s="79"/>
      <c r="T618" s="79"/>
      <c r="Y618" s="79"/>
      <c r="AD618" s="130"/>
      <c r="AF618" s="106"/>
    </row>
    <row r="619">
      <c r="C619" s="79"/>
      <c r="D619" s="79"/>
      <c r="E619" s="79"/>
      <c r="O619" s="79"/>
      <c r="S619" s="79"/>
      <c r="T619" s="79"/>
      <c r="Y619" s="79"/>
      <c r="AD619" s="130"/>
      <c r="AF619" s="106"/>
    </row>
    <row r="620">
      <c r="C620" s="79"/>
      <c r="D620" s="79"/>
      <c r="E620" s="79"/>
      <c r="O620" s="79"/>
      <c r="S620" s="79"/>
      <c r="T620" s="79"/>
      <c r="Y620" s="79"/>
      <c r="AD620" s="130"/>
      <c r="AF620" s="106"/>
    </row>
    <row r="621">
      <c r="C621" s="79"/>
      <c r="D621" s="79"/>
      <c r="E621" s="79"/>
      <c r="O621" s="79"/>
      <c r="S621" s="79"/>
      <c r="T621" s="79"/>
      <c r="Y621" s="79"/>
      <c r="AD621" s="130"/>
      <c r="AF621" s="106"/>
    </row>
    <row r="622">
      <c r="C622" s="79"/>
      <c r="D622" s="79"/>
      <c r="E622" s="79"/>
      <c r="O622" s="79"/>
      <c r="S622" s="79"/>
      <c r="T622" s="79"/>
      <c r="Y622" s="79"/>
      <c r="AD622" s="130"/>
      <c r="AF622" s="106"/>
    </row>
    <row r="623">
      <c r="C623" s="79"/>
      <c r="D623" s="79"/>
      <c r="E623" s="79"/>
      <c r="O623" s="79"/>
      <c r="S623" s="79"/>
      <c r="T623" s="79"/>
      <c r="Y623" s="79"/>
      <c r="AD623" s="130"/>
      <c r="AF623" s="106"/>
    </row>
    <row r="624">
      <c r="C624" s="79"/>
      <c r="D624" s="79"/>
      <c r="E624" s="79"/>
      <c r="O624" s="79"/>
      <c r="S624" s="79"/>
      <c r="T624" s="79"/>
      <c r="Y624" s="79"/>
      <c r="AD624" s="130"/>
      <c r="AF624" s="106"/>
    </row>
    <row r="625">
      <c r="C625" s="79"/>
      <c r="D625" s="79"/>
      <c r="E625" s="79"/>
      <c r="O625" s="79"/>
      <c r="S625" s="79"/>
      <c r="T625" s="79"/>
      <c r="Y625" s="79"/>
      <c r="AD625" s="130"/>
      <c r="AF625" s="106"/>
    </row>
    <row r="626">
      <c r="C626" s="79"/>
      <c r="D626" s="79"/>
      <c r="E626" s="79"/>
      <c r="O626" s="79"/>
      <c r="S626" s="79"/>
      <c r="T626" s="79"/>
      <c r="Y626" s="79"/>
      <c r="AD626" s="130"/>
      <c r="AF626" s="106"/>
    </row>
    <row r="627">
      <c r="C627" s="79"/>
      <c r="D627" s="79"/>
      <c r="E627" s="79"/>
      <c r="O627" s="79"/>
      <c r="S627" s="79"/>
      <c r="T627" s="79"/>
      <c r="Y627" s="79"/>
      <c r="AD627" s="130"/>
      <c r="AF627" s="106"/>
    </row>
    <row r="628">
      <c r="C628" s="79"/>
      <c r="D628" s="79"/>
      <c r="E628" s="79"/>
      <c r="O628" s="79"/>
      <c r="S628" s="79"/>
      <c r="T628" s="79"/>
      <c r="Y628" s="79"/>
      <c r="AD628" s="130"/>
      <c r="AF628" s="106"/>
    </row>
    <row r="629">
      <c r="C629" s="79"/>
      <c r="D629" s="79"/>
      <c r="E629" s="79"/>
      <c r="O629" s="79"/>
      <c r="S629" s="79"/>
      <c r="T629" s="79"/>
      <c r="Y629" s="79"/>
      <c r="AD629" s="130"/>
      <c r="AF629" s="106"/>
    </row>
    <row r="630">
      <c r="C630" s="79"/>
      <c r="D630" s="79"/>
      <c r="E630" s="79"/>
      <c r="O630" s="79"/>
      <c r="S630" s="79"/>
      <c r="T630" s="79"/>
      <c r="Y630" s="79"/>
      <c r="AD630" s="130"/>
      <c r="AF630" s="106"/>
    </row>
    <row r="631">
      <c r="C631" s="79"/>
      <c r="D631" s="79"/>
      <c r="E631" s="79"/>
      <c r="O631" s="79"/>
      <c r="S631" s="79"/>
      <c r="T631" s="79"/>
      <c r="Y631" s="79"/>
      <c r="AD631" s="130"/>
      <c r="AF631" s="106"/>
    </row>
    <row r="632">
      <c r="C632" s="79"/>
      <c r="D632" s="79"/>
      <c r="E632" s="79"/>
      <c r="O632" s="79"/>
      <c r="S632" s="79"/>
      <c r="T632" s="79"/>
      <c r="Y632" s="79"/>
      <c r="AD632" s="130"/>
      <c r="AF632" s="106"/>
    </row>
    <row r="633">
      <c r="C633" s="79"/>
      <c r="D633" s="79"/>
      <c r="E633" s="79"/>
      <c r="O633" s="79"/>
      <c r="S633" s="79"/>
      <c r="T633" s="79"/>
      <c r="Y633" s="79"/>
      <c r="AD633" s="130"/>
      <c r="AF633" s="106"/>
    </row>
    <row r="634">
      <c r="C634" s="79"/>
      <c r="D634" s="79"/>
      <c r="E634" s="79"/>
      <c r="O634" s="79"/>
      <c r="S634" s="79"/>
      <c r="T634" s="79"/>
      <c r="Y634" s="79"/>
      <c r="AD634" s="130"/>
      <c r="AF634" s="106"/>
    </row>
    <row r="635">
      <c r="C635" s="79"/>
      <c r="D635" s="79"/>
      <c r="E635" s="79"/>
      <c r="O635" s="79"/>
      <c r="S635" s="79"/>
      <c r="T635" s="79"/>
      <c r="Y635" s="79"/>
      <c r="AD635" s="130"/>
      <c r="AF635" s="106"/>
    </row>
    <row r="636">
      <c r="C636" s="79"/>
      <c r="D636" s="79"/>
      <c r="E636" s="79"/>
      <c r="O636" s="79"/>
      <c r="S636" s="79"/>
      <c r="T636" s="79"/>
      <c r="Y636" s="79"/>
      <c r="AD636" s="130"/>
      <c r="AF636" s="106"/>
    </row>
    <row r="637">
      <c r="C637" s="79"/>
      <c r="D637" s="79"/>
      <c r="E637" s="79"/>
      <c r="O637" s="79"/>
      <c r="S637" s="79"/>
      <c r="T637" s="79"/>
      <c r="Y637" s="79"/>
      <c r="AD637" s="130"/>
      <c r="AF637" s="106"/>
    </row>
    <row r="638">
      <c r="C638" s="79"/>
      <c r="D638" s="79"/>
      <c r="E638" s="79"/>
      <c r="O638" s="79"/>
      <c r="S638" s="79"/>
      <c r="T638" s="79"/>
      <c r="Y638" s="79"/>
      <c r="AD638" s="130"/>
      <c r="AF638" s="106"/>
    </row>
    <row r="639">
      <c r="C639" s="79"/>
      <c r="D639" s="79"/>
      <c r="E639" s="79"/>
      <c r="O639" s="79"/>
      <c r="S639" s="79"/>
      <c r="T639" s="79"/>
      <c r="Y639" s="79"/>
      <c r="AD639" s="130"/>
      <c r="AF639" s="106"/>
    </row>
    <row r="640">
      <c r="C640" s="79"/>
      <c r="D640" s="79"/>
      <c r="E640" s="79"/>
      <c r="O640" s="79"/>
      <c r="S640" s="79"/>
      <c r="T640" s="79"/>
      <c r="Y640" s="79"/>
      <c r="AD640" s="130"/>
      <c r="AF640" s="106"/>
    </row>
    <row r="641">
      <c r="C641" s="79"/>
      <c r="D641" s="79"/>
      <c r="E641" s="79"/>
      <c r="O641" s="79"/>
      <c r="S641" s="79"/>
      <c r="T641" s="79"/>
      <c r="Y641" s="79"/>
      <c r="AD641" s="130"/>
      <c r="AF641" s="106"/>
    </row>
    <row r="642">
      <c r="C642" s="79"/>
      <c r="D642" s="79"/>
      <c r="E642" s="79"/>
      <c r="O642" s="79"/>
      <c r="S642" s="79"/>
      <c r="T642" s="79"/>
      <c r="Y642" s="79"/>
      <c r="AD642" s="130"/>
      <c r="AF642" s="106"/>
    </row>
    <row r="643">
      <c r="C643" s="79"/>
      <c r="D643" s="79"/>
      <c r="E643" s="79"/>
      <c r="O643" s="79"/>
      <c r="S643" s="79"/>
      <c r="T643" s="79"/>
      <c r="Y643" s="79"/>
      <c r="AD643" s="130"/>
      <c r="AF643" s="106"/>
    </row>
    <row r="644">
      <c r="C644" s="79"/>
      <c r="D644" s="79"/>
      <c r="E644" s="79"/>
      <c r="O644" s="79"/>
      <c r="S644" s="79"/>
      <c r="T644" s="79"/>
      <c r="Y644" s="79"/>
      <c r="AD644" s="130"/>
      <c r="AF644" s="106"/>
    </row>
    <row r="645">
      <c r="C645" s="79"/>
      <c r="D645" s="79"/>
      <c r="E645" s="79"/>
      <c r="O645" s="79"/>
      <c r="S645" s="79"/>
      <c r="T645" s="79"/>
      <c r="Y645" s="79"/>
      <c r="AD645" s="130"/>
      <c r="AF645" s="106"/>
    </row>
    <row r="646">
      <c r="C646" s="79"/>
      <c r="D646" s="79"/>
      <c r="E646" s="79"/>
      <c r="O646" s="79"/>
      <c r="S646" s="79"/>
      <c r="T646" s="79"/>
      <c r="Y646" s="79"/>
      <c r="AD646" s="130"/>
      <c r="AF646" s="106"/>
    </row>
    <row r="647">
      <c r="C647" s="79"/>
      <c r="D647" s="79"/>
      <c r="E647" s="79"/>
      <c r="O647" s="79"/>
      <c r="S647" s="79"/>
      <c r="T647" s="79"/>
      <c r="Y647" s="79"/>
      <c r="AD647" s="130"/>
      <c r="AF647" s="106"/>
    </row>
    <row r="648">
      <c r="C648" s="79"/>
      <c r="D648" s="79"/>
      <c r="E648" s="79"/>
      <c r="O648" s="79"/>
      <c r="S648" s="79"/>
      <c r="T648" s="79"/>
      <c r="Y648" s="79"/>
      <c r="AD648" s="130"/>
      <c r="AF648" s="106"/>
    </row>
    <row r="649">
      <c r="C649" s="79"/>
      <c r="D649" s="79"/>
      <c r="E649" s="79"/>
      <c r="O649" s="79"/>
      <c r="S649" s="79"/>
      <c r="T649" s="79"/>
      <c r="Y649" s="79"/>
      <c r="AD649" s="130"/>
      <c r="AF649" s="106"/>
    </row>
    <row r="650">
      <c r="C650" s="79"/>
      <c r="D650" s="79"/>
      <c r="E650" s="79"/>
      <c r="O650" s="79"/>
      <c r="S650" s="79"/>
      <c r="T650" s="79"/>
      <c r="Y650" s="79"/>
      <c r="AD650" s="130"/>
      <c r="AF650" s="106"/>
    </row>
    <row r="651">
      <c r="C651" s="79"/>
      <c r="D651" s="79"/>
      <c r="E651" s="79"/>
      <c r="O651" s="79"/>
      <c r="S651" s="79"/>
      <c r="T651" s="79"/>
      <c r="Y651" s="79"/>
      <c r="AD651" s="130"/>
      <c r="AF651" s="106"/>
    </row>
    <row r="652">
      <c r="C652" s="79"/>
      <c r="D652" s="79"/>
      <c r="E652" s="79"/>
      <c r="O652" s="79"/>
      <c r="S652" s="79"/>
      <c r="T652" s="79"/>
      <c r="Y652" s="79"/>
      <c r="AD652" s="130"/>
      <c r="AF652" s="106"/>
    </row>
    <row r="653">
      <c r="C653" s="79"/>
      <c r="D653" s="79"/>
      <c r="E653" s="79"/>
      <c r="O653" s="79"/>
      <c r="S653" s="79"/>
      <c r="T653" s="79"/>
      <c r="Y653" s="79"/>
      <c r="AD653" s="130"/>
      <c r="AF653" s="106"/>
    </row>
    <row r="654">
      <c r="C654" s="79"/>
      <c r="D654" s="79"/>
      <c r="E654" s="79"/>
      <c r="O654" s="79"/>
      <c r="S654" s="79"/>
      <c r="T654" s="79"/>
      <c r="Y654" s="79"/>
      <c r="AD654" s="130"/>
      <c r="AF654" s="106"/>
    </row>
    <row r="655">
      <c r="C655" s="79"/>
      <c r="D655" s="79"/>
      <c r="E655" s="79"/>
      <c r="O655" s="79"/>
      <c r="S655" s="79"/>
      <c r="T655" s="79"/>
      <c r="Y655" s="79"/>
      <c r="AD655" s="130"/>
      <c r="AF655" s="106"/>
    </row>
    <row r="656">
      <c r="C656" s="79"/>
      <c r="D656" s="79"/>
      <c r="E656" s="79"/>
      <c r="O656" s="79"/>
      <c r="S656" s="79"/>
      <c r="T656" s="79"/>
      <c r="Y656" s="79"/>
      <c r="AD656" s="130"/>
      <c r="AF656" s="106"/>
    </row>
    <row r="657">
      <c r="C657" s="79"/>
      <c r="D657" s="79"/>
      <c r="E657" s="79"/>
      <c r="O657" s="79"/>
      <c r="S657" s="79"/>
      <c r="T657" s="79"/>
      <c r="Y657" s="79"/>
      <c r="AD657" s="130"/>
      <c r="AF657" s="106"/>
    </row>
    <row r="658">
      <c r="C658" s="79"/>
      <c r="D658" s="79"/>
      <c r="E658" s="79"/>
      <c r="O658" s="79"/>
      <c r="S658" s="79"/>
      <c r="T658" s="79"/>
      <c r="Y658" s="79"/>
      <c r="AD658" s="130"/>
      <c r="AF658" s="106"/>
    </row>
    <row r="659">
      <c r="C659" s="79"/>
      <c r="D659" s="79"/>
      <c r="E659" s="79"/>
      <c r="O659" s="79"/>
      <c r="S659" s="79"/>
      <c r="T659" s="79"/>
      <c r="Y659" s="79"/>
      <c r="AD659" s="130"/>
      <c r="AF659" s="106"/>
    </row>
    <row r="660">
      <c r="C660" s="79"/>
      <c r="D660" s="79"/>
      <c r="E660" s="79"/>
      <c r="O660" s="79"/>
      <c r="S660" s="79"/>
      <c r="T660" s="79"/>
      <c r="Y660" s="79"/>
      <c r="AD660" s="130"/>
      <c r="AF660" s="106"/>
    </row>
    <row r="661">
      <c r="C661" s="79"/>
      <c r="D661" s="79"/>
      <c r="E661" s="79"/>
      <c r="O661" s="79"/>
      <c r="S661" s="79"/>
      <c r="T661" s="79"/>
      <c r="Y661" s="79"/>
      <c r="AD661" s="130"/>
      <c r="AF661" s="106"/>
    </row>
    <row r="662">
      <c r="C662" s="79"/>
      <c r="D662" s="79"/>
      <c r="E662" s="79"/>
      <c r="O662" s="79"/>
      <c r="S662" s="79"/>
      <c r="T662" s="79"/>
      <c r="Y662" s="79"/>
      <c r="AD662" s="130"/>
      <c r="AF662" s="106"/>
    </row>
    <row r="663">
      <c r="C663" s="79"/>
      <c r="D663" s="79"/>
      <c r="E663" s="79"/>
      <c r="O663" s="79"/>
      <c r="S663" s="79"/>
      <c r="T663" s="79"/>
      <c r="Y663" s="79"/>
      <c r="AD663" s="130"/>
      <c r="AF663" s="106"/>
    </row>
    <row r="664">
      <c r="C664" s="79"/>
      <c r="D664" s="79"/>
      <c r="E664" s="79"/>
      <c r="O664" s="79"/>
      <c r="S664" s="79"/>
      <c r="T664" s="79"/>
      <c r="Y664" s="79"/>
      <c r="AD664" s="130"/>
      <c r="AF664" s="106"/>
    </row>
    <row r="665">
      <c r="C665" s="79"/>
      <c r="D665" s="79"/>
      <c r="E665" s="79"/>
      <c r="O665" s="79"/>
      <c r="S665" s="79"/>
      <c r="T665" s="79"/>
      <c r="Y665" s="79"/>
      <c r="AD665" s="130"/>
      <c r="AF665" s="106"/>
    </row>
    <row r="666">
      <c r="C666" s="79"/>
      <c r="D666" s="79"/>
      <c r="E666" s="79"/>
      <c r="O666" s="79"/>
      <c r="S666" s="79"/>
      <c r="T666" s="79"/>
      <c r="Y666" s="79"/>
      <c r="AD666" s="130"/>
      <c r="AF666" s="106"/>
    </row>
    <row r="667">
      <c r="C667" s="79"/>
      <c r="D667" s="79"/>
      <c r="E667" s="79"/>
      <c r="O667" s="79"/>
      <c r="S667" s="79"/>
      <c r="T667" s="79"/>
      <c r="Y667" s="79"/>
      <c r="AD667" s="130"/>
      <c r="AF667" s="106"/>
    </row>
    <row r="668">
      <c r="C668" s="79"/>
      <c r="D668" s="79"/>
      <c r="E668" s="79"/>
      <c r="O668" s="79"/>
      <c r="S668" s="79"/>
      <c r="T668" s="79"/>
      <c r="Y668" s="79"/>
      <c r="AD668" s="130"/>
      <c r="AF668" s="106"/>
    </row>
    <row r="669">
      <c r="C669" s="79"/>
      <c r="D669" s="79"/>
      <c r="E669" s="79"/>
      <c r="O669" s="79"/>
      <c r="S669" s="79"/>
      <c r="T669" s="79"/>
      <c r="Y669" s="79"/>
      <c r="AD669" s="130"/>
      <c r="AF669" s="106"/>
    </row>
    <row r="670">
      <c r="C670" s="79"/>
      <c r="D670" s="79"/>
      <c r="E670" s="79"/>
      <c r="O670" s="79"/>
      <c r="S670" s="79"/>
      <c r="T670" s="79"/>
      <c r="Y670" s="79"/>
      <c r="AD670" s="130"/>
      <c r="AF670" s="106"/>
    </row>
    <row r="671">
      <c r="C671" s="79"/>
      <c r="D671" s="79"/>
      <c r="E671" s="79"/>
      <c r="O671" s="79"/>
      <c r="S671" s="79"/>
      <c r="T671" s="79"/>
      <c r="Y671" s="79"/>
      <c r="AD671" s="130"/>
      <c r="AF671" s="106"/>
    </row>
    <row r="672">
      <c r="C672" s="79"/>
      <c r="D672" s="79"/>
      <c r="E672" s="79"/>
      <c r="O672" s="79"/>
      <c r="S672" s="79"/>
      <c r="T672" s="79"/>
      <c r="Y672" s="79"/>
      <c r="AD672" s="130"/>
      <c r="AF672" s="106"/>
    </row>
    <row r="673">
      <c r="C673" s="79"/>
      <c r="D673" s="79"/>
      <c r="E673" s="79"/>
      <c r="O673" s="79"/>
      <c r="S673" s="79"/>
      <c r="T673" s="79"/>
      <c r="Y673" s="79"/>
      <c r="AD673" s="130"/>
      <c r="AF673" s="106"/>
    </row>
    <row r="674">
      <c r="C674" s="79"/>
      <c r="D674" s="79"/>
      <c r="E674" s="79"/>
      <c r="O674" s="79"/>
      <c r="S674" s="79"/>
      <c r="T674" s="79"/>
      <c r="Y674" s="79"/>
      <c r="AD674" s="130"/>
      <c r="AF674" s="106"/>
    </row>
    <row r="675">
      <c r="C675" s="79"/>
      <c r="D675" s="79"/>
      <c r="E675" s="79"/>
      <c r="O675" s="79"/>
      <c r="S675" s="79"/>
      <c r="T675" s="79"/>
      <c r="Y675" s="79"/>
      <c r="AD675" s="130"/>
      <c r="AF675" s="106"/>
    </row>
    <row r="676">
      <c r="C676" s="79"/>
      <c r="D676" s="79"/>
      <c r="E676" s="79"/>
      <c r="O676" s="79"/>
      <c r="S676" s="79"/>
      <c r="T676" s="79"/>
      <c r="Y676" s="79"/>
      <c r="AD676" s="130"/>
      <c r="AF676" s="106"/>
    </row>
    <row r="677">
      <c r="C677" s="79"/>
      <c r="D677" s="79"/>
      <c r="E677" s="79"/>
      <c r="O677" s="79"/>
      <c r="S677" s="79"/>
      <c r="T677" s="79"/>
      <c r="Y677" s="79"/>
      <c r="AD677" s="130"/>
      <c r="AF677" s="106"/>
    </row>
    <row r="678">
      <c r="C678" s="79"/>
      <c r="D678" s="79"/>
      <c r="E678" s="79"/>
      <c r="O678" s="79"/>
      <c r="S678" s="79"/>
      <c r="T678" s="79"/>
      <c r="Y678" s="79"/>
      <c r="AD678" s="130"/>
      <c r="AF678" s="106"/>
    </row>
    <row r="679">
      <c r="C679" s="79"/>
      <c r="D679" s="79"/>
      <c r="E679" s="79"/>
      <c r="O679" s="79"/>
      <c r="S679" s="79"/>
      <c r="T679" s="79"/>
      <c r="Y679" s="79"/>
      <c r="AD679" s="130"/>
      <c r="AF679" s="106"/>
    </row>
    <row r="680">
      <c r="C680" s="79"/>
      <c r="D680" s="79"/>
      <c r="E680" s="79"/>
      <c r="O680" s="79"/>
      <c r="S680" s="79"/>
      <c r="T680" s="79"/>
      <c r="Y680" s="79"/>
      <c r="AD680" s="130"/>
      <c r="AF680" s="106"/>
    </row>
    <row r="681">
      <c r="C681" s="79"/>
      <c r="D681" s="79"/>
      <c r="E681" s="79"/>
      <c r="O681" s="79"/>
      <c r="S681" s="79"/>
      <c r="T681" s="79"/>
      <c r="Y681" s="79"/>
      <c r="AD681" s="130"/>
      <c r="AF681" s="106"/>
    </row>
    <row r="682">
      <c r="C682" s="79"/>
      <c r="D682" s="79"/>
      <c r="E682" s="79"/>
      <c r="O682" s="79"/>
      <c r="S682" s="79"/>
      <c r="T682" s="79"/>
      <c r="Y682" s="79"/>
      <c r="AD682" s="130"/>
      <c r="AF682" s="106"/>
    </row>
    <row r="683">
      <c r="C683" s="79"/>
      <c r="D683" s="79"/>
      <c r="E683" s="79"/>
      <c r="O683" s="79"/>
      <c r="S683" s="79"/>
      <c r="T683" s="79"/>
      <c r="Y683" s="79"/>
      <c r="AD683" s="130"/>
      <c r="AF683" s="106"/>
    </row>
    <row r="684">
      <c r="C684" s="79"/>
      <c r="D684" s="79"/>
      <c r="E684" s="79"/>
      <c r="O684" s="79"/>
      <c r="S684" s="79"/>
      <c r="T684" s="79"/>
      <c r="Y684" s="79"/>
      <c r="AD684" s="130"/>
      <c r="AF684" s="106"/>
    </row>
    <row r="685">
      <c r="C685" s="79"/>
      <c r="D685" s="79"/>
      <c r="E685" s="79"/>
      <c r="O685" s="79"/>
      <c r="S685" s="79"/>
      <c r="T685" s="79"/>
      <c r="Y685" s="79"/>
      <c r="AD685" s="130"/>
      <c r="AF685" s="106"/>
    </row>
    <row r="686">
      <c r="C686" s="79"/>
      <c r="D686" s="79"/>
      <c r="E686" s="79"/>
      <c r="O686" s="79"/>
      <c r="S686" s="79"/>
      <c r="T686" s="79"/>
      <c r="Y686" s="79"/>
      <c r="AD686" s="130"/>
      <c r="AF686" s="106"/>
    </row>
    <row r="687">
      <c r="C687" s="79"/>
      <c r="D687" s="79"/>
      <c r="E687" s="79"/>
      <c r="O687" s="79"/>
      <c r="S687" s="79"/>
      <c r="T687" s="79"/>
      <c r="Y687" s="79"/>
      <c r="AD687" s="130"/>
      <c r="AF687" s="106"/>
    </row>
    <row r="688">
      <c r="C688" s="79"/>
      <c r="D688" s="79"/>
      <c r="E688" s="79"/>
      <c r="O688" s="79"/>
      <c r="S688" s="79"/>
      <c r="T688" s="79"/>
      <c r="Y688" s="79"/>
      <c r="AD688" s="130"/>
      <c r="AF688" s="106"/>
    </row>
    <row r="689">
      <c r="C689" s="79"/>
      <c r="D689" s="79"/>
      <c r="E689" s="79"/>
      <c r="O689" s="79"/>
      <c r="S689" s="79"/>
      <c r="T689" s="79"/>
      <c r="Y689" s="79"/>
      <c r="AD689" s="130"/>
      <c r="AF689" s="106"/>
    </row>
    <row r="690">
      <c r="C690" s="79"/>
      <c r="D690" s="79"/>
      <c r="E690" s="79"/>
      <c r="O690" s="79"/>
      <c r="S690" s="79"/>
      <c r="T690" s="79"/>
      <c r="Y690" s="79"/>
      <c r="AD690" s="130"/>
      <c r="AF690" s="106"/>
    </row>
    <row r="691">
      <c r="C691" s="79"/>
      <c r="D691" s="79"/>
      <c r="E691" s="79"/>
      <c r="O691" s="79"/>
      <c r="S691" s="79"/>
      <c r="T691" s="79"/>
      <c r="Y691" s="79"/>
      <c r="AD691" s="130"/>
      <c r="AF691" s="106"/>
    </row>
    <row r="692">
      <c r="C692" s="79"/>
      <c r="D692" s="79"/>
      <c r="E692" s="79"/>
      <c r="O692" s="79"/>
      <c r="S692" s="79"/>
      <c r="T692" s="79"/>
      <c r="Y692" s="79"/>
      <c r="AD692" s="130"/>
      <c r="AF692" s="106"/>
    </row>
    <row r="693">
      <c r="C693" s="79"/>
      <c r="D693" s="79"/>
      <c r="E693" s="79"/>
      <c r="O693" s="79"/>
      <c r="S693" s="79"/>
      <c r="T693" s="79"/>
      <c r="Y693" s="79"/>
      <c r="AD693" s="130"/>
      <c r="AF693" s="106"/>
    </row>
    <row r="694">
      <c r="C694" s="79"/>
      <c r="D694" s="79"/>
      <c r="E694" s="79"/>
      <c r="O694" s="79"/>
      <c r="S694" s="79"/>
      <c r="T694" s="79"/>
      <c r="Y694" s="79"/>
      <c r="AD694" s="130"/>
      <c r="AF694" s="106"/>
    </row>
    <row r="695">
      <c r="C695" s="79"/>
      <c r="D695" s="79"/>
      <c r="E695" s="79"/>
      <c r="O695" s="79"/>
      <c r="S695" s="79"/>
      <c r="T695" s="79"/>
      <c r="Y695" s="79"/>
      <c r="AD695" s="130"/>
      <c r="AF695" s="106"/>
    </row>
    <row r="696">
      <c r="C696" s="79"/>
      <c r="D696" s="79"/>
      <c r="E696" s="79"/>
      <c r="O696" s="79"/>
      <c r="S696" s="79"/>
      <c r="T696" s="79"/>
      <c r="Y696" s="79"/>
      <c r="AD696" s="130"/>
      <c r="AF696" s="106"/>
    </row>
    <row r="697">
      <c r="C697" s="79"/>
      <c r="D697" s="79"/>
      <c r="E697" s="79"/>
      <c r="O697" s="79"/>
      <c r="S697" s="79"/>
      <c r="T697" s="79"/>
      <c r="Y697" s="79"/>
      <c r="AD697" s="130"/>
      <c r="AF697" s="106"/>
    </row>
    <row r="698">
      <c r="C698" s="79"/>
      <c r="D698" s="79"/>
      <c r="E698" s="79"/>
      <c r="O698" s="79"/>
      <c r="S698" s="79"/>
      <c r="T698" s="79"/>
      <c r="Y698" s="79"/>
      <c r="AD698" s="130"/>
      <c r="AF698" s="106"/>
    </row>
    <row r="699">
      <c r="C699" s="79"/>
      <c r="D699" s="79"/>
      <c r="E699" s="79"/>
      <c r="O699" s="79"/>
      <c r="S699" s="79"/>
      <c r="T699" s="79"/>
      <c r="Y699" s="79"/>
      <c r="AD699" s="130"/>
      <c r="AF699" s="106"/>
    </row>
    <row r="700">
      <c r="C700" s="79"/>
      <c r="D700" s="79"/>
      <c r="E700" s="79"/>
      <c r="O700" s="79"/>
      <c r="S700" s="79"/>
      <c r="T700" s="79"/>
      <c r="Y700" s="79"/>
      <c r="AD700" s="130"/>
      <c r="AF700" s="106"/>
    </row>
    <row r="701">
      <c r="C701" s="79"/>
      <c r="D701" s="79"/>
      <c r="E701" s="79"/>
      <c r="O701" s="79"/>
      <c r="S701" s="79"/>
      <c r="T701" s="79"/>
      <c r="Y701" s="79"/>
      <c r="AD701" s="130"/>
      <c r="AF701" s="106"/>
    </row>
    <row r="702">
      <c r="C702" s="79"/>
      <c r="D702" s="79"/>
      <c r="E702" s="79"/>
      <c r="O702" s="79"/>
      <c r="S702" s="79"/>
      <c r="T702" s="79"/>
      <c r="Y702" s="79"/>
      <c r="AD702" s="130"/>
      <c r="AF702" s="106"/>
    </row>
    <row r="703">
      <c r="C703" s="79"/>
      <c r="D703" s="79"/>
      <c r="E703" s="79"/>
      <c r="O703" s="79"/>
      <c r="S703" s="79"/>
      <c r="T703" s="79"/>
      <c r="Y703" s="79"/>
      <c r="AD703" s="130"/>
      <c r="AF703" s="106"/>
    </row>
    <row r="704">
      <c r="C704" s="79"/>
      <c r="D704" s="79"/>
      <c r="E704" s="79"/>
      <c r="O704" s="79"/>
      <c r="S704" s="79"/>
      <c r="T704" s="79"/>
      <c r="Y704" s="79"/>
      <c r="AD704" s="130"/>
      <c r="AF704" s="106"/>
    </row>
    <row r="705">
      <c r="C705" s="79"/>
      <c r="D705" s="79"/>
      <c r="E705" s="79"/>
      <c r="O705" s="79"/>
      <c r="S705" s="79"/>
      <c r="T705" s="79"/>
      <c r="Y705" s="79"/>
      <c r="AD705" s="130"/>
      <c r="AF705" s="106"/>
    </row>
    <row r="706">
      <c r="C706" s="79"/>
      <c r="D706" s="79"/>
      <c r="E706" s="79"/>
      <c r="O706" s="79"/>
      <c r="S706" s="79"/>
      <c r="T706" s="79"/>
      <c r="Y706" s="79"/>
      <c r="AD706" s="130"/>
      <c r="AF706" s="106"/>
    </row>
    <row r="707">
      <c r="C707" s="79"/>
      <c r="D707" s="79"/>
      <c r="E707" s="79"/>
      <c r="O707" s="79"/>
      <c r="S707" s="79"/>
      <c r="T707" s="79"/>
      <c r="Y707" s="79"/>
      <c r="AD707" s="130"/>
      <c r="AF707" s="106"/>
    </row>
    <row r="708">
      <c r="C708" s="79"/>
      <c r="D708" s="79"/>
      <c r="E708" s="79"/>
      <c r="O708" s="79"/>
      <c r="S708" s="79"/>
      <c r="T708" s="79"/>
      <c r="Y708" s="79"/>
      <c r="AD708" s="130"/>
      <c r="AF708" s="106"/>
    </row>
    <row r="709">
      <c r="C709" s="79"/>
      <c r="D709" s="79"/>
      <c r="E709" s="79"/>
      <c r="O709" s="79"/>
      <c r="S709" s="79"/>
      <c r="T709" s="79"/>
      <c r="Y709" s="79"/>
      <c r="AD709" s="130"/>
      <c r="AF709" s="106"/>
    </row>
    <row r="710">
      <c r="C710" s="79"/>
      <c r="D710" s="79"/>
      <c r="E710" s="79"/>
      <c r="O710" s="79"/>
      <c r="S710" s="79"/>
      <c r="T710" s="79"/>
      <c r="Y710" s="79"/>
      <c r="AD710" s="130"/>
      <c r="AF710" s="106"/>
    </row>
    <row r="711">
      <c r="C711" s="79"/>
      <c r="D711" s="79"/>
      <c r="E711" s="79"/>
      <c r="O711" s="79"/>
      <c r="S711" s="79"/>
      <c r="T711" s="79"/>
      <c r="Y711" s="79"/>
      <c r="AD711" s="130"/>
      <c r="AF711" s="106"/>
    </row>
    <row r="712">
      <c r="C712" s="79"/>
      <c r="D712" s="79"/>
      <c r="E712" s="79"/>
      <c r="O712" s="79"/>
      <c r="S712" s="79"/>
      <c r="T712" s="79"/>
      <c r="Y712" s="79"/>
      <c r="AD712" s="130"/>
      <c r="AF712" s="106"/>
    </row>
    <row r="713">
      <c r="C713" s="79"/>
      <c r="D713" s="79"/>
      <c r="E713" s="79"/>
      <c r="O713" s="79"/>
      <c r="S713" s="79"/>
      <c r="T713" s="79"/>
      <c r="Y713" s="79"/>
      <c r="AD713" s="130"/>
      <c r="AF713" s="106"/>
    </row>
    <row r="714">
      <c r="C714" s="79"/>
      <c r="D714" s="79"/>
      <c r="E714" s="79"/>
      <c r="O714" s="79"/>
      <c r="S714" s="79"/>
      <c r="T714" s="79"/>
      <c r="Y714" s="79"/>
      <c r="AD714" s="130"/>
      <c r="AF714" s="106"/>
    </row>
    <row r="715">
      <c r="C715" s="79"/>
      <c r="D715" s="79"/>
      <c r="E715" s="79"/>
      <c r="O715" s="79"/>
      <c r="S715" s="79"/>
      <c r="T715" s="79"/>
      <c r="Y715" s="79"/>
      <c r="AD715" s="130"/>
      <c r="AF715" s="106"/>
    </row>
    <row r="716">
      <c r="C716" s="79"/>
      <c r="D716" s="79"/>
      <c r="E716" s="79"/>
      <c r="O716" s="79"/>
      <c r="S716" s="79"/>
      <c r="T716" s="79"/>
      <c r="Y716" s="79"/>
      <c r="AD716" s="130"/>
      <c r="AF716" s="106"/>
    </row>
    <row r="717">
      <c r="C717" s="79"/>
      <c r="D717" s="79"/>
      <c r="E717" s="79"/>
      <c r="O717" s="79"/>
      <c r="S717" s="79"/>
      <c r="T717" s="79"/>
      <c r="Y717" s="79"/>
      <c r="AD717" s="130"/>
      <c r="AF717" s="106"/>
    </row>
    <row r="718">
      <c r="C718" s="79"/>
      <c r="D718" s="79"/>
      <c r="E718" s="79"/>
      <c r="O718" s="79"/>
      <c r="S718" s="79"/>
      <c r="T718" s="79"/>
      <c r="Y718" s="79"/>
      <c r="AD718" s="130"/>
      <c r="AF718" s="106"/>
    </row>
    <row r="719">
      <c r="C719" s="79"/>
      <c r="D719" s="79"/>
      <c r="E719" s="79"/>
      <c r="O719" s="79"/>
      <c r="S719" s="79"/>
      <c r="T719" s="79"/>
      <c r="Y719" s="79"/>
      <c r="AD719" s="130"/>
      <c r="AF719" s="106"/>
    </row>
    <row r="720">
      <c r="C720" s="79"/>
      <c r="D720" s="79"/>
      <c r="E720" s="79"/>
      <c r="O720" s="79"/>
      <c r="S720" s="79"/>
      <c r="T720" s="79"/>
      <c r="Y720" s="79"/>
      <c r="AD720" s="130"/>
      <c r="AF720" s="106"/>
    </row>
    <row r="721">
      <c r="C721" s="79"/>
      <c r="D721" s="79"/>
      <c r="E721" s="79"/>
      <c r="O721" s="79"/>
      <c r="S721" s="79"/>
      <c r="T721" s="79"/>
      <c r="Y721" s="79"/>
      <c r="AD721" s="130"/>
      <c r="AF721" s="106"/>
    </row>
    <row r="722">
      <c r="C722" s="79"/>
      <c r="D722" s="79"/>
      <c r="E722" s="79"/>
      <c r="O722" s="79"/>
      <c r="S722" s="79"/>
      <c r="T722" s="79"/>
      <c r="Y722" s="79"/>
      <c r="AD722" s="130"/>
      <c r="AF722" s="106"/>
    </row>
    <row r="723">
      <c r="C723" s="79"/>
      <c r="D723" s="79"/>
      <c r="E723" s="79"/>
      <c r="O723" s="79"/>
      <c r="S723" s="79"/>
      <c r="T723" s="79"/>
      <c r="Y723" s="79"/>
      <c r="AD723" s="130"/>
      <c r="AF723" s="106"/>
    </row>
    <row r="724">
      <c r="C724" s="79"/>
      <c r="D724" s="79"/>
      <c r="E724" s="79"/>
      <c r="O724" s="79"/>
      <c r="S724" s="79"/>
      <c r="T724" s="79"/>
      <c r="Y724" s="79"/>
      <c r="AD724" s="130"/>
      <c r="AF724" s="106"/>
    </row>
    <row r="725">
      <c r="C725" s="79"/>
      <c r="D725" s="79"/>
      <c r="E725" s="79"/>
      <c r="O725" s="79"/>
      <c r="S725" s="79"/>
      <c r="T725" s="79"/>
      <c r="Y725" s="79"/>
      <c r="AD725" s="130"/>
      <c r="AF725" s="106"/>
    </row>
    <row r="726">
      <c r="C726" s="79"/>
      <c r="D726" s="79"/>
      <c r="E726" s="79"/>
      <c r="O726" s="79"/>
      <c r="S726" s="79"/>
      <c r="T726" s="79"/>
      <c r="Y726" s="79"/>
      <c r="AD726" s="130"/>
      <c r="AF726" s="106"/>
    </row>
    <row r="727">
      <c r="C727" s="79"/>
      <c r="D727" s="79"/>
      <c r="E727" s="79"/>
      <c r="O727" s="79"/>
      <c r="S727" s="79"/>
      <c r="T727" s="79"/>
      <c r="Y727" s="79"/>
      <c r="AD727" s="130"/>
      <c r="AF727" s="106"/>
    </row>
    <row r="728">
      <c r="C728" s="79"/>
      <c r="D728" s="79"/>
      <c r="E728" s="79"/>
      <c r="O728" s="79"/>
      <c r="S728" s="79"/>
      <c r="T728" s="79"/>
      <c r="Y728" s="79"/>
      <c r="AD728" s="130"/>
      <c r="AF728" s="106"/>
    </row>
    <row r="729">
      <c r="C729" s="79"/>
      <c r="D729" s="79"/>
      <c r="E729" s="79"/>
      <c r="O729" s="79"/>
      <c r="S729" s="79"/>
      <c r="T729" s="79"/>
      <c r="Y729" s="79"/>
      <c r="AD729" s="130"/>
      <c r="AF729" s="106"/>
    </row>
    <row r="730">
      <c r="C730" s="79"/>
      <c r="D730" s="79"/>
      <c r="E730" s="79"/>
      <c r="O730" s="79"/>
      <c r="S730" s="79"/>
      <c r="T730" s="79"/>
      <c r="Y730" s="79"/>
      <c r="AD730" s="130"/>
      <c r="AF730" s="106"/>
    </row>
    <row r="731">
      <c r="C731" s="79"/>
      <c r="D731" s="79"/>
      <c r="E731" s="79"/>
      <c r="O731" s="79"/>
      <c r="S731" s="79"/>
      <c r="T731" s="79"/>
      <c r="Y731" s="79"/>
      <c r="AD731" s="130"/>
      <c r="AF731" s="106"/>
    </row>
    <row r="732">
      <c r="C732" s="79"/>
      <c r="D732" s="79"/>
      <c r="E732" s="79"/>
      <c r="O732" s="79"/>
      <c r="S732" s="79"/>
      <c r="T732" s="79"/>
      <c r="Y732" s="79"/>
      <c r="AD732" s="130"/>
      <c r="AF732" s="106"/>
    </row>
    <row r="733">
      <c r="C733" s="79"/>
      <c r="D733" s="79"/>
      <c r="E733" s="79"/>
      <c r="O733" s="79"/>
      <c r="S733" s="79"/>
      <c r="T733" s="79"/>
      <c r="Y733" s="79"/>
      <c r="AD733" s="130"/>
      <c r="AF733" s="106"/>
    </row>
    <row r="734">
      <c r="C734" s="79"/>
      <c r="D734" s="79"/>
      <c r="E734" s="79"/>
      <c r="O734" s="79"/>
      <c r="S734" s="79"/>
      <c r="T734" s="79"/>
      <c r="Y734" s="79"/>
      <c r="AD734" s="130"/>
      <c r="AF734" s="106"/>
    </row>
    <row r="735">
      <c r="C735" s="79"/>
      <c r="D735" s="79"/>
      <c r="E735" s="79"/>
      <c r="O735" s="79"/>
      <c r="S735" s="79"/>
      <c r="T735" s="79"/>
      <c r="Y735" s="79"/>
      <c r="AD735" s="130"/>
      <c r="AF735" s="106"/>
    </row>
    <row r="736">
      <c r="C736" s="79"/>
      <c r="D736" s="79"/>
      <c r="E736" s="79"/>
      <c r="O736" s="79"/>
      <c r="S736" s="79"/>
      <c r="T736" s="79"/>
      <c r="Y736" s="79"/>
      <c r="AD736" s="130"/>
      <c r="AF736" s="106"/>
    </row>
    <row r="737">
      <c r="C737" s="79"/>
      <c r="D737" s="79"/>
      <c r="E737" s="79"/>
      <c r="O737" s="79"/>
      <c r="S737" s="79"/>
      <c r="T737" s="79"/>
      <c r="Y737" s="79"/>
      <c r="AD737" s="130"/>
      <c r="AF737" s="106"/>
    </row>
    <row r="738">
      <c r="C738" s="79"/>
      <c r="D738" s="79"/>
      <c r="E738" s="79"/>
      <c r="O738" s="79"/>
      <c r="S738" s="79"/>
      <c r="T738" s="79"/>
      <c r="Y738" s="79"/>
      <c r="AD738" s="130"/>
      <c r="AF738" s="106"/>
    </row>
    <row r="739">
      <c r="C739" s="79"/>
      <c r="D739" s="79"/>
      <c r="E739" s="79"/>
      <c r="O739" s="79"/>
      <c r="S739" s="79"/>
      <c r="T739" s="79"/>
      <c r="Y739" s="79"/>
      <c r="AD739" s="130"/>
      <c r="AF739" s="106"/>
    </row>
    <row r="740">
      <c r="C740" s="79"/>
      <c r="D740" s="79"/>
      <c r="E740" s="79"/>
      <c r="O740" s="79"/>
      <c r="S740" s="79"/>
      <c r="T740" s="79"/>
      <c r="Y740" s="79"/>
      <c r="AD740" s="130"/>
      <c r="AF740" s="106"/>
    </row>
    <row r="741">
      <c r="C741" s="79"/>
      <c r="D741" s="79"/>
      <c r="E741" s="79"/>
      <c r="O741" s="79"/>
      <c r="S741" s="79"/>
      <c r="T741" s="79"/>
      <c r="Y741" s="79"/>
      <c r="AD741" s="130"/>
      <c r="AF741" s="106"/>
    </row>
    <row r="742">
      <c r="C742" s="79"/>
      <c r="D742" s="79"/>
      <c r="E742" s="79"/>
      <c r="O742" s="79"/>
      <c r="S742" s="79"/>
      <c r="T742" s="79"/>
      <c r="Y742" s="79"/>
      <c r="AD742" s="130"/>
      <c r="AF742" s="106"/>
    </row>
    <row r="743">
      <c r="C743" s="79"/>
      <c r="D743" s="79"/>
      <c r="E743" s="79"/>
      <c r="O743" s="79"/>
      <c r="S743" s="79"/>
      <c r="T743" s="79"/>
      <c r="Y743" s="79"/>
      <c r="AD743" s="130"/>
      <c r="AF743" s="106"/>
    </row>
    <row r="744">
      <c r="C744" s="79"/>
      <c r="D744" s="79"/>
      <c r="E744" s="79"/>
      <c r="O744" s="79"/>
      <c r="S744" s="79"/>
      <c r="T744" s="79"/>
      <c r="Y744" s="79"/>
      <c r="AD744" s="130"/>
      <c r="AF744" s="106"/>
    </row>
    <row r="745">
      <c r="C745" s="79"/>
      <c r="D745" s="79"/>
      <c r="E745" s="79"/>
      <c r="O745" s="79"/>
      <c r="S745" s="79"/>
      <c r="T745" s="79"/>
      <c r="Y745" s="79"/>
      <c r="AD745" s="130"/>
      <c r="AF745" s="106"/>
    </row>
    <row r="746">
      <c r="C746" s="79"/>
      <c r="D746" s="79"/>
      <c r="E746" s="79"/>
      <c r="O746" s="79"/>
      <c r="S746" s="79"/>
      <c r="T746" s="79"/>
      <c r="Y746" s="79"/>
      <c r="AD746" s="130"/>
      <c r="AF746" s="106"/>
    </row>
    <row r="747">
      <c r="C747" s="79"/>
      <c r="D747" s="79"/>
      <c r="E747" s="79"/>
      <c r="O747" s="79"/>
      <c r="S747" s="79"/>
      <c r="T747" s="79"/>
      <c r="Y747" s="79"/>
      <c r="AD747" s="130"/>
      <c r="AF747" s="106"/>
    </row>
    <row r="748">
      <c r="C748" s="79"/>
      <c r="D748" s="79"/>
      <c r="E748" s="79"/>
      <c r="O748" s="79"/>
      <c r="S748" s="79"/>
      <c r="T748" s="79"/>
      <c r="Y748" s="79"/>
      <c r="AD748" s="130"/>
      <c r="AF748" s="106"/>
    </row>
    <row r="749">
      <c r="C749" s="79"/>
      <c r="D749" s="79"/>
      <c r="E749" s="79"/>
      <c r="O749" s="79"/>
      <c r="S749" s="79"/>
      <c r="T749" s="79"/>
      <c r="Y749" s="79"/>
      <c r="AD749" s="130"/>
      <c r="AF749" s="106"/>
    </row>
    <row r="750">
      <c r="C750" s="79"/>
      <c r="D750" s="79"/>
      <c r="E750" s="79"/>
      <c r="O750" s="79"/>
      <c r="S750" s="79"/>
      <c r="T750" s="79"/>
      <c r="Y750" s="79"/>
      <c r="AD750" s="130"/>
      <c r="AF750" s="106"/>
    </row>
    <row r="751">
      <c r="C751" s="79"/>
      <c r="D751" s="79"/>
      <c r="E751" s="79"/>
      <c r="O751" s="79"/>
      <c r="S751" s="79"/>
      <c r="T751" s="79"/>
      <c r="Y751" s="79"/>
      <c r="AD751" s="130"/>
      <c r="AF751" s="106"/>
    </row>
    <row r="752">
      <c r="C752" s="79"/>
      <c r="D752" s="79"/>
      <c r="E752" s="79"/>
      <c r="O752" s="79"/>
      <c r="S752" s="79"/>
      <c r="T752" s="79"/>
      <c r="Y752" s="79"/>
      <c r="AD752" s="130"/>
      <c r="AF752" s="106"/>
    </row>
    <row r="753">
      <c r="C753" s="79"/>
      <c r="D753" s="79"/>
      <c r="E753" s="79"/>
      <c r="O753" s="79"/>
      <c r="S753" s="79"/>
      <c r="T753" s="79"/>
      <c r="Y753" s="79"/>
      <c r="AD753" s="130"/>
      <c r="AF753" s="106"/>
    </row>
    <row r="754">
      <c r="C754" s="79"/>
      <c r="D754" s="79"/>
      <c r="E754" s="79"/>
      <c r="O754" s="79"/>
      <c r="S754" s="79"/>
      <c r="T754" s="79"/>
      <c r="Y754" s="79"/>
      <c r="AD754" s="130"/>
      <c r="AF754" s="106"/>
    </row>
    <row r="755">
      <c r="C755" s="79"/>
      <c r="D755" s="79"/>
      <c r="E755" s="79"/>
      <c r="O755" s="79"/>
      <c r="S755" s="79"/>
      <c r="T755" s="79"/>
      <c r="Y755" s="79"/>
      <c r="AD755" s="130"/>
      <c r="AF755" s="106"/>
    </row>
    <row r="756">
      <c r="C756" s="79"/>
      <c r="D756" s="79"/>
      <c r="E756" s="79"/>
      <c r="O756" s="79"/>
      <c r="S756" s="79"/>
      <c r="T756" s="79"/>
      <c r="Y756" s="79"/>
      <c r="AD756" s="130"/>
      <c r="AF756" s="106"/>
    </row>
    <row r="757">
      <c r="C757" s="79"/>
      <c r="D757" s="79"/>
      <c r="E757" s="79"/>
      <c r="O757" s="79"/>
      <c r="S757" s="79"/>
      <c r="T757" s="79"/>
      <c r="Y757" s="79"/>
      <c r="AD757" s="130"/>
      <c r="AF757" s="106"/>
    </row>
    <row r="758">
      <c r="C758" s="79"/>
      <c r="D758" s="79"/>
      <c r="E758" s="79"/>
      <c r="O758" s="79"/>
      <c r="S758" s="79"/>
      <c r="T758" s="79"/>
      <c r="Y758" s="79"/>
      <c r="AD758" s="130"/>
      <c r="AF758" s="106"/>
    </row>
    <row r="759">
      <c r="C759" s="79"/>
      <c r="D759" s="79"/>
      <c r="E759" s="79"/>
      <c r="O759" s="79"/>
      <c r="S759" s="79"/>
      <c r="T759" s="79"/>
      <c r="Y759" s="79"/>
      <c r="AD759" s="130"/>
      <c r="AF759" s="106"/>
    </row>
    <row r="760">
      <c r="C760" s="79"/>
      <c r="D760" s="79"/>
      <c r="E760" s="79"/>
      <c r="O760" s="79"/>
      <c r="S760" s="79"/>
      <c r="T760" s="79"/>
      <c r="Y760" s="79"/>
      <c r="AD760" s="130"/>
      <c r="AF760" s="106"/>
    </row>
    <row r="761">
      <c r="C761" s="79"/>
      <c r="D761" s="79"/>
      <c r="E761" s="79"/>
      <c r="O761" s="79"/>
      <c r="S761" s="79"/>
      <c r="T761" s="79"/>
      <c r="Y761" s="79"/>
      <c r="AD761" s="130"/>
      <c r="AF761" s="106"/>
    </row>
    <row r="762">
      <c r="C762" s="79"/>
      <c r="D762" s="79"/>
      <c r="E762" s="79"/>
      <c r="O762" s="79"/>
      <c r="S762" s="79"/>
      <c r="T762" s="79"/>
      <c r="Y762" s="79"/>
      <c r="AD762" s="130"/>
      <c r="AF762" s="106"/>
    </row>
    <row r="763">
      <c r="C763" s="79"/>
      <c r="D763" s="79"/>
      <c r="E763" s="79"/>
      <c r="O763" s="79"/>
      <c r="S763" s="79"/>
      <c r="T763" s="79"/>
      <c r="Y763" s="79"/>
      <c r="AD763" s="130"/>
      <c r="AF763" s="106"/>
    </row>
    <row r="764">
      <c r="C764" s="79"/>
      <c r="D764" s="79"/>
      <c r="E764" s="79"/>
      <c r="O764" s="79"/>
      <c r="S764" s="79"/>
      <c r="T764" s="79"/>
      <c r="Y764" s="79"/>
      <c r="AD764" s="130"/>
      <c r="AF764" s="106"/>
    </row>
    <row r="765">
      <c r="C765" s="79"/>
      <c r="D765" s="79"/>
      <c r="E765" s="79"/>
      <c r="O765" s="79"/>
      <c r="S765" s="79"/>
      <c r="T765" s="79"/>
      <c r="Y765" s="79"/>
      <c r="AD765" s="130"/>
      <c r="AF765" s="106"/>
    </row>
    <row r="766">
      <c r="C766" s="79"/>
      <c r="D766" s="79"/>
      <c r="E766" s="79"/>
      <c r="O766" s="79"/>
      <c r="S766" s="79"/>
      <c r="T766" s="79"/>
      <c r="Y766" s="79"/>
      <c r="AD766" s="130"/>
      <c r="AF766" s="106"/>
    </row>
    <row r="767">
      <c r="C767" s="79"/>
      <c r="D767" s="79"/>
      <c r="E767" s="79"/>
      <c r="O767" s="79"/>
      <c r="S767" s="79"/>
      <c r="T767" s="79"/>
      <c r="Y767" s="79"/>
      <c r="AD767" s="130"/>
      <c r="AF767" s="106"/>
    </row>
    <row r="768">
      <c r="C768" s="79"/>
      <c r="D768" s="79"/>
      <c r="E768" s="79"/>
      <c r="O768" s="79"/>
      <c r="S768" s="79"/>
      <c r="T768" s="79"/>
      <c r="Y768" s="79"/>
      <c r="AD768" s="130"/>
      <c r="AF768" s="106"/>
    </row>
    <row r="769">
      <c r="C769" s="79"/>
      <c r="D769" s="79"/>
      <c r="E769" s="79"/>
      <c r="O769" s="79"/>
      <c r="S769" s="79"/>
      <c r="T769" s="79"/>
      <c r="Y769" s="79"/>
      <c r="AD769" s="130"/>
      <c r="AF769" s="106"/>
    </row>
    <row r="770">
      <c r="C770" s="79"/>
      <c r="D770" s="79"/>
      <c r="E770" s="79"/>
      <c r="O770" s="79"/>
      <c r="S770" s="79"/>
      <c r="T770" s="79"/>
      <c r="Y770" s="79"/>
      <c r="AD770" s="130"/>
      <c r="AF770" s="106"/>
    </row>
    <row r="771">
      <c r="C771" s="79"/>
      <c r="D771" s="79"/>
      <c r="E771" s="79"/>
      <c r="O771" s="79"/>
      <c r="S771" s="79"/>
      <c r="T771" s="79"/>
      <c r="Y771" s="79"/>
      <c r="AD771" s="130"/>
      <c r="AF771" s="106"/>
    </row>
    <row r="772">
      <c r="C772" s="79"/>
      <c r="D772" s="79"/>
      <c r="E772" s="79"/>
      <c r="O772" s="79"/>
      <c r="S772" s="79"/>
      <c r="T772" s="79"/>
      <c r="Y772" s="79"/>
      <c r="AD772" s="130"/>
      <c r="AF772" s="106"/>
    </row>
    <row r="773">
      <c r="C773" s="79"/>
      <c r="D773" s="79"/>
      <c r="E773" s="79"/>
      <c r="O773" s="79"/>
      <c r="S773" s="79"/>
      <c r="T773" s="79"/>
      <c r="Y773" s="79"/>
      <c r="AD773" s="130"/>
      <c r="AF773" s="106"/>
    </row>
    <row r="774">
      <c r="C774" s="79"/>
      <c r="D774" s="79"/>
      <c r="E774" s="79"/>
      <c r="O774" s="79"/>
      <c r="S774" s="79"/>
      <c r="T774" s="79"/>
      <c r="Y774" s="79"/>
      <c r="AD774" s="130"/>
      <c r="AF774" s="106"/>
    </row>
    <row r="775">
      <c r="C775" s="79"/>
      <c r="D775" s="79"/>
      <c r="E775" s="79"/>
      <c r="O775" s="79"/>
      <c r="S775" s="79"/>
      <c r="T775" s="79"/>
      <c r="Y775" s="79"/>
      <c r="AD775" s="130"/>
      <c r="AF775" s="106"/>
    </row>
    <row r="776">
      <c r="C776" s="79"/>
      <c r="D776" s="79"/>
      <c r="E776" s="79"/>
      <c r="O776" s="79"/>
      <c r="S776" s="79"/>
      <c r="T776" s="79"/>
      <c r="Y776" s="79"/>
      <c r="AD776" s="130"/>
      <c r="AF776" s="106"/>
    </row>
    <row r="777">
      <c r="C777" s="79"/>
      <c r="D777" s="79"/>
      <c r="E777" s="79"/>
      <c r="O777" s="79"/>
      <c r="S777" s="79"/>
      <c r="T777" s="79"/>
      <c r="Y777" s="79"/>
      <c r="AD777" s="130"/>
      <c r="AF777" s="106"/>
    </row>
    <row r="778">
      <c r="C778" s="79"/>
      <c r="D778" s="79"/>
      <c r="E778" s="79"/>
      <c r="O778" s="79"/>
      <c r="S778" s="79"/>
      <c r="T778" s="79"/>
      <c r="Y778" s="79"/>
      <c r="AD778" s="130"/>
      <c r="AF778" s="106"/>
    </row>
    <row r="779">
      <c r="C779" s="79"/>
      <c r="D779" s="79"/>
      <c r="E779" s="79"/>
      <c r="O779" s="79"/>
      <c r="S779" s="79"/>
      <c r="T779" s="79"/>
      <c r="Y779" s="79"/>
      <c r="AD779" s="130"/>
      <c r="AF779" s="106"/>
    </row>
    <row r="780">
      <c r="C780" s="79"/>
      <c r="D780" s="79"/>
      <c r="E780" s="79"/>
      <c r="O780" s="79"/>
      <c r="S780" s="79"/>
      <c r="T780" s="79"/>
      <c r="Y780" s="79"/>
      <c r="AD780" s="130"/>
      <c r="AF780" s="106"/>
    </row>
    <row r="781">
      <c r="C781" s="79"/>
      <c r="D781" s="79"/>
      <c r="E781" s="79"/>
      <c r="O781" s="79"/>
      <c r="S781" s="79"/>
      <c r="T781" s="79"/>
      <c r="Y781" s="79"/>
      <c r="AD781" s="130"/>
      <c r="AF781" s="106"/>
    </row>
    <row r="782">
      <c r="C782" s="79"/>
      <c r="D782" s="79"/>
      <c r="E782" s="79"/>
      <c r="O782" s="79"/>
      <c r="S782" s="79"/>
      <c r="T782" s="79"/>
      <c r="Y782" s="79"/>
      <c r="AD782" s="130"/>
      <c r="AF782" s="106"/>
    </row>
    <row r="783">
      <c r="C783" s="79"/>
      <c r="D783" s="79"/>
      <c r="E783" s="79"/>
      <c r="O783" s="79"/>
      <c r="S783" s="79"/>
      <c r="T783" s="79"/>
      <c r="Y783" s="79"/>
      <c r="AD783" s="130"/>
      <c r="AF783" s="106"/>
    </row>
    <row r="784">
      <c r="C784" s="79"/>
      <c r="D784" s="79"/>
      <c r="E784" s="79"/>
      <c r="O784" s="79"/>
      <c r="S784" s="79"/>
      <c r="T784" s="79"/>
      <c r="Y784" s="79"/>
      <c r="AD784" s="130"/>
      <c r="AF784" s="106"/>
    </row>
    <row r="785">
      <c r="C785" s="79"/>
      <c r="D785" s="79"/>
      <c r="E785" s="79"/>
      <c r="O785" s="79"/>
      <c r="S785" s="79"/>
      <c r="T785" s="79"/>
      <c r="Y785" s="79"/>
      <c r="AD785" s="130"/>
      <c r="AF785" s="106"/>
    </row>
    <row r="786">
      <c r="C786" s="79"/>
      <c r="D786" s="79"/>
      <c r="E786" s="79"/>
      <c r="O786" s="79"/>
      <c r="S786" s="79"/>
      <c r="T786" s="79"/>
      <c r="Y786" s="79"/>
      <c r="AD786" s="130"/>
      <c r="AF786" s="106"/>
    </row>
    <row r="787">
      <c r="C787" s="79"/>
      <c r="D787" s="79"/>
      <c r="E787" s="79"/>
      <c r="O787" s="79"/>
      <c r="S787" s="79"/>
      <c r="T787" s="79"/>
      <c r="Y787" s="79"/>
      <c r="AD787" s="130"/>
      <c r="AF787" s="106"/>
    </row>
    <row r="788">
      <c r="C788" s="79"/>
      <c r="D788" s="79"/>
      <c r="E788" s="79"/>
      <c r="O788" s="79"/>
      <c r="S788" s="79"/>
      <c r="T788" s="79"/>
      <c r="Y788" s="79"/>
      <c r="AD788" s="130"/>
      <c r="AF788" s="106"/>
    </row>
    <row r="789">
      <c r="C789" s="79"/>
      <c r="D789" s="79"/>
      <c r="E789" s="79"/>
      <c r="O789" s="79"/>
      <c r="S789" s="79"/>
      <c r="T789" s="79"/>
      <c r="Y789" s="79"/>
      <c r="AD789" s="130"/>
      <c r="AF789" s="106"/>
    </row>
    <row r="790">
      <c r="C790" s="79"/>
      <c r="D790" s="79"/>
      <c r="E790" s="79"/>
      <c r="O790" s="79"/>
      <c r="S790" s="79"/>
      <c r="T790" s="79"/>
      <c r="Y790" s="79"/>
      <c r="AD790" s="130"/>
      <c r="AF790" s="106"/>
    </row>
    <row r="791">
      <c r="C791" s="79"/>
      <c r="D791" s="79"/>
      <c r="E791" s="79"/>
      <c r="O791" s="79"/>
      <c r="S791" s="79"/>
      <c r="T791" s="79"/>
      <c r="Y791" s="79"/>
      <c r="AD791" s="130"/>
      <c r="AF791" s="106"/>
    </row>
    <row r="792">
      <c r="C792" s="79"/>
      <c r="D792" s="79"/>
      <c r="E792" s="79"/>
      <c r="O792" s="79"/>
      <c r="S792" s="79"/>
      <c r="T792" s="79"/>
      <c r="Y792" s="79"/>
      <c r="AD792" s="130"/>
      <c r="AF792" s="106"/>
    </row>
    <row r="793">
      <c r="C793" s="79"/>
      <c r="D793" s="79"/>
      <c r="E793" s="79"/>
      <c r="O793" s="79"/>
      <c r="S793" s="79"/>
      <c r="T793" s="79"/>
      <c r="Y793" s="79"/>
      <c r="AD793" s="130"/>
      <c r="AF793" s="106"/>
    </row>
    <row r="794">
      <c r="C794" s="79"/>
      <c r="D794" s="79"/>
      <c r="E794" s="79"/>
      <c r="O794" s="79"/>
      <c r="S794" s="79"/>
      <c r="T794" s="79"/>
      <c r="Y794" s="79"/>
      <c r="AD794" s="130"/>
      <c r="AF794" s="106"/>
    </row>
    <row r="795">
      <c r="C795" s="79"/>
      <c r="D795" s="79"/>
      <c r="E795" s="79"/>
      <c r="O795" s="79"/>
      <c r="S795" s="79"/>
      <c r="T795" s="79"/>
      <c r="Y795" s="79"/>
      <c r="AD795" s="130"/>
      <c r="AF795" s="106"/>
    </row>
    <row r="796">
      <c r="C796" s="79"/>
      <c r="D796" s="79"/>
      <c r="E796" s="79"/>
      <c r="O796" s="79"/>
      <c r="S796" s="79"/>
      <c r="T796" s="79"/>
      <c r="Y796" s="79"/>
      <c r="AD796" s="130"/>
      <c r="AF796" s="106"/>
    </row>
    <row r="797">
      <c r="C797" s="79"/>
      <c r="D797" s="79"/>
      <c r="E797" s="79"/>
      <c r="O797" s="79"/>
      <c r="S797" s="79"/>
      <c r="T797" s="79"/>
      <c r="Y797" s="79"/>
      <c r="AD797" s="130"/>
      <c r="AF797" s="106"/>
    </row>
    <row r="798">
      <c r="C798" s="79"/>
      <c r="D798" s="79"/>
      <c r="E798" s="79"/>
      <c r="O798" s="79"/>
      <c r="S798" s="79"/>
      <c r="T798" s="79"/>
      <c r="Y798" s="79"/>
      <c r="AD798" s="130"/>
      <c r="AF798" s="106"/>
    </row>
    <row r="799">
      <c r="C799" s="79"/>
      <c r="D799" s="79"/>
      <c r="E799" s="79"/>
      <c r="O799" s="79"/>
      <c r="S799" s="79"/>
      <c r="T799" s="79"/>
      <c r="Y799" s="79"/>
      <c r="AD799" s="130"/>
      <c r="AF799" s="106"/>
    </row>
    <row r="800">
      <c r="C800" s="79"/>
      <c r="D800" s="79"/>
      <c r="E800" s="79"/>
      <c r="O800" s="79"/>
      <c r="S800" s="79"/>
      <c r="T800" s="79"/>
      <c r="Y800" s="79"/>
      <c r="AD800" s="130"/>
      <c r="AF800" s="106"/>
    </row>
    <row r="801">
      <c r="C801" s="79"/>
      <c r="D801" s="79"/>
      <c r="E801" s="79"/>
      <c r="O801" s="79"/>
      <c r="S801" s="79"/>
      <c r="T801" s="79"/>
      <c r="Y801" s="79"/>
      <c r="AD801" s="130"/>
      <c r="AF801" s="106"/>
    </row>
    <row r="802">
      <c r="C802" s="79"/>
      <c r="D802" s="79"/>
      <c r="E802" s="79"/>
      <c r="O802" s="79"/>
      <c r="S802" s="79"/>
      <c r="T802" s="79"/>
      <c r="Y802" s="79"/>
      <c r="AD802" s="130"/>
      <c r="AF802" s="106"/>
    </row>
    <row r="803">
      <c r="C803" s="79"/>
      <c r="D803" s="79"/>
      <c r="E803" s="79"/>
      <c r="O803" s="79"/>
      <c r="S803" s="79"/>
      <c r="T803" s="79"/>
      <c r="Y803" s="79"/>
      <c r="AD803" s="130"/>
      <c r="AF803" s="106"/>
    </row>
    <row r="804">
      <c r="C804" s="79"/>
      <c r="D804" s="79"/>
      <c r="E804" s="79"/>
      <c r="O804" s="79"/>
      <c r="S804" s="79"/>
      <c r="T804" s="79"/>
      <c r="Y804" s="79"/>
      <c r="AD804" s="130"/>
      <c r="AF804" s="106"/>
    </row>
    <row r="805">
      <c r="C805" s="79"/>
      <c r="D805" s="79"/>
      <c r="E805" s="79"/>
      <c r="O805" s="79"/>
      <c r="S805" s="79"/>
      <c r="T805" s="79"/>
      <c r="Y805" s="79"/>
      <c r="AD805" s="130"/>
      <c r="AF805" s="106"/>
    </row>
    <row r="806">
      <c r="C806" s="79"/>
      <c r="D806" s="79"/>
      <c r="E806" s="79"/>
      <c r="O806" s="79"/>
      <c r="S806" s="79"/>
      <c r="T806" s="79"/>
      <c r="Y806" s="79"/>
      <c r="AD806" s="130"/>
      <c r="AF806" s="106"/>
    </row>
    <row r="807">
      <c r="C807" s="79"/>
      <c r="D807" s="79"/>
      <c r="E807" s="79"/>
      <c r="O807" s="79"/>
      <c r="S807" s="79"/>
      <c r="T807" s="79"/>
      <c r="Y807" s="79"/>
      <c r="AD807" s="130"/>
      <c r="AF807" s="106"/>
    </row>
    <row r="808">
      <c r="C808" s="79"/>
      <c r="D808" s="79"/>
      <c r="E808" s="79"/>
      <c r="O808" s="79"/>
      <c r="S808" s="79"/>
      <c r="T808" s="79"/>
      <c r="Y808" s="79"/>
      <c r="AD808" s="130"/>
      <c r="AF808" s="106"/>
    </row>
    <row r="809">
      <c r="C809" s="79"/>
      <c r="D809" s="79"/>
      <c r="E809" s="79"/>
      <c r="O809" s="79"/>
      <c r="S809" s="79"/>
      <c r="T809" s="79"/>
      <c r="Y809" s="79"/>
      <c r="AD809" s="130"/>
      <c r="AF809" s="106"/>
    </row>
    <row r="810">
      <c r="C810" s="79"/>
      <c r="D810" s="79"/>
      <c r="E810" s="79"/>
      <c r="O810" s="79"/>
      <c r="S810" s="79"/>
      <c r="T810" s="79"/>
      <c r="Y810" s="79"/>
      <c r="AD810" s="130"/>
      <c r="AF810" s="106"/>
    </row>
    <row r="811">
      <c r="C811" s="79"/>
      <c r="D811" s="79"/>
      <c r="E811" s="79"/>
      <c r="O811" s="79"/>
      <c r="S811" s="79"/>
      <c r="T811" s="79"/>
      <c r="Y811" s="79"/>
      <c r="AD811" s="130"/>
      <c r="AF811" s="106"/>
    </row>
    <row r="812">
      <c r="C812" s="79"/>
      <c r="D812" s="79"/>
      <c r="E812" s="79"/>
      <c r="O812" s="79"/>
      <c r="S812" s="79"/>
      <c r="T812" s="79"/>
      <c r="Y812" s="79"/>
      <c r="AD812" s="130"/>
      <c r="AF812" s="106"/>
    </row>
    <row r="813">
      <c r="C813" s="79"/>
      <c r="D813" s="79"/>
      <c r="E813" s="79"/>
      <c r="O813" s="79"/>
      <c r="S813" s="79"/>
      <c r="T813" s="79"/>
      <c r="Y813" s="79"/>
      <c r="AD813" s="130"/>
      <c r="AF813" s="106"/>
    </row>
    <row r="814">
      <c r="C814" s="79"/>
      <c r="D814" s="79"/>
      <c r="E814" s="79"/>
      <c r="O814" s="79"/>
      <c r="S814" s="79"/>
      <c r="T814" s="79"/>
      <c r="Y814" s="79"/>
      <c r="AD814" s="130"/>
      <c r="AF814" s="106"/>
    </row>
    <row r="815">
      <c r="C815" s="79"/>
      <c r="D815" s="79"/>
      <c r="E815" s="79"/>
      <c r="O815" s="79"/>
      <c r="S815" s="79"/>
      <c r="T815" s="79"/>
      <c r="Y815" s="79"/>
      <c r="AD815" s="130"/>
      <c r="AF815" s="106"/>
    </row>
    <row r="816">
      <c r="C816" s="79"/>
      <c r="D816" s="79"/>
      <c r="E816" s="79"/>
      <c r="O816" s="79"/>
      <c r="S816" s="79"/>
      <c r="T816" s="79"/>
      <c r="Y816" s="79"/>
      <c r="AD816" s="130"/>
      <c r="AF816" s="106"/>
    </row>
    <row r="817">
      <c r="C817" s="79"/>
      <c r="D817" s="79"/>
      <c r="E817" s="79"/>
      <c r="O817" s="79"/>
      <c r="S817" s="79"/>
      <c r="T817" s="79"/>
      <c r="Y817" s="79"/>
      <c r="AD817" s="130"/>
      <c r="AF817" s="106"/>
    </row>
    <row r="818">
      <c r="C818" s="79"/>
      <c r="D818" s="79"/>
      <c r="E818" s="79"/>
      <c r="O818" s="79"/>
      <c r="S818" s="79"/>
      <c r="T818" s="79"/>
      <c r="Y818" s="79"/>
      <c r="AD818" s="130"/>
      <c r="AF818" s="106"/>
    </row>
    <row r="819">
      <c r="C819" s="79"/>
      <c r="D819" s="79"/>
      <c r="E819" s="79"/>
      <c r="O819" s="79"/>
      <c r="S819" s="79"/>
      <c r="T819" s="79"/>
      <c r="Y819" s="79"/>
      <c r="AD819" s="130"/>
      <c r="AF819" s="106"/>
    </row>
    <row r="820">
      <c r="C820" s="79"/>
      <c r="D820" s="79"/>
      <c r="E820" s="79"/>
      <c r="O820" s="79"/>
      <c r="S820" s="79"/>
      <c r="T820" s="79"/>
      <c r="Y820" s="79"/>
      <c r="AD820" s="130"/>
      <c r="AF820" s="106"/>
    </row>
    <row r="821">
      <c r="C821" s="79"/>
      <c r="D821" s="79"/>
      <c r="E821" s="79"/>
      <c r="O821" s="79"/>
      <c r="S821" s="79"/>
      <c r="T821" s="79"/>
      <c r="Y821" s="79"/>
      <c r="AD821" s="130"/>
      <c r="AF821" s="106"/>
    </row>
    <row r="822">
      <c r="C822" s="79"/>
      <c r="D822" s="79"/>
      <c r="E822" s="79"/>
      <c r="O822" s="79"/>
      <c r="S822" s="79"/>
      <c r="T822" s="79"/>
      <c r="Y822" s="79"/>
      <c r="AD822" s="130"/>
      <c r="AF822" s="106"/>
    </row>
    <row r="823">
      <c r="C823" s="79"/>
      <c r="D823" s="79"/>
      <c r="E823" s="79"/>
      <c r="O823" s="79"/>
      <c r="S823" s="79"/>
      <c r="T823" s="79"/>
      <c r="Y823" s="79"/>
      <c r="AD823" s="130"/>
      <c r="AF823" s="106"/>
    </row>
    <row r="824">
      <c r="C824" s="79"/>
      <c r="D824" s="79"/>
      <c r="E824" s="79"/>
      <c r="O824" s="79"/>
      <c r="S824" s="79"/>
      <c r="T824" s="79"/>
      <c r="Y824" s="79"/>
      <c r="AD824" s="130"/>
      <c r="AF824" s="106"/>
    </row>
    <row r="825">
      <c r="C825" s="79"/>
      <c r="D825" s="79"/>
      <c r="E825" s="79"/>
      <c r="O825" s="79"/>
      <c r="S825" s="79"/>
      <c r="T825" s="79"/>
      <c r="Y825" s="79"/>
      <c r="AD825" s="130"/>
      <c r="AF825" s="106"/>
    </row>
    <row r="826">
      <c r="C826" s="79"/>
      <c r="D826" s="79"/>
      <c r="E826" s="79"/>
      <c r="O826" s="79"/>
      <c r="S826" s="79"/>
      <c r="T826" s="79"/>
      <c r="Y826" s="79"/>
      <c r="AD826" s="130"/>
      <c r="AF826" s="106"/>
    </row>
    <row r="827">
      <c r="C827" s="79"/>
      <c r="D827" s="79"/>
      <c r="E827" s="79"/>
      <c r="O827" s="79"/>
      <c r="S827" s="79"/>
      <c r="T827" s="79"/>
      <c r="Y827" s="79"/>
      <c r="AD827" s="130"/>
      <c r="AF827" s="106"/>
    </row>
    <row r="828">
      <c r="C828" s="79"/>
      <c r="D828" s="79"/>
      <c r="E828" s="79"/>
      <c r="O828" s="79"/>
      <c r="S828" s="79"/>
      <c r="T828" s="79"/>
      <c r="Y828" s="79"/>
      <c r="AD828" s="130"/>
      <c r="AF828" s="106"/>
    </row>
    <row r="829">
      <c r="C829" s="79"/>
      <c r="D829" s="79"/>
      <c r="E829" s="79"/>
      <c r="O829" s="79"/>
      <c r="S829" s="79"/>
      <c r="T829" s="79"/>
      <c r="Y829" s="79"/>
      <c r="AD829" s="130"/>
      <c r="AF829" s="106"/>
    </row>
    <row r="830">
      <c r="C830" s="79"/>
      <c r="D830" s="79"/>
      <c r="E830" s="79"/>
      <c r="O830" s="79"/>
      <c r="S830" s="79"/>
      <c r="T830" s="79"/>
      <c r="Y830" s="79"/>
      <c r="AD830" s="130"/>
      <c r="AF830" s="106"/>
    </row>
    <row r="831">
      <c r="C831" s="79"/>
      <c r="D831" s="79"/>
      <c r="E831" s="79"/>
      <c r="O831" s="79"/>
      <c r="S831" s="79"/>
      <c r="T831" s="79"/>
      <c r="Y831" s="79"/>
      <c r="AD831" s="130"/>
      <c r="AF831" s="106"/>
    </row>
    <row r="832">
      <c r="C832" s="79"/>
      <c r="D832" s="79"/>
      <c r="E832" s="79"/>
      <c r="O832" s="79"/>
      <c r="S832" s="79"/>
      <c r="T832" s="79"/>
      <c r="Y832" s="79"/>
      <c r="AD832" s="130"/>
      <c r="AF832" s="106"/>
    </row>
    <row r="833">
      <c r="C833" s="79"/>
      <c r="D833" s="79"/>
      <c r="E833" s="79"/>
      <c r="O833" s="79"/>
      <c r="S833" s="79"/>
      <c r="T833" s="79"/>
      <c r="Y833" s="79"/>
      <c r="AD833" s="130"/>
      <c r="AF833" s="106"/>
    </row>
    <row r="834">
      <c r="C834" s="79"/>
      <c r="D834" s="79"/>
      <c r="E834" s="79"/>
      <c r="O834" s="79"/>
      <c r="S834" s="79"/>
      <c r="T834" s="79"/>
      <c r="Y834" s="79"/>
      <c r="AD834" s="130"/>
      <c r="AF834" s="106"/>
    </row>
    <row r="835">
      <c r="C835" s="79"/>
      <c r="D835" s="79"/>
      <c r="E835" s="79"/>
      <c r="O835" s="79"/>
      <c r="S835" s="79"/>
      <c r="T835" s="79"/>
      <c r="Y835" s="79"/>
      <c r="AD835" s="130"/>
      <c r="AF835" s="106"/>
    </row>
    <row r="836">
      <c r="C836" s="79"/>
      <c r="D836" s="79"/>
      <c r="E836" s="79"/>
      <c r="O836" s="79"/>
      <c r="S836" s="79"/>
      <c r="T836" s="79"/>
      <c r="Y836" s="79"/>
      <c r="AD836" s="130"/>
      <c r="AF836" s="106"/>
    </row>
    <row r="837">
      <c r="C837" s="79"/>
      <c r="D837" s="79"/>
      <c r="E837" s="79"/>
      <c r="O837" s="79"/>
      <c r="S837" s="79"/>
      <c r="T837" s="79"/>
      <c r="Y837" s="79"/>
      <c r="AD837" s="130"/>
      <c r="AF837" s="106"/>
    </row>
    <row r="838">
      <c r="C838" s="79"/>
      <c r="D838" s="79"/>
      <c r="E838" s="79"/>
      <c r="O838" s="79"/>
      <c r="S838" s="79"/>
      <c r="T838" s="79"/>
      <c r="Y838" s="79"/>
      <c r="AD838" s="130"/>
      <c r="AF838" s="106"/>
    </row>
    <row r="839">
      <c r="C839" s="79"/>
      <c r="D839" s="79"/>
      <c r="E839" s="79"/>
      <c r="O839" s="79"/>
      <c r="S839" s="79"/>
      <c r="T839" s="79"/>
      <c r="Y839" s="79"/>
      <c r="AD839" s="130"/>
      <c r="AF839" s="106"/>
    </row>
    <row r="840">
      <c r="C840" s="79"/>
      <c r="D840" s="79"/>
      <c r="E840" s="79"/>
      <c r="O840" s="79"/>
      <c r="S840" s="79"/>
      <c r="T840" s="79"/>
      <c r="Y840" s="79"/>
      <c r="AD840" s="130"/>
      <c r="AF840" s="106"/>
    </row>
    <row r="841">
      <c r="C841" s="79"/>
      <c r="D841" s="79"/>
      <c r="E841" s="79"/>
      <c r="O841" s="79"/>
      <c r="S841" s="79"/>
      <c r="T841" s="79"/>
      <c r="Y841" s="79"/>
      <c r="AD841" s="130"/>
      <c r="AF841" s="106"/>
    </row>
    <row r="842">
      <c r="C842" s="79"/>
      <c r="D842" s="79"/>
      <c r="E842" s="79"/>
      <c r="O842" s="79"/>
      <c r="S842" s="79"/>
      <c r="T842" s="79"/>
      <c r="Y842" s="79"/>
      <c r="AD842" s="130"/>
      <c r="AF842" s="106"/>
    </row>
    <row r="843">
      <c r="C843" s="79"/>
      <c r="D843" s="79"/>
      <c r="E843" s="79"/>
      <c r="O843" s="79"/>
      <c r="S843" s="79"/>
      <c r="T843" s="79"/>
      <c r="Y843" s="79"/>
      <c r="AD843" s="130"/>
      <c r="AF843" s="106"/>
    </row>
    <row r="844">
      <c r="C844" s="79"/>
      <c r="D844" s="79"/>
      <c r="E844" s="79"/>
      <c r="O844" s="79"/>
      <c r="S844" s="79"/>
      <c r="T844" s="79"/>
      <c r="Y844" s="79"/>
      <c r="AD844" s="130"/>
      <c r="AF844" s="106"/>
    </row>
    <row r="845">
      <c r="C845" s="79"/>
      <c r="D845" s="79"/>
      <c r="E845" s="79"/>
      <c r="O845" s="79"/>
      <c r="S845" s="79"/>
      <c r="T845" s="79"/>
      <c r="Y845" s="79"/>
      <c r="AD845" s="130"/>
      <c r="AF845" s="106"/>
    </row>
    <row r="846">
      <c r="C846" s="79"/>
      <c r="D846" s="79"/>
      <c r="E846" s="79"/>
      <c r="O846" s="79"/>
      <c r="S846" s="79"/>
      <c r="T846" s="79"/>
      <c r="Y846" s="79"/>
      <c r="AD846" s="130"/>
      <c r="AF846" s="106"/>
    </row>
    <row r="847">
      <c r="C847" s="79"/>
      <c r="D847" s="79"/>
      <c r="E847" s="79"/>
      <c r="O847" s="79"/>
      <c r="S847" s="79"/>
      <c r="T847" s="79"/>
      <c r="Y847" s="79"/>
      <c r="AD847" s="130"/>
      <c r="AF847" s="106"/>
    </row>
    <row r="848">
      <c r="C848" s="79"/>
      <c r="D848" s="79"/>
      <c r="E848" s="79"/>
      <c r="O848" s="79"/>
      <c r="S848" s="79"/>
      <c r="T848" s="79"/>
      <c r="Y848" s="79"/>
      <c r="AD848" s="130"/>
      <c r="AF848" s="106"/>
    </row>
    <row r="849">
      <c r="C849" s="79"/>
      <c r="D849" s="79"/>
      <c r="E849" s="79"/>
      <c r="O849" s="79"/>
      <c r="S849" s="79"/>
      <c r="T849" s="79"/>
      <c r="Y849" s="79"/>
      <c r="AD849" s="130"/>
      <c r="AF849" s="106"/>
    </row>
    <row r="850">
      <c r="C850" s="79"/>
      <c r="D850" s="79"/>
      <c r="E850" s="79"/>
      <c r="O850" s="79"/>
      <c r="S850" s="79"/>
      <c r="T850" s="79"/>
      <c r="Y850" s="79"/>
      <c r="AD850" s="130"/>
      <c r="AF850" s="106"/>
    </row>
    <row r="851">
      <c r="C851" s="79"/>
      <c r="D851" s="79"/>
      <c r="E851" s="79"/>
      <c r="O851" s="79"/>
      <c r="S851" s="79"/>
      <c r="T851" s="79"/>
      <c r="Y851" s="79"/>
      <c r="AD851" s="130"/>
      <c r="AF851" s="106"/>
    </row>
    <row r="852">
      <c r="O852" s="79"/>
      <c r="S852" s="79"/>
      <c r="T852" s="79"/>
      <c r="Y852" s="79"/>
      <c r="AD852" s="130"/>
      <c r="AF852" s="106"/>
    </row>
    <row r="853">
      <c r="O853" s="79"/>
      <c r="S853" s="79"/>
      <c r="T853" s="79"/>
      <c r="Y853" s="79"/>
      <c r="AD853" s="130"/>
      <c r="AF853" s="106"/>
    </row>
    <row r="854">
      <c r="O854" s="79"/>
      <c r="S854" s="79"/>
      <c r="T854" s="79"/>
      <c r="Y854" s="79"/>
      <c r="AD854" s="130"/>
      <c r="AF854" s="106"/>
    </row>
    <row r="855">
      <c r="O855" s="79"/>
      <c r="S855" s="79"/>
      <c r="T855" s="79"/>
      <c r="Y855" s="79"/>
      <c r="AD855" s="130"/>
      <c r="AF855" s="106"/>
    </row>
    <row r="856">
      <c r="O856" s="79"/>
      <c r="S856" s="79"/>
      <c r="T856" s="79"/>
      <c r="Y856" s="79"/>
      <c r="AD856" s="130"/>
      <c r="AF856" s="106"/>
    </row>
    <row r="857">
      <c r="O857" s="79"/>
      <c r="S857" s="79"/>
      <c r="T857" s="79"/>
      <c r="Y857" s="79"/>
      <c r="AD857" s="130"/>
      <c r="AF857" s="106"/>
    </row>
  </sheetData>
  <autoFilter ref="$A$40:$F$68">
    <sortState ref="A40:F68">
      <sortCondition descending="1" sortBy="cellColor" ref="E40:E68" dxfId="1"/>
      <sortCondition descending="1" sortBy="cellColor" ref="C40:C68" dxfId="1"/>
      <sortCondition descending="1" sortBy="cellColor" ref="A40:A68" dxfId="1"/>
    </sortState>
  </autoFilter>
  <mergeCells count="1">
    <mergeCell ref="B37:E37"/>
  </mergeCells>
  <conditionalFormatting sqref="X41:X53">
    <cfRule type="cellIs" dxfId="2" priority="1" operator="greaterThanOrEqual">
      <formula>1</formula>
    </cfRule>
  </conditionalFormatting>
  <conditionalFormatting sqref="X41:X53">
    <cfRule type="cellIs" dxfId="3" priority="2" operator="lessThanOrEqual">
      <formula>0</formula>
    </cfRule>
  </conditionalFormatting>
  <drawing r:id="rId2"/>
  <legacyDrawing r:id="rId3"/>
  <tableParts count="1">
    <tablePart r:id="rId5"/>
  </tableParts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3" max="3" width="17.38"/>
    <col customWidth="1" min="4" max="4" width="25.75"/>
    <col customWidth="1" min="5" max="5" width="20.88"/>
    <col customWidth="1" min="6" max="6" width="15.5"/>
    <col customWidth="1" min="7" max="7" width="13.5"/>
    <col customWidth="1" min="8" max="8" width="24.0"/>
    <col customWidth="1" min="9" max="10" width="15.5"/>
    <col customWidth="1" min="11" max="11" width="16.5"/>
    <col customWidth="1" min="12" max="13" width="15.5"/>
    <col customWidth="1" min="15" max="15" width="27.38"/>
    <col customWidth="1" min="17" max="17" width="11.13"/>
    <col customWidth="1" min="26" max="26" width="14.63"/>
    <col customWidth="1" min="32" max="32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4</v>
      </c>
      <c r="J1" s="2" t="s">
        <v>5</v>
      </c>
      <c r="K1" s="2" t="s">
        <v>303</v>
      </c>
      <c r="L1" s="2" t="s">
        <v>6</v>
      </c>
      <c r="M1" s="2" t="s">
        <v>12</v>
      </c>
      <c r="N1" s="2" t="s">
        <v>49</v>
      </c>
      <c r="O1" s="105" t="s">
        <v>304</v>
      </c>
      <c r="P1" s="2" t="s">
        <v>37</v>
      </c>
      <c r="Q1" s="2" t="s">
        <v>10</v>
      </c>
      <c r="R1" s="2" t="s">
        <v>42</v>
      </c>
      <c r="S1" s="105" t="s">
        <v>656</v>
      </c>
      <c r="T1" s="105" t="s">
        <v>9</v>
      </c>
      <c r="U1" s="2" t="s">
        <v>164</v>
      </c>
      <c r="V1" s="105" t="s">
        <v>40</v>
      </c>
      <c r="W1" s="2" t="s">
        <v>83</v>
      </c>
      <c r="X1" s="2" t="s">
        <v>204</v>
      </c>
      <c r="Y1" s="105" t="s">
        <v>205</v>
      </c>
      <c r="Z1" s="2" t="s">
        <v>206</v>
      </c>
      <c r="AA1" s="2" t="s">
        <v>305</v>
      </c>
      <c r="AB1" s="3" t="s">
        <v>760</v>
      </c>
      <c r="AC1" s="3" t="s">
        <v>13</v>
      </c>
      <c r="AD1" s="3" t="s">
        <v>14</v>
      </c>
      <c r="AE1" s="3" t="s">
        <v>15</v>
      </c>
      <c r="AF1" s="106"/>
      <c r="AG1" s="265" t="s">
        <v>306</v>
      </c>
      <c r="AH1" s="266" t="s">
        <v>80</v>
      </c>
    </row>
    <row r="2">
      <c r="A2" s="74">
        <v>45600.0</v>
      </c>
      <c r="B2" s="93">
        <f>1022.63-52.2-29.82-111.42-101.44-17.69-370.11-162</f>
        <v>177.95</v>
      </c>
      <c r="C2" s="93"/>
      <c r="D2" s="180">
        <f>1409.57-D13</f>
        <v>1174.64</v>
      </c>
      <c r="E2" s="93"/>
      <c r="F2" s="93"/>
      <c r="G2" s="93">
        <v>180.0</v>
      </c>
      <c r="H2" s="93"/>
      <c r="I2" s="93"/>
      <c r="J2" s="374"/>
      <c r="K2" s="93"/>
      <c r="L2" s="93"/>
      <c r="M2" s="5"/>
      <c r="N2" s="93"/>
      <c r="O2" s="93"/>
      <c r="P2" s="72"/>
      <c r="Q2" s="93"/>
      <c r="R2" s="93"/>
      <c r="S2" s="93"/>
      <c r="T2" s="93"/>
      <c r="U2" s="93"/>
      <c r="V2" s="93"/>
      <c r="W2" s="93"/>
      <c r="X2" s="93"/>
      <c r="Y2" s="93"/>
      <c r="Z2" s="93"/>
      <c r="AA2" s="386"/>
      <c r="AB2" s="171"/>
      <c r="AC2" s="107">
        <f>SUM(B2:AA2)</f>
        <v>1532.59</v>
      </c>
      <c r="AD2" s="158">
        <v>0.0</v>
      </c>
      <c r="AE2" s="59" t="str">
        <f t="shared" ref="AE2:AE8" si="1">AC2/AD2</f>
        <v>#DIV/0!</v>
      </c>
      <c r="AF2" s="109">
        <f t="shared" ref="AF2:AF8" si="2">A2</f>
        <v>45600</v>
      </c>
      <c r="AG2" s="267"/>
      <c r="AH2" s="268">
        <f t="shared" ref="AH2:AH8" si="3">AD2-AG2</f>
        <v>0</v>
      </c>
    </row>
    <row r="3">
      <c r="A3" s="74">
        <f t="shared" ref="A3:A8" si="4">A2+1</f>
        <v>45601</v>
      </c>
      <c r="B3" s="93">
        <f>633.13-193.44</f>
        <v>439.69</v>
      </c>
      <c r="C3" s="250">
        <v>543.15</v>
      </c>
      <c r="D3" s="93">
        <f>230.7-43.3</f>
        <v>187.4</v>
      </c>
      <c r="E3" s="93">
        <v>98.5</v>
      </c>
      <c r="F3" s="93"/>
      <c r="G3" s="93"/>
      <c r="H3" s="168"/>
      <c r="I3" s="93">
        <f>284.84-214.56+6.62</f>
        <v>76.9</v>
      </c>
      <c r="J3" s="93"/>
      <c r="K3" s="93"/>
      <c r="L3" s="93"/>
      <c r="M3" s="93"/>
      <c r="N3" s="93">
        <v>168.0</v>
      </c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326"/>
      <c r="AB3" s="171"/>
      <c r="AC3" s="107">
        <f t="shared" ref="AC3:AC8" si="5">SUM(B3:Z3)</f>
        <v>1513.64</v>
      </c>
      <c r="AD3" s="158">
        <v>2294.0</v>
      </c>
      <c r="AE3" s="59">
        <f t="shared" si="1"/>
        <v>0.6598256321</v>
      </c>
      <c r="AF3" s="109">
        <f t="shared" si="2"/>
        <v>45601</v>
      </c>
      <c r="AG3" s="267"/>
      <c r="AH3" s="268">
        <f t="shared" si="3"/>
        <v>2294</v>
      </c>
    </row>
    <row r="4">
      <c r="A4" s="74">
        <f t="shared" si="4"/>
        <v>45602</v>
      </c>
      <c r="B4" s="93">
        <f>907.2-69.64-7.31-16.45-73.66-41.65-44.07-24.44-28.1-34.82-27.04-17.19-13.11-13.43</f>
        <v>496.29</v>
      </c>
      <c r="C4" s="93">
        <f>89.9+5.8</f>
        <v>95.7</v>
      </c>
      <c r="D4" s="93"/>
      <c r="E4" s="93"/>
      <c r="F4" s="93"/>
      <c r="G4" s="93">
        <v>180.0</v>
      </c>
      <c r="H4" s="168"/>
      <c r="I4" s="93">
        <f>153.97+7.95</f>
        <v>161.92</v>
      </c>
      <c r="J4" s="93">
        <v>284.9</v>
      </c>
      <c r="K4" s="93"/>
      <c r="L4" s="93"/>
      <c r="M4" s="93"/>
      <c r="N4" s="93"/>
      <c r="O4" s="93"/>
      <c r="P4" s="160"/>
      <c r="Q4" s="93">
        <v>61.9</v>
      </c>
      <c r="R4" s="93"/>
      <c r="S4" s="93"/>
      <c r="T4" s="93"/>
      <c r="U4" s="93"/>
      <c r="V4" s="93"/>
      <c r="W4" s="93"/>
      <c r="X4" s="93"/>
      <c r="Y4" s="93"/>
      <c r="Z4" s="101"/>
      <c r="AA4" s="326"/>
      <c r="AB4" s="171"/>
      <c r="AC4" s="107">
        <f t="shared" si="5"/>
        <v>1280.71</v>
      </c>
      <c r="AD4" s="380">
        <v>3639.0</v>
      </c>
      <c r="AE4" s="59">
        <f t="shared" si="1"/>
        <v>0.3519400934</v>
      </c>
      <c r="AF4" s="109">
        <f t="shared" si="2"/>
        <v>45602</v>
      </c>
      <c r="AG4" s="267"/>
      <c r="AH4" s="268">
        <f t="shared" si="3"/>
        <v>3639</v>
      </c>
    </row>
    <row r="5">
      <c r="A5" s="74">
        <f t="shared" si="4"/>
        <v>45603</v>
      </c>
      <c r="B5" s="93">
        <f>633.15-20.78-22.67-27.23-26-46.91-24.91-9.31-9.83-18.4+20</f>
        <v>447.11</v>
      </c>
      <c r="C5" s="93">
        <f>9.4+75+33</f>
        <v>117.4</v>
      </c>
      <c r="D5" s="93">
        <f>175.45-66.03+5</f>
        <v>114.42</v>
      </c>
      <c r="E5" s="93"/>
      <c r="F5" s="93"/>
      <c r="G5" s="93"/>
      <c r="H5" s="160"/>
      <c r="I5" s="93"/>
      <c r="J5" s="93"/>
      <c r="K5" s="93"/>
      <c r="L5" s="93"/>
      <c r="M5" s="93"/>
      <c r="N5" s="93"/>
      <c r="O5" s="250">
        <v>76.0</v>
      </c>
      <c r="P5" s="93"/>
      <c r="Q5" s="93"/>
      <c r="R5" s="93"/>
      <c r="S5" s="101"/>
      <c r="T5" s="93"/>
      <c r="U5" s="93"/>
      <c r="V5" s="93"/>
      <c r="W5" s="93"/>
      <c r="X5" s="93"/>
      <c r="Y5" s="101"/>
      <c r="Z5" s="101"/>
      <c r="AA5" s="327"/>
      <c r="AB5" s="270"/>
      <c r="AC5" s="7">
        <f t="shared" si="5"/>
        <v>754.93</v>
      </c>
      <c r="AD5" s="380">
        <v>10835.0</v>
      </c>
      <c r="AE5" s="59">
        <f t="shared" si="1"/>
        <v>0.0696751269</v>
      </c>
      <c r="AF5" s="109">
        <f t="shared" si="2"/>
        <v>45603</v>
      </c>
      <c r="AG5" s="267"/>
      <c r="AH5" s="268">
        <f t="shared" si="3"/>
        <v>10835</v>
      </c>
    </row>
    <row r="6">
      <c r="A6" s="74">
        <f t="shared" si="4"/>
        <v>45604</v>
      </c>
      <c r="B6" s="93">
        <f>652.7-36.83-16.31-9.97-13.92-66.68-52.07+136.77+34.35</f>
        <v>628.04</v>
      </c>
      <c r="C6" s="361">
        <f>152.65-112.5-5.8</f>
        <v>34.35</v>
      </c>
      <c r="D6" s="93"/>
      <c r="E6" s="93">
        <v>22.5</v>
      </c>
      <c r="F6" s="93"/>
      <c r="G6" s="93"/>
      <c r="H6" s="160"/>
      <c r="I6" s="93"/>
      <c r="J6" s="180">
        <f>396-99</f>
        <v>297</v>
      </c>
      <c r="K6" s="93"/>
      <c r="L6" s="93"/>
      <c r="M6" s="93"/>
      <c r="N6" s="93"/>
      <c r="O6" s="93"/>
      <c r="P6" s="93"/>
      <c r="Q6" s="93"/>
      <c r="R6" s="93"/>
      <c r="S6" s="93"/>
      <c r="T6" s="374"/>
      <c r="U6" s="93"/>
      <c r="V6" s="93"/>
      <c r="W6" s="93"/>
      <c r="X6" s="93"/>
      <c r="Y6" s="93"/>
      <c r="Z6" s="93"/>
      <c r="AA6" s="327"/>
      <c r="AB6" s="270"/>
      <c r="AC6" s="7">
        <f t="shared" si="5"/>
        <v>981.89</v>
      </c>
      <c r="AD6" s="380">
        <v>9829.0</v>
      </c>
      <c r="AE6" s="59">
        <f t="shared" si="1"/>
        <v>0.09989724285</v>
      </c>
      <c r="AF6" s="109">
        <f t="shared" si="2"/>
        <v>45604</v>
      </c>
      <c r="AG6" s="267"/>
      <c r="AH6" s="268">
        <f t="shared" si="3"/>
        <v>9829</v>
      </c>
    </row>
    <row r="7">
      <c r="A7" s="74">
        <f t="shared" si="4"/>
        <v>45605</v>
      </c>
      <c r="B7" s="93">
        <f>586.91-25.72-67.81-47.2-17.99-13.49</f>
        <v>414.7</v>
      </c>
      <c r="C7" s="361">
        <f>414.7-193.8</f>
        <v>220.9</v>
      </c>
      <c r="D7" s="241">
        <v>252.32</v>
      </c>
      <c r="E7" s="79"/>
      <c r="F7" s="93"/>
      <c r="G7" s="93"/>
      <c r="H7" s="93"/>
      <c r="I7" s="93"/>
      <c r="J7" s="93"/>
      <c r="K7" s="93"/>
      <c r="L7" s="93"/>
      <c r="M7" s="93"/>
      <c r="N7" s="93">
        <v>84.0</v>
      </c>
      <c r="O7" s="93"/>
      <c r="P7" s="402"/>
      <c r="Q7" s="93"/>
      <c r="R7" s="93"/>
      <c r="S7" s="101"/>
      <c r="T7" s="93"/>
      <c r="U7" s="93"/>
      <c r="V7" s="93"/>
      <c r="W7" s="93"/>
      <c r="X7" s="93"/>
      <c r="Y7" s="101"/>
      <c r="Z7" s="93"/>
      <c r="AA7" s="327"/>
      <c r="AB7" s="270"/>
      <c r="AC7" s="7">
        <f t="shared" si="5"/>
        <v>971.92</v>
      </c>
      <c r="AD7" s="380">
        <v>11436.8</v>
      </c>
      <c r="AE7" s="59">
        <f t="shared" si="1"/>
        <v>0.08498181309</v>
      </c>
      <c r="AF7" s="109">
        <f t="shared" si="2"/>
        <v>45605</v>
      </c>
      <c r="AG7" s="267"/>
      <c r="AH7" s="268">
        <f t="shared" si="3"/>
        <v>11436.8</v>
      </c>
    </row>
    <row r="8">
      <c r="A8" s="74">
        <f t="shared" si="4"/>
        <v>45606</v>
      </c>
      <c r="B8" s="93"/>
      <c r="C8" s="374"/>
      <c r="D8" s="180">
        <v>250.45</v>
      </c>
      <c r="E8" s="374"/>
      <c r="F8" s="344">
        <v>446.9</v>
      </c>
      <c r="G8" s="10"/>
      <c r="H8" s="180">
        <f>734.24-367.12</f>
        <v>367.12</v>
      </c>
      <c r="I8" s="374"/>
      <c r="J8" s="180">
        <v>543.2</v>
      </c>
      <c r="K8" s="180">
        <v>0.0</v>
      </c>
      <c r="L8" s="112"/>
      <c r="M8" s="112"/>
      <c r="N8" s="93"/>
      <c r="O8" s="93"/>
      <c r="P8" s="93"/>
      <c r="Q8" s="93"/>
      <c r="R8" s="374"/>
      <c r="S8" s="101"/>
      <c r="T8" s="374">
        <v>565.0</v>
      </c>
      <c r="U8" s="344">
        <f>310</f>
        <v>310</v>
      </c>
      <c r="V8" s="112"/>
      <c r="W8" s="112"/>
      <c r="X8" s="112"/>
      <c r="Y8" s="112"/>
      <c r="Z8" s="112"/>
      <c r="AA8" s="93"/>
      <c r="AB8" s="7"/>
      <c r="AC8" s="7">
        <f t="shared" si="5"/>
        <v>2482.67</v>
      </c>
      <c r="AD8" s="380">
        <v>0.0</v>
      </c>
      <c r="AE8" s="59" t="str">
        <f t="shared" si="1"/>
        <v>#DIV/0!</v>
      </c>
      <c r="AF8" s="109">
        <f t="shared" si="2"/>
        <v>45606</v>
      </c>
      <c r="AG8" s="267"/>
      <c r="AH8" s="268">
        <f t="shared" si="3"/>
        <v>0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AD9" s="129"/>
      <c r="AF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AD10" s="129"/>
      <c r="AF10" s="106"/>
    </row>
    <row r="11">
      <c r="A11" s="165" t="s">
        <v>194</v>
      </c>
      <c r="B11" s="93">
        <f>193.44+16.45+44.07+24.44+13.43+20.78+22.67+27.23+9.97+13.92+66.68</f>
        <v>453.08</v>
      </c>
      <c r="C11" s="93">
        <f>39</f>
        <v>39</v>
      </c>
      <c r="D11" s="93">
        <f>43.3+66.03</f>
        <v>109.33</v>
      </c>
      <c r="E11" s="167"/>
      <c r="F11" s="168"/>
      <c r="G11" s="168"/>
      <c r="H11" s="166"/>
      <c r="I11" s="166"/>
      <c r="J11" s="93"/>
      <c r="K11" s="168"/>
      <c r="L11" s="93"/>
      <c r="M11" s="93"/>
      <c r="N11" s="93"/>
      <c r="O11" s="168"/>
      <c r="P11" s="168"/>
      <c r="Q11" s="168"/>
      <c r="R11" s="168"/>
      <c r="S11" s="168"/>
      <c r="T11" s="168"/>
      <c r="U11" s="168"/>
      <c r="V11" s="168"/>
      <c r="W11" s="1"/>
      <c r="X11" s="168"/>
      <c r="Y11" s="168"/>
      <c r="Z11" s="1"/>
      <c r="AA11" s="1"/>
      <c r="AB11" s="1"/>
      <c r="AC11" s="1"/>
      <c r="AD11" s="169"/>
      <c r="AE11" s="1"/>
      <c r="AF11" s="170"/>
    </row>
    <row r="12">
      <c r="A12" s="165" t="s">
        <v>195</v>
      </c>
      <c r="B12" s="203">
        <f>111.42+370.11+162+69.64+7.31+73.66+41.65+28.1+34.82+27.04+17.19+13.11+26+46.91+24.91+9.31+9.83+18.4+36.83+16.31+52.07+25.72+67.81+47.2+17.99+13.49</f>
        <v>1368.83</v>
      </c>
      <c r="C12" s="93">
        <v>112.5</v>
      </c>
      <c r="D12" s="93">
        <v>258.2</v>
      </c>
      <c r="E12" s="93"/>
      <c r="F12" s="374"/>
      <c r="G12" s="93"/>
      <c r="H12" s="93"/>
      <c r="I12" s="93"/>
      <c r="J12" s="93">
        <v>198.0</v>
      </c>
      <c r="K12" s="79"/>
      <c r="L12" s="93"/>
      <c r="M12" s="93"/>
      <c r="N12" s="93">
        <f>72+78</f>
        <v>150</v>
      </c>
      <c r="O12" s="168"/>
      <c r="P12" s="168"/>
      <c r="Q12" s="166"/>
      <c r="R12" s="166"/>
      <c r="S12" s="93"/>
      <c r="T12" s="166"/>
      <c r="U12" s="168"/>
      <c r="V12" s="168"/>
      <c r="W12" s="1"/>
      <c r="X12" s="93"/>
      <c r="Y12" s="168"/>
      <c r="Z12" s="1"/>
      <c r="AA12" s="1"/>
      <c r="AB12" s="6">
        <f>J59</f>
        <v>3412.163333</v>
      </c>
      <c r="AC12" s="1"/>
      <c r="AD12" s="171"/>
      <c r="AE12" s="1"/>
      <c r="AF12" s="170"/>
    </row>
    <row r="13">
      <c r="A13" s="172" t="s">
        <v>807</v>
      </c>
      <c r="B13" s="93">
        <f>52.2+29.82+101.44+17.69</f>
        <v>201.15</v>
      </c>
      <c r="C13" s="93">
        <v>59.99</v>
      </c>
      <c r="D13" s="180">
        <v>234.93</v>
      </c>
      <c r="E13" s="93"/>
      <c r="F13" s="374"/>
      <c r="G13" s="93"/>
      <c r="H13" s="180">
        <f>734.24-367.12</f>
        <v>367.12</v>
      </c>
      <c r="I13" s="93">
        <v>214.56</v>
      </c>
      <c r="J13" s="93"/>
      <c r="K13" s="374"/>
      <c r="L13" s="93"/>
      <c r="M13" s="93"/>
      <c r="N13" s="93"/>
      <c r="O13" s="166"/>
      <c r="P13" s="168"/>
      <c r="Q13" s="93"/>
      <c r="R13" s="166"/>
      <c r="S13" s="168"/>
      <c r="T13" s="166"/>
      <c r="U13" s="93"/>
      <c r="V13" s="168"/>
      <c r="W13" s="1"/>
      <c r="X13" s="93"/>
      <c r="Y13" s="168"/>
      <c r="Z13" s="1"/>
      <c r="AA13" s="1"/>
      <c r="AB13" s="1"/>
      <c r="AC13" s="1"/>
      <c r="AD13" s="171"/>
      <c r="AE13" s="1"/>
      <c r="AF13" s="170"/>
    </row>
    <row r="14">
      <c r="A14" s="165" t="s">
        <v>198</v>
      </c>
      <c r="B14" s="93"/>
      <c r="C14" s="348"/>
      <c r="D14" s="93"/>
      <c r="E14" s="168"/>
      <c r="F14" s="166"/>
      <c r="G14" s="166"/>
      <c r="H14" s="168"/>
      <c r="I14" s="168"/>
      <c r="J14" s="93"/>
      <c r="K14" s="168"/>
      <c r="L14" s="168"/>
      <c r="M14" s="168"/>
      <c r="N14" s="93"/>
      <c r="O14" s="168"/>
      <c r="P14" s="168"/>
      <c r="Q14" s="166"/>
      <c r="R14" s="168"/>
      <c r="S14" s="168"/>
      <c r="T14" s="168"/>
      <c r="U14" s="1"/>
      <c r="V14" s="1"/>
      <c r="W14" s="1"/>
      <c r="X14" s="168"/>
      <c r="Y14" s="168"/>
      <c r="Z14" s="1"/>
      <c r="AA14" s="1"/>
      <c r="AB14" s="1"/>
      <c r="AC14" s="1"/>
      <c r="AD14" s="174"/>
      <c r="AE14" s="1"/>
      <c r="AF14" s="170"/>
    </row>
    <row r="15">
      <c r="A15" s="91"/>
      <c r="B15" s="375"/>
      <c r="C15" s="79"/>
      <c r="D15" s="79"/>
      <c r="E15" s="79"/>
      <c r="F15" s="78"/>
      <c r="G15" s="78"/>
      <c r="H15" s="79"/>
      <c r="I15" s="78"/>
      <c r="J15" s="79"/>
      <c r="K15" s="79"/>
      <c r="L15" s="79"/>
      <c r="M15" s="79"/>
      <c r="N15" s="79"/>
      <c r="O15" s="79"/>
      <c r="R15" s="79"/>
      <c r="S15" s="79"/>
      <c r="T15" s="198"/>
      <c r="U15" s="198"/>
      <c r="Y15" s="79"/>
      <c r="AD15" s="131"/>
      <c r="AF15" s="106"/>
    </row>
    <row r="16">
      <c r="A16" s="91"/>
      <c r="B16" s="375"/>
      <c r="C16" s="79"/>
      <c r="D16" s="78"/>
      <c r="E16" s="78"/>
      <c r="F16" s="201"/>
      <c r="G16" s="199"/>
      <c r="H16" s="192"/>
      <c r="I16" s="198"/>
      <c r="J16" s="201"/>
      <c r="K16" s="199"/>
      <c r="L16" s="199"/>
      <c r="M16" s="200"/>
      <c r="N16" s="202"/>
      <c r="O16" s="198"/>
      <c r="R16" s="198"/>
      <c r="S16" s="79"/>
      <c r="T16" s="198"/>
      <c r="U16" s="198"/>
      <c r="V16" s="198"/>
      <c r="W16" s="198"/>
      <c r="X16" s="199"/>
      <c r="Y16" s="79"/>
      <c r="AD16" s="131"/>
      <c r="AF16" s="106"/>
    </row>
    <row r="17">
      <c r="A17" s="4" t="s">
        <v>22</v>
      </c>
      <c r="B17" s="11">
        <v>7000.0</v>
      </c>
      <c r="C17" s="79"/>
      <c r="D17" s="78"/>
      <c r="E17" s="78"/>
      <c r="G17" s="224"/>
      <c r="H17" s="192"/>
      <c r="I17" s="203"/>
      <c r="J17" s="203"/>
      <c r="K17" s="203"/>
      <c r="L17" s="203"/>
      <c r="M17" s="198"/>
      <c r="N17" s="200"/>
      <c r="O17" s="198"/>
      <c r="P17" s="204"/>
      <c r="R17" s="203"/>
      <c r="S17" s="427"/>
      <c r="T17" s="201"/>
      <c r="U17" s="198"/>
      <c r="V17" s="198"/>
      <c r="W17" s="198"/>
      <c r="X17" s="201"/>
      <c r="Y17" s="79"/>
      <c r="AD17" s="131"/>
      <c r="AF17" s="106"/>
    </row>
    <row r="18">
      <c r="A18" s="4" t="s">
        <v>23</v>
      </c>
      <c r="B18" s="12">
        <f>SUM(B2:AA8)</f>
        <v>9518.35</v>
      </c>
      <c r="C18" s="192"/>
      <c r="D18" s="78"/>
      <c r="E18" s="78"/>
      <c r="F18" s="204"/>
      <c r="G18" s="224"/>
      <c r="H18" s="38"/>
      <c r="I18" s="175"/>
      <c r="J18" s="203"/>
      <c r="K18" s="203"/>
      <c r="L18" s="203"/>
      <c r="M18" s="201"/>
      <c r="N18" s="201"/>
      <c r="O18" s="198"/>
      <c r="P18" s="204"/>
      <c r="R18" s="203"/>
      <c r="S18" s="79"/>
      <c r="T18" s="201"/>
      <c r="U18" s="201"/>
      <c r="V18" s="198"/>
      <c r="W18" s="198"/>
      <c r="X18" s="191"/>
      <c r="Y18" s="79"/>
      <c r="AD18" s="131"/>
      <c r="AF18" s="106"/>
    </row>
    <row r="19">
      <c r="A19" s="4" t="s">
        <v>24</v>
      </c>
      <c r="B19" s="12">
        <f> SUM(B17-B18)</f>
        <v>-2518.35</v>
      </c>
      <c r="C19" s="79"/>
      <c r="D19" s="78"/>
      <c r="E19" s="151"/>
      <c r="F19" s="204"/>
      <c r="G19" s="224"/>
      <c r="H19" s="224"/>
      <c r="I19" s="203"/>
      <c r="J19" s="203"/>
      <c r="K19" s="203"/>
      <c r="L19" s="203"/>
      <c r="M19" s="201"/>
      <c r="N19" s="200"/>
      <c r="O19" s="198"/>
      <c r="P19" s="204"/>
      <c r="R19" s="203"/>
      <c r="S19" s="79"/>
      <c r="T19" s="210"/>
      <c r="U19" s="210"/>
      <c r="V19" s="198"/>
      <c r="W19" s="198"/>
      <c r="X19" s="203"/>
      <c r="Y19" s="79"/>
      <c r="AD19" s="131"/>
      <c r="AF19" s="106"/>
    </row>
    <row r="20">
      <c r="C20" s="79"/>
      <c r="E20" s="439" t="s">
        <v>195</v>
      </c>
      <c r="F20" s="558"/>
      <c r="G20" s="224"/>
      <c r="H20" s="224"/>
      <c r="I20" s="345"/>
      <c r="J20" s="203"/>
      <c r="K20" s="203"/>
      <c r="L20" s="203"/>
      <c r="N20" s="198"/>
      <c r="O20" s="198"/>
      <c r="P20" s="204"/>
      <c r="R20" s="203"/>
      <c r="S20" s="79"/>
      <c r="T20" s="198"/>
      <c r="U20" s="428"/>
      <c r="V20" s="198"/>
      <c r="W20" s="198"/>
      <c r="X20" s="203"/>
      <c r="Y20" s="79"/>
      <c r="AD20" s="131"/>
      <c r="AF20" s="106"/>
    </row>
    <row r="21">
      <c r="A21" s="13" t="s">
        <v>25</v>
      </c>
      <c r="B21" s="14">
        <f>SUM(AD2:AD8)</f>
        <v>38033.8</v>
      </c>
      <c r="C21" s="79"/>
      <c r="D21" s="13" t="s">
        <v>724</v>
      </c>
      <c r="E21" s="442">
        <f>sum(B12:AB13)</f>
        <v>6577.443333</v>
      </c>
      <c r="F21" s="559">
        <v>6382.0</v>
      </c>
      <c r="G21" s="224"/>
      <c r="H21" s="224"/>
      <c r="I21" s="203"/>
      <c r="J21" s="203"/>
      <c r="K21" s="203"/>
      <c r="L21" s="203"/>
      <c r="M21" s="203"/>
      <c r="N21" s="198"/>
      <c r="O21" s="198"/>
      <c r="P21" s="204"/>
      <c r="R21" s="203"/>
      <c r="S21" s="79"/>
      <c r="T21" s="198"/>
      <c r="U21" s="198"/>
      <c r="V21" s="198"/>
      <c r="W21" s="198"/>
      <c r="X21" s="203"/>
      <c r="Y21" s="79"/>
      <c r="AD21" s="181"/>
      <c r="AF21" s="106"/>
    </row>
    <row r="22">
      <c r="A22" s="13" t="s">
        <v>26</v>
      </c>
      <c r="B22" s="15">
        <f>B18/B21</f>
        <v>0.2502602948</v>
      </c>
      <c r="C22" s="79"/>
      <c r="D22" s="13" t="s">
        <v>25</v>
      </c>
      <c r="E22" s="445">
        <f>2145+1794+2899+3316+5163</f>
        <v>15317</v>
      </c>
      <c r="F22" s="560">
        <v>14213.0</v>
      </c>
      <c r="G22" s="224"/>
      <c r="H22" s="224"/>
      <c r="I22" s="203"/>
      <c r="J22" s="203"/>
      <c r="K22" s="203"/>
      <c r="L22" s="203"/>
      <c r="M22" s="203"/>
      <c r="N22" s="203"/>
      <c r="O22" s="198"/>
      <c r="P22" s="204"/>
      <c r="R22" s="203"/>
      <c r="S22" s="79"/>
      <c r="T22" s="198"/>
      <c r="U22" s="198"/>
      <c r="V22" s="198"/>
      <c r="W22" s="198"/>
      <c r="X22" s="203"/>
      <c r="Y22" s="79"/>
      <c r="AD22" s="130"/>
      <c r="AF22" s="106"/>
    </row>
    <row r="23">
      <c r="C23" s="79"/>
      <c r="D23" s="448" t="s">
        <v>26</v>
      </c>
      <c r="E23" s="449">
        <f t="shared" ref="E23:F23" si="6">E21/E22</f>
        <v>0.4294211225</v>
      </c>
      <c r="F23" s="561">
        <f t="shared" si="6"/>
        <v>0.44902554</v>
      </c>
      <c r="H23" s="224"/>
      <c r="I23" s="78"/>
      <c r="J23" s="203"/>
      <c r="K23" s="203"/>
      <c r="L23" s="203"/>
      <c r="M23" s="203"/>
      <c r="N23" s="201"/>
      <c r="O23" s="198"/>
      <c r="P23" s="204"/>
      <c r="R23" s="198"/>
      <c r="S23" s="79"/>
      <c r="T23" s="198"/>
      <c r="U23" s="198"/>
      <c r="V23" s="198"/>
      <c r="W23" s="198"/>
      <c r="X23" s="203"/>
      <c r="Y23" s="79"/>
      <c r="AD23" s="182"/>
      <c r="AF23" s="106"/>
    </row>
    <row r="24">
      <c r="C24" s="79"/>
      <c r="D24" s="79"/>
      <c r="E24" s="79"/>
      <c r="F24" s="204"/>
      <c r="G24" s="192"/>
      <c r="H24" s="213"/>
      <c r="I24" s="203"/>
      <c r="J24" s="212"/>
      <c r="K24" s="203"/>
      <c r="L24" s="203"/>
      <c r="M24" s="203"/>
      <c r="N24" s="201"/>
      <c r="O24" s="198"/>
      <c r="P24" s="204"/>
      <c r="R24" s="198"/>
      <c r="S24" s="79"/>
      <c r="T24" s="198"/>
      <c r="U24" s="198"/>
      <c r="V24" s="198"/>
      <c r="W24" s="198"/>
      <c r="X24" s="203"/>
      <c r="Y24" s="79"/>
      <c r="AD24" s="130"/>
      <c r="AF24" s="106"/>
    </row>
    <row r="25">
      <c r="A25" s="16" t="s">
        <v>27</v>
      </c>
      <c r="B25" s="17"/>
      <c r="C25" s="114"/>
      <c r="D25" s="114"/>
      <c r="E25" s="115"/>
      <c r="F25" s="204"/>
      <c r="G25" s="78"/>
      <c r="H25" s="224"/>
      <c r="I25" s="78"/>
      <c r="J25" s="79"/>
      <c r="K25" s="203"/>
      <c r="L25" s="217"/>
      <c r="M25" s="208"/>
      <c r="N25" s="198"/>
      <c r="O25" s="198"/>
      <c r="P25" s="204"/>
      <c r="R25" s="200"/>
      <c r="S25" s="79"/>
      <c r="T25" s="198"/>
      <c r="U25" s="198"/>
      <c r="V25" s="198"/>
      <c r="W25" s="198"/>
      <c r="X25" s="203"/>
      <c r="Y25" s="79"/>
      <c r="AD25" s="130"/>
      <c r="AF25" s="106"/>
    </row>
    <row r="26">
      <c r="A26" s="19" t="s">
        <v>28</v>
      </c>
      <c r="B26" s="20"/>
      <c r="C26" s="116"/>
      <c r="D26" s="116"/>
      <c r="E26" s="117"/>
      <c r="F26" s="204"/>
      <c r="G26" s="212"/>
      <c r="H26" s="213"/>
      <c r="I26" s="224"/>
      <c r="J26" s="78"/>
      <c r="K26" s="203"/>
      <c r="L26" s="203"/>
      <c r="M26" s="209"/>
      <c r="N26" s="201"/>
      <c r="O26" s="198"/>
      <c r="P26" s="204"/>
      <c r="R26" s="198"/>
      <c r="S26" s="79"/>
      <c r="T26" s="198"/>
      <c r="U26" s="198"/>
      <c r="V26" s="198"/>
      <c r="W26" s="198"/>
      <c r="X26" s="203"/>
      <c r="Y26" s="79"/>
      <c r="AD26" s="130"/>
      <c r="AF26" s="106"/>
    </row>
    <row r="27">
      <c r="A27" s="183" t="s">
        <v>29</v>
      </c>
      <c r="B27" s="184" t="s">
        <v>30</v>
      </c>
      <c r="C27" s="183"/>
      <c r="D27" s="183" t="s">
        <v>170</v>
      </c>
      <c r="E27" s="219" t="s">
        <v>171</v>
      </c>
      <c r="F27" s="204"/>
      <c r="G27" s="79"/>
      <c r="H27" s="242"/>
      <c r="I27" s="79"/>
      <c r="J27" s="79"/>
      <c r="K27" s="203"/>
      <c r="L27" s="201"/>
      <c r="M27" s="209"/>
      <c r="N27" s="198"/>
      <c r="O27" s="198"/>
      <c r="P27" s="204"/>
      <c r="R27" s="198"/>
      <c r="S27" s="79"/>
      <c r="T27" s="198"/>
      <c r="U27" s="198"/>
      <c r="V27" s="198"/>
      <c r="W27" s="198"/>
      <c r="X27" s="203"/>
      <c r="Y27" s="79"/>
      <c r="Z27" s="195"/>
      <c r="AD27" s="130"/>
      <c r="AF27" s="106"/>
    </row>
    <row r="28">
      <c r="A28" s="405" t="s">
        <v>797</v>
      </c>
      <c r="B28" s="406">
        <f>+1395.03-697.5+1526</f>
        <v>2223.53</v>
      </c>
      <c r="C28" s="407"/>
      <c r="D28" s="407"/>
      <c r="E28" s="407"/>
      <c r="F28" s="204"/>
      <c r="O28" s="79"/>
      <c r="S28" s="79"/>
      <c r="T28" s="79"/>
      <c r="Y28" s="79"/>
      <c r="AD28" s="130"/>
      <c r="AF28" s="106"/>
    </row>
    <row r="29">
      <c r="A29" s="410" t="s">
        <v>781</v>
      </c>
      <c r="B29" s="411">
        <f>1629.8-543.2-543.2</f>
        <v>543.4</v>
      </c>
      <c r="C29" s="412"/>
      <c r="D29" s="412"/>
      <c r="E29" s="412"/>
      <c r="F29" s="204"/>
      <c r="G29" s="195"/>
      <c r="O29" s="79"/>
      <c r="S29" s="79"/>
      <c r="T29" s="79"/>
      <c r="Y29" s="79"/>
      <c r="AD29" s="130"/>
      <c r="AF29" s="106"/>
    </row>
    <row r="30">
      <c r="A30" s="430" t="s">
        <v>808</v>
      </c>
      <c r="B30" s="431">
        <f>1001.8-250.45-250.45-250.45+1767.68</f>
        <v>2018.13</v>
      </c>
      <c r="C30" s="432"/>
      <c r="D30" s="432"/>
      <c r="E30" s="432"/>
      <c r="F30" s="204"/>
      <c r="I30" s="68">
        <f>400*9</f>
        <v>3600</v>
      </c>
      <c r="O30" s="79"/>
      <c r="S30" s="79"/>
      <c r="T30" s="79"/>
      <c r="Y30" s="79"/>
      <c r="AD30" s="130"/>
      <c r="AF30" s="106"/>
    </row>
    <row r="31">
      <c r="A31" s="245" t="s">
        <v>733</v>
      </c>
      <c r="B31" s="340">
        <f>504.64-252.32</f>
        <v>252.32</v>
      </c>
      <c r="C31" s="247"/>
      <c r="D31" s="247"/>
      <c r="E31" s="247"/>
      <c r="O31" s="79"/>
      <c r="S31" s="79"/>
      <c r="T31" s="79"/>
      <c r="Y31" s="79"/>
      <c r="AD31" s="130"/>
      <c r="AF31" s="106"/>
    </row>
    <row r="32">
      <c r="A32" s="196" t="s">
        <v>809</v>
      </c>
      <c r="B32" s="196">
        <v>423.86</v>
      </c>
      <c r="C32" s="220"/>
      <c r="D32" s="220"/>
      <c r="E32" s="220"/>
    </row>
    <row r="33">
      <c r="C33" s="79"/>
      <c r="D33" s="79"/>
      <c r="E33" s="79"/>
      <c r="O33" s="79"/>
      <c r="S33" s="79"/>
      <c r="T33" s="79"/>
      <c r="Y33" s="79"/>
      <c r="AD33" s="130"/>
      <c r="AF33" s="106"/>
    </row>
    <row r="34">
      <c r="A34" s="274"/>
      <c r="B34" s="275" t="s">
        <v>315</v>
      </c>
      <c r="F34" s="274"/>
      <c r="G34" s="274"/>
      <c r="H34" s="274"/>
      <c r="I34" s="274"/>
      <c r="J34" s="274"/>
      <c r="K34" s="274"/>
      <c r="L34" s="274"/>
      <c r="M34" s="274"/>
      <c r="N34" s="274"/>
      <c r="O34" s="274"/>
      <c r="P34" s="274"/>
      <c r="Q34" s="274"/>
      <c r="R34" s="274"/>
      <c r="S34" s="274"/>
      <c r="T34" s="274"/>
      <c r="U34" s="274"/>
      <c r="V34" s="274"/>
      <c r="W34" s="274"/>
      <c r="X34" s="274"/>
      <c r="Y34" s="274"/>
      <c r="Z34" s="274"/>
      <c r="AA34" s="274"/>
      <c r="AB34" s="274"/>
      <c r="AC34" s="274"/>
      <c r="AD34" s="276"/>
      <c r="AE34" s="274"/>
      <c r="AF34" s="277"/>
      <c r="AG34" s="274"/>
      <c r="AH34" s="274"/>
      <c r="AI34" s="274"/>
    </row>
    <row r="35">
      <c r="A35" s="16" t="s">
        <v>316</v>
      </c>
      <c r="B35" s="17"/>
      <c r="C35" s="114"/>
      <c r="D35" s="114"/>
      <c r="E35" s="115"/>
      <c r="I35" s="455" t="s">
        <v>735</v>
      </c>
      <c r="J35" s="17"/>
      <c r="K35" s="114"/>
      <c r="L35" s="114"/>
      <c r="M35" s="115"/>
      <c r="P35" s="79"/>
      <c r="T35" s="79"/>
      <c r="U35" s="79"/>
      <c r="AD35" s="130"/>
      <c r="AF35" s="106"/>
    </row>
    <row r="36">
      <c r="A36" s="19" t="s">
        <v>317</v>
      </c>
      <c r="B36" s="20"/>
      <c r="C36" s="116"/>
      <c r="D36" s="116"/>
      <c r="E36" s="117"/>
      <c r="I36" s="457" t="s">
        <v>736</v>
      </c>
      <c r="J36" s="20"/>
      <c r="K36" s="116"/>
      <c r="L36" s="116"/>
      <c r="M36" s="117"/>
      <c r="P36" s="79"/>
      <c r="T36" s="79"/>
      <c r="U36" s="79"/>
      <c r="AD36" s="130"/>
      <c r="AF36" s="106"/>
    </row>
    <row r="37">
      <c r="A37" s="278" t="s">
        <v>318</v>
      </c>
      <c r="B37" s="279" t="s">
        <v>319</v>
      </c>
      <c r="C37" s="280" t="s">
        <v>285</v>
      </c>
      <c r="D37" s="280" t="s">
        <v>30</v>
      </c>
      <c r="E37" s="281" t="s">
        <v>320</v>
      </c>
      <c r="F37" s="281" t="s">
        <v>321</v>
      </c>
      <c r="H37" s="461" t="s">
        <v>743</v>
      </c>
      <c r="I37" s="458" t="s">
        <v>318</v>
      </c>
      <c r="J37" s="459" t="s">
        <v>319</v>
      </c>
      <c r="K37" s="458" t="s">
        <v>285</v>
      </c>
      <c r="L37" s="458" t="s">
        <v>737</v>
      </c>
      <c r="M37" s="458" t="s">
        <v>738</v>
      </c>
      <c r="N37" s="458" t="s">
        <v>739</v>
      </c>
      <c r="O37" s="562" t="s">
        <v>740</v>
      </c>
      <c r="P37" s="562" t="s">
        <v>741</v>
      </c>
      <c r="Q37" s="562" t="s">
        <v>320</v>
      </c>
      <c r="R37" s="458"/>
      <c r="S37" s="562" t="s">
        <v>740</v>
      </c>
      <c r="T37" s="562" t="s">
        <v>741</v>
      </c>
      <c r="U37" s="562" t="s">
        <v>320</v>
      </c>
      <c r="V37" s="458"/>
      <c r="W37" s="562" t="s">
        <v>740</v>
      </c>
      <c r="X37" s="562" t="s">
        <v>741</v>
      </c>
      <c r="Y37" s="563" t="s">
        <v>320</v>
      </c>
      <c r="AD37" s="130"/>
      <c r="AF37" s="106"/>
    </row>
    <row r="38">
      <c r="A38" s="418" t="s">
        <v>530</v>
      </c>
      <c r="B38" s="419">
        <v>45503.0</v>
      </c>
      <c r="C38" s="420" t="s">
        <v>325</v>
      </c>
      <c r="D38" s="421">
        <v>1211.18</v>
      </c>
      <c r="E38" s="422"/>
      <c r="F38" s="423">
        <f>D38/2</f>
        <v>605.59</v>
      </c>
      <c r="G38" s="483"/>
      <c r="H38" s="471">
        <f t="shared" ref="H38:H50" si="7">L38+O38+S38+W38</f>
        <v>0</v>
      </c>
      <c r="I38" s="484">
        <v>582447.0</v>
      </c>
      <c r="J38" s="485">
        <v>45553.0</v>
      </c>
      <c r="K38" s="486" t="s">
        <v>437</v>
      </c>
      <c r="L38" s="487">
        <v>1.0</v>
      </c>
      <c r="M38" s="488">
        <v>398.39</v>
      </c>
      <c r="N38" s="511">
        <f t="shared" ref="N38:N50" si="8">M38/L38</f>
        <v>398.39</v>
      </c>
      <c r="O38" s="512">
        <v>-1.0</v>
      </c>
      <c r="P38" s="488">
        <f t="shared" ref="P38:P50" si="9">O38*N38</f>
        <v>-398.39</v>
      </c>
      <c r="Q38" s="550">
        <v>45578.0</v>
      </c>
      <c r="R38" s="564"/>
      <c r="S38" s="515"/>
      <c r="T38" s="469"/>
      <c r="U38" s="472"/>
      <c r="V38" s="564"/>
      <c r="W38" s="515"/>
      <c r="X38" s="469"/>
      <c r="Y38" s="470"/>
      <c r="Z38" s="483"/>
      <c r="AA38" s="483"/>
      <c r="AB38" s="483"/>
      <c r="AC38" s="483"/>
      <c r="AD38" s="492"/>
      <c r="AE38" s="483"/>
      <c r="AF38" s="493"/>
      <c r="AG38" s="483"/>
      <c r="AH38" s="483"/>
      <c r="AI38" s="483"/>
    </row>
    <row r="39">
      <c r="A39" s="418" t="s">
        <v>553</v>
      </c>
      <c r="B39" s="419">
        <v>45510.0</v>
      </c>
      <c r="C39" s="420" t="s">
        <v>325</v>
      </c>
      <c r="D39" s="421">
        <v>1409.57</v>
      </c>
      <c r="E39" s="422"/>
      <c r="F39" s="565"/>
      <c r="H39" s="471">
        <f t="shared" si="7"/>
        <v>0</v>
      </c>
      <c r="I39" s="516">
        <v>584270.0</v>
      </c>
      <c r="J39" s="517">
        <v>45560.0</v>
      </c>
      <c r="K39" s="518" t="s">
        <v>437</v>
      </c>
      <c r="L39" s="519">
        <v>6.0</v>
      </c>
      <c r="M39" s="520">
        <v>2418.34</v>
      </c>
      <c r="N39" s="521">
        <f t="shared" si="8"/>
        <v>403.0566667</v>
      </c>
      <c r="O39" s="522">
        <v>-5.0</v>
      </c>
      <c r="P39" s="520">
        <f t="shared" si="9"/>
        <v>-2015.283333</v>
      </c>
      <c r="Q39" s="566" t="s">
        <v>745</v>
      </c>
      <c r="R39" s="567"/>
      <c r="S39" s="525">
        <v>-1.0</v>
      </c>
      <c r="T39" s="526">
        <f t="shared" ref="T39:T43" si="10">S39*N39</f>
        <v>-403.0566667</v>
      </c>
      <c r="U39" s="527">
        <v>45585.0</v>
      </c>
      <c r="V39" s="567"/>
      <c r="W39" s="528"/>
      <c r="X39" s="529"/>
      <c r="Y39" s="530"/>
      <c r="AD39" s="130"/>
      <c r="AF39" s="106"/>
    </row>
    <row r="40">
      <c r="A40" s="304" t="s">
        <v>578</v>
      </c>
      <c r="B40" s="305">
        <v>45517.0</v>
      </c>
      <c r="C40" s="234" t="s">
        <v>325</v>
      </c>
      <c r="D40" s="178">
        <v>1391.12</v>
      </c>
      <c r="E40" s="308"/>
      <c r="F40" s="235"/>
      <c r="H40" s="471">
        <f t="shared" si="7"/>
        <v>0</v>
      </c>
      <c r="I40" s="516">
        <v>586497.0</v>
      </c>
      <c r="J40" s="517">
        <v>45567.0</v>
      </c>
      <c r="K40" s="518" t="s">
        <v>437</v>
      </c>
      <c r="L40" s="519">
        <v>8.0</v>
      </c>
      <c r="M40" s="520">
        <v>3199.26</v>
      </c>
      <c r="N40" s="521">
        <f t="shared" si="8"/>
        <v>399.9075</v>
      </c>
      <c r="O40" s="522">
        <v>-2.0</v>
      </c>
      <c r="P40" s="520">
        <f t="shared" si="9"/>
        <v>-799.815</v>
      </c>
      <c r="Q40" s="566" t="s">
        <v>745</v>
      </c>
      <c r="R40" s="567"/>
      <c r="S40" s="525">
        <v>-6.0</v>
      </c>
      <c r="T40" s="526">
        <f t="shared" si="10"/>
        <v>-2399.445</v>
      </c>
      <c r="U40" s="527">
        <v>45585.0</v>
      </c>
      <c r="V40" s="567"/>
      <c r="W40" s="528"/>
      <c r="X40" s="529"/>
      <c r="Y40" s="530"/>
      <c r="AD40" s="130"/>
      <c r="AF40" s="106"/>
    </row>
    <row r="41">
      <c r="A41" s="304" t="s">
        <v>597</v>
      </c>
      <c r="B41" s="305">
        <v>45525.0</v>
      </c>
      <c r="C41" s="234" t="s">
        <v>325</v>
      </c>
      <c r="D41" s="178">
        <v>1420.83</v>
      </c>
      <c r="E41" s="308"/>
      <c r="F41" s="235"/>
      <c r="H41" s="568">
        <f t="shared" si="7"/>
        <v>0</v>
      </c>
      <c r="I41" s="484">
        <v>586905.0</v>
      </c>
      <c r="J41" s="485">
        <v>45568.0</v>
      </c>
      <c r="K41" s="486" t="s">
        <v>437</v>
      </c>
      <c r="L41" s="487">
        <v>2.0</v>
      </c>
      <c r="M41" s="488">
        <v>806.11</v>
      </c>
      <c r="N41" s="511">
        <f t="shared" si="8"/>
        <v>403.055</v>
      </c>
      <c r="O41" s="512">
        <v>-1.0</v>
      </c>
      <c r="P41" s="488">
        <f t="shared" si="9"/>
        <v>-403.055</v>
      </c>
      <c r="Q41" s="569" t="s">
        <v>745</v>
      </c>
      <c r="R41" s="564"/>
      <c r="S41" s="570">
        <v>-1.0</v>
      </c>
      <c r="T41" s="571">
        <f t="shared" si="10"/>
        <v>-403.055</v>
      </c>
      <c r="U41" s="513">
        <v>45592.0</v>
      </c>
      <c r="V41" s="564"/>
      <c r="W41" s="572"/>
      <c r="X41" s="573"/>
      <c r="Y41" s="574"/>
      <c r="AD41" s="130"/>
      <c r="AF41" s="106"/>
    </row>
    <row r="42">
      <c r="A42" s="304" t="s">
        <v>622</v>
      </c>
      <c r="B42" s="305">
        <v>45533.0</v>
      </c>
      <c r="C42" s="234" t="s">
        <v>325</v>
      </c>
      <c r="D42" s="178">
        <v>1404.36</v>
      </c>
      <c r="E42" s="308"/>
      <c r="F42" s="235"/>
      <c r="H42" s="568">
        <f t="shared" si="7"/>
        <v>0</v>
      </c>
      <c r="I42" s="484">
        <v>588311.0</v>
      </c>
      <c r="J42" s="485">
        <v>45574.0</v>
      </c>
      <c r="K42" s="486" t="s">
        <v>437</v>
      </c>
      <c r="L42" s="487">
        <v>6.0</v>
      </c>
      <c r="M42" s="488">
        <v>2363.76</v>
      </c>
      <c r="N42" s="511">
        <f t="shared" si="8"/>
        <v>393.96</v>
      </c>
      <c r="O42" s="512">
        <v>-5.0</v>
      </c>
      <c r="P42" s="488">
        <f t="shared" si="9"/>
        <v>-1969.8</v>
      </c>
      <c r="Q42" s="550">
        <v>45592.0</v>
      </c>
      <c r="R42" s="575"/>
      <c r="S42" s="570">
        <v>-1.0</v>
      </c>
      <c r="T42" s="571">
        <f t="shared" si="10"/>
        <v>-393.96</v>
      </c>
      <c r="U42" s="513">
        <v>45599.0</v>
      </c>
      <c r="V42" s="575"/>
      <c r="W42" s="572"/>
      <c r="X42" s="573"/>
      <c r="Y42" s="574"/>
      <c r="AD42" s="130"/>
      <c r="AF42" s="106"/>
    </row>
    <row r="43">
      <c r="A43" s="304" t="s">
        <v>644</v>
      </c>
      <c r="B43" s="305">
        <v>45540.0</v>
      </c>
      <c r="C43" s="234" t="s">
        <v>325</v>
      </c>
      <c r="D43" s="178">
        <v>1415.74</v>
      </c>
      <c r="E43" s="308"/>
      <c r="F43" s="235"/>
      <c r="H43" s="471">
        <f t="shared" si="7"/>
        <v>0</v>
      </c>
      <c r="I43" s="576">
        <v>589695.0</v>
      </c>
      <c r="J43" s="485">
        <v>45581.0</v>
      </c>
      <c r="K43" s="486" t="s">
        <v>437</v>
      </c>
      <c r="L43" s="487">
        <v>6.0</v>
      </c>
      <c r="M43" s="488">
        <v>2362.36</v>
      </c>
      <c r="N43" s="511">
        <f t="shared" si="8"/>
        <v>393.7266667</v>
      </c>
      <c r="O43" s="512">
        <v>-5.0</v>
      </c>
      <c r="P43" s="488">
        <f t="shared" si="9"/>
        <v>-1968.633333</v>
      </c>
      <c r="Q43" s="550">
        <v>45599.0</v>
      </c>
      <c r="R43" s="575"/>
      <c r="S43" s="577">
        <v>-1.0</v>
      </c>
      <c r="T43" s="578">
        <f t="shared" si="10"/>
        <v>-393.7266667</v>
      </c>
      <c r="U43" s="579">
        <v>45606.0</v>
      </c>
      <c r="V43" s="575"/>
      <c r="W43" s="515"/>
      <c r="X43" s="469"/>
      <c r="Y43" s="472"/>
      <c r="AD43" s="130"/>
      <c r="AF43" s="106"/>
    </row>
    <row r="44">
      <c r="A44" s="304" t="s">
        <v>660</v>
      </c>
      <c r="B44" s="305">
        <v>45547.0</v>
      </c>
      <c r="C44" s="234" t="s">
        <v>325</v>
      </c>
      <c r="D44" s="178">
        <v>1419.33</v>
      </c>
      <c r="E44" s="308"/>
      <c r="F44" s="235"/>
      <c r="H44" s="471">
        <f t="shared" si="7"/>
        <v>0</v>
      </c>
      <c r="I44" s="484">
        <v>591406.0</v>
      </c>
      <c r="J44" s="485">
        <v>45588.0</v>
      </c>
      <c r="K44" s="486" t="s">
        <v>437</v>
      </c>
      <c r="L44" s="487">
        <v>6.0</v>
      </c>
      <c r="M44" s="488">
        <v>2553.65</v>
      </c>
      <c r="N44" s="511">
        <f t="shared" si="8"/>
        <v>425.6083333</v>
      </c>
      <c r="O44" s="580">
        <v>-6.0</v>
      </c>
      <c r="P44" s="581">
        <f t="shared" si="9"/>
        <v>-2553.65</v>
      </c>
      <c r="Q44" s="550">
        <v>45606.0</v>
      </c>
      <c r="R44" s="582"/>
      <c r="S44" s="515"/>
      <c r="T44" s="469"/>
      <c r="U44" s="472"/>
      <c r="V44" s="582"/>
      <c r="W44" s="515"/>
      <c r="X44" s="469"/>
      <c r="Y44" s="472"/>
      <c r="AD44" s="130"/>
      <c r="AF44" s="106"/>
    </row>
    <row r="45">
      <c r="A45" s="304" t="s">
        <v>677</v>
      </c>
      <c r="B45" s="305">
        <v>45554.0</v>
      </c>
      <c r="C45" s="234" t="s">
        <v>325</v>
      </c>
      <c r="D45" s="178">
        <v>1439.4</v>
      </c>
      <c r="E45" s="308"/>
      <c r="F45" s="235"/>
      <c r="H45" s="471">
        <f t="shared" si="7"/>
        <v>4</v>
      </c>
      <c r="I45" s="463">
        <v>593114.0</v>
      </c>
      <c r="J45" s="464">
        <v>45595.0</v>
      </c>
      <c r="K45" s="465" t="s">
        <v>437</v>
      </c>
      <c r="L45" s="466">
        <v>6.0</v>
      </c>
      <c r="M45" s="467">
        <v>2575.54</v>
      </c>
      <c r="N45" s="536">
        <f t="shared" si="8"/>
        <v>429.2566667</v>
      </c>
      <c r="O45" s="580">
        <v>-2.0</v>
      </c>
      <c r="P45" s="581">
        <f t="shared" si="9"/>
        <v>-858.5133333</v>
      </c>
      <c r="Q45" s="550">
        <v>45606.0</v>
      </c>
      <c r="R45" s="582"/>
      <c r="S45" s="515"/>
      <c r="T45" s="469"/>
      <c r="U45" s="472"/>
      <c r="V45" s="582"/>
      <c r="W45" s="515"/>
      <c r="X45" s="469"/>
      <c r="Y45" s="472"/>
      <c r="AD45" s="130"/>
      <c r="AF45" s="106"/>
    </row>
    <row r="46">
      <c r="A46" s="304" t="s">
        <v>691</v>
      </c>
      <c r="B46" s="305">
        <v>45561.0</v>
      </c>
      <c r="C46" s="234" t="s">
        <v>325</v>
      </c>
      <c r="D46" s="178">
        <v>777.2</v>
      </c>
      <c r="E46" s="308"/>
      <c r="F46" s="235"/>
      <c r="H46" s="471">
        <f t="shared" si="7"/>
        <v>6</v>
      </c>
      <c r="I46" s="463">
        <v>594673.0</v>
      </c>
      <c r="J46" s="464">
        <v>45602.0</v>
      </c>
      <c r="K46" s="465" t="s">
        <v>437</v>
      </c>
      <c r="L46" s="466">
        <v>6.0</v>
      </c>
      <c r="M46" s="467">
        <v>2561.15</v>
      </c>
      <c r="N46" s="467">
        <f t="shared" si="8"/>
        <v>426.8583333</v>
      </c>
      <c r="O46" s="473"/>
      <c r="P46" s="468">
        <f t="shared" si="9"/>
        <v>0</v>
      </c>
      <c r="Q46" s="550"/>
      <c r="R46" s="583"/>
      <c r="S46" s="469"/>
      <c r="T46" s="469"/>
      <c r="U46" s="469"/>
      <c r="V46" s="583"/>
      <c r="W46" s="469"/>
      <c r="X46" s="469"/>
      <c r="Y46" s="472"/>
      <c r="AD46" s="130"/>
      <c r="AF46" s="106"/>
    </row>
    <row r="47">
      <c r="A47" s="304" t="s">
        <v>703</v>
      </c>
      <c r="B47" s="305">
        <v>45568.0</v>
      </c>
      <c r="C47" s="234" t="s">
        <v>325</v>
      </c>
      <c r="D47" s="178">
        <v>1421.43</v>
      </c>
      <c r="E47" s="308"/>
      <c r="F47" s="235"/>
      <c r="H47" s="471">
        <f t="shared" si="7"/>
        <v>3</v>
      </c>
      <c r="I47" s="463">
        <v>595849.0</v>
      </c>
      <c r="J47" s="464">
        <v>45604.0</v>
      </c>
      <c r="K47" s="465" t="s">
        <v>437</v>
      </c>
      <c r="L47" s="466">
        <v>3.0</v>
      </c>
      <c r="M47" s="467">
        <v>1262.58</v>
      </c>
      <c r="N47" s="467">
        <f t="shared" si="8"/>
        <v>420.86</v>
      </c>
      <c r="O47" s="473"/>
      <c r="P47" s="468">
        <f t="shared" si="9"/>
        <v>0</v>
      </c>
      <c r="Q47" s="550"/>
      <c r="R47" s="583"/>
      <c r="S47" s="469"/>
      <c r="T47" s="469"/>
      <c r="U47" s="469"/>
      <c r="V47" s="583"/>
      <c r="W47" s="469"/>
      <c r="X47" s="469"/>
      <c r="Y47" s="472"/>
      <c r="AD47" s="130"/>
      <c r="AF47" s="106"/>
    </row>
    <row r="48">
      <c r="A48" s="304" t="s">
        <v>747</v>
      </c>
      <c r="B48" s="305">
        <v>45574.0</v>
      </c>
      <c r="C48" s="234" t="s">
        <v>325</v>
      </c>
      <c r="D48" s="178">
        <v>1449.58</v>
      </c>
      <c r="E48" s="308"/>
      <c r="F48" s="235"/>
      <c r="H48" s="471">
        <f t="shared" si="7"/>
        <v>0</v>
      </c>
      <c r="I48" s="463"/>
      <c r="J48" s="464"/>
      <c r="K48" s="465" t="s">
        <v>437</v>
      </c>
      <c r="L48" s="466"/>
      <c r="M48" s="467"/>
      <c r="N48" s="467" t="str">
        <f t="shared" si="8"/>
        <v>#DIV/0!</v>
      </c>
      <c r="O48" s="473"/>
      <c r="P48" s="468" t="str">
        <f t="shared" si="9"/>
        <v>#DIV/0!</v>
      </c>
      <c r="Q48" s="550"/>
      <c r="R48" s="583"/>
      <c r="S48" s="469"/>
      <c r="T48" s="469"/>
      <c r="U48" s="469"/>
      <c r="V48" s="583"/>
      <c r="W48" s="469"/>
      <c r="X48" s="469"/>
      <c r="Y48" s="472"/>
      <c r="AD48" s="130"/>
      <c r="AF48" s="106"/>
    </row>
    <row r="49">
      <c r="A49" s="304" t="s">
        <v>769</v>
      </c>
      <c r="B49" s="305">
        <v>45581.0</v>
      </c>
      <c r="C49" s="234" t="s">
        <v>325</v>
      </c>
      <c r="D49" s="178">
        <v>1436.0</v>
      </c>
      <c r="E49" s="308"/>
      <c r="F49" s="235"/>
      <c r="H49" s="471">
        <f t="shared" si="7"/>
        <v>0</v>
      </c>
      <c r="I49" s="463"/>
      <c r="J49" s="464"/>
      <c r="K49" s="465" t="s">
        <v>437</v>
      </c>
      <c r="L49" s="466"/>
      <c r="M49" s="467"/>
      <c r="N49" s="467" t="str">
        <f t="shared" si="8"/>
        <v>#DIV/0!</v>
      </c>
      <c r="O49" s="473"/>
      <c r="P49" s="468" t="str">
        <f t="shared" si="9"/>
        <v>#DIV/0!</v>
      </c>
      <c r="Q49" s="550"/>
      <c r="R49" s="583"/>
      <c r="S49" s="469"/>
      <c r="T49" s="469"/>
      <c r="U49" s="469"/>
      <c r="V49" s="583"/>
      <c r="W49" s="469"/>
      <c r="X49" s="469"/>
      <c r="Y49" s="472"/>
      <c r="AD49" s="130"/>
      <c r="AF49" s="106"/>
    </row>
    <row r="50">
      <c r="A50" s="304" t="s">
        <v>786</v>
      </c>
      <c r="B50" s="305">
        <v>45588.0</v>
      </c>
      <c r="C50" s="234" t="s">
        <v>325</v>
      </c>
      <c r="D50" s="178">
        <v>823.39</v>
      </c>
      <c r="E50" s="308"/>
      <c r="F50" s="235"/>
      <c r="H50" s="474">
        <f t="shared" si="7"/>
        <v>0</v>
      </c>
      <c r="I50" s="473"/>
      <c r="J50" s="464"/>
      <c r="K50" s="465" t="s">
        <v>437</v>
      </c>
      <c r="L50" s="466"/>
      <c r="M50" s="467"/>
      <c r="N50" s="467" t="str">
        <f t="shared" si="8"/>
        <v>#DIV/0!</v>
      </c>
      <c r="O50" s="473"/>
      <c r="P50" s="468" t="str">
        <f t="shared" si="9"/>
        <v>#DIV/0!</v>
      </c>
      <c r="Q50" s="550"/>
      <c r="R50" s="583"/>
      <c r="S50" s="469"/>
      <c r="T50" s="469"/>
      <c r="U50" s="469"/>
      <c r="V50" s="583"/>
      <c r="W50" s="469"/>
      <c r="X50" s="469"/>
      <c r="Y50" s="472"/>
      <c r="AD50" s="130"/>
      <c r="AF50" s="106"/>
    </row>
    <row r="51">
      <c r="A51" s="304" t="s">
        <v>802</v>
      </c>
      <c r="B51" s="305">
        <v>45595.0</v>
      </c>
      <c r="C51" s="234" t="s">
        <v>325</v>
      </c>
      <c r="D51" s="178">
        <v>817.04</v>
      </c>
      <c r="E51" s="308"/>
      <c r="F51" s="235"/>
      <c r="P51" s="79"/>
      <c r="T51" s="79"/>
      <c r="U51" s="79"/>
      <c r="AD51" s="130"/>
      <c r="AF51" s="106"/>
    </row>
    <row r="52">
      <c r="A52" s="304" t="s">
        <v>810</v>
      </c>
      <c r="B52" s="305">
        <v>45602.0</v>
      </c>
      <c r="C52" s="234" t="s">
        <v>325</v>
      </c>
      <c r="D52" s="178">
        <v>817.64</v>
      </c>
      <c r="E52" s="308"/>
      <c r="F52" s="235"/>
      <c r="H52" s="479" t="s">
        <v>287</v>
      </c>
      <c r="I52" s="32" t="s">
        <v>748</v>
      </c>
      <c r="J52" s="479" t="s">
        <v>749</v>
      </c>
      <c r="K52" s="479" t="s">
        <v>750</v>
      </c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AD52" s="130"/>
      <c r="AF52" s="106"/>
    </row>
    <row r="53">
      <c r="A53" s="282" t="s">
        <v>667</v>
      </c>
      <c r="B53" s="283">
        <v>45546.0</v>
      </c>
      <c r="C53" s="166" t="s">
        <v>668</v>
      </c>
      <c r="D53" s="93">
        <f>608.6</f>
        <v>608.6</v>
      </c>
      <c r="E53" s="291" t="s">
        <v>704</v>
      </c>
      <c r="F53" s="6">
        <f>D53/2</f>
        <v>304.3</v>
      </c>
      <c r="H53" s="286">
        <v>45578.0</v>
      </c>
      <c r="I53" s="32">
        <v>6.0</v>
      </c>
      <c r="J53" s="480">
        <v>2413.68</v>
      </c>
      <c r="K53" s="479" t="s">
        <v>751</v>
      </c>
      <c r="M53" s="79"/>
      <c r="N53" s="242">
        <f>N42*6</f>
        <v>2363.76</v>
      </c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AD53" s="130"/>
      <c r="AF53" s="106"/>
    </row>
    <row r="54">
      <c r="A54" s="282" t="s">
        <v>681</v>
      </c>
      <c r="B54" s="283">
        <v>45555.0</v>
      </c>
      <c r="C54" s="166" t="s">
        <v>664</v>
      </c>
      <c r="D54" s="93">
        <v>785.6</v>
      </c>
      <c r="E54" s="291"/>
      <c r="F54" s="6"/>
      <c r="H54" s="286">
        <v>45578.0</v>
      </c>
      <c r="I54" s="32">
        <v>3.0</v>
      </c>
      <c r="J54" s="480">
        <v>1202.87</v>
      </c>
      <c r="K54" s="479" t="s">
        <v>752</v>
      </c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AD54" s="130"/>
      <c r="AF54" s="106"/>
    </row>
    <row r="55">
      <c r="A55" s="282" t="s">
        <v>709</v>
      </c>
      <c r="B55" s="283">
        <v>45570.0</v>
      </c>
      <c r="C55" s="166" t="s">
        <v>710</v>
      </c>
      <c r="D55" s="93">
        <v>1001.8</v>
      </c>
      <c r="E55" s="291" t="s">
        <v>804</v>
      </c>
      <c r="F55" s="6">
        <f>-250.45-250.45</f>
        <v>-500.9</v>
      </c>
      <c r="H55" s="504">
        <v>45585.0</v>
      </c>
      <c r="I55" s="479">
        <v>1.0</v>
      </c>
      <c r="J55" s="505">
        <f t="shared" ref="J55:J56" si="11">T39*-1</f>
        <v>403.0566667</v>
      </c>
      <c r="K55" s="479" t="s">
        <v>751</v>
      </c>
      <c r="M55" s="79"/>
      <c r="N55" s="242">
        <f>N43*6</f>
        <v>2362.36</v>
      </c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AD55" s="130"/>
      <c r="AF55" s="106"/>
    </row>
    <row r="56">
      <c r="A56" s="282" t="s">
        <v>715</v>
      </c>
      <c r="B56" s="283">
        <v>45570.0</v>
      </c>
      <c r="C56" s="166" t="s">
        <v>716</v>
      </c>
      <c r="D56" s="93">
        <f>299.8-5.8</f>
        <v>294</v>
      </c>
      <c r="E56" s="291"/>
      <c r="F56" s="6"/>
      <c r="H56" s="504">
        <v>45585.0</v>
      </c>
      <c r="I56" s="479">
        <v>6.0</v>
      </c>
      <c r="J56" s="505">
        <f t="shared" si="11"/>
        <v>2399.445</v>
      </c>
      <c r="K56" s="479" t="s">
        <v>751</v>
      </c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AD56" s="130"/>
      <c r="AF56" s="106"/>
    </row>
    <row r="57">
      <c r="A57" s="282" t="s">
        <v>753</v>
      </c>
      <c r="B57" s="283">
        <v>45574.0</v>
      </c>
      <c r="C57" s="166" t="s">
        <v>754</v>
      </c>
      <c r="D57" s="93">
        <v>237.1</v>
      </c>
      <c r="E57" s="291"/>
      <c r="F57" s="6"/>
      <c r="H57" s="504">
        <v>45592.0</v>
      </c>
      <c r="I57" s="479">
        <v>6.0</v>
      </c>
      <c r="J57" s="505">
        <f>(T41+P42)*-1</f>
        <v>2372.855</v>
      </c>
      <c r="K57" s="479" t="s">
        <v>751</v>
      </c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AD57" s="130"/>
      <c r="AF57" s="106"/>
    </row>
    <row r="58">
      <c r="A58" s="282" t="s">
        <v>755</v>
      </c>
      <c r="B58" s="283">
        <v>45576.0</v>
      </c>
      <c r="C58" s="166" t="s">
        <v>756</v>
      </c>
      <c r="D58" s="93">
        <v>504.64</v>
      </c>
      <c r="E58" s="291"/>
      <c r="F58" s="6"/>
      <c r="H58" s="504">
        <v>45599.0</v>
      </c>
      <c r="I58" s="479">
        <v>6.0</v>
      </c>
      <c r="J58" s="505">
        <f>-1*(P43+T42)</f>
        <v>2362.593333</v>
      </c>
      <c r="K58" s="479" t="s">
        <v>751</v>
      </c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AD58" s="130"/>
      <c r="AF58" s="106"/>
    </row>
    <row r="59">
      <c r="A59" s="282" t="s">
        <v>758</v>
      </c>
      <c r="B59" s="283">
        <v>45561.0</v>
      </c>
      <c r="C59" s="166" t="s">
        <v>536</v>
      </c>
      <c r="D59" s="93">
        <v>1160.0</v>
      </c>
      <c r="E59" s="291" t="s">
        <v>805</v>
      </c>
      <c r="F59" s="6">
        <f>-386.67-386.67</f>
        <v>-773.34</v>
      </c>
      <c r="H59" s="504">
        <v>45606.0</v>
      </c>
      <c r="I59" s="479">
        <v>8.0</v>
      </c>
      <c r="J59" s="505">
        <f>(P44+P45)*-1</f>
        <v>3412.163333</v>
      </c>
      <c r="K59" s="479" t="s">
        <v>751</v>
      </c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AD59" s="130"/>
      <c r="AF59" s="106"/>
    </row>
    <row r="60">
      <c r="A60" s="282" t="s">
        <v>806</v>
      </c>
      <c r="B60" s="283">
        <v>45581.0</v>
      </c>
      <c r="C60" s="166" t="s">
        <v>774</v>
      </c>
      <c r="D60" s="93">
        <f>547-15</f>
        <v>532</v>
      </c>
      <c r="E60" s="503"/>
      <c r="F60" s="478"/>
      <c r="H60" s="584">
        <v>45606.0</v>
      </c>
      <c r="I60" s="585">
        <v>1.0</v>
      </c>
      <c r="J60" s="586">
        <f>T43*-1</f>
        <v>393.7266667</v>
      </c>
      <c r="K60" s="585" t="s">
        <v>811</v>
      </c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AD60" s="130"/>
      <c r="AF60" s="106"/>
    </row>
    <row r="61">
      <c r="A61" s="282" t="s">
        <v>775</v>
      </c>
      <c r="B61" s="283">
        <v>45581.0</v>
      </c>
      <c r="C61" s="166" t="s">
        <v>712</v>
      </c>
      <c r="D61" s="93">
        <f>421.43-5</f>
        <v>416.43</v>
      </c>
      <c r="E61" s="291"/>
      <c r="F61" s="6"/>
      <c r="I61" s="479"/>
      <c r="J61" s="481"/>
      <c r="K61" s="481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AD61" s="130"/>
      <c r="AF61" s="106"/>
    </row>
    <row r="62">
      <c r="A62" s="282" t="s">
        <v>776</v>
      </c>
      <c r="B62" s="283">
        <v>45583.0</v>
      </c>
      <c r="C62" s="166" t="s">
        <v>777</v>
      </c>
      <c r="D62" s="93">
        <v>91.02</v>
      </c>
      <c r="E62" s="291"/>
      <c r="F62" s="6"/>
      <c r="I62" s="479"/>
      <c r="J62" s="481"/>
      <c r="K62" s="481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AD62" s="130"/>
      <c r="AF62" s="106"/>
    </row>
    <row r="63">
      <c r="A63" s="282" t="s">
        <v>778</v>
      </c>
      <c r="B63" s="283">
        <v>45580.0</v>
      </c>
      <c r="C63" s="166" t="s">
        <v>626</v>
      </c>
      <c r="D63" s="93">
        <v>1629.6</v>
      </c>
      <c r="E63" s="337">
        <v>45595.0</v>
      </c>
      <c r="F63" s="6">
        <f>-543.2</f>
        <v>-543.2</v>
      </c>
      <c r="I63" s="479"/>
      <c r="J63" s="481"/>
      <c r="K63" s="481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AD63" s="130"/>
      <c r="AF63" s="106"/>
    </row>
    <row r="64">
      <c r="A64" s="282" t="s">
        <v>812</v>
      </c>
      <c r="B64" s="283">
        <v>45589.0</v>
      </c>
      <c r="C64" s="166" t="s">
        <v>813</v>
      </c>
      <c r="D64" s="93">
        <v>565.5</v>
      </c>
      <c r="E64" s="291"/>
      <c r="F64" s="6"/>
      <c r="I64" s="479"/>
      <c r="J64" s="481"/>
      <c r="K64" s="481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AD64" s="130"/>
      <c r="AF64" s="106"/>
    </row>
    <row r="65">
      <c r="A65" s="282" t="s">
        <v>814</v>
      </c>
      <c r="B65" s="283">
        <v>45602.0</v>
      </c>
      <c r="C65" s="166" t="s">
        <v>712</v>
      </c>
      <c r="D65" s="93">
        <f>423.86-15</f>
        <v>408.86</v>
      </c>
      <c r="E65" s="291"/>
      <c r="F65" s="6"/>
      <c r="H65" s="479"/>
      <c r="I65" s="481"/>
      <c r="J65" s="481"/>
      <c r="K65" s="481"/>
      <c r="M65" s="481"/>
      <c r="N65" s="481"/>
      <c r="O65" s="545"/>
      <c r="P65" s="79"/>
      <c r="Q65" s="481"/>
      <c r="R65" s="481"/>
      <c r="S65" s="545"/>
      <c r="T65" s="545"/>
      <c r="U65" s="481"/>
      <c r="V65" s="481"/>
      <c r="W65" s="481"/>
      <c r="X65" s="481"/>
      <c r="Y65" s="545"/>
      <c r="AD65" s="130"/>
      <c r="AF65" s="106"/>
    </row>
    <row r="66">
      <c r="A66" s="282" t="s">
        <v>815</v>
      </c>
      <c r="B66" s="283">
        <v>45602.0</v>
      </c>
      <c r="C66" s="166" t="s">
        <v>710</v>
      </c>
      <c r="D66" s="93">
        <v>1767.68</v>
      </c>
      <c r="E66" s="291"/>
      <c r="F66" s="6"/>
      <c r="O66" s="79"/>
      <c r="S66" s="79"/>
      <c r="T66" s="79"/>
      <c r="Y66" s="79"/>
      <c r="AD66" s="130"/>
      <c r="AF66" s="106"/>
    </row>
    <row r="67">
      <c r="A67" s="282" t="s">
        <v>816</v>
      </c>
      <c r="B67" s="283">
        <v>45593.0</v>
      </c>
      <c r="C67" s="166" t="s">
        <v>408</v>
      </c>
      <c r="D67" s="93">
        <v>446.0</v>
      </c>
      <c r="E67" s="291"/>
      <c r="F67" s="6"/>
      <c r="O67" s="79"/>
      <c r="S67" s="79"/>
      <c r="T67" s="79"/>
      <c r="Y67" s="79"/>
      <c r="AD67" s="130"/>
      <c r="AF67" s="106"/>
    </row>
    <row r="68">
      <c r="A68" s="282"/>
      <c r="B68" s="283"/>
      <c r="C68" s="166"/>
      <c r="D68" s="93"/>
      <c r="E68" s="291"/>
      <c r="F68" s="6"/>
      <c r="O68" s="79"/>
      <c r="S68" s="79"/>
      <c r="T68" s="79"/>
      <c r="Y68" s="79"/>
      <c r="AD68" s="130"/>
      <c r="AF68" s="106"/>
    </row>
    <row r="69">
      <c r="A69" s="282"/>
      <c r="B69" s="283"/>
      <c r="C69" s="166"/>
      <c r="D69" s="93"/>
      <c r="E69" s="291"/>
      <c r="F69" s="6"/>
      <c r="O69" s="79"/>
      <c r="S69" s="79"/>
      <c r="T69" s="79"/>
      <c r="Y69" s="79"/>
      <c r="AD69" s="130"/>
      <c r="AF69" s="106"/>
    </row>
    <row r="70">
      <c r="C70" s="79"/>
      <c r="D70" s="79"/>
      <c r="E70" s="79"/>
      <c r="O70" s="79"/>
      <c r="S70" s="79"/>
      <c r="T70" s="79"/>
      <c r="Y70" s="79"/>
      <c r="AD70" s="130"/>
      <c r="AF70" s="106"/>
    </row>
    <row r="71">
      <c r="C71" s="79"/>
      <c r="D71" s="79"/>
      <c r="E71" s="79"/>
      <c r="O71" s="79"/>
      <c r="S71" s="79"/>
      <c r="T71" s="79"/>
      <c r="Y71" s="79"/>
      <c r="AD71" s="130"/>
      <c r="AF71" s="106"/>
    </row>
    <row r="72">
      <c r="C72" s="79"/>
      <c r="D72" s="79"/>
      <c r="E72" s="79"/>
      <c r="O72" s="79"/>
      <c r="S72" s="79"/>
      <c r="T72" s="79"/>
      <c r="Y72" s="79"/>
      <c r="AD72" s="130"/>
      <c r="AF72" s="106"/>
    </row>
    <row r="73">
      <c r="C73" s="79"/>
      <c r="D73" s="79"/>
      <c r="E73" s="79"/>
      <c r="O73" s="79"/>
      <c r="S73" s="79"/>
      <c r="T73" s="79"/>
      <c r="Y73" s="79"/>
      <c r="AD73" s="130"/>
      <c r="AF73" s="106"/>
    </row>
    <row r="74">
      <c r="C74" s="79"/>
      <c r="D74" s="79"/>
      <c r="E74" s="79"/>
      <c r="O74" s="79"/>
      <c r="S74" s="79"/>
      <c r="T74" s="79"/>
      <c r="Y74" s="79"/>
      <c r="AD74" s="130"/>
      <c r="AF74" s="106"/>
    </row>
    <row r="75">
      <c r="C75" s="79"/>
      <c r="D75" s="79"/>
      <c r="E75" s="79"/>
      <c r="O75" s="79"/>
      <c r="S75" s="79"/>
      <c r="T75" s="79"/>
      <c r="Y75" s="79"/>
      <c r="AD75" s="130"/>
      <c r="AF75" s="106"/>
    </row>
    <row r="76">
      <c r="C76" s="79"/>
      <c r="D76" s="79"/>
      <c r="E76" s="79"/>
      <c r="O76" s="79"/>
      <c r="S76" s="79"/>
      <c r="T76" s="79"/>
      <c r="Y76" s="79"/>
      <c r="AD76" s="130"/>
      <c r="AF76" s="106"/>
    </row>
    <row r="77">
      <c r="C77" s="79"/>
      <c r="D77" s="79"/>
      <c r="E77" s="79"/>
      <c r="O77" s="79"/>
      <c r="S77" s="79"/>
      <c r="T77" s="79"/>
      <c r="Y77" s="79"/>
      <c r="AD77" s="130"/>
      <c r="AF77" s="106"/>
    </row>
    <row r="78">
      <c r="C78" s="79"/>
      <c r="D78" s="79"/>
      <c r="E78" s="79"/>
      <c r="O78" s="79"/>
      <c r="S78" s="79"/>
      <c r="T78" s="79"/>
      <c r="Y78" s="79"/>
      <c r="AD78" s="130"/>
      <c r="AF78" s="106"/>
    </row>
    <row r="79">
      <c r="C79" s="79"/>
      <c r="D79" s="79"/>
      <c r="E79" s="79"/>
      <c r="O79" s="79"/>
      <c r="S79" s="79"/>
      <c r="T79" s="79"/>
      <c r="Y79" s="79"/>
      <c r="AD79" s="130"/>
      <c r="AF79" s="106"/>
    </row>
    <row r="80">
      <c r="C80" s="79"/>
      <c r="D80" s="79"/>
      <c r="E80" s="79"/>
      <c r="O80" s="79"/>
      <c r="S80" s="79"/>
      <c r="T80" s="79"/>
      <c r="Y80" s="79"/>
      <c r="AD80" s="130"/>
      <c r="AF80" s="106"/>
    </row>
    <row r="81">
      <c r="C81" s="79"/>
      <c r="D81" s="79"/>
      <c r="E81" s="79"/>
      <c r="O81" s="79"/>
      <c r="S81" s="79"/>
      <c r="T81" s="79"/>
      <c r="Y81" s="79"/>
      <c r="AD81" s="130"/>
      <c r="AF81" s="106"/>
    </row>
    <row r="82">
      <c r="C82" s="79"/>
      <c r="D82" s="79"/>
      <c r="E82" s="79"/>
      <c r="O82" s="79"/>
      <c r="S82" s="79"/>
      <c r="T82" s="79"/>
      <c r="Y82" s="79"/>
      <c r="AD82" s="130"/>
      <c r="AF82" s="106"/>
    </row>
    <row r="83">
      <c r="C83" s="79"/>
      <c r="D83" s="79"/>
      <c r="E83" s="79"/>
      <c r="O83" s="79"/>
      <c r="S83" s="79"/>
      <c r="T83" s="79"/>
      <c r="Y83" s="79"/>
      <c r="AD83" s="130"/>
      <c r="AF83" s="106"/>
    </row>
    <row r="84">
      <c r="C84" s="79"/>
      <c r="D84" s="79"/>
      <c r="E84" s="79"/>
      <c r="O84" s="79"/>
      <c r="S84" s="79"/>
      <c r="T84" s="79"/>
      <c r="Y84" s="79"/>
      <c r="AD84" s="130"/>
      <c r="AF84" s="106"/>
    </row>
    <row r="85">
      <c r="C85" s="79"/>
      <c r="D85" s="79"/>
      <c r="E85" s="79"/>
      <c r="O85" s="79"/>
      <c r="S85" s="79"/>
      <c r="T85" s="79"/>
      <c r="Y85" s="79"/>
      <c r="AD85" s="130"/>
      <c r="AF85" s="106"/>
    </row>
    <row r="86">
      <c r="C86" s="79"/>
      <c r="D86" s="79"/>
      <c r="E86" s="79"/>
      <c r="O86" s="79"/>
      <c r="S86" s="79"/>
      <c r="T86" s="79"/>
      <c r="Y86" s="79"/>
      <c r="AD86" s="130"/>
      <c r="AF86" s="106"/>
    </row>
    <row r="87">
      <c r="C87" s="79"/>
      <c r="D87" s="79"/>
      <c r="E87" s="79"/>
      <c r="O87" s="79"/>
      <c r="S87" s="79"/>
      <c r="T87" s="79"/>
      <c r="Y87" s="79"/>
      <c r="AD87" s="130"/>
      <c r="AF87" s="106"/>
    </row>
    <row r="88">
      <c r="C88" s="79"/>
      <c r="D88" s="79"/>
      <c r="E88" s="79"/>
      <c r="O88" s="79"/>
      <c r="S88" s="79"/>
      <c r="T88" s="79"/>
      <c r="Y88" s="79"/>
      <c r="AD88" s="130"/>
      <c r="AF88" s="106"/>
    </row>
    <row r="89">
      <c r="C89" s="79"/>
      <c r="D89" s="79"/>
      <c r="E89" s="79"/>
      <c r="O89" s="79"/>
      <c r="S89" s="79"/>
      <c r="T89" s="79"/>
      <c r="Y89" s="79"/>
      <c r="AD89" s="130"/>
      <c r="AF89" s="106"/>
    </row>
    <row r="90">
      <c r="C90" s="79"/>
      <c r="D90" s="79"/>
      <c r="E90" s="79"/>
      <c r="O90" s="79"/>
      <c r="S90" s="79"/>
      <c r="T90" s="79"/>
      <c r="Y90" s="79"/>
      <c r="AD90" s="130"/>
      <c r="AF90" s="106"/>
    </row>
    <row r="91">
      <c r="C91" s="79"/>
      <c r="D91" s="79"/>
      <c r="E91" s="79"/>
      <c r="O91" s="79"/>
      <c r="S91" s="79"/>
      <c r="T91" s="79"/>
      <c r="Y91" s="79"/>
      <c r="AD91" s="130"/>
      <c r="AF91" s="106"/>
    </row>
    <row r="92">
      <c r="C92" s="79"/>
      <c r="D92" s="79"/>
      <c r="E92" s="79"/>
      <c r="O92" s="79"/>
      <c r="S92" s="79"/>
      <c r="T92" s="79"/>
      <c r="Y92" s="79"/>
      <c r="AD92" s="130"/>
      <c r="AF92" s="106"/>
    </row>
    <row r="93">
      <c r="C93" s="79"/>
      <c r="D93" s="79"/>
      <c r="E93" s="79"/>
      <c r="O93" s="79"/>
      <c r="S93" s="79"/>
      <c r="T93" s="79"/>
      <c r="Y93" s="79"/>
      <c r="AD93" s="130"/>
      <c r="AF93" s="106"/>
    </row>
    <row r="94">
      <c r="C94" s="79"/>
      <c r="D94" s="79"/>
      <c r="E94" s="79"/>
      <c r="O94" s="79"/>
      <c r="S94" s="79"/>
      <c r="T94" s="79"/>
      <c r="Y94" s="79"/>
      <c r="AD94" s="130"/>
      <c r="AF94" s="106"/>
    </row>
    <row r="95">
      <c r="C95" s="79"/>
      <c r="D95" s="79"/>
      <c r="E95" s="79"/>
      <c r="O95" s="79"/>
      <c r="S95" s="79"/>
      <c r="T95" s="79"/>
      <c r="Y95" s="79"/>
      <c r="AD95" s="130"/>
      <c r="AF95" s="106"/>
    </row>
    <row r="96">
      <c r="C96" s="79"/>
      <c r="D96" s="79"/>
      <c r="E96" s="79"/>
      <c r="O96" s="79"/>
      <c r="S96" s="79"/>
      <c r="T96" s="79"/>
      <c r="Y96" s="79"/>
      <c r="AD96" s="130"/>
      <c r="AF96" s="106"/>
    </row>
    <row r="97">
      <c r="C97" s="79"/>
      <c r="D97" s="79"/>
      <c r="E97" s="79"/>
      <c r="O97" s="79"/>
      <c r="S97" s="79"/>
      <c r="T97" s="79"/>
      <c r="Y97" s="79"/>
      <c r="AD97" s="130"/>
      <c r="AF97" s="106"/>
    </row>
    <row r="98">
      <c r="C98" s="79"/>
      <c r="D98" s="79"/>
      <c r="E98" s="79"/>
      <c r="O98" s="79"/>
      <c r="S98" s="79"/>
      <c r="T98" s="79"/>
      <c r="Y98" s="79"/>
      <c r="AD98" s="130"/>
      <c r="AF98" s="106"/>
    </row>
    <row r="99">
      <c r="C99" s="79"/>
      <c r="D99" s="79"/>
      <c r="E99" s="79"/>
      <c r="O99" s="79"/>
      <c r="S99" s="79"/>
      <c r="T99" s="79"/>
      <c r="Y99" s="79"/>
      <c r="AD99" s="130"/>
      <c r="AF99" s="106"/>
    </row>
    <row r="100">
      <c r="C100" s="79"/>
      <c r="D100" s="79"/>
      <c r="E100" s="79"/>
      <c r="O100" s="79"/>
      <c r="S100" s="79"/>
      <c r="T100" s="79"/>
      <c r="Y100" s="79"/>
      <c r="AD100" s="130"/>
      <c r="AF100" s="106"/>
    </row>
    <row r="101">
      <c r="C101" s="79"/>
      <c r="D101" s="79"/>
      <c r="E101" s="79"/>
      <c r="O101" s="79"/>
      <c r="S101" s="79"/>
      <c r="T101" s="79"/>
      <c r="Y101" s="79"/>
      <c r="AD101" s="130"/>
      <c r="AF101" s="106"/>
    </row>
    <row r="102">
      <c r="C102" s="79"/>
      <c r="D102" s="79"/>
      <c r="E102" s="79"/>
      <c r="O102" s="79"/>
      <c r="S102" s="79"/>
      <c r="T102" s="79"/>
      <c r="Y102" s="79"/>
      <c r="AD102" s="130"/>
      <c r="AF102" s="106"/>
    </row>
    <row r="103">
      <c r="C103" s="79"/>
      <c r="D103" s="79"/>
      <c r="E103" s="79"/>
      <c r="O103" s="79"/>
      <c r="S103" s="79"/>
      <c r="T103" s="79"/>
      <c r="Y103" s="79"/>
      <c r="AD103" s="130"/>
      <c r="AF103" s="106"/>
    </row>
    <row r="104">
      <c r="C104" s="79"/>
      <c r="D104" s="79"/>
      <c r="E104" s="79"/>
      <c r="O104" s="79"/>
      <c r="S104" s="79"/>
      <c r="T104" s="79"/>
      <c r="Y104" s="79"/>
      <c r="AD104" s="130"/>
      <c r="AF104" s="106"/>
    </row>
    <row r="105">
      <c r="C105" s="79"/>
      <c r="D105" s="79"/>
      <c r="E105" s="79"/>
      <c r="O105" s="79"/>
      <c r="S105" s="79"/>
      <c r="T105" s="79"/>
      <c r="Y105" s="79"/>
      <c r="AD105" s="130"/>
      <c r="AF105" s="106"/>
    </row>
    <row r="106">
      <c r="C106" s="79"/>
      <c r="D106" s="79"/>
      <c r="E106" s="79"/>
      <c r="O106" s="79"/>
      <c r="S106" s="79"/>
      <c r="T106" s="79"/>
      <c r="Y106" s="79"/>
      <c r="AD106" s="130"/>
      <c r="AF106" s="106"/>
    </row>
    <row r="107">
      <c r="C107" s="79"/>
      <c r="D107" s="79"/>
      <c r="E107" s="79"/>
      <c r="O107" s="79"/>
      <c r="S107" s="79"/>
      <c r="T107" s="79"/>
      <c r="Y107" s="79"/>
      <c r="AD107" s="130"/>
      <c r="AF107" s="106"/>
    </row>
    <row r="108">
      <c r="C108" s="79"/>
      <c r="D108" s="79"/>
      <c r="E108" s="79"/>
      <c r="O108" s="79"/>
      <c r="S108" s="79"/>
      <c r="T108" s="79"/>
      <c r="Y108" s="79"/>
      <c r="AD108" s="130"/>
      <c r="AF108" s="106"/>
    </row>
    <row r="109">
      <c r="C109" s="79"/>
      <c r="D109" s="79"/>
      <c r="E109" s="79"/>
      <c r="O109" s="79"/>
      <c r="S109" s="79"/>
      <c r="T109" s="79"/>
      <c r="Y109" s="79"/>
      <c r="AD109" s="130"/>
      <c r="AF109" s="106"/>
    </row>
    <row r="110">
      <c r="C110" s="79"/>
      <c r="D110" s="79"/>
      <c r="E110" s="79"/>
      <c r="O110" s="79"/>
      <c r="S110" s="79"/>
      <c r="T110" s="79"/>
      <c r="Y110" s="79"/>
      <c r="AD110" s="130"/>
      <c r="AF110" s="106"/>
    </row>
    <row r="111">
      <c r="C111" s="79"/>
      <c r="D111" s="79"/>
      <c r="E111" s="79"/>
      <c r="O111" s="79"/>
      <c r="S111" s="79"/>
      <c r="T111" s="79"/>
      <c r="Y111" s="79"/>
      <c r="AD111" s="130"/>
      <c r="AF111" s="106"/>
    </row>
    <row r="112">
      <c r="C112" s="79"/>
      <c r="D112" s="79"/>
      <c r="E112" s="79"/>
      <c r="O112" s="79"/>
      <c r="S112" s="79"/>
      <c r="T112" s="79"/>
      <c r="Y112" s="79"/>
      <c r="AD112" s="130"/>
      <c r="AF112" s="106"/>
    </row>
    <row r="113">
      <c r="C113" s="79"/>
      <c r="D113" s="79"/>
      <c r="E113" s="79"/>
      <c r="O113" s="79"/>
      <c r="S113" s="79"/>
      <c r="T113" s="79"/>
      <c r="Y113" s="79"/>
      <c r="AD113" s="130"/>
      <c r="AF113" s="106"/>
    </row>
    <row r="114">
      <c r="C114" s="79"/>
      <c r="D114" s="79"/>
      <c r="E114" s="79"/>
      <c r="O114" s="79"/>
      <c r="S114" s="79"/>
      <c r="T114" s="79"/>
      <c r="Y114" s="79"/>
      <c r="AD114" s="130"/>
      <c r="AF114" s="106"/>
    </row>
    <row r="115">
      <c r="C115" s="79"/>
      <c r="D115" s="79"/>
      <c r="E115" s="79"/>
      <c r="O115" s="79"/>
      <c r="S115" s="79"/>
      <c r="T115" s="79"/>
      <c r="Y115" s="79"/>
      <c r="AD115" s="130"/>
      <c r="AF115" s="106"/>
    </row>
    <row r="116">
      <c r="C116" s="79"/>
      <c r="D116" s="79"/>
      <c r="E116" s="79"/>
      <c r="O116" s="79"/>
      <c r="S116" s="79"/>
      <c r="T116" s="79"/>
      <c r="Y116" s="79"/>
      <c r="AD116" s="130"/>
      <c r="AF116" s="106"/>
    </row>
    <row r="117">
      <c r="C117" s="79"/>
      <c r="D117" s="79"/>
      <c r="E117" s="79"/>
      <c r="O117" s="79"/>
      <c r="S117" s="79"/>
      <c r="T117" s="79"/>
      <c r="Y117" s="79"/>
      <c r="AD117" s="130"/>
      <c r="AF117" s="106"/>
    </row>
    <row r="118">
      <c r="C118" s="79"/>
      <c r="D118" s="79"/>
      <c r="E118" s="79"/>
      <c r="O118" s="79"/>
      <c r="S118" s="79"/>
      <c r="T118" s="79"/>
      <c r="Y118" s="79"/>
      <c r="AD118" s="130"/>
      <c r="AF118" s="106"/>
    </row>
    <row r="119">
      <c r="C119" s="79"/>
      <c r="D119" s="79"/>
      <c r="E119" s="79"/>
      <c r="O119" s="79"/>
      <c r="S119" s="79"/>
      <c r="T119" s="79"/>
      <c r="Y119" s="79"/>
      <c r="AD119" s="130"/>
      <c r="AF119" s="106"/>
    </row>
    <row r="120">
      <c r="C120" s="79"/>
      <c r="D120" s="79"/>
      <c r="E120" s="79"/>
      <c r="O120" s="79"/>
      <c r="S120" s="79"/>
      <c r="T120" s="79"/>
      <c r="Y120" s="79"/>
      <c r="AD120" s="130"/>
      <c r="AF120" s="106"/>
    </row>
    <row r="121">
      <c r="C121" s="79"/>
      <c r="D121" s="79"/>
      <c r="E121" s="79"/>
      <c r="O121" s="79"/>
      <c r="S121" s="79"/>
      <c r="T121" s="79"/>
      <c r="Y121" s="79"/>
      <c r="AD121" s="130"/>
      <c r="AF121" s="106"/>
    </row>
    <row r="122">
      <c r="C122" s="79"/>
      <c r="D122" s="79"/>
      <c r="E122" s="79"/>
      <c r="O122" s="79"/>
      <c r="S122" s="79"/>
      <c r="T122" s="79"/>
      <c r="Y122" s="79"/>
      <c r="AD122" s="130"/>
      <c r="AF122" s="106"/>
    </row>
    <row r="123">
      <c r="C123" s="79"/>
      <c r="D123" s="79"/>
      <c r="E123" s="79"/>
      <c r="O123" s="79"/>
      <c r="S123" s="79"/>
      <c r="T123" s="79"/>
      <c r="Y123" s="79"/>
      <c r="AD123" s="130"/>
      <c r="AF123" s="106"/>
    </row>
    <row r="124">
      <c r="C124" s="79"/>
      <c r="D124" s="79"/>
      <c r="E124" s="79"/>
      <c r="O124" s="79"/>
      <c r="S124" s="79"/>
      <c r="T124" s="79"/>
      <c r="Y124" s="79"/>
      <c r="AD124" s="130"/>
      <c r="AF124" s="106"/>
    </row>
    <row r="125">
      <c r="C125" s="79"/>
      <c r="D125" s="79"/>
      <c r="E125" s="79"/>
      <c r="O125" s="79"/>
      <c r="S125" s="79"/>
      <c r="T125" s="79"/>
      <c r="Y125" s="79"/>
      <c r="AD125" s="130"/>
      <c r="AF125" s="106"/>
    </row>
    <row r="126">
      <c r="C126" s="79"/>
      <c r="D126" s="79"/>
      <c r="E126" s="79"/>
      <c r="O126" s="79"/>
      <c r="S126" s="79"/>
      <c r="T126" s="79"/>
      <c r="Y126" s="79"/>
      <c r="AD126" s="130"/>
      <c r="AF126" s="106"/>
    </row>
    <row r="127">
      <c r="C127" s="79"/>
      <c r="D127" s="79"/>
      <c r="E127" s="79"/>
      <c r="O127" s="79"/>
      <c r="S127" s="79"/>
      <c r="T127" s="79"/>
      <c r="Y127" s="79"/>
      <c r="AD127" s="130"/>
      <c r="AF127" s="106"/>
    </row>
    <row r="128">
      <c r="C128" s="79"/>
      <c r="D128" s="79"/>
      <c r="E128" s="79"/>
      <c r="O128" s="79"/>
      <c r="S128" s="79"/>
      <c r="T128" s="79"/>
      <c r="Y128" s="79"/>
      <c r="AD128" s="130"/>
      <c r="AF128" s="106"/>
    </row>
    <row r="129">
      <c r="C129" s="79"/>
      <c r="D129" s="79"/>
      <c r="E129" s="79"/>
      <c r="O129" s="79"/>
      <c r="S129" s="79"/>
      <c r="T129" s="79"/>
      <c r="Y129" s="79"/>
      <c r="AD129" s="130"/>
      <c r="AF129" s="106"/>
    </row>
    <row r="130">
      <c r="C130" s="79"/>
      <c r="D130" s="79"/>
      <c r="E130" s="79"/>
      <c r="O130" s="79"/>
      <c r="S130" s="79"/>
      <c r="T130" s="79"/>
      <c r="Y130" s="79"/>
      <c r="AD130" s="130"/>
      <c r="AF130" s="106"/>
    </row>
    <row r="131">
      <c r="C131" s="79"/>
      <c r="D131" s="79"/>
      <c r="E131" s="79"/>
      <c r="O131" s="79"/>
      <c r="S131" s="79"/>
      <c r="T131" s="79"/>
      <c r="Y131" s="79"/>
      <c r="AD131" s="130"/>
      <c r="AF131" s="106"/>
    </row>
    <row r="132">
      <c r="C132" s="79"/>
      <c r="D132" s="79"/>
      <c r="E132" s="79"/>
      <c r="O132" s="79"/>
      <c r="S132" s="79"/>
      <c r="T132" s="79"/>
      <c r="Y132" s="79"/>
      <c r="AD132" s="130"/>
      <c r="AF132" s="106"/>
    </row>
    <row r="133">
      <c r="C133" s="79"/>
      <c r="D133" s="79"/>
      <c r="E133" s="79"/>
      <c r="O133" s="79"/>
      <c r="S133" s="79"/>
      <c r="T133" s="79"/>
      <c r="Y133" s="79"/>
      <c r="AD133" s="130"/>
      <c r="AF133" s="106"/>
    </row>
    <row r="134">
      <c r="C134" s="79"/>
      <c r="D134" s="79"/>
      <c r="E134" s="79"/>
      <c r="O134" s="79"/>
      <c r="S134" s="79"/>
      <c r="T134" s="79"/>
      <c r="Y134" s="79"/>
      <c r="AD134" s="130"/>
      <c r="AF134" s="106"/>
    </row>
    <row r="135">
      <c r="C135" s="79"/>
      <c r="D135" s="79"/>
      <c r="E135" s="79"/>
      <c r="O135" s="79"/>
      <c r="S135" s="79"/>
      <c r="T135" s="79"/>
      <c r="Y135" s="79"/>
      <c r="AD135" s="130"/>
      <c r="AF135" s="106"/>
    </row>
    <row r="136">
      <c r="C136" s="79"/>
      <c r="D136" s="79"/>
      <c r="E136" s="79"/>
      <c r="O136" s="79"/>
      <c r="S136" s="79"/>
      <c r="T136" s="79"/>
      <c r="Y136" s="79"/>
      <c r="AD136" s="130"/>
      <c r="AF136" s="106"/>
    </row>
    <row r="137">
      <c r="C137" s="79"/>
      <c r="D137" s="79"/>
      <c r="E137" s="79"/>
      <c r="O137" s="79"/>
      <c r="S137" s="79"/>
      <c r="T137" s="79"/>
      <c r="Y137" s="79"/>
      <c r="AD137" s="130"/>
      <c r="AF137" s="106"/>
    </row>
    <row r="138">
      <c r="C138" s="79"/>
      <c r="D138" s="79"/>
      <c r="E138" s="79"/>
      <c r="O138" s="79"/>
      <c r="S138" s="79"/>
      <c r="T138" s="79"/>
      <c r="Y138" s="79"/>
      <c r="AD138" s="130"/>
      <c r="AF138" s="106"/>
    </row>
    <row r="139">
      <c r="C139" s="79"/>
      <c r="D139" s="79"/>
      <c r="E139" s="79"/>
      <c r="O139" s="79"/>
      <c r="S139" s="79"/>
      <c r="T139" s="79"/>
      <c r="Y139" s="79"/>
      <c r="AD139" s="130"/>
      <c r="AF139" s="106"/>
    </row>
    <row r="140">
      <c r="C140" s="79"/>
      <c r="D140" s="79"/>
      <c r="E140" s="79"/>
      <c r="O140" s="79"/>
      <c r="S140" s="79"/>
      <c r="T140" s="79"/>
      <c r="Y140" s="79"/>
      <c r="AD140" s="130"/>
      <c r="AF140" s="106"/>
    </row>
    <row r="141">
      <c r="C141" s="79"/>
      <c r="D141" s="79"/>
      <c r="E141" s="79"/>
      <c r="O141" s="79"/>
      <c r="S141" s="79"/>
      <c r="T141" s="79"/>
      <c r="Y141" s="79"/>
      <c r="AD141" s="130"/>
      <c r="AF141" s="106"/>
    </row>
    <row r="142">
      <c r="C142" s="79"/>
      <c r="D142" s="79"/>
      <c r="E142" s="79"/>
      <c r="O142" s="79"/>
      <c r="S142" s="79"/>
      <c r="T142" s="79"/>
      <c r="Y142" s="79"/>
      <c r="AD142" s="130"/>
      <c r="AF142" s="106"/>
    </row>
    <row r="143">
      <c r="C143" s="79"/>
      <c r="D143" s="79"/>
      <c r="E143" s="79"/>
      <c r="O143" s="79"/>
      <c r="S143" s="79"/>
      <c r="T143" s="79"/>
      <c r="Y143" s="79"/>
      <c r="AD143" s="130"/>
      <c r="AF143" s="106"/>
    </row>
    <row r="144">
      <c r="C144" s="79"/>
      <c r="D144" s="79"/>
      <c r="E144" s="79"/>
      <c r="O144" s="79"/>
      <c r="S144" s="79"/>
      <c r="T144" s="79"/>
      <c r="Y144" s="79"/>
      <c r="AD144" s="130"/>
      <c r="AF144" s="106"/>
    </row>
    <row r="145">
      <c r="C145" s="79"/>
      <c r="D145" s="79"/>
      <c r="E145" s="79"/>
      <c r="O145" s="79"/>
      <c r="S145" s="79"/>
      <c r="T145" s="79"/>
      <c r="Y145" s="79"/>
      <c r="AD145" s="130"/>
      <c r="AF145" s="106"/>
    </row>
    <row r="146">
      <c r="C146" s="79"/>
      <c r="D146" s="79"/>
      <c r="E146" s="79"/>
      <c r="O146" s="79"/>
      <c r="S146" s="79"/>
      <c r="T146" s="79"/>
      <c r="Y146" s="79"/>
      <c r="AD146" s="130"/>
      <c r="AF146" s="106"/>
    </row>
    <row r="147">
      <c r="C147" s="79"/>
      <c r="D147" s="79"/>
      <c r="E147" s="79"/>
      <c r="O147" s="79"/>
      <c r="S147" s="79"/>
      <c r="T147" s="79"/>
      <c r="Y147" s="79"/>
      <c r="AD147" s="130"/>
      <c r="AF147" s="106"/>
    </row>
    <row r="148">
      <c r="C148" s="79"/>
      <c r="D148" s="79"/>
      <c r="E148" s="79"/>
      <c r="O148" s="79"/>
      <c r="S148" s="79"/>
      <c r="T148" s="79"/>
      <c r="Y148" s="79"/>
      <c r="AD148" s="130"/>
      <c r="AF148" s="106"/>
    </row>
    <row r="149">
      <c r="C149" s="79"/>
      <c r="D149" s="79"/>
      <c r="E149" s="79"/>
      <c r="O149" s="79"/>
      <c r="S149" s="79"/>
      <c r="T149" s="79"/>
      <c r="Y149" s="79"/>
      <c r="AD149" s="130"/>
      <c r="AF149" s="106"/>
    </row>
    <row r="150">
      <c r="C150" s="79"/>
      <c r="D150" s="79"/>
      <c r="E150" s="79"/>
      <c r="O150" s="79"/>
      <c r="S150" s="79"/>
      <c r="T150" s="79"/>
      <c r="Y150" s="79"/>
      <c r="AD150" s="130"/>
      <c r="AF150" s="106"/>
    </row>
    <row r="151">
      <c r="C151" s="79"/>
      <c r="D151" s="79"/>
      <c r="E151" s="79"/>
      <c r="O151" s="79"/>
      <c r="S151" s="79"/>
      <c r="T151" s="79"/>
      <c r="Y151" s="79"/>
      <c r="AD151" s="130"/>
      <c r="AF151" s="106"/>
    </row>
    <row r="152">
      <c r="C152" s="79"/>
      <c r="D152" s="79"/>
      <c r="E152" s="79"/>
      <c r="O152" s="79"/>
      <c r="S152" s="79"/>
      <c r="T152" s="79"/>
      <c r="Y152" s="79"/>
      <c r="AD152" s="130"/>
      <c r="AF152" s="106"/>
    </row>
    <row r="153">
      <c r="C153" s="79"/>
      <c r="D153" s="79"/>
      <c r="E153" s="79"/>
      <c r="O153" s="79"/>
      <c r="S153" s="79"/>
      <c r="T153" s="79"/>
      <c r="Y153" s="79"/>
      <c r="AD153" s="130"/>
      <c r="AF153" s="106"/>
    </row>
    <row r="154">
      <c r="C154" s="79"/>
      <c r="D154" s="79"/>
      <c r="E154" s="79"/>
      <c r="O154" s="79"/>
      <c r="S154" s="79"/>
      <c r="T154" s="79"/>
      <c r="Y154" s="79"/>
      <c r="AD154" s="130"/>
      <c r="AF154" s="106"/>
    </row>
    <row r="155">
      <c r="C155" s="79"/>
      <c r="D155" s="79"/>
      <c r="E155" s="79"/>
      <c r="O155" s="79"/>
      <c r="S155" s="79"/>
      <c r="T155" s="79"/>
      <c r="Y155" s="79"/>
      <c r="AD155" s="130"/>
      <c r="AF155" s="106"/>
    </row>
    <row r="156">
      <c r="C156" s="79"/>
      <c r="D156" s="79"/>
      <c r="E156" s="79"/>
      <c r="O156" s="79"/>
      <c r="S156" s="79"/>
      <c r="T156" s="79"/>
      <c r="Y156" s="79"/>
      <c r="AD156" s="130"/>
      <c r="AF156" s="106"/>
    </row>
    <row r="157">
      <c r="C157" s="79"/>
      <c r="D157" s="79"/>
      <c r="E157" s="79"/>
      <c r="O157" s="79"/>
      <c r="S157" s="79"/>
      <c r="T157" s="79"/>
      <c r="Y157" s="79"/>
      <c r="AD157" s="130"/>
      <c r="AF157" s="106"/>
    </row>
    <row r="158">
      <c r="C158" s="79"/>
      <c r="D158" s="79"/>
      <c r="E158" s="79"/>
      <c r="O158" s="79"/>
      <c r="S158" s="79"/>
      <c r="T158" s="79"/>
      <c r="Y158" s="79"/>
      <c r="AD158" s="130"/>
      <c r="AF158" s="106"/>
    </row>
    <row r="159">
      <c r="C159" s="79"/>
      <c r="D159" s="79"/>
      <c r="E159" s="79"/>
      <c r="O159" s="79"/>
      <c r="S159" s="79"/>
      <c r="T159" s="79"/>
      <c r="Y159" s="79"/>
      <c r="AD159" s="130"/>
      <c r="AF159" s="106"/>
    </row>
    <row r="160">
      <c r="C160" s="79"/>
      <c r="D160" s="79"/>
      <c r="E160" s="79"/>
      <c r="O160" s="79"/>
      <c r="S160" s="79"/>
      <c r="T160" s="79"/>
      <c r="Y160" s="79"/>
      <c r="AD160" s="130"/>
      <c r="AF160" s="106"/>
    </row>
    <row r="161">
      <c r="C161" s="79"/>
      <c r="D161" s="79"/>
      <c r="E161" s="79"/>
      <c r="O161" s="79"/>
      <c r="S161" s="79"/>
      <c r="T161" s="79"/>
      <c r="Y161" s="79"/>
      <c r="AD161" s="130"/>
      <c r="AF161" s="106"/>
    </row>
    <row r="162">
      <c r="C162" s="79"/>
      <c r="D162" s="79"/>
      <c r="E162" s="79"/>
      <c r="O162" s="79"/>
      <c r="S162" s="79"/>
      <c r="T162" s="79"/>
      <c r="Y162" s="79"/>
      <c r="AD162" s="130"/>
      <c r="AF162" s="106"/>
    </row>
    <row r="163">
      <c r="C163" s="79"/>
      <c r="D163" s="79"/>
      <c r="E163" s="79"/>
      <c r="O163" s="79"/>
      <c r="S163" s="79"/>
      <c r="T163" s="79"/>
      <c r="Y163" s="79"/>
      <c r="AD163" s="130"/>
      <c r="AF163" s="106"/>
    </row>
    <row r="164">
      <c r="C164" s="79"/>
      <c r="D164" s="79"/>
      <c r="E164" s="79"/>
      <c r="O164" s="79"/>
      <c r="S164" s="79"/>
      <c r="T164" s="79"/>
      <c r="Y164" s="79"/>
      <c r="AD164" s="130"/>
      <c r="AF164" s="106"/>
    </row>
    <row r="165">
      <c r="C165" s="79"/>
      <c r="D165" s="79"/>
      <c r="E165" s="79"/>
      <c r="O165" s="79"/>
      <c r="S165" s="79"/>
      <c r="T165" s="79"/>
      <c r="Y165" s="79"/>
      <c r="AD165" s="130"/>
      <c r="AF165" s="106"/>
    </row>
    <row r="166">
      <c r="C166" s="79"/>
      <c r="D166" s="79"/>
      <c r="E166" s="79"/>
      <c r="O166" s="79"/>
      <c r="S166" s="79"/>
      <c r="T166" s="79"/>
      <c r="Y166" s="79"/>
      <c r="AD166" s="130"/>
      <c r="AF166" s="106"/>
    </row>
    <row r="167">
      <c r="C167" s="79"/>
      <c r="D167" s="79"/>
      <c r="E167" s="79"/>
      <c r="O167" s="79"/>
      <c r="S167" s="79"/>
      <c r="T167" s="79"/>
      <c r="Y167" s="79"/>
      <c r="AD167" s="130"/>
      <c r="AF167" s="106"/>
    </row>
    <row r="168">
      <c r="C168" s="79"/>
      <c r="D168" s="79"/>
      <c r="E168" s="79"/>
      <c r="O168" s="79"/>
      <c r="S168" s="79"/>
      <c r="T168" s="79"/>
      <c r="Y168" s="79"/>
      <c r="AD168" s="130"/>
      <c r="AF168" s="106"/>
    </row>
    <row r="169">
      <c r="C169" s="79"/>
      <c r="D169" s="79"/>
      <c r="E169" s="79"/>
      <c r="O169" s="79"/>
      <c r="S169" s="79"/>
      <c r="T169" s="79"/>
      <c r="Y169" s="79"/>
      <c r="AD169" s="130"/>
      <c r="AF169" s="106"/>
    </row>
    <row r="170">
      <c r="C170" s="79"/>
      <c r="D170" s="79"/>
      <c r="E170" s="79"/>
      <c r="O170" s="79"/>
      <c r="S170" s="79"/>
      <c r="T170" s="79"/>
      <c r="Y170" s="79"/>
      <c r="AD170" s="130"/>
      <c r="AF170" s="106"/>
    </row>
    <row r="171">
      <c r="C171" s="79"/>
      <c r="D171" s="79"/>
      <c r="E171" s="79"/>
      <c r="O171" s="79"/>
      <c r="S171" s="79"/>
      <c r="T171" s="79"/>
      <c r="Y171" s="79"/>
      <c r="AD171" s="130"/>
      <c r="AF171" s="106"/>
    </row>
    <row r="172">
      <c r="C172" s="79"/>
      <c r="D172" s="79"/>
      <c r="E172" s="79"/>
      <c r="O172" s="79"/>
      <c r="S172" s="79"/>
      <c r="T172" s="79"/>
      <c r="Y172" s="79"/>
      <c r="AD172" s="130"/>
      <c r="AF172" s="106"/>
    </row>
    <row r="173">
      <c r="C173" s="79"/>
      <c r="D173" s="79"/>
      <c r="E173" s="79"/>
      <c r="O173" s="79"/>
      <c r="S173" s="79"/>
      <c r="T173" s="79"/>
      <c r="Y173" s="79"/>
      <c r="AD173" s="130"/>
      <c r="AF173" s="106"/>
    </row>
    <row r="174">
      <c r="C174" s="79"/>
      <c r="D174" s="79"/>
      <c r="E174" s="79"/>
      <c r="O174" s="79"/>
      <c r="S174" s="79"/>
      <c r="T174" s="79"/>
      <c r="Y174" s="79"/>
      <c r="AD174" s="130"/>
      <c r="AF174" s="106"/>
    </row>
    <row r="175">
      <c r="C175" s="79"/>
      <c r="D175" s="79"/>
      <c r="E175" s="79"/>
      <c r="O175" s="79"/>
      <c r="S175" s="79"/>
      <c r="T175" s="79"/>
      <c r="Y175" s="79"/>
      <c r="AD175" s="130"/>
      <c r="AF175" s="106"/>
    </row>
    <row r="176">
      <c r="C176" s="79"/>
      <c r="D176" s="79"/>
      <c r="E176" s="79"/>
      <c r="O176" s="79"/>
      <c r="S176" s="79"/>
      <c r="T176" s="79"/>
      <c r="Y176" s="79"/>
      <c r="AD176" s="130"/>
      <c r="AF176" s="106"/>
    </row>
    <row r="177">
      <c r="C177" s="79"/>
      <c r="D177" s="79"/>
      <c r="E177" s="79"/>
      <c r="O177" s="79"/>
      <c r="S177" s="79"/>
      <c r="T177" s="79"/>
      <c r="Y177" s="79"/>
      <c r="AD177" s="130"/>
      <c r="AF177" s="106"/>
    </row>
    <row r="178">
      <c r="C178" s="79"/>
      <c r="D178" s="79"/>
      <c r="E178" s="79"/>
      <c r="O178" s="79"/>
      <c r="S178" s="79"/>
      <c r="T178" s="79"/>
      <c r="Y178" s="79"/>
      <c r="AD178" s="130"/>
      <c r="AF178" s="106"/>
    </row>
    <row r="179">
      <c r="C179" s="79"/>
      <c r="D179" s="79"/>
      <c r="E179" s="79"/>
      <c r="O179" s="79"/>
      <c r="S179" s="79"/>
      <c r="T179" s="79"/>
      <c r="Y179" s="79"/>
      <c r="AD179" s="130"/>
      <c r="AF179" s="106"/>
    </row>
    <row r="180">
      <c r="C180" s="79"/>
      <c r="D180" s="79"/>
      <c r="E180" s="79"/>
      <c r="O180" s="79"/>
      <c r="S180" s="79"/>
      <c r="T180" s="79"/>
      <c r="Y180" s="79"/>
      <c r="AD180" s="130"/>
      <c r="AF180" s="106"/>
    </row>
    <row r="181">
      <c r="C181" s="79"/>
      <c r="D181" s="79"/>
      <c r="E181" s="79"/>
      <c r="O181" s="79"/>
      <c r="S181" s="79"/>
      <c r="T181" s="79"/>
      <c r="Y181" s="79"/>
      <c r="AD181" s="130"/>
      <c r="AF181" s="106"/>
    </row>
    <row r="182">
      <c r="C182" s="79"/>
      <c r="D182" s="79"/>
      <c r="E182" s="79"/>
      <c r="O182" s="79"/>
      <c r="S182" s="79"/>
      <c r="T182" s="79"/>
      <c r="Y182" s="79"/>
      <c r="AD182" s="130"/>
      <c r="AF182" s="106"/>
    </row>
    <row r="183">
      <c r="C183" s="79"/>
      <c r="D183" s="79"/>
      <c r="E183" s="79"/>
      <c r="O183" s="79"/>
      <c r="S183" s="79"/>
      <c r="T183" s="79"/>
      <c r="Y183" s="79"/>
      <c r="AD183" s="130"/>
      <c r="AF183" s="106"/>
    </row>
    <row r="184">
      <c r="C184" s="79"/>
      <c r="D184" s="79"/>
      <c r="E184" s="79"/>
      <c r="O184" s="79"/>
      <c r="S184" s="79"/>
      <c r="T184" s="79"/>
      <c r="Y184" s="79"/>
      <c r="AD184" s="130"/>
      <c r="AF184" s="106"/>
    </row>
    <row r="185">
      <c r="C185" s="79"/>
      <c r="D185" s="79"/>
      <c r="E185" s="79"/>
      <c r="O185" s="79"/>
      <c r="S185" s="79"/>
      <c r="T185" s="79"/>
      <c r="Y185" s="79"/>
      <c r="AD185" s="130"/>
      <c r="AF185" s="106"/>
    </row>
    <row r="186">
      <c r="C186" s="79"/>
      <c r="D186" s="79"/>
      <c r="E186" s="79"/>
      <c r="O186" s="79"/>
      <c r="S186" s="79"/>
      <c r="T186" s="79"/>
      <c r="Y186" s="79"/>
      <c r="AD186" s="130"/>
      <c r="AF186" s="106"/>
    </row>
    <row r="187">
      <c r="C187" s="79"/>
      <c r="D187" s="79"/>
      <c r="E187" s="79"/>
      <c r="O187" s="79"/>
      <c r="S187" s="79"/>
      <c r="T187" s="79"/>
      <c r="Y187" s="79"/>
      <c r="AD187" s="130"/>
      <c r="AF187" s="106"/>
    </row>
    <row r="188">
      <c r="C188" s="79"/>
      <c r="D188" s="79"/>
      <c r="E188" s="79"/>
      <c r="O188" s="79"/>
      <c r="S188" s="79"/>
      <c r="T188" s="79"/>
      <c r="Y188" s="79"/>
      <c r="AD188" s="130"/>
      <c r="AF188" s="106"/>
    </row>
    <row r="189">
      <c r="C189" s="79"/>
      <c r="D189" s="79"/>
      <c r="E189" s="79"/>
      <c r="O189" s="79"/>
      <c r="S189" s="79"/>
      <c r="T189" s="79"/>
      <c r="Y189" s="79"/>
      <c r="AD189" s="130"/>
      <c r="AF189" s="106"/>
    </row>
    <row r="190">
      <c r="C190" s="79"/>
      <c r="D190" s="79"/>
      <c r="E190" s="79"/>
      <c r="O190" s="79"/>
      <c r="S190" s="79"/>
      <c r="T190" s="79"/>
      <c r="Y190" s="79"/>
      <c r="AD190" s="130"/>
      <c r="AF190" s="106"/>
    </row>
    <row r="191">
      <c r="C191" s="79"/>
      <c r="D191" s="79"/>
      <c r="E191" s="79"/>
      <c r="O191" s="79"/>
      <c r="S191" s="79"/>
      <c r="T191" s="79"/>
      <c r="Y191" s="79"/>
      <c r="AD191" s="130"/>
      <c r="AF191" s="106"/>
    </row>
    <row r="192">
      <c r="C192" s="79"/>
      <c r="D192" s="79"/>
      <c r="E192" s="79"/>
      <c r="O192" s="79"/>
      <c r="S192" s="79"/>
      <c r="T192" s="79"/>
      <c r="Y192" s="79"/>
      <c r="AD192" s="130"/>
      <c r="AF192" s="106"/>
    </row>
    <row r="193">
      <c r="C193" s="79"/>
      <c r="D193" s="79"/>
      <c r="E193" s="79"/>
      <c r="O193" s="79"/>
      <c r="S193" s="79"/>
      <c r="T193" s="79"/>
      <c r="Y193" s="79"/>
      <c r="AD193" s="130"/>
      <c r="AF193" s="106"/>
    </row>
    <row r="194">
      <c r="C194" s="79"/>
      <c r="D194" s="79"/>
      <c r="E194" s="79"/>
      <c r="O194" s="79"/>
      <c r="S194" s="79"/>
      <c r="T194" s="79"/>
      <c r="Y194" s="79"/>
      <c r="AD194" s="130"/>
      <c r="AF194" s="106"/>
    </row>
    <row r="195">
      <c r="C195" s="79"/>
      <c r="D195" s="79"/>
      <c r="E195" s="79"/>
      <c r="O195" s="79"/>
      <c r="S195" s="79"/>
      <c r="T195" s="79"/>
      <c r="Y195" s="79"/>
      <c r="AD195" s="130"/>
      <c r="AF195" s="106"/>
    </row>
    <row r="196">
      <c r="C196" s="79"/>
      <c r="D196" s="79"/>
      <c r="E196" s="79"/>
      <c r="O196" s="79"/>
      <c r="S196" s="79"/>
      <c r="T196" s="79"/>
      <c r="Y196" s="79"/>
      <c r="AD196" s="130"/>
      <c r="AF196" s="106"/>
    </row>
    <row r="197">
      <c r="C197" s="79"/>
      <c r="D197" s="79"/>
      <c r="E197" s="79"/>
      <c r="O197" s="79"/>
      <c r="S197" s="79"/>
      <c r="T197" s="79"/>
      <c r="Y197" s="79"/>
      <c r="AD197" s="130"/>
      <c r="AF197" s="106"/>
    </row>
    <row r="198">
      <c r="C198" s="79"/>
      <c r="D198" s="79"/>
      <c r="E198" s="79"/>
      <c r="O198" s="79"/>
      <c r="S198" s="79"/>
      <c r="T198" s="79"/>
      <c r="Y198" s="79"/>
      <c r="AD198" s="130"/>
      <c r="AF198" s="106"/>
    </row>
    <row r="199">
      <c r="C199" s="79"/>
      <c r="D199" s="79"/>
      <c r="E199" s="79"/>
      <c r="O199" s="79"/>
      <c r="S199" s="79"/>
      <c r="T199" s="79"/>
      <c r="Y199" s="79"/>
      <c r="AD199" s="130"/>
      <c r="AF199" s="106"/>
    </row>
    <row r="200">
      <c r="C200" s="79"/>
      <c r="D200" s="79"/>
      <c r="E200" s="79"/>
      <c r="O200" s="79"/>
      <c r="S200" s="79"/>
      <c r="T200" s="79"/>
      <c r="Y200" s="79"/>
      <c r="AD200" s="130"/>
      <c r="AF200" s="106"/>
    </row>
    <row r="201">
      <c r="C201" s="79"/>
      <c r="D201" s="79"/>
      <c r="E201" s="79"/>
      <c r="O201" s="79"/>
      <c r="S201" s="79"/>
      <c r="T201" s="79"/>
      <c r="Y201" s="79"/>
      <c r="AD201" s="130"/>
      <c r="AF201" s="106"/>
    </row>
    <row r="202">
      <c r="C202" s="79"/>
      <c r="D202" s="79"/>
      <c r="E202" s="79"/>
      <c r="O202" s="79"/>
      <c r="S202" s="79"/>
      <c r="T202" s="79"/>
      <c r="Y202" s="79"/>
      <c r="AD202" s="130"/>
      <c r="AF202" s="106"/>
    </row>
    <row r="203">
      <c r="C203" s="79"/>
      <c r="D203" s="79"/>
      <c r="E203" s="79"/>
      <c r="O203" s="79"/>
      <c r="S203" s="79"/>
      <c r="T203" s="79"/>
      <c r="Y203" s="79"/>
      <c r="AD203" s="130"/>
      <c r="AF203" s="106"/>
    </row>
    <row r="204">
      <c r="C204" s="79"/>
      <c r="D204" s="79"/>
      <c r="E204" s="79"/>
      <c r="O204" s="79"/>
      <c r="S204" s="79"/>
      <c r="T204" s="79"/>
      <c r="Y204" s="79"/>
      <c r="AD204" s="130"/>
      <c r="AF204" s="106"/>
    </row>
    <row r="205">
      <c r="C205" s="79"/>
      <c r="D205" s="79"/>
      <c r="E205" s="79"/>
      <c r="O205" s="79"/>
      <c r="S205" s="79"/>
      <c r="T205" s="79"/>
      <c r="Y205" s="79"/>
      <c r="AD205" s="130"/>
      <c r="AF205" s="106"/>
    </row>
    <row r="206">
      <c r="C206" s="79"/>
      <c r="D206" s="79"/>
      <c r="E206" s="79"/>
      <c r="O206" s="79"/>
      <c r="S206" s="79"/>
      <c r="T206" s="79"/>
      <c r="Y206" s="79"/>
      <c r="AD206" s="130"/>
      <c r="AF206" s="106"/>
    </row>
    <row r="207">
      <c r="C207" s="79"/>
      <c r="D207" s="79"/>
      <c r="E207" s="79"/>
      <c r="O207" s="79"/>
      <c r="S207" s="79"/>
      <c r="T207" s="79"/>
      <c r="Y207" s="79"/>
      <c r="AD207" s="130"/>
      <c r="AF207" s="106"/>
    </row>
    <row r="208">
      <c r="C208" s="79"/>
      <c r="D208" s="79"/>
      <c r="E208" s="79"/>
      <c r="O208" s="79"/>
      <c r="S208" s="79"/>
      <c r="T208" s="79"/>
      <c r="Y208" s="79"/>
      <c r="AD208" s="130"/>
      <c r="AF208" s="106"/>
    </row>
    <row r="209">
      <c r="C209" s="79"/>
      <c r="D209" s="79"/>
      <c r="E209" s="79"/>
      <c r="O209" s="79"/>
      <c r="S209" s="79"/>
      <c r="T209" s="79"/>
      <c r="Y209" s="79"/>
      <c r="AD209" s="130"/>
      <c r="AF209" s="106"/>
    </row>
    <row r="210">
      <c r="C210" s="79"/>
      <c r="D210" s="79"/>
      <c r="E210" s="79"/>
      <c r="O210" s="79"/>
      <c r="S210" s="79"/>
      <c r="T210" s="79"/>
      <c r="Y210" s="79"/>
      <c r="AD210" s="130"/>
      <c r="AF210" s="106"/>
    </row>
    <row r="211">
      <c r="C211" s="79"/>
      <c r="D211" s="79"/>
      <c r="E211" s="79"/>
      <c r="O211" s="79"/>
      <c r="S211" s="79"/>
      <c r="T211" s="79"/>
      <c r="Y211" s="79"/>
      <c r="AD211" s="130"/>
      <c r="AF211" s="106"/>
    </row>
    <row r="212">
      <c r="C212" s="79"/>
      <c r="D212" s="79"/>
      <c r="E212" s="79"/>
      <c r="O212" s="79"/>
      <c r="S212" s="79"/>
      <c r="T212" s="79"/>
      <c r="Y212" s="79"/>
      <c r="AD212" s="130"/>
      <c r="AF212" s="106"/>
    </row>
    <row r="213">
      <c r="C213" s="79"/>
      <c r="D213" s="79"/>
      <c r="E213" s="79"/>
      <c r="O213" s="79"/>
      <c r="S213" s="79"/>
      <c r="T213" s="79"/>
      <c r="Y213" s="79"/>
      <c r="AD213" s="130"/>
      <c r="AF213" s="106"/>
    </row>
    <row r="214">
      <c r="C214" s="79"/>
      <c r="D214" s="79"/>
      <c r="E214" s="79"/>
      <c r="O214" s="79"/>
      <c r="S214" s="79"/>
      <c r="T214" s="79"/>
      <c r="Y214" s="79"/>
      <c r="AD214" s="130"/>
      <c r="AF214" s="106"/>
    </row>
    <row r="215">
      <c r="C215" s="79"/>
      <c r="D215" s="79"/>
      <c r="E215" s="79"/>
      <c r="O215" s="79"/>
      <c r="S215" s="79"/>
      <c r="T215" s="79"/>
      <c r="Y215" s="79"/>
      <c r="AD215" s="130"/>
      <c r="AF215" s="106"/>
    </row>
    <row r="216">
      <c r="C216" s="79"/>
      <c r="D216" s="79"/>
      <c r="E216" s="79"/>
      <c r="O216" s="79"/>
      <c r="S216" s="79"/>
      <c r="T216" s="79"/>
      <c r="Y216" s="79"/>
      <c r="AD216" s="130"/>
      <c r="AF216" s="106"/>
    </row>
    <row r="217">
      <c r="C217" s="79"/>
      <c r="D217" s="79"/>
      <c r="E217" s="79"/>
      <c r="O217" s="79"/>
      <c r="S217" s="79"/>
      <c r="T217" s="79"/>
      <c r="Y217" s="79"/>
      <c r="AD217" s="130"/>
      <c r="AF217" s="106"/>
    </row>
    <row r="218">
      <c r="C218" s="79"/>
      <c r="D218" s="79"/>
      <c r="E218" s="79"/>
      <c r="O218" s="79"/>
      <c r="S218" s="79"/>
      <c r="T218" s="79"/>
      <c r="Y218" s="79"/>
      <c r="AD218" s="130"/>
      <c r="AF218" s="106"/>
    </row>
    <row r="219">
      <c r="C219" s="79"/>
      <c r="D219" s="79"/>
      <c r="E219" s="79"/>
      <c r="O219" s="79"/>
      <c r="S219" s="79"/>
      <c r="T219" s="79"/>
      <c r="Y219" s="79"/>
      <c r="AD219" s="130"/>
      <c r="AF219" s="106"/>
    </row>
    <row r="220">
      <c r="C220" s="79"/>
      <c r="D220" s="79"/>
      <c r="E220" s="79"/>
      <c r="O220" s="79"/>
      <c r="S220" s="79"/>
      <c r="T220" s="79"/>
      <c r="Y220" s="79"/>
      <c r="AD220" s="130"/>
      <c r="AF220" s="106"/>
    </row>
    <row r="221">
      <c r="C221" s="79"/>
      <c r="D221" s="79"/>
      <c r="E221" s="79"/>
      <c r="O221" s="79"/>
      <c r="S221" s="79"/>
      <c r="T221" s="79"/>
      <c r="Y221" s="79"/>
      <c r="AD221" s="130"/>
      <c r="AF221" s="106"/>
    </row>
    <row r="222">
      <c r="C222" s="79"/>
      <c r="D222" s="79"/>
      <c r="E222" s="79"/>
      <c r="O222" s="79"/>
      <c r="S222" s="79"/>
      <c r="T222" s="79"/>
      <c r="Y222" s="79"/>
      <c r="AD222" s="130"/>
      <c r="AF222" s="106"/>
    </row>
    <row r="223">
      <c r="C223" s="79"/>
      <c r="D223" s="79"/>
      <c r="E223" s="79"/>
      <c r="O223" s="79"/>
      <c r="S223" s="79"/>
      <c r="T223" s="79"/>
      <c r="Y223" s="79"/>
      <c r="AD223" s="130"/>
      <c r="AF223" s="106"/>
    </row>
    <row r="224">
      <c r="C224" s="79"/>
      <c r="D224" s="79"/>
      <c r="E224" s="79"/>
      <c r="O224" s="79"/>
      <c r="S224" s="79"/>
      <c r="T224" s="79"/>
      <c r="Y224" s="79"/>
      <c r="AD224" s="130"/>
      <c r="AF224" s="106"/>
    </row>
    <row r="225">
      <c r="C225" s="79"/>
      <c r="D225" s="79"/>
      <c r="E225" s="79"/>
      <c r="O225" s="79"/>
      <c r="S225" s="79"/>
      <c r="T225" s="79"/>
      <c r="Y225" s="79"/>
      <c r="AD225" s="130"/>
      <c r="AF225" s="106"/>
    </row>
    <row r="226">
      <c r="C226" s="79"/>
      <c r="D226" s="79"/>
      <c r="E226" s="79"/>
      <c r="O226" s="79"/>
      <c r="S226" s="79"/>
      <c r="T226" s="79"/>
      <c r="Y226" s="79"/>
      <c r="AD226" s="130"/>
      <c r="AF226" s="106"/>
    </row>
    <row r="227">
      <c r="C227" s="79"/>
      <c r="D227" s="79"/>
      <c r="E227" s="79"/>
      <c r="O227" s="79"/>
      <c r="S227" s="79"/>
      <c r="T227" s="79"/>
      <c r="Y227" s="79"/>
      <c r="AD227" s="130"/>
      <c r="AF227" s="106"/>
    </row>
    <row r="228">
      <c r="C228" s="79"/>
      <c r="D228" s="79"/>
      <c r="E228" s="79"/>
      <c r="O228" s="79"/>
      <c r="S228" s="79"/>
      <c r="T228" s="79"/>
      <c r="Y228" s="79"/>
      <c r="AD228" s="130"/>
      <c r="AF228" s="106"/>
    </row>
    <row r="229">
      <c r="C229" s="79"/>
      <c r="D229" s="79"/>
      <c r="E229" s="79"/>
      <c r="O229" s="79"/>
      <c r="S229" s="79"/>
      <c r="T229" s="79"/>
      <c r="Y229" s="79"/>
      <c r="AD229" s="130"/>
      <c r="AF229" s="106"/>
    </row>
    <row r="230">
      <c r="C230" s="79"/>
      <c r="D230" s="79"/>
      <c r="E230" s="79"/>
      <c r="O230" s="79"/>
      <c r="S230" s="79"/>
      <c r="T230" s="79"/>
      <c r="Y230" s="79"/>
      <c r="AD230" s="130"/>
      <c r="AF230" s="106"/>
    </row>
    <row r="231">
      <c r="C231" s="79"/>
      <c r="D231" s="79"/>
      <c r="E231" s="79"/>
      <c r="O231" s="79"/>
      <c r="S231" s="79"/>
      <c r="T231" s="79"/>
      <c r="Y231" s="79"/>
      <c r="AD231" s="130"/>
      <c r="AF231" s="106"/>
    </row>
    <row r="232">
      <c r="C232" s="79"/>
      <c r="D232" s="79"/>
      <c r="E232" s="79"/>
      <c r="O232" s="79"/>
      <c r="S232" s="79"/>
      <c r="T232" s="79"/>
      <c r="Y232" s="79"/>
      <c r="AD232" s="130"/>
      <c r="AF232" s="106"/>
    </row>
    <row r="233">
      <c r="C233" s="79"/>
      <c r="D233" s="79"/>
      <c r="E233" s="79"/>
      <c r="O233" s="79"/>
      <c r="S233" s="79"/>
      <c r="T233" s="79"/>
      <c r="Y233" s="79"/>
      <c r="AD233" s="130"/>
      <c r="AF233" s="106"/>
    </row>
    <row r="234">
      <c r="C234" s="79"/>
      <c r="D234" s="79"/>
      <c r="E234" s="79"/>
      <c r="O234" s="79"/>
      <c r="S234" s="79"/>
      <c r="T234" s="79"/>
      <c r="Y234" s="79"/>
      <c r="AD234" s="130"/>
      <c r="AF234" s="106"/>
    </row>
    <row r="235">
      <c r="C235" s="79"/>
      <c r="D235" s="79"/>
      <c r="E235" s="79"/>
      <c r="O235" s="79"/>
      <c r="S235" s="79"/>
      <c r="T235" s="79"/>
      <c r="Y235" s="79"/>
      <c r="AD235" s="130"/>
      <c r="AF235" s="106"/>
    </row>
    <row r="236">
      <c r="C236" s="79"/>
      <c r="D236" s="79"/>
      <c r="E236" s="79"/>
      <c r="O236" s="79"/>
      <c r="S236" s="79"/>
      <c r="T236" s="79"/>
      <c r="Y236" s="79"/>
      <c r="AD236" s="130"/>
      <c r="AF236" s="106"/>
    </row>
    <row r="237">
      <c r="C237" s="79"/>
      <c r="D237" s="79"/>
      <c r="E237" s="79"/>
      <c r="O237" s="79"/>
      <c r="S237" s="79"/>
      <c r="T237" s="79"/>
      <c r="Y237" s="79"/>
      <c r="AD237" s="130"/>
      <c r="AF237" s="106"/>
    </row>
    <row r="238">
      <c r="C238" s="79"/>
      <c r="D238" s="79"/>
      <c r="E238" s="79"/>
      <c r="O238" s="79"/>
      <c r="S238" s="79"/>
      <c r="T238" s="79"/>
      <c r="Y238" s="79"/>
      <c r="AD238" s="130"/>
      <c r="AF238" s="106"/>
    </row>
    <row r="239">
      <c r="C239" s="79"/>
      <c r="D239" s="79"/>
      <c r="E239" s="79"/>
      <c r="O239" s="79"/>
      <c r="S239" s="79"/>
      <c r="T239" s="79"/>
      <c r="Y239" s="79"/>
      <c r="AD239" s="130"/>
      <c r="AF239" s="106"/>
    </row>
    <row r="240">
      <c r="C240" s="79"/>
      <c r="D240" s="79"/>
      <c r="E240" s="79"/>
      <c r="O240" s="79"/>
      <c r="S240" s="79"/>
      <c r="T240" s="79"/>
      <c r="Y240" s="79"/>
      <c r="AD240" s="130"/>
      <c r="AF240" s="106"/>
    </row>
    <row r="241">
      <c r="C241" s="79"/>
      <c r="D241" s="79"/>
      <c r="E241" s="79"/>
      <c r="O241" s="79"/>
      <c r="S241" s="79"/>
      <c r="T241" s="79"/>
      <c r="Y241" s="79"/>
      <c r="AD241" s="130"/>
      <c r="AF241" s="106"/>
    </row>
    <row r="242">
      <c r="C242" s="79"/>
      <c r="D242" s="79"/>
      <c r="E242" s="79"/>
      <c r="O242" s="79"/>
      <c r="S242" s="79"/>
      <c r="T242" s="79"/>
      <c r="Y242" s="79"/>
      <c r="AD242" s="130"/>
      <c r="AF242" s="106"/>
    </row>
    <row r="243">
      <c r="C243" s="79"/>
      <c r="D243" s="79"/>
      <c r="E243" s="79"/>
      <c r="O243" s="79"/>
      <c r="S243" s="79"/>
      <c r="T243" s="79"/>
      <c r="Y243" s="79"/>
      <c r="AD243" s="130"/>
      <c r="AF243" s="106"/>
    </row>
    <row r="244">
      <c r="C244" s="79"/>
      <c r="D244" s="79"/>
      <c r="E244" s="79"/>
      <c r="O244" s="79"/>
      <c r="S244" s="79"/>
      <c r="T244" s="79"/>
      <c r="Y244" s="79"/>
      <c r="AD244" s="130"/>
      <c r="AF244" s="106"/>
    </row>
    <row r="245">
      <c r="C245" s="79"/>
      <c r="D245" s="79"/>
      <c r="E245" s="79"/>
      <c r="O245" s="79"/>
      <c r="S245" s="79"/>
      <c r="T245" s="79"/>
      <c r="Y245" s="79"/>
      <c r="AD245" s="130"/>
      <c r="AF245" s="106"/>
    </row>
    <row r="246">
      <c r="C246" s="79"/>
      <c r="D246" s="79"/>
      <c r="E246" s="79"/>
      <c r="O246" s="79"/>
      <c r="S246" s="79"/>
      <c r="T246" s="79"/>
      <c r="Y246" s="79"/>
      <c r="AD246" s="130"/>
      <c r="AF246" s="106"/>
    </row>
    <row r="247">
      <c r="C247" s="79"/>
      <c r="D247" s="79"/>
      <c r="E247" s="79"/>
      <c r="O247" s="79"/>
      <c r="S247" s="79"/>
      <c r="T247" s="79"/>
      <c r="Y247" s="79"/>
      <c r="AD247" s="130"/>
      <c r="AF247" s="106"/>
    </row>
    <row r="248">
      <c r="C248" s="79"/>
      <c r="D248" s="79"/>
      <c r="E248" s="79"/>
      <c r="O248" s="79"/>
      <c r="S248" s="79"/>
      <c r="T248" s="79"/>
      <c r="Y248" s="79"/>
      <c r="AD248" s="130"/>
      <c r="AF248" s="106"/>
    </row>
    <row r="249">
      <c r="C249" s="79"/>
      <c r="D249" s="79"/>
      <c r="E249" s="79"/>
      <c r="O249" s="79"/>
      <c r="S249" s="79"/>
      <c r="T249" s="79"/>
      <c r="Y249" s="79"/>
      <c r="AD249" s="130"/>
      <c r="AF249" s="106"/>
    </row>
    <row r="250">
      <c r="C250" s="79"/>
      <c r="D250" s="79"/>
      <c r="E250" s="79"/>
      <c r="O250" s="79"/>
      <c r="S250" s="79"/>
      <c r="T250" s="79"/>
      <c r="Y250" s="79"/>
      <c r="AD250" s="130"/>
      <c r="AF250" s="106"/>
    </row>
    <row r="251">
      <c r="C251" s="79"/>
      <c r="D251" s="79"/>
      <c r="E251" s="79"/>
      <c r="O251" s="79"/>
      <c r="S251" s="79"/>
      <c r="T251" s="79"/>
      <c r="Y251" s="79"/>
      <c r="AD251" s="130"/>
      <c r="AF251" s="106"/>
    </row>
    <row r="252">
      <c r="C252" s="79"/>
      <c r="D252" s="79"/>
      <c r="E252" s="79"/>
      <c r="O252" s="79"/>
      <c r="S252" s="79"/>
      <c r="T252" s="79"/>
      <c r="Y252" s="79"/>
      <c r="AD252" s="130"/>
      <c r="AF252" s="106"/>
    </row>
    <row r="253">
      <c r="C253" s="79"/>
      <c r="D253" s="79"/>
      <c r="E253" s="79"/>
      <c r="O253" s="79"/>
      <c r="S253" s="79"/>
      <c r="T253" s="79"/>
      <c r="Y253" s="79"/>
      <c r="AD253" s="130"/>
      <c r="AF253" s="106"/>
    </row>
    <row r="254">
      <c r="C254" s="79"/>
      <c r="D254" s="79"/>
      <c r="E254" s="79"/>
      <c r="O254" s="79"/>
      <c r="S254" s="79"/>
      <c r="T254" s="79"/>
      <c r="Y254" s="79"/>
      <c r="AD254" s="130"/>
      <c r="AF254" s="106"/>
    </row>
    <row r="255">
      <c r="C255" s="79"/>
      <c r="D255" s="79"/>
      <c r="E255" s="79"/>
      <c r="O255" s="79"/>
      <c r="S255" s="79"/>
      <c r="T255" s="79"/>
      <c r="Y255" s="79"/>
      <c r="AD255" s="130"/>
      <c r="AF255" s="106"/>
    </row>
    <row r="256">
      <c r="C256" s="79"/>
      <c r="D256" s="79"/>
      <c r="E256" s="79"/>
      <c r="O256" s="79"/>
      <c r="S256" s="79"/>
      <c r="T256" s="79"/>
      <c r="Y256" s="79"/>
      <c r="AD256" s="130"/>
      <c r="AF256" s="106"/>
    </row>
    <row r="257">
      <c r="C257" s="79"/>
      <c r="D257" s="79"/>
      <c r="E257" s="79"/>
      <c r="O257" s="79"/>
      <c r="S257" s="79"/>
      <c r="T257" s="79"/>
      <c r="Y257" s="79"/>
      <c r="AD257" s="130"/>
      <c r="AF257" s="106"/>
    </row>
    <row r="258">
      <c r="C258" s="79"/>
      <c r="D258" s="79"/>
      <c r="E258" s="79"/>
      <c r="O258" s="79"/>
      <c r="S258" s="79"/>
      <c r="T258" s="79"/>
      <c r="Y258" s="79"/>
      <c r="AD258" s="130"/>
      <c r="AF258" s="106"/>
    </row>
    <row r="259">
      <c r="C259" s="79"/>
      <c r="D259" s="79"/>
      <c r="E259" s="79"/>
      <c r="O259" s="79"/>
      <c r="S259" s="79"/>
      <c r="T259" s="79"/>
      <c r="Y259" s="79"/>
      <c r="AD259" s="130"/>
      <c r="AF259" s="106"/>
    </row>
    <row r="260">
      <c r="C260" s="79"/>
      <c r="D260" s="79"/>
      <c r="E260" s="79"/>
      <c r="O260" s="79"/>
      <c r="S260" s="79"/>
      <c r="T260" s="79"/>
      <c r="Y260" s="79"/>
      <c r="AD260" s="130"/>
      <c r="AF260" s="106"/>
    </row>
    <row r="261">
      <c r="C261" s="79"/>
      <c r="D261" s="79"/>
      <c r="E261" s="79"/>
      <c r="O261" s="79"/>
      <c r="S261" s="79"/>
      <c r="T261" s="79"/>
      <c r="Y261" s="79"/>
      <c r="AD261" s="130"/>
      <c r="AF261" s="106"/>
    </row>
    <row r="262">
      <c r="C262" s="79"/>
      <c r="D262" s="79"/>
      <c r="E262" s="79"/>
      <c r="O262" s="79"/>
      <c r="S262" s="79"/>
      <c r="T262" s="79"/>
      <c r="Y262" s="79"/>
      <c r="AD262" s="130"/>
      <c r="AF262" s="106"/>
    </row>
    <row r="263">
      <c r="C263" s="79"/>
      <c r="D263" s="79"/>
      <c r="E263" s="79"/>
      <c r="O263" s="79"/>
      <c r="S263" s="79"/>
      <c r="T263" s="79"/>
      <c r="Y263" s="79"/>
      <c r="AD263" s="130"/>
      <c r="AF263" s="106"/>
    </row>
    <row r="264">
      <c r="C264" s="79"/>
      <c r="D264" s="79"/>
      <c r="E264" s="79"/>
      <c r="O264" s="79"/>
      <c r="S264" s="79"/>
      <c r="T264" s="79"/>
      <c r="Y264" s="79"/>
      <c r="AD264" s="130"/>
      <c r="AF264" s="106"/>
    </row>
    <row r="265">
      <c r="C265" s="79"/>
      <c r="D265" s="79"/>
      <c r="E265" s="79"/>
      <c r="O265" s="79"/>
      <c r="S265" s="79"/>
      <c r="T265" s="79"/>
      <c r="Y265" s="79"/>
      <c r="AD265" s="130"/>
      <c r="AF265" s="106"/>
    </row>
    <row r="266">
      <c r="C266" s="79"/>
      <c r="D266" s="79"/>
      <c r="E266" s="79"/>
      <c r="O266" s="79"/>
      <c r="S266" s="79"/>
      <c r="T266" s="79"/>
      <c r="Y266" s="79"/>
      <c r="AD266" s="130"/>
      <c r="AF266" s="106"/>
    </row>
    <row r="267">
      <c r="C267" s="79"/>
      <c r="D267" s="79"/>
      <c r="E267" s="79"/>
      <c r="O267" s="79"/>
      <c r="S267" s="79"/>
      <c r="T267" s="79"/>
      <c r="Y267" s="79"/>
      <c r="AD267" s="130"/>
      <c r="AF267" s="106"/>
    </row>
    <row r="268">
      <c r="C268" s="79"/>
      <c r="D268" s="79"/>
      <c r="E268" s="79"/>
      <c r="O268" s="79"/>
      <c r="S268" s="79"/>
      <c r="T268" s="79"/>
      <c r="Y268" s="79"/>
      <c r="AD268" s="130"/>
      <c r="AF268" s="106"/>
    </row>
    <row r="269">
      <c r="C269" s="79"/>
      <c r="D269" s="79"/>
      <c r="E269" s="79"/>
      <c r="O269" s="79"/>
      <c r="S269" s="79"/>
      <c r="T269" s="79"/>
      <c r="Y269" s="79"/>
      <c r="AD269" s="130"/>
      <c r="AF269" s="106"/>
    </row>
    <row r="270">
      <c r="C270" s="79"/>
      <c r="D270" s="79"/>
      <c r="E270" s="79"/>
      <c r="O270" s="79"/>
      <c r="S270" s="79"/>
      <c r="T270" s="79"/>
      <c r="Y270" s="79"/>
      <c r="AD270" s="130"/>
      <c r="AF270" s="106"/>
    </row>
    <row r="271">
      <c r="C271" s="79"/>
      <c r="D271" s="79"/>
      <c r="E271" s="79"/>
      <c r="O271" s="79"/>
      <c r="S271" s="79"/>
      <c r="T271" s="79"/>
      <c r="Y271" s="79"/>
      <c r="AD271" s="130"/>
      <c r="AF271" s="106"/>
    </row>
    <row r="272">
      <c r="C272" s="79"/>
      <c r="D272" s="79"/>
      <c r="E272" s="79"/>
      <c r="O272" s="79"/>
      <c r="S272" s="79"/>
      <c r="T272" s="79"/>
      <c r="Y272" s="79"/>
      <c r="AD272" s="130"/>
      <c r="AF272" s="106"/>
    </row>
    <row r="273">
      <c r="C273" s="79"/>
      <c r="D273" s="79"/>
      <c r="E273" s="79"/>
      <c r="O273" s="79"/>
      <c r="S273" s="79"/>
      <c r="T273" s="79"/>
      <c r="Y273" s="79"/>
      <c r="AD273" s="130"/>
      <c r="AF273" s="106"/>
    </row>
    <row r="274">
      <c r="C274" s="79"/>
      <c r="D274" s="79"/>
      <c r="E274" s="79"/>
      <c r="O274" s="79"/>
      <c r="S274" s="79"/>
      <c r="T274" s="79"/>
      <c r="Y274" s="79"/>
      <c r="AD274" s="130"/>
      <c r="AF274" s="106"/>
    </row>
    <row r="275">
      <c r="C275" s="79"/>
      <c r="D275" s="79"/>
      <c r="E275" s="79"/>
      <c r="O275" s="79"/>
      <c r="S275" s="79"/>
      <c r="T275" s="79"/>
      <c r="Y275" s="79"/>
      <c r="AD275" s="130"/>
      <c r="AF275" s="106"/>
    </row>
    <row r="276">
      <c r="C276" s="79"/>
      <c r="D276" s="79"/>
      <c r="E276" s="79"/>
      <c r="O276" s="79"/>
      <c r="S276" s="79"/>
      <c r="T276" s="79"/>
      <c r="Y276" s="79"/>
      <c r="AD276" s="130"/>
      <c r="AF276" s="106"/>
    </row>
    <row r="277">
      <c r="C277" s="79"/>
      <c r="D277" s="79"/>
      <c r="E277" s="79"/>
      <c r="O277" s="79"/>
      <c r="S277" s="79"/>
      <c r="T277" s="79"/>
      <c r="Y277" s="79"/>
      <c r="AD277" s="130"/>
      <c r="AF277" s="106"/>
    </row>
    <row r="278">
      <c r="C278" s="79"/>
      <c r="D278" s="79"/>
      <c r="E278" s="79"/>
      <c r="O278" s="79"/>
      <c r="S278" s="79"/>
      <c r="T278" s="79"/>
      <c r="Y278" s="79"/>
      <c r="AD278" s="130"/>
      <c r="AF278" s="106"/>
    </row>
    <row r="279">
      <c r="C279" s="79"/>
      <c r="D279" s="79"/>
      <c r="E279" s="79"/>
      <c r="O279" s="79"/>
      <c r="S279" s="79"/>
      <c r="T279" s="79"/>
      <c r="Y279" s="79"/>
      <c r="AD279" s="130"/>
      <c r="AF279" s="106"/>
    </row>
    <row r="280">
      <c r="C280" s="79"/>
      <c r="D280" s="79"/>
      <c r="E280" s="79"/>
      <c r="O280" s="79"/>
      <c r="S280" s="79"/>
      <c r="T280" s="79"/>
      <c r="Y280" s="79"/>
      <c r="AD280" s="130"/>
      <c r="AF280" s="106"/>
    </row>
    <row r="281">
      <c r="C281" s="79"/>
      <c r="D281" s="79"/>
      <c r="E281" s="79"/>
      <c r="O281" s="79"/>
      <c r="S281" s="79"/>
      <c r="T281" s="79"/>
      <c r="Y281" s="79"/>
      <c r="AD281" s="130"/>
      <c r="AF281" s="106"/>
    </row>
    <row r="282">
      <c r="C282" s="79"/>
      <c r="D282" s="79"/>
      <c r="E282" s="79"/>
      <c r="O282" s="79"/>
      <c r="S282" s="79"/>
      <c r="T282" s="79"/>
      <c r="Y282" s="79"/>
      <c r="AD282" s="130"/>
      <c r="AF282" s="106"/>
    </row>
    <row r="283">
      <c r="C283" s="79"/>
      <c r="D283" s="79"/>
      <c r="E283" s="79"/>
      <c r="O283" s="79"/>
      <c r="S283" s="79"/>
      <c r="T283" s="79"/>
      <c r="Y283" s="79"/>
      <c r="AD283" s="130"/>
      <c r="AF283" s="106"/>
    </row>
    <row r="284">
      <c r="C284" s="79"/>
      <c r="D284" s="79"/>
      <c r="E284" s="79"/>
      <c r="O284" s="79"/>
      <c r="S284" s="79"/>
      <c r="T284" s="79"/>
      <c r="Y284" s="79"/>
      <c r="AD284" s="130"/>
      <c r="AF284" s="106"/>
    </row>
    <row r="285">
      <c r="C285" s="79"/>
      <c r="D285" s="79"/>
      <c r="E285" s="79"/>
      <c r="O285" s="79"/>
      <c r="S285" s="79"/>
      <c r="T285" s="79"/>
      <c r="Y285" s="79"/>
      <c r="AD285" s="130"/>
      <c r="AF285" s="106"/>
    </row>
    <row r="286">
      <c r="C286" s="79"/>
      <c r="D286" s="79"/>
      <c r="E286" s="79"/>
      <c r="O286" s="79"/>
      <c r="S286" s="79"/>
      <c r="T286" s="79"/>
      <c r="Y286" s="79"/>
      <c r="AD286" s="130"/>
      <c r="AF286" s="106"/>
    </row>
    <row r="287">
      <c r="C287" s="79"/>
      <c r="D287" s="79"/>
      <c r="E287" s="79"/>
      <c r="O287" s="79"/>
      <c r="S287" s="79"/>
      <c r="T287" s="79"/>
      <c r="Y287" s="79"/>
      <c r="AD287" s="130"/>
      <c r="AF287" s="106"/>
    </row>
    <row r="288">
      <c r="C288" s="79"/>
      <c r="D288" s="79"/>
      <c r="E288" s="79"/>
      <c r="O288" s="79"/>
      <c r="S288" s="79"/>
      <c r="T288" s="79"/>
      <c r="Y288" s="79"/>
      <c r="AD288" s="130"/>
      <c r="AF288" s="106"/>
    </row>
    <row r="289">
      <c r="C289" s="79"/>
      <c r="D289" s="79"/>
      <c r="E289" s="79"/>
      <c r="O289" s="79"/>
      <c r="S289" s="79"/>
      <c r="T289" s="79"/>
      <c r="Y289" s="79"/>
      <c r="AD289" s="130"/>
      <c r="AF289" s="106"/>
    </row>
    <row r="290">
      <c r="C290" s="79"/>
      <c r="D290" s="79"/>
      <c r="E290" s="79"/>
      <c r="O290" s="79"/>
      <c r="S290" s="79"/>
      <c r="T290" s="79"/>
      <c r="Y290" s="79"/>
      <c r="AD290" s="130"/>
      <c r="AF290" s="106"/>
    </row>
    <row r="291">
      <c r="C291" s="79"/>
      <c r="D291" s="79"/>
      <c r="E291" s="79"/>
      <c r="O291" s="79"/>
      <c r="S291" s="79"/>
      <c r="T291" s="79"/>
      <c r="Y291" s="79"/>
      <c r="AD291" s="130"/>
      <c r="AF291" s="106"/>
    </row>
    <row r="292">
      <c r="C292" s="79"/>
      <c r="D292" s="79"/>
      <c r="E292" s="79"/>
      <c r="O292" s="79"/>
      <c r="S292" s="79"/>
      <c r="T292" s="79"/>
      <c r="Y292" s="79"/>
      <c r="AD292" s="130"/>
      <c r="AF292" s="106"/>
    </row>
    <row r="293">
      <c r="C293" s="79"/>
      <c r="D293" s="79"/>
      <c r="E293" s="79"/>
      <c r="O293" s="79"/>
      <c r="S293" s="79"/>
      <c r="T293" s="79"/>
      <c r="Y293" s="79"/>
      <c r="AD293" s="130"/>
      <c r="AF293" s="106"/>
    </row>
    <row r="294">
      <c r="C294" s="79"/>
      <c r="D294" s="79"/>
      <c r="E294" s="79"/>
      <c r="O294" s="79"/>
      <c r="S294" s="79"/>
      <c r="T294" s="79"/>
      <c r="Y294" s="79"/>
      <c r="AD294" s="130"/>
      <c r="AF294" s="106"/>
    </row>
    <row r="295">
      <c r="C295" s="79"/>
      <c r="D295" s="79"/>
      <c r="E295" s="79"/>
      <c r="O295" s="79"/>
      <c r="S295" s="79"/>
      <c r="T295" s="79"/>
      <c r="Y295" s="79"/>
      <c r="AD295" s="130"/>
      <c r="AF295" s="106"/>
    </row>
    <row r="296">
      <c r="C296" s="79"/>
      <c r="D296" s="79"/>
      <c r="E296" s="79"/>
      <c r="O296" s="79"/>
      <c r="S296" s="79"/>
      <c r="T296" s="79"/>
      <c r="Y296" s="79"/>
      <c r="AD296" s="130"/>
      <c r="AF296" s="106"/>
    </row>
    <row r="297">
      <c r="C297" s="79"/>
      <c r="D297" s="79"/>
      <c r="E297" s="79"/>
      <c r="O297" s="79"/>
      <c r="S297" s="79"/>
      <c r="T297" s="79"/>
      <c r="Y297" s="79"/>
      <c r="AD297" s="130"/>
      <c r="AF297" s="106"/>
    </row>
    <row r="298">
      <c r="C298" s="79"/>
      <c r="D298" s="79"/>
      <c r="E298" s="79"/>
      <c r="O298" s="79"/>
      <c r="S298" s="79"/>
      <c r="T298" s="79"/>
      <c r="Y298" s="79"/>
      <c r="AD298" s="130"/>
      <c r="AF298" s="106"/>
    </row>
    <row r="299">
      <c r="C299" s="79"/>
      <c r="D299" s="79"/>
      <c r="E299" s="79"/>
      <c r="O299" s="79"/>
      <c r="S299" s="79"/>
      <c r="T299" s="79"/>
      <c r="Y299" s="79"/>
      <c r="AD299" s="130"/>
      <c r="AF299" s="106"/>
    </row>
    <row r="300">
      <c r="C300" s="79"/>
      <c r="D300" s="79"/>
      <c r="E300" s="79"/>
      <c r="O300" s="79"/>
      <c r="S300" s="79"/>
      <c r="T300" s="79"/>
      <c r="Y300" s="79"/>
      <c r="AD300" s="130"/>
      <c r="AF300" s="106"/>
    </row>
    <row r="301">
      <c r="C301" s="79"/>
      <c r="D301" s="79"/>
      <c r="E301" s="79"/>
      <c r="O301" s="79"/>
      <c r="S301" s="79"/>
      <c r="T301" s="79"/>
      <c r="Y301" s="79"/>
      <c r="AD301" s="130"/>
      <c r="AF301" s="106"/>
    </row>
    <row r="302">
      <c r="C302" s="79"/>
      <c r="D302" s="79"/>
      <c r="E302" s="79"/>
      <c r="O302" s="79"/>
      <c r="S302" s="79"/>
      <c r="T302" s="79"/>
      <c r="Y302" s="79"/>
      <c r="AD302" s="130"/>
      <c r="AF302" s="106"/>
    </row>
    <row r="303">
      <c r="C303" s="79"/>
      <c r="D303" s="79"/>
      <c r="E303" s="79"/>
      <c r="O303" s="79"/>
      <c r="S303" s="79"/>
      <c r="T303" s="79"/>
      <c r="Y303" s="79"/>
      <c r="AD303" s="130"/>
      <c r="AF303" s="106"/>
    </row>
    <row r="304">
      <c r="C304" s="79"/>
      <c r="D304" s="79"/>
      <c r="E304" s="79"/>
      <c r="O304" s="79"/>
      <c r="S304" s="79"/>
      <c r="T304" s="79"/>
      <c r="Y304" s="79"/>
      <c r="AD304" s="130"/>
      <c r="AF304" s="106"/>
    </row>
    <row r="305">
      <c r="C305" s="79"/>
      <c r="D305" s="79"/>
      <c r="E305" s="79"/>
      <c r="O305" s="79"/>
      <c r="S305" s="79"/>
      <c r="T305" s="79"/>
      <c r="Y305" s="79"/>
      <c r="AD305" s="130"/>
      <c r="AF305" s="106"/>
    </row>
    <row r="306">
      <c r="C306" s="79"/>
      <c r="D306" s="79"/>
      <c r="E306" s="79"/>
      <c r="O306" s="79"/>
      <c r="S306" s="79"/>
      <c r="T306" s="79"/>
      <c r="Y306" s="79"/>
      <c r="AD306" s="130"/>
      <c r="AF306" s="106"/>
    </row>
    <row r="307">
      <c r="C307" s="79"/>
      <c r="D307" s="79"/>
      <c r="E307" s="79"/>
      <c r="O307" s="79"/>
      <c r="S307" s="79"/>
      <c r="T307" s="79"/>
      <c r="Y307" s="79"/>
      <c r="AD307" s="130"/>
      <c r="AF307" s="106"/>
    </row>
    <row r="308">
      <c r="C308" s="79"/>
      <c r="D308" s="79"/>
      <c r="E308" s="79"/>
      <c r="O308" s="79"/>
      <c r="S308" s="79"/>
      <c r="T308" s="79"/>
      <c r="Y308" s="79"/>
      <c r="AD308" s="130"/>
      <c r="AF308" s="106"/>
    </row>
    <row r="309">
      <c r="C309" s="79"/>
      <c r="D309" s="79"/>
      <c r="E309" s="79"/>
      <c r="O309" s="79"/>
      <c r="S309" s="79"/>
      <c r="T309" s="79"/>
      <c r="Y309" s="79"/>
      <c r="AD309" s="130"/>
      <c r="AF309" s="106"/>
    </row>
    <row r="310">
      <c r="C310" s="79"/>
      <c r="D310" s="79"/>
      <c r="E310" s="79"/>
      <c r="O310" s="79"/>
      <c r="S310" s="79"/>
      <c r="T310" s="79"/>
      <c r="Y310" s="79"/>
      <c r="AD310" s="130"/>
      <c r="AF310" s="106"/>
    </row>
    <row r="311">
      <c r="C311" s="79"/>
      <c r="D311" s="79"/>
      <c r="E311" s="79"/>
      <c r="O311" s="79"/>
      <c r="S311" s="79"/>
      <c r="T311" s="79"/>
      <c r="Y311" s="79"/>
      <c r="AD311" s="130"/>
      <c r="AF311" s="106"/>
    </row>
    <row r="312">
      <c r="C312" s="79"/>
      <c r="D312" s="79"/>
      <c r="E312" s="79"/>
      <c r="O312" s="79"/>
      <c r="S312" s="79"/>
      <c r="T312" s="79"/>
      <c r="Y312" s="79"/>
      <c r="AD312" s="130"/>
      <c r="AF312" s="106"/>
    </row>
    <row r="313">
      <c r="C313" s="79"/>
      <c r="D313" s="79"/>
      <c r="E313" s="79"/>
      <c r="O313" s="79"/>
      <c r="S313" s="79"/>
      <c r="T313" s="79"/>
      <c r="Y313" s="79"/>
      <c r="AD313" s="130"/>
      <c r="AF313" s="106"/>
    </row>
    <row r="314">
      <c r="C314" s="79"/>
      <c r="D314" s="79"/>
      <c r="E314" s="79"/>
      <c r="O314" s="79"/>
      <c r="S314" s="79"/>
      <c r="T314" s="79"/>
      <c r="Y314" s="79"/>
      <c r="AD314" s="130"/>
      <c r="AF314" s="106"/>
    </row>
    <row r="315">
      <c r="C315" s="79"/>
      <c r="D315" s="79"/>
      <c r="E315" s="79"/>
      <c r="O315" s="79"/>
      <c r="S315" s="79"/>
      <c r="T315" s="79"/>
      <c r="Y315" s="79"/>
      <c r="AD315" s="130"/>
      <c r="AF315" s="106"/>
    </row>
    <row r="316">
      <c r="C316" s="79"/>
      <c r="D316" s="79"/>
      <c r="E316" s="79"/>
      <c r="O316" s="79"/>
      <c r="S316" s="79"/>
      <c r="T316" s="79"/>
      <c r="Y316" s="79"/>
      <c r="AD316" s="130"/>
      <c r="AF316" s="106"/>
    </row>
    <row r="317">
      <c r="C317" s="79"/>
      <c r="D317" s="79"/>
      <c r="E317" s="79"/>
      <c r="O317" s="79"/>
      <c r="S317" s="79"/>
      <c r="T317" s="79"/>
      <c r="Y317" s="79"/>
      <c r="AD317" s="130"/>
      <c r="AF317" s="106"/>
    </row>
    <row r="318">
      <c r="C318" s="79"/>
      <c r="D318" s="79"/>
      <c r="E318" s="79"/>
      <c r="O318" s="79"/>
      <c r="S318" s="79"/>
      <c r="T318" s="79"/>
      <c r="Y318" s="79"/>
      <c r="AD318" s="130"/>
      <c r="AF318" s="106"/>
    </row>
    <row r="319">
      <c r="C319" s="79"/>
      <c r="D319" s="79"/>
      <c r="E319" s="79"/>
      <c r="O319" s="79"/>
      <c r="S319" s="79"/>
      <c r="T319" s="79"/>
      <c r="Y319" s="79"/>
      <c r="AD319" s="130"/>
      <c r="AF319" s="106"/>
    </row>
    <row r="320">
      <c r="C320" s="79"/>
      <c r="D320" s="79"/>
      <c r="E320" s="79"/>
      <c r="O320" s="79"/>
      <c r="S320" s="79"/>
      <c r="T320" s="79"/>
      <c r="Y320" s="79"/>
      <c r="AD320" s="130"/>
      <c r="AF320" s="106"/>
    </row>
    <row r="321">
      <c r="C321" s="79"/>
      <c r="D321" s="79"/>
      <c r="E321" s="79"/>
      <c r="O321" s="79"/>
      <c r="S321" s="79"/>
      <c r="T321" s="79"/>
      <c r="Y321" s="79"/>
      <c r="AD321" s="130"/>
      <c r="AF321" s="106"/>
    </row>
    <row r="322">
      <c r="C322" s="79"/>
      <c r="D322" s="79"/>
      <c r="E322" s="79"/>
      <c r="O322" s="79"/>
      <c r="S322" s="79"/>
      <c r="T322" s="79"/>
      <c r="Y322" s="79"/>
      <c r="AD322" s="130"/>
      <c r="AF322" s="106"/>
    </row>
    <row r="323">
      <c r="C323" s="79"/>
      <c r="D323" s="79"/>
      <c r="E323" s="79"/>
      <c r="O323" s="79"/>
      <c r="S323" s="79"/>
      <c r="T323" s="79"/>
      <c r="Y323" s="79"/>
      <c r="AD323" s="130"/>
      <c r="AF323" s="106"/>
    </row>
    <row r="324">
      <c r="C324" s="79"/>
      <c r="D324" s="79"/>
      <c r="E324" s="79"/>
      <c r="O324" s="79"/>
      <c r="S324" s="79"/>
      <c r="T324" s="79"/>
      <c r="Y324" s="79"/>
      <c r="AD324" s="130"/>
      <c r="AF324" s="106"/>
    </row>
    <row r="325">
      <c r="C325" s="79"/>
      <c r="D325" s="79"/>
      <c r="E325" s="79"/>
      <c r="O325" s="79"/>
      <c r="S325" s="79"/>
      <c r="T325" s="79"/>
      <c r="Y325" s="79"/>
      <c r="AD325" s="130"/>
      <c r="AF325" s="106"/>
    </row>
    <row r="326">
      <c r="C326" s="79"/>
      <c r="D326" s="79"/>
      <c r="E326" s="79"/>
      <c r="O326" s="79"/>
      <c r="S326" s="79"/>
      <c r="T326" s="79"/>
      <c r="Y326" s="79"/>
      <c r="AD326" s="130"/>
      <c r="AF326" s="106"/>
    </row>
    <row r="327">
      <c r="C327" s="79"/>
      <c r="D327" s="79"/>
      <c r="E327" s="79"/>
      <c r="O327" s="79"/>
      <c r="S327" s="79"/>
      <c r="T327" s="79"/>
      <c r="Y327" s="79"/>
      <c r="AD327" s="130"/>
      <c r="AF327" s="106"/>
    </row>
    <row r="328">
      <c r="C328" s="79"/>
      <c r="D328" s="79"/>
      <c r="E328" s="79"/>
      <c r="O328" s="79"/>
      <c r="S328" s="79"/>
      <c r="T328" s="79"/>
      <c r="Y328" s="79"/>
      <c r="AD328" s="130"/>
      <c r="AF328" s="106"/>
    </row>
    <row r="329">
      <c r="C329" s="79"/>
      <c r="D329" s="79"/>
      <c r="E329" s="79"/>
      <c r="O329" s="79"/>
      <c r="S329" s="79"/>
      <c r="T329" s="79"/>
      <c r="Y329" s="79"/>
      <c r="AD329" s="130"/>
      <c r="AF329" s="106"/>
    </row>
    <row r="330">
      <c r="C330" s="79"/>
      <c r="D330" s="79"/>
      <c r="E330" s="79"/>
      <c r="O330" s="79"/>
      <c r="S330" s="79"/>
      <c r="T330" s="79"/>
      <c r="Y330" s="79"/>
      <c r="AD330" s="130"/>
      <c r="AF330" s="106"/>
    </row>
    <row r="331">
      <c r="C331" s="79"/>
      <c r="D331" s="79"/>
      <c r="E331" s="79"/>
      <c r="O331" s="79"/>
      <c r="S331" s="79"/>
      <c r="T331" s="79"/>
      <c r="Y331" s="79"/>
      <c r="AD331" s="130"/>
      <c r="AF331" s="106"/>
    </row>
    <row r="332">
      <c r="C332" s="79"/>
      <c r="D332" s="79"/>
      <c r="E332" s="79"/>
      <c r="O332" s="79"/>
      <c r="S332" s="79"/>
      <c r="T332" s="79"/>
      <c r="Y332" s="79"/>
      <c r="AD332" s="130"/>
      <c r="AF332" s="106"/>
    </row>
    <row r="333">
      <c r="C333" s="79"/>
      <c r="D333" s="79"/>
      <c r="E333" s="79"/>
      <c r="O333" s="79"/>
      <c r="S333" s="79"/>
      <c r="T333" s="79"/>
      <c r="Y333" s="79"/>
      <c r="AD333" s="130"/>
      <c r="AF333" s="106"/>
    </row>
    <row r="334">
      <c r="C334" s="79"/>
      <c r="D334" s="79"/>
      <c r="E334" s="79"/>
      <c r="O334" s="79"/>
      <c r="S334" s="79"/>
      <c r="T334" s="79"/>
      <c r="Y334" s="79"/>
      <c r="AD334" s="130"/>
      <c r="AF334" s="106"/>
    </row>
    <row r="335">
      <c r="C335" s="79"/>
      <c r="D335" s="79"/>
      <c r="E335" s="79"/>
      <c r="O335" s="79"/>
      <c r="S335" s="79"/>
      <c r="T335" s="79"/>
      <c r="Y335" s="79"/>
      <c r="AD335" s="130"/>
      <c r="AF335" s="106"/>
    </row>
    <row r="336">
      <c r="C336" s="79"/>
      <c r="D336" s="79"/>
      <c r="E336" s="79"/>
      <c r="O336" s="79"/>
      <c r="S336" s="79"/>
      <c r="T336" s="79"/>
      <c r="Y336" s="79"/>
      <c r="AD336" s="130"/>
      <c r="AF336" s="106"/>
    </row>
    <row r="337">
      <c r="C337" s="79"/>
      <c r="D337" s="79"/>
      <c r="E337" s="79"/>
      <c r="O337" s="79"/>
      <c r="S337" s="79"/>
      <c r="T337" s="79"/>
      <c r="Y337" s="79"/>
      <c r="AD337" s="130"/>
      <c r="AF337" s="106"/>
    </row>
    <row r="338">
      <c r="C338" s="79"/>
      <c r="D338" s="79"/>
      <c r="E338" s="79"/>
      <c r="O338" s="79"/>
      <c r="S338" s="79"/>
      <c r="T338" s="79"/>
      <c r="Y338" s="79"/>
      <c r="AD338" s="130"/>
      <c r="AF338" s="106"/>
    </row>
    <row r="339">
      <c r="C339" s="79"/>
      <c r="D339" s="79"/>
      <c r="E339" s="79"/>
      <c r="O339" s="79"/>
      <c r="S339" s="79"/>
      <c r="T339" s="79"/>
      <c r="Y339" s="79"/>
      <c r="AD339" s="130"/>
      <c r="AF339" s="106"/>
    </row>
    <row r="340">
      <c r="C340" s="79"/>
      <c r="D340" s="79"/>
      <c r="E340" s="79"/>
      <c r="O340" s="79"/>
      <c r="S340" s="79"/>
      <c r="T340" s="79"/>
      <c r="Y340" s="79"/>
      <c r="AD340" s="130"/>
      <c r="AF340" s="106"/>
    </row>
    <row r="341">
      <c r="C341" s="79"/>
      <c r="D341" s="79"/>
      <c r="E341" s="79"/>
      <c r="O341" s="79"/>
      <c r="S341" s="79"/>
      <c r="T341" s="79"/>
      <c r="Y341" s="79"/>
      <c r="AD341" s="130"/>
      <c r="AF341" s="106"/>
    </row>
    <row r="342">
      <c r="C342" s="79"/>
      <c r="D342" s="79"/>
      <c r="E342" s="79"/>
      <c r="O342" s="79"/>
      <c r="S342" s="79"/>
      <c r="T342" s="79"/>
      <c r="Y342" s="79"/>
      <c r="AD342" s="130"/>
      <c r="AF342" s="106"/>
    </row>
    <row r="343">
      <c r="C343" s="79"/>
      <c r="D343" s="79"/>
      <c r="E343" s="79"/>
      <c r="O343" s="79"/>
      <c r="S343" s="79"/>
      <c r="T343" s="79"/>
      <c r="Y343" s="79"/>
      <c r="AD343" s="130"/>
      <c r="AF343" s="106"/>
    </row>
    <row r="344">
      <c r="C344" s="79"/>
      <c r="D344" s="79"/>
      <c r="E344" s="79"/>
      <c r="O344" s="79"/>
      <c r="S344" s="79"/>
      <c r="T344" s="79"/>
      <c r="Y344" s="79"/>
      <c r="AD344" s="130"/>
      <c r="AF344" s="106"/>
    </row>
    <row r="345">
      <c r="C345" s="79"/>
      <c r="D345" s="79"/>
      <c r="E345" s="79"/>
      <c r="O345" s="79"/>
      <c r="S345" s="79"/>
      <c r="T345" s="79"/>
      <c r="Y345" s="79"/>
      <c r="AD345" s="130"/>
      <c r="AF345" s="106"/>
    </row>
    <row r="346">
      <c r="C346" s="79"/>
      <c r="D346" s="79"/>
      <c r="E346" s="79"/>
      <c r="O346" s="79"/>
      <c r="S346" s="79"/>
      <c r="T346" s="79"/>
      <c r="Y346" s="79"/>
      <c r="AD346" s="130"/>
      <c r="AF346" s="106"/>
    </row>
    <row r="347">
      <c r="C347" s="79"/>
      <c r="D347" s="79"/>
      <c r="E347" s="79"/>
      <c r="O347" s="79"/>
      <c r="S347" s="79"/>
      <c r="T347" s="79"/>
      <c r="Y347" s="79"/>
      <c r="AD347" s="130"/>
      <c r="AF347" s="106"/>
    </row>
    <row r="348">
      <c r="C348" s="79"/>
      <c r="D348" s="79"/>
      <c r="E348" s="79"/>
      <c r="O348" s="79"/>
      <c r="S348" s="79"/>
      <c r="T348" s="79"/>
      <c r="Y348" s="79"/>
      <c r="AD348" s="130"/>
      <c r="AF348" s="106"/>
    </row>
    <row r="349">
      <c r="C349" s="79"/>
      <c r="D349" s="79"/>
      <c r="E349" s="79"/>
      <c r="O349" s="79"/>
      <c r="S349" s="79"/>
      <c r="T349" s="79"/>
      <c r="Y349" s="79"/>
      <c r="AD349" s="130"/>
      <c r="AF349" s="106"/>
    </row>
    <row r="350">
      <c r="C350" s="79"/>
      <c r="D350" s="79"/>
      <c r="E350" s="79"/>
      <c r="O350" s="79"/>
      <c r="S350" s="79"/>
      <c r="T350" s="79"/>
      <c r="Y350" s="79"/>
      <c r="AD350" s="130"/>
      <c r="AF350" s="106"/>
    </row>
    <row r="351">
      <c r="C351" s="79"/>
      <c r="D351" s="79"/>
      <c r="E351" s="79"/>
      <c r="O351" s="79"/>
      <c r="S351" s="79"/>
      <c r="T351" s="79"/>
      <c r="Y351" s="79"/>
      <c r="AD351" s="130"/>
      <c r="AF351" s="106"/>
    </row>
    <row r="352">
      <c r="C352" s="79"/>
      <c r="D352" s="79"/>
      <c r="E352" s="79"/>
      <c r="O352" s="79"/>
      <c r="S352" s="79"/>
      <c r="T352" s="79"/>
      <c r="Y352" s="79"/>
      <c r="AD352" s="130"/>
      <c r="AF352" s="106"/>
    </row>
    <row r="353">
      <c r="C353" s="79"/>
      <c r="D353" s="79"/>
      <c r="E353" s="79"/>
      <c r="O353" s="79"/>
      <c r="S353" s="79"/>
      <c r="T353" s="79"/>
      <c r="Y353" s="79"/>
      <c r="AD353" s="130"/>
      <c r="AF353" s="106"/>
    </row>
    <row r="354">
      <c r="C354" s="79"/>
      <c r="D354" s="79"/>
      <c r="E354" s="79"/>
      <c r="O354" s="79"/>
      <c r="S354" s="79"/>
      <c r="T354" s="79"/>
      <c r="Y354" s="79"/>
      <c r="AD354" s="130"/>
      <c r="AF354" s="106"/>
    </row>
    <row r="355">
      <c r="C355" s="79"/>
      <c r="D355" s="79"/>
      <c r="E355" s="79"/>
      <c r="O355" s="79"/>
      <c r="S355" s="79"/>
      <c r="T355" s="79"/>
      <c r="Y355" s="79"/>
      <c r="AD355" s="130"/>
      <c r="AF355" s="106"/>
    </row>
    <row r="356">
      <c r="C356" s="79"/>
      <c r="D356" s="79"/>
      <c r="E356" s="79"/>
      <c r="O356" s="79"/>
      <c r="S356" s="79"/>
      <c r="T356" s="79"/>
      <c r="Y356" s="79"/>
      <c r="AD356" s="130"/>
      <c r="AF356" s="106"/>
    </row>
    <row r="357">
      <c r="C357" s="79"/>
      <c r="D357" s="79"/>
      <c r="E357" s="79"/>
      <c r="O357" s="79"/>
      <c r="S357" s="79"/>
      <c r="T357" s="79"/>
      <c r="Y357" s="79"/>
      <c r="AD357" s="130"/>
      <c r="AF357" s="106"/>
    </row>
    <row r="358">
      <c r="C358" s="79"/>
      <c r="D358" s="79"/>
      <c r="E358" s="79"/>
      <c r="O358" s="79"/>
      <c r="S358" s="79"/>
      <c r="T358" s="79"/>
      <c r="Y358" s="79"/>
      <c r="AD358" s="130"/>
      <c r="AF358" s="106"/>
    </row>
    <row r="359">
      <c r="C359" s="79"/>
      <c r="D359" s="79"/>
      <c r="E359" s="79"/>
      <c r="O359" s="79"/>
      <c r="S359" s="79"/>
      <c r="T359" s="79"/>
      <c r="Y359" s="79"/>
      <c r="AD359" s="130"/>
      <c r="AF359" s="106"/>
    </row>
    <row r="360">
      <c r="C360" s="79"/>
      <c r="D360" s="79"/>
      <c r="E360" s="79"/>
      <c r="O360" s="79"/>
      <c r="S360" s="79"/>
      <c r="T360" s="79"/>
      <c r="Y360" s="79"/>
      <c r="AD360" s="130"/>
      <c r="AF360" s="106"/>
    </row>
    <row r="361">
      <c r="C361" s="79"/>
      <c r="D361" s="79"/>
      <c r="E361" s="79"/>
      <c r="O361" s="79"/>
      <c r="S361" s="79"/>
      <c r="T361" s="79"/>
      <c r="Y361" s="79"/>
      <c r="AD361" s="130"/>
      <c r="AF361" s="106"/>
    </row>
    <row r="362">
      <c r="C362" s="79"/>
      <c r="D362" s="79"/>
      <c r="E362" s="79"/>
      <c r="O362" s="79"/>
      <c r="S362" s="79"/>
      <c r="T362" s="79"/>
      <c r="Y362" s="79"/>
      <c r="AD362" s="130"/>
      <c r="AF362" s="106"/>
    </row>
    <row r="363">
      <c r="C363" s="79"/>
      <c r="D363" s="79"/>
      <c r="E363" s="79"/>
      <c r="O363" s="79"/>
      <c r="S363" s="79"/>
      <c r="T363" s="79"/>
      <c r="Y363" s="79"/>
      <c r="AD363" s="130"/>
      <c r="AF363" s="106"/>
    </row>
    <row r="364">
      <c r="C364" s="79"/>
      <c r="D364" s="79"/>
      <c r="E364" s="79"/>
      <c r="O364" s="79"/>
      <c r="S364" s="79"/>
      <c r="T364" s="79"/>
      <c r="Y364" s="79"/>
      <c r="AD364" s="130"/>
      <c r="AF364" s="106"/>
    </row>
    <row r="365">
      <c r="C365" s="79"/>
      <c r="D365" s="79"/>
      <c r="E365" s="79"/>
      <c r="O365" s="79"/>
      <c r="S365" s="79"/>
      <c r="T365" s="79"/>
      <c r="Y365" s="79"/>
      <c r="AD365" s="130"/>
      <c r="AF365" s="106"/>
    </row>
    <row r="366">
      <c r="C366" s="79"/>
      <c r="D366" s="79"/>
      <c r="E366" s="79"/>
      <c r="O366" s="79"/>
      <c r="S366" s="79"/>
      <c r="T366" s="79"/>
      <c r="Y366" s="79"/>
      <c r="AD366" s="130"/>
      <c r="AF366" s="106"/>
    </row>
    <row r="367">
      <c r="C367" s="79"/>
      <c r="D367" s="79"/>
      <c r="E367" s="79"/>
      <c r="O367" s="79"/>
      <c r="S367" s="79"/>
      <c r="T367" s="79"/>
      <c r="Y367" s="79"/>
      <c r="AD367" s="130"/>
      <c r="AF367" s="106"/>
    </row>
    <row r="368">
      <c r="C368" s="79"/>
      <c r="D368" s="79"/>
      <c r="E368" s="79"/>
      <c r="O368" s="79"/>
      <c r="S368" s="79"/>
      <c r="T368" s="79"/>
      <c r="Y368" s="79"/>
      <c r="AD368" s="130"/>
      <c r="AF368" s="106"/>
    </row>
    <row r="369">
      <c r="C369" s="79"/>
      <c r="D369" s="79"/>
      <c r="E369" s="79"/>
      <c r="O369" s="79"/>
      <c r="S369" s="79"/>
      <c r="T369" s="79"/>
      <c r="Y369" s="79"/>
      <c r="AD369" s="130"/>
      <c r="AF369" s="106"/>
    </row>
    <row r="370">
      <c r="C370" s="79"/>
      <c r="D370" s="79"/>
      <c r="E370" s="79"/>
      <c r="O370" s="79"/>
      <c r="S370" s="79"/>
      <c r="T370" s="79"/>
      <c r="Y370" s="79"/>
      <c r="AD370" s="130"/>
      <c r="AF370" s="106"/>
    </row>
    <row r="371">
      <c r="C371" s="79"/>
      <c r="D371" s="79"/>
      <c r="E371" s="79"/>
      <c r="O371" s="79"/>
      <c r="S371" s="79"/>
      <c r="T371" s="79"/>
      <c r="Y371" s="79"/>
      <c r="AD371" s="130"/>
      <c r="AF371" s="106"/>
    </row>
    <row r="372">
      <c r="C372" s="79"/>
      <c r="D372" s="79"/>
      <c r="E372" s="79"/>
      <c r="O372" s="79"/>
      <c r="S372" s="79"/>
      <c r="T372" s="79"/>
      <c r="Y372" s="79"/>
      <c r="AD372" s="130"/>
      <c r="AF372" s="106"/>
    </row>
    <row r="373">
      <c r="C373" s="79"/>
      <c r="D373" s="79"/>
      <c r="E373" s="79"/>
      <c r="O373" s="79"/>
      <c r="S373" s="79"/>
      <c r="T373" s="79"/>
      <c r="Y373" s="79"/>
      <c r="AD373" s="130"/>
      <c r="AF373" s="106"/>
    </row>
    <row r="374">
      <c r="C374" s="79"/>
      <c r="D374" s="79"/>
      <c r="E374" s="79"/>
      <c r="O374" s="79"/>
      <c r="S374" s="79"/>
      <c r="T374" s="79"/>
      <c r="Y374" s="79"/>
      <c r="AD374" s="130"/>
      <c r="AF374" s="106"/>
    </row>
    <row r="375">
      <c r="C375" s="79"/>
      <c r="D375" s="79"/>
      <c r="E375" s="79"/>
      <c r="O375" s="79"/>
      <c r="S375" s="79"/>
      <c r="T375" s="79"/>
      <c r="Y375" s="79"/>
      <c r="AD375" s="130"/>
      <c r="AF375" s="106"/>
    </row>
    <row r="376">
      <c r="C376" s="79"/>
      <c r="D376" s="79"/>
      <c r="E376" s="79"/>
      <c r="O376" s="79"/>
      <c r="S376" s="79"/>
      <c r="T376" s="79"/>
      <c r="Y376" s="79"/>
      <c r="AD376" s="130"/>
      <c r="AF376" s="106"/>
    </row>
    <row r="377">
      <c r="C377" s="79"/>
      <c r="D377" s="79"/>
      <c r="E377" s="79"/>
      <c r="O377" s="79"/>
      <c r="S377" s="79"/>
      <c r="T377" s="79"/>
      <c r="Y377" s="79"/>
      <c r="AD377" s="130"/>
      <c r="AF377" s="106"/>
    </row>
    <row r="378">
      <c r="C378" s="79"/>
      <c r="D378" s="79"/>
      <c r="E378" s="79"/>
      <c r="O378" s="79"/>
      <c r="S378" s="79"/>
      <c r="T378" s="79"/>
      <c r="Y378" s="79"/>
      <c r="AD378" s="130"/>
      <c r="AF378" s="106"/>
    </row>
    <row r="379">
      <c r="C379" s="79"/>
      <c r="D379" s="79"/>
      <c r="E379" s="79"/>
      <c r="O379" s="79"/>
      <c r="S379" s="79"/>
      <c r="T379" s="79"/>
      <c r="Y379" s="79"/>
      <c r="AD379" s="130"/>
      <c r="AF379" s="106"/>
    </row>
    <row r="380">
      <c r="C380" s="79"/>
      <c r="D380" s="79"/>
      <c r="E380" s="79"/>
      <c r="O380" s="79"/>
      <c r="S380" s="79"/>
      <c r="T380" s="79"/>
      <c r="Y380" s="79"/>
      <c r="AD380" s="130"/>
      <c r="AF380" s="106"/>
    </row>
    <row r="381">
      <c r="C381" s="79"/>
      <c r="D381" s="79"/>
      <c r="E381" s="79"/>
      <c r="O381" s="79"/>
      <c r="S381" s="79"/>
      <c r="T381" s="79"/>
      <c r="Y381" s="79"/>
      <c r="AD381" s="130"/>
      <c r="AF381" s="106"/>
    </row>
    <row r="382">
      <c r="C382" s="79"/>
      <c r="D382" s="79"/>
      <c r="E382" s="79"/>
      <c r="O382" s="79"/>
      <c r="S382" s="79"/>
      <c r="T382" s="79"/>
      <c r="Y382" s="79"/>
      <c r="AD382" s="130"/>
      <c r="AF382" s="106"/>
    </row>
    <row r="383">
      <c r="C383" s="79"/>
      <c r="D383" s="79"/>
      <c r="E383" s="79"/>
      <c r="O383" s="79"/>
      <c r="S383" s="79"/>
      <c r="T383" s="79"/>
      <c r="Y383" s="79"/>
      <c r="AD383" s="130"/>
      <c r="AF383" s="106"/>
    </row>
    <row r="384">
      <c r="C384" s="79"/>
      <c r="D384" s="79"/>
      <c r="E384" s="79"/>
      <c r="O384" s="79"/>
      <c r="S384" s="79"/>
      <c r="T384" s="79"/>
      <c r="Y384" s="79"/>
      <c r="AD384" s="130"/>
      <c r="AF384" s="106"/>
    </row>
    <row r="385">
      <c r="C385" s="79"/>
      <c r="D385" s="79"/>
      <c r="E385" s="79"/>
      <c r="O385" s="79"/>
      <c r="S385" s="79"/>
      <c r="T385" s="79"/>
      <c r="Y385" s="79"/>
      <c r="AD385" s="130"/>
      <c r="AF385" s="106"/>
    </row>
    <row r="386">
      <c r="C386" s="79"/>
      <c r="D386" s="79"/>
      <c r="E386" s="79"/>
      <c r="O386" s="79"/>
      <c r="S386" s="79"/>
      <c r="T386" s="79"/>
      <c r="Y386" s="79"/>
      <c r="AD386" s="130"/>
      <c r="AF386" s="106"/>
    </row>
    <row r="387">
      <c r="C387" s="79"/>
      <c r="D387" s="79"/>
      <c r="E387" s="79"/>
      <c r="O387" s="79"/>
      <c r="S387" s="79"/>
      <c r="T387" s="79"/>
      <c r="Y387" s="79"/>
      <c r="AD387" s="130"/>
      <c r="AF387" s="106"/>
    </row>
    <row r="388">
      <c r="C388" s="79"/>
      <c r="D388" s="79"/>
      <c r="E388" s="79"/>
      <c r="O388" s="79"/>
      <c r="S388" s="79"/>
      <c r="T388" s="79"/>
      <c r="Y388" s="79"/>
      <c r="AD388" s="130"/>
      <c r="AF388" s="106"/>
    </row>
    <row r="389">
      <c r="C389" s="79"/>
      <c r="D389" s="79"/>
      <c r="E389" s="79"/>
      <c r="O389" s="79"/>
      <c r="S389" s="79"/>
      <c r="T389" s="79"/>
      <c r="Y389" s="79"/>
      <c r="AD389" s="130"/>
      <c r="AF389" s="106"/>
    </row>
    <row r="390">
      <c r="C390" s="79"/>
      <c r="D390" s="79"/>
      <c r="E390" s="79"/>
      <c r="O390" s="79"/>
      <c r="S390" s="79"/>
      <c r="T390" s="79"/>
      <c r="Y390" s="79"/>
      <c r="AD390" s="130"/>
      <c r="AF390" s="106"/>
    </row>
    <row r="391">
      <c r="C391" s="79"/>
      <c r="D391" s="79"/>
      <c r="E391" s="79"/>
      <c r="O391" s="79"/>
      <c r="S391" s="79"/>
      <c r="T391" s="79"/>
      <c r="Y391" s="79"/>
      <c r="AD391" s="130"/>
      <c r="AF391" s="106"/>
    </row>
    <row r="392">
      <c r="C392" s="79"/>
      <c r="D392" s="79"/>
      <c r="E392" s="79"/>
      <c r="O392" s="79"/>
      <c r="S392" s="79"/>
      <c r="T392" s="79"/>
      <c r="Y392" s="79"/>
      <c r="AD392" s="130"/>
      <c r="AF392" s="106"/>
    </row>
    <row r="393">
      <c r="C393" s="79"/>
      <c r="D393" s="79"/>
      <c r="E393" s="79"/>
      <c r="O393" s="79"/>
      <c r="S393" s="79"/>
      <c r="T393" s="79"/>
      <c r="Y393" s="79"/>
      <c r="AD393" s="130"/>
      <c r="AF393" s="106"/>
    </row>
    <row r="394">
      <c r="C394" s="79"/>
      <c r="D394" s="79"/>
      <c r="E394" s="79"/>
      <c r="O394" s="79"/>
      <c r="S394" s="79"/>
      <c r="T394" s="79"/>
      <c r="Y394" s="79"/>
      <c r="AD394" s="130"/>
      <c r="AF394" s="106"/>
    </row>
    <row r="395">
      <c r="C395" s="79"/>
      <c r="D395" s="79"/>
      <c r="E395" s="79"/>
      <c r="O395" s="79"/>
      <c r="S395" s="79"/>
      <c r="T395" s="79"/>
      <c r="Y395" s="79"/>
      <c r="AD395" s="130"/>
      <c r="AF395" s="106"/>
    </row>
    <row r="396">
      <c r="C396" s="79"/>
      <c r="D396" s="79"/>
      <c r="E396" s="79"/>
      <c r="O396" s="79"/>
      <c r="S396" s="79"/>
      <c r="T396" s="79"/>
      <c r="Y396" s="79"/>
      <c r="AD396" s="130"/>
      <c r="AF396" s="106"/>
    </row>
    <row r="397">
      <c r="C397" s="79"/>
      <c r="D397" s="79"/>
      <c r="E397" s="79"/>
      <c r="O397" s="79"/>
      <c r="S397" s="79"/>
      <c r="T397" s="79"/>
      <c r="Y397" s="79"/>
      <c r="AD397" s="130"/>
      <c r="AF397" s="106"/>
    </row>
    <row r="398">
      <c r="C398" s="79"/>
      <c r="D398" s="79"/>
      <c r="E398" s="79"/>
      <c r="O398" s="79"/>
      <c r="S398" s="79"/>
      <c r="T398" s="79"/>
      <c r="Y398" s="79"/>
      <c r="AD398" s="130"/>
      <c r="AF398" s="106"/>
    </row>
    <row r="399">
      <c r="C399" s="79"/>
      <c r="D399" s="79"/>
      <c r="E399" s="79"/>
      <c r="O399" s="79"/>
      <c r="S399" s="79"/>
      <c r="T399" s="79"/>
      <c r="Y399" s="79"/>
      <c r="AD399" s="130"/>
      <c r="AF399" s="106"/>
    </row>
    <row r="400">
      <c r="C400" s="79"/>
      <c r="D400" s="79"/>
      <c r="E400" s="79"/>
      <c r="O400" s="79"/>
      <c r="S400" s="79"/>
      <c r="T400" s="79"/>
      <c r="Y400" s="79"/>
      <c r="AD400" s="130"/>
      <c r="AF400" s="106"/>
    </row>
    <row r="401">
      <c r="C401" s="79"/>
      <c r="D401" s="79"/>
      <c r="E401" s="79"/>
      <c r="O401" s="79"/>
      <c r="S401" s="79"/>
      <c r="T401" s="79"/>
      <c r="Y401" s="79"/>
      <c r="AD401" s="130"/>
      <c r="AF401" s="106"/>
    </row>
    <row r="402">
      <c r="C402" s="79"/>
      <c r="D402" s="79"/>
      <c r="E402" s="79"/>
      <c r="O402" s="79"/>
      <c r="S402" s="79"/>
      <c r="T402" s="79"/>
      <c r="Y402" s="79"/>
      <c r="AD402" s="130"/>
      <c r="AF402" s="106"/>
    </row>
    <row r="403">
      <c r="C403" s="79"/>
      <c r="D403" s="79"/>
      <c r="E403" s="79"/>
      <c r="O403" s="79"/>
      <c r="S403" s="79"/>
      <c r="T403" s="79"/>
      <c r="Y403" s="79"/>
      <c r="AD403" s="130"/>
      <c r="AF403" s="106"/>
    </row>
    <row r="404">
      <c r="C404" s="79"/>
      <c r="D404" s="79"/>
      <c r="E404" s="79"/>
      <c r="O404" s="79"/>
      <c r="S404" s="79"/>
      <c r="T404" s="79"/>
      <c r="Y404" s="79"/>
      <c r="AD404" s="130"/>
      <c r="AF404" s="106"/>
    </row>
    <row r="405">
      <c r="C405" s="79"/>
      <c r="D405" s="79"/>
      <c r="E405" s="79"/>
      <c r="O405" s="79"/>
      <c r="S405" s="79"/>
      <c r="T405" s="79"/>
      <c r="Y405" s="79"/>
      <c r="AD405" s="130"/>
      <c r="AF405" s="106"/>
    </row>
    <row r="406">
      <c r="C406" s="79"/>
      <c r="D406" s="79"/>
      <c r="E406" s="79"/>
      <c r="O406" s="79"/>
      <c r="S406" s="79"/>
      <c r="T406" s="79"/>
      <c r="Y406" s="79"/>
      <c r="AD406" s="130"/>
      <c r="AF406" s="106"/>
    </row>
    <row r="407">
      <c r="C407" s="79"/>
      <c r="D407" s="79"/>
      <c r="E407" s="79"/>
      <c r="O407" s="79"/>
      <c r="S407" s="79"/>
      <c r="T407" s="79"/>
      <c r="Y407" s="79"/>
      <c r="AD407" s="130"/>
      <c r="AF407" s="106"/>
    </row>
    <row r="408">
      <c r="C408" s="79"/>
      <c r="D408" s="79"/>
      <c r="E408" s="79"/>
      <c r="O408" s="79"/>
      <c r="S408" s="79"/>
      <c r="T408" s="79"/>
      <c r="Y408" s="79"/>
      <c r="AD408" s="130"/>
      <c r="AF408" s="106"/>
    </row>
    <row r="409">
      <c r="C409" s="79"/>
      <c r="D409" s="79"/>
      <c r="E409" s="79"/>
      <c r="O409" s="79"/>
      <c r="S409" s="79"/>
      <c r="T409" s="79"/>
      <c r="Y409" s="79"/>
      <c r="AD409" s="130"/>
      <c r="AF409" s="106"/>
    </row>
    <row r="410">
      <c r="C410" s="79"/>
      <c r="D410" s="79"/>
      <c r="E410" s="79"/>
      <c r="O410" s="79"/>
      <c r="S410" s="79"/>
      <c r="T410" s="79"/>
      <c r="Y410" s="79"/>
      <c r="AD410" s="130"/>
      <c r="AF410" s="106"/>
    </row>
    <row r="411">
      <c r="C411" s="79"/>
      <c r="D411" s="79"/>
      <c r="E411" s="79"/>
      <c r="O411" s="79"/>
      <c r="S411" s="79"/>
      <c r="T411" s="79"/>
      <c r="Y411" s="79"/>
      <c r="AD411" s="130"/>
      <c r="AF411" s="106"/>
    </row>
    <row r="412">
      <c r="C412" s="79"/>
      <c r="D412" s="79"/>
      <c r="E412" s="79"/>
      <c r="O412" s="79"/>
      <c r="S412" s="79"/>
      <c r="T412" s="79"/>
      <c r="Y412" s="79"/>
      <c r="AD412" s="130"/>
      <c r="AF412" s="106"/>
    </row>
    <row r="413">
      <c r="C413" s="79"/>
      <c r="D413" s="79"/>
      <c r="E413" s="79"/>
      <c r="O413" s="79"/>
      <c r="S413" s="79"/>
      <c r="T413" s="79"/>
      <c r="Y413" s="79"/>
      <c r="AD413" s="130"/>
      <c r="AF413" s="106"/>
    </row>
    <row r="414">
      <c r="C414" s="79"/>
      <c r="D414" s="79"/>
      <c r="E414" s="79"/>
      <c r="O414" s="79"/>
      <c r="S414" s="79"/>
      <c r="T414" s="79"/>
      <c r="Y414" s="79"/>
      <c r="AD414" s="130"/>
      <c r="AF414" s="106"/>
    </row>
    <row r="415">
      <c r="C415" s="79"/>
      <c r="D415" s="79"/>
      <c r="E415" s="79"/>
      <c r="O415" s="79"/>
      <c r="S415" s="79"/>
      <c r="T415" s="79"/>
      <c r="Y415" s="79"/>
      <c r="AD415" s="130"/>
      <c r="AF415" s="106"/>
    </row>
    <row r="416">
      <c r="C416" s="79"/>
      <c r="D416" s="79"/>
      <c r="E416" s="79"/>
      <c r="O416" s="79"/>
      <c r="S416" s="79"/>
      <c r="T416" s="79"/>
      <c r="Y416" s="79"/>
      <c r="AD416" s="130"/>
      <c r="AF416" s="106"/>
    </row>
    <row r="417">
      <c r="C417" s="79"/>
      <c r="D417" s="79"/>
      <c r="E417" s="79"/>
      <c r="O417" s="79"/>
      <c r="S417" s="79"/>
      <c r="T417" s="79"/>
      <c r="Y417" s="79"/>
      <c r="AD417" s="130"/>
      <c r="AF417" s="106"/>
    </row>
    <row r="418">
      <c r="C418" s="79"/>
      <c r="D418" s="79"/>
      <c r="E418" s="79"/>
      <c r="O418" s="79"/>
      <c r="S418" s="79"/>
      <c r="T418" s="79"/>
      <c r="Y418" s="79"/>
      <c r="AD418" s="130"/>
      <c r="AF418" s="106"/>
    </row>
    <row r="419">
      <c r="C419" s="79"/>
      <c r="D419" s="79"/>
      <c r="E419" s="79"/>
      <c r="O419" s="79"/>
      <c r="S419" s="79"/>
      <c r="T419" s="79"/>
      <c r="Y419" s="79"/>
      <c r="AD419" s="130"/>
      <c r="AF419" s="106"/>
    </row>
    <row r="420">
      <c r="C420" s="79"/>
      <c r="D420" s="79"/>
      <c r="E420" s="79"/>
      <c r="O420" s="79"/>
      <c r="S420" s="79"/>
      <c r="T420" s="79"/>
      <c r="Y420" s="79"/>
      <c r="AD420" s="130"/>
      <c r="AF420" s="106"/>
    </row>
    <row r="421">
      <c r="C421" s="79"/>
      <c r="D421" s="79"/>
      <c r="E421" s="79"/>
      <c r="O421" s="79"/>
      <c r="S421" s="79"/>
      <c r="T421" s="79"/>
      <c r="Y421" s="79"/>
      <c r="AD421" s="130"/>
      <c r="AF421" s="106"/>
    </row>
    <row r="422">
      <c r="C422" s="79"/>
      <c r="D422" s="79"/>
      <c r="E422" s="79"/>
      <c r="O422" s="79"/>
      <c r="S422" s="79"/>
      <c r="T422" s="79"/>
      <c r="Y422" s="79"/>
      <c r="AD422" s="130"/>
      <c r="AF422" s="106"/>
    </row>
    <row r="423">
      <c r="C423" s="79"/>
      <c r="D423" s="79"/>
      <c r="E423" s="79"/>
      <c r="O423" s="79"/>
      <c r="S423" s="79"/>
      <c r="T423" s="79"/>
      <c r="Y423" s="79"/>
      <c r="AD423" s="130"/>
      <c r="AF423" s="106"/>
    </row>
    <row r="424">
      <c r="C424" s="79"/>
      <c r="D424" s="79"/>
      <c r="E424" s="79"/>
      <c r="O424" s="79"/>
      <c r="S424" s="79"/>
      <c r="T424" s="79"/>
      <c r="Y424" s="79"/>
      <c r="AD424" s="130"/>
      <c r="AF424" s="106"/>
    </row>
    <row r="425">
      <c r="C425" s="79"/>
      <c r="D425" s="79"/>
      <c r="E425" s="79"/>
      <c r="O425" s="79"/>
      <c r="S425" s="79"/>
      <c r="T425" s="79"/>
      <c r="Y425" s="79"/>
      <c r="AD425" s="130"/>
      <c r="AF425" s="106"/>
    </row>
    <row r="426">
      <c r="C426" s="79"/>
      <c r="D426" s="79"/>
      <c r="E426" s="79"/>
      <c r="O426" s="79"/>
      <c r="S426" s="79"/>
      <c r="T426" s="79"/>
      <c r="Y426" s="79"/>
      <c r="AD426" s="130"/>
      <c r="AF426" s="106"/>
    </row>
    <row r="427">
      <c r="C427" s="79"/>
      <c r="D427" s="79"/>
      <c r="E427" s="79"/>
      <c r="O427" s="79"/>
      <c r="S427" s="79"/>
      <c r="T427" s="79"/>
      <c r="Y427" s="79"/>
      <c r="AD427" s="130"/>
      <c r="AF427" s="106"/>
    </row>
    <row r="428">
      <c r="C428" s="79"/>
      <c r="D428" s="79"/>
      <c r="E428" s="79"/>
      <c r="O428" s="79"/>
      <c r="S428" s="79"/>
      <c r="T428" s="79"/>
      <c r="Y428" s="79"/>
      <c r="AD428" s="130"/>
      <c r="AF428" s="106"/>
    </row>
    <row r="429">
      <c r="C429" s="79"/>
      <c r="D429" s="79"/>
      <c r="E429" s="79"/>
      <c r="O429" s="79"/>
      <c r="S429" s="79"/>
      <c r="T429" s="79"/>
      <c r="Y429" s="79"/>
      <c r="AD429" s="130"/>
      <c r="AF429" s="106"/>
    </row>
    <row r="430">
      <c r="C430" s="79"/>
      <c r="D430" s="79"/>
      <c r="E430" s="79"/>
      <c r="O430" s="79"/>
      <c r="S430" s="79"/>
      <c r="T430" s="79"/>
      <c r="Y430" s="79"/>
      <c r="AD430" s="130"/>
      <c r="AF430" s="106"/>
    </row>
    <row r="431">
      <c r="C431" s="79"/>
      <c r="D431" s="79"/>
      <c r="E431" s="79"/>
      <c r="O431" s="79"/>
      <c r="S431" s="79"/>
      <c r="T431" s="79"/>
      <c r="Y431" s="79"/>
      <c r="AD431" s="130"/>
      <c r="AF431" s="106"/>
    </row>
    <row r="432">
      <c r="C432" s="79"/>
      <c r="D432" s="79"/>
      <c r="E432" s="79"/>
      <c r="O432" s="79"/>
      <c r="S432" s="79"/>
      <c r="T432" s="79"/>
      <c r="Y432" s="79"/>
      <c r="AD432" s="130"/>
      <c r="AF432" s="106"/>
    </row>
    <row r="433">
      <c r="C433" s="79"/>
      <c r="D433" s="79"/>
      <c r="E433" s="79"/>
      <c r="O433" s="79"/>
      <c r="S433" s="79"/>
      <c r="T433" s="79"/>
      <c r="Y433" s="79"/>
      <c r="AD433" s="130"/>
      <c r="AF433" s="106"/>
    </row>
    <row r="434">
      <c r="C434" s="79"/>
      <c r="D434" s="79"/>
      <c r="E434" s="79"/>
      <c r="O434" s="79"/>
      <c r="S434" s="79"/>
      <c r="T434" s="79"/>
      <c r="Y434" s="79"/>
      <c r="AD434" s="130"/>
      <c r="AF434" s="106"/>
    </row>
    <row r="435">
      <c r="C435" s="79"/>
      <c r="D435" s="79"/>
      <c r="E435" s="79"/>
      <c r="O435" s="79"/>
      <c r="S435" s="79"/>
      <c r="T435" s="79"/>
      <c r="Y435" s="79"/>
      <c r="AD435" s="130"/>
      <c r="AF435" s="106"/>
    </row>
    <row r="436">
      <c r="C436" s="79"/>
      <c r="D436" s="79"/>
      <c r="E436" s="79"/>
      <c r="O436" s="79"/>
      <c r="S436" s="79"/>
      <c r="T436" s="79"/>
      <c r="Y436" s="79"/>
      <c r="AD436" s="130"/>
      <c r="AF436" s="106"/>
    </row>
    <row r="437">
      <c r="C437" s="79"/>
      <c r="D437" s="79"/>
      <c r="E437" s="79"/>
      <c r="O437" s="79"/>
      <c r="S437" s="79"/>
      <c r="T437" s="79"/>
      <c r="Y437" s="79"/>
      <c r="AD437" s="130"/>
      <c r="AF437" s="106"/>
    </row>
    <row r="438">
      <c r="C438" s="79"/>
      <c r="D438" s="79"/>
      <c r="E438" s="79"/>
      <c r="O438" s="79"/>
      <c r="S438" s="79"/>
      <c r="T438" s="79"/>
      <c r="Y438" s="79"/>
      <c r="AD438" s="130"/>
      <c r="AF438" s="106"/>
    </row>
    <row r="439">
      <c r="C439" s="79"/>
      <c r="D439" s="79"/>
      <c r="E439" s="79"/>
      <c r="O439" s="79"/>
      <c r="S439" s="79"/>
      <c r="T439" s="79"/>
      <c r="Y439" s="79"/>
      <c r="AD439" s="130"/>
      <c r="AF439" s="106"/>
    </row>
    <row r="440">
      <c r="C440" s="79"/>
      <c r="D440" s="79"/>
      <c r="E440" s="79"/>
      <c r="O440" s="79"/>
      <c r="S440" s="79"/>
      <c r="T440" s="79"/>
      <c r="Y440" s="79"/>
      <c r="AD440" s="130"/>
      <c r="AF440" s="106"/>
    </row>
    <row r="441">
      <c r="C441" s="79"/>
      <c r="D441" s="79"/>
      <c r="E441" s="79"/>
      <c r="O441" s="79"/>
      <c r="S441" s="79"/>
      <c r="T441" s="79"/>
      <c r="Y441" s="79"/>
      <c r="AD441" s="130"/>
      <c r="AF441" s="106"/>
    </row>
    <row r="442">
      <c r="C442" s="79"/>
      <c r="D442" s="79"/>
      <c r="E442" s="79"/>
      <c r="O442" s="79"/>
      <c r="S442" s="79"/>
      <c r="T442" s="79"/>
      <c r="Y442" s="79"/>
      <c r="AD442" s="130"/>
      <c r="AF442" s="106"/>
    </row>
    <row r="443">
      <c r="C443" s="79"/>
      <c r="D443" s="79"/>
      <c r="E443" s="79"/>
      <c r="O443" s="79"/>
      <c r="S443" s="79"/>
      <c r="T443" s="79"/>
      <c r="Y443" s="79"/>
      <c r="AD443" s="130"/>
      <c r="AF443" s="106"/>
    </row>
    <row r="444">
      <c r="C444" s="79"/>
      <c r="D444" s="79"/>
      <c r="E444" s="79"/>
      <c r="O444" s="79"/>
      <c r="S444" s="79"/>
      <c r="T444" s="79"/>
      <c r="Y444" s="79"/>
      <c r="AD444" s="130"/>
      <c r="AF444" s="106"/>
    </row>
    <row r="445">
      <c r="C445" s="79"/>
      <c r="D445" s="79"/>
      <c r="E445" s="79"/>
      <c r="O445" s="79"/>
      <c r="S445" s="79"/>
      <c r="T445" s="79"/>
      <c r="Y445" s="79"/>
      <c r="AD445" s="130"/>
      <c r="AF445" s="106"/>
    </row>
    <row r="446">
      <c r="C446" s="79"/>
      <c r="D446" s="79"/>
      <c r="E446" s="79"/>
      <c r="O446" s="79"/>
      <c r="S446" s="79"/>
      <c r="T446" s="79"/>
      <c r="Y446" s="79"/>
      <c r="AD446" s="130"/>
      <c r="AF446" s="106"/>
    </row>
    <row r="447">
      <c r="C447" s="79"/>
      <c r="D447" s="79"/>
      <c r="E447" s="79"/>
      <c r="O447" s="79"/>
      <c r="S447" s="79"/>
      <c r="T447" s="79"/>
      <c r="Y447" s="79"/>
      <c r="AD447" s="130"/>
      <c r="AF447" s="106"/>
    </row>
    <row r="448">
      <c r="C448" s="79"/>
      <c r="D448" s="79"/>
      <c r="E448" s="79"/>
      <c r="O448" s="79"/>
      <c r="S448" s="79"/>
      <c r="T448" s="79"/>
      <c r="Y448" s="79"/>
      <c r="AD448" s="130"/>
      <c r="AF448" s="106"/>
    </row>
    <row r="449">
      <c r="C449" s="79"/>
      <c r="D449" s="79"/>
      <c r="E449" s="79"/>
      <c r="O449" s="79"/>
      <c r="S449" s="79"/>
      <c r="T449" s="79"/>
      <c r="Y449" s="79"/>
      <c r="AD449" s="130"/>
      <c r="AF449" s="106"/>
    </row>
    <row r="450">
      <c r="C450" s="79"/>
      <c r="D450" s="79"/>
      <c r="E450" s="79"/>
      <c r="O450" s="79"/>
      <c r="S450" s="79"/>
      <c r="T450" s="79"/>
      <c r="Y450" s="79"/>
      <c r="AD450" s="130"/>
      <c r="AF450" s="106"/>
    </row>
    <row r="451">
      <c r="C451" s="79"/>
      <c r="D451" s="79"/>
      <c r="E451" s="79"/>
      <c r="O451" s="79"/>
      <c r="S451" s="79"/>
      <c r="T451" s="79"/>
      <c r="Y451" s="79"/>
      <c r="AD451" s="130"/>
      <c r="AF451" s="106"/>
    </row>
    <row r="452">
      <c r="C452" s="79"/>
      <c r="D452" s="79"/>
      <c r="E452" s="79"/>
      <c r="O452" s="79"/>
      <c r="S452" s="79"/>
      <c r="T452" s="79"/>
      <c r="Y452" s="79"/>
      <c r="AD452" s="130"/>
      <c r="AF452" s="106"/>
    </row>
    <row r="453">
      <c r="C453" s="79"/>
      <c r="D453" s="79"/>
      <c r="E453" s="79"/>
      <c r="O453" s="79"/>
      <c r="S453" s="79"/>
      <c r="T453" s="79"/>
      <c r="Y453" s="79"/>
      <c r="AD453" s="130"/>
      <c r="AF453" s="106"/>
    </row>
    <row r="454">
      <c r="C454" s="79"/>
      <c r="D454" s="79"/>
      <c r="E454" s="79"/>
      <c r="O454" s="79"/>
      <c r="S454" s="79"/>
      <c r="T454" s="79"/>
      <c r="Y454" s="79"/>
      <c r="AD454" s="130"/>
      <c r="AF454" s="106"/>
    </row>
    <row r="455">
      <c r="C455" s="79"/>
      <c r="D455" s="79"/>
      <c r="E455" s="79"/>
      <c r="O455" s="79"/>
      <c r="S455" s="79"/>
      <c r="T455" s="79"/>
      <c r="Y455" s="79"/>
      <c r="AD455" s="130"/>
      <c r="AF455" s="106"/>
    </row>
    <row r="456">
      <c r="C456" s="79"/>
      <c r="D456" s="79"/>
      <c r="E456" s="79"/>
      <c r="O456" s="79"/>
      <c r="S456" s="79"/>
      <c r="T456" s="79"/>
      <c r="Y456" s="79"/>
      <c r="AD456" s="130"/>
      <c r="AF456" s="106"/>
    </row>
    <row r="457">
      <c r="C457" s="79"/>
      <c r="D457" s="79"/>
      <c r="E457" s="79"/>
      <c r="O457" s="79"/>
      <c r="S457" s="79"/>
      <c r="T457" s="79"/>
      <c r="Y457" s="79"/>
      <c r="AD457" s="130"/>
      <c r="AF457" s="106"/>
    </row>
    <row r="458">
      <c r="C458" s="79"/>
      <c r="D458" s="79"/>
      <c r="E458" s="79"/>
      <c r="O458" s="79"/>
      <c r="S458" s="79"/>
      <c r="T458" s="79"/>
      <c r="Y458" s="79"/>
      <c r="AD458" s="130"/>
      <c r="AF458" s="106"/>
    </row>
    <row r="459">
      <c r="C459" s="79"/>
      <c r="D459" s="79"/>
      <c r="E459" s="79"/>
      <c r="O459" s="79"/>
      <c r="S459" s="79"/>
      <c r="T459" s="79"/>
      <c r="Y459" s="79"/>
      <c r="AD459" s="130"/>
      <c r="AF459" s="106"/>
    </row>
    <row r="460">
      <c r="C460" s="79"/>
      <c r="D460" s="79"/>
      <c r="E460" s="79"/>
      <c r="O460" s="79"/>
      <c r="S460" s="79"/>
      <c r="T460" s="79"/>
      <c r="Y460" s="79"/>
      <c r="AD460" s="130"/>
      <c r="AF460" s="106"/>
    </row>
    <row r="461">
      <c r="C461" s="79"/>
      <c r="D461" s="79"/>
      <c r="E461" s="79"/>
      <c r="O461" s="79"/>
      <c r="S461" s="79"/>
      <c r="T461" s="79"/>
      <c r="Y461" s="79"/>
      <c r="AD461" s="130"/>
      <c r="AF461" s="106"/>
    </row>
    <row r="462">
      <c r="C462" s="79"/>
      <c r="D462" s="79"/>
      <c r="E462" s="79"/>
      <c r="O462" s="79"/>
      <c r="S462" s="79"/>
      <c r="T462" s="79"/>
      <c r="Y462" s="79"/>
      <c r="AD462" s="130"/>
      <c r="AF462" s="106"/>
    </row>
    <row r="463">
      <c r="C463" s="79"/>
      <c r="D463" s="79"/>
      <c r="E463" s="79"/>
      <c r="O463" s="79"/>
      <c r="S463" s="79"/>
      <c r="T463" s="79"/>
      <c r="Y463" s="79"/>
      <c r="AD463" s="130"/>
      <c r="AF463" s="106"/>
    </row>
    <row r="464">
      <c r="C464" s="79"/>
      <c r="D464" s="79"/>
      <c r="E464" s="79"/>
      <c r="O464" s="79"/>
      <c r="S464" s="79"/>
      <c r="T464" s="79"/>
      <c r="Y464" s="79"/>
      <c r="AD464" s="130"/>
      <c r="AF464" s="106"/>
    </row>
    <row r="465">
      <c r="C465" s="79"/>
      <c r="D465" s="79"/>
      <c r="E465" s="79"/>
      <c r="O465" s="79"/>
      <c r="S465" s="79"/>
      <c r="T465" s="79"/>
      <c r="Y465" s="79"/>
      <c r="AD465" s="130"/>
      <c r="AF465" s="106"/>
    </row>
    <row r="466">
      <c r="C466" s="79"/>
      <c r="D466" s="79"/>
      <c r="E466" s="79"/>
      <c r="O466" s="79"/>
      <c r="S466" s="79"/>
      <c r="T466" s="79"/>
      <c r="Y466" s="79"/>
      <c r="AD466" s="130"/>
      <c r="AF466" s="106"/>
    </row>
    <row r="467">
      <c r="C467" s="79"/>
      <c r="D467" s="79"/>
      <c r="E467" s="79"/>
      <c r="O467" s="79"/>
      <c r="S467" s="79"/>
      <c r="T467" s="79"/>
      <c r="Y467" s="79"/>
      <c r="AD467" s="130"/>
      <c r="AF467" s="106"/>
    </row>
    <row r="468">
      <c r="C468" s="79"/>
      <c r="D468" s="79"/>
      <c r="E468" s="79"/>
      <c r="O468" s="79"/>
      <c r="S468" s="79"/>
      <c r="T468" s="79"/>
      <c r="Y468" s="79"/>
      <c r="AD468" s="130"/>
      <c r="AF468" s="106"/>
    </row>
    <row r="469">
      <c r="C469" s="79"/>
      <c r="D469" s="79"/>
      <c r="E469" s="79"/>
      <c r="O469" s="79"/>
      <c r="S469" s="79"/>
      <c r="T469" s="79"/>
      <c r="Y469" s="79"/>
      <c r="AD469" s="130"/>
      <c r="AF469" s="106"/>
    </row>
    <row r="470">
      <c r="C470" s="79"/>
      <c r="D470" s="79"/>
      <c r="E470" s="79"/>
      <c r="O470" s="79"/>
      <c r="S470" s="79"/>
      <c r="T470" s="79"/>
      <c r="Y470" s="79"/>
      <c r="AD470" s="130"/>
      <c r="AF470" s="106"/>
    </row>
    <row r="471">
      <c r="C471" s="79"/>
      <c r="D471" s="79"/>
      <c r="E471" s="79"/>
      <c r="O471" s="79"/>
      <c r="S471" s="79"/>
      <c r="T471" s="79"/>
      <c r="Y471" s="79"/>
      <c r="AD471" s="130"/>
      <c r="AF471" s="106"/>
    </row>
    <row r="472">
      <c r="C472" s="79"/>
      <c r="D472" s="79"/>
      <c r="E472" s="79"/>
      <c r="O472" s="79"/>
      <c r="S472" s="79"/>
      <c r="T472" s="79"/>
      <c r="Y472" s="79"/>
      <c r="AD472" s="130"/>
      <c r="AF472" s="106"/>
    </row>
    <row r="473">
      <c r="C473" s="79"/>
      <c r="D473" s="79"/>
      <c r="E473" s="79"/>
      <c r="O473" s="79"/>
      <c r="S473" s="79"/>
      <c r="T473" s="79"/>
      <c r="Y473" s="79"/>
      <c r="AD473" s="130"/>
      <c r="AF473" s="106"/>
    </row>
    <row r="474">
      <c r="C474" s="79"/>
      <c r="D474" s="79"/>
      <c r="E474" s="79"/>
      <c r="O474" s="79"/>
      <c r="S474" s="79"/>
      <c r="T474" s="79"/>
      <c r="Y474" s="79"/>
      <c r="AD474" s="130"/>
      <c r="AF474" s="106"/>
    </row>
    <row r="475">
      <c r="C475" s="79"/>
      <c r="D475" s="79"/>
      <c r="E475" s="79"/>
      <c r="O475" s="79"/>
      <c r="S475" s="79"/>
      <c r="T475" s="79"/>
      <c r="Y475" s="79"/>
      <c r="AD475" s="130"/>
      <c r="AF475" s="106"/>
    </row>
    <row r="476">
      <c r="C476" s="79"/>
      <c r="D476" s="79"/>
      <c r="E476" s="79"/>
      <c r="O476" s="79"/>
      <c r="S476" s="79"/>
      <c r="T476" s="79"/>
      <c r="Y476" s="79"/>
      <c r="AD476" s="130"/>
      <c r="AF476" s="106"/>
    </row>
    <row r="477">
      <c r="C477" s="79"/>
      <c r="D477" s="79"/>
      <c r="E477" s="79"/>
      <c r="O477" s="79"/>
      <c r="S477" s="79"/>
      <c r="T477" s="79"/>
      <c r="Y477" s="79"/>
      <c r="AD477" s="130"/>
      <c r="AF477" s="106"/>
    </row>
    <row r="478">
      <c r="C478" s="79"/>
      <c r="D478" s="79"/>
      <c r="E478" s="79"/>
      <c r="O478" s="79"/>
      <c r="S478" s="79"/>
      <c r="T478" s="79"/>
      <c r="Y478" s="79"/>
      <c r="AD478" s="130"/>
      <c r="AF478" s="106"/>
    </row>
    <row r="479">
      <c r="C479" s="79"/>
      <c r="D479" s="79"/>
      <c r="E479" s="79"/>
      <c r="O479" s="79"/>
      <c r="S479" s="79"/>
      <c r="T479" s="79"/>
      <c r="Y479" s="79"/>
      <c r="AD479" s="130"/>
      <c r="AF479" s="106"/>
    </row>
    <row r="480">
      <c r="C480" s="79"/>
      <c r="D480" s="79"/>
      <c r="E480" s="79"/>
      <c r="O480" s="79"/>
      <c r="S480" s="79"/>
      <c r="T480" s="79"/>
      <c r="Y480" s="79"/>
      <c r="AD480" s="130"/>
      <c r="AF480" s="106"/>
    </row>
    <row r="481">
      <c r="C481" s="79"/>
      <c r="D481" s="79"/>
      <c r="E481" s="79"/>
      <c r="O481" s="79"/>
      <c r="S481" s="79"/>
      <c r="T481" s="79"/>
      <c r="Y481" s="79"/>
      <c r="AD481" s="130"/>
      <c r="AF481" s="106"/>
    </row>
    <row r="482">
      <c r="C482" s="79"/>
      <c r="D482" s="79"/>
      <c r="E482" s="79"/>
      <c r="O482" s="79"/>
      <c r="S482" s="79"/>
      <c r="T482" s="79"/>
      <c r="Y482" s="79"/>
      <c r="AD482" s="130"/>
      <c r="AF482" s="106"/>
    </row>
    <row r="483">
      <c r="C483" s="79"/>
      <c r="D483" s="79"/>
      <c r="E483" s="79"/>
      <c r="O483" s="79"/>
      <c r="S483" s="79"/>
      <c r="T483" s="79"/>
      <c r="Y483" s="79"/>
      <c r="AD483" s="130"/>
      <c r="AF483" s="106"/>
    </row>
    <row r="484">
      <c r="C484" s="79"/>
      <c r="D484" s="79"/>
      <c r="E484" s="79"/>
      <c r="O484" s="79"/>
      <c r="S484" s="79"/>
      <c r="T484" s="79"/>
      <c r="Y484" s="79"/>
      <c r="AD484" s="130"/>
      <c r="AF484" s="106"/>
    </row>
    <row r="485">
      <c r="C485" s="79"/>
      <c r="D485" s="79"/>
      <c r="E485" s="79"/>
      <c r="O485" s="79"/>
      <c r="S485" s="79"/>
      <c r="T485" s="79"/>
      <c r="Y485" s="79"/>
      <c r="AD485" s="130"/>
      <c r="AF485" s="106"/>
    </row>
    <row r="486">
      <c r="C486" s="79"/>
      <c r="D486" s="79"/>
      <c r="E486" s="79"/>
      <c r="O486" s="79"/>
      <c r="S486" s="79"/>
      <c r="T486" s="79"/>
      <c r="Y486" s="79"/>
      <c r="AD486" s="130"/>
      <c r="AF486" s="106"/>
    </row>
    <row r="487">
      <c r="C487" s="79"/>
      <c r="D487" s="79"/>
      <c r="E487" s="79"/>
      <c r="O487" s="79"/>
      <c r="S487" s="79"/>
      <c r="T487" s="79"/>
      <c r="Y487" s="79"/>
      <c r="AD487" s="130"/>
      <c r="AF487" s="106"/>
    </row>
    <row r="488">
      <c r="C488" s="79"/>
      <c r="D488" s="79"/>
      <c r="E488" s="79"/>
      <c r="O488" s="79"/>
      <c r="S488" s="79"/>
      <c r="T488" s="79"/>
      <c r="Y488" s="79"/>
      <c r="AD488" s="130"/>
      <c r="AF488" s="106"/>
    </row>
    <row r="489">
      <c r="C489" s="79"/>
      <c r="D489" s="79"/>
      <c r="E489" s="79"/>
      <c r="O489" s="79"/>
      <c r="S489" s="79"/>
      <c r="T489" s="79"/>
      <c r="Y489" s="79"/>
      <c r="AD489" s="130"/>
      <c r="AF489" s="106"/>
    </row>
    <row r="490">
      <c r="C490" s="79"/>
      <c r="D490" s="79"/>
      <c r="E490" s="79"/>
      <c r="O490" s="79"/>
      <c r="S490" s="79"/>
      <c r="T490" s="79"/>
      <c r="Y490" s="79"/>
      <c r="AD490" s="130"/>
      <c r="AF490" s="106"/>
    </row>
    <row r="491">
      <c r="C491" s="79"/>
      <c r="D491" s="79"/>
      <c r="E491" s="79"/>
      <c r="O491" s="79"/>
      <c r="S491" s="79"/>
      <c r="T491" s="79"/>
      <c r="Y491" s="79"/>
      <c r="AD491" s="130"/>
      <c r="AF491" s="106"/>
    </row>
    <row r="492">
      <c r="C492" s="79"/>
      <c r="D492" s="79"/>
      <c r="E492" s="79"/>
      <c r="O492" s="79"/>
      <c r="S492" s="79"/>
      <c r="T492" s="79"/>
      <c r="Y492" s="79"/>
      <c r="AD492" s="130"/>
      <c r="AF492" s="106"/>
    </row>
    <row r="493">
      <c r="C493" s="79"/>
      <c r="D493" s="79"/>
      <c r="E493" s="79"/>
      <c r="O493" s="79"/>
      <c r="S493" s="79"/>
      <c r="T493" s="79"/>
      <c r="Y493" s="79"/>
      <c r="AD493" s="130"/>
      <c r="AF493" s="106"/>
    </row>
    <row r="494">
      <c r="C494" s="79"/>
      <c r="D494" s="79"/>
      <c r="E494" s="79"/>
      <c r="O494" s="79"/>
      <c r="S494" s="79"/>
      <c r="T494" s="79"/>
      <c r="Y494" s="79"/>
      <c r="AD494" s="130"/>
      <c r="AF494" s="106"/>
    </row>
    <row r="495">
      <c r="C495" s="79"/>
      <c r="D495" s="79"/>
      <c r="E495" s="79"/>
      <c r="O495" s="79"/>
      <c r="S495" s="79"/>
      <c r="T495" s="79"/>
      <c r="Y495" s="79"/>
      <c r="AD495" s="130"/>
      <c r="AF495" s="106"/>
    </row>
    <row r="496">
      <c r="C496" s="79"/>
      <c r="D496" s="79"/>
      <c r="E496" s="79"/>
      <c r="O496" s="79"/>
      <c r="S496" s="79"/>
      <c r="T496" s="79"/>
      <c r="Y496" s="79"/>
      <c r="AD496" s="130"/>
      <c r="AF496" s="106"/>
    </row>
    <row r="497">
      <c r="C497" s="79"/>
      <c r="D497" s="79"/>
      <c r="E497" s="79"/>
      <c r="O497" s="79"/>
      <c r="S497" s="79"/>
      <c r="T497" s="79"/>
      <c r="Y497" s="79"/>
      <c r="AD497" s="130"/>
      <c r="AF497" s="106"/>
    </row>
    <row r="498">
      <c r="C498" s="79"/>
      <c r="D498" s="79"/>
      <c r="E498" s="79"/>
      <c r="O498" s="79"/>
      <c r="S498" s="79"/>
      <c r="T498" s="79"/>
      <c r="Y498" s="79"/>
      <c r="AD498" s="130"/>
      <c r="AF498" s="106"/>
    </row>
    <row r="499">
      <c r="C499" s="79"/>
      <c r="D499" s="79"/>
      <c r="E499" s="79"/>
      <c r="O499" s="79"/>
      <c r="S499" s="79"/>
      <c r="T499" s="79"/>
      <c r="Y499" s="79"/>
      <c r="AD499" s="130"/>
      <c r="AF499" s="106"/>
    </row>
    <row r="500">
      <c r="C500" s="79"/>
      <c r="D500" s="79"/>
      <c r="E500" s="79"/>
      <c r="O500" s="79"/>
      <c r="S500" s="79"/>
      <c r="T500" s="79"/>
      <c r="Y500" s="79"/>
      <c r="AD500" s="130"/>
      <c r="AF500" s="106"/>
    </row>
    <row r="501">
      <c r="C501" s="79"/>
      <c r="D501" s="79"/>
      <c r="E501" s="79"/>
      <c r="O501" s="79"/>
      <c r="S501" s="79"/>
      <c r="T501" s="79"/>
      <c r="Y501" s="79"/>
      <c r="AD501" s="130"/>
      <c r="AF501" s="106"/>
    </row>
    <row r="502">
      <c r="C502" s="79"/>
      <c r="D502" s="79"/>
      <c r="E502" s="79"/>
      <c r="O502" s="79"/>
      <c r="S502" s="79"/>
      <c r="T502" s="79"/>
      <c r="Y502" s="79"/>
      <c r="AD502" s="130"/>
      <c r="AF502" s="106"/>
    </row>
    <row r="503">
      <c r="C503" s="79"/>
      <c r="D503" s="79"/>
      <c r="E503" s="79"/>
      <c r="O503" s="79"/>
      <c r="S503" s="79"/>
      <c r="T503" s="79"/>
      <c r="Y503" s="79"/>
      <c r="AD503" s="130"/>
      <c r="AF503" s="106"/>
    </row>
    <row r="504">
      <c r="C504" s="79"/>
      <c r="D504" s="79"/>
      <c r="E504" s="79"/>
      <c r="O504" s="79"/>
      <c r="S504" s="79"/>
      <c r="T504" s="79"/>
      <c r="Y504" s="79"/>
      <c r="AD504" s="130"/>
      <c r="AF504" s="106"/>
    </row>
    <row r="505">
      <c r="C505" s="79"/>
      <c r="D505" s="79"/>
      <c r="E505" s="79"/>
      <c r="O505" s="79"/>
      <c r="S505" s="79"/>
      <c r="T505" s="79"/>
      <c r="Y505" s="79"/>
      <c r="AD505" s="130"/>
      <c r="AF505" s="106"/>
    </row>
    <row r="506">
      <c r="C506" s="79"/>
      <c r="D506" s="79"/>
      <c r="E506" s="79"/>
      <c r="O506" s="79"/>
      <c r="S506" s="79"/>
      <c r="T506" s="79"/>
      <c r="Y506" s="79"/>
      <c r="AD506" s="130"/>
      <c r="AF506" s="106"/>
    </row>
    <row r="507">
      <c r="C507" s="79"/>
      <c r="D507" s="79"/>
      <c r="E507" s="79"/>
      <c r="O507" s="79"/>
      <c r="S507" s="79"/>
      <c r="T507" s="79"/>
      <c r="Y507" s="79"/>
      <c r="AD507" s="130"/>
      <c r="AF507" s="106"/>
    </row>
    <row r="508">
      <c r="C508" s="79"/>
      <c r="D508" s="79"/>
      <c r="E508" s="79"/>
      <c r="O508" s="79"/>
      <c r="S508" s="79"/>
      <c r="T508" s="79"/>
      <c r="Y508" s="79"/>
      <c r="AD508" s="130"/>
      <c r="AF508" s="106"/>
    </row>
    <row r="509">
      <c r="C509" s="79"/>
      <c r="D509" s="79"/>
      <c r="E509" s="79"/>
      <c r="O509" s="79"/>
      <c r="S509" s="79"/>
      <c r="T509" s="79"/>
      <c r="Y509" s="79"/>
      <c r="AD509" s="130"/>
      <c r="AF509" s="106"/>
    </row>
    <row r="510">
      <c r="C510" s="79"/>
      <c r="D510" s="79"/>
      <c r="E510" s="79"/>
      <c r="O510" s="79"/>
      <c r="S510" s="79"/>
      <c r="T510" s="79"/>
      <c r="Y510" s="79"/>
      <c r="AD510" s="130"/>
      <c r="AF510" s="106"/>
    </row>
    <row r="511">
      <c r="C511" s="79"/>
      <c r="D511" s="79"/>
      <c r="E511" s="79"/>
      <c r="O511" s="79"/>
      <c r="S511" s="79"/>
      <c r="T511" s="79"/>
      <c r="Y511" s="79"/>
      <c r="AD511" s="130"/>
      <c r="AF511" s="106"/>
    </row>
    <row r="512">
      <c r="C512" s="79"/>
      <c r="D512" s="79"/>
      <c r="E512" s="79"/>
      <c r="O512" s="79"/>
      <c r="S512" s="79"/>
      <c r="T512" s="79"/>
      <c r="Y512" s="79"/>
      <c r="AD512" s="130"/>
      <c r="AF512" s="106"/>
    </row>
    <row r="513">
      <c r="C513" s="79"/>
      <c r="D513" s="79"/>
      <c r="E513" s="79"/>
      <c r="O513" s="79"/>
      <c r="S513" s="79"/>
      <c r="T513" s="79"/>
      <c r="Y513" s="79"/>
      <c r="AD513" s="130"/>
      <c r="AF513" s="106"/>
    </row>
    <row r="514">
      <c r="C514" s="79"/>
      <c r="D514" s="79"/>
      <c r="E514" s="79"/>
      <c r="O514" s="79"/>
      <c r="S514" s="79"/>
      <c r="T514" s="79"/>
      <c r="Y514" s="79"/>
      <c r="AD514" s="130"/>
      <c r="AF514" s="106"/>
    </row>
    <row r="515">
      <c r="C515" s="79"/>
      <c r="D515" s="79"/>
      <c r="E515" s="79"/>
      <c r="O515" s="79"/>
      <c r="S515" s="79"/>
      <c r="T515" s="79"/>
      <c r="Y515" s="79"/>
      <c r="AD515" s="130"/>
      <c r="AF515" s="106"/>
    </row>
    <row r="516">
      <c r="C516" s="79"/>
      <c r="D516" s="79"/>
      <c r="E516" s="79"/>
      <c r="O516" s="79"/>
      <c r="S516" s="79"/>
      <c r="T516" s="79"/>
      <c r="Y516" s="79"/>
      <c r="AD516" s="130"/>
      <c r="AF516" s="106"/>
    </row>
    <row r="517">
      <c r="C517" s="79"/>
      <c r="D517" s="79"/>
      <c r="E517" s="79"/>
      <c r="O517" s="79"/>
      <c r="S517" s="79"/>
      <c r="T517" s="79"/>
      <c r="Y517" s="79"/>
      <c r="AD517" s="130"/>
      <c r="AF517" s="106"/>
    </row>
    <row r="518">
      <c r="C518" s="79"/>
      <c r="D518" s="79"/>
      <c r="E518" s="79"/>
      <c r="O518" s="79"/>
      <c r="S518" s="79"/>
      <c r="T518" s="79"/>
      <c r="Y518" s="79"/>
      <c r="AD518" s="130"/>
      <c r="AF518" s="106"/>
    </row>
    <row r="519">
      <c r="C519" s="79"/>
      <c r="D519" s="79"/>
      <c r="E519" s="79"/>
      <c r="O519" s="79"/>
      <c r="S519" s="79"/>
      <c r="T519" s="79"/>
      <c r="Y519" s="79"/>
      <c r="AD519" s="130"/>
      <c r="AF519" s="106"/>
    </row>
    <row r="520">
      <c r="C520" s="79"/>
      <c r="D520" s="79"/>
      <c r="E520" s="79"/>
      <c r="O520" s="79"/>
      <c r="S520" s="79"/>
      <c r="T520" s="79"/>
      <c r="Y520" s="79"/>
      <c r="AD520" s="130"/>
      <c r="AF520" s="106"/>
    </row>
    <row r="521">
      <c r="C521" s="79"/>
      <c r="D521" s="79"/>
      <c r="E521" s="79"/>
      <c r="O521" s="79"/>
      <c r="S521" s="79"/>
      <c r="T521" s="79"/>
      <c r="Y521" s="79"/>
      <c r="AD521" s="130"/>
      <c r="AF521" s="106"/>
    </row>
    <row r="522">
      <c r="C522" s="79"/>
      <c r="D522" s="79"/>
      <c r="E522" s="79"/>
      <c r="O522" s="79"/>
      <c r="S522" s="79"/>
      <c r="T522" s="79"/>
      <c r="Y522" s="79"/>
      <c r="AD522" s="130"/>
      <c r="AF522" s="106"/>
    </row>
    <row r="523">
      <c r="C523" s="79"/>
      <c r="D523" s="79"/>
      <c r="E523" s="79"/>
      <c r="O523" s="79"/>
      <c r="S523" s="79"/>
      <c r="T523" s="79"/>
      <c r="Y523" s="79"/>
      <c r="AD523" s="130"/>
      <c r="AF523" s="106"/>
    </row>
    <row r="524">
      <c r="C524" s="79"/>
      <c r="D524" s="79"/>
      <c r="E524" s="79"/>
      <c r="O524" s="79"/>
      <c r="S524" s="79"/>
      <c r="T524" s="79"/>
      <c r="Y524" s="79"/>
      <c r="AD524" s="130"/>
      <c r="AF524" s="106"/>
    </row>
    <row r="525">
      <c r="C525" s="79"/>
      <c r="D525" s="79"/>
      <c r="E525" s="79"/>
      <c r="O525" s="79"/>
      <c r="S525" s="79"/>
      <c r="T525" s="79"/>
      <c r="Y525" s="79"/>
      <c r="AD525" s="130"/>
      <c r="AF525" s="106"/>
    </row>
    <row r="526">
      <c r="C526" s="79"/>
      <c r="D526" s="79"/>
      <c r="E526" s="79"/>
      <c r="O526" s="79"/>
      <c r="S526" s="79"/>
      <c r="T526" s="79"/>
      <c r="Y526" s="79"/>
      <c r="AD526" s="130"/>
      <c r="AF526" s="106"/>
    </row>
    <row r="527">
      <c r="C527" s="79"/>
      <c r="D527" s="79"/>
      <c r="E527" s="79"/>
      <c r="O527" s="79"/>
      <c r="S527" s="79"/>
      <c r="T527" s="79"/>
      <c r="Y527" s="79"/>
      <c r="AD527" s="130"/>
      <c r="AF527" s="106"/>
    </row>
    <row r="528">
      <c r="C528" s="79"/>
      <c r="D528" s="79"/>
      <c r="E528" s="79"/>
      <c r="O528" s="79"/>
      <c r="S528" s="79"/>
      <c r="T528" s="79"/>
      <c r="Y528" s="79"/>
      <c r="AD528" s="130"/>
      <c r="AF528" s="106"/>
    </row>
    <row r="529">
      <c r="C529" s="79"/>
      <c r="D529" s="79"/>
      <c r="E529" s="79"/>
      <c r="O529" s="79"/>
      <c r="S529" s="79"/>
      <c r="T529" s="79"/>
      <c r="Y529" s="79"/>
      <c r="AD529" s="130"/>
      <c r="AF529" s="106"/>
    </row>
    <row r="530">
      <c r="C530" s="79"/>
      <c r="D530" s="79"/>
      <c r="E530" s="79"/>
      <c r="O530" s="79"/>
      <c r="S530" s="79"/>
      <c r="T530" s="79"/>
      <c r="Y530" s="79"/>
      <c r="AD530" s="130"/>
      <c r="AF530" s="106"/>
    </row>
    <row r="531">
      <c r="C531" s="79"/>
      <c r="D531" s="79"/>
      <c r="E531" s="79"/>
      <c r="O531" s="79"/>
      <c r="S531" s="79"/>
      <c r="T531" s="79"/>
      <c r="Y531" s="79"/>
      <c r="AD531" s="130"/>
      <c r="AF531" s="106"/>
    </row>
    <row r="532">
      <c r="C532" s="79"/>
      <c r="D532" s="79"/>
      <c r="E532" s="79"/>
      <c r="O532" s="79"/>
      <c r="S532" s="79"/>
      <c r="T532" s="79"/>
      <c r="Y532" s="79"/>
      <c r="AD532" s="130"/>
      <c r="AF532" s="106"/>
    </row>
    <row r="533">
      <c r="C533" s="79"/>
      <c r="D533" s="79"/>
      <c r="E533" s="79"/>
      <c r="O533" s="79"/>
      <c r="S533" s="79"/>
      <c r="T533" s="79"/>
      <c r="Y533" s="79"/>
      <c r="AD533" s="130"/>
      <c r="AF533" s="106"/>
    </row>
    <row r="534">
      <c r="C534" s="79"/>
      <c r="D534" s="79"/>
      <c r="E534" s="79"/>
      <c r="O534" s="79"/>
      <c r="S534" s="79"/>
      <c r="T534" s="79"/>
      <c r="Y534" s="79"/>
      <c r="AD534" s="130"/>
      <c r="AF534" s="106"/>
    </row>
    <row r="535">
      <c r="C535" s="79"/>
      <c r="D535" s="79"/>
      <c r="E535" s="79"/>
      <c r="O535" s="79"/>
      <c r="S535" s="79"/>
      <c r="T535" s="79"/>
      <c r="Y535" s="79"/>
      <c r="AD535" s="130"/>
      <c r="AF535" s="106"/>
    </row>
    <row r="536">
      <c r="C536" s="79"/>
      <c r="D536" s="79"/>
      <c r="E536" s="79"/>
      <c r="O536" s="79"/>
      <c r="S536" s="79"/>
      <c r="T536" s="79"/>
      <c r="Y536" s="79"/>
      <c r="AD536" s="130"/>
      <c r="AF536" s="106"/>
    </row>
    <row r="537">
      <c r="C537" s="79"/>
      <c r="D537" s="79"/>
      <c r="E537" s="79"/>
      <c r="O537" s="79"/>
      <c r="S537" s="79"/>
      <c r="T537" s="79"/>
      <c r="Y537" s="79"/>
      <c r="AD537" s="130"/>
      <c r="AF537" s="106"/>
    </row>
    <row r="538">
      <c r="C538" s="79"/>
      <c r="D538" s="79"/>
      <c r="E538" s="79"/>
      <c r="O538" s="79"/>
      <c r="S538" s="79"/>
      <c r="T538" s="79"/>
      <c r="Y538" s="79"/>
      <c r="AD538" s="130"/>
      <c r="AF538" s="106"/>
    </row>
    <row r="539">
      <c r="C539" s="79"/>
      <c r="D539" s="79"/>
      <c r="E539" s="79"/>
      <c r="O539" s="79"/>
      <c r="S539" s="79"/>
      <c r="T539" s="79"/>
      <c r="Y539" s="79"/>
      <c r="AD539" s="130"/>
      <c r="AF539" s="106"/>
    </row>
    <row r="540">
      <c r="C540" s="79"/>
      <c r="D540" s="79"/>
      <c r="E540" s="79"/>
      <c r="O540" s="79"/>
      <c r="S540" s="79"/>
      <c r="T540" s="79"/>
      <c r="Y540" s="79"/>
      <c r="AD540" s="130"/>
      <c r="AF540" s="106"/>
    </row>
    <row r="541">
      <c r="C541" s="79"/>
      <c r="D541" s="79"/>
      <c r="E541" s="79"/>
      <c r="O541" s="79"/>
      <c r="S541" s="79"/>
      <c r="T541" s="79"/>
      <c r="Y541" s="79"/>
      <c r="AD541" s="130"/>
      <c r="AF541" s="106"/>
    </row>
    <row r="542">
      <c r="C542" s="79"/>
      <c r="D542" s="79"/>
      <c r="E542" s="79"/>
      <c r="O542" s="79"/>
      <c r="S542" s="79"/>
      <c r="T542" s="79"/>
      <c r="Y542" s="79"/>
      <c r="AD542" s="130"/>
      <c r="AF542" s="106"/>
    </row>
    <row r="543">
      <c r="C543" s="79"/>
      <c r="D543" s="79"/>
      <c r="E543" s="79"/>
      <c r="O543" s="79"/>
      <c r="S543" s="79"/>
      <c r="T543" s="79"/>
      <c r="Y543" s="79"/>
      <c r="AD543" s="130"/>
      <c r="AF543" s="106"/>
    </row>
    <row r="544">
      <c r="C544" s="79"/>
      <c r="D544" s="79"/>
      <c r="E544" s="79"/>
      <c r="O544" s="79"/>
      <c r="S544" s="79"/>
      <c r="T544" s="79"/>
      <c r="Y544" s="79"/>
      <c r="AD544" s="130"/>
      <c r="AF544" s="106"/>
    </row>
    <row r="545">
      <c r="C545" s="79"/>
      <c r="D545" s="79"/>
      <c r="E545" s="79"/>
      <c r="O545" s="79"/>
      <c r="S545" s="79"/>
      <c r="T545" s="79"/>
      <c r="Y545" s="79"/>
      <c r="AD545" s="130"/>
      <c r="AF545" s="106"/>
    </row>
    <row r="546">
      <c r="C546" s="79"/>
      <c r="D546" s="79"/>
      <c r="E546" s="79"/>
      <c r="O546" s="79"/>
      <c r="S546" s="79"/>
      <c r="T546" s="79"/>
      <c r="Y546" s="79"/>
      <c r="AD546" s="130"/>
      <c r="AF546" s="106"/>
    </row>
    <row r="547">
      <c r="C547" s="79"/>
      <c r="D547" s="79"/>
      <c r="E547" s="79"/>
      <c r="O547" s="79"/>
      <c r="S547" s="79"/>
      <c r="T547" s="79"/>
      <c r="Y547" s="79"/>
      <c r="AD547" s="130"/>
      <c r="AF547" s="106"/>
    </row>
    <row r="548">
      <c r="C548" s="79"/>
      <c r="D548" s="79"/>
      <c r="E548" s="79"/>
      <c r="O548" s="79"/>
      <c r="S548" s="79"/>
      <c r="T548" s="79"/>
      <c r="Y548" s="79"/>
      <c r="AD548" s="130"/>
      <c r="AF548" s="106"/>
    </row>
    <row r="549">
      <c r="C549" s="79"/>
      <c r="D549" s="79"/>
      <c r="E549" s="79"/>
      <c r="O549" s="79"/>
      <c r="S549" s="79"/>
      <c r="T549" s="79"/>
      <c r="Y549" s="79"/>
      <c r="AD549" s="130"/>
      <c r="AF549" s="106"/>
    </row>
    <row r="550">
      <c r="C550" s="79"/>
      <c r="D550" s="79"/>
      <c r="E550" s="79"/>
      <c r="O550" s="79"/>
      <c r="S550" s="79"/>
      <c r="T550" s="79"/>
      <c r="Y550" s="79"/>
      <c r="AD550" s="130"/>
      <c r="AF550" s="106"/>
    </row>
    <row r="551">
      <c r="C551" s="79"/>
      <c r="D551" s="79"/>
      <c r="E551" s="79"/>
      <c r="O551" s="79"/>
      <c r="S551" s="79"/>
      <c r="T551" s="79"/>
      <c r="Y551" s="79"/>
      <c r="AD551" s="130"/>
      <c r="AF551" s="106"/>
    </row>
    <row r="552">
      <c r="C552" s="79"/>
      <c r="D552" s="79"/>
      <c r="E552" s="79"/>
      <c r="O552" s="79"/>
      <c r="S552" s="79"/>
      <c r="T552" s="79"/>
      <c r="Y552" s="79"/>
      <c r="AD552" s="130"/>
      <c r="AF552" s="106"/>
    </row>
    <row r="553">
      <c r="C553" s="79"/>
      <c r="D553" s="79"/>
      <c r="E553" s="79"/>
      <c r="O553" s="79"/>
      <c r="S553" s="79"/>
      <c r="T553" s="79"/>
      <c r="Y553" s="79"/>
      <c r="AD553" s="130"/>
      <c r="AF553" s="106"/>
    </row>
    <row r="554">
      <c r="C554" s="79"/>
      <c r="D554" s="79"/>
      <c r="E554" s="79"/>
      <c r="O554" s="79"/>
      <c r="S554" s="79"/>
      <c r="T554" s="79"/>
      <c r="Y554" s="79"/>
      <c r="AD554" s="130"/>
      <c r="AF554" s="106"/>
    </row>
    <row r="555">
      <c r="C555" s="79"/>
      <c r="D555" s="79"/>
      <c r="E555" s="79"/>
      <c r="O555" s="79"/>
      <c r="S555" s="79"/>
      <c r="T555" s="79"/>
      <c r="Y555" s="79"/>
      <c r="AD555" s="130"/>
      <c r="AF555" s="106"/>
    </row>
    <row r="556">
      <c r="C556" s="79"/>
      <c r="D556" s="79"/>
      <c r="E556" s="79"/>
      <c r="O556" s="79"/>
      <c r="S556" s="79"/>
      <c r="T556" s="79"/>
      <c r="Y556" s="79"/>
      <c r="AD556" s="130"/>
      <c r="AF556" s="106"/>
    </row>
    <row r="557">
      <c r="C557" s="79"/>
      <c r="D557" s="79"/>
      <c r="E557" s="79"/>
      <c r="O557" s="79"/>
      <c r="S557" s="79"/>
      <c r="T557" s="79"/>
      <c r="Y557" s="79"/>
      <c r="AD557" s="130"/>
      <c r="AF557" s="106"/>
    </row>
    <row r="558">
      <c r="C558" s="79"/>
      <c r="D558" s="79"/>
      <c r="E558" s="79"/>
      <c r="O558" s="79"/>
      <c r="S558" s="79"/>
      <c r="T558" s="79"/>
      <c r="Y558" s="79"/>
      <c r="AD558" s="130"/>
      <c r="AF558" s="106"/>
    </row>
    <row r="559">
      <c r="C559" s="79"/>
      <c r="D559" s="79"/>
      <c r="E559" s="79"/>
      <c r="O559" s="79"/>
      <c r="S559" s="79"/>
      <c r="T559" s="79"/>
      <c r="Y559" s="79"/>
      <c r="AD559" s="130"/>
      <c r="AF559" s="106"/>
    </row>
    <row r="560">
      <c r="C560" s="79"/>
      <c r="D560" s="79"/>
      <c r="E560" s="79"/>
      <c r="O560" s="79"/>
      <c r="S560" s="79"/>
      <c r="T560" s="79"/>
      <c r="Y560" s="79"/>
      <c r="AD560" s="130"/>
      <c r="AF560" s="106"/>
    </row>
    <row r="561">
      <c r="C561" s="79"/>
      <c r="D561" s="79"/>
      <c r="E561" s="79"/>
      <c r="O561" s="79"/>
      <c r="S561" s="79"/>
      <c r="T561" s="79"/>
      <c r="Y561" s="79"/>
      <c r="AD561" s="130"/>
      <c r="AF561" s="106"/>
    </row>
    <row r="562">
      <c r="C562" s="79"/>
      <c r="D562" s="79"/>
      <c r="E562" s="79"/>
      <c r="O562" s="79"/>
      <c r="S562" s="79"/>
      <c r="T562" s="79"/>
      <c r="Y562" s="79"/>
      <c r="AD562" s="130"/>
      <c r="AF562" s="106"/>
    </row>
    <row r="563">
      <c r="C563" s="79"/>
      <c r="D563" s="79"/>
      <c r="E563" s="79"/>
      <c r="O563" s="79"/>
      <c r="S563" s="79"/>
      <c r="T563" s="79"/>
      <c r="Y563" s="79"/>
      <c r="AD563" s="130"/>
      <c r="AF563" s="106"/>
    </row>
    <row r="564">
      <c r="C564" s="79"/>
      <c r="D564" s="79"/>
      <c r="E564" s="79"/>
      <c r="O564" s="79"/>
      <c r="S564" s="79"/>
      <c r="T564" s="79"/>
      <c r="Y564" s="79"/>
      <c r="AD564" s="130"/>
      <c r="AF564" s="106"/>
    </row>
    <row r="565">
      <c r="C565" s="79"/>
      <c r="D565" s="79"/>
      <c r="E565" s="79"/>
      <c r="O565" s="79"/>
      <c r="S565" s="79"/>
      <c r="T565" s="79"/>
      <c r="Y565" s="79"/>
      <c r="AD565" s="130"/>
      <c r="AF565" s="106"/>
    </row>
    <row r="566">
      <c r="C566" s="79"/>
      <c r="D566" s="79"/>
      <c r="E566" s="79"/>
      <c r="O566" s="79"/>
      <c r="S566" s="79"/>
      <c r="T566" s="79"/>
      <c r="Y566" s="79"/>
      <c r="AD566" s="130"/>
      <c r="AF566" s="106"/>
    </row>
    <row r="567">
      <c r="C567" s="79"/>
      <c r="D567" s="79"/>
      <c r="E567" s="79"/>
      <c r="O567" s="79"/>
      <c r="S567" s="79"/>
      <c r="T567" s="79"/>
      <c r="Y567" s="79"/>
      <c r="AD567" s="130"/>
      <c r="AF567" s="106"/>
    </row>
    <row r="568">
      <c r="C568" s="79"/>
      <c r="D568" s="79"/>
      <c r="E568" s="79"/>
      <c r="O568" s="79"/>
      <c r="S568" s="79"/>
      <c r="T568" s="79"/>
      <c r="Y568" s="79"/>
      <c r="AD568" s="130"/>
      <c r="AF568" s="106"/>
    </row>
    <row r="569">
      <c r="C569" s="79"/>
      <c r="D569" s="79"/>
      <c r="E569" s="79"/>
      <c r="O569" s="79"/>
      <c r="S569" s="79"/>
      <c r="T569" s="79"/>
      <c r="Y569" s="79"/>
      <c r="AD569" s="130"/>
      <c r="AF569" s="106"/>
    </row>
    <row r="570">
      <c r="C570" s="79"/>
      <c r="D570" s="79"/>
      <c r="E570" s="79"/>
      <c r="O570" s="79"/>
      <c r="S570" s="79"/>
      <c r="T570" s="79"/>
      <c r="Y570" s="79"/>
      <c r="AD570" s="130"/>
      <c r="AF570" s="106"/>
    </row>
    <row r="571">
      <c r="C571" s="79"/>
      <c r="D571" s="79"/>
      <c r="E571" s="79"/>
      <c r="O571" s="79"/>
      <c r="S571" s="79"/>
      <c r="T571" s="79"/>
      <c r="Y571" s="79"/>
      <c r="AD571" s="130"/>
      <c r="AF571" s="106"/>
    </row>
    <row r="572">
      <c r="C572" s="79"/>
      <c r="D572" s="79"/>
      <c r="E572" s="79"/>
      <c r="O572" s="79"/>
      <c r="S572" s="79"/>
      <c r="T572" s="79"/>
      <c r="Y572" s="79"/>
      <c r="AD572" s="130"/>
      <c r="AF572" s="106"/>
    </row>
    <row r="573">
      <c r="C573" s="79"/>
      <c r="D573" s="79"/>
      <c r="E573" s="79"/>
      <c r="O573" s="79"/>
      <c r="S573" s="79"/>
      <c r="T573" s="79"/>
      <c r="Y573" s="79"/>
      <c r="AD573" s="130"/>
      <c r="AF573" s="106"/>
    </row>
    <row r="574">
      <c r="C574" s="79"/>
      <c r="D574" s="79"/>
      <c r="E574" s="79"/>
      <c r="O574" s="79"/>
      <c r="S574" s="79"/>
      <c r="T574" s="79"/>
      <c r="Y574" s="79"/>
      <c r="AD574" s="130"/>
      <c r="AF574" s="106"/>
    </row>
    <row r="575">
      <c r="C575" s="79"/>
      <c r="D575" s="79"/>
      <c r="E575" s="79"/>
      <c r="O575" s="79"/>
      <c r="S575" s="79"/>
      <c r="T575" s="79"/>
      <c r="Y575" s="79"/>
      <c r="AD575" s="130"/>
      <c r="AF575" s="106"/>
    </row>
    <row r="576">
      <c r="C576" s="79"/>
      <c r="D576" s="79"/>
      <c r="E576" s="79"/>
      <c r="O576" s="79"/>
      <c r="S576" s="79"/>
      <c r="T576" s="79"/>
      <c r="Y576" s="79"/>
      <c r="AD576" s="130"/>
      <c r="AF576" s="106"/>
    </row>
    <row r="577">
      <c r="C577" s="79"/>
      <c r="D577" s="79"/>
      <c r="E577" s="79"/>
      <c r="O577" s="79"/>
      <c r="S577" s="79"/>
      <c r="T577" s="79"/>
      <c r="Y577" s="79"/>
      <c r="AD577" s="130"/>
      <c r="AF577" s="106"/>
    </row>
    <row r="578">
      <c r="C578" s="79"/>
      <c r="D578" s="79"/>
      <c r="E578" s="79"/>
      <c r="O578" s="79"/>
      <c r="S578" s="79"/>
      <c r="T578" s="79"/>
      <c r="Y578" s="79"/>
      <c r="AD578" s="130"/>
      <c r="AF578" s="106"/>
    </row>
    <row r="579">
      <c r="C579" s="79"/>
      <c r="D579" s="79"/>
      <c r="E579" s="79"/>
      <c r="O579" s="79"/>
      <c r="S579" s="79"/>
      <c r="T579" s="79"/>
      <c r="Y579" s="79"/>
      <c r="AD579" s="130"/>
      <c r="AF579" s="106"/>
    </row>
    <row r="580">
      <c r="C580" s="79"/>
      <c r="D580" s="79"/>
      <c r="E580" s="79"/>
      <c r="O580" s="79"/>
      <c r="S580" s="79"/>
      <c r="T580" s="79"/>
      <c r="Y580" s="79"/>
      <c r="AD580" s="130"/>
      <c r="AF580" s="106"/>
    </row>
    <row r="581">
      <c r="C581" s="79"/>
      <c r="D581" s="79"/>
      <c r="E581" s="79"/>
      <c r="O581" s="79"/>
      <c r="S581" s="79"/>
      <c r="T581" s="79"/>
      <c r="Y581" s="79"/>
      <c r="AD581" s="130"/>
      <c r="AF581" s="106"/>
    </row>
    <row r="582">
      <c r="C582" s="79"/>
      <c r="D582" s="79"/>
      <c r="E582" s="79"/>
      <c r="O582" s="79"/>
      <c r="S582" s="79"/>
      <c r="T582" s="79"/>
      <c r="Y582" s="79"/>
      <c r="AD582" s="130"/>
      <c r="AF582" s="106"/>
    </row>
    <row r="583">
      <c r="C583" s="79"/>
      <c r="D583" s="79"/>
      <c r="E583" s="79"/>
      <c r="O583" s="79"/>
      <c r="S583" s="79"/>
      <c r="T583" s="79"/>
      <c r="Y583" s="79"/>
      <c r="AD583" s="130"/>
      <c r="AF583" s="106"/>
    </row>
    <row r="584">
      <c r="C584" s="79"/>
      <c r="D584" s="79"/>
      <c r="E584" s="79"/>
      <c r="O584" s="79"/>
      <c r="S584" s="79"/>
      <c r="T584" s="79"/>
      <c r="Y584" s="79"/>
      <c r="AD584" s="130"/>
      <c r="AF584" s="106"/>
    </row>
    <row r="585">
      <c r="C585" s="79"/>
      <c r="D585" s="79"/>
      <c r="E585" s="79"/>
      <c r="O585" s="79"/>
      <c r="S585" s="79"/>
      <c r="T585" s="79"/>
      <c r="Y585" s="79"/>
      <c r="AD585" s="130"/>
      <c r="AF585" s="106"/>
    </row>
    <row r="586">
      <c r="C586" s="79"/>
      <c r="D586" s="79"/>
      <c r="E586" s="79"/>
      <c r="O586" s="79"/>
      <c r="S586" s="79"/>
      <c r="T586" s="79"/>
      <c r="Y586" s="79"/>
      <c r="AD586" s="130"/>
      <c r="AF586" s="106"/>
    </row>
    <row r="587">
      <c r="C587" s="79"/>
      <c r="D587" s="79"/>
      <c r="E587" s="79"/>
      <c r="O587" s="79"/>
      <c r="S587" s="79"/>
      <c r="T587" s="79"/>
      <c r="Y587" s="79"/>
      <c r="AD587" s="130"/>
      <c r="AF587" s="106"/>
    </row>
    <row r="588">
      <c r="C588" s="79"/>
      <c r="D588" s="79"/>
      <c r="E588" s="79"/>
      <c r="O588" s="79"/>
      <c r="S588" s="79"/>
      <c r="T588" s="79"/>
      <c r="Y588" s="79"/>
      <c r="AD588" s="130"/>
      <c r="AF588" s="106"/>
    </row>
    <row r="589">
      <c r="C589" s="79"/>
      <c r="D589" s="79"/>
      <c r="E589" s="79"/>
      <c r="O589" s="79"/>
      <c r="S589" s="79"/>
      <c r="T589" s="79"/>
      <c r="Y589" s="79"/>
      <c r="AD589" s="130"/>
      <c r="AF589" s="106"/>
    </row>
    <row r="590">
      <c r="C590" s="79"/>
      <c r="D590" s="79"/>
      <c r="E590" s="79"/>
      <c r="O590" s="79"/>
      <c r="S590" s="79"/>
      <c r="T590" s="79"/>
      <c r="Y590" s="79"/>
      <c r="AD590" s="130"/>
      <c r="AF590" s="106"/>
    </row>
    <row r="591">
      <c r="C591" s="79"/>
      <c r="D591" s="79"/>
      <c r="E591" s="79"/>
      <c r="O591" s="79"/>
      <c r="S591" s="79"/>
      <c r="T591" s="79"/>
      <c r="Y591" s="79"/>
      <c r="AD591" s="130"/>
      <c r="AF591" s="106"/>
    </row>
    <row r="592">
      <c r="C592" s="79"/>
      <c r="D592" s="79"/>
      <c r="E592" s="79"/>
      <c r="O592" s="79"/>
      <c r="S592" s="79"/>
      <c r="T592" s="79"/>
      <c r="Y592" s="79"/>
      <c r="AD592" s="130"/>
      <c r="AF592" s="106"/>
    </row>
    <row r="593">
      <c r="C593" s="79"/>
      <c r="D593" s="79"/>
      <c r="E593" s="79"/>
      <c r="O593" s="79"/>
      <c r="S593" s="79"/>
      <c r="T593" s="79"/>
      <c r="Y593" s="79"/>
      <c r="AD593" s="130"/>
      <c r="AF593" s="106"/>
    </row>
    <row r="594">
      <c r="C594" s="79"/>
      <c r="D594" s="79"/>
      <c r="E594" s="79"/>
      <c r="O594" s="79"/>
      <c r="S594" s="79"/>
      <c r="T594" s="79"/>
      <c r="Y594" s="79"/>
      <c r="AD594" s="130"/>
      <c r="AF594" s="106"/>
    </row>
    <row r="595">
      <c r="C595" s="79"/>
      <c r="D595" s="79"/>
      <c r="E595" s="79"/>
      <c r="O595" s="79"/>
      <c r="S595" s="79"/>
      <c r="T595" s="79"/>
      <c r="Y595" s="79"/>
      <c r="AD595" s="130"/>
      <c r="AF595" s="106"/>
    </row>
    <row r="596">
      <c r="C596" s="79"/>
      <c r="D596" s="79"/>
      <c r="E596" s="79"/>
      <c r="O596" s="79"/>
      <c r="S596" s="79"/>
      <c r="T596" s="79"/>
      <c r="Y596" s="79"/>
      <c r="AD596" s="130"/>
      <c r="AF596" s="106"/>
    </row>
    <row r="597">
      <c r="C597" s="79"/>
      <c r="D597" s="79"/>
      <c r="E597" s="79"/>
      <c r="O597" s="79"/>
      <c r="S597" s="79"/>
      <c r="T597" s="79"/>
      <c r="Y597" s="79"/>
      <c r="AD597" s="130"/>
      <c r="AF597" s="106"/>
    </row>
    <row r="598">
      <c r="C598" s="79"/>
      <c r="D598" s="79"/>
      <c r="E598" s="79"/>
      <c r="O598" s="79"/>
      <c r="S598" s="79"/>
      <c r="T598" s="79"/>
      <c r="Y598" s="79"/>
      <c r="AD598" s="130"/>
      <c r="AF598" s="106"/>
    </row>
    <row r="599">
      <c r="C599" s="79"/>
      <c r="D599" s="79"/>
      <c r="E599" s="79"/>
      <c r="O599" s="79"/>
      <c r="S599" s="79"/>
      <c r="T599" s="79"/>
      <c r="Y599" s="79"/>
      <c r="AD599" s="130"/>
      <c r="AF599" s="106"/>
    </row>
    <row r="600">
      <c r="C600" s="79"/>
      <c r="D600" s="79"/>
      <c r="E600" s="79"/>
      <c r="O600" s="79"/>
      <c r="S600" s="79"/>
      <c r="T600" s="79"/>
      <c r="Y600" s="79"/>
      <c r="AD600" s="130"/>
      <c r="AF600" s="106"/>
    </row>
    <row r="601">
      <c r="C601" s="79"/>
      <c r="D601" s="79"/>
      <c r="E601" s="79"/>
      <c r="O601" s="79"/>
      <c r="S601" s="79"/>
      <c r="T601" s="79"/>
      <c r="Y601" s="79"/>
      <c r="AD601" s="130"/>
      <c r="AF601" s="106"/>
    </row>
    <row r="602">
      <c r="C602" s="79"/>
      <c r="D602" s="79"/>
      <c r="E602" s="79"/>
      <c r="O602" s="79"/>
      <c r="S602" s="79"/>
      <c r="T602" s="79"/>
      <c r="Y602" s="79"/>
      <c r="AD602" s="130"/>
      <c r="AF602" s="106"/>
    </row>
    <row r="603">
      <c r="C603" s="79"/>
      <c r="D603" s="79"/>
      <c r="E603" s="79"/>
      <c r="O603" s="79"/>
      <c r="S603" s="79"/>
      <c r="T603" s="79"/>
      <c r="Y603" s="79"/>
      <c r="AD603" s="130"/>
      <c r="AF603" s="106"/>
    </row>
    <row r="604">
      <c r="C604" s="79"/>
      <c r="D604" s="79"/>
      <c r="E604" s="79"/>
      <c r="O604" s="79"/>
      <c r="S604" s="79"/>
      <c r="T604" s="79"/>
      <c r="Y604" s="79"/>
      <c r="AD604" s="130"/>
      <c r="AF604" s="106"/>
    </row>
    <row r="605">
      <c r="C605" s="79"/>
      <c r="D605" s="79"/>
      <c r="E605" s="79"/>
      <c r="O605" s="79"/>
      <c r="S605" s="79"/>
      <c r="T605" s="79"/>
      <c r="Y605" s="79"/>
      <c r="AD605" s="130"/>
      <c r="AF605" s="106"/>
    </row>
    <row r="606">
      <c r="C606" s="79"/>
      <c r="D606" s="79"/>
      <c r="E606" s="79"/>
      <c r="O606" s="79"/>
      <c r="S606" s="79"/>
      <c r="T606" s="79"/>
      <c r="Y606" s="79"/>
      <c r="AD606" s="130"/>
      <c r="AF606" s="106"/>
    </row>
    <row r="607">
      <c r="C607" s="79"/>
      <c r="D607" s="79"/>
      <c r="E607" s="79"/>
      <c r="O607" s="79"/>
      <c r="S607" s="79"/>
      <c r="T607" s="79"/>
      <c r="Y607" s="79"/>
      <c r="AD607" s="130"/>
      <c r="AF607" s="106"/>
    </row>
    <row r="608">
      <c r="C608" s="79"/>
      <c r="D608" s="79"/>
      <c r="E608" s="79"/>
      <c r="O608" s="79"/>
      <c r="S608" s="79"/>
      <c r="T608" s="79"/>
      <c r="Y608" s="79"/>
      <c r="AD608" s="130"/>
      <c r="AF608" s="106"/>
    </row>
    <row r="609">
      <c r="C609" s="79"/>
      <c r="D609" s="79"/>
      <c r="E609" s="79"/>
      <c r="O609" s="79"/>
      <c r="S609" s="79"/>
      <c r="T609" s="79"/>
      <c r="Y609" s="79"/>
      <c r="AD609" s="130"/>
      <c r="AF609" s="106"/>
    </row>
    <row r="610">
      <c r="C610" s="79"/>
      <c r="D610" s="79"/>
      <c r="E610" s="79"/>
      <c r="O610" s="79"/>
      <c r="S610" s="79"/>
      <c r="T610" s="79"/>
      <c r="Y610" s="79"/>
      <c r="AD610" s="130"/>
      <c r="AF610" s="106"/>
    </row>
    <row r="611">
      <c r="C611" s="79"/>
      <c r="D611" s="79"/>
      <c r="E611" s="79"/>
      <c r="O611" s="79"/>
      <c r="S611" s="79"/>
      <c r="T611" s="79"/>
      <c r="Y611" s="79"/>
      <c r="AD611" s="130"/>
      <c r="AF611" s="106"/>
    </row>
    <row r="612">
      <c r="C612" s="79"/>
      <c r="D612" s="79"/>
      <c r="E612" s="79"/>
      <c r="O612" s="79"/>
      <c r="S612" s="79"/>
      <c r="T612" s="79"/>
      <c r="Y612" s="79"/>
      <c r="AD612" s="130"/>
      <c r="AF612" s="106"/>
    </row>
    <row r="613">
      <c r="C613" s="79"/>
      <c r="D613" s="79"/>
      <c r="E613" s="79"/>
      <c r="O613" s="79"/>
      <c r="S613" s="79"/>
      <c r="T613" s="79"/>
      <c r="Y613" s="79"/>
      <c r="AD613" s="130"/>
      <c r="AF613" s="106"/>
    </row>
    <row r="614">
      <c r="C614" s="79"/>
      <c r="D614" s="79"/>
      <c r="E614" s="79"/>
      <c r="O614" s="79"/>
      <c r="S614" s="79"/>
      <c r="T614" s="79"/>
      <c r="Y614" s="79"/>
      <c r="AD614" s="130"/>
      <c r="AF614" s="106"/>
    </row>
    <row r="615">
      <c r="C615" s="79"/>
      <c r="D615" s="79"/>
      <c r="E615" s="79"/>
      <c r="O615" s="79"/>
      <c r="S615" s="79"/>
      <c r="T615" s="79"/>
      <c r="Y615" s="79"/>
      <c r="AD615" s="130"/>
      <c r="AF615" s="106"/>
    </row>
    <row r="616">
      <c r="C616" s="79"/>
      <c r="D616" s="79"/>
      <c r="E616" s="79"/>
      <c r="O616" s="79"/>
      <c r="S616" s="79"/>
      <c r="T616" s="79"/>
      <c r="Y616" s="79"/>
      <c r="AD616" s="130"/>
      <c r="AF616" s="106"/>
    </row>
    <row r="617">
      <c r="C617" s="79"/>
      <c r="D617" s="79"/>
      <c r="E617" s="79"/>
      <c r="O617" s="79"/>
      <c r="S617" s="79"/>
      <c r="T617" s="79"/>
      <c r="Y617" s="79"/>
      <c r="AD617" s="130"/>
      <c r="AF617" s="106"/>
    </row>
    <row r="618">
      <c r="C618" s="79"/>
      <c r="D618" s="79"/>
      <c r="E618" s="79"/>
      <c r="O618" s="79"/>
      <c r="S618" s="79"/>
      <c r="T618" s="79"/>
      <c r="Y618" s="79"/>
      <c r="AD618" s="130"/>
      <c r="AF618" s="106"/>
    </row>
    <row r="619">
      <c r="C619" s="79"/>
      <c r="D619" s="79"/>
      <c r="E619" s="79"/>
      <c r="O619" s="79"/>
      <c r="S619" s="79"/>
      <c r="T619" s="79"/>
      <c r="Y619" s="79"/>
      <c r="AD619" s="130"/>
      <c r="AF619" s="106"/>
    </row>
    <row r="620">
      <c r="C620" s="79"/>
      <c r="D620" s="79"/>
      <c r="E620" s="79"/>
      <c r="O620" s="79"/>
      <c r="S620" s="79"/>
      <c r="T620" s="79"/>
      <c r="Y620" s="79"/>
      <c r="AD620" s="130"/>
      <c r="AF620" s="106"/>
    </row>
    <row r="621">
      <c r="C621" s="79"/>
      <c r="D621" s="79"/>
      <c r="E621" s="79"/>
      <c r="O621" s="79"/>
      <c r="S621" s="79"/>
      <c r="T621" s="79"/>
      <c r="Y621" s="79"/>
      <c r="AD621" s="130"/>
      <c r="AF621" s="106"/>
    </row>
    <row r="622">
      <c r="C622" s="79"/>
      <c r="D622" s="79"/>
      <c r="E622" s="79"/>
      <c r="O622" s="79"/>
      <c r="S622" s="79"/>
      <c r="T622" s="79"/>
      <c r="Y622" s="79"/>
      <c r="AD622" s="130"/>
      <c r="AF622" s="106"/>
    </row>
    <row r="623">
      <c r="C623" s="79"/>
      <c r="D623" s="79"/>
      <c r="E623" s="79"/>
      <c r="O623" s="79"/>
      <c r="S623" s="79"/>
      <c r="T623" s="79"/>
      <c r="Y623" s="79"/>
      <c r="AD623" s="130"/>
      <c r="AF623" s="106"/>
    </row>
    <row r="624">
      <c r="C624" s="79"/>
      <c r="D624" s="79"/>
      <c r="E624" s="79"/>
      <c r="O624" s="79"/>
      <c r="S624" s="79"/>
      <c r="T624" s="79"/>
      <c r="Y624" s="79"/>
      <c r="AD624" s="130"/>
      <c r="AF624" s="106"/>
    </row>
    <row r="625">
      <c r="C625" s="79"/>
      <c r="D625" s="79"/>
      <c r="E625" s="79"/>
      <c r="O625" s="79"/>
      <c r="S625" s="79"/>
      <c r="T625" s="79"/>
      <c r="Y625" s="79"/>
      <c r="AD625" s="130"/>
      <c r="AF625" s="106"/>
    </row>
    <row r="626">
      <c r="C626" s="79"/>
      <c r="D626" s="79"/>
      <c r="E626" s="79"/>
      <c r="O626" s="79"/>
      <c r="S626" s="79"/>
      <c r="T626" s="79"/>
      <c r="Y626" s="79"/>
      <c r="AD626" s="130"/>
      <c r="AF626" s="106"/>
    </row>
    <row r="627">
      <c r="C627" s="79"/>
      <c r="D627" s="79"/>
      <c r="E627" s="79"/>
      <c r="O627" s="79"/>
      <c r="S627" s="79"/>
      <c r="T627" s="79"/>
      <c r="Y627" s="79"/>
      <c r="AD627" s="130"/>
      <c r="AF627" s="106"/>
    </row>
    <row r="628">
      <c r="C628" s="79"/>
      <c r="D628" s="79"/>
      <c r="E628" s="79"/>
      <c r="O628" s="79"/>
      <c r="S628" s="79"/>
      <c r="T628" s="79"/>
      <c r="Y628" s="79"/>
      <c r="AD628" s="130"/>
      <c r="AF628" s="106"/>
    </row>
    <row r="629">
      <c r="C629" s="79"/>
      <c r="D629" s="79"/>
      <c r="E629" s="79"/>
      <c r="O629" s="79"/>
      <c r="S629" s="79"/>
      <c r="T629" s="79"/>
      <c r="Y629" s="79"/>
      <c r="AD629" s="130"/>
      <c r="AF629" s="106"/>
    </row>
    <row r="630">
      <c r="C630" s="79"/>
      <c r="D630" s="79"/>
      <c r="E630" s="79"/>
      <c r="O630" s="79"/>
      <c r="S630" s="79"/>
      <c r="T630" s="79"/>
      <c r="Y630" s="79"/>
      <c r="AD630" s="130"/>
      <c r="AF630" s="106"/>
    </row>
    <row r="631">
      <c r="C631" s="79"/>
      <c r="D631" s="79"/>
      <c r="E631" s="79"/>
      <c r="O631" s="79"/>
      <c r="S631" s="79"/>
      <c r="T631" s="79"/>
      <c r="Y631" s="79"/>
      <c r="AD631" s="130"/>
      <c r="AF631" s="106"/>
    </row>
    <row r="632">
      <c r="C632" s="79"/>
      <c r="D632" s="79"/>
      <c r="E632" s="79"/>
      <c r="O632" s="79"/>
      <c r="S632" s="79"/>
      <c r="T632" s="79"/>
      <c r="Y632" s="79"/>
      <c r="AD632" s="130"/>
      <c r="AF632" s="106"/>
    </row>
    <row r="633">
      <c r="C633" s="79"/>
      <c r="D633" s="79"/>
      <c r="E633" s="79"/>
      <c r="O633" s="79"/>
      <c r="S633" s="79"/>
      <c r="T633" s="79"/>
      <c r="Y633" s="79"/>
      <c r="AD633" s="130"/>
      <c r="AF633" s="106"/>
    </row>
    <row r="634">
      <c r="C634" s="79"/>
      <c r="D634" s="79"/>
      <c r="E634" s="79"/>
      <c r="O634" s="79"/>
      <c r="S634" s="79"/>
      <c r="T634" s="79"/>
      <c r="Y634" s="79"/>
      <c r="AD634" s="130"/>
      <c r="AF634" s="106"/>
    </row>
    <row r="635">
      <c r="C635" s="79"/>
      <c r="D635" s="79"/>
      <c r="E635" s="79"/>
      <c r="O635" s="79"/>
      <c r="S635" s="79"/>
      <c r="T635" s="79"/>
      <c r="Y635" s="79"/>
      <c r="AD635" s="130"/>
      <c r="AF635" s="106"/>
    </row>
    <row r="636">
      <c r="C636" s="79"/>
      <c r="D636" s="79"/>
      <c r="E636" s="79"/>
      <c r="O636" s="79"/>
      <c r="S636" s="79"/>
      <c r="T636" s="79"/>
      <c r="Y636" s="79"/>
      <c r="AD636" s="130"/>
      <c r="AF636" s="106"/>
    </row>
    <row r="637">
      <c r="C637" s="79"/>
      <c r="D637" s="79"/>
      <c r="E637" s="79"/>
      <c r="O637" s="79"/>
      <c r="S637" s="79"/>
      <c r="T637" s="79"/>
      <c r="Y637" s="79"/>
      <c r="AD637" s="130"/>
      <c r="AF637" s="106"/>
    </row>
    <row r="638">
      <c r="C638" s="79"/>
      <c r="D638" s="79"/>
      <c r="E638" s="79"/>
      <c r="O638" s="79"/>
      <c r="S638" s="79"/>
      <c r="T638" s="79"/>
      <c r="Y638" s="79"/>
      <c r="AD638" s="130"/>
      <c r="AF638" s="106"/>
    </row>
    <row r="639">
      <c r="C639" s="79"/>
      <c r="D639" s="79"/>
      <c r="E639" s="79"/>
      <c r="O639" s="79"/>
      <c r="S639" s="79"/>
      <c r="T639" s="79"/>
      <c r="Y639" s="79"/>
      <c r="AD639" s="130"/>
      <c r="AF639" s="106"/>
    </row>
    <row r="640">
      <c r="C640" s="79"/>
      <c r="D640" s="79"/>
      <c r="E640" s="79"/>
      <c r="O640" s="79"/>
      <c r="S640" s="79"/>
      <c r="T640" s="79"/>
      <c r="Y640" s="79"/>
      <c r="AD640" s="130"/>
      <c r="AF640" s="106"/>
    </row>
    <row r="641">
      <c r="C641" s="79"/>
      <c r="D641" s="79"/>
      <c r="E641" s="79"/>
      <c r="O641" s="79"/>
      <c r="S641" s="79"/>
      <c r="T641" s="79"/>
      <c r="Y641" s="79"/>
      <c r="AD641" s="130"/>
      <c r="AF641" s="106"/>
    </row>
    <row r="642">
      <c r="C642" s="79"/>
      <c r="D642" s="79"/>
      <c r="E642" s="79"/>
      <c r="O642" s="79"/>
      <c r="S642" s="79"/>
      <c r="T642" s="79"/>
      <c r="Y642" s="79"/>
      <c r="AD642" s="130"/>
      <c r="AF642" s="106"/>
    </row>
    <row r="643">
      <c r="C643" s="79"/>
      <c r="D643" s="79"/>
      <c r="E643" s="79"/>
      <c r="O643" s="79"/>
      <c r="S643" s="79"/>
      <c r="T643" s="79"/>
      <c r="Y643" s="79"/>
      <c r="AD643" s="130"/>
      <c r="AF643" s="106"/>
    </row>
    <row r="644">
      <c r="C644" s="79"/>
      <c r="D644" s="79"/>
      <c r="E644" s="79"/>
      <c r="O644" s="79"/>
      <c r="S644" s="79"/>
      <c r="T644" s="79"/>
      <c r="Y644" s="79"/>
      <c r="AD644" s="130"/>
      <c r="AF644" s="106"/>
    </row>
    <row r="645">
      <c r="C645" s="79"/>
      <c r="D645" s="79"/>
      <c r="E645" s="79"/>
      <c r="O645" s="79"/>
      <c r="S645" s="79"/>
      <c r="T645" s="79"/>
      <c r="Y645" s="79"/>
      <c r="AD645" s="130"/>
      <c r="AF645" s="106"/>
    </row>
    <row r="646">
      <c r="C646" s="79"/>
      <c r="D646" s="79"/>
      <c r="E646" s="79"/>
      <c r="O646" s="79"/>
      <c r="S646" s="79"/>
      <c r="T646" s="79"/>
      <c r="Y646" s="79"/>
      <c r="AD646" s="130"/>
      <c r="AF646" s="106"/>
    </row>
    <row r="647">
      <c r="C647" s="79"/>
      <c r="D647" s="79"/>
      <c r="E647" s="79"/>
      <c r="O647" s="79"/>
      <c r="S647" s="79"/>
      <c r="T647" s="79"/>
      <c r="Y647" s="79"/>
      <c r="AD647" s="130"/>
      <c r="AF647" s="106"/>
    </row>
    <row r="648">
      <c r="C648" s="79"/>
      <c r="D648" s="79"/>
      <c r="E648" s="79"/>
      <c r="O648" s="79"/>
      <c r="S648" s="79"/>
      <c r="T648" s="79"/>
      <c r="Y648" s="79"/>
      <c r="AD648" s="130"/>
      <c r="AF648" s="106"/>
    </row>
    <row r="649">
      <c r="C649" s="79"/>
      <c r="D649" s="79"/>
      <c r="E649" s="79"/>
      <c r="O649" s="79"/>
      <c r="S649" s="79"/>
      <c r="T649" s="79"/>
      <c r="Y649" s="79"/>
      <c r="AD649" s="130"/>
      <c r="AF649" s="106"/>
    </row>
    <row r="650">
      <c r="C650" s="79"/>
      <c r="D650" s="79"/>
      <c r="E650" s="79"/>
      <c r="O650" s="79"/>
      <c r="S650" s="79"/>
      <c r="T650" s="79"/>
      <c r="Y650" s="79"/>
      <c r="AD650" s="130"/>
      <c r="AF650" s="106"/>
    </row>
    <row r="651">
      <c r="C651" s="79"/>
      <c r="D651" s="79"/>
      <c r="E651" s="79"/>
      <c r="O651" s="79"/>
      <c r="S651" s="79"/>
      <c r="T651" s="79"/>
      <c r="Y651" s="79"/>
      <c r="AD651" s="130"/>
      <c r="AF651" s="106"/>
    </row>
    <row r="652">
      <c r="C652" s="79"/>
      <c r="D652" s="79"/>
      <c r="E652" s="79"/>
      <c r="O652" s="79"/>
      <c r="S652" s="79"/>
      <c r="T652" s="79"/>
      <c r="Y652" s="79"/>
      <c r="AD652" s="130"/>
      <c r="AF652" s="106"/>
    </row>
    <row r="653">
      <c r="C653" s="79"/>
      <c r="D653" s="79"/>
      <c r="E653" s="79"/>
      <c r="O653" s="79"/>
      <c r="S653" s="79"/>
      <c r="T653" s="79"/>
      <c r="Y653" s="79"/>
      <c r="AD653" s="130"/>
      <c r="AF653" s="106"/>
    </row>
    <row r="654">
      <c r="C654" s="79"/>
      <c r="D654" s="79"/>
      <c r="E654" s="79"/>
      <c r="O654" s="79"/>
      <c r="S654" s="79"/>
      <c r="T654" s="79"/>
      <c r="Y654" s="79"/>
      <c r="AD654" s="130"/>
      <c r="AF654" s="106"/>
    </row>
    <row r="655">
      <c r="C655" s="79"/>
      <c r="D655" s="79"/>
      <c r="E655" s="79"/>
      <c r="O655" s="79"/>
      <c r="S655" s="79"/>
      <c r="T655" s="79"/>
      <c r="Y655" s="79"/>
      <c r="AD655" s="130"/>
      <c r="AF655" s="106"/>
    </row>
    <row r="656">
      <c r="C656" s="79"/>
      <c r="D656" s="79"/>
      <c r="E656" s="79"/>
      <c r="O656" s="79"/>
      <c r="S656" s="79"/>
      <c r="T656" s="79"/>
      <c r="Y656" s="79"/>
      <c r="AD656" s="130"/>
      <c r="AF656" s="106"/>
    </row>
    <row r="657">
      <c r="C657" s="79"/>
      <c r="D657" s="79"/>
      <c r="E657" s="79"/>
      <c r="O657" s="79"/>
      <c r="S657" s="79"/>
      <c r="T657" s="79"/>
      <c r="Y657" s="79"/>
      <c r="AD657" s="130"/>
      <c r="AF657" s="106"/>
    </row>
    <row r="658">
      <c r="C658" s="79"/>
      <c r="D658" s="79"/>
      <c r="E658" s="79"/>
      <c r="O658" s="79"/>
      <c r="S658" s="79"/>
      <c r="T658" s="79"/>
      <c r="Y658" s="79"/>
      <c r="AD658" s="130"/>
      <c r="AF658" s="106"/>
    </row>
    <row r="659">
      <c r="C659" s="79"/>
      <c r="D659" s="79"/>
      <c r="E659" s="79"/>
      <c r="O659" s="79"/>
      <c r="S659" s="79"/>
      <c r="T659" s="79"/>
      <c r="Y659" s="79"/>
      <c r="AD659" s="130"/>
      <c r="AF659" s="106"/>
    </row>
    <row r="660">
      <c r="C660" s="79"/>
      <c r="D660" s="79"/>
      <c r="E660" s="79"/>
      <c r="O660" s="79"/>
      <c r="S660" s="79"/>
      <c r="T660" s="79"/>
      <c r="Y660" s="79"/>
      <c r="AD660" s="130"/>
      <c r="AF660" s="106"/>
    </row>
    <row r="661">
      <c r="C661" s="79"/>
      <c r="D661" s="79"/>
      <c r="E661" s="79"/>
      <c r="O661" s="79"/>
      <c r="S661" s="79"/>
      <c r="T661" s="79"/>
      <c r="Y661" s="79"/>
      <c r="AD661" s="130"/>
      <c r="AF661" s="106"/>
    </row>
    <row r="662">
      <c r="C662" s="79"/>
      <c r="D662" s="79"/>
      <c r="E662" s="79"/>
      <c r="O662" s="79"/>
      <c r="S662" s="79"/>
      <c r="T662" s="79"/>
      <c r="Y662" s="79"/>
      <c r="AD662" s="130"/>
      <c r="AF662" s="106"/>
    </row>
    <row r="663">
      <c r="C663" s="79"/>
      <c r="D663" s="79"/>
      <c r="E663" s="79"/>
      <c r="O663" s="79"/>
      <c r="S663" s="79"/>
      <c r="T663" s="79"/>
      <c r="Y663" s="79"/>
      <c r="AD663" s="130"/>
      <c r="AF663" s="106"/>
    </row>
    <row r="664">
      <c r="C664" s="79"/>
      <c r="D664" s="79"/>
      <c r="E664" s="79"/>
      <c r="O664" s="79"/>
      <c r="S664" s="79"/>
      <c r="T664" s="79"/>
      <c r="Y664" s="79"/>
      <c r="AD664" s="130"/>
      <c r="AF664" s="106"/>
    </row>
    <row r="665">
      <c r="C665" s="79"/>
      <c r="D665" s="79"/>
      <c r="E665" s="79"/>
      <c r="O665" s="79"/>
      <c r="S665" s="79"/>
      <c r="T665" s="79"/>
      <c r="Y665" s="79"/>
      <c r="AD665" s="130"/>
      <c r="AF665" s="106"/>
    </row>
    <row r="666">
      <c r="C666" s="79"/>
      <c r="D666" s="79"/>
      <c r="E666" s="79"/>
      <c r="O666" s="79"/>
      <c r="S666" s="79"/>
      <c r="T666" s="79"/>
      <c r="Y666" s="79"/>
      <c r="AD666" s="130"/>
      <c r="AF666" s="106"/>
    </row>
    <row r="667">
      <c r="C667" s="79"/>
      <c r="D667" s="79"/>
      <c r="E667" s="79"/>
      <c r="O667" s="79"/>
      <c r="S667" s="79"/>
      <c r="T667" s="79"/>
      <c r="Y667" s="79"/>
      <c r="AD667" s="130"/>
      <c r="AF667" s="106"/>
    </row>
    <row r="668">
      <c r="C668" s="79"/>
      <c r="D668" s="79"/>
      <c r="E668" s="79"/>
      <c r="O668" s="79"/>
      <c r="S668" s="79"/>
      <c r="T668" s="79"/>
      <c r="Y668" s="79"/>
      <c r="AD668" s="130"/>
      <c r="AF668" s="106"/>
    </row>
    <row r="669">
      <c r="C669" s="79"/>
      <c r="D669" s="79"/>
      <c r="E669" s="79"/>
      <c r="O669" s="79"/>
      <c r="S669" s="79"/>
      <c r="T669" s="79"/>
      <c r="Y669" s="79"/>
      <c r="AD669" s="130"/>
      <c r="AF669" s="106"/>
    </row>
    <row r="670">
      <c r="C670" s="79"/>
      <c r="D670" s="79"/>
      <c r="E670" s="79"/>
      <c r="O670" s="79"/>
      <c r="S670" s="79"/>
      <c r="T670" s="79"/>
      <c r="Y670" s="79"/>
      <c r="AD670" s="130"/>
      <c r="AF670" s="106"/>
    </row>
    <row r="671">
      <c r="C671" s="79"/>
      <c r="D671" s="79"/>
      <c r="E671" s="79"/>
      <c r="O671" s="79"/>
      <c r="S671" s="79"/>
      <c r="T671" s="79"/>
      <c r="Y671" s="79"/>
      <c r="AD671" s="130"/>
      <c r="AF671" s="106"/>
    </row>
    <row r="672">
      <c r="C672" s="79"/>
      <c r="D672" s="79"/>
      <c r="E672" s="79"/>
      <c r="O672" s="79"/>
      <c r="S672" s="79"/>
      <c r="T672" s="79"/>
      <c r="Y672" s="79"/>
      <c r="AD672" s="130"/>
      <c r="AF672" s="106"/>
    </row>
    <row r="673">
      <c r="C673" s="79"/>
      <c r="D673" s="79"/>
      <c r="E673" s="79"/>
      <c r="O673" s="79"/>
      <c r="S673" s="79"/>
      <c r="T673" s="79"/>
      <c r="Y673" s="79"/>
      <c r="AD673" s="130"/>
      <c r="AF673" s="106"/>
    </row>
    <row r="674">
      <c r="C674" s="79"/>
      <c r="D674" s="79"/>
      <c r="E674" s="79"/>
      <c r="O674" s="79"/>
      <c r="S674" s="79"/>
      <c r="T674" s="79"/>
      <c r="Y674" s="79"/>
      <c r="AD674" s="130"/>
      <c r="AF674" s="106"/>
    </row>
    <row r="675">
      <c r="C675" s="79"/>
      <c r="D675" s="79"/>
      <c r="E675" s="79"/>
      <c r="O675" s="79"/>
      <c r="S675" s="79"/>
      <c r="T675" s="79"/>
      <c r="Y675" s="79"/>
      <c r="AD675" s="130"/>
      <c r="AF675" s="106"/>
    </row>
    <row r="676">
      <c r="C676" s="79"/>
      <c r="D676" s="79"/>
      <c r="E676" s="79"/>
      <c r="O676" s="79"/>
      <c r="S676" s="79"/>
      <c r="T676" s="79"/>
      <c r="Y676" s="79"/>
      <c r="AD676" s="130"/>
      <c r="AF676" s="106"/>
    </row>
    <row r="677">
      <c r="C677" s="79"/>
      <c r="D677" s="79"/>
      <c r="E677" s="79"/>
      <c r="O677" s="79"/>
      <c r="S677" s="79"/>
      <c r="T677" s="79"/>
      <c r="Y677" s="79"/>
      <c r="AD677" s="130"/>
      <c r="AF677" s="106"/>
    </row>
    <row r="678">
      <c r="C678" s="79"/>
      <c r="D678" s="79"/>
      <c r="E678" s="79"/>
      <c r="O678" s="79"/>
      <c r="S678" s="79"/>
      <c r="T678" s="79"/>
      <c r="Y678" s="79"/>
      <c r="AD678" s="130"/>
      <c r="AF678" s="106"/>
    </row>
    <row r="679">
      <c r="C679" s="79"/>
      <c r="D679" s="79"/>
      <c r="E679" s="79"/>
      <c r="O679" s="79"/>
      <c r="S679" s="79"/>
      <c r="T679" s="79"/>
      <c r="Y679" s="79"/>
      <c r="AD679" s="130"/>
      <c r="AF679" s="106"/>
    </row>
    <row r="680">
      <c r="C680" s="79"/>
      <c r="D680" s="79"/>
      <c r="E680" s="79"/>
      <c r="O680" s="79"/>
      <c r="S680" s="79"/>
      <c r="T680" s="79"/>
      <c r="Y680" s="79"/>
      <c r="AD680" s="130"/>
      <c r="AF680" s="106"/>
    </row>
    <row r="681">
      <c r="C681" s="79"/>
      <c r="D681" s="79"/>
      <c r="E681" s="79"/>
      <c r="O681" s="79"/>
      <c r="S681" s="79"/>
      <c r="T681" s="79"/>
      <c r="Y681" s="79"/>
      <c r="AD681" s="130"/>
      <c r="AF681" s="106"/>
    </row>
    <row r="682">
      <c r="C682" s="79"/>
      <c r="D682" s="79"/>
      <c r="E682" s="79"/>
      <c r="O682" s="79"/>
      <c r="S682" s="79"/>
      <c r="T682" s="79"/>
      <c r="Y682" s="79"/>
      <c r="AD682" s="130"/>
      <c r="AF682" s="106"/>
    </row>
    <row r="683">
      <c r="C683" s="79"/>
      <c r="D683" s="79"/>
      <c r="E683" s="79"/>
      <c r="O683" s="79"/>
      <c r="S683" s="79"/>
      <c r="T683" s="79"/>
      <c r="Y683" s="79"/>
      <c r="AD683" s="130"/>
      <c r="AF683" s="106"/>
    </row>
    <row r="684">
      <c r="C684" s="79"/>
      <c r="D684" s="79"/>
      <c r="E684" s="79"/>
      <c r="O684" s="79"/>
      <c r="S684" s="79"/>
      <c r="T684" s="79"/>
      <c r="Y684" s="79"/>
      <c r="AD684" s="130"/>
      <c r="AF684" s="106"/>
    </row>
    <row r="685">
      <c r="C685" s="79"/>
      <c r="D685" s="79"/>
      <c r="E685" s="79"/>
      <c r="O685" s="79"/>
      <c r="S685" s="79"/>
      <c r="T685" s="79"/>
      <c r="Y685" s="79"/>
      <c r="AD685" s="130"/>
      <c r="AF685" s="106"/>
    </row>
    <row r="686">
      <c r="C686" s="79"/>
      <c r="D686" s="79"/>
      <c r="E686" s="79"/>
      <c r="O686" s="79"/>
      <c r="S686" s="79"/>
      <c r="T686" s="79"/>
      <c r="Y686" s="79"/>
      <c r="AD686" s="130"/>
      <c r="AF686" s="106"/>
    </row>
    <row r="687">
      <c r="C687" s="79"/>
      <c r="D687" s="79"/>
      <c r="E687" s="79"/>
      <c r="O687" s="79"/>
      <c r="S687" s="79"/>
      <c r="T687" s="79"/>
      <c r="Y687" s="79"/>
      <c r="AD687" s="130"/>
      <c r="AF687" s="106"/>
    </row>
    <row r="688">
      <c r="C688" s="79"/>
      <c r="D688" s="79"/>
      <c r="E688" s="79"/>
      <c r="O688" s="79"/>
      <c r="S688" s="79"/>
      <c r="T688" s="79"/>
      <c r="Y688" s="79"/>
      <c r="AD688" s="130"/>
      <c r="AF688" s="106"/>
    </row>
    <row r="689">
      <c r="C689" s="79"/>
      <c r="D689" s="79"/>
      <c r="E689" s="79"/>
      <c r="O689" s="79"/>
      <c r="S689" s="79"/>
      <c r="T689" s="79"/>
      <c r="Y689" s="79"/>
      <c r="AD689" s="130"/>
      <c r="AF689" s="106"/>
    </row>
    <row r="690">
      <c r="C690" s="79"/>
      <c r="D690" s="79"/>
      <c r="E690" s="79"/>
      <c r="O690" s="79"/>
      <c r="S690" s="79"/>
      <c r="T690" s="79"/>
      <c r="Y690" s="79"/>
      <c r="AD690" s="130"/>
      <c r="AF690" s="106"/>
    </row>
    <row r="691">
      <c r="C691" s="79"/>
      <c r="D691" s="79"/>
      <c r="E691" s="79"/>
      <c r="O691" s="79"/>
      <c r="S691" s="79"/>
      <c r="T691" s="79"/>
      <c r="Y691" s="79"/>
      <c r="AD691" s="130"/>
      <c r="AF691" s="106"/>
    </row>
    <row r="692">
      <c r="C692" s="79"/>
      <c r="D692" s="79"/>
      <c r="E692" s="79"/>
      <c r="O692" s="79"/>
      <c r="S692" s="79"/>
      <c r="T692" s="79"/>
      <c r="Y692" s="79"/>
      <c r="AD692" s="130"/>
      <c r="AF692" s="106"/>
    </row>
    <row r="693">
      <c r="C693" s="79"/>
      <c r="D693" s="79"/>
      <c r="E693" s="79"/>
      <c r="O693" s="79"/>
      <c r="S693" s="79"/>
      <c r="T693" s="79"/>
      <c r="Y693" s="79"/>
      <c r="AD693" s="130"/>
      <c r="AF693" s="106"/>
    </row>
    <row r="694">
      <c r="C694" s="79"/>
      <c r="D694" s="79"/>
      <c r="E694" s="79"/>
      <c r="O694" s="79"/>
      <c r="S694" s="79"/>
      <c r="T694" s="79"/>
      <c r="Y694" s="79"/>
      <c r="AD694" s="130"/>
      <c r="AF694" s="106"/>
    </row>
    <row r="695">
      <c r="C695" s="79"/>
      <c r="D695" s="79"/>
      <c r="E695" s="79"/>
      <c r="O695" s="79"/>
      <c r="S695" s="79"/>
      <c r="T695" s="79"/>
      <c r="Y695" s="79"/>
      <c r="AD695" s="130"/>
      <c r="AF695" s="106"/>
    </row>
    <row r="696">
      <c r="C696" s="79"/>
      <c r="D696" s="79"/>
      <c r="E696" s="79"/>
      <c r="O696" s="79"/>
      <c r="S696" s="79"/>
      <c r="T696" s="79"/>
      <c r="Y696" s="79"/>
      <c r="AD696" s="130"/>
      <c r="AF696" s="106"/>
    </row>
    <row r="697">
      <c r="C697" s="79"/>
      <c r="D697" s="79"/>
      <c r="E697" s="79"/>
      <c r="O697" s="79"/>
      <c r="S697" s="79"/>
      <c r="T697" s="79"/>
      <c r="Y697" s="79"/>
      <c r="AD697" s="130"/>
      <c r="AF697" s="106"/>
    </row>
    <row r="698">
      <c r="C698" s="79"/>
      <c r="D698" s="79"/>
      <c r="E698" s="79"/>
      <c r="O698" s="79"/>
      <c r="S698" s="79"/>
      <c r="T698" s="79"/>
      <c r="Y698" s="79"/>
      <c r="AD698" s="130"/>
      <c r="AF698" s="106"/>
    </row>
    <row r="699">
      <c r="C699" s="79"/>
      <c r="D699" s="79"/>
      <c r="E699" s="79"/>
      <c r="O699" s="79"/>
      <c r="S699" s="79"/>
      <c r="T699" s="79"/>
      <c r="Y699" s="79"/>
      <c r="AD699" s="130"/>
      <c r="AF699" s="106"/>
    </row>
    <row r="700">
      <c r="C700" s="79"/>
      <c r="D700" s="79"/>
      <c r="E700" s="79"/>
      <c r="O700" s="79"/>
      <c r="S700" s="79"/>
      <c r="T700" s="79"/>
      <c r="Y700" s="79"/>
      <c r="AD700" s="130"/>
      <c r="AF700" s="106"/>
    </row>
    <row r="701">
      <c r="C701" s="79"/>
      <c r="D701" s="79"/>
      <c r="E701" s="79"/>
      <c r="O701" s="79"/>
      <c r="S701" s="79"/>
      <c r="T701" s="79"/>
      <c r="Y701" s="79"/>
      <c r="AD701" s="130"/>
      <c r="AF701" s="106"/>
    </row>
    <row r="702">
      <c r="C702" s="79"/>
      <c r="D702" s="79"/>
      <c r="E702" s="79"/>
      <c r="O702" s="79"/>
      <c r="S702" s="79"/>
      <c r="T702" s="79"/>
      <c r="Y702" s="79"/>
      <c r="AD702" s="130"/>
      <c r="AF702" s="106"/>
    </row>
    <row r="703">
      <c r="C703" s="79"/>
      <c r="D703" s="79"/>
      <c r="E703" s="79"/>
      <c r="O703" s="79"/>
      <c r="S703" s="79"/>
      <c r="T703" s="79"/>
      <c r="Y703" s="79"/>
      <c r="AD703" s="130"/>
      <c r="AF703" s="106"/>
    </row>
    <row r="704">
      <c r="C704" s="79"/>
      <c r="D704" s="79"/>
      <c r="E704" s="79"/>
      <c r="O704" s="79"/>
      <c r="S704" s="79"/>
      <c r="T704" s="79"/>
      <c r="Y704" s="79"/>
      <c r="AD704" s="130"/>
      <c r="AF704" s="106"/>
    </row>
    <row r="705">
      <c r="C705" s="79"/>
      <c r="D705" s="79"/>
      <c r="E705" s="79"/>
      <c r="O705" s="79"/>
      <c r="S705" s="79"/>
      <c r="T705" s="79"/>
      <c r="Y705" s="79"/>
      <c r="AD705" s="130"/>
      <c r="AF705" s="106"/>
    </row>
    <row r="706">
      <c r="C706" s="79"/>
      <c r="D706" s="79"/>
      <c r="E706" s="79"/>
      <c r="O706" s="79"/>
      <c r="S706" s="79"/>
      <c r="T706" s="79"/>
      <c r="Y706" s="79"/>
      <c r="AD706" s="130"/>
      <c r="AF706" s="106"/>
    </row>
    <row r="707">
      <c r="C707" s="79"/>
      <c r="D707" s="79"/>
      <c r="E707" s="79"/>
      <c r="O707" s="79"/>
      <c r="S707" s="79"/>
      <c r="T707" s="79"/>
      <c r="Y707" s="79"/>
      <c r="AD707" s="130"/>
      <c r="AF707" s="106"/>
    </row>
    <row r="708">
      <c r="C708" s="79"/>
      <c r="D708" s="79"/>
      <c r="E708" s="79"/>
      <c r="O708" s="79"/>
      <c r="S708" s="79"/>
      <c r="T708" s="79"/>
      <c r="Y708" s="79"/>
      <c r="AD708" s="130"/>
      <c r="AF708" s="106"/>
    </row>
    <row r="709">
      <c r="C709" s="79"/>
      <c r="D709" s="79"/>
      <c r="E709" s="79"/>
      <c r="O709" s="79"/>
      <c r="S709" s="79"/>
      <c r="T709" s="79"/>
      <c r="Y709" s="79"/>
      <c r="AD709" s="130"/>
      <c r="AF709" s="106"/>
    </row>
    <row r="710">
      <c r="C710" s="79"/>
      <c r="D710" s="79"/>
      <c r="E710" s="79"/>
      <c r="O710" s="79"/>
      <c r="S710" s="79"/>
      <c r="T710" s="79"/>
      <c r="Y710" s="79"/>
      <c r="AD710" s="130"/>
      <c r="AF710" s="106"/>
    </row>
    <row r="711">
      <c r="C711" s="79"/>
      <c r="D711" s="79"/>
      <c r="E711" s="79"/>
      <c r="O711" s="79"/>
      <c r="S711" s="79"/>
      <c r="T711" s="79"/>
      <c r="Y711" s="79"/>
      <c r="AD711" s="130"/>
      <c r="AF711" s="106"/>
    </row>
    <row r="712">
      <c r="C712" s="79"/>
      <c r="D712" s="79"/>
      <c r="E712" s="79"/>
      <c r="O712" s="79"/>
      <c r="S712" s="79"/>
      <c r="T712" s="79"/>
      <c r="Y712" s="79"/>
      <c r="AD712" s="130"/>
      <c r="AF712" s="106"/>
    </row>
    <row r="713">
      <c r="C713" s="79"/>
      <c r="D713" s="79"/>
      <c r="E713" s="79"/>
      <c r="O713" s="79"/>
      <c r="S713" s="79"/>
      <c r="T713" s="79"/>
      <c r="Y713" s="79"/>
      <c r="AD713" s="130"/>
      <c r="AF713" s="106"/>
    </row>
    <row r="714">
      <c r="C714" s="79"/>
      <c r="D714" s="79"/>
      <c r="E714" s="79"/>
      <c r="O714" s="79"/>
      <c r="S714" s="79"/>
      <c r="T714" s="79"/>
      <c r="Y714" s="79"/>
      <c r="AD714" s="130"/>
      <c r="AF714" s="106"/>
    </row>
    <row r="715">
      <c r="C715" s="79"/>
      <c r="D715" s="79"/>
      <c r="E715" s="79"/>
      <c r="O715" s="79"/>
      <c r="S715" s="79"/>
      <c r="T715" s="79"/>
      <c r="Y715" s="79"/>
      <c r="AD715" s="130"/>
      <c r="AF715" s="106"/>
    </row>
    <row r="716">
      <c r="C716" s="79"/>
      <c r="D716" s="79"/>
      <c r="E716" s="79"/>
      <c r="O716" s="79"/>
      <c r="S716" s="79"/>
      <c r="T716" s="79"/>
      <c r="Y716" s="79"/>
      <c r="AD716" s="130"/>
      <c r="AF716" s="106"/>
    </row>
    <row r="717">
      <c r="C717" s="79"/>
      <c r="D717" s="79"/>
      <c r="E717" s="79"/>
      <c r="O717" s="79"/>
      <c r="S717" s="79"/>
      <c r="T717" s="79"/>
      <c r="Y717" s="79"/>
      <c r="AD717" s="130"/>
      <c r="AF717" s="106"/>
    </row>
    <row r="718">
      <c r="C718" s="79"/>
      <c r="D718" s="79"/>
      <c r="E718" s="79"/>
      <c r="O718" s="79"/>
      <c r="S718" s="79"/>
      <c r="T718" s="79"/>
      <c r="Y718" s="79"/>
      <c r="AD718" s="130"/>
      <c r="AF718" s="106"/>
    </row>
    <row r="719">
      <c r="C719" s="79"/>
      <c r="D719" s="79"/>
      <c r="E719" s="79"/>
      <c r="O719" s="79"/>
      <c r="S719" s="79"/>
      <c r="T719" s="79"/>
      <c r="Y719" s="79"/>
      <c r="AD719" s="130"/>
      <c r="AF719" s="106"/>
    </row>
    <row r="720">
      <c r="C720" s="79"/>
      <c r="D720" s="79"/>
      <c r="E720" s="79"/>
      <c r="O720" s="79"/>
      <c r="S720" s="79"/>
      <c r="T720" s="79"/>
      <c r="Y720" s="79"/>
      <c r="AD720" s="130"/>
      <c r="AF720" s="106"/>
    </row>
    <row r="721">
      <c r="C721" s="79"/>
      <c r="D721" s="79"/>
      <c r="E721" s="79"/>
      <c r="O721" s="79"/>
      <c r="S721" s="79"/>
      <c r="T721" s="79"/>
      <c r="Y721" s="79"/>
      <c r="AD721" s="130"/>
      <c r="AF721" s="106"/>
    </row>
    <row r="722">
      <c r="C722" s="79"/>
      <c r="D722" s="79"/>
      <c r="E722" s="79"/>
      <c r="O722" s="79"/>
      <c r="S722" s="79"/>
      <c r="T722" s="79"/>
      <c r="Y722" s="79"/>
      <c r="AD722" s="130"/>
      <c r="AF722" s="106"/>
    </row>
    <row r="723">
      <c r="C723" s="79"/>
      <c r="D723" s="79"/>
      <c r="E723" s="79"/>
      <c r="O723" s="79"/>
      <c r="S723" s="79"/>
      <c r="T723" s="79"/>
      <c r="Y723" s="79"/>
      <c r="AD723" s="130"/>
      <c r="AF723" s="106"/>
    </row>
    <row r="724">
      <c r="C724" s="79"/>
      <c r="D724" s="79"/>
      <c r="E724" s="79"/>
      <c r="O724" s="79"/>
      <c r="S724" s="79"/>
      <c r="T724" s="79"/>
      <c r="Y724" s="79"/>
      <c r="AD724" s="130"/>
      <c r="AF724" s="106"/>
    </row>
    <row r="725">
      <c r="C725" s="79"/>
      <c r="D725" s="79"/>
      <c r="E725" s="79"/>
      <c r="O725" s="79"/>
      <c r="S725" s="79"/>
      <c r="T725" s="79"/>
      <c r="Y725" s="79"/>
      <c r="AD725" s="130"/>
      <c r="AF725" s="106"/>
    </row>
    <row r="726">
      <c r="C726" s="79"/>
      <c r="D726" s="79"/>
      <c r="E726" s="79"/>
      <c r="O726" s="79"/>
      <c r="S726" s="79"/>
      <c r="T726" s="79"/>
      <c r="Y726" s="79"/>
      <c r="AD726" s="130"/>
      <c r="AF726" s="106"/>
    </row>
    <row r="727">
      <c r="C727" s="79"/>
      <c r="D727" s="79"/>
      <c r="E727" s="79"/>
      <c r="O727" s="79"/>
      <c r="S727" s="79"/>
      <c r="T727" s="79"/>
      <c r="Y727" s="79"/>
      <c r="AD727" s="130"/>
      <c r="AF727" s="106"/>
    </row>
    <row r="728">
      <c r="C728" s="79"/>
      <c r="D728" s="79"/>
      <c r="E728" s="79"/>
      <c r="O728" s="79"/>
      <c r="S728" s="79"/>
      <c r="T728" s="79"/>
      <c r="Y728" s="79"/>
      <c r="AD728" s="130"/>
      <c r="AF728" s="106"/>
    </row>
    <row r="729">
      <c r="C729" s="79"/>
      <c r="D729" s="79"/>
      <c r="E729" s="79"/>
      <c r="O729" s="79"/>
      <c r="S729" s="79"/>
      <c r="T729" s="79"/>
      <c r="Y729" s="79"/>
      <c r="AD729" s="130"/>
      <c r="AF729" s="106"/>
    </row>
    <row r="730">
      <c r="C730" s="79"/>
      <c r="D730" s="79"/>
      <c r="E730" s="79"/>
      <c r="O730" s="79"/>
      <c r="S730" s="79"/>
      <c r="T730" s="79"/>
      <c r="Y730" s="79"/>
      <c r="AD730" s="130"/>
      <c r="AF730" s="106"/>
    </row>
    <row r="731">
      <c r="C731" s="79"/>
      <c r="D731" s="79"/>
      <c r="E731" s="79"/>
      <c r="O731" s="79"/>
      <c r="S731" s="79"/>
      <c r="T731" s="79"/>
      <c r="Y731" s="79"/>
      <c r="AD731" s="130"/>
      <c r="AF731" s="106"/>
    </row>
    <row r="732">
      <c r="C732" s="79"/>
      <c r="D732" s="79"/>
      <c r="E732" s="79"/>
      <c r="O732" s="79"/>
      <c r="S732" s="79"/>
      <c r="T732" s="79"/>
      <c r="Y732" s="79"/>
      <c r="AD732" s="130"/>
      <c r="AF732" s="106"/>
    </row>
    <row r="733">
      <c r="C733" s="79"/>
      <c r="D733" s="79"/>
      <c r="E733" s="79"/>
      <c r="O733" s="79"/>
      <c r="S733" s="79"/>
      <c r="T733" s="79"/>
      <c r="Y733" s="79"/>
      <c r="AD733" s="130"/>
      <c r="AF733" s="106"/>
    </row>
    <row r="734">
      <c r="C734" s="79"/>
      <c r="D734" s="79"/>
      <c r="E734" s="79"/>
      <c r="O734" s="79"/>
      <c r="S734" s="79"/>
      <c r="T734" s="79"/>
      <c r="Y734" s="79"/>
      <c r="AD734" s="130"/>
      <c r="AF734" s="106"/>
    </row>
    <row r="735">
      <c r="C735" s="79"/>
      <c r="D735" s="79"/>
      <c r="E735" s="79"/>
      <c r="O735" s="79"/>
      <c r="S735" s="79"/>
      <c r="T735" s="79"/>
      <c r="Y735" s="79"/>
      <c r="AD735" s="130"/>
      <c r="AF735" s="106"/>
    </row>
    <row r="736">
      <c r="C736" s="79"/>
      <c r="D736" s="79"/>
      <c r="E736" s="79"/>
      <c r="O736" s="79"/>
      <c r="S736" s="79"/>
      <c r="T736" s="79"/>
      <c r="Y736" s="79"/>
      <c r="AD736" s="130"/>
      <c r="AF736" s="106"/>
    </row>
    <row r="737">
      <c r="C737" s="79"/>
      <c r="D737" s="79"/>
      <c r="E737" s="79"/>
      <c r="O737" s="79"/>
      <c r="S737" s="79"/>
      <c r="T737" s="79"/>
      <c r="Y737" s="79"/>
      <c r="AD737" s="130"/>
      <c r="AF737" s="106"/>
    </row>
    <row r="738">
      <c r="C738" s="79"/>
      <c r="D738" s="79"/>
      <c r="E738" s="79"/>
      <c r="O738" s="79"/>
      <c r="S738" s="79"/>
      <c r="T738" s="79"/>
      <c r="Y738" s="79"/>
      <c r="AD738" s="130"/>
      <c r="AF738" s="106"/>
    </row>
    <row r="739">
      <c r="C739" s="79"/>
      <c r="D739" s="79"/>
      <c r="E739" s="79"/>
      <c r="O739" s="79"/>
      <c r="S739" s="79"/>
      <c r="T739" s="79"/>
      <c r="Y739" s="79"/>
      <c r="AD739" s="130"/>
      <c r="AF739" s="106"/>
    </row>
    <row r="740">
      <c r="C740" s="79"/>
      <c r="D740" s="79"/>
      <c r="E740" s="79"/>
      <c r="O740" s="79"/>
      <c r="S740" s="79"/>
      <c r="T740" s="79"/>
      <c r="Y740" s="79"/>
      <c r="AD740" s="130"/>
      <c r="AF740" s="106"/>
    </row>
    <row r="741">
      <c r="C741" s="79"/>
      <c r="D741" s="79"/>
      <c r="E741" s="79"/>
      <c r="O741" s="79"/>
      <c r="S741" s="79"/>
      <c r="T741" s="79"/>
      <c r="Y741" s="79"/>
      <c r="AD741" s="130"/>
      <c r="AF741" s="106"/>
    </row>
    <row r="742">
      <c r="C742" s="79"/>
      <c r="D742" s="79"/>
      <c r="E742" s="79"/>
      <c r="O742" s="79"/>
      <c r="S742" s="79"/>
      <c r="T742" s="79"/>
      <c r="Y742" s="79"/>
      <c r="AD742" s="130"/>
      <c r="AF742" s="106"/>
    </row>
    <row r="743">
      <c r="C743" s="79"/>
      <c r="D743" s="79"/>
      <c r="E743" s="79"/>
      <c r="O743" s="79"/>
      <c r="S743" s="79"/>
      <c r="T743" s="79"/>
      <c r="Y743" s="79"/>
      <c r="AD743" s="130"/>
      <c r="AF743" s="106"/>
    </row>
    <row r="744">
      <c r="C744" s="79"/>
      <c r="D744" s="79"/>
      <c r="E744" s="79"/>
      <c r="O744" s="79"/>
      <c r="S744" s="79"/>
      <c r="T744" s="79"/>
      <c r="Y744" s="79"/>
      <c r="AD744" s="130"/>
      <c r="AF744" s="106"/>
    </row>
    <row r="745">
      <c r="C745" s="79"/>
      <c r="D745" s="79"/>
      <c r="E745" s="79"/>
      <c r="O745" s="79"/>
      <c r="S745" s="79"/>
      <c r="T745" s="79"/>
      <c r="Y745" s="79"/>
      <c r="AD745" s="130"/>
      <c r="AF745" s="106"/>
    </row>
    <row r="746">
      <c r="C746" s="79"/>
      <c r="D746" s="79"/>
      <c r="E746" s="79"/>
      <c r="O746" s="79"/>
      <c r="S746" s="79"/>
      <c r="T746" s="79"/>
      <c r="Y746" s="79"/>
      <c r="AD746" s="130"/>
      <c r="AF746" s="106"/>
    </row>
    <row r="747">
      <c r="C747" s="79"/>
      <c r="D747" s="79"/>
      <c r="E747" s="79"/>
      <c r="O747" s="79"/>
      <c r="S747" s="79"/>
      <c r="T747" s="79"/>
      <c r="Y747" s="79"/>
      <c r="AD747" s="130"/>
      <c r="AF747" s="106"/>
    </row>
    <row r="748">
      <c r="C748" s="79"/>
      <c r="D748" s="79"/>
      <c r="E748" s="79"/>
      <c r="O748" s="79"/>
      <c r="S748" s="79"/>
      <c r="T748" s="79"/>
      <c r="Y748" s="79"/>
      <c r="AD748" s="130"/>
      <c r="AF748" s="106"/>
    </row>
    <row r="749">
      <c r="C749" s="79"/>
      <c r="D749" s="79"/>
      <c r="E749" s="79"/>
      <c r="O749" s="79"/>
      <c r="S749" s="79"/>
      <c r="T749" s="79"/>
      <c r="Y749" s="79"/>
      <c r="AD749" s="130"/>
      <c r="AF749" s="106"/>
    </row>
    <row r="750">
      <c r="C750" s="79"/>
      <c r="D750" s="79"/>
      <c r="E750" s="79"/>
      <c r="O750" s="79"/>
      <c r="S750" s="79"/>
      <c r="T750" s="79"/>
      <c r="Y750" s="79"/>
      <c r="AD750" s="130"/>
      <c r="AF750" s="106"/>
    </row>
    <row r="751">
      <c r="C751" s="79"/>
      <c r="D751" s="79"/>
      <c r="E751" s="79"/>
      <c r="O751" s="79"/>
      <c r="S751" s="79"/>
      <c r="T751" s="79"/>
      <c r="Y751" s="79"/>
      <c r="AD751" s="130"/>
      <c r="AF751" s="106"/>
    </row>
    <row r="752">
      <c r="C752" s="79"/>
      <c r="D752" s="79"/>
      <c r="E752" s="79"/>
      <c r="O752" s="79"/>
      <c r="S752" s="79"/>
      <c r="T752" s="79"/>
      <c r="Y752" s="79"/>
      <c r="AD752" s="130"/>
      <c r="AF752" s="106"/>
    </row>
    <row r="753">
      <c r="C753" s="79"/>
      <c r="D753" s="79"/>
      <c r="E753" s="79"/>
      <c r="O753" s="79"/>
      <c r="S753" s="79"/>
      <c r="T753" s="79"/>
      <c r="Y753" s="79"/>
      <c r="AD753" s="130"/>
      <c r="AF753" s="106"/>
    </row>
    <row r="754">
      <c r="C754" s="79"/>
      <c r="D754" s="79"/>
      <c r="E754" s="79"/>
      <c r="O754" s="79"/>
      <c r="S754" s="79"/>
      <c r="T754" s="79"/>
      <c r="Y754" s="79"/>
      <c r="AD754" s="130"/>
      <c r="AF754" s="106"/>
    </row>
    <row r="755">
      <c r="C755" s="79"/>
      <c r="D755" s="79"/>
      <c r="E755" s="79"/>
      <c r="O755" s="79"/>
      <c r="S755" s="79"/>
      <c r="T755" s="79"/>
      <c r="Y755" s="79"/>
      <c r="AD755" s="130"/>
      <c r="AF755" s="106"/>
    </row>
    <row r="756">
      <c r="C756" s="79"/>
      <c r="D756" s="79"/>
      <c r="E756" s="79"/>
      <c r="O756" s="79"/>
      <c r="S756" s="79"/>
      <c r="T756" s="79"/>
      <c r="Y756" s="79"/>
      <c r="AD756" s="130"/>
      <c r="AF756" s="106"/>
    </row>
    <row r="757">
      <c r="C757" s="79"/>
      <c r="D757" s="79"/>
      <c r="E757" s="79"/>
      <c r="O757" s="79"/>
      <c r="S757" s="79"/>
      <c r="T757" s="79"/>
      <c r="Y757" s="79"/>
      <c r="AD757" s="130"/>
      <c r="AF757" s="106"/>
    </row>
    <row r="758">
      <c r="C758" s="79"/>
      <c r="D758" s="79"/>
      <c r="E758" s="79"/>
      <c r="O758" s="79"/>
      <c r="S758" s="79"/>
      <c r="T758" s="79"/>
      <c r="Y758" s="79"/>
      <c r="AD758" s="130"/>
      <c r="AF758" s="106"/>
    </row>
    <row r="759">
      <c r="C759" s="79"/>
      <c r="D759" s="79"/>
      <c r="E759" s="79"/>
      <c r="O759" s="79"/>
      <c r="S759" s="79"/>
      <c r="T759" s="79"/>
      <c r="Y759" s="79"/>
      <c r="AD759" s="130"/>
      <c r="AF759" s="106"/>
    </row>
    <row r="760">
      <c r="C760" s="79"/>
      <c r="D760" s="79"/>
      <c r="E760" s="79"/>
      <c r="O760" s="79"/>
      <c r="S760" s="79"/>
      <c r="T760" s="79"/>
      <c r="Y760" s="79"/>
      <c r="AD760" s="130"/>
      <c r="AF760" s="106"/>
    </row>
    <row r="761">
      <c r="C761" s="79"/>
      <c r="D761" s="79"/>
      <c r="E761" s="79"/>
      <c r="O761" s="79"/>
      <c r="S761" s="79"/>
      <c r="T761" s="79"/>
      <c r="Y761" s="79"/>
      <c r="AD761" s="130"/>
      <c r="AF761" s="106"/>
    </row>
    <row r="762">
      <c r="C762" s="79"/>
      <c r="D762" s="79"/>
      <c r="E762" s="79"/>
      <c r="O762" s="79"/>
      <c r="S762" s="79"/>
      <c r="T762" s="79"/>
      <c r="Y762" s="79"/>
      <c r="AD762" s="130"/>
      <c r="AF762" s="106"/>
    </row>
    <row r="763">
      <c r="C763" s="79"/>
      <c r="D763" s="79"/>
      <c r="E763" s="79"/>
      <c r="O763" s="79"/>
      <c r="S763" s="79"/>
      <c r="T763" s="79"/>
      <c r="Y763" s="79"/>
      <c r="AD763" s="130"/>
      <c r="AF763" s="106"/>
    </row>
    <row r="764">
      <c r="C764" s="79"/>
      <c r="D764" s="79"/>
      <c r="E764" s="79"/>
      <c r="O764" s="79"/>
      <c r="S764" s="79"/>
      <c r="T764" s="79"/>
      <c r="Y764" s="79"/>
      <c r="AD764" s="130"/>
      <c r="AF764" s="106"/>
    </row>
    <row r="765">
      <c r="C765" s="79"/>
      <c r="D765" s="79"/>
      <c r="E765" s="79"/>
      <c r="O765" s="79"/>
      <c r="S765" s="79"/>
      <c r="T765" s="79"/>
      <c r="Y765" s="79"/>
      <c r="AD765" s="130"/>
      <c r="AF765" s="106"/>
    </row>
    <row r="766">
      <c r="C766" s="79"/>
      <c r="D766" s="79"/>
      <c r="E766" s="79"/>
      <c r="O766" s="79"/>
      <c r="S766" s="79"/>
      <c r="T766" s="79"/>
      <c r="Y766" s="79"/>
      <c r="AD766" s="130"/>
      <c r="AF766" s="106"/>
    </row>
    <row r="767">
      <c r="C767" s="79"/>
      <c r="D767" s="79"/>
      <c r="E767" s="79"/>
      <c r="O767" s="79"/>
      <c r="S767" s="79"/>
      <c r="T767" s="79"/>
      <c r="Y767" s="79"/>
      <c r="AD767" s="130"/>
      <c r="AF767" s="106"/>
    </row>
    <row r="768">
      <c r="C768" s="79"/>
      <c r="D768" s="79"/>
      <c r="E768" s="79"/>
      <c r="O768" s="79"/>
      <c r="S768" s="79"/>
      <c r="T768" s="79"/>
      <c r="Y768" s="79"/>
      <c r="AD768" s="130"/>
      <c r="AF768" s="106"/>
    </row>
    <row r="769">
      <c r="C769" s="79"/>
      <c r="D769" s="79"/>
      <c r="E769" s="79"/>
      <c r="O769" s="79"/>
      <c r="S769" s="79"/>
      <c r="T769" s="79"/>
      <c r="Y769" s="79"/>
      <c r="AD769" s="130"/>
      <c r="AF769" s="106"/>
    </row>
    <row r="770">
      <c r="C770" s="79"/>
      <c r="D770" s="79"/>
      <c r="E770" s="79"/>
      <c r="O770" s="79"/>
      <c r="S770" s="79"/>
      <c r="T770" s="79"/>
      <c r="Y770" s="79"/>
      <c r="AD770" s="130"/>
      <c r="AF770" s="106"/>
    </row>
    <row r="771">
      <c r="C771" s="79"/>
      <c r="D771" s="79"/>
      <c r="E771" s="79"/>
      <c r="O771" s="79"/>
      <c r="S771" s="79"/>
      <c r="T771" s="79"/>
      <c r="Y771" s="79"/>
      <c r="AD771" s="130"/>
      <c r="AF771" s="106"/>
    </row>
    <row r="772">
      <c r="C772" s="79"/>
      <c r="D772" s="79"/>
      <c r="E772" s="79"/>
      <c r="O772" s="79"/>
      <c r="S772" s="79"/>
      <c r="T772" s="79"/>
      <c r="Y772" s="79"/>
      <c r="AD772" s="130"/>
      <c r="AF772" s="106"/>
    </row>
    <row r="773">
      <c r="C773" s="79"/>
      <c r="D773" s="79"/>
      <c r="E773" s="79"/>
      <c r="O773" s="79"/>
      <c r="S773" s="79"/>
      <c r="T773" s="79"/>
      <c r="Y773" s="79"/>
      <c r="AD773" s="130"/>
      <c r="AF773" s="106"/>
    </row>
    <row r="774">
      <c r="C774" s="79"/>
      <c r="D774" s="79"/>
      <c r="E774" s="79"/>
      <c r="O774" s="79"/>
      <c r="S774" s="79"/>
      <c r="T774" s="79"/>
      <c r="Y774" s="79"/>
      <c r="AD774" s="130"/>
      <c r="AF774" s="106"/>
    </row>
    <row r="775">
      <c r="C775" s="79"/>
      <c r="D775" s="79"/>
      <c r="E775" s="79"/>
      <c r="O775" s="79"/>
      <c r="S775" s="79"/>
      <c r="T775" s="79"/>
      <c r="Y775" s="79"/>
      <c r="AD775" s="130"/>
      <c r="AF775" s="106"/>
    </row>
    <row r="776">
      <c r="C776" s="79"/>
      <c r="D776" s="79"/>
      <c r="E776" s="79"/>
      <c r="O776" s="79"/>
      <c r="S776" s="79"/>
      <c r="T776" s="79"/>
      <c r="Y776" s="79"/>
      <c r="AD776" s="130"/>
      <c r="AF776" s="106"/>
    </row>
    <row r="777">
      <c r="C777" s="79"/>
      <c r="D777" s="79"/>
      <c r="E777" s="79"/>
      <c r="O777" s="79"/>
      <c r="S777" s="79"/>
      <c r="T777" s="79"/>
      <c r="Y777" s="79"/>
      <c r="AD777" s="130"/>
      <c r="AF777" s="106"/>
    </row>
    <row r="778">
      <c r="C778" s="79"/>
      <c r="D778" s="79"/>
      <c r="E778" s="79"/>
      <c r="O778" s="79"/>
      <c r="S778" s="79"/>
      <c r="T778" s="79"/>
      <c r="Y778" s="79"/>
      <c r="AD778" s="130"/>
      <c r="AF778" s="106"/>
    </row>
    <row r="779">
      <c r="C779" s="79"/>
      <c r="D779" s="79"/>
      <c r="E779" s="79"/>
      <c r="O779" s="79"/>
      <c r="S779" s="79"/>
      <c r="T779" s="79"/>
      <c r="Y779" s="79"/>
      <c r="AD779" s="130"/>
      <c r="AF779" s="106"/>
    </row>
    <row r="780">
      <c r="C780" s="79"/>
      <c r="D780" s="79"/>
      <c r="E780" s="79"/>
      <c r="O780" s="79"/>
      <c r="S780" s="79"/>
      <c r="T780" s="79"/>
      <c r="Y780" s="79"/>
      <c r="AD780" s="130"/>
      <c r="AF780" s="106"/>
    </row>
    <row r="781">
      <c r="C781" s="79"/>
      <c r="D781" s="79"/>
      <c r="E781" s="79"/>
      <c r="O781" s="79"/>
      <c r="S781" s="79"/>
      <c r="T781" s="79"/>
      <c r="Y781" s="79"/>
      <c r="AD781" s="130"/>
      <c r="AF781" s="106"/>
    </row>
    <row r="782">
      <c r="C782" s="79"/>
      <c r="D782" s="79"/>
      <c r="E782" s="79"/>
      <c r="O782" s="79"/>
      <c r="S782" s="79"/>
      <c r="T782" s="79"/>
      <c r="Y782" s="79"/>
      <c r="AD782" s="130"/>
      <c r="AF782" s="106"/>
    </row>
    <row r="783">
      <c r="C783" s="79"/>
      <c r="D783" s="79"/>
      <c r="E783" s="79"/>
      <c r="O783" s="79"/>
      <c r="S783" s="79"/>
      <c r="T783" s="79"/>
      <c r="Y783" s="79"/>
      <c r="AD783" s="130"/>
      <c r="AF783" s="106"/>
    </row>
    <row r="784">
      <c r="C784" s="79"/>
      <c r="D784" s="79"/>
      <c r="E784" s="79"/>
      <c r="O784" s="79"/>
      <c r="S784" s="79"/>
      <c r="T784" s="79"/>
      <c r="Y784" s="79"/>
      <c r="AD784" s="130"/>
      <c r="AF784" s="106"/>
    </row>
    <row r="785">
      <c r="C785" s="79"/>
      <c r="D785" s="79"/>
      <c r="E785" s="79"/>
      <c r="O785" s="79"/>
      <c r="S785" s="79"/>
      <c r="T785" s="79"/>
      <c r="Y785" s="79"/>
      <c r="AD785" s="130"/>
      <c r="AF785" s="106"/>
    </row>
    <row r="786">
      <c r="C786" s="79"/>
      <c r="D786" s="79"/>
      <c r="E786" s="79"/>
      <c r="O786" s="79"/>
      <c r="S786" s="79"/>
      <c r="T786" s="79"/>
      <c r="Y786" s="79"/>
      <c r="AD786" s="130"/>
      <c r="AF786" s="106"/>
    </row>
    <row r="787">
      <c r="C787" s="79"/>
      <c r="D787" s="79"/>
      <c r="E787" s="79"/>
      <c r="O787" s="79"/>
      <c r="S787" s="79"/>
      <c r="T787" s="79"/>
      <c r="Y787" s="79"/>
      <c r="AD787" s="130"/>
      <c r="AF787" s="106"/>
    </row>
    <row r="788">
      <c r="C788" s="79"/>
      <c r="D788" s="79"/>
      <c r="E788" s="79"/>
      <c r="O788" s="79"/>
      <c r="S788" s="79"/>
      <c r="T788" s="79"/>
      <c r="Y788" s="79"/>
      <c r="AD788" s="130"/>
      <c r="AF788" s="106"/>
    </row>
    <row r="789">
      <c r="C789" s="79"/>
      <c r="D789" s="79"/>
      <c r="E789" s="79"/>
      <c r="O789" s="79"/>
      <c r="S789" s="79"/>
      <c r="T789" s="79"/>
      <c r="Y789" s="79"/>
      <c r="AD789" s="130"/>
      <c r="AF789" s="106"/>
    </row>
    <row r="790">
      <c r="C790" s="79"/>
      <c r="D790" s="79"/>
      <c r="E790" s="79"/>
      <c r="O790" s="79"/>
      <c r="S790" s="79"/>
      <c r="T790" s="79"/>
      <c r="Y790" s="79"/>
      <c r="AD790" s="130"/>
      <c r="AF790" s="106"/>
    </row>
    <row r="791">
      <c r="C791" s="79"/>
      <c r="D791" s="79"/>
      <c r="E791" s="79"/>
      <c r="O791" s="79"/>
      <c r="S791" s="79"/>
      <c r="T791" s="79"/>
      <c r="Y791" s="79"/>
      <c r="AD791" s="130"/>
      <c r="AF791" s="106"/>
    </row>
    <row r="792">
      <c r="C792" s="79"/>
      <c r="D792" s="79"/>
      <c r="E792" s="79"/>
      <c r="O792" s="79"/>
      <c r="S792" s="79"/>
      <c r="T792" s="79"/>
      <c r="Y792" s="79"/>
      <c r="AD792" s="130"/>
      <c r="AF792" s="106"/>
    </row>
    <row r="793">
      <c r="C793" s="79"/>
      <c r="D793" s="79"/>
      <c r="E793" s="79"/>
      <c r="O793" s="79"/>
      <c r="S793" s="79"/>
      <c r="T793" s="79"/>
      <c r="Y793" s="79"/>
      <c r="AD793" s="130"/>
      <c r="AF793" s="106"/>
    </row>
    <row r="794">
      <c r="C794" s="79"/>
      <c r="D794" s="79"/>
      <c r="E794" s="79"/>
      <c r="O794" s="79"/>
      <c r="S794" s="79"/>
      <c r="T794" s="79"/>
      <c r="Y794" s="79"/>
      <c r="AD794" s="130"/>
      <c r="AF794" s="106"/>
    </row>
    <row r="795">
      <c r="C795" s="79"/>
      <c r="D795" s="79"/>
      <c r="E795" s="79"/>
      <c r="O795" s="79"/>
      <c r="S795" s="79"/>
      <c r="T795" s="79"/>
      <c r="Y795" s="79"/>
      <c r="AD795" s="130"/>
      <c r="AF795" s="106"/>
    </row>
    <row r="796">
      <c r="C796" s="79"/>
      <c r="D796" s="79"/>
      <c r="E796" s="79"/>
      <c r="O796" s="79"/>
      <c r="S796" s="79"/>
      <c r="T796" s="79"/>
      <c r="Y796" s="79"/>
      <c r="AD796" s="130"/>
      <c r="AF796" s="106"/>
    </row>
    <row r="797">
      <c r="C797" s="79"/>
      <c r="D797" s="79"/>
      <c r="E797" s="79"/>
      <c r="O797" s="79"/>
      <c r="S797" s="79"/>
      <c r="T797" s="79"/>
      <c r="Y797" s="79"/>
      <c r="AD797" s="130"/>
      <c r="AF797" s="106"/>
    </row>
    <row r="798">
      <c r="C798" s="79"/>
      <c r="D798" s="79"/>
      <c r="E798" s="79"/>
      <c r="O798" s="79"/>
      <c r="S798" s="79"/>
      <c r="T798" s="79"/>
      <c r="Y798" s="79"/>
      <c r="AD798" s="130"/>
      <c r="AF798" s="106"/>
    </row>
    <row r="799">
      <c r="C799" s="79"/>
      <c r="D799" s="79"/>
      <c r="E799" s="79"/>
      <c r="O799" s="79"/>
      <c r="S799" s="79"/>
      <c r="T799" s="79"/>
      <c r="Y799" s="79"/>
      <c r="AD799" s="130"/>
      <c r="AF799" s="106"/>
    </row>
    <row r="800">
      <c r="C800" s="79"/>
      <c r="D800" s="79"/>
      <c r="E800" s="79"/>
      <c r="O800" s="79"/>
      <c r="S800" s="79"/>
      <c r="T800" s="79"/>
      <c r="Y800" s="79"/>
      <c r="AD800" s="130"/>
      <c r="AF800" s="106"/>
    </row>
    <row r="801">
      <c r="C801" s="79"/>
      <c r="D801" s="79"/>
      <c r="E801" s="79"/>
      <c r="O801" s="79"/>
      <c r="S801" s="79"/>
      <c r="T801" s="79"/>
      <c r="Y801" s="79"/>
      <c r="AD801" s="130"/>
      <c r="AF801" s="106"/>
    </row>
    <row r="802">
      <c r="C802" s="79"/>
      <c r="D802" s="79"/>
      <c r="E802" s="79"/>
      <c r="O802" s="79"/>
      <c r="S802" s="79"/>
      <c r="T802" s="79"/>
      <c r="Y802" s="79"/>
      <c r="AD802" s="130"/>
      <c r="AF802" s="106"/>
    </row>
    <row r="803">
      <c r="C803" s="79"/>
      <c r="D803" s="79"/>
      <c r="E803" s="79"/>
      <c r="O803" s="79"/>
      <c r="S803" s="79"/>
      <c r="T803" s="79"/>
      <c r="Y803" s="79"/>
      <c r="AD803" s="130"/>
      <c r="AF803" s="106"/>
    </row>
    <row r="804">
      <c r="C804" s="79"/>
      <c r="D804" s="79"/>
      <c r="E804" s="79"/>
      <c r="O804" s="79"/>
      <c r="S804" s="79"/>
      <c r="T804" s="79"/>
      <c r="Y804" s="79"/>
      <c r="AD804" s="130"/>
      <c r="AF804" s="106"/>
    </row>
    <row r="805">
      <c r="C805" s="79"/>
      <c r="D805" s="79"/>
      <c r="E805" s="79"/>
      <c r="O805" s="79"/>
      <c r="S805" s="79"/>
      <c r="T805" s="79"/>
      <c r="Y805" s="79"/>
      <c r="AD805" s="130"/>
      <c r="AF805" s="106"/>
    </row>
    <row r="806">
      <c r="C806" s="79"/>
      <c r="D806" s="79"/>
      <c r="E806" s="79"/>
      <c r="O806" s="79"/>
      <c r="S806" s="79"/>
      <c r="T806" s="79"/>
      <c r="Y806" s="79"/>
      <c r="AD806" s="130"/>
      <c r="AF806" s="106"/>
    </row>
    <row r="807">
      <c r="C807" s="79"/>
      <c r="D807" s="79"/>
      <c r="E807" s="79"/>
      <c r="O807" s="79"/>
      <c r="S807" s="79"/>
      <c r="T807" s="79"/>
      <c r="Y807" s="79"/>
      <c r="AD807" s="130"/>
      <c r="AF807" s="106"/>
    </row>
    <row r="808">
      <c r="C808" s="79"/>
      <c r="D808" s="79"/>
      <c r="E808" s="79"/>
      <c r="O808" s="79"/>
      <c r="S808" s="79"/>
      <c r="T808" s="79"/>
      <c r="Y808" s="79"/>
      <c r="AD808" s="130"/>
      <c r="AF808" s="106"/>
    </row>
    <row r="809">
      <c r="C809" s="79"/>
      <c r="D809" s="79"/>
      <c r="E809" s="79"/>
      <c r="O809" s="79"/>
      <c r="S809" s="79"/>
      <c r="T809" s="79"/>
      <c r="Y809" s="79"/>
      <c r="AD809" s="130"/>
      <c r="AF809" s="106"/>
    </row>
    <row r="810">
      <c r="C810" s="79"/>
      <c r="D810" s="79"/>
      <c r="E810" s="79"/>
      <c r="O810" s="79"/>
      <c r="S810" s="79"/>
      <c r="T810" s="79"/>
      <c r="Y810" s="79"/>
      <c r="AD810" s="130"/>
      <c r="AF810" s="106"/>
    </row>
    <row r="811">
      <c r="C811" s="79"/>
      <c r="D811" s="79"/>
      <c r="E811" s="79"/>
      <c r="O811" s="79"/>
      <c r="S811" s="79"/>
      <c r="T811" s="79"/>
      <c r="Y811" s="79"/>
      <c r="AD811" s="130"/>
      <c r="AF811" s="106"/>
    </row>
    <row r="812">
      <c r="C812" s="79"/>
      <c r="D812" s="79"/>
      <c r="E812" s="79"/>
      <c r="O812" s="79"/>
      <c r="S812" s="79"/>
      <c r="T812" s="79"/>
      <c r="Y812" s="79"/>
      <c r="AD812" s="130"/>
      <c r="AF812" s="106"/>
    </row>
    <row r="813">
      <c r="C813" s="79"/>
      <c r="D813" s="79"/>
      <c r="E813" s="79"/>
      <c r="O813" s="79"/>
      <c r="S813" s="79"/>
      <c r="T813" s="79"/>
      <c r="Y813" s="79"/>
      <c r="AD813" s="130"/>
      <c r="AF813" s="106"/>
    </row>
    <row r="814">
      <c r="C814" s="79"/>
      <c r="D814" s="79"/>
      <c r="E814" s="79"/>
      <c r="O814" s="79"/>
      <c r="S814" s="79"/>
      <c r="T814" s="79"/>
      <c r="Y814" s="79"/>
      <c r="AD814" s="130"/>
      <c r="AF814" s="106"/>
    </row>
    <row r="815">
      <c r="C815" s="79"/>
      <c r="D815" s="79"/>
      <c r="E815" s="79"/>
      <c r="O815" s="79"/>
      <c r="S815" s="79"/>
      <c r="T815" s="79"/>
      <c r="Y815" s="79"/>
      <c r="AD815" s="130"/>
      <c r="AF815" s="106"/>
    </row>
    <row r="816">
      <c r="C816" s="79"/>
      <c r="D816" s="79"/>
      <c r="E816" s="79"/>
      <c r="O816" s="79"/>
      <c r="S816" s="79"/>
      <c r="T816" s="79"/>
      <c r="Y816" s="79"/>
      <c r="AD816" s="130"/>
      <c r="AF816" s="106"/>
    </row>
    <row r="817">
      <c r="C817" s="79"/>
      <c r="D817" s="79"/>
      <c r="E817" s="79"/>
      <c r="O817" s="79"/>
      <c r="S817" s="79"/>
      <c r="T817" s="79"/>
      <c r="Y817" s="79"/>
      <c r="AD817" s="130"/>
      <c r="AF817" s="106"/>
    </row>
    <row r="818">
      <c r="C818" s="79"/>
      <c r="D818" s="79"/>
      <c r="E818" s="79"/>
      <c r="O818" s="79"/>
      <c r="S818" s="79"/>
      <c r="T818" s="79"/>
      <c r="Y818" s="79"/>
      <c r="AD818" s="130"/>
      <c r="AF818" s="106"/>
    </row>
    <row r="819">
      <c r="C819" s="79"/>
      <c r="D819" s="79"/>
      <c r="E819" s="79"/>
      <c r="O819" s="79"/>
      <c r="S819" s="79"/>
      <c r="T819" s="79"/>
      <c r="Y819" s="79"/>
      <c r="AD819" s="130"/>
      <c r="AF819" s="106"/>
    </row>
    <row r="820">
      <c r="C820" s="79"/>
      <c r="D820" s="79"/>
      <c r="E820" s="79"/>
      <c r="O820" s="79"/>
      <c r="S820" s="79"/>
      <c r="T820" s="79"/>
      <c r="Y820" s="79"/>
      <c r="AD820" s="130"/>
      <c r="AF820" s="106"/>
    </row>
    <row r="821">
      <c r="C821" s="79"/>
      <c r="D821" s="79"/>
      <c r="E821" s="79"/>
      <c r="O821" s="79"/>
      <c r="S821" s="79"/>
      <c r="T821" s="79"/>
      <c r="Y821" s="79"/>
      <c r="AD821" s="130"/>
      <c r="AF821" s="106"/>
    </row>
    <row r="822">
      <c r="C822" s="79"/>
      <c r="D822" s="79"/>
      <c r="E822" s="79"/>
      <c r="O822" s="79"/>
      <c r="S822" s="79"/>
      <c r="T822" s="79"/>
      <c r="Y822" s="79"/>
      <c r="AD822" s="130"/>
      <c r="AF822" s="106"/>
    </row>
    <row r="823">
      <c r="C823" s="79"/>
      <c r="D823" s="79"/>
      <c r="E823" s="79"/>
      <c r="O823" s="79"/>
      <c r="S823" s="79"/>
      <c r="T823" s="79"/>
      <c r="Y823" s="79"/>
      <c r="AD823" s="130"/>
      <c r="AF823" s="106"/>
    </row>
    <row r="824">
      <c r="C824" s="79"/>
      <c r="D824" s="79"/>
      <c r="E824" s="79"/>
      <c r="O824" s="79"/>
      <c r="S824" s="79"/>
      <c r="T824" s="79"/>
      <c r="Y824" s="79"/>
      <c r="AD824" s="130"/>
      <c r="AF824" s="106"/>
    </row>
    <row r="825">
      <c r="C825" s="79"/>
      <c r="D825" s="79"/>
      <c r="E825" s="79"/>
      <c r="O825" s="79"/>
      <c r="S825" s="79"/>
      <c r="T825" s="79"/>
      <c r="Y825" s="79"/>
      <c r="AD825" s="130"/>
      <c r="AF825" s="106"/>
    </row>
    <row r="826">
      <c r="C826" s="79"/>
      <c r="D826" s="79"/>
      <c r="E826" s="79"/>
      <c r="O826" s="79"/>
      <c r="S826" s="79"/>
      <c r="T826" s="79"/>
      <c r="Y826" s="79"/>
      <c r="AD826" s="130"/>
      <c r="AF826" s="106"/>
    </row>
    <row r="827">
      <c r="C827" s="79"/>
      <c r="D827" s="79"/>
      <c r="E827" s="79"/>
      <c r="O827" s="79"/>
      <c r="S827" s="79"/>
      <c r="T827" s="79"/>
      <c r="Y827" s="79"/>
      <c r="AD827" s="130"/>
      <c r="AF827" s="106"/>
    </row>
    <row r="828">
      <c r="C828" s="79"/>
      <c r="D828" s="79"/>
      <c r="E828" s="79"/>
      <c r="O828" s="79"/>
      <c r="S828" s="79"/>
      <c r="T828" s="79"/>
      <c r="Y828" s="79"/>
      <c r="AD828" s="130"/>
      <c r="AF828" s="106"/>
    </row>
    <row r="829">
      <c r="C829" s="79"/>
      <c r="D829" s="79"/>
      <c r="E829" s="79"/>
      <c r="O829" s="79"/>
      <c r="S829" s="79"/>
      <c r="T829" s="79"/>
      <c r="Y829" s="79"/>
      <c r="AD829" s="130"/>
      <c r="AF829" s="106"/>
    </row>
    <row r="830">
      <c r="C830" s="79"/>
      <c r="D830" s="79"/>
      <c r="E830" s="79"/>
      <c r="O830" s="79"/>
      <c r="S830" s="79"/>
      <c r="T830" s="79"/>
      <c r="Y830" s="79"/>
      <c r="AD830" s="130"/>
      <c r="AF830" s="106"/>
    </row>
    <row r="831">
      <c r="C831" s="79"/>
      <c r="D831" s="79"/>
      <c r="E831" s="79"/>
      <c r="O831" s="79"/>
      <c r="S831" s="79"/>
      <c r="T831" s="79"/>
      <c r="Y831" s="79"/>
      <c r="AD831" s="130"/>
      <c r="AF831" s="106"/>
    </row>
    <row r="832">
      <c r="C832" s="79"/>
      <c r="D832" s="79"/>
      <c r="E832" s="79"/>
      <c r="O832" s="79"/>
      <c r="S832" s="79"/>
      <c r="T832" s="79"/>
      <c r="Y832" s="79"/>
      <c r="AD832" s="130"/>
      <c r="AF832" s="106"/>
    </row>
    <row r="833">
      <c r="C833" s="79"/>
      <c r="D833" s="79"/>
      <c r="E833" s="79"/>
      <c r="O833" s="79"/>
      <c r="S833" s="79"/>
      <c r="T833" s="79"/>
      <c r="Y833" s="79"/>
      <c r="AD833" s="130"/>
      <c r="AF833" s="106"/>
    </row>
    <row r="834">
      <c r="C834" s="79"/>
      <c r="D834" s="79"/>
      <c r="E834" s="79"/>
      <c r="O834" s="79"/>
      <c r="S834" s="79"/>
      <c r="T834" s="79"/>
      <c r="Y834" s="79"/>
      <c r="AD834" s="130"/>
      <c r="AF834" s="106"/>
    </row>
    <row r="835">
      <c r="C835" s="79"/>
      <c r="D835" s="79"/>
      <c r="E835" s="79"/>
      <c r="O835" s="79"/>
      <c r="S835" s="79"/>
      <c r="T835" s="79"/>
      <c r="Y835" s="79"/>
      <c r="AD835" s="130"/>
      <c r="AF835" s="106"/>
    </row>
    <row r="836">
      <c r="C836" s="79"/>
      <c r="D836" s="79"/>
      <c r="E836" s="79"/>
      <c r="O836" s="79"/>
      <c r="S836" s="79"/>
      <c r="T836" s="79"/>
      <c r="Y836" s="79"/>
      <c r="AD836" s="130"/>
      <c r="AF836" s="106"/>
    </row>
    <row r="837">
      <c r="C837" s="79"/>
      <c r="D837" s="79"/>
      <c r="E837" s="79"/>
      <c r="O837" s="79"/>
      <c r="S837" s="79"/>
      <c r="T837" s="79"/>
      <c r="Y837" s="79"/>
      <c r="AD837" s="130"/>
      <c r="AF837" s="106"/>
    </row>
    <row r="838">
      <c r="C838" s="79"/>
      <c r="D838" s="79"/>
      <c r="E838" s="79"/>
      <c r="O838" s="79"/>
      <c r="S838" s="79"/>
      <c r="T838" s="79"/>
      <c r="Y838" s="79"/>
      <c r="AD838" s="130"/>
      <c r="AF838" s="106"/>
    </row>
    <row r="839">
      <c r="C839" s="79"/>
      <c r="D839" s="79"/>
      <c r="E839" s="79"/>
      <c r="O839" s="79"/>
      <c r="S839" s="79"/>
      <c r="T839" s="79"/>
      <c r="Y839" s="79"/>
      <c r="AD839" s="130"/>
      <c r="AF839" s="106"/>
    </row>
    <row r="840">
      <c r="C840" s="79"/>
      <c r="D840" s="79"/>
      <c r="E840" s="79"/>
      <c r="O840" s="79"/>
      <c r="S840" s="79"/>
      <c r="T840" s="79"/>
      <c r="Y840" s="79"/>
      <c r="AD840" s="130"/>
      <c r="AF840" s="106"/>
    </row>
    <row r="841">
      <c r="C841" s="79"/>
      <c r="D841" s="79"/>
      <c r="E841" s="79"/>
      <c r="O841" s="79"/>
      <c r="S841" s="79"/>
      <c r="T841" s="79"/>
      <c r="Y841" s="79"/>
      <c r="AD841" s="130"/>
      <c r="AF841" s="106"/>
    </row>
    <row r="842">
      <c r="C842" s="79"/>
      <c r="D842" s="79"/>
      <c r="E842" s="79"/>
      <c r="O842" s="79"/>
      <c r="S842" s="79"/>
      <c r="T842" s="79"/>
      <c r="Y842" s="79"/>
      <c r="AD842" s="130"/>
      <c r="AF842" s="106"/>
    </row>
    <row r="843">
      <c r="C843" s="79"/>
      <c r="D843" s="79"/>
      <c r="E843" s="79"/>
      <c r="O843" s="79"/>
      <c r="S843" s="79"/>
      <c r="T843" s="79"/>
      <c r="Y843" s="79"/>
      <c r="AD843" s="130"/>
      <c r="AF843" s="106"/>
    </row>
    <row r="844">
      <c r="O844" s="79"/>
      <c r="S844" s="79"/>
      <c r="T844" s="79"/>
      <c r="Y844" s="79"/>
      <c r="AD844" s="130"/>
      <c r="AF844" s="106"/>
    </row>
    <row r="845">
      <c r="O845" s="79"/>
      <c r="S845" s="79"/>
      <c r="T845" s="79"/>
      <c r="Y845" s="79"/>
      <c r="AD845" s="130"/>
      <c r="AF845" s="106"/>
    </row>
    <row r="846">
      <c r="O846" s="79"/>
      <c r="S846" s="79"/>
      <c r="T846" s="79"/>
      <c r="Y846" s="79"/>
      <c r="AD846" s="130"/>
      <c r="AF846" s="106"/>
    </row>
    <row r="847">
      <c r="O847" s="79"/>
      <c r="S847" s="79"/>
      <c r="T847" s="79"/>
      <c r="Y847" s="79"/>
      <c r="AD847" s="130"/>
      <c r="AF847" s="106"/>
    </row>
    <row r="848">
      <c r="O848" s="79"/>
      <c r="S848" s="79"/>
      <c r="T848" s="79"/>
      <c r="Y848" s="79"/>
      <c r="AD848" s="130"/>
      <c r="AF848" s="106"/>
    </row>
    <row r="849">
      <c r="O849" s="79"/>
      <c r="S849" s="79"/>
      <c r="T849" s="79"/>
      <c r="Y849" s="79"/>
      <c r="AD849" s="130"/>
      <c r="AF849" s="106"/>
    </row>
    <row r="850">
      <c r="O850" s="79"/>
      <c r="S850" s="79"/>
      <c r="T850" s="79"/>
      <c r="Y850" s="79"/>
      <c r="AD850" s="130"/>
      <c r="AF850" s="106"/>
    </row>
    <row r="851">
      <c r="O851" s="79"/>
      <c r="S851" s="79"/>
      <c r="T851" s="79"/>
      <c r="Y851" s="79"/>
      <c r="AD851" s="130"/>
      <c r="AF851" s="106"/>
    </row>
    <row r="852">
      <c r="O852" s="79"/>
      <c r="S852" s="79"/>
      <c r="T852" s="79"/>
      <c r="Y852" s="79"/>
      <c r="AD852" s="130"/>
      <c r="AF852" s="106"/>
    </row>
    <row r="853">
      <c r="O853" s="79"/>
      <c r="S853" s="79"/>
      <c r="T853" s="79"/>
      <c r="Y853" s="79"/>
      <c r="AD853" s="130"/>
      <c r="AF853" s="106"/>
    </row>
    <row r="854">
      <c r="O854" s="79"/>
      <c r="S854" s="79"/>
      <c r="T854" s="79"/>
      <c r="Y854" s="79"/>
      <c r="AD854" s="130"/>
      <c r="AF854" s="106"/>
    </row>
  </sheetData>
  <autoFilter ref="$A$37:$F$69">
    <sortState ref="A37:F69">
      <sortCondition descending="1" sortBy="cellColor" ref="E37:E69" dxfId="1"/>
      <sortCondition descending="1" sortBy="cellColor" ref="C37:C69" dxfId="1"/>
      <sortCondition descending="1" sortBy="cellColor" ref="A37:A69" dxfId="1"/>
    </sortState>
  </autoFilter>
  <mergeCells count="1">
    <mergeCell ref="B34:E34"/>
  </mergeCells>
  <conditionalFormatting sqref="H38:H50">
    <cfRule type="cellIs" dxfId="2" priority="1" operator="greaterThanOrEqual">
      <formula>1</formula>
    </cfRule>
  </conditionalFormatting>
  <conditionalFormatting sqref="H38:H50">
    <cfRule type="cellIs" dxfId="3" priority="2" operator="lessThanOrEqual">
      <formula>0</formula>
    </cfRule>
  </conditionalFormatting>
  <drawing r:id="rId2"/>
  <legacyDrawing r:id="rId3"/>
  <tableParts count="1">
    <tablePart r:id="rId5"/>
  </tableParts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3" max="3" width="17.38"/>
    <col customWidth="1" min="4" max="4" width="25.75"/>
    <col customWidth="1" min="5" max="5" width="20.88"/>
    <col customWidth="1" min="6" max="6" width="15.5"/>
    <col customWidth="1" min="7" max="7" width="25.13"/>
    <col customWidth="1" min="8" max="8" width="24.0"/>
    <col customWidth="1" min="9" max="10" width="15.5"/>
    <col customWidth="1" min="11" max="11" width="16.5"/>
    <col customWidth="1" min="12" max="13" width="15.5"/>
    <col customWidth="1" min="15" max="15" width="27.38"/>
    <col customWidth="1" min="17" max="17" width="11.13"/>
    <col customWidth="1" min="26" max="26" width="14.63"/>
    <col customWidth="1" min="32" max="32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4</v>
      </c>
      <c r="J1" s="2" t="s">
        <v>5</v>
      </c>
      <c r="K1" s="2" t="s">
        <v>303</v>
      </c>
      <c r="L1" s="2" t="s">
        <v>6</v>
      </c>
      <c r="M1" s="2" t="s">
        <v>12</v>
      </c>
      <c r="N1" s="2" t="s">
        <v>49</v>
      </c>
      <c r="O1" s="105" t="s">
        <v>304</v>
      </c>
      <c r="P1" s="2" t="s">
        <v>37</v>
      </c>
      <c r="Q1" s="2" t="s">
        <v>10</v>
      </c>
      <c r="R1" s="2" t="s">
        <v>42</v>
      </c>
      <c r="S1" s="105" t="s">
        <v>656</v>
      </c>
      <c r="T1" s="105" t="s">
        <v>9</v>
      </c>
      <c r="U1" s="2" t="s">
        <v>164</v>
      </c>
      <c r="V1" s="105" t="s">
        <v>40</v>
      </c>
      <c r="W1" s="2" t="s">
        <v>83</v>
      </c>
      <c r="X1" s="2" t="s">
        <v>204</v>
      </c>
      <c r="Y1" s="105" t="s">
        <v>205</v>
      </c>
      <c r="Z1" s="2" t="s">
        <v>206</v>
      </c>
      <c r="AA1" s="2" t="s">
        <v>305</v>
      </c>
      <c r="AB1" s="3" t="s">
        <v>760</v>
      </c>
      <c r="AC1" s="3" t="s">
        <v>13</v>
      </c>
      <c r="AD1" s="3" t="s">
        <v>14</v>
      </c>
      <c r="AE1" s="3" t="s">
        <v>15</v>
      </c>
      <c r="AF1" s="106"/>
      <c r="AG1" s="265" t="s">
        <v>306</v>
      </c>
      <c r="AH1" s="266" t="s">
        <v>80</v>
      </c>
    </row>
    <row r="2">
      <c r="A2" s="74">
        <v>45607.0</v>
      </c>
      <c r="B2" s="93">
        <f>1062.38-164.52-24.91-11.48-370.11-18-58.08+633.13-271.2-129.68-27.06-21.02</f>
        <v>599.45</v>
      </c>
      <c r="C2" s="93"/>
      <c r="D2" s="180">
        <f>1391.12-463.71</f>
        <v>927.41</v>
      </c>
      <c r="E2" s="93"/>
      <c r="F2" s="93"/>
      <c r="G2" s="93">
        <v>180.0</v>
      </c>
      <c r="H2" s="93"/>
      <c r="I2" s="93">
        <f>916.62-741.93</f>
        <v>174.69</v>
      </c>
      <c r="J2" s="374"/>
      <c r="K2" s="93"/>
      <c r="L2" s="93"/>
      <c r="M2" s="5"/>
      <c r="N2" s="93"/>
      <c r="O2" s="93"/>
      <c r="P2" s="72"/>
      <c r="Q2" s="93"/>
      <c r="R2" s="93"/>
      <c r="S2" s="93"/>
      <c r="T2" s="93"/>
      <c r="U2" s="93"/>
      <c r="V2" s="93"/>
      <c r="W2" s="93"/>
      <c r="X2" s="93"/>
      <c r="Y2" s="93"/>
      <c r="Z2" s="93"/>
      <c r="AA2" s="386"/>
      <c r="AB2" s="171"/>
      <c r="AC2" s="107">
        <f>SUM(B2:AA2)</f>
        <v>1881.55</v>
      </c>
      <c r="AD2" s="158">
        <v>0.0</v>
      </c>
      <c r="AE2" s="59" t="str">
        <f t="shared" ref="AE2:AE8" si="1">AC2/AD2</f>
        <v>#DIV/0!</v>
      </c>
      <c r="AF2" s="109">
        <f t="shared" ref="AF2:AF8" si="2">A2</f>
        <v>45607</v>
      </c>
      <c r="AG2" s="267"/>
      <c r="AH2" s="268">
        <f t="shared" ref="AH2:AH8" si="3">AD2-AG2</f>
        <v>0</v>
      </c>
    </row>
    <row r="3">
      <c r="A3" s="74">
        <f t="shared" ref="A3:A8" si="4">A2+1</f>
        <v>45608</v>
      </c>
      <c r="B3" s="93">
        <f>1563.87-55.78-111.42-28.75-103.66-37.18-52.2-140.44-41.65-130.5-136.04-35.91</f>
        <v>690.34</v>
      </c>
      <c r="C3" s="93"/>
      <c r="D3" s="93"/>
      <c r="E3" s="93"/>
      <c r="F3" s="93"/>
      <c r="G3" s="93"/>
      <c r="H3" s="168"/>
      <c r="I3" s="93">
        <v>163.56</v>
      </c>
      <c r="J3" s="93">
        <f>396-198</f>
        <v>198</v>
      </c>
      <c r="K3" s="93"/>
      <c r="L3" s="93"/>
      <c r="M3" s="93"/>
      <c r="N3" s="93">
        <f>234-72-78</f>
        <v>84</v>
      </c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326"/>
      <c r="AB3" s="171"/>
      <c r="AC3" s="107">
        <f t="shared" ref="AC3:AC8" si="5">SUM(B3:Z3)</f>
        <v>1135.9</v>
      </c>
      <c r="AD3" s="158">
        <v>5736.0</v>
      </c>
      <c r="AE3" s="59">
        <f t="shared" si="1"/>
        <v>0.1980299861</v>
      </c>
      <c r="AF3" s="109">
        <f t="shared" si="2"/>
        <v>45608</v>
      </c>
      <c r="AG3" s="267"/>
      <c r="AH3" s="268">
        <f t="shared" si="3"/>
        <v>5736</v>
      </c>
    </row>
    <row r="4">
      <c r="A4" s="74">
        <f t="shared" si="4"/>
        <v>45609</v>
      </c>
      <c r="B4" s="93">
        <f>1910.43-34.36-45.65-10.8-47.2-66.68-24.14-28.79-55.78-26.4-37.18-53.4-42.44-35-29.53-27.46-22.14-38.95-23.39-28.1-284.09-89.77-58.16-70.16-27.84+270.91</f>
        <v>973.93</v>
      </c>
      <c r="C4" s="93">
        <f>93.95-68.7+284.95-81-34.7+21</f>
        <v>215.5</v>
      </c>
      <c r="D4" s="93">
        <f>673.81-236.91-121.2+14.5-131.8</f>
        <v>198.4</v>
      </c>
      <c r="E4" s="93"/>
      <c r="F4" s="93"/>
      <c r="G4" s="93">
        <v>180.0</v>
      </c>
      <c r="H4" s="168"/>
      <c r="I4" s="93"/>
      <c r="J4" s="93"/>
      <c r="K4" s="93"/>
      <c r="L4" s="93"/>
      <c r="M4" s="93"/>
      <c r="N4" s="93"/>
      <c r="O4" s="93"/>
      <c r="P4" s="160"/>
      <c r="Q4" s="93">
        <v>181.85</v>
      </c>
      <c r="R4" s="93"/>
      <c r="S4" s="93"/>
      <c r="T4" s="93"/>
      <c r="U4" s="93">
        <v>252.0</v>
      </c>
      <c r="V4" s="93"/>
      <c r="W4" s="93"/>
      <c r="X4" s="93"/>
      <c r="Y4" s="93"/>
      <c r="Z4" s="101"/>
      <c r="AA4" s="326"/>
      <c r="AB4" s="171"/>
      <c r="AC4" s="107">
        <f t="shared" si="5"/>
        <v>2001.68</v>
      </c>
      <c r="AD4" s="158">
        <v>8238.0</v>
      </c>
      <c r="AE4" s="59">
        <f t="shared" si="1"/>
        <v>0.2429813061</v>
      </c>
      <c r="AF4" s="109">
        <f t="shared" si="2"/>
        <v>45609</v>
      </c>
      <c r="AG4" s="267"/>
      <c r="AH4" s="268">
        <f t="shared" si="3"/>
        <v>8238</v>
      </c>
    </row>
    <row r="5">
      <c r="A5" s="74">
        <f t="shared" si="4"/>
        <v>45610</v>
      </c>
      <c r="B5" s="93">
        <f>1183.69-18.62-26-67.81-185.06-26.4-74.28</f>
        <v>785.52</v>
      </c>
      <c r="C5" s="93">
        <v>277.2</v>
      </c>
      <c r="D5" s="93">
        <f>241.8-29-76</f>
        <v>136.8</v>
      </c>
      <c r="E5" s="93"/>
      <c r="F5" s="173">
        <v>423.86</v>
      </c>
      <c r="G5" s="93"/>
      <c r="H5" s="160"/>
      <c r="I5" s="93"/>
      <c r="J5" s="93"/>
      <c r="K5" s="93"/>
      <c r="L5" s="93"/>
      <c r="M5" s="93"/>
      <c r="N5" s="93"/>
      <c r="O5" s="93"/>
      <c r="P5" s="93"/>
      <c r="Q5" s="93"/>
      <c r="R5" s="93"/>
      <c r="S5" s="101"/>
      <c r="T5" s="93"/>
      <c r="U5" s="93">
        <v>133.0</v>
      </c>
      <c r="V5" s="93"/>
      <c r="W5" s="93"/>
      <c r="X5" s="93"/>
      <c r="Y5" s="101"/>
      <c r="Z5" s="101"/>
      <c r="AA5" s="327"/>
      <c r="AB5" s="270"/>
      <c r="AC5" s="7">
        <f t="shared" si="5"/>
        <v>1756.38</v>
      </c>
      <c r="AD5" s="380">
        <v>8750.0</v>
      </c>
      <c r="AE5" s="59">
        <f t="shared" si="1"/>
        <v>0.2007291429</v>
      </c>
      <c r="AF5" s="109">
        <f t="shared" si="2"/>
        <v>45610</v>
      </c>
      <c r="AG5" s="267"/>
      <c r="AH5" s="268">
        <f t="shared" si="3"/>
        <v>8750</v>
      </c>
    </row>
    <row r="6">
      <c r="A6" s="74">
        <f t="shared" si="4"/>
        <v>45611</v>
      </c>
      <c r="B6" s="93">
        <f>848.34-26.71-46.74-61.84</f>
        <v>713.05</v>
      </c>
      <c r="C6" s="361">
        <v>263.2</v>
      </c>
      <c r="D6" s="93"/>
      <c r="E6" s="93">
        <v>22.5</v>
      </c>
      <c r="F6" s="93"/>
      <c r="G6" s="93"/>
      <c r="H6" s="160"/>
      <c r="I6" s="93">
        <v>180.59</v>
      </c>
      <c r="J6" s="93">
        <f>726.15-70</f>
        <v>656.15</v>
      </c>
      <c r="K6" s="93"/>
      <c r="L6" s="93"/>
      <c r="M6" s="93"/>
      <c r="N6" s="93">
        <f>249-81</f>
        <v>168</v>
      </c>
      <c r="O6" s="93"/>
      <c r="P6" s="93"/>
      <c r="Q6" s="93"/>
      <c r="R6" s="93"/>
      <c r="S6" s="93"/>
      <c r="T6" s="374"/>
      <c r="U6" s="93"/>
      <c r="V6" s="93"/>
      <c r="W6" s="93"/>
      <c r="X6" s="93"/>
      <c r="Y6" s="93"/>
      <c r="Z6" s="93"/>
      <c r="AA6" s="327"/>
      <c r="AB6" s="270"/>
      <c r="AC6" s="7">
        <f t="shared" si="5"/>
        <v>2003.49</v>
      </c>
      <c r="AD6" s="380">
        <v>10128.0</v>
      </c>
      <c r="AE6" s="59">
        <f t="shared" si="1"/>
        <v>0.1978169431</v>
      </c>
      <c r="AF6" s="109">
        <f t="shared" si="2"/>
        <v>45611</v>
      </c>
      <c r="AG6" s="267"/>
      <c r="AH6" s="268">
        <f t="shared" si="3"/>
        <v>10128</v>
      </c>
    </row>
    <row r="7">
      <c r="A7" s="74">
        <f t="shared" si="4"/>
        <v>45612</v>
      </c>
      <c r="B7" s="93">
        <f>362.82-25.18-46.74-46.32+276.8</f>
        <v>521.38</v>
      </c>
      <c r="C7" s="361">
        <f>229.37-52.05</f>
        <v>177.32</v>
      </c>
      <c r="D7" s="180">
        <v>250.45</v>
      </c>
      <c r="E7" s="79"/>
      <c r="F7" s="93"/>
      <c r="G7" s="93"/>
      <c r="H7" s="93"/>
      <c r="I7" s="93"/>
      <c r="J7" s="93"/>
      <c r="K7" s="93"/>
      <c r="L7" s="93"/>
      <c r="M7" s="93"/>
      <c r="N7" s="93"/>
      <c r="O7" s="93"/>
      <c r="P7" s="402"/>
      <c r="Q7" s="93"/>
      <c r="R7" s="93"/>
      <c r="S7" s="101"/>
      <c r="T7" s="93"/>
      <c r="U7" s="93"/>
      <c r="V7" s="93"/>
      <c r="W7" s="93"/>
      <c r="X7" s="93"/>
      <c r="Y7" s="101"/>
      <c r="Z7" s="93"/>
      <c r="AA7" s="327"/>
      <c r="AB7" s="270"/>
      <c r="AC7" s="7">
        <f t="shared" si="5"/>
        <v>949.15</v>
      </c>
      <c r="AD7" s="380">
        <v>11154.0</v>
      </c>
      <c r="AE7" s="59">
        <f t="shared" si="1"/>
        <v>0.08509503317</v>
      </c>
      <c r="AF7" s="109">
        <f t="shared" si="2"/>
        <v>45612</v>
      </c>
      <c r="AG7" s="267"/>
      <c r="AH7" s="268">
        <f t="shared" si="3"/>
        <v>11154</v>
      </c>
    </row>
    <row r="8">
      <c r="A8" s="74">
        <f t="shared" si="4"/>
        <v>45613</v>
      </c>
      <c r="B8" s="93"/>
      <c r="C8" s="374"/>
      <c r="D8" s="344">
        <f>504.64-252.32</f>
        <v>252.32</v>
      </c>
      <c r="E8" s="374"/>
      <c r="F8" s="374"/>
      <c r="G8" s="112"/>
      <c r="H8" s="93"/>
      <c r="I8" s="374"/>
      <c r="J8" s="395">
        <f>1692.6-543.2-543.2</f>
        <v>606.2</v>
      </c>
      <c r="K8" s="180">
        <v>386.0</v>
      </c>
      <c r="L8" s="112"/>
      <c r="M8" s="112"/>
      <c r="N8" s="93"/>
      <c r="O8" s="93"/>
      <c r="P8" s="93"/>
      <c r="Q8" s="93"/>
      <c r="R8" s="374"/>
      <c r="S8" s="101"/>
      <c r="T8" s="374"/>
      <c r="U8" s="374"/>
      <c r="V8" s="112"/>
      <c r="W8" s="112"/>
      <c r="X8" s="112"/>
      <c r="Y8" s="112"/>
      <c r="Z8" s="112"/>
      <c r="AA8" s="93"/>
      <c r="AB8" s="7"/>
      <c r="AC8" s="7">
        <f t="shared" si="5"/>
        <v>1244.52</v>
      </c>
      <c r="AD8" s="380">
        <v>0.0</v>
      </c>
      <c r="AE8" s="59" t="str">
        <f t="shared" si="1"/>
        <v>#DIV/0!</v>
      </c>
      <c r="AF8" s="109">
        <f t="shared" si="2"/>
        <v>45613</v>
      </c>
      <c r="AG8" s="267"/>
      <c r="AH8" s="268">
        <f t="shared" si="3"/>
        <v>0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AD9" s="129"/>
      <c r="AF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AD10" s="129"/>
      <c r="AF10" s="106"/>
    </row>
    <row r="11">
      <c r="A11" s="165" t="s">
        <v>194</v>
      </c>
      <c r="B11" s="93">
        <f>129.68+28.79+55.78</f>
        <v>214.25</v>
      </c>
      <c r="C11" s="93"/>
      <c r="D11" s="93">
        <v>152.8</v>
      </c>
      <c r="E11" s="167"/>
      <c r="F11" s="168"/>
      <c r="G11" s="168"/>
      <c r="H11" s="166"/>
      <c r="I11" s="166"/>
      <c r="J11" s="93"/>
      <c r="K11" s="168"/>
      <c r="L11" s="93"/>
      <c r="M11" s="93"/>
      <c r="N11" s="93"/>
      <c r="O11" s="168"/>
      <c r="P11" s="168"/>
      <c r="Q11" s="168"/>
      <c r="R11" s="168"/>
      <c r="S11" s="168"/>
      <c r="T11" s="168"/>
      <c r="U11" s="168"/>
      <c r="V11" s="168"/>
      <c r="W11" s="1"/>
      <c r="X11" s="168"/>
      <c r="Y11" s="168"/>
      <c r="Z11" s="1"/>
      <c r="AA11" s="1"/>
      <c r="AB11" s="1"/>
      <c r="AC11" s="1"/>
      <c r="AD11" s="169"/>
      <c r="AE11" s="1"/>
      <c r="AF11" s="170"/>
    </row>
    <row r="12">
      <c r="A12" s="165" t="s">
        <v>195</v>
      </c>
      <c r="B12" s="203">
        <f>164.52+24.91+370.11+18+34.36+45.65+10.8+47.2+66.68+24.14+37.18+18.62+26+67.81+74.28</f>
        <v>1030.26</v>
      </c>
      <c r="C12" s="93"/>
      <c r="D12" s="93">
        <f>131.8+236.91+121.2</f>
        <v>489.91</v>
      </c>
      <c r="E12" s="93"/>
      <c r="F12" s="374"/>
      <c r="G12" s="93"/>
      <c r="H12" s="93"/>
      <c r="I12" s="93">
        <v>104.18</v>
      </c>
      <c r="J12" s="93">
        <v>198.0</v>
      </c>
      <c r="K12" s="79"/>
      <c r="L12" s="93"/>
      <c r="M12" s="93"/>
      <c r="N12" s="93">
        <f>72+78</f>
        <v>150</v>
      </c>
      <c r="O12" s="168"/>
      <c r="P12" s="168"/>
      <c r="Q12" s="166"/>
      <c r="R12" s="166"/>
      <c r="S12" s="93"/>
      <c r="T12" s="166"/>
      <c r="U12" s="168"/>
      <c r="V12" s="168"/>
      <c r="W12" s="1"/>
      <c r="X12" s="93"/>
      <c r="Y12" s="168"/>
      <c r="Z12" s="1"/>
      <c r="AA12" s="1"/>
      <c r="AB12" s="6">
        <f>J59</f>
        <v>3424.46</v>
      </c>
      <c r="AC12" s="1"/>
      <c r="AD12" s="171"/>
      <c r="AE12" s="1"/>
      <c r="AF12" s="170"/>
    </row>
    <row r="13">
      <c r="A13" s="172" t="s">
        <v>817</v>
      </c>
      <c r="B13" s="93">
        <f>11.48+58.08+185.06+27.06+21.02+41.65+130.5+136.04+35.91</f>
        <v>646.8</v>
      </c>
      <c r="C13" s="93"/>
      <c r="D13" s="180">
        <v>463.71</v>
      </c>
      <c r="E13" s="93"/>
      <c r="F13" s="374"/>
      <c r="G13" s="93"/>
      <c r="H13" s="93"/>
      <c r="I13" s="93">
        <v>741.93</v>
      </c>
      <c r="J13" s="93"/>
      <c r="K13" s="374"/>
      <c r="L13" s="93"/>
      <c r="M13" s="93"/>
      <c r="N13" s="93"/>
      <c r="O13" s="166"/>
      <c r="P13" s="168"/>
      <c r="Q13" s="93"/>
      <c r="R13" s="166"/>
      <c r="S13" s="168"/>
      <c r="T13" s="166"/>
      <c r="U13" s="93"/>
      <c r="V13" s="168"/>
      <c r="W13" s="1"/>
      <c r="X13" s="93"/>
      <c r="Y13" s="168"/>
      <c r="Z13" s="1"/>
      <c r="AA13" s="1"/>
      <c r="AB13" s="1"/>
      <c r="AC13" s="1"/>
      <c r="AD13" s="171"/>
      <c r="AE13" s="1"/>
      <c r="AF13" s="170"/>
    </row>
    <row r="14">
      <c r="A14" s="172" t="s">
        <v>671</v>
      </c>
      <c r="B14" s="203">
        <f>53.4+42.44+35+29.53+27.46+22.14+38.96+23.39+28.1+284.09+89.77+58.16+70.16+27.84+27.4+26.71+61.84+25.18+46.74+46.32</f>
        <v>1064.63</v>
      </c>
      <c r="C14" s="348">
        <f>81+34.7+68.7+52.05</f>
        <v>236.45</v>
      </c>
      <c r="D14" s="93">
        <f>76+29+24.36</f>
        <v>129.36</v>
      </c>
      <c r="E14" s="168"/>
      <c r="F14" s="166"/>
      <c r="G14" s="166"/>
      <c r="H14" s="168"/>
      <c r="I14" s="166">
        <v>167.83</v>
      </c>
      <c r="J14" s="93">
        <v>70.0</v>
      </c>
      <c r="K14" s="168"/>
      <c r="L14" s="168"/>
      <c r="M14" s="168"/>
      <c r="N14" s="93">
        <v>81.0</v>
      </c>
      <c r="O14" s="168"/>
      <c r="P14" s="168"/>
      <c r="Q14" s="166">
        <f>159+241.8+344+214</f>
        <v>958.8</v>
      </c>
      <c r="R14" s="166"/>
      <c r="S14" s="168"/>
      <c r="T14" s="168"/>
      <c r="U14" s="1"/>
      <c r="V14" s="1"/>
      <c r="W14" s="1"/>
      <c r="X14" s="168"/>
      <c r="Y14" s="168"/>
      <c r="Z14" s="1"/>
      <c r="AA14" s="1"/>
      <c r="AB14" s="1"/>
      <c r="AC14" s="1"/>
      <c r="AD14" s="174"/>
      <c r="AE14" s="1"/>
      <c r="AF14" s="170"/>
    </row>
    <row r="15">
      <c r="A15" s="165" t="s">
        <v>198</v>
      </c>
      <c r="B15" s="93">
        <f>271.2+26.4+26.4+46.74</f>
        <v>370.74</v>
      </c>
      <c r="C15" s="348"/>
      <c r="D15" s="93"/>
      <c r="E15" s="168"/>
      <c r="F15" s="166"/>
      <c r="G15" s="166"/>
      <c r="H15" s="168"/>
      <c r="I15" s="168"/>
      <c r="J15" s="93"/>
      <c r="K15" s="168"/>
      <c r="L15" s="168"/>
      <c r="M15" s="168"/>
      <c r="N15" s="93"/>
      <c r="O15" s="168"/>
      <c r="P15" s="168"/>
      <c r="Q15" s="166"/>
      <c r="R15" s="168"/>
      <c r="S15" s="168"/>
      <c r="T15" s="168"/>
      <c r="U15" s="1"/>
      <c r="V15" s="1"/>
      <c r="W15" s="1"/>
      <c r="X15" s="168"/>
      <c r="Y15" s="168"/>
      <c r="Z15" s="1"/>
      <c r="AA15" s="1"/>
      <c r="AB15" s="1"/>
      <c r="AC15" s="1"/>
      <c r="AD15" s="174"/>
      <c r="AE15" s="1"/>
      <c r="AF15" s="170"/>
    </row>
    <row r="16">
      <c r="A16" s="91"/>
      <c r="B16" s="375"/>
      <c r="C16" s="79"/>
      <c r="D16" s="79"/>
      <c r="E16" s="79"/>
      <c r="F16" s="78"/>
      <c r="G16" s="78"/>
      <c r="H16" s="79"/>
      <c r="I16" s="78"/>
      <c r="J16" s="79"/>
      <c r="K16" s="79"/>
      <c r="L16" s="79"/>
      <c r="M16" s="79"/>
      <c r="N16" s="79"/>
      <c r="O16" s="79"/>
      <c r="R16" s="79"/>
      <c r="S16" s="79"/>
      <c r="T16" s="198"/>
      <c r="U16" s="198"/>
      <c r="Y16" s="79"/>
      <c r="AD16" s="131"/>
      <c r="AF16" s="106"/>
    </row>
    <row r="17">
      <c r="A17" s="91"/>
      <c r="B17" s="375"/>
      <c r="C17" s="79"/>
      <c r="D17" s="78"/>
      <c r="E17" s="78"/>
      <c r="F17" s="205"/>
      <c r="G17" s="199"/>
      <c r="H17" s="192"/>
      <c r="I17" s="198"/>
      <c r="J17" s="201"/>
      <c r="K17" s="199"/>
      <c r="L17" s="199"/>
      <c r="M17" s="200"/>
      <c r="N17" s="202"/>
      <c r="O17" s="198"/>
      <c r="R17" s="198"/>
      <c r="S17" s="79"/>
      <c r="T17" s="198"/>
      <c r="U17" s="198"/>
      <c r="V17" s="198"/>
      <c r="W17" s="198"/>
      <c r="X17" s="199"/>
      <c r="Y17" s="79"/>
      <c r="AD17" s="131"/>
      <c r="AF17" s="106"/>
    </row>
    <row r="18">
      <c r="A18" s="4" t="s">
        <v>22</v>
      </c>
      <c r="B18" s="11">
        <v>7000.0</v>
      </c>
      <c r="C18" s="79"/>
      <c r="D18" s="78"/>
      <c r="E18" s="78"/>
      <c r="F18" s="587"/>
      <c r="G18" s="224"/>
      <c r="H18" s="192"/>
      <c r="I18" s="203"/>
      <c r="J18" s="203"/>
      <c r="K18" s="203"/>
      <c r="L18" s="203"/>
      <c r="M18" s="198"/>
      <c r="N18" s="200"/>
      <c r="O18" s="198"/>
      <c r="P18" s="204"/>
      <c r="R18" s="203"/>
      <c r="S18" s="427"/>
      <c r="T18" s="201"/>
      <c r="U18" s="198"/>
      <c r="V18" s="198"/>
      <c r="W18" s="198"/>
      <c r="X18" s="201"/>
      <c r="Y18" s="79"/>
      <c r="AD18" s="131"/>
      <c r="AF18" s="106"/>
    </row>
    <row r="19">
      <c r="A19" s="4" t="s">
        <v>23</v>
      </c>
      <c r="B19" s="12">
        <f>SUM(B2:AA8)</f>
        <v>10972.67</v>
      </c>
      <c r="C19" s="192"/>
      <c r="D19" s="78"/>
      <c r="E19" s="78"/>
      <c r="F19" s="204"/>
      <c r="G19" s="224"/>
      <c r="H19" s="38"/>
      <c r="I19" s="175"/>
      <c r="J19" s="203"/>
      <c r="K19" s="203"/>
      <c r="L19" s="203"/>
      <c r="M19" s="201"/>
      <c r="N19" s="201"/>
      <c r="O19" s="198"/>
      <c r="P19" s="204"/>
      <c r="R19" s="203"/>
      <c r="S19" s="79"/>
      <c r="T19" s="201"/>
      <c r="U19" s="201"/>
      <c r="V19" s="198"/>
      <c r="W19" s="198"/>
      <c r="X19" s="191"/>
      <c r="Y19" s="79"/>
      <c r="AD19" s="131"/>
      <c r="AF19" s="106"/>
    </row>
    <row r="20">
      <c r="A20" s="4" t="s">
        <v>24</v>
      </c>
      <c r="B20" s="12">
        <f> SUM(B18-B19)</f>
        <v>-3972.67</v>
      </c>
      <c r="C20" s="79"/>
      <c r="D20" s="78"/>
      <c r="E20" s="151"/>
      <c r="F20" s="198"/>
      <c r="G20" s="207"/>
      <c r="H20" s="224"/>
      <c r="I20" s="203"/>
      <c r="J20" s="203"/>
      <c r="K20" s="203"/>
      <c r="L20" s="203"/>
      <c r="M20" s="201"/>
      <c r="N20" s="200"/>
      <c r="O20" s="198"/>
      <c r="P20" s="204"/>
      <c r="R20" s="203"/>
      <c r="S20" s="79"/>
      <c r="T20" s="210"/>
      <c r="U20" s="210"/>
      <c r="V20" s="198"/>
      <c r="W20" s="198"/>
      <c r="X20" s="203"/>
      <c r="Y20" s="79"/>
      <c r="AD20" s="131"/>
      <c r="AF20" s="106"/>
    </row>
    <row r="21">
      <c r="C21" s="79"/>
      <c r="E21" s="588" t="s">
        <v>195</v>
      </c>
      <c r="F21" s="198"/>
      <c r="G21" s="207"/>
      <c r="H21" s="224"/>
      <c r="I21" s="345"/>
      <c r="J21" s="203"/>
      <c r="K21" s="203"/>
      <c r="L21" s="203"/>
      <c r="N21" s="198"/>
      <c r="O21" s="198"/>
      <c r="P21" s="204"/>
      <c r="R21" s="203"/>
      <c r="S21" s="79"/>
      <c r="T21" s="198"/>
      <c r="U21" s="428"/>
      <c r="V21" s="198"/>
      <c r="W21" s="201"/>
      <c r="X21" s="203"/>
      <c r="Y21" s="79"/>
      <c r="AD21" s="131"/>
      <c r="AF21" s="106"/>
    </row>
    <row r="22">
      <c r="A22" s="13" t="s">
        <v>25</v>
      </c>
      <c r="B22" s="14">
        <f>SUM(AD2:AD8)</f>
        <v>44006</v>
      </c>
      <c r="C22" s="79"/>
      <c r="D22" s="13" t="s">
        <v>724</v>
      </c>
      <c r="E22" s="445">
        <f>sum(B12:AB13)</f>
        <v>7249.25</v>
      </c>
      <c r="F22" s="589"/>
      <c r="G22" s="224"/>
      <c r="H22" s="224"/>
      <c r="I22" s="203"/>
      <c r="J22" s="203"/>
      <c r="K22" s="203"/>
      <c r="L22" s="203"/>
      <c r="M22" s="203"/>
      <c r="N22" s="198"/>
      <c r="O22" s="198"/>
      <c r="P22" s="204"/>
      <c r="R22" s="203"/>
      <c r="S22" s="79"/>
      <c r="T22" s="198"/>
      <c r="U22" s="198"/>
      <c r="V22" s="198"/>
      <c r="W22" s="198"/>
      <c r="X22" s="203"/>
      <c r="Y22" s="79"/>
      <c r="AD22" s="181"/>
      <c r="AF22" s="106"/>
    </row>
    <row r="23">
      <c r="A23" s="13" t="s">
        <v>26</v>
      </c>
      <c r="B23" s="15">
        <f>B19/B22</f>
        <v>0.2493448621</v>
      </c>
      <c r="C23" s="79"/>
      <c r="D23" s="13" t="s">
        <v>25</v>
      </c>
      <c r="E23" s="445">
        <f>5920+1842+2673+3584+4482</f>
        <v>18501</v>
      </c>
      <c r="F23" s="589"/>
      <c r="G23" s="224"/>
      <c r="H23" s="224"/>
      <c r="I23" s="203"/>
      <c r="J23" s="203"/>
      <c r="K23" s="203"/>
      <c r="L23" s="203"/>
      <c r="M23" s="203"/>
      <c r="N23" s="203"/>
      <c r="O23" s="198"/>
      <c r="P23" s="204"/>
      <c r="R23" s="203"/>
      <c r="S23" s="79"/>
      <c r="T23" s="198"/>
      <c r="U23" s="198"/>
      <c r="V23" s="198"/>
      <c r="W23" s="198"/>
      <c r="X23" s="203"/>
      <c r="Y23" s="79"/>
      <c r="AD23" s="130"/>
      <c r="AF23" s="106"/>
    </row>
    <row r="24">
      <c r="C24" s="79"/>
      <c r="D24" s="448" t="s">
        <v>26</v>
      </c>
      <c r="E24" s="449">
        <f>E22/E23</f>
        <v>0.3918301713</v>
      </c>
      <c r="F24" s="590"/>
      <c r="H24" s="224"/>
      <c r="I24" s="78"/>
      <c r="J24" s="203"/>
      <c r="K24" s="203"/>
      <c r="L24" s="203"/>
      <c r="M24" s="203"/>
      <c r="N24" s="201"/>
      <c r="O24" s="198"/>
      <c r="P24" s="204"/>
      <c r="R24" s="198"/>
      <c r="S24" s="79"/>
      <c r="T24" s="198"/>
      <c r="U24" s="198"/>
      <c r="V24" s="198"/>
      <c r="W24" s="198"/>
      <c r="X24" s="203"/>
      <c r="Y24" s="79"/>
      <c r="AD24" s="182"/>
      <c r="AF24" s="106"/>
    </row>
    <row r="25">
      <c r="C25" s="79"/>
      <c r="D25" s="79"/>
      <c r="E25" s="79"/>
      <c r="F25" s="198"/>
      <c r="G25" s="192"/>
      <c r="H25" s="213"/>
      <c r="I25" s="203"/>
      <c r="J25" s="212"/>
      <c r="K25" s="203"/>
      <c r="L25" s="203"/>
      <c r="M25" s="203"/>
      <c r="N25" s="201"/>
      <c r="O25" s="198"/>
      <c r="P25" s="204"/>
      <c r="R25" s="198"/>
      <c r="S25" s="79"/>
      <c r="T25" s="198"/>
      <c r="U25" s="198"/>
      <c r="V25" s="198"/>
      <c r="W25" s="198"/>
      <c r="X25" s="203"/>
      <c r="Y25" s="79"/>
      <c r="AD25" s="130"/>
      <c r="AF25" s="106"/>
    </row>
    <row r="26">
      <c r="A26" s="16" t="s">
        <v>27</v>
      </c>
      <c r="B26" s="17"/>
      <c r="C26" s="114"/>
      <c r="D26" s="114"/>
      <c r="E26" s="114"/>
      <c r="F26" s="198"/>
      <c r="G26" s="78"/>
      <c r="H26" s="224"/>
      <c r="I26" s="78"/>
      <c r="J26" s="79"/>
      <c r="K26" s="203"/>
      <c r="L26" s="217"/>
      <c r="M26" s="208"/>
      <c r="N26" s="198"/>
      <c r="O26" s="198"/>
      <c r="P26" s="204"/>
      <c r="R26" s="200"/>
      <c r="S26" s="79"/>
      <c r="T26" s="198"/>
      <c r="U26" s="198"/>
      <c r="V26" s="198"/>
      <c r="W26" s="198"/>
      <c r="X26" s="203"/>
      <c r="Y26" s="79"/>
      <c r="AD26" s="130"/>
      <c r="AF26" s="106"/>
    </row>
    <row r="27">
      <c r="A27" s="19" t="s">
        <v>28</v>
      </c>
      <c r="B27" s="20"/>
      <c r="C27" s="116"/>
      <c r="D27" s="116"/>
      <c r="E27" s="116"/>
      <c r="F27" s="198"/>
      <c r="G27" s="212"/>
      <c r="H27" s="213"/>
      <c r="I27" s="224"/>
      <c r="J27" s="78"/>
      <c r="K27" s="203"/>
      <c r="L27" s="203"/>
      <c r="M27" s="209"/>
      <c r="N27" s="201"/>
      <c r="O27" s="198"/>
      <c r="P27" s="204"/>
      <c r="R27" s="198"/>
      <c r="S27" s="79"/>
      <c r="T27" s="198"/>
      <c r="U27" s="198"/>
      <c r="V27" s="198"/>
      <c r="W27" s="198"/>
      <c r="X27" s="203"/>
      <c r="Y27" s="79"/>
      <c r="AD27" s="130"/>
      <c r="AF27" s="106"/>
    </row>
    <row r="28">
      <c r="A28" s="183" t="s">
        <v>29</v>
      </c>
      <c r="B28" s="184" t="s">
        <v>30</v>
      </c>
      <c r="C28" s="183"/>
      <c r="D28" s="183" t="s">
        <v>170</v>
      </c>
      <c r="E28" s="591" t="s">
        <v>171</v>
      </c>
      <c r="F28" s="198"/>
      <c r="G28" s="79"/>
      <c r="H28" s="242"/>
      <c r="I28" s="79"/>
      <c r="J28" s="79"/>
      <c r="K28" s="203"/>
      <c r="L28" s="201"/>
      <c r="M28" s="209"/>
      <c r="N28" s="198"/>
      <c r="O28" s="198"/>
      <c r="P28" s="204"/>
      <c r="R28" s="198"/>
      <c r="S28" s="79"/>
      <c r="T28" s="198"/>
      <c r="U28" s="198"/>
      <c r="V28" s="198"/>
      <c r="W28" s="198"/>
      <c r="X28" s="203"/>
      <c r="Y28" s="79"/>
      <c r="Z28" s="195"/>
      <c r="AD28" s="130"/>
      <c r="AF28" s="106"/>
    </row>
    <row r="29">
      <c r="A29" s="405" t="s">
        <v>818</v>
      </c>
      <c r="B29" s="406">
        <f>+1395.03-697.5+1526+1432</f>
        <v>3655.53</v>
      </c>
      <c r="C29" s="407"/>
      <c r="D29" s="407"/>
      <c r="E29" s="592"/>
      <c r="F29" s="198"/>
      <c r="O29" s="79"/>
      <c r="S29" s="79"/>
      <c r="T29" s="79"/>
      <c r="Y29" s="79"/>
      <c r="AD29" s="130"/>
      <c r="AF29" s="106"/>
    </row>
    <row r="30">
      <c r="A30" s="430" t="s">
        <v>819</v>
      </c>
      <c r="B30" s="431">
        <f>1767.68+1119.06</f>
        <v>2886.74</v>
      </c>
      <c r="C30" s="432"/>
      <c r="D30" s="432"/>
      <c r="E30" s="432"/>
      <c r="F30" s="204"/>
      <c r="O30" s="79"/>
      <c r="S30" s="79"/>
      <c r="T30" s="79"/>
      <c r="Y30" s="79"/>
      <c r="AD30" s="130"/>
      <c r="AF30" s="106"/>
    </row>
    <row r="31">
      <c r="C31" s="79"/>
      <c r="D31" s="79"/>
      <c r="E31" s="79"/>
      <c r="O31" s="79"/>
      <c r="S31" s="79"/>
      <c r="T31" s="79"/>
      <c r="Y31" s="79"/>
      <c r="AD31" s="130"/>
      <c r="AF31" s="106"/>
    </row>
    <row r="32">
      <c r="A32" s="274"/>
      <c r="B32" s="275" t="s">
        <v>315</v>
      </c>
      <c r="F32" s="274"/>
      <c r="G32" s="274"/>
      <c r="H32" s="274"/>
      <c r="I32" s="274"/>
      <c r="J32" s="274"/>
      <c r="K32" s="274"/>
      <c r="L32" s="274"/>
      <c r="M32" s="274"/>
      <c r="N32" s="274"/>
      <c r="O32" s="274"/>
      <c r="P32" s="274"/>
      <c r="Q32" s="274"/>
      <c r="R32" s="274"/>
      <c r="S32" s="274"/>
      <c r="T32" s="274"/>
      <c r="U32" s="274"/>
      <c r="V32" s="274"/>
      <c r="W32" s="274"/>
      <c r="X32" s="274"/>
      <c r="Y32" s="274"/>
      <c r="Z32" s="274"/>
      <c r="AA32" s="274"/>
      <c r="AB32" s="274"/>
      <c r="AC32" s="274"/>
      <c r="AD32" s="276"/>
      <c r="AE32" s="274"/>
      <c r="AF32" s="277"/>
      <c r="AG32" s="274"/>
      <c r="AH32" s="274"/>
      <c r="AI32" s="274"/>
    </row>
    <row r="33">
      <c r="A33" s="16" t="s">
        <v>316</v>
      </c>
      <c r="B33" s="17"/>
      <c r="C33" s="114"/>
      <c r="D33" s="114"/>
      <c r="E33" s="115"/>
      <c r="I33" s="455" t="s">
        <v>735</v>
      </c>
      <c r="J33" s="17"/>
      <c r="K33" s="114"/>
      <c r="L33" s="114"/>
      <c r="M33" s="115"/>
      <c r="P33" s="79"/>
      <c r="T33" s="79"/>
      <c r="U33" s="79"/>
      <c r="AD33" s="130"/>
      <c r="AF33" s="106"/>
    </row>
    <row r="34">
      <c r="A34" s="19" t="s">
        <v>317</v>
      </c>
      <c r="B34" s="20"/>
      <c r="C34" s="116"/>
      <c r="D34" s="116"/>
      <c r="E34" s="117"/>
      <c r="I34" s="457" t="s">
        <v>736</v>
      </c>
      <c r="J34" s="20"/>
      <c r="K34" s="116"/>
      <c r="L34" s="116"/>
      <c r="M34" s="117"/>
      <c r="P34" s="79"/>
      <c r="T34" s="79"/>
      <c r="U34" s="79"/>
      <c r="AD34" s="130"/>
      <c r="AF34" s="106"/>
    </row>
    <row r="35">
      <c r="A35" s="278" t="s">
        <v>318</v>
      </c>
      <c r="B35" s="279" t="s">
        <v>319</v>
      </c>
      <c r="C35" s="280" t="s">
        <v>285</v>
      </c>
      <c r="D35" s="280" t="s">
        <v>30</v>
      </c>
      <c r="E35" s="281" t="s">
        <v>320</v>
      </c>
      <c r="F35" s="281" t="s">
        <v>321</v>
      </c>
      <c r="H35" s="461" t="s">
        <v>743</v>
      </c>
      <c r="I35" s="458" t="s">
        <v>318</v>
      </c>
      <c r="J35" s="459" t="s">
        <v>319</v>
      </c>
      <c r="K35" s="458" t="s">
        <v>285</v>
      </c>
      <c r="L35" s="458" t="s">
        <v>737</v>
      </c>
      <c r="M35" s="458" t="s">
        <v>738</v>
      </c>
      <c r="N35" s="458" t="s">
        <v>739</v>
      </c>
      <c r="O35" s="562" t="s">
        <v>740</v>
      </c>
      <c r="P35" s="562" t="s">
        <v>741</v>
      </c>
      <c r="Q35" s="562" t="s">
        <v>320</v>
      </c>
      <c r="R35" s="458"/>
      <c r="S35" s="562" t="s">
        <v>740</v>
      </c>
      <c r="T35" s="562" t="s">
        <v>741</v>
      </c>
      <c r="U35" s="562" t="s">
        <v>320</v>
      </c>
      <c r="V35" s="458"/>
      <c r="W35" s="562" t="s">
        <v>740</v>
      </c>
      <c r="X35" s="562" t="s">
        <v>741</v>
      </c>
      <c r="Y35" s="563" t="s">
        <v>320</v>
      </c>
      <c r="AD35" s="130"/>
      <c r="AF35" s="106"/>
    </row>
    <row r="36">
      <c r="A36" s="418" t="s">
        <v>578</v>
      </c>
      <c r="B36" s="419">
        <v>45517.0</v>
      </c>
      <c r="C36" s="420" t="s">
        <v>325</v>
      </c>
      <c r="D36" s="421">
        <v>1391.12</v>
      </c>
      <c r="E36" s="422"/>
      <c r="F36" s="235"/>
      <c r="G36" s="32" t="s">
        <v>820</v>
      </c>
      <c r="H36" s="471">
        <f t="shared" ref="H36:H48" si="6">L36+O36+S36+W36</f>
        <v>0</v>
      </c>
      <c r="I36" s="484">
        <v>582447.0</v>
      </c>
      <c r="J36" s="485">
        <v>45553.0</v>
      </c>
      <c r="K36" s="486" t="s">
        <v>437</v>
      </c>
      <c r="L36" s="487">
        <v>1.0</v>
      </c>
      <c r="M36" s="488">
        <v>398.39</v>
      </c>
      <c r="N36" s="511">
        <f t="shared" ref="N36:N48" si="7">M36/L36</f>
        <v>398.39</v>
      </c>
      <c r="O36" s="512">
        <v>-1.0</v>
      </c>
      <c r="P36" s="488">
        <f t="shared" ref="P36:P48" si="8">O36*N36</f>
        <v>-398.39</v>
      </c>
      <c r="Q36" s="550">
        <v>45578.0</v>
      </c>
      <c r="R36" s="564"/>
      <c r="S36" s="515"/>
      <c r="T36" s="469"/>
      <c r="U36" s="472"/>
      <c r="V36" s="564"/>
      <c r="W36" s="515"/>
      <c r="X36" s="469"/>
      <c r="Y36" s="470"/>
      <c r="Z36" s="483"/>
      <c r="AA36" s="483"/>
      <c r="AB36" s="483"/>
      <c r="AC36" s="483"/>
      <c r="AD36" s="492"/>
      <c r="AE36" s="483"/>
      <c r="AF36" s="493"/>
      <c r="AG36" s="483"/>
      <c r="AH36" s="483"/>
      <c r="AI36" s="483"/>
    </row>
    <row r="37">
      <c r="A37" s="304" t="s">
        <v>597</v>
      </c>
      <c r="B37" s="305">
        <v>45525.0</v>
      </c>
      <c r="C37" s="234" t="s">
        <v>325</v>
      </c>
      <c r="D37" s="178">
        <v>1420.83</v>
      </c>
      <c r="E37" s="308"/>
      <c r="F37" s="235"/>
      <c r="G37" s="32" t="s">
        <v>821</v>
      </c>
      <c r="H37" s="471">
        <f t="shared" si="6"/>
        <v>0</v>
      </c>
      <c r="I37" s="516">
        <v>584270.0</v>
      </c>
      <c r="J37" s="517">
        <v>45560.0</v>
      </c>
      <c r="K37" s="518" t="s">
        <v>437</v>
      </c>
      <c r="L37" s="519">
        <v>6.0</v>
      </c>
      <c r="M37" s="520">
        <v>2418.34</v>
      </c>
      <c r="N37" s="521">
        <f t="shared" si="7"/>
        <v>403.0566667</v>
      </c>
      <c r="O37" s="522">
        <v>-5.0</v>
      </c>
      <c r="P37" s="520">
        <f t="shared" si="8"/>
        <v>-2015.283333</v>
      </c>
      <c r="Q37" s="566" t="s">
        <v>745</v>
      </c>
      <c r="R37" s="567"/>
      <c r="S37" s="525">
        <v>-1.0</v>
      </c>
      <c r="T37" s="526">
        <f t="shared" ref="T37:T41" si="9">S37*N37</f>
        <v>-403.0566667</v>
      </c>
      <c r="U37" s="527">
        <v>45585.0</v>
      </c>
      <c r="V37" s="567"/>
      <c r="W37" s="528"/>
      <c r="X37" s="529"/>
      <c r="Y37" s="530"/>
      <c r="AD37" s="130"/>
      <c r="AF37" s="106"/>
    </row>
    <row r="38">
      <c r="A38" s="304" t="s">
        <v>622</v>
      </c>
      <c r="B38" s="305">
        <v>45533.0</v>
      </c>
      <c r="C38" s="234" t="s">
        <v>325</v>
      </c>
      <c r="D38" s="178">
        <v>1404.36</v>
      </c>
      <c r="E38" s="308"/>
      <c r="F38" s="235"/>
      <c r="H38" s="471">
        <f t="shared" si="6"/>
        <v>0</v>
      </c>
      <c r="I38" s="516">
        <v>586497.0</v>
      </c>
      <c r="J38" s="517">
        <v>45567.0</v>
      </c>
      <c r="K38" s="518" t="s">
        <v>437</v>
      </c>
      <c r="L38" s="519">
        <v>8.0</v>
      </c>
      <c r="M38" s="520">
        <v>3199.26</v>
      </c>
      <c r="N38" s="521">
        <f t="shared" si="7"/>
        <v>399.9075</v>
      </c>
      <c r="O38" s="522">
        <v>-2.0</v>
      </c>
      <c r="P38" s="520">
        <f t="shared" si="8"/>
        <v>-799.815</v>
      </c>
      <c r="Q38" s="566" t="s">
        <v>745</v>
      </c>
      <c r="R38" s="567"/>
      <c r="S38" s="525">
        <v>-6.0</v>
      </c>
      <c r="T38" s="526">
        <f t="shared" si="9"/>
        <v>-2399.445</v>
      </c>
      <c r="U38" s="527">
        <v>45585.0</v>
      </c>
      <c r="V38" s="567"/>
      <c r="W38" s="528"/>
      <c r="X38" s="529"/>
      <c r="Y38" s="530"/>
      <c r="AD38" s="130"/>
      <c r="AF38" s="106"/>
    </row>
    <row r="39">
      <c r="A39" s="304" t="s">
        <v>644</v>
      </c>
      <c r="B39" s="305">
        <v>45540.0</v>
      </c>
      <c r="C39" s="234" t="s">
        <v>325</v>
      </c>
      <c r="D39" s="178">
        <v>1415.74</v>
      </c>
      <c r="E39" s="308"/>
      <c r="F39" s="235"/>
      <c r="H39" s="568">
        <f t="shared" si="6"/>
        <v>0</v>
      </c>
      <c r="I39" s="484">
        <v>586905.0</v>
      </c>
      <c r="J39" s="485">
        <v>45568.0</v>
      </c>
      <c r="K39" s="486" t="s">
        <v>437</v>
      </c>
      <c r="L39" s="487">
        <v>2.0</v>
      </c>
      <c r="M39" s="488">
        <v>806.11</v>
      </c>
      <c r="N39" s="511">
        <f t="shared" si="7"/>
        <v>403.055</v>
      </c>
      <c r="O39" s="512">
        <v>-1.0</v>
      </c>
      <c r="P39" s="488">
        <f t="shared" si="8"/>
        <v>-403.055</v>
      </c>
      <c r="Q39" s="569" t="s">
        <v>745</v>
      </c>
      <c r="R39" s="564"/>
      <c r="S39" s="570">
        <v>-1.0</v>
      </c>
      <c r="T39" s="571">
        <f t="shared" si="9"/>
        <v>-403.055</v>
      </c>
      <c r="U39" s="513">
        <v>45592.0</v>
      </c>
      <c r="V39" s="564"/>
      <c r="W39" s="572"/>
      <c r="X39" s="573"/>
      <c r="Y39" s="574"/>
      <c r="AD39" s="130"/>
      <c r="AF39" s="106"/>
    </row>
    <row r="40">
      <c r="A40" s="304" t="s">
        <v>660</v>
      </c>
      <c r="B40" s="305">
        <v>45547.0</v>
      </c>
      <c r="C40" s="234" t="s">
        <v>325</v>
      </c>
      <c r="D40" s="178">
        <v>1419.33</v>
      </c>
      <c r="E40" s="308"/>
      <c r="F40" s="235"/>
      <c r="H40" s="568">
        <f t="shared" si="6"/>
        <v>0</v>
      </c>
      <c r="I40" s="484">
        <v>588311.0</v>
      </c>
      <c r="J40" s="485">
        <v>45574.0</v>
      </c>
      <c r="K40" s="486" t="s">
        <v>437</v>
      </c>
      <c r="L40" s="487">
        <v>6.0</v>
      </c>
      <c r="M40" s="488">
        <v>2363.76</v>
      </c>
      <c r="N40" s="511">
        <f t="shared" si="7"/>
        <v>393.96</v>
      </c>
      <c r="O40" s="512">
        <v>-5.0</v>
      </c>
      <c r="P40" s="488">
        <f t="shared" si="8"/>
        <v>-1969.8</v>
      </c>
      <c r="Q40" s="550">
        <v>45592.0</v>
      </c>
      <c r="R40" s="575"/>
      <c r="S40" s="570">
        <v>-1.0</v>
      </c>
      <c r="T40" s="571">
        <f t="shared" si="9"/>
        <v>-393.96</v>
      </c>
      <c r="U40" s="513">
        <v>45599.0</v>
      </c>
      <c r="V40" s="575"/>
      <c r="W40" s="572"/>
      <c r="X40" s="573"/>
      <c r="Y40" s="574"/>
      <c r="AD40" s="130"/>
      <c r="AF40" s="106"/>
    </row>
    <row r="41">
      <c r="A41" s="304" t="s">
        <v>677</v>
      </c>
      <c r="B41" s="305">
        <v>45554.0</v>
      </c>
      <c r="C41" s="234" t="s">
        <v>325</v>
      </c>
      <c r="D41" s="178">
        <v>1439.4</v>
      </c>
      <c r="E41" s="308"/>
      <c r="F41" s="235"/>
      <c r="H41" s="471">
        <f t="shared" si="6"/>
        <v>0</v>
      </c>
      <c r="I41" s="576">
        <v>589695.0</v>
      </c>
      <c r="J41" s="485">
        <v>45581.0</v>
      </c>
      <c r="K41" s="486" t="s">
        <v>437</v>
      </c>
      <c r="L41" s="487">
        <v>6.0</v>
      </c>
      <c r="M41" s="488">
        <v>2362.36</v>
      </c>
      <c r="N41" s="511">
        <f t="shared" si="7"/>
        <v>393.7266667</v>
      </c>
      <c r="O41" s="512">
        <v>-5.0</v>
      </c>
      <c r="P41" s="488">
        <f t="shared" si="8"/>
        <v>-1968.633333</v>
      </c>
      <c r="Q41" s="550">
        <v>45599.0</v>
      </c>
      <c r="R41" s="575"/>
      <c r="S41" s="570">
        <v>-1.0</v>
      </c>
      <c r="T41" s="571">
        <f t="shared" si="9"/>
        <v>-393.7266667</v>
      </c>
      <c r="U41" s="513">
        <v>45606.0</v>
      </c>
      <c r="V41" s="575"/>
      <c r="W41" s="515"/>
      <c r="X41" s="469"/>
      <c r="Y41" s="472"/>
      <c r="AD41" s="130"/>
      <c r="AF41" s="106"/>
    </row>
    <row r="42">
      <c r="A42" s="304" t="s">
        <v>691</v>
      </c>
      <c r="B42" s="305">
        <v>45561.0</v>
      </c>
      <c r="C42" s="234" t="s">
        <v>325</v>
      </c>
      <c r="D42" s="178">
        <v>777.2</v>
      </c>
      <c r="E42" s="308"/>
      <c r="F42" s="235"/>
      <c r="H42" s="471">
        <f t="shared" si="6"/>
        <v>0</v>
      </c>
      <c r="I42" s="484">
        <v>591406.0</v>
      </c>
      <c r="J42" s="485">
        <v>45588.0</v>
      </c>
      <c r="K42" s="486" t="s">
        <v>437</v>
      </c>
      <c r="L42" s="487">
        <v>6.0</v>
      </c>
      <c r="M42" s="488">
        <v>2553.65</v>
      </c>
      <c r="N42" s="511">
        <f t="shared" si="7"/>
        <v>425.6083333</v>
      </c>
      <c r="O42" s="512">
        <v>-6.0</v>
      </c>
      <c r="P42" s="488">
        <f t="shared" si="8"/>
        <v>-2553.65</v>
      </c>
      <c r="Q42" s="550">
        <v>45606.0</v>
      </c>
      <c r="R42" s="582"/>
      <c r="S42" s="515"/>
      <c r="T42" s="472"/>
      <c r="U42" s="472"/>
      <c r="V42" s="582"/>
      <c r="W42" s="515"/>
      <c r="X42" s="469"/>
      <c r="Y42" s="472"/>
      <c r="AD42" s="130"/>
      <c r="AF42" s="106"/>
    </row>
    <row r="43">
      <c r="A43" s="304" t="s">
        <v>703</v>
      </c>
      <c r="B43" s="305">
        <v>45568.0</v>
      </c>
      <c r="C43" s="234" t="s">
        <v>325</v>
      </c>
      <c r="D43" s="178">
        <v>1421.43</v>
      </c>
      <c r="E43" s="308"/>
      <c r="F43" s="235"/>
      <c r="H43" s="471">
        <f t="shared" si="6"/>
        <v>0</v>
      </c>
      <c r="I43" s="463">
        <v>593114.0</v>
      </c>
      <c r="J43" s="464">
        <v>45595.0</v>
      </c>
      <c r="K43" s="465" t="s">
        <v>437</v>
      </c>
      <c r="L43" s="466">
        <v>6.0</v>
      </c>
      <c r="M43" s="467">
        <v>2575.54</v>
      </c>
      <c r="N43" s="536">
        <f t="shared" si="7"/>
        <v>429.2566667</v>
      </c>
      <c r="O43" s="512">
        <v>-2.0</v>
      </c>
      <c r="P43" s="488">
        <f t="shared" si="8"/>
        <v>-858.5133333</v>
      </c>
      <c r="Q43" s="550">
        <v>45606.0</v>
      </c>
      <c r="R43" s="582"/>
      <c r="S43" s="593">
        <v>-4.0</v>
      </c>
      <c r="T43" s="594">
        <f>S43*N43</f>
        <v>-1717.026667</v>
      </c>
      <c r="U43" s="595">
        <v>45616.0</v>
      </c>
      <c r="V43" s="582"/>
      <c r="W43" s="515"/>
      <c r="X43" s="469"/>
      <c r="Y43" s="472"/>
      <c r="AD43" s="130"/>
      <c r="AF43" s="106"/>
    </row>
    <row r="44">
      <c r="A44" s="304" t="s">
        <v>747</v>
      </c>
      <c r="B44" s="305">
        <v>45574.0</v>
      </c>
      <c r="C44" s="234" t="s">
        <v>325</v>
      </c>
      <c r="D44" s="178">
        <v>1449.58</v>
      </c>
      <c r="E44" s="308"/>
      <c r="F44" s="235"/>
      <c r="H44" s="471">
        <f t="shared" si="6"/>
        <v>2</v>
      </c>
      <c r="I44" s="463">
        <v>594673.0</v>
      </c>
      <c r="J44" s="464">
        <v>45602.0</v>
      </c>
      <c r="K44" s="465" t="s">
        <v>437</v>
      </c>
      <c r="L44" s="466">
        <v>6.0</v>
      </c>
      <c r="M44" s="467">
        <v>2561.15</v>
      </c>
      <c r="N44" s="467">
        <f t="shared" si="7"/>
        <v>426.8583333</v>
      </c>
      <c r="O44" s="596">
        <v>-4.0</v>
      </c>
      <c r="P44" s="597">
        <f t="shared" si="8"/>
        <v>-1707.433333</v>
      </c>
      <c r="Q44" s="598">
        <v>45616.0</v>
      </c>
      <c r="R44" s="583"/>
      <c r="S44" s="469"/>
      <c r="T44" s="469"/>
      <c r="U44" s="469"/>
      <c r="V44" s="583"/>
      <c r="W44" s="469"/>
      <c r="X44" s="469"/>
      <c r="Y44" s="472"/>
      <c r="AD44" s="130"/>
      <c r="AF44" s="106"/>
    </row>
    <row r="45">
      <c r="A45" s="304" t="s">
        <v>769</v>
      </c>
      <c r="B45" s="305">
        <v>45581.0</v>
      </c>
      <c r="C45" s="234" t="s">
        <v>325</v>
      </c>
      <c r="D45" s="178">
        <v>1436.0</v>
      </c>
      <c r="E45" s="308"/>
      <c r="F45" s="235"/>
      <c r="H45" s="471">
        <f t="shared" si="6"/>
        <v>3</v>
      </c>
      <c r="I45" s="463">
        <v>595849.0</v>
      </c>
      <c r="J45" s="464">
        <v>45604.0</v>
      </c>
      <c r="K45" s="465" t="s">
        <v>437</v>
      </c>
      <c r="L45" s="466">
        <v>3.0</v>
      </c>
      <c r="M45" s="467">
        <v>1262.58</v>
      </c>
      <c r="N45" s="467">
        <f t="shared" si="7"/>
        <v>420.86</v>
      </c>
      <c r="O45" s="473"/>
      <c r="P45" s="468">
        <f t="shared" si="8"/>
        <v>0</v>
      </c>
      <c r="Q45" s="550"/>
      <c r="R45" s="583"/>
      <c r="S45" s="469"/>
      <c r="T45" s="469"/>
      <c r="U45" s="469"/>
      <c r="V45" s="583"/>
      <c r="W45" s="469"/>
      <c r="X45" s="469"/>
      <c r="Y45" s="472"/>
      <c r="AD45" s="130"/>
      <c r="AF45" s="106"/>
    </row>
    <row r="46">
      <c r="A46" s="304" t="s">
        <v>786</v>
      </c>
      <c r="B46" s="305">
        <v>45588.0</v>
      </c>
      <c r="C46" s="234" t="s">
        <v>325</v>
      </c>
      <c r="D46" s="178">
        <v>823.39</v>
      </c>
      <c r="E46" s="308"/>
      <c r="F46" s="235"/>
      <c r="H46" s="471">
        <f t="shared" si="6"/>
        <v>6</v>
      </c>
      <c r="I46" s="463">
        <v>596421.0</v>
      </c>
      <c r="J46" s="464">
        <v>45609.0</v>
      </c>
      <c r="K46" s="465" t="s">
        <v>437</v>
      </c>
      <c r="L46" s="466">
        <v>6.0</v>
      </c>
      <c r="M46" s="467">
        <v>2543.15</v>
      </c>
      <c r="N46" s="467">
        <f t="shared" si="7"/>
        <v>423.8583333</v>
      </c>
      <c r="O46" s="473"/>
      <c r="P46" s="468">
        <f t="shared" si="8"/>
        <v>0</v>
      </c>
      <c r="Q46" s="550"/>
      <c r="R46" s="583"/>
      <c r="S46" s="469"/>
      <c r="T46" s="469"/>
      <c r="U46" s="469"/>
      <c r="V46" s="583"/>
      <c r="W46" s="469"/>
      <c r="X46" s="469"/>
      <c r="Y46" s="472"/>
      <c r="AD46" s="130"/>
      <c r="AF46" s="106"/>
    </row>
    <row r="47">
      <c r="A47" s="304" t="s">
        <v>802</v>
      </c>
      <c r="B47" s="305">
        <v>45595.0</v>
      </c>
      <c r="C47" s="234" t="s">
        <v>325</v>
      </c>
      <c r="D47" s="178">
        <v>817.04</v>
      </c>
      <c r="E47" s="308"/>
      <c r="F47" s="235"/>
      <c r="H47" s="471">
        <f t="shared" si="6"/>
        <v>5</v>
      </c>
      <c r="I47" s="463" t="s">
        <v>822</v>
      </c>
      <c r="J47" s="464">
        <v>45612.0</v>
      </c>
      <c r="K47" s="465" t="s">
        <v>823</v>
      </c>
      <c r="L47" s="466">
        <v>5.0</v>
      </c>
      <c r="M47" s="467">
        <v>261.75</v>
      </c>
      <c r="N47" s="467">
        <f t="shared" si="7"/>
        <v>52.35</v>
      </c>
      <c r="O47" s="473"/>
      <c r="P47" s="468">
        <f t="shared" si="8"/>
        <v>0</v>
      </c>
      <c r="Q47" s="550"/>
      <c r="R47" s="583"/>
      <c r="S47" s="469"/>
      <c r="T47" s="469"/>
      <c r="U47" s="469"/>
      <c r="V47" s="583"/>
      <c r="W47" s="469"/>
      <c r="X47" s="469"/>
      <c r="Y47" s="472"/>
      <c r="AD47" s="130"/>
      <c r="AF47" s="106"/>
    </row>
    <row r="48">
      <c r="A48" s="304" t="s">
        <v>810</v>
      </c>
      <c r="B48" s="305">
        <v>45602.0</v>
      </c>
      <c r="C48" s="234" t="s">
        <v>325</v>
      </c>
      <c r="D48" s="178">
        <v>817.64</v>
      </c>
      <c r="E48" s="308"/>
      <c r="F48" s="235"/>
      <c r="H48" s="474">
        <f t="shared" si="6"/>
        <v>0</v>
      </c>
      <c r="I48" s="473"/>
      <c r="J48" s="464"/>
      <c r="K48" s="465" t="s">
        <v>437</v>
      </c>
      <c r="L48" s="466"/>
      <c r="M48" s="467"/>
      <c r="N48" s="467" t="str">
        <f t="shared" si="7"/>
        <v>#DIV/0!</v>
      </c>
      <c r="O48" s="473"/>
      <c r="P48" s="468" t="str">
        <f t="shared" si="8"/>
        <v>#DIV/0!</v>
      </c>
      <c r="Q48" s="550"/>
      <c r="R48" s="583"/>
      <c r="S48" s="469"/>
      <c r="T48" s="469"/>
      <c r="U48" s="469"/>
      <c r="V48" s="583"/>
      <c r="W48" s="469"/>
      <c r="X48" s="469"/>
      <c r="Y48" s="472"/>
      <c r="AD48" s="130"/>
      <c r="AF48" s="106"/>
    </row>
    <row r="49">
      <c r="A49" s="304" t="s">
        <v>824</v>
      </c>
      <c r="B49" s="305">
        <v>45609.0</v>
      </c>
      <c r="C49" s="234" t="s">
        <v>325</v>
      </c>
      <c r="D49" s="178">
        <v>829.32</v>
      </c>
      <c r="E49" s="308"/>
      <c r="F49" s="235"/>
      <c r="P49" s="79"/>
      <c r="T49" s="79"/>
      <c r="U49" s="79"/>
      <c r="AD49" s="130"/>
      <c r="AF49" s="106"/>
    </row>
    <row r="50">
      <c r="A50" s="282" t="s">
        <v>667</v>
      </c>
      <c r="B50" s="283">
        <v>45546.0</v>
      </c>
      <c r="C50" s="166" t="s">
        <v>668</v>
      </c>
      <c r="D50" s="93">
        <f>608.6</f>
        <v>608.6</v>
      </c>
      <c r="E50" s="291" t="s">
        <v>704</v>
      </c>
      <c r="F50" s="6">
        <f>D50/2</f>
        <v>304.3</v>
      </c>
      <c r="H50" s="479" t="s">
        <v>287</v>
      </c>
      <c r="I50" s="32" t="s">
        <v>748</v>
      </c>
      <c r="J50" s="479" t="s">
        <v>749</v>
      </c>
      <c r="K50" s="479" t="s">
        <v>750</v>
      </c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AD50" s="130"/>
      <c r="AF50" s="106"/>
    </row>
    <row r="51">
      <c r="A51" s="282" t="s">
        <v>681</v>
      </c>
      <c r="B51" s="283">
        <v>45555.0</v>
      </c>
      <c r="C51" s="166" t="s">
        <v>664</v>
      </c>
      <c r="D51" s="93">
        <v>785.6</v>
      </c>
      <c r="E51" s="291"/>
      <c r="F51" s="6"/>
      <c r="H51" s="286">
        <v>45578.0</v>
      </c>
      <c r="I51" s="32">
        <v>6.0</v>
      </c>
      <c r="J51" s="480">
        <v>2413.68</v>
      </c>
      <c r="K51" s="479" t="s">
        <v>751</v>
      </c>
      <c r="M51" s="79"/>
      <c r="N51" s="242">
        <f>N40*6</f>
        <v>2363.76</v>
      </c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AD51" s="130"/>
      <c r="AF51" s="106"/>
    </row>
    <row r="52">
      <c r="A52" s="282" t="s">
        <v>709</v>
      </c>
      <c r="B52" s="283">
        <v>45570.0</v>
      </c>
      <c r="C52" s="166" t="s">
        <v>710</v>
      </c>
      <c r="D52" s="93">
        <v>1001.8</v>
      </c>
      <c r="E52" s="291" t="s">
        <v>804</v>
      </c>
      <c r="F52" s="6">
        <f>-250.45-250.45</f>
        <v>-500.9</v>
      </c>
      <c r="H52" s="286">
        <v>45578.0</v>
      </c>
      <c r="I52" s="32">
        <v>3.0</v>
      </c>
      <c r="J52" s="480">
        <v>1202.87</v>
      </c>
      <c r="K52" s="479" t="s">
        <v>752</v>
      </c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AD52" s="130"/>
      <c r="AF52" s="106"/>
    </row>
    <row r="53">
      <c r="A53" s="282" t="s">
        <v>715</v>
      </c>
      <c r="B53" s="283">
        <v>45570.0</v>
      </c>
      <c r="C53" s="166" t="s">
        <v>716</v>
      </c>
      <c r="D53" s="93">
        <f>299.8-5.8</f>
        <v>294</v>
      </c>
      <c r="E53" s="291"/>
      <c r="F53" s="6"/>
      <c r="H53" s="504">
        <v>45585.0</v>
      </c>
      <c r="I53" s="479">
        <v>1.0</v>
      </c>
      <c r="J53" s="505">
        <f t="shared" ref="J53:J54" si="10">T37*-1</f>
        <v>403.0566667</v>
      </c>
      <c r="K53" s="479" t="s">
        <v>751</v>
      </c>
      <c r="M53" s="79"/>
      <c r="N53" s="242">
        <f>N41*6</f>
        <v>2362.36</v>
      </c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AD53" s="130"/>
      <c r="AF53" s="106"/>
    </row>
    <row r="54">
      <c r="A54" s="282" t="s">
        <v>753</v>
      </c>
      <c r="B54" s="283">
        <v>45574.0</v>
      </c>
      <c r="C54" s="166" t="s">
        <v>754</v>
      </c>
      <c r="D54" s="93">
        <v>237.1</v>
      </c>
      <c r="E54" s="291"/>
      <c r="F54" s="6"/>
      <c r="H54" s="504">
        <v>45585.0</v>
      </c>
      <c r="I54" s="479">
        <v>6.0</v>
      </c>
      <c r="J54" s="505">
        <f t="shared" si="10"/>
        <v>2399.445</v>
      </c>
      <c r="K54" s="479" t="s">
        <v>751</v>
      </c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AD54" s="130"/>
      <c r="AF54" s="106"/>
    </row>
    <row r="55">
      <c r="A55" s="282" t="s">
        <v>755</v>
      </c>
      <c r="B55" s="283">
        <v>45576.0</v>
      </c>
      <c r="C55" s="166" t="s">
        <v>756</v>
      </c>
      <c r="D55" s="93">
        <v>504.64</v>
      </c>
      <c r="E55" s="291"/>
      <c r="F55" s="6"/>
      <c r="H55" s="504">
        <v>45592.0</v>
      </c>
      <c r="I55" s="479">
        <v>6.0</v>
      </c>
      <c r="J55" s="505">
        <f>(T39+P40)*-1</f>
        <v>2372.855</v>
      </c>
      <c r="K55" s="479" t="s">
        <v>751</v>
      </c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AD55" s="130"/>
      <c r="AF55" s="106"/>
    </row>
    <row r="56">
      <c r="A56" s="282" t="s">
        <v>758</v>
      </c>
      <c r="B56" s="283">
        <v>45561.0</v>
      </c>
      <c r="C56" s="166" t="s">
        <v>536</v>
      </c>
      <c r="D56" s="93">
        <v>1160.0</v>
      </c>
      <c r="E56" s="291" t="s">
        <v>805</v>
      </c>
      <c r="F56" s="6">
        <f>-386.67-386.67</f>
        <v>-773.34</v>
      </c>
      <c r="H56" s="504">
        <v>45599.0</v>
      </c>
      <c r="I56" s="479">
        <v>6.0</v>
      </c>
      <c r="J56" s="505">
        <f>-1*(P41+T40)</f>
        <v>2362.593333</v>
      </c>
      <c r="K56" s="479" t="s">
        <v>751</v>
      </c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AD56" s="130"/>
      <c r="AF56" s="106"/>
    </row>
    <row r="57">
      <c r="A57" s="282" t="s">
        <v>806</v>
      </c>
      <c r="B57" s="283">
        <v>45581.0</v>
      </c>
      <c r="C57" s="166" t="s">
        <v>774</v>
      </c>
      <c r="D57" s="93">
        <f>547-15</f>
        <v>532</v>
      </c>
      <c r="E57" s="503"/>
      <c r="F57" s="478"/>
      <c r="H57" s="504">
        <v>45606.0</v>
      </c>
      <c r="I57" s="479">
        <v>8.0</v>
      </c>
      <c r="J57" s="505">
        <f>(P42+P43)*-1</f>
        <v>3412.163333</v>
      </c>
      <c r="K57" s="479" t="s">
        <v>751</v>
      </c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AD57" s="130"/>
      <c r="AF57" s="106"/>
    </row>
    <row r="58">
      <c r="A58" s="282" t="s">
        <v>775</v>
      </c>
      <c r="B58" s="283">
        <v>45581.0</v>
      </c>
      <c r="C58" s="166" t="s">
        <v>712</v>
      </c>
      <c r="D58" s="93">
        <f>421.43-5</f>
        <v>416.43</v>
      </c>
      <c r="E58" s="291"/>
      <c r="F58" s="6"/>
      <c r="H58" s="584">
        <v>45606.0</v>
      </c>
      <c r="I58" s="585">
        <v>1.0</v>
      </c>
      <c r="J58" s="586">
        <f>T41*-1</f>
        <v>393.7266667</v>
      </c>
      <c r="K58" s="585" t="s">
        <v>811</v>
      </c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AD58" s="130"/>
      <c r="AF58" s="106"/>
    </row>
    <row r="59">
      <c r="A59" s="282" t="s">
        <v>776</v>
      </c>
      <c r="B59" s="283">
        <v>45583.0</v>
      </c>
      <c r="C59" s="166" t="s">
        <v>777</v>
      </c>
      <c r="D59" s="93">
        <v>91.02</v>
      </c>
      <c r="E59" s="291"/>
      <c r="F59" s="6"/>
      <c r="H59" s="286">
        <v>45613.0</v>
      </c>
      <c r="I59" s="479">
        <v>8.0</v>
      </c>
      <c r="J59" s="505">
        <f>-1*sum(P44,T43)</f>
        <v>3424.46</v>
      </c>
      <c r="K59" s="479" t="s">
        <v>751</v>
      </c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AD59" s="130"/>
      <c r="AF59" s="106"/>
    </row>
    <row r="60">
      <c r="A60" s="282" t="s">
        <v>778</v>
      </c>
      <c r="B60" s="283">
        <v>45580.0</v>
      </c>
      <c r="C60" s="166" t="s">
        <v>626</v>
      </c>
      <c r="D60" s="93">
        <v>1629.6</v>
      </c>
      <c r="E60" s="337">
        <v>45595.0</v>
      </c>
      <c r="F60" s="6">
        <f>-543.2</f>
        <v>-543.2</v>
      </c>
      <c r="I60" s="479"/>
      <c r="J60" s="481"/>
      <c r="K60" s="481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AD60" s="130"/>
      <c r="AF60" s="106"/>
    </row>
    <row r="61">
      <c r="A61" s="282" t="s">
        <v>812</v>
      </c>
      <c r="B61" s="283">
        <v>45589.0</v>
      </c>
      <c r="C61" s="166" t="s">
        <v>813</v>
      </c>
      <c r="D61" s="93">
        <v>565.5</v>
      </c>
      <c r="E61" s="291"/>
      <c r="F61" s="6"/>
      <c r="I61" s="479"/>
      <c r="J61" s="481"/>
      <c r="K61" s="481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AD61" s="130"/>
      <c r="AF61" s="106"/>
    </row>
    <row r="62">
      <c r="A62" s="282" t="s">
        <v>814</v>
      </c>
      <c r="B62" s="283">
        <v>45602.0</v>
      </c>
      <c r="C62" s="166" t="s">
        <v>712</v>
      </c>
      <c r="D62" s="93">
        <f>423.86-15</f>
        <v>408.86</v>
      </c>
      <c r="E62" s="291"/>
      <c r="F62" s="6"/>
      <c r="I62" s="479"/>
      <c r="J62" s="481"/>
      <c r="K62" s="481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AD62" s="130"/>
      <c r="AF62" s="106"/>
    </row>
    <row r="63">
      <c r="A63" s="282" t="s">
        <v>815</v>
      </c>
      <c r="B63" s="283">
        <v>45602.0</v>
      </c>
      <c r="C63" s="166" t="s">
        <v>710</v>
      </c>
      <c r="D63" s="93">
        <v>1767.68</v>
      </c>
      <c r="E63" s="291"/>
      <c r="F63" s="6"/>
      <c r="H63" s="479"/>
      <c r="I63" s="481"/>
      <c r="J63" s="481"/>
      <c r="K63" s="481"/>
      <c r="M63" s="481"/>
      <c r="N63" s="481"/>
      <c r="O63" s="545"/>
      <c r="P63" s="79"/>
      <c r="Q63" s="481"/>
      <c r="R63" s="481"/>
      <c r="S63" s="545"/>
      <c r="T63" s="545"/>
      <c r="U63" s="481"/>
      <c r="V63" s="481"/>
      <c r="W63" s="481"/>
      <c r="X63" s="481"/>
      <c r="Y63" s="545"/>
      <c r="AD63" s="130"/>
      <c r="AF63" s="106"/>
    </row>
    <row r="64">
      <c r="A64" s="282" t="s">
        <v>816</v>
      </c>
      <c r="B64" s="283">
        <v>45593.0</v>
      </c>
      <c r="C64" s="166" t="s">
        <v>408</v>
      </c>
      <c r="D64" s="93">
        <v>446.0</v>
      </c>
      <c r="E64" s="291"/>
      <c r="F64" s="6"/>
      <c r="O64" s="79"/>
      <c r="S64" s="79"/>
      <c r="T64" s="79"/>
      <c r="Y64" s="79"/>
      <c r="AD64" s="130"/>
      <c r="AF64" s="106"/>
    </row>
    <row r="65">
      <c r="A65" s="282" t="s">
        <v>825</v>
      </c>
      <c r="B65" s="283">
        <v>45611.0</v>
      </c>
      <c r="C65" s="166" t="s">
        <v>710</v>
      </c>
      <c r="D65" s="93">
        <v>1114.06</v>
      </c>
      <c r="E65" s="291"/>
      <c r="F65" s="6"/>
      <c r="O65" s="79"/>
      <c r="S65" s="79"/>
      <c r="T65" s="79"/>
      <c r="Y65" s="79"/>
      <c r="AD65" s="130"/>
      <c r="AF65" s="106"/>
    </row>
    <row r="66">
      <c r="A66" s="282" t="s">
        <v>826</v>
      </c>
      <c r="B66" s="283">
        <v>45608.0</v>
      </c>
      <c r="C66" s="166" t="s">
        <v>827</v>
      </c>
      <c r="D66" s="93">
        <v>1432.76</v>
      </c>
      <c r="E66" s="291"/>
      <c r="F66" s="6"/>
      <c r="O66" s="79"/>
      <c r="S66" s="79"/>
      <c r="T66" s="79"/>
      <c r="Y66" s="79"/>
      <c r="AD66" s="130"/>
      <c r="AF66" s="106"/>
    </row>
    <row r="67">
      <c r="C67" s="79"/>
      <c r="D67" s="79"/>
      <c r="E67" s="79"/>
      <c r="O67" s="79"/>
      <c r="S67" s="79"/>
      <c r="T67" s="79"/>
      <c r="Y67" s="79"/>
      <c r="AD67" s="130"/>
      <c r="AF67" s="106"/>
    </row>
    <row r="68">
      <c r="C68" s="79"/>
      <c r="D68" s="79"/>
      <c r="E68" s="79"/>
      <c r="O68" s="79"/>
      <c r="S68" s="79"/>
      <c r="T68" s="79"/>
      <c r="Y68" s="79"/>
      <c r="AD68" s="130"/>
      <c r="AF68" s="106"/>
    </row>
    <row r="69">
      <c r="C69" s="79"/>
      <c r="D69" s="79"/>
      <c r="E69" s="79"/>
      <c r="O69" s="79"/>
      <c r="S69" s="79"/>
      <c r="T69" s="79"/>
      <c r="Y69" s="79"/>
      <c r="AD69" s="130"/>
      <c r="AF69" s="106"/>
    </row>
    <row r="70">
      <c r="C70" s="79"/>
      <c r="D70" s="79"/>
      <c r="E70" s="79"/>
      <c r="O70" s="79"/>
      <c r="S70" s="79"/>
      <c r="T70" s="79"/>
      <c r="Y70" s="79"/>
      <c r="AD70" s="130"/>
      <c r="AF70" s="106"/>
    </row>
    <row r="71">
      <c r="C71" s="79"/>
      <c r="D71" s="79"/>
      <c r="E71" s="79"/>
      <c r="O71" s="79"/>
      <c r="S71" s="79"/>
      <c r="T71" s="79"/>
      <c r="Y71" s="79"/>
      <c r="AD71" s="130"/>
      <c r="AF71" s="106"/>
    </row>
    <row r="72">
      <c r="C72" s="79"/>
      <c r="D72" s="79"/>
      <c r="E72" s="79"/>
      <c r="O72" s="79"/>
      <c r="S72" s="79"/>
      <c r="T72" s="79"/>
      <c r="Y72" s="79"/>
      <c r="AD72" s="130"/>
      <c r="AF72" s="106"/>
    </row>
    <row r="73">
      <c r="C73" s="79"/>
      <c r="D73" s="79"/>
      <c r="E73" s="79"/>
      <c r="O73" s="79"/>
      <c r="S73" s="79"/>
      <c r="T73" s="79"/>
      <c r="Y73" s="79"/>
      <c r="AD73" s="130"/>
      <c r="AF73" s="106"/>
    </row>
    <row r="74">
      <c r="C74" s="79"/>
      <c r="D74" s="79"/>
      <c r="E74" s="79"/>
      <c r="O74" s="79"/>
      <c r="S74" s="79"/>
      <c r="T74" s="79"/>
      <c r="Y74" s="79"/>
      <c r="AD74" s="130"/>
      <c r="AF74" s="106"/>
    </row>
    <row r="75">
      <c r="C75" s="79"/>
      <c r="D75" s="79"/>
      <c r="E75" s="79"/>
      <c r="O75" s="79"/>
      <c r="S75" s="79"/>
      <c r="T75" s="79"/>
      <c r="Y75" s="79"/>
      <c r="AD75" s="130"/>
      <c r="AF75" s="106"/>
    </row>
    <row r="76">
      <c r="C76" s="79"/>
      <c r="D76" s="79"/>
      <c r="E76" s="79"/>
      <c r="O76" s="79"/>
      <c r="S76" s="79"/>
      <c r="T76" s="79"/>
      <c r="Y76" s="79"/>
      <c r="AD76" s="130"/>
      <c r="AF76" s="106"/>
    </row>
    <row r="77">
      <c r="C77" s="79"/>
      <c r="D77" s="79"/>
      <c r="E77" s="79"/>
      <c r="O77" s="79"/>
      <c r="S77" s="79"/>
      <c r="T77" s="79"/>
      <c r="Y77" s="79"/>
      <c r="AD77" s="130"/>
      <c r="AF77" s="106"/>
    </row>
    <row r="78">
      <c r="C78" s="79"/>
      <c r="D78" s="79"/>
      <c r="E78" s="79"/>
      <c r="O78" s="79"/>
      <c r="S78" s="79"/>
      <c r="T78" s="79"/>
      <c r="Y78" s="79"/>
      <c r="AD78" s="130"/>
      <c r="AF78" s="106"/>
    </row>
    <row r="79">
      <c r="C79" s="79"/>
      <c r="D79" s="79"/>
      <c r="E79" s="79"/>
      <c r="O79" s="79"/>
      <c r="S79" s="79"/>
      <c r="T79" s="79"/>
      <c r="Y79" s="79"/>
      <c r="AD79" s="130"/>
      <c r="AF79" s="106"/>
    </row>
    <row r="80">
      <c r="C80" s="79"/>
      <c r="D80" s="79"/>
      <c r="E80" s="79"/>
      <c r="O80" s="79"/>
      <c r="S80" s="79"/>
      <c r="T80" s="79"/>
      <c r="Y80" s="79"/>
      <c r="AD80" s="130"/>
      <c r="AF80" s="106"/>
    </row>
    <row r="81">
      <c r="C81" s="79"/>
      <c r="D81" s="79"/>
      <c r="E81" s="79"/>
      <c r="O81" s="79"/>
      <c r="S81" s="79"/>
      <c r="T81" s="79"/>
      <c r="Y81" s="79"/>
      <c r="AD81" s="130"/>
      <c r="AF81" s="106"/>
    </row>
    <row r="82">
      <c r="C82" s="79"/>
      <c r="D82" s="79"/>
      <c r="E82" s="79"/>
      <c r="O82" s="79"/>
      <c r="S82" s="79"/>
      <c r="T82" s="79"/>
      <c r="Y82" s="79"/>
      <c r="AD82" s="130"/>
      <c r="AF82" s="106"/>
    </row>
    <row r="83">
      <c r="C83" s="79"/>
      <c r="D83" s="79"/>
      <c r="E83" s="79"/>
      <c r="O83" s="79"/>
      <c r="S83" s="79"/>
      <c r="T83" s="79"/>
      <c r="Y83" s="79"/>
      <c r="AD83" s="130"/>
      <c r="AF83" s="106"/>
    </row>
    <row r="84">
      <c r="C84" s="79"/>
      <c r="D84" s="79"/>
      <c r="E84" s="79"/>
      <c r="O84" s="79"/>
      <c r="S84" s="79"/>
      <c r="T84" s="79"/>
      <c r="Y84" s="79"/>
      <c r="AD84" s="130"/>
      <c r="AF84" s="106"/>
    </row>
    <row r="85">
      <c r="C85" s="79"/>
      <c r="D85" s="79"/>
      <c r="E85" s="79"/>
      <c r="O85" s="79"/>
      <c r="S85" s="79"/>
      <c r="T85" s="79"/>
      <c r="Y85" s="79"/>
      <c r="AD85" s="130"/>
      <c r="AF85" s="106"/>
    </row>
    <row r="86">
      <c r="C86" s="79"/>
      <c r="D86" s="79"/>
      <c r="E86" s="79"/>
      <c r="O86" s="79"/>
      <c r="S86" s="79"/>
      <c r="T86" s="79"/>
      <c r="Y86" s="79"/>
      <c r="AD86" s="130"/>
      <c r="AF86" s="106"/>
    </row>
    <row r="87">
      <c r="C87" s="79"/>
      <c r="D87" s="79"/>
      <c r="E87" s="79"/>
      <c r="O87" s="79"/>
      <c r="S87" s="79"/>
      <c r="T87" s="79"/>
      <c r="Y87" s="79"/>
      <c r="AD87" s="130"/>
      <c r="AF87" s="106"/>
    </row>
    <row r="88">
      <c r="C88" s="79"/>
      <c r="D88" s="79"/>
      <c r="E88" s="79"/>
      <c r="O88" s="79"/>
      <c r="S88" s="79"/>
      <c r="T88" s="79"/>
      <c r="Y88" s="79"/>
      <c r="AD88" s="130"/>
      <c r="AF88" s="106"/>
    </row>
    <row r="89">
      <c r="C89" s="79"/>
      <c r="D89" s="79"/>
      <c r="E89" s="79"/>
      <c r="O89" s="79"/>
      <c r="S89" s="79"/>
      <c r="T89" s="79"/>
      <c r="Y89" s="79"/>
      <c r="AD89" s="130"/>
      <c r="AF89" s="106"/>
    </row>
    <row r="90">
      <c r="C90" s="79"/>
      <c r="D90" s="79"/>
      <c r="E90" s="79"/>
      <c r="O90" s="79"/>
      <c r="S90" s="79"/>
      <c r="T90" s="79"/>
      <c r="Y90" s="79"/>
      <c r="AD90" s="130"/>
      <c r="AF90" s="106"/>
    </row>
    <row r="91">
      <c r="C91" s="79"/>
      <c r="D91" s="79"/>
      <c r="E91" s="79"/>
      <c r="O91" s="79"/>
      <c r="S91" s="79"/>
      <c r="T91" s="79"/>
      <c r="Y91" s="79"/>
      <c r="AD91" s="130"/>
      <c r="AF91" s="106"/>
    </row>
    <row r="92">
      <c r="C92" s="79"/>
      <c r="D92" s="79"/>
      <c r="E92" s="79"/>
      <c r="O92" s="79"/>
      <c r="S92" s="79"/>
      <c r="T92" s="79"/>
      <c r="Y92" s="79"/>
      <c r="AD92" s="130"/>
      <c r="AF92" s="106"/>
    </row>
    <row r="93">
      <c r="C93" s="79"/>
      <c r="D93" s="79"/>
      <c r="E93" s="79"/>
      <c r="O93" s="79"/>
      <c r="S93" s="79"/>
      <c r="T93" s="79"/>
      <c r="Y93" s="79"/>
      <c r="AD93" s="130"/>
      <c r="AF93" s="106"/>
    </row>
    <row r="94">
      <c r="C94" s="79"/>
      <c r="D94" s="79"/>
      <c r="E94" s="79"/>
      <c r="O94" s="79"/>
      <c r="S94" s="79"/>
      <c r="T94" s="79"/>
      <c r="Y94" s="79"/>
      <c r="AD94" s="130"/>
      <c r="AF94" s="106"/>
    </row>
    <row r="95">
      <c r="C95" s="79"/>
      <c r="D95" s="79"/>
      <c r="E95" s="79"/>
      <c r="O95" s="79"/>
      <c r="S95" s="79"/>
      <c r="T95" s="79"/>
      <c r="Y95" s="79"/>
      <c r="AD95" s="130"/>
      <c r="AF95" s="106"/>
    </row>
    <row r="96">
      <c r="C96" s="79"/>
      <c r="D96" s="79"/>
      <c r="E96" s="79"/>
      <c r="O96" s="79"/>
      <c r="S96" s="79"/>
      <c r="T96" s="79"/>
      <c r="Y96" s="79"/>
      <c r="AD96" s="130"/>
      <c r="AF96" s="106"/>
    </row>
    <row r="97">
      <c r="C97" s="79"/>
      <c r="D97" s="79"/>
      <c r="E97" s="79"/>
      <c r="O97" s="79"/>
      <c r="S97" s="79"/>
      <c r="T97" s="79"/>
      <c r="Y97" s="79"/>
      <c r="AD97" s="130"/>
      <c r="AF97" s="106"/>
    </row>
    <row r="98">
      <c r="C98" s="79"/>
      <c r="D98" s="79"/>
      <c r="E98" s="79"/>
      <c r="O98" s="79"/>
      <c r="S98" s="79"/>
      <c r="T98" s="79"/>
      <c r="Y98" s="79"/>
      <c r="AD98" s="130"/>
      <c r="AF98" s="106"/>
    </row>
    <row r="99">
      <c r="C99" s="79"/>
      <c r="D99" s="79"/>
      <c r="E99" s="79"/>
      <c r="O99" s="79"/>
      <c r="S99" s="79"/>
      <c r="T99" s="79"/>
      <c r="Y99" s="79"/>
      <c r="AD99" s="130"/>
      <c r="AF99" s="106"/>
    </row>
    <row r="100">
      <c r="C100" s="79"/>
      <c r="D100" s="79"/>
      <c r="E100" s="79"/>
      <c r="O100" s="79"/>
      <c r="S100" s="79"/>
      <c r="T100" s="79"/>
      <c r="Y100" s="79"/>
      <c r="AD100" s="130"/>
      <c r="AF100" s="106"/>
    </row>
    <row r="101">
      <c r="C101" s="79"/>
      <c r="D101" s="79"/>
      <c r="E101" s="79"/>
      <c r="O101" s="79"/>
      <c r="S101" s="79"/>
      <c r="T101" s="79"/>
      <c r="Y101" s="79"/>
      <c r="AD101" s="130"/>
      <c r="AF101" s="106"/>
    </row>
    <row r="102">
      <c r="C102" s="79"/>
      <c r="D102" s="79"/>
      <c r="E102" s="79"/>
      <c r="O102" s="79"/>
      <c r="S102" s="79"/>
      <c r="T102" s="79"/>
      <c r="Y102" s="79"/>
      <c r="AD102" s="130"/>
      <c r="AF102" s="106"/>
    </row>
    <row r="103">
      <c r="C103" s="79"/>
      <c r="D103" s="79"/>
      <c r="E103" s="79"/>
      <c r="O103" s="79"/>
      <c r="S103" s="79"/>
      <c r="T103" s="79"/>
      <c r="Y103" s="79"/>
      <c r="AD103" s="130"/>
      <c r="AF103" s="106"/>
    </row>
    <row r="104">
      <c r="C104" s="79"/>
      <c r="D104" s="79"/>
      <c r="E104" s="79"/>
      <c r="O104" s="79"/>
      <c r="S104" s="79"/>
      <c r="T104" s="79"/>
      <c r="Y104" s="79"/>
      <c r="AD104" s="130"/>
      <c r="AF104" s="106"/>
    </row>
    <row r="105">
      <c r="C105" s="79"/>
      <c r="D105" s="79"/>
      <c r="E105" s="79"/>
      <c r="O105" s="79"/>
      <c r="S105" s="79"/>
      <c r="T105" s="79"/>
      <c r="Y105" s="79"/>
      <c r="AD105" s="130"/>
      <c r="AF105" s="106"/>
    </row>
    <row r="106">
      <c r="C106" s="79"/>
      <c r="D106" s="79"/>
      <c r="E106" s="79"/>
      <c r="O106" s="79"/>
      <c r="S106" s="79"/>
      <c r="T106" s="79"/>
      <c r="Y106" s="79"/>
      <c r="AD106" s="130"/>
      <c r="AF106" s="106"/>
    </row>
    <row r="107">
      <c r="C107" s="79"/>
      <c r="D107" s="79"/>
      <c r="E107" s="79"/>
      <c r="O107" s="79"/>
      <c r="S107" s="79"/>
      <c r="T107" s="79"/>
      <c r="Y107" s="79"/>
      <c r="AD107" s="130"/>
      <c r="AF107" s="106"/>
    </row>
    <row r="108">
      <c r="C108" s="79"/>
      <c r="D108" s="79"/>
      <c r="E108" s="79"/>
      <c r="O108" s="79"/>
      <c r="S108" s="79"/>
      <c r="T108" s="79"/>
      <c r="Y108" s="79"/>
      <c r="AD108" s="130"/>
      <c r="AF108" s="106"/>
    </row>
    <row r="109">
      <c r="C109" s="79"/>
      <c r="D109" s="79"/>
      <c r="E109" s="79"/>
      <c r="O109" s="79"/>
      <c r="S109" s="79"/>
      <c r="T109" s="79"/>
      <c r="Y109" s="79"/>
      <c r="AD109" s="130"/>
      <c r="AF109" s="106"/>
    </row>
    <row r="110">
      <c r="C110" s="79"/>
      <c r="D110" s="79"/>
      <c r="E110" s="79"/>
      <c r="O110" s="79"/>
      <c r="S110" s="79"/>
      <c r="T110" s="79"/>
      <c r="Y110" s="79"/>
      <c r="AD110" s="130"/>
      <c r="AF110" s="106"/>
    </row>
    <row r="111">
      <c r="C111" s="79"/>
      <c r="D111" s="79"/>
      <c r="E111" s="79"/>
      <c r="O111" s="79"/>
      <c r="S111" s="79"/>
      <c r="T111" s="79"/>
      <c r="Y111" s="79"/>
      <c r="AD111" s="130"/>
      <c r="AF111" s="106"/>
    </row>
    <row r="112">
      <c r="C112" s="79"/>
      <c r="D112" s="79"/>
      <c r="E112" s="79"/>
      <c r="O112" s="79"/>
      <c r="S112" s="79"/>
      <c r="T112" s="79"/>
      <c r="Y112" s="79"/>
      <c r="AD112" s="130"/>
      <c r="AF112" s="106"/>
    </row>
    <row r="113">
      <c r="C113" s="79"/>
      <c r="D113" s="79"/>
      <c r="E113" s="79"/>
      <c r="O113" s="79"/>
      <c r="S113" s="79"/>
      <c r="T113" s="79"/>
      <c r="Y113" s="79"/>
      <c r="AD113" s="130"/>
      <c r="AF113" s="106"/>
    </row>
    <row r="114">
      <c r="C114" s="79"/>
      <c r="D114" s="79"/>
      <c r="E114" s="79"/>
      <c r="O114" s="79"/>
      <c r="S114" s="79"/>
      <c r="T114" s="79"/>
      <c r="Y114" s="79"/>
      <c r="AD114" s="130"/>
      <c r="AF114" s="106"/>
    </row>
    <row r="115">
      <c r="C115" s="79"/>
      <c r="D115" s="79"/>
      <c r="E115" s="79"/>
      <c r="O115" s="79"/>
      <c r="S115" s="79"/>
      <c r="T115" s="79"/>
      <c r="Y115" s="79"/>
      <c r="AD115" s="130"/>
      <c r="AF115" s="106"/>
    </row>
    <row r="116">
      <c r="C116" s="79"/>
      <c r="D116" s="79"/>
      <c r="E116" s="79"/>
      <c r="O116" s="79"/>
      <c r="S116" s="79"/>
      <c r="T116" s="79"/>
      <c r="Y116" s="79"/>
      <c r="AD116" s="130"/>
      <c r="AF116" s="106"/>
    </row>
    <row r="117">
      <c r="C117" s="79"/>
      <c r="D117" s="79"/>
      <c r="E117" s="79"/>
      <c r="O117" s="79"/>
      <c r="S117" s="79"/>
      <c r="T117" s="79"/>
      <c r="Y117" s="79"/>
      <c r="AD117" s="130"/>
      <c r="AF117" s="106"/>
    </row>
    <row r="118">
      <c r="C118" s="79"/>
      <c r="D118" s="79"/>
      <c r="E118" s="79"/>
      <c r="O118" s="79"/>
      <c r="S118" s="79"/>
      <c r="T118" s="79"/>
      <c r="Y118" s="79"/>
      <c r="AD118" s="130"/>
      <c r="AF118" s="106"/>
    </row>
    <row r="119">
      <c r="C119" s="79"/>
      <c r="D119" s="79"/>
      <c r="E119" s="79"/>
      <c r="O119" s="79"/>
      <c r="S119" s="79"/>
      <c r="T119" s="79"/>
      <c r="Y119" s="79"/>
      <c r="AD119" s="130"/>
      <c r="AF119" s="106"/>
    </row>
    <row r="120">
      <c r="C120" s="79"/>
      <c r="D120" s="79"/>
      <c r="E120" s="79"/>
      <c r="O120" s="79"/>
      <c r="S120" s="79"/>
      <c r="T120" s="79"/>
      <c r="Y120" s="79"/>
      <c r="AD120" s="130"/>
      <c r="AF120" s="106"/>
    </row>
    <row r="121">
      <c r="C121" s="79"/>
      <c r="D121" s="79"/>
      <c r="E121" s="79"/>
      <c r="O121" s="79"/>
      <c r="S121" s="79"/>
      <c r="T121" s="79"/>
      <c r="Y121" s="79"/>
      <c r="AD121" s="130"/>
      <c r="AF121" s="106"/>
    </row>
    <row r="122">
      <c r="C122" s="79"/>
      <c r="D122" s="79"/>
      <c r="E122" s="79"/>
      <c r="O122" s="79"/>
      <c r="S122" s="79"/>
      <c r="T122" s="79"/>
      <c r="Y122" s="79"/>
      <c r="AD122" s="130"/>
      <c r="AF122" s="106"/>
    </row>
    <row r="123">
      <c r="C123" s="79"/>
      <c r="D123" s="79"/>
      <c r="E123" s="79"/>
      <c r="O123" s="79"/>
      <c r="S123" s="79"/>
      <c r="T123" s="79"/>
      <c r="Y123" s="79"/>
      <c r="AD123" s="130"/>
      <c r="AF123" s="106"/>
    </row>
    <row r="124">
      <c r="C124" s="79"/>
      <c r="D124" s="79"/>
      <c r="E124" s="79"/>
      <c r="O124" s="79"/>
      <c r="S124" s="79"/>
      <c r="T124" s="79"/>
      <c r="Y124" s="79"/>
      <c r="AD124" s="130"/>
      <c r="AF124" s="106"/>
    </row>
    <row r="125">
      <c r="C125" s="79"/>
      <c r="D125" s="79"/>
      <c r="E125" s="79"/>
      <c r="O125" s="79"/>
      <c r="S125" s="79"/>
      <c r="T125" s="79"/>
      <c r="Y125" s="79"/>
      <c r="AD125" s="130"/>
      <c r="AF125" s="106"/>
    </row>
    <row r="126">
      <c r="C126" s="79"/>
      <c r="D126" s="79"/>
      <c r="E126" s="79"/>
      <c r="O126" s="79"/>
      <c r="S126" s="79"/>
      <c r="T126" s="79"/>
      <c r="Y126" s="79"/>
      <c r="AD126" s="130"/>
      <c r="AF126" s="106"/>
    </row>
    <row r="127">
      <c r="C127" s="79"/>
      <c r="D127" s="79"/>
      <c r="E127" s="79"/>
      <c r="O127" s="79"/>
      <c r="S127" s="79"/>
      <c r="T127" s="79"/>
      <c r="Y127" s="79"/>
      <c r="AD127" s="130"/>
      <c r="AF127" s="106"/>
    </row>
    <row r="128">
      <c r="C128" s="79"/>
      <c r="D128" s="79"/>
      <c r="E128" s="79"/>
      <c r="O128" s="79"/>
      <c r="S128" s="79"/>
      <c r="T128" s="79"/>
      <c r="Y128" s="79"/>
      <c r="AD128" s="130"/>
      <c r="AF128" s="106"/>
    </row>
    <row r="129">
      <c r="C129" s="79"/>
      <c r="D129" s="79"/>
      <c r="E129" s="79"/>
      <c r="O129" s="79"/>
      <c r="S129" s="79"/>
      <c r="T129" s="79"/>
      <c r="Y129" s="79"/>
      <c r="AD129" s="130"/>
      <c r="AF129" s="106"/>
    </row>
    <row r="130">
      <c r="C130" s="79"/>
      <c r="D130" s="79"/>
      <c r="E130" s="79"/>
      <c r="O130" s="79"/>
      <c r="S130" s="79"/>
      <c r="T130" s="79"/>
      <c r="Y130" s="79"/>
      <c r="AD130" s="130"/>
      <c r="AF130" s="106"/>
    </row>
    <row r="131">
      <c r="C131" s="79"/>
      <c r="D131" s="79"/>
      <c r="E131" s="79"/>
      <c r="O131" s="79"/>
      <c r="S131" s="79"/>
      <c r="T131" s="79"/>
      <c r="Y131" s="79"/>
      <c r="AD131" s="130"/>
      <c r="AF131" s="106"/>
    </row>
    <row r="132">
      <c r="C132" s="79"/>
      <c r="D132" s="79"/>
      <c r="E132" s="79"/>
      <c r="O132" s="79"/>
      <c r="S132" s="79"/>
      <c r="T132" s="79"/>
      <c r="Y132" s="79"/>
      <c r="AD132" s="130"/>
      <c r="AF132" s="106"/>
    </row>
    <row r="133">
      <c r="C133" s="79"/>
      <c r="D133" s="79"/>
      <c r="E133" s="79"/>
      <c r="O133" s="79"/>
      <c r="S133" s="79"/>
      <c r="T133" s="79"/>
      <c r="Y133" s="79"/>
      <c r="AD133" s="130"/>
      <c r="AF133" s="106"/>
    </row>
    <row r="134">
      <c r="C134" s="79"/>
      <c r="D134" s="79"/>
      <c r="E134" s="79"/>
      <c r="O134" s="79"/>
      <c r="S134" s="79"/>
      <c r="T134" s="79"/>
      <c r="Y134" s="79"/>
      <c r="AD134" s="130"/>
      <c r="AF134" s="106"/>
    </row>
    <row r="135">
      <c r="C135" s="79"/>
      <c r="D135" s="79"/>
      <c r="E135" s="79"/>
      <c r="O135" s="79"/>
      <c r="S135" s="79"/>
      <c r="T135" s="79"/>
      <c r="Y135" s="79"/>
      <c r="AD135" s="130"/>
      <c r="AF135" s="106"/>
    </row>
    <row r="136">
      <c r="C136" s="79"/>
      <c r="D136" s="79"/>
      <c r="E136" s="79"/>
      <c r="O136" s="79"/>
      <c r="S136" s="79"/>
      <c r="T136" s="79"/>
      <c r="Y136" s="79"/>
      <c r="AD136" s="130"/>
      <c r="AF136" s="106"/>
    </row>
    <row r="137">
      <c r="C137" s="79"/>
      <c r="D137" s="79"/>
      <c r="E137" s="79"/>
      <c r="O137" s="79"/>
      <c r="S137" s="79"/>
      <c r="T137" s="79"/>
      <c r="Y137" s="79"/>
      <c r="AD137" s="130"/>
      <c r="AF137" s="106"/>
    </row>
    <row r="138">
      <c r="C138" s="79"/>
      <c r="D138" s="79"/>
      <c r="E138" s="79"/>
      <c r="O138" s="79"/>
      <c r="S138" s="79"/>
      <c r="T138" s="79"/>
      <c r="Y138" s="79"/>
      <c r="AD138" s="130"/>
      <c r="AF138" s="106"/>
    </row>
    <row r="139">
      <c r="C139" s="79"/>
      <c r="D139" s="79"/>
      <c r="E139" s="79"/>
      <c r="O139" s="79"/>
      <c r="S139" s="79"/>
      <c r="T139" s="79"/>
      <c r="Y139" s="79"/>
      <c r="AD139" s="130"/>
      <c r="AF139" s="106"/>
    </row>
    <row r="140">
      <c r="C140" s="79"/>
      <c r="D140" s="79"/>
      <c r="E140" s="79"/>
      <c r="O140" s="79"/>
      <c r="S140" s="79"/>
      <c r="T140" s="79"/>
      <c r="Y140" s="79"/>
      <c r="AD140" s="130"/>
      <c r="AF140" s="106"/>
    </row>
    <row r="141">
      <c r="C141" s="79"/>
      <c r="D141" s="79"/>
      <c r="E141" s="79"/>
      <c r="O141" s="79"/>
      <c r="S141" s="79"/>
      <c r="T141" s="79"/>
      <c r="Y141" s="79"/>
      <c r="AD141" s="130"/>
      <c r="AF141" s="106"/>
    </row>
    <row r="142">
      <c r="C142" s="79"/>
      <c r="D142" s="79"/>
      <c r="E142" s="79"/>
      <c r="O142" s="79"/>
      <c r="S142" s="79"/>
      <c r="T142" s="79"/>
      <c r="Y142" s="79"/>
      <c r="AD142" s="130"/>
      <c r="AF142" s="106"/>
    </row>
    <row r="143">
      <c r="C143" s="79"/>
      <c r="D143" s="79"/>
      <c r="E143" s="79"/>
      <c r="O143" s="79"/>
      <c r="S143" s="79"/>
      <c r="T143" s="79"/>
      <c r="Y143" s="79"/>
      <c r="AD143" s="130"/>
      <c r="AF143" s="106"/>
    </row>
    <row r="144">
      <c r="C144" s="79"/>
      <c r="D144" s="79"/>
      <c r="E144" s="79"/>
      <c r="O144" s="79"/>
      <c r="S144" s="79"/>
      <c r="T144" s="79"/>
      <c r="Y144" s="79"/>
      <c r="AD144" s="130"/>
      <c r="AF144" s="106"/>
    </row>
    <row r="145">
      <c r="C145" s="79"/>
      <c r="D145" s="79"/>
      <c r="E145" s="79"/>
      <c r="O145" s="79"/>
      <c r="S145" s="79"/>
      <c r="T145" s="79"/>
      <c r="Y145" s="79"/>
      <c r="AD145" s="130"/>
      <c r="AF145" s="106"/>
    </row>
    <row r="146">
      <c r="C146" s="79"/>
      <c r="D146" s="79"/>
      <c r="E146" s="79"/>
      <c r="O146" s="79"/>
      <c r="S146" s="79"/>
      <c r="T146" s="79"/>
      <c r="Y146" s="79"/>
      <c r="AD146" s="130"/>
      <c r="AF146" s="106"/>
    </row>
    <row r="147">
      <c r="C147" s="79"/>
      <c r="D147" s="79"/>
      <c r="E147" s="79"/>
      <c r="O147" s="79"/>
      <c r="S147" s="79"/>
      <c r="T147" s="79"/>
      <c r="Y147" s="79"/>
      <c r="AD147" s="130"/>
      <c r="AF147" s="106"/>
    </row>
    <row r="148">
      <c r="C148" s="79"/>
      <c r="D148" s="79"/>
      <c r="E148" s="79"/>
      <c r="O148" s="79"/>
      <c r="S148" s="79"/>
      <c r="T148" s="79"/>
      <c r="Y148" s="79"/>
      <c r="AD148" s="130"/>
      <c r="AF148" s="106"/>
    </row>
    <row r="149">
      <c r="C149" s="79"/>
      <c r="D149" s="79"/>
      <c r="E149" s="79"/>
      <c r="O149" s="79"/>
      <c r="S149" s="79"/>
      <c r="T149" s="79"/>
      <c r="Y149" s="79"/>
      <c r="AD149" s="130"/>
      <c r="AF149" s="106"/>
    </row>
    <row r="150">
      <c r="C150" s="79"/>
      <c r="D150" s="79"/>
      <c r="E150" s="79"/>
      <c r="O150" s="79"/>
      <c r="S150" s="79"/>
      <c r="T150" s="79"/>
      <c r="Y150" s="79"/>
      <c r="AD150" s="130"/>
      <c r="AF150" s="106"/>
    </row>
    <row r="151">
      <c r="C151" s="79"/>
      <c r="D151" s="79"/>
      <c r="E151" s="79"/>
      <c r="O151" s="79"/>
      <c r="S151" s="79"/>
      <c r="T151" s="79"/>
      <c r="Y151" s="79"/>
      <c r="AD151" s="130"/>
      <c r="AF151" s="106"/>
    </row>
    <row r="152">
      <c r="C152" s="79"/>
      <c r="D152" s="79"/>
      <c r="E152" s="79"/>
      <c r="O152" s="79"/>
      <c r="S152" s="79"/>
      <c r="T152" s="79"/>
      <c r="Y152" s="79"/>
      <c r="AD152" s="130"/>
      <c r="AF152" s="106"/>
    </row>
    <row r="153">
      <c r="C153" s="79"/>
      <c r="D153" s="79"/>
      <c r="E153" s="79"/>
      <c r="O153" s="79"/>
      <c r="S153" s="79"/>
      <c r="T153" s="79"/>
      <c r="Y153" s="79"/>
      <c r="AD153" s="130"/>
      <c r="AF153" s="106"/>
    </row>
    <row r="154">
      <c r="C154" s="79"/>
      <c r="D154" s="79"/>
      <c r="E154" s="79"/>
      <c r="O154" s="79"/>
      <c r="S154" s="79"/>
      <c r="T154" s="79"/>
      <c r="Y154" s="79"/>
      <c r="AD154" s="130"/>
      <c r="AF154" s="106"/>
    </row>
    <row r="155">
      <c r="C155" s="79"/>
      <c r="D155" s="79"/>
      <c r="E155" s="79"/>
      <c r="O155" s="79"/>
      <c r="S155" s="79"/>
      <c r="T155" s="79"/>
      <c r="Y155" s="79"/>
      <c r="AD155" s="130"/>
      <c r="AF155" s="106"/>
    </row>
    <row r="156">
      <c r="C156" s="79"/>
      <c r="D156" s="79"/>
      <c r="E156" s="79"/>
      <c r="O156" s="79"/>
      <c r="S156" s="79"/>
      <c r="T156" s="79"/>
      <c r="Y156" s="79"/>
      <c r="AD156" s="130"/>
      <c r="AF156" s="106"/>
    </row>
    <row r="157">
      <c r="C157" s="79"/>
      <c r="D157" s="79"/>
      <c r="E157" s="79"/>
      <c r="O157" s="79"/>
      <c r="S157" s="79"/>
      <c r="T157" s="79"/>
      <c r="Y157" s="79"/>
      <c r="AD157" s="130"/>
      <c r="AF157" s="106"/>
    </row>
    <row r="158">
      <c r="C158" s="79"/>
      <c r="D158" s="79"/>
      <c r="E158" s="79"/>
      <c r="O158" s="79"/>
      <c r="S158" s="79"/>
      <c r="T158" s="79"/>
      <c r="Y158" s="79"/>
      <c r="AD158" s="130"/>
      <c r="AF158" s="106"/>
    </row>
    <row r="159">
      <c r="C159" s="79"/>
      <c r="D159" s="79"/>
      <c r="E159" s="79"/>
      <c r="O159" s="79"/>
      <c r="S159" s="79"/>
      <c r="T159" s="79"/>
      <c r="Y159" s="79"/>
      <c r="AD159" s="130"/>
      <c r="AF159" s="106"/>
    </row>
    <row r="160">
      <c r="C160" s="79"/>
      <c r="D160" s="79"/>
      <c r="E160" s="79"/>
      <c r="O160" s="79"/>
      <c r="S160" s="79"/>
      <c r="T160" s="79"/>
      <c r="Y160" s="79"/>
      <c r="AD160" s="130"/>
      <c r="AF160" s="106"/>
    </row>
    <row r="161">
      <c r="C161" s="79"/>
      <c r="D161" s="79"/>
      <c r="E161" s="79"/>
      <c r="O161" s="79"/>
      <c r="S161" s="79"/>
      <c r="T161" s="79"/>
      <c r="Y161" s="79"/>
      <c r="AD161" s="130"/>
      <c r="AF161" s="106"/>
    </row>
    <row r="162">
      <c r="C162" s="79"/>
      <c r="D162" s="79"/>
      <c r="E162" s="79"/>
      <c r="O162" s="79"/>
      <c r="S162" s="79"/>
      <c r="T162" s="79"/>
      <c r="Y162" s="79"/>
      <c r="AD162" s="130"/>
      <c r="AF162" s="106"/>
    </row>
    <row r="163">
      <c r="C163" s="79"/>
      <c r="D163" s="79"/>
      <c r="E163" s="79"/>
      <c r="O163" s="79"/>
      <c r="S163" s="79"/>
      <c r="T163" s="79"/>
      <c r="Y163" s="79"/>
      <c r="AD163" s="130"/>
      <c r="AF163" s="106"/>
    </row>
    <row r="164">
      <c r="C164" s="79"/>
      <c r="D164" s="79"/>
      <c r="E164" s="79"/>
      <c r="O164" s="79"/>
      <c r="S164" s="79"/>
      <c r="T164" s="79"/>
      <c r="Y164" s="79"/>
      <c r="AD164" s="130"/>
      <c r="AF164" s="106"/>
    </row>
    <row r="165">
      <c r="C165" s="79"/>
      <c r="D165" s="79"/>
      <c r="E165" s="79"/>
      <c r="O165" s="79"/>
      <c r="S165" s="79"/>
      <c r="T165" s="79"/>
      <c r="Y165" s="79"/>
      <c r="AD165" s="130"/>
      <c r="AF165" s="106"/>
    </row>
    <row r="166">
      <c r="C166" s="79"/>
      <c r="D166" s="79"/>
      <c r="E166" s="79"/>
      <c r="O166" s="79"/>
      <c r="S166" s="79"/>
      <c r="T166" s="79"/>
      <c r="Y166" s="79"/>
      <c r="AD166" s="130"/>
      <c r="AF166" s="106"/>
    </row>
    <row r="167">
      <c r="C167" s="79"/>
      <c r="D167" s="79"/>
      <c r="E167" s="79"/>
      <c r="O167" s="79"/>
      <c r="S167" s="79"/>
      <c r="T167" s="79"/>
      <c r="Y167" s="79"/>
      <c r="AD167" s="130"/>
      <c r="AF167" s="106"/>
    </row>
    <row r="168">
      <c r="C168" s="79"/>
      <c r="D168" s="79"/>
      <c r="E168" s="79"/>
      <c r="O168" s="79"/>
      <c r="S168" s="79"/>
      <c r="T168" s="79"/>
      <c r="Y168" s="79"/>
      <c r="AD168" s="130"/>
      <c r="AF168" s="106"/>
    </row>
    <row r="169">
      <c r="C169" s="79"/>
      <c r="D169" s="79"/>
      <c r="E169" s="79"/>
      <c r="O169" s="79"/>
      <c r="S169" s="79"/>
      <c r="T169" s="79"/>
      <c r="Y169" s="79"/>
      <c r="AD169" s="130"/>
      <c r="AF169" s="106"/>
    </row>
    <row r="170">
      <c r="C170" s="79"/>
      <c r="D170" s="79"/>
      <c r="E170" s="79"/>
      <c r="O170" s="79"/>
      <c r="S170" s="79"/>
      <c r="T170" s="79"/>
      <c r="Y170" s="79"/>
      <c r="AD170" s="130"/>
      <c r="AF170" s="106"/>
    </row>
    <row r="171">
      <c r="C171" s="79"/>
      <c r="D171" s="79"/>
      <c r="E171" s="79"/>
      <c r="O171" s="79"/>
      <c r="S171" s="79"/>
      <c r="T171" s="79"/>
      <c r="Y171" s="79"/>
      <c r="AD171" s="130"/>
      <c r="AF171" s="106"/>
    </row>
    <row r="172">
      <c r="C172" s="79"/>
      <c r="D172" s="79"/>
      <c r="E172" s="79"/>
      <c r="O172" s="79"/>
      <c r="S172" s="79"/>
      <c r="T172" s="79"/>
      <c r="Y172" s="79"/>
      <c r="AD172" s="130"/>
      <c r="AF172" s="106"/>
    </row>
    <row r="173">
      <c r="C173" s="79"/>
      <c r="D173" s="79"/>
      <c r="E173" s="79"/>
      <c r="O173" s="79"/>
      <c r="S173" s="79"/>
      <c r="T173" s="79"/>
      <c r="Y173" s="79"/>
      <c r="AD173" s="130"/>
      <c r="AF173" s="106"/>
    </row>
    <row r="174">
      <c r="C174" s="79"/>
      <c r="D174" s="79"/>
      <c r="E174" s="79"/>
      <c r="O174" s="79"/>
      <c r="S174" s="79"/>
      <c r="T174" s="79"/>
      <c r="Y174" s="79"/>
      <c r="AD174" s="130"/>
      <c r="AF174" s="106"/>
    </row>
    <row r="175">
      <c r="C175" s="79"/>
      <c r="D175" s="79"/>
      <c r="E175" s="79"/>
      <c r="O175" s="79"/>
      <c r="S175" s="79"/>
      <c r="T175" s="79"/>
      <c r="Y175" s="79"/>
      <c r="AD175" s="130"/>
      <c r="AF175" s="106"/>
    </row>
    <row r="176">
      <c r="C176" s="79"/>
      <c r="D176" s="79"/>
      <c r="E176" s="79"/>
      <c r="O176" s="79"/>
      <c r="S176" s="79"/>
      <c r="T176" s="79"/>
      <c r="Y176" s="79"/>
      <c r="AD176" s="130"/>
      <c r="AF176" s="106"/>
    </row>
    <row r="177">
      <c r="C177" s="79"/>
      <c r="D177" s="79"/>
      <c r="E177" s="79"/>
      <c r="O177" s="79"/>
      <c r="S177" s="79"/>
      <c r="T177" s="79"/>
      <c r="Y177" s="79"/>
      <c r="AD177" s="130"/>
      <c r="AF177" s="106"/>
    </row>
    <row r="178">
      <c r="C178" s="79"/>
      <c r="D178" s="79"/>
      <c r="E178" s="79"/>
      <c r="O178" s="79"/>
      <c r="S178" s="79"/>
      <c r="T178" s="79"/>
      <c r="Y178" s="79"/>
      <c r="AD178" s="130"/>
      <c r="AF178" s="106"/>
    </row>
    <row r="179">
      <c r="C179" s="79"/>
      <c r="D179" s="79"/>
      <c r="E179" s="79"/>
      <c r="O179" s="79"/>
      <c r="S179" s="79"/>
      <c r="T179" s="79"/>
      <c r="Y179" s="79"/>
      <c r="AD179" s="130"/>
      <c r="AF179" s="106"/>
    </row>
    <row r="180">
      <c r="C180" s="79"/>
      <c r="D180" s="79"/>
      <c r="E180" s="79"/>
      <c r="O180" s="79"/>
      <c r="S180" s="79"/>
      <c r="T180" s="79"/>
      <c r="Y180" s="79"/>
      <c r="AD180" s="130"/>
      <c r="AF180" s="106"/>
    </row>
    <row r="181">
      <c r="C181" s="79"/>
      <c r="D181" s="79"/>
      <c r="E181" s="79"/>
      <c r="O181" s="79"/>
      <c r="S181" s="79"/>
      <c r="T181" s="79"/>
      <c r="Y181" s="79"/>
      <c r="AD181" s="130"/>
      <c r="AF181" s="106"/>
    </row>
    <row r="182">
      <c r="C182" s="79"/>
      <c r="D182" s="79"/>
      <c r="E182" s="79"/>
      <c r="O182" s="79"/>
      <c r="S182" s="79"/>
      <c r="T182" s="79"/>
      <c r="Y182" s="79"/>
      <c r="AD182" s="130"/>
      <c r="AF182" s="106"/>
    </row>
    <row r="183">
      <c r="C183" s="79"/>
      <c r="D183" s="79"/>
      <c r="E183" s="79"/>
      <c r="O183" s="79"/>
      <c r="S183" s="79"/>
      <c r="T183" s="79"/>
      <c r="Y183" s="79"/>
      <c r="AD183" s="130"/>
      <c r="AF183" s="106"/>
    </row>
    <row r="184">
      <c r="C184" s="79"/>
      <c r="D184" s="79"/>
      <c r="E184" s="79"/>
      <c r="O184" s="79"/>
      <c r="S184" s="79"/>
      <c r="T184" s="79"/>
      <c r="Y184" s="79"/>
      <c r="AD184" s="130"/>
      <c r="AF184" s="106"/>
    </row>
    <row r="185">
      <c r="C185" s="79"/>
      <c r="D185" s="79"/>
      <c r="E185" s="79"/>
      <c r="O185" s="79"/>
      <c r="S185" s="79"/>
      <c r="T185" s="79"/>
      <c r="Y185" s="79"/>
      <c r="AD185" s="130"/>
      <c r="AF185" s="106"/>
    </row>
    <row r="186">
      <c r="C186" s="79"/>
      <c r="D186" s="79"/>
      <c r="E186" s="79"/>
      <c r="O186" s="79"/>
      <c r="S186" s="79"/>
      <c r="T186" s="79"/>
      <c r="Y186" s="79"/>
      <c r="AD186" s="130"/>
      <c r="AF186" s="106"/>
    </row>
    <row r="187">
      <c r="C187" s="79"/>
      <c r="D187" s="79"/>
      <c r="E187" s="79"/>
      <c r="O187" s="79"/>
      <c r="S187" s="79"/>
      <c r="T187" s="79"/>
      <c r="Y187" s="79"/>
      <c r="AD187" s="130"/>
      <c r="AF187" s="106"/>
    </row>
    <row r="188">
      <c r="C188" s="79"/>
      <c r="D188" s="79"/>
      <c r="E188" s="79"/>
      <c r="O188" s="79"/>
      <c r="S188" s="79"/>
      <c r="T188" s="79"/>
      <c r="Y188" s="79"/>
      <c r="AD188" s="130"/>
      <c r="AF188" s="106"/>
    </row>
    <row r="189">
      <c r="C189" s="79"/>
      <c r="D189" s="79"/>
      <c r="E189" s="79"/>
      <c r="O189" s="79"/>
      <c r="S189" s="79"/>
      <c r="T189" s="79"/>
      <c r="Y189" s="79"/>
      <c r="AD189" s="130"/>
      <c r="AF189" s="106"/>
    </row>
    <row r="190">
      <c r="C190" s="79"/>
      <c r="D190" s="79"/>
      <c r="E190" s="79"/>
      <c r="O190" s="79"/>
      <c r="S190" s="79"/>
      <c r="T190" s="79"/>
      <c r="Y190" s="79"/>
      <c r="AD190" s="130"/>
      <c r="AF190" s="106"/>
    </row>
    <row r="191">
      <c r="C191" s="79"/>
      <c r="D191" s="79"/>
      <c r="E191" s="79"/>
      <c r="O191" s="79"/>
      <c r="S191" s="79"/>
      <c r="T191" s="79"/>
      <c r="Y191" s="79"/>
      <c r="AD191" s="130"/>
      <c r="AF191" s="106"/>
    </row>
    <row r="192">
      <c r="C192" s="79"/>
      <c r="D192" s="79"/>
      <c r="E192" s="79"/>
      <c r="O192" s="79"/>
      <c r="S192" s="79"/>
      <c r="T192" s="79"/>
      <c r="Y192" s="79"/>
      <c r="AD192" s="130"/>
      <c r="AF192" s="106"/>
    </row>
    <row r="193">
      <c r="C193" s="79"/>
      <c r="D193" s="79"/>
      <c r="E193" s="79"/>
      <c r="O193" s="79"/>
      <c r="S193" s="79"/>
      <c r="T193" s="79"/>
      <c r="Y193" s="79"/>
      <c r="AD193" s="130"/>
      <c r="AF193" s="106"/>
    </row>
    <row r="194">
      <c r="C194" s="79"/>
      <c r="D194" s="79"/>
      <c r="E194" s="79"/>
      <c r="O194" s="79"/>
      <c r="S194" s="79"/>
      <c r="T194" s="79"/>
      <c r="Y194" s="79"/>
      <c r="AD194" s="130"/>
      <c r="AF194" s="106"/>
    </row>
    <row r="195">
      <c r="C195" s="79"/>
      <c r="D195" s="79"/>
      <c r="E195" s="79"/>
      <c r="O195" s="79"/>
      <c r="S195" s="79"/>
      <c r="T195" s="79"/>
      <c r="Y195" s="79"/>
      <c r="AD195" s="130"/>
      <c r="AF195" s="106"/>
    </row>
    <row r="196">
      <c r="C196" s="79"/>
      <c r="D196" s="79"/>
      <c r="E196" s="79"/>
      <c r="O196" s="79"/>
      <c r="S196" s="79"/>
      <c r="T196" s="79"/>
      <c r="Y196" s="79"/>
      <c r="AD196" s="130"/>
      <c r="AF196" s="106"/>
    </row>
    <row r="197">
      <c r="C197" s="79"/>
      <c r="D197" s="79"/>
      <c r="E197" s="79"/>
      <c r="O197" s="79"/>
      <c r="S197" s="79"/>
      <c r="T197" s="79"/>
      <c r="Y197" s="79"/>
      <c r="AD197" s="130"/>
      <c r="AF197" s="106"/>
    </row>
    <row r="198">
      <c r="C198" s="79"/>
      <c r="D198" s="79"/>
      <c r="E198" s="79"/>
      <c r="O198" s="79"/>
      <c r="S198" s="79"/>
      <c r="T198" s="79"/>
      <c r="Y198" s="79"/>
      <c r="AD198" s="130"/>
      <c r="AF198" s="106"/>
    </row>
    <row r="199">
      <c r="C199" s="79"/>
      <c r="D199" s="79"/>
      <c r="E199" s="79"/>
      <c r="O199" s="79"/>
      <c r="S199" s="79"/>
      <c r="T199" s="79"/>
      <c r="Y199" s="79"/>
      <c r="AD199" s="130"/>
      <c r="AF199" s="106"/>
    </row>
    <row r="200">
      <c r="C200" s="79"/>
      <c r="D200" s="79"/>
      <c r="E200" s="79"/>
      <c r="O200" s="79"/>
      <c r="S200" s="79"/>
      <c r="T200" s="79"/>
      <c r="Y200" s="79"/>
      <c r="AD200" s="130"/>
      <c r="AF200" s="106"/>
    </row>
    <row r="201">
      <c r="C201" s="79"/>
      <c r="D201" s="79"/>
      <c r="E201" s="79"/>
      <c r="O201" s="79"/>
      <c r="S201" s="79"/>
      <c r="T201" s="79"/>
      <c r="Y201" s="79"/>
      <c r="AD201" s="130"/>
      <c r="AF201" s="106"/>
    </row>
    <row r="202">
      <c r="C202" s="79"/>
      <c r="D202" s="79"/>
      <c r="E202" s="79"/>
      <c r="O202" s="79"/>
      <c r="S202" s="79"/>
      <c r="T202" s="79"/>
      <c r="Y202" s="79"/>
      <c r="AD202" s="130"/>
      <c r="AF202" s="106"/>
    </row>
    <row r="203">
      <c r="C203" s="79"/>
      <c r="D203" s="79"/>
      <c r="E203" s="79"/>
      <c r="O203" s="79"/>
      <c r="S203" s="79"/>
      <c r="T203" s="79"/>
      <c r="Y203" s="79"/>
      <c r="AD203" s="130"/>
      <c r="AF203" s="106"/>
    </row>
    <row r="204">
      <c r="C204" s="79"/>
      <c r="D204" s="79"/>
      <c r="E204" s="79"/>
      <c r="O204" s="79"/>
      <c r="S204" s="79"/>
      <c r="T204" s="79"/>
      <c r="Y204" s="79"/>
      <c r="AD204" s="130"/>
      <c r="AF204" s="106"/>
    </row>
    <row r="205">
      <c r="C205" s="79"/>
      <c r="D205" s="79"/>
      <c r="E205" s="79"/>
      <c r="O205" s="79"/>
      <c r="S205" s="79"/>
      <c r="T205" s="79"/>
      <c r="Y205" s="79"/>
      <c r="AD205" s="130"/>
      <c r="AF205" s="106"/>
    </row>
    <row r="206">
      <c r="C206" s="79"/>
      <c r="D206" s="79"/>
      <c r="E206" s="79"/>
      <c r="O206" s="79"/>
      <c r="S206" s="79"/>
      <c r="T206" s="79"/>
      <c r="Y206" s="79"/>
      <c r="AD206" s="130"/>
      <c r="AF206" s="106"/>
    </row>
    <row r="207">
      <c r="C207" s="79"/>
      <c r="D207" s="79"/>
      <c r="E207" s="79"/>
      <c r="O207" s="79"/>
      <c r="S207" s="79"/>
      <c r="T207" s="79"/>
      <c r="Y207" s="79"/>
      <c r="AD207" s="130"/>
      <c r="AF207" s="106"/>
    </row>
    <row r="208">
      <c r="C208" s="79"/>
      <c r="D208" s="79"/>
      <c r="E208" s="79"/>
      <c r="O208" s="79"/>
      <c r="S208" s="79"/>
      <c r="T208" s="79"/>
      <c r="Y208" s="79"/>
      <c r="AD208" s="130"/>
      <c r="AF208" s="106"/>
    </row>
    <row r="209">
      <c r="C209" s="79"/>
      <c r="D209" s="79"/>
      <c r="E209" s="79"/>
      <c r="O209" s="79"/>
      <c r="S209" s="79"/>
      <c r="T209" s="79"/>
      <c r="Y209" s="79"/>
      <c r="AD209" s="130"/>
      <c r="AF209" s="106"/>
    </row>
    <row r="210">
      <c r="C210" s="79"/>
      <c r="D210" s="79"/>
      <c r="E210" s="79"/>
      <c r="O210" s="79"/>
      <c r="S210" s="79"/>
      <c r="T210" s="79"/>
      <c r="Y210" s="79"/>
      <c r="AD210" s="130"/>
      <c r="AF210" s="106"/>
    </row>
    <row r="211">
      <c r="C211" s="79"/>
      <c r="D211" s="79"/>
      <c r="E211" s="79"/>
      <c r="O211" s="79"/>
      <c r="S211" s="79"/>
      <c r="T211" s="79"/>
      <c r="Y211" s="79"/>
      <c r="AD211" s="130"/>
      <c r="AF211" s="106"/>
    </row>
    <row r="212">
      <c r="C212" s="79"/>
      <c r="D212" s="79"/>
      <c r="E212" s="79"/>
      <c r="O212" s="79"/>
      <c r="S212" s="79"/>
      <c r="T212" s="79"/>
      <c r="Y212" s="79"/>
      <c r="AD212" s="130"/>
      <c r="AF212" s="106"/>
    </row>
    <row r="213">
      <c r="C213" s="79"/>
      <c r="D213" s="79"/>
      <c r="E213" s="79"/>
      <c r="O213" s="79"/>
      <c r="S213" s="79"/>
      <c r="T213" s="79"/>
      <c r="Y213" s="79"/>
      <c r="AD213" s="130"/>
      <c r="AF213" s="106"/>
    </row>
    <row r="214">
      <c r="C214" s="79"/>
      <c r="D214" s="79"/>
      <c r="E214" s="79"/>
      <c r="O214" s="79"/>
      <c r="S214" s="79"/>
      <c r="T214" s="79"/>
      <c r="Y214" s="79"/>
      <c r="AD214" s="130"/>
      <c r="AF214" s="106"/>
    </row>
    <row r="215">
      <c r="C215" s="79"/>
      <c r="D215" s="79"/>
      <c r="E215" s="79"/>
      <c r="O215" s="79"/>
      <c r="S215" s="79"/>
      <c r="T215" s="79"/>
      <c r="Y215" s="79"/>
      <c r="AD215" s="130"/>
      <c r="AF215" s="106"/>
    </row>
    <row r="216">
      <c r="C216" s="79"/>
      <c r="D216" s="79"/>
      <c r="E216" s="79"/>
      <c r="O216" s="79"/>
      <c r="S216" s="79"/>
      <c r="T216" s="79"/>
      <c r="Y216" s="79"/>
      <c r="AD216" s="130"/>
      <c r="AF216" s="106"/>
    </row>
    <row r="217">
      <c r="C217" s="79"/>
      <c r="D217" s="79"/>
      <c r="E217" s="79"/>
      <c r="O217" s="79"/>
      <c r="S217" s="79"/>
      <c r="T217" s="79"/>
      <c r="Y217" s="79"/>
      <c r="AD217" s="130"/>
      <c r="AF217" s="106"/>
    </row>
    <row r="218">
      <c r="C218" s="79"/>
      <c r="D218" s="79"/>
      <c r="E218" s="79"/>
      <c r="O218" s="79"/>
      <c r="S218" s="79"/>
      <c r="T218" s="79"/>
      <c r="Y218" s="79"/>
      <c r="AD218" s="130"/>
      <c r="AF218" s="106"/>
    </row>
    <row r="219">
      <c r="C219" s="79"/>
      <c r="D219" s="79"/>
      <c r="E219" s="79"/>
      <c r="O219" s="79"/>
      <c r="S219" s="79"/>
      <c r="T219" s="79"/>
      <c r="Y219" s="79"/>
      <c r="AD219" s="130"/>
      <c r="AF219" s="106"/>
    </row>
    <row r="220">
      <c r="C220" s="79"/>
      <c r="D220" s="79"/>
      <c r="E220" s="79"/>
      <c r="O220" s="79"/>
      <c r="S220" s="79"/>
      <c r="T220" s="79"/>
      <c r="Y220" s="79"/>
      <c r="AD220" s="130"/>
      <c r="AF220" s="106"/>
    </row>
    <row r="221">
      <c r="C221" s="79"/>
      <c r="D221" s="79"/>
      <c r="E221" s="79"/>
      <c r="O221" s="79"/>
      <c r="S221" s="79"/>
      <c r="T221" s="79"/>
      <c r="Y221" s="79"/>
      <c r="AD221" s="130"/>
      <c r="AF221" s="106"/>
    </row>
    <row r="222">
      <c r="C222" s="79"/>
      <c r="D222" s="79"/>
      <c r="E222" s="79"/>
      <c r="O222" s="79"/>
      <c r="S222" s="79"/>
      <c r="T222" s="79"/>
      <c r="Y222" s="79"/>
      <c r="AD222" s="130"/>
      <c r="AF222" s="106"/>
    </row>
    <row r="223">
      <c r="C223" s="79"/>
      <c r="D223" s="79"/>
      <c r="E223" s="79"/>
      <c r="O223" s="79"/>
      <c r="S223" s="79"/>
      <c r="T223" s="79"/>
      <c r="Y223" s="79"/>
      <c r="AD223" s="130"/>
      <c r="AF223" s="106"/>
    </row>
    <row r="224">
      <c r="C224" s="79"/>
      <c r="D224" s="79"/>
      <c r="E224" s="79"/>
      <c r="O224" s="79"/>
      <c r="S224" s="79"/>
      <c r="T224" s="79"/>
      <c r="Y224" s="79"/>
      <c r="AD224" s="130"/>
      <c r="AF224" s="106"/>
    </row>
    <row r="225">
      <c r="C225" s="79"/>
      <c r="D225" s="79"/>
      <c r="E225" s="79"/>
      <c r="O225" s="79"/>
      <c r="S225" s="79"/>
      <c r="T225" s="79"/>
      <c r="Y225" s="79"/>
      <c r="AD225" s="130"/>
      <c r="AF225" s="106"/>
    </row>
    <row r="226">
      <c r="C226" s="79"/>
      <c r="D226" s="79"/>
      <c r="E226" s="79"/>
      <c r="O226" s="79"/>
      <c r="S226" s="79"/>
      <c r="T226" s="79"/>
      <c r="Y226" s="79"/>
      <c r="AD226" s="130"/>
      <c r="AF226" s="106"/>
    </row>
    <row r="227">
      <c r="C227" s="79"/>
      <c r="D227" s="79"/>
      <c r="E227" s="79"/>
      <c r="O227" s="79"/>
      <c r="S227" s="79"/>
      <c r="T227" s="79"/>
      <c r="Y227" s="79"/>
      <c r="AD227" s="130"/>
      <c r="AF227" s="106"/>
    </row>
    <row r="228">
      <c r="C228" s="79"/>
      <c r="D228" s="79"/>
      <c r="E228" s="79"/>
      <c r="O228" s="79"/>
      <c r="S228" s="79"/>
      <c r="T228" s="79"/>
      <c r="Y228" s="79"/>
      <c r="AD228" s="130"/>
      <c r="AF228" s="106"/>
    </row>
    <row r="229">
      <c r="C229" s="79"/>
      <c r="D229" s="79"/>
      <c r="E229" s="79"/>
      <c r="O229" s="79"/>
      <c r="S229" s="79"/>
      <c r="T229" s="79"/>
      <c r="Y229" s="79"/>
      <c r="AD229" s="130"/>
      <c r="AF229" s="106"/>
    </row>
    <row r="230">
      <c r="C230" s="79"/>
      <c r="D230" s="79"/>
      <c r="E230" s="79"/>
      <c r="O230" s="79"/>
      <c r="S230" s="79"/>
      <c r="T230" s="79"/>
      <c r="Y230" s="79"/>
      <c r="AD230" s="130"/>
      <c r="AF230" s="106"/>
    </row>
    <row r="231">
      <c r="C231" s="79"/>
      <c r="D231" s="79"/>
      <c r="E231" s="79"/>
      <c r="O231" s="79"/>
      <c r="S231" s="79"/>
      <c r="T231" s="79"/>
      <c r="Y231" s="79"/>
      <c r="AD231" s="130"/>
      <c r="AF231" s="106"/>
    </row>
    <row r="232">
      <c r="C232" s="79"/>
      <c r="D232" s="79"/>
      <c r="E232" s="79"/>
      <c r="O232" s="79"/>
      <c r="S232" s="79"/>
      <c r="T232" s="79"/>
      <c r="Y232" s="79"/>
      <c r="AD232" s="130"/>
      <c r="AF232" s="106"/>
    </row>
    <row r="233">
      <c r="C233" s="79"/>
      <c r="D233" s="79"/>
      <c r="E233" s="79"/>
      <c r="O233" s="79"/>
      <c r="S233" s="79"/>
      <c r="T233" s="79"/>
      <c r="Y233" s="79"/>
      <c r="AD233" s="130"/>
      <c r="AF233" s="106"/>
    </row>
    <row r="234">
      <c r="C234" s="79"/>
      <c r="D234" s="79"/>
      <c r="E234" s="79"/>
      <c r="O234" s="79"/>
      <c r="S234" s="79"/>
      <c r="T234" s="79"/>
      <c r="Y234" s="79"/>
      <c r="AD234" s="130"/>
      <c r="AF234" s="106"/>
    </row>
    <row r="235">
      <c r="C235" s="79"/>
      <c r="D235" s="79"/>
      <c r="E235" s="79"/>
      <c r="O235" s="79"/>
      <c r="S235" s="79"/>
      <c r="T235" s="79"/>
      <c r="Y235" s="79"/>
      <c r="AD235" s="130"/>
      <c r="AF235" s="106"/>
    </row>
    <row r="236">
      <c r="C236" s="79"/>
      <c r="D236" s="79"/>
      <c r="E236" s="79"/>
      <c r="O236" s="79"/>
      <c r="S236" s="79"/>
      <c r="T236" s="79"/>
      <c r="Y236" s="79"/>
      <c r="AD236" s="130"/>
      <c r="AF236" s="106"/>
    </row>
    <row r="237">
      <c r="C237" s="79"/>
      <c r="D237" s="79"/>
      <c r="E237" s="79"/>
      <c r="O237" s="79"/>
      <c r="S237" s="79"/>
      <c r="T237" s="79"/>
      <c r="Y237" s="79"/>
      <c r="AD237" s="130"/>
      <c r="AF237" s="106"/>
    </row>
    <row r="238">
      <c r="C238" s="79"/>
      <c r="D238" s="79"/>
      <c r="E238" s="79"/>
      <c r="O238" s="79"/>
      <c r="S238" s="79"/>
      <c r="T238" s="79"/>
      <c r="Y238" s="79"/>
      <c r="AD238" s="130"/>
      <c r="AF238" s="106"/>
    </row>
    <row r="239">
      <c r="C239" s="79"/>
      <c r="D239" s="79"/>
      <c r="E239" s="79"/>
      <c r="O239" s="79"/>
      <c r="S239" s="79"/>
      <c r="T239" s="79"/>
      <c r="Y239" s="79"/>
      <c r="AD239" s="130"/>
      <c r="AF239" s="106"/>
    </row>
    <row r="240">
      <c r="C240" s="79"/>
      <c r="D240" s="79"/>
      <c r="E240" s="79"/>
      <c r="O240" s="79"/>
      <c r="S240" s="79"/>
      <c r="T240" s="79"/>
      <c r="Y240" s="79"/>
      <c r="AD240" s="130"/>
      <c r="AF240" s="106"/>
    </row>
    <row r="241">
      <c r="C241" s="79"/>
      <c r="D241" s="79"/>
      <c r="E241" s="79"/>
      <c r="O241" s="79"/>
      <c r="S241" s="79"/>
      <c r="T241" s="79"/>
      <c r="Y241" s="79"/>
      <c r="AD241" s="130"/>
      <c r="AF241" s="106"/>
    </row>
    <row r="242">
      <c r="C242" s="79"/>
      <c r="D242" s="79"/>
      <c r="E242" s="79"/>
      <c r="O242" s="79"/>
      <c r="S242" s="79"/>
      <c r="T242" s="79"/>
      <c r="Y242" s="79"/>
      <c r="AD242" s="130"/>
      <c r="AF242" s="106"/>
    </row>
    <row r="243">
      <c r="C243" s="79"/>
      <c r="D243" s="79"/>
      <c r="E243" s="79"/>
      <c r="O243" s="79"/>
      <c r="S243" s="79"/>
      <c r="T243" s="79"/>
      <c r="Y243" s="79"/>
      <c r="AD243" s="130"/>
      <c r="AF243" s="106"/>
    </row>
    <row r="244">
      <c r="C244" s="79"/>
      <c r="D244" s="79"/>
      <c r="E244" s="79"/>
      <c r="O244" s="79"/>
      <c r="S244" s="79"/>
      <c r="T244" s="79"/>
      <c r="Y244" s="79"/>
      <c r="AD244" s="130"/>
      <c r="AF244" s="106"/>
    </row>
    <row r="245">
      <c r="C245" s="79"/>
      <c r="D245" s="79"/>
      <c r="E245" s="79"/>
      <c r="O245" s="79"/>
      <c r="S245" s="79"/>
      <c r="T245" s="79"/>
      <c r="Y245" s="79"/>
      <c r="AD245" s="130"/>
      <c r="AF245" s="106"/>
    </row>
    <row r="246">
      <c r="C246" s="79"/>
      <c r="D246" s="79"/>
      <c r="E246" s="79"/>
      <c r="O246" s="79"/>
      <c r="S246" s="79"/>
      <c r="T246" s="79"/>
      <c r="Y246" s="79"/>
      <c r="AD246" s="130"/>
      <c r="AF246" s="106"/>
    </row>
    <row r="247">
      <c r="C247" s="79"/>
      <c r="D247" s="79"/>
      <c r="E247" s="79"/>
      <c r="O247" s="79"/>
      <c r="S247" s="79"/>
      <c r="T247" s="79"/>
      <c r="Y247" s="79"/>
      <c r="AD247" s="130"/>
      <c r="AF247" s="106"/>
    </row>
    <row r="248">
      <c r="C248" s="79"/>
      <c r="D248" s="79"/>
      <c r="E248" s="79"/>
      <c r="O248" s="79"/>
      <c r="S248" s="79"/>
      <c r="T248" s="79"/>
      <c r="Y248" s="79"/>
      <c r="AD248" s="130"/>
      <c r="AF248" s="106"/>
    </row>
    <row r="249">
      <c r="C249" s="79"/>
      <c r="D249" s="79"/>
      <c r="E249" s="79"/>
      <c r="O249" s="79"/>
      <c r="S249" s="79"/>
      <c r="T249" s="79"/>
      <c r="Y249" s="79"/>
      <c r="AD249" s="130"/>
      <c r="AF249" s="106"/>
    </row>
    <row r="250">
      <c r="C250" s="79"/>
      <c r="D250" s="79"/>
      <c r="E250" s="79"/>
      <c r="O250" s="79"/>
      <c r="S250" s="79"/>
      <c r="T250" s="79"/>
      <c r="Y250" s="79"/>
      <c r="AD250" s="130"/>
      <c r="AF250" s="106"/>
    </row>
    <row r="251">
      <c r="C251" s="79"/>
      <c r="D251" s="79"/>
      <c r="E251" s="79"/>
      <c r="O251" s="79"/>
      <c r="S251" s="79"/>
      <c r="T251" s="79"/>
      <c r="Y251" s="79"/>
      <c r="AD251" s="130"/>
      <c r="AF251" s="106"/>
    </row>
    <row r="252">
      <c r="C252" s="79"/>
      <c r="D252" s="79"/>
      <c r="E252" s="79"/>
      <c r="O252" s="79"/>
      <c r="S252" s="79"/>
      <c r="T252" s="79"/>
      <c r="Y252" s="79"/>
      <c r="AD252" s="130"/>
      <c r="AF252" s="106"/>
    </row>
    <row r="253">
      <c r="C253" s="79"/>
      <c r="D253" s="79"/>
      <c r="E253" s="79"/>
      <c r="O253" s="79"/>
      <c r="S253" s="79"/>
      <c r="T253" s="79"/>
      <c r="Y253" s="79"/>
      <c r="AD253" s="130"/>
      <c r="AF253" s="106"/>
    </row>
    <row r="254">
      <c r="C254" s="79"/>
      <c r="D254" s="79"/>
      <c r="E254" s="79"/>
      <c r="O254" s="79"/>
      <c r="S254" s="79"/>
      <c r="T254" s="79"/>
      <c r="Y254" s="79"/>
      <c r="AD254" s="130"/>
      <c r="AF254" s="106"/>
    </row>
    <row r="255">
      <c r="C255" s="79"/>
      <c r="D255" s="79"/>
      <c r="E255" s="79"/>
      <c r="O255" s="79"/>
      <c r="S255" s="79"/>
      <c r="T255" s="79"/>
      <c r="Y255" s="79"/>
      <c r="AD255" s="130"/>
      <c r="AF255" s="106"/>
    </row>
    <row r="256">
      <c r="C256" s="79"/>
      <c r="D256" s="79"/>
      <c r="E256" s="79"/>
      <c r="O256" s="79"/>
      <c r="S256" s="79"/>
      <c r="T256" s="79"/>
      <c r="Y256" s="79"/>
      <c r="AD256" s="130"/>
      <c r="AF256" s="106"/>
    </row>
    <row r="257">
      <c r="C257" s="79"/>
      <c r="D257" s="79"/>
      <c r="E257" s="79"/>
      <c r="O257" s="79"/>
      <c r="S257" s="79"/>
      <c r="T257" s="79"/>
      <c r="Y257" s="79"/>
      <c r="AD257" s="130"/>
      <c r="AF257" s="106"/>
    </row>
    <row r="258">
      <c r="C258" s="79"/>
      <c r="D258" s="79"/>
      <c r="E258" s="79"/>
      <c r="O258" s="79"/>
      <c r="S258" s="79"/>
      <c r="T258" s="79"/>
      <c r="Y258" s="79"/>
      <c r="AD258" s="130"/>
      <c r="AF258" s="106"/>
    </row>
    <row r="259">
      <c r="C259" s="79"/>
      <c r="D259" s="79"/>
      <c r="E259" s="79"/>
      <c r="O259" s="79"/>
      <c r="S259" s="79"/>
      <c r="T259" s="79"/>
      <c r="Y259" s="79"/>
      <c r="AD259" s="130"/>
      <c r="AF259" s="106"/>
    </row>
    <row r="260">
      <c r="C260" s="79"/>
      <c r="D260" s="79"/>
      <c r="E260" s="79"/>
      <c r="O260" s="79"/>
      <c r="S260" s="79"/>
      <c r="T260" s="79"/>
      <c r="Y260" s="79"/>
      <c r="AD260" s="130"/>
      <c r="AF260" s="106"/>
    </row>
    <row r="261">
      <c r="C261" s="79"/>
      <c r="D261" s="79"/>
      <c r="E261" s="79"/>
      <c r="O261" s="79"/>
      <c r="S261" s="79"/>
      <c r="T261" s="79"/>
      <c r="Y261" s="79"/>
      <c r="AD261" s="130"/>
      <c r="AF261" s="106"/>
    </row>
    <row r="262">
      <c r="C262" s="79"/>
      <c r="D262" s="79"/>
      <c r="E262" s="79"/>
      <c r="O262" s="79"/>
      <c r="S262" s="79"/>
      <c r="T262" s="79"/>
      <c r="Y262" s="79"/>
      <c r="AD262" s="130"/>
      <c r="AF262" s="106"/>
    </row>
    <row r="263">
      <c r="C263" s="79"/>
      <c r="D263" s="79"/>
      <c r="E263" s="79"/>
      <c r="O263" s="79"/>
      <c r="S263" s="79"/>
      <c r="T263" s="79"/>
      <c r="Y263" s="79"/>
      <c r="AD263" s="130"/>
      <c r="AF263" s="106"/>
    </row>
    <row r="264">
      <c r="C264" s="79"/>
      <c r="D264" s="79"/>
      <c r="E264" s="79"/>
      <c r="O264" s="79"/>
      <c r="S264" s="79"/>
      <c r="T264" s="79"/>
      <c r="Y264" s="79"/>
      <c r="AD264" s="130"/>
      <c r="AF264" s="106"/>
    </row>
    <row r="265">
      <c r="C265" s="79"/>
      <c r="D265" s="79"/>
      <c r="E265" s="79"/>
      <c r="O265" s="79"/>
      <c r="S265" s="79"/>
      <c r="T265" s="79"/>
      <c r="Y265" s="79"/>
      <c r="AD265" s="130"/>
      <c r="AF265" s="106"/>
    </row>
    <row r="266">
      <c r="C266" s="79"/>
      <c r="D266" s="79"/>
      <c r="E266" s="79"/>
      <c r="O266" s="79"/>
      <c r="S266" s="79"/>
      <c r="T266" s="79"/>
      <c r="Y266" s="79"/>
      <c r="AD266" s="130"/>
      <c r="AF266" s="106"/>
    </row>
    <row r="267">
      <c r="C267" s="79"/>
      <c r="D267" s="79"/>
      <c r="E267" s="79"/>
      <c r="O267" s="79"/>
      <c r="S267" s="79"/>
      <c r="T267" s="79"/>
      <c r="Y267" s="79"/>
      <c r="AD267" s="130"/>
      <c r="AF267" s="106"/>
    </row>
    <row r="268">
      <c r="C268" s="79"/>
      <c r="D268" s="79"/>
      <c r="E268" s="79"/>
      <c r="O268" s="79"/>
      <c r="S268" s="79"/>
      <c r="T268" s="79"/>
      <c r="Y268" s="79"/>
      <c r="AD268" s="130"/>
      <c r="AF268" s="106"/>
    </row>
    <row r="269">
      <c r="C269" s="79"/>
      <c r="D269" s="79"/>
      <c r="E269" s="79"/>
      <c r="O269" s="79"/>
      <c r="S269" s="79"/>
      <c r="T269" s="79"/>
      <c r="Y269" s="79"/>
      <c r="AD269" s="130"/>
      <c r="AF269" s="106"/>
    </row>
    <row r="270">
      <c r="C270" s="79"/>
      <c r="D270" s="79"/>
      <c r="E270" s="79"/>
      <c r="O270" s="79"/>
      <c r="S270" s="79"/>
      <c r="T270" s="79"/>
      <c r="Y270" s="79"/>
      <c r="AD270" s="130"/>
      <c r="AF270" s="106"/>
    </row>
    <row r="271">
      <c r="C271" s="79"/>
      <c r="D271" s="79"/>
      <c r="E271" s="79"/>
      <c r="O271" s="79"/>
      <c r="S271" s="79"/>
      <c r="T271" s="79"/>
      <c r="Y271" s="79"/>
      <c r="AD271" s="130"/>
      <c r="AF271" s="106"/>
    </row>
    <row r="272">
      <c r="C272" s="79"/>
      <c r="D272" s="79"/>
      <c r="E272" s="79"/>
      <c r="O272" s="79"/>
      <c r="S272" s="79"/>
      <c r="T272" s="79"/>
      <c r="Y272" s="79"/>
      <c r="AD272" s="130"/>
      <c r="AF272" s="106"/>
    </row>
    <row r="273">
      <c r="C273" s="79"/>
      <c r="D273" s="79"/>
      <c r="E273" s="79"/>
      <c r="O273" s="79"/>
      <c r="S273" s="79"/>
      <c r="T273" s="79"/>
      <c r="Y273" s="79"/>
      <c r="AD273" s="130"/>
      <c r="AF273" s="106"/>
    </row>
    <row r="274">
      <c r="C274" s="79"/>
      <c r="D274" s="79"/>
      <c r="E274" s="79"/>
      <c r="O274" s="79"/>
      <c r="S274" s="79"/>
      <c r="T274" s="79"/>
      <c r="Y274" s="79"/>
      <c r="AD274" s="130"/>
      <c r="AF274" s="106"/>
    </row>
    <row r="275">
      <c r="C275" s="79"/>
      <c r="D275" s="79"/>
      <c r="E275" s="79"/>
      <c r="O275" s="79"/>
      <c r="S275" s="79"/>
      <c r="T275" s="79"/>
      <c r="Y275" s="79"/>
      <c r="AD275" s="130"/>
      <c r="AF275" s="106"/>
    </row>
    <row r="276">
      <c r="C276" s="79"/>
      <c r="D276" s="79"/>
      <c r="E276" s="79"/>
      <c r="O276" s="79"/>
      <c r="S276" s="79"/>
      <c r="T276" s="79"/>
      <c r="Y276" s="79"/>
      <c r="AD276" s="130"/>
      <c r="AF276" s="106"/>
    </row>
    <row r="277">
      <c r="C277" s="79"/>
      <c r="D277" s="79"/>
      <c r="E277" s="79"/>
      <c r="O277" s="79"/>
      <c r="S277" s="79"/>
      <c r="T277" s="79"/>
      <c r="Y277" s="79"/>
      <c r="AD277" s="130"/>
      <c r="AF277" s="106"/>
    </row>
    <row r="278">
      <c r="C278" s="79"/>
      <c r="D278" s="79"/>
      <c r="E278" s="79"/>
      <c r="O278" s="79"/>
      <c r="S278" s="79"/>
      <c r="T278" s="79"/>
      <c r="Y278" s="79"/>
      <c r="AD278" s="130"/>
      <c r="AF278" s="106"/>
    </row>
    <row r="279">
      <c r="C279" s="79"/>
      <c r="D279" s="79"/>
      <c r="E279" s="79"/>
      <c r="O279" s="79"/>
      <c r="S279" s="79"/>
      <c r="T279" s="79"/>
      <c r="Y279" s="79"/>
      <c r="AD279" s="130"/>
      <c r="AF279" s="106"/>
    </row>
    <row r="280">
      <c r="C280" s="79"/>
      <c r="D280" s="79"/>
      <c r="E280" s="79"/>
      <c r="O280" s="79"/>
      <c r="S280" s="79"/>
      <c r="T280" s="79"/>
      <c r="Y280" s="79"/>
      <c r="AD280" s="130"/>
      <c r="AF280" s="106"/>
    </row>
    <row r="281">
      <c r="C281" s="79"/>
      <c r="D281" s="79"/>
      <c r="E281" s="79"/>
      <c r="O281" s="79"/>
      <c r="S281" s="79"/>
      <c r="T281" s="79"/>
      <c r="Y281" s="79"/>
      <c r="AD281" s="130"/>
      <c r="AF281" s="106"/>
    </row>
    <row r="282">
      <c r="C282" s="79"/>
      <c r="D282" s="79"/>
      <c r="E282" s="79"/>
      <c r="O282" s="79"/>
      <c r="S282" s="79"/>
      <c r="T282" s="79"/>
      <c r="Y282" s="79"/>
      <c r="AD282" s="130"/>
      <c r="AF282" s="106"/>
    </row>
    <row r="283">
      <c r="C283" s="79"/>
      <c r="D283" s="79"/>
      <c r="E283" s="79"/>
      <c r="O283" s="79"/>
      <c r="S283" s="79"/>
      <c r="T283" s="79"/>
      <c r="Y283" s="79"/>
      <c r="AD283" s="130"/>
      <c r="AF283" s="106"/>
    </row>
    <row r="284">
      <c r="C284" s="79"/>
      <c r="D284" s="79"/>
      <c r="E284" s="79"/>
      <c r="O284" s="79"/>
      <c r="S284" s="79"/>
      <c r="T284" s="79"/>
      <c r="Y284" s="79"/>
      <c r="AD284" s="130"/>
      <c r="AF284" s="106"/>
    </row>
    <row r="285">
      <c r="C285" s="79"/>
      <c r="D285" s="79"/>
      <c r="E285" s="79"/>
      <c r="O285" s="79"/>
      <c r="S285" s="79"/>
      <c r="T285" s="79"/>
      <c r="Y285" s="79"/>
      <c r="AD285" s="130"/>
      <c r="AF285" s="106"/>
    </row>
    <row r="286">
      <c r="C286" s="79"/>
      <c r="D286" s="79"/>
      <c r="E286" s="79"/>
      <c r="O286" s="79"/>
      <c r="S286" s="79"/>
      <c r="T286" s="79"/>
      <c r="Y286" s="79"/>
      <c r="AD286" s="130"/>
      <c r="AF286" s="106"/>
    </row>
    <row r="287">
      <c r="C287" s="79"/>
      <c r="D287" s="79"/>
      <c r="E287" s="79"/>
      <c r="O287" s="79"/>
      <c r="S287" s="79"/>
      <c r="T287" s="79"/>
      <c r="Y287" s="79"/>
      <c r="AD287" s="130"/>
      <c r="AF287" s="106"/>
    </row>
    <row r="288">
      <c r="C288" s="79"/>
      <c r="D288" s="79"/>
      <c r="E288" s="79"/>
      <c r="O288" s="79"/>
      <c r="S288" s="79"/>
      <c r="T288" s="79"/>
      <c r="Y288" s="79"/>
      <c r="AD288" s="130"/>
      <c r="AF288" s="106"/>
    </row>
    <row r="289">
      <c r="C289" s="79"/>
      <c r="D289" s="79"/>
      <c r="E289" s="79"/>
      <c r="O289" s="79"/>
      <c r="S289" s="79"/>
      <c r="T289" s="79"/>
      <c r="Y289" s="79"/>
      <c r="AD289" s="130"/>
      <c r="AF289" s="106"/>
    </row>
    <row r="290">
      <c r="C290" s="79"/>
      <c r="D290" s="79"/>
      <c r="E290" s="79"/>
      <c r="O290" s="79"/>
      <c r="S290" s="79"/>
      <c r="T290" s="79"/>
      <c r="Y290" s="79"/>
      <c r="AD290" s="130"/>
      <c r="AF290" s="106"/>
    </row>
    <row r="291">
      <c r="C291" s="79"/>
      <c r="D291" s="79"/>
      <c r="E291" s="79"/>
      <c r="O291" s="79"/>
      <c r="S291" s="79"/>
      <c r="T291" s="79"/>
      <c r="Y291" s="79"/>
      <c r="AD291" s="130"/>
      <c r="AF291" s="106"/>
    </row>
    <row r="292">
      <c r="C292" s="79"/>
      <c r="D292" s="79"/>
      <c r="E292" s="79"/>
      <c r="O292" s="79"/>
      <c r="S292" s="79"/>
      <c r="T292" s="79"/>
      <c r="Y292" s="79"/>
      <c r="AD292" s="130"/>
      <c r="AF292" s="106"/>
    </row>
    <row r="293">
      <c r="C293" s="79"/>
      <c r="D293" s="79"/>
      <c r="E293" s="79"/>
      <c r="O293" s="79"/>
      <c r="S293" s="79"/>
      <c r="T293" s="79"/>
      <c r="Y293" s="79"/>
      <c r="AD293" s="130"/>
      <c r="AF293" s="106"/>
    </row>
    <row r="294">
      <c r="C294" s="79"/>
      <c r="D294" s="79"/>
      <c r="E294" s="79"/>
      <c r="O294" s="79"/>
      <c r="S294" s="79"/>
      <c r="T294" s="79"/>
      <c r="Y294" s="79"/>
      <c r="AD294" s="130"/>
      <c r="AF294" s="106"/>
    </row>
    <row r="295">
      <c r="C295" s="79"/>
      <c r="D295" s="79"/>
      <c r="E295" s="79"/>
      <c r="O295" s="79"/>
      <c r="S295" s="79"/>
      <c r="T295" s="79"/>
      <c r="Y295" s="79"/>
      <c r="AD295" s="130"/>
      <c r="AF295" s="106"/>
    </row>
    <row r="296">
      <c r="C296" s="79"/>
      <c r="D296" s="79"/>
      <c r="E296" s="79"/>
      <c r="O296" s="79"/>
      <c r="S296" s="79"/>
      <c r="T296" s="79"/>
      <c r="Y296" s="79"/>
      <c r="AD296" s="130"/>
      <c r="AF296" s="106"/>
    </row>
    <row r="297">
      <c r="C297" s="79"/>
      <c r="D297" s="79"/>
      <c r="E297" s="79"/>
      <c r="O297" s="79"/>
      <c r="S297" s="79"/>
      <c r="T297" s="79"/>
      <c r="Y297" s="79"/>
      <c r="AD297" s="130"/>
      <c r="AF297" s="106"/>
    </row>
    <row r="298">
      <c r="C298" s="79"/>
      <c r="D298" s="79"/>
      <c r="E298" s="79"/>
      <c r="O298" s="79"/>
      <c r="S298" s="79"/>
      <c r="T298" s="79"/>
      <c r="Y298" s="79"/>
      <c r="AD298" s="130"/>
      <c r="AF298" s="106"/>
    </row>
    <row r="299">
      <c r="C299" s="79"/>
      <c r="D299" s="79"/>
      <c r="E299" s="79"/>
      <c r="O299" s="79"/>
      <c r="S299" s="79"/>
      <c r="T299" s="79"/>
      <c r="Y299" s="79"/>
      <c r="AD299" s="130"/>
      <c r="AF299" s="106"/>
    </row>
    <row r="300">
      <c r="C300" s="79"/>
      <c r="D300" s="79"/>
      <c r="E300" s="79"/>
      <c r="O300" s="79"/>
      <c r="S300" s="79"/>
      <c r="T300" s="79"/>
      <c r="Y300" s="79"/>
      <c r="AD300" s="130"/>
      <c r="AF300" s="106"/>
    </row>
    <row r="301">
      <c r="C301" s="79"/>
      <c r="D301" s="79"/>
      <c r="E301" s="79"/>
      <c r="O301" s="79"/>
      <c r="S301" s="79"/>
      <c r="T301" s="79"/>
      <c r="Y301" s="79"/>
      <c r="AD301" s="130"/>
      <c r="AF301" s="106"/>
    </row>
    <row r="302">
      <c r="C302" s="79"/>
      <c r="D302" s="79"/>
      <c r="E302" s="79"/>
      <c r="O302" s="79"/>
      <c r="S302" s="79"/>
      <c r="T302" s="79"/>
      <c r="Y302" s="79"/>
      <c r="AD302" s="130"/>
      <c r="AF302" s="106"/>
    </row>
    <row r="303">
      <c r="C303" s="79"/>
      <c r="D303" s="79"/>
      <c r="E303" s="79"/>
      <c r="O303" s="79"/>
      <c r="S303" s="79"/>
      <c r="T303" s="79"/>
      <c r="Y303" s="79"/>
      <c r="AD303" s="130"/>
      <c r="AF303" s="106"/>
    </row>
    <row r="304">
      <c r="C304" s="79"/>
      <c r="D304" s="79"/>
      <c r="E304" s="79"/>
      <c r="O304" s="79"/>
      <c r="S304" s="79"/>
      <c r="T304" s="79"/>
      <c r="Y304" s="79"/>
      <c r="AD304" s="130"/>
      <c r="AF304" s="106"/>
    </row>
    <row r="305">
      <c r="C305" s="79"/>
      <c r="D305" s="79"/>
      <c r="E305" s="79"/>
      <c r="O305" s="79"/>
      <c r="S305" s="79"/>
      <c r="T305" s="79"/>
      <c r="Y305" s="79"/>
      <c r="AD305" s="130"/>
      <c r="AF305" s="106"/>
    </row>
    <row r="306">
      <c r="C306" s="79"/>
      <c r="D306" s="79"/>
      <c r="E306" s="79"/>
      <c r="O306" s="79"/>
      <c r="S306" s="79"/>
      <c r="T306" s="79"/>
      <c r="Y306" s="79"/>
      <c r="AD306" s="130"/>
      <c r="AF306" s="106"/>
    </row>
    <row r="307">
      <c r="C307" s="79"/>
      <c r="D307" s="79"/>
      <c r="E307" s="79"/>
      <c r="O307" s="79"/>
      <c r="S307" s="79"/>
      <c r="T307" s="79"/>
      <c r="Y307" s="79"/>
      <c r="AD307" s="130"/>
      <c r="AF307" s="106"/>
    </row>
    <row r="308">
      <c r="C308" s="79"/>
      <c r="D308" s="79"/>
      <c r="E308" s="79"/>
      <c r="O308" s="79"/>
      <c r="S308" s="79"/>
      <c r="T308" s="79"/>
      <c r="Y308" s="79"/>
      <c r="AD308" s="130"/>
      <c r="AF308" s="106"/>
    </row>
    <row r="309">
      <c r="C309" s="79"/>
      <c r="D309" s="79"/>
      <c r="E309" s="79"/>
      <c r="O309" s="79"/>
      <c r="S309" s="79"/>
      <c r="T309" s="79"/>
      <c r="Y309" s="79"/>
      <c r="AD309" s="130"/>
      <c r="AF309" s="106"/>
    </row>
    <row r="310">
      <c r="C310" s="79"/>
      <c r="D310" s="79"/>
      <c r="E310" s="79"/>
      <c r="O310" s="79"/>
      <c r="S310" s="79"/>
      <c r="T310" s="79"/>
      <c r="Y310" s="79"/>
      <c r="AD310" s="130"/>
      <c r="AF310" s="106"/>
    </row>
    <row r="311">
      <c r="C311" s="79"/>
      <c r="D311" s="79"/>
      <c r="E311" s="79"/>
      <c r="O311" s="79"/>
      <c r="S311" s="79"/>
      <c r="T311" s="79"/>
      <c r="Y311" s="79"/>
      <c r="AD311" s="130"/>
      <c r="AF311" s="106"/>
    </row>
    <row r="312">
      <c r="C312" s="79"/>
      <c r="D312" s="79"/>
      <c r="E312" s="79"/>
      <c r="O312" s="79"/>
      <c r="S312" s="79"/>
      <c r="T312" s="79"/>
      <c r="Y312" s="79"/>
      <c r="AD312" s="130"/>
      <c r="AF312" s="106"/>
    </row>
    <row r="313">
      <c r="C313" s="79"/>
      <c r="D313" s="79"/>
      <c r="E313" s="79"/>
      <c r="O313" s="79"/>
      <c r="S313" s="79"/>
      <c r="T313" s="79"/>
      <c r="Y313" s="79"/>
      <c r="AD313" s="130"/>
      <c r="AF313" s="106"/>
    </row>
    <row r="314">
      <c r="C314" s="79"/>
      <c r="D314" s="79"/>
      <c r="E314" s="79"/>
      <c r="O314" s="79"/>
      <c r="S314" s="79"/>
      <c r="T314" s="79"/>
      <c r="Y314" s="79"/>
      <c r="AD314" s="130"/>
      <c r="AF314" s="106"/>
    </row>
    <row r="315">
      <c r="C315" s="79"/>
      <c r="D315" s="79"/>
      <c r="E315" s="79"/>
      <c r="O315" s="79"/>
      <c r="S315" s="79"/>
      <c r="T315" s="79"/>
      <c r="Y315" s="79"/>
      <c r="AD315" s="130"/>
      <c r="AF315" s="106"/>
    </row>
    <row r="316">
      <c r="C316" s="79"/>
      <c r="D316" s="79"/>
      <c r="E316" s="79"/>
      <c r="O316" s="79"/>
      <c r="S316" s="79"/>
      <c r="T316" s="79"/>
      <c r="Y316" s="79"/>
      <c r="AD316" s="130"/>
      <c r="AF316" s="106"/>
    </row>
    <row r="317">
      <c r="C317" s="79"/>
      <c r="D317" s="79"/>
      <c r="E317" s="79"/>
      <c r="O317" s="79"/>
      <c r="S317" s="79"/>
      <c r="T317" s="79"/>
      <c r="Y317" s="79"/>
      <c r="AD317" s="130"/>
      <c r="AF317" s="106"/>
    </row>
    <row r="318">
      <c r="C318" s="79"/>
      <c r="D318" s="79"/>
      <c r="E318" s="79"/>
      <c r="O318" s="79"/>
      <c r="S318" s="79"/>
      <c r="T318" s="79"/>
      <c r="Y318" s="79"/>
      <c r="AD318" s="130"/>
      <c r="AF318" s="106"/>
    </row>
    <row r="319">
      <c r="C319" s="79"/>
      <c r="D319" s="79"/>
      <c r="E319" s="79"/>
      <c r="O319" s="79"/>
      <c r="S319" s="79"/>
      <c r="T319" s="79"/>
      <c r="Y319" s="79"/>
      <c r="AD319" s="130"/>
      <c r="AF319" s="106"/>
    </row>
    <row r="320">
      <c r="C320" s="79"/>
      <c r="D320" s="79"/>
      <c r="E320" s="79"/>
      <c r="O320" s="79"/>
      <c r="S320" s="79"/>
      <c r="T320" s="79"/>
      <c r="Y320" s="79"/>
      <c r="AD320" s="130"/>
      <c r="AF320" s="106"/>
    </row>
    <row r="321">
      <c r="C321" s="79"/>
      <c r="D321" s="79"/>
      <c r="E321" s="79"/>
      <c r="O321" s="79"/>
      <c r="S321" s="79"/>
      <c r="T321" s="79"/>
      <c r="Y321" s="79"/>
      <c r="AD321" s="130"/>
      <c r="AF321" s="106"/>
    </row>
    <row r="322">
      <c r="C322" s="79"/>
      <c r="D322" s="79"/>
      <c r="E322" s="79"/>
      <c r="O322" s="79"/>
      <c r="S322" s="79"/>
      <c r="T322" s="79"/>
      <c r="Y322" s="79"/>
      <c r="AD322" s="130"/>
      <c r="AF322" s="106"/>
    </row>
    <row r="323">
      <c r="C323" s="79"/>
      <c r="D323" s="79"/>
      <c r="E323" s="79"/>
      <c r="O323" s="79"/>
      <c r="S323" s="79"/>
      <c r="T323" s="79"/>
      <c r="Y323" s="79"/>
      <c r="AD323" s="130"/>
      <c r="AF323" s="106"/>
    </row>
    <row r="324">
      <c r="C324" s="79"/>
      <c r="D324" s="79"/>
      <c r="E324" s="79"/>
      <c r="O324" s="79"/>
      <c r="S324" s="79"/>
      <c r="T324" s="79"/>
      <c r="Y324" s="79"/>
      <c r="AD324" s="130"/>
      <c r="AF324" s="106"/>
    </row>
    <row r="325">
      <c r="C325" s="79"/>
      <c r="D325" s="79"/>
      <c r="E325" s="79"/>
      <c r="O325" s="79"/>
      <c r="S325" s="79"/>
      <c r="T325" s="79"/>
      <c r="Y325" s="79"/>
      <c r="AD325" s="130"/>
      <c r="AF325" s="106"/>
    </row>
    <row r="326">
      <c r="C326" s="79"/>
      <c r="D326" s="79"/>
      <c r="E326" s="79"/>
      <c r="O326" s="79"/>
      <c r="S326" s="79"/>
      <c r="T326" s="79"/>
      <c r="Y326" s="79"/>
      <c r="AD326" s="130"/>
      <c r="AF326" s="106"/>
    </row>
    <row r="327">
      <c r="C327" s="79"/>
      <c r="D327" s="79"/>
      <c r="E327" s="79"/>
      <c r="O327" s="79"/>
      <c r="S327" s="79"/>
      <c r="T327" s="79"/>
      <c r="Y327" s="79"/>
      <c r="AD327" s="130"/>
      <c r="AF327" s="106"/>
    </row>
    <row r="328">
      <c r="C328" s="79"/>
      <c r="D328" s="79"/>
      <c r="E328" s="79"/>
      <c r="O328" s="79"/>
      <c r="S328" s="79"/>
      <c r="T328" s="79"/>
      <c r="Y328" s="79"/>
      <c r="AD328" s="130"/>
      <c r="AF328" s="106"/>
    </row>
    <row r="329">
      <c r="C329" s="79"/>
      <c r="D329" s="79"/>
      <c r="E329" s="79"/>
      <c r="O329" s="79"/>
      <c r="S329" s="79"/>
      <c r="T329" s="79"/>
      <c r="Y329" s="79"/>
      <c r="AD329" s="130"/>
      <c r="AF329" s="106"/>
    </row>
    <row r="330">
      <c r="C330" s="79"/>
      <c r="D330" s="79"/>
      <c r="E330" s="79"/>
      <c r="O330" s="79"/>
      <c r="S330" s="79"/>
      <c r="T330" s="79"/>
      <c r="Y330" s="79"/>
      <c r="AD330" s="130"/>
      <c r="AF330" s="106"/>
    </row>
    <row r="331">
      <c r="C331" s="79"/>
      <c r="D331" s="79"/>
      <c r="E331" s="79"/>
      <c r="O331" s="79"/>
      <c r="S331" s="79"/>
      <c r="T331" s="79"/>
      <c r="Y331" s="79"/>
      <c r="AD331" s="130"/>
      <c r="AF331" s="106"/>
    </row>
    <row r="332">
      <c r="C332" s="79"/>
      <c r="D332" s="79"/>
      <c r="E332" s="79"/>
      <c r="O332" s="79"/>
      <c r="S332" s="79"/>
      <c r="T332" s="79"/>
      <c r="Y332" s="79"/>
      <c r="AD332" s="130"/>
      <c r="AF332" s="106"/>
    </row>
    <row r="333">
      <c r="C333" s="79"/>
      <c r="D333" s="79"/>
      <c r="E333" s="79"/>
      <c r="O333" s="79"/>
      <c r="S333" s="79"/>
      <c r="T333" s="79"/>
      <c r="Y333" s="79"/>
      <c r="AD333" s="130"/>
      <c r="AF333" s="106"/>
    </row>
    <row r="334">
      <c r="C334" s="79"/>
      <c r="D334" s="79"/>
      <c r="E334" s="79"/>
      <c r="O334" s="79"/>
      <c r="S334" s="79"/>
      <c r="T334" s="79"/>
      <c r="Y334" s="79"/>
      <c r="AD334" s="130"/>
      <c r="AF334" s="106"/>
    </row>
    <row r="335">
      <c r="C335" s="79"/>
      <c r="D335" s="79"/>
      <c r="E335" s="79"/>
      <c r="O335" s="79"/>
      <c r="S335" s="79"/>
      <c r="T335" s="79"/>
      <c r="Y335" s="79"/>
      <c r="AD335" s="130"/>
      <c r="AF335" s="106"/>
    </row>
    <row r="336">
      <c r="C336" s="79"/>
      <c r="D336" s="79"/>
      <c r="E336" s="79"/>
      <c r="O336" s="79"/>
      <c r="S336" s="79"/>
      <c r="T336" s="79"/>
      <c r="Y336" s="79"/>
      <c r="AD336" s="130"/>
      <c r="AF336" s="106"/>
    </row>
    <row r="337">
      <c r="C337" s="79"/>
      <c r="D337" s="79"/>
      <c r="E337" s="79"/>
      <c r="O337" s="79"/>
      <c r="S337" s="79"/>
      <c r="T337" s="79"/>
      <c r="Y337" s="79"/>
      <c r="AD337" s="130"/>
      <c r="AF337" s="106"/>
    </row>
    <row r="338">
      <c r="C338" s="79"/>
      <c r="D338" s="79"/>
      <c r="E338" s="79"/>
      <c r="O338" s="79"/>
      <c r="S338" s="79"/>
      <c r="T338" s="79"/>
      <c r="Y338" s="79"/>
      <c r="AD338" s="130"/>
      <c r="AF338" s="106"/>
    </row>
    <row r="339">
      <c r="C339" s="79"/>
      <c r="D339" s="79"/>
      <c r="E339" s="79"/>
      <c r="O339" s="79"/>
      <c r="S339" s="79"/>
      <c r="T339" s="79"/>
      <c r="Y339" s="79"/>
      <c r="AD339" s="130"/>
      <c r="AF339" s="106"/>
    </row>
    <row r="340">
      <c r="C340" s="79"/>
      <c r="D340" s="79"/>
      <c r="E340" s="79"/>
      <c r="O340" s="79"/>
      <c r="S340" s="79"/>
      <c r="T340" s="79"/>
      <c r="Y340" s="79"/>
      <c r="AD340" s="130"/>
      <c r="AF340" s="106"/>
    </row>
    <row r="341">
      <c r="C341" s="79"/>
      <c r="D341" s="79"/>
      <c r="E341" s="79"/>
      <c r="O341" s="79"/>
      <c r="S341" s="79"/>
      <c r="T341" s="79"/>
      <c r="Y341" s="79"/>
      <c r="AD341" s="130"/>
      <c r="AF341" s="106"/>
    </row>
    <row r="342">
      <c r="C342" s="79"/>
      <c r="D342" s="79"/>
      <c r="E342" s="79"/>
      <c r="O342" s="79"/>
      <c r="S342" s="79"/>
      <c r="T342" s="79"/>
      <c r="Y342" s="79"/>
      <c r="AD342" s="130"/>
      <c r="AF342" s="106"/>
    </row>
    <row r="343">
      <c r="C343" s="79"/>
      <c r="D343" s="79"/>
      <c r="E343" s="79"/>
      <c r="O343" s="79"/>
      <c r="S343" s="79"/>
      <c r="T343" s="79"/>
      <c r="Y343" s="79"/>
      <c r="AD343" s="130"/>
      <c r="AF343" s="106"/>
    </row>
    <row r="344">
      <c r="C344" s="79"/>
      <c r="D344" s="79"/>
      <c r="E344" s="79"/>
      <c r="O344" s="79"/>
      <c r="S344" s="79"/>
      <c r="T344" s="79"/>
      <c r="Y344" s="79"/>
      <c r="AD344" s="130"/>
      <c r="AF344" s="106"/>
    </row>
    <row r="345">
      <c r="C345" s="79"/>
      <c r="D345" s="79"/>
      <c r="E345" s="79"/>
      <c r="O345" s="79"/>
      <c r="S345" s="79"/>
      <c r="T345" s="79"/>
      <c r="Y345" s="79"/>
      <c r="AD345" s="130"/>
      <c r="AF345" s="106"/>
    </row>
    <row r="346">
      <c r="C346" s="79"/>
      <c r="D346" s="79"/>
      <c r="E346" s="79"/>
      <c r="O346" s="79"/>
      <c r="S346" s="79"/>
      <c r="T346" s="79"/>
      <c r="Y346" s="79"/>
      <c r="AD346" s="130"/>
      <c r="AF346" s="106"/>
    </row>
    <row r="347">
      <c r="C347" s="79"/>
      <c r="D347" s="79"/>
      <c r="E347" s="79"/>
      <c r="O347" s="79"/>
      <c r="S347" s="79"/>
      <c r="T347" s="79"/>
      <c r="Y347" s="79"/>
      <c r="AD347" s="130"/>
      <c r="AF347" s="106"/>
    </row>
    <row r="348">
      <c r="C348" s="79"/>
      <c r="D348" s="79"/>
      <c r="E348" s="79"/>
      <c r="O348" s="79"/>
      <c r="S348" s="79"/>
      <c r="T348" s="79"/>
      <c r="Y348" s="79"/>
      <c r="AD348" s="130"/>
      <c r="AF348" s="106"/>
    </row>
    <row r="349">
      <c r="C349" s="79"/>
      <c r="D349" s="79"/>
      <c r="E349" s="79"/>
      <c r="O349" s="79"/>
      <c r="S349" s="79"/>
      <c r="T349" s="79"/>
      <c r="Y349" s="79"/>
      <c r="AD349" s="130"/>
      <c r="AF349" s="106"/>
    </row>
    <row r="350">
      <c r="C350" s="79"/>
      <c r="D350" s="79"/>
      <c r="E350" s="79"/>
      <c r="O350" s="79"/>
      <c r="S350" s="79"/>
      <c r="T350" s="79"/>
      <c r="Y350" s="79"/>
      <c r="AD350" s="130"/>
      <c r="AF350" s="106"/>
    </row>
    <row r="351">
      <c r="C351" s="79"/>
      <c r="D351" s="79"/>
      <c r="E351" s="79"/>
      <c r="O351" s="79"/>
      <c r="S351" s="79"/>
      <c r="T351" s="79"/>
      <c r="Y351" s="79"/>
      <c r="AD351" s="130"/>
      <c r="AF351" s="106"/>
    </row>
    <row r="352">
      <c r="C352" s="79"/>
      <c r="D352" s="79"/>
      <c r="E352" s="79"/>
      <c r="O352" s="79"/>
      <c r="S352" s="79"/>
      <c r="T352" s="79"/>
      <c r="Y352" s="79"/>
      <c r="AD352" s="130"/>
      <c r="AF352" s="106"/>
    </row>
    <row r="353">
      <c r="C353" s="79"/>
      <c r="D353" s="79"/>
      <c r="E353" s="79"/>
      <c r="O353" s="79"/>
      <c r="S353" s="79"/>
      <c r="T353" s="79"/>
      <c r="Y353" s="79"/>
      <c r="AD353" s="130"/>
      <c r="AF353" s="106"/>
    </row>
    <row r="354">
      <c r="C354" s="79"/>
      <c r="D354" s="79"/>
      <c r="E354" s="79"/>
      <c r="O354" s="79"/>
      <c r="S354" s="79"/>
      <c r="T354" s="79"/>
      <c r="Y354" s="79"/>
      <c r="AD354" s="130"/>
      <c r="AF354" s="106"/>
    </row>
    <row r="355">
      <c r="C355" s="79"/>
      <c r="D355" s="79"/>
      <c r="E355" s="79"/>
      <c r="O355" s="79"/>
      <c r="S355" s="79"/>
      <c r="T355" s="79"/>
      <c r="Y355" s="79"/>
      <c r="AD355" s="130"/>
      <c r="AF355" s="106"/>
    </row>
    <row r="356">
      <c r="C356" s="79"/>
      <c r="D356" s="79"/>
      <c r="E356" s="79"/>
      <c r="O356" s="79"/>
      <c r="S356" s="79"/>
      <c r="T356" s="79"/>
      <c r="Y356" s="79"/>
      <c r="AD356" s="130"/>
      <c r="AF356" s="106"/>
    </row>
    <row r="357">
      <c r="C357" s="79"/>
      <c r="D357" s="79"/>
      <c r="E357" s="79"/>
      <c r="O357" s="79"/>
      <c r="S357" s="79"/>
      <c r="T357" s="79"/>
      <c r="Y357" s="79"/>
      <c r="AD357" s="130"/>
      <c r="AF357" s="106"/>
    </row>
    <row r="358">
      <c r="C358" s="79"/>
      <c r="D358" s="79"/>
      <c r="E358" s="79"/>
      <c r="O358" s="79"/>
      <c r="S358" s="79"/>
      <c r="T358" s="79"/>
      <c r="Y358" s="79"/>
      <c r="AD358" s="130"/>
      <c r="AF358" s="106"/>
    </row>
    <row r="359">
      <c r="C359" s="79"/>
      <c r="D359" s="79"/>
      <c r="E359" s="79"/>
      <c r="O359" s="79"/>
      <c r="S359" s="79"/>
      <c r="T359" s="79"/>
      <c r="Y359" s="79"/>
      <c r="AD359" s="130"/>
      <c r="AF359" s="106"/>
    </row>
    <row r="360">
      <c r="C360" s="79"/>
      <c r="D360" s="79"/>
      <c r="E360" s="79"/>
      <c r="O360" s="79"/>
      <c r="S360" s="79"/>
      <c r="T360" s="79"/>
      <c r="Y360" s="79"/>
      <c r="AD360" s="130"/>
      <c r="AF360" s="106"/>
    </row>
    <row r="361">
      <c r="C361" s="79"/>
      <c r="D361" s="79"/>
      <c r="E361" s="79"/>
      <c r="O361" s="79"/>
      <c r="S361" s="79"/>
      <c r="T361" s="79"/>
      <c r="Y361" s="79"/>
      <c r="AD361" s="130"/>
      <c r="AF361" s="106"/>
    </row>
    <row r="362">
      <c r="C362" s="79"/>
      <c r="D362" s="79"/>
      <c r="E362" s="79"/>
      <c r="O362" s="79"/>
      <c r="S362" s="79"/>
      <c r="T362" s="79"/>
      <c r="Y362" s="79"/>
      <c r="AD362" s="130"/>
      <c r="AF362" s="106"/>
    </row>
    <row r="363">
      <c r="C363" s="79"/>
      <c r="D363" s="79"/>
      <c r="E363" s="79"/>
      <c r="O363" s="79"/>
      <c r="S363" s="79"/>
      <c r="T363" s="79"/>
      <c r="Y363" s="79"/>
      <c r="AD363" s="130"/>
      <c r="AF363" s="106"/>
    </row>
    <row r="364">
      <c r="C364" s="79"/>
      <c r="D364" s="79"/>
      <c r="E364" s="79"/>
      <c r="O364" s="79"/>
      <c r="S364" s="79"/>
      <c r="T364" s="79"/>
      <c r="Y364" s="79"/>
      <c r="AD364" s="130"/>
      <c r="AF364" s="106"/>
    </row>
    <row r="365">
      <c r="C365" s="79"/>
      <c r="D365" s="79"/>
      <c r="E365" s="79"/>
      <c r="O365" s="79"/>
      <c r="S365" s="79"/>
      <c r="T365" s="79"/>
      <c r="Y365" s="79"/>
      <c r="AD365" s="130"/>
      <c r="AF365" s="106"/>
    </row>
    <row r="366">
      <c r="C366" s="79"/>
      <c r="D366" s="79"/>
      <c r="E366" s="79"/>
      <c r="O366" s="79"/>
      <c r="S366" s="79"/>
      <c r="T366" s="79"/>
      <c r="Y366" s="79"/>
      <c r="AD366" s="130"/>
      <c r="AF366" s="106"/>
    </row>
    <row r="367">
      <c r="C367" s="79"/>
      <c r="D367" s="79"/>
      <c r="E367" s="79"/>
      <c r="O367" s="79"/>
      <c r="S367" s="79"/>
      <c r="T367" s="79"/>
      <c r="Y367" s="79"/>
      <c r="AD367" s="130"/>
      <c r="AF367" s="106"/>
    </row>
    <row r="368">
      <c r="C368" s="79"/>
      <c r="D368" s="79"/>
      <c r="E368" s="79"/>
      <c r="O368" s="79"/>
      <c r="S368" s="79"/>
      <c r="T368" s="79"/>
      <c r="Y368" s="79"/>
      <c r="AD368" s="130"/>
      <c r="AF368" s="106"/>
    </row>
    <row r="369">
      <c r="C369" s="79"/>
      <c r="D369" s="79"/>
      <c r="E369" s="79"/>
      <c r="O369" s="79"/>
      <c r="S369" s="79"/>
      <c r="T369" s="79"/>
      <c r="Y369" s="79"/>
      <c r="AD369" s="130"/>
      <c r="AF369" s="106"/>
    </row>
    <row r="370">
      <c r="C370" s="79"/>
      <c r="D370" s="79"/>
      <c r="E370" s="79"/>
      <c r="O370" s="79"/>
      <c r="S370" s="79"/>
      <c r="T370" s="79"/>
      <c r="Y370" s="79"/>
      <c r="AD370" s="130"/>
      <c r="AF370" s="106"/>
    </row>
    <row r="371">
      <c r="C371" s="79"/>
      <c r="D371" s="79"/>
      <c r="E371" s="79"/>
      <c r="O371" s="79"/>
      <c r="S371" s="79"/>
      <c r="T371" s="79"/>
      <c r="Y371" s="79"/>
      <c r="AD371" s="130"/>
      <c r="AF371" s="106"/>
    </row>
    <row r="372">
      <c r="C372" s="79"/>
      <c r="D372" s="79"/>
      <c r="E372" s="79"/>
      <c r="O372" s="79"/>
      <c r="S372" s="79"/>
      <c r="T372" s="79"/>
      <c r="Y372" s="79"/>
      <c r="AD372" s="130"/>
      <c r="AF372" s="106"/>
    </row>
    <row r="373">
      <c r="C373" s="79"/>
      <c r="D373" s="79"/>
      <c r="E373" s="79"/>
      <c r="O373" s="79"/>
      <c r="S373" s="79"/>
      <c r="T373" s="79"/>
      <c r="Y373" s="79"/>
      <c r="AD373" s="130"/>
      <c r="AF373" s="106"/>
    </row>
    <row r="374">
      <c r="C374" s="79"/>
      <c r="D374" s="79"/>
      <c r="E374" s="79"/>
      <c r="O374" s="79"/>
      <c r="S374" s="79"/>
      <c r="T374" s="79"/>
      <c r="Y374" s="79"/>
      <c r="AD374" s="130"/>
      <c r="AF374" s="106"/>
    </row>
    <row r="375">
      <c r="C375" s="79"/>
      <c r="D375" s="79"/>
      <c r="E375" s="79"/>
      <c r="O375" s="79"/>
      <c r="S375" s="79"/>
      <c r="T375" s="79"/>
      <c r="Y375" s="79"/>
      <c r="AD375" s="130"/>
      <c r="AF375" s="106"/>
    </row>
    <row r="376">
      <c r="C376" s="79"/>
      <c r="D376" s="79"/>
      <c r="E376" s="79"/>
      <c r="O376" s="79"/>
      <c r="S376" s="79"/>
      <c r="T376" s="79"/>
      <c r="Y376" s="79"/>
      <c r="AD376" s="130"/>
      <c r="AF376" s="106"/>
    </row>
    <row r="377">
      <c r="C377" s="79"/>
      <c r="D377" s="79"/>
      <c r="E377" s="79"/>
      <c r="O377" s="79"/>
      <c r="S377" s="79"/>
      <c r="T377" s="79"/>
      <c r="Y377" s="79"/>
      <c r="AD377" s="130"/>
      <c r="AF377" s="106"/>
    </row>
    <row r="378">
      <c r="C378" s="79"/>
      <c r="D378" s="79"/>
      <c r="E378" s="79"/>
      <c r="O378" s="79"/>
      <c r="S378" s="79"/>
      <c r="T378" s="79"/>
      <c r="Y378" s="79"/>
      <c r="AD378" s="130"/>
      <c r="AF378" s="106"/>
    </row>
    <row r="379">
      <c r="C379" s="79"/>
      <c r="D379" s="79"/>
      <c r="E379" s="79"/>
      <c r="O379" s="79"/>
      <c r="S379" s="79"/>
      <c r="T379" s="79"/>
      <c r="Y379" s="79"/>
      <c r="AD379" s="130"/>
      <c r="AF379" s="106"/>
    </row>
    <row r="380">
      <c r="C380" s="79"/>
      <c r="D380" s="79"/>
      <c r="E380" s="79"/>
      <c r="O380" s="79"/>
      <c r="S380" s="79"/>
      <c r="T380" s="79"/>
      <c r="Y380" s="79"/>
      <c r="AD380" s="130"/>
      <c r="AF380" s="106"/>
    </row>
    <row r="381">
      <c r="C381" s="79"/>
      <c r="D381" s="79"/>
      <c r="E381" s="79"/>
      <c r="O381" s="79"/>
      <c r="S381" s="79"/>
      <c r="T381" s="79"/>
      <c r="Y381" s="79"/>
      <c r="AD381" s="130"/>
      <c r="AF381" s="106"/>
    </row>
    <row r="382">
      <c r="C382" s="79"/>
      <c r="D382" s="79"/>
      <c r="E382" s="79"/>
      <c r="O382" s="79"/>
      <c r="S382" s="79"/>
      <c r="T382" s="79"/>
      <c r="Y382" s="79"/>
      <c r="AD382" s="130"/>
      <c r="AF382" s="106"/>
    </row>
    <row r="383">
      <c r="C383" s="79"/>
      <c r="D383" s="79"/>
      <c r="E383" s="79"/>
      <c r="O383" s="79"/>
      <c r="S383" s="79"/>
      <c r="T383" s="79"/>
      <c r="Y383" s="79"/>
      <c r="AD383" s="130"/>
      <c r="AF383" s="106"/>
    </row>
    <row r="384">
      <c r="C384" s="79"/>
      <c r="D384" s="79"/>
      <c r="E384" s="79"/>
      <c r="O384" s="79"/>
      <c r="S384" s="79"/>
      <c r="T384" s="79"/>
      <c r="Y384" s="79"/>
      <c r="AD384" s="130"/>
      <c r="AF384" s="106"/>
    </row>
    <row r="385">
      <c r="C385" s="79"/>
      <c r="D385" s="79"/>
      <c r="E385" s="79"/>
      <c r="O385" s="79"/>
      <c r="S385" s="79"/>
      <c r="T385" s="79"/>
      <c r="Y385" s="79"/>
      <c r="AD385" s="130"/>
      <c r="AF385" s="106"/>
    </row>
    <row r="386">
      <c r="C386" s="79"/>
      <c r="D386" s="79"/>
      <c r="E386" s="79"/>
      <c r="O386" s="79"/>
      <c r="S386" s="79"/>
      <c r="T386" s="79"/>
      <c r="Y386" s="79"/>
      <c r="AD386" s="130"/>
      <c r="AF386" s="106"/>
    </row>
    <row r="387">
      <c r="C387" s="79"/>
      <c r="D387" s="79"/>
      <c r="E387" s="79"/>
      <c r="O387" s="79"/>
      <c r="S387" s="79"/>
      <c r="T387" s="79"/>
      <c r="Y387" s="79"/>
      <c r="AD387" s="130"/>
      <c r="AF387" s="106"/>
    </row>
    <row r="388">
      <c r="C388" s="79"/>
      <c r="D388" s="79"/>
      <c r="E388" s="79"/>
      <c r="O388" s="79"/>
      <c r="S388" s="79"/>
      <c r="T388" s="79"/>
      <c r="Y388" s="79"/>
      <c r="AD388" s="130"/>
      <c r="AF388" s="106"/>
    </row>
    <row r="389">
      <c r="C389" s="79"/>
      <c r="D389" s="79"/>
      <c r="E389" s="79"/>
      <c r="O389" s="79"/>
      <c r="S389" s="79"/>
      <c r="T389" s="79"/>
      <c r="Y389" s="79"/>
      <c r="AD389" s="130"/>
      <c r="AF389" s="106"/>
    </row>
    <row r="390">
      <c r="C390" s="79"/>
      <c r="D390" s="79"/>
      <c r="E390" s="79"/>
      <c r="O390" s="79"/>
      <c r="S390" s="79"/>
      <c r="T390" s="79"/>
      <c r="Y390" s="79"/>
      <c r="AD390" s="130"/>
      <c r="AF390" s="106"/>
    </row>
    <row r="391">
      <c r="C391" s="79"/>
      <c r="D391" s="79"/>
      <c r="E391" s="79"/>
      <c r="O391" s="79"/>
      <c r="S391" s="79"/>
      <c r="T391" s="79"/>
      <c r="Y391" s="79"/>
      <c r="AD391" s="130"/>
      <c r="AF391" s="106"/>
    </row>
    <row r="392">
      <c r="C392" s="79"/>
      <c r="D392" s="79"/>
      <c r="E392" s="79"/>
      <c r="O392" s="79"/>
      <c r="S392" s="79"/>
      <c r="T392" s="79"/>
      <c r="Y392" s="79"/>
      <c r="AD392" s="130"/>
      <c r="AF392" s="106"/>
    </row>
    <row r="393">
      <c r="C393" s="79"/>
      <c r="D393" s="79"/>
      <c r="E393" s="79"/>
      <c r="O393" s="79"/>
      <c r="S393" s="79"/>
      <c r="T393" s="79"/>
      <c r="Y393" s="79"/>
      <c r="AD393" s="130"/>
      <c r="AF393" s="106"/>
    </row>
    <row r="394">
      <c r="C394" s="79"/>
      <c r="D394" s="79"/>
      <c r="E394" s="79"/>
      <c r="O394" s="79"/>
      <c r="S394" s="79"/>
      <c r="T394" s="79"/>
      <c r="Y394" s="79"/>
      <c r="AD394" s="130"/>
      <c r="AF394" s="106"/>
    </row>
    <row r="395">
      <c r="C395" s="79"/>
      <c r="D395" s="79"/>
      <c r="E395" s="79"/>
      <c r="O395" s="79"/>
      <c r="S395" s="79"/>
      <c r="T395" s="79"/>
      <c r="Y395" s="79"/>
      <c r="AD395" s="130"/>
      <c r="AF395" s="106"/>
    </row>
    <row r="396">
      <c r="C396" s="79"/>
      <c r="D396" s="79"/>
      <c r="E396" s="79"/>
      <c r="O396" s="79"/>
      <c r="S396" s="79"/>
      <c r="T396" s="79"/>
      <c r="Y396" s="79"/>
      <c r="AD396" s="130"/>
      <c r="AF396" s="106"/>
    </row>
    <row r="397">
      <c r="C397" s="79"/>
      <c r="D397" s="79"/>
      <c r="E397" s="79"/>
      <c r="O397" s="79"/>
      <c r="S397" s="79"/>
      <c r="T397" s="79"/>
      <c r="Y397" s="79"/>
      <c r="AD397" s="130"/>
      <c r="AF397" s="106"/>
    </row>
    <row r="398">
      <c r="C398" s="79"/>
      <c r="D398" s="79"/>
      <c r="E398" s="79"/>
      <c r="O398" s="79"/>
      <c r="S398" s="79"/>
      <c r="T398" s="79"/>
      <c r="Y398" s="79"/>
      <c r="AD398" s="130"/>
      <c r="AF398" s="106"/>
    </row>
    <row r="399">
      <c r="C399" s="79"/>
      <c r="D399" s="79"/>
      <c r="E399" s="79"/>
      <c r="O399" s="79"/>
      <c r="S399" s="79"/>
      <c r="T399" s="79"/>
      <c r="Y399" s="79"/>
      <c r="AD399" s="130"/>
      <c r="AF399" s="106"/>
    </row>
    <row r="400">
      <c r="C400" s="79"/>
      <c r="D400" s="79"/>
      <c r="E400" s="79"/>
      <c r="O400" s="79"/>
      <c r="S400" s="79"/>
      <c r="T400" s="79"/>
      <c r="Y400" s="79"/>
      <c r="AD400" s="130"/>
      <c r="AF400" s="106"/>
    </row>
    <row r="401">
      <c r="C401" s="79"/>
      <c r="D401" s="79"/>
      <c r="E401" s="79"/>
      <c r="O401" s="79"/>
      <c r="S401" s="79"/>
      <c r="T401" s="79"/>
      <c r="Y401" s="79"/>
      <c r="AD401" s="130"/>
      <c r="AF401" s="106"/>
    </row>
    <row r="402">
      <c r="C402" s="79"/>
      <c r="D402" s="79"/>
      <c r="E402" s="79"/>
      <c r="O402" s="79"/>
      <c r="S402" s="79"/>
      <c r="T402" s="79"/>
      <c r="Y402" s="79"/>
      <c r="AD402" s="130"/>
      <c r="AF402" s="106"/>
    </row>
    <row r="403">
      <c r="C403" s="79"/>
      <c r="D403" s="79"/>
      <c r="E403" s="79"/>
      <c r="O403" s="79"/>
      <c r="S403" s="79"/>
      <c r="T403" s="79"/>
      <c r="Y403" s="79"/>
      <c r="AD403" s="130"/>
      <c r="AF403" s="106"/>
    </row>
    <row r="404">
      <c r="C404" s="79"/>
      <c r="D404" s="79"/>
      <c r="E404" s="79"/>
      <c r="O404" s="79"/>
      <c r="S404" s="79"/>
      <c r="T404" s="79"/>
      <c r="Y404" s="79"/>
      <c r="AD404" s="130"/>
      <c r="AF404" s="106"/>
    </row>
    <row r="405">
      <c r="C405" s="79"/>
      <c r="D405" s="79"/>
      <c r="E405" s="79"/>
      <c r="O405" s="79"/>
      <c r="S405" s="79"/>
      <c r="T405" s="79"/>
      <c r="Y405" s="79"/>
      <c r="AD405" s="130"/>
      <c r="AF405" s="106"/>
    </row>
    <row r="406">
      <c r="C406" s="79"/>
      <c r="D406" s="79"/>
      <c r="E406" s="79"/>
      <c r="O406" s="79"/>
      <c r="S406" s="79"/>
      <c r="T406" s="79"/>
      <c r="Y406" s="79"/>
      <c r="AD406" s="130"/>
      <c r="AF406" s="106"/>
    </row>
    <row r="407">
      <c r="C407" s="79"/>
      <c r="D407" s="79"/>
      <c r="E407" s="79"/>
      <c r="O407" s="79"/>
      <c r="S407" s="79"/>
      <c r="T407" s="79"/>
      <c r="Y407" s="79"/>
      <c r="AD407" s="130"/>
      <c r="AF407" s="106"/>
    </row>
    <row r="408">
      <c r="C408" s="79"/>
      <c r="D408" s="79"/>
      <c r="E408" s="79"/>
      <c r="O408" s="79"/>
      <c r="S408" s="79"/>
      <c r="T408" s="79"/>
      <c r="Y408" s="79"/>
      <c r="AD408" s="130"/>
      <c r="AF408" s="106"/>
    </row>
    <row r="409">
      <c r="C409" s="79"/>
      <c r="D409" s="79"/>
      <c r="E409" s="79"/>
      <c r="O409" s="79"/>
      <c r="S409" s="79"/>
      <c r="T409" s="79"/>
      <c r="Y409" s="79"/>
      <c r="AD409" s="130"/>
      <c r="AF409" s="106"/>
    </row>
    <row r="410">
      <c r="C410" s="79"/>
      <c r="D410" s="79"/>
      <c r="E410" s="79"/>
      <c r="O410" s="79"/>
      <c r="S410" s="79"/>
      <c r="T410" s="79"/>
      <c r="Y410" s="79"/>
      <c r="AD410" s="130"/>
      <c r="AF410" s="106"/>
    </row>
    <row r="411">
      <c r="C411" s="79"/>
      <c r="D411" s="79"/>
      <c r="E411" s="79"/>
      <c r="O411" s="79"/>
      <c r="S411" s="79"/>
      <c r="T411" s="79"/>
      <c r="Y411" s="79"/>
      <c r="AD411" s="130"/>
      <c r="AF411" s="106"/>
    </row>
    <row r="412">
      <c r="C412" s="79"/>
      <c r="D412" s="79"/>
      <c r="E412" s="79"/>
      <c r="O412" s="79"/>
      <c r="S412" s="79"/>
      <c r="T412" s="79"/>
      <c r="Y412" s="79"/>
      <c r="AD412" s="130"/>
      <c r="AF412" s="106"/>
    </row>
    <row r="413">
      <c r="C413" s="79"/>
      <c r="D413" s="79"/>
      <c r="E413" s="79"/>
      <c r="O413" s="79"/>
      <c r="S413" s="79"/>
      <c r="T413" s="79"/>
      <c r="Y413" s="79"/>
      <c r="AD413" s="130"/>
      <c r="AF413" s="106"/>
    </row>
    <row r="414">
      <c r="C414" s="79"/>
      <c r="D414" s="79"/>
      <c r="E414" s="79"/>
      <c r="O414" s="79"/>
      <c r="S414" s="79"/>
      <c r="T414" s="79"/>
      <c r="Y414" s="79"/>
      <c r="AD414" s="130"/>
      <c r="AF414" s="106"/>
    </row>
    <row r="415">
      <c r="C415" s="79"/>
      <c r="D415" s="79"/>
      <c r="E415" s="79"/>
      <c r="O415" s="79"/>
      <c r="S415" s="79"/>
      <c r="T415" s="79"/>
      <c r="Y415" s="79"/>
      <c r="AD415" s="130"/>
      <c r="AF415" s="106"/>
    </row>
    <row r="416">
      <c r="C416" s="79"/>
      <c r="D416" s="79"/>
      <c r="E416" s="79"/>
      <c r="O416" s="79"/>
      <c r="S416" s="79"/>
      <c r="T416" s="79"/>
      <c r="Y416" s="79"/>
      <c r="AD416" s="130"/>
      <c r="AF416" s="106"/>
    </row>
    <row r="417">
      <c r="C417" s="79"/>
      <c r="D417" s="79"/>
      <c r="E417" s="79"/>
      <c r="O417" s="79"/>
      <c r="S417" s="79"/>
      <c r="T417" s="79"/>
      <c r="Y417" s="79"/>
      <c r="AD417" s="130"/>
      <c r="AF417" s="106"/>
    </row>
    <row r="418">
      <c r="C418" s="79"/>
      <c r="D418" s="79"/>
      <c r="E418" s="79"/>
      <c r="O418" s="79"/>
      <c r="S418" s="79"/>
      <c r="T418" s="79"/>
      <c r="Y418" s="79"/>
      <c r="AD418" s="130"/>
      <c r="AF418" s="106"/>
    </row>
    <row r="419">
      <c r="C419" s="79"/>
      <c r="D419" s="79"/>
      <c r="E419" s="79"/>
      <c r="O419" s="79"/>
      <c r="S419" s="79"/>
      <c r="T419" s="79"/>
      <c r="Y419" s="79"/>
      <c r="AD419" s="130"/>
      <c r="AF419" s="106"/>
    </row>
    <row r="420">
      <c r="C420" s="79"/>
      <c r="D420" s="79"/>
      <c r="E420" s="79"/>
      <c r="O420" s="79"/>
      <c r="S420" s="79"/>
      <c r="T420" s="79"/>
      <c r="Y420" s="79"/>
      <c r="AD420" s="130"/>
      <c r="AF420" s="106"/>
    </row>
    <row r="421">
      <c r="C421" s="79"/>
      <c r="D421" s="79"/>
      <c r="E421" s="79"/>
      <c r="O421" s="79"/>
      <c r="S421" s="79"/>
      <c r="T421" s="79"/>
      <c r="Y421" s="79"/>
      <c r="AD421" s="130"/>
      <c r="AF421" s="106"/>
    </row>
    <row r="422">
      <c r="C422" s="79"/>
      <c r="D422" s="79"/>
      <c r="E422" s="79"/>
      <c r="O422" s="79"/>
      <c r="S422" s="79"/>
      <c r="T422" s="79"/>
      <c r="Y422" s="79"/>
      <c r="AD422" s="130"/>
      <c r="AF422" s="106"/>
    </row>
    <row r="423">
      <c r="C423" s="79"/>
      <c r="D423" s="79"/>
      <c r="E423" s="79"/>
      <c r="O423" s="79"/>
      <c r="S423" s="79"/>
      <c r="T423" s="79"/>
      <c r="Y423" s="79"/>
      <c r="AD423" s="130"/>
      <c r="AF423" s="106"/>
    </row>
    <row r="424">
      <c r="C424" s="79"/>
      <c r="D424" s="79"/>
      <c r="E424" s="79"/>
      <c r="O424" s="79"/>
      <c r="S424" s="79"/>
      <c r="T424" s="79"/>
      <c r="Y424" s="79"/>
      <c r="AD424" s="130"/>
      <c r="AF424" s="106"/>
    </row>
    <row r="425">
      <c r="C425" s="79"/>
      <c r="D425" s="79"/>
      <c r="E425" s="79"/>
      <c r="O425" s="79"/>
      <c r="S425" s="79"/>
      <c r="T425" s="79"/>
      <c r="Y425" s="79"/>
      <c r="AD425" s="130"/>
      <c r="AF425" s="106"/>
    </row>
    <row r="426">
      <c r="C426" s="79"/>
      <c r="D426" s="79"/>
      <c r="E426" s="79"/>
      <c r="O426" s="79"/>
      <c r="S426" s="79"/>
      <c r="T426" s="79"/>
      <c r="Y426" s="79"/>
      <c r="AD426" s="130"/>
      <c r="AF426" s="106"/>
    </row>
    <row r="427">
      <c r="C427" s="79"/>
      <c r="D427" s="79"/>
      <c r="E427" s="79"/>
      <c r="O427" s="79"/>
      <c r="S427" s="79"/>
      <c r="T427" s="79"/>
      <c r="Y427" s="79"/>
      <c r="AD427" s="130"/>
      <c r="AF427" s="106"/>
    </row>
    <row r="428">
      <c r="C428" s="79"/>
      <c r="D428" s="79"/>
      <c r="E428" s="79"/>
      <c r="O428" s="79"/>
      <c r="S428" s="79"/>
      <c r="T428" s="79"/>
      <c r="Y428" s="79"/>
      <c r="AD428" s="130"/>
      <c r="AF428" s="106"/>
    </row>
    <row r="429">
      <c r="C429" s="79"/>
      <c r="D429" s="79"/>
      <c r="E429" s="79"/>
      <c r="O429" s="79"/>
      <c r="S429" s="79"/>
      <c r="T429" s="79"/>
      <c r="Y429" s="79"/>
      <c r="AD429" s="130"/>
      <c r="AF429" s="106"/>
    </row>
    <row r="430">
      <c r="C430" s="79"/>
      <c r="D430" s="79"/>
      <c r="E430" s="79"/>
      <c r="O430" s="79"/>
      <c r="S430" s="79"/>
      <c r="T430" s="79"/>
      <c r="Y430" s="79"/>
      <c r="AD430" s="130"/>
      <c r="AF430" s="106"/>
    </row>
    <row r="431">
      <c r="C431" s="79"/>
      <c r="D431" s="79"/>
      <c r="E431" s="79"/>
      <c r="O431" s="79"/>
      <c r="S431" s="79"/>
      <c r="T431" s="79"/>
      <c r="Y431" s="79"/>
      <c r="AD431" s="130"/>
      <c r="AF431" s="106"/>
    </row>
    <row r="432">
      <c r="C432" s="79"/>
      <c r="D432" s="79"/>
      <c r="E432" s="79"/>
      <c r="O432" s="79"/>
      <c r="S432" s="79"/>
      <c r="T432" s="79"/>
      <c r="Y432" s="79"/>
      <c r="AD432" s="130"/>
      <c r="AF432" s="106"/>
    </row>
    <row r="433">
      <c r="C433" s="79"/>
      <c r="D433" s="79"/>
      <c r="E433" s="79"/>
      <c r="O433" s="79"/>
      <c r="S433" s="79"/>
      <c r="T433" s="79"/>
      <c r="Y433" s="79"/>
      <c r="AD433" s="130"/>
      <c r="AF433" s="106"/>
    </row>
    <row r="434">
      <c r="C434" s="79"/>
      <c r="D434" s="79"/>
      <c r="E434" s="79"/>
      <c r="O434" s="79"/>
      <c r="S434" s="79"/>
      <c r="T434" s="79"/>
      <c r="Y434" s="79"/>
      <c r="AD434" s="130"/>
      <c r="AF434" s="106"/>
    </row>
    <row r="435">
      <c r="C435" s="79"/>
      <c r="D435" s="79"/>
      <c r="E435" s="79"/>
      <c r="O435" s="79"/>
      <c r="S435" s="79"/>
      <c r="T435" s="79"/>
      <c r="Y435" s="79"/>
      <c r="AD435" s="130"/>
      <c r="AF435" s="106"/>
    </row>
    <row r="436">
      <c r="C436" s="79"/>
      <c r="D436" s="79"/>
      <c r="E436" s="79"/>
      <c r="O436" s="79"/>
      <c r="S436" s="79"/>
      <c r="T436" s="79"/>
      <c r="Y436" s="79"/>
      <c r="AD436" s="130"/>
      <c r="AF436" s="106"/>
    </row>
    <row r="437">
      <c r="C437" s="79"/>
      <c r="D437" s="79"/>
      <c r="E437" s="79"/>
      <c r="O437" s="79"/>
      <c r="S437" s="79"/>
      <c r="T437" s="79"/>
      <c r="Y437" s="79"/>
      <c r="AD437" s="130"/>
      <c r="AF437" s="106"/>
    </row>
    <row r="438">
      <c r="C438" s="79"/>
      <c r="D438" s="79"/>
      <c r="E438" s="79"/>
      <c r="O438" s="79"/>
      <c r="S438" s="79"/>
      <c r="T438" s="79"/>
      <c r="Y438" s="79"/>
      <c r="AD438" s="130"/>
      <c r="AF438" s="106"/>
    </row>
    <row r="439">
      <c r="C439" s="79"/>
      <c r="D439" s="79"/>
      <c r="E439" s="79"/>
      <c r="O439" s="79"/>
      <c r="S439" s="79"/>
      <c r="T439" s="79"/>
      <c r="Y439" s="79"/>
      <c r="AD439" s="130"/>
      <c r="AF439" s="106"/>
    </row>
    <row r="440">
      <c r="C440" s="79"/>
      <c r="D440" s="79"/>
      <c r="E440" s="79"/>
      <c r="O440" s="79"/>
      <c r="S440" s="79"/>
      <c r="T440" s="79"/>
      <c r="Y440" s="79"/>
      <c r="AD440" s="130"/>
      <c r="AF440" s="106"/>
    </row>
    <row r="441">
      <c r="C441" s="79"/>
      <c r="D441" s="79"/>
      <c r="E441" s="79"/>
      <c r="O441" s="79"/>
      <c r="S441" s="79"/>
      <c r="T441" s="79"/>
      <c r="Y441" s="79"/>
      <c r="AD441" s="130"/>
      <c r="AF441" s="106"/>
    </row>
    <row r="442">
      <c r="C442" s="79"/>
      <c r="D442" s="79"/>
      <c r="E442" s="79"/>
      <c r="O442" s="79"/>
      <c r="S442" s="79"/>
      <c r="T442" s="79"/>
      <c r="Y442" s="79"/>
      <c r="AD442" s="130"/>
      <c r="AF442" s="106"/>
    </row>
    <row r="443">
      <c r="C443" s="79"/>
      <c r="D443" s="79"/>
      <c r="E443" s="79"/>
      <c r="O443" s="79"/>
      <c r="S443" s="79"/>
      <c r="T443" s="79"/>
      <c r="Y443" s="79"/>
      <c r="AD443" s="130"/>
      <c r="AF443" s="106"/>
    </row>
    <row r="444">
      <c r="C444" s="79"/>
      <c r="D444" s="79"/>
      <c r="E444" s="79"/>
      <c r="O444" s="79"/>
      <c r="S444" s="79"/>
      <c r="T444" s="79"/>
      <c r="Y444" s="79"/>
      <c r="AD444" s="130"/>
      <c r="AF444" s="106"/>
    </row>
    <row r="445">
      <c r="C445" s="79"/>
      <c r="D445" s="79"/>
      <c r="E445" s="79"/>
      <c r="O445" s="79"/>
      <c r="S445" s="79"/>
      <c r="T445" s="79"/>
      <c r="Y445" s="79"/>
      <c r="AD445" s="130"/>
      <c r="AF445" s="106"/>
    </row>
    <row r="446">
      <c r="C446" s="79"/>
      <c r="D446" s="79"/>
      <c r="E446" s="79"/>
      <c r="O446" s="79"/>
      <c r="S446" s="79"/>
      <c r="T446" s="79"/>
      <c r="Y446" s="79"/>
      <c r="AD446" s="130"/>
      <c r="AF446" s="106"/>
    </row>
    <row r="447">
      <c r="C447" s="79"/>
      <c r="D447" s="79"/>
      <c r="E447" s="79"/>
      <c r="O447" s="79"/>
      <c r="S447" s="79"/>
      <c r="T447" s="79"/>
      <c r="Y447" s="79"/>
      <c r="AD447" s="130"/>
      <c r="AF447" s="106"/>
    </row>
    <row r="448">
      <c r="C448" s="79"/>
      <c r="D448" s="79"/>
      <c r="E448" s="79"/>
      <c r="O448" s="79"/>
      <c r="S448" s="79"/>
      <c r="T448" s="79"/>
      <c r="Y448" s="79"/>
      <c r="AD448" s="130"/>
      <c r="AF448" s="106"/>
    </row>
    <row r="449">
      <c r="C449" s="79"/>
      <c r="D449" s="79"/>
      <c r="E449" s="79"/>
      <c r="O449" s="79"/>
      <c r="S449" s="79"/>
      <c r="T449" s="79"/>
      <c r="Y449" s="79"/>
      <c r="AD449" s="130"/>
      <c r="AF449" s="106"/>
    </row>
    <row r="450">
      <c r="C450" s="79"/>
      <c r="D450" s="79"/>
      <c r="E450" s="79"/>
      <c r="O450" s="79"/>
      <c r="S450" s="79"/>
      <c r="T450" s="79"/>
      <c r="Y450" s="79"/>
      <c r="AD450" s="130"/>
      <c r="AF450" s="106"/>
    </row>
    <row r="451">
      <c r="C451" s="79"/>
      <c r="D451" s="79"/>
      <c r="E451" s="79"/>
      <c r="O451" s="79"/>
      <c r="S451" s="79"/>
      <c r="T451" s="79"/>
      <c r="Y451" s="79"/>
      <c r="AD451" s="130"/>
      <c r="AF451" s="106"/>
    </row>
    <row r="452">
      <c r="C452" s="79"/>
      <c r="D452" s="79"/>
      <c r="E452" s="79"/>
      <c r="O452" s="79"/>
      <c r="S452" s="79"/>
      <c r="T452" s="79"/>
      <c r="Y452" s="79"/>
      <c r="AD452" s="130"/>
      <c r="AF452" s="106"/>
    </row>
    <row r="453">
      <c r="C453" s="79"/>
      <c r="D453" s="79"/>
      <c r="E453" s="79"/>
      <c r="O453" s="79"/>
      <c r="S453" s="79"/>
      <c r="T453" s="79"/>
      <c r="Y453" s="79"/>
      <c r="AD453" s="130"/>
      <c r="AF453" s="106"/>
    </row>
    <row r="454">
      <c r="C454" s="79"/>
      <c r="D454" s="79"/>
      <c r="E454" s="79"/>
      <c r="O454" s="79"/>
      <c r="S454" s="79"/>
      <c r="T454" s="79"/>
      <c r="Y454" s="79"/>
      <c r="AD454" s="130"/>
      <c r="AF454" s="106"/>
    </row>
    <row r="455">
      <c r="C455" s="79"/>
      <c r="D455" s="79"/>
      <c r="E455" s="79"/>
      <c r="O455" s="79"/>
      <c r="S455" s="79"/>
      <c r="T455" s="79"/>
      <c r="Y455" s="79"/>
      <c r="AD455" s="130"/>
      <c r="AF455" s="106"/>
    </row>
    <row r="456">
      <c r="C456" s="79"/>
      <c r="D456" s="79"/>
      <c r="E456" s="79"/>
      <c r="O456" s="79"/>
      <c r="S456" s="79"/>
      <c r="T456" s="79"/>
      <c r="Y456" s="79"/>
      <c r="AD456" s="130"/>
      <c r="AF456" s="106"/>
    </row>
    <row r="457">
      <c r="C457" s="79"/>
      <c r="D457" s="79"/>
      <c r="E457" s="79"/>
      <c r="O457" s="79"/>
      <c r="S457" s="79"/>
      <c r="T457" s="79"/>
      <c r="Y457" s="79"/>
      <c r="AD457" s="130"/>
      <c r="AF457" s="106"/>
    </row>
    <row r="458">
      <c r="C458" s="79"/>
      <c r="D458" s="79"/>
      <c r="E458" s="79"/>
      <c r="O458" s="79"/>
      <c r="S458" s="79"/>
      <c r="T458" s="79"/>
      <c r="Y458" s="79"/>
      <c r="AD458" s="130"/>
      <c r="AF458" s="106"/>
    </row>
    <row r="459">
      <c r="C459" s="79"/>
      <c r="D459" s="79"/>
      <c r="E459" s="79"/>
      <c r="O459" s="79"/>
      <c r="S459" s="79"/>
      <c r="T459" s="79"/>
      <c r="Y459" s="79"/>
      <c r="AD459" s="130"/>
      <c r="AF459" s="106"/>
    </row>
    <row r="460">
      <c r="C460" s="79"/>
      <c r="D460" s="79"/>
      <c r="E460" s="79"/>
      <c r="O460" s="79"/>
      <c r="S460" s="79"/>
      <c r="T460" s="79"/>
      <c r="Y460" s="79"/>
      <c r="AD460" s="130"/>
      <c r="AF460" s="106"/>
    </row>
    <row r="461">
      <c r="C461" s="79"/>
      <c r="D461" s="79"/>
      <c r="E461" s="79"/>
      <c r="O461" s="79"/>
      <c r="S461" s="79"/>
      <c r="T461" s="79"/>
      <c r="Y461" s="79"/>
      <c r="AD461" s="130"/>
      <c r="AF461" s="106"/>
    </row>
    <row r="462">
      <c r="C462" s="79"/>
      <c r="D462" s="79"/>
      <c r="E462" s="79"/>
      <c r="O462" s="79"/>
      <c r="S462" s="79"/>
      <c r="T462" s="79"/>
      <c r="Y462" s="79"/>
      <c r="AD462" s="130"/>
      <c r="AF462" s="106"/>
    </row>
    <row r="463">
      <c r="C463" s="79"/>
      <c r="D463" s="79"/>
      <c r="E463" s="79"/>
      <c r="O463" s="79"/>
      <c r="S463" s="79"/>
      <c r="T463" s="79"/>
      <c r="Y463" s="79"/>
      <c r="AD463" s="130"/>
      <c r="AF463" s="106"/>
    </row>
    <row r="464">
      <c r="C464" s="79"/>
      <c r="D464" s="79"/>
      <c r="E464" s="79"/>
      <c r="O464" s="79"/>
      <c r="S464" s="79"/>
      <c r="T464" s="79"/>
      <c r="Y464" s="79"/>
      <c r="AD464" s="130"/>
      <c r="AF464" s="106"/>
    </row>
    <row r="465">
      <c r="C465" s="79"/>
      <c r="D465" s="79"/>
      <c r="E465" s="79"/>
      <c r="O465" s="79"/>
      <c r="S465" s="79"/>
      <c r="T465" s="79"/>
      <c r="Y465" s="79"/>
      <c r="AD465" s="130"/>
      <c r="AF465" s="106"/>
    </row>
    <row r="466">
      <c r="C466" s="79"/>
      <c r="D466" s="79"/>
      <c r="E466" s="79"/>
      <c r="O466" s="79"/>
      <c r="S466" s="79"/>
      <c r="T466" s="79"/>
      <c r="Y466" s="79"/>
      <c r="AD466" s="130"/>
      <c r="AF466" s="106"/>
    </row>
    <row r="467">
      <c r="C467" s="79"/>
      <c r="D467" s="79"/>
      <c r="E467" s="79"/>
      <c r="O467" s="79"/>
      <c r="S467" s="79"/>
      <c r="T467" s="79"/>
      <c r="Y467" s="79"/>
      <c r="AD467" s="130"/>
      <c r="AF467" s="106"/>
    </row>
    <row r="468">
      <c r="C468" s="79"/>
      <c r="D468" s="79"/>
      <c r="E468" s="79"/>
      <c r="O468" s="79"/>
      <c r="S468" s="79"/>
      <c r="T468" s="79"/>
      <c r="Y468" s="79"/>
      <c r="AD468" s="130"/>
      <c r="AF468" s="106"/>
    </row>
    <row r="469">
      <c r="C469" s="79"/>
      <c r="D469" s="79"/>
      <c r="E469" s="79"/>
      <c r="O469" s="79"/>
      <c r="S469" s="79"/>
      <c r="T469" s="79"/>
      <c r="Y469" s="79"/>
      <c r="AD469" s="130"/>
      <c r="AF469" s="106"/>
    </row>
    <row r="470">
      <c r="C470" s="79"/>
      <c r="D470" s="79"/>
      <c r="E470" s="79"/>
      <c r="O470" s="79"/>
      <c r="S470" s="79"/>
      <c r="T470" s="79"/>
      <c r="Y470" s="79"/>
      <c r="AD470" s="130"/>
      <c r="AF470" s="106"/>
    </row>
    <row r="471">
      <c r="C471" s="79"/>
      <c r="D471" s="79"/>
      <c r="E471" s="79"/>
      <c r="O471" s="79"/>
      <c r="S471" s="79"/>
      <c r="T471" s="79"/>
      <c r="Y471" s="79"/>
      <c r="AD471" s="130"/>
      <c r="AF471" s="106"/>
    </row>
    <row r="472">
      <c r="C472" s="79"/>
      <c r="D472" s="79"/>
      <c r="E472" s="79"/>
      <c r="O472" s="79"/>
      <c r="S472" s="79"/>
      <c r="T472" s="79"/>
      <c r="Y472" s="79"/>
      <c r="AD472" s="130"/>
      <c r="AF472" s="106"/>
    </row>
    <row r="473">
      <c r="C473" s="79"/>
      <c r="D473" s="79"/>
      <c r="E473" s="79"/>
      <c r="O473" s="79"/>
      <c r="S473" s="79"/>
      <c r="T473" s="79"/>
      <c r="Y473" s="79"/>
      <c r="AD473" s="130"/>
      <c r="AF473" s="106"/>
    </row>
    <row r="474">
      <c r="C474" s="79"/>
      <c r="D474" s="79"/>
      <c r="E474" s="79"/>
      <c r="O474" s="79"/>
      <c r="S474" s="79"/>
      <c r="T474" s="79"/>
      <c r="Y474" s="79"/>
      <c r="AD474" s="130"/>
      <c r="AF474" s="106"/>
    </row>
    <row r="475">
      <c r="C475" s="79"/>
      <c r="D475" s="79"/>
      <c r="E475" s="79"/>
      <c r="O475" s="79"/>
      <c r="S475" s="79"/>
      <c r="T475" s="79"/>
      <c r="Y475" s="79"/>
      <c r="AD475" s="130"/>
      <c r="AF475" s="106"/>
    </row>
    <row r="476">
      <c r="C476" s="79"/>
      <c r="D476" s="79"/>
      <c r="E476" s="79"/>
      <c r="O476" s="79"/>
      <c r="S476" s="79"/>
      <c r="T476" s="79"/>
      <c r="Y476" s="79"/>
      <c r="AD476" s="130"/>
      <c r="AF476" s="106"/>
    </row>
    <row r="477">
      <c r="C477" s="79"/>
      <c r="D477" s="79"/>
      <c r="E477" s="79"/>
      <c r="O477" s="79"/>
      <c r="S477" s="79"/>
      <c r="T477" s="79"/>
      <c r="Y477" s="79"/>
      <c r="AD477" s="130"/>
      <c r="AF477" s="106"/>
    </row>
    <row r="478">
      <c r="C478" s="79"/>
      <c r="D478" s="79"/>
      <c r="E478" s="79"/>
      <c r="O478" s="79"/>
      <c r="S478" s="79"/>
      <c r="T478" s="79"/>
      <c r="Y478" s="79"/>
      <c r="AD478" s="130"/>
      <c r="AF478" s="106"/>
    </row>
    <row r="479">
      <c r="C479" s="79"/>
      <c r="D479" s="79"/>
      <c r="E479" s="79"/>
      <c r="O479" s="79"/>
      <c r="S479" s="79"/>
      <c r="T479" s="79"/>
      <c r="Y479" s="79"/>
      <c r="AD479" s="130"/>
      <c r="AF479" s="106"/>
    </row>
    <row r="480">
      <c r="C480" s="79"/>
      <c r="D480" s="79"/>
      <c r="E480" s="79"/>
      <c r="O480" s="79"/>
      <c r="S480" s="79"/>
      <c r="T480" s="79"/>
      <c r="Y480" s="79"/>
      <c r="AD480" s="130"/>
      <c r="AF480" s="106"/>
    </row>
    <row r="481">
      <c r="C481" s="79"/>
      <c r="D481" s="79"/>
      <c r="E481" s="79"/>
      <c r="O481" s="79"/>
      <c r="S481" s="79"/>
      <c r="T481" s="79"/>
      <c r="Y481" s="79"/>
      <c r="AD481" s="130"/>
      <c r="AF481" s="106"/>
    </row>
    <row r="482">
      <c r="C482" s="79"/>
      <c r="D482" s="79"/>
      <c r="E482" s="79"/>
      <c r="O482" s="79"/>
      <c r="S482" s="79"/>
      <c r="T482" s="79"/>
      <c r="Y482" s="79"/>
      <c r="AD482" s="130"/>
      <c r="AF482" s="106"/>
    </row>
    <row r="483">
      <c r="C483" s="79"/>
      <c r="D483" s="79"/>
      <c r="E483" s="79"/>
      <c r="O483" s="79"/>
      <c r="S483" s="79"/>
      <c r="T483" s="79"/>
      <c r="Y483" s="79"/>
      <c r="AD483" s="130"/>
      <c r="AF483" s="106"/>
    </row>
    <row r="484">
      <c r="C484" s="79"/>
      <c r="D484" s="79"/>
      <c r="E484" s="79"/>
      <c r="O484" s="79"/>
      <c r="S484" s="79"/>
      <c r="T484" s="79"/>
      <c r="Y484" s="79"/>
      <c r="AD484" s="130"/>
      <c r="AF484" s="106"/>
    </row>
    <row r="485">
      <c r="C485" s="79"/>
      <c r="D485" s="79"/>
      <c r="E485" s="79"/>
      <c r="O485" s="79"/>
      <c r="S485" s="79"/>
      <c r="T485" s="79"/>
      <c r="Y485" s="79"/>
      <c r="AD485" s="130"/>
      <c r="AF485" s="106"/>
    </row>
    <row r="486">
      <c r="C486" s="79"/>
      <c r="D486" s="79"/>
      <c r="E486" s="79"/>
      <c r="O486" s="79"/>
      <c r="S486" s="79"/>
      <c r="T486" s="79"/>
      <c r="Y486" s="79"/>
      <c r="AD486" s="130"/>
      <c r="AF486" s="106"/>
    </row>
    <row r="487">
      <c r="C487" s="79"/>
      <c r="D487" s="79"/>
      <c r="E487" s="79"/>
      <c r="O487" s="79"/>
      <c r="S487" s="79"/>
      <c r="T487" s="79"/>
      <c r="Y487" s="79"/>
      <c r="AD487" s="130"/>
      <c r="AF487" s="106"/>
    </row>
    <row r="488">
      <c r="C488" s="79"/>
      <c r="D488" s="79"/>
      <c r="E488" s="79"/>
      <c r="O488" s="79"/>
      <c r="S488" s="79"/>
      <c r="T488" s="79"/>
      <c r="Y488" s="79"/>
      <c r="AD488" s="130"/>
      <c r="AF488" s="106"/>
    </row>
    <row r="489">
      <c r="C489" s="79"/>
      <c r="D489" s="79"/>
      <c r="E489" s="79"/>
      <c r="O489" s="79"/>
      <c r="S489" s="79"/>
      <c r="T489" s="79"/>
      <c r="Y489" s="79"/>
      <c r="AD489" s="130"/>
      <c r="AF489" s="106"/>
    </row>
    <row r="490">
      <c r="C490" s="79"/>
      <c r="D490" s="79"/>
      <c r="E490" s="79"/>
      <c r="O490" s="79"/>
      <c r="S490" s="79"/>
      <c r="T490" s="79"/>
      <c r="Y490" s="79"/>
      <c r="AD490" s="130"/>
      <c r="AF490" s="106"/>
    </row>
    <row r="491">
      <c r="C491" s="79"/>
      <c r="D491" s="79"/>
      <c r="E491" s="79"/>
      <c r="O491" s="79"/>
      <c r="S491" s="79"/>
      <c r="T491" s="79"/>
      <c r="Y491" s="79"/>
      <c r="AD491" s="130"/>
      <c r="AF491" s="106"/>
    </row>
    <row r="492">
      <c r="C492" s="79"/>
      <c r="D492" s="79"/>
      <c r="E492" s="79"/>
      <c r="O492" s="79"/>
      <c r="S492" s="79"/>
      <c r="T492" s="79"/>
      <c r="Y492" s="79"/>
      <c r="AD492" s="130"/>
      <c r="AF492" s="106"/>
    </row>
    <row r="493">
      <c r="C493" s="79"/>
      <c r="D493" s="79"/>
      <c r="E493" s="79"/>
      <c r="O493" s="79"/>
      <c r="S493" s="79"/>
      <c r="T493" s="79"/>
      <c r="Y493" s="79"/>
      <c r="AD493" s="130"/>
      <c r="AF493" s="106"/>
    </row>
    <row r="494">
      <c r="C494" s="79"/>
      <c r="D494" s="79"/>
      <c r="E494" s="79"/>
      <c r="O494" s="79"/>
      <c r="S494" s="79"/>
      <c r="T494" s="79"/>
      <c r="Y494" s="79"/>
      <c r="AD494" s="130"/>
      <c r="AF494" s="106"/>
    </row>
    <row r="495">
      <c r="C495" s="79"/>
      <c r="D495" s="79"/>
      <c r="E495" s="79"/>
      <c r="O495" s="79"/>
      <c r="S495" s="79"/>
      <c r="T495" s="79"/>
      <c r="Y495" s="79"/>
      <c r="AD495" s="130"/>
      <c r="AF495" s="106"/>
    </row>
    <row r="496">
      <c r="C496" s="79"/>
      <c r="D496" s="79"/>
      <c r="E496" s="79"/>
      <c r="O496" s="79"/>
      <c r="S496" s="79"/>
      <c r="T496" s="79"/>
      <c r="Y496" s="79"/>
      <c r="AD496" s="130"/>
      <c r="AF496" s="106"/>
    </row>
    <row r="497">
      <c r="C497" s="79"/>
      <c r="D497" s="79"/>
      <c r="E497" s="79"/>
      <c r="O497" s="79"/>
      <c r="S497" s="79"/>
      <c r="T497" s="79"/>
      <c r="Y497" s="79"/>
      <c r="AD497" s="130"/>
      <c r="AF497" s="106"/>
    </row>
    <row r="498">
      <c r="C498" s="79"/>
      <c r="D498" s="79"/>
      <c r="E498" s="79"/>
      <c r="O498" s="79"/>
      <c r="S498" s="79"/>
      <c r="T498" s="79"/>
      <c r="Y498" s="79"/>
      <c r="AD498" s="130"/>
      <c r="AF498" s="106"/>
    </row>
    <row r="499">
      <c r="C499" s="79"/>
      <c r="D499" s="79"/>
      <c r="E499" s="79"/>
      <c r="O499" s="79"/>
      <c r="S499" s="79"/>
      <c r="T499" s="79"/>
      <c r="Y499" s="79"/>
      <c r="AD499" s="130"/>
      <c r="AF499" s="106"/>
    </row>
    <row r="500">
      <c r="C500" s="79"/>
      <c r="D500" s="79"/>
      <c r="E500" s="79"/>
      <c r="O500" s="79"/>
      <c r="S500" s="79"/>
      <c r="T500" s="79"/>
      <c r="Y500" s="79"/>
      <c r="AD500" s="130"/>
      <c r="AF500" s="106"/>
    </row>
    <row r="501">
      <c r="C501" s="79"/>
      <c r="D501" s="79"/>
      <c r="E501" s="79"/>
      <c r="O501" s="79"/>
      <c r="S501" s="79"/>
      <c r="T501" s="79"/>
      <c r="Y501" s="79"/>
      <c r="AD501" s="130"/>
      <c r="AF501" s="106"/>
    </row>
    <row r="502">
      <c r="C502" s="79"/>
      <c r="D502" s="79"/>
      <c r="E502" s="79"/>
      <c r="O502" s="79"/>
      <c r="S502" s="79"/>
      <c r="T502" s="79"/>
      <c r="Y502" s="79"/>
      <c r="AD502" s="130"/>
      <c r="AF502" s="106"/>
    </row>
    <row r="503">
      <c r="C503" s="79"/>
      <c r="D503" s="79"/>
      <c r="E503" s="79"/>
      <c r="O503" s="79"/>
      <c r="S503" s="79"/>
      <c r="T503" s="79"/>
      <c r="Y503" s="79"/>
      <c r="AD503" s="130"/>
      <c r="AF503" s="106"/>
    </row>
    <row r="504">
      <c r="C504" s="79"/>
      <c r="D504" s="79"/>
      <c r="E504" s="79"/>
      <c r="O504" s="79"/>
      <c r="S504" s="79"/>
      <c r="T504" s="79"/>
      <c r="Y504" s="79"/>
      <c r="AD504" s="130"/>
      <c r="AF504" s="106"/>
    </row>
    <row r="505">
      <c r="C505" s="79"/>
      <c r="D505" s="79"/>
      <c r="E505" s="79"/>
      <c r="O505" s="79"/>
      <c r="S505" s="79"/>
      <c r="T505" s="79"/>
      <c r="Y505" s="79"/>
      <c r="AD505" s="130"/>
      <c r="AF505" s="106"/>
    </row>
    <row r="506">
      <c r="C506" s="79"/>
      <c r="D506" s="79"/>
      <c r="E506" s="79"/>
      <c r="O506" s="79"/>
      <c r="S506" s="79"/>
      <c r="T506" s="79"/>
      <c r="Y506" s="79"/>
      <c r="AD506" s="130"/>
      <c r="AF506" s="106"/>
    </row>
    <row r="507">
      <c r="C507" s="79"/>
      <c r="D507" s="79"/>
      <c r="E507" s="79"/>
      <c r="O507" s="79"/>
      <c r="S507" s="79"/>
      <c r="T507" s="79"/>
      <c r="Y507" s="79"/>
      <c r="AD507" s="130"/>
      <c r="AF507" s="106"/>
    </row>
    <row r="508">
      <c r="C508" s="79"/>
      <c r="D508" s="79"/>
      <c r="E508" s="79"/>
      <c r="O508" s="79"/>
      <c r="S508" s="79"/>
      <c r="T508" s="79"/>
      <c r="Y508" s="79"/>
      <c r="AD508" s="130"/>
      <c r="AF508" s="106"/>
    </row>
    <row r="509">
      <c r="C509" s="79"/>
      <c r="D509" s="79"/>
      <c r="E509" s="79"/>
      <c r="O509" s="79"/>
      <c r="S509" s="79"/>
      <c r="T509" s="79"/>
      <c r="Y509" s="79"/>
      <c r="AD509" s="130"/>
      <c r="AF509" s="106"/>
    </row>
    <row r="510">
      <c r="C510" s="79"/>
      <c r="D510" s="79"/>
      <c r="E510" s="79"/>
      <c r="O510" s="79"/>
      <c r="S510" s="79"/>
      <c r="T510" s="79"/>
      <c r="Y510" s="79"/>
      <c r="AD510" s="130"/>
      <c r="AF510" s="106"/>
    </row>
    <row r="511">
      <c r="C511" s="79"/>
      <c r="D511" s="79"/>
      <c r="E511" s="79"/>
      <c r="O511" s="79"/>
      <c r="S511" s="79"/>
      <c r="T511" s="79"/>
      <c r="Y511" s="79"/>
      <c r="AD511" s="130"/>
      <c r="AF511" s="106"/>
    </row>
    <row r="512">
      <c r="C512" s="79"/>
      <c r="D512" s="79"/>
      <c r="E512" s="79"/>
      <c r="O512" s="79"/>
      <c r="S512" s="79"/>
      <c r="T512" s="79"/>
      <c r="Y512" s="79"/>
      <c r="AD512" s="130"/>
      <c r="AF512" s="106"/>
    </row>
    <row r="513">
      <c r="C513" s="79"/>
      <c r="D513" s="79"/>
      <c r="E513" s="79"/>
      <c r="O513" s="79"/>
      <c r="S513" s="79"/>
      <c r="T513" s="79"/>
      <c r="Y513" s="79"/>
      <c r="AD513" s="130"/>
      <c r="AF513" s="106"/>
    </row>
    <row r="514">
      <c r="C514" s="79"/>
      <c r="D514" s="79"/>
      <c r="E514" s="79"/>
      <c r="O514" s="79"/>
      <c r="S514" s="79"/>
      <c r="T514" s="79"/>
      <c r="Y514" s="79"/>
      <c r="AD514" s="130"/>
      <c r="AF514" s="106"/>
    </row>
    <row r="515">
      <c r="C515" s="79"/>
      <c r="D515" s="79"/>
      <c r="E515" s="79"/>
      <c r="O515" s="79"/>
      <c r="S515" s="79"/>
      <c r="T515" s="79"/>
      <c r="Y515" s="79"/>
      <c r="AD515" s="130"/>
      <c r="AF515" s="106"/>
    </row>
    <row r="516">
      <c r="C516" s="79"/>
      <c r="D516" s="79"/>
      <c r="E516" s="79"/>
      <c r="O516" s="79"/>
      <c r="S516" s="79"/>
      <c r="T516" s="79"/>
      <c r="Y516" s="79"/>
      <c r="AD516" s="130"/>
      <c r="AF516" s="106"/>
    </row>
    <row r="517">
      <c r="C517" s="79"/>
      <c r="D517" s="79"/>
      <c r="E517" s="79"/>
      <c r="O517" s="79"/>
      <c r="S517" s="79"/>
      <c r="T517" s="79"/>
      <c r="Y517" s="79"/>
      <c r="AD517" s="130"/>
      <c r="AF517" s="106"/>
    </row>
    <row r="518">
      <c r="C518" s="79"/>
      <c r="D518" s="79"/>
      <c r="E518" s="79"/>
      <c r="O518" s="79"/>
      <c r="S518" s="79"/>
      <c r="T518" s="79"/>
      <c r="Y518" s="79"/>
      <c r="AD518" s="130"/>
      <c r="AF518" s="106"/>
    </row>
    <row r="519">
      <c r="C519" s="79"/>
      <c r="D519" s="79"/>
      <c r="E519" s="79"/>
      <c r="O519" s="79"/>
      <c r="S519" s="79"/>
      <c r="T519" s="79"/>
      <c r="Y519" s="79"/>
      <c r="AD519" s="130"/>
      <c r="AF519" s="106"/>
    </row>
    <row r="520">
      <c r="C520" s="79"/>
      <c r="D520" s="79"/>
      <c r="E520" s="79"/>
      <c r="O520" s="79"/>
      <c r="S520" s="79"/>
      <c r="T520" s="79"/>
      <c r="Y520" s="79"/>
      <c r="AD520" s="130"/>
      <c r="AF520" s="106"/>
    </row>
    <row r="521">
      <c r="C521" s="79"/>
      <c r="D521" s="79"/>
      <c r="E521" s="79"/>
      <c r="O521" s="79"/>
      <c r="S521" s="79"/>
      <c r="T521" s="79"/>
      <c r="Y521" s="79"/>
      <c r="AD521" s="130"/>
      <c r="AF521" s="106"/>
    </row>
    <row r="522">
      <c r="C522" s="79"/>
      <c r="D522" s="79"/>
      <c r="E522" s="79"/>
      <c r="O522" s="79"/>
      <c r="S522" s="79"/>
      <c r="T522" s="79"/>
      <c r="Y522" s="79"/>
      <c r="AD522" s="130"/>
      <c r="AF522" s="106"/>
    </row>
    <row r="523">
      <c r="C523" s="79"/>
      <c r="D523" s="79"/>
      <c r="E523" s="79"/>
      <c r="O523" s="79"/>
      <c r="S523" s="79"/>
      <c r="T523" s="79"/>
      <c r="Y523" s="79"/>
      <c r="AD523" s="130"/>
      <c r="AF523" s="106"/>
    </row>
    <row r="524">
      <c r="C524" s="79"/>
      <c r="D524" s="79"/>
      <c r="E524" s="79"/>
      <c r="O524" s="79"/>
      <c r="S524" s="79"/>
      <c r="T524" s="79"/>
      <c r="Y524" s="79"/>
      <c r="AD524" s="130"/>
      <c r="AF524" s="106"/>
    </row>
    <row r="525">
      <c r="C525" s="79"/>
      <c r="D525" s="79"/>
      <c r="E525" s="79"/>
      <c r="O525" s="79"/>
      <c r="S525" s="79"/>
      <c r="T525" s="79"/>
      <c r="Y525" s="79"/>
      <c r="AD525" s="130"/>
      <c r="AF525" s="106"/>
    </row>
    <row r="526">
      <c r="C526" s="79"/>
      <c r="D526" s="79"/>
      <c r="E526" s="79"/>
      <c r="O526" s="79"/>
      <c r="S526" s="79"/>
      <c r="T526" s="79"/>
      <c r="Y526" s="79"/>
      <c r="AD526" s="130"/>
      <c r="AF526" s="106"/>
    </row>
    <row r="527">
      <c r="C527" s="79"/>
      <c r="D527" s="79"/>
      <c r="E527" s="79"/>
      <c r="O527" s="79"/>
      <c r="S527" s="79"/>
      <c r="T527" s="79"/>
      <c r="Y527" s="79"/>
      <c r="AD527" s="130"/>
      <c r="AF527" s="106"/>
    </row>
    <row r="528">
      <c r="C528" s="79"/>
      <c r="D528" s="79"/>
      <c r="E528" s="79"/>
      <c r="O528" s="79"/>
      <c r="S528" s="79"/>
      <c r="T528" s="79"/>
      <c r="Y528" s="79"/>
      <c r="AD528" s="130"/>
      <c r="AF528" s="106"/>
    </row>
    <row r="529">
      <c r="C529" s="79"/>
      <c r="D529" s="79"/>
      <c r="E529" s="79"/>
      <c r="O529" s="79"/>
      <c r="S529" s="79"/>
      <c r="T529" s="79"/>
      <c r="Y529" s="79"/>
      <c r="AD529" s="130"/>
      <c r="AF529" s="106"/>
    </row>
    <row r="530">
      <c r="C530" s="79"/>
      <c r="D530" s="79"/>
      <c r="E530" s="79"/>
      <c r="O530" s="79"/>
      <c r="S530" s="79"/>
      <c r="T530" s="79"/>
      <c r="Y530" s="79"/>
      <c r="AD530" s="130"/>
      <c r="AF530" s="106"/>
    </row>
    <row r="531">
      <c r="C531" s="79"/>
      <c r="D531" s="79"/>
      <c r="E531" s="79"/>
      <c r="O531" s="79"/>
      <c r="S531" s="79"/>
      <c r="T531" s="79"/>
      <c r="Y531" s="79"/>
      <c r="AD531" s="130"/>
      <c r="AF531" s="106"/>
    </row>
    <row r="532">
      <c r="C532" s="79"/>
      <c r="D532" s="79"/>
      <c r="E532" s="79"/>
      <c r="O532" s="79"/>
      <c r="S532" s="79"/>
      <c r="T532" s="79"/>
      <c r="Y532" s="79"/>
      <c r="AD532" s="130"/>
      <c r="AF532" s="106"/>
    </row>
    <row r="533">
      <c r="C533" s="79"/>
      <c r="D533" s="79"/>
      <c r="E533" s="79"/>
      <c r="O533" s="79"/>
      <c r="S533" s="79"/>
      <c r="T533" s="79"/>
      <c r="Y533" s="79"/>
      <c r="AD533" s="130"/>
      <c r="AF533" s="106"/>
    </row>
    <row r="534">
      <c r="C534" s="79"/>
      <c r="D534" s="79"/>
      <c r="E534" s="79"/>
      <c r="O534" s="79"/>
      <c r="S534" s="79"/>
      <c r="T534" s="79"/>
      <c r="Y534" s="79"/>
      <c r="AD534" s="130"/>
      <c r="AF534" s="106"/>
    </row>
    <row r="535">
      <c r="C535" s="79"/>
      <c r="D535" s="79"/>
      <c r="E535" s="79"/>
      <c r="O535" s="79"/>
      <c r="S535" s="79"/>
      <c r="T535" s="79"/>
      <c r="Y535" s="79"/>
      <c r="AD535" s="130"/>
      <c r="AF535" s="106"/>
    </row>
    <row r="536">
      <c r="C536" s="79"/>
      <c r="D536" s="79"/>
      <c r="E536" s="79"/>
      <c r="O536" s="79"/>
      <c r="S536" s="79"/>
      <c r="T536" s="79"/>
      <c r="Y536" s="79"/>
      <c r="AD536" s="130"/>
      <c r="AF536" s="106"/>
    </row>
    <row r="537">
      <c r="C537" s="79"/>
      <c r="D537" s="79"/>
      <c r="E537" s="79"/>
      <c r="O537" s="79"/>
      <c r="S537" s="79"/>
      <c r="T537" s="79"/>
      <c r="Y537" s="79"/>
      <c r="AD537" s="130"/>
      <c r="AF537" s="106"/>
    </row>
    <row r="538">
      <c r="C538" s="79"/>
      <c r="D538" s="79"/>
      <c r="E538" s="79"/>
      <c r="O538" s="79"/>
      <c r="S538" s="79"/>
      <c r="T538" s="79"/>
      <c r="Y538" s="79"/>
      <c r="AD538" s="130"/>
      <c r="AF538" s="106"/>
    </row>
    <row r="539">
      <c r="C539" s="79"/>
      <c r="D539" s="79"/>
      <c r="E539" s="79"/>
      <c r="O539" s="79"/>
      <c r="S539" s="79"/>
      <c r="T539" s="79"/>
      <c r="Y539" s="79"/>
      <c r="AD539" s="130"/>
      <c r="AF539" s="106"/>
    </row>
    <row r="540">
      <c r="C540" s="79"/>
      <c r="D540" s="79"/>
      <c r="E540" s="79"/>
      <c r="O540" s="79"/>
      <c r="S540" s="79"/>
      <c r="T540" s="79"/>
      <c r="Y540" s="79"/>
      <c r="AD540" s="130"/>
      <c r="AF540" s="106"/>
    </row>
    <row r="541">
      <c r="C541" s="79"/>
      <c r="D541" s="79"/>
      <c r="E541" s="79"/>
      <c r="O541" s="79"/>
      <c r="S541" s="79"/>
      <c r="T541" s="79"/>
      <c r="Y541" s="79"/>
      <c r="AD541" s="130"/>
      <c r="AF541" s="106"/>
    </row>
    <row r="542">
      <c r="C542" s="79"/>
      <c r="D542" s="79"/>
      <c r="E542" s="79"/>
      <c r="O542" s="79"/>
      <c r="S542" s="79"/>
      <c r="T542" s="79"/>
      <c r="Y542" s="79"/>
      <c r="AD542" s="130"/>
      <c r="AF542" s="106"/>
    </row>
    <row r="543">
      <c r="C543" s="79"/>
      <c r="D543" s="79"/>
      <c r="E543" s="79"/>
      <c r="O543" s="79"/>
      <c r="S543" s="79"/>
      <c r="T543" s="79"/>
      <c r="Y543" s="79"/>
      <c r="AD543" s="130"/>
      <c r="AF543" s="106"/>
    </row>
    <row r="544">
      <c r="C544" s="79"/>
      <c r="D544" s="79"/>
      <c r="E544" s="79"/>
      <c r="O544" s="79"/>
      <c r="S544" s="79"/>
      <c r="T544" s="79"/>
      <c r="Y544" s="79"/>
      <c r="AD544" s="130"/>
      <c r="AF544" s="106"/>
    </row>
    <row r="545">
      <c r="C545" s="79"/>
      <c r="D545" s="79"/>
      <c r="E545" s="79"/>
      <c r="O545" s="79"/>
      <c r="S545" s="79"/>
      <c r="T545" s="79"/>
      <c r="Y545" s="79"/>
      <c r="AD545" s="130"/>
      <c r="AF545" s="106"/>
    </row>
    <row r="546">
      <c r="C546" s="79"/>
      <c r="D546" s="79"/>
      <c r="E546" s="79"/>
      <c r="O546" s="79"/>
      <c r="S546" s="79"/>
      <c r="T546" s="79"/>
      <c r="Y546" s="79"/>
      <c r="AD546" s="130"/>
      <c r="AF546" s="106"/>
    </row>
    <row r="547">
      <c r="C547" s="79"/>
      <c r="D547" s="79"/>
      <c r="E547" s="79"/>
      <c r="O547" s="79"/>
      <c r="S547" s="79"/>
      <c r="T547" s="79"/>
      <c r="Y547" s="79"/>
      <c r="AD547" s="130"/>
      <c r="AF547" s="106"/>
    </row>
    <row r="548">
      <c r="C548" s="79"/>
      <c r="D548" s="79"/>
      <c r="E548" s="79"/>
      <c r="O548" s="79"/>
      <c r="S548" s="79"/>
      <c r="T548" s="79"/>
      <c r="Y548" s="79"/>
      <c r="AD548" s="130"/>
      <c r="AF548" s="106"/>
    </row>
    <row r="549">
      <c r="C549" s="79"/>
      <c r="D549" s="79"/>
      <c r="E549" s="79"/>
      <c r="O549" s="79"/>
      <c r="S549" s="79"/>
      <c r="T549" s="79"/>
      <c r="Y549" s="79"/>
      <c r="AD549" s="130"/>
      <c r="AF549" s="106"/>
    </row>
    <row r="550">
      <c r="C550" s="79"/>
      <c r="D550" s="79"/>
      <c r="E550" s="79"/>
      <c r="O550" s="79"/>
      <c r="S550" s="79"/>
      <c r="T550" s="79"/>
      <c r="Y550" s="79"/>
      <c r="AD550" s="130"/>
      <c r="AF550" s="106"/>
    </row>
    <row r="551">
      <c r="C551" s="79"/>
      <c r="D551" s="79"/>
      <c r="E551" s="79"/>
      <c r="O551" s="79"/>
      <c r="S551" s="79"/>
      <c r="T551" s="79"/>
      <c r="Y551" s="79"/>
      <c r="AD551" s="130"/>
      <c r="AF551" s="106"/>
    </row>
    <row r="552">
      <c r="C552" s="79"/>
      <c r="D552" s="79"/>
      <c r="E552" s="79"/>
      <c r="O552" s="79"/>
      <c r="S552" s="79"/>
      <c r="T552" s="79"/>
      <c r="Y552" s="79"/>
      <c r="AD552" s="130"/>
      <c r="AF552" s="106"/>
    </row>
    <row r="553">
      <c r="C553" s="79"/>
      <c r="D553" s="79"/>
      <c r="E553" s="79"/>
      <c r="O553" s="79"/>
      <c r="S553" s="79"/>
      <c r="T553" s="79"/>
      <c r="Y553" s="79"/>
      <c r="AD553" s="130"/>
      <c r="AF553" s="106"/>
    </row>
    <row r="554">
      <c r="C554" s="79"/>
      <c r="D554" s="79"/>
      <c r="E554" s="79"/>
      <c r="O554" s="79"/>
      <c r="S554" s="79"/>
      <c r="T554" s="79"/>
      <c r="Y554" s="79"/>
      <c r="AD554" s="130"/>
      <c r="AF554" s="106"/>
    </row>
    <row r="555">
      <c r="C555" s="79"/>
      <c r="D555" s="79"/>
      <c r="E555" s="79"/>
      <c r="O555" s="79"/>
      <c r="S555" s="79"/>
      <c r="T555" s="79"/>
      <c r="Y555" s="79"/>
      <c r="AD555" s="130"/>
      <c r="AF555" s="106"/>
    </row>
    <row r="556">
      <c r="C556" s="79"/>
      <c r="D556" s="79"/>
      <c r="E556" s="79"/>
      <c r="O556" s="79"/>
      <c r="S556" s="79"/>
      <c r="T556" s="79"/>
      <c r="Y556" s="79"/>
      <c r="AD556" s="130"/>
      <c r="AF556" s="106"/>
    </row>
    <row r="557">
      <c r="C557" s="79"/>
      <c r="D557" s="79"/>
      <c r="E557" s="79"/>
      <c r="O557" s="79"/>
      <c r="S557" s="79"/>
      <c r="T557" s="79"/>
      <c r="Y557" s="79"/>
      <c r="AD557" s="130"/>
      <c r="AF557" s="106"/>
    </row>
    <row r="558">
      <c r="C558" s="79"/>
      <c r="D558" s="79"/>
      <c r="E558" s="79"/>
      <c r="O558" s="79"/>
      <c r="S558" s="79"/>
      <c r="T558" s="79"/>
      <c r="Y558" s="79"/>
      <c r="AD558" s="130"/>
      <c r="AF558" s="106"/>
    </row>
    <row r="559">
      <c r="C559" s="79"/>
      <c r="D559" s="79"/>
      <c r="E559" s="79"/>
      <c r="O559" s="79"/>
      <c r="S559" s="79"/>
      <c r="T559" s="79"/>
      <c r="Y559" s="79"/>
      <c r="AD559" s="130"/>
      <c r="AF559" s="106"/>
    </row>
    <row r="560">
      <c r="C560" s="79"/>
      <c r="D560" s="79"/>
      <c r="E560" s="79"/>
      <c r="O560" s="79"/>
      <c r="S560" s="79"/>
      <c r="T560" s="79"/>
      <c r="Y560" s="79"/>
      <c r="AD560" s="130"/>
      <c r="AF560" s="106"/>
    </row>
    <row r="561">
      <c r="C561" s="79"/>
      <c r="D561" s="79"/>
      <c r="E561" s="79"/>
      <c r="O561" s="79"/>
      <c r="S561" s="79"/>
      <c r="T561" s="79"/>
      <c r="Y561" s="79"/>
      <c r="AD561" s="130"/>
      <c r="AF561" s="106"/>
    </row>
    <row r="562">
      <c r="C562" s="79"/>
      <c r="D562" s="79"/>
      <c r="E562" s="79"/>
      <c r="O562" s="79"/>
      <c r="S562" s="79"/>
      <c r="T562" s="79"/>
      <c r="Y562" s="79"/>
      <c r="AD562" s="130"/>
      <c r="AF562" s="106"/>
    </row>
    <row r="563">
      <c r="C563" s="79"/>
      <c r="D563" s="79"/>
      <c r="E563" s="79"/>
      <c r="O563" s="79"/>
      <c r="S563" s="79"/>
      <c r="T563" s="79"/>
      <c r="Y563" s="79"/>
      <c r="AD563" s="130"/>
      <c r="AF563" s="106"/>
    </row>
    <row r="564">
      <c r="C564" s="79"/>
      <c r="D564" s="79"/>
      <c r="E564" s="79"/>
      <c r="O564" s="79"/>
      <c r="S564" s="79"/>
      <c r="T564" s="79"/>
      <c r="Y564" s="79"/>
      <c r="AD564" s="130"/>
      <c r="AF564" s="106"/>
    </row>
    <row r="565">
      <c r="C565" s="79"/>
      <c r="D565" s="79"/>
      <c r="E565" s="79"/>
      <c r="O565" s="79"/>
      <c r="S565" s="79"/>
      <c r="T565" s="79"/>
      <c r="Y565" s="79"/>
      <c r="AD565" s="130"/>
      <c r="AF565" s="106"/>
    </row>
    <row r="566">
      <c r="C566" s="79"/>
      <c r="D566" s="79"/>
      <c r="E566" s="79"/>
      <c r="O566" s="79"/>
      <c r="S566" s="79"/>
      <c r="T566" s="79"/>
      <c r="Y566" s="79"/>
      <c r="AD566" s="130"/>
      <c r="AF566" s="106"/>
    </row>
    <row r="567">
      <c r="C567" s="79"/>
      <c r="D567" s="79"/>
      <c r="E567" s="79"/>
      <c r="O567" s="79"/>
      <c r="S567" s="79"/>
      <c r="T567" s="79"/>
      <c r="Y567" s="79"/>
      <c r="AD567" s="130"/>
      <c r="AF567" s="106"/>
    </row>
    <row r="568">
      <c r="C568" s="79"/>
      <c r="D568" s="79"/>
      <c r="E568" s="79"/>
      <c r="O568" s="79"/>
      <c r="S568" s="79"/>
      <c r="T568" s="79"/>
      <c r="Y568" s="79"/>
      <c r="AD568" s="130"/>
      <c r="AF568" s="106"/>
    </row>
    <row r="569">
      <c r="C569" s="79"/>
      <c r="D569" s="79"/>
      <c r="E569" s="79"/>
      <c r="O569" s="79"/>
      <c r="S569" s="79"/>
      <c r="T569" s="79"/>
      <c r="Y569" s="79"/>
      <c r="AD569" s="130"/>
      <c r="AF569" s="106"/>
    </row>
    <row r="570">
      <c r="C570" s="79"/>
      <c r="D570" s="79"/>
      <c r="E570" s="79"/>
      <c r="O570" s="79"/>
      <c r="S570" s="79"/>
      <c r="T570" s="79"/>
      <c r="Y570" s="79"/>
      <c r="AD570" s="130"/>
      <c r="AF570" s="106"/>
    </row>
    <row r="571">
      <c r="C571" s="79"/>
      <c r="D571" s="79"/>
      <c r="E571" s="79"/>
      <c r="O571" s="79"/>
      <c r="S571" s="79"/>
      <c r="T571" s="79"/>
      <c r="Y571" s="79"/>
      <c r="AD571" s="130"/>
      <c r="AF571" s="106"/>
    </row>
    <row r="572">
      <c r="C572" s="79"/>
      <c r="D572" s="79"/>
      <c r="E572" s="79"/>
      <c r="O572" s="79"/>
      <c r="S572" s="79"/>
      <c r="T572" s="79"/>
      <c r="Y572" s="79"/>
      <c r="AD572" s="130"/>
      <c r="AF572" s="106"/>
    </row>
    <row r="573">
      <c r="C573" s="79"/>
      <c r="D573" s="79"/>
      <c r="E573" s="79"/>
      <c r="O573" s="79"/>
      <c r="S573" s="79"/>
      <c r="T573" s="79"/>
      <c r="Y573" s="79"/>
      <c r="AD573" s="130"/>
      <c r="AF573" s="106"/>
    </row>
    <row r="574">
      <c r="C574" s="79"/>
      <c r="D574" s="79"/>
      <c r="E574" s="79"/>
      <c r="O574" s="79"/>
      <c r="S574" s="79"/>
      <c r="T574" s="79"/>
      <c r="Y574" s="79"/>
      <c r="AD574" s="130"/>
      <c r="AF574" s="106"/>
    </row>
    <row r="575">
      <c r="C575" s="79"/>
      <c r="D575" s="79"/>
      <c r="E575" s="79"/>
      <c r="O575" s="79"/>
      <c r="S575" s="79"/>
      <c r="T575" s="79"/>
      <c r="Y575" s="79"/>
      <c r="AD575" s="130"/>
      <c r="AF575" s="106"/>
    </row>
    <row r="576">
      <c r="C576" s="79"/>
      <c r="D576" s="79"/>
      <c r="E576" s="79"/>
      <c r="O576" s="79"/>
      <c r="S576" s="79"/>
      <c r="T576" s="79"/>
      <c r="Y576" s="79"/>
      <c r="AD576" s="130"/>
      <c r="AF576" s="106"/>
    </row>
    <row r="577">
      <c r="C577" s="79"/>
      <c r="D577" s="79"/>
      <c r="E577" s="79"/>
      <c r="O577" s="79"/>
      <c r="S577" s="79"/>
      <c r="T577" s="79"/>
      <c r="Y577" s="79"/>
      <c r="AD577" s="130"/>
      <c r="AF577" s="106"/>
    </row>
    <row r="578">
      <c r="C578" s="79"/>
      <c r="D578" s="79"/>
      <c r="E578" s="79"/>
      <c r="O578" s="79"/>
      <c r="S578" s="79"/>
      <c r="T578" s="79"/>
      <c r="Y578" s="79"/>
      <c r="AD578" s="130"/>
      <c r="AF578" s="106"/>
    </row>
    <row r="579">
      <c r="C579" s="79"/>
      <c r="D579" s="79"/>
      <c r="E579" s="79"/>
      <c r="O579" s="79"/>
      <c r="S579" s="79"/>
      <c r="T579" s="79"/>
      <c r="Y579" s="79"/>
      <c r="AD579" s="130"/>
      <c r="AF579" s="106"/>
    </row>
    <row r="580">
      <c r="C580" s="79"/>
      <c r="D580" s="79"/>
      <c r="E580" s="79"/>
      <c r="O580" s="79"/>
      <c r="S580" s="79"/>
      <c r="T580" s="79"/>
      <c r="Y580" s="79"/>
      <c r="AD580" s="130"/>
      <c r="AF580" s="106"/>
    </row>
    <row r="581">
      <c r="C581" s="79"/>
      <c r="D581" s="79"/>
      <c r="E581" s="79"/>
      <c r="O581" s="79"/>
      <c r="S581" s="79"/>
      <c r="T581" s="79"/>
      <c r="Y581" s="79"/>
      <c r="AD581" s="130"/>
      <c r="AF581" s="106"/>
    </row>
    <row r="582">
      <c r="C582" s="79"/>
      <c r="D582" s="79"/>
      <c r="E582" s="79"/>
      <c r="O582" s="79"/>
      <c r="S582" s="79"/>
      <c r="T582" s="79"/>
      <c r="Y582" s="79"/>
      <c r="AD582" s="130"/>
      <c r="AF582" s="106"/>
    </row>
    <row r="583">
      <c r="C583" s="79"/>
      <c r="D583" s="79"/>
      <c r="E583" s="79"/>
      <c r="O583" s="79"/>
      <c r="S583" s="79"/>
      <c r="T583" s="79"/>
      <c r="Y583" s="79"/>
      <c r="AD583" s="130"/>
      <c r="AF583" s="106"/>
    </row>
    <row r="584">
      <c r="C584" s="79"/>
      <c r="D584" s="79"/>
      <c r="E584" s="79"/>
      <c r="O584" s="79"/>
      <c r="S584" s="79"/>
      <c r="T584" s="79"/>
      <c r="Y584" s="79"/>
      <c r="AD584" s="130"/>
      <c r="AF584" s="106"/>
    </row>
    <row r="585">
      <c r="C585" s="79"/>
      <c r="D585" s="79"/>
      <c r="E585" s="79"/>
      <c r="O585" s="79"/>
      <c r="S585" s="79"/>
      <c r="T585" s="79"/>
      <c r="Y585" s="79"/>
      <c r="AD585" s="130"/>
      <c r="AF585" s="106"/>
    </row>
    <row r="586">
      <c r="C586" s="79"/>
      <c r="D586" s="79"/>
      <c r="E586" s="79"/>
      <c r="O586" s="79"/>
      <c r="S586" s="79"/>
      <c r="T586" s="79"/>
      <c r="Y586" s="79"/>
      <c r="AD586" s="130"/>
      <c r="AF586" s="106"/>
    </row>
    <row r="587">
      <c r="C587" s="79"/>
      <c r="D587" s="79"/>
      <c r="E587" s="79"/>
      <c r="O587" s="79"/>
      <c r="S587" s="79"/>
      <c r="T587" s="79"/>
      <c r="Y587" s="79"/>
      <c r="AD587" s="130"/>
      <c r="AF587" s="106"/>
    </row>
    <row r="588">
      <c r="C588" s="79"/>
      <c r="D588" s="79"/>
      <c r="E588" s="79"/>
      <c r="O588" s="79"/>
      <c r="S588" s="79"/>
      <c r="T588" s="79"/>
      <c r="Y588" s="79"/>
      <c r="AD588" s="130"/>
      <c r="AF588" s="106"/>
    </row>
    <row r="589">
      <c r="C589" s="79"/>
      <c r="D589" s="79"/>
      <c r="E589" s="79"/>
      <c r="O589" s="79"/>
      <c r="S589" s="79"/>
      <c r="T589" s="79"/>
      <c r="Y589" s="79"/>
      <c r="AD589" s="130"/>
      <c r="AF589" s="106"/>
    </row>
    <row r="590">
      <c r="C590" s="79"/>
      <c r="D590" s="79"/>
      <c r="E590" s="79"/>
      <c r="O590" s="79"/>
      <c r="S590" s="79"/>
      <c r="T590" s="79"/>
      <c r="Y590" s="79"/>
      <c r="AD590" s="130"/>
      <c r="AF590" s="106"/>
    </row>
    <row r="591">
      <c r="C591" s="79"/>
      <c r="D591" s="79"/>
      <c r="E591" s="79"/>
      <c r="O591" s="79"/>
      <c r="S591" s="79"/>
      <c r="T591" s="79"/>
      <c r="Y591" s="79"/>
      <c r="AD591" s="130"/>
      <c r="AF591" s="106"/>
    </row>
    <row r="592">
      <c r="C592" s="79"/>
      <c r="D592" s="79"/>
      <c r="E592" s="79"/>
      <c r="O592" s="79"/>
      <c r="S592" s="79"/>
      <c r="T592" s="79"/>
      <c r="Y592" s="79"/>
      <c r="AD592" s="130"/>
      <c r="AF592" s="106"/>
    </row>
    <row r="593">
      <c r="C593" s="79"/>
      <c r="D593" s="79"/>
      <c r="E593" s="79"/>
      <c r="O593" s="79"/>
      <c r="S593" s="79"/>
      <c r="T593" s="79"/>
      <c r="Y593" s="79"/>
      <c r="AD593" s="130"/>
      <c r="AF593" s="106"/>
    </row>
    <row r="594">
      <c r="C594" s="79"/>
      <c r="D594" s="79"/>
      <c r="E594" s="79"/>
      <c r="O594" s="79"/>
      <c r="S594" s="79"/>
      <c r="T594" s="79"/>
      <c r="Y594" s="79"/>
      <c r="AD594" s="130"/>
      <c r="AF594" s="106"/>
    </row>
    <row r="595">
      <c r="C595" s="79"/>
      <c r="D595" s="79"/>
      <c r="E595" s="79"/>
      <c r="O595" s="79"/>
      <c r="S595" s="79"/>
      <c r="T595" s="79"/>
      <c r="Y595" s="79"/>
      <c r="AD595" s="130"/>
      <c r="AF595" s="106"/>
    </row>
    <row r="596">
      <c r="C596" s="79"/>
      <c r="D596" s="79"/>
      <c r="E596" s="79"/>
      <c r="O596" s="79"/>
      <c r="S596" s="79"/>
      <c r="T596" s="79"/>
      <c r="Y596" s="79"/>
      <c r="AD596" s="130"/>
      <c r="AF596" s="106"/>
    </row>
    <row r="597">
      <c r="C597" s="79"/>
      <c r="D597" s="79"/>
      <c r="E597" s="79"/>
      <c r="O597" s="79"/>
      <c r="S597" s="79"/>
      <c r="T597" s="79"/>
      <c r="Y597" s="79"/>
      <c r="AD597" s="130"/>
      <c r="AF597" s="106"/>
    </row>
    <row r="598">
      <c r="C598" s="79"/>
      <c r="D598" s="79"/>
      <c r="E598" s="79"/>
      <c r="O598" s="79"/>
      <c r="S598" s="79"/>
      <c r="T598" s="79"/>
      <c r="Y598" s="79"/>
      <c r="AD598" s="130"/>
      <c r="AF598" s="106"/>
    </row>
    <row r="599">
      <c r="C599" s="79"/>
      <c r="D599" s="79"/>
      <c r="E599" s="79"/>
      <c r="O599" s="79"/>
      <c r="S599" s="79"/>
      <c r="T599" s="79"/>
      <c r="Y599" s="79"/>
      <c r="AD599" s="130"/>
      <c r="AF599" s="106"/>
    </row>
    <row r="600">
      <c r="C600" s="79"/>
      <c r="D600" s="79"/>
      <c r="E600" s="79"/>
      <c r="O600" s="79"/>
      <c r="S600" s="79"/>
      <c r="T600" s="79"/>
      <c r="Y600" s="79"/>
      <c r="AD600" s="130"/>
      <c r="AF600" s="106"/>
    </row>
    <row r="601">
      <c r="C601" s="79"/>
      <c r="D601" s="79"/>
      <c r="E601" s="79"/>
      <c r="O601" s="79"/>
      <c r="S601" s="79"/>
      <c r="T601" s="79"/>
      <c r="Y601" s="79"/>
      <c r="AD601" s="130"/>
      <c r="AF601" s="106"/>
    </row>
    <row r="602">
      <c r="C602" s="79"/>
      <c r="D602" s="79"/>
      <c r="E602" s="79"/>
      <c r="O602" s="79"/>
      <c r="S602" s="79"/>
      <c r="T602" s="79"/>
      <c r="Y602" s="79"/>
      <c r="AD602" s="130"/>
      <c r="AF602" s="106"/>
    </row>
    <row r="603">
      <c r="C603" s="79"/>
      <c r="D603" s="79"/>
      <c r="E603" s="79"/>
      <c r="O603" s="79"/>
      <c r="S603" s="79"/>
      <c r="T603" s="79"/>
      <c r="Y603" s="79"/>
      <c r="AD603" s="130"/>
      <c r="AF603" s="106"/>
    </row>
    <row r="604">
      <c r="C604" s="79"/>
      <c r="D604" s="79"/>
      <c r="E604" s="79"/>
      <c r="O604" s="79"/>
      <c r="S604" s="79"/>
      <c r="T604" s="79"/>
      <c r="Y604" s="79"/>
      <c r="AD604" s="130"/>
      <c r="AF604" s="106"/>
    </row>
    <row r="605">
      <c r="C605" s="79"/>
      <c r="D605" s="79"/>
      <c r="E605" s="79"/>
      <c r="O605" s="79"/>
      <c r="S605" s="79"/>
      <c r="T605" s="79"/>
      <c r="Y605" s="79"/>
      <c r="AD605" s="130"/>
      <c r="AF605" s="106"/>
    </row>
    <row r="606">
      <c r="C606" s="79"/>
      <c r="D606" s="79"/>
      <c r="E606" s="79"/>
      <c r="O606" s="79"/>
      <c r="S606" s="79"/>
      <c r="T606" s="79"/>
      <c r="Y606" s="79"/>
      <c r="AD606" s="130"/>
      <c r="AF606" s="106"/>
    </row>
    <row r="607">
      <c r="C607" s="79"/>
      <c r="D607" s="79"/>
      <c r="E607" s="79"/>
      <c r="O607" s="79"/>
      <c r="S607" s="79"/>
      <c r="T607" s="79"/>
      <c r="Y607" s="79"/>
      <c r="AD607" s="130"/>
      <c r="AF607" s="106"/>
    </row>
    <row r="608">
      <c r="C608" s="79"/>
      <c r="D608" s="79"/>
      <c r="E608" s="79"/>
      <c r="O608" s="79"/>
      <c r="S608" s="79"/>
      <c r="T608" s="79"/>
      <c r="Y608" s="79"/>
      <c r="AD608" s="130"/>
      <c r="AF608" s="106"/>
    </row>
    <row r="609">
      <c r="C609" s="79"/>
      <c r="D609" s="79"/>
      <c r="E609" s="79"/>
      <c r="O609" s="79"/>
      <c r="S609" s="79"/>
      <c r="T609" s="79"/>
      <c r="Y609" s="79"/>
      <c r="AD609" s="130"/>
      <c r="AF609" s="106"/>
    </row>
    <row r="610">
      <c r="C610" s="79"/>
      <c r="D610" s="79"/>
      <c r="E610" s="79"/>
      <c r="O610" s="79"/>
      <c r="S610" s="79"/>
      <c r="T610" s="79"/>
      <c r="Y610" s="79"/>
      <c r="AD610" s="130"/>
      <c r="AF610" s="106"/>
    </row>
    <row r="611">
      <c r="C611" s="79"/>
      <c r="D611" s="79"/>
      <c r="E611" s="79"/>
      <c r="O611" s="79"/>
      <c r="S611" s="79"/>
      <c r="T611" s="79"/>
      <c r="Y611" s="79"/>
      <c r="AD611" s="130"/>
      <c r="AF611" s="106"/>
    </row>
    <row r="612">
      <c r="C612" s="79"/>
      <c r="D612" s="79"/>
      <c r="E612" s="79"/>
      <c r="O612" s="79"/>
      <c r="S612" s="79"/>
      <c r="T612" s="79"/>
      <c r="Y612" s="79"/>
      <c r="AD612" s="130"/>
      <c r="AF612" s="106"/>
    </row>
    <row r="613">
      <c r="C613" s="79"/>
      <c r="D613" s="79"/>
      <c r="E613" s="79"/>
      <c r="O613" s="79"/>
      <c r="S613" s="79"/>
      <c r="T613" s="79"/>
      <c r="Y613" s="79"/>
      <c r="AD613" s="130"/>
      <c r="AF613" s="106"/>
    </row>
    <row r="614">
      <c r="C614" s="79"/>
      <c r="D614" s="79"/>
      <c r="E614" s="79"/>
      <c r="O614" s="79"/>
      <c r="S614" s="79"/>
      <c r="T614" s="79"/>
      <c r="Y614" s="79"/>
      <c r="AD614" s="130"/>
      <c r="AF614" s="106"/>
    </row>
    <row r="615">
      <c r="C615" s="79"/>
      <c r="D615" s="79"/>
      <c r="E615" s="79"/>
      <c r="O615" s="79"/>
      <c r="S615" s="79"/>
      <c r="T615" s="79"/>
      <c r="Y615" s="79"/>
      <c r="AD615" s="130"/>
      <c r="AF615" s="106"/>
    </row>
    <row r="616">
      <c r="C616" s="79"/>
      <c r="D616" s="79"/>
      <c r="E616" s="79"/>
      <c r="O616" s="79"/>
      <c r="S616" s="79"/>
      <c r="T616" s="79"/>
      <c r="Y616" s="79"/>
      <c r="AD616" s="130"/>
      <c r="AF616" s="106"/>
    </row>
    <row r="617">
      <c r="C617" s="79"/>
      <c r="D617" s="79"/>
      <c r="E617" s="79"/>
      <c r="O617" s="79"/>
      <c r="S617" s="79"/>
      <c r="T617" s="79"/>
      <c r="Y617" s="79"/>
      <c r="AD617" s="130"/>
      <c r="AF617" s="106"/>
    </row>
    <row r="618">
      <c r="C618" s="79"/>
      <c r="D618" s="79"/>
      <c r="E618" s="79"/>
      <c r="O618" s="79"/>
      <c r="S618" s="79"/>
      <c r="T618" s="79"/>
      <c r="Y618" s="79"/>
      <c r="AD618" s="130"/>
      <c r="AF618" s="106"/>
    </row>
    <row r="619">
      <c r="C619" s="79"/>
      <c r="D619" s="79"/>
      <c r="E619" s="79"/>
      <c r="O619" s="79"/>
      <c r="S619" s="79"/>
      <c r="T619" s="79"/>
      <c r="Y619" s="79"/>
      <c r="AD619" s="130"/>
      <c r="AF619" s="106"/>
    </row>
    <row r="620">
      <c r="C620" s="79"/>
      <c r="D620" s="79"/>
      <c r="E620" s="79"/>
      <c r="O620" s="79"/>
      <c r="S620" s="79"/>
      <c r="T620" s="79"/>
      <c r="Y620" s="79"/>
      <c r="AD620" s="130"/>
      <c r="AF620" s="106"/>
    </row>
    <row r="621">
      <c r="C621" s="79"/>
      <c r="D621" s="79"/>
      <c r="E621" s="79"/>
      <c r="O621" s="79"/>
      <c r="S621" s="79"/>
      <c r="T621" s="79"/>
      <c r="Y621" s="79"/>
      <c r="AD621" s="130"/>
      <c r="AF621" s="106"/>
    </row>
    <row r="622">
      <c r="C622" s="79"/>
      <c r="D622" s="79"/>
      <c r="E622" s="79"/>
      <c r="O622" s="79"/>
      <c r="S622" s="79"/>
      <c r="T622" s="79"/>
      <c r="Y622" s="79"/>
      <c r="AD622" s="130"/>
      <c r="AF622" s="106"/>
    </row>
    <row r="623">
      <c r="C623" s="79"/>
      <c r="D623" s="79"/>
      <c r="E623" s="79"/>
      <c r="O623" s="79"/>
      <c r="S623" s="79"/>
      <c r="T623" s="79"/>
      <c r="Y623" s="79"/>
      <c r="AD623" s="130"/>
      <c r="AF623" s="106"/>
    </row>
    <row r="624">
      <c r="C624" s="79"/>
      <c r="D624" s="79"/>
      <c r="E624" s="79"/>
      <c r="O624" s="79"/>
      <c r="S624" s="79"/>
      <c r="T624" s="79"/>
      <c r="Y624" s="79"/>
      <c r="AD624" s="130"/>
      <c r="AF624" s="106"/>
    </row>
    <row r="625">
      <c r="C625" s="79"/>
      <c r="D625" s="79"/>
      <c r="E625" s="79"/>
      <c r="O625" s="79"/>
      <c r="S625" s="79"/>
      <c r="T625" s="79"/>
      <c r="Y625" s="79"/>
      <c r="AD625" s="130"/>
      <c r="AF625" s="106"/>
    </row>
    <row r="626">
      <c r="C626" s="79"/>
      <c r="D626" s="79"/>
      <c r="E626" s="79"/>
      <c r="O626" s="79"/>
      <c r="S626" s="79"/>
      <c r="T626" s="79"/>
      <c r="Y626" s="79"/>
      <c r="AD626" s="130"/>
      <c r="AF626" s="106"/>
    </row>
    <row r="627">
      <c r="C627" s="79"/>
      <c r="D627" s="79"/>
      <c r="E627" s="79"/>
      <c r="O627" s="79"/>
      <c r="S627" s="79"/>
      <c r="T627" s="79"/>
      <c r="Y627" s="79"/>
      <c r="AD627" s="130"/>
      <c r="AF627" s="106"/>
    </row>
    <row r="628">
      <c r="C628" s="79"/>
      <c r="D628" s="79"/>
      <c r="E628" s="79"/>
      <c r="O628" s="79"/>
      <c r="S628" s="79"/>
      <c r="T628" s="79"/>
      <c r="Y628" s="79"/>
      <c r="AD628" s="130"/>
      <c r="AF628" s="106"/>
    </row>
    <row r="629">
      <c r="C629" s="79"/>
      <c r="D629" s="79"/>
      <c r="E629" s="79"/>
      <c r="O629" s="79"/>
      <c r="S629" s="79"/>
      <c r="T629" s="79"/>
      <c r="Y629" s="79"/>
      <c r="AD629" s="130"/>
      <c r="AF629" s="106"/>
    </row>
    <row r="630">
      <c r="C630" s="79"/>
      <c r="D630" s="79"/>
      <c r="E630" s="79"/>
      <c r="O630" s="79"/>
      <c r="S630" s="79"/>
      <c r="T630" s="79"/>
      <c r="Y630" s="79"/>
      <c r="AD630" s="130"/>
      <c r="AF630" s="106"/>
    </row>
    <row r="631">
      <c r="C631" s="79"/>
      <c r="D631" s="79"/>
      <c r="E631" s="79"/>
      <c r="O631" s="79"/>
      <c r="S631" s="79"/>
      <c r="T631" s="79"/>
      <c r="Y631" s="79"/>
      <c r="AD631" s="130"/>
      <c r="AF631" s="106"/>
    </row>
    <row r="632">
      <c r="C632" s="79"/>
      <c r="D632" s="79"/>
      <c r="E632" s="79"/>
      <c r="O632" s="79"/>
      <c r="S632" s="79"/>
      <c r="T632" s="79"/>
      <c r="Y632" s="79"/>
      <c r="AD632" s="130"/>
      <c r="AF632" s="106"/>
    </row>
    <row r="633">
      <c r="C633" s="79"/>
      <c r="D633" s="79"/>
      <c r="E633" s="79"/>
      <c r="O633" s="79"/>
      <c r="S633" s="79"/>
      <c r="T633" s="79"/>
      <c r="Y633" s="79"/>
      <c r="AD633" s="130"/>
      <c r="AF633" s="106"/>
    </row>
    <row r="634">
      <c r="C634" s="79"/>
      <c r="D634" s="79"/>
      <c r="E634" s="79"/>
      <c r="O634" s="79"/>
      <c r="S634" s="79"/>
      <c r="T634" s="79"/>
      <c r="Y634" s="79"/>
      <c r="AD634" s="130"/>
      <c r="AF634" s="106"/>
    </row>
    <row r="635">
      <c r="C635" s="79"/>
      <c r="D635" s="79"/>
      <c r="E635" s="79"/>
      <c r="O635" s="79"/>
      <c r="S635" s="79"/>
      <c r="T635" s="79"/>
      <c r="Y635" s="79"/>
      <c r="AD635" s="130"/>
      <c r="AF635" s="106"/>
    </row>
    <row r="636">
      <c r="C636" s="79"/>
      <c r="D636" s="79"/>
      <c r="E636" s="79"/>
      <c r="O636" s="79"/>
      <c r="S636" s="79"/>
      <c r="T636" s="79"/>
      <c r="Y636" s="79"/>
      <c r="AD636" s="130"/>
      <c r="AF636" s="106"/>
    </row>
    <row r="637">
      <c r="C637" s="79"/>
      <c r="D637" s="79"/>
      <c r="E637" s="79"/>
      <c r="O637" s="79"/>
      <c r="S637" s="79"/>
      <c r="T637" s="79"/>
      <c r="Y637" s="79"/>
      <c r="AD637" s="130"/>
      <c r="AF637" s="106"/>
    </row>
    <row r="638">
      <c r="C638" s="79"/>
      <c r="D638" s="79"/>
      <c r="E638" s="79"/>
      <c r="O638" s="79"/>
      <c r="S638" s="79"/>
      <c r="T638" s="79"/>
      <c r="Y638" s="79"/>
      <c r="AD638" s="130"/>
      <c r="AF638" s="106"/>
    </row>
    <row r="639">
      <c r="C639" s="79"/>
      <c r="D639" s="79"/>
      <c r="E639" s="79"/>
      <c r="O639" s="79"/>
      <c r="S639" s="79"/>
      <c r="T639" s="79"/>
      <c r="Y639" s="79"/>
      <c r="AD639" s="130"/>
      <c r="AF639" s="106"/>
    </row>
    <row r="640">
      <c r="C640" s="79"/>
      <c r="D640" s="79"/>
      <c r="E640" s="79"/>
      <c r="O640" s="79"/>
      <c r="S640" s="79"/>
      <c r="T640" s="79"/>
      <c r="Y640" s="79"/>
      <c r="AD640" s="130"/>
      <c r="AF640" s="106"/>
    </row>
    <row r="641">
      <c r="C641" s="79"/>
      <c r="D641" s="79"/>
      <c r="E641" s="79"/>
      <c r="O641" s="79"/>
      <c r="S641" s="79"/>
      <c r="T641" s="79"/>
      <c r="Y641" s="79"/>
      <c r="AD641" s="130"/>
      <c r="AF641" s="106"/>
    </row>
    <row r="642">
      <c r="C642" s="79"/>
      <c r="D642" s="79"/>
      <c r="E642" s="79"/>
      <c r="O642" s="79"/>
      <c r="S642" s="79"/>
      <c r="T642" s="79"/>
      <c r="Y642" s="79"/>
      <c r="AD642" s="130"/>
      <c r="AF642" s="106"/>
    </row>
    <row r="643">
      <c r="C643" s="79"/>
      <c r="D643" s="79"/>
      <c r="E643" s="79"/>
      <c r="O643" s="79"/>
      <c r="S643" s="79"/>
      <c r="T643" s="79"/>
      <c r="Y643" s="79"/>
      <c r="AD643" s="130"/>
      <c r="AF643" s="106"/>
    </row>
    <row r="644">
      <c r="C644" s="79"/>
      <c r="D644" s="79"/>
      <c r="E644" s="79"/>
      <c r="O644" s="79"/>
      <c r="S644" s="79"/>
      <c r="T644" s="79"/>
      <c r="Y644" s="79"/>
      <c r="AD644" s="130"/>
      <c r="AF644" s="106"/>
    </row>
    <row r="645">
      <c r="C645" s="79"/>
      <c r="D645" s="79"/>
      <c r="E645" s="79"/>
      <c r="O645" s="79"/>
      <c r="S645" s="79"/>
      <c r="T645" s="79"/>
      <c r="Y645" s="79"/>
      <c r="AD645" s="130"/>
      <c r="AF645" s="106"/>
    </row>
    <row r="646">
      <c r="C646" s="79"/>
      <c r="D646" s="79"/>
      <c r="E646" s="79"/>
      <c r="O646" s="79"/>
      <c r="S646" s="79"/>
      <c r="T646" s="79"/>
      <c r="Y646" s="79"/>
      <c r="AD646" s="130"/>
      <c r="AF646" s="106"/>
    </row>
    <row r="647">
      <c r="C647" s="79"/>
      <c r="D647" s="79"/>
      <c r="E647" s="79"/>
      <c r="O647" s="79"/>
      <c r="S647" s="79"/>
      <c r="T647" s="79"/>
      <c r="Y647" s="79"/>
      <c r="AD647" s="130"/>
      <c r="AF647" s="106"/>
    </row>
    <row r="648">
      <c r="C648" s="79"/>
      <c r="D648" s="79"/>
      <c r="E648" s="79"/>
      <c r="O648" s="79"/>
      <c r="S648" s="79"/>
      <c r="T648" s="79"/>
      <c r="Y648" s="79"/>
      <c r="AD648" s="130"/>
      <c r="AF648" s="106"/>
    </row>
    <row r="649">
      <c r="C649" s="79"/>
      <c r="D649" s="79"/>
      <c r="E649" s="79"/>
      <c r="O649" s="79"/>
      <c r="S649" s="79"/>
      <c r="T649" s="79"/>
      <c r="Y649" s="79"/>
      <c r="AD649" s="130"/>
      <c r="AF649" s="106"/>
    </row>
    <row r="650">
      <c r="C650" s="79"/>
      <c r="D650" s="79"/>
      <c r="E650" s="79"/>
      <c r="O650" s="79"/>
      <c r="S650" s="79"/>
      <c r="T650" s="79"/>
      <c r="Y650" s="79"/>
      <c r="AD650" s="130"/>
      <c r="AF650" s="106"/>
    </row>
    <row r="651">
      <c r="C651" s="79"/>
      <c r="D651" s="79"/>
      <c r="E651" s="79"/>
      <c r="O651" s="79"/>
      <c r="S651" s="79"/>
      <c r="T651" s="79"/>
      <c r="Y651" s="79"/>
      <c r="AD651" s="130"/>
      <c r="AF651" s="106"/>
    </row>
    <row r="652">
      <c r="C652" s="79"/>
      <c r="D652" s="79"/>
      <c r="E652" s="79"/>
      <c r="O652" s="79"/>
      <c r="S652" s="79"/>
      <c r="T652" s="79"/>
      <c r="Y652" s="79"/>
      <c r="AD652" s="130"/>
      <c r="AF652" s="106"/>
    </row>
    <row r="653">
      <c r="C653" s="79"/>
      <c r="D653" s="79"/>
      <c r="E653" s="79"/>
      <c r="O653" s="79"/>
      <c r="S653" s="79"/>
      <c r="T653" s="79"/>
      <c r="Y653" s="79"/>
      <c r="AD653" s="130"/>
      <c r="AF653" s="106"/>
    </row>
    <row r="654">
      <c r="C654" s="79"/>
      <c r="D654" s="79"/>
      <c r="E654" s="79"/>
      <c r="O654" s="79"/>
      <c r="S654" s="79"/>
      <c r="T654" s="79"/>
      <c r="Y654" s="79"/>
      <c r="AD654" s="130"/>
      <c r="AF654" s="106"/>
    </row>
    <row r="655">
      <c r="C655" s="79"/>
      <c r="D655" s="79"/>
      <c r="E655" s="79"/>
      <c r="O655" s="79"/>
      <c r="S655" s="79"/>
      <c r="T655" s="79"/>
      <c r="Y655" s="79"/>
      <c r="AD655" s="130"/>
      <c r="AF655" s="106"/>
    </row>
    <row r="656">
      <c r="C656" s="79"/>
      <c r="D656" s="79"/>
      <c r="E656" s="79"/>
      <c r="O656" s="79"/>
      <c r="S656" s="79"/>
      <c r="T656" s="79"/>
      <c r="Y656" s="79"/>
      <c r="AD656" s="130"/>
      <c r="AF656" s="106"/>
    </row>
    <row r="657">
      <c r="C657" s="79"/>
      <c r="D657" s="79"/>
      <c r="E657" s="79"/>
      <c r="O657" s="79"/>
      <c r="S657" s="79"/>
      <c r="T657" s="79"/>
      <c r="Y657" s="79"/>
      <c r="AD657" s="130"/>
      <c r="AF657" s="106"/>
    </row>
    <row r="658">
      <c r="C658" s="79"/>
      <c r="D658" s="79"/>
      <c r="E658" s="79"/>
      <c r="O658" s="79"/>
      <c r="S658" s="79"/>
      <c r="T658" s="79"/>
      <c r="Y658" s="79"/>
      <c r="AD658" s="130"/>
      <c r="AF658" s="106"/>
    </row>
    <row r="659">
      <c r="C659" s="79"/>
      <c r="D659" s="79"/>
      <c r="E659" s="79"/>
      <c r="O659" s="79"/>
      <c r="S659" s="79"/>
      <c r="T659" s="79"/>
      <c r="Y659" s="79"/>
      <c r="AD659" s="130"/>
      <c r="AF659" s="106"/>
    </row>
    <row r="660">
      <c r="C660" s="79"/>
      <c r="D660" s="79"/>
      <c r="E660" s="79"/>
      <c r="O660" s="79"/>
      <c r="S660" s="79"/>
      <c r="T660" s="79"/>
      <c r="Y660" s="79"/>
      <c r="AD660" s="130"/>
      <c r="AF660" s="106"/>
    </row>
    <row r="661">
      <c r="C661" s="79"/>
      <c r="D661" s="79"/>
      <c r="E661" s="79"/>
      <c r="O661" s="79"/>
      <c r="S661" s="79"/>
      <c r="T661" s="79"/>
      <c r="Y661" s="79"/>
      <c r="AD661" s="130"/>
      <c r="AF661" s="106"/>
    </row>
    <row r="662">
      <c r="C662" s="79"/>
      <c r="D662" s="79"/>
      <c r="E662" s="79"/>
      <c r="O662" s="79"/>
      <c r="S662" s="79"/>
      <c r="T662" s="79"/>
      <c r="Y662" s="79"/>
      <c r="AD662" s="130"/>
      <c r="AF662" s="106"/>
    </row>
    <row r="663">
      <c r="C663" s="79"/>
      <c r="D663" s="79"/>
      <c r="E663" s="79"/>
      <c r="O663" s="79"/>
      <c r="S663" s="79"/>
      <c r="T663" s="79"/>
      <c r="Y663" s="79"/>
      <c r="AD663" s="130"/>
      <c r="AF663" s="106"/>
    </row>
    <row r="664">
      <c r="C664" s="79"/>
      <c r="D664" s="79"/>
      <c r="E664" s="79"/>
      <c r="O664" s="79"/>
      <c r="S664" s="79"/>
      <c r="T664" s="79"/>
      <c r="Y664" s="79"/>
      <c r="AD664" s="130"/>
      <c r="AF664" s="106"/>
    </row>
    <row r="665">
      <c r="C665" s="79"/>
      <c r="D665" s="79"/>
      <c r="E665" s="79"/>
      <c r="O665" s="79"/>
      <c r="S665" s="79"/>
      <c r="T665" s="79"/>
      <c r="Y665" s="79"/>
      <c r="AD665" s="130"/>
      <c r="AF665" s="106"/>
    </row>
    <row r="666">
      <c r="C666" s="79"/>
      <c r="D666" s="79"/>
      <c r="E666" s="79"/>
      <c r="O666" s="79"/>
      <c r="S666" s="79"/>
      <c r="T666" s="79"/>
      <c r="Y666" s="79"/>
      <c r="AD666" s="130"/>
      <c r="AF666" s="106"/>
    </row>
    <row r="667">
      <c r="C667" s="79"/>
      <c r="D667" s="79"/>
      <c r="E667" s="79"/>
      <c r="O667" s="79"/>
      <c r="S667" s="79"/>
      <c r="T667" s="79"/>
      <c r="Y667" s="79"/>
      <c r="AD667" s="130"/>
      <c r="AF667" s="106"/>
    </row>
    <row r="668">
      <c r="C668" s="79"/>
      <c r="D668" s="79"/>
      <c r="E668" s="79"/>
      <c r="O668" s="79"/>
      <c r="S668" s="79"/>
      <c r="T668" s="79"/>
      <c r="Y668" s="79"/>
      <c r="AD668" s="130"/>
      <c r="AF668" s="106"/>
    </row>
    <row r="669">
      <c r="C669" s="79"/>
      <c r="D669" s="79"/>
      <c r="E669" s="79"/>
      <c r="O669" s="79"/>
      <c r="S669" s="79"/>
      <c r="T669" s="79"/>
      <c r="Y669" s="79"/>
      <c r="AD669" s="130"/>
      <c r="AF669" s="106"/>
    </row>
    <row r="670">
      <c r="C670" s="79"/>
      <c r="D670" s="79"/>
      <c r="E670" s="79"/>
      <c r="O670" s="79"/>
      <c r="S670" s="79"/>
      <c r="T670" s="79"/>
      <c r="Y670" s="79"/>
      <c r="AD670" s="130"/>
      <c r="AF670" s="106"/>
    </row>
    <row r="671">
      <c r="C671" s="79"/>
      <c r="D671" s="79"/>
      <c r="E671" s="79"/>
      <c r="O671" s="79"/>
      <c r="S671" s="79"/>
      <c r="T671" s="79"/>
      <c r="Y671" s="79"/>
      <c r="AD671" s="130"/>
      <c r="AF671" s="106"/>
    </row>
    <row r="672">
      <c r="C672" s="79"/>
      <c r="D672" s="79"/>
      <c r="E672" s="79"/>
      <c r="O672" s="79"/>
      <c r="S672" s="79"/>
      <c r="T672" s="79"/>
      <c r="Y672" s="79"/>
      <c r="AD672" s="130"/>
      <c r="AF672" s="106"/>
    </row>
    <row r="673">
      <c r="C673" s="79"/>
      <c r="D673" s="79"/>
      <c r="E673" s="79"/>
      <c r="O673" s="79"/>
      <c r="S673" s="79"/>
      <c r="T673" s="79"/>
      <c r="Y673" s="79"/>
      <c r="AD673" s="130"/>
      <c r="AF673" s="106"/>
    </row>
    <row r="674">
      <c r="C674" s="79"/>
      <c r="D674" s="79"/>
      <c r="E674" s="79"/>
      <c r="O674" s="79"/>
      <c r="S674" s="79"/>
      <c r="T674" s="79"/>
      <c r="Y674" s="79"/>
      <c r="AD674" s="130"/>
      <c r="AF674" s="106"/>
    </row>
    <row r="675">
      <c r="C675" s="79"/>
      <c r="D675" s="79"/>
      <c r="E675" s="79"/>
      <c r="O675" s="79"/>
      <c r="S675" s="79"/>
      <c r="T675" s="79"/>
      <c r="Y675" s="79"/>
      <c r="AD675" s="130"/>
      <c r="AF675" s="106"/>
    </row>
    <row r="676">
      <c r="C676" s="79"/>
      <c r="D676" s="79"/>
      <c r="E676" s="79"/>
      <c r="O676" s="79"/>
      <c r="S676" s="79"/>
      <c r="T676" s="79"/>
      <c r="Y676" s="79"/>
      <c r="AD676" s="130"/>
      <c r="AF676" s="106"/>
    </row>
    <row r="677">
      <c r="C677" s="79"/>
      <c r="D677" s="79"/>
      <c r="E677" s="79"/>
      <c r="O677" s="79"/>
      <c r="S677" s="79"/>
      <c r="T677" s="79"/>
      <c r="Y677" s="79"/>
      <c r="AD677" s="130"/>
      <c r="AF677" s="106"/>
    </row>
    <row r="678">
      <c r="C678" s="79"/>
      <c r="D678" s="79"/>
      <c r="E678" s="79"/>
      <c r="O678" s="79"/>
      <c r="S678" s="79"/>
      <c r="T678" s="79"/>
      <c r="Y678" s="79"/>
      <c r="AD678" s="130"/>
      <c r="AF678" s="106"/>
    </row>
    <row r="679">
      <c r="C679" s="79"/>
      <c r="D679" s="79"/>
      <c r="E679" s="79"/>
      <c r="O679" s="79"/>
      <c r="S679" s="79"/>
      <c r="T679" s="79"/>
      <c r="Y679" s="79"/>
      <c r="AD679" s="130"/>
      <c r="AF679" s="106"/>
    </row>
    <row r="680">
      <c r="C680" s="79"/>
      <c r="D680" s="79"/>
      <c r="E680" s="79"/>
      <c r="O680" s="79"/>
      <c r="S680" s="79"/>
      <c r="T680" s="79"/>
      <c r="Y680" s="79"/>
      <c r="AD680" s="130"/>
      <c r="AF680" s="106"/>
    </row>
    <row r="681">
      <c r="C681" s="79"/>
      <c r="D681" s="79"/>
      <c r="E681" s="79"/>
      <c r="O681" s="79"/>
      <c r="S681" s="79"/>
      <c r="T681" s="79"/>
      <c r="Y681" s="79"/>
      <c r="AD681" s="130"/>
      <c r="AF681" s="106"/>
    </row>
    <row r="682">
      <c r="C682" s="79"/>
      <c r="D682" s="79"/>
      <c r="E682" s="79"/>
      <c r="O682" s="79"/>
      <c r="S682" s="79"/>
      <c r="T682" s="79"/>
      <c r="Y682" s="79"/>
      <c r="AD682" s="130"/>
      <c r="AF682" s="106"/>
    </row>
    <row r="683">
      <c r="C683" s="79"/>
      <c r="D683" s="79"/>
      <c r="E683" s="79"/>
      <c r="O683" s="79"/>
      <c r="S683" s="79"/>
      <c r="T683" s="79"/>
      <c r="Y683" s="79"/>
      <c r="AD683" s="130"/>
      <c r="AF683" s="106"/>
    </row>
    <row r="684">
      <c r="C684" s="79"/>
      <c r="D684" s="79"/>
      <c r="E684" s="79"/>
      <c r="O684" s="79"/>
      <c r="S684" s="79"/>
      <c r="T684" s="79"/>
      <c r="Y684" s="79"/>
      <c r="AD684" s="130"/>
      <c r="AF684" s="106"/>
    </row>
    <row r="685">
      <c r="C685" s="79"/>
      <c r="D685" s="79"/>
      <c r="E685" s="79"/>
      <c r="O685" s="79"/>
      <c r="S685" s="79"/>
      <c r="T685" s="79"/>
      <c r="Y685" s="79"/>
      <c r="AD685" s="130"/>
      <c r="AF685" s="106"/>
    </row>
    <row r="686">
      <c r="C686" s="79"/>
      <c r="D686" s="79"/>
      <c r="E686" s="79"/>
      <c r="O686" s="79"/>
      <c r="S686" s="79"/>
      <c r="T686" s="79"/>
      <c r="Y686" s="79"/>
      <c r="AD686" s="130"/>
      <c r="AF686" s="106"/>
    </row>
    <row r="687">
      <c r="C687" s="79"/>
      <c r="D687" s="79"/>
      <c r="E687" s="79"/>
      <c r="O687" s="79"/>
      <c r="S687" s="79"/>
      <c r="T687" s="79"/>
      <c r="Y687" s="79"/>
      <c r="AD687" s="130"/>
      <c r="AF687" s="106"/>
    </row>
    <row r="688">
      <c r="C688" s="79"/>
      <c r="D688" s="79"/>
      <c r="E688" s="79"/>
      <c r="O688" s="79"/>
      <c r="S688" s="79"/>
      <c r="T688" s="79"/>
      <c r="Y688" s="79"/>
      <c r="AD688" s="130"/>
      <c r="AF688" s="106"/>
    </row>
    <row r="689">
      <c r="C689" s="79"/>
      <c r="D689" s="79"/>
      <c r="E689" s="79"/>
      <c r="O689" s="79"/>
      <c r="S689" s="79"/>
      <c r="T689" s="79"/>
      <c r="Y689" s="79"/>
      <c r="AD689" s="130"/>
      <c r="AF689" s="106"/>
    </row>
    <row r="690">
      <c r="C690" s="79"/>
      <c r="D690" s="79"/>
      <c r="E690" s="79"/>
      <c r="O690" s="79"/>
      <c r="S690" s="79"/>
      <c r="T690" s="79"/>
      <c r="Y690" s="79"/>
      <c r="AD690" s="130"/>
      <c r="AF690" s="106"/>
    </row>
    <row r="691">
      <c r="C691" s="79"/>
      <c r="D691" s="79"/>
      <c r="E691" s="79"/>
      <c r="O691" s="79"/>
      <c r="S691" s="79"/>
      <c r="T691" s="79"/>
      <c r="Y691" s="79"/>
      <c r="AD691" s="130"/>
      <c r="AF691" s="106"/>
    </row>
    <row r="692">
      <c r="C692" s="79"/>
      <c r="D692" s="79"/>
      <c r="E692" s="79"/>
      <c r="O692" s="79"/>
      <c r="S692" s="79"/>
      <c r="T692" s="79"/>
      <c r="Y692" s="79"/>
      <c r="AD692" s="130"/>
      <c r="AF692" s="106"/>
    </row>
    <row r="693">
      <c r="C693" s="79"/>
      <c r="D693" s="79"/>
      <c r="E693" s="79"/>
      <c r="O693" s="79"/>
      <c r="S693" s="79"/>
      <c r="T693" s="79"/>
      <c r="Y693" s="79"/>
      <c r="AD693" s="130"/>
      <c r="AF693" s="106"/>
    </row>
    <row r="694">
      <c r="C694" s="79"/>
      <c r="D694" s="79"/>
      <c r="E694" s="79"/>
      <c r="O694" s="79"/>
      <c r="S694" s="79"/>
      <c r="T694" s="79"/>
      <c r="Y694" s="79"/>
      <c r="AD694" s="130"/>
      <c r="AF694" s="106"/>
    </row>
    <row r="695">
      <c r="C695" s="79"/>
      <c r="D695" s="79"/>
      <c r="E695" s="79"/>
      <c r="O695" s="79"/>
      <c r="S695" s="79"/>
      <c r="T695" s="79"/>
      <c r="Y695" s="79"/>
      <c r="AD695" s="130"/>
      <c r="AF695" s="106"/>
    </row>
    <row r="696">
      <c r="C696" s="79"/>
      <c r="D696" s="79"/>
      <c r="E696" s="79"/>
      <c r="O696" s="79"/>
      <c r="S696" s="79"/>
      <c r="T696" s="79"/>
      <c r="Y696" s="79"/>
      <c r="AD696" s="130"/>
      <c r="AF696" s="106"/>
    </row>
    <row r="697">
      <c r="C697" s="79"/>
      <c r="D697" s="79"/>
      <c r="E697" s="79"/>
      <c r="O697" s="79"/>
      <c r="S697" s="79"/>
      <c r="T697" s="79"/>
      <c r="Y697" s="79"/>
      <c r="AD697" s="130"/>
      <c r="AF697" s="106"/>
    </row>
    <row r="698">
      <c r="C698" s="79"/>
      <c r="D698" s="79"/>
      <c r="E698" s="79"/>
      <c r="O698" s="79"/>
      <c r="S698" s="79"/>
      <c r="T698" s="79"/>
      <c r="Y698" s="79"/>
      <c r="AD698" s="130"/>
      <c r="AF698" s="106"/>
    </row>
    <row r="699">
      <c r="C699" s="79"/>
      <c r="D699" s="79"/>
      <c r="E699" s="79"/>
      <c r="O699" s="79"/>
      <c r="S699" s="79"/>
      <c r="T699" s="79"/>
      <c r="Y699" s="79"/>
      <c r="AD699" s="130"/>
      <c r="AF699" s="106"/>
    </row>
    <row r="700">
      <c r="C700" s="79"/>
      <c r="D700" s="79"/>
      <c r="E700" s="79"/>
      <c r="O700" s="79"/>
      <c r="S700" s="79"/>
      <c r="T700" s="79"/>
      <c r="Y700" s="79"/>
      <c r="AD700" s="130"/>
      <c r="AF700" s="106"/>
    </row>
    <row r="701">
      <c r="C701" s="79"/>
      <c r="D701" s="79"/>
      <c r="E701" s="79"/>
      <c r="O701" s="79"/>
      <c r="S701" s="79"/>
      <c r="T701" s="79"/>
      <c r="Y701" s="79"/>
      <c r="AD701" s="130"/>
      <c r="AF701" s="106"/>
    </row>
    <row r="702">
      <c r="C702" s="79"/>
      <c r="D702" s="79"/>
      <c r="E702" s="79"/>
      <c r="O702" s="79"/>
      <c r="S702" s="79"/>
      <c r="T702" s="79"/>
      <c r="Y702" s="79"/>
      <c r="AD702" s="130"/>
      <c r="AF702" s="106"/>
    </row>
    <row r="703">
      <c r="C703" s="79"/>
      <c r="D703" s="79"/>
      <c r="E703" s="79"/>
      <c r="O703" s="79"/>
      <c r="S703" s="79"/>
      <c r="T703" s="79"/>
      <c r="Y703" s="79"/>
      <c r="AD703" s="130"/>
      <c r="AF703" s="106"/>
    </row>
    <row r="704">
      <c r="C704" s="79"/>
      <c r="D704" s="79"/>
      <c r="E704" s="79"/>
      <c r="O704" s="79"/>
      <c r="S704" s="79"/>
      <c r="T704" s="79"/>
      <c r="Y704" s="79"/>
      <c r="AD704" s="130"/>
      <c r="AF704" s="106"/>
    </row>
    <row r="705">
      <c r="C705" s="79"/>
      <c r="D705" s="79"/>
      <c r="E705" s="79"/>
      <c r="O705" s="79"/>
      <c r="S705" s="79"/>
      <c r="T705" s="79"/>
      <c r="Y705" s="79"/>
      <c r="AD705" s="130"/>
      <c r="AF705" s="106"/>
    </row>
    <row r="706">
      <c r="C706" s="79"/>
      <c r="D706" s="79"/>
      <c r="E706" s="79"/>
      <c r="O706" s="79"/>
      <c r="S706" s="79"/>
      <c r="T706" s="79"/>
      <c r="Y706" s="79"/>
      <c r="AD706" s="130"/>
      <c r="AF706" s="106"/>
    </row>
    <row r="707">
      <c r="C707" s="79"/>
      <c r="D707" s="79"/>
      <c r="E707" s="79"/>
      <c r="O707" s="79"/>
      <c r="S707" s="79"/>
      <c r="T707" s="79"/>
      <c r="Y707" s="79"/>
      <c r="AD707" s="130"/>
      <c r="AF707" s="106"/>
    </row>
    <row r="708">
      <c r="C708" s="79"/>
      <c r="D708" s="79"/>
      <c r="E708" s="79"/>
      <c r="O708" s="79"/>
      <c r="S708" s="79"/>
      <c r="T708" s="79"/>
      <c r="Y708" s="79"/>
      <c r="AD708" s="130"/>
      <c r="AF708" s="106"/>
    </row>
    <row r="709">
      <c r="C709" s="79"/>
      <c r="D709" s="79"/>
      <c r="E709" s="79"/>
      <c r="O709" s="79"/>
      <c r="S709" s="79"/>
      <c r="T709" s="79"/>
      <c r="Y709" s="79"/>
      <c r="AD709" s="130"/>
      <c r="AF709" s="106"/>
    </row>
    <row r="710">
      <c r="C710" s="79"/>
      <c r="D710" s="79"/>
      <c r="E710" s="79"/>
      <c r="O710" s="79"/>
      <c r="S710" s="79"/>
      <c r="T710" s="79"/>
      <c r="Y710" s="79"/>
      <c r="AD710" s="130"/>
      <c r="AF710" s="106"/>
    </row>
    <row r="711">
      <c r="C711" s="79"/>
      <c r="D711" s="79"/>
      <c r="E711" s="79"/>
      <c r="O711" s="79"/>
      <c r="S711" s="79"/>
      <c r="T711" s="79"/>
      <c r="Y711" s="79"/>
      <c r="AD711" s="130"/>
      <c r="AF711" s="106"/>
    </row>
    <row r="712">
      <c r="C712" s="79"/>
      <c r="D712" s="79"/>
      <c r="E712" s="79"/>
      <c r="O712" s="79"/>
      <c r="S712" s="79"/>
      <c r="T712" s="79"/>
      <c r="Y712" s="79"/>
      <c r="AD712" s="130"/>
      <c r="AF712" s="106"/>
    </row>
    <row r="713">
      <c r="C713" s="79"/>
      <c r="D713" s="79"/>
      <c r="E713" s="79"/>
      <c r="O713" s="79"/>
      <c r="S713" s="79"/>
      <c r="T713" s="79"/>
      <c r="Y713" s="79"/>
      <c r="AD713" s="130"/>
      <c r="AF713" s="106"/>
    </row>
    <row r="714">
      <c r="C714" s="79"/>
      <c r="D714" s="79"/>
      <c r="E714" s="79"/>
      <c r="O714" s="79"/>
      <c r="S714" s="79"/>
      <c r="T714" s="79"/>
      <c r="Y714" s="79"/>
      <c r="AD714" s="130"/>
      <c r="AF714" s="106"/>
    </row>
    <row r="715">
      <c r="C715" s="79"/>
      <c r="D715" s="79"/>
      <c r="E715" s="79"/>
      <c r="O715" s="79"/>
      <c r="S715" s="79"/>
      <c r="T715" s="79"/>
      <c r="Y715" s="79"/>
      <c r="AD715" s="130"/>
      <c r="AF715" s="106"/>
    </row>
    <row r="716">
      <c r="C716" s="79"/>
      <c r="D716" s="79"/>
      <c r="E716" s="79"/>
      <c r="O716" s="79"/>
      <c r="S716" s="79"/>
      <c r="T716" s="79"/>
      <c r="Y716" s="79"/>
      <c r="AD716" s="130"/>
      <c r="AF716" s="106"/>
    </row>
    <row r="717">
      <c r="C717" s="79"/>
      <c r="D717" s="79"/>
      <c r="E717" s="79"/>
      <c r="O717" s="79"/>
      <c r="S717" s="79"/>
      <c r="T717" s="79"/>
      <c r="Y717" s="79"/>
      <c r="AD717" s="130"/>
      <c r="AF717" s="106"/>
    </row>
    <row r="718">
      <c r="C718" s="79"/>
      <c r="D718" s="79"/>
      <c r="E718" s="79"/>
      <c r="O718" s="79"/>
      <c r="S718" s="79"/>
      <c r="T718" s="79"/>
      <c r="Y718" s="79"/>
      <c r="AD718" s="130"/>
      <c r="AF718" s="106"/>
    </row>
    <row r="719">
      <c r="C719" s="79"/>
      <c r="D719" s="79"/>
      <c r="E719" s="79"/>
      <c r="O719" s="79"/>
      <c r="S719" s="79"/>
      <c r="T719" s="79"/>
      <c r="Y719" s="79"/>
      <c r="AD719" s="130"/>
      <c r="AF719" s="106"/>
    </row>
    <row r="720">
      <c r="C720" s="79"/>
      <c r="D720" s="79"/>
      <c r="E720" s="79"/>
      <c r="O720" s="79"/>
      <c r="S720" s="79"/>
      <c r="T720" s="79"/>
      <c r="Y720" s="79"/>
      <c r="AD720" s="130"/>
      <c r="AF720" s="106"/>
    </row>
    <row r="721">
      <c r="C721" s="79"/>
      <c r="D721" s="79"/>
      <c r="E721" s="79"/>
      <c r="O721" s="79"/>
      <c r="S721" s="79"/>
      <c r="T721" s="79"/>
      <c r="Y721" s="79"/>
      <c r="AD721" s="130"/>
      <c r="AF721" s="106"/>
    </row>
    <row r="722">
      <c r="C722" s="79"/>
      <c r="D722" s="79"/>
      <c r="E722" s="79"/>
      <c r="O722" s="79"/>
      <c r="S722" s="79"/>
      <c r="T722" s="79"/>
      <c r="Y722" s="79"/>
      <c r="AD722" s="130"/>
      <c r="AF722" s="106"/>
    </row>
    <row r="723">
      <c r="C723" s="79"/>
      <c r="D723" s="79"/>
      <c r="E723" s="79"/>
      <c r="O723" s="79"/>
      <c r="S723" s="79"/>
      <c r="T723" s="79"/>
      <c r="Y723" s="79"/>
      <c r="AD723" s="130"/>
      <c r="AF723" s="106"/>
    </row>
    <row r="724">
      <c r="C724" s="79"/>
      <c r="D724" s="79"/>
      <c r="E724" s="79"/>
      <c r="O724" s="79"/>
      <c r="S724" s="79"/>
      <c r="T724" s="79"/>
      <c r="Y724" s="79"/>
      <c r="AD724" s="130"/>
      <c r="AF724" s="106"/>
    </row>
    <row r="725">
      <c r="C725" s="79"/>
      <c r="D725" s="79"/>
      <c r="E725" s="79"/>
      <c r="O725" s="79"/>
      <c r="S725" s="79"/>
      <c r="T725" s="79"/>
      <c r="Y725" s="79"/>
      <c r="AD725" s="130"/>
      <c r="AF725" s="106"/>
    </row>
    <row r="726">
      <c r="C726" s="79"/>
      <c r="D726" s="79"/>
      <c r="E726" s="79"/>
      <c r="O726" s="79"/>
      <c r="S726" s="79"/>
      <c r="T726" s="79"/>
      <c r="Y726" s="79"/>
      <c r="AD726" s="130"/>
      <c r="AF726" s="106"/>
    </row>
    <row r="727">
      <c r="C727" s="79"/>
      <c r="D727" s="79"/>
      <c r="E727" s="79"/>
      <c r="O727" s="79"/>
      <c r="S727" s="79"/>
      <c r="T727" s="79"/>
      <c r="Y727" s="79"/>
      <c r="AD727" s="130"/>
      <c r="AF727" s="106"/>
    </row>
    <row r="728">
      <c r="C728" s="79"/>
      <c r="D728" s="79"/>
      <c r="E728" s="79"/>
      <c r="O728" s="79"/>
      <c r="S728" s="79"/>
      <c r="T728" s="79"/>
      <c r="Y728" s="79"/>
      <c r="AD728" s="130"/>
      <c r="AF728" s="106"/>
    </row>
    <row r="729">
      <c r="C729" s="79"/>
      <c r="D729" s="79"/>
      <c r="E729" s="79"/>
      <c r="O729" s="79"/>
      <c r="S729" s="79"/>
      <c r="T729" s="79"/>
      <c r="Y729" s="79"/>
      <c r="AD729" s="130"/>
      <c r="AF729" s="106"/>
    </row>
    <row r="730">
      <c r="C730" s="79"/>
      <c r="D730" s="79"/>
      <c r="E730" s="79"/>
      <c r="O730" s="79"/>
      <c r="S730" s="79"/>
      <c r="T730" s="79"/>
      <c r="Y730" s="79"/>
      <c r="AD730" s="130"/>
      <c r="AF730" s="106"/>
    </row>
    <row r="731">
      <c r="C731" s="79"/>
      <c r="D731" s="79"/>
      <c r="E731" s="79"/>
      <c r="O731" s="79"/>
      <c r="S731" s="79"/>
      <c r="T731" s="79"/>
      <c r="Y731" s="79"/>
      <c r="AD731" s="130"/>
      <c r="AF731" s="106"/>
    </row>
    <row r="732">
      <c r="C732" s="79"/>
      <c r="D732" s="79"/>
      <c r="E732" s="79"/>
      <c r="O732" s="79"/>
      <c r="S732" s="79"/>
      <c r="T732" s="79"/>
      <c r="Y732" s="79"/>
      <c r="AD732" s="130"/>
      <c r="AF732" s="106"/>
    </row>
    <row r="733">
      <c r="C733" s="79"/>
      <c r="D733" s="79"/>
      <c r="E733" s="79"/>
      <c r="O733" s="79"/>
      <c r="S733" s="79"/>
      <c r="T733" s="79"/>
      <c r="Y733" s="79"/>
      <c r="AD733" s="130"/>
      <c r="AF733" s="106"/>
    </row>
    <row r="734">
      <c r="C734" s="79"/>
      <c r="D734" s="79"/>
      <c r="E734" s="79"/>
      <c r="O734" s="79"/>
      <c r="S734" s="79"/>
      <c r="T734" s="79"/>
      <c r="Y734" s="79"/>
      <c r="AD734" s="130"/>
      <c r="AF734" s="106"/>
    </row>
    <row r="735">
      <c r="C735" s="79"/>
      <c r="D735" s="79"/>
      <c r="E735" s="79"/>
      <c r="O735" s="79"/>
      <c r="S735" s="79"/>
      <c r="T735" s="79"/>
      <c r="Y735" s="79"/>
      <c r="AD735" s="130"/>
      <c r="AF735" s="106"/>
    </row>
    <row r="736">
      <c r="C736" s="79"/>
      <c r="D736" s="79"/>
      <c r="E736" s="79"/>
      <c r="O736" s="79"/>
      <c r="S736" s="79"/>
      <c r="T736" s="79"/>
      <c r="Y736" s="79"/>
      <c r="AD736" s="130"/>
      <c r="AF736" s="106"/>
    </row>
    <row r="737">
      <c r="C737" s="79"/>
      <c r="D737" s="79"/>
      <c r="E737" s="79"/>
      <c r="O737" s="79"/>
      <c r="S737" s="79"/>
      <c r="T737" s="79"/>
      <c r="Y737" s="79"/>
      <c r="AD737" s="130"/>
      <c r="AF737" s="106"/>
    </row>
    <row r="738">
      <c r="C738" s="79"/>
      <c r="D738" s="79"/>
      <c r="E738" s="79"/>
      <c r="O738" s="79"/>
      <c r="S738" s="79"/>
      <c r="T738" s="79"/>
      <c r="Y738" s="79"/>
      <c r="AD738" s="130"/>
      <c r="AF738" s="106"/>
    </row>
    <row r="739">
      <c r="C739" s="79"/>
      <c r="D739" s="79"/>
      <c r="E739" s="79"/>
      <c r="O739" s="79"/>
      <c r="S739" s="79"/>
      <c r="T739" s="79"/>
      <c r="Y739" s="79"/>
      <c r="AD739" s="130"/>
      <c r="AF739" s="106"/>
    </row>
    <row r="740">
      <c r="C740" s="79"/>
      <c r="D740" s="79"/>
      <c r="E740" s="79"/>
      <c r="O740" s="79"/>
      <c r="S740" s="79"/>
      <c r="T740" s="79"/>
      <c r="Y740" s="79"/>
      <c r="AD740" s="130"/>
      <c r="AF740" s="106"/>
    </row>
    <row r="741">
      <c r="C741" s="79"/>
      <c r="D741" s="79"/>
      <c r="E741" s="79"/>
      <c r="O741" s="79"/>
      <c r="S741" s="79"/>
      <c r="T741" s="79"/>
      <c r="Y741" s="79"/>
      <c r="AD741" s="130"/>
      <c r="AF741" s="106"/>
    </row>
    <row r="742">
      <c r="C742" s="79"/>
      <c r="D742" s="79"/>
      <c r="E742" s="79"/>
      <c r="O742" s="79"/>
      <c r="S742" s="79"/>
      <c r="T742" s="79"/>
      <c r="Y742" s="79"/>
      <c r="AD742" s="130"/>
      <c r="AF742" s="106"/>
    </row>
    <row r="743">
      <c r="C743" s="79"/>
      <c r="D743" s="79"/>
      <c r="E743" s="79"/>
      <c r="O743" s="79"/>
      <c r="S743" s="79"/>
      <c r="T743" s="79"/>
      <c r="Y743" s="79"/>
      <c r="AD743" s="130"/>
      <c r="AF743" s="106"/>
    </row>
    <row r="744">
      <c r="C744" s="79"/>
      <c r="D744" s="79"/>
      <c r="E744" s="79"/>
      <c r="O744" s="79"/>
      <c r="S744" s="79"/>
      <c r="T744" s="79"/>
      <c r="Y744" s="79"/>
      <c r="AD744" s="130"/>
      <c r="AF744" s="106"/>
    </row>
    <row r="745">
      <c r="C745" s="79"/>
      <c r="D745" s="79"/>
      <c r="E745" s="79"/>
      <c r="O745" s="79"/>
      <c r="S745" s="79"/>
      <c r="T745" s="79"/>
      <c r="Y745" s="79"/>
      <c r="AD745" s="130"/>
      <c r="AF745" s="106"/>
    </row>
    <row r="746">
      <c r="C746" s="79"/>
      <c r="D746" s="79"/>
      <c r="E746" s="79"/>
      <c r="O746" s="79"/>
      <c r="S746" s="79"/>
      <c r="T746" s="79"/>
      <c r="Y746" s="79"/>
      <c r="AD746" s="130"/>
      <c r="AF746" s="106"/>
    </row>
    <row r="747">
      <c r="C747" s="79"/>
      <c r="D747" s="79"/>
      <c r="E747" s="79"/>
      <c r="O747" s="79"/>
      <c r="S747" s="79"/>
      <c r="T747" s="79"/>
      <c r="Y747" s="79"/>
      <c r="AD747" s="130"/>
      <c r="AF747" s="106"/>
    </row>
    <row r="748">
      <c r="C748" s="79"/>
      <c r="D748" s="79"/>
      <c r="E748" s="79"/>
      <c r="O748" s="79"/>
      <c r="S748" s="79"/>
      <c r="T748" s="79"/>
      <c r="Y748" s="79"/>
      <c r="AD748" s="130"/>
      <c r="AF748" s="106"/>
    </row>
    <row r="749">
      <c r="C749" s="79"/>
      <c r="D749" s="79"/>
      <c r="E749" s="79"/>
      <c r="O749" s="79"/>
      <c r="S749" s="79"/>
      <c r="T749" s="79"/>
      <c r="Y749" s="79"/>
      <c r="AD749" s="130"/>
      <c r="AF749" s="106"/>
    </row>
    <row r="750">
      <c r="C750" s="79"/>
      <c r="D750" s="79"/>
      <c r="E750" s="79"/>
      <c r="O750" s="79"/>
      <c r="S750" s="79"/>
      <c r="T750" s="79"/>
      <c r="Y750" s="79"/>
      <c r="AD750" s="130"/>
      <c r="AF750" s="106"/>
    </row>
    <row r="751">
      <c r="C751" s="79"/>
      <c r="D751" s="79"/>
      <c r="E751" s="79"/>
      <c r="O751" s="79"/>
      <c r="S751" s="79"/>
      <c r="T751" s="79"/>
      <c r="Y751" s="79"/>
      <c r="AD751" s="130"/>
      <c r="AF751" s="106"/>
    </row>
    <row r="752">
      <c r="C752" s="79"/>
      <c r="D752" s="79"/>
      <c r="E752" s="79"/>
      <c r="O752" s="79"/>
      <c r="S752" s="79"/>
      <c r="T752" s="79"/>
      <c r="Y752" s="79"/>
      <c r="AD752" s="130"/>
      <c r="AF752" s="106"/>
    </row>
    <row r="753">
      <c r="C753" s="79"/>
      <c r="D753" s="79"/>
      <c r="E753" s="79"/>
      <c r="O753" s="79"/>
      <c r="S753" s="79"/>
      <c r="T753" s="79"/>
      <c r="Y753" s="79"/>
      <c r="AD753" s="130"/>
      <c r="AF753" s="106"/>
    </row>
    <row r="754">
      <c r="C754" s="79"/>
      <c r="D754" s="79"/>
      <c r="E754" s="79"/>
      <c r="O754" s="79"/>
      <c r="S754" s="79"/>
      <c r="T754" s="79"/>
      <c r="Y754" s="79"/>
      <c r="AD754" s="130"/>
      <c r="AF754" s="106"/>
    </row>
    <row r="755">
      <c r="C755" s="79"/>
      <c r="D755" s="79"/>
      <c r="E755" s="79"/>
      <c r="O755" s="79"/>
      <c r="S755" s="79"/>
      <c r="T755" s="79"/>
      <c r="Y755" s="79"/>
      <c r="AD755" s="130"/>
      <c r="AF755" s="106"/>
    </row>
    <row r="756">
      <c r="C756" s="79"/>
      <c r="D756" s="79"/>
      <c r="E756" s="79"/>
      <c r="O756" s="79"/>
      <c r="S756" s="79"/>
      <c r="T756" s="79"/>
      <c r="Y756" s="79"/>
      <c r="AD756" s="130"/>
      <c r="AF756" s="106"/>
    </row>
    <row r="757">
      <c r="C757" s="79"/>
      <c r="D757" s="79"/>
      <c r="E757" s="79"/>
      <c r="O757" s="79"/>
      <c r="S757" s="79"/>
      <c r="T757" s="79"/>
      <c r="Y757" s="79"/>
      <c r="AD757" s="130"/>
      <c r="AF757" s="106"/>
    </row>
    <row r="758">
      <c r="C758" s="79"/>
      <c r="D758" s="79"/>
      <c r="E758" s="79"/>
      <c r="O758" s="79"/>
      <c r="S758" s="79"/>
      <c r="T758" s="79"/>
      <c r="Y758" s="79"/>
      <c r="AD758" s="130"/>
      <c r="AF758" s="106"/>
    </row>
    <row r="759">
      <c r="C759" s="79"/>
      <c r="D759" s="79"/>
      <c r="E759" s="79"/>
      <c r="O759" s="79"/>
      <c r="S759" s="79"/>
      <c r="T759" s="79"/>
      <c r="Y759" s="79"/>
      <c r="AD759" s="130"/>
      <c r="AF759" s="106"/>
    </row>
    <row r="760">
      <c r="C760" s="79"/>
      <c r="D760" s="79"/>
      <c r="E760" s="79"/>
      <c r="O760" s="79"/>
      <c r="S760" s="79"/>
      <c r="T760" s="79"/>
      <c r="Y760" s="79"/>
      <c r="AD760" s="130"/>
      <c r="AF760" s="106"/>
    </row>
    <row r="761">
      <c r="C761" s="79"/>
      <c r="D761" s="79"/>
      <c r="E761" s="79"/>
      <c r="O761" s="79"/>
      <c r="S761" s="79"/>
      <c r="T761" s="79"/>
      <c r="Y761" s="79"/>
      <c r="AD761" s="130"/>
      <c r="AF761" s="106"/>
    </row>
    <row r="762">
      <c r="C762" s="79"/>
      <c r="D762" s="79"/>
      <c r="E762" s="79"/>
      <c r="O762" s="79"/>
      <c r="S762" s="79"/>
      <c r="T762" s="79"/>
      <c r="Y762" s="79"/>
      <c r="AD762" s="130"/>
      <c r="AF762" s="106"/>
    </row>
    <row r="763">
      <c r="C763" s="79"/>
      <c r="D763" s="79"/>
      <c r="E763" s="79"/>
      <c r="O763" s="79"/>
      <c r="S763" s="79"/>
      <c r="T763" s="79"/>
      <c r="Y763" s="79"/>
      <c r="AD763" s="130"/>
      <c r="AF763" s="106"/>
    </row>
    <row r="764">
      <c r="C764" s="79"/>
      <c r="D764" s="79"/>
      <c r="E764" s="79"/>
      <c r="O764" s="79"/>
      <c r="S764" s="79"/>
      <c r="T764" s="79"/>
      <c r="Y764" s="79"/>
      <c r="AD764" s="130"/>
      <c r="AF764" s="106"/>
    </row>
    <row r="765">
      <c r="C765" s="79"/>
      <c r="D765" s="79"/>
      <c r="E765" s="79"/>
      <c r="O765" s="79"/>
      <c r="S765" s="79"/>
      <c r="T765" s="79"/>
      <c r="Y765" s="79"/>
      <c r="AD765" s="130"/>
      <c r="AF765" s="106"/>
    </row>
    <row r="766">
      <c r="C766" s="79"/>
      <c r="D766" s="79"/>
      <c r="E766" s="79"/>
      <c r="O766" s="79"/>
      <c r="S766" s="79"/>
      <c r="T766" s="79"/>
      <c r="Y766" s="79"/>
      <c r="AD766" s="130"/>
      <c r="AF766" s="106"/>
    </row>
    <row r="767">
      <c r="C767" s="79"/>
      <c r="D767" s="79"/>
      <c r="E767" s="79"/>
      <c r="O767" s="79"/>
      <c r="S767" s="79"/>
      <c r="T767" s="79"/>
      <c r="Y767" s="79"/>
      <c r="AD767" s="130"/>
      <c r="AF767" s="106"/>
    </row>
    <row r="768">
      <c r="C768" s="79"/>
      <c r="D768" s="79"/>
      <c r="E768" s="79"/>
      <c r="O768" s="79"/>
      <c r="S768" s="79"/>
      <c r="T768" s="79"/>
      <c r="Y768" s="79"/>
      <c r="AD768" s="130"/>
      <c r="AF768" s="106"/>
    </row>
    <row r="769">
      <c r="C769" s="79"/>
      <c r="D769" s="79"/>
      <c r="E769" s="79"/>
      <c r="O769" s="79"/>
      <c r="S769" s="79"/>
      <c r="T769" s="79"/>
      <c r="Y769" s="79"/>
      <c r="AD769" s="130"/>
      <c r="AF769" s="106"/>
    </row>
    <row r="770">
      <c r="C770" s="79"/>
      <c r="D770" s="79"/>
      <c r="E770" s="79"/>
      <c r="O770" s="79"/>
      <c r="S770" s="79"/>
      <c r="T770" s="79"/>
      <c r="Y770" s="79"/>
      <c r="AD770" s="130"/>
      <c r="AF770" s="106"/>
    </row>
    <row r="771">
      <c r="C771" s="79"/>
      <c r="D771" s="79"/>
      <c r="E771" s="79"/>
      <c r="O771" s="79"/>
      <c r="S771" s="79"/>
      <c r="T771" s="79"/>
      <c r="Y771" s="79"/>
      <c r="AD771" s="130"/>
      <c r="AF771" s="106"/>
    </row>
    <row r="772">
      <c r="C772" s="79"/>
      <c r="D772" s="79"/>
      <c r="E772" s="79"/>
      <c r="O772" s="79"/>
      <c r="S772" s="79"/>
      <c r="T772" s="79"/>
      <c r="Y772" s="79"/>
      <c r="AD772" s="130"/>
      <c r="AF772" s="106"/>
    </row>
    <row r="773">
      <c r="C773" s="79"/>
      <c r="D773" s="79"/>
      <c r="E773" s="79"/>
      <c r="O773" s="79"/>
      <c r="S773" s="79"/>
      <c r="T773" s="79"/>
      <c r="Y773" s="79"/>
      <c r="AD773" s="130"/>
      <c r="AF773" s="106"/>
    </row>
    <row r="774">
      <c r="C774" s="79"/>
      <c r="D774" s="79"/>
      <c r="E774" s="79"/>
      <c r="O774" s="79"/>
      <c r="S774" s="79"/>
      <c r="T774" s="79"/>
      <c r="Y774" s="79"/>
      <c r="AD774" s="130"/>
      <c r="AF774" s="106"/>
    </row>
    <row r="775">
      <c r="C775" s="79"/>
      <c r="D775" s="79"/>
      <c r="E775" s="79"/>
      <c r="O775" s="79"/>
      <c r="S775" s="79"/>
      <c r="T775" s="79"/>
      <c r="Y775" s="79"/>
      <c r="AD775" s="130"/>
      <c r="AF775" s="106"/>
    </row>
    <row r="776">
      <c r="C776" s="79"/>
      <c r="D776" s="79"/>
      <c r="E776" s="79"/>
      <c r="O776" s="79"/>
      <c r="S776" s="79"/>
      <c r="T776" s="79"/>
      <c r="Y776" s="79"/>
      <c r="AD776" s="130"/>
      <c r="AF776" s="106"/>
    </row>
    <row r="777">
      <c r="C777" s="79"/>
      <c r="D777" s="79"/>
      <c r="E777" s="79"/>
      <c r="O777" s="79"/>
      <c r="S777" s="79"/>
      <c r="T777" s="79"/>
      <c r="Y777" s="79"/>
      <c r="AD777" s="130"/>
      <c r="AF777" s="106"/>
    </row>
    <row r="778">
      <c r="C778" s="79"/>
      <c r="D778" s="79"/>
      <c r="E778" s="79"/>
      <c r="O778" s="79"/>
      <c r="S778" s="79"/>
      <c r="T778" s="79"/>
      <c r="Y778" s="79"/>
      <c r="AD778" s="130"/>
      <c r="AF778" s="106"/>
    </row>
    <row r="779">
      <c r="C779" s="79"/>
      <c r="D779" s="79"/>
      <c r="E779" s="79"/>
      <c r="O779" s="79"/>
      <c r="S779" s="79"/>
      <c r="T779" s="79"/>
      <c r="Y779" s="79"/>
      <c r="AD779" s="130"/>
      <c r="AF779" s="106"/>
    </row>
    <row r="780">
      <c r="C780" s="79"/>
      <c r="D780" s="79"/>
      <c r="E780" s="79"/>
      <c r="O780" s="79"/>
      <c r="S780" s="79"/>
      <c r="T780" s="79"/>
      <c r="Y780" s="79"/>
      <c r="AD780" s="130"/>
      <c r="AF780" s="106"/>
    </row>
    <row r="781">
      <c r="C781" s="79"/>
      <c r="D781" s="79"/>
      <c r="E781" s="79"/>
      <c r="O781" s="79"/>
      <c r="S781" s="79"/>
      <c r="T781" s="79"/>
      <c r="Y781" s="79"/>
      <c r="AD781" s="130"/>
      <c r="AF781" s="106"/>
    </row>
    <row r="782">
      <c r="C782" s="79"/>
      <c r="D782" s="79"/>
      <c r="E782" s="79"/>
      <c r="O782" s="79"/>
      <c r="S782" s="79"/>
      <c r="T782" s="79"/>
      <c r="Y782" s="79"/>
      <c r="AD782" s="130"/>
      <c r="AF782" s="106"/>
    </row>
    <row r="783">
      <c r="C783" s="79"/>
      <c r="D783" s="79"/>
      <c r="E783" s="79"/>
      <c r="O783" s="79"/>
      <c r="S783" s="79"/>
      <c r="T783" s="79"/>
      <c r="Y783" s="79"/>
      <c r="AD783" s="130"/>
      <c r="AF783" s="106"/>
    </row>
    <row r="784">
      <c r="C784" s="79"/>
      <c r="D784" s="79"/>
      <c r="E784" s="79"/>
      <c r="O784" s="79"/>
      <c r="S784" s="79"/>
      <c r="T784" s="79"/>
      <c r="Y784" s="79"/>
      <c r="AD784" s="130"/>
      <c r="AF784" s="106"/>
    </row>
    <row r="785">
      <c r="C785" s="79"/>
      <c r="D785" s="79"/>
      <c r="E785" s="79"/>
      <c r="O785" s="79"/>
      <c r="S785" s="79"/>
      <c r="T785" s="79"/>
      <c r="Y785" s="79"/>
      <c r="AD785" s="130"/>
      <c r="AF785" s="106"/>
    </row>
    <row r="786">
      <c r="C786" s="79"/>
      <c r="D786" s="79"/>
      <c r="E786" s="79"/>
      <c r="O786" s="79"/>
      <c r="S786" s="79"/>
      <c r="T786" s="79"/>
      <c r="Y786" s="79"/>
      <c r="AD786" s="130"/>
      <c r="AF786" s="106"/>
    </row>
    <row r="787">
      <c r="C787" s="79"/>
      <c r="D787" s="79"/>
      <c r="E787" s="79"/>
      <c r="O787" s="79"/>
      <c r="S787" s="79"/>
      <c r="T787" s="79"/>
      <c r="Y787" s="79"/>
      <c r="AD787" s="130"/>
      <c r="AF787" s="106"/>
    </row>
    <row r="788">
      <c r="C788" s="79"/>
      <c r="D788" s="79"/>
      <c r="E788" s="79"/>
      <c r="O788" s="79"/>
      <c r="S788" s="79"/>
      <c r="T788" s="79"/>
      <c r="Y788" s="79"/>
      <c r="AD788" s="130"/>
      <c r="AF788" s="106"/>
    </row>
    <row r="789">
      <c r="C789" s="79"/>
      <c r="D789" s="79"/>
      <c r="E789" s="79"/>
      <c r="O789" s="79"/>
      <c r="S789" s="79"/>
      <c r="T789" s="79"/>
      <c r="Y789" s="79"/>
      <c r="AD789" s="130"/>
      <c r="AF789" s="106"/>
    </row>
    <row r="790">
      <c r="C790" s="79"/>
      <c r="D790" s="79"/>
      <c r="E790" s="79"/>
      <c r="O790" s="79"/>
      <c r="S790" s="79"/>
      <c r="T790" s="79"/>
      <c r="Y790" s="79"/>
      <c r="AD790" s="130"/>
      <c r="AF790" s="106"/>
    </row>
    <row r="791">
      <c r="C791" s="79"/>
      <c r="D791" s="79"/>
      <c r="E791" s="79"/>
      <c r="O791" s="79"/>
      <c r="S791" s="79"/>
      <c r="T791" s="79"/>
      <c r="Y791" s="79"/>
      <c r="AD791" s="130"/>
      <c r="AF791" s="106"/>
    </row>
    <row r="792">
      <c r="C792" s="79"/>
      <c r="D792" s="79"/>
      <c r="E792" s="79"/>
      <c r="O792" s="79"/>
      <c r="S792" s="79"/>
      <c r="T792" s="79"/>
      <c r="Y792" s="79"/>
      <c r="AD792" s="130"/>
      <c r="AF792" s="106"/>
    </row>
    <row r="793">
      <c r="C793" s="79"/>
      <c r="D793" s="79"/>
      <c r="E793" s="79"/>
      <c r="O793" s="79"/>
      <c r="S793" s="79"/>
      <c r="T793" s="79"/>
      <c r="Y793" s="79"/>
      <c r="AD793" s="130"/>
      <c r="AF793" s="106"/>
    </row>
    <row r="794">
      <c r="C794" s="79"/>
      <c r="D794" s="79"/>
      <c r="E794" s="79"/>
      <c r="O794" s="79"/>
      <c r="S794" s="79"/>
      <c r="T794" s="79"/>
      <c r="Y794" s="79"/>
      <c r="AD794" s="130"/>
      <c r="AF794" s="106"/>
    </row>
    <row r="795">
      <c r="C795" s="79"/>
      <c r="D795" s="79"/>
      <c r="E795" s="79"/>
      <c r="O795" s="79"/>
      <c r="S795" s="79"/>
      <c r="T795" s="79"/>
      <c r="Y795" s="79"/>
      <c r="AD795" s="130"/>
      <c r="AF795" s="106"/>
    </row>
    <row r="796">
      <c r="C796" s="79"/>
      <c r="D796" s="79"/>
      <c r="E796" s="79"/>
      <c r="O796" s="79"/>
      <c r="S796" s="79"/>
      <c r="T796" s="79"/>
      <c r="Y796" s="79"/>
      <c r="AD796" s="130"/>
      <c r="AF796" s="106"/>
    </row>
    <row r="797">
      <c r="C797" s="79"/>
      <c r="D797" s="79"/>
      <c r="E797" s="79"/>
      <c r="O797" s="79"/>
      <c r="S797" s="79"/>
      <c r="T797" s="79"/>
      <c r="Y797" s="79"/>
      <c r="AD797" s="130"/>
      <c r="AF797" s="106"/>
    </row>
    <row r="798">
      <c r="C798" s="79"/>
      <c r="D798" s="79"/>
      <c r="E798" s="79"/>
      <c r="O798" s="79"/>
      <c r="S798" s="79"/>
      <c r="T798" s="79"/>
      <c r="Y798" s="79"/>
      <c r="AD798" s="130"/>
      <c r="AF798" s="106"/>
    </row>
    <row r="799">
      <c r="C799" s="79"/>
      <c r="D799" s="79"/>
      <c r="E799" s="79"/>
      <c r="O799" s="79"/>
      <c r="S799" s="79"/>
      <c r="T799" s="79"/>
      <c r="Y799" s="79"/>
      <c r="AD799" s="130"/>
      <c r="AF799" s="106"/>
    </row>
    <row r="800">
      <c r="C800" s="79"/>
      <c r="D800" s="79"/>
      <c r="E800" s="79"/>
      <c r="O800" s="79"/>
      <c r="S800" s="79"/>
      <c r="T800" s="79"/>
      <c r="Y800" s="79"/>
      <c r="AD800" s="130"/>
      <c r="AF800" s="106"/>
    </row>
    <row r="801">
      <c r="C801" s="79"/>
      <c r="D801" s="79"/>
      <c r="E801" s="79"/>
      <c r="O801" s="79"/>
      <c r="S801" s="79"/>
      <c r="T801" s="79"/>
      <c r="Y801" s="79"/>
      <c r="AD801" s="130"/>
      <c r="AF801" s="106"/>
    </row>
    <row r="802">
      <c r="C802" s="79"/>
      <c r="D802" s="79"/>
      <c r="E802" s="79"/>
      <c r="O802" s="79"/>
      <c r="S802" s="79"/>
      <c r="T802" s="79"/>
      <c r="Y802" s="79"/>
      <c r="AD802" s="130"/>
      <c r="AF802" s="106"/>
    </row>
    <row r="803">
      <c r="C803" s="79"/>
      <c r="D803" s="79"/>
      <c r="E803" s="79"/>
      <c r="O803" s="79"/>
      <c r="S803" s="79"/>
      <c r="T803" s="79"/>
      <c r="Y803" s="79"/>
      <c r="AD803" s="130"/>
      <c r="AF803" s="106"/>
    </row>
    <row r="804">
      <c r="C804" s="79"/>
      <c r="D804" s="79"/>
      <c r="E804" s="79"/>
      <c r="O804" s="79"/>
      <c r="S804" s="79"/>
      <c r="T804" s="79"/>
      <c r="Y804" s="79"/>
      <c r="AD804" s="130"/>
      <c r="AF804" s="106"/>
    </row>
    <row r="805">
      <c r="C805" s="79"/>
      <c r="D805" s="79"/>
      <c r="E805" s="79"/>
      <c r="O805" s="79"/>
      <c r="S805" s="79"/>
      <c r="T805" s="79"/>
      <c r="Y805" s="79"/>
      <c r="AD805" s="130"/>
      <c r="AF805" s="106"/>
    </row>
    <row r="806">
      <c r="C806" s="79"/>
      <c r="D806" s="79"/>
      <c r="E806" s="79"/>
      <c r="O806" s="79"/>
      <c r="S806" s="79"/>
      <c r="T806" s="79"/>
      <c r="Y806" s="79"/>
      <c r="AD806" s="130"/>
      <c r="AF806" s="106"/>
    </row>
    <row r="807">
      <c r="C807" s="79"/>
      <c r="D807" s="79"/>
      <c r="E807" s="79"/>
      <c r="O807" s="79"/>
      <c r="S807" s="79"/>
      <c r="T807" s="79"/>
      <c r="Y807" s="79"/>
      <c r="AD807" s="130"/>
      <c r="AF807" s="106"/>
    </row>
    <row r="808">
      <c r="C808" s="79"/>
      <c r="D808" s="79"/>
      <c r="E808" s="79"/>
      <c r="O808" s="79"/>
      <c r="S808" s="79"/>
      <c r="T808" s="79"/>
      <c r="Y808" s="79"/>
      <c r="AD808" s="130"/>
      <c r="AF808" s="106"/>
    </row>
    <row r="809">
      <c r="C809" s="79"/>
      <c r="D809" s="79"/>
      <c r="E809" s="79"/>
      <c r="O809" s="79"/>
      <c r="S809" s="79"/>
      <c r="T809" s="79"/>
      <c r="Y809" s="79"/>
      <c r="AD809" s="130"/>
      <c r="AF809" s="106"/>
    </row>
    <row r="810">
      <c r="C810" s="79"/>
      <c r="D810" s="79"/>
      <c r="E810" s="79"/>
      <c r="O810" s="79"/>
      <c r="S810" s="79"/>
      <c r="T810" s="79"/>
      <c r="Y810" s="79"/>
      <c r="AD810" s="130"/>
      <c r="AF810" s="106"/>
    </row>
    <row r="811">
      <c r="C811" s="79"/>
      <c r="D811" s="79"/>
      <c r="E811" s="79"/>
      <c r="O811" s="79"/>
      <c r="S811" s="79"/>
      <c r="T811" s="79"/>
      <c r="Y811" s="79"/>
      <c r="AD811" s="130"/>
      <c r="AF811" s="106"/>
    </row>
    <row r="812">
      <c r="C812" s="79"/>
      <c r="D812" s="79"/>
      <c r="E812" s="79"/>
      <c r="O812" s="79"/>
      <c r="S812" s="79"/>
      <c r="T812" s="79"/>
      <c r="Y812" s="79"/>
      <c r="AD812" s="130"/>
      <c r="AF812" s="106"/>
    </row>
    <row r="813">
      <c r="C813" s="79"/>
      <c r="D813" s="79"/>
      <c r="E813" s="79"/>
      <c r="O813" s="79"/>
      <c r="S813" s="79"/>
      <c r="T813" s="79"/>
      <c r="Y813" s="79"/>
      <c r="AD813" s="130"/>
      <c r="AF813" s="106"/>
    </row>
    <row r="814">
      <c r="C814" s="79"/>
      <c r="D814" s="79"/>
      <c r="E814" s="79"/>
      <c r="O814" s="79"/>
      <c r="S814" s="79"/>
      <c r="T814" s="79"/>
      <c r="Y814" s="79"/>
      <c r="AD814" s="130"/>
      <c r="AF814" s="106"/>
    </row>
    <row r="815">
      <c r="C815" s="79"/>
      <c r="D815" s="79"/>
      <c r="E815" s="79"/>
      <c r="O815" s="79"/>
      <c r="S815" s="79"/>
      <c r="T815" s="79"/>
      <c r="Y815" s="79"/>
      <c r="AD815" s="130"/>
      <c r="AF815" s="106"/>
    </row>
    <row r="816">
      <c r="C816" s="79"/>
      <c r="D816" s="79"/>
      <c r="E816" s="79"/>
      <c r="O816" s="79"/>
      <c r="S816" s="79"/>
      <c r="T816" s="79"/>
      <c r="Y816" s="79"/>
      <c r="AD816" s="130"/>
      <c r="AF816" s="106"/>
    </row>
    <row r="817">
      <c r="C817" s="79"/>
      <c r="D817" s="79"/>
      <c r="E817" s="79"/>
      <c r="O817" s="79"/>
      <c r="S817" s="79"/>
      <c r="T817" s="79"/>
      <c r="Y817" s="79"/>
      <c r="AD817" s="130"/>
      <c r="AF817" s="106"/>
    </row>
    <row r="818">
      <c r="C818" s="79"/>
      <c r="D818" s="79"/>
      <c r="E818" s="79"/>
      <c r="O818" s="79"/>
      <c r="S818" s="79"/>
      <c r="T818" s="79"/>
      <c r="Y818" s="79"/>
      <c r="AD818" s="130"/>
      <c r="AF818" s="106"/>
    </row>
    <row r="819">
      <c r="C819" s="79"/>
      <c r="D819" s="79"/>
      <c r="E819" s="79"/>
      <c r="O819" s="79"/>
      <c r="S819" s="79"/>
      <c r="T819" s="79"/>
      <c r="Y819" s="79"/>
      <c r="AD819" s="130"/>
      <c r="AF819" s="106"/>
    </row>
    <row r="820">
      <c r="C820" s="79"/>
      <c r="D820" s="79"/>
      <c r="E820" s="79"/>
      <c r="O820" s="79"/>
      <c r="S820" s="79"/>
      <c r="T820" s="79"/>
      <c r="Y820" s="79"/>
      <c r="AD820" s="130"/>
      <c r="AF820" s="106"/>
    </row>
    <row r="821">
      <c r="C821" s="79"/>
      <c r="D821" s="79"/>
      <c r="E821" s="79"/>
      <c r="O821" s="79"/>
      <c r="S821" s="79"/>
      <c r="T821" s="79"/>
      <c r="Y821" s="79"/>
      <c r="AD821" s="130"/>
      <c r="AF821" s="106"/>
    </row>
    <row r="822">
      <c r="C822" s="79"/>
      <c r="D822" s="79"/>
      <c r="E822" s="79"/>
      <c r="O822" s="79"/>
      <c r="S822" s="79"/>
      <c r="T822" s="79"/>
      <c r="Y822" s="79"/>
      <c r="AD822" s="130"/>
      <c r="AF822" s="106"/>
    </row>
    <row r="823">
      <c r="C823" s="79"/>
      <c r="D823" s="79"/>
      <c r="E823" s="79"/>
      <c r="O823" s="79"/>
      <c r="S823" s="79"/>
      <c r="T823" s="79"/>
      <c r="Y823" s="79"/>
      <c r="AD823" s="130"/>
      <c r="AF823" s="106"/>
    </row>
    <row r="824">
      <c r="C824" s="79"/>
      <c r="D824" s="79"/>
      <c r="E824" s="79"/>
      <c r="O824" s="79"/>
      <c r="S824" s="79"/>
      <c r="T824" s="79"/>
      <c r="Y824" s="79"/>
      <c r="AD824" s="130"/>
      <c r="AF824" s="106"/>
    </row>
    <row r="825">
      <c r="C825" s="79"/>
      <c r="D825" s="79"/>
      <c r="E825" s="79"/>
      <c r="O825" s="79"/>
      <c r="S825" s="79"/>
      <c r="T825" s="79"/>
      <c r="Y825" s="79"/>
      <c r="AD825" s="130"/>
      <c r="AF825" s="106"/>
    </row>
    <row r="826">
      <c r="C826" s="79"/>
      <c r="D826" s="79"/>
      <c r="E826" s="79"/>
      <c r="O826" s="79"/>
      <c r="S826" s="79"/>
      <c r="T826" s="79"/>
      <c r="Y826" s="79"/>
      <c r="AD826" s="130"/>
      <c r="AF826" s="106"/>
    </row>
    <row r="827">
      <c r="C827" s="79"/>
      <c r="D827" s="79"/>
      <c r="E827" s="79"/>
      <c r="O827" s="79"/>
      <c r="S827" s="79"/>
      <c r="T827" s="79"/>
      <c r="Y827" s="79"/>
      <c r="AD827" s="130"/>
      <c r="AF827" s="106"/>
    </row>
    <row r="828">
      <c r="C828" s="79"/>
      <c r="D828" s="79"/>
      <c r="E828" s="79"/>
      <c r="O828" s="79"/>
      <c r="S828" s="79"/>
      <c r="T828" s="79"/>
      <c r="Y828" s="79"/>
      <c r="AD828" s="130"/>
      <c r="AF828" s="106"/>
    </row>
    <row r="829">
      <c r="C829" s="79"/>
      <c r="D829" s="79"/>
      <c r="E829" s="79"/>
      <c r="O829" s="79"/>
      <c r="S829" s="79"/>
      <c r="T829" s="79"/>
      <c r="Y829" s="79"/>
      <c r="AD829" s="130"/>
      <c r="AF829" s="106"/>
    </row>
    <row r="830">
      <c r="C830" s="79"/>
      <c r="D830" s="79"/>
      <c r="E830" s="79"/>
      <c r="O830" s="79"/>
      <c r="S830" s="79"/>
      <c r="T830" s="79"/>
      <c r="Y830" s="79"/>
      <c r="AD830" s="130"/>
      <c r="AF830" s="106"/>
    </row>
    <row r="831">
      <c r="C831" s="79"/>
      <c r="D831" s="79"/>
      <c r="E831" s="79"/>
      <c r="O831" s="79"/>
      <c r="S831" s="79"/>
      <c r="T831" s="79"/>
      <c r="Y831" s="79"/>
      <c r="AD831" s="130"/>
      <c r="AF831" s="106"/>
    </row>
    <row r="832">
      <c r="C832" s="79"/>
      <c r="D832" s="79"/>
      <c r="E832" s="79"/>
      <c r="O832" s="79"/>
      <c r="S832" s="79"/>
      <c r="T832" s="79"/>
      <c r="Y832" s="79"/>
      <c r="AD832" s="130"/>
      <c r="AF832" s="106"/>
    </row>
    <row r="833">
      <c r="C833" s="79"/>
      <c r="D833" s="79"/>
      <c r="E833" s="79"/>
      <c r="O833" s="79"/>
      <c r="S833" s="79"/>
      <c r="T833" s="79"/>
      <c r="Y833" s="79"/>
      <c r="AD833" s="130"/>
      <c r="AF833" s="106"/>
    </row>
    <row r="834">
      <c r="C834" s="79"/>
      <c r="D834" s="79"/>
      <c r="E834" s="79"/>
      <c r="O834" s="79"/>
      <c r="S834" s="79"/>
      <c r="T834" s="79"/>
      <c r="Y834" s="79"/>
      <c r="AD834" s="130"/>
      <c r="AF834" s="106"/>
    </row>
    <row r="835">
      <c r="C835" s="79"/>
      <c r="D835" s="79"/>
      <c r="E835" s="79"/>
      <c r="O835" s="79"/>
      <c r="S835" s="79"/>
      <c r="T835" s="79"/>
      <c r="Y835" s="79"/>
      <c r="AD835" s="130"/>
      <c r="AF835" s="106"/>
    </row>
    <row r="836">
      <c r="C836" s="79"/>
      <c r="D836" s="79"/>
      <c r="E836" s="79"/>
      <c r="O836" s="79"/>
      <c r="S836" s="79"/>
      <c r="T836" s="79"/>
      <c r="Y836" s="79"/>
      <c r="AD836" s="130"/>
      <c r="AF836" s="106"/>
    </row>
    <row r="837">
      <c r="C837" s="79"/>
      <c r="D837" s="79"/>
      <c r="E837" s="79"/>
      <c r="O837" s="79"/>
      <c r="S837" s="79"/>
      <c r="T837" s="79"/>
      <c r="Y837" s="79"/>
      <c r="AD837" s="130"/>
      <c r="AF837" s="106"/>
    </row>
    <row r="838">
      <c r="C838" s="79"/>
      <c r="D838" s="79"/>
      <c r="E838" s="79"/>
      <c r="O838" s="79"/>
      <c r="S838" s="79"/>
      <c r="T838" s="79"/>
      <c r="Y838" s="79"/>
      <c r="AD838" s="130"/>
      <c r="AF838" s="106"/>
    </row>
    <row r="839">
      <c r="C839" s="79"/>
      <c r="D839" s="79"/>
      <c r="E839" s="79"/>
      <c r="O839" s="79"/>
      <c r="S839" s="79"/>
      <c r="T839" s="79"/>
      <c r="Y839" s="79"/>
      <c r="AD839" s="130"/>
      <c r="AF839" s="106"/>
    </row>
    <row r="840">
      <c r="O840" s="79"/>
      <c r="S840" s="79"/>
      <c r="T840" s="79"/>
      <c r="Y840" s="79"/>
      <c r="AD840" s="130"/>
      <c r="AF840" s="106"/>
    </row>
    <row r="841">
      <c r="O841" s="79"/>
      <c r="S841" s="79"/>
      <c r="T841" s="79"/>
      <c r="Y841" s="79"/>
      <c r="AD841" s="130"/>
      <c r="AF841" s="106"/>
    </row>
    <row r="842">
      <c r="O842" s="79"/>
      <c r="S842" s="79"/>
      <c r="T842" s="79"/>
      <c r="Y842" s="79"/>
      <c r="AD842" s="130"/>
      <c r="AF842" s="106"/>
    </row>
    <row r="843">
      <c r="O843" s="79"/>
      <c r="S843" s="79"/>
      <c r="T843" s="79"/>
      <c r="Y843" s="79"/>
      <c r="AD843" s="130"/>
      <c r="AF843" s="106"/>
    </row>
    <row r="844">
      <c r="O844" s="79"/>
      <c r="S844" s="79"/>
      <c r="T844" s="79"/>
      <c r="Y844" s="79"/>
      <c r="AD844" s="130"/>
      <c r="AF844" s="106"/>
    </row>
    <row r="845">
      <c r="O845" s="79"/>
      <c r="S845" s="79"/>
      <c r="T845" s="79"/>
      <c r="Y845" s="79"/>
      <c r="AD845" s="130"/>
      <c r="AF845" s="106"/>
    </row>
    <row r="846">
      <c r="O846" s="79"/>
      <c r="S846" s="79"/>
      <c r="T846" s="79"/>
      <c r="Y846" s="79"/>
      <c r="AD846" s="130"/>
      <c r="AF846" s="106"/>
    </row>
    <row r="847">
      <c r="O847" s="79"/>
      <c r="S847" s="79"/>
      <c r="T847" s="79"/>
      <c r="Y847" s="79"/>
      <c r="AD847" s="130"/>
      <c r="AF847" s="106"/>
    </row>
    <row r="848">
      <c r="O848" s="79"/>
      <c r="S848" s="79"/>
      <c r="T848" s="79"/>
      <c r="Y848" s="79"/>
      <c r="AD848" s="130"/>
      <c r="AF848" s="106"/>
    </row>
    <row r="849">
      <c r="O849" s="79"/>
      <c r="S849" s="79"/>
      <c r="T849" s="79"/>
      <c r="Y849" s="79"/>
      <c r="AD849" s="130"/>
      <c r="AF849" s="106"/>
    </row>
    <row r="850">
      <c r="O850" s="79"/>
      <c r="S850" s="79"/>
      <c r="T850" s="79"/>
      <c r="Y850" s="79"/>
      <c r="AD850" s="130"/>
      <c r="AF850" s="106"/>
    </row>
    <row r="851">
      <c r="O851" s="79"/>
      <c r="S851" s="79"/>
      <c r="T851" s="79"/>
      <c r="Y851" s="79"/>
      <c r="AD851" s="130"/>
      <c r="AF851" s="106"/>
    </row>
    <row r="852">
      <c r="O852" s="79"/>
      <c r="S852" s="79"/>
      <c r="T852" s="79"/>
      <c r="Y852" s="79"/>
      <c r="AD852" s="130"/>
      <c r="AF852" s="106"/>
    </row>
  </sheetData>
  <autoFilter ref="$A$35:$F$66">
    <sortState ref="A35:F66">
      <sortCondition descending="1" sortBy="cellColor" ref="E35:E66" dxfId="1"/>
      <sortCondition descending="1" sortBy="cellColor" ref="C35:C66" dxfId="1"/>
      <sortCondition descending="1" sortBy="cellColor" ref="A35:A66" dxfId="1"/>
    </sortState>
  </autoFilter>
  <mergeCells count="1">
    <mergeCell ref="B32:E32"/>
  </mergeCells>
  <conditionalFormatting sqref="H36:H48">
    <cfRule type="cellIs" dxfId="2" priority="1" operator="greaterThanOrEqual">
      <formula>1</formula>
    </cfRule>
  </conditionalFormatting>
  <conditionalFormatting sqref="H36:H48">
    <cfRule type="cellIs" dxfId="3" priority="2" operator="lessThanOrEqual">
      <formula>0</formula>
    </cfRule>
  </conditionalFormatting>
  <drawing r:id="rId2"/>
  <legacyDrawing r:id="rId3"/>
  <tableParts count="1">
    <tablePart r:id="rId5"/>
  </tableParts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3" max="3" width="17.38"/>
    <col customWidth="1" min="4" max="4" width="25.75"/>
    <col customWidth="1" min="5" max="5" width="20.88"/>
    <col customWidth="1" min="6" max="6" width="15.5"/>
    <col customWidth="1" min="7" max="7" width="25.13"/>
    <col customWidth="1" min="8" max="8" width="24.0"/>
    <col customWidth="1" min="9" max="10" width="15.5"/>
    <col customWidth="1" min="11" max="11" width="16.5"/>
    <col customWidth="1" min="12" max="13" width="15.5"/>
    <col customWidth="1" min="15" max="15" width="27.38"/>
    <col customWidth="1" min="17" max="17" width="11.13"/>
    <col customWidth="1" min="26" max="26" width="14.63"/>
    <col customWidth="1" min="33" max="33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4</v>
      </c>
      <c r="J1" s="2" t="s">
        <v>5</v>
      </c>
      <c r="K1" s="2" t="s">
        <v>303</v>
      </c>
      <c r="L1" s="2" t="s">
        <v>6</v>
      </c>
      <c r="M1" s="2" t="s">
        <v>12</v>
      </c>
      <c r="N1" s="2" t="s">
        <v>49</v>
      </c>
      <c r="O1" s="105" t="s">
        <v>304</v>
      </c>
      <c r="P1" s="2" t="s">
        <v>37</v>
      </c>
      <c r="Q1" s="2" t="s">
        <v>10</v>
      </c>
      <c r="R1" s="2" t="s">
        <v>42</v>
      </c>
      <c r="S1" s="105" t="s">
        <v>656</v>
      </c>
      <c r="T1" s="105" t="s">
        <v>9</v>
      </c>
      <c r="U1" s="2" t="s">
        <v>164</v>
      </c>
      <c r="V1" s="105" t="s">
        <v>40</v>
      </c>
      <c r="W1" s="2" t="s">
        <v>83</v>
      </c>
      <c r="X1" s="2" t="s">
        <v>204</v>
      </c>
      <c r="Y1" s="105" t="s">
        <v>205</v>
      </c>
      <c r="Z1" s="2" t="s">
        <v>206</v>
      </c>
      <c r="AA1" s="2" t="s">
        <v>305</v>
      </c>
      <c r="AB1" s="3" t="s">
        <v>760</v>
      </c>
      <c r="AC1" s="3" t="s">
        <v>828</v>
      </c>
      <c r="AD1" s="3" t="s">
        <v>13</v>
      </c>
      <c r="AE1" s="3" t="s">
        <v>14</v>
      </c>
      <c r="AF1" s="3" t="s">
        <v>15</v>
      </c>
      <c r="AG1" s="106"/>
      <c r="AH1" s="265" t="s">
        <v>306</v>
      </c>
      <c r="AI1" s="266" t="s">
        <v>80</v>
      </c>
    </row>
    <row r="2">
      <c r="A2" s="74">
        <v>45614.0</v>
      </c>
      <c r="B2" s="93">
        <f>1880.18-56.2-66.75-56.16-8.87-24.71-25.44</f>
        <v>1642.05</v>
      </c>
      <c r="C2" s="93"/>
      <c r="D2" s="93">
        <v>86.0</v>
      </c>
      <c r="E2" s="93"/>
      <c r="F2" s="93"/>
      <c r="G2" s="93">
        <v>180.0</v>
      </c>
      <c r="H2" s="93"/>
      <c r="I2" s="93">
        <v>1382.96</v>
      </c>
      <c r="J2" s="374"/>
      <c r="K2" s="93"/>
      <c r="L2" s="93"/>
      <c r="M2" s="93"/>
      <c r="N2" s="93"/>
      <c r="O2" s="93"/>
      <c r="P2" s="72"/>
      <c r="Q2" s="93">
        <v>214.0</v>
      </c>
      <c r="R2" s="93"/>
      <c r="S2" s="93"/>
      <c r="T2" s="93"/>
      <c r="U2" s="93"/>
      <c r="V2" s="93"/>
      <c r="W2" s="93"/>
      <c r="X2" s="93"/>
      <c r="Y2" s="93"/>
      <c r="Z2" s="93"/>
      <c r="AA2" s="386"/>
      <c r="AB2" s="171"/>
      <c r="AC2" s="382">
        <v>1980.25</v>
      </c>
      <c r="AD2" s="107">
        <f>SUM(B2:AA2)</f>
        <v>3505.01</v>
      </c>
      <c r="AE2" s="158"/>
      <c r="AF2" s="59" t="str">
        <f t="shared" ref="AF2:AF8" si="1">AD2/AE2</f>
        <v>#DIV/0!</v>
      </c>
      <c r="AG2" s="109">
        <f t="shared" ref="AG2:AG8" si="2">A2</f>
        <v>45614</v>
      </c>
      <c r="AH2" s="267"/>
      <c r="AI2" s="268">
        <f t="shared" ref="AI2:AI8" si="3">AE2-AH2</f>
        <v>0</v>
      </c>
    </row>
    <row r="3">
      <c r="A3" s="74">
        <f t="shared" ref="A3:A8" si="4">A2+1</f>
        <v>45615</v>
      </c>
      <c r="B3" s="93">
        <f>1377.04-370.11-76.3+284.11</f>
        <v>1214.74</v>
      </c>
      <c r="C3" s="93"/>
      <c r="D3" s="93">
        <v>215.96</v>
      </c>
      <c r="E3" s="93"/>
      <c r="F3" s="93"/>
      <c r="G3" s="93"/>
      <c r="H3" s="168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326"/>
      <c r="AB3" s="171"/>
      <c r="AC3" s="171"/>
      <c r="AD3" s="107">
        <f t="shared" ref="AD3:AD8" si="5">SUM(B3:Z3)</f>
        <v>1430.7</v>
      </c>
      <c r="AE3" s="158"/>
      <c r="AF3" s="59" t="str">
        <f t="shared" si="1"/>
        <v>#DIV/0!</v>
      </c>
      <c r="AG3" s="109">
        <f t="shared" si="2"/>
        <v>45615</v>
      </c>
      <c r="AH3" s="267"/>
      <c r="AI3" s="268">
        <f t="shared" si="3"/>
        <v>0</v>
      </c>
    </row>
    <row r="4">
      <c r="A4" s="74">
        <f t="shared" si="4"/>
        <v>45616</v>
      </c>
      <c r="B4" s="93">
        <f>431.1-26.04-17.24-18.66-47.2-66.52-72.3-26.86-34.36</f>
        <v>121.92</v>
      </c>
      <c r="C4" s="93">
        <v>162.0</v>
      </c>
      <c r="D4" s="93">
        <v>33.6</v>
      </c>
      <c r="E4" s="93"/>
      <c r="F4" s="93">
        <f>687.86-169-95</f>
        <v>423.86</v>
      </c>
      <c r="G4" s="93">
        <v>180.0</v>
      </c>
      <c r="H4" s="168"/>
      <c r="I4" s="93"/>
      <c r="J4" s="93">
        <v>35.0</v>
      </c>
      <c r="K4" s="93"/>
      <c r="L4" s="93"/>
      <c r="M4" s="93"/>
      <c r="N4" s="93">
        <v>411.9</v>
      </c>
      <c r="O4" s="93"/>
      <c r="P4" s="160"/>
      <c r="Q4" s="93"/>
      <c r="R4" s="93"/>
      <c r="S4" s="93"/>
      <c r="T4" s="93"/>
      <c r="U4" s="93"/>
      <c r="V4" s="93"/>
      <c r="W4" s="93"/>
      <c r="X4" s="93"/>
      <c r="Y4" s="93"/>
      <c r="Z4" s="101"/>
      <c r="AA4" s="326"/>
      <c r="AB4" s="171"/>
      <c r="AC4" s="171"/>
      <c r="AD4" s="107">
        <f t="shared" si="5"/>
        <v>1368.28</v>
      </c>
      <c r="AE4" s="158">
        <v>7360.0</v>
      </c>
      <c r="AF4" s="59">
        <f t="shared" si="1"/>
        <v>0.1859076087</v>
      </c>
      <c r="AG4" s="109">
        <f t="shared" si="2"/>
        <v>45616</v>
      </c>
      <c r="AH4" s="267"/>
      <c r="AI4" s="268">
        <f t="shared" si="3"/>
        <v>7360</v>
      </c>
    </row>
    <row r="5">
      <c r="A5" s="74">
        <f t="shared" si="4"/>
        <v>45617</v>
      </c>
      <c r="B5" s="93">
        <f>1890.24-148.56-71.29-26.4-35.04-76.3-66.68-11.73-52.2-164.8-77.55-75.05-42.37</f>
        <v>1042.27</v>
      </c>
      <c r="C5" s="93">
        <v>81.5</v>
      </c>
      <c r="D5" s="93">
        <f>325.8-75.8</f>
        <v>250</v>
      </c>
      <c r="E5" s="93"/>
      <c r="F5" s="166"/>
      <c r="G5" s="93"/>
      <c r="H5" s="160"/>
      <c r="I5" s="93"/>
      <c r="J5" s="93"/>
      <c r="K5" s="93"/>
      <c r="L5" s="93"/>
      <c r="M5" s="93"/>
      <c r="N5" s="93"/>
      <c r="O5" s="93"/>
      <c r="P5" s="93"/>
      <c r="Q5" s="93"/>
      <c r="R5" s="93"/>
      <c r="S5" s="101"/>
      <c r="T5" s="93"/>
      <c r="U5" s="93"/>
      <c r="V5" s="93"/>
      <c r="W5" s="93"/>
      <c r="X5" s="93"/>
      <c r="Y5" s="101"/>
      <c r="Z5" s="101"/>
      <c r="AA5" s="327"/>
      <c r="AB5" s="270"/>
      <c r="AC5" s="270"/>
      <c r="AD5" s="7">
        <f t="shared" si="5"/>
        <v>1373.77</v>
      </c>
      <c r="AE5" s="380">
        <v>8560.0</v>
      </c>
      <c r="AF5" s="59">
        <f t="shared" si="1"/>
        <v>0.1604871495</v>
      </c>
      <c r="AG5" s="109">
        <f t="shared" si="2"/>
        <v>45617</v>
      </c>
      <c r="AH5" s="267"/>
      <c r="AI5" s="268">
        <f t="shared" si="3"/>
        <v>8560</v>
      </c>
    </row>
    <row r="6">
      <c r="A6" s="74">
        <f t="shared" si="4"/>
        <v>45618</v>
      </c>
      <c r="B6" s="93">
        <f>846.97-28.79-62.4</f>
        <v>755.78</v>
      </c>
      <c r="C6" s="361"/>
      <c r="D6" s="93">
        <f>417.6-120</f>
        <v>297.6</v>
      </c>
      <c r="E6" s="93"/>
      <c r="F6" s="93"/>
      <c r="G6" s="93"/>
      <c r="H6" s="160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374"/>
      <c r="U6" s="93"/>
      <c r="V6" s="93"/>
      <c r="W6" s="93"/>
      <c r="X6" s="93"/>
      <c r="Y6" s="93"/>
      <c r="Z6" s="93"/>
      <c r="AA6" s="327"/>
      <c r="AB6" s="270"/>
      <c r="AC6" s="270"/>
      <c r="AD6" s="7">
        <f t="shared" si="5"/>
        <v>1053.38</v>
      </c>
      <c r="AE6" s="380">
        <v>9495.0</v>
      </c>
      <c r="AF6" s="59">
        <f t="shared" si="1"/>
        <v>0.110940495</v>
      </c>
      <c r="AG6" s="109">
        <f t="shared" si="2"/>
        <v>45618</v>
      </c>
      <c r="AH6" s="267"/>
      <c r="AI6" s="268">
        <f t="shared" si="3"/>
        <v>9495</v>
      </c>
    </row>
    <row r="7">
      <c r="A7" s="74">
        <f t="shared" si="4"/>
        <v>45619</v>
      </c>
      <c r="B7" s="93">
        <f>393.19-34.9-63.12-3.88-47.2-37.22-7.15-104.17</f>
        <v>95.55</v>
      </c>
      <c r="C7" s="361"/>
      <c r="D7" s="93">
        <f>231.91-58.04</f>
        <v>173.87</v>
      </c>
      <c r="E7" s="79"/>
      <c r="F7" s="93"/>
      <c r="G7" s="93"/>
      <c r="H7" s="93"/>
      <c r="I7" s="93"/>
      <c r="J7" s="93"/>
      <c r="K7" s="93"/>
      <c r="L7" s="93"/>
      <c r="M7" s="93"/>
      <c r="N7" s="250">
        <v>162.0</v>
      </c>
      <c r="O7" s="93"/>
      <c r="P7" s="402"/>
      <c r="Q7" s="93"/>
      <c r="R7" s="93"/>
      <c r="S7" s="101"/>
      <c r="T7" s="93"/>
      <c r="U7" s="93"/>
      <c r="V7" s="93"/>
      <c r="W7" s="93"/>
      <c r="X7" s="93"/>
      <c r="Y7" s="101"/>
      <c r="Z7" s="93"/>
      <c r="AA7" s="327"/>
      <c r="AB7" s="270"/>
      <c r="AC7" s="270"/>
      <c r="AD7" s="7">
        <f t="shared" si="5"/>
        <v>431.42</v>
      </c>
      <c r="AE7" s="380">
        <v>9200.0</v>
      </c>
      <c r="AF7" s="59">
        <f t="shared" si="1"/>
        <v>0.04689347826</v>
      </c>
      <c r="AG7" s="109">
        <f t="shared" si="2"/>
        <v>45619</v>
      </c>
      <c r="AH7" s="267"/>
      <c r="AI7" s="268">
        <f t="shared" si="3"/>
        <v>9200</v>
      </c>
    </row>
    <row r="8">
      <c r="A8" s="74">
        <f t="shared" si="4"/>
        <v>45620</v>
      </c>
      <c r="B8" s="93"/>
      <c r="C8" s="374"/>
      <c r="D8" s="374"/>
      <c r="E8" s="374"/>
      <c r="F8" s="374"/>
      <c r="G8" s="112"/>
      <c r="H8" s="93"/>
      <c r="I8" s="374"/>
      <c r="J8" s="402"/>
      <c r="K8" s="93"/>
      <c r="L8" s="112"/>
      <c r="M8" s="112"/>
      <c r="N8" s="93"/>
      <c r="O8" s="93"/>
      <c r="P8" s="93"/>
      <c r="Q8" s="93"/>
      <c r="R8" s="374"/>
      <c r="S8" s="101"/>
      <c r="T8" s="374"/>
      <c r="U8" s="374"/>
      <c r="V8" s="112"/>
      <c r="W8" s="112"/>
      <c r="X8" s="112"/>
      <c r="Y8" s="112"/>
      <c r="Z8" s="112"/>
      <c r="AA8" s="93"/>
      <c r="AB8" s="7"/>
      <c r="AC8" s="7"/>
      <c r="AD8" s="7">
        <f t="shared" si="5"/>
        <v>0</v>
      </c>
      <c r="AE8" s="380">
        <v>0.0</v>
      </c>
      <c r="AF8" s="59" t="str">
        <f t="shared" si="1"/>
        <v>#DIV/0!</v>
      </c>
      <c r="AG8" s="109">
        <f t="shared" si="2"/>
        <v>45620</v>
      </c>
      <c r="AH8" s="267"/>
      <c r="AI8" s="268">
        <f t="shared" si="3"/>
        <v>0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AE9" s="129"/>
      <c r="AG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AE10" s="129"/>
      <c r="AG10" s="106"/>
    </row>
    <row r="11">
      <c r="A11" s="165" t="s">
        <v>194</v>
      </c>
      <c r="B11" s="93">
        <f>66.75+56.16+8.87+71.29+35.04+34.9+63.12+3.88+7.15+28.79</f>
        <v>375.95</v>
      </c>
      <c r="C11" s="93"/>
      <c r="D11" s="93"/>
      <c r="E11" s="167"/>
      <c r="F11" s="168"/>
      <c r="G11" s="168"/>
      <c r="H11" s="166"/>
      <c r="I11" s="166"/>
      <c r="J11" s="93"/>
      <c r="K11" s="168"/>
      <c r="L11" s="93"/>
      <c r="M11" s="93"/>
      <c r="N11" s="93"/>
      <c r="O11" s="168"/>
      <c r="P11" s="168"/>
      <c r="Q11" s="168"/>
      <c r="R11" s="168"/>
      <c r="S11" s="168"/>
      <c r="T11" s="168"/>
      <c r="U11" s="168"/>
      <c r="V11" s="168"/>
      <c r="W11" s="1"/>
      <c r="X11" s="168"/>
      <c r="Y11" s="168"/>
      <c r="Z11" s="1"/>
      <c r="AA11" s="1"/>
      <c r="AB11" s="1"/>
      <c r="AC11" s="1"/>
      <c r="AD11" s="1"/>
      <c r="AE11" s="169"/>
      <c r="AF11" s="1"/>
      <c r="AG11" s="170"/>
    </row>
    <row r="12">
      <c r="A12" s="165" t="s">
        <v>195</v>
      </c>
      <c r="B12" s="93">
        <f>56.2+24.71+25.44+26.04+17.24+18.66+47.2+66.52+72.3+26.86+34.26+370.11+76.3+148.56+76.3+66.68+11.73+52.2+164.8+77.55+75.05+42.37+47.2+37.22+104.17+62.4</f>
        <v>1828.07</v>
      </c>
      <c r="C12" s="93"/>
      <c r="D12" s="93">
        <f>75.8+58.04+120</f>
        <v>253.84</v>
      </c>
      <c r="E12" s="93"/>
      <c r="F12" s="374">
        <f>169+95</f>
        <v>264</v>
      </c>
      <c r="G12" s="93"/>
      <c r="H12" s="93"/>
      <c r="I12" s="93"/>
      <c r="J12" s="93">
        <v>198.0</v>
      </c>
      <c r="K12" s="79"/>
      <c r="L12" s="93"/>
      <c r="M12" s="93"/>
      <c r="N12" s="93">
        <f>72+78</f>
        <v>150</v>
      </c>
      <c r="O12" s="168"/>
      <c r="P12" s="168"/>
      <c r="Q12" s="166"/>
      <c r="R12" s="166"/>
      <c r="S12" s="93"/>
      <c r="T12" s="166"/>
      <c r="U12" s="168"/>
      <c r="V12" s="168"/>
      <c r="W12" s="1"/>
      <c r="X12" s="93"/>
      <c r="Y12" s="168"/>
      <c r="Z12" s="1"/>
      <c r="AA12" s="1"/>
      <c r="AB12" s="267">
        <v>3535.55</v>
      </c>
      <c r="AC12" s="1"/>
      <c r="AD12" s="1"/>
      <c r="AE12" s="171"/>
      <c r="AF12" s="1"/>
      <c r="AG12" s="170"/>
    </row>
    <row r="13" hidden="1">
      <c r="A13" s="172" t="s">
        <v>817</v>
      </c>
      <c r="B13" s="93"/>
      <c r="C13" s="93"/>
      <c r="D13" s="93"/>
      <c r="E13" s="93"/>
      <c r="F13" s="374"/>
      <c r="G13" s="93"/>
      <c r="H13" s="93"/>
      <c r="I13" s="93"/>
      <c r="J13" s="93"/>
      <c r="K13" s="374"/>
      <c r="L13" s="93"/>
      <c r="M13" s="93"/>
      <c r="N13" s="93"/>
      <c r="O13" s="166"/>
      <c r="P13" s="168"/>
      <c r="Q13" s="93"/>
      <c r="R13" s="166"/>
      <c r="S13" s="168"/>
      <c r="T13" s="166"/>
      <c r="U13" s="93"/>
      <c r="V13" s="168"/>
      <c r="W13" s="1"/>
      <c r="X13" s="93"/>
      <c r="Y13" s="168"/>
      <c r="Z13" s="1"/>
      <c r="AA13" s="1"/>
      <c r="AB13" s="1"/>
      <c r="AC13" s="1"/>
      <c r="AD13" s="1"/>
      <c r="AE13" s="171"/>
      <c r="AF13" s="1"/>
      <c r="AG13" s="170"/>
    </row>
    <row r="14">
      <c r="A14" s="165" t="s">
        <v>198</v>
      </c>
      <c r="B14" s="93">
        <v>26.4</v>
      </c>
      <c r="C14" s="348"/>
      <c r="D14" s="93"/>
      <c r="E14" s="168"/>
      <c r="F14" s="166"/>
      <c r="G14" s="166"/>
      <c r="H14" s="168"/>
      <c r="I14" s="168"/>
      <c r="J14" s="93"/>
      <c r="K14" s="168"/>
      <c r="L14" s="168"/>
      <c r="M14" s="168"/>
      <c r="N14" s="93"/>
      <c r="O14" s="168"/>
      <c r="P14" s="168"/>
      <c r="Q14" s="166"/>
      <c r="R14" s="168"/>
      <c r="S14" s="168"/>
      <c r="T14" s="168"/>
      <c r="U14" s="1"/>
      <c r="V14" s="1"/>
      <c r="W14" s="1"/>
      <c r="X14" s="168"/>
      <c r="Y14" s="168"/>
      <c r="Z14" s="1"/>
      <c r="AA14" s="1"/>
      <c r="AB14" s="1"/>
      <c r="AC14" s="1"/>
      <c r="AD14" s="1"/>
      <c r="AE14" s="174"/>
      <c r="AF14" s="1"/>
      <c r="AG14" s="170"/>
    </row>
    <row r="15">
      <c r="A15" s="91"/>
      <c r="B15" s="375"/>
      <c r="C15" s="79"/>
      <c r="D15" s="79"/>
      <c r="E15" s="79"/>
      <c r="F15" s="78"/>
      <c r="G15" s="78"/>
      <c r="H15" s="79"/>
      <c r="I15" s="78"/>
      <c r="J15" s="79"/>
      <c r="K15" s="79"/>
      <c r="L15" s="79"/>
      <c r="M15" s="79"/>
      <c r="N15" s="79"/>
      <c r="O15" s="79"/>
      <c r="R15" s="79"/>
      <c r="S15" s="79"/>
      <c r="T15" s="198"/>
      <c r="U15" s="198"/>
      <c r="Y15" s="79"/>
      <c r="AE15" s="131"/>
      <c r="AG15" s="106"/>
    </row>
    <row r="16">
      <c r="A16" s="91"/>
      <c r="B16" s="375"/>
      <c r="C16" s="79"/>
      <c r="D16" s="78"/>
      <c r="E16" s="78"/>
      <c r="F16" s="205"/>
      <c r="G16" s="199"/>
      <c r="H16" s="192"/>
      <c r="I16" s="198"/>
      <c r="J16" s="201"/>
      <c r="K16" s="199"/>
      <c r="L16" s="199"/>
      <c r="M16" s="200"/>
      <c r="N16" s="202"/>
      <c r="O16" s="198"/>
      <c r="R16" s="198"/>
      <c r="S16" s="79"/>
      <c r="T16" s="198"/>
      <c r="U16" s="198"/>
      <c r="V16" s="198"/>
      <c r="W16" s="198"/>
      <c r="X16" s="199"/>
      <c r="Y16" s="79"/>
      <c r="AE16" s="131"/>
      <c r="AG16" s="106"/>
    </row>
    <row r="17">
      <c r="A17" s="4" t="s">
        <v>22</v>
      </c>
      <c r="B17" s="11">
        <v>7000.0</v>
      </c>
      <c r="C17" s="79"/>
      <c r="D17" s="78"/>
      <c r="E17" s="78"/>
      <c r="F17" s="587"/>
      <c r="G17" s="224"/>
      <c r="H17" s="192"/>
      <c r="I17" s="203"/>
      <c r="J17" s="203"/>
      <c r="K17" s="203"/>
      <c r="L17" s="203"/>
      <c r="M17" s="198"/>
      <c r="N17" s="200"/>
      <c r="O17" s="198"/>
      <c r="P17" s="204"/>
      <c r="R17" s="203"/>
      <c r="S17" s="427"/>
      <c r="T17" s="201"/>
      <c r="U17" s="198"/>
      <c r="V17" s="198"/>
      <c r="W17" s="198"/>
      <c r="X17" s="201"/>
      <c r="Y17" s="79"/>
      <c r="AE17" s="131"/>
      <c r="AG17" s="106"/>
    </row>
    <row r="18">
      <c r="A18" s="4" t="s">
        <v>23</v>
      </c>
      <c r="B18" s="12">
        <f>SUM(B2:AC8)</f>
        <v>11142.81</v>
      </c>
      <c r="C18" s="192"/>
      <c r="D18" s="78"/>
      <c r="E18" s="78"/>
      <c r="F18" s="204"/>
      <c r="G18" s="224"/>
      <c r="H18" s="38"/>
      <c r="I18" s="175"/>
      <c r="J18" s="203"/>
      <c r="K18" s="203"/>
      <c r="L18" s="203"/>
      <c r="M18" s="201"/>
      <c r="N18" s="201"/>
      <c r="O18" s="198"/>
      <c r="P18" s="204"/>
      <c r="R18" s="203"/>
      <c r="S18" s="79"/>
      <c r="T18" s="201"/>
      <c r="U18" s="201"/>
      <c r="V18" s="198"/>
      <c r="W18" s="198"/>
      <c r="X18" s="191"/>
      <c r="Y18" s="79"/>
      <c r="AE18" s="131"/>
      <c r="AG18" s="106"/>
    </row>
    <row r="19">
      <c r="A19" s="4" t="s">
        <v>24</v>
      </c>
      <c r="B19" s="12">
        <f> SUM(B17-B18)</f>
        <v>-4142.81</v>
      </c>
      <c r="C19" s="79"/>
      <c r="D19" s="78"/>
      <c r="E19" s="151"/>
      <c r="F19" s="198"/>
      <c r="G19" s="207"/>
      <c r="H19" s="224"/>
      <c r="I19" s="203"/>
      <c r="J19" s="203"/>
      <c r="K19" s="203"/>
      <c r="L19" s="203"/>
      <c r="M19" s="201"/>
      <c r="N19" s="200"/>
      <c r="O19" s="198"/>
      <c r="P19" s="204"/>
      <c r="R19" s="203"/>
      <c r="S19" s="79"/>
      <c r="T19" s="210"/>
      <c r="U19" s="210"/>
      <c r="V19" s="198"/>
      <c r="W19" s="198"/>
      <c r="X19" s="203"/>
      <c r="Y19" s="79"/>
      <c r="AE19" s="131"/>
      <c r="AG19" s="106"/>
    </row>
    <row r="20">
      <c r="C20" s="79"/>
      <c r="E20" s="588" t="s">
        <v>195</v>
      </c>
      <c r="F20" s="198"/>
      <c r="G20" s="207"/>
      <c r="H20" s="224"/>
      <c r="I20" s="345"/>
      <c r="J20" s="203"/>
      <c r="K20" s="203"/>
      <c r="L20" s="203"/>
      <c r="N20" s="198"/>
      <c r="O20" s="198"/>
      <c r="P20" s="204"/>
      <c r="R20" s="203"/>
      <c r="S20" s="79"/>
      <c r="T20" s="198"/>
      <c r="U20" s="428"/>
      <c r="V20" s="198"/>
      <c r="W20" s="201"/>
      <c r="X20" s="203"/>
      <c r="Y20" s="79"/>
      <c r="AE20" s="131"/>
      <c r="AG20" s="106"/>
    </row>
    <row r="21">
      <c r="A21" s="13" t="s">
        <v>25</v>
      </c>
      <c r="B21" s="14">
        <f>SUM(AE2:AE8)</f>
        <v>34615</v>
      </c>
      <c r="C21" s="79"/>
      <c r="D21" s="13" t="s">
        <v>724</v>
      </c>
      <c r="E21" s="445">
        <f>sum(B12:AB13)+K21</f>
        <v>6229.46</v>
      </c>
      <c r="F21" s="589"/>
      <c r="G21" s="224"/>
      <c r="H21" s="224"/>
      <c r="I21" s="203"/>
      <c r="J21" s="203"/>
      <c r="K21" s="203"/>
      <c r="L21" s="203"/>
      <c r="M21" s="203"/>
      <c r="N21" s="198"/>
      <c r="O21" s="198"/>
      <c r="P21" s="204"/>
      <c r="R21" s="203"/>
      <c r="S21" s="79"/>
      <c r="T21" s="198"/>
      <c r="U21" s="198"/>
      <c r="V21" s="198"/>
      <c r="W21" s="198"/>
      <c r="X21" s="203"/>
      <c r="Y21" s="79"/>
      <c r="AE21" s="181"/>
      <c r="AG21" s="106"/>
    </row>
    <row r="22">
      <c r="A22" s="13" t="s">
        <v>26</v>
      </c>
      <c r="B22" s="15">
        <f>B18/B21</f>
        <v>0.3219069767</v>
      </c>
      <c r="C22" s="79"/>
      <c r="D22" s="13" t="s">
        <v>25</v>
      </c>
      <c r="E22" s="445">
        <f>858+2310+3465+2414+4469+2094</f>
        <v>15610</v>
      </c>
      <c r="F22" s="589"/>
      <c r="G22" s="224"/>
      <c r="H22" s="224"/>
      <c r="I22" s="203"/>
      <c r="J22" s="203"/>
      <c r="K22" s="203"/>
      <c r="L22" s="203"/>
      <c r="M22" s="203"/>
      <c r="N22" s="203"/>
      <c r="O22" s="198"/>
      <c r="P22" s="204"/>
      <c r="R22" s="203"/>
      <c r="S22" s="79"/>
      <c r="T22" s="198"/>
      <c r="U22" s="198"/>
      <c r="V22" s="198"/>
      <c r="W22" s="198"/>
      <c r="X22" s="203"/>
      <c r="Y22" s="79"/>
      <c r="AE22" s="130"/>
      <c r="AG22" s="106"/>
    </row>
    <row r="23">
      <c r="C23" s="79"/>
      <c r="D23" s="448" t="s">
        <v>26</v>
      </c>
      <c r="E23" s="449">
        <f>E21/E22</f>
        <v>0.3990685458</v>
      </c>
      <c r="F23" s="590"/>
      <c r="H23" s="224"/>
      <c r="I23" s="78"/>
      <c r="J23" s="203"/>
      <c r="K23" s="203"/>
      <c r="L23" s="203"/>
      <c r="M23" s="203"/>
      <c r="N23" s="201"/>
      <c r="O23" s="198"/>
      <c r="P23" s="204"/>
      <c r="R23" s="198"/>
      <c r="S23" s="79"/>
      <c r="T23" s="198"/>
      <c r="U23" s="198"/>
      <c r="V23" s="198"/>
      <c r="W23" s="198"/>
      <c r="X23" s="203"/>
      <c r="Y23" s="79"/>
      <c r="AE23" s="182"/>
      <c r="AG23" s="106"/>
    </row>
    <row r="24">
      <c r="C24" s="79"/>
      <c r="D24" s="79"/>
      <c r="E24" s="79"/>
      <c r="F24" s="198"/>
      <c r="G24" s="192"/>
      <c r="H24" s="213"/>
      <c r="I24" s="203"/>
      <c r="J24" s="212"/>
      <c r="K24" s="203"/>
      <c r="L24" s="203"/>
      <c r="M24" s="203"/>
      <c r="N24" s="201"/>
      <c r="O24" s="198"/>
      <c r="P24" s="204"/>
      <c r="R24" s="198"/>
      <c r="S24" s="79"/>
      <c r="T24" s="198"/>
      <c r="U24" s="198"/>
      <c r="V24" s="198"/>
      <c r="W24" s="198"/>
      <c r="X24" s="203"/>
      <c r="Y24" s="79"/>
      <c r="AE24" s="130"/>
      <c r="AG24" s="106"/>
    </row>
    <row r="25">
      <c r="A25" s="16" t="s">
        <v>27</v>
      </c>
      <c r="B25" s="17"/>
      <c r="C25" s="114"/>
      <c r="D25" s="114"/>
      <c r="E25" s="114"/>
      <c r="F25" s="198"/>
      <c r="G25" s="78"/>
      <c r="H25" s="224"/>
      <c r="I25" s="78"/>
      <c r="J25" s="79"/>
      <c r="K25" s="203"/>
      <c r="L25" s="217"/>
      <c r="M25" s="208"/>
      <c r="N25" s="198"/>
      <c r="O25" s="198"/>
      <c r="P25" s="204"/>
      <c r="R25" s="200"/>
      <c r="S25" s="79"/>
      <c r="T25" s="198"/>
      <c r="U25" s="198"/>
      <c r="V25" s="198"/>
      <c r="W25" s="198"/>
      <c r="X25" s="203"/>
      <c r="Y25" s="79"/>
      <c r="AE25" s="130"/>
      <c r="AG25" s="106"/>
    </row>
    <row r="26">
      <c r="A26" s="19" t="s">
        <v>28</v>
      </c>
      <c r="B26" s="20"/>
      <c r="C26" s="116"/>
      <c r="D26" s="116"/>
      <c r="E26" s="116"/>
      <c r="F26" s="198"/>
      <c r="G26" s="212"/>
      <c r="H26" s="213"/>
      <c r="I26" s="224"/>
      <c r="J26" s="78"/>
      <c r="K26" s="203"/>
      <c r="L26" s="203"/>
      <c r="M26" s="209"/>
      <c r="N26" s="201"/>
      <c r="O26" s="198"/>
      <c r="P26" s="204"/>
      <c r="R26" s="198"/>
      <c r="S26" s="79"/>
      <c r="T26" s="198"/>
      <c r="U26" s="198"/>
      <c r="V26" s="198"/>
      <c r="W26" s="198"/>
      <c r="X26" s="203"/>
      <c r="Y26" s="79"/>
      <c r="AE26" s="130"/>
      <c r="AG26" s="106"/>
    </row>
    <row r="27">
      <c r="A27" s="183" t="s">
        <v>29</v>
      </c>
      <c r="B27" s="184" t="s">
        <v>30</v>
      </c>
      <c r="C27" s="183"/>
      <c r="D27" s="183" t="s">
        <v>170</v>
      </c>
      <c r="E27" s="591" t="s">
        <v>171</v>
      </c>
      <c r="F27" s="198"/>
      <c r="G27" s="79"/>
      <c r="H27" s="242"/>
      <c r="I27" s="79"/>
      <c r="J27" s="79"/>
      <c r="K27" s="203"/>
      <c r="L27" s="201"/>
      <c r="M27" s="209"/>
      <c r="N27" s="198"/>
      <c r="O27" s="198"/>
      <c r="P27" s="204"/>
      <c r="R27" s="198"/>
      <c r="S27" s="79"/>
      <c r="T27" s="198"/>
      <c r="U27" s="198"/>
      <c r="V27" s="198"/>
      <c r="W27" s="198"/>
      <c r="X27" s="203"/>
      <c r="Y27" s="79"/>
      <c r="Z27" s="195"/>
      <c r="AE27" s="130"/>
      <c r="AG27" s="106"/>
    </row>
    <row r="28">
      <c r="A28" s="405" t="s">
        <v>818</v>
      </c>
      <c r="B28" s="406">
        <f>+1395.03-697.5+1526+1432</f>
        <v>3655.53</v>
      </c>
      <c r="C28" s="407"/>
      <c r="D28" s="407"/>
      <c r="E28" s="592"/>
      <c r="F28" s="198"/>
      <c r="O28" s="79"/>
      <c r="S28" s="79"/>
      <c r="T28" s="79"/>
      <c r="Y28" s="79"/>
      <c r="AE28" s="130"/>
      <c r="AG28" s="106"/>
    </row>
    <row r="29">
      <c r="A29" s="430" t="s">
        <v>819</v>
      </c>
      <c r="B29" s="431">
        <f>1767.68+1119.06</f>
        <v>2886.74</v>
      </c>
      <c r="C29" s="432"/>
      <c r="D29" s="432"/>
      <c r="E29" s="432"/>
      <c r="F29" s="204"/>
      <c r="O29" s="79"/>
      <c r="S29" s="79"/>
      <c r="T29" s="79"/>
      <c r="Y29" s="79"/>
      <c r="AE29" s="130"/>
      <c r="AG29" s="106"/>
    </row>
    <row r="30">
      <c r="C30" s="79"/>
      <c r="D30" s="79"/>
      <c r="E30" s="79"/>
      <c r="O30" s="79"/>
      <c r="S30" s="79"/>
      <c r="T30" s="79"/>
      <c r="Y30" s="79"/>
      <c r="AE30" s="130"/>
      <c r="AG30" s="106"/>
    </row>
    <row r="31">
      <c r="A31" s="274"/>
      <c r="B31" s="275" t="s">
        <v>315</v>
      </c>
      <c r="F31" s="274"/>
      <c r="G31" s="274"/>
      <c r="H31" s="274"/>
      <c r="I31" s="274"/>
      <c r="J31" s="274"/>
      <c r="K31" s="274"/>
      <c r="L31" s="274"/>
      <c r="M31" s="274"/>
      <c r="N31" s="274"/>
      <c r="O31" s="274"/>
      <c r="P31" s="274"/>
      <c r="Q31" s="274"/>
      <c r="R31" s="274"/>
      <c r="S31" s="274"/>
      <c r="T31" s="274"/>
      <c r="U31" s="274"/>
      <c r="V31" s="274"/>
      <c r="W31" s="274"/>
      <c r="X31" s="274"/>
      <c r="Y31" s="274"/>
      <c r="Z31" s="274"/>
      <c r="AA31" s="274"/>
      <c r="AB31" s="274"/>
      <c r="AC31" s="274"/>
      <c r="AD31" s="274"/>
      <c r="AE31" s="276"/>
      <c r="AF31" s="274"/>
      <c r="AG31" s="277"/>
      <c r="AH31" s="274"/>
      <c r="AI31" s="274"/>
      <c r="AJ31" s="274"/>
    </row>
    <row r="32">
      <c r="A32" s="16" t="s">
        <v>316</v>
      </c>
      <c r="B32" s="17"/>
      <c r="C32" s="114"/>
      <c r="D32" s="114"/>
      <c r="E32" s="115"/>
      <c r="I32" s="455" t="s">
        <v>735</v>
      </c>
      <c r="J32" s="17"/>
      <c r="K32" s="114"/>
      <c r="L32" s="114"/>
      <c r="M32" s="115"/>
      <c r="P32" s="79"/>
      <c r="T32" s="79"/>
      <c r="U32" s="79"/>
      <c r="AE32" s="130"/>
      <c r="AG32" s="106"/>
    </row>
    <row r="33">
      <c r="A33" s="19" t="s">
        <v>317</v>
      </c>
      <c r="B33" s="20"/>
      <c r="C33" s="116"/>
      <c r="D33" s="116"/>
      <c r="E33" s="117"/>
      <c r="I33" s="599" t="s">
        <v>736</v>
      </c>
      <c r="J33" s="20"/>
      <c r="K33" s="116"/>
      <c r="L33" s="116"/>
      <c r="M33" s="117"/>
      <c r="P33" s="79"/>
      <c r="T33" s="79"/>
      <c r="U33" s="79"/>
      <c r="AE33" s="130"/>
      <c r="AG33" s="106"/>
    </row>
    <row r="34">
      <c r="A34" s="278" t="s">
        <v>318</v>
      </c>
      <c r="B34" s="279" t="s">
        <v>319</v>
      </c>
      <c r="C34" s="280" t="s">
        <v>285</v>
      </c>
      <c r="D34" s="280" t="s">
        <v>30</v>
      </c>
      <c r="E34" s="281" t="s">
        <v>320</v>
      </c>
      <c r="F34" s="281" t="s">
        <v>321</v>
      </c>
      <c r="H34" s="600" t="s">
        <v>743</v>
      </c>
      <c r="I34" s="507" t="s">
        <v>318</v>
      </c>
      <c r="J34" s="601" t="s">
        <v>319</v>
      </c>
      <c r="K34" s="507" t="s">
        <v>285</v>
      </c>
      <c r="L34" s="507" t="s">
        <v>737</v>
      </c>
      <c r="M34" s="507" t="s">
        <v>738</v>
      </c>
      <c r="N34" s="507" t="s">
        <v>739</v>
      </c>
      <c r="O34" s="602" t="s">
        <v>740</v>
      </c>
      <c r="P34" s="602" t="s">
        <v>741</v>
      </c>
      <c r="Q34" s="602" t="s">
        <v>320</v>
      </c>
      <c r="R34" s="507"/>
      <c r="S34" s="602" t="s">
        <v>740</v>
      </c>
      <c r="T34" s="602" t="s">
        <v>741</v>
      </c>
      <c r="U34" s="602" t="s">
        <v>320</v>
      </c>
      <c r="V34" s="507"/>
      <c r="W34" s="602" t="s">
        <v>740</v>
      </c>
      <c r="X34" s="602" t="s">
        <v>741</v>
      </c>
      <c r="Y34" s="602" t="s">
        <v>320</v>
      </c>
      <c r="AE34" s="130"/>
      <c r="AG34" s="106"/>
    </row>
    <row r="35">
      <c r="A35" s="304" t="s">
        <v>597</v>
      </c>
      <c r="B35" s="305">
        <v>45525.0</v>
      </c>
      <c r="C35" s="234" t="s">
        <v>325</v>
      </c>
      <c r="D35" s="178">
        <v>1420.83</v>
      </c>
      <c r="E35" s="308"/>
      <c r="F35" s="304" t="s">
        <v>829</v>
      </c>
      <c r="G35" s="32" t="s">
        <v>820</v>
      </c>
      <c r="H35" s="603">
        <f t="shared" ref="H35:H47" si="6">L35+O35+S35+W35</f>
        <v>0</v>
      </c>
      <c r="I35" s="463">
        <v>593114.0</v>
      </c>
      <c r="J35" s="464">
        <v>45595.0</v>
      </c>
      <c r="K35" s="465" t="s">
        <v>437</v>
      </c>
      <c r="L35" s="466">
        <v>6.0</v>
      </c>
      <c r="M35" s="467">
        <v>2575.54</v>
      </c>
      <c r="N35" s="467">
        <f t="shared" ref="N35:N38" si="7">M35/L35</f>
        <v>429.2566667</v>
      </c>
      <c r="O35" s="489">
        <v>-2.0</v>
      </c>
      <c r="P35" s="488">
        <f t="shared" ref="P35:P38" si="8">O35*N35</f>
        <v>-858.5133333</v>
      </c>
      <c r="Q35" s="604">
        <v>45606.0</v>
      </c>
      <c r="R35" s="583"/>
      <c r="S35" s="605">
        <v>-4.0</v>
      </c>
      <c r="T35" s="594">
        <f t="shared" ref="T35:T36" si="9">S35*N35</f>
        <v>-1717.026667</v>
      </c>
      <c r="U35" s="606">
        <v>45616.0</v>
      </c>
      <c r="V35" s="583"/>
      <c r="W35" s="469"/>
      <c r="X35" s="469"/>
      <c r="Y35" s="469"/>
      <c r="Z35" s="483"/>
      <c r="AA35" s="483"/>
      <c r="AB35" s="483"/>
      <c r="AC35" s="483"/>
      <c r="AD35" s="483"/>
      <c r="AE35" s="492"/>
      <c r="AF35" s="483"/>
      <c r="AG35" s="493"/>
      <c r="AH35" s="483"/>
      <c r="AI35" s="483"/>
      <c r="AJ35" s="483"/>
    </row>
    <row r="36">
      <c r="A36" s="304" t="s">
        <v>622</v>
      </c>
      <c r="B36" s="305">
        <v>45533.0</v>
      </c>
      <c r="C36" s="234" t="s">
        <v>325</v>
      </c>
      <c r="D36" s="178">
        <v>1404.36</v>
      </c>
      <c r="E36" s="308"/>
      <c r="F36" s="304" t="s">
        <v>829</v>
      </c>
      <c r="G36" s="32" t="s">
        <v>821</v>
      </c>
      <c r="H36" s="603">
        <f t="shared" si="6"/>
        <v>0</v>
      </c>
      <c r="I36" s="463">
        <v>594673.0</v>
      </c>
      <c r="J36" s="464">
        <v>45602.0</v>
      </c>
      <c r="K36" s="465" t="s">
        <v>437</v>
      </c>
      <c r="L36" s="466">
        <v>6.0</v>
      </c>
      <c r="M36" s="467">
        <v>2561.15</v>
      </c>
      <c r="N36" s="467">
        <f t="shared" si="7"/>
        <v>426.8583333</v>
      </c>
      <c r="O36" s="596">
        <v>-4.0</v>
      </c>
      <c r="P36" s="597">
        <f t="shared" si="8"/>
        <v>-1707.433333</v>
      </c>
      <c r="Q36" s="607">
        <v>45616.0</v>
      </c>
      <c r="R36" s="583"/>
      <c r="S36" s="46">
        <v>-2.0</v>
      </c>
      <c r="T36" s="608">
        <f t="shared" si="9"/>
        <v>-853.7166667</v>
      </c>
      <c r="U36" s="609">
        <v>45620.0</v>
      </c>
      <c r="V36" s="583"/>
      <c r="W36" s="469"/>
      <c r="X36" s="469"/>
      <c r="Y36" s="469"/>
      <c r="AE36" s="130"/>
      <c r="AG36" s="106"/>
    </row>
    <row r="37">
      <c r="A37" s="304" t="s">
        <v>644</v>
      </c>
      <c r="B37" s="305">
        <v>45540.0</v>
      </c>
      <c r="C37" s="234" t="s">
        <v>325</v>
      </c>
      <c r="D37" s="178">
        <v>1415.74</v>
      </c>
      <c r="E37" s="308"/>
      <c r="F37" s="304" t="s">
        <v>829</v>
      </c>
      <c r="H37" s="603">
        <f t="shared" si="6"/>
        <v>3</v>
      </c>
      <c r="I37" s="463">
        <v>595849.0</v>
      </c>
      <c r="J37" s="464">
        <v>45604.0</v>
      </c>
      <c r="K37" s="465" t="s">
        <v>437</v>
      </c>
      <c r="L37" s="466">
        <v>3.0</v>
      </c>
      <c r="M37" s="467">
        <v>1262.58</v>
      </c>
      <c r="N37" s="467">
        <f t="shared" si="7"/>
        <v>420.86</v>
      </c>
      <c r="O37" s="473"/>
      <c r="P37" s="468">
        <f t="shared" si="8"/>
        <v>0</v>
      </c>
      <c r="Q37" s="604"/>
      <c r="R37" s="583"/>
      <c r="S37" s="469"/>
      <c r="T37" s="469"/>
      <c r="U37" s="469"/>
      <c r="V37" s="583"/>
      <c r="W37" s="469"/>
      <c r="X37" s="469"/>
      <c r="Y37" s="469"/>
      <c r="AE37" s="130"/>
      <c r="AG37" s="106"/>
    </row>
    <row r="38">
      <c r="A38" s="304" t="s">
        <v>660</v>
      </c>
      <c r="B38" s="305">
        <v>45547.0</v>
      </c>
      <c r="C38" s="234" t="s">
        <v>325</v>
      </c>
      <c r="D38" s="178">
        <v>1419.33</v>
      </c>
      <c r="E38" s="308"/>
      <c r="F38" s="304" t="s">
        <v>829</v>
      </c>
      <c r="H38" s="603">
        <f t="shared" si="6"/>
        <v>6</v>
      </c>
      <c r="I38" s="463">
        <v>596421.0</v>
      </c>
      <c r="J38" s="464">
        <v>45609.0</v>
      </c>
      <c r="K38" s="465" t="s">
        <v>437</v>
      </c>
      <c r="L38" s="466">
        <v>6.0</v>
      </c>
      <c r="M38" s="467">
        <v>2543.15</v>
      </c>
      <c r="N38" s="467">
        <f t="shared" si="7"/>
        <v>423.8583333</v>
      </c>
      <c r="O38" s="473"/>
      <c r="P38" s="468">
        <f t="shared" si="8"/>
        <v>0</v>
      </c>
      <c r="Q38" s="604"/>
      <c r="R38" s="583"/>
      <c r="S38" s="469"/>
      <c r="T38" s="469"/>
      <c r="U38" s="469"/>
      <c r="V38" s="583"/>
      <c r="W38" s="469"/>
      <c r="X38" s="469"/>
      <c r="Y38" s="469"/>
      <c r="AE38" s="130"/>
      <c r="AG38" s="106"/>
    </row>
    <row r="39">
      <c r="A39" s="304" t="s">
        <v>677</v>
      </c>
      <c r="B39" s="305">
        <v>45554.0</v>
      </c>
      <c r="C39" s="234" t="s">
        <v>325</v>
      </c>
      <c r="D39" s="178">
        <v>1439.4</v>
      </c>
      <c r="E39" s="308"/>
      <c r="F39" s="304" t="s">
        <v>829</v>
      </c>
      <c r="H39" s="603">
        <f t="shared" si="6"/>
        <v>0</v>
      </c>
      <c r="I39" s="463"/>
      <c r="J39" s="464"/>
      <c r="K39" s="465"/>
      <c r="L39" s="466"/>
      <c r="M39" s="467"/>
      <c r="N39" s="467"/>
      <c r="O39" s="473"/>
      <c r="P39" s="468"/>
      <c r="Q39" s="604"/>
      <c r="R39" s="583"/>
      <c r="S39" s="469"/>
      <c r="T39" s="469"/>
      <c r="U39" s="469"/>
      <c r="V39" s="583"/>
      <c r="W39" s="469"/>
      <c r="X39" s="469"/>
      <c r="Y39" s="469"/>
      <c r="AE39" s="130"/>
      <c r="AG39" s="106"/>
    </row>
    <row r="40">
      <c r="A40" s="304" t="s">
        <v>691</v>
      </c>
      <c r="B40" s="305">
        <v>45561.0</v>
      </c>
      <c r="C40" s="234" t="s">
        <v>325</v>
      </c>
      <c r="D40" s="178">
        <v>777.2</v>
      </c>
      <c r="E40" s="308"/>
      <c r="F40" s="304" t="s">
        <v>829</v>
      </c>
      <c r="H40" s="610">
        <f t="shared" si="6"/>
        <v>0</v>
      </c>
      <c r="I40" s="611">
        <v>598254.0</v>
      </c>
      <c r="J40" s="357">
        <v>45616.0</v>
      </c>
      <c r="K40" s="46" t="s">
        <v>437</v>
      </c>
      <c r="L40" s="612">
        <v>6.0</v>
      </c>
      <c r="M40" s="613">
        <v>2686.83</v>
      </c>
      <c r="N40" s="613">
        <f t="shared" ref="N40:N41" si="10">M40/L40</f>
        <v>447.805</v>
      </c>
      <c r="O40" s="614">
        <v>-6.0</v>
      </c>
      <c r="P40" s="613">
        <f t="shared" ref="P40:P41" si="11">O40*N40</f>
        <v>-2686.83</v>
      </c>
      <c r="Q40" s="609">
        <v>45620.0</v>
      </c>
      <c r="R40" s="615"/>
      <c r="S40" s="486"/>
      <c r="T40" s="573"/>
      <c r="U40" s="490"/>
      <c r="V40" s="615"/>
      <c r="W40" s="469"/>
      <c r="X40" s="469"/>
      <c r="Y40" s="469"/>
      <c r="AE40" s="130"/>
      <c r="AG40" s="106"/>
    </row>
    <row r="41">
      <c r="A41" s="304" t="s">
        <v>703</v>
      </c>
      <c r="B41" s="305">
        <v>45568.0</v>
      </c>
      <c r="C41" s="234" t="s">
        <v>325</v>
      </c>
      <c r="D41" s="178">
        <v>1421.43</v>
      </c>
      <c r="E41" s="308"/>
      <c r="F41" s="304" t="s">
        <v>829</v>
      </c>
      <c r="H41" s="610">
        <f t="shared" si="6"/>
        <v>0</v>
      </c>
      <c r="I41" s="611">
        <v>599453.0</v>
      </c>
      <c r="J41" s="357">
        <v>45618.0</v>
      </c>
      <c r="K41" s="46" t="s">
        <v>437</v>
      </c>
      <c r="L41" s="612">
        <v>2.0</v>
      </c>
      <c r="M41" s="613">
        <v>848.72</v>
      </c>
      <c r="N41" s="613">
        <f t="shared" si="10"/>
        <v>424.36</v>
      </c>
      <c r="O41" s="614">
        <v>-2.0</v>
      </c>
      <c r="P41" s="613">
        <f t="shared" si="11"/>
        <v>-848.72</v>
      </c>
      <c r="Q41" s="609">
        <v>45620.0</v>
      </c>
      <c r="R41" s="583"/>
      <c r="S41" s="469"/>
      <c r="T41" s="469"/>
      <c r="U41" s="469"/>
      <c r="V41" s="583"/>
      <c r="W41" s="469"/>
      <c r="X41" s="469"/>
      <c r="Y41" s="469"/>
      <c r="AE41" s="130"/>
      <c r="AG41" s="106"/>
    </row>
    <row r="42">
      <c r="A42" s="304" t="s">
        <v>747</v>
      </c>
      <c r="B42" s="305">
        <v>45574.0</v>
      </c>
      <c r="C42" s="234" t="s">
        <v>325</v>
      </c>
      <c r="D42" s="178">
        <v>1449.58</v>
      </c>
      <c r="E42" s="308"/>
      <c r="F42" s="304" t="s">
        <v>829</v>
      </c>
      <c r="H42" s="603">
        <f t="shared" si="6"/>
        <v>0</v>
      </c>
      <c r="I42" s="484"/>
      <c r="J42" s="485"/>
      <c r="K42" s="486"/>
      <c r="L42" s="487"/>
      <c r="M42" s="488"/>
      <c r="N42" s="488"/>
      <c r="O42" s="489"/>
      <c r="P42" s="489"/>
      <c r="Q42" s="604"/>
      <c r="R42" s="583"/>
      <c r="S42" s="469"/>
      <c r="T42" s="469"/>
      <c r="U42" s="469"/>
      <c r="V42" s="583"/>
      <c r="W42" s="469"/>
      <c r="X42" s="469"/>
      <c r="Y42" s="469"/>
      <c r="AE42" s="130"/>
      <c r="AG42" s="106"/>
    </row>
    <row r="43">
      <c r="A43" s="304" t="s">
        <v>769</v>
      </c>
      <c r="B43" s="305">
        <v>45581.0</v>
      </c>
      <c r="C43" s="234" t="s">
        <v>325</v>
      </c>
      <c r="D43" s="178">
        <v>1436.0</v>
      </c>
      <c r="E43" s="308"/>
      <c r="F43" s="304" t="s">
        <v>829</v>
      </c>
      <c r="H43" s="603">
        <f t="shared" si="6"/>
        <v>0</v>
      </c>
      <c r="I43" s="484"/>
      <c r="J43" s="485"/>
      <c r="K43" s="486"/>
      <c r="L43" s="487"/>
      <c r="M43" s="488"/>
      <c r="N43" s="488"/>
      <c r="O43" s="489"/>
      <c r="P43" s="489"/>
      <c r="Q43" s="604"/>
      <c r="R43" s="583"/>
      <c r="S43" s="469"/>
      <c r="T43" s="469"/>
      <c r="U43" s="469"/>
      <c r="V43" s="583"/>
      <c r="W43" s="469"/>
      <c r="X43" s="469"/>
      <c r="Y43" s="469"/>
      <c r="AE43" s="130"/>
      <c r="AG43" s="106"/>
    </row>
    <row r="44">
      <c r="A44" s="304" t="s">
        <v>786</v>
      </c>
      <c r="B44" s="305">
        <v>45588.0</v>
      </c>
      <c r="C44" s="234" t="s">
        <v>325</v>
      </c>
      <c r="D44" s="178">
        <v>823.39</v>
      </c>
      <c r="E44" s="308"/>
      <c r="F44" s="304" t="s">
        <v>829</v>
      </c>
      <c r="H44" s="603">
        <f t="shared" si="6"/>
        <v>0</v>
      </c>
      <c r="I44" s="484"/>
      <c r="J44" s="485"/>
      <c r="K44" s="486"/>
      <c r="L44" s="487"/>
      <c r="M44" s="488"/>
      <c r="N44" s="488"/>
      <c r="O44" s="489"/>
      <c r="P44" s="489"/>
      <c r="Q44" s="604"/>
      <c r="R44" s="583"/>
      <c r="S44" s="469"/>
      <c r="T44" s="469"/>
      <c r="U44" s="469"/>
      <c r="V44" s="583"/>
      <c r="W44" s="469"/>
      <c r="X44" s="469"/>
      <c r="Y44" s="469"/>
      <c r="AE44" s="130"/>
      <c r="AG44" s="106"/>
    </row>
    <row r="45">
      <c r="A45" s="289" t="s">
        <v>802</v>
      </c>
      <c r="B45" s="290">
        <v>45595.0</v>
      </c>
      <c r="C45" s="173" t="s">
        <v>325</v>
      </c>
      <c r="D45" s="180">
        <v>817.04</v>
      </c>
      <c r="E45" s="336"/>
      <c r="F45" s="173" t="s">
        <v>830</v>
      </c>
      <c r="H45" s="603">
        <f t="shared" si="6"/>
        <v>0</v>
      </c>
      <c r="I45" s="484"/>
      <c r="J45" s="485"/>
      <c r="K45" s="486"/>
      <c r="L45" s="487"/>
      <c r="M45" s="488"/>
      <c r="N45" s="488"/>
      <c r="O45" s="489"/>
      <c r="P45" s="489"/>
      <c r="Q45" s="604"/>
      <c r="R45" s="583"/>
      <c r="S45" s="469"/>
      <c r="T45" s="469"/>
      <c r="U45" s="469"/>
      <c r="V45" s="583"/>
      <c r="W45" s="469"/>
      <c r="X45" s="469"/>
      <c r="Y45" s="469"/>
      <c r="AE45" s="130"/>
      <c r="AG45" s="106"/>
    </row>
    <row r="46">
      <c r="A46" s="289" t="s">
        <v>810</v>
      </c>
      <c r="B46" s="290">
        <v>45602.0</v>
      </c>
      <c r="C46" s="173" t="s">
        <v>325</v>
      </c>
      <c r="D46" s="180">
        <v>817.64</v>
      </c>
      <c r="E46" s="336"/>
      <c r="F46" s="173" t="s">
        <v>830</v>
      </c>
      <c r="H46" s="603">
        <f t="shared" si="6"/>
        <v>0</v>
      </c>
      <c r="I46" s="484"/>
      <c r="J46" s="485"/>
      <c r="K46" s="486"/>
      <c r="L46" s="487"/>
      <c r="M46" s="488"/>
      <c r="N46" s="488"/>
      <c r="O46" s="489"/>
      <c r="P46" s="489"/>
      <c r="Q46" s="604"/>
      <c r="R46" s="583"/>
      <c r="S46" s="469"/>
      <c r="T46" s="469"/>
      <c r="U46" s="469"/>
      <c r="V46" s="583"/>
      <c r="W46" s="469"/>
      <c r="X46" s="469"/>
      <c r="Y46" s="469"/>
      <c r="AE46" s="130"/>
      <c r="AG46" s="106"/>
    </row>
    <row r="47">
      <c r="A47" s="289" t="s">
        <v>824</v>
      </c>
      <c r="B47" s="290">
        <v>45609.0</v>
      </c>
      <c r="C47" s="173" t="s">
        <v>325</v>
      </c>
      <c r="D47" s="180">
        <v>829.32</v>
      </c>
      <c r="E47" s="336"/>
      <c r="F47" s="173" t="s">
        <v>830</v>
      </c>
      <c r="H47" s="603">
        <f t="shared" si="6"/>
        <v>0</v>
      </c>
      <c r="I47" s="473"/>
      <c r="J47" s="464"/>
      <c r="K47" s="465" t="s">
        <v>437</v>
      </c>
      <c r="L47" s="466"/>
      <c r="M47" s="467"/>
      <c r="N47" s="467"/>
      <c r="O47" s="473"/>
      <c r="P47" s="468"/>
      <c r="Q47" s="604"/>
      <c r="R47" s="583"/>
      <c r="S47" s="469"/>
      <c r="T47" s="469"/>
      <c r="U47" s="469"/>
      <c r="V47" s="583"/>
      <c r="W47" s="469"/>
      <c r="X47" s="469"/>
      <c r="Y47" s="469"/>
      <c r="AE47" s="130"/>
      <c r="AG47" s="106"/>
    </row>
    <row r="48">
      <c r="A48" s="289" t="s">
        <v>831</v>
      </c>
      <c r="B48" s="290">
        <v>45616.0</v>
      </c>
      <c r="C48" s="173" t="s">
        <v>325</v>
      </c>
      <c r="D48" s="180">
        <v>860.13</v>
      </c>
      <c r="E48" s="336"/>
      <c r="F48" s="173" t="s">
        <v>830</v>
      </c>
      <c r="P48" s="79"/>
      <c r="T48" s="79"/>
      <c r="U48" s="79"/>
      <c r="AE48" s="130"/>
      <c r="AG48" s="106"/>
    </row>
    <row r="49">
      <c r="A49" s="282" t="s">
        <v>667</v>
      </c>
      <c r="B49" s="283">
        <v>45546.0</v>
      </c>
      <c r="C49" s="166" t="s">
        <v>668</v>
      </c>
      <c r="D49" s="93">
        <f>608.6</f>
        <v>608.6</v>
      </c>
      <c r="E49" s="291" t="s">
        <v>704</v>
      </c>
      <c r="F49" s="6">
        <f>D49/2</f>
        <v>304.3</v>
      </c>
      <c r="H49" s="479" t="s">
        <v>287</v>
      </c>
      <c r="I49" s="32" t="s">
        <v>748</v>
      </c>
      <c r="J49" s="479" t="s">
        <v>749</v>
      </c>
      <c r="K49" s="479" t="s">
        <v>750</v>
      </c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AE49" s="130"/>
      <c r="AG49" s="106"/>
    </row>
    <row r="50">
      <c r="A50" s="282" t="s">
        <v>681</v>
      </c>
      <c r="B50" s="283">
        <v>45555.0</v>
      </c>
      <c r="C50" s="166" t="s">
        <v>664</v>
      </c>
      <c r="D50" s="93">
        <v>785.6</v>
      </c>
      <c r="E50" s="291"/>
      <c r="F50" s="6"/>
      <c r="H50" s="286">
        <v>45578.0</v>
      </c>
      <c r="I50" s="32">
        <v>6.0</v>
      </c>
      <c r="J50" s="480">
        <v>2413.68</v>
      </c>
      <c r="K50" s="479" t="s">
        <v>751</v>
      </c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AE50" s="130"/>
      <c r="AG50" s="106"/>
    </row>
    <row r="51">
      <c r="A51" s="282" t="s">
        <v>709</v>
      </c>
      <c r="B51" s="283">
        <v>45570.0</v>
      </c>
      <c r="C51" s="166" t="s">
        <v>710</v>
      </c>
      <c r="D51" s="93">
        <v>1001.8</v>
      </c>
      <c r="E51" s="291" t="s">
        <v>804</v>
      </c>
      <c r="F51" s="6">
        <f>-250.45-250.45</f>
        <v>-500.9</v>
      </c>
      <c r="H51" s="286">
        <v>45578.0</v>
      </c>
      <c r="I51" s="32">
        <v>3.0</v>
      </c>
      <c r="J51" s="480">
        <v>1202.87</v>
      </c>
      <c r="K51" s="479" t="s">
        <v>752</v>
      </c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AE51" s="130"/>
      <c r="AG51" s="106"/>
    </row>
    <row r="52">
      <c r="A52" s="282" t="s">
        <v>715</v>
      </c>
      <c r="B52" s="283">
        <v>45570.0</v>
      </c>
      <c r="C52" s="166" t="s">
        <v>716</v>
      </c>
      <c r="D52" s="93">
        <f>299.8-5.8</f>
        <v>294</v>
      </c>
      <c r="E52" s="291"/>
      <c r="F52" s="6"/>
      <c r="H52" s="504">
        <v>45585.0</v>
      </c>
      <c r="I52" s="479">
        <v>1.0</v>
      </c>
      <c r="J52" s="505">
        <v>403.0566666666667</v>
      </c>
      <c r="K52" s="479" t="s">
        <v>751</v>
      </c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AE52" s="130"/>
      <c r="AG52" s="106"/>
    </row>
    <row r="53">
      <c r="A53" s="282" t="s">
        <v>753</v>
      </c>
      <c r="B53" s="283">
        <v>45574.0</v>
      </c>
      <c r="C53" s="166" t="s">
        <v>754</v>
      </c>
      <c r="D53" s="93">
        <v>237.1</v>
      </c>
      <c r="E53" s="291"/>
      <c r="F53" s="6"/>
      <c r="H53" s="504">
        <v>45585.0</v>
      </c>
      <c r="I53" s="479">
        <v>6.0</v>
      </c>
      <c r="J53" s="505">
        <v>2399.445</v>
      </c>
      <c r="K53" s="479" t="s">
        <v>751</v>
      </c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AE53" s="130"/>
      <c r="AG53" s="106"/>
    </row>
    <row r="54">
      <c r="A54" s="282" t="s">
        <v>755</v>
      </c>
      <c r="B54" s="283">
        <v>45576.0</v>
      </c>
      <c r="C54" s="166" t="s">
        <v>756</v>
      </c>
      <c r="D54" s="93">
        <v>504.64</v>
      </c>
      <c r="E54" s="291"/>
      <c r="F54" s="6"/>
      <c r="H54" s="504">
        <v>45592.0</v>
      </c>
      <c r="I54" s="479">
        <v>6.0</v>
      </c>
      <c r="J54" s="505">
        <v>2372.855</v>
      </c>
      <c r="K54" s="479" t="s">
        <v>751</v>
      </c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AE54" s="130"/>
      <c r="AG54" s="106"/>
    </row>
    <row r="55">
      <c r="A55" s="282" t="s">
        <v>758</v>
      </c>
      <c r="B55" s="283">
        <v>45561.0</v>
      </c>
      <c r="C55" s="166" t="s">
        <v>536</v>
      </c>
      <c r="D55" s="93">
        <v>1160.0</v>
      </c>
      <c r="E55" s="291" t="s">
        <v>805</v>
      </c>
      <c r="F55" s="6">
        <f>-386.67-386.67</f>
        <v>-773.34</v>
      </c>
      <c r="H55" s="504">
        <v>45599.0</v>
      </c>
      <c r="I55" s="479">
        <v>6.0</v>
      </c>
      <c r="J55" s="505">
        <v>2362.5933333333332</v>
      </c>
      <c r="K55" s="479" t="s">
        <v>751</v>
      </c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AE55" s="130"/>
      <c r="AG55" s="106"/>
    </row>
    <row r="56">
      <c r="A56" s="282" t="s">
        <v>806</v>
      </c>
      <c r="B56" s="283">
        <v>45581.0</v>
      </c>
      <c r="C56" s="166" t="s">
        <v>774</v>
      </c>
      <c r="D56" s="93">
        <f>547-15</f>
        <v>532</v>
      </c>
      <c r="E56" s="503"/>
      <c r="F56" s="478"/>
      <c r="H56" s="504">
        <v>45606.0</v>
      </c>
      <c r="I56" s="479">
        <v>8.0</v>
      </c>
      <c r="J56" s="505">
        <v>3412.1633333333334</v>
      </c>
      <c r="K56" s="479" t="s">
        <v>751</v>
      </c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AE56" s="130"/>
      <c r="AG56" s="106"/>
    </row>
    <row r="57">
      <c r="A57" s="282" t="s">
        <v>775</v>
      </c>
      <c r="B57" s="283">
        <v>45581.0</v>
      </c>
      <c r="C57" s="166" t="s">
        <v>712</v>
      </c>
      <c r="D57" s="93">
        <f>421.43-5</f>
        <v>416.43</v>
      </c>
      <c r="E57" s="291"/>
      <c r="F57" s="6"/>
      <c r="H57" s="584">
        <v>45606.0</v>
      </c>
      <c r="I57" s="585">
        <v>1.0</v>
      </c>
      <c r="J57" s="586">
        <v>393.7266666666667</v>
      </c>
      <c r="K57" s="585" t="s">
        <v>811</v>
      </c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AE57" s="130"/>
      <c r="AG57" s="106"/>
    </row>
    <row r="58">
      <c r="A58" s="282" t="s">
        <v>776</v>
      </c>
      <c r="B58" s="283">
        <v>45583.0</v>
      </c>
      <c r="C58" s="166" t="s">
        <v>777</v>
      </c>
      <c r="D58" s="93">
        <v>91.02</v>
      </c>
      <c r="E58" s="291"/>
      <c r="F58" s="6"/>
      <c r="H58" s="286">
        <v>45613.0</v>
      </c>
      <c r="I58" s="479">
        <v>8.0</v>
      </c>
      <c r="J58" s="505">
        <v>3424.46</v>
      </c>
      <c r="K58" s="479" t="s">
        <v>751</v>
      </c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AE58" s="130"/>
      <c r="AG58" s="106"/>
    </row>
    <row r="59">
      <c r="A59" s="282" t="s">
        <v>778</v>
      </c>
      <c r="B59" s="283">
        <v>45580.0</v>
      </c>
      <c r="C59" s="166" t="s">
        <v>626</v>
      </c>
      <c r="D59" s="93">
        <v>1629.6</v>
      </c>
      <c r="E59" s="337">
        <v>45595.0</v>
      </c>
      <c r="F59" s="6">
        <f>-543.2</f>
        <v>-543.2</v>
      </c>
      <c r="H59" s="286">
        <v>45620.0</v>
      </c>
      <c r="I59" s="479">
        <v>8.0</v>
      </c>
      <c r="J59" s="505">
        <f>sum(M40+M41)</f>
        <v>3535.55</v>
      </c>
      <c r="K59" s="479" t="s">
        <v>751</v>
      </c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AE59" s="130"/>
      <c r="AG59" s="106"/>
    </row>
    <row r="60">
      <c r="A60" s="282" t="s">
        <v>812</v>
      </c>
      <c r="B60" s="283">
        <v>45589.0</v>
      </c>
      <c r="C60" s="166" t="s">
        <v>813</v>
      </c>
      <c r="D60" s="93">
        <v>565.5</v>
      </c>
      <c r="E60" s="291"/>
      <c r="F60" s="6"/>
      <c r="H60" s="286">
        <v>45620.0</v>
      </c>
      <c r="I60" s="479">
        <v>2.0</v>
      </c>
      <c r="J60" s="479">
        <v>853.72</v>
      </c>
      <c r="K60" s="479" t="s">
        <v>832</v>
      </c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AE60" s="130"/>
      <c r="AG60" s="106"/>
    </row>
    <row r="61">
      <c r="A61" s="282" t="s">
        <v>814</v>
      </c>
      <c r="B61" s="283">
        <v>45602.0</v>
      </c>
      <c r="C61" s="166" t="s">
        <v>712</v>
      </c>
      <c r="D61" s="93">
        <f>423.86-15</f>
        <v>408.86</v>
      </c>
      <c r="E61" s="291"/>
      <c r="F61" s="6"/>
      <c r="I61" s="479"/>
      <c r="J61" s="481"/>
      <c r="K61" s="481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AE61" s="130"/>
      <c r="AG61" s="106"/>
    </row>
    <row r="62">
      <c r="A62" s="282" t="s">
        <v>815</v>
      </c>
      <c r="B62" s="283">
        <v>45602.0</v>
      </c>
      <c r="C62" s="166" t="s">
        <v>710</v>
      </c>
      <c r="D62" s="93">
        <v>1767.68</v>
      </c>
      <c r="E62" s="291"/>
      <c r="F62" s="6"/>
      <c r="H62" s="479"/>
      <c r="I62" s="481"/>
      <c r="J62" s="481"/>
      <c r="K62" s="481"/>
      <c r="M62" s="481"/>
      <c r="N62" s="481"/>
      <c r="O62" s="545"/>
      <c r="P62" s="79"/>
      <c r="Q62" s="481"/>
      <c r="R62" s="481"/>
      <c r="S62" s="545"/>
      <c r="T62" s="545"/>
      <c r="U62" s="481"/>
      <c r="V62" s="481"/>
      <c r="W62" s="481"/>
      <c r="X62" s="481"/>
      <c r="Y62" s="545"/>
      <c r="AE62" s="130"/>
      <c r="AG62" s="106"/>
    </row>
    <row r="63">
      <c r="A63" s="282" t="s">
        <v>816</v>
      </c>
      <c r="B63" s="283">
        <v>45593.0</v>
      </c>
      <c r="C63" s="166" t="s">
        <v>408</v>
      </c>
      <c r="D63" s="93">
        <v>446.0</v>
      </c>
      <c r="E63" s="291"/>
      <c r="F63" s="6"/>
      <c r="O63" s="79"/>
      <c r="S63" s="79"/>
      <c r="T63" s="79"/>
      <c r="Y63" s="79"/>
      <c r="AE63" s="130"/>
      <c r="AG63" s="106"/>
    </row>
    <row r="64">
      <c r="A64" s="282" t="s">
        <v>825</v>
      </c>
      <c r="B64" s="283">
        <v>45611.0</v>
      </c>
      <c r="C64" s="166" t="s">
        <v>710</v>
      </c>
      <c r="D64" s="93">
        <v>1114.06</v>
      </c>
      <c r="E64" s="291"/>
      <c r="F64" s="6"/>
      <c r="O64" s="79"/>
      <c r="S64" s="79"/>
      <c r="T64" s="79"/>
      <c r="Y64" s="79"/>
      <c r="AE64" s="130"/>
      <c r="AG64" s="106"/>
    </row>
    <row r="65">
      <c r="A65" s="282" t="s">
        <v>826</v>
      </c>
      <c r="B65" s="283">
        <v>45608.0</v>
      </c>
      <c r="C65" s="166" t="s">
        <v>827</v>
      </c>
      <c r="D65" s="93">
        <v>1432.76</v>
      </c>
      <c r="E65" s="291"/>
      <c r="F65" s="6"/>
      <c r="O65" s="79"/>
      <c r="S65" s="79"/>
      <c r="T65" s="79"/>
      <c r="Y65" s="79"/>
      <c r="AE65" s="130"/>
      <c r="AG65" s="106"/>
    </row>
    <row r="66">
      <c r="O66" s="79"/>
      <c r="S66" s="79"/>
      <c r="T66" s="79"/>
      <c r="Y66" s="79"/>
      <c r="AE66" s="130"/>
      <c r="AG66" s="106"/>
    </row>
    <row r="67">
      <c r="C67" s="79"/>
      <c r="D67" s="79"/>
      <c r="E67" s="79"/>
      <c r="O67" s="79"/>
      <c r="S67" s="79"/>
      <c r="T67" s="79"/>
      <c r="Y67" s="79"/>
      <c r="AE67" s="130"/>
      <c r="AG67" s="106"/>
    </row>
    <row r="68">
      <c r="C68" s="79"/>
      <c r="D68" s="79"/>
      <c r="E68" s="79"/>
      <c r="O68" s="79"/>
      <c r="S68" s="79"/>
      <c r="T68" s="79"/>
      <c r="Y68" s="79"/>
      <c r="AE68" s="130"/>
      <c r="AG68" s="106"/>
    </row>
    <row r="69">
      <c r="C69" s="79"/>
      <c r="D69" s="79"/>
      <c r="E69" s="79"/>
      <c r="O69" s="79"/>
      <c r="S69" s="79"/>
      <c r="T69" s="79"/>
      <c r="Y69" s="79"/>
      <c r="AE69" s="130"/>
      <c r="AG69" s="106"/>
    </row>
    <row r="70">
      <c r="C70" s="79"/>
      <c r="D70" s="79"/>
      <c r="E70" s="79"/>
      <c r="O70" s="79"/>
      <c r="S70" s="79"/>
      <c r="T70" s="79"/>
      <c r="Y70" s="79"/>
      <c r="AE70" s="130"/>
      <c r="AG70" s="106"/>
    </row>
    <row r="71">
      <c r="C71" s="79"/>
      <c r="D71" s="79"/>
      <c r="E71" s="79"/>
      <c r="O71" s="79"/>
      <c r="S71" s="79"/>
      <c r="T71" s="79"/>
      <c r="Y71" s="79"/>
      <c r="AE71" s="130"/>
      <c r="AG71" s="106"/>
    </row>
    <row r="72">
      <c r="C72" s="79"/>
      <c r="D72" s="79"/>
      <c r="E72" s="79"/>
      <c r="O72" s="79"/>
      <c r="S72" s="79"/>
      <c r="T72" s="79"/>
      <c r="Y72" s="79"/>
      <c r="AE72" s="130"/>
      <c r="AG72" s="106"/>
    </row>
    <row r="73">
      <c r="C73" s="79"/>
      <c r="D73" s="79"/>
      <c r="E73" s="79"/>
      <c r="O73" s="79"/>
      <c r="S73" s="79"/>
      <c r="T73" s="79"/>
      <c r="Y73" s="79"/>
      <c r="AE73" s="130"/>
      <c r="AG73" s="106"/>
    </row>
    <row r="74">
      <c r="C74" s="79"/>
      <c r="D74" s="79"/>
      <c r="E74" s="79"/>
      <c r="O74" s="79"/>
      <c r="S74" s="79"/>
      <c r="T74" s="79"/>
      <c r="Y74" s="79"/>
      <c r="AE74" s="130"/>
      <c r="AG74" s="106"/>
    </row>
    <row r="75">
      <c r="C75" s="79"/>
      <c r="D75" s="79"/>
      <c r="E75" s="79"/>
      <c r="O75" s="79"/>
      <c r="S75" s="79"/>
      <c r="T75" s="79"/>
      <c r="Y75" s="79"/>
      <c r="AE75" s="130"/>
      <c r="AG75" s="106"/>
    </row>
    <row r="76">
      <c r="C76" s="79"/>
      <c r="D76" s="79"/>
      <c r="E76" s="79"/>
      <c r="O76" s="79"/>
      <c r="S76" s="79"/>
      <c r="T76" s="79"/>
      <c r="Y76" s="79"/>
      <c r="AE76" s="130"/>
      <c r="AG76" s="106"/>
    </row>
    <row r="77">
      <c r="C77" s="79"/>
      <c r="D77" s="79"/>
      <c r="E77" s="79"/>
      <c r="O77" s="79"/>
      <c r="S77" s="79"/>
      <c r="T77" s="79"/>
      <c r="Y77" s="79"/>
      <c r="AE77" s="130"/>
      <c r="AG77" s="106"/>
    </row>
    <row r="78">
      <c r="C78" s="79"/>
      <c r="D78" s="79"/>
      <c r="E78" s="79"/>
      <c r="O78" s="79"/>
      <c r="S78" s="79"/>
      <c r="T78" s="79"/>
      <c r="Y78" s="79"/>
      <c r="AE78" s="130"/>
      <c r="AG78" s="106"/>
    </row>
    <row r="79">
      <c r="C79" s="79"/>
      <c r="D79" s="79"/>
      <c r="E79" s="79"/>
      <c r="O79" s="79"/>
      <c r="S79" s="79"/>
      <c r="T79" s="79"/>
      <c r="Y79" s="79"/>
      <c r="AE79" s="130"/>
      <c r="AG79" s="106"/>
    </row>
    <row r="80">
      <c r="C80" s="79"/>
      <c r="D80" s="79"/>
      <c r="E80" s="79"/>
      <c r="O80" s="79"/>
      <c r="S80" s="79"/>
      <c r="T80" s="79"/>
      <c r="Y80" s="79"/>
      <c r="AE80" s="130"/>
      <c r="AG80" s="106"/>
    </row>
    <row r="81">
      <c r="C81" s="79"/>
      <c r="D81" s="79"/>
      <c r="E81" s="79"/>
      <c r="O81" s="79"/>
      <c r="S81" s="79"/>
      <c r="T81" s="79"/>
      <c r="Y81" s="79"/>
      <c r="AE81" s="130"/>
      <c r="AG81" s="106"/>
    </row>
    <row r="82">
      <c r="C82" s="79"/>
      <c r="D82" s="79"/>
      <c r="E82" s="79"/>
      <c r="O82" s="79"/>
      <c r="S82" s="79"/>
      <c r="T82" s="79"/>
      <c r="Y82" s="79"/>
      <c r="AE82" s="130"/>
      <c r="AG82" s="106"/>
    </row>
    <row r="83">
      <c r="C83" s="79"/>
      <c r="D83" s="79"/>
      <c r="E83" s="79"/>
      <c r="O83" s="79"/>
      <c r="S83" s="79"/>
      <c r="T83" s="79"/>
      <c r="Y83" s="79"/>
      <c r="AE83" s="130"/>
      <c r="AG83" s="106"/>
    </row>
    <row r="84">
      <c r="C84" s="79"/>
      <c r="D84" s="79"/>
      <c r="E84" s="79"/>
      <c r="O84" s="79"/>
      <c r="S84" s="79"/>
      <c r="T84" s="79"/>
      <c r="Y84" s="79"/>
      <c r="AE84" s="130"/>
      <c r="AG84" s="106"/>
    </row>
    <row r="85">
      <c r="C85" s="79"/>
      <c r="D85" s="79"/>
      <c r="E85" s="79"/>
      <c r="O85" s="79"/>
      <c r="S85" s="79"/>
      <c r="T85" s="79"/>
      <c r="Y85" s="79"/>
      <c r="AE85" s="130"/>
      <c r="AG85" s="106"/>
    </row>
    <row r="86">
      <c r="C86" s="79"/>
      <c r="D86" s="79"/>
      <c r="E86" s="79"/>
      <c r="O86" s="79"/>
      <c r="S86" s="79"/>
      <c r="T86" s="79"/>
      <c r="Y86" s="79"/>
      <c r="AE86" s="130"/>
      <c r="AG86" s="106"/>
    </row>
    <row r="87">
      <c r="C87" s="79"/>
      <c r="D87" s="79"/>
      <c r="E87" s="79"/>
      <c r="O87" s="79"/>
      <c r="S87" s="79"/>
      <c r="T87" s="79"/>
      <c r="Y87" s="79"/>
      <c r="AE87" s="130"/>
      <c r="AG87" s="106"/>
    </row>
    <row r="88">
      <c r="C88" s="79"/>
      <c r="D88" s="79"/>
      <c r="E88" s="79"/>
      <c r="O88" s="79"/>
      <c r="S88" s="79"/>
      <c r="T88" s="79"/>
      <c r="Y88" s="79"/>
      <c r="AE88" s="130"/>
      <c r="AG88" s="106"/>
    </row>
    <row r="89">
      <c r="C89" s="79"/>
      <c r="D89" s="79"/>
      <c r="E89" s="79"/>
      <c r="O89" s="79"/>
      <c r="S89" s="79"/>
      <c r="T89" s="79"/>
      <c r="Y89" s="79"/>
      <c r="AE89" s="130"/>
      <c r="AG89" s="106"/>
    </row>
    <row r="90">
      <c r="C90" s="79"/>
      <c r="D90" s="79"/>
      <c r="E90" s="79"/>
      <c r="O90" s="79"/>
      <c r="S90" s="79"/>
      <c r="T90" s="79"/>
      <c r="Y90" s="79"/>
      <c r="AE90" s="130"/>
      <c r="AG90" s="106"/>
    </row>
    <row r="91">
      <c r="C91" s="79"/>
      <c r="D91" s="79"/>
      <c r="E91" s="79"/>
      <c r="O91" s="79"/>
      <c r="S91" s="79"/>
      <c r="T91" s="79"/>
      <c r="Y91" s="79"/>
      <c r="AE91" s="130"/>
      <c r="AG91" s="106"/>
    </row>
    <row r="92">
      <c r="C92" s="79"/>
      <c r="D92" s="79"/>
      <c r="E92" s="79"/>
      <c r="O92" s="79"/>
      <c r="S92" s="79"/>
      <c r="T92" s="79"/>
      <c r="Y92" s="79"/>
      <c r="AE92" s="130"/>
      <c r="AG92" s="106"/>
    </row>
    <row r="93">
      <c r="C93" s="79"/>
      <c r="D93" s="79"/>
      <c r="E93" s="79"/>
      <c r="O93" s="79"/>
      <c r="S93" s="79"/>
      <c r="T93" s="79"/>
      <c r="Y93" s="79"/>
      <c r="AE93" s="130"/>
      <c r="AG93" s="106"/>
    </row>
    <row r="94">
      <c r="C94" s="79"/>
      <c r="D94" s="79"/>
      <c r="E94" s="79"/>
      <c r="O94" s="79"/>
      <c r="S94" s="79"/>
      <c r="T94" s="79"/>
      <c r="Y94" s="79"/>
      <c r="AE94" s="130"/>
      <c r="AG94" s="106"/>
    </row>
    <row r="95">
      <c r="C95" s="79"/>
      <c r="D95" s="79"/>
      <c r="E95" s="79"/>
      <c r="O95" s="79"/>
      <c r="S95" s="79"/>
      <c r="T95" s="79"/>
      <c r="Y95" s="79"/>
      <c r="AE95" s="130"/>
      <c r="AG95" s="106"/>
    </row>
    <row r="96">
      <c r="C96" s="79"/>
      <c r="D96" s="79"/>
      <c r="E96" s="79"/>
      <c r="O96" s="79"/>
      <c r="S96" s="79"/>
      <c r="T96" s="79"/>
      <c r="Y96" s="79"/>
      <c r="AE96" s="130"/>
      <c r="AG96" s="106"/>
    </row>
    <row r="97">
      <c r="C97" s="79"/>
      <c r="D97" s="79"/>
      <c r="E97" s="79"/>
      <c r="O97" s="79"/>
      <c r="S97" s="79"/>
      <c r="T97" s="79"/>
      <c r="Y97" s="79"/>
      <c r="AE97" s="130"/>
      <c r="AG97" s="106"/>
    </row>
    <row r="98">
      <c r="C98" s="79"/>
      <c r="D98" s="79"/>
      <c r="E98" s="79"/>
      <c r="O98" s="79"/>
      <c r="S98" s="79"/>
      <c r="T98" s="79"/>
      <c r="Y98" s="79"/>
      <c r="AE98" s="130"/>
      <c r="AG98" s="106"/>
    </row>
    <row r="99">
      <c r="C99" s="79"/>
      <c r="D99" s="79"/>
      <c r="E99" s="79"/>
      <c r="O99" s="79"/>
      <c r="S99" s="79"/>
      <c r="T99" s="79"/>
      <c r="Y99" s="79"/>
      <c r="AE99" s="130"/>
      <c r="AG99" s="106"/>
    </row>
    <row r="100">
      <c r="C100" s="79"/>
      <c r="D100" s="79"/>
      <c r="E100" s="79"/>
      <c r="O100" s="79"/>
      <c r="S100" s="79"/>
      <c r="T100" s="79"/>
      <c r="Y100" s="79"/>
      <c r="AE100" s="130"/>
      <c r="AG100" s="106"/>
    </row>
    <row r="101">
      <c r="C101" s="79"/>
      <c r="D101" s="79"/>
      <c r="E101" s="79"/>
      <c r="O101" s="79"/>
      <c r="S101" s="79"/>
      <c r="T101" s="79"/>
      <c r="Y101" s="79"/>
      <c r="AE101" s="130"/>
      <c r="AG101" s="106"/>
    </row>
    <row r="102">
      <c r="C102" s="79"/>
      <c r="D102" s="79"/>
      <c r="E102" s="79"/>
      <c r="O102" s="79"/>
      <c r="S102" s="79"/>
      <c r="T102" s="79"/>
      <c r="Y102" s="79"/>
      <c r="AE102" s="130"/>
      <c r="AG102" s="106"/>
    </row>
    <row r="103">
      <c r="C103" s="79"/>
      <c r="D103" s="79"/>
      <c r="E103" s="79"/>
      <c r="O103" s="79"/>
      <c r="S103" s="79"/>
      <c r="T103" s="79"/>
      <c r="Y103" s="79"/>
      <c r="AE103" s="130"/>
      <c r="AG103" s="106"/>
    </row>
    <row r="104">
      <c r="C104" s="79"/>
      <c r="D104" s="79"/>
      <c r="E104" s="79"/>
      <c r="O104" s="79"/>
      <c r="S104" s="79"/>
      <c r="T104" s="79"/>
      <c r="Y104" s="79"/>
      <c r="AE104" s="130"/>
      <c r="AG104" s="106"/>
    </row>
    <row r="105">
      <c r="C105" s="79"/>
      <c r="D105" s="79"/>
      <c r="E105" s="79"/>
      <c r="O105" s="79"/>
      <c r="S105" s="79"/>
      <c r="T105" s="79"/>
      <c r="Y105" s="79"/>
      <c r="AE105" s="130"/>
      <c r="AG105" s="106"/>
    </row>
    <row r="106">
      <c r="C106" s="79"/>
      <c r="D106" s="79"/>
      <c r="E106" s="79"/>
      <c r="O106" s="79"/>
      <c r="S106" s="79"/>
      <c r="T106" s="79"/>
      <c r="Y106" s="79"/>
      <c r="AE106" s="130"/>
      <c r="AG106" s="106"/>
    </row>
    <row r="107">
      <c r="C107" s="79"/>
      <c r="D107" s="79"/>
      <c r="E107" s="79"/>
      <c r="O107" s="79"/>
      <c r="S107" s="79"/>
      <c r="T107" s="79"/>
      <c r="Y107" s="79"/>
      <c r="AE107" s="130"/>
      <c r="AG107" s="106"/>
    </row>
    <row r="108">
      <c r="C108" s="79"/>
      <c r="D108" s="79"/>
      <c r="E108" s="79"/>
      <c r="O108" s="79"/>
      <c r="S108" s="79"/>
      <c r="T108" s="79"/>
      <c r="Y108" s="79"/>
      <c r="AE108" s="130"/>
      <c r="AG108" s="106"/>
    </row>
    <row r="109">
      <c r="C109" s="79"/>
      <c r="D109" s="79"/>
      <c r="E109" s="79"/>
      <c r="O109" s="79"/>
      <c r="S109" s="79"/>
      <c r="T109" s="79"/>
      <c r="Y109" s="79"/>
      <c r="AE109" s="130"/>
      <c r="AG109" s="106"/>
    </row>
    <row r="110">
      <c r="C110" s="79"/>
      <c r="D110" s="79"/>
      <c r="E110" s="79"/>
      <c r="O110" s="79"/>
      <c r="S110" s="79"/>
      <c r="T110" s="79"/>
      <c r="Y110" s="79"/>
      <c r="AE110" s="130"/>
      <c r="AG110" s="106"/>
    </row>
    <row r="111">
      <c r="C111" s="79"/>
      <c r="D111" s="79"/>
      <c r="E111" s="79"/>
      <c r="O111" s="79"/>
      <c r="S111" s="79"/>
      <c r="T111" s="79"/>
      <c r="Y111" s="79"/>
      <c r="AE111" s="130"/>
      <c r="AG111" s="106"/>
    </row>
    <row r="112">
      <c r="C112" s="79"/>
      <c r="D112" s="79"/>
      <c r="E112" s="79"/>
      <c r="O112" s="79"/>
      <c r="S112" s="79"/>
      <c r="T112" s="79"/>
      <c r="Y112" s="79"/>
      <c r="AE112" s="130"/>
      <c r="AG112" s="106"/>
    </row>
    <row r="113">
      <c r="C113" s="79"/>
      <c r="D113" s="79"/>
      <c r="E113" s="79"/>
      <c r="O113" s="79"/>
      <c r="S113" s="79"/>
      <c r="T113" s="79"/>
      <c r="Y113" s="79"/>
      <c r="AE113" s="130"/>
      <c r="AG113" s="106"/>
    </row>
    <row r="114">
      <c r="C114" s="79"/>
      <c r="D114" s="79"/>
      <c r="E114" s="79"/>
      <c r="O114" s="79"/>
      <c r="S114" s="79"/>
      <c r="T114" s="79"/>
      <c r="Y114" s="79"/>
      <c r="AE114" s="130"/>
      <c r="AG114" s="106"/>
    </row>
    <row r="115">
      <c r="C115" s="79"/>
      <c r="D115" s="79"/>
      <c r="E115" s="79"/>
      <c r="O115" s="79"/>
      <c r="S115" s="79"/>
      <c r="T115" s="79"/>
      <c r="Y115" s="79"/>
      <c r="AE115" s="130"/>
      <c r="AG115" s="106"/>
    </row>
    <row r="116">
      <c r="C116" s="79"/>
      <c r="D116" s="79"/>
      <c r="E116" s="79"/>
      <c r="O116" s="79"/>
      <c r="S116" s="79"/>
      <c r="T116" s="79"/>
      <c r="Y116" s="79"/>
      <c r="AE116" s="130"/>
      <c r="AG116" s="106"/>
    </row>
    <row r="117">
      <c r="C117" s="79"/>
      <c r="D117" s="79"/>
      <c r="E117" s="79"/>
      <c r="O117" s="79"/>
      <c r="S117" s="79"/>
      <c r="T117" s="79"/>
      <c r="Y117" s="79"/>
      <c r="AE117" s="130"/>
      <c r="AG117" s="106"/>
    </row>
    <row r="118">
      <c r="C118" s="79"/>
      <c r="D118" s="79"/>
      <c r="E118" s="79"/>
      <c r="O118" s="79"/>
      <c r="S118" s="79"/>
      <c r="T118" s="79"/>
      <c r="Y118" s="79"/>
      <c r="AE118" s="130"/>
      <c r="AG118" s="106"/>
    </row>
    <row r="119">
      <c r="C119" s="79"/>
      <c r="D119" s="79"/>
      <c r="E119" s="79"/>
      <c r="O119" s="79"/>
      <c r="S119" s="79"/>
      <c r="T119" s="79"/>
      <c r="Y119" s="79"/>
      <c r="AE119" s="130"/>
      <c r="AG119" s="106"/>
    </row>
    <row r="120">
      <c r="C120" s="79"/>
      <c r="D120" s="79"/>
      <c r="E120" s="79"/>
      <c r="O120" s="79"/>
      <c r="S120" s="79"/>
      <c r="T120" s="79"/>
      <c r="Y120" s="79"/>
      <c r="AE120" s="130"/>
      <c r="AG120" s="106"/>
    </row>
    <row r="121">
      <c r="C121" s="79"/>
      <c r="D121" s="79"/>
      <c r="E121" s="79"/>
      <c r="O121" s="79"/>
      <c r="S121" s="79"/>
      <c r="T121" s="79"/>
      <c r="Y121" s="79"/>
      <c r="AE121" s="130"/>
      <c r="AG121" s="106"/>
    </row>
    <row r="122">
      <c r="C122" s="79"/>
      <c r="D122" s="79"/>
      <c r="E122" s="79"/>
      <c r="O122" s="79"/>
      <c r="S122" s="79"/>
      <c r="T122" s="79"/>
      <c r="Y122" s="79"/>
      <c r="AE122" s="130"/>
      <c r="AG122" s="106"/>
    </row>
    <row r="123">
      <c r="C123" s="79"/>
      <c r="D123" s="79"/>
      <c r="E123" s="79"/>
      <c r="O123" s="79"/>
      <c r="S123" s="79"/>
      <c r="T123" s="79"/>
      <c r="Y123" s="79"/>
      <c r="AE123" s="130"/>
      <c r="AG123" s="106"/>
    </row>
    <row r="124">
      <c r="C124" s="79"/>
      <c r="D124" s="79"/>
      <c r="E124" s="79"/>
      <c r="O124" s="79"/>
      <c r="S124" s="79"/>
      <c r="T124" s="79"/>
      <c r="Y124" s="79"/>
      <c r="AE124" s="130"/>
      <c r="AG124" s="106"/>
    </row>
    <row r="125">
      <c r="C125" s="79"/>
      <c r="D125" s="79"/>
      <c r="E125" s="79"/>
      <c r="O125" s="79"/>
      <c r="S125" s="79"/>
      <c r="T125" s="79"/>
      <c r="Y125" s="79"/>
      <c r="AE125" s="130"/>
      <c r="AG125" s="106"/>
    </row>
    <row r="126">
      <c r="C126" s="79"/>
      <c r="D126" s="79"/>
      <c r="E126" s="79"/>
      <c r="O126" s="79"/>
      <c r="S126" s="79"/>
      <c r="T126" s="79"/>
      <c r="Y126" s="79"/>
      <c r="AE126" s="130"/>
      <c r="AG126" s="106"/>
    </row>
    <row r="127">
      <c r="C127" s="79"/>
      <c r="D127" s="79"/>
      <c r="E127" s="79"/>
      <c r="O127" s="79"/>
      <c r="S127" s="79"/>
      <c r="T127" s="79"/>
      <c r="Y127" s="79"/>
      <c r="AE127" s="130"/>
      <c r="AG127" s="106"/>
    </row>
    <row r="128">
      <c r="C128" s="79"/>
      <c r="D128" s="79"/>
      <c r="E128" s="79"/>
      <c r="O128" s="79"/>
      <c r="S128" s="79"/>
      <c r="T128" s="79"/>
      <c r="Y128" s="79"/>
      <c r="AE128" s="130"/>
      <c r="AG128" s="106"/>
    </row>
    <row r="129">
      <c r="C129" s="79"/>
      <c r="D129" s="79"/>
      <c r="E129" s="79"/>
      <c r="O129" s="79"/>
      <c r="S129" s="79"/>
      <c r="T129" s="79"/>
      <c r="Y129" s="79"/>
      <c r="AE129" s="130"/>
      <c r="AG129" s="106"/>
    </row>
    <row r="130">
      <c r="C130" s="79"/>
      <c r="D130" s="79"/>
      <c r="E130" s="79"/>
      <c r="O130" s="79"/>
      <c r="S130" s="79"/>
      <c r="T130" s="79"/>
      <c r="Y130" s="79"/>
      <c r="AE130" s="130"/>
      <c r="AG130" s="106"/>
    </row>
    <row r="131">
      <c r="C131" s="79"/>
      <c r="D131" s="79"/>
      <c r="E131" s="79"/>
      <c r="O131" s="79"/>
      <c r="S131" s="79"/>
      <c r="T131" s="79"/>
      <c r="Y131" s="79"/>
      <c r="AE131" s="130"/>
      <c r="AG131" s="106"/>
    </row>
    <row r="132">
      <c r="C132" s="79"/>
      <c r="D132" s="79"/>
      <c r="E132" s="79"/>
      <c r="O132" s="79"/>
      <c r="S132" s="79"/>
      <c r="T132" s="79"/>
      <c r="Y132" s="79"/>
      <c r="AE132" s="130"/>
      <c r="AG132" s="106"/>
    </row>
    <row r="133">
      <c r="C133" s="79"/>
      <c r="D133" s="79"/>
      <c r="E133" s="79"/>
      <c r="O133" s="79"/>
      <c r="S133" s="79"/>
      <c r="T133" s="79"/>
      <c r="Y133" s="79"/>
      <c r="AE133" s="130"/>
      <c r="AG133" s="106"/>
    </row>
    <row r="134">
      <c r="C134" s="79"/>
      <c r="D134" s="79"/>
      <c r="E134" s="79"/>
      <c r="O134" s="79"/>
      <c r="S134" s="79"/>
      <c r="T134" s="79"/>
      <c r="Y134" s="79"/>
      <c r="AE134" s="130"/>
      <c r="AG134" s="106"/>
    </row>
    <row r="135">
      <c r="C135" s="79"/>
      <c r="D135" s="79"/>
      <c r="E135" s="79"/>
      <c r="O135" s="79"/>
      <c r="S135" s="79"/>
      <c r="T135" s="79"/>
      <c r="Y135" s="79"/>
      <c r="AE135" s="130"/>
      <c r="AG135" s="106"/>
    </row>
    <row r="136">
      <c r="C136" s="79"/>
      <c r="D136" s="79"/>
      <c r="E136" s="79"/>
      <c r="O136" s="79"/>
      <c r="S136" s="79"/>
      <c r="T136" s="79"/>
      <c r="Y136" s="79"/>
      <c r="AE136" s="130"/>
      <c r="AG136" s="106"/>
    </row>
    <row r="137">
      <c r="C137" s="79"/>
      <c r="D137" s="79"/>
      <c r="E137" s="79"/>
      <c r="O137" s="79"/>
      <c r="S137" s="79"/>
      <c r="T137" s="79"/>
      <c r="Y137" s="79"/>
      <c r="AE137" s="130"/>
      <c r="AG137" s="106"/>
    </row>
    <row r="138">
      <c r="C138" s="79"/>
      <c r="D138" s="79"/>
      <c r="E138" s="79"/>
      <c r="O138" s="79"/>
      <c r="S138" s="79"/>
      <c r="T138" s="79"/>
      <c r="Y138" s="79"/>
      <c r="AE138" s="130"/>
      <c r="AG138" s="106"/>
    </row>
    <row r="139">
      <c r="C139" s="79"/>
      <c r="D139" s="79"/>
      <c r="E139" s="79"/>
      <c r="O139" s="79"/>
      <c r="S139" s="79"/>
      <c r="T139" s="79"/>
      <c r="Y139" s="79"/>
      <c r="AE139" s="130"/>
      <c r="AG139" s="106"/>
    </row>
    <row r="140">
      <c r="C140" s="79"/>
      <c r="D140" s="79"/>
      <c r="E140" s="79"/>
      <c r="O140" s="79"/>
      <c r="S140" s="79"/>
      <c r="T140" s="79"/>
      <c r="Y140" s="79"/>
      <c r="AE140" s="130"/>
      <c r="AG140" s="106"/>
    </row>
    <row r="141">
      <c r="C141" s="79"/>
      <c r="D141" s="79"/>
      <c r="E141" s="79"/>
      <c r="O141" s="79"/>
      <c r="S141" s="79"/>
      <c r="T141" s="79"/>
      <c r="Y141" s="79"/>
      <c r="AE141" s="130"/>
      <c r="AG141" s="106"/>
    </row>
    <row r="142">
      <c r="C142" s="79"/>
      <c r="D142" s="79"/>
      <c r="E142" s="79"/>
      <c r="O142" s="79"/>
      <c r="S142" s="79"/>
      <c r="T142" s="79"/>
      <c r="Y142" s="79"/>
      <c r="AE142" s="130"/>
      <c r="AG142" s="106"/>
    </row>
    <row r="143">
      <c r="C143" s="79"/>
      <c r="D143" s="79"/>
      <c r="E143" s="79"/>
      <c r="O143" s="79"/>
      <c r="S143" s="79"/>
      <c r="T143" s="79"/>
      <c r="Y143" s="79"/>
      <c r="AE143" s="130"/>
      <c r="AG143" s="106"/>
    </row>
    <row r="144">
      <c r="C144" s="79"/>
      <c r="D144" s="79"/>
      <c r="E144" s="79"/>
      <c r="O144" s="79"/>
      <c r="S144" s="79"/>
      <c r="T144" s="79"/>
      <c r="Y144" s="79"/>
      <c r="AE144" s="130"/>
      <c r="AG144" s="106"/>
    </row>
    <row r="145">
      <c r="C145" s="79"/>
      <c r="D145" s="79"/>
      <c r="E145" s="79"/>
      <c r="O145" s="79"/>
      <c r="S145" s="79"/>
      <c r="T145" s="79"/>
      <c r="Y145" s="79"/>
      <c r="AE145" s="130"/>
      <c r="AG145" s="106"/>
    </row>
    <row r="146">
      <c r="C146" s="79"/>
      <c r="D146" s="79"/>
      <c r="E146" s="79"/>
      <c r="O146" s="79"/>
      <c r="S146" s="79"/>
      <c r="T146" s="79"/>
      <c r="Y146" s="79"/>
      <c r="AE146" s="130"/>
      <c r="AG146" s="106"/>
    </row>
    <row r="147">
      <c r="C147" s="79"/>
      <c r="D147" s="79"/>
      <c r="E147" s="79"/>
      <c r="O147" s="79"/>
      <c r="S147" s="79"/>
      <c r="T147" s="79"/>
      <c r="Y147" s="79"/>
      <c r="AE147" s="130"/>
      <c r="AG147" s="106"/>
    </row>
    <row r="148">
      <c r="C148" s="79"/>
      <c r="D148" s="79"/>
      <c r="E148" s="79"/>
      <c r="O148" s="79"/>
      <c r="S148" s="79"/>
      <c r="T148" s="79"/>
      <c r="Y148" s="79"/>
      <c r="AE148" s="130"/>
      <c r="AG148" s="106"/>
    </row>
    <row r="149">
      <c r="C149" s="79"/>
      <c r="D149" s="79"/>
      <c r="E149" s="79"/>
      <c r="O149" s="79"/>
      <c r="S149" s="79"/>
      <c r="T149" s="79"/>
      <c r="Y149" s="79"/>
      <c r="AE149" s="130"/>
      <c r="AG149" s="106"/>
    </row>
    <row r="150">
      <c r="C150" s="79"/>
      <c r="D150" s="79"/>
      <c r="E150" s="79"/>
      <c r="O150" s="79"/>
      <c r="S150" s="79"/>
      <c r="T150" s="79"/>
      <c r="Y150" s="79"/>
      <c r="AE150" s="130"/>
      <c r="AG150" s="106"/>
    </row>
    <row r="151">
      <c r="C151" s="79"/>
      <c r="D151" s="79"/>
      <c r="E151" s="79"/>
      <c r="O151" s="79"/>
      <c r="S151" s="79"/>
      <c r="T151" s="79"/>
      <c r="Y151" s="79"/>
      <c r="AE151" s="130"/>
      <c r="AG151" s="106"/>
    </row>
    <row r="152">
      <c r="C152" s="79"/>
      <c r="D152" s="79"/>
      <c r="E152" s="79"/>
      <c r="O152" s="79"/>
      <c r="S152" s="79"/>
      <c r="T152" s="79"/>
      <c r="Y152" s="79"/>
      <c r="AE152" s="130"/>
      <c r="AG152" s="106"/>
    </row>
    <row r="153">
      <c r="C153" s="79"/>
      <c r="D153" s="79"/>
      <c r="E153" s="79"/>
      <c r="O153" s="79"/>
      <c r="S153" s="79"/>
      <c r="T153" s="79"/>
      <c r="Y153" s="79"/>
      <c r="AE153" s="130"/>
      <c r="AG153" s="106"/>
    </row>
    <row r="154">
      <c r="C154" s="79"/>
      <c r="D154" s="79"/>
      <c r="E154" s="79"/>
      <c r="O154" s="79"/>
      <c r="S154" s="79"/>
      <c r="T154" s="79"/>
      <c r="Y154" s="79"/>
      <c r="AE154" s="130"/>
      <c r="AG154" s="106"/>
    </row>
    <row r="155">
      <c r="C155" s="79"/>
      <c r="D155" s="79"/>
      <c r="E155" s="79"/>
      <c r="O155" s="79"/>
      <c r="S155" s="79"/>
      <c r="T155" s="79"/>
      <c r="Y155" s="79"/>
      <c r="AE155" s="130"/>
      <c r="AG155" s="106"/>
    </row>
    <row r="156">
      <c r="C156" s="79"/>
      <c r="D156" s="79"/>
      <c r="E156" s="79"/>
      <c r="O156" s="79"/>
      <c r="S156" s="79"/>
      <c r="T156" s="79"/>
      <c r="Y156" s="79"/>
      <c r="AE156" s="130"/>
      <c r="AG156" s="106"/>
    </row>
    <row r="157">
      <c r="C157" s="79"/>
      <c r="D157" s="79"/>
      <c r="E157" s="79"/>
      <c r="O157" s="79"/>
      <c r="S157" s="79"/>
      <c r="T157" s="79"/>
      <c r="Y157" s="79"/>
      <c r="AE157" s="130"/>
      <c r="AG157" s="106"/>
    </row>
    <row r="158">
      <c r="C158" s="79"/>
      <c r="D158" s="79"/>
      <c r="E158" s="79"/>
      <c r="O158" s="79"/>
      <c r="S158" s="79"/>
      <c r="T158" s="79"/>
      <c r="Y158" s="79"/>
      <c r="AE158" s="130"/>
      <c r="AG158" s="106"/>
    </row>
    <row r="159">
      <c r="C159" s="79"/>
      <c r="D159" s="79"/>
      <c r="E159" s="79"/>
      <c r="O159" s="79"/>
      <c r="S159" s="79"/>
      <c r="T159" s="79"/>
      <c r="Y159" s="79"/>
      <c r="AE159" s="130"/>
      <c r="AG159" s="106"/>
    </row>
    <row r="160">
      <c r="C160" s="79"/>
      <c r="D160" s="79"/>
      <c r="E160" s="79"/>
      <c r="O160" s="79"/>
      <c r="S160" s="79"/>
      <c r="T160" s="79"/>
      <c r="Y160" s="79"/>
      <c r="AE160" s="130"/>
      <c r="AG160" s="106"/>
    </row>
    <row r="161">
      <c r="C161" s="79"/>
      <c r="D161" s="79"/>
      <c r="E161" s="79"/>
      <c r="O161" s="79"/>
      <c r="S161" s="79"/>
      <c r="T161" s="79"/>
      <c r="Y161" s="79"/>
      <c r="AE161" s="130"/>
      <c r="AG161" s="106"/>
    </row>
    <row r="162">
      <c r="C162" s="79"/>
      <c r="D162" s="79"/>
      <c r="E162" s="79"/>
      <c r="O162" s="79"/>
      <c r="S162" s="79"/>
      <c r="T162" s="79"/>
      <c r="Y162" s="79"/>
      <c r="AE162" s="130"/>
      <c r="AG162" s="106"/>
    </row>
    <row r="163">
      <c r="C163" s="79"/>
      <c r="D163" s="79"/>
      <c r="E163" s="79"/>
      <c r="O163" s="79"/>
      <c r="S163" s="79"/>
      <c r="T163" s="79"/>
      <c r="Y163" s="79"/>
      <c r="AE163" s="130"/>
      <c r="AG163" s="106"/>
    </row>
    <row r="164">
      <c r="C164" s="79"/>
      <c r="D164" s="79"/>
      <c r="E164" s="79"/>
      <c r="O164" s="79"/>
      <c r="S164" s="79"/>
      <c r="T164" s="79"/>
      <c r="Y164" s="79"/>
      <c r="AE164" s="130"/>
      <c r="AG164" s="106"/>
    </row>
    <row r="165">
      <c r="C165" s="79"/>
      <c r="D165" s="79"/>
      <c r="E165" s="79"/>
      <c r="O165" s="79"/>
      <c r="S165" s="79"/>
      <c r="T165" s="79"/>
      <c r="Y165" s="79"/>
      <c r="AE165" s="130"/>
      <c r="AG165" s="106"/>
    </row>
    <row r="166">
      <c r="C166" s="79"/>
      <c r="D166" s="79"/>
      <c r="E166" s="79"/>
      <c r="O166" s="79"/>
      <c r="S166" s="79"/>
      <c r="T166" s="79"/>
      <c r="Y166" s="79"/>
      <c r="AE166" s="130"/>
      <c r="AG166" s="106"/>
    </row>
    <row r="167">
      <c r="C167" s="79"/>
      <c r="D167" s="79"/>
      <c r="E167" s="79"/>
      <c r="O167" s="79"/>
      <c r="S167" s="79"/>
      <c r="T167" s="79"/>
      <c r="Y167" s="79"/>
      <c r="AE167" s="130"/>
      <c r="AG167" s="106"/>
    </row>
    <row r="168">
      <c r="C168" s="79"/>
      <c r="D168" s="79"/>
      <c r="E168" s="79"/>
      <c r="O168" s="79"/>
      <c r="S168" s="79"/>
      <c r="T168" s="79"/>
      <c r="Y168" s="79"/>
      <c r="AE168" s="130"/>
      <c r="AG168" s="106"/>
    </row>
    <row r="169">
      <c r="C169" s="79"/>
      <c r="D169" s="79"/>
      <c r="E169" s="79"/>
      <c r="O169" s="79"/>
      <c r="S169" s="79"/>
      <c r="T169" s="79"/>
      <c r="Y169" s="79"/>
      <c r="AE169" s="130"/>
      <c r="AG169" s="106"/>
    </row>
    <row r="170">
      <c r="C170" s="79"/>
      <c r="D170" s="79"/>
      <c r="E170" s="79"/>
      <c r="O170" s="79"/>
      <c r="S170" s="79"/>
      <c r="T170" s="79"/>
      <c r="Y170" s="79"/>
      <c r="AE170" s="130"/>
      <c r="AG170" s="106"/>
    </row>
    <row r="171">
      <c r="C171" s="79"/>
      <c r="D171" s="79"/>
      <c r="E171" s="79"/>
      <c r="O171" s="79"/>
      <c r="S171" s="79"/>
      <c r="T171" s="79"/>
      <c r="Y171" s="79"/>
      <c r="AE171" s="130"/>
      <c r="AG171" s="106"/>
    </row>
    <row r="172">
      <c r="C172" s="79"/>
      <c r="D172" s="79"/>
      <c r="E172" s="79"/>
      <c r="O172" s="79"/>
      <c r="S172" s="79"/>
      <c r="T172" s="79"/>
      <c r="Y172" s="79"/>
      <c r="AE172" s="130"/>
      <c r="AG172" s="106"/>
    </row>
    <row r="173">
      <c r="C173" s="79"/>
      <c r="D173" s="79"/>
      <c r="E173" s="79"/>
      <c r="O173" s="79"/>
      <c r="S173" s="79"/>
      <c r="T173" s="79"/>
      <c r="Y173" s="79"/>
      <c r="AE173" s="130"/>
      <c r="AG173" s="106"/>
    </row>
    <row r="174">
      <c r="C174" s="79"/>
      <c r="D174" s="79"/>
      <c r="E174" s="79"/>
      <c r="O174" s="79"/>
      <c r="S174" s="79"/>
      <c r="T174" s="79"/>
      <c r="Y174" s="79"/>
      <c r="AE174" s="130"/>
      <c r="AG174" s="106"/>
    </row>
    <row r="175">
      <c r="C175" s="79"/>
      <c r="D175" s="79"/>
      <c r="E175" s="79"/>
      <c r="O175" s="79"/>
      <c r="S175" s="79"/>
      <c r="T175" s="79"/>
      <c r="Y175" s="79"/>
      <c r="AE175" s="130"/>
      <c r="AG175" s="106"/>
    </row>
    <row r="176">
      <c r="C176" s="79"/>
      <c r="D176" s="79"/>
      <c r="E176" s="79"/>
      <c r="O176" s="79"/>
      <c r="S176" s="79"/>
      <c r="T176" s="79"/>
      <c r="Y176" s="79"/>
      <c r="AE176" s="130"/>
      <c r="AG176" s="106"/>
    </row>
    <row r="177">
      <c r="C177" s="79"/>
      <c r="D177" s="79"/>
      <c r="E177" s="79"/>
      <c r="O177" s="79"/>
      <c r="S177" s="79"/>
      <c r="T177" s="79"/>
      <c r="Y177" s="79"/>
      <c r="AE177" s="130"/>
      <c r="AG177" s="106"/>
    </row>
    <row r="178">
      <c r="C178" s="79"/>
      <c r="D178" s="79"/>
      <c r="E178" s="79"/>
      <c r="O178" s="79"/>
      <c r="S178" s="79"/>
      <c r="T178" s="79"/>
      <c r="Y178" s="79"/>
      <c r="AE178" s="130"/>
      <c r="AG178" s="106"/>
    </row>
    <row r="179">
      <c r="C179" s="79"/>
      <c r="D179" s="79"/>
      <c r="E179" s="79"/>
      <c r="O179" s="79"/>
      <c r="S179" s="79"/>
      <c r="T179" s="79"/>
      <c r="Y179" s="79"/>
      <c r="AE179" s="130"/>
      <c r="AG179" s="106"/>
    </row>
    <row r="180">
      <c r="C180" s="79"/>
      <c r="D180" s="79"/>
      <c r="E180" s="79"/>
      <c r="O180" s="79"/>
      <c r="S180" s="79"/>
      <c r="T180" s="79"/>
      <c r="Y180" s="79"/>
      <c r="AE180" s="130"/>
      <c r="AG180" s="106"/>
    </row>
    <row r="181">
      <c r="C181" s="79"/>
      <c r="D181" s="79"/>
      <c r="E181" s="79"/>
      <c r="O181" s="79"/>
      <c r="S181" s="79"/>
      <c r="T181" s="79"/>
      <c r="Y181" s="79"/>
      <c r="AE181" s="130"/>
      <c r="AG181" s="106"/>
    </row>
    <row r="182">
      <c r="C182" s="79"/>
      <c r="D182" s="79"/>
      <c r="E182" s="79"/>
      <c r="O182" s="79"/>
      <c r="S182" s="79"/>
      <c r="T182" s="79"/>
      <c r="Y182" s="79"/>
      <c r="AE182" s="130"/>
      <c r="AG182" s="106"/>
    </row>
    <row r="183">
      <c r="C183" s="79"/>
      <c r="D183" s="79"/>
      <c r="E183" s="79"/>
      <c r="O183" s="79"/>
      <c r="S183" s="79"/>
      <c r="T183" s="79"/>
      <c r="Y183" s="79"/>
      <c r="AE183" s="130"/>
      <c r="AG183" s="106"/>
    </row>
    <row r="184">
      <c r="C184" s="79"/>
      <c r="D184" s="79"/>
      <c r="E184" s="79"/>
      <c r="O184" s="79"/>
      <c r="S184" s="79"/>
      <c r="T184" s="79"/>
      <c r="Y184" s="79"/>
      <c r="AE184" s="130"/>
      <c r="AG184" s="106"/>
    </row>
    <row r="185">
      <c r="C185" s="79"/>
      <c r="D185" s="79"/>
      <c r="E185" s="79"/>
      <c r="O185" s="79"/>
      <c r="S185" s="79"/>
      <c r="T185" s="79"/>
      <c r="Y185" s="79"/>
      <c r="AE185" s="130"/>
      <c r="AG185" s="106"/>
    </row>
    <row r="186">
      <c r="C186" s="79"/>
      <c r="D186" s="79"/>
      <c r="E186" s="79"/>
      <c r="O186" s="79"/>
      <c r="S186" s="79"/>
      <c r="T186" s="79"/>
      <c r="Y186" s="79"/>
      <c r="AE186" s="130"/>
      <c r="AG186" s="106"/>
    </row>
    <row r="187">
      <c r="C187" s="79"/>
      <c r="D187" s="79"/>
      <c r="E187" s="79"/>
      <c r="O187" s="79"/>
      <c r="S187" s="79"/>
      <c r="T187" s="79"/>
      <c r="Y187" s="79"/>
      <c r="AE187" s="130"/>
      <c r="AG187" s="106"/>
    </row>
    <row r="188">
      <c r="C188" s="79"/>
      <c r="D188" s="79"/>
      <c r="E188" s="79"/>
      <c r="O188" s="79"/>
      <c r="S188" s="79"/>
      <c r="T188" s="79"/>
      <c r="Y188" s="79"/>
      <c r="AE188" s="130"/>
      <c r="AG188" s="106"/>
    </row>
    <row r="189">
      <c r="C189" s="79"/>
      <c r="D189" s="79"/>
      <c r="E189" s="79"/>
      <c r="O189" s="79"/>
      <c r="S189" s="79"/>
      <c r="T189" s="79"/>
      <c r="Y189" s="79"/>
      <c r="AE189" s="130"/>
      <c r="AG189" s="106"/>
    </row>
    <row r="190">
      <c r="C190" s="79"/>
      <c r="D190" s="79"/>
      <c r="E190" s="79"/>
      <c r="O190" s="79"/>
      <c r="S190" s="79"/>
      <c r="T190" s="79"/>
      <c r="Y190" s="79"/>
      <c r="AE190" s="130"/>
      <c r="AG190" s="106"/>
    </row>
    <row r="191">
      <c r="C191" s="79"/>
      <c r="D191" s="79"/>
      <c r="E191" s="79"/>
      <c r="O191" s="79"/>
      <c r="S191" s="79"/>
      <c r="T191" s="79"/>
      <c r="Y191" s="79"/>
      <c r="AE191" s="130"/>
      <c r="AG191" s="106"/>
    </row>
    <row r="192">
      <c r="C192" s="79"/>
      <c r="D192" s="79"/>
      <c r="E192" s="79"/>
      <c r="O192" s="79"/>
      <c r="S192" s="79"/>
      <c r="T192" s="79"/>
      <c r="Y192" s="79"/>
      <c r="AE192" s="130"/>
      <c r="AG192" s="106"/>
    </row>
    <row r="193">
      <c r="C193" s="79"/>
      <c r="D193" s="79"/>
      <c r="E193" s="79"/>
      <c r="O193" s="79"/>
      <c r="S193" s="79"/>
      <c r="T193" s="79"/>
      <c r="Y193" s="79"/>
      <c r="AE193" s="130"/>
      <c r="AG193" s="106"/>
    </row>
    <row r="194">
      <c r="C194" s="79"/>
      <c r="D194" s="79"/>
      <c r="E194" s="79"/>
      <c r="O194" s="79"/>
      <c r="S194" s="79"/>
      <c r="T194" s="79"/>
      <c r="Y194" s="79"/>
      <c r="AE194" s="130"/>
      <c r="AG194" s="106"/>
    </row>
    <row r="195">
      <c r="C195" s="79"/>
      <c r="D195" s="79"/>
      <c r="E195" s="79"/>
      <c r="O195" s="79"/>
      <c r="S195" s="79"/>
      <c r="T195" s="79"/>
      <c r="Y195" s="79"/>
      <c r="AE195" s="130"/>
      <c r="AG195" s="106"/>
    </row>
    <row r="196">
      <c r="C196" s="79"/>
      <c r="D196" s="79"/>
      <c r="E196" s="79"/>
      <c r="O196" s="79"/>
      <c r="S196" s="79"/>
      <c r="T196" s="79"/>
      <c r="Y196" s="79"/>
      <c r="AE196" s="130"/>
      <c r="AG196" s="106"/>
    </row>
    <row r="197">
      <c r="C197" s="79"/>
      <c r="D197" s="79"/>
      <c r="E197" s="79"/>
      <c r="O197" s="79"/>
      <c r="S197" s="79"/>
      <c r="T197" s="79"/>
      <c r="Y197" s="79"/>
      <c r="AE197" s="130"/>
      <c r="AG197" s="106"/>
    </row>
    <row r="198">
      <c r="C198" s="79"/>
      <c r="D198" s="79"/>
      <c r="E198" s="79"/>
      <c r="O198" s="79"/>
      <c r="S198" s="79"/>
      <c r="T198" s="79"/>
      <c r="Y198" s="79"/>
      <c r="AE198" s="130"/>
      <c r="AG198" s="106"/>
    </row>
    <row r="199">
      <c r="C199" s="79"/>
      <c r="D199" s="79"/>
      <c r="E199" s="79"/>
      <c r="O199" s="79"/>
      <c r="S199" s="79"/>
      <c r="T199" s="79"/>
      <c r="Y199" s="79"/>
      <c r="AE199" s="130"/>
      <c r="AG199" s="106"/>
    </row>
    <row r="200">
      <c r="C200" s="79"/>
      <c r="D200" s="79"/>
      <c r="E200" s="79"/>
      <c r="O200" s="79"/>
      <c r="S200" s="79"/>
      <c r="T200" s="79"/>
      <c r="Y200" s="79"/>
      <c r="AE200" s="130"/>
      <c r="AG200" s="106"/>
    </row>
    <row r="201">
      <c r="C201" s="79"/>
      <c r="D201" s="79"/>
      <c r="E201" s="79"/>
      <c r="O201" s="79"/>
      <c r="S201" s="79"/>
      <c r="T201" s="79"/>
      <c r="Y201" s="79"/>
      <c r="AE201" s="130"/>
      <c r="AG201" s="106"/>
    </row>
    <row r="202">
      <c r="C202" s="79"/>
      <c r="D202" s="79"/>
      <c r="E202" s="79"/>
      <c r="O202" s="79"/>
      <c r="S202" s="79"/>
      <c r="T202" s="79"/>
      <c r="Y202" s="79"/>
      <c r="AE202" s="130"/>
      <c r="AG202" s="106"/>
    </row>
    <row r="203">
      <c r="C203" s="79"/>
      <c r="D203" s="79"/>
      <c r="E203" s="79"/>
      <c r="O203" s="79"/>
      <c r="S203" s="79"/>
      <c r="T203" s="79"/>
      <c r="Y203" s="79"/>
      <c r="AE203" s="130"/>
      <c r="AG203" s="106"/>
    </row>
    <row r="204">
      <c r="C204" s="79"/>
      <c r="D204" s="79"/>
      <c r="E204" s="79"/>
      <c r="O204" s="79"/>
      <c r="S204" s="79"/>
      <c r="T204" s="79"/>
      <c r="Y204" s="79"/>
      <c r="AE204" s="130"/>
      <c r="AG204" s="106"/>
    </row>
    <row r="205">
      <c r="C205" s="79"/>
      <c r="D205" s="79"/>
      <c r="E205" s="79"/>
      <c r="O205" s="79"/>
      <c r="S205" s="79"/>
      <c r="T205" s="79"/>
      <c r="Y205" s="79"/>
      <c r="AE205" s="130"/>
      <c r="AG205" s="106"/>
    </row>
    <row r="206">
      <c r="C206" s="79"/>
      <c r="D206" s="79"/>
      <c r="E206" s="79"/>
      <c r="O206" s="79"/>
      <c r="S206" s="79"/>
      <c r="T206" s="79"/>
      <c r="Y206" s="79"/>
      <c r="AE206" s="130"/>
      <c r="AG206" s="106"/>
    </row>
    <row r="207">
      <c r="C207" s="79"/>
      <c r="D207" s="79"/>
      <c r="E207" s="79"/>
      <c r="O207" s="79"/>
      <c r="S207" s="79"/>
      <c r="T207" s="79"/>
      <c r="Y207" s="79"/>
      <c r="AE207" s="130"/>
      <c r="AG207" s="106"/>
    </row>
    <row r="208">
      <c r="C208" s="79"/>
      <c r="D208" s="79"/>
      <c r="E208" s="79"/>
      <c r="O208" s="79"/>
      <c r="S208" s="79"/>
      <c r="T208" s="79"/>
      <c r="Y208" s="79"/>
      <c r="AE208" s="130"/>
      <c r="AG208" s="106"/>
    </row>
    <row r="209">
      <c r="C209" s="79"/>
      <c r="D209" s="79"/>
      <c r="E209" s="79"/>
      <c r="O209" s="79"/>
      <c r="S209" s="79"/>
      <c r="T209" s="79"/>
      <c r="Y209" s="79"/>
      <c r="AE209" s="130"/>
      <c r="AG209" s="106"/>
    </row>
    <row r="210">
      <c r="C210" s="79"/>
      <c r="D210" s="79"/>
      <c r="E210" s="79"/>
      <c r="O210" s="79"/>
      <c r="S210" s="79"/>
      <c r="T210" s="79"/>
      <c r="Y210" s="79"/>
      <c r="AE210" s="130"/>
      <c r="AG210" s="106"/>
    </row>
    <row r="211">
      <c r="C211" s="79"/>
      <c r="D211" s="79"/>
      <c r="E211" s="79"/>
      <c r="O211" s="79"/>
      <c r="S211" s="79"/>
      <c r="T211" s="79"/>
      <c r="Y211" s="79"/>
      <c r="AE211" s="130"/>
      <c r="AG211" s="106"/>
    </row>
    <row r="212">
      <c r="C212" s="79"/>
      <c r="D212" s="79"/>
      <c r="E212" s="79"/>
      <c r="O212" s="79"/>
      <c r="S212" s="79"/>
      <c r="T212" s="79"/>
      <c r="Y212" s="79"/>
      <c r="AE212" s="130"/>
      <c r="AG212" s="106"/>
    </row>
    <row r="213">
      <c r="C213" s="79"/>
      <c r="D213" s="79"/>
      <c r="E213" s="79"/>
      <c r="O213" s="79"/>
      <c r="S213" s="79"/>
      <c r="T213" s="79"/>
      <c r="Y213" s="79"/>
      <c r="AE213" s="130"/>
      <c r="AG213" s="106"/>
    </row>
    <row r="214">
      <c r="C214" s="79"/>
      <c r="D214" s="79"/>
      <c r="E214" s="79"/>
      <c r="O214" s="79"/>
      <c r="S214" s="79"/>
      <c r="T214" s="79"/>
      <c r="Y214" s="79"/>
      <c r="AE214" s="130"/>
      <c r="AG214" s="106"/>
    </row>
    <row r="215">
      <c r="C215" s="79"/>
      <c r="D215" s="79"/>
      <c r="E215" s="79"/>
      <c r="O215" s="79"/>
      <c r="S215" s="79"/>
      <c r="T215" s="79"/>
      <c r="Y215" s="79"/>
      <c r="AE215" s="130"/>
      <c r="AG215" s="106"/>
    </row>
    <row r="216">
      <c r="C216" s="79"/>
      <c r="D216" s="79"/>
      <c r="E216" s="79"/>
      <c r="O216" s="79"/>
      <c r="S216" s="79"/>
      <c r="T216" s="79"/>
      <c r="Y216" s="79"/>
      <c r="AE216" s="130"/>
      <c r="AG216" s="106"/>
    </row>
    <row r="217">
      <c r="C217" s="79"/>
      <c r="D217" s="79"/>
      <c r="E217" s="79"/>
      <c r="O217" s="79"/>
      <c r="S217" s="79"/>
      <c r="T217" s="79"/>
      <c r="Y217" s="79"/>
      <c r="AE217" s="130"/>
      <c r="AG217" s="106"/>
    </row>
    <row r="218">
      <c r="C218" s="79"/>
      <c r="D218" s="79"/>
      <c r="E218" s="79"/>
      <c r="O218" s="79"/>
      <c r="S218" s="79"/>
      <c r="T218" s="79"/>
      <c r="Y218" s="79"/>
      <c r="AE218" s="130"/>
      <c r="AG218" s="106"/>
    </row>
    <row r="219">
      <c r="C219" s="79"/>
      <c r="D219" s="79"/>
      <c r="E219" s="79"/>
      <c r="O219" s="79"/>
      <c r="S219" s="79"/>
      <c r="T219" s="79"/>
      <c r="Y219" s="79"/>
      <c r="AE219" s="130"/>
      <c r="AG219" s="106"/>
    </row>
    <row r="220">
      <c r="C220" s="79"/>
      <c r="D220" s="79"/>
      <c r="E220" s="79"/>
      <c r="O220" s="79"/>
      <c r="S220" s="79"/>
      <c r="T220" s="79"/>
      <c r="Y220" s="79"/>
      <c r="AE220" s="130"/>
      <c r="AG220" s="106"/>
    </row>
    <row r="221">
      <c r="C221" s="79"/>
      <c r="D221" s="79"/>
      <c r="E221" s="79"/>
      <c r="O221" s="79"/>
      <c r="S221" s="79"/>
      <c r="T221" s="79"/>
      <c r="Y221" s="79"/>
      <c r="AE221" s="130"/>
      <c r="AG221" s="106"/>
    </row>
    <row r="222">
      <c r="C222" s="79"/>
      <c r="D222" s="79"/>
      <c r="E222" s="79"/>
      <c r="O222" s="79"/>
      <c r="S222" s="79"/>
      <c r="T222" s="79"/>
      <c r="Y222" s="79"/>
      <c r="AE222" s="130"/>
      <c r="AG222" s="106"/>
    </row>
    <row r="223">
      <c r="C223" s="79"/>
      <c r="D223" s="79"/>
      <c r="E223" s="79"/>
      <c r="O223" s="79"/>
      <c r="S223" s="79"/>
      <c r="T223" s="79"/>
      <c r="Y223" s="79"/>
      <c r="AE223" s="130"/>
      <c r="AG223" s="106"/>
    </row>
    <row r="224">
      <c r="C224" s="79"/>
      <c r="D224" s="79"/>
      <c r="E224" s="79"/>
      <c r="O224" s="79"/>
      <c r="S224" s="79"/>
      <c r="T224" s="79"/>
      <c r="Y224" s="79"/>
      <c r="AE224" s="130"/>
      <c r="AG224" s="106"/>
    </row>
    <row r="225">
      <c r="C225" s="79"/>
      <c r="D225" s="79"/>
      <c r="E225" s="79"/>
      <c r="O225" s="79"/>
      <c r="S225" s="79"/>
      <c r="T225" s="79"/>
      <c r="Y225" s="79"/>
      <c r="AE225" s="130"/>
      <c r="AG225" s="106"/>
    </row>
    <row r="226">
      <c r="C226" s="79"/>
      <c r="D226" s="79"/>
      <c r="E226" s="79"/>
      <c r="O226" s="79"/>
      <c r="S226" s="79"/>
      <c r="T226" s="79"/>
      <c r="Y226" s="79"/>
      <c r="AE226" s="130"/>
      <c r="AG226" s="106"/>
    </row>
    <row r="227">
      <c r="C227" s="79"/>
      <c r="D227" s="79"/>
      <c r="E227" s="79"/>
      <c r="O227" s="79"/>
      <c r="S227" s="79"/>
      <c r="T227" s="79"/>
      <c r="Y227" s="79"/>
      <c r="AE227" s="130"/>
      <c r="AG227" s="106"/>
    </row>
    <row r="228">
      <c r="C228" s="79"/>
      <c r="D228" s="79"/>
      <c r="E228" s="79"/>
      <c r="O228" s="79"/>
      <c r="S228" s="79"/>
      <c r="T228" s="79"/>
      <c r="Y228" s="79"/>
      <c r="AE228" s="130"/>
      <c r="AG228" s="106"/>
    </row>
    <row r="229">
      <c r="C229" s="79"/>
      <c r="D229" s="79"/>
      <c r="E229" s="79"/>
      <c r="O229" s="79"/>
      <c r="S229" s="79"/>
      <c r="T229" s="79"/>
      <c r="Y229" s="79"/>
      <c r="AE229" s="130"/>
      <c r="AG229" s="106"/>
    </row>
    <row r="230">
      <c r="C230" s="79"/>
      <c r="D230" s="79"/>
      <c r="E230" s="79"/>
      <c r="O230" s="79"/>
      <c r="S230" s="79"/>
      <c r="T230" s="79"/>
      <c r="Y230" s="79"/>
      <c r="AE230" s="130"/>
      <c r="AG230" s="106"/>
    </row>
    <row r="231">
      <c r="C231" s="79"/>
      <c r="D231" s="79"/>
      <c r="E231" s="79"/>
      <c r="O231" s="79"/>
      <c r="S231" s="79"/>
      <c r="T231" s="79"/>
      <c r="Y231" s="79"/>
      <c r="AE231" s="130"/>
      <c r="AG231" s="106"/>
    </row>
    <row r="232">
      <c r="C232" s="79"/>
      <c r="D232" s="79"/>
      <c r="E232" s="79"/>
      <c r="O232" s="79"/>
      <c r="S232" s="79"/>
      <c r="T232" s="79"/>
      <c r="Y232" s="79"/>
      <c r="AE232" s="130"/>
      <c r="AG232" s="106"/>
    </row>
    <row r="233">
      <c r="C233" s="79"/>
      <c r="D233" s="79"/>
      <c r="E233" s="79"/>
      <c r="O233" s="79"/>
      <c r="S233" s="79"/>
      <c r="T233" s="79"/>
      <c r="Y233" s="79"/>
      <c r="AE233" s="130"/>
      <c r="AG233" s="106"/>
    </row>
    <row r="234">
      <c r="C234" s="79"/>
      <c r="D234" s="79"/>
      <c r="E234" s="79"/>
      <c r="O234" s="79"/>
      <c r="S234" s="79"/>
      <c r="T234" s="79"/>
      <c r="Y234" s="79"/>
      <c r="AE234" s="130"/>
      <c r="AG234" s="106"/>
    </row>
    <row r="235">
      <c r="C235" s="79"/>
      <c r="D235" s="79"/>
      <c r="E235" s="79"/>
      <c r="O235" s="79"/>
      <c r="S235" s="79"/>
      <c r="T235" s="79"/>
      <c r="Y235" s="79"/>
      <c r="AE235" s="130"/>
      <c r="AG235" s="106"/>
    </row>
    <row r="236">
      <c r="C236" s="79"/>
      <c r="D236" s="79"/>
      <c r="E236" s="79"/>
      <c r="O236" s="79"/>
      <c r="S236" s="79"/>
      <c r="T236" s="79"/>
      <c r="Y236" s="79"/>
      <c r="AE236" s="130"/>
      <c r="AG236" s="106"/>
    </row>
    <row r="237">
      <c r="C237" s="79"/>
      <c r="D237" s="79"/>
      <c r="E237" s="79"/>
      <c r="O237" s="79"/>
      <c r="S237" s="79"/>
      <c r="T237" s="79"/>
      <c r="Y237" s="79"/>
      <c r="AE237" s="130"/>
      <c r="AG237" s="106"/>
    </row>
    <row r="238">
      <c r="C238" s="79"/>
      <c r="D238" s="79"/>
      <c r="E238" s="79"/>
      <c r="O238" s="79"/>
      <c r="S238" s="79"/>
      <c r="T238" s="79"/>
      <c r="Y238" s="79"/>
      <c r="AE238" s="130"/>
      <c r="AG238" s="106"/>
    </row>
    <row r="239">
      <c r="C239" s="79"/>
      <c r="D239" s="79"/>
      <c r="E239" s="79"/>
      <c r="O239" s="79"/>
      <c r="S239" s="79"/>
      <c r="T239" s="79"/>
      <c r="Y239" s="79"/>
      <c r="AE239" s="130"/>
      <c r="AG239" s="106"/>
    </row>
    <row r="240">
      <c r="C240" s="79"/>
      <c r="D240" s="79"/>
      <c r="E240" s="79"/>
      <c r="O240" s="79"/>
      <c r="S240" s="79"/>
      <c r="T240" s="79"/>
      <c r="Y240" s="79"/>
      <c r="AE240" s="130"/>
      <c r="AG240" s="106"/>
    </row>
    <row r="241">
      <c r="C241" s="79"/>
      <c r="D241" s="79"/>
      <c r="E241" s="79"/>
      <c r="O241" s="79"/>
      <c r="S241" s="79"/>
      <c r="T241" s="79"/>
      <c r="Y241" s="79"/>
      <c r="AE241" s="130"/>
      <c r="AG241" s="106"/>
    </row>
    <row r="242">
      <c r="C242" s="79"/>
      <c r="D242" s="79"/>
      <c r="E242" s="79"/>
      <c r="O242" s="79"/>
      <c r="S242" s="79"/>
      <c r="T242" s="79"/>
      <c r="Y242" s="79"/>
      <c r="AE242" s="130"/>
      <c r="AG242" s="106"/>
    </row>
    <row r="243">
      <c r="C243" s="79"/>
      <c r="D243" s="79"/>
      <c r="E243" s="79"/>
      <c r="O243" s="79"/>
      <c r="S243" s="79"/>
      <c r="T243" s="79"/>
      <c r="Y243" s="79"/>
      <c r="AE243" s="130"/>
      <c r="AG243" s="106"/>
    </row>
    <row r="244">
      <c r="C244" s="79"/>
      <c r="D244" s="79"/>
      <c r="E244" s="79"/>
      <c r="O244" s="79"/>
      <c r="S244" s="79"/>
      <c r="T244" s="79"/>
      <c r="Y244" s="79"/>
      <c r="AE244" s="130"/>
      <c r="AG244" s="106"/>
    </row>
    <row r="245">
      <c r="C245" s="79"/>
      <c r="D245" s="79"/>
      <c r="E245" s="79"/>
      <c r="O245" s="79"/>
      <c r="S245" s="79"/>
      <c r="T245" s="79"/>
      <c r="Y245" s="79"/>
      <c r="AE245" s="130"/>
      <c r="AG245" s="106"/>
    </row>
    <row r="246">
      <c r="C246" s="79"/>
      <c r="D246" s="79"/>
      <c r="E246" s="79"/>
      <c r="O246" s="79"/>
      <c r="S246" s="79"/>
      <c r="T246" s="79"/>
      <c r="Y246" s="79"/>
      <c r="AE246" s="130"/>
      <c r="AG246" s="106"/>
    </row>
    <row r="247">
      <c r="C247" s="79"/>
      <c r="D247" s="79"/>
      <c r="E247" s="79"/>
      <c r="O247" s="79"/>
      <c r="S247" s="79"/>
      <c r="T247" s="79"/>
      <c r="Y247" s="79"/>
      <c r="AE247" s="130"/>
      <c r="AG247" s="106"/>
    </row>
    <row r="248">
      <c r="C248" s="79"/>
      <c r="D248" s="79"/>
      <c r="E248" s="79"/>
      <c r="O248" s="79"/>
      <c r="S248" s="79"/>
      <c r="T248" s="79"/>
      <c r="Y248" s="79"/>
      <c r="AE248" s="130"/>
      <c r="AG248" s="106"/>
    </row>
    <row r="249">
      <c r="C249" s="79"/>
      <c r="D249" s="79"/>
      <c r="E249" s="79"/>
      <c r="O249" s="79"/>
      <c r="S249" s="79"/>
      <c r="T249" s="79"/>
      <c r="Y249" s="79"/>
      <c r="AE249" s="130"/>
      <c r="AG249" s="106"/>
    </row>
    <row r="250">
      <c r="C250" s="79"/>
      <c r="D250" s="79"/>
      <c r="E250" s="79"/>
      <c r="O250" s="79"/>
      <c r="S250" s="79"/>
      <c r="T250" s="79"/>
      <c r="Y250" s="79"/>
      <c r="AE250" s="130"/>
      <c r="AG250" s="106"/>
    </row>
    <row r="251">
      <c r="C251" s="79"/>
      <c r="D251" s="79"/>
      <c r="E251" s="79"/>
      <c r="O251" s="79"/>
      <c r="S251" s="79"/>
      <c r="T251" s="79"/>
      <c r="Y251" s="79"/>
      <c r="AE251" s="130"/>
      <c r="AG251" s="106"/>
    </row>
    <row r="252">
      <c r="C252" s="79"/>
      <c r="D252" s="79"/>
      <c r="E252" s="79"/>
      <c r="O252" s="79"/>
      <c r="S252" s="79"/>
      <c r="T252" s="79"/>
      <c r="Y252" s="79"/>
      <c r="AE252" s="130"/>
      <c r="AG252" s="106"/>
    </row>
    <row r="253">
      <c r="C253" s="79"/>
      <c r="D253" s="79"/>
      <c r="E253" s="79"/>
      <c r="O253" s="79"/>
      <c r="S253" s="79"/>
      <c r="T253" s="79"/>
      <c r="Y253" s="79"/>
      <c r="AE253" s="130"/>
      <c r="AG253" s="106"/>
    </row>
    <row r="254">
      <c r="C254" s="79"/>
      <c r="D254" s="79"/>
      <c r="E254" s="79"/>
      <c r="O254" s="79"/>
      <c r="S254" s="79"/>
      <c r="T254" s="79"/>
      <c r="Y254" s="79"/>
      <c r="AE254" s="130"/>
      <c r="AG254" s="106"/>
    </row>
    <row r="255">
      <c r="C255" s="79"/>
      <c r="D255" s="79"/>
      <c r="E255" s="79"/>
      <c r="O255" s="79"/>
      <c r="S255" s="79"/>
      <c r="T255" s="79"/>
      <c r="Y255" s="79"/>
      <c r="AE255" s="130"/>
      <c r="AG255" s="106"/>
    </row>
    <row r="256">
      <c r="C256" s="79"/>
      <c r="D256" s="79"/>
      <c r="E256" s="79"/>
      <c r="O256" s="79"/>
      <c r="S256" s="79"/>
      <c r="T256" s="79"/>
      <c r="Y256" s="79"/>
      <c r="AE256" s="130"/>
      <c r="AG256" s="106"/>
    </row>
    <row r="257">
      <c r="C257" s="79"/>
      <c r="D257" s="79"/>
      <c r="E257" s="79"/>
      <c r="O257" s="79"/>
      <c r="S257" s="79"/>
      <c r="T257" s="79"/>
      <c r="Y257" s="79"/>
      <c r="AE257" s="130"/>
      <c r="AG257" s="106"/>
    </row>
    <row r="258">
      <c r="C258" s="79"/>
      <c r="D258" s="79"/>
      <c r="E258" s="79"/>
      <c r="O258" s="79"/>
      <c r="S258" s="79"/>
      <c r="T258" s="79"/>
      <c r="Y258" s="79"/>
      <c r="AE258" s="130"/>
      <c r="AG258" s="106"/>
    </row>
    <row r="259">
      <c r="C259" s="79"/>
      <c r="D259" s="79"/>
      <c r="E259" s="79"/>
      <c r="O259" s="79"/>
      <c r="S259" s="79"/>
      <c r="T259" s="79"/>
      <c r="Y259" s="79"/>
      <c r="AE259" s="130"/>
      <c r="AG259" s="106"/>
    </row>
    <row r="260">
      <c r="C260" s="79"/>
      <c r="D260" s="79"/>
      <c r="E260" s="79"/>
      <c r="O260" s="79"/>
      <c r="S260" s="79"/>
      <c r="T260" s="79"/>
      <c r="Y260" s="79"/>
      <c r="AE260" s="130"/>
      <c r="AG260" s="106"/>
    </row>
    <row r="261">
      <c r="C261" s="79"/>
      <c r="D261" s="79"/>
      <c r="E261" s="79"/>
      <c r="O261" s="79"/>
      <c r="S261" s="79"/>
      <c r="T261" s="79"/>
      <c r="Y261" s="79"/>
      <c r="AE261" s="130"/>
      <c r="AG261" s="106"/>
    </row>
    <row r="262">
      <c r="C262" s="79"/>
      <c r="D262" s="79"/>
      <c r="E262" s="79"/>
      <c r="O262" s="79"/>
      <c r="S262" s="79"/>
      <c r="T262" s="79"/>
      <c r="Y262" s="79"/>
      <c r="AE262" s="130"/>
      <c r="AG262" s="106"/>
    </row>
    <row r="263">
      <c r="C263" s="79"/>
      <c r="D263" s="79"/>
      <c r="E263" s="79"/>
      <c r="O263" s="79"/>
      <c r="S263" s="79"/>
      <c r="T263" s="79"/>
      <c r="Y263" s="79"/>
      <c r="AE263" s="130"/>
      <c r="AG263" s="106"/>
    </row>
    <row r="264">
      <c r="C264" s="79"/>
      <c r="D264" s="79"/>
      <c r="E264" s="79"/>
      <c r="O264" s="79"/>
      <c r="S264" s="79"/>
      <c r="T264" s="79"/>
      <c r="Y264" s="79"/>
      <c r="AE264" s="130"/>
      <c r="AG264" s="106"/>
    </row>
    <row r="265">
      <c r="C265" s="79"/>
      <c r="D265" s="79"/>
      <c r="E265" s="79"/>
      <c r="O265" s="79"/>
      <c r="S265" s="79"/>
      <c r="T265" s="79"/>
      <c r="Y265" s="79"/>
      <c r="AE265" s="130"/>
      <c r="AG265" s="106"/>
    </row>
    <row r="266">
      <c r="C266" s="79"/>
      <c r="D266" s="79"/>
      <c r="E266" s="79"/>
      <c r="O266" s="79"/>
      <c r="S266" s="79"/>
      <c r="T266" s="79"/>
      <c r="Y266" s="79"/>
      <c r="AE266" s="130"/>
      <c r="AG266" s="106"/>
    </row>
    <row r="267">
      <c r="C267" s="79"/>
      <c r="D267" s="79"/>
      <c r="E267" s="79"/>
      <c r="O267" s="79"/>
      <c r="S267" s="79"/>
      <c r="T267" s="79"/>
      <c r="Y267" s="79"/>
      <c r="AE267" s="130"/>
      <c r="AG267" s="106"/>
    </row>
    <row r="268">
      <c r="C268" s="79"/>
      <c r="D268" s="79"/>
      <c r="E268" s="79"/>
      <c r="O268" s="79"/>
      <c r="S268" s="79"/>
      <c r="T268" s="79"/>
      <c r="Y268" s="79"/>
      <c r="AE268" s="130"/>
      <c r="AG268" s="106"/>
    </row>
    <row r="269">
      <c r="C269" s="79"/>
      <c r="D269" s="79"/>
      <c r="E269" s="79"/>
      <c r="O269" s="79"/>
      <c r="S269" s="79"/>
      <c r="T269" s="79"/>
      <c r="Y269" s="79"/>
      <c r="AE269" s="130"/>
      <c r="AG269" s="106"/>
    </row>
    <row r="270">
      <c r="C270" s="79"/>
      <c r="D270" s="79"/>
      <c r="E270" s="79"/>
      <c r="O270" s="79"/>
      <c r="S270" s="79"/>
      <c r="T270" s="79"/>
      <c r="Y270" s="79"/>
      <c r="AE270" s="130"/>
      <c r="AG270" s="106"/>
    </row>
    <row r="271">
      <c r="C271" s="79"/>
      <c r="D271" s="79"/>
      <c r="E271" s="79"/>
      <c r="O271" s="79"/>
      <c r="S271" s="79"/>
      <c r="T271" s="79"/>
      <c r="Y271" s="79"/>
      <c r="AE271" s="130"/>
      <c r="AG271" s="106"/>
    </row>
    <row r="272">
      <c r="C272" s="79"/>
      <c r="D272" s="79"/>
      <c r="E272" s="79"/>
      <c r="O272" s="79"/>
      <c r="S272" s="79"/>
      <c r="T272" s="79"/>
      <c r="Y272" s="79"/>
      <c r="AE272" s="130"/>
      <c r="AG272" s="106"/>
    </row>
    <row r="273">
      <c r="C273" s="79"/>
      <c r="D273" s="79"/>
      <c r="E273" s="79"/>
      <c r="O273" s="79"/>
      <c r="S273" s="79"/>
      <c r="T273" s="79"/>
      <c r="Y273" s="79"/>
      <c r="AE273" s="130"/>
      <c r="AG273" s="106"/>
    </row>
    <row r="274">
      <c r="C274" s="79"/>
      <c r="D274" s="79"/>
      <c r="E274" s="79"/>
      <c r="O274" s="79"/>
      <c r="S274" s="79"/>
      <c r="T274" s="79"/>
      <c r="Y274" s="79"/>
      <c r="AE274" s="130"/>
      <c r="AG274" s="106"/>
    </row>
    <row r="275">
      <c r="C275" s="79"/>
      <c r="D275" s="79"/>
      <c r="E275" s="79"/>
      <c r="O275" s="79"/>
      <c r="S275" s="79"/>
      <c r="T275" s="79"/>
      <c r="Y275" s="79"/>
      <c r="AE275" s="130"/>
      <c r="AG275" s="106"/>
    </row>
    <row r="276">
      <c r="C276" s="79"/>
      <c r="D276" s="79"/>
      <c r="E276" s="79"/>
      <c r="O276" s="79"/>
      <c r="S276" s="79"/>
      <c r="T276" s="79"/>
      <c r="Y276" s="79"/>
      <c r="AE276" s="130"/>
      <c r="AG276" s="106"/>
    </row>
    <row r="277">
      <c r="C277" s="79"/>
      <c r="D277" s="79"/>
      <c r="E277" s="79"/>
      <c r="O277" s="79"/>
      <c r="S277" s="79"/>
      <c r="T277" s="79"/>
      <c r="Y277" s="79"/>
      <c r="AE277" s="130"/>
      <c r="AG277" s="106"/>
    </row>
    <row r="278">
      <c r="C278" s="79"/>
      <c r="D278" s="79"/>
      <c r="E278" s="79"/>
      <c r="O278" s="79"/>
      <c r="S278" s="79"/>
      <c r="T278" s="79"/>
      <c r="Y278" s="79"/>
      <c r="AE278" s="130"/>
      <c r="AG278" s="106"/>
    </row>
    <row r="279">
      <c r="C279" s="79"/>
      <c r="D279" s="79"/>
      <c r="E279" s="79"/>
      <c r="O279" s="79"/>
      <c r="S279" s="79"/>
      <c r="T279" s="79"/>
      <c r="Y279" s="79"/>
      <c r="AE279" s="130"/>
      <c r="AG279" s="106"/>
    </row>
    <row r="280">
      <c r="C280" s="79"/>
      <c r="D280" s="79"/>
      <c r="E280" s="79"/>
      <c r="O280" s="79"/>
      <c r="S280" s="79"/>
      <c r="T280" s="79"/>
      <c r="Y280" s="79"/>
      <c r="AE280" s="130"/>
      <c r="AG280" s="106"/>
    </row>
    <row r="281">
      <c r="C281" s="79"/>
      <c r="D281" s="79"/>
      <c r="E281" s="79"/>
      <c r="O281" s="79"/>
      <c r="S281" s="79"/>
      <c r="T281" s="79"/>
      <c r="Y281" s="79"/>
      <c r="AE281" s="130"/>
      <c r="AG281" s="106"/>
    </row>
    <row r="282">
      <c r="C282" s="79"/>
      <c r="D282" s="79"/>
      <c r="E282" s="79"/>
      <c r="O282" s="79"/>
      <c r="S282" s="79"/>
      <c r="T282" s="79"/>
      <c r="Y282" s="79"/>
      <c r="AE282" s="130"/>
      <c r="AG282" s="106"/>
    </row>
    <row r="283">
      <c r="C283" s="79"/>
      <c r="D283" s="79"/>
      <c r="E283" s="79"/>
      <c r="O283" s="79"/>
      <c r="S283" s="79"/>
      <c r="T283" s="79"/>
      <c r="Y283" s="79"/>
      <c r="AE283" s="130"/>
      <c r="AG283" s="106"/>
    </row>
    <row r="284">
      <c r="C284" s="79"/>
      <c r="D284" s="79"/>
      <c r="E284" s="79"/>
      <c r="O284" s="79"/>
      <c r="S284" s="79"/>
      <c r="T284" s="79"/>
      <c r="Y284" s="79"/>
      <c r="AE284" s="130"/>
      <c r="AG284" s="106"/>
    </row>
    <row r="285">
      <c r="C285" s="79"/>
      <c r="D285" s="79"/>
      <c r="E285" s="79"/>
      <c r="O285" s="79"/>
      <c r="S285" s="79"/>
      <c r="T285" s="79"/>
      <c r="Y285" s="79"/>
      <c r="AE285" s="130"/>
      <c r="AG285" s="106"/>
    </row>
    <row r="286">
      <c r="C286" s="79"/>
      <c r="D286" s="79"/>
      <c r="E286" s="79"/>
      <c r="O286" s="79"/>
      <c r="S286" s="79"/>
      <c r="T286" s="79"/>
      <c r="Y286" s="79"/>
      <c r="AE286" s="130"/>
      <c r="AG286" s="106"/>
    </row>
    <row r="287">
      <c r="C287" s="79"/>
      <c r="D287" s="79"/>
      <c r="E287" s="79"/>
      <c r="O287" s="79"/>
      <c r="S287" s="79"/>
      <c r="T287" s="79"/>
      <c r="Y287" s="79"/>
      <c r="AE287" s="130"/>
      <c r="AG287" s="106"/>
    </row>
    <row r="288">
      <c r="C288" s="79"/>
      <c r="D288" s="79"/>
      <c r="E288" s="79"/>
      <c r="O288" s="79"/>
      <c r="S288" s="79"/>
      <c r="T288" s="79"/>
      <c r="Y288" s="79"/>
      <c r="AE288" s="130"/>
      <c r="AG288" s="106"/>
    </row>
    <row r="289">
      <c r="C289" s="79"/>
      <c r="D289" s="79"/>
      <c r="E289" s="79"/>
      <c r="O289" s="79"/>
      <c r="S289" s="79"/>
      <c r="T289" s="79"/>
      <c r="Y289" s="79"/>
      <c r="AE289" s="130"/>
      <c r="AG289" s="106"/>
    </row>
    <row r="290">
      <c r="C290" s="79"/>
      <c r="D290" s="79"/>
      <c r="E290" s="79"/>
      <c r="O290" s="79"/>
      <c r="S290" s="79"/>
      <c r="T290" s="79"/>
      <c r="Y290" s="79"/>
      <c r="AE290" s="130"/>
      <c r="AG290" s="106"/>
    </row>
    <row r="291">
      <c r="C291" s="79"/>
      <c r="D291" s="79"/>
      <c r="E291" s="79"/>
      <c r="O291" s="79"/>
      <c r="S291" s="79"/>
      <c r="T291" s="79"/>
      <c r="Y291" s="79"/>
      <c r="AE291" s="130"/>
      <c r="AG291" s="106"/>
    </row>
    <row r="292">
      <c r="C292" s="79"/>
      <c r="D292" s="79"/>
      <c r="E292" s="79"/>
      <c r="O292" s="79"/>
      <c r="S292" s="79"/>
      <c r="T292" s="79"/>
      <c r="Y292" s="79"/>
      <c r="AE292" s="130"/>
      <c r="AG292" s="106"/>
    </row>
    <row r="293">
      <c r="C293" s="79"/>
      <c r="D293" s="79"/>
      <c r="E293" s="79"/>
      <c r="O293" s="79"/>
      <c r="S293" s="79"/>
      <c r="T293" s="79"/>
      <c r="Y293" s="79"/>
      <c r="AE293" s="130"/>
      <c r="AG293" s="106"/>
    </row>
    <row r="294">
      <c r="C294" s="79"/>
      <c r="D294" s="79"/>
      <c r="E294" s="79"/>
      <c r="O294" s="79"/>
      <c r="S294" s="79"/>
      <c r="T294" s="79"/>
      <c r="Y294" s="79"/>
      <c r="AE294" s="130"/>
      <c r="AG294" s="106"/>
    </row>
    <row r="295">
      <c r="C295" s="79"/>
      <c r="D295" s="79"/>
      <c r="E295" s="79"/>
      <c r="O295" s="79"/>
      <c r="S295" s="79"/>
      <c r="T295" s="79"/>
      <c r="Y295" s="79"/>
      <c r="AE295" s="130"/>
      <c r="AG295" s="106"/>
    </row>
    <row r="296">
      <c r="C296" s="79"/>
      <c r="D296" s="79"/>
      <c r="E296" s="79"/>
      <c r="O296" s="79"/>
      <c r="S296" s="79"/>
      <c r="T296" s="79"/>
      <c r="Y296" s="79"/>
      <c r="AE296" s="130"/>
      <c r="AG296" s="106"/>
    </row>
    <row r="297">
      <c r="C297" s="79"/>
      <c r="D297" s="79"/>
      <c r="E297" s="79"/>
      <c r="O297" s="79"/>
      <c r="S297" s="79"/>
      <c r="T297" s="79"/>
      <c r="Y297" s="79"/>
      <c r="AE297" s="130"/>
      <c r="AG297" s="106"/>
    </row>
    <row r="298">
      <c r="C298" s="79"/>
      <c r="D298" s="79"/>
      <c r="E298" s="79"/>
      <c r="O298" s="79"/>
      <c r="S298" s="79"/>
      <c r="T298" s="79"/>
      <c r="Y298" s="79"/>
      <c r="AE298" s="130"/>
      <c r="AG298" s="106"/>
    </row>
    <row r="299">
      <c r="C299" s="79"/>
      <c r="D299" s="79"/>
      <c r="E299" s="79"/>
      <c r="O299" s="79"/>
      <c r="S299" s="79"/>
      <c r="T299" s="79"/>
      <c r="Y299" s="79"/>
      <c r="AE299" s="130"/>
      <c r="AG299" s="106"/>
    </row>
    <row r="300">
      <c r="C300" s="79"/>
      <c r="D300" s="79"/>
      <c r="E300" s="79"/>
      <c r="O300" s="79"/>
      <c r="S300" s="79"/>
      <c r="T300" s="79"/>
      <c r="Y300" s="79"/>
      <c r="AE300" s="130"/>
      <c r="AG300" s="106"/>
    </row>
    <row r="301">
      <c r="C301" s="79"/>
      <c r="D301" s="79"/>
      <c r="E301" s="79"/>
      <c r="O301" s="79"/>
      <c r="S301" s="79"/>
      <c r="T301" s="79"/>
      <c r="Y301" s="79"/>
      <c r="AE301" s="130"/>
      <c r="AG301" s="106"/>
    </row>
    <row r="302">
      <c r="C302" s="79"/>
      <c r="D302" s="79"/>
      <c r="E302" s="79"/>
      <c r="O302" s="79"/>
      <c r="S302" s="79"/>
      <c r="T302" s="79"/>
      <c r="Y302" s="79"/>
      <c r="AE302" s="130"/>
      <c r="AG302" s="106"/>
    </row>
    <row r="303">
      <c r="C303" s="79"/>
      <c r="D303" s="79"/>
      <c r="E303" s="79"/>
      <c r="O303" s="79"/>
      <c r="S303" s="79"/>
      <c r="T303" s="79"/>
      <c r="Y303" s="79"/>
      <c r="AE303" s="130"/>
      <c r="AG303" s="106"/>
    </row>
    <row r="304">
      <c r="C304" s="79"/>
      <c r="D304" s="79"/>
      <c r="E304" s="79"/>
      <c r="O304" s="79"/>
      <c r="S304" s="79"/>
      <c r="T304" s="79"/>
      <c r="Y304" s="79"/>
      <c r="AE304" s="130"/>
      <c r="AG304" s="106"/>
    </row>
    <row r="305">
      <c r="C305" s="79"/>
      <c r="D305" s="79"/>
      <c r="E305" s="79"/>
      <c r="O305" s="79"/>
      <c r="S305" s="79"/>
      <c r="T305" s="79"/>
      <c r="Y305" s="79"/>
      <c r="AE305" s="130"/>
      <c r="AG305" s="106"/>
    </row>
    <row r="306">
      <c r="C306" s="79"/>
      <c r="D306" s="79"/>
      <c r="E306" s="79"/>
      <c r="O306" s="79"/>
      <c r="S306" s="79"/>
      <c r="T306" s="79"/>
      <c r="Y306" s="79"/>
      <c r="AE306" s="130"/>
      <c r="AG306" s="106"/>
    </row>
    <row r="307">
      <c r="C307" s="79"/>
      <c r="D307" s="79"/>
      <c r="E307" s="79"/>
      <c r="O307" s="79"/>
      <c r="S307" s="79"/>
      <c r="T307" s="79"/>
      <c r="Y307" s="79"/>
      <c r="AE307" s="130"/>
      <c r="AG307" s="106"/>
    </row>
    <row r="308">
      <c r="C308" s="79"/>
      <c r="D308" s="79"/>
      <c r="E308" s="79"/>
      <c r="O308" s="79"/>
      <c r="S308" s="79"/>
      <c r="T308" s="79"/>
      <c r="Y308" s="79"/>
      <c r="AE308" s="130"/>
      <c r="AG308" s="106"/>
    </row>
    <row r="309">
      <c r="C309" s="79"/>
      <c r="D309" s="79"/>
      <c r="E309" s="79"/>
      <c r="O309" s="79"/>
      <c r="S309" s="79"/>
      <c r="T309" s="79"/>
      <c r="Y309" s="79"/>
      <c r="AE309" s="130"/>
      <c r="AG309" s="106"/>
    </row>
    <row r="310">
      <c r="C310" s="79"/>
      <c r="D310" s="79"/>
      <c r="E310" s="79"/>
      <c r="O310" s="79"/>
      <c r="S310" s="79"/>
      <c r="T310" s="79"/>
      <c r="Y310" s="79"/>
      <c r="AE310" s="130"/>
      <c r="AG310" s="106"/>
    </row>
    <row r="311">
      <c r="C311" s="79"/>
      <c r="D311" s="79"/>
      <c r="E311" s="79"/>
      <c r="O311" s="79"/>
      <c r="S311" s="79"/>
      <c r="T311" s="79"/>
      <c r="Y311" s="79"/>
      <c r="AE311" s="130"/>
      <c r="AG311" s="106"/>
    </row>
    <row r="312">
      <c r="C312" s="79"/>
      <c r="D312" s="79"/>
      <c r="E312" s="79"/>
      <c r="O312" s="79"/>
      <c r="S312" s="79"/>
      <c r="T312" s="79"/>
      <c r="Y312" s="79"/>
      <c r="AE312" s="130"/>
      <c r="AG312" s="106"/>
    </row>
    <row r="313">
      <c r="C313" s="79"/>
      <c r="D313" s="79"/>
      <c r="E313" s="79"/>
      <c r="O313" s="79"/>
      <c r="S313" s="79"/>
      <c r="T313" s="79"/>
      <c r="Y313" s="79"/>
      <c r="AE313" s="130"/>
      <c r="AG313" s="106"/>
    </row>
    <row r="314">
      <c r="C314" s="79"/>
      <c r="D314" s="79"/>
      <c r="E314" s="79"/>
      <c r="O314" s="79"/>
      <c r="S314" s="79"/>
      <c r="T314" s="79"/>
      <c r="Y314" s="79"/>
      <c r="AE314" s="130"/>
      <c r="AG314" s="106"/>
    </row>
    <row r="315">
      <c r="C315" s="79"/>
      <c r="D315" s="79"/>
      <c r="E315" s="79"/>
      <c r="O315" s="79"/>
      <c r="S315" s="79"/>
      <c r="T315" s="79"/>
      <c r="Y315" s="79"/>
      <c r="AE315" s="130"/>
      <c r="AG315" s="106"/>
    </row>
    <row r="316">
      <c r="C316" s="79"/>
      <c r="D316" s="79"/>
      <c r="E316" s="79"/>
      <c r="O316" s="79"/>
      <c r="S316" s="79"/>
      <c r="T316" s="79"/>
      <c r="Y316" s="79"/>
      <c r="AE316" s="130"/>
      <c r="AG316" s="106"/>
    </row>
    <row r="317">
      <c r="C317" s="79"/>
      <c r="D317" s="79"/>
      <c r="E317" s="79"/>
      <c r="O317" s="79"/>
      <c r="S317" s="79"/>
      <c r="T317" s="79"/>
      <c r="Y317" s="79"/>
      <c r="AE317" s="130"/>
      <c r="AG317" s="106"/>
    </row>
    <row r="318">
      <c r="C318" s="79"/>
      <c r="D318" s="79"/>
      <c r="E318" s="79"/>
      <c r="O318" s="79"/>
      <c r="S318" s="79"/>
      <c r="T318" s="79"/>
      <c r="Y318" s="79"/>
      <c r="AE318" s="130"/>
      <c r="AG318" s="106"/>
    </row>
    <row r="319">
      <c r="C319" s="79"/>
      <c r="D319" s="79"/>
      <c r="E319" s="79"/>
      <c r="O319" s="79"/>
      <c r="S319" s="79"/>
      <c r="T319" s="79"/>
      <c r="Y319" s="79"/>
      <c r="AE319" s="130"/>
      <c r="AG319" s="106"/>
    </row>
    <row r="320">
      <c r="C320" s="79"/>
      <c r="D320" s="79"/>
      <c r="E320" s="79"/>
      <c r="O320" s="79"/>
      <c r="S320" s="79"/>
      <c r="T320" s="79"/>
      <c r="Y320" s="79"/>
      <c r="AE320" s="130"/>
      <c r="AG320" s="106"/>
    </row>
    <row r="321">
      <c r="C321" s="79"/>
      <c r="D321" s="79"/>
      <c r="E321" s="79"/>
      <c r="O321" s="79"/>
      <c r="S321" s="79"/>
      <c r="T321" s="79"/>
      <c r="Y321" s="79"/>
      <c r="AE321" s="130"/>
      <c r="AG321" s="106"/>
    </row>
    <row r="322">
      <c r="C322" s="79"/>
      <c r="D322" s="79"/>
      <c r="E322" s="79"/>
      <c r="O322" s="79"/>
      <c r="S322" s="79"/>
      <c r="T322" s="79"/>
      <c r="Y322" s="79"/>
      <c r="AE322" s="130"/>
      <c r="AG322" s="106"/>
    </row>
    <row r="323">
      <c r="C323" s="79"/>
      <c r="D323" s="79"/>
      <c r="E323" s="79"/>
      <c r="O323" s="79"/>
      <c r="S323" s="79"/>
      <c r="T323" s="79"/>
      <c r="Y323" s="79"/>
      <c r="AE323" s="130"/>
      <c r="AG323" s="106"/>
    </row>
    <row r="324">
      <c r="C324" s="79"/>
      <c r="D324" s="79"/>
      <c r="E324" s="79"/>
      <c r="O324" s="79"/>
      <c r="S324" s="79"/>
      <c r="T324" s="79"/>
      <c r="Y324" s="79"/>
      <c r="AE324" s="130"/>
      <c r="AG324" s="106"/>
    </row>
    <row r="325">
      <c r="C325" s="79"/>
      <c r="D325" s="79"/>
      <c r="E325" s="79"/>
      <c r="O325" s="79"/>
      <c r="S325" s="79"/>
      <c r="T325" s="79"/>
      <c r="Y325" s="79"/>
      <c r="AE325" s="130"/>
      <c r="AG325" s="106"/>
    </row>
    <row r="326">
      <c r="C326" s="79"/>
      <c r="D326" s="79"/>
      <c r="E326" s="79"/>
      <c r="O326" s="79"/>
      <c r="S326" s="79"/>
      <c r="T326" s="79"/>
      <c r="Y326" s="79"/>
      <c r="AE326" s="130"/>
      <c r="AG326" s="106"/>
    </row>
    <row r="327">
      <c r="C327" s="79"/>
      <c r="D327" s="79"/>
      <c r="E327" s="79"/>
      <c r="O327" s="79"/>
      <c r="S327" s="79"/>
      <c r="T327" s="79"/>
      <c r="Y327" s="79"/>
      <c r="AE327" s="130"/>
      <c r="AG327" s="106"/>
    </row>
    <row r="328">
      <c r="C328" s="79"/>
      <c r="D328" s="79"/>
      <c r="E328" s="79"/>
      <c r="O328" s="79"/>
      <c r="S328" s="79"/>
      <c r="T328" s="79"/>
      <c r="Y328" s="79"/>
      <c r="AE328" s="130"/>
      <c r="AG328" s="106"/>
    </row>
    <row r="329">
      <c r="C329" s="79"/>
      <c r="D329" s="79"/>
      <c r="E329" s="79"/>
      <c r="O329" s="79"/>
      <c r="S329" s="79"/>
      <c r="T329" s="79"/>
      <c r="Y329" s="79"/>
      <c r="AE329" s="130"/>
      <c r="AG329" s="106"/>
    </row>
    <row r="330">
      <c r="C330" s="79"/>
      <c r="D330" s="79"/>
      <c r="E330" s="79"/>
      <c r="O330" s="79"/>
      <c r="S330" s="79"/>
      <c r="T330" s="79"/>
      <c r="Y330" s="79"/>
      <c r="AE330" s="130"/>
      <c r="AG330" s="106"/>
    </row>
    <row r="331">
      <c r="C331" s="79"/>
      <c r="D331" s="79"/>
      <c r="E331" s="79"/>
      <c r="O331" s="79"/>
      <c r="S331" s="79"/>
      <c r="T331" s="79"/>
      <c r="Y331" s="79"/>
      <c r="AE331" s="130"/>
      <c r="AG331" s="106"/>
    </row>
    <row r="332">
      <c r="C332" s="79"/>
      <c r="D332" s="79"/>
      <c r="E332" s="79"/>
      <c r="O332" s="79"/>
      <c r="S332" s="79"/>
      <c r="T332" s="79"/>
      <c r="Y332" s="79"/>
      <c r="AE332" s="130"/>
      <c r="AG332" s="106"/>
    </row>
    <row r="333">
      <c r="C333" s="79"/>
      <c r="D333" s="79"/>
      <c r="E333" s="79"/>
      <c r="O333" s="79"/>
      <c r="S333" s="79"/>
      <c r="T333" s="79"/>
      <c r="Y333" s="79"/>
      <c r="AE333" s="130"/>
      <c r="AG333" s="106"/>
    </row>
    <row r="334">
      <c r="C334" s="79"/>
      <c r="D334" s="79"/>
      <c r="E334" s="79"/>
      <c r="O334" s="79"/>
      <c r="S334" s="79"/>
      <c r="T334" s="79"/>
      <c r="Y334" s="79"/>
      <c r="AE334" s="130"/>
      <c r="AG334" s="106"/>
    </row>
    <row r="335">
      <c r="C335" s="79"/>
      <c r="D335" s="79"/>
      <c r="E335" s="79"/>
      <c r="O335" s="79"/>
      <c r="S335" s="79"/>
      <c r="T335" s="79"/>
      <c r="Y335" s="79"/>
      <c r="AE335" s="130"/>
      <c r="AG335" s="106"/>
    </row>
    <row r="336">
      <c r="C336" s="79"/>
      <c r="D336" s="79"/>
      <c r="E336" s="79"/>
      <c r="O336" s="79"/>
      <c r="S336" s="79"/>
      <c r="T336" s="79"/>
      <c r="Y336" s="79"/>
      <c r="AE336" s="130"/>
      <c r="AG336" s="106"/>
    </row>
    <row r="337">
      <c r="C337" s="79"/>
      <c r="D337" s="79"/>
      <c r="E337" s="79"/>
      <c r="O337" s="79"/>
      <c r="S337" s="79"/>
      <c r="T337" s="79"/>
      <c r="Y337" s="79"/>
      <c r="AE337" s="130"/>
      <c r="AG337" s="106"/>
    </row>
    <row r="338">
      <c r="C338" s="79"/>
      <c r="D338" s="79"/>
      <c r="E338" s="79"/>
      <c r="O338" s="79"/>
      <c r="S338" s="79"/>
      <c r="T338" s="79"/>
      <c r="Y338" s="79"/>
      <c r="AE338" s="130"/>
      <c r="AG338" s="106"/>
    </row>
    <row r="339">
      <c r="C339" s="79"/>
      <c r="D339" s="79"/>
      <c r="E339" s="79"/>
      <c r="O339" s="79"/>
      <c r="S339" s="79"/>
      <c r="T339" s="79"/>
      <c r="Y339" s="79"/>
      <c r="AE339" s="130"/>
      <c r="AG339" s="106"/>
    </row>
    <row r="340">
      <c r="C340" s="79"/>
      <c r="D340" s="79"/>
      <c r="E340" s="79"/>
      <c r="O340" s="79"/>
      <c r="S340" s="79"/>
      <c r="T340" s="79"/>
      <c r="Y340" s="79"/>
      <c r="AE340" s="130"/>
      <c r="AG340" s="106"/>
    </row>
    <row r="341">
      <c r="C341" s="79"/>
      <c r="D341" s="79"/>
      <c r="E341" s="79"/>
      <c r="O341" s="79"/>
      <c r="S341" s="79"/>
      <c r="T341" s="79"/>
      <c r="Y341" s="79"/>
      <c r="AE341" s="130"/>
      <c r="AG341" s="106"/>
    </row>
    <row r="342">
      <c r="C342" s="79"/>
      <c r="D342" s="79"/>
      <c r="E342" s="79"/>
      <c r="O342" s="79"/>
      <c r="S342" s="79"/>
      <c r="T342" s="79"/>
      <c r="Y342" s="79"/>
      <c r="AE342" s="130"/>
      <c r="AG342" s="106"/>
    </row>
    <row r="343">
      <c r="C343" s="79"/>
      <c r="D343" s="79"/>
      <c r="E343" s="79"/>
      <c r="O343" s="79"/>
      <c r="S343" s="79"/>
      <c r="T343" s="79"/>
      <c r="Y343" s="79"/>
      <c r="AE343" s="130"/>
      <c r="AG343" s="106"/>
    </row>
    <row r="344">
      <c r="C344" s="79"/>
      <c r="D344" s="79"/>
      <c r="E344" s="79"/>
      <c r="O344" s="79"/>
      <c r="S344" s="79"/>
      <c r="T344" s="79"/>
      <c r="Y344" s="79"/>
      <c r="AE344" s="130"/>
      <c r="AG344" s="106"/>
    </row>
    <row r="345">
      <c r="C345" s="79"/>
      <c r="D345" s="79"/>
      <c r="E345" s="79"/>
      <c r="O345" s="79"/>
      <c r="S345" s="79"/>
      <c r="T345" s="79"/>
      <c r="Y345" s="79"/>
      <c r="AE345" s="130"/>
      <c r="AG345" s="106"/>
    </row>
    <row r="346">
      <c r="C346" s="79"/>
      <c r="D346" s="79"/>
      <c r="E346" s="79"/>
      <c r="O346" s="79"/>
      <c r="S346" s="79"/>
      <c r="T346" s="79"/>
      <c r="Y346" s="79"/>
      <c r="AE346" s="130"/>
      <c r="AG346" s="106"/>
    </row>
    <row r="347">
      <c r="C347" s="79"/>
      <c r="D347" s="79"/>
      <c r="E347" s="79"/>
      <c r="O347" s="79"/>
      <c r="S347" s="79"/>
      <c r="T347" s="79"/>
      <c r="Y347" s="79"/>
      <c r="AE347" s="130"/>
      <c r="AG347" s="106"/>
    </row>
    <row r="348">
      <c r="C348" s="79"/>
      <c r="D348" s="79"/>
      <c r="E348" s="79"/>
      <c r="O348" s="79"/>
      <c r="S348" s="79"/>
      <c r="T348" s="79"/>
      <c r="Y348" s="79"/>
      <c r="AE348" s="130"/>
      <c r="AG348" s="106"/>
    </row>
    <row r="349">
      <c r="C349" s="79"/>
      <c r="D349" s="79"/>
      <c r="E349" s="79"/>
      <c r="O349" s="79"/>
      <c r="S349" s="79"/>
      <c r="T349" s="79"/>
      <c r="Y349" s="79"/>
      <c r="AE349" s="130"/>
      <c r="AG349" s="106"/>
    </row>
    <row r="350">
      <c r="C350" s="79"/>
      <c r="D350" s="79"/>
      <c r="E350" s="79"/>
      <c r="O350" s="79"/>
      <c r="S350" s="79"/>
      <c r="T350" s="79"/>
      <c r="Y350" s="79"/>
      <c r="AE350" s="130"/>
      <c r="AG350" s="106"/>
    </row>
    <row r="351">
      <c r="C351" s="79"/>
      <c r="D351" s="79"/>
      <c r="E351" s="79"/>
      <c r="O351" s="79"/>
      <c r="S351" s="79"/>
      <c r="T351" s="79"/>
      <c r="Y351" s="79"/>
      <c r="AE351" s="130"/>
      <c r="AG351" s="106"/>
    </row>
    <row r="352">
      <c r="C352" s="79"/>
      <c r="D352" s="79"/>
      <c r="E352" s="79"/>
      <c r="O352" s="79"/>
      <c r="S352" s="79"/>
      <c r="T352" s="79"/>
      <c r="Y352" s="79"/>
      <c r="AE352" s="130"/>
      <c r="AG352" s="106"/>
    </row>
    <row r="353">
      <c r="C353" s="79"/>
      <c r="D353" s="79"/>
      <c r="E353" s="79"/>
      <c r="O353" s="79"/>
      <c r="S353" s="79"/>
      <c r="T353" s="79"/>
      <c r="Y353" s="79"/>
      <c r="AE353" s="130"/>
      <c r="AG353" s="106"/>
    </row>
    <row r="354">
      <c r="C354" s="79"/>
      <c r="D354" s="79"/>
      <c r="E354" s="79"/>
      <c r="O354" s="79"/>
      <c r="S354" s="79"/>
      <c r="T354" s="79"/>
      <c r="Y354" s="79"/>
      <c r="AE354" s="130"/>
      <c r="AG354" s="106"/>
    </row>
    <row r="355">
      <c r="C355" s="79"/>
      <c r="D355" s="79"/>
      <c r="E355" s="79"/>
      <c r="O355" s="79"/>
      <c r="S355" s="79"/>
      <c r="T355" s="79"/>
      <c r="Y355" s="79"/>
      <c r="AE355" s="130"/>
      <c r="AG355" s="106"/>
    </row>
    <row r="356">
      <c r="C356" s="79"/>
      <c r="D356" s="79"/>
      <c r="E356" s="79"/>
      <c r="O356" s="79"/>
      <c r="S356" s="79"/>
      <c r="T356" s="79"/>
      <c r="Y356" s="79"/>
      <c r="AE356" s="130"/>
      <c r="AG356" s="106"/>
    </row>
    <row r="357">
      <c r="C357" s="79"/>
      <c r="D357" s="79"/>
      <c r="E357" s="79"/>
      <c r="O357" s="79"/>
      <c r="S357" s="79"/>
      <c r="T357" s="79"/>
      <c r="Y357" s="79"/>
      <c r="AE357" s="130"/>
      <c r="AG357" s="106"/>
    </row>
    <row r="358">
      <c r="C358" s="79"/>
      <c r="D358" s="79"/>
      <c r="E358" s="79"/>
      <c r="O358" s="79"/>
      <c r="S358" s="79"/>
      <c r="T358" s="79"/>
      <c r="Y358" s="79"/>
      <c r="AE358" s="130"/>
      <c r="AG358" s="106"/>
    </row>
    <row r="359">
      <c r="C359" s="79"/>
      <c r="D359" s="79"/>
      <c r="E359" s="79"/>
      <c r="O359" s="79"/>
      <c r="S359" s="79"/>
      <c r="T359" s="79"/>
      <c r="Y359" s="79"/>
      <c r="AE359" s="130"/>
      <c r="AG359" s="106"/>
    </row>
    <row r="360">
      <c r="C360" s="79"/>
      <c r="D360" s="79"/>
      <c r="E360" s="79"/>
      <c r="O360" s="79"/>
      <c r="S360" s="79"/>
      <c r="T360" s="79"/>
      <c r="Y360" s="79"/>
      <c r="AE360" s="130"/>
      <c r="AG360" s="106"/>
    </row>
    <row r="361">
      <c r="C361" s="79"/>
      <c r="D361" s="79"/>
      <c r="E361" s="79"/>
      <c r="O361" s="79"/>
      <c r="S361" s="79"/>
      <c r="T361" s="79"/>
      <c r="Y361" s="79"/>
      <c r="AE361" s="130"/>
      <c r="AG361" s="106"/>
    </row>
    <row r="362">
      <c r="C362" s="79"/>
      <c r="D362" s="79"/>
      <c r="E362" s="79"/>
      <c r="O362" s="79"/>
      <c r="S362" s="79"/>
      <c r="T362" s="79"/>
      <c r="Y362" s="79"/>
      <c r="AE362" s="130"/>
      <c r="AG362" s="106"/>
    </row>
    <row r="363">
      <c r="C363" s="79"/>
      <c r="D363" s="79"/>
      <c r="E363" s="79"/>
      <c r="O363" s="79"/>
      <c r="S363" s="79"/>
      <c r="T363" s="79"/>
      <c r="Y363" s="79"/>
      <c r="AE363" s="130"/>
      <c r="AG363" s="106"/>
    </row>
    <row r="364">
      <c r="C364" s="79"/>
      <c r="D364" s="79"/>
      <c r="E364" s="79"/>
      <c r="O364" s="79"/>
      <c r="S364" s="79"/>
      <c r="T364" s="79"/>
      <c r="Y364" s="79"/>
      <c r="AE364" s="130"/>
      <c r="AG364" s="106"/>
    </row>
    <row r="365">
      <c r="C365" s="79"/>
      <c r="D365" s="79"/>
      <c r="E365" s="79"/>
      <c r="O365" s="79"/>
      <c r="S365" s="79"/>
      <c r="T365" s="79"/>
      <c r="Y365" s="79"/>
      <c r="AE365" s="130"/>
      <c r="AG365" s="106"/>
    </row>
    <row r="366">
      <c r="C366" s="79"/>
      <c r="D366" s="79"/>
      <c r="E366" s="79"/>
      <c r="O366" s="79"/>
      <c r="S366" s="79"/>
      <c r="T366" s="79"/>
      <c r="Y366" s="79"/>
      <c r="AE366" s="130"/>
      <c r="AG366" s="106"/>
    </row>
    <row r="367">
      <c r="C367" s="79"/>
      <c r="D367" s="79"/>
      <c r="E367" s="79"/>
      <c r="O367" s="79"/>
      <c r="S367" s="79"/>
      <c r="T367" s="79"/>
      <c r="Y367" s="79"/>
      <c r="AE367" s="130"/>
      <c r="AG367" s="106"/>
    </row>
    <row r="368">
      <c r="C368" s="79"/>
      <c r="D368" s="79"/>
      <c r="E368" s="79"/>
      <c r="O368" s="79"/>
      <c r="S368" s="79"/>
      <c r="T368" s="79"/>
      <c r="Y368" s="79"/>
      <c r="AE368" s="130"/>
      <c r="AG368" s="106"/>
    </row>
    <row r="369">
      <c r="C369" s="79"/>
      <c r="D369" s="79"/>
      <c r="E369" s="79"/>
      <c r="O369" s="79"/>
      <c r="S369" s="79"/>
      <c r="T369" s="79"/>
      <c r="Y369" s="79"/>
      <c r="AE369" s="130"/>
      <c r="AG369" s="106"/>
    </row>
    <row r="370">
      <c r="C370" s="79"/>
      <c r="D370" s="79"/>
      <c r="E370" s="79"/>
      <c r="O370" s="79"/>
      <c r="S370" s="79"/>
      <c r="T370" s="79"/>
      <c r="Y370" s="79"/>
      <c r="AE370" s="130"/>
      <c r="AG370" s="106"/>
    </row>
    <row r="371">
      <c r="C371" s="79"/>
      <c r="D371" s="79"/>
      <c r="E371" s="79"/>
      <c r="O371" s="79"/>
      <c r="S371" s="79"/>
      <c r="T371" s="79"/>
      <c r="Y371" s="79"/>
      <c r="AE371" s="130"/>
      <c r="AG371" s="106"/>
    </row>
    <row r="372">
      <c r="C372" s="79"/>
      <c r="D372" s="79"/>
      <c r="E372" s="79"/>
      <c r="O372" s="79"/>
      <c r="S372" s="79"/>
      <c r="T372" s="79"/>
      <c r="Y372" s="79"/>
      <c r="AE372" s="130"/>
      <c r="AG372" s="106"/>
    </row>
    <row r="373">
      <c r="C373" s="79"/>
      <c r="D373" s="79"/>
      <c r="E373" s="79"/>
      <c r="O373" s="79"/>
      <c r="S373" s="79"/>
      <c r="T373" s="79"/>
      <c r="Y373" s="79"/>
      <c r="AE373" s="130"/>
      <c r="AG373" s="106"/>
    </row>
    <row r="374">
      <c r="C374" s="79"/>
      <c r="D374" s="79"/>
      <c r="E374" s="79"/>
      <c r="O374" s="79"/>
      <c r="S374" s="79"/>
      <c r="T374" s="79"/>
      <c r="Y374" s="79"/>
      <c r="AE374" s="130"/>
      <c r="AG374" s="106"/>
    </row>
    <row r="375">
      <c r="C375" s="79"/>
      <c r="D375" s="79"/>
      <c r="E375" s="79"/>
      <c r="O375" s="79"/>
      <c r="S375" s="79"/>
      <c r="T375" s="79"/>
      <c r="Y375" s="79"/>
      <c r="AE375" s="130"/>
      <c r="AG375" s="106"/>
    </row>
    <row r="376">
      <c r="C376" s="79"/>
      <c r="D376" s="79"/>
      <c r="E376" s="79"/>
      <c r="O376" s="79"/>
      <c r="S376" s="79"/>
      <c r="T376" s="79"/>
      <c r="Y376" s="79"/>
      <c r="AE376" s="130"/>
      <c r="AG376" s="106"/>
    </row>
    <row r="377">
      <c r="C377" s="79"/>
      <c r="D377" s="79"/>
      <c r="E377" s="79"/>
      <c r="O377" s="79"/>
      <c r="S377" s="79"/>
      <c r="T377" s="79"/>
      <c r="Y377" s="79"/>
      <c r="AE377" s="130"/>
      <c r="AG377" s="106"/>
    </row>
    <row r="378">
      <c r="C378" s="79"/>
      <c r="D378" s="79"/>
      <c r="E378" s="79"/>
      <c r="O378" s="79"/>
      <c r="S378" s="79"/>
      <c r="T378" s="79"/>
      <c r="Y378" s="79"/>
      <c r="AE378" s="130"/>
      <c r="AG378" s="106"/>
    </row>
    <row r="379">
      <c r="C379" s="79"/>
      <c r="D379" s="79"/>
      <c r="E379" s="79"/>
      <c r="O379" s="79"/>
      <c r="S379" s="79"/>
      <c r="T379" s="79"/>
      <c r="Y379" s="79"/>
      <c r="AE379" s="130"/>
      <c r="AG379" s="106"/>
    </row>
    <row r="380">
      <c r="C380" s="79"/>
      <c r="D380" s="79"/>
      <c r="E380" s="79"/>
      <c r="O380" s="79"/>
      <c r="S380" s="79"/>
      <c r="T380" s="79"/>
      <c r="Y380" s="79"/>
      <c r="AE380" s="130"/>
      <c r="AG380" s="106"/>
    </row>
    <row r="381">
      <c r="C381" s="79"/>
      <c r="D381" s="79"/>
      <c r="E381" s="79"/>
      <c r="O381" s="79"/>
      <c r="S381" s="79"/>
      <c r="T381" s="79"/>
      <c r="Y381" s="79"/>
      <c r="AE381" s="130"/>
      <c r="AG381" s="106"/>
    </row>
    <row r="382">
      <c r="C382" s="79"/>
      <c r="D382" s="79"/>
      <c r="E382" s="79"/>
      <c r="O382" s="79"/>
      <c r="S382" s="79"/>
      <c r="T382" s="79"/>
      <c r="Y382" s="79"/>
      <c r="AE382" s="130"/>
      <c r="AG382" s="106"/>
    </row>
    <row r="383">
      <c r="C383" s="79"/>
      <c r="D383" s="79"/>
      <c r="E383" s="79"/>
      <c r="O383" s="79"/>
      <c r="S383" s="79"/>
      <c r="T383" s="79"/>
      <c r="Y383" s="79"/>
      <c r="AE383" s="130"/>
      <c r="AG383" s="106"/>
    </row>
    <row r="384">
      <c r="C384" s="79"/>
      <c r="D384" s="79"/>
      <c r="E384" s="79"/>
      <c r="O384" s="79"/>
      <c r="S384" s="79"/>
      <c r="T384" s="79"/>
      <c r="Y384" s="79"/>
      <c r="AE384" s="130"/>
      <c r="AG384" s="106"/>
    </row>
    <row r="385">
      <c r="C385" s="79"/>
      <c r="D385" s="79"/>
      <c r="E385" s="79"/>
      <c r="O385" s="79"/>
      <c r="S385" s="79"/>
      <c r="T385" s="79"/>
      <c r="Y385" s="79"/>
      <c r="AE385" s="130"/>
      <c r="AG385" s="106"/>
    </row>
    <row r="386">
      <c r="C386" s="79"/>
      <c r="D386" s="79"/>
      <c r="E386" s="79"/>
      <c r="O386" s="79"/>
      <c r="S386" s="79"/>
      <c r="T386" s="79"/>
      <c r="Y386" s="79"/>
      <c r="AE386" s="130"/>
      <c r="AG386" s="106"/>
    </row>
    <row r="387">
      <c r="C387" s="79"/>
      <c r="D387" s="79"/>
      <c r="E387" s="79"/>
      <c r="O387" s="79"/>
      <c r="S387" s="79"/>
      <c r="T387" s="79"/>
      <c r="Y387" s="79"/>
      <c r="AE387" s="130"/>
      <c r="AG387" s="106"/>
    </row>
    <row r="388">
      <c r="C388" s="79"/>
      <c r="D388" s="79"/>
      <c r="E388" s="79"/>
      <c r="O388" s="79"/>
      <c r="S388" s="79"/>
      <c r="T388" s="79"/>
      <c r="Y388" s="79"/>
      <c r="AE388" s="130"/>
      <c r="AG388" s="106"/>
    </row>
    <row r="389">
      <c r="C389" s="79"/>
      <c r="D389" s="79"/>
      <c r="E389" s="79"/>
      <c r="O389" s="79"/>
      <c r="S389" s="79"/>
      <c r="T389" s="79"/>
      <c r="Y389" s="79"/>
      <c r="AE389" s="130"/>
      <c r="AG389" s="106"/>
    </row>
    <row r="390">
      <c r="C390" s="79"/>
      <c r="D390" s="79"/>
      <c r="E390" s="79"/>
      <c r="O390" s="79"/>
      <c r="S390" s="79"/>
      <c r="T390" s="79"/>
      <c r="Y390" s="79"/>
      <c r="AE390" s="130"/>
      <c r="AG390" s="106"/>
    </row>
    <row r="391">
      <c r="C391" s="79"/>
      <c r="D391" s="79"/>
      <c r="E391" s="79"/>
      <c r="O391" s="79"/>
      <c r="S391" s="79"/>
      <c r="T391" s="79"/>
      <c r="Y391" s="79"/>
      <c r="AE391" s="130"/>
      <c r="AG391" s="106"/>
    </row>
    <row r="392">
      <c r="C392" s="79"/>
      <c r="D392" s="79"/>
      <c r="E392" s="79"/>
      <c r="O392" s="79"/>
      <c r="S392" s="79"/>
      <c r="T392" s="79"/>
      <c r="Y392" s="79"/>
      <c r="AE392" s="130"/>
      <c r="AG392" s="106"/>
    </row>
    <row r="393">
      <c r="C393" s="79"/>
      <c r="D393" s="79"/>
      <c r="E393" s="79"/>
      <c r="O393" s="79"/>
      <c r="S393" s="79"/>
      <c r="T393" s="79"/>
      <c r="Y393" s="79"/>
      <c r="AE393" s="130"/>
      <c r="AG393" s="106"/>
    </row>
    <row r="394">
      <c r="C394" s="79"/>
      <c r="D394" s="79"/>
      <c r="E394" s="79"/>
      <c r="O394" s="79"/>
      <c r="S394" s="79"/>
      <c r="T394" s="79"/>
      <c r="Y394" s="79"/>
      <c r="AE394" s="130"/>
      <c r="AG394" s="106"/>
    </row>
    <row r="395">
      <c r="C395" s="79"/>
      <c r="D395" s="79"/>
      <c r="E395" s="79"/>
      <c r="O395" s="79"/>
      <c r="S395" s="79"/>
      <c r="T395" s="79"/>
      <c r="Y395" s="79"/>
      <c r="AE395" s="130"/>
      <c r="AG395" s="106"/>
    </row>
    <row r="396">
      <c r="C396" s="79"/>
      <c r="D396" s="79"/>
      <c r="E396" s="79"/>
      <c r="O396" s="79"/>
      <c r="S396" s="79"/>
      <c r="T396" s="79"/>
      <c r="Y396" s="79"/>
      <c r="AE396" s="130"/>
      <c r="AG396" s="106"/>
    </row>
    <row r="397">
      <c r="C397" s="79"/>
      <c r="D397" s="79"/>
      <c r="E397" s="79"/>
      <c r="O397" s="79"/>
      <c r="S397" s="79"/>
      <c r="T397" s="79"/>
      <c r="Y397" s="79"/>
      <c r="AE397" s="130"/>
      <c r="AG397" s="106"/>
    </row>
    <row r="398">
      <c r="C398" s="79"/>
      <c r="D398" s="79"/>
      <c r="E398" s="79"/>
      <c r="O398" s="79"/>
      <c r="S398" s="79"/>
      <c r="T398" s="79"/>
      <c r="Y398" s="79"/>
      <c r="AE398" s="130"/>
      <c r="AG398" s="106"/>
    </row>
    <row r="399">
      <c r="C399" s="79"/>
      <c r="D399" s="79"/>
      <c r="E399" s="79"/>
      <c r="O399" s="79"/>
      <c r="S399" s="79"/>
      <c r="T399" s="79"/>
      <c r="Y399" s="79"/>
      <c r="AE399" s="130"/>
      <c r="AG399" s="106"/>
    </row>
    <row r="400">
      <c r="C400" s="79"/>
      <c r="D400" s="79"/>
      <c r="E400" s="79"/>
      <c r="O400" s="79"/>
      <c r="S400" s="79"/>
      <c r="T400" s="79"/>
      <c r="Y400" s="79"/>
      <c r="AE400" s="130"/>
      <c r="AG400" s="106"/>
    </row>
    <row r="401">
      <c r="C401" s="79"/>
      <c r="D401" s="79"/>
      <c r="E401" s="79"/>
      <c r="O401" s="79"/>
      <c r="S401" s="79"/>
      <c r="T401" s="79"/>
      <c r="Y401" s="79"/>
      <c r="AE401" s="130"/>
      <c r="AG401" s="106"/>
    </row>
    <row r="402">
      <c r="C402" s="79"/>
      <c r="D402" s="79"/>
      <c r="E402" s="79"/>
      <c r="O402" s="79"/>
      <c r="S402" s="79"/>
      <c r="T402" s="79"/>
      <c r="Y402" s="79"/>
      <c r="AE402" s="130"/>
      <c r="AG402" s="106"/>
    </row>
    <row r="403">
      <c r="C403" s="79"/>
      <c r="D403" s="79"/>
      <c r="E403" s="79"/>
      <c r="O403" s="79"/>
      <c r="S403" s="79"/>
      <c r="T403" s="79"/>
      <c r="Y403" s="79"/>
      <c r="AE403" s="130"/>
      <c r="AG403" s="106"/>
    </row>
    <row r="404">
      <c r="C404" s="79"/>
      <c r="D404" s="79"/>
      <c r="E404" s="79"/>
      <c r="O404" s="79"/>
      <c r="S404" s="79"/>
      <c r="T404" s="79"/>
      <c r="Y404" s="79"/>
      <c r="AE404" s="130"/>
      <c r="AG404" s="106"/>
    </row>
    <row r="405">
      <c r="C405" s="79"/>
      <c r="D405" s="79"/>
      <c r="E405" s="79"/>
      <c r="O405" s="79"/>
      <c r="S405" s="79"/>
      <c r="T405" s="79"/>
      <c r="Y405" s="79"/>
      <c r="AE405" s="130"/>
      <c r="AG405" s="106"/>
    </row>
    <row r="406">
      <c r="C406" s="79"/>
      <c r="D406" s="79"/>
      <c r="E406" s="79"/>
      <c r="O406" s="79"/>
      <c r="S406" s="79"/>
      <c r="T406" s="79"/>
      <c r="Y406" s="79"/>
      <c r="AE406" s="130"/>
      <c r="AG406" s="106"/>
    </row>
    <row r="407">
      <c r="C407" s="79"/>
      <c r="D407" s="79"/>
      <c r="E407" s="79"/>
      <c r="O407" s="79"/>
      <c r="S407" s="79"/>
      <c r="T407" s="79"/>
      <c r="Y407" s="79"/>
      <c r="AE407" s="130"/>
      <c r="AG407" s="106"/>
    </row>
    <row r="408">
      <c r="C408" s="79"/>
      <c r="D408" s="79"/>
      <c r="E408" s="79"/>
      <c r="O408" s="79"/>
      <c r="S408" s="79"/>
      <c r="T408" s="79"/>
      <c r="Y408" s="79"/>
      <c r="AE408" s="130"/>
      <c r="AG408" s="106"/>
    </row>
    <row r="409">
      <c r="C409" s="79"/>
      <c r="D409" s="79"/>
      <c r="E409" s="79"/>
      <c r="O409" s="79"/>
      <c r="S409" s="79"/>
      <c r="T409" s="79"/>
      <c r="Y409" s="79"/>
      <c r="AE409" s="130"/>
      <c r="AG409" s="106"/>
    </row>
    <row r="410">
      <c r="C410" s="79"/>
      <c r="D410" s="79"/>
      <c r="E410" s="79"/>
      <c r="O410" s="79"/>
      <c r="S410" s="79"/>
      <c r="T410" s="79"/>
      <c r="Y410" s="79"/>
      <c r="AE410" s="130"/>
      <c r="AG410" s="106"/>
    </row>
    <row r="411">
      <c r="C411" s="79"/>
      <c r="D411" s="79"/>
      <c r="E411" s="79"/>
      <c r="O411" s="79"/>
      <c r="S411" s="79"/>
      <c r="T411" s="79"/>
      <c r="Y411" s="79"/>
      <c r="AE411" s="130"/>
      <c r="AG411" s="106"/>
    </row>
    <row r="412">
      <c r="C412" s="79"/>
      <c r="D412" s="79"/>
      <c r="E412" s="79"/>
      <c r="O412" s="79"/>
      <c r="S412" s="79"/>
      <c r="T412" s="79"/>
      <c r="Y412" s="79"/>
      <c r="AE412" s="130"/>
      <c r="AG412" s="106"/>
    </row>
    <row r="413">
      <c r="C413" s="79"/>
      <c r="D413" s="79"/>
      <c r="E413" s="79"/>
      <c r="O413" s="79"/>
      <c r="S413" s="79"/>
      <c r="T413" s="79"/>
      <c r="Y413" s="79"/>
      <c r="AE413" s="130"/>
      <c r="AG413" s="106"/>
    </row>
    <row r="414">
      <c r="C414" s="79"/>
      <c r="D414" s="79"/>
      <c r="E414" s="79"/>
      <c r="O414" s="79"/>
      <c r="S414" s="79"/>
      <c r="T414" s="79"/>
      <c r="Y414" s="79"/>
      <c r="AE414" s="130"/>
      <c r="AG414" s="106"/>
    </row>
    <row r="415">
      <c r="C415" s="79"/>
      <c r="D415" s="79"/>
      <c r="E415" s="79"/>
      <c r="O415" s="79"/>
      <c r="S415" s="79"/>
      <c r="T415" s="79"/>
      <c r="Y415" s="79"/>
      <c r="AE415" s="130"/>
      <c r="AG415" s="106"/>
    </row>
    <row r="416">
      <c r="C416" s="79"/>
      <c r="D416" s="79"/>
      <c r="E416" s="79"/>
      <c r="O416" s="79"/>
      <c r="S416" s="79"/>
      <c r="T416" s="79"/>
      <c r="Y416" s="79"/>
      <c r="AE416" s="130"/>
      <c r="AG416" s="106"/>
    </row>
    <row r="417">
      <c r="C417" s="79"/>
      <c r="D417" s="79"/>
      <c r="E417" s="79"/>
      <c r="O417" s="79"/>
      <c r="S417" s="79"/>
      <c r="T417" s="79"/>
      <c r="Y417" s="79"/>
      <c r="AE417" s="130"/>
      <c r="AG417" s="106"/>
    </row>
    <row r="418">
      <c r="C418" s="79"/>
      <c r="D418" s="79"/>
      <c r="E418" s="79"/>
      <c r="O418" s="79"/>
      <c r="S418" s="79"/>
      <c r="T418" s="79"/>
      <c r="Y418" s="79"/>
      <c r="AE418" s="130"/>
      <c r="AG418" s="106"/>
    </row>
    <row r="419">
      <c r="C419" s="79"/>
      <c r="D419" s="79"/>
      <c r="E419" s="79"/>
      <c r="O419" s="79"/>
      <c r="S419" s="79"/>
      <c r="T419" s="79"/>
      <c r="Y419" s="79"/>
      <c r="AE419" s="130"/>
      <c r="AG419" s="106"/>
    </row>
    <row r="420">
      <c r="C420" s="79"/>
      <c r="D420" s="79"/>
      <c r="E420" s="79"/>
      <c r="O420" s="79"/>
      <c r="S420" s="79"/>
      <c r="T420" s="79"/>
      <c r="Y420" s="79"/>
      <c r="AE420" s="130"/>
      <c r="AG420" s="106"/>
    </row>
    <row r="421">
      <c r="C421" s="79"/>
      <c r="D421" s="79"/>
      <c r="E421" s="79"/>
      <c r="O421" s="79"/>
      <c r="S421" s="79"/>
      <c r="T421" s="79"/>
      <c r="Y421" s="79"/>
      <c r="AE421" s="130"/>
      <c r="AG421" s="106"/>
    </row>
    <row r="422">
      <c r="C422" s="79"/>
      <c r="D422" s="79"/>
      <c r="E422" s="79"/>
      <c r="O422" s="79"/>
      <c r="S422" s="79"/>
      <c r="T422" s="79"/>
      <c r="Y422" s="79"/>
      <c r="AE422" s="130"/>
      <c r="AG422" s="106"/>
    </row>
    <row r="423">
      <c r="C423" s="79"/>
      <c r="D423" s="79"/>
      <c r="E423" s="79"/>
      <c r="O423" s="79"/>
      <c r="S423" s="79"/>
      <c r="T423" s="79"/>
      <c r="Y423" s="79"/>
      <c r="AE423" s="130"/>
      <c r="AG423" s="106"/>
    </row>
    <row r="424">
      <c r="C424" s="79"/>
      <c r="D424" s="79"/>
      <c r="E424" s="79"/>
      <c r="O424" s="79"/>
      <c r="S424" s="79"/>
      <c r="T424" s="79"/>
      <c r="Y424" s="79"/>
      <c r="AE424" s="130"/>
      <c r="AG424" s="106"/>
    </row>
    <row r="425">
      <c r="C425" s="79"/>
      <c r="D425" s="79"/>
      <c r="E425" s="79"/>
      <c r="O425" s="79"/>
      <c r="S425" s="79"/>
      <c r="T425" s="79"/>
      <c r="Y425" s="79"/>
      <c r="AE425" s="130"/>
      <c r="AG425" s="106"/>
    </row>
    <row r="426">
      <c r="C426" s="79"/>
      <c r="D426" s="79"/>
      <c r="E426" s="79"/>
      <c r="O426" s="79"/>
      <c r="S426" s="79"/>
      <c r="T426" s="79"/>
      <c r="Y426" s="79"/>
      <c r="AE426" s="130"/>
      <c r="AG426" s="106"/>
    </row>
    <row r="427">
      <c r="C427" s="79"/>
      <c r="D427" s="79"/>
      <c r="E427" s="79"/>
      <c r="O427" s="79"/>
      <c r="S427" s="79"/>
      <c r="T427" s="79"/>
      <c r="Y427" s="79"/>
      <c r="AE427" s="130"/>
      <c r="AG427" s="106"/>
    </row>
    <row r="428">
      <c r="C428" s="79"/>
      <c r="D428" s="79"/>
      <c r="E428" s="79"/>
      <c r="O428" s="79"/>
      <c r="S428" s="79"/>
      <c r="T428" s="79"/>
      <c r="Y428" s="79"/>
      <c r="AE428" s="130"/>
      <c r="AG428" s="106"/>
    </row>
    <row r="429">
      <c r="C429" s="79"/>
      <c r="D429" s="79"/>
      <c r="E429" s="79"/>
      <c r="O429" s="79"/>
      <c r="S429" s="79"/>
      <c r="T429" s="79"/>
      <c r="Y429" s="79"/>
      <c r="AE429" s="130"/>
      <c r="AG429" s="106"/>
    </row>
    <row r="430">
      <c r="C430" s="79"/>
      <c r="D430" s="79"/>
      <c r="E430" s="79"/>
      <c r="O430" s="79"/>
      <c r="S430" s="79"/>
      <c r="T430" s="79"/>
      <c r="Y430" s="79"/>
      <c r="AE430" s="130"/>
      <c r="AG430" s="106"/>
    </row>
    <row r="431">
      <c r="C431" s="79"/>
      <c r="D431" s="79"/>
      <c r="E431" s="79"/>
      <c r="O431" s="79"/>
      <c r="S431" s="79"/>
      <c r="T431" s="79"/>
      <c r="Y431" s="79"/>
      <c r="AE431" s="130"/>
      <c r="AG431" s="106"/>
    </row>
    <row r="432">
      <c r="C432" s="79"/>
      <c r="D432" s="79"/>
      <c r="E432" s="79"/>
      <c r="O432" s="79"/>
      <c r="S432" s="79"/>
      <c r="T432" s="79"/>
      <c r="Y432" s="79"/>
      <c r="AE432" s="130"/>
      <c r="AG432" s="106"/>
    </row>
    <row r="433">
      <c r="C433" s="79"/>
      <c r="D433" s="79"/>
      <c r="E433" s="79"/>
      <c r="O433" s="79"/>
      <c r="S433" s="79"/>
      <c r="T433" s="79"/>
      <c r="Y433" s="79"/>
      <c r="AE433" s="130"/>
      <c r="AG433" s="106"/>
    </row>
    <row r="434">
      <c r="C434" s="79"/>
      <c r="D434" s="79"/>
      <c r="E434" s="79"/>
      <c r="O434" s="79"/>
      <c r="S434" s="79"/>
      <c r="T434" s="79"/>
      <c r="Y434" s="79"/>
      <c r="AE434" s="130"/>
      <c r="AG434" s="106"/>
    </row>
    <row r="435">
      <c r="C435" s="79"/>
      <c r="D435" s="79"/>
      <c r="E435" s="79"/>
      <c r="O435" s="79"/>
      <c r="S435" s="79"/>
      <c r="T435" s="79"/>
      <c r="Y435" s="79"/>
      <c r="AE435" s="130"/>
      <c r="AG435" s="106"/>
    </row>
    <row r="436">
      <c r="C436" s="79"/>
      <c r="D436" s="79"/>
      <c r="E436" s="79"/>
      <c r="O436" s="79"/>
      <c r="S436" s="79"/>
      <c r="T436" s="79"/>
      <c r="Y436" s="79"/>
      <c r="AE436" s="130"/>
      <c r="AG436" s="106"/>
    </row>
    <row r="437">
      <c r="C437" s="79"/>
      <c r="D437" s="79"/>
      <c r="E437" s="79"/>
      <c r="O437" s="79"/>
      <c r="S437" s="79"/>
      <c r="T437" s="79"/>
      <c r="Y437" s="79"/>
      <c r="AE437" s="130"/>
      <c r="AG437" s="106"/>
    </row>
    <row r="438">
      <c r="C438" s="79"/>
      <c r="D438" s="79"/>
      <c r="E438" s="79"/>
      <c r="O438" s="79"/>
      <c r="S438" s="79"/>
      <c r="T438" s="79"/>
      <c r="Y438" s="79"/>
      <c r="AE438" s="130"/>
      <c r="AG438" s="106"/>
    </row>
    <row r="439">
      <c r="C439" s="79"/>
      <c r="D439" s="79"/>
      <c r="E439" s="79"/>
      <c r="O439" s="79"/>
      <c r="S439" s="79"/>
      <c r="T439" s="79"/>
      <c r="Y439" s="79"/>
      <c r="AE439" s="130"/>
      <c r="AG439" s="106"/>
    </row>
    <row r="440">
      <c r="C440" s="79"/>
      <c r="D440" s="79"/>
      <c r="E440" s="79"/>
      <c r="O440" s="79"/>
      <c r="S440" s="79"/>
      <c r="T440" s="79"/>
      <c r="Y440" s="79"/>
      <c r="AE440" s="130"/>
      <c r="AG440" s="106"/>
    </row>
    <row r="441">
      <c r="C441" s="79"/>
      <c r="D441" s="79"/>
      <c r="E441" s="79"/>
      <c r="O441" s="79"/>
      <c r="S441" s="79"/>
      <c r="T441" s="79"/>
      <c r="Y441" s="79"/>
      <c r="AE441" s="130"/>
      <c r="AG441" s="106"/>
    </row>
    <row r="442">
      <c r="C442" s="79"/>
      <c r="D442" s="79"/>
      <c r="E442" s="79"/>
      <c r="O442" s="79"/>
      <c r="S442" s="79"/>
      <c r="T442" s="79"/>
      <c r="Y442" s="79"/>
      <c r="AE442" s="130"/>
      <c r="AG442" s="106"/>
    </row>
    <row r="443">
      <c r="C443" s="79"/>
      <c r="D443" s="79"/>
      <c r="E443" s="79"/>
      <c r="O443" s="79"/>
      <c r="S443" s="79"/>
      <c r="T443" s="79"/>
      <c r="Y443" s="79"/>
      <c r="AE443" s="130"/>
      <c r="AG443" s="106"/>
    </row>
    <row r="444">
      <c r="C444" s="79"/>
      <c r="D444" s="79"/>
      <c r="E444" s="79"/>
      <c r="O444" s="79"/>
      <c r="S444" s="79"/>
      <c r="T444" s="79"/>
      <c r="Y444" s="79"/>
      <c r="AE444" s="130"/>
      <c r="AG444" s="106"/>
    </row>
    <row r="445">
      <c r="C445" s="79"/>
      <c r="D445" s="79"/>
      <c r="E445" s="79"/>
      <c r="O445" s="79"/>
      <c r="S445" s="79"/>
      <c r="T445" s="79"/>
      <c r="Y445" s="79"/>
      <c r="AE445" s="130"/>
      <c r="AG445" s="106"/>
    </row>
    <row r="446">
      <c r="C446" s="79"/>
      <c r="D446" s="79"/>
      <c r="E446" s="79"/>
      <c r="O446" s="79"/>
      <c r="S446" s="79"/>
      <c r="T446" s="79"/>
      <c r="Y446" s="79"/>
      <c r="AE446" s="130"/>
      <c r="AG446" s="106"/>
    </row>
    <row r="447">
      <c r="C447" s="79"/>
      <c r="D447" s="79"/>
      <c r="E447" s="79"/>
      <c r="O447" s="79"/>
      <c r="S447" s="79"/>
      <c r="T447" s="79"/>
      <c r="Y447" s="79"/>
      <c r="AE447" s="130"/>
      <c r="AG447" s="106"/>
    </row>
    <row r="448">
      <c r="C448" s="79"/>
      <c r="D448" s="79"/>
      <c r="E448" s="79"/>
      <c r="O448" s="79"/>
      <c r="S448" s="79"/>
      <c r="T448" s="79"/>
      <c r="Y448" s="79"/>
      <c r="AE448" s="130"/>
      <c r="AG448" s="106"/>
    </row>
    <row r="449">
      <c r="C449" s="79"/>
      <c r="D449" s="79"/>
      <c r="E449" s="79"/>
      <c r="O449" s="79"/>
      <c r="S449" s="79"/>
      <c r="T449" s="79"/>
      <c r="Y449" s="79"/>
      <c r="AE449" s="130"/>
      <c r="AG449" s="106"/>
    </row>
    <row r="450">
      <c r="C450" s="79"/>
      <c r="D450" s="79"/>
      <c r="E450" s="79"/>
      <c r="O450" s="79"/>
      <c r="S450" s="79"/>
      <c r="T450" s="79"/>
      <c r="Y450" s="79"/>
      <c r="AE450" s="130"/>
      <c r="AG450" s="106"/>
    </row>
    <row r="451">
      <c r="C451" s="79"/>
      <c r="D451" s="79"/>
      <c r="E451" s="79"/>
      <c r="O451" s="79"/>
      <c r="S451" s="79"/>
      <c r="T451" s="79"/>
      <c r="Y451" s="79"/>
      <c r="AE451" s="130"/>
      <c r="AG451" s="106"/>
    </row>
    <row r="452">
      <c r="C452" s="79"/>
      <c r="D452" s="79"/>
      <c r="E452" s="79"/>
      <c r="O452" s="79"/>
      <c r="S452" s="79"/>
      <c r="T452" s="79"/>
      <c r="Y452" s="79"/>
      <c r="AE452" s="130"/>
      <c r="AG452" s="106"/>
    </row>
    <row r="453">
      <c r="C453" s="79"/>
      <c r="D453" s="79"/>
      <c r="E453" s="79"/>
      <c r="O453" s="79"/>
      <c r="S453" s="79"/>
      <c r="T453" s="79"/>
      <c r="Y453" s="79"/>
      <c r="AE453" s="130"/>
      <c r="AG453" s="106"/>
    </row>
    <row r="454">
      <c r="C454" s="79"/>
      <c r="D454" s="79"/>
      <c r="E454" s="79"/>
      <c r="O454" s="79"/>
      <c r="S454" s="79"/>
      <c r="T454" s="79"/>
      <c r="Y454" s="79"/>
      <c r="AE454" s="130"/>
      <c r="AG454" s="106"/>
    </row>
    <row r="455">
      <c r="C455" s="79"/>
      <c r="D455" s="79"/>
      <c r="E455" s="79"/>
      <c r="O455" s="79"/>
      <c r="S455" s="79"/>
      <c r="T455" s="79"/>
      <c r="Y455" s="79"/>
      <c r="AE455" s="130"/>
      <c r="AG455" s="106"/>
    </row>
    <row r="456">
      <c r="C456" s="79"/>
      <c r="D456" s="79"/>
      <c r="E456" s="79"/>
      <c r="O456" s="79"/>
      <c r="S456" s="79"/>
      <c r="T456" s="79"/>
      <c r="Y456" s="79"/>
      <c r="AE456" s="130"/>
      <c r="AG456" s="106"/>
    </row>
    <row r="457">
      <c r="C457" s="79"/>
      <c r="D457" s="79"/>
      <c r="E457" s="79"/>
      <c r="O457" s="79"/>
      <c r="S457" s="79"/>
      <c r="T457" s="79"/>
      <c r="Y457" s="79"/>
      <c r="AE457" s="130"/>
      <c r="AG457" s="106"/>
    </row>
    <row r="458">
      <c r="C458" s="79"/>
      <c r="D458" s="79"/>
      <c r="E458" s="79"/>
      <c r="O458" s="79"/>
      <c r="S458" s="79"/>
      <c r="T458" s="79"/>
      <c r="Y458" s="79"/>
      <c r="AE458" s="130"/>
      <c r="AG458" s="106"/>
    </row>
    <row r="459">
      <c r="C459" s="79"/>
      <c r="D459" s="79"/>
      <c r="E459" s="79"/>
      <c r="O459" s="79"/>
      <c r="S459" s="79"/>
      <c r="T459" s="79"/>
      <c r="Y459" s="79"/>
      <c r="AE459" s="130"/>
      <c r="AG459" s="106"/>
    </row>
    <row r="460">
      <c r="C460" s="79"/>
      <c r="D460" s="79"/>
      <c r="E460" s="79"/>
      <c r="O460" s="79"/>
      <c r="S460" s="79"/>
      <c r="T460" s="79"/>
      <c r="Y460" s="79"/>
      <c r="AE460" s="130"/>
      <c r="AG460" s="106"/>
    </row>
    <row r="461">
      <c r="C461" s="79"/>
      <c r="D461" s="79"/>
      <c r="E461" s="79"/>
      <c r="O461" s="79"/>
      <c r="S461" s="79"/>
      <c r="T461" s="79"/>
      <c r="Y461" s="79"/>
      <c r="AE461" s="130"/>
      <c r="AG461" s="106"/>
    </row>
    <row r="462">
      <c r="C462" s="79"/>
      <c r="D462" s="79"/>
      <c r="E462" s="79"/>
      <c r="O462" s="79"/>
      <c r="S462" s="79"/>
      <c r="T462" s="79"/>
      <c r="Y462" s="79"/>
      <c r="AE462" s="130"/>
      <c r="AG462" s="106"/>
    </row>
    <row r="463">
      <c r="C463" s="79"/>
      <c r="D463" s="79"/>
      <c r="E463" s="79"/>
      <c r="O463" s="79"/>
      <c r="S463" s="79"/>
      <c r="T463" s="79"/>
      <c r="Y463" s="79"/>
      <c r="AE463" s="130"/>
      <c r="AG463" s="106"/>
    </row>
    <row r="464">
      <c r="C464" s="79"/>
      <c r="D464" s="79"/>
      <c r="E464" s="79"/>
      <c r="O464" s="79"/>
      <c r="S464" s="79"/>
      <c r="T464" s="79"/>
      <c r="Y464" s="79"/>
      <c r="AE464" s="130"/>
      <c r="AG464" s="106"/>
    </row>
    <row r="465">
      <c r="C465" s="79"/>
      <c r="D465" s="79"/>
      <c r="E465" s="79"/>
      <c r="O465" s="79"/>
      <c r="S465" s="79"/>
      <c r="T465" s="79"/>
      <c r="Y465" s="79"/>
      <c r="AE465" s="130"/>
      <c r="AG465" s="106"/>
    </row>
    <row r="466">
      <c r="C466" s="79"/>
      <c r="D466" s="79"/>
      <c r="E466" s="79"/>
      <c r="O466" s="79"/>
      <c r="S466" s="79"/>
      <c r="T466" s="79"/>
      <c r="Y466" s="79"/>
      <c r="AE466" s="130"/>
      <c r="AG466" s="106"/>
    </row>
    <row r="467">
      <c r="C467" s="79"/>
      <c r="D467" s="79"/>
      <c r="E467" s="79"/>
      <c r="O467" s="79"/>
      <c r="S467" s="79"/>
      <c r="T467" s="79"/>
      <c r="Y467" s="79"/>
      <c r="AE467" s="130"/>
      <c r="AG467" s="106"/>
    </row>
    <row r="468">
      <c r="C468" s="79"/>
      <c r="D468" s="79"/>
      <c r="E468" s="79"/>
      <c r="O468" s="79"/>
      <c r="S468" s="79"/>
      <c r="T468" s="79"/>
      <c r="Y468" s="79"/>
      <c r="AE468" s="130"/>
      <c r="AG468" s="106"/>
    </row>
    <row r="469">
      <c r="C469" s="79"/>
      <c r="D469" s="79"/>
      <c r="E469" s="79"/>
      <c r="O469" s="79"/>
      <c r="S469" s="79"/>
      <c r="T469" s="79"/>
      <c r="Y469" s="79"/>
      <c r="AE469" s="130"/>
      <c r="AG469" s="106"/>
    </row>
    <row r="470">
      <c r="C470" s="79"/>
      <c r="D470" s="79"/>
      <c r="E470" s="79"/>
      <c r="O470" s="79"/>
      <c r="S470" s="79"/>
      <c r="T470" s="79"/>
      <c r="Y470" s="79"/>
      <c r="AE470" s="130"/>
      <c r="AG470" s="106"/>
    </row>
    <row r="471">
      <c r="C471" s="79"/>
      <c r="D471" s="79"/>
      <c r="E471" s="79"/>
      <c r="O471" s="79"/>
      <c r="S471" s="79"/>
      <c r="T471" s="79"/>
      <c r="Y471" s="79"/>
      <c r="AE471" s="130"/>
      <c r="AG471" s="106"/>
    </row>
    <row r="472">
      <c r="C472" s="79"/>
      <c r="D472" s="79"/>
      <c r="E472" s="79"/>
      <c r="O472" s="79"/>
      <c r="S472" s="79"/>
      <c r="T472" s="79"/>
      <c r="Y472" s="79"/>
      <c r="AE472" s="130"/>
      <c r="AG472" s="106"/>
    </row>
    <row r="473">
      <c r="C473" s="79"/>
      <c r="D473" s="79"/>
      <c r="E473" s="79"/>
      <c r="O473" s="79"/>
      <c r="S473" s="79"/>
      <c r="T473" s="79"/>
      <c r="Y473" s="79"/>
      <c r="AE473" s="130"/>
      <c r="AG473" s="106"/>
    </row>
    <row r="474">
      <c r="C474" s="79"/>
      <c r="D474" s="79"/>
      <c r="E474" s="79"/>
      <c r="O474" s="79"/>
      <c r="S474" s="79"/>
      <c r="T474" s="79"/>
      <c r="Y474" s="79"/>
      <c r="AE474" s="130"/>
      <c r="AG474" s="106"/>
    </row>
    <row r="475">
      <c r="C475" s="79"/>
      <c r="D475" s="79"/>
      <c r="E475" s="79"/>
      <c r="O475" s="79"/>
      <c r="S475" s="79"/>
      <c r="T475" s="79"/>
      <c r="Y475" s="79"/>
      <c r="AE475" s="130"/>
      <c r="AG475" s="106"/>
    </row>
    <row r="476">
      <c r="C476" s="79"/>
      <c r="D476" s="79"/>
      <c r="E476" s="79"/>
      <c r="O476" s="79"/>
      <c r="S476" s="79"/>
      <c r="T476" s="79"/>
      <c r="Y476" s="79"/>
      <c r="AE476" s="130"/>
      <c r="AG476" s="106"/>
    </row>
    <row r="477">
      <c r="C477" s="79"/>
      <c r="D477" s="79"/>
      <c r="E477" s="79"/>
      <c r="O477" s="79"/>
      <c r="S477" s="79"/>
      <c r="T477" s="79"/>
      <c r="Y477" s="79"/>
      <c r="AE477" s="130"/>
      <c r="AG477" s="106"/>
    </row>
    <row r="478">
      <c r="C478" s="79"/>
      <c r="D478" s="79"/>
      <c r="E478" s="79"/>
      <c r="O478" s="79"/>
      <c r="S478" s="79"/>
      <c r="T478" s="79"/>
      <c r="Y478" s="79"/>
      <c r="AE478" s="130"/>
      <c r="AG478" s="106"/>
    </row>
    <row r="479">
      <c r="C479" s="79"/>
      <c r="D479" s="79"/>
      <c r="E479" s="79"/>
      <c r="O479" s="79"/>
      <c r="S479" s="79"/>
      <c r="T479" s="79"/>
      <c r="Y479" s="79"/>
      <c r="AE479" s="130"/>
      <c r="AG479" s="106"/>
    </row>
    <row r="480">
      <c r="C480" s="79"/>
      <c r="D480" s="79"/>
      <c r="E480" s="79"/>
      <c r="O480" s="79"/>
      <c r="S480" s="79"/>
      <c r="T480" s="79"/>
      <c r="Y480" s="79"/>
      <c r="AE480" s="130"/>
      <c r="AG480" s="106"/>
    </row>
    <row r="481">
      <c r="C481" s="79"/>
      <c r="D481" s="79"/>
      <c r="E481" s="79"/>
      <c r="O481" s="79"/>
      <c r="S481" s="79"/>
      <c r="T481" s="79"/>
      <c r="Y481" s="79"/>
      <c r="AE481" s="130"/>
      <c r="AG481" s="106"/>
    </row>
    <row r="482">
      <c r="C482" s="79"/>
      <c r="D482" s="79"/>
      <c r="E482" s="79"/>
      <c r="O482" s="79"/>
      <c r="S482" s="79"/>
      <c r="T482" s="79"/>
      <c r="Y482" s="79"/>
      <c r="AE482" s="130"/>
      <c r="AG482" s="106"/>
    </row>
    <row r="483">
      <c r="C483" s="79"/>
      <c r="D483" s="79"/>
      <c r="E483" s="79"/>
      <c r="O483" s="79"/>
      <c r="S483" s="79"/>
      <c r="T483" s="79"/>
      <c r="Y483" s="79"/>
      <c r="AE483" s="130"/>
      <c r="AG483" s="106"/>
    </row>
    <row r="484">
      <c r="C484" s="79"/>
      <c r="D484" s="79"/>
      <c r="E484" s="79"/>
      <c r="O484" s="79"/>
      <c r="S484" s="79"/>
      <c r="T484" s="79"/>
      <c r="Y484" s="79"/>
      <c r="AE484" s="130"/>
      <c r="AG484" s="106"/>
    </row>
    <row r="485">
      <c r="C485" s="79"/>
      <c r="D485" s="79"/>
      <c r="E485" s="79"/>
      <c r="O485" s="79"/>
      <c r="S485" s="79"/>
      <c r="T485" s="79"/>
      <c r="Y485" s="79"/>
      <c r="AE485" s="130"/>
      <c r="AG485" s="106"/>
    </row>
    <row r="486">
      <c r="C486" s="79"/>
      <c r="D486" s="79"/>
      <c r="E486" s="79"/>
      <c r="O486" s="79"/>
      <c r="S486" s="79"/>
      <c r="T486" s="79"/>
      <c r="Y486" s="79"/>
      <c r="AE486" s="130"/>
      <c r="AG486" s="106"/>
    </row>
    <row r="487">
      <c r="C487" s="79"/>
      <c r="D487" s="79"/>
      <c r="E487" s="79"/>
      <c r="O487" s="79"/>
      <c r="S487" s="79"/>
      <c r="T487" s="79"/>
      <c r="Y487" s="79"/>
      <c r="AE487" s="130"/>
      <c r="AG487" s="106"/>
    </row>
    <row r="488">
      <c r="C488" s="79"/>
      <c r="D488" s="79"/>
      <c r="E488" s="79"/>
      <c r="O488" s="79"/>
      <c r="S488" s="79"/>
      <c r="T488" s="79"/>
      <c r="Y488" s="79"/>
      <c r="AE488" s="130"/>
      <c r="AG488" s="106"/>
    </row>
    <row r="489">
      <c r="C489" s="79"/>
      <c r="D489" s="79"/>
      <c r="E489" s="79"/>
      <c r="O489" s="79"/>
      <c r="S489" s="79"/>
      <c r="T489" s="79"/>
      <c r="Y489" s="79"/>
      <c r="AE489" s="130"/>
      <c r="AG489" s="106"/>
    </row>
    <row r="490">
      <c r="C490" s="79"/>
      <c r="D490" s="79"/>
      <c r="E490" s="79"/>
      <c r="O490" s="79"/>
      <c r="S490" s="79"/>
      <c r="T490" s="79"/>
      <c r="Y490" s="79"/>
      <c r="AE490" s="130"/>
      <c r="AG490" s="106"/>
    </row>
    <row r="491">
      <c r="C491" s="79"/>
      <c r="D491" s="79"/>
      <c r="E491" s="79"/>
      <c r="O491" s="79"/>
      <c r="S491" s="79"/>
      <c r="T491" s="79"/>
      <c r="Y491" s="79"/>
      <c r="AE491" s="130"/>
      <c r="AG491" s="106"/>
    </row>
    <row r="492">
      <c r="C492" s="79"/>
      <c r="D492" s="79"/>
      <c r="E492" s="79"/>
      <c r="O492" s="79"/>
      <c r="S492" s="79"/>
      <c r="T492" s="79"/>
      <c r="Y492" s="79"/>
      <c r="AE492" s="130"/>
      <c r="AG492" s="106"/>
    </row>
    <row r="493">
      <c r="C493" s="79"/>
      <c r="D493" s="79"/>
      <c r="E493" s="79"/>
      <c r="O493" s="79"/>
      <c r="S493" s="79"/>
      <c r="T493" s="79"/>
      <c r="Y493" s="79"/>
      <c r="AE493" s="130"/>
      <c r="AG493" s="106"/>
    </row>
    <row r="494">
      <c r="C494" s="79"/>
      <c r="D494" s="79"/>
      <c r="E494" s="79"/>
      <c r="O494" s="79"/>
      <c r="S494" s="79"/>
      <c r="T494" s="79"/>
      <c r="Y494" s="79"/>
      <c r="AE494" s="130"/>
      <c r="AG494" s="106"/>
    </row>
    <row r="495">
      <c r="C495" s="79"/>
      <c r="D495" s="79"/>
      <c r="E495" s="79"/>
      <c r="O495" s="79"/>
      <c r="S495" s="79"/>
      <c r="T495" s="79"/>
      <c r="Y495" s="79"/>
      <c r="AE495" s="130"/>
      <c r="AG495" s="106"/>
    </row>
    <row r="496">
      <c r="C496" s="79"/>
      <c r="D496" s="79"/>
      <c r="E496" s="79"/>
      <c r="O496" s="79"/>
      <c r="S496" s="79"/>
      <c r="T496" s="79"/>
      <c r="Y496" s="79"/>
      <c r="AE496" s="130"/>
      <c r="AG496" s="106"/>
    </row>
    <row r="497">
      <c r="C497" s="79"/>
      <c r="D497" s="79"/>
      <c r="E497" s="79"/>
      <c r="O497" s="79"/>
      <c r="S497" s="79"/>
      <c r="T497" s="79"/>
      <c r="Y497" s="79"/>
      <c r="AE497" s="130"/>
      <c r="AG497" s="106"/>
    </row>
    <row r="498">
      <c r="C498" s="79"/>
      <c r="D498" s="79"/>
      <c r="E498" s="79"/>
      <c r="O498" s="79"/>
      <c r="S498" s="79"/>
      <c r="T498" s="79"/>
      <c r="Y498" s="79"/>
      <c r="AE498" s="130"/>
      <c r="AG498" s="106"/>
    </row>
    <row r="499">
      <c r="C499" s="79"/>
      <c r="D499" s="79"/>
      <c r="E499" s="79"/>
      <c r="O499" s="79"/>
      <c r="S499" s="79"/>
      <c r="T499" s="79"/>
      <c r="Y499" s="79"/>
      <c r="AE499" s="130"/>
      <c r="AG499" s="106"/>
    </row>
    <row r="500">
      <c r="C500" s="79"/>
      <c r="D500" s="79"/>
      <c r="E500" s="79"/>
      <c r="O500" s="79"/>
      <c r="S500" s="79"/>
      <c r="T500" s="79"/>
      <c r="Y500" s="79"/>
      <c r="AE500" s="130"/>
      <c r="AG500" s="106"/>
    </row>
    <row r="501">
      <c r="C501" s="79"/>
      <c r="D501" s="79"/>
      <c r="E501" s="79"/>
      <c r="O501" s="79"/>
      <c r="S501" s="79"/>
      <c r="T501" s="79"/>
      <c r="Y501" s="79"/>
      <c r="AE501" s="130"/>
      <c r="AG501" s="106"/>
    </row>
    <row r="502">
      <c r="C502" s="79"/>
      <c r="D502" s="79"/>
      <c r="E502" s="79"/>
      <c r="O502" s="79"/>
      <c r="S502" s="79"/>
      <c r="T502" s="79"/>
      <c r="Y502" s="79"/>
      <c r="AE502" s="130"/>
      <c r="AG502" s="106"/>
    </row>
    <row r="503">
      <c r="C503" s="79"/>
      <c r="D503" s="79"/>
      <c r="E503" s="79"/>
      <c r="O503" s="79"/>
      <c r="S503" s="79"/>
      <c r="T503" s="79"/>
      <c r="Y503" s="79"/>
      <c r="AE503" s="130"/>
      <c r="AG503" s="106"/>
    </row>
    <row r="504">
      <c r="C504" s="79"/>
      <c r="D504" s="79"/>
      <c r="E504" s="79"/>
      <c r="O504" s="79"/>
      <c r="S504" s="79"/>
      <c r="T504" s="79"/>
      <c r="Y504" s="79"/>
      <c r="AE504" s="130"/>
      <c r="AG504" s="106"/>
    </row>
    <row r="505">
      <c r="C505" s="79"/>
      <c r="D505" s="79"/>
      <c r="E505" s="79"/>
      <c r="O505" s="79"/>
      <c r="S505" s="79"/>
      <c r="T505" s="79"/>
      <c r="Y505" s="79"/>
      <c r="AE505" s="130"/>
      <c r="AG505" s="106"/>
    </row>
    <row r="506">
      <c r="C506" s="79"/>
      <c r="D506" s="79"/>
      <c r="E506" s="79"/>
      <c r="O506" s="79"/>
      <c r="S506" s="79"/>
      <c r="T506" s="79"/>
      <c r="Y506" s="79"/>
      <c r="AE506" s="130"/>
      <c r="AG506" s="106"/>
    </row>
    <row r="507">
      <c r="C507" s="79"/>
      <c r="D507" s="79"/>
      <c r="E507" s="79"/>
      <c r="O507" s="79"/>
      <c r="S507" s="79"/>
      <c r="T507" s="79"/>
      <c r="Y507" s="79"/>
      <c r="AE507" s="130"/>
      <c r="AG507" s="106"/>
    </row>
    <row r="508">
      <c r="C508" s="79"/>
      <c r="D508" s="79"/>
      <c r="E508" s="79"/>
      <c r="O508" s="79"/>
      <c r="S508" s="79"/>
      <c r="T508" s="79"/>
      <c r="Y508" s="79"/>
      <c r="AE508" s="130"/>
      <c r="AG508" s="106"/>
    </row>
    <row r="509">
      <c r="C509" s="79"/>
      <c r="D509" s="79"/>
      <c r="E509" s="79"/>
      <c r="O509" s="79"/>
      <c r="S509" s="79"/>
      <c r="T509" s="79"/>
      <c r="Y509" s="79"/>
      <c r="AE509" s="130"/>
      <c r="AG509" s="106"/>
    </row>
    <row r="510">
      <c r="C510" s="79"/>
      <c r="D510" s="79"/>
      <c r="E510" s="79"/>
      <c r="O510" s="79"/>
      <c r="S510" s="79"/>
      <c r="T510" s="79"/>
      <c r="Y510" s="79"/>
      <c r="AE510" s="130"/>
      <c r="AG510" s="106"/>
    </row>
    <row r="511">
      <c r="C511" s="79"/>
      <c r="D511" s="79"/>
      <c r="E511" s="79"/>
      <c r="O511" s="79"/>
      <c r="S511" s="79"/>
      <c r="T511" s="79"/>
      <c r="Y511" s="79"/>
      <c r="AE511" s="130"/>
      <c r="AG511" s="106"/>
    </row>
    <row r="512">
      <c r="C512" s="79"/>
      <c r="D512" s="79"/>
      <c r="E512" s="79"/>
      <c r="O512" s="79"/>
      <c r="S512" s="79"/>
      <c r="T512" s="79"/>
      <c r="Y512" s="79"/>
      <c r="AE512" s="130"/>
      <c r="AG512" s="106"/>
    </row>
    <row r="513">
      <c r="C513" s="79"/>
      <c r="D513" s="79"/>
      <c r="E513" s="79"/>
      <c r="O513" s="79"/>
      <c r="S513" s="79"/>
      <c r="T513" s="79"/>
      <c r="Y513" s="79"/>
      <c r="AE513" s="130"/>
      <c r="AG513" s="106"/>
    </row>
    <row r="514">
      <c r="C514" s="79"/>
      <c r="D514" s="79"/>
      <c r="E514" s="79"/>
      <c r="O514" s="79"/>
      <c r="S514" s="79"/>
      <c r="T514" s="79"/>
      <c r="Y514" s="79"/>
      <c r="AE514" s="130"/>
      <c r="AG514" s="106"/>
    </row>
    <row r="515">
      <c r="C515" s="79"/>
      <c r="D515" s="79"/>
      <c r="E515" s="79"/>
      <c r="O515" s="79"/>
      <c r="S515" s="79"/>
      <c r="T515" s="79"/>
      <c r="Y515" s="79"/>
      <c r="AE515" s="130"/>
      <c r="AG515" s="106"/>
    </row>
    <row r="516">
      <c r="C516" s="79"/>
      <c r="D516" s="79"/>
      <c r="E516" s="79"/>
      <c r="O516" s="79"/>
      <c r="S516" s="79"/>
      <c r="T516" s="79"/>
      <c r="Y516" s="79"/>
      <c r="AE516" s="130"/>
      <c r="AG516" s="106"/>
    </row>
    <row r="517">
      <c r="C517" s="79"/>
      <c r="D517" s="79"/>
      <c r="E517" s="79"/>
      <c r="O517" s="79"/>
      <c r="S517" s="79"/>
      <c r="T517" s="79"/>
      <c r="Y517" s="79"/>
      <c r="AE517" s="130"/>
      <c r="AG517" s="106"/>
    </row>
    <row r="518">
      <c r="C518" s="79"/>
      <c r="D518" s="79"/>
      <c r="E518" s="79"/>
      <c r="O518" s="79"/>
      <c r="S518" s="79"/>
      <c r="T518" s="79"/>
      <c r="Y518" s="79"/>
      <c r="AE518" s="130"/>
      <c r="AG518" s="106"/>
    </row>
    <row r="519">
      <c r="C519" s="79"/>
      <c r="D519" s="79"/>
      <c r="E519" s="79"/>
      <c r="O519" s="79"/>
      <c r="S519" s="79"/>
      <c r="T519" s="79"/>
      <c r="Y519" s="79"/>
      <c r="AE519" s="130"/>
      <c r="AG519" s="106"/>
    </row>
    <row r="520">
      <c r="C520" s="79"/>
      <c r="D520" s="79"/>
      <c r="E520" s="79"/>
      <c r="O520" s="79"/>
      <c r="S520" s="79"/>
      <c r="T520" s="79"/>
      <c r="Y520" s="79"/>
      <c r="AE520" s="130"/>
      <c r="AG520" s="106"/>
    </row>
    <row r="521">
      <c r="C521" s="79"/>
      <c r="D521" s="79"/>
      <c r="E521" s="79"/>
      <c r="O521" s="79"/>
      <c r="S521" s="79"/>
      <c r="T521" s="79"/>
      <c r="Y521" s="79"/>
      <c r="AE521" s="130"/>
      <c r="AG521" s="106"/>
    </row>
    <row r="522">
      <c r="C522" s="79"/>
      <c r="D522" s="79"/>
      <c r="E522" s="79"/>
      <c r="O522" s="79"/>
      <c r="S522" s="79"/>
      <c r="T522" s="79"/>
      <c r="Y522" s="79"/>
      <c r="AE522" s="130"/>
      <c r="AG522" s="106"/>
    </row>
    <row r="523">
      <c r="C523" s="79"/>
      <c r="D523" s="79"/>
      <c r="E523" s="79"/>
      <c r="O523" s="79"/>
      <c r="S523" s="79"/>
      <c r="T523" s="79"/>
      <c r="Y523" s="79"/>
      <c r="AE523" s="130"/>
      <c r="AG523" s="106"/>
    </row>
    <row r="524">
      <c r="C524" s="79"/>
      <c r="D524" s="79"/>
      <c r="E524" s="79"/>
      <c r="O524" s="79"/>
      <c r="S524" s="79"/>
      <c r="T524" s="79"/>
      <c r="Y524" s="79"/>
      <c r="AE524" s="130"/>
      <c r="AG524" s="106"/>
    </row>
    <row r="525">
      <c r="C525" s="79"/>
      <c r="D525" s="79"/>
      <c r="E525" s="79"/>
      <c r="O525" s="79"/>
      <c r="S525" s="79"/>
      <c r="T525" s="79"/>
      <c r="Y525" s="79"/>
      <c r="AE525" s="130"/>
      <c r="AG525" s="106"/>
    </row>
    <row r="526">
      <c r="C526" s="79"/>
      <c r="D526" s="79"/>
      <c r="E526" s="79"/>
      <c r="O526" s="79"/>
      <c r="S526" s="79"/>
      <c r="T526" s="79"/>
      <c r="Y526" s="79"/>
      <c r="AE526" s="130"/>
      <c r="AG526" s="106"/>
    </row>
    <row r="527">
      <c r="C527" s="79"/>
      <c r="D527" s="79"/>
      <c r="E527" s="79"/>
      <c r="O527" s="79"/>
      <c r="S527" s="79"/>
      <c r="T527" s="79"/>
      <c r="Y527" s="79"/>
      <c r="AE527" s="130"/>
      <c r="AG527" s="106"/>
    </row>
    <row r="528">
      <c r="C528" s="79"/>
      <c r="D528" s="79"/>
      <c r="E528" s="79"/>
      <c r="O528" s="79"/>
      <c r="S528" s="79"/>
      <c r="T528" s="79"/>
      <c r="Y528" s="79"/>
      <c r="AE528" s="130"/>
      <c r="AG528" s="106"/>
    </row>
    <row r="529">
      <c r="C529" s="79"/>
      <c r="D529" s="79"/>
      <c r="E529" s="79"/>
      <c r="O529" s="79"/>
      <c r="S529" s="79"/>
      <c r="T529" s="79"/>
      <c r="Y529" s="79"/>
      <c r="AE529" s="130"/>
      <c r="AG529" s="106"/>
    </row>
    <row r="530">
      <c r="C530" s="79"/>
      <c r="D530" s="79"/>
      <c r="E530" s="79"/>
      <c r="O530" s="79"/>
      <c r="S530" s="79"/>
      <c r="T530" s="79"/>
      <c r="Y530" s="79"/>
      <c r="AE530" s="130"/>
      <c r="AG530" s="106"/>
    </row>
    <row r="531">
      <c r="C531" s="79"/>
      <c r="D531" s="79"/>
      <c r="E531" s="79"/>
      <c r="O531" s="79"/>
      <c r="S531" s="79"/>
      <c r="T531" s="79"/>
      <c r="Y531" s="79"/>
      <c r="AE531" s="130"/>
      <c r="AG531" s="106"/>
    </row>
    <row r="532">
      <c r="C532" s="79"/>
      <c r="D532" s="79"/>
      <c r="E532" s="79"/>
      <c r="O532" s="79"/>
      <c r="S532" s="79"/>
      <c r="T532" s="79"/>
      <c r="Y532" s="79"/>
      <c r="AE532" s="130"/>
      <c r="AG532" s="106"/>
    </row>
    <row r="533">
      <c r="C533" s="79"/>
      <c r="D533" s="79"/>
      <c r="E533" s="79"/>
      <c r="O533" s="79"/>
      <c r="S533" s="79"/>
      <c r="T533" s="79"/>
      <c r="Y533" s="79"/>
      <c r="AE533" s="130"/>
      <c r="AG533" s="106"/>
    </row>
    <row r="534">
      <c r="C534" s="79"/>
      <c r="D534" s="79"/>
      <c r="E534" s="79"/>
      <c r="O534" s="79"/>
      <c r="S534" s="79"/>
      <c r="T534" s="79"/>
      <c r="Y534" s="79"/>
      <c r="AE534" s="130"/>
      <c r="AG534" s="106"/>
    </row>
    <row r="535">
      <c r="C535" s="79"/>
      <c r="D535" s="79"/>
      <c r="E535" s="79"/>
      <c r="O535" s="79"/>
      <c r="S535" s="79"/>
      <c r="T535" s="79"/>
      <c r="Y535" s="79"/>
      <c r="AE535" s="130"/>
      <c r="AG535" s="106"/>
    </row>
    <row r="536">
      <c r="C536" s="79"/>
      <c r="D536" s="79"/>
      <c r="E536" s="79"/>
      <c r="O536" s="79"/>
      <c r="S536" s="79"/>
      <c r="T536" s="79"/>
      <c r="Y536" s="79"/>
      <c r="AE536" s="130"/>
      <c r="AG536" s="106"/>
    </row>
    <row r="537">
      <c r="C537" s="79"/>
      <c r="D537" s="79"/>
      <c r="E537" s="79"/>
      <c r="O537" s="79"/>
      <c r="S537" s="79"/>
      <c r="T537" s="79"/>
      <c r="Y537" s="79"/>
      <c r="AE537" s="130"/>
      <c r="AG537" s="106"/>
    </row>
    <row r="538">
      <c r="C538" s="79"/>
      <c r="D538" s="79"/>
      <c r="E538" s="79"/>
      <c r="O538" s="79"/>
      <c r="S538" s="79"/>
      <c r="T538" s="79"/>
      <c r="Y538" s="79"/>
      <c r="AE538" s="130"/>
      <c r="AG538" s="106"/>
    </row>
    <row r="539">
      <c r="C539" s="79"/>
      <c r="D539" s="79"/>
      <c r="E539" s="79"/>
      <c r="O539" s="79"/>
      <c r="S539" s="79"/>
      <c r="T539" s="79"/>
      <c r="Y539" s="79"/>
      <c r="AE539" s="130"/>
      <c r="AG539" s="106"/>
    </row>
    <row r="540">
      <c r="C540" s="79"/>
      <c r="D540" s="79"/>
      <c r="E540" s="79"/>
      <c r="O540" s="79"/>
      <c r="S540" s="79"/>
      <c r="T540" s="79"/>
      <c r="Y540" s="79"/>
      <c r="AE540" s="130"/>
      <c r="AG540" s="106"/>
    </row>
    <row r="541">
      <c r="C541" s="79"/>
      <c r="D541" s="79"/>
      <c r="E541" s="79"/>
      <c r="O541" s="79"/>
      <c r="S541" s="79"/>
      <c r="T541" s="79"/>
      <c r="Y541" s="79"/>
      <c r="AE541" s="130"/>
      <c r="AG541" s="106"/>
    </row>
    <row r="542">
      <c r="C542" s="79"/>
      <c r="D542" s="79"/>
      <c r="E542" s="79"/>
      <c r="O542" s="79"/>
      <c r="S542" s="79"/>
      <c r="T542" s="79"/>
      <c r="Y542" s="79"/>
      <c r="AE542" s="130"/>
      <c r="AG542" s="106"/>
    </row>
    <row r="543">
      <c r="C543" s="79"/>
      <c r="D543" s="79"/>
      <c r="E543" s="79"/>
      <c r="O543" s="79"/>
      <c r="S543" s="79"/>
      <c r="T543" s="79"/>
      <c r="Y543" s="79"/>
      <c r="AE543" s="130"/>
      <c r="AG543" s="106"/>
    </row>
    <row r="544">
      <c r="C544" s="79"/>
      <c r="D544" s="79"/>
      <c r="E544" s="79"/>
      <c r="O544" s="79"/>
      <c r="S544" s="79"/>
      <c r="T544" s="79"/>
      <c r="Y544" s="79"/>
      <c r="AE544" s="130"/>
      <c r="AG544" s="106"/>
    </row>
    <row r="545">
      <c r="C545" s="79"/>
      <c r="D545" s="79"/>
      <c r="E545" s="79"/>
      <c r="O545" s="79"/>
      <c r="S545" s="79"/>
      <c r="T545" s="79"/>
      <c r="Y545" s="79"/>
      <c r="AE545" s="130"/>
      <c r="AG545" s="106"/>
    </row>
    <row r="546">
      <c r="C546" s="79"/>
      <c r="D546" s="79"/>
      <c r="E546" s="79"/>
      <c r="O546" s="79"/>
      <c r="S546" s="79"/>
      <c r="T546" s="79"/>
      <c r="Y546" s="79"/>
      <c r="AE546" s="130"/>
      <c r="AG546" s="106"/>
    </row>
    <row r="547">
      <c r="C547" s="79"/>
      <c r="D547" s="79"/>
      <c r="E547" s="79"/>
      <c r="O547" s="79"/>
      <c r="S547" s="79"/>
      <c r="T547" s="79"/>
      <c r="Y547" s="79"/>
      <c r="AE547" s="130"/>
      <c r="AG547" s="106"/>
    </row>
    <row r="548">
      <c r="C548" s="79"/>
      <c r="D548" s="79"/>
      <c r="E548" s="79"/>
      <c r="O548" s="79"/>
      <c r="S548" s="79"/>
      <c r="T548" s="79"/>
      <c r="Y548" s="79"/>
      <c r="AE548" s="130"/>
      <c r="AG548" s="106"/>
    </row>
    <row r="549">
      <c r="C549" s="79"/>
      <c r="D549" s="79"/>
      <c r="E549" s="79"/>
      <c r="O549" s="79"/>
      <c r="S549" s="79"/>
      <c r="T549" s="79"/>
      <c r="Y549" s="79"/>
      <c r="AE549" s="130"/>
      <c r="AG549" s="106"/>
    </row>
    <row r="550">
      <c r="C550" s="79"/>
      <c r="D550" s="79"/>
      <c r="E550" s="79"/>
      <c r="O550" s="79"/>
      <c r="S550" s="79"/>
      <c r="T550" s="79"/>
      <c r="Y550" s="79"/>
      <c r="AE550" s="130"/>
      <c r="AG550" s="106"/>
    </row>
    <row r="551">
      <c r="C551" s="79"/>
      <c r="D551" s="79"/>
      <c r="E551" s="79"/>
      <c r="O551" s="79"/>
      <c r="S551" s="79"/>
      <c r="T551" s="79"/>
      <c r="Y551" s="79"/>
      <c r="AE551" s="130"/>
      <c r="AG551" s="106"/>
    </row>
    <row r="552">
      <c r="C552" s="79"/>
      <c r="D552" s="79"/>
      <c r="E552" s="79"/>
      <c r="O552" s="79"/>
      <c r="S552" s="79"/>
      <c r="T552" s="79"/>
      <c r="Y552" s="79"/>
      <c r="AE552" s="130"/>
      <c r="AG552" s="106"/>
    </row>
    <row r="553">
      <c r="C553" s="79"/>
      <c r="D553" s="79"/>
      <c r="E553" s="79"/>
      <c r="O553" s="79"/>
      <c r="S553" s="79"/>
      <c r="T553" s="79"/>
      <c r="Y553" s="79"/>
      <c r="AE553" s="130"/>
      <c r="AG553" s="106"/>
    </row>
    <row r="554">
      <c r="C554" s="79"/>
      <c r="D554" s="79"/>
      <c r="E554" s="79"/>
      <c r="O554" s="79"/>
      <c r="S554" s="79"/>
      <c r="T554" s="79"/>
      <c r="Y554" s="79"/>
      <c r="AE554" s="130"/>
      <c r="AG554" s="106"/>
    </row>
    <row r="555">
      <c r="C555" s="79"/>
      <c r="D555" s="79"/>
      <c r="E555" s="79"/>
      <c r="O555" s="79"/>
      <c r="S555" s="79"/>
      <c r="T555" s="79"/>
      <c r="Y555" s="79"/>
      <c r="AE555" s="130"/>
      <c r="AG555" s="106"/>
    </row>
    <row r="556">
      <c r="C556" s="79"/>
      <c r="D556" s="79"/>
      <c r="E556" s="79"/>
      <c r="O556" s="79"/>
      <c r="S556" s="79"/>
      <c r="T556" s="79"/>
      <c r="Y556" s="79"/>
      <c r="AE556" s="130"/>
      <c r="AG556" s="106"/>
    </row>
    <row r="557">
      <c r="C557" s="79"/>
      <c r="D557" s="79"/>
      <c r="E557" s="79"/>
      <c r="O557" s="79"/>
      <c r="S557" s="79"/>
      <c r="T557" s="79"/>
      <c r="Y557" s="79"/>
      <c r="AE557" s="130"/>
      <c r="AG557" s="106"/>
    </row>
    <row r="558">
      <c r="C558" s="79"/>
      <c r="D558" s="79"/>
      <c r="E558" s="79"/>
      <c r="O558" s="79"/>
      <c r="S558" s="79"/>
      <c r="T558" s="79"/>
      <c r="Y558" s="79"/>
      <c r="AE558" s="130"/>
      <c r="AG558" s="106"/>
    </row>
    <row r="559">
      <c r="C559" s="79"/>
      <c r="D559" s="79"/>
      <c r="E559" s="79"/>
      <c r="O559" s="79"/>
      <c r="S559" s="79"/>
      <c r="T559" s="79"/>
      <c r="Y559" s="79"/>
      <c r="AE559" s="130"/>
      <c r="AG559" s="106"/>
    </row>
    <row r="560">
      <c r="C560" s="79"/>
      <c r="D560" s="79"/>
      <c r="E560" s="79"/>
      <c r="O560" s="79"/>
      <c r="S560" s="79"/>
      <c r="T560" s="79"/>
      <c r="Y560" s="79"/>
      <c r="AE560" s="130"/>
      <c r="AG560" s="106"/>
    </row>
    <row r="561">
      <c r="C561" s="79"/>
      <c r="D561" s="79"/>
      <c r="E561" s="79"/>
      <c r="O561" s="79"/>
      <c r="S561" s="79"/>
      <c r="T561" s="79"/>
      <c r="Y561" s="79"/>
      <c r="AE561" s="130"/>
      <c r="AG561" s="106"/>
    </row>
    <row r="562">
      <c r="C562" s="79"/>
      <c r="D562" s="79"/>
      <c r="E562" s="79"/>
      <c r="O562" s="79"/>
      <c r="S562" s="79"/>
      <c r="T562" s="79"/>
      <c r="Y562" s="79"/>
      <c r="AE562" s="130"/>
      <c r="AG562" s="106"/>
    </row>
    <row r="563">
      <c r="C563" s="79"/>
      <c r="D563" s="79"/>
      <c r="E563" s="79"/>
      <c r="O563" s="79"/>
      <c r="S563" s="79"/>
      <c r="T563" s="79"/>
      <c r="Y563" s="79"/>
      <c r="AE563" s="130"/>
      <c r="AG563" s="106"/>
    </row>
    <row r="564">
      <c r="C564" s="79"/>
      <c r="D564" s="79"/>
      <c r="E564" s="79"/>
      <c r="O564" s="79"/>
      <c r="S564" s="79"/>
      <c r="T564" s="79"/>
      <c r="Y564" s="79"/>
      <c r="AE564" s="130"/>
      <c r="AG564" s="106"/>
    </row>
    <row r="565">
      <c r="C565" s="79"/>
      <c r="D565" s="79"/>
      <c r="E565" s="79"/>
      <c r="O565" s="79"/>
      <c r="S565" s="79"/>
      <c r="T565" s="79"/>
      <c r="Y565" s="79"/>
      <c r="AE565" s="130"/>
      <c r="AG565" s="106"/>
    </row>
    <row r="566">
      <c r="C566" s="79"/>
      <c r="D566" s="79"/>
      <c r="E566" s="79"/>
      <c r="O566" s="79"/>
      <c r="S566" s="79"/>
      <c r="T566" s="79"/>
      <c r="Y566" s="79"/>
      <c r="AE566" s="130"/>
      <c r="AG566" s="106"/>
    </row>
    <row r="567">
      <c r="C567" s="79"/>
      <c r="D567" s="79"/>
      <c r="E567" s="79"/>
      <c r="O567" s="79"/>
      <c r="S567" s="79"/>
      <c r="T567" s="79"/>
      <c r="Y567" s="79"/>
      <c r="AE567" s="130"/>
      <c r="AG567" s="106"/>
    </row>
    <row r="568">
      <c r="C568" s="79"/>
      <c r="D568" s="79"/>
      <c r="E568" s="79"/>
      <c r="O568" s="79"/>
      <c r="S568" s="79"/>
      <c r="T568" s="79"/>
      <c r="Y568" s="79"/>
      <c r="AE568" s="130"/>
      <c r="AG568" s="106"/>
    </row>
    <row r="569">
      <c r="C569" s="79"/>
      <c r="D569" s="79"/>
      <c r="E569" s="79"/>
      <c r="O569" s="79"/>
      <c r="S569" s="79"/>
      <c r="T569" s="79"/>
      <c r="Y569" s="79"/>
      <c r="AE569" s="130"/>
      <c r="AG569" s="106"/>
    </row>
    <row r="570">
      <c r="C570" s="79"/>
      <c r="D570" s="79"/>
      <c r="E570" s="79"/>
      <c r="O570" s="79"/>
      <c r="S570" s="79"/>
      <c r="T570" s="79"/>
      <c r="Y570" s="79"/>
      <c r="AE570" s="130"/>
      <c r="AG570" s="106"/>
    </row>
    <row r="571">
      <c r="C571" s="79"/>
      <c r="D571" s="79"/>
      <c r="E571" s="79"/>
      <c r="O571" s="79"/>
      <c r="S571" s="79"/>
      <c r="T571" s="79"/>
      <c r="Y571" s="79"/>
      <c r="AE571" s="130"/>
      <c r="AG571" s="106"/>
    </row>
    <row r="572">
      <c r="C572" s="79"/>
      <c r="D572" s="79"/>
      <c r="E572" s="79"/>
      <c r="O572" s="79"/>
      <c r="S572" s="79"/>
      <c r="T572" s="79"/>
      <c r="Y572" s="79"/>
      <c r="AE572" s="130"/>
      <c r="AG572" s="106"/>
    </row>
    <row r="573">
      <c r="C573" s="79"/>
      <c r="D573" s="79"/>
      <c r="E573" s="79"/>
      <c r="O573" s="79"/>
      <c r="S573" s="79"/>
      <c r="T573" s="79"/>
      <c r="Y573" s="79"/>
      <c r="AE573" s="130"/>
      <c r="AG573" s="106"/>
    </row>
    <row r="574">
      <c r="C574" s="79"/>
      <c r="D574" s="79"/>
      <c r="E574" s="79"/>
      <c r="O574" s="79"/>
      <c r="S574" s="79"/>
      <c r="T574" s="79"/>
      <c r="Y574" s="79"/>
      <c r="AE574" s="130"/>
      <c r="AG574" s="106"/>
    </row>
    <row r="575">
      <c r="C575" s="79"/>
      <c r="D575" s="79"/>
      <c r="E575" s="79"/>
      <c r="O575" s="79"/>
      <c r="S575" s="79"/>
      <c r="T575" s="79"/>
      <c r="Y575" s="79"/>
      <c r="AE575" s="130"/>
      <c r="AG575" s="106"/>
    </row>
    <row r="576">
      <c r="C576" s="79"/>
      <c r="D576" s="79"/>
      <c r="E576" s="79"/>
      <c r="O576" s="79"/>
      <c r="S576" s="79"/>
      <c r="T576" s="79"/>
      <c r="Y576" s="79"/>
      <c r="AE576" s="130"/>
      <c r="AG576" s="106"/>
    </row>
    <row r="577">
      <c r="C577" s="79"/>
      <c r="D577" s="79"/>
      <c r="E577" s="79"/>
      <c r="O577" s="79"/>
      <c r="S577" s="79"/>
      <c r="T577" s="79"/>
      <c r="Y577" s="79"/>
      <c r="AE577" s="130"/>
      <c r="AG577" s="106"/>
    </row>
    <row r="578">
      <c r="C578" s="79"/>
      <c r="D578" s="79"/>
      <c r="E578" s="79"/>
      <c r="O578" s="79"/>
      <c r="S578" s="79"/>
      <c r="T578" s="79"/>
      <c r="Y578" s="79"/>
      <c r="AE578" s="130"/>
      <c r="AG578" s="106"/>
    </row>
    <row r="579">
      <c r="C579" s="79"/>
      <c r="D579" s="79"/>
      <c r="E579" s="79"/>
      <c r="O579" s="79"/>
      <c r="S579" s="79"/>
      <c r="T579" s="79"/>
      <c r="Y579" s="79"/>
      <c r="AE579" s="130"/>
      <c r="AG579" s="106"/>
    </row>
    <row r="580">
      <c r="C580" s="79"/>
      <c r="D580" s="79"/>
      <c r="E580" s="79"/>
      <c r="O580" s="79"/>
      <c r="S580" s="79"/>
      <c r="T580" s="79"/>
      <c r="Y580" s="79"/>
      <c r="AE580" s="130"/>
      <c r="AG580" s="106"/>
    </row>
    <row r="581">
      <c r="C581" s="79"/>
      <c r="D581" s="79"/>
      <c r="E581" s="79"/>
      <c r="O581" s="79"/>
      <c r="S581" s="79"/>
      <c r="T581" s="79"/>
      <c r="Y581" s="79"/>
      <c r="AE581" s="130"/>
      <c r="AG581" s="106"/>
    </row>
    <row r="582">
      <c r="C582" s="79"/>
      <c r="D582" s="79"/>
      <c r="E582" s="79"/>
      <c r="O582" s="79"/>
      <c r="S582" s="79"/>
      <c r="T582" s="79"/>
      <c r="Y582" s="79"/>
      <c r="AE582" s="130"/>
      <c r="AG582" s="106"/>
    </row>
    <row r="583">
      <c r="C583" s="79"/>
      <c r="D583" s="79"/>
      <c r="E583" s="79"/>
      <c r="O583" s="79"/>
      <c r="S583" s="79"/>
      <c r="T583" s="79"/>
      <c r="Y583" s="79"/>
      <c r="AE583" s="130"/>
      <c r="AG583" s="106"/>
    </row>
    <row r="584">
      <c r="C584" s="79"/>
      <c r="D584" s="79"/>
      <c r="E584" s="79"/>
      <c r="O584" s="79"/>
      <c r="S584" s="79"/>
      <c r="T584" s="79"/>
      <c r="Y584" s="79"/>
      <c r="AE584" s="130"/>
      <c r="AG584" s="106"/>
    </row>
    <row r="585">
      <c r="C585" s="79"/>
      <c r="D585" s="79"/>
      <c r="E585" s="79"/>
      <c r="O585" s="79"/>
      <c r="S585" s="79"/>
      <c r="T585" s="79"/>
      <c r="Y585" s="79"/>
      <c r="AE585" s="130"/>
      <c r="AG585" s="106"/>
    </row>
    <row r="586">
      <c r="C586" s="79"/>
      <c r="D586" s="79"/>
      <c r="E586" s="79"/>
      <c r="O586" s="79"/>
      <c r="S586" s="79"/>
      <c r="T586" s="79"/>
      <c r="Y586" s="79"/>
      <c r="AE586" s="130"/>
      <c r="AG586" s="106"/>
    </row>
    <row r="587">
      <c r="C587" s="79"/>
      <c r="D587" s="79"/>
      <c r="E587" s="79"/>
      <c r="O587" s="79"/>
      <c r="S587" s="79"/>
      <c r="T587" s="79"/>
      <c r="Y587" s="79"/>
      <c r="AE587" s="130"/>
      <c r="AG587" s="106"/>
    </row>
    <row r="588">
      <c r="C588" s="79"/>
      <c r="D588" s="79"/>
      <c r="E588" s="79"/>
      <c r="O588" s="79"/>
      <c r="S588" s="79"/>
      <c r="T588" s="79"/>
      <c r="Y588" s="79"/>
      <c r="AE588" s="130"/>
      <c r="AG588" s="106"/>
    </row>
    <row r="589">
      <c r="C589" s="79"/>
      <c r="D589" s="79"/>
      <c r="E589" s="79"/>
      <c r="O589" s="79"/>
      <c r="S589" s="79"/>
      <c r="T589" s="79"/>
      <c r="Y589" s="79"/>
      <c r="AE589" s="130"/>
      <c r="AG589" s="106"/>
    </row>
    <row r="590">
      <c r="C590" s="79"/>
      <c r="D590" s="79"/>
      <c r="E590" s="79"/>
      <c r="O590" s="79"/>
      <c r="S590" s="79"/>
      <c r="T590" s="79"/>
      <c r="Y590" s="79"/>
      <c r="AE590" s="130"/>
      <c r="AG590" s="106"/>
    </row>
    <row r="591">
      <c r="C591" s="79"/>
      <c r="D591" s="79"/>
      <c r="E591" s="79"/>
      <c r="O591" s="79"/>
      <c r="S591" s="79"/>
      <c r="T591" s="79"/>
      <c r="Y591" s="79"/>
      <c r="AE591" s="130"/>
      <c r="AG591" s="106"/>
    </row>
    <row r="592">
      <c r="C592" s="79"/>
      <c r="D592" s="79"/>
      <c r="E592" s="79"/>
      <c r="O592" s="79"/>
      <c r="S592" s="79"/>
      <c r="T592" s="79"/>
      <c r="Y592" s="79"/>
      <c r="AE592" s="130"/>
      <c r="AG592" s="106"/>
    </row>
    <row r="593">
      <c r="C593" s="79"/>
      <c r="D593" s="79"/>
      <c r="E593" s="79"/>
      <c r="O593" s="79"/>
      <c r="S593" s="79"/>
      <c r="T593" s="79"/>
      <c r="Y593" s="79"/>
      <c r="AE593" s="130"/>
      <c r="AG593" s="106"/>
    </row>
    <row r="594">
      <c r="C594" s="79"/>
      <c r="D594" s="79"/>
      <c r="E594" s="79"/>
      <c r="O594" s="79"/>
      <c r="S594" s="79"/>
      <c r="T594" s="79"/>
      <c r="Y594" s="79"/>
      <c r="AE594" s="130"/>
      <c r="AG594" s="106"/>
    </row>
    <row r="595">
      <c r="C595" s="79"/>
      <c r="D595" s="79"/>
      <c r="E595" s="79"/>
      <c r="O595" s="79"/>
      <c r="S595" s="79"/>
      <c r="T595" s="79"/>
      <c r="Y595" s="79"/>
      <c r="AE595" s="130"/>
      <c r="AG595" s="106"/>
    </row>
    <row r="596">
      <c r="C596" s="79"/>
      <c r="D596" s="79"/>
      <c r="E596" s="79"/>
      <c r="O596" s="79"/>
      <c r="S596" s="79"/>
      <c r="T596" s="79"/>
      <c r="Y596" s="79"/>
      <c r="AE596" s="130"/>
      <c r="AG596" s="106"/>
    </row>
    <row r="597">
      <c r="C597" s="79"/>
      <c r="D597" s="79"/>
      <c r="E597" s="79"/>
      <c r="O597" s="79"/>
      <c r="S597" s="79"/>
      <c r="T597" s="79"/>
      <c r="Y597" s="79"/>
      <c r="AE597" s="130"/>
      <c r="AG597" s="106"/>
    </row>
    <row r="598">
      <c r="C598" s="79"/>
      <c r="D598" s="79"/>
      <c r="E598" s="79"/>
      <c r="O598" s="79"/>
      <c r="S598" s="79"/>
      <c r="T598" s="79"/>
      <c r="Y598" s="79"/>
      <c r="AE598" s="130"/>
      <c r="AG598" s="106"/>
    </row>
    <row r="599">
      <c r="C599" s="79"/>
      <c r="D599" s="79"/>
      <c r="E599" s="79"/>
      <c r="O599" s="79"/>
      <c r="S599" s="79"/>
      <c r="T599" s="79"/>
      <c r="Y599" s="79"/>
      <c r="AE599" s="130"/>
      <c r="AG599" s="106"/>
    </row>
    <row r="600">
      <c r="C600" s="79"/>
      <c r="D600" s="79"/>
      <c r="E600" s="79"/>
      <c r="O600" s="79"/>
      <c r="S600" s="79"/>
      <c r="T600" s="79"/>
      <c r="Y600" s="79"/>
      <c r="AE600" s="130"/>
      <c r="AG600" s="106"/>
    </row>
    <row r="601">
      <c r="C601" s="79"/>
      <c r="D601" s="79"/>
      <c r="E601" s="79"/>
      <c r="O601" s="79"/>
      <c r="S601" s="79"/>
      <c r="T601" s="79"/>
      <c r="Y601" s="79"/>
      <c r="AE601" s="130"/>
      <c r="AG601" s="106"/>
    </row>
    <row r="602">
      <c r="C602" s="79"/>
      <c r="D602" s="79"/>
      <c r="E602" s="79"/>
      <c r="O602" s="79"/>
      <c r="S602" s="79"/>
      <c r="T602" s="79"/>
      <c r="Y602" s="79"/>
      <c r="AE602" s="130"/>
      <c r="AG602" s="106"/>
    </row>
    <row r="603">
      <c r="C603" s="79"/>
      <c r="D603" s="79"/>
      <c r="E603" s="79"/>
      <c r="O603" s="79"/>
      <c r="S603" s="79"/>
      <c r="T603" s="79"/>
      <c r="Y603" s="79"/>
      <c r="AE603" s="130"/>
      <c r="AG603" s="106"/>
    </row>
    <row r="604">
      <c r="C604" s="79"/>
      <c r="D604" s="79"/>
      <c r="E604" s="79"/>
      <c r="O604" s="79"/>
      <c r="S604" s="79"/>
      <c r="T604" s="79"/>
      <c r="Y604" s="79"/>
      <c r="AE604" s="130"/>
      <c r="AG604" s="106"/>
    </row>
    <row r="605">
      <c r="C605" s="79"/>
      <c r="D605" s="79"/>
      <c r="E605" s="79"/>
      <c r="O605" s="79"/>
      <c r="S605" s="79"/>
      <c r="T605" s="79"/>
      <c r="Y605" s="79"/>
      <c r="AE605" s="130"/>
      <c r="AG605" s="106"/>
    </row>
    <row r="606">
      <c r="C606" s="79"/>
      <c r="D606" s="79"/>
      <c r="E606" s="79"/>
      <c r="O606" s="79"/>
      <c r="S606" s="79"/>
      <c r="T606" s="79"/>
      <c r="Y606" s="79"/>
      <c r="AE606" s="130"/>
      <c r="AG606" s="106"/>
    </row>
    <row r="607">
      <c r="C607" s="79"/>
      <c r="D607" s="79"/>
      <c r="E607" s="79"/>
      <c r="O607" s="79"/>
      <c r="S607" s="79"/>
      <c r="T607" s="79"/>
      <c r="Y607" s="79"/>
      <c r="AE607" s="130"/>
      <c r="AG607" s="106"/>
    </row>
    <row r="608">
      <c r="C608" s="79"/>
      <c r="D608" s="79"/>
      <c r="E608" s="79"/>
      <c r="O608" s="79"/>
      <c r="S608" s="79"/>
      <c r="T608" s="79"/>
      <c r="Y608" s="79"/>
      <c r="AE608" s="130"/>
      <c r="AG608" s="106"/>
    </row>
    <row r="609">
      <c r="C609" s="79"/>
      <c r="D609" s="79"/>
      <c r="E609" s="79"/>
      <c r="O609" s="79"/>
      <c r="S609" s="79"/>
      <c r="T609" s="79"/>
      <c r="Y609" s="79"/>
      <c r="AE609" s="130"/>
      <c r="AG609" s="106"/>
    </row>
    <row r="610">
      <c r="C610" s="79"/>
      <c r="D610" s="79"/>
      <c r="E610" s="79"/>
      <c r="O610" s="79"/>
      <c r="S610" s="79"/>
      <c r="T610" s="79"/>
      <c r="Y610" s="79"/>
      <c r="AE610" s="130"/>
      <c r="AG610" s="106"/>
    </row>
    <row r="611">
      <c r="C611" s="79"/>
      <c r="D611" s="79"/>
      <c r="E611" s="79"/>
      <c r="O611" s="79"/>
      <c r="S611" s="79"/>
      <c r="T611" s="79"/>
      <c r="Y611" s="79"/>
      <c r="AE611" s="130"/>
      <c r="AG611" s="106"/>
    </row>
    <row r="612">
      <c r="C612" s="79"/>
      <c r="D612" s="79"/>
      <c r="E612" s="79"/>
      <c r="O612" s="79"/>
      <c r="S612" s="79"/>
      <c r="T612" s="79"/>
      <c r="Y612" s="79"/>
      <c r="AE612" s="130"/>
      <c r="AG612" s="106"/>
    </row>
    <row r="613">
      <c r="C613" s="79"/>
      <c r="D613" s="79"/>
      <c r="E613" s="79"/>
      <c r="O613" s="79"/>
      <c r="S613" s="79"/>
      <c r="T613" s="79"/>
      <c r="Y613" s="79"/>
      <c r="AE613" s="130"/>
      <c r="AG613" s="106"/>
    </row>
    <row r="614">
      <c r="C614" s="79"/>
      <c r="D614" s="79"/>
      <c r="E614" s="79"/>
      <c r="O614" s="79"/>
      <c r="S614" s="79"/>
      <c r="T614" s="79"/>
      <c r="Y614" s="79"/>
      <c r="AE614" s="130"/>
      <c r="AG614" s="106"/>
    </row>
    <row r="615">
      <c r="C615" s="79"/>
      <c r="D615" s="79"/>
      <c r="E615" s="79"/>
      <c r="O615" s="79"/>
      <c r="S615" s="79"/>
      <c r="T615" s="79"/>
      <c r="Y615" s="79"/>
      <c r="AE615" s="130"/>
      <c r="AG615" s="106"/>
    </row>
    <row r="616">
      <c r="C616" s="79"/>
      <c r="D616" s="79"/>
      <c r="E616" s="79"/>
      <c r="O616" s="79"/>
      <c r="S616" s="79"/>
      <c r="T616" s="79"/>
      <c r="Y616" s="79"/>
      <c r="AE616" s="130"/>
      <c r="AG616" s="106"/>
    </row>
    <row r="617">
      <c r="C617" s="79"/>
      <c r="D617" s="79"/>
      <c r="E617" s="79"/>
      <c r="O617" s="79"/>
      <c r="S617" s="79"/>
      <c r="T617" s="79"/>
      <c r="Y617" s="79"/>
      <c r="AE617" s="130"/>
      <c r="AG617" s="106"/>
    </row>
    <row r="618">
      <c r="C618" s="79"/>
      <c r="D618" s="79"/>
      <c r="E618" s="79"/>
      <c r="O618" s="79"/>
      <c r="S618" s="79"/>
      <c r="T618" s="79"/>
      <c r="Y618" s="79"/>
      <c r="AE618" s="130"/>
      <c r="AG618" s="106"/>
    </row>
    <row r="619">
      <c r="C619" s="79"/>
      <c r="D619" s="79"/>
      <c r="E619" s="79"/>
      <c r="O619" s="79"/>
      <c r="S619" s="79"/>
      <c r="T619" s="79"/>
      <c r="Y619" s="79"/>
      <c r="AE619" s="130"/>
      <c r="AG619" s="106"/>
    </row>
    <row r="620">
      <c r="C620" s="79"/>
      <c r="D620" s="79"/>
      <c r="E620" s="79"/>
      <c r="O620" s="79"/>
      <c r="S620" s="79"/>
      <c r="T620" s="79"/>
      <c r="Y620" s="79"/>
      <c r="AE620" s="130"/>
      <c r="AG620" s="106"/>
    </row>
    <row r="621">
      <c r="C621" s="79"/>
      <c r="D621" s="79"/>
      <c r="E621" s="79"/>
      <c r="O621" s="79"/>
      <c r="S621" s="79"/>
      <c r="T621" s="79"/>
      <c r="Y621" s="79"/>
      <c r="AE621" s="130"/>
      <c r="AG621" s="106"/>
    </row>
    <row r="622">
      <c r="C622" s="79"/>
      <c r="D622" s="79"/>
      <c r="E622" s="79"/>
      <c r="O622" s="79"/>
      <c r="S622" s="79"/>
      <c r="T622" s="79"/>
      <c r="Y622" s="79"/>
      <c r="AE622" s="130"/>
      <c r="AG622" s="106"/>
    </row>
    <row r="623">
      <c r="C623" s="79"/>
      <c r="D623" s="79"/>
      <c r="E623" s="79"/>
      <c r="O623" s="79"/>
      <c r="S623" s="79"/>
      <c r="T623" s="79"/>
      <c r="Y623" s="79"/>
      <c r="AE623" s="130"/>
      <c r="AG623" s="106"/>
    </row>
    <row r="624">
      <c r="C624" s="79"/>
      <c r="D624" s="79"/>
      <c r="E624" s="79"/>
      <c r="O624" s="79"/>
      <c r="S624" s="79"/>
      <c r="T624" s="79"/>
      <c r="Y624" s="79"/>
      <c r="AE624" s="130"/>
      <c r="AG624" s="106"/>
    </row>
    <row r="625">
      <c r="C625" s="79"/>
      <c r="D625" s="79"/>
      <c r="E625" s="79"/>
      <c r="O625" s="79"/>
      <c r="S625" s="79"/>
      <c r="T625" s="79"/>
      <c r="Y625" s="79"/>
      <c r="AE625" s="130"/>
      <c r="AG625" s="106"/>
    </row>
    <row r="626">
      <c r="C626" s="79"/>
      <c r="D626" s="79"/>
      <c r="E626" s="79"/>
      <c r="O626" s="79"/>
      <c r="S626" s="79"/>
      <c r="T626" s="79"/>
      <c r="Y626" s="79"/>
      <c r="AE626" s="130"/>
      <c r="AG626" s="106"/>
    </row>
    <row r="627">
      <c r="C627" s="79"/>
      <c r="D627" s="79"/>
      <c r="E627" s="79"/>
      <c r="O627" s="79"/>
      <c r="S627" s="79"/>
      <c r="T627" s="79"/>
      <c r="Y627" s="79"/>
      <c r="AE627" s="130"/>
      <c r="AG627" s="106"/>
    </row>
    <row r="628">
      <c r="C628" s="79"/>
      <c r="D628" s="79"/>
      <c r="E628" s="79"/>
      <c r="O628" s="79"/>
      <c r="S628" s="79"/>
      <c r="T628" s="79"/>
      <c r="Y628" s="79"/>
      <c r="AE628" s="130"/>
      <c r="AG628" s="106"/>
    </row>
    <row r="629">
      <c r="C629" s="79"/>
      <c r="D629" s="79"/>
      <c r="E629" s="79"/>
      <c r="O629" s="79"/>
      <c r="S629" s="79"/>
      <c r="T629" s="79"/>
      <c r="Y629" s="79"/>
      <c r="AE629" s="130"/>
      <c r="AG629" s="106"/>
    </row>
    <row r="630">
      <c r="C630" s="79"/>
      <c r="D630" s="79"/>
      <c r="E630" s="79"/>
      <c r="O630" s="79"/>
      <c r="S630" s="79"/>
      <c r="T630" s="79"/>
      <c r="Y630" s="79"/>
      <c r="AE630" s="130"/>
      <c r="AG630" s="106"/>
    </row>
    <row r="631">
      <c r="C631" s="79"/>
      <c r="D631" s="79"/>
      <c r="E631" s="79"/>
      <c r="O631" s="79"/>
      <c r="S631" s="79"/>
      <c r="T631" s="79"/>
      <c r="Y631" s="79"/>
      <c r="AE631" s="130"/>
      <c r="AG631" s="106"/>
    </row>
    <row r="632">
      <c r="C632" s="79"/>
      <c r="D632" s="79"/>
      <c r="E632" s="79"/>
      <c r="O632" s="79"/>
      <c r="S632" s="79"/>
      <c r="T632" s="79"/>
      <c r="Y632" s="79"/>
      <c r="AE632" s="130"/>
      <c r="AG632" s="106"/>
    </row>
    <row r="633">
      <c r="C633" s="79"/>
      <c r="D633" s="79"/>
      <c r="E633" s="79"/>
      <c r="O633" s="79"/>
      <c r="S633" s="79"/>
      <c r="T633" s="79"/>
      <c r="Y633" s="79"/>
      <c r="AE633" s="130"/>
      <c r="AG633" s="106"/>
    </row>
    <row r="634">
      <c r="C634" s="79"/>
      <c r="D634" s="79"/>
      <c r="E634" s="79"/>
      <c r="O634" s="79"/>
      <c r="S634" s="79"/>
      <c r="T634" s="79"/>
      <c r="Y634" s="79"/>
      <c r="AE634" s="130"/>
      <c r="AG634" s="106"/>
    </row>
    <row r="635">
      <c r="C635" s="79"/>
      <c r="D635" s="79"/>
      <c r="E635" s="79"/>
      <c r="O635" s="79"/>
      <c r="S635" s="79"/>
      <c r="T635" s="79"/>
      <c r="Y635" s="79"/>
      <c r="AE635" s="130"/>
      <c r="AG635" s="106"/>
    </row>
    <row r="636">
      <c r="C636" s="79"/>
      <c r="D636" s="79"/>
      <c r="E636" s="79"/>
      <c r="O636" s="79"/>
      <c r="S636" s="79"/>
      <c r="T636" s="79"/>
      <c r="Y636" s="79"/>
      <c r="AE636" s="130"/>
      <c r="AG636" s="106"/>
    </row>
    <row r="637">
      <c r="C637" s="79"/>
      <c r="D637" s="79"/>
      <c r="E637" s="79"/>
      <c r="O637" s="79"/>
      <c r="S637" s="79"/>
      <c r="T637" s="79"/>
      <c r="Y637" s="79"/>
      <c r="AE637" s="130"/>
      <c r="AG637" s="106"/>
    </row>
    <row r="638">
      <c r="C638" s="79"/>
      <c r="D638" s="79"/>
      <c r="E638" s="79"/>
      <c r="O638" s="79"/>
      <c r="S638" s="79"/>
      <c r="T638" s="79"/>
      <c r="Y638" s="79"/>
      <c r="AE638" s="130"/>
      <c r="AG638" s="106"/>
    </row>
    <row r="639">
      <c r="C639" s="79"/>
      <c r="D639" s="79"/>
      <c r="E639" s="79"/>
      <c r="O639" s="79"/>
      <c r="S639" s="79"/>
      <c r="T639" s="79"/>
      <c r="Y639" s="79"/>
      <c r="AE639" s="130"/>
      <c r="AG639" s="106"/>
    </row>
    <row r="640">
      <c r="C640" s="79"/>
      <c r="D640" s="79"/>
      <c r="E640" s="79"/>
      <c r="O640" s="79"/>
      <c r="S640" s="79"/>
      <c r="T640" s="79"/>
      <c r="Y640" s="79"/>
      <c r="AE640" s="130"/>
      <c r="AG640" s="106"/>
    </row>
    <row r="641">
      <c r="C641" s="79"/>
      <c r="D641" s="79"/>
      <c r="E641" s="79"/>
      <c r="O641" s="79"/>
      <c r="S641" s="79"/>
      <c r="T641" s="79"/>
      <c r="Y641" s="79"/>
      <c r="AE641" s="130"/>
      <c r="AG641" s="106"/>
    </row>
    <row r="642">
      <c r="C642" s="79"/>
      <c r="D642" s="79"/>
      <c r="E642" s="79"/>
      <c r="O642" s="79"/>
      <c r="S642" s="79"/>
      <c r="T642" s="79"/>
      <c r="Y642" s="79"/>
      <c r="AE642" s="130"/>
      <c r="AG642" s="106"/>
    </row>
    <row r="643">
      <c r="C643" s="79"/>
      <c r="D643" s="79"/>
      <c r="E643" s="79"/>
      <c r="O643" s="79"/>
      <c r="S643" s="79"/>
      <c r="T643" s="79"/>
      <c r="Y643" s="79"/>
      <c r="AE643" s="130"/>
      <c r="AG643" s="106"/>
    </row>
    <row r="644">
      <c r="C644" s="79"/>
      <c r="D644" s="79"/>
      <c r="E644" s="79"/>
      <c r="O644" s="79"/>
      <c r="S644" s="79"/>
      <c r="T644" s="79"/>
      <c r="Y644" s="79"/>
      <c r="AE644" s="130"/>
      <c r="AG644" s="106"/>
    </row>
    <row r="645">
      <c r="C645" s="79"/>
      <c r="D645" s="79"/>
      <c r="E645" s="79"/>
      <c r="O645" s="79"/>
      <c r="S645" s="79"/>
      <c r="T645" s="79"/>
      <c r="Y645" s="79"/>
      <c r="AE645" s="130"/>
      <c r="AG645" s="106"/>
    </row>
    <row r="646">
      <c r="C646" s="79"/>
      <c r="D646" s="79"/>
      <c r="E646" s="79"/>
      <c r="O646" s="79"/>
      <c r="S646" s="79"/>
      <c r="T646" s="79"/>
      <c r="Y646" s="79"/>
      <c r="AE646" s="130"/>
      <c r="AG646" s="106"/>
    </row>
    <row r="647">
      <c r="C647" s="79"/>
      <c r="D647" s="79"/>
      <c r="E647" s="79"/>
      <c r="O647" s="79"/>
      <c r="S647" s="79"/>
      <c r="T647" s="79"/>
      <c r="Y647" s="79"/>
      <c r="AE647" s="130"/>
      <c r="AG647" s="106"/>
    </row>
    <row r="648">
      <c r="C648" s="79"/>
      <c r="D648" s="79"/>
      <c r="E648" s="79"/>
      <c r="O648" s="79"/>
      <c r="S648" s="79"/>
      <c r="T648" s="79"/>
      <c r="Y648" s="79"/>
      <c r="AE648" s="130"/>
      <c r="AG648" s="106"/>
    </row>
    <row r="649">
      <c r="C649" s="79"/>
      <c r="D649" s="79"/>
      <c r="E649" s="79"/>
      <c r="O649" s="79"/>
      <c r="S649" s="79"/>
      <c r="T649" s="79"/>
      <c r="Y649" s="79"/>
      <c r="AE649" s="130"/>
      <c r="AG649" s="106"/>
    </row>
    <row r="650">
      <c r="C650" s="79"/>
      <c r="D650" s="79"/>
      <c r="E650" s="79"/>
      <c r="O650" s="79"/>
      <c r="S650" s="79"/>
      <c r="T650" s="79"/>
      <c r="Y650" s="79"/>
      <c r="AE650" s="130"/>
      <c r="AG650" s="106"/>
    </row>
    <row r="651">
      <c r="C651" s="79"/>
      <c r="D651" s="79"/>
      <c r="E651" s="79"/>
      <c r="O651" s="79"/>
      <c r="S651" s="79"/>
      <c r="T651" s="79"/>
      <c r="Y651" s="79"/>
      <c r="AE651" s="130"/>
      <c r="AG651" s="106"/>
    </row>
    <row r="652">
      <c r="C652" s="79"/>
      <c r="D652" s="79"/>
      <c r="E652" s="79"/>
      <c r="O652" s="79"/>
      <c r="S652" s="79"/>
      <c r="T652" s="79"/>
      <c r="Y652" s="79"/>
      <c r="AE652" s="130"/>
      <c r="AG652" s="106"/>
    </row>
    <row r="653">
      <c r="C653" s="79"/>
      <c r="D653" s="79"/>
      <c r="E653" s="79"/>
      <c r="O653" s="79"/>
      <c r="S653" s="79"/>
      <c r="T653" s="79"/>
      <c r="Y653" s="79"/>
      <c r="AE653" s="130"/>
      <c r="AG653" s="106"/>
    </row>
    <row r="654">
      <c r="C654" s="79"/>
      <c r="D654" s="79"/>
      <c r="E654" s="79"/>
      <c r="O654" s="79"/>
      <c r="S654" s="79"/>
      <c r="T654" s="79"/>
      <c r="Y654" s="79"/>
      <c r="AE654" s="130"/>
      <c r="AG654" s="106"/>
    </row>
    <row r="655">
      <c r="C655" s="79"/>
      <c r="D655" s="79"/>
      <c r="E655" s="79"/>
      <c r="O655" s="79"/>
      <c r="S655" s="79"/>
      <c r="T655" s="79"/>
      <c r="Y655" s="79"/>
      <c r="AE655" s="130"/>
      <c r="AG655" s="106"/>
    </row>
    <row r="656">
      <c r="C656" s="79"/>
      <c r="D656" s="79"/>
      <c r="E656" s="79"/>
      <c r="O656" s="79"/>
      <c r="S656" s="79"/>
      <c r="T656" s="79"/>
      <c r="Y656" s="79"/>
      <c r="AE656" s="130"/>
      <c r="AG656" s="106"/>
    </row>
    <row r="657">
      <c r="C657" s="79"/>
      <c r="D657" s="79"/>
      <c r="E657" s="79"/>
      <c r="O657" s="79"/>
      <c r="S657" s="79"/>
      <c r="T657" s="79"/>
      <c r="Y657" s="79"/>
      <c r="AE657" s="130"/>
      <c r="AG657" s="106"/>
    </row>
    <row r="658">
      <c r="C658" s="79"/>
      <c r="D658" s="79"/>
      <c r="E658" s="79"/>
      <c r="O658" s="79"/>
      <c r="S658" s="79"/>
      <c r="T658" s="79"/>
      <c r="Y658" s="79"/>
      <c r="AE658" s="130"/>
      <c r="AG658" s="106"/>
    </row>
    <row r="659">
      <c r="C659" s="79"/>
      <c r="D659" s="79"/>
      <c r="E659" s="79"/>
      <c r="O659" s="79"/>
      <c r="S659" s="79"/>
      <c r="T659" s="79"/>
      <c r="Y659" s="79"/>
      <c r="AE659" s="130"/>
      <c r="AG659" s="106"/>
    </row>
    <row r="660">
      <c r="C660" s="79"/>
      <c r="D660" s="79"/>
      <c r="E660" s="79"/>
      <c r="O660" s="79"/>
      <c r="S660" s="79"/>
      <c r="T660" s="79"/>
      <c r="Y660" s="79"/>
      <c r="AE660" s="130"/>
      <c r="AG660" s="106"/>
    </row>
    <row r="661">
      <c r="C661" s="79"/>
      <c r="D661" s="79"/>
      <c r="E661" s="79"/>
      <c r="O661" s="79"/>
      <c r="S661" s="79"/>
      <c r="T661" s="79"/>
      <c r="Y661" s="79"/>
      <c r="AE661" s="130"/>
      <c r="AG661" s="106"/>
    </row>
    <row r="662">
      <c r="C662" s="79"/>
      <c r="D662" s="79"/>
      <c r="E662" s="79"/>
      <c r="O662" s="79"/>
      <c r="S662" s="79"/>
      <c r="T662" s="79"/>
      <c r="Y662" s="79"/>
      <c r="AE662" s="130"/>
      <c r="AG662" s="106"/>
    </row>
    <row r="663">
      <c r="C663" s="79"/>
      <c r="D663" s="79"/>
      <c r="E663" s="79"/>
      <c r="O663" s="79"/>
      <c r="S663" s="79"/>
      <c r="T663" s="79"/>
      <c r="Y663" s="79"/>
      <c r="AE663" s="130"/>
      <c r="AG663" s="106"/>
    </row>
    <row r="664">
      <c r="C664" s="79"/>
      <c r="D664" s="79"/>
      <c r="E664" s="79"/>
      <c r="O664" s="79"/>
      <c r="S664" s="79"/>
      <c r="T664" s="79"/>
      <c r="Y664" s="79"/>
      <c r="AE664" s="130"/>
      <c r="AG664" s="106"/>
    </row>
    <row r="665">
      <c r="C665" s="79"/>
      <c r="D665" s="79"/>
      <c r="E665" s="79"/>
      <c r="O665" s="79"/>
      <c r="S665" s="79"/>
      <c r="T665" s="79"/>
      <c r="Y665" s="79"/>
      <c r="AE665" s="130"/>
      <c r="AG665" s="106"/>
    </row>
    <row r="666">
      <c r="C666" s="79"/>
      <c r="D666" s="79"/>
      <c r="E666" s="79"/>
      <c r="O666" s="79"/>
      <c r="S666" s="79"/>
      <c r="T666" s="79"/>
      <c r="Y666" s="79"/>
      <c r="AE666" s="130"/>
      <c r="AG666" s="106"/>
    </row>
    <row r="667">
      <c r="C667" s="79"/>
      <c r="D667" s="79"/>
      <c r="E667" s="79"/>
      <c r="O667" s="79"/>
      <c r="S667" s="79"/>
      <c r="T667" s="79"/>
      <c r="Y667" s="79"/>
      <c r="AE667" s="130"/>
      <c r="AG667" s="106"/>
    </row>
    <row r="668">
      <c r="C668" s="79"/>
      <c r="D668" s="79"/>
      <c r="E668" s="79"/>
      <c r="O668" s="79"/>
      <c r="S668" s="79"/>
      <c r="T668" s="79"/>
      <c r="Y668" s="79"/>
      <c r="AE668" s="130"/>
      <c r="AG668" s="106"/>
    </row>
    <row r="669">
      <c r="C669" s="79"/>
      <c r="D669" s="79"/>
      <c r="E669" s="79"/>
      <c r="O669" s="79"/>
      <c r="S669" s="79"/>
      <c r="T669" s="79"/>
      <c r="Y669" s="79"/>
      <c r="AE669" s="130"/>
      <c r="AG669" s="106"/>
    </row>
    <row r="670">
      <c r="C670" s="79"/>
      <c r="D670" s="79"/>
      <c r="E670" s="79"/>
      <c r="O670" s="79"/>
      <c r="S670" s="79"/>
      <c r="T670" s="79"/>
      <c r="Y670" s="79"/>
      <c r="AE670" s="130"/>
      <c r="AG670" s="106"/>
    </row>
    <row r="671">
      <c r="C671" s="79"/>
      <c r="D671" s="79"/>
      <c r="E671" s="79"/>
      <c r="O671" s="79"/>
      <c r="S671" s="79"/>
      <c r="T671" s="79"/>
      <c r="Y671" s="79"/>
      <c r="AE671" s="130"/>
      <c r="AG671" s="106"/>
    </row>
    <row r="672">
      <c r="C672" s="79"/>
      <c r="D672" s="79"/>
      <c r="E672" s="79"/>
      <c r="O672" s="79"/>
      <c r="S672" s="79"/>
      <c r="T672" s="79"/>
      <c r="Y672" s="79"/>
      <c r="AE672" s="130"/>
      <c r="AG672" s="106"/>
    </row>
    <row r="673">
      <c r="C673" s="79"/>
      <c r="D673" s="79"/>
      <c r="E673" s="79"/>
      <c r="O673" s="79"/>
      <c r="S673" s="79"/>
      <c r="T673" s="79"/>
      <c r="Y673" s="79"/>
      <c r="AE673" s="130"/>
      <c r="AG673" s="106"/>
    </row>
    <row r="674">
      <c r="C674" s="79"/>
      <c r="D674" s="79"/>
      <c r="E674" s="79"/>
      <c r="O674" s="79"/>
      <c r="S674" s="79"/>
      <c r="T674" s="79"/>
      <c r="Y674" s="79"/>
      <c r="AE674" s="130"/>
      <c r="AG674" s="106"/>
    </row>
    <row r="675">
      <c r="C675" s="79"/>
      <c r="D675" s="79"/>
      <c r="E675" s="79"/>
      <c r="O675" s="79"/>
      <c r="S675" s="79"/>
      <c r="T675" s="79"/>
      <c r="Y675" s="79"/>
      <c r="AE675" s="130"/>
      <c r="AG675" s="106"/>
    </row>
    <row r="676">
      <c r="C676" s="79"/>
      <c r="D676" s="79"/>
      <c r="E676" s="79"/>
      <c r="O676" s="79"/>
      <c r="S676" s="79"/>
      <c r="T676" s="79"/>
      <c r="Y676" s="79"/>
      <c r="AE676" s="130"/>
      <c r="AG676" s="106"/>
    </row>
    <row r="677">
      <c r="C677" s="79"/>
      <c r="D677" s="79"/>
      <c r="E677" s="79"/>
      <c r="O677" s="79"/>
      <c r="S677" s="79"/>
      <c r="T677" s="79"/>
      <c r="Y677" s="79"/>
      <c r="AE677" s="130"/>
      <c r="AG677" s="106"/>
    </row>
    <row r="678">
      <c r="C678" s="79"/>
      <c r="D678" s="79"/>
      <c r="E678" s="79"/>
      <c r="O678" s="79"/>
      <c r="S678" s="79"/>
      <c r="T678" s="79"/>
      <c r="Y678" s="79"/>
      <c r="AE678" s="130"/>
      <c r="AG678" s="106"/>
    </row>
    <row r="679">
      <c r="C679" s="79"/>
      <c r="D679" s="79"/>
      <c r="E679" s="79"/>
      <c r="O679" s="79"/>
      <c r="S679" s="79"/>
      <c r="T679" s="79"/>
      <c r="Y679" s="79"/>
      <c r="AE679" s="130"/>
      <c r="AG679" s="106"/>
    </row>
    <row r="680">
      <c r="C680" s="79"/>
      <c r="D680" s="79"/>
      <c r="E680" s="79"/>
      <c r="O680" s="79"/>
      <c r="S680" s="79"/>
      <c r="T680" s="79"/>
      <c r="Y680" s="79"/>
      <c r="AE680" s="130"/>
      <c r="AG680" s="106"/>
    </row>
    <row r="681">
      <c r="C681" s="79"/>
      <c r="D681" s="79"/>
      <c r="E681" s="79"/>
      <c r="O681" s="79"/>
      <c r="S681" s="79"/>
      <c r="T681" s="79"/>
      <c r="Y681" s="79"/>
      <c r="AE681" s="130"/>
      <c r="AG681" s="106"/>
    </row>
    <row r="682">
      <c r="C682" s="79"/>
      <c r="D682" s="79"/>
      <c r="E682" s="79"/>
      <c r="O682" s="79"/>
      <c r="S682" s="79"/>
      <c r="T682" s="79"/>
      <c r="Y682" s="79"/>
      <c r="AE682" s="130"/>
      <c r="AG682" s="106"/>
    </row>
    <row r="683">
      <c r="C683" s="79"/>
      <c r="D683" s="79"/>
      <c r="E683" s="79"/>
      <c r="O683" s="79"/>
      <c r="S683" s="79"/>
      <c r="T683" s="79"/>
      <c r="Y683" s="79"/>
      <c r="AE683" s="130"/>
      <c r="AG683" s="106"/>
    </row>
    <row r="684">
      <c r="C684" s="79"/>
      <c r="D684" s="79"/>
      <c r="E684" s="79"/>
      <c r="O684" s="79"/>
      <c r="S684" s="79"/>
      <c r="T684" s="79"/>
      <c r="Y684" s="79"/>
      <c r="AE684" s="130"/>
      <c r="AG684" s="106"/>
    </row>
    <row r="685">
      <c r="C685" s="79"/>
      <c r="D685" s="79"/>
      <c r="E685" s="79"/>
      <c r="O685" s="79"/>
      <c r="S685" s="79"/>
      <c r="T685" s="79"/>
      <c r="Y685" s="79"/>
      <c r="AE685" s="130"/>
      <c r="AG685" s="106"/>
    </row>
    <row r="686">
      <c r="C686" s="79"/>
      <c r="D686" s="79"/>
      <c r="E686" s="79"/>
      <c r="O686" s="79"/>
      <c r="S686" s="79"/>
      <c r="T686" s="79"/>
      <c r="Y686" s="79"/>
      <c r="AE686" s="130"/>
      <c r="AG686" s="106"/>
    </row>
    <row r="687">
      <c r="C687" s="79"/>
      <c r="D687" s="79"/>
      <c r="E687" s="79"/>
      <c r="O687" s="79"/>
      <c r="S687" s="79"/>
      <c r="T687" s="79"/>
      <c r="Y687" s="79"/>
      <c r="AE687" s="130"/>
      <c r="AG687" s="106"/>
    </row>
    <row r="688">
      <c r="C688" s="79"/>
      <c r="D688" s="79"/>
      <c r="E688" s="79"/>
      <c r="O688" s="79"/>
      <c r="S688" s="79"/>
      <c r="T688" s="79"/>
      <c r="Y688" s="79"/>
      <c r="AE688" s="130"/>
      <c r="AG688" s="106"/>
    </row>
    <row r="689">
      <c r="C689" s="79"/>
      <c r="D689" s="79"/>
      <c r="E689" s="79"/>
      <c r="O689" s="79"/>
      <c r="S689" s="79"/>
      <c r="T689" s="79"/>
      <c r="Y689" s="79"/>
      <c r="AE689" s="130"/>
      <c r="AG689" s="106"/>
    </row>
    <row r="690">
      <c r="C690" s="79"/>
      <c r="D690" s="79"/>
      <c r="E690" s="79"/>
      <c r="O690" s="79"/>
      <c r="S690" s="79"/>
      <c r="T690" s="79"/>
      <c r="Y690" s="79"/>
      <c r="AE690" s="130"/>
      <c r="AG690" s="106"/>
    </row>
    <row r="691">
      <c r="C691" s="79"/>
      <c r="D691" s="79"/>
      <c r="E691" s="79"/>
      <c r="O691" s="79"/>
      <c r="S691" s="79"/>
      <c r="T691" s="79"/>
      <c r="Y691" s="79"/>
      <c r="AE691" s="130"/>
      <c r="AG691" s="106"/>
    </row>
    <row r="692">
      <c r="C692" s="79"/>
      <c r="D692" s="79"/>
      <c r="E692" s="79"/>
      <c r="O692" s="79"/>
      <c r="S692" s="79"/>
      <c r="T692" s="79"/>
      <c r="Y692" s="79"/>
      <c r="AE692" s="130"/>
      <c r="AG692" s="106"/>
    </row>
    <row r="693">
      <c r="C693" s="79"/>
      <c r="D693" s="79"/>
      <c r="E693" s="79"/>
      <c r="O693" s="79"/>
      <c r="S693" s="79"/>
      <c r="T693" s="79"/>
      <c r="Y693" s="79"/>
      <c r="AE693" s="130"/>
      <c r="AG693" s="106"/>
    </row>
    <row r="694">
      <c r="C694" s="79"/>
      <c r="D694" s="79"/>
      <c r="E694" s="79"/>
      <c r="O694" s="79"/>
      <c r="S694" s="79"/>
      <c r="T694" s="79"/>
      <c r="Y694" s="79"/>
      <c r="AE694" s="130"/>
      <c r="AG694" s="106"/>
    </row>
    <row r="695">
      <c r="C695" s="79"/>
      <c r="D695" s="79"/>
      <c r="E695" s="79"/>
      <c r="O695" s="79"/>
      <c r="S695" s="79"/>
      <c r="T695" s="79"/>
      <c r="Y695" s="79"/>
      <c r="AE695" s="130"/>
      <c r="AG695" s="106"/>
    </row>
    <row r="696">
      <c r="C696" s="79"/>
      <c r="D696" s="79"/>
      <c r="E696" s="79"/>
      <c r="O696" s="79"/>
      <c r="S696" s="79"/>
      <c r="T696" s="79"/>
      <c r="Y696" s="79"/>
      <c r="AE696" s="130"/>
      <c r="AG696" s="106"/>
    </row>
    <row r="697">
      <c r="C697" s="79"/>
      <c r="D697" s="79"/>
      <c r="E697" s="79"/>
      <c r="O697" s="79"/>
      <c r="S697" s="79"/>
      <c r="T697" s="79"/>
      <c r="Y697" s="79"/>
      <c r="AE697" s="130"/>
      <c r="AG697" s="106"/>
    </row>
    <row r="698">
      <c r="C698" s="79"/>
      <c r="D698" s="79"/>
      <c r="E698" s="79"/>
      <c r="O698" s="79"/>
      <c r="S698" s="79"/>
      <c r="T698" s="79"/>
      <c r="Y698" s="79"/>
      <c r="AE698" s="130"/>
      <c r="AG698" s="106"/>
    </row>
    <row r="699">
      <c r="C699" s="79"/>
      <c r="D699" s="79"/>
      <c r="E699" s="79"/>
      <c r="O699" s="79"/>
      <c r="S699" s="79"/>
      <c r="T699" s="79"/>
      <c r="Y699" s="79"/>
      <c r="AE699" s="130"/>
      <c r="AG699" s="106"/>
    </row>
    <row r="700">
      <c r="C700" s="79"/>
      <c r="D700" s="79"/>
      <c r="E700" s="79"/>
      <c r="O700" s="79"/>
      <c r="S700" s="79"/>
      <c r="T700" s="79"/>
      <c r="Y700" s="79"/>
      <c r="AE700" s="130"/>
      <c r="AG700" s="106"/>
    </row>
    <row r="701">
      <c r="C701" s="79"/>
      <c r="D701" s="79"/>
      <c r="E701" s="79"/>
      <c r="O701" s="79"/>
      <c r="S701" s="79"/>
      <c r="T701" s="79"/>
      <c r="Y701" s="79"/>
      <c r="AE701" s="130"/>
      <c r="AG701" s="106"/>
    </row>
    <row r="702">
      <c r="C702" s="79"/>
      <c r="D702" s="79"/>
      <c r="E702" s="79"/>
      <c r="O702" s="79"/>
      <c r="S702" s="79"/>
      <c r="T702" s="79"/>
      <c r="Y702" s="79"/>
      <c r="AE702" s="130"/>
      <c r="AG702" s="106"/>
    </row>
    <row r="703">
      <c r="C703" s="79"/>
      <c r="D703" s="79"/>
      <c r="E703" s="79"/>
      <c r="O703" s="79"/>
      <c r="S703" s="79"/>
      <c r="T703" s="79"/>
      <c r="Y703" s="79"/>
      <c r="AE703" s="130"/>
      <c r="AG703" s="106"/>
    </row>
    <row r="704">
      <c r="C704" s="79"/>
      <c r="D704" s="79"/>
      <c r="E704" s="79"/>
      <c r="O704" s="79"/>
      <c r="S704" s="79"/>
      <c r="T704" s="79"/>
      <c r="Y704" s="79"/>
      <c r="AE704" s="130"/>
      <c r="AG704" s="106"/>
    </row>
    <row r="705">
      <c r="C705" s="79"/>
      <c r="D705" s="79"/>
      <c r="E705" s="79"/>
      <c r="O705" s="79"/>
      <c r="S705" s="79"/>
      <c r="T705" s="79"/>
      <c r="Y705" s="79"/>
      <c r="AE705" s="130"/>
      <c r="AG705" s="106"/>
    </row>
    <row r="706">
      <c r="C706" s="79"/>
      <c r="D706" s="79"/>
      <c r="E706" s="79"/>
      <c r="O706" s="79"/>
      <c r="S706" s="79"/>
      <c r="T706" s="79"/>
      <c r="Y706" s="79"/>
      <c r="AE706" s="130"/>
      <c r="AG706" s="106"/>
    </row>
    <row r="707">
      <c r="C707" s="79"/>
      <c r="D707" s="79"/>
      <c r="E707" s="79"/>
      <c r="O707" s="79"/>
      <c r="S707" s="79"/>
      <c r="T707" s="79"/>
      <c r="Y707" s="79"/>
      <c r="AE707" s="130"/>
      <c r="AG707" s="106"/>
    </row>
    <row r="708">
      <c r="C708" s="79"/>
      <c r="D708" s="79"/>
      <c r="E708" s="79"/>
      <c r="O708" s="79"/>
      <c r="S708" s="79"/>
      <c r="T708" s="79"/>
      <c r="Y708" s="79"/>
      <c r="AE708" s="130"/>
      <c r="AG708" s="106"/>
    </row>
    <row r="709">
      <c r="C709" s="79"/>
      <c r="D709" s="79"/>
      <c r="E709" s="79"/>
      <c r="O709" s="79"/>
      <c r="S709" s="79"/>
      <c r="T709" s="79"/>
      <c r="Y709" s="79"/>
      <c r="AE709" s="130"/>
      <c r="AG709" s="106"/>
    </row>
    <row r="710">
      <c r="C710" s="79"/>
      <c r="D710" s="79"/>
      <c r="E710" s="79"/>
      <c r="O710" s="79"/>
      <c r="S710" s="79"/>
      <c r="T710" s="79"/>
      <c r="Y710" s="79"/>
      <c r="AE710" s="130"/>
      <c r="AG710" s="106"/>
    </row>
    <row r="711">
      <c r="C711" s="79"/>
      <c r="D711" s="79"/>
      <c r="E711" s="79"/>
      <c r="O711" s="79"/>
      <c r="S711" s="79"/>
      <c r="T711" s="79"/>
      <c r="Y711" s="79"/>
      <c r="AE711" s="130"/>
      <c r="AG711" s="106"/>
    </row>
    <row r="712">
      <c r="C712" s="79"/>
      <c r="D712" s="79"/>
      <c r="E712" s="79"/>
      <c r="O712" s="79"/>
      <c r="S712" s="79"/>
      <c r="T712" s="79"/>
      <c r="Y712" s="79"/>
      <c r="AE712" s="130"/>
      <c r="AG712" s="106"/>
    </row>
    <row r="713">
      <c r="C713" s="79"/>
      <c r="D713" s="79"/>
      <c r="E713" s="79"/>
      <c r="O713" s="79"/>
      <c r="S713" s="79"/>
      <c r="T713" s="79"/>
      <c r="Y713" s="79"/>
      <c r="AE713" s="130"/>
      <c r="AG713" s="106"/>
    </row>
    <row r="714">
      <c r="C714" s="79"/>
      <c r="D714" s="79"/>
      <c r="E714" s="79"/>
      <c r="O714" s="79"/>
      <c r="S714" s="79"/>
      <c r="T714" s="79"/>
      <c r="Y714" s="79"/>
      <c r="AE714" s="130"/>
      <c r="AG714" s="106"/>
    </row>
    <row r="715">
      <c r="C715" s="79"/>
      <c r="D715" s="79"/>
      <c r="E715" s="79"/>
      <c r="O715" s="79"/>
      <c r="S715" s="79"/>
      <c r="T715" s="79"/>
      <c r="Y715" s="79"/>
      <c r="AE715" s="130"/>
      <c r="AG715" s="106"/>
    </row>
    <row r="716">
      <c r="C716" s="79"/>
      <c r="D716" s="79"/>
      <c r="E716" s="79"/>
      <c r="O716" s="79"/>
      <c r="S716" s="79"/>
      <c r="T716" s="79"/>
      <c r="Y716" s="79"/>
      <c r="AE716" s="130"/>
      <c r="AG716" s="106"/>
    </row>
    <row r="717">
      <c r="C717" s="79"/>
      <c r="D717" s="79"/>
      <c r="E717" s="79"/>
      <c r="O717" s="79"/>
      <c r="S717" s="79"/>
      <c r="T717" s="79"/>
      <c r="Y717" s="79"/>
      <c r="AE717" s="130"/>
      <c r="AG717" s="106"/>
    </row>
    <row r="718">
      <c r="C718" s="79"/>
      <c r="D718" s="79"/>
      <c r="E718" s="79"/>
      <c r="O718" s="79"/>
      <c r="S718" s="79"/>
      <c r="T718" s="79"/>
      <c r="Y718" s="79"/>
      <c r="AE718" s="130"/>
      <c r="AG718" s="106"/>
    </row>
    <row r="719">
      <c r="C719" s="79"/>
      <c r="D719" s="79"/>
      <c r="E719" s="79"/>
      <c r="O719" s="79"/>
      <c r="S719" s="79"/>
      <c r="T719" s="79"/>
      <c r="Y719" s="79"/>
      <c r="AE719" s="130"/>
      <c r="AG719" s="106"/>
    </row>
    <row r="720">
      <c r="C720" s="79"/>
      <c r="D720" s="79"/>
      <c r="E720" s="79"/>
      <c r="O720" s="79"/>
      <c r="S720" s="79"/>
      <c r="T720" s="79"/>
      <c r="Y720" s="79"/>
      <c r="AE720" s="130"/>
      <c r="AG720" s="106"/>
    </row>
    <row r="721">
      <c r="C721" s="79"/>
      <c r="D721" s="79"/>
      <c r="E721" s="79"/>
      <c r="O721" s="79"/>
      <c r="S721" s="79"/>
      <c r="T721" s="79"/>
      <c r="Y721" s="79"/>
      <c r="AE721" s="130"/>
      <c r="AG721" s="106"/>
    </row>
    <row r="722">
      <c r="C722" s="79"/>
      <c r="D722" s="79"/>
      <c r="E722" s="79"/>
      <c r="O722" s="79"/>
      <c r="S722" s="79"/>
      <c r="T722" s="79"/>
      <c r="Y722" s="79"/>
      <c r="AE722" s="130"/>
      <c r="AG722" s="106"/>
    </row>
    <row r="723">
      <c r="C723" s="79"/>
      <c r="D723" s="79"/>
      <c r="E723" s="79"/>
      <c r="O723" s="79"/>
      <c r="S723" s="79"/>
      <c r="T723" s="79"/>
      <c r="Y723" s="79"/>
      <c r="AE723" s="130"/>
      <c r="AG723" s="106"/>
    </row>
    <row r="724">
      <c r="C724" s="79"/>
      <c r="D724" s="79"/>
      <c r="E724" s="79"/>
      <c r="O724" s="79"/>
      <c r="S724" s="79"/>
      <c r="T724" s="79"/>
      <c r="Y724" s="79"/>
      <c r="AE724" s="130"/>
      <c r="AG724" s="106"/>
    </row>
    <row r="725">
      <c r="C725" s="79"/>
      <c r="D725" s="79"/>
      <c r="E725" s="79"/>
      <c r="O725" s="79"/>
      <c r="S725" s="79"/>
      <c r="T725" s="79"/>
      <c r="Y725" s="79"/>
      <c r="AE725" s="130"/>
      <c r="AG725" s="106"/>
    </row>
    <row r="726">
      <c r="C726" s="79"/>
      <c r="D726" s="79"/>
      <c r="E726" s="79"/>
      <c r="O726" s="79"/>
      <c r="S726" s="79"/>
      <c r="T726" s="79"/>
      <c r="Y726" s="79"/>
      <c r="AE726" s="130"/>
      <c r="AG726" s="106"/>
    </row>
    <row r="727">
      <c r="C727" s="79"/>
      <c r="D727" s="79"/>
      <c r="E727" s="79"/>
      <c r="O727" s="79"/>
      <c r="S727" s="79"/>
      <c r="T727" s="79"/>
      <c r="Y727" s="79"/>
      <c r="AE727" s="130"/>
      <c r="AG727" s="106"/>
    </row>
    <row r="728">
      <c r="C728" s="79"/>
      <c r="D728" s="79"/>
      <c r="E728" s="79"/>
      <c r="O728" s="79"/>
      <c r="S728" s="79"/>
      <c r="T728" s="79"/>
      <c r="Y728" s="79"/>
      <c r="AE728" s="130"/>
      <c r="AG728" s="106"/>
    </row>
    <row r="729">
      <c r="C729" s="79"/>
      <c r="D729" s="79"/>
      <c r="E729" s="79"/>
      <c r="O729" s="79"/>
      <c r="S729" s="79"/>
      <c r="T729" s="79"/>
      <c r="Y729" s="79"/>
      <c r="AE729" s="130"/>
      <c r="AG729" s="106"/>
    </row>
    <row r="730">
      <c r="C730" s="79"/>
      <c r="D730" s="79"/>
      <c r="E730" s="79"/>
      <c r="O730" s="79"/>
      <c r="S730" s="79"/>
      <c r="T730" s="79"/>
      <c r="Y730" s="79"/>
      <c r="AE730" s="130"/>
      <c r="AG730" s="106"/>
    </row>
    <row r="731">
      <c r="C731" s="79"/>
      <c r="D731" s="79"/>
      <c r="E731" s="79"/>
      <c r="O731" s="79"/>
      <c r="S731" s="79"/>
      <c r="T731" s="79"/>
      <c r="Y731" s="79"/>
      <c r="AE731" s="130"/>
      <c r="AG731" s="106"/>
    </row>
    <row r="732">
      <c r="C732" s="79"/>
      <c r="D732" s="79"/>
      <c r="E732" s="79"/>
      <c r="O732" s="79"/>
      <c r="S732" s="79"/>
      <c r="T732" s="79"/>
      <c r="Y732" s="79"/>
      <c r="AE732" s="130"/>
      <c r="AG732" s="106"/>
    </row>
    <row r="733">
      <c r="C733" s="79"/>
      <c r="D733" s="79"/>
      <c r="E733" s="79"/>
      <c r="O733" s="79"/>
      <c r="S733" s="79"/>
      <c r="T733" s="79"/>
      <c r="Y733" s="79"/>
      <c r="AE733" s="130"/>
      <c r="AG733" s="106"/>
    </row>
    <row r="734">
      <c r="C734" s="79"/>
      <c r="D734" s="79"/>
      <c r="E734" s="79"/>
      <c r="O734" s="79"/>
      <c r="S734" s="79"/>
      <c r="T734" s="79"/>
      <c r="Y734" s="79"/>
      <c r="AE734" s="130"/>
      <c r="AG734" s="106"/>
    </row>
    <row r="735">
      <c r="C735" s="79"/>
      <c r="D735" s="79"/>
      <c r="E735" s="79"/>
      <c r="O735" s="79"/>
      <c r="S735" s="79"/>
      <c r="T735" s="79"/>
      <c r="Y735" s="79"/>
      <c r="AE735" s="130"/>
      <c r="AG735" s="106"/>
    </row>
    <row r="736">
      <c r="C736" s="79"/>
      <c r="D736" s="79"/>
      <c r="E736" s="79"/>
      <c r="O736" s="79"/>
      <c r="S736" s="79"/>
      <c r="T736" s="79"/>
      <c r="Y736" s="79"/>
      <c r="AE736" s="130"/>
      <c r="AG736" s="106"/>
    </row>
    <row r="737">
      <c r="C737" s="79"/>
      <c r="D737" s="79"/>
      <c r="E737" s="79"/>
      <c r="O737" s="79"/>
      <c r="S737" s="79"/>
      <c r="T737" s="79"/>
      <c r="Y737" s="79"/>
      <c r="AE737" s="130"/>
      <c r="AG737" s="106"/>
    </row>
    <row r="738">
      <c r="C738" s="79"/>
      <c r="D738" s="79"/>
      <c r="E738" s="79"/>
      <c r="O738" s="79"/>
      <c r="S738" s="79"/>
      <c r="T738" s="79"/>
      <c r="Y738" s="79"/>
      <c r="AE738" s="130"/>
      <c r="AG738" s="106"/>
    </row>
    <row r="739">
      <c r="C739" s="79"/>
      <c r="D739" s="79"/>
      <c r="E739" s="79"/>
      <c r="O739" s="79"/>
      <c r="S739" s="79"/>
      <c r="T739" s="79"/>
      <c r="Y739" s="79"/>
      <c r="AE739" s="130"/>
      <c r="AG739" s="106"/>
    </row>
    <row r="740">
      <c r="C740" s="79"/>
      <c r="D740" s="79"/>
      <c r="E740" s="79"/>
      <c r="O740" s="79"/>
      <c r="S740" s="79"/>
      <c r="T740" s="79"/>
      <c r="Y740" s="79"/>
      <c r="AE740" s="130"/>
      <c r="AG740" s="106"/>
    </row>
    <row r="741">
      <c r="C741" s="79"/>
      <c r="D741" s="79"/>
      <c r="E741" s="79"/>
      <c r="O741" s="79"/>
      <c r="S741" s="79"/>
      <c r="T741" s="79"/>
      <c r="Y741" s="79"/>
      <c r="AE741" s="130"/>
      <c r="AG741" s="106"/>
    </row>
    <row r="742">
      <c r="C742" s="79"/>
      <c r="D742" s="79"/>
      <c r="E742" s="79"/>
      <c r="O742" s="79"/>
      <c r="S742" s="79"/>
      <c r="T742" s="79"/>
      <c r="Y742" s="79"/>
      <c r="AE742" s="130"/>
      <c r="AG742" s="106"/>
    </row>
    <row r="743">
      <c r="C743" s="79"/>
      <c r="D743" s="79"/>
      <c r="E743" s="79"/>
      <c r="O743" s="79"/>
      <c r="S743" s="79"/>
      <c r="T743" s="79"/>
      <c r="Y743" s="79"/>
      <c r="AE743" s="130"/>
      <c r="AG743" s="106"/>
    </row>
    <row r="744">
      <c r="C744" s="79"/>
      <c r="D744" s="79"/>
      <c r="E744" s="79"/>
      <c r="O744" s="79"/>
      <c r="S744" s="79"/>
      <c r="T744" s="79"/>
      <c r="Y744" s="79"/>
      <c r="AE744" s="130"/>
      <c r="AG744" s="106"/>
    </row>
    <row r="745">
      <c r="C745" s="79"/>
      <c r="D745" s="79"/>
      <c r="E745" s="79"/>
      <c r="O745" s="79"/>
      <c r="S745" s="79"/>
      <c r="T745" s="79"/>
      <c r="Y745" s="79"/>
      <c r="AE745" s="130"/>
      <c r="AG745" s="106"/>
    </row>
    <row r="746">
      <c r="C746" s="79"/>
      <c r="D746" s="79"/>
      <c r="E746" s="79"/>
      <c r="O746" s="79"/>
      <c r="S746" s="79"/>
      <c r="T746" s="79"/>
      <c r="Y746" s="79"/>
      <c r="AE746" s="130"/>
      <c r="AG746" s="106"/>
    </row>
    <row r="747">
      <c r="C747" s="79"/>
      <c r="D747" s="79"/>
      <c r="E747" s="79"/>
      <c r="O747" s="79"/>
      <c r="S747" s="79"/>
      <c r="T747" s="79"/>
      <c r="Y747" s="79"/>
      <c r="AE747" s="130"/>
      <c r="AG747" s="106"/>
    </row>
    <row r="748">
      <c r="C748" s="79"/>
      <c r="D748" s="79"/>
      <c r="E748" s="79"/>
      <c r="O748" s="79"/>
      <c r="S748" s="79"/>
      <c r="T748" s="79"/>
      <c r="Y748" s="79"/>
      <c r="AE748" s="130"/>
      <c r="AG748" s="106"/>
    </row>
    <row r="749">
      <c r="C749" s="79"/>
      <c r="D749" s="79"/>
      <c r="E749" s="79"/>
      <c r="O749" s="79"/>
      <c r="S749" s="79"/>
      <c r="T749" s="79"/>
      <c r="Y749" s="79"/>
      <c r="AE749" s="130"/>
      <c r="AG749" s="106"/>
    </row>
    <row r="750">
      <c r="C750" s="79"/>
      <c r="D750" s="79"/>
      <c r="E750" s="79"/>
      <c r="O750" s="79"/>
      <c r="S750" s="79"/>
      <c r="T750" s="79"/>
      <c r="Y750" s="79"/>
      <c r="AE750" s="130"/>
      <c r="AG750" s="106"/>
    </row>
    <row r="751">
      <c r="C751" s="79"/>
      <c r="D751" s="79"/>
      <c r="E751" s="79"/>
      <c r="O751" s="79"/>
      <c r="S751" s="79"/>
      <c r="T751" s="79"/>
      <c r="Y751" s="79"/>
      <c r="AE751" s="130"/>
      <c r="AG751" s="106"/>
    </row>
    <row r="752">
      <c r="C752" s="79"/>
      <c r="D752" s="79"/>
      <c r="E752" s="79"/>
      <c r="O752" s="79"/>
      <c r="S752" s="79"/>
      <c r="T752" s="79"/>
      <c r="Y752" s="79"/>
      <c r="AE752" s="130"/>
      <c r="AG752" s="106"/>
    </row>
    <row r="753">
      <c r="C753" s="79"/>
      <c r="D753" s="79"/>
      <c r="E753" s="79"/>
      <c r="O753" s="79"/>
      <c r="S753" s="79"/>
      <c r="T753" s="79"/>
      <c r="Y753" s="79"/>
      <c r="AE753" s="130"/>
      <c r="AG753" s="106"/>
    </row>
    <row r="754">
      <c r="C754" s="79"/>
      <c r="D754" s="79"/>
      <c r="E754" s="79"/>
      <c r="O754" s="79"/>
      <c r="S754" s="79"/>
      <c r="T754" s="79"/>
      <c r="Y754" s="79"/>
      <c r="AE754" s="130"/>
      <c r="AG754" s="106"/>
    </row>
    <row r="755">
      <c r="C755" s="79"/>
      <c r="D755" s="79"/>
      <c r="E755" s="79"/>
      <c r="O755" s="79"/>
      <c r="S755" s="79"/>
      <c r="T755" s="79"/>
      <c r="Y755" s="79"/>
      <c r="AE755" s="130"/>
      <c r="AG755" s="106"/>
    </row>
    <row r="756">
      <c r="C756" s="79"/>
      <c r="D756" s="79"/>
      <c r="E756" s="79"/>
      <c r="O756" s="79"/>
      <c r="S756" s="79"/>
      <c r="T756" s="79"/>
      <c r="Y756" s="79"/>
      <c r="AE756" s="130"/>
      <c r="AG756" s="106"/>
    </row>
    <row r="757">
      <c r="C757" s="79"/>
      <c r="D757" s="79"/>
      <c r="E757" s="79"/>
      <c r="O757" s="79"/>
      <c r="S757" s="79"/>
      <c r="T757" s="79"/>
      <c r="Y757" s="79"/>
      <c r="AE757" s="130"/>
      <c r="AG757" s="106"/>
    </row>
    <row r="758">
      <c r="C758" s="79"/>
      <c r="D758" s="79"/>
      <c r="E758" s="79"/>
      <c r="O758" s="79"/>
      <c r="S758" s="79"/>
      <c r="T758" s="79"/>
      <c r="Y758" s="79"/>
      <c r="AE758" s="130"/>
      <c r="AG758" s="106"/>
    </row>
    <row r="759">
      <c r="C759" s="79"/>
      <c r="D759" s="79"/>
      <c r="E759" s="79"/>
      <c r="O759" s="79"/>
      <c r="S759" s="79"/>
      <c r="T759" s="79"/>
      <c r="Y759" s="79"/>
      <c r="AE759" s="130"/>
      <c r="AG759" s="106"/>
    </row>
    <row r="760">
      <c r="C760" s="79"/>
      <c r="D760" s="79"/>
      <c r="E760" s="79"/>
      <c r="O760" s="79"/>
      <c r="S760" s="79"/>
      <c r="T760" s="79"/>
      <c r="Y760" s="79"/>
      <c r="AE760" s="130"/>
      <c r="AG760" s="106"/>
    </row>
    <row r="761">
      <c r="C761" s="79"/>
      <c r="D761" s="79"/>
      <c r="E761" s="79"/>
      <c r="O761" s="79"/>
      <c r="S761" s="79"/>
      <c r="T761" s="79"/>
      <c r="Y761" s="79"/>
      <c r="AE761" s="130"/>
      <c r="AG761" s="106"/>
    </row>
    <row r="762">
      <c r="C762" s="79"/>
      <c r="D762" s="79"/>
      <c r="E762" s="79"/>
      <c r="O762" s="79"/>
      <c r="S762" s="79"/>
      <c r="T762" s="79"/>
      <c r="Y762" s="79"/>
      <c r="AE762" s="130"/>
      <c r="AG762" s="106"/>
    </row>
    <row r="763">
      <c r="C763" s="79"/>
      <c r="D763" s="79"/>
      <c r="E763" s="79"/>
      <c r="O763" s="79"/>
      <c r="S763" s="79"/>
      <c r="T763" s="79"/>
      <c r="Y763" s="79"/>
      <c r="AE763" s="130"/>
      <c r="AG763" s="106"/>
    </row>
    <row r="764">
      <c r="C764" s="79"/>
      <c r="D764" s="79"/>
      <c r="E764" s="79"/>
      <c r="O764" s="79"/>
      <c r="S764" s="79"/>
      <c r="T764" s="79"/>
      <c r="Y764" s="79"/>
      <c r="AE764" s="130"/>
      <c r="AG764" s="106"/>
    </row>
    <row r="765">
      <c r="C765" s="79"/>
      <c r="D765" s="79"/>
      <c r="E765" s="79"/>
      <c r="O765" s="79"/>
      <c r="S765" s="79"/>
      <c r="T765" s="79"/>
      <c r="Y765" s="79"/>
      <c r="AE765" s="130"/>
      <c r="AG765" s="106"/>
    </row>
    <row r="766">
      <c r="C766" s="79"/>
      <c r="D766" s="79"/>
      <c r="E766" s="79"/>
      <c r="O766" s="79"/>
      <c r="S766" s="79"/>
      <c r="T766" s="79"/>
      <c r="Y766" s="79"/>
      <c r="AE766" s="130"/>
      <c r="AG766" s="106"/>
    </row>
    <row r="767">
      <c r="C767" s="79"/>
      <c r="D767" s="79"/>
      <c r="E767" s="79"/>
      <c r="O767" s="79"/>
      <c r="S767" s="79"/>
      <c r="T767" s="79"/>
      <c r="Y767" s="79"/>
      <c r="AE767" s="130"/>
      <c r="AG767" s="106"/>
    </row>
    <row r="768">
      <c r="C768" s="79"/>
      <c r="D768" s="79"/>
      <c r="E768" s="79"/>
      <c r="O768" s="79"/>
      <c r="S768" s="79"/>
      <c r="T768" s="79"/>
      <c r="Y768" s="79"/>
      <c r="AE768" s="130"/>
      <c r="AG768" s="106"/>
    </row>
    <row r="769">
      <c r="C769" s="79"/>
      <c r="D769" s="79"/>
      <c r="E769" s="79"/>
      <c r="O769" s="79"/>
      <c r="S769" s="79"/>
      <c r="T769" s="79"/>
      <c r="Y769" s="79"/>
      <c r="AE769" s="130"/>
      <c r="AG769" s="106"/>
    </row>
    <row r="770">
      <c r="C770" s="79"/>
      <c r="D770" s="79"/>
      <c r="E770" s="79"/>
      <c r="O770" s="79"/>
      <c r="S770" s="79"/>
      <c r="T770" s="79"/>
      <c r="Y770" s="79"/>
      <c r="AE770" s="130"/>
      <c r="AG770" s="106"/>
    </row>
    <row r="771">
      <c r="C771" s="79"/>
      <c r="D771" s="79"/>
      <c r="E771" s="79"/>
      <c r="O771" s="79"/>
      <c r="S771" s="79"/>
      <c r="T771" s="79"/>
      <c r="Y771" s="79"/>
      <c r="AE771" s="130"/>
      <c r="AG771" s="106"/>
    </row>
    <row r="772">
      <c r="C772" s="79"/>
      <c r="D772" s="79"/>
      <c r="E772" s="79"/>
      <c r="O772" s="79"/>
      <c r="S772" s="79"/>
      <c r="T772" s="79"/>
      <c r="Y772" s="79"/>
      <c r="AE772" s="130"/>
      <c r="AG772" s="106"/>
    </row>
    <row r="773">
      <c r="C773" s="79"/>
      <c r="D773" s="79"/>
      <c r="E773" s="79"/>
      <c r="O773" s="79"/>
      <c r="S773" s="79"/>
      <c r="T773" s="79"/>
      <c r="Y773" s="79"/>
      <c r="AE773" s="130"/>
      <c r="AG773" s="106"/>
    </row>
    <row r="774">
      <c r="C774" s="79"/>
      <c r="D774" s="79"/>
      <c r="E774" s="79"/>
      <c r="O774" s="79"/>
      <c r="S774" s="79"/>
      <c r="T774" s="79"/>
      <c r="Y774" s="79"/>
      <c r="AE774" s="130"/>
      <c r="AG774" s="106"/>
    </row>
    <row r="775">
      <c r="C775" s="79"/>
      <c r="D775" s="79"/>
      <c r="E775" s="79"/>
      <c r="O775" s="79"/>
      <c r="S775" s="79"/>
      <c r="T775" s="79"/>
      <c r="Y775" s="79"/>
      <c r="AE775" s="130"/>
      <c r="AG775" s="106"/>
    </row>
    <row r="776">
      <c r="C776" s="79"/>
      <c r="D776" s="79"/>
      <c r="E776" s="79"/>
      <c r="O776" s="79"/>
      <c r="S776" s="79"/>
      <c r="T776" s="79"/>
      <c r="Y776" s="79"/>
      <c r="AE776" s="130"/>
      <c r="AG776" s="106"/>
    </row>
    <row r="777">
      <c r="C777" s="79"/>
      <c r="D777" s="79"/>
      <c r="E777" s="79"/>
      <c r="O777" s="79"/>
      <c r="S777" s="79"/>
      <c r="T777" s="79"/>
      <c r="Y777" s="79"/>
      <c r="AE777" s="130"/>
      <c r="AG777" s="106"/>
    </row>
    <row r="778">
      <c r="C778" s="79"/>
      <c r="D778" s="79"/>
      <c r="E778" s="79"/>
      <c r="O778" s="79"/>
      <c r="S778" s="79"/>
      <c r="T778" s="79"/>
      <c r="Y778" s="79"/>
      <c r="AE778" s="130"/>
      <c r="AG778" s="106"/>
    </row>
    <row r="779">
      <c r="C779" s="79"/>
      <c r="D779" s="79"/>
      <c r="E779" s="79"/>
      <c r="O779" s="79"/>
      <c r="S779" s="79"/>
      <c r="T779" s="79"/>
      <c r="Y779" s="79"/>
      <c r="AE779" s="130"/>
      <c r="AG779" s="106"/>
    </row>
    <row r="780">
      <c r="C780" s="79"/>
      <c r="D780" s="79"/>
      <c r="E780" s="79"/>
      <c r="O780" s="79"/>
      <c r="S780" s="79"/>
      <c r="T780" s="79"/>
      <c r="Y780" s="79"/>
      <c r="AE780" s="130"/>
      <c r="AG780" s="106"/>
    </row>
    <row r="781">
      <c r="C781" s="79"/>
      <c r="D781" s="79"/>
      <c r="E781" s="79"/>
      <c r="O781" s="79"/>
      <c r="S781" s="79"/>
      <c r="T781" s="79"/>
      <c r="Y781" s="79"/>
      <c r="AE781" s="130"/>
      <c r="AG781" s="106"/>
    </row>
    <row r="782">
      <c r="C782" s="79"/>
      <c r="D782" s="79"/>
      <c r="E782" s="79"/>
      <c r="O782" s="79"/>
      <c r="S782" s="79"/>
      <c r="T782" s="79"/>
      <c r="Y782" s="79"/>
      <c r="AE782" s="130"/>
      <c r="AG782" s="106"/>
    </row>
    <row r="783">
      <c r="C783" s="79"/>
      <c r="D783" s="79"/>
      <c r="E783" s="79"/>
      <c r="O783" s="79"/>
      <c r="S783" s="79"/>
      <c r="T783" s="79"/>
      <c r="Y783" s="79"/>
      <c r="AE783" s="130"/>
      <c r="AG783" s="106"/>
    </row>
    <row r="784">
      <c r="C784" s="79"/>
      <c r="D784" s="79"/>
      <c r="E784" s="79"/>
      <c r="O784" s="79"/>
      <c r="S784" s="79"/>
      <c r="T784" s="79"/>
      <c r="Y784" s="79"/>
      <c r="AE784" s="130"/>
      <c r="AG784" s="106"/>
    </row>
    <row r="785">
      <c r="C785" s="79"/>
      <c r="D785" s="79"/>
      <c r="E785" s="79"/>
      <c r="O785" s="79"/>
      <c r="S785" s="79"/>
      <c r="T785" s="79"/>
      <c r="Y785" s="79"/>
      <c r="AE785" s="130"/>
      <c r="AG785" s="106"/>
    </row>
    <row r="786">
      <c r="C786" s="79"/>
      <c r="D786" s="79"/>
      <c r="E786" s="79"/>
      <c r="O786" s="79"/>
      <c r="S786" s="79"/>
      <c r="T786" s="79"/>
      <c r="Y786" s="79"/>
      <c r="AE786" s="130"/>
      <c r="AG786" s="106"/>
    </row>
    <row r="787">
      <c r="C787" s="79"/>
      <c r="D787" s="79"/>
      <c r="E787" s="79"/>
      <c r="O787" s="79"/>
      <c r="S787" s="79"/>
      <c r="T787" s="79"/>
      <c r="Y787" s="79"/>
      <c r="AE787" s="130"/>
      <c r="AG787" s="106"/>
    </row>
    <row r="788">
      <c r="C788" s="79"/>
      <c r="D788" s="79"/>
      <c r="E788" s="79"/>
      <c r="O788" s="79"/>
      <c r="S788" s="79"/>
      <c r="T788" s="79"/>
      <c r="Y788" s="79"/>
      <c r="AE788" s="130"/>
      <c r="AG788" s="106"/>
    </row>
    <row r="789">
      <c r="C789" s="79"/>
      <c r="D789" s="79"/>
      <c r="E789" s="79"/>
      <c r="O789" s="79"/>
      <c r="S789" s="79"/>
      <c r="T789" s="79"/>
      <c r="Y789" s="79"/>
      <c r="AE789" s="130"/>
      <c r="AG789" s="106"/>
    </row>
    <row r="790">
      <c r="C790" s="79"/>
      <c r="D790" s="79"/>
      <c r="E790" s="79"/>
      <c r="O790" s="79"/>
      <c r="S790" s="79"/>
      <c r="T790" s="79"/>
      <c r="Y790" s="79"/>
      <c r="AE790" s="130"/>
      <c r="AG790" s="106"/>
    </row>
    <row r="791">
      <c r="C791" s="79"/>
      <c r="D791" s="79"/>
      <c r="E791" s="79"/>
      <c r="O791" s="79"/>
      <c r="S791" s="79"/>
      <c r="T791" s="79"/>
      <c r="Y791" s="79"/>
      <c r="AE791" s="130"/>
      <c r="AG791" s="106"/>
    </row>
    <row r="792">
      <c r="C792" s="79"/>
      <c r="D792" s="79"/>
      <c r="E792" s="79"/>
      <c r="O792" s="79"/>
      <c r="S792" s="79"/>
      <c r="T792" s="79"/>
      <c r="Y792" s="79"/>
      <c r="AE792" s="130"/>
      <c r="AG792" s="106"/>
    </row>
    <row r="793">
      <c r="C793" s="79"/>
      <c r="D793" s="79"/>
      <c r="E793" s="79"/>
      <c r="O793" s="79"/>
      <c r="S793" s="79"/>
      <c r="T793" s="79"/>
      <c r="Y793" s="79"/>
      <c r="AE793" s="130"/>
      <c r="AG793" s="106"/>
    </row>
    <row r="794">
      <c r="C794" s="79"/>
      <c r="D794" s="79"/>
      <c r="E794" s="79"/>
      <c r="O794" s="79"/>
      <c r="S794" s="79"/>
      <c r="T794" s="79"/>
      <c r="Y794" s="79"/>
      <c r="AE794" s="130"/>
      <c r="AG794" s="106"/>
    </row>
    <row r="795">
      <c r="C795" s="79"/>
      <c r="D795" s="79"/>
      <c r="E795" s="79"/>
      <c r="O795" s="79"/>
      <c r="S795" s="79"/>
      <c r="T795" s="79"/>
      <c r="Y795" s="79"/>
      <c r="AE795" s="130"/>
      <c r="AG795" s="106"/>
    </row>
    <row r="796">
      <c r="C796" s="79"/>
      <c r="D796" s="79"/>
      <c r="E796" s="79"/>
      <c r="O796" s="79"/>
      <c r="S796" s="79"/>
      <c r="T796" s="79"/>
      <c r="Y796" s="79"/>
      <c r="AE796" s="130"/>
      <c r="AG796" s="106"/>
    </row>
    <row r="797">
      <c r="C797" s="79"/>
      <c r="D797" s="79"/>
      <c r="E797" s="79"/>
      <c r="O797" s="79"/>
      <c r="S797" s="79"/>
      <c r="T797" s="79"/>
      <c r="Y797" s="79"/>
      <c r="AE797" s="130"/>
      <c r="AG797" s="106"/>
    </row>
    <row r="798">
      <c r="C798" s="79"/>
      <c r="D798" s="79"/>
      <c r="E798" s="79"/>
      <c r="O798" s="79"/>
      <c r="S798" s="79"/>
      <c r="T798" s="79"/>
      <c r="Y798" s="79"/>
      <c r="AE798" s="130"/>
      <c r="AG798" s="106"/>
    </row>
    <row r="799">
      <c r="C799" s="79"/>
      <c r="D799" s="79"/>
      <c r="E799" s="79"/>
      <c r="O799" s="79"/>
      <c r="S799" s="79"/>
      <c r="T799" s="79"/>
      <c r="Y799" s="79"/>
      <c r="AE799" s="130"/>
      <c r="AG799" s="106"/>
    </row>
    <row r="800">
      <c r="C800" s="79"/>
      <c r="D800" s="79"/>
      <c r="E800" s="79"/>
      <c r="O800" s="79"/>
      <c r="S800" s="79"/>
      <c r="T800" s="79"/>
      <c r="Y800" s="79"/>
      <c r="AE800" s="130"/>
      <c r="AG800" s="106"/>
    </row>
    <row r="801">
      <c r="C801" s="79"/>
      <c r="D801" s="79"/>
      <c r="E801" s="79"/>
      <c r="O801" s="79"/>
      <c r="S801" s="79"/>
      <c r="T801" s="79"/>
      <c r="Y801" s="79"/>
      <c r="AE801" s="130"/>
      <c r="AG801" s="106"/>
    </row>
    <row r="802">
      <c r="C802" s="79"/>
      <c r="D802" s="79"/>
      <c r="E802" s="79"/>
      <c r="O802" s="79"/>
      <c r="S802" s="79"/>
      <c r="T802" s="79"/>
      <c r="Y802" s="79"/>
      <c r="AE802" s="130"/>
      <c r="AG802" s="106"/>
    </row>
    <row r="803">
      <c r="C803" s="79"/>
      <c r="D803" s="79"/>
      <c r="E803" s="79"/>
      <c r="O803" s="79"/>
      <c r="S803" s="79"/>
      <c r="T803" s="79"/>
      <c r="Y803" s="79"/>
      <c r="AE803" s="130"/>
      <c r="AG803" s="106"/>
    </row>
    <row r="804">
      <c r="C804" s="79"/>
      <c r="D804" s="79"/>
      <c r="E804" s="79"/>
      <c r="O804" s="79"/>
      <c r="S804" s="79"/>
      <c r="T804" s="79"/>
      <c r="Y804" s="79"/>
      <c r="AE804" s="130"/>
      <c r="AG804" s="106"/>
    </row>
    <row r="805">
      <c r="C805" s="79"/>
      <c r="D805" s="79"/>
      <c r="E805" s="79"/>
      <c r="O805" s="79"/>
      <c r="S805" s="79"/>
      <c r="T805" s="79"/>
      <c r="Y805" s="79"/>
      <c r="AE805" s="130"/>
      <c r="AG805" s="106"/>
    </row>
    <row r="806">
      <c r="C806" s="79"/>
      <c r="D806" s="79"/>
      <c r="E806" s="79"/>
      <c r="O806" s="79"/>
      <c r="S806" s="79"/>
      <c r="T806" s="79"/>
      <c r="Y806" s="79"/>
      <c r="AE806" s="130"/>
      <c r="AG806" s="106"/>
    </row>
    <row r="807">
      <c r="C807" s="79"/>
      <c r="D807" s="79"/>
      <c r="E807" s="79"/>
      <c r="O807" s="79"/>
      <c r="S807" s="79"/>
      <c r="T807" s="79"/>
      <c r="Y807" s="79"/>
      <c r="AE807" s="130"/>
      <c r="AG807" s="106"/>
    </row>
    <row r="808">
      <c r="C808" s="79"/>
      <c r="D808" s="79"/>
      <c r="E808" s="79"/>
      <c r="O808" s="79"/>
      <c r="S808" s="79"/>
      <c r="T808" s="79"/>
      <c r="Y808" s="79"/>
      <c r="AE808" s="130"/>
      <c r="AG808" s="106"/>
    </row>
    <row r="809">
      <c r="C809" s="79"/>
      <c r="D809" s="79"/>
      <c r="E809" s="79"/>
      <c r="O809" s="79"/>
      <c r="S809" s="79"/>
      <c r="T809" s="79"/>
      <c r="Y809" s="79"/>
      <c r="AE809" s="130"/>
      <c r="AG809" s="106"/>
    </row>
    <row r="810">
      <c r="C810" s="79"/>
      <c r="D810" s="79"/>
      <c r="E810" s="79"/>
      <c r="O810" s="79"/>
      <c r="S810" s="79"/>
      <c r="T810" s="79"/>
      <c r="Y810" s="79"/>
      <c r="AE810" s="130"/>
      <c r="AG810" s="106"/>
    </row>
    <row r="811">
      <c r="C811" s="79"/>
      <c r="D811" s="79"/>
      <c r="E811" s="79"/>
      <c r="O811" s="79"/>
      <c r="S811" s="79"/>
      <c r="T811" s="79"/>
      <c r="Y811" s="79"/>
      <c r="AE811" s="130"/>
      <c r="AG811" s="106"/>
    </row>
    <row r="812">
      <c r="C812" s="79"/>
      <c r="D812" s="79"/>
      <c r="E812" s="79"/>
      <c r="O812" s="79"/>
      <c r="S812" s="79"/>
      <c r="T812" s="79"/>
      <c r="Y812" s="79"/>
      <c r="AE812" s="130"/>
      <c r="AG812" s="106"/>
    </row>
    <row r="813">
      <c r="C813" s="79"/>
      <c r="D813" s="79"/>
      <c r="E813" s="79"/>
      <c r="O813" s="79"/>
      <c r="S813" s="79"/>
      <c r="T813" s="79"/>
      <c r="Y813" s="79"/>
      <c r="AE813" s="130"/>
      <c r="AG813" s="106"/>
    </row>
    <row r="814">
      <c r="C814" s="79"/>
      <c r="D814" s="79"/>
      <c r="E814" s="79"/>
      <c r="O814" s="79"/>
      <c r="S814" s="79"/>
      <c r="T814" s="79"/>
      <c r="Y814" s="79"/>
      <c r="AE814" s="130"/>
      <c r="AG814" s="106"/>
    </row>
    <row r="815">
      <c r="C815" s="79"/>
      <c r="D815" s="79"/>
      <c r="E815" s="79"/>
      <c r="O815" s="79"/>
      <c r="S815" s="79"/>
      <c r="T815" s="79"/>
      <c r="Y815" s="79"/>
      <c r="AE815" s="130"/>
      <c r="AG815" s="106"/>
    </row>
    <row r="816">
      <c r="C816" s="79"/>
      <c r="D816" s="79"/>
      <c r="E816" s="79"/>
      <c r="O816" s="79"/>
      <c r="S816" s="79"/>
      <c r="T816" s="79"/>
      <c r="Y816" s="79"/>
      <c r="AE816" s="130"/>
      <c r="AG816" s="106"/>
    </row>
    <row r="817">
      <c r="C817" s="79"/>
      <c r="D817" s="79"/>
      <c r="E817" s="79"/>
      <c r="O817" s="79"/>
      <c r="S817" s="79"/>
      <c r="T817" s="79"/>
      <c r="Y817" s="79"/>
      <c r="AE817" s="130"/>
      <c r="AG817" s="106"/>
    </row>
    <row r="818">
      <c r="C818" s="79"/>
      <c r="D818" s="79"/>
      <c r="E818" s="79"/>
      <c r="O818" s="79"/>
      <c r="S818" s="79"/>
      <c r="T818" s="79"/>
      <c r="Y818" s="79"/>
      <c r="AE818" s="130"/>
      <c r="AG818" s="106"/>
    </row>
    <row r="819">
      <c r="C819" s="79"/>
      <c r="D819" s="79"/>
      <c r="E819" s="79"/>
      <c r="O819" s="79"/>
      <c r="S819" s="79"/>
      <c r="T819" s="79"/>
      <c r="Y819" s="79"/>
      <c r="AE819" s="130"/>
      <c r="AG819" s="106"/>
    </row>
    <row r="820">
      <c r="C820" s="79"/>
      <c r="D820" s="79"/>
      <c r="E820" s="79"/>
      <c r="O820" s="79"/>
      <c r="S820" s="79"/>
      <c r="T820" s="79"/>
      <c r="Y820" s="79"/>
      <c r="AE820" s="130"/>
      <c r="AG820" s="106"/>
    </row>
    <row r="821">
      <c r="C821" s="79"/>
      <c r="D821" s="79"/>
      <c r="E821" s="79"/>
      <c r="O821" s="79"/>
      <c r="S821" s="79"/>
      <c r="T821" s="79"/>
      <c r="Y821" s="79"/>
      <c r="AE821" s="130"/>
      <c r="AG821" s="106"/>
    </row>
    <row r="822">
      <c r="C822" s="79"/>
      <c r="D822" s="79"/>
      <c r="E822" s="79"/>
      <c r="O822" s="79"/>
      <c r="S822" s="79"/>
      <c r="T822" s="79"/>
      <c r="Y822" s="79"/>
      <c r="AE822" s="130"/>
      <c r="AG822" s="106"/>
    </row>
    <row r="823">
      <c r="C823" s="79"/>
      <c r="D823" s="79"/>
      <c r="E823" s="79"/>
      <c r="O823" s="79"/>
      <c r="S823" s="79"/>
      <c r="T823" s="79"/>
      <c r="Y823" s="79"/>
      <c r="AE823" s="130"/>
      <c r="AG823" s="106"/>
    </row>
    <row r="824">
      <c r="C824" s="79"/>
      <c r="D824" s="79"/>
      <c r="E824" s="79"/>
      <c r="O824" s="79"/>
      <c r="S824" s="79"/>
      <c r="T824" s="79"/>
      <c r="Y824" s="79"/>
      <c r="AE824" s="130"/>
      <c r="AG824" s="106"/>
    </row>
    <row r="825">
      <c r="C825" s="79"/>
      <c r="D825" s="79"/>
      <c r="E825" s="79"/>
      <c r="O825" s="79"/>
      <c r="S825" s="79"/>
      <c r="T825" s="79"/>
      <c r="Y825" s="79"/>
      <c r="AE825" s="130"/>
      <c r="AG825" s="106"/>
    </row>
    <row r="826">
      <c r="C826" s="79"/>
      <c r="D826" s="79"/>
      <c r="E826" s="79"/>
      <c r="O826" s="79"/>
      <c r="S826" s="79"/>
      <c r="T826" s="79"/>
      <c r="Y826" s="79"/>
      <c r="AE826" s="130"/>
      <c r="AG826" s="106"/>
    </row>
    <row r="827">
      <c r="C827" s="79"/>
      <c r="D827" s="79"/>
      <c r="E827" s="79"/>
      <c r="O827" s="79"/>
      <c r="S827" s="79"/>
      <c r="T827" s="79"/>
      <c r="Y827" s="79"/>
      <c r="AE827" s="130"/>
      <c r="AG827" s="106"/>
    </row>
    <row r="828">
      <c r="C828" s="79"/>
      <c r="D828" s="79"/>
      <c r="E828" s="79"/>
      <c r="O828" s="79"/>
      <c r="S828" s="79"/>
      <c r="T828" s="79"/>
      <c r="Y828" s="79"/>
      <c r="AE828" s="130"/>
      <c r="AG828" s="106"/>
    </row>
    <row r="829">
      <c r="C829" s="79"/>
      <c r="D829" s="79"/>
      <c r="E829" s="79"/>
      <c r="O829" s="79"/>
      <c r="S829" s="79"/>
      <c r="T829" s="79"/>
      <c r="Y829" s="79"/>
      <c r="AE829" s="130"/>
      <c r="AG829" s="106"/>
    </row>
    <row r="830">
      <c r="C830" s="79"/>
      <c r="D830" s="79"/>
      <c r="E830" s="79"/>
      <c r="O830" s="79"/>
      <c r="S830" s="79"/>
      <c r="T830" s="79"/>
      <c r="Y830" s="79"/>
      <c r="AE830" s="130"/>
      <c r="AG830" s="106"/>
    </row>
    <row r="831">
      <c r="C831" s="79"/>
      <c r="D831" s="79"/>
      <c r="E831" s="79"/>
      <c r="O831" s="79"/>
      <c r="S831" s="79"/>
      <c r="T831" s="79"/>
      <c r="Y831" s="79"/>
      <c r="AE831" s="130"/>
      <c r="AG831" s="106"/>
    </row>
    <row r="832">
      <c r="C832" s="79"/>
      <c r="D832" s="79"/>
      <c r="E832" s="79"/>
      <c r="O832" s="79"/>
      <c r="S832" s="79"/>
      <c r="T832" s="79"/>
      <c r="Y832" s="79"/>
      <c r="AE832" s="130"/>
      <c r="AG832" s="106"/>
    </row>
    <row r="833">
      <c r="C833" s="79"/>
      <c r="D833" s="79"/>
      <c r="E833" s="79"/>
      <c r="O833" s="79"/>
      <c r="S833" s="79"/>
      <c r="T833" s="79"/>
      <c r="Y833" s="79"/>
      <c r="AE833" s="130"/>
      <c r="AG833" s="106"/>
    </row>
    <row r="834">
      <c r="C834" s="79"/>
      <c r="D834" s="79"/>
      <c r="E834" s="79"/>
      <c r="O834" s="79"/>
      <c r="S834" s="79"/>
      <c r="T834" s="79"/>
      <c r="Y834" s="79"/>
      <c r="AE834" s="130"/>
      <c r="AG834" s="106"/>
    </row>
    <row r="835">
      <c r="C835" s="79"/>
      <c r="D835" s="79"/>
      <c r="E835" s="79"/>
      <c r="O835" s="79"/>
      <c r="S835" s="79"/>
      <c r="T835" s="79"/>
      <c r="Y835" s="79"/>
      <c r="AE835" s="130"/>
      <c r="AG835" s="106"/>
    </row>
    <row r="836">
      <c r="C836" s="79"/>
      <c r="D836" s="79"/>
      <c r="E836" s="79"/>
      <c r="O836" s="79"/>
      <c r="S836" s="79"/>
      <c r="T836" s="79"/>
      <c r="Y836" s="79"/>
      <c r="AE836" s="130"/>
      <c r="AG836" s="106"/>
    </row>
    <row r="837">
      <c r="C837" s="79"/>
      <c r="D837" s="79"/>
      <c r="E837" s="79"/>
      <c r="O837" s="79"/>
      <c r="S837" s="79"/>
      <c r="T837" s="79"/>
      <c r="Y837" s="79"/>
      <c r="AE837" s="130"/>
      <c r="AG837" s="106"/>
    </row>
    <row r="838">
      <c r="C838" s="79"/>
      <c r="D838" s="79"/>
      <c r="E838" s="79"/>
      <c r="O838" s="79"/>
      <c r="S838" s="79"/>
      <c r="T838" s="79"/>
      <c r="Y838" s="79"/>
      <c r="AE838" s="130"/>
      <c r="AG838" s="106"/>
    </row>
    <row r="839">
      <c r="O839" s="79"/>
      <c r="S839" s="79"/>
      <c r="T839" s="79"/>
      <c r="Y839" s="79"/>
      <c r="AE839" s="130"/>
      <c r="AG839" s="106"/>
    </row>
    <row r="840">
      <c r="O840" s="79"/>
      <c r="S840" s="79"/>
      <c r="T840" s="79"/>
      <c r="Y840" s="79"/>
      <c r="AE840" s="130"/>
      <c r="AG840" s="106"/>
    </row>
    <row r="841">
      <c r="O841" s="79"/>
      <c r="S841" s="79"/>
      <c r="T841" s="79"/>
      <c r="Y841" s="79"/>
      <c r="AE841" s="130"/>
      <c r="AG841" s="106"/>
    </row>
    <row r="842">
      <c r="O842" s="79"/>
      <c r="S842" s="79"/>
      <c r="T842" s="79"/>
      <c r="Y842" s="79"/>
      <c r="AE842" s="130"/>
      <c r="AG842" s="106"/>
    </row>
    <row r="843">
      <c r="O843" s="79"/>
      <c r="S843" s="79"/>
      <c r="T843" s="79"/>
      <c r="Y843" s="79"/>
      <c r="AE843" s="130"/>
      <c r="AG843" s="106"/>
    </row>
    <row r="844">
      <c r="O844" s="79"/>
      <c r="S844" s="79"/>
      <c r="T844" s="79"/>
      <c r="Y844" s="79"/>
      <c r="AE844" s="130"/>
      <c r="AG844" s="106"/>
    </row>
    <row r="845">
      <c r="O845" s="79"/>
      <c r="S845" s="79"/>
      <c r="T845" s="79"/>
      <c r="Y845" s="79"/>
      <c r="AE845" s="130"/>
      <c r="AG845" s="106"/>
    </row>
    <row r="846">
      <c r="O846" s="79"/>
      <c r="S846" s="79"/>
      <c r="T846" s="79"/>
      <c r="Y846" s="79"/>
      <c r="AE846" s="130"/>
      <c r="AG846" s="106"/>
    </row>
    <row r="847">
      <c r="O847" s="79"/>
      <c r="S847" s="79"/>
      <c r="T847" s="79"/>
      <c r="Y847" s="79"/>
      <c r="AE847" s="130"/>
      <c r="AG847" s="106"/>
    </row>
    <row r="848">
      <c r="O848" s="79"/>
      <c r="S848" s="79"/>
      <c r="T848" s="79"/>
      <c r="Y848" s="79"/>
      <c r="AE848" s="130"/>
      <c r="AG848" s="106"/>
    </row>
    <row r="849">
      <c r="O849" s="79"/>
      <c r="S849" s="79"/>
      <c r="T849" s="79"/>
      <c r="Y849" s="79"/>
      <c r="AE849" s="130"/>
      <c r="AG849" s="106"/>
    </row>
    <row r="850">
      <c r="O850" s="79"/>
      <c r="S850" s="79"/>
      <c r="T850" s="79"/>
      <c r="Y850" s="79"/>
      <c r="AE850" s="130"/>
      <c r="AG850" s="106"/>
    </row>
    <row r="851">
      <c r="O851" s="79"/>
      <c r="S851" s="79"/>
      <c r="T851" s="79"/>
      <c r="Y851" s="79"/>
      <c r="AE851" s="130"/>
      <c r="AG851" s="106"/>
    </row>
  </sheetData>
  <autoFilter ref="$A$34:$F$65">
    <sortState ref="A34:F65">
      <sortCondition descending="1" sortBy="cellColor" ref="E34:E65" dxfId="1"/>
      <sortCondition descending="1" sortBy="cellColor" ref="C34:C65" dxfId="1"/>
      <sortCondition descending="1" sortBy="cellColor" ref="A34:A65" dxfId="1"/>
    </sortState>
  </autoFilter>
  <mergeCells count="1">
    <mergeCell ref="B31:E31"/>
  </mergeCells>
  <conditionalFormatting sqref="H35:H47">
    <cfRule type="cellIs" dxfId="2" priority="1" operator="greaterThanOrEqual">
      <formula>1</formula>
    </cfRule>
  </conditionalFormatting>
  <conditionalFormatting sqref="H35:H47">
    <cfRule type="cellIs" dxfId="3" priority="2" operator="lessThanOrEqual">
      <formula>0</formula>
    </cfRule>
  </conditionalFormatting>
  <drawing r:id="rId2"/>
  <legacyDrawing r:id="rId3"/>
  <tableParts count="1">
    <tablePart r:id="rId5"/>
  </tableParts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3" max="3" width="17.38"/>
    <col customWidth="1" min="4" max="4" width="25.75"/>
    <col customWidth="1" min="5" max="5" width="20.88"/>
    <col customWidth="1" min="6" max="6" width="15.5"/>
    <col customWidth="1" min="7" max="7" width="25.13"/>
    <col customWidth="1" min="8" max="8" width="24.0"/>
    <col customWidth="1" min="9" max="10" width="15.5"/>
    <col customWidth="1" min="11" max="11" width="16.5"/>
    <col customWidth="1" min="12" max="13" width="15.5"/>
    <col customWidth="1" min="15" max="15" width="27.38"/>
    <col customWidth="1" min="17" max="17" width="11.13"/>
    <col customWidth="1" min="26" max="26" width="14.63"/>
    <col customWidth="1" min="33" max="33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4</v>
      </c>
      <c r="J1" s="2" t="s">
        <v>5</v>
      </c>
      <c r="K1" s="2" t="s">
        <v>303</v>
      </c>
      <c r="L1" s="2" t="s">
        <v>6</v>
      </c>
      <c r="M1" s="2" t="s">
        <v>12</v>
      </c>
      <c r="N1" s="2" t="s">
        <v>49</v>
      </c>
      <c r="O1" s="105" t="s">
        <v>304</v>
      </c>
      <c r="P1" s="2" t="s">
        <v>37</v>
      </c>
      <c r="Q1" s="2" t="s">
        <v>10</v>
      </c>
      <c r="R1" s="2" t="s">
        <v>42</v>
      </c>
      <c r="S1" s="105" t="s">
        <v>656</v>
      </c>
      <c r="T1" s="105" t="s">
        <v>9</v>
      </c>
      <c r="U1" s="2" t="s">
        <v>164</v>
      </c>
      <c r="V1" s="105" t="s">
        <v>40</v>
      </c>
      <c r="W1" s="2" t="s">
        <v>83</v>
      </c>
      <c r="X1" s="2" t="s">
        <v>204</v>
      </c>
      <c r="Y1" s="105" t="s">
        <v>205</v>
      </c>
      <c r="Z1" s="2" t="s">
        <v>206</v>
      </c>
      <c r="AA1" s="2" t="s">
        <v>305</v>
      </c>
      <c r="AB1" s="3" t="s">
        <v>760</v>
      </c>
      <c r="AC1" s="3" t="s">
        <v>828</v>
      </c>
      <c r="AD1" s="3" t="s">
        <v>13</v>
      </c>
      <c r="AE1" s="3" t="s">
        <v>14</v>
      </c>
      <c r="AF1" s="3" t="s">
        <v>15</v>
      </c>
      <c r="AG1" s="106"/>
      <c r="AH1" s="265" t="s">
        <v>306</v>
      </c>
      <c r="AI1" s="266" t="s">
        <v>80</v>
      </c>
    </row>
    <row r="2">
      <c r="A2" s="74">
        <v>45621.0</v>
      </c>
      <c r="B2" s="93"/>
      <c r="C2" s="93"/>
      <c r="D2" s="93"/>
      <c r="E2" s="93"/>
      <c r="F2" s="93"/>
      <c r="G2" s="93">
        <v>180.0</v>
      </c>
      <c r="H2" s="93"/>
      <c r="I2" s="93"/>
      <c r="J2" s="374"/>
      <c r="K2" s="93"/>
      <c r="L2" s="93"/>
      <c r="M2" s="93"/>
      <c r="N2" s="93"/>
      <c r="O2" s="93"/>
      <c r="P2" s="72"/>
      <c r="Q2" s="93"/>
      <c r="R2" s="93"/>
      <c r="S2" s="93"/>
      <c r="T2" s="93"/>
      <c r="U2" s="93"/>
      <c r="V2" s="93"/>
      <c r="W2" s="93"/>
      <c r="X2" s="93"/>
      <c r="Y2" s="93"/>
      <c r="Z2" s="93"/>
      <c r="AA2" s="386"/>
      <c r="AB2" s="326"/>
      <c r="AC2" s="386"/>
      <c r="AD2" s="107">
        <f>SUM(B2:AA2)</f>
        <v>180</v>
      </c>
      <c r="AE2" s="158">
        <v>0.0</v>
      </c>
      <c r="AF2" s="59" t="str">
        <f t="shared" ref="AF2:AF8" si="1">AD2/AE2</f>
        <v>#DIV/0!</v>
      </c>
      <c r="AG2" s="109">
        <f t="shared" ref="AG2:AG8" si="2">A2</f>
        <v>45621</v>
      </c>
      <c r="AH2" s="267"/>
      <c r="AI2" s="268">
        <f t="shared" ref="AI2:AI8" si="3">AE2-AH2</f>
        <v>0</v>
      </c>
    </row>
    <row r="3">
      <c r="A3" s="74">
        <f t="shared" ref="A3:A8" si="4">A2+1</f>
        <v>45622</v>
      </c>
      <c r="B3" s="93">
        <v>223.77</v>
      </c>
      <c r="C3" s="93"/>
      <c r="D3" s="93">
        <v>207.5</v>
      </c>
      <c r="E3" s="93"/>
      <c r="F3" s="93"/>
      <c r="G3" s="93"/>
      <c r="H3" s="168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326"/>
      <c r="AB3" s="326"/>
      <c r="AC3" s="326"/>
      <c r="AD3" s="107">
        <f t="shared" ref="AD3:AD8" si="5">SUM(B3:Z3)</f>
        <v>431.27</v>
      </c>
      <c r="AE3" s="158">
        <v>0.0</v>
      </c>
      <c r="AF3" s="59" t="str">
        <f t="shared" si="1"/>
        <v>#DIV/0!</v>
      </c>
      <c r="AG3" s="109">
        <f t="shared" si="2"/>
        <v>45622</v>
      </c>
      <c r="AH3" s="267"/>
      <c r="AI3" s="268">
        <f t="shared" si="3"/>
        <v>0</v>
      </c>
    </row>
    <row r="4">
      <c r="A4" s="74">
        <f t="shared" si="4"/>
        <v>45623</v>
      </c>
      <c r="B4" s="93">
        <f>822.96-24.91-169.56-41.58-239.22-26.53-16.74</f>
        <v>304.42</v>
      </c>
      <c r="C4" s="93"/>
      <c r="D4" s="93">
        <v>1465.41</v>
      </c>
      <c r="E4" s="93"/>
      <c r="F4" s="93"/>
      <c r="G4" s="93">
        <v>180.0</v>
      </c>
      <c r="H4" s="168"/>
      <c r="I4" s="93"/>
      <c r="J4" s="93"/>
      <c r="K4" s="93"/>
      <c r="L4" s="93"/>
      <c r="M4" s="93"/>
      <c r="N4" s="93"/>
      <c r="O4" s="93"/>
      <c r="P4" s="160"/>
      <c r="Q4" s="93"/>
      <c r="R4" s="93"/>
      <c r="S4" s="93"/>
      <c r="T4" s="93"/>
      <c r="U4" s="93"/>
      <c r="V4" s="93"/>
      <c r="W4" s="93"/>
      <c r="X4" s="93"/>
      <c r="Y4" s="93"/>
      <c r="Z4" s="101"/>
      <c r="AA4" s="326"/>
      <c r="AB4" s="326"/>
      <c r="AC4" s="326"/>
      <c r="AD4" s="107">
        <f t="shared" si="5"/>
        <v>1949.83</v>
      </c>
      <c r="AE4" s="158">
        <v>0.0</v>
      </c>
      <c r="AF4" s="59" t="str">
        <f t="shared" si="1"/>
        <v>#DIV/0!</v>
      </c>
      <c r="AG4" s="109">
        <f t="shared" si="2"/>
        <v>45623</v>
      </c>
      <c r="AH4" s="267"/>
      <c r="AI4" s="268">
        <f t="shared" si="3"/>
        <v>0</v>
      </c>
    </row>
    <row r="5">
      <c r="A5" s="74">
        <f t="shared" si="4"/>
        <v>45624</v>
      </c>
      <c r="B5" s="93"/>
      <c r="C5" s="93"/>
      <c r="D5" s="93"/>
      <c r="E5" s="93"/>
      <c r="F5" s="166"/>
      <c r="G5" s="93"/>
      <c r="H5" s="160"/>
      <c r="I5" s="93"/>
      <c r="J5" s="93"/>
      <c r="K5" s="93"/>
      <c r="L5" s="93"/>
      <c r="M5" s="93"/>
      <c r="N5" s="93"/>
      <c r="O5" s="93"/>
      <c r="P5" s="93"/>
      <c r="Q5" s="93"/>
      <c r="R5" s="93"/>
      <c r="S5" s="101"/>
      <c r="T5" s="93"/>
      <c r="U5" s="93"/>
      <c r="V5" s="93"/>
      <c r="W5" s="93"/>
      <c r="X5" s="93"/>
      <c r="Y5" s="101"/>
      <c r="Z5" s="101"/>
      <c r="AA5" s="327"/>
      <c r="AB5" s="327"/>
      <c r="AC5" s="327"/>
      <c r="AD5" s="7">
        <f t="shared" si="5"/>
        <v>0</v>
      </c>
      <c r="AE5" s="380">
        <v>0.0</v>
      </c>
      <c r="AF5" s="59" t="str">
        <f t="shared" si="1"/>
        <v>#DIV/0!</v>
      </c>
      <c r="AG5" s="109">
        <f t="shared" si="2"/>
        <v>45624</v>
      </c>
      <c r="AH5" s="267"/>
      <c r="AI5" s="268">
        <f t="shared" si="3"/>
        <v>0</v>
      </c>
    </row>
    <row r="6">
      <c r="A6" s="74">
        <f t="shared" si="4"/>
        <v>45625</v>
      </c>
      <c r="B6" s="93"/>
      <c r="C6" s="361"/>
      <c r="D6" s="93"/>
      <c r="E6" s="93"/>
      <c r="F6" s="93"/>
      <c r="G6" s="93"/>
      <c r="H6" s="160"/>
      <c r="I6" s="93"/>
      <c r="J6" s="93"/>
      <c r="K6" s="93"/>
      <c r="L6" s="93"/>
      <c r="M6" s="93"/>
      <c r="N6" s="93"/>
      <c r="O6" s="93"/>
      <c r="P6" s="93"/>
      <c r="Q6" s="93">
        <v>191.7</v>
      </c>
      <c r="R6" s="93"/>
      <c r="S6" s="93"/>
      <c r="T6" s="374"/>
      <c r="U6" s="93"/>
      <c r="V6" s="93"/>
      <c r="W6" s="93"/>
      <c r="X6" s="93"/>
      <c r="Y6" s="93"/>
      <c r="Z6" s="93"/>
      <c r="AA6" s="327"/>
      <c r="AB6" s="327"/>
      <c r="AC6" s="327"/>
      <c r="AD6" s="7">
        <f t="shared" si="5"/>
        <v>191.7</v>
      </c>
      <c r="AE6" s="380">
        <v>0.0</v>
      </c>
      <c r="AF6" s="59" t="str">
        <f t="shared" si="1"/>
        <v>#DIV/0!</v>
      </c>
      <c r="AG6" s="109">
        <f t="shared" si="2"/>
        <v>45625</v>
      </c>
      <c r="AH6" s="267"/>
      <c r="AI6" s="268">
        <f t="shared" si="3"/>
        <v>0</v>
      </c>
    </row>
    <row r="7">
      <c r="A7" s="74">
        <f t="shared" si="4"/>
        <v>45626</v>
      </c>
      <c r="B7" s="93">
        <f>940.28-56.2-161.26-8.6-13-8.46-63.61-47.2-66.68-61.39-34.36-16.18-65.69-9.95-21.23-22.32-13.49</f>
        <v>270.66</v>
      </c>
      <c r="C7" s="361"/>
      <c r="D7" s="180">
        <v>883.84</v>
      </c>
      <c r="E7" s="79"/>
      <c r="F7" s="93"/>
      <c r="G7" s="93">
        <v>180.0</v>
      </c>
      <c r="H7" s="93"/>
      <c r="I7" s="93">
        <f>268.95-102.94</f>
        <v>166.01</v>
      </c>
      <c r="J7" s="93"/>
      <c r="K7" s="93"/>
      <c r="L7" s="93"/>
      <c r="M7" s="93"/>
      <c r="N7" s="93">
        <v>348.0</v>
      </c>
      <c r="O7" s="93"/>
      <c r="P7" s="402"/>
      <c r="Q7" s="93"/>
      <c r="R7" s="93"/>
      <c r="S7" s="101"/>
      <c r="T7" s="93"/>
      <c r="U7" s="93"/>
      <c r="V7" s="93"/>
      <c r="W7" s="93"/>
      <c r="X7" s="93"/>
      <c r="Y7" s="101"/>
      <c r="Z7" s="93"/>
      <c r="AA7" s="327"/>
      <c r="AB7" s="327"/>
      <c r="AC7" s="327"/>
      <c r="AD7" s="7">
        <f t="shared" si="5"/>
        <v>1848.51</v>
      </c>
      <c r="AE7" s="380">
        <v>11284.0</v>
      </c>
      <c r="AF7" s="59">
        <f t="shared" si="1"/>
        <v>0.1638169089</v>
      </c>
      <c r="AG7" s="109">
        <f t="shared" si="2"/>
        <v>45626</v>
      </c>
      <c r="AH7" s="267"/>
      <c r="AI7" s="268">
        <f t="shared" si="3"/>
        <v>11284</v>
      </c>
    </row>
    <row r="8">
      <c r="A8" s="74">
        <f t="shared" si="4"/>
        <v>45627</v>
      </c>
      <c r="B8" s="93"/>
      <c r="C8" s="374"/>
      <c r="D8" s="374"/>
      <c r="E8" s="374"/>
      <c r="F8" s="374"/>
      <c r="G8" s="112"/>
      <c r="H8" s="93"/>
      <c r="I8" s="374"/>
      <c r="J8" s="402"/>
      <c r="K8" s="93"/>
      <c r="L8" s="112"/>
      <c r="M8" s="112"/>
      <c r="N8" s="93"/>
      <c r="O8" s="93"/>
      <c r="P8" s="93"/>
      <c r="Q8" s="93"/>
      <c r="R8" s="374"/>
      <c r="S8" s="101"/>
      <c r="T8" s="374"/>
      <c r="U8" s="374"/>
      <c r="V8" s="112"/>
      <c r="W8" s="112"/>
      <c r="X8" s="112"/>
      <c r="Y8" s="112"/>
      <c r="Z8" s="112"/>
      <c r="AA8" s="93"/>
      <c r="AB8" s="616"/>
      <c r="AC8" s="616"/>
      <c r="AD8" s="7">
        <f t="shared" si="5"/>
        <v>0</v>
      </c>
      <c r="AE8" s="380">
        <v>0.0</v>
      </c>
      <c r="AF8" s="59" t="str">
        <f t="shared" si="1"/>
        <v>#DIV/0!</v>
      </c>
      <c r="AG8" s="109">
        <f t="shared" si="2"/>
        <v>45627</v>
      </c>
      <c r="AH8" s="267"/>
      <c r="AI8" s="268">
        <f t="shared" si="3"/>
        <v>0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E9" s="129"/>
      <c r="AG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AE10" s="129"/>
      <c r="AG10" s="106"/>
    </row>
    <row r="11">
      <c r="A11" s="165" t="s">
        <v>194</v>
      </c>
      <c r="B11" s="93">
        <f>16.74+65.69+21.23</f>
        <v>103.66</v>
      </c>
      <c r="C11" s="93"/>
      <c r="D11" s="93"/>
      <c r="E11" s="167"/>
      <c r="F11" s="168"/>
      <c r="G11" s="168"/>
      <c r="H11" s="166"/>
      <c r="I11" s="166"/>
      <c r="J11" s="93"/>
      <c r="K11" s="168"/>
      <c r="L11" s="93"/>
      <c r="M11" s="93"/>
      <c r="N11" s="93"/>
      <c r="O11" s="168"/>
      <c r="P11" s="168"/>
      <c r="Q11" s="168"/>
      <c r="R11" s="168"/>
      <c r="S11" s="168"/>
      <c r="T11" s="168"/>
      <c r="U11" s="168"/>
      <c r="V11" s="168"/>
      <c r="W11" s="1"/>
      <c r="X11" s="168"/>
      <c r="Y11" s="168"/>
      <c r="Z11" s="1"/>
      <c r="AA11" s="1"/>
      <c r="AB11" s="1"/>
      <c r="AC11" s="1"/>
      <c r="AD11" s="1"/>
      <c r="AE11" s="169"/>
      <c r="AF11" s="1"/>
      <c r="AG11" s="170"/>
    </row>
    <row r="12">
      <c r="A12" s="165" t="s">
        <v>195</v>
      </c>
      <c r="B12" s="93">
        <f>24.91+169.56+41.58+26.53+144+56.2+161.26+13.49+8.6+13+8.46+63.61+47.2+66.68+61.39+34.36+16.18+9.95+22.32</f>
        <v>989.28</v>
      </c>
      <c r="C12" s="93"/>
      <c r="D12" s="93"/>
      <c r="E12" s="93"/>
      <c r="F12" s="374"/>
      <c r="G12" s="93"/>
      <c r="H12" s="93"/>
      <c r="I12" s="93">
        <v>102.94</v>
      </c>
      <c r="J12" s="93"/>
      <c r="K12" s="79"/>
      <c r="L12" s="93"/>
      <c r="M12" s="93"/>
      <c r="N12" s="93">
        <v>150.0</v>
      </c>
      <c r="O12" s="168"/>
      <c r="P12" s="168"/>
      <c r="Q12" s="166"/>
      <c r="R12" s="166"/>
      <c r="S12" s="93"/>
      <c r="T12" s="166"/>
      <c r="U12" s="168"/>
      <c r="V12" s="168"/>
      <c r="W12" s="1"/>
      <c r="X12" s="93"/>
      <c r="Y12" s="168"/>
      <c r="Z12" s="1"/>
      <c r="AA12" s="1"/>
      <c r="AB12" s="192">
        <f>J61</f>
        <v>847.22</v>
      </c>
      <c r="AC12" s="1"/>
      <c r="AD12" s="1"/>
      <c r="AE12" s="171"/>
      <c r="AF12" s="1"/>
      <c r="AG12" s="170"/>
    </row>
    <row r="13" hidden="1">
      <c r="A13" s="172" t="s">
        <v>817</v>
      </c>
      <c r="B13" s="93"/>
      <c r="C13" s="93"/>
      <c r="D13" s="93"/>
      <c r="E13" s="93"/>
      <c r="F13" s="374"/>
      <c r="G13" s="93"/>
      <c r="H13" s="93"/>
      <c r="I13" s="93"/>
      <c r="J13" s="93"/>
      <c r="K13" s="374"/>
      <c r="L13" s="93"/>
      <c r="M13" s="93"/>
      <c r="N13" s="93"/>
      <c r="O13" s="166"/>
      <c r="P13" s="168"/>
      <c r="Q13" s="93"/>
      <c r="R13" s="166"/>
      <c r="S13" s="168"/>
      <c r="T13" s="166"/>
      <c r="U13" s="93"/>
      <c r="V13" s="168"/>
      <c r="W13" s="1"/>
      <c r="X13" s="93"/>
      <c r="Y13" s="168"/>
      <c r="Z13" s="1"/>
      <c r="AA13" s="1"/>
      <c r="AB13" s="1"/>
      <c r="AC13" s="1"/>
      <c r="AD13" s="1"/>
      <c r="AE13" s="171"/>
      <c r="AF13" s="1"/>
      <c r="AG13" s="170"/>
    </row>
    <row r="14">
      <c r="A14" s="165" t="s">
        <v>198</v>
      </c>
      <c r="B14" s="93">
        <f>+239.22</f>
        <v>239.22</v>
      </c>
      <c r="C14" s="348"/>
      <c r="D14" s="93"/>
      <c r="E14" s="168"/>
      <c r="F14" s="166"/>
      <c r="G14" s="166"/>
      <c r="H14" s="168"/>
      <c r="I14" s="168"/>
      <c r="J14" s="93"/>
      <c r="K14" s="168"/>
      <c r="L14" s="168"/>
      <c r="M14" s="168"/>
      <c r="N14" s="93"/>
      <c r="O14" s="168"/>
      <c r="P14" s="168"/>
      <c r="Q14" s="166"/>
      <c r="R14" s="168"/>
      <c r="S14" s="168"/>
      <c r="T14" s="168"/>
      <c r="U14" s="1"/>
      <c r="V14" s="1"/>
      <c r="W14" s="1"/>
      <c r="X14" s="168"/>
      <c r="Y14" s="168"/>
      <c r="Z14" s="1"/>
      <c r="AA14" s="1"/>
      <c r="AB14" s="1"/>
      <c r="AC14" s="1"/>
      <c r="AD14" s="1"/>
      <c r="AE14" s="174"/>
      <c r="AF14" s="1"/>
      <c r="AG14" s="170"/>
    </row>
    <row r="15">
      <c r="A15" s="91"/>
      <c r="B15" s="375"/>
      <c r="C15" s="79"/>
      <c r="D15" s="79"/>
      <c r="E15" s="79"/>
      <c r="F15" s="78"/>
      <c r="G15" s="78"/>
      <c r="H15" s="79"/>
      <c r="I15" s="78"/>
      <c r="J15" s="79"/>
      <c r="K15" s="79"/>
      <c r="L15" s="79"/>
      <c r="M15" s="79"/>
      <c r="N15" s="79"/>
      <c r="O15" s="79"/>
      <c r="R15" s="79"/>
      <c r="S15" s="79"/>
      <c r="T15" s="198"/>
      <c r="U15" s="198"/>
      <c r="Y15" s="79"/>
      <c r="AE15" s="131"/>
      <c r="AG15" s="106"/>
    </row>
    <row r="16">
      <c r="A16" s="91"/>
      <c r="B16" s="375"/>
      <c r="C16" s="79"/>
      <c r="D16" s="78"/>
      <c r="E16" s="78"/>
      <c r="F16" s="205"/>
      <c r="G16" s="351"/>
      <c r="H16" s="192"/>
      <c r="I16" s="198"/>
      <c r="J16" s="201"/>
      <c r="K16" s="199"/>
      <c r="L16" s="199"/>
      <c r="M16" s="200"/>
      <c r="N16" s="202"/>
      <c r="O16" s="198"/>
      <c r="R16" s="198"/>
      <c r="S16" s="79"/>
      <c r="T16" s="198"/>
      <c r="U16" s="198"/>
      <c r="V16" s="198"/>
      <c r="W16" s="198"/>
      <c r="X16" s="199"/>
      <c r="Y16" s="79"/>
      <c r="AE16" s="131"/>
      <c r="AG16" s="106"/>
    </row>
    <row r="17">
      <c r="A17" s="4" t="s">
        <v>22</v>
      </c>
      <c r="B17" s="11">
        <v>7000.0</v>
      </c>
      <c r="C17" s="79"/>
      <c r="D17" s="78"/>
      <c r="E17" s="78"/>
      <c r="F17" s="587"/>
      <c r="G17" s="351"/>
      <c r="H17" s="192"/>
      <c r="I17" s="203"/>
      <c r="J17" s="203"/>
      <c r="K17" s="203"/>
      <c r="L17" s="203"/>
      <c r="M17" s="198"/>
      <c r="N17" s="200"/>
      <c r="O17" s="198"/>
      <c r="P17" s="204"/>
      <c r="R17" s="203"/>
      <c r="S17" s="427"/>
      <c r="T17" s="201"/>
      <c r="U17" s="198"/>
      <c r="V17" s="198"/>
      <c r="W17" s="198"/>
      <c r="X17" s="201"/>
      <c r="Y17" s="79"/>
      <c r="AE17" s="131"/>
      <c r="AG17" s="106"/>
    </row>
    <row r="18">
      <c r="A18" s="4" t="s">
        <v>23</v>
      </c>
      <c r="B18" s="12">
        <f>SUM(B2:AC8)</f>
        <v>4601.31</v>
      </c>
      <c r="C18" s="192"/>
      <c r="D18" s="78"/>
      <c r="E18" s="78"/>
      <c r="F18" s="204"/>
      <c r="G18" s="224"/>
      <c r="H18" s="38"/>
      <c r="I18" s="175"/>
      <c r="J18" s="203"/>
      <c r="K18" s="203"/>
      <c r="L18" s="203"/>
      <c r="M18" s="201"/>
      <c r="N18" s="201"/>
      <c r="O18" s="198"/>
      <c r="P18" s="204"/>
      <c r="R18" s="203"/>
      <c r="S18" s="79"/>
      <c r="T18" s="201"/>
      <c r="U18" s="201"/>
      <c r="V18" s="198"/>
      <c r="W18" s="198"/>
      <c r="X18" s="191"/>
      <c r="Y18" s="79"/>
      <c r="AE18" s="131"/>
      <c r="AG18" s="106"/>
    </row>
    <row r="19">
      <c r="A19" s="4" t="s">
        <v>24</v>
      </c>
      <c r="B19" s="12">
        <f> SUM(B17-B18)</f>
        <v>2398.69</v>
      </c>
      <c r="C19" s="79"/>
      <c r="D19" s="78"/>
      <c r="E19" s="151"/>
      <c r="F19" s="198"/>
      <c r="G19" s="207"/>
      <c r="H19" s="224"/>
      <c r="I19" s="203"/>
      <c r="J19" s="203"/>
      <c r="K19" s="203"/>
      <c r="L19" s="203"/>
      <c r="M19" s="201"/>
      <c r="N19" s="200"/>
      <c r="O19" s="198"/>
      <c r="P19" s="204"/>
      <c r="R19" s="203"/>
      <c r="S19" s="79"/>
      <c r="T19" s="210"/>
      <c r="U19" s="210"/>
      <c r="V19" s="198"/>
      <c r="W19" s="198"/>
      <c r="X19" s="203"/>
      <c r="Y19" s="79"/>
      <c r="AE19" s="131"/>
      <c r="AG19" s="106"/>
    </row>
    <row r="20">
      <c r="C20" s="79"/>
      <c r="E20" s="588" t="s">
        <v>195</v>
      </c>
      <c r="F20" s="198"/>
      <c r="G20" s="207"/>
      <c r="H20" s="224"/>
      <c r="I20" s="345"/>
      <c r="J20" s="203"/>
      <c r="K20" s="203"/>
      <c r="L20" s="203"/>
      <c r="N20" s="198"/>
      <c r="O20" s="198"/>
      <c r="P20" s="204"/>
      <c r="R20" s="203"/>
      <c r="S20" s="79"/>
      <c r="T20" s="198"/>
      <c r="U20" s="428"/>
      <c r="V20" s="198"/>
      <c r="W20" s="201"/>
      <c r="X20" s="203"/>
      <c r="Y20" s="79"/>
      <c r="AE20" s="131"/>
      <c r="AG20" s="106"/>
    </row>
    <row r="21">
      <c r="A21" s="13" t="s">
        <v>25</v>
      </c>
      <c r="B21" s="14">
        <f>SUM(AE2:AE8)</f>
        <v>11284</v>
      </c>
      <c r="C21" s="79"/>
      <c r="D21" s="13" t="s">
        <v>724</v>
      </c>
      <c r="E21" s="445">
        <f>sum(B12:AB13)+K21</f>
        <v>2089.44</v>
      </c>
      <c r="F21" s="589"/>
      <c r="G21" s="224"/>
      <c r="H21" s="224"/>
      <c r="I21" s="203"/>
      <c r="J21" s="203"/>
      <c r="K21" s="203"/>
      <c r="L21" s="203"/>
      <c r="M21" s="203"/>
      <c r="N21" s="198"/>
      <c r="O21" s="198"/>
      <c r="P21" s="204"/>
      <c r="R21" s="203"/>
      <c r="S21" s="79"/>
      <c r="T21" s="198"/>
      <c r="U21" s="198"/>
      <c r="V21" s="198"/>
      <c r="W21" s="198"/>
      <c r="X21" s="203"/>
      <c r="Y21" s="79"/>
      <c r="AE21" s="181"/>
      <c r="AG21" s="106"/>
    </row>
    <row r="22">
      <c r="A22" s="13" t="s">
        <v>26</v>
      </c>
      <c r="B22" s="15">
        <f>B18/B21</f>
        <v>0.4077729529</v>
      </c>
      <c r="C22" s="79"/>
      <c r="D22" s="13" t="s">
        <v>25</v>
      </c>
      <c r="E22" s="445">
        <f>858+2310+3465+2414+4469+2094</f>
        <v>15610</v>
      </c>
      <c r="F22" s="589"/>
      <c r="G22" s="224"/>
      <c r="H22" s="224"/>
      <c r="I22" s="203"/>
      <c r="J22" s="203"/>
      <c r="K22" s="203"/>
      <c r="L22" s="203"/>
      <c r="M22" s="203"/>
      <c r="N22" s="203"/>
      <c r="O22" s="198"/>
      <c r="P22" s="204"/>
      <c r="R22" s="203"/>
      <c r="S22" s="79"/>
      <c r="T22" s="198"/>
      <c r="U22" s="198"/>
      <c r="V22" s="198"/>
      <c r="W22" s="198"/>
      <c r="X22" s="203"/>
      <c r="Y22" s="79"/>
      <c r="AE22" s="130"/>
      <c r="AG22" s="106"/>
    </row>
    <row r="23">
      <c r="C23" s="79"/>
      <c r="D23" s="448" t="s">
        <v>26</v>
      </c>
      <c r="E23" s="449">
        <f>E21/E22</f>
        <v>0.1338526586</v>
      </c>
      <c r="F23" s="590"/>
      <c r="H23" s="224"/>
      <c r="I23" s="78"/>
      <c r="J23" s="203"/>
      <c r="K23" s="203"/>
      <c r="L23" s="203"/>
      <c r="M23" s="203"/>
      <c r="N23" s="201"/>
      <c r="O23" s="198"/>
      <c r="P23" s="204"/>
      <c r="R23" s="198"/>
      <c r="S23" s="79"/>
      <c r="T23" s="198"/>
      <c r="U23" s="198"/>
      <c r="V23" s="198"/>
      <c r="W23" s="198"/>
      <c r="X23" s="203"/>
      <c r="Y23" s="79"/>
      <c r="AE23" s="182"/>
      <c r="AG23" s="106"/>
    </row>
    <row r="24">
      <c r="C24" s="79"/>
      <c r="D24" s="79"/>
      <c r="E24" s="79"/>
      <c r="F24" s="198"/>
      <c r="G24" s="192"/>
      <c r="H24" s="213"/>
      <c r="I24" s="203"/>
      <c r="J24" s="212"/>
      <c r="K24" s="203"/>
      <c r="L24" s="203"/>
      <c r="M24" s="203"/>
      <c r="N24" s="201"/>
      <c r="O24" s="198"/>
      <c r="P24" s="204"/>
      <c r="R24" s="198"/>
      <c r="S24" s="79"/>
      <c r="T24" s="198"/>
      <c r="U24" s="198"/>
      <c r="V24" s="198"/>
      <c r="W24" s="198"/>
      <c r="X24" s="203"/>
      <c r="Y24" s="79"/>
      <c r="AE24" s="130"/>
      <c r="AG24" s="106"/>
    </row>
    <row r="25">
      <c r="A25" s="16" t="s">
        <v>27</v>
      </c>
      <c r="B25" s="17"/>
      <c r="C25" s="114"/>
      <c r="D25" s="114"/>
      <c r="E25" s="114"/>
      <c r="F25" s="198"/>
      <c r="G25" s="78"/>
      <c r="H25" s="224"/>
      <c r="I25" s="78"/>
      <c r="J25" s="79"/>
      <c r="K25" s="203"/>
      <c r="L25" s="217"/>
      <c r="M25" s="208"/>
      <c r="N25" s="198"/>
      <c r="O25" s="198"/>
      <c r="P25" s="204"/>
      <c r="R25" s="200"/>
      <c r="S25" s="79"/>
      <c r="T25" s="198"/>
      <c r="U25" s="198"/>
      <c r="V25" s="198"/>
      <c r="W25" s="198"/>
      <c r="X25" s="203"/>
      <c r="Y25" s="79"/>
      <c r="AE25" s="130"/>
      <c r="AG25" s="106"/>
    </row>
    <row r="26">
      <c r="A26" s="19" t="s">
        <v>28</v>
      </c>
      <c r="B26" s="20"/>
      <c r="C26" s="116"/>
      <c r="D26" s="116"/>
      <c r="E26" s="116"/>
      <c r="F26" s="198"/>
      <c r="G26" s="212"/>
      <c r="H26" s="213"/>
      <c r="I26" s="224"/>
      <c r="J26" s="78"/>
      <c r="K26" s="203"/>
      <c r="L26" s="203"/>
      <c r="M26" s="209"/>
      <c r="N26" s="201"/>
      <c r="O26" s="198"/>
      <c r="P26" s="204"/>
      <c r="R26" s="198"/>
      <c r="S26" s="79"/>
      <c r="T26" s="198"/>
      <c r="U26" s="198"/>
      <c r="V26" s="198"/>
      <c r="W26" s="198"/>
      <c r="X26" s="203"/>
      <c r="Y26" s="79"/>
      <c r="AE26" s="130"/>
      <c r="AG26" s="106"/>
    </row>
    <row r="27">
      <c r="A27" s="183" t="s">
        <v>29</v>
      </c>
      <c r="B27" s="184" t="s">
        <v>30</v>
      </c>
      <c r="C27" s="183"/>
      <c r="D27" s="183" t="s">
        <v>170</v>
      </c>
      <c r="E27" s="591" t="s">
        <v>171</v>
      </c>
      <c r="F27" s="198"/>
      <c r="G27" s="79"/>
      <c r="H27" s="242"/>
      <c r="I27" s="79"/>
      <c r="J27" s="79"/>
      <c r="K27" s="203"/>
      <c r="L27" s="201"/>
      <c r="M27" s="209"/>
      <c r="N27" s="198"/>
      <c r="O27" s="198"/>
      <c r="P27" s="204"/>
      <c r="R27" s="198"/>
      <c r="S27" s="79"/>
      <c r="T27" s="198"/>
      <c r="U27" s="198"/>
      <c r="V27" s="198"/>
      <c r="W27" s="198"/>
      <c r="X27" s="203"/>
      <c r="Y27" s="79"/>
      <c r="Z27" s="195"/>
      <c r="AE27" s="130"/>
      <c r="AG27" s="106"/>
    </row>
    <row r="28">
      <c r="A28" s="405" t="s">
        <v>818</v>
      </c>
      <c r="B28" s="406">
        <f>+1395.03-697.5+1526+1432</f>
        <v>3655.53</v>
      </c>
      <c r="C28" s="407"/>
      <c r="D28" s="407"/>
      <c r="E28" s="592"/>
      <c r="F28" s="198"/>
      <c r="O28" s="79"/>
      <c r="S28" s="79"/>
      <c r="T28" s="79"/>
      <c r="Y28" s="79"/>
      <c r="AE28" s="130"/>
      <c r="AG28" s="106"/>
    </row>
    <row r="29">
      <c r="A29" s="430" t="s">
        <v>833</v>
      </c>
      <c r="B29" s="431">
        <f>1767.68-883.84+1119.06+1232.18</f>
        <v>3235.08</v>
      </c>
      <c r="C29" s="432"/>
      <c r="D29" s="432"/>
      <c r="E29" s="432"/>
      <c r="F29" s="204"/>
      <c r="O29" s="79"/>
      <c r="S29" s="79"/>
      <c r="T29" s="79"/>
      <c r="Y29" s="79"/>
      <c r="AE29" s="130"/>
      <c r="AG29" s="106"/>
    </row>
    <row r="30">
      <c r="C30" s="79"/>
      <c r="D30" s="79"/>
      <c r="E30" s="79"/>
      <c r="O30" s="79"/>
      <c r="S30" s="79"/>
      <c r="T30" s="79"/>
      <c r="Y30" s="79"/>
      <c r="AE30" s="130"/>
      <c r="AG30" s="106"/>
    </row>
    <row r="31">
      <c r="A31" s="274"/>
      <c r="B31" s="275" t="s">
        <v>315</v>
      </c>
      <c r="F31" s="274"/>
      <c r="G31" s="274"/>
      <c r="H31" s="274"/>
      <c r="I31" s="274"/>
      <c r="J31" s="274"/>
      <c r="K31" s="274"/>
      <c r="L31" s="274"/>
      <c r="M31" s="274"/>
      <c r="N31" s="274"/>
      <c r="O31" s="274"/>
      <c r="P31" s="274"/>
      <c r="Q31" s="274"/>
      <c r="R31" s="274"/>
      <c r="S31" s="274"/>
      <c r="T31" s="274"/>
      <c r="U31" s="274"/>
      <c r="V31" s="274"/>
      <c r="W31" s="274"/>
      <c r="X31" s="274"/>
      <c r="Y31" s="274"/>
      <c r="Z31" s="274"/>
      <c r="AA31" s="274"/>
      <c r="AB31" s="274"/>
      <c r="AC31" s="274"/>
      <c r="AD31" s="274"/>
      <c r="AE31" s="276"/>
      <c r="AF31" s="274"/>
      <c r="AG31" s="277"/>
      <c r="AH31" s="274"/>
      <c r="AI31" s="274"/>
      <c r="AJ31" s="274"/>
    </row>
    <row r="32">
      <c r="A32" s="16" t="s">
        <v>316</v>
      </c>
      <c r="B32" s="17"/>
      <c r="C32" s="114"/>
      <c r="D32" s="114"/>
      <c r="E32" s="115"/>
      <c r="I32" s="455" t="s">
        <v>735</v>
      </c>
      <c r="J32" s="17"/>
      <c r="K32" s="114"/>
      <c r="L32" s="114"/>
      <c r="M32" s="115"/>
      <c r="P32" s="79"/>
      <c r="T32" s="79"/>
      <c r="U32" s="79"/>
      <c r="AE32" s="130"/>
      <c r="AG32" s="106"/>
    </row>
    <row r="33">
      <c r="A33" s="19" t="s">
        <v>317</v>
      </c>
      <c r="B33" s="20"/>
      <c r="C33" s="116"/>
      <c r="D33" s="116"/>
      <c r="E33" s="117"/>
      <c r="I33" s="599" t="s">
        <v>736</v>
      </c>
      <c r="J33" s="20"/>
      <c r="K33" s="116"/>
      <c r="L33" s="116"/>
      <c r="M33" s="117"/>
      <c r="P33" s="79"/>
      <c r="T33" s="79"/>
      <c r="U33" s="79"/>
      <c r="AE33" s="130"/>
      <c r="AG33" s="106"/>
    </row>
    <row r="34">
      <c r="A34" s="278" t="s">
        <v>318</v>
      </c>
      <c r="B34" s="279" t="s">
        <v>319</v>
      </c>
      <c r="C34" s="280" t="s">
        <v>285</v>
      </c>
      <c r="D34" s="280" t="s">
        <v>30</v>
      </c>
      <c r="E34" s="281" t="s">
        <v>320</v>
      </c>
      <c r="F34" s="281" t="s">
        <v>321</v>
      </c>
      <c r="H34" s="600" t="s">
        <v>743</v>
      </c>
      <c r="I34" s="507" t="s">
        <v>318</v>
      </c>
      <c r="J34" s="601" t="s">
        <v>319</v>
      </c>
      <c r="K34" s="507" t="s">
        <v>285</v>
      </c>
      <c r="L34" s="507" t="s">
        <v>737</v>
      </c>
      <c r="M34" s="507" t="s">
        <v>738</v>
      </c>
      <c r="N34" s="507" t="s">
        <v>739</v>
      </c>
      <c r="O34" s="602" t="s">
        <v>740</v>
      </c>
      <c r="P34" s="602" t="s">
        <v>741</v>
      </c>
      <c r="Q34" s="602" t="s">
        <v>320</v>
      </c>
      <c r="R34" s="507"/>
      <c r="S34" s="602" t="s">
        <v>740</v>
      </c>
      <c r="T34" s="602" t="s">
        <v>741</v>
      </c>
      <c r="U34" s="602" t="s">
        <v>320</v>
      </c>
      <c r="V34" s="507"/>
      <c r="W34" s="602" t="s">
        <v>740</v>
      </c>
      <c r="X34" s="602" t="s">
        <v>741</v>
      </c>
      <c r="Y34" s="602" t="s">
        <v>320</v>
      </c>
      <c r="AE34" s="130"/>
      <c r="AG34" s="106"/>
    </row>
    <row r="35">
      <c r="A35" s="304" t="s">
        <v>597</v>
      </c>
      <c r="B35" s="305">
        <v>45525.0</v>
      </c>
      <c r="C35" s="234" t="s">
        <v>325</v>
      </c>
      <c r="D35" s="178">
        <v>1420.83</v>
      </c>
      <c r="E35" s="308"/>
      <c r="F35" s="304" t="s">
        <v>829</v>
      </c>
      <c r="H35" s="603">
        <f t="shared" ref="H35:H47" si="6">L35+O35+S35+W35</f>
        <v>0</v>
      </c>
      <c r="I35" s="463">
        <v>593114.0</v>
      </c>
      <c r="J35" s="464">
        <v>45595.0</v>
      </c>
      <c r="K35" s="465" t="s">
        <v>437</v>
      </c>
      <c r="L35" s="466">
        <v>6.0</v>
      </c>
      <c r="M35" s="467">
        <v>2575.54</v>
      </c>
      <c r="N35" s="467">
        <f t="shared" ref="N35:N38" si="7">M35/L35</f>
        <v>429.2566667</v>
      </c>
      <c r="O35" s="489">
        <v>-2.0</v>
      </c>
      <c r="P35" s="488">
        <f t="shared" ref="P35:P38" si="8">O35*N35</f>
        <v>-858.5133333</v>
      </c>
      <c r="Q35" s="604">
        <v>45606.0</v>
      </c>
      <c r="R35" s="583"/>
      <c r="S35" s="605">
        <v>-4.0</v>
      </c>
      <c r="T35" s="594">
        <f t="shared" ref="T35:T36" si="9">S35*N35</f>
        <v>-1717.026667</v>
      </c>
      <c r="U35" s="606">
        <v>45616.0</v>
      </c>
      <c r="V35" s="583"/>
      <c r="W35" s="469"/>
      <c r="X35" s="469"/>
      <c r="Y35" s="469"/>
      <c r="Z35" s="483"/>
      <c r="AA35" s="483"/>
      <c r="AB35" s="483"/>
      <c r="AC35" s="483"/>
      <c r="AD35" s="483"/>
      <c r="AE35" s="492"/>
      <c r="AF35" s="483"/>
      <c r="AG35" s="493"/>
      <c r="AH35" s="483"/>
      <c r="AI35" s="483"/>
      <c r="AJ35" s="483"/>
    </row>
    <row r="36">
      <c r="A36" s="304" t="s">
        <v>622</v>
      </c>
      <c r="B36" s="305">
        <v>45533.0</v>
      </c>
      <c r="C36" s="234" t="s">
        <v>325</v>
      </c>
      <c r="D36" s="178">
        <v>1404.36</v>
      </c>
      <c r="E36" s="308"/>
      <c r="F36" s="304" t="s">
        <v>829</v>
      </c>
      <c r="H36" s="603">
        <f t="shared" si="6"/>
        <v>0</v>
      </c>
      <c r="I36" s="463">
        <v>594673.0</v>
      </c>
      <c r="J36" s="464">
        <v>45602.0</v>
      </c>
      <c r="K36" s="465" t="s">
        <v>437</v>
      </c>
      <c r="L36" s="466">
        <v>6.0</v>
      </c>
      <c r="M36" s="467">
        <v>2561.15</v>
      </c>
      <c r="N36" s="467">
        <f t="shared" si="7"/>
        <v>426.8583333</v>
      </c>
      <c r="O36" s="596">
        <v>-4.0</v>
      </c>
      <c r="P36" s="597">
        <f t="shared" si="8"/>
        <v>-1707.433333</v>
      </c>
      <c r="Q36" s="607">
        <v>45616.0</v>
      </c>
      <c r="R36" s="583"/>
      <c r="S36" s="430">
        <v>-2.0</v>
      </c>
      <c r="T36" s="617">
        <f t="shared" si="9"/>
        <v>-853.7166667</v>
      </c>
      <c r="U36" s="618">
        <v>45620.0</v>
      </c>
      <c r="V36" s="583"/>
      <c r="W36" s="469"/>
      <c r="X36" s="469"/>
      <c r="Y36" s="469"/>
      <c r="AE36" s="130"/>
      <c r="AG36" s="106"/>
    </row>
    <row r="37">
      <c r="A37" s="304" t="s">
        <v>644</v>
      </c>
      <c r="B37" s="305">
        <v>45540.0</v>
      </c>
      <c r="C37" s="234" t="s">
        <v>325</v>
      </c>
      <c r="D37" s="178">
        <v>1415.74</v>
      </c>
      <c r="E37" s="308"/>
      <c r="F37" s="304" t="s">
        <v>829</v>
      </c>
      <c r="H37" s="603">
        <f t="shared" si="6"/>
        <v>3</v>
      </c>
      <c r="I37" s="463">
        <v>595849.0</v>
      </c>
      <c r="J37" s="464">
        <v>45604.0</v>
      </c>
      <c r="K37" s="465" t="s">
        <v>437</v>
      </c>
      <c r="L37" s="466">
        <v>3.0</v>
      </c>
      <c r="M37" s="467">
        <v>1262.58</v>
      </c>
      <c r="N37" s="467">
        <f t="shared" si="7"/>
        <v>420.86</v>
      </c>
      <c r="O37" s="473"/>
      <c r="P37" s="468">
        <f t="shared" si="8"/>
        <v>0</v>
      </c>
      <c r="Q37" s="604"/>
      <c r="R37" s="583"/>
      <c r="S37" s="469"/>
      <c r="T37" s="469"/>
      <c r="U37" s="469"/>
      <c r="V37" s="583"/>
      <c r="W37" s="469"/>
      <c r="X37" s="469"/>
      <c r="Y37" s="469"/>
      <c r="AE37" s="130"/>
      <c r="AG37" s="106"/>
    </row>
    <row r="38">
      <c r="A38" s="304" t="s">
        <v>660</v>
      </c>
      <c r="B38" s="305">
        <v>45547.0</v>
      </c>
      <c r="C38" s="234" t="s">
        <v>325</v>
      </c>
      <c r="D38" s="178">
        <v>1419.33</v>
      </c>
      <c r="E38" s="308"/>
      <c r="F38" s="304" t="s">
        <v>829</v>
      </c>
      <c r="H38" s="603">
        <f t="shared" si="6"/>
        <v>6</v>
      </c>
      <c r="I38" s="463">
        <v>596421.0</v>
      </c>
      <c r="J38" s="464">
        <v>45609.0</v>
      </c>
      <c r="K38" s="465" t="s">
        <v>437</v>
      </c>
      <c r="L38" s="466">
        <v>6.0</v>
      </c>
      <c r="M38" s="467">
        <v>2543.15</v>
      </c>
      <c r="N38" s="467">
        <f t="shared" si="7"/>
        <v>423.8583333</v>
      </c>
      <c r="O38" s="473"/>
      <c r="P38" s="468">
        <f t="shared" si="8"/>
        <v>0</v>
      </c>
      <c r="Q38" s="604"/>
      <c r="R38" s="583"/>
      <c r="S38" s="469"/>
      <c r="T38" s="469"/>
      <c r="U38" s="469"/>
      <c r="V38" s="583"/>
      <c r="W38" s="469"/>
      <c r="X38" s="469"/>
      <c r="Y38" s="469"/>
      <c r="AE38" s="130"/>
      <c r="AG38" s="106"/>
    </row>
    <row r="39">
      <c r="A39" s="304" t="s">
        <v>677</v>
      </c>
      <c r="B39" s="305">
        <v>45554.0</v>
      </c>
      <c r="C39" s="234" t="s">
        <v>325</v>
      </c>
      <c r="D39" s="178">
        <v>1439.4</v>
      </c>
      <c r="E39" s="308"/>
      <c r="F39" s="304" t="s">
        <v>829</v>
      </c>
      <c r="H39" s="603">
        <f t="shared" si="6"/>
        <v>0</v>
      </c>
      <c r="I39" s="463"/>
      <c r="J39" s="464"/>
      <c r="K39" s="465"/>
      <c r="L39" s="466"/>
      <c r="M39" s="467"/>
      <c r="N39" s="467"/>
      <c r="O39" s="473"/>
      <c r="P39" s="468"/>
      <c r="Q39" s="604"/>
      <c r="R39" s="583"/>
      <c r="S39" s="469"/>
      <c r="T39" s="469"/>
      <c r="U39" s="469"/>
      <c r="V39" s="583"/>
      <c r="W39" s="469"/>
      <c r="X39" s="469"/>
      <c r="Y39" s="469"/>
      <c r="AE39" s="130"/>
      <c r="AG39" s="106"/>
    </row>
    <row r="40">
      <c r="A40" s="304" t="s">
        <v>691</v>
      </c>
      <c r="B40" s="305">
        <v>45561.0</v>
      </c>
      <c r="C40" s="234" t="s">
        <v>325</v>
      </c>
      <c r="D40" s="178">
        <v>777.2</v>
      </c>
      <c r="E40" s="308"/>
      <c r="F40" s="304" t="s">
        <v>829</v>
      </c>
      <c r="H40" s="610">
        <f t="shared" si="6"/>
        <v>0</v>
      </c>
      <c r="I40" s="619">
        <v>598254.0</v>
      </c>
      <c r="J40" s="620">
        <v>45616.0</v>
      </c>
      <c r="K40" s="430" t="s">
        <v>437</v>
      </c>
      <c r="L40" s="621">
        <v>6.0</v>
      </c>
      <c r="M40" s="622">
        <v>2686.83</v>
      </c>
      <c r="N40" s="622">
        <f t="shared" ref="N40:N42" si="10">M40/L40</f>
        <v>447.805</v>
      </c>
      <c r="O40" s="623">
        <v>-6.0</v>
      </c>
      <c r="P40" s="622">
        <f t="shared" ref="P40:P42" si="11">O40*N40</f>
        <v>-2686.83</v>
      </c>
      <c r="Q40" s="618">
        <v>45620.0</v>
      </c>
      <c r="R40" s="615"/>
      <c r="S40" s="486"/>
      <c r="T40" s="573"/>
      <c r="U40" s="490"/>
      <c r="V40" s="615"/>
      <c r="W40" s="469"/>
      <c r="X40" s="469"/>
      <c r="Y40" s="469"/>
      <c r="AE40" s="130"/>
      <c r="AG40" s="106"/>
    </row>
    <row r="41">
      <c r="A41" s="304" t="s">
        <v>703</v>
      </c>
      <c r="B41" s="305">
        <v>45568.0</v>
      </c>
      <c r="C41" s="234" t="s">
        <v>325</v>
      </c>
      <c r="D41" s="178">
        <v>1421.43</v>
      </c>
      <c r="E41" s="308"/>
      <c r="F41" s="304" t="s">
        <v>829</v>
      </c>
      <c r="H41" s="610">
        <f t="shared" si="6"/>
        <v>0</v>
      </c>
      <c r="I41" s="619">
        <v>599453.0</v>
      </c>
      <c r="J41" s="620">
        <v>45618.0</v>
      </c>
      <c r="K41" s="430" t="s">
        <v>437</v>
      </c>
      <c r="L41" s="621">
        <v>2.0</v>
      </c>
      <c r="M41" s="622">
        <v>848.72</v>
      </c>
      <c r="N41" s="622">
        <f t="shared" si="10"/>
        <v>424.36</v>
      </c>
      <c r="O41" s="623">
        <v>-2.0</v>
      </c>
      <c r="P41" s="622">
        <f t="shared" si="11"/>
        <v>-848.72</v>
      </c>
      <c r="Q41" s="618">
        <v>45620.0</v>
      </c>
      <c r="R41" s="583"/>
      <c r="S41" s="469"/>
      <c r="T41" s="469"/>
      <c r="U41" s="469"/>
      <c r="V41" s="583"/>
      <c r="W41" s="469"/>
      <c r="X41" s="469"/>
      <c r="Y41" s="469"/>
      <c r="AE41" s="130"/>
      <c r="AG41" s="106"/>
    </row>
    <row r="42">
      <c r="A42" s="304" t="s">
        <v>747</v>
      </c>
      <c r="B42" s="305">
        <v>45574.0</v>
      </c>
      <c r="C42" s="234" t="s">
        <v>325</v>
      </c>
      <c r="D42" s="178">
        <v>1449.58</v>
      </c>
      <c r="E42" s="308"/>
      <c r="F42" s="304" t="s">
        <v>829</v>
      </c>
      <c r="H42" s="603">
        <f t="shared" si="6"/>
        <v>4</v>
      </c>
      <c r="I42" s="463">
        <v>599859.0</v>
      </c>
      <c r="J42" s="464">
        <v>45623.0</v>
      </c>
      <c r="K42" s="465" t="s">
        <v>437</v>
      </c>
      <c r="L42" s="466">
        <v>6.0</v>
      </c>
      <c r="M42" s="467">
        <v>2541.65</v>
      </c>
      <c r="N42" s="467">
        <f t="shared" si="10"/>
        <v>423.6083333</v>
      </c>
      <c r="O42" s="360">
        <v>-2.0</v>
      </c>
      <c r="P42" s="613">
        <f t="shared" si="11"/>
        <v>-847.2166667</v>
      </c>
      <c r="Q42" s="624"/>
      <c r="R42" s="583"/>
      <c r="S42" s="469"/>
      <c r="T42" s="469"/>
      <c r="U42" s="469"/>
      <c r="V42" s="583"/>
      <c r="W42" s="469"/>
      <c r="X42" s="469"/>
      <c r="Y42" s="469"/>
      <c r="AE42" s="130"/>
      <c r="AG42" s="106"/>
    </row>
    <row r="43">
      <c r="A43" s="304" t="s">
        <v>769</v>
      </c>
      <c r="B43" s="305">
        <v>45581.0</v>
      </c>
      <c r="C43" s="234" t="s">
        <v>325</v>
      </c>
      <c r="D43" s="178">
        <v>1436.0</v>
      </c>
      <c r="E43" s="308"/>
      <c r="F43" s="304" t="s">
        <v>829</v>
      </c>
      <c r="H43" s="603">
        <f t="shared" si="6"/>
        <v>0</v>
      </c>
      <c r="I43" s="463"/>
      <c r="J43" s="464"/>
      <c r="K43" s="465" t="s">
        <v>437</v>
      </c>
      <c r="L43" s="466"/>
      <c r="M43" s="467"/>
      <c r="N43" s="467"/>
      <c r="O43" s="468"/>
      <c r="P43" s="468"/>
      <c r="Q43" s="624"/>
      <c r="R43" s="583"/>
      <c r="S43" s="469"/>
      <c r="T43" s="469"/>
      <c r="U43" s="469"/>
      <c r="V43" s="583"/>
      <c r="W43" s="469"/>
      <c r="X43" s="469"/>
      <c r="Y43" s="469"/>
      <c r="AE43" s="130"/>
      <c r="AG43" s="106"/>
    </row>
    <row r="44">
      <c r="A44" s="304" t="s">
        <v>786</v>
      </c>
      <c r="B44" s="305">
        <v>45588.0</v>
      </c>
      <c r="C44" s="234" t="s">
        <v>325</v>
      </c>
      <c r="D44" s="178">
        <v>823.39</v>
      </c>
      <c r="E44" s="308"/>
      <c r="F44" s="304" t="s">
        <v>829</v>
      </c>
      <c r="H44" s="603">
        <f t="shared" si="6"/>
        <v>0</v>
      </c>
      <c r="I44" s="463"/>
      <c r="J44" s="464"/>
      <c r="K44" s="465" t="s">
        <v>437</v>
      </c>
      <c r="L44" s="466"/>
      <c r="M44" s="467"/>
      <c r="N44" s="467"/>
      <c r="O44" s="468"/>
      <c r="P44" s="468"/>
      <c r="Q44" s="624"/>
      <c r="R44" s="583"/>
      <c r="S44" s="469"/>
      <c r="T44" s="469"/>
      <c r="U44" s="469"/>
      <c r="V44" s="583"/>
      <c r="W44" s="469"/>
      <c r="X44" s="469"/>
      <c r="Y44" s="469"/>
      <c r="AE44" s="130"/>
      <c r="AG44" s="106"/>
    </row>
    <row r="45">
      <c r="A45" s="289" t="s">
        <v>802</v>
      </c>
      <c r="B45" s="290">
        <v>45595.0</v>
      </c>
      <c r="C45" s="173" t="s">
        <v>325</v>
      </c>
      <c r="D45" s="180">
        <v>817.04</v>
      </c>
      <c r="E45" s="336"/>
      <c r="F45" s="173" t="s">
        <v>830</v>
      </c>
      <c r="H45" s="603">
        <f t="shared" si="6"/>
        <v>0</v>
      </c>
      <c r="I45" s="463"/>
      <c r="J45" s="464"/>
      <c r="K45" s="465" t="s">
        <v>437</v>
      </c>
      <c r="L45" s="466"/>
      <c r="M45" s="467"/>
      <c r="N45" s="467"/>
      <c r="O45" s="468"/>
      <c r="P45" s="468"/>
      <c r="Q45" s="624"/>
      <c r="R45" s="583"/>
      <c r="S45" s="469"/>
      <c r="T45" s="469"/>
      <c r="U45" s="469"/>
      <c r="V45" s="583"/>
      <c r="W45" s="469"/>
      <c r="X45" s="469"/>
      <c r="Y45" s="469"/>
      <c r="AE45" s="130"/>
      <c r="AG45" s="106"/>
    </row>
    <row r="46">
      <c r="A46" s="289" t="s">
        <v>810</v>
      </c>
      <c r="B46" s="290">
        <v>45602.0</v>
      </c>
      <c r="C46" s="173" t="s">
        <v>325</v>
      </c>
      <c r="D46" s="180">
        <v>817.64</v>
      </c>
      <c r="E46" s="336"/>
      <c r="F46" s="173" t="s">
        <v>830</v>
      </c>
      <c r="H46" s="603">
        <f t="shared" si="6"/>
        <v>0</v>
      </c>
      <c r="I46" s="463"/>
      <c r="J46" s="464"/>
      <c r="K46" s="465" t="s">
        <v>437</v>
      </c>
      <c r="L46" s="466"/>
      <c r="M46" s="467"/>
      <c r="N46" s="467"/>
      <c r="O46" s="468"/>
      <c r="P46" s="468"/>
      <c r="Q46" s="624"/>
      <c r="R46" s="583"/>
      <c r="S46" s="469"/>
      <c r="T46" s="469"/>
      <c r="U46" s="469"/>
      <c r="V46" s="583"/>
      <c r="W46" s="469"/>
      <c r="X46" s="469"/>
      <c r="Y46" s="469"/>
      <c r="AE46" s="130"/>
      <c r="AG46" s="106"/>
    </row>
    <row r="47">
      <c r="A47" s="289" t="s">
        <v>824</v>
      </c>
      <c r="B47" s="290">
        <v>45609.0</v>
      </c>
      <c r="C47" s="173" t="s">
        <v>325</v>
      </c>
      <c r="D47" s="180">
        <v>829.32</v>
      </c>
      <c r="E47" s="336"/>
      <c r="F47" s="173" t="s">
        <v>830</v>
      </c>
      <c r="H47" s="603">
        <f t="shared" si="6"/>
        <v>0</v>
      </c>
      <c r="I47" s="473"/>
      <c r="J47" s="464"/>
      <c r="K47" s="465" t="s">
        <v>437</v>
      </c>
      <c r="L47" s="466"/>
      <c r="M47" s="467"/>
      <c r="N47" s="467"/>
      <c r="O47" s="473"/>
      <c r="P47" s="468"/>
      <c r="Q47" s="624"/>
      <c r="R47" s="583"/>
      <c r="S47" s="469"/>
      <c r="T47" s="469"/>
      <c r="U47" s="469"/>
      <c r="V47" s="583"/>
      <c r="W47" s="469"/>
      <c r="X47" s="469"/>
      <c r="Y47" s="469"/>
      <c r="AE47" s="130"/>
      <c r="AG47" s="106"/>
    </row>
    <row r="48">
      <c r="A48" s="289" t="s">
        <v>831</v>
      </c>
      <c r="B48" s="290">
        <v>45616.0</v>
      </c>
      <c r="C48" s="173" t="s">
        <v>325</v>
      </c>
      <c r="D48" s="180">
        <v>860.13</v>
      </c>
      <c r="E48" s="336"/>
      <c r="F48" s="173" t="s">
        <v>830</v>
      </c>
      <c r="P48" s="79"/>
      <c r="T48" s="79"/>
      <c r="U48" s="79"/>
      <c r="AE48" s="130"/>
      <c r="AG48" s="106"/>
    </row>
    <row r="49">
      <c r="A49" s="282" t="s">
        <v>667</v>
      </c>
      <c r="B49" s="283">
        <v>45546.0</v>
      </c>
      <c r="C49" s="166" t="s">
        <v>668</v>
      </c>
      <c r="D49" s="93">
        <f>608.6</f>
        <v>608.6</v>
      </c>
      <c r="E49" s="291" t="s">
        <v>704</v>
      </c>
      <c r="F49" s="6">
        <f>D49/2</f>
        <v>304.3</v>
      </c>
      <c r="H49" s="479" t="s">
        <v>287</v>
      </c>
      <c r="I49" s="32" t="s">
        <v>748</v>
      </c>
      <c r="J49" s="479" t="s">
        <v>749</v>
      </c>
      <c r="K49" s="479" t="s">
        <v>750</v>
      </c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AE49" s="130"/>
      <c r="AG49" s="106"/>
    </row>
    <row r="50">
      <c r="A50" s="282" t="s">
        <v>681</v>
      </c>
      <c r="B50" s="283">
        <v>45555.0</v>
      </c>
      <c r="C50" s="166" t="s">
        <v>664</v>
      </c>
      <c r="D50" s="93">
        <v>785.6</v>
      </c>
      <c r="E50" s="291"/>
      <c r="F50" s="6"/>
      <c r="H50" s="286">
        <v>45578.0</v>
      </c>
      <c r="I50" s="32">
        <v>6.0</v>
      </c>
      <c r="J50" s="480">
        <v>2413.68</v>
      </c>
      <c r="K50" s="479" t="s">
        <v>751</v>
      </c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AE50" s="130"/>
      <c r="AG50" s="106"/>
    </row>
    <row r="51">
      <c r="A51" s="282" t="s">
        <v>709</v>
      </c>
      <c r="B51" s="283">
        <v>45570.0</v>
      </c>
      <c r="C51" s="166" t="s">
        <v>710</v>
      </c>
      <c r="D51" s="93">
        <v>1001.8</v>
      </c>
      <c r="E51" s="291" t="s">
        <v>804</v>
      </c>
      <c r="F51" s="6">
        <f>-250.45-250.45</f>
        <v>-500.9</v>
      </c>
      <c r="H51" s="286">
        <v>45578.0</v>
      </c>
      <c r="I51" s="32">
        <v>3.0</v>
      </c>
      <c r="J51" s="480">
        <v>1202.87</v>
      </c>
      <c r="K51" s="479" t="s">
        <v>752</v>
      </c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AE51" s="130"/>
      <c r="AG51" s="106"/>
    </row>
    <row r="52">
      <c r="A52" s="282" t="s">
        <v>715</v>
      </c>
      <c r="B52" s="283">
        <v>45570.0</v>
      </c>
      <c r="C52" s="166" t="s">
        <v>716</v>
      </c>
      <c r="D52" s="93">
        <f>299.8-5.8</f>
        <v>294</v>
      </c>
      <c r="E52" s="291"/>
      <c r="F52" s="6"/>
      <c r="H52" s="504">
        <v>45585.0</v>
      </c>
      <c r="I52" s="479">
        <v>1.0</v>
      </c>
      <c r="J52" s="505">
        <v>403.0566666666667</v>
      </c>
      <c r="K52" s="479" t="s">
        <v>751</v>
      </c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AE52" s="130"/>
      <c r="AG52" s="106"/>
    </row>
    <row r="53">
      <c r="A53" s="282" t="s">
        <v>753</v>
      </c>
      <c r="B53" s="283">
        <v>45574.0</v>
      </c>
      <c r="C53" s="166" t="s">
        <v>754</v>
      </c>
      <c r="D53" s="93">
        <v>237.1</v>
      </c>
      <c r="E53" s="291"/>
      <c r="F53" s="6"/>
      <c r="H53" s="504">
        <v>45585.0</v>
      </c>
      <c r="I53" s="479">
        <v>6.0</v>
      </c>
      <c r="J53" s="505">
        <v>2399.445</v>
      </c>
      <c r="K53" s="479" t="s">
        <v>751</v>
      </c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AE53" s="130"/>
      <c r="AG53" s="106"/>
    </row>
    <row r="54">
      <c r="A54" s="282" t="s">
        <v>755</v>
      </c>
      <c r="B54" s="283">
        <v>45576.0</v>
      </c>
      <c r="C54" s="166" t="s">
        <v>756</v>
      </c>
      <c r="D54" s="93">
        <v>504.64</v>
      </c>
      <c r="E54" s="291"/>
      <c r="F54" s="6"/>
      <c r="H54" s="504">
        <v>45592.0</v>
      </c>
      <c r="I54" s="479">
        <v>6.0</v>
      </c>
      <c r="J54" s="505">
        <v>2372.855</v>
      </c>
      <c r="K54" s="479" t="s">
        <v>751</v>
      </c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AE54" s="130"/>
      <c r="AG54" s="106"/>
    </row>
    <row r="55">
      <c r="A55" s="282" t="s">
        <v>758</v>
      </c>
      <c r="B55" s="283">
        <v>45561.0</v>
      </c>
      <c r="C55" s="166" t="s">
        <v>536</v>
      </c>
      <c r="D55" s="93">
        <v>1160.0</v>
      </c>
      <c r="E55" s="291" t="s">
        <v>805</v>
      </c>
      <c r="F55" s="6">
        <f>-386.67-386.67</f>
        <v>-773.34</v>
      </c>
      <c r="H55" s="504">
        <v>45599.0</v>
      </c>
      <c r="I55" s="479">
        <v>6.0</v>
      </c>
      <c r="J55" s="505">
        <v>2362.5933333333332</v>
      </c>
      <c r="K55" s="479" t="s">
        <v>751</v>
      </c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AE55" s="130"/>
      <c r="AG55" s="106"/>
    </row>
    <row r="56">
      <c r="A56" s="282" t="s">
        <v>806</v>
      </c>
      <c r="B56" s="283">
        <v>45581.0</v>
      </c>
      <c r="C56" s="166" t="s">
        <v>774</v>
      </c>
      <c r="D56" s="93">
        <f>547-15</f>
        <v>532</v>
      </c>
      <c r="E56" s="503"/>
      <c r="F56" s="478"/>
      <c r="H56" s="504">
        <v>45606.0</v>
      </c>
      <c r="I56" s="479">
        <v>8.0</v>
      </c>
      <c r="J56" s="505">
        <v>3412.1633333333334</v>
      </c>
      <c r="K56" s="479" t="s">
        <v>751</v>
      </c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AE56" s="130"/>
      <c r="AG56" s="106"/>
    </row>
    <row r="57">
      <c r="A57" s="282" t="s">
        <v>775</v>
      </c>
      <c r="B57" s="283">
        <v>45581.0</v>
      </c>
      <c r="C57" s="166" t="s">
        <v>712</v>
      </c>
      <c r="D57" s="93">
        <f>421.43-5</f>
        <v>416.43</v>
      </c>
      <c r="E57" s="291"/>
      <c r="F57" s="6"/>
      <c r="H57" s="584">
        <v>45606.0</v>
      </c>
      <c r="I57" s="585">
        <v>1.0</v>
      </c>
      <c r="J57" s="586">
        <v>393.7266666666667</v>
      </c>
      <c r="K57" s="585" t="s">
        <v>811</v>
      </c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AE57" s="130"/>
      <c r="AG57" s="106"/>
    </row>
    <row r="58">
      <c r="A58" s="282" t="s">
        <v>776</v>
      </c>
      <c r="B58" s="283">
        <v>45583.0</v>
      </c>
      <c r="C58" s="166" t="s">
        <v>777</v>
      </c>
      <c r="D58" s="93">
        <v>91.02</v>
      </c>
      <c r="E58" s="291"/>
      <c r="F58" s="6"/>
      <c r="H58" s="286">
        <v>45613.0</v>
      </c>
      <c r="I58" s="479">
        <v>8.0</v>
      </c>
      <c r="J58" s="505">
        <v>3424.46</v>
      </c>
      <c r="K58" s="479" t="s">
        <v>751</v>
      </c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AE58" s="130"/>
      <c r="AG58" s="106"/>
    </row>
    <row r="59">
      <c r="A59" s="282" t="s">
        <v>778</v>
      </c>
      <c r="B59" s="283">
        <v>45580.0</v>
      </c>
      <c r="C59" s="166" t="s">
        <v>626</v>
      </c>
      <c r="D59" s="93">
        <v>1629.6</v>
      </c>
      <c r="E59" s="337">
        <v>45595.0</v>
      </c>
      <c r="F59" s="6">
        <f>-543.2</f>
        <v>-543.2</v>
      </c>
      <c r="H59" s="286">
        <v>45620.0</v>
      </c>
      <c r="I59" s="479">
        <v>8.0</v>
      </c>
      <c r="J59" s="505">
        <f>sum(M40+M41)</f>
        <v>3535.55</v>
      </c>
      <c r="K59" s="479" t="s">
        <v>751</v>
      </c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AE59" s="130"/>
      <c r="AG59" s="106"/>
    </row>
    <row r="60">
      <c r="A60" s="282" t="s">
        <v>812</v>
      </c>
      <c r="B60" s="283">
        <v>45589.0</v>
      </c>
      <c r="C60" s="166" t="s">
        <v>813</v>
      </c>
      <c r="D60" s="93">
        <v>565.5</v>
      </c>
      <c r="E60" s="291"/>
      <c r="F60" s="6"/>
      <c r="H60" s="286">
        <v>45620.0</v>
      </c>
      <c r="I60" s="479">
        <v>2.0</v>
      </c>
      <c r="J60" s="479">
        <v>853.72</v>
      </c>
      <c r="K60" s="479" t="s">
        <v>832</v>
      </c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AE60" s="130"/>
      <c r="AG60" s="106"/>
    </row>
    <row r="61">
      <c r="A61" s="282" t="s">
        <v>814</v>
      </c>
      <c r="B61" s="283">
        <v>45602.0</v>
      </c>
      <c r="C61" s="166" t="s">
        <v>712</v>
      </c>
      <c r="D61" s="93">
        <f>423.86-15</f>
        <v>408.86</v>
      </c>
      <c r="E61" s="291"/>
      <c r="F61" s="6"/>
      <c r="H61" s="286">
        <v>45627.0</v>
      </c>
      <c r="I61" s="479">
        <v>2.0</v>
      </c>
      <c r="J61" s="479">
        <v>847.22</v>
      </c>
      <c r="K61" s="479" t="s">
        <v>751</v>
      </c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AE61" s="130"/>
      <c r="AG61" s="106"/>
    </row>
    <row r="62">
      <c r="A62" s="282" t="s">
        <v>815</v>
      </c>
      <c r="B62" s="283">
        <v>45602.0</v>
      </c>
      <c r="C62" s="166" t="s">
        <v>710</v>
      </c>
      <c r="D62" s="93">
        <v>1767.68</v>
      </c>
      <c r="E62" s="291"/>
      <c r="F62" s="6"/>
      <c r="H62" s="479"/>
      <c r="I62" s="481"/>
      <c r="J62" s="481"/>
      <c r="K62" s="481"/>
      <c r="M62" s="481"/>
      <c r="N62" s="481"/>
      <c r="O62" s="545"/>
      <c r="P62" s="79"/>
      <c r="Q62" s="481"/>
      <c r="R62" s="481"/>
      <c r="S62" s="545"/>
      <c r="T62" s="545"/>
      <c r="U62" s="481"/>
      <c r="V62" s="481"/>
      <c r="W62" s="481"/>
      <c r="X62" s="481"/>
      <c r="Y62" s="545"/>
      <c r="AE62" s="130"/>
      <c r="AG62" s="106"/>
    </row>
    <row r="63">
      <c r="A63" s="282" t="s">
        <v>816</v>
      </c>
      <c r="B63" s="283">
        <v>45593.0</v>
      </c>
      <c r="C63" s="166" t="s">
        <v>408</v>
      </c>
      <c r="D63" s="93">
        <v>446.0</v>
      </c>
      <c r="E63" s="291"/>
      <c r="F63" s="6"/>
      <c r="O63" s="79"/>
      <c r="S63" s="79"/>
      <c r="T63" s="79"/>
      <c r="Y63" s="79"/>
      <c r="AE63" s="130"/>
      <c r="AG63" s="106"/>
    </row>
    <row r="64">
      <c r="A64" s="282" t="s">
        <v>825</v>
      </c>
      <c r="B64" s="283">
        <v>45611.0</v>
      </c>
      <c r="C64" s="166" t="s">
        <v>710</v>
      </c>
      <c r="D64" s="93">
        <v>1114.06</v>
      </c>
      <c r="E64" s="291"/>
      <c r="F64" s="6"/>
      <c r="O64" s="79"/>
      <c r="S64" s="79"/>
      <c r="T64" s="79"/>
      <c r="Y64" s="79"/>
      <c r="AE64" s="130"/>
      <c r="AG64" s="106"/>
    </row>
    <row r="65">
      <c r="A65" s="282" t="s">
        <v>826</v>
      </c>
      <c r="B65" s="283">
        <v>45608.0</v>
      </c>
      <c r="C65" s="166" t="s">
        <v>827</v>
      </c>
      <c r="D65" s="93">
        <v>1432.76</v>
      </c>
      <c r="E65" s="291"/>
      <c r="F65" s="6"/>
      <c r="O65" s="79"/>
      <c r="S65" s="79"/>
      <c r="T65" s="79"/>
      <c r="Y65" s="79"/>
      <c r="AE65" s="130"/>
      <c r="AG65" s="106"/>
    </row>
    <row r="66">
      <c r="A66" s="282" t="s">
        <v>834</v>
      </c>
      <c r="B66" s="283">
        <v>45622.0</v>
      </c>
      <c r="C66" s="166" t="s">
        <v>710</v>
      </c>
      <c r="D66" s="93">
        <v>1232.18</v>
      </c>
      <c r="E66" s="291"/>
      <c r="F66" s="6"/>
      <c r="O66" s="79"/>
      <c r="S66" s="79"/>
      <c r="T66" s="79"/>
      <c r="Y66" s="79"/>
      <c r="AE66" s="130"/>
      <c r="AG66" s="106"/>
    </row>
    <row r="67">
      <c r="A67" s="282"/>
      <c r="B67" s="283"/>
      <c r="C67" s="166"/>
      <c r="D67" s="93"/>
      <c r="E67" s="291"/>
      <c r="F67" s="6"/>
      <c r="O67" s="79"/>
      <c r="S67" s="79"/>
      <c r="T67" s="79"/>
      <c r="Y67" s="79"/>
      <c r="AE67" s="130"/>
      <c r="AG67" s="106"/>
    </row>
    <row r="68">
      <c r="A68" s="282"/>
      <c r="B68" s="283"/>
      <c r="C68" s="166"/>
      <c r="D68" s="93"/>
      <c r="E68" s="291"/>
      <c r="F68" s="6"/>
      <c r="O68" s="79"/>
      <c r="S68" s="79"/>
      <c r="T68" s="79"/>
      <c r="Y68" s="79"/>
      <c r="AE68" s="130"/>
      <c r="AG68" s="106"/>
    </row>
    <row r="69">
      <c r="A69" s="282"/>
      <c r="B69" s="283"/>
      <c r="C69" s="166"/>
      <c r="D69" s="93"/>
      <c r="E69" s="291"/>
      <c r="F69" s="6"/>
      <c r="O69" s="79"/>
      <c r="S69" s="79"/>
      <c r="T69" s="79"/>
      <c r="Y69" s="79"/>
      <c r="AE69" s="130"/>
      <c r="AG69" s="106"/>
    </row>
    <row r="70">
      <c r="A70" s="282"/>
      <c r="B70" s="283"/>
      <c r="C70" s="166"/>
      <c r="D70" s="93"/>
      <c r="E70" s="291"/>
      <c r="F70" s="6"/>
      <c r="O70" s="79"/>
      <c r="S70" s="79"/>
      <c r="T70" s="79"/>
      <c r="Y70" s="79"/>
      <c r="AE70" s="130"/>
      <c r="AG70" s="106"/>
    </row>
    <row r="71">
      <c r="A71" s="282"/>
      <c r="B71" s="283"/>
      <c r="C71" s="166"/>
      <c r="D71" s="93"/>
      <c r="E71" s="291"/>
      <c r="F71" s="6"/>
      <c r="O71" s="79"/>
      <c r="S71" s="79"/>
      <c r="T71" s="79"/>
      <c r="Y71" s="79"/>
      <c r="AE71" s="130"/>
      <c r="AG71" s="106"/>
    </row>
    <row r="72">
      <c r="A72" s="282"/>
      <c r="B72" s="283"/>
      <c r="C72" s="166"/>
      <c r="D72" s="93"/>
      <c r="E72" s="291"/>
      <c r="F72" s="6"/>
      <c r="O72" s="79"/>
      <c r="S72" s="79"/>
      <c r="T72" s="79"/>
      <c r="Y72" s="79"/>
      <c r="AE72" s="130"/>
      <c r="AG72" s="106"/>
    </row>
    <row r="73">
      <c r="A73" s="282"/>
      <c r="B73" s="283"/>
      <c r="C73" s="166"/>
      <c r="D73" s="93"/>
      <c r="E73" s="291"/>
      <c r="F73" s="6"/>
      <c r="O73" s="79"/>
      <c r="S73" s="79"/>
      <c r="T73" s="79"/>
      <c r="Y73" s="79"/>
      <c r="AE73" s="130"/>
      <c r="AG73" s="106"/>
    </row>
    <row r="74">
      <c r="A74" s="282"/>
      <c r="B74" s="283"/>
      <c r="C74" s="166"/>
      <c r="D74" s="93"/>
      <c r="E74" s="291"/>
      <c r="F74" s="6"/>
      <c r="O74" s="79"/>
      <c r="S74" s="79"/>
      <c r="T74" s="79"/>
      <c r="Y74" s="79"/>
      <c r="AE74" s="130"/>
      <c r="AG74" s="106"/>
    </row>
    <row r="75">
      <c r="A75" s="282"/>
      <c r="B75" s="283"/>
      <c r="C75" s="166"/>
      <c r="D75" s="93"/>
      <c r="E75" s="291"/>
      <c r="F75" s="6"/>
      <c r="O75" s="79"/>
      <c r="S75" s="79"/>
      <c r="T75" s="79"/>
      <c r="Y75" s="79"/>
      <c r="AE75" s="130"/>
      <c r="AG75" s="106"/>
    </row>
    <row r="76">
      <c r="A76" s="282"/>
      <c r="B76" s="283"/>
      <c r="C76" s="166"/>
      <c r="D76" s="93"/>
      <c r="E76" s="291"/>
      <c r="F76" s="6"/>
      <c r="O76" s="79"/>
      <c r="S76" s="79"/>
      <c r="T76" s="79"/>
      <c r="Y76" s="79"/>
      <c r="AE76" s="130"/>
      <c r="AG76" s="106"/>
    </row>
    <row r="77">
      <c r="A77" s="282"/>
      <c r="B77" s="283"/>
      <c r="C77" s="166"/>
      <c r="D77" s="93"/>
      <c r="E77" s="291"/>
      <c r="F77" s="6"/>
      <c r="O77" s="79"/>
      <c r="S77" s="79"/>
      <c r="T77" s="79"/>
      <c r="Y77" s="79"/>
      <c r="AE77" s="130"/>
      <c r="AG77" s="106"/>
    </row>
    <row r="78">
      <c r="A78" s="282"/>
      <c r="B78" s="283"/>
      <c r="C78" s="166"/>
      <c r="D78" s="93"/>
      <c r="E78" s="291"/>
      <c r="F78" s="6"/>
      <c r="O78" s="79"/>
      <c r="S78" s="79"/>
      <c r="T78" s="79"/>
      <c r="Y78" s="79"/>
      <c r="AE78" s="130"/>
      <c r="AG78" s="106"/>
    </row>
    <row r="79">
      <c r="A79" s="282"/>
      <c r="B79" s="283"/>
      <c r="C79" s="166"/>
      <c r="D79" s="93"/>
      <c r="E79" s="291"/>
      <c r="F79" s="6"/>
      <c r="O79" s="79"/>
      <c r="S79" s="79"/>
      <c r="T79" s="79"/>
      <c r="Y79" s="79"/>
      <c r="AE79" s="130"/>
      <c r="AG79" s="106"/>
    </row>
    <row r="80">
      <c r="A80" s="282"/>
      <c r="B80" s="283"/>
      <c r="C80" s="166"/>
      <c r="D80" s="93"/>
      <c r="E80" s="291"/>
      <c r="F80" s="6"/>
      <c r="O80" s="79"/>
      <c r="S80" s="79"/>
      <c r="T80" s="79"/>
      <c r="Y80" s="79"/>
      <c r="AE80" s="130"/>
      <c r="AG80" s="106"/>
    </row>
    <row r="81">
      <c r="A81" s="282"/>
      <c r="B81" s="283"/>
      <c r="C81" s="166"/>
      <c r="D81" s="93"/>
      <c r="E81" s="291"/>
      <c r="F81" s="6"/>
      <c r="O81" s="79"/>
      <c r="S81" s="79"/>
      <c r="T81" s="79"/>
      <c r="Y81" s="79"/>
      <c r="AE81" s="130"/>
      <c r="AG81" s="106"/>
    </row>
    <row r="82">
      <c r="A82" s="282"/>
      <c r="B82" s="283"/>
      <c r="C82" s="166"/>
      <c r="D82" s="93"/>
      <c r="E82" s="291"/>
      <c r="F82" s="6"/>
      <c r="O82" s="79"/>
      <c r="S82" s="79"/>
      <c r="T82" s="79"/>
      <c r="Y82" s="79"/>
      <c r="AE82" s="130"/>
      <c r="AG82" s="106"/>
    </row>
    <row r="83">
      <c r="A83" s="282"/>
      <c r="B83" s="283"/>
      <c r="C83" s="166"/>
      <c r="D83" s="93"/>
      <c r="E83" s="291"/>
      <c r="F83" s="6"/>
      <c r="O83" s="79"/>
      <c r="S83" s="79"/>
      <c r="T83" s="79"/>
      <c r="Y83" s="79"/>
      <c r="AE83" s="130"/>
      <c r="AG83" s="106"/>
    </row>
    <row r="84">
      <c r="A84" s="282"/>
      <c r="B84" s="283"/>
      <c r="C84" s="166"/>
      <c r="D84" s="93"/>
      <c r="E84" s="291"/>
      <c r="F84" s="6"/>
      <c r="O84" s="79"/>
      <c r="S84" s="79"/>
      <c r="T84" s="79"/>
      <c r="Y84" s="79"/>
      <c r="AE84" s="130"/>
      <c r="AG84" s="106"/>
    </row>
    <row r="85">
      <c r="A85" s="282"/>
      <c r="B85" s="283"/>
      <c r="C85" s="166"/>
      <c r="D85" s="93"/>
      <c r="E85" s="291"/>
      <c r="F85" s="6"/>
      <c r="O85" s="79"/>
      <c r="S85" s="79"/>
      <c r="T85" s="79"/>
      <c r="Y85" s="79"/>
      <c r="AE85" s="130"/>
      <c r="AG85" s="106"/>
    </row>
    <row r="86">
      <c r="A86" s="282"/>
      <c r="B86" s="283"/>
      <c r="C86" s="166"/>
      <c r="D86" s="93"/>
      <c r="E86" s="291"/>
      <c r="F86" s="6"/>
      <c r="O86" s="79"/>
      <c r="S86" s="79"/>
      <c r="T86" s="79"/>
      <c r="Y86" s="79"/>
      <c r="AE86" s="130"/>
      <c r="AG86" s="106"/>
    </row>
    <row r="87">
      <c r="A87" s="282"/>
      <c r="B87" s="283"/>
      <c r="C87" s="166"/>
      <c r="D87" s="93"/>
      <c r="E87" s="291"/>
      <c r="F87" s="6"/>
      <c r="O87" s="79"/>
      <c r="S87" s="79"/>
      <c r="T87" s="79"/>
      <c r="Y87" s="79"/>
      <c r="AE87" s="130"/>
      <c r="AG87" s="106"/>
    </row>
    <row r="88">
      <c r="A88" s="282"/>
      <c r="B88" s="283"/>
      <c r="C88" s="166"/>
      <c r="D88" s="93"/>
      <c r="E88" s="291"/>
      <c r="F88" s="6"/>
      <c r="O88" s="79"/>
      <c r="S88" s="79"/>
      <c r="T88" s="79"/>
      <c r="Y88" s="79"/>
      <c r="AE88" s="130"/>
      <c r="AG88" s="106"/>
    </row>
    <row r="89">
      <c r="A89" s="282"/>
      <c r="B89" s="283"/>
      <c r="C89" s="166"/>
      <c r="D89" s="93"/>
      <c r="E89" s="291"/>
      <c r="F89" s="6"/>
      <c r="O89" s="79"/>
      <c r="S89" s="79"/>
      <c r="T89" s="79"/>
      <c r="Y89" s="79"/>
      <c r="AE89" s="130"/>
      <c r="AG89" s="106"/>
    </row>
    <row r="90">
      <c r="A90" s="282"/>
      <c r="B90" s="283"/>
      <c r="C90" s="166"/>
      <c r="D90" s="93"/>
      <c r="E90" s="291"/>
      <c r="F90" s="6"/>
      <c r="O90" s="79"/>
      <c r="S90" s="79"/>
      <c r="T90" s="79"/>
      <c r="Y90" s="79"/>
      <c r="AE90" s="130"/>
      <c r="AG90" s="106"/>
    </row>
    <row r="91">
      <c r="A91" s="282"/>
      <c r="B91" s="283"/>
      <c r="C91" s="166"/>
      <c r="D91" s="93"/>
      <c r="E91" s="291"/>
      <c r="F91" s="6"/>
      <c r="O91" s="79"/>
      <c r="S91" s="79"/>
      <c r="T91" s="79"/>
      <c r="Y91" s="79"/>
      <c r="AE91" s="130"/>
      <c r="AG91" s="106"/>
    </row>
    <row r="92">
      <c r="A92" s="282"/>
      <c r="B92" s="283"/>
      <c r="C92" s="166"/>
      <c r="D92" s="93"/>
      <c r="E92" s="291"/>
      <c r="F92" s="6"/>
      <c r="O92" s="79"/>
      <c r="S92" s="79"/>
      <c r="T92" s="79"/>
      <c r="Y92" s="79"/>
      <c r="AE92" s="130"/>
      <c r="AG92" s="106"/>
    </row>
    <row r="93">
      <c r="A93" s="282"/>
      <c r="B93" s="283"/>
      <c r="C93" s="166"/>
      <c r="D93" s="93"/>
      <c r="E93" s="291"/>
      <c r="F93" s="6"/>
      <c r="O93" s="79"/>
      <c r="S93" s="79"/>
      <c r="T93" s="79"/>
      <c r="Y93" s="79"/>
      <c r="AE93" s="130"/>
      <c r="AG93" s="106"/>
    </row>
    <row r="94">
      <c r="A94" s="282"/>
      <c r="B94" s="283"/>
      <c r="C94" s="166"/>
      <c r="D94" s="93"/>
      <c r="E94" s="291"/>
      <c r="F94" s="6"/>
      <c r="O94" s="79"/>
      <c r="S94" s="79"/>
      <c r="T94" s="79"/>
      <c r="Y94" s="79"/>
      <c r="AE94" s="130"/>
      <c r="AG94" s="106"/>
    </row>
    <row r="95">
      <c r="A95" s="282"/>
      <c r="B95" s="283"/>
      <c r="C95" s="166"/>
      <c r="D95" s="93"/>
      <c r="E95" s="291"/>
      <c r="F95" s="6"/>
      <c r="O95" s="79"/>
      <c r="S95" s="79"/>
      <c r="T95" s="79"/>
      <c r="Y95" s="79"/>
      <c r="AE95" s="130"/>
      <c r="AG95" s="106"/>
    </row>
    <row r="96">
      <c r="C96" s="79"/>
      <c r="D96" s="79"/>
      <c r="E96" s="79"/>
      <c r="O96" s="79"/>
      <c r="S96" s="79"/>
      <c r="T96" s="79"/>
      <c r="Y96" s="79"/>
      <c r="AE96" s="130"/>
      <c r="AG96" s="106"/>
    </row>
    <row r="97">
      <c r="C97" s="79"/>
      <c r="D97" s="79"/>
      <c r="E97" s="79"/>
      <c r="O97" s="79"/>
      <c r="S97" s="79"/>
      <c r="T97" s="79"/>
      <c r="Y97" s="79"/>
      <c r="AE97" s="130"/>
      <c r="AG97" s="106"/>
    </row>
    <row r="98">
      <c r="C98" s="79"/>
      <c r="D98" s="79"/>
      <c r="E98" s="79"/>
      <c r="O98" s="79"/>
      <c r="S98" s="79"/>
      <c r="T98" s="79"/>
      <c r="Y98" s="79"/>
      <c r="AE98" s="130"/>
      <c r="AG98" s="106"/>
    </row>
    <row r="99">
      <c r="C99" s="79"/>
      <c r="D99" s="79"/>
      <c r="E99" s="79"/>
      <c r="O99" s="79"/>
      <c r="S99" s="79"/>
      <c r="T99" s="79"/>
      <c r="Y99" s="79"/>
      <c r="AE99" s="130"/>
      <c r="AG99" s="106"/>
    </row>
    <row r="100">
      <c r="C100" s="79"/>
      <c r="D100" s="79"/>
      <c r="E100" s="79"/>
      <c r="O100" s="79"/>
      <c r="S100" s="79"/>
      <c r="T100" s="79"/>
      <c r="Y100" s="79"/>
      <c r="AE100" s="130"/>
      <c r="AG100" s="106"/>
    </row>
    <row r="101">
      <c r="C101" s="79"/>
      <c r="D101" s="79"/>
      <c r="E101" s="79"/>
      <c r="O101" s="79"/>
      <c r="S101" s="79"/>
      <c r="T101" s="79"/>
      <c r="Y101" s="79"/>
      <c r="AE101" s="130"/>
      <c r="AG101" s="106"/>
    </row>
    <row r="102">
      <c r="C102" s="79"/>
      <c r="D102" s="79"/>
      <c r="E102" s="79"/>
      <c r="O102" s="79"/>
      <c r="S102" s="79"/>
      <c r="T102" s="79"/>
      <c r="Y102" s="79"/>
      <c r="AE102" s="130"/>
      <c r="AG102" s="106"/>
    </row>
    <row r="103">
      <c r="C103" s="79"/>
      <c r="D103" s="79"/>
      <c r="E103" s="79"/>
      <c r="O103" s="79"/>
      <c r="S103" s="79"/>
      <c r="T103" s="79"/>
      <c r="Y103" s="79"/>
      <c r="AE103" s="130"/>
      <c r="AG103" s="106"/>
    </row>
    <row r="104">
      <c r="C104" s="79"/>
      <c r="D104" s="79"/>
      <c r="E104" s="79"/>
      <c r="O104" s="79"/>
      <c r="S104" s="79"/>
      <c r="T104" s="79"/>
      <c r="Y104" s="79"/>
      <c r="AE104" s="130"/>
      <c r="AG104" s="106"/>
    </row>
    <row r="105">
      <c r="C105" s="79"/>
      <c r="D105" s="79"/>
      <c r="E105" s="79"/>
      <c r="O105" s="79"/>
      <c r="S105" s="79"/>
      <c r="T105" s="79"/>
      <c r="Y105" s="79"/>
      <c r="AE105" s="130"/>
      <c r="AG105" s="106"/>
    </row>
    <row r="106">
      <c r="C106" s="79"/>
      <c r="D106" s="79"/>
      <c r="E106" s="79"/>
      <c r="O106" s="79"/>
      <c r="S106" s="79"/>
      <c r="T106" s="79"/>
      <c r="Y106" s="79"/>
      <c r="AE106" s="130"/>
      <c r="AG106" s="106"/>
    </row>
    <row r="107">
      <c r="C107" s="79"/>
      <c r="D107" s="79"/>
      <c r="E107" s="79"/>
      <c r="O107" s="79"/>
      <c r="S107" s="79"/>
      <c r="T107" s="79"/>
      <c r="Y107" s="79"/>
      <c r="AE107" s="130"/>
      <c r="AG107" s="106"/>
    </row>
    <row r="108">
      <c r="C108" s="79"/>
      <c r="D108" s="79"/>
      <c r="E108" s="79"/>
      <c r="O108" s="79"/>
      <c r="S108" s="79"/>
      <c r="T108" s="79"/>
      <c r="Y108" s="79"/>
      <c r="AE108" s="130"/>
      <c r="AG108" s="106"/>
    </row>
    <row r="109">
      <c r="C109" s="79"/>
      <c r="D109" s="79"/>
      <c r="E109" s="79"/>
      <c r="O109" s="79"/>
      <c r="S109" s="79"/>
      <c r="T109" s="79"/>
      <c r="Y109" s="79"/>
      <c r="AE109" s="130"/>
      <c r="AG109" s="106"/>
    </row>
    <row r="110">
      <c r="C110" s="79"/>
      <c r="D110" s="79"/>
      <c r="E110" s="79"/>
      <c r="O110" s="79"/>
      <c r="S110" s="79"/>
      <c r="T110" s="79"/>
      <c r="Y110" s="79"/>
      <c r="AE110" s="130"/>
      <c r="AG110" s="106"/>
    </row>
    <row r="111">
      <c r="C111" s="79"/>
      <c r="D111" s="79"/>
      <c r="E111" s="79"/>
      <c r="O111" s="79"/>
      <c r="S111" s="79"/>
      <c r="T111" s="79"/>
      <c r="Y111" s="79"/>
      <c r="AE111" s="130"/>
      <c r="AG111" s="106"/>
    </row>
    <row r="112">
      <c r="C112" s="79"/>
      <c r="D112" s="79"/>
      <c r="E112" s="79"/>
      <c r="O112" s="79"/>
      <c r="S112" s="79"/>
      <c r="T112" s="79"/>
      <c r="Y112" s="79"/>
      <c r="AE112" s="130"/>
      <c r="AG112" s="106"/>
    </row>
    <row r="113">
      <c r="C113" s="79"/>
      <c r="D113" s="79"/>
      <c r="E113" s="79"/>
      <c r="O113" s="79"/>
      <c r="S113" s="79"/>
      <c r="T113" s="79"/>
      <c r="Y113" s="79"/>
      <c r="AE113" s="130"/>
      <c r="AG113" s="106"/>
    </row>
    <row r="114">
      <c r="C114" s="79"/>
      <c r="D114" s="79"/>
      <c r="E114" s="79"/>
      <c r="O114" s="79"/>
      <c r="S114" s="79"/>
      <c r="T114" s="79"/>
      <c r="Y114" s="79"/>
      <c r="AE114" s="130"/>
      <c r="AG114" s="106"/>
    </row>
    <row r="115">
      <c r="C115" s="79"/>
      <c r="D115" s="79"/>
      <c r="E115" s="79"/>
      <c r="O115" s="79"/>
      <c r="S115" s="79"/>
      <c r="T115" s="79"/>
      <c r="Y115" s="79"/>
      <c r="AE115" s="130"/>
      <c r="AG115" s="106"/>
    </row>
    <row r="116">
      <c r="C116" s="79"/>
      <c r="D116" s="79"/>
      <c r="E116" s="79"/>
      <c r="O116" s="79"/>
      <c r="S116" s="79"/>
      <c r="T116" s="79"/>
      <c r="Y116" s="79"/>
      <c r="AE116" s="130"/>
      <c r="AG116" s="106"/>
    </row>
    <row r="117">
      <c r="C117" s="79"/>
      <c r="D117" s="79"/>
      <c r="E117" s="79"/>
      <c r="O117" s="79"/>
      <c r="S117" s="79"/>
      <c r="T117" s="79"/>
      <c r="Y117" s="79"/>
      <c r="AE117" s="130"/>
      <c r="AG117" s="106"/>
    </row>
    <row r="118">
      <c r="C118" s="79"/>
      <c r="D118" s="79"/>
      <c r="E118" s="79"/>
      <c r="O118" s="79"/>
      <c r="S118" s="79"/>
      <c r="T118" s="79"/>
      <c r="Y118" s="79"/>
      <c r="AE118" s="130"/>
      <c r="AG118" s="106"/>
    </row>
    <row r="119">
      <c r="C119" s="79"/>
      <c r="D119" s="79"/>
      <c r="E119" s="79"/>
      <c r="O119" s="79"/>
      <c r="S119" s="79"/>
      <c r="T119" s="79"/>
      <c r="Y119" s="79"/>
      <c r="AE119" s="130"/>
      <c r="AG119" s="106"/>
    </row>
    <row r="120">
      <c r="C120" s="79"/>
      <c r="D120" s="79"/>
      <c r="E120" s="79"/>
      <c r="O120" s="79"/>
      <c r="S120" s="79"/>
      <c r="T120" s="79"/>
      <c r="Y120" s="79"/>
      <c r="AE120" s="130"/>
      <c r="AG120" s="106"/>
    </row>
    <row r="121">
      <c r="C121" s="79"/>
      <c r="D121" s="79"/>
      <c r="E121" s="79"/>
      <c r="O121" s="79"/>
      <c r="S121" s="79"/>
      <c r="T121" s="79"/>
      <c r="Y121" s="79"/>
      <c r="AE121" s="130"/>
      <c r="AG121" s="106"/>
    </row>
    <row r="122">
      <c r="C122" s="79"/>
      <c r="D122" s="79"/>
      <c r="E122" s="79"/>
      <c r="O122" s="79"/>
      <c r="S122" s="79"/>
      <c r="T122" s="79"/>
      <c r="Y122" s="79"/>
      <c r="AE122" s="130"/>
      <c r="AG122" s="106"/>
    </row>
    <row r="123">
      <c r="C123" s="79"/>
      <c r="D123" s="79"/>
      <c r="E123" s="79"/>
      <c r="O123" s="79"/>
      <c r="S123" s="79"/>
      <c r="T123" s="79"/>
      <c r="Y123" s="79"/>
      <c r="AE123" s="130"/>
      <c r="AG123" s="106"/>
    </row>
    <row r="124">
      <c r="C124" s="79"/>
      <c r="D124" s="79"/>
      <c r="E124" s="79"/>
      <c r="O124" s="79"/>
      <c r="S124" s="79"/>
      <c r="T124" s="79"/>
      <c r="Y124" s="79"/>
      <c r="AE124" s="130"/>
      <c r="AG124" s="106"/>
    </row>
    <row r="125">
      <c r="C125" s="79"/>
      <c r="D125" s="79"/>
      <c r="E125" s="79"/>
      <c r="O125" s="79"/>
      <c r="S125" s="79"/>
      <c r="T125" s="79"/>
      <c r="Y125" s="79"/>
      <c r="AE125" s="130"/>
      <c r="AG125" s="106"/>
    </row>
    <row r="126">
      <c r="C126" s="79"/>
      <c r="D126" s="79"/>
      <c r="E126" s="79"/>
      <c r="O126" s="79"/>
      <c r="S126" s="79"/>
      <c r="T126" s="79"/>
      <c r="Y126" s="79"/>
      <c r="AE126" s="130"/>
      <c r="AG126" s="106"/>
    </row>
    <row r="127">
      <c r="C127" s="79"/>
      <c r="D127" s="79"/>
      <c r="E127" s="79"/>
      <c r="O127" s="79"/>
      <c r="S127" s="79"/>
      <c r="T127" s="79"/>
      <c r="Y127" s="79"/>
      <c r="AE127" s="130"/>
      <c r="AG127" s="106"/>
    </row>
    <row r="128">
      <c r="C128" s="79"/>
      <c r="D128" s="79"/>
      <c r="E128" s="79"/>
      <c r="O128" s="79"/>
      <c r="S128" s="79"/>
      <c r="T128" s="79"/>
      <c r="Y128" s="79"/>
      <c r="AE128" s="130"/>
      <c r="AG128" s="106"/>
    </row>
    <row r="129">
      <c r="C129" s="79"/>
      <c r="D129" s="79"/>
      <c r="E129" s="79"/>
      <c r="O129" s="79"/>
      <c r="S129" s="79"/>
      <c r="T129" s="79"/>
      <c r="Y129" s="79"/>
      <c r="AE129" s="130"/>
      <c r="AG129" s="106"/>
    </row>
    <row r="130">
      <c r="C130" s="79"/>
      <c r="D130" s="79"/>
      <c r="E130" s="79"/>
      <c r="O130" s="79"/>
      <c r="S130" s="79"/>
      <c r="T130" s="79"/>
      <c r="Y130" s="79"/>
      <c r="AE130" s="130"/>
      <c r="AG130" s="106"/>
    </row>
    <row r="131">
      <c r="C131" s="79"/>
      <c r="D131" s="79"/>
      <c r="E131" s="79"/>
      <c r="O131" s="79"/>
      <c r="S131" s="79"/>
      <c r="T131" s="79"/>
      <c r="Y131" s="79"/>
      <c r="AE131" s="130"/>
      <c r="AG131" s="106"/>
    </row>
    <row r="132">
      <c r="C132" s="79"/>
      <c r="D132" s="79"/>
      <c r="E132" s="79"/>
      <c r="O132" s="79"/>
      <c r="S132" s="79"/>
      <c r="T132" s="79"/>
      <c r="Y132" s="79"/>
      <c r="AE132" s="130"/>
      <c r="AG132" s="106"/>
    </row>
    <row r="133">
      <c r="C133" s="79"/>
      <c r="D133" s="79"/>
      <c r="E133" s="79"/>
      <c r="O133" s="79"/>
      <c r="S133" s="79"/>
      <c r="T133" s="79"/>
      <c r="Y133" s="79"/>
      <c r="AE133" s="130"/>
      <c r="AG133" s="106"/>
    </row>
    <row r="134">
      <c r="C134" s="79"/>
      <c r="D134" s="79"/>
      <c r="E134" s="79"/>
      <c r="O134" s="79"/>
      <c r="S134" s="79"/>
      <c r="T134" s="79"/>
      <c r="Y134" s="79"/>
      <c r="AE134" s="130"/>
      <c r="AG134" s="106"/>
    </row>
    <row r="135">
      <c r="C135" s="79"/>
      <c r="D135" s="79"/>
      <c r="E135" s="79"/>
      <c r="O135" s="79"/>
      <c r="S135" s="79"/>
      <c r="T135" s="79"/>
      <c r="Y135" s="79"/>
      <c r="AE135" s="130"/>
      <c r="AG135" s="106"/>
    </row>
    <row r="136">
      <c r="C136" s="79"/>
      <c r="D136" s="79"/>
      <c r="E136" s="79"/>
      <c r="O136" s="79"/>
      <c r="S136" s="79"/>
      <c r="T136" s="79"/>
      <c r="Y136" s="79"/>
      <c r="AE136" s="130"/>
      <c r="AG136" s="106"/>
    </row>
    <row r="137">
      <c r="C137" s="79"/>
      <c r="D137" s="79"/>
      <c r="E137" s="79"/>
      <c r="O137" s="79"/>
      <c r="S137" s="79"/>
      <c r="T137" s="79"/>
      <c r="Y137" s="79"/>
      <c r="AE137" s="130"/>
      <c r="AG137" s="106"/>
    </row>
    <row r="138">
      <c r="C138" s="79"/>
      <c r="D138" s="79"/>
      <c r="E138" s="79"/>
      <c r="O138" s="79"/>
      <c r="S138" s="79"/>
      <c r="T138" s="79"/>
      <c r="Y138" s="79"/>
      <c r="AE138" s="130"/>
      <c r="AG138" s="106"/>
    </row>
    <row r="139">
      <c r="C139" s="79"/>
      <c r="D139" s="79"/>
      <c r="E139" s="79"/>
      <c r="O139" s="79"/>
      <c r="S139" s="79"/>
      <c r="T139" s="79"/>
      <c r="Y139" s="79"/>
      <c r="AE139" s="130"/>
      <c r="AG139" s="106"/>
    </row>
    <row r="140">
      <c r="C140" s="79"/>
      <c r="D140" s="79"/>
      <c r="E140" s="79"/>
      <c r="O140" s="79"/>
      <c r="S140" s="79"/>
      <c r="T140" s="79"/>
      <c r="Y140" s="79"/>
      <c r="AE140" s="130"/>
      <c r="AG140" s="106"/>
    </row>
    <row r="141">
      <c r="C141" s="79"/>
      <c r="D141" s="79"/>
      <c r="E141" s="79"/>
      <c r="O141" s="79"/>
      <c r="S141" s="79"/>
      <c r="T141" s="79"/>
      <c r="Y141" s="79"/>
      <c r="AE141" s="130"/>
      <c r="AG141" s="106"/>
    </row>
    <row r="142">
      <c r="C142" s="79"/>
      <c r="D142" s="79"/>
      <c r="E142" s="79"/>
      <c r="O142" s="79"/>
      <c r="S142" s="79"/>
      <c r="T142" s="79"/>
      <c r="Y142" s="79"/>
      <c r="AE142" s="130"/>
      <c r="AG142" s="106"/>
    </row>
    <row r="143">
      <c r="C143" s="79"/>
      <c r="D143" s="79"/>
      <c r="E143" s="79"/>
      <c r="O143" s="79"/>
      <c r="S143" s="79"/>
      <c r="T143" s="79"/>
      <c r="Y143" s="79"/>
      <c r="AE143" s="130"/>
      <c r="AG143" s="106"/>
    </row>
    <row r="144">
      <c r="C144" s="79"/>
      <c r="D144" s="79"/>
      <c r="E144" s="79"/>
      <c r="O144" s="79"/>
      <c r="S144" s="79"/>
      <c r="T144" s="79"/>
      <c r="Y144" s="79"/>
      <c r="AE144" s="130"/>
      <c r="AG144" s="106"/>
    </row>
    <row r="145">
      <c r="C145" s="79"/>
      <c r="D145" s="79"/>
      <c r="E145" s="79"/>
      <c r="O145" s="79"/>
      <c r="S145" s="79"/>
      <c r="T145" s="79"/>
      <c r="Y145" s="79"/>
      <c r="AE145" s="130"/>
      <c r="AG145" s="106"/>
    </row>
    <row r="146">
      <c r="C146" s="79"/>
      <c r="D146" s="79"/>
      <c r="E146" s="79"/>
      <c r="O146" s="79"/>
      <c r="S146" s="79"/>
      <c r="T146" s="79"/>
      <c r="Y146" s="79"/>
      <c r="AE146" s="130"/>
      <c r="AG146" s="106"/>
    </row>
    <row r="147">
      <c r="C147" s="79"/>
      <c r="D147" s="79"/>
      <c r="E147" s="79"/>
      <c r="O147" s="79"/>
      <c r="S147" s="79"/>
      <c r="T147" s="79"/>
      <c r="Y147" s="79"/>
      <c r="AE147" s="130"/>
      <c r="AG147" s="106"/>
    </row>
    <row r="148">
      <c r="C148" s="79"/>
      <c r="D148" s="79"/>
      <c r="E148" s="79"/>
      <c r="O148" s="79"/>
      <c r="S148" s="79"/>
      <c r="T148" s="79"/>
      <c r="Y148" s="79"/>
      <c r="AE148" s="130"/>
      <c r="AG148" s="106"/>
    </row>
    <row r="149">
      <c r="C149" s="79"/>
      <c r="D149" s="79"/>
      <c r="E149" s="79"/>
      <c r="O149" s="79"/>
      <c r="S149" s="79"/>
      <c r="T149" s="79"/>
      <c r="Y149" s="79"/>
      <c r="AE149" s="130"/>
      <c r="AG149" s="106"/>
    </row>
    <row r="150">
      <c r="C150" s="79"/>
      <c r="D150" s="79"/>
      <c r="E150" s="79"/>
      <c r="O150" s="79"/>
      <c r="S150" s="79"/>
      <c r="T150" s="79"/>
      <c r="Y150" s="79"/>
      <c r="AE150" s="130"/>
      <c r="AG150" s="106"/>
    </row>
    <row r="151">
      <c r="C151" s="79"/>
      <c r="D151" s="79"/>
      <c r="E151" s="79"/>
      <c r="O151" s="79"/>
      <c r="S151" s="79"/>
      <c r="T151" s="79"/>
      <c r="Y151" s="79"/>
      <c r="AE151" s="130"/>
      <c r="AG151" s="106"/>
    </row>
    <row r="152">
      <c r="C152" s="79"/>
      <c r="D152" s="79"/>
      <c r="E152" s="79"/>
      <c r="O152" s="79"/>
      <c r="S152" s="79"/>
      <c r="T152" s="79"/>
      <c r="Y152" s="79"/>
      <c r="AE152" s="130"/>
      <c r="AG152" s="106"/>
    </row>
    <row r="153">
      <c r="C153" s="79"/>
      <c r="D153" s="79"/>
      <c r="E153" s="79"/>
      <c r="O153" s="79"/>
      <c r="S153" s="79"/>
      <c r="T153" s="79"/>
      <c r="Y153" s="79"/>
      <c r="AE153" s="130"/>
      <c r="AG153" s="106"/>
    </row>
    <row r="154">
      <c r="C154" s="79"/>
      <c r="D154" s="79"/>
      <c r="E154" s="79"/>
      <c r="O154" s="79"/>
      <c r="S154" s="79"/>
      <c r="T154" s="79"/>
      <c r="Y154" s="79"/>
      <c r="AE154" s="130"/>
      <c r="AG154" s="106"/>
    </row>
    <row r="155">
      <c r="C155" s="79"/>
      <c r="D155" s="79"/>
      <c r="E155" s="79"/>
      <c r="O155" s="79"/>
      <c r="S155" s="79"/>
      <c r="T155" s="79"/>
      <c r="Y155" s="79"/>
      <c r="AE155" s="130"/>
      <c r="AG155" s="106"/>
    </row>
    <row r="156">
      <c r="C156" s="79"/>
      <c r="D156" s="79"/>
      <c r="E156" s="79"/>
      <c r="O156" s="79"/>
      <c r="S156" s="79"/>
      <c r="T156" s="79"/>
      <c r="Y156" s="79"/>
      <c r="AE156" s="130"/>
      <c r="AG156" s="106"/>
    </row>
    <row r="157">
      <c r="C157" s="79"/>
      <c r="D157" s="79"/>
      <c r="E157" s="79"/>
      <c r="O157" s="79"/>
      <c r="S157" s="79"/>
      <c r="T157" s="79"/>
      <c r="Y157" s="79"/>
      <c r="AE157" s="130"/>
      <c r="AG157" s="106"/>
    </row>
    <row r="158">
      <c r="C158" s="79"/>
      <c r="D158" s="79"/>
      <c r="E158" s="79"/>
      <c r="O158" s="79"/>
      <c r="S158" s="79"/>
      <c r="T158" s="79"/>
      <c r="Y158" s="79"/>
      <c r="AE158" s="130"/>
      <c r="AG158" s="106"/>
    </row>
    <row r="159">
      <c r="C159" s="79"/>
      <c r="D159" s="79"/>
      <c r="E159" s="79"/>
      <c r="O159" s="79"/>
      <c r="S159" s="79"/>
      <c r="T159" s="79"/>
      <c r="Y159" s="79"/>
      <c r="AE159" s="130"/>
      <c r="AG159" s="106"/>
    </row>
    <row r="160">
      <c r="C160" s="79"/>
      <c r="D160" s="79"/>
      <c r="E160" s="79"/>
      <c r="O160" s="79"/>
      <c r="S160" s="79"/>
      <c r="T160" s="79"/>
      <c r="Y160" s="79"/>
      <c r="AE160" s="130"/>
      <c r="AG160" s="106"/>
    </row>
    <row r="161">
      <c r="C161" s="79"/>
      <c r="D161" s="79"/>
      <c r="E161" s="79"/>
      <c r="O161" s="79"/>
      <c r="S161" s="79"/>
      <c r="T161" s="79"/>
      <c r="Y161" s="79"/>
      <c r="AE161" s="130"/>
      <c r="AG161" s="106"/>
    </row>
    <row r="162">
      <c r="C162" s="79"/>
      <c r="D162" s="79"/>
      <c r="E162" s="79"/>
      <c r="O162" s="79"/>
      <c r="S162" s="79"/>
      <c r="T162" s="79"/>
      <c r="Y162" s="79"/>
      <c r="AE162" s="130"/>
      <c r="AG162" s="106"/>
    </row>
    <row r="163">
      <c r="C163" s="79"/>
      <c r="D163" s="79"/>
      <c r="E163" s="79"/>
      <c r="O163" s="79"/>
      <c r="S163" s="79"/>
      <c r="T163" s="79"/>
      <c r="Y163" s="79"/>
      <c r="AE163" s="130"/>
      <c r="AG163" s="106"/>
    </row>
    <row r="164">
      <c r="C164" s="79"/>
      <c r="D164" s="79"/>
      <c r="E164" s="79"/>
      <c r="O164" s="79"/>
      <c r="S164" s="79"/>
      <c r="T164" s="79"/>
      <c r="Y164" s="79"/>
      <c r="AE164" s="130"/>
      <c r="AG164" s="106"/>
    </row>
    <row r="165">
      <c r="C165" s="79"/>
      <c r="D165" s="79"/>
      <c r="E165" s="79"/>
      <c r="O165" s="79"/>
      <c r="S165" s="79"/>
      <c r="T165" s="79"/>
      <c r="Y165" s="79"/>
      <c r="AE165" s="130"/>
      <c r="AG165" s="106"/>
    </row>
    <row r="166">
      <c r="C166" s="79"/>
      <c r="D166" s="79"/>
      <c r="E166" s="79"/>
      <c r="O166" s="79"/>
      <c r="S166" s="79"/>
      <c r="T166" s="79"/>
      <c r="Y166" s="79"/>
      <c r="AE166" s="130"/>
      <c r="AG166" s="106"/>
    </row>
    <row r="167">
      <c r="C167" s="79"/>
      <c r="D167" s="79"/>
      <c r="E167" s="79"/>
      <c r="O167" s="79"/>
      <c r="S167" s="79"/>
      <c r="T167" s="79"/>
      <c r="Y167" s="79"/>
      <c r="AE167" s="130"/>
      <c r="AG167" s="106"/>
    </row>
    <row r="168">
      <c r="C168" s="79"/>
      <c r="D168" s="79"/>
      <c r="E168" s="79"/>
      <c r="O168" s="79"/>
      <c r="S168" s="79"/>
      <c r="T168" s="79"/>
      <c r="Y168" s="79"/>
      <c r="AE168" s="130"/>
      <c r="AG168" s="106"/>
    </row>
    <row r="169">
      <c r="C169" s="79"/>
      <c r="D169" s="79"/>
      <c r="E169" s="79"/>
      <c r="O169" s="79"/>
      <c r="S169" s="79"/>
      <c r="T169" s="79"/>
      <c r="Y169" s="79"/>
      <c r="AE169" s="130"/>
      <c r="AG169" s="106"/>
    </row>
    <row r="170">
      <c r="C170" s="79"/>
      <c r="D170" s="79"/>
      <c r="E170" s="79"/>
      <c r="O170" s="79"/>
      <c r="S170" s="79"/>
      <c r="T170" s="79"/>
      <c r="Y170" s="79"/>
      <c r="AE170" s="130"/>
      <c r="AG170" s="106"/>
    </row>
    <row r="171">
      <c r="C171" s="79"/>
      <c r="D171" s="79"/>
      <c r="E171" s="79"/>
      <c r="O171" s="79"/>
      <c r="S171" s="79"/>
      <c r="T171" s="79"/>
      <c r="Y171" s="79"/>
      <c r="AE171" s="130"/>
      <c r="AG171" s="106"/>
    </row>
    <row r="172">
      <c r="C172" s="79"/>
      <c r="D172" s="79"/>
      <c r="E172" s="79"/>
      <c r="O172" s="79"/>
      <c r="S172" s="79"/>
      <c r="T172" s="79"/>
      <c r="Y172" s="79"/>
      <c r="AE172" s="130"/>
      <c r="AG172" s="106"/>
    </row>
    <row r="173">
      <c r="C173" s="79"/>
      <c r="D173" s="79"/>
      <c r="E173" s="79"/>
      <c r="O173" s="79"/>
      <c r="S173" s="79"/>
      <c r="T173" s="79"/>
      <c r="Y173" s="79"/>
      <c r="AE173" s="130"/>
      <c r="AG173" s="106"/>
    </row>
    <row r="174">
      <c r="C174" s="79"/>
      <c r="D174" s="79"/>
      <c r="E174" s="79"/>
      <c r="O174" s="79"/>
      <c r="S174" s="79"/>
      <c r="T174" s="79"/>
      <c r="Y174" s="79"/>
      <c r="AE174" s="130"/>
      <c r="AG174" s="106"/>
    </row>
    <row r="175">
      <c r="C175" s="79"/>
      <c r="D175" s="79"/>
      <c r="E175" s="79"/>
      <c r="O175" s="79"/>
      <c r="S175" s="79"/>
      <c r="T175" s="79"/>
      <c r="Y175" s="79"/>
      <c r="AE175" s="130"/>
      <c r="AG175" s="106"/>
    </row>
    <row r="176">
      <c r="C176" s="79"/>
      <c r="D176" s="79"/>
      <c r="E176" s="79"/>
      <c r="O176" s="79"/>
      <c r="S176" s="79"/>
      <c r="T176" s="79"/>
      <c r="Y176" s="79"/>
      <c r="AE176" s="130"/>
      <c r="AG176" s="106"/>
    </row>
    <row r="177">
      <c r="C177" s="79"/>
      <c r="D177" s="79"/>
      <c r="E177" s="79"/>
      <c r="O177" s="79"/>
      <c r="S177" s="79"/>
      <c r="T177" s="79"/>
      <c r="Y177" s="79"/>
      <c r="AE177" s="130"/>
      <c r="AG177" s="106"/>
    </row>
    <row r="178">
      <c r="C178" s="79"/>
      <c r="D178" s="79"/>
      <c r="E178" s="79"/>
      <c r="O178" s="79"/>
      <c r="S178" s="79"/>
      <c r="T178" s="79"/>
      <c r="Y178" s="79"/>
      <c r="AE178" s="130"/>
      <c r="AG178" s="106"/>
    </row>
    <row r="179">
      <c r="C179" s="79"/>
      <c r="D179" s="79"/>
      <c r="E179" s="79"/>
      <c r="O179" s="79"/>
      <c r="S179" s="79"/>
      <c r="T179" s="79"/>
      <c r="Y179" s="79"/>
      <c r="AE179" s="130"/>
      <c r="AG179" s="106"/>
    </row>
    <row r="180">
      <c r="C180" s="79"/>
      <c r="D180" s="79"/>
      <c r="E180" s="79"/>
      <c r="O180" s="79"/>
      <c r="S180" s="79"/>
      <c r="T180" s="79"/>
      <c r="Y180" s="79"/>
      <c r="AE180" s="130"/>
      <c r="AG180" s="106"/>
    </row>
    <row r="181">
      <c r="C181" s="79"/>
      <c r="D181" s="79"/>
      <c r="E181" s="79"/>
      <c r="O181" s="79"/>
      <c r="S181" s="79"/>
      <c r="T181" s="79"/>
      <c r="Y181" s="79"/>
      <c r="AE181" s="130"/>
      <c r="AG181" s="106"/>
    </row>
    <row r="182">
      <c r="C182" s="79"/>
      <c r="D182" s="79"/>
      <c r="E182" s="79"/>
      <c r="O182" s="79"/>
      <c r="S182" s="79"/>
      <c r="T182" s="79"/>
      <c r="Y182" s="79"/>
      <c r="AE182" s="130"/>
      <c r="AG182" s="106"/>
    </row>
    <row r="183">
      <c r="C183" s="79"/>
      <c r="D183" s="79"/>
      <c r="E183" s="79"/>
      <c r="O183" s="79"/>
      <c r="S183" s="79"/>
      <c r="T183" s="79"/>
      <c r="Y183" s="79"/>
      <c r="AE183" s="130"/>
      <c r="AG183" s="106"/>
    </row>
    <row r="184">
      <c r="C184" s="79"/>
      <c r="D184" s="79"/>
      <c r="E184" s="79"/>
      <c r="O184" s="79"/>
      <c r="S184" s="79"/>
      <c r="T184" s="79"/>
      <c r="Y184" s="79"/>
      <c r="AE184" s="130"/>
      <c r="AG184" s="106"/>
    </row>
    <row r="185">
      <c r="C185" s="79"/>
      <c r="D185" s="79"/>
      <c r="E185" s="79"/>
      <c r="O185" s="79"/>
      <c r="S185" s="79"/>
      <c r="T185" s="79"/>
      <c r="Y185" s="79"/>
      <c r="AE185" s="130"/>
      <c r="AG185" s="106"/>
    </row>
    <row r="186">
      <c r="C186" s="79"/>
      <c r="D186" s="79"/>
      <c r="E186" s="79"/>
      <c r="O186" s="79"/>
      <c r="S186" s="79"/>
      <c r="T186" s="79"/>
      <c r="Y186" s="79"/>
      <c r="AE186" s="130"/>
      <c r="AG186" s="106"/>
    </row>
    <row r="187">
      <c r="C187" s="79"/>
      <c r="D187" s="79"/>
      <c r="E187" s="79"/>
      <c r="O187" s="79"/>
      <c r="S187" s="79"/>
      <c r="T187" s="79"/>
      <c r="Y187" s="79"/>
      <c r="AE187" s="130"/>
      <c r="AG187" s="106"/>
    </row>
    <row r="188">
      <c r="C188" s="79"/>
      <c r="D188" s="79"/>
      <c r="E188" s="79"/>
      <c r="O188" s="79"/>
      <c r="S188" s="79"/>
      <c r="T188" s="79"/>
      <c r="Y188" s="79"/>
      <c r="AE188" s="130"/>
      <c r="AG188" s="106"/>
    </row>
    <row r="189">
      <c r="C189" s="79"/>
      <c r="D189" s="79"/>
      <c r="E189" s="79"/>
      <c r="O189" s="79"/>
      <c r="S189" s="79"/>
      <c r="T189" s="79"/>
      <c r="Y189" s="79"/>
      <c r="AE189" s="130"/>
      <c r="AG189" s="106"/>
    </row>
    <row r="190">
      <c r="C190" s="79"/>
      <c r="D190" s="79"/>
      <c r="E190" s="79"/>
      <c r="O190" s="79"/>
      <c r="S190" s="79"/>
      <c r="T190" s="79"/>
      <c r="Y190" s="79"/>
      <c r="AE190" s="130"/>
      <c r="AG190" s="106"/>
    </row>
    <row r="191">
      <c r="C191" s="79"/>
      <c r="D191" s="79"/>
      <c r="E191" s="79"/>
      <c r="O191" s="79"/>
      <c r="S191" s="79"/>
      <c r="T191" s="79"/>
      <c r="Y191" s="79"/>
      <c r="AE191" s="130"/>
      <c r="AG191" s="106"/>
    </row>
    <row r="192">
      <c r="C192" s="79"/>
      <c r="D192" s="79"/>
      <c r="E192" s="79"/>
      <c r="O192" s="79"/>
      <c r="S192" s="79"/>
      <c r="T192" s="79"/>
      <c r="Y192" s="79"/>
      <c r="AE192" s="130"/>
      <c r="AG192" s="106"/>
    </row>
    <row r="193">
      <c r="C193" s="79"/>
      <c r="D193" s="79"/>
      <c r="E193" s="79"/>
      <c r="O193" s="79"/>
      <c r="S193" s="79"/>
      <c r="T193" s="79"/>
      <c r="Y193" s="79"/>
      <c r="AE193" s="130"/>
      <c r="AG193" s="106"/>
    </row>
    <row r="194">
      <c r="C194" s="79"/>
      <c r="D194" s="79"/>
      <c r="E194" s="79"/>
      <c r="O194" s="79"/>
      <c r="S194" s="79"/>
      <c r="T194" s="79"/>
      <c r="Y194" s="79"/>
      <c r="AE194" s="130"/>
      <c r="AG194" s="106"/>
    </row>
    <row r="195">
      <c r="C195" s="79"/>
      <c r="D195" s="79"/>
      <c r="E195" s="79"/>
      <c r="O195" s="79"/>
      <c r="S195" s="79"/>
      <c r="T195" s="79"/>
      <c r="Y195" s="79"/>
      <c r="AE195" s="130"/>
      <c r="AG195" s="106"/>
    </row>
    <row r="196">
      <c r="C196" s="79"/>
      <c r="D196" s="79"/>
      <c r="E196" s="79"/>
      <c r="O196" s="79"/>
      <c r="S196" s="79"/>
      <c r="T196" s="79"/>
      <c r="Y196" s="79"/>
      <c r="AE196" s="130"/>
      <c r="AG196" s="106"/>
    </row>
    <row r="197">
      <c r="C197" s="79"/>
      <c r="D197" s="79"/>
      <c r="E197" s="79"/>
      <c r="O197" s="79"/>
      <c r="S197" s="79"/>
      <c r="T197" s="79"/>
      <c r="Y197" s="79"/>
      <c r="AE197" s="130"/>
      <c r="AG197" s="106"/>
    </row>
    <row r="198">
      <c r="C198" s="79"/>
      <c r="D198" s="79"/>
      <c r="E198" s="79"/>
      <c r="O198" s="79"/>
      <c r="S198" s="79"/>
      <c r="T198" s="79"/>
      <c r="Y198" s="79"/>
      <c r="AE198" s="130"/>
      <c r="AG198" s="106"/>
    </row>
    <row r="199">
      <c r="C199" s="79"/>
      <c r="D199" s="79"/>
      <c r="E199" s="79"/>
      <c r="O199" s="79"/>
      <c r="S199" s="79"/>
      <c r="T199" s="79"/>
      <c r="Y199" s="79"/>
      <c r="AE199" s="130"/>
      <c r="AG199" s="106"/>
    </row>
    <row r="200">
      <c r="C200" s="79"/>
      <c r="D200" s="79"/>
      <c r="E200" s="79"/>
      <c r="O200" s="79"/>
      <c r="S200" s="79"/>
      <c r="T200" s="79"/>
      <c r="Y200" s="79"/>
      <c r="AE200" s="130"/>
      <c r="AG200" s="106"/>
    </row>
    <row r="201">
      <c r="C201" s="79"/>
      <c r="D201" s="79"/>
      <c r="E201" s="79"/>
      <c r="O201" s="79"/>
      <c r="S201" s="79"/>
      <c r="T201" s="79"/>
      <c r="Y201" s="79"/>
      <c r="AE201" s="130"/>
      <c r="AG201" s="106"/>
    </row>
    <row r="202">
      <c r="C202" s="79"/>
      <c r="D202" s="79"/>
      <c r="E202" s="79"/>
      <c r="O202" s="79"/>
      <c r="S202" s="79"/>
      <c r="T202" s="79"/>
      <c r="Y202" s="79"/>
      <c r="AE202" s="130"/>
      <c r="AG202" s="106"/>
    </row>
    <row r="203">
      <c r="C203" s="79"/>
      <c r="D203" s="79"/>
      <c r="E203" s="79"/>
      <c r="O203" s="79"/>
      <c r="S203" s="79"/>
      <c r="T203" s="79"/>
      <c r="Y203" s="79"/>
      <c r="AE203" s="130"/>
      <c r="AG203" s="106"/>
    </row>
    <row r="204">
      <c r="C204" s="79"/>
      <c r="D204" s="79"/>
      <c r="E204" s="79"/>
      <c r="O204" s="79"/>
      <c r="S204" s="79"/>
      <c r="T204" s="79"/>
      <c r="Y204" s="79"/>
      <c r="AE204" s="130"/>
      <c r="AG204" s="106"/>
    </row>
    <row r="205">
      <c r="C205" s="79"/>
      <c r="D205" s="79"/>
      <c r="E205" s="79"/>
      <c r="O205" s="79"/>
      <c r="S205" s="79"/>
      <c r="T205" s="79"/>
      <c r="Y205" s="79"/>
      <c r="AE205" s="130"/>
      <c r="AG205" s="106"/>
    </row>
    <row r="206">
      <c r="C206" s="79"/>
      <c r="D206" s="79"/>
      <c r="E206" s="79"/>
      <c r="O206" s="79"/>
      <c r="S206" s="79"/>
      <c r="T206" s="79"/>
      <c r="Y206" s="79"/>
      <c r="AE206" s="130"/>
      <c r="AG206" s="106"/>
    </row>
    <row r="207">
      <c r="C207" s="79"/>
      <c r="D207" s="79"/>
      <c r="E207" s="79"/>
      <c r="O207" s="79"/>
      <c r="S207" s="79"/>
      <c r="T207" s="79"/>
      <c r="Y207" s="79"/>
      <c r="AE207" s="130"/>
      <c r="AG207" s="106"/>
    </row>
    <row r="208">
      <c r="C208" s="79"/>
      <c r="D208" s="79"/>
      <c r="E208" s="79"/>
      <c r="O208" s="79"/>
      <c r="S208" s="79"/>
      <c r="T208" s="79"/>
      <c r="Y208" s="79"/>
      <c r="AE208" s="130"/>
      <c r="AG208" s="106"/>
    </row>
    <row r="209">
      <c r="C209" s="79"/>
      <c r="D209" s="79"/>
      <c r="E209" s="79"/>
      <c r="O209" s="79"/>
      <c r="S209" s="79"/>
      <c r="T209" s="79"/>
      <c r="Y209" s="79"/>
      <c r="AE209" s="130"/>
      <c r="AG209" s="106"/>
    </row>
    <row r="210">
      <c r="C210" s="79"/>
      <c r="D210" s="79"/>
      <c r="E210" s="79"/>
      <c r="O210" s="79"/>
      <c r="S210" s="79"/>
      <c r="T210" s="79"/>
      <c r="Y210" s="79"/>
      <c r="AE210" s="130"/>
      <c r="AG210" s="106"/>
    </row>
    <row r="211">
      <c r="C211" s="79"/>
      <c r="D211" s="79"/>
      <c r="E211" s="79"/>
      <c r="O211" s="79"/>
      <c r="S211" s="79"/>
      <c r="T211" s="79"/>
      <c r="Y211" s="79"/>
      <c r="AE211" s="130"/>
      <c r="AG211" s="106"/>
    </row>
    <row r="212">
      <c r="C212" s="79"/>
      <c r="D212" s="79"/>
      <c r="E212" s="79"/>
      <c r="O212" s="79"/>
      <c r="S212" s="79"/>
      <c r="T212" s="79"/>
      <c r="Y212" s="79"/>
      <c r="AE212" s="130"/>
      <c r="AG212" s="106"/>
    </row>
    <row r="213">
      <c r="C213" s="79"/>
      <c r="D213" s="79"/>
      <c r="E213" s="79"/>
      <c r="O213" s="79"/>
      <c r="S213" s="79"/>
      <c r="T213" s="79"/>
      <c r="Y213" s="79"/>
      <c r="AE213" s="130"/>
      <c r="AG213" s="106"/>
    </row>
    <row r="214">
      <c r="C214" s="79"/>
      <c r="D214" s="79"/>
      <c r="E214" s="79"/>
      <c r="O214" s="79"/>
      <c r="S214" s="79"/>
      <c r="T214" s="79"/>
      <c r="Y214" s="79"/>
      <c r="AE214" s="130"/>
      <c r="AG214" s="106"/>
    </row>
    <row r="215">
      <c r="C215" s="79"/>
      <c r="D215" s="79"/>
      <c r="E215" s="79"/>
      <c r="O215" s="79"/>
      <c r="S215" s="79"/>
      <c r="T215" s="79"/>
      <c r="Y215" s="79"/>
      <c r="AE215" s="130"/>
      <c r="AG215" s="106"/>
    </row>
    <row r="216">
      <c r="C216" s="79"/>
      <c r="D216" s="79"/>
      <c r="E216" s="79"/>
      <c r="O216" s="79"/>
      <c r="S216" s="79"/>
      <c r="T216" s="79"/>
      <c r="Y216" s="79"/>
      <c r="AE216" s="130"/>
      <c r="AG216" s="106"/>
    </row>
    <row r="217">
      <c r="C217" s="79"/>
      <c r="D217" s="79"/>
      <c r="E217" s="79"/>
      <c r="O217" s="79"/>
      <c r="S217" s="79"/>
      <c r="T217" s="79"/>
      <c r="Y217" s="79"/>
      <c r="AE217" s="130"/>
      <c r="AG217" s="106"/>
    </row>
    <row r="218">
      <c r="C218" s="79"/>
      <c r="D218" s="79"/>
      <c r="E218" s="79"/>
      <c r="O218" s="79"/>
      <c r="S218" s="79"/>
      <c r="T218" s="79"/>
      <c r="Y218" s="79"/>
      <c r="AE218" s="130"/>
      <c r="AG218" s="106"/>
    </row>
    <row r="219">
      <c r="C219" s="79"/>
      <c r="D219" s="79"/>
      <c r="E219" s="79"/>
      <c r="O219" s="79"/>
      <c r="S219" s="79"/>
      <c r="T219" s="79"/>
      <c r="Y219" s="79"/>
      <c r="AE219" s="130"/>
      <c r="AG219" s="106"/>
    </row>
    <row r="220">
      <c r="C220" s="79"/>
      <c r="D220" s="79"/>
      <c r="E220" s="79"/>
      <c r="O220" s="79"/>
      <c r="S220" s="79"/>
      <c r="T220" s="79"/>
      <c r="Y220" s="79"/>
      <c r="AE220" s="130"/>
      <c r="AG220" s="106"/>
    </row>
    <row r="221">
      <c r="C221" s="79"/>
      <c r="D221" s="79"/>
      <c r="E221" s="79"/>
      <c r="O221" s="79"/>
      <c r="S221" s="79"/>
      <c r="T221" s="79"/>
      <c r="Y221" s="79"/>
      <c r="AE221" s="130"/>
      <c r="AG221" s="106"/>
    </row>
    <row r="222">
      <c r="C222" s="79"/>
      <c r="D222" s="79"/>
      <c r="E222" s="79"/>
      <c r="O222" s="79"/>
      <c r="S222" s="79"/>
      <c r="T222" s="79"/>
      <c r="Y222" s="79"/>
      <c r="AE222" s="130"/>
      <c r="AG222" s="106"/>
    </row>
    <row r="223">
      <c r="C223" s="79"/>
      <c r="D223" s="79"/>
      <c r="E223" s="79"/>
      <c r="O223" s="79"/>
      <c r="S223" s="79"/>
      <c r="T223" s="79"/>
      <c r="Y223" s="79"/>
      <c r="AE223" s="130"/>
      <c r="AG223" s="106"/>
    </row>
    <row r="224">
      <c r="C224" s="79"/>
      <c r="D224" s="79"/>
      <c r="E224" s="79"/>
      <c r="O224" s="79"/>
      <c r="S224" s="79"/>
      <c r="T224" s="79"/>
      <c r="Y224" s="79"/>
      <c r="AE224" s="130"/>
      <c r="AG224" s="106"/>
    </row>
    <row r="225">
      <c r="C225" s="79"/>
      <c r="D225" s="79"/>
      <c r="E225" s="79"/>
      <c r="O225" s="79"/>
      <c r="S225" s="79"/>
      <c r="T225" s="79"/>
      <c r="Y225" s="79"/>
      <c r="AE225" s="130"/>
      <c r="AG225" s="106"/>
    </row>
    <row r="226">
      <c r="C226" s="79"/>
      <c r="D226" s="79"/>
      <c r="E226" s="79"/>
      <c r="O226" s="79"/>
      <c r="S226" s="79"/>
      <c r="T226" s="79"/>
      <c r="Y226" s="79"/>
      <c r="AE226" s="130"/>
      <c r="AG226" s="106"/>
    </row>
    <row r="227">
      <c r="C227" s="79"/>
      <c r="D227" s="79"/>
      <c r="E227" s="79"/>
      <c r="O227" s="79"/>
      <c r="S227" s="79"/>
      <c r="T227" s="79"/>
      <c r="Y227" s="79"/>
      <c r="AE227" s="130"/>
      <c r="AG227" s="106"/>
    </row>
    <row r="228">
      <c r="C228" s="79"/>
      <c r="D228" s="79"/>
      <c r="E228" s="79"/>
      <c r="O228" s="79"/>
      <c r="S228" s="79"/>
      <c r="T228" s="79"/>
      <c r="Y228" s="79"/>
      <c r="AE228" s="130"/>
      <c r="AG228" s="106"/>
    </row>
    <row r="229">
      <c r="C229" s="79"/>
      <c r="D229" s="79"/>
      <c r="E229" s="79"/>
      <c r="O229" s="79"/>
      <c r="S229" s="79"/>
      <c r="T229" s="79"/>
      <c r="Y229" s="79"/>
      <c r="AE229" s="130"/>
      <c r="AG229" s="106"/>
    </row>
    <row r="230">
      <c r="C230" s="79"/>
      <c r="D230" s="79"/>
      <c r="E230" s="79"/>
      <c r="O230" s="79"/>
      <c r="S230" s="79"/>
      <c r="T230" s="79"/>
      <c r="Y230" s="79"/>
      <c r="AE230" s="130"/>
      <c r="AG230" s="106"/>
    </row>
    <row r="231">
      <c r="C231" s="79"/>
      <c r="D231" s="79"/>
      <c r="E231" s="79"/>
      <c r="O231" s="79"/>
      <c r="S231" s="79"/>
      <c r="T231" s="79"/>
      <c r="Y231" s="79"/>
      <c r="AE231" s="130"/>
      <c r="AG231" s="106"/>
    </row>
    <row r="232">
      <c r="C232" s="79"/>
      <c r="D232" s="79"/>
      <c r="E232" s="79"/>
      <c r="O232" s="79"/>
      <c r="S232" s="79"/>
      <c r="T232" s="79"/>
      <c r="Y232" s="79"/>
      <c r="AE232" s="130"/>
      <c r="AG232" s="106"/>
    </row>
    <row r="233">
      <c r="C233" s="79"/>
      <c r="D233" s="79"/>
      <c r="E233" s="79"/>
      <c r="O233" s="79"/>
      <c r="S233" s="79"/>
      <c r="T233" s="79"/>
      <c r="Y233" s="79"/>
      <c r="AE233" s="130"/>
      <c r="AG233" s="106"/>
    </row>
    <row r="234">
      <c r="C234" s="79"/>
      <c r="D234" s="79"/>
      <c r="E234" s="79"/>
      <c r="O234" s="79"/>
      <c r="S234" s="79"/>
      <c r="T234" s="79"/>
      <c r="Y234" s="79"/>
      <c r="AE234" s="130"/>
      <c r="AG234" s="106"/>
    </row>
    <row r="235">
      <c r="C235" s="79"/>
      <c r="D235" s="79"/>
      <c r="E235" s="79"/>
      <c r="O235" s="79"/>
      <c r="S235" s="79"/>
      <c r="T235" s="79"/>
      <c r="Y235" s="79"/>
      <c r="AE235" s="130"/>
      <c r="AG235" s="106"/>
    </row>
    <row r="236">
      <c r="C236" s="79"/>
      <c r="D236" s="79"/>
      <c r="E236" s="79"/>
      <c r="O236" s="79"/>
      <c r="S236" s="79"/>
      <c r="T236" s="79"/>
      <c r="Y236" s="79"/>
      <c r="AE236" s="130"/>
      <c r="AG236" s="106"/>
    </row>
    <row r="237">
      <c r="C237" s="79"/>
      <c r="D237" s="79"/>
      <c r="E237" s="79"/>
      <c r="O237" s="79"/>
      <c r="S237" s="79"/>
      <c r="T237" s="79"/>
      <c r="Y237" s="79"/>
      <c r="AE237" s="130"/>
      <c r="AG237" s="106"/>
    </row>
    <row r="238">
      <c r="C238" s="79"/>
      <c r="D238" s="79"/>
      <c r="E238" s="79"/>
      <c r="O238" s="79"/>
      <c r="S238" s="79"/>
      <c r="T238" s="79"/>
      <c r="Y238" s="79"/>
      <c r="AE238" s="130"/>
      <c r="AG238" s="106"/>
    </row>
    <row r="239">
      <c r="C239" s="79"/>
      <c r="D239" s="79"/>
      <c r="E239" s="79"/>
      <c r="O239" s="79"/>
      <c r="S239" s="79"/>
      <c r="T239" s="79"/>
      <c r="Y239" s="79"/>
      <c r="AE239" s="130"/>
      <c r="AG239" s="106"/>
    </row>
    <row r="240">
      <c r="C240" s="79"/>
      <c r="D240" s="79"/>
      <c r="E240" s="79"/>
      <c r="O240" s="79"/>
      <c r="S240" s="79"/>
      <c r="T240" s="79"/>
      <c r="Y240" s="79"/>
      <c r="AE240" s="130"/>
      <c r="AG240" s="106"/>
    </row>
    <row r="241">
      <c r="C241" s="79"/>
      <c r="D241" s="79"/>
      <c r="E241" s="79"/>
      <c r="O241" s="79"/>
      <c r="S241" s="79"/>
      <c r="T241" s="79"/>
      <c r="Y241" s="79"/>
      <c r="AE241" s="130"/>
      <c r="AG241" s="106"/>
    </row>
    <row r="242">
      <c r="C242" s="79"/>
      <c r="D242" s="79"/>
      <c r="E242" s="79"/>
      <c r="O242" s="79"/>
      <c r="S242" s="79"/>
      <c r="T242" s="79"/>
      <c r="Y242" s="79"/>
      <c r="AE242" s="130"/>
      <c r="AG242" s="106"/>
    </row>
    <row r="243">
      <c r="C243" s="79"/>
      <c r="D243" s="79"/>
      <c r="E243" s="79"/>
      <c r="O243" s="79"/>
      <c r="S243" s="79"/>
      <c r="T243" s="79"/>
      <c r="Y243" s="79"/>
      <c r="AE243" s="130"/>
      <c r="AG243" s="106"/>
    </row>
    <row r="244">
      <c r="C244" s="79"/>
      <c r="D244" s="79"/>
      <c r="E244" s="79"/>
      <c r="O244" s="79"/>
      <c r="S244" s="79"/>
      <c r="T244" s="79"/>
      <c r="Y244" s="79"/>
      <c r="AE244" s="130"/>
      <c r="AG244" s="106"/>
    </row>
    <row r="245">
      <c r="C245" s="79"/>
      <c r="D245" s="79"/>
      <c r="E245" s="79"/>
      <c r="O245" s="79"/>
      <c r="S245" s="79"/>
      <c r="T245" s="79"/>
      <c r="Y245" s="79"/>
      <c r="AE245" s="130"/>
      <c r="AG245" s="106"/>
    </row>
    <row r="246">
      <c r="C246" s="79"/>
      <c r="D246" s="79"/>
      <c r="E246" s="79"/>
      <c r="O246" s="79"/>
      <c r="S246" s="79"/>
      <c r="T246" s="79"/>
      <c r="Y246" s="79"/>
      <c r="AE246" s="130"/>
      <c r="AG246" s="106"/>
    </row>
    <row r="247">
      <c r="C247" s="79"/>
      <c r="D247" s="79"/>
      <c r="E247" s="79"/>
      <c r="O247" s="79"/>
      <c r="S247" s="79"/>
      <c r="T247" s="79"/>
      <c r="Y247" s="79"/>
      <c r="AE247" s="130"/>
      <c r="AG247" s="106"/>
    </row>
    <row r="248">
      <c r="C248" s="79"/>
      <c r="D248" s="79"/>
      <c r="E248" s="79"/>
      <c r="O248" s="79"/>
      <c r="S248" s="79"/>
      <c r="T248" s="79"/>
      <c r="Y248" s="79"/>
      <c r="AE248" s="130"/>
      <c r="AG248" s="106"/>
    </row>
    <row r="249">
      <c r="C249" s="79"/>
      <c r="D249" s="79"/>
      <c r="E249" s="79"/>
      <c r="O249" s="79"/>
      <c r="S249" s="79"/>
      <c r="T249" s="79"/>
      <c r="Y249" s="79"/>
      <c r="AE249" s="130"/>
      <c r="AG249" s="106"/>
    </row>
    <row r="250">
      <c r="C250" s="79"/>
      <c r="D250" s="79"/>
      <c r="E250" s="79"/>
      <c r="O250" s="79"/>
      <c r="S250" s="79"/>
      <c r="T250" s="79"/>
      <c r="Y250" s="79"/>
      <c r="AE250" s="130"/>
      <c r="AG250" s="106"/>
    </row>
    <row r="251">
      <c r="C251" s="79"/>
      <c r="D251" s="79"/>
      <c r="E251" s="79"/>
      <c r="O251" s="79"/>
      <c r="S251" s="79"/>
      <c r="T251" s="79"/>
      <c r="Y251" s="79"/>
      <c r="AE251" s="130"/>
      <c r="AG251" s="106"/>
    </row>
    <row r="252">
      <c r="C252" s="79"/>
      <c r="D252" s="79"/>
      <c r="E252" s="79"/>
      <c r="O252" s="79"/>
      <c r="S252" s="79"/>
      <c r="T252" s="79"/>
      <c r="Y252" s="79"/>
      <c r="AE252" s="130"/>
      <c r="AG252" s="106"/>
    </row>
    <row r="253">
      <c r="C253" s="79"/>
      <c r="D253" s="79"/>
      <c r="E253" s="79"/>
      <c r="O253" s="79"/>
      <c r="S253" s="79"/>
      <c r="T253" s="79"/>
      <c r="Y253" s="79"/>
      <c r="AE253" s="130"/>
      <c r="AG253" s="106"/>
    </row>
    <row r="254">
      <c r="C254" s="79"/>
      <c r="D254" s="79"/>
      <c r="E254" s="79"/>
      <c r="O254" s="79"/>
      <c r="S254" s="79"/>
      <c r="T254" s="79"/>
      <c r="Y254" s="79"/>
      <c r="AE254" s="130"/>
      <c r="AG254" s="106"/>
    </row>
    <row r="255">
      <c r="C255" s="79"/>
      <c r="D255" s="79"/>
      <c r="E255" s="79"/>
      <c r="O255" s="79"/>
      <c r="S255" s="79"/>
      <c r="T255" s="79"/>
      <c r="Y255" s="79"/>
      <c r="AE255" s="130"/>
      <c r="AG255" s="106"/>
    </row>
    <row r="256">
      <c r="C256" s="79"/>
      <c r="D256" s="79"/>
      <c r="E256" s="79"/>
      <c r="O256" s="79"/>
      <c r="S256" s="79"/>
      <c r="T256" s="79"/>
      <c r="Y256" s="79"/>
      <c r="AE256" s="130"/>
      <c r="AG256" s="106"/>
    </row>
    <row r="257">
      <c r="C257" s="79"/>
      <c r="D257" s="79"/>
      <c r="E257" s="79"/>
      <c r="O257" s="79"/>
      <c r="S257" s="79"/>
      <c r="T257" s="79"/>
      <c r="Y257" s="79"/>
      <c r="AE257" s="130"/>
      <c r="AG257" s="106"/>
    </row>
    <row r="258">
      <c r="C258" s="79"/>
      <c r="D258" s="79"/>
      <c r="E258" s="79"/>
      <c r="O258" s="79"/>
      <c r="S258" s="79"/>
      <c r="T258" s="79"/>
      <c r="Y258" s="79"/>
      <c r="AE258" s="130"/>
      <c r="AG258" s="106"/>
    </row>
    <row r="259">
      <c r="C259" s="79"/>
      <c r="D259" s="79"/>
      <c r="E259" s="79"/>
      <c r="O259" s="79"/>
      <c r="S259" s="79"/>
      <c r="T259" s="79"/>
      <c r="Y259" s="79"/>
      <c r="AE259" s="130"/>
      <c r="AG259" s="106"/>
    </row>
    <row r="260">
      <c r="C260" s="79"/>
      <c r="D260" s="79"/>
      <c r="E260" s="79"/>
      <c r="O260" s="79"/>
      <c r="S260" s="79"/>
      <c r="T260" s="79"/>
      <c r="Y260" s="79"/>
      <c r="AE260" s="130"/>
      <c r="AG260" s="106"/>
    </row>
    <row r="261">
      <c r="C261" s="79"/>
      <c r="D261" s="79"/>
      <c r="E261" s="79"/>
      <c r="O261" s="79"/>
      <c r="S261" s="79"/>
      <c r="T261" s="79"/>
      <c r="Y261" s="79"/>
      <c r="AE261" s="130"/>
      <c r="AG261" s="106"/>
    </row>
    <row r="262">
      <c r="C262" s="79"/>
      <c r="D262" s="79"/>
      <c r="E262" s="79"/>
      <c r="O262" s="79"/>
      <c r="S262" s="79"/>
      <c r="T262" s="79"/>
      <c r="Y262" s="79"/>
      <c r="AE262" s="130"/>
      <c r="AG262" s="106"/>
    </row>
    <row r="263">
      <c r="C263" s="79"/>
      <c r="D263" s="79"/>
      <c r="E263" s="79"/>
      <c r="O263" s="79"/>
      <c r="S263" s="79"/>
      <c r="T263" s="79"/>
      <c r="Y263" s="79"/>
      <c r="AE263" s="130"/>
      <c r="AG263" s="106"/>
    </row>
    <row r="264">
      <c r="C264" s="79"/>
      <c r="D264" s="79"/>
      <c r="E264" s="79"/>
      <c r="O264" s="79"/>
      <c r="S264" s="79"/>
      <c r="T264" s="79"/>
      <c r="Y264" s="79"/>
      <c r="AE264" s="130"/>
      <c r="AG264" s="106"/>
    </row>
    <row r="265">
      <c r="C265" s="79"/>
      <c r="D265" s="79"/>
      <c r="E265" s="79"/>
      <c r="O265" s="79"/>
      <c r="S265" s="79"/>
      <c r="T265" s="79"/>
      <c r="Y265" s="79"/>
      <c r="AE265" s="130"/>
      <c r="AG265" s="106"/>
    </row>
    <row r="266">
      <c r="C266" s="79"/>
      <c r="D266" s="79"/>
      <c r="E266" s="79"/>
      <c r="O266" s="79"/>
      <c r="S266" s="79"/>
      <c r="T266" s="79"/>
      <c r="Y266" s="79"/>
      <c r="AE266" s="130"/>
      <c r="AG266" s="106"/>
    </row>
    <row r="267">
      <c r="C267" s="79"/>
      <c r="D267" s="79"/>
      <c r="E267" s="79"/>
      <c r="O267" s="79"/>
      <c r="S267" s="79"/>
      <c r="T267" s="79"/>
      <c r="Y267" s="79"/>
      <c r="AE267" s="130"/>
      <c r="AG267" s="106"/>
    </row>
    <row r="268">
      <c r="C268" s="79"/>
      <c r="D268" s="79"/>
      <c r="E268" s="79"/>
      <c r="O268" s="79"/>
      <c r="S268" s="79"/>
      <c r="T268" s="79"/>
      <c r="Y268" s="79"/>
      <c r="AE268" s="130"/>
      <c r="AG268" s="106"/>
    </row>
    <row r="269">
      <c r="C269" s="79"/>
      <c r="D269" s="79"/>
      <c r="E269" s="79"/>
      <c r="O269" s="79"/>
      <c r="S269" s="79"/>
      <c r="T269" s="79"/>
      <c r="Y269" s="79"/>
      <c r="AE269" s="130"/>
      <c r="AG269" s="106"/>
    </row>
    <row r="270">
      <c r="C270" s="79"/>
      <c r="D270" s="79"/>
      <c r="E270" s="79"/>
      <c r="O270" s="79"/>
      <c r="S270" s="79"/>
      <c r="T270" s="79"/>
      <c r="Y270" s="79"/>
      <c r="AE270" s="130"/>
      <c r="AG270" s="106"/>
    </row>
    <row r="271">
      <c r="C271" s="79"/>
      <c r="D271" s="79"/>
      <c r="E271" s="79"/>
      <c r="O271" s="79"/>
      <c r="S271" s="79"/>
      <c r="T271" s="79"/>
      <c r="Y271" s="79"/>
      <c r="AE271" s="130"/>
      <c r="AG271" s="106"/>
    </row>
    <row r="272">
      <c r="C272" s="79"/>
      <c r="D272" s="79"/>
      <c r="E272" s="79"/>
      <c r="O272" s="79"/>
      <c r="S272" s="79"/>
      <c r="T272" s="79"/>
      <c r="Y272" s="79"/>
      <c r="AE272" s="130"/>
      <c r="AG272" s="106"/>
    </row>
    <row r="273">
      <c r="C273" s="79"/>
      <c r="D273" s="79"/>
      <c r="E273" s="79"/>
      <c r="O273" s="79"/>
      <c r="S273" s="79"/>
      <c r="T273" s="79"/>
      <c r="Y273" s="79"/>
      <c r="AE273" s="130"/>
      <c r="AG273" s="106"/>
    </row>
    <row r="274">
      <c r="C274" s="79"/>
      <c r="D274" s="79"/>
      <c r="E274" s="79"/>
      <c r="O274" s="79"/>
      <c r="S274" s="79"/>
      <c r="T274" s="79"/>
      <c r="Y274" s="79"/>
      <c r="AE274" s="130"/>
      <c r="AG274" s="106"/>
    </row>
    <row r="275">
      <c r="C275" s="79"/>
      <c r="D275" s="79"/>
      <c r="E275" s="79"/>
      <c r="O275" s="79"/>
      <c r="S275" s="79"/>
      <c r="T275" s="79"/>
      <c r="Y275" s="79"/>
      <c r="AE275" s="130"/>
      <c r="AG275" s="106"/>
    </row>
    <row r="276">
      <c r="C276" s="79"/>
      <c r="D276" s="79"/>
      <c r="E276" s="79"/>
      <c r="O276" s="79"/>
      <c r="S276" s="79"/>
      <c r="T276" s="79"/>
      <c r="Y276" s="79"/>
      <c r="AE276" s="130"/>
      <c r="AG276" s="106"/>
    </row>
    <row r="277">
      <c r="C277" s="79"/>
      <c r="D277" s="79"/>
      <c r="E277" s="79"/>
      <c r="O277" s="79"/>
      <c r="S277" s="79"/>
      <c r="T277" s="79"/>
      <c r="Y277" s="79"/>
      <c r="AE277" s="130"/>
      <c r="AG277" s="106"/>
    </row>
    <row r="278">
      <c r="C278" s="79"/>
      <c r="D278" s="79"/>
      <c r="E278" s="79"/>
      <c r="O278" s="79"/>
      <c r="S278" s="79"/>
      <c r="T278" s="79"/>
      <c r="Y278" s="79"/>
      <c r="AE278" s="130"/>
      <c r="AG278" s="106"/>
    </row>
    <row r="279">
      <c r="C279" s="79"/>
      <c r="D279" s="79"/>
      <c r="E279" s="79"/>
      <c r="O279" s="79"/>
      <c r="S279" s="79"/>
      <c r="T279" s="79"/>
      <c r="Y279" s="79"/>
      <c r="AE279" s="130"/>
      <c r="AG279" s="106"/>
    </row>
    <row r="280">
      <c r="C280" s="79"/>
      <c r="D280" s="79"/>
      <c r="E280" s="79"/>
      <c r="O280" s="79"/>
      <c r="S280" s="79"/>
      <c r="T280" s="79"/>
      <c r="Y280" s="79"/>
      <c r="AE280" s="130"/>
      <c r="AG280" s="106"/>
    </row>
    <row r="281">
      <c r="C281" s="79"/>
      <c r="D281" s="79"/>
      <c r="E281" s="79"/>
      <c r="O281" s="79"/>
      <c r="S281" s="79"/>
      <c r="T281" s="79"/>
      <c r="Y281" s="79"/>
      <c r="AE281" s="130"/>
      <c r="AG281" s="106"/>
    </row>
    <row r="282">
      <c r="C282" s="79"/>
      <c r="D282" s="79"/>
      <c r="E282" s="79"/>
      <c r="O282" s="79"/>
      <c r="S282" s="79"/>
      <c r="T282" s="79"/>
      <c r="Y282" s="79"/>
      <c r="AE282" s="130"/>
      <c r="AG282" s="106"/>
    </row>
    <row r="283">
      <c r="C283" s="79"/>
      <c r="D283" s="79"/>
      <c r="E283" s="79"/>
      <c r="O283" s="79"/>
      <c r="S283" s="79"/>
      <c r="T283" s="79"/>
      <c r="Y283" s="79"/>
      <c r="AE283" s="130"/>
      <c r="AG283" s="106"/>
    </row>
    <row r="284">
      <c r="C284" s="79"/>
      <c r="D284" s="79"/>
      <c r="E284" s="79"/>
      <c r="O284" s="79"/>
      <c r="S284" s="79"/>
      <c r="T284" s="79"/>
      <c r="Y284" s="79"/>
      <c r="AE284" s="130"/>
      <c r="AG284" s="106"/>
    </row>
    <row r="285">
      <c r="C285" s="79"/>
      <c r="D285" s="79"/>
      <c r="E285" s="79"/>
      <c r="O285" s="79"/>
      <c r="S285" s="79"/>
      <c r="T285" s="79"/>
      <c r="Y285" s="79"/>
      <c r="AE285" s="130"/>
      <c r="AG285" s="106"/>
    </row>
    <row r="286">
      <c r="C286" s="79"/>
      <c r="D286" s="79"/>
      <c r="E286" s="79"/>
      <c r="O286" s="79"/>
      <c r="S286" s="79"/>
      <c r="T286" s="79"/>
      <c r="Y286" s="79"/>
      <c r="AE286" s="130"/>
      <c r="AG286" s="106"/>
    </row>
    <row r="287">
      <c r="C287" s="79"/>
      <c r="D287" s="79"/>
      <c r="E287" s="79"/>
      <c r="O287" s="79"/>
      <c r="S287" s="79"/>
      <c r="T287" s="79"/>
      <c r="Y287" s="79"/>
      <c r="AE287" s="130"/>
      <c r="AG287" s="106"/>
    </row>
    <row r="288">
      <c r="C288" s="79"/>
      <c r="D288" s="79"/>
      <c r="E288" s="79"/>
      <c r="O288" s="79"/>
      <c r="S288" s="79"/>
      <c r="T288" s="79"/>
      <c r="Y288" s="79"/>
      <c r="AE288" s="130"/>
      <c r="AG288" s="106"/>
    </row>
    <row r="289">
      <c r="C289" s="79"/>
      <c r="D289" s="79"/>
      <c r="E289" s="79"/>
      <c r="O289" s="79"/>
      <c r="S289" s="79"/>
      <c r="T289" s="79"/>
      <c r="Y289" s="79"/>
      <c r="AE289" s="130"/>
      <c r="AG289" s="106"/>
    </row>
    <row r="290">
      <c r="C290" s="79"/>
      <c r="D290" s="79"/>
      <c r="E290" s="79"/>
      <c r="O290" s="79"/>
      <c r="S290" s="79"/>
      <c r="T290" s="79"/>
      <c r="Y290" s="79"/>
      <c r="AE290" s="130"/>
      <c r="AG290" s="106"/>
    </row>
    <row r="291">
      <c r="C291" s="79"/>
      <c r="D291" s="79"/>
      <c r="E291" s="79"/>
      <c r="O291" s="79"/>
      <c r="S291" s="79"/>
      <c r="T291" s="79"/>
      <c r="Y291" s="79"/>
      <c r="AE291" s="130"/>
      <c r="AG291" s="106"/>
    </row>
    <row r="292">
      <c r="C292" s="79"/>
      <c r="D292" s="79"/>
      <c r="E292" s="79"/>
      <c r="O292" s="79"/>
      <c r="S292" s="79"/>
      <c r="T292" s="79"/>
      <c r="Y292" s="79"/>
      <c r="AE292" s="130"/>
      <c r="AG292" s="106"/>
    </row>
    <row r="293">
      <c r="C293" s="79"/>
      <c r="D293" s="79"/>
      <c r="E293" s="79"/>
      <c r="O293" s="79"/>
      <c r="S293" s="79"/>
      <c r="T293" s="79"/>
      <c r="Y293" s="79"/>
      <c r="AE293" s="130"/>
      <c r="AG293" s="106"/>
    </row>
    <row r="294">
      <c r="C294" s="79"/>
      <c r="D294" s="79"/>
      <c r="E294" s="79"/>
      <c r="O294" s="79"/>
      <c r="S294" s="79"/>
      <c r="T294" s="79"/>
      <c r="Y294" s="79"/>
      <c r="AE294" s="130"/>
      <c r="AG294" s="106"/>
    </row>
    <row r="295">
      <c r="C295" s="79"/>
      <c r="D295" s="79"/>
      <c r="E295" s="79"/>
      <c r="O295" s="79"/>
      <c r="S295" s="79"/>
      <c r="T295" s="79"/>
      <c r="Y295" s="79"/>
      <c r="AE295" s="130"/>
      <c r="AG295" s="106"/>
    </row>
    <row r="296">
      <c r="C296" s="79"/>
      <c r="D296" s="79"/>
      <c r="E296" s="79"/>
      <c r="O296" s="79"/>
      <c r="S296" s="79"/>
      <c r="T296" s="79"/>
      <c r="Y296" s="79"/>
      <c r="AE296" s="130"/>
      <c r="AG296" s="106"/>
    </row>
    <row r="297">
      <c r="C297" s="79"/>
      <c r="D297" s="79"/>
      <c r="E297" s="79"/>
      <c r="O297" s="79"/>
      <c r="S297" s="79"/>
      <c r="T297" s="79"/>
      <c r="Y297" s="79"/>
      <c r="AE297" s="130"/>
      <c r="AG297" s="106"/>
    </row>
    <row r="298">
      <c r="C298" s="79"/>
      <c r="D298" s="79"/>
      <c r="E298" s="79"/>
      <c r="O298" s="79"/>
      <c r="S298" s="79"/>
      <c r="T298" s="79"/>
      <c r="Y298" s="79"/>
      <c r="AE298" s="130"/>
      <c r="AG298" s="106"/>
    </row>
    <row r="299">
      <c r="C299" s="79"/>
      <c r="D299" s="79"/>
      <c r="E299" s="79"/>
      <c r="O299" s="79"/>
      <c r="S299" s="79"/>
      <c r="T299" s="79"/>
      <c r="Y299" s="79"/>
      <c r="AE299" s="130"/>
      <c r="AG299" s="106"/>
    </row>
    <row r="300">
      <c r="C300" s="79"/>
      <c r="D300" s="79"/>
      <c r="E300" s="79"/>
      <c r="O300" s="79"/>
      <c r="S300" s="79"/>
      <c r="T300" s="79"/>
      <c r="Y300" s="79"/>
      <c r="AE300" s="130"/>
      <c r="AG300" s="106"/>
    </row>
    <row r="301">
      <c r="C301" s="79"/>
      <c r="D301" s="79"/>
      <c r="E301" s="79"/>
      <c r="O301" s="79"/>
      <c r="S301" s="79"/>
      <c r="T301" s="79"/>
      <c r="Y301" s="79"/>
      <c r="AE301" s="130"/>
      <c r="AG301" s="106"/>
    </row>
    <row r="302">
      <c r="C302" s="79"/>
      <c r="D302" s="79"/>
      <c r="E302" s="79"/>
      <c r="O302" s="79"/>
      <c r="S302" s="79"/>
      <c r="T302" s="79"/>
      <c r="Y302" s="79"/>
      <c r="AE302" s="130"/>
      <c r="AG302" s="106"/>
    </row>
    <row r="303">
      <c r="C303" s="79"/>
      <c r="D303" s="79"/>
      <c r="E303" s="79"/>
      <c r="O303" s="79"/>
      <c r="S303" s="79"/>
      <c r="T303" s="79"/>
      <c r="Y303" s="79"/>
      <c r="AE303" s="130"/>
      <c r="AG303" s="106"/>
    </row>
    <row r="304">
      <c r="C304" s="79"/>
      <c r="D304" s="79"/>
      <c r="E304" s="79"/>
      <c r="O304" s="79"/>
      <c r="S304" s="79"/>
      <c r="T304" s="79"/>
      <c r="Y304" s="79"/>
      <c r="AE304" s="130"/>
      <c r="AG304" s="106"/>
    </row>
    <row r="305">
      <c r="C305" s="79"/>
      <c r="D305" s="79"/>
      <c r="E305" s="79"/>
      <c r="O305" s="79"/>
      <c r="S305" s="79"/>
      <c r="T305" s="79"/>
      <c r="Y305" s="79"/>
      <c r="AE305" s="130"/>
      <c r="AG305" s="106"/>
    </row>
    <row r="306">
      <c r="C306" s="79"/>
      <c r="D306" s="79"/>
      <c r="E306" s="79"/>
      <c r="O306" s="79"/>
      <c r="S306" s="79"/>
      <c r="T306" s="79"/>
      <c r="Y306" s="79"/>
      <c r="AE306" s="130"/>
      <c r="AG306" s="106"/>
    </row>
    <row r="307">
      <c r="C307" s="79"/>
      <c r="D307" s="79"/>
      <c r="E307" s="79"/>
      <c r="O307" s="79"/>
      <c r="S307" s="79"/>
      <c r="T307" s="79"/>
      <c r="Y307" s="79"/>
      <c r="AE307" s="130"/>
      <c r="AG307" s="106"/>
    </row>
    <row r="308">
      <c r="C308" s="79"/>
      <c r="D308" s="79"/>
      <c r="E308" s="79"/>
      <c r="O308" s="79"/>
      <c r="S308" s="79"/>
      <c r="T308" s="79"/>
      <c r="Y308" s="79"/>
      <c r="AE308" s="130"/>
      <c r="AG308" s="106"/>
    </row>
    <row r="309">
      <c r="C309" s="79"/>
      <c r="D309" s="79"/>
      <c r="E309" s="79"/>
      <c r="O309" s="79"/>
      <c r="S309" s="79"/>
      <c r="T309" s="79"/>
      <c r="Y309" s="79"/>
      <c r="AE309" s="130"/>
      <c r="AG309" s="106"/>
    </row>
    <row r="310">
      <c r="C310" s="79"/>
      <c r="D310" s="79"/>
      <c r="E310" s="79"/>
      <c r="O310" s="79"/>
      <c r="S310" s="79"/>
      <c r="T310" s="79"/>
      <c r="Y310" s="79"/>
      <c r="AE310" s="130"/>
      <c r="AG310" s="106"/>
    </row>
    <row r="311">
      <c r="C311" s="79"/>
      <c r="D311" s="79"/>
      <c r="E311" s="79"/>
      <c r="O311" s="79"/>
      <c r="S311" s="79"/>
      <c r="T311" s="79"/>
      <c r="Y311" s="79"/>
      <c r="AE311" s="130"/>
      <c r="AG311" s="106"/>
    </row>
    <row r="312">
      <c r="C312" s="79"/>
      <c r="D312" s="79"/>
      <c r="E312" s="79"/>
      <c r="O312" s="79"/>
      <c r="S312" s="79"/>
      <c r="T312" s="79"/>
      <c r="Y312" s="79"/>
      <c r="AE312" s="130"/>
      <c r="AG312" s="106"/>
    </row>
    <row r="313">
      <c r="C313" s="79"/>
      <c r="D313" s="79"/>
      <c r="E313" s="79"/>
      <c r="O313" s="79"/>
      <c r="S313" s="79"/>
      <c r="T313" s="79"/>
      <c r="Y313" s="79"/>
      <c r="AE313" s="130"/>
      <c r="AG313" s="106"/>
    </row>
    <row r="314">
      <c r="C314" s="79"/>
      <c r="D314" s="79"/>
      <c r="E314" s="79"/>
      <c r="O314" s="79"/>
      <c r="S314" s="79"/>
      <c r="T314" s="79"/>
      <c r="Y314" s="79"/>
      <c r="AE314" s="130"/>
      <c r="AG314" s="106"/>
    </row>
    <row r="315">
      <c r="C315" s="79"/>
      <c r="D315" s="79"/>
      <c r="E315" s="79"/>
      <c r="O315" s="79"/>
      <c r="S315" s="79"/>
      <c r="T315" s="79"/>
      <c r="Y315" s="79"/>
      <c r="AE315" s="130"/>
      <c r="AG315" s="106"/>
    </row>
    <row r="316">
      <c r="C316" s="79"/>
      <c r="D316" s="79"/>
      <c r="E316" s="79"/>
      <c r="O316" s="79"/>
      <c r="S316" s="79"/>
      <c r="T316" s="79"/>
      <c r="Y316" s="79"/>
      <c r="AE316" s="130"/>
      <c r="AG316" s="106"/>
    </row>
    <row r="317">
      <c r="C317" s="79"/>
      <c r="D317" s="79"/>
      <c r="E317" s="79"/>
      <c r="O317" s="79"/>
      <c r="S317" s="79"/>
      <c r="T317" s="79"/>
      <c r="Y317" s="79"/>
      <c r="AE317" s="130"/>
      <c r="AG317" s="106"/>
    </row>
    <row r="318">
      <c r="C318" s="79"/>
      <c r="D318" s="79"/>
      <c r="E318" s="79"/>
      <c r="O318" s="79"/>
      <c r="S318" s="79"/>
      <c r="T318" s="79"/>
      <c r="Y318" s="79"/>
      <c r="AE318" s="130"/>
      <c r="AG318" s="106"/>
    </row>
    <row r="319">
      <c r="C319" s="79"/>
      <c r="D319" s="79"/>
      <c r="E319" s="79"/>
      <c r="O319" s="79"/>
      <c r="S319" s="79"/>
      <c r="T319" s="79"/>
      <c r="Y319" s="79"/>
      <c r="AE319" s="130"/>
      <c r="AG319" s="106"/>
    </row>
    <row r="320">
      <c r="C320" s="79"/>
      <c r="D320" s="79"/>
      <c r="E320" s="79"/>
      <c r="O320" s="79"/>
      <c r="S320" s="79"/>
      <c r="T320" s="79"/>
      <c r="Y320" s="79"/>
      <c r="AE320" s="130"/>
      <c r="AG320" s="106"/>
    </row>
    <row r="321">
      <c r="C321" s="79"/>
      <c r="D321" s="79"/>
      <c r="E321" s="79"/>
      <c r="O321" s="79"/>
      <c r="S321" s="79"/>
      <c r="T321" s="79"/>
      <c r="Y321" s="79"/>
      <c r="AE321" s="130"/>
      <c r="AG321" s="106"/>
    </row>
    <row r="322">
      <c r="C322" s="79"/>
      <c r="D322" s="79"/>
      <c r="E322" s="79"/>
      <c r="O322" s="79"/>
      <c r="S322" s="79"/>
      <c r="T322" s="79"/>
      <c r="Y322" s="79"/>
      <c r="AE322" s="130"/>
      <c r="AG322" s="106"/>
    </row>
    <row r="323">
      <c r="C323" s="79"/>
      <c r="D323" s="79"/>
      <c r="E323" s="79"/>
      <c r="O323" s="79"/>
      <c r="S323" s="79"/>
      <c r="T323" s="79"/>
      <c r="Y323" s="79"/>
      <c r="AE323" s="130"/>
      <c r="AG323" s="106"/>
    </row>
    <row r="324">
      <c r="C324" s="79"/>
      <c r="D324" s="79"/>
      <c r="E324" s="79"/>
      <c r="O324" s="79"/>
      <c r="S324" s="79"/>
      <c r="T324" s="79"/>
      <c r="Y324" s="79"/>
      <c r="AE324" s="130"/>
      <c r="AG324" s="106"/>
    </row>
    <row r="325">
      <c r="C325" s="79"/>
      <c r="D325" s="79"/>
      <c r="E325" s="79"/>
      <c r="O325" s="79"/>
      <c r="S325" s="79"/>
      <c r="T325" s="79"/>
      <c r="Y325" s="79"/>
      <c r="AE325" s="130"/>
      <c r="AG325" s="106"/>
    </row>
    <row r="326">
      <c r="C326" s="79"/>
      <c r="D326" s="79"/>
      <c r="E326" s="79"/>
      <c r="O326" s="79"/>
      <c r="S326" s="79"/>
      <c r="T326" s="79"/>
      <c r="Y326" s="79"/>
      <c r="AE326" s="130"/>
      <c r="AG326" s="106"/>
    </row>
    <row r="327">
      <c r="C327" s="79"/>
      <c r="D327" s="79"/>
      <c r="E327" s="79"/>
      <c r="O327" s="79"/>
      <c r="S327" s="79"/>
      <c r="T327" s="79"/>
      <c r="Y327" s="79"/>
      <c r="AE327" s="130"/>
      <c r="AG327" s="106"/>
    </row>
    <row r="328">
      <c r="C328" s="79"/>
      <c r="D328" s="79"/>
      <c r="E328" s="79"/>
      <c r="O328" s="79"/>
      <c r="S328" s="79"/>
      <c r="T328" s="79"/>
      <c r="Y328" s="79"/>
      <c r="AE328" s="130"/>
      <c r="AG328" s="106"/>
    </row>
    <row r="329">
      <c r="C329" s="79"/>
      <c r="D329" s="79"/>
      <c r="E329" s="79"/>
      <c r="O329" s="79"/>
      <c r="S329" s="79"/>
      <c r="T329" s="79"/>
      <c r="Y329" s="79"/>
      <c r="AE329" s="130"/>
      <c r="AG329" s="106"/>
    </row>
    <row r="330">
      <c r="C330" s="79"/>
      <c r="D330" s="79"/>
      <c r="E330" s="79"/>
      <c r="O330" s="79"/>
      <c r="S330" s="79"/>
      <c r="T330" s="79"/>
      <c r="Y330" s="79"/>
      <c r="AE330" s="130"/>
      <c r="AG330" s="106"/>
    </row>
    <row r="331">
      <c r="C331" s="79"/>
      <c r="D331" s="79"/>
      <c r="E331" s="79"/>
      <c r="O331" s="79"/>
      <c r="S331" s="79"/>
      <c r="T331" s="79"/>
      <c r="Y331" s="79"/>
      <c r="AE331" s="130"/>
      <c r="AG331" s="106"/>
    </row>
    <row r="332">
      <c r="C332" s="79"/>
      <c r="D332" s="79"/>
      <c r="E332" s="79"/>
      <c r="O332" s="79"/>
      <c r="S332" s="79"/>
      <c r="T332" s="79"/>
      <c r="Y332" s="79"/>
      <c r="AE332" s="130"/>
      <c r="AG332" s="106"/>
    </row>
    <row r="333">
      <c r="C333" s="79"/>
      <c r="D333" s="79"/>
      <c r="E333" s="79"/>
      <c r="O333" s="79"/>
      <c r="S333" s="79"/>
      <c r="T333" s="79"/>
      <c r="Y333" s="79"/>
      <c r="AE333" s="130"/>
      <c r="AG333" s="106"/>
    </row>
    <row r="334">
      <c r="C334" s="79"/>
      <c r="D334" s="79"/>
      <c r="E334" s="79"/>
      <c r="O334" s="79"/>
      <c r="S334" s="79"/>
      <c r="T334" s="79"/>
      <c r="Y334" s="79"/>
      <c r="AE334" s="130"/>
      <c r="AG334" s="106"/>
    </row>
    <row r="335">
      <c r="C335" s="79"/>
      <c r="D335" s="79"/>
      <c r="E335" s="79"/>
      <c r="O335" s="79"/>
      <c r="S335" s="79"/>
      <c r="T335" s="79"/>
      <c r="Y335" s="79"/>
      <c r="AE335" s="130"/>
      <c r="AG335" s="106"/>
    </row>
    <row r="336">
      <c r="C336" s="79"/>
      <c r="D336" s="79"/>
      <c r="E336" s="79"/>
      <c r="O336" s="79"/>
      <c r="S336" s="79"/>
      <c r="T336" s="79"/>
      <c r="Y336" s="79"/>
      <c r="AE336" s="130"/>
      <c r="AG336" s="106"/>
    </row>
    <row r="337">
      <c r="C337" s="79"/>
      <c r="D337" s="79"/>
      <c r="E337" s="79"/>
      <c r="O337" s="79"/>
      <c r="S337" s="79"/>
      <c r="T337" s="79"/>
      <c r="Y337" s="79"/>
      <c r="AE337" s="130"/>
      <c r="AG337" s="106"/>
    </row>
    <row r="338">
      <c r="C338" s="79"/>
      <c r="D338" s="79"/>
      <c r="E338" s="79"/>
      <c r="O338" s="79"/>
      <c r="S338" s="79"/>
      <c r="T338" s="79"/>
      <c r="Y338" s="79"/>
      <c r="AE338" s="130"/>
      <c r="AG338" s="106"/>
    </row>
    <row r="339">
      <c r="C339" s="79"/>
      <c r="D339" s="79"/>
      <c r="E339" s="79"/>
      <c r="O339" s="79"/>
      <c r="S339" s="79"/>
      <c r="T339" s="79"/>
      <c r="Y339" s="79"/>
      <c r="AE339" s="130"/>
      <c r="AG339" s="106"/>
    </row>
    <row r="340">
      <c r="C340" s="79"/>
      <c r="D340" s="79"/>
      <c r="E340" s="79"/>
      <c r="O340" s="79"/>
      <c r="S340" s="79"/>
      <c r="T340" s="79"/>
      <c r="Y340" s="79"/>
      <c r="AE340" s="130"/>
      <c r="AG340" s="106"/>
    </row>
    <row r="341">
      <c r="C341" s="79"/>
      <c r="D341" s="79"/>
      <c r="E341" s="79"/>
      <c r="O341" s="79"/>
      <c r="S341" s="79"/>
      <c r="T341" s="79"/>
      <c r="Y341" s="79"/>
      <c r="AE341" s="130"/>
      <c r="AG341" s="106"/>
    </row>
    <row r="342">
      <c r="C342" s="79"/>
      <c r="D342" s="79"/>
      <c r="E342" s="79"/>
      <c r="O342" s="79"/>
      <c r="S342" s="79"/>
      <c r="T342" s="79"/>
      <c r="Y342" s="79"/>
      <c r="AE342" s="130"/>
      <c r="AG342" s="106"/>
    </row>
    <row r="343">
      <c r="C343" s="79"/>
      <c r="D343" s="79"/>
      <c r="E343" s="79"/>
      <c r="O343" s="79"/>
      <c r="S343" s="79"/>
      <c r="T343" s="79"/>
      <c r="Y343" s="79"/>
      <c r="AE343" s="130"/>
      <c r="AG343" s="106"/>
    </row>
    <row r="344">
      <c r="C344" s="79"/>
      <c r="D344" s="79"/>
      <c r="E344" s="79"/>
      <c r="O344" s="79"/>
      <c r="S344" s="79"/>
      <c r="T344" s="79"/>
      <c r="Y344" s="79"/>
      <c r="AE344" s="130"/>
      <c r="AG344" s="106"/>
    </row>
    <row r="345">
      <c r="C345" s="79"/>
      <c r="D345" s="79"/>
      <c r="E345" s="79"/>
      <c r="O345" s="79"/>
      <c r="S345" s="79"/>
      <c r="T345" s="79"/>
      <c r="Y345" s="79"/>
      <c r="AE345" s="130"/>
      <c r="AG345" s="106"/>
    </row>
    <row r="346">
      <c r="C346" s="79"/>
      <c r="D346" s="79"/>
      <c r="E346" s="79"/>
      <c r="O346" s="79"/>
      <c r="S346" s="79"/>
      <c r="T346" s="79"/>
      <c r="Y346" s="79"/>
      <c r="AE346" s="130"/>
      <c r="AG346" s="106"/>
    </row>
    <row r="347">
      <c r="C347" s="79"/>
      <c r="D347" s="79"/>
      <c r="E347" s="79"/>
      <c r="O347" s="79"/>
      <c r="S347" s="79"/>
      <c r="T347" s="79"/>
      <c r="Y347" s="79"/>
      <c r="AE347" s="130"/>
      <c r="AG347" s="106"/>
    </row>
    <row r="348">
      <c r="C348" s="79"/>
      <c r="D348" s="79"/>
      <c r="E348" s="79"/>
      <c r="O348" s="79"/>
      <c r="S348" s="79"/>
      <c r="T348" s="79"/>
      <c r="Y348" s="79"/>
      <c r="AE348" s="130"/>
      <c r="AG348" s="106"/>
    </row>
    <row r="349">
      <c r="C349" s="79"/>
      <c r="D349" s="79"/>
      <c r="E349" s="79"/>
      <c r="O349" s="79"/>
      <c r="S349" s="79"/>
      <c r="T349" s="79"/>
      <c r="Y349" s="79"/>
      <c r="AE349" s="130"/>
      <c r="AG349" s="106"/>
    </row>
    <row r="350">
      <c r="C350" s="79"/>
      <c r="D350" s="79"/>
      <c r="E350" s="79"/>
      <c r="O350" s="79"/>
      <c r="S350" s="79"/>
      <c r="T350" s="79"/>
      <c r="Y350" s="79"/>
      <c r="AE350" s="130"/>
      <c r="AG350" s="106"/>
    </row>
    <row r="351">
      <c r="C351" s="79"/>
      <c r="D351" s="79"/>
      <c r="E351" s="79"/>
      <c r="O351" s="79"/>
      <c r="S351" s="79"/>
      <c r="T351" s="79"/>
      <c r="Y351" s="79"/>
      <c r="AE351" s="130"/>
      <c r="AG351" s="106"/>
    </row>
    <row r="352">
      <c r="C352" s="79"/>
      <c r="D352" s="79"/>
      <c r="E352" s="79"/>
      <c r="O352" s="79"/>
      <c r="S352" s="79"/>
      <c r="T352" s="79"/>
      <c r="Y352" s="79"/>
      <c r="AE352" s="130"/>
      <c r="AG352" s="106"/>
    </row>
    <row r="353">
      <c r="C353" s="79"/>
      <c r="D353" s="79"/>
      <c r="E353" s="79"/>
      <c r="O353" s="79"/>
      <c r="S353" s="79"/>
      <c r="T353" s="79"/>
      <c r="Y353" s="79"/>
      <c r="AE353" s="130"/>
      <c r="AG353" s="106"/>
    </row>
    <row r="354">
      <c r="C354" s="79"/>
      <c r="D354" s="79"/>
      <c r="E354" s="79"/>
      <c r="O354" s="79"/>
      <c r="S354" s="79"/>
      <c r="T354" s="79"/>
      <c r="Y354" s="79"/>
      <c r="AE354" s="130"/>
      <c r="AG354" s="106"/>
    </row>
    <row r="355">
      <c r="C355" s="79"/>
      <c r="D355" s="79"/>
      <c r="E355" s="79"/>
      <c r="O355" s="79"/>
      <c r="S355" s="79"/>
      <c r="T355" s="79"/>
      <c r="Y355" s="79"/>
      <c r="AE355" s="130"/>
      <c r="AG355" s="106"/>
    </row>
    <row r="356">
      <c r="C356" s="79"/>
      <c r="D356" s="79"/>
      <c r="E356" s="79"/>
      <c r="O356" s="79"/>
      <c r="S356" s="79"/>
      <c r="T356" s="79"/>
      <c r="Y356" s="79"/>
      <c r="AE356" s="130"/>
      <c r="AG356" s="106"/>
    </row>
    <row r="357">
      <c r="C357" s="79"/>
      <c r="D357" s="79"/>
      <c r="E357" s="79"/>
      <c r="O357" s="79"/>
      <c r="S357" s="79"/>
      <c r="T357" s="79"/>
      <c r="Y357" s="79"/>
      <c r="AE357" s="130"/>
      <c r="AG357" s="106"/>
    </row>
    <row r="358">
      <c r="C358" s="79"/>
      <c r="D358" s="79"/>
      <c r="E358" s="79"/>
      <c r="O358" s="79"/>
      <c r="S358" s="79"/>
      <c r="T358" s="79"/>
      <c r="Y358" s="79"/>
      <c r="AE358" s="130"/>
      <c r="AG358" s="106"/>
    </row>
    <row r="359">
      <c r="C359" s="79"/>
      <c r="D359" s="79"/>
      <c r="E359" s="79"/>
      <c r="O359" s="79"/>
      <c r="S359" s="79"/>
      <c r="T359" s="79"/>
      <c r="Y359" s="79"/>
      <c r="AE359" s="130"/>
      <c r="AG359" s="106"/>
    </row>
    <row r="360">
      <c r="C360" s="79"/>
      <c r="D360" s="79"/>
      <c r="E360" s="79"/>
      <c r="O360" s="79"/>
      <c r="S360" s="79"/>
      <c r="T360" s="79"/>
      <c r="Y360" s="79"/>
      <c r="AE360" s="130"/>
      <c r="AG360" s="106"/>
    </row>
    <row r="361">
      <c r="C361" s="79"/>
      <c r="D361" s="79"/>
      <c r="E361" s="79"/>
      <c r="O361" s="79"/>
      <c r="S361" s="79"/>
      <c r="T361" s="79"/>
      <c r="Y361" s="79"/>
      <c r="AE361" s="130"/>
      <c r="AG361" s="106"/>
    </row>
    <row r="362">
      <c r="C362" s="79"/>
      <c r="D362" s="79"/>
      <c r="E362" s="79"/>
      <c r="O362" s="79"/>
      <c r="S362" s="79"/>
      <c r="T362" s="79"/>
      <c r="Y362" s="79"/>
      <c r="AE362" s="130"/>
      <c r="AG362" s="106"/>
    </row>
    <row r="363">
      <c r="C363" s="79"/>
      <c r="D363" s="79"/>
      <c r="E363" s="79"/>
      <c r="O363" s="79"/>
      <c r="S363" s="79"/>
      <c r="T363" s="79"/>
      <c r="Y363" s="79"/>
      <c r="AE363" s="130"/>
      <c r="AG363" s="106"/>
    </row>
    <row r="364">
      <c r="C364" s="79"/>
      <c r="D364" s="79"/>
      <c r="E364" s="79"/>
      <c r="O364" s="79"/>
      <c r="S364" s="79"/>
      <c r="T364" s="79"/>
      <c r="Y364" s="79"/>
      <c r="AE364" s="130"/>
      <c r="AG364" s="106"/>
    </row>
    <row r="365">
      <c r="C365" s="79"/>
      <c r="D365" s="79"/>
      <c r="E365" s="79"/>
      <c r="O365" s="79"/>
      <c r="S365" s="79"/>
      <c r="T365" s="79"/>
      <c r="Y365" s="79"/>
      <c r="AE365" s="130"/>
      <c r="AG365" s="106"/>
    </row>
    <row r="366">
      <c r="C366" s="79"/>
      <c r="D366" s="79"/>
      <c r="E366" s="79"/>
      <c r="O366" s="79"/>
      <c r="S366" s="79"/>
      <c r="T366" s="79"/>
      <c r="Y366" s="79"/>
      <c r="AE366" s="130"/>
      <c r="AG366" s="106"/>
    </row>
    <row r="367">
      <c r="C367" s="79"/>
      <c r="D367" s="79"/>
      <c r="E367" s="79"/>
      <c r="O367" s="79"/>
      <c r="S367" s="79"/>
      <c r="T367" s="79"/>
      <c r="Y367" s="79"/>
      <c r="AE367" s="130"/>
      <c r="AG367" s="106"/>
    </row>
    <row r="368">
      <c r="C368" s="79"/>
      <c r="D368" s="79"/>
      <c r="E368" s="79"/>
      <c r="O368" s="79"/>
      <c r="S368" s="79"/>
      <c r="T368" s="79"/>
      <c r="Y368" s="79"/>
      <c r="AE368" s="130"/>
      <c r="AG368" s="106"/>
    </row>
    <row r="369">
      <c r="C369" s="79"/>
      <c r="D369" s="79"/>
      <c r="E369" s="79"/>
      <c r="O369" s="79"/>
      <c r="S369" s="79"/>
      <c r="T369" s="79"/>
      <c r="Y369" s="79"/>
      <c r="AE369" s="130"/>
      <c r="AG369" s="106"/>
    </row>
    <row r="370">
      <c r="C370" s="79"/>
      <c r="D370" s="79"/>
      <c r="E370" s="79"/>
      <c r="O370" s="79"/>
      <c r="S370" s="79"/>
      <c r="T370" s="79"/>
      <c r="Y370" s="79"/>
      <c r="AE370" s="130"/>
      <c r="AG370" s="106"/>
    </row>
    <row r="371">
      <c r="C371" s="79"/>
      <c r="D371" s="79"/>
      <c r="E371" s="79"/>
      <c r="O371" s="79"/>
      <c r="S371" s="79"/>
      <c r="T371" s="79"/>
      <c r="Y371" s="79"/>
      <c r="AE371" s="130"/>
      <c r="AG371" s="106"/>
    </row>
    <row r="372">
      <c r="C372" s="79"/>
      <c r="D372" s="79"/>
      <c r="E372" s="79"/>
      <c r="O372" s="79"/>
      <c r="S372" s="79"/>
      <c r="T372" s="79"/>
      <c r="Y372" s="79"/>
      <c r="AE372" s="130"/>
      <c r="AG372" s="106"/>
    </row>
    <row r="373">
      <c r="C373" s="79"/>
      <c r="D373" s="79"/>
      <c r="E373" s="79"/>
      <c r="O373" s="79"/>
      <c r="S373" s="79"/>
      <c r="T373" s="79"/>
      <c r="Y373" s="79"/>
      <c r="AE373" s="130"/>
      <c r="AG373" s="106"/>
    </row>
    <row r="374">
      <c r="C374" s="79"/>
      <c r="D374" s="79"/>
      <c r="E374" s="79"/>
      <c r="O374" s="79"/>
      <c r="S374" s="79"/>
      <c r="T374" s="79"/>
      <c r="Y374" s="79"/>
      <c r="AE374" s="130"/>
      <c r="AG374" s="106"/>
    </row>
    <row r="375">
      <c r="C375" s="79"/>
      <c r="D375" s="79"/>
      <c r="E375" s="79"/>
      <c r="O375" s="79"/>
      <c r="S375" s="79"/>
      <c r="T375" s="79"/>
      <c r="Y375" s="79"/>
      <c r="AE375" s="130"/>
      <c r="AG375" s="106"/>
    </row>
    <row r="376">
      <c r="C376" s="79"/>
      <c r="D376" s="79"/>
      <c r="E376" s="79"/>
      <c r="O376" s="79"/>
      <c r="S376" s="79"/>
      <c r="T376" s="79"/>
      <c r="Y376" s="79"/>
      <c r="AE376" s="130"/>
      <c r="AG376" s="106"/>
    </row>
    <row r="377">
      <c r="C377" s="79"/>
      <c r="D377" s="79"/>
      <c r="E377" s="79"/>
      <c r="O377" s="79"/>
      <c r="S377" s="79"/>
      <c r="T377" s="79"/>
      <c r="Y377" s="79"/>
      <c r="AE377" s="130"/>
      <c r="AG377" s="106"/>
    </row>
    <row r="378">
      <c r="C378" s="79"/>
      <c r="D378" s="79"/>
      <c r="E378" s="79"/>
      <c r="O378" s="79"/>
      <c r="S378" s="79"/>
      <c r="T378" s="79"/>
      <c r="Y378" s="79"/>
      <c r="AE378" s="130"/>
      <c r="AG378" s="106"/>
    </row>
    <row r="379">
      <c r="C379" s="79"/>
      <c r="D379" s="79"/>
      <c r="E379" s="79"/>
      <c r="O379" s="79"/>
      <c r="S379" s="79"/>
      <c r="T379" s="79"/>
      <c r="Y379" s="79"/>
      <c r="AE379" s="130"/>
      <c r="AG379" s="106"/>
    </row>
    <row r="380">
      <c r="C380" s="79"/>
      <c r="D380" s="79"/>
      <c r="E380" s="79"/>
      <c r="O380" s="79"/>
      <c r="S380" s="79"/>
      <c r="T380" s="79"/>
      <c r="Y380" s="79"/>
      <c r="AE380" s="130"/>
      <c r="AG380" s="106"/>
    </row>
    <row r="381">
      <c r="C381" s="79"/>
      <c r="D381" s="79"/>
      <c r="E381" s="79"/>
      <c r="O381" s="79"/>
      <c r="S381" s="79"/>
      <c r="T381" s="79"/>
      <c r="Y381" s="79"/>
      <c r="AE381" s="130"/>
      <c r="AG381" s="106"/>
    </row>
    <row r="382">
      <c r="C382" s="79"/>
      <c r="D382" s="79"/>
      <c r="E382" s="79"/>
      <c r="O382" s="79"/>
      <c r="S382" s="79"/>
      <c r="T382" s="79"/>
      <c r="Y382" s="79"/>
      <c r="AE382" s="130"/>
      <c r="AG382" s="106"/>
    </row>
    <row r="383">
      <c r="C383" s="79"/>
      <c r="D383" s="79"/>
      <c r="E383" s="79"/>
      <c r="O383" s="79"/>
      <c r="S383" s="79"/>
      <c r="T383" s="79"/>
      <c r="Y383" s="79"/>
      <c r="AE383" s="130"/>
      <c r="AG383" s="106"/>
    </row>
    <row r="384">
      <c r="C384" s="79"/>
      <c r="D384" s="79"/>
      <c r="E384" s="79"/>
      <c r="O384" s="79"/>
      <c r="S384" s="79"/>
      <c r="T384" s="79"/>
      <c r="Y384" s="79"/>
      <c r="AE384" s="130"/>
      <c r="AG384" s="106"/>
    </row>
    <row r="385">
      <c r="C385" s="79"/>
      <c r="D385" s="79"/>
      <c r="E385" s="79"/>
      <c r="O385" s="79"/>
      <c r="S385" s="79"/>
      <c r="T385" s="79"/>
      <c r="Y385" s="79"/>
      <c r="AE385" s="130"/>
      <c r="AG385" s="106"/>
    </row>
    <row r="386">
      <c r="C386" s="79"/>
      <c r="D386" s="79"/>
      <c r="E386" s="79"/>
      <c r="O386" s="79"/>
      <c r="S386" s="79"/>
      <c r="T386" s="79"/>
      <c r="Y386" s="79"/>
      <c r="AE386" s="130"/>
      <c r="AG386" s="106"/>
    </row>
    <row r="387">
      <c r="C387" s="79"/>
      <c r="D387" s="79"/>
      <c r="E387" s="79"/>
      <c r="O387" s="79"/>
      <c r="S387" s="79"/>
      <c r="T387" s="79"/>
      <c r="Y387" s="79"/>
      <c r="AE387" s="130"/>
      <c r="AG387" s="106"/>
    </row>
    <row r="388">
      <c r="C388" s="79"/>
      <c r="D388" s="79"/>
      <c r="E388" s="79"/>
      <c r="O388" s="79"/>
      <c r="S388" s="79"/>
      <c r="T388" s="79"/>
      <c r="Y388" s="79"/>
      <c r="AE388" s="130"/>
      <c r="AG388" s="106"/>
    </row>
    <row r="389">
      <c r="C389" s="79"/>
      <c r="D389" s="79"/>
      <c r="E389" s="79"/>
      <c r="O389" s="79"/>
      <c r="S389" s="79"/>
      <c r="T389" s="79"/>
      <c r="Y389" s="79"/>
      <c r="AE389" s="130"/>
      <c r="AG389" s="106"/>
    </row>
    <row r="390">
      <c r="C390" s="79"/>
      <c r="D390" s="79"/>
      <c r="E390" s="79"/>
      <c r="O390" s="79"/>
      <c r="S390" s="79"/>
      <c r="T390" s="79"/>
      <c r="Y390" s="79"/>
      <c r="AE390" s="130"/>
      <c r="AG390" s="106"/>
    </row>
    <row r="391">
      <c r="C391" s="79"/>
      <c r="D391" s="79"/>
      <c r="E391" s="79"/>
      <c r="O391" s="79"/>
      <c r="S391" s="79"/>
      <c r="T391" s="79"/>
      <c r="Y391" s="79"/>
      <c r="AE391" s="130"/>
      <c r="AG391" s="106"/>
    </row>
    <row r="392">
      <c r="C392" s="79"/>
      <c r="D392" s="79"/>
      <c r="E392" s="79"/>
      <c r="O392" s="79"/>
      <c r="S392" s="79"/>
      <c r="T392" s="79"/>
      <c r="Y392" s="79"/>
      <c r="AE392" s="130"/>
      <c r="AG392" s="106"/>
    </row>
    <row r="393">
      <c r="C393" s="79"/>
      <c r="D393" s="79"/>
      <c r="E393" s="79"/>
      <c r="O393" s="79"/>
      <c r="S393" s="79"/>
      <c r="T393" s="79"/>
      <c r="Y393" s="79"/>
      <c r="AE393" s="130"/>
      <c r="AG393" s="106"/>
    </row>
    <row r="394">
      <c r="C394" s="79"/>
      <c r="D394" s="79"/>
      <c r="E394" s="79"/>
      <c r="O394" s="79"/>
      <c r="S394" s="79"/>
      <c r="T394" s="79"/>
      <c r="Y394" s="79"/>
      <c r="AE394" s="130"/>
      <c r="AG394" s="106"/>
    </row>
    <row r="395">
      <c r="C395" s="79"/>
      <c r="D395" s="79"/>
      <c r="E395" s="79"/>
      <c r="O395" s="79"/>
      <c r="S395" s="79"/>
      <c r="T395" s="79"/>
      <c r="Y395" s="79"/>
      <c r="AE395" s="130"/>
      <c r="AG395" s="106"/>
    </row>
    <row r="396">
      <c r="C396" s="79"/>
      <c r="D396" s="79"/>
      <c r="E396" s="79"/>
      <c r="O396" s="79"/>
      <c r="S396" s="79"/>
      <c r="T396" s="79"/>
      <c r="Y396" s="79"/>
      <c r="AE396" s="130"/>
      <c r="AG396" s="106"/>
    </row>
    <row r="397">
      <c r="C397" s="79"/>
      <c r="D397" s="79"/>
      <c r="E397" s="79"/>
      <c r="O397" s="79"/>
      <c r="S397" s="79"/>
      <c r="T397" s="79"/>
      <c r="Y397" s="79"/>
      <c r="AE397" s="130"/>
      <c r="AG397" s="106"/>
    </row>
    <row r="398">
      <c r="C398" s="79"/>
      <c r="D398" s="79"/>
      <c r="E398" s="79"/>
      <c r="O398" s="79"/>
      <c r="S398" s="79"/>
      <c r="T398" s="79"/>
      <c r="Y398" s="79"/>
      <c r="AE398" s="130"/>
      <c r="AG398" s="106"/>
    </row>
    <row r="399">
      <c r="C399" s="79"/>
      <c r="D399" s="79"/>
      <c r="E399" s="79"/>
      <c r="O399" s="79"/>
      <c r="S399" s="79"/>
      <c r="T399" s="79"/>
      <c r="Y399" s="79"/>
      <c r="AE399" s="130"/>
      <c r="AG399" s="106"/>
    </row>
    <row r="400">
      <c r="C400" s="79"/>
      <c r="D400" s="79"/>
      <c r="E400" s="79"/>
      <c r="O400" s="79"/>
      <c r="S400" s="79"/>
      <c r="T400" s="79"/>
      <c r="Y400" s="79"/>
      <c r="AE400" s="130"/>
      <c r="AG400" s="106"/>
    </row>
    <row r="401">
      <c r="C401" s="79"/>
      <c r="D401" s="79"/>
      <c r="E401" s="79"/>
      <c r="O401" s="79"/>
      <c r="S401" s="79"/>
      <c r="T401" s="79"/>
      <c r="Y401" s="79"/>
      <c r="AE401" s="130"/>
      <c r="AG401" s="106"/>
    </row>
    <row r="402">
      <c r="C402" s="79"/>
      <c r="D402" s="79"/>
      <c r="E402" s="79"/>
      <c r="O402" s="79"/>
      <c r="S402" s="79"/>
      <c r="T402" s="79"/>
      <c r="Y402" s="79"/>
      <c r="AE402" s="130"/>
      <c r="AG402" s="106"/>
    </row>
    <row r="403">
      <c r="C403" s="79"/>
      <c r="D403" s="79"/>
      <c r="E403" s="79"/>
      <c r="O403" s="79"/>
      <c r="S403" s="79"/>
      <c r="T403" s="79"/>
      <c r="Y403" s="79"/>
      <c r="AE403" s="130"/>
      <c r="AG403" s="106"/>
    </row>
    <row r="404">
      <c r="C404" s="79"/>
      <c r="D404" s="79"/>
      <c r="E404" s="79"/>
      <c r="O404" s="79"/>
      <c r="S404" s="79"/>
      <c r="T404" s="79"/>
      <c r="Y404" s="79"/>
      <c r="AE404" s="130"/>
      <c r="AG404" s="106"/>
    </row>
    <row r="405">
      <c r="C405" s="79"/>
      <c r="D405" s="79"/>
      <c r="E405" s="79"/>
      <c r="O405" s="79"/>
      <c r="S405" s="79"/>
      <c r="T405" s="79"/>
      <c r="Y405" s="79"/>
      <c r="AE405" s="130"/>
      <c r="AG405" s="106"/>
    </row>
    <row r="406">
      <c r="C406" s="79"/>
      <c r="D406" s="79"/>
      <c r="E406" s="79"/>
      <c r="O406" s="79"/>
      <c r="S406" s="79"/>
      <c r="T406" s="79"/>
      <c r="Y406" s="79"/>
      <c r="AE406" s="130"/>
      <c r="AG406" s="106"/>
    </row>
    <row r="407">
      <c r="C407" s="79"/>
      <c r="D407" s="79"/>
      <c r="E407" s="79"/>
      <c r="O407" s="79"/>
      <c r="S407" s="79"/>
      <c r="T407" s="79"/>
      <c r="Y407" s="79"/>
      <c r="AE407" s="130"/>
      <c r="AG407" s="106"/>
    </row>
    <row r="408">
      <c r="C408" s="79"/>
      <c r="D408" s="79"/>
      <c r="E408" s="79"/>
      <c r="O408" s="79"/>
      <c r="S408" s="79"/>
      <c r="T408" s="79"/>
      <c r="Y408" s="79"/>
      <c r="AE408" s="130"/>
      <c r="AG408" s="106"/>
    </row>
    <row r="409">
      <c r="C409" s="79"/>
      <c r="D409" s="79"/>
      <c r="E409" s="79"/>
      <c r="O409" s="79"/>
      <c r="S409" s="79"/>
      <c r="T409" s="79"/>
      <c r="Y409" s="79"/>
      <c r="AE409" s="130"/>
      <c r="AG409" s="106"/>
    </row>
    <row r="410">
      <c r="C410" s="79"/>
      <c r="D410" s="79"/>
      <c r="E410" s="79"/>
      <c r="O410" s="79"/>
      <c r="S410" s="79"/>
      <c r="T410" s="79"/>
      <c r="Y410" s="79"/>
      <c r="AE410" s="130"/>
      <c r="AG410" s="106"/>
    </row>
    <row r="411">
      <c r="C411" s="79"/>
      <c r="D411" s="79"/>
      <c r="E411" s="79"/>
      <c r="O411" s="79"/>
      <c r="S411" s="79"/>
      <c r="T411" s="79"/>
      <c r="Y411" s="79"/>
      <c r="AE411" s="130"/>
      <c r="AG411" s="106"/>
    </row>
    <row r="412">
      <c r="C412" s="79"/>
      <c r="D412" s="79"/>
      <c r="E412" s="79"/>
      <c r="O412" s="79"/>
      <c r="S412" s="79"/>
      <c r="T412" s="79"/>
      <c r="Y412" s="79"/>
      <c r="AE412" s="130"/>
      <c r="AG412" s="106"/>
    </row>
    <row r="413">
      <c r="C413" s="79"/>
      <c r="D413" s="79"/>
      <c r="E413" s="79"/>
      <c r="O413" s="79"/>
      <c r="S413" s="79"/>
      <c r="T413" s="79"/>
      <c r="Y413" s="79"/>
      <c r="AE413" s="130"/>
      <c r="AG413" s="106"/>
    </row>
    <row r="414">
      <c r="C414" s="79"/>
      <c r="D414" s="79"/>
      <c r="E414" s="79"/>
      <c r="O414" s="79"/>
      <c r="S414" s="79"/>
      <c r="T414" s="79"/>
      <c r="Y414" s="79"/>
      <c r="AE414" s="130"/>
      <c r="AG414" s="106"/>
    </row>
    <row r="415">
      <c r="C415" s="79"/>
      <c r="D415" s="79"/>
      <c r="E415" s="79"/>
      <c r="O415" s="79"/>
      <c r="S415" s="79"/>
      <c r="T415" s="79"/>
      <c r="Y415" s="79"/>
      <c r="AE415" s="130"/>
      <c r="AG415" s="106"/>
    </row>
    <row r="416">
      <c r="C416" s="79"/>
      <c r="D416" s="79"/>
      <c r="E416" s="79"/>
      <c r="O416" s="79"/>
      <c r="S416" s="79"/>
      <c r="T416" s="79"/>
      <c r="Y416" s="79"/>
      <c r="AE416" s="130"/>
      <c r="AG416" s="106"/>
    </row>
    <row r="417">
      <c r="C417" s="79"/>
      <c r="D417" s="79"/>
      <c r="E417" s="79"/>
      <c r="O417" s="79"/>
      <c r="S417" s="79"/>
      <c r="T417" s="79"/>
      <c r="Y417" s="79"/>
      <c r="AE417" s="130"/>
      <c r="AG417" s="106"/>
    </row>
    <row r="418">
      <c r="C418" s="79"/>
      <c r="D418" s="79"/>
      <c r="E418" s="79"/>
      <c r="O418" s="79"/>
      <c r="S418" s="79"/>
      <c r="T418" s="79"/>
      <c r="Y418" s="79"/>
      <c r="AE418" s="130"/>
      <c r="AG418" s="106"/>
    </row>
    <row r="419">
      <c r="C419" s="79"/>
      <c r="D419" s="79"/>
      <c r="E419" s="79"/>
      <c r="O419" s="79"/>
      <c r="S419" s="79"/>
      <c r="T419" s="79"/>
      <c r="Y419" s="79"/>
      <c r="AE419" s="130"/>
      <c r="AG419" s="106"/>
    </row>
    <row r="420">
      <c r="C420" s="79"/>
      <c r="D420" s="79"/>
      <c r="E420" s="79"/>
      <c r="O420" s="79"/>
      <c r="S420" s="79"/>
      <c r="T420" s="79"/>
      <c r="Y420" s="79"/>
      <c r="AE420" s="130"/>
      <c r="AG420" s="106"/>
    </row>
    <row r="421">
      <c r="C421" s="79"/>
      <c r="D421" s="79"/>
      <c r="E421" s="79"/>
      <c r="O421" s="79"/>
      <c r="S421" s="79"/>
      <c r="T421" s="79"/>
      <c r="Y421" s="79"/>
      <c r="AE421" s="130"/>
      <c r="AG421" s="106"/>
    </row>
    <row r="422">
      <c r="C422" s="79"/>
      <c r="D422" s="79"/>
      <c r="E422" s="79"/>
      <c r="O422" s="79"/>
      <c r="S422" s="79"/>
      <c r="T422" s="79"/>
      <c r="Y422" s="79"/>
      <c r="AE422" s="130"/>
      <c r="AG422" s="106"/>
    </row>
    <row r="423">
      <c r="C423" s="79"/>
      <c r="D423" s="79"/>
      <c r="E423" s="79"/>
      <c r="O423" s="79"/>
      <c r="S423" s="79"/>
      <c r="T423" s="79"/>
      <c r="Y423" s="79"/>
      <c r="AE423" s="130"/>
      <c r="AG423" s="106"/>
    </row>
    <row r="424">
      <c r="C424" s="79"/>
      <c r="D424" s="79"/>
      <c r="E424" s="79"/>
      <c r="O424" s="79"/>
      <c r="S424" s="79"/>
      <c r="T424" s="79"/>
      <c r="Y424" s="79"/>
      <c r="AE424" s="130"/>
      <c r="AG424" s="106"/>
    </row>
    <row r="425">
      <c r="C425" s="79"/>
      <c r="D425" s="79"/>
      <c r="E425" s="79"/>
      <c r="O425" s="79"/>
      <c r="S425" s="79"/>
      <c r="T425" s="79"/>
      <c r="Y425" s="79"/>
      <c r="AE425" s="130"/>
      <c r="AG425" s="106"/>
    </row>
    <row r="426">
      <c r="C426" s="79"/>
      <c r="D426" s="79"/>
      <c r="E426" s="79"/>
      <c r="O426" s="79"/>
      <c r="S426" s="79"/>
      <c r="T426" s="79"/>
      <c r="Y426" s="79"/>
      <c r="AE426" s="130"/>
      <c r="AG426" s="106"/>
    </row>
    <row r="427">
      <c r="C427" s="79"/>
      <c r="D427" s="79"/>
      <c r="E427" s="79"/>
      <c r="O427" s="79"/>
      <c r="S427" s="79"/>
      <c r="T427" s="79"/>
      <c r="Y427" s="79"/>
      <c r="AE427" s="130"/>
      <c r="AG427" s="106"/>
    </row>
    <row r="428">
      <c r="C428" s="79"/>
      <c r="D428" s="79"/>
      <c r="E428" s="79"/>
      <c r="O428" s="79"/>
      <c r="S428" s="79"/>
      <c r="T428" s="79"/>
      <c r="Y428" s="79"/>
      <c r="AE428" s="130"/>
      <c r="AG428" s="106"/>
    </row>
    <row r="429">
      <c r="C429" s="79"/>
      <c r="D429" s="79"/>
      <c r="E429" s="79"/>
      <c r="O429" s="79"/>
      <c r="S429" s="79"/>
      <c r="T429" s="79"/>
      <c r="Y429" s="79"/>
      <c r="AE429" s="130"/>
      <c r="AG429" s="106"/>
    </row>
    <row r="430">
      <c r="C430" s="79"/>
      <c r="D430" s="79"/>
      <c r="E430" s="79"/>
      <c r="O430" s="79"/>
      <c r="S430" s="79"/>
      <c r="T430" s="79"/>
      <c r="Y430" s="79"/>
      <c r="AE430" s="130"/>
      <c r="AG430" s="106"/>
    </row>
    <row r="431">
      <c r="C431" s="79"/>
      <c r="D431" s="79"/>
      <c r="E431" s="79"/>
      <c r="O431" s="79"/>
      <c r="S431" s="79"/>
      <c r="T431" s="79"/>
      <c r="Y431" s="79"/>
      <c r="AE431" s="130"/>
      <c r="AG431" s="106"/>
    </row>
    <row r="432">
      <c r="C432" s="79"/>
      <c r="D432" s="79"/>
      <c r="E432" s="79"/>
      <c r="O432" s="79"/>
      <c r="S432" s="79"/>
      <c r="T432" s="79"/>
      <c r="Y432" s="79"/>
      <c r="AE432" s="130"/>
      <c r="AG432" s="106"/>
    </row>
    <row r="433">
      <c r="C433" s="79"/>
      <c r="D433" s="79"/>
      <c r="E433" s="79"/>
      <c r="O433" s="79"/>
      <c r="S433" s="79"/>
      <c r="T433" s="79"/>
      <c r="Y433" s="79"/>
      <c r="AE433" s="130"/>
      <c r="AG433" s="106"/>
    </row>
    <row r="434">
      <c r="C434" s="79"/>
      <c r="D434" s="79"/>
      <c r="E434" s="79"/>
      <c r="O434" s="79"/>
      <c r="S434" s="79"/>
      <c r="T434" s="79"/>
      <c r="Y434" s="79"/>
      <c r="AE434" s="130"/>
      <c r="AG434" s="106"/>
    </row>
    <row r="435">
      <c r="C435" s="79"/>
      <c r="D435" s="79"/>
      <c r="E435" s="79"/>
      <c r="O435" s="79"/>
      <c r="S435" s="79"/>
      <c r="T435" s="79"/>
      <c r="Y435" s="79"/>
      <c r="AE435" s="130"/>
      <c r="AG435" s="106"/>
    </row>
    <row r="436">
      <c r="C436" s="79"/>
      <c r="D436" s="79"/>
      <c r="E436" s="79"/>
      <c r="O436" s="79"/>
      <c r="S436" s="79"/>
      <c r="T436" s="79"/>
      <c r="Y436" s="79"/>
      <c r="AE436" s="130"/>
      <c r="AG436" s="106"/>
    </row>
    <row r="437">
      <c r="C437" s="79"/>
      <c r="D437" s="79"/>
      <c r="E437" s="79"/>
      <c r="O437" s="79"/>
      <c r="S437" s="79"/>
      <c r="T437" s="79"/>
      <c r="Y437" s="79"/>
      <c r="AE437" s="130"/>
      <c r="AG437" s="106"/>
    </row>
    <row r="438">
      <c r="C438" s="79"/>
      <c r="D438" s="79"/>
      <c r="E438" s="79"/>
      <c r="O438" s="79"/>
      <c r="S438" s="79"/>
      <c r="T438" s="79"/>
      <c r="Y438" s="79"/>
      <c r="AE438" s="130"/>
      <c r="AG438" s="106"/>
    </row>
    <row r="439">
      <c r="C439" s="79"/>
      <c r="D439" s="79"/>
      <c r="E439" s="79"/>
      <c r="O439" s="79"/>
      <c r="S439" s="79"/>
      <c r="T439" s="79"/>
      <c r="Y439" s="79"/>
      <c r="AE439" s="130"/>
      <c r="AG439" s="106"/>
    </row>
    <row r="440">
      <c r="C440" s="79"/>
      <c r="D440" s="79"/>
      <c r="E440" s="79"/>
      <c r="O440" s="79"/>
      <c r="S440" s="79"/>
      <c r="T440" s="79"/>
      <c r="Y440" s="79"/>
      <c r="AE440" s="130"/>
      <c r="AG440" s="106"/>
    </row>
    <row r="441">
      <c r="C441" s="79"/>
      <c r="D441" s="79"/>
      <c r="E441" s="79"/>
      <c r="O441" s="79"/>
      <c r="S441" s="79"/>
      <c r="T441" s="79"/>
      <c r="Y441" s="79"/>
      <c r="AE441" s="130"/>
      <c r="AG441" s="106"/>
    </row>
    <row r="442">
      <c r="C442" s="79"/>
      <c r="D442" s="79"/>
      <c r="E442" s="79"/>
      <c r="O442" s="79"/>
      <c r="S442" s="79"/>
      <c r="T442" s="79"/>
      <c r="Y442" s="79"/>
      <c r="AE442" s="130"/>
      <c r="AG442" s="106"/>
    </row>
    <row r="443">
      <c r="C443" s="79"/>
      <c r="D443" s="79"/>
      <c r="E443" s="79"/>
      <c r="O443" s="79"/>
      <c r="S443" s="79"/>
      <c r="T443" s="79"/>
      <c r="Y443" s="79"/>
      <c r="AE443" s="130"/>
      <c r="AG443" s="106"/>
    </row>
    <row r="444">
      <c r="C444" s="79"/>
      <c r="D444" s="79"/>
      <c r="E444" s="79"/>
      <c r="O444" s="79"/>
      <c r="S444" s="79"/>
      <c r="T444" s="79"/>
      <c r="Y444" s="79"/>
      <c r="AE444" s="130"/>
      <c r="AG444" s="106"/>
    </row>
    <row r="445">
      <c r="C445" s="79"/>
      <c r="D445" s="79"/>
      <c r="E445" s="79"/>
      <c r="O445" s="79"/>
      <c r="S445" s="79"/>
      <c r="T445" s="79"/>
      <c r="Y445" s="79"/>
      <c r="AE445" s="130"/>
      <c r="AG445" s="106"/>
    </row>
    <row r="446">
      <c r="C446" s="79"/>
      <c r="D446" s="79"/>
      <c r="E446" s="79"/>
      <c r="O446" s="79"/>
      <c r="S446" s="79"/>
      <c r="T446" s="79"/>
      <c r="Y446" s="79"/>
      <c r="AE446" s="130"/>
      <c r="AG446" s="106"/>
    </row>
    <row r="447">
      <c r="C447" s="79"/>
      <c r="D447" s="79"/>
      <c r="E447" s="79"/>
      <c r="O447" s="79"/>
      <c r="S447" s="79"/>
      <c r="T447" s="79"/>
      <c r="Y447" s="79"/>
      <c r="AE447" s="130"/>
      <c r="AG447" s="106"/>
    </row>
    <row r="448">
      <c r="C448" s="79"/>
      <c r="D448" s="79"/>
      <c r="E448" s="79"/>
      <c r="O448" s="79"/>
      <c r="S448" s="79"/>
      <c r="T448" s="79"/>
      <c r="Y448" s="79"/>
      <c r="AE448" s="130"/>
      <c r="AG448" s="106"/>
    </row>
    <row r="449">
      <c r="C449" s="79"/>
      <c r="D449" s="79"/>
      <c r="E449" s="79"/>
      <c r="O449" s="79"/>
      <c r="S449" s="79"/>
      <c r="T449" s="79"/>
      <c r="Y449" s="79"/>
      <c r="AE449" s="130"/>
      <c r="AG449" s="106"/>
    </row>
    <row r="450">
      <c r="C450" s="79"/>
      <c r="D450" s="79"/>
      <c r="E450" s="79"/>
      <c r="O450" s="79"/>
      <c r="S450" s="79"/>
      <c r="T450" s="79"/>
      <c r="Y450" s="79"/>
      <c r="AE450" s="130"/>
      <c r="AG450" s="106"/>
    </row>
    <row r="451">
      <c r="C451" s="79"/>
      <c r="D451" s="79"/>
      <c r="E451" s="79"/>
      <c r="O451" s="79"/>
      <c r="S451" s="79"/>
      <c r="T451" s="79"/>
      <c r="Y451" s="79"/>
      <c r="AE451" s="130"/>
      <c r="AG451" s="106"/>
    </row>
    <row r="452">
      <c r="C452" s="79"/>
      <c r="D452" s="79"/>
      <c r="E452" s="79"/>
      <c r="O452" s="79"/>
      <c r="S452" s="79"/>
      <c r="T452" s="79"/>
      <c r="Y452" s="79"/>
      <c r="AE452" s="130"/>
      <c r="AG452" s="106"/>
    </row>
    <row r="453">
      <c r="C453" s="79"/>
      <c r="D453" s="79"/>
      <c r="E453" s="79"/>
      <c r="O453" s="79"/>
      <c r="S453" s="79"/>
      <c r="T453" s="79"/>
      <c r="Y453" s="79"/>
      <c r="AE453" s="130"/>
      <c r="AG453" s="106"/>
    </row>
    <row r="454">
      <c r="C454" s="79"/>
      <c r="D454" s="79"/>
      <c r="E454" s="79"/>
      <c r="O454" s="79"/>
      <c r="S454" s="79"/>
      <c r="T454" s="79"/>
      <c r="Y454" s="79"/>
      <c r="AE454" s="130"/>
      <c r="AG454" s="106"/>
    </row>
    <row r="455">
      <c r="C455" s="79"/>
      <c r="D455" s="79"/>
      <c r="E455" s="79"/>
      <c r="O455" s="79"/>
      <c r="S455" s="79"/>
      <c r="T455" s="79"/>
      <c r="Y455" s="79"/>
      <c r="AE455" s="130"/>
      <c r="AG455" s="106"/>
    </row>
    <row r="456">
      <c r="C456" s="79"/>
      <c r="D456" s="79"/>
      <c r="E456" s="79"/>
      <c r="O456" s="79"/>
      <c r="S456" s="79"/>
      <c r="T456" s="79"/>
      <c r="Y456" s="79"/>
      <c r="AE456" s="130"/>
      <c r="AG456" s="106"/>
    </row>
    <row r="457">
      <c r="C457" s="79"/>
      <c r="D457" s="79"/>
      <c r="E457" s="79"/>
      <c r="O457" s="79"/>
      <c r="S457" s="79"/>
      <c r="T457" s="79"/>
      <c r="Y457" s="79"/>
      <c r="AE457" s="130"/>
      <c r="AG457" s="106"/>
    </row>
    <row r="458">
      <c r="C458" s="79"/>
      <c r="D458" s="79"/>
      <c r="E458" s="79"/>
      <c r="O458" s="79"/>
      <c r="S458" s="79"/>
      <c r="T458" s="79"/>
      <c r="Y458" s="79"/>
      <c r="AE458" s="130"/>
      <c r="AG458" s="106"/>
    </row>
    <row r="459">
      <c r="C459" s="79"/>
      <c r="D459" s="79"/>
      <c r="E459" s="79"/>
      <c r="O459" s="79"/>
      <c r="S459" s="79"/>
      <c r="T459" s="79"/>
      <c r="Y459" s="79"/>
      <c r="AE459" s="130"/>
      <c r="AG459" s="106"/>
    </row>
    <row r="460">
      <c r="C460" s="79"/>
      <c r="D460" s="79"/>
      <c r="E460" s="79"/>
      <c r="O460" s="79"/>
      <c r="S460" s="79"/>
      <c r="T460" s="79"/>
      <c r="Y460" s="79"/>
      <c r="AE460" s="130"/>
      <c r="AG460" s="106"/>
    </row>
    <row r="461">
      <c r="C461" s="79"/>
      <c r="D461" s="79"/>
      <c r="E461" s="79"/>
      <c r="O461" s="79"/>
      <c r="S461" s="79"/>
      <c r="T461" s="79"/>
      <c r="Y461" s="79"/>
      <c r="AE461" s="130"/>
      <c r="AG461" s="106"/>
    </row>
    <row r="462">
      <c r="C462" s="79"/>
      <c r="D462" s="79"/>
      <c r="E462" s="79"/>
      <c r="O462" s="79"/>
      <c r="S462" s="79"/>
      <c r="T462" s="79"/>
      <c r="Y462" s="79"/>
      <c r="AE462" s="130"/>
      <c r="AG462" s="106"/>
    </row>
    <row r="463">
      <c r="C463" s="79"/>
      <c r="D463" s="79"/>
      <c r="E463" s="79"/>
      <c r="O463" s="79"/>
      <c r="S463" s="79"/>
      <c r="T463" s="79"/>
      <c r="Y463" s="79"/>
      <c r="AE463" s="130"/>
      <c r="AG463" s="106"/>
    </row>
    <row r="464">
      <c r="C464" s="79"/>
      <c r="D464" s="79"/>
      <c r="E464" s="79"/>
      <c r="O464" s="79"/>
      <c r="S464" s="79"/>
      <c r="T464" s="79"/>
      <c r="Y464" s="79"/>
      <c r="AE464" s="130"/>
      <c r="AG464" s="106"/>
    </row>
    <row r="465">
      <c r="C465" s="79"/>
      <c r="D465" s="79"/>
      <c r="E465" s="79"/>
      <c r="O465" s="79"/>
      <c r="S465" s="79"/>
      <c r="T465" s="79"/>
      <c r="Y465" s="79"/>
      <c r="AE465" s="130"/>
      <c r="AG465" s="106"/>
    </row>
    <row r="466">
      <c r="C466" s="79"/>
      <c r="D466" s="79"/>
      <c r="E466" s="79"/>
      <c r="O466" s="79"/>
      <c r="S466" s="79"/>
      <c r="T466" s="79"/>
      <c r="Y466" s="79"/>
      <c r="AE466" s="130"/>
      <c r="AG466" s="106"/>
    </row>
    <row r="467">
      <c r="C467" s="79"/>
      <c r="D467" s="79"/>
      <c r="E467" s="79"/>
      <c r="O467" s="79"/>
      <c r="S467" s="79"/>
      <c r="T467" s="79"/>
      <c r="Y467" s="79"/>
      <c r="AE467" s="130"/>
      <c r="AG467" s="106"/>
    </row>
    <row r="468">
      <c r="C468" s="79"/>
      <c r="D468" s="79"/>
      <c r="E468" s="79"/>
      <c r="O468" s="79"/>
      <c r="S468" s="79"/>
      <c r="T468" s="79"/>
      <c r="Y468" s="79"/>
      <c r="AE468" s="130"/>
      <c r="AG468" s="106"/>
    </row>
    <row r="469">
      <c r="C469" s="79"/>
      <c r="D469" s="79"/>
      <c r="E469" s="79"/>
      <c r="O469" s="79"/>
      <c r="S469" s="79"/>
      <c r="T469" s="79"/>
      <c r="Y469" s="79"/>
      <c r="AE469" s="130"/>
      <c r="AG469" s="106"/>
    </row>
    <row r="470">
      <c r="C470" s="79"/>
      <c r="D470" s="79"/>
      <c r="E470" s="79"/>
      <c r="O470" s="79"/>
      <c r="S470" s="79"/>
      <c r="T470" s="79"/>
      <c r="Y470" s="79"/>
      <c r="AE470" s="130"/>
      <c r="AG470" s="106"/>
    </row>
    <row r="471">
      <c r="C471" s="79"/>
      <c r="D471" s="79"/>
      <c r="E471" s="79"/>
      <c r="O471" s="79"/>
      <c r="S471" s="79"/>
      <c r="T471" s="79"/>
      <c r="Y471" s="79"/>
      <c r="AE471" s="130"/>
      <c r="AG471" s="106"/>
    </row>
    <row r="472">
      <c r="C472" s="79"/>
      <c r="D472" s="79"/>
      <c r="E472" s="79"/>
      <c r="O472" s="79"/>
      <c r="S472" s="79"/>
      <c r="T472" s="79"/>
      <c r="Y472" s="79"/>
      <c r="AE472" s="130"/>
      <c r="AG472" s="106"/>
    </row>
    <row r="473">
      <c r="C473" s="79"/>
      <c r="D473" s="79"/>
      <c r="E473" s="79"/>
      <c r="O473" s="79"/>
      <c r="S473" s="79"/>
      <c r="T473" s="79"/>
      <c r="Y473" s="79"/>
      <c r="AE473" s="130"/>
      <c r="AG473" s="106"/>
    </row>
    <row r="474">
      <c r="C474" s="79"/>
      <c r="D474" s="79"/>
      <c r="E474" s="79"/>
      <c r="O474" s="79"/>
      <c r="S474" s="79"/>
      <c r="T474" s="79"/>
      <c r="Y474" s="79"/>
      <c r="AE474" s="130"/>
      <c r="AG474" s="106"/>
    </row>
    <row r="475">
      <c r="C475" s="79"/>
      <c r="D475" s="79"/>
      <c r="E475" s="79"/>
      <c r="O475" s="79"/>
      <c r="S475" s="79"/>
      <c r="T475" s="79"/>
      <c r="Y475" s="79"/>
      <c r="AE475" s="130"/>
      <c r="AG475" s="106"/>
    </row>
    <row r="476">
      <c r="C476" s="79"/>
      <c r="D476" s="79"/>
      <c r="E476" s="79"/>
      <c r="O476" s="79"/>
      <c r="S476" s="79"/>
      <c r="T476" s="79"/>
      <c r="Y476" s="79"/>
      <c r="AE476" s="130"/>
      <c r="AG476" s="106"/>
    </row>
    <row r="477">
      <c r="C477" s="79"/>
      <c r="D477" s="79"/>
      <c r="E477" s="79"/>
      <c r="O477" s="79"/>
      <c r="S477" s="79"/>
      <c r="T477" s="79"/>
      <c r="Y477" s="79"/>
      <c r="AE477" s="130"/>
      <c r="AG477" s="106"/>
    </row>
    <row r="478">
      <c r="C478" s="79"/>
      <c r="D478" s="79"/>
      <c r="E478" s="79"/>
      <c r="O478" s="79"/>
      <c r="S478" s="79"/>
      <c r="T478" s="79"/>
      <c r="Y478" s="79"/>
      <c r="AE478" s="130"/>
      <c r="AG478" s="106"/>
    </row>
    <row r="479">
      <c r="C479" s="79"/>
      <c r="D479" s="79"/>
      <c r="E479" s="79"/>
      <c r="O479" s="79"/>
      <c r="S479" s="79"/>
      <c r="T479" s="79"/>
      <c r="Y479" s="79"/>
      <c r="AE479" s="130"/>
      <c r="AG479" s="106"/>
    </row>
    <row r="480">
      <c r="C480" s="79"/>
      <c r="D480" s="79"/>
      <c r="E480" s="79"/>
      <c r="O480" s="79"/>
      <c r="S480" s="79"/>
      <c r="T480" s="79"/>
      <c r="Y480" s="79"/>
      <c r="AE480" s="130"/>
      <c r="AG480" s="106"/>
    </row>
    <row r="481">
      <c r="C481" s="79"/>
      <c r="D481" s="79"/>
      <c r="E481" s="79"/>
      <c r="O481" s="79"/>
      <c r="S481" s="79"/>
      <c r="T481" s="79"/>
      <c r="Y481" s="79"/>
      <c r="AE481" s="130"/>
      <c r="AG481" s="106"/>
    </row>
    <row r="482">
      <c r="C482" s="79"/>
      <c r="D482" s="79"/>
      <c r="E482" s="79"/>
      <c r="O482" s="79"/>
      <c r="S482" s="79"/>
      <c r="T482" s="79"/>
      <c r="Y482" s="79"/>
      <c r="AE482" s="130"/>
      <c r="AG482" s="106"/>
    </row>
    <row r="483">
      <c r="C483" s="79"/>
      <c r="D483" s="79"/>
      <c r="E483" s="79"/>
      <c r="O483" s="79"/>
      <c r="S483" s="79"/>
      <c r="T483" s="79"/>
      <c r="Y483" s="79"/>
      <c r="AE483" s="130"/>
      <c r="AG483" s="106"/>
    </row>
    <row r="484">
      <c r="C484" s="79"/>
      <c r="D484" s="79"/>
      <c r="E484" s="79"/>
      <c r="O484" s="79"/>
      <c r="S484" s="79"/>
      <c r="T484" s="79"/>
      <c r="Y484" s="79"/>
      <c r="AE484" s="130"/>
      <c r="AG484" s="106"/>
    </row>
    <row r="485">
      <c r="C485" s="79"/>
      <c r="D485" s="79"/>
      <c r="E485" s="79"/>
      <c r="O485" s="79"/>
      <c r="S485" s="79"/>
      <c r="T485" s="79"/>
      <c r="Y485" s="79"/>
      <c r="AE485" s="130"/>
      <c r="AG485" s="106"/>
    </row>
    <row r="486">
      <c r="C486" s="79"/>
      <c r="D486" s="79"/>
      <c r="E486" s="79"/>
      <c r="O486" s="79"/>
      <c r="S486" s="79"/>
      <c r="T486" s="79"/>
      <c r="Y486" s="79"/>
      <c r="AE486" s="130"/>
      <c r="AG486" s="106"/>
    </row>
    <row r="487">
      <c r="C487" s="79"/>
      <c r="D487" s="79"/>
      <c r="E487" s="79"/>
      <c r="O487" s="79"/>
      <c r="S487" s="79"/>
      <c r="T487" s="79"/>
      <c r="Y487" s="79"/>
      <c r="AE487" s="130"/>
      <c r="AG487" s="106"/>
    </row>
    <row r="488">
      <c r="C488" s="79"/>
      <c r="D488" s="79"/>
      <c r="E488" s="79"/>
      <c r="O488" s="79"/>
      <c r="S488" s="79"/>
      <c r="T488" s="79"/>
      <c r="Y488" s="79"/>
      <c r="AE488" s="130"/>
      <c r="AG488" s="106"/>
    </row>
    <row r="489">
      <c r="C489" s="79"/>
      <c r="D489" s="79"/>
      <c r="E489" s="79"/>
      <c r="O489" s="79"/>
      <c r="S489" s="79"/>
      <c r="T489" s="79"/>
      <c r="Y489" s="79"/>
      <c r="AE489" s="130"/>
      <c r="AG489" s="106"/>
    </row>
    <row r="490">
      <c r="C490" s="79"/>
      <c r="D490" s="79"/>
      <c r="E490" s="79"/>
      <c r="O490" s="79"/>
      <c r="S490" s="79"/>
      <c r="T490" s="79"/>
      <c r="Y490" s="79"/>
      <c r="AE490" s="130"/>
      <c r="AG490" s="106"/>
    </row>
    <row r="491">
      <c r="C491" s="79"/>
      <c r="D491" s="79"/>
      <c r="E491" s="79"/>
      <c r="O491" s="79"/>
      <c r="S491" s="79"/>
      <c r="T491" s="79"/>
      <c r="Y491" s="79"/>
      <c r="AE491" s="130"/>
      <c r="AG491" s="106"/>
    </row>
    <row r="492">
      <c r="C492" s="79"/>
      <c r="D492" s="79"/>
      <c r="E492" s="79"/>
      <c r="O492" s="79"/>
      <c r="S492" s="79"/>
      <c r="T492" s="79"/>
      <c r="Y492" s="79"/>
      <c r="AE492" s="130"/>
      <c r="AG492" s="106"/>
    </row>
    <row r="493">
      <c r="C493" s="79"/>
      <c r="D493" s="79"/>
      <c r="E493" s="79"/>
      <c r="O493" s="79"/>
      <c r="S493" s="79"/>
      <c r="T493" s="79"/>
      <c r="Y493" s="79"/>
      <c r="AE493" s="130"/>
      <c r="AG493" s="106"/>
    </row>
    <row r="494">
      <c r="C494" s="79"/>
      <c r="D494" s="79"/>
      <c r="E494" s="79"/>
      <c r="O494" s="79"/>
      <c r="S494" s="79"/>
      <c r="T494" s="79"/>
      <c r="Y494" s="79"/>
      <c r="AE494" s="130"/>
      <c r="AG494" s="106"/>
    </row>
    <row r="495">
      <c r="C495" s="79"/>
      <c r="D495" s="79"/>
      <c r="E495" s="79"/>
      <c r="O495" s="79"/>
      <c r="S495" s="79"/>
      <c r="T495" s="79"/>
      <c r="Y495" s="79"/>
      <c r="AE495" s="130"/>
      <c r="AG495" s="106"/>
    </row>
    <row r="496">
      <c r="C496" s="79"/>
      <c r="D496" s="79"/>
      <c r="E496" s="79"/>
      <c r="O496" s="79"/>
      <c r="S496" s="79"/>
      <c r="T496" s="79"/>
      <c r="Y496" s="79"/>
      <c r="AE496" s="130"/>
      <c r="AG496" s="106"/>
    </row>
    <row r="497">
      <c r="C497" s="79"/>
      <c r="D497" s="79"/>
      <c r="E497" s="79"/>
      <c r="O497" s="79"/>
      <c r="S497" s="79"/>
      <c r="T497" s="79"/>
      <c r="Y497" s="79"/>
      <c r="AE497" s="130"/>
      <c r="AG497" s="106"/>
    </row>
    <row r="498">
      <c r="C498" s="79"/>
      <c r="D498" s="79"/>
      <c r="E498" s="79"/>
      <c r="O498" s="79"/>
      <c r="S498" s="79"/>
      <c r="T498" s="79"/>
      <c r="Y498" s="79"/>
      <c r="AE498" s="130"/>
      <c r="AG498" s="106"/>
    </row>
    <row r="499">
      <c r="C499" s="79"/>
      <c r="D499" s="79"/>
      <c r="E499" s="79"/>
      <c r="O499" s="79"/>
      <c r="S499" s="79"/>
      <c r="T499" s="79"/>
      <c r="Y499" s="79"/>
      <c r="AE499" s="130"/>
      <c r="AG499" s="106"/>
    </row>
    <row r="500">
      <c r="C500" s="79"/>
      <c r="D500" s="79"/>
      <c r="E500" s="79"/>
      <c r="O500" s="79"/>
      <c r="S500" s="79"/>
      <c r="T500" s="79"/>
      <c r="Y500" s="79"/>
      <c r="AE500" s="130"/>
      <c r="AG500" s="106"/>
    </row>
    <row r="501">
      <c r="C501" s="79"/>
      <c r="D501" s="79"/>
      <c r="E501" s="79"/>
      <c r="O501" s="79"/>
      <c r="S501" s="79"/>
      <c r="T501" s="79"/>
      <c r="Y501" s="79"/>
      <c r="AE501" s="130"/>
      <c r="AG501" s="106"/>
    </row>
    <row r="502">
      <c r="C502" s="79"/>
      <c r="D502" s="79"/>
      <c r="E502" s="79"/>
      <c r="O502" s="79"/>
      <c r="S502" s="79"/>
      <c r="T502" s="79"/>
      <c r="Y502" s="79"/>
      <c r="AE502" s="130"/>
      <c r="AG502" s="106"/>
    </row>
    <row r="503">
      <c r="C503" s="79"/>
      <c r="D503" s="79"/>
      <c r="E503" s="79"/>
      <c r="O503" s="79"/>
      <c r="S503" s="79"/>
      <c r="T503" s="79"/>
      <c r="Y503" s="79"/>
      <c r="AE503" s="130"/>
      <c r="AG503" s="106"/>
    </row>
    <row r="504">
      <c r="C504" s="79"/>
      <c r="D504" s="79"/>
      <c r="E504" s="79"/>
      <c r="O504" s="79"/>
      <c r="S504" s="79"/>
      <c r="T504" s="79"/>
      <c r="Y504" s="79"/>
      <c r="AE504" s="130"/>
      <c r="AG504" s="106"/>
    </row>
    <row r="505">
      <c r="C505" s="79"/>
      <c r="D505" s="79"/>
      <c r="E505" s="79"/>
      <c r="O505" s="79"/>
      <c r="S505" s="79"/>
      <c r="T505" s="79"/>
      <c r="Y505" s="79"/>
      <c r="AE505" s="130"/>
      <c r="AG505" s="106"/>
    </row>
    <row r="506">
      <c r="C506" s="79"/>
      <c r="D506" s="79"/>
      <c r="E506" s="79"/>
      <c r="O506" s="79"/>
      <c r="S506" s="79"/>
      <c r="T506" s="79"/>
      <c r="Y506" s="79"/>
      <c r="AE506" s="130"/>
      <c r="AG506" s="106"/>
    </row>
    <row r="507">
      <c r="C507" s="79"/>
      <c r="D507" s="79"/>
      <c r="E507" s="79"/>
      <c r="O507" s="79"/>
      <c r="S507" s="79"/>
      <c r="T507" s="79"/>
      <c r="Y507" s="79"/>
      <c r="AE507" s="130"/>
      <c r="AG507" s="106"/>
    </row>
    <row r="508">
      <c r="C508" s="79"/>
      <c r="D508" s="79"/>
      <c r="E508" s="79"/>
      <c r="O508" s="79"/>
      <c r="S508" s="79"/>
      <c r="T508" s="79"/>
      <c r="Y508" s="79"/>
      <c r="AE508" s="130"/>
      <c r="AG508" s="106"/>
    </row>
    <row r="509">
      <c r="C509" s="79"/>
      <c r="D509" s="79"/>
      <c r="E509" s="79"/>
      <c r="O509" s="79"/>
      <c r="S509" s="79"/>
      <c r="T509" s="79"/>
      <c r="Y509" s="79"/>
      <c r="AE509" s="130"/>
      <c r="AG509" s="106"/>
    </row>
    <row r="510">
      <c r="C510" s="79"/>
      <c r="D510" s="79"/>
      <c r="E510" s="79"/>
      <c r="O510" s="79"/>
      <c r="S510" s="79"/>
      <c r="T510" s="79"/>
      <c r="Y510" s="79"/>
      <c r="AE510" s="130"/>
      <c r="AG510" s="106"/>
    </row>
    <row r="511">
      <c r="C511" s="79"/>
      <c r="D511" s="79"/>
      <c r="E511" s="79"/>
      <c r="O511" s="79"/>
      <c r="S511" s="79"/>
      <c r="T511" s="79"/>
      <c r="Y511" s="79"/>
      <c r="AE511" s="130"/>
      <c r="AG511" s="106"/>
    </row>
    <row r="512">
      <c r="C512" s="79"/>
      <c r="D512" s="79"/>
      <c r="E512" s="79"/>
      <c r="O512" s="79"/>
      <c r="S512" s="79"/>
      <c r="T512" s="79"/>
      <c r="Y512" s="79"/>
      <c r="AE512" s="130"/>
      <c r="AG512" s="106"/>
    </row>
    <row r="513">
      <c r="C513" s="79"/>
      <c r="D513" s="79"/>
      <c r="E513" s="79"/>
      <c r="O513" s="79"/>
      <c r="S513" s="79"/>
      <c r="T513" s="79"/>
      <c r="Y513" s="79"/>
      <c r="AE513" s="130"/>
      <c r="AG513" s="106"/>
    </row>
    <row r="514">
      <c r="C514" s="79"/>
      <c r="D514" s="79"/>
      <c r="E514" s="79"/>
      <c r="O514" s="79"/>
      <c r="S514" s="79"/>
      <c r="T514" s="79"/>
      <c r="Y514" s="79"/>
      <c r="AE514" s="130"/>
      <c r="AG514" s="106"/>
    </row>
    <row r="515">
      <c r="C515" s="79"/>
      <c r="D515" s="79"/>
      <c r="E515" s="79"/>
      <c r="O515" s="79"/>
      <c r="S515" s="79"/>
      <c r="T515" s="79"/>
      <c r="Y515" s="79"/>
      <c r="AE515" s="130"/>
      <c r="AG515" s="106"/>
    </row>
    <row r="516">
      <c r="C516" s="79"/>
      <c r="D516" s="79"/>
      <c r="E516" s="79"/>
      <c r="O516" s="79"/>
      <c r="S516" s="79"/>
      <c r="T516" s="79"/>
      <c r="Y516" s="79"/>
      <c r="AE516" s="130"/>
      <c r="AG516" s="106"/>
    </row>
    <row r="517">
      <c r="C517" s="79"/>
      <c r="D517" s="79"/>
      <c r="E517" s="79"/>
      <c r="O517" s="79"/>
      <c r="S517" s="79"/>
      <c r="T517" s="79"/>
      <c r="Y517" s="79"/>
      <c r="AE517" s="130"/>
      <c r="AG517" s="106"/>
    </row>
    <row r="518">
      <c r="C518" s="79"/>
      <c r="D518" s="79"/>
      <c r="E518" s="79"/>
      <c r="O518" s="79"/>
      <c r="S518" s="79"/>
      <c r="T518" s="79"/>
      <c r="Y518" s="79"/>
      <c r="AE518" s="130"/>
      <c r="AG518" s="106"/>
    </row>
    <row r="519">
      <c r="C519" s="79"/>
      <c r="D519" s="79"/>
      <c r="E519" s="79"/>
      <c r="O519" s="79"/>
      <c r="S519" s="79"/>
      <c r="T519" s="79"/>
      <c r="Y519" s="79"/>
      <c r="AE519" s="130"/>
      <c r="AG519" s="106"/>
    </row>
    <row r="520">
      <c r="C520" s="79"/>
      <c r="D520" s="79"/>
      <c r="E520" s="79"/>
      <c r="O520" s="79"/>
      <c r="S520" s="79"/>
      <c r="T520" s="79"/>
      <c r="Y520" s="79"/>
      <c r="AE520" s="130"/>
      <c r="AG520" s="106"/>
    </row>
    <row r="521">
      <c r="C521" s="79"/>
      <c r="D521" s="79"/>
      <c r="E521" s="79"/>
      <c r="O521" s="79"/>
      <c r="S521" s="79"/>
      <c r="T521" s="79"/>
      <c r="Y521" s="79"/>
      <c r="AE521" s="130"/>
      <c r="AG521" s="106"/>
    </row>
    <row r="522">
      <c r="C522" s="79"/>
      <c r="D522" s="79"/>
      <c r="E522" s="79"/>
      <c r="O522" s="79"/>
      <c r="S522" s="79"/>
      <c r="T522" s="79"/>
      <c r="Y522" s="79"/>
      <c r="AE522" s="130"/>
      <c r="AG522" s="106"/>
    </row>
    <row r="523">
      <c r="C523" s="79"/>
      <c r="D523" s="79"/>
      <c r="E523" s="79"/>
      <c r="O523" s="79"/>
      <c r="S523" s="79"/>
      <c r="T523" s="79"/>
      <c r="Y523" s="79"/>
      <c r="AE523" s="130"/>
      <c r="AG523" s="106"/>
    </row>
    <row r="524">
      <c r="C524" s="79"/>
      <c r="D524" s="79"/>
      <c r="E524" s="79"/>
      <c r="O524" s="79"/>
      <c r="S524" s="79"/>
      <c r="T524" s="79"/>
      <c r="Y524" s="79"/>
      <c r="AE524" s="130"/>
      <c r="AG524" s="106"/>
    </row>
    <row r="525">
      <c r="C525" s="79"/>
      <c r="D525" s="79"/>
      <c r="E525" s="79"/>
      <c r="O525" s="79"/>
      <c r="S525" s="79"/>
      <c r="T525" s="79"/>
      <c r="Y525" s="79"/>
      <c r="AE525" s="130"/>
      <c r="AG525" s="106"/>
    </row>
    <row r="526">
      <c r="C526" s="79"/>
      <c r="D526" s="79"/>
      <c r="E526" s="79"/>
      <c r="O526" s="79"/>
      <c r="S526" s="79"/>
      <c r="T526" s="79"/>
      <c r="Y526" s="79"/>
      <c r="AE526" s="130"/>
      <c r="AG526" s="106"/>
    </row>
    <row r="527">
      <c r="C527" s="79"/>
      <c r="D527" s="79"/>
      <c r="E527" s="79"/>
      <c r="O527" s="79"/>
      <c r="S527" s="79"/>
      <c r="T527" s="79"/>
      <c r="Y527" s="79"/>
      <c r="AE527" s="130"/>
      <c r="AG527" s="106"/>
    </row>
    <row r="528">
      <c r="C528" s="79"/>
      <c r="D528" s="79"/>
      <c r="E528" s="79"/>
      <c r="O528" s="79"/>
      <c r="S528" s="79"/>
      <c r="T528" s="79"/>
      <c r="Y528" s="79"/>
      <c r="AE528" s="130"/>
      <c r="AG528" s="106"/>
    </row>
    <row r="529">
      <c r="C529" s="79"/>
      <c r="D529" s="79"/>
      <c r="E529" s="79"/>
      <c r="O529" s="79"/>
      <c r="S529" s="79"/>
      <c r="T529" s="79"/>
      <c r="Y529" s="79"/>
      <c r="AE529" s="130"/>
      <c r="AG529" s="106"/>
    </row>
    <row r="530">
      <c r="C530" s="79"/>
      <c r="D530" s="79"/>
      <c r="E530" s="79"/>
      <c r="O530" s="79"/>
      <c r="S530" s="79"/>
      <c r="T530" s="79"/>
      <c r="Y530" s="79"/>
      <c r="AE530" s="130"/>
      <c r="AG530" s="106"/>
    </row>
    <row r="531">
      <c r="C531" s="79"/>
      <c r="D531" s="79"/>
      <c r="E531" s="79"/>
      <c r="O531" s="79"/>
      <c r="S531" s="79"/>
      <c r="T531" s="79"/>
      <c r="Y531" s="79"/>
      <c r="AE531" s="130"/>
      <c r="AG531" s="106"/>
    </row>
    <row r="532">
      <c r="C532" s="79"/>
      <c r="D532" s="79"/>
      <c r="E532" s="79"/>
      <c r="O532" s="79"/>
      <c r="S532" s="79"/>
      <c r="T532" s="79"/>
      <c r="Y532" s="79"/>
      <c r="AE532" s="130"/>
      <c r="AG532" s="106"/>
    </row>
    <row r="533">
      <c r="C533" s="79"/>
      <c r="D533" s="79"/>
      <c r="E533" s="79"/>
      <c r="O533" s="79"/>
      <c r="S533" s="79"/>
      <c r="T533" s="79"/>
      <c r="Y533" s="79"/>
      <c r="AE533" s="130"/>
      <c r="AG533" s="106"/>
    </row>
    <row r="534">
      <c r="C534" s="79"/>
      <c r="D534" s="79"/>
      <c r="E534" s="79"/>
      <c r="O534" s="79"/>
      <c r="S534" s="79"/>
      <c r="T534" s="79"/>
      <c r="Y534" s="79"/>
      <c r="AE534" s="130"/>
      <c r="AG534" s="106"/>
    </row>
    <row r="535">
      <c r="C535" s="79"/>
      <c r="D535" s="79"/>
      <c r="E535" s="79"/>
      <c r="O535" s="79"/>
      <c r="S535" s="79"/>
      <c r="T535" s="79"/>
      <c r="Y535" s="79"/>
      <c r="AE535" s="130"/>
      <c r="AG535" s="106"/>
    </row>
    <row r="536">
      <c r="C536" s="79"/>
      <c r="D536" s="79"/>
      <c r="E536" s="79"/>
      <c r="O536" s="79"/>
      <c r="S536" s="79"/>
      <c r="T536" s="79"/>
      <c r="Y536" s="79"/>
      <c r="AE536" s="130"/>
      <c r="AG536" s="106"/>
    </row>
    <row r="537">
      <c r="C537" s="79"/>
      <c r="D537" s="79"/>
      <c r="E537" s="79"/>
      <c r="O537" s="79"/>
      <c r="S537" s="79"/>
      <c r="T537" s="79"/>
      <c r="Y537" s="79"/>
      <c r="AE537" s="130"/>
      <c r="AG537" s="106"/>
    </row>
    <row r="538">
      <c r="C538" s="79"/>
      <c r="D538" s="79"/>
      <c r="E538" s="79"/>
      <c r="O538" s="79"/>
      <c r="S538" s="79"/>
      <c r="T538" s="79"/>
      <c r="Y538" s="79"/>
      <c r="AE538" s="130"/>
      <c r="AG538" s="106"/>
    </row>
    <row r="539">
      <c r="C539" s="79"/>
      <c r="D539" s="79"/>
      <c r="E539" s="79"/>
      <c r="O539" s="79"/>
      <c r="S539" s="79"/>
      <c r="T539" s="79"/>
      <c r="Y539" s="79"/>
      <c r="AE539" s="130"/>
      <c r="AG539" s="106"/>
    </row>
    <row r="540">
      <c r="C540" s="79"/>
      <c r="D540" s="79"/>
      <c r="E540" s="79"/>
      <c r="O540" s="79"/>
      <c r="S540" s="79"/>
      <c r="T540" s="79"/>
      <c r="Y540" s="79"/>
      <c r="AE540" s="130"/>
      <c r="AG540" s="106"/>
    </row>
    <row r="541">
      <c r="C541" s="79"/>
      <c r="D541" s="79"/>
      <c r="E541" s="79"/>
      <c r="O541" s="79"/>
      <c r="S541" s="79"/>
      <c r="T541" s="79"/>
      <c r="Y541" s="79"/>
      <c r="AE541" s="130"/>
      <c r="AG541" s="106"/>
    </row>
    <row r="542">
      <c r="C542" s="79"/>
      <c r="D542" s="79"/>
      <c r="E542" s="79"/>
      <c r="O542" s="79"/>
      <c r="S542" s="79"/>
      <c r="T542" s="79"/>
      <c r="Y542" s="79"/>
      <c r="AE542" s="130"/>
      <c r="AG542" s="106"/>
    </row>
    <row r="543">
      <c r="C543" s="79"/>
      <c r="D543" s="79"/>
      <c r="E543" s="79"/>
      <c r="O543" s="79"/>
      <c r="S543" s="79"/>
      <c r="T543" s="79"/>
      <c r="Y543" s="79"/>
      <c r="AE543" s="130"/>
      <c r="AG543" s="106"/>
    </row>
    <row r="544">
      <c r="C544" s="79"/>
      <c r="D544" s="79"/>
      <c r="E544" s="79"/>
      <c r="O544" s="79"/>
      <c r="S544" s="79"/>
      <c r="T544" s="79"/>
      <c r="Y544" s="79"/>
      <c r="AE544" s="130"/>
      <c r="AG544" s="106"/>
    </row>
    <row r="545">
      <c r="C545" s="79"/>
      <c r="D545" s="79"/>
      <c r="E545" s="79"/>
      <c r="O545" s="79"/>
      <c r="S545" s="79"/>
      <c r="T545" s="79"/>
      <c r="Y545" s="79"/>
      <c r="AE545" s="130"/>
      <c r="AG545" s="106"/>
    </row>
    <row r="546">
      <c r="C546" s="79"/>
      <c r="D546" s="79"/>
      <c r="E546" s="79"/>
      <c r="O546" s="79"/>
      <c r="S546" s="79"/>
      <c r="T546" s="79"/>
      <c r="Y546" s="79"/>
      <c r="AE546" s="130"/>
      <c r="AG546" s="106"/>
    </row>
    <row r="547">
      <c r="C547" s="79"/>
      <c r="D547" s="79"/>
      <c r="E547" s="79"/>
      <c r="O547" s="79"/>
      <c r="S547" s="79"/>
      <c r="T547" s="79"/>
      <c r="Y547" s="79"/>
      <c r="AE547" s="130"/>
      <c r="AG547" s="106"/>
    </row>
    <row r="548">
      <c r="C548" s="79"/>
      <c r="D548" s="79"/>
      <c r="E548" s="79"/>
      <c r="O548" s="79"/>
      <c r="S548" s="79"/>
      <c r="T548" s="79"/>
      <c r="Y548" s="79"/>
      <c r="AE548" s="130"/>
      <c r="AG548" s="106"/>
    </row>
    <row r="549">
      <c r="C549" s="79"/>
      <c r="D549" s="79"/>
      <c r="E549" s="79"/>
      <c r="O549" s="79"/>
      <c r="S549" s="79"/>
      <c r="T549" s="79"/>
      <c r="Y549" s="79"/>
      <c r="AE549" s="130"/>
      <c r="AG549" s="106"/>
    </row>
    <row r="550">
      <c r="C550" s="79"/>
      <c r="D550" s="79"/>
      <c r="E550" s="79"/>
      <c r="O550" s="79"/>
      <c r="S550" s="79"/>
      <c r="T550" s="79"/>
      <c r="Y550" s="79"/>
      <c r="AE550" s="130"/>
      <c r="AG550" s="106"/>
    </row>
    <row r="551">
      <c r="C551" s="79"/>
      <c r="D551" s="79"/>
      <c r="E551" s="79"/>
      <c r="O551" s="79"/>
      <c r="S551" s="79"/>
      <c r="T551" s="79"/>
      <c r="Y551" s="79"/>
      <c r="AE551" s="130"/>
      <c r="AG551" s="106"/>
    </row>
    <row r="552">
      <c r="C552" s="79"/>
      <c r="D552" s="79"/>
      <c r="E552" s="79"/>
      <c r="O552" s="79"/>
      <c r="S552" s="79"/>
      <c r="T552" s="79"/>
      <c r="Y552" s="79"/>
      <c r="AE552" s="130"/>
      <c r="AG552" s="106"/>
    </row>
    <row r="553">
      <c r="C553" s="79"/>
      <c r="D553" s="79"/>
      <c r="E553" s="79"/>
      <c r="O553" s="79"/>
      <c r="S553" s="79"/>
      <c r="T553" s="79"/>
      <c r="Y553" s="79"/>
      <c r="AE553" s="130"/>
      <c r="AG553" s="106"/>
    </row>
    <row r="554">
      <c r="C554" s="79"/>
      <c r="D554" s="79"/>
      <c r="E554" s="79"/>
      <c r="O554" s="79"/>
      <c r="S554" s="79"/>
      <c r="T554" s="79"/>
      <c r="Y554" s="79"/>
      <c r="AE554" s="130"/>
      <c r="AG554" s="106"/>
    </row>
    <row r="555">
      <c r="C555" s="79"/>
      <c r="D555" s="79"/>
      <c r="E555" s="79"/>
      <c r="O555" s="79"/>
      <c r="S555" s="79"/>
      <c r="T555" s="79"/>
      <c r="Y555" s="79"/>
      <c r="AE555" s="130"/>
      <c r="AG555" s="106"/>
    </row>
    <row r="556">
      <c r="C556" s="79"/>
      <c r="D556" s="79"/>
      <c r="E556" s="79"/>
      <c r="O556" s="79"/>
      <c r="S556" s="79"/>
      <c r="T556" s="79"/>
      <c r="Y556" s="79"/>
      <c r="AE556" s="130"/>
      <c r="AG556" s="106"/>
    </row>
    <row r="557">
      <c r="C557" s="79"/>
      <c r="D557" s="79"/>
      <c r="E557" s="79"/>
      <c r="O557" s="79"/>
      <c r="S557" s="79"/>
      <c r="T557" s="79"/>
      <c r="Y557" s="79"/>
      <c r="AE557" s="130"/>
      <c r="AG557" s="106"/>
    </row>
    <row r="558">
      <c r="C558" s="79"/>
      <c r="D558" s="79"/>
      <c r="E558" s="79"/>
      <c r="O558" s="79"/>
      <c r="S558" s="79"/>
      <c r="T558" s="79"/>
      <c r="Y558" s="79"/>
      <c r="AE558" s="130"/>
      <c r="AG558" s="106"/>
    </row>
    <row r="559">
      <c r="C559" s="79"/>
      <c r="D559" s="79"/>
      <c r="E559" s="79"/>
      <c r="O559" s="79"/>
      <c r="S559" s="79"/>
      <c r="T559" s="79"/>
      <c r="Y559" s="79"/>
      <c r="AE559" s="130"/>
      <c r="AG559" s="106"/>
    </row>
    <row r="560">
      <c r="C560" s="79"/>
      <c r="D560" s="79"/>
      <c r="E560" s="79"/>
      <c r="O560" s="79"/>
      <c r="S560" s="79"/>
      <c r="T560" s="79"/>
      <c r="Y560" s="79"/>
      <c r="AE560" s="130"/>
      <c r="AG560" s="106"/>
    </row>
    <row r="561">
      <c r="C561" s="79"/>
      <c r="D561" s="79"/>
      <c r="E561" s="79"/>
      <c r="O561" s="79"/>
      <c r="S561" s="79"/>
      <c r="T561" s="79"/>
      <c r="Y561" s="79"/>
      <c r="AE561" s="130"/>
      <c r="AG561" s="106"/>
    </row>
    <row r="562">
      <c r="C562" s="79"/>
      <c r="D562" s="79"/>
      <c r="E562" s="79"/>
      <c r="O562" s="79"/>
      <c r="S562" s="79"/>
      <c r="T562" s="79"/>
      <c r="Y562" s="79"/>
      <c r="AE562" s="130"/>
      <c r="AG562" s="106"/>
    </row>
    <row r="563">
      <c r="C563" s="79"/>
      <c r="D563" s="79"/>
      <c r="E563" s="79"/>
      <c r="O563" s="79"/>
      <c r="S563" s="79"/>
      <c r="T563" s="79"/>
      <c r="Y563" s="79"/>
      <c r="AE563" s="130"/>
      <c r="AG563" s="106"/>
    </row>
    <row r="564">
      <c r="C564" s="79"/>
      <c r="D564" s="79"/>
      <c r="E564" s="79"/>
      <c r="O564" s="79"/>
      <c r="S564" s="79"/>
      <c r="T564" s="79"/>
      <c r="Y564" s="79"/>
      <c r="AE564" s="130"/>
      <c r="AG564" s="106"/>
    </row>
    <row r="565">
      <c r="C565" s="79"/>
      <c r="D565" s="79"/>
      <c r="E565" s="79"/>
      <c r="O565" s="79"/>
      <c r="S565" s="79"/>
      <c r="T565" s="79"/>
      <c r="Y565" s="79"/>
      <c r="AE565" s="130"/>
      <c r="AG565" s="106"/>
    </row>
    <row r="566">
      <c r="C566" s="79"/>
      <c r="D566" s="79"/>
      <c r="E566" s="79"/>
      <c r="O566" s="79"/>
      <c r="S566" s="79"/>
      <c r="T566" s="79"/>
      <c r="Y566" s="79"/>
      <c r="AE566" s="130"/>
      <c r="AG566" s="106"/>
    </row>
    <row r="567">
      <c r="C567" s="79"/>
      <c r="D567" s="79"/>
      <c r="E567" s="79"/>
      <c r="O567" s="79"/>
      <c r="S567" s="79"/>
      <c r="T567" s="79"/>
      <c r="Y567" s="79"/>
      <c r="AE567" s="130"/>
      <c r="AG567" s="106"/>
    </row>
    <row r="568">
      <c r="C568" s="79"/>
      <c r="D568" s="79"/>
      <c r="E568" s="79"/>
      <c r="O568" s="79"/>
      <c r="S568" s="79"/>
      <c r="T568" s="79"/>
      <c r="Y568" s="79"/>
      <c r="AE568" s="130"/>
      <c r="AG568" s="106"/>
    </row>
    <row r="569">
      <c r="C569" s="79"/>
      <c r="D569" s="79"/>
      <c r="E569" s="79"/>
      <c r="O569" s="79"/>
      <c r="S569" s="79"/>
      <c r="T569" s="79"/>
      <c r="Y569" s="79"/>
      <c r="AE569" s="130"/>
      <c r="AG569" s="106"/>
    </row>
    <row r="570">
      <c r="C570" s="79"/>
      <c r="D570" s="79"/>
      <c r="E570" s="79"/>
      <c r="O570" s="79"/>
      <c r="S570" s="79"/>
      <c r="T570" s="79"/>
      <c r="Y570" s="79"/>
      <c r="AE570" s="130"/>
      <c r="AG570" s="106"/>
    </row>
    <row r="571">
      <c r="C571" s="79"/>
      <c r="D571" s="79"/>
      <c r="E571" s="79"/>
      <c r="O571" s="79"/>
      <c r="S571" s="79"/>
      <c r="T571" s="79"/>
      <c r="Y571" s="79"/>
      <c r="AE571" s="130"/>
      <c r="AG571" s="106"/>
    </row>
    <row r="572">
      <c r="C572" s="79"/>
      <c r="D572" s="79"/>
      <c r="E572" s="79"/>
      <c r="O572" s="79"/>
      <c r="S572" s="79"/>
      <c r="T572" s="79"/>
      <c r="Y572" s="79"/>
      <c r="AE572" s="130"/>
      <c r="AG572" s="106"/>
    </row>
    <row r="573">
      <c r="C573" s="79"/>
      <c r="D573" s="79"/>
      <c r="E573" s="79"/>
      <c r="O573" s="79"/>
      <c r="S573" s="79"/>
      <c r="T573" s="79"/>
      <c r="Y573" s="79"/>
      <c r="AE573" s="130"/>
      <c r="AG573" s="106"/>
    </row>
    <row r="574">
      <c r="C574" s="79"/>
      <c r="D574" s="79"/>
      <c r="E574" s="79"/>
      <c r="O574" s="79"/>
      <c r="S574" s="79"/>
      <c r="T574" s="79"/>
      <c r="Y574" s="79"/>
      <c r="AE574" s="130"/>
      <c r="AG574" s="106"/>
    </row>
    <row r="575">
      <c r="C575" s="79"/>
      <c r="D575" s="79"/>
      <c r="E575" s="79"/>
      <c r="O575" s="79"/>
      <c r="S575" s="79"/>
      <c r="T575" s="79"/>
      <c r="Y575" s="79"/>
      <c r="AE575" s="130"/>
      <c r="AG575" s="106"/>
    </row>
    <row r="576">
      <c r="C576" s="79"/>
      <c r="D576" s="79"/>
      <c r="E576" s="79"/>
      <c r="O576" s="79"/>
      <c r="S576" s="79"/>
      <c r="T576" s="79"/>
      <c r="Y576" s="79"/>
      <c r="AE576" s="130"/>
      <c r="AG576" s="106"/>
    </row>
    <row r="577">
      <c r="C577" s="79"/>
      <c r="D577" s="79"/>
      <c r="E577" s="79"/>
      <c r="O577" s="79"/>
      <c r="S577" s="79"/>
      <c r="T577" s="79"/>
      <c r="Y577" s="79"/>
      <c r="AE577" s="130"/>
      <c r="AG577" s="106"/>
    </row>
    <row r="578">
      <c r="C578" s="79"/>
      <c r="D578" s="79"/>
      <c r="E578" s="79"/>
      <c r="O578" s="79"/>
      <c r="S578" s="79"/>
      <c r="T578" s="79"/>
      <c r="Y578" s="79"/>
      <c r="AE578" s="130"/>
      <c r="AG578" s="106"/>
    </row>
    <row r="579">
      <c r="C579" s="79"/>
      <c r="D579" s="79"/>
      <c r="E579" s="79"/>
      <c r="O579" s="79"/>
      <c r="S579" s="79"/>
      <c r="T579" s="79"/>
      <c r="Y579" s="79"/>
      <c r="AE579" s="130"/>
      <c r="AG579" s="106"/>
    </row>
    <row r="580">
      <c r="C580" s="79"/>
      <c r="D580" s="79"/>
      <c r="E580" s="79"/>
      <c r="O580" s="79"/>
      <c r="S580" s="79"/>
      <c r="T580" s="79"/>
      <c r="Y580" s="79"/>
      <c r="AE580" s="130"/>
      <c r="AG580" s="106"/>
    </row>
    <row r="581">
      <c r="C581" s="79"/>
      <c r="D581" s="79"/>
      <c r="E581" s="79"/>
      <c r="O581" s="79"/>
      <c r="S581" s="79"/>
      <c r="T581" s="79"/>
      <c r="Y581" s="79"/>
      <c r="AE581" s="130"/>
      <c r="AG581" s="106"/>
    </row>
    <row r="582">
      <c r="C582" s="79"/>
      <c r="D582" s="79"/>
      <c r="E582" s="79"/>
      <c r="O582" s="79"/>
      <c r="S582" s="79"/>
      <c r="T582" s="79"/>
      <c r="Y582" s="79"/>
      <c r="AE582" s="130"/>
      <c r="AG582" s="106"/>
    </row>
    <row r="583">
      <c r="C583" s="79"/>
      <c r="D583" s="79"/>
      <c r="E583" s="79"/>
      <c r="O583" s="79"/>
      <c r="S583" s="79"/>
      <c r="T583" s="79"/>
      <c r="Y583" s="79"/>
      <c r="AE583" s="130"/>
      <c r="AG583" s="106"/>
    </row>
    <row r="584">
      <c r="C584" s="79"/>
      <c r="D584" s="79"/>
      <c r="E584" s="79"/>
      <c r="O584" s="79"/>
      <c r="S584" s="79"/>
      <c r="T584" s="79"/>
      <c r="Y584" s="79"/>
      <c r="AE584" s="130"/>
      <c r="AG584" s="106"/>
    </row>
    <row r="585">
      <c r="C585" s="79"/>
      <c r="D585" s="79"/>
      <c r="E585" s="79"/>
      <c r="O585" s="79"/>
      <c r="S585" s="79"/>
      <c r="T585" s="79"/>
      <c r="Y585" s="79"/>
      <c r="AE585" s="130"/>
      <c r="AG585" s="106"/>
    </row>
    <row r="586">
      <c r="C586" s="79"/>
      <c r="D586" s="79"/>
      <c r="E586" s="79"/>
      <c r="O586" s="79"/>
      <c r="S586" s="79"/>
      <c r="T586" s="79"/>
      <c r="Y586" s="79"/>
      <c r="AE586" s="130"/>
      <c r="AG586" s="106"/>
    </row>
    <row r="587">
      <c r="C587" s="79"/>
      <c r="D587" s="79"/>
      <c r="E587" s="79"/>
      <c r="O587" s="79"/>
      <c r="S587" s="79"/>
      <c r="T587" s="79"/>
      <c r="Y587" s="79"/>
      <c r="AE587" s="130"/>
      <c r="AG587" s="106"/>
    </row>
    <row r="588">
      <c r="C588" s="79"/>
      <c r="D588" s="79"/>
      <c r="E588" s="79"/>
      <c r="O588" s="79"/>
      <c r="S588" s="79"/>
      <c r="T588" s="79"/>
      <c r="Y588" s="79"/>
      <c r="AE588" s="130"/>
      <c r="AG588" s="106"/>
    </row>
    <row r="589">
      <c r="C589" s="79"/>
      <c r="D589" s="79"/>
      <c r="E589" s="79"/>
      <c r="O589" s="79"/>
      <c r="S589" s="79"/>
      <c r="T589" s="79"/>
      <c r="Y589" s="79"/>
      <c r="AE589" s="130"/>
      <c r="AG589" s="106"/>
    </row>
    <row r="590">
      <c r="C590" s="79"/>
      <c r="D590" s="79"/>
      <c r="E590" s="79"/>
      <c r="O590" s="79"/>
      <c r="S590" s="79"/>
      <c r="T590" s="79"/>
      <c r="Y590" s="79"/>
      <c r="AE590" s="130"/>
      <c r="AG590" s="106"/>
    </row>
    <row r="591">
      <c r="C591" s="79"/>
      <c r="D591" s="79"/>
      <c r="E591" s="79"/>
      <c r="O591" s="79"/>
      <c r="S591" s="79"/>
      <c r="T591" s="79"/>
      <c r="Y591" s="79"/>
      <c r="AE591" s="130"/>
      <c r="AG591" s="106"/>
    </row>
    <row r="592">
      <c r="C592" s="79"/>
      <c r="D592" s="79"/>
      <c r="E592" s="79"/>
      <c r="O592" s="79"/>
      <c r="S592" s="79"/>
      <c r="T592" s="79"/>
      <c r="Y592" s="79"/>
      <c r="AE592" s="130"/>
      <c r="AG592" s="106"/>
    </row>
    <row r="593">
      <c r="C593" s="79"/>
      <c r="D593" s="79"/>
      <c r="E593" s="79"/>
      <c r="O593" s="79"/>
      <c r="S593" s="79"/>
      <c r="T593" s="79"/>
      <c r="Y593" s="79"/>
      <c r="AE593" s="130"/>
      <c r="AG593" s="106"/>
    </row>
    <row r="594">
      <c r="C594" s="79"/>
      <c r="D594" s="79"/>
      <c r="E594" s="79"/>
      <c r="O594" s="79"/>
      <c r="S594" s="79"/>
      <c r="T594" s="79"/>
      <c r="Y594" s="79"/>
      <c r="AE594" s="130"/>
      <c r="AG594" s="106"/>
    </row>
    <row r="595">
      <c r="C595" s="79"/>
      <c r="D595" s="79"/>
      <c r="E595" s="79"/>
      <c r="O595" s="79"/>
      <c r="S595" s="79"/>
      <c r="T595" s="79"/>
      <c r="Y595" s="79"/>
      <c r="AE595" s="130"/>
      <c r="AG595" s="106"/>
    </row>
    <row r="596">
      <c r="C596" s="79"/>
      <c r="D596" s="79"/>
      <c r="E596" s="79"/>
      <c r="O596" s="79"/>
      <c r="S596" s="79"/>
      <c r="T596" s="79"/>
      <c r="Y596" s="79"/>
      <c r="AE596" s="130"/>
      <c r="AG596" s="106"/>
    </row>
    <row r="597">
      <c r="C597" s="79"/>
      <c r="D597" s="79"/>
      <c r="E597" s="79"/>
      <c r="O597" s="79"/>
      <c r="S597" s="79"/>
      <c r="T597" s="79"/>
      <c r="Y597" s="79"/>
      <c r="AE597" s="130"/>
      <c r="AG597" s="106"/>
    </row>
    <row r="598">
      <c r="C598" s="79"/>
      <c r="D598" s="79"/>
      <c r="E598" s="79"/>
      <c r="O598" s="79"/>
      <c r="S598" s="79"/>
      <c r="T598" s="79"/>
      <c r="Y598" s="79"/>
      <c r="AE598" s="130"/>
      <c r="AG598" s="106"/>
    </row>
    <row r="599">
      <c r="C599" s="79"/>
      <c r="D599" s="79"/>
      <c r="E599" s="79"/>
      <c r="O599" s="79"/>
      <c r="S599" s="79"/>
      <c r="T599" s="79"/>
      <c r="Y599" s="79"/>
      <c r="AE599" s="130"/>
      <c r="AG599" s="106"/>
    </row>
    <row r="600">
      <c r="C600" s="79"/>
      <c r="D600" s="79"/>
      <c r="E600" s="79"/>
      <c r="O600" s="79"/>
      <c r="S600" s="79"/>
      <c r="T600" s="79"/>
      <c r="Y600" s="79"/>
      <c r="AE600" s="130"/>
      <c r="AG600" s="106"/>
    </row>
    <row r="601">
      <c r="C601" s="79"/>
      <c r="D601" s="79"/>
      <c r="E601" s="79"/>
      <c r="O601" s="79"/>
      <c r="S601" s="79"/>
      <c r="T601" s="79"/>
      <c r="Y601" s="79"/>
      <c r="AE601" s="130"/>
      <c r="AG601" s="106"/>
    </row>
    <row r="602">
      <c r="C602" s="79"/>
      <c r="D602" s="79"/>
      <c r="E602" s="79"/>
      <c r="O602" s="79"/>
      <c r="S602" s="79"/>
      <c r="T602" s="79"/>
      <c r="Y602" s="79"/>
      <c r="AE602" s="130"/>
      <c r="AG602" s="106"/>
    </row>
    <row r="603">
      <c r="C603" s="79"/>
      <c r="D603" s="79"/>
      <c r="E603" s="79"/>
      <c r="O603" s="79"/>
      <c r="S603" s="79"/>
      <c r="T603" s="79"/>
      <c r="Y603" s="79"/>
      <c r="AE603" s="130"/>
      <c r="AG603" s="106"/>
    </row>
    <row r="604">
      <c r="C604" s="79"/>
      <c r="D604" s="79"/>
      <c r="E604" s="79"/>
      <c r="O604" s="79"/>
      <c r="S604" s="79"/>
      <c r="T604" s="79"/>
      <c r="Y604" s="79"/>
      <c r="AE604" s="130"/>
      <c r="AG604" s="106"/>
    </row>
    <row r="605">
      <c r="C605" s="79"/>
      <c r="D605" s="79"/>
      <c r="E605" s="79"/>
      <c r="O605" s="79"/>
      <c r="S605" s="79"/>
      <c r="T605" s="79"/>
      <c r="Y605" s="79"/>
      <c r="AE605" s="130"/>
      <c r="AG605" s="106"/>
    </row>
    <row r="606">
      <c r="C606" s="79"/>
      <c r="D606" s="79"/>
      <c r="E606" s="79"/>
      <c r="O606" s="79"/>
      <c r="S606" s="79"/>
      <c r="T606" s="79"/>
      <c r="Y606" s="79"/>
      <c r="AE606" s="130"/>
      <c r="AG606" s="106"/>
    </row>
    <row r="607">
      <c r="C607" s="79"/>
      <c r="D607" s="79"/>
      <c r="E607" s="79"/>
      <c r="O607" s="79"/>
      <c r="S607" s="79"/>
      <c r="T607" s="79"/>
      <c r="Y607" s="79"/>
      <c r="AE607" s="130"/>
      <c r="AG607" s="106"/>
    </row>
    <row r="608">
      <c r="C608" s="79"/>
      <c r="D608" s="79"/>
      <c r="E608" s="79"/>
      <c r="O608" s="79"/>
      <c r="S608" s="79"/>
      <c r="T608" s="79"/>
      <c r="Y608" s="79"/>
      <c r="AE608" s="130"/>
      <c r="AG608" s="106"/>
    </row>
    <row r="609">
      <c r="C609" s="79"/>
      <c r="D609" s="79"/>
      <c r="E609" s="79"/>
      <c r="O609" s="79"/>
      <c r="S609" s="79"/>
      <c r="T609" s="79"/>
      <c r="Y609" s="79"/>
      <c r="AE609" s="130"/>
      <c r="AG609" s="106"/>
    </row>
    <row r="610">
      <c r="C610" s="79"/>
      <c r="D610" s="79"/>
      <c r="E610" s="79"/>
      <c r="O610" s="79"/>
      <c r="S610" s="79"/>
      <c r="T610" s="79"/>
      <c r="Y610" s="79"/>
      <c r="AE610" s="130"/>
      <c r="AG610" s="106"/>
    </row>
    <row r="611">
      <c r="C611" s="79"/>
      <c r="D611" s="79"/>
      <c r="E611" s="79"/>
      <c r="O611" s="79"/>
      <c r="S611" s="79"/>
      <c r="T611" s="79"/>
      <c r="Y611" s="79"/>
      <c r="AE611" s="130"/>
      <c r="AG611" s="106"/>
    </row>
    <row r="612">
      <c r="C612" s="79"/>
      <c r="D612" s="79"/>
      <c r="E612" s="79"/>
      <c r="O612" s="79"/>
      <c r="S612" s="79"/>
      <c r="T612" s="79"/>
      <c r="Y612" s="79"/>
      <c r="AE612" s="130"/>
      <c r="AG612" s="106"/>
    </row>
    <row r="613">
      <c r="C613" s="79"/>
      <c r="D613" s="79"/>
      <c r="E613" s="79"/>
      <c r="O613" s="79"/>
      <c r="S613" s="79"/>
      <c r="T613" s="79"/>
      <c r="Y613" s="79"/>
      <c r="AE613" s="130"/>
      <c r="AG613" s="106"/>
    </row>
    <row r="614">
      <c r="C614" s="79"/>
      <c r="D614" s="79"/>
      <c r="E614" s="79"/>
      <c r="O614" s="79"/>
      <c r="S614" s="79"/>
      <c r="T614" s="79"/>
      <c r="Y614" s="79"/>
      <c r="AE614" s="130"/>
      <c r="AG614" s="106"/>
    </row>
    <row r="615">
      <c r="C615" s="79"/>
      <c r="D615" s="79"/>
      <c r="E615" s="79"/>
      <c r="O615" s="79"/>
      <c r="S615" s="79"/>
      <c r="T615" s="79"/>
      <c r="Y615" s="79"/>
      <c r="AE615" s="130"/>
      <c r="AG615" s="106"/>
    </row>
    <row r="616">
      <c r="C616" s="79"/>
      <c r="D616" s="79"/>
      <c r="E616" s="79"/>
      <c r="O616" s="79"/>
      <c r="S616" s="79"/>
      <c r="T616" s="79"/>
      <c r="Y616" s="79"/>
      <c r="AE616" s="130"/>
      <c r="AG616" s="106"/>
    </row>
    <row r="617">
      <c r="C617" s="79"/>
      <c r="D617" s="79"/>
      <c r="E617" s="79"/>
      <c r="O617" s="79"/>
      <c r="S617" s="79"/>
      <c r="T617" s="79"/>
      <c r="Y617" s="79"/>
      <c r="AE617" s="130"/>
      <c r="AG617" s="106"/>
    </row>
    <row r="618">
      <c r="C618" s="79"/>
      <c r="D618" s="79"/>
      <c r="E618" s="79"/>
      <c r="O618" s="79"/>
      <c r="S618" s="79"/>
      <c r="T618" s="79"/>
      <c r="Y618" s="79"/>
      <c r="AE618" s="130"/>
      <c r="AG618" s="106"/>
    </row>
    <row r="619">
      <c r="C619" s="79"/>
      <c r="D619" s="79"/>
      <c r="E619" s="79"/>
      <c r="O619" s="79"/>
      <c r="S619" s="79"/>
      <c r="T619" s="79"/>
      <c r="Y619" s="79"/>
      <c r="AE619" s="130"/>
      <c r="AG619" s="106"/>
    </row>
    <row r="620">
      <c r="C620" s="79"/>
      <c r="D620" s="79"/>
      <c r="E620" s="79"/>
      <c r="O620" s="79"/>
      <c r="S620" s="79"/>
      <c r="T620" s="79"/>
      <c r="Y620" s="79"/>
      <c r="AE620" s="130"/>
      <c r="AG620" s="106"/>
    </row>
    <row r="621">
      <c r="C621" s="79"/>
      <c r="D621" s="79"/>
      <c r="E621" s="79"/>
      <c r="O621" s="79"/>
      <c r="S621" s="79"/>
      <c r="T621" s="79"/>
      <c r="Y621" s="79"/>
      <c r="AE621" s="130"/>
      <c r="AG621" s="106"/>
    </row>
    <row r="622">
      <c r="C622" s="79"/>
      <c r="D622" s="79"/>
      <c r="E622" s="79"/>
      <c r="O622" s="79"/>
      <c r="S622" s="79"/>
      <c r="T622" s="79"/>
      <c r="Y622" s="79"/>
      <c r="AE622" s="130"/>
      <c r="AG622" s="106"/>
    </row>
    <row r="623">
      <c r="C623" s="79"/>
      <c r="D623" s="79"/>
      <c r="E623" s="79"/>
      <c r="O623" s="79"/>
      <c r="S623" s="79"/>
      <c r="T623" s="79"/>
      <c r="Y623" s="79"/>
      <c r="AE623" s="130"/>
      <c r="AG623" s="106"/>
    </row>
    <row r="624">
      <c r="C624" s="79"/>
      <c r="D624" s="79"/>
      <c r="E624" s="79"/>
      <c r="O624" s="79"/>
      <c r="S624" s="79"/>
      <c r="T624" s="79"/>
      <c r="Y624" s="79"/>
      <c r="AE624" s="130"/>
      <c r="AG624" s="106"/>
    </row>
    <row r="625">
      <c r="C625" s="79"/>
      <c r="D625" s="79"/>
      <c r="E625" s="79"/>
      <c r="O625" s="79"/>
      <c r="S625" s="79"/>
      <c r="T625" s="79"/>
      <c r="Y625" s="79"/>
      <c r="AE625" s="130"/>
      <c r="AG625" s="106"/>
    </row>
    <row r="626">
      <c r="C626" s="79"/>
      <c r="D626" s="79"/>
      <c r="E626" s="79"/>
      <c r="O626" s="79"/>
      <c r="S626" s="79"/>
      <c r="T626" s="79"/>
      <c r="Y626" s="79"/>
      <c r="AE626" s="130"/>
      <c r="AG626" s="106"/>
    </row>
    <row r="627">
      <c r="C627" s="79"/>
      <c r="D627" s="79"/>
      <c r="E627" s="79"/>
      <c r="O627" s="79"/>
      <c r="S627" s="79"/>
      <c r="T627" s="79"/>
      <c r="Y627" s="79"/>
      <c r="AE627" s="130"/>
      <c r="AG627" s="106"/>
    </row>
    <row r="628">
      <c r="C628" s="79"/>
      <c r="D628" s="79"/>
      <c r="E628" s="79"/>
      <c r="O628" s="79"/>
      <c r="S628" s="79"/>
      <c r="T628" s="79"/>
      <c r="Y628" s="79"/>
      <c r="AE628" s="130"/>
      <c r="AG628" s="106"/>
    </row>
    <row r="629">
      <c r="C629" s="79"/>
      <c r="D629" s="79"/>
      <c r="E629" s="79"/>
      <c r="O629" s="79"/>
      <c r="S629" s="79"/>
      <c r="T629" s="79"/>
      <c r="Y629" s="79"/>
      <c r="AE629" s="130"/>
      <c r="AG629" s="106"/>
    </row>
    <row r="630">
      <c r="C630" s="79"/>
      <c r="D630" s="79"/>
      <c r="E630" s="79"/>
      <c r="O630" s="79"/>
      <c r="S630" s="79"/>
      <c r="T630" s="79"/>
      <c r="Y630" s="79"/>
      <c r="AE630" s="130"/>
      <c r="AG630" s="106"/>
    </row>
    <row r="631">
      <c r="C631" s="79"/>
      <c r="D631" s="79"/>
      <c r="E631" s="79"/>
      <c r="O631" s="79"/>
      <c r="S631" s="79"/>
      <c r="T631" s="79"/>
      <c r="Y631" s="79"/>
      <c r="AE631" s="130"/>
      <c r="AG631" s="106"/>
    </row>
    <row r="632">
      <c r="C632" s="79"/>
      <c r="D632" s="79"/>
      <c r="E632" s="79"/>
      <c r="O632" s="79"/>
      <c r="S632" s="79"/>
      <c r="T632" s="79"/>
      <c r="Y632" s="79"/>
      <c r="AE632" s="130"/>
      <c r="AG632" s="106"/>
    </row>
    <row r="633">
      <c r="C633" s="79"/>
      <c r="D633" s="79"/>
      <c r="E633" s="79"/>
      <c r="O633" s="79"/>
      <c r="S633" s="79"/>
      <c r="T633" s="79"/>
      <c r="Y633" s="79"/>
      <c r="AE633" s="130"/>
      <c r="AG633" s="106"/>
    </row>
    <row r="634">
      <c r="C634" s="79"/>
      <c r="D634" s="79"/>
      <c r="E634" s="79"/>
      <c r="O634" s="79"/>
      <c r="S634" s="79"/>
      <c r="T634" s="79"/>
      <c r="Y634" s="79"/>
      <c r="AE634" s="130"/>
      <c r="AG634" s="106"/>
    </row>
    <row r="635">
      <c r="C635" s="79"/>
      <c r="D635" s="79"/>
      <c r="E635" s="79"/>
      <c r="O635" s="79"/>
      <c r="S635" s="79"/>
      <c r="T635" s="79"/>
      <c r="Y635" s="79"/>
      <c r="AE635" s="130"/>
      <c r="AG635" s="106"/>
    </row>
    <row r="636">
      <c r="C636" s="79"/>
      <c r="D636" s="79"/>
      <c r="E636" s="79"/>
      <c r="O636" s="79"/>
      <c r="S636" s="79"/>
      <c r="T636" s="79"/>
      <c r="Y636" s="79"/>
      <c r="AE636" s="130"/>
      <c r="AG636" s="106"/>
    </row>
    <row r="637">
      <c r="C637" s="79"/>
      <c r="D637" s="79"/>
      <c r="E637" s="79"/>
      <c r="O637" s="79"/>
      <c r="S637" s="79"/>
      <c r="T637" s="79"/>
      <c r="Y637" s="79"/>
      <c r="AE637" s="130"/>
      <c r="AG637" s="106"/>
    </row>
    <row r="638">
      <c r="C638" s="79"/>
      <c r="D638" s="79"/>
      <c r="E638" s="79"/>
      <c r="O638" s="79"/>
      <c r="S638" s="79"/>
      <c r="T638" s="79"/>
      <c r="Y638" s="79"/>
      <c r="AE638" s="130"/>
      <c r="AG638" s="106"/>
    </row>
    <row r="639">
      <c r="C639" s="79"/>
      <c r="D639" s="79"/>
      <c r="E639" s="79"/>
      <c r="O639" s="79"/>
      <c r="S639" s="79"/>
      <c r="T639" s="79"/>
      <c r="Y639" s="79"/>
      <c r="AE639" s="130"/>
      <c r="AG639" s="106"/>
    </row>
    <row r="640">
      <c r="C640" s="79"/>
      <c r="D640" s="79"/>
      <c r="E640" s="79"/>
      <c r="O640" s="79"/>
      <c r="S640" s="79"/>
      <c r="T640" s="79"/>
      <c r="Y640" s="79"/>
      <c r="AE640" s="130"/>
      <c r="AG640" s="106"/>
    </row>
    <row r="641">
      <c r="C641" s="79"/>
      <c r="D641" s="79"/>
      <c r="E641" s="79"/>
      <c r="O641" s="79"/>
      <c r="S641" s="79"/>
      <c r="T641" s="79"/>
      <c r="Y641" s="79"/>
      <c r="AE641" s="130"/>
      <c r="AG641" s="106"/>
    </row>
    <row r="642">
      <c r="C642" s="79"/>
      <c r="D642" s="79"/>
      <c r="E642" s="79"/>
      <c r="O642" s="79"/>
      <c r="S642" s="79"/>
      <c r="T642" s="79"/>
      <c r="Y642" s="79"/>
      <c r="AE642" s="130"/>
      <c r="AG642" s="106"/>
    </row>
    <row r="643">
      <c r="C643" s="79"/>
      <c r="D643" s="79"/>
      <c r="E643" s="79"/>
      <c r="O643" s="79"/>
      <c r="S643" s="79"/>
      <c r="T643" s="79"/>
      <c r="Y643" s="79"/>
      <c r="AE643" s="130"/>
      <c r="AG643" s="106"/>
    </row>
    <row r="644">
      <c r="C644" s="79"/>
      <c r="D644" s="79"/>
      <c r="E644" s="79"/>
      <c r="O644" s="79"/>
      <c r="S644" s="79"/>
      <c r="T644" s="79"/>
      <c r="Y644" s="79"/>
      <c r="AE644" s="130"/>
      <c r="AG644" s="106"/>
    </row>
    <row r="645">
      <c r="C645" s="79"/>
      <c r="D645" s="79"/>
      <c r="E645" s="79"/>
      <c r="O645" s="79"/>
      <c r="S645" s="79"/>
      <c r="T645" s="79"/>
      <c r="Y645" s="79"/>
      <c r="AE645" s="130"/>
      <c r="AG645" s="106"/>
    </row>
    <row r="646">
      <c r="C646" s="79"/>
      <c r="D646" s="79"/>
      <c r="E646" s="79"/>
      <c r="O646" s="79"/>
      <c r="S646" s="79"/>
      <c r="T646" s="79"/>
      <c r="Y646" s="79"/>
      <c r="AE646" s="130"/>
      <c r="AG646" s="106"/>
    </row>
    <row r="647">
      <c r="C647" s="79"/>
      <c r="D647" s="79"/>
      <c r="E647" s="79"/>
      <c r="O647" s="79"/>
      <c r="S647" s="79"/>
      <c r="T647" s="79"/>
      <c r="Y647" s="79"/>
      <c r="AE647" s="130"/>
      <c r="AG647" s="106"/>
    </row>
    <row r="648">
      <c r="C648" s="79"/>
      <c r="D648" s="79"/>
      <c r="E648" s="79"/>
      <c r="O648" s="79"/>
      <c r="S648" s="79"/>
      <c r="T648" s="79"/>
      <c r="Y648" s="79"/>
      <c r="AE648" s="130"/>
      <c r="AG648" s="106"/>
    </row>
    <row r="649">
      <c r="C649" s="79"/>
      <c r="D649" s="79"/>
      <c r="E649" s="79"/>
      <c r="O649" s="79"/>
      <c r="S649" s="79"/>
      <c r="T649" s="79"/>
      <c r="Y649" s="79"/>
      <c r="AE649" s="130"/>
      <c r="AG649" s="106"/>
    </row>
    <row r="650">
      <c r="C650" s="79"/>
      <c r="D650" s="79"/>
      <c r="E650" s="79"/>
      <c r="O650" s="79"/>
      <c r="S650" s="79"/>
      <c r="T650" s="79"/>
      <c r="Y650" s="79"/>
      <c r="AE650" s="130"/>
      <c r="AG650" s="106"/>
    </row>
    <row r="651">
      <c r="C651" s="79"/>
      <c r="D651" s="79"/>
      <c r="E651" s="79"/>
      <c r="O651" s="79"/>
      <c r="S651" s="79"/>
      <c r="T651" s="79"/>
      <c r="Y651" s="79"/>
      <c r="AE651" s="130"/>
      <c r="AG651" s="106"/>
    </row>
    <row r="652">
      <c r="C652" s="79"/>
      <c r="D652" s="79"/>
      <c r="E652" s="79"/>
      <c r="O652" s="79"/>
      <c r="S652" s="79"/>
      <c r="T652" s="79"/>
      <c r="Y652" s="79"/>
      <c r="AE652" s="130"/>
      <c r="AG652" s="106"/>
    </row>
    <row r="653">
      <c r="C653" s="79"/>
      <c r="D653" s="79"/>
      <c r="E653" s="79"/>
      <c r="O653" s="79"/>
      <c r="S653" s="79"/>
      <c r="T653" s="79"/>
      <c r="Y653" s="79"/>
      <c r="AE653" s="130"/>
      <c r="AG653" s="106"/>
    </row>
    <row r="654">
      <c r="C654" s="79"/>
      <c r="D654" s="79"/>
      <c r="E654" s="79"/>
      <c r="O654" s="79"/>
      <c r="S654" s="79"/>
      <c r="T654" s="79"/>
      <c r="Y654" s="79"/>
      <c r="AE654" s="130"/>
      <c r="AG654" s="106"/>
    </row>
    <row r="655">
      <c r="C655" s="79"/>
      <c r="D655" s="79"/>
      <c r="E655" s="79"/>
      <c r="O655" s="79"/>
      <c r="S655" s="79"/>
      <c r="T655" s="79"/>
      <c r="Y655" s="79"/>
      <c r="AE655" s="130"/>
      <c r="AG655" s="106"/>
    </row>
    <row r="656">
      <c r="C656" s="79"/>
      <c r="D656" s="79"/>
      <c r="E656" s="79"/>
      <c r="O656" s="79"/>
      <c r="S656" s="79"/>
      <c r="T656" s="79"/>
      <c r="Y656" s="79"/>
      <c r="AE656" s="130"/>
      <c r="AG656" s="106"/>
    </row>
    <row r="657">
      <c r="C657" s="79"/>
      <c r="D657" s="79"/>
      <c r="E657" s="79"/>
      <c r="O657" s="79"/>
      <c r="S657" s="79"/>
      <c r="T657" s="79"/>
      <c r="Y657" s="79"/>
      <c r="AE657" s="130"/>
      <c r="AG657" s="106"/>
    </row>
    <row r="658">
      <c r="C658" s="79"/>
      <c r="D658" s="79"/>
      <c r="E658" s="79"/>
      <c r="O658" s="79"/>
      <c r="S658" s="79"/>
      <c r="T658" s="79"/>
      <c r="Y658" s="79"/>
      <c r="AE658" s="130"/>
      <c r="AG658" s="106"/>
    </row>
    <row r="659">
      <c r="C659" s="79"/>
      <c r="D659" s="79"/>
      <c r="E659" s="79"/>
      <c r="O659" s="79"/>
      <c r="S659" s="79"/>
      <c r="T659" s="79"/>
      <c r="Y659" s="79"/>
      <c r="AE659" s="130"/>
      <c r="AG659" s="106"/>
    </row>
    <row r="660">
      <c r="C660" s="79"/>
      <c r="D660" s="79"/>
      <c r="E660" s="79"/>
      <c r="O660" s="79"/>
      <c r="S660" s="79"/>
      <c r="T660" s="79"/>
      <c r="Y660" s="79"/>
      <c r="AE660" s="130"/>
      <c r="AG660" s="106"/>
    </row>
    <row r="661">
      <c r="C661" s="79"/>
      <c r="D661" s="79"/>
      <c r="E661" s="79"/>
      <c r="O661" s="79"/>
      <c r="S661" s="79"/>
      <c r="T661" s="79"/>
      <c r="Y661" s="79"/>
      <c r="AE661" s="130"/>
      <c r="AG661" s="106"/>
    </row>
    <row r="662">
      <c r="C662" s="79"/>
      <c r="D662" s="79"/>
      <c r="E662" s="79"/>
      <c r="O662" s="79"/>
      <c r="S662" s="79"/>
      <c r="T662" s="79"/>
      <c r="Y662" s="79"/>
      <c r="AE662" s="130"/>
      <c r="AG662" s="106"/>
    </row>
    <row r="663">
      <c r="C663" s="79"/>
      <c r="D663" s="79"/>
      <c r="E663" s="79"/>
      <c r="O663" s="79"/>
      <c r="S663" s="79"/>
      <c r="T663" s="79"/>
      <c r="Y663" s="79"/>
      <c r="AE663" s="130"/>
      <c r="AG663" s="106"/>
    </row>
    <row r="664">
      <c r="C664" s="79"/>
      <c r="D664" s="79"/>
      <c r="E664" s="79"/>
      <c r="O664" s="79"/>
      <c r="S664" s="79"/>
      <c r="T664" s="79"/>
      <c r="Y664" s="79"/>
      <c r="AE664" s="130"/>
      <c r="AG664" s="106"/>
    </row>
    <row r="665">
      <c r="C665" s="79"/>
      <c r="D665" s="79"/>
      <c r="E665" s="79"/>
      <c r="O665" s="79"/>
      <c r="S665" s="79"/>
      <c r="T665" s="79"/>
      <c r="Y665" s="79"/>
      <c r="AE665" s="130"/>
      <c r="AG665" s="106"/>
    </row>
    <row r="666">
      <c r="C666" s="79"/>
      <c r="D666" s="79"/>
      <c r="E666" s="79"/>
      <c r="O666" s="79"/>
      <c r="S666" s="79"/>
      <c r="T666" s="79"/>
      <c r="Y666" s="79"/>
      <c r="AE666" s="130"/>
      <c r="AG666" s="106"/>
    </row>
    <row r="667">
      <c r="C667" s="79"/>
      <c r="D667" s="79"/>
      <c r="E667" s="79"/>
      <c r="O667" s="79"/>
      <c r="S667" s="79"/>
      <c r="T667" s="79"/>
      <c r="Y667" s="79"/>
      <c r="AE667" s="130"/>
      <c r="AG667" s="106"/>
    </row>
    <row r="668">
      <c r="C668" s="79"/>
      <c r="D668" s="79"/>
      <c r="E668" s="79"/>
      <c r="O668" s="79"/>
      <c r="S668" s="79"/>
      <c r="T668" s="79"/>
      <c r="Y668" s="79"/>
      <c r="AE668" s="130"/>
      <c r="AG668" s="106"/>
    </row>
    <row r="669">
      <c r="C669" s="79"/>
      <c r="D669" s="79"/>
      <c r="E669" s="79"/>
      <c r="O669" s="79"/>
      <c r="S669" s="79"/>
      <c r="T669" s="79"/>
      <c r="Y669" s="79"/>
      <c r="AE669" s="130"/>
      <c r="AG669" s="106"/>
    </row>
    <row r="670">
      <c r="C670" s="79"/>
      <c r="D670" s="79"/>
      <c r="E670" s="79"/>
      <c r="O670" s="79"/>
      <c r="S670" s="79"/>
      <c r="T670" s="79"/>
      <c r="Y670" s="79"/>
      <c r="AE670" s="130"/>
      <c r="AG670" s="106"/>
    </row>
    <row r="671">
      <c r="C671" s="79"/>
      <c r="D671" s="79"/>
      <c r="E671" s="79"/>
      <c r="O671" s="79"/>
      <c r="S671" s="79"/>
      <c r="T671" s="79"/>
      <c r="Y671" s="79"/>
      <c r="AE671" s="130"/>
      <c r="AG671" s="106"/>
    </row>
    <row r="672">
      <c r="C672" s="79"/>
      <c r="D672" s="79"/>
      <c r="E672" s="79"/>
      <c r="O672" s="79"/>
      <c r="S672" s="79"/>
      <c r="T672" s="79"/>
      <c r="Y672" s="79"/>
      <c r="AE672" s="130"/>
      <c r="AG672" s="106"/>
    </row>
    <row r="673">
      <c r="C673" s="79"/>
      <c r="D673" s="79"/>
      <c r="E673" s="79"/>
      <c r="O673" s="79"/>
      <c r="S673" s="79"/>
      <c r="T673" s="79"/>
      <c r="Y673" s="79"/>
      <c r="AE673" s="130"/>
      <c r="AG673" s="106"/>
    </row>
    <row r="674">
      <c r="C674" s="79"/>
      <c r="D674" s="79"/>
      <c r="E674" s="79"/>
      <c r="O674" s="79"/>
      <c r="S674" s="79"/>
      <c r="T674" s="79"/>
      <c r="Y674" s="79"/>
      <c r="AE674" s="130"/>
      <c r="AG674" s="106"/>
    </row>
    <row r="675">
      <c r="C675" s="79"/>
      <c r="D675" s="79"/>
      <c r="E675" s="79"/>
      <c r="O675" s="79"/>
      <c r="S675" s="79"/>
      <c r="T675" s="79"/>
      <c r="Y675" s="79"/>
      <c r="AE675" s="130"/>
      <c r="AG675" s="106"/>
    </row>
    <row r="676">
      <c r="C676" s="79"/>
      <c r="D676" s="79"/>
      <c r="E676" s="79"/>
      <c r="O676" s="79"/>
      <c r="S676" s="79"/>
      <c r="T676" s="79"/>
      <c r="Y676" s="79"/>
      <c r="AE676" s="130"/>
      <c r="AG676" s="106"/>
    </row>
    <row r="677">
      <c r="C677" s="79"/>
      <c r="D677" s="79"/>
      <c r="E677" s="79"/>
      <c r="O677" s="79"/>
      <c r="S677" s="79"/>
      <c r="T677" s="79"/>
      <c r="Y677" s="79"/>
      <c r="AE677" s="130"/>
      <c r="AG677" s="106"/>
    </row>
    <row r="678">
      <c r="C678" s="79"/>
      <c r="D678" s="79"/>
      <c r="E678" s="79"/>
      <c r="O678" s="79"/>
      <c r="S678" s="79"/>
      <c r="T678" s="79"/>
      <c r="Y678" s="79"/>
      <c r="AE678" s="130"/>
      <c r="AG678" s="106"/>
    </row>
    <row r="679">
      <c r="C679" s="79"/>
      <c r="D679" s="79"/>
      <c r="E679" s="79"/>
      <c r="O679" s="79"/>
      <c r="S679" s="79"/>
      <c r="T679" s="79"/>
      <c r="Y679" s="79"/>
      <c r="AE679" s="130"/>
      <c r="AG679" s="106"/>
    </row>
    <row r="680">
      <c r="C680" s="79"/>
      <c r="D680" s="79"/>
      <c r="E680" s="79"/>
      <c r="O680" s="79"/>
      <c r="S680" s="79"/>
      <c r="T680" s="79"/>
      <c r="Y680" s="79"/>
      <c r="AE680" s="130"/>
      <c r="AG680" s="106"/>
    </row>
    <row r="681">
      <c r="C681" s="79"/>
      <c r="D681" s="79"/>
      <c r="E681" s="79"/>
      <c r="O681" s="79"/>
      <c r="S681" s="79"/>
      <c r="T681" s="79"/>
      <c r="Y681" s="79"/>
      <c r="AE681" s="130"/>
      <c r="AG681" s="106"/>
    </row>
    <row r="682">
      <c r="C682" s="79"/>
      <c r="D682" s="79"/>
      <c r="E682" s="79"/>
      <c r="O682" s="79"/>
      <c r="S682" s="79"/>
      <c r="T682" s="79"/>
      <c r="Y682" s="79"/>
      <c r="AE682" s="130"/>
      <c r="AG682" s="106"/>
    </row>
    <row r="683">
      <c r="C683" s="79"/>
      <c r="D683" s="79"/>
      <c r="E683" s="79"/>
      <c r="O683" s="79"/>
      <c r="S683" s="79"/>
      <c r="T683" s="79"/>
      <c r="Y683" s="79"/>
      <c r="AE683" s="130"/>
      <c r="AG683" s="106"/>
    </row>
    <row r="684">
      <c r="C684" s="79"/>
      <c r="D684" s="79"/>
      <c r="E684" s="79"/>
      <c r="O684" s="79"/>
      <c r="S684" s="79"/>
      <c r="T684" s="79"/>
      <c r="Y684" s="79"/>
      <c r="AE684" s="130"/>
      <c r="AG684" s="106"/>
    </row>
    <row r="685">
      <c r="C685" s="79"/>
      <c r="D685" s="79"/>
      <c r="E685" s="79"/>
      <c r="O685" s="79"/>
      <c r="S685" s="79"/>
      <c r="T685" s="79"/>
      <c r="Y685" s="79"/>
      <c r="AE685" s="130"/>
      <c r="AG685" s="106"/>
    </row>
    <row r="686">
      <c r="C686" s="79"/>
      <c r="D686" s="79"/>
      <c r="E686" s="79"/>
      <c r="O686" s="79"/>
      <c r="S686" s="79"/>
      <c r="T686" s="79"/>
      <c r="Y686" s="79"/>
      <c r="AE686" s="130"/>
      <c r="AG686" s="106"/>
    </row>
    <row r="687">
      <c r="C687" s="79"/>
      <c r="D687" s="79"/>
      <c r="E687" s="79"/>
      <c r="O687" s="79"/>
      <c r="S687" s="79"/>
      <c r="T687" s="79"/>
      <c r="Y687" s="79"/>
      <c r="AE687" s="130"/>
      <c r="AG687" s="106"/>
    </row>
    <row r="688">
      <c r="C688" s="79"/>
      <c r="D688" s="79"/>
      <c r="E688" s="79"/>
      <c r="O688" s="79"/>
      <c r="S688" s="79"/>
      <c r="T688" s="79"/>
      <c r="Y688" s="79"/>
      <c r="AE688" s="130"/>
      <c r="AG688" s="106"/>
    </row>
    <row r="689">
      <c r="C689" s="79"/>
      <c r="D689" s="79"/>
      <c r="E689" s="79"/>
      <c r="O689" s="79"/>
      <c r="S689" s="79"/>
      <c r="T689" s="79"/>
      <c r="Y689" s="79"/>
      <c r="AE689" s="130"/>
      <c r="AG689" s="106"/>
    </row>
    <row r="690">
      <c r="C690" s="79"/>
      <c r="D690" s="79"/>
      <c r="E690" s="79"/>
      <c r="O690" s="79"/>
      <c r="S690" s="79"/>
      <c r="T690" s="79"/>
      <c r="Y690" s="79"/>
      <c r="AE690" s="130"/>
      <c r="AG690" s="106"/>
    </row>
    <row r="691">
      <c r="C691" s="79"/>
      <c r="D691" s="79"/>
      <c r="E691" s="79"/>
      <c r="O691" s="79"/>
      <c r="S691" s="79"/>
      <c r="T691" s="79"/>
      <c r="Y691" s="79"/>
      <c r="AE691" s="130"/>
      <c r="AG691" s="106"/>
    </row>
    <row r="692">
      <c r="C692" s="79"/>
      <c r="D692" s="79"/>
      <c r="E692" s="79"/>
      <c r="O692" s="79"/>
      <c r="S692" s="79"/>
      <c r="T692" s="79"/>
      <c r="Y692" s="79"/>
      <c r="AE692" s="130"/>
      <c r="AG692" s="106"/>
    </row>
    <row r="693">
      <c r="C693" s="79"/>
      <c r="D693" s="79"/>
      <c r="E693" s="79"/>
      <c r="O693" s="79"/>
      <c r="S693" s="79"/>
      <c r="T693" s="79"/>
      <c r="Y693" s="79"/>
      <c r="AE693" s="130"/>
      <c r="AG693" s="106"/>
    </row>
    <row r="694">
      <c r="C694" s="79"/>
      <c r="D694" s="79"/>
      <c r="E694" s="79"/>
      <c r="O694" s="79"/>
      <c r="S694" s="79"/>
      <c r="T694" s="79"/>
      <c r="Y694" s="79"/>
      <c r="AE694" s="130"/>
      <c r="AG694" s="106"/>
    </row>
    <row r="695">
      <c r="C695" s="79"/>
      <c r="D695" s="79"/>
      <c r="E695" s="79"/>
      <c r="O695" s="79"/>
      <c r="S695" s="79"/>
      <c r="T695" s="79"/>
      <c r="Y695" s="79"/>
      <c r="AE695" s="130"/>
      <c r="AG695" s="106"/>
    </row>
    <row r="696">
      <c r="C696" s="79"/>
      <c r="D696" s="79"/>
      <c r="E696" s="79"/>
      <c r="O696" s="79"/>
      <c r="S696" s="79"/>
      <c r="T696" s="79"/>
      <c r="Y696" s="79"/>
      <c r="AE696" s="130"/>
      <c r="AG696" s="106"/>
    </row>
    <row r="697">
      <c r="C697" s="79"/>
      <c r="D697" s="79"/>
      <c r="E697" s="79"/>
      <c r="O697" s="79"/>
      <c r="S697" s="79"/>
      <c r="T697" s="79"/>
      <c r="Y697" s="79"/>
      <c r="AE697" s="130"/>
      <c r="AG697" s="106"/>
    </row>
    <row r="698">
      <c r="C698" s="79"/>
      <c r="D698" s="79"/>
      <c r="E698" s="79"/>
      <c r="O698" s="79"/>
      <c r="S698" s="79"/>
      <c r="T698" s="79"/>
      <c r="Y698" s="79"/>
      <c r="AE698" s="130"/>
      <c r="AG698" s="106"/>
    </row>
    <row r="699">
      <c r="C699" s="79"/>
      <c r="D699" s="79"/>
      <c r="E699" s="79"/>
      <c r="O699" s="79"/>
      <c r="S699" s="79"/>
      <c r="T699" s="79"/>
      <c r="Y699" s="79"/>
      <c r="AE699" s="130"/>
      <c r="AG699" s="106"/>
    </row>
    <row r="700">
      <c r="C700" s="79"/>
      <c r="D700" s="79"/>
      <c r="E700" s="79"/>
      <c r="O700" s="79"/>
      <c r="S700" s="79"/>
      <c r="T700" s="79"/>
      <c r="Y700" s="79"/>
      <c r="AE700" s="130"/>
      <c r="AG700" s="106"/>
    </row>
    <row r="701">
      <c r="C701" s="79"/>
      <c r="D701" s="79"/>
      <c r="E701" s="79"/>
      <c r="O701" s="79"/>
      <c r="S701" s="79"/>
      <c r="T701" s="79"/>
      <c r="Y701" s="79"/>
      <c r="AE701" s="130"/>
      <c r="AG701" s="106"/>
    </row>
    <row r="702">
      <c r="C702" s="79"/>
      <c r="D702" s="79"/>
      <c r="E702" s="79"/>
      <c r="O702" s="79"/>
      <c r="S702" s="79"/>
      <c r="T702" s="79"/>
      <c r="Y702" s="79"/>
      <c r="AE702" s="130"/>
      <c r="AG702" s="106"/>
    </row>
    <row r="703">
      <c r="C703" s="79"/>
      <c r="D703" s="79"/>
      <c r="E703" s="79"/>
      <c r="O703" s="79"/>
      <c r="S703" s="79"/>
      <c r="T703" s="79"/>
      <c r="Y703" s="79"/>
      <c r="AE703" s="130"/>
      <c r="AG703" s="106"/>
    </row>
    <row r="704">
      <c r="C704" s="79"/>
      <c r="D704" s="79"/>
      <c r="E704" s="79"/>
      <c r="O704" s="79"/>
      <c r="S704" s="79"/>
      <c r="T704" s="79"/>
      <c r="Y704" s="79"/>
      <c r="AE704" s="130"/>
      <c r="AG704" s="106"/>
    </row>
    <row r="705">
      <c r="C705" s="79"/>
      <c r="D705" s="79"/>
      <c r="E705" s="79"/>
      <c r="O705" s="79"/>
      <c r="S705" s="79"/>
      <c r="T705" s="79"/>
      <c r="Y705" s="79"/>
      <c r="AE705" s="130"/>
      <c r="AG705" s="106"/>
    </row>
    <row r="706">
      <c r="C706" s="79"/>
      <c r="D706" s="79"/>
      <c r="E706" s="79"/>
      <c r="O706" s="79"/>
      <c r="S706" s="79"/>
      <c r="T706" s="79"/>
      <c r="Y706" s="79"/>
      <c r="AE706" s="130"/>
      <c r="AG706" s="106"/>
    </row>
    <row r="707">
      <c r="C707" s="79"/>
      <c r="D707" s="79"/>
      <c r="E707" s="79"/>
      <c r="O707" s="79"/>
      <c r="S707" s="79"/>
      <c r="T707" s="79"/>
      <c r="Y707" s="79"/>
      <c r="AE707" s="130"/>
      <c r="AG707" s="106"/>
    </row>
    <row r="708">
      <c r="C708" s="79"/>
      <c r="D708" s="79"/>
      <c r="E708" s="79"/>
      <c r="O708" s="79"/>
      <c r="S708" s="79"/>
      <c r="T708" s="79"/>
      <c r="Y708" s="79"/>
      <c r="AE708" s="130"/>
      <c r="AG708" s="106"/>
    </row>
    <row r="709">
      <c r="C709" s="79"/>
      <c r="D709" s="79"/>
      <c r="E709" s="79"/>
      <c r="O709" s="79"/>
      <c r="S709" s="79"/>
      <c r="T709" s="79"/>
      <c r="Y709" s="79"/>
      <c r="AE709" s="130"/>
      <c r="AG709" s="106"/>
    </row>
    <row r="710">
      <c r="C710" s="79"/>
      <c r="D710" s="79"/>
      <c r="E710" s="79"/>
      <c r="O710" s="79"/>
      <c r="S710" s="79"/>
      <c r="T710" s="79"/>
      <c r="Y710" s="79"/>
      <c r="AE710" s="130"/>
      <c r="AG710" s="106"/>
    </row>
    <row r="711">
      <c r="C711" s="79"/>
      <c r="D711" s="79"/>
      <c r="E711" s="79"/>
      <c r="O711" s="79"/>
      <c r="S711" s="79"/>
      <c r="T711" s="79"/>
      <c r="Y711" s="79"/>
      <c r="AE711" s="130"/>
      <c r="AG711" s="106"/>
    </row>
    <row r="712">
      <c r="C712" s="79"/>
      <c r="D712" s="79"/>
      <c r="E712" s="79"/>
      <c r="O712" s="79"/>
      <c r="S712" s="79"/>
      <c r="T712" s="79"/>
      <c r="Y712" s="79"/>
      <c r="AE712" s="130"/>
      <c r="AG712" s="106"/>
    </row>
    <row r="713">
      <c r="C713" s="79"/>
      <c r="D713" s="79"/>
      <c r="E713" s="79"/>
      <c r="O713" s="79"/>
      <c r="S713" s="79"/>
      <c r="T713" s="79"/>
      <c r="Y713" s="79"/>
      <c r="AE713" s="130"/>
      <c r="AG713" s="106"/>
    </row>
    <row r="714">
      <c r="C714" s="79"/>
      <c r="D714" s="79"/>
      <c r="E714" s="79"/>
      <c r="O714" s="79"/>
      <c r="S714" s="79"/>
      <c r="T714" s="79"/>
      <c r="Y714" s="79"/>
      <c r="AE714" s="130"/>
      <c r="AG714" s="106"/>
    </row>
    <row r="715">
      <c r="C715" s="79"/>
      <c r="D715" s="79"/>
      <c r="E715" s="79"/>
      <c r="O715" s="79"/>
      <c r="S715" s="79"/>
      <c r="T715" s="79"/>
      <c r="Y715" s="79"/>
      <c r="AE715" s="130"/>
      <c r="AG715" s="106"/>
    </row>
    <row r="716">
      <c r="C716" s="79"/>
      <c r="D716" s="79"/>
      <c r="E716" s="79"/>
      <c r="O716" s="79"/>
      <c r="S716" s="79"/>
      <c r="T716" s="79"/>
      <c r="Y716" s="79"/>
      <c r="AE716" s="130"/>
      <c r="AG716" s="106"/>
    </row>
    <row r="717">
      <c r="C717" s="79"/>
      <c r="D717" s="79"/>
      <c r="E717" s="79"/>
      <c r="O717" s="79"/>
      <c r="S717" s="79"/>
      <c r="T717" s="79"/>
      <c r="Y717" s="79"/>
      <c r="AE717" s="130"/>
      <c r="AG717" s="106"/>
    </row>
    <row r="718">
      <c r="C718" s="79"/>
      <c r="D718" s="79"/>
      <c r="E718" s="79"/>
      <c r="O718" s="79"/>
      <c r="S718" s="79"/>
      <c r="T718" s="79"/>
      <c r="Y718" s="79"/>
      <c r="AE718" s="130"/>
      <c r="AG718" s="106"/>
    </row>
    <row r="719">
      <c r="C719" s="79"/>
      <c r="D719" s="79"/>
      <c r="E719" s="79"/>
      <c r="O719" s="79"/>
      <c r="S719" s="79"/>
      <c r="T719" s="79"/>
      <c r="Y719" s="79"/>
      <c r="AE719" s="130"/>
      <c r="AG719" s="106"/>
    </row>
    <row r="720">
      <c r="C720" s="79"/>
      <c r="D720" s="79"/>
      <c r="E720" s="79"/>
      <c r="O720" s="79"/>
      <c r="S720" s="79"/>
      <c r="T720" s="79"/>
      <c r="Y720" s="79"/>
      <c r="AE720" s="130"/>
      <c r="AG720" s="106"/>
    </row>
    <row r="721">
      <c r="C721" s="79"/>
      <c r="D721" s="79"/>
      <c r="E721" s="79"/>
      <c r="O721" s="79"/>
      <c r="S721" s="79"/>
      <c r="T721" s="79"/>
      <c r="Y721" s="79"/>
      <c r="AE721" s="130"/>
      <c r="AG721" s="106"/>
    </row>
    <row r="722">
      <c r="C722" s="79"/>
      <c r="D722" s="79"/>
      <c r="E722" s="79"/>
      <c r="O722" s="79"/>
      <c r="S722" s="79"/>
      <c r="T722" s="79"/>
      <c r="Y722" s="79"/>
      <c r="AE722" s="130"/>
      <c r="AG722" s="106"/>
    </row>
    <row r="723">
      <c r="C723" s="79"/>
      <c r="D723" s="79"/>
      <c r="E723" s="79"/>
      <c r="O723" s="79"/>
      <c r="S723" s="79"/>
      <c r="T723" s="79"/>
      <c r="Y723" s="79"/>
      <c r="AE723" s="130"/>
      <c r="AG723" s="106"/>
    </row>
    <row r="724">
      <c r="C724" s="79"/>
      <c r="D724" s="79"/>
      <c r="E724" s="79"/>
      <c r="O724" s="79"/>
      <c r="S724" s="79"/>
      <c r="T724" s="79"/>
      <c r="Y724" s="79"/>
      <c r="AE724" s="130"/>
      <c r="AG724" s="106"/>
    </row>
    <row r="725">
      <c r="C725" s="79"/>
      <c r="D725" s="79"/>
      <c r="E725" s="79"/>
      <c r="O725" s="79"/>
      <c r="S725" s="79"/>
      <c r="T725" s="79"/>
      <c r="Y725" s="79"/>
      <c r="AE725" s="130"/>
      <c r="AG725" s="106"/>
    </row>
    <row r="726">
      <c r="C726" s="79"/>
      <c r="D726" s="79"/>
      <c r="E726" s="79"/>
      <c r="O726" s="79"/>
      <c r="S726" s="79"/>
      <c r="T726" s="79"/>
      <c r="Y726" s="79"/>
      <c r="AE726" s="130"/>
      <c r="AG726" s="106"/>
    </row>
    <row r="727">
      <c r="C727" s="79"/>
      <c r="D727" s="79"/>
      <c r="E727" s="79"/>
      <c r="O727" s="79"/>
      <c r="S727" s="79"/>
      <c r="T727" s="79"/>
      <c r="Y727" s="79"/>
      <c r="AE727" s="130"/>
      <c r="AG727" s="106"/>
    </row>
    <row r="728">
      <c r="C728" s="79"/>
      <c r="D728" s="79"/>
      <c r="E728" s="79"/>
      <c r="O728" s="79"/>
      <c r="S728" s="79"/>
      <c r="T728" s="79"/>
      <c r="Y728" s="79"/>
      <c r="AE728" s="130"/>
      <c r="AG728" s="106"/>
    </row>
    <row r="729">
      <c r="C729" s="79"/>
      <c r="D729" s="79"/>
      <c r="E729" s="79"/>
      <c r="O729" s="79"/>
      <c r="S729" s="79"/>
      <c r="T729" s="79"/>
      <c r="Y729" s="79"/>
      <c r="AE729" s="130"/>
      <c r="AG729" s="106"/>
    </row>
    <row r="730">
      <c r="C730" s="79"/>
      <c r="D730" s="79"/>
      <c r="E730" s="79"/>
      <c r="O730" s="79"/>
      <c r="S730" s="79"/>
      <c r="T730" s="79"/>
      <c r="Y730" s="79"/>
      <c r="AE730" s="130"/>
      <c r="AG730" s="106"/>
    </row>
    <row r="731">
      <c r="C731" s="79"/>
      <c r="D731" s="79"/>
      <c r="E731" s="79"/>
      <c r="O731" s="79"/>
      <c r="S731" s="79"/>
      <c r="T731" s="79"/>
      <c r="Y731" s="79"/>
      <c r="AE731" s="130"/>
      <c r="AG731" s="106"/>
    </row>
    <row r="732">
      <c r="C732" s="79"/>
      <c r="D732" s="79"/>
      <c r="E732" s="79"/>
      <c r="O732" s="79"/>
      <c r="S732" s="79"/>
      <c r="T732" s="79"/>
      <c r="Y732" s="79"/>
      <c r="AE732" s="130"/>
      <c r="AG732" s="106"/>
    </row>
    <row r="733">
      <c r="C733" s="79"/>
      <c r="D733" s="79"/>
      <c r="E733" s="79"/>
      <c r="O733" s="79"/>
      <c r="S733" s="79"/>
      <c r="T733" s="79"/>
      <c r="Y733" s="79"/>
      <c r="AE733" s="130"/>
      <c r="AG733" s="106"/>
    </row>
    <row r="734">
      <c r="C734" s="79"/>
      <c r="D734" s="79"/>
      <c r="E734" s="79"/>
      <c r="O734" s="79"/>
      <c r="S734" s="79"/>
      <c r="T734" s="79"/>
      <c r="Y734" s="79"/>
      <c r="AE734" s="130"/>
      <c r="AG734" s="106"/>
    </row>
    <row r="735">
      <c r="C735" s="79"/>
      <c r="D735" s="79"/>
      <c r="E735" s="79"/>
      <c r="O735" s="79"/>
      <c r="S735" s="79"/>
      <c r="T735" s="79"/>
      <c r="Y735" s="79"/>
      <c r="AE735" s="130"/>
      <c r="AG735" s="106"/>
    </row>
    <row r="736">
      <c r="C736" s="79"/>
      <c r="D736" s="79"/>
      <c r="E736" s="79"/>
      <c r="O736" s="79"/>
      <c r="S736" s="79"/>
      <c r="T736" s="79"/>
      <c r="Y736" s="79"/>
      <c r="AE736" s="130"/>
      <c r="AG736" s="106"/>
    </row>
    <row r="737">
      <c r="C737" s="79"/>
      <c r="D737" s="79"/>
      <c r="E737" s="79"/>
      <c r="O737" s="79"/>
      <c r="S737" s="79"/>
      <c r="T737" s="79"/>
      <c r="Y737" s="79"/>
      <c r="AE737" s="130"/>
      <c r="AG737" s="106"/>
    </row>
    <row r="738">
      <c r="C738" s="79"/>
      <c r="D738" s="79"/>
      <c r="E738" s="79"/>
      <c r="O738" s="79"/>
      <c r="S738" s="79"/>
      <c r="T738" s="79"/>
      <c r="Y738" s="79"/>
      <c r="AE738" s="130"/>
      <c r="AG738" s="106"/>
    </row>
    <row r="739">
      <c r="C739" s="79"/>
      <c r="D739" s="79"/>
      <c r="E739" s="79"/>
      <c r="O739" s="79"/>
      <c r="S739" s="79"/>
      <c r="T739" s="79"/>
      <c r="Y739" s="79"/>
      <c r="AE739" s="130"/>
      <c r="AG739" s="106"/>
    </row>
    <row r="740">
      <c r="C740" s="79"/>
      <c r="D740" s="79"/>
      <c r="E740" s="79"/>
      <c r="O740" s="79"/>
      <c r="S740" s="79"/>
      <c r="T740" s="79"/>
      <c r="Y740" s="79"/>
      <c r="AE740" s="130"/>
      <c r="AG740" s="106"/>
    </row>
    <row r="741">
      <c r="C741" s="79"/>
      <c r="D741" s="79"/>
      <c r="E741" s="79"/>
      <c r="O741" s="79"/>
      <c r="S741" s="79"/>
      <c r="T741" s="79"/>
      <c r="Y741" s="79"/>
      <c r="AE741" s="130"/>
      <c r="AG741" s="106"/>
    </row>
    <row r="742">
      <c r="C742" s="79"/>
      <c r="D742" s="79"/>
      <c r="E742" s="79"/>
      <c r="O742" s="79"/>
      <c r="S742" s="79"/>
      <c r="T742" s="79"/>
      <c r="Y742" s="79"/>
      <c r="AE742" s="130"/>
      <c r="AG742" s="106"/>
    </row>
    <row r="743">
      <c r="C743" s="79"/>
      <c r="D743" s="79"/>
      <c r="E743" s="79"/>
      <c r="O743" s="79"/>
      <c r="S743" s="79"/>
      <c r="T743" s="79"/>
      <c r="Y743" s="79"/>
      <c r="AE743" s="130"/>
      <c r="AG743" s="106"/>
    </row>
    <row r="744">
      <c r="C744" s="79"/>
      <c r="D744" s="79"/>
      <c r="E744" s="79"/>
      <c r="O744" s="79"/>
      <c r="S744" s="79"/>
      <c r="T744" s="79"/>
      <c r="Y744" s="79"/>
      <c r="AE744" s="130"/>
      <c r="AG744" s="106"/>
    </row>
    <row r="745">
      <c r="C745" s="79"/>
      <c r="D745" s="79"/>
      <c r="E745" s="79"/>
      <c r="O745" s="79"/>
      <c r="S745" s="79"/>
      <c r="T745" s="79"/>
      <c r="Y745" s="79"/>
      <c r="AE745" s="130"/>
      <c r="AG745" s="106"/>
    </row>
    <row r="746">
      <c r="C746" s="79"/>
      <c r="D746" s="79"/>
      <c r="E746" s="79"/>
      <c r="O746" s="79"/>
      <c r="S746" s="79"/>
      <c r="T746" s="79"/>
      <c r="Y746" s="79"/>
      <c r="AE746" s="130"/>
      <c r="AG746" s="106"/>
    </row>
    <row r="747">
      <c r="C747" s="79"/>
      <c r="D747" s="79"/>
      <c r="E747" s="79"/>
      <c r="O747" s="79"/>
      <c r="S747" s="79"/>
      <c r="T747" s="79"/>
      <c r="Y747" s="79"/>
      <c r="AE747" s="130"/>
      <c r="AG747" s="106"/>
    </row>
    <row r="748">
      <c r="C748" s="79"/>
      <c r="D748" s="79"/>
      <c r="E748" s="79"/>
      <c r="O748" s="79"/>
      <c r="S748" s="79"/>
      <c r="T748" s="79"/>
      <c r="Y748" s="79"/>
      <c r="AE748" s="130"/>
      <c r="AG748" s="106"/>
    </row>
    <row r="749">
      <c r="C749" s="79"/>
      <c r="D749" s="79"/>
      <c r="E749" s="79"/>
      <c r="O749" s="79"/>
      <c r="S749" s="79"/>
      <c r="T749" s="79"/>
      <c r="Y749" s="79"/>
      <c r="AE749" s="130"/>
      <c r="AG749" s="106"/>
    </row>
    <row r="750">
      <c r="C750" s="79"/>
      <c r="D750" s="79"/>
      <c r="E750" s="79"/>
      <c r="O750" s="79"/>
      <c r="S750" s="79"/>
      <c r="T750" s="79"/>
      <c r="Y750" s="79"/>
      <c r="AE750" s="130"/>
      <c r="AG750" s="106"/>
    </row>
    <row r="751">
      <c r="C751" s="79"/>
      <c r="D751" s="79"/>
      <c r="E751" s="79"/>
      <c r="O751" s="79"/>
      <c r="S751" s="79"/>
      <c r="T751" s="79"/>
      <c r="Y751" s="79"/>
      <c r="AE751" s="130"/>
      <c r="AG751" s="106"/>
    </row>
    <row r="752">
      <c r="C752" s="79"/>
      <c r="D752" s="79"/>
      <c r="E752" s="79"/>
      <c r="O752" s="79"/>
      <c r="S752" s="79"/>
      <c r="T752" s="79"/>
      <c r="Y752" s="79"/>
      <c r="AE752" s="130"/>
      <c r="AG752" s="106"/>
    </row>
    <row r="753">
      <c r="C753" s="79"/>
      <c r="D753" s="79"/>
      <c r="E753" s="79"/>
      <c r="O753" s="79"/>
      <c r="S753" s="79"/>
      <c r="T753" s="79"/>
      <c r="Y753" s="79"/>
      <c r="AE753" s="130"/>
      <c r="AG753" s="106"/>
    </row>
    <row r="754">
      <c r="C754" s="79"/>
      <c r="D754" s="79"/>
      <c r="E754" s="79"/>
      <c r="O754" s="79"/>
      <c r="S754" s="79"/>
      <c r="T754" s="79"/>
      <c r="Y754" s="79"/>
      <c r="AE754" s="130"/>
      <c r="AG754" s="106"/>
    </row>
    <row r="755">
      <c r="C755" s="79"/>
      <c r="D755" s="79"/>
      <c r="E755" s="79"/>
      <c r="O755" s="79"/>
      <c r="S755" s="79"/>
      <c r="T755" s="79"/>
      <c r="Y755" s="79"/>
      <c r="AE755" s="130"/>
      <c r="AG755" s="106"/>
    </row>
    <row r="756">
      <c r="C756" s="79"/>
      <c r="D756" s="79"/>
      <c r="E756" s="79"/>
      <c r="O756" s="79"/>
      <c r="S756" s="79"/>
      <c r="T756" s="79"/>
      <c r="Y756" s="79"/>
      <c r="AE756" s="130"/>
      <c r="AG756" s="106"/>
    </row>
    <row r="757">
      <c r="C757" s="79"/>
      <c r="D757" s="79"/>
      <c r="E757" s="79"/>
      <c r="O757" s="79"/>
      <c r="S757" s="79"/>
      <c r="T757" s="79"/>
      <c r="Y757" s="79"/>
      <c r="AE757" s="130"/>
      <c r="AG757" s="106"/>
    </row>
    <row r="758">
      <c r="C758" s="79"/>
      <c r="D758" s="79"/>
      <c r="E758" s="79"/>
      <c r="O758" s="79"/>
      <c r="S758" s="79"/>
      <c r="T758" s="79"/>
      <c r="Y758" s="79"/>
      <c r="AE758" s="130"/>
      <c r="AG758" s="106"/>
    </row>
    <row r="759">
      <c r="C759" s="79"/>
      <c r="D759" s="79"/>
      <c r="E759" s="79"/>
      <c r="O759" s="79"/>
      <c r="S759" s="79"/>
      <c r="T759" s="79"/>
      <c r="Y759" s="79"/>
      <c r="AE759" s="130"/>
      <c r="AG759" s="106"/>
    </row>
    <row r="760">
      <c r="C760" s="79"/>
      <c r="D760" s="79"/>
      <c r="E760" s="79"/>
      <c r="O760" s="79"/>
      <c r="S760" s="79"/>
      <c r="T760" s="79"/>
      <c r="Y760" s="79"/>
      <c r="AE760" s="130"/>
      <c r="AG760" s="106"/>
    </row>
    <row r="761">
      <c r="C761" s="79"/>
      <c r="D761" s="79"/>
      <c r="E761" s="79"/>
      <c r="O761" s="79"/>
      <c r="S761" s="79"/>
      <c r="T761" s="79"/>
      <c r="Y761" s="79"/>
      <c r="AE761" s="130"/>
      <c r="AG761" s="106"/>
    </row>
    <row r="762">
      <c r="C762" s="79"/>
      <c r="D762" s="79"/>
      <c r="E762" s="79"/>
      <c r="O762" s="79"/>
      <c r="S762" s="79"/>
      <c r="T762" s="79"/>
      <c r="Y762" s="79"/>
      <c r="AE762" s="130"/>
      <c r="AG762" s="106"/>
    </row>
    <row r="763">
      <c r="C763" s="79"/>
      <c r="D763" s="79"/>
      <c r="E763" s="79"/>
      <c r="O763" s="79"/>
      <c r="S763" s="79"/>
      <c r="T763" s="79"/>
      <c r="Y763" s="79"/>
      <c r="AE763" s="130"/>
      <c r="AG763" s="106"/>
    </row>
    <row r="764">
      <c r="C764" s="79"/>
      <c r="D764" s="79"/>
      <c r="E764" s="79"/>
      <c r="O764" s="79"/>
      <c r="S764" s="79"/>
      <c r="T764" s="79"/>
      <c r="Y764" s="79"/>
      <c r="AE764" s="130"/>
      <c r="AG764" s="106"/>
    </row>
    <row r="765">
      <c r="C765" s="79"/>
      <c r="D765" s="79"/>
      <c r="E765" s="79"/>
      <c r="O765" s="79"/>
      <c r="S765" s="79"/>
      <c r="T765" s="79"/>
      <c r="Y765" s="79"/>
      <c r="AE765" s="130"/>
      <c r="AG765" s="106"/>
    </row>
    <row r="766">
      <c r="C766" s="79"/>
      <c r="D766" s="79"/>
      <c r="E766" s="79"/>
      <c r="O766" s="79"/>
      <c r="S766" s="79"/>
      <c r="T766" s="79"/>
      <c r="Y766" s="79"/>
      <c r="AE766" s="130"/>
      <c r="AG766" s="106"/>
    </row>
    <row r="767">
      <c r="C767" s="79"/>
      <c r="D767" s="79"/>
      <c r="E767" s="79"/>
      <c r="O767" s="79"/>
      <c r="S767" s="79"/>
      <c r="T767" s="79"/>
      <c r="Y767" s="79"/>
      <c r="AE767" s="130"/>
      <c r="AG767" s="106"/>
    </row>
    <row r="768">
      <c r="C768" s="79"/>
      <c r="D768" s="79"/>
      <c r="E768" s="79"/>
      <c r="O768" s="79"/>
      <c r="S768" s="79"/>
      <c r="T768" s="79"/>
      <c r="Y768" s="79"/>
      <c r="AE768" s="130"/>
      <c r="AG768" s="106"/>
    </row>
    <row r="769">
      <c r="C769" s="79"/>
      <c r="D769" s="79"/>
      <c r="E769" s="79"/>
      <c r="O769" s="79"/>
      <c r="S769" s="79"/>
      <c r="T769" s="79"/>
      <c r="Y769" s="79"/>
      <c r="AE769" s="130"/>
      <c r="AG769" s="106"/>
    </row>
    <row r="770">
      <c r="C770" s="79"/>
      <c r="D770" s="79"/>
      <c r="E770" s="79"/>
      <c r="O770" s="79"/>
      <c r="S770" s="79"/>
      <c r="T770" s="79"/>
      <c r="Y770" s="79"/>
      <c r="AE770" s="130"/>
      <c r="AG770" s="106"/>
    </row>
    <row r="771">
      <c r="C771" s="79"/>
      <c r="D771" s="79"/>
      <c r="E771" s="79"/>
      <c r="O771" s="79"/>
      <c r="S771" s="79"/>
      <c r="T771" s="79"/>
      <c r="Y771" s="79"/>
      <c r="AE771" s="130"/>
      <c r="AG771" s="106"/>
    </row>
    <row r="772">
      <c r="C772" s="79"/>
      <c r="D772" s="79"/>
      <c r="E772" s="79"/>
      <c r="O772" s="79"/>
      <c r="S772" s="79"/>
      <c r="T772" s="79"/>
      <c r="Y772" s="79"/>
      <c r="AE772" s="130"/>
      <c r="AG772" s="106"/>
    </row>
    <row r="773">
      <c r="C773" s="79"/>
      <c r="D773" s="79"/>
      <c r="E773" s="79"/>
      <c r="O773" s="79"/>
      <c r="S773" s="79"/>
      <c r="T773" s="79"/>
      <c r="Y773" s="79"/>
      <c r="AE773" s="130"/>
      <c r="AG773" s="106"/>
    </row>
    <row r="774">
      <c r="C774" s="79"/>
      <c r="D774" s="79"/>
      <c r="E774" s="79"/>
      <c r="O774" s="79"/>
      <c r="S774" s="79"/>
      <c r="T774" s="79"/>
      <c r="Y774" s="79"/>
      <c r="AE774" s="130"/>
      <c r="AG774" s="106"/>
    </row>
    <row r="775">
      <c r="C775" s="79"/>
      <c r="D775" s="79"/>
      <c r="E775" s="79"/>
      <c r="O775" s="79"/>
      <c r="S775" s="79"/>
      <c r="T775" s="79"/>
      <c r="Y775" s="79"/>
      <c r="AE775" s="130"/>
      <c r="AG775" s="106"/>
    </row>
    <row r="776">
      <c r="C776" s="79"/>
      <c r="D776" s="79"/>
      <c r="E776" s="79"/>
      <c r="O776" s="79"/>
      <c r="S776" s="79"/>
      <c r="T776" s="79"/>
      <c r="Y776" s="79"/>
      <c r="AE776" s="130"/>
      <c r="AG776" s="106"/>
    </row>
    <row r="777">
      <c r="C777" s="79"/>
      <c r="D777" s="79"/>
      <c r="E777" s="79"/>
      <c r="O777" s="79"/>
      <c r="S777" s="79"/>
      <c r="T777" s="79"/>
      <c r="Y777" s="79"/>
      <c r="AE777" s="130"/>
      <c r="AG777" s="106"/>
    </row>
    <row r="778">
      <c r="C778" s="79"/>
      <c r="D778" s="79"/>
      <c r="E778" s="79"/>
      <c r="O778" s="79"/>
      <c r="S778" s="79"/>
      <c r="T778" s="79"/>
      <c r="Y778" s="79"/>
      <c r="AE778" s="130"/>
      <c r="AG778" s="106"/>
    </row>
    <row r="779">
      <c r="C779" s="79"/>
      <c r="D779" s="79"/>
      <c r="E779" s="79"/>
      <c r="O779" s="79"/>
      <c r="S779" s="79"/>
      <c r="T779" s="79"/>
      <c r="Y779" s="79"/>
      <c r="AE779" s="130"/>
      <c r="AG779" s="106"/>
    </row>
    <row r="780">
      <c r="C780" s="79"/>
      <c r="D780" s="79"/>
      <c r="E780" s="79"/>
      <c r="O780" s="79"/>
      <c r="S780" s="79"/>
      <c r="T780" s="79"/>
      <c r="Y780" s="79"/>
      <c r="AE780" s="130"/>
      <c r="AG780" s="106"/>
    </row>
    <row r="781">
      <c r="C781" s="79"/>
      <c r="D781" s="79"/>
      <c r="E781" s="79"/>
      <c r="O781" s="79"/>
      <c r="S781" s="79"/>
      <c r="T781" s="79"/>
      <c r="Y781" s="79"/>
      <c r="AE781" s="130"/>
      <c r="AG781" s="106"/>
    </row>
    <row r="782">
      <c r="C782" s="79"/>
      <c r="D782" s="79"/>
      <c r="E782" s="79"/>
      <c r="O782" s="79"/>
      <c r="S782" s="79"/>
      <c r="T782" s="79"/>
      <c r="Y782" s="79"/>
      <c r="AE782" s="130"/>
      <c r="AG782" s="106"/>
    </row>
    <row r="783">
      <c r="C783" s="79"/>
      <c r="D783" s="79"/>
      <c r="E783" s="79"/>
      <c r="O783" s="79"/>
      <c r="S783" s="79"/>
      <c r="T783" s="79"/>
      <c r="Y783" s="79"/>
      <c r="AE783" s="130"/>
      <c r="AG783" s="106"/>
    </row>
    <row r="784">
      <c r="C784" s="79"/>
      <c r="D784" s="79"/>
      <c r="E784" s="79"/>
      <c r="O784" s="79"/>
      <c r="S784" s="79"/>
      <c r="T784" s="79"/>
      <c r="Y784" s="79"/>
      <c r="AE784" s="130"/>
      <c r="AG784" s="106"/>
    </row>
    <row r="785">
      <c r="C785" s="79"/>
      <c r="D785" s="79"/>
      <c r="E785" s="79"/>
      <c r="O785" s="79"/>
      <c r="S785" s="79"/>
      <c r="T785" s="79"/>
      <c r="Y785" s="79"/>
      <c r="AE785" s="130"/>
      <c r="AG785" s="106"/>
    </row>
    <row r="786">
      <c r="C786" s="79"/>
      <c r="D786" s="79"/>
      <c r="E786" s="79"/>
      <c r="O786" s="79"/>
      <c r="S786" s="79"/>
      <c r="T786" s="79"/>
      <c r="Y786" s="79"/>
      <c r="AE786" s="130"/>
      <c r="AG786" s="106"/>
    </row>
    <row r="787">
      <c r="C787" s="79"/>
      <c r="D787" s="79"/>
      <c r="E787" s="79"/>
      <c r="O787" s="79"/>
      <c r="S787" s="79"/>
      <c r="T787" s="79"/>
      <c r="Y787" s="79"/>
      <c r="AE787" s="130"/>
      <c r="AG787" s="106"/>
    </row>
    <row r="788">
      <c r="C788" s="79"/>
      <c r="D788" s="79"/>
      <c r="E788" s="79"/>
      <c r="O788" s="79"/>
      <c r="S788" s="79"/>
      <c r="T788" s="79"/>
      <c r="Y788" s="79"/>
      <c r="AE788" s="130"/>
      <c r="AG788" s="106"/>
    </row>
    <row r="789">
      <c r="C789" s="79"/>
      <c r="D789" s="79"/>
      <c r="E789" s="79"/>
      <c r="O789" s="79"/>
      <c r="S789" s="79"/>
      <c r="T789" s="79"/>
      <c r="Y789" s="79"/>
      <c r="AE789" s="130"/>
      <c r="AG789" s="106"/>
    </row>
    <row r="790">
      <c r="C790" s="79"/>
      <c r="D790" s="79"/>
      <c r="E790" s="79"/>
      <c r="O790" s="79"/>
      <c r="S790" s="79"/>
      <c r="T790" s="79"/>
      <c r="Y790" s="79"/>
      <c r="AE790" s="130"/>
      <c r="AG790" s="106"/>
    </row>
    <row r="791">
      <c r="C791" s="79"/>
      <c r="D791" s="79"/>
      <c r="E791" s="79"/>
      <c r="O791" s="79"/>
      <c r="S791" s="79"/>
      <c r="T791" s="79"/>
      <c r="Y791" s="79"/>
      <c r="AE791" s="130"/>
      <c r="AG791" s="106"/>
    </row>
    <row r="792">
      <c r="C792" s="79"/>
      <c r="D792" s="79"/>
      <c r="E792" s="79"/>
      <c r="O792" s="79"/>
      <c r="S792" s="79"/>
      <c r="T792" s="79"/>
      <c r="Y792" s="79"/>
      <c r="AE792" s="130"/>
      <c r="AG792" s="106"/>
    </row>
    <row r="793">
      <c r="C793" s="79"/>
      <c r="D793" s="79"/>
      <c r="E793" s="79"/>
      <c r="O793" s="79"/>
      <c r="S793" s="79"/>
      <c r="T793" s="79"/>
      <c r="Y793" s="79"/>
      <c r="AE793" s="130"/>
      <c r="AG793" s="106"/>
    </row>
    <row r="794">
      <c r="C794" s="79"/>
      <c r="D794" s="79"/>
      <c r="E794" s="79"/>
      <c r="O794" s="79"/>
      <c r="S794" s="79"/>
      <c r="T794" s="79"/>
      <c r="Y794" s="79"/>
      <c r="AE794" s="130"/>
      <c r="AG794" s="106"/>
    </row>
    <row r="795">
      <c r="C795" s="79"/>
      <c r="D795" s="79"/>
      <c r="E795" s="79"/>
      <c r="O795" s="79"/>
      <c r="S795" s="79"/>
      <c r="T795" s="79"/>
      <c r="Y795" s="79"/>
      <c r="AE795" s="130"/>
      <c r="AG795" s="106"/>
    </row>
    <row r="796">
      <c r="C796" s="79"/>
      <c r="D796" s="79"/>
      <c r="E796" s="79"/>
      <c r="O796" s="79"/>
      <c r="S796" s="79"/>
      <c r="T796" s="79"/>
      <c r="Y796" s="79"/>
      <c r="AE796" s="130"/>
      <c r="AG796" s="106"/>
    </row>
    <row r="797">
      <c r="C797" s="79"/>
      <c r="D797" s="79"/>
      <c r="E797" s="79"/>
      <c r="O797" s="79"/>
      <c r="S797" s="79"/>
      <c r="T797" s="79"/>
      <c r="Y797" s="79"/>
      <c r="AE797" s="130"/>
      <c r="AG797" s="106"/>
    </row>
    <row r="798">
      <c r="C798" s="79"/>
      <c r="D798" s="79"/>
      <c r="E798" s="79"/>
      <c r="O798" s="79"/>
      <c r="S798" s="79"/>
      <c r="T798" s="79"/>
      <c r="Y798" s="79"/>
      <c r="AE798" s="130"/>
      <c r="AG798" s="106"/>
    </row>
    <row r="799">
      <c r="C799" s="79"/>
      <c r="D799" s="79"/>
      <c r="E799" s="79"/>
      <c r="O799" s="79"/>
      <c r="S799" s="79"/>
      <c r="T799" s="79"/>
      <c r="Y799" s="79"/>
      <c r="AE799" s="130"/>
      <c r="AG799" s="106"/>
    </row>
    <row r="800">
      <c r="C800" s="79"/>
      <c r="D800" s="79"/>
      <c r="E800" s="79"/>
      <c r="O800" s="79"/>
      <c r="S800" s="79"/>
      <c r="T800" s="79"/>
      <c r="Y800" s="79"/>
      <c r="AE800" s="130"/>
      <c r="AG800" s="106"/>
    </row>
    <row r="801">
      <c r="C801" s="79"/>
      <c r="D801" s="79"/>
      <c r="E801" s="79"/>
      <c r="O801" s="79"/>
      <c r="S801" s="79"/>
      <c r="T801" s="79"/>
      <c r="Y801" s="79"/>
      <c r="AE801" s="130"/>
      <c r="AG801" s="106"/>
    </row>
    <row r="802">
      <c r="C802" s="79"/>
      <c r="D802" s="79"/>
      <c r="E802" s="79"/>
      <c r="O802" s="79"/>
      <c r="S802" s="79"/>
      <c r="T802" s="79"/>
      <c r="Y802" s="79"/>
      <c r="AE802" s="130"/>
      <c r="AG802" s="106"/>
    </row>
    <row r="803">
      <c r="C803" s="79"/>
      <c r="D803" s="79"/>
      <c r="E803" s="79"/>
      <c r="O803" s="79"/>
      <c r="S803" s="79"/>
      <c r="T803" s="79"/>
      <c r="Y803" s="79"/>
      <c r="AE803" s="130"/>
      <c r="AG803" s="106"/>
    </row>
    <row r="804">
      <c r="C804" s="79"/>
      <c r="D804" s="79"/>
      <c r="E804" s="79"/>
      <c r="O804" s="79"/>
      <c r="S804" s="79"/>
      <c r="T804" s="79"/>
      <c r="Y804" s="79"/>
      <c r="AE804" s="130"/>
      <c r="AG804" s="106"/>
    </row>
    <row r="805">
      <c r="C805" s="79"/>
      <c r="D805" s="79"/>
      <c r="E805" s="79"/>
      <c r="O805" s="79"/>
      <c r="S805" s="79"/>
      <c r="T805" s="79"/>
      <c r="Y805" s="79"/>
      <c r="AE805" s="130"/>
      <c r="AG805" s="106"/>
    </row>
    <row r="806">
      <c r="C806" s="79"/>
      <c r="D806" s="79"/>
      <c r="E806" s="79"/>
      <c r="O806" s="79"/>
      <c r="S806" s="79"/>
      <c r="T806" s="79"/>
      <c r="Y806" s="79"/>
      <c r="AE806" s="130"/>
      <c r="AG806" s="106"/>
    </row>
    <row r="807">
      <c r="C807" s="79"/>
      <c r="D807" s="79"/>
      <c r="E807" s="79"/>
      <c r="O807" s="79"/>
      <c r="S807" s="79"/>
      <c r="T807" s="79"/>
      <c r="Y807" s="79"/>
      <c r="AE807" s="130"/>
      <c r="AG807" s="106"/>
    </row>
    <row r="808">
      <c r="C808" s="79"/>
      <c r="D808" s="79"/>
      <c r="E808" s="79"/>
      <c r="O808" s="79"/>
      <c r="S808" s="79"/>
      <c r="T808" s="79"/>
      <c r="Y808" s="79"/>
      <c r="AE808" s="130"/>
      <c r="AG808" s="106"/>
    </row>
    <row r="809">
      <c r="C809" s="79"/>
      <c r="D809" s="79"/>
      <c r="E809" s="79"/>
      <c r="O809" s="79"/>
      <c r="S809" s="79"/>
      <c r="T809" s="79"/>
      <c r="Y809" s="79"/>
      <c r="AE809" s="130"/>
      <c r="AG809" s="106"/>
    </row>
    <row r="810">
      <c r="C810" s="79"/>
      <c r="D810" s="79"/>
      <c r="E810" s="79"/>
      <c r="O810" s="79"/>
      <c r="S810" s="79"/>
      <c r="T810" s="79"/>
      <c r="Y810" s="79"/>
      <c r="AE810" s="130"/>
      <c r="AG810" s="106"/>
    </row>
    <row r="811">
      <c r="C811" s="79"/>
      <c r="D811" s="79"/>
      <c r="E811" s="79"/>
      <c r="O811" s="79"/>
      <c r="S811" s="79"/>
      <c r="T811" s="79"/>
      <c r="Y811" s="79"/>
      <c r="AE811" s="130"/>
      <c r="AG811" s="106"/>
    </row>
    <row r="812">
      <c r="C812" s="79"/>
      <c r="D812" s="79"/>
      <c r="E812" s="79"/>
      <c r="O812" s="79"/>
      <c r="S812" s="79"/>
      <c r="T812" s="79"/>
      <c r="Y812" s="79"/>
      <c r="AE812" s="130"/>
      <c r="AG812" s="106"/>
    </row>
    <row r="813">
      <c r="C813" s="79"/>
      <c r="D813" s="79"/>
      <c r="E813" s="79"/>
      <c r="O813" s="79"/>
      <c r="S813" s="79"/>
      <c r="T813" s="79"/>
      <c r="Y813" s="79"/>
      <c r="AE813" s="130"/>
      <c r="AG813" s="106"/>
    </row>
    <row r="814">
      <c r="C814" s="79"/>
      <c r="D814" s="79"/>
      <c r="E814" s="79"/>
      <c r="O814" s="79"/>
      <c r="S814" s="79"/>
      <c r="T814" s="79"/>
      <c r="Y814" s="79"/>
      <c r="AE814" s="130"/>
      <c r="AG814" s="106"/>
    </row>
    <row r="815">
      <c r="C815" s="79"/>
      <c r="D815" s="79"/>
      <c r="E815" s="79"/>
      <c r="O815" s="79"/>
      <c r="S815" s="79"/>
      <c r="T815" s="79"/>
      <c r="Y815" s="79"/>
      <c r="AE815" s="130"/>
      <c r="AG815" s="106"/>
    </row>
    <row r="816">
      <c r="C816" s="79"/>
      <c r="D816" s="79"/>
      <c r="E816" s="79"/>
      <c r="O816" s="79"/>
      <c r="S816" s="79"/>
      <c r="T816" s="79"/>
      <c r="Y816" s="79"/>
      <c r="AE816" s="130"/>
      <c r="AG816" s="106"/>
    </row>
    <row r="817">
      <c r="C817" s="79"/>
      <c r="D817" s="79"/>
      <c r="E817" s="79"/>
      <c r="O817" s="79"/>
      <c r="S817" s="79"/>
      <c r="T817" s="79"/>
      <c r="Y817" s="79"/>
      <c r="AE817" s="130"/>
      <c r="AG817" s="106"/>
    </row>
    <row r="818">
      <c r="C818" s="79"/>
      <c r="D818" s="79"/>
      <c r="E818" s="79"/>
      <c r="O818" s="79"/>
      <c r="S818" s="79"/>
      <c r="T818" s="79"/>
      <c r="Y818" s="79"/>
      <c r="AE818" s="130"/>
      <c r="AG818" s="106"/>
    </row>
    <row r="819">
      <c r="C819" s="79"/>
      <c r="D819" s="79"/>
      <c r="E819" s="79"/>
      <c r="O819" s="79"/>
      <c r="S819" s="79"/>
      <c r="T819" s="79"/>
      <c r="Y819" s="79"/>
      <c r="AE819" s="130"/>
      <c r="AG819" s="106"/>
    </row>
    <row r="820">
      <c r="C820" s="79"/>
      <c r="D820" s="79"/>
      <c r="E820" s="79"/>
      <c r="O820" s="79"/>
      <c r="S820" s="79"/>
      <c r="T820" s="79"/>
      <c r="Y820" s="79"/>
      <c r="AE820" s="130"/>
      <c r="AG820" s="106"/>
    </row>
    <row r="821">
      <c r="C821" s="79"/>
      <c r="D821" s="79"/>
      <c r="E821" s="79"/>
      <c r="O821" s="79"/>
      <c r="S821" s="79"/>
      <c r="T821" s="79"/>
      <c r="Y821" s="79"/>
      <c r="AE821" s="130"/>
      <c r="AG821" s="106"/>
    </row>
    <row r="822">
      <c r="C822" s="79"/>
      <c r="D822" s="79"/>
      <c r="E822" s="79"/>
      <c r="O822" s="79"/>
      <c r="S822" s="79"/>
      <c r="T822" s="79"/>
      <c r="Y822" s="79"/>
      <c r="AE822" s="130"/>
      <c r="AG822" s="106"/>
    </row>
    <row r="823">
      <c r="C823" s="79"/>
      <c r="D823" s="79"/>
      <c r="E823" s="79"/>
      <c r="O823" s="79"/>
      <c r="S823" s="79"/>
      <c r="T823" s="79"/>
      <c r="Y823" s="79"/>
      <c r="AE823" s="130"/>
      <c r="AG823" s="106"/>
    </row>
    <row r="824">
      <c r="C824" s="79"/>
      <c r="D824" s="79"/>
      <c r="E824" s="79"/>
      <c r="O824" s="79"/>
      <c r="S824" s="79"/>
      <c r="T824" s="79"/>
      <c r="Y824" s="79"/>
      <c r="AE824" s="130"/>
      <c r="AG824" s="106"/>
    </row>
    <row r="825">
      <c r="C825" s="79"/>
      <c r="D825" s="79"/>
      <c r="E825" s="79"/>
      <c r="O825" s="79"/>
      <c r="S825" s="79"/>
      <c r="T825" s="79"/>
      <c r="Y825" s="79"/>
      <c r="AE825" s="130"/>
      <c r="AG825" s="106"/>
    </row>
    <row r="826">
      <c r="C826" s="79"/>
      <c r="D826" s="79"/>
      <c r="E826" s="79"/>
      <c r="O826" s="79"/>
      <c r="S826" s="79"/>
      <c r="T826" s="79"/>
      <c r="Y826" s="79"/>
      <c r="AE826" s="130"/>
      <c r="AG826" s="106"/>
    </row>
    <row r="827">
      <c r="C827" s="79"/>
      <c r="D827" s="79"/>
      <c r="E827" s="79"/>
      <c r="O827" s="79"/>
      <c r="S827" s="79"/>
      <c r="T827" s="79"/>
      <c r="Y827" s="79"/>
      <c r="AE827" s="130"/>
      <c r="AG827" s="106"/>
    </row>
    <row r="828">
      <c r="C828" s="79"/>
      <c r="D828" s="79"/>
      <c r="E828" s="79"/>
      <c r="O828" s="79"/>
      <c r="S828" s="79"/>
      <c r="T828" s="79"/>
      <c r="Y828" s="79"/>
      <c r="AE828" s="130"/>
      <c r="AG828" s="106"/>
    </row>
    <row r="829">
      <c r="C829" s="79"/>
      <c r="D829" s="79"/>
      <c r="E829" s="79"/>
      <c r="O829" s="79"/>
      <c r="S829" s="79"/>
      <c r="T829" s="79"/>
      <c r="Y829" s="79"/>
      <c r="AE829" s="130"/>
      <c r="AG829" s="106"/>
    </row>
    <row r="830">
      <c r="C830" s="79"/>
      <c r="D830" s="79"/>
      <c r="E830" s="79"/>
      <c r="O830" s="79"/>
      <c r="S830" s="79"/>
      <c r="T830" s="79"/>
      <c r="Y830" s="79"/>
      <c r="AE830" s="130"/>
      <c r="AG830" s="106"/>
    </row>
    <row r="831">
      <c r="C831" s="79"/>
      <c r="D831" s="79"/>
      <c r="E831" s="79"/>
      <c r="O831" s="79"/>
      <c r="S831" s="79"/>
      <c r="T831" s="79"/>
      <c r="Y831" s="79"/>
      <c r="AE831" s="130"/>
      <c r="AG831" s="106"/>
    </row>
    <row r="832">
      <c r="C832" s="79"/>
      <c r="D832" s="79"/>
      <c r="E832" s="79"/>
      <c r="O832" s="79"/>
      <c r="S832" s="79"/>
      <c r="T832" s="79"/>
      <c r="Y832" s="79"/>
      <c r="AE832" s="130"/>
      <c r="AG832" s="106"/>
    </row>
    <row r="833">
      <c r="C833" s="79"/>
      <c r="D833" s="79"/>
      <c r="E833" s="79"/>
      <c r="O833" s="79"/>
      <c r="S833" s="79"/>
      <c r="T833" s="79"/>
      <c r="Y833" s="79"/>
      <c r="AE833" s="130"/>
      <c r="AG833" s="106"/>
    </row>
    <row r="834">
      <c r="C834" s="79"/>
      <c r="D834" s="79"/>
      <c r="E834" s="79"/>
      <c r="O834" s="79"/>
      <c r="S834" s="79"/>
      <c r="T834" s="79"/>
      <c r="Y834" s="79"/>
      <c r="AE834" s="130"/>
      <c r="AG834" s="106"/>
    </row>
    <row r="835">
      <c r="C835" s="79"/>
      <c r="D835" s="79"/>
      <c r="E835" s="79"/>
      <c r="O835" s="79"/>
      <c r="S835" s="79"/>
      <c r="T835" s="79"/>
      <c r="Y835" s="79"/>
      <c r="AE835" s="130"/>
      <c r="AG835" s="106"/>
    </row>
    <row r="836">
      <c r="C836" s="79"/>
      <c r="D836" s="79"/>
      <c r="E836" s="79"/>
      <c r="O836" s="79"/>
      <c r="S836" s="79"/>
      <c r="T836" s="79"/>
      <c r="Y836" s="79"/>
      <c r="AE836" s="130"/>
      <c r="AG836" s="106"/>
    </row>
    <row r="837">
      <c r="C837" s="79"/>
      <c r="D837" s="79"/>
      <c r="E837" s="79"/>
      <c r="O837" s="79"/>
      <c r="S837" s="79"/>
      <c r="T837" s="79"/>
      <c r="Y837" s="79"/>
      <c r="AE837" s="130"/>
      <c r="AG837" s="106"/>
    </row>
    <row r="838">
      <c r="C838" s="79"/>
      <c r="D838" s="79"/>
      <c r="E838" s="79"/>
      <c r="O838" s="79"/>
      <c r="S838" s="79"/>
      <c r="T838" s="79"/>
      <c r="Y838" s="79"/>
      <c r="AE838" s="130"/>
      <c r="AG838" s="106"/>
    </row>
    <row r="839">
      <c r="O839" s="79"/>
      <c r="S839" s="79"/>
      <c r="T839" s="79"/>
      <c r="Y839" s="79"/>
      <c r="AE839" s="130"/>
      <c r="AG839" s="106"/>
    </row>
    <row r="840">
      <c r="O840" s="79"/>
      <c r="S840" s="79"/>
      <c r="T840" s="79"/>
      <c r="Y840" s="79"/>
      <c r="AE840" s="130"/>
      <c r="AG840" s="106"/>
    </row>
    <row r="841">
      <c r="O841" s="79"/>
      <c r="S841" s="79"/>
      <c r="T841" s="79"/>
      <c r="Y841" s="79"/>
      <c r="AE841" s="130"/>
      <c r="AG841" s="106"/>
    </row>
    <row r="842">
      <c r="O842" s="79"/>
      <c r="S842" s="79"/>
      <c r="T842" s="79"/>
      <c r="Y842" s="79"/>
      <c r="AE842" s="130"/>
      <c r="AG842" s="106"/>
    </row>
    <row r="843">
      <c r="O843" s="79"/>
      <c r="S843" s="79"/>
      <c r="T843" s="79"/>
      <c r="Y843" s="79"/>
      <c r="AE843" s="130"/>
      <c r="AG843" s="106"/>
    </row>
    <row r="844">
      <c r="O844" s="79"/>
      <c r="S844" s="79"/>
      <c r="T844" s="79"/>
      <c r="Y844" s="79"/>
      <c r="AE844" s="130"/>
      <c r="AG844" s="106"/>
    </row>
    <row r="845">
      <c r="O845" s="79"/>
      <c r="S845" s="79"/>
      <c r="T845" s="79"/>
      <c r="Y845" s="79"/>
      <c r="AE845" s="130"/>
      <c r="AG845" s="106"/>
    </row>
    <row r="846">
      <c r="O846" s="79"/>
      <c r="S846" s="79"/>
      <c r="T846" s="79"/>
      <c r="Y846" s="79"/>
      <c r="AE846" s="130"/>
      <c r="AG846" s="106"/>
    </row>
    <row r="847">
      <c r="O847" s="79"/>
      <c r="S847" s="79"/>
      <c r="T847" s="79"/>
      <c r="Y847" s="79"/>
      <c r="AE847" s="130"/>
      <c r="AG847" s="106"/>
    </row>
    <row r="848">
      <c r="O848" s="79"/>
      <c r="S848" s="79"/>
      <c r="T848" s="79"/>
      <c r="Y848" s="79"/>
      <c r="AE848" s="130"/>
      <c r="AG848" s="106"/>
    </row>
    <row r="849">
      <c r="O849" s="79"/>
      <c r="S849" s="79"/>
      <c r="T849" s="79"/>
      <c r="Y849" s="79"/>
      <c r="AE849" s="130"/>
      <c r="AG849" s="106"/>
    </row>
    <row r="850">
      <c r="O850" s="79"/>
      <c r="S850" s="79"/>
      <c r="T850" s="79"/>
      <c r="Y850" s="79"/>
      <c r="AE850" s="130"/>
      <c r="AG850" s="106"/>
    </row>
    <row r="851">
      <c r="O851" s="79"/>
      <c r="S851" s="79"/>
      <c r="T851" s="79"/>
      <c r="Y851" s="79"/>
      <c r="AE851" s="130"/>
      <c r="AG851" s="106"/>
    </row>
  </sheetData>
  <autoFilter ref="$A$34:$F$95">
    <sortState ref="A34:F95">
      <sortCondition descending="1" sortBy="cellColor" ref="E34:E95" dxfId="1"/>
      <sortCondition descending="1" sortBy="cellColor" ref="C34:C95" dxfId="1"/>
      <sortCondition descending="1" sortBy="cellColor" ref="A34:A95" dxfId="1"/>
    </sortState>
  </autoFilter>
  <mergeCells count="1">
    <mergeCell ref="B31:E31"/>
  </mergeCells>
  <conditionalFormatting sqref="H35:H47">
    <cfRule type="cellIs" dxfId="2" priority="1" operator="greaterThanOrEqual">
      <formula>1</formula>
    </cfRule>
  </conditionalFormatting>
  <conditionalFormatting sqref="H35:H47">
    <cfRule type="cellIs" dxfId="3" priority="2" operator="lessThanOrEqual">
      <formula>0</formula>
    </cfRule>
  </conditionalFormatting>
  <drawing r:id="rId2"/>
  <legacyDrawing r:id="rId3"/>
  <tableParts count="1">
    <tablePart r:id="rId5"/>
  </tableParts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3" max="3" width="17.38"/>
    <col customWidth="1" min="4" max="4" width="25.75"/>
    <col customWidth="1" min="5" max="5" width="20.88"/>
    <col customWidth="1" min="6" max="6" width="15.5"/>
    <col customWidth="1" min="7" max="7" width="25.13"/>
    <col customWidth="1" min="8" max="8" width="24.0"/>
    <col customWidth="1" min="9" max="10" width="15.5"/>
    <col customWidth="1" min="11" max="11" width="16.5"/>
    <col customWidth="1" min="12" max="13" width="15.5"/>
    <col customWidth="1" min="15" max="15" width="27.38"/>
    <col customWidth="1" min="17" max="17" width="11.13"/>
    <col customWidth="1" min="26" max="26" width="14.63"/>
    <col customWidth="1" min="33" max="33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4</v>
      </c>
      <c r="J1" s="2" t="s">
        <v>5</v>
      </c>
      <c r="K1" s="2" t="s">
        <v>303</v>
      </c>
      <c r="L1" s="2" t="s">
        <v>6</v>
      </c>
      <c r="M1" s="2" t="s">
        <v>12</v>
      </c>
      <c r="N1" s="2" t="s">
        <v>49</v>
      </c>
      <c r="O1" s="105" t="s">
        <v>304</v>
      </c>
      <c r="P1" s="2" t="s">
        <v>37</v>
      </c>
      <c r="Q1" s="2" t="s">
        <v>10</v>
      </c>
      <c r="R1" s="2" t="s">
        <v>42</v>
      </c>
      <c r="S1" s="105" t="s">
        <v>656</v>
      </c>
      <c r="T1" s="105" t="s">
        <v>9</v>
      </c>
      <c r="U1" s="2" t="s">
        <v>164</v>
      </c>
      <c r="V1" s="105" t="s">
        <v>40</v>
      </c>
      <c r="W1" s="2" t="s">
        <v>83</v>
      </c>
      <c r="X1" s="2" t="s">
        <v>204</v>
      </c>
      <c r="Y1" s="105" t="s">
        <v>205</v>
      </c>
      <c r="Z1" s="2" t="s">
        <v>206</v>
      </c>
      <c r="AA1" s="2" t="s">
        <v>305</v>
      </c>
      <c r="AB1" s="3" t="s">
        <v>760</v>
      </c>
      <c r="AC1" s="3" t="s">
        <v>828</v>
      </c>
      <c r="AD1" s="3" t="s">
        <v>13</v>
      </c>
      <c r="AE1" s="3" t="s">
        <v>14</v>
      </c>
      <c r="AF1" s="3" t="s">
        <v>15</v>
      </c>
      <c r="AG1" s="106"/>
      <c r="AH1" s="265" t="s">
        <v>306</v>
      </c>
      <c r="AI1" s="266" t="s">
        <v>80</v>
      </c>
    </row>
    <row r="2">
      <c r="A2" s="74">
        <v>45628.0</v>
      </c>
      <c r="C2" s="93"/>
      <c r="D2" s="93"/>
      <c r="E2" s="93"/>
      <c r="F2" s="93"/>
      <c r="G2" s="93">
        <v>180.0</v>
      </c>
      <c r="H2" s="93"/>
      <c r="I2" s="93"/>
      <c r="J2" s="374"/>
      <c r="K2" s="93"/>
      <c r="L2" s="93"/>
      <c r="M2" s="93"/>
      <c r="N2" s="93"/>
      <c r="O2" s="93"/>
      <c r="P2" s="72"/>
      <c r="Q2" s="93"/>
      <c r="R2" s="93"/>
      <c r="S2" s="93"/>
      <c r="T2" s="93"/>
      <c r="U2" s="93"/>
      <c r="V2" s="93"/>
      <c r="W2" s="93"/>
      <c r="X2" s="93"/>
      <c r="Y2" s="93"/>
      <c r="Z2" s="93"/>
      <c r="AA2" s="386"/>
      <c r="AB2" s="326"/>
      <c r="AC2" s="386"/>
      <c r="AD2" s="171">
        <f>SUM(B2:AA2)</f>
        <v>180</v>
      </c>
      <c r="AE2" s="158">
        <v>0.0</v>
      </c>
      <c r="AF2" s="59" t="str">
        <f t="shared" ref="AF2:AF8" si="1">AD2/AE2</f>
        <v>#DIV/0!</v>
      </c>
      <c r="AG2" s="109">
        <f t="shared" ref="AG2:AG8" si="2">A2</f>
        <v>45628</v>
      </c>
      <c r="AH2" s="267"/>
      <c r="AI2" s="268">
        <f t="shared" ref="AI2:AI8" si="3">AE2-AH2</f>
        <v>0</v>
      </c>
    </row>
    <row r="3">
      <c r="A3" s="74">
        <f t="shared" ref="A3:A8" si="4">A2+1</f>
        <v>45629</v>
      </c>
      <c r="B3" s="93">
        <f>786.93-27.06-24.91-370.11-169.56</f>
        <v>195.29</v>
      </c>
      <c r="C3" s="93">
        <f>180.25+43.25+49.2</f>
        <v>272.7</v>
      </c>
      <c r="D3" s="180">
        <f>883.84+1114.06+1591.6</f>
        <v>3589.5</v>
      </c>
      <c r="E3" s="93"/>
      <c r="F3" s="93"/>
      <c r="G3" s="93"/>
      <c r="H3" s="168"/>
      <c r="I3" s="93"/>
      <c r="J3" s="93">
        <v>647.34</v>
      </c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326"/>
      <c r="AB3" s="326"/>
      <c r="AC3" s="326"/>
      <c r="AD3" s="107">
        <f t="shared" ref="AD3:AD8" si="5">SUM(B3:Z3)</f>
        <v>4704.83</v>
      </c>
      <c r="AE3" s="158">
        <v>9039.0</v>
      </c>
      <c r="AF3" s="59">
        <f t="shared" si="1"/>
        <v>0.5205033743</v>
      </c>
      <c r="AG3" s="109">
        <f t="shared" si="2"/>
        <v>45629</v>
      </c>
      <c r="AH3" s="267"/>
      <c r="AI3" s="268">
        <f t="shared" si="3"/>
        <v>9039</v>
      </c>
    </row>
    <row r="4">
      <c r="A4" s="74">
        <f t="shared" si="4"/>
        <v>45630</v>
      </c>
      <c r="B4" s="93">
        <f>946.07-91.69-37.88-62.99-211.94-65.69-16.18-9.38-13.26</f>
        <v>437.06</v>
      </c>
      <c r="C4" s="93">
        <f>133.7+489.09-15.5-4.5-15.5-40.5</f>
        <v>546.79</v>
      </c>
      <c r="D4" s="93">
        <f>1162.16-80.9</f>
        <v>1081.26</v>
      </c>
      <c r="E4" s="93"/>
      <c r="F4" s="93"/>
      <c r="G4" s="93">
        <v>180.0</v>
      </c>
      <c r="H4" s="168"/>
      <c r="I4" s="93"/>
      <c r="J4" s="93"/>
      <c r="K4" s="93"/>
      <c r="L4" s="93"/>
      <c r="M4" s="93"/>
      <c r="N4" s="93"/>
      <c r="O4" s="93"/>
      <c r="P4" s="160"/>
      <c r="Q4" s="93"/>
      <c r="R4" s="93"/>
      <c r="S4" s="93"/>
      <c r="T4" s="93"/>
      <c r="U4" s="93"/>
      <c r="V4" s="93"/>
      <c r="W4" s="93"/>
      <c r="X4" s="93"/>
      <c r="Y4" s="93"/>
      <c r="Z4" s="101"/>
      <c r="AA4" s="326"/>
      <c r="AB4" s="326"/>
      <c r="AC4" s="326"/>
      <c r="AD4" s="107">
        <f t="shared" si="5"/>
        <v>2245.11</v>
      </c>
      <c r="AE4" s="158">
        <v>7659.0</v>
      </c>
      <c r="AF4" s="59">
        <f t="shared" si="1"/>
        <v>0.2931335684</v>
      </c>
      <c r="AG4" s="109">
        <f t="shared" si="2"/>
        <v>45630</v>
      </c>
      <c r="AH4" s="267"/>
      <c r="AI4" s="268">
        <f t="shared" si="3"/>
        <v>7659</v>
      </c>
    </row>
    <row r="5">
      <c r="A5" s="74">
        <f t="shared" si="4"/>
        <v>45631</v>
      </c>
      <c r="B5" s="93">
        <f>47.72</f>
        <v>47.72</v>
      </c>
      <c r="C5" s="93">
        <f>1099.94-74.35-7.76-11.73-23.58-27.41-127.22-55.79-41.94</f>
        <v>730.16</v>
      </c>
      <c r="D5" s="93"/>
      <c r="E5" s="93"/>
      <c r="F5" s="166">
        <f>321-106</f>
        <v>215</v>
      </c>
      <c r="G5" s="93"/>
      <c r="H5" s="160"/>
      <c r="I5" s="93"/>
      <c r="J5" s="93">
        <f>454.3-190-198</f>
        <v>66.3</v>
      </c>
      <c r="K5" s="93"/>
      <c r="L5" s="93"/>
      <c r="M5" s="93"/>
      <c r="N5" s="93">
        <v>243.0</v>
      </c>
      <c r="O5" s="93"/>
      <c r="P5" s="93"/>
      <c r="Q5" s="93"/>
      <c r="R5" s="93"/>
      <c r="S5" s="101"/>
      <c r="T5" s="93"/>
      <c r="U5" s="93"/>
      <c r="V5" s="93"/>
      <c r="W5" s="93"/>
      <c r="X5" s="93"/>
      <c r="Y5" s="101"/>
      <c r="Z5" s="101"/>
      <c r="AA5" s="327"/>
      <c r="AB5" s="327"/>
      <c r="AC5" s="327"/>
      <c r="AD5" s="7">
        <f t="shared" si="5"/>
        <v>1302.18</v>
      </c>
      <c r="AE5" s="380">
        <v>11113.0</v>
      </c>
      <c r="AF5" s="59">
        <f t="shared" si="1"/>
        <v>0.11717628</v>
      </c>
      <c r="AG5" s="109">
        <f t="shared" si="2"/>
        <v>45631</v>
      </c>
      <c r="AH5" s="267"/>
      <c r="AI5" s="268">
        <f t="shared" si="3"/>
        <v>11113</v>
      </c>
    </row>
    <row r="6">
      <c r="A6" s="74">
        <f t="shared" si="4"/>
        <v>45632</v>
      </c>
      <c r="B6" s="93">
        <f>+1078.91-17.76-10.14-44.4-43.97-25.23-13.15-21.4-52.36-37.42-92.21-75.76-26-104.17</f>
        <v>514.94</v>
      </c>
      <c r="C6" s="361"/>
      <c r="D6" s="93">
        <v>697.94</v>
      </c>
      <c r="E6" s="93"/>
      <c r="F6" s="93"/>
      <c r="G6" s="93"/>
      <c r="H6" s="160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374"/>
      <c r="U6" s="93"/>
      <c r="V6" s="93"/>
      <c r="W6" s="93"/>
      <c r="X6" s="93"/>
      <c r="Y6" s="93"/>
      <c r="Z6" s="93"/>
      <c r="AA6" s="327"/>
      <c r="AB6" s="327"/>
      <c r="AC6" s="327"/>
      <c r="AD6" s="7">
        <f t="shared" si="5"/>
        <v>1212.88</v>
      </c>
      <c r="AE6" s="380">
        <v>11551.0</v>
      </c>
      <c r="AF6" s="59">
        <f t="shared" si="1"/>
        <v>0.1050021643</v>
      </c>
      <c r="AG6" s="109">
        <f t="shared" si="2"/>
        <v>45632</v>
      </c>
      <c r="AH6" s="267"/>
      <c r="AI6" s="268">
        <f t="shared" si="3"/>
        <v>11551</v>
      </c>
    </row>
    <row r="7">
      <c r="A7" s="74">
        <f t="shared" si="4"/>
        <v>45633</v>
      </c>
      <c r="B7" s="93">
        <f>+57.33+361.12+31.25+1227.53-267.84-67.42</f>
        <v>1341.97</v>
      </c>
      <c r="C7" s="32">
        <v>76.55</v>
      </c>
      <c r="D7" s="361">
        <f>212.5+272.25</f>
        <v>484.75</v>
      </c>
      <c r="E7" s="79"/>
      <c r="F7" s="93"/>
      <c r="G7" s="93">
        <v>180.0</v>
      </c>
      <c r="H7" s="93"/>
      <c r="I7" s="93"/>
      <c r="J7" s="93"/>
      <c r="K7" s="93"/>
      <c r="L7" s="93"/>
      <c r="M7" s="93"/>
      <c r="N7" s="93">
        <v>324.0</v>
      </c>
      <c r="O7" s="93"/>
      <c r="P7" s="402"/>
      <c r="Q7" s="93"/>
      <c r="R7" s="93"/>
      <c r="S7" s="101"/>
      <c r="T7" s="93"/>
      <c r="U7" s="93"/>
      <c r="V7" s="93"/>
      <c r="W7" s="93"/>
      <c r="X7" s="93"/>
      <c r="Y7" s="101"/>
      <c r="Z7" s="93"/>
      <c r="AA7" s="327"/>
      <c r="AB7" s="327"/>
      <c r="AC7" s="327"/>
      <c r="AD7" s="7">
        <f t="shared" si="5"/>
        <v>2407.27</v>
      </c>
      <c r="AE7" s="380"/>
      <c r="AF7" s="59" t="str">
        <f t="shared" si="1"/>
        <v>#DIV/0!</v>
      </c>
      <c r="AG7" s="109">
        <f t="shared" si="2"/>
        <v>45633</v>
      </c>
      <c r="AH7" s="267"/>
      <c r="AI7" s="268">
        <f t="shared" si="3"/>
        <v>0</v>
      </c>
    </row>
    <row r="8">
      <c r="A8" s="74">
        <f t="shared" si="4"/>
        <v>45634</v>
      </c>
      <c r="B8" s="93"/>
      <c r="C8" s="374"/>
      <c r="D8" s="344">
        <f>330.05*5</f>
        <v>1650.25</v>
      </c>
      <c r="E8" s="374"/>
      <c r="F8" s="374"/>
      <c r="G8" s="112"/>
      <c r="H8" s="180">
        <v>734.21</v>
      </c>
      <c r="I8" s="374"/>
      <c r="J8" s="402"/>
      <c r="K8" s="93"/>
      <c r="L8" s="112"/>
      <c r="M8" s="112"/>
      <c r="N8" s="93"/>
      <c r="O8" s="93"/>
      <c r="P8" s="93"/>
      <c r="Q8" s="93"/>
      <c r="R8" s="374"/>
      <c r="S8" s="101"/>
      <c r="T8" s="374"/>
      <c r="U8" s="374"/>
      <c r="V8" s="112"/>
      <c r="W8" s="112"/>
      <c r="X8" s="112"/>
      <c r="Y8" s="112"/>
      <c r="Z8" s="112"/>
      <c r="AA8" s="93"/>
      <c r="AB8" s="616"/>
      <c r="AC8" s="616"/>
      <c r="AD8" s="7">
        <f t="shared" si="5"/>
        <v>2384.46</v>
      </c>
      <c r="AE8" s="380">
        <v>0.0</v>
      </c>
      <c r="AF8" s="59" t="str">
        <f t="shared" si="1"/>
        <v>#DIV/0!</v>
      </c>
      <c r="AG8" s="109">
        <f t="shared" si="2"/>
        <v>45634</v>
      </c>
      <c r="AH8" s="267"/>
      <c r="AI8" s="268">
        <f t="shared" si="3"/>
        <v>0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E9" s="129"/>
      <c r="AG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AE10" s="129"/>
      <c r="AG10" s="106"/>
    </row>
    <row r="11">
      <c r="A11" s="165" t="s">
        <v>194</v>
      </c>
      <c r="B11" s="93">
        <f>129.96+65.69+44.64+21.96+28.79+17.76+10.14+44.4+43.97+25.23+13.15+21.4+52.36+37.42+92.21</f>
        <v>649.08</v>
      </c>
      <c r="C11" s="93">
        <f>290.5+15.5+40.5</f>
        <v>346.5</v>
      </c>
      <c r="D11" s="93">
        <v>80.9</v>
      </c>
      <c r="E11" s="167"/>
      <c r="F11" s="168"/>
      <c r="G11" s="168"/>
      <c r="H11" s="166"/>
      <c r="I11" s="166"/>
      <c r="J11" s="93"/>
      <c r="K11" s="168"/>
      <c r="L11" s="93"/>
      <c r="M11" s="93"/>
      <c r="N11" s="93"/>
      <c r="O11" s="168"/>
      <c r="P11" s="168"/>
      <c r="Q11" s="168"/>
      <c r="R11" s="168"/>
      <c r="S11" s="168"/>
      <c r="T11" s="168"/>
      <c r="U11" s="168"/>
      <c r="V11" s="168"/>
      <c r="W11" s="1"/>
      <c r="X11" s="168"/>
      <c r="Y11" s="168"/>
      <c r="Z11" s="1"/>
      <c r="AA11" s="1"/>
      <c r="AB11" s="1"/>
      <c r="AC11" s="1"/>
      <c r="AD11" s="1"/>
      <c r="AE11" s="169"/>
      <c r="AF11" s="1"/>
      <c r="AG11" s="170"/>
    </row>
    <row r="12">
      <c r="A12" s="165" t="s">
        <v>195</v>
      </c>
      <c r="B12" s="93">
        <f>27.06+24.91+169.56+370.11+144+91.69+37.88+62.99+16.18+9.38+13.26+84.7+75.76+26+104.17</f>
        <v>1257.65</v>
      </c>
      <c r="C12" s="587">
        <f>15.5+4.5</f>
        <v>20</v>
      </c>
      <c r="D12" s="93"/>
      <c r="E12" s="93"/>
      <c r="F12" s="374">
        <v>106.0</v>
      </c>
      <c r="G12" s="93"/>
      <c r="H12" s="93"/>
      <c r="I12" s="93"/>
      <c r="J12" s="93">
        <f>190+198</f>
        <v>388</v>
      </c>
      <c r="K12" s="79"/>
      <c r="L12" s="93"/>
      <c r="M12" s="93"/>
      <c r="N12" s="93">
        <f>78+72</f>
        <v>150</v>
      </c>
      <c r="O12" s="168"/>
      <c r="P12" s="168"/>
      <c r="Q12" s="166"/>
      <c r="R12" s="166"/>
      <c r="S12" s="93"/>
      <c r="T12" s="166"/>
      <c r="U12" s="168"/>
      <c r="V12" s="168"/>
      <c r="W12" s="1"/>
      <c r="X12" s="93"/>
      <c r="Y12" s="168"/>
      <c r="Z12" s="1"/>
      <c r="AA12" s="1"/>
      <c r="AB12" s="192">
        <v>2982.0533333333333</v>
      </c>
      <c r="AC12" s="1"/>
      <c r="AD12" s="1"/>
      <c r="AE12" s="171"/>
      <c r="AF12" s="1"/>
      <c r="AG12" s="170"/>
    </row>
    <row r="13" hidden="1">
      <c r="A13" s="172" t="s">
        <v>817</v>
      </c>
      <c r="B13" s="93"/>
      <c r="C13" s="93"/>
      <c r="D13" s="93"/>
      <c r="E13" s="93"/>
      <c r="F13" s="374"/>
      <c r="G13" s="93"/>
      <c r="H13" s="93"/>
      <c r="I13" s="93"/>
      <c r="J13" s="93"/>
      <c r="K13" s="374"/>
      <c r="L13" s="93"/>
      <c r="M13" s="93"/>
      <c r="N13" s="93"/>
      <c r="O13" s="166"/>
      <c r="P13" s="168"/>
      <c r="Q13" s="93"/>
      <c r="R13" s="166"/>
      <c r="S13" s="168"/>
      <c r="T13" s="166"/>
      <c r="U13" s="93"/>
      <c r="V13" s="168"/>
      <c r="W13" s="1"/>
      <c r="X13" s="93"/>
      <c r="Y13" s="168"/>
      <c r="Z13" s="1"/>
      <c r="AA13" s="1"/>
      <c r="AB13" s="1"/>
      <c r="AC13" s="1"/>
      <c r="AD13" s="1"/>
      <c r="AE13" s="171"/>
      <c r="AF13" s="1"/>
      <c r="AG13" s="170"/>
    </row>
    <row r="14">
      <c r="A14" s="165" t="s">
        <v>198</v>
      </c>
      <c r="B14" s="350">
        <v>211.94</v>
      </c>
      <c r="C14" s="348"/>
      <c r="D14" s="93"/>
      <c r="E14" s="168"/>
      <c r="F14" s="166"/>
      <c r="G14" s="166"/>
      <c r="H14" s="168"/>
      <c r="I14" s="168"/>
      <c r="J14" s="93"/>
      <c r="K14" s="168"/>
      <c r="L14" s="168"/>
      <c r="M14" s="168"/>
      <c r="N14" s="93"/>
      <c r="O14" s="168"/>
      <c r="P14" s="168"/>
      <c r="Q14" s="166"/>
      <c r="R14" s="168"/>
      <c r="S14" s="168"/>
      <c r="T14" s="168"/>
      <c r="U14" s="1"/>
      <c r="V14" s="1"/>
      <c r="W14" s="1"/>
      <c r="X14" s="168"/>
      <c r="Y14" s="168"/>
      <c r="Z14" s="1"/>
      <c r="AA14" s="1"/>
      <c r="AB14" s="1"/>
      <c r="AC14" s="1"/>
      <c r="AD14" s="1"/>
      <c r="AE14" s="174"/>
      <c r="AF14" s="1"/>
      <c r="AG14" s="170"/>
    </row>
    <row r="15">
      <c r="A15" s="91"/>
      <c r="B15" s="375"/>
      <c r="C15" s="79"/>
      <c r="D15" s="79"/>
      <c r="E15" s="79"/>
      <c r="F15" s="78"/>
      <c r="G15" s="78"/>
      <c r="H15" s="79"/>
      <c r="I15" s="78"/>
      <c r="J15" s="79"/>
      <c r="K15" s="79"/>
      <c r="L15" s="79"/>
      <c r="M15" s="79"/>
      <c r="N15" s="79"/>
      <c r="O15" s="79"/>
      <c r="R15" s="79"/>
      <c r="S15" s="79"/>
      <c r="T15" s="198"/>
      <c r="U15" s="198"/>
      <c r="Y15" s="79"/>
      <c r="AE15" s="131"/>
      <c r="AG15" s="106"/>
    </row>
    <row r="16">
      <c r="A16" s="91"/>
      <c r="B16" s="375"/>
      <c r="C16" s="79"/>
      <c r="D16" s="78"/>
      <c r="E16" s="78"/>
      <c r="F16" s="205"/>
      <c r="G16" s="351"/>
      <c r="H16" s="192"/>
      <c r="I16" s="198"/>
      <c r="J16" s="201"/>
      <c r="K16" s="199"/>
      <c r="L16" s="199"/>
      <c r="M16" s="200"/>
      <c r="N16" s="202"/>
      <c r="O16" s="198"/>
      <c r="R16" s="198"/>
      <c r="S16" s="79"/>
      <c r="T16" s="198"/>
      <c r="U16" s="198"/>
      <c r="V16" s="198"/>
      <c r="W16" s="198"/>
      <c r="X16" s="199"/>
      <c r="Y16" s="79"/>
      <c r="AE16" s="131"/>
      <c r="AG16" s="106"/>
    </row>
    <row r="17">
      <c r="A17" s="4" t="s">
        <v>22</v>
      </c>
      <c r="B17" s="11">
        <v>7000.0</v>
      </c>
      <c r="C17" s="79"/>
      <c r="D17" s="78"/>
      <c r="E17" s="78"/>
      <c r="F17" s="587"/>
      <c r="G17" s="388"/>
      <c r="H17" s="192"/>
      <c r="I17" s="203"/>
      <c r="J17" s="203"/>
      <c r="K17" s="203"/>
      <c r="L17" s="203"/>
      <c r="M17" s="198"/>
      <c r="N17" s="200"/>
      <c r="O17" s="198"/>
      <c r="P17" s="204"/>
      <c r="R17" s="203"/>
      <c r="S17" s="427"/>
      <c r="T17" s="201"/>
      <c r="U17" s="198"/>
      <c r="V17" s="198"/>
      <c r="W17" s="198"/>
      <c r="X17" s="201"/>
      <c r="Y17" s="79"/>
      <c r="AE17" s="131"/>
      <c r="AG17" s="106"/>
    </row>
    <row r="18">
      <c r="A18" s="4" t="s">
        <v>23</v>
      </c>
      <c r="B18" s="11">
        <f>SUM(B2:AC8)</f>
        <v>14436.73</v>
      </c>
      <c r="C18" s="192"/>
      <c r="D18" s="78"/>
      <c r="E18" s="78"/>
      <c r="F18" s="213"/>
      <c r="G18" s="224"/>
      <c r="H18" s="38"/>
      <c r="I18" s="175"/>
      <c r="J18" s="203"/>
      <c r="K18" s="203"/>
      <c r="L18" s="203"/>
      <c r="M18" s="201"/>
      <c r="N18" s="201"/>
      <c r="O18" s="198"/>
      <c r="P18" s="204"/>
      <c r="R18" s="203"/>
      <c r="S18" s="79"/>
      <c r="T18" s="201"/>
      <c r="U18" s="201"/>
      <c r="V18" s="198"/>
      <c r="W18" s="198"/>
      <c r="X18" s="191"/>
      <c r="Y18" s="79"/>
      <c r="AE18" s="131"/>
      <c r="AG18" s="106"/>
    </row>
    <row r="19">
      <c r="A19" s="4" t="s">
        <v>24</v>
      </c>
      <c r="B19" s="11">
        <f> SUM(B17-B18)</f>
        <v>-7436.73</v>
      </c>
      <c r="C19" s="79"/>
      <c r="D19" s="78"/>
      <c r="E19" s="151"/>
      <c r="F19" s="198"/>
      <c r="G19" s="224"/>
      <c r="H19" s="224"/>
      <c r="I19" s="203"/>
      <c r="J19" s="203"/>
      <c r="K19" s="203"/>
      <c r="L19" s="203"/>
      <c r="M19" s="201"/>
      <c r="N19" s="200"/>
      <c r="O19" s="198"/>
      <c r="P19" s="204"/>
      <c r="R19" s="203"/>
      <c r="S19" s="79"/>
      <c r="T19" s="210"/>
      <c r="U19" s="210"/>
      <c r="V19" s="198"/>
      <c r="W19" s="198"/>
      <c r="X19" s="203"/>
      <c r="Y19" s="79"/>
      <c r="AE19" s="131"/>
      <c r="AG19" s="106"/>
    </row>
    <row r="20">
      <c r="C20" s="79"/>
      <c r="E20" s="588" t="s">
        <v>195</v>
      </c>
      <c r="F20" s="198"/>
      <c r="G20" s="388"/>
      <c r="H20" s="224"/>
      <c r="I20" s="345"/>
      <c r="J20" s="203"/>
      <c r="K20" s="203"/>
      <c r="L20" s="203"/>
      <c r="N20" s="198"/>
      <c r="O20" s="198"/>
      <c r="P20" s="204"/>
      <c r="R20" s="203"/>
      <c r="S20" s="79"/>
      <c r="T20" s="198"/>
      <c r="U20" s="428"/>
      <c r="V20" s="198"/>
      <c r="W20" s="201"/>
      <c r="X20" s="203"/>
      <c r="Y20" s="79"/>
      <c r="AE20" s="131"/>
      <c r="AG20" s="106"/>
    </row>
    <row r="21">
      <c r="A21" s="13" t="s">
        <v>25</v>
      </c>
      <c r="B21" s="14">
        <f>SUM(AE2:AE8)</f>
        <v>39362</v>
      </c>
      <c r="C21" s="79"/>
      <c r="D21" s="13" t="s">
        <v>724</v>
      </c>
      <c r="E21" s="445">
        <f>sum(B12:AB13)+K21</f>
        <v>4903.703333</v>
      </c>
      <c r="F21" s="589"/>
      <c r="G21" s="388">
        <f>+1395.03-697.5-697.5</f>
        <v>0.03</v>
      </c>
      <c r="H21" s="224"/>
      <c r="I21" s="203"/>
      <c r="J21" s="203"/>
      <c r="K21" s="203"/>
      <c r="L21" s="203"/>
      <c r="M21" s="203"/>
      <c r="N21" s="198"/>
      <c r="O21" s="198"/>
      <c r="P21" s="204"/>
      <c r="R21" s="203"/>
      <c r="S21" s="79"/>
      <c r="T21" s="198"/>
      <c r="U21" s="198"/>
      <c r="V21" s="198"/>
      <c r="W21" s="198"/>
      <c r="X21" s="203"/>
      <c r="Y21" s="79"/>
      <c r="AE21" s="181"/>
      <c r="AG21" s="106"/>
    </row>
    <row r="22">
      <c r="A22" s="13" t="s">
        <v>26</v>
      </c>
      <c r="B22" s="15">
        <f>B18/B21</f>
        <v>0.3667682028</v>
      </c>
      <c r="C22" s="79"/>
      <c r="D22" s="13" t="s">
        <v>25</v>
      </c>
      <c r="E22" s="445">
        <f>858+2310+3465+2414+4469+2094</f>
        <v>15610</v>
      </c>
      <c r="F22" s="589"/>
      <c r="G22" s="224"/>
      <c r="H22" s="224"/>
      <c r="I22" s="203"/>
      <c r="J22" s="203"/>
      <c r="K22" s="203"/>
      <c r="L22" s="203"/>
      <c r="M22" s="203"/>
      <c r="N22" s="203"/>
      <c r="O22" s="198"/>
      <c r="P22" s="204"/>
      <c r="R22" s="203"/>
      <c r="S22" s="79"/>
      <c r="T22" s="198"/>
      <c r="U22" s="198"/>
      <c r="V22" s="198"/>
      <c r="W22" s="198"/>
      <c r="X22" s="203"/>
      <c r="Y22" s="79"/>
      <c r="AE22" s="130"/>
      <c r="AG22" s="106"/>
    </row>
    <row r="23">
      <c r="C23" s="79"/>
      <c r="D23" s="448" t="s">
        <v>26</v>
      </c>
      <c r="E23" s="449">
        <f>E21/E22</f>
        <v>0.3141385864</v>
      </c>
      <c r="F23" s="590"/>
      <c r="G23" s="240"/>
      <c r="H23" s="224"/>
      <c r="I23" s="78"/>
      <c r="J23" s="203"/>
      <c r="K23" s="203"/>
      <c r="L23" s="203"/>
      <c r="M23" s="203"/>
      <c r="N23" s="201"/>
      <c r="O23" s="198"/>
      <c r="P23" s="204"/>
      <c r="R23" s="198"/>
      <c r="S23" s="79"/>
      <c r="T23" s="198"/>
      <c r="U23" s="198"/>
      <c r="V23" s="198"/>
      <c r="W23" s="198"/>
      <c r="X23" s="203"/>
      <c r="Y23" s="79"/>
      <c r="AE23" s="182"/>
      <c r="AG23" s="106"/>
    </row>
    <row r="24">
      <c r="C24" s="79"/>
      <c r="D24" s="79"/>
      <c r="E24" s="79"/>
      <c r="F24" s="198"/>
      <c r="G24" s="192"/>
      <c r="H24" s="213"/>
      <c r="I24" s="203"/>
      <c r="J24" s="212"/>
      <c r="K24" s="203"/>
      <c r="L24" s="203"/>
      <c r="M24" s="203"/>
      <c r="N24" s="201"/>
      <c r="O24" s="198"/>
      <c r="P24" s="204"/>
      <c r="R24" s="198"/>
      <c r="S24" s="79"/>
      <c r="T24" s="198"/>
      <c r="U24" s="198"/>
      <c r="V24" s="198"/>
      <c r="W24" s="198"/>
      <c r="X24" s="203"/>
      <c r="Y24" s="79"/>
      <c r="AE24" s="130"/>
      <c r="AG24" s="106"/>
    </row>
    <row r="25">
      <c r="A25" s="16" t="s">
        <v>27</v>
      </c>
      <c r="B25" s="17"/>
      <c r="C25" s="114"/>
      <c r="D25" s="114"/>
      <c r="E25" s="114"/>
      <c r="F25" s="198"/>
      <c r="G25" s="78"/>
      <c r="H25" s="224"/>
      <c r="I25" s="78"/>
      <c r="J25" s="79"/>
      <c r="K25" s="203"/>
      <c r="L25" s="217"/>
      <c r="M25" s="208"/>
      <c r="N25" s="198"/>
      <c r="O25" s="198"/>
      <c r="P25" s="204"/>
      <c r="R25" s="200"/>
      <c r="S25" s="79"/>
      <c r="T25" s="198"/>
      <c r="U25" s="198"/>
      <c r="V25" s="198"/>
      <c r="W25" s="198"/>
      <c r="X25" s="203"/>
      <c r="Y25" s="79"/>
      <c r="AE25" s="130"/>
      <c r="AG25" s="106"/>
    </row>
    <row r="26">
      <c r="A26" s="19" t="s">
        <v>28</v>
      </c>
      <c r="B26" s="20"/>
      <c r="C26" s="116"/>
      <c r="D26" s="116"/>
      <c r="E26" s="116"/>
      <c r="F26" s="198"/>
      <c r="G26" s="212"/>
      <c r="H26" s="213"/>
      <c r="I26" s="224"/>
      <c r="J26" s="78"/>
      <c r="K26" s="203"/>
      <c r="L26" s="203"/>
      <c r="M26" s="209"/>
      <c r="N26" s="201"/>
      <c r="O26" s="198"/>
      <c r="P26" s="204"/>
      <c r="R26" s="198"/>
      <c r="S26" s="79"/>
      <c r="T26" s="198"/>
      <c r="U26" s="198"/>
      <c r="V26" s="198"/>
      <c r="W26" s="198"/>
      <c r="X26" s="203"/>
      <c r="Y26" s="79"/>
      <c r="AE26" s="130"/>
      <c r="AG26" s="106"/>
    </row>
    <row r="27">
      <c r="A27" s="183" t="s">
        <v>29</v>
      </c>
      <c r="B27" s="184" t="s">
        <v>30</v>
      </c>
      <c r="C27" s="183"/>
      <c r="D27" s="183" t="s">
        <v>170</v>
      </c>
      <c r="E27" s="591" t="s">
        <v>171</v>
      </c>
      <c r="F27" s="198"/>
      <c r="G27" s="79"/>
      <c r="H27" s="242"/>
      <c r="I27" s="79"/>
      <c r="J27" s="79"/>
      <c r="K27" s="203"/>
      <c r="L27" s="201"/>
      <c r="M27" s="209"/>
      <c r="N27" s="198"/>
      <c r="O27" s="198"/>
      <c r="P27" s="204"/>
      <c r="R27" s="198"/>
      <c r="S27" s="79"/>
      <c r="T27" s="198"/>
      <c r="U27" s="198"/>
      <c r="V27" s="198"/>
      <c r="W27" s="198"/>
      <c r="X27" s="203"/>
      <c r="Y27" s="79"/>
      <c r="Z27" s="195"/>
      <c r="AE27" s="130"/>
      <c r="AG27" s="106"/>
    </row>
    <row r="28">
      <c r="A28" s="405" t="s">
        <v>818</v>
      </c>
      <c r="B28" s="406">
        <f>1526+1432</f>
        <v>2958</v>
      </c>
      <c r="C28" s="407"/>
      <c r="D28" s="407"/>
      <c r="E28" s="592"/>
      <c r="F28" s="198"/>
      <c r="O28" s="79"/>
      <c r="S28" s="79"/>
      <c r="T28" s="79"/>
      <c r="Y28" s="79"/>
      <c r="AE28" s="130"/>
      <c r="AG28" s="106"/>
    </row>
    <row r="29">
      <c r="A29" s="430" t="s">
        <v>835</v>
      </c>
      <c r="B29" s="431">
        <f>+1232.18+1591.6</f>
        <v>2823.78</v>
      </c>
      <c r="C29" s="432"/>
      <c r="D29" s="432"/>
      <c r="E29" s="432"/>
      <c r="F29" s="204"/>
      <c r="O29" s="79"/>
      <c r="S29" s="79"/>
      <c r="T29" s="79"/>
      <c r="Y29" s="79"/>
      <c r="AE29" s="130"/>
      <c r="AG29" s="106"/>
    </row>
    <row r="30">
      <c r="C30" s="79"/>
      <c r="D30" s="79"/>
      <c r="E30" s="79"/>
      <c r="O30" s="79"/>
      <c r="S30" s="79"/>
      <c r="T30" s="79"/>
      <c r="Y30" s="79"/>
      <c r="AE30" s="130"/>
      <c r="AG30" s="106"/>
    </row>
    <row r="31">
      <c r="A31" s="274"/>
      <c r="B31" s="275" t="s">
        <v>315</v>
      </c>
      <c r="F31" s="274"/>
      <c r="G31" s="274"/>
      <c r="H31" s="274"/>
      <c r="I31" s="274"/>
      <c r="J31" s="274"/>
      <c r="K31" s="274"/>
      <c r="L31" s="274"/>
      <c r="M31" s="274"/>
      <c r="N31" s="274"/>
      <c r="O31" s="274"/>
      <c r="P31" s="274"/>
      <c r="Q31" s="274"/>
      <c r="R31" s="274"/>
      <c r="S31" s="274"/>
      <c r="T31" s="274"/>
      <c r="U31" s="274"/>
      <c r="V31" s="274"/>
      <c r="W31" s="274"/>
      <c r="X31" s="274"/>
      <c r="Y31" s="274"/>
      <c r="Z31" s="274"/>
      <c r="AA31" s="274"/>
      <c r="AB31" s="274"/>
      <c r="AC31" s="274"/>
      <c r="AD31" s="274"/>
      <c r="AE31" s="276"/>
      <c r="AF31" s="274"/>
      <c r="AG31" s="277"/>
      <c r="AH31" s="274"/>
      <c r="AI31" s="274"/>
      <c r="AJ31" s="274"/>
    </row>
    <row r="32">
      <c r="A32" s="16" t="s">
        <v>316</v>
      </c>
      <c r="B32" s="17"/>
      <c r="C32" s="114"/>
      <c r="D32" s="114"/>
      <c r="E32" s="115"/>
      <c r="I32" s="455" t="s">
        <v>735</v>
      </c>
      <c r="J32" s="17"/>
      <c r="K32" s="114"/>
      <c r="L32" s="114"/>
      <c r="M32" s="115"/>
      <c r="P32" s="79"/>
      <c r="T32" s="79"/>
      <c r="U32" s="79"/>
      <c r="AE32" s="130"/>
      <c r="AG32" s="106"/>
    </row>
    <row r="33">
      <c r="A33" s="19" t="s">
        <v>317</v>
      </c>
      <c r="B33" s="20"/>
      <c r="C33" s="116"/>
      <c r="D33" s="116"/>
      <c r="E33" s="117"/>
      <c r="I33" s="599" t="s">
        <v>736</v>
      </c>
      <c r="J33" s="20"/>
      <c r="K33" s="116"/>
      <c r="L33" s="116"/>
      <c r="M33" s="117"/>
      <c r="P33" s="79"/>
      <c r="T33" s="79"/>
      <c r="U33" s="79"/>
      <c r="AE33" s="130"/>
      <c r="AG33" s="106"/>
    </row>
    <row r="34">
      <c r="A34" s="278" t="s">
        <v>318</v>
      </c>
      <c r="B34" s="279" t="s">
        <v>319</v>
      </c>
      <c r="C34" s="280" t="s">
        <v>285</v>
      </c>
      <c r="D34" s="280" t="s">
        <v>30</v>
      </c>
      <c r="E34" s="281" t="s">
        <v>320</v>
      </c>
      <c r="F34" s="281" t="s">
        <v>321</v>
      </c>
      <c r="H34" s="600" t="s">
        <v>743</v>
      </c>
      <c r="I34" s="507" t="s">
        <v>318</v>
      </c>
      <c r="J34" s="601" t="s">
        <v>319</v>
      </c>
      <c r="K34" s="507" t="s">
        <v>285</v>
      </c>
      <c r="L34" s="507" t="s">
        <v>737</v>
      </c>
      <c r="M34" s="507" t="s">
        <v>738</v>
      </c>
      <c r="N34" s="507" t="s">
        <v>739</v>
      </c>
      <c r="O34" s="602" t="s">
        <v>740</v>
      </c>
      <c r="P34" s="602" t="s">
        <v>741</v>
      </c>
      <c r="Q34" s="602" t="s">
        <v>320</v>
      </c>
      <c r="R34" s="507"/>
      <c r="S34" s="602" t="s">
        <v>740</v>
      </c>
      <c r="T34" s="602" t="s">
        <v>741</v>
      </c>
      <c r="U34" s="602" t="s">
        <v>320</v>
      </c>
      <c r="V34" s="507"/>
      <c r="W34" s="602" t="s">
        <v>740</v>
      </c>
      <c r="X34" s="602" t="s">
        <v>741</v>
      </c>
      <c r="Y34" s="602" t="s">
        <v>320</v>
      </c>
      <c r="AE34" s="130"/>
      <c r="AG34" s="106"/>
    </row>
    <row r="35">
      <c r="A35" s="304" t="s">
        <v>597</v>
      </c>
      <c r="B35" s="305">
        <v>45525.0</v>
      </c>
      <c r="C35" s="234" t="s">
        <v>325</v>
      </c>
      <c r="D35" s="178">
        <v>1420.83</v>
      </c>
      <c r="E35" s="308"/>
      <c r="F35" s="304" t="s">
        <v>829</v>
      </c>
      <c r="H35" s="603">
        <f t="shared" ref="H35:H47" si="6">L35+O35+S35+W35</f>
        <v>0</v>
      </c>
      <c r="I35" s="463">
        <v>593114.0</v>
      </c>
      <c r="J35" s="464">
        <v>45595.0</v>
      </c>
      <c r="K35" s="465" t="s">
        <v>437</v>
      </c>
      <c r="L35" s="466">
        <v>6.0</v>
      </c>
      <c r="M35" s="467">
        <v>2575.54</v>
      </c>
      <c r="N35" s="467">
        <f t="shared" ref="N35:N38" si="7">M35/L35</f>
        <v>429.2566667</v>
      </c>
      <c r="O35" s="489">
        <v>-2.0</v>
      </c>
      <c r="P35" s="488">
        <f t="shared" ref="P35:P38" si="8">O35*N35</f>
        <v>-858.5133333</v>
      </c>
      <c r="Q35" s="604">
        <v>45606.0</v>
      </c>
      <c r="R35" s="583"/>
      <c r="S35" s="605">
        <v>-4.0</v>
      </c>
      <c r="T35" s="594">
        <f t="shared" ref="T35:T44" si="9">S35*N35</f>
        <v>-1717.026667</v>
      </c>
      <c r="U35" s="606">
        <v>45616.0</v>
      </c>
      <c r="V35" s="583"/>
      <c r="W35" s="469"/>
      <c r="X35" s="469"/>
      <c r="Y35" s="469"/>
      <c r="Z35" s="483"/>
      <c r="AA35" s="483"/>
      <c r="AB35" s="483"/>
      <c r="AC35" s="483"/>
      <c r="AD35" s="483"/>
      <c r="AE35" s="492"/>
      <c r="AF35" s="483"/>
      <c r="AG35" s="493"/>
      <c r="AH35" s="483"/>
      <c r="AI35" s="483"/>
      <c r="AJ35" s="483"/>
    </row>
    <row r="36">
      <c r="A36" s="304" t="s">
        <v>622</v>
      </c>
      <c r="B36" s="305">
        <v>45533.0</v>
      </c>
      <c r="C36" s="234" t="s">
        <v>325</v>
      </c>
      <c r="D36" s="178">
        <v>1404.36</v>
      </c>
      <c r="E36" s="308"/>
      <c r="F36" s="304" t="s">
        <v>829</v>
      </c>
      <c r="H36" s="603">
        <f t="shared" si="6"/>
        <v>0</v>
      </c>
      <c r="I36" s="463">
        <v>594673.0</v>
      </c>
      <c r="J36" s="464">
        <v>45602.0</v>
      </c>
      <c r="K36" s="465" t="s">
        <v>437</v>
      </c>
      <c r="L36" s="466">
        <v>6.0</v>
      </c>
      <c r="M36" s="467">
        <v>2561.15</v>
      </c>
      <c r="N36" s="467">
        <f t="shared" si="7"/>
        <v>426.8583333</v>
      </c>
      <c r="O36" s="596">
        <v>-4.0</v>
      </c>
      <c r="P36" s="597">
        <f t="shared" si="8"/>
        <v>-1707.433333</v>
      </c>
      <c r="Q36" s="607">
        <v>45616.0</v>
      </c>
      <c r="R36" s="583"/>
      <c r="S36" s="430">
        <v>-2.0</v>
      </c>
      <c r="T36" s="617">
        <f t="shared" si="9"/>
        <v>-853.7166667</v>
      </c>
      <c r="U36" s="618">
        <v>45620.0</v>
      </c>
      <c r="V36" s="583"/>
      <c r="W36" s="469"/>
      <c r="X36" s="469"/>
      <c r="Y36" s="469"/>
      <c r="AE36" s="130"/>
      <c r="AG36" s="106"/>
    </row>
    <row r="37">
      <c r="A37" s="304" t="s">
        <v>644</v>
      </c>
      <c r="B37" s="305">
        <v>45540.0</v>
      </c>
      <c r="C37" s="234" t="s">
        <v>325</v>
      </c>
      <c r="D37" s="178">
        <v>1415.74</v>
      </c>
      <c r="E37" s="308"/>
      <c r="F37" s="304" t="s">
        <v>829</v>
      </c>
      <c r="H37" s="603">
        <f t="shared" si="6"/>
        <v>3</v>
      </c>
      <c r="I37" s="463">
        <v>595849.0</v>
      </c>
      <c r="J37" s="464">
        <v>45604.0</v>
      </c>
      <c r="K37" s="465" t="s">
        <v>437</v>
      </c>
      <c r="L37" s="466">
        <v>3.0</v>
      </c>
      <c r="M37" s="467">
        <v>1262.58</v>
      </c>
      <c r="N37" s="467">
        <f t="shared" si="7"/>
        <v>420.86</v>
      </c>
      <c r="O37" s="473"/>
      <c r="P37" s="468">
        <f t="shared" si="8"/>
        <v>0</v>
      </c>
      <c r="Q37" s="604"/>
      <c r="R37" s="583"/>
      <c r="S37" s="469"/>
      <c r="T37" s="534">
        <f t="shared" si="9"/>
        <v>0</v>
      </c>
      <c r="U37" s="469"/>
      <c r="V37" s="583"/>
      <c r="W37" s="469"/>
      <c r="X37" s="469"/>
      <c r="Y37" s="469"/>
      <c r="AE37" s="130"/>
      <c r="AG37" s="106"/>
    </row>
    <row r="38">
      <c r="A38" s="304" t="s">
        <v>660</v>
      </c>
      <c r="B38" s="305">
        <v>45547.0</v>
      </c>
      <c r="C38" s="234" t="s">
        <v>325</v>
      </c>
      <c r="D38" s="178">
        <v>1419.33</v>
      </c>
      <c r="E38" s="308"/>
      <c r="F38" s="304" t="s">
        <v>829</v>
      </c>
      <c r="H38" s="603">
        <f t="shared" si="6"/>
        <v>6</v>
      </c>
      <c r="I38" s="463">
        <v>596421.0</v>
      </c>
      <c r="J38" s="464">
        <v>45609.0</v>
      </c>
      <c r="K38" s="465" t="s">
        <v>437</v>
      </c>
      <c r="L38" s="466">
        <v>6.0</v>
      </c>
      <c r="M38" s="467">
        <v>2543.15</v>
      </c>
      <c r="N38" s="467">
        <f t="shared" si="7"/>
        <v>423.8583333</v>
      </c>
      <c r="O38" s="473"/>
      <c r="P38" s="468">
        <f t="shared" si="8"/>
        <v>0</v>
      </c>
      <c r="Q38" s="604"/>
      <c r="R38" s="583"/>
      <c r="S38" s="469"/>
      <c r="T38" s="534">
        <f t="shared" si="9"/>
        <v>0</v>
      </c>
      <c r="U38" s="469"/>
      <c r="V38" s="583"/>
      <c r="W38" s="469"/>
      <c r="X38" s="469"/>
      <c r="Y38" s="469"/>
      <c r="AE38" s="130"/>
      <c r="AG38" s="106"/>
    </row>
    <row r="39">
      <c r="A39" s="304" t="s">
        <v>677</v>
      </c>
      <c r="B39" s="305">
        <v>45554.0</v>
      </c>
      <c r="C39" s="234" t="s">
        <v>325</v>
      </c>
      <c r="D39" s="178">
        <v>1439.4</v>
      </c>
      <c r="E39" s="308"/>
      <c r="F39" s="304" t="s">
        <v>829</v>
      </c>
      <c r="H39" s="603">
        <f t="shared" si="6"/>
        <v>0</v>
      </c>
      <c r="I39" s="463"/>
      <c r="J39" s="464"/>
      <c r="K39" s="465"/>
      <c r="L39" s="466"/>
      <c r="M39" s="467"/>
      <c r="N39" s="467"/>
      <c r="O39" s="473"/>
      <c r="P39" s="468"/>
      <c r="Q39" s="604"/>
      <c r="R39" s="583"/>
      <c r="S39" s="469"/>
      <c r="T39" s="534">
        <f t="shared" si="9"/>
        <v>0</v>
      </c>
      <c r="U39" s="469"/>
      <c r="V39" s="583"/>
      <c r="W39" s="469"/>
      <c r="X39" s="469"/>
      <c r="Y39" s="469"/>
      <c r="AE39" s="130"/>
      <c r="AG39" s="106"/>
    </row>
    <row r="40">
      <c r="A40" s="304" t="s">
        <v>691</v>
      </c>
      <c r="B40" s="305">
        <v>45561.0</v>
      </c>
      <c r="C40" s="234" t="s">
        <v>325</v>
      </c>
      <c r="D40" s="178">
        <v>777.2</v>
      </c>
      <c r="E40" s="308"/>
      <c r="F40" s="304" t="s">
        <v>829</v>
      </c>
      <c r="H40" s="610">
        <f t="shared" si="6"/>
        <v>0</v>
      </c>
      <c r="I40" s="619">
        <v>598254.0</v>
      </c>
      <c r="J40" s="620">
        <v>45616.0</v>
      </c>
      <c r="K40" s="430" t="s">
        <v>437</v>
      </c>
      <c r="L40" s="621">
        <v>6.0</v>
      </c>
      <c r="M40" s="622">
        <v>2686.83</v>
      </c>
      <c r="N40" s="622">
        <f t="shared" ref="N40:N43" si="10">M40/L40</f>
        <v>447.805</v>
      </c>
      <c r="O40" s="623">
        <v>-6.0</v>
      </c>
      <c r="P40" s="622">
        <f t="shared" ref="P40:P42" si="11">O40*N40</f>
        <v>-2686.83</v>
      </c>
      <c r="Q40" s="618">
        <v>45620.0</v>
      </c>
      <c r="R40" s="615"/>
      <c r="S40" s="486"/>
      <c r="T40" s="534">
        <f t="shared" si="9"/>
        <v>0</v>
      </c>
      <c r="U40" s="490"/>
      <c r="V40" s="615"/>
      <c r="W40" s="469"/>
      <c r="X40" s="469"/>
      <c r="Y40" s="469"/>
      <c r="AE40" s="130"/>
      <c r="AG40" s="106"/>
    </row>
    <row r="41">
      <c r="A41" s="304" t="s">
        <v>703</v>
      </c>
      <c r="B41" s="305">
        <v>45568.0</v>
      </c>
      <c r="C41" s="234" t="s">
        <v>325</v>
      </c>
      <c r="D41" s="178">
        <v>1421.43</v>
      </c>
      <c r="E41" s="308"/>
      <c r="F41" s="304" t="s">
        <v>829</v>
      </c>
      <c r="H41" s="610">
        <f t="shared" si="6"/>
        <v>0</v>
      </c>
      <c r="I41" s="619">
        <v>599453.0</v>
      </c>
      <c r="J41" s="620">
        <v>45618.0</v>
      </c>
      <c r="K41" s="430" t="s">
        <v>437</v>
      </c>
      <c r="L41" s="621">
        <v>2.0</v>
      </c>
      <c r="M41" s="622">
        <v>848.72</v>
      </c>
      <c r="N41" s="622">
        <f t="shared" si="10"/>
        <v>424.36</v>
      </c>
      <c r="O41" s="623">
        <v>-2.0</v>
      </c>
      <c r="P41" s="622">
        <f t="shared" si="11"/>
        <v>-848.72</v>
      </c>
      <c r="Q41" s="618">
        <v>45620.0</v>
      </c>
      <c r="R41" s="583"/>
      <c r="S41" s="469"/>
      <c r="T41" s="534">
        <f t="shared" si="9"/>
        <v>0</v>
      </c>
      <c r="U41" s="469"/>
      <c r="V41" s="583"/>
      <c r="W41" s="469"/>
      <c r="X41" s="469"/>
      <c r="Y41" s="469"/>
      <c r="AE41" s="130"/>
      <c r="AG41" s="106"/>
    </row>
    <row r="42">
      <c r="A42" s="304" t="s">
        <v>747</v>
      </c>
      <c r="B42" s="305">
        <v>45574.0</v>
      </c>
      <c r="C42" s="234" t="s">
        <v>325</v>
      </c>
      <c r="D42" s="178">
        <v>1449.58</v>
      </c>
      <c r="E42" s="308"/>
      <c r="F42" s="304" t="s">
        <v>829</v>
      </c>
      <c r="H42" s="603">
        <f t="shared" si="6"/>
        <v>0</v>
      </c>
      <c r="I42" s="463">
        <v>599859.0</v>
      </c>
      <c r="J42" s="464">
        <v>45623.0</v>
      </c>
      <c r="K42" s="465" t="s">
        <v>437</v>
      </c>
      <c r="L42" s="466">
        <v>6.0</v>
      </c>
      <c r="M42" s="467">
        <v>2541.65</v>
      </c>
      <c r="N42" s="467">
        <f t="shared" si="10"/>
        <v>423.6083333</v>
      </c>
      <c r="O42" s="623">
        <v>-2.0</v>
      </c>
      <c r="P42" s="622">
        <f t="shared" si="11"/>
        <v>-847.2166667</v>
      </c>
      <c r="Q42" s="624"/>
      <c r="R42" s="583"/>
      <c r="S42" s="46">
        <v>-4.0</v>
      </c>
      <c r="T42" s="608">
        <f t="shared" si="9"/>
        <v>-1694.433333</v>
      </c>
      <c r="U42" s="609">
        <v>45634.0</v>
      </c>
      <c r="V42" s="583"/>
      <c r="W42" s="469"/>
      <c r="X42" s="469"/>
      <c r="Y42" s="469"/>
      <c r="AE42" s="130"/>
      <c r="AG42" s="106"/>
    </row>
    <row r="43">
      <c r="A43" s="304" t="s">
        <v>769</v>
      </c>
      <c r="B43" s="305">
        <v>45581.0</v>
      </c>
      <c r="C43" s="234" t="s">
        <v>325</v>
      </c>
      <c r="D43" s="178">
        <v>1436.0</v>
      </c>
      <c r="E43" s="308"/>
      <c r="F43" s="304" t="s">
        <v>829</v>
      </c>
      <c r="H43" s="603">
        <f t="shared" si="6"/>
        <v>2</v>
      </c>
      <c r="I43" s="463">
        <v>601662.0</v>
      </c>
      <c r="J43" s="464">
        <v>45630.0</v>
      </c>
      <c r="K43" s="465" t="s">
        <v>437</v>
      </c>
      <c r="L43" s="466">
        <v>6.0</v>
      </c>
      <c r="M43" s="467">
        <v>2575.24</v>
      </c>
      <c r="N43" s="467">
        <f t="shared" si="10"/>
        <v>429.2066667</v>
      </c>
      <c r="O43" s="468"/>
      <c r="P43" s="468"/>
      <c r="Q43" s="624"/>
      <c r="R43" s="583"/>
      <c r="S43" s="46">
        <v>-3.0</v>
      </c>
      <c r="T43" s="608">
        <f t="shared" si="9"/>
        <v>-1287.62</v>
      </c>
      <c r="U43" s="609">
        <v>45634.0</v>
      </c>
      <c r="V43" s="583"/>
      <c r="W43" s="46">
        <v>-1.0</v>
      </c>
      <c r="X43" s="608">
        <f>W43*N43</f>
        <v>-429.2066667</v>
      </c>
      <c r="Y43" s="609">
        <v>45634.0</v>
      </c>
      <c r="AE43" s="130"/>
      <c r="AG43" s="106"/>
    </row>
    <row r="44">
      <c r="A44" s="304" t="s">
        <v>786</v>
      </c>
      <c r="B44" s="305">
        <v>45588.0</v>
      </c>
      <c r="C44" s="234" t="s">
        <v>325</v>
      </c>
      <c r="D44" s="178">
        <v>823.39</v>
      </c>
      <c r="E44" s="308"/>
      <c r="F44" s="304" t="s">
        <v>829</v>
      </c>
      <c r="H44" s="603">
        <f t="shared" si="6"/>
        <v>0</v>
      </c>
      <c r="I44" s="463"/>
      <c r="J44" s="464"/>
      <c r="K44" s="465" t="s">
        <v>437</v>
      </c>
      <c r="L44" s="466"/>
      <c r="M44" s="467"/>
      <c r="N44" s="467"/>
      <c r="O44" s="468"/>
      <c r="P44" s="468"/>
      <c r="Q44" s="624"/>
      <c r="R44" s="583"/>
      <c r="S44" s="469"/>
      <c r="T44" s="534">
        <f t="shared" si="9"/>
        <v>0</v>
      </c>
      <c r="U44" s="469"/>
      <c r="V44" s="583"/>
      <c r="W44" s="469"/>
      <c r="X44" s="469"/>
      <c r="Y44" s="469"/>
      <c r="AE44" s="130"/>
      <c r="AG44" s="106"/>
    </row>
    <row r="45">
      <c r="A45" s="289" t="s">
        <v>802</v>
      </c>
      <c r="B45" s="290">
        <v>45595.0</v>
      </c>
      <c r="C45" s="173" t="s">
        <v>325</v>
      </c>
      <c r="D45" s="180">
        <v>817.04</v>
      </c>
      <c r="E45" s="336"/>
      <c r="F45" s="173" t="s">
        <v>830</v>
      </c>
      <c r="H45" s="603">
        <f t="shared" si="6"/>
        <v>0</v>
      </c>
      <c r="I45" s="463"/>
      <c r="J45" s="464"/>
      <c r="K45" s="465" t="s">
        <v>437</v>
      </c>
      <c r="L45" s="466"/>
      <c r="M45" s="467"/>
      <c r="N45" s="467"/>
      <c r="O45" s="468"/>
      <c r="P45" s="468"/>
      <c r="Q45" s="624"/>
      <c r="R45" s="583"/>
      <c r="S45" s="469"/>
      <c r="T45" s="469"/>
      <c r="U45" s="469"/>
      <c r="V45" s="583"/>
      <c r="W45" s="469"/>
      <c r="X45" s="469"/>
      <c r="Y45" s="469"/>
      <c r="AE45" s="130"/>
      <c r="AG45" s="106"/>
    </row>
    <row r="46">
      <c r="A46" s="289" t="s">
        <v>810</v>
      </c>
      <c r="B46" s="290">
        <v>45602.0</v>
      </c>
      <c r="C46" s="173" t="s">
        <v>325</v>
      </c>
      <c r="D46" s="180">
        <v>817.64</v>
      </c>
      <c r="E46" s="336"/>
      <c r="F46" s="173" t="s">
        <v>830</v>
      </c>
      <c r="H46" s="603">
        <f t="shared" si="6"/>
        <v>0</v>
      </c>
      <c r="I46" s="463"/>
      <c r="J46" s="464"/>
      <c r="K46" s="465" t="s">
        <v>437</v>
      </c>
      <c r="L46" s="466"/>
      <c r="M46" s="467"/>
      <c r="N46" s="467"/>
      <c r="O46" s="468"/>
      <c r="P46" s="468"/>
      <c r="Q46" s="624"/>
      <c r="R46" s="583"/>
      <c r="S46" s="469"/>
      <c r="T46" s="469"/>
      <c r="U46" s="469"/>
      <c r="V46" s="583"/>
      <c r="W46" s="469"/>
      <c r="X46" s="469"/>
      <c r="Y46" s="469"/>
      <c r="AE46" s="130"/>
      <c r="AG46" s="106"/>
    </row>
    <row r="47">
      <c r="A47" s="289" t="s">
        <v>824</v>
      </c>
      <c r="B47" s="290">
        <v>45609.0</v>
      </c>
      <c r="C47" s="173" t="s">
        <v>325</v>
      </c>
      <c r="D47" s="180">
        <v>829.32</v>
      </c>
      <c r="E47" s="336"/>
      <c r="F47" s="173" t="s">
        <v>830</v>
      </c>
      <c r="H47" s="603">
        <f t="shared" si="6"/>
        <v>0</v>
      </c>
      <c r="I47" s="473"/>
      <c r="J47" s="464"/>
      <c r="K47" s="465" t="s">
        <v>437</v>
      </c>
      <c r="L47" s="466"/>
      <c r="M47" s="467"/>
      <c r="N47" s="467"/>
      <c r="O47" s="473"/>
      <c r="P47" s="468"/>
      <c r="Q47" s="624"/>
      <c r="R47" s="583"/>
      <c r="S47" s="469"/>
      <c r="T47" s="469"/>
      <c r="U47" s="469"/>
      <c r="V47" s="583"/>
      <c r="W47" s="469"/>
      <c r="X47" s="469"/>
      <c r="Y47" s="469"/>
      <c r="AE47" s="130"/>
      <c r="AG47" s="106"/>
    </row>
    <row r="48">
      <c r="A48" s="289" t="s">
        <v>831</v>
      </c>
      <c r="B48" s="290">
        <v>45616.0</v>
      </c>
      <c r="C48" s="173" t="s">
        <v>325</v>
      </c>
      <c r="D48" s="180">
        <v>860.13</v>
      </c>
      <c r="E48" s="336"/>
      <c r="F48" s="173" t="s">
        <v>830</v>
      </c>
      <c r="P48" s="79"/>
      <c r="T48" s="79"/>
      <c r="U48" s="79"/>
      <c r="AE48" s="130"/>
      <c r="AG48" s="106"/>
    </row>
    <row r="49">
      <c r="A49" s="282" t="s">
        <v>667</v>
      </c>
      <c r="B49" s="283">
        <v>45546.0</v>
      </c>
      <c r="C49" s="166" t="s">
        <v>668</v>
      </c>
      <c r="D49" s="93">
        <f>608.6</f>
        <v>608.6</v>
      </c>
      <c r="E49" s="291" t="s">
        <v>704</v>
      </c>
      <c r="F49" s="6">
        <f>D49/2</f>
        <v>304.3</v>
      </c>
      <c r="H49" s="479" t="s">
        <v>287</v>
      </c>
      <c r="I49" s="32" t="s">
        <v>748</v>
      </c>
      <c r="J49" s="479" t="s">
        <v>749</v>
      </c>
      <c r="K49" s="479" t="s">
        <v>750</v>
      </c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AE49" s="130"/>
      <c r="AG49" s="106"/>
    </row>
    <row r="50">
      <c r="A50" s="282" t="s">
        <v>681</v>
      </c>
      <c r="B50" s="283">
        <v>45555.0</v>
      </c>
      <c r="C50" s="166" t="s">
        <v>664</v>
      </c>
      <c r="D50" s="93">
        <v>785.6</v>
      </c>
      <c r="E50" s="291"/>
      <c r="F50" s="6"/>
      <c r="H50" s="286">
        <v>45578.0</v>
      </c>
      <c r="I50" s="32">
        <v>6.0</v>
      </c>
      <c r="J50" s="480">
        <v>2413.68</v>
      </c>
      <c r="K50" s="479" t="s">
        <v>751</v>
      </c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AE50" s="130"/>
      <c r="AG50" s="106"/>
    </row>
    <row r="51">
      <c r="A51" s="390" t="s">
        <v>709</v>
      </c>
      <c r="B51" s="391">
        <v>45570.0</v>
      </c>
      <c r="C51" s="392" t="s">
        <v>710</v>
      </c>
      <c r="D51" s="393">
        <v>1001.8</v>
      </c>
      <c r="E51" s="394" t="s">
        <v>804</v>
      </c>
      <c r="F51" s="478">
        <f>-250.45-250.45</f>
        <v>-500.9</v>
      </c>
      <c r="H51" s="286">
        <v>45578.0</v>
      </c>
      <c r="I51" s="32">
        <v>3.0</v>
      </c>
      <c r="J51" s="480">
        <v>1202.87</v>
      </c>
      <c r="K51" s="479" t="s">
        <v>752</v>
      </c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AE51" s="130"/>
      <c r="AG51" s="106"/>
    </row>
    <row r="52">
      <c r="A52" s="282" t="s">
        <v>715</v>
      </c>
      <c r="B52" s="283">
        <v>45570.0</v>
      </c>
      <c r="C52" s="166" t="s">
        <v>716</v>
      </c>
      <c r="D52" s="93">
        <f>299.8-5.8</f>
        <v>294</v>
      </c>
      <c r="E52" s="291"/>
      <c r="F52" s="6"/>
      <c r="H52" s="504">
        <v>45585.0</v>
      </c>
      <c r="I52" s="479">
        <v>1.0</v>
      </c>
      <c r="J52" s="505">
        <v>403.0566666666667</v>
      </c>
      <c r="K52" s="479" t="s">
        <v>751</v>
      </c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AE52" s="130"/>
      <c r="AG52" s="106"/>
    </row>
    <row r="53">
      <c r="A53" s="282" t="s">
        <v>753</v>
      </c>
      <c r="B53" s="283">
        <v>45574.0</v>
      </c>
      <c r="C53" s="166" t="s">
        <v>754</v>
      </c>
      <c r="D53" s="93">
        <v>237.1</v>
      </c>
      <c r="E53" s="291"/>
      <c r="F53" s="6"/>
      <c r="H53" s="504">
        <v>45585.0</v>
      </c>
      <c r="I53" s="479">
        <v>6.0</v>
      </c>
      <c r="J53" s="505">
        <v>2399.445</v>
      </c>
      <c r="K53" s="479" t="s">
        <v>751</v>
      </c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AE53" s="130"/>
      <c r="AG53" s="106"/>
    </row>
    <row r="54">
      <c r="A54" s="282" t="s">
        <v>755</v>
      </c>
      <c r="B54" s="283">
        <v>45576.0</v>
      </c>
      <c r="C54" s="166" t="s">
        <v>756</v>
      </c>
      <c r="D54" s="93">
        <v>504.64</v>
      </c>
      <c r="E54" s="291"/>
      <c r="F54" s="6"/>
      <c r="H54" s="504">
        <v>45592.0</v>
      </c>
      <c r="I54" s="479">
        <v>6.0</v>
      </c>
      <c r="J54" s="505">
        <v>2372.855</v>
      </c>
      <c r="K54" s="479" t="s">
        <v>751</v>
      </c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AE54" s="130"/>
      <c r="AG54" s="106"/>
    </row>
    <row r="55">
      <c r="A55" s="282" t="s">
        <v>758</v>
      </c>
      <c r="B55" s="283">
        <v>45561.0</v>
      </c>
      <c r="C55" s="166" t="s">
        <v>536</v>
      </c>
      <c r="D55" s="93">
        <v>1160.0</v>
      </c>
      <c r="E55" s="291" t="s">
        <v>805</v>
      </c>
      <c r="F55" s="6">
        <f>-386.67-386.67</f>
        <v>-773.34</v>
      </c>
      <c r="H55" s="504">
        <v>45599.0</v>
      </c>
      <c r="I55" s="479">
        <v>6.0</v>
      </c>
      <c r="J55" s="505">
        <v>2362.5933333333332</v>
      </c>
      <c r="K55" s="479" t="s">
        <v>751</v>
      </c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AE55" s="130"/>
      <c r="AG55" s="106"/>
    </row>
    <row r="56">
      <c r="A56" s="282" t="s">
        <v>806</v>
      </c>
      <c r="B56" s="283">
        <v>45581.0</v>
      </c>
      <c r="C56" s="166" t="s">
        <v>774</v>
      </c>
      <c r="D56" s="93">
        <f>547-15</f>
        <v>532</v>
      </c>
      <c r="E56" s="503"/>
      <c r="F56" s="478"/>
      <c r="H56" s="504">
        <v>45606.0</v>
      </c>
      <c r="I56" s="479">
        <v>8.0</v>
      </c>
      <c r="J56" s="505">
        <v>3412.1633333333334</v>
      </c>
      <c r="K56" s="479" t="s">
        <v>751</v>
      </c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AE56" s="130"/>
      <c r="AG56" s="106"/>
    </row>
    <row r="57">
      <c r="A57" s="282" t="s">
        <v>775</v>
      </c>
      <c r="B57" s="283">
        <v>45581.0</v>
      </c>
      <c r="C57" s="166" t="s">
        <v>712</v>
      </c>
      <c r="D57" s="93">
        <f>421.43-5</f>
        <v>416.43</v>
      </c>
      <c r="E57" s="291"/>
      <c r="F57" s="6"/>
      <c r="H57" s="584">
        <v>45606.0</v>
      </c>
      <c r="I57" s="585">
        <v>1.0</v>
      </c>
      <c r="J57" s="586">
        <v>393.7266666666667</v>
      </c>
      <c r="K57" s="585" t="s">
        <v>811</v>
      </c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AE57" s="130"/>
      <c r="AG57" s="106"/>
    </row>
    <row r="58">
      <c r="A58" s="282" t="s">
        <v>776</v>
      </c>
      <c r="B58" s="283">
        <v>45583.0</v>
      </c>
      <c r="C58" s="166" t="s">
        <v>777</v>
      </c>
      <c r="D58" s="93">
        <v>91.02</v>
      </c>
      <c r="E58" s="291"/>
      <c r="F58" s="6"/>
      <c r="H58" s="286">
        <v>45613.0</v>
      </c>
      <c r="I58" s="479">
        <v>8.0</v>
      </c>
      <c r="J58" s="505">
        <v>3424.46</v>
      </c>
      <c r="K58" s="479" t="s">
        <v>751</v>
      </c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AE58" s="130"/>
      <c r="AG58" s="106"/>
    </row>
    <row r="59">
      <c r="A59" s="282" t="s">
        <v>778</v>
      </c>
      <c r="B59" s="283">
        <v>45580.0</v>
      </c>
      <c r="C59" s="166" t="s">
        <v>626</v>
      </c>
      <c r="D59" s="93">
        <v>1629.6</v>
      </c>
      <c r="E59" s="337">
        <v>45595.0</v>
      </c>
      <c r="F59" s="6">
        <f>-543.2</f>
        <v>-543.2</v>
      </c>
      <c r="H59" s="286">
        <v>45620.0</v>
      </c>
      <c r="I59" s="479">
        <v>8.0</v>
      </c>
      <c r="J59" s="505">
        <f>sum(M40+M41)</f>
        <v>3535.55</v>
      </c>
      <c r="K59" s="479" t="s">
        <v>751</v>
      </c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AE59" s="130"/>
      <c r="AG59" s="106"/>
    </row>
    <row r="60">
      <c r="A60" s="282" t="s">
        <v>812</v>
      </c>
      <c r="B60" s="283">
        <v>45589.0</v>
      </c>
      <c r="C60" s="166" t="s">
        <v>813</v>
      </c>
      <c r="D60" s="93">
        <v>565.5</v>
      </c>
      <c r="E60" s="291"/>
      <c r="F60" s="6"/>
      <c r="H60" s="286">
        <v>45620.0</v>
      </c>
      <c r="I60" s="479">
        <v>2.0</v>
      </c>
      <c r="J60" s="479">
        <v>853.72</v>
      </c>
      <c r="K60" s="479" t="s">
        <v>832</v>
      </c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AE60" s="130"/>
      <c r="AG60" s="106"/>
    </row>
    <row r="61">
      <c r="A61" s="282" t="s">
        <v>814</v>
      </c>
      <c r="B61" s="283">
        <v>45602.0</v>
      </c>
      <c r="C61" s="166" t="s">
        <v>712</v>
      </c>
      <c r="D61" s="93">
        <f>423.86-15</f>
        <v>408.86</v>
      </c>
      <c r="E61" s="291"/>
      <c r="F61" s="6"/>
      <c r="H61" s="286">
        <v>45627.0</v>
      </c>
      <c r="I61" s="479">
        <v>2.0</v>
      </c>
      <c r="J61" s="479">
        <v>847.22</v>
      </c>
      <c r="K61" s="479" t="s">
        <v>751</v>
      </c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AE61" s="130"/>
      <c r="AG61" s="106"/>
    </row>
    <row r="62">
      <c r="A62" s="390" t="s">
        <v>815</v>
      </c>
      <c r="B62" s="391">
        <v>45602.0</v>
      </c>
      <c r="C62" s="392" t="s">
        <v>710</v>
      </c>
      <c r="D62" s="393">
        <v>1767.68</v>
      </c>
      <c r="E62" s="394"/>
      <c r="F62" s="478"/>
      <c r="H62" s="504">
        <v>45634.0</v>
      </c>
      <c r="I62" s="479">
        <v>7.0</v>
      </c>
      <c r="J62" s="505">
        <v>2982.0533333333333</v>
      </c>
      <c r="K62" s="479" t="s">
        <v>751</v>
      </c>
      <c r="M62" s="481"/>
      <c r="N62" s="481"/>
      <c r="O62" s="545"/>
      <c r="P62" s="79"/>
      <c r="Q62" s="481"/>
      <c r="R62" s="481"/>
      <c r="S62" s="545"/>
      <c r="T62" s="545"/>
      <c r="U62" s="481"/>
      <c r="V62" s="481"/>
      <c r="W62" s="481"/>
      <c r="X62" s="481"/>
      <c r="Y62" s="545"/>
      <c r="AE62" s="130"/>
      <c r="AG62" s="106"/>
    </row>
    <row r="63">
      <c r="A63" s="282" t="s">
        <v>816</v>
      </c>
      <c r="B63" s="283">
        <v>45593.0</v>
      </c>
      <c r="C63" s="166" t="s">
        <v>408</v>
      </c>
      <c r="D63" s="93">
        <v>446.0</v>
      </c>
      <c r="E63" s="291"/>
      <c r="F63" s="6"/>
      <c r="H63" s="504">
        <v>45634.0</v>
      </c>
      <c r="I63" s="479">
        <v>1.0</v>
      </c>
      <c r="J63" s="505">
        <v>429.20666666666665</v>
      </c>
      <c r="K63" s="479" t="s">
        <v>832</v>
      </c>
      <c r="L63" s="625"/>
      <c r="M63" s="481"/>
      <c r="N63" s="481"/>
      <c r="O63" s="545"/>
      <c r="P63" s="626"/>
      <c r="Q63" s="481"/>
      <c r="R63" s="481"/>
      <c r="S63" s="545"/>
      <c r="T63" s="545"/>
      <c r="U63" s="481"/>
      <c r="V63" s="481"/>
      <c r="W63" s="481"/>
      <c r="X63" s="481"/>
      <c r="Y63" s="545"/>
      <c r="AE63" s="130"/>
      <c r="AG63" s="106"/>
    </row>
    <row r="64">
      <c r="A64" s="390" t="s">
        <v>825</v>
      </c>
      <c r="B64" s="391">
        <v>45611.0</v>
      </c>
      <c r="C64" s="392" t="s">
        <v>710</v>
      </c>
      <c r="D64" s="393">
        <v>1114.06</v>
      </c>
      <c r="E64" s="394"/>
      <c r="F64" s="6"/>
      <c r="H64" s="479"/>
      <c r="I64" s="481"/>
      <c r="J64" s="481"/>
      <c r="K64" s="481"/>
      <c r="L64" s="625"/>
      <c r="M64" s="481"/>
      <c r="N64" s="481"/>
      <c r="O64" s="545"/>
      <c r="P64" s="626"/>
      <c r="Q64" s="481"/>
      <c r="R64" s="481"/>
      <c r="S64" s="545"/>
      <c r="T64" s="545"/>
      <c r="U64" s="481"/>
      <c r="V64" s="481"/>
      <c r="W64" s="481"/>
      <c r="X64" s="481"/>
      <c r="Y64" s="545"/>
      <c r="AE64" s="130"/>
      <c r="AG64" s="106"/>
    </row>
    <row r="65">
      <c r="A65" s="282" t="s">
        <v>826</v>
      </c>
      <c r="B65" s="283">
        <v>45608.0</v>
      </c>
      <c r="C65" s="166" t="s">
        <v>827</v>
      </c>
      <c r="D65" s="93">
        <v>1432.76</v>
      </c>
      <c r="E65" s="291"/>
      <c r="F65" s="6"/>
      <c r="H65" s="479"/>
      <c r="I65" s="481"/>
      <c r="J65" s="481"/>
      <c r="K65" s="481"/>
      <c r="L65" s="625"/>
      <c r="M65" s="481"/>
      <c r="N65" s="481"/>
      <c r="O65" s="545"/>
      <c r="P65" s="626"/>
      <c r="Q65" s="481"/>
      <c r="R65" s="481"/>
      <c r="S65" s="545"/>
      <c r="T65" s="545"/>
      <c r="U65" s="481"/>
      <c r="V65" s="481"/>
      <c r="W65" s="481"/>
      <c r="X65" s="481"/>
      <c r="Y65" s="545"/>
      <c r="AE65" s="130"/>
      <c r="AG65" s="106"/>
    </row>
    <row r="66">
      <c r="A66" s="282" t="s">
        <v>834</v>
      </c>
      <c r="B66" s="283">
        <v>45622.0</v>
      </c>
      <c r="C66" s="166" t="s">
        <v>710</v>
      </c>
      <c r="D66" s="93">
        <v>1232.18</v>
      </c>
      <c r="E66" s="291"/>
      <c r="F66" s="6"/>
      <c r="H66" s="479"/>
      <c r="I66" s="481"/>
      <c r="J66" s="481"/>
      <c r="K66" s="481"/>
      <c r="L66" s="625"/>
      <c r="M66" s="481"/>
      <c r="N66" s="481"/>
      <c r="O66" s="545"/>
      <c r="P66" s="626"/>
      <c r="Q66" s="481"/>
      <c r="R66" s="481"/>
      <c r="S66" s="545"/>
      <c r="T66" s="545"/>
      <c r="U66" s="481"/>
      <c r="V66" s="481"/>
      <c r="W66" s="481"/>
      <c r="X66" s="481"/>
      <c r="Y66" s="545"/>
      <c r="AE66" s="130"/>
      <c r="AG66" s="106"/>
    </row>
    <row r="67">
      <c r="A67" s="282"/>
      <c r="B67" s="283"/>
      <c r="C67" s="166"/>
      <c r="D67" s="93"/>
      <c r="E67" s="291"/>
      <c r="F67" s="6"/>
      <c r="O67" s="79"/>
      <c r="S67" s="79"/>
      <c r="T67" s="79"/>
      <c r="Y67" s="79"/>
      <c r="AE67" s="130"/>
      <c r="AG67" s="106"/>
    </row>
    <row r="68">
      <c r="A68" s="282"/>
      <c r="B68" s="283"/>
      <c r="C68" s="166"/>
      <c r="D68" s="93"/>
      <c r="E68" s="291"/>
      <c r="F68" s="6"/>
      <c r="O68" s="79"/>
      <c r="S68" s="79"/>
      <c r="T68" s="79"/>
      <c r="Y68" s="79"/>
      <c r="AE68" s="130"/>
      <c r="AG68" s="106"/>
    </row>
    <row r="69">
      <c r="A69" s="282"/>
      <c r="B69" s="283"/>
      <c r="C69" s="166"/>
      <c r="D69" s="93"/>
      <c r="E69" s="291"/>
      <c r="F69" s="6"/>
      <c r="O69" s="79"/>
      <c r="S69" s="79"/>
      <c r="T69" s="79"/>
      <c r="Y69" s="79"/>
      <c r="AE69" s="130"/>
      <c r="AG69" s="106"/>
    </row>
    <row r="70">
      <c r="A70" s="282"/>
      <c r="B70" s="283"/>
      <c r="C70" s="166"/>
      <c r="D70" s="93"/>
      <c r="E70" s="291"/>
      <c r="F70" s="6"/>
      <c r="O70" s="79"/>
      <c r="S70" s="79"/>
      <c r="T70" s="79"/>
      <c r="Y70" s="79"/>
      <c r="AE70" s="130"/>
      <c r="AG70" s="106"/>
    </row>
    <row r="71">
      <c r="A71" s="282"/>
      <c r="B71" s="283"/>
      <c r="C71" s="166"/>
      <c r="D71" s="93"/>
      <c r="E71" s="291"/>
      <c r="F71" s="6"/>
      <c r="O71" s="79"/>
      <c r="S71" s="79"/>
      <c r="T71" s="79"/>
      <c r="Y71" s="79"/>
      <c r="AE71" s="130"/>
      <c r="AG71" s="106"/>
    </row>
    <row r="72">
      <c r="A72" s="282"/>
      <c r="B72" s="283"/>
      <c r="C72" s="166"/>
      <c r="D72" s="93"/>
      <c r="E72" s="291"/>
      <c r="F72" s="6"/>
      <c r="O72" s="79"/>
      <c r="S72" s="79"/>
      <c r="T72" s="79"/>
      <c r="Y72" s="79"/>
      <c r="AE72" s="130"/>
      <c r="AG72" s="106"/>
    </row>
    <row r="73">
      <c r="A73" s="282"/>
      <c r="B73" s="283"/>
      <c r="C73" s="166"/>
      <c r="D73" s="93"/>
      <c r="E73" s="291"/>
      <c r="F73" s="6"/>
      <c r="O73" s="79"/>
      <c r="S73" s="79"/>
      <c r="T73" s="79"/>
      <c r="Y73" s="79"/>
      <c r="AE73" s="130"/>
      <c r="AG73" s="106"/>
    </row>
    <row r="74">
      <c r="A74" s="282"/>
      <c r="B74" s="283"/>
      <c r="C74" s="166"/>
      <c r="D74" s="93"/>
      <c r="E74" s="291"/>
      <c r="F74" s="6"/>
      <c r="O74" s="79"/>
      <c r="S74" s="79"/>
      <c r="T74" s="79"/>
      <c r="Y74" s="79"/>
      <c r="AE74" s="130"/>
      <c r="AG74" s="106"/>
    </row>
    <row r="75">
      <c r="A75" s="282"/>
      <c r="B75" s="283"/>
      <c r="C75" s="166"/>
      <c r="D75" s="93"/>
      <c r="E75" s="291"/>
      <c r="F75" s="6"/>
      <c r="O75" s="79"/>
      <c r="S75" s="79"/>
      <c r="T75" s="79"/>
      <c r="Y75" s="79"/>
      <c r="AE75" s="130"/>
      <c r="AG75" s="106"/>
    </row>
    <row r="76">
      <c r="A76" s="282"/>
      <c r="B76" s="283"/>
      <c r="C76" s="166"/>
      <c r="D76" s="93"/>
      <c r="E76" s="291"/>
      <c r="F76" s="6"/>
      <c r="O76" s="79"/>
      <c r="S76" s="79"/>
      <c r="T76" s="79"/>
      <c r="Y76" s="79"/>
      <c r="AE76" s="130"/>
      <c r="AG76" s="106"/>
    </row>
    <row r="77">
      <c r="A77" s="282"/>
      <c r="B77" s="283"/>
      <c r="C77" s="166"/>
      <c r="D77" s="93"/>
      <c r="E77" s="291"/>
      <c r="F77" s="6"/>
      <c r="O77" s="79"/>
      <c r="S77" s="79"/>
      <c r="T77" s="79"/>
      <c r="Y77" s="79"/>
      <c r="AE77" s="130"/>
      <c r="AG77" s="106"/>
    </row>
    <row r="78">
      <c r="A78" s="282"/>
      <c r="B78" s="283"/>
      <c r="C78" s="166"/>
      <c r="D78" s="93"/>
      <c r="E78" s="291"/>
      <c r="F78" s="6"/>
      <c r="O78" s="79"/>
      <c r="S78" s="79"/>
      <c r="T78" s="79"/>
      <c r="Y78" s="79"/>
      <c r="AE78" s="130"/>
      <c r="AG78" s="106"/>
    </row>
    <row r="79">
      <c r="A79" s="282"/>
      <c r="B79" s="283"/>
      <c r="C79" s="166"/>
      <c r="D79" s="93"/>
      <c r="E79" s="291"/>
      <c r="F79" s="6"/>
      <c r="O79" s="79"/>
      <c r="S79" s="79"/>
      <c r="T79" s="79"/>
      <c r="Y79" s="79"/>
      <c r="AE79" s="130"/>
      <c r="AG79" s="106"/>
    </row>
    <row r="80">
      <c r="A80" s="282"/>
      <c r="B80" s="283"/>
      <c r="C80" s="166"/>
      <c r="D80" s="93"/>
      <c r="E80" s="291"/>
      <c r="F80" s="6"/>
      <c r="O80" s="79"/>
      <c r="S80" s="79"/>
      <c r="T80" s="79"/>
      <c r="Y80" s="79"/>
      <c r="AE80" s="130"/>
      <c r="AG80" s="106"/>
    </row>
    <row r="81">
      <c r="A81" s="282"/>
      <c r="B81" s="283"/>
      <c r="C81" s="166"/>
      <c r="D81" s="93"/>
      <c r="E81" s="291"/>
      <c r="F81" s="6"/>
      <c r="O81" s="79"/>
      <c r="S81" s="79"/>
      <c r="T81" s="79"/>
      <c r="Y81" s="79"/>
      <c r="AE81" s="130"/>
      <c r="AG81" s="106"/>
    </row>
    <row r="82">
      <c r="A82" s="282"/>
      <c r="B82" s="283"/>
      <c r="C82" s="166"/>
      <c r="D82" s="93"/>
      <c r="E82" s="291"/>
      <c r="F82" s="6"/>
      <c r="O82" s="79"/>
      <c r="S82" s="79"/>
      <c r="T82" s="79"/>
      <c r="Y82" s="79"/>
      <c r="AE82" s="130"/>
      <c r="AG82" s="106"/>
    </row>
    <row r="83">
      <c r="A83" s="282"/>
      <c r="B83" s="283"/>
      <c r="C83" s="166"/>
      <c r="D83" s="93"/>
      <c r="E83" s="291"/>
      <c r="F83" s="6"/>
      <c r="O83" s="79"/>
      <c r="S83" s="79"/>
      <c r="T83" s="79"/>
      <c r="Y83" s="79"/>
      <c r="AE83" s="130"/>
      <c r="AG83" s="106"/>
    </row>
    <row r="84">
      <c r="A84" s="282"/>
      <c r="B84" s="283"/>
      <c r="C84" s="166"/>
      <c r="D84" s="93"/>
      <c r="E84" s="291"/>
      <c r="F84" s="6"/>
      <c r="O84" s="79"/>
      <c r="S84" s="79"/>
      <c r="T84" s="79"/>
      <c r="Y84" s="79"/>
      <c r="AE84" s="130"/>
      <c r="AG84" s="106"/>
    </row>
    <row r="85">
      <c r="A85" s="282"/>
      <c r="B85" s="283"/>
      <c r="C85" s="166"/>
      <c r="D85" s="93"/>
      <c r="E85" s="291"/>
      <c r="F85" s="6"/>
      <c r="O85" s="79"/>
      <c r="S85" s="79"/>
      <c r="T85" s="79"/>
      <c r="Y85" s="79"/>
      <c r="AE85" s="130"/>
      <c r="AG85" s="106"/>
    </row>
    <row r="86">
      <c r="A86" s="282"/>
      <c r="B86" s="283"/>
      <c r="C86" s="166"/>
      <c r="D86" s="93"/>
      <c r="E86" s="291"/>
      <c r="F86" s="6"/>
      <c r="O86" s="79"/>
      <c r="S86" s="79"/>
      <c r="T86" s="79"/>
      <c r="Y86" s="79"/>
      <c r="AE86" s="130"/>
      <c r="AG86" s="106"/>
    </row>
    <row r="87">
      <c r="A87" s="282"/>
      <c r="B87" s="283"/>
      <c r="C87" s="166"/>
      <c r="D87" s="93"/>
      <c r="E87" s="291"/>
      <c r="F87" s="6"/>
      <c r="O87" s="79"/>
      <c r="S87" s="79"/>
      <c r="T87" s="79"/>
      <c r="Y87" s="79"/>
      <c r="AE87" s="130"/>
      <c r="AG87" s="106"/>
    </row>
    <row r="88">
      <c r="A88" s="282"/>
      <c r="B88" s="283"/>
      <c r="C88" s="166"/>
      <c r="D88" s="93"/>
      <c r="E88" s="291"/>
      <c r="F88" s="6"/>
      <c r="O88" s="79"/>
      <c r="S88" s="79"/>
      <c r="T88" s="79"/>
      <c r="Y88" s="79"/>
      <c r="AE88" s="130"/>
      <c r="AG88" s="106"/>
    </row>
    <row r="89">
      <c r="A89" s="282"/>
      <c r="B89" s="283"/>
      <c r="C89" s="166"/>
      <c r="D89" s="93"/>
      <c r="E89" s="291"/>
      <c r="F89" s="6"/>
      <c r="O89" s="79"/>
      <c r="S89" s="79"/>
      <c r="T89" s="79"/>
      <c r="Y89" s="79"/>
      <c r="AE89" s="130"/>
      <c r="AG89" s="106"/>
    </row>
    <row r="90">
      <c r="A90" s="282"/>
      <c r="B90" s="283"/>
      <c r="C90" s="166"/>
      <c r="D90" s="93"/>
      <c r="E90" s="291"/>
      <c r="F90" s="6"/>
      <c r="O90" s="79"/>
      <c r="S90" s="79"/>
      <c r="T90" s="79"/>
      <c r="Y90" s="79"/>
      <c r="AE90" s="130"/>
      <c r="AG90" s="106"/>
    </row>
    <row r="91">
      <c r="A91" s="282"/>
      <c r="B91" s="283"/>
      <c r="C91" s="166"/>
      <c r="D91" s="93"/>
      <c r="E91" s="291"/>
      <c r="F91" s="6"/>
      <c r="O91" s="79"/>
      <c r="S91" s="79"/>
      <c r="T91" s="79"/>
      <c r="Y91" s="79"/>
      <c r="AE91" s="130"/>
      <c r="AG91" s="106"/>
    </row>
    <row r="92">
      <c r="A92" s="282"/>
      <c r="B92" s="283"/>
      <c r="C92" s="166"/>
      <c r="D92" s="93"/>
      <c r="E92" s="291"/>
      <c r="F92" s="6"/>
      <c r="O92" s="79"/>
      <c r="S92" s="79"/>
      <c r="T92" s="79"/>
      <c r="Y92" s="79"/>
      <c r="AE92" s="130"/>
      <c r="AG92" s="106"/>
    </row>
    <row r="93">
      <c r="A93" s="282"/>
      <c r="B93" s="283"/>
      <c r="C93" s="166"/>
      <c r="D93" s="93"/>
      <c r="E93" s="291"/>
      <c r="F93" s="6"/>
      <c r="O93" s="79"/>
      <c r="S93" s="79"/>
      <c r="T93" s="79"/>
      <c r="Y93" s="79"/>
      <c r="AE93" s="130"/>
      <c r="AG93" s="106"/>
    </row>
    <row r="94">
      <c r="A94" s="282"/>
      <c r="B94" s="283"/>
      <c r="C94" s="166"/>
      <c r="D94" s="93"/>
      <c r="E94" s="291"/>
      <c r="F94" s="6"/>
      <c r="O94" s="79"/>
      <c r="S94" s="79"/>
      <c r="T94" s="79"/>
      <c r="Y94" s="79"/>
      <c r="AE94" s="130"/>
      <c r="AG94" s="106"/>
    </row>
    <row r="95">
      <c r="A95" s="282"/>
      <c r="B95" s="283"/>
      <c r="C95" s="166"/>
      <c r="D95" s="93"/>
      <c r="E95" s="291"/>
      <c r="F95" s="6"/>
      <c r="O95" s="79"/>
      <c r="S95" s="79"/>
      <c r="T95" s="79"/>
      <c r="Y95" s="79"/>
      <c r="AE95" s="130"/>
      <c r="AG95" s="106"/>
    </row>
    <row r="96">
      <c r="C96" s="79"/>
      <c r="D96" s="79"/>
      <c r="E96" s="79"/>
      <c r="O96" s="79"/>
      <c r="S96" s="79"/>
      <c r="T96" s="79"/>
      <c r="Y96" s="79"/>
      <c r="AE96" s="130"/>
      <c r="AG96" s="106"/>
    </row>
    <row r="97">
      <c r="C97" s="79"/>
      <c r="D97" s="79"/>
      <c r="E97" s="79"/>
      <c r="O97" s="79"/>
      <c r="S97" s="79"/>
      <c r="T97" s="79"/>
      <c r="Y97" s="79"/>
      <c r="AE97" s="130"/>
      <c r="AG97" s="106"/>
    </row>
    <row r="98">
      <c r="C98" s="79"/>
      <c r="D98" s="79"/>
      <c r="E98" s="79"/>
      <c r="O98" s="79"/>
      <c r="S98" s="79"/>
      <c r="T98" s="79"/>
      <c r="Y98" s="79"/>
      <c r="AE98" s="130"/>
      <c r="AG98" s="106"/>
    </row>
    <row r="99">
      <c r="C99" s="79"/>
      <c r="D99" s="79"/>
      <c r="E99" s="79"/>
      <c r="O99" s="79"/>
      <c r="S99" s="79"/>
      <c r="T99" s="79"/>
      <c r="Y99" s="79"/>
      <c r="AE99" s="130"/>
      <c r="AG99" s="106"/>
    </row>
    <row r="100">
      <c r="C100" s="79"/>
      <c r="D100" s="79"/>
      <c r="E100" s="79"/>
      <c r="O100" s="79"/>
      <c r="S100" s="79"/>
      <c r="T100" s="79"/>
      <c r="Y100" s="79"/>
      <c r="AE100" s="130"/>
      <c r="AG100" s="106"/>
    </row>
    <row r="101">
      <c r="C101" s="79"/>
      <c r="D101" s="79"/>
      <c r="E101" s="79"/>
      <c r="O101" s="79"/>
      <c r="S101" s="79"/>
      <c r="T101" s="79"/>
      <c r="Y101" s="79"/>
      <c r="AE101" s="130"/>
      <c r="AG101" s="106"/>
    </row>
    <row r="102">
      <c r="C102" s="79"/>
      <c r="D102" s="79"/>
      <c r="E102" s="79"/>
      <c r="O102" s="79"/>
      <c r="S102" s="79"/>
      <c r="T102" s="79"/>
      <c r="Y102" s="79"/>
      <c r="AE102" s="130"/>
      <c r="AG102" s="106"/>
    </row>
    <row r="103">
      <c r="C103" s="79"/>
      <c r="D103" s="79"/>
      <c r="E103" s="79"/>
      <c r="O103" s="79"/>
      <c r="S103" s="79"/>
      <c r="T103" s="79"/>
      <c r="Y103" s="79"/>
      <c r="AE103" s="130"/>
      <c r="AG103" s="106"/>
    </row>
    <row r="104">
      <c r="C104" s="79"/>
      <c r="D104" s="79"/>
      <c r="E104" s="79"/>
      <c r="O104" s="79"/>
      <c r="S104" s="79"/>
      <c r="T104" s="79"/>
      <c r="Y104" s="79"/>
      <c r="AE104" s="130"/>
      <c r="AG104" s="106"/>
    </row>
    <row r="105">
      <c r="C105" s="79"/>
      <c r="D105" s="79"/>
      <c r="E105" s="79"/>
      <c r="O105" s="79"/>
      <c r="S105" s="79"/>
      <c r="T105" s="79"/>
      <c r="Y105" s="79"/>
      <c r="AE105" s="130"/>
      <c r="AG105" s="106"/>
    </row>
    <row r="106">
      <c r="C106" s="79"/>
      <c r="D106" s="79"/>
      <c r="E106" s="79"/>
      <c r="O106" s="79"/>
      <c r="S106" s="79"/>
      <c r="T106" s="79"/>
      <c r="Y106" s="79"/>
      <c r="AE106" s="130"/>
      <c r="AG106" s="106"/>
    </row>
    <row r="107">
      <c r="C107" s="79"/>
      <c r="D107" s="79"/>
      <c r="E107" s="79"/>
      <c r="O107" s="79"/>
      <c r="S107" s="79"/>
      <c r="T107" s="79"/>
      <c r="Y107" s="79"/>
      <c r="AE107" s="130"/>
      <c r="AG107" s="106"/>
    </row>
    <row r="108">
      <c r="C108" s="79"/>
      <c r="D108" s="79"/>
      <c r="E108" s="79"/>
      <c r="O108" s="79"/>
      <c r="S108" s="79"/>
      <c r="T108" s="79"/>
      <c r="Y108" s="79"/>
      <c r="AE108" s="130"/>
      <c r="AG108" s="106"/>
    </row>
    <row r="109">
      <c r="C109" s="79"/>
      <c r="D109" s="79"/>
      <c r="E109" s="79"/>
      <c r="O109" s="79"/>
      <c r="S109" s="79"/>
      <c r="T109" s="79"/>
      <c r="Y109" s="79"/>
      <c r="AE109" s="130"/>
      <c r="AG109" s="106"/>
    </row>
    <row r="110">
      <c r="C110" s="79"/>
      <c r="D110" s="79"/>
      <c r="E110" s="79"/>
      <c r="O110" s="79"/>
      <c r="S110" s="79"/>
      <c r="T110" s="79"/>
      <c r="Y110" s="79"/>
      <c r="AE110" s="130"/>
      <c r="AG110" s="106"/>
    </row>
    <row r="111">
      <c r="C111" s="79"/>
      <c r="D111" s="79"/>
      <c r="E111" s="79"/>
      <c r="O111" s="79"/>
      <c r="S111" s="79"/>
      <c r="T111" s="79"/>
      <c r="Y111" s="79"/>
      <c r="AE111" s="130"/>
      <c r="AG111" s="106"/>
    </row>
    <row r="112">
      <c r="C112" s="79"/>
      <c r="D112" s="79"/>
      <c r="E112" s="79"/>
      <c r="O112" s="79"/>
      <c r="S112" s="79"/>
      <c r="T112" s="79"/>
      <c r="Y112" s="79"/>
      <c r="AE112" s="130"/>
      <c r="AG112" s="106"/>
    </row>
    <row r="113">
      <c r="C113" s="79"/>
      <c r="D113" s="79"/>
      <c r="E113" s="79"/>
      <c r="O113" s="79"/>
      <c r="S113" s="79"/>
      <c r="T113" s="79"/>
      <c r="Y113" s="79"/>
      <c r="AE113" s="130"/>
      <c r="AG113" s="106"/>
    </row>
    <row r="114">
      <c r="C114" s="79"/>
      <c r="D114" s="79"/>
      <c r="E114" s="79"/>
      <c r="O114" s="79"/>
      <c r="S114" s="79"/>
      <c r="T114" s="79"/>
      <c r="Y114" s="79"/>
      <c r="AE114" s="130"/>
      <c r="AG114" s="106"/>
    </row>
    <row r="115">
      <c r="C115" s="79"/>
      <c r="D115" s="79"/>
      <c r="E115" s="79"/>
      <c r="O115" s="79"/>
      <c r="S115" s="79"/>
      <c r="T115" s="79"/>
      <c r="Y115" s="79"/>
      <c r="AE115" s="130"/>
      <c r="AG115" s="106"/>
    </row>
    <row r="116">
      <c r="C116" s="79"/>
      <c r="D116" s="79"/>
      <c r="E116" s="79"/>
      <c r="O116" s="79"/>
      <c r="S116" s="79"/>
      <c r="T116" s="79"/>
      <c r="Y116" s="79"/>
      <c r="AE116" s="130"/>
      <c r="AG116" s="106"/>
    </row>
    <row r="117">
      <c r="C117" s="79"/>
      <c r="D117" s="79"/>
      <c r="E117" s="79"/>
      <c r="O117" s="79"/>
      <c r="S117" s="79"/>
      <c r="T117" s="79"/>
      <c r="Y117" s="79"/>
      <c r="AE117" s="130"/>
      <c r="AG117" s="106"/>
    </row>
    <row r="118">
      <c r="C118" s="79"/>
      <c r="D118" s="79"/>
      <c r="E118" s="79"/>
      <c r="O118" s="79"/>
      <c r="S118" s="79"/>
      <c r="T118" s="79"/>
      <c r="Y118" s="79"/>
      <c r="AE118" s="130"/>
      <c r="AG118" s="106"/>
    </row>
    <row r="119">
      <c r="C119" s="79"/>
      <c r="D119" s="79"/>
      <c r="E119" s="79"/>
      <c r="O119" s="79"/>
      <c r="S119" s="79"/>
      <c r="T119" s="79"/>
      <c r="Y119" s="79"/>
      <c r="AE119" s="130"/>
      <c r="AG119" s="106"/>
    </row>
    <row r="120">
      <c r="C120" s="79"/>
      <c r="D120" s="79"/>
      <c r="E120" s="79"/>
      <c r="O120" s="79"/>
      <c r="S120" s="79"/>
      <c r="T120" s="79"/>
      <c r="Y120" s="79"/>
      <c r="AE120" s="130"/>
      <c r="AG120" s="106"/>
    </row>
    <row r="121">
      <c r="C121" s="79"/>
      <c r="D121" s="79"/>
      <c r="E121" s="79"/>
      <c r="O121" s="79"/>
      <c r="S121" s="79"/>
      <c r="T121" s="79"/>
      <c r="Y121" s="79"/>
      <c r="AE121" s="130"/>
      <c r="AG121" s="106"/>
    </row>
    <row r="122">
      <c r="C122" s="79"/>
      <c r="D122" s="79"/>
      <c r="E122" s="79"/>
      <c r="O122" s="79"/>
      <c r="S122" s="79"/>
      <c r="T122" s="79"/>
      <c r="Y122" s="79"/>
      <c r="AE122" s="130"/>
      <c r="AG122" s="106"/>
    </row>
    <row r="123">
      <c r="C123" s="79"/>
      <c r="D123" s="79"/>
      <c r="E123" s="79"/>
      <c r="O123" s="79"/>
      <c r="S123" s="79"/>
      <c r="T123" s="79"/>
      <c r="Y123" s="79"/>
      <c r="AE123" s="130"/>
      <c r="AG123" s="106"/>
    </row>
    <row r="124">
      <c r="C124" s="79"/>
      <c r="D124" s="79"/>
      <c r="E124" s="79"/>
      <c r="O124" s="79"/>
      <c r="S124" s="79"/>
      <c r="T124" s="79"/>
      <c r="Y124" s="79"/>
      <c r="AE124" s="130"/>
      <c r="AG124" s="106"/>
    </row>
    <row r="125">
      <c r="C125" s="79"/>
      <c r="D125" s="79"/>
      <c r="E125" s="79"/>
      <c r="O125" s="79"/>
      <c r="S125" s="79"/>
      <c r="T125" s="79"/>
      <c r="Y125" s="79"/>
      <c r="AE125" s="130"/>
      <c r="AG125" s="106"/>
    </row>
    <row r="126">
      <c r="C126" s="79"/>
      <c r="D126" s="79"/>
      <c r="E126" s="79"/>
      <c r="O126" s="79"/>
      <c r="S126" s="79"/>
      <c r="T126" s="79"/>
      <c r="Y126" s="79"/>
      <c r="AE126" s="130"/>
      <c r="AG126" s="106"/>
    </row>
    <row r="127">
      <c r="C127" s="79"/>
      <c r="D127" s="79"/>
      <c r="E127" s="79"/>
      <c r="O127" s="79"/>
      <c r="S127" s="79"/>
      <c r="T127" s="79"/>
      <c r="Y127" s="79"/>
      <c r="AE127" s="130"/>
      <c r="AG127" s="106"/>
    </row>
    <row r="128">
      <c r="C128" s="79"/>
      <c r="D128" s="79"/>
      <c r="E128" s="79"/>
      <c r="O128" s="79"/>
      <c r="S128" s="79"/>
      <c r="T128" s="79"/>
      <c r="Y128" s="79"/>
      <c r="AE128" s="130"/>
      <c r="AG128" s="106"/>
    </row>
    <row r="129">
      <c r="C129" s="79"/>
      <c r="D129" s="79"/>
      <c r="E129" s="79"/>
      <c r="O129" s="79"/>
      <c r="S129" s="79"/>
      <c r="T129" s="79"/>
      <c r="Y129" s="79"/>
      <c r="AE129" s="130"/>
      <c r="AG129" s="106"/>
    </row>
    <row r="130">
      <c r="C130" s="79"/>
      <c r="D130" s="79"/>
      <c r="E130" s="79"/>
      <c r="O130" s="79"/>
      <c r="S130" s="79"/>
      <c r="T130" s="79"/>
      <c r="Y130" s="79"/>
      <c r="AE130" s="130"/>
      <c r="AG130" s="106"/>
    </row>
    <row r="131">
      <c r="C131" s="79"/>
      <c r="D131" s="79"/>
      <c r="E131" s="79"/>
      <c r="O131" s="79"/>
      <c r="S131" s="79"/>
      <c r="T131" s="79"/>
      <c r="Y131" s="79"/>
      <c r="AE131" s="130"/>
      <c r="AG131" s="106"/>
    </row>
    <row r="132">
      <c r="C132" s="79"/>
      <c r="D132" s="79"/>
      <c r="E132" s="79"/>
      <c r="O132" s="79"/>
      <c r="S132" s="79"/>
      <c r="T132" s="79"/>
      <c r="Y132" s="79"/>
      <c r="AE132" s="130"/>
      <c r="AG132" s="106"/>
    </row>
    <row r="133">
      <c r="C133" s="79"/>
      <c r="D133" s="79"/>
      <c r="E133" s="79"/>
      <c r="O133" s="79"/>
      <c r="S133" s="79"/>
      <c r="T133" s="79"/>
      <c r="Y133" s="79"/>
      <c r="AE133" s="130"/>
      <c r="AG133" s="106"/>
    </row>
    <row r="134">
      <c r="C134" s="79"/>
      <c r="D134" s="79"/>
      <c r="E134" s="79"/>
      <c r="O134" s="79"/>
      <c r="S134" s="79"/>
      <c r="T134" s="79"/>
      <c r="Y134" s="79"/>
      <c r="AE134" s="130"/>
      <c r="AG134" s="106"/>
    </row>
    <row r="135">
      <c r="C135" s="79"/>
      <c r="D135" s="79"/>
      <c r="E135" s="79"/>
      <c r="O135" s="79"/>
      <c r="S135" s="79"/>
      <c r="T135" s="79"/>
      <c r="Y135" s="79"/>
      <c r="AE135" s="130"/>
      <c r="AG135" s="106"/>
    </row>
    <row r="136">
      <c r="C136" s="79"/>
      <c r="D136" s="79"/>
      <c r="E136" s="79"/>
      <c r="O136" s="79"/>
      <c r="S136" s="79"/>
      <c r="T136" s="79"/>
      <c r="Y136" s="79"/>
      <c r="AE136" s="130"/>
      <c r="AG136" s="106"/>
    </row>
    <row r="137">
      <c r="C137" s="79"/>
      <c r="D137" s="79"/>
      <c r="E137" s="79"/>
      <c r="O137" s="79"/>
      <c r="S137" s="79"/>
      <c r="T137" s="79"/>
      <c r="Y137" s="79"/>
      <c r="AE137" s="130"/>
      <c r="AG137" s="106"/>
    </row>
    <row r="138">
      <c r="C138" s="79"/>
      <c r="D138" s="79"/>
      <c r="E138" s="79"/>
      <c r="O138" s="79"/>
      <c r="S138" s="79"/>
      <c r="T138" s="79"/>
      <c r="Y138" s="79"/>
      <c r="AE138" s="130"/>
      <c r="AG138" s="106"/>
    </row>
    <row r="139">
      <c r="C139" s="79"/>
      <c r="D139" s="79"/>
      <c r="E139" s="79"/>
      <c r="O139" s="79"/>
      <c r="S139" s="79"/>
      <c r="T139" s="79"/>
      <c r="Y139" s="79"/>
      <c r="AE139" s="130"/>
      <c r="AG139" s="106"/>
    </row>
    <row r="140">
      <c r="C140" s="79"/>
      <c r="D140" s="79"/>
      <c r="E140" s="79"/>
      <c r="O140" s="79"/>
      <c r="S140" s="79"/>
      <c r="T140" s="79"/>
      <c r="Y140" s="79"/>
      <c r="AE140" s="130"/>
      <c r="AG140" s="106"/>
    </row>
    <row r="141">
      <c r="C141" s="79"/>
      <c r="D141" s="79"/>
      <c r="E141" s="79"/>
      <c r="O141" s="79"/>
      <c r="S141" s="79"/>
      <c r="T141" s="79"/>
      <c r="Y141" s="79"/>
      <c r="AE141" s="130"/>
      <c r="AG141" s="106"/>
    </row>
    <row r="142">
      <c r="C142" s="79"/>
      <c r="D142" s="79"/>
      <c r="E142" s="79"/>
      <c r="O142" s="79"/>
      <c r="S142" s="79"/>
      <c r="T142" s="79"/>
      <c r="Y142" s="79"/>
      <c r="AE142" s="130"/>
      <c r="AG142" s="106"/>
    </row>
    <row r="143">
      <c r="C143" s="79"/>
      <c r="D143" s="79"/>
      <c r="E143" s="79"/>
      <c r="O143" s="79"/>
      <c r="S143" s="79"/>
      <c r="T143" s="79"/>
      <c r="Y143" s="79"/>
      <c r="AE143" s="130"/>
      <c r="AG143" s="106"/>
    </row>
    <row r="144">
      <c r="C144" s="79"/>
      <c r="D144" s="79"/>
      <c r="E144" s="79"/>
      <c r="O144" s="79"/>
      <c r="S144" s="79"/>
      <c r="T144" s="79"/>
      <c r="Y144" s="79"/>
      <c r="AE144" s="130"/>
      <c r="AG144" s="106"/>
    </row>
    <row r="145">
      <c r="C145" s="79"/>
      <c r="D145" s="79"/>
      <c r="E145" s="79"/>
      <c r="O145" s="79"/>
      <c r="S145" s="79"/>
      <c r="T145" s="79"/>
      <c r="Y145" s="79"/>
      <c r="AE145" s="130"/>
      <c r="AG145" s="106"/>
    </row>
    <row r="146">
      <c r="C146" s="79"/>
      <c r="D146" s="79"/>
      <c r="E146" s="79"/>
      <c r="O146" s="79"/>
      <c r="S146" s="79"/>
      <c r="T146" s="79"/>
      <c r="Y146" s="79"/>
      <c r="AE146" s="130"/>
      <c r="AG146" s="106"/>
    </row>
    <row r="147">
      <c r="C147" s="79"/>
      <c r="D147" s="79"/>
      <c r="E147" s="79"/>
      <c r="O147" s="79"/>
      <c r="S147" s="79"/>
      <c r="T147" s="79"/>
      <c r="Y147" s="79"/>
      <c r="AE147" s="130"/>
      <c r="AG147" s="106"/>
    </row>
    <row r="148">
      <c r="C148" s="79"/>
      <c r="D148" s="79"/>
      <c r="E148" s="79"/>
      <c r="O148" s="79"/>
      <c r="S148" s="79"/>
      <c r="T148" s="79"/>
      <c r="Y148" s="79"/>
      <c r="AE148" s="130"/>
      <c r="AG148" s="106"/>
    </row>
    <row r="149">
      <c r="C149" s="79"/>
      <c r="D149" s="79"/>
      <c r="E149" s="79"/>
      <c r="O149" s="79"/>
      <c r="S149" s="79"/>
      <c r="T149" s="79"/>
      <c r="Y149" s="79"/>
      <c r="AE149" s="130"/>
      <c r="AG149" s="106"/>
    </row>
    <row r="150">
      <c r="C150" s="79"/>
      <c r="D150" s="79"/>
      <c r="E150" s="79"/>
      <c r="O150" s="79"/>
      <c r="S150" s="79"/>
      <c r="T150" s="79"/>
      <c r="Y150" s="79"/>
      <c r="AE150" s="130"/>
      <c r="AG150" s="106"/>
    </row>
    <row r="151">
      <c r="C151" s="79"/>
      <c r="D151" s="79"/>
      <c r="E151" s="79"/>
      <c r="O151" s="79"/>
      <c r="S151" s="79"/>
      <c r="T151" s="79"/>
      <c r="Y151" s="79"/>
      <c r="AE151" s="130"/>
      <c r="AG151" s="106"/>
    </row>
    <row r="152">
      <c r="C152" s="79"/>
      <c r="D152" s="79"/>
      <c r="E152" s="79"/>
      <c r="O152" s="79"/>
      <c r="S152" s="79"/>
      <c r="T152" s="79"/>
      <c r="Y152" s="79"/>
      <c r="AE152" s="130"/>
      <c r="AG152" s="106"/>
    </row>
    <row r="153">
      <c r="C153" s="79"/>
      <c r="D153" s="79"/>
      <c r="E153" s="79"/>
      <c r="O153" s="79"/>
      <c r="S153" s="79"/>
      <c r="T153" s="79"/>
      <c r="Y153" s="79"/>
      <c r="AE153" s="130"/>
      <c r="AG153" s="106"/>
    </row>
    <row r="154">
      <c r="C154" s="79"/>
      <c r="D154" s="79"/>
      <c r="E154" s="79"/>
      <c r="O154" s="79"/>
      <c r="S154" s="79"/>
      <c r="T154" s="79"/>
      <c r="Y154" s="79"/>
      <c r="AE154" s="130"/>
      <c r="AG154" s="106"/>
    </row>
    <row r="155">
      <c r="C155" s="79"/>
      <c r="D155" s="79"/>
      <c r="E155" s="79"/>
      <c r="O155" s="79"/>
      <c r="S155" s="79"/>
      <c r="T155" s="79"/>
      <c r="Y155" s="79"/>
      <c r="AE155" s="130"/>
      <c r="AG155" s="106"/>
    </row>
    <row r="156">
      <c r="C156" s="79"/>
      <c r="D156" s="79"/>
      <c r="E156" s="79"/>
      <c r="O156" s="79"/>
      <c r="S156" s="79"/>
      <c r="T156" s="79"/>
      <c r="Y156" s="79"/>
      <c r="AE156" s="130"/>
      <c r="AG156" s="106"/>
    </row>
    <row r="157">
      <c r="C157" s="79"/>
      <c r="D157" s="79"/>
      <c r="E157" s="79"/>
      <c r="O157" s="79"/>
      <c r="S157" s="79"/>
      <c r="T157" s="79"/>
      <c r="Y157" s="79"/>
      <c r="AE157" s="130"/>
      <c r="AG157" s="106"/>
    </row>
    <row r="158">
      <c r="C158" s="79"/>
      <c r="D158" s="79"/>
      <c r="E158" s="79"/>
      <c r="O158" s="79"/>
      <c r="S158" s="79"/>
      <c r="T158" s="79"/>
      <c r="Y158" s="79"/>
      <c r="AE158" s="130"/>
      <c r="AG158" s="106"/>
    </row>
    <row r="159">
      <c r="C159" s="79"/>
      <c r="D159" s="79"/>
      <c r="E159" s="79"/>
      <c r="O159" s="79"/>
      <c r="S159" s="79"/>
      <c r="T159" s="79"/>
      <c r="Y159" s="79"/>
      <c r="AE159" s="130"/>
      <c r="AG159" s="106"/>
    </row>
    <row r="160">
      <c r="C160" s="79"/>
      <c r="D160" s="79"/>
      <c r="E160" s="79"/>
      <c r="O160" s="79"/>
      <c r="S160" s="79"/>
      <c r="T160" s="79"/>
      <c r="Y160" s="79"/>
      <c r="AE160" s="130"/>
      <c r="AG160" s="106"/>
    </row>
    <row r="161">
      <c r="C161" s="79"/>
      <c r="D161" s="79"/>
      <c r="E161" s="79"/>
      <c r="O161" s="79"/>
      <c r="S161" s="79"/>
      <c r="T161" s="79"/>
      <c r="Y161" s="79"/>
      <c r="AE161" s="130"/>
      <c r="AG161" s="106"/>
    </row>
    <row r="162">
      <c r="C162" s="79"/>
      <c r="D162" s="79"/>
      <c r="E162" s="79"/>
      <c r="O162" s="79"/>
      <c r="S162" s="79"/>
      <c r="T162" s="79"/>
      <c r="Y162" s="79"/>
      <c r="AE162" s="130"/>
      <c r="AG162" s="106"/>
    </row>
    <row r="163">
      <c r="C163" s="79"/>
      <c r="D163" s="79"/>
      <c r="E163" s="79"/>
      <c r="O163" s="79"/>
      <c r="S163" s="79"/>
      <c r="T163" s="79"/>
      <c r="Y163" s="79"/>
      <c r="AE163" s="130"/>
      <c r="AG163" s="106"/>
    </row>
    <row r="164">
      <c r="C164" s="79"/>
      <c r="D164" s="79"/>
      <c r="E164" s="79"/>
      <c r="O164" s="79"/>
      <c r="S164" s="79"/>
      <c r="T164" s="79"/>
      <c r="Y164" s="79"/>
      <c r="AE164" s="130"/>
      <c r="AG164" s="106"/>
    </row>
    <row r="165">
      <c r="C165" s="79"/>
      <c r="D165" s="79"/>
      <c r="E165" s="79"/>
      <c r="O165" s="79"/>
      <c r="S165" s="79"/>
      <c r="T165" s="79"/>
      <c r="Y165" s="79"/>
      <c r="AE165" s="130"/>
      <c r="AG165" s="106"/>
    </row>
    <row r="166">
      <c r="C166" s="79"/>
      <c r="D166" s="79"/>
      <c r="E166" s="79"/>
      <c r="O166" s="79"/>
      <c r="S166" s="79"/>
      <c r="T166" s="79"/>
      <c r="Y166" s="79"/>
      <c r="AE166" s="130"/>
      <c r="AG166" s="106"/>
    </row>
    <row r="167">
      <c r="C167" s="79"/>
      <c r="D167" s="79"/>
      <c r="E167" s="79"/>
      <c r="O167" s="79"/>
      <c r="S167" s="79"/>
      <c r="T167" s="79"/>
      <c r="Y167" s="79"/>
      <c r="AE167" s="130"/>
      <c r="AG167" s="106"/>
    </row>
    <row r="168">
      <c r="C168" s="79"/>
      <c r="D168" s="79"/>
      <c r="E168" s="79"/>
      <c r="O168" s="79"/>
      <c r="S168" s="79"/>
      <c r="T168" s="79"/>
      <c r="Y168" s="79"/>
      <c r="AE168" s="130"/>
      <c r="AG168" s="106"/>
    </row>
    <row r="169">
      <c r="C169" s="79"/>
      <c r="D169" s="79"/>
      <c r="E169" s="79"/>
      <c r="O169" s="79"/>
      <c r="S169" s="79"/>
      <c r="T169" s="79"/>
      <c r="Y169" s="79"/>
      <c r="AE169" s="130"/>
      <c r="AG169" s="106"/>
    </row>
    <row r="170">
      <c r="C170" s="79"/>
      <c r="D170" s="79"/>
      <c r="E170" s="79"/>
      <c r="O170" s="79"/>
      <c r="S170" s="79"/>
      <c r="T170" s="79"/>
      <c r="Y170" s="79"/>
      <c r="AE170" s="130"/>
      <c r="AG170" s="106"/>
    </row>
    <row r="171">
      <c r="C171" s="79"/>
      <c r="D171" s="79"/>
      <c r="E171" s="79"/>
      <c r="O171" s="79"/>
      <c r="S171" s="79"/>
      <c r="T171" s="79"/>
      <c r="Y171" s="79"/>
      <c r="AE171" s="130"/>
      <c r="AG171" s="106"/>
    </row>
    <row r="172">
      <c r="C172" s="79"/>
      <c r="D172" s="79"/>
      <c r="E172" s="79"/>
      <c r="O172" s="79"/>
      <c r="S172" s="79"/>
      <c r="T172" s="79"/>
      <c r="Y172" s="79"/>
      <c r="AE172" s="130"/>
      <c r="AG172" s="106"/>
    </row>
    <row r="173">
      <c r="C173" s="79"/>
      <c r="D173" s="79"/>
      <c r="E173" s="79"/>
      <c r="O173" s="79"/>
      <c r="S173" s="79"/>
      <c r="T173" s="79"/>
      <c r="Y173" s="79"/>
      <c r="AE173" s="130"/>
      <c r="AG173" s="106"/>
    </row>
    <row r="174">
      <c r="C174" s="79"/>
      <c r="D174" s="79"/>
      <c r="E174" s="79"/>
      <c r="O174" s="79"/>
      <c r="S174" s="79"/>
      <c r="T174" s="79"/>
      <c r="Y174" s="79"/>
      <c r="AE174" s="130"/>
      <c r="AG174" s="106"/>
    </row>
    <row r="175">
      <c r="C175" s="79"/>
      <c r="D175" s="79"/>
      <c r="E175" s="79"/>
      <c r="O175" s="79"/>
      <c r="S175" s="79"/>
      <c r="T175" s="79"/>
      <c r="Y175" s="79"/>
      <c r="AE175" s="130"/>
      <c r="AG175" s="106"/>
    </row>
    <row r="176">
      <c r="C176" s="79"/>
      <c r="D176" s="79"/>
      <c r="E176" s="79"/>
      <c r="O176" s="79"/>
      <c r="S176" s="79"/>
      <c r="T176" s="79"/>
      <c r="Y176" s="79"/>
      <c r="AE176" s="130"/>
      <c r="AG176" s="106"/>
    </row>
    <row r="177">
      <c r="C177" s="79"/>
      <c r="D177" s="79"/>
      <c r="E177" s="79"/>
      <c r="O177" s="79"/>
      <c r="S177" s="79"/>
      <c r="T177" s="79"/>
      <c r="Y177" s="79"/>
      <c r="AE177" s="130"/>
      <c r="AG177" s="106"/>
    </row>
    <row r="178">
      <c r="C178" s="79"/>
      <c r="D178" s="79"/>
      <c r="E178" s="79"/>
      <c r="O178" s="79"/>
      <c r="S178" s="79"/>
      <c r="T178" s="79"/>
      <c r="Y178" s="79"/>
      <c r="AE178" s="130"/>
      <c r="AG178" s="106"/>
    </row>
    <row r="179">
      <c r="C179" s="79"/>
      <c r="D179" s="79"/>
      <c r="E179" s="79"/>
      <c r="O179" s="79"/>
      <c r="S179" s="79"/>
      <c r="T179" s="79"/>
      <c r="Y179" s="79"/>
      <c r="AE179" s="130"/>
      <c r="AG179" s="106"/>
    </row>
    <row r="180">
      <c r="C180" s="79"/>
      <c r="D180" s="79"/>
      <c r="E180" s="79"/>
      <c r="O180" s="79"/>
      <c r="S180" s="79"/>
      <c r="T180" s="79"/>
      <c r="Y180" s="79"/>
      <c r="AE180" s="130"/>
      <c r="AG180" s="106"/>
    </row>
    <row r="181">
      <c r="C181" s="79"/>
      <c r="D181" s="79"/>
      <c r="E181" s="79"/>
      <c r="O181" s="79"/>
      <c r="S181" s="79"/>
      <c r="T181" s="79"/>
      <c r="Y181" s="79"/>
      <c r="AE181" s="130"/>
      <c r="AG181" s="106"/>
    </row>
    <row r="182">
      <c r="C182" s="79"/>
      <c r="D182" s="79"/>
      <c r="E182" s="79"/>
      <c r="O182" s="79"/>
      <c r="S182" s="79"/>
      <c r="T182" s="79"/>
      <c r="Y182" s="79"/>
      <c r="AE182" s="130"/>
      <c r="AG182" s="106"/>
    </row>
    <row r="183">
      <c r="C183" s="79"/>
      <c r="D183" s="79"/>
      <c r="E183" s="79"/>
      <c r="O183" s="79"/>
      <c r="S183" s="79"/>
      <c r="T183" s="79"/>
      <c r="Y183" s="79"/>
      <c r="AE183" s="130"/>
      <c r="AG183" s="106"/>
    </row>
    <row r="184">
      <c r="C184" s="79"/>
      <c r="D184" s="79"/>
      <c r="E184" s="79"/>
      <c r="O184" s="79"/>
      <c r="S184" s="79"/>
      <c r="T184" s="79"/>
      <c r="Y184" s="79"/>
      <c r="AE184" s="130"/>
      <c r="AG184" s="106"/>
    </row>
    <row r="185">
      <c r="C185" s="79"/>
      <c r="D185" s="79"/>
      <c r="E185" s="79"/>
      <c r="O185" s="79"/>
      <c r="S185" s="79"/>
      <c r="T185" s="79"/>
      <c r="Y185" s="79"/>
      <c r="AE185" s="130"/>
      <c r="AG185" s="106"/>
    </row>
    <row r="186">
      <c r="C186" s="79"/>
      <c r="D186" s="79"/>
      <c r="E186" s="79"/>
      <c r="O186" s="79"/>
      <c r="S186" s="79"/>
      <c r="T186" s="79"/>
      <c r="Y186" s="79"/>
      <c r="AE186" s="130"/>
      <c r="AG186" s="106"/>
    </row>
    <row r="187">
      <c r="C187" s="79"/>
      <c r="D187" s="79"/>
      <c r="E187" s="79"/>
      <c r="O187" s="79"/>
      <c r="S187" s="79"/>
      <c r="T187" s="79"/>
      <c r="Y187" s="79"/>
      <c r="AE187" s="130"/>
      <c r="AG187" s="106"/>
    </row>
    <row r="188">
      <c r="C188" s="79"/>
      <c r="D188" s="79"/>
      <c r="E188" s="79"/>
      <c r="O188" s="79"/>
      <c r="S188" s="79"/>
      <c r="T188" s="79"/>
      <c r="Y188" s="79"/>
      <c r="AE188" s="130"/>
      <c r="AG188" s="106"/>
    </row>
    <row r="189">
      <c r="C189" s="79"/>
      <c r="D189" s="79"/>
      <c r="E189" s="79"/>
      <c r="O189" s="79"/>
      <c r="S189" s="79"/>
      <c r="T189" s="79"/>
      <c r="Y189" s="79"/>
      <c r="AE189" s="130"/>
      <c r="AG189" s="106"/>
    </row>
    <row r="190">
      <c r="C190" s="79"/>
      <c r="D190" s="79"/>
      <c r="E190" s="79"/>
      <c r="O190" s="79"/>
      <c r="S190" s="79"/>
      <c r="T190" s="79"/>
      <c r="Y190" s="79"/>
      <c r="AE190" s="130"/>
      <c r="AG190" s="106"/>
    </row>
    <row r="191">
      <c r="C191" s="79"/>
      <c r="D191" s="79"/>
      <c r="E191" s="79"/>
      <c r="O191" s="79"/>
      <c r="S191" s="79"/>
      <c r="T191" s="79"/>
      <c r="Y191" s="79"/>
      <c r="AE191" s="130"/>
      <c r="AG191" s="106"/>
    </row>
    <row r="192">
      <c r="C192" s="79"/>
      <c r="D192" s="79"/>
      <c r="E192" s="79"/>
      <c r="O192" s="79"/>
      <c r="S192" s="79"/>
      <c r="T192" s="79"/>
      <c r="Y192" s="79"/>
      <c r="AE192" s="130"/>
      <c r="AG192" s="106"/>
    </row>
    <row r="193">
      <c r="C193" s="79"/>
      <c r="D193" s="79"/>
      <c r="E193" s="79"/>
      <c r="O193" s="79"/>
      <c r="S193" s="79"/>
      <c r="T193" s="79"/>
      <c r="Y193" s="79"/>
      <c r="AE193" s="130"/>
      <c r="AG193" s="106"/>
    </row>
    <row r="194">
      <c r="C194" s="79"/>
      <c r="D194" s="79"/>
      <c r="E194" s="79"/>
      <c r="O194" s="79"/>
      <c r="S194" s="79"/>
      <c r="T194" s="79"/>
      <c r="Y194" s="79"/>
      <c r="AE194" s="130"/>
      <c r="AG194" s="106"/>
    </row>
    <row r="195">
      <c r="C195" s="79"/>
      <c r="D195" s="79"/>
      <c r="E195" s="79"/>
      <c r="O195" s="79"/>
      <c r="S195" s="79"/>
      <c r="T195" s="79"/>
      <c r="Y195" s="79"/>
      <c r="AE195" s="130"/>
      <c r="AG195" s="106"/>
    </row>
    <row r="196">
      <c r="C196" s="79"/>
      <c r="D196" s="79"/>
      <c r="E196" s="79"/>
      <c r="O196" s="79"/>
      <c r="S196" s="79"/>
      <c r="T196" s="79"/>
      <c r="Y196" s="79"/>
      <c r="AE196" s="130"/>
      <c r="AG196" s="106"/>
    </row>
    <row r="197">
      <c r="C197" s="79"/>
      <c r="D197" s="79"/>
      <c r="E197" s="79"/>
      <c r="O197" s="79"/>
      <c r="S197" s="79"/>
      <c r="T197" s="79"/>
      <c r="Y197" s="79"/>
      <c r="AE197" s="130"/>
      <c r="AG197" s="106"/>
    </row>
    <row r="198">
      <c r="C198" s="79"/>
      <c r="D198" s="79"/>
      <c r="E198" s="79"/>
      <c r="O198" s="79"/>
      <c r="S198" s="79"/>
      <c r="T198" s="79"/>
      <c r="Y198" s="79"/>
      <c r="AE198" s="130"/>
      <c r="AG198" s="106"/>
    </row>
    <row r="199">
      <c r="C199" s="79"/>
      <c r="D199" s="79"/>
      <c r="E199" s="79"/>
      <c r="O199" s="79"/>
      <c r="S199" s="79"/>
      <c r="T199" s="79"/>
      <c r="Y199" s="79"/>
      <c r="AE199" s="130"/>
      <c r="AG199" s="106"/>
    </row>
    <row r="200">
      <c r="C200" s="79"/>
      <c r="D200" s="79"/>
      <c r="E200" s="79"/>
      <c r="O200" s="79"/>
      <c r="S200" s="79"/>
      <c r="T200" s="79"/>
      <c r="Y200" s="79"/>
      <c r="AE200" s="130"/>
      <c r="AG200" s="106"/>
    </row>
    <row r="201">
      <c r="C201" s="79"/>
      <c r="D201" s="79"/>
      <c r="E201" s="79"/>
      <c r="O201" s="79"/>
      <c r="S201" s="79"/>
      <c r="T201" s="79"/>
      <c r="Y201" s="79"/>
      <c r="AE201" s="130"/>
      <c r="AG201" s="106"/>
    </row>
    <row r="202">
      <c r="C202" s="79"/>
      <c r="D202" s="79"/>
      <c r="E202" s="79"/>
      <c r="O202" s="79"/>
      <c r="S202" s="79"/>
      <c r="T202" s="79"/>
      <c r="Y202" s="79"/>
      <c r="AE202" s="130"/>
      <c r="AG202" s="106"/>
    </row>
    <row r="203">
      <c r="C203" s="79"/>
      <c r="D203" s="79"/>
      <c r="E203" s="79"/>
      <c r="O203" s="79"/>
      <c r="S203" s="79"/>
      <c r="T203" s="79"/>
      <c r="Y203" s="79"/>
      <c r="AE203" s="130"/>
      <c r="AG203" s="106"/>
    </row>
    <row r="204">
      <c r="C204" s="79"/>
      <c r="D204" s="79"/>
      <c r="E204" s="79"/>
      <c r="O204" s="79"/>
      <c r="S204" s="79"/>
      <c r="T204" s="79"/>
      <c r="Y204" s="79"/>
      <c r="AE204" s="130"/>
      <c r="AG204" s="106"/>
    </row>
    <row r="205">
      <c r="C205" s="79"/>
      <c r="D205" s="79"/>
      <c r="E205" s="79"/>
      <c r="O205" s="79"/>
      <c r="S205" s="79"/>
      <c r="T205" s="79"/>
      <c r="Y205" s="79"/>
      <c r="AE205" s="130"/>
      <c r="AG205" s="106"/>
    </row>
    <row r="206">
      <c r="C206" s="79"/>
      <c r="D206" s="79"/>
      <c r="E206" s="79"/>
      <c r="O206" s="79"/>
      <c r="S206" s="79"/>
      <c r="T206" s="79"/>
      <c r="Y206" s="79"/>
      <c r="AE206" s="130"/>
      <c r="AG206" s="106"/>
    </row>
    <row r="207">
      <c r="C207" s="79"/>
      <c r="D207" s="79"/>
      <c r="E207" s="79"/>
      <c r="O207" s="79"/>
      <c r="S207" s="79"/>
      <c r="T207" s="79"/>
      <c r="Y207" s="79"/>
      <c r="AE207" s="130"/>
      <c r="AG207" s="106"/>
    </row>
    <row r="208">
      <c r="C208" s="79"/>
      <c r="D208" s="79"/>
      <c r="E208" s="79"/>
      <c r="O208" s="79"/>
      <c r="S208" s="79"/>
      <c r="T208" s="79"/>
      <c r="Y208" s="79"/>
      <c r="AE208" s="130"/>
      <c r="AG208" s="106"/>
    </row>
    <row r="209">
      <c r="C209" s="79"/>
      <c r="D209" s="79"/>
      <c r="E209" s="79"/>
      <c r="O209" s="79"/>
      <c r="S209" s="79"/>
      <c r="T209" s="79"/>
      <c r="Y209" s="79"/>
      <c r="AE209" s="130"/>
      <c r="AG209" s="106"/>
    </row>
    <row r="210">
      <c r="C210" s="79"/>
      <c r="D210" s="79"/>
      <c r="E210" s="79"/>
      <c r="O210" s="79"/>
      <c r="S210" s="79"/>
      <c r="T210" s="79"/>
      <c r="Y210" s="79"/>
      <c r="AE210" s="130"/>
      <c r="AG210" s="106"/>
    </row>
    <row r="211">
      <c r="C211" s="79"/>
      <c r="D211" s="79"/>
      <c r="E211" s="79"/>
      <c r="O211" s="79"/>
      <c r="S211" s="79"/>
      <c r="T211" s="79"/>
      <c r="Y211" s="79"/>
      <c r="AE211" s="130"/>
      <c r="AG211" s="106"/>
    </row>
    <row r="212">
      <c r="C212" s="79"/>
      <c r="D212" s="79"/>
      <c r="E212" s="79"/>
      <c r="O212" s="79"/>
      <c r="S212" s="79"/>
      <c r="T212" s="79"/>
      <c r="Y212" s="79"/>
      <c r="AE212" s="130"/>
      <c r="AG212" s="106"/>
    </row>
    <row r="213">
      <c r="C213" s="79"/>
      <c r="D213" s="79"/>
      <c r="E213" s="79"/>
      <c r="O213" s="79"/>
      <c r="S213" s="79"/>
      <c r="T213" s="79"/>
      <c r="Y213" s="79"/>
      <c r="AE213" s="130"/>
      <c r="AG213" s="106"/>
    </row>
    <row r="214">
      <c r="C214" s="79"/>
      <c r="D214" s="79"/>
      <c r="E214" s="79"/>
      <c r="O214" s="79"/>
      <c r="S214" s="79"/>
      <c r="T214" s="79"/>
      <c r="Y214" s="79"/>
      <c r="AE214" s="130"/>
      <c r="AG214" s="106"/>
    </row>
    <row r="215">
      <c r="C215" s="79"/>
      <c r="D215" s="79"/>
      <c r="E215" s="79"/>
      <c r="O215" s="79"/>
      <c r="S215" s="79"/>
      <c r="T215" s="79"/>
      <c r="Y215" s="79"/>
      <c r="AE215" s="130"/>
      <c r="AG215" s="106"/>
    </row>
    <row r="216">
      <c r="C216" s="79"/>
      <c r="D216" s="79"/>
      <c r="E216" s="79"/>
      <c r="O216" s="79"/>
      <c r="S216" s="79"/>
      <c r="T216" s="79"/>
      <c r="Y216" s="79"/>
      <c r="AE216" s="130"/>
      <c r="AG216" s="106"/>
    </row>
    <row r="217">
      <c r="C217" s="79"/>
      <c r="D217" s="79"/>
      <c r="E217" s="79"/>
      <c r="O217" s="79"/>
      <c r="S217" s="79"/>
      <c r="T217" s="79"/>
      <c r="Y217" s="79"/>
      <c r="AE217" s="130"/>
      <c r="AG217" s="106"/>
    </row>
    <row r="218">
      <c r="C218" s="79"/>
      <c r="D218" s="79"/>
      <c r="E218" s="79"/>
      <c r="O218" s="79"/>
      <c r="S218" s="79"/>
      <c r="T218" s="79"/>
      <c r="Y218" s="79"/>
      <c r="AE218" s="130"/>
      <c r="AG218" s="106"/>
    </row>
    <row r="219">
      <c r="C219" s="79"/>
      <c r="D219" s="79"/>
      <c r="E219" s="79"/>
      <c r="O219" s="79"/>
      <c r="S219" s="79"/>
      <c r="T219" s="79"/>
      <c r="Y219" s="79"/>
      <c r="AE219" s="130"/>
      <c r="AG219" s="106"/>
    </row>
    <row r="220">
      <c r="C220" s="79"/>
      <c r="D220" s="79"/>
      <c r="E220" s="79"/>
      <c r="O220" s="79"/>
      <c r="S220" s="79"/>
      <c r="T220" s="79"/>
      <c r="Y220" s="79"/>
      <c r="AE220" s="130"/>
      <c r="AG220" s="106"/>
    </row>
    <row r="221">
      <c r="C221" s="79"/>
      <c r="D221" s="79"/>
      <c r="E221" s="79"/>
      <c r="O221" s="79"/>
      <c r="S221" s="79"/>
      <c r="T221" s="79"/>
      <c r="Y221" s="79"/>
      <c r="AE221" s="130"/>
      <c r="AG221" s="106"/>
    </row>
    <row r="222">
      <c r="C222" s="79"/>
      <c r="D222" s="79"/>
      <c r="E222" s="79"/>
      <c r="O222" s="79"/>
      <c r="S222" s="79"/>
      <c r="T222" s="79"/>
      <c r="Y222" s="79"/>
      <c r="AE222" s="130"/>
      <c r="AG222" s="106"/>
    </row>
    <row r="223">
      <c r="C223" s="79"/>
      <c r="D223" s="79"/>
      <c r="E223" s="79"/>
      <c r="O223" s="79"/>
      <c r="S223" s="79"/>
      <c r="T223" s="79"/>
      <c r="Y223" s="79"/>
      <c r="AE223" s="130"/>
      <c r="AG223" s="106"/>
    </row>
    <row r="224">
      <c r="C224" s="79"/>
      <c r="D224" s="79"/>
      <c r="E224" s="79"/>
      <c r="O224" s="79"/>
      <c r="S224" s="79"/>
      <c r="T224" s="79"/>
      <c r="Y224" s="79"/>
      <c r="AE224" s="130"/>
      <c r="AG224" s="106"/>
    </row>
    <row r="225">
      <c r="C225" s="79"/>
      <c r="D225" s="79"/>
      <c r="E225" s="79"/>
      <c r="O225" s="79"/>
      <c r="S225" s="79"/>
      <c r="T225" s="79"/>
      <c r="Y225" s="79"/>
      <c r="AE225" s="130"/>
      <c r="AG225" s="106"/>
    </row>
    <row r="226">
      <c r="C226" s="79"/>
      <c r="D226" s="79"/>
      <c r="E226" s="79"/>
      <c r="O226" s="79"/>
      <c r="S226" s="79"/>
      <c r="T226" s="79"/>
      <c r="Y226" s="79"/>
      <c r="AE226" s="130"/>
      <c r="AG226" s="106"/>
    </row>
    <row r="227">
      <c r="C227" s="79"/>
      <c r="D227" s="79"/>
      <c r="E227" s="79"/>
      <c r="O227" s="79"/>
      <c r="S227" s="79"/>
      <c r="T227" s="79"/>
      <c r="Y227" s="79"/>
      <c r="AE227" s="130"/>
      <c r="AG227" s="106"/>
    </row>
    <row r="228">
      <c r="C228" s="79"/>
      <c r="D228" s="79"/>
      <c r="E228" s="79"/>
      <c r="O228" s="79"/>
      <c r="S228" s="79"/>
      <c r="T228" s="79"/>
      <c r="Y228" s="79"/>
      <c r="AE228" s="130"/>
      <c r="AG228" s="106"/>
    </row>
    <row r="229">
      <c r="C229" s="79"/>
      <c r="D229" s="79"/>
      <c r="E229" s="79"/>
      <c r="O229" s="79"/>
      <c r="S229" s="79"/>
      <c r="T229" s="79"/>
      <c r="Y229" s="79"/>
      <c r="AE229" s="130"/>
      <c r="AG229" s="106"/>
    </row>
    <row r="230">
      <c r="C230" s="79"/>
      <c r="D230" s="79"/>
      <c r="E230" s="79"/>
      <c r="O230" s="79"/>
      <c r="S230" s="79"/>
      <c r="T230" s="79"/>
      <c r="Y230" s="79"/>
      <c r="AE230" s="130"/>
      <c r="AG230" s="106"/>
    </row>
    <row r="231">
      <c r="C231" s="79"/>
      <c r="D231" s="79"/>
      <c r="E231" s="79"/>
      <c r="O231" s="79"/>
      <c r="S231" s="79"/>
      <c r="T231" s="79"/>
      <c r="Y231" s="79"/>
      <c r="AE231" s="130"/>
      <c r="AG231" s="106"/>
    </row>
    <row r="232">
      <c r="C232" s="79"/>
      <c r="D232" s="79"/>
      <c r="E232" s="79"/>
      <c r="O232" s="79"/>
      <c r="S232" s="79"/>
      <c r="T232" s="79"/>
      <c r="Y232" s="79"/>
      <c r="AE232" s="130"/>
      <c r="AG232" s="106"/>
    </row>
    <row r="233">
      <c r="C233" s="79"/>
      <c r="D233" s="79"/>
      <c r="E233" s="79"/>
      <c r="O233" s="79"/>
      <c r="S233" s="79"/>
      <c r="T233" s="79"/>
      <c r="Y233" s="79"/>
      <c r="AE233" s="130"/>
      <c r="AG233" s="106"/>
    </row>
    <row r="234">
      <c r="C234" s="79"/>
      <c r="D234" s="79"/>
      <c r="E234" s="79"/>
      <c r="O234" s="79"/>
      <c r="S234" s="79"/>
      <c r="T234" s="79"/>
      <c r="Y234" s="79"/>
      <c r="AE234" s="130"/>
      <c r="AG234" s="106"/>
    </row>
    <row r="235">
      <c r="C235" s="79"/>
      <c r="D235" s="79"/>
      <c r="E235" s="79"/>
      <c r="O235" s="79"/>
      <c r="S235" s="79"/>
      <c r="T235" s="79"/>
      <c r="Y235" s="79"/>
      <c r="AE235" s="130"/>
      <c r="AG235" s="106"/>
    </row>
    <row r="236">
      <c r="C236" s="79"/>
      <c r="D236" s="79"/>
      <c r="E236" s="79"/>
      <c r="O236" s="79"/>
      <c r="S236" s="79"/>
      <c r="T236" s="79"/>
      <c r="Y236" s="79"/>
      <c r="AE236" s="130"/>
      <c r="AG236" s="106"/>
    </row>
    <row r="237">
      <c r="C237" s="79"/>
      <c r="D237" s="79"/>
      <c r="E237" s="79"/>
      <c r="O237" s="79"/>
      <c r="S237" s="79"/>
      <c r="T237" s="79"/>
      <c r="Y237" s="79"/>
      <c r="AE237" s="130"/>
      <c r="AG237" s="106"/>
    </row>
    <row r="238">
      <c r="C238" s="79"/>
      <c r="D238" s="79"/>
      <c r="E238" s="79"/>
      <c r="O238" s="79"/>
      <c r="S238" s="79"/>
      <c r="T238" s="79"/>
      <c r="Y238" s="79"/>
      <c r="AE238" s="130"/>
      <c r="AG238" s="106"/>
    </row>
    <row r="239">
      <c r="C239" s="79"/>
      <c r="D239" s="79"/>
      <c r="E239" s="79"/>
      <c r="O239" s="79"/>
      <c r="S239" s="79"/>
      <c r="T239" s="79"/>
      <c r="Y239" s="79"/>
      <c r="AE239" s="130"/>
      <c r="AG239" s="106"/>
    </row>
    <row r="240">
      <c r="C240" s="79"/>
      <c r="D240" s="79"/>
      <c r="E240" s="79"/>
      <c r="O240" s="79"/>
      <c r="S240" s="79"/>
      <c r="T240" s="79"/>
      <c r="Y240" s="79"/>
      <c r="AE240" s="130"/>
      <c r="AG240" s="106"/>
    </row>
    <row r="241">
      <c r="C241" s="79"/>
      <c r="D241" s="79"/>
      <c r="E241" s="79"/>
      <c r="O241" s="79"/>
      <c r="S241" s="79"/>
      <c r="T241" s="79"/>
      <c r="Y241" s="79"/>
      <c r="AE241" s="130"/>
      <c r="AG241" s="106"/>
    </row>
    <row r="242">
      <c r="C242" s="79"/>
      <c r="D242" s="79"/>
      <c r="E242" s="79"/>
      <c r="O242" s="79"/>
      <c r="S242" s="79"/>
      <c r="T242" s="79"/>
      <c r="Y242" s="79"/>
      <c r="AE242" s="130"/>
      <c r="AG242" s="106"/>
    </row>
    <row r="243">
      <c r="C243" s="79"/>
      <c r="D243" s="79"/>
      <c r="E243" s="79"/>
      <c r="O243" s="79"/>
      <c r="S243" s="79"/>
      <c r="T243" s="79"/>
      <c r="Y243" s="79"/>
      <c r="AE243" s="130"/>
      <c r="AG243" s="106"/>
    </row>
    <row r="244">
      <c r="C244" s="79"/>
      <c r="D244" s="79"/>
      <c r="E244" s="79"/>
      <c r="O244" s="79"/>
      <c r="S244" s="79"/>
      <c r="T244" s="79"/>
      <c r="Y244" s="79"/>
      <c r="AE244" s="130"/>
      <c r="AG244" s="106"/>
    </row>
    <row r="245">
      <c r="C245" s="79"/>
      <c r="D245" s="79"/>
      <c r="E245" s="79"/>
      <c r="O245" s="79"/>
      <c r="S245" s="79"/>
      <c r="T245" s="79"/>
      <c r="Y245" s="79"/>
      <c r="AE245" s="130"/>
      <c r="AG245" s="106"/>
    </row>
    <row r="246">
      <c r="C246" s="79"/>
      <c r="D246" s="79"/>
      <c r="E246" s="79"/>
      <c r="O246" s="79"/>
      <c r="S246" s="79"/>
      <c r="T246" s="79"/>
      <c r="Y246" s="79"/>
      <c r="AE246" s="130"/>
      <c r="AG246" s="106"/>
    </row>
    <row r="247">
      <c r="C247" s="79"/>
      <c r="D247" s="79"/>
      <c r="E247" s="79"/>
      <c r="O247" s="79"/>
      <c r="S247" s="79"/>
      <c r="T247" s="79"/>
      <c r="Y247" s="79"/>
      <c r="AE247" s="130"/>
      <c r="AG247" s="106"/>
    </row>
    <row r="248">
      <c r="C248" s="79"/>
      <c r="D248" s="79"/>
      <c r="E248" s="79"/>
      <c r="O248" s="79"/>
      <c r="S248" s="79"/>
      <c r="T248" s="79"/>
      <c r="Y248" s="79"/>
      <c r="AE248" s="130"/>
      <c r="AG248" s="106"/>
    </row>
    <row r="249">
      <c r="C249" s="79"/>
      <c r="D249" s="79"/>
      <c r="E249" s="79"/>
      <c r="O249" s="79"/>
      <c r="S249" s="79"/>
      <c r="T249" s="79"/>
      <c r="Y249" s="79"/>
      <c r="AE249" s="130"/>
      <c r="AG249" s="106"/>
    </row>
    <row r="250">
      <c r="C250" s="79"/>
      <c r="D250" s="79"/>
      <c r="E250" s="79"/>
      <c r="O250" s="79"/>
      <c r="S250" s="79"/>
      <c r="T250" s="79"/>
      <c r="Y250" s="79"/>
      <c r="AE250" s="130"/>
      <c r="AG250" s="106"/>
    </row>
    <row r="251">
      <c r="C251" s="79"/>
      <c r="D251" s="79"/>
      <c r="E251" s="79"/>
      <c r="O251" s="79"/>
      <c r="S251" s="79"/>
      <c r="T251" s="79"/>
      <c r="Y251" s="79"/>
      <c r="AE251" s="130"/>
      <c r="AG251" s="106"/>
    </row>
    <row r="252">
      <c r="C252" s="79"/>
      <c r="D252" s="79"/>
      <c r="E252" s="79"/>
      <c r="O252" s="79"/>
      <c r="S252" s="79"/>
      <c r="T252" s="79"/>
      <c r="Y252" s="79"/>
      <c r="AE252" s="130"/>
      <c r="AG252" s="106"/>
    </row>
    <row r="253">
      <c r="C253" s="79"/>
      <c r="D253" s="79"/>
      <c r="E253" s="79"/>
      <c r="O253" s="79"/>
      <c r="S253" s="79"/>
      <c r="T253" s="79"/>
      <c r="Y253" s="79"/>
      <c r="AE253" s="130"/>
      <c r="AG253" s="106"/>
    </row>
    <row r="254">
      <c r="C254" s="79"/>
      <c r="D254" s="79"/>
      <c r="E254" s="79"/>
      <c r="O254" s="79"/>
      <c r="S254" s="79"/>
      <c r="T254" s="79"/>
      <c r="Y254" s="79"/>
      <c r="AE254" s="130"/>
      <c r="AG254" s="106"/>
    </row>
    <row r="255">
      <c r="C255" s="79"/>
      <c r="D255" s="79"/>
      <c r="E255" s="79"/>
      <c r="O255" s="79"/>
      <c r="S255" s="79"/>
      <c r="T255" s="79"/>
      <c r="Y255" s="79"/>
      <c r="AE255" s="130"/>
      <c r="AG255" s="106"/>
    </row>
    <row r="256">
      <c r="C256" s="79"/>
      <c r="D256" s="79"/>
      <c r="E256" s="79"/>
      <c r="O256" s="79"/>
      <c r="S256" s="79"/>
      <c r="T256" s="79"/>
      <c r="Y256" s="79"/>
      <c r="AE256" s="130"/>
      <c r="AG256" s="106"/>
    </row>
    <row r="257">
      <c r="C257" s="79"/>
      <c r="D257" s="79"/>
      <c r="E257" s="79"/>
      <c r="O257" s="79"/>
      <c r="S257" s="79"/>
      <c r="T257" s="79"/>
      <c r="Y257" s="79"/>
      <c r="AE257" s="130"/>
      <c r="AG257" s="106"/>
    </row>
    <row r="258">
      <c r="C258" s="79"/>
      <c r="D258" s="79"/>
      <c r="E258" s="79"/>
      <c r="O258" s="79"/>
      <c r="S258" s="79"/>
      <c r="T258" s="79"/>
      <c r="Y258" s="79"/>
      <c r="AE258" s="130"/>
      <c r="AG258" s="106"/>
    </row>
    <row r="259">
      <c r="C259" s="79"/>
      <c r="D259" s="79"/>
      <c r="E259" s="79"/>
      <c r="O259" s="79"/>
      <c r="S259" s="79"/>
      <c r="T259" s="79"/>
      <c r="Y259" s="79"/>
      <c r="AE259" s="130"/>
      <c r="AG259" s="106"/>
    </row>
    <row r="260">
      <c r="C260" s="79"/>
      <c r="D260" s="79"/>
      <c r="E260" s="79"/>
      <c r="O260" s="79"/>
      <c r="S260" s="79"/>
      <c r="T260" s="79"/>
      <c r="Y260" s="79"/>
      <c r="AE260" s="130"/>
      <c r="AG260" s="106"/>
    </row>
    <row r="261">
      <c r="C261" s="79"/>
      <c r="D261" s="79"/>
      <c r="E261" s="79"/>
      <c r="O261" s="79"/>
      <c r="S261" s="79"/>
      <c r="T261" s="79"/>
      <c r="Y261" s="79"/>
      <c r="AE261" s="130"/>
      <c r="AG261" s="106"/>
    </row>
    <row r="262">
      <c r="C262" s="79"/>
      <c r="D262" s="79"/>
      <c r="E262" s="79"/>
      <c r="O262" s="79"/>
      <c r="S262" s="79"/>
      <c r="T262" s="79"/>
      <c r="Y262" s="79"/>
      <c r="AE262" s="130"/>
      <c r="AG262" s="106"/>
    </row>
    <row r="263">
      <c r="C263" s="79"/>
      <c r="D263" s="79"/>
      <c r="E263" s="79"/>
      <c r="O263" s="79"/>
      <c r="S263" s="79"/>
      <c r="T263" s="79"/>
      <c r="Y263" s="79"/>
      <c r="AE263" s="130"/>
      <c r="AG263" s="106"/>
    </row>
    <row r="264">
      <c r="C264" s="79"/>
      <c r="D264" s="79"/>
      <c r="E264" s="79"/>
      <c r="O264" s="79"/>
      <c r="S264" s="79"/>
      <c r="T264" s="79"/>
      <c r="Y264" s="79"/>
      <c r="AE264" s="130"/>
      <c r="AG264" s="106"/>
    </row>
    <row r="265">
      <c r="C265" s="79"/>
      <c r="D265" s="79"/>
      <c r="E265" s="79"/>
      <c r="O265" s="79"/>
      <c r="S265" s="79"/>
      <c r="T265" s="79"/>
      <c r="Y265" s="79"/>
      <c r="AE265" s="130"/>
      <c r="AG265" s="106"/>
    </row>
    <row r="266">
      <c r="C266" s="79"/>
      <c r="D266" s="79"/>
      <c r="E266" s="79"/>
      <c r="O266" s="79"/>
      <c r="S266" s="79"/>
      <c r="T266" s="79"/>
      <c r="Y266" s="79"/>
      <c r="AE266" s="130"/>
      <c r="AG266" s="106"/>
    </row>
    <row r="267">
      <c r="C267" s="79"/>
      <c r="D267" s="79"/>
      <c r="E267" s="79"/>
      <c r="O267" s="79"/>
      <c r="S267" s="79"/>
      <c r="T267" s="79"/>
      <c r="Y267" s="79"/>
      <c r="AE267" s="130"/>
      <c r="AG267" s="106"/>
    </row>
    <row r="268">
      <c r="C268" s="79"/>
      <c r="D268" s="79"/>
      <c r="E268" s="79"/>
      <c r="O268" s="79"/>
      <c r="S268" s="79"/>
      <c r="T268" s="79"/>
      <c r="Y268" s="79"/>
      <c r="AE268" s="130"/>
      <c r="AG268" s="106"/>
    </row>
    <row r="269">
      <c r="C269" s="79"/>
      <c r="D269" s="79"/>
      <c r="E269" s="79"/>
      <c r="O269" s="79"/>
      <c r="S269" s="79"/>
      <c r="T269" s="79"/>
      <c r="Y269" s="79"/>
      <c r="AE269" s="130"/>
      <c r="AG269" s="106"/>
    </row>
    <row r="270">
      <c r="C270" s="79"/>
      <c r="D270" s="79"/>
      <c r="E270" s="79"/>
      <c r="O270" s="79"/>
      <c r="S270" s="79"/>
      <c r="T270" s="79"/>
      <c r="Y270" s="79"/>
      <c r="AE270" s="130"/>
      <c r="AG270" s="106"/>
    </row>
    <row r="271">
      <c r="C271" s="79"/>
      <c r="D271" s="79"/>
      <c r="E271" s="79"/>
      <c r="O271" s="79"/>
      <c r="S271" s="79"/>
      <c r="T271" s="79"/>
      <c r="Y271" s="79"/>
      <c r="AE271" s="130"/>
      <c r="AG271" s="106"/>
    </row>
    <row r="272">
      <c r="C272" s="79"/>
      <c r="D272" s="79"/>
      <c r="E272" s="79"/>
      <c r="O272" s="79"/>
      <c r="S272" s="79"/>
      <c r="T272" s="79"/>
      <c r="Y272" s="79"/>
      <c r="AE272" s="130"/>
      <c r="AG272" s="106"/>
    </row>
    <row r="273">
      <c r="C273" s="79"/>
      <c r="D273" s="79"/>
      <c r="E273" s="79"/>
      <c r="O273" s="79"/>
      <c r="S273" s="79"/>
      <c r="T273" s="79"/>
      <c r="Y273" s="79"/>
      <c r="AE273" s="130"/>
      <c r="AG273" s="106"/>
    </row>
    <row r="274">
      <c r="C274" s="79"/>
      <c r="D274" s="79"/>
      <c r="E274" s="79"/>
      <c r="O274" s="79"/>
      <c r="S274" s="79"/>
      <c r="T274" s="79"/>
      <c r="Y274" s="79"/>
      <c r="AE274" s="130"/>
      <c r="AG274" s="106"/>
    </row>
    <row r="275">
      <c r="C275" s="79"/>
      <c r="D275" s="79"/>
      <c r="E275" s="79"/>
      <c r="O275" s="79"/>
      <c r="S275" s="79"/>
      <c r="T275" s="79"/>
      <c r="Y275" s="79"/>
      <c r="AE275" s="130"/>
      <c r="AG275" s="106"/>
    </row>
    <row r="276">
      <c r="C276" s="79"/>
      <c r="D276" s="79"/>
      <c r="E276" s="79"/>
      <c r="O276" s="79"/>
      <c r="S276" s="79"/>
      <c r="T276" s="79"/>
      <c r="Y276" s="79"/>
      <c r="AE276" s="130"/>
      <c r="AG276" s="106"/>
    </row>
    <row r="277">
      <c r="C277" s="79"/>
      <c r="D277" s="79"/>
      <c r="E277" s="79"/>
      <c r="O277" s="79"/>
      <c r="S277" s="79"/>
      <c r="T277" s="79"/>
      <c r="Y277" s="79"/>
      <c r="AE277" s="130"/>
      <c r="AG277" s="106"/>
    </row>
    <row r="278">
      <c r="C278" s="79"/>
      <c r="D278" s="79"/>
      <c r="E278" s="79"/>
      <c r="O278" s="79"/>
      <c r="S278" s="79"/>
      <c r="T278" s="79"/>
      <c r="Y278" s="79"/>
      <c r="AE278" s="130"/>
      <c r="AG278" s="106"/>
    </row>
    <row r="279">
      <c r="C279" s="79"/>
      <c r="D279" s="79"/>
      <c r="E279" s="79"/>
      <c r="O279" s="79"/>
      <c r="S279" s="79"/>
      <c r="T279" s="79"/>
      <c r="Y279" s="79"/>
      <c r="AE279" s="130"/>
      <c r="AG279" s="106"/>
    </row>
    <row r="280">
      <c r="C280" s="79"/>
      <c r="D280" s="79"/>
      <c r="E280" s="79"/>
      <c r="O280" s="79"/>
      <c r="S280" s="79"/>
      <c r="T280" s="79"/>
      <c r="Y280" s="79"/>
      <c r="AE280" s="130"/>
      <c r="AG280" s="106"/>
    </row>
    <row r="281">
      <c r="C281" s="79"/>
      <c r="D281" s="79"/>
      <c r="E281" s="79"/>
      <c r="O281" s="79"/>
      <c r="S281" s="79"/>
      <c r="T281" s="79"/>
      <c r="Y281" s="79"/>
      <c r="AE281" s="130"/>
      <c r="AG281" s="106"/>
    </row>
    <row r="282">
      <c r="C282" s="79"/>
      <c r="D282" s="79"/>
      <c r="E282" s="79"/>
      <c r="O282" s="79"/>
      <c r="S282" s="79"/>
      <c r="T282" s="79"/>
      <c r="Y282" s="79"/>
      <c r="AE282" s="130"/>
      <c r="AG282" s="106"/>
    </row>
    <row r="283">
      <c r="C283" s="79"/>
      <c r="D283" s="79"/>
      <c r="E283" s="79"/>
      <c r="O283" s="79"/>
      <c r="S283" s="79"/>
      <c r="T283" s="79"/>
      <c r="Y283" s="79"/>
      <c r="AE283" s="130"/>
      <c r="AG283" s="106"/>
    </row>
    <row r="284">
      <c r="C284" s="79"/>
      <c r="D284" s="79"/>
      <c r="E284" s="79"/>
      <c r="O284" s="79"/>
      <c r="S284" s="79"/>
      <c r="T284" s="79"/>
      <c r="Y284" s="79"/>
      <c r="AE284" s="130"/>
      <c r="AG284" s="106"/>
    </row>
    <row r="285">
      <c r="C285" s="79"/>
      <c r="D285" s="79"/>
      <c r="E285" s="79"/>
      <c r="O285" s="79"/>
      <c r="S285" s="79"/>
      <c r="T285" s="79"/>
      <c r="Y285" s="79"/>
      <c r="AE285" s="130"/>
      <c r="AG285" s="106"/>
    </row>
    <row r="286">
      <c r="C286" s="79"/>
      <c r="D286" s="79"/>
      <c r="E286" s="79"/>
      <c r="O286" s="79"/>
      <c r="S286" s="79"/>
      <c r="T286" s="79"/>
      <c r="Y286" s="79"/>
      <c r="AE286" s="130"/>
      <c r="AG286" s="106"/>
    </row>
    <row r="287">
      <c r="C287" s="79"/>
      <c r="D287" s="79"/>
      <c r="E287" s="79"/>
      <c r="O287" s="79"/>
      <c r="S287" s="79"/>
      <c r="T287" s="79"/>
      <c r="Y287" s="79"/>
      <c r="AE287" s="130"/>
      <c r="AG287" s="106"/>
    </row>
    <row r="288">
      <c r="C288" s="79"/>
      <c r="D288" s="79"/>
      <c r="E288" s="79"/>
      <c r="O288" s="79"/>
      <c r="S288" s="79"/>
      <c r="T288" s="79"/>
      <c r="Y288" s="79"/>
      <c r="AE288" s="130"/>
      <c r="AG288" s="106"/>
    </row>
    <row r="289">
      <c r="C289" s="79"/>
      <c r="D289" s="79"/>
      <c r="E289" s="79"/>
      <c r="O289" s="79"/>
      <c r="S289" s="79"/>
      <c r="T289" s="79"/>
      <c r="Y289" s="79"/>
      <c r="AE289" s="130"/>
      <c r="AG289" s="106"/>
    </row>
    <row r="290">
      <c r="C290" s="79"/>
      <c r="D290" s="79"/>
      <c r="E290" s="79"/>
      <c r="O290" s="79"/>
      <c r="S290" s="79"/>
      <c r="T290" s="79"/>
      <c r="Y290" s="79"/>
      <c r="AE290" s="130"/>
      <c r="AG290" s="106"/>
    </row>
    <row r="291">
      <c r="C291" s="79"/>
      <c r="D291" s="79"/>
      <c r="E291" s="79"/>
      <c r="O291" s="79"/>
      <c r="S291" s="79"/>
      <c r="T291" s="79"/>
      <c r="Y291" s="79"/>
      <c r="AE291" s="130"/>
      <c r="AG291" s="106"/>
    </row>
    <row r="292">
      <c r="C292" s="79"/>
      <c r="D292" s="79"/>
      <c r="E292" s="79"/>
      <c r="O292" s="79"/>
      <c r="S292" s="79"/>
      <c r="T292" s="79"/>
      <c r="Y292" s="79"/>
      <c r="AE292" s="130"/>
      <c r="AG292" s="106"/>
    </row>
    <row r="293">
      <c r="C293" s="79"/>
      <c r="D293" s="79"/>
      <c r="E293" s="79"/>
      <c r="O293" s="79"/>
      <c r="S293" s="79"/>
      <c r="T293" s="79"/>
      <c r="Y293" s="79"/>
      <c r="AE293" s="130"/>
      <c r="AG293" s="106"/>
    </row>
    <row r="294">
      <c r="C294" s="79"/>
      <c r="D294" s="79"/>
      <c r="E294" s="79"/>
      <c r="O294" s="79"/>
      <c r="S294" s="79"/>
      <c r="T294" s="79"/>
      <c r="Y294" s="79"/>
      <c r="AE294" s="130"/>
      <c r="AG294" s="106"/>
    </row>
    <row r="295">
      <c r="C295" s="79"/>
      <c r="D295" s="79"/>
      <c r="E295" s="79"/>
      <c r="O295" s="79"/>
      <c r="S295" s="79"/>
      <c r="T295" s="79"/>
      <c r="Y295" s="79"/>
      <c r="AE295" s="130"/>
      <c r="AG295" s="106"/>
    </row>
    <row r="296">
      <c r="C296" s="79"/>
      <c r="D296" s="79"/>
      <c r="E296" s="79"/>
      <c r="O296" s="79"/>
      <c r="S296" s="79"/>
      <c r="T296" s="79"/>
      <c r="Y296" s="79"/>
      <c r="AE296" s="130"/>
      <c r="AG296" s="106"/>
    </row>
    <row r="297">
      <c r="C297" s="79"/>
      <c r="D297" s="79"/>
      <c r="E297" s="79"/>
      <c r="O297" s="79"/>
      <c r="S297" s="79"/>
      <c r="T297" s="79"/>
      <c r="Y297" s="79"/>
      <c r="AE297" s="130"/>
      <c r="AG297" s="106"/>
    </row>
    <row r="298">
      <c r="C298" s="79"/>
      <c r="D298" s="79"/>
      <c r="E298" s="79"/>
      <c r="O298" s="79"/>
      <c r="S298" s="79"/>
      <c r="T298" s="79"/>
      <c r="Y298" s="79"/>
      <c r="AE298" s="130"/>
      <c r="AG298" s="106"/>
    </row>
    <row r="299">
      <c r="C299" s="79"/>
      <c r="D299" s="79"/>
      <c r="E299" s="79"/>
      <c r="O299" s="79"/>
      <c r="S299" s="79"/>
      <c r="T299" s="79"/>
      <c r="Y299" s="79"/>
      <c r="AE299" s="130"/>
      <c r="AG299" s="106"/>
    </row>
    <row r="300">
      <c r="C300" s="79"/>
      <c r="D300" s="79"/>
      <c r="E300" s="79"/>
      <c r="O300" s="79"/>
      <c r="S300" s="79"/>
      <c r="T300" s="79"/>
      <c r="Y300" s="79"/>
      <c r="AE300" s="130"/>
      <c r="AG300" s="106"/>
    </row>
    <row r="301">
      <c r="C301" s="79"/>
      <c r="D301" s="79"/>
      <c r="E301" s="79"/>
      <c r="O301" s="79"/>
      <c r="S301" s="79"/>
      <c r="T301" s="79"/>
      <c r="Y301" s="79"/>
      <c r="AE301" s="130"/>
      <c r="AG301" s="106"/>
    </row>
    <row r="302">
      <c r="C302" s="79"/>
      <c r="D302" s="79"/>
      <c r="E302" s="79"/>
      <c r="O302" s="79"/>
      <c r="S302" s="79"/>
      <c r="T302" s="79"/>
      <c r="Y302" s="79"/>
      <c r="AE302" s="130"/>
      <c r="AG302" s="106"/>
    </row>
    <row r="303">
      <c r="C303" s="79"/>
      <c r="D303" s="79"/>
      <c r="E303" s="79"/>
      <c r="O303" s="79"/>
      <c r="S303" s="79"/>
      <c r="T303" s="79"/>
      <c r="Y303" s="79"/>
      <c r="AE303" s="130"/>
      <c r="AG303" s="106"/>
    </row>
    <row r="304">
      <c r="C304" s="79"/>
      <c r="D304" s="79"/>
      <c r="E304" s="79"/>
      <c r="O304" s="79"/>
      <c r="S304" s="79"/>
      <c r="T304" s="79"/>
      <c r="Y304" s="79"/>
      <c r="AE304" s="130"/>
      <c r="AG304" s="106"/>
    </row>
    <row r="305">
      <c r="C305" s="79"/>
      <c r="D305" s="79"/>
      <c r="E305" s="79"/>
      <c r="O305" s="79"/>
      <c r="S305" s="79"/>
      <c r="T305" s="79"/>
      <c r="Y305" s="79"/>
      <c r="AE305" s="130"/>
      <c r="AG305" s="106"/>
    </row>
    <row r="306">
      <c r="C306" s="79"/>
      <c r="D306" s="79"/>
      <c r="E306" s="79"/>
      <c r="O306" s="79"/>
      <c r="S306" s="79"/>
      <c r="T306" s="79"/>
      <c r="Y306" s="79"/>
      <c r="AE306" s="130"/>
      <c r="AG306" s="106"/>
    </row>
    <row r="307">
      <c r="C307" s="79"/>
      <c r="D307" s="79"/>
      <c r="E307" s="79"/>
      <c r="O307" s="79"/>
      <c r="S307" s="79"/>
      <c r="T307" s="79"/>
      <c r="Y307" s="79"/>
      <c r="AE307" s="130"/>
      <c r="AG307" s="106"/>
    </row>
    <row r="308">
      <c r="C308" s="79"/>
      <c r="D308" s="79"/>
      <c r="E308" s="79"/>
      <c r="O308" s="79"/>
      <c r="S308" s="79"/>
      <c r="T308" s="79"/>
      <c r="Y308" s="79"/>
      <c r="AE308" s="130"/>
      <c r="AG308" s="106"/>
    </row>
    <row r="309">
      <c r="C309" s="79"/>
      <c r="D309" s="79"/>
      <c r="E309" s="79"/>
      <c r="O309" s="79"/>
      <c r="S309" s="79"/>
      <c r="T309" s="79"/>
      <c r="Y309" s="79"/>
      <c r="AE309" s="130"/>
      <c r="AG309" s="106"/>
    </row>
    <row r="310">
      <c r="C310" s="79"/>
      <c r="D310" s="79"/>
      <c r="E310" s="79"/>
      <c r="O310" s="79"/>
      <c r="S310" s="79"/>
      <c r="T310" s="79"/>
      <c r="Y310" s="79"/>
      <c r="AE310" s="130"/>
      <c r="AG310" s="106"/>
    </row>
    <row r="311">
      <c r="C311" s="79"/>
      <c r="D311" s="79"/>
      <c r="E311" s="79"/>
      <c r="O311" s="79"/>
      <c r="S311" s="79"/>
      <c r="T311" s="79"/>
      <c r="Y311" s="79"/>
      <c r="AE311" s="130"/>
      <c r="AG311" s="106"/>
    </row>
    <row r="312">
      <c r="C312" s="79"/>
      <c r="D312" s="79"/>
      <c r="E312" s="79"/>
      <c r="O312" s="79"/>
      <c r="S312" s="79"/>
      <c r="T312" s="79"/>
      <c r="Y312" s="79"/>
      <c r="AE312" s="130"/>
      <c r="AG312" s="106"/>
    </row>
    <row r="313">
      <c r="C313" s="79"/>
      <c r="D313" s="79"/>
      <c r="E313" s="79"/>
      <c r="O313" s="79"/>
      <c r="S313" s="79"/>
      <c r="T313" s="79"/>
      <c r="Y313" s="79"/>
      <c r="AE313" s="130"/>
      <c r="AG313" s="106"/>
    </row>
    <row r="314">
      <c r="C314" s="79"/>
      <c r="D314" s="79"/>
      <c r="E314" s="79"/>
      <c r="O314" s="79"/>
      <c r="S314" s="79"/>
      <c r="T314" s="79"/>
      <c r="Y314" s="79"/>
      <c r="AE314" s="130"/>
      <c r="AG314" s="106"/>
    </row>
    <row r="315">
      <c r="C315" s="79"/>
      <c r="D315" s="79"/>
      <c r="E315" s="79"/>
      <c r="O315" s="79"/>
      <c r="S315" s="79"/>
      <c r="T315" s="79"/>
      <c r="Y315" s="79"/>
      <c r="AE315" s="130"/>
      <c r="AG315" s="106"/>
    </row>
    <row r="316">
      <c r="C316" s="79"/>
      <c r="D316" s="79"/>
      <c r="E316" s="79"/>
      <c r="O316" s="79"/>
      <c r="S316" s="79"/>
      <c r="T316" s="79"/>
      <c r="Y316" s="79"/>
      <c r="AE316" s="130"/>
      <c r="AG316" s="106"/>
    </row>
    <row r="317">
      <c r="C317" s="79"/>
      <c r="D317" s="79"/>
      <c r="E317" s="79"/>
      <c r="O317" s="79"/>
      <c r="S317" s="79"/>
      <c r="T317" s="79"/>
      <c r="Y317" s="79"/>
      <c r="AE317" s="130"/>
      <c r="AG317" s="106"/>
    </row>
    <row r="318">
      <c r="C318" s="79"/>
      <c r="D318" s="79"/>
      <c r="E318" s="79"/>
      <c r="O318" s="79"/>
      <c r="S318" s="79"/>
      <c r="T318" s="79"/>
      <c r="Y318" s="79"/>
      <c r="AE318" s="130"/>
      <c r="AG318" s="106"/>
    </row>
    <row r="319">
      <c r="C319" s="79"/>
      <c r="D319" s="79"/>
      <c r="E319" s="79"/>
      <c r="O319" s="79"/>
      <c r="S319" s="79"/>
      <c r="T319" s="79"/>
      <c r="Y319" s="79"/>
      <c r="AE319" s="130"/>
      <c r="AG319" s="106"/>
    </row>
    <row r="320">
      <c r="C320" s="79"/>
      <c r="D320" s="79"/>
      <c r="E320" s="79"/>
      <c r="O320" s="79"/>
      <c r="S320" s="79"/>
      <c r="T320" s="79"/>
      <c r="Y320" s="79"/>
      <c r="AE320" s="130"/>
      <c r="AG320" s="106"/>
    </row>
    <row r="321">
      <c r="C321" s="79"/>
      <c r="D321" s="79"/>
      <c r="E321" s="79"/>
      <c r="O321" s="79"/>
      <c r="S321" s="79"/>
      <c r="T321" s="79"/>
      <c r="Y321" s="79"/>
      <c r="AE321" s="130"/>
      <c r="AG321" s="106"/>
    </row>
    <row r="322">
      <c r="C322" s="79"/>
      <c r="D322" s="79"/>
      <c r="E322" s="79"/>
      <c r="O322" s="79"/>
      <c r="S322" s="79"/>
      <c r="T322" s="79"/>
      <c r="Y322" s="79"/>
      <c r="AE322" s="130"/>
      <c r="AG322" s="106"/>
    </row>
    <row r="323">
      <c r="C323" s="79"/>
      <c r="D323" s="79"/>
      <c r="E323" s="79"/>
      <c r="O323" s="79"/>
      <c r="S323" s="79"/>
      <c r="T323" s="79"/>
      <c r="Y323" s="79"/>
      <c r="AE323" s="130"/>
      <c r="AG323" s="106"/>
    </row>
    <row r="324">
      <c r="C324" s="79"/>
      <c r="D324" s="79"/>
      <c r="E324" s="79"/>
      <c r="O324" s="79"/>
      <c r="S324" s="79"/>
      <c r="T324" s="79"/>
      <c r="Y324" s="79"/>
      <c r="AE324" s="130"/>
      <c r="AG324" s="106"/>
    </row>
    <row r="325">
      <c r="C325" s="79"/>
      <c r="D325" s="79"/>
      <c r="E325" s="79"/>
      <c r="O325" s="79"/>
      <c r="S325" s="79"/>
      <c r="T325" s="79"/>
      <c r="Y325" s="79"/>
      <c r="AE325" s="130"/>
      <c r="AG325" s="106"/>
    </row>
    <row r="326">
      <c r="C326" s="79"/>
      <c r="D326" s="79"/>
      <c r="E326" s="79"/>
      <c r="O326" s="79"/>
      <c r="S326" s="79"/>
      <c r="T326" s="79"/>
      <c r="Y326" s="79"/>
      <c r="AE326" s="130"/>
      <c r="AG326" s="106"/>
    </row>
    <row r="327">
      <c r="C327" s="79"/>
      <c r="D327" s="79"/>
      <c r="E327" s="79"/>
      <c r="O327" s="79"/>
      <c r="S327" s="79"/>
      <c r="T327" s="79"/>
      <c r="Y327" s="79"/>
      <c r="AE327" s="130"/>
      <c r="AG327" s="106"/>
    </row>
    <row r="328">
      <c r="C328" s="79"/>
      <c r="D328" s="79"/>
      <c r="E328" s="79"/>
      <c r="O328" s="79"/>
      <c r="S328" s="79"/>
      <c r="T328" s="79"/>
      <c r="Y328" s="79"/>
      <c r="AE328" s="130"/>
      <c r="AG328" s="106"/>
    </row>
    <row r="329">
      <c r="C329" s="79"/>
      <c r="D329" s="79"/>
      <c r="E329" s="79"/>
      <c r="O329" s="79"/>
      <c r="S329" s="79"/>
      <c r="T329" s="79"/>
      <c r="Y329" s="79"/>
      <c r="AE329" s="130"/>
      <c r="AG329" s="106"/>
    </row>
    <row r="330">
      <c r="C330" s="79"/>
      <c r="D330" s="79"/>
      <c r="E330" s="79"/>
      <c r="O330" s="79"/>
      <c r="S330" s="79"/>
      <c r="T330" s="79"/>
      <c r="Y330" s="79"/>
      <c r="AE330" s="130"/>
      <c r="AG330" s="106"/>
    </row>
    <row r="331">
      <c r="C331" s="79"/>
      <c r="D331" s="79"/>
      <c r="E331" s="79"/>
      <c r="O331" s="79"/>
      <c r="S331" s="79"/>
      <c r="T331" s="79"/>
      <c r="Y331" s="79"/>
      <c r="AE331" s="130"/>
      <c r="AG331" s="106"/>
    </row>
    <row r="332">
      <c r="C332" s="79"/>
      <c r="D332" s="79"/>
      <c r="E332" s="79"/>
      <c r="O332" s="79"/>
      <c r="S332" s="79"/>
      <c r="T332" s="79"/>
      <c r="Y332" s="79"/>
      <c r="AE332" s="130"/>
      <c r="AG332" s="106"/>
    </row>
    <row r="333">
      <c r="C333" s="79"/>
      <c r="D333" s="79"/>
      <c r="E333" s="79"/>
      <c r="O333" s="79"/>
      <c r="S333" s="79"/>
      <c r="T333" s="79"/>
      <c r="Y333" s="79"/>
      <c r="AE333" s="130"/>
      <c r="AG333" s="106"/>
    </row>
    <row r="334">
      <c r="C334" s="79"/>
      <c r="D334" s="79"/>
      <c r="E334" s="79"/>
      <c r="O334" s="79"/>
      <c r="S334" s="79"/>
      <c r="T334" s="79"/>
      <c r="Y334" s="79"/>
      <c r="AE334" s="130"/>
      <c r="AG334" s="106"/>
    </row>
    <row r="335">
      <c r="C335" s="79"/>
      <c r="D335" s="79"/>
      <c r="E335" s="79"/>
      <c r="O335" s="79"/>
      <c r="S335" s="79"/>
      <c r="T335" s="79"/>
      <c r="Y335" s="79"/>
      <c r="AE335" s="130"/>
      <c r="AG335" s="106"/>
    </row>
    <row r="336">
      <c r="C336" s="79"/>
      <c r="D336" s="79"/>
      <c r="E336" s="79"/>
      <c r="O336" s="79"/>
      <c r="S336" s="79"/>
      <c r="T336" s="79"/>
      <c r="Y336" s="79"/>
      <c r="AE336" s="130"/>
      <c r="AG336" s="106"/>
    </row>
    <row r="337">
      <c r="C337" s="79"/>
      <c r="D337" s="79"/>
      <c r="E337" s="79"/>
      <c r="O337" s="79"/>
      <c r="S337" s="79"/>
      <c r="T337" s="79"/>
      <c r="Y337" s="79"/>
      <c r="AE337" s="130"/>
      <c r="AG337" s="106"/>
    </row>
    <row r="338">
      <c r="C338" s="79"/>
      <c r="D338" s="79"/>
      <c r="E338" s="79"/>
      <c r="O338" s="79"/>
      <c r="S338" s="79"/>
      <c r="T338" s="79"/>
      <c r="Y338" s="79"/>
      <c r="AE338" s="130"/>
      <c r="AG338" s="106"/>
    </row>
    <row r="339">
      <c r="C339" s="79"/>
      <c r="D339" s="79"/>
      <c r="E339" s="79"/>
      <c r="O339" s="79"/>
      <c r="S339" s="79"/>
      <c r="T339" s="79"/>
      <c r="Y339" s="79"/>
      <c r="AE339" s="130"/>
      <c r="AG339" s="106"/>
    </row>
    <row r="340">
      <c r="C340" s="79"/>
      <c r="D340" s="79"/>
      <c r="E340" s="79"/>
      <c r="O340" s="79"/>
      <c r="S340" s="79"/>
      <c r="T340" s="79"/>
      <c r="Y340" s="79"/>
      <c r="AE340" s="130"/>
      <c r="AG340" s="106"/>
    </row>
    <row r="341">
      <c r="C341" s="79"/>
      <c r="D341" s="79"/>
      <c r="E341" s="79"/>
      <c r="O341" s="79"/>
      <c r="S341" s="79"/>
      <c r="T341" s="79"/>
      <c r="Y341" s="79"/>
      <c r="AE341" s="130"/>
      <c r="AG341" s="106"/>
    </row>
    <row r="342">
      <c r="C342" s="79"/>
      <c r="D342" s="79"/>
      <c r="E342" s="79"/>
      <c r="O342" s="79"/>
      <c r="S342" s="79"/>
      <c r="T342" s="79"/>
      <c r="Y342" s="79"/>
      <c r="AE342" s="130"/>
      <c r="AG342" s="106"/>
    </row>
    <row r="343">
      <c r="C343" s="79"/>
      <c r="D343" s="79"/>
      <c r="E343" s="79"/>
      <c r="O343" s="79"/>
      <c r="S343" s="79"/>
      <c r="T343" s="79"/>
      <c r="Y343" s="79"/>
      <c r="AE343" s="130"/>
      <c r="AG343" s="106"/>
    </row>
    <row r="344">
      <c r="C344" s="79"/>
      <c r="D344" s="79"/>
      <c r="E344" s="79"/>
      <c r="O344" s="79"/>
      <c r="S344" s="79"/>
      <c r="T344" s="79"/>
      <c r="Y344" s="79"/>
      <c r="AE344" s="130"/>
      <c r="AG344" s="106"/>
    </row>
    <row r="345">
      <c r="C345" s="79"/>
      <c r="D345" s="79"/>
      <c r="E345" s="79"/>
      <c r="O345" s="79"/>
      <c r="S345" s="79"/>
      <c r="T345" s="79"/>
      <c r="Y345" s="79"/>
      <c r="AE345" s="130"/>
      <c r="AG345" s="106"/>
    </row>
    <row r="346">
      <c r="C346" s="79"/>
      <c r="D346" s="79"/>
      <c r="E346" s="79"/>
      <c r="O346" s="79"/>
      <c r="S346" s="79"/>
      <c r="T346" s="79"/>
      <c r="Y346" s="79"/>
      <c r="AE346" s="130"/>
      <c r="AG346" s="106"/>
    </row>
    <row r="347">
      <c r="C347" s="79"/>
      <c r="D347" s="79"/>
      <c r="E347" s="79"/>
      <c r="O347" s="79"/>
      <c r="S347" s="79"/>
      <c r="T347" s="79"/>
      <c r="Y347" s="79"/>
      <c r="AE347" s="130"/>
      <c r="AG347" s="106"/>
    </row>
    <row r="348">
      <c r="C348" s="79"/>
      <c r="D348" s="79"/>
      <c r="E348" s="79"/>
      <c r="O348" s="79"/>
      <c r="S348" s="79"/>
      <c r="T348" s="79"/>
      <c r="Y348" s="79"/>
      <c r="AE348" s="130"/>
      <c r="AG348" s="106"/>
    </row>
    <row r="349">
      <c r="C349" s="79"/>
      <c r="D349" s="79"/>
      <c r="E349" s="79"/>
      <c r="O349" s="79"/>
      <c r="S349" s="79"/>
      <c r="T349" s="79"/>
      <c r="Y349" s="79"/>
      <c r="AE349" s="130"/>
      <c r="AG349" s="106"/>
    </row>
    <row r="350">
      <c r="C350" s="79"/>
      <c r="D350" s="79"/>
      <c r="E350" s="79"/>
      <c r="O350" s="79"/>
      <c r="S350" s="79"/>
      <c r="T350" s="79"/>
      <c r="Y350" s="79"/>
      <c r="AE350" s="130"/>
      <c r="AG350" s="106"/>
    </row>
    <row r="351">
      <c r="C351" s="79"/>
      <c r="D351" s="79"/>
      <c r="E351" s="79"/>
      <c r="O351" s="79"/>
      <c r="S351" s="79"/>
      <c r="T351" s="79"/>
      <c r="Y351" s="79"/>
      <c r="AE351" s="130"/>
      <c r="AG351" s="106"/>
    </row>
    <row r="352">
      <c r="C352" s="79"/>
      <c r="D352" s="79"/>
      <c r="E352" s="79"/>
      <c r="O352" s="79"/>
      <c r="S352" s="79"/>
      <c r="T352" s="79"/>
      <c r="Y352" s="79"/>
      <c r="AE352" s="130"/>
      <c r="AG352" s="106"/>
    </row>
    <row r="353">
      <c r="C353" s="79"/>
      <c r="D353" s="79"/>
      <c r="E353" s="79"/>
      <c r="O353" s="79"/>
      <c r="S353" s="79"/>
      <c r="T353" s="79"/>
      <c r="Y353" s="79"/>
      <c r="AE353" s="130"/>
      <c r="AG353" s="106"/>
    </row>
    <row r="354">
      <c r="C354" s="79"/>
      <c r="D354" s="79"/>
      <c r="E354" s="79"/>
      <c r="O354" s="79"/>
      <c r="S354" s="79"/>
      <c r="T354" s="79"/>
      <c r="Y354" s="79"/>
      <c r="AE354" s="130"/>
      <c r="AG354" s="106"/>
    </row>
    <row r="355">
      <c r="C355" s="79"/>
      <c r="D355" s="79"/>
      <c r="E355" s="79"/>
      <c r="O355" s="79"/>
      <c r="S355" s="79"/>
      <c r="T355" s="79"/>
      <c r="Y355" s="79"/>
      <c r="AE355" s="130"/>
      <c r="AG355" s="106"/>
    </row>
    <row r="356">
      <c r="C356" s="79"/>
      <c r="D356" s="79"/>
      <c r="E356" s="79"/>
      <c r="O356" s="79"/>
      <c r="S356" s="79"/>
      <c r="T356" s="79"/>
      <c r="Y356" s="79"/>
      <c r="AE356" s="130"/>
      <c r="AG356" s="106"/>
    </row>
    <row r="357">
      <c r="C357" s="79"/>
      <c r="D357" s="79"/>
      <c r="E357" s="79"/>
      <c r="O357" s="79"/>
      <c r="S357" s="79"/>
      <c r="T357" s="79"/>
      <c r="Y357" s="79"/>
      <c r="AE357" s="130"/>
      <c r="AG357" s="106"/>
    </row>
    <row r="358">
      <c r="C358" s="79"/>
      <c r="D358" s="79"/>
      <c r="E358" s="79"/>
      <c r="O358" s="79"/>
      <c r="S358" s="79"/>
      <c r="T358" s="79"/>
      <c r="Y358" s="79"/>
      <c r="AE358" s="130"/>
      <c r="AG358" s="106"/>
    </row>
    <row r="359">
      <c r="C359" s="79"/>
      <c r="D359" s="79"/>
      <c r="E359" s="79"/>
      <c r="O359" s="79"/>
      <c r="S359" s="79"/>
      <c r="T359" s="79"/>
      <c r="Y359" s="79"/>
      <c r="AE359" s="130"/>
      <c r="AG359" s="106"/>
    </row>
    <row r="360">
      <c r="C360" s="79"/>
      <c r="D360" s="79"/>
      <c r="E360" s="79"/>
      <c r="O360" s="79"/>
      <c r="S360" s="79"/>
      <c r="T360" s="79"/>
      <c r="Y360" s="79"/>
      <c r="AE360" s="130"/>
      <c r="AG360" s="106"/>
    </row>
    <row r="361">
      <c r="C361" s="79"/>
      <c r="D361" s="79"/>
      <c r="E361" s="79"/>
      <c r="O361" s="79"/>
      <c r="S361" s="79"/>
      <c r="T361" s="79"/>
      <c r="Y361" s="79"/>
      <c r="AE361" s="130"/>
      <c r="AG361" s="106"/>
    </row>
    <row r="362">
      <c r="C362" s="79"/>
      <c r="D362" s="79"/>
      <c r="E362" s="79"/>
      <c r="O362" s="79"/>
      <c r="S362" s="79"/>
      <c r="T362" s="79"/>
      <c r="Y362" s="79"/>
      <c r="AE362" s="130"/>
      <c r="AG362" s="106"/>
    </row>
    <row r="363">
      <c r="C363" s="79"/>
      <c r="D363" s="79"/>
      <c r="E363" s="79"/>
      <c r="O363" s="79"/>
      <c r="S363" s="79"/>
      <c r="T363" s="79"/>
      <c r="Y363" s="79"/>
      <c r="AE363" s="130"/>
      <c r="AG363" s="106"/>
    </row>
    <row r="364">
      <c r="C364" s="79"/>
      <c r="D364" s="79"/>
      <c r="E364" s="79"/>
      <c r="O364" s="79"/>
      <c r="S364" s="79"/>
      <c r="T364" s="79"/>
      <c r="Y364" s="79"/>
      <c r="AE364" s="130"/>
      <c r="AG364" s="106"/>
    </row>
    <row r="365">
      <c r="C365" s="79"/>
      <c r="D365" s="79"/>
      <c r="E365" s="79"/>
      <c r="O365" s="79"/>
      <c r="S365" s="79"/>
      <c r="T365" s="79"/>
      <c r="Y365" s="79"/>
      <c r="AE365" s="130"/>
      <c r="AG365" s="106"/>
    </row>
    <row r="366">
      <c r="C366" s="79"/>
      <c r="D366" s="79"/>
      <c r="E366" s="79"/>
      <c r="O366" s="79"/>
      <c r="S366" s="79"/>
      <c r="T366" s="79"/>
      <c r="Y366" s="79"/>
      <c r="AE366" s="130"/>
      <c r="AG366" s="106"/>
    </row>
    <row r="367">
      <c r="C367" s="79"/>
      <c r="D367" s="79"/>
      <c r="E367" s="79"/>
      <c r="O367" s="79"/>
      <c r="S367" s="79"/>
      <c r="T367" s="79"/>
      <c r="Y367" s="79"/>
      <c r="AE367" s="130"/>
      <c r="AG367" s="106"/>
    </row>
    <row r="368">
      <c r="C368" s="79"/>
      <c r="D368" s="79"/>
      <c r="E368" s="79"/>
      <c r="O368" s="79"/>
      <c r="S368" s="79"/>
      <c r="T368" s="79"/>
      <c r="Y368" s="79"/>
      <c r="AE368" s="130"/>
      <c r="AG368" s="106"/>
    </row>
    <row r="369">
      <c r="C369" s="79"/>
      <c r="D369" s="79"/>
      <c r="E369" s="79"/>
      <c r="O369" s="79"/>
      <c r="S369" s="79"/>
      <c r="T369" s="79"/>
      <c r="Y369" s="79"/>
      <c r="AE369" s="130"/>
      <c r="AG369" s="106"/>
    </row>
    <row r="370">
      <c r="C370" s="79"/>
      <c r="D370" s="79"/>
      <c r="E370" s="79"/>
      <c r="O370" s="79"/>
      <c r="S370" s="79"/>
      <c r="T370" s="79"/>
      <c r="Y370" s="79"/>
      <c r="AE370" s="130"/>
      <c r="AG370" s="106"/>
    </row>
    <row r="371">
      <c r="C371" s="79"/>
      <c r="D371" s="79"/>
      <c r="E371" s="79"/>
      <c r="O371" s="79"/>
      <c r="S371" s="79"/>
      <c r="T371" s="79"/>
      <c r="Y371" s="79"/>
      <c r="AE371" s="130"/>
      <c r="AG371" s="106"/>
    </row>
    <row r="372">
      <c r="C372" s="79"/>
      <c r="D372" s="79"/>
      <c r="E372" s="79"/>
      <c r="O372" s="79"/>
      <c r="S372" s="79"/>
      <c r="T372" s="79"/>
      <c r="Y372" s="79"/>
      <c r="AE372" s="130"/>
      <c r="AG372" s="106"/>
    </row>
    <row r="373">
      <c r="C373" s="79"/>
      <c r="D373" s="79"/>
      <c r="E373" s="79"/>
      <c r="O373" s="79"/>
      <c r="S373" s="79"/>
      <c r="T373" s="79"/>
      <c r="Y373" s="79"/>
      <c r="AE373" s="130"/>
      <c r="AG373" s="106"/>
    </row>
    <row r="374">
      <c r="C374" s="79"/>
      <c r="D374" s="79"/>
      <c r="E374" s="79"/>
      <c r="O374" s="79"/>
      <c r="S374" s="79"/>
      <c r="T374" s="79"/>
      <c r="Y374" s="79"/>
      <c r="AE374" s="130"/>
      <c r="AG374" s="106"/>
    </row>
    <row r="375">
      <c r="C375" s="79"/>
      <c r="D375" s="79"/>
      <c r="E375" s="79"/>
      <c r="O375" s="79"/>
      <c r="S375" s="79"/>
      <c r="T375" s="79"/>
      <c r="Y375" s="79"/>
      <c r="AE375" s="130"/>
      <c r="AG375" s="106"/>
    </row>
    <row r="376">
      <c r="C376" s="79"/>
      <c r="D376" s="79"/>
      <c r="E376" s="79"/>
      <c r="O376" s="79"/>
      <c r="S376" s="79"/>
      <c r="T376" s="79"/>
      <c r="Y376" s="79"/>
      <c r="AE376" s="130"/>
      <c r="AG376" s="106"/>
    </row>
    <row r="377">
      <c r="C377" s="79"/>
      <c r="D377" s="79"/>
      <c r="E377" s="79"/>
      <c r="O377" s="79"/>
      <c r="S377" s="79"/>
      <c r="T377" s="79"/>
      <c r="Y377" s="79"/>
      <c r="AE377" s="130"/>
      <c r="AG377" s="106"/>
    </row>
    <row r="378">
      <c r="C378" s="79"/>
      <c r="D378" s="79"/>
      <c r="E378" s="79"/>
      <c r="O378" s="79"/>
      <c r="S378" s="79"/>
      <c r="T378" s="79"/>
      <c r="Y378" s="79"/>
      <c r="AE378" s="130"/>
      <c r="AG378" s="106"/>
    </row>
    <row r="379">
      <c r="C379" s="79"/>
      <c r="D379" s="79"/>
      <c r="E379" s="79"/>
      <c r="O379" s="79"/>
      <c r="S379" s="79"/>
      <c r="T379" s="79"/>
      <c r="Y379" s="79"/>
      <c r="AE379" s="130"/>
      <c r="AG379" s="106"/>
    </row>
    <row r="380">
      <c r="C380" s="79"/>
      <c r="D380" s="79"/>
      <c r="E380" s="79"/>
      <c r="O380" s="79"/>
      <c r="S380" s="79"/>
      <c r="T380" s="79"/>
      <c r="Y380" s="79"/>
      <c r="AE380" s="130"/>
      <c r="AG380" s="106"/>
    </row>
    <row r="381">
      <c r="C381" s="79"/>
      <c r="D381" s="79"/>
      <c r="E381" s="79"/>
      <c r="O381" s="79"/>
      <c r="S381" s="79"/>
      <c r="T381" s="79"/>
      <c r="Y381" s="79"/>
      <c r="AE381" s="130"/>
      <c r="AG381" s="106"/>
    </row>
    <row r="382">
      <c r="C382" s="79"/>
      <c r="D382" s="79"/>
      <c r="E382" s="79"/>
      <c r="O382" s="79"/>
      <c r="S382" s="79"/>
      <c r="T382" s="79"/>
      <c r="Y382" s="79"/>
      <c r="AE382" s="130"/>
      <c r="AG382" s="106"/>
    </row>
    <row r="383">
      <c r="C383" s="79"/>
      <c r="D383" s="79"/>
      <c r="E383" s="79"/>
      <c r="O383" s="79"/>
      <c r="S383" s="79"/>
      <c r="T383" s="79"/>
      <c r="Y383" s="79"/>
      <c r="AE383" s="130"/>
      <c r="AG383" s="106"/>
    </row>
    <row r="384">
      <c r="C384" s="79"/>
      <c r="D384" s="79"/>
      <c r="E384" s="79"/>
      <c r="O384" s="79"/>
      <c r="S384" s="79"/>
      <c r="T384" s="79"/>
      <c r="Y384" s="79"/>
      <c r="AE384" s="130"/>
      <c r="AG384" s="106"/>
    </row>
    <row r="385">
      <c r="C385" s="79"/>
      <c r="D385" s="79"/>
      <c r="E385" s="79"/>
      <c r="O385" s="79"/>
      <c r="S385" s="79"/>
      <c r="T385" s="79"/>
      <c r="Y385" s="79"/>
      <c r="AE385" s="130"/>
      <c r="AG385" s="106"/>
    </row>
    <row r="386">
      <c r="C386" s="79"/>
      <c r="D386" s="79"/>
      <c r="E386" s="79"/>
      <c r="O386" s="79"/>
      <c r="S386" s="79"/>
      <c r="T386" s="79"/>
      <c r="Y386" s="79"/>
      <c r="AE386" s="130"/>
      <c r="AG386" s="106"/>
    </row>
    <row r="387">
      <c r="C387" s="79"/>
      <c r="D387" s="79"/>
      <c r="E387" s="79"/>
      <c r="O387" s="79"/>
      <c r="S387" s="79"/>
      <c r="T387" s="79"/>
      <c r="Y387" s="79"/>
      <c r="AE387" s="130"/>
      <c r="AG387" s="106"/>
    </row>
    <row r="388">
      <c r="C388" s="79"/>
      <c r="D388" s="79"/>
      <c r="E388" s="79"/>
      <c r="O388" s="79"/>
      <c r="S388" s="79"/>
      <c r="T388" s="79"/>
      <c r="Y388" s="79"/>
      <c r="AE388" s="130"/>
      <c r="AG388" s="106"/>
    </row>
    <row r="389">
      <c r="C389" s="79"/>
      <c r="D389" s="79"/>
      <c r="E389" s="79"/>
      <c r="O389" s="79"/>
      <c r="S389" s="79"/>
      <c r="T389" s="79"/>
      <c r="Y389" s="79"/>
      <c r="AE389" s="130"/>
      <c r="AG389" s="106"/>
    </row>
    <row r="390">
      <c r="C390" s="79"/>
      <c r="D390" s="79"/>
      <c r="E390" s="79"/>
      <c r="O390" s="79"/>
      <c r="S390" s="79"/>
      <c r="T390" s="79"/>
      <c r="Y390" s="79"/>
      <c r="AE390" s="130"/>
      <c r="AG390" s="106"/>
    </row>
    <row r="391">
      <c r="C391" s="79"/>
      <c r="D391" s="79"/>
      <c r="E391" s="79"/>
      <c r="O391" s="79"/>
      <c r="S391" s="79"/>
      <c r="T391" s="79"/>
      <c r="Y391" s="79"/>
      <c r="AE391" s="130"/>
      <c r="AG391" s="106"/>
    </row>
    <row r="392">
      <c r="C392" s="79"/>
      <c r="D392" s="79"/>
      <c r="E392" s="79"/>
      <c r="O392" s="79"/>
      <c r="S392" s="79"/>
      <c r="T392" s="79"/>
      <c r="Y392" s="79"/>
      <c r="AE392" s="130"/>
      <c r="AG392" s="106"/>
    </row>
    <row r="393">
      <c r="C393" s="79"/>
      <c r="D393" s="79"/>
      <c r="E393" s="79"/>
      <c r="O393" s="79"/>
      <c r="S393" s="79"/>
      <c r="T393" s="79"/>
      <c r="Y393" s="79"/>
      <c r="AE393" s="130"/>
      <c r="AG393" s="106"/>
    </row>
    <row r="394">
      <c r="C394" s="79"/>
      <c r="D394" s="79"/>
      <c r="E394" s="79"/>
      <c r="O394" s="79"/>
      <c r="S394" s="79"/>
      <c r="T394" s="79"/>
      <c r="Y394" s="79"/>
      <c r="AE394" s="130"/>
      <c r="AG394" s="106"/>
    </row>
    <row r="395">
      <c r="C395" s="79"/>
      <c r="D395" s="79"/>
      <c r="E395" s="79"/>
      <c r="O395" s="79"/>
      <c r="S395" s="79"/>
      <c r="T395" s="79"/>
      <c r="Y395" s="79"/>
      <c r="AE395" s="130"/>
      <c r="AG395" s="106"/>
    </row>
    <row r="396">
      <c r="C396" s="79"/>
      <c r="D396" s="79"/>
      <c r="E396" s="79"/>
      <c r="O396" s="79"/>
      <c r="S396" s="79"/>
      <c r="T396" s="79"/>
      <c r="Y396" s="79"/>
      <c r="AE396" s="130"/>
      <c r="AG396" s="106"/>
    </row>
    <row r="397">
      <c r="C397" s="79"/>
      <c r="D397" s="79"/>
      <c r="E397" s="79"/>
      <c r="O397" s="79"/>
      <c r="S397" s="79"/>
      <c r="T397" s="79"/>
      <c r="Y397" s="79"/>
      <c r="AE397" s="130"/>
      <c r="AG397" s="106"/>
    </row>
    <row r="398">
      <c r="C398" s="79"/>
      <c r="D398" s="79"/>
      <c r="E398" s="79"/>
      <c r="O398" s="79"/>
      <c r="S398" s="79"/>
      <c r="T398" s="79"/>
      <c r="Y398" s="79"/>
      <c r="AE398" s="130"/>
      <c r="AG398" s="106"/>
    </row>
    <row r="399">
      <c r="C399" s="79"/>
      <c r="D399" s="79"/>
      <c r="E399" s="79"/>
      <c r="O399" s="79"/>
      <c r="S399" s="79"/>
      <c r="T399" s="79"/>
      <c r="Y399" s="79"/>
      <c r="AE399" s="130"/>
      <c r="AG399" s="106"/>
    </row>
    <row r="400">
      <c r="C400" s="79"/>
      <c r="D400" s="79"/>
      <c r="E400" s="79"/>
      <c r="O400" s="79"/>
      <c r="S400" s="79"/>
      <c r="T400" s="79"/>
      <c r="Y400" s="79"/>
      <c r="AE400" s="130"/>
      <c r="AG400" s="106"/>
    </row>
    <row r="401">
      <c r="C401" s="79"/>
      <c r="D401" s="79"/>
      <c r="E401" s="79"/>
      <c r="O401" s="79"/>
      <c r="S401" s="79"/>
      <c r="T401" s="79"/>
      <c r="Y401" s="79"/>
      <c r="AE401" s="130"/>
      <c r="AG401" s="106"/>
    </row>
    <row r="402">
      <c r="C402" s="79"/>
      <c r="D402" s="79"/>
      <c r="E402" s="79"/>
      <c r="O402" s="79"/>
      <c r="S402" s="79"/>
      <c r="T402" s="79"/>
      <c r="Y402" s="79"/>
      <c r="AE402" s="130"/>
      <c r="AG402" s="106"/>
    </row>
    <row r="403">
      <c r="C403" s="79"/>
      <c r="D403" s="79"/>
      <c r="E403" s="79"/>
      <c r="O403" s="79"/>
      <c r="S403" s="79"/>
      <c r="T403" s="79"/>
      <c r="Y403" s="79"/>
      <c r="AE403" s="130"/>
      <c r="AG403" s="106"/>
    </row>
    <row r="404">
      <c r="C404" s="79"/>
      <c r="D404" s="79"/>
      <c r="E404" s="79"/>
      <c r="O404" s="79"/>
      <c r="S404" s="79"/>
      <c r="T404" s="79"/>
      <c r="Y404" s="79"/>
      <c r="AE404" s="130"/>
      <c r="AG404" s="106"/>
    </row>
    <row r="405">
      <c r="C405" s="79"/>
      <c r="D405" s="79"/>
      <c r="E405" s="79"/>
      <c r="O405" s="79"/>
      <c r="S405" s="79"/>
      <c r="T405" s="79"/>
      <c r="Y405" s="79"/>
      <c r="AE405" s="130"/>
      <c r="AG405" s="106"/>
    </row>
    <row r="406">
      <c r="C406" s="79"/>
      <c r="D406" s="79"/>
      <c r="E406" s="79"/>
      <c r="O406" s="79"/>
      <c r="S406" s="79"/>
      <c r="T406" s="79"/>
      <c r="Y406" s="79"/>
      <c r="AE406" s="130"/>
      <c r="AG406" s="106"/>
    </row>
    <row r="407">
      <c r="C407" s="79"/>
      <c r="D407" s="79"/>
      <c r="E407" s="79"/>
      <c r="O407" s="79"/>
      <c r="S407" s="79"/>
      <c r="T407" s="79"/>
      <c r="Y407" s="79"/>
      <c r="AE407" s="130"/>
      <c r="AG407" s="106"/>
    </row>
    <row r="408">
      <c r="C408" s="79"/>
      <c r="D408" s="79"/>
      <c r="E408" s="79"/>
      <c r="O408" s="79"/>
      <c r="S408" s="79"/>
      <c r="T408" s="79"/>
      <c r="Y408" s="79"/>
      <c r="AE408" s="130"/>
      <c r="AG408" s="106"/>
    </row>
    <row r="409">
      <c r="C409" s="79"/>
      <c r="D409" s="79"/>
      <c r="E409" s="79"/>
      <c r="O409" s="79"/>
      <c r="S409" s="79"/>
      <c r="T409" s="79"/>
      <c r="Y409" s="79"/>
      <c r="AE409" s="130"/>
      <c r="AG409" s="106"/>
    </row>
    <row r="410">
      <c r="C410" s="79"/>
      <c r="D410" s="79"/>
      <c r="E410" s="79"/>
      <c r="O410" s="79"/>
      <c r="S410" s="79"/>
      <c r="T410" s="79"/>
      <c r="Y410" s="79"/>
      <c r="AE410" s="130"/>
      <c r="AG410" s="106"/>
    </row>
    <row r="411">
      <c r="C411" s="79"/>
      <c r="D411" s="79"/>
      <c r="E411" s="79"/>
      <c r="O411" s="79"/>
      <c r="S411" s="79"/>
      <c r="T411" s="79"/>
      <c r="Y411" s="79"/>
      <c r="AE411" s="130"/>
      <c r="AG411" s="106"/>
    </row>
    <row r="412">
      <c r="C412" s="79"/>
      <c r="D412" s="79"/>
      <c r="E412" s="79"/>
      <c r="O412" s="79"/>
      <c r="S412" s="79"/>
      <c r="T412" s="79"/>
      <c r="Y412" s="79"/>
      <c r="AE412" s="130"/>
      <c r="AG412" s="106"/>
    </row>
    <row r="413">
      <c r="C413" s="79"/>
      <c r="D413" s="79"/>
      <c r="E413" s="79"/>
      <c r="O413" s="79"/>
      <c r="S413" s="79"/>
      <c r="T413" s="79"/>
      <c r="Y413" s="79"/>
      <c r="AE413" s="130"/>
      <c r="AG413" s="106"/>
    </row>
    <row r="414">
      <c r="C414" s="79"/>
      <c r="D414" s="79"/>
      <c r="E414" s="79"/>
      <c r="O414" s="79"/>
      <c r="S414" s="79"/>
      <c r="T414" s="79"/>
      <c r="Y414" s="79"/>
      <c r="AE414" s="130"/>
      <c r="AG414" s="106"/>
    </row>
    <row r="415">
      <c r="C415" s="79"/>
      <c r="D415" s="79"/>
      <c r="E415" s="79"/>
      <c r="O415" s="79"/>
      <c r="S415" s="79"/>
      <c r="T415" s="79"/>
      <c r="Y415" s="79"/>
      <c r="AE415" s="130"/>
      <c r="AG415" s="106"/>
    </row>
    <row r="416">
      <c r="C416" s="79"/>
      <c r="D416" s="79"/>
      <c r="E416" s="79"/>
      <c r="O416" s="79"/>
      <c r="S416" s="79"/>
      <c r="T416" s="79"/>
      <c r="Y416" s="79"/>
      <c r="AE416" s="130"/>
      <c r="AG416" s="106"/>
    </row>
    <row r="417">
      <c r="C417" s="79"/>
      <c r="D417" s="79"/>
      <c r="E417" s="79"/>
      <c r="O417" s="79"/>
      <c r="S417" s="79"/>
      <c r="T417" s="79"/>
      <c r="Y417" s="79"/>
      <c r="AE417" s="130"/>
      <c r="AG417" s="106"/>
    </row>
    <row r="418">
      <c r="C418" s="79"/>
      <c r="D418" s="79"/>
      <c r="E418" s="79"/>
      <c r="O418" s="79"/>
      <c r="S418" s="79"/>
      <c r="T418" s="79"/>
      <c r="Y418" s="79"/>
      <c r="AE418" s="130"/>
      <c r="AG418" s="106"/>
    </row>
    <row r="419">
      <c r="C419" s="79"/>
      <c r="D419" s="79"/>
      <c r="E419" s="79"/>
      <c r="O419" s="79"/>
      <c r="S419" s="79"/>
      <c r="T419" s="79"/>
      <c r="Y419" s="79"/>
      <c r="AE419" s="130"/>
      <c r="AG419" s="106"/>
    </row>
    <row r="420">
      <c r="C420" s="79"/>
      <c r="D420" s="79"/>
      <c r="E420" s="79"/>
      <c r="O420" s="79"/>
      <c r="S420" s="79"/>
      <c r="T420" s="79"/>
      <c r="Y420" s="79"/>
      <c r="AE420" s="130"/>
      <c r="AG420" s="106"/>
    </row>
    <row r="421">
      <c r="C421" s="79"/>
      <c r="D421" s="79"/>
      <c r="E421" s="79"/>
      <c r="O421" s="79"/>
      <c r="S421" s="79"/>
      <c r="T421" s="79"/>
      <c r="Y421" s="79"/>
      <c r="AE421" s="130"/>
      <c r="AG421" s="106"/>
    </row>
    <row r="422">
      <c r="C422" s="79"/>
      <c r="D422" s="79"/>
      <c r="E422" s="79"/>
      <c r="O422" s="79"/>
      <c r="S422" s="79"/>
      <c r="T422" s="79"/>
      <c r="Y422" s="79"/>
      <c r="AE422" s="130"/>
      <c r="AG422" s="106"/>
    </row>
    <row r="423">
      <c r="C423" s="79"/>
      <c r="D423" s="79"/>
      <c r="E423" s="79"/>
      <c r="O423" s="79"/>
      <c r="S423" s="79"/>
      <c r="T423" s="79"/>
      <c r="Y423" s="79"/>
      <c r="AE423" s="130"/>
      <c r="AG423" s="106"/>
    </row>
    <row r="424">
      <c r="C424" s="79"/>
      <c r="D424" s="79"/>
      <c r="E424" s="79"/>
      <c r="O424" s="79"/>
      <c r="S424" s="79"/>
      <c r="T424" s="79"/>
      <c r="Y424" s="79"/>
      <c r="AE424" s="130"/>
      <c r="AG424" s="106"/>
    </row>
    <row r="425">
      <c r="C425" s="79"/>
      <c r="D425" s="79"/>
      <c r="E425" s="79"/>
      <c r="O425" s="79"/>
      <c r="S425" s="79"/>
      <c r="T425" s="79"/>
      <c r="Y425" s="79"/>
      <c r="AE425" s="130"/>
      <c r="AG425" s="106"/>
    </row>
    <row r="426">
      <c r="C426" s="79"/>
      <c r="D426" s="79"/>
      <c r="E426" s="79"/>
      <c r="O426" s="79"/>
      <c r="S426" s="79"/>
      <c r="T426" s="79"/>
      <c r="Y426" s="79"/>
      <c r="AE426" s="130"/>
      <c r="AG426" s="106"/>
    </row>
    <row r="427">
      <c r="C427" s="79"/>
      <c r="D427" s="79"/>
      <c r="E427" s="79"/>
      <c r="O427" s="79"/>
      <c r="S427" s="79"/>
      <c r="T427" s="79"/>
      <c r="Y427" s="79"/>
      <c r="AE427" s="130"/>
      <c r="AG427" s="106"/>
    </row>
    <row r="428">
      <c r="C428" s="79"/>
      <c r="D428" s="79"/>
      <c r="E428" s="79"/>
      <c r="O428" s="79"/>
      <c r="S428" s="79"/>
      <c r="T428" s="79"/>
      <c r="Y428" s="79"/>
      <c r="AE428" s="130"/>
      <c r="AG428" s="106"/>
    </row>
    <row r="429">
      <c r="C429" s="79"/>
      <c r="D429" s="79"/>
      <c r="E429" s="79"/>
      <c r="O429" s="79"/>
      <c r="S429" s="79"/>
      <c r="T429" s="79"/>
      <c r="Y429" s="79"/>
      <c r="AE429" s="130"/>
      <c r="AG429" s="106"/>
    </row>
    <row r="430">
      <c r="C430" s="79"/>
      <c r="D430" s="79"/>
      <c r="E430" s="79"/>
      <c r="O430" s="79"/>
      <c r="S430" s="79"/>
      <c r="T430" s="79"/>
      <c r="Y430" s="79"/>
      <c r="AE430" s="130"/>
      <c r="AG430" s="106"/>
    </row>
    <row r="431">
      <c r="C431" s="79"/>
      <c r="D431" s="79"/>
      <c r="E431" s="79"/>
      <c r="O431" s="79"/>
      <c r="S431" s="79"/>
      <c r="T431" s="79"/>
      <c r="Y431" s="79"/>
      <c r="AE431" s="130"/>
      <c r="AG431" s="106"/>
    </row>
    <row r="432">
      <c r="C432" s="79"/>
      <c r="D432" s="79"/>
      <c r="E432" s="79"/>
      <c r="O432" s="79"/>
      <c r="S432" s="79"/>
      <c r="T432" s="79"/>
      <c r="Y432" s="79"/>
      <c r="AE432" s="130"/>
      <c r="AG432" s="106"/>
    </row>
    <row r="433">
      <c r="C433" s="79"/>
      <c r="D433" s="79"/>
      <c r="E433" s="79"/>
      <c r="O433" s="79"/>
      <c r="S433" s="79"/>
      <c r="T433" s="79"/>
      <c r="Y433" s="79"/>
      <c r="AE433" s="130"/>
      <c r="AG433" s="106"/>
    </row>
    <row r="434">
      <c r="C434" s="79"/>
      <c r="D434" s="79"/>
      <c r="E434" s="79"/>
      <c r="O434" s="79"/>
      <c r="S434" s="79"/>
      <c r="T434" s="79"/>
      <c r="Y434" s="79"/>
      <c r="AE434" s="130"/>
      <c r="AG434" s="106"/>
    </row>
    <row r="435">
      <c r="C435" s="79"/>
      <c r="D435" s="79"/>
      <c r="E435" s="79"/>
      <c r="O435" s="79"/>
      <c r="S435" s="79"/>
      <c r="T435" s="79"/>
      <c r="Y435" s="79"/>
      <c r="AE435" s="130"/>
      <c r="AG435" s="106"/>
    </row>
    <row r="436">
      <c r="C436" s="79"/>
      <c r="D436" s="79"/>
      <c r="E436" s="79"/>
      <c r="O436" s="79"/>
      <c r="S436" s="79"/>
      <c r="T436" s="79"/>
      <c r="Y436" s="79"/>
      <c r="AE436" s="130"/>
      <c r="AG436" s="106"/>
    </row>
    <row r="437">
      <c r="C437" s="79"/>
      <c r="D437" s="79"/>
      <c r="E437" s="79"/>
      <c r="O437" s="79"/>
      <c r="S437" s="79"/>
      <c r="T437" s="79"/>
      <c r="Y437" s="79"/>
      <c r="AE437" s="130"/>
      <c r="AG437" s="106"/>
    </row>
    <row r="438">
      <c r="C438" s="79"/>
      <c r="D438" s="79"/>
      <c r="E438" s="79"/>
      <c r="O438" s="79"/>
      <c r="S438" s="79"/>
      <c r="T438" s="79"/>
      <c r="Y438" s="79"/>
      <c r="AE438" s="130"/>
      <c r="AG438" s="106"/>
    </row>
    <row r="439">
      <c r="C439" s="79"/>
      <c r="D439" s="79"/>
      <c r="E439" s="79"/>
      <c r="O439" s="79"/>
      <c r="S439" s="79"/>
      <c r="T439" s="79"/>
      <c r="Y439" s="79"/>
      <c r="AE439" s="130"/>
      <c r="AG439" s="106"/>
    </row>
    <row r="440">
      <c r="C440" s="79"/>
      <c r="D440" s="79"/>
      <c r="E440" s="79"/>
      <c r="O440" s="79"/>
      <c r="S440" s="79"/>
      <c r="T440" s="79"/>
      <c r="Y440" s="79"/>
      <c r="AE440" s="130"/>
      <c r="AG440" s="106"/>
    </row>
    <row r="441">
      <c r="C441" s="79"/>
      <c r="D441" s="79"/>
      <c r="E441" s="79"/>
      <c r="O441" s="79"/>
      <c r="S441" s="79"/>
      <c r="T441" s="79"/>
      <c r="Y441" s="79"/>
      <c r="AE441" s="130"/>
      <c r="AG441" s="106"/>
    </row>
    <row r="442">
      <c r="C442" s="79"/>
      <c r="D442" s="79"/>
      <c r="E442" s="79"/>
      <c r="O442" s="79"/>
      <c r="S442" s="79"/>
      <c r="T442" s="79"/>
      <c r="Y442" s="79"/>
      <c r="AE442" s="130"/>
      <c r="AG442" s="106"/>
    </row>
    <row r="443">
      <c r="C443" s="79"/>
      <c r="D443" s="79"/>
      <c r="E443" s="79"/>
      <c r="O443" s="79"/>
      <c r="S443" s="79"/>
      <c r="T443" s="79"/>
      <c r="Y443" s="79"/>
      <c r="AE443" s="130"/>
      <c r="AG443" s="106"/>
    </row>
    <row r="444">
      <c r="C444" s="79"/>
      <c r="D444" s="79"/>
      <c r="E444" s="79"/>
      <c r="O444" s="79"/>
      <c r="S444" s="79"/>
      <c r="T444" s="79"/>
      <c r="Y444" s="79"/>
      <c r="AE444" s="130"/>
      <c r="AG444" s="106"/>
    </row>
    <row r="445">
      <c r="C445" s="79"/>
      <c r="D445" s="79"/>
      <c r="E445" s="79"/>
      <c r="O445" s="79"/>
      <c r="S445" s="79"/>
      <c r="T445" s="79"/>
      <c r="Y445" s="79"/>
      <c r="AE445" s="130"/>
      <c r="AG445" s="106"/>
    </row>
    <row r="446">
      <c r="C446" s="79"/>
      <c r="D446" s="79"/>
      <c r="E446" s="79"/>
      <c r="O446" s="79"/>
      <c r="S446" s="79"/>
      <c r="T446" s="79"/>
      <c r="Y446" s="79"/>
      <c r="AE446" s="130"/>
      <c r="AG446" s="106"/>
    </row>
    <row r="447">
      <c r="C447" s="79"/>
      <c r="D447" s="79"/>
      <c r="E447" s="79"/>
      <c r="O447" s="79"/>
      <c r="S447" s="79"/>
      <c r="T447" s="79"/>
      <c r="Y447" s="79"/>
      <c r="AE447" s="130"/>
      <c r="AG447" s="106"/>
    </row>
    <row r="448">
      <c r="C448" s="79"/>
      <c r="D448" s="79"/>
      <c r="E448" s="79"/>
      <c r="O448" s="79"/>
      <c r="S448" s="79"/>
      <c r="T448" s="79"/>
      <c r="Y448" s="79"/>
      <c r="AE448" s="130"/>
      <c r="AG448" s="106"/>
    </row>
    <row r="449">
      <c r="C449" s="79"/>
      <c r="D449" s="79"/>
      <c r="E449" s="79"/>
      <c r="O449" s="79"/>
      <c r="S449" s="79"/>
      <c r="T449" s="79"/>
      <c r="Y449" s="79"/>
      <c r="AE449" s="130"/>
      <c r="AG449" s="106"/>
    </row>
    <row r="450">
      <c r="C450" s="79"/>
      <c r="D450" s="79"/>
      <c r="E450" s="79"/>
      <c r="O450" s="79"/>
      <c r="S450" s="79"/>
      <c r="T450" s="79"/>
      <c r="Y450" s="79"/>
      <c r="AE450" s="130"/>
      <c r="AG450" s="106"/>
    </row>
    <row r="451">
      <c r="C451" s="79"/>
      <c r="D451" s="79"/>
      <c r="E451" s="79"/>
      <c r="O451" s="79"/>
      <c r="S451" s="79"/>
      <c r="T451" s="79"/>
      <c r="Y451" s="79"/>
      <c r="AE451" s="130"/>
      <c r="AG451" s="106"/>
    </row>
    <row r="452">
      <c r="C452" s="79"/>
      <c r="D452" s="79"/>
      <c r="E452" s="79"/>
      <c r="O452" s="79"/>
      <c r="S452" s="79"/>
      <c r="T452" s="79"/>
      <c r="Y452" s="79"/>
      <c r="AE452" s="130"/>
      <c r="AG452" s="106"/>
    </row>
    <row r="453">
      <c r="C453" s="79"/>
      <c r="D453" s="79"/>
      <c r="E453" s="79"/>
      <c r="O453" s="79"/>
      <c r="S453" s="79"/>
      <c r="T453" s="79"/>
      <c r="Y453" s="79"/>
      <c r="AE453" s="130"/>
      <c r="AG453" s="106"/>
    </row>
    <row r="454">
      <c r="C454" s="79"/>
      <c r="D454" s="79"/>
      <c r="E454" s="79"/>
      <c r="O454" s="79"/>
      <c r="S454" s="79"/>
      <c r="T454" s="79"/>
      <c r="Y454" s="79"/>
      <c r="AE454" s="130"/>
      <c r="AG454" s="106"/>
    </row>
    <row r="455">
      <c r="C455" s="79"/>
      <c r="D455" s="79"/>
      <c r="E455" s="79"/>
      <c r="O455" s="79"/>
      <c r="S455" s="79"/>
      <c r="T455" s="79"/>
      <c r="Y455" s="79"/>
      <c r="AE455" s="130"/>
      <c r="AG455" s="106"/>
    </row>
    <row r="456">
      <c r="C456" s="79"/>
      <c r="D456" s="79"/>
      <c r="E456" s="79"/>
      <c r="O456" s="79"/>
      <c r="S456" s="79"/>
      <c r="T456" s="79"/>
      <c r="Y456" s="79"/>
      <c r="AE456" s="130"/>
      <c r="AG456" s="106"/>
    </row>
    <row r="457">
      <c r="C457" s="79"/>
      <c r="D457" s="79"/>
      <c r="E457" s="79"/>
      <c r="O457" s="79"/>
      <c r="S457" s="79"/>
      <c r="T457" s="79"/>
      <c r="Y457" s="79"/>
      <c r="AE457" s="130"/>
      <c r="AG457" s="106"/>
    </row>
    <row r="458">
      <c r="C458" s="79"/>
      <c r="D458" s="79"/>
      <c r="E458" s="79"/>
      <c r="O458" s="79"/>
      <c r="S458" s="79"/>
      <c r="T458" s="79"/>
      <c r="Y458" s="79"/>
      <c r="AE458" s="130"/>
      <c r="AG458" s="106"/>
    </row>
    <row r="459">
      <c r="C459" s="79"/>
      <c r="D459" s="79"/>
      <c r="E459" s="79"/>
      <c r="O459" s="79"/>
      <c r="S459" s="79"/>
      <c r="T459" s="79"/>
      <c r="Y459" s="79"/>
      <c r="AE459" s="130"/>
      <c r="AG459" s="106"/>
    </row>
    <row r="460">
      <c r="C460" s="79"/>
      <c r="D460" s="79"/>
      <c r="E460" s="79"/>
      <c r="O460" s="79"/>
      <c r="S460" s="79"/>
      <c r="T460" s="79"/>
      <c r="Y460" s="79"/>
      <c r="AE460" s="130"/>
      <c r="AG460" s="106"/>
    </row>
    <row r="461">
      <c r="C461" s="79"/>
      <c r="D461" s="79"/>
      <c r="E461" s="79"/>
      <c r="O461" s="79"/>
      <c r="S461" s="79"/>
      <c r="T461" s="79"/>
      <c r="Y461" s="79"/>
      <c r="AE461" s="130"/>
      <c r="AG461" s="106"/>
    </row>
    <row r="462">
      <c r="C462" s="79"/>
      <c r="D462" s="79"/>
      <c r="E462" s="79"/>
      <c r="O462" s="79"/>
      <c r="S462" s="79"/>
      <c r="T462" s="79"/>
      <c r="Y462" s="79"/>
      <c r="AE462" s="130"/>
      <c r="AG462" s="106"/>
    </row>
    <row r="463">
      <c r="C463" s="79"/>
      <c r="D463" s="79"/>
      <c r="E463" s="79"/>
      <c r="O463" s="79"/>
      <c r="S463" s="79"/>
      <c r="T463" s="79"/>
      <c r="Y463" s="79"/>
      <c r="AE463" s="130"/>
      <c r="AG463" s="106"/>
    </row>
    <row r="464">
      <c r="C464" s="79"/>
      <c r="D464" s="79"/>
      <c r="E464" s="79"/>
      <c r="O464" s="79"/>
      <c r="S464" s="79"/>
      <c r="T464" s="79"/>
      <c r="Y464" s="79"/>
      <c r="AE464" s="130"/>
      <c r="AG464" s="106"/>
    </row>
    <row r="465">
      <c r="C465" s="79"/>
      <c r="D465" s="79"/>
      <c r="E465" s="79"/>
      <c r="O465" s="79"/>
      <c r="S465" s="79"/>
      <c r="T465" s="79"/>
      <c r="Y465" s="79"/>
      <c r="AE465" s="130"/>
      <c r="AG465" s="106"/>
    </row>
    <row r="466">
      <c r="C466" s="79"/>
      <c r="D466" s="79"/>
      <c r="E466" s="79"/>
      <c r="O466" s="79"/>
      <c r="S466" s="79"/>
      <c r="T466" s="79"/>
      <c r="Y466" s="79"/>
      <c r="AE466" s="130"/>
      <c r="AG466" s="106"/>
    </row>
    <row r="467">
      <c r="C467" s="79"/>
      <c r="D467" s="79"/>
      <c r="E467" s="79"/>
      <c r="O467" s="79"/>
      <c r="S467" s="79"/>
      <c r="T467" s="79"/>
      <c r="Y467" s="79"/>
      <c r="AE467" s="130"/>
      <c r="AG467" s="106"/>
    </row>
    <row r="468">
      <c r="C468" s="79"/>
      <c r="D468" s="79"/>
      <c r="E468" s="79"/>
      <c r="O468" s="79"/>
      <c r="S468" s="79"/>
      <c r="T468" s="79"/>
      <c r="Y468" s="79"/>
      <c r="AE468" s="130"/>
      <c r="AG468" s="106"/>
    </row>
    <row r="469">
      <c r="C469" s="79"/>
      <c r="D469" s="79"/>
      <c r="E469" s="79"/>
      <c r="O469" s="79"/>
      <c r="S469" s="79"/>
      <c r="T469" s="79"/>
      <c r="Y469" s="79"/>
      <c r="AE469" s="130"/>
      <c r="AG469" s="106"/>
    </row>
    <row r="470">
      <c r="C470" s="79"/>
      <c r="D470" s="79"/>
      <c r="E470" s="79"/>
      <c r="O470" s="79"/>
      <c r="S470" s="79"/>
      <c r="T470" s="79"/>
      <c r="Y470" s="79"/>
      <c r="AE470" s="130"/>
      <c r="AG470" s="106"/>
    </row>
    <row r="471">
      <c r="C471" s="79"/>
      <c r="D471" s="79"/>
      <c r="E471" s="79"/>
      <c r="O471" s="79"/>
      <c r="S471" s="79"/>
      <c r="T471" s="79"/>
      <c r="Y471" s="79"/>
      <c r="AE471" s="130"/>
      <c r="AG471" s="106"/>
    </row>
    <row r="472">
      <c r="C472" s="79"/>
      <c r="D472" s="79"/>
      <c r="E472" s="79"/>
      <c r="O472" s="79"/>
      <c r="S472" s="79"/>
      <c r="T472" s="79"/>
      <c r="Y472" s="79"/>
      <c r="AE472" s="130"/>
      <c r="AG472" s="106"/>
    </row>
    <row r="473">
      <c r="C473" s="79"/>
      <c r="D473" s="79"/>
      <c r="E473" s="79"/>
      <c r="O473" s="79"/>
      <c r="S473" s="79"/>
      <c r="T473" s="79"/>
      <c r="Y473" s="79"/>
      <c r="AE473" s="130"/>
      <c r="AG473" s="106"/>
    </row>
    <row r="474">
      <c r="C474" s="79"/>
      <c r="D474" s="79"/>
      <c r="E474" s="79"/>
      <c r="O474" s="79"/>
      <c r="S474" s="79"/>
      <c r="T474" s="79"/>
      <c r="Y474" s="79"/>
      <c r="AE474" s="130"/>
      <c r="AG474" s="106"/>
    </row>
    <row r="475">
      <c r="C475" s="79"/>
      <c r="D475" s="79"/>
      <c r="E475" s="79"/>
      <c r="O475" s="79"/>
      <c r="S475" s="79"/>
      <c r="T475" s="79"/>
      <c r="Y475" s="79"/>
      <c r="AE475" s="130"/>
      <c r="AG475" s="106"/>
    </row>
    <row r="476">
      <c r="C476" s="79"/>
      <c r="D476" s="79"/>
      <c r="E476" s="79"/>
      <c r="O476" s="79"/>
      <c r="S476" s="79"/>
      <c r="T476" s="79"/>
      <c r="Y476" s="79"/>
      <c r="AE476" s="130"/>
      <c r="AG476" s="106"/>
    </row>
    <row r="477">
      <c r="C477" s="79"/>
      <c r="D477" s="79"/>
      <c r="E477" s="79"/>
      <c r="O477" s="79"/>
      <c r="S477" s="79"/>
      <c r="T477" s="79"/>
      <c r="Y477" s="79"/>
      <c r="AE477" s="130"/>
      <c r="AG477" s="106"/>
    </row>
    <row r="478">
      <c r="C478" s="79"/>
      <c r="D478" s="79"/>
      <c r="E478" s="79"/>
      <c r="O478" s="79"/>
      <c r="S478" s="79"/>
      <c r="T478" s="79"/>
      <c r="Y478" s="79"/>
      <c r="AE478" s="130"/>
      <c r="AG478" s="106"/>
    </row>
    <row r="479">
      <c r="C479" s="79"/>
      <c r="D479" s="79"/>
      <c r="E479" s="79"/>
      <c r="O479" s="79"/>
      <c r="S479" s="79"/>
      <c r="T479" s="79"/>
      <c r="Y479" s="79"/>
      <c r="AE479" s="130"/>
      <c r="AG479" s="106"/>
    </row>
    <row r="480">
      <c r="C480" s="79"/>
      <c r="D480" s="79"/>
      <c r="E480" s="79"/>
      <c r="O480" s="79"/>
      <c r="S480" s="79"/>
      <c r="T480" s="79"/>
      <c r="Y480" s="79"/>
      <c r="AE480" s="130"/>
      <c r="AG480" s="106"/>
    </row>
    <row r="481">
      <c r="C481" s="79"/>
      <c r="D481" s="79"/>
      <c r="E481" s="79"/>
      <c r="O481" s="79"/>
      <c r="S481" s="79"/>
      <c r="T481" s="79"/>
      <c r="Y481" s="79"/>
      <c r="AE481" s="130"/>
      <c r="AG481" s="106"/>
    </row>
    <row r="482">
      <c r="C482" s="79"/>
      <c r="D482" s="79"/>
      <c r="E482" s="79"/>
      <c r="O482" s="79"/>
      <c r="S482" s="79"/>
      <c r="T482" s="79"/>
      <c r="Y482" s="79"/>
      <c r="AE482" s="130"/>
      <c r="AG482" s="106"/>
    </row>
    <row r="483">
      <c r="C483" s="79"/>
      <c r="D483" s="79"/>
      <c r="E483" s="79"/>
      <c r="O483" s="79"/>
      <c r="S483" s="79"/>
      <c r="T483" s="79"/>
      <c r="Y483" s="79"/>
      <c r="AE483" s="130"/>
      <c r="AG483" s="106"/>
    </row>
    <row r="484">
      <c r="C484" s="79"/>
      <c r="D484" s="79"/>
      <c r="E484" s="79"/>
      <c r="O484" s="79"/>
      <c r="S484" s="79"/>
      <c r="T484" s="79"/>
      <c r="Y484" s="79"/>
      <c r="AE484" s="130"/>
      <c r="AG484" s="106"/>
    </row>
    <row r="485">
      <c r="C485" s="79"/>
      <c r="D485" s="79"/>
      <c r="E485" s="79"/>
      <c r="O485" s="79"/>
      <c r="S485" s="79"/>
      <c r="T485" s="79"/>
      <c r="Y485" s="79"/>
      <c r="AE485" s="130"/>
      <c r="AG485" s="106"/>
    </row>
    <row r="486">
      <c r="C486" s="79"/>
      <c r="D486" s="79"/>
      <c r="E486" s="79"/>
      <c r="O486" s="79"/>
      <c r="S486" s="79"/>
      <c r="T486" s="79"/>
      <c r="Y486" s="79"/>
      <c r="AE486" s="130"/>
      <c r="AG486" s="106"/>
    </row>
    <row r="487">
      <c r="C487" s="79"/>
      <c r="D487" s="79"/>
      <c r="E487" s="79"/>
      <c r="O487" s="79"/>
      <c r="S487" s="79"/>
      <c r="T487" s="79"/>
      <c r="Y487" s="79"/>
      <c r="AE487" s="130"/>
      <c r="AG487" s="106"/>
    </row>
    <row r="488">
      <c r="C488" s="79"/>
      <c r="D488" s="79"/>
      <c r="E488" s="79"/>
      <c r="O488" s="79"/>
      <c r="S488" s="79"/>
      <c r="T488" s="79"/>
      <c r="Y488" s="79"/>
      <c r="AE488" s="130"/>
      <c r="AG488" s="106"/>
    </row>
    <row r="489">
      <c r="C489" s="79"/>
      <c r="D489" s="79"/>
      <c r="E489" s="79"/>
      <c r="O489" s="79"/>
      <c r="S489" s="79"/>
      <c r="T489" s="79"/>
      <c r="Y489" s="79"/>
      <c r="AE489" s="130"/>
      <c r="AG489" s="106"/>
    </row>
    <row r="490">
      <c r="C490" s="79"/>
      <c r="D490" s="79"/>
      <c r="E490" s="79"/>
      <c r="O490" s="79"/>
      <c r="S490" s="79"/>
      <c r="T490" s="79"/>
      <c r="Y490" s="79"/>
      <c r="AE490" s="130"/>
      <c r="AG490" s="106"/>
    </row>
    <row r="491">
      <c r="C491" s="79"/>
      <c r="D491" s="79"/>
      <c r="E491" s="79"/>
      <c r="O491" s="79"/>
      <c r="S491" s="79"/>
      <c r="T491" s="79"/>
      <c r="Y491" s="79"/>
      <c r="AE491" s="130"/>
      <c r="AG491" s="106"/>
    </row>
    <row r="492">
      <c r="C492" s="79"/>
      <c r="D492" s="79"/>
      <c r="E492" s="79"/>
      <c r="O492" s="79"/>
      <c r="S492" s="79"/>
      <c r="T492" s="79"/>
      <c r="Y492" s="79"/>
      <c r="AE492" s="130"/>
      <c r="AG492" s="106"/>
    </row>
    <row r="493">
      <c r="C493" s="79"/>
      <c r="D493" s="79"/>
      <c r="E493" s="79"/>
      <c r="O493" s="79"/>
      <c r="S493" s="79"/>
      <c r="T493" s="79"/>
      <c r="Y493" s="79"/>
      <c r="AE493" s="130"/>
      <c r="AG493" s="106"/>
    </row>
    <row r="494">
      <c r="C494" s="79"/>
      <c r="D494" s="79"/>
      <c r="E494" s="79"/>
      <c r="O494" s="79"/>
      <c r="S494" s="79"/>
      <c r="T494" s="79"/>
      <c r="Y494" s="79"/>
      <c r="AE494" s="130"/>
      <c r="AG494" s="106"/>
    </row>
    <row r="495">
      <c r="C495" s="79"/>
      <c r="D495" s="79"/>
      <c r="E495" s="79"/>
      <c r="O495" s="79"/>
      <c r="S495" s="79"/>
      <c r="T495" s="79"/>
      <c r="Y495" s="79"/>
      <c r="AE495" s="130"/>
      <c r="AG495" s="106"/>
    </row>
    <row r="496">
      <c r="C496" s="79"/>
      <c r="D496" s="79"/>
      <c r="E496" s="79"/>
      <c r="O496" s="79"/>
      <c r="S496" s="79"/>
      <c r="T496" s="79"/>
      <c r="Y496" s="79"/>
      <c r="AE496" s="130"/>
      <c r="AG496" s="106"/>
    </row>
    <row r="497">
      <c r="C497" s="79"/>
      <c r="D497" s="79"/>
      <c r="E497" s="79"/>
      <c r="O497" s="79"/>
      <c r="S497" s="79"/>
      <c r="T497" s="79"/>
      <c r="Y497" s="79"/>
      <c r="AE497" s="130"/>
      <c r="AG497" s="106"/>
    </row>
    <row r="498">
      <c r="C498" s="79"/>
      <c r="D498" s="79"/>
      <c r="E498" s="79"/>
      <c r="O498" s="79"/>
      <c r="S498" s="79"/>
      <c r="T498" s="79"/>
      <c r="Y498" s="79"/>
      <c r="AE498" s="130"/>
      <c r="AG498" s="106"/>
    </row>
    <row r="499">
      <c r="C499" s="79"/>
      <c r="D499" s="79"/>
      <c r="E499" s="79"/>
      <c r="O499" s="79"/>
      <c r="S499" s="79"/>
      <c r="T499" s="79"/>
      <c r="Y499" s="79"/>
      <c r="AE499" s="130"/>
      <c r="AG499" s="106"/>
    </row>
    <row r="500">
      <c r="C500" s="79"/>
      <c r="D500" s="79"/>
      <c r="E500" s="79"/>
      <c r="O500" s="79"/>
      <c r="S500" s="79"/>
      <c r="T500" s="79"/>
      <c r="Y500" s="79"/>
      <c r="AE500" s="130"/>
      <c r="AG500" s="106"/>
    </row>
    <row r="501">
      <c r="C501" s="79"/>
      <c r="D501" s="79"/>
      <c r="E501" s="79"/>
      <c r="O501" s="79"/>
      <c r="S501" s="79"/>
      <c r="T501" s="79"/>
      <c r="Y501" s="79"/>
      <c r="AE501" s="130"/>
      <c r="AG501" s="106"/>
    </row>
    <row r="502">
      <c r="C502" s="79"/>
      <c r="D502" s="79"/>
      <c r="E502" s="79"/>
      <c r="O502" s="79"/>
      <c r="S502" s="79"/>
      <c r="T502" s="79"/>
      <c r="Y502" s="79"/>
      <c r="AE502" s="130"/>
      <c r="AG502" s="106"/>
    </row>
    <row r="503">
      <c r="C503" s="79"/>
      <c r="D503" s="79"/>
      <c r="E503" s="79"/>
      <c r="O503" s="79"/>
      <c r="S503" s="79"/>
      <c r="T503" s="79"/>
      <c r="Y503" s="79"/>
      <c r="AE503" s="130"/>
      <c r="AG503" s="106"/>
    </row>
    <row r="504">
      <c r="C504" s="79"/>
      <c r="D504" s="79"/>
      <c r="E504" s="79"/>
      <c r="O504" s="79"/>
      <c r="S504" s="79"/>
      <c r="T504" s="79"/>
      <c r="Y504" s="79"/>
      <c r="AE504" s="130"/>
      <c r="AG504" s="106"/>
    </row>
    <row r="505">
      <c r="C505" s="79"/>
      <c r="D505" s="79"/>
      <c r="E505" s="79"/>
      <c r="O505" s="79"/>
      <c r="S505" s="79"/>
      <c r="T505" s="79"/>
      <c r="Y505" s="79"/>
      <c r="AE505" s="130"/>
      <c r="AG505" s="106"/>
    </row>
    <row r="506">
      <c r="C506" s="79"/>
      <c r="D506" s="79"/>
      <c r="E506" s="79"/>
      <c r="O506" s="79"/>
      <c r="S506" s="79"/>
      <c r="T506" s="79"/>
      <c r="Y506" s="79"/>
      <c r="AE506" s="130"/>
      <c r="AG506" s="106"/>
    </row>
    <row r="507">
      <c r="C507" s="79"/>
      <c r="D507" s="79"/>
      <c r="E507" s="79"/>
      <c r="O507" s="79"/>
      <c r="S507" s="79"/>
      <c r="T507" s="79"/>
      <c r="Y507" s="79"/>
      <c r="AE507" s="130"/>
      <c r="AG507" s="106"/>
    </row>
    <row r="508">
      <c r="C508" s="79"/>
      <c r="D508" s="79"/>
      <c r="E508" s="79"/>
      <c r="O508" s="79"/>
      <c r="S508" s="79"/>
      <c r="T508" s="79"/>
      <c r="Y508" s="79"/>
      <c r="AE508" s="130"/>
      <c r="AG508" s="106"/>
    </row>
    <row r="509">
      <c r="C509" s="79"/>
      <c r="D509" s="79"/>
      <c r="E509" s="79"/>
      <c r="O509" s="79"/>
      <c r="S509" s="79"/>
      <c r="T509" s="79"/>
      <c r="Y509" s="79"/>
      <c r="AE509" s="130"/>
      <c r="AG509" s="106"/>
    </row>
    <row r="510">
      <c r="C510" s="79"/>
      <c r="D510" s="79"/>
      <c r="E510" s="79"/>
      <c r="O510" s="79"/>
      <c r="S510" s="79"/>
      <c r="T510" s="79"/>
      <c r="Y510" s="79"/>
      <c r="AE510" s="130"/>
      <c r="AG510" s="106"/>
    </row>
    <row r="511">
      <c r="C511" s="79"/>
      <c r="D511" s="79"/>
      <c r="E511" s="79"/>
      <c r="O511" s="79"/>
      <c r="S511" s="79"/>
      <c r="T511" s="79"/>
      <c r="Y511" s="79"/>
      <c r="AE511" s="130"/>
      <c r="AG511" s="106"/>
    </row>
    <row r="512">
      <c r="C512" s="79"/>
      <c r="D512" s="79"/>
      <c r="E512" s="79"/>
      <c r="O512" s="79"/>
      <c r="S512" s="79"/>
      <c r="T512" s="79"/>
      <c r="Y512" s="79"/>
      <c r="AE512" s="130"/>
      <c r="AG512" s="106"/>
    </row>
    <row r="513">
      <c r="C513" s="79"/>
      <c r="D513" s="79"/>
      <c r="E513" s="79"/>
      <c r="O513" s="79"/>
      <c r="S513" s="79"/>
      <c r="T513" s="79"/>
      <c r="Y513" s="79"/>
      <c r="AE513" s="130"/>
      <c r="AG513" s="106"/>
    </row>
    <row r="514">
      <c r="C514" s="79"/>
      <c r="D514" s="79"/>
      <c r="E514" s="79"/>
      <c r="O514" s="79"/>
      <c r="S514" s="79"/>
      <c r="T514" s="79"/>
      <c r="Y514" s="79"/>
      <c r="AE514" s="130"/>
      <c r="AG514" s="106"/>
    </row>
    <row r="515">
      <c r="C515" s="79"/>
      <c r="D515" s="79"/>
      <c r="E515" s="79"/>
      <c r="O515" s="79"/>
      <c r="S515" s="79"/>
      <c r="T515" s="79"/>
      <c r="Y515" s="79"/>
      <c r="AE515" s="130"/>
      <c r="AG515" s="106"/>
    </row>
    <row r="516">
      <c r="C516" s="79"/>
      <c r="D516" s="79"/>
      <c r="E516" s="79"/>
      <c r="O516" s="79"/>
      <c r="S516" s="79"/>
      <c r="T516" s="79"/>
      <c r="Y516" s="79"/>
      <c r="AE516" s="130"/>
      <c r="AG516" s="106"/>
    </row>
    <row r="517">
      <c r="C517" s="79"/>
      <c r="D517" s="79"/>
      <c r="E517" s="79"/>
      <c r="O517" s="79"/>
      <c r="S517" s="79"/>
      <c r="T517" s="79"/>
      <c r="Y517" s="79"/>
      <c r="AE517" s="130"/>
      <c r="AG517" s="106"/>
    </row>
    <row r="518">
      <c r="C518" s="79"/>
      <c r="D518" s="79"/>
      <c r="E518" s="79"/>
      <c r="O518" s="79"/>
      <c r="S518" s="79"/>
      <c r="T518" s="79"/>
      <c r="Y518" s="79"/>
      <c r="AE518" s="130"/>
      <c r="AG518" s="106"/>
    </row>
    <row r="519">
      <c r="C519" s="79"/>
      <c r="D519" s="79"/>
      <c r="E519" s="79"/>
      <c r="O519" s="79"/>
      <c r="S519" s="79"/>
      <c r="T519" s="79"/>
      <c r="Y519" s="79"/>
      <c r="AE519" s="130"/>
      <c r="AG519" s="106"/>
    </row>
    <row r="520">
      <c r="C520" s="79"/>
      <c r="D520" s="79"/>
      <c r="E520" s="79"/>
      <c r="O520" s="79"/>
      <c r="S520" s="79"/>
      <c r="T520" s="79"/>
      <c r="Y520" s="79"/>
      <c r="AE520" s="130"/>
      <c r="AG520" s="106"/>
    </row>
    <row r="521">
      <c r="C521" s="79"/>
      <c r="D521" s="79"/>
      <c r="E521" s="79"/>
      <c r="O521" s="79"/>
      <c r="S521" s="79"/>
      <c r="T521" s="79"/>
      <c r="Y521" s="79"/>
      <c r="AE521" s="130"/>
      <c r="AG521" s="106"/>
    </row>
    <row r="522">
      <c r="C522" s="79"/>
      <c r="D522" s="79"/>
      <c r="E522" s="79"/>
      <c r="O522" s="79"/>
      <c r="S522" s="79"/>
      <c r="T522" s="79"/>
      <c r="Y522" s="79"/>
      <c r="AE522" s="130"/>
      <c r="AG522" s="106"/>
    </row>
    <row r="523">
      <c r="C523" s="79"/>
      <c r="D523" s="79"/>
      <c r="E523" s="79"/>
      <c r="O523" s="79"/>
      <c r="S523" s="79"/>
      <c r="T523" s="79"/>
      <c r="Y523" s="79"/>
      <c r="AE523" s="130"/>
      <c r="AG523" s="106"/>
    </row>
    <row r="524">
      <c r="C524" s="79"/>
      <c r="D524" s="79"/>
      <c r="E524" s="79"/>
      <c r="O524" s="79"/>
      <c r="S524" s="79"/>
      <c r="T524" s="79"/>
      <c r="Y524" s="79"/>
      <c r="AE524" s="130"/>
      <c r="AG524" s="106"/>
    </row>
    <row r="525">
      <c r="C525" s="79"/>
      <c r="D525" s="79"/>
      <c r="E525" s="79"/>
      <c r="O525" s="79"/>
      <c r="S525" s="79"/>
      <c r="T525" s="79"/>
      <c r="Y525" s="79"/>
      <c r="AE525" s="130"/>
      <c r="AG525" s="106"/>
    </row>
    <row r="526">
      <c r="C526" s="79"/>
      <c r="D526" s="79"/>
      <c r="E526" s="79"/>
      <c r="O526" s="79"/>
      <c r="S526" s="79"/>
      <c r="T526" s="79"/>
      <c r="Y526" s="79"/>
      <c r="AE526" s="130"/>
      <c r="AG526" s="106"/>
    </row>
    <row r="527">
      <c r="C527" s="79"/>
      <c r="D527" s="79"/>
      <c r="E527" s="79"/>
      <c r="O527" s="79"/>
      <c r="S527" s="79"/>
      <c r="T527" s="79"/>
      <c r="Y527" s="79"/>
      <c r="AE527" s="130"/>
      <c r="AG527" s="106"/>
    </row>
    <row r="528">
      <c r="C528" s="79"/>
      <c r="D528" s="79"/>
      <c r="E528" s="79"/>
      <c r="O528" s="79"/>
      <c r="S528" s="79"/>
      <c r="T528" s="79"/>
      <c r="Y528" s="79"/>
      <c r="AE528" s="130"/>
      <c r="AG528" s="106"/>
    </row>
    <row r="529">
      <c r="C529" s="79"/>
      <c r="D529" s="79"/>
      <c r="E529" s="79"/>
      <c r="O529" s="79"/>
      <c r="S529" s="79"/>
      <c r="T529" s="79"/>
      <c r="Y529" s="79"/>
      <c r="AE529" s="130"/>
      <c r="AG529" s="106"/>
    </row>
    <row r="530">
      <c r="C530" s="79"/>
      <c r="D530" s="79"/>
      <c r="E530" s="79"/>
      <c r="O530" s="79"/>
      <c r="S530" s="79"/>
      <c r="T530" s="79"/>
      <c r="Y530" s="79"/>
      <c r="AE530" s="130"/>
      <c r="AG530" s="106"/>
    </row>
    <row r="531">
      <c r="C531" s="79"/>
      <c r="D531" s="79"/>
      <c r="E531" s="79"/>
      <c r="O531" s="79"/>
      <c r="S531" s="79"/>
      <c r="T531" s="79"/>
      <c r="Y531" s="79"/>
      <c r="AE531" s="130"/>
      <c r="AG531" s="106"/>
    </row>
    <row r="532">
      <c r="C532" s="79"/>
      <c r="D532" s="79"/>
      <c r="E532" s="79"/>
      <c r="O532" s="79"/>
      <c r="S532" s="79"/>
      <c r="T532" s="79"/>
      <c r="Y532" s="79"/>
      <c r="AE532" s="130"/>
      <c r="AG532" s="106"/>
    </row>
    <row r="533">
      <c r="C533" s="79"/>
      <c r="D533" s="79"/>
      <c r="E533" s="79"/>
      <c r="O533" s="79"/>
      <c r="S533" s="79"/>
      <c r="T533" s="79"/>
      <c r="Y533" s="79"/>
      <c r="AE533" s="130"/>
      <c r="AG533" s="106"/>
    </row>
    <row r="534">
      <c r="C534" s="79"/>
      <c r="D534" s="79"/>
      <c r="E534" s="79"/>
      <c r="O534" s="79"/>
      <c r="S534" s="79"/>
      <c r="T534" s="79"/>
      <c r="Y534" s="79"/>
      <c r="AE534" s="130"/>
      <c r="AG534" s="106"/>
    </row>
    <row r="535">
      <c r="C535" s="79"/>
      <c r="D535" s="79"/>
      <c r="E535" s="79"/>
      <c r="O535" s="79"/>
      <c r="S535" s="79"/>
      <c r="T535" s="79"/>
      <c r="Y535" s="79"/>
      <c r="AE535" s="130"/>
      <c r="AG535" s="106"/>
    </row>
    <row r="536">
      <c r="C536" s="79"/>
      <c r="D536" s="79"/>
      <c r="E536" s="79"/>
      <c r="O536" s="79"/>
      <c r="S536" s="79"/>
      <c r="T536" s="79"/>
      <c r="Y536" s="79"/>
      <c r="AE536" s="130"/>
      <c r="AG536" s="106"/>
    </row>
    <row r="537">
      <c r="C537" s="79"/>
      <c r="D537" s="79"/>
      <c r="E537" s="79"/>
      <c r="O537" s="79"/>
      <c r="S537" s="79"/>
      <c r="T537" s="79"/>
      <c r="Y537" s="79"/>
      <c r="AE537" s="130"/>
      <c r="AG537" s="106"/>
    </row>
    <row r="538">
      <c r="C538" s="79"/>
      <c r="D538" s="79"/>
      <c r="E538" s="79"/>
      <c r="O538" s="79"/>
      <c r="S538" s="79"/>
      <c r="T538" s="79"/>
      <c r="Y538" s="79"/>
      <c r="AE538" s="130"/>
      <c r="AG538" s="106"/>
    </row>
    <row r="539">
      <c r="C539" s="79"/>
      <c r="D539" s="79"/>
      <c r="E539" s="79"/>
      <c r="O539" s="79"/>
      <c r="S539" s="79"/>
      <c r="T539" s="79"/>
      <c r="Y539" s="79"/>
      <c r="AE539" s="130"/>
      <c r="AG539" s="106"/>
    </row>
    <row r="540">
      <c r="C540" s="79"/>
      <c r="D540" s="79"/>
      <c r="E540" s="79"/>
      <c r="O540" s="79"/>
      <c r="S540" s="79"/>
      <c r="T540" s="79"/>
      <c r="Y540" s="79"/>
      <c r="AE540" s="130"/>
      <c r="AG540" s="106"/>
    </row>
    <row r="541">
      <c r="C541" s="79"/>
      <c r="D541" s="79"/>
      <c r="E541" s="79"/>
      <c r="O541" s="79"/>
      <c r="S541" s="79"/>
      <c r="T541" s="79"/>
      <c r="Y541" s="79"/>
      <c r="AE541" s="130"/>
      <c r="AG541" s="106"/>
    </row>
    <row r="542">
      <c r="C542" s="79"/>
      <c r="D542" s="79"/>
      <c r="E542" s="79"/>
      <c r="O542" s="79"/>
      <c r="S542" s="79"/>
      <c r="T542" s="79"/>
      <c r="Y542" s="79"/>
      <c r="AE542" s="130"/>
      <c r="AG542" s="106"/>
    </row>
    <row r="543">
      <c r="C543" s="79"/>
      <c r="D543" s="79"/>
      <c r="E543" s="79"/>
      <c r="O543" s="79"/>
      <c r="S543" s="79"/>
      <c r="T543" s="79"/>
      <c r="Y543" s="79"/>
      <c r="AE543" s="130"/>
      <c r="AG543" s="106"/>
    </row>
    <row r="544">
      <c r="C544" s="79"/>
      <c r="D544" s="79"/>
      <c r="E544" s="79"/>
      <c r="O544" s="79"/>
      <c r="S544" s="79"/>
      <c r="T544" s="79"/>
      <c r="Y544" s="79"/>
      <c r="AE544" s="130"/>
      <c r="AG544" s="106"/>
    </row>
    <row r="545">
      <c r="C545" s="79"/>
      <c r="D545" s="79"/>
      <c r="E545" s="79"/>
      <c r="O545" s="79"/>
      <c r="S545" s="79"/>
      <c r="T545" s="79"/>
      <c r="Y545" s="79"/>
      <c r="AE545" s="130"/>
      <c r="AG545" s="106"/>
    </row>
    <row r="546">
      <c r="C546" s="79"/>
      <c r="D546" s="79"/>
      <c r="E546" s="79"/>
      <c r="O546" s="79"/>
      <c r="S546" s="79"/>
      <c r="T546" s="79"/>
      <c r="Y546" s="79"/>
      <c r="AE546" s="130"/>
      <c r="AG546" s="106"/>
    </row>
    <row r="547">
      <c r="C547" s="79"/>
      <c r="D547" s="79"/>
      <c r="E547" s="79"/>
      <c r="O547" s="79"/>
      <c r="S547" s="79"/>
      <c r="T547" s="79"/>
      <c r="Y547" s="79"/>
      <c r="AE547" s="130"/>
      <c r="AG547" s="106"/>
    </row>
    <row r="548">
      <c r="C548" s="79"/>
      <c r="D548" s="79"/>
      <c r="E548" s="79"/>
      <c r="O548" s="79"/>
      <c r="S548" s="79"/>
      <c r="T548" s="79"/>
      <c r="Y548" s="79"/>
      <c r="AE548" s="130"/>
      <c r="AG548" s="106"/>
    </row>
    <row r="549">
      <c r="C549" s="79"/>
      <c r="D549" s="79"/>
      <c r="E549" s="79"/>
      <c r="O549" s="79"/>
      <c r="S549" s="79"/>
      <c r="T549" s="79"/>
      <c r="Y549" s="79"/>
      <c r="AE549" s="130"/>
      <c r="AG549" s="106"/>
    </row>
    <row r="550">
      <c r="C550" s="79"/>
      <c r="D550" s="79"/>
      <c r="E550" s="79"/>
      <c r="O550" s="79"/>
      <c r="S550" s="79"/>
      <c r="T550" s="79"/>
      <c r="Y550" s="79"/>
      <c r="AE550" s="130"/>
      <c r="AG550" s="106"/>
    </row>
    <row r="551">
      <c r="C551" s="79"/>
      <c r="D551" s="79"/>
      <c r="E551" s="79"/>
      <c r="O551" s="79"/>
      <c r="S551" s="79"/>
      <c r="T551" s="79"/>
      <c r="Y551" s="79"/>
      <c r="AE551" s="130"/>
      <c r="AG551" s="106"/>
    </row>
    <row r="552">
      <c r="C552" s="79"/>
      <c r="D552" s="79"/>
      <c r="E552" s="79"/>
      <c r="O552" s="79"/>
      <c r="S552" s="79"/>
      <c r="T552" s="79"/>
      <c r="Y552" s="79"/>
      <c r="AE552" s="130"/>
      <c r="AG552" s="106"/>
    </row>
    <row r="553">
      <c r="C553" s="79"/>
      <c r="D553" s="79"/>
      <c r="E553" s="79"/>
      <c r="O553" s="79"/>
      <c r="S553" s="79"/>
      <c r="T553" s="79"/>
      <c r="Y553" s="79"/>
      <c r="AE553" s="130"/>
      <c r="AG553" s="106"/>
    </row>
    <row r="554">
      <c r="C554" s="79"/>
      <c r="D554" s="79"/>
      <c r="E554" s="79"/>
      <c r="O554" s="79"/>
      <c r="S554" s="79"/>
      <c r="T554" s="79"/>
      <c r="Y554" s="79"/>
      <c r="AE554" s="130"/>
      <c r="AG554" s="106"/>
    </row>
    <row r="555">
      <c r="C555" s="79"/>
      <c r="D555" s="79"/>
      <c r="E555" s="79"/>
      <c r="O555" s="79"/>
      <c r="S555" s="79"/>
      <c r="T555" s="79"/>
      <c r="Y555" s="79"/>
      <c r="AE555" s="130"/>
      <c r="AG555" s="106"/>
    </row>
    <row r="556">
      <c r="C556" s="79"/>
      <c r="D556" s="79"/>
      <c r="E556" s="79"/>
      <c r="O556" s="79"/>
      <c r="S556" s="79"/>
      <c r="T556" s="79"/>
      <c r="Y556" s="79"/>
      <c r="AE556" s="130"/>
      <c r="AG556" s="106"/>
    </row>
    <row r="557">
      <c r="C557" s="79"/>
      <c r="D557" s="79"/>
      <c r="E557" s="79"/>
      <c r="O557" s="79"/>
      <c r="S557" s="79"/>
      <c r="T557" s="79"/>
      <c r="Y557" s="79"/>
      <c r="AE557" s="130"/>
      <c r="AG557" s="106"/>
    </row>
    <row r="558">
      <c r="C558" s="79"/>
      <c r="D558" s="79"/>
      <c r="E558" s="79"/>
      <c r="O558" s="79"/>
      <c r="S558" s="79"/>
      <c r="T558" s="79"/>
      <c r="Y558" s="79"/>
      <c r="AE558" s="130"/>
      <c r="AG558" s="106"/>
    </row>
    <row r="559">
      <c r="C559" s="79"/>
      <c r="D559" s="79"/>
      <c r="E559" s="79"/>
      <c r="O559" s="79"/>
      <c r="S559" s="79"/>
      <c r="T559" s="79"/>
      <c r="Y559" s="79"/>
      <c r="AE559" s="130"/>
      <c r="AG559" s="106"/>
    </row>
    <row r="560">
      <c r="C560" s="79"/>
      <c r="D560" s="79"/>
      <c r="E560" s="79"/>
      <c r="O560" s="79"/>
      <c r="S560" s="79"/>
      <c r="T560" s="79"/>
      <c r="Y560" s="79"/>
      <c r="AE560" s="130"/>
      <c r="AG560" s="106"/>
    </row>
    <row r="561">
      <c r="C561" s="79"/>
      <c r="D561" s="79"/>
      <c r="E561" s="79"/>
      <c r="O561" s="79"/>
      <c r="S561" s="79"/>
      <c r="T561" s="79"/>
      <c r="Y561" s="79"/>
      <c r="AE561" s="130"/>
      <c r="AG561" s="106"/>
    </row>
    <row r="562">
      <c r="C562" s="79"/>
      <c r="D562" s="79"/>
      <c r="E562" s="79"/>
      <c r="O562" s="79"/>
      <c r="S562" s="79"/>
      <c r="T562" s="79"/>
      <c r="Y562" s="79"/>
      <c r="AE562" s="130"/>
      <c r="AG562" s="106"/>
    </row>
    <row r="563">
      <c r="C563" s="79"/>
      <c r="D563" s="79"/>
      <c r="E563" s="79"/>
      <c r="O563" s="79"/>
      <c r="S563" s="79"/>
      <c r="T563" s="79"/>
      <c r="Y563" s="79"/>
      <c r="AE563" s="130"/>
      <c r="AG563" s="106"/>
    </row>
    <row r="564">
      <c r="C564" s="79"/>
      <c r="D564" s="79"/>
      <c r="E564" s="79"/>
      <c r="O564" s="79"/>
      <c r="S564" s="79"/>
      <c r="T564" s="79"/>
      <c r="Y564" s="79"/>
      <c r="AE564" s="130"/>
      <c r="AG564" s="106"/>
    </row>
    <row r="565">
      <c r="C565" s="79"/>
      <c r="D565" s="79"/>
      <c r="E565" s="79"/>
      <c r="O565" s="79"/>
      <c r="S565" s="79"/>
      <c r="T565" s="79"/>
      <c r="Y565" s="79"/>
      <c r="AE565" s="130"/>
      <c r="AG565" s="106"/>
    </row>
    <row r="566">
      <c r="C566" s="79"/>
      <c r="D566" s="79"/>
      <c r="E566" s="79"/>
      <c r="O566" s="79"/>
      <c r="S566" s="79"/>
      <c r="T566" s="79"/>
      <c r="Y566" s="79"/>
      <c r="AE566" s="130"/>
      <c r="AG566" s="106"/>
    </row>
    <row r="567">
      <c r="C567" s="79"/>
      <c r="D567" s="79"/>
      <c r="E567" s="79"/>
      <c r="O567" s="79"/>
      <c r="S567" s="79"/>
      <c r="T567" s="79"/>
      <c r="Y567" s="79"/>
      <c r="AE567" s="130"/>
      <c r="AG567" s="106"/>
    </row>
    <row r="568">
      <c r="C568" s="79"/>
      <c r="D568" s="79"/>
      <c r="E568" s="79"/>
      <c r="O568" s="79"/>
      <c r="S568" s="79"/>
      <c r="T568" s="79"/>
      <c r="Y568" s="79"/>
      <c r="AE568" s="130"/>
      <c r="AG568" s="106"/>
    </row>
    <row r="569">
      <c r="C569" s="79"/>
      <c r="D569" s="79"/>
      <c r="E569" s="79"/>
      <c r="O569" s="79"/>
      <c r="S569" s="79"/>
      <c r="T569" s="79"/>
      <c r="Y569" s="79"/>
      <c r="AE569" s="130"/>
      <c r="AG569" s="106"/>
    </row>
    <row r="570">
      <c r="C570" s="79"/>
      <c r="D570" s="79"/>
      <c r="E570" s="79"/>
      <c r="O570" s="79"/>
      <c r="S570" s="79"/>
      <c r="T570" s="79"/>
      <c r="Y570" s="79"/>
      <c r="AE570" s="130"/>
      <c r="AG570" s="106"/>
    </row>
    <row r="571">
      <c r="C571" s="79"/>
      <c r="D571" s="79"/>
      <c r="E571" s="79"/>
      <c r="O571" s="79"/>
      <c r="S571" s="79"/>
      <c r="T571" s="79"/>
      <c r="Y571" s="79"/>
      <c r="AE571" s="130"/>
      <c r="AG571" s="106"/>
    </row>
    <row r="572">
      <c r="C572" s="79"/>
      <c r="D572" s="79"/>
      <c r="E572" s="79"/>
      <c r="O572" s="79"/>
      <c r="S572" s="79"/>
      <c r="T572" s="79"/>
      <c r="Y572" s="79"/>
      <c r="AE572" s="130"/>
      <c r="AG572" s="106"/>
    </row>
    <row r="573">
      <c r="C573" s="79"/>
      <c r="D573" s="79"/>
      <c r="E573" s="79"/>
      <c r="O573" s="79"/>
      <c r="S573" s="79"/>
      <c r="T573" s="79"/>
      <c r="Y573" s="79"/>
      <c r="AE573" s="130"/>
      <c r="AG573" s="106"/>
    </row>
    <row r="574">
      <c r="C574" s="79"/>
      <c r="D574" s="79"/>
      <c r="E574" s="79"/>
      <c r="O574" s="79"/>
      <c r="S574" s="79"/>
      <c r="T574" s="79"/>
      <c r="Y574" s="79"/>
      <c r="AE574" s="130"/>
      <c r="AG574" s="106"/>
    </row>
    <row r="575">
      <c r="C575" s="79"/>
      <c r="D575" s="79"/>
      <c r="E575" s="79"/>
      <c r="O575" s="79"/>
      <c r="S575" s="79"/>
      <c r="T575" s="79"/>
      <c r="Y575" s="79"/>
      <c r="AE575" s="130"/>
      <c r="AG575" s="106"/>
    </row>
    <row r="576">
      <c r="C576" s="79"/>
      <c r="D576" s="79"/>
      <c r="E576" s="79"/>
      <c r="O576" s="79"/>
      <c r="S576" s="79"/>
      <c r="T576" s="79"/>
      <c r="Y576" s="79"/>
      <c r="AE576" s="130"/>
      <c r="AG576" s="106"/>
    </row>
    <row r="577">
      <c r="C577" s="79"/>
      <c r="D577" s="79"/>
      <c r="E577" s="79"/>
      <c r="O577" s="79"/>
      <c r="S577" s="79"/>
      <c r="T577" s="79"/>
      <c r="Y577" s="79"/>
      <c r="AE577" s="130"/>
      <c r="AG577" s="106"/>
    </row>
    <row r="578">
      <c r="C578" s="79"/>
      <c r="D578" s="79"/>
      <c r="E578" s="79"/>
      <c r="O578" s="79"/>
      <c r="S578" s="79"/>
      <c r="T578" s="79"/>
      <c r="Y578" s="79"/>
      <c r="AE578" s="130"/>
      <c r="AG578" s="106"/>
    </row>
    <row r="579">
      <c r="C579" s="79"/>
      <c r="D579" s="79"/>
      <c r="E579" s="79"/>
      <c r="O579" s="79"/>
      <c r="S579" s="79"/>
      <c r="T579" s="79"/>
      <c r="Y579" s="79"/>
      <c r="AE579" s="130"/>
      <c r="AG579" s="106"/>
    </row>
    <row r="580">
      <c r="C580" s="79"/>
      <c r="D580" s="79"/>
      <c r="E580" s="79"/>
      <c r="O580" s="79"/>
      <c r="S580" s="79"/>
      <c r="T580" s="79"/>
      <c r="Y580" s="79"/>
      <c r="AE580" s="130"/>
      <c r="AG580" s="106"/>
    </row>
    <row r="581">
      <c r="C581" s="79"/>
      <c r="D581" s="79"/>
      <c r="E581" s="79"/>
      <c r="O581" s="79"/>
      <c r="S581" s="79"/>
      <c r="T581" s="79"/>
      <c r="Y581" s="79"/>
      <c r="AE581" s="130"/>
      <c r="AG581" s="106"/>
    </row>
    <row r="582">
      <c r="C582" s="79"/>
      <c r="D582" s="79"/>
      <c r="E582" s="79"/>
      <c r="O582" s="79"/>
      <c r="S582" s="79"/>
      <c r="T582" s="79"/>
      <c r="Y582" s="79"/>
      <c r="AE582" s="130"/>
      <c r="AG582" s="106"/>
    </row>
    <row r="583">
      <c r="C583" s="79"/>
      <c r="D583" s="79"/>
      <c r="E583" s="79"/>
      <c r="O583" s="79"/>
      <c r="S583" s="79"/>
      <c r="T583" s="79"/>
      <c r="Y583" s="79"/>
      <c r="AE583" s="130"/>
      <c r="AG583" s="106"/>
    </row>
    <row r="584">
      <c r="C584" s="79"/>
      <c r="D584" s="79"/>
      <c r="E584" s="79"/>
      <c r="O584" s="79"/>
      <c r="S584" s="79"/>
      <c r="T584" s="79"/>
      <c r="Y584" s="79"/>
      <c r="AE584" s="130"/>
      <c r="AG584" s="106"/>
    </row>
    <row r="585">
      <c r="C585" s="79"/>
      <c r="D585" s="79"/>
      <c r="E585" s="79"/>
      <c r="O585" s="79"/>
      <c r="S585" s="79"/>
      <c r="T585" s="79"/>
      <c r="Y585" s="79"/>
      <c r="AE585" s="130"/>
      <c r="AG585" s="106"/>
    </row>
    <row r="586">
      <c r="C586" s="79"/>
      <c r="D586" s="79"/>
      <c r="E586" s="79"/>
      <c r="O586" s="79"/>
      <c r="S586" s="79"/>
      <c r="T586" s="79"/>
      <c r="Y586" s="79"/>
      <c r="AE586" s="130"/>
      <c r="AG586" s="106"/>
    </row>
    <row r="587">
      <c r="C587" s="79"/>
      <c r="D587" s="79"/>
      <c r="E587" s="79"/>
      <c r="O587" s="79"/>
      <c r="S587" s="79"/>
      <c r="T587" s="79"/>
      <c r="Y587" s="79"/>
      <c r="AE587" s="130"/>
      <c r="AG587" s="106"/>
    </row>
    <row r="588">
      <c r="C588" s="79"/>
      <c r="D588" s="79"/>
      <c r="E588" s="79"/>
      <c r="O588" s="79"/>
      <c r="S588" s="79"/>
      <c r="T588" s="79"/>
      <c r="Y588" s="79"/>
      <c r="AE588" s="130"/>
      <c r="AG588" s="106"/>
    </row>
    <row r="589">
      <c r="C589" s="79"/>
      <c r="D589" s="79"/>
      <c r="E589" s="79"/>
      <c r="O589" s="79"/>
      <c r="S589" s="79"/>
      <c r="T589" s="79"/>
      <c r="Y589" s="79"/>
      <c r="AE589" s="130"/>
      <c r="AG589" s="106"/>
    </row>
    <row r="590">
      <c r="C590" s="79"/>
      <c r="D590" s="79"/>
      <c r="E590" s="79"/>
      <c r="O590" s="79"/>
      <c r="S590" s="79"/>
      <c r="T590" s="79"/>
      <c r="Y590" s="79"/>
      <c r="AE590" s="130"/>
      <c r="AG590" s="106"/>
    </row>
    <row r="591">
      <c r="C591" s="79"/>
      <c r="D591" s="79"/>
      <c r="E591" s="79"/>
      <c r="O591" s="79"/>
      <c r="S591" s="79"/>
      <c r="T591" s="79"/>
      <c r="Y591" s="79"/>
      <c r="AE591" s="130"/>
      <c r="AG591" s="106"/>
    </row>
    <row r="592">
      <c r="C592" s="79"/>
      <c r="D592" s="79"/>
      <c r="E592" s="79"/>
      <c r="O592" s="79"/>
      <c r="S592" s="79"/>
      <c r="T592" s="79"/>
      <c r="Y592" s="79"/>
      <c r="AE592" s="130"/>
      <c r="AG592" s="106"/>
    </row>
    <row r="593">
      <c r="C593" s="79"/>
      <c r="D593" s="79"/>
      <c r="E593" s="79"/>
      <c r="O593" s="79"/>
      <c r="S593" s="79"/>
      <c r="T593" s="79"/>
      <c r="Y593" s="79"/>
      <c r="AE593" s="130"/>
      <c r="AG593" s="106"/>
    </row>
    <row r="594">
      <c r="C594" s="79"/>
      <c r="D594" s="79"/>
      <c r="E594" s="79"/>
      <c r="O594" s="79"/>
      <c r="S594" s="79"/>
      <c r="T594" s="79"/>
      <c r="Y594" s="79"/>
      <c r="AE594" s="130"/>
      <c r="AG594" s="106"/>
    </row>
    <row r="595">
      <c r="C595" s="79"/>
      <c r="D595" s="79"/>
      <c r="E595" s="79"/>
      <c r="O595" s="79"/>
      <c r="S595" s="79"/>
      <c r="T595" s="79"/>
      <c r="Y595" s="79"/>
      <c r="AE595" s="130"/>
      <c r="AG595" s="106"/>
    </row>
    <row r="596">
      <c r="C596" s="79"/>
      <c r="D596" s="79"/>
      <c r="E596" s="79"/>
      <c r="O596" s="79"/>
      <c r="S596" s="79"/>
      <c r="T596" s="79"/>
      <c r="Y596" s="79"/>
      <c r="AE596" s="130"/>
      <c r="AG596" s="106"/>
    </row>
    <row r="597">
      <c r="C597" s="79"/>
      <c r="D597" s="79"/>
      <c r="E597" s="79"/>
      <c r="O597" s="79"/>
      <c r="S597" s="79"/>
      <c r="T597" s="79"/>
      <c r="Y597" s="79"/>
      <c r="AE597" s="130"/>
      <c r="AG597" s="106"/>
    </row>
    <row r="598">
      <c r="C598" s="79"/>
      <c r="D598" s="79"/>
      <c r="E598" s="79"/>
      <c r="O598" s="79"/>
      <c r="S598" s="79"/>
      <c r="T598" s="79"/>
      <c r="Y598" s="79"/>
      <c r="AE598" s="130"/>
      <c r="AG598" s="106"/>
    </row>
    <row r="599">
      <c r="C599" s="79"/>
      <c r="D599" s="79"/>
      <c r="E599" s="79"/>
      <c r="O599" s="79"/>
      <c r="S599" s="79"/>
      <c r="T599" s="79"/>
      <c r="Y599" s="79"/>
      <c r="AE599" s="130"/>
      <c r="AG599" s="106"/>
    </row>
    <row r="600">
      <c r="C600" s="79"/>
      <c r="D600" s="79"/>
      <c r="E600" s="79"/>
      <c r="O600" s="79"/>
      <c r="S600" s="79"/>
      <c r="T600" s="79"/>
      <c r="Y600" s="79"/>
      <c r="AE600" s="130"/>
      <c r="AG600" s="106"/>
    </row>
    <row r="601">
      <c r="C601" s="79"/>
      <c r="D601" s="79"/>
      <c r="E601" s="79"/>
      <c r="O601" s="79"/>
      <c r="S601" s="79"/>
      <c r="T601" s="79"/>
      <c r="Y601" s="79"/>
      <c r="AE601" s="130"/>
      <c r="AG601" s="106"/>
    </row>
    <row r="602">
      <c r="C602" s="79"/>
      <c r="D602" s="79"/>
      <c r="E602" s="79"/>
      <c r="O602" s="79"/>
      <c r="S602" s="79"/>
      <c r="T602" s="79"/>
      <c r="Y602" s="79"/>
      <c r="AE602" s="130"/>
      <c r="AG602" s="106"/>
    </row>
    <row r="603">
      <c r="C603" s="79"/>
      <c r="D603" s="79"/>
      <c r="E603" s="79"/>
      <c r="O603" s="79"/>
      <c r="S603" s="79"/>
      <c r="T603" s="79"/>
      <c r="Y603" s="79"/>
      <c r="AE603" s="130"/>
      <c r="AG603" s="106"/>
    </row>
    <row r="604">
      <c r="C604" s="79"/>
      <c r="D604" s="79"/>
      <c r="E604" s="79"/>
      <c r="O604" s="79"/>
      <c r="S604" s="79"/>
      <c r="T604" s="79"/>
      <c r="Y604" s="79"/>
      <c r="AE604" s="130"/>
      <c r="AG604" s="106"/>
    </row>
    <row r="605">
      <c r="C605" s="79"/>
      <c r="D605" s="79"/>
      <c r="E605" s="79"/>
      <c r="O605" s="79"/>
      <c r="S605" s="79"/>
      <c r="T605" s="79"/>
      <c r="Y605" s="79"/>
      <c r="AE605" s="130"/>
      <c r="AG605" s="106"/>
    </row>
    <row r="606">
      <c r="C606" s="79"/>
      <c r="D606" s="79"/>
      <c r="E606" s="79"/>
      <c r="O606" s="79"/>
      <c r="S606" s="79"/>
      <c r="T606" s="79"/>
      <c r="Y606" s="79"/>
      <c r="AE606" s="130"/>
      <c r="AG606" s="106"/>
    </row>
    <row r="607">
      <c r="C607" s="79"/>
      <c r="D607" s="79"/>
      <c r="E607" s="79"/>
      <c r="O607" s="79"/>
      <c r="S607" s="79"/>
      <c r="T607" s="79"/>
      <c r="Y607" s="79"/>
      <c r="AE607" s="130"/>
      <c r="AG607" s="106"/>
    </row>
    <row r="608">
      <c r="C608" s="79"/>
      <c r="D608" s="79"/>
      <c r="E608" s="79"/>
      <c r="O608" s="79"/>
      <c r="S608" s="79"/>
      <c r="T608" s="79"/>
      <c r="Y608" s="79"/>
      <c r="AE608" s="130"/>
      <c r="AG608" s="106"/>
    </row>
    <row r="609">
      <c r="C609" s="79"/>
      <c r="D609" s="79"/>
      <c r="E609" s="79"/>
      <c r="O609" s="79"/>
      <c r="S609" s="79"/>
      <c r="T609" s="79"/>
      <c r="Y609" s="79"/>
      <c r="AE609" s="130"/>
      <c r="AG609" s="106"/>
    </row>
    <row r="610">
      <c r="C610" s="79"/>
      <c r="D610" s="79"/>
      <c r="E610" s="79"/>
      <c r="O610" s="79"/>
      <c r="S610" s="79"/>
      <c r="T610" s="79"/>
      <c r="Y610" s="79"/>
      <c r="AE610" s="130"/>
      <c r="AG610" s="106"/>
    </row>
    <row r="611">
      <c r="C611" s="79"/>
      <c r="D611" s="79"/>
      <c r="E611" s="79"/>
      <c r="O611" s="79"/>
      <c r="S611" s="79"/>
      <c r="T611" s="79"/>
      <c r="Y611" s="79"/>
      <c r="AE611" s="130"/>
      <c r="AG611" s="106"/>
    </row>
    <row r="612">
      <c r="C612" s="79"/>
      <c r="D612" s="79"/>
      <c r="E612" s="79"/>
      <c r="O612" s="79"/>
      <c r="S612" s="79"/>
      <c r="T612" s="79"/>
      <c r="Y612" s="79"/>
      <c r="AE612" s="130"/>
      <c r="AG612" s="106"/>
    </row>
    <row r="613">
      <c r="C613" s="79"/>
      <c r="D613" s="79"/>
      <c r="E613" s="79"/>
      <c r="O613" s="79"/>
      <c r="S613" s="79"/>
      <c r="T613" s="79"/>
      <c r="Y613" s="79"/>
      <c r="AE613" s="130"/>
      <c r="AG613" s="106"/>
    </row>
    <row r="614">
      <c r="C614" s="79"/>
      <c r="D614" s="79"/>
      <c r="E614" s="79"/>
      <c r="O614" s="79"/>
      <c r="S614" s="79"/>
      <c r="T614" s="79"/>
      <c r="Y614" s="79"/>
      <c r="AE614" s="130"/>
      <c r="AG614" s="106"/>
    </row>
    <row r="615">
      <c r="C615" s="79"/>
      <c r="D615" s="79"/>
      <c r="E615" s="79"/>
      <c r="O615" s="79"/>
      <c r="S615" s="79"/>
      <c r="T615" s="79"/>
      <c r="Y615" s="79"/>
      <c r="AE615" s="130"/>
      <c r="AG615" s="106"/>
    </row>
    <row r="616">
      <c r="C616" s="79"/>
      <c r="D616" s="79"/>
      <c r="E616" s="79"/>
      <c r="O616" s="79"/>
      <c r="S616" s="79"/>
      <c r="T616" s="79"/>
      <c r="Y616" s="79"/>
      <c r="AE616" s="130"/>
      <c r="AG616" s="106"/>
    </row>
    <row r="617">
      <c r="C617" s="79"/>
      <c r="D617" s="79"/>
      <c r="E617" s="79"/>
      <c r="O617" s="79"/>
      <c r="S617" s="79"/>
      <c r="T617" s="79"/>
      <c r="Y617" s="79"/>
      <c r="AE617" s="130"/>
      <c r="AG617" s="106"/>
    </row>
    <row r="618">
      <c r="C618" s="79"/>
      <c r="D618" s="79"/>
      <c r="E618" s="79"/>
      <c r="O618" s="79"/>
      <c r="S618" s="79"/>
      <c r="T618" s="79"/>
      <c r="Y618" s="79"/>
      <c r="AE618" s="130"/>
      <c r="AG618" s="106"/>
    </row>
    <row r="619">
      <c r="C619" s="79"/>
      <c r="D619" s="79"/>
      <c r="E619" s="79"/>
      <c r="O619" s="79"/>
      <c r="S619" s="79"/>
      <c r="T619" s="79"/>
      <c r="Y619" s="79"/>
      <c r="AE619" s="130"/>
      <c r="AG619" s="106"/>
    </row>
    <row r="620">
      <c r="C620" s="79"/>
      <c r="D620" s="79"/>
      <c r="E620" s="79"/>
      <c r="O620" s="79"/>
      <c r="S620" s="79"/>
      <c r="T620" s="79"/>
      <c r="Y620" s="79"/>
      <c r="AE620" s="130"/>
      <c r="AG620" s="106"/>
    </row>
    <row r="621">
      <c r="C621" s="79"/>
      <c r="D621" s="79"/>
      <c r="E621" s="79"/>
      <c r="O621" s="79"/>
      <c r="S621" s="79"/>
      <c r="T621" s="79"/>
      <c r="Y621" s="79"/>
      <c r="AE621" s="130"/>
      <c r="AG621" s="106"/>
    </row>
    <row r="622">
      <c r="C622" s="79"/>
      <c r="D622" s="79"/>
      <c r="E622" s="79"/>
      <c r="O622" s="79"/>
      <c r="S622" s="79"/>
      <c r="T622" s="79"/>
      <c r="Y622" s="79"/>
      <c r="AE622" s="130"/>
      <c r="AG622" s="106"/>
    </row>
    <row r="623">
      <c r="C623" s="79"/>
      <c r="D623" s="79"/>
      <c r="E623" s="79"/>
      <c r="O623" s="79"/>
      <c r="S623" s="79"/>
      <c r="T623" s="79"/>
      <c r="Y623" s="79"/>
      <c r="AE623" s="130"/>
      <c r="AG623" s="106"/>
    </row>
    <row r="624">
      <c r="C624" s="79"/>
      <c r="D624" s="79"/>
      <c r="E624" s="79"/>
      <c r="O624" s="79"/>
      <c r="S624" s="79"/>
      <c r="T624" s="79"/>
      <c r="Y624" s="79"/>
      <c r="AE624" s="130"/>
      <c r="AG624" s="106"/>
    </row>
    <row r="625">
      <c r="C625" s="79"/>
      <c r="D625" s="79"/>
      <c r="E625" s="79"/>
      <c r="O625" s="79"/>
      <c r="S625" s="79"/>
      <c r="T625" s="79"/>
      <c r="Y625" s="79"/>
      <c r="AE625" s="130"/>
      <c r="AG625" s="106"/>
    </row>
    <row r="626">
      <c r="C626" s="79"/>
      <c r="D626" s="79"/>
      <c r="E626" s="79"/>
      <c r="O626" s="79"/>
      <c r="S626" s="79"/>
      <c r="T626" s="79"/>
      <c r="Y626" s="79"/>
      <c r="AE626" s="130"/>
      <c r="AG626" s="106"/>
    </row>
    <row r="627">
      <c r="C627" s="79"/>
      <c r="D627" s="79"/>
      <c r="E627" s="79"/>
      <c r="O627" s="79"/>
      <c r="S627" s="79"/>
      <c r="T627" s="79"/>
      <c r="Y627" s="79"/>
      <c r="AE627" s="130"/>
      <c r="AG627" s="106"/>
    </row>
    <row r="628">
      <c r="C628" s="79"/>
      <c r="D628" s="79"/>
      <c r="E628" s="79"/>
      <c r="O628" s="79"/>
      <c r="S628" s="79"/>
      <c r="T628" s="79"/>
      <c r="Y628" s="79"/>
      <c r="AE628" s="130"/>
      <c r="AG628" s="106"/>
    </row>
    <row r="629">
      <c r="C629" s="79"/>
      <c r="D629" s="79"/>
      <c r="E629" s="79"/>
      <c r="O629" s="79"/>
      <c r="S629" s="79"/>
      <c r="T629" s="79"/>
      <c r="Y629" s="79"/>
      <c r="AE629" s="130"/>
      <c r="AG629" s="106"/>
    </row>
    <row r="630">
      <c r="C630" s="79"/>
      <c r="D630" s="79"/>
      <c r="E630" s="79"/>
      <c r="O630" s="79"/>
      <c r="S630" s="79"/>
      <c r="T630" s="79"/>
      <c r="Y630" s="79"/>
      <c r="AE630" s="130"/>
      <c r="AG630" s="106"/>
    </row>
    <row r="631">
      <c r="C631" s="79"/>
      <c r="D631" s="79"/>
      <c r="E631" s="79"/>
      <c r="O631" s="79"/>
      <c r="S631" s="79"/>
      <c r="T631" s="79"/>
      <c r="Y631" s="79"/>
      <c r="AE631" s="130"/>
      <c r="AG631" s="106"/>
    </row>
    <row r="632">
      <c r="C632" s="79"/>
      <c r="D632" s="79"/>
      <c r="E632" s="79"/>
      <c r="O632" s="79"/>
      <c r="S632" s="79"/>
      <c r="T632" s="79"/>
      <c r="Y632" s="79"/>
      <c r="AE632" s="130"/>
      <c r="AG632" s="106"/>
    </row>
    <row r="633">
      <c r="C633" s="79"/>
      <c r="D633" s="79"/>
      <c r="E633" s="79"/>
      <c r="O633" s="79"/>
      <c r="S633" s="79"/>
      <c r="T633" s="79"/>
      <c r="Y633" s="79"/>
      <c r="AE633" s="130"/>
      <c r="AG633" s="106"/>
    </row>
    <row r="634">
      <c r="C634" s="79"/>
      <c r="D634" s="79"/>
      <c r="E634" s="79"/>
      <c r="O634" s="79"/>
      <c r="S634" s="79"/>
      <c r="T634" s="79"/>
      <c r="Y634" s="79"/>
      <c r="AE634" s="130"/>
      <c r="AG634" s="106"/>
    </row>
    <row r="635">
      <c r="C635" s="79"/>
      <c r="D635" s="79"/>
      <c r="E635" s="79"/>
      <c r="O635" s="79"/>
      <c r="S635" s="79"/>
      <c r="T635" s="79"/>
      <c r="Y635" s="79"/>
      <c r="AE635" s="130"/>
      <c r="AG635" s="106"/>
    </row>
    <row r="636">
      <c r="C636" s="79"/>
      <c r="D636" s="79"/>
      <c r="E636" s="79"/>
      <c r="O636" s="79"/>
      <c r="S636" s="79"/>
      <c r="T636" s="79"/>
      <c r="Y636" s="79"/>
      <c r="AE636" s="130"/>
      <c r="AG636" s="106"/>
    </row>
    <row r="637">
      <c r="C637" s="79"/>
      <c r="D637" s="79"/>
      <c r="E637" s="79"/>
      <c r="O637" s="79"/>
      <c r="S637" s="79"/>
      <c r="T637" s="79"/>
      <c r="Y637" s="79"/>
      <c r="AE637" s="130"/>
      <c r="AG637" s="106"/>
    </row>
    <row r="638">
      <c r="C638" s="79"/>
      <c r="D638" s="79"/>
      <c r="E638" s="79"/>
      <c r="O638" s="79"/>
      <c r="S638" s="79"/>
      <c r="T638" s="79"/>
      <c r="Y638" s="79"/>
      <c r="AE638" s="130"/>
      <c r="AG638" s="106"/>
    </row>
    <row r="639">
      <c r="C639" s="79"/>
      <c r="D639" s="79"/>
      <c r="E639" s="79"/>
      <c r="O639" s="79"/>
      <c r="S639" s="79"/>
      <c r="T639" s="79"/>
      <c r="Y639" s="79"/>
      <c r="AE639" s="130"/>
      <c r="AG639" s="106"/>
    </row>
    <row r="640">
      <c r="C640" s="79"/>
      <c r="D640" s="79"/>
      <c r="E640" s="79"/>
      <c r="O640" s="79"/>
      <c r="S640" s="79"/>
      <c r="T640" s="79"/>
      <c r="Y640" s="79"/>
      <c r="AE640" s="130"/>
      <c r="AG640" s="106"/>
    </row>
    <row r="641">
      <c r="C641" s="79"/>
      <c r="D641" s="79"/>
      <c r="E641" s="79"/>
      <c r="O641" s="79"/>
      <c r="S641" s="79"/>
      <c r="T641" s="79"/>
      <c r="Y641" s="79"/>
      <c r="AE641" s="130"/>
      <c r="AG641" s="106"/>
    </row>
    <row r="642">
      <c r="C642" s="79"/>
      <c r="D642" s="79"/>
      <c r="E642" s="79"/>
      <c r="O642" s="79"/>
      <c r="S642" s="79"/>
      <c r="T642" s="79"/>
      <c r="Y642" s="79"/>
      <c r="AE642" s="130"/>
      <c r="AG642" s="106"/>
    </row>
    <row r="643">
      <c r="C643" s="79"/>
      <c r="D643" s="79"/>
      <c r="E643" s="79"/>
      <c r="O643" s="79"/>
      <c r="S643" s="79"/>
      <c r="T643" s="79"/>
      <c r="Y643" s="79"/>
      <c r="AE643" s="130"/>
      <c r="AG643" s="106"/>
    </row>
    <row r="644">
      <c r="C644" s="79"/>
      <c r="D644" s="79"/>
      <c r="E644" s="79"/>
      <c r="O644" s="79"/>
      <c r="S644" s="79"/>
      <c r="T644" s="79"/>
      <c r="Y644" s="79"/>
      <c r="AE644" s="130"/>
      <c r="AG644" s="106"/>
    </row>
    <row r="645">
      <c r="C645" s="79"/>
      <c r="D645" s="79"/>
      <c r="E645" s="79"/>
      <c r="O645" s="79"/>
      <c r="S645" s="79"/>
      <c r="T645" s="79"/>
      <c r="Y645" s="79"/>
      <c r="AE645" s="130"/>
      <c r="AG645" s="106"/>
    </row>
    <row r="646">
      <c r="C646" s="79"/>
      <c r="D646" s="79"/>
      <c r="E646" s="79"/>
      <c r="O646" s="79"/>
      <c r="S646" s="79"/>
      <c r="T646" s="79"/>
      <c r="Y646" s="79"/>
      <c r="AE646" s="130"/>
      <c r="AG646" s="106"/>
    </row>
    <row r="647">
      <c r="C647" s="79"/>
      <c r="D647" s="79"/>
      <c r="E647" s="79"/>
      <c r="O647" s="79"/>
      <c r="S647" s="79"/>
      <c r="T647" s="79"/>
      <c r="Y647" s="79"/>
      <c r="AE647" s="130"/>
      <c r="AG647" s="106"/>
    </row>
    <row r="648">
      <c r="C648" s="79"/>
      <c r="D648" s="79"/>
      <c r="E648" s="79"/>
      <c r="O648" s="79"/>
      <c r="S648" s="79"/>
      <c r="T648" s="79"/>
      <c r="Y648" s="79"/>
      <c r="AE648" s="130"/>
      <c r="AG648" s="106"/>
    </row>
    <row r="649">
      <c r="C649" s="79"/>
      <c r="D649" s="79"/>
      <c r="E649" s="79"/>
      <c r="O649" s="79"/>
      <c r="S649" s="79"/>
      <c r="T649" s="79"/>
      <c r="Y649" s="79"/>
      <c r="AE649" s="130"/>
      <c r="AG649" s="106"/>
    </row>
    <row r="650">
      <c r="C650" s="79"/>
      <c r="D650" s="79"/>
      <c r="E650" s="79"/>
      <c r="O650" s="79"/>
      <c r="S650" s="79"/>
      <c r="T650" s="79"/>
      <c r="Y650" s="79"/>
      <c r="AE650" s="130"/>
      <c r="AG650" s="106"/>
    </row>
    <row r="651">
      <c r="C651" s="79"/>
      <c r="D651" s="79"/>
      <c r="E651" s="79"/>
      <c r="O651" s="79"/>
      <c r="S651" s="79"/>
      <c r="T651" s="79"/>
      <c r="Y651" s="79"/>
      <c r="AE651" s="130"/>
      <c r="AG651" s="106"/>
    </row>
    <row r="652">
      <c r="C652" s="79"/>
      <c r="D652" s="79"/>
      <c r="E652" s="79"/>
      <c r="O652" s="79"/>
      <c r="S652" s="79"/>
      <c r="T652" s="79"/>
      <c r="Y652" s="79"/>
      <c r="AE652" s="130"/>
      <c r="AG652" s="106"/>
    </row>
    <row r="653">
      <c r="C653" s="79"/>
      <c r="D653" s="79"/>
      <c r="E653" s="79"/>
      <c r="O653" s="79"/>
      <c r="S653" s="79"/>
      <c r="T653" s="79"/>
      <c r="Y653" s="79"/>
      <c r="AE653" s="130"/>
      <c r="AG653" s="106"/>
    </row>
    <row r="654">
      <c r="C654" s="79"/>
      <c r="D654" s="79"/>
      <c r="E654" s="79"/>
      <c r="O654" s="79"/>
      <c r="S654" s="79"/>
      <c r="T654" s="79"/>
      <c r="Y654" s="79"/>
      <c r="AE654" s="130"/>
      <c r="AG654" s="106"/>
    </row>
    <row r="655">
      <c r="C655" s="79"/>
      <c r="D655" s="79"/>
      <c r="E655" s="79"/>
      <c r="O655" s="79"/>
      <c r="S655" s="79"/>
      <c r="T655" s="79"/>
      <c r="Y655" s="79"/>
      <c r="AE655" s="130"/>
      <c r="AG655" s="106"/>
    </row>
    <row r="656">
      <c r="C656" s="79"/>
      <c r="D656" s="79"/>
      <c r="E656" s="79"/>
      <c r="O656" s="79"/>
      <c r="S656" s="79"/>
      <c r="T656" s="79"/>
      <c r="Y656" s="79"/>
      <c r="AE656" s="130"/>
      <c r="AG656" s="106"/>
    </row>
    <row r="657">
      <c r="C657" s="79"/>
      <c r="D657" s="79"/>
      <c r="E657" s="79"/>
      <c r="O657" s="79"/>
      <c r="S657" s="79"/>
      <c r="T657" s="79"/>
      <c r="Y657" s="79"/>
      <c r="AE657" s="130"/>
      <c r="AG657" s="106"/>
    </row>
    <row r="658">
      <c r="C658" s="79"/>
      <c r="D658" s="79"/>
      <c r="E658" s="79"/>
      <c r="O658" s="79"/>
      <c r="S658" s="79"/>
      <c r="T658" s="79"/>
      <c r="Y658" s="79"/>
      <c r="AE658" s="130"/>
      <c r="AG658" s="106"/>
    </row>
    <row r="659">
      <c r="C659" s="79"/>
      <c r="D659" s="79"/>
      <c r="E659" s="79"/>
      <c r="O659" s="79"/>
      <c r="S659" s="79"/>
      <c r="T659" s="79"/>
      <c r="Y659" s="79"/>
      <c r="AE659" s="130"/>
      <c r="AG659" s="106"/>
    </row>
    <row r="660">
      <c r="C660" s="79"/>
      <c r="D660" s="79"/>
      <c r="E660" s="79"/>
      <c r="O660" s="79"/>
      <c r="S660" s="79"/>
      <c r="T660" s="79"/>
      <c r="Y660" s="79"/>
      <c r="AE660" s="130"/>
      <c r="AG660" s="106"/>
    </row>
    <row r="661">
      <c r="C661" s="79"/>
      <c r="D661" s="79"/>
      <c r="E661" s="79"/>
      <c r="O661" s="79"/>
      <c r="S661" s="79"/>
      <c r="T661" s="79"/>
      <c r="Y661" s="79"/>
      <c r="AE661" s="130"/>
      <c r="AG661" s="106"/>
    </row>
    <row r="662">
      <c r="C662" s="79"/>
      <c r="D662" s="79"/>
      <c r="E662" s="79"/>
      <c r="O662" s="79"/>
      <c r="S662" s="79"/>
      <c r="T662" s="79"/>
      <c r="Y662" s="79"/>
      <c r="AE662" s="130"/>
      <c r="AG662" s="106"/>
    </row>
    <row r="663">
      <c r="C663" s="79"/>
      <c r="D663" s="79"/>
      <c r="E663" s="79"/>
      <c r="O663" s="79"/>
      <c r="S663" s="79"/>
      <c r="T663" s="79"/>
      <c r="Y663" s="79"/>
      <c r="AE663" s="130"/>
      <c r="AG663" s="106"/>
    </row>
    <row r="664">
      <c r="C664" s="79"/>
      <c r="D664" s="79"/>
      <c r="E664" s="79"/>
      <c r="O664" s="79"/>
      <c r="S664" s="79"/>
      <c r="T664" s="79"/>
      <c r="Y664" s="79"/>
      <c r="AE664" s="130"/>
      <c r="AG664" s="106"/>
    </row>
    <row r="665">
      <c r="C665" s="79"/>
      <c r="D665" s="79"/>
      <c r="E665" s="79"/>
      <c r="O665" s="79"/>
      <c r="S665" s="79"/>
      <c r="T665" s="79"/>
      <c r="Y665" s="79"/>
      <c r="AE665" s="130"/>
      <c r="AG665" s="106"/>
    </row>
    <row r="666">
      <c r="C666" s="79"/>
      <c r="D666" s="79"/>
      <c r="E666" s="79"/>
      <c r="O666" s="79"/>
      <c r="S666" s="79"/>
      <c r="T666" s="79"/>
      <c r="Y666" s="79"/>
      <c r="AE666" s="130"/>
      <c r="AG666" s="106"/>
    </row>
    <row r="667">
      <c r="C667" s="79"/>
      <c r="D667" s="79"/>
      <c r="E667" s="79"/>
      <c r="O667" s="79"/>
      <c r="S667" s="79"/>
      <c r="T667" s="79"/>
      <c r="Y667" s="79"/>
      <c r="AE667" s="130"/>
      <c r="AG667" s="106"/>
    </row>
    <row r="668">
      <c r="C668" s="79"/>
      <c r="D668" s="79"/>
      <c r="E668" s="79"/>
      <c r="O668" s="79"/>
      <c r="S668" s="79"/>
      <c r="T668" s="79"/>
      <c r="Y668" s="79"/>
      <c r="AE668" s="130"/>
      <c r="AG668" s="106"/>
    </row>
    <row r="669">
      <c r="C669" s="79"/>
      <c r="D669" s="79"/>
      <c r="E669" s="79"/>
      <c r="O669" s="79"/>
      <c r="S669" s="79"/>
      <c r="T669" s="79"/>
      <c r="Y669" s="79"/>
      <c r="AE669" s="130"/>
      <c r="AG669" s="106"/>
    </row>
    <row r="670">
      <c r="C670" s="79"/>
      <c r="D670" s="79"/>
      <c r="E670" s="79"/>
      <c r="O670" s="79"/>
      <c r="S670" s="79"/>
      <c r="T670" s="79"/>
      <c r="Y670" s="79"/>
      <c r="AE670" s="130"/>
      <c r="AG670" s="106"/>
    </row>
    <row r="671">
      <c r="C671" s="79"/>
      <c r="D671" s="79"/>
      <c r="E671" s="79"/>
      <c r="O671" s="79"/>
      <c r="S671" s="79"/>
      <c r="T671" s="79"/>
      <c r="Y671" s="79"/>
      <c r="AE671" s="130"/>
      <c r="AG671" s="106"/>
    </row>
    <row r="672">
      <c r="C672" s="79"/>
      <c r="D672" s="79"/>
      <c r="E672" s="79"/>
      <c r="O672" s="79"/>
      <c r="S672" s="79"/>
      <c r="T672" s="79"/>
      <c r="Y672" s="79"/>
      <c r="AE672" s="130"/>
      <c r="AG672" s="106"/>
    </row>
    <row r="673">
      <c r="C673" s="79"/>
      <c r="D673" s="79"/>
      <c r="E673" s="79"/>
      <c r="O673" s="79"/>
      <c r="S673" s="79"/>
      <c r="T673" s="79"/>
      <c r="Y673" s="79"/>
      <c r="AE673" s="130"/>
      <c r="AG673" s="106"/>
    </row>
    <row r="674">
      <c r="C674" s="79"/>
      <c r="D674" s="79"/>
      <c r="E674" s="79"/>
      <c r="O674" s="79"/>
      <c r="S674" s="79"/>
      <c r="T674" s="79"/>
      <c r="Y674" s="79"/>
      <c r="AE674" s="130"/>
      <c r="AG674" s="106"/>
    </row>
    <row r="675">
      <c r="C675" s="79"/>
      <c r="D675" s="79"/>
      <c r="E675" s="79"/>
      <c r="O675" s="79"/>
      <c r="S675" s="79"/>
      <c r="T675" s="79"/>
      <c r="Y675" s="79"/>
      <c r="AE675" s="130"/>
      <c r="AG675" s="106"/>
    </row>
    <row r="676">
      <c r="C676" s="79"/>
      <c r="D676" s="79"/>
      <c r="E676" s="79"/>
      <c r="O676" s="79"/>
      <c r="S676" s="79"/>
      <c r="T676" s="79"/>
      <c r="Y676" s="79"/>
      <c r="AE676" s="130"/>
      <c r="AG676" s="106"/>
    </row>
    <row r="677">
      <c r="C677" s="79"/>
      <c r="D677" s="79"/>
      <c r="E677" s="79"/>
      <c r="O677" s="79"/>
      <c r="S677" s="79"/>
      <c r="T677" s="79"/>
      <c r="Y677" s="79"/>
      <c r="AE677" s="130"/>
      <c r="AG677" s="106"/>
    </row>
    <row r="678">
      <c r="C678" s="79"/>
      <c r="D678" s="79"/>
      <c r="E678" s="79"/>
      <c r="O678" s="79"/>
      <c r="S678" s="79"/>
      <c r="T678" s="79"/>
      <c r="Y678" s="79"/>
      <c r="AE678" s="130"/>
      <c r="AG678" s="106"/>
    </row>
    <row r="679">
      <c r="C679" s="79"/>
      <c r="D679" s="79"/>
      <c r="E679" s="79"/>
      <c r="O679" s="79"/>
      <c r="S679" s="79"/>
      <c r="T679" s="79"/>
      <c r="Y679" s="79"/>
      <c r="AE679" s="130"/>
      <c r="AG679" s="106"/>
    </row>
    <row r="680">
      <c r="C680" s="79"/>
      <c r="D680" s="79"/>
      <c r="E680" s="79"/>
      <c r="O680" s="79"/>
      <c r="S680" s="79"/>
      <c r="T680" s="79"/>
      <c r="Y680" s="79"/>
      <c r="AE680" s="130"/>
      <c r="AG680" s="106"/>
    </row>
    <row r="681">
      <c r="C681" s="79"/>
      <c r="D681" s="79"/>
      <c r="E681" s="79"/>
      <c r="O681" s="79"/>
      <c r="S681" s="79"/>
      <c r="T681" s="79"/>
      <c r="Y681" s="79"/>
      <c r="AE681" s="130"/>
      <c r="AG681" s="106"/>
    </row>
    <row r="682">
      <c r="C682" s="79"/>
      <c r="D682" s="79"/>
      <c r="E682" s="79"/>
      <c r="O682" s="79"/>
      <c r="S682" s="79"/>
      <c r="T682" s="79"/>
      <c r="Y682" s="79"/>
      <c r="AE682" s="130"/>
      <c r="AG682" s="106"/>
    </row>
    <row r="683">
      <c r="C683" s="79"/>
      <c r="D683" s="79"/>
      <c r="E683" s="79"/>
      <c r="O683" s="79"/>
      <c r="S683" s="79"/>
      <c r="T683" s="79"/>
      <c r="Y683" s="79"/>
      <c r="AE683" s="130"/>
      <c r="AG683" s="106"/>
    </row>
    <row r="684">
      <c r="C684" s="79"/>
      <c r="D684" s="79"/>
      <c r="E684" s="79"/>
      <c r="O684" s="79"/>
      <c r="S684" s="79"/>
      <c r="T684" s="79"/>
      <c r="Y684" s="79"/>
      <c r="AE684" s="130"/>
      <c r="AG684" s="106"/>
    </row>
    <row r="685">
      <c r="C685" s="79"/>
      <c r="D685" s="79"/>
      <c r="E685" s="79"/>
      <c r="O685" s="79"/>
      <c r="S685" s="79"/>
      <c r="T685" s="79"/>
      <c r="Y685" s="79"/>
      <c r="AE685" s="130"/>
      <c r="AG685" s="106"/>
    </row>
    <row r="686">
      <c r="C686" s="79"/>
      <c r="D686" s="79"/>
      <c r="E686" s="79"/>
      <c r="O686" s="79"/>
      <c r="S686" s="79"/>
      <c r="T686" s="79"/>
      <c r="Y686" s="79"/>
      <c r="AE686" s="130"/>
      <c r="AG686" s="106"/>
    </row>
    <row r="687">
      <c r="C687" s="79"/>
      <c r="D687" s="79"/>
      <c r="E687" s="79"/>
      <c r="O687" s="79"/>
      <c r="S687" s="79"/>
      <c r="T687" s="79"/>
      <c r="Y687" s="79"/>
      <c r="AE687" s="130"/>
      <c r="AG687" s="106"/>
    </row>
    <row r="688">
      <c r="C688" s="79"/>
      <c r="D688" s="79"/>
      <c r="E688" s="79"/>
      <c r="O688" s="79"/>
      <c r="S688" s="79"/>
      <c r="T688" s="79"/>
      <c r="Y688" s="79"/>
      <c r="AE688" s="130"/>
      <c r="AG688" s="106"/>
    </row>
    <row r="689">
      <c r="C689" s="79"/>
      <c r="D689" s="79"/>
      <c r="E689" s="79"/>
      <c r="O689" s="79"/>
      <c r="S689" s="79"/>
      <c r="T689" s="79"/>
      <c r="Y689" s="79"/>
      <c r="AE689" s="130"/>
      <c r="AG689" s="106"/>
    </row>
    <row r="690">
      <c r="C690" s="79"/>
      <c r="D690" s="79"/>
      <c r="E690" s="79"/>
      <c r="O690" s="79"/>
      <c r="S690" s="79"/>
      <c r="T690" s="79"/>
      <c r="Y690" s="79"/>
      <c r="AE690" s="130"/>
      <c r="AG690" s="106"/>
    </row>
    <row r="691">
      <c r="C691" s="79"/>
      <c r="D691" s="79"/>
      <c r="E691" s="79"/>
      <c r="O691" s="79"/>
      <c r="S691" s="79"/>
      <c r="T691" s="79"/>
      <c r="Y691" s="79"/>
      <c r="AE691" s="130"/>
      <c r="AG691" s="106"/>
    </row>
    <row r="692">
      <c r="C692" s="79"/>
      <c r="D692" s="79"/>
      <c r="E692" s="79"/>
      <c r="O692" s="79"/>
      <c r="S692" s="79"/>
      <c r="T692" s="79"/>
      <c r="Y692" s="79"/>
      <c r="AE692" s="130"/>
      <c r="AG692" s="106"/>
    </row>
    <row r="693">
      <c r="C693" s="79"/>
      <c r="D693" s="79"/>
      <c r="E693" s="79"/>
      <c r="O693" s="79"/>
      <c r="S693" s="79"/>
      <c r="T693" s="79"/>
      <c r="Y693" s="79"/>
      <c r="AE693" s="130"/>
      <c r="AG693" s="106"/>
    </row>
    <row r="694">
      <c r="C694" s="79"/>
      <c r="D694" s="79"/>
      <c r="E694" s="79"/>
      <c r="O694" s="79"/>
      <c r="S694" s="79"/>
      <c r="T694" s="79"/>
      <c r="Y694" s="79"/>
      <c r="AE694" s="130"/>
      <c r="AG694" s="106"/>
    </row>
    <row r="695">
      <c r="C695" s="79"/>
      <c r="D695" s="79"/>
      <c r="E695" s="79"/>
      <c r="O695" s="79"/>
      <c r="S695" s="79"/>
      <c r="T695" s="79"/>
      <c r="Y695" s="79"/>
      <c r="AE695" s="130"/>
      <c r="AG695" s="106"/>
    </row>
    <row r="696">
      <c r="C696" s="79"/>
      <c r="D696" s="79"/>
      <c r="E696" s="79"/>
      <c r="O696" s="79"/>
      <c r="S696" s="79"/>
      <c r="T696" s="79"/>
      <c r="Y696" s="79"/>
      <c r="AE696" s="130"/>
      <c r="AG696" s="106"/>
    </row>
    <row r="697">
      <c r="C697" s="79"/>
      <c r="D697" s="79"/>
      <c r="E697" s="79"/>
      <c r="O697" s="79"/>
      <c r="S697" s="79"/>
      <c r="T697" s="79"/>
      <c r="Y697" s="79"/>
      <c r="AE697" s="130"/>
      <c r="AG697" s="106"/>
    </row>
    <row r="698">
      <c r="C698" s="79"/>
      <c r="D698" s="79"/>
      <c r="E698" s="79"/>
      <c r="O698" s="79"/>
      <c r="S698" s="79"/>
      <c r="T698" s="79"/>
      <c r="Y698" s="79"/>
      <c r="AE698" s="130"/>
      <c r="AG698" s="106"/>
    </row>
    <row r="699">
      <c r="C699" s="79"/>
      <c r="D699" s="79"/>
      <c r="E699" s="79"/>
      <c r="O699" s="79"/>
      <c r="S699" s="79"/>
      <c r="T699" s="79"/>
      <c r="Y699" s="79"/>
      <c r="AE699" s="130"/>
      <c r="AG699" s="106"/>
    </row>
    <row r="700">
      <c r="C700" s="79"/>
      <c r="D700" s="79"/>
      <c r="E700" s="79"/>
      <c r="O700" s="79"/>
      <c r="S700" s="79"/>
      <c r="T700" s="79"/>
      <c r="Y700" s="79"/>
      <c r="AE700" s="130"/>
      <c r="AG700" s="106"/>
    </row>
    <row r="701">
      <c r="C701" s="79"/>
      <c r="D701" s="79"/>
      <c r="E701" s="79"/>
      <c r="O701" s="79"/>
      <c r="S701" s="79"/>
      <c r="T701" s="79"/>
      <c r="Y701" s="79"/>
      <c r="AE701" s="130"/>
      <c r="AG701" s="106"/>
    </row>
    <row r="702">
      <c r="C702" s="79"/>
      <c r="D702" s="79"/>
      <c r="E702" s="79"/>
      <c r="O702" s="79"/>
      <c r="S702" s="79"/>
      <c r="T702" s="79"/>
      <c r="Y702" s="79"/>
      <c r="AE702" s="130"/>
      <c r="AG702" s="106"/>
    </row>
    <row r="703">
      <c r="C703" s="79"/>
      <c r="D703" s="79"/>
      <c r="E703" s="79"/>
      <c r="O703" s="79"/>
      <c r="S703" s="79"/>
      <c r="T703" s="79"/>
      <c r="Y703" s="79"/>
      <c r="AE703" s="130"/>
      <c r="AG703" s="106"/>
    </row>
    <row r="704">
      <c r="C704" s="79"/>
      <c r="D704" s="79"/>
      <c r="E704" s="79"/>
      <c r="O704" s="79"/>
      <c r="S704" s="79"/>
      <c r="T704" s="79"/>
      <c r="Y704" s="79"/>
      <c r="AE704" s="130"/>
      <c r="AG704" s="106"/>
    </row>
    <row r="705">
      <c r="C705" s="79"/>
      <c r="D705" s="79"/>
      <c r="E705" s="79"/>
      <c r="O705" s="79"/>
      <c r="S705" s="79"/>
      <c r="T705" s="79"/>
      <c r="Y705" s="79"/>
      <c r="AE705" s="130"/>
      <c r="AG705" s="106"/>
    </row>
    <row r="706">
      <c r="C706" s="79"/>
      <c r="D706" s="79"/>
      <c r="E706" s="79"/>
      <c r="O706" s="79"/>
      <c r="S706" s="79"/>
      <c r="T706" s="79"/>
      <c r="Y706" s="79"/>
      <c r="AE706" s="130"/>
      <c r="AG706" s="106"/>
    </row>
    <row r="707">
      <c r="C707" s="79"/>
      <c r="D707" s="79"/>
      <c r="E707" s="79"/>
      <c r="O707" s="79"/>
      <c r="S707" s="79"/>
      <c r="T707" s="79"/>
      <c r="Y707" s="79"/>
      <c r="AE707" s="130"/>
      <c r="AG707" s="106"/>
    </row>
    <row r="708">
      <c r="C708" s="79"/>
      <c r="D708" s="79"/>
      <c r="E708" s="79"/>
      <c r="O708" s="79"/>
      <c r="S708" s="79"/>
      <c r="T708" s="79"/>
      <c r="Y708" s="79"/>
      <c r="AE708" s="130"/>
      <c r="AG708" s="106"/>
    </row>
    <row r="709">
      <c r="C709" s="79"/>
      <c r="D709" s="79"/>
      <c r="E709" s="79"/>
      <c r="O709" s="79"/>
      <c r="S709" s="79"/>
      <c r="T709" s="79"/>
      <c r="Y709" s="79"/>
      <c r="AE709" s="130"/>
      <c r="AG709" s="106"/>
    </row>
    <row r="710">
      <c r="C710" s="79"/>
      <c r="D710" s="79"/>
      <c r="E710" s="79"/>
      <c r="O710" s="79"/>
      <c r="S710" s="79"/>
      <c r="T710" s="79"/>
      <c r="Y710" s="79"/>
      <c r="AE710" s="130"/>
      <c r="AG710" s="106"/>
    </row>
    <row r="711">
      <c r="C711" s="79"/>
      <c r="D711" s="79"/>
      <c r="E711" s="79"/>
      <c r="O711" s="79"/>
      <c r="S711" s="79"/>
      <c r="T711" s="79"/>
      <c r="Y711" s="79"/>
      <c r="AE711" s="130"/>
      <c r="AG711" s="106"/>
    </row>
    <row r="712">
      <c r="C712" s="79"/>
      <c r="D712" s="79"/>
      <c r="E712" s="79"/>
      <c r="O712" s="79"/>
      <c r="S712" s="79"/>
      <c r="T712" s="79"/>
      <c r="Y712" s="79"/>
      <c r="AE712" s="130"/>
      <c r="AG712" s="106"/>
    </row>
    <row r="713">
      <c r="C713" s="79"/>
      <c r="D713" s="79"/>
      <c r="E713" s="79"/>
      <c r="O713" s="79"/>
      <c r="S713" s="79"/>
      <c r="T713" s="79"/>
      <c r="Y713" s="79"/>
      <c r="AE713" s="130"/>
      <c r="AG713" s="106"/>
    </row>
    <row r="714">
      <c r="C714" s="79"/>
      <c r="D714" s="79"/>
      <c r="E714" s="79"/>
      <c r="O714" s="79"/>
      <c r="S714" s="79"/>
      <c r="T714" s="79"/>
      <c r="Y714" s="79"/>
      <c r="AE714" s="130"/>
      <c r="AG714" s="106"/>
    </row>
    <row r="715">
      <c r="C715" s="79"/>
      <c r="D715" s="79"/>
      <c r="E715" s="79"/>
      <c r="O715" s="79"/>
      <c r="S715" s="79"/>
      <c r="T715" s="79"/>
      <c r="Y715" s="79"/>
      <c r="AE715" s="130"/>
      <c r="AG715" s="106"/>
    </row>
    <row r="716">
      <c r="C716" s="79"/>
      <c r="D716" s="79"/>
      <c r="E716" s="79"/>
      <c r="O716" s="79"/>
      <c r="S716" s="79"/>
      <c r="T716" s="79"/>
      <c r="Y716" s="79"/>
      <c r="AE716" s="130"/>
      <c r="AG716" s="106"/>
    </row>
    <row r="717">
      <c r="C717" s="79"/>
      <c r="D717" s="79"/>
      <c r="E717" s="79"/>
      <c r="O717" s="79"/>
      <c r="S717" s="79"/>
      <c r="T717" s="79"/>
      <c r="Y717" s="79"/>
      <c r="AE717" s="130"/>
      <c r="AG717" s="106"/>
    </row>
    <row r="718">
      <c r="C718" s="79"/>
      <c r="D718" s="79"/>
      <c r="E718" s="79"/>
      <c r="O718" s="79"/>
      <c r="S718" s="79"/>
      <c r="T718" s="79"/>
      <c r="Y718" s="79"/>
      <c r="AE718" s="130"/>
      <c r="AG718" s="106"/>
    </row>
    <row r="719">
      <c r="C719" s="79"/>
      <c r="D719" s="79"/>
      <c r="E719" s="79"/>
      <c r="O719" s="79"/>
      <c r="S719" s="79"/>
      <c r="T719" s="79"/>
      <c r="Y719" s="79"/>
      <c r="AE719" s="130"/>
      <c r="AG719" s="106"/>
    </row>
    <row r="720">
      <c r="C720" s="79"/>
      <c r="D720" s="79"/>
      <c r="E720" s="79"/>
      <c r="O720" s="79"/>
      <c r="S720" s="79"/>
      <c r="T720" s="79"/>
      <c r="Y720" s="79"/>
      <c r="AE720" s="130"/>
      <c r="AG720" s="106"/>
    </row>
    <row r="721">
      <c r="C721" s="79"/>
      <c r="D721" s="79"/>
      <c r="E721" s="79"/>
      <c r="O721" s="79"/>
      <c r="S721" s="79"/>
      <c r="T721" s="79"/>
      <c r="Y721" s="79"/>
      <c r="AE721" s="130"/>
      <c r="AG721" s="106"/>
    </row>
    <row r="722">
      <c r="C722" s="79"/>
      <c r="D722" s="79"/>
      <c r="E722" s="79"/>
      <c r="O722" s="79"/>
      <c r="S722" s="79"/>
      <c r="T722" s="79"/>
      <c r="Y722" s="79"/>
      <c r="AE722" s="130"/>
      <c r="AG722" s="106"/>
    </row>
    <row r="723">
      <c r="C723" s="79"/>
      <c r="D723" s="79"/>
      <c r="E723" s="79"/>
      <c r="O723" s="79"/>
      <c r="S723" s="79"/>
      <c r="T723" s="79"/>
      <c r="Y723" s="79"/>
      <c r="AE723" s="130"/>
      <c r="AG723" s="106"/>
    </row>
    <row r="724">
      <c r="C724" s="79"/>
      <c r="D724" s="79"/>
      <c r="E724" s="79"/>
      <c r="O724" s="79"/>
      <c r="S724" s="79"/>
      <c r="T724" s="79"/>
      <c r="Y724" s="79"/>
      <c r="AE724" s="130"/>
      <c r="AG724" s="106"/>
    </row>
    <row r="725">
      <c r="C725" s="79"/>
      <c r="D725" s="79"/>
      <c r="E725" s="79"/>
      <c r="O725" s="79"/>
      <c r="S725" s="79"/>
      <c r="T725" s="79"/>
      <c r="Y725" s="79"/>
      <c r="AE725" s="130"/>
      <c r="AG725" s="106"/>
    </row>
    <row r="726">
      <c r="C726" s="79"/>
      <c r="D726" s="79"/>
      <c r="E726" s="79"/>
      <c r="O726" s="79"/>
      <c r="S726" s="79"/>
      <c r="T726" s="79"/>
      <c r="Y726" s="79"/>
      <c r="AE726" s="130"/>
      <c r="AG726" s="106"/>
    </row>
    <row r="727">
      <c r="C727" s="79"/>
      <c r="D727" s="79"/>
      <c r="E727" s="79"/>
      <c r="O727" s="79"/>
      <c r="S727" s="79"/>
      <c r="T727" s="79"/>
      <c r="Y727" s="79"/>
      <c r="AE727" s="130"/>
      <c r="AG727" s="106"/>
    </row>
    <row r="728">
      <c r="C728" s="79"/>
      <c r="D728" s="79"/>
      <c r="E728" s="79"/>
      <c r="O728" s="79"/>
      <c r="S728" s="79"/>
      <c r="T728" s="79"/>
      <c r="Y728" s="79"/>
      <c r="AE728" s="130"/>
      <c r="AG728" s="106"/>
    </row>
    <row r="729">
      <c r="C729" s="79"/>
      <c r="D729" s="79"/>
      <c r="E729" s="79"/>
      <c r="O729" s="79"/>
      <c r="S729" s="79"/>
      <c r="T729" s="79"/>
      <c r="Y729" s="79"/>
      <c r="AE729" s="130"/>
      <c r="AG729" s="106"/>
    </row>
    <row r="730">
      <c r="C730" s="79"/>
      <c r="D730" s="79"/>
      <c r="E730" s="79"/>
      <c r="O730" s="79"/>
      <c r="S730" s="79"/>
      <c r="T730" s="79"/>
      <c r="Y730" s="79"/>
      <c r="AE730" s="130"/>
      <c r="AG730" s="106"/>
    </row>
    <row r="731">
      <c r="C731" s="79"/>
      <c r="D731" s="79"/>
      <c r="E731" s="79"/>
      <c r="O731" s="79"/>
      <c r="S731" s="79"/>
      <c r="T731" s="79"/>
      <c r="Y731" s="79"/>
      <c r="AE731" s="130"/>
      <c r="AG731" s="106"/>
    </row>
    <row r="732">
      <c r="C732" s="79"/>
      <c r="D732" s="79"/>
      <c r="E732" s="79"/>
      <c r="O732" s="79"/>
      <c r="S732" s="79"/>
      <c r="T732" s="79"/>
      <c r="Y732" s="79"/>
      <c r="AE732" s="130"/>
      <c r="AG732" s="106"/>
    </row>
    <row r="733">
      <c r="C733" s="79"/>
      <c r="D733" s="79"/>
      <c r="E733" s="79"/>
      <c r="O733" s="79"/>
      <c r="S733" s="79"/>
      <c r="T733" s="79"/>
      <c r="Y733" s="79"/>
      <c r="AE733" s="130"/>
      <c r="AG733" s="106"/>
    </row>
    <row r="734">
      <c r="C734" s="79"/>
      <c r="D734" s="79"/>
      <c r="E734" s="79"/>
      <c r="O734" s="79"/>
      <c r="S734" s="79"/>
      <c r="T734" s="79"/>
      <c r="Y734" s="79"/>
      <c r="AE734" s="130"/>
      <c r="AG734" s="106"/>
    </row>
    <row r="735">
      <c r="C735" s="79"/>
      <c r="D735" s="79"/>
      <c r="E735" s="79"/>
      <c r="O735" s="79"/>
      <c r="S735" s="79"/>
      <c r="T735" s="79"/>
      <c r="Y735" s="79"/>
      <c r="AE735" s="130"/>
      <c r="AG735" s="106"/>
    </row>
    <row r="736">
      <c r="C736" s="79"/>
      <c r="D736" s="79"/>
      <c r="E736" s="79"/>
      <c r="O736" s="79"/>
      <c r="S736" s="79"/>
      <c r="T736" s="79"/>
      <c r="Y736" s="79"/>
      <c r="AE736" s="130"/>
      <c r="AG736" s="106"/>
    </row>
    <row r="737">
      <c r="C737" s="79"/>
      <c r="D737" s="79"/>
      <c r="E737" s="79"/>
      <c r="O737" s="79"/>
      <c r="S737" s="79"/>
      <c r="T737" s="79"/>
      <c r="Y737" s="79"/>
      <c r="AE737" s="130"/>
      <c r="AG737" s="106"/>
    </row>
    <row r="738">
      <c r="C738" s="79"/>
      <c r="D738" s="79"/>
      <c r="E738" s="79"/>
      <c r="O738" s="79"/>
      <c r="S738" s="79"/>
      <c r="T738" s="79"/>
      <c r="Y738" s="79"/>
      <c r="AE738" s="130"/>
      <c r="AG738" s="106"/>
    </row>
    <row r="739">
      <c r="C739" s="79"/>
      <c r="D739" s="79"/>
      <c r="E739" s="79"/>
      <c r="O739" s="79"/>
      <c r="S739" s="79"/>
      <c r="T739" s="79"/>
      <c r="Y739" s="79"/>
      <c r="AE739" s="130"/>
      <c r="AG739" s="106"/>
    </row>
    <row r="740">
      <c r="C740" s="79"/>
      <c r="D740" s="79"/>
      <c r="E740" s="79"/>
      <c r="O740" s="79"/>
      <c r="S740" s="79"/>
      <c r="T740" s="79"/>
      <c r="Y740" s="79"/>
      <c r="AE740" s="130"/>
      <c r="AG740" s="106"/>
    </row>
    <row r="741">
      <c r="C741" s="79"/>
      <c r="D741" s="79"/>
      <c r="E741" s="79"/>
      <c r="O741" s="79"/>
      <c r="S741" s="79"/>
      <c r="T741" s="79"/>
      <c r="Y741" s="79"/>
      <c r="AE741" s="130"/>
      <c r="AG741" s="106"/>
    </row>
    <row r="742">
      <c r="C742" s="79"/>
      <c r="D742" s="79"/>
      <c r="E742" s="79"/>
      <c r="O742" s="79"/>
      <c r="S742" s="79"/>
      <c r="T742" s="79"/>
      <c r="Y742" s="79"/>
      <c r="AE742" s="130"/>
      <c r="AG742" s="106"/>
    </row>
    <row r="743">
      <c r="C743" s="79"/>
      <c r="D743" s="79"/>
      <c r="E743" s="79"/>
      <c r="O743" s="79"/>
      <c r="S743" s="79"/>
      <c r="T743" s="79"/>
      <c r="Y743" s="79"/>
      <c r="AE743" s="130"/>
      <c r="AG743" s="106"/>
    </row>
    <row r="744">
      <c r="C744" s="79"/>
      <c r="D744" s="79"/>
      <c r="E744" s="79"/>
      <c r="O744" s="79"/>
      <c r="S744" s="79"/>
      <c r="T744" s="79"/>
      <c r="Y744" s="79"/>
      <c r="AE744" s="130"/>
      <c r="AG744" s="106"/>
    </row>
    <row r="745">
      <c r="C745" s="79"/>
      <c r="D745" s="79"/>
      <c r="E745" s="79"/>
      <c r="O745" s="79"/>
      <c r="S745" s="79"/>
      <c r="T745" s="79"/>
      <c r="Y745" s="79"/>
      <c r="AE745" s="130"/>
      <c r="AG745" s="106"/>
    </row>
    <row r="746">
      <c r="C746" s="79"/>
      <c r="D746" s="79"/>
      <c r="E746" s="79"/>
      <c r="O746" s="79"/>
      <c r="S746" s="79"/>
      <c r="T746" s="79"/>
      <c r="Y746" s="79"/>
      <c r="AE746" s="130"/>
      <c r="AG746" s="106"/>
    </row>
    <row r="747">
      <c r="C747" s="79"/>
      <c r="D747" s="79"/>
      <c r="E747" s="79"/>
      <c r="O747" s="79"/>
      <c r="S747" s="79"/>
      <c r="T747" s="79"/>
      <c r="Y747" s="79"/>
      <c r="AE747" s="130"/>
      <c r="AG747" s="106"/>
    </row>
    <row r="748">
      <c r="C748" s="79"/>
      <c r="D748" s="79"/>
      <c r="E748" s="79"/>
      <c r="O748" s="79"/>
      <c r="S748" s="79"/>
      <c r="T748" s="79"/>
      <c r="Y748" s="79"/>
      <c r="AE748" s="130"/>
      <c r="AG748" s="106"/>
    </row>
    <row r="749">
      <c r="C749" s="79"/>
      <c r="D749" s="79"/>
      <c r="E749" s="79"/>
      <c r="O749" s="79"/>
      <c r="S749" s="79"/>
      <c r="T749" s="79"/>
      <c r="Y749" s="79"/>
      <c r="AE749" s="130"/>
      <c r="AG749" s="106"/>
    </row>
    <row r="750">
      <c r="C750" s="79"/>
      <c r="D750" s="79"/>
      <c r="E750" s="79"/>
      <c r="O750" s="79"/>
      <c r="S750" s="79"/>
      <c r="T750" s="79"/>
      <c r="Y750" s="79"/>
      <c r="AE750" s="130"/>
      <c r="AG750" s="106"/>
    </row>
    <row r="751">
      <c r="C751" s="79"/>
      <c r="D751" s="79"/>
      <c r="E751" s="79"/>
      <c r="O751" s="79"/>
      <c r="S751" s="79"/>
      <c r="T751" s="79"/>
      <c r="Y751" s="79"/>
      <c r="AE751" s="130"/>
      <c r="AG751" s="106"/>
    </row>
    <row r="752">
      <c r="C752" s="79"/>
      <c r="D752" s="79"/>
      <c r="E752" s="79"/>
      <c r="O752" s="79"/>
      <c r="S752" s="79"/>
      <c r="T752" s="79"/>
      <c r="Y752" s="79"/>
      <c r="AE752" s="130"/>
      <c r="AG752" s="106"/>
    </row>
    <row r="753">
      <c r="C753" s="79"/>
      <c r="D753" s="79"/>
      <c r="E753" s="79"/>
      <c r="O753" s="79"/>
      <c r="S753" s="79"/>
      <c r="T753" s="79"/>
      <c r="Y753" s="79"/>
      <c r="AE753" s="130"/>
      <c r="AG753" s="106"/>
    </row>
    <row r="754">
      <c r="C754" s="79"/>
      <c r="D754" s="79"/>
      <c r="E754" s="79"/>
      <c r="O754" s="79"/>
      <c r="S754" s="79"/>
      <c r="T754" s="79"/>
      <c r="Y754" s="79"/>
      <c r="AE754" s="130"/>
      <c r="AG754" s="106"/>
    </row>
    <row r="755">
      <c r="C755" s="79"/>
      <c r="D755" s="79"/>
      <c r="E755" s="79"/>
      <c r="O755" s="79"/>
      <c r="S755" s="79"/>
      <c r="T755" s="79"/>
      <c r="Y755" s="79"/>
      <c r="AE755" s="130"/>
      <c r="AG755" s="106"/>
    </row>
    <row r="756">
      <c r="C756" s="79"/>
      <c r="D756" s="79"/>
      <c r="E756" s="79"/>
      <c r="O756" s="79"/>
      <c r="S756" s="79"/>
      <c r="T756" s="79"/>
      <c r="Y756" s="79"/>
      <c r="AE756" s="130"/>
      <c r="AG756" s="106"/>
    </row>
    <row r="757">
      <c r="C757" s="79"/>
      <c r="D757" s="79"/>
      <c r="E757" s="79"/>
      <c r="O757" s="79"/>
      <c r="S757" s="79"/>
      <c r="T757" s="79"/>
      <c r="Y757" s="79"/>
      <c r="AE757" s="130"/>
      <c r="AG757" s="106"/>
    </row>
    <row r="758">
      <c r="C758" s="79"/>
      <c r="D758" s="79"/>
      <c r="E758" s="79"/>
      <c r="O758" s="79"/>
      <c r="S758" s="79"/>
      <c r="T758" s="79"/>
      <c r="Y758" s="79"/>
      <c r="AE758" s="130"/>
      <c r="AG758" s="106"/>
    </row>
    <row r="759">
      <c r="C759" s="79"/>
      <c r="D759" s="79"/>
      <c r="E759" s="79"/>
      <c r="O759" s="79"/>
      <c r="S759" s="79"/>
      <c r="T759" s="79"/>
      <c r="Y759" s="79"/>
      <c r="AE759" s="130"/>
      <c r="AG759" s="106"/>
    </row>
    <row r="760">
      <c r="C760" s="79"/>
      <c r="D760" s="79"/>
      <c r="E760" s="79"/>
      <c r="O760" s="79"/>
      <c r="S760" s="79"/>
      <c r="T760" s="79"/>
      <c r="Y760" s="79"/>
      <c r="AE760" s="130"/>
      <c r="AG760" s="106"/>
    </row>
    <row r="761">
      <c r="C761" s="79"/>
      <c r="D761" s="79"/>
      <c r="E761" s="79"/>
      <c r="O761" s="79"/>
      <c r="S761" s="79"/>
      <c r="T761" s="79"/>
      <c r="Y761" s="79"/>
      <c r="AE761" s="130"/>
      <c r="AG761" s="106"/>
    </row>
    <row r="762">
      <c r="C762" s="79"/>
      <c r="D762" s="79"/>
      <c r="E762" s="79"/>
      <c r="O762" s="79"/>
      <c r="S762" s="79"/>
      <c r="T762" s="79"/>
      <c r="Y762" s="79"/>
      <c r="AE762" s="130"/>
      <c r="AG762" s="106"/>
    </row>
    <row r="763">
      <c r="C763" s="79"/>
      <c r="D763" s="79"/>
      <c r="E763" s="79"/>
      <c r="O763" s="79"/>
      <c r="S763" s="79"/>
      <c r="T763" s="79"/>
      <c r="Y763" s="79"/>
      <c r="AE763" s="130"/>
      <c r="AG763" s="106"/>
    </row>
    <row r="764">
      <c r="C764" s="79"/>
      <c r="D764" s="79"/>
      <c r="E764" s="79"/>
      <c r="O764" s="79"/>
      <c r="S764" s="79"/>
      <c r="T764" s="79"/>
      <c r="Y764" s="79"/>
      <c r="AE764" s="130"/>
      <c r="AG764" s="106"/>
    </row>
    <row r="765">
      <c r="C765" s="79"/>
      <c r="D765" s="79"/>
      <c r="E765" s="79"/>
      <c r="O765" s="79"/>
      <c r="S765" s="79"/>
      <c r="T765" s="79"/>
      <c r="Y765" s="79"/>
      <c r="AE765" s="130"/>
      <c r="AG765" s="106"/>
    </row>
    <row r="766">
      <c r="C766" s="79"/>
      <c r="D766" s="79"/>
      <c r="E766" s="79"/>
      <c r="O766" s="79"/>
      <c r="S766" s="79"/>
      <c r="T766" s="79"/>
      <c r="Y766" s="79"/>
      <c r="AE766" s="130"/>
      <c r="AG766" s="106"/>
    </row>
    <row r="767">
      <c r="C767" s="79"/>
      <c r="D767" s="79"/>
      <c r="E767" s="79"/>
      <c r="O767" s="79"/>
      <c r="S767" s="79"/>
      <c r="T767" s="79"/>
      <c r="Y767" s="79"/>
      <c r="AE767" s="130"/>
      <c r="AG767" s="106"/>
    </row>
    <row r="768">
      <c r="C768" s="79"/>
      <c r="D768" s="79"/>
      <c r="E768" s="79"/>
      <c r="O768" s="79"/>
      <c r="S768" s="79"/>
      <c r="T768" s="79"/>
      <c r="Y768" s="79"/>
      <c r="AE768" s="130"/>
      <c r="AG768" s="106"/>
    </row>
    <row r="769">
      <c r="C769" s="79"/>
      <c r="D769" s="79"/>
      <c r="E769" s="79"/>
      <c r="O769" s="79"/>
      <c r="S769" s="79"/>
      <c r="T769" s="79"/>
      <c r="Y769" s="79"/>
      <c r="AE769" s="130"/>
      <c r="AG769" s="106"/>
    </row>
    <row r="770">
      <c r="C770" s="79"/>
      <c r="D770" s="79"/>
      <c r="E770" s="79"/>
      <c r="O770" s="79"/>
      <c r="S770" s="79"/>
      <c r="T770" s="79"/>
      <c r="Y770" s="79"/>
      <c r="AE770" s="130"/>
      <c r="AG770" s="106"/>
    </row>
    <row r="771">
      <c r="C771" s="79"/>
      <c r="D771" s="79"/>
      <c r="E771" s="79"/>
      <c r="O771" s="79"/>
      <c r="S771" s="79"/>
      <c r="T771" s="79"/>
      <c r="Y771" s="79"/>
      <c r="AE771" s="130"/>
      <c r="AG771" s="106"/>
    </row>
    <row r="772">
      <c r="C772" s="79"/>
      <c r="D772" s="79"/>
      <c r="E772" s="79"/>
      <c r="O772" s="79"/>
      <c r="S772" s="79"/>
      <c r="T772" s="79"/>
      <c r="Y772" s="79"/>
      <c r="AE772" s="130"/>
      <c r="AG772" s="106"/>
    </row>
    <row r="773">
      <c r="C773" s="79"/>
      <c r="D773" s="79"/>
      <c r="E773" s="79"/>
      <c r="O773" s="79"/>
      <c r="S773" s="79"/>
      <c r="T773" s="79"/>
      <c r="Y773" s="79"/>
      <c r="AE773" s="130"/>
      <c r="AG773" s="106"/>
    </row>
    <row r="774">
      <c r="C774" s="79"/>
      <c r="D774" s="79"/>
      <c r="E774" s="79"/>
      <c r="O774" s="79"/>
      <c r="S774" s="79"/>
      <c r="T774" s="79"/>
      <c r="Y774" s="79"/>
      <c r="AE774" s="130"/>
      <c r="AG774" s="106"/>
    </row>
    <row r="775">
      <c r="C775" s="79"/>
      <c r="D775" s="79"/>
      <c r="E775" s="79"/>
      <c r="O775" s="79"/>
      <c r="S775" s="79"/>
      <c r="T775" s="79"/>
      <c r="Y775" s="79"/>
      <c r="AE775" s="130"/>
      <c r="AG775" s="106"/>
    </row>
    <row r="776">
      <c r="C776" s="79"/>
      <c r="D776" s="79"/>
      <c r="E776" s="79"/>
      <c r="O776" s="79"/>
      <c r="S776" s="79"/>
      <c r="T776" s="79"/>
      <c r="Y776" s="79"/>
      <c r="AE776" s="130"/>
      <c r="AG776" s="106"/>
    </row>
    <row r="777">
      <c r="C777" s="79"/>
      <c r="D777" s="79"/>
      <c r="E777" s="79"/>
      <c r="O777" s="79"/>
      <c r="S777" s="79"/>
      <c r="T777" s="79"/>
      <c r="Y777" s="79"/>
      <c r="AE777" s="130"/>
      <c r="AG777" s="106"/>
    </row>
    <row r="778">
      <c r="C778" s="79"/>
      <c r="D778" s="79"/>
      <c r="E778" s="79"/>
      <c r="O778" s="79"/>
      <c r="S778" s="79"/>
      <c r="T778" s="79"/>
      <c r="Y778" s="79"/>
      <c r="AE778" s="130"/>
      <c r="AG778" s="106"/>
    </row>
    <row r="779">
      <c r="C779" s="79"/>
      <c r="D779" s="79"/>
      <c r="E779" s="79"/>
      <c r="O779" s="79"/>
      <c r="S779" s="79"/>
      <c r="T779" s="79"/>
      <c r="Y779" s="79"/>
      <c r="AE779" s="130"/>
      <c r="AG779" s="106"/>
    </row>
    <row r="780">
      <c r="C780" s="79"/>
      <c r="D780" s="79"/>
      <c r="E780" s="79"/>
      <c r="O780" s="79"/>
      <c r="S780" s="79"/>
      <c r="T780" s="79"/>
      <c r="Y780" s="79"/>
      <c r="AE780" s="130"/>
      <c r="AG780" s="106"/>
    </row>
    <row r="781">
      <c r="C781" s="79"/>
      <c r="D781" s="79"/>
      <c r="E781" s="79"/>
      <c r="O781" s="79"/>
      <c r="S781" s="79"/>
      <c r="T781" s="79"/>
      <c r="Y781" s="79"/>
      <c r="AE781" s="130"/>
      <c r="AG781" s="106"/>
    </row>
    <row r="782">
      <c r="C782" s="79"/>
      <c r="D782" s="79"/>
      <c r="E782" s="79"/>
      <c r="O782" s="79"/>
      <c r="S782" s="79"/>
      <c r="T782" s="79"/>
      <c r="Y782" s="79"/>
      <c r="AE782" s="130"/>
      <c r="AG782" s="106"/>
    </row>
    <row r="783">
      <c r="C783" s="79"/>
      <c r="D783" s="79"/>
      <c r="E783" s="79"/>
      <c r="O783" s="79"/>
      <c r="S783" s="79"/>
      <c r="T783" s="79"/>
      <c r="Y783" s="79"/>
      <c r="AE783" s="130"/>
      <c r="AG783" s="106"/>
    </row>
    <row r="784">
      <c r="C784" s="79"/>
      <c r="D784" s="79"/>
      <c r="E784" s="79"/>
      <c r="O784" s="79"/>
      <c r="S784" s="79"/>
      <c r="T784" s="79"/>
      <c r="Y784" s="79"/>
      <c r="AE784" s="130"/>
      <c r="AG784" s="106"/>
    </row>
    <row r="785">
      <c r="C785" s="79"/>
      <c r="D785" s="79"/>
      <c r="E785" s="79"/>
      <c r="O785" s="79"/>
      <c r="S785" s="79"/>
      <c r="T785" s="79"/>
      <c r="Y785" s="79"/>
      <c r="AE785" s="130"/>
      <c r="AG785" s="106"/>
    </row>
    <row r="786">
      <c r="C786" s="79"/>
      <c r="D786" s="79"/>
      <c r="E786" s="79"/>
      <c r="O786" s="79"/>
      <c r="S786" s="79"/>
      <c r="T786" s="79"/>
      <c r="Y786" s="79"/>
      <c r="AE786" s="130"/>
      <c r="AG786" s="106"/>
    </row>
    <row r="787">
      <c r="C787" s="79"/>
      <c r="D787" s="79"/>
      <c r="E787" s="79"/>
      <c r="O787" s="79"/>
      <c r="S787" s="79"/>
      <c r="T787" s="79"/>
      <c r="Y787" s="79"/>
      <c r="AE787" s="130"/>
      <c r="AG787" s="106"/>
    </row>
    <row r="788">
      <c r="C788" s="79"/>
      <c r="D788" s="79"/>
      <c r="E788" s="79"/>
      <c r="O788" s="79"/>
      <c r="S788" s="79"/>
      <c r="T788" s="79"/>
      <c r="Y788" s="79"/>
      <c r="AE788" s="130"/>
      <c r="AG788" s="106"/>
    </row>
    <row r="789">
      <c r="C789" s="79"/>
      <c r="D789" s="79"/>
      <c r="E789" s="79"/>
      <c r="O789" s="79"/>
      <c r="S789" s="79"/>
      <c r="T789" s="79"/>
      <c r="Y789" s="79"/>
      <c r="AE789" s="130"/>
      <c r="AG789" s="106"/>
    </row>
    <row r="790">
      <c r="C790" s="79"/>
      <c r="D790" s="79"/>
      <c r="E790" s="79"/>
      <c r="O790" s="79"/>
      <c r="S790" s="79"/>
      <c r="T790" s="79"/>
      <c r="Y790" s="79"/>
      <c r="AE790" s="130"/>
      <c r="AG790" s="106"/>
    </row>
    <row r="791">
      <c r="C791" s="79"/>
      <c r="D791" s="79"/>
      <c r="E791" s="79"/>
      <c r="O791" s="79"/>
      <c r="S791" s="79"/>
      <c r="T791" s="79"/>
      <c r="Y791" s="79"/>
      <c r="AE791" s="130"/>
      <c r="AG791" s="106"/>
    </row>
    <row r="792">
      <c r="C792" s="79"/>
      <c r="D792" s="79"/>
      <c r="E792" s="79"/>
      <c r="O792" s="79"/>
      <c r="S792" s="79"/>
      <c r="T792" s="79"/>
      <c r="Y792" s="79"/>
      <c r="AE792" s="130"/>
      <c r="AG792" s="106"/>
    </row>
    <row r="793">
      <c r="C793" s="79"/>
      <c r="D793" s="79"/>
      <c r="E793" s="79"/>
      <c r="O793" s="79"/>
      <c r="S793" s="79"/>
      <c r="T793" s="79"/>
      <c r="Y793" s="79"/>
      <c r="AE793" s="130"/>
      <c r="AG793" s="106"/>
    </row>
    <row r="794">
      <c r="C794" s="79"/>
      <c r="D794" s="79"/>
      <c r="E794" s="79"/>
      <c r="O794" s="79"/>
      <c r="S794" s="79"/>
      <c r="T794" s="79"/>
      <c r="Y794" s="79"/>
      <c r="AE794" s="130"/>
      <c r="AG794" s="106"/>
    </row>
    <row r="795">
      <c r="C795" s="79"/>
      <c r="D795" s="79"/>
      <c r="E795" s="79"/>
      <c r="O795" s="79"/>
      <c r="S795" s="79"/>
      <c r="T795" s="79"/>
      <c r="Y795" s="79"/>
      <c r="AE795" s="130"/>
      <c r="AG795" s="106"/>
    </row>
    <row r="796">
      <c r="C796" s="79"/>
      <c r="D796" s="79"/>
      <c r="E796" s="79"/>
      <c r="O796" s="79"/>
      <c r="S796" s="79"/>
      <c r="T796" s="79"/>
      <c r="Y796" s="79"/>
      <c r="AE796" s="130"/>
      <c r="AG796" s="106"/>
    </row>
    <row r="797">
      <c r="C797" s="79"/>
      <c r="D797" s="79"/>
      <c r="E797" s="79"/>
      <c r="O797" s="79"/>
      <c r="S797" s="79"/>
      <c r="T797" s="79"/>
      <c r="Y797" s="79"/>
      <c r="AE797" s="130"/>
      <c r="AG797" s="106"/>
    </row>
    <row r="798">
      <c r="C798" s="79"/>
      <c r="D798" s="79"/>
      <c r="E798" s="79"/>
      <c r="O798" s="79"/>
      <c r="S798" s="79"/>
      <c r="T798" s="79"/>
      <c r="Y798" s="79"/>
      <c r="AE798" s="130"/>
      <c r="AG798" s="106"/>
    </row>
    <row r="799">
      <c r="C799" s="79"/>
      <c r="D799" s="79"/>
      <c r="E799" s="79"/>
      <c r="O799" s="79"/>
      <c r="S799" s="79"/>
      <c r="T799" s="79"/>
      <c r="Y799" s="79"/>
      <c r="AE799" s="130"/>
      <c r="AG799" s="106"/>
    </row>
    <row r="800">
      <c r="C800" s="79"/>
      <c r="D800" s="79"/>
      <c r="E800" s="79"/>
      <c r="O800" s="79"/>
      <c r="S800" s="79"/>
      <c r="T800" s="79"/>
      <c r="Y800" s="79"/>
      <c r="AE800" s="130"/>
      <c r="AG800" s="106"/>
    </row>
    <row r="801">
      <c r="C801" s="79"/>
      <c r="D801" s="79"/>
      <c r="E801" s="79"/>
      <c r="O801" s="79"/>
      <c r="S801" s="79"/>
      <c r="T801" s="79"/>
      <c r="Y801" s="79"/>
      <c r="AE801" s="130"/>
      <c r="AG801" s="106"/>
    </row>
    <row r="802">
      <c r="C802" s="79"/>
      <c r="D802" s="79"/>
      <c r="E802" s="79"/>
      <c r="O802" s="79"/>
      <c r="S802" s="79"/>
      <c r="T802" s="79"/>
      <c r="Y802" s="79"/>
      <c r="AE802" s="130"/>
      <c r="AG802" s="106"/>
    </row>
    <row r="803">
      <c r="C803" s="79"/>
      <c r="D803" s="79"/>
      <c r="E803" s="79"/>
      <c r="O803" s="79"/>
      <c r="S803" s="79"/>
      <c r="T803" s="79"/>
      <c r="Y803" s="79"/>
      <c r="AE803" s="130"/>
      <c r="AG803" s="106"/>
    </row>
    <row r="804">
      <c r="C804" s="79"/>
      <c r="D804" s="79"/>
      <c r="E804" s="79"/>
      <c r="O804" s="79"/>
      <c r="S804" s="79"/>
      <c r="T804" s="79"/>
      <c r="Y804" s="79"/>
      <c r="AE804" s="130"/>
      <c r="AG804" s="106"/>
    </row>
    <row r="805">
      <c r="C805" s="79"/>
      <c r="D805" s="79"/>
      <c r="E805" s="79"/>
      <c r="O805" s="79"/>
      <c r="S805" s="79"/>
      <c r="T805" s="79"/>
      <c r="Y805" s="79"/>
      <c r="AE805" s="130"/>
      <c r="AG805" s="106"/>
    </row>
    <row r="806">
      <c r="C806" s="79"/>
      <c r="D806" s="79"/>
      <c r="E806" s="79"/>
      <c r="O806" s="79"/>
      <c r="S806" s="79"/>
      <c r="T806" s="79"/>
      <c r="Y806" s="79"/>
      <c r="AE806" s="130"/>
      <c r="AG806" s="106"/>
    </row>
    <row r="807">
      <c r="C807" s="79"/>
      <c r="D807" s="79"/>
      <c r="E807" s="79"/>
      <c r="O807" s="79"/>
      <c r="S807" s="79"/>
      <c r="T807" s="79"/>
      <c r="Y807" s="79"/>
      <c r="AE807" s="130"/>
      <c r="AG807" s="106"/>
    </row>
    <row r="808">
      <c r="C808" s="79"/>
      <c r="D808" s="79"/>
      <c r="E808" s="79"/>
      <c r="O808" s="79"/>
      <c r="S808" s="79"/>
      <c r="T808" s="79"/>
      <c r="Y808" s="79"/>
      <c r="AE808" s="130"/>
      <c r="AG808" s="106"/>
    </row>
    <row r="809">
      <c r="C809" s="79"/>
      <c r="D809" s="79"/>
      <c r="E809" s="79"/>
      <c r="O809" s="79"/>
      <c r="S809" s="79"/>
      <c r="T809" s="79"/>
      <c r="Y809" s="79"/>
      <c r="AE809" s="130"/>
      <c r="AG809" s="106"/>
    </row>
    <row r="810">
      <c r="C810" s="79"/>
      <c r="D810" s="79"/>
      <c r="E810" s="79"/>
      <c r="O810" s="79"/>
      <c r="S810" s="79"/>
      <c r="T810" s="79"/>
      <c r="Y810" s="79"/>
      <c r="AE810" s="130"/>
      <c r="AG810" s="106"/>
    </row>
    <row r="811">
      <c r="C811" s="79"/>
      <c r="D811" s="79"/>
      <c r="E811" s="79"/>
      <c r="O811" s="79"/>
      <c r="S811" s="79"/>
      <c r="T811" s="79"/>
      <c r="Y811" s="79"/>
      <c r="AE811" s="130"/>
      <c r="AG811" s="106"/>
    </row>
    <row r="812">
      <c r="C812" s="79"/>
      <c r="D812" s="79"/>
      <c r="E812" s="79"/>
      <c r="O812" s="79"/>
      <c r="S812" s="79"/>
      <c r="T812" s="79"/>
      <c r="Y812" s="79"/>
      <c r="AE812" s="130"/>
      <c r="AG812" s="106"/>
    </row>
    <row r="813">
      <c r="C813" s="79"/>
      <c r="D813" s="79"/>
      <c r="E813" s="79"/>
      <c r="O813" s="79"/>
      <c r="S813" s="79"/>
      <c r="T813" s="79"/>
      <c r="Y813" s="79"/>
      <c r="AE813" s="130"/>
      <c r="AG813" s="106"/>
    </row>
    <row r="814">
      <c r="C814" s="79"/>
      <c r="D814" s="79"/>
      <c r="E814" s="79"/>
      <c r="O814" s="79"/>
      <c r="S814" s="79"/>
      <c r="T814" s="79"/>
      <c r="Y814" s="79"/>
      <c r="AE814" s="130"/>
      <c r="AG814" s="106"/>
    </row>
    <row r="815">
      <c r="C815" s="79"/>
      <c r="D815" s="79"/>
      <c r="E815" s="79"/>
      <c r="O815" s="79"/>
      <c r="S815" s="79"/>
      <c r="T815" s="79"/>
      <c r="Y815" s="79"/>
      <c r="AE815" s="130"/>
      <c r="AG815" s="106"/>
    </row>
    <row r="816">
      <c r="C816" s="79"/>
      <c r="D816" s="79"/>
      <c r="E816" s="79"/>
      <c r="O816" s="79"/>
      <c r="S816" s="79"/>
      <c r="T816" s="79"/>
      <c r="Y816" s="79"/>
      <c r="AE816" s="130"/>
      <c r="AG816" s="106"/>
    </row>
    <row r="817">
      <c r="C817" s="79"/>
      <c r="D817" s="79"/>
      <c r="E817" s="79"/>
      <c r="O817" s="79"/>
      <c r="S817" s="79"/>
      <c r="T817" s="79"/>
      <c r="Y817" s="79"/>
      <c r="AE817" s="130"/>
      <c r="AG817" s="106"/>
    </row>
    <row r="818">
      <c r="C818" s="79"/>
      <c r="D818" s="79"/>
      <c r="E818" s="79"/>
      <c r="O818" s="79"/>
      <c r="S818" s="79"/>
      <c r="T818" s="79"/>
      <c r="Y818" s="79"/>
      <c r="AE818" s="130"/>
      <c r="AG818" s="106"/>
    </row>
    <row r="819">
      <c r="C819" s="79"/>
      <c r="D819" s="79"/>
      <c r="E819" s="79"/>
      <c r="O819" s="79"/>
      <c r="S819" s="79"/>
      <c r="T819" s="79"/>
      <c r="Y819" s="79"/>
      <c r="AE819" s="130"/>
      <c r="AG819" s="106"/>
    </row>
    <row r="820">
      <c r="C820" s="79"/>
      <c r="D820" s="79"/>
      <c r="E820" s="79"/>
      <c r="O820" s="79"/>
      <c r="S820" s="79"/>
      <c r="T820" s="79"/>
      <c r="Y820" s="79"/>
      <c r="AE820" s="130"/>
      <c r="AG820" s="106"/>
    </row>
    <row r="821">
      <c r="C821" s="79"/>
      <c r="D821" s="79"/>
      <c r="E821" s="79"/>
      <c r="O821" s="79"/>
      <c r="S821" s="79"/>
      <c r="T821" s="79"/>
      <c r="Y821" s="79"/>
      <c r="AE821" s="130"/>
      <c r="AG821" s="106"/>
    </row>
    <row r="822">
      <c r="C822" s="79"/>
      <c r="D822" s="79"/>
      <c r="E822" s="79"/>
      <c r="O822" s="79"/>
      <c r="S822" s="79"/>
      <c r="T822" s="79"/>
      <c r="Y822" s="79"/>
      <c r="AE822" s="130"/>
      <c r="AG822" s="106"/>
    </row>
    <row r="823">
      <c r="C823" s="79"/>
      <c r="D823" s="79"/>
      <c r="E823" s="79"/>
      <c r="O823" s="79"/>
      <c r="S823" s="79"/>
      <c r="T823" s="79"/>
      <c r="Y823" s="79"/>
      <c r="AE823" s="130"/>
      <c r="AG823" s="106"/>
    </row>
    <row r="824">
      <c r="C824" s="79"/>
      <c r="D824" s="79"/>
      <c r="E824" s="79"/>
      <c r="O824" s="79"/>
      <c r="S824" s="79"/>
      <c r="T824" s="79"/>
      <c r="Y824" s="79"/>
      <c r="AE824" s="130"/>
      <c r="AG824" s="106"/>
    </row>
    <row r="825">
      <c r="C825" s="79"/>
      <c r="D825" s="79"/>
      <c r="E825" s="79"/>
      <c r="O825" s="79"/>
      <c r="S825" s="79"/>
      <c r="T825" s="79"/>
      <c r="Y825" s="79"/>
      <c r="AE825" s="130"/>
      <c r="AG825" s="106"/>
    </row>
    <row r="826">
      <c r="C826" s="79"/>
      <c r="D826" s="79"/>
      <c r="E826" s="79"/>
      <c r="O826" s="79"/>
      <c r="S826" s="79"/>
      <c r="T826" s="79"/>
      <c r="Y826" s="79"/>
      <c r="AE826" s="130"/>
      <c r="AG826" s="106"/>
    </row>
    <row r="827">
      <c r="C827" s="79"/>
      <c r="D827" s="79"/>
      <c r="E827" s="79"/>
      <c r="O827" s="79"/>
      <c r="S827" s="79"/>
      <c r="T827" s="79"/>
      <c r="Y827" s="79"/>
      <c r="AE827" s="130"/>
      <c r="AG827" s="106"/>
    </row>
    <row r="828">
      <c r="C828" s="79"/>
      <c r="D828" s="79"/>
      <c r="E828" s="79"/>
      <c r="O828" s="79"/>
      <c r="S828" s="79"/>
      <c r="T828" s="79"/>
      <c r="Y828" s="79"/>
      <c r="AE828" s="130"/>
      <c r="AG828" s="106"/>
    </row>
    <row r="829">
      <c r="C829" s="79"/>
      <c r="D829" s="79"/>
      <c r="E829" s="79"/>
      <c r="O829" s="79"/>
      <c r="S829" s="79"/>
      <c r="T829" s="79"/>
      <c r="Y829" s="79"/>
      <c r="AE829" s="130"/>
      <c r="AG829" s="106"/>
    </row>
    <row r="830">
      <c r="C830" s="79"/>
      <c r="D830" s="79"/>
      <c r="E830" s="79"/>
      <c r="O830" s="79"/>
      <c r="S830" s="79"/>
      <c r="T830" s="79"/>
      <c r="Y830" s="79"/>
      <c r="AE830" s="130"/>
      <c r="AG830" s="106"/>
    </row>
    <row r="831">
      <c r="C831" s="79"/>
      <c r="D831" s="79"/>
      <c r="E831" s="79"/>
      <c r="O831" s="79"/>
      <c r="S831" s="79"/>
      <c r="T831" s="79"/>
      <c r="Y831" s="79"/>
      <c r="AE831" s="130"/>
      <c r="AG831" s="106"/>
    </row>
    <row r="832">
      <c r="C832" s="79"/>
      <c r="D832" s="79"/>
      <c r="E832" s="79"/>
      <c r="O832" s="79"/>
      <c r="S832" s="79"/>
      <c r="T832" s="79"/>
      <c r="Y832" s="79"/>
      <c r="AE832" s="130"/>
      <c r="AG832" s="106"/>
    </row>
    <row r="833">
      <c r="C833" s="79"/>
      <c r="D833" s="79"/>
      <c r="E833" s="79"/>
      <c r="O833" s="79"/>
      <c r="S833" s="79"/>
      <c r="T833" s="79"/>
      <c r="Y833" s="79"/>
      <c r="AE833" s="130"/>
      <c r="AG833" s="106"/>
    </row>
    <row r="834">
      <c r="C834" s="79"/>
      <c r="D834" s="79"/>
      <c r="E834" s="79"/>
      <c r="O834" s="79"/>
      <c r="S834" s="79"/>
      <c r="T834" s="79"/>
      <c r="Y834" s="79"/>
      <c r="AE834" s="130"/>
      <c r="AG834" s="106"/>
    </row>
    <row r="835">
      <c r="C835" s="79"/>
      <c r="D835" s="79"/>
      <c r="E835" s="79"/>
      <c r="O835" s="79"/>
      <c r="S835" s="79"/>
      <c r="T835" s="79"/>
      <c r="Y835" s="79"/>
      <c r="AE835" s="130"/>
      <c r="AG835" s="106"/>
    </row>
    <row r="836">
      <c r="C836" s="79"/>
      <c r="D836" s="79"/>
      <c r="E836" s="79"/>
      <c r="O836" s="79"/>
      <c r="S836" s="79"/>
      <c r="T836" s="79"/>
      <c r="Y836" s="79"/>
      <c r="AE836" s="130"/>
      <c r="AG836" s="106"/>
    </row>
    <row r="837">
      <c r="C837" s="79"/>
      <c r="D837" s="79"/>
      <c r="E837" s="79"/>
      <c r="O837" s="79"/>
      <c r="S837" s="79"/>
      <c r="T837" s="79"/>
      <c r="Y837" s="79"/>
      <c r="AE837" s="130"/>
      <c r="AG837" s="106"/>
    </row>
    <row r="838">
      <c r="C838" s="79"/>
      <c r="D838" s="79"/>
      <c r="E838" s="79"/>
      <c r="O838" s="79"/>
      <c r="S838" s="79"/>
      <c r="T838" s="79"/>
      <c r="Y838" s="79"/>
      <c r="AE838" s="130"/>
      <c r="AG838" s="106"/>
    </row>
    <row r="839">
      <c r="O839" s="79"/>
      <c r="S839" s="79"/>
      <c r="T839" s="79"/>
      <c r="Y839" s="79"/>
      <c r="AE839" s="130"/>
      <c r="AG839" s="106"/>
    </row>
    <row r="840">
      <c r="O840" s="79"/>
      <c r="S840" s="79"/>
      <c r="T840" s="79"/>
      <c r="Y840" s="79"/>
      <c r="AE840" s="130"/>
      <c r="AG840" s="106"/>
    </row>
    <row r="841">
      <c r="O841" s="79"/>
      <c r="S841" s="79"/>
      <c r="T841" s="79"/>
      <c r="Y841" s="79"/>
      <c r="AE841" s="130"/>
      <c r="AG841" s="106"/>
    </row>
    <row r="842">
      <c r="O842" s="79"/>
      <c r="S842" s="79"/>
      <c r="T842" s="79"/>
      <c r="Y842" s="79"/>
      <c r="AE842" s="130"/>
      <c r="AG842" s="106"/>
    </row>
    <row r="843">
      <c r="O843" s="79"/>
      <c r="S843" s="79"/>
      <c r="T843" s="79"/>
      <c r="Y843" s="79"/>
      <c r="AE843" s="130"/>
      <c r="AG843" s="106"/>
    </row>
    <row r="844">
      <c r="O844" s="79"/>
      <c r="S844" s="79"/>
      <c r="T844" s="79"/>
      <c r="Y844" s="79"/>
      <c r="AE844" s="130"/>
      <c r="AG844" s="106"/>
    </row>
    <row r="845">
      <c r="O845" s="79"/>
      <c r="S845" s="79"/>
      <c r="T845" s="79"/>
      <c r="Y845" s="79"/>
      <c r="AE845" s="130"/>
      <c r="AG845" s="106"/>
    </row>
    <row r="846">
      <c r="O846" s="79"/>
      <c r="S846" s="79"/>
      <c r="T846" s="79"/>
      <c r="Y846" s="79"/>
      <c r="AE846" s="130"/>
      <c r="AG846" s="106"/>
    </row>
    <row r="847">
      <c r="O847" s="79"/>
      <c r="S847" s="79"/>
      <c r="T847" s="79"/>
      <c r="Y847" s="79"/>
      <c r="AE847" s="130"/>
      <c r="AG847" s="106"/>
    </row>
    <row r="848">
      <c r="O848" s="79"/>
      <c r="S848" s="79"/>
      <c r="T848" s="79"/>
      <c r="Y848" s="79"/>
      <c r="AE848" s="130"/>
      <c r="AG848" s="106"/>
    </row>
    <row r="849">
      <c r="O849" s="79"/>
      <c r="S849" s="79"/>
      <c r="T849" s="79"/>
      <c r="Y849" s="79"/>
      <c r="AE849" s="130"/>
      <c r="AG849" s="106"/>
    </row>
    <row r="850">
      <c r="O850" s="79"/>
      <c r="S850" s="79"/>
      <c r="T850" s="79"/>
      <c r="Y850" s="79"/>
      <c r="AE850" s="130"/>
      <c r="AG850" s="106"/>
    </row>
    <row r="851">
      <c r="O851" s="79"/>
      <c r="S851" s="79"/>
      <c r="T851" s="79"/>
      <c r="Y851" s="79"/>
      <c r="AE851" s="130"/>
      <c r="AG851" s="106"/>
    </row>
  </sheetData>
  <autoFilter ref="$A$34:$F$95">
    <sortState ref="A34:F95">
      <sortCondition descending="1" sortBy="cellColor" ref="E34:E95" dxfId="1"/>
      <sortCondition descending="1" sortBy="cellColor" ref="C34:C95" dxfId="1"/>
      <sortCondition descending="1" sortBy="cellColor" ref="A34:A95" dxfId="1"/>
    </sortState>
  </autoFilter>
  <mergeCells count="1">
    <mergeCell ref="B31:E31"/>
  </mergeCells>
  <conditionalFormatting sqref="H35:H47">
    <cfRule type="cellIs" dxfId="2" priority="1" operator="greaterThanOrEqual">
      <formula>1</formula>
    </cfRule>
  </conditionalFormatting>
  <conditionalFormatting sqref="H35:H47">
    <cfRule type="cellIs" dxfId="3" priority="2" operator="lessThanOrEqual">
      <formula>0</formula>
    </cfRule>
  </conditionalFormatting>
  <drawing r:id="rId2"/>
  <legacyDrawing r:id="rId3"/>
  <tableParts count="1">
    <tablePart r:id="rId5"/>
  </tableParts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3" max="3" width="17.38"/>
    <col customWidth="1" min="4" max="4" width="25.75"/>
    <col customWidth="1" min="5" max="5" width="20.88"/>
    <col customWidth="1" min="6" max="6" width="15.5"/>
    <col customWidth="1" min="7" max="7" width="25.13"/>
    <col customWidth="1" min="8" max="8" width="24.0"/>
    <col customWidth="1" min="9" max="10" width="15.5"/>
    <col customWidth="1" min="11" max="11" width="16.5"/>
    <col customWidth="1" min="12" max="13" width="15.5"/>
    <col customWidth="1" min="15" max="15" width="27.38"/>
    <col customWidth="1" min="17" max="17" width="11.13"/>
    <col customWidth="1" min="26" max="26" width="14.63"/>
    <col customWidth="1" min="33" max="33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4</v>
      </c>
      <c r="J1" s="2" t="s">
        <v>5</v>
      </c>
      <c r="K1" s="2" t="s">
        <v>303</v>
      </c>
      <c r="L1" s="2" t="s">
        <v>6</v>
      </c>
      <c r="M1" s="2" t="s">
        <v>12</v>
      </c>
      <c r="N1" s="2" t="s">
        <v>49</v>
      </c>
      <c r="O1" s="105" t="s">
        <v>304</v>
      </c>
      <c r="P1" s="2" t="s">
        <v>37</v>
      </c>
      <c r="Q1" s="2" t="s">
        <v>10</v>
      </c>
      <c r="R1" s="2" t="s">
        <v>42</v>
      </c>
      <c r="S1" s="105" t="s">
        <v>656</v>
      </c>
      <c r="T1" s="105" t="s">
        <v>9</v>
      </c>
      <c r="U1" s="2" t="s">
        <v>164</v>
      </c>
      <c r="V1" s="105" t="s">
        <v>40</v>
      </c>
      <c r="W1" s="2" t="s">
        <v>83</v>
      </c>
      <c r="X1" s="2" t="s">
        <v>204</v>
      </c>
      <c r="Y1" s="105" t="s">
        <v>205</v>
      </c>
      <c r="Z1" s="2" t="s">
        <v>206</v>
      </c>
      <c r="AA1" s="2" t="s">
        <v>305</v>
      </c>
      <c r="AB1" s="3" t="s">
        <v>760</v>
      </c>
      <c r="AC1" s="3" t="s">
        <v>828</v>
      </c>
      <c r="AD1" s="3" t="s">
        <v>13</v>
      </c>
      <c r="AE1" s="3" t="s">
        <v>14</v>
      </c>
      <c r="AF1" s="3" t="s">
        <v>15</v>
      </c>
      <c r="AG1" s="106"/>
      <c r="AH1" s="265" t="s">
        <v>306</v>
      </c>
      <c r="AI1" s="266" t="s">
        <v>80</v>
      </c>
    </row>
    <row r="2">
      <c r="A2" s="74">
        <v>45635.0</v>
      </c>
      <c r="B2" s="79"/>
      <c r="C2" s="93"/>
      <c r="D2" s="93"/>
      <c r="E2" s="93"/>
      <c r="F2" s="93"/>
      <c r="G2" s="93">
        <v>180.0</v>
      </c>
      <c r="H2" s="93"/>
      <c r="I2" s="93"/>
      <c r="J2" s="374"/>
      <c r="K2" s="93"/>
      <c r="L2" s="93"/>
      <c r="M2" s="93"/>
      <c r="N2" s="93"/>
      <c r="O2" s="93"/>
      <c r="P2" s="72"/>
      <c r="Q2" s="93"/>
      <c r="R2" s="93"/>
      <c r="S2" s="93"/>
      <c r="T2" s="93"/>
      <c r="U2" s="93"/>
      <c r="V2" s="93"/>
      <c r="W2" s="93"/>
      <c r="X2" s="93"/>
      <c r="Y2" s="93"/>
      <c r="Z2" s="93"/>
      <c r="AA2" s="386"/>
      <c r="AB2" s="326"/>
      <c r="AC2" s="386"/>
      <c r="AD2" s="171">
        <f>SUM(B2:AA2)</f>
        <v>180</v>
      </c>
      <c r="AE2" s="158">
        <v>0.0</v>
      </c>
      <c r="AF2" s="59" t="str">
        <f t="shared" ref="AF2:AF8" si="1">AD2/AE2</f>
        <v>#DIV/0!</v>
      </c>
      <c r="AG2" s="109">
        <f t="shared" ref="AG2:AG8" si="2">A2</f>
        <v>45635</v>
      </c>
      <c r="AH2" s="267"/>
      <c r="AI2" s="268">
        <f t="shared" ref="AI2:AI8" si="3">AE2-AH2</f>
        <v>0</v>
      </c>
    </row>
    <row r="3">
      <c r="A3" s="74">
        <f t="shared" ref="A3:A8" si="4">A2+1</f>
        <v>45636</v>
      </c>
      <c r="B3" s="93">
        <f>206.48-64.98+2645.66-380.13-62.99-27.41-37.22-19.89+32.11</f>
        <v>2291.63</v>
      </c>
      <c r="C3" s="93">
        <f>607.9-50.5-69</f>
        <v>488.4</v>
      </c>
      <c r="D3" s="93">
        <v>681.5</v>
      </c>
      <c r="E3" s="93"/>
      <c r="F3" s="93"/>
      <c r="G3" s="93"/>
      <c r="H3" s="168"/>
      <c r="I3" s="93"/>
      <c r="J3" s="93">
        <v>859.2</v>
      </c>
      <c r="K3" s="93"/>
      <c r="L3" s="93"/>
      <c r="M3" s="93"/>
      <c r="N3" s="93"/>
      <c r="O3" s="93"/>
      <c r="P3" s="93"/>
      <c r="Q3" s="93">
        <v>180.8</v>
      </c>
      <c r="R3" s="93"/>
      <c r="S3" s="93"/>
      <c r="T3" s="93"/>
      <c r="U3" s="93"/>
      <c r="V3" s="93"/>
      <c r="W3" s="93"/>
      <c r="X3" s="93"/>
      <c r="Y3" s="93"/>
      <c r="Z3" s="93"/>
      <c r="AA3" s="326"/>
      <c r="AB3" s="326"/>
      <c r="AC3" s="326"/>
      <c r="AD3" s="107">
        <f t="shared" ref="AD3:AD8" si="5">SUM(B3:Z3)</f>
        <v>4501.53</v>
      </c>
      <c r="AE3" s="158">
        <v>10438.0</v>
      </c>
      <c r="AF3" s="59">
        <f t="shared" si="1"/>
        <v>0.431263652</v>
      </c>
      <c r="AG3" s="109">
        <f t="shared" si="2"/>
        <v>45636</v>
      </c>
      <c r="AH3" s="267"/>
      <c r="AI3" s="268">
        <f t="shared" si="3"/>
        <v>10438</v>
      </c>
    </row>
    <row r="4">
      <c r="A4" s="74">
        <f t="shared" si="4"/>
        <v>45637</v>
      </c>
      <c r="B4" s="93">
        <f>382.88-45.65-46.45-11.28-16.7-19.42-19.89-15.58-14.47-56.2-60.2</f>
        <v>77.04</v>
      </c>
      <c r="C4" s="93">
        <v>313.3</v>
      </c>
      <c r="D4" s="93">
        <f>690.45+83.25</f>
        <v>773.7</v>
      </c>
      <c r="E4" s="93"/>
      <c r="F4" s="93"/>
      <c r="G4" s="93">
        <v>340.0</v>
      </c>
      <c r="H4" s="168"/>
      <c r="I4" s="93"/>
      <c r="J4" s="93"/>
      <c r="K4" s="93"/>
      <c r="L4" s="93"/>
      <c r="M4" s="93"/>
      <c r="N4" s="93">
        <f>636-78-72</f>
        <v>486</v>
      </c>
      <c r="O4" s="93"/>
      <c r="P4" s="160"/>
      <c r="Q4" s="93"/>
      <c r="R4" s="93"/>
      <c r="S4" s="93"/>
      <c r="T4" s="93"/>
      <c r="U4" s="93"/>
      <c r="V4" s="93"/>
      <c r="W4" s="93"/>
      <c r="X4" s="93"/>
      <c r="Y4" s="93"/>
      <c r="Z4" s="101"/>
      <c r="AA4" s="326"/>
      <c r="AB4" s="326"/>
      <c r="AC4" s="326"/>
      <c r="AD4" s="107">
        <f t="shared" si="5"/>
        <v>1990.04</v>
      </c>
      <c r="AE4" s="158">
        <v>9945.0</v>
      </c>
      <c r="AF4" s="59">
        <f t="shared" si="1"/>
        <v>0.2001045752</v>
      </c>
      <c r="AG4" s="109">
        <f t="shared" si="2"/>
        <v>45637</v>
      </c>
      <c r="AH4" s="267"/>
      <c r="AI4" s="268">
        <f t="shared" si="3"/>
        <v>9945</v>
      </c>
    </row>
    <row r="5">
      <c r="A5" s="74">
        <f t="shared" si="4"/>
        <v>45638</v>
      </c>
      <c r="B5" s="93">
        <f>885.83-169.56-65.69-111.42-27.41-31.77-21.02-18.38-17.01-28.83-4.32</f>
        <v>390.42</v>
      </c>
      <c r="C5" s="250">
        <v>212.67</v>
      </c>
      <c r="D5" s="93">
        <v>316.25</v>
      </c>
      <c r="E5" s="93"/>
      <c r="F5" s="166">
        <v>334.9</v>
      </c>
      <c r="G5" s="93"/>
      <c r="H5" s="160"/>
      <c r="I5" s="93"/>
      <c r="J5" s="93">
        <f>1277.6-198</f>
        <v>1079.6</v>
      </c>
      <c r="K5" s="93"/>
      <c r="L5" s="93"/>
      <c r="M5" s="93"/>
      <c r="N5" s="93"/>
      <c r="O5" s="93"/>
      <c r="P5" s="93"/>
      <c r="Q5" s="93">
        <v>311.7</v>
      </c>
      <c r="R5" s="93"/>
      <c r="S5" s="101"/>
      <c r="T5" s="93"/>
      <c r="U5" s="93"/>
      <c r="V5" s="93"/>
      <c r="W5" s="93"/>
      <c r="X5" s="93"/>
      <c r="Y5" s="101"/>
      <c r="Z5" s="101"/>
      <c r="AA5" s="327"/>
      <c r="AB5" s="327"/>
      <c r="AC5" s="327"/>
      <c r="AD5" s="7">
        <f t="shared" si="5"/>
        <v>2645.54</v>
      </c>
      <c r="AE5" s="380">
        <v>10955.0</v>
      </c>
      <c r="AF5" s="59">
        <f t="shared" si="1"/>
        <v>0.2414915564</v>
      </c>
      <c r="AG5" s="109">
        <f t="shared" si="2"/>
        <v>45638</v>
      </c>
      <c r="AH5" s="267"/>
      <c r="AI5" s="268">
        <f t="shared" si="3"/>
        <v>10955</v>
      </c>
    </row>
    <row r="6">
      <c r="A6" s="74">
        <f t="shared" si="4"/>
        <v>45639</v>
      </c>
      <c r="B6" s="93">
        <f>524.82-24.37-14.14-19.82-5.42-44.21-18.38-70.05-52.86-12.95-13</f>
        <v>249.62</v>
      </c>
      <c r="C6" s="361"/>
      <c r="D6" s="93">
        <v>106.6</v>
      </c>
      <c r="E6" s="250">
        <v>100.0</v>
      </c>
      <c r="F6" s="93"/>
      <c r="G6" s="93">
        <v>180.0</v>
      </c>
      <c r="H6" s="160"/>
      <c r="I6" s="93"/>
      <c r="J6" s="93"/>
      <c r="K6" s="93"/>
      <c r="L6" s="93"/>
      <c r="M6" s="93"/>
      <c r="N6" s="93"/>
      <c r="O6" s="93"/>
      <c r="P6" s="93"/>
      <c r="Q6" s="93">
        <v>91.9</v>
      </c>
      <c r="R6" s="93"/>
      <c r="S6" s="93"/>
      <c r="T6" s="374"/>
      <c r="U6" s="93"/>
      <c r="V6" s="93"/>
      <c r="W6" s="93"/>
      <c r="X6" s="93"/>
      <c r="Y6" s="93"/>
      <c r="Z6" s="93"/>
      <c r="AA6" s="327"/>
      <c r="AB6" s="327"/>
      <c r="AC6" s="327"/>
      <c r="AD6" s="7">
        <f t="shared" si="5"/>
        <v>728.12</v>
      </c>
      <c r="AE6" s="380">
        <v>11551.0</v>
      </c>
      <c r="AF6" s="59">
        <f t="shared" si="1"/>
        <v>0.06303523504</v>
      </c>
      <c r="AG6" s="109">
        <f t="shared" si="2"/>
        <v>45639</v>
      </c>
      <c r="AH6" s="267"/>
      <c r="AI6" s="268">
        <f t="shared" si="3"/>
        <v>11551</v>
      </c>
    </row>
    <row r="7">
      <c r="A7" s="74">
        <f t="shared" si="4"/>
        <v>45640</v>
      </c>
      <c r="B7" s="93">
        <f>504.79-16.26-16.19-34.36-13.26-49.7-87.36</f>
        <v>287.66</v>
      </c>
      <c r="C7" s="79">
        <f>186.19-61</f>
        <v>125.19</v>
      </c>
      <c r="D7" s="180">
        <f>+1232.18</f>
        <v>1232.18</v>
      </c>
      <c r="E7" s="79"/>
      <c r="F7" s="93"/>
      <c r="G7" s="93">
        <v>270.0</v>
      </c>
      <c r="H7" s="93"/>
      <c r="I7" s="93"/>
      <c r="J7" s="93"/>
      <c r="K7" s="93"/>
      <c r="L7" s="93"/>
      <c r="M7" s="93"/>
      <c r="N7" s="93"/>
      <c r="O7" s="93"/>
      <c r="P7" s="402"/>
      <c r="Q7" s="93"/>
      <c r="R7" s="93"/>
      <c r="S7" s="101"/>
      <c r="T7" s="93"/>
      <c r="U7" s="93"/>
      <c r="V7" s="93"/>
      <c r="W7" s="93"/>
      <c r="X7" s="93"/>
      <c r="Y7" s="101"/>
      <c r="Z7" s="93"/>
      <c r="AA7" s="327"/>
      <c r="AB7" s="327"/>
      <c r="AC7" s="327"/>
      <c r="AD7" s="7">
        <f t="shared" si="5"/>
        <v>1915.03</v>
      </c>
      <c r="AE7" s="380">
        <v>12765.0</v>
      </c>
      <c r="AF7" s="59">
        <f t="shared" si="1"/>
        <v>0.150021935</v>
      </c>
      <c r="AG7" s="109">
        <f t="shared" si="2"/>
        <v>45640</v>
      </c>
      <c r="AH7" s="267"/>
      <c r="AI7" s="268">
        <f t="shared" si="3"/>
        <v>12765</v>
      </c>
    </row>
    <row r="8">
      <c r="A8" s="74">
        <f t="shared" si="4"/>
        <v>45641</v>
      </c>
      <c r="B8" s="93"/>
      <c r="C8" s="374"/>
      <c r="D8" s="344">
        <f>330.05+990.15+330.05+330.05+330.05</f>
        <v>2310.35</v>
      </c>
      <c r="E8" s="374"/>
      <c r="F8" s="374"/>
      <c r="G8" s="112"/>
      <c r="H8" s="180">
        <v>1526.0</v>
      </c>
      <c r="I8" s="374"/>
      <c r="J8" s="402"/>
      <c r="K8" s="93"/>
      <c r="L8" s="112"/>
      <c r="M8" s="112"/>
      <c r="N8" s="93"/>
      <c r="O8" s="93"/>
      <c r="P8" s="93"/>
      <c r="Q8" s="93"/>
      <c r="R8" s="374"/>
      <c r="S8" s="101"/>
      <c r="T8" s="374"/>
      <c r="U8" s="374"/>
      <c r="V8" s="112"/>
      <c r="W8" s="112"/>
      <c r="X8" s="112"/>
      <c r="Y8" s="112"/>
      <c r="Z8" s="112"/>
      <c r="AA8" s="250">
        <v>486.0</v>
      </c>
      <c r="AB8" s="616"/>
      <c r="AC8" s="616"/>
      <c r="AD8" s="7">
        <f t="shared" si="5"/>
        <v>3836.35</v>
      </c>
      <c r="AE8" s="380">
        <v>0.0</v>
      </c>
      <c r="AF8" s="59" t="str">
        <f t="shared" si="1"/>
        <v>#DIV/0!</v>
      </c>
      <c r="AG8" s="109">
        <f t="shared" si="2"/>
        <v>45641</v>
      </c>
      <c r="AH8" s="267"/>
      <c r="AI8" s="268">
        <f t="shared" si="3"/>
        <v>0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E9" s="129"/>
      <c r="AG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AE10" s="129"/>
      <c r="AG10" s="106"/>
    </row>
    <row r="11">
      <c r="A11" s="165" t="s">
        <v>194</v>
      </c>
      <c r="B11" s="93">
        <f>64.98+27.41+27.41+31.77+17.01+28.83+4.32</f>
        <v>201.73</v>
      </c>
      <c r="C11" s="93"/>
      <c r="D11" s="93"/>
      <c r="E11" s="167"/>
      <c r="F11" s="168"/>
      <c r="G11" s="168"/>
      <c r="H11" s="166"/>
      <c r="I11" s="166"/>
      <c r="J11" s="93"/>
      <c r="K11" s="168"/>
      <c r="L11" s="93"/>
      <c r="M11" s="93"/>
      <c r="N11" s="93"/>
      <c r="O11" s="168"/>
      <c r="P11" s="168"/>
      <c r="Q11" s="168"/>
      <c r="R11" s="168"/>
      <c r="S11" s="168"/>
      <c r="T11" s="168"/>
      <c r="U11" s="168"/>
      <c r="V11" s="168"/>
      <c r="W11" s="1"/>
      <c r="X11" s="168"/>
      <c r="Y11" s="168"/>
      <c r="Z11" s="1"/>
      <c r="AA11" s="1"/>
      <c r="AB11" s="1"/>
      <c r="AC11" s="1"/>
      <c r="AD11" s="1"/>
      <c r="AE11" s="169"/>
      <c r="AF11" s="1"/>
      <c r="AG11" s="170"/>
    </row>
    <row r="12">
      <c r="A12" s="165" t="s">
        <v>195</v>
      </c>
      <c r="B12" s="93">
        <f>380.13+62.99+37.22+19.89+69.68+169.56+65.69+111.42+21.02+18.38+24.37+14.14+19.82+5.42+44.21+18.38+70.05+52.86+12.95+13</f>
        <v>1231.18</v>
      </c>
      <c r="C12" s="587">
        <f>50.5+69+30+43+111.02+58.65+196.67</f>
        <v>558.84</v>
      </c>
      <c r="D12" s="93">
        <f>366.52+70.56</f>
        <v>437.08</v>
      </c>
      <c r="E12" s="93"/>
      <c r="F12" s="374"/>
      <c r="G12" s="93"/>
      <c r="H12" s="93"/>
      <c r="I12" s="93"/>
      <c r="J12" s="93">
        <v>198.0</v>
      </c>
      <c r="K12" s="79"/>
      <c r="L12" s="93"/>
      <c r="M12" s="93"/>
      <c r="N12" s="93">
        <f>78+72+150</f>
        <v>300</v>
      </c>
      <c r="O12" s="168"/>
      <c r="P12" s="168"/>
      <c r="Q12" s="166"/>
      <c r="R12" s="166"/>
      <c r="S12" s="93"/>
      <c r="T12" s="166"/>
      <c r="U12" s="168"/>
      <c r="V12" s="168"/>
      <c r="W12" s="1"/>
      <c r="X12" s="93"/>
      <c r="Y12" s="168"/>
      <c r="Z12" s="1"/>
      <c r="AA12" s="1"/>
      <c r="AB12" s="192"/>
      <c r="AC12" s="1"/>
      <c r="AD12" s="1"/>
      <c r="AE12" s="171"/>
      <c r="AF12" s="1"/>
      <c r="AG12" s="170"/>
    </row>
    <row r="13" hidden="1">
      <c r="A13" s="172" t="s">
        <v>817</v>
      </c>
      <c r="B13" s="93"/>
      <c r="C13" s="93"/>
      <c r="D13" s="93"/>
      <c r="E13" s="93"/>
      <c r="F13" s="374"/>
      <c r="G13" s="93"/>
      <c r="H13" s="93"/>
      <c r="I13" s="93"/>
      <c r="J13" s="93"/>
      <c r="K13" s="374"/>
      <c r="L13" s="93"/>
      <c r="M13" s="93"/>
      <c r="N13" s="93"/>
      <c r="O13" s="166"/>
      <c r="P13" s="168"/>
      <c r="Q13" s="93"/>
      <c r="R13" s="166"/>
      <c r="S13" s="168"/>
      <c r="T13" s="166"/>
      <c r="U13" s="93"/>
      <c r="V13" s="168"/>
      <c r="W13" s="1"/>
      <c r="X13" s="93"/>
      <c r="Y13" s="168"/>
      <c r="Z13" s="1"/>
      <c r="AA13" s="1"/>
      <c r="AB13" s="1"/>
      <c r="AC13" s="1"/>
      <c r="AD13" s="1"/>
      <c r="AE13" s="171"/>
      <c r="AF13" s="1"/>
      <c r="AG13" s="170"/>
    </row>
    <row r="14">
      <c r="A14" s="165" t="s">
        <v>198</v>
      </c>
      <c r="B14" s="93">
        <v>60.2</v>
      </c>
      <c r="C14" s="348">
        <v>61.0</v>
      </c>
      <c r="D14" s="93"/>
      <c r="E14" s="168"/>
      <c r="F14" s="166"/>
      <c r="G14" s="166"/>
      <c r="H14" s="168"/>
      <c r="I14" s="168"/>
      <c r="J14" s="93"/>
      <c r="K14" s="168"/>
      <c r="L14" s="168"/>
      <c r="M14" s="168"/>
      <c r="N14" s="93"/>
      <c r="O14" s="168"/>
      <c r="P14" s="168"/>
      <c r="Q14" s="166"/>
      <c r="R14" s="168"/>
      <c r="S14" s="168"/>
      <c r="T14" s="168"/>
      <c r="U14" s="1"/>
      <c r="V14" s="1"/>
      <c r="W14" s="1"/>
      <c r="X14" s="168"/>
      <c r="Y14" s="168"/>
      <c r="Z14" s="1"/>
      <c r="AA14" s="1"/>
      <c r="AB14" s="1"/>
      <c r="AC14" s="1"/>
      <c r="AD14" s="1"/>
      <c r="AE14" s="174"/>
      <c r="AF14" s="1"/>
      <c r="AG14" s="170"/>
    </row>
    <row r="15">
      <c r="A15" s="91"/>
      <c r="B15" s="375"/>
      <c r="C15" s="79"/>
      <c r="D15" s="79"/>
      <c r="E15" s="79"/>
      <c r="F15" s="78"/>
      <c r="G15" s="78"/>
      <c r="H15" s="79"/>
      <c r="I15" s="78"/>
      <c r="J15" s="79"/>
      <c r="K15" s="79"/>
      <c r="L15" s="79"/>
      <c r="M15" s="79"/>
      <c r="N15" s="79"/>
      <c r="O15" s="79"/>
      <c r="R15" s="79"/>
      <c r="S15" s="79"/>
      <c r="T15" s="198"/>
      <c r="U15" s="198"/>
      <c r="Y15" s="79"/>
      <c r="AE15" s="131"/>
      <c r="AG15" s="106"/>
    </row>
    <row r="16">
      <c r="A16" s="91"/>
      <c r="B16" s="375"/>
      <c r="C16" s="79"/>
      <c r="D16" s="78"/>
      <c r="E16" s="78"/>
      <c r="F16" s="205"/>
      <c r="G16" s="351"/>
      <c r="H16" s="192"/>
      <c r="I16" s="198"/>
      <c r="J16" s="201"/>
      <c r="K16" s="199"/>
      <c r="L16" s="199"/>
      <c r="M16" s="200"/>
      <c r="N16" s="202"/>
      <c r="O16" s="198"/>
      <c r="R16" s="198"/>
      <c r="S16" s="79"/>
      <c r="T16" s="198"/>
      <c r="U16" s="198"/>
      <c r="V16" s="198"/>
      <c r="W16" s="198"/>
      <c r="X16" s="199"/>
      <c r="Y16" s="79"/>
      <c r="AE16" s="131"/>
      <c r="AG16" s="106"/>
    </row>
    <row r="17">
      <c r="A17" s="4" t="s">
        <v>22</v>
      </c>
      <c r="B17" s="11">
        <v>14000.0</v>
      </c>
      <c r="C17" s="79"/>
      <c r="D17" s="78"/>
      <c r="E17" s="78"/>
      <c r="F17" s="587"/>
      <c r="G17" s="388"/>
      <c r="H17" s="192"/>
      <c r="I17" s="203"/>
      <c r="J17" s="203"/>
      <c r="K17" s="203"/>
      <c r="L17" s="203"/>
      <c r="M17" s="198"/>
      <c r="N17" s="200"/>
      <c r="O17" s="198"/>
      <c r="P17" s="204"/>
      <c r="R17" s="203"/>
      <c r="S17" s="427"/>
      <c r="T17" s="201"/>
      <c r="U17" s="198"/>
      <c r="V17" s="198"/>
      <c r="W17" s="198"/>
      <c r="X17" s="201"/>
      <c r="Y17" s="79"/>
      <c r="AE17" s="131"/>
      <c r="AG17" s="106"/>
    </row>
    <row r="18">
      <c r="A18" s="4" t="s">
        <v>23</v>
      </c>
      <c r="B18" s="11">
        <f>SUM(B2:AC8)</f>
        <v>16282.61</v>
      </c>
      <c r="C18" s="192"/>
      <c r="D18" s="78"/>
      <c r="E18" s="78"/>
      <c r="F18" s="213"/>
      <c r="G18" s="224"/>
      <c r="H18" s="38"/>
      <c r="I18" s="175"/>
      <c r="J18" s="203"/>
      <c r="K18" s="203"/>
      <c r="L18" s="203"/>
      <c r="M18" s="201"/>
      <c r="N18" s="201"/>
      <c r="O18" s="198"/>
      <c r="P18" s="204"/>
      <c r="R18" s="203"/>
      <c r="S18" s="79"/>
      <c r="T18" s="201"/>
      <c r="U18" s="201"/>
      <c r="V18" s="198"/>
      <c r="W18" s="198"/>
      <c r="X18" s="191"/>
      <c r="Y18" s="79"/>
      <c r="AE18" s="131"/>
      <c r="AG18" s="106"/>
    </row>
    <row r="19">
      <c r="A19" s="4" t="s">
        <v>24</v>
      </c>
      <c r="B19" s="11">
        <f> SUM(B17-B18)</f>
        <v>-2282.61</v>
      </c>
      <c r="C19" s="79"/>
      <c r="D19" s="78"/>
      <c r="E19" s="151"/>
      <c r="F19" s="198"/>
      <c r="G19" s="224"/>
      <c r="H19" s="224"/>
      <c r="I19" s="203"/>
      <c r="J19" s="203"/>
      <c r="K19" s="203"/>
      <c r="L19" s="203"/>
      <c r="M19" s="201"/>
      <c r="N19" s="200"/>
      <c r="O19" s="198"/>
      <c r="P19" s="204"/>
      <c r="R19" s="203"/>
      <c r="S19" s="79"/>
      <c r="T19" s="210"/>
      <c r="U19" s="210"/>
      <c r="V19" s="198"/>
      <c r="W19" s="198"/>
      <c r="X19" s="203"/>
      <c r="Y19" s="79"/>
      <c r="AE19" s="131"/>
      <c r="AG19" s="106"/>
    </row>
    <row r="20">
      <c r="C20" s="79"/>
      <c r="E20" s="588" t="s">
        <v>195</v>
      </c>
      <c r="F20" s="198"/>
      <c r="G20" s="388"/>
      <c r="H20" s="224"/>
      <c r="I20" s="345"/>
      <c r="J20" s="203"/>
      <c r="K20" s="203"/>
      <c r="L20" s="203"/>
      <c r="N20" s="198"/>
      <c r="O20" s="198"/>
      <c r="P20" s="204"/>
      <c r="R20" s="203"/>
      <c r="S20" s="79"/>
      <c r="T20" s="198"/>
      <c r="U20" s="428"/>
      <c r="V20" s="198"/>
      <c r="W20" s="201"/>
      <c r="X20" s="203"/>
      <c r="Y20" s="79"/>
      <c r="AE20" s="131"/>
      <c r="AG20" s="106"/>
    </row>
    <row r="21">
      <c r="A21" s="13" t="s">
        <v>25</v>
      </c>
      <c r="B21" s="14">
        <f>SUM(AE2:AE8)</f>
        <v>55654</v>
      </c>
      <c r="C21" s="79"/>
      <c r="D21" s="13" t="s">
        <v>724</v>
      </c>
      <c r="E21" s="445">
        <f>sum(B12:AB13)+2118</f>
        <v>4843.1</v>
      </c>
      <c r="F21" s="589"/>
      <c r="G21" s="224"/>
      <c r="H21" s="224"/>
      <c r="I21" s="203"/>
      <c r="J21" s="203"/>
      <c r="K21" s="203"/>
      <c r="L21" s="203"/>
      <c r="M21" s="203"/>
      <c r="N21" s="198"/>
      <c r="O21" s="198"/>
      <c r="P21" s="204"/>
      <c r="R21" s="203"/>
      <c r="S21" s="79"/>
      <c r="T21" s="198"/>
      <c r="U21" s="198"/>
      <c r="V21" s="198"/>
      <c r="W21" s="198"/>
      <c r="X21" s="203"/>
      <c r="Y21" s="79"/>
      <c r="AE21" s="181"/>
      <c r="AG21" s="106"/>
    </row>
    <row r="22">
      <c r="A22" s="13" t="s">
        <v>26</v>
      </c>
      <c r="B22" s="15">
        <f>B18/B21</f>
        <v>0.2925685485</v>
      </c>
      <c r="C22" s="79"/>
      <c r="D22" s="13" t="s">
        <v>25</v>
      </c>
      <c r="E22" s="445">
        <f>2386+2954+3024+3875</f>
        <v>12239</v>
      </c>
      <c r="F22" s="589"/>
      <c r="G22" s="224"/>
      <c r="H22" s="224"/>
      <c r="I22" s="203"/>
      <c r="J22" s="203"/>
      <c r="K22" s="203"/>
      <c r="L22" s="203"/>
      <c r="M22" s="203"/>
      <c r="N22" s="203"/>
      <c r="O22" s="198"/>
      <c r="P22" s="204"/>
      <c r="R22" s="203"/>
      <c r="S22" s="79"/>
      <c r="T22" s="198"/>
      <c r="U22" s="198"/>
      <c r="V22" s="198"/>
      <c r="W22" s="198"/>
      <c r="X22" s="203"/>
      <c r="Y22" s="79"/>
      <c r="AE22" s="130"/>
      <c r="AG22" s="106"/>
    </row>
    <row r="23">
      <c r="C23" s="79"/>
      <c r="D23" s="448" t="s">
        <v>26</v>
      </c>
      <c r="E23" s="449">
        <f>E21/E22</f>
        <v>0.3957104339</v>
      </c>
      <c r="F23" s="590"/>
      <c r="G23" s="240"/>
      <c r="H23" s="224"/>
      <c r="I23" s="78"/>
      <c r="J23" s="203"/>
      <c r="K23" s="203"/>
      <c r="L23" s="203"/>
      <c r="M23" s="203"/>
      <c r="N23" s="201"/>
      <c r="O23" s="198"/>
      <c r="P23" s="204"/>
      <c r="R23" s="198"/>
      <c r="S23" s="79"/>
      <c r="T23" s="198"/>
      <c r="U23" s="198"/>
      <c r="V23" s="198"/>
      <c r="W23" s="198"/>
      <c r="X23" s="203"/>
      <c r="Y23" s="79"/>
      <c r="AE23" s="182"/>
      <c r="AG23" s="106"/>
    </row>
    <row r="24">
      <c r="C24" s="79"/>
      <c r="D24" s="79"/>
      <c r="E24" s="79"/>
      <c r="F24" s="198"/>
      <c r="G24" s="192"/>
      <c r="H24" s="213"/>
      <c r="I24" s="203"/>
      <c r="J24" s="212"/>
      <c r="K24" s="203"/>
      <c r="L24" s="203"/>
      <c r="M24" s="203"/>
      <c r="N24" s="201"/>
      <c r="O24" s="198"/>
      <c r="P24" s="204"/>
      <c r="R24" s="198"/>
      <c r="S24" s="79"/>
      <c r="T24" s="198"/>
      <c r="U24" s="198"/>
      <c r="V24" s="198"/>
      <c r="W24" s="198"/>
      <c r="X24" s="203"/>
      <c r="Y24" s="79"/>
      <c r="AE24" s="130"/>
      <c r="AG24" s="106"/>
    </row>
    <row r="25">
      <c r="A25" s="16" t="s">
        <v>27</v>
      </c>
      <c r="B25" s="17"/>
      <c r="C25" s="114"/>
      <c r="D25" s="114"/>
      <c r="E25" s="114"/>
      <c r="F25" s="198"/>
      <c r="G25" s="78"/>
      <c r="H25" s="224"/>
      <c r="I25" s="78"/>
      <c r="J25" s="79"/>
      <c r="K25" s="203"/>
      <c r="L25" s="217"/>
      <c r="M25" s="208"/>
      <c r="N25" s="198"/>
      <c r="O25" s="198"/>
      <c r="P25" s="204"/>
      <c r="R25" s="200"/>
      <c r="S25" s="79"/>
      <c r="T25" s="198"/>
      <c r="U25" s="198"/>
      <c r="V25" s="198"/>
      <c r="W25" s="198"/>
      <c r="X25" s="203"/>
      <c r="Y25" s="79"/>
      <c r="AE25" s="130"/>
      <c r="AG25" s="106"/>
    </row>
    <row r="26">
      <c r="A26" s="19" t="s">
        <v>28</v>
      </c>
      <c r="B26" s="20"/>
      <c r="C26" s="116"/>
      <c r="D26" s="116"/>
      <c r="E26" s="116"/>
      <c r="F26" s="198"/>
      <c r="G26" s="212"/>
      <c r="H26" s="213"/>
      <c r="I26" s="224"/>
      <c r="J26" s="78"/>
      <c r="K26" s="203"/>
      <c r="L26" s="203"/>
      <c r="M26" s="209"/>
      <c r="N26" s="201"/>
      <c r="O26" s="198"/>
      <c r="P26" s="204"/>
      <c r="R26" s="198"/>
      <c r="S26" s="79"/>
      <c r="T26" s="198"/>
      <c r="U26" s="198"/>
      <c r="V26" s="198"/>
      <c r="W26" s="198"/>
      <c r="X26" s="203"/>
      <c r="Y26" s="79"/>
      <c r="AE26" s="130"/>
      <c r="AG26" s="106"/>
    </row>
    <row r="27">
      <c r="A27" s="183" t="s">
        <v>29</v>
      </c>
      <c r="B27" s="184" t="s">
        <v>30</v>
      </c>
      <c r="C27" s="183"/>
      <c r="D27" s="183" t="s">
        <v>170</v>
      </c>
      <c r="E27" s="591" t="s">
        <v>171</v>
      </c>
      <c r="F27" s="198"/>
      <c r="G27" s="79"/>
      <c r="H27" s="242"/>
      <c r="I27" s="79"/>
      <c r="J27" s="79"/>
      <c r="K27" s="203"/>
      <c r="L27" s="201"/>
      <c r="M27" s="209"/>
      <c r="N27" s="198"/>
      <c r="O27" s="198"/>
      <c r="P27" s="204"/>
      <c r="R27" s="198"/>
      <c r="S27" s="79"/>
      <c r="T27" s="198"/>
      <c r="U27" s="198"/>
      <c r="V27" s="198"/>
      <c r="W27" s="198"/>
      <c r="X27" s="203"/>
      <c r="Y27" s="79"/>
      <c r="Z27" s="195"/>
      <c r="AE27" s="130"/>
      <c r="AG27" s="106"/>
    </row>
    <row r="28">
      <c r="A28" s="405" t="s">
        <v>836</v>
      </c>
      <c r="B28" s="406">
        <f>+1432</f>
        <v>1432</v>
      </c>
      <c r="C28" s="407"/>
      <c r="D28" s="407"/>
      <c r="E28" s="592"/>
      <c r="F28" s="198"/>
      <c r="O28" s="79"/>
      <c r="S28" s="79"/>
      <c r="T28" s="79"/>
      <c r="Y28" s="79"/>
      <c r="AE28" s="130"/>
      <c r="AG28" s="106"/>
    </row>
    <row r="29">
      <c r="A29" s="430" t="s">
        <v>837</v>
      </c>
      <c r="B29" s="431">
        <f>+1591.6+971.63</f>
        <v>2563.23</v>
      </c>
      <c r="C29" s="432"/>
      <c r="D29" s="432"/>
      <c r="E29" s="432"/>
      <c r="F29" s="204"/>
      <c r="O29" s="79"/>
      <c r="S29" s="79"/>
      <c r="T29" s="79"/>
      <c r="Y29" s="79"/>
      <c r="AE29" s="130"/>
      <c r="AG29" s="106"/>
    </row>
    <row r="30">
      <c r="A30" s="430" t="s">
        <v>838</v>
      </c>
      <c r="B30" s="431">
        <v>224.47</v>
      </c>
      <c r="C30" s="432"/>
      <c r="D30" s="432"/>
      <c r="E30" s="432"/>
      <c r="F30" s="204"/>
      <c r="O30" s="79"/>
      <c r="S30" s="79"/>
      <c r="T30" s="79"/>
      <c r="Y30" s="79"/>
      <c r="AE30" s="130"/>
      <c r="AG30" s="106"/>
    </row>
    <row r="31">
      <c r="C31" s="79"/>
      <c r="D31" s="79"/>
      <c r="E31" s="79"/>
      <c r="O31" s="79"/>
      <c r="S31" s="79"/>
      <c r="T31" s="79"/>
      <c r="Y31" s="79"/>
      <c r="AE31" s="130"/>
      <c r="AG31" s="106"/>
    </row>
    <row r="32">
      <c r="A32" s="274"/>
      <c r="B32" s="275" t="s">
        <v>315</v>
      </c>
      <c r="F32" s="274"/>
      <c r="G32" s="274"/>
      <c r="H32" s="274"/>
      <c r="I32" s="274"/>
      <c r="J32" s="274"/>
      <c r="K32" s="274"/>
      <c r="L32" s="274"/>
      <c r="M32" s="274"/>
      <c r="N32" s="274"/>
      <c r="O32" s="274"/>
      <c r="P32" s="274"/>
      <c r="Q32" s="274"/>
      <c r="R32" s="274"/>
      <c r="S32" s="274"/>
      <c r="T32" s="274"/>
      <c r="U32" s="274"/>
      <c r="V32" s="274"/>
      <c r="W32" s="274"/>
      <c r="X32" s="274"/>
      <c r="Y32" s="274"/>
      <c r="Z32" s="274"/>
      <c r="AA32" s="274"/>
      <c r="AB32" s="274"/>
      <c r="AC32" s="274"/>
      <c r="AD32" s="274"/>
      <c r="AE32" s="276"/>
      <c r="AF32" s="274"/>
      <c r="AG32" s="277"/>
      <c r="AH32" s="274"/>
      <c r="AI32" s="274"/>
      <c r="AJ32" s="274"/>
    </row>
    <row r="33">
      <c r="A33" s="16" t="s">
        <v>316</v>
      </c>
      <c r="B33" s="17"/>
      <c r="C33" s="114"/>
      <c r="D33" s="114"/>
      <c r="E33" s="115"/>
      <c r="I33" s="455" t="s">
        <v>735</v>
      </c>
      <c r="J33" s="17"/>
      <c r="K33" s="114"/>
      <c r="L33" s="114"/>
      <c r="M33" s="115"/>
      <c r="P33" s="79"/>
      <c r="T33" s="79"/>
      <c r="U33" s="79"/>
      <c r="AE33" s="130"/>
      <c r="AG33" s="106"/>
    </row>
    <row r="34">
      <c r="A34" s="19" t="s">
        <v>317</v>
      </c>
      <c r="B34" s="20"/>
      <c r="C34" s="116"/>
      <c r="D34" s="116"/>
      <c r="E34" s="117"/>
      <c r="I34" s="599" t="s">
        <v>736</v>
      </c>
      <c r="J34" s="20"/>
      <c r="K34" s="116"/>
      <c r="L34" s="116"/>
      <c r="M34" s="117"/>
      <c r="P34" s="79"/>
      <c r="T34" s="79"/>
      <c r="U34" s="79"/>
      <c r="AE34" s="130"/>
      <c r="AG34" s="106"/>
    </row>
    <row r="35">
      <c r="A35" s="278" t="s">
        <v>318</v>
      </c>
      <c r="B35" s="279" t="s">
        <v>319</v>
      </c>
      <c r="C35" s="280" t="s">
        <v>285</v>
      </c>
      <c r="D35" s="280" t="s">
        <v>30</v>
      </c>
      <c r="E35" s="281" t="s">
        <v>320</v>
      </c>
      <c r="F35" s="281" t="s">
        <v>321</v>
      </c>
      <c r="H35" s="600" t="s">
        <v>743</v>
      </c>
      <c r="I35" s="507" t="s">
        <v>318</v>
      </c>
      <c r="J35" s="601" t="s">
        <v>319</v>
      </c>
      <c r="K35" s="507" t="s">
        <v>285</v>
      </c>
      <c r="L35" s="507" t="s">
        <v>737</v>
      </c>
      <c r="M35" s="507" t="s">
        <v>738</v>
      </c>
      <c r="N35" s="507" t="s">
        <v>739</v>
      </c>
      <c r="O35" s="602" t="s">
        <v>740</v>
      </c>
      <c r="P35" s="602" t="s">
        <v>741</v>
      </c>
      <c r="Q35" s="602" t="s">
        <v>320</v>
      </c>
      <c r="R35" s="507"/>
      <c r="S35" s="602" t="s">
        <v>740</v>
      </c>
      <c r="T35" s="602" t="s">
        <v>741</v>
      </c>
      <c r="U35" s="602" t="s">
        <v>320</v>
      </c>
      <c r="V35" s="507"/>
      <c r="W35" s="602" t="s">
        <v>740</v>
      </c>
      <c r="X35" s="602" t="s">
        <v>741</v>
      </c>
      <c r="Y35" s="602" t="s">
        <v>320</v>
      </c>
      <c r="AE35" s="130"/>
      <c r="AG35" s="106"/>
    </row>
    <row r="36">
      <c r="A36" s="304" t="s">
        <v>597</v>
      </c>
      <c r="B36" s="305">
        <v>45525.0</v>
      </c>
      <c r="C36" s="234" t="s">
        <v>325</v>
      </c>
      <c r="D36" s="178">
        <v>1420.83</v>
      </c>
      <c r="E36" s="308"/>
      <c r="F36" s="304" t="s">
        <v>829</v>
      </c>
      <c r="H36" s="603">
        <f t="shared" ref="H36:H48" si="6">L36+O36+S36+W36</f>
        <v>0</v>
      </c>
      <c r="I36" s="463">
        <v>593114.0</v>
      </c>
      <c r="J36" s="464">
        <v>45595.0</v>
      </c>
      <c r="K36" s="465" t="s">
        <v>437</v>
      </c>
      <c r="L36" s="466">
        <v>6.0</v>
      </c>
      <c r="M36" s="467">
        <v>2575.54</v>
      </c>
      <c r="N36" s="467">
        <f t="shared" ref="N36:N39" si="7">M36/L36</f>
        <v>429.2566667</v>
      </c>
      <c r="O36" s="489">
        <v>-2.0</v>
      </c>
      <c r="P36" s="488">
        <f t="shared" ref="P36:P39" si="8">O36*N36</f>
        <v>-858.5133333</v>
      </c>
      <c r="Q36" s="604">
        <v>45606.0</v>
      </c>
      <c r="R36" s="583"/>
      <c r="S36" s="605">
        <v>-4.0</v>
      </c>
      <c r="T36" s="594">
        <f t="shared" ref="T36:T45" si="9">S36*N36</f>
        <v>-1717.026667</v>
      </c>
      <c r="U36" s="606">
        <v>45616.0</v>
      </c>
      <c r="V36" s="583"/>
      <c r="W36" s="469"/>
      <c r="X36" s="469"/>
      <c r="Y36" s="469"/>
      <c r="Z36" s="483"/>
      <c r="AA36" s="483"/>
      <c r="AB36" s="483"/>
      <c r="AC36" s="483"/>
      <c r="AD36" s="483"/>
      <c r="AE36" s="492"/>
      <c r="AF36" s="483"/>
      <c r="AG36" s="493"/>
      <c r="AH36" s="483"/>
      <c r="AI36" s="483"/>
      <c r="AJ36" s="483"/>
    </row>
    <row r="37">
      <c r="A37" s="304" t="s">
        <v>622</v>
      </c>
      <c r="B37" s="305">
        <v>45533.0</v>
      </c>
      <c r="C37" s="234" t="s">
        <v>325</v>
      </c>
      <c r="D37" s="178">
        <v>1404.36</v>
      </c>
      <c r="E37" s="308"/>
      <c r="F37" s="304" t="s">
        <v>829</v>
      </c>
      <c r="H37" s="603">
        <f t="shared" si="6"/>
        <v>0</v>
      </c>
      <c r="I37" s="463">
        <v>594673.0</v>
      </c>
      <c r="J37" s="464">
        <v>45602.0</v>
      </c>
      <c r="K37" s="465" t="s">
        <v>437</v>
      </c>
      <c r="L37" s="466">
        <v>6.0</v>
      </c>
      <c r="M37" s="467">
        <v>2561.15</v>
      </c>
      <c r="N37" s="467">
        <f t="shared" si="7"/>
        <v>426.8583333</v>
      </c>
      <c r="O37" s="596">
        <v>-4.0</v>
      </c>
      <c r="P37" s="597">
        <f t="shared" si="8"/>
        <v>-1707.433333</v>
      </c>
      <c r="Q37" s="607">
        <v>45616.0</v>
      </c>
      <c r="R37" s="583"/>
      <c r="S37" s="430">
        <v>-2.0</v>
      </c>
      <c r="T37" s="617">
        <f t="shared" si="9"/>
        <v>-853.7166667</v>
      </c>
      <c r="U37" s="618">
        <v>45620.0</v>
      </c>
      <c r="V37" s="583"/>
      <c r="W37" s="469"/>
      <c r="X37" s="469"/>
      <c r="Y37" s="469"/>
      <c r="AE37" s="130"/>
      <c r="AG37" s="106"/>
    </row>
    <row r="38">
      <c r="A38" s="304" t="s">
        <v>644</v>
      </c>
      <c r="B38" s="305">
        <v>45540.0</v>
      </c>
      <c r="C38" s="234" t="s">
        <v>325</v>
      </c>
      <c r="D38" s="178">
        <v>1415.74</v>
      </c>
      <c r="E38" s="308"/>
      <c r="F38" s="304" t="s">
        <v>829</v>
      </c>
      <c r="H38" s="603">
        <f t="shared" si="6"/>
        <v>3</v>
      </c>
      <c r="I38" s="463">
        <v>595849.0</v>
      </c>
      <c r="J38" s="464">
        <v>45604.0</v>
      </c>
      <c r="K38" s="465" t="s">
        <v>437</v>
      </c>
      <c r="L38" s="466">
        <v>3.0</v>
      </c>
      <c r="M38" s="467">
        <v>1262.58</v>
      </c>
      <c r="N38" s="467">
        <f t="shared" si="7"/>
        <v>420.86</v>
      </c>
      <c r="O38" s="473"/>
      <c r="P38" s="468">
        <f t="shared" si="8"/>
        <v>0</v>
      </c>
      <c r="Q38" s="604"/>
      <c r="R38" s="583"/>
      <c r="S38" s="469"/>
      <c r="T38" s="534">
        <f t="shared" si="9"/>
        <v>0</v>
      </c>
      <c r="U38" s="469"/>
      <c r="V38" s="583"/>
      <c r="W38" s="469"/>
      <c r="X38" s="469"/>
      <c r="Y38" s="469"/>
      <c r="AE38" s="130"/>
      <c r="AG38" s="106"/>
    </row>
    <row r="39">
      <c r="A39" s="304" t="s">
        <v>660</v>
      </c>
      <c r="B39" s="305">
        <v>45547.0</v>
      </c>
      <c r="C39" s="234" t="s">
        <v>325</v>
      </c>
      <c r="D39" s="178">
        <v>1419.33</v>
      </c>
      <c r="E39" s="308"/>
      <c r="F39" s="304" t="s">
        <v>829</v>
      </c>
      <c r="H39" s="603">
        <f t="shared" si="6"/>
        <v>6</v>
      </c>
      <c r="I39" s="463">
        <v>596421.0</v>
      </c>
      <c r="J39" s="464">
        <v>45609.0</v>
      </c>
      <c r="K39" s="465" t="s">
        <v>437</v>
      </c>
      <c r="L39" s="466">
        <v>6.0</v>
      </c>
      <c r="M39" s="467">
        <v>2543.15</v>
      </c>
      <c r="N39" s="467">
        <f t="shared" si="7"/>
        <v>423.8583333</v>
      </c>
      <c r="O39" s="473"/>
      <c r="P39" s="468">
        <f t="shared" si="8"/>
        <v>0</v>
      </c>
      <c r="Q39" s="604"/>
      <c r="R39" s="583"/>
      <c r="S39" s="469"/>
      <c r="T39" s="534">
        <f t="shared" si="9"/>
        <v>0</v>
      </c>
      <c r="U39" s="469"/>
      <c r="V39" s="583"/>
      <c r="W39" s="469"/>
      <c r="X39" s="469"/>
      <c r="Y39" s="469"/>
      <c r="AE39" s="130"/>
      <c r="AG39" s="106"/>
    </row>
    <row r="40">
      <c r="A40" s="304" t="s">
        <v>677</v>
      </c>
      <c r="B40" s="305">
        <v>45554.0</v>
      </c>
      <c r="C40" s="234" t="s">
        <v>325</v>
      </c>
      <c r="D40" s="178">
        <v>1439.4</v>
      </c>
      <c r="E40" s="308"/>
      <c r="F40" s="304" t="s">
        <v>829</v>
      </c>
      <c r="H40" s="603">
        <f t="shared" si="6"/>
        <v>0</v>
      </c>
      <c r="I40" s="463"/>
      <c r="J40" s="464"/>
      <c r="K40" s="465"/>
      <c r="L40" s="466"/>
      <c r="M40" s="467"/>
      <c r="N40" s="467"/>
      <c r="O40" s="473"/>
      <c r="P40" s="468"/>
      <c r="Q40" s="604"/>
      <c r="R40" s="583"/>
      <c r="S40" s="469"/>
      <c r="T40" s="534">
        <f t="shared" si="9"/>
        <v>0</v>
      </c>
      <c r="U40" s="469"/>
      <c r="V40" s="583"/>
      <c r="W40" s="469"/>
      <c r="X40" s="469"/>
      <c r="Y40" s="469"/>
      <c r="AE40" s="130"/>
      <c r="AG40" s="106"/>
    </row>
    <row r="41">
      <c r="A41" s="304" t="s">
        <v>691</v>
      </c>
      <c r="B41" s="305">
        <v>45561.0</v>
      </c>
      <c r="C41" s="234" t="s">
        <v>325</v>
      </c>
      <c r="D41" s="178">
        <v>777.2</v>
      </c>
      <c r="E41" s="308"/>
      <c r="F41" s="304" t="s">
        <v>829</v>
      </c>
      <c r="H41" s="610">
        <f t="shared" si="6"/>
        <v>0</v>
      </c>
      <c r="I41" s="619">
        <v>598254.0</v>
      </c>
      <c r="J41" s="620">
        <v>45616.0</v>
      </c>
      <c r="K41" s="430" t="s">
        <v>437</v>
      </c>
      <c r="L41" s="621">
        <v>6.0</v>
      </c>
      <c r="M41" s="622">
        <v>2686.83</v>
      </c>
      <c r="N41" s="622">
        <f t="shared" ref="N41:N45" si="10">M41/L41</f>
        <v>447.805</v>
      </c>
      <c r="O41" s="623">
        <v>-6.0</v>
      </c>
      <c r="P41" s="622">
        <f t="shared" ref="P41:P45" si="11">O41*N41</f>
        <v>-2686.83</v>
      </c>
      <c r="Q41" s="618">
        <v>45620.0</v>
      </c>
      <c r="R41" s="615"/>
      <c r="S41" s="486"/>
      <c r="T41" s="534">
        <f t="shared" si="9"/>
        <v>0</v>
      </c>
      <c r="U41" s="490"/>
      <c r="V41" s="615"/>
      <c r="W41" s="469"/>
      <c r="X41" s="469"/>
      <c r="Y41" s="469"/>
      <c r="AE41" s="130"/>
      <c r="AG41" s="106"/>
    </row>
    <row r="42">
      <c r="A42" s="304" t="s">
        <v>703</v>
      </c>
      <c r="B42" s="305">
        <v>45568.0</v>
      </c>
      <c r="C42" s="234" t="s">
        <v>325</v>
      </c>
      <c r="D42" s="178">
        <v>1421.43</v>
      </c>
      <c r="E42" s="308"/>
      <c r="F42" s="304" t="s">
        <v>829</v>
      </c>
      <c r="H42" s="610">
        <f t="shared" si="6"/>
        <v>0</v>
      </c>
      <c r="I42" s="619">
        <v>599453.0</v>
      </c>
      <c r="J42" s="620">
        <v>45618.0</v>
      </c>
      <c r="K42" s="430" t="s">
        <v>437</v>
      </c>
      <c r="L42" s="621">
        <v>2.0</v>
      </c>
      <c r="M42" s="622">
        <v>848.72</v>
      </c>
      <c r="N42" s="622">
        <f t="shared" si="10"/>
        <v>424.36</v>
      </c>
      <c r="O42" s="623">
        <v>-2.0</v>
      </c>
      <c r="P42" s="622">
        <f t="shared" si="11"/>
        <v>-848.72</v>
      </c>
      <c r="Q42" s="618">
        <v>45620.0</v>
      </c>
      <c r="R42" s="583"/>
      <c r="S42" s="469"/>
      <c r="T42" s="534">
        <f t="shared" si="9"/>
        <v>0</v>
      </c>
      <c r="U42" s="469"/>
      <c r="V42" s="583"/>
      <c r="W42" s="469"/>
      <c r="X42" s="469"/>
      <c r="Y42" s="469"/>
      <c r="AE42" s="130"/>
      <c r="AG42" s="106"/>
    </row>
    <row r="43">
      <c r="A43" s="304" t="s">
        <v>747</v>
      </c>
      <c r="B43" s="305">
        <v>45574.0</v>
      </c>
      <c r="C43" s="234" t="s">
        <v>325</v>
      </c>
      <c r="D43" s="178">
        <v>1449.58</v>
      </c>
      <c r="E43" s="308"/>
      <c r="F43" s="304" t="s">
        <v>829</v>
      </c>
      <c r="H43" s="603">
        <f t="shared" si="6"/>
        <v>0</v>
      </c>
      <c r="I43" s="463">
        <v>599859.0</v>
      </c>
      <c r="J43" s="464">
        <v>45623.0</v>
      </c>
      <c r="K43" s="465" t="s">
        <v>437</v>
      </c>
      <c r="L43" s="466">
        <v>6.0</v>
      </c>
      <c r="M43" s="467">
        <v>2541.65</v>
      </c>
      <c r="N43" s="467">
        <f t="shared" si="10"/>
        <v>423.6083333</v>
      </c>
      <c r="O43" s="623">
        <v>-2.0</v>
      </c>
      <c r="P43" s="622">
        <f t="shared" si="11"/>
        <v>-847.2166667</v>
      </c>
      <c r="Q43" s="624"/>
      <c r="R43" s="583"/>
      <c r="S43" s="377">
        <v>-4.0</v>
      </c>
      <c r="T43" s="627">
        <f t="shared" si="9"/>
        <v>-1694.433333</v>
      </c>
      <c r="U43" s="628">
        <v>45634.0</v>
      </c>
      <c r="V43" s="583"/>
      <c r="W43" s="469"/>
      <c r="X43" s="469"/>
      <c r="Y43" s="469"/>
      <c r="AE43" s="130"/>
      <c r="AG43" s="106"/>
    </row>
    <row r="44">
      <c r="A44" s="304" t="s">
        <v>769</v>
      </c>
      <c r="B44" s="305">
        <v>45581.0</v>
      </c>
      <c r="C44" s="234" t="s">
        <v>325</v>
      </c>
      <c r="D44" s="178">
        <v>1436.0</v>
      </c>
      <c r="E44" s="308"/>
      <c r="F44" s="304" t="s">
        <v>829</v>
      </c>
      <c r="H44" s="603">
        <f t="shared" si="6"/>
        <v>0</v>
      </c>
      <c r="I44" s="463">
        <v>601662.0</v>
      </c>
      <c r="J44" s="357">
        <v>45630.0</v>
      </c>
      <c r="K44" s="46" t="s">
        <v>437</v>
      </c>
      <c r="L44" s="612">
        <v>6.0</v>
      </c>
      <c r="M44" s="613">
        <v>2575.24</v>
      </c>
      <c r="N44" s="613">
        <f t="shared" si="10"/>
        <v>429.2066667</v>
      </c>
      <c r="O44" s="360">
        <v>-2.0</v>
      </c>
      <c r="P44" s="613">
        <f t="shared" si="11"/>
        <v>-858.4133333</v>
      </c>
      <c r="Q44" s="624"/>
      <c r="R44" s="583"/>
      <c r="S44" s="377">
        <v>-3.0</v>
      </c>
      <c r="T44" s="627">
        <f t="shared" si="9"/>
        <v>-1287.62</v>
      </c>
      <c r="U44" s="628">
        <v>45634.0</v>
      </c>
      <c r="V44" s="583"/>
      <c r="W44" s="377">
        <v>-1.0</v>
      </c>
      <c r="X44" s="627">
        <f>W44*N44</f>
        <v>-429.2066667</v>
      </c>
      <c r="Y44" s="628">
        <v>45634.0</v>
      </c>
      <c r="AE44" s="130"/>
      <c r="AG44" s="106"/>
    </row>
    <row r="45">
      <c r="A45" s="304" t="s">
        <v>786</v>
      </c>
      <c r="B45" s="305">
        <v>45588.0</v>
      </c>
      <c r="C45" s="234" t="s">
        <v>325</v>
      </c>
      <c r="D45" s="178">
        <v>823.39</v>
      </c>
      <c r="E45" s="308"/>
      <c r="F45" s="304" t="s">
        <v>829</v>
      </c>
      <c r="H45" s="603">
        <f t="shared" si="6"/>
        <v>0</v>
      </c>
      <c r="I45" s="463">
        <v>603084.0</v>
      </c>
      <c r="J45" s="464">
        <v>45637.0</v>
      </c>
      <c r="K45" s="465" t="s">
        <v>437</v>
      </c>
      <c r="L45" s="466">
        <v>6.0</v>
      </c>
      <c r="M45" s="467">
        <v>2704.75</v>
      </c>
      <c r="N45" s="467">
        <f t="shared" si="10"/>
        <v>450.7916667</v>
      </c>
      <c r="O45" s="360">
        <v>-1.0</v>
      </c>
      <c r="P45" s="613">
        <f t="shared" si="11"/>
        <v>-450.7916667</v>
      </c>
      <c r="Q45" s="624"/>
      <c r="R45" s="583"/>
      <c r="S45" s="46">
        <v>-5.0</v>
      </c>
      <c r="T45" s="608">
        <f t="shared" si="9"/>
        <v>-2253.958333</v>
      </c>
      <c r="U45" s="469"/>
      <c r="V45" s="583"/>
      <c r="W45" s="469"/>
      <c r="X45" s="469"/>
      <c r="Y45" s="469"/>
      <c r="AE45" s="130"/>
      <c r="AG45" s="106"/>
    </row>
    <row r="46">
      <c r="A46" s="289" t="s">
        <v>802</v>
      </c>
      <c r="B46" s="290">
        <v>45595.0</v>
      </c>
      <c r="C46" s="173" t="s">
        <v>325</v>
      </c>
      <c r="D46" s="180">
        <v>817.04</v>
      </c>
      <c r="E46" s="336"/>
      <c r="F46" s="173" t="s">
        <v>830</v>
      </c>
      <c r="H46" s="603">
        <f t="shared" si="6"/>
        <v>0</v>
      </c>
      <c r="I46" s="463"/>
      <c r="J46" s="464"/>
      <c r="K46" s="465" t="s">
        <v>437</v>
      </c>
      <c r="L46" s="466"/>
      <c r="M46" s="467"/>
      <c r="N46" s="467"/>
      <c r="O46" s="468"/>
      <c r="P46" s="468"/>
      <c r="Q46" s="624"/>
      <c r="R46" s="583"/>
      <c r="S46" s="469"/>
      <c r="T46" s="469"/>
      <c r="U46" s="469"/>
      <c r="V46" s="583"/>
      <c r="W46" s="469"/>
      <c r="X46" s="469"/>
      <c r="Y46" s="469"/>
      <c r="AE46" s="130"/>
      <c r="AG46" s="106"/>
    </row>
    <row r="47">
      <c r="A47" s="289" t="s">
        <v>810</v>
      </c>
      <c r="B47" s="290">
        <v>45602.0</v>
      </c>
      <c r="C47" s="173" t="s">
        <v>325</v>
      </c>
      <c r="D47" s="180">
        <v>817.64</v>
      </c>
      <c r="E47" s="336"/>
      <c r="F47" s="173" t="s">
        <v>830</v>
      </c>
      <c r="H47" s="603">
        <f t="shared" si="6"/>
        <v>0</v>
      </c>
      <c r="I47" s="463"/>
      <c r="J47" s="464"/>
      <c r="K47" s="465" t="s">
        <v>437</v>
      </c>
      <c r="L47" s="466"/>
      <c r="M47" s="467"/>
      <c r="N47" s="467"/>
      <c r="O47" s="468"/>
      <c r="P47" s="468"/>
      <c r="Q47" s="624"/>
      <c r="R47" s="583"/>
      <c r="S47" s="469"/>
      <c r="T47" s="469"/>
      <c r="U47" s="469"/>
      <c r="V47" s="583"/>
      <c r="W47" s="469"/>
      <c r="X47" s="469"/>
      <c r="Y47" s="469"/>
      <c r="AE47" s="130"/>
      <c r="AG47" s="106"/>
    </row>
    <row r="48">
      <c r="A48" s="289" t="s">
        <v>824</v>
      </c>
      <c r="B48" s="290">
        <v>45609.0</v>
      </c>
      <c r="C48" s="173" t="s">
        <v>325</v>
      </c>
      <c r="D48" s="180">
        <v>829.32</v>
      </c>
      <c r="E48" s="336"/>
      <c r="F48" s="173" t="s">
        <v>830</v>
      </c>
      <c r="H48" s="603">
        <f t="shared" si="6"/>
        <v>0</v>
      </c>
      <c r="I48" s="473"/>
      <c r="J48" s="464"/>
      <c r="K48" s="465" t="s">
        <v>437</v>
      </c>
      <c r="L48" s="466"/>
      <c r="M48" s="467"/>
      <c r="N48" s="467"/>
      <c r="O48" s="473"/>
      <c r="P48" s="468"/>
      <c r="Q48" s="624"/>
      <c r="R48" s="583"/>
      <c r="S48" s="469"/>
      <c r="T48" s="469"/>
      <c r="U48" s="469"/>
      <c r="V48" s="583"/>
      <c r="W48" s="469"/>
      <c r="X48" s="469"/>
      <c r="Y48" s="469"/>
      <c r="AE48" s="130"/>
      <c r="AG48" s="106"/>
    </row>
    <row r="49">
      <c r="A49" s="629" t="s">
        <v>831</v>
      </c>
      <c r="B49" s="630">
        <v>45616.0</v>
      </c>
      <c r="C49" s="631" t="s">
        <v>325</v>
      </c>
      <c r="D49" s="632">
        <v>860.13</v>
      </c>
      <c r="E49" s="633"/>
      <c r="F49" s="631" t="s">
        <v>830</v>
      </c>
      <c r="P49" s="79"/>
      <c r="T49" s="79"/>
      <c r="U49" s="79"/>
      <c r="AE49" s="130"/>
      <c r="AG49" s="106"/>
    </row>
    <row r="50">
      <c r="A50" s="282" t="s">
        <v>667</v>
      </c>
      <c r="B50" s="283">
        <v>45546.0</v>
      </c>
      <c r="C50" s="166" t="s">
        <v>668</v>
      </c>
      <c r="D50" s="93">
        <f>608.6</f>
        <v>608.6</v>
      </c>
      <c r="E50" s="291" t="s">
        <v>704</v>
      </c>
      <c r="F50" s="6">
        <f>D50/2</f>
        <v>304.3</v>
      </c>
      <c r="H50" s="479" t="s">
        <v>287</v>
      </c>
      <c r="I50" s="32" t="s">
        <v>748</v>
      </c>
      <c r="J50" s="479" t="s">
        <v>749</v>
      </c>
      <c r="K50" s="479" t="s">
        <v>750</v>
      </c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AE50" s="130"/>
      <c r="AG50" s="106"/>
    </row>
    <row r="51">
      <c r="A51" s="282" t="s">
        <v>681</v>
      </c>
      <c r="B51" s="283">
        <v>45555.0</v>
      </c>
      <c r="C51" s="166" t="s">
        <v>664</v>
      </c>
      <c r="D51" s="93">
        <v>785.6</v>
      </c>
      <c r="E51" s="291"/>
      <c r="F51" s="6"/>
      <c r="H51" s="286">
        <v>45578.0</v>
      </c>
      <c r="I51" s="32">
        <v>6.0</v>
      </c>
      <c r="J51" s="480">
        <v>2413.68</v>
      </c>
      <c r="K51" s="479" t="s">
        <v>751</v>
      </c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AE51" s="130"/>
      <c r="AG51" s="106"/>
    </row>
    <row r="52">
      <c r="A52" s="282" t="s">
        <v>709</v>
      </c>
      <c r="B52" s="283">
        <v>45570.0</v>
      </c>
      <c r="C52" s="166" t="s">
        <v>710</v>
      </c>
      <c r="D52" s="93">
        <v>1001.8</v>
      </c>
      <c r="E52" s="291" t="s">
        <v>804</v>
      </c>
      <c r="F52" s="6">
        <f>-250.45-250.45</f>
        <v>-500.9</v>
      </c>
      <c r="H52" s="286">
        <v>45578.0</v>
      </c>
      <c r="I52" s="32">
        <v>3.0</v>
      </c>
      <c r="J52" s="480">
        <v>1202.87</v>
      </c>
      <c r="K52" s="479" t="s">
        <v>752</v>
      </c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AE52" s="130"/>
      <c r="AG52" s="106"/>
    </row>
    <row r="53">
      <c r="A53" s="282" t="s">
        <v>715</v>
      </c>
      <c r="B53" s="283">
        <v>45570.0</v>
      </c>
      <c r="C53" s="166" t="s">
        <v>716</v>
      </c>
      <c r="D53" s="93">
        <f>299.8-5.8</f>
        <v>294</v>
      </c>
      <c r="E53" s="291"/>
      <c r="F53" s="6"/>
      <c r="H53" s="504">
        <v>45585.0</v>
      </c>
      <c r="I53" s="479">
        <v>1.0</v>
      </c>
      <c r="J53" s="505">
        <v>403.0566666666667</v>
      </c>
      <c r="K53" s="479" t="s">
        <v>751</v>
      </c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AE53" s="130"/>
      <c r="AG53" s="106"/>
    </row>
    <row r="54">
      <c r="A54" s="282" t="s">
        <v>753</v>
      </c>
      <c r="B54" s="283">
        <v>45574.0</v>
      </c>
      <c r="C54" s="166" t="s">
        <v>754</v>
      </c>
      <c r="D54" s="93">
        <v>237.1</v>
      </c>
      <c r="E54" s="291"/>
      <c r="F54" s="6"/>
      <c r="H54" s="504">
        <v>45585.0</v>
      </c>
      <c r="I54" s="479">
        <v>6.0</v>
      </c>
      <c r="J54" s="505">
        <v>2399.445</v>
      </c>
      <c r="K54" s="479" t="s">
        <v>751</v>
      </c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AE54" s="130"/>
      <c r="AG54" s="106"/>
    </row>
    <row r="55">
      <c r="A55" s="282" t="s">
        <v>755</v>
      </c>
      <c r="B55" s="283">
        <v>45576.0</v>
      </c>
      <c r="C55" s="166" t="s">
        <v>756</v>
      </c>
      <c r="D55" s="93">
        <v>504.64</v>
      </c>
      <c r="E55" s="291"/>
      <c r="F55" s="6"/>
      <c r="H55" s="504">
        <v>45592.0</v>
      </c>
      <c r="I55" s="479">
        <v>6.0</v>
      </c>
      <c r="J55" s="505">
        <v>2372.855</v>
      </c>
      <c r="K55" s="479" t="s">
        <v>751</v>
      </c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AE55" s="130"/>
      <c r="AG55" s="106"/>
    </row>
    <row r="56">
      <c r="A56" s="282" t="s">
        <v>758</v>
      </c>
      <c r="B56" s="283">
        <v>45561.0</v>
      </c>
      <c r="C56" s="166" t="s">
        <v>536</v>
      </c>
      <c r="D56" s="93">
        <v>1160.0</v>
      </c>
      <c r="E56" s="291" t="s">
        <v>805</v>
      </c>
      <c r="F56" s="6">
        <f>-386.67-386.67</f>
        <v>-773.34</v>
      </c>
      <c r="H56" s="504">
        <v>45599.0</v>
      </c>
      <c r="I56" s="479">
        <v>6.0</v>
      </c>
      <c r="J56" s="505">
        <v>2362.5933333333332</v>
      </c>
      <c r="K56" s="479" t="s">
        <v>751</v>
      </c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AE56" s="130"/>
      <c r="AG56" s="106"/>
    </row>
    <row r="57">
      <c r="A57" s="282" t="s">
        <v>806</v>
      </c>
      <c r="B57" s="283">
        <v>45581.0</v>
      </c>
      <c r="C57" s="166" t="s">
        <v>774</v>
      </c>
      <c r="D57" s="93">
        <f>547-15</f>
        <v>532</v>
      </c>
      <c r="E57" s="503"/>
      <c r="F57" s="478"/>
      <c r="H57" s="504">
        <v>45606.0</v>
      </c>
      <c r="I57" s="479">
        <v>8.0</v>
      </c>
      <c r="J57" s="505">
        <v>3412.1633333333334</v>
      </c>
      <c r="K57" s="479" t="s">
        <v>751</v>
      </c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AE57" s="130"/>
      <c r="AG57" s="106"/>
    </row>
    <row r="58">
      <c r="A58" s="282" t="s">
        <v>775</v>
      </c>
      <c r="B58" s="283">
        <v>45581.0</v>
      </c>
      <c r="C58" s="166" t="s">
        <v>712</v>
      </c>
      <c r="D58" s="93">
        <f>421.43-5</f>
        <v>416.43</v>
      </c>
      <c r="E58" s="291"/>
      <c r="F58" s="6"/>
      <c r="H58" s="584">
        <v>45606.0</v>
      </c>
      <c r="I58" s="585">
        <v>1.0</v>
      </c>
      <c r="J58" s="586">
        <v>393.7266666666667</v>
      </c>
      <c r="K58" s="585" t="s">
        <v>811</v>
      </c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AE58" s="130"/>
      <c r="AG58" s="106"/>
    </row>
    <row r="59">
      <c r="A59" s="282" t="s">
        <v>776</v>
      </c>
      <c r="B59" s="283">
        <v>45583.0</v>
      </c>
      <c r="C59" s="166" t="s">
        <v>777</v>
      </c>
      <c r="D59" s="93">
        <v>91.02</v>
      </c>
      <c r="E59" s="291"/>
      <c r="F59" s="6"/>
      <c r="H59" s="286">
        <v>45613.0</v>
      </c>
      <c r="I59" s="479">
        <v>8.0</v>
      </c>
      <c r="J59" s="505">
        <v>3424.46</v>
      </c>
      <c r="K59" s="479" t="s">
        <v>751</v>
      </c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AE59" s="130"/>
      <c r="AG59" s="106"/>
    </row>
    <row r="60">
      <c r="A60" s="282" t="s">
        <v>778</v>
      </c>
      <c r="B60" s="283">
        <v>45580.0</v>
      </c>
      <c r="C60" s="166" t="s">
        <v>626</v>
      </c>
      <c r="D60" s="93">
        <v>1629.6</v>
      </c>
      <c r="E60" s="337">
        <v>45595.0</v>
      </c>
      <c r="F60" s="6">
        <f>-543.2</f>
        <v>-543.2</v>
      </c>
      <c r="H60" s="286">
        <v>45620.0</v>
      </c>
      <c r="I60" s="479">
        <v>8.0</v>
      </c>
      <c r="J60" s="505">
        <f>sum(M41+M42)</f>
        <v>3535.55</v>
      </c>
      <c r="K60" s="479" t="s">
        <v>751</v>
      </c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AE60" s="130"/>
      <c r="AG60" s="106"/>
    </row>
    <row r="61">
      <c r="A61" s="282" t="s">
        <v>812</v>
      </c>
      <c r="B61" s="283">
        <v>45589.0</v>
      </c>
      <c r="C61" s="166" t="s">
        <v>813</v>
      </c>
      <c r="D61" s="93">
        <v>565.5</v>
      </c>
      <c r="E61" s="291"/>
      <c r="F61" s="6"/>
      <c r="H61" s="286">
        <v>45620.0</v>
      </c>
      <c r="I61" s="479">
        <v>2.0</v>
      </c>
      <c r="J61" s="479">
        <v>853.72</v>
      </c>
      <c r="K61" s="479" t="s">
        <v>839</v>
      </c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AE61" s="130"/>
      <c r="AG61" s="106"/>
    </row>
    <row r="62">
      <c r="A62" s="282" t="s">
        <v>814</v>
      </c>
      <c r="B62" s="283">
        <v>45602.0</v>
      </c>
      <c r="C62" s="166" t="s">
        <v>712</v>
      </c>
      <c r="D62" s="93">
        <f>423.86-15</f>
        <v>408.86</v>
      </c>
      <c r="E62" s="291"/>
      <c r="F62" s="6"/>
      <c r="H62" s="286">
        <v>45627.0</v>
      </c>
      <c r="I62" s="479">
        <v>2.0</v>
      </c>
      <c r="J62" s="479">
        <v>847.22</v>
      </c>
      <c r="K62" s="479" t="s">
        <v>751</v>
      </c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AE62" s="130"/>
      <c r="AG62" s="106"/>
    </row>
    <row r="63">
      <c r="A63" s="282" t="s">
        <v>815</v>
      </c>
      <c r="B63" s="283">
        <v>45602.0</v>
      </c>
      <c r="C63" s="166" t="s">
        <v>710</v>
      </c>
      <c r="D63" s="93">
        <v>1767.68</v>
      </c>
      <c r="E63" s="291"/>
      <c r="F63" s="6"/>
      <c r="H63" s="504">
        <v>45634.0</v>
      </c>
      <c r="I63" s="479">
        <v>7.0</v>
      </c>
      <c r="J63" s="505">
        <v>2982.0533333333333</v>
      </c>
      <c r="K63" s="479" t="s">
        <v>751</v>
      </c>
      <c r="M63" s="79"/>
      <c r="N63" s="481"/>
      <c r="O63" s="545"/>
      <c r="P63" s="79"/>
      <c r="Q63" s="481"/>
      <c r="R63" s="481"/>
      <c r="S63" s="545"/>
      <c r="T63" s="545"/>
      <c r="U63" s="481"/>
      <c r="V63" s="481"/>
      <c r="W63" s="481"/>
      <c r="X63" s="481"/>
      <c r="Y63" s="545"/>
      <c r="AE63" s="130"/>
      <c r="AG63" s="106"/>
    </row>
    <row r="64">
      <c r="A64" s="282" t="s">
        <v>816</v>
      </c>
      <c r="B64" s="283">
        <v>45593.0</v>
      </c>
      <c r="C64" s="166" t="s">
        <v>408</v>
      </c>
      <c r="D64" s="93">
        <v>446.0</v>
      </c>
      <c r="E64" s="291"/>
      <c r="F64" s="6"/>
      <c r="H64" s="286">
        <v>45634.0</v>
      </c>
      <c r="I64" s="479">
        <v>1.0</v>
      </c>
      <c r="J64" s="479">
        <v>429.20666666666665</v>
      </c>
      <c r="K64" s="479" t="s">
        <v>839</v>
      </c>
      <c r="M64" s="79"/>
      <c r="N64" s="481"/>
      <c r="O64" s="545"/>
      <c r="P64" s="626"/>
      <c r="Q64" s="481"/>
      <c r="R64" s="481"/>
      <c r="S64" s="545"/>
      <c r="T64" s="545"/>
      <c r="U64" s="481"/>
      <c r="V64" s="481"/>
      <c r="W64" s="481"/>
      <c r="X64" s="481"/>
      <c r="Y64" s="545"/>
      <c r="AE64" s="130"/>
      <c r="AG64" s="106"/>
    </row>
    <row r="65">
      <c r="A65" s="282" t="s">
        <v>825</v>
      </c>
      <c r="B65" s="283">
        <v>45611.0</v>
      </c>
      <c r="C65" s="166" t="s">
        <v>710</v>
      </c>
      <c r="D65" s="93">
        <v>1114.06</v>
      </c>
      <c r="E65" s="291"/>
      <c r="F65" s="6"/>
      <c r="H65" s="634">
        <v>45641.0</v>
      </c>
      <c r="I65" s="479">
        <v>3.0</v>
      </c>
      <c r="J65" s="505">
        <f>(P44+P45)*-1</f>
        <v>1309.205</v>
      </c>
      <c r="K65" s="479" t="s">
        <v>839</v>
      </c>
      <c r="M65" s="79"/>
      <c r="O65" s="79"/>
      <c r="S65" s="79"/>
      <c r="T65" s="79"/>
      <c r="Y65" s="79"/>
      <c r="AE65" s="130"/>
      <c r="AG65" s="106"/>
    </row>
    <row r="66">
      <c r="A66" s="282" t="s">
        <v>826</v>
      </c>
      <c r="B66" s="283">
        <v>45608.0</v>
      </c>
      <c r="C66" s="166" t="s">
        <v>827</v>
      </c>
      <c r="D66" s="93">
        <v>1432.76</v>
      </c>
      <c r="E66" s="291"/>
      <c r="F66" s="6"/>
      <c r="H66" s="634">
        <v>45641.0</v>
      </c>
      <c r="I66" s="479">
        <v>5.0</v>
      </c>
      <c r="J66" s="505">
        <f>T45*-1</f>
        <v>2253.958333</v>
      </c>
      <c r="K66" s="479" t="s">
        <v>751</v>
      </c>
      <c r="L66" s="625"/>
      <c r="M66" s="79"/>
      <c r="O66" s="79"/>
      <c r="S66" s="79"/>
      <c r="T66" s="79"/>
      <c r="Y66" s="79"/>
      <c r="AE66" s="130"/>
      <c r="AG66" s="106"/>
    </row>
    <row r="67">
      <c r="A67" s="282" t="s">
        <v>834</v>
      </c>
      <c r="B67" s="283">
        <v>45622.0</v>
      </c>
      <c r="C67" s="166" t="s">
        <v>710</v>
      </c>
      <c r="D67" s="93">
        <v>1232.18</v>
      </c>
      <c r="E67" s="291"/>
      <c r="F67" s="6"/>
      <c r="H67" s="479"/>
      <c r="I67" s="481"/>
      <c r="J67" s="481"/>
      <c r="K67" s="481"/>
      <c r="L67" s="625"/>
      <c r="M67" s="79"/>
      <c r="O67" s="79"/>
      <c r="S67" s="79"/>
      <c r="T67" s="79"/>
      <c r="Y67" s="79"/>
      <c r="AE67" s="130"/>
      <c r="AG67" s="106"/>
    </row>
    <row r="68">
      <c r="A68" s="282" t="s">
        <v>840</v>
      </c>
      <c r="B68" s="283">
        <v>45638.0</v>
      </c>
      <c r="C68" s="166" t="s">
        <v>841</v>
      </c>
      <c r="D68" s="93">
        <v>971.63</v>
      </c>
      <c r="E68" s="291"/>
      <c r="F68" s="6"/>
      <c r="H68" s="479"/>
      <c r="I68" s="481"/>
      <c r="J68" s="481"/>
      <c r="K68" s="481"/>
      <c r="L68" s="625"/>
      <c r="M68" s="79"/>
      <c r="O68" s="79"/>
      <c r="S68" s="79"/>
      <c r="T68" s="79"/>
      <c r="Y68" s="79"/>
      <c r="AE68" s="130"/>
      <c r="AG68" s="106"/>
    </row>
    <row r="69">
      <c r="A69" s="282" t="s">
        <v>842</v>
      </c>
      <c r="B69" s="283">
        <v>45640.0</v>
      </c>
      <c r="C69" s="166" t="s">
        <v>608</v>
      </c>
      <c r="D69" s="93">
        <v>224.47</v>
      </c>
      <c r="E69" s="291"/>
      <c r="F69" s="6"/>
      <c r="H69" s="479"/>
      <c r="I69" s="481"/>
      <c r="J69" s="481"/>
      <c r="K69" s="481"/>
      <c r="L69" s="625"/>
      <c r="M69" s="79"/>
      <c r="O69" s="79"/>
      <c r="S69" s="79"/>
      <c r="T69" s="79"/>
      <c r="Y69" s="79"/>
      <c r="AE69" s="130"/>
      <c r="AG69" s="106"/>
    </row>
    <row r="70">
      <c r="A70" s="282"/>
      <c r="B70" s="283"/>
      <c r="C70" s="166"/>
      <c r="D70" s="93"/>
      <c r="E70" s="291"/>
      <c r="F70" s="6"/>
      <c r="H70" s="479"/>
      <c r="I70" s="481"/>
      <c r="J70" s="481"/>
      <c r="K70" s="481"/>
      <c r="L70" s="625"/>
      <c r="M70" s="79"/>
      <c r="O70" s="79"/>
      <c r="S70" s="79"/>
      <c r="T70" s="79"/>
      <c r="Y70" s="79"/>
      <c r="AE70" s="130"/>
      <c r="AG70" s="106"/>
    </row>
    <row r="71">
      <c r="A71" s="282"/>
      <c r="B71" s="283"/>
      <c r="C71" s="166"/>
      <c r="D71" s="93"/>
      <c r="E71" s="291"/>
      <c r="F71" s="6"/>
      <c r="H71" s="479"/>
      <c r="I71" s="481"/>
      <c r="J71" s="481"/>
      <c r="K71" s="481"/>
      <c r="L71" s="625"/>
      <c r="M71" s="79"/>
      <c r="O71" s="79"/>
      <c r="S71" s="79"/>
      <c r="T71" s="79"/>
      <c r="Y71" s="79"/>
      <c r="AE71" s="130"/>
      <c r="AG71" s="106"/>
    </row>
    <row r="72">
      <c r="A72" s="282"/>
      <c r="B72" s="283"/>
      <c r="C72" s="166"/>
      <c r="D72" s="93"/>
      <c r="E72" s="291"/>
      <c r="F72" s="6"/>
      <c r="H72" s="479"/>
      <c r="I72" s="481"/>
      <c r="J72" s="481"/>
      <c r="K72" s="481"/>
      <c r="L72" s="625"/>
      <c r="M72" s="79"/>
      <c r="O72" s="79"/>
      <c r="S72" s="79"/>
      <c r="T72" s="79"/>
      <c r="Y72" s="79"/>
      <c r="AE72" s="130"/>
      <c r="AG72" s="106"/>
    </row>
    <row r="73">
      <c r="A73" s="282"/>
      <c r="B73" s="283"/>
      <c r="C73" s="166"/>
      <c r="D73" s="93"/>
      <c r="E73" s="291"/>
      <c r="F73" s="6"/>
      <c r="H73" s="479"/>
      <c r="I73" s="481"/>
      <c r="J73" s="481"/>
      <c r="K73" s="481"/>
      <c r="L73" s="625"/>
      <c r="M73" s="79"/>
      <c r="O73" s="79"/>
      <c r="S73" s="79"/>
      <c r="T73" s="79"/>
      <c r="Y73" s="79"/>
      <c r="AE73" s="130"/>
      <c r="AG73" s="106"/>
    </row>
    <row r="74">
      <c r="A74" s="282"/>
      <c r="B74" s="283"/>
      <c r="C74" s="166"/>
      <c r="D74" s="93"/>
      <c r="E74" s="291"/>
      <c r="F74" s="6"/>
      <c r="O74" s="79"/>
      <c r="S74" s="79"/>
      <c r="T74" s="79"/>
      <c r="Y74" s="79"/>
      <c r="AE74" s="130"/>
      <c r="AG74" s="106"/>
    </row>
    <row r="75">
      <c r="A75" s="282"/>
      <c r="B75" s="283"/>
      <c r="C75" s="166"/>
      <c r="D75" s="93"/>
      <c r="E75" s="291"/>
      <c r="F75" s="6"/>
      <c r="O75" s="79"/>
      <c r="S75" s="79"/>
      <c r="T75" s="79"/>
      <c r="Y75" s="79"/>
      <c r="AE75" s="130"/>
      <c r="AG75" s="106"/>
    </row>
    <row r="76">
      <c r="A76" s="282"/>
      <c r="B76" s="283"/>
      <c r="C76" s="166"/>
      <c r="D76" s="93"/>
      <c r="E76" s="291"/>
      <c r="F76" s="6"/>
      <c r="O76" s="79"/>
      <c r="S76" s="79"/>
      <c r="T76" s="79"/>
      <c r="Y76" s="79"/>
      <c r="AE76" s="130"/>
      <c r="AG76" s="106"/>
    </row>
    <row r="77">
      <c r="A77" s="282"/>
      <c r="B77" s="283"/>
      <c r="C77" s="166"/>
      <c r="D77" s="93"/>
      <c r="E77" s="291"/>
      <c r="F77" s="6"/>
      <c r="O77" s="79"/>
      <c r="S77" s="79"/>
      <c r="T77" s="79"/>
      <c r="Y77" s="79"/>
      <c r="AE77" s="130"/>
      <c r="AG77" s="106"/>
    </row>
    <row r="78">
      <c r="A78" s="282"/>
      <c r="B78" s="283"/>
      <c r="C78" s="166"/>
      <c r="D78" s="93"/>
      <c r="E78" s="291"/>
      <c r="F78" s="6"/>
      <c r="O78" s="79"/>
      <c r="S78" s="79"/>
      <c r="T78" s="79"/>
      <c r="Y78" s="79"/>
      <c r="AE78" s="130"/>
      <c r="AG78" s="106"/>
    </row>
    <row r="79">
      <c r="A79" s="282"/>
      <c r="B79" s="283"/>
      <c r="C79" s="166"/>
      <c r="D79" s="93"/>
      <c r="E79" s="291"/>
      <c r="F79" s="6"/>
      <c r="O79" s="79"/>
      <c r="S79" s="79"/>
      <c r="T79" s="79"/>
      <c r="Y79" s="79"/>
      <c r="AE79" s="130"/>
      <c r="AG79" s="106"/>
    </row>
    <row r="80">
      <c r="A80" s="282"/>
      <c r="B80" s="283"/>
      <c r="C80" s="166"/>
      <c r="D80" s="93"/>
      <c r="E80" s="291"/>
      <c r="F80" s="6"/>
      <c r="O80" s="79"/>
      <c r="S80" s="79"/>
      <c r="T80" s="79"/>
      <c r="Y80" s="79"/>
      <c r="AE80" s="130"/>
      <c r="AG80" s="106"/>
    </row>
    <row r="81">
      <c r="A81" s="282"/>
      <c r="B81" s="283"/>
      <c r="C81" s="166"/>
      <c r="D81" s="93"/>
      <c r="E81" s="291"/>
      <c r="F81" s="6"/>
      <c r="O81" s="79"/>
      <c r="S81" s="79"/>
      <c r="T81" s="79"/>
      <c r="Y81" s="79"/>
      <c r="AE81" s="130"/>
      <c r="AG81" s="106"/>
    </row>
    <row r="82">
      <c r="A82" s="282"/>
      <c r="B82" s="283"/>
      <c r="C82" s="166"/>
      <c r="D82" s="93"/>
      <c r="E82" s="291"/>
      <c r="F82" s="6"/>
      <c r="O82" s="79"/>
      <c r="S82" s="79"/>
      <c r="T82" s="79"/>
      <c r="Y82" s="79"/>
      <c r="AE82" s="130"/>
      <c r="AG82" s="106"/>
    </row>
    <row r="83">
      <c r="A83" s="282"/>
      <c r="B83" s="283"/>
      <c r="C83" s="166"/>
      <c r="D83" s="93"/>
      <c r="E83" s="291"/>
      <c r="F83" s="6"/>
      <c r="O83" s="79"/>
      <c r="S83" s="79"/>
      <c r="T83" s="79"/>
      <c r="Y83" s="79"/>
      <c r="AE83" s="130"/>
      <c r="AG83" s="106"/>
    </row>
    <row r="84">
      <c r="A84" s="282"/>
      <c r="B84" s="283"/>
      <c r="C84" s="166"/>
      <c r="D84" s="93"/>
      <c r="E84" s="291"/>
      <c r="F84" s="6"/>
      <c r="O84" s="79"/>
      <c r="S84" s="79"/>
      <c r="T84" s="79"/>
      <c r="Y84" s="79"/>
      <c r="AE84" s="130"/>
      <c r="AG84" s="106"/>
    </row>
    <row r="85">
      <c r="A85" s="282"/>
      <c r="B85" s="283"/>
      <c r="C85" s="166"/>
      <c r="D85" s="93"/>
      <c r="E85" s="291"/>
      <c r="F85" s="6"/>
      <c r="O85" s="79"/>
      <c r="S85" s="79"/>
      <c r="T85" s="79"/>
      <c r="Y85" s="79"/>
      <c r="AE85" s="130"/>
      <c r="AG85" s="106"/>
    </row>
    <row r="86">
      <c r="A86" s="282"/>
      <c r="B86" s="283"/>
      <c r="C86" s="166"/>
      <c r="D86" s="93"/>
      <c r="E86" s="291"/>
      <c r="F86" s="6"/>
      <c r="O86" s="79"/>
      <c r="S86" s="79"/>
      <c r="T86" s="79"/>
      <c r="Y86" s="79"/>
      <c r="AE86" s="130"/>
      <c r="AG86" s="106"/>
    </row>
    <row r="87">
      <c r="A87" s="282"/>
      <c r="B87" s="283"/>
      <c r="C87" s="166"/>
      <c r="D87" s="93"/>
      <c r="E87" s="291"/>
      <c r="F87" s="6"/>
      <c r="O87" s="79"/>
      <c r="S87" s="79"/>
      <c r="T87" s="79"/>
      <c r="Y87" s="79"/>
      <c r="AE87" s="130"/>
      <c r="AG87" s="106"/>
    </row>
    <row r="88">
      <c r="A88" s="282"/>
      <c r="B88" s="283"/>
      <c r="C88" s="166"/>
      <c r="D88" s="93"/>
      <c r="E88" s="291"/>
      <c r="F88" s="6"/>
      <c r="O88" s="79"/>
      <c r="S88" s="79"/>
      <c r="T88" s="79"/>
      <c r="Y88" s="79"/>
      <c r="AE88" s="130"/>
      <c r="AG88" s="106"/>
    </row>
    <row r="89">
      <c r="A89" s="282"/>
      <c r="B89" s="283"/>
      <c r="C89" s="166"/>
      <c r="D89" s="93"/>
      <c r="E89" s="291"/>
      <c r="F89" s="6"/>
      <c r="O89" s="79"/>
      <c r="S89" s="79"/>
      <c r="T89" s="79"/>
      <c r="Y89" s="79"/>
      <c r="AE89" s="130"/>
      <c r="AG89" s="106"/>
    </row>
    <row r="90">
      <c r="A90" s="282"/>
      <c r="B90" s="283"/>
      <c r="C90" s="166"/>
      <c r="D90" s="93"/>
      <c r="E90" s="291"/>
      <c r="F90" s="6"/>
      <c r="O90" s="79"/>
      <c r="S90" s="79"/>
      <c r="T90" s="79"/>
      <c r="Y90" s="79"/>
      <c r="AE90" s="130"/>
      <c r="AG90" s="106"/>
    </row>
    <row r="91">
      <c r="A91" s="282"/>
      <c r="B91" s="283"/>
      <c r="C91" s="166"/>
      <c r="D91" s="93"/>
      <c r="E91" s="291"/>
      <c r="F91" s="6"/>
      <c r="O91" s="79"/>
      <c r="S91" s="79"/>
      <c r="T91" s="79"/>
      <c r="Y91" s="79"/>
      <c r="AE91" s="130"/>
      <c r="AG91" s="106"/>
    </row>
    <row r="92">
      <c r="A92" s="282"/>
      <c r="B92" s="283"/>
      <c r="C92" s="166"/>
      <c r="D92" s="93"/>
      <c r="E92" s="291"/>
      <c r="F92" s="6"/>
      <c r="O92" s="79"/>
      <c r="S92" s="79"/>
      <c r="T92" s="79"/>
      <c r="Y92" s="79"/>
      <c r="AE92" s="130"/>
      <c r="AG92" s="106"/>
    </row>
    <row r="93">
      <c r="A93" s="282"/>
      <c r="B93" s="283"/>
      <c r="C93" s="166"/>
      <c r="D93" s="93"/>
      <c r="E93" s="291"/>
      <c r="F93" s="6"/>
      <c r="O93" s="79"/>
      <c r="S93" s="79"/>
      <c r="T93" s="79"/>
      <c r="Y93" s="79"/>
      <c r="AE93" s="130"/>
      <c r="AG93" s="106"/>
    </row>
    <row r="94">
      <c r="A94" s="282"/>
      <c r="B94" s="283"/>
      <c r="C94" s="166"/>
      <c r="D94" s="93"/>
      <c r="E94" s="291"/>
      <c r="F94" s="6"/>
      <c r="O94" s="79"/>
      <c r="S94" s="79"/>
      <c r="T94" s="79"/>
      <c r="Y94" s="79"/>
      <c r="AE94" s="130"/>
      <c r="AG94" s="106"/>
    </row>
    <row r="95">
      <c r="A95" s="282"/>
      <c r="B95" s="283"/>
      <c r="C95" s="166"/>
      <c r="D95" s="93"/>
      <c r="E95" s="291"/>
      <c r="F95" s="6"/>
      <c r="O95" s="79"/>
      <c r="S95" s="79"/>
      <c r="T95" s="79"/>
      <c r="Y95" s="79"/>
      <c r="AE95" s="130"/>
      <c r="AG95" s="106"/>
    </row>
    <row r="96">
      <c r="A96" s="282"/>
      <c r="B96" s="283"/>
      <c r="C96" s="166"/>
      <c r="D96" s="93"/>
      <c r="E96" s="291"/>
      <c r="F96" s="6"/>
      <c r="O96" s="79"/>
      <c r="S96" s="79"/>
      <c r="T96" s="79"/>
      <c r="Y96" s="79"/>
      <c r="AE96" s="130"/>
      <c r="AG96" s="106"/>
    </row>
    <row r="97">
      <c r="C97" s="79"/>
      <c r="D97" s="79"/>
      <c r="E97" s="79"/>
      <c r="O97" s="79"/>
      <c r="S97" s="79"/>
      <c r="T97" s="79"/>
      <c r="Y97" s="79"/>
      <c r="AE97" s="130"/>
      <c r="AG97" s="106"/>
    </row>
    <row r="98">
      <c r="C98" s="79"/>
      <c r="D98" s="79"/>
      <c r="E98" s="79"/>
      <c r="O98" s="79"/>
      <c r="S98" s="79"/>
      <c r="T98" s="79"/>
      <c r="Y98" s="79"/>
      <c r="AE98" s="130"/>
      <c r="AG98" s="106"/>
    </row>
    <row r="99">
      <c r="C99" s="79"/>
      <c r="D99" s="79"/>
      <c r="E99" s="79"/>
      <c r="O99" s="79"/>
      <c r="S99" s="79"/>
      <c r="T99" s="79"/>
      <c r="Y99" s="79"/>
      <c r="AE99" s="130"/>
      <c r="AG99" s="106"/>
    </row>
    <row r="100">
      <c r="C100" s="79"/>
      <c r="D100" s="79"/>
      <c r="E100" s="79"/>
      <c r="O100" s="79"/>
      <c r="S100" s="79"/>
      <c r="T100" s="79"/>
      <c r="Y100" s="79"/>
      <c r="AE100" s="130"/>
      <c r="AG100" s="106"/>
    </row>
    <row r="101">
      <c r="C101" s="79"/>
      <c r="D101" s="79"/>
      <c r="E101" s="79"/>
      <c r="O101" s="79"/>
      <c r="S101" s="79"/>
      <c r="T101" s="79"/>
      <c r="Y101" s="79"/>
      <c r="AE101" s="130"/>
      <c r="AG101" s="106"/>
    </row>
    <row r="102">
      <c r="C102" s="79"/>
      <c r="D102" s="79"/>
      <c r="E102" s="79"/>
      <c r="O102" s="79"/>
      <c r="S102" s="79"/>
      <c r="T102" s="79"/>
      <c r="Y102" s="79"/>
      <c r="AE102" s="130"/>
      <c r="AG102" s="106"/>
    </row>
    <row r="103">
      <c r="C103" s="79"/>
      <c r="D103" s="79"/>
      <c r="E103" s="79"/>
      <c r="O103" s="79"/>
      <c r="S103" s="79"/>
      <c r="T103" s="79"/>
      <c r="Y103" s="79"/>
      <c r="AE103" s="130"/>
      <c r="AG103" s="106"/>
    </row>
    <row r="104">
      <c r="C104" s="79"/>
      <c r="D104" s="79"/>
      <c r="E104" s="79"/>
      <c r="O104" s="79"/>
      <c r="S104" s="79"/>
      <c r="T104" s="79"/>
      <c r="Y104" s="79"/>
      <c r="AE104" s="130"/>
      <c r="AG104" s="106"/>
    </row>
    <row r="105">
      <c r="C105" s="79"/>
      <c r="D105" s="79"/>
      <c r="E105" s="79"/>
      <c r="O105" s="79"/>
      <c r="S105" s="79"/>
      <c r="T105" s="79"/>
      <c r="Y105" s="79"/>
      <c r="AE105" s="130"/>
      <c r="AG105" s="106"/>
    </row>
    <row r="106">
      <c r="C106" s="79"/>
      <c r="D106" s="79"/>
      <c r="E106" s="79"/>
      <c r="O106" s="79"/>
      <c r="S106" s="79"/>
      <c r="T106" s="79"/>
      <c r="Y106" s="79"/>
      <c r="AE106" s="130"/>
      <c r="AG106" s="106"/>
    </row>
    <row r="107">
      <c r="C107" s="79"/>
      <c r="D107" s="79"/>
      <c r="E107" s="79"/>
      <c r="O107" s="79"/>
      <c r="S107" s="79"/>
      <c r="T107" s="79"/>
      <c r="Y107" s="79"/>
      <c r="AE107" s="130"/>
      <c r="AG107" s="106"/>
    </row>
    <row r="108">
      <c r="C108" s="79"/>
      <c r="D108" s="79"/>
      <c r="E108" s="79"/>
      <c r="O108" s="79"/>
      <c r="S108" s="79"/>
      <c r="T108" s="79"/>
      <c r="Y108" s="79"/>
      <c r="AE108" s="130"/>
      <c r="AG108" s="106"/>
    </row>
    <row r="109">
      <c r="C109" s="79"/>
      <c r="D109" s="79"/>
      <c r="E109" s="79"/>
      <c r="O109" s="79"/>
      <c r="S109" s="79"/>
      <c r="T109" s="79"/>
      <c r="Y109" s="79"/>
      <c r="AE109" s="130"/>
      <c r="AG109" s="106"/>
    </row>
    <row r="110">
      <c r="C110" s="79"/>
      <c r="D110" s="79"/>
      <c r="E110" s="79"/>
      <c r="O110" s="79"/>
      <c r="S110" s="79"/>
      <c r="T110" s="79"/>
      <c r="Y110" s="79"/>
      <c r="AE110" s="130"/>
      <c r="AG110" s="106"/>
    </row>
    <row r="111">
      <c r="C111" s="79"/>
      <c r="D111" s="79"/>
      <c r="E111" s="79"/>
      <c r="O111" s="79"/>
      <c r="S111" s="79"/>
      <c r="T111" s="79"/>
      <c r="Y111" s="79"/>
      <c r="AE111" s="130"/>
      <c r="AG111" s="106"/>
    </row>
    <row r="112">
      <c r="C112" s="79"/>
      <c r="D112" s="79"/>
      <c r="E112" s="79"/>
      <c r="O112" s="79"/>
      <c r="S112" s="79"/>
      <c r="T112" s="79"/>
      <c r="Y112" s="79"/>
      <c r="AE112" s="130"/>
      <c r="AG112" s="106"/>
    </row>
    <row r="113">
      <c r="C113" s="79"/>
      <c r="D113" s="79"/>
      <c r="E113" s="79"/>
      <c r="O113" s="79"/>
      <c r="S113" s="79"/>
      <c r="T113" s="79"/>
      <c r="Y113" s="79"/>
      <c r="AE113" s="130"/>
      <c r="AG113" s="106"/>
    </row>
    <row r="114">
      <c r="C114" s="79"/>
      <c r="D114" s="79"/>
      <c r="E114" s="79"/>
      <c r="O114" s="79"/>
      <c r="S114" s="79"/>
      <c r="T114" s="79"/>
      <c r="Y114" s="79"/>
      <c r="AE114" s="130"/>
      <c r="AG114" s="106"/>
    </row>
    <row r="115">
      <c r="C115" s="79"/>
      <c r="D115" s="79"/>
      <c r="E115" s="79"/>
      <c r="O115" s="79"/>
      <c r="S115" s="79"/>
      <c r="T115" s="79"/>
      <c r="Y115" s="79"/>
      <c r="AE115" s="130"/>
      <c r="AG115" s="106"/>
    </row>
    <row r="116">
      <c r="C116" s="79"/>
      <c r="D116" s="79"/>
      <c r="E116" s="79"/>
      <c r="O116" s="79"/>
      <c r="S116" s="79"/>
      <c r="T116" s="79"/>
      <c r="Y116" s="79"/>
      <c r="AE116" s="130"/>
      <c r="AG116" s="106"/>
    </row>
    <row r="117">
      <c r="C117" s="79"/>
      <c r="D117" s="79"/>
      <c r="E117" s="79"/>
      <c r="O117" s="79"/>
      <c r="S117" s="79"/>
      <c r="T117" s="79"/>
      <c r="Y117" s="79"/>
      <c r="AE117" s="130"/>
      <c r="AG117" s="106"/>
    </row>
    <row r="118">
      <c r="C118" s="79"/>
      <c r="D118" s="79"/>
      <c r="E118" s="79"/>
      <c r="O118" s="79"/>
      <c r="S118" s="79"/>
      <c r="T118" s="79"/>
      <c r="Y118" s="79"/>
      <c r="AE118" s="130"/>
      <c r="AG118" s="106"/>
    </row>
    <row r="119">
      <c r="C119" s="79"/>
      <c r="D119" s="79"/>
      <c r="E119" s="79"/>
      <c r="O119" s="79"/>
      <c r="S119" s="79"/>
      <c r="T119" s="79"/>
      <c r="Y119" s="79"/>
      <c r="AE119" s="130"/>
      <c r="AG119" s="106"/>
    </row>
    <row r="120">
      <c r="C120" s="79"/>
      <c r="D120" s="79"/>
      <c r="E120" s="79"/>
      <c r="O120" s="79"/>
      <c r="S120" s="79"/>
      <c r="T120" s="79"/>
      <c r="Y120" s="79"/>
      <c r="AE120" s="130"/>
      <c r="AG120" s="106"/>
    </row>
    <row r="121">
      <c r="C121" s="79"/>
      <c r="D121" s="79"/>
      <c r="E121" s="79"/>
      <c r="O121" s="79"/>
      <c r="S121" s="79"/>
      <c r="T121" s="79"/>
      <c r="Y121" s="79"/>
      <c r="AE121" s="130"/>
      <c r="AG121" s="106"/>
    </row>
    <row r="122">
      <c r="C122" s="79"/>
      <c r="D122" s="79"/>
      <c r="E122" s="79"/>
      <c r="O122" s="79"/>
      <c r="S122" s="79"/>
      <c r="T122" s="79"/>
      <c r="Y122" s="79"/>
      <c r="AE122" s="130"/>
      <c r="AG122" s="106"/>
    </row>
    <row r="123">
      <c r="C123" s="79"/>
      <c r="D123" s="79"/>
      <c r="E123" s="79"/>
      <c r="O123" s="79"/>
      <c r="S123" s="79"/>
      <c r="T123" s="79"/>
      <c r="Y123" s="79"/>
      <c r="AE123" s="130"/>
      <c r="AG123" s="106"/>
    </row>
    <row r="124">
      <c r="C124" s="79"/>
      <c r="D124" s="79"/>
      <c r="E124" s="79"/>
      <c r="O124" s="79"/>
      <c r="S124" s="79"/>
      <c r="T124" s="79"/>
      <c r="Y124" s="79"/>
      <c r="AE124" s="130"/>
      <c r="AG124" s="106"/>
    </row>
    <row r="125">
      <c r="C125" s="79"/>
      <c r="D125" s="79"/>
      <c r="E125" s="79"/>
      <c r="O125" s="79"/>
      <c r="S125" s="79"/>
      <c r="T125" s="79"/>
      <c r="Y125" s="79"/>
      <c r="AE125" s="130"/>
      <c r="AG125" s="106"/>
    </row>
    <row r="126">
      <c r="C126" s="79"/>
      <c r="D126" s="79"/>
      <c r="E126" s="79"/>
      <c r="O126" s="79"/>
      <c r="S126" s="79"/>
      <c r="T126" s="79"/>
      <c r="Y126" s="79"/>
      <c r="AE126" s="130"/>
      <c r="AG126" s="106"/>
    </row>
    <row r="127">
      <c r="C127" s="79"/>
      <c r="D127" s="79"/>
      <c r="E127" s="79"/>
      <c r="O127" s="79"/>
      <c r="S127" s="79"/>
      <c r="T127" s="79"/>
      <c r="Y127" s="79"/>
      <c r="AE127" s="130"/>
      <c r="AG127" s="106"/>
    </row>
    <row r="128">
      <c r="C128" s="79"/>
      <c r="D128" s="79"/>
      <c r="E128" s="79"/>
      <c r="O128" s="79"/>
      <c r="S128" s="79"/>
      <c r="T128" s="79"/>
      <c r="Y128" s="79"/>
      <c r="AE128" s="130"/>
      <c r="AG128" s="106"/>
    </row>
    <row r="129">
      <c r="C129" s="79"/>
      <c r="D129" s="79"/>
      <c r="E129" s="79"/>
      <c r="O129" s="79"/>
      <c r="S129" s="79"/>
      <c r="T129" s="79"/>
      <c r="Y129" s="79"/>
      <c r="AE129" s="130"/>
      <c r="AG129" s="106"/>
    </row>
    <row r="130">
      <c r="C130" s="79"/>
      <c r="D130" s="79"/>
      <c r="E130" s="79"/>
      <c r="O130" s="79"/>
      <c r="S130" s="79"/>
      <c r="T130" s="79"/>
      <c r="Y130" s="79"/>
      <c r="AE130" s="130"/>
      <c r="AG130" s="106"/>
    </row>
    <row r="131">
      <c r="C131" s="79"/>
      <c r="D131" s="79"/>
      <c r="E131" s="79"/>
      <c r="O131" s="79"/>
      <c r="S131" s="79"/>
      <c r="T131" s="79"/>
      <c r="Y131" s="79"/>
      <c r="AE131" s="130"/>
      <c r="AG131" s="106"/>
    </row>
    <row r="132">
      <c r="C132" s="79"/>
      <c r="D132" s="79"/>
      <c r="E132" s="79"/>
      <c r="O132" s="79"/>
      <c r="S132" s="79"/>
      <c r="T132" s="79"/>
      <c r="Y132" s="79"/>
      <c r="AE132" s="130"/>
      <c r="AG132" s="106"/>
    </row>
    <row r="133">
      <c r="C133" s="79"/>
      <c r="D133" s="79"/>
      <c r="E133" s="79"/>
      <c r="O133" s="79"/>
      <c r="S133" s="79"/>
      <c r="T133" s="79"/>
      <c r="Y133" s="79"/>
      <c r="AE133" s="130"/>
      <c r="AG133" s="106"/>
    </row>
    <row r="134">
      <c r="C134" s="79"/>
      <c r="D134" s="79"/>
      <c r="E134" s="79"/>
      <c r="O134" s="79"/>
      <c r="S134" s="79"/>
      <c r="T134" s="79"/>
      <c r="Y134" s="79"/>
      <c r="AE134" s="130"/>
      <c r="AG134" s="106"/>
    </row>
    <row r="135">
      <c r="C135" s="79"/>
      <c r="D135" s="79"/>
      <c r="E135" s="79"/>
      <c r="O135" s="79"/>
      <c r="S135" s="79"/>
      <c r="T135" s="79"/>
      <c r="Y135" s="79"/>
      <c r="AE135" s="130"/>
      <c r="AG135" s="106"/>
    </row>
    <row r="136">
      <c r="C136" s="79"/>
      <c r="D136" s="79"/>
      <c r="E136" s="79"/>
      <c r="O136" s="79"/>
      <c r="S136" s="79"/>
      <c r="T136" s="79"/>
      <c r="Y136" s="79"/>
      <c r="AE136" s="130"/>
      <c r="AG136" s="106"/>
    </row>
    <row r="137">
      <c r="C137" s="79"/>
      <c r="D137" s="79"/>
      <c r="E137" s="79"/>
      <c r="O137" s="79"/>
      <c r="S137" s="79"/>
      <c r="T137" s="79"/>
      <c r="Y137" s="79"/>
      <c r="AE137" s="130"/>
      <c r="AG137" s="106"/>
    </row>
    <row r="138">
      <c r="C138" s="79"/>
      <c r="D138" s="79"/>
      <c r="E138" s="79"/>
      <c r="O138" s="79"/>
      <c r="S138" s="79"/>
      <c r="T138" s="79"/>
      <c r="Y138" s="79"/>
      <c r="AE138" s="130"/>
      <c r="AG138" s="106"/>
    </row>
    <row r="139">
      <c r="C139" s="79"/>
      <c r="D139" s="79"/>
      <c r="E139" s="79"/>
      <c r="O139" s="79"/>
      <c r="S139" s="79"/>
      <c r="T139" s="79"/>
      <c r="Y139" s="79"/>
      <c r="AE139" s="130"/>
      <c r="AG139" s="106"/>
    </row>
    <row r="140">
      <c r="C140" s="79"/>
      <c r="D140" s="79"/>
      <c r="E140" s="79"/>
      <c r="O140" s="79"/>
      <c r="S140" s="79"/>
      <c r="T140" s="79"/>
      <c r="Y140" s="79"/>
      <c r="AE140" s="130"/>
      <c r="AG140" s="106"/>
    </row>
    <row r="141">
      <c r="C141" s="79"/>
      <c r="D141" s="79"/>
      <c r="E141" s="79"/>
      <c r="O141" s="79"/>
      <c r="S141" s="79"/>
      <c r="T141" s="79"/>
      <c r="Y141" s="79"/>
      <c r="AE141" s="130"/>
      <c r="AG141" s="106"/>
    </row>
    <row r="142">
      <c r="C142" s="79"/>
      <c r="D142" s="79"/>
      <c r="E142" s="79"/>
      <c r="O142" s="79"/>
      <c r="S142" s="79"/>
      <c r="T142" s="79"/>
      <c r="Y142" s="79"/>
      <c r="AE142" s="130"/>
      <c r="AG142" s="106"/>
    </row>
    <row r="143">
      <c r="C143" s="79"/>
      <c r="D143" s="79"/>
      <c r="E143" s="79"/>
      <c r="O143" s="79"/>
      <c r="S143" s="79"/>
      <c r="T143" s="79"/>
      <c r="Y143" s="79"/>
      <c r="AE143" s="130"/>
      <c r="AG143" s="106"/>
    </row>
    <row r="144">
      <c r="C144" s="79"/>
      <c r="D144" s="79"/>
      <c r="E144" s="79"/>
      <c r="O144" s="79"/>
      <c r="S144" s="79"/>
      <c r="T144" s="79"/>
      <c r="Y144" s="79"/>
      <c r="AE144" s="130"/>
      <c r="AG144" s="106"/>
    </row>
    <row r="145">
      <c r="C145" s="79"/>
      <c r="D145" s="79"/>
      <c r="E145" s="79"/>
      <c r="O145" s="79"/>
      <c r="S145" s="79"/>
      <c r="T145" s="79"/>
      <c r="Y145" s="79"/>
      <c r="AE145" s="130"/>
      <c r="AG145" s="106"/>
    </row>
    <row r="146">
      <c r="C146" s="79"/>
      <c r="D146" s="79"/>
      <c r="E146" s="79"/>
      <c r="O146" s="79"/>
      <c r="S146" s="79"/>
      <c r="T146" s="79"/>
      <c r="Y146" s="79"/>
      <c r="AE146" s="130"/>
      <c r="AG146" s="106"/>
    </row>
    <row r="147">
      <c r="C147" s="79"/>
      <c r="D147" s="79"/>
      <c r="E147" s="79"/>
      <c r="O147" s="79"/>
      <c r="S147" s="79"/>
      <c r="T147" s="79"/>
      <c r="Y147" s="79"/>
      <c r="AE147" s="130"/>
      <c r="AG147" s="106"/>
    </row>
    <row r="148">
      <c r="C148" s="79"/>
      <c r="D148" s="79"/>
      <c r="E148" s="79"/>
      <c r="O148" s="79"/>
      <c r="S148" s="79"/>
      <c r="T148" s="79"/>
      <c r="Y148" s="79"/>
      <c r="AE148" s="130"/>
      <c r="AG148" s="106"/>
    </row>
    <row r="149">
      <c r="C149" s="79"/>
      <c r="D149" s="79"/>
      <c r="E149" s="79"/>
      <c r="O149" s="79"/>
      <c r="S149" s="79"/>
      <c r="T149" s="79"/>
      <c r="Y149" s="79"/>
      <c r="AE149" s="130"/>
      <c r="AG149" s="106"/>
    </row>
    <row r="150">
      <c r="C150" s="79"/>
      <c r="D150" s="79"/>
      <c r="E150" s="79"/>
      <c r="O150" s="79"/>
      <c r="S150" s="79"/>
      <c r="T150" s="79"/>
      <c r="Y150" s="79"/>
      <c r="AE150" s="130"/>
      <c r="AG150" s="106"/>
    </row>
    <row r="151">
      <c r="C151" s="79"/>
      <c r="D151" s="79"/>
      <c r="E151" s="79"/>
      <c r="O151" s="79"/>
      <c r="S151" s="79"/>
      <c r="T151" s="79"/>
      <c r="Y151" s="79"/>
      <c r="AE151" s="130"/>
      <c r="AG151" s="106"/>
    </row>
    <row r="152">
      <c r="C152" s="79"/>
      <c r="D152" s="79"/>
      <c r="E152" s="79"/>
      <c r="O152" s="79"/>
      <c r="S152" s="79"/>
      <c r="T152" s="79"/>
      <c r="Y152" s="79"/>
      <c r="AE152" s="130"/>
      <c r="AG152" s="106"/>
    </row>
    <row r="153">
      <c r="C153" s="79"/>
      <c r="D153" s="79"/>
      <c r="E153" s="79"/>
      <c r="O153" s="79"/>
      <c r="S153" s="79"/>
      <c r="T153" s="79"/>
      <c r="Y153" s="79"/>
      <c r="AE153" s="130"/>
      <c r="AG153" s="106"/>
    </row>
    <row r="154">
      <c r="C154" s="79"/>
      <c r="D154" s="79"/>
      <c r="E154" s="79"/>
      <c r="O154" s="79"/>
      <c r="S154" s="79"/>
      <c r="T154" s="79"/>
      <c r="Y154" s="79"/>
      <c r="AE154" s="130"/>
      <c r="AG154" s="106"/>
    </row>
    <row r="155">
      <c r="C155" s="79"/>
      <c r="D155" s="79"/>
      <c r="E155" s="79"/>
      <c r="O155" s="79"/>
      <c r="S155" s="79"/>
      <c r="T155" s="79"/>
      <c r="Y155" s="79"/>
      <c r="AE155" s="130"/>
      <c r="AG155" s="106"/>
    </row>
    <row r="156">
      <c r="C156" s="79"/>
      <c r="D156" s="79"/>
      <c r="E156" s="79"/>
      <c r="O156" s="79"/>
      <c r="S156" s="79"/>
      <c r="T156" s="79"/>
      <c r="Y156" s="79"/>
      <c r="AE156" s="130"/>
      <c r="AG156" s="106"/>
    </row>
    <row r="157">
      <c r="C157" s="79"/>
      <c r="D157" s="79"/>
      <c r="E157" s="79"/>
      <c r="O157" s="79"/>
      <c r="S157" s="79"/>
      <c r="T157" s="79"/>
      <c r="Y157" s="79"/>
      <c r="AE157" s="130"/>
      <c r="AG157" s="106"/>
    </row>
    <row r="158">
      <c r="C158" s="79"/>
      <c r="D158" s="79"/>
      <c r="E158" s="79"/>
      <c r="O158" s="79"/>
      <c r="S158" s="79"/>
      <c r="T158" s="79"/>
      <c r="Y158" s="79"/>
      <c r="AE158" s="130"/>
      <c r="AG158" s="106"/>
    </row>
    <row r="159">
      <c r="C159" s="79"/>
      <c r="D159" s="79"/>
      <c r="E159" s="79"/>
      <c r="O159" s="79"/>
      <c r="S159" s="79"/>
      <c r="T159" s="79"/>
      <c r="Y159" s="79"/>
      <c r="AE159" s="130"/>
      <c r="AG159" s="106"/>
    </row>
    <row r="160">
      <c r="C160" s="79"/>
      <c r="D160" s="79"/>
      <c r="E160" s="79"/>
      <c r="O160" s="79"/>
      <c r="S160" s="79"/>
      <c r="T160" s="79"/>
      <c r="Y160" s="79"/>
      <c r="AE160" s="130"/>
      <c r="AG160" s="106"/>
    </row>
    <row r="161">
      <c r="C161" s="79"/>
      <c r="D161" s="79"/>
      <c r="E161" s="79"/>
      <c r="O161" s="79"/>
      <c r="S161" s="79"/>
      <c r="T161" s="79"/>
      <c r="Y161" s="79"/>
      <c r="AE161" s="130"/>
      <c r="AG161" s="106"/>
    </row>
    <row r="162">
      <c r="C162" s="79"/>
      <c r="D162" s="79"/>
      <c r="E162" s="79"/>
      <c r="O162" s="79"/>
      <c r="S162" s="79"/>
      <c r="T162" s="79"/>
      <c r="Y162" s="79"/>
      <c r="AE162" s="130"/>
      <c r="AG162" s="106"/>
    </row>
    <row r="163">
      <c r="C163" s="79"/>
      <c r="D163" s="79"/>
      <c r="E163" s="79"/>
      <c r="O163" s="79"/>
      <c r="S163" s="79"/>
      <c r="T163" s="79"/>
      <c r="Y163" s="79"/>
      <c r="AE163" s="130"/>
      <c r="AG163" s="106"/>
    </row>
    <row r="164">
      <c r="C164" s="79"/>
      <c r="D164" s="79"/>
      <c r="E164" s="79"/>
      <c r="O164" s="79"/>
      <c r="S164" s="79"/>
      <c r="T164" s="79"/>
      <c r="Y164" s="79"/>
      <c r="AE164" s="130"/>
      <c r="AG164" s="106"/>
    </row>
    <row r="165">
      <c r="C165" s="79"/>
      <c r="D165" s="79"/>
      <c r="E165" s="79"/>
      <c r="O165" s="79"/>
      <c r="S165" s="79"/>
      <c r="T165" s="79"/>
      <c r="Y165" s="79"/>
      <c r="AE165" s="130"/>
      <c r="AG165" s="106"/>
    </row>
    <row r="166">
      <c r="C166" s="79"/>
      <c r="D166" s="79"/>
      <c r="E166" s="79"/>
      <c r="O166" s="79"/>
      <c r="S166" s="79"/>
      <c r="T166" s="79"/>
      <c r="Y166" s="79"/>
      <c r="AE166" s="130"/>
      <c r="AG166" s="106"/>
    </row>
    <row r="167">
      <c r="C167" s="79"/>
      <c r="D167" s="79"/>
      <c r="E167" s="79"/>
      <c r="O167" s="79"/>
      <c r="S167" s="79"/>
      <c r="T167" s="79"/>
      <c r="Y167" s="79"/>
      <c r="AE167" s="130"/>
      <c r="AG167" s="106"/>
    </row>
    <row r="168">
      <c r="C168" s="79"/>
      <c r="D168" s="79"/>
      <c r="E168" s="79"/>
      <c r="O168" s="79"/>
      <c r="S168" s="79"/>
      <c r="T168" s="79"/>
      <c r="Y168" s="79"/>
      <c r="AE168" s="130"/>
      <c r="AG168" s="106"/>
    </row>
    <row r="169">
      <c r="C169" s="79"/>
      <c r="D169" s="79"/>
      <c r="E169" s="79"/>
      <c r="O169" s="79"/>
      <c r="S169" s="79"/>
      <c r="T169" s="79"/>
      <c r="Y169" s="79"/>
      <c r="AE169" s="130"/>
      <c r="AG169" s="106"/>
    </row>
    <row r="170">
      <c r="C170" s="79"/>
      <c r="D170" s="79"/>
      <c r="E170" s="79"/>
      <c r="O170" s="79"/>
      <c r="S170" s="79"/>
      <c r="T170" s="79"/>
      <c r="Y170" s="79"/>
      <c r="AE170" s="130"/>
      <c r="AG170" s="106"/>
    </row>
    <row r="171">
      <c r="C171" s="79"/>
      <c r="D171" s="79"/>
      <c r="E171" s="79"/>
      <c r="O171" s="79"/>
      <c r="S171" s="79"/>
      <c r="T171" s="79"/>
      <c r="Y171" s="79"/>
      <c r="AE171" s="130"/>
      <c r="AG171" s="106"/>
    </row>
    <row r="172">
      <c r="C172" s="79"/>
      <c r="D172" s="79"/>
      <c r="E172" s="79"/>
      <c r="O172" s="79"/>
      <c r="S172" s="79"/>
      <c r="T172" s="79"/>
      <c r="Y172" s="79"/>
      <c r="AE172" s="130"/>
      <c r="AG172" s="106"/>
    </row>
    <row r="173">
      <c r="C173" s="79"/>
      <c r="D173" s="79"/>
      <c r="E173" s="79"/>
      <c r="O173" s="79"/>
      <c r="S173" s="79"/>
      <c r="T173" s="79"/>
      <c r="Y173" s="79"/>
      <c r="AE173" s="130"/>
      <c r="AG173" s="106"/>
    </row>
    <row r="174">
      <c r="C174" s="79"/>
      <c r="D174" s="79"/>
      <c r="E174" s="79"/>
      <c r="O174" s="79"/>
      <c r="S174" s="79"/>
      <c r="T174" s="79"/>
      <c r="Y174" s="79"/>
      <c r="AE174" s="130"/>
      <c r="AG174" s="106"/>
    </row>
    <row r="175">
      <c r="C175" s="79"/>
      <c r="D175" s="79"/>
      <c r="E175" s="79"/>
      <c r="O175" s="79"/>
      <c r="S175" s="79"/>
      <c r="T175" s="79"/>
      <c r="Y175" s="79"/>
      <c r="AE175" s="130"/>
      <c r="AG175" s="106"/>
    </row>
    <row r="176">
      <c r="C176" s="79"/>
      <c r="D176" s="79"/>
      <c r="E176" s="79"/>
      <c r="O176" s="79"/>
      <c r="S176" s="79"/>
      <c r="T176" s="79"/>
      <c r="Y176" s="79"/>
      <c r="AE176" s="130"/>
      <c r="AG176" s="106"/>
    </row>
    <row r="177">
      <c r="C177" s="79"/>
      <c r="D177" s="79"/>
      <c r="E177" s="79"/>
      <c r="O177" s="79"/>
      <c r="S177" s="79"/>
      <c r="T177" s="79"/>
      <c r="Y177" s="79"/>
      <c r="AE177" s="130"/>
      <c r="AG177" s="106"/>
    </row>
    <row r="178">
      <c r="C178" s="79"/>
      <c r="D178" s="79"/>
      <c r="E178" s="79"/>
      <c r="O178" s="79"/>
      <c r="S178" s="79"/>
      <c r="T178" s="79"/>
      <c r="Y178" s="79"/>
      <c r="AE178" s="130"/>
      <c r="AG178" s="106"/>
    </row>
    <row r="179">
      <c r="C179" s="79"/>
      <c r="D179" s="79"/>
      <c r="E179" s="79"/>
      <c r="O179" s="79"/>
      <c r="S179" s="79"/>
      <c r="T179" s="79"/>
      <c r="Y179" s="79"/>
      <c r="AE179" s="130"/>
      <c r="AG179" s="106"/>
    </row>
    <row r="180">
      <c r="C180" s="79"/>
      <c r="D180" s="79"/>
      <c r="E180" s="79"/>
      <c r="O180" s="79"/>
      <c r="S180" s="79"/>
      <c r="T180" s="79"/>
      <c r="Y180" s="79"/>
      <c r="AE180" s="130"/>
      <c r="AG180" s="106"/>
    </row>
    <row r="181">
      <c r="C181" s="79"/>
      <c r="D181" s="79"/>
      <c r="E181" s="79"/>
      <c r="O181" s="79"/>
      <c r="S181" s="79"/>
      <c r="T181" s="79"/>
      <c r="Y181" s="79"/>
      <c r="AE181" s="130"/>
      <c r="AG181" s="106"/>
    </row>
    <row r="182">
      <c r="C182" s="79"/>
      <c r="D182" s="79"/>
      <c r="E182" s="79"/>
      <c r="O182" s="79"/>
      <c r="S182" s="79"/>
      <c r="T182" s="79"/>
      <c r="Y182" s="79"/>
      <c r="AE182" s="130"/>
      <c r="AG182" s="106"/>
    </row>
    <row r="183">
      <c r="C183" s="79"/>
      <c r="D183" s="79"/>
      <c r="E183" s="79"/>
      <c r="O183" s="79"/>
      <c r="S183" s="79"/>
      <c r="T183" s="79"/>
      <c r="Y183" s="79"/>
      <c r="AE183" s="130"/>
      <c r="AG183" s="106"/>
    </row>
    <row r="184">
      <c r="C184" s="79"/>
      <c r="D184" s="79"/>
      <c r="E184" s="79"/>
      <c r="O184" s="79"/>
      <c r="S184" s="79"/>
      <c r="T184" s="79"/>
      <c r="Y184" s="79"/>
      <c r="AE184" s="130"/>
      <c r="AG184" s="106"/>
    </row>
    <row r="185">
      <c r="C185" s="79"/>
      <c r="D185" s="79"/>
      <c r="E185" s="79"/>
      <c r="O185" s="79"/>
      <c r="S185" s="79"/>
      <c r="T185" s="79"/>
      <c r="Y185" s="79"/>
      <c r="AE185" s="130"/>
      <c r="AG185" s="106"/>
    </row>
    <row r="186">
      <c r="C186" s="79"/>
      <c r="D186" s="79"/>
      <c r="E186" s="79"/>
      <c r="O186" s="79"/>
      <c r="S186" s="79"/>
      <c r="T186" s="79"/>
      <c r="Y186" s="79"/>
      <c r="AE186" s="130"/>
      <c r="AG186" s="106"/>
    </row>
    <row r="187">
      <c r="C187" s="79"/>
      <c r="D187" s="79"/>
      <c r="E187" s="79"/>
      <c r="O187" s="79"/>
      <c r="S187" s="79"/>
      <c r="T187" s="79"/>
      <c r="Y187" s="79"/>
      <c r="AE187" s="130"/>
      <c r="AG187" s="106"/>
    </row>
    <row r="188">
      <c r="C188" s="79"/>
      <c r="D188" s="79"/>
      <c r="E188" s="79"/>
      <c r="O188" s="79"/>
      <c r="S188" s="79"/>
      <c r="T188" s="79"/>
      <c r="Y188" s="79"/>
      <c r="AE188" s="130"/>
      <c r="AG188" s="106"/>
    </row>
    <row r="189">
      <c r="C189" s="79"/>
      <c r="D189" s="79"/>
      <c r="E189" s="79"/>
      <c r="O189" s="79"/>
      <c r="S189" s="79"/>
      <c r="T189" s="79"/>
      <c r="Y189" s="79"/>
      <c r="AE189" s="130"/>
      <c r="AG189" s="106"/>
    </row>
    <row r="190">
      <c r="C190" s="79"/>
      <c r="D190" s="79"/>
      <c r="E190" s="79"/>
      <c r="O190" s="79"/>
      <c r="S190" s="79"/>
      <c r="T190" s="79"/>
      <c r="Y190" s="79"/>
      <c r="AE190" s="130"/>
      <c r="AG190" s="106"/>
    </row>
    <row r="191">
      <c r="C191" s="79"/>
      <c r="D191" s="79"/>
      <c r="E191" s="79"/>
      <c r="O191" s="79"/>
      <c r="S191" s="79"/>
      <c r="T191" s="79"/>
      <c r="Y191" s="79"/>
      <c r="AE191" s="130"/>
      <c r="AG191" s="106"/>
    </row>
    <row r="192">
      <c r="C192" s="79"/>
      <c r="D192" s="79"/>
      <c r="E192" s="79"/>
      <c r="O192" s="79"/>
      <c r="S192" s="79"/>
      <c r="T192" s="79"/>
      <c r="Y192" s="79"/>
      <c r="AE192" s="130"/>
      <c r="AG192" s="106"/>
    </row>
    <row r="193">
      <c r="C193" s="79"/>
      <c r="D193" s="79"/>
      <c r="E193" s="79"/>
      <c r="O193" s="79"/>
      <c r="S193" s="79"/>
      <c r="T193" s="79"/>
      <c r="Y193" s="79"/>
      <c r="AE193" s="130"/>
      <c r="AG193" s="106"/>
    </row>
    <row r="194">
      <c r="C194" s="79"/>
      <c r="D194" s="79"/>
      <c r="E194" s="79"/>
      <c r="O194" s="79"/>
      <c r="S194" s="79"/>
      <c r="T194" s="79"/>
      <c r="Y194" s="79"/>
      <c r="AE194" s="130"/>
      <c r="AG194" s="106"/>
    </row>
    <row r="195">
      <c r="C195" s="79"/>
      <c r="D195" s="79"/>
      <c r="E195" s="79"/>
      <c r="O195" s="79"/>
      <c r="S195" s="79"/>
      <c r="T195" s="79"/>
      <c r="Y195" s="79"/>
      <c r="AE195" s="130"/>
      <c r="AG195" s="106"/>
    </row>
    <row r="196">
      <c r="C196" s="79"/>
      <c r="D196" s="79"/>
      <c r="E196" s="79"/>
      <c r="O196" s="79"/>
      <c r="S196" s="79"/>
      <c r="T196" s="79"/>
      <c r="Y196" s="79"/>
      <c r="AE196" s="130"/>
      <c r="AG196" s="106"/>
    </row>
    <row r="197">
      <c r="C197" s="79"/>
      <c r="D197" s="79"/>
      <c r="E197" s="79"/>
      <c r="O197" s="79"/>
      <c r="S197" s="79"/>
      <c r="T197" s="79"/>
      <c r="Y197" s="79"/>
      <c r="AE197" s="130"/>
      <c r="AG197" s="106"/>
    </row>
    <row r="198">
      <c r="C198" s="79"/>
      <c r="D198" s="79"/>
      <c r="E198" s="79"/>
      <c r="O198" s="79"/>
      <c r="S198" s="79"/>
      <c r="T198" s="79"/>
      <c r="Y198" s="79"/>
      <c r="AE198" s="130"/>
      <c r="AG198" s="106"/>
    </row>
    <row r="199">
      <c r="C199" s="79"/>
      <c r="D199" s="79"/>
      <c r="E199" s="79"/>
      <c r="O199" s="79"/>
      <c r="S199" s="79"/>
      <c r="T199" s="79"/>
      <c r="Y199" s="79"/>
      <c r="AE199" s="130"/>
      <c r="AG199" s="106"/>
    </row>
    <row r="200">
      <c r="C200" s="79"/>
      <c r="D200" s="79"/>
      <c r="E200" s="79"/>
      <c r="O200" s="79"/>
      <c r="S200" s="79"/>
      <c r="T200" s="79"/>
      <c r="Y200" s="79"/>
      <c r="AE200" s="130"/>
      <c r="AG200" s="106"/>
    </row>
    <row r="201">
      <c r="C201" s="79"/>
      <c r="D201" s="79"/>
      <c r="E201" s="79"/>
      <c r="O201" s="79"/>
      <c r="S201" s="79"/>
      <c r="T201" s="79"/>
      <c r="Y201" s="79"/>
      <c r="AE201" s="130"/>
      <c r="AG201" s="106"/>
    </row>
    <row r="202">
      <c r="C202" s="79"/>
      <c r="D202" s="79"/>
      <c r="E202" s="79"/>
      <c r="O202" s="79"/>
      <c r="S202" s="79"/>
      <c r="T202" s="79"/>
      <c r="Y202" s="79"/>
      <c r="AE202" s="130"/>
      <c r="AG202" s="106"/>
    </row>
    <row r="203">
      <c r="C203" s="79"/>
      <c r="D203" s="79"/>
      <c r="E203" s="79"/>
      <c r="O203" s="79"/>
      <c r="S203" s="79"/>
      <c r="T203" s="79"/>
      <c r="Y203" s="79"/>
      <c r="AE203" s="130"/>
      <c r="AG203" s="106"/>
    </row>
    <row r="204">
      <c r="C204" s="79"/>
      <c r="D204" s="79"/>
      <c r="E204" s="79"/>
      <c r="O204" s="79"/>
      <c r="S204" s="79"/>
      <c r="T204" s="79"/>
      <c r="Y204" s="79"/>
      <c r="AE204" s="130"/>
      <c r="AG204" s="106"/>
    </row>
    <row r="205">
      <c r="C205" s="79"/>
      <c r="D205" s="79"/>
      <c r="E205" s="79"/>
      <c r="O205" s="79"/>
      <c r="S205" s="79"/>
      <c r="T205" s="79"/>
      <c r="Y205" s="79"/>
      <c r="AE205" s="130"/>
      <c r="AG205" s="106"/>
    </row>
    <row r="206">
      <c r="C206" s="79"/>
      <c r="D206" s="79"/>
      <c r="E206" s="79"/>
      <c r="O206" s="79"/>
      <c r="S206" s="79"/>
      <c r="T206" s="79"/>
      <c r="Y206" s="79"/>
      <c r="AE206" s="130"/>
      <c r="AG206" s="106"/>
    </row>
    <row r="207">
      <c r="C207" s="79"/>
      <c r="D207" s="79"/>
      <c r="E207" s="79"/>
      <c r="O207" s="79"/>
      <c r="S207" s="79"/>
      <c r="T207" s="79"/>
      <c r="Y207" s="79"/>
      <c r="AE207" s="130"/>
      <c r="AG207" s="106"/>
    </row>
    <row r="208">
      <c r="C208" s="79"/>
      <c r="D208" s="79"/>
      <c r="E208" s="79"/>
      <c r="O208" s="79"/>
      <c r="S208" s="79"/>
      <c r="T208" s="79"/>
      <c r="Y208" s="79"/>
      <c r="AE208" s="130"/>
      <c r="AG208" s="106"/>
    </row>
    <row r="209">
      <c r="C209" s="79"/>
      <c r="D209" s="79"/>
      <c r="E209" s="79"/>
      <c r="O209" s="79"/>
      <c r="S209" s="79"/>
      <c r="T209" s="79"/>
      <c r="Y209" s="79"/>
      <c r="AE209" s="130"/>
      <c r="AG209" s="106"/>
    </row>
    <row r="210">
      <c r="C210" s="79"/>
      <c r="D210" s="79"/>
      <c r="E210" s="79"/>
      <c r="O210" s="79"/>
      <c r="S210" s="79"/>
      <c r="T210" s="79"/>
      <c r="Y210" s="79"/>
      <c r="AE210" s="130"/>
      <c r="AG210" s="106"/>
    </row>
    <row r="211">
      <c r="C211" s="79"/>
      <c r="D211" s="79"/>
      <c r="E211" s="79"/>
      <c r="O211" s="79"/>
      <c r="S211" s="79"/>
      <c r="T211" s="79"/>
      <c r="Y211" s="79"/>
      <c r="AE211" s="130"/>
      <c r="AG211" s="106"/>
    </row>
    <row r="212">
      <c r="C212" s="79"/>
      <c r="D212" s="79"/>
      <c r="E212" s="79"/>
      <c r="O212" s="79"/>
      <c r="S212" s="79"/>
      <c r="T212" s="79"/>
      <c r="Y212" s="79"/>
      <c r="AE212" s="130"/>
      <c r="AG212" s="106"/>
    </row>
    <row r="213">
      <c r="C213" s="79"/>
      <c r="D213" s="79"/>
      <c r="E213" s="79"/>
      <c r="O213" s="79"/>
      <c r="S213" s="79"/>
      <c r="T213" s="79"/>
      <c r="Y213" s="79"/>
      <c r="AE213" s="130"/>
      <c r="AG213" s="106"/>
    </row>
    <row r="214">
      <c r="C214" s="79"/>
      <c r="D214" s="79"/>
      <c r="E214" s="79"/>
      <c r="O214" s="79"/>
      <c r="S214" s="79"/>
      <c r="T214" s="79"/>
      <c r="Y214" s="79"/>
      <c r="AE214" s="130"/>
      <c r="AG214" s="106"/>
    </row>
    <row r="215">
      <c r="C215" s="79"/>
      <c r="D215" s="79"/>
      <c r="E215" s="79"/>
      <c r="O215" s="79"/>
      <c r="S215" s="79"/>
      <c r="T215" s="79"/>
      <c r="Y215" s="79"/>
      <c r="AE215" s="130"/>
      <c r="AG215" s="106"/>
    </row>
    <row r="216">
      <c r="C216" s="79"/>
      <c r="D216" s="79"/>
      <c r="E216" s="79"/>
      <c r="O216" s="79"/>
      <c r="S216" s="79"/>
      <c r="T216" s="79"/>
      <c r="Y216" s="79"/>
      <c r="AE216" s="130"/>
      <c r="AG216" s="106"/>
    </row>
    <row r="217">
      <c r="C217" s="79"/>
      <c r="D217" s="79"/>
      <c r="E217" s="79"/>
      <c r="O217" s="79"/>
      <c r="S217" s="79"/>
      <c r="T217" s="79"/>
      <c r="Y217" s="79"/>
      <c r="AE217" s="130"/>
      <c r="AG217" s="106"/>
    </row>
    <row r="218">
      <c r="C218" s="79"/>
      <c r="D218" s="79"/>
      <c r="E218" s="79"/>
      <c r="O218" s="79"/>
      <c r="S218" s="79"/>
      <c r="T218" s="79"/>
      <c r="Y218" s="79"/>
      <c r="AE218" s="130"/>
      <c r="AG218" s="106"/>
    </row>
    <row r="219">
      <c r="C219" s="79"/>
      <c r="D219" s="79"/>
      <c r="E219" s="79"/>
      <c r="O219" s="79"/>
      <c r="S219" s="79"/>
      <c r="T219" s="79"/>
      <c r="Y219" s="79"/>
      <c r="AE219" s="130"/>
      <c r="AG219" s="106"/>
    </row>
    <row r="220">
      <c r="C220" s="79"/>
      <c r="D220" s="79"/>
      <c r="E220" s="79"/>
      <c r="O220" s="79"/>
      <c r="S220" s="79"/>
      <c r="T220" s="79"/>
      <c r="Y220" s="79"/>
      <c r="AE220" s="130"/>
      <c r="AG220" s="106"/>
    </row>
    <row r="221">
      <c r="C221" s="79"/>
      <c r="D221" s="79"/>
      <c r="E221" s="79"/>
      <c r="O221" s="79"/>
      <c r="S221" s="79"/>
      <c r="T221" s="79"/>
      <c r="Y221" s="79"/>
      <c r="AE221" s="130"/>
      <c r="AG221" s="106"/>
    </row>
    <row r="222">
      <c r="C222" s="79"/>
      <c r="D222" s="79"/>
      <c r="E222" s="79"/>
      <c r="O222" s="79"/>
      <c r="S222" s="79"/>
      <c r="T222" s="79"/>
      <c r="Y222" s="79"/>
      <c r="AE222" s="130"/>
      <c r="AG222" s="106"/>
    </row>
    <row r="223">
      <c r="C223" s="79"/>
      <c r="D223" s="79"/>
      <c r="E223" s="79"/>
      <c r="O223" s="79"/>
      <c r="S223" s="79"/>
      <c r="T223" s="79"/>
      <c r="Y223" s="79"/>
      <c r="AE223" s="130"/>
      <c r="AG223" s="106"/>
    </row>
    <row r="224">
      <c r="C224" s="79"/>
      <c r="D224" s="79"/>
      <c r="E224" s="79"/>
      <c r="O224" s="79"/>
      <c r="S224" s="79"/>
      <c r="T224" s="79"/>
      <c r="Y224" s="79"/>
      <c r="AE224" s="130"/>
      <c r="AG224" s="106"/>
    </row>
    <row r="225">
      <c r="C225" s="79"/>
      <c r="D225" s="79"/>
      <c r="E225" s="79"/>
      <c r="O225" s="79"/>
      <c r="S225" s="79"/>
      <c r="T225" s="79"/>
      <c r="Y225" s="79"/>
      <c r="AE225" s="130"/>
      <c r="AG225" s="106"/>
    </row>
    <row r="226">
      <c r="C226" s="79"/>
      <c r="D226" s="79"/>
      <c r="E226" s="79"/>
      <c r="O226" s="79"/>
      <c r="S226" s="79"/>
      <c r="T226" s="79"/>
      <c r="Y226" s="79"/>
      <c r="AE226" s="130"/>
      <c r="AG226" s="106"/>
    </row>
    <row r="227">
      <c r="C227" s="79"/>
      <c r="D227" s="79"/>
      <c r="E227" s="79"/>
      <c r="O227" s="79"/>
      <c r="S227" s="79"/>
      <c r="T227" s="79"/>
      <c r="Y227" s="79"/>
      <c r="AE227" s="130"/>
      <c r="AG227" s="106"/>
    </row>
    <row r="228">
      <c r="C228" s="79"/>
      <c r="D228" s="79"/>
      <c r="E228" s="79"/>
      <c r="O228" s="79"/>
      <c r="S228" s="79"/>
      <c r="T228" s="79"/>
      <c r="Y228" s="79"/>
      <c r="AE228" s="130"/>
      <c r="AG228" s="106"/>
    </row>
    <row r="229">
      <c r="C229" s="79"/>
      <c r="D229" s="79"/>
      <c r="E229" s="79"/>
      <c r="O229" s="79"/>
      <c r="S229" s="79"/>
      <c r="T229" s="79"/>
      <c r="Y229" s="79"/>
      <c r="AE229" s="130"/>
      <c r="AG229" s="106"/>
    </row>
    <row r="230">
      <c r="C230" s="79"/>
      <c r="D230" s="79"/>
      <c r="E230" s="79"/>
      <c r="O230" s="79"/>
      <c r="S230" s="79"/>
      <c r="T230" s="79"/>
      <c r="Y230" s="79"/>
      <c r="AE230" s="130"/>
      <c r="AG230" s="106"/>
    </row>
    <row r="231">
      <c r="C231" s="79"/>
      <c r="D231" s="79"/>
      <c r="E231" s="79"/>
      <c r="O231" s="79"/>
      <c r="S231" s="79"/>
      <c r="T231" s="79"/>
      <c r="Y231" s="79"/>
      <c r="AE231" s="130"/>
      <c r="AG231" s="106"/>
    </row>
    <row r="232">
      <c r="C232" s="79"/>
      <c r="D232" s="79"/>
      <c r="E232" s="79"/>
      <c r="O232" s="79"/>
      <c r="S232" s="79"/>
      <c r="T232" s="79"/>
      <c r="Y232" s="79"/>
      <c r="AE232" s="130"/>
      <c r="AG232" s="106"/>
    </row>
    <row r="233">
      <c r="C233" s="79"/>
      <c r="D233" s="79"/>
      <c r="E233" s="79"/>
      <c r="O233" s="79"/>
      <c r="S233" s="79"/>
      <c r="T233" s="79"/>
      <c r="Y233" s="79"/>
      <c r="AE233" s="130"/>
      <c r="AG233" s="106"/>
    </row>
    <row r="234">
      <c r="C234" s="79"/>
      <c r="D234" s="79"/>
      <c r="E234" s="79"/>
      <c r="O234" s="79"/>
      <c r="S234" s="79"/>
      <c r="T234" s="79"/>
      <c r="Y234" s="79"/>
      <c r="AE234" s="130"/>
      <c r="AG234" s="106"/>
    </row>
    <row r="235">
      <c r="C235" s="79"/>
      <c r="D235" s="79"/>
      <c r="E235" s="79"/>
      <c r="O235" s="79"/>
      <c r="S235" s="79"/>
      <c r="T235" s="79"/>
      <c r="Y235" s="79"/>
      <c r="AE235" s="130"/>
      <c r="AG235" s="106"/>
    </row>
    <row r="236">
      <c r="C236" s="79"/>
      <c r="D236" s="79"/>
      <c r="E236" s="79"/>
      <c r="O236" s="79"/>
      <c r="S236" s="79"/>
      <c r="T236" s="79"/>
      <c r="Y236" s="79"/>
      <c r="AE236" s="130"/>
      <c r="AG236" s="106"/>
    </row>
    <row r="237">
      <c r="C237" s="79"/>
      <c r="D237" s="79"/>
      <c r="E237" s="79"/>
      <c r="O237" s="79"/>
      <c r="S237" s="79"/>
      <c r="T237" s="79"/>
      <c r="Y237" s="79"/>
      <c r="AE237" s="130"/>
      <c r="AG237" s="106"/>
    </row>
    <row r="238">
      <c r="C238" s="79"/>
      <c r="D238" s="79"/>
      <c r="E238" s="79"/>
      <c r="O238" s="79"/>
      <c r="S238" s="79"/>
      <c r="T238" s="79"/>
      <c r="Y238" s="79"/>
      <c r="AE238" s="130"/>
      <c r="AG238" s="106"/>
    </row>
    <row r="239">
      <c r="C239" s="79"/>
      <c r="D239" s="79"/>
      <c r="E239" s="79"/>
      <c r="O239" s="79"/>
      <c r="S239" s="79"/>
      <c r="T239" s="79"/>
      <c r="Y239" s="79"/>
      <c r="AE239" s="130"/>
      <c r="AG239" s="106"/>
    </row>
    <row r="240">
      <c r="C240" s="79"/>
      <c r="D240" s="79"/>
      <c r="E240" s="79"/>
      <c r="O240" s="79"/>
      <c r="S240" s="79"/>
      <c r="T240" s="79"/>
      <c r="Y240" s="79"/>
      <c r="AE240" s="130"/>
      <c r="AG240" s="106"/>
    </row>
    <row r="241">
      <c r="C241" s="79"/>
      <c r="D241" s="79"/>
      <c r="E241" s="79"/>
      <c r="O241" s="79"/>
      <c r="S241" s="79"/>
      <c r="T241" s="79"/>
      <c r="Y241" s="79"/>
      <c r="AE241" s="130"/>
      <c r="AG241" s="106"/>
    </row>
    <row r="242">
      <c r="C242" s="79"/>
      <c r="D242" s="79"/>
      <c r="E242" s="79"/>
      <c r="O242" s="79"/>
      <c r="S242" s="79"/>
      <c r="T242" s="79"/>
      <c r="Y242" s="79"/>
      <c r="AE242" s="130"/>
      <c r="AG242" s="106"/>
    </row>
    <row r="243">
      <c r="C243" s="79"/>
      <c r="D243" s="79"/>
      <c r="E243" s="79"/>
      <c r="O243" s="79"/>
      <c r="S243" s="79"/>
      <c r="T243" s="79"/>
      <c r="Y243" s="79"/>
      <c r="AE243" s="130"/>
      <c r="AG243" s="106"/>
    </row>
    <row r="244">
      <c r="C244" s="79"/>
      <c r="D244" s="79"/>
      <c r="E244" s="79"/>
      <c r="O244" s="79"/>
      <c r="S244" s="79"/>
      <c r="T244" s="79"/>
      <c r="Y244" s="79"/>
      <c r="AE244" s="130"/>
      <c r="AG244" s="106"/>
    </row>
    <row r="245">
      <c r="C245" s="79"/>
      <c r="D245" s="79"/>
      <c r="E245" s="79"/>
      <c r="O245" s="79"/>
      <c r="S245" s="79"/>
      <c r="T245" s="79"/>
      <c r="Y245" s="79"/>
      <c r="AE245" s="130"/>
      <c r="AG245" s="106"/>
    </row>
    <row r="246">
      <c r="C246" s="79"/>
      <c r="D246" s="79"/>
      <c r="E246" s="79"/>
      <c r="O246" s="79"/>
      <c r="S246" s="79"/>
      <c r="T246" s="79"/>
      <c r="Y246" s="79"/>
      <c r="AE246" s="130"/>
      <c r="AG246" s="106"/>
    </row>
    <row r="247">
      <c r="C247" s="79"/>
      <c r="D247" s="79"/>
      <c r="E247" s="79"/>
      <c r="O247" s="79"/>
      <c r="S247" s="79"/>
      <c r="T247" s="79"/>
      <c r="Y247" s="79"/>
      <c r="AE247" s="130"/>
      <c r="AG247" s="106"/>
    </row>
    <row r="248">
      <c r="C248" s="79"/>
      <c r="D248" s="79"/>
      <c r="E248" s="79"/>
      <c r="O248" s="79"/>
      <c r="S248" s="79"/>
      <c r="T248" s="79"/>
      <c r="Y248" s="79"/>
      <c r="AE248" s="130"/>
      <c r="AG248" s="106"/>
    </row>
    <row r="249">
      <c r="C249" s="79"/>
      <c r="D249" s="79"/>
      <c r="E249" s="79"/>
      <c r="O249" s="79"/>
      <c r="S249" s="79"/>
      <c r="T249" s="79"/>
      <c r="Y249" s="79"/>
      <c r="AE249" s="130"/>
      <c r="AG249" s="106"/>
    </row>
    <row r="250">
      <c r="C250" s="79"/>
      <c r="D250" s="79"/>
      <c r="E250" s="79"/>
      <c r="O250" s="79"/>
      <c r="S250" s="79"/>
      <c r="T250" s="79"/>
      <c r="Y250" s="79"/>
      <c r="AE250" s="130"/>
      <c r="AG250" s="106"/>
    </row>
    <row r="251">
      <c r="C251" s="79"/>
      <c r="D251" s="79"/>
      <c r="E251" s="79"/>
      <c r="O251" s="79"/>
      <c r="S251" s="79"/>
      <c r="T251" s="79"/>
      <c r="Y251" s="79"/>
      <c r="AE251" s="130"/>
      <c r="AG251" s="106"/>
    </row>
    <row r="252">
      <c r="C252" s="79"/>
      <c r="D252" s="79"/>
      <c r="E252" s="79"/>
      <c r="O252" s="79"/>
      <c r="S252" s="79"/>
      <c r="T252" s="79"/>
      <c r="Y252" s="79"/>
      <c r="AE252" s="130"/>
      <c r="AG252" s="106"/>
    </row>
    <row r="253">
      <c r="C253" s="79"/>
      <c r="D253" s="79"/>
      <c r="E253" s="79"/>
      <c r="O253" s="79"/>
      <c r="S253" s="79"/>
      <c r="T253" s="79"/>
      <c r="Y253" s="79"/>
      <c r="AE253" s="130"/>
      <c r="AG253" s="106"/>
    </row>
    <row r="254">
      <c r="C254" s="79"/>
      <c r="D254" s="79"/>
      <c r="E254" s="79"/>
      <c r="O254" s="79"/>
      <c r="S254" s="79"/>
      <c r="T254" s="79"/>
      <c r="Y254" s="79"/>
      <c r="AE254" s="130"/>
      <c r="AG254" s="106"/>
    </row>
    <row r="255">
      <c r="C255" s="79"/>
      <c r="D255" s="79"/>
      <c r="E255" s="79"/>
      <c r="O255" s="79"/>
      <c r="S255" s="79"/>
      <c r="T255" s="79"/>
      <c r="Y255" s="79"/>
      <c r="AE255" s="130"/>
      <c r="AG255" s="106"/>
    </row>
    <row r="256">
      <c r="C256" s="79"/>
      <c r="D256" s="79"/>
      <c r="E256" s="79"/>
      <c r="O256" s="79"/>
      <c r="S256" s="79"/>
      <c r="T256" s="79"/>
      <c r="Y256" s="79"/>
      <c r="AE256" s="130"/>
      <c r="AG256" s="106"/>
    </row>
    <row r="257">
      <c r="C257" s="79"/>
      <c r="D257" s="79"/>
      <c r="E257" s="79"/>
      <c r="O257" s="79"/>
      <c r="S257" s="79"/>
      <c r="T257" s="79"/>
      <c r="Y257" s="79"/>
      <c r="AE257" s="130"/>
      <c r="AG257" s="106"/>
    </row>
    <row r="258">
      <c r="C258" s="79"/>
      <c r="D258" s="79"/>
      <c r="E258" s="79"/>
      <c r="O258" s="79"/>
      <c r="S258" s="79"/>
      <c r="T258" s="79"/>
      <c r="Y258" s="79"/>
      <c r="AE258" s="130"/>
      <c r="AG258" s="106"/>
    </row>
    <row r="259">
      <c r="C259" s="79"/>
      <c r="D259" s="79"/>
      <c r="E259" s="79"/>
      <c r="O259" s="79"/>
      <c r="S259" s="79"/>
      <c r="T259" s="79"/>
      <c r="Y259" s="79"/>
      <c r="AE259" s="130"/>
      <c r="AG259" s="106"/>
    </row>
    <row r="260">
      <c r="C260" s="79"/>
      <c r="D260" s="79"/>
      <c r="E260" s="79"/>
      <c r="O260" s="79"/>
      <c r="S260" s="79"/>
      <c r="T260" s="79"/>
      <c r="Y260" s="79"/>
      <c r="AE260" s="130"/>
      <c r="AG260" s="106"/>
    </row>
    <row r="261">
      <c r="C261" s="79"/>
      <c r="D261" s="79"/>
      <c r="E261" s="79"/>
      <c r="O261" s="79"/>
      <c r="S261" s="79"/>
      <c r="T261" s="79"/>
      <c r="Y261" s="79"/>
      <c r="AE261" s="130"/>
      <c r="AG261" s="106"/>
    </row>
    <row r="262">
      <c r="C262" s="79"/>
      <c r="D262" s="79"/>
      <c r="E262" s="79"/>
      <c r="O262" s="79"/>
      <c r="S262" s="79"/>
      <c r="T262" s="79"/>
      <c r="Y262" s="79"/>
      <c r="AE262" s="130"/>
      <c r="AG262" s="106"/>
    </row>
    <row r="263">
      <c r="C263" s="79"/>
      <c r="D263" s="79"/>
      <c r="E263" s="79"/>
      <c r="O263" s="79"/>
      <c r="S263" s="79"/>
      <c r="T263" s="79"/>
      <c r="Y263" s="79"/>
      <c r="AE263" s="130"/>
      <c r="AG263" s="106"/>
    </row>
    <row r="264">
      <c r="C264" s="79"/>
      <c r="D264" s="79"/>
      <c r="E264" s="79"/>
      <c r="O264" s="79"/>
      <c r="S264" s="79"/>
      <c r="T264" s="79"/>
      <c r="Y264" s="79"/>
      <c r="AE264" s="130"/>
      <c r="AG264" s="106"/>
    </row>
    <row r="265">
      <c r="C265" s="79"/>
      <c r="D265" s="79"/>
      <c r="E265" s="79"/>
      <c r="O265" s="79"/>
      <c r="S265" s="79"/>
      <c r="T265" s="79"/>
      <c r="Y265" s="79"/>
      <c r="AE265" s="130"/>
      <c r="AG265" s="106"/>
    </row>
    <row r="266">
      <c r="C266" s="79"/>
      <c r="D266" s="79"/>
      <c r="E266" s="79"/>
      <c r="O266" s="79"/>
      <c r="S266" s="79"/>
      <c r="T266" s="79"/>
      <c r="Y266" s="79"/>
      <c r="AE266" s="130"/>
      <c r="AG266" s="106"/>
    </row>
    <row r="267">
      <c r="C267" s="79"/>
      <c r="D267" s="79"/>
      <c r="E267" s="79"/>
      <c r="O267" s="79"/>
      <c r="S267" s="79"/>
      <c r="T267" s="79"/>
      <c r="Y267" s="79"/>
      <c r="AE267" s="130"/>
      <c r="AG267" s="106"/>
    </row>
    <row r="268">
      <c r="C268" s="79"/>
      <c r="D268" s="79"/>
      <c r="E268" s="79"/>
      <c r="O268" s="79"/>
      <c r="S268" s="79"/>
      <c r="T268" s="79"/>
      <c r="Y268" s="79"/>
      <c r="AE268" s="130"/>
      <c r="AG268" s="106"/>
    </row>
    <row r="269">
      <c r="C269" s="79"/>
      <c r="D269" s="79"/>
      <c r="E269" s="79"/>
      <c r="O269" s="79"/>
      <c r="S269" s="79"/>
      <c r="T269" s="79"/>
      <c r="Y269" s="79"/>
      <c r="AE269" s="130"/>
      <c r="AG269" s="106"/>
    </row>
    <row r="270">
      <c r="C270" s="79"/>
      <c r="D270" s="79"/>
      <c r="E270" s="79"/>
      <c r="O270" s="79"/>
      <c r="S270" s="79"/>
      <c r="T270" s="79"/>
      <c r="Y270" s="79"/>
      <c r="AE270" s="130"/>
      <c r="AG270" s="106"/>
    </row>
    <row r="271">
      <c r="C271" s="79"/>
      <c r="D271" s="79"/>
      <c r="E271" s="79"/>
      <c r="O271" s="79"/>
      <c r="S271" s="79"/>
      <c r="T271" s="79"/>
      <c r="Y271" s="79"/>
      <c r="AE271" s="130"/>
      <c r="AG271" s="106"/>
    </row>
    <row r="272">
      <c r="C272" s="79"/>
      <c r="D272" s="79"/>
      <c r="E272" s="79"/>
      <c r="O272" s="79"/>
      <c r="S272" s="79"/>
      <c r="T272" s="79"/>
      <c r="Y272" s="79"/>
      <c r="AE272" s="130"/>
      <c r="AG272" s="106"/>
    </row>
    <row r="273">
      <c r="C273" s="79"/>
      <c r="D273" s="79"/>
      <c r="E273" s="79"/>
      <c r="O273" s="79"/>
      <c r="S273" s="79"/>
      <c r="T273" s="79"/>
      <c r="Y273" s="79"/>
      <c r="AE273" s="130"/>
      <c r="AG273" s="106"/>
    </row>
    <row r="274">
      <c r="C274" s="79"/>
      <c r="D274" s="79"/>
      <c r="E274" s="79"/>
      <c r="O274" s="79"/>
      <c r="S274" s="79"/>
      <c r="T274" s="79"/>
      <c r="Y274" s="79"/>
      <c r="AE274" s="130"/>
      <c r="AG274" s="106"/>
    </row>
    <row r="275">
      <c r="C275" s="79"/>
      <c r="D275" s="79"/>
      <c r="E275" s="79"/>
      <c r="O275" s="79"/>
      <c r="S275" s="79"/>
      <c r="T275" s="79"/>
      <c r="Y275" s="79"/>
      <c r="AE275" s="130"/>
      <c r="AG275" s="106"/>
    </row>
    <row r="276">
      <c r="C276" s="79"/>
      <c r="D276" s="79"/>
      <c r="E276" s="79"/>
      <c r="O276" s="79"/>
      <c r="S276" s="79"/>
      <c r="T276" s="79"/>
      <c r="Y276" s="79"/>
      <c r="AE276" s="130"/>
      <c r="AG276" s="106"/>
    </row>
    <row r="277">
      <c r="C277" s="79"/>
      <c r="D277" s="79"/>
      <c r="E277" s="79"/>
      <c r="O277" s="79"/>
      <c r="S277" s="79"/>
      <c r="T277" s="79"/>
      <c r="Y277" s="79"/>
      <c r="AE277" s="130"/>
      <c r="AG277" s="106"/>
    </row>
    <row r="278">
      <c r="C278" s="79"/>
      <c r="D278" s="79"/>
      <c r="E278" s="79"/>
      <c r="O278" s="79"/>
      <c r="S278" s="79"/>
      <c r="T278" s="79"/>
      <c r="Y278" s="79"/>
      <c r="AE278" s="130"/>
      <c r="AG278" s="106"/>
    </row>
    <row r="279">
      <c r="C279" s="79"/>
      <c r="D279" s="79"/>
      <c r="E279" s="79"/>
      <c r="O279" s="79"/>
      <c r="S279" s="79"/>
      <c r="T279" s="79"/>
      <c r="Y279" s="79"/>
      <c r="AE279" s="130"/>
      <c r="AG279" s="106"/>
    </row>
    <row r="280">
      <c r="C280" s="79"/>
      <c r="D280" s="79"/>
      <c r="E280" s="79"/>
      <c r="O280" s="79"/>
      <c r="S280" s="79"/>
      <c r="T280" s="79"/>
      <c r="Y280" s="79"/>
      <c r="AE280" s="130"/>
      <c r="AG280" s="106"/>
    </row>
    <row r="281">
      <c r="C281" s="79"/>
      <c r="D281" s="79"/>
      <c r="E281" s="79"/>
      <c r="O281" s="79"/>
      <c r="S281" s="79"/>
      <c r="T281" s="79"/>
      <c r="Y281" s="79"/>
      <c r="AE281" s="130"/>
      <c r="AG281" s="106"/>
    </row>
    <row r="282">
      <c r="C282" s="79"/>
      <c r="D282" s="79"/>
      <c r="E282" s="79"/>
      <c r="O282" s="79"/>
      <c r="S282" s="79"/>
      <c r="T282" s="79"/>
      <c r="Y282" s="79"/>
      <c r="AE282" s="130"/>
      <c r="AG282" s="106"/>
    </row>
    <row r="283">
      <c r="C283" s="79"/>
      <c r="D283" s="79"/>
      <c r="E283" s="79"/>
      <c r="O283" s="79"/>
      <c r="S283" s="79"/>
      <c r="T283" s="79"/>
      <c r="Y283" s="79"/>
      <c r="AE283" s="130"/>
      <c r="AG283" s="106"/>
    </row>
    <row r="284">
      <c r="C284" s="79"/>
      <c r="D284" s="79"/>
      <c r="E284" s="79"/>
      <c r="O284" s="79"/>
      <c r="S284" s="79"/>
      <c r="T284" s="79"/>
      <c r="Y284" s="79"/>
      <c r="AE284" s="130"/>
      <c r="AG284" s="106"/>
    </row>
    <row r="285">
      <c r="C285" s="79"/>
      <c r="D285" s="79"/>
      <c r="E285" s="79"/>
      <c r="O285" s="79"/>
      <c r="S285" s="79"/>
      <c r="T285" s="79"/>
      <c r="Y285" s="79"/>
      <c r="AE285" s="130"/>
      <c r="AG285" s="106"/>
    </row>
    <row r="286">
      <c r="C286" s="79"/>
      <c r="D286" s="79"/>
      <c r="E286" s="79"/>
      <c r="O286" s="79"/>
      <c r="S286" s="79"/>
      <c r="T286" s="79"/>
      <c r="Y286" s="79"/>
      <c r="AE286" s="130"/>
      <c r="AG286" s="106"/>
    </row>
    <row r="287">
      <c r="C287" s="79"/>
      <c r="D287" s="79"/>
      <c r="E287" s="79"/>
      <c r="O287" s="79"/>
      <c r="S287" s="79"/>
      <c r="T287" s="79"/>
      <c r="Y287" s="79"/>
      <c r="AE287" s="130"/>
      <c r="AG287" s="106"/>
    </row>
    <row r="288">
      <c r="C288" s="79"/>
      <c r="D288" s="79"/>
      <c r="E288" s="79"/>
      <c r="O288" s="79"/>
      <c r="S288" s="79"/>
      <c r="T288" s="79"/>
      <c r="Y288" s="79"/>
      <c r="AE288" s="130"/>
      <c r="AG288" s="106"/>
    </row>
    <row r="289">
      <c r="C289" s="79"/>
      <c r="D289" s="79"/>
      <c r="E289" s="79"/>
      <c r="O289" s="79"/>
      <c r="S289" s="79"/>
      <c r="T289" s="79"/>
      <c r="Y289" s="79"/>
      <c r="AE289" s="130"/>
      <c r="AG289" s="106"/>
    </row>
    <row r="290">
      <c r="C290" s="79"/>
      <c r="D290" s="79"/>
      <c r="E290" s="79"/>
      <c r="O290" s="79"/>
      <c r="S290" s="79"/>
      <c r="T290" s="79"/>
      <c r="Y290" s="79"/>
      <c r="AE290" s="130"/>
      <c r="AG290" s="106"/>
    </row>
    <row r="291">
      <c r="C291" s="79"/>
      <c r="D291" s="79"/>
      <c r="E291" s="79"/>
      <c r="O291" s="79"/>
      <c r="S291" s="79"/>
      <c r="T291" s="79"/>
      <c r="Y291" s="79"/>
      <c r="AE291" s="130"/>
      <c r="AG291" s="106"/>
    </row>
    <row r="292">
      <c r="C292" s="79"/>
      <c r="D292" s="79"/>
      <c r="E292" s="79"/>
      <c r="O292" s="79"/>
      <c r="S292" s="79"/>
      <c r="T292" s="79"/>
      <c r="Y292" s="79"/>
      <c r="AE292" s="130"/>
      <c r="AG292" s="106"/>
    </row>
    <row r="293">
      <c r="C293" s="79"/>
      <c r="D293" s="79"/>
      <c r="E293" s="79"/>
      <c r="O293" s="79"/>
      <c r="S293" s="79"/>
      <c r="T293" s="79"/>
      <c r="Y293" s="79"/>
      <c r="AE293" s="130"/>
      <c r="AG293" s="106"/>
    </row>
    <row r="294">
      <c r="C294" s="79"/>
      <c r="D294" s="79"/>
      <c r="E294" s="79"/>
      <c r="O294" s="79"/>
      <c r="S294" s="79"/>
      <c r="T294" s="79"/>
      <c r="Y294" s="79"/>
      <c r="AE294" s="130"/>
      <c r="AG294" s="106"/>
    </row>
    <row r="295">
      <c r="C295" s="79"/>
      <c r="D295" s="79"/>
      <c r="E295" s="79"/>
      <c r="O295" s="79"/>
      <c r="S295" s="79"/>
      <c r="T295" s="79"/>
      <c r="Y295" s="79"/>
      <c r="AE295" s="130"/>
      <c r="AG295" s="106"/>
    </row>
    <row r="296">
      <c r="C296" s="79"/>
      <c r="D296" s="79"/>
      <c r="E296" s="79"/>
      <c r="O296" s="79"/>
      <c r="S296" s="79"/>
      <c r="T296" s="79"/>
      <c r="Y296" s="79"/>
      <c r="AE296" s="130"/>
      <c r="AG296" s="106"/>
    </row>
    <row r="297">
      <c r="C297" s="79"/>
      <c r="D297" s="79"/>
      <c r="E297" s="79"/>
      <c r="O297" s="79"/>
      <c r="S297" s="79"/>
      <c r="T297" s="79"/>
      <c r="Y297" s="79"/>
      <c r="AE297" s="130"/>
      <c r="AG297" s="106"/>
    </row>
    <row r="298">
      <c r="C298" s="79"/>
      <c r="D298" s="79"/>
      <c r="E298" s="79"/>
      <c r="O298" s="79"/>
      <c r="S298" s="79"/>
      <c r="T298" s="79"/>
      <c r="Y298" s="79"/>
      <c r="AE298" s="130"/>
      <c r="AG298" s="106"/>
    </row>
    <row r="299">
      <c r="C299" s="79"/>
      <c r="D299" s="79"/>
      <c r="E299" s="79"/>
      <c r="O299" s="79"/>
      <c r="S299" s="79"/>
      <c r="T299" s="79"/>
      <c r="Y299" s="79"/>
      <c r="AE299" s="130"/>
      <c r="AG299" s="106"/>
    </row>
    <row r="300">
      <c r="C300" s="79"/>
      <c r="D300" s="79"/>
      <c r="E300" s="79"/>
      <c r="O300" s="79"/>
      <c r="S300" s="79"/>
      <c r="T300" s="79"/>
      <c r="Y300" s="79"/>
      <c r="AE300" s="130"/>
      <c r="AG300" s="106"/>
    </row>
    <row r="301">
      <c r="C301" s="79"/>
      <c r="D301" s="79"/>
      <c r="E301" s="79"/>
      <c r="O301" s="79"/>
      <c r="S301" s="79"/>
      <c r="T301" s="79"/>
      <c r="Y301" s="79"/>
      <c r="AE301" s="130"/>
      <c r="AG301" s="106"/>
    </row>
    <row r="302">
      <c r="C302" s="79"/>
      <c r="D302" s="79"/>
      <c r="E302" s="79"/>
      <c r="O302" s="79"/>
      <c r="S302" s="79"/>
      <c r="T302" s="79"/>
      <c r="Y302" s="79"/>
      <c r="AE302" s="130"/>
      <c r="AG302" s="106"/>
    </row>
    <row r="303">
      <c r="C303" s="79"/>
      <c r="D303" s="79"/>
      <c r="E303" s="79"/>
      <c r="O303" s="79"/>
      <c r="S303" s="79"/>
      <c r="T303" s="79"/>
      <c r="Y303" s="79"/>
      <c r="AE303" s="130"/>
      <c r="AG303" s="106"/>
    </row>
    <row r="304">
      <c r="C304" s="79"/>
      <c r="D304" s="79"/>
      <c r="E304" s="79"/>
      <c r="O304" s="79"/>
      <c r="S304" s="79"/>
      <c r="T304" s="79"/>
      <c r="Y304" s="79"/>
      <c r="AE304" s="130"/>
      <c r="AG304" s="106"/>
    </row>
    <row r="305">
      <c r="C305" s="79"/>
      <c r="D305" s="79"/>
      <c r="E305" s="79"/>
      <c r="O305" s="79"/>
      <c r="S305" s="79"/>
      <c r="T305" s="79"/>
      <c r="Y305" s="79"/>
      <c r="AE305" s="130"/>
      <c r="AG305" s="106"/>
    </row>
    <row r="306">
      <c r="C306" s="79"/>
      <c r="D306" s="79"/>
      <c r="E306" s="79"/>
      <c r="O306" s="79"/>
      <c r="S306" s="79"/>
      <c r="T306" s="79"/>
      <c r="Y306" s="79"/>
      <c r="AE306" s="130"/>
      <c r="AG306" s="106"/>
    </row>
    <row r="307">
      <c r="C307" s="79"/>
      <c r="D307" s="79"/>
      <c r="E307" s="79"/>
      <c r="O307" s="79"/>
      <c r="S307" s="79"/>
      <c r="T307" s="79"/>
      <c r="Y307" s="79"/>
      <c r="AE307" s="130"/>
      <c r="AG307" s="106"/>
    </row>
    <row r="308">
      <c r="C308" s="79"/>
      <c r="D308" s="79"/>
      <c r="E308" s="79"/>
      <c r="O308" s="79"/>
      <c r="S308" s="79"/>
      <c r="T308" s="79"/>
      <c r="Y308" s="79"/>
      <c r="AE308" s="130"/>
      <c r="AG308" s="106"/>
    </row>
    <row r="309">
      <c r="C309" s="79"/>
      <c r="D309" s="79"/>
      <c r="E309" s="79"/>
      <c r="O309" s="79"/>
      <c r="S309" s="79"/>
      <c r="T309" s="79"/>
      <c r="Y309" s="79"/>
      <c r="AE309" s="130"/>
      <c r="AG309" s="106"/>
    </row>
    <row r="310">
      <c r="C310" s="79"/>
      <c r="D310" s="79"/>
      <c r="E310" s="79"/>
      <c r="O310" s="79"/>
      <c r="S310" s="79"/>
      <c r="T310" s="79"/>
      <c r="Y310" s="79"/>
      <c r="AE310" s="130"/>
      <c r="AG310" s="106"/>
    </row>
    <row r="311">
      <c r="C311" s="79"/>
      <c r="D311" s="79"/>
      <c r="E311" s="79"/>
      <c r="O311" s="79"/>
      <c r="S311" s="79"/>
      <c r="T311" s="79"/>
      <c r="Y311" s="79"/>
      <c r="AE311" s="130"/>
      <c r="AG311" s="106"/>
    </row>
    <row r="312">
      <c r="C312" s="79"/>
      <c r="D312" s="79"/>
      <c r="E312" s="79"/>
      <c r="O312" s="79"/>
      <c r="S312" s="79"/>
      <c r="T312" s="79"/>
      <c r="Y312" s="79"/>
      <c r="AE312" s="130"/>
      <c r="AG312" s="106"/>
    </row>
    <row r="313">
      <c r="C313" s="79"/>
      <c r="D313" s="79"/>
      <c r="E313" s="79"/>
      <c r="O313" s="79"/>
      <c r="S313" s="79"/>
      <c r="T313" s="79"/>
      <c r="Y313" s="79"/>
      <c r="AE313" s="130"/>
      <c r="AG313" s="106"/>
    </row>
    <row r="314">
      <c r="C314" s="79"/>
      <c r="D314" s="79"/>
      <c r="E314" s="79"/>
      <c r="O314" s="79"/>
      <c r="S314" s="79"/>
      <c r="T314" s="79"/>
      <c r="Y314" s="79"/>
      <c r="AE314" s="130"/>
      <c r="AG314" s="106"/>
    </row>
    <row r="315">
      <c r="C315" s="79"/>
      <c r="D315" s="79"/>
      <c r="E315" s="79"/>
      <c r="O315" s="79"/>
      <c r="S315" s="79"/>
      <c r="T315" s="79"/>
      <c r="Y315" s="79"/>
      <c r="AE315" s="130"/>
      <c r="AG315" s="106"/>
    </row>
    <row r="316">
      <c r="C316" s="79"/>
      <c r="D316" s="79"/>
      <c r="E316" s="79"/>
      <c r="O316" s="79"/>
      <c r="S316" s="79"/>
      <c r="T316" s="79"/>
      <c r="Y316" s="79"/>
      <c r="AE316" s="130"/>
      <c r="AG316" s="106"/>
    </row>
    <row r="317">
      <c r="C317" s="79"/>
      <c r="D317" s="79"/>
      <c r="E317" s="79"/>
      <c r="O317" s="79"/>
      <c r="S317" s="79"/>
      <c r="T317" s="79"/>
      <c r="Y317" s="79"/>
      <c r="AE317" s="130"/>
      <c r="AG317" s="106"/>
    </row>
    <row r="318">
      <c r="C318" s="79"/>
      <c r="D318" s="79"/>
      <c r="E318" s="79"/>
      <c r="O318" s="79"/>
      <c r="S318" s="79"/>
      <c r="T318" s="79"/>
      <c r="Y318" s="79"/>
      <c r="AE318" s="130"/>
      <c r="AG318" s="106"/>
    </row>
    <row r="319">
      <c r="C319" s="79"/>
      <c r="D319" s="79"/>
      <c r="E319" s="79"/>
      <c r="O319" s="79"/>
      <c r="S319" s="79"/>
      <c r="T319" s="79"/>
      <c r="Y319" s="79"/>
      <c r="AE319" s="130"/>
      <c r="AG319" s="106"/>
    </row>
    <row r="320">
      <c r="C320" s="79"/>
      <c r="D320" s="79"/>
      <c r="E320" s="79"/>
      <c r="O320" s="79"/>
      <c r="S320" s="79"/>
      <c r="T320" s="79"/>
      <c r="Y320" s="79"/>
      <c r="AE320" s="130"/>
      <c r="AG320" s="106"/>
    </row>
    <row r="321">
      <c r="C321" s="79"/>
      <c r="D321" s="79"/>
      <c r="E321" s="79"/>
      <c r="O321" s="79"/>
      <c r="S321" s="79"/>
      <c r="T321" s="79"/>
      <c r="Y321" s="79"/>
      <c r="AE321" s="130"/>
      <c r="AG321" s="106"/>
    </row>
    <row r="322">
      <c r="C322" s="79"/>
      <c r="D322" s="79"/>
      <c r="E322" s="79"/>
      <c r="O322" s="79"/>
      <c r="S322" s="79"/>
      <c r="T322" s="79"/>
      <c r="Y322" s="79"/>
      <c r="AE322" s="130"/>
      <c r="AG322" s="106"/>
    </row>
    <row r="323">
      <c r="C323" s="79"/>
      <c r="D323" s="79"/>
      <c r="E323" s="79"/>
      <c r="O323" s="79"/>
      <c r="S323" s="79"/>
      <c r="T323" s="79"/>
      <c r="Y323" s="79"/>
      <c r="AE323" s="130"/>
      <c r="AG323" s="106"/>
    </row>
    <row r="324">
      <c r="C324" s="79"/>
      <c r="D324" s="79"/>
      <c r="E324" s="79"/>
      <c r="O324" s="79"/>
      <c r="S324" s="79"/>
      <c r="T324" s="79"/>
      <c r="Y324" s="79"/>
      <c r="AE324" s="130"/>
      <c r="AG324" s="106"/>
    </row>
    <row r="325">
      <c r="C325" s="79"/>
      <c r="D325" s="79"/>
      <c r="E325" s="79"/>
      <c r="O325" s="79"/>
      <c r="S325" s="79"/>
      <c r="T325" s="79"/>
      <c r="Y325" s="79"/>
      <c r="AE325" s="130"/>
      <c r="AG325" s="106"/>
    </row>
    <row r="326">
      <c r="C326" s="79"/>
      <c r="D326" s="79"/>
      <c r="E326" s="79"/>
      <c r="O326" s="79"/>
      <c r="S326" s="79"/>
      <c r="T326" s="79"/>
      <c r="Y326" s="79"/>
      <c r="AE326" s="130"/>
      <c r="AG326" s="106"/>
    </row>
    <row r="327">
      <c r="C327" s="79"/>
      <c r="D327" s="79"/>
      <c r="E327" s="79"/>
      <c r="O327" s="79"/>
      <c r="S327" s="79"/>
      <c r="T327" s="79"/>
      <c r="Y327" s="79"/>
      <c r="AE327" s="130"/>
      <c r="AG327" s="106"/>
    </row>
    <row r="328">
      <c r="C328" s="79"/>
      <c r="D328" s="79"/>
      <c r="E328" s="79"/>
      <c r="O328" s="79"/>
      <c r="S328" s="79"/>
      <c r="T328" s="79"/>
      <c r="Y328" s="79"/>
      <c r="AE328" s="130"/>
      <c r="AG328" s="106"/>
    </row>
    <row r="329">
      <c r="C329" s="79"/>
      <c r="D329" s="79"/>
      <c r="E329" s="79"/>
      <c r="O329" s="79"/>
      <c r="S329" s="79"/>
      <c r="T329" s="79"/>
      <c r="Y329" s="79"/>
      <c r="AE329" s="130"/>
      <c r="AG329" s="106"/>
    </row>
    <row r="330">
      <c r="C330" s="79"/>
      <c r="D330" s="79"/>
      <c r="E330" s="79"/>
      <c r="O330" s="79"/>
      <c r="S330" s="79"/>
      <c r="T330" s="79"/>
      <c r="Y330" s="79"/>
      <c r="AE330" s="130"/>
      <c r="AG330" s="106"/>
    </row>
    <row r="331">
      <c r="C331" s="79"/>
      <c r="D331" s="79"/>
      <c r="E331" s="79"/>
      <c r="O331" s="79"/>
      <c r="S331" s="79"/>
      <c r="T331" s="79"/>
      <c r="Y331" s="79"/>
      <c r="AE331" s="130"/>
      <c r="AG331" s="106"/>
    </row>
    <row r="332">
      <c r="C332" s="79"/>
      <c r="D332" s="79"/>
      <c r="E332" s="79"/>
      <c r="O332" s="79"/>
      <c r="S332" s="79"/>
      <c r="T332" s="79"/>
      <c r="Y332" s="79"/>
      <c r="AE332" s="130"/>
      <c r="AG332" s="106"/>
    </row>
    <row r="333">
      <c r="C333" s="79"/>
      <c r="D333" s="79"/>
      <c r="E333" s="79"/>
      <c r="O333" s="79"/>
      <c r="S333" s="79"/>
      <c r="T333" s="79"/>
      <c r="Y333" s="79"/>
      <c r="AE333" s="130"/>
      <c r="AG333" s="106"/>
    </row>
    <row r="334">
      <c r="C334" s="79"/>
      <c r="D334" s="79"/>
      <c r="E334" s="79"/>
      <c r="O334" s="79"/>
      <c r="S334" s="79"/>
      <c r="T334" s="79"/>
      <c r="Y334" s="79"/>
      <c r="AE334" s="130"/>
      <c r="AG334" s="106"/>
    </row>
    <row r="335">
      <c r="C335" s="79"/>
      <c r="D335" s="79"/>
      <c r="E335" s="79"/>
      <c r="O335" s="79"/>
      <c r="S335" s="79"/>
      <c r="T335" s="79"/>
      <c r="Y335" s="79"/>
      <c r="AE335" s="130"/>
      <c r="AG335" s="106"/>
    </row>
    <row r="336">
      <c r="C336" s="79"/>
      <c r="D336" s="79"/>
      <c r="E336" s="79"/>
      <c r="O336" s="79"/>
      <c r="S336" s="79"/>
      <c r="T336" s="79"/>
      <c r="Y336" s="79"/>
      <c r="AE336" s="130"/>
      <c r="AG336" s="106"/>
    </row>
    <row r="337">
      <c r="C337" s="79"/>
      <c r="D337" s="79"/>
      <c r="E337" s="79"/>
      <c r="O337" s="79"/>
      <c r="S337" s="79"/>
      <c r="T337" s="79"/>
      <c r="Y337" s="79"/>
      <c r="AE337" s="130"/>
      <c r="AG337" s="106"/>
    </row>
    <row r="338">
      <c r="C338" s="79"/>
      <c r="D338" s="79"/>
      <c r="E338" s="79"/>
      <c r="O338" s="79"/>
      <c r="S338" s="79"/>
      <c r="T338" s="79"/>
      <c r="Y338" s="79"/>
      <c r="AE338" s="130"/>
      <c r="AG338" s="106"/>
    </row>
    <row r="339">
      <c r="C339" s="79"/>
      <c r="D339" s="79"/>
      <c r="E339" s="79"/>
      <c r="O339" s="79"/>
      <c r="S339" s="79"/>
      <c r="T339" s="79"/>
      <c r="Y339" s="79"/>
      <c r="AE339" s="130"/>
      <c r="AG339" s="106"/>
    </row>
    <row r="340">
      <c r="C340" s="79"/>
      <c r="D340" s="79"/>
      <c r="E340" s="79"/>
      <c r="O340" s="79"/>
      <c r="S340" s="79"/>
      <c r="T340" s="79"/>
      <c r="Y340" s="79"/>
      <c r="AE340" s="130"/>
      <c r="AG340" s="106"/>
    </row>
    <row r="341">
      <c r="C341" s="79"/>
      <c r="D341" s="79"/>
      <c r="E341" s="79"/>
      <c r="O341" s="79"/>
      <c r="S341" s="79"/>
      <c r="T341" s="79"/>
      <c r="Y341" s="79"/>
      <c r="AE341" s="130"/>
      <c r="AG341" s="106"/>
    </row>
    <row r="342">
      <c r="C342" s="79"/>
      <c r="D342" s="79"/>
      <c r="E342" s="79"/>
      <c r="O342" s="79"/>
      <c r="S342" s="79"/>
      <c r="T342" s="79"/>
      <c r="Y342" s="79"/>
      <c r="AE342" s="130"/>
      <c r="AG342" s="106"/>
    </row>
    <row r="343">
      <c r="C343" s="79"/>
      <c r="D343" s="79"/>
      <c r="E343" s="79"/>
      <c r="O343" s="79"/>
      <c r="S343" s="79"/>
      <c r="T343" s="79"/>
      <c r="Y343" s="79"/>
      <c r="AE343" s="130"/>
      <c r="AG343" s="106"/>
    </row>
    <row r="344">
      <c r="C344" s="79"/>
      <c r="D344" s="79"/>
      <c r="E344" s="79"/>
      <c r="O344" s="79"/>
      <c r="S344" s="79"/>
      <c r="T344" s="79"/>
      <c r="Y344" s="79"/>
      <c r="AE344" s="130"/>
      <c r="AG344" s="106"/>
    </row>
    <row r="345">
      <c r="C345" s="79"/>
      <c r="D345" s="79"/>
      <c r="E345" s="79"/>
      <c r="O345" s="79"/>
      <c r="S345" s="79"/>
      <c r="T345" s="79"/>
      <c r="Y345" s="79"/>
      <c r="AE345" s="130"/>
      <c r="AG345" s="106"/>
    </row>
    <row r="346">
      <c r="C346" s="79"/>
      <c r="D346" s="79"/>
      <c r="E346" s="79"/>
      <c r="O346" s="79"/>
      <c r="S346" s="79"/>
      <c r="T346" s="79"/>
      <c r="Y346" s="79"/>
      <c r="AE346" s="130"/>
      <c r="AG346" s="106"/>
    </row>
    <row r="347">
      <c r="C347" s="79"/>
      <c r="D347" s="79"/>
      <c r="E347" s="79"/>
      <c r="O347" s="79"/>
      <c r="S347" s="79"/>
      <c r="T347" s="79"/>
      <c r="Y347" s="79"/>
      <c r="AE347" s="130"/>
      <c r="AG347" s="106"/>
    </row>
    <row r="348">
      <c r="C348" s="79"/>
      <c r="D348" s="79"/>
      <c r="E348" s="79"/>
      <c r="O348" s="79"/>
      <c r="S348" s="79"/>
      <c r="T348" s="79"/>
      <c r="Y348" s="79"/>
      <c r="AE348" s="130"/>
      <c r="AG348" s="106"/>
    </row>
    <row r="349">
      <c r="C349" s="79"/>
      <c r="D349" s="79"/>
      <c r="E349" s="79"/>
      <c r="O349" s="79"/>
      <c r="S349" s="79"/>
      <c r="T349" s="79"/>
      <c r="Y349" s="79"/>
      <c r="AE349" s="130"/>
      <c r="AG349" s="106"/>
    </row>
    <row r="350">
      <c r="C350" s="79"/>
      <c r="D350" s="79"/>
      <c r="E350" s="79"/>
      <c r="O350" s="79"/>
      <c r="S350" s="79"/>
      <c r="T350" s="79"/>
      <c r="Y350" s="79"/>
      <c r="AE350" s="130"/>
      <c r="AG350" s="106"/>
    </row>
    <row r="351">
      <c r="C351" s="79"/>
      <c r="D351" s="79"/>
      <c r="E351" s="79"/>
      <c r="O351" s="79"/>
      <c r="S351" s="79"/>
      <c r="T351" s="79"/>
      <c r="Y351" s="79"/>
      <c r="AE351" s="130"/>
      <c r="AG351" s="106"/>
    </row>
    <row r="352">
      <c r="C352" s="79"/>
      <c r="D352" s="79"/>
      <c r="E352" s="79"/>
      <c r="O352" s="79"/>
      <c r="S352" s="79"/>
      <c r="T352" s="79"/>
      <c r="Y352" s="79"/>
      <c r="AE352" s="130"/>
      <c r="AG352" s="106"/>
    </row>
    <row r="353">
      <c r="C353" s="79"/>
      <c r="D353" s="79"/>
      <c r="E353" s="79"/>
      <c r="O353" s="79"/>
      <c r="S353" s="79"/>
      <c r="T353" s="79"/>
      <c r="Y353" s="79"/>
      <c r="AE353" s="130"/>
      <c r="AG353" s="106"/>
    </row>
    <row r="354">
      <c r="C354" s="79"/>
      <c r="D354" s="79"/>
      <c r="E354" s="79"/>
      <c r="O354" s="79"/>
      <c r="S354" s="79"/>
      <c r="T354" s="79"/>
      <c r="Y354" s="79"/>
      <c r="AE354" s="130"/>
      <c r="AG354" s="106"/>
    </row>
    <row r="355">
      <c r="C355" s="79"/>
      <c r="D355" s="79"/>
      <c r="E355" s="79"/>
      <c r="O355" s="79"/>
      <c r="S355" s="79"/>
      <c r="T355" s="79"/>
      <c r="Y355" s="79"/>
      <c r="AE355" s="130"/>
      <c r="AG355" s="106"/>
    </row>
    <row r="356">
      <c r="C356" s="79"/>
      <c r="D356" s="79"/>
      <c r="E356" s="79"/>
      <c r="O356" s="79"/>
      <c r="S356" s="79"/>
      <c r="T356" s="79"/>
      <c r="Y356" s="79"/>
      <c r="AE356" s="130"/>
      <c r="AG356" s="106"/>
    </row>
    <row r="357">
      <c r="C357" s="79"/>
      <c r="D357" s="79"/>
      <c r="E357" s="79"/>
      <c r="O357" s="79"/>
      <c r="S357" s="79"/>
      <c r="T357" s="79"/>
      <c r="Y357" s="79"/>
      <c r="AE357" s="130"/>
      <c r="AG357" s="106"/>
    </row>
    <row r="358">
      <c r="C358" s="79"/>
      <c r="D358" s="79"/>
      <c r="E358" s="79"/>
      <c r="O358" s="79"/>
      <c r="S358" s="79"/>
      <c r="T358" s="79"/>
      <c r="Y358" s="79"/>
      <c r="AE358" s="130"/>
      <c r="AG358" s="106"/>
    </row>
    <row r="359">
      <c r="C359" s="79"/>
      <c r="D359" s="79"/>
      <c r="E359" s="79"/>
      <c r="O359" s="79"/>
      <c r="S359" s="79"/>
      <c r="T359" s="79"/>
      <c r="Y359" s="79"/>
      <c r="AE359" s="130"/>
      <c r="AG359" s="106"/>
    </row>
    <row r="360">
      <c r="C360" s="79"/>
      <c r="D360" s="79"/>
      <c r="E360" s="79"/>
      <c r="O360" s="79"/>
      <c r="S360" s="79"/>
      <c r="T360" s="79"/>
      <c r="Y360" s="79"/>
      <c r="AE360" s="130"/>
      <c r="AG360" s="106"/>
    </row>
    <row r="361">
      <c r="C361" s="79"/>
      <c r="D361" s="79"/>
      <c r="E361" s="79"/>
      <c r="O361" s="79"/>
      <c r="S361" s="79"/>
      <c r="T361" s="79"/>
      <c r="Y361" s="79"/>
      <c r="AE361" s="130"/>
      <c r="AG361" s="106"/>
    </row>
    <row r="362">
      <c r="C362" s="79"/>
      <c r="D362" s="79"/>
      <c r="E362" s="79"/>
      <c r="O362" s="79"/>
      <c r="S362" s="79"/>
      <c r="T362" s="79"/>
      <c r="Y362" s="79"/>
      <c r="AE362" s="130"/>
      <c r="AG362" s="106"/>
    </row>
    <row r="363">
      <c r="C363" s="79"/>
      <c r="D363" s="79"/>
      <c r="E363" s="79"/>
      <c r="O363" s="79"/>
      <c r="S363" s="79"/>
      <c r="T363" s="79"/>
      <c r="Y363" s="79"/>
      <c r="AE363" s="130"/>
      <c r="AG363" s="106"/>
    </row>
    <row r="364">
      <c r="C364" s="79"/>
      <c r="D364" s="79"/>
      <c r="E364" s="79"/>
      <c r="O364" s="79"/>
      <c r="S364" s="79"/>
      <c r="T364" s="79"/>
      <c r="Y364" s="79"/>
      <c r="AE364" s="130"/>
      <c r="AG364" s="106"/>
    </row>
    <row r="365">
      <c r="C365" s="79"/>
      <c r="D365" s="79"/>
      <c r="E365" s="79"/>
      <c r="O365" s="79"/>
      <c r="S365" s="79"/>
      <c r="T365" s="79"/>
      <c r="Y365" s="79"/>
      <c r="AE365" s="130"/>
      <c r="AG365" s="106"/>
    </row>
    <row r="366">
      <c r="C366" s="79"/>
      <c r="D366" s="79"/>
      <c r="E366" s="79"/>
      <c r="O366" s="79"/>
      <c r="S366" s="79"/>
      <c r="T366" s="79"/>
      <c r="Y366" s="79"/>
      <c r="AE366" s="130"/>
      <c r="AG366" s="106"/>
    </row>
    <row r="367">
      <c r="C367" s="79"/>
      <c r="D367" s="79"/>
      <c r="E367" s="79"/>
      <c r="O367" s="79"/>
      <c r="S367" s="79"/>
      <c r="T367" s="79"/>
      <c r="Y367" s="79"/>
      <c r="AE367" s="130"/>
      <c r="AG367" s="106"/>
    </row>
    <row r="368">
      <c r="C368" s="79"/>
      <c r="D368" s="79"/>
      <c r="E368" s="79"/>
      <c r="O368" s="79"/>
      <c r="S368" s="79"/>
      <c r="T368" s="79"/>
      <c r="Y368" s="79"/>
      <c r="AE368" s="130"/>
      <c r="AG368" s="106"/>
    </row>
    <row r="369">
      <c r="C369" s="79"/>
      <c r="D369" s="79"/>
      <c r="E369" s="79"/>
      <c r="O369" s="79"/>
      <c r="S369" s="79"/>
      <c r="T369" s="79"/>
      <c r="Y369" s="79"/>
      <c r="AE369" s="130"/>
      <c r="AG369" s="106"/>
    </row>
    <row r="370">
      <c r="C370" s="79"/>
      <c r="D370" s="79"/>
      <c r="E370" s="79"/>
      <c r="O370" s="79"/>
      <c r="S370" s="79"/>
      <c r="T370" s="79"/>
      <c r="Y370" s="79"/>
      <c r="AE370" s="130"/>
      <c r="AG370" s="106"/>
    </row>
    <row r="371">
      <c r="C371" s="79"/>
      <c r="D371" s="79"/>
      <c r="E371" s="79"/>
      <c r="O371" s="79"/>
      <c r="S371" s="79"/>
      <c r="T371" s="79"/>
      <c r="Y371" s="79"/>
      <c r="AE371" s="130"/>
      <c r="AG371" s="106"/>
    </row>
    <row r="372">
      <c r="C372" s="79"/>
      <c r="D372" s="79"/>
      <c r="E372" s="79"/>
      <c r="O372" s="79"/>
      <c r="S372" s="79"/>
      <c r="T372" s="79"/>
      <c r="Y372" s="79"/>
      <c r="AE372" s="130"/>
      <c r="AG372" s="106"/>
    </row>
    <row r="373">
      <c r="C373" s="79"/>
      <c r="D373" s="79"/>
      <c r="E373" s="79"/>
      <c r="O373" s="79"/>
      <c r="S373" s="79"/>
      <c r="T373" s="79"/>
      <c r="Y373" s="79"/>
      <c r="AE373" s="130"/>
      <c r="AG373" s="106"/>
    </row>
    <row r="374">
      <c r="C374" s="79"/>
      <c r="D374" s="79"/>
      <c r="E374" s="79"/>
      <c r="O374" s="79"/>
      <c r="S374" s="79"/>
      <c r="T374" s="79"/>
      <c r="Y374" s="79"/>
      <c r="AE374" s="130"/>
      <c r="AG374" s="106"/>
    </row>
    <row r="375">
      <c r="C375" s="79"/>
      <c r="D375" s="79"/>
      <c r="E375" s="79"/>
      <c r="O375" s="79"/>
      <c r="S375" s="79"/>
      <c r="T375" s="79"/>
      <c r="Y375" s="79"/>
      <c r="AE375" s="130"/>
      <c r="AG375" s="106"/>
    </row>
    <row r="376">
      <c r="C376" s="79"/>
      <c r="D376" s="79"/>
      <c r="E376" s="79"/>
      <c r="O376" s="79"/>
      <c r="S376" s="79"/>
      <c r="T376" s="79"/>
      <c r="Y376" s="79"/>
      <c r="AE376" s="130"/>
      <c r="AG376" s="106"/>
    </row>
    <row r="377">
      <c r="C377" s="79"/>
      <c r="D377" s="79"/>
      <c r="E377" s="79"/>
      <c r="O377" s="79"/>
      <c r="S377" s="79"/>
      <c r="T377" s="79"/>
      <c r="Y377" s="79"/>
      <c r="AE377" s="130"/>
      <c r="AG377" s="106"/>
    </row>
    <row r="378">
      <c r="C378" s="79"/>
      <c r="D378" s="79"/>
      <c r="E378" s="79"/>
      <c r="O378" s="79"/>
      <c r="S378" s="79"/>
      <c r="T378" s="79"/>
      <c r="Y378" s="79"/>
      <c r="AE378" s="130"/>
      <c r="AG378" s="106"/>
    </row>
    <row r="379">
      <c r="C379" s="79"/>
      <c r="D379" s="79"/>
      <c r="E379" s="79"/>
      <c r="O379" s="79"/>
      <c r="S379" s="79"/>
      <c r="T379" s="79"/>
      <c r="Y379" s="79"/>
      <c r="AE379" s="130"/>
      <c r="AG379" s="106"/>
    </row>
    <row r="380">
      <c r="C380" s="79"/>
      <c r="D380" s="79"/>
      <c r="E380" s="79"/>
      <c r="O380" s="79"/>
      <c r="S380" s="79"/>
      <c r="T380" s="79"/>
      <c r="Y380" s="79"/>
      <c r="AE380" s="130"/>
      <c r="AG380" s="106"/>
    </row>
    <row r="381">
      <c r="C381" s="79"/>
      <c r="D381" s="79"/>
      <c r="E381" s="79"/>
      <c r="O381" s="79"/>
      <c r="S381" s="79"/>
      <c r="T381" s="79"/>
      <c r="Y381" s="79"/>
      <c r="AE381" s="130"/>
      <c r="AG381" s="106"/>
    </row>
    <row r="382">
      <c r="C382" s="79"/>
      <c r="D382" s="79"/>
      <c r="E382" s="79"/>
      <c r="O382" s="79"/>
      <c r="S382" s="79"/>
      <c r="T382" s="79"/>
      <c r="Y382" s="79"/>
      <c r="AE382" s="130"/>
      <c r="AG382" s="106"/>
    </row>
    <row r="383">
      <c r="C383" s="79"/>
      <c r="D383" s="79"/>
      <c r="E383" s="79"/>
      <c r="O383" s="79"/>
      <c r="S383" s="79"/>
      <c r="T383" s="79"/>
      <c r="Y383" s="79"/>
      <c r="AE383" s="130"/>
      <c r="AG383" s="106"/>
    </row>
    <row r="384">
      <c r="C384" s="79"/>
      <c r="D384" s="79"/>
      <c r="E384" s="79"/>
      <c r="O384" s="79"/>
      <c r="S384" s="79"/>
      <c r="T384" s="79"/>
      <c r="Y384" s="79"/>
      <c r="AE384" s="130"/>
      <c r="AG384" s="106"/>
    </row>
    <row r="385">
      <c r="C385" s="79"/>
      <c r="D385" s="79"/>
      <c r="E385" s="79"/>
      <c r="O385" s="79"/>
      <c r="S385" s="79"/>
      <c r="T385" s="79"/>
      <c r="Y385" s="79"/>
      <c r="AE385" s="130"/>
      <c r="AG385" s="106"/>
    </row>
    <row r="386">
      <c r="C386" s="79"/>
      <c r="D386" s="79"/>
      <c r="E386" s="79"/>
      <c r="O386" s="79"/>
      <c r="S386" s="79"/>
      <c r="T386" s="79"/>
      <c r="Y386" s="79"/>
      <c r="AE386" s="130"/>
      <c r="AG386" s="106"/>
    </row>
    <row r="387">
      <c r="C387" s="79"/>
      <c r="D387" s="79"/>
      <c r="E387" s="79"/>
      <c r="O387" s="79"/>
      <c r="S387" s="79"/>
      <c r="T387" s="79"/>
      <c r="Y387" s="79"/>
      <c r="AE387" s="130"/>
      <c r="AG387" s="106"/>
    </row>
    <row r="388">
      <c r="C388" s="79"/>
      <c r="D388" s="79"/>
      <c r="E388" s="79"/>
      <c r="O388" s="79"/>
      <c r="S388" s="79"/>
      <c r="T388" s="79"/>
      <c r="Y388" s="79"/>
      <c r="AE388" s="130"/>
      <c r="AG388" s="106"/>
    </row>
    <row r="389">
      <c r="C389" s="79"/>
      <c r="D389" s="79"/>
      <c r="E389" s="79"/>
      <c r="O389" s="79"/>
      <c r="S389" s="79"/>
      <c r="T389" s="79"/>
      <c r="Y389" s="79"/>
      <c r="AE389" s="130"/>
      <c r="AG389" s="106"/>
    </row>
    <row r="390">
      <c r="C390" s="79"/>
      <c r="D390" s="79"/>
      <c r="E390" s="79"/>
      <c r="O390" s="79"/>
      <c r="S390" s="79"/>
      <c r="T390" s="79"/>
      <c r="Y390" s="79"/>
      <c r="AE390" s="130"/>
      <c r="AG390" s="106"/>
    </row>
    <row r="391">
      <c r="C391" s="79"/>
      <c r="D391" s="79"/>
      <c r="E391" s="79"/>
      <c r="O391" s="79"/>
      <c r="S391" s="79"/>
      <c r="T391" s="79"/>
      <c r="Y391" s="79"/>
      <c r="AE391" s="130"/>
      <c r="AG391" s="106"/>
    </row>
    <row r="392">
      <c r="C392" s="79"/>
      <c r="D392" s="79"/>
      <c r="E392" s="79"/>
      <c r="O392" s="79"/>
      <c r="S392" s="79"/>
      <c r="T392" s="79"/>
      <c r="Y392" s="79"/>
      <c r="AE392" s="130"/>
      <c r="AG392" s="106"/>
    </row>
    <row r="393">
      <c r="C393" s="79"/>
      <c r="D393" s="79"/>
      <c r="E393" s="79"/>
      <c r="O393" s="79"/>
      <c r="S393" s="79"/>
      <c r="T393" s="79"/>
      <c r="Y393" s="79"/>
      <c r="AE393" s="130"/>
      <c r="AG393" s="106"/>
    </row>
    <row r="394">
      <c r="C394" s="79"/>
      <c r="D394" s="79"/>
      <c r="E394" s="79"/>
      <c r="O394" s="79"/>
      <c r="S394" s="79"/>
      <c r="T394" s="79"/>
      <c r="Y394" s="79"/>
      <c r="AE394" s="130"/>
      <c r="AG394" s="106"/>
    </row>
    <row r="395">
      <c r="C395" s="79"/>
      <c r="D395" s="79"/>
      <c r="E395" s="79"/>
      <c r="O395" s="79"/>
      <c r="S395" s="79"/>
      <c r="T395" s="79"/>
      <c r="Y395" s="79"/>
      <c r="AE395" s="130"/>
      <c r="AG395" s="106"/>
    </row>
    <row r="396">
      <c r="C396" s="79"/>
      <c r="D396" s="79"/>
      <c r="E396" s="79"/>
      <c r="O396" s="79"/>
      <c r="S396" s="79"/>
      <c r="T396" s="79"/>
      <c r="Y396" s="79"/>
      <c r="AE396" s="130"/>
      <c r="AG396" s="106"/>
    </row>
    <row r="397">
      <c r="C397" s="79"/>
      <c r="D397" s="79"/>
      <c r="E397" s="79"/>
      <c r="O397" s="79"/>
      <c r="S397" s="79"/>
      <c r="T397" s="79"/>
      <c r="Y397" s="79"/>
      <c r="AE397" s="130"/>
      <c r="AG397" s="106"/>
    </row>
    <row r="398">
      <c r="C398" s="79"/>
      <c r="D398" s="79"/>
      <c r="E398" s="79"/>
      <c r="O398" s="79"/>
      <c r="S398" s="79"/>
      <c r="T398" s="79"/>
      <c r="Y398" s="79"/>
      <c r="AE398" s="130"/>
      <c r="AG398" s="106"/>
    </row>
    <row r="399">
      <c r="C399" s="79"/>
      <c r="D399" s="79"/>
      <c r="E399" s="79"/>
      <c r="O399" s="79"/>
      <c r="S399" s="79"/>
      <c r="T399" s="79"/>
      <c r="Y399" s="79"/>
      <c r="AE399" s="130"/>
      <c r="AG399" s="106"/>
    </row>
    <row r="400">
      <c r="C400" s="79"/>
      <c r="D400" s="79"/>
      <c r="E400" s="79"/>
      <c r="O400" s="79"/>
      <c r="S400" s="79"/>
      <c r="T400" s="79"/>
      <c r="Y400" s="79"/>
      <c r="AE400" s="130"/>
      <c r="AG400" s="106"/>
    </row>
    <row r="401">
      <c r="C401" s="79"/>
      <c r="D401" s="79"/>
      <c r="E401" s="79"/>
      <c r="O401" s="79"/>
      <c r="S401" s="79"/>
      <c r="T401" s="79"/>
      <c r="Y401" s="79"/>
      <c r="AE401" s="130"/>
      <c r="AG401" s="106"/>
    </row>
    <row r="402">
      <c r="C402" s="79"/>
      <c r="D402" s="79"/>
      <c r="E402" s="79"/>
      <c r="O402" s="79"/>
      <c r="S402" s="79"/>
      <c r="T402" s="79"/>
      <c r="Y402" s="79"/>
      <c r="AE402" s="130"/>
      <c r="AG402" s="106"/>
    </row>
    <row r="403">
      <c r="C403" s="79"/>
      <c r="D403" s="79"/>
      <c r="E403" s="79"/>
      <c r="O403" s="79"/>
      <c r="S403" s="79"/>
      <c r="T403" s="79"/>
      <c r="Y403" s="79"/>
      <c r="AE403" s="130"/>
      <c r="AG403" s="106"/>
    </row>
    <row r="404">
      <c r="C404" s="79"/>
      <c r="D404" s="79"/>
      <c r="E404" s="79"/>
      <c r="O404" s="79"/>
      <c r="S404" s="79"/>
      <c r="T404" s="79"/>
      <c r="Y404" s="79"/>
      <c r="AE404" s="130"/>
      <c r="AG404" s="106"/>
    </row>
    <row r="405">
      <c r="C405" s="79"/>
      <c r="D405" s="79"/>
      <c r="E405" s="79"/>
      <c r="O405" s="79"/>
      <c r="S405" s="79"/>
      <c r="T405" s="79"/>
      <c r="Y405" s="79"/>
      <c r="AE405" s="130"/>
      <c r="AG405" s="106"/>
    </row>
    <row r="406">
      <c r="C406" s="79"/>
      <c r="D406" s="79"/>
      <c r="E406" s="79"/>
      <c r="O406" s="79"/>
      <c r="S406" s="79"/>
      <c r="T406" s="79"/>
      <c r="Y406" s="79"/>
      <c r="AE406" s="130"/>
      <c r="AG406" s="106"/>
    </row>
    <row r="407">
      <c r="C407" s="79"/>
      <c r="D407" s="79"/>
      <c r="E407" s="79"/>
      <c r="O407" s="79"/>
      <c r="S407" s="79"/>
      <c r="T407" s="79"/>
      <c r="Y407" s="79"/>
      <c r="AE407" s="130"/>
      <c r="AG407" s="106"/>
    </row>
    <row r="408">
      <c r="C408" s="79"/>
      <c r="D408" s="79"/>
      <c r="E408" s="79"/>
      <c r="O408" s="79"/>
      <c r="S408" s="79"/>
      <c r="T408" s="79"/>
      <c r="Y408" s="79"/>
      <c r="AE408" s="130"/>
      <c r="AG408" s="106"/>
    </row>
    <row r="409">
      <c r="C409" s="79"/>
      <c r="D409" s="79"/>
      <c r="E409" s="79"/>
      <c r="O409" s="79"/>
      <c r="S409" s="79"/>
      <c r="T409" s="79"/>
      <c r="Y409" s="79"/>
      <c r="AE409" s="130"/>
      <c r="AG409" s="106"/>
    </row>
    <row r="410">
      <c r="C410" s="79"/>
      <c r="D410" s="79"/>
      <c r="E410" s="79"/>
      <c r="O410" s="79"/>
      <c r="S410" s="79"/>
      <c r="T410" s="79"/>
      <c r="Y410" s="79"/>
      <c r="AE410" s="130"/>
      <c r="AG410" s="106"/>
    </row>
    <row r="411">
      <c r="C411" s="79"/>
      <c r="D411" s="79"/>
      <c r="E411" s="79"/>
      <c r="O411" s="79"/>
      <c r="S411" s="79"/>
      <c r="T411" s="79"/>
      <c r="Y411" s="79"/>
      <c r="AE411" s="130"/>
      <c r="AG411" s="106"/>
    </row>
    <row r="412">
      <c r="C412" s="79"/>
      <c r="D412" s="79"/>
      <c r="E412" s="79"/>
      <c r="O412" s="79"/>
      <c r="S412" s="79"/>
      <c r="T412" s="79"/>
      <c r="Y412" s="79"/>
      <c r="AE412" s="130"/>
      <c r="AG412" s="106"/>
    </row>
    <row r="413">
      <c r="C413" s="79"/>
      <c r="D413" s="79"/>
      <c r="E413" s="79"/>
      <c r="O413" s="79"/>
      <c r="S413" s="79"/>
      <c r="T413" s="79"/>
      <c r="Y413" s="79"/>
      <c r="AE413" s="130"/>
      <c r="AG413" s="106"/>
    </row>
    <row r="414">
      <c r="C414" s="79"/>
      <c r="D414" s="79"/>
      <c r="E414" s="79"/>
      <c r="O414" s="79"/>
      <c r="S414" s="79"/>
      <c r="T414" s="79"/>
      <c r="Y414" s="79"/>
      <c r="AE414" s="130"/>
      <c r="AG414" s="106"/>
    </row>
    <row r="415">
      <c r="C415" s="79"/>
      <c r="D415" s="79"/>
      <c r="E415" s="79"/>
      <c r="O415" s="79"/>
      <c r="S415" s="79"/>
      <c r="T415" s="79"/>
      <c r="Y415" s="79"/>
      <c r="AE415" s="130"/>
      <c r="AG415" s="106"/>
    </row>
    <row r="416">
      <c r="C416" s="79"/>
      <c r="D416" s="79"/>
      <c r="E416" s="79"/>
      <c r="O416" s="79"/>
      <c r="S416" s="79"/>
      <c r="T416" s="79"/>
      <c r="Y416" s="79"/>
      <c r="AE416" s="130"/>
      <c r="AG416" s="106"/>
    </row>
    <row r="417">
      <c r="C417" s="79"/>
      <c r="D417" s="79"/>
      <c r="E417" s="79"/>
      <c r="O417" s="79"/>
      <c r="S417" s="79"/>
      <c r="T417" s="79"/>
      <c r="Y417" s="79"/>
      <c r="AE417" s="130"/>
      <c r="AG417" s="106"/>
    </row>
    <row r="418">
      <c r="C418" s="79"/>
      <c r="D418" s="79"/>
      <c r="E418" s="79"/>
      <c r="O418" s="79"/>
      <c r="S418" s="79"/>
      <c r="T418" s="79"/>
      <c r="Y418" s="79"/>
      <c r="AE418" s="130"/>
      <c r="AG418" s="106"/>
    </row>
    <row r="419">
      <c r="C419" s="79"/>
      <c r="D419" s="79"/>
      <c r="E419" s="79"/>
      <c r="O419" s="79"/>
      <c r="S419" s="79"/>
      <c r="T419" s="79"/>
      <c r="Y419" s="79"/>
      <c r="AE419" s="130"/>
      <c r="AG419" s="106"/>
    </row>
    <row r="420">
      <c r="C420" s="79"/>
      <c r="D420" s="79"/>
      <c r="E420" s="79"/>
      <c r="O420" s="79"/>
      <c r="S420" s="79"/>
      <c r="T420" s="79"/>
      <c r="Y420" s="79"/>
      <c r="AE420" s="130"/>
      <c r="AG420" s="106"/>
    </row>
    <row r="421">
      <c r="C421" s="79"/>
      <c r="D421" s="79"/>
      <c r="E421" s="79"/>
      <c r="O421" s="79"/>
      <c r="S421" s="79"/>
      <c r="T421" s="79"/>
      <c r="Y421" s="79"/>
      <c r="AE421" s="130"/>
      <c r="AG421" s="106"/>
    </row>
    <row r="422">
      <c r="C422" s="79"/>
      <c r="D422" s="79"/>
      <c r="E422" s="79"/>
      <c r="O422" s="79"/>
      <c r="S422" s="79"/>
      <c r="T422" s="79"/>
      <c r="Y422" s="79"/>
      <c r="AE422" s="130"/>
      <c r="AG422" s="106"/>
    </row>
    <row r="423">
      <c r="C423" s="79"/>
      <c r="D423" s="79"/>
      <c r="E423" s="79"/>
      <c r="O423" s="79"/>
      <c r="S423" s="79"/>
      <c r="T423" s="79"/>
      <c r="Y423" s="79"/>
      <c r="AE423" s="130"/>
      <c r="AG423" s="106"/>
    </row>
    <row r="424">
      <c r="C424" s="79"/>
      <c r="D424" s="79"/>
      <c r="E424" s="79"/>
      <c r="O424" s="79"/>
      <c r="S424" s="79"/>
      <c r="T424" s="79"/>
      <c r="Y424" s="79"/>
      <c r="AE424" s="130"/>
      <c r="AG424" s="106"/>
    </row>
    <row r="425">
      <c r="C425" s="79"/>
      <c r="D425" s="79"/>
      <c r="E425" s="79"/>
      <c r="O425" s="79"/>
      <c r="S425" s="79"/>
      <c r="T425" s="79"/>
      <c r="Y425" s="79"/>
      <c r="AE425" s="130"/>
      <c r="AG425" s="106"/>
    </row>
    <row r="426">
      <c r="C426" s="79"/>
      <c r="D426" s="79"/>
      <c r="E426" s="79"/>
      <c r="O426" s="79"/>
      <c r="S426" s="79"/>
      <c r="T426" s="79"/>
      <c r="Y426" s="79"/>
      <c r="AE426" s="130"/>
      <c r="AG426" s="106"/>
    </row>
    <row r="427">
      <c r="C427" s="79"/>
      <c r="D427" s="79"/>
      <c r="E427" s="79"/>
      <c r="O427" s="79"/>
      <c r="S427" s="79"/>
      <c r="T427" s="79"/>
      <c r="Y427" s="79"/>
      <c r="AE427" s="130"/>
      <c r="AG427" s="106"/>
    </row>
    <row r="428">
      <c r="C428" s="79"/>
      <c r="D428" s="79"/>
      <c r="E428" s="79"/>
      <c r="O428" s="79"/>
      <c r="S428" s="79"/>
      <c r="T428" s="79"/>
      <c r="Y428" s="79"/>
      <c r="AE428" s="130"/>
      <c r="AG428" s="106"/>
    </row>
    <row r="429">
      <c r="C429" s="79"/>
      <c r="D429" s="79"/>
      <c r="E429" s="79"/>
      <c r="O429" s="79"/>
      <c r="S429" s="79"/>
      <c r="T429" s="79"/>
      <c r="Y429" s="79"/>
      <c r="AE429" s="130"/>
      <c r="AG429" s="106"/>
    </row>
    <row r="430">
      <c r="C430" s="79"/>
      <c r="D430" s="79"/>
      <c r="E430" s="79"/>
      <c r="O430" s="79"/>
      <c r="S430" s="79"/>
      <c r="T430" s="79"/>
      <c r="Y430" s="79"/>
      <c r="AE430" s="130"/>
      <c r="AG430" s="106"/>
    </row>
    <row r="431">
      <c r="C431" s="79"/>
      <c r="D431" s="79"/>
      <c r="E431" s="79"/>
      <c r="O431" s="79"/>
      <c r="S431" s="79"/>
      <c r="T431" s="79"/>
      <c r="Y431" s="79"/>
      <c r="AE431" s="130"/>
      <c r="AG431" s="106"/>
    </row>
    <row r="432">
      <c r="C432" s="79"/>
      <c r="D432" s="79"/>
      <c r="E432" s="79"/>
      <c r="O432" s="79"/>
      <c r="S432" s="79"/>
      <c r="T432" s="79"/>
      <c r="Y432" s="79"/>
      <c r="AE432" s="130"/>
      <c r="AG432" s="106"/>
    </row>
    <row r="433">
      <c r="C433" s="79"/>
      <c r="D433" s="79"/>
      <c r="E433" s="79"/>
      <c r="O433" s="79"/>
      <c r="S433" s="79"/>
      <c r="T433" s="79"/>
      <c r="Y433" s="79"/>
      <c r="AE433" s="130"/>
      <c r="AG433" s="106"/>
    </row>
    <row r="434">
      <c r="C434" s="79"/>
      <c r="D434" s="79"/>
      <c r="E434" s="79"/>
      <c r="O434" s="79"/>
      <c r="S434" s="79"/>
      <c r="T434" s="79"/>
      <c r="Y434" s="79"/>
      <c r="AE434" s="130"/>
      <c r="AG434" s="106"/>
    </row>
    <row r="435">
      <c r="C435" s="79"/>
      <c r="D435" s="79"/>
      <c r="E435" s="79"/>
      <c r="O435" s="79"/>
      <c r="S435" s="79"/>
      <c r="T435" s="79"/>
      <c r="Y435" s="79"/>
      <c r="AE435" s="130"/>
      <c r="AG435" s="106"/>
    </row>
    <row r="436">
      <c r="C436" s="79"/>
      <c r="D436" s="79"/>
      <c r="E436" s="79"/>
      <c r="O436" s="79"/>
      <c r="S436" s="79"/>
      <c r="T436" s="79"/>
      <c r="Y436" s="79"/>
      <c r="AE436" s="130"/>
      <c r="AG436" s="106"/>
    </row>
    <row r="437">
      <c r="C437" s="79"/>
      <c r="D437" s="79"/>
      <c r="E437" s="79"/>
      <c r="O437" s="79"/>
      <c r="S437" s="79"/>
      <c r="T437" s="79"/>
      <c r="Y437" s="79"/>
      <c r="AE437" s="130"/>
      <c r="AG437" s="106"/>
    </row>
    <row r="438">
      <c r="C438" s="79"/>
      <c r="D438" s="79"/>
      <c r="E438" s="79"/>
      <c r="O438" s="79"/>
      <c r="S438" s="79"/>
      <c r="T438" s="79"/>
      <c r="Y438" s="79"/>
      <c r="AE438" s="130"/>
      <c r="AG438" s="106"/>
    </row>
    <row r="439">
      <c r="C439" s="79"/>
      <c r="D439" s="79"/>
      <c r="E439" s="79"/>
      <c r="O439" s="79"/>
      <c r="S439" s="79"/>
      <c r="T439" s="79"/>
      <c r="Y439" s="79"/>
      <c r="AE439" s="130"/>
      <c r="AG439" s="106"/>
    </row>
    <row r="440">
      <c r="C440" s="79"/>
      <c r="D440" s="79"/>
      <c r="E440" s="79"/>
      <c r="O440" s="79"/>
      <c r="S440" s="79"/>
      <c r="T440" s="79"/>
      <c r="Y440" s="79"/>
      <c r="AE440" s="130"/>
      <c r="AG440" s="106"/>
    </row>
    <row r="441">
      <c r="C441" s="79"/>
      <c r="D441" s="79"/>
      <c r="E441" s="79"/>
      <c r="O441" s="79"/>
      <c r="S441" s="79"/>
      <c r="T441" s="79"/>
      <c r="Y441" s="79"/>
      <c r="AE441" s="130"/>
      <c r="AG441" s="106"/>
    </row>
    <row r="442">
      <c r="C442" s="79"/>
      <c r="D442" s="79"/>
      <c r="E442" s="79"/>
      <c r="O442" s="79"/>
      <c r="S442" s="79"/>
      <c r="T442" s="79"/>
      <c r="Y442" s="79"/>
      <c r="AE442" s="130"/>
      <c r="AG442" s="106"/>
    </row>
    <row r="443">
      <c r="C443" s="79"/>
      <c r="D443" s="79"/>
      <c r="E443" s="79"/>
      <c r="O443" s="79"/>
      <c r="S443" s="79"/>
      <c r="T443" s="79"/>
      <c r="Y443" s="79"/>
      <c r="AE443" s="130"/>
      <c r="AG443" s="106"/>
    </row>
    <row r="444">
      <c r="C444" s="79"/>
      <c r="D444" s="79"/>
      <c r="E444" s="79"/>
      <c r="O444" s="79"/>
      <c r="S444" s="79"/>
      <c r="T444" s="79"/>
      <c r="Y444" s="79"/>
      <c r="AE444" s="130"/>
      <c r="AG444" s="106"/>
    </row>
    <row r="445">
      <c r="C445" s="79"/>
      <c r="D445" s="79"/>
      <c r="E445" s="79"/>
      <c r="O445" s="79"/>
      <c r="S445" s="79"/>
      <c r="T445" s="79"/>
      <c r="Y445" s="79"/>
      <c r="AE445" s="130"/>
      <c r="AG445" s="106"/>
    </row>
    <row r="446">
      <c r="C446" s="79"/>
      <c r="D446" s="79"/>
      <c r="E446" s="79"/>
      <c r="O446" s="79"/>
      <c r="S446" s="79"/>
      <c r="T446" s="79"/>
      <c r="Y446" s="79"/>
      <c r="AE446" s="130"/>
      <c r="AG446" s="106"/>
    </row>
    <row r="447">
      <c r="C447" s="79"/>
      <c r="D447" s="79"/>
      <c r="E447" s="79"/>
      <c r="O447" s="79"/>
      <c r="S447" s="79"/>
      <c r="T447" s="79"/>
      <c r="Y447" s="79"/>
      <c r="AE447" s="130"/>
      <c r="AG447" s="106"/>
    </row>
    <row r="448">
      <c r="C448" s="79"/>
      <c r="D448" s="79"/>
      <c r="E448" s="79"/>
      <c r="O448" s="79"/>
      <c r="S448" s="79"/>
      <c r="T448" s="79"/>
      <c r="Y448" s="79"/>
      <c r="AE448" s="130"/>
      <c r="AG448" s="106"/>
    </row>
    <row r="449">
      <c r="C449" s="79"/>
      <c r="D449" s="79"/>
      <c r="E449" s="79"/>
      <c r="O449" s="79"/>
      <c r="S449" s="79"/>
      <c r="T449" s="79"/>
      <c r="Y449" s="79"/>
      <c r="AE449" s="130"/>
      <c r="AG449" s="106"/>
    </row>
    <row r="450">
      <c r="C450" s="79"/>
      <c r="D450" s="79"/>
      <c r="E450" s="79"/>
      <c r="O450" s="79"/>
      <c r="S450" s="79"/>
      <c r="T450" s="79"/>
      <c r="Y450" s="79"/>
      <c r="AE450" s="130"/>
      <c r="AG450" s="106"/>
    </row>
    <row r="451">
      <c r="C451" s="79"/>
      <c r="D451" s="79"/>
      <c r="E451" s="79"/>
      <c r="O451" s="79"/>
      <c r="S451" s="79"/>
      <c r="T451" s="79"/>
      <c r="Y451" s="79"/>
      <c r="AE451" s="130"/>
      <c r="AG451" s="106"/>
    </row>
    <row r="452">
      <c r="C452" s="79"/>
      <c r="D452" s="79"/>
      <c r="E452" s="79"/>
      <c r="O452" s="79"/>
      <c r="S452" s="79"/>
      <c r="T452" s="79"/>
      <c r="Y452" s="79"/>
      <c r="AE452" s="130"/>
      <c r="AG452" s="106"/>
    </row>
    <row r="453">
      <c r="C453" s="79"/>
      <c r="D453" s="79"/>
      <c r="E453" s="79"/>
      <c r="O453" s="79"/>
      <c r="S453" s="79"/>
      <c r="T453" s="79"/>
      <c r="Y453" s="79"/>
      <c r="AE453" s="130"/>
      <c r="AG453" s="106"/>
    </row>
    <row r="454">
      <c r="C454" s="79"/>
      <c r="D454" s="79"/>
      <c r="E454" s="79"/>
      <c r="O454" s="79"/>
      <c r="S454" s="79"/>
      <c r="T454" s="79"/>
      <c r="Y454" s="79"/>
      <c r="AE454" s="130"/>
      <c r="AG454" s="106"/>
    </row>
    <row r="455">
      <c r="C455" s="79"/>
      <c r="D455" s="79"/>
      <c r="E455" s="79"/>
      <c r="O455" s="79"/>
      <c r="S455" s="79"/>
      <c r="T455" s="79"/>
      <c r="Y455" s="79"/>
      <c r="AE455" s="130"/>
      <c r="AG455" s="106"/>
    </row>
    <row r="456">
      <c r="C456" s="79"/>
      <c r="D456" s="79"/>
      <c r="E456" s="79"/>
      <c r="O456" s="79"/>
      <c r="S456" s="79"/>
      <c r="T456" s="79"/>
      <c r="Y456" s="79"/>
      <c r="AE456" s="130"/>
      <c r="AG456" s="106"/>
    </row>
    <row r="457">
      <c r="C457" s="79"/>
      <c r="D457" s="79"/>
      <c r="E457" s="79"/>
      <c r="O457" s="79"/>
      <c r="S457" s="79"/>
      <c r="T457" s="79"/>
      <c r="Y457" s="79"/>
      <c r="AE457" s="130"/>
      <c r="AG457" s="106"/>
    </row>
    <row r="458">
      <c r="C458" s="79"/>
      <c r="D458" s="79"/>
      <c r="E458" s="79"/>
      <c r="O458" s="79"/>
      <c r="S458" s="79"/>
      <c r="T458" s="79"/>
      <c r="Y458" s="79"/>
      <c r="AE458" s="130"/>
      <c r="AG458" s="106"/>
    </row>
    <row r="459">
      <c r="C459" s="79"/>
      <c r="D459" s="79"/>
      <c r="E459" s="79"/>
      <c r="O459" s="79"/>
      <c r="S459" s="79"/>
      <c r="T459" s="79"/>
      <c r="Y459" s="79"/>
      <c r="AE459" s="130"/>
      <c r="AG459" s="106"/>
    </row>
    <row r="460">
      <c r="C460" s="79"/>
      <c r="D460" s="79"/>
      <c r="E460" s="79"/>
      <c r="O460" s="79"/>
      <c r="S460" s="79"/>
      <c r="T460" s="79"/>
      <c r="Y460" s="79"/>
      <c r="AE460" s="130"/>
      <c r="AG460" s="106"/>
    </row>
    <row r="461">
      <c r="C461" s="79"/>
      <c r="D461" s="79"/>
      <c r="E461" s="79"/>
      <c r="O461" s="79"/>
      <c r="S461" s="79"/>
      <c r="T461" s="79"/>
      <c r="Y461" s="79"/>
      <c r="AE461" s="130"/>
      <c r="AG461" s="106"/>
    </row>
    <row r="462">
      <c r="C462" s="79"/>
      <c r="D462" s="79"/>
      <c r="E462" s="79"/>
      <c r="O462" s="79"/>
      <c r="S462" s="79"/>
      <c r="T462" s="79"/>
      <c r="Y462" s="79"/>
      <c r="AE462" s="130"/>
      <c r="AG462" s="106"/>
    </row>
    <row r="463">
      <c r="C463" s="79"/>
      <c r="D463" s="79"/>
      <c r="E463" s="79"/>
      <c r="O463" s="79"/>
      <c r="S463" s="79"/>
      <c r="T463" s="79"/>
      <c r="Y463" s="79"/>
      <c r="AE463" s="130"/>
      <c r="AG463" s="106"/>
    </row>
    <row r="464">
      <c r="C464" s="79"/>
      <c r="D464" s="79"/>
      <c r="E464" s="79"/>
      <c r="O464" s="79"/>
      <c r="S464" s="79"/>
      <c r="T464" s="79"/>
      <c r="Y464" s="79"/>
      <c r="AE464" s="130"/>
      <c r="AG464" s="106"/>
    </row>
    <row r="465">
      <c r="C465" s="79"/>
      <c r="D465" s="79"/>
      <c r="E465" s="79"/>
      <c r="O465" s="79"/>
      <c r="S465" s="79"/>
      <c r="T465" s="79"/>
      <c r="Y465" s="79"/>
      <c r="AE465" s="130"/>
      <c r="AG465" s="106"/>
    </row>
    <row r="466">
      <c r="C466" s="79"/>
      <c r="D466" s="79"/>
      <c r="E466" s="79"/>
      <c r="O466" s="79"/>
      <c r="S466" s="79"/>
      <c r="T466" s="79"/>
      <c r="Y466" s="79"/>
      <c r="AE466" s="130"/>
      <c r="AG466" s="106"/>
    </row>
    <row r="467">
      <c r="C467" s="79"/>
      <c r="D467" s="79"/>
      <c r="E467" s="79"/>
      <c r="O467" s="79"/>
      <c r="S467" s="79"/>
      <c r="T467" s="79"/>
      <c r="Y467" s="79"/>
      <c r="AE467" s="130"/>
      <c r="AG467" s="106"/>
    </row>
    <row r="468">
      <c r="C468" s="79"/>
      <c r="D468" s="79"/>
      <c r="E468" s="79"/>
      <c r="O468" s="79"/>
      <c r="S468" s="79"/>
      <c r="T468" s="79"/>
      <c r="Y468" s="79"/>
      <c r="AE468" s="130"/>
      <c r="AG468" s="106"/>
    </row>
    <row r="469">
      <c r="C469" s="79"/>
      <c r="D469" s="79"/>
      <c r="E469" s="79"/>
      <c r="O469" s="79"/>
      <c r="S469" s="79"/>
      <c r="T469" s="79"/>
      <c r="Y469" s="79"/>
      <c r="AE469" s="130"/>
      <c r="AG469" s="106"/>
    </row>
    <row r="470">
      <c r="C470" s="79"/>
      <c r="D470" s="79"/>
      <c r="E470" s="79"/>
      <c r="O470" s="79"/>
      <c r="S470" s="79"/>
      <c r="T470" s="79"/>
      <c r="Y470" s="79"/>
      <c r="AE470" s="130"/>
      <c r="AG470" s="106"/>
    </row>
    <row r="471">
      <c r="C471" s="79"/>
      <c r="D471" s="79"/>
      <c r="E471" s="79"/>
      <c r="O471" s="79"/>
      <c r="S471" s="79"/>
      <c r="T471" s="79"/>
      <c r="Y471" s="79"/>
      <c r="AE471" s="130"/>
      <c r="AG471" s="106"/>
    </row>
    <row r="472">
      <c r="C472" s="79"/>
      <c r="D472" s="79"/>
      <c r="E472" s="79"/>
      <c r="O472" s="79"/>
      <c r="S472" s="79"/>
      <c r="T472" s="79"/>
      <c r="Y472" s="79"/>
      <c r="AE472" s="130"/>
      <c r="AG472" s="106"/>
    </row>
    <row r="473">
      <c r="C473" s="79"/>
      <c r="D473" s="79"/>
      <c r="E473" s="79"/>
      <c r="O473" s="79"/>
      <c r="S473" s="79"/>
      <c r="T473" s="79"/>
      <c r="Y473" s="79"/>
      <c r="AE473" s="130"/>
      <c r="AG473" s="106"/>
    </row>
    <row r="474">
      <c r="C474" s="79"/>
      <c r="D474" s="79"/>
      <c r="E474" s="79"/>
      <c r="O474" s="79"/>
      <c r="S474" s="79"/>
      <c r="T474" s="79"/>
      <c r="Y474" s="79"/>
      <c r="AE474" s="130"/>
      <c r="AG474" s="106"/>
    </row>
    <row r="475">
      <c r="C475" s="79"/>
      <c r="D475" s="79"/>
      <c r="E475" s="79"/>
      <c r="O475" s="79"/>
      <c r="S475" s="79"/>
      <c r="T475" s="79"/>
      <c r="Y475" s="79"/>
      <c r="AE475" s="130"/>
      <c r="AG475" s="106"/>
    </row>
    <row r="476">
      <c r="C476" s="79"/>
      <c r="D476" s="79"/>
      <c r="E476" s="79"/>
      <c r="O476" s="79"/>
      <c r="S476" s="79"/>
      <c r="T476" s="79"/>
      <c r="Y476" s="79"/>
      <c r="AE476" s="130"/>
      <c r="AG476" s="106"/>
    </row>
    <row r="477">
      <c r="C477" s="79"/>
      <c r="D477" s="79"/>
      <c r="E477" s="79"/>
      <c r="O477" s="79"/>
      <c r="S477" s="79"/>
      <c r="T477" s="79"/>
      <c r="Y477" s="79"/>
      <c r="AE477" s="130"/>
      <c r="AG477" s="106"/>
    </row>
    <row r="478">
      <c r="C478" s="79"/>
      <c r="D478" s="79"/>
      <c r="E478" s="79"/>
      <c r="O478" s="79"/>
      <c r="S478" s="79"/>
      <c r="T478" s="79"/>
      <c r="Y478" s="79"/>
      <c r="AE478" s="130"/>
      <c r="AG478" s="106"/>
    </row>
    <row r="479">
      <c r="C479" s="79"/>
      <c r="D479" s="79"/>
      <c r="E479" s="79"/>
      <c r="O479" s="79"/>
      <c r="S479" s="79"/>
      <c r="T479" s="79"/>
      <c r="Y479" s="79"/>
      <c r="AE479" s="130"/>
      <c r="AG479" s="106"/>
    </row>
    <row r="480">
      <c r="C480" s="79"/>
      <c r="D480" s="79"/>
      <c r="E480" s="79"/>
      <c r="O480" s="79"/>
      <c r="S480" s="79"/>
      <c r="T480" s="79"/>
      <c r="Y480" s="79"/>
      <c r="AE480" s="130"/>
      <c r="AG480" s="106"/>
    </row>
    <row r="481">
      <c r="C481" s="79"/>
      <c r="D481" s="79"/>
      <c r="E481" s="79"/>
      <c r="O481" s="79"/>
      <c r="S481" s="79"/>
      <c r="T481" s="79"/>
      <c r="Y481" s="79"/>
      <c r="AE481" s="130"/>
      <c r="AG481" s="106"/>
    </row>
    <row r="482">
      <c r="C482" s="79"/>
      <c r="D482" s="79"/>
      <c r="E482" s="79"/>
      <c r="O482" s="79"/>
      <c r="S482" s="79"/>
      <c r="T482" s="79"/>
      <c r="Y482" s="79"/>
      <c r="AE482" s="130"/>
      <c r="AG482" s="106"/>
    </row>
    <row r="483">
      <c r="C483" s="79"/>
      <c r="D483" s="79"/>
      <c r="E483" s="79"/>
      <c r="O483" s="79"/>
      <c r="S483" s="79"/>
      <c r="T483" s="79"/>
      <c r="Y483" s="79"/>
      <c r="AE483" s="130"/>
      <c r="AG483" s="106"/>
    </row>
    <row r="484">
      <c r="C484" s="79"/>
      <c r="D484" s="79"/>
      <c r="E484" s="79"/>
      <c r="O484" s="79"/>
      <c r="S484" s="79"/>
      <c r="T484" s="79"/>
      <c r="Y484" s="79"/>
      <c r="AE484" s="130"/>
      <c r="AG484" s="106"/>
    </row>
    <row r="485">
      <c r="C485" s="79"/>
      <c r="D485" s="79"/>
      <c r="E485" s="79"/>
      <c r="O485" s="79"/>
      <c r="S485" s="79"/>
      <c r="T485" s="79"/>
      <c r="Y485" s="79"/>
      <c r="AE485" s="130"/>
      <c r="AG485" s="106"/>
    </row>
    <row r="486">
      <c r="C486" s="79"/>
      <c r="D486" s="79"/>
      <c r="E486" s="79"/>
      <c r="O486" s="79"/>
      <c r="S486" s="79"/>
      <c r="T486" s="79"/>
      <c r="Y486" s="79"/>
      <c r="AE486" s="130"/>
      <c r="AG486" s="106"/>
    </row>
    <row r="487">
      <c r="C487" s="79"/>
      <c r="D487" s="79"/>
      <c r="E487" s="79"/>
      <c r="O487" s="79"/>
      <c r="S487" s="79"/>
      <c r="T487" s="79"/>
      <c r="Y487" s="79"/>
      <c r="AE487" s="130"/>
      <c r="AG487" s="106"/>
    </row>
    <row r="488">
      <c r="C488" s="79"/>
      <c r="D488" s="79"/>
      <c r="E488" s="79"/>
      <c r="O488" s="79"/>
      <c r="S488" s="79"/>
      <c r="T488" s="79"/>
      <c r="Y488" s="79"/>
      <c r="AE488" s="130"/>
      <c r="AG488" s="106"/>
    </row>
    <row r="489">
      <c r="C489" s="79"/>
      <c r="D489" s="79"/>
      <c r="E489" s="79"/>
      <c r="O489" s="79"/>
      <c r="S489" s="79"/>
      <c r="T489" s="79"/>
      <c r="Y489" s="79"/>
      <c r="AE489" s="130"/>
      <c r="AG489" s="106"/>
    </row>
    <row r="490">
      <c r="C490" s="79"/>
      <c r="D490" s="79"/>
      <c r="E490" s="79"/>
      <c r="O490" s="79"/>
      <c r="S490" s="79"/>
      <c r="T490" s="79"/>
      <c r="Y490" s="79"/>
      <c r="AE490" s="130"/>
      <c r="AG490" s="106"/>
    </row>
    <row r="491">
      <c r="C491" s="79"/>
      <c r="D491" s="79"/>
      <c r="E491" s="79"/>
      <c r="O491" s="79"/>
      <c r="S491" s="79"/>
      <c r="T491" s="79"/>
      <c r="Y491" s="79"/>
      <c r="AE491" s="130"/>
      <c r="AG491" s="106"/>
    </row>
    <row r="492">
      <c r="C492" s="79"/>
      <c r="D492" s="79"/>
      <c r="E492" s="79"/>
      <c r="O492" s="79"/>
      <c r="S492" s="79"/>
      <c r="T492" s="79"/>
      <c r="Y492" s="79"/>
      <c r="AE492" s="130"/>
      <c r="AG492" s="106"/>
    </row>
    <row r="493">
      <c r="C493" s="79"/>
      <c r="D493" s="79"/>
      <c r="E493" s="79"/>
      <c r="O493" s="79"/>
      <c r="S493" s="79"/>
      <c r="T493" s="79"/>
      <c r="Y493" s="79"/>
      <c r="AE493" s="130"/>
      <c r="AG493" s="106"/>
    </row>
    <row r="494">
      <c r="C494" s="79"/>
      <c r="D494" s="79"/>
      <c r="E494" s="79"/>
      <c r="O494" s="79"/>
      <c r="S494" s="79"/>
      <c r="T494" s="79"/>
      <c r="Y494" s="79"/>
      <c r="AE494" s="130"/>
      <c r="AG494" s="106"/>
    </row>
    <row r="495">
      <c r="C495" s="79"/>
      <c r="D495" s="79"/>
      <c r="E495" s="79"/>
      <c r="O495" s="79"/>
      <c r="S495" s="79"/>
      <c r="T495" s="79"/>
      <c r="Y495" s="79"/>
      <c r="AE495" s="130"/>
      <c r="AG495" s="106"/>
    </row>
    <row r="496">
      <c r="C496" s="79"/>
      <c r="D496" s="79"/>
      <c r="E496" s="79"/>
      <c r="O496" s="79"/>
      <c r="S496" s="79"/>
      <c r="T496" s="79"/>
      <c r="Y496" s="79"/>
      <c r="AE496" s="130"/>
      <c r="AG496" s="106"/>
    </row>
    <row r="497">
      <c r="C497" s="79"/>
      <c r="D497" s="79"/>
      <c r="E497" s="79"/>
      <c r="O497" s="79"/>
      <c r="S497" s="79"/>
      <c r="T497" s="79"/>
      <c r="Y497" s="79"/>
      <c r="AE497" s="130"/>
      <c r="AG497" s="106"/>
    </row>
    <row r="498">
      <c r="C498" s="79"/>
      <c r="D498" s="79"/>
      <c r="E498" s="79"/>
      <c r="O498" s="79"/>
      <c r="S498" s="79"/>
      <c r="T498" s="79"/>
      <c r="Y498" s="79"/>
      <c r="AE498" s="130"/>
      <c r="AG498" s="106"/>
    </row>
    <row r="499">
      <c r="C499" s="79"/>
      <c r="D499" s="79"/>
      <c r="E499" s="79"/>
      <c r="O499" s="79"/>
      <c r="S499" s="79"/>
      <c r="T499" s="79"/>
      <c r="Y499" s="79"/>
      <c r="AE499" s="130"/>
      <c r="AG499" s="106"/>
    </row>
    <row r="500">
      <c r="C500" s="79"/>
      <c r="D500" s="79"/>
      <c r="E500" s="79"/>
      <c r="O500" s="79"/>
      <c r="S500" s="79"/>
      <c r="T500" s="79"/>
      <c r="Y500" s="79"/>
      <c r="AE500" s="130"/>
      <c r="AG500" s="106"/>
    </row>
    <row r="501">
      <c r="C501" s="79"/>
      <c r="D501" s="79"/>
      <c r="E501" s="79"/>
      <c r="O501" s="79"/>
      <c r="S501" s="79"/>
      <c r="T501" s="79"/>
      <c r="Y501" s="79"/>
      <c r="AE501" s="130"/>
      <c r="AG501" s="106"/>
    </row>
    <row r="502">
      <c r="C502" s="79"/>
      <c r="D502" s="79"/>
      <c r="E502" s="79"/>
      <c r="O502" s="79"/>
      <c r="S502" s="79"/>
      <c r="T502" s="79"/>
      <c r="Y502" s="79"/>
      <c r="AE502" s="130"/>
      <c r="AG502" s="106"/>
    </row>
    <row r="503">
      <c r="C503" s="79"/>
      <c r="D503" s="79"/>
      <c r="E503" s="79"/>
      <c r="O503" s="79"/>
      <c r="S503" s="79"/>
      <c r="T503" s="79"/>
      <c r="Y503" s="79"/>
      <c r="AE503" s="130"/>
      <c r="AG503" s="106"/>
    </row>
    <row r="504">
      <c r="C504" s="79"/>
      <c r="D504" s="79"/>
      <c r="E504" s="79"/>
      <c r="O504" s="79"/>
      <c r="S504" s="79"/>
      <c r="T504" s="79"/>
      <c r="Y504" s="79"/>
      <c r="AE504" s="130"/>
      <c r="AG504" s="106"/>
    </row>
    <row r="505">
      <c r="C505" s="79"/>
      <c r="D505" s="79"/>
      <c r="E505" s="79"/>
      <c r="O505" s="79"/>
      <c r="S505" s="79"/>
      <c r="T505" s="79"/>
      <c r="Y505" s="79"/>
      <c r="AE505" s="130"/>
      <c r="AG505" s="106"/>
    </row>
    <row r="506">
      <c r="C506" s="79"/>
      <c r="D506" s="79"/>
      <c r="E506" s="79"/>
      <c r="O506" s="79"/>
      <c r="S506" s="79"/>
      <c r="T506" s="79"/>
      <c r="Y506" s="79"/>
      <c r="AE506" s="130"/>
      <c r="AG506" s="106"/>
    </row>
    <row r="507">
      <c r="C507" s="79"/>
      <c r="D507" s="79"/>
      <c r="E507" s="79"/>
      <c r="O507" s="79"/>
      <c r="S507" s="79"/>
      <c r="T507" s="79"/>
      <c r="Y507" s="79"/>
      <c r="AE507" s="130"/>
      <c r="AG507" s="106"/>
    </row>
    <row r="508">
      <c r="C508" s="79"/>
      <c r="D508" s="79"/>
      <c r="E508" s="79"/>
      <c r="O508" s="79"/>
      <c r="S508" s="79"/>
      <c r="T508" s="79"/>
      <c r="Y508" s="79"/>
      <c r="AE508" s="130"/>
      <c r="AG508" s="106"/>
    </row>
    <row r="509">
      <c r="C509" s="79"/>
      <c r="D509" s="79"/>
      <c r="E509" s="79"/>
      <c r="O509" s="79"/>
      <c r="S509" s="79"/>
      <c r="T509" s="79"/>
      <c r="Y509" s="79"/>
      <c r="AE509" s="130"/>
      <c r="AG509" s="106"/>
    </row>
    <row r="510">
      <c r="C510" s="79"/>
      <c r="D510" s="79"/>
      <c r="E510" s="79"/>
      <c r="O510" s="79"/>
      <c r="S510" s="79"/>
      <c r="T510" s="79"/>
      <c r="Y510" s="79"/>
      <c r="AE510" s="130"/>
      <c r="AG510" s="106"/>
    </row>
    <row r="511">
      <c r="C511" s="79"/>
      <c r="D511" s="79"/>
      <c r="E511" s="79"/>
      <c r="O511" s="79"/>
      <c r="S511" s="79"/>
      <c r="T511" s="79"/>
      <c r="Y511" s="79"/>
      <c r="AE511" s="130"/>
      <c r="AG511" s="106"/>
    </row>
    <row r="512">
      <c r="C512" s="79"/>
      <c r="D512" s="79"/>
      <c r="E512" s="79"/>
      <c r="O512" s="79"/>
      <c r="S512" s="79"/>
      <c r="T512" s="79"/>
      <c r="Y512" s="79"/>
      <c r="AE512" s="130"/>
      <c r="AG512" s="106"/>
    </row>
    <row r="513">
      <c r="C513" s="79"/>
      <c r="D513" s="79"/>
      <c r="E513" s="79"/>
      <c r="O513" s="79"/>
      <c r="S513" s="79"/>
      <c r="T513" s="79"/>
      <c r="Y513" s="79"/>
      <c r="AE513" s="130"/>
      <c r="AG513" s="106"/>
    </row>
    <row r="514">
      <c r="C514" s="79"/>
      <c r="D514" s="79"/>
      <c r="E514" s="79"/>
      <c r="O514" s="79"/>
      <c r="S514" s="79"/>
      <c r="T514" s="79"/>
      <c r="Y514" s="79"/>
      <c r="AE514" s="130"/>
      <c r="AG514" s="106"/>
    </row>
    <row r="515">
      <c r="C515" s="79"/>
      <c r="D515" s="79"/>
      <c r="E515" s="79"/>
      <c r="O515" s="79"/>
      <c r="S515" s="79"/>
      <c r="T515" s="79"/>
      <c r="Y515" s="79"/>
      <c r="AE515" s="130"/>
      <c r="AG515" s="106"/>
    </row>
    <row r="516">
      <c r="C516" s="79"/>
      <c r="D516" s="79"/>
      <c r="E516" s="79"/>
      <c r="O516" s="79"/>
      <c r="S516" s="79"/>
      <c r="T516" s="79"/>
      <c r="Y516" s="79"/>
      <c r="AE516" s="130"/>
      <c r="AG516" s="106"/>
    </row>
    <row r="517">
      <c r="C517" s="79"/>
      <c r="D517" s="79"/>
      <c r="E517" s="79"/>
      <c r="O517" s="79"/>
      <c r="S517" s="79"/>
      <c r="T517" s="79"/>
      <c r="Y517" s="79"/>
      <c r="AE517" s="130"/>
      <c r="AG517" s="106"/>
    </row>
    <row r="518">
      <c r="C518" s="79"/>
      <c r="D518" s="79"/>
      <c r="E518" s="79"/>
      <c r="O518" s="79"/>
      <c r="S518" s="79"/>
      <c r="T518" s="79"/>
      <c r="Y518" s="79"/>
      <c r="AE518" s="130"/>
      <c r="AG518" s="106"/>
    </row>
    <row r="519">
      <c r="C519" s="79"/>
      <c r="D519" s="79"/>
      <c r="E519" s="79"/>
      <c r="O519" s="79"/>
      <c r="S519" s="79"/>
      <c r="T519" s="79"/>
      <c r="Y519" s="79"/>
      <c r="AE519" s="130"/>
      <c r="AG519" s="106"/>
    </row>
    <row r="520">
      <c r="C520" s="79"/>
      <c r="D520" s="79"/>
      <c r="E520" s="79"/>
      <c r="O520" s="79"/>
      <c r="S520" s="79"/>
      <c r="T520" s="79"/>
      <c r="Y520" s="79"/>
      <c r="AE520" s="130"/>
      <c r="AG520" s="106"/>
    </row>
    <row r="521">
      <c r="C521" s="79"/>
      <c r="D521" s="79"/>
      <c r="E521" s="79"/>
      <c r="O521" s="79"/>
      <c r="S521" s="79"/>
      <c r="T521" s="79"/>
      <c r="Y521" s="79"/>
      <c r="AE521" s="130"/>
      <c r="AG521" s="106"/>
    </row>
    <row r="522">
      <c r="C522" s="79"/>
      <c r="D522" s="79"/>
      <c r="E522" s="79"/>
      <c r="O522" s="79"/>
      <c r="S522" s="79"/>
      <c r="T522" s="79"/>
      <c r="Y522" s="79"/>
      <c r="AE522" s="130"/>
      <c r="AG522" s="106"/>
    </row>
    <row r="523">
      <c r="C523" s="79"/>
      <c r="D523" s="79"/>
      <c r="E523" s="79"/>
      <c r="O523" s="79"/>
      <c r="S523" s="79"/>
      <c r="T523" s="79"/>
      <c r="Y523" s="79"/>
      <c r="AE523" s="130"/>
      <c r="AG523" s="106"/>
    </row>
    <row r="524">
      <c r="C524" s="79"/>
      <c r="D524" s="79"/>
      <c r="E524" s="79"/>
      <c r="O524" s="79"/>
      <c r="S524" s="79"/>
      <c r="T524" s="79"/>
      <c r="Y524" s="79"/>
      <c r="AE524" s="130"/>
      <c r="AG524" s="106"/>
    </row>
    <row r="525">
      <c r="C525" s="79"/>
      <c r="D525" s="79"/>
      <c r="E525" s="79"/>
      <c r="O525" s="79"/>
      <c r="S525" s="79"/>
      <c r="T525" s="79"/>
      <c r="Y525" s="79"/>
      <c r="AE525" s="130"/>
      <c r="AG525" s="106"/>
    </row>
    <row r="526">
      <c r="C526" s="79"/>
      <c r="D526" s="79"/>
      <c r="E526" s="79"/>
      <c r="O526" s="79"/>
      <c r="S526" s="79"/>
      <c r="T526" s="79"/>
      <c r="Y526" s="79"/>
      <c r="AE526" s="130"/>
      <c r="AG526" s="106"/>
    </row>
    <row r="527">
      <c r="C527" s="79"/>
      <c r="D527" s="79"/>
      <c r="E527" s="79"/>
      <c r="O527" s="79"/>
      <c r="S527" s="79"/>
      <c r="T527" s="79"/>
      <c r="Y527" s="79"/>
      <c r="AE527" s="130"/>
      <c r="AG527" s="106"/>
    </row>
    <row r="528">
      <c r="C528" s="79"/>
      <c r="D528" s="79"/>
      <c r="E528" s="79"/>
      <c r="O528" s="79"/>
      <c r="S528" s="79"/>
      <c r="T528" s="79"/>
      <c r="Y528" s="79"/>
      <c r="AE528" s="130"/>
      <c r="AG528" s="106"/>
    </row>
    <row r="529">
      <c r="C529" s="79"/>
      <c r="D529" s="79"/>
      <c r="E529" s="79"/>
      <c r="O529" s="79"/>
      <c r="S529" s="79"/>
      <c r="T529" s="79"/>
      <c r="Y529" s="79"/>
      <c r="AE529" s="130"/>
      <c r="AG529" s="106"/>
    </row>
    <row r="530">
      <c r="C530" s="79"/>
      <c r="D530" s="79"/>
      <c r="E530" s="79"/>
      <c r="O530" s="79"/>
      <c r="S530" s="79"/>
      <c r="T530" s="79"/>
      <c r="Y530" s="79"/>
      <c r="AE530" s="130"/>
      <c r="AG530" s="106"/>
    </row>
    <row r="531">
      <c r="C531" s="79"/>
      <c r="D531" s="79"/>
      <c r="E531" s="79"/>
      <c r="O531" s="79"/>
      <c r="S531" s="79"/>
      <c r="T531" s="79"/>
      <c r="Y531" s="79"/>
      <c r="AE531" s="130"/>
      <c r="AG531" s="106"/>
    </row>
    <row r="532">
      <c r="C532" s="79"/>
      <c r="D532" s="79"/>
      <c r="E532" s="79"/>
      <c r="O532" s="79"/>
      <c r="S532" s="79"/>
      <c r="T532" s="79"/>
      <c r="Y532" s="79"/>
      <c r="AE532" s="130"/>
      <c r="AG532" s="106"/>
    </row>
    <row r="533">
      <c r="C533" s="79"/>
      <c r="D533" s="79"/>
      <c r="E533" s="79"/>
      <c r="O533" s="79"/>
      <c r="S533" s="79"/>
      <c r="T533" s="79"/>
      <c r="Y533" s="79"/>
      <c r="AE533" s="130"/>
      <c r="AG533" s="106"/>
    </row>
    <row r="534">
      <c r="C534" s="79"/>
      <c r="D534" s="79"/>
      <c r="E534" s="79"/>
      <c r="O534" s="79"/>
      <c r="S534" s="79"/>
      <c r="T534" s="79"/>
      <c r="Y534" s="79"/>
      <c r="AE534" s="130"/>
      <c r="AG534" s="106"/>
    </row>
    <row r="535">
      <c r="C535" s="79"/>
      <c r="D535" s="79"/>
      <c r="E535" s="79"/>
      <c r="O535" s="79"/>
      <c r="S535" s="79"/>
      <c r="T535" s="79"/>
      <c r="Y535" s="79"/>
      <c r="AE535" s="130"/>
      <c r="AG535" s="106"/>
    </row>
    <row r="536">
      <c r="C536" s="79"/>
      <c r="D536" s="79"/>
      <c r="E536" s="79"/>
      <c r="O536" s="79"/>
      <c r="S536" s="79"/>
      <c r="T536" s="79"/>
      <c r="Y536" s="79"/>
      <c r="AE536" s="130"/>
      <c r="AG536" s="106"/>
    </row>
    <row r="537">
      <c r="C537" s="79"/>
      <c r="D537" s="79"/>
      <c r="E537" s="79"/>
      <c r="O537" s="79"/>
      <c r="S537" s="79"/>
      <c r="T537" s="79"/>
      <c r="Y537" s="79"/>
      <c r="AE537" s="130"/>
      <c r="AG537" s="106"/>
    </row>
    <row r="538">
      <c r="C538" s="79"/>
      <c r="D538" s="79"/>
      <c r="E538" s="79"/>
      <c r="O538" s="79"/>
      <c r="S538" s="79"/>
      <c r="T538" s="79"/>
      <c r="Y538" s="79"/>
      <c r="AE538" s="130"/>
      <c r="AG538" s="106"/>
    </row>
    <row r="539">
      <c r="C539" s="79"/>
      <c r="D539" s="79"/>
      <c r="E539" s="79"/>
      <c r="O539" s="79"/>
      <c r="S539" s="79"/>
      <c r="T539" s="79"/>
      <c r="Y539" s="79"/>
      <c r="AE539" s="130"/>
      <c r="AG539" s="106"/>
    </row>
    <row r="540">
      <c r="C540" s="79"/>
      <c r="D540" s="79"/>
      <c r="E540" s="79"/>
      <c r="O540" s="79"/>
      <c r="S540" s="79"/>
      <c r="T540" s="79"/>
      <c r="Y540" s="79"/>
      <c r="AE540" s="130"/>
      <c r="AG540" s="106"/>
    </row>
    <row r="541">
      <c r="C541" s="79"/>
      <c r="D541" s="79"/>
      <c r="E541" s="79"/>
      <c r="O541" s="79"/>
      <c r="S541" s="79"/>
      <c r="T541" s="79"/>
      <c r="Y541" s="79"/>
      <c r="AE541" s="130"/>
      <c r="AG541" s="106"/>
    </row>
    <row r="542">
      <c r="C542" s="79"/>
      <c r="D542" s="79"/>
      <c r="E542" s="79"/>
      <c r="O542" s="79"/>
      <c r="S542" s="79"/>
      <c r="T542" s="79"/>
      <c r="Y542" s="79"/>
      <c r="AE542" s="130"/>
      <c r="AG542" s="106"/>
    </row>
    <row r="543">
      <c r="C543" s="79"/>
      <c r="D543" s="79"/>
      <c r="E543" s="79"/>
      <c r="O543" s="79"/>
      <c r="S543" s="79"/>
      <c r="T543" s="79"/>
      <c r="Y543" s="79"/>
      <c r="AE543" s="130"/>
      <c r="AG543" s="106"/>
    </row>
    <row r="544">
      <c r="C544" s="79"/>
      <c r="D544" s="79"/>
      <c r="E544" s="79"/>
      <c r="O544" s="79"/>
      <c r="S544" s="79"/>
      <c r="T544" s="79"/>
      <c r="Y544" s="79"/>
      <c r="AE544" s="130"/>
      <c r="AG544" s="106"/>
    </row>
    <row r="545">
      <c r="C545" s="79"/>
      <c r="D545" s="79"/>
      <c r="E545" s="79"/>
      <c r="O545" s="79"/>
      <c r="S545" s="79"/>
      <c r="T545" s="79"/>
      <c r="Y545" s="79"/>
      <c r="AE545" s="130"/>
      <c r="AG545" s="106"/>
    </row>
    <row r="546">
      <c r="C546" s="79"/>
      <c r="D546" s="79"/>
      <c r="E546" s="79"/>
      <c r="O546" s="79"/>
      <c r="S546" s="79"/>
      <c r="T546" s="79"/>
      <c r="Y546" s="79"/>
      <c r="AE546" s="130"/>
      <c r="AG546" s="106"/>
    </row>
    <row r="547">
      <c r="C547" s="79"/>
      <c r="D547" s="79"/>
      <c r="E547" s="79"/>
      <c r="O547" s="79"/>
      <c r="S547" s="79"/>
      <c r="T547" s="79"/>
      <c r="Y547" s="79"/>
      <c r="AE547" s="130"/>
      <c r="AG547" s="106"/>
    </row>
    <row r="548">
      <c r="C548" s="79"/>
      <c r="D548" s="79"/>
      <c r="E548" s="79"/>
      <c r="O548" s="79"/>
      <c r="S548" s="79"/>
      <c r="T548" s="79"/>
      <c r="Y548" s="79"/>
      <c r="AE548" s="130"/>
      <c r="AG548" s="106"/>
    </row>
    <row r="549">
      <c r="C549" s="79"/>
      <c r="D549" s="79"/>
      <c r="E549" s="79"/>
      <c r="O549" s="79"/>
      <c r="S549" s="79"/>
      <c r="T549" s="79"/>
      <c r="Y549" s="79"/>
      <c r="AE549" s="130"/>
      <c r="AG549" s="106"/>
    </row>
    <row r="550">
      <c r="C550" s="79"/>
      <c r="D550" s="79"/>
      <c r="E550" s="79"/>
      <c r="O550" s="79"/>
      <c r="S550" s="79"/>
      <c r="T550" s="79"/>
      <c r="Y550" s="79"/>
      <c r="AE550" s="130"/>
      <c r="AG550" s="106"/>
    </row>
    <row r="551">
      <c r="C551" s="79"/>
      <c r="D551" s="79"/>
      <c r="E551" s="79"/>
      <c r="O551" s="79"/>
      <c r="S551" s="79"/>
      <c r="T551" s="79"/>
      <c r="Y551" s="79"/>
      <c r="AE551" s="130"/>
      <c r="AG551" s="106"/>
    </row>
    <row r="552">
      <c r="C552" s="79"/>
      <c r="D552" s="79"/>
      <c r="E552" s="79"/>
      <c r="O552" s="79"/>
      <c r="S552" s="79"/>
      <c r="T552" s="79"/>
      <c r="Y552" s="79"/>
      <c r="AE552" s="130"/>
      <c r="AG552" s="106"/>
    </row>
    <row r="553">
      <c r="C553" s="79"/>
      <c r="D553" s="79"/>
      <c r="E553" s="79"/>
      <c r="O553" s="79"/>
      <c r="S553" s="79"/>
      <c r="T553" s="79"/>
      <c r="Y553" s="79"/>
      <c r="AE553" s="130"/>
      <c r="AG553" s="106"/>
    </row>
    <row r="554">
      <c r="C554" s="79"/>
      <c r="D554" s="79"/>
      <c r="E554" s="79"/>
      <c r="O554" s="79"/>
      <c r="S554" s="79"/>
      <c r="T554" s="79"/>
      <c r="Y554" s="79"/>
      <c r="AE554" s="130"/>
      <c r="AG554" s="106"/>
    </row>
    <row r="555">
      <c r="C555" s="79"/>
      <c r="D555" s="79"/>
      <c r="E555" s="79"/>
      <c r="O555" s="79"/>
      <c r="S555" s="79"/>
      <c r="T555" s="79"/>
      <c r="Y555" s="79"/>
      <c r="AE555" s="130"/>
      <c r="AG555" s="106"/>
    </row>
    <row r="556">
      <c r="C556" s="79"/>
      <c r="D556" s="79"/>
      <c r="E556" s="79"/>
      <c r="O556" s="79"/>
      <c r="S556" s="79"/>
      <c r="T556" s="79"/>
      <c r="Y556" s="79"/>
      <c r="AE556" s="130"/>
      <c r="AG556" s="106"/>
    </row>
    <row r="557">
      <c r="C557" s="79"/>
      <c r="D557" s="79"/>
      <c r="E557" s="79"/>
      <c r="O557" s="79"/>
      <c r="S557" s="79"/>
      <c r="T557" s="79"/>
      <c r="Y557" s="79"/>
      <c r="AE557" s="130"/>
      <c r="AG557" s="106"/>
    </row>
    <row r="558">
      <c r="C558" s="79"/>
      <c r="D558" s="79"/>
      <c r="E558" s="79"/>
      <c r="O558" s="79"/>
      <c r="S558" s="79"/>
      <c r="T558" s="79"/>
      <c r="Y558" s="79"/>
      <c r="AE558" s="130"/>
      <c r="AG558" s="106"/>
    </row>
    <row r="559">
      <c r="C559" s="79"/>
      <c r="D559" s="79"/>
      <c r="E559" s="79"/>
      <c r="O559" s="79"/>
      <c r="S559" s="79"/>
      <c r="T559" s="79"/>
      <c r="Y559" s="79"/>
      <c r="AE559" s="130"/>
      <c r="AG559" s="106"/>
    </row>
    <row r="560">
      <c r="C560" s="79"/>
      <c r="D560" s="79"/>
      <c r="E560" s="79"/>
      <c r="O560" s="79"/>
      <c r="S560" s="79"/>
      <c r="T560" s="79"/>
      <c r="Y560" s="79"/>
      <c r="AE560" s="130"/>
      <c r="AG560" s="106"/>
    </row>
    <row r="561">
      <c r="C561" s="79"/>
      <c r="D561" s="79"/>
      <c r="E561" s="79"/>
      <c r="O561" s="79"/>
      <c r="S561" s="79"/>
      <c r="T561" s="79"/>
      <c r="Y561" s="79"/>
      <c r="AE561" s="130"/>
      <c r="AG561" s="106"/>
    </row>
    <row r="562">
      <c r="C562" s="79"/>
      <c r="D562" s="79"/>
      <c r="E562" s="79"/>
      <c r="O562" s="79"/>
      <c r="S562" s="79"/>
      <c r="T562" s="79"/>
      <c r="Y562" s="79"/>
      <c r="AE562" s="130"/>
      <c r="AG562" s="106"/>
    </row>
    <row r="563">
      <c r="C563" s="79"/>
      <c r="D563" s="79"/>
      <c r="E563" s="79"/>
      <c r="O563" s="79"/>
      <c r="S563" s="79"/>
      <c r="T563" s="79"/>
      <c r="Y563" s="79"/>
      <c r="AE563" s="130"/>
      <c r="AG563" s="106"/>
    </row>
    <row r="564">
      <c r="C564" s="79"/>
      <c r="D564" s="79"/>
      <c r="E564" s="79"/>
      <c r="O564" s="79"/>
      <c r="S564" s="79"/>
      <c r="T564" s="79"/>
      <c r="Y564" s="79"/>
      <c r="AE564" s="130"/>
      <c r="AG564" s="106"/>
    </row>
    <row r="565">
      <c r="C565" s="79"/>
      <c r="D565" s="79"/>
      <c r="E565" s="79"/>
      <c r="O565" s="79"/>
      <c r="S565" s="79"/>
      <c r="T565" s="79"/>
      <c r="Y565" s="79"/>
      <c r="AE565" s="130"/>
      <c r="AG565" s="106"/>
    </row>
    <row r="566">
      <c r="C566" s="79"/>
      <c r="D566" s="79"/>
      <c r="E566" s="79"/>
      <c r="O566" s="79"/>
      <c r="S566" s="79"/>
      <c r="T566" s="79"/>
      <c r="Y566" s="79"/>
      <c r="AE566" s="130"/>
      <c r="AG566" s="106"/>
    </row>
    <row r="567">
      <c r="C567" s="79"/>
      <c r="D567" s="79"/>
      <c r="E567" s="79"/>
      <c r="O567" s="79"/>
      <c r="S567" s="79"/>
      <c r="T567" s="79"/>
      <c r="Y567" s="79"/>
      <c r="AE567" s="130"/>
      <c r="AG567" s="106"/>
    </row>
    <row r="568">
      <c r="C568" s="79"/>
      <c r="D568" s="79"/>
      <c r="E568" s="79"/>
      <c r="O568" s="79"/>
      <c r="S568" s="79"/>
      <c r="T568" s="79"/>
      <c r="Y568" s="79"/>
      <c r="AE568" s="130"/>
      <c r="AG568" s="106"/>
    </row>
    <row r="569">
      <c r="C569" s="79"/>
      <c r="D569" s="79"/>
      <c r="E569" s="79"/>
      <c r="O569" s="79"/>
      <c r="S569" s="79"/>
      <c r="T569" s="79"/>
      <c r="Y569" s="79"/>
      <c r="AE569" s="130"/>
      <c r="AG569" s="106"/>
    </row>
    <row r="570">
      <c r="C570" s="79"/>
      <c r="D570" s="79"/>
      <c r="E570" s="79"/>
      <c r="O570" s="79"/>
      <c r="S570" s="79"/>
      <c r="T570" s="79"/>
      <c r="Y570" s="79"/>
      <c r="AE570" s="130"/>
      <c r="AG570" s="106"/>
    </row>
    <row r="571">
      <c r="C571" s="79"/>
      <c r="D571" s="79"/>
      <c r="E571" s="79"/>
      <c r="O571" s="79"/>
      <c r="S571" s="79"/>
      <c r="T571" s="79"/>
      <c r="Y571" s="79"/>
      <c r="AE571" s="130"/>
      <c r="AG571" s="106"/>
    </row>
    <row r="572">
      <c r="C572" s="79"/>
      <c r="D572" s="79"/>
      <c r="E572" s="79"/>
      <c r="O572" s="79"/>
      <c r="S572" s="79"/>
      <c r="T572" s="79"/>
      <c r="Y572" s="79"/>
      <c r="AE572" s="130"/>
      <c r="AG572" s="106"/>
    </row>
    <row r="573">
      <c r="C573" s="79"/>
      <c r="D573" s="79"/>
      <c r="E573" s="79"/>
      <c r="O573" s="79"/>
      <c r="S573" s="79"/>
      <c r="T573" s="79"/>
      <c r="Y573" s="79"/>
      <c r="AE573" s="130"/>
      <c r="AG573" s="106"/>
    </row>
    <row r="574">
      <c r="C574" s="79"/>
      <c r="D574" s="79"/>
      <c r="E574" s="79"/>
      <c r="O574" s="79"/>
      <c r="S574" s="79"/>
      <c r="T574" s="79"/>
      <c r="Y574" s="79"/>
      <c r="AE574" s="130"/>
      <c r="AG574" s="106"/>
    </row>
    <row r="575">
      <c r="C575" s="79"/>
      <c r="D575" s="79"/>
      <c r="E575" s="79"/>
      <c r="O575" s="79"/>
      <c r="S575" s="79"/>
      <c r="T575" s="79"/>
      <c r="Y575" s="79"/>
      <c r="AE575" s="130"/>
      <c r="AG575" s="106"/>
    </row>
    <row r="576">
      <c r="C576" s="79"/>
      <c r="D576" s="79"/>
      <c r="E576" s="79"/>
      <c r="O576" s="79"/>
      <c r="S576" s="79"/>
      <c r="T576" s="79"/>
      <c r="Y576" s="79"/>
      <c r="AE576" s="130"/>
      <c r="AG576" s="106"/>
    </row>
    <row r="577">
      <c r="C577" s="79"/>
      <c r="D577" s="79"/>
      <c r="E577" s="79"/>
      <c r="O577" s="79"/>
      <c r="S577" s="79"/>
      <c r="T577" s="79"/>
      <c r="Y577" s="79"/>
      <c r="AE577" s="130"/>
      <c r="AG577" s="106"/>
    </row>
    <row r="578">
      <c r="C578" s="79"/>
      <c r="D578" s="79"/>
      <c r="E578" s="79"/>
      <c r="O578" s="79"/>
      <c r="S578" s="79"/>
      <c r="T578" s="79"/>
      <c r="Y578" s="79"/>
      <c r="AE578" s="130"/>
      <c r="AG578" s="106"/>
    </row>
    <row r="579">
      <c r="C579" s="79"/>
      <c r="D579" s="79"/>
      <c r="E579" s="79"/>
      <c r="O579" s="79"/>
      <c r="S579" s="79"/>
      <c r="T579" s="79"/>
      <c r="Y579" s="79"/>
      <c r="AE579" s="130"/>
      <c r="AG579" s="106"/>
    </row>
    <row r="580">
      <c r="C580" s="79"/>
      <c r="D580" s="79"/>
      <c r="E580" s="79"/>
      <c r="O580" s="79"/>
      <c r="S580" s="79"/>
      <c r="T580" s="79"/>
      <c r="Y580" s="79"/>
      <c r="AE580" s="130"/>
      <c r="AG580" s="106"/>
    </row>
    <row r="581">
      <c r="C581" s="79"/>
      <c r="D581" s="79"/>
      <c r="E581" s="79"/>
      <c r="O581" s="79"/>
      <c r="S581" s="79"/>
      <c r="T581" s="79"/>
      <c r="Y581" s="79"/>
      <c r="AE581" s="130"/>
      <c r="AG581" s="106"/>
    </row>
    <row r="582">
      <c r="C582" s="79"/>
      <c r="D582" s="79"/>
      <c r="E582" s="79"/>
      <c r="O582" s="79"/>
      <c r="S582" s="79"/>
      <c r="T582" s="79"/>
      <c r="Y582" s="79"/>
      <c r="AE582" s="130"/>
      <c r="AG582" s="106"/>
    </row>
    <row r="583">
      <c r="C583" s="79"/>
      <c r="D583" s="79"/>
      <c r="E583" s="79"/>
      <c r="O583" s="79"/>
      <c r="S583" s="79"/>
      <c r="T583" s="79"/>
      <c r="Y583" s="79"/>
      <c r="AE583" s="130"/>
      <c r="AG583" s="106"/>
    </row>
    <row r="584">
      <c r="C584" s="79"/>
      <c r="D584" s="79"/>
      <c r="E584" s="79"/>
      <c r="O584" s="79"/>
      <c r="S584" s="79"/>
      <c r="T584" s="79"/>
      <c r="Y584" s="79"/>
      <c r="AE584" s="130"/>
      <c r="AG584" s="106"/>
    </row>
    <row r="585">
      <c r="C585" s="79"/>
      <c r="D585" s="79"/>
      <c r="E585" s="79"/>
      <c r="O585" s="79"/>
      <c r="S585" s="79"/>
      <c r="T585" s="79"/>
      <c r="Y585" s="79"/>
      <c r="AE585" s="130"/>
      <c r="AG585" s="106"/>
    </row>
    <row r="586">
      <c r="C586" s="79"/>
      <c r="D586" s="79"/>
      <c r="E586" s="79"/>
      <c r="O586" s="79"/>
      <c r="S586" s="79"/>
      <c r="T586" s="79"/>
      <c r="Y586" s="79"/>
      <c r="AE586" s="130"/>
      <c r="AG586" s="106"/>
    </row>
    <row r="587">
      <c r="C587" s="79"/>
      <c r="D587" s="79"/>
      <c r="E587" s="79"/>
      <c r="O587" s="79"/>
      <c r="S587" s="79"/>
      <c r="T587" s="79"/>
      <c r="Y587" s="79"/>
      <c r="AE587" s="130"/>
      <c r="AG587" s="106"/>
    </row>
    <row r="588">
      <c r="C588" s="79"/>
      <c r="D588" s="79"/>
      <c r="E588" s="79"/>
      <c r="O588" s="79"/>
      <c r="S588" s="79"/>
      <c r="T588" s="79"/>
      <c r="Y588" s="79"/>
      <c r="AE588" s="130"/>
      <c r="AG588" s="106"/>
    </row>
    <row r="589">
      <c r="C589" s="79"/>
      <c r="D589" s="79"/>
      <c r="E589" s="79"/>
      <c r="O589" s="79"/>
      <c r="S589" s="79"/>
      <c r="T589" s="79"/>
      <c r="Y589" s="79"/>
      <c r="AE589" s="130"/>
      <c r="AG589" s="106"/>
    </row>
    <row r="590">
      <c r="C590" s="79"/>
      <c r="D590" s="79"/>
      <c r="E590" s="79"/>
      <c r="O590" s="79"/>
      <c r="S590" s="79"/>
      <c r="T590" s="79"/>
      <c r="Y590" s="79"/>
      <c r="AE590" s="130"/>
      <c r="AG590" s="106"/>
    </row>
    <row r="591">
      <c r="C591" s="79"/>
      <c r="D591" s="79"/>
      <c r="E591" s="79"/>
      <c r="O591" s="79"/>
      <c r="S591" s="79"/>
      <c r="T591" s="79"/>
      <c r="Y591" s="79"/>
      <c r="AE591" s="130"/>
      <c r="AG591" s="106"/>
    </row>
    <row r="592">
      <c r="C592" s="79"/>
      <c r="D592" s="79"/>
      <c r="E592" s="79"/>
      <c r="O592" s="79"/>
      <c r="S592" s="79"/>
      <c r="T592" s="79"/>
      <c r="Y592" s="79"/>
      <c r="AE592" s="130"/>
      <c r="AG592" s="106"/>
    </row>
    <row r="593">
      <c r="C593" s="79"/>
      <c r="D593" s="79"/>
      <c r="E593" s="79"/>
      <c r="O593" s="79"/>
      <c r="S593" s="79"/>
      <c r="T593" s="79"/>
      <c r="Y593" s="79"/>
      <c r="AE593" s="130"/>
      <c r="AG593" s="106"/>
    </row>
    <row r="594">
      <c r="C594" s="79"/>
      <c r="D594" s="79"/>
      <c r="E594" s="79"/>
      <c r="O594" s="79"/>
      <c r="S594" s="79"/>
      <c r="T594" s="79"/>
      <c r="Y594" s="79"/>
      <c r="AE594" s="130"/>
      <c r="AG594" s="106"/>
    </row>
    <row r="595">
      <c r="C595" s="79"/>
      <c r="D595" s="79"/>
      <c r="E595" s="79"/>
      <c r="O595" s="79"/>
      <c r="S595" s="79"/>
      <c r="T595" s="79"/>
      <c r="Y595" s="79"/>
      <c r="AE595" s="130"/>
      <c r="AG595" s="106"/>
    </row>
    <row r="596">
      <c r="C596" s="79"/>
      <c r="D596" s="79"/>
      <c r="E596" s="79"/>
      <c r="O596" s="79"/>
      <c r="S596" s="79"/>
      <c r="T596" s="79"/>
      <c r="Y596" s="79"/>
      <c r="AE596" s="130"/>
      <c r="AG596" s="106"/>
    </row>
    <row r="597">
      <c r="C597" s="79"/>
      <c r="D597" s="79"/>
      <c r="E597" s="79"/>
      <c r="O597" s="79"/>
      <c r="S597" s="79"/>
      <c r="T597" s="79"/>
      <c r="Y597" s="79"/>
      <c r="AE597" s="130"/>
      <c r="AG597" s="106"/>
    </row>
    <row r="598">
      <c r="C598" s="79"/>
      <c r="D598" s="79"/>
      <c r="E598" s="79"/>
      <c r="O598" s="79"/>
      <c r="S598" s="79"/>
      <c r="T598" s="79"/>
      <c r="Y598" s="79"/>
      <c r="AE598" s="130"/>
      <c r="AG598" s="106"/>
    </row>
    <row r="599">
      <c r="C599" s="79"/>
      <c r="D599" s="79"/>
      <c r="E599" s="79"/>
      <c r="O599" s="79"/>
      <c r="S599" s="79"/>
      <c r="T599" s="79"/>
      <c r="Y599" s="79"/>
      <c r="AE599" s="130"/>
      <c r="AG599" s="106"/>
    </row>
    <row r="600">
      <c r="C600" s="79"/>
      <c r="D600" s="79"/>
      <c r="E600" s="79"/>
      <c r="O600" s="79"/>
      <c r="S600" s="79"/>
      <c r="T600" s="79"/>
      <c r="Y600" s="79"/>
      <c r="AE600" s="130"/>
      <c r="AG600" s="106"/>
    </row>
    <row r="601">
      <c r="C601" s="79"/>
      <c r="D601" s="79"/>
      <c r="E601" s="79"/>
      <c r="O601" s="79"/>
      <c r="S601" s="79"/>
      <c r="T601" s="79"/>
      <c r="Y601" s="79"/>
      <c r="AE601" s="130"/>
      <c r="AG601" s="106"/>
    </row>
    <row r="602">
      <c r="C602" s="79"/>
      <c r="D602" s="79"/>
      <c r="E602" s="79"/>
      <c r="O602" s="79"/>
      <c r="S602" s="79"/>
      <c r="T602" s="79"/>
      <c r="Y602" s="79"/>
      <c r="AE602" s="130"/>
      <c r="AG602" s="106"/>
    </row>
    <row r="603">
      <c r="C603" s="79"/>
      <c r="D603" s="79"/>
      <c r="E603" s="79"/>
      <c r="O603" s="79"/>
      <c r="S603" s="79"/>
      <c r="T603" s="79"/>
      <c r="Y603" s="79"/>
      <c r="AE603" s="130"/>
      <c r="AG603" s="106"/>
    </row>
    <row r="604">
      <c r="C604" s="79"/>
      <c r="D604" s="79"/>
      <c r="E604" s="79"/>
      <c r="O604" s="79"/>
      <c r="S604" s="79"/>
      <c r="T604" s="79"/>
      <c r="Y604" s="79"/>
      <c r="AE604" s="130"/>
      <c r="AG604" s="106"/>
    </row>
    <row r="605">
      <c r="C605" s="79"/>
      <c r="D605" s="79"/>
      <c r="E605" s="79"/>
      <c r="O605" s="79"/>
      <c r="S605" s="79"/>
      <c r="T605" s="79"/>
      <c r="Y605" s="79"/>
      <c r="AE605" s="130"/>
      <c r="AG605" s="106"/>
    </row>
    <row r="606">
      <c r="C606" s="79"/>
      <c r="D606" s="79"/>
      <c r="E606" s="79"/>
      <c r="O606" s="79"/>
      <c r="S606" s="79"/>
      <c r="T606" s="79"/>
      <c r="Y606" s="79"/>
      <c r="AE606" s="130"/>
      <c r="AG606" s="106"/>
    </row>
    <row r="607">
      <c r="C607" s="79"/>
      <c r="D607" s="79"/>
      <c r="E607" s="79"/>
      <c r="O607" s="79"/>
      <c r="S607" s="79"/>
      <c r="T607" s="79"/>
      <c r="Y607" s="79"/>
      <c r="AE607" s="130"/>
      <c r="AG607" s="106"/>
    </row>
    <row r="608">
      <c r="C608" s="79"/>
      <c r="D608" s="79"/>
      <c r="E608" s="79"/>
      <c r="O608" s="79"/>
      <c r="S608" s="79"/>
      <c r="T608" s="79"/>
      <c r="Y608" s="79"/>
      <c r="AE608" s="130"/>
      <c r="AG608" s="106"/>
    </row>
    <row r="609">
      <c r="C609" s="79"/>
      <c r="D609" s="79"/>
      <c r="E609" s="79"/>
      <c r="O609" s="79"/>
      <c r="S609" s="79"/>
      <c r="T609" s="79"/>
      <c r="Y609" s="79"/>
      <c r="AE609" s="130"/>
      <c r="AG609" s="106"/>
    </row>
    <row r="610">
      <c r="C610" s="79"/>
      <c r="D610" s="79"/>
      <c r="E610" s="79"/>
      <c r="O610" s="79"/>
      <c r="S610" s="79"/>
      <c r="T610" s="79"/>
      <c r="Y610" s="79"/>
      <c r="AE610" s="130"/>
      <c r="AG610" s="106"/>
    </row>
    <row r="611">
      <c r="C611" s="79"/>
      <c r="D611" s="79"/>
      <c r="E611" s="79"/>
      <c r="O611" s="79"/>
      <c r="S611" s="79"/>
      <c r="T611" s="79"/>
      <c r="Y611" s="79"/>
      <c r="AE611" s="130"/>
      <c r="AG611" s="106"/>
    </row>
    <row r="612">
      <c r="C612" s="79"/>
      <c r="D612" s="79"/>
      <c r="E612" s="79"/>
      <c r="O612" s="79"/>
      <c r="S612" s="79"/>
      <c r="T612" s="79"/>
      <c r="Y612" s="79"/>
      <c r="AE612" s="130"/>
      <c r="AG612" s="106"/>
    </row>
    <row r="613">
      <c r="C613" s="79"/>
      <c r="D613" s="79"/>
      <c r="E613" s="79"/>
      <c r="O613" s="79"/>
      <c r="S613" s="79"/>
      <c r="T613" s="79"/>
      <c r="Y613" s="79"/>
      <c r="AE613" s="130"/>
      <c r="AG613" s="106"/>
    </row>
    <row r="614">
      <c r="C614" s="79"/>
      <c r="D614" s="79"/>
      <c r="E614" s="79"/>
      <c r="O614" s="79"/>
      <c r="S614" s="79"/>
      <c r="T614" s="79"/>
      <c r="Y614" s="79"/>
      <c r="AE614" s="130"/>
      <c r="AG614" s="106"/>
    </row>
    <row r="615">
      <c r="C615" s="79"/>
      <c r="D615" s="79"/>
      <c r="E615" s="79"/>
      <c r="O615" s="79"/>
      <c r="S615" s="79"/>
      <c r="T615" s="79"/>
      <c r="Y615" s="79"/>
      <c r="AE615" s="130"/>
      <c r="AG615" s="106"/>
    </row>
    <row r="616">
      <c r="C616" s="79"/>
      <c r="D616" s="79"/>
      <c r="E616" s="79"/>
      <c r="O616" s="79"/>
      <c r="S616" s="79"/>
      <c r="T616" s="79"/>
      <c r="Y616" s="79"/>
      <c r="AE616" s="130"/>
      <c r="AG616" s="106"/>
    </row>
    <row r="617">
      <c r="C617" s="79"/>
      <c r="D617" s="79"/>
      <c r="E617" s="79"/>
      <c r="O617" s="79"/>
      <c r="S617" s="79"/>
      <c r="T617" s="79"/>
      <c r="Y617" s="79"/>
      <c r="AE617" s="130"/>
      <c r="AG617" s="106"/>
    </row>
    <row r="618">
      <c r="C618" s="79"/>
      <c r="D618" s="79"/>
      <c r="E618" s="79"/>
      <c r="O618" s="79"/>
      <c r="S618" s="79"/>
      <c r="T618" s="79"/>
      <c r="Y618" s="79"/>
      <c r="AE618" s="130"/>
      <c r="AG618" s="106"/>
    </row>
    <row r="619">
      <c r="C619" s="79"/>
      <c r="D619" s="79"/>
      <c r="E619" s="79"/>
      <c r="O619" s="79"/>
      <c r="S619" s="79"/>
      <c r="T619" s="79"/>
      <c r="Y619" s="79"/>
      <c r="AE619" s="130"/>
      <c r="AG619" s="106"/>
    </row>
    <row r="620">
      <c r="C620" s="79"/>
      <c r="D620" s="79"/>
      <c r="E620" s="79"/>
      <c r="O620" s="79"/>
      <c r="S620" s="79"/>
      <c r="T620" s="79"/>
      <c r="Y620" s="79"/>
      <c r="AE620" s="130"/>
      <c r="AG620" s="106"/>
    </row>
    <row r="621">
      <c r="C621" s="79"/>
      <c r="D621" s="79"/>
      <c r="E621" s="79"/>
      <c r="O621" s="79"/>
      <c r="S621" s="79"/>
      <c r="T621" s="79"/>
      <c r="Y621" s="79"/>
      <c r="AE621" s="130"/>
      <c r="AG621" s="106"/>
    </row>
    <row r="622">
      <c r="C622" s="79"/>
      <c r="D622" s="79"/>
      <c r="E622" s="79"/>
      <c r="O622" s="79"/>
      <c r="S622" s="79"/>
      <c r="T622" s="79"/>
      <c r="Y622" s="79"/>
      <c r="AE622" s="130"/>
      <c r="AG622" s="106"/>
    </row>
    <row r="623">
      <c r="C623" s="79"/>
      <c r="D623" s="79"/>
      <c r="E623" s="79"/>
      <c r="O623" s="79"/>
      <c r="S623" s="79"/>
      <c r="T623" s="79"/>
      <c r="Y623" s="79"/>
      <c r="AE623" s="130"/>
      <c r="AG623" s="106"/>
    </row>
    <row r="624">
      <c r="C624" s="79"/>
      <c r="D624" s="79"/>
      <c r="E624" s="79"/>
      <c r="O624" s="79"/>
      <c r="S624" s="79"/>
      <c r="T624" s="79"/>
      <c r="Y624" s="79"/>
      <c r="AE624" s="130"/>
      <c r="AG624" s="106"/>
    </row>
    <row r="625">
      <c r="C625" s="79"/>
      <c r="D625" s="79"/>
      <c r="E625" s="79"/>
      <c r="O625" s="79"/>
      <c r="S625" s="79"/>
      <c r="T625" s="79"/>
      <c r="Y625" s="79"/>
      <c r="AE625" s="130"/>
      <c r="AG625" s="106"/>
    </row>
    <row r="626">
      <c r="C626" s="79"/>
      <c r="D626" s="79"/>
      <c r="E626" s="79"/>
      <c r="O626" s="79"/>
      <c r="S626" s="79"/>
      <c r="T626" s="79"/>
      <c r="Y626" s="79"/>
      <c r="AE626" s="130"/>
      <c r="AG626" s="106"/>
    </row>
    <row r="627">
      <c r="C627" s="79"/>
      <c r="D627" s="79"/>
      <c r="E627" s="79"/>
      <c r="O627" s="79"/>
      <c r="S627" s="79"/>
      <c r="T627" s="79"/>
      <c r="Y627" s="79"/>
      <c r="AE627" s="130"/>
      <c r="AG627" s="106"/>
    </row>
    <row r="628">
      <c r="C628" s="79"/>
      <c r="D628" s="79"/>
      <c r="E628" s="79"/>
      <c r="O628" s="79"/>
      <c r="S628" s="79"/>
      <c r="T628" s="79"/>
      <c r="Y628" s="79"/>
      <c r="AE628" s="130"/>
      <c r="AG628" s="106"/>
    </row>
    <row r="629">
      <c r="C629" s="79"/>
      <c r="D629" s="79"/>
      <c r="E629" s="79"/>
      <c r="O629" s="79"/>
      <c r="S629" s="79"/>
      <c r="T629" s="79"/>
      <c r="Y629" s="79"/>
      <c r="AE629" s="130"/>
      <c r="AG629" s="106"/>
    </row>
    <row r="630">
      <c r="C630" s="79"/>
      <c r="D630" s="79"/>
      <c r="E630" s="79"/>
      <c r="O630" s="79"/>
      <c r="S630" s="79"/>
      <c r="T630" s="79"/>
      <c r="Y630" s="79"/>
      <c r="AE630" s="130"/>
      <c r="AG630" s="106"/>
    </row>
    <row r="631">
      <c r="C631" s="79"/>
      <c r="D631" s="79"/>
      <c r="E631" s="79"/>
      <c r="O631" s="79"/>
      <c r="S631" s="79"/>
      <c r="T631" s="79"/>
      <c r="Y631" s="79"/>
      <c r="AE631" s="130"/>
      <c r="AG631" s="106"/>
    </row>
    <row r="632">
      <c r="C632" s="79"/>
      <c r="D632" s="79"/>
      <c r="E632" s="79"/>
      <c r="O632" s="79"/>
      <c r="S632" s="79"/>
      <c r="T632" s="79"/>
      <c r="Y632" s="79"/>
      <c r="AE632" s="130"/>
      <c r="AG632" s="106"/>
    </row>
    <row r="633">
      <c r="C633" s="79"/>
      <c r="D633" s="79"/>
      <c r="E633" s="79"/>
      <c r="O633" s="79"/>
      <c r="S633" s="79"/>
      <c r="T633" s="79"/>
      <c r="Y633" s="79"/>
      <c r="AE633" s="130"/>
      <c r="AG633" s="106"/>
    </row>
    <row r="634">
      <c r="C634" s="79"/>
      <c r="D634" s="79"/>
      <c r="E634" s="79"/>
      <c r="O634" s="79"/>
      <c r="S634" s="79"/>
      <c r="T634" s="79"/>
      <c r="Y634" s="79"/>
      <c r="AE634" s="130"/>
      <c r="AG634" s="106"/>
    </row>
    <row r="635">
      <c r="C635" s="79"/>
      <c r="D635" s="79"/>
      <c r="E635" s="79"/>
      <c r="O635" s="79"/>
      <c r="S635" s="79"/>
      <c r="T635" s="79"/>
      <c r="Y635" s="79"/>
      <c r="AE635" s="130"/>
      <c r="AG635" s="106"/>
    </row>
    <row r="636">
      <c r="C636" s="79"/>
      <c r="D636" s="79"/>
      <c r="E636" s="79"/>
      <c r="O636" s="79"/>
      <c r="S636" s="79"/>
      <c r="T636" s="79"/>
      <c r="Y636" s="79"/>
      <c r="AE636" s="130"/>
      <c r="AG636" s="106"/>
    </row>
    <row r="637">
      <c r="C637" s="79"/>
      <c r="D637" s="79"/>
      <c r="E637" s="79"/>
      <c r="O637" s="79"/>
      <c r="S637" s="79"/>
      <c r="T637" s="79"/>
      <c r="Y637" s="79"/>
      <c r="AE637" s="130"/>
      <c r="AG637" s="106"/>
    </row>
    <row r="638">
      <c r="C638" s="79"/>
      <c r="D638" s="79"/>
      <c r="E638" s="79"/>
      <c r="O638" s="79"/>
      <c r="S638" s="79"/>
      <c r="T638" s="79"/>
      <c r="Y638" s="79"/>
      <c r="AE638" s="130"/>
      <c r="AG638" s="106"/>
    </row>
    <row r="639">
      <c r="C639" s="79"/>
      <c r="D639" s="79"/>
      <c r="E639" s="79"/>
      <c r="O639" s="79"/>
      <c r="S639" s="79"/>
      <c r="T639" s="79"/>
      <c r="Y639" s="79"/>
      <c r="AE639" s="130"/>
      <c r="AG639" s="106"/>
    </row>
    <row r="640">
      <c r="C640" s="79"/>
      <c r="D640" s="79"/>
      <c r="E640" s="79"/>
      <c r="O640" s="79"/>
      <c r="S640" s="79"/>
      <c r="T640" s="79"/>
      <c r="Y640" s="79"/>
      <c r="AE640" s="130"/>
      <c r="AG640" s="106"/>
    </row>
    <row r="641">
      <c r="C641" s="79"/>
      <c r="D641" s="79"/>
      <c r="E641" s="79"/>
      <c r="O641" s="79"/>
      <c r="S641" s="79"/>
      <c r="T641" s="79"/>
      <c r="Y641" s="79"/>
      <c r="AE641" s="130"/>
      <c r="AG641" s="106"/>
    </row>
    <row r="642">
      <c r="C642" s="79"/>
      <c r="D642" s="79"/>
      <c r="E642" s="79"/>
      <c r="O642" s="79"/>
      <c r="S642" s="79"/>
      <c r="T642" s="79"/>
      <c r="Y642" s="79"/>
      <c r="AE642" s="130"/>
      <c r="AG642" s="106"/>
    </row>
    <row r="643">
      <c r="C643" s="79"/>
      <c r="D643" s="79"/>
      <c r="E643" s="79"/>
      <c r="O643" s="79"/>
      <c r="S643" s="79"/>
      <c r="T643" s="79"/>
      <c r="Y643" s="79"/>
      <c r="AE643" s="130"/>
      <c r="AG643" s="106"/>
    </row>
    <row r="644">
      <c r="C644" s="79"/>
      <c r="D644" s="79"/>
      <c r="E644" s="79"/>
      <c r="O644" s="79"/>
      <c r="S644" s="79"/>
      <c r="T644" s="79"/>
      <c r="Y644" s="79"/>
      <c r="AE644" s="130"/>
      <c r="AG644" s="106"/>
    </row>
    <row r="645">
      <c r="C645" s="79"/>
      <c r="D645" s="79"/>
      <c r="E645" s="79"/>
      <c r="O645" s="79"/>
      <c r="S645" s="79"/>
      <c r="T645" s="79"/>
      <c r="Y645" s="79"/>
      <c r="AE645" s="130"/>
      <c r="AG645" s="106"/>
    </row>
    <row r="646">
      <c r="C646" s="79"/>
      <c r="D646" s="79"/>
      <c r="E646" s="79"/>
      <c r="O646" s="79"/>
      <c r="S646" s="79"/>
      <c r="T646" s="79"/>
      <c r="Y646" s="79"/>
      <c r="AE646" s="130"/>
      <c r="AG646" s="106"/>
    </row>
    <row r="647">
      <c r="C647" s="79"/>
      <c r="D647" s="79"/>
      <c r="E647" s="79"/>
      <c r="O647" s="79"/>
      <c r="S647" s="79"/>
      <c r="T647" s="79"/>
      <c r="Y647" s="79"/>
      <c r="AE647" s="130"/>
      <c r="AG647" s="106"/>
    </row>
    <row r="648">
      <c r="C648" s="79"/>
      <c r="D648" s="79"/>
      <c r="E648" s="79"/>
      <c r="O648" s="79"/>
      <c r="S648" s="79"/>
      <c r="T648" s="79"/>
      <c r="Y648" s="79"/>
      <c r="AE648" s="130"/>
      <c r="AG648" s="106"/>
    </row>
    <row r="649">
      <c r="C649" s="79"/>
      <c r="D649" s="79"/>
      <c r="E649" s="79"/>
      <c r="O649" s="79"/>
      <c r="S649" s="79"/>
      <c r="T649" s="79"/>
      <c r="Y649" s="79"/>
      <c r="AE649" s="130"/>
      <c r="AG649" s="106"/>
    </row>
    <row r="650">
      <c r="C650" s="79"/>
      <c r="D650" s="79"/>
      <c r="E650" s="79"/>
      <c r="O650" s="79"/>
      <c r="S650" s="79"/>
      <c r="T650" s="79"/>
      <c r="Y650" s="79"/>
      <c r="AE650" s="130"/>
      <c r="AG650" s="106"/>
    </row>
    <row r="651">
      <c r="C651" s="79"/>
      <c r="D651" s="79"/>
      <c r="E651" s="79"/>
      <c r="O651" s="79"/>
      <c r="S651" s="79"/>
      <c r="T651" s="79"/>
      <c r="Y651" s="79"/>
      <c r="AE651" s="130"/>
      <c r="AG651" s="106"/>
    </row>
    <row r="652">
      <c r="C652" s="79"/>
      <c r="D652" s="79"/>
      <c r="E652" s="79"/>
      <c r="O652" s="79"/>
      <c r="S652" s="79"/>
      <c r="T652" s="79"/>
      <c r="Y652" s="79"/>
      <c r="AE652" s="130"/>
      <c r="AG652" s="106"/>
    </row>
    <row r="653">
      <c r="C653" s="79"/>
      <c r="D653" s="79"/>
      <c r="E653" s="79"/>
      <c r="O653" s="79"/>
      <c r="S653" s="79"/>
      <c r="T653" s="79"/>
      <c r="Y653" s="79"/>
      <c r="AE653" s="130"/>
      <c r="AG653" s="106"/>
    </row>
    <row r="654">
      <c r="C654" s="79"/>
      <c r="D654" s="79"/>
      <c r="E654" s="79"/>
      <c r="O654" s="79"/>
      <c r="S654" s="79"/>
      <c r="T654" s="79"/>
      <c r="Y654" s="79"/>
      <c r="AE654" s="130"/>
      <c r="AG654" s="106"/>
    </row>
    <row r="655">
      <c r="C655" s="79"/>
      <c r="D655" s="79"/>
      <c r="E655" s="79"/>
      <c r="O655" s="79"/>
      <c r="S655" s="79"/>
      <c r="T655" s="79"/>
      <c r="Y655" s="79"/>
      <c r="AE655" s="130"/>
      <c r="AG655" s="106"/>
    </row>
    <row r="656">
      <c r="C656" s="79"/>
      <c r="D656" s="79"/>
      <c r="E656" s="79"/>
      <c r="O656" s="79"/>
      <c r="S656" s="79"/>
      <c r="T656" s="79"/>
      <c r="Y656" s="79"/>
      <c r="AE656" s="130"/>
      <c r="AG656" s="106"/>
    </row>
    <row r="657">
      <c r="C657" s="79"/>
      <c r="D657" s="79"/>
      <c r="E657" s="79"/>
      <c r="O657" s="79"/>
      <c r="S657" s="79"/>
      <c r="T657" s="79"/>
      <c r="Y657" s="79"/>
      <c r="AE657" s="130"/>
      <c r="AG657" s="106"/>
    </row>
    <row r="658">
      <c r="C658" s="79"/>
      <c r="D658" s="79"/>
      <c r="E658" s="79"/>
      <c r="O658" s="79"/>
      <c r="S658" s="79"/>
      <c r="T658" s="79"/>
      <c r="Y658" s="79"/>
      <c r="AE658" s="130"/>
      <c r="AG658" s="106"/>
    </row>
    <row r="659">
      <c r="C659" s="79"/>
      <c r="D659" s="79"/>
      <c r="E659" s="79"/>
      <c r="O659" s="79"/>
      <c r="S659" s="79"/>
      <c r="T659" s="79"/>
      <c r="Y659" s="79"/>
      <c r="AE659" s="130"/>
      <c r="AG659" s="106"/>
    </row>
    <row r="660">
      <c r="C660" s="79"/>
      <c r="D660" s="79"/>
      <c r="E660" s="79"/>
      <c r="O660" s="79"/>
      <c r="S660" s="79"/>
      <c r="T660" s="79"/>
      <c r="Y660" s="79"/>
      <c r="AE660" s="130"/>
      <c r="AG660" s="106"/>
    </row>
    <row r="661">
      <c r="C661" s="79"/>
      <c r="D661" s="79"/>
      <c r="E661" s="79"/>
      <c r="O661" s="79"/>
      <c r="S661" s="79"/>
      <c r="T661" s="79"/>
      <c r="Y661" s="79"/>
      <c r="AE661" s="130"/>
      <c r="AG661" s="106"/>
    </row>
    <row r="662">
      <c r="C662" s="79"/>
      <c r="D662" s="79"/>
      <c r="E662" s="79"/>
      <c r="O662" s="79"/>
      <c r="S662" s="79"/>
      <c r="T662" s="79"/>
      <c r="Y662" s="79"/>
      <c r="AE662" s="130"/>
      <c r="AG662" s="106"/>
    </row>
    <row r="663">
      <c r="C663" s="79"/>
      <c r="D663" s="79"/>
      <c r="E663" s="79"/>
      <c r="O663" s="79"/>
      <c r="S663" s="79"/>
      <c r="T663" s="79"/>
      <c r="Y663" s="79"/>
      <c r="AE663" s="130"/>
      <c r="AG663" s="106"/>
    </row>
    <row r="664">
      <c r="C664" s="79"/>
      <c r="D664" s="79"/>
      <c r="E664" s="79"/>
      <c r="O664" s="79"/>
      <c r="S664" s="79"/>
      <c r="T664" s="79"/>
      <c r="Y664" s="79"/>
      <c r="AE664" s="130"/>
      <c r="AG664" s="106"/>
    </row>
    <row r="665">
      <c r="C665" s="79"/>
      <c r="D665" s="79"/>
      <c r="E665" s="79"/>
      <c r="O665" s="79"/>
      <c r="S665" s="79"/>
      <c r="T665" s="79"/>
      <c r="Y665" s="79"/>
      <c r="AE665" s="130"/>
      <c r="AG665" s="106"/>
    </row>
    <row r="666">
      <c r="C666" s="79"/>
      <c r="D666" s="79"/>
      <c r="E666" s="79"/>
      <c r="O666" s="79"/>
      <c r="S666" s="79"/>
      <c r="T666" s="79"/>
      <c r="Y666" s="79"/>
      <c r="AE666" s="130"/>
      <c r="AG666" s="106"/>
    </row>
    <row r="667">
      <c r="C667" s="79"/>
      <c r="D667" s="79"/>
      <c r="E667" s="79"/>
      <c r="O667" s="79"/>
      <c r="S667" s="79"/>
      <c r="T667" s="79"/>
      <c r="Y667" s="79"/>
      <c r="AE667" s="130"/>
      <c r="AG667" s="106"/>
    </row>
    <row r="668">
      <c r="C668" s="79"/>
      <c r="D668" s="79"/>
      <c r="E668" s="79"/>
      <c r="O668" s="79"/>
      <c r="S668" s="79"/>
      <c r="T668" s="79"/>
      <c r="Y668" s="79"/>
      <c r="AE668" s="130"/>
      <c r="AG668" s="106"/>
    </row>
    <row r="669">
      <c r="C669" s="79"/>
      <c r="D669" s="79"/>
      <c r="E669" s="79"/>
      <c r="O669" s="79"/>
      <c r="S669" s="79"/>
      <c r="T669" s="79"/>
      <c r="Y669" s="79"/>
      <c r="AE669" s="130"/>
      <c r="AG669" s="106"/>
    </row>
    <row r="670">
      <c r="C670" s="79"/>
      <c r="D670" s="79"/>
      <c r="E670" s="79"/>
      <c r="O670" s="79"/>
      <c r="S670" s="79"/>
      <c r="T670" s="79"/>
      <c r="Y670" s="79"/>
      <c r="AE670" s="130"/>
      <c r="AG670" s="106"/>
    </row>
    <row r="671">
      <c r="C671" s="79"/>
      <c r="D671" s="79"/>
      <c r="E671" s="79"/>
      <c r="O671" s="79"/>
      <c r="S671" s="79"/>
      <c r="T671" s="79"/>
      <c r="Y671" s="79"/>
      <c r="AE671" s="130"/>
      <c r="AG671" s="106"/>
    </row>
    <row r="672">
      <c r="C672" s="79"/>
      <c r="D672" s="79"/>
      <c r="E672" s="79"/>
      <c r="O672" s="79"/>
      <c r="S672" s="79"/>
      <c r="T672" s="79"/>
      <c r="Y672" s="79"/>
      <c r="AE672" s="130"/>
      <c r="AG672" s="106"/>
    </row>
    <row r="673">
      <c r="C673" s="79"/>
      <c r="D673" s="79"/>
      <c r="E673" s="79"/>
      <c r="O673" s="79"/>
      <c r="S673" s="79"/>
      <c r="T673" s="79"/>
      <c r="Y673" s="79"/>
      <c r="AE673" s="130"/>
      <c r="AG673" s="106"/>
    </row>
    <row r="674">
      <c r="C674" s="79"/>
      <c r="D674" s="79"/>
      <c r="E674" s="79"/>
      <c r="O674" s="79"/>
      <c r="S674" s="79"/>
      <c r="T674" s="79"/>
      <c r="Y674" s="79"/>
      <c r="AE674" s="130"/>
      <c r="AG674" s="106"/>
    </row>
    <row r="675">
      <c r="C675" s="79"/>
      <c r="D675" s="79"/>
      <c r="E675" s="79"/>
      <c r="O675" s="79"/>
      <c r="S675" s="79"/>
      <c r="T675" s="79"/>
      <c r="Y675" s="79"/>
      <c r="AE675" s="130"/>
      <c r="AG675" s="106"/>
    </row>
    <row r="676">
      <c r="C676" s="79"/>
      <c r="D676" s="79"/>
      <c r="E676" s="79"/>
      <c r="O676" s="79"/>
      <c r="S676" s="79"/>
      <c r="T676" s="79"/>
      <c r="Y676" s="79"/>
      <c r="AE676" s="130"/>
      <c r="AG676" s="106"/>
    </row>
    <row r="677">
      <c r="C677" s="79"/>
      <c r="D677" s="79"/>
      <c r="E677" s="79"/>
      <c r="O677" s="79"/>
      <c r="S677" s="79"/>
      <c r="T677" s="79"/>
      <c r="Y677" s="79"/>
      <c r="AE677" s="130"/>
      <c r="AG677" s="106"/>
    </row>
    <row r="678">
      <c r="C678" s="79"/>
      <c r="D678" s="79"/>
      <c r="E678" s="79"/>
      <c r="O678" s="79"/>
      <c r="S678" s="79"/>
      <c r="T678" s="79"/>
      <c r="Y678" s="79"/>
      <c r="AE678" s="130"/>
      <c r="AG678" s="106"/>
    </row>
    <row r="679">
      <c r="C679" s="79"/>
      <c r="D679" s="79"/>
      <c r="E679" s="79"/>
      <c r="O679" s="79"/>
      <c r="S679" s="79"/>
      <c r="T679" s="79"/>
      <c r="Y679" s="79"/>
      <c r="AE679" s="130"/>
      <c r="AG679" s="106"/>
    </row>
    <row r="680">
      <c r="C680" s="79"/>
      <c r="D680" s="79"/>
      <c r="E680" s="79"/>
      <c r="O680" s="79"/>
      <c r="S680" s="79"/>
      <c r="T680" s="79"/>
      <c r="Y680" s="79"/>
      <c r="AE680" s="130"/>
      <c r="AG680" s="106"/>
    </row>
    <row r="681">
      <c r="C681" s="79"/>
      <c r="D681" s="79"/>
      <c r="E681" s="79"/>
      <c r="O681" s="79"/>
      <c r="S681" s="79"/>
      <c r="T681" s="79"/>
      <c r="Y681" s="79"/>
      <c r="AE681" s="130"/>
      <c r="AG681" s="106"/>
    </row>
    <row r="682">
      <c r="C682" s="79"/>
      <c r="D682" s="79"/>
      <c r="E682" s="79"/>
      <c r="O682" s="79"/>
      <c r="S682" s="79"/>
      <c r="T682" s="79"/>
      <c r="Y682" s="79"/>
      <c r="AE682" s="130"/>
      <c r="AG682" s="106"/>
    </row>
    <row r="683">
      <c r="C683" s="79"/>
      <c r="D683" s="79"/>
      <c r="E683" s="79"/>
      <c r="O683" s="79"/>
      <c r="S683" s="79"/>
      <c r="T683" s="79"/>
      <c r="Y683" s="79"/>
      <c r="AE683" s="130"/>
      <c r="AG683" s="106"/>
    </row>
    <row r="684">
      <c r="C684" s="79"/>
      <c r="D684" s="79"/>
      <c r="E684" s="79"/>
      <c r="O684" s="79"/>
      <c r="S684" s="79"/>
      <c r="T684" s="79"/>
      <c r="Y684" s="79"/>
      <c r="AE684" s="130"/>
      <c r="AG684" s="106"/>
    </row>
    <row r="685">
      <c r="C685" s="79"/>
      <c r="D685" s="79"/>
      <c r="E685" s="79"/>
      <c r="O685" s="79"/>
      <c r="S685" s="79"/>
      <c r="T685" s="79"/>
      <c r="Y685" s="79"/>
      <c r="AE685" s="130"/>
      <c r="AG685" s="106"/>
    </row>
    <row r="686">
      <c r="C686" s="79"/>
      <c r="D686" s="79"/>
      <c r="E686" s="79"/>
      <c r="O686" s="79"/>
      <c r="S686" s="79"/>
      <c r="T686" s="79"/>
      <c r="Y686" s="79"/>
      <c r="AE686" s="130"/>
      <c r="AG686" s="106"/>
    </row>
    <row r="687">
      <c r="C687" s="79"/>
      <c r="D687" s="79"/>
      <c r="E687" s="79"/>
      <c r="O687" s="79"/>
      <c r="S687" s="79"/>
      <c r="T687" s="79"/>
      <c r="Y687" s="79"/>
      <c r="AE687" s="130"/>
      <c r="AG687" s="106"/>
    </row>
    <row r="688">
      <c r="C688" s="79"/>
      <c r="D688" s="79"/>
      <c r="E688" s="79"/>
      <c r="O688" s="79"/>
      <c r="S688" s="79"/>
      <c r="T688" s="79"/>
      <c r="Y688" s="79"/>
      <c r="AE688" s="130"/>
      <c r="AG688" s="106"/>
    </row>
    <row r="689">
      <c r="C689" s="79"/>
      <c r="D689" s="79"/>
      <c r="E689" s="79"/>
      <c r="O689" s="79"/>
      <c r="S689" s="79"/>
      <c r="T689" s="79"/>
      <c r="Y689" s="79"/>
      <c r="AE689" s="130"/>
      <c r="AG689" s="106"/>
    </row>
    <row r="690">
      <c r="C690" s="79"/>
      <c r="D690" s="79"/>
      <c r="E690" s="79"/>
      <c r="O690" s="79"/>
      <c r="S690" s="79"/>
      <c r="T690" s="79"/>
      <c r="Y690" s="79"/>
      <c r="AE690" s="130"/>
      <c r="AG690" s="106"/>
    </row>
    <row r="691">
      <c r="C691" s="79"/>
      <c r="D691" s="79"/>
      <c r="E691" s="79"/>
      <c r="O691" s="79"/>
      <c r="S691" s="79"/>
      <c r="T691" s="79"/>
      <c r="Y691" s="79"/>
      <c r="AE691" s="130"/>
      <c r="AG691" s="106"/>
    </row>
    <row r="692">
      <c r="C692" s="79"/>
      <c r="D692" s="79"/>
      <c r="E692" s="79"/>
      <c r="O692" s="79"/>
      <c r="S692" s="79"/>
      <c r="T692" s="79"/>
      <c r="Y692" s="79"/>
      <c r="AE692" s="130"/>
      <c r="AG692" s="106"/>
    </row>
    <row r="693">
      <c r="C693" s="79"/>
      <c r="D693" s="79"/>
      <c r="E693" s="79"/>
      <c r="O693" s="79"/>
      <c r="S693" s="79"/>
      <c r="T693" s="79"/>
      <c r="Y693" s="79"/>
      <c r="AE693" s="130"/>
      <c r="AG693" s="106"/>
    </row>
    <row r="694">
      <c r="C694" s="79"/>
      <c r="D694" s="79"/>
      <c r="E694" s="79"/>
      <c r="O694" s="79"/>
      <c r="S694" s="79"/>
      <c r="T694" s="79"/>
      <c r="Y694" s="79"/>
      <c r="AE694" s="130"/>
      <c r="AG694" s="106"/>
    </row>
    <row r="695">
      <c r="C695" s="79"/>
      <c r="D695" s="79"/>
      <c r="E695" s="79"/>
      <c r="O695" s="79"/>
      <c r="S695" s="79"/>
      <c r="T695" s="79"/>
      <c r="Y695" s="79"/>
      <c r="AE695" s="130"/>
      <c r="AG695" s="106"/>
    </row>
    <row r="696">
      <c r="C696" s="79"/>
      <c r="D696" s="79"/>
      <c r="E696" s="79"/>
      <c r="O696" s="79"/>
      <c r="S696" s="79"/>
      <c r="T696" s="79"/>
      <c r="Y696" s="79"/>
      <c r="AE696" s="130"/>
      <c r="AG696" s="106"/>
    </row>
    <row r="697">
      <c r="C697" s="79"/>
      <c r="D697" s="79"/>
      <c r="E697" s="79"/>
      <c r="O697" s="79"/>
      <c r="S697" s="79"/>
      <c r="T697" s="79"/>
      <c r="Y697" s="79"/>
      <c r="AE697" s="130"/>
      <c r="AG697" s="106"/>
    </row>
    <row r="698">
      <c r="C698" s="79"/>
      <c r="D698" s="79"/>
      <c r="E698" s="79"/>
      <c r="O698" s="79"/>
      <c r="S698" s="79"/>
      <c r="T698" s="79"/>
      <c r="Y698" s="79"/>
      <c r="AE698" s="130"/>
      <c r="AG698" s="106"/>
    </row>
    <row r="699">
      <c r="C699" s="79"/>
      <c r="D699" s="79"/>
      <c r="E699" s="79"/>
      <c r="O699" s="79"/>
      <c r="S699" s="79"/>
      <c r="T699" s="79"/>
      <c r="Y699" s="79"/>
      <c r="AE699" s="130"/>
      <c r="AG699" s="106"/>
    </row>
    <row r="700">
      <c r="C700" s="79"/>
      <c r="D700" s="79"/>
      <c r="E700" s="79"/>
      <c r="O700" s="79"/>
      <c r="S700" s="79"/>
      <c r="T700" s="79"/>
      <c r="Y700" s="79"/>
      <c r="AE700" s="130"/>
      <c r="AG700" s="106"/>
    </row>
    <row r="701">
      <c r="C701" s="79"/>
      <c r="D701" s="79"/>
      <c r="E701" s="79"/>
      <c r="O701" s="79"/>
      <c r="S701" s="79"/>
      <c r="T701" s="79"/>
      <c r="Y701" s="79"/>
      <c r="AE701" s="130"/>
      <c r="AG701" s="106"/>
    </row>
    <row r="702">
      <c r="C702" s="79"/>
      <c r="D702" s="79"/>
      <c r="E702" s="79"/>
      <c r="O702" s="79"/>
      <c r="S702" s="79"/>
      <c r="T702" s="79"/>
      <c r="Y702" s="79"/>
      <c r="AE702" s="130"/>
      <c r="AG702" s="106"/>
    </row>
    <row r="703">
      <c r="C703" s="79"/>
      <c r="D703" s="79"/>
      <c r="E703" s="79"/>
      <c r="O703" s="79"/>
      <c r="S703" s="79"/>
      <c r="T703" s="79"/>
      <c r="Y703" s="79"/>
      <c r="AE703" s="130"/>
      <c r="AG703" s="106"/>
    </row>
    <row r="704">
      <c r="C704" s="79"/>
      <c r="D704" s="79"/>
      <c r="E704" s="79"/>
      <c r="O704" s="79"/>
      <c r="S704" s="79"/>
      <c r="T704" s="79"/>
      <c r="Y704" s="79"/>
      <c r="AE704" s="130"/>
      <c r="AG704" s="106"/>
    </row>
    <row r="705">
      <c r="C705" s="79"/>
      <c r="D705" s="79"/>
      <c r="E705" s="79"/>
      <c r="O705" s="79"/>
      <c r="S705" s="79"/>
      <c r="T705" s="79"/>
      <c r="Y705" s="79"/>
      <c r="AE705" s="130"/>
      <c r="AG705" s="106"/>
    </row>
    <row r="706">
      <c r="C706" s="79"/>
      <c r="D706" s="79"/>
      <c r="E706" s="79"/>
      <c r="O706" s="79"/>
      <c r="S706" s="79"/>
      <c r="T706" s="79"/>
      <c r="Y706" s="79"/>
      <c r="AE706" s="130"/>
      <c r="AG706" s="106"/>
    </row>
    <row r="707">
      <c r="C707" s="79"/>
      <c r="D707" s="79"/>
      <c r="E707" s="79"/>
      <c r="O707" s="79"/>
      <c r="S707" s="79"/>
      <c r="T707" s="79"/>
      <c r="Y707" s="79"/>
      <c r="AE707" s="130"/>
      <c r="AG707" s="106"/>
    </row>
    <row r="708">
      <c r="C708" s="79"/>
      <c r="D708" s="79"/>
      <c r="E708" s="79"/>
      <c r="O708" s="79"/>
      <c r="S708" s="79"/>
      <c r="T708" s="79"/>
      <c r="Y708" s="79"/>
      <c r="AE708" s="130"/>
      <c r="AG708" s="106"/>
    </row>
    <row r="709">
      <c r="C709" s="79"/>
      <c r="D709" s="79"/>
      <c r="E709" s="79"/>
      <c r="O709" s="79"/>
      <c r="S709" s="79"/>
      <c r="T709" s="79"/>
      <c r="Y709" s="79"/>
      <c r="AE709" s="130"/>
      <c r="AG709" s="106"/>
    </row>
    <row r="710">
      <c r="C710" s="79"/>
      <c r="D710" s="79"/>
      <c r="E710" s="79"/>
      <c r="O710" s="79"/>
      <c r="S710" s="79"/>
      <c r="T710" s="79"/>
      <c r="Y710" s="79"/>
      <c r="AE710" s="130"/>
      <c r="AG710" s="106"/>
    </row>
    <row r="711">
      <c r="C711" s="79"/>
      <c r="D711" s="79"/>
      <c r="E711" s="79"/>
      <c r="O711" s="79"/>
      <c r="S711" s="79"/>
      <c r="T711" s="79"/>
      <c r="Y711" s="79"/>
      <c r="AE711" s="130"/>
      <c r="AG711" s="106"/>
    </row>
    <row r="712">
      <c r="C712" s="79"/>
      <c r="D712" s="79"/>
      <c r="E712" s="79"/>
      <c r="O712" s="79"/>
      <c r="S712" s="79"/>
      <c r="T712" s="79"/>
      <c r="Y712" s="79"/>
      <c r="AE712" s="130"/>
      <c r="AG712" s="106"/>
    </row>
    <row r="713">
      <c r="C713" s="79"/>
      <c r="D713" s="79"/>
      <c r="E713" s="79"/>
      <c r="O713" s="79"/>
      <c r="S713" s="79"/>
      <c r="T713" s="79"/>
      <c r="Y713" s="79"/>
      <c r="AE713" s="130"/>
      <c r="AG713" s="106"/>
    </row>
    <row r="714">
      <c r="C714" s="79"/>
      <c r="D714" s="79"/>
      <c r="E714" s="79"/>
      <c r="O714" s="79"/>
      <c r="S714" s="79"/>
      <c r="T714" s="79"/>
      <c r="Y714" s="79"/>
      <c r="AE714" s="130"/>
      <c r="AG714" s="106"/>
    </row>
    <row r="715">
      <c r="C715" s="79"/>
      <c r="D715" s="79"/>
      <c r="E715" s="79"/>
      <c r="O715" s="79"/>
      <c r="S715" s="79"/>
      <c r="T715" s="79"/>
      <c r="Y715" s="79"/>
      <c r="AE715" s="130"/>
      <c r="AG715" s="106"/>
    </row>
    <row r="716">
      <c r="C716" s="79"/>
      <c r="D716" s="79"/>
      <c r="E716" s="79"/>
      <c r="O716" s="79"/>
      <c r="S716" s="79"/>
      <c r="T716" s="79"/>
      <c r="Y716" s="79"/>
      <c r="AE716" s="130"/>
      <c r="AG716" s="106"/>
    </row>
    <row r="717">
      <c r="C717" s="79"/>
      <c r="D717" s="79"/>
      <c r="E717" s="79"/>
      <c r="O717" s="79"/>
      <c r="S717" s="79"/>
      <c r="T717" s="79"/>
      <c r="Y717" s="79"/>
      <c r="AE717" s="130"/>
      <c r="AG717" s="106"/>
    </row>
    <row r="718">
      <c r="C718" s="79"/>
      <c r="D718" s="79"/>
      <c r="E718" s="79"/>
      <c r="O718" s="79"/>
      <c r="S718" s="79"/>
      <c r="T718" s="79"/>
      <c r="Y718" s="79"/>
      <c r="AE718" s="130"/>
      <c r="AG718" s="106"/>
    </row>
    <row r="719">
      <c r="C719" s="79"/>
      <c r="D719" s="79"/>
      <c r="E719" s="79"/>
      <c r="O719" s="79"/>
      <c r="S719" s="79"/>
      <c r="T719" s="79"/>
      <c r="Y719" s="79"/>
      <c r="AE719" s="130"/>
      <c r="AG719" s="106"/>
    </row>
    <row r="720">
      <c r="C720" s="79"/>
      <c r="D720" s="79"/>
      <c r="E720" s="79"/>
      <c r="O720" s="79"/>
      <c r="S720" s="79"/>
      <c r="T720" s="79"/>
      <c r="Y720" s="79"/>
      <c r="AE720" s="130"/>
      <c r="AG720" s="106"/>
    </row>
    <row r="721">
      <c r="C721" s="79"/>
      <c r="D721" s="79"/>
      <c r="E721" s="79"/>
      <c r="O721" s="79"/>
      <c r="S721" s="79"/>
      <c r="T721" s="79"/>
      <c r="Y721" s="79"/>
      <c r="AE721" s="130"/>
      <c r="AG721" s="106"/>
    </row>
    <row r="722">
      <c r="C722" s="79"/>
      <c r="D722" s="79"/>
      <c r="E722" s="79"/>
      <c r="O722" s="79"/>
      <c r="S722" s="79"/>
      <c r="T722" s="79"/>
      <c r="Y722" s="79"/>
      <c r="AE722" s="130"/>
      <c r="AG722" s="106"/>
    </row>
    <row r="723">
      <c r="C723" s="79"/>
      <c r="D723" s="79"/>
      <c r="E723" s="79"/>
      <c r="O723" s="79"/>
      <c r="S723" s="79"/>
      <c r="T723" s="79"/>
      <c r="Y723" s="79"/>
      <c r="AE723" s="130"/>
      <c r="AG723" s="106"/>
    </row>
    <row r="724">
      <c r="C724" s="79"/>
      <c r="D724" s="79"/>
      <c r="E724" s="79"/>
      <c r="O724" s="79"/>
      <c r="S724" s="79"/>
      <c r="T724" s="79"/>
      <c r="Y724" s="79"/>
      <c r="AE724" s="130"/>
      <c r="AG724" s="106"/>
    </row>
    <row r="725">
      <c r="C725" s="79"/>
      <c r="D725" s="79"/>
      <c r="E725" s="79"/>
      <c r="O725" s="79"/>
      <c r="S725" s="79"/>
      <c r="T725" s="79"/>
      <c r="Y725" s="79"/>
      <c r="AE725" s="130"/>
      <c r="AG725" s="106"/>
    </row>
    <row r="726">
      <c r="C726" s="79"/>
      <c r="D726" s="79"/>
      <c r="E726" s="79"/>
      <c r="O726" s="79"/>
      <c r="S726" s="79"/>
      <c r="T726" s="79"/>
      <c r="Y726" s="79"/>
      <c r="AE726" s="130"/>
      <c r="AG726" s="106"/>
    </row>
    <row r="727">
      <c r="C727" s="79"/>
      <c r="D727" s="79"/>
      <c r="E727" s="79"/>
      <c r="O727" s="79"/>
      <c r="S727" s="79"/>
      <c r="T727" s="79"/>
      <c r="Y727" s="79"/>
      <c r="AE727" s="130"/>
      <c r="AG727" s="106"/>
    </row>
    <row r="728">
      <c r="C728" s="79"/>
      <c r="D728" s="79"/>
      <c r="E728" s="79"/>
      <c r="O728" s="79"/>
      <c r="S728" s="79"/>
      <c r="T728" s="79"/>
      <c r="Y728" s="79"/>
      <c r="AE728" s="130"/>
      <c r="AG728" s="106"/>
    </row>
    <row r="729">
      <c r="C729" s="79"/>
      <c r="D729" s="79"/>
      <c r="E729" s="79"/>
      <c r="O729" s="79"/>
      <c r="S729" s="79"/>
      <c r="T729" s="79"/>
      <c r="Y729" s="79"/>
      <c r="AE729" s="130"/>
      <c r="AG729" s="106"/>
    </row>
    <row r="730">
      <c r="C730" s="79"/>
      <c r="D730" s="79"/>
      <c r="E730" s="79"/>
      <c r="O730" s="79"/>
      <c r="S730" s="79"/>
      <c r="T730" s="79"/>
      <c r="Y730" s="79"/>
      <c r="AE730" s="130"/>
      <c r="AG730" s="106"/>
    </row>
    <row r="731">
      <c r="C731" s="79"/>
      <c r="D731" s="79"/>
      <c r="E731" s="79"/>
      <c r="O731" s="79"/>
      <c r="S731" s="79"/>
      <c r="T731" s="79"/>
      <c r="Y731" s="79"/>
      <c r="AE731" s="130"/>
      <c r="AG731" s="106"/>
    </row>
    <row r="732">
      <c r="C732" s="79"/>
      <c r="D732" s="79"/>
      <c r="E732" s="79"/>
      <c r="O732" s="79"/>
      <c r="S732" s="79"/>
      <c r="T732" s="79"/>
      <c r="Y732" s="79"/>
      <c r="AE732" s="130"/>
      <c r="AG732" s="106"/>
    </row>
    <row r="733">
      <c r="C733" s="79"/>
      <c r="D733" s="79"/>
      <c r="E733" s="79"/>
      <c r="O733" s="79"/>
      <c r="S733" s="79"/>
      <c r="T733" s="79"/>
      <c r="Y733" s="79"/>
      <c r="AE733" s="130"/>
      <c r="AG733" s="106"/>
    </row>
    <row r="734">
      <c r="C734" s="79"/>
      <c r="D734" s="79"/>
      <c r="E734" s="79"/>
      <c r="O734" s="79"/>
      <c r="S734" s="79"/>
      <c r="T734" s="79"/>
      <c r="Y734" s="79"/>
      <c r="AE734" s="130"/>
      <c r="AG734" s="106"/>
    </row>
    <row r="735">
      <c r="C735" s="79"/>
      <c r="D735" s="79"/>
      <c r="E735" s="79"/>
      <c r="O735" s="79"/>
      <c r="S735" s="79"/>
      <c r="T735" s="79"/>
      <c r="Y735" s="79"/>
      <c r="AE735" s="130"/>
      <c r="AG735" s="106"/>
    </row>
    <row r="736">
      <c r="C736" s="79"/>
      <c r="D736" s="79"/>
      <c r="E736" s="79"/>
      <c r="O736" s="79"/>
      <c r="S736" s="79"/>
      <c r="T736" s="79"/>
      <c r="Y736" s="79"/>
      <c r="AE736" s="130"/>
      <c r="AG736" s="106"/>
    </row>
    <row r="737">
      <c r="C737" s="79"/>
      <c r="D737" s="79"/>
      <c r="E737" s="79"/>
      <c r="O737" s="79"/>
      <c r="S737" s="79"/>
      <c r="T737" s="79"/>
      <c r="Y737" s="79"/>
      <c r="AE737" s="130"/>
      <c r="AG737" s="106"/>
    </row>
    <row r="738">
      <c r="C738" s="79"/>
      <c r="D738" s="79"/>
      <c r="E738" s="79"/>
      <c r="O738" s="79"/>
      <c r="S738" s="79"/>
      <c r="T738" s="79"/>
      <c r="Y738" s="79"/>
      <c r="AE738" s="130"/>
      <c r="AG738" s="106"/>
    </row>
    <row r="739">
      <c r="C739" s="79"/>
      <c r="D739" s="79"/>
      <c r="E739" s="79"/>
      <c r="O739" s="79"/>
      <c r="S739" s="79"/>
      <c r="T739" s="79"/>
      <c r="Y739" s="79"/>
      <c r="AE739" s="130"/>
      <c r="AG739" s="106"/>
    </row>
    <row r="740">
      <c r="C740" s="79"/>
      <c r="D740" s="79"/>
      <c r="E740" s="79"/>
      <c r="O740" s="79"/>
      <c r="S740" s="79"/>
      <c r="T740" s="79"/>
      <c r="Y740" s="79"/>
      <c r="AE740" s="130"/>
      <c r="AG740" s="106"/>
    </row>
    <row r="741">
      <c r="C741" s="79"/>
      <c r="D741" s="79"/>
      <c r="E741" s="79"/>
      <c r="O741" s="79"/>
      <c r="S741" s="79"/>
      <c r="T741" s="79"/>
      <c r="Y741" s="79"/>
      <c r="AE741" s="130"/>
      <c r="AG741" s="106"/>
    </row>
    <row r="742">
      <c r="C742" s="79"/>
      <c r="D742" s="79"/>
      <c r="E742" s="79"/>
      <c r="O742" s="79"/>
      <c r="S742" s="79"/>
      <c r="T742" s="79"/>
      <c r="Y742" s="79"/>
      <c r="AE742" s="130"/>
      <c r="AG742" s="106"/>
    </row>
    <row r="743">
      <c r="C743" s="79"/>
      <c r="D743" s="79"/>
      <c r="E743" s="79"/>
      <c r="O743" s="79"/>
      <c r="S743" s="79"/>
      <c r="T743" s="79"/>
      <c r="Y743" s="79"/>
      <c r="AE743" s="130"/>
      <c r="AG743" s="106"/>
    </row>
    <row r="744">
      <c r="C744" s="79"/>
      <c r="D744" s="79"/>
      <c r="E744" s="79"/>
      <c r="O744" s="79"/>
      <c r="S744" s="79"/>
      <c r="T744" s="79"/>
      <c r="Y744" s="79"/>
      <c r="AE744" s="130"/>
      <c r="AG744" s="106"/>
    </row>
    <row r="745">
      <c r="C745" s="79"/>
      <c r="D745" s="79"/>
      <c r="E745" s="79"/>
      <c r="O745" s="79"/>
      <c r="S745" s="79"/>
      <c r="T745" s="79"/>
      <c r="Y745" s="79"/>
      <c r="AE745" s="130"/>
      <c r="AG745" s="106"/>
    </row>
    <row r="746">
      <c r="C746" s="79"/>
      <c r="D746" s="79"/>
      <c r="E746" s="79"/>
      <c r="O746" s="79"/>
      <c r="S746" s="79"/>
      <c r="T746" s="79"/>
      <c r="Y746" s="79"/>
      <c r="AE746" s="130"/>
      <c r="AG746" s="106"/>
    </row>
    <row r="747">
      <c r="C747" s="79"/>
      <c r="D747" s="79"/>
      <c r="E747" s="79"/>
      <c r="O747" s="79"/>
      <c r="S747" s="79"/>
      <c r="T747" s="79"/>
      <c r="Y747" s="79"/>
      <c r="AE747" s="130"/>
      <c r="AG747" s="106"/>
    </row>
    <row r="748">
      <c r="C748" s="79"/>
      <c r="D748" s="79"/>
      <c r="E748" s="79"/>
      <c r="O748" s="79"/>
      <c r="S748" s="79"/>
      <c r="T748" s="79"/>
      <c r="Y748" s="79"/>
      <c r="AE748" s="130"/>
      <c r="AG748" s="106"/>
    </row>
    <row r="749">
      <c r="C749" s="79"/>
      <c r="D749" s="79"/>
      <c r="E749" s="79"/>
      <c r="O749" s="79"/>
      <c r="S749" s="79"/>
      <c r="T749" s="79"/>
      <c r="Y749" s="79"/>
      <c r="AE749" s="130"/>
      <c r="AG749" s="106"/>
    </row>
    <row r="750">
      <c r="C750" s="79"/>
      <c r="D750" s="79"/>
      <c r="E750" s="79"/>
      <c r="O750" s="79"/>
      <c r="S750" s="79"/>
      <c r="T750" s="79"/>
      <c r="Y750" s="79"/>
      <c r="AE750" s="130"/>
      <c r="AG750" s="106"/>
    </row>
    <row r="751">
      <c r="C751" s="79"/>
      <c r="D751" s="79"/>
      <c r="E751" s="79"/>
      <c r="O751" s="79"/>
      <c r="S751" s="79"/>
      <c r="T751" s="79"/>
      <c r="Y751" s="79"/>
      <c r="AE751" s="130"/>
      <c r="AG751" s="106"/>
    </row>
    <row r="752">
      <c r="C752" s="79"/>
      <c r="D752" s="79"/>
      <c r="E752" s="79"/>
      <c r="O752" s="79"/>
      <c r="S752" s="79"/>
      <c r="T752" s="79"/>
      <c r="Y752" s="79"/>
      <c r="AE752" s="130"/>
      <c r="AG752" s="106"/>
    </row>
    <row r="753">
      <c r="C753" s="79"/>
      <c r="D753" s="79"/>
      <c r="E753" s="79"/>
      <c r="O753" s="79"/>
      <c r="S753" s="79"/>
      <c r="T753" s="79"/>
      <c r="Y753" s="79"/>
      <c r="AE753" s="130"/>
      <c r="AG753" s="106"/>
    </row>
    <row r="754">
      <c r="C754" s="79"/>
      <c r="D754" s="79"/>
      <c r="E754" s="79"/>
      <c r="O754" s="79"/>
      <c r="S754" s="79"/>
      <c r="T754" s="79"/>
      <c r="Y754" s="79"/>
      <c r="AE754" s="130"/>
      <c r="AG754" s="106"/>
    </row>
    <row r="755">
      <c r="C755" s="79"/>
      <c r="D755" s="79"/>
      <c r="E755" s="79"/>
      <c r="O755" s="79"/>
      <c r="S755" s="79"/>
      <c r="T755" s="79"/>
      <c r="Y755" s="79"/>
      <c r="AE755" s="130"/>
      <c r="AG755" s="106"/>
    </row>
    <row r="756">
      <c r="C756" s="79"/>
      <c r="D756" s="79"/>
      <c r="E756" s="79"/>
      <c r="O756" s="79"/>
      <c r="S756" s="79"/>
      <c r="T756" s="79"/>
      <c r="Y756" s="79"/>
      <c r="AE756" s="130"/>
      <c r="AG756" s="106"/>
    </row>
    <row r="757">
      <c r="C757" s="79"/>
      <c r="D757" s="79"/>
      <c r="E757" s="79"/>
      <c r="O757" s="79"/>
      <c r="S757" s="79"/>
      <c r="T757" s="79"/>
      <c r="Y757" s="79"/>
      <c r="AE757" s="130"/>
      <c r="AG757" s="106"/>
    </row>
    <row r="758">
      <c r="C758" s="79"/>
      <c r="D758" s="79"/>
      <c r="E758" s="79"/>
      <c r="O758" s="79"/>
      <c r="S758" s="79"/>
      <c r="T758" s="79"/>
      <c r="Y758" s="79"/>
      <c r="AE758" s="130"/>
      <c r="AG758" s="106"/>
    </row>
    <row r="759">
      <c r="C759" s="79"/>
      <c r="D759" s="79"/>
      <c r="E759" s="79"/>
      <c r="O759" s="79"/>
      <c r="S759" s="79"/>
      <c r="T759" s="79"/>
      <c r="Y759" s="79"/>
      <c r="AE759" s="130"/>
      <c r="AG759" s="106"/>
    </row>
    <row r="760">
      <c r="C760" s="79"/>
      <c r="D760" s="79"/>
      <c r="E760" s="79"/>
      <c r="O760" s="79"/>
      <c r="S760" s="79"/>
      <c r="T760" s="79"/>
      <c r="Y760" s="79"/>
      <c r="AE760" s="130"/>
      <c r="AG760" s="106"/>
    </row>
    <row r="761">
      <c r="C761" s="79"/>
      <c r="D761" s="79"/>
      <c r="E761" s="79"/>
      <c r="O761" s="79"/>
      <c r="S761" s="79"/>
      <c r="T761" s="79"/>
      <c r="Y761" s="79"/>
      <c r="AE761" s="130"/>
      <c r="AG761" s="106"/>
    </row>
    <row r="762">
      <c r="C762" s="79"/>
      <c r="D762" s="79"/>
      <c r="E762" s="79"/>
      <c r="O762" s="79"/>
      <c r="S762" s="79"/>
      <c r="T762" s="79"/>
      <c r="Y762" s="79"/>
      <c r="AE762" s="130"/>
      <c r="AG762" s="106"/>
    </row>
    <row r="763">
      <c r="C763" s="79"/>
      <c r="D763" s="79"/>
      <c r="E763" s="79"/>
      <c r="O763" s="79"/>
      <c r="S763" s="79"/>
      <c r="T763" s="79"/>
      <c r="Y763" s="79"/>
      <c r="AE763" s="130"/>
      <c r="AG763" s="106"/>
    </row>
    <row r="764">
      <c r="C764" s="79"/>
      <c r="D764" s="79"/>
      <c r="E764" s="79"/>
      <c r="O764" s="79"/>
      <c r="S764" s="79"/>
      <c r="T764" s="79"/>
      <c r="Y764" s="79"/>
      <c r="AE764" s="130"/>
      <c r="AG764" s="106"/>
    </row>
    <row r="765">
      <c r="C765" s="79"/>
      <c r="D765" s="79"/>
      <c r="E765" s="79"/>
      <c r="O765" s="79"/>
      <c r="S765" s="79"/>
      <c r="T765" s="79"/>
      <c r="Y765" s="79"/>
      <c r="AE765" s="130"/>
      <c r="AG765" s="106"/>
    </row>
    <row r="766">
      <c r="C766" s="79"/>
      <c r="D766" s="79"/>
      <c r="E766" s="79"/>
      <c r="O766" s="79"/>
      <c r="S766" s="79"/>
      <c r="T766" s="79"/>
      <c r="Y766" s="79"/>
      <c r="AE766" s="130"/>
      <c r="AG766" s="106"/>
    </row>
    <row r="767">
      <c r="C767" s="79"/>
      <c r="D767" s="79"/>
      <c r="E767" s="79"/>
      <c r="O767" s="79"/>
      <c r="S767" s="79"/>
      <c r="T767" s="79"/>
      <c r="Y767" s="79"/>
      <c r="AE767" s="130"/>
      <c r="AG767" s="106"/>
    </row>
    <row r="768">
      <c r="C768" s="79"/>
      <c r="D768" s="79"/>
      <c r="E768" s="79"/>
      <c r="O768" s="79"/>
      <c r="S768" s="79"/>
      <c r="T768" s="79"/>
      <c r="Y768" s="79"/>
      <c r="AE768" s="130"/>
      <c r="AG768" s="106"/>
    </row>
    <row r="769">
      <c r="C769" s="79"/>
      <c r="D769" s="79"/>
      <c r="E769" s="79"/>
      <c r="O769" s="79"/>
      <c r="S769" s="79"/>
      <c r="T769" s="79"/>
      <c r="Y769" s="79"/>
      <c r="AE769" s="130"/>
      <c r="AG769" s="106"/>
    </row>
    <row r="770">
      <c r="C770" s="79"/>
      <c r="D770" s="79"/>
      <c r="E770" s="79"/>
      <c r="O770" s="79"/>
      <c r="S770" s="79"/>
      <c r="T770" s="79"/>
      <c r="Y770" s="79"/>
      <c r="AE770" s="130"/>
      <c r="AG770" s="106"/>
    </row>
    <row r="771">
      <c r="C771" s="79"/>
      <c r="D771" s="79"/>
      <c r="E771" s="79"/>
      <c r="O771" s="79"/>
      <c r="S771" s="79"/>
      <c r="T771" s="79"/>
      <c r="Y771" s="79"/>
      <c r="AE771" s="130"/>
      <c r="AG771" s="106"/>
    </row>
    <row r="772">
      <c r="C772" s="79"/>
      <c r="D772" s="79"/>
      <c r="E772" s="79"/>
      <c r="O772" s="79"/>
      <c r="S772" s="79"/>
      <c r="T772" s="79"/>
      <c r="Y772" s="79"/>
      <c r="AE772" s="130"/>
      <c r="AG772" s="106"/>
    </row>
    <row r="773">
      <c r="C773" s="79"/>
      <c r="D773" s="79"/>
      <c r="E773" s="79"/>
      <c r="O773" s="79"/>
      <c r="S773" s="79"/>
      <c r="T773" s="79"/>
      <c r="Y773" s="79"/>
      <c r="AE773" s="130"/>
      <c r="AG773" s="106"/>
    </row>
    <row r="774">
      <c r="C774" s="79"/>
      <c r="D774" s="79"/>
      <c r="E774" s="79"/>
      <c r="O774" s="79"/>
      <c r="S774" s="79"/>
      <c r="T774" s="79"/>
      <c r="Y774" s="79"/>
      <c r="AE774" s="130"/>
      <c r="AG774" s="106"/>
    </row>
    <row r="775">
      <c r="C775" s="79"/>
      <c r="D775" s="79"/>
      <c r="E775" s="79"/>
      <c r="O775" s="79"/>
      <c r="S775" s="79"/>
      <c r="T775" s="79"/>
      <c r="Y775" s="79"/>
      <c r="AE775" s="130"/>
      <c r="AG775" s="106"/>
    </row>
    <row r="776">
      <c r="C776" s="79"/>
      <c r="D776" s="79"/>
      <c r="E776" s="79"/>
      <c r="O776" s="79"/>
      <c r="S776" s="79"/>
      <c r="T776" s="79"/>
      <c r="Y776" s="79"/>
      <c r="AE776" s="130"/>
      <c r="AG776" s="106"/>
    </row>
    <row r="777">
      <c r="C777" s="79"/>
      <c r="D777" s="79"/>
      <c r="E777" s="79"/>
      <c r="O777" s="79"/>
      <c r="S777" s="79"/>
      <c r="T777" s="79"/>
      <c r="Y777" s="79"/>
      <c r="AE777" s="130"/>
      <c r="AG777" s="106"/>
    </row>
    <row r="778">
      <c r="C778" s="79"/>
      <c r="D778" s="79"/>
      <c r="E778" s="79"/>
      <c r="O778" s="79"/>
      <c r="S778" s="79"/>
      <c r="T778" s="79"/>
      <c r="Y778" s="79"/>
      <c r="AE778" s="130"/>
      <c r="AG778" s="106"/>
    </row>
    <row r="779">
      <c r="C779" s="79"/>
      <c r="D779" s="79"/>
      <c r="E779" s="79"/>
      <c r="O779" s="79"/>
      <c r="S779" s="79"/>
      <c r="T779" s="79"/>
      <c r="Y779" s="79"/>
      <c r="AE779" s="130"/>
      <c r="AG779" s="106"/>
    </row>
    <row r="780">
      <c r="C780" s="79"/>
      <c r="D780" s="79"/>
      <c r="E780" s="79"/>
      <c r="O780" s="79"/>
      <c r="S780" s="79"/>
      <c r="T780" s="79"/>
      <c r="Y780" s="79"/>
      <c r="AE780" s="130"/>
      <c r="AG780" s="106"/>
    </row>
    <row r="781">
      <c r="C781" s="79"/>
      <c r="D781" s="79"/>
      <c r="E781" s="79"/>
      <c r="O781" s="79"/>
      <c r="S781" s="79"/>
      <c r="T781" s="79"/>
      <c r="Y781" s="79"/>
      <c r="AE781" s="130"/>
      <c r="AG781" s="106"/>
    </row>
    <row r="782">
      <c r="C782" s="79"/>
      <c r="D782" s="79"/>
      <c r="E782" s="79"/>
      <c r="O782" s="79"/>
      <c r="S782" s="79"/>
      <c r="T782" s="79"/>
      <c r="Y782" s="79"/>
      <c r="AE782" s="130"/>
      <c r="AG782" s="106"/>
    </row>
    <row r="783">
      <c r="C783" s="79"/>
      <c r="D783" s="79"/>
      <c r="E783" s="79"/>
      <c r="O783" s="79"/>
      <c r="S783" s="79"/>
      <c r="T783" s="79"/>
      <c r="Y783" s="79"/>
      <c r="AE783" s="130"/>
      <c r="AG783" s="106"/>
    </row>
    <row r="784">
      <c r="C784" s="79"/>
      <c r="D784" s="79"/>
      <c r="E784" s="79"/>
      <c r="O784" s="79"/>
      <c r="S784" s="79"/>
      <c r="T784" s="79"/>
      <c r="Y784" s="79"/>
      <c r="AE784" s="130"/>
      <c r="AG784" s="106"/>
    </row>
    <row r="785">
      <c r="C785" s="79"/>
      <c r="D785" s="79"/>
      <c r="E785" s="79"/>
      <c r="O785" s="79"/>
      <c r="S785" s="79"/>
      <c r="T785" s="79"/>
      <c r="Y785" s="79"/>
      <c r="AE785" s="130"/>
      <c r="AG785" s="106"/>
    </row>
    <row r="786">
      <c r="C786" s="79"/>
      <c r="D786" s="79"/>
      <c r="E786" s="79"/>
      <c r="O786" s="79"/>
      <c r="S786" s="79"/>
      <c r="T786" s="79"/>
      <c r="Y786" s="79"/>
      <c r="AE786" s="130"/>
      <c r="AG786" s="106"/>
    </row>
    <row r="787">
      <c r="C787" s="79"/>
      <c r="D787" s="79"/>
      <c r="E787" s="79"/>
      <c r="O787" s="79"/>
      <c r="S787" s="79"/>
      <c r="T787" s="79"/>
      <c r="Y787" s="79"/>
      <c r="AE787" s="130"/>
      <c r="AG787" s="106"/>
    </row>
    <row r="788">
      <c r="C788" s="79"/>
      <c r="D788" s="79"/>
      <c r="E788" s="79"/>
      <c r="O788" s="79"/>
      <c r="S788" s="79"/>
      <c r="T788" s="79"/>
      <c r="Y788" s="79"/>
      <c r="AE788" s="130"/>
      <c r="AG788" s="106"/>
    </row>
    <row r="789">
      <c r="C789" s="79"/>
      <c r="D789" s="79"/>
      <c r="E789" s="79"/>
      <c r="O789" s="79"/>
      <c r="S789" s="79"/>
      <c r="T789" s="79"/>
      <c r="Y789" s="79"/>
      <c r="AE789" s="130"/>
      <c r="AG789" s="106"/>
    </row>
    <row r="790">
      <c r="C790" s="79"/>
      <c r="D790" s="79"/>
      <c r="E790" s="79"/>
      <c r="O790" s="79"/>
      <c r="S790" s="79"/>
      <c r="T790" s="79"/>
      <c r="Y790" s="79"/>
      <c r="AE790" s="130"/>
      <c r="AG790" s="106"/>
    </row>
    <row r="791">
      <c r="C791" s="79"/>
      <c r="D791" s="79"/>
      <c r="E791" s="79"/>
      <c r="O791" s="79"/>
      <c r="S791" s="79"/>
      <c r="T791" s="79"/>
      <c r="Y791" s="79"/>
      <c r="AE791" s="130"/>
      <c r="AG791" s="106"/>
    </row>
    <row r="792">
      <c r="C792" s="79"/>
      <c r="D792" s="79"/>
      <c r="E792" s="79"/>
      <c r="O792" s="79"/>
      <c r="S792" s="79"/>
      <c r="T792" s="79"/>
      <c r="Y792" s="79"/>
      <c r="AE792" s="130"/>
      <c r="AG792" s="106"/>
    </row>
    <row r="793">
      <c r="C793" s="79"/>
      <c r="D793" s="79"/>
      <c r="E793" s="79"/>
      <c r="O793" s="79"/>
      <c r="S793" s="79"/>
      <c r="T793" s="79"/>
      <c r="Y793" s="79"/>
      <c r="AE793" s="130"/>
      <c r="AG793" s="106"/>
    </row>
    <row r="794">
      <c r="C794" s="79"/>
      <c r="D794" s="79"/>
      <c r="E794" s="79"/>
      <c r="O794" s="79"/>
      <c r="S794" s="79"/>
      <c r="T794" s="79"/>
      <c r="Y794" s="79"/>
      <c r="AE794" s="130"/>
      <c r="AG794" s="106"/>
    </row>
    <row r="795">
      <c r="C795" s="79"/>
      <c r="D795" s="79"/>
      <c r="E795" s="79"/>
      <c r="O795" s="79"/>
      <c r="S795" s="79"/>
      <c r="T795" s="79"/>
      <c r="Y795" s="79"/>
      <c r="AE795" s="130"/>
      <c r="AG795" s="106"/>
    </row>
    <row r="796">
      <c r="C796" s="79"/>
      <c r="D796" s="79"/>
      <c r="E796" s="79"/>
      <c r="O796" s="79"/>
      <c r="S796" s="79"/>
      <c r="T796" s="79"/>
      <c r="Y796" s="79"/>
      <c r="AE796" s="130"/>
      <c r="AG796" s="106"/>
    </row>
    <row r="797">
      <c r="C797" s="79"/>
      <c r="D797" s="79"/>
      <c r="E797" s="79"/>
      <c r="O797" s="79"/>
      <c r="S797" s="79"/>
      <c r="T797" s="79"/>
      <c r="Y797" s="79"/>
      <c r="AE797" s="130"/>
      <c r="AG797" s="106"/>
    </row>
    <row r="798">
      <c r="C798" s="79"/>
      <c r="D798" s="79"/>
      <c r="E798" s="79"/>
      <c r="O798" s="79"/>
      <c r="S798" s="79"/>
      <c r="T798" s="79"/>
      <c r="Y798" s="79"/>
      <c r="AE798" s="130"/>
      <c r="AG798" s="106"/>
    </row>
    <row r="799">
      <c r="C799" s="79"/>
      <c r="D799" s="79"/>
      <c r="E799" s="79"/>
      <c r="O799" s="79"/>
      <c r="S799" s="79"/>
      <c r="T799" s="79"/>
      <c r="Y799" s="79"/>
      <c r="AE799" s="130"/>
      <c r="AG799" s="106"/>
    </row>
    <row r="800">
      <c r="C800" s="79"/>
      <c r="D800" s="79"/>
      <c r="E800" s="79"/>
      <c r="O800" s="79"/>
      <c r="S800" s="79"/>
      <c r="T800" s="79"/>
      <c r="Y800" s="79"/>
      <c r="AE800" s="130"/>
      <c r="AG800" s="106"/>
    </row>
    <row r="801">
      <c r="C801" s="79"/>
      <c r="D801" s="79"/>
      <c r="E801" s="79"/>
      <c r="O801" s="79"/>
      <c r="S801" s="79"/>
      <c r="T801" s="79"/>
      <c r="Y801" s="79"/>
      <c r="AE801" s="130"/>
      <c r="AG801" s="106"/>
    </row>
    <row r="802">
      <c r="C802" s="79"/>
      <c r="D802" s="79"/>
      <c r="E802" s="79"/>
      <c r="O802" s="79"/>
      <c r="S802" s="79"/>
      <c r="T802" s="79"/>
      <c r="Y802" s="79"/>
      <c r="AE802" s="130"/>
      <c r="AG802" s="106"/>
    </row>
    <row r="803">
      <c r="C803" s="79"/>
      <c r="D803" s="79"/>
      <c r="E803" s="79"/>
      <c r="O803" s="79"/>
      <c r="S803" s="79"/>
      <c r="T803" s="79"/>
      <c r="Y803" s="79"/>
      <c r="AE803" s="130"/>
      <c r="AG803" s="106"/>
    </row>
    <row r="804">
      <c r="C804" s="79"/>
      <c r="D804" s="79"/>
      <c r="E804" s="79"/>
      <c r="O804" s="79"/>
      <c r="S804" s="79"/>
      <c r="T804" s="79"/>
      <c r="Y804" s="79"/>
      <c r="AE804" s="130"/>
      <c r="AG804" s="106"/>
    </row>
    <row r="805">
      <c r="C805" s="79"/>
      <c r="D805" s="79"/>
      <c r="E805" s="79"/>
      <c r="O805" s="79"/>
      <c r="S805" s="79"/>
      <c r="T805" s="79"/>
      <c r="Y805" s="79"/>
      <c r="AE805" s="130"/>
      <c r="AG805" s="106"/>
    </row>
    <row r="806">
      <c r="C806" s="79"/>
      <c r="D806" s="79"/>
      <c r="E806" s="79"/>
      <c r="O806" s="79"/>
      <c r="S806" s="79"/>
      <c r="T806" s="79"/>
      <c r="Y806" s="79"/>
      <c r="AE806" s="130"/>
      <c r="AG806" s="106"/>
    </row>
    <row r="807">
      <c r="C807" s="79"/>
      <c r="D807" s="79"/>
      <c r="E807" s="79"/>
      <c r="O807" s="79"/>
      <c r="S807" s="79"/>
      <c r="T807" s="79"/>
      <c r="Y807" s="79"/>
      <c r="AE807" s="130"/>
      <c r="AG807" s="106"/>
    </row>
    <row r="808">
      <c r="C808" s="79"/>
      <c r="D808" s="79"/>
      <c r="E808" s="79"/>
      <c r="O808" s="79"/>
      <c r="S808" s="79"/>
      <c r="T808" s="79"/>
      <c r="Y808" s="79"/>
      <c r="AE808" s="130"/>
      <c r="AG808" s="106"/>
    </row>
    <row r="809">
      <c r="C809" s="79"/>
      <c r="D809" s="79"/>
      <c r="E809" s="79"/>
      <c r="O809" s="79"/>
      <c r="S809" s="79"/>
      <c r="T809" s="79"/>
      <c r="Y809" s="79"/>
      <c r="AE809" s="130"/>
      <c r="AG809" s="106"/>
    </row>
    <row r="810">
      <c r="C810" s="79"/>
      <c r="D810" s="79"/>
      <c r="E810" s="79"/>
      <c r="O810" s="79"/>
      <c r="S810" s="79"/>
      <c r="T810" s="79"/>
      <c r="Y810" s="79"/>
      <c r="AE810" s="130"/>
      <c r="AG810" s="106"/>
    </row>
    <row r="811">
      <c r="C811" s="79"/>
      <c r="D811" s="79"/>
      <c r="E811" s="79"/>
      <c r="O811" s="79"/>
      <c r="S811" s="79"/>
      <c r="T811" s="79"/>
      <c r="Y811" s="79"/>
      <c r="AE811" s="130"/>
      <c r="AG811" s="106"/>
    </row>
    <row r="812">
      <c r="C812" s="79"/>
      <c r="D812" s="79"/>
      <c r="E812" s="79"/>
      <c r="O812" s="79"/>
      <c r="S812" s="79"/>
      <c r="T812" s="79"/>
      <c r="Y812" s="79"/>
      <c r="AE812" s="130"/>
      <c r="AG812" s="106"/>
    </row>
    <row r="813">
      <c r="C813" s="79"/>
      <c r="D813" s="79"/>
      <c r="E813" s="79"/>
      <c r="O813" s="79"/>
      <c r="S813" s="79"/>
      <c r="T813" s="79"/>
      <c r="Y813" s="79"/>
      <c r="AE813" s="130"/>
      <c r="AG813" s="106"/>
    </row>
    <row r="814">
      <c r="C814" s="79"/>
      <c r="D814" s="79"/>
      <c r="E814" s="79"/>
      <c r="O814" s="79"/>
      <c r="S814" s="79"/>
      <c r="T814" s="79"/>
      <c r="Y814" s="79"/>
      <c r="AE814" s="130"/>
      <c r="AG814" s="106"/>
    </row>
    <row r="815">
      <c r="C815" s="79"/>
      <c r="D815" s="79"/>
      <c r="E815" s="79"/>
      <c r="O815" s="79"/>
      <c r="S815" s="79"/>
      <c r="T815" s="79"/>
      <c r="Y815" s="79"/>
      <c r="AE815" s="130"/>
      <c r="AG815" s="106"/>
    </row>
    <row r="816">
      <c r="C816" s="79"/>
      <c r="D816" s="79"/>
      <c r="E816" s="79"/>
      <c r="O816" s="79"/>
      <c r="S816" s="79"/>
      <c r="T816" s="79"/>
      <c r="Y816" s="79"/>
      <c r="AE816" s="130"/>
      <c r="AG816" s="106"/>
    </row>
    <row r="817">
      <c r="C817" s="79"/>
      <c r="D817" s="79"/>
      <c r="E817" s="79"/>
      <c r="O817" s="79"/>
      <c r="S817" s="79"/>
      <c r="T817" s="79"/>
      <c r="Y817" s="79"/>
      <c r="AE817" s="130"/>
      <c r="AG817" s="106"/>
    </row>
    <row r="818">
      <c r="C818" s="79"/>
      <c r="D818" s="79"/>
      <c r="E818" s="79"/>
      <c r="O818" s="79"/>
      <c r="S818" s="79"/>
      <c r="T818" s="79"/>
      <c r="Y818" s="79"/>
      <c r="AE818" s="130"/>
      <c r="AG818" s="106"/>
    </row>
    <row r="819">
      <c r="C819" s="79"/>
      <c r="D819" s="79"/>
      <c r="E819" s="79"/>
      <c r="O819" s="79"/>
      <c r="S819" s="79"/>
      <c r="T819" s="79"/>
      <c r="Y819" s="79"/>
      <c r="AE819" s="130"/>
      <c r="AG819" s="106"/>
    </row>
    <row r="820">
      <c r="C820" s="79"/>
      <c r="D820" s="79"/>
      <c r="E820" s="79"/>
      <c r="O820" s="79"/>
      <c r="S820" s="79"/>
      <c r="T820" s="79"/>
      <c r="Y820" s="79"/>
      <c r="AE820" s="130"/>
      <c r="AG820" s="106"/>
    </row>
    <row r="821">
      <c r="C821" s="79"/>
      <c r="D821" s="79"/>
      <c r="E821" s="79"/>
      <c r="O821" s="79"/>
      <c r="S821" s="79"/>
      <c r="T821" s="79"/>
      <c r="Y821" s="79"/>
      <c r="AE821" s="130"/>
      <c r="AG821" s="106"/>
    </row>
    <row r="822">
      <c r="C822" s="79"/>
      <c r="D822" s="79"/>
      <c r="E822" s="79"/>
      <c r="O822" s="79"/>
      <c r="S822" s="79"/>
      <c r="T822" s="79"/>
      <c r="Y822" s="79"/>
      <c r="AE822" s="130"/>
      <c r="AG822" s="106"/>
    </row>
    <row r="823">
      <c r="C823" s="79"/>
      <c r="D823" s="79"/>
      <c r="E823" s="79"/>
      <c r="O823" s="79"/>
      <c r="S823" s="79"/>
      <c r="T823" s="79"/>
      <c r="Y823" s="79"/>
      <c r="AE823" s="130"/>
      <c r="AG823" s="106"/>
    </row>
    <row r="824">
      <c r="C824" s="79"/>
      <c r="D824" s="79"/>
      <c r="E824" s="79"/>
      <c r="O824" s="79"/>
      <c r="S824" s="79"/>
      <c r="T824" s="79"/>
      <c r="Y824" s="79"/>
      <c r="AE824" s="130"/>
      <c r="AG824" s="106"/>
    </row>
    <row r="825">
      <c r="C825" s="79"/>
      <c r="D825" s="79"/>
      <c r="E825" s="79"/>
      <c r="O825" s="79"/>
      <c r="S825" s="79"/>
      <c r="T825" s="79"/>
      <c r="Y825" s="79"/>
      <c r="AE825" s="130"/>
      <c r="AG825" s="106"/>
    </row>
    <row r="826">
      <c r="C826" s="79"/>
      <c r="D826" s="79"/>
      <c r="E826" s="79"/>
      <c r="O826" s="79"/>
      <c r="S826" s="79"/>
      <c r="T826" s="79"/>
      <c r="Y826" s="79"/>
      <c r="AE826" s="130"/>
      <c r="AG826" s="106"/>
    </row>
    <row r="827">
      <c r="C827" s="79"/>
      <c r="D827" s="79"/>
      <c r="E827" s="79"/>
      <c r="O827" s="79"/>
      <c r="S827" s="79"/>
      <c r="T827" s="79"/>
      <c r="Y827" s="79"/>
      <c r="AE827" s="130"/>
      <c r="AG827" s="106"/>
    </row>
    <row r="828">
      <c r="C828" s="79"/>
      <c r="D828" s="79"/>
      <c r="E828" s="79"/>
      <c r="O828" s="79"/>
      <c r="S828" s="79"/>
      <c r="T828" s="79"/>
      <c r="Y828" s="79"/>
      <c r="AE828" s="130"/>
      <c r="AG828" s="106"/>
    </row>
    <row r="829">
      <c r="C829" s="79"/>
      <c r="D829" s="79"/>
      <c r="E829" s="79"/>
      <c r="O829" s="79"/>
      <c r="S829" s="79"/>
      <c r="T829" s="79"/>
      <c r="Y829" s="79"/>
      <c r="AE829" s="130"/>
      <c r="AG829" s="106"/>
    </row>
    <row r="830">
      <c r="C830" s="79"/>
      <c r="D830" s="79"/>
      <c r="E830" s="79"/>
      <c r="O830" s="79"/>
      <c r="S830" s="79"/>
      <c r="T830" s="79"/>
      <c r="Y830" s="79"/>
      <c r="AE830" s="130"/>
      <c r="AG830" s="106"/>
    </row>
    <row r="831">
      <c r="C831" s="79"/>
      <c r="D831" s="79"/>
      <c r="E831" s="79"/>
      <c r="O831" s="79"/>
      <c r="S831" s="79"/>
      <c r="T831" s="79"/>
      <c r="Y831" s="79"/>
      <c r="AE831" s="130"/>
      <c r="AG831" s="106"/>
    </row>
    <row r="832">
      <c r="C832" s="79"/>
      <c r="D832" s="79"/>
      <c r="E832" s="79"/>
      <c r="O832" s="79"/>
      <c r="S832" s="79"/>
      <c r="T832" s="79"/>
      <c r="Y832" s="79"/>
      <c r="AE832" s="130"/>
      <c r="AG832" s="106"/>
    </row>
    <row r="833">
      <c r="C833" s="79"/>
      <c r="D833" s="79"/>
      <c r="E833" s="79"/>
      <c r="O833" s="79"/>
      <c r="S833" s="79"/>
      <c r="T833" s="79"/>
      <c r="Y833" s="79"/>
      <c r="AE833" s="130"/>
      <c r="AG833" s="106"/>
    </row>
    <row r="834">
      <c r="C834" s="79"/>
      <c r="D834" s="79"/>
      <c r="E834" s="79"/>
      <c r="O834" s="79"/>
      <c r="S834" s="79"/>
      <c r="T834" s="79"/>
      <c r="Y834" s="79"/>
      <c r="AE834" s="130"/>
      <c r="AG834" s="106"/>
    </row>
    <row r="835">
      <c r="C835" s="79"/>
      <c r="D835" s="79"/>
      <c r="E835" s="79"/>
      <c r="O835" s="79"/>
      <c r="S835" s="79"/>
      <c r="T835" s="79"/>
      <c r="Y835" s="79"/>
      <c r="AE835" s="130"/>
      <c r="AG835" s="106"/>
    </row>
    <row r="836">
      <c r="C836" s="79"/>
      <c r="D836" s="79"/>
      <c r="E836" s="79"/>
      <c r="O836" s="79"/>
      <c r="S836" s="79"/>
      <c r="T836" s="79"/>
      <c r="Y836" s="79"/>
      <c r="AE836" s="130"/>
      <c r="AG836" s="106"/>
    </row>
    <row r="837">
      <c r="C837" s="79"/>
      <c r="D837" s="79"/>
      <c r="E837" s="79"/>
      <c r="O837" s="79"/>
      <c r="S837" s="79"/>
      <c r="T837" s="79"/>
      <c r="Y837" s="79"/>
      <c r="AE837" s="130"/>
      <c r="AG837" s="106"/>
    </row>
    <row r="838">
      <c r="C838" s="79"/>
      <c r="D838" s="79"/>
      <c r="E838" s="79"/>
      <c r="O838" s="79"/>
      <c r="S838" s="79"/>
      <c r="T838" s="79"/>
      <c r="Y838" s="79"/>
      <c r="AE838" s="130"/>
      <c r="AG838" s="106"/>
    </row>
    <row r="839">
      <c r="C839" s="79"/>
      <c r="D839" s="79"/>
      <c r="E839" s="79"/>
      <c r="O839" s="79"/>
      <c r="S839" s="79"/>
      <c r="T839" s="79"/>
      <c r="Y839" s="79"/>
      <c r="AE839" s="130"/>
      <c r="AG839" s="106"/>
    </row>
    <row r="840">
      <c r="O840" s="79"/>
      <c r="S840" s="79"/>
      <c r="T840" s="79"/>
      <c r="Y840" s="79"/>
      <c r="AE840" s="130"/>
      <c r="AG840" s="106"/>
    </row>
    <row r="841">
      <c r="O841" s="79"/>
      <c r="S841" s="79"/>
      <c r="T841" s="79"/>
      <c r="Y841" s="79"/>
      <c r="AE841" s="130"/>
      <c r="AG841" s="106"/>
    </row>
    <row r="842">
      <c r="O842" s="79"/>
      <c r="S842" s="79"/>
      <c r="T842" s="79"/>
      <c r="Y842" s="79"/>
      <c r="AE842" s="130"/>
      <c r="AG842" s="106"/>
    </row>
    <row r="843">
      <c r="O843" s="79"/>
      <c r="S843" s="79"/>
      <c r="T843" s="79"/>
      <c r="Y843" s="79"/>
      <c r="AE843" s="130"/>
      <c r="AG843" s="106"/>
    </row>
    <row r="844">
      <c r="O844" s="79"/>
      <c r="S844" s="79"/>
      <c r="T844" s="79"/>
      <c r="Y844" s="79"/>
      <c r="AE844" s="130"/>
      <c r="AG844" s="106"/>
    </row>
    <row r="845">
      <c r="O845" s="79"/>
      <c r="S845" s="79"/>
      <c r="T845" s="79"/>
      <c r="Y845" s="79"/>
      <c r="AE845" s="130"/>
      <c r="AG845" s="106"/>
    </row>
    <row r="846">
      <c r="O846" s="79"/>
      <c r="S846" s="79"/>
      <c r="T846" s="79"/>
      <c r="Y846" s="79"/>
      <c r="AE846" s="130"/>
      <c r="AG846" s="106"/>
    </row>
    <row r="847">
      <c r="O847" s="79"/>
      <c r="S847" s="79"/>
      <c r="T847" s="79"/>
      <c r="Y847" s="79"/>
      <c r="AE847" s="130"/>
      <c r="AG847" s="106"/>
    </row>
    <row r="848">
      <c r="O848" s="79"/>
      <c r="S848" s="79"/>
      <c r="T848" s="79"/>
      <c r="Y848" s="79"/>
      <c r="AE848" s="130"/>
      <c r="AG848" s="106"/>
    </row>
    <row r="849">
      <c r="O849" s="79"/>
      <c r="S849" s="79"/>
      <c r="T849" s="79"/>
      <c r="Y849" s="79"/>
      <c r="AE849" s="130"/>
      <c r="AG849" s="106"/>
    </row>
    <row r="850">
      <c r="O850" s="79"/>
      <c r="S850" s="79"/>
      <c r="T850" s="79"/>
      <c r="Y850" s="79"/>
      <c r="AE850" s="130"/>
      <c r="AG850" s="106"/>
    </row>
    <row r="851">
      <c r="O851" s="79"/>
      <c r="S851" s="79"/>
      <c r="T851" s="79"/>
      <c r="Y851" s="79"/>
      <c r="AE851" s="130"/>
      <c r="AG851" s="106"/>
    </row>
    <row r="852">
      <c r="O852" s="79"/>
      <c r="S852" s="79"/>
      <c r="T852" s="79"/>
      <c r="Y852" s="79"/>
      <c r="AE852" s="130"/>
      <c r="AG852" s="106"/>
    </row>
  </sheetData>
  <autoFilter ref="$A$35:$F$96">
    <sortState ref="A35:F96">
      <sortCondition descending="1" sortBy="cellColor" ref="E35:E96" dxfId="1"/>
      <sortCondition descending="1" sortBy="cellColor" ref="C35:C96" dxfId="1"/>
      <sortCondition descending="1" sortBy="cellColor" ref="A35:A96" dxfId="1"/>
    </sortState>
  </autoFilter>
  <mergeCells count="1">
    <mergeCell ref="B32:E32"/>
  </mergeCells>
  <conditionalFormatting sqref="H36:H48">
    <cfRule type="cellIs" dxfId="2" priority="1" operator="greaterThanOrEqual">
      <formula>1</formula>
    </cfRule>
  </conditionalFormatting>
  <conditionalFormatting sqref="H36:H48">
    <cfRule type="cellIs" dxfId="3" priority="2" operator="lessThanOrEqual">
      <formula>0</formula>
    </cfRule>
  </conditionalFormatting>
  <drawing r:id="rId2"/>
  <legacyDrawing r:id="rId3"/>
  <tableParts count="2">
    <tablePart r:id="rId6"/>
    <tablePart r:id="rId7"/>
  </tableParts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3" max="3" width="17.38"/>
    <col customWidth="1" min="4" max="4" width="25.75"/>
    <col customWidth="1" min="5" max="5" width="20.88"/>
    <col customWidth="1" min="6" max="6" width="15.5"/>
    <col customWidth="1" min="7" max="7" width="25.13"/>
    <col customWidth="1" min="8" max="8" width="24.0"/>
    <col customWidth="1" min="9" max="10" width="15.5"/>
    <col customWidth="1" min="11" max="11" width="16.5"/>
    <col customWidth="1" min="12" max="13" width="15.5"/>
    <col customWidth="1" min="15" max="15" width="27.38"/>
    <col customWidth="1" min="17" max="17" width="11.13"/>
    <col customWidth="1" min="26" max="26" width="14.63"/>
    <col customWidth="1" min="33" max="33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4</v>
      </c>
      <c r="J1" s="2" t="s">
        <v>5</v>
      </c>
      <c r="K1" s="2" t="s">
        <v>303</v>
      </c>
      <c r="L1" s="2" t="s">
        <v>6</v>
      </c>
      <c r="M1" s="2" t="s">
        <v>12</v>
      </c>
      <c r="N1" s="2" t="s">
        <v>49</v>
      </c>
      <c r="O1" s="105" t="s">
        <v>304</v>
      </c>
      <c r="P1" s="2" t="s">
        <v>37</v>
      </c>
      <c r="Q1" s="2" t="s">
        <v>10</v>
      </c>
      <c r="R1" s="2" t="s">
        <v>42</v>
      </c>
      <c r="S1" s="105" t="s">
        <v>656</v>
      </c>
      <c r="T1" s="105" t="s">
        <v>9</v>
      </c>
      <c r="U1" s="2" t="s">
        <v>164</v>
      </c>
      <c r="V1" s="105" t="s">
        <v>40</v>
      </c>
      <c r="W1" s="2" t="s">
        <v>83</v>
      </c>
      <c r="X1" s="2" t="s">
        <v>204</v>
      </c>
      <c r="Y1" s="105" t="s">
        <v>205</v>
      </c>
      <c r="Z1" s="2" t="s">
        <v>206</v>
      </c>
      <c r="AA1" s="2" t="s">
        <v>305</v>
      </c>
      <c r="AB1" s="3" t="s">
        <v>760</v>
      </c>
      <c r="AC1" s="3" t="s">
        <v>828</v>
      </c>
      <c r="AD1" s="3" t="s">
        <v>13</v>
      </c>
      <c r="AE1" s="3" t="s">
        <v>14</v>
      </c>
      <c r="AF1" s="3" t="s">
        <v>15</v>
      </c>
      <c r="AG1" s="106"/>
      <c r="AH1" s="265" t="s">
        <v>306</v>
      </c>
      <c r="AI1" s="266" t="s">
        <v>80</v>
      </c>
    </row>
    <row r="2">
      <c r="A2" s="74">
        <v>45642.0</v>
      </c>
      <c r="B2" s="79"/>
      <c r="C2" s="93"/>
      <c r="D2" s="180">
        <f>330.05*5</f>
        <v>1650.25</v>
      </c>
      <c r="E2" s="93"/>
      <c r="F2" s="93"/>
      <c r="G2" s="93">
        <v>180.0</v>
      </c>
      <c r="H2" s="93"/>
      <c r="I2" s="93"/>
      <c r="J2" s="374"/>
      <c r="K2" s="93"/>
      <c r="L2" s="93"/>
      <c r="M2" s="93"/>
      <c r="N2" s="93"/>
      <c r="O2" s="93"/>
      <c r="P2" s="72"/>
      <c r="Q2" s="93"/>
      <c r="R2" s="93"/>
      <c r="S2" s="93"/>
      <c r="T2" s="93"/>
      <c r="U2" s="93"/>
      <c r="V2" s="93"/>
      <c r="W2" s="93"/>
      <c r="X2" s="93"/>
      <c r="Y2" s="250">
        <v>860.17</v>
      </c>
      <c r="Z2" s="93"/>
      <c r="AA2" s="386"/>
      <c r="AB2" s="326"/>
      <c r="AC2" s="386"/>
      <c r="AD2" s="171">
        <f>SUM(B2:AA2)</f>
        <v>2690.42</v>
      </c>
      <c r="AE2" s="158">
        <v>0.0</v>
      </c>
      <c r="AF2" s="59" t="str">
        <f t="shared" ref="AF2:AF8" si="1">AD2/AE2</f>
        <v>#DIV/0!</v>
      </c>
      <c r="AG2" s="109">
        <f t="shared" ref="AG2:AG8" si="2">A2</f>
        <v>45642</v>
      </c>
      <c r="AH2" s="267"/>
      <c r="AI2" s="268">
        <f t="shared" ref="AI2:AI8" si="3">AE2-AH2</f>
        <v>0</v>
      </c>
    </row>
    <row r="3">
      <c r="A3" s="74">
        <f t="shared" ref="A3:A8" si="4">A2+1</f>
        <v>45643</v>
      </c>
      <c r="B3" s="93">
        <f>1131.89-91.69-22.21-26.92-35.38-11.88</f>
        <v>943.81</v>
      </c>
      <c r="C3" s="93">
        <f>61+944.7-25.25-23-28.5-32.25-75.3-42.35</f>
        <v>779.05</v>
      </c>
      <c r="D3" s="93">
        <v>497.82</v>
      </c>
      <c r="E3" s="93"/>
      <c r="F3" s="93"/>
      <c r="G3" s="93"/>
      <c r="H3" s="168"/>
      <c r="I3" s="93"/>
      <c r="J3" s="93"/>
      <c r="K3" s="93"/>
      <c r="L3" s="93"/>
      <c r="M3" s="93"/>
      <c r="N3" s="93">
        <v>486.0</v>
      </c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326"/>
      <c r="AB3" s="326"/>
      <c r="AC3" s="326"/>
      <c r="AD3" s="107">
        <f t="shared" ref="AD3:AD8" si="5">SUM(B3:Z3)</f>
        <v>2706.68</v>
      </c>
      <c r="AE3" s="158">
        <v>9807.0</v>
      </c>
      <c r="AF3" s="59">
        <f t="shared" si="1"/>
        <v>0.2759946977</v>
      </c>
      <c r="AG3" s="109">
        <f t="shared" si="2"/>
        <v>45643</v>
      </c>
      <c r="AH3" s="267"/>
      <c r="AI3" s="268">
        <f t="shared" si="3"/>
        <v>9807</v>
      </c>
    </row>
    <row r="4">
      <c r="A4" s="74">
        <f t="shared" si="4"/>
        <v>45644</v>
      </c>
      <c r="B4" s="93">
        <f>1378.41-28.1-8-83.79-20.25-66.68-75.76-62.67-47.2-12.07-16.26-43.4+72.13</f>
        <v>986.36</v>
      </c>
      <c r="C4" s="93">
        <f>362.9-17-6.75-10.8-10.35-35-27-74-84.7</f>
        <v>97.3</v>
      </c>
      <c r="D4" s="180">
        <v>971.63</v>
      </c>
      <c r="E4" s="93"/>
      <c r="F4" s="93"/>
      <c r="G4" s="93">
        <v>180.0</v>
      </c>
      <c r="H4" s="168"/>
      <c r="I4" s="93"/>
      <c r="J4" s="93">
        <f>1443.8-198</f>
        <v>1245.8</v>
      </c>
      <c r="K4" s="93"/>
      <c r="L4" s="93"/>
      <c r="M4" s="93"/>
      <c r="N4" s="93"/>
      <c r="O4" s="93"/>
      <c r="P4" s="160"/>
      <c r="Q4" s="93"/>
      <c r="R4" s="93"/>
      <c r="S4" s="93">
        <f>415-295</f>
        <v>120</v>
      </c>
      <c r="T4" s="93"/>
      <c r="U4" s="93"/>
      <c r="V4" s="93"/>
      <c r="W4" s="93"/>
      <c r="X4" s="93"/>
      <c r="Y4" s="93"/>
      <c r="Z4" s="101"/>
      <c r="AA4" s="326"/>
      <c r="AB4" s="326"/>
      <c r="AC4" s="326"/>
      <c r="AD4" s="107">
        <f t="shared" si="5"/>
        <v>3601.09</v>
      </c>
      <c r="AE4" s="158">
        <v>11500.0</v>
      </c>
      <c r="AF4" s="59">
        <f t="shared" si="1"/>
        <v>0.3131382609</v>
      </c>
      <c r="AG4" s="109">
        <f t="shared" si="2"/>
        <v>45644</v>
      </c>
      <c r="AH4" s="267"/>
      <c r="AI4" s="268">
        <f t="shared" si="3"/>
        <v>11500</v>
      </c>
    </row>
    <row r="5">
      <c r="A5" s="74">
        <f t="shared" si="4"/>
        <v>45645</v>
      </c>
      <c r="B5" s="93">
        <f>818.53-27.28-6.43-16.34-7.76-6.77-18.38-7.92-91.78-51.56-28.79-169.56-26.53-12-18.76-19.42-16.7-11.56-68.33-30.59</f>
        <v>182.07</v>
      </c>
      <c r="C5" s="93"/>
      <c r="D5" s="93">
        <v>212.5</v>
      </c>
      <c r="E5" s="93"/>
      <c r="F5" s="166"/>
      <c r="G5" s="93"/>
      <c r="H5" s="160"/>
      <c r="I5" s="93"/>
      <c r="J5" s="93"/>
      <c r="K5" s="93"/>
      <c r="L5" s="93"/>
      <c r="M5" s="93"/>
      <c r="N5" s="93">
        <v>243.0</v>
      </c>
      <c r="O5" s="93"/>
      <c r="P5" s="93"/>
      <c r="Q5" s="93"/>
      <c r="R5" s="93"/>
      <c r="S5" s="93">
        <v>295.0</v>
      </c>
      <c r="T5" s="93"/>
      <c r="U5" s="93"/>
      <c r="V5" s="93"/>
      <c r="W5" s="93"/>
      <c r="X5" s="93"/>
      <c r="Y5" s="101"/>
      <c r="Z5" s="101"/>
      <c r="AA5" s="327"/>
      <c r="AB5" s="327"/>
      <c r="AC5" s="327"/>
      <c r="AD5" s="7">
        <f t="shared" si="5"/>
        <v>932.57</v>
      </c>
      <c r="AE5" s="380">
        <v>10350.0</v>
      </c>
      <c r="AF5" s="59">
        <f t="shared" si="1"/>
        <v>0.09010338164</v>
      </c>
      <c r="AG5" s="109">
        <f t="shared" si="2"/>
        <v>45645</v>
      </c>
      <c r="AH5" s="267"/>
      <c r="AI5" s="268">
        <f t="shared" si="3"/>
        <v>10350</v>
      </c>
    </row>
    <row r="6">
      <c r="A6" s="74">
        <f t="shared" si="4"/>
        <v>45646</v>
      </c>
      <c r="B6" s="250">
        <f>1102.66-101.41-36.68-15.85-34.33-49.76-18.4-39.08-55.6-42.21-60.99-16.58-53.44-380.13-37.88-26-23.6-18.62-68.33-19.96</f>
        <v>3.81</v>
      </c>
      <c r="C6" s="361">
        <v>234.3</v>
      </c>
      <c r="D6" s="93">
        <f>131</f>
        <v>131</v>
      </c>
      <c r="E6" s="93"/>
      <c r="F6" s="344">
        <v>529.22</v>
      </c>
      <c r="G6" s="93">
        <v>180.0</v>
      </c>
      <c r="H6" s="160"/>
      <c r="I6" s="93"/>
      <c r="J6" s="93">
        <v>761.54</v>
      </c>
      <c r="K6" s="93"/>
      <c r="L6" s="93"/>
      <c r="M6" s="93"/>
      <c r="N6" s="93">
        <v>162.0</v>
      </c>
      <c r="O6" s="93"/>
      <c r="P6" s="93"/>
      <c r="Q6" s="93"/>
      <c r="R6" s="93"/>
      <c r="S6" s="93"/>
      <c r="T6" s="374"/>
      <c r="U6" s="93"/>
      <c r="V6" s="93"/>
      <c r="W6" s="93"/>
      <c r="X6" s="93"/>
      <c r="Y6" s="93"/>
      <c r="Z6" s="93"/>
      <c r="AA6" s="327"/>
      <c r="AB6" s="327"/>
      <c r="AC6" s="327"/>
      <c r="AD6" s="7">
        <f t="shared" si="5"/>
        <v>2001.87</v>
      </c>
      <c r="AE6" s="380">
        <v>11615.0</v>
      </c>
      <c r="AF6" s="59">
        <f t="shared" si="1"/>
        <v>0.1723521309</v>
      </c>
      <c r="AG6" s="109">
        <f t="shared" si="2"/>
        <v>45646</v>
      </c>
      <c r="AH6" s="267"/>
      <c r="AI6" s="268">
        <f t="shared" si="3"/>
        <v>11615</v>
      </c>
    </row>
    <row r="7">
      <c r="A7" s="74">
        <f t="shared" si="4"/>
        <v>45647</v>
      </c>
      <c r="B7" s="93">
        <v>404.68</v>
      </c>
      <c r="C7" s="79"/>
      <c r="D7" s="180">
        <f>1591.6/2</f>
        <v>795.8</v>
      </c>
      <c r="E7" s="79"/>
      <c r="F7" s="93"/>
      <c r="G7" s="93"/>
      <c r="I7" s="93"/>
      <c r="J7" s="93"/>
      <c r="K7" s="93"/>
      <c r="L7" s="93"/>
      <c r="M7" s="93"/>
      <c r="N7" s="93"/>
      <c r="O7" s="93"/>
      <c r="P7" s="402"/>
      <c r="Q7" s="93"/>
      <c r="R7" s="93"/>
      <c r="S7" s="101"/>
      <c r="T7" s="93"/>
      <c r="U7" s="93"/>
      <c r="V7" s="93"/>
      <c r="W7" s="93"/>
      <c r="X7" s="93"/>
      <c r="Y7" s="101"/>
      <c r="Z7" s="93"/>
      <c r="AA7" s="327"/>
      <c r="AB7" s="327"/>
      <c r="AC7" s="327"/>
      <c r="AD7" s="7">
        <f t="shared" si="5"/>
        <v>1200.48</v>
      </c>
      <c r="AE7" s="380">
        <v>11431.0</v>
      </c>
      <c r="AF7" s="59">
        <f t="shared" si="1"/>
        <v>0.1050196833</v>
      </c>
      <c r="AG7" s="109">
        <f t="shared" si="2"/>
        <v>45647</v>
      </c>
      <c r="AH7" s="267"/>
      <c r="AI7" s="268">
        <f t="shared" si="3"/>
        <v>11431</v>
      </c>
    </row>
    <row r="8">
      <c r="A8" s="74">
        <f t="shared" si="4"/>
        <v>45648</v>
      </c>
      <c r="B8" s="93"/>
      <c r="C8" s="374"/>
      <c r="D8" s="344">
        <v>224.47</v>
      </c>
      <c r="E8" s="374"/>
      <c r="F8" s="374"/>
      <c r="G8" s="112"/>
      <c r="H8" s="180">
        <f>1432-232</f>
        <v>1200</v>
      </c>
      <c r="I8" s="374"/>
      <c r="J8" s="402"/>
      <c r="K8" s="93"/>
      <c r="L8" s="112"/>
      <c r="M8" s="112"/>
      <c r="N8" s="93"/>
      <c r="O8" s="93"/>
      <c r="P8" s="93"/>
      <c r="Q8" s="93"/>
      <c r="R8" s="374"/>
      <c r="S8" s="101"/>
      <c r="T8" s="374"/>
      <c r="U8" s="374"/>
      <c r="V8" s="112"/>
      <c r="W8" s="112"/>
      <c r="X8" s="112"/>
      <c r="Y8" s="112"/>
      <c r="Z8" s="112"/>
      <c r="AA8" s="635">
        <v>285.23</v>
      </c>
      <c r="AB8" s="616"/>
      <c r="AC8" s="616"/>
      <c r="AD8" s="7">
        <f t="shared" si="5"/>
        <v>1424.47</v>
      </c>
      <c r="AE8" s="380">
        <v>0.0</v>
      </c>
      <c r="AF8" s="59" t="str">
        <f t="shared" si="1"/>
        <v>#DIV/0!</v>
      </c>
      <c r="AG8" s="109">
        <f t="shared" si="2"/>
        <v>45648</v>
      </c>
      <c r="AH8" s="267"/>
      <c r="AI8" s="268">
        <f t="shared" si="3"/>
        <v>0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E9" s="129"/>
      <c r="AG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AE10" s="129"/>
      <c r="AG10" s="106"/>
    </row>
    <row r="11">
      <c r="A11" s="165" t="s">
        <v>194</v>
      </c>
      <c r="B11" s="93">
        <f>26.92+8+83.79+27.28+6.43+16.34+7.76+6.77+18.38+7.92+91.78+28.79+12+18.76</f>
        <v>360.92</v>
      </c>
      <c r="C11" s="93"/>
      <c r="D11" s="93">
        <f>250.6+236.9</f>
        <v>487.5</v>
      </c>
      <c r="E11" s="167"/>
      <c r="F11" s="168"/>
      <c r="G11" s="168"/>
      <c r="H11" s="180">
        <v>232.76</v>
      </c>
      <c r="I11" s="166"/>
      <c r="J11" s="93"/>
      <c r="K11" s="168"/>
      <c r="L11" s="93"/>
      <c r="M11" s="93"/>
      <c r="N11" s="93"/>
      <c r="O11" s="168"/>
      <c r="P11" s="168"/>
      <c r="Q11" s="168"/>
      <c r="R11" s="168"/>
      <c r="S11" s="168"/>
      <c r="T11" s="168"/>
      <c r="U11" s="168"/>
      <c r="V11" s="168"/>
      <c r="W11" s="1"/>
      <c r="X11" s="168"/>
      <c r="Y11" s="168"/>
      <c r="Z11" s="1"/>
      <c r="AA11" s="1"/>
      <c r="AB11" s="1"/>
      <c r="AC11" s="1"/>
      <c r="AD11" s="1"/>
      <c r="AE11" s="169"/>
      <c r="AF11" s="1"/>
      <c r="AG11" s="170"/>
    </row>
    <row r="12">
      <c r="A12" s="165" t="s">
        <v>195</v>
      </c>
      <c r="B12" s="93">
        <f>91.69+22.21+35.38+11.88+28.1+20.25+66.68+75.76+62.67+47.2+12.07+16.26+43.4+169.56+26.53+19.42+16.7+11.56+68.33+30.59</f>
        <v>876.24</v>
      </c>
      <c r="C12" s="587">
        <f>25.25+23+28.5+32.25+42.35+75.3+17+6.75+10.8+10.35+35+27+74+84.7</f>
        <v>492.25</v>
      </c>
      <c r="D12" s="93">
        <v>127.8</v>
      </c>
      <c r="E12" s="93"/>
      <c r="F12" s="374"/>
      <c r="G12" s="93"/>
      <c r="I12" s="93"/>
      <c r="J12" s="93">
        <v>198.0</v>
      </c>
      <c r="K12" s="79"/>
      <c r="L12" s="93"/>
      <c r="M12" s="93"/>
      <c r="N12" s="93">
        <f>78+72+78+72</f>
        <v>300</v>
      </c>
      <c r="O12" s="168"/>
      <c r="P12" s="168"/>
      <c r="Q12" s="166"/>
      <c r="R12" s="166"/>
      <c r="S12" s="93"/>
      <c r="T12" s="166"/>
      <c r="U12" s="168"/>
      <c r="V12" s="168"/>
      <c r="W12" s="1"/>
      <c r="X12" s="93"/>
      <c r="Y12" s="168"/>
      <c r="Z12" s="1"/>
      <c r="AA12" s="1"/>
      <c r="AB12" s="192"/>
      <c r="AC12" s="1"/>
      <c r="AD12" s="1"/>
      <c r="AE12" s="171"/>
      <c r="AF12" s="1"/>
      <c r="AG12" s="170"/>
    </row>
    <row r="13" hidden="1">
      <c r="A13" s="172" t="s">
        <v>817</v>
      </c>
      <c r="B13" s="93"/>
      <c r="C13" s="93"/>
      <c r="D13" s="93"/>
      <c r="E13" s="93"/>
      <c r="F13" s="374"/>
      <c r="G13" s="93"/>
      <c r="H13" s="93"/>
      <c r="I13" s="93"/>
      <c r="J13" s="93"/>
      <c r="K13" s="374"/>
      <c r="L13" s="93"/>
      <c r="M13" s="93"/>
      <c r="N13" s="93"/>
      <c r="O13" s="166"/>
      <c r="P13" s="168"/>
      <c r="Q13" s="93"/>
      <c r="R13" s="166"/>
      <c r="S13" s="168"/>
      <c r="T13" s="166"/>
      <c r="U13" s="93"/>
      <c r="V13" s="168"/>
      <c r="W13" s="1"/>
      <c r="X13" s="93"/>
      <c r="Y13" s="168"/>
      <c r="Z13" s="1"/>
      <c r="AA13" s="1"/>
      <c r="AB13" s="1"/>
      <c r="AC13" s="1"/>
      <c r="AD13" s="1"/>
      <c r="AE13" s="171"/>
      <c r="AF13" s="1"/>
      <c r="AG13" s="170"/>
    </row>
    <row r="14">
      <c r="A14" s="165" t="s">
        <v>198</v>
      </c>
      <c r="B14" s="93"/>
      <c r="C14" s="348"/>
      <c r="D14" s="93"/>
      <c r="E14" s="168"/>
      <c r="F14" s="166"/>
      <c r="G14" s="166"/>
      <c r="H14" s="168"/>
      <c r="I14" s="168"/>
      <c r="J14" s="93"/>
      <c r="K14" s="168"/>
      <c r="L14" s="168"/>
      <c r="M14" s="168"/>
      <c r="N14" s="93"/>
      <c r="O14" s="168"/>
      <c r="P14" s="168"/>
      <c r="Q14" s="166"/>
      <c r="R14" s="168"/>
      <c r="S14" s="168"/>
      <c r="T14" s="168"/>
      <c r="U14" s="1"/>
      <c r="V14" s="1"/>
      <c r="W14" s="1"/>
      <c r="X14" s="168"/>
      <c r="Y14" s="168"/>
      <c r="Z14" s="1"/>
      <c r="AA14" s="1"/>
      <c r="AB14" s="1"/>
      <c r="AC14" s="1"/>
      <c r="AD14" s="1"/>
      <c r="AE14" s="174"/>
      <c r="AF14" s="1"/>
      <c r="AG14" s="170"/>
    </row>
    <row r="15">
      <c r="A15" s="91"/>
      <c r="B15" s="375"/>
      <c r="C15" s="79"/>
      <c r="D15" s="79"/>
      <c r="E15" s="79"/>
      <c r="F15" s="78"/>
      <c r="G15" s="78"/>
      <c r="H15" s="79"/>
      <c r="I15" s="78"/>
      <c r="J15" s="79"/>
      <c r="K15" s="79"/>
      <c r="L15" s="79"/>
      <c r="M15" s="79"/>
      <c r="N15" s="79"/>
      <c r="O15" s="79"/>
      <c r="R15" s="79"/>
      <c r="S15" s="79"/>
      <c r="T15" s="198"/>
      <c r="U15" s="198"/>
      <c r="Y15" s="79"/>
      <c r="AE15" s="131"/>
      <c r="AG15" s="106"/>
    </row>
    <row r="16">
      <c r="A16" s="91"/>
      <c r="B16" s="375"/>
      <c r="C16" s="79"/>
      <c r="D16" s="78"/>
      <c r="E16" s="78"/>
      <c r="F16" s="205"/>
      <c r="G16" s="351"/>
      <c r="H16" s="192"/>
      <c r="I16" s="198"/>
      <c r="J16" s="201"/>
      <c r="K16" s="199"/>
      <c r="L16" s="199"/>
      <c r="M16" s="200"/>
      <c r="N16" s="202"/>
      <c r="O16" s="198"/>
      <c r="R16" s="198"/>
      <c r="S16" s="79"/>
      <c r="T16" s="198"/>
      <c r="U16" s="198"/>
      <c r="V16" s="198"/>
      <c r="W16" s="198"/>
      <c r="X16" s="199"/>
      <c r="Y16" s="79"/>
      <c r="AE16" s="131"/>
      <c r="AG16" s="106"/>
    </row>
    <row r="17">
      <c r="A17" s="4" t="s">
        <v>22</v>
      </c>
      <c r="B17" s="11">
        <v>14000.0</v>
      </c>
      <c r="C17" s="79"/>
      <c r="D17" s="78"/>
      <c r="E17" s="78"/>
      <c r="F17" s="587"/>
      <c r="G17" s="388"/>
      <c r="H17" s="192"/>
      <c r="I17" s="203"/>
      <c r="J17" s="203"/>
      <c r="K17" s="203"/>
      <c r="L17" s="203"/>
      <c r="M17" s="198"/>
      <c r="N17" s="200"/>
      <c r="O17" s="198"/>
      <c r="P17" s="204"/>
      <c r="R17" s="203"/>
      <c r="S17" s="427"/>
      <c r="T17" s="201"/>
      <c r="U17" s="198"/>
      <c r="V17" s="198"/>
      <c r="W17" s="198"/>
      <c r="X17" s="201"/>
      <c r="Y17" s="79"/>
      <c r="AE17" s="131"/>
      <c r="AG17" s="106"/>
    </row>
    <row r="18">
      <c r="A18" s="4" t="s">
        <v>23</v>
      </c>
      <c r="B18" s="11">
        <f>SUM(B2:AC8)</f>
        <v>14842.81</v>
      </c>
      <c r="C18" s="192"/>
      <c r="D18" s="78"/>
      <c r="E18" s="78"/>
      <c r="F18" s="213"/>
      <c r="G18" s="224"/>
      <c r="H18" s="38"/>
      <c r="I18" s="175"/>
      <c r="J18" s="203"/>
      <c r="K18" s="203"/>
      <c r="L18" s="203"/>
      <c r="M18" s="201"/>
      <c r="N18" s="201"/>
      <c r="O18" s="198"/>
      <c r="P18" s="204"/>
      <c r="R18" s="203"/>
      <c r="S18" s="79"/>
      <c r="T18" s="201"/>
      <c r="U18" s="201"/>
      <c r="V18" s="198"/>
      <c r="W18" s="198"/>
      <c r="X18" s="191"/>
      <c r="Y18" s="79"/>
      <c r="AE18" s="131"/>
      <c r="AG18" s="106"/>
    </row>
    <row r="19">
      <c r="A19" s="4" t="s">
        <v>24</v>
      </c>
      <c r="B19" s="11">
        <f> SUM(B17-B18)</f>
        <v>-842.81</v>
      </c>
      <c r="C19" s="79"/>
      <c r="D19" s="78"/>
      <c r="E19" s="151"/>
      <c r="F19" s="198"/>
      <c r="G19" s="224"/>
      <c r="H19" s="224"/>
      <c r="I19" s="203"/>
      <c r="J19" s="203"/>
      <c r="K19" s="203"/>
      <c r="L19" s="203"/>
      <c r="M19" s="201"/>
      <c r="N19" s="200"/>
      <c r="O19" s="198"/>
      <c r="P19" s="204"/>
      <c r="R19" s="203"/>
      <c r="S19" s="79"/>
      <c r="T19" s="210"/>
      <c r="U19" s="210"/>
      <c r="V19" s="198"/>
      <c r="W19" s="198"/>
      <c r="X19" s="203"/>
      <c r="Y19" s="79"/>
      <c r="AE19" s="131"/>
      <c r="AG19" s="106"/>
    </row>
    <row r="20">
      <c r="C20" s="79"/>
      <c r="E20" s="588" t="s">
        <v>195</v>
      </c>
      <c r="F20" s="198"/>
      <c r="G20" s="388"/>
      <c r="H20" s="224"/>
      <c r="I20" s="345"/>
      <c r="J20" s="203"/>
      <c r="K20" s="203"/>
      <c r="L20" s="203"/>
      <c r="N20" s="198"/>
      <c r="O20" s="198"/>
      <c r="P20" s="204"/>
      <c r="R20" s="203"/>
      <c r="S20" s="79"/>
      <c r="T20" s="198"/>
      <c r="U20" s="428"/>
      <c r="V20" s="198"/>
      <c r="W20" s="201"/>
      <c r="X20" s="203"/>
      <c r="Y20" s="79"/>
      <c r="AE20" s="131"/>
      <c r="AG20" s="106"/>
    </row>
    <row r="21">
      <c r="A21" s="13" t="s">
        <v>25</v>
      </c>
      <c r="B21" s="14">
        <f>SUM(AE2:AE8)</f>
        <v>54703</v>
      </c>
      <c r="C21" s="79"/>
      <c r="D21" s="13" t="s">
        <v>724</v>
      </c>
      <c r="E21" s="445">
        <f>sum(B12:AB13)</f>
        <v>1994.29</v>
      </c>
      <c r="F21" s="589"/>
      <c r="G21" s="224"/>
      <c r="H21" s="224"/>
      <c r="I21" s="203"/>
      <c r="J21" s="203"/>
      <c r="K21" s="203"/>
      <c r="L21" s="203"/>
      <c r="M21" s="203"/>
      <c r="N21" s="198"/>
      <c r="O21" s="198"/>
      <c r="P21" s="204"/>
      <c r="R21" s="203"/>
      <c r="S21" s="79"/>
      <c r="T21" s="198"/>
      <c r="U21" s="198"/>
      <c r="V21" s="198"/>
      <c r="W21" s="198"/>
      <c r="X21" s="203"/>
      <c r="Y21" s="79"/>
      <c r="AE21" s="181"/>
      <c r="AG21" s="106"/>
    </row>
    <row r="22">
      <c r="A22" s="13" t="s">
        <v>26</v>
      </c>
      <c r="B22" s="15">
        <f>B18/B21</f>
        <v>0.2713344789</v>
      </c>
      <c r="C22" s="79"/>
      <c r="D22" s="13" t="s">
        <v>25</v>
      </c>
      <c r="E22" s="445">
        <f>2980</f>
        <v>2980</v>
      </c>
      <c r="F22" s="589"/>
      <c r="G22" s="224"/>
      <c r="H22" s="224"/>
      <c r="I22" s="203"/>
      <c r="J22" s="203"/>
      <c r="K22" s="203"/>
      <c r="L22" s="203"/>
      <c r="M22" s="203"/>
      <c r="N22" s="203"/>
      <c r="O22" s="198"/>
      <c r="P22" s="204"/>
      <c r="R22" s="203"/>
      <c r="S22" s="79"/>
      <c r="T22" s="198"/>
      <c r="U22" s="198"/>
      <c r="V22" s="198"/>
      <c r="W22" s="198"/>
      <c r="X22" s="203"/>
      <c r="Y22" s="79"/>
      <c r="AE22" s="130"/>
      <c r="AG22" s="106"/>
    </row>
    <row r="23">
      <c r="C23" s="79"/>
      <c r="D23" s="448" t="s">
        <v>26</v>
      </c>
      <c r="E23" s="449">
        <f>E21/E22</f>
        <v>0.6692248322</v>
      </c>
      <c r="F23" s="590"/>
      <c r="G23" s="240"/>
      <c r="H23" s="224"/>
      <c r="I23" s="78"/>
      <c r="J23" s="203"/>
      <c r="K23" s="203"/>
      <c r="L23" s="203"/>
      <c r="M23" s="203"/>
      <c r="N23" s="201"/>
      <c r="O23" s="198"/>
      <c r="P23" s="204"/>
      <c r="R23" s="198"/>
      <c r="S23" s="79"/>
      <c r="T23" s="198"/>
      <c r="U23" s="198"/>
      <c r="V23" s="198"/>
      <c r="W23" s="198"/>
      <c r="X23" s="203"/>
      <c r="Y23" s="79"/>
      <c r="AE23" s="182"/>
      <c r="AG23" s="106"/>
    </row>
    <row r="24">
      <c r="C24" s="79"/>
      <c r="D24" s="79"/>
      <c r="E24" s="79"/>
      <c r="F24" s="198"/>
      <c r="G24" s="192"/>
      <c r="H24" s="213"/>
      <c r="I24" s="203"/>
      <c r="J24" s="212"/>
      <c r="K24" s="203"/>
      <c r="L24" s="203"/>
      <c r="M24" s="203"/>
      <c r="N24" s="201"/>
      <c r="O24" s="198"/>
      <c r="P24" s="204"/>
      <c r="R24" s="198"/>
      <c r="S24" s="79"/>
      <c r="T24" s="198"/>
      <c r="U24" s="198"/>
      <c r="V24" s="198"/>
      <c r="W24" s="198"/>
      <c r="X24" s="203"/>
      <c r="Y24" s="79"/>
      <c r="AE24" s="130"/>
      <c r="AG24" s="106"/>
    </row>
    <row r="25">
      <c r="A25" s="16" t="s">
        <v>27</v>
      </c>
      <c r="B25" s="17"/>
      <c r="C25" s="114"/>
      <c r="D25" s="114"/>
      <c r="E25" s="114"/>
      <c r="F25" s="198"/>
      <c r="G25" s="78"/>
      <c r="H25" s="224"/>
      <c r="I25" s="78"/>
      <c r="J25" s="79"/>
      <c r="K25" s="203"/>
      <c r="L25" s="217"/>
      <c r="M25" s="208"/>
      <c r="N25" s="198"/>
      <c r="O25" s="198"/>
      <c r="P25" s="204"/>
      <c r="R25" s="200"/>
      <c r="S25" s="79"/>
      <c r="T25" s="198"/>
      <c r="U25" s="198"/>
      <c r="V25" s="198"/>
      <c r="W25" s="198"/>
      <c r="X25" s="203"/>
      <c r="Y25" s="79"/>
      <c r="AE25" s="130"/>
      <c r="AG25" s="106"/>
    </row>
    <row r="26">
      <c r="A26" s="19" t="s">
        <v>28</v>
      </c>
      <c r="B26" s="20"/>
      <c r="C26" s="116"/>
      <c r="D26" s="116"/>
      <c r="E26" s="116"/>
      <c r="F26" s="198"/>
      <c r="G26" s="212"/>
      <c r="H26" s="213"/>
      <c r="I26" s="224"/>
      <c r="J26" s="78"/>
      <c r="K26" s="203"/>
      <c r="L26" s="203"/>
      <c r="M26" s="209"/>
      <c r="N26" s="201"/>
      <c r="O26" s="198"/>
      <c r="P26" s="204"/>
      <c r="R26" s="198"/>
      <c r="S26" s="79"/>
      <c r="T26" s="198"/>
      <c r="U26" s="198"/>
      <c r="V26" s="198"/>
      <c r="W26" s="198"/>
      <c r="X26" s="203"/>
      <c r="Y26" s="79"/>
      <c r="AE26" s="130"/>
      <c r="AG26" s="106"/>
    </row>
    <row r="27">
      <c r="A27" s="183" t="s">
        <v>29</v>
      </c>
      <c r="B27" s="184" t="s">
        <v>30</v>
      </c>
      <c r="C27" s="183"/>
      <c r="D27" s="183" t="s">
        <v>170</v>
      </c>
      <c r="E27" s="591" t="s">
        <v>171</v>
      </c>
      <c r="F27" s="198"/>
      <c r="G27" s="79"/>
      <c r="H27" s="242"/>
      <c r="I27" s="79"/>
      <c r="J27" s="79"/>
      <c r="K27" s="203"/>
      <c r="L27" s="201"/>
      <c r="M27" s="209"/>
      <c r="N27" s="198"/>
      <c r="O27" s="198"/>
      <c r="P27" s="204"/>
      <c r="R27" s="198"/>
      <c r="S27" s="79"/>
      <c r="T27" s="198"/>
      <c r="U27" s="198"/>
      <c r="V27" s="198"/>
      <c r="W27" s="198"/>
      <c r="X27" s="203"/>
      <c r="Y27" s="79"/>
      <c r="Z27" s="195"/>
      <c r="AE27" s="130"/>
      <c r="AG27" s="106"/>
    </row>
    <row r="28">
      <c r="A28" s="430" t="s">
        <v>843</v>
      </c>
      <c r="B28" s="431">
        <f>1518.19+795.8</f>
        <v>2313.99</v>
      </c>
      <c r="C28" s="432"/>
      <c r="D28" s="432"/>
      <c r="E28" s="432"/>
      <c r="F28" s="204"/>
      <c r="O28" s="79"/>
      <c r="S28" s="79"/>
      <c r="T28" s="79"/>
      <c r="Y28" s="79"/>
      <c r="AE28" s="130"/>
      <c r="AG28" s="106"/>
    </row>
    <row r="29">
      <c r="A29" s="173" t="s">
        <v>844</v>
      </c>
      <c r="B29" s="344">
        <v>330.05</v>
      </c>
      <c r="C29" s="241"/>
      <c r="D29" s="241"/>
      <c r="E29" s="241"/>
      <c r="F29" s="204"/>
      <c r="O29" s="79"/>
      <c r="S29" s="79"/>
      <c r="T29" s="79"/>
      <c r="Y29" s="79"/>
      <c r="AE29" s="130"/>
      <c r="AG29" s="106"/>
    </row>
    <row r="30">
      <c r="C30" s="79"/>
      <c r="D30" s="79"/>
      <c r="E30" s="79"/>
      <c r="O30" s="79"/>
      <c r="S30" s="79"/>
      <c r="T30" s="79"/>
      <c r="Y30" s="79"/>
      <c r="AE30" s="130"/>
      <c r="AG30" s="106"/>
    </row>
    <row r="31">
      <c r="A31" s="274"/>
      <c r="B31" s="275" t="s">
        <v>315</v>
      </c>
      <c r="F31" s="274"/>
      <c r="G31" s="274"/>
      <c r="H31" s="274"/>
      <c r="I31" s="274"/>
      <c r="J31" s="274"/>
      <c r="K31" s="274"/>
      <c r="L31" s="274"/>
      <c r="M31" s="274"/>
      <c r="N31" s="274"/>
      <c r="O31" s="274"/>
      <c r="P31" s="274"/>
      <c r="Q31" s="274"/>
      <c r="R31" s="274"/>
      <c r="S31" s="274"/>
      <c r="T31" s="274"/>
      <c r="U31" s="274"/>
      <c r="V31" s="274"/>
      <c r="W31" s="274"/>
      <c r="X31" s="274"/>
      <c r="Y31" s="274"/>
      <c r="Z31" s="274"/>
      <c r="AA31" s="274"/>
      <c r="AB31" s="274"/>
      <c r="AC31" s="274"/>
      <c r="AD31" s="274"/>
      <c r="AE31" s="276"/>
      <c r="AF31" s="274"/>
      <c r="AG31" s="277"/>
      <c r="AH31" s="274"/>
      <c r="AI31" s="274"/>
      <c r="AJ31" s="274"/>
    </row>
    <row r="32">
      <c r="A32" s="16" t="s">
        <v>316</v>
      </c>
      <c r="B32" s="17"/>
      <c r="C32" s="114"/>
      <c r="D32" s="114"/>
      <c r="E32" s="115"/>
      <c r="I32" s="455" t="s">
        <v>735</v>
      </c>
      <c r="J32" s="17"/>
      <c r="K32" s="114"/>
      <c r="L32" s="114"/>
      <c r="M32" s="115"/>
      <c r="P32" s="79"/>
      <c r="T32" s="79"/>
      <c r="U32" s="79"/>
      <c r="AE32" s="130"/>
      <c r="AG32" s="106"/>
    </row>
    <row r="33">
      <c r="A33" s="19" t="s">
        <v>317</v>
      </c>
      <c r="B33" s="20"/>
      <c r="C33" s="116"/>
      <c r="D33" s="116"/>
      <c r="E33" s="117"/>
      <c r="I33" s="599" t="s">
        <v>736</v>
      </c>
      <c r="J33" s="20"/>
      <c r="K33" s="116"/>
      <c r="L33" s="116"/>
      <c r="M33" s="117"/>
      <c r="P33" s="79"/>
      <c r="T33" s="79"/>
      <c r="U33" s="79"/>
      <c r="AE33" s="130"/>
      <c r="AG33" s="106"/>
    </row>
    <row r="34">
      <c r="A34" s="278" t="s">
        <v>318</v>
      </c>
      <c r="B34" s="279" t="s">
        <v>319</v>
      </c>
      <c r="C34" s="280" t="s">
        <v>285</v>
      </c>
      <c r="D34" s="280" t="s">
        <v>30</v>
      </c>
      <c r="E34" s="281" t="s">
        <v>320</v>
      </c>
      <c r="F34" s="281" t="s">
        <v>321</v>
      </c>
      <c r="H34" s="600" t="s">
        <v>743</v>
      </c>
      <c r="I34" s="507" t="s">
        <v>318</v>
      </c>
      <c r="J34" s="601" t="s">
        <v>319</v>
      </c>
      <c r="K34" s="507" t="s">
        <v>285</v>
      </c>
      <c r="L34" s="507" t="s">
        <v>737</v>
      </c>
      <c r="M34" s="507" t="s">
        <v>738</v>
      </c>
      <c r="N34" s="507" t="s">
        <v>739</v>
      </c>
      <c r="O34" s="602" t="s">
        <v>740</v>
      </c>
      <c r="P34" s="602" t="s">
        <v>741</v>
      </c>
      <c r="Q34" s="602" t="s">
        <v>320</v>
      </c>
      <c r="R34" s="507"/>
      <c r="S34" s="602" t="s">
        <v>740</v>
      </c>
      <c r="T34" s="602" t="s">
        <v>741</v>
      </c>
      <c r="U34" s="602" t="s">
        <v>320</v>
      </c>
      <c r="V34" s="507"/>
      <c r="W34" s="602" t="s">
        <v>740</v>
      </c>
      <c r="X34" s="602" t="s">
        <v>741</v>
      </c>
      <c r="Y34" s="602" t="s">
        <v>320</v>
      </c>
      <c r="AE34" s="130"/>
      <c r="AG34" s="106"/>
    </row>
    <row r="35">
      <c r="A35" s="304" t="s">
        <v>597</v>
      </c>
      <c r="B35" s="305">
        <v>45525.0</v>
      </c>
      <c r="C35" s="234" t="s">
        <v>325</v>
      </c>
      <c r="D35" s="178">
        <v>1420.83</v>
      </c>
      <c r="E35" s="308"/>
      <c r="F35" s="304" t="s">
        <v>829</v>
      </c>
      <c r="H35" s="603">
        <v>0.0</v>
      </c>
      <c r="I35" s="463">
        <v>593114.0</v>
      </c>
      <c r="J35" s="464">
        <v>45595.0</v>
      </c>
      <c r="K35" s="465" t="s">
        <v>437</v>
      </c>
      <c r="L35" s="466">
        <v>6.0</v>
      </c>
      <c r="M35" s="467">
        <v>2575.54</v>
      </c>
      <c r="N35" s="467">
        <v>429.25666666666666</v>
      </c>
      <c r="O35" s="489">
        <v>-2.0</v>
      </c>
      <c r="P35" s="488">
        <v>-858.5133333333333</v>
      </c>
      <c r="Q35" s="604">
        <v>45606.0</v>
      </c>
      <c r="R35" s="583"/>
      <c r="S35" s="605">
        <v>-4.0</v>
      </c>
      <c r="T35" s="594">
        <v>-1717.0266666666666</v>
      </c>
      <c r="U35" s="606">
        <v>45616.0</v>
      </c>
      <c r="V35" s="583"/>
      <c r="W35" s="469"/>
      <c r="X35" s="469"/>
      <c r="Y35" s="469"/>
      <c r="Z35" s="483"/>
      <c r="AA35" s="483"/>
      <c r="AB35" s="483"/>
      <c r="AC35" s="483"/>
      <c r="AD35" s="483"/>
      <c r="AE35" s="492"/>
      <c r="AF35" s="483"/>
      <c r="AG35" s="493"/>
      <c r="AH35" s="483"/>
      <c r="AI35" s="483"/>
      <c r="AJ35" s="483"/>
    </row>
    <row r="36">
      <c r="A36" s="304" t="s">
        <v>622</v>
      </c>
      <c r="B36" s="305">
        <v>45533.0</v>
      </c>
      <c r="C36" s="234" t="s">
        <v>325</v>
      </c>
      <c r="D36" s="178">
        <v>1404.36</v>
      </c>
      <c r="E36" s="308"/>
      <c r="F36" s="304" t="s">
        <v>829</v>
      </c>
      <c r="H36" s="603">
        <v>0.0</v>
      </c>
      <c r="I36" s="463">
        <v>594673.0</v>
      </c>
      <c r="J36" s="464">
        <v>45602.0</v>
      </c>
      <c r="K36" s="465" t="s">
        <v>437</v>
      </c>
      <c r="L36" s="466">
        <v>6.0</v>
      </c>
      <c r="M36" s="467">
        <v>2561.15</v>
      </c>
      <c r="N36" s="467">
        <v>426.85833333333335</v>
      </c>
      <c r="O36" s="596">
        <v>-4.0</v>
      </c>
      <c r="P36" s="597">
        <v>-1707.4333333333334</v>
      </c>
      <c r="Q36" s="607">
        <v>45616.0</v>
      </c>
      <c r="R36" s="583"/>
      <c r="S36" s="430">
        <v>-2.0</v>
      </c>
      <c r="T36" s="617">
        <v>-853.7166666666667</v>
      </c>
      <c r="U36" s="618">
        <v>45620.0</v>
      </c>
      <c r="V36" s="583"/>
      <c r="W36" s="469"/>
      <c r="X36" s="469"/>
      <c r="Y36" s="469"/>
      <c r="AE36" s="130"/>
      <c r="AG36" s="106"/>
    </row>
    <row r="37">
      <c r="A37" s="304" t="s">
        <v>644</v>
      </c>
      <c r="B37" s="305">
        <v>45540.0</v>
      </c>
      <c r="C37" s="234" t="s">
        <v>325</v>
      </c>
      <c r="D37" s="178">
        <v>1415.74</v>
      </c>
      <c r="E37" s="308"/>
      <c r="F37" s="304" t="s">
        <v>829</v>
      </c>
      <c r="H37" s="603">
        <v>3.0</v>
      </c>
      <c r="I37" s="463">
        <v>595849.0</v>
      </c>
      <c r="J37" s="464">
        <v>45604.0</v>
      </c>
      <c r="K37" s="465" t="s">
        <v>437</v>
      </c>
      <c r="L37" s="466">
        <v>3.0</v>
      </c>
      <c r="M37" s="467">
        <v>1262.58</v>
      </c>
      <c r="N37" s="467">
        <v>420.85999999999996</v>
      </c>
      <c r="O37" s="473"/>
      <c r="P37" s="468">
        <v>0.0</v>
      </c>
      <c r="Q37" s="604"/>
      <c r="R37" s="583"/>
      <c r="S37" s="469"/>
      <c r="T37" s="534">
        <v>0.0</v>
      </c>
      <c r="U37" s="469"/>
      <c r="V37" s="583"/>
      <c r="W37" s="469"/>
      <c r="X37" s="469"/>
      <c r="Y37" s="469"/>
      <c r="AE37" s="130"/>
      <c r="AG37" s="106"/>
    </row>
    <row r="38">
      <c r="A38" s="304" t="s">
        <v>660</v>
      </c>
      <c r="B38" s="305">
        <v>45547.0</v>
      </c>
      <c r="C38" s="234" t="s">
        <v>325</v>
      </c>
      <c r="D38" s="178">
        <v>1419.33</v>
      </c>
      <c r="E38" s="308"/>
      <c r="F38" s="304" t="s">
        <v>829</v>
      </c>
      <c r="H38" s="603">
        <v>6.0</v>
      </c>
      <c r="I38" s="463">
        <v>596421.0</v>
      </c>
      <c r="J38" s="464">
        <v>45609.0</v>
      </c>
      <c r="K38" s="465" t="s">
        <v>437</v>
      </c>
      <c r="L38" s="466">
        <v>6.0</v>
      </c>
      <c r="M38" s="467">
        <v>2543.15</v>
      </c>
      <c r="N38" s="467">
        <v>423.85833333333335</v>
      </c>
      <c r="O38" s="473"/>
      <c r="P38" s="468">
        <v>0.0</v>
      </c>
      <c r="Q38" s="604"/>
      <c r="R38" s="583"/>
      <c r="S38" s="469"/>
      <c r="T38" s="534">
        <v>0.0</v>
      </c>
      <c r="U38" s="469"/>
      <c r="V38" s="583"/>
      <c r="W38" s="469"/>
      <c r="X38" s="469"/>
      <c r="Y38" s="469"/>
      <c r="AE38" s="130"/>
      <c r="AG38" s="106"/>
    </row>
    <row r="39">
      <c r="A39" s="304" t="s">
        <v>677</v>
      </c>
      <c r="B39" s="305">
        <v>45554.0</v>
      </c>
      <c r="C39" s="234" t="s">
        <v>325</v>
      </c>
      <c r="D39" s="178">
        <v>1439.4</v>
      </c>
      <c r="E39" s="308"/>
      <c r="F39" s="304" t="s">
        <v>829</v>
      </c>
      <c r="H39" s="603">
        <v>0.0</v>
      </c>
      <c r="I39" s="463"/>
      <c r="J39" s="464"/>
      <c r="K39" s="465"/>
      <c r="L39" s="466"/>
      <c r="M39" s="467"/>
      <c r="N39" s="467"/>
      <c r="O39" s="473"/>
      <c r="P39" s="468"/>
      <c r="Q39" s="604"/>
      <c r="R39" s="583"/>
      <c r="S39" s="469"/>
      <c r="T39" s="534">
        <v>0.0</v>
      </c>
      <c r="U39" s="469"/>
      <c r="V39" s="583"/>
      <c r="W39" s="469"/>
      <c r="X39" s="469"/>
      <c r="Y39" s="469"/>
      <c r="AE39" s="130"/>
      <c r="AG39" s="106"/>
    </row>
    <row r="40">
      <c r="A40" s="304" t="s">
        <v>691</v>
      </c>
      <c r="B40" s="305">
        <v>45561.0</v>
      </c>
      <c r="C40" s="234" t="s">
        <v>325</v>
      </c>
      <c r="D40" s="178">
        <v>777.2</v>
      </c>
      <c r="E40" s="308"/>
      <c r="F40" s="304" t="s">
        <v>829</v>
      </c>
      <c r="H40" s="610">
        <v>0.0</v>
      </c>
      <c r="I40" s="619">
        <v>598254.0</v>
      </c>
      <c r="J40" s="620">
        <v>45616.0</v>
      </c>
      <c r="K40" s="430" t="s">
        <v>437</v>
      </c>
      <c r="L40" s="621">
        <v>6.0</v>
      </c>
      <c r="M40" s="622">
        <v>2686.83</v>
      </c>
      <c r="N40" s="622">
        <v>447.805</v>
      </c>
      <c r="O40" s="623">
        <v>-6.0</v>
      </c>
      <c r="P40" s="622">
        <v>-2686.83</v>
      </c>
      <c r="Q40" s="618">
        <v>45620.0</v>
      </c>
      <c r="R40" s="615"/>
      <c r="S40" s="486"/>
      <c r="T40" s="534">
        <v>0.0</v>
      </c>
      <c r="U40" s="490"/>
      <c r="V40" s="615"/>
      <c r="W40" s="469"/>
      <c r="X40" s="469"/>
      <c r="Y40" s="469"/>
      <c r="AE40" s="130"/>
      <c r="AG40" s="106"/>
    </row>
    <row r="41">
      <c r="A41" s="304" t="s">
        <v>703</v>
      </c>
      <c r="B41" s="305">
        <v>45568.0</v>
      </c>
      <c r="C41" s="234" t="s">
        <v>325</v>
      </c>
      <c r="D41" s="178">
        <v>1421.43</v>
      </c>
      <c r="E41" s="308"/>
      <c r="F41" s="304" t="s">
        <v>829</v>
      </c>
      <c r="H41" s="610">
        <v>0.0</v>
      </c>
      <c r="I41" s="619">
        <v>599453.0</v>
      </c>
      <c r="J41" s="620">
        <v>45618.0</v>
      </c>
      <c r="K41" s="430" t="s">
        <v>437</v>
      </c>
      <c r="L41" s="621">
        <v>2.0</v>
      </c>
      <c r="M41" s="622">
        <v>848.72</v>
      </c>
      <c r="N41" s="622">
        <v>424.36</v>
      </c>
      <c r="O41" s="623">
        <v>-2.0</v>
      </c>
      <c r="P41" s="622">
        <v>-848.72</v>
      </c>
      <c r="Q41" s="618">
        <v>45620.0</v>
      </c>
      <c r="R41" s="583"/>
      <c r="S41" s="469"/>
      <c r="T41" s="534">
        <v>0.0</v>
      </c>
      <c r="U41" s="469"/>
      <c r="V41" s="583"/>
      <c r="W41" s="469"/>
      <c r="X41" s="469"/>
      <c r="Y41" s="469"/>
      <c r="AE41" s="130"/>
      <c r="AG41" s="106"/>
    </row>
    <row r="42">
      <c r="A42" s="304" t="s">
        <v>747</v>
      </c>
      <c r="B42" s="305">
        <v>45574.0</v>
      </c>
      <c r="C42" s="234" t="s">
        <v>325</v>
      </c>
      <c r="D42" s="178">
        <v>1449.58</v>
      </c>
      <c r="E42" s="308"/>
      <c r="F42" s="304" t="s">
        <v>829</v>
      </c>
      <c r="H42" s="603">
        <v>0.0</v>
      </c>
      <c r="I42" s="463">
        <v>599859.0</v>
      </c>
      <c r="J42" s="464">
        <v>45623.0</v>
      </c>
      <c r="K42" s="465" t="s">
        <v>437</v>
      </c>
      <c r="L42" s="466">
        <v>6.0</v>
      </c>
      <c r="M42" s="467">
        <v>2541.65</v>
      </c>
      <c r="N42" s="467">
        <v>423.60833333333335</v>
      </c>
      <c r="O42" s="623">
        <v>-2.0</v>
      </c>
      <c r="P42" s="622">
        <v>-847.2166666666667</v>
      </c>
      <c r="Q42" s="624"/>
      <c r="R42" s="583"/>
      <c r="S42" s="377">
        <v>-4.0</v>
      </c>
      <c r="T42" s="627">
        <v>-1694.4333333333334</v>
      </c>
      <c r="U42" s="628">
        <v>45634.0</v>
      </c>
      <c r="V42" s="583"/>
      <c r="W42" s="469"/>
      <c r="X42" s="469"/>
      <c r="Y42" s="469"/>
      <c r="AE42" s="130"/>
      <c r="AG42" s="106"/>
    </row>
    <row r="43">
      <c r="A43" s="304" t="s">
        <v>769</v>
      </c>
      <c r="B43" s="305">
        <v>45581.0</v>
      </c>
      <c r="C43" s="234" t="s">
        <v>325</v>
      </c>
      <c r="D43" s="178">
        <v>1436.0</v>
      </c>
      <c r="E43" s="308"/>
      <c r="F43" s="304" t="s">
        <v>829</v>
      </c>
      <c r="H43" s="603">
        <v>0.0</v>
      </c>
      <c r="I43" s="463">
        <v>601662.0</v>
      </c>
      <c r="J43" s="357">
        <v>45630.0</v>
      </c>
      <c r="K43" s="46" t="s">
        <v>437</v>
      </c>
      <c r="L43" s="612">
        <v>6.0</v>
      </c>
      <c r="M43" s="613">
        <v>2575.24</v>
      </c>
      <c r="N43" s="613">
        <v>429.20666666666665</v>
      </c>
      <c r="O43" s="360">
        <v>-2.0</v>
      </c>
      <c r="P43" s="613">
        <v>-858.4133333333333</v>
      </c>
      <c r="Q43" s="624"/>
      <c r="R43" s="583"/>
      <c r="S43" s="377">
        <v>-3.0</v>
      </c>
      <c r="T43" s="627">
        <v>-1287.62</v>
      </c>
      <c r="U43" s="628">
        <v>45634.0</v>
      </c>
      <c r="V43" s="583"/>
      <c r="W43" s="377">
        <v>-1.0</v>
      </c>
      <c r="X43" s="627">
        <v>-429.20666666666665</v>
      </c>
      <c r="Y43" s="628">
        <v>45634.0</v>
      </c>
      <c r="AE43" s="130"/>
      <c r="AG43" s="106"/>
    </row>
    <row r="44">
      <c r="A44" s="304" t="s">
        <v>786</v>
      </c>
      <c r="B44" s="305">
        <v>45588.0</v>
      </c>
      <c r="C44" s="234" t="s">
        <v>325</v>
      </c>
      <c r="D44" s="178">
        <v>823.39</v>
      </c>
      <c r="E44" s="308"/>
      <c r="F44" s="304" t="s">
        <v>829</v>
      </c>
      <c r="H44" s="603">
        <v>0.0</v>
      </c>
      <c r="I44" s="463">
        <v>603084.0</v>
      </c>
      <c r="J44" s="464">
        <v>45637.0</v>
      </c>
      <c r="K44" s="465" t="s">
        <v>437</v>
      </c>
      <c r="L44" s="466">
        <v>6.0</v>
      </c>
      <c r="M44" s="467">
        <v>2704.75</v>
      </c>
      <c r="N44" s="467">
        <v>450.7916666666667</v>
      </c>
      <c r="O44" s="360">
        <v>-1.0</v>
      </c>
      <c r="P44" s="613">
        <v>-450.7916666666667</v>
      </c>
      <c r="Q44" s="624"/>
      <c r="R44" s="583"/>
      <c r="S44" s="46">
        <v>-5.0</v>
      </c>
      <c r="T44" s="608">
        <v>-2253.9583333333335</v>
      </c>
      <c r="U44" s="469"/>
      <c r="V44" s="583"/>
      <c r="W44" s="469"/>
      <c r="X44" s="469"/>
      <c r="Y44" s="469"/>
      <c r="AE44" s="130"/>
      <c r="AG44" s="106"/>
    </row>
    <row r="45">
      <c r="A45" s="289" t="s">
        <v>802</v>
      </c>
      <c r="B45" s="290">
        <v>45595.0</v>
      </c>
      <c r="C45" s="173" t="s">
        <v>325</v>
      </c>
      <c r="D45" s="180">
        <v>817.04</v>
      </c>
      <c r="E45" s="336"/>
      <c r="F45" s="173" t="s">
        <v>830</v>
      </c>
      <c r="H45" s="603">
        <v>0.0</v>
      </c>
      <c r="I45" s="463">
        <v>605307.0</v>
      </c>
      <c r="J45" s="464">
        <v>45644.0</v>
      </c>
      <c r="K45" s="465" t="s">
        <v>437</v>
      </c>
      <c r="L45" s="466">
        <v>6.0</v>
      </c>
      <c r="M45" s="467">
        <v>2855.16</v>
      </c>
      <c r="N45" s="467">
        <v>450.7916666666667</v>
      </c>
      <c r="O45" s="468"/>
      <c r="P45" s="468"/>
      <c r="Q45" s="624"/>
      <c r="R45" s="583"/>
      <c r="S45" s="469"/>
      <c r="T45" s="469"/>
      <c r="U45" s="469"/>
      <c r="V45" s="583"/>
      <c r="W45" s="469"/>
      <c r="X45" s="469"/>
      <c r="Y45" s="469"/>
      <c r="AE45" s="130"/>
      <c r="AG45" s="106"/>
    </row>
    <row r="46">
      <c r="A46" s="289" t="s">
        <v>810</v>
      </c>
      <c r="B46" s="290">
        <v>45602.0</v>
      </c>
      <c r="C46" s="173" t="s">
        <v>325</v>
      </c>
      <c r="D46" s="180">
        <v>817.64</v>
      </c>
      <c r="E46" s="336"/>
      <c r="F46" s="173" t="s">
        <v>830</v>
      </c>
      <c r="H46" s="603">
        <v>0.0</v>
      </c>
      <c r="I46" s="463">
        <v>606415.0</v>
      </c>
      <c r="J46" s="464">
        <v>45646.0</v>
      </c>
      <c r="K46" s="465" t="s">
        <v>437</v>
      </c>
      <c r="L46" s="466">
        <v>2.0</v>
      </c>
      <c r="M46" s="467"/>
      <c r="N46" s="467"/>
      <c r="O46" s="468"/>
      <c r="P46" s="468"/>
      <c r="Q46" s="624"/>
      <c r="R46" s="583"/>
      <c r="S46" s="469"/>
      <c r="T46" s="469"/>
      <c r="U46" s="469"/>
      <c r="V46" s="583"/>
      <c r="W46" s="469"/>
      <c r="X46" s="469"/>
      <c r="Y46" s="469"/>
      <c r="AE46" s="130"/>
      <c r="AG46" s="106"/>
    </row>
    <row r="47">
      <c r="A47" s="289" t="s">
        <v>824</v>
      </c>
      <c r="B47" s="290">
        <v>45609.0</v>
      </c>
      <c r="C47" s="173" t="s">
        <v>325</v>
      </c>
      <c r="D47" s="180">
        <v>829.32</v>
      </c>
      <c r="E47" s="336"/>
      <c r="F47" s="173" t="s">
        <v>830</v>
      </c>
      <c r="H47" s="603">
        <v>0.0</v>
      </c>
      <c r="I47" s="473"/>
      <c r="J47" s="464"/>
      <c r="K47" s="465" t="s">
        <v>437</v>
      </c>
      <c r="L47" s="466"/>
      <c r="M47" s="467"/>
      <c r="N47" s="467"/>
      <c r="O47" s="473"/>
      <c r="P47" s="468"/>
      <c r="Q47" s="624"/>
      <c r="R47" s="583"/>
      <c r="S47" s="469"/>
      <c r="T47" s="469"/>
      <c r="U47" s="469"/>
      <c r="V47" s="583"/>
      <c r="W47" s="469"/>
      <c r="X47" s="469"/>
      <c r="Y47" s="469"/>
      <c r="AE47" s="130"/>
      <c r="AG47" s="106"/>
    </row>
    <row r="48">
      <c r="A48" s="289" t="s">
        <v>831</v>
      </c>
      <c r="B48" s="290">
        <v>45616.0</v>
      </c>
      <c r="C48" s="173" t="s">
        <v>325</v>
      </c>
      <c r="D48" s="180">
        <v>860.13</v>
      </c>
      <c r="E48" s="336"/>
      <c r="F48" s="173" t="s">
        <v>830</v>
      </c>
      <c r="P48" s="79"/>
      <c r="T48" s="79"/>
      <c r="U48" s="79"/>
      <c r="AE48" s="130"/>
      <c r="AG48" s="106"/>
    </row>
    <row r="49">
      <c r="A49" s="282" t="s">
        <v>667</v>
      </c>
      <c r="B49" s="283">
        <v>45546.0</v>
      </c>
      <c r="C49" s="166" t="s">
        <v>668</v>
      </c>
      <c r="D49" s="93">
        <f>608.6</f>
        <v>608.6</v>
      </c>
      <c r="E49" s="291" t="s">
        <v>704</v>
      </c>
      <c r="F49" s="6">
        <f>D49/2</f>
        <v>304.3</v>
      </c>
      <c r="H49" s="479" t="s">
        <v>287</v>
      </c>
      <c r="I49" s="32" t="s">
        <v>748</v>
      </c>
      <c r="J49" s="479" t="s">
        <v>749</v>
      </c>
      <c r="K49" s="479" t="s">
        <v>750</v>
      </c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AE49" s="130"/>
      <c r="AG49" s="106"/>
    </row>
    <row r="50">
      <c r="A50" s="282" t="s">
        <v>681</v>
      </c>
      <c r="B50" s="283">
        <v>45555.0</v>
      </c>
      <c r="C50" s="166" t="s">
        <v>664</v>
      </c>
      <c r="D50" s="93">
        <v>785.6</v>
      </c>
      <c r="E50" s="291"/>
      <c r="F50" s="6"/>
      <c r="H50" s="286">
        <v>45578.0</v>
      </c>
      <c r="I50" s="32">
        <v>6.0</v>
      </c>
      <c r="J50" s="480">
        <v>2413.68</v>
      </c>
      <c r="K50" s="479" t="s">
        <v>751</v>
      </c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AE50" s="130"/>
      <c r="AG50" s="106"/>
    </row>
    <row r="51">
      <c r="A51" s="282" t="s">
        <v>709</v>
      </c>
      <c r="B51" s="283">
        <v>45570.0</v>
      </c>
      <c r="C51" s="166" t="s">
        <v>710</v>
      </c>
      <c r="D51" s="93">
        <v>1001.8</v>
      </c>
      <c r="E51" s="291" t="s">
        <v>804</v>
      </c>
      <c r="F51" s="6">
        <f>-250.45-250.45</f>
        <v>-500.9</v>
      </c>
      <c r="H51" s="286">
        <v>45578.0</v>
      </c>
      <c r="I51" s="32">
        <v>3.0</v>
      </c>
      <c r="J51" s="480">
        <v>1202.87</v>
      </c>
      <c r="K51" s="479" t="s">
        <v>752</v>
      </c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AE51" s="130"/>
      <c r="AG51" s="106"/>
    </row>
    <row r="52">
      <c r="A52" s="282" t="s">
        <v>715</v>
      </c>
      <c r="B52" s="283">
        <v>45570.0</v>
      </c>
      <c r="C52" s="166" t="s">
        <v>716</v>
      </c>
      <c r="D52" s="93">
        <f>299.8-5.8</f>
        <v>294</v>
      </c>
      <c r="E52" s="291"/>
      <c r="F52" s="6"/>
      <c r="H52" s="504">
        <v>45585.0</v>
      </c>
      <c r="I52" s="479">
        <v>1.0</v>
      </c>
      <c r="J52" s="505">
        <v>403.0566666666667</v>
      </c>
      <c r="K52" s="479" t="s">
        <v>751</v>
      </c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AE52" s="130"/>
      <c r="AG52" s="106"/>
    </row>
    <row r="53">
      <c r="A53" s="282" t="s">
        <v>753</v>
      </c>
      <c r="B53" s="283">
        <v>45574.0</v>
      </c>
      <c r="C53" s="166" t="s">
        <v>754</v>
      </c>
      <c r="D53" s="93">
        <v>237.1</v>
      </c>
      <c r="E53" s="291"/>
      <c r="F53" s="6"/>
      <c r="H53" s="504">
        <v>45585.0</v>
      </c>
      <c r="I53" s="479">
        <v>6.0</v>
      </c>
      <c r="J53" s="505">
        <v>2399.445</v>
      </c>
      <c r="K53" s="479" t="s">
        <v>751</v>
      </c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AE53" s="130"/>
      <c r="AG53" s="106"/>
    </row>
    <row r="54">
      <c r="A54" s="282" t="s">
        <v>755</v>
      </c>
      <c r="B54" s="283">
        <v>45576.0</v>
      </c>
      <c r="C54" s="166" t="s">
        <v>756</v>
      </c>
      <c r="D54" s="93">
        <v>504.64</v>
      </c>
      <c r="E54" s="291"/>
      <c r="F54" s="6"/>
      <c r="H54" s="504">
        <v>45592.0</v>
      </c>
      <c r="I54" s="479">
        <v>6.0</v>
      </c>
      <c r="J54" s="505">
        <v>2372.855</v>
      </c>
      <c r="K54" s="479" t="s">
        <v>751</v>
      </c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AE54" s="130"/>
      <c r="AG54" s="106"/>
    </row>
    <row r="55">
      <c r="A55" s="282" t="s">
        <v>758</v>
      </c>
      <c r="B55" s="283">
        <v>45561.0</v>
      </c>
      <c r="C55" s="166" t="s">
        <v>536</v>
      </c>
      <c r="D55" s="93">
        <v>1160.0</v>
      </c>
      <c r="E55" s="291" t="s">
        <v>805</v>
      </c>
      <c r="F55" s="6">
        <f>-386.67-386.67</f>
        <v>-773.34</v>
      </c>
      <c r="H55" s="504">
        <v>45599.0</v>
      </c>
      <c r="I55" s="479">
        <v>6.0</v>
      </c>
      <c r="J55" s="505">
        <v>2362.5933333333332</v>
      </c>
      <c r="K55" s="479" t="s">
        <v>751</v>
      </c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AE55" s="130"/>
      <c r="AG55" s="106"/>
    </row>
    <row r="56">
      <c r="A56" s="282" t="s">
        <v>806</v>
      </c>
      <c r="B56" s="283">
        <v>45581.0</v>
      </c>
      <c r="C56" s="166" t="s">
        <v>774</v>
      </c>
      <c r="D56" s="93">
        <f>547-15</f>
        <v>532</v>
      </c>
      <c r="E56" s="503"/>
      <c r="F56" s="478"/>
      <c r="H56" s="504">
        <v>45606.0</v>
      </c>
      <c r="I56" s="479">
        <v>8.0</v>
      </c>
      <c r="J56" s="505">
        <v>3412.1633333333334</v>
      </c>
      <c r="K56" s="479" t="s">
        <v>751</v>
      </c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AE56" s="130"/>
      <c r="AG56" s="106"/>
    </row>
    <row r="57">
      <c r="A57" s="282" t="s">
        <v>775</v>
      </c>
      <c r="B57" s="283">
        <v>45581.0</v>
      </c>
      <c r="C57" s="166" t="s">
        <v>712</v>
      </c>
      <c r="D57" s="93">
        <f>421.43-5</f>
        <v>416.43</v>
      </c>
      <c r="E57" s="291"/>
      <c r="F57" s="6"/>
      <c r="H57" s="584">
        <v>45606.0</v>
      </c>
      <c r="I57" s="585">
        <v>1.0</v>
      </c>
      <c r="J57" s="586">
        <v>393.7266666666667</v>
      </c>
      <c r="K57" s="585" t="s">
        <v>811</v>
      </c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AE57" s="130"/>
      <c r="AG57" s="106"/>
    </row>
    <row r="58">
      <c r="A58" s="282" t="s">
        <v>776</v>
      </c>
      <c r="B58" s="283">
        <v>45583.0</v>
      </c>
      <c r="C58" s="166" t="s">
        <v>777</v>
      </c>
      <c r="D58" s="93">
        <v>91.02</v>
      </c>
      <c r="E58" s="291"/>
      <c r="F58" s="6"/>
      <c r="H58" s="286">
        <v>45613.0</v>
      </c>
      <c r="I58" s="479">
        <v>8.0</v>
      </c>
      <c r="J58" s="505">
        <v>3424.46</v>
      </c>
      <c r="K58" s="479" t="s">
        <v>751</v>
      </c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AE58" s="130"/>
      <c r="AG58" s="106"/>
    </row>
    <row r="59">
      <c r="A59" s="282" t="s">
        <v>778</v>
      </c>
      <c r="B59" s="283">
        <v>45580.0</v>
      </c>
      <c r="C59" s="166" t="s">
        <v>626</v>
      </c>
      <c r="D59" s="93">
        <v>1629.6</v>
      </c>
      <c r="E59" s="337">
        <v>45595.0</v>
      </c>
      <c r="F59" s="6">
        <f>-543.2</f>
        <v>-543.2</v>
      </c>
      <c r="H59" s="286">
        <v>45620.0</v>
      </c>
      <c r="I59" s="479">
        <v>8.0</v>
      </c>
      <c r="J59" s="505">
        <v>3535.55</v>
      </c>
      <c r="K59" s="479" t="s">
        <v>751</v>
      </c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AE59" s="130"/>
      <c r="AG59" s="106"/>
    </row>
    <row r="60">
      <c r="A60" s="282" t="s">
        <v>812</v>
      </c>
      <c r="B60" s="283">
        <v>45589.0</v>
      </c>
      <c r="C60" s="166" t="s">
        <v>813</v>
      </c>
      <c r="D60" s="93">
        <v>565.5</v>
      </c>
      <c r="E60" s="291"/>
      <c r="F60" s="6"/>
      <c r="H60" s="286">
        <v>45620.0</v>
      </c>
      <c r="I60" s="479">
        <v>2.0</v>
      </c>
      <c r="J60" s="479">
        <v>853.72</v>
      </c>
      <c r="K60" s="479" t="s">
        <v>839</v>
      </c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AE60" s="130"/>
      <c r="AG60" s="106"/>
    </row>
    <row r="61">
      <c r="A61" s="282" t="s">
        <v>814</v>
      </c>
      <c r="B61" s="283">
        <v>45602.0</v>
      </c>
      <c r="C61" s="166" t="s">
        <v>712</v>
      </c>
      <c r="D61" s="93">
        <f>423.86-15</f>
        <v>408.86</v>
      </c>
      <c r="E61" s="291"/>
      <c r="F61" s="6"/>
      <c r="H61" s="286">
        <v>45627.0</v>
      </c>
      <c r="I61" s="479">
        <v>2.0</v>
      </c>
      <c r="J61" s="479">
        <v>847.22</v>
      </c>
      <c r="K61" s="479" t="s">
        <v>751</v>
      </c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AE61" s="130"/>
      <c r="AG61" s="106"/>
    </row>
    <row r="62">
      <c r="A62" s="282" t="s">
        <v>815</v>
      </c>
      <c r="B62" s="283">
        <v>45602.0</v>
      </c>
      <c r="C62" s="166" t="s">
        <v>710</v>
      </c>
      <c r="D62" s="93">
        <v>1767.68</v>
      </c>
      <c r="E62" s="291"/>
      <c r="F62" s="6"/>
      <c r="H62" s="504">
        <v>45634.0</v>
      </c>
      <c r="I62" s="479">
        <v>7.0</v>
      </c>
      <c r="J62" s="505">
        <v>2982.0533333333333</v>
      </c>
      <c r="K62" s="479" t="s">
        <v>751</v>
      </c>
      <c r="M62" s="79"/>
      <c r="N62" s="481"/>
      <c r="O62" s="545"/>
      <c r="P62" s="79"/>
      <c r="Q62" s="481"/>
      <c r="R62" s="481"/>
      <c r="S62" s="545"/>
      <c r="T62" s="545"/>
      <c r="U62" s="481"/>
      <c r="V62" s="481"/>
      <c r="W62" s="481"/>
      <c r="X62" s="481"/>
      <c r="Y62" s="545"/>
      <c r="AE62" s="130"/>
      <c r="AG62" s="106"/>
    </row>
    <row r="63">
      <c r="A63" s="282" t="s">
        <v>816</v>
      </c>
      <c r="B63" s="283">
        <v>45593.0</v>
      </c>
      <c r="C63" s="166" t="s">
        <v>408</v>
      </c>
      <c r="D63" s="93">
        <v>446.0</v>
      </c>
      <c r="E63" s="291"/>
      <c r="F63" s="6"/>
      <c r="H63" s="286">
        <v>45634.0</v>
      </c>
      <c r="I63" s="479">
        <v>1.0</v>
      </c>
      <c r="J63" s="479">
        <v>429.20666666666665</v>
      </c>
      <c r="K63" s="479" t="s">
        <v>839</v>
      </c>
      <c r="M63" s="79"/>
      <c r="N63" s="545"/>
      <c r="O63" s="545"/>
      <c r="P63" s="626"/>
      <c r="Q63" s="545"/>
      <c r="R63" s="545"/>
      <c r="S63" s="545"/>
      <c r="T63" s="545"/>
      <c r="U63" s="545"/>
      <c r="V63" s="545"/>
      <c r="W63" s="545"/>
      <c r="X63" s="545"/>
      <c r="Y63" s="545"/>
      <c r="AE63" s="130"/>
      <c r="AG63" s="106"/>
    </row>
    <row r="64">
      <c r="A64" s="282" t="s">
        <v>825</v>
      </c>
      <c r="B64" s="283">
        <v>45611.0</v>
      </c>
      <c r="C64" s="166" t="s">
        <v>710</v>
      </c>
      <c r="D64" s="93">
        <v>1114.06</v>
      </c>
      <c r="E64" s="291"/>
      <c r="F64" s="6"/>
      <c r="H64" s="634">
        <v>45641.0</v>
      </c>
      <c r="I64" s="479">
        <v>3.0</v>
      </c>
      <c r="J64" s="505">
        <v>1309.205</v>
      </c>
      <c r="K64" s="479" t="s">
        <v>839</v>
      </c>
      <c r="M64" s="79"/>
      <c r="N64" s="626"/>
      <c r="O64" s="626"/>
      <c r="P64" s="626"/>
      <c r="Q64" s="626"/>
      <c r="R64" s="626"/>
      <c r="S64" s="626"/>
      <c r="T64" s="626"/>
      <c r="U64" s="626"/>
      <c r="V64" s="626"/>
      <c r="W64" s="626"/>
      <c r="X64" s="626"/>
      <c r="Y64" s="626"/>
      <c r="AE64" s="130"/>
      <c r="AG64" s="106"/>
    </row>
    <row r="65">
      <c r="A65" s="282" t="s">
        <v>826</v>
      </c>
      <c r="B65" s="283">
        <v>45608.0</v>
      </c>
      <c r="C65" s="166" t="s">
        <v>827</v>
      </c>
      <c r="D65" s="93">
        <v>1432.76</v>
      </c>
      <c r="E65" s="291"/>
      <c r="F65" s="6"/>
      <c r="H65" s="634">
        <v>45641.0</v>
      </c>
      <c r="I65" s="479">
        <v>5.0</v>
      </c>
      <c r="J65" s="505">
        <v>2253.9583333333335</v>
      </c>
      <c r="K65" s="479" t="s">
        <v>751</v>
      </c>
      <c r="L65" s="625"/>
      <c r="M65" s="79"/>
      <c r="N65" s="626"/>
      <c r="O65" s="626"/>
      <c r="P65" s="626"/>
      <c r="Q65" s="626"/>
      <c r="R65" s="626"/>
      <c r="S65" s="626"/>
      <c r="T65" s="626"/>
      <c r="U65" s="626"/>
      <c r="V65" s="626"/>
      <c r="W65" s="626"/>
      <c r="X65" s="626"/>
      <c r="Y65" s="626"/>
      <c r="AE65" s="130"/>
      <c r="AG65" s="106"/>
    </row>
    <row r="66">
      <c r="A66" s="282" t="s">
        <v>834</v>
      </c>
      <c r="B66" s="283">
        <v>45622.0</v>
      </c>
      <c r="C66" s="166" t="s">
        <v>710</v>
      </c>
      <c r="D66" s="93">
        <v>1232.18</v>
      </c>
      <c r="E66" s="291"/>
      <c r="F66" s="6"/>
      <c r="H66" s="479"/>
      <c r="I66" s="481"/>
      <c r="J66" s="481"/>
      <c r="K66" s="481"/>
      <c r="L66" s="625"/>
      <c r="M66" s="79"/>
      <c r="N66" s="626"/>
      <c r="O66" s="626"/>
      <c r="P66" s="626"/>
      <c r="Q66" s="626"/>
      <c r="R66" s="626"/>
      <c r="S66" s="626"/>
      <c r="T66" s="626"/>
      <c r="U66" s="626"/>
      <c r="V66" s="626"/>
      <c r="W66" s="626"/>
      <c r="X66" s="626"/>
      <c r="Y66" s="626"/>
      <c r="AE66" s="130"/>
      <c r="AG66" s="106"/>
    </row>
    <row r="67">
      <c r="A67" s="282" t="s">
        <v>840</v>
      </c>
      <c r="B67" s="283">
        <v>45638.0</v>
      </c>
      <c r="C67" s="166" t="s">
        <v>841</v>
      </c>
      <c r="D67" s="93">
        <v>971.63</v>
      </c>
      <c r="E67" s="291"/>
      <c r="F67" s="6"/>
      <c r="H67" s="479"/>
      <c r="I67" s="481"/>
      <c r="J67" s="481"/>
      <c r="K67" s="481"/>
      <c r="L67" s="625"/>
      <c r="M67" s="79"/>
      <c r="N67" s="626"/>
      <c r="O67" s="626"/>
      <c r="P67" s="626"/>
      <c r="Q67" s="626"/>
      <c r="R67" s="626"/>
      <c r="S67" s="626"/>
      <c r="T67" s="626"/>
      <c r="U67" s="626"/>
      <c r="V67" s="626"/>
      <c r="W67" s="626"/>
      <c r="X67" s="626"/>
      <c r="Y67" s="626"/>
      <c r="AE67" s="130"/>
      <c r="AG67" s="106"/>
    </row>
    <row r="68">
      <c r="A68" s="282" t="s">
        <v>842</v>
      </c>
      <c r="B68" s="283">
        <v>45640.0</v>
      </c>
      <c r="C68" s="166" t="s">
        <v>608</v>
      </c>
      <c r="D68" s="93">
        <v>224.47</v>
      </c>
      <c r="E68" s="291"/>
      <c r="F68" s="6"/>
      <c r="H68" s="479"/>
      <c r="I68" s="481"/>
      <c r="J68" s="481"/>
      <c r="K68" s="481"/>
      <c r="L68" s="625"/>
      <c r="M68" s="79"/>
      <c r="N68" s="626"/>
      <c r="O68" s="626"/>
      <c r="P68" s="626"/>
      <c r="Q68" s="626"/>
      <c r="R68" s="626"/>
      <c r="S68" s="626"/>
      <c r="T68" s="626"/>
      <c r="U68" s="626"/>
      <c r="V68" s="626"/>
      <c r="W68" s="626"/>
      <c r="X68" s="626"/>
      <c r="Y68" s="626"/>
      <c r="AE68" s="130"/>
      <c r="AG68" s="106"/>
    </row>
    <row r="69">
      <c r="A69" s="282" t="s">
        <v>842</v>
      </c>
      <c r="B69" s="283">
        <v>45644.0</v>
      </c>
      <c r="C69" s="166" t="s">
        <v>845</v>
      </c>
      <c r="D69" s="93">
        <v>1518.19</v>
      </c>
      <c r="E69" s="291"/>
      <c r="F69" s="6"/>
      <c r="H69" s="479"/>
      <c r="I69" s="481"/>
      <c r="J69" s="481"/>
      <c r="K69" s="481"/>
      <c r="L69" s="625"/>
      <c r="M69" s="79"/>
      <c r="N69" s="626"/>
      <c r="O69" s="626"/>
      <c r="P69" s="626"/>
      <c r="Q69" s="626"/>
      <c r="R69" s="626"/>
      <c r="S69" s="626"/>
      <c r="T69" s="626"/>
      <c r="U69" s="626"/>
      <c r="V69" s="626"/>
      <c r="W69" s="626"/>
      <c r="X69" s="626"/>
      <c r="Y69" s="626"/>
      <c r="AE69" s="130"/>
      <c r="AG69" s="106"/>
    </row>
    <row r="70">
      <c r="A70" s="282"/>
      <c r="B70" s="283"/>
      <c r="C70" s="166"/>
      <c r="D70" s="93"/>
      <c r="E70" s="291"/>
      <c r="F70" s="6"/>
      <c r="H70" s="479"/>
      <c r="I70" s="481"/>
      <c r="J70" s="481"/>
      <c r="K70" s="481"/>
      <c r="L70" s="625"/>
      <c r="M70" s="79"/>
      <c r="N70" s="626"/>
      <c r="O70" s="626"/>
      <c r="P70" s="626"/>
      <c r="Q70" s="626"/>
      <c r="R70" s="626"/>
      <c r="S70" s="626"/>
      <c r="T70" s="626"/>
      <c r="U70" s="626"/>
      <c r="V70" s="626"/>
      <c r="W70" s="626"/>
      <c r="X70" s="626"/>
      <c r="Y70" s="626"/>
      <c r="AE70" s="130"/>
      <c r="AG70" s="106"/>
    </row>
    <row r="71">
      <c r="A71" s="282"/>
      <c r="B71" s="283"/>
      <c r="C71" s="166"/>
      <c r="D71" s="93"/>
      <c r="E71" s="291"/>
      <c r="F71" s="6"/>
      <c r="H71" s="479"/>
      <c r="I71" s="481"/>
      <c r="J71" s="481"/>
      <c r="K71" s="481"/>
      <c r="L71" s="625"/>
      <c r="M71" s="79"/>
      <c r="N71" s="626"/>
      <c r="O71" s="626"/>
      <c r="P71" s="626"/>
      <c r="Q71" s="626"/>
      <c r="R71" s="626"/>
      <c r="S71" s="626"/>
      <c r="T71" s="626"/>
      <c r="U71" s="626"/>
      <c r="V71" s="626"/>
      <c r="W71" s="626"/>
      <c r="X71" s="626"/>
      <c r="Y71" s="626"/>
      <c r="AE71" s="130"/>
      <c r="AG71" s="106"/>
    </row>
    <row r="72">
      <c r="A72" s="282"/>
      <c r="B72" s="283"/>
      <c r="C72" s="166"/>
      <c r="D72" s="93"/>
      <c r="E72" s="291"/>
      <c r="F72" s="6"/>
      <c r="H72" s="479"/>
      <c r="I72" s="481"/>
      <c r="J72" s="481"/>
      <c r="K72" s="481"/>
      <c r="L72" s="625"/>
      <c r="M72" s="79"/>
      <c r="N72" s="626"/>
      <c r="O72" s="626"/>
      <c r="P72" s="626"/>
      <c r="Q72" s="626"/>
      <c r="R72" s="626"/>
      <c r="S72" s="626"/>
      <c r="T72" s="626"/>
      <c r="U72" s="626"/>
      <c r="V72" s="626"/>
      <c r="W72" s="626"/>
      <c r="X72" s="626"/>
      <c r="Y72" s="626"/>
      <c r="AE72" s="130"/>
      <c r="AG72" s="106"/>
    </row>
    <row r="73">
      <c r="A73" s="282"/>
      <c r="B73" s="283"/>
      <c r="C73" s="166"/>
      <c r="D73" s="93"/>
      <c r="E73" s="291"/>
      <c r="F73" s="6"/>
      <c r="O73" s="79"/>
      <c r="S73" s="79"/>
      <c r="T73" s="79"/>
      <c r="Y73" s="79"/>
      <c r="AE73" s="130"/>
      <c r="AG73" s="106"/>
    </row>
    <row r="74">
      <c r="A74" s="282"/>
      <c r="B74" s="283"/>
      <c r="C74" s="166"/>
      <c r="D74" s="93"/>
      <c r="E74" s="291"/>
      <c r="F74" s="6"/>
      <c r="O74" s="79"/>
      <c r="S74" s="79"/>
      <c r="T74" s="79"/>
      <c r="Y74" s="79"/>
      <c r="AE74" s="130"/>
      <c r="AG74" s="106"/>
    </row>
    <row r="75">
      <c r="A75" s="282"/>
      <c r="B75" s="283"/>
      <c r="C75" s="166"/>
      <c r="D75" s="93"/>
      <c r="E75" s="291"/>
      <c r="F75" s="6"/>
      <c r="O75" s="79"/>
      <c r="S75" s="79"/>
      <c r="T75" s="79"/>
      <c r="Y75" s="79"/>
      <c r="AE75" s="130"/>
      <c r="AG75" s="106"/>
    </row>
    <row r="76">
      <c r="A76" s="282"/>
      <c r="B76" s="283"/>
      <c r="C76" s="166"/>
      <c r="D76" s="93"/>
      <c r="E76" s="291"/>
      <c r="F76" s="6"/>
      <c r="O76" s="79"/>
      <c r="S76" s="79"/>
      <c r="T76" s="79"/>
      <c r="Y76" s="79"/>
      <c r="AE76" s="130"/>
      <c r="AG76" s="106"/>
    </row>
    <row r="77">
      <c r="A77" s="282"/>
      <c r="B77" s="283"/>
      <c r="C77" s="166"/>
      <c r="D77" s="93"/>
      <c r="E77" s="291"/>
      <c r="F77" s="6"/>
      <c r="O77" s="79"/>
      <c r="S77" s="79"/>
      <c r="T77" s="79"/>
      <c r="Y77" s="79"/>
      <c r="AE77" s="130"/>
      <c r="AG77" s="106"/>
    </row>
    <row r="78">
      <c r="A78" s="282"/>
      <c r="B78" s="283"/>
      <c r="C78" s="166"/>
      <c r="D78" s="93"/>
      <c r="E78" s="291"/>
      <c r="F78" s="6"/>
      <c r="O78" s="79"/>
      <c r="S78" s="79"/>
      <c r="T78" s="79"/>
      <c r="Y78" s="79"/>
      <c r="AE78" s="130"/>
      <c r="AG78" s="106"/>
    </row>
    <row r="79">
      <c r="A79" s="282"/>
      <c r="B79" s="283"/>
      <c r="C79" s="166"/>
      <c r="D79" s="93"/>
      <c r="E79" s="291"/>
      <c r="F79" s="6"/>
      <c r="O79" s="79"/>
      <c r="S79" s="79"/>
      <c r="T79" s="79"/>
      <c r="Y79" s="79"/>
      <c r="AE79" s="130"/>
      <c r="AG79" s="106"/>
    </row>
    <row r="80">
      <c r="A80" s="282"/>
      <c r="B80" s="283"/>
      <c r="C80" s="166"/>
      <c r="D80" s="93"/>
      <c r="E80" s="291"/>
      <c r="F80" s="6"/>
      <c r="O80" s="79"/>
      <c r="S80" s="79"/>
      <c r="T80" s="79"/>
      <c r="Y80" s="79"/>
      <c r="AE80" s="130"/>
      <c r="AG80" s="106"/>
    </row>
    <row r="81">
      <c r="A81" s="282"/>
      <c r="B81" s="283"/>
      <c r="C81" s="166"/>
      <c r="D81" s="93"/>
      <c r="E81" s="291"/>
      <c r="F81" s="6"/>
      <c r="O81" s="79"/>
      <c r="S81" s="79"/>
      <c r="T81" s="79"/>
      <c r="Y81" s="79"/>
      <c r="AE81" s="130"/>
      <c r="AG81" s="106"/>
    </row>
    <row r="82">
      <c r="A82" s="282"/>
      <c r="B82" s="283"/>
      <c r="C82" s="166"/>
      <c r="D82" s="93"/>
      <c r="E82" s="291"/>
      <c r="F82" s="6"/>
      <c r="O82" s="79"/>
      <c r="S82" s="79"/>
      <c r="T82" s="79"/>
      <c r="Y82" s="79"/>
      <c r="AE82" s="130"/>
      <c r="AG82" s="106"/>
    </row>
    <row r="83">
      <c r="A83" s="282"/>
      <c r="B83" s="283"/>
      <c r="C83" s="166"/>
      <c r="D83" s="93"/>
      <c r="E83" s="291"/>
      <c r="F83" s="6"/>
      <c r="O83" s="79"/>
      <c r="S83" s="79"/>
      <c r="T83" s="79"/>
      <c r="Y83" s="79"/>
      <c r="AE83" s="130"/>
      <c r="AG83" s="106"/>
    </row>
    <row r="84">
      <c r="A84" s="282"/>
      <c r="B84" s="283"/>
      <c r="C84" s="166"/>
      <c r="D84" s="93"/>
      <c r="E84" s="291"/>
      <c r="F84" s="6"/>
      <c r="O84" s="79"/>
      <c r="S84" s="79"/>
      <c r="T84" s="79"/>
      <c r="Y84" s="79"/>
      <c r="AE84" s="130"/>
      <c r="AG84" s="106"/>
    </row>
    <row r="85">
      <c r="A85" s="282"/>
      <c r="B85" s="283"/>
      <c r="C85" s="166"/>
      <c r="D85" s="93"/>
      <c r="E85" s="291"/>
      <c r="F85" s="6"/>
      <c r="O85" s="79"/>
      <c r="S85" s="79"/>
      <c r="T85" s="79"/>
      <c r="Y85" s="79"/>
      <c r="AE85" s="130"/>
      <c r="AG85" s="106"/>
    </row>
    <row r="86">
      <c r="A86" s="282"/>
      <c r="B86" s="283"/>
      <c r="C86" s="166"/>
      <c r="D86" s="93"/>
      <c r="E86" s="291"/>
      <c r="F86" s="6"/>
      <c r="O86" s="79"/>
      <c r="S86" s="79"/>
      <c r="T86" s="79"/>
      <c r="Y86" s="79"/>
      <c r="AE86" s="130"/>
      <c r="AG86" s="106"/>
    </row>
    <row r="87">
      <c r="A87" s="282"/>
      <c r="B87" s="283"/>
      <c r="C87" s="166"/>
      <c r="D87" s="93"/>
      <c r="E87" s="291"/>
      <c r="F87" s="6"/>
      <c r="O87" s="79"/>
      <c r="S87" s="79"/>
      <c r="T87" s="79"/>
      <c r="Y87" s="79"/>
      <c r="AE87" s="130"/>
      <c r="AG87" s="106"/>
    </row>
    <row r="88">
      <c r="A88" s="282"/>
      <c r="B88" s="283"/>
      <c r="C88" s="166"/>
      <c r="D88" s="93"/>
      <c r="E88" s="291"/>
      <c r="F88" s="6"/>
      <c r="O88" s="79"/>
      <c r="S88" s="79"/>
      <c r="T88" s="79"/>
      <c r="Y88" s="79"/>
      <c r="AE88" s="130"/>
      <c r="AG88" s="106"/>
    </row>
    <row r="89">
      <c r="A89" s="282"/>
      <c r="B89" s="283"/>
      <c r="C89" s="166"/>
      <c r="D89" s="93"/>
      <c r="E89" s="291"/>
      <c r="F89" s="6"/>
      <c r="O89" s="79"/>
      <c r="S89" s="79"/>
      <c r="T89" s="79"/>
      <c r="Y89" s="79"/>
      <c r="AE89" s="130"/>
      <c r="AG89" s="106"/>
    </row>
    <row r="90">
      <c r="A90" s="282"/>
      <c r="B90" s="283"/>
      <c r="C90" s="166"/>
      <c r="D90" s="93"/>
      <c r="E90" s="291"/>
      <c r="F90" s="6"/>
      <c r="O90" s="79"/>
      <c r="S90" s="79"/>
      <c r="T90" s="79"/>
      <c r="Y90" s="79"/>
      <c r="AE90" s="130"/>
      <c r="AG90" s="106"/>
    </row>
    <row r="91">
      <c r="A91" s="282"/>
      <c r="B91" s="283"/>
      <c r="C91" s="166"/>
      <c r="D91" s="93"/>
      <c r="E91" s="291"/>
      <c r="F91" s="6"/>
      <c r="O91" s="79"/>
      <c r="S91" s="79"/>
      <c r="T91" s="79"/>
      <c r="Y91" s="79"/>
      <c r="AE91" s="130"/>
      <c r="AG91" s="106"/>
    </row>
    <row r="92">
      <c r="A92" s="282"/>
      <c r="B92" s="283"/>
      <c r="C92" s="166"/>
      <c r="D92" s="93"/>
      <c r="E92" s="291"/>
      <c r="F92" s="6"/>
      <c r="O92" s="79"/>
      <c r="S92" s="79"/>
      <c r="T92" s="79"/>
      <c r="Y92" s="79"/>
      <c r="AE92" s="130"/>
      <c r="AG92" s="106"/>
    </row>
    <row r="93">
      <c r="A93" s="282"/>
      <c r="B93" s="283"/>
      <c r="C93" s="166"/>
      <c r="D93" s="93"/>
      <c r="E93" s="291"/>
      <c r="F93" s="6"/>
      <c r="O93" s="79"/>
      <c r="S93" s="79"/>
      <c r="T93" s="79"/>
      <c r="Y93" s="79"/>
      <c r="AE93" s="130"/>
      <c r="AG93" s="106"/>
    </row>
    <row r="94">
      <c r="A94" s="282"/>
      <c r="B94" s="283"/>
      <c r="C94" s="166"/>
      <c r="D94" s="93"/>
      <c r="E94" s="291"/>
      <c r="F94" s="6"/>
      <c r="O94" s="79"/>
      <c r="S94" s="79"/>
      <c r="T94" s="79"/>
      <c r="Y94" s="79"/>
      <c r="AE94" s="130"/>
      <c r="AG94" s="106"/>
    </row>
    <row r="95">
      <c r="A95" s="282"/>
      <c r="B95" s="283"/>
      <c r="C95" s="166"/>
      <c r="D95" s="93"/>
      <c r="E95" s="291"/>
      <c r="F95" s="6"/>
      <c r="O95" s="79"/>
      <c r="S95" s="79"/>
      <c r="T95" s="79"/>
      <c r="Y95" s="79"/>
      <c r="AE95" s="130"/>
      <c r="AG95" s="106"/>
    </row>
    <row r="96">
      <c r="C96" s="79"/>
      <c r="D96" s="79"/>
      <c r="E96" s="79"/>
      <c r="O96" s="79"/>
      <c r="S96" s="79"/>
      <c r="T96" s="79"/>
      <c r="Y96" s="79"/>
      <c r="AE96" s="130"/>
      <c r="AG96" s="106"/>
    </row>
    <row r="97">
      <c r="C97" s="79"/>
      <c r="D97" s="79"/>
      <c r="E97" s="79"/>
      <c r="O97" s="79"/>
      <c r="S97" s="79"/>
      <c r="T97" s="79"/>
      <c r="Y97" s="79"/>
      <c r="AE97" s="130"/>
      <c r="AG97" s="106"/>
    </row>
    <row r="98">
      <c r="C98" s="79"/>
      <c r="D98" s="79"/>
      <c r="E98" s="79"/>
      <c r="O98" s="79"/>
      <c r="S98" s="79"/>
      <c r="T98" s="79"/>
      <c r="Y98" s="79"/>
      <c r="AE98" s="130"/>
      <c r="AG98" s="106"/>
    </row>
    <row r="99">
      <c r="C99" s="79"/>
      <c r="D99" s="79"/>
      <c r="E99" s="79"/>
      <c r="O99" s="79"/>
      <c r="S99" s="79"/>
      <c r="T99" s="79"/>
      <c r="Y99" s="79"/>
      <c r="AE99" s="130"/>
      <c r="AG99" s="106"/>
    </row>
    <row r="100">
      <c r="C100" s="79"/>
      <c r="D100" s="79"/>
      <c r="E100" s="79"/>
      <c r="O100" s="79"/>
      <c r="S100" s="79"/>
      <c r="T100" s="79"/>
      <c r="Y100" s="79"/>
      <c r="AE100" s="130"/>
      <c r="AG100" s="106"/>
    </row>
    <row r="101">
      <c r="C101" s="79"/>
      <c r="D101" s="79"/>
      <c r="E101" s="79"/>
      <c r="O101" s="79"/>
      <c r="S101" s="79"/>
      <c r="T101" s="79"/>
      <c r="Y101" s="79"/>
      <c r="AE101" s="130"/>
      <c r="AG101" s="106"/>
    </row>
    <row r="102">
      <c r="C102" s="79"/>
      <c r="D102" s="79"/>
      <c r="E102" s="79"/>
      <c r="O102" s="79"/>
      <c r="S102" s="79"/>
      <c r="T102" s="79"/>
      <c r="Y102" s="79"/>
      <c r="AE102" s="130"/>
      <c r="AG102" s="106"/>
    </row>
    <row r="103">
      <c r="C103" s="79"/>
      <c r="D103" s="79"/>
      <c r="E103" s="79"/>
      <c r="O103" s="79"/>
      <c r="S103" s="79"/>
      <c r="T103" s="79"/>
      <c r="Y103" s="79"/>
      <c r="AE103" s="130"/>
      <c r="AG103" s="106"/>
    </row>
    <row r="104">
      <c r="C104" s="79"/>
      <c r="D104" s="79"/>
      <c r="E104" s="79"/>
      <c r="O104" s="79"/>
      <c r="S104" s="79"/>
      <c r="T104" s="79"/>
      <c r="Y104" s="79"/>
      <c r="AE104" s="130"/>
      <c r="AG104" s="106"/>
    </row>
    <row r="105">
      <c r="C105" s="79"/>
      <c r="D105" s="79"/>
      <c r="E105" s="79"/>
      <c r="O105" s="79"/>
      <c r="S105" s="79"/>
      <c r="T105" s="79"/>
      <c r="Y105" s="79"/>
      <c r="AE105" s="130"/>
      <c r="AG105" s="106"/>
    </row>
    <row r="106">
      <c r="C106" s="79"/>
      <c r="D106" s="79"/>
      <c r="E106" s="79"/>
      <c r="O106" s="79"/>
      <c r="S106" s="79"/>
      <c r="T106" s="79"/>
      <c r="Y106" s="79"/>
      <c r="AE106" s="130"/>
      <c r="AG106" s="106"/>
    </row>
    <row r="107">
      <c r="C107" s="79"/>
      <c r="D107" s="79"/>
      <c r="E107" s="79"/>
      <c r="O107" s="79"/>
      <c r="S107" s="79"/>
      <c r="T107" s="79"/>
      <c r="Y107" s="79"/>
      <c r="AE107" s="130"/>
      <c r="AG107" s="106"/>
    </row>
    <row r="108">
      <c r="C108" s="79"/>
      <c r="D108" s="79"/>
      <c r="E108" s="79"/>
      <c r="O108" s="79"/>
      <c r="S108" s="79"/>
      <c r="T108" s="79"/>
      <c r="Y108" s="79"/>
      <c r="AE108" s="130"/>
      <c r="AG108" s="106"/>
    </row>
    <row r="109">
      <c r="C109" s="79"/>
      <c r="D109" s="79"/>
      <c r="E109" s="79"/>
      <c r="O109" s="79"/>
      <c r="S109" s="79"/>
      <c r="T109" s="79"/>
      <c r="Y109" s="79"/>
      <c r="AE109" s="130"/>
      <c r="AG109" s="106"/>
    </row>
    <row r="110">
      <c r="C110" s="79"/>
      <c r="D110" s="79"/>
      <c r="E110" s="79"/>
      <c r="O110" s="79"/>
      <c r="S110" s="79"/>
      <c r="T110" s="79"/>
      <c r="Y110" s="79"/>
      <c r="AE110" s="130"/>
      <c r="AG110" s="106"/>
    </row>
    <row r="111">
      <c r="C111" s="79"/>
      <c r="D111" s="79"/>
      <c r="E111" s="79"/>
      <c r="O111" s="79"/>
      <c r="S111" s="79"/>
      <c r="T111" s="79"/>
      <c r="Y111" s="79"/>
      <c r="AE111" s="130"/>
      <c r="AG111" s="106"/>
    </row>
    <row r="112">
      <c r="C112" s="79"/>
      <c r="D112" s="79"/>
      <c r="E112" s="79"/>
      <c r="O112" s="79"/>
      <c r="S112" s="79"/>
      <c r="T112" s="79"/>
      <c r="Y112" s="79"/>
      <c r="AE112" s="130"/>
      <c r="AG112" s="106"/>
    </row>
    <row r="113">
      <c r="C113" s="79"/>
      <c r="D113" s="79"/>
      <c r="E113" s="79"/>
      <c r="O113" s="79"/>
      <c r="S113" s="79"/>
      <c r="T113" s="79"/>
      <c r="Y113" s="79"/>
      <c r="AE113" s="130"/>
      <c r="AG113" s="106"/>
    </row>
    <row r="114">
      <c r="C114" s="79"/>
      <c r="D114" s="79"/>
      <c r="E114" s="79"/>
      <c r="O114" s="79"/>
      <c r="S114" s="79"/>
      <c r="T114" s="79"/>
      <c r="Y114" s="79"/>
      <c r="AE114" s="130"/>
      <c r="AG114" s="106"/>
    </row>
    <row r="115">
      <c r="C115" s="79"/>
      <c r="D115" s="79"/>
      <c r="E115" s="79"/>
      <c r="O115" s="79"/>
      <c r="S115" s="79"/>
      <c r="T115" s="79"/>
      <c r="Y115" s="79"/>
      <c r="AE115" s="130"/>
      <c r="AG115" s="106"/>
    </row>
    <row r="116">
      <c r="C116" s="79"/>
      <c r="D116" s="79"/>
      <c r="E116" s="79"/>
      <c r="O116" s="79"/>
      <c r="S116" s="79"/>
      <c r="T116" s="79"/>
      <c r="Y116" s="79"/>
      <c r="AE116" s="130"/>
      <c r="AG116" s="106"/>
    </row>
    <row r="117">
      <c r="C117" s="79"/>
      <c r="D117" s="79"/>
      <c r="E117" s="79"/>
      <c r="O117" s="79"/>
      <c r="S117" s="79"/>
      <c r="T117" s="79"/>
      <c r="Y117" s="79"/>
      <c r="AE117" s="130"/>
      <c r="AG117" s="106"/>
    </row>
    <row r="118">
      <c r="C118" s="79"/>
      <c r="D118" s="79"/>
      <c r="E118" s="79"/>
      <c r="O118" s="79"/>
      <c r="S118" s="79"/>
      <c r="T118" s="79"/>
      <c r="Y118" s="79"/>
      <c r="AE118" s="130"/>
      <c r="AG118" s="106"/>
    </row>
    <row r="119">
      <c r="C119" s="79"/>
      <c r="D119" s="79"/>
      <c r="E119" s="79"/>
      <c r="O119" s="79"/>
      <c r="S119" s="79"/>
      <c r="T119" s="79"/>
      <c r="Y119" s="79"/>
      <c r="AE119" s="130"/>
      <c r="AG119" s="106"/>
    </row>
    <row r="120">
      <c r="C120" s="79"/>
      <c r="D120" s="79"/>
      <c r="E120" s="79"/>
      <c r="O120" s="79"/>
      <c r="S120" s="79"/>
      <c r="T120" s="79"/>
      <c r="Y120" s="79"/>
      <c r="AE120" s="130"/>
      <c r="AG120" s="106"/>
    </row>
    <row r="121">
      <c r="C121" s="79"/>
      <c r="D121" s="79"/>
      <c r="E121" s="79"/>
      <c r="O121" s="79"/>
      <c r="S121" s="79"/>
      <c r="T121" s="79"/>
      <c r="Y121" s="79"/>
      <c r="AE121" s="130"/>
      <c r="AG121" s="106"/>
    </row>
    <row r="122">
      <c r="C122" s="79"/>
      <c r="D122" s="79"/>
      <c r="E122" s="79"/>
      <c r="O122" s="79"/>
      <c r="S122" s="79"/>
      <c r="T122" s="79"/>
      <c r="Y122" s="79"/>
      <c r="AE122" s="130"/>
      <c r="AG122" s="106"/>
    </row>
    <row r="123">
      <c r="C123" s="79"/>
      <c r="D123" s="79"/>
      <c r="E123" s="79"/>
      <c r="O123" s="79"/>
      <c r="S123" s="79"/>
      <c r="T123" s="79"/>
      <c r="Y123" s="79"/>
      <c r="AE123" s="130"/>
      <c r="AG123" s="106"/>
    </row>
    <row r="124">
      <c r="C124" s="79"/>
      <c r="D124" s="79"/>
      <c r="E124" s="79"/>
      <c r="O124" s="79"/>
      <c r="S124" s="79"/>
      <c r="T124" s="79"/>
      <c r="Y124" s="79"/>
      <c r="AE124" s="130"/>
      <c r="AG124" s="106"/>
    </row>
    <row r="125">
      <c r="C125" s="79"/>
      <c r="D125" s="79"/>
      <c r="E125" s="79"/>
      <c r="O125" s="79"/>
      <c r="S125" s="79"/>
      <c r="T125" s="79"/>
      <c r="Y125" s="79"/>
      <c r="AE125" s="130"/>
      <c r="AG125" s="106"/>
    </row>
    <row r="126">
      <c r="C126" s="79"/>
      <c r="D126" s="79"/>
      <c r="E126" s="79"/>
      <c r="O126" s="79"/>
      <c r="S126" s="79"/>
      <c r="T126" s="79"/>
      <c r="Y126" s="79"/>
      <c r="AE126" s="130"/>
      <c r="AG126" s="106"/>
    </row>
    <row r="127">
      <c r="C127" s="79"/>
      <c r="D127" s="79"/>
      <c r="E127" s="79"/>
      <c r="O127" s="79"/>
      <c r="S127" s="79"/>
      <c r="T127" s="79"/>
      <c r="Y127" s="79"/>
      <c r="AE127" s="130"/>
      <c r="AG127" s="106"/>
    </row>
    <row r="128">
      <c r="C128" s="79"/>
      <c r="D128" s="79"/>
      <c r="E128" s="79"/>
      <c r="O128" s="79"/>
      <c r="S128" s="79"/>
      <c r="T128" s="79"/>
      <c r="Y128" s="79"/>
      <c r="AE128" s="130"/>
      <c r="AG128" s="106"/>
    </row>
    <row r="129">
      <c r="C129" s="79"/>
      <c r="D129" s="79"/>
      <c r="E129" s="79"/>
      <c r="O129" s="79"/>
      <c r="S129" s="79"/>
      <c r="T129" s="79"/>
      <c r="Y129" s="79"/>
      <c r="AE129" s="130"/>
      <c r="AG129" s="106"/>
    </row>
    <row r="130">
      <c r="C130" s="79"/>
      <c r="D130" s="79"/>
      <c r="E130" s="79"/>
      <c r="O130" s="79"/>
      <c r="S130" s="79"/>
      <c r="T130" s="79"/>
      <c r="Y130" s="79"/>
      <c r="AE130" s="130"/>
      <c r="AG130" s="106"/>
    </row>
    <row r="131">
      <c r="C131" s="79"/>
      <c r="D131" s="79"/>
      <c r="E131" s="79"/>
      <c r="O131" s="79"/>
      <c r="S131" s="79"/>
      <c r="T131" s="79"/>
      <c r="Y131" s="79"/>
      <c r="AE131" s="130"/>
      <c r="AG131" s="106"/>
    </row>
    <row r="132">
      <c r="C132" s="79"/>
      <c r="D132" s="79"/>
      <c r="E132" s="79"/>
      <c r="O132" s="79"/>
      <c r="S132" s="79"/>
      <c r="T132" s="79"/>
      <c r="Y132" s="79"/>
      <c r="AE132" s="130"/>
      <c r="AG132" s="106"/>
    </row>
    <row r="133">
      <c r="C133" s="79"/>
      <c r="D133" s="79"/>
      <c r="E133" s="79"/>
      <c r="O133" s="79"/>
      <c r="S133" s="79"/>
      <c r="T133" s="79"/>
      <c r="Y133" s="79"/>
      <c r="AE133" s="130"/>
      <c r="AG133" s="106"/>
    </row>
    <row r="134">
      <c r="C134" s="79"/>
      <c r="D134" s="79"/>
      <c r="E134" s="79"/>
      <c r="O134" s="79"/>
      <c r="S134" s="79"/>
      <c r="T134" s="79"/>
      <c r="Y134" s="79"/>
      <c r="AE134" s="130"/>
      <c r="AG134" s="106"/>
    </row>
    <row r="135">
      <c r="C135" s="79"/>
      <c r="D135" s="79"/>
      <c r="E135" s="79"/>
      <c r="O135" s="79"/>
      <c r="S135" s="79"/>
      <c r="T135" s="79"/>
      <c r="Y135" s="79"/>
      <c r="AE135" s="130"/>
      <c r="AG135" s="106"/>
    </row>
    <row r="136">
      <c r="C136" s="79"/>
      <c r="D136" s="79"/>
      <c r="E136" s="79"/>
      <c r="O136" s="79"/>
      <c r="S136" s="79"/>
      <c r="T136" s="79"/>
      <c r="Y136" s="79"/>
      <c r="AE136" s="130"/>
      <c r="AG136" s="106"/>
    </row>
    <row r="137">
      <c r="C137" s="79"/>
      <c r="D137" s="79"/>
      <c r="E137" s="79"/>
      <c r="O137" s="79"/>
      <c r="S137" s="79"/>
      <c r="T137" s="79"/>
      <c r="Y137" s="79"/>
      <c r="AE137" s="130"/>
      <c r="AG137" s="106"/>
    </row>
    <row r="138">
      <c r="C138" s="79"/>
      <c r="D138" s="79"/>
      <c r="E138" s="79"/>
      <c r="O138" s="79"/>
      <c r="S138" s="79"/>
      <c r="T138" s="79"/>
      <c r="Y138" s="79"/>
      <c r="AE138" s="130"/>
      <c r="AG138" s="106"/>
    </row>
    <row r="139">
      <c r="C139" s="79"/>
      <c r="D139" s="79"/>
      <c r="E139" s="79"/>
      <c r="O139" s="79"/>
      <c r="S139" s="79"/>
      <c r="T139" s="79"/>
      <c r="Y139" s="79"/>
      <c r="AE139" s="130"/>
      <c r="AG139" s="106"/>
    </row>
    <row r="140">
      <c r="C140" s="79"/>
      <c r="D140" s="79"/>
      <c r="E140" s="79"/>
      <c r="O140" s="79"/>
      <c r="S140" s="79"/>
      <c r="T140" s="79"/>
      <c r="Y140" s="79"/>
      <c r="AE140" s="130"/>
      <c r="AG140" s="106"/>
    </row>
    <row r="141">
      <c r="C141" s="79"/>
      <c r="D141" s="79"/>
      <c r="E141" s="79"/>
      <c r="O141" s="79"/>
      <c r="S141" s="79"/>
      <c r="T141" s="79"/>
      <c r="Y141" s="79"/>
      <c r="AE141" s="130"/>
      <c r="AG141" s="106"/>
    </row>
    <row r="142">
      <c r="C142" s="79"/>
      <c r="D142" s="79"/>
      <c r="E142" s="79"/>
      <c r="O142" s="79"/>
      <c r="S142" s="79"/>
      <c r="T142" s="79"/>
      <c r="Y142" s="79"/>
      <c r="AE142" s="130"/>
      <c r="AG142" s="106"/>
    </row>
    <row r="143">
      <c r="C143" s="79"/>
      <c r="D143" s="79"/>
      <c r="E143" s="79"/>
      <c r="O143" s="79"/>
      <c r="S143" s="79"/>
      <c r="T143" s="79"/>
      <c r="Y143" s="79"/>
      <c r="AE143" s="130"/>
      <c r="AG143" s="106"/>
    </row>
    <row r="144">
      <c r="C144" s="79"/>
      <c r="D144" s="79"/>
      <c r="E144" s="79"/>
      <c r="O144" s="79"/>
      <c r="S144" s="79"/>
      <c r="T144" s="79"/>
      <c r="Y144" s="79"/>
      <c r="AE144" s="130"/>
      <c r="AG144" s="106"/>
    </row>
    <row r="145">
      <c r="C145" s="79"/>
      <c r="D145" s="79"/>
      <c r="E145" s="79"/>
      <c r="O145" s="79"/>
      <c r="S145" s="79"/>
      <c r="T145" s="79"/>
      <c r="Y145" s="79"/>
      <c r="AE145" s="130"/>
      <c r="AG145" s="106"/>
    </row>
    <row r="146">
      <c r="C146" s="79"/>
      <c r="D146" s="79"/>
      <c r="E146" s="79"/>
      <c r="O146" s="79"/>
      <c r="S146" s="79"/>
      <c r="T146" s="79"/>
      <c r="Y146" s="79"/>
      <c r="AE146" s="130"/>
      <c r="AG146" s="106"/>
    </row>
    <row r="147">
      <c r="C147" s="79"/>
      <c r="D147" s="79"/>
      <c r="E147" s="79"/>
      <c r="O147" s="79"/>
      <c r="S147" s="79"/>
      <c r="T147" s="79"/>
      <c r="Y147" s="79"/>
      <c r="AE147" s="130"/>
      <c r="AG147" s="106"/>
    </row>
    <row r="148">
      <c r="C148" s="79"/>
      <c r="D148" s="79"/>
      <c r="E148" s="79"/>
      <c r="O148" s="79"/>
      <c r="S148" s="79"/>
      <c r="T148" s="79"/>
      <c r="Y148" s="79"/>
      <c r="AE148" s="130"/>
      <c r="AG148" s="106"/>
    </row>
    <row r="149">
      <c r="C149" s="79"/>
      <c r="D149" s="79"/>
      <c r="E149" s="79"/>
      <c r="O149" s="79"/>
      <c r="S149" s="79"/>
      <c r="T149" s="79"/>
      <c r="Y149" s="79"/>
      <c r="AE149" s="130"/>
      <c r="AG149" s="106"/>
    </row>
    <row r="150">
      <c r="C150" s="79"/>
      <c r="D150" s="79"/>
      <c r="E150" s="79"/>
      <c r="O150" s="79"/>
      <c r="S150" s="79"/>
      <c r="T150" s="79"/>
      <c r="Y150" s="79"/>
      <c r="AE150" s="130"/>
      <c r="AG150" s="106"/>
    </row>
    <row r="151">
      <c r="C151" s="79"/>
      <c r="D151" s="79"/>
      <c r="E151" s="79"/>
      <c r="O151" s="79"/>
      <c r="S151" s="79"/>
      <c r="T151" s="79"/>
      <c r="Y151" s="79"/>
      <c r="AE151" s="130"/>
      <c r="AG151" s="106"/>
    </row>
    <row r="152">
      <c r="C152" s="79"/>
      <c r="D152" s="79"/>
      <c r="E152" s="79"/>
      <c r="O152" s="79"/>
      <c r="S152" s="79"/>
      <c r="T152" s="79"/>
      <c r="Y152" s="79"/>
      <c r="AE152" s="130"/>
      <c r="AG152" s="106"/>
    </row>
    <row r="153">
      <c r="C153" s="79"/>
      <c r="D153" s="79"/>
      <c r="E153" s="79"/>
      <c r="O153" s="79"/>
      <c r="S153" s="79"/>
      <c r="T153" s="79"/>
      <c r="Y153" s="79"/>
      <c r="AE153" s="130"/>
      <c r="AG153" s="106"/>
    </row>
    <row r="154">
      <c r="C154" s="79"/>
      <c r="D154" s="79"/>
      <c r="E154" s="79"/>
      <c r="O154" s="79"/>
      <c r="S154" s="79"/>
      <c r="T154" s="79"/>
      <c r="Y154" s="79"/>
      <c r="AE154" s="130"/>
      <c r="AG154" s="106"/>
    </row>
    <row r="155">
      <c r="C155" s="79"/>
      <c r="D155" s="79"/>
      <c r="E155" s="79"/>
      <c r="O155" s="79"/>
      <c r="S155" s="79"/>
      <c r="T155" s="79"/>
      <c r="Y155" s="79"/>
      <c r="AE155" s="130"/>
      <c r="AG155" s="106"/>
    </row>
    <row r="156">
      <c r="C156" s="79"/>
      <c r="D156" s="79"/>
      <c r="E156" s="79"/>
      <c r="O156" s="79"/>
      <c r="S156" s="79"/>
      <c r="T156" s="79"/>
      <c r="Y156" s="79"/>
      <c r="AE156" s="130"/>
      <c r="AG156" s="106"/>
    </row>
    <row r="157">
      <c r="C157" s="79"/>
      <c r="D157" s="79"/>
      <c r="E157" s="79"/>
      <c r="O157" s="79"/>
      <c r="S157" s="79"/>
      <c r="T157" s="79"/>
      <c r="Y157" s="79"/>
      <c r="AE157" s="130"/>
      <c r="AG157" s="106"/>
    </row>
    <row r="158">
      <c r="C158" s="79"/>
      <c r="D158" s="79"/>
      <c r="E158" s="79"/>
      <c r="O158" s="79"/>
      <c r="S158" s="79"/>
      <c r="T158" s="79"/>
      <c r="Y158" s="79"/>
      <c r="AE158" s="130"/>
      <c r="AG158" s="106"/>
    </row>
    <row r="159">
      <c r="C159" s="79"/>
      <c r="D159" s="79"/>
      <c r="E159" s="79"/>
      <c r="O159" s="79"/>
      <c r="S159" s="79"/>
      <c r="T159" s="79"/>
      <c r="Y159" s="79"/>
      <c r="AE159" s="130"/>
      <c r="AG159" s="106"/>
    </row>
    <row r="160">
      <c r="C160" s="79"/>
      <c r="D160" s="79"/>
      <c r="E160" s="79"/>
      <c r="O160" s="79"/>
      <c r="S160" s="79"/>
      <c r="T160" s="79"/>
      <c r="Y160" s="79"/>
      <c r="AE160" s="130"/>
      <c r="AG160" s="106"/>
    </row>
    <row r="161">
      <c r="C161" s="79"/>
      <c r="D161" s="79"/>
      <c r="E161" s="79"/>
      <c r="O161" s="79"/>
      <c r="S161" s="79"/>
      <c r="T161" s="79"/>
      <c r="Y161" s="79"/>
      <c r="AE161" s="130"/>
      <c r="AG161" s="106"/>
    </row>
    <row r="162">
      <c r="C162" s="79"/>
      <c r="D162" s="79"/>
      <c r="E162" s="79"/>
      <c r="O162" s="79"/>
      <c r="S162" s="79"/>
      <c r="T162" s="79"/>
      <c r="Y162" s="79"/>
      <c r="AE162" s="130"/>
      <c r="AG162" s="106"/>
    </row>
    <row r="163">
      <c r="C163" s="79"/>
      <c r="D163" s="79"/>
      <c r="E163" s="79"/>
      <c r="O163" s="79"/>
      <c r="S163" s="79"/>
      <c r="T163" s="79"/>
      <c r="Y163" s="79"/>
      <c r="AE163" s="130"/>
      <c r="AG163" s="106"/>
    </row>
    <row r="164">
      <c r="C164" s="79"/>
      <c r="D164" s="79"/>
      <c r="E164" s="79"/>
      <c r="O164" s="79"/>
      <c r="S164" s="79"/>
      <c r="T164" s="79"/>
      <c r="Y164" s="79"/>
      <c r="AE164" s="130"/>
      <c r="AG164" s="106"/>
    </row>
    <row r="165">
      <c r="C165" s="79"/>
      <c r="D165" s="79"/>
      <c r="E165" s="79"/>
      <c r="O165" s="79"/>
      <c r="S165" s="79"/>
      <c r="T165" s="79"/>
      <c r="Y165" s="79"/>
      <c r="AE165" s="130"/>
      <c r="AG165" s="106"/>
    </row>
    <row r="166">
      <c r="C166" s="79"/>
      <c r="D166" s="79"/>
      <c r="E166" s="79"/>
      <c r="O166" s="79"/>
      <c r="S166" s="79"/>
      <c r="T166" s="79"/>
      <c r="Y166" s="79"/>
      <c r="AE166" s="130"/>
      <c r="AG166" s="106"/>
    </row>
    <row r="167">
      <c r="C167" s="79"/>
      <c r="D167" s="79"/>
      <c r="E167" s="79"/>
      <c r="O167" s="79"/>
      <c r="S167" s="79"/>
      <c r="T167" s="79"/>
      <c r="Y167" s="79"/>
      <c r="AE167" s="130"/>
      <c r="AG167" s="106"/>
    </row>
    <row r="168">
      <c r="C168" s="79"/>
      <c r="D168" s="79"/>
      <c r="E168" s="79"/>
      <c r="O168" s="79"/>
      <c r="S168" s="79"/>
      <c r="T168" s="79"/>
      <c r="Y168" s="79"/>
      <c r="AE168" s="130"/>
      <c r="AG168" s="106"/>
    </row>
    <row r="169">
      <c r="C169" s="79"/>
      <c r="D169" s="79"/>
      <c r="E169" s="79"/>
      <c r="O169" s="79"/>
      <c r="S169" s="79"/>
      <c r="T169" s="79"/>
      <c r="Y169" s="79"/>
      <c r="AE169" s="130"/>
      <c r="AG169" s="106"/>
    </row>
    <row r="170">
      <c r="C170" s="79"/>
      <c r="D170" s="79"/>
      <c r="E170" s="79"/>
      <c r="O170" s="79"/>
      <c r="S170" s="79"/>
      <c r="T170" s="79"/>
      <c r="Y170" s="79"/>
      <c r="AE170" s="130"/>
      <c r="AG170" s="106"/>
    </row>
    <row r="171">
      <c r="C171" s="79"/>
      <c r="D171" s="79"/>
      <c r="E171" s="79"/>
      <c r="O171" s="79"/>
      <c r="S171" s="79"/>
      <c r="T171" s="79"/>
      <c r="Y171" s="79"/>
      <c r="AE171" s="130"/>
      <c r="AG171" s="106"/>
    </row>
    <row r="172">
      <c r="C172" s="79"/>
      <c r="D172" s="79"/>
      <c r="E172" s="79"/>
      <c r="O172" s="79"/>
      <c r="S172" s="79"/>
      <c r="T172" s="79"/>
      <c r="Y172" s="79"/>
      <c r="AE172" s="130"/>
      <c r="AG172" s="106"/>
    </row>
    <row r="173">
      <c r="C173" s="79"/>
      <c r="D173" s="79"/>
      <c r="E173" s="79"/>
      <c r="O173" s="79"/>
      <c r="S173" s="79"/>
      <c r="T173" s="79"/>
      <c r="Y173" s="79"/>
      <c r="AE173" s="130"/>
      <c r="AG173" s="106"/>
    </row>
    <row r="174">
      <c r="C174" s="79"/>
      <c r="D174" s="79"/>
      <c r="E174" s="79"/>
      <c r="O174" s="79"/>
      <c r="S174" s="79"/>
      <c r="T174" s="79"/>
      <c r="Y174" s="79"/>
      <c r="AE174" s="130"/>
      <c r="AG174" s="106"/>
    </row>
    <row r="175">
      <c r="C175" s="79"/>
      <c r="D175" s="79"/>
      <c r="E175" s="79"/>
      <c r="O175" s="79"/>
      <c r="S175" s="79"/>
      <c r="T175" s="79"/>
      <c r="Y175" s="79"/>
      <c r="AE175" s="130"/>
      <c r="AG175" s="106"/>
    </row>
    <row r="176">
      <c r="C176" s="79"/>
      <c r="D176" s="79"/>
      <c r="E176" s="79"/>
      <c r="O176" s="79"/>
      <c r="S176" s="79"/>
      <c r="T176" s="79"/>
      <c r="Y176" s="79"/>
      <c r="AE176" s="130"/>
      <c r="AG176" s="106"/>
    </row>
    <row r="177">
      <c r="C177" s="79"/>
      <c r="D177" s="79"/>
      <c r="E177" s="79"/>
      <c r="O177" s="79"/>
      <c r="S177" s="79"/>
      <c r="T177" s="79"/>
      <c r="Y177" s="79"/>
      <c r="AE177" s="130"/>
      <c r="AG177" s="106"/>
    </row>
    <row r="178">
      <c r="C178" s="79"/>
      <c r="D178" s="79"/>
      <c r="E178" s="79"/>
      <c r="O178" s="79"/>
      <c r="S178" s="79"/>
      <c r="T178" s="79"/>
      <c r="Y178" s="79"/>
      <c r="AE178" s="130"/>
      <c r="AG178" s="106"/>
    </row>
    <row r="179">
      <c r="C179" s="79"/>
      <c r="D179" s="79"/>
      <c r="E179" s="79"/>
      <c r="O179" s="79"/>
      <c r="S179" s="79"/>
      <c r="T179" s="79"/>
      <c r="Y179" s="79"/>
      <c r="AE179" s="130"/>
      <c r="AG179" s="106"/>
    </row>
    <row r="180">
      <c r="C180" s="79"/>
      <c r="D180" s="79"/>
      <c r="E180" s="79"/>
      <c r="O180" s="79"/>
      <c r="S180" s="79"/>
      <c r="T180" s="79"/>
      <c r="Y180" s="79"/>
      <c r="AE180" s="130"/>
      <c r="AG180" s="106"/>
    </row>
    <row r="181">
      <c r="C181" s="79"/>
      <c r="D181" s="79"/>
      <c r="E181" s="79"/>
      <c r="O181" s="79"/>
      <c r="S181" s="79"/>
      <c r="T181" s="79"/>
      <c r="Y181" s="79"/>
      <c r="AE181" s="130"/>
      <c r="AG181" s="106"/>
    </row>
    <row r="182">
      <c r="C182" s="79"/>
      <c r="D182" s="79"/>
      <c r="E182" s="79"/>
      <c r="O182" s="79"/>
      <c r="S182" s="79"/>
      <c r="T182" s="79"/>
      <c r="Y182" s="79"/>
      <c r="AE182" s="130"/>
      <c r="AG182" s="106"/>
    </row>
    <row r="183">
      <c r="C183" s="79"/>
      <c r="D183" s="79"/>
      <c r="E183" s="79"/>
      <c r="O183" s="79"/>
      <c r="S183" s="79"/>
      <c r="T183" s="79"/>
      <c r="Y183" s="79"/>
      <c r="AE183" s="130"/>
      <c r="AG183" s="106"/>
    </row>
    <row r="184">
      <c r="C184" s="79"/>
      <c r="D184" s="79"/>
      <c r="E184" s="79"/>
      <c r="O184" s="79"/>
      <c r="S184" s="79"/>
      <c r="T184" s="79"/>
      <c r="Y184" s="79"/>
      <c r="AE184" s="130"/>
      <c r="AG184" s="106"/>
    </row>
    <row r="185">
      <c r="C185" s="79"/>
      <c r="D185" s="79"/>
      <c r="E185" s="79"/>
      <c r="O185" s="79"/>
      <c r="S185" s="79"/>
      <c r="T185" s="79"/>
      <c r="Y185" s="79"/>
      <c r="AE185" s="130"/>
      <c r="AG185" s="106"/>
    </row>
    <row r="186">
      <c r="C186" s="79"/>
      <c r="D186" s="79"/>
      <c r="E186" s="79"/>
      <c r="O186" s="79"/>
      <c r="S186" s="79"/>
      <c r="T186" s="79"/>
      <c r="Y186" s="79"/>
      <c r="AE186" s="130"/>
      <c r="AG186" s="106"/>
    </row>
    <row r="187">
      <c r="C187" s="79"/>
      <c r="D187" s="79"/>
      <c r="E187" s="79"/>
      <c r="O187" s="79"/>
      <c r="S187" s="79"/>
      <c r="T187" s="79"/>
      <c r="Y187" s="79"/>
      <c r="AE187" s="130"/>
      <c r="AG187" s="106"/>
    </row>
    <row r="188">
      <c r="C188" s="79"/>
      <c r="D188" s="79"/>
      <c r="E188" s="79"/>
      <c r="O188" s="79"/>
      <c r="S188" s="79"/>
      <c r="T188" s="79"/>
      <c r="Y188" s="79"/>
      <c r="AE188" s="130"/>
      <c r="AG188" s="106"/>
    </row>
    <row r="189">
      <c r="C189" s="79"/>
      <c r="D189" s="79"/>
      <c r="E189" s="79"/>
      <c r="O189" s="79"/>
      <c r="S189" s="79"/>
      <c r="T189" s="79"/>
      <c r="Y189" s="79"/>
      <c r="AE189" s="130"/>
      <c r="AG189" s="106"/>
    </row>
    <row r="190">
      <c r="C190" s="79"/>
      <c r="D190" s="79"/>
      <c r="E190" s="79"/>
      <c r="O190" s="79"/>
      <c r="S190" s="79"/>
      <c r="T190" s="79"/>
      <c r="Y190" s="79"/>
      <c r="AE190" s="130"/>
      <c r="AG190" s="106"/>
    </row>
    <row r="191">
      <c r="C191" s="79"/>
      <c r="D191" s="79"/>
      <c r="E191" s="79"/>
      <c r="O191" s="79"/>
      <c r="S191" s="79"/>
      <c r="T191" s="79"/>
      <c r="Y191" s="79"/>
      <c r="AE191" s="130"/>
      <c r="AG191" s="106"/>
    </row>
    <row r="192">
      <c r="C192" s="79"/>
      <c r="D192" s="79"/>
      <c r="E192" s="79"/>
      <c r="O192" s="79"/>
      <c r="S192" s="79"/>
      <c r="T192" s="79"/>
      <c r="Y192" s="79"/>
      <c r="AE192" s="130"/>
      <c r="AG192" s="106"/>
    </row>
    <row r="193">
      <c r="C193" s="79"/>
      <c r="D193" s="79"/>
      <c r="E193" s="79"/>
      <c r="O193" s="79"/>
      <c r="S193" s="79"/>
      <c r="T193" s="79"/>
      <c r="Y193" s="79"/>
      <c r="AE193" s="130"/>
      <c r="AG193" s="106"/>
    </row>
    <row r="194">
      <c r="C194" s="79"/>
      <c r="D194" s="79"/>
      <c r="E194" s="79"/>
      <c r="O194" s="79"/>
      <c r="S194" s="79"/>
      <c r="T194" s="79"/>
      <c r="Y194" s="79"/>
      <c r="AE194" s="130"/>
      <c r="AG194" s="106"/>
    </row>
    <row r="195">
      <c r="C195" s="79"/>
      <c r="D195" s="79"/>
      <c r="E195" s="79"/>
      <c r="O195" s="79"/>
      <c r="S195" s="79"/>
      <c r="T195" s="79"/>
      <c r="Y195" s="79"/>
      <c r="AE195" s="130"/>
      <c r="AG195" s="106"/>
    </row>
    <row r="196">
      <c r="C196" s="79"/>
      <c r="D196" s="79"/>
      <c r="E196" s="79"/>
      <c r="O196" s="79"/>
      <c r="S196" s="79"/>
      <c r="T196" s="79"/>
      <c r="Y196" s="79"/>
      <c r="AE196" s="130"/>
      <c r="AG196" s="106"/>
    </row>
    <row r="197">
      <c r="C197" s="79"/>
      <c r="D197" s="79"/>
      <c r="E197" s="79"/>
      <c r="O197" s="79"/>
      <c r="S197" s="79"/>
      <c r="T197" s="79"/>
      <c r="Y197" s="79"/>
      <c r="AE197" s="130"/>
      <c r="AG197" s="106"/>
    </row>
    <row r="198">
      <c r="C198" s="79"/>
      <c r="D198" s="79"/>
      <c r="E198" s="79"/>
      <c r="O198" s="79"/>
      <c r="S198" s="79"/>
      <c r="T198" s="79"/>
      <c r="Y198" s="79"/>
      <c r="AE198" s="130"/>
      <c r="AG198" s="106"/>
    </row>
    <row r="199">
      <c r="C199" s="79"/>
      <c r="D199" s="79"/>
      <c r="E199" s="79"/>
      <c r="O199" s="79"/>
      <c r="S199" s="79"/>
      <c r="T199" s="79"/>
      <c r="Y199" s="79"/>
      <c r="AE199" s="130"/>
      <c r="AG199" s="106"/>
    </row>
    <row r="200">
      <c r="C200" s="79"/>
      <c r="D200" s="79"/>
      <c r="E200" s="79"/>
      <c r="O200" s="79"/>
      <c r="S200" s="79"/>
      <c r="T200" s="79"/>
      <c r="Y200" s="79"/>
      <c r="AE200" s="130"/>
      <c r="AG200" s="106"/>
    </row>
    <row r="201">
      <c r="C201" s="79"/>
      <c r="D201" s="79"/>
      <c r="E201" s="79"/>
      <c r="O201" s="79"/>
      <c r="S201" s="79"/>
      <c r="T201" s="79"/>
      <c r="Y201" s="79"/>
      <c r="AE201" s="130"/>
      <c r="AG201" s="106"/>
    </row>
    <row r="202">
      <c r="C202" s="79"/>
      <c r="D202" s="79"/>
      <c r="E202" s="79"/>
      <c r="O202" s="79"/>
      <c r="S202" s="79"/>
      <c r="T202" s="79"/>
      <c r="Y202" s="79"/>
      <c r="AE202" s="130"/>
      <c r="AG202" s="106"/>
    </row>
    <row r="203">
      <c r="C203" s="79"/>
      <c r="D203" s="79"/>
      <c r="E203" s="79"/>
      <c r="O203" s="79"/>
      <c r="S203" s="79"/>
      <c r="T203" s="79"/>
      <c r="Y203" s="79"/>
      <c r="AE203" s="130"/>
      <c r="AG203" s="106"/>
    </row>
    <row r="204">
      <c r="C204" s="79"/>
      <c r="D204" s="79"/>
      <c r="E204" s="79"/>
      <c r="O204" s="79"/>
      <c r="S204" s="79"/>
      <c r="T204" s="79"/>
      <c r="Y204" s="79"/>
      <c r="AE204" s="130"/>
      <c r="AG204" s="106"/>
    </row>
    <row r="205">
      <c r="C205" s="79"/>
      <c r="D205" s="79"/>
      <c r="E205" s="79"/>
      <c r="O205" s="79"/>
      <c r="S205" s="79"/>
      <c r="T205" s="79"/>
      <c r="Y205" s="79"/>
      <c r="AE205" s="130"/>
      <c r="AG205" s="106"/>
    </row>
    <row r="206">
      <c r="C206" s="79"/>
      <c r="D206" s="79"/>
      <c r="E206" s="79"/>
      <c r="O206" s="79"/>
      <c r="S206" s="79"/>
      <c r="T206" s="79"/>
      <c r="Y206" s="79"/>
      <c r="AE206" s="130"/>
      <c r="AG206" s="106"/>
    </row>
    <row r="207">
      <c r="C207" s="79"/>
      <c r="D207" s="79"/>
      <c r="E207" s="79"/>
      <c r="O207" s="79"/>
      <c r="S207" s="79"/>
      <c r="T207" s="79"/>
      <c r="Y207" s="79"/>
      <c r="AE207" s="130"/>
      <c r="AG207" s="106"/>
    </row>
    <row r="208">
      <c r="C208" s="79"/>
      <c r="D208" s="79"/>
      <c r="E208" s="79"/>
      <c r="O208" s="79"/>
      <c r="S208" s="79"/>
      <c r="T208" s="79"/>
      <c r="Y208" s="79"/>
      <c r="AE208" s="130"/>
      <c r="AG208" s="106"/>
    </row>
    <row r="209">
      <c r="C209" s="79"/>
      <c r="D209" s="79"/>
      <c r="E209" s="79"/>
      <c r="O209" s="79"/>
      <c r="S209" s="79"/>
      <c r="T209" s="79"/>
      <c r="Y209" s="79"/>
      <c r="AE209" s="130"/>
      <c r="AG209" s="106"/>
    </row>
    <row r="210">
      <c r="C210" s="79"/>
      <c r="D210" s="79"/>
      <c r="E210" s="79"/>
      <c r="O210" s="79"/>
      <c r="S210" s="79"/>
      <c r="T210" s="79"/>
      <c r="Y210" s="79"/>
      <c r="AE210" s="130"/>
      <c r="AG210" s="106"/>
    </row>
    <row r="211">
      <c r="C211" s="79"/>
      <c r="D211" s="79"/>
      <c r="E211" s="79"/>
      <c r="O211" s="79"/>
      <c r="S211" s="79"/>
      <c r="T211" s="79"/>
      <c r="Y211" s="79"/>
      <c r="AE211" s="130"/>
      <c r="AG211" s="106"/>
    </row>
    <row r="212">
      <c r="C212" s="79"/>
      <c r="D212" s="79"/>
      <c r="E212" s="79"/>
      <c r="O212" s="79"/>
      <c r="S212" s="79"/>
      <c r="T212" s="79"/>
      <c r="Y212" s="79"/>
      <c r="AE212" s="130"/>
      <c r="AG212" s="106"/>
    </row>
    <row r="213">
      <c r="C213" s="79"/>
      <c r="D213" s="79"/>
      <c r="E213" s="79"/>
      <c r="O213" s="79"/>
      <c r="S213" s="79"/>
      <c r="T213" s="79"/>
      <c r="Y213" s="79"/>
      <c r="AE213" s="130"/>
      <c r="AG213" s="106"/>
    </row>
    <row r="214">
      <c r="C214" s="79"/>
      <c r="D214" s="79"/>
      <c r="E214" s="79"/>
      <c r="O214" s="79"/>
      <c r="S214" s="79"/>
      <c r="T214" s="79"/>
      <c r="Y214" s="79"/>
      <c r="AE214" s="130"/>
      <c r="AG214" s="106"/>
    </row>
    <row r="215">
      <c r="C215" s="79"/>
      <c r="D215" s="79"/>
      <c r="E215" s="79"/>
      <c r="O215" s="79"/>
      <c r="S215" s="79"/>
      <c r="T215" s="79"/>
      <c r="Y215" s="79"/>
      <c r="AE215" s="130"/>
      <c r="AG215" s="106"/>
    </row>
    <row r="216">
      <c r="C216" s="79"/>
      <c r="D216" s="79"/>
      <c r="E216" s="79"/>
      <c r="O216" s="79"/>
      <c r="S216" s="79"/>
      <c r="T216" s="79"/>
      <c r="Y216" s="79"/>
      <c r="AE216" s="130"/>
      <c r="AG216" s="106"/>
    </row>
    <row r="217">
      <c r="C217" s="79"/>
      <c r="D217" s="79"/>
      <c r="E217" s="79"/>
      <c r="O217" s="79"/>
      <c r="S217" s="79"/>
      <c r="T217" s="79"/>
      <c r="Y217" s="79"/>
      <c r="AE217" s="130"/>
      <c r="AG217" s="106"/>
    </row>
    <row r="218">
      <c r="C218" s="79"/>
      <c r="D218" s="79"/>
      <c r="E218" s="79"/>
      <c r="O218" s="79"/>
      <c r="S218" s="79"/>
      <c r="T218" s="79"/>
      <c r="Y218" s="79"/>
      <c r="AE218" s="130"/>
      <c r="AG218" s="106"/>
    </row>
    <row r="219">
      <c r="C219" s="79"/>
      <c r="D219" s="79"/>
      <c r="E219" s="79"/>
      <c r="O219" s="79"/>
      <c r="S219" s="79"/>
      <c r="T219" s="79"/>
      <c r="Y219" s="79"/>
      <c r="AE219" s="130"/>
      <c r="AG219" s="106"/>
    </row>
    <row r="220">
      <c r="C220" s="79"/>
      <c r="D220" s="79"/>
      <c r="E220" s="79"/>
      <c r="O220" s="79"/>
      <c r="S220" s="79"/>
      <c r="T220" s="79"/>
      <c r="Y220" s="79"/>
      <c r="AE220" s="130"/>
      <c r="AG220" s="106"/>
    </row>
    <row r="221">
      <c r="C221" s="79"/>
      <c r="D221" s="79"/>
      <c r="E221" s="79"/>
      <c r="O221" s="79"/>
      <c r="S221" s="79"/>
      <c r="T221" s="79"/>
      <c r="Y221" s="79"/>
      <c r="AE221" s="130"/>
      <c r="AG221" s="106"/>
    </row>
    <row r="222">
      <c r="C222" s="79"/>
      <c r="D222" s="79"/>
      <c r="E222" s="79"/>
      <c r="O222" s="79"/>
      <c r="S222" s="79"/>
      <c r="T222" s="79"/>
      <c r="Y222" s="79"/>
      <c r="AE222" s="130"/>
      <c r="AG222" s="106"/>
    </row>
    <row r="223">
      <c r="C223" s="79"/>
      <c r="D223" s="79"/>
      <c r="E223" s="79"/>
      <c r="O223" s="79"/>
      <c r="S223" s="79"/>
      <c r="T223" s="79"/>
      <c r="Y223" s="79"/>
      <c r="AE223" s="130"/>
      <c r="AG223" s="106"/>
    </row>
    <row r="224">
      <c r="C224" s="79"/>
      <c r="D224" s="79"/>
      <c r="E224" s="79"/>
      <c r="O224" s="79"/>
      <c r="S224" s="79"/>
      <c r="T224" s="79"/>
      <c r="Y224" s="79"/>
      <c r="AE224" s="130"/>
      <c r="AG224" s="106"/>
    </row>
    <row r="225">
      <c r="C225" s="79"/>
      <c r="D225" s="79"/>
      <c r="E225" s="79"/>
      <c r="O225" s="79"/>
      <c r="S225" s="79"/>
      <c r="T225" s="79"/>
      <c r="Y225" s="79"/>
      <c r="AE225" s="130"/>
      <c r="AG225" s="106"/>
    </row>
    <row r="226">
      <c r="C226" s="79"/>
      <c r="D226" s="79"/>
      <c r="E226" s="79"/>
      <c r="O226" s="79"/>
      <c r="S226" s="79"/>
      <c r="T226" s="79"/>
      <c r="Y226" s="79"/>
      <c r="AE226" s="130"/>
      <c r="AG226" s="106"/>
    </row>
    <row r="227">
      <c r="C227" s="79"/>
      <c r="D227" s="79"/>
      <c r="E227" s="79"/>
      <c r="O227" s="79"/>
      <c r="S227" s="79"/>
      <c r="T227" s="79"/>
      <c r="Y227" s="79"/>
      <c r="AE227" s="130"/>
      <c r="AG227" s="106"/>
    </row>
    <row r="228">
      <c r="C228" s="79"/>
      <c r="D228" s="79"/>
      <c r="E228" s="79"/>
      <c r="O228" s="79"/>
      <c r="S228" s="79"/>
      <c r="T228" s="79"/>
      <c r="Y228" s="79"/>
      <c r="AE228" s="130"/>
      <c r="AG228" s="106"/>
    </row>
    <row r="229">
      <c r="C229" s="79"/>
      <c r="D229" s="79"/>
      <c r="E229" s="79"/>
      <c r="O229" s="79"/>
      <c r="S229" s="79"/>
      <c r="T229" s="79"/>
      <c r="Y229" s="79"/>
      <c r="AE229" s="130"/>
      <c r="AG229" s="106"/>
    </row>
    <row r="230">
      <c r="C230" s="79"/>
      <c r="D230" s="79"/>
      <c r="E230" s="79"/>
      <c r="O230" s="79"/>
      <c r="S230" s="79"/>
      <c r="T230" s="79"/>
      <c r="Y230" s="79"/>
      <c r="AE230" s="130"/>
      <c r="AG230" s="106"/>
    </row>
    <row r="231">
      <c r="C231" s="79"/>
      <c r="D231" s="79"/>
      <c r="E231" s="79"/>
      <c r="O231" s="79"/>
      <c r="S231" s="79"/>
      <c r="T231" s="79"/>
      <c r="Y231" s="79"/>
      <c r="AE231" s="130"/>
      <c r="AG231" s="106"/>
    </row>
    <row r="232">
      <c r="C232" s="79"/>
      <c r="D232" s="79"/>
      <c r="E232" s="79"/>
      <c r="O232" s="79"/>
      <c r="S232" s="79"/>
      <c r="T232" s="79"/>
      <c r="Y232" s="79"/>
      <c r="AE232" s="130"/>
      <c r="AG232" s="106"/>
    </row>
    <row r="233">
      <c r="C233" s="79"/>
      <c r="D233" s="79"/>
      <c r="E233" s="79"/>
      <c r="O233" s="79"/>
      <c r="S233" s="79"/>
      <c r="T233" s="79"/>
      <c r="Y233" s="79"/>
      <c r="AE233" s="130"/>
      <c r="AG233" s="106"/>
    </row>
    <row r="234">
      <c r="C234" s="79"/>
      <c r="D234" s="79"/>
      <c r="E234" s="79"/>
      <c r="O234" s="79"/>
      <c r="S234" s="79"/>
      <c r="T234" s="79"/>
      <c r="Y234" s="79"/>
      <c r="AE234" s="130"/>
      <c r="AG234" s="106"/>
    </row>
    <row r="235">
      <c r="C235" s="79"/>
      <c r="D235" s="79"/>
      <c r="E235" s="79"/>
      <c r="O235" s="79"/>
      <c r="S235" s="79"/>
      <c r="T235" s="79"/>
      <c r="Y235" s="79"/>
      <c r="AE235" s="130"/>
      <c r="AG235" s="106"/>
    </row>
    <row r="236">
      <c r="C236" s="79"/>
      <c r="D236" s="79"/>
      <c r="E236" s="79"/>
      <c r="O236" s="79"/>
      <c r="S236" s="79"/>
      <c r="T236" s="79"/>
      <c r="Y236" s="79"/>
      <c r="AE236" s="130"/>
      <c r="AG236" s="106"/>
    </row>
    <row r="237">
      <c r="C237" s="79"/>
      <c r="D237" s="79"/>
      <c r="E237" s="79"/>
      <c r="O237" s="79"/>
      <c r="S237" s="79"/>
      <c r="T237" s="79"/>
      <c r="Y237" s="79"/>
      <c r="AE237" s="130"/>
      <c r="AG237" s="106"/>
    </row>
    <row r="238">
      <c r="C238" s="79"/>
      <c r="D238" s="79"/>
      <c r="E238" s="79"/>
      <c r="O238" s="79"/>
      <c r="S238" s="79"/>
      <c r="T238" s="79"/>
      <c r="Y238" s="79"/>
      <c r="AE238" s="130"/>
      <c r="AG238" s="106"/>
    </row>
    <row r="239">
      <c r="C239" s="79"/>
      <c r="D239" s="79"/>
      <c r="E239" s="79"/>
      <c r="O239" s="79"/>
      <c r="S239" s="79"/>
      <c r="T239" s="79"/>
      <c r="Y239" s="79"/>
      <c r="AE239" s="130"/>
      <c r="AG239" s="106"/>
    </row>
    <row r="240">
      <c r="C240" s="79"/>
      <c r="D240" s="79"/>
      <c r="E240" s="79"/>
      <c r="O240" s="79"/>
      <c r="S240" s="79"/>
      <c r="T240" s="79"/>
      <c r="Y240" s="79"/>
      <c r="AE240" s="130"/>
      <c r="AG240" s="106"/>
    </row>
    <row r="241">
      <c r="C241" s="79"/>
      <c r="D241" s="79"/>
      <c r="E241" s="79"/>
      <c r="O241" s="79"/>
      <c r="S241" s="79"/>
      <c r="T241" s="79"/>
      <c r="Y241" s="79"/>
      <c r="AE241" s="130"/>
      <c r="AG241" s="106"/>
    </row>
    <row r="242">
      <c r="C242" s="79"/>
      <c r="D242" s="79"/>
      <c r="E242" s="79"/>
      <c r="O242" s="79"/>
      <c r="S242" s="79"/>
      <c r="T242" s="79"/>
      <c r="Y242" s="79"/>
      <c r="AE242" s="130"/>
      <c r="AG242" s="106"/>
    </row>
    <row r="243">
      <c r="C243" s="79"/>
      <c r="D243" s="79"/>
      <c r="E243" s="79"/>
      <c r="O243" s="79"/>
      <c r="S243" s="79"/>
      <c r="T243" s="79"/>
      <c r="Y243" s="79"/>
      <c r="AE243" s="130"/>
      <c r="AG243" s="106"/>
    </row>
    <row r="244">
      <c r="C244" s="79"/>
      <c r="D244" s="79"/>
      <c r="E244" s="79"/>
      <c r="O244" s="79"/>
      <c r="S244" s="79"/>
      <c r="T244" s="79"/>
      <c r="Y244" s="79"/>
      <c r="AE244" s="130"/>
      <c r="AG244" s="106"/>
    </row>
    <row r="245">
      <c r="C245" s="79"/>
      <c r="D245" s="79"/>
      <c r="E245" s="79"/>
      <c r="O245" s="79"/>
      <c r="S245" s="79"/>
      <c r="T245" s="79"/>
      <c r="Y245" s="79"/>
      <c r="AE245" s="130"/>
      <c r="AG245" s="106"/>
    </row>
    <row r="246">
      <c r="C246" s="79"/>
      <c r="D246" s="79"/>
      <c r="E246" s="79"/>
      <c r="O246" s="79"/>
      <c r="S246" s="79"/>
      <c r="T246" s="79"/>
      <c r="Y246" s="79"/>
      <c r="AE246" s="130"/>
      <c r="AG246" s="106"/>
    </row>
    <row r="247">
      <c r="C247" s="79"/>
      <c r="D247" s="79"/>
      <c r="E247" s="79"/>
      <c r="O247" s="79"/>
      <c r="S247" s="79"/>
      <c r="T247" s="79"/>
      <c r="Y247" s="79"/>
      <c r="AE247" s="130"/>
      <c r="AG247" s="106"/>
    </row>
    <row r="248">
      <c r="C248" s="79"/>
      <c r="D248" s="79"/>
      <c r="E248" s="79"/>
      <c r="O248" s="79"/>
      <c r="S248" s="79"/>
      <c r="T248" s="79"/>
      <c r="Y248" s="79"/>
      <c r="AE248" s="130"/>
      <c r="AG248" s="106"/>
    </row>
    <row r="249">
      <c r="C249" s="79"/>
      <c r="D249" s="79"/>
      <c r="E249" s="79"/>
      <c r="O249" s="79"/>
      <c r="S249" s="79"/>
      <c r="T249" s="79"/>
      <c r="Y249" s="79"/>
      <c r="AE249" s="130"/>
      <c r="AG249" s="106"/>
    </row>
    <row r="250">
      <c r="C250" s="79"/>
      <c r="D250" s="79"/>
      <c r="E250" s="79"/>
      <c r="O250" s="79"/>
      <c r="S250" s="79"/>
      <c r="T250" s="79"/>
      <c r="Y250" s="79"/>
      <c r="AE250" s="130"/>
      <c r="AG250" s="106"/>
    </row>
    <row r="251">
      <c r="C251" s="79"/>
      <c r="D251" s="79"/>
      <c r="E251" s="79"/>
      <c r="O251" s="79"/>
      <c r="S251" s="79"/>
      <c r="T251" s="79"/>
      <c r="Y251" s="79"/>
      <c r="AE251" s="130"/>
      <c r="AG251" s="106"/>
    </row>
    <row r="252">
      <c r="C252" s="79"/>
      <c r="D252" s="79"/>
      <c r="E252" s="79"/>
      <c r="O252" s="79"/>
      <c r="S252" s="79"/>
      <c r="T252" s="79"/>
      <c r="Y252" s="79"/>
      <c r="AE252" s="130"/>
      <c r="AG252" s="106"/>
    </row>
    <row r="253">
      <c r="C253" s="79"/>
      <c r="D253" s="79"/>
      <c r="E253" s="79"/>
      <c r="O253" s="79"/>
      <c r="S253" s="79"/>
      <c r="T253" s="79"/>
      <c r="Y253" s="79"/>
      <c r="AE253" s="130"/>
      <c r="AG253" s="106"/>
    </row>
    <row r="254">
      <c r="C254" s="79"/>
      <c r="D254" s="79"/>
      <c r="E254" s="79"/>
      <c r="O254" s="79"/>
      <c r="S254" s="79"/>
      <c r="T254" s="79"/>
      <c r="Y254" s="79"/>
      <c r="AE254" s="130"/>
      <c r="AG254" s="106"/>
    </row>
    <row r="255">
      <c r="C255" s="79"/>
      <c r="D255" s="79"/>
      <c r="E255" s="79"/>
      <c r="O255" s="79"/>
      <c r="S255" s="79"/>
      <c r="T255" s="79"/>
      <c r="Y255" s="79"/>
      <c r="AE255" s="130"/>
      <c r="AG255" s="106"/>
    </row>
    <row r="256">
      <c r="C256" s="79"/>
      <c r="D256" s="79"/>
      <c r="E256" s="79"/>
      <c r="O256" s="79"/>
      <c r="S256" s="79"/>
      <c r="T256" s="79"/>
      <c r="Y256" s="79"/>
      <c r="AE256" s="130"/>
      <c r="AG256" s="106"/>
    </row>
    <row r="257">
      <c r="C257" s="79"/>
      <c r="D257" s="79"/>
      <c r="E257" s="79"/>
      <c r="O257" s="79"/>
      <c r="S257" s="79"/>
      <c r="T257" s="79"/>
      <c r="Y257" s="79"/>
      <c r="AE257" s="130"/>
      <c r="AG257" s="106"/>
    </row>
    <row r="258">
      <c r="C258" s="79"/>
      <c r="D258" s="79"/>
      <c r="E258" s="79"/>
      <c r="O258" s="79"/>
      <c r="S258" s="79"/>
      <c r="T258" s="79"/>
      <c r="Y258" s="79"/>
      <c r="AE258" s="130"/>
      <c r="AG258" s="106"/>
    </row>
    <row r="259">
      <c r="C259" s="79"/>
      <c r="D259" s="79"/>
      <c r="E259" s="79"/>
      <c r="O259" s="79"/>
      <c r="S259" s="79"/>
      <c r="T259" s="79"/>
      <c r="Y259" s="79"/>
      <c r="AE259" s="130"/>
      <c r="AG259" s="106"/>
    </row>
    <row r="260">
      <c r="C260" s="79"/>
      <c r="D260" s="79"/>
      <c r="E260" s="79"/>
      <c r="O260" s="79"/>
      <c r="S260" s="79"/>
      <c r="T260" s="79"/>
      <c r="Y260" s="79"/>
      <c r="AE260" s="130"/>
      <c r="AG260" s="106"/>
    </row>
    <row r="261">
      <c r="C261" s="79"/>
      <c r="D261" s="79"/>
      <c r="E261" s="79"/>
      <c r="O261" s="79"/>
      <c r="S261" s="79"/>
      <c r="T261" s="79"/>
      <c r="Y261" s="79"/>
      <c r="AE261" s="130"/>
      <c r="AG261" s="106"/>
    </row>
    <row r="262">
      <c r="C262" s="79"/>
      <c r="D262" s="79"/>
      <c r="E262" s="79"/>
      <c r="O262" s="79"/>
      <c r="S262" s="79"/>
      <c r="T262" s="79"/>
      <c r="Y262" s="79"/>
      <c r="AE262" s="130"/>
      <c r="AG262" s="106"/>
    </row>
    <row r="263">
      <c r="C263" s="79"/>
      <c r="D263" s="79"/>
      <c r="E263" s="79"/>
      <c r="O263" s="79"/>
      <c r="S263" s="79"/>
      <c r="T263" s="79"/>
      <c r="Y263" s="79"/>
      <c r="AE263" s="130"/>
      <c r="AG263" s="106"/>
    </row>
    <row r="264">
      <c r="C264" s="79"/>
      <c r="D264" s="79"/>
      <c r="E264" s="79"/>
      <c r="O264" s="79"/>
      <c r="S264" s="79"/>
      <c r="T264" s="79"/>
      <c r="Y264" s="79"/>
      <c r="AE264" s="130"/>
      <c r="AG264" s="106"/>
    </row>
    <row r="265">
      <c r="C265" s="79"/>
      <c r="D265" s="79"/>
      <c r="E265" s="79"/>
      <c r="O265" s="79"/>
      <c r="S265" s="79"/>
      <c r="T265" s="79"/>
      <c r="Y265" s="79"/>
      <c r="AE265" s="130"/>
      <c r="AG265" s="106"/>
    </row>
    <row r="266">
      <c r="C266" s="79"/>
      <c r="D266" s="79"/>
      <c r="E266" s="79"/>
      <c r="O266" s="79"/>
      <c r="S266" s="79"/>
      <c r="T266" s="79"/>
      <c r="Y266" s="79"/>
      <c r="AE266" s="130"/>
      <c r="AG266" s="106"/>
    </row>
    <row r="267">
      <c r="C267" s="79"/>
      <c r="D267" s="79"/>
      <c r="E267" s="79"/>
      <c r="O267" s="79"/>
      <c r="S267" s="79"/>
      <c r="T267" s="79"/>
      <c r="Y267" s="79"/>
      <c r="AE267" s="130"/>
      <c r="AG267" s="106"/>
    </row>
    <row r="268">
      <c r="C268" s="79"/>
      <c r="D268" s="79"/>
      <c r="E268" s="79"/>
      <c r="O268" s="79"/>
      <c r="S268" s="79"/>
      <c r="T268" s="79"/>
      <c r="Y268" s="79"/>
      <c r="AE268" s="130"/>
      <c r="AG268" s="106"/>
    </row>
    <row r="269">
      <c r="C269" s="79"/>
      <c r="D269" s="79"/>
      <c r="E269" s="79"/>
      <c r="O269" s="79"/>
      <c r="S269" s="79"/>
      <c r="T269" s="79"/>
      <c r="Y269" s="79"/>
      <c r="AE269" s="130"/>
      <c r="AG269" s="106"/>
    </row>
    <row r="270">
      <c r="C270" s="79"/>
      <c r="D270" s="79"/>
      <c r="E270" s="79"/>
      <c r="O270" s="79"/>
      <c r="S270" s="79"/>
      <c r="T270" s="79"/>
      <c r="Y270" s="79"/>
      <c r="AE270" s="130"/>
      <c r="AG270" s="106"/>
    </row>
    <row r="271">
      <c r="C271" s="79"/>
      <c r="D271" s="79"/>
      <c r="E271" s="79"/>
      <c r="O271" s="79"/>
      <c r="S271" s="79"/>
      <c r="T271" s="79"/>
      <c r="Y271" s="79"/>
      <c r="AE271" s="130"/>
      <c r="AG271" s="106"/>
    </row>
    <row r="272">
      <c r="C272" s="79"/>
      <c r="D272" s="79"/>
      <c r="E272" s="79"/>
      <c r="O272" s="79"/>
      <c r="S272" s="79"/>
      <c r="T272" s="79"/>
      <c r="Y272" s="79"/>
      <c r="AE272" s="130"/>
      <c r="AG272" s="106"/>
    </row>
    <row r="273">
      <c r="C273" s="79"/>
      <c r="D273" s="79"/>
      <c r="E273" s="79"/>
      <c r="O273" s="79"/>
      <c r="S273" s="79"/>
      <c r="T273" s="79"/>
      <c r="Y273" s="79"/>
      <c r="AE273" s="130"/>
      <c r="AG273" s="106"/>
    </row>
    <row r="274">
      <c r="C274" s="79"/>
      <c r="D274" s="79"/>
      <c r="E274" s="79"/>
      <c r="O274" s="79"/>
      <c r="S274" s="79"/>
      <c r="T274" s="79"/>
      <c r="Y274" s="79"/>
      <c r="AE274" s="130"/>
      <c r="AG274" s="106"/>
    </row>
    <row r="275">
      <c r="C275" s="79"/>
      <c r="D275" s="79"/>
      <c r="E275" s="79"/>
      <c r="O275" s="79"/>
      <c r="S275" s="79"/>
      <c r="T275" s="79"/>
      <c r="Y275" s="79"/>
      <c r="AE275" s="130"/>
      <c r="AG275" s="106"/>
    </row>
    <row r="276">
      <c r="C276" s="79"/>
      <c r="D276" s="79"/>
      <c r="E276" s="79"/>
      <c r="O276" s="79"/>
      <c r="S276" s="79"/>
      <c r="T276" s="79"/>
      <c r="Y276" s="79"/>
      <c r="AE276" s="130"/>
      <c r="AG276" s="106"/>
    </row>
    <row r="277">
      <c r="C277" s="79"/>
      <c r="D277" s="79"/>
      <c r="E277" s="79"/>
      <c r="O277" s="79"/>
      <c r="S277" s="79"/>
      <c r="T277" s="79"/>
      <c r="Y277" s="79"/>
      <c r="AE277" s="130"/>
      <c r="AG277" s="106"/>
    </row>
    <row r="278">
      <c r="C278" s="79"/>
      <c r="D278" s="79"/>
      <c r="E278" s="79"/>
      <c r="O278" s="79"/>
      <c r="S278" s="79"/>
      <c r="T278" s="79"/>
      <c r="Y278" s="79"/>
      <c r="AE278" s="130"/>
      <c r="AG278" s="106"/>
    </row>
    <row r="279">
      <c r="C279" s="79"/>
      <c r="D279" s="79"/>
      <c r="E279" s="79"/>
      <c r="O279" s="79"/>
      <c r="S279" s="79"/>
      <c r="T279" s="79"/>
      <c r="Y279" s="79"/>
      <c r="AE279" s="130"/>
      <c r="AG279" s="106"/>
    </row>
    <row r="280">
      <c r="C280" s="79"/>
      <c r="D280" s="79"/>
      <c r="E280" s="79"/>
      <c r="O280" s="79"/>
      <c r="S280" s="79"/>
      <c r="T280" s="79"/>
      <c r="Y280" s="79"/>
      <c r="AE280" s="130"/>
      <c r="AG280" s="106"/>
    </row>
    <row r="281">
      <c r="C281" s="79"/>
      <c r="D281" s="79"/>
      <c r="E281" s="79"/>
      <c r="O281" s="79"/>
      <c r="S281" s="79"/>
      <c r="T281" s="79"/>
      <c r="Y281" s="79"/>
      <c r="AE281" s="130"/>
      <c r="AG281" s="106"/>
    </row>
    <row r="282">
      <c r="C282" s="79"/>
      <c r="D282" s="79"/>
      <c r="E282" s="79"/>
      <c r="O282" s="79"/>
      <c r="S282" s="79"/>
      <c r="T282" s="79"/>
      <c r="Y282" s="79"/>
      <c r="AE282" s="130"/>
      <c r="AG282" s="106"/>
    </row>
    <row r="283">
      <c r="C283" s="79"/>
      <c r="D283" s="79"/>
      <c r="E283" s="79"/>
      <c r="O283" s="79"/>
      <c r="S283" s="79"/>
      <c r="T283" s="79"/>
      <c r="Y283" s="79"/>
      <c r="AE283" s="130"/>
      <c r="AG283" s="106"/>
    </row>
    <row r="284">
      <c r="C284" s="79"/>
      <c r="D284" s="79"/>
      <c r="E284" s="79"/>
      <c r="O284" s="79"/>
      <c r="S284" s="79"/>
      <c r="T284" s="79"/>
      <c r="Y284" s="79"/>
      <c r="AE284" s="130"/>
      <c r="AG284" s="106"/>
    </row>
    <row r="285">
      <c r="C285" s="79"/>
      <c r="D285" s="79"/>
      <c r="E285" s="79"/>
      <c r="O285" s="79"/>
      <c r="S285" s="79"/>
      <c r="T285" s="79"/>
      <c r="Y285" s="79"/>
      <c r="AE285" s="130"/>
      <c r="AG285" s="106"/>
    </row>
    <row r="286">
      <c r="C286" s="79"/>
      <c r="D286" s="79"/>
      <c r="E286" s="79"/>
      <c r="O286" s="79"/>
      <c r="S286" s="79"/>
      <c r="T286" s="79"/>
      <c r="Y286" s="79"/>
      <c r="AE286" s="130"/>
      <c r="AG286" s="106"/>
    </row>
    <row r="287">
      <c r="C287" s="79"/>
      <c r="D287" s="79"/>
      <c r="E287" s="79"/>
      <c r="O287" s="79"/>
      <c r="S287" s="79"/>
      <c r="T287" s="79"/>
      <c r="Y287" s="79"/>
      <c r="AE287" s="130"/>
      <c r="AG287" s="106"/>
    </row>
    <row r="288">
      <c r="C288" s="79"/>
      <c r="D288" s="79"/>
      <c r="E288" s="79"/>
      <c r="O288" s="79"/>
      <c r="S288" s="79"/>
      <c r="T288" s="79"/>
      <c r="Y288" s="79"/>
      <c r="AE288" s="130"/>
      <c r="AG288" s="106"/>
    </row>
    <row r="289">
      <c r="C289" s="79"/>
      <c r="D289" s="79"/>
      <c r="E289" s="79"/>
      <c r="O289" s="79"/>
      <c r="S289" s="79"/>
      <c r="T289" s="79"/>
      <c r="Y289" s="79"/>
      <c r="AE289" s="130"/>
      <c r="AG289" s="106"/>
    </row>
    <row r="290">
      <c r="C290" s="79"/>
      <c r="D290" s="79"/>
      <c r="E290" s="79"/>
      <c r="O290" s="79"/>
      <c r="S290" s="79"/>
      <c r="T290" s="79"/>
      <c r="Y290" s="79"/>
      <c r="AE290" s="130"/>
      <c r="AG290" s="106"/>
    </row>
    <row r="291">
      <c r="C291" s="79"/>
      <c r="D291" s="79"/>
      <c r="E291" s="79"/>
      <c r="O291" s="79"/>
      <c r="S291" s="79"/>
      <c r="T291" s="79"/>
      <c r="Y291" s="79"/>
      <c r="AE291" s="130"/>
      <c r="AG291" s="106"/>
    </row>
    <row r="292">
      <c r="C292" s="79"/>
      <c r="D292" s="79"/>
      <c r="E292" s="79"/>
      <c r="O292" s="79"/>
      <c r="S292" s="79"/>
      <c r="T292" s="79"/>
      <c r="Y292" s="79"/>
      <c r="AE292" s="130"/>
      <c r="AG292" s="106"/>
    </row>
    <row r="293">
      <c r="C293" s="79"/>
      <c r="D293" s="79"/>
      <c r="E293" s="79"/>
      <c r="O293" s="79"/>
      <c r="S293" s="79"/>
      <c r="T293" s="79"/>
      <c r="Y293" s="79"/>
      <c r="AE293" s="130"/>
      <c r="AG293" s="106"/>
    </row>
    <row r="294">
      <c r="C294" s="79"/>
      <c r="D294" s="79"/>
      <c r="E294" s="79"/>
      <c r="O294" s="79"/>
      <c r="S294" s="79"/>
      <c r="T294" s="79"/>
      <c r="Y294" s="79"/>
      <c r="AE294" s="130"/>
      <c r="AG294" s="106"/>
    </row>
    <row r="295">
      <c r="C295" s="79"/>
      <c r="D295" s="79"/>
      <c r="E295" s="79"/>
      <c r="O295" s="79"/>
      <c r="S295" s="79"/>
      <c r="T295" s="79"/>
      <c r="Y295" s="79"/>
      <c r="AE295" s="130"/>
      <c r="AG295" s="106"/>
    </row>
    <row r="296">
      <c r="C296" s="79"/>
      <c r="D296" s="79"/>
      <c r="E296" s="79"/>
      <c r="O296" s="79"/>
      <c r="S296" s="79"/>
      <c r="T296" s="79"/>
      <c r="Y296" s="79"/>
      <c r="AE296" s="130"/>
      <c r="AG296" s="106"/>
    </row>
    <row r="297">
      <c r="C297" s="79"/>
      <c r="D297" s="79"/>
      <c r="E297" s="79"/>
      <c r="O297" s="79"/>
      <c r="S297" s="79"/>
      <c r="T297" s="79"/>
      <c r="Y297" s="79"/>
      <c r="AE297" s="130"/>
      <c r="AG297" s="106"/>
    </row>
    <row r="298">
      <c r="C298" s="79"/>
      <c r="D298" s="79"/>
      <c r="E298" s="79"/>
      <c r="O298" s="79"/>
      <c r="S298" s="79"/>
      <c r="T298" s="79"/>
      <c r="Y298" s="79"/>
      <c r="AE298" s="130"/>
      <c r="AG298" s="106"/>
    </row>
    <row r="299">
      <c r="C299" s="79"/>
      <c r="D299" s="79"/>
      <c r="E299" s="79"/>
      <c r="O299" s="79"/>
      <c r="S299" s="79"/>
      <c r="T299" s="79"/>
      <c r="Y299" s="79"/>
      <c r="AE299" s="130"/>
      <c r="AG299" s="106"/>
    </row>
    <row r="300">
      <c r="C300" s="79"/>
      <c r="D300" s="79"/>
      <c r="E300" s="79"/>
      <c r="O300" s="79"/>
      <c r="S300" s="79"/>
      <c r="T300" s="79"/>
      <c r="Y300" s="79"/>
      <c r="AE300" s="130"/>
      <c r="AG300" s="106"/>
    </row>
    <row r="301">
      <c r="C301" s="79"/>
      <c r="D301" s="79"/>
      <c r="E301" s="79"/>
      <c r="O301" s="79"/>
      <c r="S301" s="79"/>
      <c r="T301" s="79"/>
      <c r="Y301" s="79"/>
      <c r="AE301" s="130"/>
      <c r="AG301" s="106"/>
    </row>
    <row r="302">
      <c r="C302" s="79"/>
      <c r="D302" s="79"/>
      <c r="E302" s="79"/>
      <c r="O302" s="79"/>
      <c r="S302" s="79"/>
      <c r="T302" s="79"/>
      <c r="Y302" s="79"/>
      <c r="AE302" s="130"/>
      <c r="AG302" s="106"/>
    </row>
    <row r="303">
      <c r="C303" s="79"/>
      <c r="D303" s="79"/>
      <c r="E303" s="79"/>
      <c r="O303" s="79"/>
      <c r="S303" s="79"/>
      <c r="T303" s="79"/>
      <c r="Y303" s="79"/>
      <c r="AE303" s="130"/>
      <c r="AG303" s="106"/>
    </row>
    <row r="304">
      <c r="C304" s="79"/>
      <c r="D304" s="79"/>
      <c r="E304" s="79"/>
      <c r="O304" s="79"/>
      <c r="S304" s="79"/>
      <c r="T304" s="79"/>
      <c r="Y304" s="79"/>
      <c r="AE304" s="130"/>
      <c r="AG304" s="106"/>
    </row>
    <row r="305">
      <c r="C305" s="79"/>
      <c r="D305" s="79"/>
      <c r="E305" s="79"/>
      <c r="O305" s="79"/>
      <c r="S305" s="79"/>
      <c r="T305" s="79"/>
      <c r="Y305" s="79"/>
      <c r="AE305" s="130"/>
      <c r="AG305" s="106"/>
    </row>
    <row r="306">
      <c r="C306" s="79"/>
      <c r="D306" s="79"/>
      <c r="E306" s="79"/>
      <c r="O306" s="79"/>
      <c r="S306" s="79"/>
      <c r="T306" s="79"/>
      <c r="Y306" s="79"/>
      <c r="AE306" s="130"/>
      <c r="AG306" s="106"/>
    </row>
    <row r="307">
      <c r="C307" s="79"/>
      <c r="D307" s="79"/>
      <c r="E307" s="79"/>
      <c r="O307" s="79"/>
      <c r="S307" s="79"/>
      <c r="T307" s="79"/>
      <c r="Y307" s="79"/>
      <c r="AE307" s="130"/>
      <c r="AG307" s="106"/>
    </row>
    <row r="308">
      <c r="C308" s="79"/>
      <c r="D308" s="79"/>
      <c r="E308" s="79"/>
      <c r="O308" s="79"/>
      <c r="S308" s="79"/>
      <c r="T308" s="79"/>
      <c r="Y308" s="79"/>
      <c r="AE308" s="130"/>
      <c r="AG308" s="106"/>
    </row>
    <row r="309">
      <c r="C309" s="79"/>
      <c r="D309" s="79"/>
      <c r="E309" s="79"/>
      <c r="O309" s="79"/>
      <c r="S309" s="79"/>
      <c r="T309" s="79"/>
      <c r="Y309" s="79"/>
      <c r="AE309" s="130"/>
      <c r="AG309" s="106"/>
    </row>
    <row r="310">
      <c r="C310" s="79"/>
      <c r="D310" s="79"/>
      <c r="E310" s="79"/>
      <c r="O310" s="79"/>
      <c r="S310" s="79"/>
      <c r="T310" s="79"/>
      <c r="Y310" s="79"/>
      <c r="AE310" s="130"/>
      <c r="AG310" s="106"/>
    </row>
    <row r="311">
      <c r="C311" s="79"/>
      <c r="D311" s="79"/>
      <c r="E311" s="79"/>
      <c r="O311" s="79"/>
      <c r="S311" s="79"/>
      <c r="T311" s="79"/>
      <c r="Y311" s="79"/>
      <c r="AE311" s="130"/>
      <c r="AG311" s="106"/>
    </row>
    <row r="312">
      <c r="C312" s="79"/>
      <c r="D312" s="79"/>
      <c r="E312" s="79"/>
      <c r="O312" s="79"/>
      <c r="S312" s="79"/>
      <c r="T312" s="79"/>
      <c r="Y312" s="79"/>
      <c r="AE312" s="130"/>
      <c r="AG312" s="106"/>
    </row>
    <row r="313">
      <c r="C313" s="79"/>
      <c r="D313" s="79"/>
      <c r="E313" s="79"/>
      <c r="O313" s="79"/>
      <c r="S313" s="79"/>
      <c r="T313" s="79"/>
      <c r="Y313" s="79"/>
      <c r="AE313" s="130"/>
      <c r="AG313" s="106"/>
    </row>
    <row r="314">
      <c r="C314" s="79"/>
      <c r="D314" s="79"/>
      <c r="E314" s="79"/>
      <c r="O314" s="79"/>
      <c r="S314" s="79"/>
      <c r="T314" s="79"/>
      <c r="Y314" s="79"/>
      <c r="AE314" s="130"/>
      <c r="AG314" s="106"/>
    </row>
    <row r="315">
      <c r="C315" s="79"/>
      <c r="D315" s="79"/>
      <c r="E315" s="79"/>
      <c r="O315" s="79"/>
      <c r="S315" s="79"/>
      <c r="T315" s="79"/>
      <c r="Y315" s="79"/>
      <c r="AE315" s="130"/>
      <c r="AG315" s="106"/>
    </row>
    <row r="316">
      <c r="C316" s="79"/>
      <c r="D316" s="79"/>
      <c r="E316" s="79"/>
      <c r="O316" s="79"/>
      <c r="S316" s="79"/>
      <c r="T316" s="79"/>
      <c r="Y316" s="79"/>
      <c r="AE316" s="130"/>
      <c r="AG316" s="106"/>
    </row>
    <row r="317">
      <c r="C317" s="79"/>
      <c r="D317" s="79"/>
      <c r="E317" s="79"/>
      <c r="O317" s="79"/>
      <c r="S317" s="79"/>
      <c r="T317" s="79"/>
      <c r="Y317" s="79"/>
      <c r="AE317" s="130"/>
      <c r="AG317" s="106"/>
    </row>
    <row r="318">
      <c r="C318" s="79"/>
      <c r="D318" s="79"/>
      <c r="E318" s="79"/>
      <c r="O318" s="79"/>
      <c r="S318" s="79"/>
      <c r="T318" s="79"/>
      <c r="Y318" s="79"/>
      <c r="AE318" s="130"/>
      <c r="AG318" s="106"/>
    </row>
    <row r="319">
      <c r="C319" s="79"/>
      <c r="D319" s="79"/>
      <c r="E319" s="79"/>
      <c r="O319" s="79"/>
      <c r="S319" s="79"/>
      <c r="T319" s="79"/>
      <c r="Y319" s="79"/>
      <c r="AE319" s="130"/>
      <c r="AG319" s="106"/>
    </row>
    <row r="320">
      <c r="C320" s="79"/>
      <c r="D320" s="79"/>
      <c r="E320" s="79"/>
      <c r="O320" s="79"/>
      <c r="S320" s="79"/>
      <c r="T320" s="79"/>
      <c r="Y320" s="79"/>
      <c r="AE320" s="130"/>
      <c r="AG320" s="106"/>
    </row>
    <row r="321">
      <c r="C321" s="79"/>
      <c r="D321" s="79"/>
      <c r="E321" s="79"/>
      <c r="O321" s="79"/>
      <c r="S321" s="79"/>
      <c r="T321" s="79"/>
      <c r="Y321" s="79"/>
      <c r="AE321" s="130"/>
      <c r="AG321" s="106"/>
    </row>
    <row r="322">
      <c r="C322" s="79"/>
      <c r="D322" s="79"/>
      <c r="E322" s="79"/>
      <c r="O322" s="79"/>
      <c r="S322" s="79"/>
      <c r="T322" s="79"/>
      <c r="Y322" s="79"/>
      <c r="AE322" s="130"/>
      <c r="AG322" s="106"/>
    </row>
    <row r="323">
      <c r="C323" s="79"/>
      <c r="D323" s="79"/>
      <c r="E323" s="79"/>
      <c r="O323" s="79"/>
      <c r="S323" s="79"/>
      <c r="T323" s="79"/>
      <c r="Y323" s="79"/>
      <c r="AE323" s="130"/>
      <c r="AG323" s="106"/>
    </row>
    <row r="324">
      <c r="C324" s="79"/>
      <c r="D324" s="79"/>
      <c r="E324" s="79"/>
      <c r="O324" s="79"/>
      <c r="S324" s="79"/>
      <c r="T324" s="79"/>
      <c r="Y324" s="79"/>
      <c r="AE324" s="130"/>
      <c r="AG324" s="106"/>
    </row>
    <row r="325">
      <c r="C325" s="79"/>
      <c r="D325" s="79"/>
      <c r="E325" s="79"/>
      <c r="O325" s="79"/>
      <c r="S325" s="79"/>
      <c r="T325" s="79"/>
      <c r="Y325" s="79"/>
      <c r="AE325" s="130"/>
      <c r="AG325" s="106"/>
    </row>
    <row r="326">
      <c r="C326" s="79"/>
      <c r="D326" s="79"/>
      <c r="E326" s="79"/>
      <c r="O326" s="79"/>
      <c r="S326" s="79"/>
      <c r="T326" s="79"/>
      <c r="Y326" s="79"/>
      <c r="AE326" s="130"/>
      <c r="AG326" s="106"/>
    </row>
    <row r="327">
      <c r="C327" s="79"/>
      <c r="D327" s="79"/>
      <c r="E327" s="79"/>
      <c r="O327" s="79"/>
      <c r="S327" s="79"/>
      <c r="T327" s="79"/>
      <c r="Y327" s="79"/>
      <c r="AE327" s="130"/>
      <c r="AG327" s="106"/>
    </row>
    <row r="328">
      <c r="C328" s="79"/>
      <c r="D328" s="79"/>
      <c r="E328" s="79"/>
      <c r="O328" s="79"/>
      <c r="S328" s="79"/>
      <c r="T328" s="79"/>
      <c r="Y328" s="79"/>
      <c r="AE328" s="130"/>
      <c r="AG328" s="106"/>
    </row>
    <row r="329">
      <c r="C329" s="79"/>
      <c r="D329" s="79"/>
      <c r="E329" s="79"/>
      <c r="O329" s="79"/>
      <c r="S329" s="79"/>
      <c r="T329" s="79"/>
      <c r="Y329" s="79"/>
      <c r="AE329" s="130"/>
      <c r="AG329" s="106"/>
    </row>
    <row r="330">
      <c r="C330" s="79"/>
      <c r="D330" s="79"/>
      <c r="E330" s="79"/>
      <c r="O330" s="79"/>
      <c r="S330" s="79"/>
      <c r="T330" s="79"/>
      <c r="Y330" s="79"/>
      <c r="AE330" s="130"/>
      <c r="AG330" s="106"/>
    </row>
    <row r="331">
      <c r="C331" s="79"/>
      <c r="D331" s="79"/>
      <c r="E331" s="79"/>
      <c r="O331" s="79"/>
      <c r="S331" s="79"/>
      <c r="T331" s="79"/>
      <c r="Y331" s="79"/>
      <c r="AE331" s="130"/>
      <c r="AG331" s="106"/>
    </row>
    <row r="332">
      <c r="C332" s="79"/>
      <c r="D332" s="79"/>
      <c r="E332" s="79"/>
      <c r="O332" s="79"/>
      <c r="S332" s="79"/>
      <c r="T332" s="79"/>
      <c r="Y332" s="79"/>
      <c r="AE332" s="130"/>
      <c r="AG332" s="106"/>
    </row>
    <row r="333">
      <c r="C333" s="79"/>
      <c r="D333" s="79"/>
      <c r="E333" s="79"/>
      <c r="O333" s="79"/>
      <c r="S333" s="79"/>
      <c r="T333" s="79"/>
      <c r="Y333" s="79"/>
      <c r="AE333" s="130"/>
      <c r="AG333" s="106"/>
    </row>
    <row r="334">
      <c r="C334" s="79"/>
      <c r="D334" s="79"/>
      <c r="E334" s="79"/>
      <c r="O334" s="79"/>
      <c r="S334" s="79"/>
      <c r="T334" s="79"/>
      <c r="Y334" s="79"/>
      <c r="AE334" s="130"/>
      <c r="AG334" s="106"/>
    </row>
    <row r="335">
      <c r="C335" s="79"/>
      <c r="D335" s="79"/>
      <c r="E335" s="79"/>
      <c r="O335" s="79"/>
      <c r="S335" s="79"/>
      <c r="T335" s="79"/>
      <c r="Y335" s="79"/>
      <c r="AE335" s="130"/>
      <c r="AG335" s="106"/>
    </row>
    <row r="336">
      <c r="C336" s="79"/>
      <c r="D336" s="79"/>
      <c r="E336" s="79"/>
      <c r="O336" s="79"/>
      <c r="S336" s="79"/>
      <c r="T336" s="79"/>
      <c r="Y336" s="79"/>
      <c r="AE336" s="130"/>
      <c r="AG336" s="106"/>
    </row>
    <row r="337">
      <c r="C337" s="79"/>
      <c r="D337" s="79"/>
      <c r="E337" s="79"/>
      <c r="O337" s="79"/>
      <c r="S337" s="79"/>
      <c r="T337" s="79"/>
      <c r="Y337" s="79"/>
      <c r="AE337" s="130"/>
      <c r="AG337" s="106"/>
    </row>
    <row r="338">
      <c r="C338" s="79"/>
      <c r="D338" s="79"/>
      <c r="E338" s="79"/>
      <c r="O338" s="79"/>
      <c r="S338" s="79"/>
      <c r="T338" s="79"/>
      <c r="Y338" s="79"/>
      <c r="AE338" s="130"/>
      <c r="AG338" s="106"/>
    </row>
    <row r="339">
      <c r="C339" s="79"/>
      <c r="D339" s="79"/>
      <c r="E339" s="79"/>
      <c r="O339" s="79"/>
      <c r="S339" s="79"/>
      <c r="T339" s="79"/>
      <c r="Y339" s="79"/>
      <c r="AE339" s="130"/>
      <c r="AG339" s="106"/>
    </row>
    <row r="340">
      <c r="C340" s="79"/>
      <c r="D340" s="79"/>
      <c r="E340" s="79"/>
      <c r="O340" s="79"/>
      <c r="S340" s="79"/>
      <c r="T340" s="79"/>
      <c r="Y340" s="79"/>
      <c r="AE340" s="130"/>
      <c r="AG340" s="106"/>
    </row>
    <row r="341">
      <c r="C341" s="79"/>
      <c r="D341" s="79"/>
      <c r="E341" s="79"/>
      <c r="O341" s="79"/>
      <c r="S341" s="79"/>
      <c r="T341" s="79"/>
      <c r="Y341" s="79"/>
      <c r="AE341" s="130"/>
      <c r="AG341" s="106"/>
    </row>
    <row r="342">
      <c r="C342" s="79"/>
      <c r="D342" s="79"/>
      <c r="E342" s="79"/>
      <c r="O342" s="79"/>
      <c r="S342" s="79"/>
      <c r="T342" s="79"/>
      <c r="Y342" s="79"/>
      <c r="AE342" s="130"/>
      <c r="AG342" s="106"/>
    </row>
    <row r="343">
      <c r="C343" s="79"/>
      <c r="D343" s="79"/>
      <c r="E343" s="79"/>
      <c r="O343" s="79"/>
      <c r="S343" s="79"/>
      <c r="T343" s="79"/>
      <c r="Y343" s="79"/>
      <c r="AE343" s="130"/>
      <c r="AG343" s="106"/>
    </row>
    <row r="344">
      <c r="C344" s="79"/>
      <c r="D344" s="79"/>
      <c r="E344" s="79"/>
      <c r="O344" s="79"/>
      <c r="S344" s="79"/>
      <c r="T344" s="79"/>
      <c r="Y344" s="79"/>
      <c r="AE344" s="130"/>
      <c r="AG344" s="106"/>
    </row>
    <row r="345">
      <c r="C345" s="79"/>
      <c r="D345" s="79"/>
      <c r="E345" s="79"/>
      <c r="O345" s="79"/>
      <c r="S345" s="79"/>
      <c r="T345" s="79"/>
      <c r="Y345" s="79"/>
      <c r="AE345" s="130"/>
      <c r="AG345" s="106"/>
    </row>
    <row r="346">
      <c r="C346" s="79"/>
      <c r="D346" s="79"/>
      <c r="E346" s="79"/>
      <c r="O346" s="79"/>
      <c r="S346" s="79"/>
      <c r="T346" s="79"/>
      <c r="Y346" s="79"/>
      <c r="AE346" s="130"/>
      <c r="AG346" s="106"/>
    </row>
    <row r="347">
      <c r="C347" s="79"/>
      <c r="D347" s="79"/>
      <c r="E347" s="79"/>
      <c r="O347" s="79"/>
      <c r="S347" s="79"/>
      <c r="T347" s="79"/>
      <c r="Y347" s="79"/>
      <c r="AE347" s="130"/>
      <c r="AG347" s="106"/>
    </row>
    <row r="348">
      <c r="C348" s="79"/>
      <c r="D348" s="79"/>
      <c r="E348" s="79"/>
      <c r="O348" s="79"/>
      <c r="S348" s="79"/>
      <c r="T348" s="79"/>
      <c r="Y348" s="79"/>
      <c r="AE348" s="130"/>
      <c r="AG348" s="106"/>
    </row>
    <row r="349">
      <c r="C349" s="79"/>
      <c r="D349" s="79"/>
      <c r="E349" s="79"/>
      <c r="O349" s="79"/>
      <c r="S349" s="79"/>
      <c r="T349" s="79"/>
      <c r="Y349" s="79"/>
      <c r="AE349" s="130"/>
      <c r="AG349" s="106"/>
    </row>
    <row r="350">
      <c r="C350" s="79"/>
      <c r="D350" s="79"/>
      <c r="E350" s="79"/>
      <c r="O350" s="79"/>
      <c r="S350" s="79"/>
      <c r="T350" s="79"/>
      <c r="Y350" s="79"/>
      <c r="AE350" s="130"/>
      <c r="AG350" s="106"/>
    </row>
    <row r="351">
      <c r="C351" s="79"/>
      <c r="D351" s="79"/>
      <c r="E351" s="79"/>
      <c r="O351" s="79"/>
      <c r="S351" s="79"/>
      <c r="T351" s="79"/>
      <c r="Y351" s="79"/>
      <c r="AE351" s="130"/>
      <c r="AG351" s="106"/>
    </row>
    <row r="352">
      <c r="C352" s="79"/>
      <c r="D352" s="79"/>
      <c r="E352" s="79"/>
      <c r="O352" s="79"/>
      <c r="S352" s="79"/>
      <c r="T352" s="79"/>
      <c r="Y352" s="79"/>
      <c r="AE352" s="130"/>
      <c r="AG352" s="106"/>
    </row>
    <row r="353">
      <c r="C353" s="79"/>
      <c r="D353" s="79"/>
      <c r="E353" s="79"/>
      <c r="O353" s="79"/>
      <c r="S353" s="79"/>
      <c r="T353" s="79"/>
      <c r="Y353" s="79"/>
      <c r="AE353" s="130"/>
      <c r="AG353" s="106"/>
    </row>
    <row r="354">
      <c r="C354" s="79"/>
      <c r="D354" s="79"/>
      <c r="E354" s="79"/>
      <c r="O354" s="79"/>
      <c r="S354" s="79"/>
      <c r="T354" s="79"/>
      <c r="Y354" s="79"/>
      <c r="AE354" s="130"/>
      <c r="AG354" s="106"/>
    </row>
    <row r="355">
      <c r="C355" s="79"/>
      <c r="D355" s="79"/>
      <c r="E355" s="79"/>
      <c r="O355" s="79"/>
      <c r="S355" s="79"/>
      <c r="T355" s="79"/>
      <c r="Y355" s="79"/>
      <c r="AE355" s="130"/>
      <c r="AG355" s="106"/>
    </row>
    <row r="356">
      <c r="C356" s="79"/>
      <c r="D356" s="79"/>
      <c r="E356" s="79"/>
      <c r="O356" s="79"/>
      <c r="S356" s="79"/>
      <c r="T356" s="79"/>
      <c r="Y356" s="79"/>
      <c r="AE356" s="130"/>
      <c r="AG356" s="106"/>
    </row>
    <row r="357">
      <c r="C357" s="79"/>
      <c r="D357" s="79"/>
      <c r="E357" s="79"/>
      <c r="O357" s="79"/>
      <c r="S357" s="79"/>
      <c r="T357" s="79"/>
      <c r="Y357" s="79"/>
      <c r="AE357" s="130"/>
      <c r="AG357" s="106"/>
    </row>
    <row r="358">
      <c r="C358" s="79"/>
      <c r="D358" s="79"/>
      <c r="E358" s="79"/>
      <c r="O358" s="79"/>
      <c r="S358" s="79"/>
      <c r="T358" s="79"/>
      <c r="Y358" s="79"/>
      <c r="AE358" s="130"/>
      <c r="AG358" s="106"/>
    </row>
    <row r="359">
      <c r="C359" s="79"/>
      <c r="D359" s="79"/>
      <c r="E359" s="79"/>
      <c r="O359" s="79"/>
      <c r="S359" s="79"/>
      <c r="T359" s="79"/>
      <c r="Y359" s="79"/>
      <c r="AE359" s="130"/>
      <c r="AG359" s="106"/>
    </row>
    <row r="360">
      <c r="C360" s="79"/>
      <c r="D360" s="79"/>
      <c r="E360" s="79"/>
      <c r="O360" s="79"/>
      <c r="S360" s="79"/>
      <c r="T360" s="79"/>
      <c r="Y360" s="79"/>
      <c r="AE360" s="130"/>
      <c r="AG360" s="106"/>
    </row>
    <row r="361">
      <c r="C361" s="79"/>
      <c r="D361" s="79"/>
      <c r="E361" s="79"/>
      <c r="O361" s="79"/>
      <c r="S361" s="79"/>
      <c r="T361" s="79"/>
      <c r="Y361" s="79"/>
      <c r="AE361" s="130"/>
      <c r="AG361" s="106"/>
    </row>
    <row r="362">
      <c r="C362" s="79"/>
      <c r="D362" s="79"/>
      <c r="E362" s="79"/>
      <c r="O362" s="79"/>
      <c r="S362" s="79"/>
      <c r="T362" s="79"/>
      <c r="Y362" s="79"/>
      <c r="AE362" s="130"/>
      <c r="AG362" s="106"/>
    </row>
    <row r="363">
      <c r="C363" s="79"/>
      <c r="D363" s="79"/>
      <c r="E363" s="79"/>
      <c r="O363" s="79"/>
      <c r="S363" s="79"/>
      <c r="T363" s="79"/>
      <c r="Y363" s="79"/>
      <c r="AE363" s="130"/>
      <c r="AG363" s="106"/>
    </row>
    <row r="364">
      <c r="C364" s="79"/>
      <c r="D364" s="79"/>
      <c r="E364" s="79"/>
      <c r="O364" s="79"/>
      <c r="S364" s="79"/>
      <c r="T364" s="79"/>
      <c r="Y364" s="79"/>
      <c r="AE364" s="130"/>
      <c r="AG364" s="106"/>
    </row>
    <row r="365">
      <c r="C365" s="79"/>
      <c r="D365" s="79"/>
      <c r="E365" s="79"/>
      <c r="O365" s="79"/>
      <c r="S365" s="79"/>
      <c r="T365" s="79"/>
      <c r="Y365" s="79"/>
      <c r="AE365" s="130"/>
      <c r="AG365" s="106"/>
    </row>
    <row r="366">
      <c r="C366" s="79"/>
      <c r="D366" s="79"/>
      <c r="E366" s="79"/>
      <c r="O366" s="79"/>
      <c r="S366" s="79"/>
      <c r="T366" s="79"/>
      <c r="Y366" s="79"/>
      <c r="AE366" s="130"/>
      <c r="AG366" s="106"/>
    </row>
    <row r="367">
      <c r="C367" s="79"/>
      <c r="D367" s="79"/>
      <c r="E367" s="79"/>
      <c r="O367" s="79"/>
      <c r="S367" s="79"/>
      <c r="T367" s="79"/>
      <c r="Y367" s="79"/>
      <c r="AE367" s="130"/>
      <c r="AG367" s="106"/>
    </row>
    <row r="368">
      <c r="C368" s="79"/>
      <c r="D368" s="79"/>
      <c r="E368" s="79"/>
      <c r="O368" s="79"/>
      <c r="S368" s="79"/>
      <c r="T368" s="79"/>
      <c r="Y368" s="79"/>
      <c r="AE368" s="130"/>
      <c r="AG368" s="106"/>
    </row>
    <row r="369">
      <c r="C369" s="79"/>
      <c r="D369" s="79"/>
      <c r="E369" s="79"/>
      <c r="O369" s="79"/>
      <c r="S369" s="79"/>
      <c r="T369" s="79"/>
      <c r="Y369" s="79"/>
      <c r="AE369" s="130"/>
      <c r="AG369" s="106"/>
    </row>
    <row r="370">
      <c r="C370" s="79"/>
      <c r="D370" s="79"/>
      <c r="E370" s="79"/>
      <c r="O370" s="79"/>
      <c r="S370" s="79"/>
      <c r="T370" s="79"/>
      <c r="Y370" s="79"/>
      <c r="AE370" s="130"/>
      <c r="AG370" s="106"/>
    </row>
    <row r="371">
      <c r="C371" s="79"/>
      <c r="D371" s="79"/>
      <c r="E371" s="79"/>
      <c r="O371" s="79"/>
      <c r="S371" s="79"/>
      <c r="T371" s="79"/>
      <c r="Y371" s="79"/>
      <c r="AE371" s="130"/>
      <c r="AG371" s="106"/>
    </row>
    <row r="372">
      <c r="C372" s="79"/>
      <c r="D372" s="79"/>
      <c r="E372" s="79"/>
      <c r="O372" s="79"/>
      <c r="S372" s="79"/>
      <c r="T372" s="79"/>
      <c r="Y372" s="79"/>
      <c r="AE372" s="130"/>
      <c r="AG372" s="106"/>
    </row>
    <row r="373">
      <c r="C373" s="79"/>
      <c r="D373" s="79"/>
      <c r="E373" s="79"/>
      <c r="O373" s="79"/>
      <c r="S373" s="79"/>
      <c r="T373" s="79"/>
      <c r="Y373" s="79"/>
      <c r="AE373" s="130"/>
      <c r="AG373" s="106"/>
    </row>
    <row r="374">
      <c r="C374" s="79"/>
      <c r="D374" s="79"/>
      <c r="E374" s="79"/>
      <c r="O374" s="79"/>
      <c r="S374" s="79"/>
      <c r="T374" s="79"/>
      <c r="Y374" s="79"/>
      <c r="AE374" s="130"/>
      <c r="AG374" s="106"/>
    </row>
    <row r="375">
      <c r="C375" s="79"/>
      <c r="D375" s="79"/>
      <c r="E375" s="79"/>
      <c r="O375" s="79"/>
      <c r="S375" s="79"/>
      <c r="T375" s="79"/>
      <c r="Y375" s="79"/>
      <c r="AE375" s="130"/>
      <c r="AG375" s="106"/>
    </row>
    <row r="376">
      <c r="C376" s="79"/>
      <c r="D376" s="79"/>
      <c r="E376" s="79"/>
      <c r="O376" s="79"/>
      <c r="S376" s="79"/>
      <c r="T376" s="79"/>
      <c r="Y376" s="79"/>
      <c r="AE376" s="130"/>
      <c r="AG376" s="106"/>
    </row>
    <row r="377">
      <c r="C377" s="79"/>
      <c r="D377" s="79"/>
      <c r="E377" s="79"/>
      <c r="O377" s="79"/>
      <c r="S377" s="79"/>
      <c r="T377" s="79"/>
      <c r="Y377" s="79"/>
      <c r="AE377" s="130"/>
      <c r="AG377" s="106"/>
    </row>
    <row r="378">
      <c r="C378" s="79"/>
      <c r="D378" s="79"/>
      <c r="E378" s="79"/>
      <c r="O378" s="79"/>
      <c r="S378" s="79"/>
      <c r="T378" s="79"/>
      <c r="Y378" s="79"/>
      <c r="AE378" s="130"/>
      <c r="AG378" s="106"/>
    </row>
    <row r="379">
      <c r="C379" s="79"/>
      <c r="D379" s="79"/>
      <c r="E379" s="79"/>
      <c r="O379" s="79"/>
      <c r="S379" s="79"/>
      <c r="T379" s="79"/>
      <c r="Y379" s="79"/>
      <c r="AE379" s="130"/>
      <c r="AG379" s="106"/>
    </row>
    <row r="380">
      <c r="C380" s="79"/>
      <c r="D380" s="79"/>
      <c r="E380" s="79"/>
      <c r="O380" s="79"/>
      <c r="S380" s="79"/>
      <c r="T380" s="79"/>
      <c r="Y380" s="79"/>
      <c r="AE380" s="130"/>
      <c r="AG380" s="106"/>
    </row>
    <row r="381">
      <c r="C381" s="79"/>
      <c r="D381" s="79"/>
      <c r="E381" s="79"/>
      <c r="O381" s="79"/>
      <c r="S381" s="79"/>
      <c r="T381" s="79"/>
      <c r="Y381" s="79"/>
      <c r="AE381" s="130"/>
      <c r="AG381" s="106"/>
    </row>
    <row r="382">
      <c r="C382" s="79"/>
      <c r="D382" s="79"/>
      <c r="E382" s="79"/>
      <c r="O382" s="79"/>
      <c r="S382" s="79"/>
      <c r="T382" s="79"/>
      <c r="Y382" s="79"/>
      <c r="AE382" s="130"/>
      <c r="AG382" s="106"/>
    </row>
    <row r="383">
      <c r="C383" s="79"/>
      <c r="D383" s="79"/>
      <c r="E383" s="79"/>
      <c r="O383" s="79"/>
      <c r="S383" s="79"/>
      <c r="T383" s="79"/>
      <c r="Y383" s="79"/>
      <c r="AE383" s="130"/>
      <c r="AG383" s="106"/>
    </row>
    <row r="384">
      <c r="C384" s="79"/>
      <c r="D384" s="79"/>
      <c r="E384" s="79"/>
      <c r="O384" s="79"/>
      <c r="S384" s="79"/>
      <c r="T384" s="79"/>
      <c r="Y384" s="79"/>
      <c r="AE384" s="130"/>
      <c r="AG384" s="106"/>
    </row>
    <row r="385">
      <c r="C385" s="79"/>
      <c r="D385" s="79"/>
      <c r="E385" s="79"/>
      <c r="O385" s="79"/>
      <c r="S385" s="79"/>
      <c r="T385" s="79"/>
      <c r="Y385" s="79"/>
      <c r="AE385" s="130"/>
      <c r="AG385" s="106"/>
    </row>
    <row r="386">
      <c r="C386" s="79"/>
      <c r="D386" s="79"/>
      <c r="E386" s="79"/>
      <c r="O386" s="79"/>
      <c r="S386" s="79"/>
      <c r="T386" s="79"/>
      <c r="Y386" s="79"/>
      <c r="AE386" s="130"/>
      <c r="AG386" s="106"/>
    </row>
    <row r="387">
      <c r="C387" s="79"/>
      <c r="D387" s="79"/>
      <c r="E387" s="79"/>
      <c r="O387" s="79"/>
      <c r="S387" s="79"/>
      <c r="T387" s="79"/>
      <c r="Y387" s="79"/>
      <c r="AE387" s="130"/>
      <c r="AG387" s="106"/>
    </row>
    <row r="388">
      <c r="C388" s="79"/>
      <c r="D388" s="79"/>
      <c r="E388" s="79"/>
      <c r="O388" s="79"/>
      <c r="S388" s="79"/>
      <c r="T388" s="79"/>
      <c r="Y388" s="79"/>
      <c r="AE388" s="130"/>
      <c r="AG388" s="106"/>
    </row>
    <row r="389">
      <c r="C389" s="79"/>
      <c r="D389" s="79"/>
      <c r="E389" s="79"/>
      <c r="O389" s="79"/>
      <c r="S389" s="79"/>
      <c r="T389" s="79"/>
      <c r="Y389" s="79"/>
      <c r="AE389" s="130"/>
      <c r="AG389" s="106"/>
    </row>
    <row r="390">
      <c r="C390" s="79"/>
      <c r="D390" s="79"/>
      <c r="E390" s="79"/>
      <c r="O390" s="79"/>
      <c r="S390" s="79"/>
      <c r="T390" s="79"/>
      <c r="Y390" s="79"/>
      <c r="AE390" s="130"/>
      <c r="AG390" s="106"/>
    </row>
    <row r="391">
      <c r="C391" s="79"/>
      <c r="D391" s="79"/>
      <c r="E391" s="79"/>
      <c r="O391" s="79"/>
      <c r="S391" s="79"/>
      <c r="T391" s="79"/>
      <c r="Y391" s="79"/>
      <c r="AE391" s="130"/>
      <c r="AG391" s="106"/>
    </row>
    <row r="392">
      <c r="C392" s="79"/>
      <c r="D392" s="79"/>
      <c r="E392" s="79"/>
      <c r="O392" s="79"/>
      <c r="S392" s="79"/>
      <c r="T392" s="79"/>
      <c r="Y392" s="79"/>
      <c r="AE392" s="130"/>
      <c r="AG392" s="106"/>
    </row>
    <row r="393">
      <c r="C393" s="79"/>
      <c r="D393" s="79"/>
      <c r="E393" s="79"/>
      <c r="O393" s="79"/>
      <c r="S393" s="79"/>
      <c r="T393" s="79"/>
      <c r="Y393" s="79"/>
      <c r="AE393" s="130"/>
      <c r="AG393" s="106"/>
    </row>
    <row r="394">
      <c r="C394" s="79"/>
      <c r="D394" s="79"/>
      <c r="E394" s="79"/>
      <c r="O394" s="79"/>
      <c r="S394" s="79"/>
      <c r="T394" s="79"/>
      <c r="Y394" s="79"/>
      <c r="AE394" s="130"/>
      <c r="AG394" s="106"/>
    </row>
    <row r="395">
      <c r="C395" s="79"/>
      <c r="D395" s="79"/>
      <c r="E395" s="79"/>
      <c r="O395" s="79"/>
      <c r="S395" s="79"/>
      <c r="T395" s="79"/>
      <c r="Y395" s="79"/>
      <c r="AE395" s="130"/>
      <c r="AG395" s="106"/>
    </row>
    <row r="396">
      <c r="C396" s="79"/>
      <c r="D396" s="79"/>
      <c r="E396" s="79"/>
      <c r="O396" s="79"/>
      <c r="S396" s="79"/>
      <c r="T396" s="79"/>
      <c r="Y396" s="79"/>
      <c r="AE396" s="130"/>
      <c r="AG396" s="106"/>
    </row>
    <row r="397">
      <c r="C397" s="79"/>
      <c r="D397" s="79"/>
      <c r="E397" s="79"/>
      <c r="O397" s="79"/>
      <c r="S397" s="79"/>
      <c r="T397" s="79"/>
      <c r="Y397" s="79"/>
      <c r="AE397" s="130"/>
      <c r="AG397" s="106"/>
    </row>
    <row r="398">
      <c r="C398" s="79"/>
      <c r="D398" s="79"/>
      <c r="E398" s="79"/>
      <c r="O398" s="79"/>
      <c r="S398" s="79"/>
      <c r="T398" s="79"/>
      <c r="Y398" s="79"/>
      <c r="AE398" s="130"/>
      <c r="AG398" s="106"/>
    </row>
    <row r="399">
      <c r="C399" s="79"/>
      <c r="D399" s="79"/>
      <c r="E399" s="79"/>
      <c r="O399" s="79"/>
      <c r="S399" s="79"/>
      <c r="T399" s="79"/>
      <c r="Y399" s="79"/>
      <c r="AE399" s="130"/>
      <c r="AG399" s="106"/>
    </row>
    <row r="400">
      <c r="C400" s="79"/>
      <c r="D400" s="79"/>
      <c r="E400" s="79"/>
      <c r="O400" s="79"/>
      <c r="S400" s="79"/>
      <c r="T400" s="79"/>
      <c r="Y400" s="79"/>
      <c r="AE400" s="130"/>
      <c r="AG400" s="106"/>
    </row>
    <row r="401">
      <c r="C401" s="79"/>
      <c r="D401" s="79"/>
      <c r="E401" s="79"/>
      <c r="O401" s="79"/>
      <c r="S401" s="79"/>
      <c r="T401" s="79"/>
      <c r="Y401" s="79"/>
      <c r="AE401" s="130"/>
      <c r="AG401" s="106"/>
    </row>
    <row r="402">
      <c r="C402" s="79"/>
      <c r="D402" s="79"/>
      <c r="E402" s="79"/>
      <c r="O402" s="79"/>
      <c r="S402" s="79"/>
      <c r="T402" s="79"/>
      <c r="Y402" s="79"/>
      <c r="AE402" s="130"/>
      <c r="AG402" s="106"/>
    </row>
    <row r="403">
      <c r="C403" s="79"/>
      <c r="D403" s="79"/>
      <c r="E403" s="79"/>
      <c r="O403" s="79"/>
      <c r="S403" s="79"/>
      <c r="T403" s="79"/>
      <c r="Y403" s="79"/>
      <c r="AE403" s="130"/>
      <c r="AG403" s="106"/>
    </row>
    <row r="404">
      <c r="C404" s="79"/>
      <c r="D404" s="79"/>
      <c r="E404" s="79"/>
      <c r="O404" s="79"/>
      <c r="S404" s="79"/>
      <c r="T404" s="79"/>
      <c r="Y404" s="79"/>
      <c r="AE404" s="130"/>
      <c r="AG404" s="106"/>
    </row>
    <row r="405">
      <c r="C405" s="79"/>
      <c r="D405" s="79"/>
      <c r="E405" s="79"/>
      <c r="O405" s="79"/>
      <c r="S405" s="79"/>
      <c r="T405" s="79"/>
      <c r="Y405" s="79"/>
      <c r="AE405" s="130"/>
      <c r="AG405" s="106"/>
    </row>
    <row r="406">
      <c r="C406" s="79"/>
      <c r="D406" s="79"/>
      <c r="E406" s="79"/>
      <c r="O406" s="79"/>
      <c r="S406" s="79"/>
      <c r="T406" s="79"/>
      <c r="Y406" s="79"/>
      <c r="AE406" s="130"/>
      <c r="AG406" s="106"/>
    </row>
    <row r="407">
      <c r="C407" s="79"/>
      <c r="D407" s="79"/>
      <c r="E407" s="79"/>
      <c r="O407" s="79"/>
      <c r="S407" s="79"/>
      <c r="T407" s="79"/>
      <c r="Y407" s="79"/>
      <c r="AE407" s="130"/>
      <c r="AG407" s="106"/>
    </row>
    <row r="408">
      <c r="C408" s="79"/>
      <c r="D408" s="79"/>
      <c r="E408" s="79"/>
      <c r="O408" s="79"/>
      <c r="S408" s="79"/>
      <c r="T408" s="79"/>
      <c r="Y408" s="79"/>
      <c r="AE408" s="130"/>
      <c r="AG408" s="106"/>
    </row>
    <row r="409">
      <c r="C409" s="79"/>
      <c r="D409" s="79"/>
      <c r="E409" s="79"/>
      <c r="O409" s="79"/>
      <c r="S409" s="79"/>
      <c r="T409" s="79"/>
      <c r="Y409" s="79"/>
      <c r="AE409" s="130"/>
      <c r="AG409" s="106"/>
    </row>
    <row r="410">
      <c r="C410" s="79"/>
      <c r="D410" s="79"/>
      <c r="E410" s="79"/>
      <c r="O410" s="79"/>
      <c r="S410" s="79"/>
      <c r="T410" s="79"/>
      <c r="Y410" s="79"/>
      <c r="AE410" s="130"/>
      <c r="AG410" s="106"/>
    </row>
    <row r="411">
      <c r="C411" s="79"/>
      <c r="D411" s="79"/>
      <c r="E411" s="79"/>
      <c r="O411" s="79"/>
      <c r="S411" s="79"/>
      <c r="T411" s="79"/>
      <c r="Y411" s="79"/>
      <c r="AE411" s="130"/>
      <c r="AG411" s="106"/>
    </row>
    <row r="412">
      <c r="C412" s="79"/>
      <c r="D412" s="79"/>
      <c r="E412" s="79"/>
      <c r="O412" s="79"/>
      <c r="S412" s="79"/>
      <c r="T412" s="79"/>
      <c r="Y412" s="79"/>
      <c r="AE412" s="130"/>
      <c r="AG412" s="106"/>
    </row>
    <row r="413">
      <c r="C413" s="79"/>
      <c r="D413" s="79"/>
      <c r="E413" s="79"/>
      <c r="O413" s="79"/>
      <c r="S413" s="79"/>
      <c r="T413" s="79"/>
      <c r="Y413" s="79"/>
      <c r="AE413" s="130"/>
      <c r="AG413" s="106"/>
    </row>
    <row r="414">
      <c r="C414" s="79"/>
      <c r="D414" s="79"/>
      <c r="E414" s="79"/>
      <c r="O414" s="79"/>
      <c r="S414" s="79"/>
      <c r="T414" s="79"/>
      <c r="Y414" s="79"/>
      <c r="AE414" s="130"/>
      <c r="AG414" s="106"/>
    </row>
    <row r="415">
      <c r="C415" s="79"/>
      <c r="D415" s="79"/>
      <c r="E415" s="79"/>
      <c r="O415" s="79"/>
      <c r="S415" s="79"/>
      <c r="T415" s="79"/>
      <c r="Y415" s="79"/>
      <c r="AE415" s="130"/>
      <c r="AG415" s="106"/>
    </row>
    <row r="416">
      <c r="C416" s="79"/>
      <c r="D416" s="79"/>
      <c r="E416" s="79"/>
      <c r="O416" s="79"/>
      <c r="S416" s="79"/>
      <c r="T416" s="79"/>
      <c r="Y416" s="79"/>
      <c r="AE416" s="130"/>
      <c r="AG416" s="106"/>
    </row>
    <row r="417">
      <c r="C417" s="79"/>
      <c r="D417" s="79"/>
      <c r="E417" s="79"/>
      <c r="O417" s="79"/>
      <c r="S417" s="79"/>
      <c r="T417" s="79"/>
      <c r="Y417" s="79"/>
      <c r="AE417" s="130"/>
      <c r="AG417" s="106"/>
    </row>
    <row r="418">
      <c r="C418" s="79"/>
      <c r="D418" s="79"/>
      <c r="E418" s="79"/>
      <c r="O418" s="79"/>
      <c r="S418" s="79"/>
      <c r="T418" s="79"/>
      <c r="Y418" s="79"/>
      <c r="AE418" s="130"/>
      <c r="AG418" s="106"/>
    </row>
    <row r="419">
      <c r="C419" s="79"/>
      <c r="D419" s="79"/>
      <c r="E419" s="79"/>
      <c r="O419" s="79"/>
      <c r="S419" s="79"/>
      <c r="T419" s="79"/>
      <c r="Y419" s="79"/>
      <c r="AE419" s="130"/>
      <c r="AG419" s="106"/>
    </row>
    <row r="420">
      <c r="C420" s="79"/>
      <c r="D420" s="79"/>
      <c r="E420" s="79"/>
      <c r="O420" s="79"/>
      <c r="S420" s="79"/>
      <c r="T420" s="79"/>
      <c r="Y420" s="79"/>
      <c r="AE420" s="130"/>
      <c r="AG420" s="106"/>
    </row>
    <row r="421">
      <c r="C421" s="79"/>
      <c r="D421" s="79"/>
      <c r="E421" s="79"/>
      <c r="O421" s="79"/>
      <c r="S421" s="79"/>
      <c r="T421" s="79"/>
      <c r="Y421" s="79"/>
      <c r="AE421" s="130"/>
      <c r="AG421" s="106"/>
    </row>
    <row r="422">
      <c r="C422" s="79"/>
      <c r="D422" s="79"/>
      <c r="E422" s="79"/>
      <c r="O422" s="79"/>
      <c r="S422" s="79"/>
      <c r="T422" s="79"/>
      <c r="Y422" s="79"/>
      <c r="AE422" s="130"/>
      <c r="AG422" s="106"/>
    </row>
    <row r="423">
      <c r="C423" s="79"/>
      <c r="D423" s="79"/>
      <c r="E423" s="79"/>
      <c r="O423" s="79"/>
      <c r="S423" s="79"/>
      <c r="T423" s="79"/>
      <c r="Y423" s="79"/>
      <c r="AE423" s="130"/>
      <c r="AG423" s="106"/>
    </row>
    <row r="424">
      <c r="C424" s="79"/>
      <c r="D424" s="79"/>
      <c r="E424" s="79"/>
      <c r="O424" s="79"/>
      <c r="S424" s="79"/>
      <c r="T424" s="79"/>
      <c r="Y424" s="79"/>
      <c r="AE424" s="130"/>
      <c r="AG424" s="106"/>
    </row>
    <row r="425">
      <c r="C425" s="79"/>
      <c r="D425" s="79"/>
      <c r="E425" s="79"/>
      <c r="O425" s="79"/>
      <c r="S425" s="79"/>
      <c r="T425" s="79"/>
      <c r="Y425" s="79"/>
      <c r="AE425" s="130"/>
      <c r="AG425" s="106"/>
    </row>
    <row r="426">
      <c r="C426" s="79"/>
      <c r="D426" s="79"/>
      <c r="E426" s="79"/>
      <c r="O426" s="79"/>
      <c r="S426" s="79"/>
      <c r="T426" s="79"/>
      <c r="Y426" s="79"/>
      <c r="AE426" s="130"/>
      <c r="AG426" s="106"/>
    </row>
    <row r="427">
      <c r="C427" s="79"/>
      <c r="D427" s="79"/>
      <c r="E427" s="79"/>
      <c r="O427" s="79"/>
      <c r="S427" s="79"/>
      <c r="T427" s="79"/>
      <c r="Y427" s="79"/>
      <c r="AE427" s="130"/>
      <c r="AG427" s="106"/>
    </row>
    <row r="428">
      <c r="C428" s="79"/>
      <c r="D428" s="79"/>
      <c r="E428" s="79"/>
      <c r="O428" s="79"/>
      <c r="S428" s="79"/>
      <c r="T428" s="79"/>
      <c r="Y428" s="79"/>
      <c r="AE428" s="130"/>
      <c r="AG428" s="106"/>
    </row>
    <row r="429">
      <c r="C429" s="79"/>
      <c r="D429" s="79"/>
      <c r="E429" s="79"/>
      <c r="O429" s="79"/>
      <c r="S429" s="79"/>
      <c r="T429" s="79"/>
      <c r="Y429" s="79"/>
      <c r="AE429" s="130"/>
      <c r="AG429" s="106"/>
    </row>
    <row r="430">
      <c r="C430" s="79"/>
      <c r="D430" s="79"/>
      <c r="E430" s="79"/>
      <c r="O430" s="79"/>
      <c r="S430" s="79"/>
      <c r="T430" s="79"/>
      <c r="Y430" s="79"/>
      <c r="AE430" s="130"/>
      <c r="AG430" s="106"/>
    </row>
    <row r="431">
      <c r="C431" s="79"/>
      <c r="D431" s="79"/>
      <c r="E431" s="79"/>
      <c r="O431" s="79"/>
      <c r="S431" s="79"/>
      <c r="T431" s="79"/>
      <c r="Y431" s="79"/>
      <c r="AE431" s="130"/>
      <c r="AG431" s="106"/>
    </row>
    <row r="432">
      <c r="C432" s="79"/>
      <c r="D432" s="79"/>
      <c r="E432" s="79"/>
      <c r="O432" s="79"/>
      <c r="S432" s="79"/>
      <c r="T432" s="79"/>
      <c r="Y432" s="79"/>
      <c r="AE432" s="130"/>
      <c r="AG432" s="106"/>
    </row>
    <row r="433">
      <c r="C433" s="79"/>
      <c r="D433" s="79"/>
      <c r="E433" s="79"/>
      <c r="O433" s="79"/>
      <c r="S433" s="79"/>
      <c r="T433" s="79"/>
      <c r="Y433" s="79"/>
      <c r="AE433" s="130"/>
      <c r="AG433" s="106"/>
    </row>
    <row r="434">
      <c r="C434" s="79"/>
      <c r="D434" s="79"/>
      <c r="E434" s="79"/>
      <c r="O434" s="79"/>
      <c r="S434" s="79"/>
      <c r="T434" s="79"/>
      <c r="Y434" s="79"/>
      <c r="AE434" s="130"/>
      <c r="AG434" s="106"/>
    </row>
    <row r="435">
      <c r="C435" s="79"/>
      <c r="D435" s="79"/>
      <c r="E435" s="79"/>
      <c r="O435" s="79"/>
      <c r="S435" s="79"/>
      <c r="T435" s="79"/>
      <c r="Y435" s="79"/>
      <c r="AE435" s="130"/>
      <c r="AG435" s="106"/>
    </row>
    <row r="436">
      <c r="C436" s="79"/>
      <c r="D436" s="79"/>
      <c r="E436" s="79"/>
      <c r="O436" s="79"/>
      <c r="S436" s="79"/>
      <c r="T436" s="79"/>
      <c r="Y436" s="79"/>
      <c r="AE436" s="130"/>
      <c r="AG436" s="106"/>
    </row>
    <row r="437">
      <c r="C437" s="79"/>
      <c r="D437" s="79"/>
      <c r="E437" s="79"/>
      <c r="O437" s="79"/>
      <c r="S437" s="79"/>
      <c r="T437" s="79"/>
      <c r="Y437" s="79"/>
      <c r="AE437" s="130"/>
      <c r="AG437" s="106"/>
    </row>
    <row r="438">
      <c r="C438" s="79"/>
      <c r="D438" s="79"/>
      <c r="E438" s="79"/>
      <c r="O438" s="79"/>
      <c r="S438" s="79"/>
      <c r="T438" s="79"/>
      <c r="Y438" s="79"/>
      <c r="AE438" s="130"/>
      <c r="AG438" s="106"/>
    </row>
    <row r="439">
      <c r="C439" s="79"/>
      <c r="D439" s="79"/>
      <c r="E439" s="79"/>
      <c r="O439" s="79"/>
      <c r="S439" s="79"/>
      <c r="T439" s="79"/>
      <c r="Y439" s="79"/>
      <c r="AE439" s="130"/>
      <c r="AG439" s="106"/>
    </row>
    <row r="440">
      <c r="C440" s="79"/>
      <c r="D440" s="79"/>
      <c r="E440" s="79"/>
      <c r="O440" s="79"/>
      <c r="S440" s="79"/>
      <c r="T440" s="79"/>
      <c r="Y440" s="79"/>
      <c r="AE440" s="130"/>
      <c r="AG440" s="106"/>
    </row>
    <row r="441">
      <c r="C441" s="79"/>
      <c r="D441" s="79"/>
      <c r="E441" s="79"/>
      <c r="O441" s="79"/>
      <c r="S441" s="79"/>
      <c r="T441" s="79"/>
      <c r="Y441" s="79"/>
      <c r="AE441" s="130"/>
      <c r="AG441" s="106"/>
    </row>
    <row r="442">
      <c r="C442" s="79"/>
      <c r="D442" s="79"/>
      <c r="E442" s="79"/>
      <c r="O442" s="79"/>
      <c r="S442" s="79"/>
      <c r="T442" s="79"/>
      <c r="Y442" s="79"/>
      <c r="AE442" s="130"/>
      <c r="AG442" s="106"/>
    </row>
    <row r="443">
      <c r="C443" s="79"/>
      <c r="D443" s="79"/>
      <c r="E443" s="79"/>
      <c r="O443" s="79"/>
      <c r="S443" s="79"/>
      <c r="T443" s="79"/>
      <c r="Y443" s="79"/>
      <c r="AE443" s="130"/>
      <c r="AG443" s="106"/>
    </row>
    <row r="444">
      <c r="C444" s="79"/>
      <c r="D444" s="79"/>
      <c r="E444" s="79"/>
      <c r="O444" s="79"/>
      <c r="S444" s="79"/>
      <c r="T444" s="79"/>
      <c r="Y444" s="79"/>
      <c r="AE444" s="130"/>
      <c r="AG444" s="106"/>
    </row>
    <row r="445">
      <c r="C445" s="79"/>
      <c r="D445" s="79"/>
      <c r="E445" s="79"/>
      <c r="O445" s="79"/>
      <c r="S445" s="79"/>
      <c r="T445" s="79"/>
      <c r="Y445" s="79"/>
      <c r="AE445" s="130"/>
      <c r="AG445" s="106"/>
    </row>
    <row r="446">
      <c r="C446" s="79"/>
      <c r="D446" s="79"/>
      <c r="E446" s="79"/>
      <c r="O446" s="79"/>
      <c r="S446" s="79"/>
      <c r="T446" s="79"/>
      <c r="Y446" s="79"/>
      <c r="AE446" s="130"/>
      <c r="AG446" s="106"/>
    </row>
    <row r="447">
      <c r="C447" s="79"/>
      <c r="D447" s="79"/>
      <c r="E447" s="79"/>
      <c r="O447" s="79"/>
      <c r="S447" s="79"/>
      <c r="T447" s="79"/>
      <c r="Y447" s="79"/>
      <c r="AE447" s="130"/>
      <c r="AG447" s="106"/>
    </row>
    <row r="448">
      <c r="C448" s="79"/>
      <c r="D448" s="79"/>
      <c r="E448" s="79"/>
      <c r="O448" s="79"/>
      <c r="S448" s="79"/>
      <c r="T448" s="79"/>
      <c r="Y448" s="79"/>
      <c r="AE448" s="130"/>
      <c r="AG448" s="106"/>
    </row>
    <row r="449">
      <c r="C449" s="79"/>
      <c r="D449" s="79"/>
      <c r="E449" s="79"/>
      <c r="O449" s="79"/>
      <c r="S449" s="79"/>
      <c r="T449" s="79"/>
      <c r="Y449" s="79"/>
      <c r="AE449" s="130"/>
      <c r="AG449" s="106"/>
    </row>
    <row r="450">
      <c r="C450" s="79"/>
      <c r="D450" s="79"/>
      <c r="E450" s="79"/>
      <c r="O450" s="79"/>
      <c r="S450" s="79"/>
      <c r="T450" s="79"/>
      <c r="Y450" s="79"/>
      <c r="AE450" s="130"/>
      <c r="AG450" s="106"/>
    </row>
    <row r="451">
      <c r="C451" s="79"/>
      <c r="D451" s="79"/>
      <c r="E451" s="79"/>
      <c r="O451" s="79"/>
      <c r="S451" s="79"/>
      <c r="T451" s="79"/>
      <c r="Y451" s="79"/>
      <c r="AE451" s="130"/>
      <c r="AG451" s="106"/>
    </row>
    <row r="452">
      <c r="C452" s="79"/>
      <c r="D452" s="79"/>
      <c r="E452" s="79"/>
      <c r="O452" s="79"/>
      <c r="S452" s="79"/>
      <c r="T452" s="79"/>
      <c r="Y452" s="79"/>
      <c r="AE452" s="130"/>
      <c r="AG452" s="106"/>
    </row>
    <row r="453">
      <c r="C453" s="79"/>
      <c r="D453" s="79"/>
      <c r="E453" s="79"/>
      <c r="O453" s="79"/>
      <c r="S453" s="79"/>
      <c r="T453" s="79"/>
      <c r="Y453" s="79"/>
      <c r="AE453" s="130"/>
      <c r="AG453" s="106"/>
    </row>
    <row r="454">
      <c r="C454" s="79"/>
      <c r="D454" s="79"/>
      <c r="E454" s="79"/>
      <c r="O454" s="79"/>
      <c r="S454" s="79"/>
      <c r="T454" s="79"/>
      <c r="Y454" s="79"/>
      <c r="AE454" s="130"/>
      <c r="AG454" s="106"/>
    </row>
    <row r="455">
      <c r="C455" s="79"/>
      <c r="D455" s="79"/>
      <c r="E455" s="79"/>
      <c r="O455" s="79"/>
      <c r="S455" s="79"/>
      <c r="T455" s="79"/>
      <c r="Y455" s="79"/>
      <c r="AE455" s="130"/>
      <c r="AG455" s="106"/>
    </row>
    <row r="456">
      <c r="C456" s="79"/>
      <c r="D456" s="79"/>
      <c r="E456" s="79"/>
      <c r="O456" s="79"/>
      <c r="S456" s="79"/>
      <c r="T456" s="79"/>
      <c r="Y456" s="79"/>
      <c r="AE456" s="130"/>
      <c r="AG456" s="106"/>
    </row>
    <row r="457">
      <c r="C457" s="79"/>
      <c r="D457" s="79"/>
      <c r="E457" s="79"/>
      <c r="O457" s="79"/>
      <c r="S457" s="79"/>
      <c r="T457" s="79"/>
      <c r="Y457" s="79"/>
      <c r="AE457" s="130"/>
      <c r="AG457" s="106"/>
    </row>
    <row r="458">
      <c r="C458" s="79"/>
      <c r="D458" s="79"/>
      <c r="E458" s="79"/>
      <c r="O458" s="79"/>
      <c r="S458" s="79"/>
      <c r="T458" s="79"/>
      <c r="Y458" s="79"/>
      <c r="AE458" s="130"/>
      <c r="AG458" s="106"/>
    </row>
    <row r="459">
      <c r="C459" s="79"/>
      <c r="D459" s="79"/>
      <c r="E459" s="79"/>
      <c r="O459" s="79"/>
      <c r="S459" s="79"/>
      <c r="T459" s="79"/>
      <c r="Y459" s="79"/>
      <c r="AE459" s="130"/>
      <c r="AG459" s="106"/>
    </row>
    <row r="460">
      <c r="C460" s="79"/>
      <c r="D460" s="79"/>
      <c r="E460" s="79"/>
      <c r="O460" s="79"/>
      <c r="S460" s="79"/>
      <c r="T460" s="79"/>
      <c r="Y460" s="79"/>
      <c r="AE460" s="130"/>
      <c r="AG460" s="106"/>
    </row>
    <row r="461">
      <c r="C461" s="79"/>
      <c r="D461" s="79"/>
      <c r="E461" s="79"/>
      <c r="O461" s="79"/>
      <c r="S461" s="79"/>
      <c r="T461" s="79"/>
      <c r="Y461" s="79"/>
      <c r="AE461" s="130"/>
      <c r="AG461" s="106"/>
    </row>
    <row r="462">
      <c r="C462" s="79"/>
      <c r="D462" s="79"/>
      <c r="E462" s="79"/>
      <c r="O462" s="79"/>
      <c r="S462" s="79"/>
      <c r="T462" s="79"/>
      <c r="Y462" s="79"/>
      <c r="AE462" s="130"/>
      <c r="AG462" s="106"/>
    </row>
    <row r="463">
      <c r="C463" s="79"/>
      <c r="D463" s="79"/>
      <c r="E463" s="79"/>
      <c r="O463" s="79"/>
      <c r="S463" s="79"/>
      <c r="T463" s="79"/>
      <c r="Y463" s="79"/>
      <c r="AE463" s="130"/>
      <c r="AG463" s="106"/>
    </row>
    <row r="464">
      <c r="C464" s="79"/>
      <c r="D464" s="79"/>
      <c r="E464" s="79"/>
      <c r="O464" s="79"/>
      <c r="S464" s="79"/>
      <c r="T464" s="79"/>
      <c r="Y464" s="79"/>
      <c r="AE464" s="130"/>
      <c r="AG464" s="106"/>
    </row>
    <row r="465">
      <c r="C465" s="79"/>
      <c r="D465" s="79"/>
      <c r="E465" s="79"/>
      <c r="O465" s="79"/>
      <c r="S465" s="79"/>
      <c r="T465" s="79"/>
      <c r="Y465" s="79"/>
      <c r="AE465" s="130"/>
      <c r="AG465" s="106"/>
    </row>
    <row r="466">
      <c r="C466" s="79"/>
      <c r="D466" s="79"/>
      <c r="E466" s="79"/>
      <c r="O466" s="79"/>
      <c r="S466" s="79"/>
      <c r="T466" s="79"/>
      <c r="Y466" s="79"/>
      <c r="AE466" s="130"/>
      <c r="AG466" s="106"/>
    </row>
    <row r="467">
      <c r="C467" s="79"/>
      <c r="D467" s="79"/>
      <c r="E467" s="79"/>
      <c r="O467" s="79"/>
      <c r="S467" s="79"/>
      <c r="T467" s="79"/>
      <c r="Y467" s="79"/>
      <c r="AE467" s="130"/>
      <c r="AG467" s="106"/>
    </row>
    <row r="468">
      <c r="C468" s="79"/>
      <c r="D468" s="79"/>
      <c r="E468" s="79"/>
      <c r="O468" s="79"/>
      <c r="S468" s="79"/>
      <c r="T468" s="79"/>
      <c r="Y468" s="79"/>
      <c r="AE468" s="130"/>
      <c r="AG468" s="106"/>
    </row>
    <row r="469">
      <c r="C469" s="79"/>
      <c r="D469" s="79"/>
      <c r="E469" s="79"/>
      <c r="O469" s="79"/>
      <c r="S469" s="79"/>
      <c r="T469" s="79"/>
      <c r="Y469" s="79"/>
      <c r="AE469" s="130"/>
      <c r="AG469" s="106"/>
    </row>
    <row r="470">
      <c r="C470" s="79"/>
      <c r="D470" s="79"/>
      <c r="E470" s="79"/>
      <c r="O470" s="79"/>
      <c r="S470" s="79"/>
      <c r="T470" s="79"/>
      <c r="Y470" s="79"/>
      <c r="AE470" s="130"/>
      <c r="AG470" s="106"/>
    </row>
    <row r="471">
      <c r="C471" s="79"/>
      <c r="D471" s="79"/>
      <c r="E471" s="79"/>
      <c r="O471" s="79"/>
      <c r="S471" s="79"/>
      <c r="T471" s="79"/>
      <c r="Y471" s="79"/>
      <c r="AE471" s="130"/>
      <c r="AG471" s="106"/>
    </row>
    <row r="472">
      <c r="C472" s="79"/>
      <c r="D472" s="79"/>
      <c r="E472" s="79"/>
      <c r="O472" s="79"/>
      <c r="S472" s="79"/>
      <c r="T472" s="79"/>
      <c r="Y472" s="79"/>
      <c r="AE472" s="130"/>
      <c r="AG472" s="106"/>
    </row>
    <row r="473">
      <c r="C473" s="79"/>
      <c r="D473" s="79"/>
      <c r="E473" s="79"/>
      <c r="O473" s="79"/>
      <c r="S473" s="79"/>
      <c r="T473" s="79"/>
      <c r="Y473" s="79"/>
      <c r="AE473" s="130"/>
      <c r="AG473" s="106"/>
    </row>
    <row r="474">
      <c r="C474" s="79"/>
      <c r="D474" s="79"/>
      <c r="E474" s="79"/>
      <c r="O474" s="79"/>
      <c r="S474" s="79"/>
      <c r="T474" s="79"/>
      <c r="Y474" s="79"/>
      <c r="AE474" s="130"/>
      <c r="AG474" s="106"/>
    </row>
    <row r="475">
      <c r="C475" s="79"/>
      <c r="D475" s="79"/>
      <c r="E475" s="79"/>
      <c r="O475" s="79"/>
      <c r="S475" s="79"/>
      <c r="T475" s="79"/>
      <c r="Y475" s="79"/>
      <c r="AE475" s="130"/>
      <c r="AG475" s="106"/>
    </row>
    <row r="476">
      <c r="C476" s="79"/>
      <c r="D476" s="79"/>
      <c r="E476" s="79"/>
      <c r="O476" s="79"/>
      <c r="S476" s="79"/>
      <c r="T476" s="79"/>
      <c r="Y476" s="79"/>
      <c r="AE476" s="130"/>
      <c r="AG476" s="106"/>
    </row>
    <row r="477">
      <c r="C477" s="79"/>
      <c r="D477" s="79"/>
      <c r="E477" s="79"/>
      <c r="O477" s="79"/>
      <c r="S477" s="79"/>
      <c r="T477" s="79"/>
      <c r="Y477" s="79"/>
      <c r="AE477" s="130"/>
      <c r="AG477" s="106"/>
    </row>
    <row r="478">
      <c r="C478" s="79"/>
      <c r="D478" s="79"/>
      <c r="E478" s="79"/>
      <c r="O478" s="79"/>
      <c r="S478" s="79"/>
      <c r="T478" s="79"/>
      <c r="Y478" s="79"/>
      <c r="AE478" s="130"/>
      <c r="AG478" s="106"/>
    </row>
    <row r="479">
      <c r="C479" s="79"/>
      <c r="D479" s="79"/>
      <c r="E479" s="79"/>
      <c r="O479" s="79"/>
      <c r="S479" s="79"/>
      <c r="T479" s="79"/>
      <c r="Y479" s="79"/>
      <c r="AE479" s="130"/>
      <c r="AG479" s="106"/>
    </row>
    <row r="480">
      <c r="C480" s="79"/>
      <c r="D480" s="79"/>
      <c r="E480" s="79"/>
      <c r="O480" s="79"/>
      <c r="S480" s="79"/>
      <c r="T480" s="79"/>
      <c r="Y480" s="79"/>
      <c r="AE480" s="130"/>
      <c r="AG480" s="106"/>
    </row>
    <row r="481">
      <c r="C481" s="79"/>
      <c r="D481" s="79"/>
      <c r="E481" s="79"/>
      <c r="O481" s="79"/>
      <c r="S481" s="79"/>
      <c r="T481" s="79"/>
      <c r="Y481" s="79"/>
      <c r="AE481" s="130"/>
      <c r="AG481" s="106"/>
    </row>
    <row r="482">
      <c r="C482" s="79"/>
      <c r="D482" s="79"/>
      <c r="E482" s="79"/>
      <c r="O482" s="79"/>
      <c r="S482" s="79"/>
      <c r="T482" s="79"/>
      <c r="Y482" s="79"/>
      <c r="AE482" s="130"/>
      <c r="AG482" s="106"/>
    </row>
    <row r="483">
      <c r="C483" s="79"/>
      <c r="D483" s="79"/>
      <c r="E483" s="79"/>
      <c r="O483" s="79"/>
      <c r="S483" s="79"/>
      <c r="T483" s="79"/>
      <c r="Y483" s="79"/>
      <c r="AE483" s="130"/>
      <c r="AG483" s="106"/>
    </row>
    <row r="484">
      <c r="C484" s="79"/>
      <c r="D484" s="79"/>
      <c r="E484" s="79"/>
      <c r="O484" s="79"/>
      <c r="S484" s="79"/>
      <c r="T484" s="79"/>
      <c r="Y484" s="79"/>
      <c r="AE484" s="130"/>
      <c r="AG484" s="106"/>
    </row>
    <row r="485">
      <c r="C485" s="79"/>
      <c r="D485" s="79"/>
      <c r="E485" s="79"/>
      <c r="O485" s="79"/>
      <c r="S485" s="79"/>
      <c r="T485" s="79"/>
      <c r="Y485" s="79"/>
      <c r="AE485" s="130"/>
      <c r="AG485" s="106"/>
    </row>
    <row r="486">
      <c r="C486" s="79"/>
      <c r="D486" s="79"/>
      <c r="E486" s="79"/>
      <c r="O486" s="79"/>
      <c r="S486" s="79"/>
      <c r="T486" s="79"/>
      <c r="Y486" s="79"/>
      <c r="AE486" s="130"/>
      <c r="AG486" s="106"/>
    </row>
    <row r="487">
      <c r="C487" s="79"/>
      <c r="D487" s="79"/>
      <c r="E487" s="79"/>
      <c r="O487" s="79"/>
      <c r="S487" s="79"/>
      <c r="T487" s="79"/>
      <c r="Y487" s="79"/>
      <c r="AE487" s="130"/>
      <c r="AG487" s="106"/>
    </row>
    <row r="488">
      <c r="C488" s="79"/>
      <c r="D488" s="79"/>
      <c r="E488" s="79"/>
      <c r="O488" s="79"/>
      <c r="S488" s="79"/>
      <c r="T488" s="79"/>
      <c r="Y488" s="79"/>
      <c r="AE488" s="130"/>
      <c r="AG488" s="106"/>
    </row>
    <row r="489">
      <c r="C489" s="79"/>
      <c r="D489" s="79"/>
      <c r="E489" s="79"/>
      <c r="O489" s="79"/>
      <c r="S489" s="79"/>
      <c r="T489" s="79"/>
      <c r="Y489" s="79"/>
      <c r="AE489" s="130"/>
      <c r="AG489" s="106"/>
    </row>
    <row r="490">
      <c r="C490" s="79"/>
      <c r="D490" s="79"/>
      <c r="E490" s="79"/>
      <c r="O490" s="79"/>
      <c r="S490" s="79"/>
      <c r="T490" s="79"/>
      <c r="Y490" s="79"/>
      <c r="AE490" s="130"/>
      <c r="AG490" s="106"/>
    </row>
    <row r="491">
      <c r="C491" s="79"/>
      <c r="D491" s="79"/>
      <c r="E491" s="79"/>
      <c r="O491" s="79"/>
      <c r="S491" s="79"/>
      <c r="T491" s="79"/>
      <c r="Y491" s="79"/>
      <c r="AE491" s="130"/>
      <c r="AG491" s="106"/>
    </row>
    <row r="492">
      <c r="C492" s="79"/>
      <c r="D492" s="79"/>
      <c r="E492" s="79"/>
      <c r="O492" s="79"/>
      <c r="S492" s="79"/>
      <c r="T492" s="79"/>
      <c r="Y492" s="79"/>
      <c r="AE492" s="130"/>
      <c r="AG492" s="106"/>
    </row>
    <row r="493">
      <c r="C493" s="79"/>
      <c r="D493" s="79"/>
      <c r="E493" s="79"/>
      <c r="O493" s="79"/>
      <c r="S493" s="79"/>
      <c r="T493" s="79"/>
      <c r="Y493" s="79"/>
      <c r="AE493" s="130"/>
      <c r="AG493" s="106"/>
    </row>
    <row r="494">
      <c r="C494" s="79"/>
      <c r="D494" s="79"/>
      <c r="E494" s="79"/>
      <c r="O494" s="79"/>
      <c r="S494" s="79"/>
      <c r="T494" s="79"/>
      <c r="Y494" s="79"/>
      <c r="AE494" s="130"/>
      <c r="AG494" s="106"/>
    </row>
    <row r="495">
      <c r="C495" s="79"/>
      <c r="D495" s="79"/>
      <c r="E495" s="79"/>
      <c r="O495" s="79"/>
      <c r="S495" s="79"/>
      <c r="T495" s="79"/>
      <c r="Y495" s="79"/>
      <c r="AE495" s="130"/>
      <c r="AG495" s="106"/>
    </row>
    <row r="496">
      <c r="C496" s="79"/>
      <c r="D496" s="79"/>
      <c r="E496" s="79"/>
      <c r="O496" s="79"/>
      <c r="S496" s="79"/>
      <c r="T496" s="79"/>
      <c r="Y496" s="79"/>
      <c r="AE496" s="130"/>
      <c r="AG496" s="106"/>
    </row>
    <row r="497">
      <c r="C497" s="79"/>
      <c r="D497" s="79"/>
      <c r="E497" s="79"/>
      <c r="O497" s="79"/>
      <c r="S497" s="79"/>
      <c r="T497" s="79"/>
      <c r="Y497" s="79"/>
      <c r="AE497" s="130"/>
      <c r="AG497" s="106"/>
    </row>
    <row r="498">
      <c r="C498" s="79"/>
      <c r="D498" s="79"/>
      <c r="E498" s="79"/>
      <c r="O498" s="79"/>
      <c r="S498" s="79"/>
      <c r="T498" s="79"/>
      <c r="Y498" s="79"/>
      <c r="AE498" s="130"/>
      <c r="AG498" s="106"/>
    </row>
    <row r="499">
      <c r="C499" s="79"/>
      <c r="D499" s="79"/>
      <c r="E499" s="79"/>
      <c r="O499" s="79"/>
      <c r="S499" s="79"/>
      <c r="T499" s="79"/>
      <c r="Y499" s="79"/>
      <c r="AE499" s="130"/>
      <c r="AG499" s="106"/>
    </row>
    <row r="500">
      <c r="C500" s="79"/>
      <c r="D500" s="79"/>
      <c r="E500" s="79"/>
      <c r="O500" s="79"/>
      <c r="S500" s="79"/>
      <c r="T500" s="79"/>
      <c r="Y500" s="79"/>
      <c r="AE500" s="130"/>
      <c r="AG500" s="106"/>
    </row>
    <row r="501">
      <c r="C501" s="79"/>
      <c r="D501" s="79"/>
      <c r="E501" s="79"/>
      <c r="O501" s="79"/>
      <c r="S501" s="79"/>
      <c r="T501" s="79"/>
      <c r="Y501" s="79"/>
      <c r="AE501" s="130"/>
      <c r="AG501" s="106"/>
    </row>
    <row r="502">
      <c r="C502" s="79"/>
      <c r="D502" s="79"/>
      <c r="E502" s="79"/>
      <c r="O502" s="79"/>
      <c r="S502" s="79"/>
      <c r="T502" s="79"/>
      <c r="Y502" s="79"/>
      <c r="AE502" s="130"/>
      <c r="AG502" s="106"/>
    </row>
    <row r="503">
      <c r="C503" s="79"/>
      <c r="D503" s="79"/>
      <c r="E503" s="79"/>
      <c r="O503" s="79"/>
      <c r="S503" s="79"/>
      <c r="T503" s="79"/>
      <c r="Y503" s="79"/>
      <c r="AE503" s="130"/>
      <c r="AG503" s="106"/>
    </row>
    <row r="504">
      <c r="C504" s="79"/>
      <c r="D504" s="79"/>
      <c r="E504" s="79"/>
      <c r="O504" s="79"/>
      <c r="S504" s="79"/>
      <c r="T504" s="79"/>
      <c r="Y504" s="79"/>
      <c r="AE504" s="130"/>
      <c r="AG504" s="106"/>
    </row>
    <row r="505">
      <c r="C505" s="79"/>
      <c r="D505" s="79"/>
      <c r="E505" s="79"/>
      <c r="O505" s="79"/>
      <c r="S505" s="79"/>
      <c r="T505" s="79"/>
      <c r="Y505" s="79"/>
      <c r="AE505" s="130"/>
      <c r="AG505" s="106"/>
    </row>
    <row r="506">
      <c r="C506" s="79"/>
      <c r="D506" s="79"/>
      <c r="E506" s="79"/>
      <c r="O506" s="79"/>
      <c r="S506" s="79"/>
      <c r="T506" s="79"/>
      <c r="Y506" s="79"/>
      <c r="AE506" s="130"/>
      <c r="AG506" s="106"/>
    </row>
    <row r="507">
      <c r="C507" s="79"/>
      <c r="D507" s="79"/>
      <c r="E507" s="79"/>
      <c r="O507" s="79"/>
      <c r="S507" s="79"/>
      <c r="T507" s="79"/>
      <c r="Y507" s="79"/>
      <c r="AE507" s="130"/>
      <c r="AG507" s="106"/>
    </row>
    <row r="508">
      <c r="C508" s="79"/>
      <c r="D508" s="79"/>
      <c r="E508" s="79"/>
      <c r="O508" s="79"/>
      <c r="S508" s="79"/>
      <c r="T508" s="79"/>
      <c r="Y508" s="79"/>
      <c r="AE508" s="130"/>
      <c r="AG508" s="106"/>
    </row>
    <row r="509">
      <c r="C509" s="79"/>
      <c r="D509" s="79"/>
      <c r="E509" s="79"/>
      <c r="O509" s="79"/>
      <c r="S509" s="79"/>
      <c r="T509" s="79"/>
      <c r="Y509" s="79"/>
      <c r="AE509" s="130"/>
      <c r="AG509" s="106"/>
    </row>
    <row r="510">
      <c r="C510" s="79"/>
      <c r="D510" s="79"/>
      <c r="E510" s="79"/>
      <c r="O510" s="79"/>
      <c r="S510" s="79"/>
      <c r="T510" s="79"/>
      <c r="Y510" s="79"/>
      <c r="AE510" s="130"/>
      <c r="AG510" s="106"/>
    </row>
    <row r="511">
      <c r="C511" s="79"/>
      <c r="D511" s="79"/>
      <c r="E511" s="79"/>
      <c r="O511" s="79"/>
      <c r="S511" s="79"/>
      <c r="T511" s="79"/>
      <c r="Y511" s="79"/>
      <c r="AE511" s="130"/>
      <c r="AG511" s="106"/>
    </row>
    <row r="512">
      <c r="C512" s="79"/>
      <c r="D512" s="79"/>
      <c r="E512" s="79"/>
      <c r="O512" s="79"/>
      <c r="S512" s="79"/>
      <c r="T512" s="79"/>
      <c r="Y512" s="79"/>
      <c r="AE512" s="130"/>
      <c r="AG512" s="106"/>
    </row>
    <row r="513">
      <c r="C513" s="79"/>
      <c r="D513" s="79"/>
      <c r="E513" s="79"/>
      <c r="O513" s="79"/>
      <c r="S513" s="79"/>
      <c r="T513" s="79"/>
      <c r="Y513" s="79"/>
      <c r="AE513" s="130"/>
      <c r="AG513" s="106"/>
    </row>
    <row r="514">
      <c r="C514" s="79"/>
      <c r="D514" s="79"/>
      <c r="E514" s="79"/>
      <c r="O514" s="79"/>
      <c r="S514" s="79"/>
      <c r="T514" s="79"/>
      <c r="Y514" s="79"/>
      <c r="AE514" s="130"/>
      <c r="AG514" s="106"/>
    </row>
    <row r="515">
      <c r="C515" s="79"/>
      <c r="D515" s="79"/>
      <c r="E515" s="79"/>
      <c r="O515" s="79"/>
      <c r="S515" s="79"/>
      <c r="T515" s="79"/>
      <c r="Y515" s="79"/>
      <c r="AE515" s="130"/>
      <c r="AG515" s="106"/>
    </row>
    <row r="516">
      <c r="C516" s="79"/>
      <c r="D516" s="79"/>
      <c r="E516" s="79"/>
      <c r="O516" s="79"/>
      <c r="S516" s="79"/>
      <c r="T516" s="79"/>
      <c r="Y516" s="79"/>
      <c r="AE516" s="130"/>
      <c r="AG516" s="106"/>
    </row>
    <row r="517">
      <c r="C517" s="79"/>
      <c r="D517" s="79"/>
      <c r="E517" s="79"/>
      <c r="O517" s="79"/>
      <c r="S517" s="79"/>
      <c r="T517" s="79"/>
      <c r="Y517" s="79"/>
      <c r="AE517" s="130"/>
      <c r="AG517" s="106"/>
    </row>
    <row r="518">
      <c r="C518" s="79"/>
      <c r="D518" s="79"/>
      <c r="E518" s="79"/>
      <c r="O518" s="79"/>
      <c r="S518" s="79"/>
      <c r="T518" s="79"/>
      <c r="Y518" s="79"/>
      <c r="AE518" s="130"/>
      <c r="AG518" s="106"/>
    </row>
    <row r="519">
      <c r="C519" s="79"/>
      <c r="D519" s="79"/>
      <c r="E519" s="79"/>
      <c r="O519" s="79"/>
      <c r="S519" s="79"/>
      <c r="T519" s="79"/>
      <c r="Y519" s="79"/>
      <c r="AE519" s="130"/>
      <c r="AG519" s="106"/>
    </row>
    <row r="520">
      <c r="C520" s="79"/>
      <c r="D520" s="79"/>
      <c r="E520" s="79"/>
      <c r="O520" s="79"/>
      <c r="S520" s="79"/>
      <c r="T520" s="79"/>
      <c r="Y520" s="79"/>
      <c r="AE520" s="130"/>
      <c r="AG520" s="106"/>
    </row>
    <row r="521">
      <c r="C521" s="79"/>
      <c r="D521" s="79"/>
      <c r="E521" s="79"/>
      <c r="O521" s="79"/>
      <c r="S521" s="79"/>
      <c r="T521" s="79"/>
      <c r="Y521" s="79"/>
      <c r="AE521" s="130"/>
      <c r="AG521" s="106"/>
    </row>
    <row r="522">
      <c r="C522" s="79"/>
      <c r="D522" s="79"/>
      <c r="E522" s="79"/>
      <c r="O522" s="79"/>
      <c r="S522" s="79"/>
      <c r="T522" s="79"/>
      <c r="Y522" s="79"/>
      <c r="AE522" s="130"/>
      <c r="AG522" s="106"/>
    </row>
    <row r="523">
      <c r="C523" s="79"/>
      <c r="D523" s="79"/>
      <c r="E523" s="79"/>
      <c r="O523" s="79"/>
      <c r="S523" s="79"/>
      <c r="T523" s="79"/>
      <c r="Y523" s="79"/>
      <c r="AE523" s="130"/>
      <c r="AG523" s="106"/>
    </row>
    <row r="524">
      <c r="C524" s="79"/>
      <c r="D524" s="79"/>
      <c r="E524" s="79"/>
      <c r="O524" s="79"/>
      <c r="S524" s="79"/>
      <c r="T524" s="79"/>
      <c r="Y524" s="79"/>
      <c r="AE524" s="130"/>
      <c r="AG524" s="106"/>
    </row>
    <row r="525">
      <c r="C525" s="79"/>
      <c r="D525" s="79"/>
      <c r="E525" s="79"/>
      <c r="O525" s="79"/>
      <c r="S525" s="79"/>
      <c r="T525" s="79"/>
      <c r="Y525" s="79"/>
      <c r="AE525" s="130"/>
      <c r="AG525" s="106"/>
    </row>
    <row r="526">
      <c r="C526" s="79"/>
      <c r="D526" s="79"/>
      <c r="E526" s="79"/>
      <c r="O526" s="79"/>
      <c r="S526" s="79"/>
      <c r="T526" s="79"/>
      <c r="Y526" s="79"/>
      <c r="AE526" s="130"/>
      <c r="AG526" s="106"/>
    </row>
    <row r="527">
      <c r="C527" s="79"/>
      <c r="D527" s="79"/>
      <c r="E527" s="79"/>
      <c r="O527" s="79"/>
      <c r="S527" s="79"/>
      <c r="T527" s="79"/>
      <c r="Y527" s="79"/>
      <c r="AE527" s="130"/>
      <c r="AG527" s="106"/>
    </row>
    <row r="528">
      <c r="C528" s="79"/>
      <c r="D528" s="79"/>
      <c r="E528" s="79"/>
      <c r="O528" s="79"/>
      <c r="S528" s="79"/>
      <c r="T528" s="79"/>
      <c r="Y528" s="79"/>
      <c r="AE528" s="130"/>
      <c r="AG528" s="106"/>
    </row>
    <row r="529">
      <c r="C529" s="79"/>
      <c r="D529" s="79"/>
      <c r="E529" s="79"/>
      <c r="O529" s="79"/>
      <c r="S529" s="79"/>
      <c r="T529" s="79"/>
      <c r="Y529" s="79"/>
      <c r="AE529" s="130"/>
      <c r="AG529" s="106"/>
    </row>
    <row r="530">
      <c r="C530" s="79"/>
      <c r="D530" s="79"/>
      <c r="E530" s="79"/>
      <c r="O530" s="79"/>
      <c r="S530" s="79"/>
      <c r="T530" s="79"/>
      <c r="Y530" s="79"/>
      <c r="AE530" s="130"/>
      <c r="AG530" s="106"/>
    </row>
    <row r="531">
      <c r="C531" s="79"/>
      <c r="D531" s="79"/>
      <c r="E531" s="79"/>
      <c r="O531" s="79"/>
      <c r="S531" s="79"/>
      <c r="T531" s="79"/>
      <c r="Y531" s="79"/>
      <c r="AE531" s="130"/>
      <c r="AG531" s="106"/>
    </row>
    <row r="532">
      <c r="C532" s="79"/>
      <c r="D532" s="79"/>
      <c r="E532" s="79"/>
      <c r="O532" s="79"/>
      <c r="S532" s="79"/>
      <c r="T532" s="79"/>
      <c r="Y532" s="79"/>
      <c r="AE532" s="130"/>
      <c r="AG532" s="106"/>
    </row>
    <row r="533">
      <c r="C533" s="79"/>
      <c r="D533" s="79"/>
      <c r="E533" s="79"/>
      <c r="O533" s="79"/>
      <c r="S533" s="79"/>
      <c r="T533" s="79"/>
      <c r="Y533" s="79"/>
      <c r="AE533" s="130"/>
      <c r="AG533" s="106"/>
    </row>
    <row r="534">
      <c r="C534" s="79"/>
      <c r="D534" s="79"/>
      <c r="E534" s="79"/>
      <c r="O534" s="79"/>
      <c r="S534" s="79"/>
      <c r="T534" s="79"/>
      <c r="Y534" s="79"/>
      <c r="AE534" s="130"/>
      <c r="AG534" s="106"/>
    </row>
    <row r="535">
      <c r="C535" s="79"/>
      <c r="D535" s="79"/>
      <c r="E535" s="79"/>
      <c r="O535" s="79"/>
      <c r="S535" s="79"/>
      <c r="T535" s="79"/>
      <c r="Y535" s="79"/>
      <c r="AE535" s="130"/>
      <c r="AG535" s="106"/>
    </row>
    <row r="536">
      <c r="C536" s="79"/>
      <c r="D536" s="79"/>
      <c r="E536" s="79"/>
      <c r="O536" s="79"/>
      <c r="S536" s="79"/>
      <c r="T536" s="79"/>
      <c r="Y536" s="79"/>
      <c r="AE536" s="130"/>
      <c r="AG536" s="106"/>
    </row>
    <row r="537">
      <c r="C537" s="79"/>
      <c r="D537" s="79"/>
      <c r="E537" s="79"/>
      <c r="O537" s="79"/>
      <c r="S537" s="79"/>
      <c r="T537" s="79"/>
      <c r="Y537" s="79"/>
      <c r="AE537" s="130"/>
      <c r="AG537" s="106"/>
    </row>
    <row r="538">
      <c r="C538" s="79"/>
      <c r="D538" s="79"/>
      <c r="E538" s="79"/>
      <c r="O538" s="79"/>
      <c r="S538" s="79"/>
      <c r="T538" s="79"/>
      <c r="Y538" s="79"/>
      <c r="AE538" s="130"/>
      <c r="AG538" s="106"/>
    </row>
    <row r="539">
      <c r="C539" s="79"/>
      <c r="D539" s="79"/>
      <c r="E539" s="79"/>
      <c r="O539" s="79"/>
      <c r="S539" s="79"/>
      <c r="T539" s="79"/>
      <c r="Y539" s="79"/>
      <c r="AE539" s="130"/>
      <c r="AG539" s="106"/>
    </row>
    <row r="540">
      <c r="C540" s="79"/>
      <c r="D540" s="79"/>
      <c r="E540" s="79"/>
      <c r="O540" s="79"/>
      <c r="S540" s="79"/>
      <c r="T540" s="79"/>
      <c r="Y540" s="79"/>
      <c r="AE540" s="130"/>
      <c r="AG540" s="106"/>
    </row>
    <row r="541">
      <c r="C541" s="79"/>
      <c r="D541" s="79"/>
      <c r="E541" s="79"/>
      <c r="O541" s="79"/>
      <c r="S541" s="79"/>
      <c r="T541" s="79"/>
      <c r="Y541" s="79"/>
      <c r="AE541" s="130"/>
      <c r="AG541" s="106"/>
    </row>
    <row r="542">
      <c r="C542" s="79"/>
      <c r="D542" s="79"/>
      <c r="E542" s="79"/>
      <c r="O542" s="79"/>
      <c r="S542" s="79"/>
      <c r="T542" s="79"/>
      <c r="Y542" s="79"/>
      <c r="AE542" s="130"/>
      <c r="AG542" s="106"/>
    </row>
    <row r="543">
      <c r="C543" s="79"/>
      <c r="D543" s="79"/>
      <c r="E543" s="79"/>
      <c r="O543" s="79"/>
      <c r="S543" s="79"/>
      <c r="T543" s="79"/>
      <c r="Y543" s="79"/>
      <c r="AE543" s="130"/>
      <c r="AG543" s="106"/>
    </row>
    <row r="544">
      <c r="C544" s="79"/>
      <c r="D544" s="79"/>
      <c r="E544" s="79"/>
      <c r="O544" s="79"/>
      <c r="S544" s="79"/>
      <c r="T544" s="79"/>
      <c r="Y544" s="79"/>
      <c r="AE544" s="130"/>
      <c r="AG544" s="106"/>
    </row>
    <row r="545">
      <c r="C545" s="79"/>
      <c r="D545" s="79"/>
      <c r="E545" s="79"/>
      <c r="O545" s="79"/>
      <c r="S545" s="79"/>
      <c r="T545" s="79"/>
      <c r="Y545" s="79"/>
      <c r="AE545" s="130"/>
      <c r="AG545" s="106"/>
    </row>
    <row r="546">
      <c r="C546" s="79"/>
      <c r="D546" s="79"/>
      <c r="E546" s="79"/>
      <c r="O546" s="79"/>
      <c r="S546" s="79"/>
      <c r="T546" s="79"/>
      <c r="Y546" s="79"/>
      <c r="AE546" s="130"/>
      <c r="AG546" s="106"/>
    </row>
    <row r="547">
      <c r="C547" s="79"/>
      <c r="D547" s="79"/>
      <c r="E547" s="79"/>
      <c r="O547" s="79"/>
      <c r="S547" s="79"/>
      <c r="T547" s="79"/>
      <c r="Y547" s="79"/>
      <c r="AE547" s="130"/>
      <c r="AG547" s="106"/>
    </row>
    <row r="548">
      <c r="C548" s="79"/>
      <c r="D548" s="79"/>
      <c r="E548" s="79"/>
      <c r="O548" s="79"/>
      <c r="S548" s="79"/>
      <c r="T548" s="79"/>
      <c r="Y548" s="79"/>
      <c r="AE548" s="130"/>
      <c r="AG548" s="106"/>
    </row>
    <row r="549">
      <c r="C549" s="79"/>
      <c r="D549" s="79"/>
      <c r="E549" s="79"/>
      <c r="O549" s="79"/>
      <c r="S549" s="79"/>
      <c r="T549" s="79"/>
      <c r="Y549" s="79"/>
      <c r="AE549" s="130"/>
      <c r="AG549" s="106"/>
    </row>
    <row r="550">
      <c r="C550" s="79"/>
      <c r="D550" s="79"/>
      <c r="E550" s="79"/>
      <c r="O550" s="79"/>
      <c r="S550" s="79"/>
      <c r="T550" s="79"/>
      <c r="Y550" s="79"/>
      <c r="AE550" s="130"/>
      <c r="AG550" s="106"/>
    </row>
    <row r="551">
      <c r="C551" s="79"/>
      <c r="D551" s="79"/>
      <c r="E551" s="79"/>
      <c r="O551" s="79"/>
      <c r="S551" s="79"/>
      <c r="T551" s="79"/>
      <c r="Y551" s="79"/>
      <c r="AE551" s="130"/>
      <c r="AG551" s="106"/>
    </row>
    <row r="552">
      <c r="C552" s="79"/>
      <c r="D552" s="79"/>
      <c r="E552" s="79"/>
      <c r="O552" s="79"/>
      <c r="S552" s="79"/>
      <c r="T552" s="79"/>
      <c r="Y552" s="79"/>
      <c r="AE552" s="130"/>
      <c r="AG552" s="106"/>
    </row>
    <row r="553">
      <c r="C553" s="79"/>
      <c r="D553" s="79"/>
      <c r="E553" s="79"/>
      <c r="O553" s="79"/>
      <c r="S553" s="79"/>
      <c r="T553" s="79"/>
      <c r="Y553" s="79"/>
      <c r="AE553" s="130"/>
      <c r="AG553" s="106"/>
    </row>
    <row r="554">
      <c r="C554" s="79"/>
      <c r="D554" s="79"/>
      <c r="E554" s="79"/>
      <c r="O554" s="79"/>
      <c r="S554" s="79"/>
      <c r="T554" s="79"/>
      <c r="Y554" s="79"/>
      <c r="AE554" s="130"/>
      <c r="AG554" s="106"/>
    </row>
    <row r="555">
      <c r="C555" s="79"/>
      <c r="D555" s="79"/>
      <c r="E555" s="79"/>
      <c r="O555" s="79"/>
      <c r="S555" s="79"/>
      <c r="T555" s="79"/>
      <c r="Y555" s="79"/>
      <c r="AE555" s="130"/>
      <c r="AG555" s="106"/>
    </row>
    <row r="556">
      <c r="C556" s="79"/>
      <c r="D556" s="79"/>
      <c r="E556" s="79"/>
      <c r="O556" s="79"/>
      <c r="S556" s="79"/>
      <c r="T556" s="79"/>
      <c r="Y556" s="79"/>
      <c r="AE556" s="130"/>
      <c r="AG556" s="106"/>
    </row>
    <row r="557">
      <c r="C557" s="79"/>
      <c r="D557" s="79"/>
      <c r="E557" s="79"/>
      <c r="O557" s="79"/>
      <c r="S557" s="79"/>
      <c r="T557" s="79"/>
      <c r="Y557" s="79"/>
      <c r="AE557" s="130"/>
      <c r="AG557" s="106"/>
    </row>
    <row r="558">
      <c r="C558" s="79"/>
      <c r="D558" s="79"/>
      <c r="E558" s="79"/>
      <c r="O558" s="79"/>
      <c r="S558" s="79"/>
      <c r="T558" s="79"/>
      <c r="Y558" s="79"/>
      <c r="AE558" s="130"/>
      <c r="AG558" s="106"/>
    </row>
    <row r="559">
      <c r="C559" s="79"/>
      <c r="D559" s="79"/>
      <c r="E559" s="79"/>
      <c r="O559" s="79"/>
      <c r="S559" s="79"/>
      <c r="T559" s="79"/>
      <c r="Y559" s="79"/>
      <c r="AE559" s="130"/>
      <c r="AG559" s="106"/>
    </row>
    <row r="560">
      <c r="C560" s="79"/>
      <c r="D560" s="79"/>
      <c r="E560" s="79"/>
      <c r="O560" s="79"/>
      <c r="S560" s="79"/>
      <c r="T560" s="79"/>
      <c r="Y560" s="79"/>
      <c r="AE560" s="130"/>
      <c r="AG560" s="106"/>
    </row>
    <row r="561">
      <c r="C561" s="79"/>
      <c r="D561" s="79"/>
      <c r="E561" s="79"/>
      <c r="O561" s="79"/>
      <c r="S561" s="79"/>
      <c r="T561" s="79"/>
      <c r="Y561" s="79"/>
      <c r="AE561" s="130"/>
      <c r="AG561" s="106"/>
    </row>
    <row r="562">
      <c r="C562" s="79"/>
      <c r="D562" s="79"/>
      <c r="E562" s="79"/>
      <c r="O562" s="79"/>
      <c r="S562" s="79"/>
      <c r="T562" s="79"/>
      <c r="Y562" s="79"/>
      <c r="AE562" s="130"/>
      <c r="AG562" s="106"/>
    </row>
    <row r="563">
      <c r="C563" s="79"/>
      <c r="D563" s="79"/>
      <c r="E563" s="79"/>
      <c r="O563" s="79"/>
      <c r="S563" s="79"/>
      <c r="T563" s="79"/>
      <c r="Y563" s="79"/>
      <c r="AE563" s="130"/>
      <c r="AG563" s="106"/>
    </row>
    <row r="564">
      <c r="C564" s="79"/>
      <c r="D564" s="79"/>
      <c r="E564" s="79"/>
      <c r="O564" s="79"/>
      <c r="S564" s="79"/>
      <c r="T564" s="79"/>
      <c r="Y564" s="79"/>
      <c r="AE564" s="130"/>
      <c r="AG564" s="106"/>
    </row>
    <row r="565">
      <c r="C565" s="79"/>
      <c r="D565" s="79"/>
      <c r="E565" s="79"/>
      <c r="O565" s="79"/>
      <c r="S565" s="79"/>
      <c r="T565" s="79"/>
      <c r="Y565" s="79"/>
      <c r="AE565" s="130"/>
      <c r="AG565" s="106"/>
    </row>
    <row r="566">
      <c r="C566" s="79"/>
      <c r="D566" s="79"/>
      <c r="E566" s="79"/>
      <c r="O566" s="79"/>
      <c r="S566" s="79"/>
      <c r="T566" s="79"/>
      <c r="Y566" s="79"/>
      <c r="AE566" s="130"/>
      <c r="AG566" s="106"/>
    </row>
    <row r="567">
      <c r="C567" s="79"/>
      <c r="D567" s="79"/>
      <c r="E567" s="79"/>
      <c r="O567" s="79"/>
      <c r="S567" s="79"/>
      <c r="T567" s="79"/>
      <c r="Y567" s="79"/>
      <c r="AE567" s="130"/>
      <c r="AG567" s="106"/>
    </row>
    <row r="568">
      <c r="C568" s="79"/>
      <c r="D568" s="79"/>
      <c r="E568" s="79"/>
      <c r="O568" s="79"/>
      <c r="S568" s="79"/>
      <c r="T568" s="79"/>
      <c r="Y568" s="79"/>
      <c r="AE568" s="130"/>
      <c r="AG568" s="106"/>
    </row>
    <row r="569">
      <c r="C569" s="79"/>
      <c r="D569" s="79"/>
      <c r="E569" s="79"/>
      <c r="O569" s="79"/>
      <c r="S569" s="79"/>
      <c r="T569" s="79"/>
      <c r="Y569" s="79"/>
      <c r="AE569" s="130"/>
      <c r="AG569" s="106"/>
    </row>
    <row r="570">
      <c r="C570" s="79"/>
      <c r="D570" s="79"/>
      <c r="E570" s="79"/>
      <c r="O570" s="79"/>
      <c r="S570" s="79"/>
      <c r="T570" s="79"/>
      <c r="Y570" s="79"/>
      <c r="AE570" s="130"/>
      <c r="AG570" s="106"/>
    </row>
    <row r="571">
      <c r="C571" s="79"/>
      <c r="D571" s="79"/>
      <c r="E571" s="79"/>
      <c r="O571" s="79"/>
      <c r="S571" s="79"/>
      <c r="T571" s="79"/>
      <c r="Y571" s="79"/>
      <c r="AE571" s="130"/>
      <c r="AG571" s="106"/>
    </row>
    <row r="572">
      <c r="C572" s="79"/>
      <c r="D572" s="79"/>
      <c r="E572" s="79"/>
      <c r="O572" s="79"/>
      <c r="S572" s="79"/>
      <c r="T572" s="79"/>
      <c r="Y572" s="79"/>
      <c r="AE572" s="130"/>
      <c r="AG572" s="106"/>
    </row>
    <row r="573">
      <c r="C573" s="79"/>
      <c r="D573" s="79"/>
      <c r="E573" s="79"/>
      <c r="O573" s="79"/>
      <c r="S573" s="79"/>
      <c r="T573" s="79"/>
      <c r="Y573" s="79"/>
      <c r="AE573" s="130"/>
      <c r="AG573" s="106"/>
    </row>
    <row r="574">
      <c r="C574" s="79"/>
      <c r="D574" s="79"/>
      <c r="E574" s="79"/>
      <c r="O574" s="79"/>
      <c r="S574" s="79"/>
      <c r="T574" s="79"/>
      <c r="Y574" s="79"/>
      <c r="AE574" s="130"/>
      <c r="AG574" s="106"/>
    </row>
    <row r="575">
      <c r="C575" s="79"/>
      <c r="D575" s="79"/>
      <c r="E575" s="79"/>
      <c r="O575" s="79"/>
      <c r="S575" s="79"/>
      <c r="T575" s="79"/>
      <c r="Y575" s="79"/>
      <c r="AE575" s="130"/>
      <c r="AG575" s="106"/>
    </row>
    <row r="576">
      <c r="C576" s="79"/>
      <c r="D576" s="79"/>
      <c r="E576" s="79"/>
      <c r="O576" s="79"/>
      <c r="S576" s="79"/>
      <c r="T576" s="79"/>
      <c r="Y576" s="79"/>
      <c r="AE576" s="130"/>
      <c r="AG576" s="106"/>
    </row>
    <row r="577">
      <c r="C577" s="79"/>
      <c r="D577" s="79"/>
      <c r="E577" s="79"/>
      <c r="O577" s="79"/>
      <c r="S577" s="79"/>
      <c r="T577" s="79"/>
      <c r="Y577" s="79"/>
      <c r="AE577" s="130"/>
      <c r="AG577" s="106"/>
    </row>
    <row r="578">
      <c r="C578" s="79"/>
      <c r="D578" s="79"/>
      <c r="E578" s="79"/>
      <c r="O578" s="79"/>
      <c r="S578" s="79"/>
      <c r="T578" s="79"/>
      <c r="Y578" s="79"/>
      <c r="AE578" s="130"/>
      <c r="AG578" s="106"/>
    </row>
    <row r="579">
      <c r="C579" s="79"/>
      <c r="D579" s="79"/>
      <c r="E579" s="79"/>
      <c r="O579" s="79"/>
      <c r="S579" s="79"/>
      <c r="T579" s="79"/>
      <c r="Y579" s="79"/>
      <c r="AE579" s="130"/>
      <c r="AG579" s="106"/>
    </row>
    <row r="580">
      <c r="C580" s="79"/>
      <c r="D580" s="79"/>
      <c r="E580" s="79"/>
      <c r="O580" s="79"/>
      <c r="S580" s="79"/>
      <c r="T580" s="79"/>
      <c r="Y580" s="79"/>
      <c r="AE580" s="130"/>
      <c r="AG580" s="106"/>
    </row>
    <row r="581">
      <c r="C581" s="79"/>
      <c r="D581" s="79"/>
      <c r="E581" s="79"/>
      <c r="O581" s="79"/>
      <c r="S581" s="79"/>
      <c r="T581" s="79"/>
      <c r="Y581" s="79"/>
      <c r="AE581" s="130"/>
      <c r="AG581" s="106"/>
    </row>
    <row r="582">
      <c r="C582" s="79"/>
      <c r="D582" s="79"/>
      <c r="E582" s="79"/>
      <c r="O582" s="79"/>
      <c r="S582" s="79"/>
      <c r="T582" s="79"/>
      <c r="Y582" s="79"/>
      <c r="AE582" s="130"/>
      <c r="AG582" s="106"/>
    </row>
    <row r="583">
      <c r="C583" s="79"/>
      <c r="D583" s="79"/>
      <c r="E583" s="79"/>
      <c r="O583" s="79"/>
      <c r="S583" s="79"/>
      <c r="T583" s="79"/>
      <c r="Y583" s="79"/>
      <c r="AE583" s="130"/>
      <c r="AG583" s="106"/>
    </row>
    <row r="584">
      <c r="C584" s="79"/>
      <c r="D584" s="79"/>
      <c r="E584" s="79"/>
      <c r="O584" s="79"/>
      <c r="S584" s="79"/>
      <c r="T584" s="79"/>
      <c r="Y584" s="79"/>
      <c r="AE584" s="130"/>
      <c r="AG584" s="106"/>
    </row>
    <row r="585">
      <c r="C585" s="79"/>
      <c r="D585" s="79"/>
      <c r="E585" s="79"/>
      <c r="O585" s="79"/>
      <c r="S585" s="79"/>
      <c r="T585" s="79"/>
      <c r="Y585" s="79"/>
      <c r="AE585" s="130"/>
      <c r="AG585" s="106"/>
    </row>
    <row r="586">
      <c r="C586" s="79"/>
      <c r="D586" s="79"/>
      <c r="E586" s="79"/>
      <c r="O586" s="79"/>
      <c r="S586" s="79"/>
      <c r="T586" s="79"/>
      <c r="Y586" s="79"/>
      <c r="AE586" s="130"/>
      <c r="AG586" s="106"/>
    </row>
    <row r="587">
      <c r="C587" s="79"/>
      <c r="D587" s="79"/>
      <c r="E587" s="79"/>
      <c r="O587" s="79"/>
      <c r="S587" s="79"/>
      <c r="T587" s="79"/>
      <c r="Y587" s="79"/>
      <c r="AE587" s="130"/>
      <c r="AG587" s="106"/>
    </row>
    <row r="588">
      <c r="C588" s="79"/>
      <c r="D588" s="79"/>
      <c r="E588" s="79"/>
      <c r="O588" s="79"/>
      <c r="S588" s="79"/>
      <c r="T588" s="79"/>
      <c r="Y588" s="79"/>
      <c r="AE588" s="130"/>
      <c r="AG588" s="106"/>
    </row>
    <row r="589">
      <c r="C589" s="79"/>
      <c r="D589" s="79"/>
      <c r="E589" s="79"/>
      <c r="O589" s="79"/>
      <c r="S589" s="79"/>
      <c r="T589" s="79"/>
      <c r="Y589" s="79"/>
      <c r="AE589" s="130"/>
      <c r="AG589" s="106"/>
    </row>
    <row r="590">
      <c r="C590" s="79"/>
      <c r="D590" s="79"/>
      <c r="E590" s="79"/>
      <c r="O590" s="79"/>
      <c r="S590" s="79"/>
      <c r="T590" s="79"/>
      <c r="Y590" s="79"/>
      <c r="AE590" s="130"/>
      <c r="AG590" s="106"/>
    </row>
    <row r="591">
      <c r="C591" s="79"/>
      <c r="D591" s="79"/>
      <c r="E591" s="79"/>
      <c r="O591" s="79"/>
      <c r="S591" s="79"/>
      <c r="T591" s="79"/>
      <c r="Y591" s="79"/>
      <c r="AE591" s="130"/>
      <c r="AG591" s="106"/>
    </row>
    <row r="592">
      <c r="C592" s="79"/>
      <c r="D592" s="79"/>
      <c r="E592" s="79"/>
      <c r="O592" s="79"/>
      <c r="S592" s="79"/>
      <c r="T592" s="79"/>
      <c r="Y592" s="79"/>
      <c r="AE592" s="130"/>
      <c r="AG592" s="106"/>
    </row>
    <row r="593">
      <c r="C593" s="79"/>
      <c r="D593" s="79"/>
      <c r="E593" s="79"/>
      <c r="O593" s="79"/>
      <c r="S593" s="79"/>
      <c r="T593" s="79"/>
      <c r="Y593" s="79"/>
      <c r="AE593" s="130"/>
      <c r="AG593" s="106"/>
    </row>
    <row r="594">
      <c r="C594" s="79"/>
      <c r="D594" s="79"/>
      <c r="E594" s="79"/>
      <c r="O594" s="79"/>
      <c r="S594" s="79"/>
      <c r="T594" s="79"/>
      <c r="Y594" s="79"/>
      <c r="AE594" s="130"/>
      <c r="AG594" s="106"/>
    </row>
    <row r="595">
      <c r="C595" s="79"/>
      <c r="D595" s="79"/>
      <c r="E595" s="79"/>
      <c r="O595" s="79"/>
      <c r="S595" s="79"/>
      <c r="T595" s="79"/>
      <c r="Y595" s="79"/>
      <c r="AE595" s="130"/>
      <c r="AG595" s="106"/>
    </row>
    <row r="596">
      <c r="C596" s="79"/>
      <c r="D596" s="79"/>
      <c r="E596" s="79"/>
      <c r="O596" s="79"/>
      <c r="S596" s="79"/>
      <c r="T596" s="79"/>
      <c r="Y596" s="79"/>
      <c r="AE596" s="130"/>
      <c r="AG596" s="106"/>
    </row>
    <row r="597">
      <c r="C597" s="79"/>
      <c r="D597" s="79"/>
      <c r="E597" s="79"/>
      <c r="O597" s="79"/>
      <c r="S597" s="79"/>
      <c r="T597" s="79"/>
      <c r="Y597" s="79"/>
      <c r="AE597" s="130"/>
      <c r="AG597" s="106"/>
    </row>
    <row r="598">
      <c r="C598" s="79"/>
      <c r="D598" s="79"/>
      <c r="E598" s="79"/>
      <c r="O598" s="79"/>
      <c r="S598" s="79"/>
      <c r="T598" s="79"/>
      <c r="Y598" s="79"/>
      <c r="AE598" s="130"/>
      <c r="AG598" s="106"/>
    </row>
    <row r="599">
      <c r="C599" s="79"/>
      <c r="D599" s="79"/>
      <c r="E599" s="79"/>
      <c r="O599" s="79"/>
      <c r="S599" s="79"/>
      <c r="T599" s="79"/>
      <c r="Y599" s="79"/>
      <c r="AE599" s="130"/>
      <c r="AG599" s="106"/>
    </row>
    <row r="600">
      <c r="C600" s="79"/>
      <c r="D600" s="79"/>
      <c r="E600" s="79"/>
      <c r="O600" s="79"/>
      <c r="S600" s="79"/>
      <c r="T600" s="79"/>
      <c r="Y600" s="79"/>
      <c r="AE600" s="130"/>
      <c r="AG600" s="106"/>
    </row>
    <row r="601">
      <c r="C601" s="79"/>
      <c r="D601" s="79"/>
      <c r="E601" s="79"/>
      <c r="O601" s="79"/>
      <c r="S601" s="79"/>
      <c r="T601" s="79"/>
      <c r="Y601" s="79"/>
      <c r="AE601" s="130"/>
      <c r="AG601" s="106"/>
    </row>
    <row r="602">
      <c r="C602" s="79"/>
      <c r="D602" s="79"/>
      <c r="E602" s="79"/>
      <c r="O602" s="79"/>
      <c r="S602" s="79"/>
      <c r="T602" s="79"/>
      <c r="Y602" s="79"/>
      <c r="AE602" s="130"/>
      <c r="AG602" s="106"/>
    </row>
    <row r="603">
      <c r="C603" s="79"/>
      <c r="D603" s="79"/>
      <c r="E603" s="79"/>
      <c r="O603" s="79"/>
      <c r="S603" s="79"/>
      <c r="T603" s="79"/>
      <c r="Y603" s="79"/>
      <c r="AE603" s="130"/>
      <c r="AG603" s="106"/>
    </row>
    <row r="604">
      <c r="C604" s="79"/>
      <c r="D604" s="79"/>
      <c r="E604" s="79"/>
      <c r="O604" s="79"/>
      <c r="S604" s="79"/>
      <c r="T604" s="79"/>
      <c r="Y604" s="79"/>
      <c r="AE604" s="130"/>
      <c r="AG604" s="106"/>
    </row>
    <row r="605">
      <c r="C605" s="79"/>
      <c r="D605" s="79"/>
      <c r="E605" s="79"/>
      <c r="O605" s="79"/>
      <c r="S605" s="79"/>
      <c r="T605" s="79"/>
      <c r="Y605" s="79"/>
      <c r="AE605" s="130"/>
      <c r="AG605" s="106"/>
    </row>
    <row r="606">
      <c r="C606" s="79"/>
      <c r="D606" s="79"/>
      <c r="E606" s="79"/>
      <c r="O606" s="79"/>
      <c r="S606" s="79"/>
      <c r="T606" s="79"/>
      <c r="Y606" s="79"/>
      <c r="AE606" s="130"/>
      <c r="AG606" s="106"/>
    </row>
    <row r="607">
      <c r="C607" s="79"/>
      <c r="D607" s="79"/>
      <c r="E607" s="79"/>
      <c r="O607" s="79"/>
      <c r="S607" s="79"/>
      <c r="T607" s="79"/>
      <c r="Y607" s="79"/>
      <c r="AE607" s="130"/>
      <c r="AG607" s="106"/>
    </row>
    <row r="608">
      <c r="C608" s="79"/>
      <c r="D608" s="79"/>
      <c r="E608" s="79"/>
      <c r="O608" s="79"/>
      <c r="S608" s="79"/>
      <c r="T608" s="79"/>
      <c r="Y608" s="79"/>
      <c r="AE608" s="130"/>
      <c r="AG608" s="106"/>
    </row>
    <row r="609">
      <c r="C609" s="79"/>
      <c r="D609" s="79"/>
      <c r="E609" s="79"/>
      <c r="O609" s="79"/>
      <c r="S609" s="79"/>
      <c r="T609" s="79"/>
      <c r="Y609" s="79"/>
      <c r="AE609" s="130"/>
      <c r="AG609" s="106"/>
    </row>
    <row r="610">
      <c r="C610" s="79"/>
      <c r="D610" s="79"/>
      <c r="E610" s="79"/>
      <c r="O610" s="79"/>
      <c r="S610" s="79"/>
      <c r="T610" s="79"/>
      <c r="Y610" s="79"/>
      <c r="AE610" s="130"/>
      <c r="AG610" s="106"/>
    </row>
    <row r="611">
      <c r="C611" s="79"/>
      <c r="D611" s="79"/>
      <c r="E611" s="79"/>
      <c r="O611" s="79"/>
      <c r="S611" s="79"/>
      <c r="T611" s="79"/>
      <c r="Y611" s="79"/>
      <c r="AE611" s="130"/>
      <c r="AG611" s="106"/>
    </row>
    <row r="612">
      <c r="C612" s="79"/>
      <c r="D612" s="79"/>
      <c r="E612" s="79"/>
      <c r="O612" s="79"/>
      <c r="S612" s="79"/>
      <c r="T612" s="79"/>
      <c r="Y612" s="79"/>
      <c r="AE612" s="130"/>
      <c r="AG612" s="106"/>
    </row>
    <row r="613">
      <c r="C613" s="79"/>
      <c r="D613" s="79"/>
      <c r="E613" s="79"/>
      <c r="O613" s="79"/>
      <c r="S613" s="79"/>
      <c r="T613" s="79"/>
      <c r="Y613" s="79"/>
      <c r="AE613" s="130"/>
      <c r="AG613" s="106"/>
    </row>
    <row r="614">
      <c r="C614" s="79"/>
      <c r="D614" s="79"/>
      <c r="E614" s="79"/>
      <c r="O614" s="79"/>
      <c r="S614" s="79"/>
      <c r="T614" s="79"/>
      <c r="Y614" s="79"/>
      <c r="AE614" s="130"/>
      <c r="AG614" s="106"/>
    </row>
    <row r="615">
      <c r="C615" s="79"/>
      <c r="D615" s="79"/>
      <c r="E615" s="79"/>
      <c r="O615" s="79"/>
      <c r="S615" s="79"/>
      <c r="T615" s="79"/>
      <c r="Y615" s="79"/>
      <c r="AE615" s="130"/>
      <c r="AG615" s="106"/>
    </row>
    <row r="616">
      <c r="C616" s="79"/>
      <c r="D616" s="79"/>
      <c r="E616" s="79"/>
      <c r="O616" s="79"/>
      <c r="S616" s="79"/>
      <c r="T616" s="79"/>
      <c r="Y616" s="79"/>
      <c r="AE616" s="130"/>
      <c r="AG616" s="106"/>
    </row>
    <row r="617">
      <c r="C617" s="79"/>
      <c r="D617" s="79"/>
      <c r="E617" s="79"/>
      <c r="O617" s="79"/>
      <c r="S617" s="79"/>
      <c r="T617" s="79"/>
      <c r="Y617" s="79"/>
      <c r="AE617" s="130"/>
      <c r="AG617" s="106"/>
    </row>
    <row r="618">
      <c r="C618" s="79"/>
      <c r="D618" s="79"/>
      <c r="E618" s="79"/>
      <c r="O618" s="79"/>
      <c r="S618" s="79"/>
      <c r="T618" s="79"/>
      <c r="Y618" s="79"/>
      <c r="AE618" s="130"/>
      <c r="AG618" s="106"/>
    </row>
    <row r="619">
      <c r="C619" s="79"/>
      <c r="D619" s="79"/>
      <c r="E619" s="79"/>
      <c r="O619" s="79"/>
      <c r="S619" s="79"/>
      <c r="T619" s="79"/>
      <c r="Y619" s="79"/>
      <c r="AE619" s="130"/>
      <c r="AG619" s="106"/>
    </row>
    <row r="620">
      <c r="C620" s="79"/>
      <c r="D620" s="79"/>
      <c r="E620" s="79"/>
      <c r="O620" s="79"/>
      <c r="S620" s="79"/>
      <c r="T620" s="79"/>
      <c r="Y620" s="79"/>
      <c r="AE620" s="130"/>
      <c r="AG620" s="106"/>
    </row>
    <row r="621">
      <c r="C621" s="79"/>
      <c r="D621" s="79"/>
      <c r="E621" s="79"/>
      <c r="O621" s="79"/>
      <c r="S621" s="79"/>
      <c r="T621" s="79"/>
      <c r="Y621" s="79"/>
      <c r="AE621" s="130"/>
      <c r="AG621" s="106"/>
    </row>
    <row r="622">
      <c r="C622" s="79"/>
      <c r="D622" s="79"/>
      <c r="E622" s="79"/>
      <c r="O622" s="79"/>
      <c r="S622" s="79"/>
      <c r="T622" s="79"/>
      <c r="Y622" s="79"/>
      <c r="AE622" s="130"/>
      <c r="AG622" s="106"/>
    </row>
    <row r="623">
      <c r="C623" s="79"/>
      <c r="D623" s="79"/>
      <c r="E623" s="79"/>
      <c r="O623" s="79"/>
      <c r="S623" s="79"/>
      <c r="T623" s="79"/>
      <c r="Y623" s="79"/>
      <c r="AE623" s="130"/>
      <c r="AG623" s="106"/>
    </row>
    <row r="624">
      <c r="C624" s="79"/>
      <c r="D624" s="79"/>
      <c r="E624" s="79"/>
      <c r="O624" s="79"/>
      <c r="S624" s="79"/>
      <c r="T624" s="79"/>
      <c r="Y624" s="79"/>
      <c r="AE624" s="130"/>
      <c r="AG624" s="106"/>
    </row>
    <row r="625">
      <c r="C625" s="79"/>
      <c r="D625" s="79"/>
      <c r="E625" s="79"/>
      <c r="O625" s="79"/>
      <c r="S625" s="79"/>
      <c r="T625" s="79"/>
      <c r="Y625" s="79"/>
      <c r="AE625" s="130"/>
      <c r="AG625" s="106"/>
    </row>
    <row r="626">
      <c r="C626" s="79"/>
      <c r="D626" s="79"/>
      <c r="E626" s="79"/>
      <c r="O626" s="79"/>
      <c r="S626" s="79"/>
      <c r="T626" s="79"/>
      <c r="Y626" s="79"/>
      <c r="AE626" s="130"/>
      <c r="AG626" s="106"/>
    </row>
    <row r="627">
      <c r="C627" s="79"/>
      <c r="D627" s="79"/>
      <c r="E627" s="79"/>
      <c r="O627" s="79"/>
      <c r="S627" s="79"/>
      <c r="T627" s="79"/>
      <c r="Y627" s="79"/>
      <c r="AE627" s="130"/>
      <c r="AG627" s="106"/>
    </row>
    <row r="628">
      <c r="C628" s="79"/>
      <c r="D628" s="79"/>
      <c r="E628" s="79"/>
      <c r="O628" s="79"/>
      <c r="S628" s="79"/>
      <c r="T628" s="79"/>
      <c r="Y628" s="79"/>
      <c r="AE628" s="130"/>
      <c r="AG628" s="106"/>
    </row>
    <row r="629">
      <c r="C629" s="79"/>
      <c r="D629" s="79"/>
      <c r="E629" s="79"/>
      <c r="O629" s="79"/>
      <c r="S629" s="79"/>
      <c r="T629" s="79"/>
      <c r="Y629" s="79"/>
      <c r="AE629" s="130"/>
      <c r="AG629" s="106"/>
    </row>
    <row r="630">
      <c r="C630" s="79"/>
      <c r="D630" s="79"/>
      <c r="E630" s="79"/>
      <c r="O630" s="79"/>
      <c r="S630" s="79"/>
      <c r="T630" s="79"/>
      <c r="Y630" s="79"/>
      <c r="AE630" s="130"/>
      <c r="AG630" s="106"/>
    </row>
    <row r="631">
      <c r="C631" s="79"/>
      <c r="D631" s="79"/>
      <c r="E631" s="79"/>
      <c r="O631" s="79"/>
      <c r="S631" s="79"/>
      <c r="T631" s="79"/>
      <c r="Y631" s="79"/>
      <c r="AE631" s="130"/>
      <c r="AG631" s="106"/>
    </row>
    <row r="632">
      <c r="C632" s="79"/>
      <c r="D632" s="79"/>
      <c r="E632" s="79"/>
      <c r="O632" s="79"/>
      <c r="S632" s="79"/>
      <c r="T632" s="79"/>
      <c r="Y632" s="79"/>
      <c r="AE632" s="130"/>
      <c r="AG632" s="106"/>
    </row>
    <row r="633">
      <c r="C633" s="79"/>
      <c r="D633" s="79"/>
      <c r="E633" s="79"/>
      <c r="O633" s="79"/>
      <c r="S633" s="79"/>
      <c r="T633" s="79"/>
      <c r="Y633" s="79"/>
      <c r="AE633" s="130"/>
      <c r="AG633" s="106"/>
    </row>
    <row r="634">
      <c r="C634" s="79"/>
      <c r="D634" s="79"/>
      <c r="E634" s="79"/>
      <c r="O634" s="79"/>
      <c r="S634" s="79"/>
      <c r="T634" s="79"/>
      <c r="Y634" s="79"/>
      <c r="AE634" s="130"/>
      <c r="AG634" s="106"/>
    </row>
    <row r="635">
      <c r="C635" s="79"/>
      <c r="D635" s="79"/>
      <c r="E635" s="79"/>
      <c r="O635" s="79"/>
      <c r="S635" s="79"/>
      <c r="T635" s="79"/>
      <c r="Y635" s="79"/>
      <c r="AE635" s="130"/>
      <c r="AG635" s="106"/>
    </row>
    <row r="636">
      <c r="C636" s="79"/>
      <c r="D636" s="79"/>
      <c r="E636" s="79"/>
      <c r="O636" s="79"/>
      <c r="S636" s="79"/>
      <c r="T636" s="79"/>
      <c r="Y636" s="79"/>
      <c r="AE636" s="130"/>
      <c r="AG636" s="106"/>
    </row>
    <row r="637">
      <c r="C637" s="79"/>
      <c r="D637" s="79"/>
      <c r="E637" s="79"/>
      <c r="O637" s="79"/>
      <c r="S637" s="79"/>
      <c r="T637" s="79"/>
      <c r="Y637" s="79"/>
      <c r="AE637" s="130"/>
      <c r="AG637" s="106"/>
    </row>
    <row r="638">
      <c r="C638" s="79"/>
      <c r="D638" s="79"/>
      <c r="E638" s="79"/>
      <c r="O638" s="79"/>
      <c r="S638" s="79"/>
      <c r="T638" s="79"/>
      <c r="Y638" s="79"/>
      <c r="AE638" s="130"/>
      <c r="AG638" s="106"/>
    </row>
    <row r="639">
      <c r="C639" s="79"/>
      <c r="D639" s="79"/>
      <c r="E639" s="79"/>
      <c r="O639" s="79"/>
      <c r="S639" s="79"/>
      <c r="T639" s="79"/>
      <c r="Y639" s="79"/>
      <c r="AE639" s="130"/>
      <c r="AG639" s="106"/>
    </row>
    <row r="640">
      <c r="C640" s="79"/>
      <c r="D640" s="79"/>
      <c r="E640" s="79"/>
      <c r="O640" s="79"/>
      <c r="S640" s="79"/>
      <c r="T640" s="79"/>
      <c r="Y640" s="79"/>
      <c r="AE640" s="130"/>
      <c r="AG640" s="106"/>
    </row>
    <row r="641">
      <c r="C641" s="79"/>
      <c r="D641" s="79"/>
      <c r="E641" s="79"/>
      <c r="O641" s="79"/>
      <c r="S641" s="79"/>
      <c r="T641" s="79"/>
      <c r="Y641" s="79"/>
      <c r="AE641" s="130"/>
      <c r="AG641" s="106"/>
    </row>
    <row r="642">
      <c r="C642" s="79"/>
      <c r="D642" s="79"/>
      <c r="E642" s="79"/>
      <c r="O642" s="79"/>
      <c r="S642" s="79"/>
      <c r="T642" s="79"/>
      <c r="Y642" s="79"/>
      <c r="AE642" s="130"/>
      <c r="AG642" s="106"/>
    </row>
    <row r="643">
      <c r="C643" s="79"/>
      <c r="D643" s="79"/>
      <c r="E643" s="79"/>
      <c r="O643" s="79"/>
      <c r="S643" s="79"/>
      <c r="T643" s="79"/>
      <c r="Y643" s="79"/>
      <c r="AE643" s="130"/>
      <c r="AG643" s="106"/>
    </row>
    <row r="644">
      <c r="C644" s="79"/>
      <c r="D644" s="79"/>
      <c r="E644" s="79"/>
      <c r="O644" s="79"/>
      <c r="S644" s="79"/>
      <c r="T644" s="79"/>
      <c r="Y644" s="79"/>
      <c r="AE644" s="130"/>
      <c r="AG644" s="106"/>
    </row>
    <row r="645">
      <c r="C645" s="79"/>
      <c r="D645" s="79"/>
      <c r="E645" s="79"/>
      <c r="O645" s="79"/>
      <c r="S645" s="79"/>
      <c r="T645" s="79"/>
      <c r="Y645" s="79"/>
      <c r="AE645" s="130"/>
      <c r="AG645" s="106"/>
    </row>
    <row r="646">
      <c r="C646" s="79"/>
      <c r="D646" s="79"/>
      <c r="E646" s="79"/>
      <c r="O646" s="79"/>
      <c r="S646" s="79"/>
      <c r="T646" s="79"/>
      <c r="Y646" s="79"/>
      <c r="AE646" s="130"/>
      <c r="AG646" s="106"/>
    </row>
    <row r="647">
      <c r="C647" s="79"/>
      <c r="D647" s="79"/>
      <c r="E647" s="79"/>
      <c r="O647" s="79"/>
      <c r="S647" s="79"/>
      <c r="T647" s="79"/>
      <c r="Y647" s="79"/>
      <c r="AE647" s="130"/>
      <c r="AG647" s="106"/>
    </row>
    <row r="648">
      <c r="C648" s="79"/>
      <c r="D648" s="79"/>
      <c r="E648" s="79"/>
      <c r="O648" s="79"/>
      <c r="S648" s="79"/>
      <c r="T648" s="79"/>
      <c r="Y648" s="79"/>
      <c r="AE648" s="130"/>
      <c r="AG648" s="106"/>
    </row>
    <row r="649">
      <c r="C649" s="79"/>
      <c r="D649" s="79"/>
      <c r="E649" s="79"/>
      <c r="O649" s="79"/>
      <c r="S649" s="79"/>
      <c r="T649" s="79"/>
      <c r="Y649" s="79"/>
      <c r="AE649" s="130"/>
      <c r="AG649" s="106"/>
    </row>
    <row r="650">
      <c r="C650" s="79"/>
      <c r="D650" s="79"/>
      <c r="E650" s="79"/>
      <c r="O650" s="79"/>
      <c r="S650" s="79"/>
      <c r="T650" s="79"/>
      <c r="Y650" s="79"/>
      <c r="AE650" s="130"/>
      <c r="AG650" s="106"/>
    </row>
    <row r="651">
      <c r="C651" s="79"/>
      <c r="D651" s="79"/>
      <c r="E651" s="79"/>
      <c r="O651" s="79"/>
      <c r="S651" s="79"/>
      <c r="T651" s="79"/>
      <c r="Y651" s="79"/>
      <c r="AE651" s="130"/>
      <c r="AG651" s="106"/>
    </row>
    <row r="652">
      <c r="C652" s="79"/>
      <c r="D652" s="79"/>
      <c r="E652" s="79"/>
      <c r="O652" s="79"/>
      <c r="S652" s="79"/>
      <c r="T652" s="79"/>
      <c r="Y652" s="79"/>
      <c r="AE652" s="130"/>
      <c r="AG652" s="106"/>
    </row>
    <row r="653">
      <c r="C653" s="79"/>
      <c r="D653" s="79"/>
      <c r="E653" s="79"/>
      <c r="O653" s="79"/>
      <c r="S653" s="79"/>
      <c r="T653" s="79"/>
      <c r="Y653" s="79"/>
      <c r="AE653" s="130"/>
      <c r="AG653" s="106"/>
    </row>
    <row r="654">
      <c r="C654" s="79"/>
      <c r="D654" s="79"/>
      <c r="E654" s="79"/>
      <c r="O654" s="79"/>
      <c r="S654" s="79"/>
      <c r="T654" s="79"/>
      <c r="Y654" s="79"/>
      <c r="AE654" s="130"/>
      <c r="AG654" s="106"/>
    </row>
    <row r="655">
      <c r="C655" s="79"/>
      <c r="D655" s="79"/>
      <c r="E655" s="79"/>
      <c r="O655" s="79"/>
      <c r="S655" s="79"/>
      <c r="T655" s="79"/>
      <c r="Y655" s="79"/>
      <c r="AE655" s="130"/>
      <c r="AG655" s="106"/>
    </row>
    <row r="656">
      <c r="C656" s="79"/>
      <c r="D656" s="79"/>
      <c r="E656" s="79"/>
      <c r="O656" s="79"/>
      <c r="S656" s="79"/>
      <c r="T656" s="79"/>
      <c r="Y656" s="79"/>
      <c r="AE656" s="130"/>
      <c r="AG656" s="106"/>
    </row>
    <row r="657">
      <c r="C657" s="79"/>
      <c r="D657" s="79"/>
      <c r="E657" s="79"/>
      <c r="O657" s="79"/>
      <c r="S657" s="79"/>
      <c r="T657" s="79"/>
      <c r="Y657" s="79"/>
      <c r="AE657" s="130"/>
      <c r="AG657" s="106"/>
    </row>
    <row r="658">
      <c r="C658" s="79"/>
      <c r="D658" s="79"/>
      <c r="E658" s="79"/>
      <c r="O658" s="79"/>
      <c r="S658" s="79"/>
      <c r="T658" s="79"/>
      <c r="Y658" s="79"/>
      <c r="AE658" s="130"/>
      <c r="AG658" s="106"/>
    </row>
    <row r="659">
      <c r="C659" s="79"/>
      <c r="D659" s="79"/>
      <c r="E659" s="79"/>
      <c r="O659" s="79"/>
      <c r="S659" s="79"/>
      <c r="T659" s="79"/>
      <c r="Y659" s="79"/>
      <c r="AE659" s="130"/>
      <c r="AG659" s="106"/>
    </row>
    <row r="660">
      <c r="C660" s="79"/>
      <c r="D660" s="79"/>
      <c r="E660" s="79"/>
      <c r="O660" s="79"/>
      <c r="S660" s="79"/>
      <c r="T660" s="79"/>
      <c r="Y660" s="79"/>
      <c r="AE660" s="130"/>
      <c r="AG660" s="106"/>
    </row>
    <row r="661">
      <c r="C661" s="79"/>
      <c r="D661" s="79"/>
      <c r="E661" s="79"/>
      <c r="O661" s="79"/>
      <c r="S661" s="79"/>
      <c r="T661" s="79"/>
      <c r="Y661" s="79"/>
      <c r="AE661" s="130"/>
      <c r="AG661" s="106"/>
    </row>
    <row r="662">
      <c r="C662" s="79"/>
      <c r="D662" s="79"/>
      <c r="E662" s="79"/>
      <c r="O662" s="79"/>
      <c r="S662" s="79"/>
      <c r="T662" s="79"/>
      <c r="Y662" s="79"/>
      <c r="AE662" s="130"/>
      <c r="AG662" s="106"/>
    </row>
    <row r="663">
      <c r="C663" s="79"/>
      <c r="D663" s="79"/>
      <c r="E663" s="79"/>
      <c r="O663" s="79"/>
      <c r="S663" s="79"/>
      <c r="T663" s="79"/>
      <c r="Y663" s="79"/>
      <c r="AE663" s="130"/>
      <c r="AG663" s="106"/>
    </row>
    <row r="664">
      <c r="C664" s="79"/>
      <c r="D664" s="79"/>
      <c r="E664" s="79"/>
      <c r="O664" s="79"/>
      <c r="S664" s="79"/>
      <c r="T664" s="79"/>
      <c r="Y664" s="79"/>
      <c r="AE664" s="130"/>
      <c r="AG664" s="106"/>
    </row>
    <row r="665">
      <c r="C665" s="79"/>
      <c r="D665" s="79"/>
      <c r="E665" s="79"/>
      <c r="O665" s="79"/>
      <c r="S665" s="79"/>
      <c r="T665" s="79"/>
      <c r="Y665" s="79"/>
      <c r="AE665" s="130"/>
      <c r="AG665" s="106"/>
    </row>
    <row r="666">
      <c r="C666" s="79"/>
      <c r="D666" s="79"/>
      <c r="E666" s="79"/>
      <c r="O666" s="79"/>
      <c r="S666" s="79"/>
      <c r="T666" s="79"/>
      <c r="Y666" s="79"/>
      <c r="AE666" s="130"/>
      <c r="AG666" s="106"/>
    </row>
    <row r="667">
      <c r="C667" s="79"/>
      <c r="D667" s="79"/>
      <c r="E667" s="79"/>
      <c r="O667" s="79"/>
      <c r="S667" s="79"/>
      <c r="T667" s="79"/>
      <c r="Y667" s="79"/>
      <c r="AE667" s="130"/>
      <c r="AG667" s="106"/>
    </row>
    <row r="668">
      <c r="C668" s="79"/>
      <c r="D668" s="79"/>
      <c r="E668" s="79"/>
      <c r="O668" s="79"/>
      <c r="S668" s="79"/>
      <c r="T668" s="79"/>
      <c r="Y668" s="79"/>
      <c r="AE668" s="130"/>
      <c r="AG668" s="106"/>
    </row>
    <row r="669">
      <c r="C669" s="79"/>
      <c r="D669" s="79"/>
      <c r="E669" s="79"/>
      <c r="O669" s="79"/>
      <c r="S669" s="79"/>
      <c r="T669" s="79"/>
      <c r="Y669" s="79"/>
      <c r="AE669" s="130"/>
      <c r="AG669" s="106"/>
    </row>
    <row r="670">
      <c r="C670" s="79"/>
      <c r="D670" s="79"/>
      <c r="E670" s="79"/>
      <c r="O670" s="79"/>
      <c r="S670" s="79"/>
      <c r="T670" s="79"/>
      <c r="Y670" s="79"/>
      <c r="AE670" s="130"/>
      <c r="AG670" s="106"/>
    </row>
    <row r="671">
      <c r="C671" s="79"/>
      <c r="D671" s="79"/>
      <c r="E671" s="79"/>
      <c r="O671" s="79"/>
      <c r="S671" s="79"/>
      <c r="T671" s="79"/>
      <c r="Y671" s="79"/>
      <c r="AE671" s="130"/>
      <c r="AG671" s="106"/>
    </row>
    <row r="672">
      <c r="C672" s="79"/>
      <c r="D672" s="79"/>
      <c r="E672" s="79"/>
      <c r="O672" s="79"/>
      <c r="S672" s="79"/>
      <c r="T672" s="79"/>
      <c r="Y672" s="79"/>
      <c r="AE672" s="130"/>
      <c r="AG672" s="106"/>
    </row>
    <row r="673">
      <c r="C673" s="79"/>
      <c r="D673" s="79"/>
      <c r="E673" s="79"/>
      <c r="O673" s="79"/>
      <c r="S673" s="79"/>
      <c r="T673" s="79"/>
      <c r="Y673" s="79"/>
      <c r="AE673" s="130"/>
      <c r="AG673" s="106"/>
    </row>
    <row r="674">
      <c r="C674" s="79"/>
      <c r="D674" s="79"/>
      <c r="E674" s="79"/>
      <c r="O674" s="79"/>
      <c r="S674" s="79"/>
      <c r="T674" s="79"/>
      <c r="Y674" s="79"/>
      <c r="AE674" s="130"/>
      <c r="AG674" s="106"/>
    </row>
    <row r="675">
      <c r="C675" s="79"/>
      <c r="D675" s="79"/>
      <c r="E675" s="79"/>
      <c r="O675" s="79"/>
      <c r="S675" s="79"/>
      <c r="T675" s="79"/>
      <c r="Y675" s="79"/>
      <c r="AE675" s="130"/>
      <c r="AG675" s="106"/>
    </row>
    <row r="676">
      <c r="C676" s="79"/>
      <c r="D676" s="79"/>
      <c r="E676" s="79"/>
      <c r="O676" s="79"/>
      <c r="S676" s="79"/>
      <c r="T676" s="79"/>
      <c r="Y676" s="79"/>
      <c r="AE676" s="130"/>
      <c r="AG676" s="106"/>
    </row>
    <row r="677">
      <c r="C677" s="79"/>
      <c r="D677" s="79"/>
      <c r="E677" s="79"/>
      <c r="O677" s="79"/>
      <c r="S677" s="79"/>
      <c r="T677" s="79"/>
      <c r="Y677" s="79"/>
      <c r="AE677" s="130"/>
      <c r="AG677" s="106"/>
    </row>
    <row r="678">
      <c r="C678" s="79"/>
      <c r="D678" s="79"/>
      <c r="E678" s="79"/>
      <c r="O678" s="79"/>
      <c r="S678" s="79"/>
      <c r="T678" s="79"/>
      <c r="Y678" s="79"/>
      <c r="AE678" s="130"/>
      <c r="AG678" s="106"/>
    </row>
    <row r="679">
      <c r="C679" s="79"/>
      <c r="D679" s="79"/>
      <c r="E679" s="79"/>
      <c r="O679" s="79"/>
      <c r="S679" s="79"/>
      <c r="T679" s="79"/>
      <c r="Y679" s="79"/>
      <c r="AE679" s="130"/>
      <c r="AG679" s="106"/>
    </row>
    <row r="680">
      <c r="C680" s="79"/>
      <c r="D680" s="79"/>
      <c r="E680" s="79"/>
      <c r="O680" s="79"/>
      <c r="S680" s="79"/>
      <c r="T680" s="79"/>
      <c r="Y680" s="79"/>
      <c r="AE680" s="130"/>
      <c r="AG680" s="106"/>
    </row>
    <row r="681">
      <c r="C681" s="79"/>
      <c r="D681" s="79"/>
      <c r="E681" s="79"/>
      <c r="O681" s="79"/>
      <c r="S681" s="79"/>
      <c r="T681" s="79"/>
      <c r="Y681" s="79"/>
      <c r="AE681" s="130"/>
      <c r="AG681" s="106"/>
    </row>
    <row r="682">
      <c r="C682" s="79"/>
      <c r="D682" s="79"/>
      <c r="E682" s="79"/>
      <c r="O682" s="79"/>
      <c r="S682" s="79"/>
      <c r="T682" s="79"/>
      <c r="Y682" s="79"/>
      <c r="AE682" s="130"/>
      <c r="AG682" s="106"/>
    </row>
    <row r="683">
      <c r="C683" s="79"/>
      <c r="D683" s="79"/>
      <c r="E683" s="79"/>
      <c r="O683" s="79"/>
      <c r="S683" s="79"/>
      <c r="T683" s="79"/>
      <c r="Y683" s="79"/>
      <c r="AE683" s="130"/>
      <c r="AG683" s="106"/>
    </row>
    <row r="684">
      <c r="C684" s="79"/>
      <c r="D684" s="79"/>
      <c r="E684" s="79"/>
      <c r="O684" s="79"/>
      <c r="S684" s="79"/>
      <c r="T684" s="79"/>
      <c r="Y684" s="79"/>
      <c r="AE684" s="130"/>
      <c r="AG684" s="106"/>
    </row>
    <row r="685">
      <c r="C685" s="79"/>
      <c r="D685" s="79"/>
      <c r="E685" s="79"/>
      <c r="O685" s="79"/>
      <c r="S685" s="79"/>
      <c r="T685" s="79"/>
      <c r="Y685" s="79"/>
      <c r="AE685" s="130"/>
      <c r="AG685" s="106"/>
    </row>
    <row r="686">
      <c r="C686" s="79"/>
      <c r="D686" s="79"/>
      <c r="E686" s="79"/>
      <c r="O686" s="79"/>
      <c r="S686" s="79"/>
      <c r="T686" s="79"/>
      <c r="Y686" s="79"/>
      <c r="AE686" s="130"/>
      <c r="AG686" s="106"/>
    </row>
    <row r="687">
      <c r="C687" s="79"/>
      <c r="D687" s="79"/>
      <c r="E687" s="79"/>
      <c r="O687" s="79"/>
      <c r="S687" s="79"/>
      <c r="T687" s="79"/>
      <c r="Y687" s="79"/>
      <c r="AE687" s="130"/>
      <c r="AG687" s="106"/>
    </row>
    <row r="688">
      <c r="C688" s="79"/>
      <c r="D688" s="79"/>
      <c r="E688" s="79"/>
      <c r="O688" s="79"/>
      <c r="S688" s="79"/>
      <c r="T688" s="79"/>
      <c r="Y688" s="79"/>
      <c r="AE688" s="130"/>
      <c r="AG688" s="106"/>
    </row>
    <row r="689">
      <c r="C689" s="79"/>
      <c r="D689" s="79"/>
      <c r="E689" s="79"/>
      <c r="O689" s="79"/>
      <c r="S689" s="79"/>
      <c r="T689" s="79"/>
      <c r="Y689" s="79"/>
      <c r="AE689" s="130"/>
      <c r="AG689" s="106"/>
    </row>
    <row r="690">
      <c r="C690" s="79"/>
      <c r="D690" s="79"/>
      <c r="E690" s="79"/>
      <c r="O690" s="79"/>
      <c r="S690" s="79"/>
      <c r="T690" s="79"/>
      <c r="Y690" s="79"/>
      <c r="AE690" s="130"/>
      <c r="AG690" s="106"/>
    </row>
    <row r="691">
      <c r="C691" s="79"/>
      <c r="D691" s="79"/>
      <c r="E691" s="79"/>
      <c r="O691" s="79"/>
      <c r="S691" s="79"/>
      <c r="T691" s="79"/>
      <c r="Y691" s="79"/>
      <c r="AE691" s="130"/>
      <c r="AG691" s="106"/>
    </row>
    <row r="692">
      <c r="C692" s="79"/>
      <c r="D692" s="79"/>
      <c r="E692" s="79"/>
      <c r="O692" s="79"/>
      <c r="S692" s="79"/>
      <c r="T692" s="79"/>
      <c r="Y692" s="79"/>
      <c r="AE692" s="130"/>
      <c r="AG692" s="106"/>
    </row>
    <row r="693">
      <c r="C693" s="79"/>
      <c r="D693" s="79"/>
      <c r="E693" s="79"/>
      <c r="O693" s="79"/>
      <c r="S693" s="79"/>
      <c r="T693" s="79"/>
      <c r="Y693" s="79"/>
      <c r="AE693" s="130"/>
      <c r="AG693" s="106"/>
    </row>
    <row r="694">
      <c r="C694" s="79"/>
      <c r="D694" s="79"/>
      <c r="E694" s="79"/>
      <c r="O694" s="79"/>
      <c r="S694" s="79"/>
      <c r="T694" s="79"/>
      <c r="Y694" s="79"/>
      <c r="AE694" s="130"/>
      <c r="AG694" s="106"/>
    </row>
    <row r="695">
      <c r="C695" s="79"/>
      <c r="D695" s="79"/>
      <c r="E695" s="79"/>
      <c r="O695" s="79"/>
      <c r="S695" s="79"/>
      <c r="T695" s="79"/>
      <c r="Y695" s="79"/>
      <c r="AE695" s="130"/>
      <c r="AG695" s="106"/>
    </row>
    <row r="696">
      <c r="C696" s="79"/>
      <c r="D696" s="79"/>
      <c r="E696" s="79"/>
      <c r="O696" s="79"/>
      <c r="S696" s="79"/>
      <c r="T696" s="79"/>
      <c r="Y696" s="79"/>
      <c r="AE696" s="130"/>
      <c r="AG696" s="106"/>
    </row>
    <row r="697">
      <c r="C697" s="79"/>
      <c r="D697" s="79"/>
      <c r="E697" s="79"/>
      <c r="O697" s="79"/>
      <c r="S697" s="79"/>
      <c r="T697" s="79"/>
      <c r="Y697" s="79"/>
      <c r="AE697" s="130"/>
      <c r="AG697" s="106"/>
    </row>
    <row r="698">
      <c r="C698" s="79"/>
      <c r="D698" s="79"/>
      <c r="E698" s="79"/>
      <c r="O698" s="79"/>
      <c r="S698" s="79"/>
      <c r="T698" s="79"/>
      <c r="Y698" s="79"/>
      <c r="AE698" s="130"/>
      <c r="AG698" s="106"/>
    </row>
    <row r="699">
      <c r="C699" s="79"/>
      <c r="D699" s="79"/>
      <c r="E699" s="79"/>
      <c r="O699" s="79"/>
      <c r="S699" s="79"/>
      <c r="T699" s="79"/>
      <c r="Y699" s="79"/>
      <c r="AE699" s="130"/>
      <c r="AG699" s="106"/>
    </row>
    <row r="700">
      <c r="C700" s="79"/>
      <c r="D700" s="79"/>
      <c r="E700" s="79"/>
      <c r="O700" s="79"/>
      <c r="S700" s="79"/>
      <c r="T700" s="79"/>
      <c r="Y700" s="79"/>
      <c r="AE700" s="130"/>
      <c r="AG700" s="106"/>
    </row>
    <row r="701">
      <c r="C701" s="79"/>
      <c r="D701" s="79"/>
      <c r="E701" s="79"/>
      <c r="O701" s="79"/>
      <c r="S701" s="79"/>
      <c r="T701" s="79"/>
      <c r="Y701" s="79"/>
      <c r="AE701" s="130"/>
      <c r="AG701" s="106"/>
    </row>
    <row r="702">
      <c r="C702" s="79"/>
      <c r="D702" s="79"/>
      <c r="E702" s="79"/>
      <c r="O702" s="79"/>
      <c r="S702" s="79"/>
      <c r="T702" s="79"/>
      <c r="Y702" s="79"/>
      <c r="AE702" s="130"/>
      <c r="AG702" s="106"/>
    </row>
    <row r="703">
      <c r="C703" s="79"/>
      <c r="D703" s="79"/>
      <c r="E703" s="79"/>
      <c r="O703" s="79"/>
      <c r="S703" s="79"/>
      <c r="T703" s="79"/>
      <c r="Y703" s="79"/>
      <c r="AE703" s="130"/>
      <c r="AG703" s="106"/>
    </row>
    <row r="704">
      <c r="C704" s="79"/>
      <c r="D704" s="79"/>
      <c r="E704" s="79"/>
      <c r="O704" s="79"/>
      <c r="S704" s="79"/>
      <c r="T704" s="79"/>
      <c r="Y704" s="79"/>
      <c r="AE704" s="130"/>
      <c r="AG704" s="106"/>
    </row>
    <row r="705">
      <c r="C705" s="79"/>
      <c r="D705" s="79"/>
      <c r="E705" s="79"/>
      <c r="O705" s="79"/>
      <c r="S705" s="79"/>
      <c r="T705" s="79"/>
      <c r="Y705" s="79"/>
      <c r="AE705" s="130"/>
      <c r="AG705" s="106"/>
    </row>
    <row r="706">
      <c r="C706" s="79"/>
      <c r="D706" s="79"/>
      <c r="E706" s="79"/>
      <c r="O706" s="79"/>
      <c r="S706" s="79"/>
      <c r="T706" s="79"/>
      <c r="Y706" s="79"/>
      <c r="AE706" s="130"/>
      <c r="AG706" s="106"/>
    </row>
    <row r="707">
      <c r="C707" s="79"/>
      <c r="D707" s="79"/>
      <c r="E707" s="79"/>
      <c r="O707" s="79"/>
      <c r="S707" s="79"/>
      <c r="T707" s="79"/>
      <c r="Y707" s="79"/>
      <c r="AE707" s="130"/>
      <c r="AG707" s="106"/>
    </row>
    <row r="708">
      <c r="C708" s="79"/>
      <c r="D708" s="79"/>
      <c r="E708" s="79"/>
      <c r="O708" s="79"/>
      <c r="S708" s="79"/>
      <c r="T708" s="79"/>
      <c r="Y708" s="79"/>
      <c r="AE708" s="130"/>
      <c r="AG708" s="106"/>
    </row>
    <row r="709">
      <c r="C709" s="79"/>
      <c r="D709" s="79"/>
      <c r="E709" s="79"/>
      <c r="O709" s="79"/>
      <c r="S709" s="79"/>
      <c r="T709" s="79"/>
      <c r="Y709" s="79"/>
      <c r="AE709" s="130"/>
      <c r="AG709" s="106"/>
    </row>
    <row r="710">
      <c r="C710" s="79"/>
      <c r="D710" s="79"/>
      <c r="E710" s="79"/>
      <c r="O710" s="79"/>
      <c r="S710" s="79"/>
      <c r="T710" s="79"/>
      <c r="Y710" s="79"/>
      <c r="AE710" s="130"/>
      <c r="AG710" s="106"/>
    </row>
    <row r="711">
      <c r="C711" s="79"/>
      <c r="D711" s="79"/>
      <c r="E711" s="79"/>
      <c r="O711" s="79"/>
      <c r="S711" s="79"/>
      <c r="T711" s="79"/>
      <c r="Y711" s="79"/>
      <c r="AE711" s="130"/>
      <c r="AG711" s="106"/>
    </row>
    <row r="712">
      <c r="C712" s="79"/>
      <c r="D712" s="79"/>
      <c r="E712" s="79"/>
      <c r="O712" s="79"/>
      <c r="S712" s="79"/>
      <c r="T712" s="79"/>
      <c r="Y712" s="79"/>
      <c r="AE712" s="130"/>
      <c r="AG712" s="106"/>
    </row>
    <row r="713">
      <c r="C713" s="79"/>
      <c r="D713" s="79"/>
      <c r="E713" s="79"/>
      <c r="O713" s="79"/>
      <c r="S713" s="79"/>
      <c r="T713" s="79"/>
      <c r="Y713" s="79"/>
      <c r="AE713" s="130"/>
      <c r="AG713" s="106"/>
    </row>
    <row r="714">
      <c r="C714" s="79"/>
      <c r="D714" s="79"/>
      <c r="E714" s="79"/>
      <c r="O714" s="79"/>
      <c r="S714" s="79"/>
      <c r="T714" s="79"/>
      <c r="Y714" s="79"/>
      <c r="AE714" s="130"/>
      <c r="AG714" s="106"/>
    </row>
    <row r="715">
      <c r="C715" s="79"/>
      <c r="D715" s="79"/>
      <c r="E715" s="79"/>
      <c r="O715" s="79"/>
      <c r="S715" s="79"/>
      <c r="T715" s="79"/>
      <c r="Y715" s="79"/>
      <c r="AE715" s="130"/>
      <c r="AG715" s="106"/>
    </row>
    <row r="716">
      <c r="C716" s="79"/>
      <c r="D716" s="79"/>
      <c r="E716" s="79"/>
      <c r="O716" s="79"/>
      <c r="S716" s="79"/>
      <c r="T716" s="79"/>
      <c r="Y716" s="79"/>
      <c r="AE716" s="130"/>
      <c r="AG716" s="106"/>
    </row>
    <row r="717">
      <c r="C717" s="79"/>
      <c r="D717" s="79"/>
      <c r="E717" s="79"/>
      <c r="O717" s="79"/>
      <c r="S717" s="79"/>
      <c r="T717" s="79"/>
      <c r="Y717" s="79"/>
      <c r="AE717" s="130"/>
      <c r="AG717" s="106"/>
    </row>
    <row r="718">
      <c r="C718" s="79"/>
      <c r="D718" s="79"/>
      <c r="E718" s="79"/>
      <c r="O718" s="79"/>
      <c r="S718" s="79"/>
      <c r="T718" s="79"/>
      <c r="Y718" s="79"/>
      <c r="AE718" s="130"/>
      <c r="AG718" s="106"/>
    </row>
    <row r="719">
      <c r="C719" s="79"/>
      <c r="D719" s="79"/>
      <c r="E719" s="79"/>
      <c r="O719" s="79"/>
      <c r="S719" s="79"/>
      <c r="T719" s="79"/>
      <c r="Y719" s="79"/>
      <c r="AE719" s="130"/>
      <c r="AG719" s="106"/>
    </row>
    <row r="720">
      <c r="C720" s="79"/>
      <c r="D720" s="79"/>
      <c r="E720" s="79"/>
      <c r="O720" s="79"/>
      <c r="S720" s="79"/>
      <c r="T720" s="79"/>
      <c r="Y720" s="79"/>
      <c r="AE720" s="130"/>
      <c r="AG720" s="106"/>
    </row>
    <row r="721">
      <c r="C721" s="79"/>
      <c r="D721" s="79"/>
      <c r="E721" s="79"/>
      <c r="O721" s="79"/>
      <c r="S721" s="79"/>
      <c r="T721" s="79"/>
      <c r="Y721" s="79"/>
      <c r="AE721" s="130"/>
      <c r="AG721" s="106"/>
    </row>
    <row r="722">
      <c r="C722" s="79"/>
      <c r="D722" s="79"/>
      <c r="E722" s="79"/>
      <c r="O722" s="79"/>
      <c r="S722" s="79"/>
      <c r="T722" s="79"/>
      <c r="Y722" s="79"/>
      <c r="AE722" s="130"/>
      <c r="AG722" s="106"/>
    </row>
    <row r="723">
      <c r="C723" s="79"/>
      <c r="D723" s="79"/>
      <c r="E723" s="79"/>
      <c r="O723" s="79"/>
      <c r="S723" s="79"/>
      <c r="T723" s="79"/>
      <c r="Y723" s="79"/>
      <c r="AE723" s="130"/>
      <c r="AG723" s="106"/>
    </row>
    <row r="724">
      <c r="C724" s="79"/>
      <c r="D724" s="79"/>
      <c r="E724" s="79"/>
      <c r="O724" s="79"/>
      <c r="S724" s="79"/>
      <c r="T724" s="79"/>
      <c r="Y724" s="79"/>
      <c r="AE724" s="130"/>
      <c r="AG724" s="106"/>
    </row>
    <row r="725">
      <c r="C725" s="79"/>
      <c r="D725" s="79"/>
      <c r="E725" s="79"/>
      <c r="O725" s="79"/>
      <c r="S725" s="79"/>
      <c r="T725" s="79"/>
      <c r="Y725" s="79"/>
      <c r="AE725" s="130"/>
      <c r="AG725" s="106"/>
    </row>
    <row r="726">
      <c r="C726" s="79"/>
      <c r="D726" s="79"/>
      <c r="E726" s="79"/>
      <c r="O726" s="79"/>
      <c r="S726" s="79"/>
      <c r="T726" s="79"/>
      <c r="Y726" s="79"/>
      <c r="AE726" s="130"/>
      <c r="AG726" s="106"/>
    </row>
    <row r="727">
      <c r="C727" s="79"/>
      <c r="D727" s="79"/>
      <c r="E727" s="79"/>
      <c r="O727" s="79"/>
      <c r="S727" s="79"/>
      <c r="T727" s="79"/>
      <c r="Y727" s="79"/>
      <c r="AE727" s="130"/>
      <c r="AG727" s="106"/>
    </row>
    <row r="728">
      <c r="C728" s="79"/>
      <c r="D728" s="79"/>
      <c r="E728" s="79"/>
      <c r="O728" s="79"/>
      <c r="S728" s="79"/>
      <c r="T728" s="79"/>
      <c r="Y728" s="79"/>
      <c r="AE728" s="130"/>
      <c r="AG728" s="106"/>
    </row>
    <row r="729">
      <c r="C729" s="79"/>
      <c r="D729" s="79"/>
      <c r="E729" s="79"/>
      <c r="O729" s="79"/>
      <c r="S729" s="79"/>
      <c r="T729" s="79"/>
      <c r="Y729" s="79"/>
      <c r="AE729" s="130"/>
      <c r="AG729" s="106"/>
    </row>
    <row r="730">
      <c r="C730" s="79"/>
      <c r="D730" s="79"/>
      <c r="E730" s="79"/>
      <c r="O730" s="79"/>
      <c r="S730" s="79"/>
      <c r="T730" s="79"/>
      <c r="Y730" s="79"/>
      <c r="AE730" s="130"/>
      <c r="AG730" s="106"/>
    </row>
    <row r="731">
      <c r="C731" s="79"/>
      <c r="D731" s="79"/>
      <c r="E731" s="79"/>
      <c r="O731" s="79"/>
      <c r="S731" s="79"/>
      <c r="T731" s="79"/>
      <c r="Y731" s="79"/>
      <c r="AE731" s="130"/>
      <c r="AG731" s="106"/>
    </row>
    <row r="732">
      <c r="C732" s="79"/>
      <c r="D732" s="79"/>
      <c r="E732" s="79"/>
      <c r="O732" s="79"/>
      <c r="S732" s="79"/>
      <c r="T732" s="79"/>
      <c r="Y732" s="79"/>
      <c r="AE732" s="130"/>
      <c r="AG732" s="106"/>
    </row>
    <row r="733">
      <c r="C733" s="79"/>
      <c r="D733" s="79"/>
      <c r="E733" s="79"/>
      <c r="O733" s="79"/>
      <c r="S733" s="79"/>
      <c r="T733" s="79"/>
      <c r="Y733" s="79"/>
      <c r="AE733" s="130"/>
      <c r="AG733" s="106"/>
    </row>
    <row r="734">
      <c r="C734" s="79"/>
      <c r="D734" s="79"/>
      <c r="E734" s="79"/>
      <c r="O734" s="79"/>
      <c r="S734" s="79"/>
      <c r="T734" s="79"/>
      <c r="Y734" s="79"/>
      <c r="AE734" s="130"/>
      <c r="AG734" s="106"/>
    </row>
    <row r="735">
      <c r="C735" s="79"/>
      <c r="D735" s="79"/>
      <c r="E735" s="79"/>
      <c r="O735" s="79"/>
      <c r="S735" s="79"/>
      <c r="T735" s="79"/>
      <c r="Y735" s="79"/>
      <c r="AE735" s="130"/>
      <c r="AG735" s="106"/>
    </row>
    <row r="736">
      <c r="C736" s="79"/>
      <c r="D736" s="79"/>
      <c r="E736" s="79"/>
      <c r="O736" s="79"/>
      <c r="S736" s="79"/>
      <c r="T736" s="79"/>
      <c r="Y736" s="79"/>
      <c r="AE736" s="130"/>
      <c r="AG736" s="106"/>
    </row>
    <row r="737">
      <c r="C737" s="79"/>
      <c r="D737" s="79"/>
      <c r="E737" s="79"/>
      <c r="O737" s="79"/>
      <c r="S737" s="79"/>
      <c r="T737" s="79"/>
      <c r="Y737" s="79"/>
      <c r="AE737" s="130"/>
      <c r="AG737" s="106"/>
    </row>
    <row r="738">
      <c r="C738" s="79"/>
      <c r="D738" s="79"/>
      <c r="E738" s="79"/>
      <c r="O738" s="79"/>
      <c r="S738" s="79"/>
      <c r="T738" s="79"/>
      <c r="Y738" s="79"/>
      <c r="AE738" s="130"/>
      <c r="AG738" s="106"/>
    </row>
    <row r="739">
      <c r="C739" s="79"/>
      <c r="D739" s="79"/>
      <c r="E739" s="79"/>
      <c r="O739" s="79"/>
      <c r="S739" s="79"/>
      <c r="T739" s="79"/>
      <c r="Y739" s="79"/>
      <c r="AE739" s="130"/>
      <c r="AG739" s="106"/>
    </row>
    <row r="740">
      <c r="C740" s="79"/>
      <c r="D740" s="79"/>
      <c r="E740" s="79"/>
      <c r="O740" s="79"/>
      <c r="S740" s="79"/>
      <c r="T740" s="79"/>
      <c r="Y740" s="79"/>
      <c r="AE740" s="130"/>
      <c r="AG740" s="106"/>
    </row>
    <row r="741">
      <c r="C741" s="79"/>
      <c r="D741" s="79"/>
      <c r="E741" s="79"/>
      <c r="O741" s="79"/>
      <c r="S741" s="79"/>
      <c r="T741" s="79"/>
      <c r="Y741" s="79"/>
      <c r="AE741" s="130"/>
      <c r="AG741" s="106"/>
    </row>
    <row r="742">
      <c r="C742" s="79"/>
      <c r="D742" s="79"/>
      <c r="E742" s="79"/>
      <c r="O742" s="79"/>
      <c r="S742" s="79"/>
      <c r="T742" s="79"/>
      <c r="Y742" s="79"/>
      <c r="AE742" s="130"/>
      <c r="AG742" s="106"/>
    </row>
    <row r="743">
      <c r="C743" s="79"/>
      <c r="D743" s="79"/>
      <c r="E743" s="79"/>
      <c r="O743" s="79"/>
      <c r="S743" s="79"/>
      <c r="T743" s="79"/>
      <c r="Y743" s="79"/>
      <c r="AE743" s="130"/>
      <c r="AG743" s="106"/>
    </row>
    <row r="744">
      <c r="C744" s="79"/>
      <c r="D744" s="79"/>
      <c r="E744" s="79"/>
      <c r="O744" s="79"/>
      <c r="S744" s="79"/>
      <c r="T744" s="79"/>
      <c r="Y744" s="79"/>
      <c r="AE744" s="130"/>
      <c r="AG744" s="106"/>
    </row>
    <row r="745">
      <c r="C745" s="79"/>
      <c r="D745" s="79"/>
      <c r="E745" s="79"/>
      <c r="O745" s="79"/>
      <c r="S745" s="79"/>
      <c r="T745" s="79"/>
      <c r="Y745" s="79"/>
      <c r="AE745" s="130"/>
      <c r="AG745" s="106"/>
    </row>
    <row r="746">
      <c r="C746" s="79"/>
      <c r="D746" s="79"/>
      <c r="E746" s="79"/>
      <c r="O746" s="79"/>
      <c r="S746" s="79"/>
      <c r="T746" s="79"/>
      <c r="Y746" s="79"/>
      <c r="AE746" s="130"/>
      <c r="AG746" s="106"/>
    </row>
    <row r="747">
      <c r="C747" s="79"/>
      <c r="D747" s="79"/>
      <c r="E747" s="79"/>
      <c r="O747" s="79"/>
      <c r="S747" s="79"/>
      <c r="T747" s="79"/>
      <c r="Y747" s="79"/>
      <c r="AE747" s="130"/>
      <c r="AG747" s="106"/>
    </row>
    <row r="748">
      <c r="C748" s="79"/>
      <c r="D748" s="79"/>
      <c r="E748" s="79"/>
      <c r="O748" s="79"/>
      <c r="S748" s="79"/>
      <c r="T748" s="79"/>
      <c r="Y748" s="79"/>
      <c r="AE748" s="130"/>
      <c r="AG748" s="106"/>
    </row>
    <row r="749">
      <c r="C749" s="79"/>
      <c r="D749" s="79"/>
      <c r="E749" s="79"/>
      <c r="O749" s="79"/>
      <c r="S749" s="79"/>
      <c r="T749" s="79"/>
      <c r="Y749" s="79"/>
      <c r="AE749" s="130"/>
      <c r="AG749" s="106"/>
    </row>
    <row r="750">
      <c r="C750" s="79"/>
      <c r="D750" s="79"/>
      <c r="E750" s="79"/>
      <c r="O750" s="79"/>
      <c r="S750" s="79"/>
      <c r="T750" s="79"/>
      <c r="Y750" s="79"/>
      <c r="AE750" s="130"/>
      <c r="AG750" s="106"/>
    </row>
    <row r="751">
      <c r="C751" s="79"/>
      <c r="D751" s="79"/>
      <c r="E751" s="79"/>
      <c r="O751" s="79"/>
      <c r="S751" s="79"/>
      <c r="T751" s="79"/>
      <c r="Y751" s="79"/>
      <c r="AE751" s="130"/>
      <c r="AG751" s="106"/>
    </row>
    <row r="752">
      <c r="C752" s="79"/>
      <c r="D752" s="79"/>
      <c r="E752" s="79"/>
      <c r="O752" s="79"/>
      <c r="S752" s="79"/>
      <c r="T752" s="79"/>
      <c r="Y752" s="79"/>
      <c r="AE752" s="130"/>
      <c r="AG752" s="106"/>
    </row>
    <row r="753">
      <c r="C753" s="79"/>
      <c r="D753" s="79"/>
      <c r="E753" s="79"/>
      <c r="O753" s="79"/>
      <c r="S753" s="79"/>
      <c r="T753" s="79"/>
      <c r="Y753" s="79"/>
      <c r="AE753" s="130"/>
      <c r="AG753" s="106"/>
    </row>
    <row r="754">
      <c r="C754" s="79"/>
      <c r="D754" s="79"/>
      <c r="E754" s="79"/>
      <c r="O754" s="79"/>
      <c r="S754" s="79"/>
      <c r="T754" s="79"/>
      <c r="Y754" s="79"/>
      <c r="AE754" s="130"/>
      <c r="AG754" s="106"/>
    </row>
    <row r="755">
      <c r="C755" s="79"/>
      <c r="D755" s="79"/>
      <c r="E755" s="79"/>
      <c r="O755" s="79"/>
      <c r="S755" s="79"/>
      <c r="T755" s="79"/>
      <c r="Y755" s="79"/>
      <c r="AE755" s="130"/>
      <c r="AG755" s="106"/>
    </row>
    <row r="756">
      <c r="C756" s="79"/>
      <c r="D756" s="79"/>
      <c r="E756" s="79"/>
      <c r="O756" s="79"/>
      <c r="S756" s="79"/>
      <c r="T756" s="79"/>
      <c r="Y756" s="79"/>
      <c r="AE756" s="130"/>
      <c r="AG756" s="106"/>
    </row>
    <row r="757">
      <c r="C757" s="79"/>
      <c r="D757" s="79"/>
      <c r="E757" s="79"/>
      <c r="O757" s="79"/>
      <c r="S757" s="79"/>
      <c r="T757" s="79"/>
      <c r="Y757" s="79"/>
      <c r="AE757" s="130"/>
      <c r="AG757" s="106"/>
    </row>
    <row r="758">
      <c r="C758" s="79"/>
      <c r="D758" s="79"/>
      <c r="E758" s="79"/>
      <c r="O758" s="79"/>
      <c r="S758" s="79"/>
      <c r="T758" s="79"/>
      <c r="Y758" s="79"/>
      <c r="AE758" s="130"/>
      <c r="AG758" s="106"/>
    </row>
    <row r="759">
      <c r="C759" s="79"/>
      <c r="D759" s="79"/>
      <c r="E759" s="79"/>
      <c r="O759" s="79"/>
      <c r="S759" s="79"/>
      <c r="T759" s="79"/>
      <c r="Y759" s="79"/>
      <c r="AE759" s="130"/>
      <c r="AG759" s="106"/>
    </row>
    <row r="760">
      <c r="C760" s="79"/>
      <c r="D760" s="79"/>
      <c r="E760" s="79"/>
      <c r="O760" s="79"/>
      <c r="S760" s="79"/>
      <c r="T760" s="79"/>
      <c r="Y760" s="79"/>
      <c r="AE760" s="130"/>
      <c r="AG760" s="106"/>
    </row>
    <row r="761">
      <c r="C761" s="79"/>
      <c r="D761" s="79"/>
      <c r="E761" s="79"/>
      <c r="O761" s="79"/>
      <c r="S761" s="79"/>
      <c r="T761" s="79"/>
      <c r="Y761" s="79"/>
      <c r="AE761" s="130"/>
      <c r="AG761" s="106"/>
    </row>
    <row r="762">
      <c r="C762" s="79"/>
      <c r="D762" s="79"/>
      <c r="E762" s="79"/>
      <c r="O762" s="79"/>
      <c r="S762" s="79"/>
      <c r="T762" s="79"/>
      <c r="Y762" s="79"/>
      <c r="AE762" s="130"/>
      <c r="AG762" s="106"/>
    </row>
    <row r="763">
      <c r="C763" s="79"/>
      <c r="D763" s="79"/>
      <c r="E763" s="79"/>
      <c r="O763" s="79"/>
      <c r="S763" s="79"/>
      <c r="T763" s="79"/>
      <c r="Y763" s="79"/>
      <c r="AE763" s="130"/>
      <c r="AG763" s="106"/>
    </row>
    <row r="764">
      <c r="C764" s="79"/>
      <c r="D764" s="79"/>
      <c r="E764" s="79"/>
      <c r="O764" s="79"/>
      <c r="S764" s="79"/>
      <c r="T764" s="79"/>
      <c r="Y764" s="79"/>
      <c r="AE764" s="130"/>
      <c r="AG764" s="106"/>
    </row>
    <row r="765">
      <c r="C765" s="79"/>
      <c r="D765" s="79"/>
      <c r="E765" s="79"/>
      <c r="O765" s="79"/>
      <c r="S765" s="79"/>
      <c r="T765" s="79"/>
      <c r="Y765" s="79"/>
      <c r="AE765" s="130"/>
      <c r="AG765" s="106"/>
    </row>
    <row r="766">
      <c r="C766" s="79"/>
      <c r="D766" s="79"/>
      <c r="E766" s="79"/>
      <c r="O766" s="79"/>
      <c r="S766" s="79"/>
      <c r="T766" s="79"/>
      <c r="Y766" s="79"/>
      <c r="AE766" s="130"/>
      <c r="AG766" s="106"/>
    </row>
    <row r="767">
      <c r="C767" s="79"/>
      <c r="D767" s="79"/>
      <c r="E767" s="79"/>
      <c r="O767" s="79"/>
      <c r="S767" s="79"/>
      <c r="T767" s="79"/>
      <c r="Y767" s="79"/>
      <c r="AE767" s="130"/>
      <c r="AG767" s="106"/>
    </row>
    <row r="768">
      <c r="C768" s="79"/>
      <c r="D768" s="79"/>
      <c r="E768" s="79"/>
      <c r="O768" s="79"/>
      <c r="S768" s="79"/>
      <c r="T768" s="79"/>
      <c r="Y768" s="79"/>
      <c r="AE768" s="130"/>
      <c r="AG768" s="106"/>
    </row>
    <row r="769">
      <c r="C769" s="79"/>
      <c r="D769" s="79"/>
      <c r="E769" s="79"/>
      <c r="O769" s="79"/>
      <c r="S769" s="79"/>
      <c r="T769" s="79"/>
      <c r="Y769" s="79"/>
      <c r="AE769" s="130"/>
      <c r="AG769" s="106"/>
    </row>
    <row r="770">
      <c r="C770" s="79"/>
      <c r="D770" s="79"/>
      <c r="E770" s="79"/>
      <c r="O770" s="79"/>
      <c r="S770" s="79"/>
      <c r="T770" s="79"/>
      <c r="Y770" s="79"/>
      <c r="AE770" s="130"/>
      <c r="AG770" s="106"/>
    </row>
    <row r="771">
      <c r="C771" s="79"/>
      <c r="D771" s="79"/>
      <c r="E771" s="79"/>
      <c r="O771" s="79"/>
      <c r="S771" s="79"/>
      <c r="T771" s="79"/>
      <c r="Y771" s="79"/>
      <c r="AE771" s="130"/>
      <c r="AG771" s="106"/>
    </row>
    <row r="772">
      <c r="C772" s="79"/>
      <c r="D772" s="79"/>
      <c r="E772" s="79"/>
      <c r="O772" s="79"/>
      <c r="S772" s="79"/>
      <c r="T772" s="79"/>
      <c r="Y772" s="79"/>
      <c r="AE772" s="130"/>
      <c r="AG772" s="106"/>
    </row>
    <row r="773">
      <c r="C773" s="79"/>
      <c r="D773" s="79"/>
      <c r="E773" s="79"/>
      <c r="O773" s="79"/>
      <c r="S773" s="79"/>
      <c r="T773" s="79"/>
      <c r="Y773" s="79"/>
      <c r="AE773" s="130"/>
      <c r="AG773" s="106"/>
    </row>
    <row r="774">
      <c r="C774" s="79"/>
      <c r="D774" s="79"/>
      <c r="E774" s="79"/>
      <c r="O774" s="79"/>
      <c r="S774" s="79"/>
      <c r="T774" s="79"/>
      <c r="Y774" s="79"/>
      <c r="AE774" s="130"/>
      <c r="AG774" s="106"/>
    </row>
    <row r="775">
      <c r="C775" s="79"/>
      <c r="D775" s="79"/>
      <c r="E775" s="79"/>
      <c r="O775" s="79"/>
      <c r="S775" s="79"/>
      <c r="T775" s="79"/>
      <c r="Y775" s="79"/>
      <c r="AE775" s="130"/>
      <c r="AG775" s="106"/>
    </row>
    <row r="776">
      <c r="C776" s="79"/>
      <c r="D776" s="79"/>
      <c r="E776" s="79"/>
      <c r="O776" s="79"/>
      <c r="S776" s="79"/>
      <c r="T776" s="79"/>
      <c r="Y776" s="79"/>
      <c r="AE776" s="130"/>
      <c r="AG776" s="106"/>
    </row>
    <row r="777">
      <c r="C777" s="79"/>
      <c r="D777" s="79"/>
      <c r="E777" s="79"/>
      <c r="O777" s="79"/>
      <c r="S777" s="79"/>
      <c r="T777" s="79"/>
      <c r="Y777" s="79"/>
      <c r="AE777" s="130"/>
      <c r="AG777" s="106"/>
    </row>
    <row r="778">
      <c r="C778" s="79"/>
      <c r="D778" s="79"/>
      <c r="E778" s="79"/>
      <c r="O778" s="79"/>
      <c r="S778" s="79"/>
      <c r="T778" s="79"/>
      <c r="Y778" s="79"/>
      <c r="AE778" s="130"/>
      <c r="AG778" s="106"/>
    </row>
    <row r="779">
      <c r="C779" s="79"/>
      <c r="D779" s="79"/>
      <c r="E779" s="79"/>
      <c r="O779" s="79"/>
      <c r="S779" s="79"/>
      <c r="T779" s="79"/>
      <c r="Y779" s="79"/>
      <c r="AE779" s="130"/>
      <c r="AG779" s="106"/>
    </row>
    <row r="780">
      <c r="C780" s="79"/>
      <c r="D780" s="79"/>
      <c r="E780" s="79"/>
      <c r="O780" s="79"/>
      <c r="S780" s="79"/>
      <c r="T780" s="79"/>
      <c r="Y780" s="79"/>
      <c r="AE780" s="130"/>
      <c r="AG780" s="106"/>
    </row>
    <row r="781">
      <c r="C781" s="79"/>
      <c r="D781" s="79"/>
      <c r="E781" s="79"/>
      <c r="O781" s="79"/>
      <c r="S781" s="79"/>
      <c r="T781" s="79"/>
      <c r="Y781" s="79"/>
      <c r="AE781" s="130"/>
      <c r="AG781" s="106"/>
    </row>
    <row r="782">
      <c r="C782" s="79"/>
      <c r="D782" s="79"/>
      <c r="E782" s="79"/>
      <c r="O782" s="79"/>
      <c r="S782" s="79"/>
      <c r="T782" s="79"/>
      <c r="Y782" s="79"/>
      <c r="AE782" s="130"/>
      <c r="AG782" s="106"/>
    </row>
    <row r="783">
      <c r="C783" s="79"/>
      <c r="D783" s="79"/>
      <c r="E783" s="79"/>
      <c r="O783" s="79"/>
      <c r="S783" s="79"/>
      <c r="T783" s="79"/>
      <c r="Y783" s="79"/>
      <c r="AE783" s="130"/>
      <c r="AG783" s="106"/>
    </row>
    <row r="784">
      <c r="C784" s="79"/>
      <c r="D784" s="79"/>
      <c r="E784" s="79"/>
      <c r="O784" s="79"/>
      <c r="S784" s="79"/>
      <c r="T784" s="79"/>
      <c r="Y784" s="79"/>
      <c r="AE784" s="130"/>
      <c r="AG784" s="106"/>
    </row>
    <row r="785">
      <c r="C785" s="79"/>
      <c r="D785" s="79"/>
      <c r="E785" s="79"/>
      <c r="O785" s="79"/>
      <c r="S785" s="79"/>
      <c r="T785" s="79"/>
      <c r="Y785" s="79"/>
      <c r="AE785" s="130"/>
      <c r="AG785" s="106"/>
    </row>
    <row r="786">
      <c r="C786" s="79"/>
      <c r="D786" s="79"/>
      <c r="E786" s="79"/>
      <c r="O786" s="79"/>
      <c r="S786" s="79"/>
      <c r="T786" s="79"/>
      <c r="Y786" s="79"/>
      <c r="AE786" s="130"/>
      <c r="AG786" s="106"/>
    </row>
    <row r="787">
      <c r="C787" s="79"/>
      <c r="D787" s="79"/>
      <c r="E787" s="79"/>
      <c r="O787" s="79"/>
      <c r="S787" s="79"/>
      <c r="T787" s="79"/>
      <c r="Y787" s="79"/>
      <c r="AE787" s="130"/>
      <c r="AG787" s="106"/>
    </row>
    <row r="788">
      <c r="C788" s="79"/>
      <c r="D788" s="79"/>
      <c r="E788" s="79"/>
      <c r="O788" s="79"/>
      <c r="S788" s="79"/>
      <c r="T788" s="79"/>
      <c r="Y788" s="79"/>
      <c r="AE788" s="130"/>
      <c r="AG788" s="106"/>
    </row>
    <row r="789">
      <c r="C789" s="79"/>
      <c r="D789" s="79"/>
      <c r="E789" s="79"/>
      <c r="O789" s="79"/>
      <c r="S789" s="79"/>
      <c r="T789" s="79"/>
      <c r="Y789" s="79"/>
      <c r="AE789" s="130"/>
      <c r="AG789" s="106"/>
    </row>
    <row r="790">
      <c r="C790" s="79"/>
      <c r="D790" s="79"/>
      <c r="E790" s="79"/>
      <c r="O790" s="79"/>
      <c r="S790" s="79"/>
      <c r="T790" s="79"/>
      <c r="Y790" s="79"/>
      <c r="AE790" s="130"/>
      <c r="AG790" s="106"/>
    </row>
    <row r="791">
      <c r="C791" s="79"/>
      <c r="D791" s="79"/>
      <c r="E791" s="79"/>
      <c r="O791" s="79"/>
      <c r="S791" s="79"/>
      <c r="T791" s="79"/>
      <c r="Y791" s="79"/>
      <c r="AE791" s="130"/>
      <c r="AG791" s="106"/>
    </row>
    <row r="792">
      <c r="C792" s="79"/>
      <c r="D792" s="79"/>
      <c r="E792" s="79"/>
      <c r="O792" s="79"/>
      <c r="S792" s="79"/>
      <c r="T792" s="79"/>
      <c r="Y792" s="79"/>
      <c r="AE792" s="130"/>
      <c r="AG792" s="106"/>
    </row>
    <row r="793">
      <c r="C793" s="79"/>
      <c r="D793" s="79"/>
      <c r="E793" s="79"/>
      <c r="O793" s="79"/>
      <c r="S793" s="79"/>
      <c r="T793" s="79"/>
      <c r="Y793" s="79"/>
      <c r="AE793" s="130"/>
      <c r="AG793" s="106"/>
    </row>
    <row r="794">
      <c r="C794" s="79"/>
      <c r="D794" s="79"/>
      <c r="E794" s="79"/>
      <c r="O794" s="79"/>
      <c r="S794" s="79"/>
      <c r="T794" s="79"/>
      <c r="Y794" s="79"/>
      <c r="AE794" s="130"/>
      <c r="AG794" s="106"/>
    </row>
    <row r="795">
      <c r="C795" s="79"/>
      <c r="D795" s="79"/>
      <c r="E795" s="79"/>
      <c r="O795" s="79"/>
      <c r="S795" s="79"/>
      <c r="T795" s="79"/>
      <c r="Y795" s="79"/>
      <c r="AE795" s="130"/>
      <c r="AG795" s="106"/>
    </row>
    <row r="796">
      <c r="C796" s="79"/>
      <c r="D796" s="79"/>
      <c r="E796" s="79"/>
      <c r="O796" s="79"/>
      <c r="S796" s="79"/>
      <c r="T796" s="79"/>
      <c r="Y796" s="79"/>
      <c r="AE796" s="130"/>
      <c r="AG796" s="106"/>
    </row>
    <row r="797">
      <c r="C797" s="79"/>
      <c r="D797" s="79"/>
      <c r="E797" s="79"/>
      <c r="O797" s="79"/>
      <c r="S797" s="79"/>
      <c r="T797" s="79"/>
      <c r="Y797" s="79"/>
      <c r="AE797" s="130"/>
      <c r="AG797" s="106"/>
    </row>
    <row r="798">
      <c r="C798" s="79"/>
      <c r="D798" s="79"/>
      <c r="E798" s="79"/>
      <c r="O798" s="79"/>
      <c r="S798" s="79"/>
      <c r="T798" s="79"/>
      <c r="Y798" s="79"/>
      <c r="AE798" s="130"/>
      <c r="AG798" s="106"/>
    </row>
    <row r="799">
      <c r="C799" s="79"/>
      <c r="D799" s="79"/>
      <c r="E799" s="79"/>
      <c r="O799" s="79"/>
      <c r="S799" s="79"/>
      <c r="T799" s="79"/>
      <c r="Y799" s="79"/>
      <c r="AE799" s="130"/>
      <c r="AG799" s="106"/>
    </row>
    <row r="800">
      <c r="C800" s="79"/>
      <c r="D800" s="79"/>
      <c r="E800" s="79"/>
      <c r="O800" s="79"/>
      <c r="S800" s="79"/>
      <c r="T800" s="79"/>
      <c r="Y800" s="79"/>
      <c r="AE800" s="130"/>
      <c r="AG800" s="106"/>
    </row>
    <row r="801">
      <c r="C801" s="79"/>
      <c r="D801" s="79"/>
      <c r="E801" s="79"/>
      <c r="O801" s="79"/>
      <c r="S801" s="79"/>
      <c r="T801" s="79"/>
      <c r="Y801" s="79"/>
      <c r="AE801" s="130"/>
      <c r="AG801" s="106"/>
    </row>
    <row r="802">
      <c r="C802" s="79"/>
      <c r="D802" s="79"/>
      <c r="E802" s="79"/>
      <c r="O802" s="79"/>
      <c r="S802" s="79"/>
      <c r="T802" s="79"/>
      <c r="Y802" s="79"/>
      <c r="AE802" s="130"/>
      <c r="AG802" s="106"/>
    </row>
    <row r="803">
      <c r="C803" s="79"/>
      <c r="D803" s="79"/>
      <c r="E803" s="79"/>
      <c r="O803" s="79"/>
      <c r="S803" s="79"/>
      <c r="T803" s="79"/>
      <c r="Y803" s="79"/>
      <c r="AE803" s="130"/>
      <c r="AG803" s="106"/>
    </row>
    <row r="804">
      <c r="C804" s="79"/>
      <c r="D804" s="79"/>
      <c r="E804" s="79"/>
      <c r="O804" s="79"/>
      <c r="S804" s="79"/>
      <c r="T804" s="79"/>
      <c r="Y804" s="79"/>
      <c r="AE804" s="130"/>
      <c r="AG804" s="106"/>
    </row>
    <row r="805">
      <c r="C805" s="79"/>
      <c r="D805" s="79"/>
      <c r="E805" s="79"/>
      <c r="O805" s="79"/>
      <c r="S805" s="79"/>
      <c r="T805" s="79"/>
      <c r="Y805" s="79"/>
      <c r="AE805" s="130"/>
      <c r="AG805" s="106"/>
    </row>
    <row r="806">
      <c r="C806" s="79"/>
      <c r="D806" s="79"/>
      <c r="E806" s="79"/>
      <c r="O806" s="79"/>
      <c r="S806" s="79"/>
      <c r="T806" s="79"/>
      <c r="Y806" s="79"/>
      <c r="AE806" s="130"/>
      <c r="AG806" s="106"/>
    </row>
    <row r="807">
      <c r="C807" s="79"/>
      <c r="D807" s="79"/>
      <c r="E807" s="79"/>
      <c r="O807" s="79"/>
      <c r="S807" s="79"/>
      <c r="T807" s="79"/>
      <c r="Y807" s="79"/>
      <c r="AE807" s="130"/>
      <c r="AG807" s="106"/>
    </row>
    <row r="808">
      <c r="C808" s="79"/>
      <c r="D808" s="79"/>
      <c r="E808" s="79"/>
      <c r="O808" s="79"/>
      <c r="S808" s="79"/>
      <c r="T808" s="79"/>
      <c r="Y808" s="79"/>
      <c r="AE808" s="130"/>
      <c r="AG808" s="106"/>
    </row>
    <row r="809">
      <c r="C809" s="79"/>
      <c r="D809" s="79"/>
      <c r="E809" s="79"/>
      <c r="O809" s="79"/>
      <c r="S809" s="79"/>
      <c r="T809" s="79"/>
      <c r="Y809" s="79"/>
      <c r="AE809" s="130"/>
      <c r="AG809" s="106"/>
    </row>
    <row r="810">
      <c r="C810" s="79"/>
      <c r="D810" s="79"/>
      <c r="E810" s="79"/>
      <c r="O810" s="79"/>
      <c r="S810" s="79"/>
      <c r="T810" s="79"/>
      <c r="Y810" s="79"/>
      <c r="AE810" s="130"/>
      <c r="AG810" s="106"/>
    </row>
    <row r="811">
      <c r="C811" s="79"/>
      <c r="D811" s="79"/>
      <c r="E811" s="79"/>
      <c r="O811" s="79"/>
      <c r="S811" s="79"/>
      <c r="T811" s="79"/>
      <c r="Y811" s="79"/>
      <c r="AE811" s="130"/>
      <c r="AG811" s="106"/>
    </row>
    <row r="812">
      <c r="C812" s="79"/>
      <c r="D812" s="79"/>
      <c r="E812" s="79"/>
      <c r="O812" s="79"/>
      <c r="S812" s="79"/>
      <c r="T812" s="79"/>
      <c r="Y812" s="79"/>
      <c r="AE812" s="130"/>
      <c r="AG812" s="106"/>
    </row>
    <row r="813">
      <c r="C813" s="79"/>
      <c r="D813" s="79"/>
      <c r="E813" s="79"/>
      <c r="O813" s="79"/>
      <c r="S813" s="79"/>
      <c r="T813" s="79"/>
      <c r="Y813" s="79"/>
      <c r="AE813" s="130"/>
      <c r="AG813" s="106"/>
    </row>
    <row r="814">
      <c r="C814" s="79"/>
      <c r="D814" s="79"/>
      <c r="E814" s="79"/>
      <c r="O814" s="79"/>
      <c r="S814" s="79"/>
      <c r="T814" s="79"/>
      <c r="Y814" s="79"/>
      <c r="AE814" s="130"/>
      <c r="AG814" s="106"/>
    </row>
    <row r="815">
      <c r="C815" s="79"/>
      <c r="D815" s="79"/>
      <c r="E815" s="79"/>
      <c r="O815" s="79"/>
      <c r="S815" s="79"/>
      <c r="T815" s="79"/>
      <c r="Y815" s="79"/>
      <c r="AE815" s="130"/>
      <c r="AG815" s="106"/>
    </row>
    <row r="816">
      <c r="C816" s="79"/>
      <c r="D816" s="79"/>
      <c r="E816" s="79"/>
      <c r="O816" s="79"/>
      <c r="S816" s="79"/>
      <c r="T816" s="79"/>
      <c r="Y816" s="79"/>
      <c r="AE816" s="130"/>
      <c r="AG816" s="106"/>
    </row>
    <row r="817">
      <c r="C817" s="79"/>
      <c r="D817" s="79"/>
      <c r="E817" s="79"/>
      <c r="O817" s="79"/>
      <c r="S817" s="79"/>
      <c r="T817" s="79"/>
      <c r="Y817" s="79"/>
      <c r="AE817" s="130"/>
      <c r="AG817" s="106"/>
    </row>
    <row r="818">
      <c r="C818" s="79"/>
      <c r="D818" s="79"/>
      <c r="E818" s="79"/>
      <c r="O818" s="79"/>
      <c r="S818" s="79"/>
      <c r="T818" s="79"/>
      <c r="Y818" s="79"/>
      <c r="AE818" s="130"/>
      <c r="AG818" s="106"/>
    </row>
    <row r="819">
      <c r="C819" s="79"/>
      <c r="D819" s="79"/>
      <c r="E819" s="79"/>
      <c r="O819" s="79"/>
      <c r="S819" s="79"/>
      <c r="T819" s="79"/>
      <c r="Y819" s="79"/>
      <c r="AE819" s="130"/>
      <c r="AG819" s="106"/>
    </row>
    <row r="820">
      <c r="C820" s="79"/>
      <c r="D820" s="79"/>
      <c r="E820" s="79"/>
      <c r="O820" s="79"/>
      <c r="S820" s="79"/>
      <c r="T820" s="79"/>
      <c r="Y820" s="79"/>
      <c r="AE820" s="130"/>
      <c r="AG820" s="106"/>
    </row>
    <row r="821">
      <c r="C821" s="79"/>
      <c r="D821" s="79"/>
      <c r="E821" s="79"/>
      <c r="O821" s="79"/>
      <c r="S821" s="79"/>
      <c r="T821" s="79"/>
      <c r="Y821" s="79"/>
      <c r="AE821" s="130"/>
      <c r="AG821" s="106"/>
    </row>
    <row r="822">
      <c r="C822" s="79"/>
      <c r="D822" s="79"/>
      <c r="E822" s="79"/>
      <c r="O822" s="79"/>
      <c r="S822" s="79"/>
      <c r="T822" s="79"/>
      <c r="Y822" s="79"/>
      <c r="AE822" s="130"/>
      <c r="AG822" s="106"/>
    </row>
    <row r="823">
      <c r="C823" s="79"/>
      <c r="D823" s="79"/>
      <c r="E823" s="79"/>
      <c r="O823" s="79"/>
      <c r="S823" s="79"/>
      <c r="T823" s="79"/>
      <c r="Y823" s="79"/>
      <c r="AE823" s="130"/>
      <c r="AG823" s="106"/>
    </row>
    <row r="824">
      <c r="C824" s="79"/>
      <c r="D824" s="79"/>
      <c r="E824" s="79"/>
      <c r="O824" s="79"/>
      <c r="S824" s="79"/>
      <c r="T824" s="79"/>
      <c r="Y824" s="79"/>
      <c r="AE824" s="130"/>
      <c r="AG824" s="106"/>
    </row>
    <row r="825">
      <c r="C825" s="79"/>
      <c r="D825" s="79"/>
      <c r="E825" s="79"/>
      <c r="O825" s="79"/>
      <c r="S825" s="79"/>
      <c r="T825" s="79"/>
      <c r="Y825" s="79"/>
      <c r="AE825" s="130"/>
      <c r="AG825" s="106"/>
    </row>
    <row r="826">
      <c r="C826" s="79"/>
      <c r="D826" s="79"/>
      <c r="E826" s="79"/>
      <c r="O826" s="79"/>
      <c r="S826" s="79"/>
      <c r="T826" s="79"/>
      <c r="Y826" s="79"/>
      <c r="AE826" s="130"/>
      <c r="AG826" s="106"/>
    </row>
    <row r="827">
      <c r="C827" s="79"/>
      <c r="D827" s="79"/>
      <c r="E827" s="79"/>
      <c r="O827" s="79"/>
      <c r="S827" s="79"/>
      <c r="T827" s="79"/>
      <c r="Y827" s="79"/>
      <c r="AE827" s="130"/>
      <c r="AG827" s="106"/>
    </row>
    <row r="828">
      <c r="C828" s="79"/>
      <c r="D828" s="79"/>
      <c r="E828" s="79"/>
      <c r="O828" s="79"/>
      <c r="S828" s="79"/>
      <c r="T828" s="79"/>
      <c r="Y828" s="79"/>
      <c r="AE828" s="130"/>
      <c r="AG828" s="106"/>
    </row>
    <row r="829">
      <c r="C829" s="79"/>
      <c r="D829" s="79"/>
      <c r="E829" s="79"/>
      <c r="O829" s="79"/>
      <c r="S829" s="79"/>
      <c r="T829" s="79"/>
      <c r="Y829" s="79"/>
      <c r="AE829" s="130"/>
      <c r="AG829" s="106"/>
    </row>
    <row r="830">
      <c r="C830" s="79"/>
      <c r="D830" s="79"/>
      <c r="E830" s="79"/>
      <c r="O830" s="79"/>
      <c r="S830" s="79"/>
      <c r="T830" s="79"/>
      <c r="Y830" s="79"/>
      <c r="AE830" s="130"/>
      <c r="AG830" s="106"/>
    </row>
    <row r="831">
      <c r="C831" s="79"/>
      <c r="D831" s="79"/>
      <c r="E831" s="79"/>
      <c r="O831" s="79"/>
      <c r="S831" s="79"/>
      <c r="T831" s="79"/>
      <c r="Y831" s="79"/>
      <c r="AE831" s="130"/>
      <c r="AG831" s="106"/>
    </row>
    <row r="832">
      <c r="C832" s="79"/>
      <c r="D832" s="79"/>
      <c r="E832" s="79"/>
      <c r="O832" s="79"/>
      <c r="S832" s="79"/>
      <c r="T832" s="79"/>
      <c r="Y832" s="79"/>
      <c r="AE832" s="130"/>
      <c r="AG832" s="106"/>
    </row>
    <row r="833">
      <c r="C833" s="79"/>
      <c r="D833" s="79"/>
      <c r="E833" s="79"/>
      <c r="O833" s="79"/>
      <c r="S833" s="79"/>
      <c r="T833" s="79"/>
      <c r="Y833" s="79"/>
      <c r="AE833" s="130"/>
      <c r="AG833" s="106"/>
    </row>
    <row r="834">
      <c r="C834" s="79"/>
      <c r="D834" s="79"/>
      <c r="E834" s="79"/>
      <c r="O834" s="79"/>
      <c r="S834" s="79"/>
      <c r="T834" s="79"/>
      <c r="Y834" s="79"/>
      <c r="AE834" s="130"/>
      <c r="AG834" s="106"/>
    </row>
    <row r="835">
      <c r="C835" s="79"/>
      <c r="D835" s="79"/>
      <c r="E835" s="79"/>
      <c r="O835" s="79"/>
      <c r="S835" s="79"/>
      <c r="T835" s="79"/>
      <c r="Y835" s="79"/>
      <c r="AE835" s="130"/>
      <c r="AG835" s="106"/>
    </row>
    <row r="836">
      <c r="C836" s="79"/>
      <c r="D836" s="79"/>
      <c r="E836" s="79"/>
      <c r="O836" s="79"/>
      <c r="S836" s="79"/>
      <c r="T836" s="79"/>
      <c r="Y836" s="79"/>
      <c r="AE836" s="130"/>
      <c r="AG836" s="106"/>
    </row>
    <row r="837">
      <c r="C837" s="79"/>
      <c r="D837" s="79"/>
      <c r="E837" s="79"/>
      <c r="O837" s="79"/>
      <c r="S837" s="79"/>
      <c r="T837" s="79"/>
      <c r="Y837" s="79"/>
      <c r="AE837" s="130"/>
      <c r="AG837" s="106"/>
    </row>
    <row r="838">
      <c r="C838" s="79"/>
      <c r="D838" s="79"/>
      <c r="E838" s="79"/>
      <c r="O838" s="79"/>
      <c r="S838" s="79"/>
      <c r="T838" s="79"/>
      <c r="Y838" s="79"/>
      <c r="AE838" s="130"/>
      <c r="AG838" s="106"/>
    </row>
    <row r="839">
      <c r="O839" s="79"/>
      <c r="S839" s="79"/>
      <c r="T839" s="79"/>
      <c r="Y839" s="79"/>
      <c r="AE839" s="130"/>
      <c r="AG839" s="106"/>
    </row>
    <row r="840">
      <c r="O840" s="79"/>
      <c r="S840" s="79"/>
      <c r="T840" s="79"/>
      <c r="Y840" s="79"/>
      <c r="AE840" s="130"/>
      <c r="AG840" s="106"/>
    </row>
    <row r="841">
      <c r="O841" s="79"/>
      <c r="S841" s="79"/>
      <c r="T841" s="79"/>
      <c r="Y841" s="79"/>
      <c r="AE841" s="130"/>
      <c r="AG841" s="106"/>
    </row>
    <row r="842">
      <c r="O842" s="79"/>
      <c r="S842" s="79"/>
      <c r="T842" s="79"/>
      <c r="Y842" s="79"/>
      <c r="AE842" s="130"/>
      <c r="AG842" s="106"/>
    </row>
    <row r="843">
      <c r="O843" s="79"/>
      <c r="S843" s="79"/>
      <c r="T843" s="79"/>
      <c r="Y843" s="79"/>
      <c r="AE843" s="130"/>
      <c r="AG843" s="106"/>
    </row>
    <row r="844">
      <c r="O844" s="79"/>
      <c r="S844" s="79"/>
      <c r="T844" s="79"/>
      <c r="Y844" s="79"/>
      <c r="AE844" s="130"/>
      <c r="AG844" s="106"/>
    </row>
    <row r="845">
      <c r="O845" s="79"/>
      <c r="S845" s="79"/>
      <c r="T845" s="79"/>
      <c r="Y845" s="79"/>
      <c r="AE845" s="130"/>
      <c r="AG845" s="106"/>
    </row>
    <row r="846">
      <c r="O846" s="79"/>
      <c r="S846" s="79"/>
      <c r="T846" s="79"/>
      <c r="Y846" s="79"/>
      <c r="AE846" s="130"/>
      <c r="AG846" s="106"/>
    </row>
    <row r="847">
      <c r="O847" s="79"/>
      <c r="S847" s="79"/>
      <c r="T847" s="79"/>
      <c r="Y847" s="79"/>
      <c r="AE847" s="130"/>
      <c r="AG847" s="106"/>
    </row>
    <row r="848">
      <c r="O848" s="79"/>
      <c r="S848" s="79"/>
      <c r="T848" s="79"/>
      <c r="Y848" s="79"/>
      <c r="AE848" s="130"/>
      <c r="AG848" s="106"/>
    </row>
    <row r="849">
      <c r="O849" s="79"/>
      <c r="S849" s="79"/>
      <c r="T849" s="79"/>
      <c r="Y849" s="79"/>
      <c r="AE849" s="130"/>
      <c r="AG849" s="106"/>
    </row>
    <row r="850">
      <c r="O850" s="79"/>
      <c r="S850" s="79"/>
      <c r="T850" s="79"/>
      <c r="Y850" s="79"/>
      <c r="AE850" s="130"/>
      <c r="AG850" s="106"/>
    </row>
    <row r="851">
      <c r="O851" s="79"/>
      <c r="S851" s="79"/>
      <c r="T851" s="79"/>
      <c r="Y851" s="79"/>
      <c r="AE851" s="130"/>
      <c r="AG851" s="106"/>
    </row>
  </sheetData>
  <autoFilter ref="$A$34:$F$95">
    <sortState ref="A34:F95">
      <sortCondition descending="1" sortBy="cellColor" ref="E34:E95" dxfId="1"/>
      <sortCondition descending="1" sortBy="cellColor" ref="C34:C95" dxfId="1"/>
      <sortCondition descending="1" sortBy="cellColor" ref="A34:A95" dxfId="1"/>
    </sortState>
  </autoFilter>
  <mergeCells count="1">
    <mergeCell ref="B31:E31"/>
  </mergeCells>
  <conditionalFormatting sqref="H35:H47">
    <cfRule type="cellIs" dxfId="2" priority="1" operator="greaterThanOrEqual">
      <formula>1</formula>
    </cfRule>
  </conditionalFormatting>
  <conditionalFormatting sqref="H35:H47">
    <cfRule type="cellIs" dxfId="3" priority="2" operator="lessThanOrEqual">
      <formula>0</formula>
    </cfRule>
  </conditionalFormatting>
  <drawing r:id="rId2"/>
  <legacyDrawing r:id="rId3"/>
  <tableParts count="2">
    <tablePart r:id="rId6"/>
    <tablePart r:id="rId7"/>
  </tableParts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3" max="3" width="17.38"/>
    <col customWidth="1" min="4" max="4" width="25.75"/>
    <col customWidth="1" min="5" max="5" width="20.88"/>
    <col customWidth="1" min="6" max="6" width="15.5"/>
    <col customWidth="1" min="7" max="7" width="25.13"/>
    <col customWidth="1" min="8" max="8" width="24.0"/>
    <col customWidth="1" min="9" max="10" width="15.5"/>
    <col customWidth="1" min="11" max="11" width="16.5"/>
    <col customWidth="1" min="12" max="13" width="15.5"/>
    <col customWidth="1" min="15" max="15" width="27.38"/>
    <col customWidth="1" min="17" max="17" width="11.13"/>
    <col customWidth="1" min="26" max="26" width="14.63"/>
    <col customWidth="1" min="33" max="33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4</v>
      </c>
      <c r="J1" s="2" t="s">
        <v>5</v>
      </c>
      <c r="K1" s="2" t="s">
        <v>303</v>
      </c>
      <c r="L1" s="2" t="s">
        <v>6</v>
      </c>
      <c r="M1" s="2" t="s">
        <v>12</v>
      </c>
      <c r="N1" s="2" t="s">
        <v>49</v>
      </c>
      <c r="O1" s="105" t="s">
        <v>304</v>
      </c>
      <c r="P1" s="2" t="s">
        <v>37</v>
      </c>
      <c r="Q1" s="2" t="s">
        <v>10</v>
      </c>
      <c r="R1" s="2" t="s">
        <v>42</v>
      </c>
      <c r="S1" s="105" t="s">
        <v>656</v>
      </c>
      <c r="T1" s="105" t="s">
        <v>9</v>
      </c>
      <c r="U1" s="2" t="s">
        <v>164</v>
      </c>
      <c r="V1" s="105" t="s">
        <v>40</v>
      </c>
      <c r="W1" s="2" t="s">
        <v>83</v>
      </c>
      <c r="X1" s="2" t="s">
        <v>204</v>
      </c>
      <c r="Y1" s="105" t="s">
        <v>205</v>
      </c>
      <c r="Z1" s="2" t="s">
        <v>206</v>
      </c>
      <c r="AA1" s="2" t="s">
        <v>305</v>
      </c>
      <c r="AB1" s="3" t="s">
        <v>846</v>
      </c>
      <c r="AC1" s="3" t="s">
        <v>828</v>
      </c>
      <c r="AD1" s="3" t="s">
        <v>13</v>
      </c>
      <c r="AE1" s="3" t="s">
        <v>14</v>
      </c>
      <c r="AF1" s="3" t="s">
        <v>15</v>
      </c>
      <c r="AG1" s="106"/>
      <c r="AH1" s="265" t="s">
        <v>306</v>
      </c>
      <c r="AI1" s="266" t="s">
        <v>80</v>
      </c>
    </row>
    <row r="2">
      <c r="A2" s="74">
        <v>45649.0</v>
      </c>
      <c r="B2" s="79"/>
      <c r="C2" s="93"/>
      <c r="D2" s="93"/>
      <c r="E2" s="93"/>
      <c r="F2" s="93"/>
      <c r="G2" s="93">
        <v>180.0</v>
      </c>
      <c r="H2" s="93"/>
      <c r="I2" s="93"/>
      <c r="J2" s="374"/>
      <c r="K2" s="93"/>
      <c r="L2" s="93"/>
      <c r="M2" s="93"/>
      <c r="N2" s="93"/>
      <c r="O2" s="93"/>
      <c r="P2" s="72"/>
      <c r="Q2" s="93"/>
      <c r="R2" s="93"/>
      <c r="S2" s="93"/>
      <c r="T2" s="93"/>
      <c r="U2" s="93"/>
      <c r="V2" s="93"/>
      <c r="W2" s="93"/>
      <c r="X2" s="93"/>
      <c r="Y2" s="93"/>
      <c r="Z2" s="93"/>
      <c r="AA2" s="386"/>
      <c r="AB2" s="326"/>
      <c r="AC2" s="386"/>
      <c r="AD2" s="171">
        <f>SUM(B2:AA2)</f>
        <v>180</v>
      </c>
      <c r="AE2" s="158">
        <v>0.0</v>
      </c>
      <c r="AF2" s="59" t="str">
        <f t="shared" ref="AF2:AF8" si="1">AD2/AE2</f>
        <v>#DIV/0!</v>
      </c>
      <c r="AG2" s="109">
        <f t="shared" ref="AG2:AG8" si="2">A2</f>
        <v>45649</v>
      </c>
      <c r="AH2" s="267"/>
      <c r="AI2" s="268">
        <f t="shared" ref="AI2:AI8" si="3">AE2-AH2</f>
        <v>0</v>
      </c>
    </row>
    <row r="3">
      <c r="A3" s="74">
        <f t="shared" ref="A3:A8" si="4">A2+1</f>
        <v>45650</v>
      </c>
      <c r="B3" s="93"/>
      <c r="C3" s="93"/>
      <c r="D3" s="93"/>
      <c r="E3" s="93"/>
      <c r="F3" s="93"/>
      <c r="G3" s="93"/>
      <c r="H3" s="168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326"/>
      <c r="AB3" s="326"/>
      <c r="AC3" s="326"/>
      <c r="AD3" s="107">
        <f t="shared" ref="AD3:AD8" si="5">SUM(B3:Z3)</f>
        <v>0</v>
      </c>
      <c r="AE3" s="158">
        <v>0.0</v>
      </c>
      <c r="AF3" s="59" t="str">
        <f t="shared" si="1"/>
        <v>#DIV/0!</v>
      </c>
      <c r="AG3" s="109">
        <f t="shared" si="2"/>
        <v>45650</v>
      </c>
      <c r="AH3" s="267"/>
      <c r="AI3" s="268">
        <f t="shared" si="3"/>
        <v>0</v>
      </c>
    </row>
    <row r="4">
      <c r="A4" s="74">
        <f t="shared" si="4"/>
        <v>45651</v>
      </c>
      <c r="B4" s="93"/>
      <c r="C4" s="93"/>
      <c r="D4" s="93"/>
      <c r="E4" s="93"/>
      <c r="F4" s="93"/>
      <c r="G4" s="93"/>
      <c r="H4" s="168"/>
      <c r="I4" s="93"/>
      <c r="J4" s="93"/>
      <c r="K4" s="93"/>
      <c r="L4" s="93"/>
      <c r="M4" s="93"/>
      <c r="N4" s="93"/>
      <c r="O4" s="93"/>
      <c r="P4" s="160"/>
      <c r="Q4" s="93"/>
      <c r="R4" s="93"/>
      <c r="S4" s="93"/>
      <c r="T4" s="93"/>
      <c r="U4" s="93"/>
      <c r="V4" s="93"/>
      <c r="W4" s="93"/>
      <c r="X4" s="93"/>
      <c r="Y4" s="93"/>
      <c r="Z4" s="101"/>
      <c r="AA4" s="326"/>
      <c r="AB4" s="326"/>
      <c r="AC4" s="326"/>
      <c r="AD4" s="107">
        <f t="shared" si="5"/>
        <v>0</v>
      </c>
      <c r="AE4" s="158">
        <v>0.0</v>
      </c>
      <c r="AF4" s="59" t="str">
        <f t="shared" si="1"/>
        <v>#DIV/0!</v>
      </c>
      <c r="AG4" s="109">
        <f t="shared" si="2"/>
        <v>45651</v>
      </c>
      <c r="AH4" s="267"/>
      <c r="AI4" s="268">
        <f t="shared" si="3"/>
        <v>0</v>
      </c>
    </row>
    <row r="5">
      <c r="A5" s="74">
        <f t="shared" si="4"/>
        <v>45652</v>
      </c>
      <c r="B5" s="93">
        <f>1082.72-77.78-26.53-19.73-5.81-43.34-26.74-11.58</f>
        <v>871.21</v>
      </c>
      <c r="C5" s="93">
        <f>81+102.1+504.8-9.3-25.25-23-11.6-84.7</f>
        <v>534.05</v>
      </c>
      <c r="D5" s="93">
        <f>14.5+629.25</f>
        <v>643.75</v>
      </c>
      <c r="E5" s="93"/>
      <c r="F5" s="166"/>
      <c r="G5" s="93"/>
      <c r="H5" s="160"/>
      <c r="I5" s="93"/>
      <c r="J5" s="93"/>
      <c r="K5" s="93"/>
      <c r="L5" s="93"/>
      <c r="M5" s="93"/>
      <c r="N5" s="93">
        <v>108.0</v>
      </c>
      <c r="O5" s="93"/>
      <c r="P5" s="93"/>
      <c r="Q5" s="93">
        <v>111.8</v>
      </c>
      <c r="R5" s="93"/>
      <c r="S5" s="93"/>
      <c r="T5" s="93"/>
      <c r="U5" s="93">
        <v>252.0</v>
      </c>
      <c r="V5" s="93"/>
      <c r="W5" s="93"/>
      <c r="X5" s="93"/>
      <c r="Y5" s="101"/>
      <c r="Z5" s="101"/>
      <c r="AA5" s="327"/>
      <c r="AB5" s="327"/>
      <c r="AC5" s="93">
        <f>330.5*(7-3)</f>
        <v>1322</v>
      </c>
      <c r="AD5" s="7">
        <f t="shared" si="5"/>
        <v>2520.81</v>
      </c>
      <c r="AE5" s="380">
        <v>10465.0</v>
      </c>
      <c r="AF5" s="59">
        <f t="shared" si="1"/>
        <v>0.2408800764</v>
      </c>
      <c r="AG5" s="109">
        <f t="shared" si="2"/>
        <v>45652</v>
      </c>
      <c r="AH5" s="267"/>
      <c r="AI5" s="268">
        <f t="shared" si="3"/>
        <v>10465</v>
      </c>
    </row>
    <row r="6">
      <c r="A6" s="74">
        <f t="shared" si="4"/>
        <v>45653</v>
      </c>
      <c r="B6" s="93">
        <f>1457.17-87.36-21.02-380.13-148.86-70.92-25.74-8.14-18.38-6.58-21.48-27.5</f>
        <v>641.06</v>
      </c>
      <c r="C6" s="361"/>
      <c r="D6" s="93">
        <v>123.25</v>
      </c>
      <c r="E6" s="93"/>
      <c r="G6" s="93"/>
      <c r="H6" s="160"/>
      <c r="I6" s="93"/>
      <c r="J6" s="374">
        <f>1120.33-198-190</f>
        <v>732.33</v>
      </c>
      <c r="K6" s="93"/>
      <c r="L6" s="93"/>
      <c r="M6" s="93"/>
      <c r="N6" s="93">
        <v>486.0</v>
      </c>
      <c r="O6" s="93"/>
      <c r="P6" s="93"/>
      <c r="Q6" s="93"/>
      <c r="R6" s="93"/>
      <c r="S6" s="93"/>
      <c r="T6" s="374"/>
      <c r="U6" s="93"/>
      <c r="V6" s="93"/>
      <c r="W6" s="93"/>
      <c r="X6" s="93"/>
      <c r="Y6" s="93"/>
      <c r="Z6" s="93"/>
      <c r="AA6" s="327"/>
      <c r="AB6" s="327"/>
      <c r="AC6" s="327"/>
      <c r="AD6" s="7">
        <f t="shared" si="5"/>
        <v>1982.64</v>
      </c>
      <c r="AE6" s="380">
        <v>14030.0</v>
      </c>
      <c r="AF6" s="59">
        <f t="shared" si="1"/>
        <v>0.1413143264</v>
      </c>
      <c r="AG6" s="109">
        <f t="shared" si="2"/>
        <v>45653</v>
      </c>
      <c r="AH6" s="267"/>
      <c r="AI6" s="268">
        <f t="shared" si="3"/>
        <v>14030</v>
      </c>
    </row>
    <row r="7">
      <c r="A7" s="74">
        <f t="shared" si="4"/>
        <v>45654</v>
      </c>
      <c r="B7" s="93">
        <f>768.46-51.14-6.62-52.06-70.92-45.39</f>
        <v>542.33</v>
      </c>
      <c r="C7" s="78">
        <v>188.25</v>
      </c>
      <c r="D7" s="93">
        <f>14.5+474.41+210</f>
        <v>698.91</v>
      </c>
      <c r="E7" s="79"/>
      <c r="F7" s="93"/>
      <c r="G7" s="93">
        <v>280.0</v>
      </c>
      <c r="H7" s="79"/>
      <c r="I7" s="93"/>
      <c r="J7" s="93"/>
      <c r="K7" s="93">
        <v>195.0</v>
      </c>
      <c r="L7" s="93"/>
      <c r="M7" s="93"/>
      <c r="N7" s="93"/>
      <c r="O7" s="93"/>
      <c r="P7" s="402"/>
      <c r="Q7" s="93"/>
      <c r="R7" s="93"/>
      <c r="S7" s="101"/>
      <c r="T7" s="93"/>
      <c r="U7" s="93"/>
      <c r="V7" s="93"/>
      <c r="W7" s="93"/>
      <c r="X7" s="93"/>
      <c r="Y7" s="101"/>
      <c r="Z7" s="93"/>
      <c r="AA7" s="327"/>
      <c r="AB7" s="327"/>
      <c r="AC7" s="327"/>
      <c r="AD7" s="7">
        <f t="shared" si="5"/>
        <v>1904.49</v>
      </c>
      <c r="AE7" s="380">
        <v>11144.0</v>
      </c>
      <c r="AF7" s="59">
        <f t="shared" si="1"/>
        <v>0.1708982412</v>
      </c>
      <c r="AG7" s="109">
        <f t="shared" si="2"/>
        <v>45654</v>
      </c>
      <c r="AH7" s="267"/>
      <c r="AI7" s="268">
        <f t="shared" si="3"/>
        <v>11144</v>
      </c>
    </row>
    <row r="8">
      <c r="A8" s="74">
        <f t="shared" si="4"/>
        <v>45655</v>
      </c>
      <c r="B8" s="93"/>
      <c r="C8" s="374"/>
      <c r="D8" s="180">
        <f>795.8</f>
        <v>795.8</v>
      </c>
      <c r="E8" s="374"/>
      <c r="F8" s="374"/>
      <c r="G8" s="112"/>
      <c r="H8" s="93"/>
      <c r="I8" s="374"/>
      <c r="J8" s="402"/>
      <c r="K8" s="93"/>
      <c r="L8" s="112"/>
      <c r="M8" s="112"/>
      <c r="N8" s="93"/>
      <c r="O8" s="93"/>
      <c r="P8" s="93"/>
      <c r="Q8" s="93"/>
      <c r="R8" s="374"/>
      <c r="S8" s="101"/>
      <c r="T8" s="374"/>
      <c r="U8" s="374"/>
      <c r="V8" s="112"/>
      <c r="W8" s="112"/>
      <c r="X8" s="112"/>
      <c r="Y8" s="112"/>
      <c r="Z8" s="112"/>
      <c r="AA8" s="93">
        <v>195.0</v>
      </c>
      <c r="AB8" s="433">
        <v>290.0</v>
      </c>
      <c r="AC8" s="616"/>
      <c r="AD8" s="7">
        <f t="shared" si="5"/>
        <v>795.8</v>
      </c>
      <c r="AE8" s="380">
        <v>0.0</v>
      </c>
      <c r="AF8" s="59" t="str">
        <f t="shared" si="1"/>
        <v>#DIV/0!</v>
      </c>
      <c r="AG8" s="109">
        <f t="shared" si="2"/>
        <v>45655</v>
      </c>
      <c r="AH8" s="267"/>
      <c r="AI8" s="268">
        <f t="shared" si="3"/>
        <v>0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E9" s="129"/>
      <c r="AG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E10" s="129"/>
      <c r="AG10" s="106"/>
    </row>
    <row r="11">
      <c r="A11" s="165" t="s">
        <v>194</v>
      </c>
      <c r="B11" s="93">
        <f>11.58+148.86+70.92+18.38</f>
        <v>249.74</v>
      </c>
      <c r="C11" s="93"/>
      <c r="D11" s="180">
        <v>300.0</v>
      </c>
      <c r="E11" s="167"/>
      <c r="F11" s="168"/>
      <c r="G11" s="168"/>
      <c r="H11" s="93"/>
      <c r="I11" s="166"/>
      <c r="J11" s="93"/>
      <c r="K11" s="168"/>
      <c r="L11" s="93"/>
      <c r="M11" s="93"/>
      <c r="N11" s="93"/>
      <c r="O11" s="168"/>
      <c r="P11" s="168"/>
      <c r="Q11" s="168"/>
      <c r="R11" s="168"/>
      <c r="S11" s="168"/>
      <c r="T11" s="168"/>
      <c r="U11" s="168"/>
      <c r="V11" s="168"/>
      <c r="W11" s="1"/>
      <c r="X11" s="168"/>
      <c r="Y11" s="168"/>
      <c r="Z11" s="1"/>
      <c r="AA11" s="96">
        <v>51.42</v>
      </c>
      <c r="AB11" s="1"/>
      <c r="AC11" s="1"/>
      <c r="AD11" s="1"/>
      <c r="AE11" s="169"/>
      <c r="AF11" s="1"/>
      <c r="AG11" s="170"/>
    </row>
    <row r="12">
      <c r="A12" s="165" t="s">
        <v>195</v>
      </c>
      <c r="B12" s="93">
        <f>131.41+77.78+26.53+19.73+5.81+43.34+26.74+87.36+21.02+380.13+25.74+8.14+6.58+21.48+27.5+6.62+52.06+70.92+45.39</f>
        <v>1084.28</v>
      </c>
      <c r="C12" s="427">
        <f>9.3+25.25+23+11.6+84.7</f>
        <v>153.85</v>
      </c>
      <c r="D12" s="93"/>
      <c r="E12" s="93"/>
      <c r="F12" s="374">
        <f>198+190</f>
        <v>388</v>
      </c>
      <c r="G12" s="93"/>
      <c r="H12" s="79"/>
      <c r="I12" s="93"/>
      <c r="J12" s="93"/>
      <c r="K12" s="79"/>
      <c r="L12" s="93"/>
      <c r="M12" s="93"/>
      <c r="N12" s="93"/>
      <c r="O12" s="168"/>
      <c r="P12" s="168"/>
      <c r="Q12" s="166"/>
      <c r="R12" s="166"/>
      <c r="S12" s="93"/>
      <c r="T12" s="166"/>
      <c r="U12" s="168"/>
      <c r="V12" s="168"/>
      <c r="W12" s="1"/>
      <c r="X12" s="93"/>
      <c r="Y12" s="168"/>
      <c r="Z12" s="1"/>
      <c r="AA12" s="1"/>
      <c r="AB12" s="192"/>
      <c r="AC12" s="1"/>
      <c r="AD12" s="1"/>
      <c r="AE12" s="171"/>
      <c r="AF12" s="1"/>
      <c r="AG12" s="170"/>
    </row>
    <row r="13" hidden="1">
      <c r="A13" s="172" t="s">
        <v>817</v>
      </c>
      <c r="B13" s="93"/>
      <c r="C13" s="93"/>
      <c r="D13" s="93"/>
      <c r="E13" s="93"/>
      <c r="F13" s="374"/>
      <c r="G13" s="93"/>
      <c r="H13" s="93"/>
      <c r="I13" s="93"/>
      <c r="J13" s="93"/>
      <c r="K13" s="374"/>
      <c r="L13" s="93"/>
      <c r="M13" s="93"/>
      <c r="N13" s="93"/>
      <c r="O13" s="166"/>
      <c r="P13" s="168"/>
      <c r="Q13" s="93"/>
      <c r="R13" s="166"/>
      <c r="S13" s="168"/>
      <c r="T13" s="166"/>
      <c r="U13" s="93"/>
      <c r="V13" s="168"/>
      <c r="W13" s="1"/>
      <c r="X13" s="93"/>
      <c r="Y13" s="168"/>
      <c r="Z13" s="1"/>
      <c r="AA13" s="1"/>
      <c r="AB13" s="1"/>
      <c r="AC13" s="1"/>
      <c r="AD13" s="1"/>
      <c r="AE13" s="171"/>
      <c r="AF13" s="1"/>
      <c r="AG13" s="170"/>
    </row>
    <row r="14">
      <c r="A14" s="172" t="s">
        <v>265</v>
      </c>
      <c r="B14" s="93">
        <v>51.14</v>
      </c>
      <c r="C14" s="348"/>
      <c r="D14" s="93"/>
      <c r="E14" s="168"/>
      <c r="F14" s="166"/>
      <c r="G14" s="166"/>
      <c r="H14" s="168"/>
      <c r="I14" s="168"/>
      <c r="J14" s="93"/>
      <c r="K14" s="168"/>
      <c r="L14" s="168"/>
      <c r="M14" s="168"/>
      <c r="N14" s="93"/>
      <c r="O14" s="168"/>
      <c r="P14" s="168"/>
      <c r="Q14" s="166"/>
      <c r="R14" s="168"/>
      <c r="S14" s="168"/>
      <c r="T14" s="168"/>
      <c r="U14" s="1"/>
      <c r="V14" s="1"/>
      <c r="W14" s="1"/>
      <c r="X14" s="168"/>
      <c r="Y14" s="168"/>
      <c r="Z14" s="1"/>
      <c r="AA14" s="1"/>
      <c r="AB14" s="1"/>
      <c r="AC14" s="1"/>
      <c r="AD14" s="1"/>
      <c r="AE14" s="174"/>
      <c r="AF14" s="1"/>
      <c r="AG14" s="170"/>
    </row>
    <row r="15">
      <c r="A15" s="91"/>
      <c r="B15" s="375"/>
      <c r="C15" s="79"/>
      <c r="D15" s="79"/>
      <c r="E15" s="79"/>
      <c r="F15" s="78"/>
      <c r="G15" s="78"/>
      <c r="H15" s="79"/>
      <c r="I15" s="78"/>
      <c r="J15" s="79"/>
      <c r="K15" s="79"/>
      <c r="L15" s="79"/>
      <c r="M15" s="79"/>
      <c r="N15" s="79"/>
      <c r="O15" s="79"/>
      <c r="R15" s="79"/>
      <c r="S15" s="79"/>
      <c r="T15" s="198"/>
      <c r="U15" s="198"/>
      <c r="Y15" s="79"/>
      <c r="AE15" s="131"/>
      <c r="AG15" s="106"/>
    </row>
    <row r="16">
      <c r="A16" s="91"/>
      <c r="B16" s="375"/>
      <c r="C16" s="79"/>
      <c r="D16" s="78"/>
      <c r="E16" s="78"/>
      <c r="F16" s="205"/>
      <c r="G16" s="351"/>
      <c r="H16" s="192"/>
      <c r="I16" s="198"/>
      <c r="J16" s="201"/>
      <c r="K16" s="199"/>
      <c r="L16" s="199"/>
      <c r="M16" s="200"/>
      <c r="N16" s="202"/>
      <c r="O16" s="198"/>
      <c r="R16" s="198"/>
      <c r="S16" s="79"/>
      <c r="T16" s="198"/>
      <c r="U16" s="198"/>
      <c r="V16" s="198"/>
      <c r="W16" s="198"/>
      <c r="X16" s="199"/>
      <c r="Y16" s="79"/>
      <c r="AE16" s="131"/>
      <c r="AG16" s="106"/>
    </row>
    <row r="17">
      <c r="A17" s="4" t="s">
        <v>22</v>
      </c>
      <c r="B17" s="11">
        <v>14000.0</v>
      </c>
      <c r="C17" s="79"/>
      <c r="D17" s="78"/>
      <c r="E17" s="78"/>
      <c r="F17" s="587"/>
      <c r="G17" s="388"/>
      <c r="H17" s="192"/>
      <c r="I17" s="203"/>
      <c r="J17" s="203"/>
      <c r="K17" s="203"/>
      <c r="L17" s="203"/>
      <c r="M17" s="198"/>
      <c r="N17" s="200"/>
      <c r="O17" s="198"/>
      <c r="P17" s="204"/>
      <c r="R17" s="203"/>
      <c r="S17" s="427"/>
      <c r="T17" s="201"/>
      <c r="U17" s="198"/>
      <c r="V17" s="198"/>
      <c r="W17" s="198"/>
      <c r="X17" s="201"/>
      <c r="Y17" s="79"/>
      <c r="AE17" s="131"/>
      <c r="AG17" s="106"/>
    </row>
    <row r="18">
      <c r="A18" s="4" t="s">
        <v>23</v>
      </c>
      <c r="B18" s="11">
        <f>SUM(B2:AC8)</f>
        <v>9190.74</v>
      </c>
      <c r="C18" s="192"/>
      <c r="D18" s="78"/>
      <c r="E18" s="78"/>
      <c r="F18" s="213"/>
      <c r="G18" s="224"/>
      <c r="H18" s="38"/>
      <c r="I18" s="175"/>
      <c r="J18" s="203"/>
      <c r="K18" s="203"/>
      <c r="L18" s="203"/>
      <c r="M18" s="201"/>
      <c r="N18" s="201"/>
      <c r="O18" s="198"/>
      <c r="P18" s="204"/>
      <c r="R18" s="203"/>
      <c r="S18" s="79"/>
      <c r="T18" s="201"/>
      <c r="U18" s="201"/>
      <c r="V18" s="198"/>
      <c r="W18" s="198"/>
      <c r="X18" s="191"/>
      <c r="Y18" s="79"/>
      <c r="AE18" s="131"/>
      <c r="AG18" s="106"/>
    </row>
    <row r="19">
      <c r="A19" s="4" t="s">
        <v>24</v>
      </c>
      <c r="B19" s="11">
        <f> SUM(B17-B18)</f>
        <v>4809.26</v>
      </c>
      <c r="C19" s="79"/>
      <c r="D19" s="78"/>
      <c r="E19" s="151"/>
      <c r="F19" s="198"/>
      <c r="G19" s="224"/>
      <c r="H19" s="224"/>
      <c r="I19" s="203"/>
      <c r="J19" s="203"/>
      <c r="K19" s="203"/>
      <c r="L19" s="203"/>
      <c r="M19" s="201"/>
      <c r="N19" s="200"/>
      <c r="O19" s="198"/>
      <c r="P19" s="204"/>
      <c r="R19" s="203"/>
      <c r="S19" s="79"/>
      <c r="T19" s="210"/>
      <c r="U19" s="210"/>
      <c r="V19" s="198"/>
      <c r="W19" s="198"/>
      <c r="X19" s="203"/>
      <c r="Y19" s="79"/>
      <c r="AE19" s="131"/>
      <c r="AG19" s="106"/>
    </row>
    <row r="20">
      <c r="C20" s="79"/>
      <c r="E20" s="588" t="s">
        <v>195</v>
      </c>
      <c r="F20" s="198"/>
      <c r="G20" s="388"/>
      <c r="H20" s="224"/>
      <c r="I20" s="345"/>
      <c r="J20" s="203"/>
      <c r="K20" s="203"/>
      <c r="L20" s="203"/>
      <c r="N20" s="198"/>
      <c r="O20" s="198"/>
      <c r="P20" s="204"/>
      <c r="R20" s="203"/>
      <c r="S20" s="79"/>
      <c r="T20" s="198"/>
      <c r="U20" s="428"/>
      <c r="V20" s="198"/>
      <c r="W20" s="201"/>
      <c r="X20" s="203"/>
      <c r="Y20" s="79"/>
      <c r="AE20" s="131"/>
      <c r="AG20" s="106"/>
    </row>
    <row r="21">
      <c r="A21" s="13" t="s">
        <v>25</v>
      </c>
      <c r="B21" s="14">
        <f>SUM(AE2:AE8)</f>
        <v>35639</v>
      </c>
      <c r="C21" s="79"/>
      <c r="D21" s="13" t="s">
        <v>724</v>
      </c>
      <c r="E21" s="445">
        <f>sum(B12:AB13)</f>
        <v>1626.13</v>
      </c>
      <c r="F21" s="589"/>
      <c r="G21" s="224"/>
      <c r="H21" s="224"/>
      <c r="I21" s="203"/>
      <c r="J21" s="203"/>
      <c r="K21" s="203"/>
      <c r="L21" s="203"/>
      <c r="M21" s="203"/>
      <c r="N21" s="198"/>
      <c r="O21" s="198"/>
      <c r="P21" s="204"/>
      <c r="R21" s="203"/>
      <c r="S21" s="79"/>
      <c r="T21" s="198"/>
      <c r="U21" s="198"/>
      <c r="V21" s="198"/>
      <c r="W21" s="198"/>
      <c r="X21" s="203"/>
      <c r="Y21" s="79"/>
      <c r="AE21" s="181"/>
      <c r="AG21" s="106"/>
    </row>
    <row r="22">
      <c r="A22" s="13" t="s">
        <v>26</v>
      </c>
      <c r="B22" s="15">
        <f>B18/B21</f>
        <v>0.2578843402</v>
      </c>
      <c r="C22" s="79"/>
      <c r="D22" s="13" t="s">
        <v>25</v>
      </c>
      <c r="E22" s="445">
        <f>3570.5+2147+3787</f>
        <v>9504.5</v>
      </c>
      <c r="F22" s="589"/>
      <c r="G22" s="224"/>
      <c r="H22" s="224"/>
      <c r="I22" s="203"/>
      <c r="J22" s="203"/>
      <c r="K22" s="203"/>
      <c r="L22" s="203"/>
      <c r="M22" s="203"/>
      <c r="N22" s="203"/>
      <c r="O22" s="198"/>
      <c r="P22" s="204"/>
      <c r="R22" s="203"/>
      <c r="S22" s="79"/>
      <c r="T22" s="198"/>
      <c r="U22" s="198"/>
      <c r="V22" s="198"/>
      <c r="W22" s="198"/>
      <c r="X22" s="203"/>
      <c r="Y22" s="79"/>
      <c r="AE22" s="130"/>
      <c r="AG22" s="106"/>
    </row>
    <row r="23">
      <c r="C23" s="79"/>
      <c r="D23" s="448" t="s">
        <v>26</v>
      </c>
      <c r="E23" s="449">
        <f>E21/E22</f>
        <v>0.1710905361</v>
      </c>
      <c r="F23" s="590"/>
      <c r="G23" s="240"/>
      <c r="H23" s="224"/>
      <c r="I23" s="78"/>
      <c r="J23" s="203"/>
      <c r="K23" s="203"/>
      <c r="L23" s="203"/>
      <c r="M23" s="203"/>
      <c r="N23" s="201"/>
      <c r="O23" s="198"/>
      <c r="P23" s="204"/>
      <c r="R23" s="198"/>
      <c r="S23" s="79"/>
      <c r="T23" s="198"/>
      <c r="U23" s="198"/>
      <c r="V23" s="198"/>
      <c r="W23" s="198"/>
      <c r="X23" s="203"/>
      <c r="Y23" s="79"/>
      <c r="AE23" s="182"/>
      <c r="AG23" s="106"/>
    </row>
    <row r="24">
      <c r="C24" s="79"/>
      <c r="D24" s="79"/>
      <c r="E24" s="79"/>
      <c r="F24" s="198"/>
      <c r="G24" s="192"/>
      <c r="H24" s="213"/>
      <c r="I24" s="203"/>
      <c r="J24" s="212"/>
      <c r="K24" s="203"/>
      <c r="L24" s="203"/>
      <c r="M24" s="203"/>
      <c r="N24" s="201"/>
      <c r="O24" s="198"/>
      <c r="P24" s="204"/>
      <c r="R24" s="198"/>
      <c r="S24" s="79"/>
      <c r="T24" s="198"/>
      <c r="U24" s="198"/>
      <c r="V24" s="198"/>
      <c r="W24" s="198"/>
      <c r="X24" s="203"/>
      <c r="Y24" s="79"/>
      <c r="AE24" s="130"/>
      <c r="AG24" s="106"/>
    </row>
    <row r="25">
      <c r="A25" s="16" t="s">
        <v>27</v>
      </c>
      <c r="B25" s="17"/>
      <c r="C25" s="114"/>
      <c r="D25" s="114"/>
      <c r="E25" s="114"/>
      <c r="F25" s="198"/>
      <c r="G25" s="78"/>
      <c r="H25" s="224"/>
      <c r="I25" s="78"/>
      <c r="J25" s="79"/>
      <c r="K25" s="203"/>
      <c r="L25" s="217"/>
      <c r="M25" s="208"/>
      <c r="N25" s="198"/>
      <c r="O25" s="198"/>
      <c r="P25" s="204"/>
      <c r="R25" s="200"/>
      <c r="S25" s="79"/>
      <c r="T25" s="198"/>
      <c r="U25" s="198"/>
      <c r="V25" s="198"/>
      <c r="W25" s="198"/>
      <c r="X25" s="203"/>
      <c r="Y25" s="79"/>
      <c r="AE25" s="130"/>
      <c r="AG25" s="106"/>
    </row>
    <row r="26">
      <c r="A26" s="19" t="s">
        <v>28</v>
      </c>
      <c r="B26" s="20"/>
      <c r="C26" s="116"/>
      <c r="D26" s="116"/>
      <c r="E26" s="116"/>
      <c r="F26" s="198"/>
      <c r="G26" s="212"/>
      <c r="H26" s="213"/>
      <c r="I26" s="224"/>
      <c r="J26" s="78"/>
      <c r="K26" s="203"/>
      <c r="L26" s="203"/>
      <c r="M26" s="209"/>
      <c r="N26" s="201"/>
      <c r="O26" s="198"/>
      <c r="P26" s="204"/>
      <c r="R26" s="198"/>
      <c r="S26" s="79"/>
      <c r="T26" s="198"/>
      <c r="U26" s="198"/>
      <c r="V26" s="198"/>
      <c r="W26" s="198"/>
      <c r="X26" s="203"/>
      <c r="Y26" s="79"/>
      <c r="AE26" s="130"/>
      <c r="AG26" s="106"/>
    </row>
    <row r="27">
      <c r="A27" s="183" t="s">
        <v>29</v>
      </c>
      <c r="B27" s="184" t="s">
        <v>30</v>
      </c>
      <c r="C27" s="183"/>
      <c r="D27" s="183" t="s">
        <v>170</v>
      </c>
      <c r="E27" s="591" t="s">
        <v>171</v>
      </c>
      <c r="F27" s="198"/>
      <c r="G27" s="79"/>
      <c r="H27" s="242"/>
      <c r="I27" s="79"/>
      <c r="J27" s="79"/>
      <c r="K27" s="203"/>
      <c r="L27" s="201"/>
      <c r="M27" s="209"/>
      <c r="N27" s="198"/>
      <c r="O27" s="198"/>
      <c r="P27" s="204"/>
      <c r="R27" s="198"/>
      <c r="S27" s="79"/>
      <c r="T27" s="198"/>
      <c r="U27" s="198"/>
      <c r="V27" s="198"/>
      <c r="W27" s="198"/>
      <c r="X27" s="203"/>
      <c r="Y27" s="79"/>
      <c r="Z27" s="195"/>
      <c r="AE27" s="130"/>
      <c r="AG27" s="106"/>
    </row>
    <row r="28">
      <c r="A28" s="430" t="s">
        <v>847</v>
      </c>
      <c r="B28" s="431">
        <f>1518.19-300+1163.16</f>
        <v>2381.35</v>
      </c>
      <c r="C28" s="432"/>
      <c r="D28" s="432"/>
      <c r="E28" s="432"/>
      <c r="F28" s="204"/>
      <c r="O28" s="79"/>
      <c r="S28" s="79"/>
      <c r="T28" s="79"/>
      <c r="Y28" s="79"/>
      <c r="AE28" s="130"/>
      <c r="AG28" s="106"/>
    </row>
    <row r="29">
      <c r="A29" s="173" t="s">
        <v>844</v>
      </c>
      <c r="B29" s="344">
        <f>330.05*3</f>
        <v>990.15</v>
      </c>
      <c r="C29" s="241"/>
      <c r="D29" s="241"/>
      <c r="E29" s="241"/>
      <c r="F29" s="204"/>
      <c r="O29" s="79"/>
      <c r="S29" s="79"/>
      <c r="T29" s="79"/>
      <c r="Y29" s="79"/>
      <c r="AE29" s="130"/>
      <c r="AG29" s="106"/>
    </row>
    <row r="30">
      <c r="A30" s="173" t="s">
        <v>848</v>
      </c>
      <c r="B30" s="344">
        <v>312.9</v>
      </c>
      <c r="C30" s="241"/>
      <c r="D30" s="241"/>
      <c r="E30" s="241"/>
      <c r="F30" s="204"/>
      <c r="O30" s="79"/>
      <c r="S30" s="79"/>
      <c r="T30" s="79"/>
      <c r="Y30" s="79"/>
      <c r="AE30" s="130"/>
      <c r="AG30" s="106"/>
    </row>
    <row r="31">
      <c r="C31" s="79"/>
      <c r="D31" s="79"/>
      <c r="E31" s="79"/>
      <c r="O31" s="79"/>
      <c r="S31" s="79"/>
      <c r="T31" s="79"/>
      <c r="Y31" s="79"/>
      <c r="AE31" s="130"/>
      <c r="AG31" s="106"/>
    </row>
    <row r="32">
      <c r="A32" s="274"/>
      <c r="B32" s="275" t="s">
        <v>315</v>
      </c>
      <c r="F32" s="274"/>
      <c r="G32" s="274"/>
      <c r="H32" s="274"/>
      <c r="I32" s="274"/>
      <c r="J32" s="274"/>
      <c r="K32" s="274"/>
      <c r="L32" s="274"/>
      <c r="M32" s="274"/>
      <c r="N32" s="274"/>
      <c r="O32" s="274"/>
      <c r="P32" s="274"/>
      <c r="Q32" s="274"/>
      <c r="R32" s="274"/>
      <c r="S32" s="274"/>
      <c r="T32" s="274"/>
      <c r="U32" s="274"/>
      <c r="V32" s="274"/>
      <c r="W32" s="274"/>
      <c r="X32" s="274"/>
      <c r="Y32" s="274"/>
      <c r="Z32" s="274"/>
      <c r="AA32" s="274"/>
      <c r="AB32" s="274"/>
      <c r="AC32" s="274"/>
      <c r="AD32" s="274"/>
      <c r="AE32" s="276"/>
      <c r="AF32" s="274"/>
      <c r="AG32" s="277"/>
      <c r="AH32" s="274"/>
      <c r="AI32" s="274"/>
      <c r="AJ32" s="274"/>
    </row>
    <row r="33">
      <c r="A33" s="16" t="s">
        <v>316</v>
      </c>
      <c r="B33" s="17"/>
      <c r="C33" s="114"/>
      <c r="D33" s="114"/>
      <c r="E33" s="115"/>
      <c r="I33" s="455" t="s">
        <v>735</v>
      </c>
      <c r="J33" s="17"/>
      <c r="K33" s="114"/>
      <c r="L33" s="114"/>
      <c r="M33" s="115"/>
      <c r="P33" s="79"/>
      <c r="T33" s="79"/>
      <c r="U33" s="79"/>
      <c r="AE33" s="130"/>
      <c r="AG33" s="106"/>
    </row>
    <row r="34">
      <c r="A34" s="19" t="s">
        <v>317</v>
      </c>
      <c r="B34" s="20"/>
      <c r="C34" s="116"/>
      <c r="D34" s="116"/>
      <c r="E34" s="117"/>
      <c r="I34" s="599" t="s">
        <v>736</v>
      </c>
      <c r="J34" s="20"/>
      <c r="K34" s="116"/>
      <c r="L34" s="116"/>
      <c r="M34" s="117"/>
      <c r="P34" s="79"/>
      <c r="T34" s="79"/>
      <c r="U34" s="79"/>
      <c r="AE34" s="130"/>
      <c r="AG34" s="106"/>
    </row>
    <row r="35">
      <c r="A35" s="278" t="s">
        <v>318</v>
      </c>
      <c r="B35" s="279" t="s">
        <v>319</v>
      </c>
      <c r="C35" s="280" t="s">
        <v>285</v>
      </c>
      <c r="D35" s="280" t="s">
        <v>30</v>
      </c>
      <c r="E35" s="281" t="s">
        <v>320</v>
      </c>
      <c r="F35" s="281" t="s">
        <v>321</v>
      </c>
      <c r="H35" s="600" t="s">
        <v>743</v>
      </c>
      <c r="I35" s="507" t="s">
        <v>318</v>
      </c>
      <c r="J35" s="601" t="s">
        <v>319</v>
      </c>
      <c r="K35" s="507" t="s">
        <v>285</v>
      </c>
      <c r="L35" s="507" t="s">
        <v>737</v>
      </c>
      <c r="M35" s="507" t="s">
        <v>738</v>
      </c>
      <c r="N35" s="507" t="s">
        <v>739</v>
      </c>
      <c r="O35" s="602" t="s">
        <v>740</v>
      </c>
      <c r="P35" s="602" t="s">
        <v>741</v>
      </c>
      <c r="Q35" s="602" t="s">
        <v>320</v>
      </c>
      <c r="R35" s="507"/>
      <c r="S35" s="602" t="s">
        <v>740</v>
      </c>
      <c r="T35" s="602" t="s">
        <v>741</v>
      </c>
      <c r="U35" s="602" t="s">
        <v>320</v>
      </c>
      <c r="V35" s="507"/>
      <c r="W35" s="602" t="s">
        <v>740</v>
      </c>
      <c r="X35" s="602" t="s">
        <v>741</v>
      </c>
      <c r="Y35" s="602" t="s">
        <v>320</v>
      </c>
      <c r="AE35" s="130"/>
      <c r="AG35" s="106"/>
    </row>
    <row r="36">
      <c r="A36" s="304" t="s">
        <v>597</v>
      </c>
      <c r="B36" s="305">
        <v>45525.0</v>
      </c>
      <c r="C36" s="234" t="s">
        <v>325</v>
      </c>
      <c r="D36" s="178">
        <v>1420.83</v>
      </c>
      <c r="E36" s="308"/>
      <c r="F36" s="304" t="s">
        <v>829</v>
      </c>
      <c r="H36" s="603">
        <f t="shared" ref="H36:H48" si="6">L36+O36+S36+W36</f>
        <v>0</v>
      </c>
      <c r="I36" s="463">
        <v>593114.0</v>
      </c>
      <c r="J36" s="464">
        <v>45595.0</v>
      </c>
      <c r="K36" s="465" t="s">
        <v>437</v>
      </c>
      <c r="L36" s="466">
        <v>6.0</v>
      </c>
      <c r="M36" s="467">
        <v>2575.54</v>
      </c>
      <c r="N36" s="467">
        <v>429.25666666666666</v>
      </c>
      <c r="O36" s="489">
        <v>-2.0</v>
      </c>
      <c r="P36" s="488">
        <v>-858.5133333333333</v>
      </c>
      <c r="Q36" s="604">
        <v>45606.0</v>
      </c>
      <c r="R36" s="583"/>
      <c r="S36" s="605">
        <v>-4.0</v>
      </c>
      <c r="T36" s="594">
        <v>-1717.0266666666666</v>
      </c>
      <c r="U36" s="606">
        <v>45616.0</v>
      </c>
      <c r="V36" s="583"/>
      <c r="W36" s="469"/>
      <c r="X36" s="469"/>
      <c r="Y36" s="469"/>
      <c r="Z36" s="483"/>
      <c r="AA36" s="483"/>
      <c r="AB36" s="483"/>
      <c r="AC36" s="483"/>
      <c r="AD36" s="483"/>
      <c r="AE36" s="492"/>
      <c r="AF36" s="483"/>
      <c r="AG36" s="493"/>
      <c r="AH36" s="483"/>
      <c r="AI36" s="483"/>
      <c r="AJ36" s="483"/>
    </row>
    <row r="37">
      <c r="A37" s="304" t="s">
        <v>622</v>
      </c>
      <c r="B37" s="305">
        <v>45533.0</v>
      </c>
      <c r="C37" s="234" t="s">
        <v>325</v>
      </c>
      <c r="D37" s="178">
        <v>1404.36</v>
      </c>
      <c r="E37" s="308"/>
      <c r="F37" s="304" t="s">
        <v>829</v>
      </c>
      <c r="H37" s="603">
        <f t="shared" si="6"/>
        <v>0</v>
      </c>
      <c r="I37" s="463">
        <v>594673.0</v>
      </c>
      <c r="J37" s="464">
        <v>45602.0</v>
      </c>
      <c r="K37" s="465" t="s">
        <v>437</v>
      </c>
      <c r="L37" s="466">
        <v>6.0</v>
      </c>
      <c r="M37" s="467">
        <v>2561.15</v>
      </c>
      <c r="N37" s="467">
        <v>426.85833333333335</v>
      </c>
      <c r="O37" s="596">
        <v>-4.0</v>
      </c>
      <c r="P37" s="597">
        <v>-1707.4333333333334</v>
      </c>
      <c r="Q37" s="607">
        <v>45616.0</v>
      </c>
      <c r="R37" s="583"/>
      <c r="S37" s="430">
        <v>-2.0</v>
      </c>
      <c r="T37" s="617">
        <v>-853.7166666666667</v>
      </c>
      <c r="U37" s="618">
        <v>45620.0</v>
      </c>
      <c r="V37" s="583"/>
      <c r="W37" s="469"/>
      <c r="X37" s="469"/>
      <c r="Y37" s="469"/>
      <c r="AE37" s="130"/>
      <c r="AG37" s="106"/>
    </row>
    <row r="38">
      <c r="A38" s="304" t="s">
        <v>644</v>
      </c>
      <c r="B38" s="305">
        <v>45540.0</v>
      </c>
      <c r="C38" s="234" t="s">
        <v>325</v>
      </c>
      <c r="D38" s="178">
        <v>1415.74</v>
      </c>
      <c r="E38" s="308"/>
      <c r="F38" s="304" t="s">
        <v>829</v>
      </c>
      <c r="H38" s="603">
        <f t="shared" si="6"/>
        <v>3</v>
      </c>
      <c r="I38" s="463">
        <v>595849.0</v>
      </c>
      <c r="J38" s="464">
        <v>45604.0</v>
      </c>
      <c r="K38" s="465" t="s">
        <v>437</v>
      </c>
      <c r="L38" s="466">
        <v>3.0</v>
      </c>
      <c r="M38" s="467">
        <v>1262.58</v>
      </c>
      <c r="N38" s="467">
        <v>420.85999999999996</v>
      </c>
      <c r="O38" s="473"/>
      <c r="P38" s="468">
        <v>0.0</v>
      </c>
      <c r="Q38" s="604"/>
      <c r="R38" s="583"/>
      <c r="S38" s="469"/>
      <c r="T38" s="534">
        <v>0.0</v>
      </c>
      <c r="U38" s="469"/>
      <c r="V38" s="583"/>
      <c r="W38" s="469"/>
      <c r="X38" s="469"/>
      <c r="Y38" s="469"/>
      <c r="AE38" s="130"/>
      <c r="AG38" s="106"/>
    </row>
    <row r="39">
      <c r="A39" s="304" t="s">
        <v>660</v>
      </c>
      <c r="B39" s="305">
        <v>45547.0</v>
      </c>
      <c r="C39" s="234" t="s">
        <v>325</v>
      </c>
      <c r="D39" s="178">
        <v>1419.33</v>
      </c>
      <c r="E39" s="308"/>
      <c r="F39" s="304" t="s">
        <v>829</v>
      </c>
      <c r="H39" s="603">
        <f t="shared" si="6"/>
        <v>6</v>
      </c>
      <c r="I39" s="463">
        <v>596421.0</v>
      </c>
      <c r="J39" s="464">
        <v>45609.0</v>
      </c>
      <c r="K39" s="465" t="s">
        <v>437</v>
      </c>
      <c r="L39" s="466">
        <v>6.0</v>
      </c>
      <c r="M39" s="467">
        <v>2543.15</v>
      </c>
      <c r="N39" s="467">
        <v>423.85833333333335</v>
      </c>
      <c r="O39" s="473"/>
      <c r="P39" s="468">
        <v>0.0</v>
      </c>
      <c r="Q39" s="604"/>
      <c r="R39" s="583"/>
      <c r="S39" s="469"/>
      <c r="T39" s="534">
        <v>0.0</v>
      </c>
      <c r="U39" s="469"/>
      <c r="V39" s="583"/>
      <c r="W39" s="469"/>
      <c r="X39" s="469"/>
      <c r="Y39" s="469"/>
      <c r="AE39" s="130"/>
      <c r="AG39" s="106"/>
    </row>
    <row r="40">
      <c r="A40" s="304" t="s">
        <v>677</v>
      </c>
      <c r="B40" s="305">
        <v>45554.0</v>
      </c>
      <c r="C40" s="234" t="s">
        <v>325</v>
      </c>
      <c r="D40" s="178">
        <v>1439.4</v>
      </c>
      <c r="E40" s="308"/>
      <c r="F40" s="304" t="s">
        <v>829</v>
      </c>
      <c r="H40" s="603">
        <f t="shared" si="6"/>
        <v>0</v>
      </c>
      <c r="I40" s="463"/>
      <c r="J40" s="464"/>
      <c r="K40" s="465"/>
      <c r="L40" s="466"/>
      <c r="M40" s="467"/>
      <c r="N40" s="467"/>
      <c r="O40" s="473"/>
      <c r="P40" s="468"/>
      <c r="Q40" s="604"/>
      <c r="R40" s="583"/>
      <c r="S40" s="469"/>
      <c r="T40" s="534">
        <v>0.0</v>
      </c>
      <c r="U40" s="469"/>
      <c r="V40" s="583"/>
      <c r="W40" s="469"/>
      <c r="X40" s="469"/>
      <c r="Y40" s="469"/>
      <c r="AE40" s="130"/>
      <c r="AG40" s="106"/>
    </row>
    <row r="41">
      <c r="A41" s="304" t="s">
        <v>691</v>
      </c>
      <c r="B41" s="305">
        <v>45561.0</v>
      </c>
      <c r="C41" s="234" t="s">
        <v>325</v>
      </c>
      <c r="D41" s="178">
        <v>777.2</v>
      </c>
      <c r="E41" s="308"/>
      <c r="F41" s="304" t="s">
        <v>829</v>
      </c>
      <c r="H41" s="610">
        <f t="shared" si="6"/>
        <v>0</v>
      </c>
      <c r="I41" s="619">
        <v>598254.0</v>
      </c>
      <c r="J41" s="620">
        <v>45616.0</v>
      </c>
      <c r="K41" s="430" t="s">
        <v>437</v>
      </c>
      <c r="L41" s="621">
        <v>6.0</v>
      </c>
      <c r="M41" s="622">
        <v>2686.83</v>
      </c>
      <c r="N41" s="622">
        <v>447.805</v>
      </c>
      <c r="O41" s="623">
        <v>-6.0</v>
      </c>
      <c r="P41" s="622">
        <v>-2686.83</v>
      </c>
      <c r="Q41" s="618">
        <v>45620.0</v>
      </c>
      <c r="R41" s="615"/>
      <c r="S41" s="486"/>
      <c r="T41" s="534">
        <v>0.0</v>
      </c>
      <c r="U41" s="490"/>
      <c r="V41" s="615"/>
      <c r="W41" s="469"/>
      <c r="X41" s="469"/>
      <c r="Y41" s="469"/>
      <c r="AE41" s="130"/>
      <c r="AG41" s="106"/>
    </row>
    <row r="42">
      <c r="A42" s="304" t="s">
        <v>703</v>
      </c>
      <c r="B42" s="305">
        <v>45568.0</v>
      </c>
      <c r="C42" s="234" t="s">
        <v>325</v>
      </c>
      <c r="D42" s="178">
        <v>1421.43</v>
      </c>
      <c r="E42" s="308"/>
      <c r="F42" s="304" t="s">
        <v>829</v>
      </c>
      <c r="H42" s="610">
        <f t="shared" si="6"/>
        <v>0</v>
      </c>
      <c r="I42" s="619">
        <v>599453.0</v>
      </c>
      <c r="J42" s="620">
        <v>45618.0</v>
      </c>
      <c r="K42" s="430" t="s">
        <v>437</v>
      </c>
      <c r="L42" s="621">
        <v>2.0</v>
      </c>
      <c r="M42" s="622">
        <v>848.72</v>
      </c>
      <c r="N42" s="622">
        <v>424.36</v>
      </c>
      <c r="O42" s="623">
        <v>-2.0</v>
      </c>
      <c r="P42" s="622">
        <v>-848.72</v>
      </c>
      <c r="Q42" s="618">
        <v>45620.0</v>
      </c>
      <c r="R42" s="583"/>
      <c r="S42" s="469"/>
      <c r="T42" s="534">
        <v>0.0</v>
      </c>
      <c r="U42" s="469"/>
      <c r="V42" s="583"/>
      <c r="W42" s="469"/>
      <c r="X42" s="469"/>
      <c r="Y42" s="469"/>
      <c r="AE42" s="130"/>
      <c r="AG42" s="106"/>
    </row>
    <row r="43">
      <c r="A43" s="304" t="s">
        <v>747</v>
      </c>
      <c r="B43" s="305">
        <v>45574.0</v>
      </c>
      <c r="C43" s="234" t="s">
        <v>325</v>
      </c>
      <c r="D43" s="178">
        <v>1449.58</v>
      </c>
      <c r="E43" s="308"/>
      <c r="F43" s="304" t="s">
        <v>829</v>
      </c>
      <c r="H43" s="603">
        <f t="shared" si="6"/>
        <v>0</v>
      </c>
      <c r="I43" s="463">
        <v>599859.0</v>
      </c>
      <c r="J43" s="464">
        <v>45623.0</v>
      </c>
      <c r="K43" s="465" t="s">
        <v>437</v>
      </c>
      <c r="L43" s="466">
        <v>6.0</v>
      </c>
      <c r="M43" s="467">
        <v>2541.65</v>
      </c>
      <c r="N43" s="467">
        <v>423.60833333333335</v>
      </c>
      <c r="O43" s="623">
        <v>-2.0</v>
      </c>
      <c r="P43" s="622">
        <v>-847.2166666666667</v>
      </c>
      <c r="Q43" s="624"/>
      <c r="R43" s="583"/>
      <c r="S43" s="377">
        <v>-4.0</v>
      </c>
      <c r="T43" s="627">
        <v>-1694.4333333333334</v>
      </c>
      <c r="U43" s="628">
        <v>45634.0</v>
      </c>
      <c r="V43" s="583"/>
      <c r="W43" s="469"/>
      <c r="X43" s="469"/>
      <c r="Y43" s="469"/>
      <c r="AE43" s="130"/>
      <c r="AG43" s="106"/>
    </row>
    <row r="44">
      <c r="A44" s="304" t="s">
        <v>769</v>
      </c>
      <c r="B44" s="305">
        <v>45581.0</v>
      </c>
      <c r="C44" s="234" t="s">
        <v>325</v>
      </c>
      <c r="D44" s="178">
        <v>1436.0</v>
      </c>
      <c r="E44" s="308"/>
      <c r="F44" s="304" t="s">
        <v>829</v>
      </c>
      <c r="H44" s="603">
        <f t="shared" si="6"/>
        <v>0</v>
      </c>
      <c r="I44" s="463">
        <v>601662.0</v>
      </c>
      <c r="J44" s="357">
        <v>45630.0</v>
      </c>
      <c r="K44" s="46" t="s">
        <v>437</v>
      </c>
      <c r="L44" s="612">
        <v>6.0</v>
      </c>
      <c r="M44" s="613">
        <v>2575.24</v>
      </c>
      <c r="N44" s="613">
        <v>429.20666666666665</v>
      </c>
      <c r="O44" s="360">
        <v>-2.0</v>
      </c>
      <c r="P44" s="613">
        <v>-858.4133333333333</v>
      </c>
      <c r="Q44" s="624"/>
      <c r="R44" s="583"/>
      <c r="S44" s="377">
        <v>-3.0</v>
      </c>
      <c r="T44" s="627">
        <v>-1287.62</v>
      </c>
      <c r="U44" s="628">
        <v>45634.0</v>
      </c>
      <c r="V44" s="583"/>
      <c r="W44" s="377">
        <v>-1.0</v>
      </c>
      <c r="X44" s="627">
        <v>-429.20666666666665</v>
      </c>
      <c r="Y44" s="628">
        <v>45634.0</v>
      </c>
      <c r="AE44" s="130"/>
      <c r="AG44" s="106"/>
    </row>
    <row r="45">
      <c r="A45" s="304" t="s">
        <v>786</v>
      </c>
      <c r="B45" s="305">
        <v>45588.0</v>
      </c>
      <c r="C45" s="234" t="s">
        <v>325</v>
      </c>
      <c r="D45" s="178">
        <v>823.39</v>
      </c>
      <c r="E45" s="308"/>
      <c r="F45" s="304" t="s">
        <v>829</v>
      </c>
      <c r="H45" s="603">
        <f t="shared" si="6"/>
        <v>0</v>
      </c>
      <c r="I45" s="463">
        <v>603084.0</v>
      </c>
      <c r="J45" s="464">
        <v>45637.0</v>
      </c>
      <c r="K45" s="465" t="s">
        <v>437</v>
      </c>
      <c r="L45" s="466">
        <v>6.0</v>
      </c>
      <c r="M45" s="467">
        <v>2704.75</v>
      </c>
      <c r="N45" s="467">
        <v>450.7916666666667</v>
      </c>
      <c r="O45" s="360">
        <v>-1.0</v>
      </c>
      <c r="P45" s="613">
        <v>-450.7916666666667</v>
      </c>
      <c r="Q45" s="624"/>
      <c r="R45" s="583"/>
      <c r="S45" s="46">
        <v>-5.0</v>
      </c>
      <c r="T45" s="608">
        <v>-2253.9583333333335</v>
      </c>
      <c r="U45" s="469"/>
      <c r="V45" s="583"/>
      <c r="W45" s="469"/>
      <c r="X45" s="469"/>
      <c r="Y45" s="469"/>
      <c r="AE45" s="130"/>
      <c r="AG45" s="106"/>
    </row>
    <row r="46">
      <c r="A46" s="289" t="s">
        <v>802</v>
      </c>
      <c r="B46" s="290">
        <v>45595.0</v>
      </c>
      <c r="C46" s="173" t="s">
        <v>325</v>
      </c>
      <c r="D46" s="180">
        <v>817.04</v>
      </c>
      <c r="E46" s="336"/>
      <c r="F46" s="173" t="s">
        <v>830</v>
      </c>
      <c r="H46" s="603">
        <f t="shared" si="6"/>
        <v>6</v>
      </c>
      <c r="I46" s="463">
        <v>605307.0</v>
      </c>
      <c r="J46" s="464">
        <v>45644.0</v>
      </c>
      <c r="K46" s="465" t="s">
        <v>437</v>
      </c>
      <c r="L46" s="466">
        <v>6.0</v>
      </c>
      <c r="M46" s="467">
        <v>2855.16</v>
      </c>
      <c r="N46" s="467">
        <v>450.7916666666667</v>
      </c>
      <c r="O46" s="468"/>
      <c r="P46" s="468"/>
      <c r="Q46" s="624"/>
      <c r="R46" s="583"/>
      <c r="S46" s="469"/>
      <c r="T46" s="469"/>
      <c r="U46" s="469"/>
      <c r="V46" s="583"/>
      <c r="W46" s="469"/>
      <c r="X46" s="469"/>
      <c r="Y46" s="469"/>
      <c r="AE46" s="130"/>
      <c r="AG46" s="106"/>
    </row>
    <row r="47">
      <c r="A47" s="289" t="s">
        <v>810</v>
      </c>
      <c r="B47" s="290">
        <v>45602.0</v>
      </c>
      <c r="C47" s="173" t="s">
        <v>325</v>
      </c>
      <c r="D47" s="180">
        <v>817.64</v>
      </c>
      <c r="E47" s="336"/>
      <c r="F47" s="173" t="s">
        <v>830</v>
      </c>
      <c r="H47" s="603">
        <f t="shared" si="6"/>
        <v>0</v>
      </c>
      <c r="I47" s="463"/>
      <c r="J47" s="464"/>
      <c r="K47" s="465"/>
      <c r="L47" s="466"/>
      <c r="M47" s="467"/>
      <c r="N47" s="467"/>
      <c r="O47" s="468"/>
      <c r="P47" s="468"/>
      <c r="Q47" s="624"/>
      <c r="R47" s="583"/>
      <c r="S47" s="469"/>
      <c r="T47" s="469"/>
      <c r="U47" s="469"/>
      <c r="V47" s="583"/>
      <c r="W47" s="469"/>
      <c r="X47" s="469"/>
      <c r="Y47" s="469"/>
      <c r="AE47" s="130"/>
      <c r="AG47" s="106"/>
    </row>
    <row r="48">
      <c r="A48" s="289" t="s">
        <v>824</v>
      </c>
      <c r="B48" s="290">
        <v>45609.0</v>
      </c>
      <c r="C48" s="173" t="s">
        <v>325</v>
      </c>
      <c r="D48" s="180">
        <v>829.32</v>
      </c>
      <c r="E48" s="336"/>
      <c r="F48" s="173" t="s">
        <v>830</v>
      </c>
      <c r="H48" s="603">
        <f t="shared" si="6"/>
        <v>3</v>
      </c>
      <c r="I48" s="463">
        <v>607888.0</v>
      </c>
      <c r="J48" s="464">
        <v>45653.0</v>
      </c>
      <c r="K48" s="465" t="s">
        <v>437</v>
      </c>
      <c r="L48" s="466">
        <v>3.0</v>
      </c>
      <c r="M48" s="467">
        <v>1504.57</v>
      </c>
      <c r="N48" s="467"/>
      <c r="O48" s="473"/>
      <c r="P48" s="468"/>
      <c r="Q48" s="624"/>
      <c r="R48" s="583"/>
      <c r="S48" s="469"/>
      <c r="T48" s="469"/>
      <c r="U48" s="469"/>
      <c r="V48" s="583"/>
      <c r="W48" s="469"/>
      <c r="X48" s="469"/>
      <c r="Y48" s="469"/>
      <c r="AE48" s="130"/>
      <c r="AG48" s="106"/>
    </row>
    <row r="49">
      <c r="A49" s="289" t="s">
        <v>831</v>
      </c>
      <c r="B49" s="290">
        <v>45616.0</v>
      </c>
      <c r="C49" s="173" t="s">
        <v>325</v>
      </c>
      <c r="D49" s="180">
        <v>860.13</v>
      </c>
      <c r="E49" s="336"/>
      <c r="F49" s="173" t="s">
        <v>830</v>
      </c>
      <c r="P49" s="79"/>
      <c r="T49" s="79"/>
      <c r="U49" s="79"/>
      <c r="AE49" s="130"/>
      <c r="AG49" s="106"/>
    </row>
    <row r="50">
      <c r="A50" s="282" t="s">
        <v>667</v>
      </c>
      <c r="B50" s="283">
        <v>45546.0</v>
      </c>
      <c r="C50" s="166" t="s">
        <v>668</v>
      </c>
      <c r="D50" s="93">
        <f>608.6</f>
        <v>608.6</v>
      </c>
      <c r="E50" s="291" t="s">
        <v>704</v>
      </c>
      <c r="F50" s="6">
        <f>D50/2</f>
        <v>304.3</v>
      </c>
      <c r="H50" s="479" t="s">
        <v>287</v>
      </c>
      <c r="I50" s="32" t="s">
        <v>748</v>
      </c>
      <c r="J50" s="479" t="s">
        <v>749</v>
      </c>
      <c r="K50" s="479" t="s">
        <v>750</v>
      </c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AE50" s="130"/>
      <c r="AG50" s="106"/>
    </row>
    <row r="51">
      <c r="A51" s="282" t="s">
        <v>681</v>
      </c>
      <c r="B51" s="283">
        <v>45555.0</v>
      </c>
      <c r="C51" s="166" t="s">
        <v>664</v>
      </c>
      <c r="D51" s="93">
        <v>785.6</v>
      </c>
      <c r="E51" s="291"/>
      <c r="F51" s="6"/>
      <c r="H51" s="286">
        <v>45578.0</v>
      </c>
      <c r="I51" s="32">
        <v>6.0</v>
      </c>
      <c r="J51" s="480">
        <v>2413.68</v>
      </c>
      <c r="K51" s="479" t="s">
        <v>751</v>
      </c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AE51" s="130"/>
      <c r="AG51" s="106"/>
    </row>
    <row r="52">
      <c r="A52" s="282" t="s">
        <v>709</v>
      </c>
      <c r="B52" s="283">
        <v>45570.0</v>
      </c>
      <c r="C52" s="166" t="s">
        <v>710</v>
      </c>
      <c r="D52" s="93">
        <v>1001.8</v>
      </c>
      <c r="E52" s="291" t="s">
        <v>804</v>
      </c>
      <c r="F52" s="6">
        <f>-250.45-250.45</f>
        <v>-500.9</v>
      </c>
      <c r="H52" s="286">
        <v>45578.0</v>
      </c>
      <c r="I52" s="32">
        <v>3.0</v>
      </c>
      <c r="J52" s="480">
        <v>1202.87</v>
      </c>
      <c r="K52" s="479" t="s">
        <v>752</v>
      </c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AE52" s="130"/>
      <c r="AG52" s="106"/>
    </row>
    <row r="53">
      <c r="A53" s="282" t="s">
        <v>715</v>
      </c>
      <c r="B53" s="283">
        <v>45570.0</v>
      </c>
      <c r="C53" s="166" t="s">
        <v>716</v>
      </c>
      <c r="D53" s="93">
        <f>299.8-5.8</f>
        <v>294</v>
      </c>
      <c r="E53" s="291"/>
      <c r="F53" s="6"/>
      <c r="H53" s="504">
        <v>45585.0</v>
      </c>
      <c r="I53" s="479">
        <v>1.0</v>
      </c>
      <c r="J53" s="505">
        <v>403.0566666666667</v>
      </c>
      <c r="K53" s="479" t="s">
        <v>751</v>
      </c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AE53" s="130"/>
      <c r="AG53" s="106"/>
    </row>
    <row r="54">
      <c r="A54" s="282" t="s">
        <v>753</v>
      </c>
      <c r="B54" s="283">
        <v>45574.0</v>
      </c>
      <c r="C54" s="166" t="s">
        <v>754</v>
      </c>
      <c r="D54" s="93">
        <v>237.1</v>
      </c>
      <c r="E54" s="291"/>
      <c r="F54" s="6"/>
      <c r="H54" s="504">
        <v>45585.0</v>
      </c>
      <c r="I54" s="479">
        <v>6.0</v>
      </c>
      <c r="J54" s="505">
        <v>2399.445</v>
      </c>
      <c r="K54" s="479" t="s">
        <v>751</v>
      </c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AE54" s="130"/>
      <c r="AG54" s="106"/>
    </row>
    <row r="55">
      <c r="A55" s="282" t="s">
        <v>755</v>
      </c>
      <c r="B55" s="283">
        <v>45576.0</v>
      </c>
      <c r="C55" s="166" t="s">
        <v>756</v>
      </c>
      <c r="D55" s="93">
        <v>504.64</v>
      </c>
      <c r="E55" s="291"/>
      <c r="F55" s="6"/>
      <c r="H55" s="504">
        <v>45592.0</v>
      </c>
      <c r="I55" s="479">
        <v>6.0</v>
      </c>
      <c r="J55" s="505">
        <v>2372.855</v>
      </c>
      <c r="K55" s="479" t="s">
        <v>751</v>
      </c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AE55" s="130"/>
      <c r="AG55" s="106"/>
    </row>
    <row r="56">
      <c r="A56" s="282" t="s">
        <v>758</v>
      </c>
      <c r="B56" s="283">
        <v>45561.0</v>
      </c>
      <c r="C56" s="166" t="s">
        <v>536</v>
      </c>
      <c r="D56" s="93">
        <v>1160.0</v>
      </c>
      <c r="E56" s="291" t="s">
        <v>805</v>
      </c>
      <c r="F56" s="6">
        <f>-386.67-386.67</f>
        <v>-773.34</v>
      </c>
      <c r="H56" s="504">
        <v>45599.0</v>
      </c>
      <c r="I56" s="479">
        <v>6.0</v>
      </c>
      <c r="J56" s="505">
        <v>2362.5933333333332</v>
      </c>
      <c r="K56" s="479" t="s">
        <v>751</v>
      </c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AE56" s="130"/>
      <c r="AG56" s="106"/>
    </row>
    <row r="57">
      <c r="A57" s="282" t="s">
        <v>806</v>
      </c>
      <c r="B57" s="283">
        <v>45581.0</v>
      </c>
      <c r="C57" s="166" t="s">
        <v>774</v>
      </c>
      <c r="D57" s="93">
        <f>547-15</f>
        <v>532</v>
      </c>
      <c r="E57" s="503"/>
      <c r="F57" s="478"/>
      <c r="H57" s="504">
        <v>45606.0</v>
      </c>
      <c r="I57" s="479">
        <v>8.0</v>
      </c>
      <c r="J57" s="505">
        <v>3412.1633333333334</v>
      </c>
      <c r="K57" s="479" t="s">
        <v>751</v>
      </c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AE57" s="130"/>
      <c r="AG57" s="106"/>
    </row>
    <row r="58">
      <c r="A58" s="282" t="s">
        <v>775</v>
      </c>
      <c r="B58" s="283">
        <v>45581.0</v>
      </c>
      <c r="C58" s="166" t="s">
        <v>712</v>
      </c>
      <c r="D58" s="93">
        <f>421.43-5</f>
        <v>416.43</v>
      </c>
      <c r="E58" s="291"/>
      <c r="F58" s="6"/>
      <c r="H58" s="584">
        <v>45606.0</v>
      </c>
      <c r="I58" s="585">
        <v>1.0</v>
      </c>
      <c r="J58" s="586">
        <v>393.7266666666667</v>
      </c>
      <c r="K58" s="585" t="s">
        <v>811</v>
      </c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AE58" s="130"/>
      <c r="AG58" s="106"/>
    </row>
    <row r="59">
      <c r="A59" s="282" t="s">
        <v>776</v>
      </c>
      <c r="B59" s="283">
        <v>45583.0</v>
      </c>
      <c r="C59" s="166" t="s">
        <v>777</v>
      </c>
      <c r="D59" s="93">
        <v>91.02</v>
      </c>
      <c r="E59" s="291"/>
      <c r="F59" s="6"/>
      <c r="H59" s="286">
        <v>45613.0</v>
      </c>
      <c r="I59" s="479">
        <v>8.0</v>
      </c>
      <c r="J59" s="505">
        <v>3424.46</v>
      </c>
      <c r="K59" s="479" t="s">
        <v>751</v>
      </c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AE59" s="130"/>
      <c r="AG59" s="106"/>
    </row>
    <row r="60">
      <c r="A60" s="282" t="s">
        <v>778</v>
      </c>
      <c r="B60" s="283">
        <v>45580.0</v>
      </c>
      <c r="C60" s="166" t="s">
        <v>626</v>
      </c>
      <c r="D60" s="93">
        <v>1629.6</v>
      </c>
      <c r="E60" s="337">
        <v>45595.0</v>
      </c>
      <c r="F60" s="6">
        <f>-543.2</f>
        <v>-543.2</v>
      </c>
      <c r="H60" s="286">
        <v>45620.0</v>
      </c>
      <c r="I60" s="479">
        <v>8.0</v>
      </c>
      <c r="J60" s="505">
        <v>3535.55</v>
      </c>
      <c r="K60" s="479" t="s">
        <v>751</v>
      </c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AE60" s="130"/>
      <c r="AG60" s="106"/>
    </row>
    <row r="61">
      <c r="A61" s="282" t="s">
        <v>812</v>
      </c>
      <c r="B61" s="283">
        <v>45589.0</v>
      </c>
      <c r="C61" s="166" t="s">
        <v>813</v>
      </c>
      <c r="D61" s="93">
        <v>565.5</v>
      </c>
      <c r="E61" s="291"/>
      <c r="F61" s="6"/>
      <c r="H61" s="286">
        <v>45620.0</v>
      </c>
      <c r="I61" s="479">
        <v>2.0</v>
      </c>
      <c r="J61" s="479">
        <v>853.72</v>
      </c>
      <c r="K61" s="479" t="s">
        <v>839</v>
      </c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AE61" s="130"/>
      <c r="AG61" s="106"/>
    </row>
    <row r="62">
      <c r="A62" s="282" t="s">
        <v>814</v>
      </c>
      <c r="B62" s="283">
        <v>45602.0</v>
      </c>
      <c r="C62" s="166" t="s">
        <v>712</v>
      </c>
      <c r="D62" s="93">
        <f>423.86-15</f>
        <v>408.86</v>
      </c>
      <c r="E62" s="291"/>
      <c r="F62" s="6"/>
      <c r="H62" s="286">
        <v>45627.0</v>
      </c>
      <c r="I62" s="479">
        <v>2.0</v>
      </c>
      <c r="J62" s="479">
        <v>847.22</v>
      </c>
      <c r="K62" s="479" t="s">
        <v>751</v>
      </c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AE62" s="130"/>
      <c r="AG62" s="106"/>
    </row>
    <row r="63">
      <c r="A63" s="282" t="s">
        <v>815</v>
      </c>
      <c r="B63" s="283">
        <v>45602.0</v>
      </c>
      <c r="C63" s="166" t="s">
        <v>710</v>
      </c>
      <c r="D63" s="93">
        <v>1767.68</v>
      </c>
      <c r="E63" s="291"/>
      <c r="F63" s="6"/>
      <c r="H63" s="504">
        <v>45634.0</v>
      </c>
      <c r="I63" s="479">
        <v>7.0</v>
      </c>
      <c r="J63" s="505">
        <v>2982.0533333333333</v>
      </c>
      <c r="K63" s="479" t="s">
        <v>751</v>
      </c>
      <c r="M63" s="79"/>
      <c r="N63" s="481"/>
      <c r="O63" s="545"/>
      <c r="P63" s="79"/>
      <c r="Q63" s="481"/>
      <c r="R63" s="481"/>
      <c r="S63" s="545"/>
      <c r="T63" s="545"/>
      <c r="U63" s="481"/>
      <c r="V63" s="481"/>
      <c r="W63" s="481"/>
      <c r="X63" s="481"/>
      <c r="Y63" s="545"/>
      <c r="AE63" s="130"/>
      <c r="AG63" s="106"/>
    </row>
    <row r="64">
      <c r="A64" s="282" t="s">
        <v>816</v>
      </c>
      <c r="B64" s="283">
        <v>45593.0</v>
      </c>
      <c r="C64" s="166" t="s">
        <v>408</v>
      </c>
      <c r="D64" s="93">
        <v>446.0</v>
      </c>
      <c r="E64" s="291"/>
      <c r="F64" s="6"/>
      <c r="H64" s="286">
        <v>45634.0</v>
      </c>
      <c r="I64" s="479">
        <v>1.0</v>
      </c>
      <c r="J64" s="479">
        <v>429.20666666666665</v>
      </c>
      <c r="K64" s="479" t="s">
        <v>839</v>
      </c>
      <c r="M64" s="79"/>
      <c r="N64" s="545"/>
      <c r="O64" s="545"/>
      <c r="P64" s="626"/>
      <c r="Q64" s="545"/>
      <c r="R64" s="545"/>
      <c r="S64" s="545"/>
      <c r="T64" s="545"/>
      <c r="U64" s="545"/>
      <c r="V64" s="545"/>
      <c r="W64" s="545"/>
      <c r="X64" s="545"/>
      <c r="Y64" s="545"/>
      <c r="AE64" s="130"/>
      <c r="AG64" s="106"/>
    </row>
    <row r="65">
      <c r="A65" s="282" t="s">
        <v>825</v>
      </c>
      <c r="B65" s="283">
        <v>45611.0</v>
      </c>
      <c r="C65" s="166" t="s">
        <v>710</v>
      </c>
      <c r="D65" s="93">
        <v>1114.06</v>
      </c>
      <c r="E65" s="291"/>
      <c r="F65" s="6"/>
      <c r="H65" s="634">
        <v>45641.0</v>
      </c>
      <c r="I65" s="479">
        <v>3.0</v>
      </c>
      <c r="J65" s="505">
        <v>1309.205</v>
      </c>
      <c r="K65" s="479" t="s">
        <v>839</v>
      </c>
      <c r="M65" s="79"/>
      <c r="N65" s="626"/>
      <c r="O65" s="626"/>
      <c r="P65" s="626"/>
      <c r="Q65" s="626"/>
      <c r="R65" s="626"/>
      <c r="S65" s="626"/>
      <c r="T65" s="626"/>
      <c r="U65" s="626"/>
      <c r="V65" s="626"/>
      <c r="W65" s="626"/>
      <c r="X65" s="626"/>
      <c r="Y65" s="626"/>
      <c r="AE65" s="130"/>
      <c r="AG65" s="106"/>
    </row>
    <row r="66">
      <c r="A66" s="282" t="s">
        <v>826</v>
      </c>
      <c r="B66" s="283">
        <v>45608.0</v>
      </c>
      <c r="C66" s="166" t="s">
        <v>827</v>
      </c>
      <c r="D66" s="93">
        <v>1432.76</v>
      </c>
      <c r="E66" s="291"/>
      <c r="F66" s="6"/>
      <c r="H66" s="634">
        <v>45641.0</v>
      </c>
      <c r="I66" s="479">
        <v>5.0</v>
      </c>
      <c r="J66" s="505">
        <v>2253.9583333333335</v>
      </c>
      <c r="K66" s="479" t="s">
        <v>751</v>
      </c>
      <c r="L66" s="625"/>
      <c r="M66" s="79"/>
      <c r="N66" s="626"/>
      <c r="O66" s="626"/>
      <c r="P66" s="626"/>
      <c r="Q66" s="626"/>
      <c r="R66" s="626"/>
      <c r="S66" s="626"/>
      <c r="T66" s="626"/>
      <c r="U66" s="626"/>
      <c r="V66" s="626"/>
      <c r="W66" s="626"/>
      <c r="X66" s="626"/>
      <c r="Y66" s="626"/>
      <c r="AE66" s="130"/>
      <c r="AG66" s="106"/>
    </row>
    <row r="67">
      <c r="A67" s="282" t="s">
        <v>834</v>
      </c>
      <c r="B67" s="283">
        <v>45622.0</v>
      </c>
      <c r="C67" s="166" t="s">
        <v>710</v>
      </c>
      <c r="D67" s="93">
        <v>1232.18</v>
      </c>
      <c r="E67" s="291"/>
      <c r="F67" s="6"/>
      <c r="H67" s="479"/>
      <c r="I67" s="481"/>
      <c r="J67" s="481"/>
      <c r="K67" s="481"/>
      <c r="L67" s="625"/>
      <c r="M67" s="79"/>
      <c r="N67" s="626"/>
      <c r="O67" s="626"/>
      <c r="P67" s="626"/>
      <c r="Q67" s="626"/>
      <c r="R67" s="626"/>
      <c r="S67" s="626"/>
      <c r="T67" s="626"/>
      <c r="U67" s="626"/>
      <c r="V67" s="626"/>
      <c r="W67" s="626"/>
      <c r="X67" s="626"/>
      <c r="Y67" s="626"/>
      <c r="AE67" s="130"/>
      <c r="AG67" s="106"/>
    </row>
    <row r="68">
      <c r="A68" s="282" t="s">
        <v>840</v>
      </c>
      <c r="B68" s="283">
        <v>45638.0</v>
      </c>
      <c r="C68" s="166" t="s">
        <v>841</v>
      </c>
      <c r="D68" s="93">
        <v>971.63</v>
      </c>
      <c r="E68" s="291"/>
      <c r="F68" s="6"/>
      <c r="H68" s="479"/>
      <c r="I68" s="481"/>
      <c r="J68" s="481"/>
      <c r="K68" s="481"/>
      <c r="L68" s="625"/>
      <c r="M68" s="79"/>
      <c r="N68" s="626"/>
      <c r="O68" s="626"/>
      <c r="P68" s="626"/>
      <c r="Q68" s="626"/>
      <c r="R68" s="626"/>
      <c r="S68" s="626"/>
      <c r="T68" s="626"/>
      <c r="U68" s="626"/>
      <c r="V68" s="626"/>
      <c r="W68" s="626"/>
      <c r="X68" s="626"/>
      <c r="Y68" s="626"/>
      <c r="AE68" s="130"/>
      <c r="AG68" s="106"/>
    </row>
    <row r="69">
      <c r="A69" s="282" t="s">
        <v>842</v>
      </c>
      <c r="B69" s="283">
        <v>45640.0</v>
      </c>
      <c r="C69" s="166" t="s">
        <v>608</v>
      </c>
      <c r="D69" s="93">
        <v>224.47</v>
      </c>
      <c r="E69" s="291"/>
      <c r="F69" s="6"/>
      <c r="H69" s="479"/>
      <c r="I69" s="481"/>
      <c r="J69" s="481"/>
      <c r="K69" s="481"/>
      <c r="L69" s="625"/>
      <c r="M69" s="79"/>
      <c r="N69" s="626"/>
      <c r="O69" s="626"/>
      <c r="P69" s="626"/>
      <c r="Q69" s="626"/>
      <c r="R69" s="626"/>
      <c r="S69" s="626"/>
      <c r="T69" s="626"/>
      <c r="U69" s="626"/>
      <c r="V69" s="626"/>
      <c r="W69" s="626"/>
      <c r="X69" s="626"/>
      <c r="Y69" s="626"/>
      <c r="AE69" s="130"/>
      <c r="AG69" s="106"/>
    </row>
    <row r="70">
      <c r="A70" s="282" t="s">
        <v>842</v>
      </c>
      <c r="B70" s="283">
        <v>45644.0</v>
      </c>
      <c r="C70" s="166" t="s">
        <v>845</v>
      </c>
      <c r="D70" s="93">
        <v>1518.19</v>
      </c>
      <c r="E70" s="291"/>
      <c r="F70" s="6"/>
      <c r="H70" s="479"/>
      <c r="I70" s="481"/>
      <c r="J70" s="481"/>
      <c r="K70" s="481"/>
      <c r="L70" s="625"/>
      <c r="M70" s="79"/>
      <c r="N70" s="626"/>
      <c r="O70" s="626"/>
      <c r="P70" s="626"/>
      <c r="Q70" s="626"/>
      <c r="R70" s="626"/>
      <c r="S70" s="626"/>
      <c r="T70" s="626"/>
      <c r="U70" s="626"/>
      <c r="V70" s="626"/>
      <c r="W70" s="626"/>
      <c r="X70" s="626"/>
      <c r="Y70" s="626"/>
      <c r="AE70" s="130"/>
      <c r="AG70" s="106"/>
    </row>
    <row r="71">
      <c r="A71" s="282" t="s">
        <v>849</v>
      </c>
      <c r="B71" s="283">
        <v>45653.0</v>
      </c>
      <c r="C71" s="166" t="s">
        <v>845</v>
      </c>
      <c r="D71" s="93">
        <v>1163.16</v>
      </c>
      <c r="E71" s="291"/>
      <c r="F71" s="6"/>
      <c r="H71" s="479"/>
      <c r="I71" s="481"/>
      <c r="J71" s="481"/>
      <c r="K71" s="481"/>
      <c r="L71" s="625"/>
      <c r="M71" s="79"/>
      <c r="N71" s="626"/>
      <c r="O71" s="626"/>
      <c r="P71" s="626"/>
      <c r="Q71" s="626"/>
      <c r="R71" s="626"/>
      <c r="S71" s="626"/>
      <c r="T71" s="626"/>
      <c r="U71" s="626"/>
      <c r="V71" s="626"/>
      <c r="W71" s="626"/>
      <c r="X71" s="626"/>
      <c r="Y71" s="626"/>
      <c r="AE71" s="130"/>
      <c r="AG71" s="106"/>
    </row>
    <row r="72">
      <c r="A72" s="282"/>
      <c r="B72" s="283"/>
      <c r="C72" s="166"/>
      <c r="D72" s="93"/>
      <c r="E72" s="291"/>
      <c r="F72" s="6"/>
      <c r="H72" s="479"/>
      <c r="I72" s="481"/>
      <c r="J72" s="481"/>
      <c r="K72" s="481"/>
      <c r="L72" s="625"/>
      <c r="M72" s="79"/>
      <c r="N72" s="626"/>
      <c r="O72" s="626"/>
      <c r="P72" s="626"/>
      <c r="Q72" s="626"/>
      <c r="R72" s="626"/>
      <c r="S72" s="626"/>
      <c r="T72" s="626"/>
      <c r="U72" s="626"/>
      <c r="V72" s="626"/>
      <c r="W72" s="626"/>
      <c r="X72" s="626"/>
      <c r="Y72" s="626"/>
      <c r="AE72" s="130"/>
      <c r="AG72" s="106"/>
    </row>
    <row r="73">
      <c r="A73" s="282"/>
      <c r="B73" s="283"/>
      <c r="C73" s="166"/>
      <c r="D73" s="93"/>
      <c r="E73" s="291"/>
      <c r="F73" s="6"/>
      <c r="H73" s="479"/>
      <c r="I73" s="481"/>
      <c r="J73" s="481"/>
      <c r="K73" s="481"/>
      <c r="L73" s="625"/>
      <c r="M73" s="79"/>
      <c r="N73" s="626"/>
      <c r="O73" s="626"/>
      <c r="P73" s="626"/>
      <c r="Q73" s="626"/>
      <c r="R73" s="626"/>
      <c r="S73" s="626"/>
      <c r="T73" s="626"/>
      <c r="U73" s="626"/>
      <c r="V73" s="626"/>
      <c r="W73" s="626"/>
      <c r="X73" s="626"/>
      <c r="Y73" s="626"/>
      <c r="AE73" s="130"/>
      <c r="AG73" s="106"/>
    </row>
    <row r="74">
      <c r="A74" s="282"/>
      <c r="B74" s="283"/>
      <c r="C74" s="166"/>
      <c r="D74" s="93"/>
      <c r="E74" s="291"/>
      <c r="F74" s="6"/>
      <c r="O74" s="79"/>
      <c r="S74" s="79"/>
      <c r="T74" s="79"/>
      <c r="Y74" s="79"/>
      <c r="AE74" s="130"/>
      <c r="AG74" s="106"/>
    </row>
    <row r="75">
      <c r="A75" s="282"/>
      <c r="B75" s="283"/>
      <c r="C75" s="166"/>
      <c r="D75" s="93"/>
      <c r="E75" s="291"/>
      <c r="F75" s="6"/>
      <c r="O75" s="79"/>
      <c r="S75" s="79"/>
      <c r="T75" s="79"/>
      <c r="Y75" s="79"/>
      <c r="AE75" s="130"/>
      <c r="AG75" s="106"/>
    </row>
    <row r="76">
      <c r="A76" s="282"/>
      <c r="B76" s="283"/>
      <c r="C76" s="166"/>
      <c r="D76" s="93"/>
      <c r="E76" s="291"/>
      <c r="F76" s="6"/>
      <c r="O76" s="79"/>
      <c r="S76" s="79"/>
      <c r="T76" s="79"/>
      <c r="Y76" s="79"/>
      <c r="AE76" s="130"/>
      <c r="AG76" s="106"/>
    </row>
    <row r="77">
      <c r="A77" s="282"/>
      <c r="B77" s="283"/>
      <c r="C77" s="166"/>
      <c r="D77" s="93"/>
      <c r="E77" s="291"/>
      <c r="F77" s="6"/>
      <c r="O77" s="79"/>
      <c r="S77" s="79"/>
      <c r="T77" s="79"/>
      <c r="Y77" s="79"/>
      <c r="AE77" s="130"/>
      <c r="AG77" s="106"/>
    </row>
    <row r="78">
      <c r="A78" s="282"/>
      <c r="B78" s="283"/>
      <c r="C78" s="166"/>
      <c r="D78" s="93"/>
      <c r="E78" s="291"/>
      <c r="F78" s="6"/>
      <c r="O78" s="79"/>
      <c r="S78" s="79"/>
      <c r="T78" s="79"/>
      <c r="Y78" s="79"/>
      <c r="AE78" s="130"/>
      <c r="AG78" s="106"/>
    </row>
    <row r="79">
      <c r="A79" s="282"/>
      <c r="B79" s="283"/>
      <c r="C79" s="166"/>
      <c r="D79" s="93"/>
      <c r="E79" s="291"/>
      <c r="F79" s="6"/>
      <c r="O79" s="79"/>
      <c r="S79" s="79"/>
      <c r="T79" s="79"/>
      <c r="Y79" s="79"/>
      <c r="AE79" s="130"/>
      <c r="AG79" s="106"/>
    </row>
    <row r="80">
      <c r="A80" s="282"/>
      <c r="B80" s="283"/>
      <c r="C80" s="166"/>
      <c r="D80" s="93"/>
      <c r="E80" s="291"/>
      <c r="F80" s="6"/>
      <c r="O80" s="79"/>
      <c r="S80" s="79"/>
      <c r="T80" s="79"/>
      <c r="Y80" s="79"/>
      <c r="AE80" s="130"/>
      <c r="AG80" s="106"/>
    </row>
    <row r="81">
      <c r="A81" s="282"/>
      <c r="B81" s="283"/>
      <c r="C81" s="166"/>
      <c r="D81" s="93"/>
      <c r="E81" s="291"/>
      <c r="F81" s="6"/>
      <c r="O81" s="79"/>
      <c r="S81" s="79"/>
      <c r="T81" s="79"/>
      <c r="Y81" s="79"/>
      <c r="AE81" s="130"/>
      <c r="AG81" s="106"/>
    </row>
    <row r="82">
      <c r="A82" s="282"/>
      <c r="B82" s="283"/>
      <c r="C82" s="166"/>
      <c r="D82" s="93"/>
      <c r="E82" s="291"/>
      <c r="F82" s="6"/>
      <c r="O82" s="79"/>
      <c r="S82" s="79"/>
      <c r="T82" s="79"/>
      <c r="Y82" s="79"/>
      <c r="AE82" s="130"/>
      <c r="AG82" s="106"/>
    </row>
    <row r="83">
      <c r="A83" s="282"/>
      <c r="B83" s="283"/>
      <c r="C83" s="166"/>
      <c r="D83" s="93"/>
      <c r="E83" s="291"/>
      <c r="F83" s="6"/>
      <c r="O83" s="79"/>
      <c r="S83" s="79"/>
      <c r="T83" s="79"/>
      <c r="Y83" s="79"/>
      <c r="AE83" s="130"/>
      <c r="AG83" s="106"/>
    </row>
    <row r="84">
      <c r="A84" s="282"/>
      <c r="B84" s="283"/>
      <c r="C84" s="166"/>
      <c r="D84" s="93"/>
      <c r="E84" s="291"/>
      <c r="F84" s="6"/>
      <c r="O84" s="79"/>
      <c r="S84" s="79"/>
      <c r="T84" s="79"/>
      <c r="Y84" s="79"/>
      <c r="AE84" s="130"/>
      <c r="AG84" s="106"/>
    </row>
    <row r="85">
      <c r="A85" s="282"/>
      <c r="B85" s="283"/>
      <c r="C85" s="166"/>
      <c r="D85" s="93"/>
      <c r="E85" s="291"/>
      <c r="F85" s="6"/>
      <c r="O85" s="79"/>
      <c r="S85" s="79"/>
      <c r="T85" s="79"/>
      <c r="Y85" s="79"/>
      <c r="AE85" s="130"/>
      <c r="AG85" s="106"/>
    </row>
    <row r="86">
      <c r="A86" s="282"/>
      <c r="B86" s="283"/>
      <c r="C86" s="166"/>
      <c r="D86" s="93"/>
      <c r="E86" s="291"/>
      <c r="F86" s="6"/>
      <c r="O86" s="79"/>
      <c r="S86" s="79"/>
      <c r="T86" s="79"/>
      <c r="Y86" s="79"/>
      <c r="AE86" s="130"/>
      <c r="AG86" s="106"/>
    </row>
    <row r="87">
      <c r="A87" s="282"/>
      <c r="B87" s="283"/>
      <c r="C87" s="166"/>
      <c r="D87" s="93"/>
      <c r="E87" s="291"/>
      <c r="F87" s="6"/>
      <c r="O87" s="79"/>
      <c r="S87" s="79"/>
      <c r="T87" s="79"/>
      <c r="Y87" s="79"/>
      <c r="AE87" s="130"/>
      <c r="AG87" s="106"/>
    </row>
    <row r="88">
      <c r="A88" s="282"/>
      <c r="B88" s="283"/>
      <c r="C88" s="166"/>
      <c r="D88" s="93"/>
      <c r="E88" s="291"/>
      <c r="F88" s="6"/>
      <c r="O88" s="79"/>
      <c r="S88" s="79"/>
      <c r="T88" s="79"/>
      <c r="Y88" s="79"/>
      <c r="AE88" s="130"/>
      <c r="AG88" s="106"/>
    </row>
    <row r="89">
      <c r="A89" s="282"/>
      <c r="B89" s="283"/>
      <c r="C89" s="166"/>
      <c r="D89" s="93"/>
      <c r="E89" s="291"/>
      <c r="F89" s="6"/>
      <c r="O89" s="79"/>
      <c r="S89" s="79"/>
      <c r="T89" s="79"/>
      <c r="Y89" s="79"/>
      <c r="AE89" s="130"/>
      <c r="AG89" s="106"/>
    </row>
    <row r="90">
      <c r="A90" s="282"/>
      <c r="B90" s="283"/>
      <c r="C90" s="166"/>
      <c r="D90" s="93"/>
      <c r="E90" s="291"/>
      <c r="F90" s="6"/>
      <c r="O90" s="79"/>
      <c r="S90" s="79"/>
      <c r="T90" s="79"/>
      <c r="Y90" s="79"/>
      <c r="AE90" s="130"/>
      <c r="AG90" s="106"/>
    </row>
    <row r="91">
      <c r="A91" s="282"/>
      <c r="B91" s="283"/>
      <c r="C91" s="166"/>
      <c r="D91" s="93"/>
      <c r="E91" s="291"/>
      <c r="F91" s="6"/>
      <c r="O91" s="79"/>
      <c r="S91" s="79"/>
      <c r="T91" s="79"/>
      <c r="Y91" s="79"/>
      <c r="AE91" s="130"/>
      <c r="AG91" s="106"/>
    </row>
    <row r="92">
      <c r="A92" s="282"/>
      <c r="B92" s="283"/>
      <c r="C92" s="166"/>
      <c r="D92" s="93"/>
      <c r="E92" s="291"/>
      <c r="F92" s="6"/>
      <c r="O92" s="79"/>
      <c r="S92" s="79"/>
      <c r="T92" s="79"/>
      <c r="Y92" s="79"/>
      <c r="AE92" s="130"/>
      <c r="AG92" s="106"/>
    </row>
    <row r="93">
      <c r="A93" s="282"/>
      <c r="B93" s="283"/>
      <c r="C93" s="166"/>
      <c r="D93" s="93"/>
      <c r="E93" s="291"/>
      <c r="F93" s="6"/>
      <c r="O93" s="79"/>
      <c r="S93" s="79"/>
      <c r="T93" s="79"/>
      <c r="Y93" s="79"/>
      <c r="AE93" s="130"/>
      <c r="AG93" s="106"/>
    </row>
    <row r="94">
      <c r="A94" s="282"/>
      <c r="B94" s="283"/>
      <c r="C94" s="166"/>
      <c r="D94" s="93"/>
      <c r="E94" s="291"/>
      <c r="F94" s="6"/>
      <c r="O94" s="79"/>
      <c r="S94" s="79"/>
      <c r="T94" s="79"/>
      <c r="Y94" s="79"/>
      <c r="AE94" s="130"/>
      <c r="AG94" s="106"/>
    </row>
    <row r="95">
      <c r="A95" s="282"/>
      <c r="B95" s="283"/>
      <c r="C95" s="166"/>
      <c r="D95" s="93"/>
      <c r="E95" s="291"/>
      <c r="F95" s="6"/>
      <c r="O95" s="79"/>
      <c r="S95" s="79"/>
      <c r="T95" s="79"/>
      <c r="Y95" s="79"/>
      <c r="AE95" s="130"/>
      <c r="AG95" s="106"/>
    </row>
    <row r="96">
      <c r="A96" s="282"/>
      <c r="B96" s="283"/>
      <c r="C96" s="166"/>
      <c r="D96" s="93"/>
      <c r="E96" s="291"/>
      <c r="F96" s="6"/>
      <c r="O96" s="79"/>
      <c r="S96" s="79"/>
      <c r="T96" s="79"/>
      <c r="Y96" s="79"/>
      <c r="AE96" s="130"/>
      <c r="AG96" s="106"/>
    </row>
    <row r="97">
      <c r="C97" s="79"/>
      <c r="D97" s="79"/>
      <c r="E97" s="79"/>
      <c r="O97" s="79"/>
      <c r="S97" s="79"/>
      <c r="T97" s="79"/>
      <c r="Y97" s="79"/>
      <c r="AE97" s="130"/>
      <c r="AG97" s="106"/>
    </row>
    <row r="98">
      <c r="C98" s="79"/>
      <c r="D98" s="79"/>
      <c r="E98" s="79"/>
      <c r="O98" s="79"/>
      <c r="S98" s="79"/>
      <c r="T98" s="79"/>
      <c r="Y98" s="79"/>
      <c r="AE98" s="130"/>
      <c r="AG98" s="106"/>
    </row>
    <row r="99">
      <c r="C99" s="79"/>
      <c r="D99" s="79"/>
      <c r="E99" s="79"/>
      <c r="O99" s="79"/>
      <c r="S99" s="79"/>
      <c r="T99" s="79"/>
      <c r="Y99" s="79"/>
      <c r="AE99" s="130"/>
      <c r="AG99" s="106"/>
    </row>
    <row r="100">
      <c r="C100" s="79"/>
      <c r="D100" s="79"/>
      <c r="E100" s="79"/>
      <c r="O100" s="79"/>
      <c r="S100" s="79"/>
      <c r="T100" s="79"/>
      <c r="Y100" s="79"/>
      <c r="AE100" s="130"/>
      <c r="AG100" s="106"/>
    </row>
    <row r="101">
      <c r="C101" s="79"/>
      <c r="D101" s="79"/>
      <c r="E101" s="79"/>
      <c r="O101" s="79"/>
      <c r="S101" s="79"/>
      <c r="T101" s="79"/>
      <c r="Y101" s="79"/>
      <c r="AE101" s="130"/>
      <c r="AG101" s="106"/>
    </row>
    <row r="102">
      <c r="C102" s="79"/>
      <c r="D102" s="79"/>
      <c r="E102" s="79"/>
      <c r="O102" s="79"/>
      <c r="S102" s="79"/>
      <c r="T102" s="79"/>
      <c r="Y102" s="79"/>
      <c r="AE102" s="130"/>
      <c r="AG102" s="106"/>
    </row>
    <row r="103">
      <c r="C103" s="79"/>
      <c r="D103" s="79"/>
      <c r="E103" s="79"/>
      <c r="O103" s="79"/>
      <c r="S103" s="79"/>
      <c r="T103" s="79"/>
      <c r="Y103" s="79"/>
      <c r="AE103" s="130"/>
      <c r="AG103" s="106"/>
    </row>
    <row r="104">
      <c r="C104" s="79"/>
      <c r="D104" s="79"/>
      <c r="E104" s="79"/>
      <c r="O104" s="79"/>
      <c r="S104" s="79"/>
      <c r="T104" s="79"/>
      <c r="Y104" s="79"/>
      <c r="AE104" s="130"/>
      <c r="AG104" s="106"/>
    </row>
    <row r="105">
      <c r="C105" s="79"/>
      <c r="D105" s="79"/>
      <c r="E105" s="79"/>
      <c r="O105" s="79"/>
      <c r="S105" s="79"/>
      <c r="T105" s="79"/>
      <c r="Y105" s="79"/>
      <c r="AE105" s="130"/>
      <c r="AG105" s="106"/>
    </row>
    <row r="106">
      <c r="C106" s="79"/>
      <c r="D106" s="79"/>
      <c r="E106" s="79"/>
      <c r="O106" s="79"/>
      <c r="S106" s="79"/>
      <c r="T106" s="79"/>
      <c r="Y106" s="79"/>
      <c r="AE106" s="130"/>
      <c r="AG106" s="106"/>
    </row>
    <row r="107">
      <c r="C107" s="79"/>
      <c r="D107" s="79"/>
      <c r="E107" s="79"/>
      <c r="O107" s="79"/>
      <c r="S107" s="79"/>
      <c r="T107" s="79"/>
      <c r="Y107" s="79"/>
      <c r="AE107" s="130"/>
      <c r="AG107" s="106"/>
    </row>
    <row r="108">
      <c r="C108" s="79"/>
      <c r="D108" s="79"/>
      <c r="E108" s="79"/>
      <c r="O108" s="79"/>
      <c r="S108" s="79"/>
      <c r="T108" s="79"/>
      <c r="Y108" s="79"/>
      <c r="AE108" s="130"/>
      <c r="AG108" s="106"/>
    </row>
    <row r="109">
      <c r="C109" s="79"/>
      <c r="D109" s="79"/>
      <c r="E109" s="79"/>
      <c r="O109" s="79"/>
      <c r="S109" s="79"/>
      <c r="T109" s="79"/>
      <c r="Y109" s="79"/>
      <c r="AE109" s="130"/>
      <c r="AG109" s="106"/>
    </row>
    <row r="110">
      <c r="C110" s="79"/>
      <c r="D110" s="79"/>
      <c r="E110" s="79"/>
      <c r="O110" s="79"/>
      <c r="S110" s="79"/>
      <c r="T110" s="79"/>
      <c r="Y110" s="79"/>
      <c r="AE110" s="130"/>
      <c r="AG110" s="106"/>
    </row>
    <row r="111">
      <c r="C111" s="79"/>
      <c r="D111" s="79"/>
      <c r="E111" s="79"/>
      <c r="O111" s="79"/>
      <c r="S111" s="79"/>
      <c r="T111" s="79"/>
      <c r="Y111" s="79"/>
      <c r="AE111" s="130"/>
      <c r="AG111" s="106"/>
    </row>
    <row r="112">
      <c r="C112" s="79"/>
      <c r="D112" s="79"/>
      <c r="E112" s="79"/>
      <c r="O112" s="79"/>
      <c r="S112" s="79"/>
      <c r="T112" s="79"/>
      <c r="Y112" s="79"/>
      <c r="AE112" s="130"/>
      <c r="AG112" s="106"/>
    </row>
    <row r="113">
      <c r="C113" s="79"/>
      <c r="D113" s="79"/>
      <c r="E113" s="79"/>
      <c r="O113" s="79"/>
      <c r="S113" s="79"/>
      <c r="T113" s="79"/>
      <c r="Y113" s="79"/>
      <c r="AE113" s="130"/>
      <c r="AG113" s="106"/>
    </row>
    <row r="114">
      <c r="C114" s="79"/>
      <c r="D114" s="79"/>
      <c r="E114" s="79"/>
      <c r="O114" s="79"/>
      <c r="S114" s="79"/>
      <c r="T114" s="79"/>
      <c r="Y114" s="79"/>
      <c r="AE114" s="130"/>
      <c r="AG114" s="106"/>
    </row>
    <row r="115">
      <c r="C115" s="79"/>
      <c r="D115" s="79"/>
      <c r="E115" s="79"/>
      <c r="O115" s="79"/>
      <c r="S115" s="79"/>
      <c r="T115" s="79"/>
      <c r="Y115" s="79"/>
      <c r="AE115" s="130"/>
      <c r="AG115" s="106"/>
    </row>
    <row r="116">
      <c r="C116" s="79"/>
      <c r="D116" s="79"/>
      <c r="E116" s="79"/>
      <c r="O116" s="79"/>
      <c r="S116" s="79"/>
      <c r="T116" s="79"/>
      <c r="Y116" s="79"/>
      <c r="AE116" s="130"/>
      <c r="AG116" s="106"/>
    </row>
    <row r="117">
      <c r="C117" s="79"/>
      <c r="D117" s="79"/>
      <c r="E117" s="79"/>
      <c r="O117" s="79"/>
      <c r="S117" s="79"/>
      <c r="T117" s="79"/>
      <c r="Y117" s="79"/>
      <c r="AE117" s="130"/>
      <c r="AG117" s="106"/>
    </row>
    <row r="118">
      <c r="C118" s="79"/>
      <c r="D118" s="79"/>
      <c r="E118" s="79"/>
      <c r="O118" s="79"/>
      <c r="S118" s="79"/>
      <c r="T118" s="79"/>
      <c r="Y118" s="79"/>
      <c r="AE118" s="130"/>
      <c r="AG118" s="106"/>
    </row>
    <row r="119">
      <c r="C119" s="79"/>
      <c r="D119" s="79"/>
      <c r="E119" s="79"/>
      <c r="O119" s="79"/>
      <c r="S119" s="79"/>
      <c r="T119" s="79"/>
      <c r="Y119" s="79"/>
      <c r="AE119" s="130"/>
      <c r="AG119" s="106"/>
    </row>
    <row r="120">
      <c r="C120" s="79"/>
      <c r="D120" s="79"/>
      <c r="E120" s="79"/>
      <c r="O120" s="79"/>
      <c r="S120" s="79"/>
      <c r="T120" s="79"/>
      <c r="Y120" s="79"/>
      <c r="AE120" s="130"/>
      <c r="AG120" s="106"/>
    </row>
    <row r="121">
      <c r="C121" s="79"/>
      <c r="D121" s="79"/>
      <c r="E121" s="79"/>
      <c r="O121" s="79"/>
      <c r="S121" s="79"/>
      <c r="T121" s="79"/>
      <c r="Y121" s="79"/>
      <c r="AE121" s="130"/>
      <c r="AG121" s="106"/>
    </row>
    <row r="122">
      <c r="C122" s="79"/>
      <c r="D122" s="79"/>
      <c r="E122" s="79"/>
      <c r="O122" s="79"/>
      <c r="S122" s="79"/>
      <c r="T122" s="79"/>
      <c r="Y122" s="79"/>
      <c r="AE122" s="130"/>
      <c r="AG122" s="106"/>
    </row>
    <row r="123">
      <c r="C123" s="79"/>
      <c r="D123" s="79"/>
      <c r="E123" s="79"/>
      <c r="O123" s="79"/>
      <c r="S123" s="79"/>
      <c r="T123" s="79"/>
      <c r="Y123" s="79"/>
      <c r="AE123" s="130"/>
      <c r="AG123" s="106"/>
    </row>
    <row r="124">
      <c r="C124" s="79"/>
      <c r="D124" s="79"/>
      <c r="E124" s="79"/>
      <c r="O124" s="79"/>
      <c r="S124" s="79"/>
      <c r="T124" s="79"/>
      <c r="Y124" s="79"/>
      <c r="AE124" s="130"/>
      <c r="AG124" s="106"/>
    </row>
    <row r="125">
      <c r="C125" s="79"/>
      <c r="D125" s="79"/>
      <c r="E125" s="79"/>
      <c r="O125" s="79"/>
      <c r="S125" s="79"/>
      <c r="T125" s="79"/>
      <c r="Y125" s="79"/>
      <c r="AE125" s="130"/>
      <c r="AG125" s="106"/>
    </row>
    <row r="126">
      <c r="C126" s="79"/>
      <c r="D126" s="79"/>
      <c r="E126" s="79"/>
      <c r="O126" s="79"/>
      <c r="S126" s="79"/>
      <c r="T126" s="79"/>
      <c r="Y126" s="79"/>
      <c r="AE126" s="130"/>
      <c r="AG126" s="106"/>
    </row>
    <row r="127">
      <c r="C127" s="79"/>
      <c r="D127" s="79"/>
      <c r="E127" s="79"/>
      <c r="O127" s="79"/>
      <c r="S127" s="79"/>
      <c r="T127" s="79"/>
      <c r="Y127" s="79"/>
      <c r="AE127" s="130"/>
      <c r="AG127" s="106"/>
    </row>
    <row r="128">
      <c r="C128" s="79"/>
      <c r="D128" s="79"/>
      <c r="E128" s="79"/>
      <c r="O128" s="79"/>
      <c r="S128" s="79"/>
      <c r="T128" s="79"/>
      <c r="Y128" s="79"/>
      <c r="AE128" s="130"/>
      <c r="AG128" s="106"/>
    </row>
    <row r="129">
      <c r="C129" s="79"/>
      <c r="D129" s="79"/>
      <c r="E129" s="79"/>
      <c r="O129" s="79"/>
      <c r="S129" s="79"/>
      <c r="T129" s="79"/>
      <c r="Y129" s="79"/>
      <c r="AE129" s="130"/>
      <c r="AG129" s="106"/>
    </row>
    <row r="130">
      <c r="C130" s="79"/>
      <c r="D130" s="79"/>
      <c r="E130" s="79"/>
      <c r="O130" s="79"/>
      <c r="S130" s="79"/>
      <c r="T130" s="79"/>
      <c r="Y130" s="79"/>
      <c r="AE130" s="130"/>
      <c r="AG130" s="106"/>
    </row>
    <row r="131">
      <c r="C131" s="79"/>
      <c r="D131" s="79"/>
      <c r="E131" s="79"/>
      <c r="O131" s="79"/>
      <c r="S131" s="79"/>
      <c r="T131" s="79"/>
      <c r="Y131" s="79"/>
      <c r="AE131" s="130"/>
      <c r="AG131" s="106"/>
    </row>
    <row r="132">
      <c r="C132" s="79"/>
      <c r="D132" s="79"/>
      <c r="E132" s="79"/>
      <c r="O132" s="79"/>
      <c r="S132" s="79"/>
      <c r="T132" s="79"/>
      <c r="Y132" s="79"/>
      <c r="AE132" s="130"/>
      <c r="AG132" s="106"/>
    </row>
    <row r="133">
      <c r="C133" s="79"/>
      <c r="D133" s="79"/>
      <c r="E133" s="79"/>
      <c r="O133" s="79"/>
      <c r="S133" s="79"/>
      <c r="T133" s="79"/>
      <c r="Y133" s="79"/>
      <c r="AE133" s="130"/>
      <c r="AG133" s="106"/>
    </row>
    <row r="134">
      <c r="C134" s="79"/>
      <c r="D134" s="79"/>
      <c r="E134" s="79"/>
      <c r="O134" s="79"/>
      <c r="S134" s="79"/>
      <c r="T134" s="79"/>
      <c r="Y134" s="79"/>
      <c r="AE134" s="130"/>
      <c r="AG134" s="106"/>
    </row>
    <row r="135">
      <c r="C135" s="79"/>
      <c r="D135" s="79"/>
      <c r="E135" s="79"/>
      <c r="O135" s="79"/>
      <c r="S135" s="79"/>
      <c r="T135" s="79"/>
      <c r="Y135" s="79"/>
      <c r="AE135" s="130"/>
      <c r="AG135" s="106"/>
    </row>
    <row r="136">
      <c r="C136" s="79"/>
      <c r="D136" s="79"/>
      <c r="E136" s="79"/>
      <c r="O136" s="79"/>
      <c r="S136" s="79"/>
      <c r="T136" s="79"/>
      <c r="Y136" s="79"/>
      <c r="AE136" s="130"/>
      <c r="AG136" s="106"/>
    </row>
    <row r="137">
      <c r="C137" s="79"/>
      <c r="D137" s="79"/>
      <c r="E137" s="79"/>
      <c r="O137" s="79"/>
      <c r="S137" s="79"/>
      <c r="T137" s="79"/>
      <c r="Y137" s="79"/>
      <c r="AE137" s="130"/>
      <c r="AG137" s="106"/>
    </row>
    <row r="138">
      <c r="C138" s="79"/>
      <c r="D138" s="79"/>
      <c r="E138" s="79"/>
      <c r="O138" s="79"/>
      <c r="S138" s="79"/>
      <c r="T138" s="79"/>
      <c r="Y138" s="79"/>
      <c r="AE138" s="130"/>
      <c r="AG138" s="106"/>
    </row>
    <row r="139">
      <c r="C139" s="79"/>
      <c r="D139" s="79"/>
      <c r="E139" s="79"/>
      <c r="O139" s="79"/>
      <c r="S139" s="79"/>
      <c r="T139" s="79"/>
      <c r="Y139" s="79"/>
      <c r="AE139" s="130"/>
      <c r="AG139" s="106"/>
    </row>
    <row r="140">
      <c r="C140" s="79"/>
      <c r="D140" s="79"/>
      <c r="E140" s="79"/>
      <c r="O140" s="79"/>
      <c r="S140" s="79"/>
      <c r="T140" s="79"/>
      <c r="Y140" s="79"/>
      <c r="AE140" s="130"/>
      <c r="AG140" s="106"/>
    </row>
    <row r="141">
      <c r="C141" s="79"/>
      <c r="D141" s="79"/>
      <c r="E141" s="79"/>
      <c r="O141" s="79"/>
      <c r="S141" s="79"/>
      <c r="T141" s="79"/>
      <c r="Y141" s="79"/>
      <c r="AE141" s="130"/>
      <c r="AG141" s="106"/>
    </row>
    <row r="142">
      <c r="C142" s="79"/>
      <c r="D142" s="79"/>
      <c r="E142" s="79"/>
      <c r="O142" s="79"/>
      <c r="S142" s="79"/>
      <c r="T142" s="79"/>
      <c r="Y142" s="79"/>
      <c r="AE142" s="130"/>
      <c r="AG142" s="106"/>
    </row>
    <row r="143">
      <c r="C143" s="79"/>
      <c r="D143" s="79"/>
      <c r="E143" s="79"/>
      <c r="O143" s="79"/>
      <c r="S143" s="79"/>
      <c r="T143" s="79"/>
      <c r="Y143" s="79"/>
      <c r="AE143" s="130"/>
      <c r="AG143" s="106"/>
    </row>
    <row r="144">
      <c r="C144" s="79"/>
      <c r="D144" s="79"/>
      <c r="E144" s="79"/>
      <c r="O144" s="79"/>
      <c r="S144" s="79"/>
      <c r="T144" s="79"/>
      <c r="Y144" s="79"/>
      <c r="AE144" s="130"/>
      <c r="AG144" s="106"/>
    </row>
    <row r="145">
      <c r="C145" s="79"/>
      <c r="D145" s="79"/>
      <c r="E145" s="79"/>
      <c r="O145" s="79"/>
      <c r="S145" s="79"/>
      <c r="T145" s="79"/>
      <c r="Y145" s="79"/>
      <c r="AE145" s="130"/>
      <c r="AG145" s="106"/>
    </row>
    <row r="146">
      <c r="C146" s="79"/>
      <c r="D146" s="79"/>
      <c r="E146" s="79"/>
      <c r="O146" s="79"/>
      <c r="S146" s="79"/>
      <c r="T146" s="79"/>
      <c r="Y146" s="79"/>
      <c r="AE146" s="130"/>
      <c r="AG146" s="106"/>
    </row>
    <row r="147">
      <c r="C147" s="79"/>
      <c r="D147" s="79"/>
      <c r="E147" s="79"/>
      <c r="O147" s="79"/>
      <c r="S147" s="79"/>
      <c r="T147" s="79"/>
      <c r="Y147" s="79"/>
      <c r="AE147" s="130"/>
      <c r="AG147" s="106"/>
    </row>
    <row r="148">
      <c r="C148" s="79"/>
      <c r="D148" s="79"/>
      <c r="E148" s="79"/>
      <c r="O148" s="79"/>
      <c r="S148" s="79"/>
      <c r="T148" s="79"/>
      <c r="Y148" s="79"/>
      <c r="AE148" s="130"/>
      <c r="AG148" s="106"/>
    </row>
    <row r="149">
      <c r="C149" s="79"/>
      <c r="D149" s="79"/>
      <c r="E149" s="79"/>
      <c r="O149" s="79"/>
      <c r="S149" s="79"/>
      <c r="T149" s="79"/>
      <c r="Y149" s="79"/>
      <c r="AE149" s="130"/>
      <c r="AG149" s="106"/>
    </row>
    <row r="150">
      <c r="C150" s="79"/>
      <c r="D150" s="79"/>
      <c r="E150" s="79"/>
      <c r="O150" s="79"/>
      <c r="S150" s="79"/>
      <c r="T150" s="79"/>
      <c r="Y150" s="79"/>
      <c r="AE150" s="130"/>
      <c r="AG150" s="106"/>
    </row>
    <row r="151">
      <c r="C151" s="79"/>
      <c r="D151" s="79"/>
      <c r="E151" s="79"/>
      <c r="O151" s="79"/>
      <c r="S151" s="79"/>
      <c r="T151" s="79"/>
      <c r="Y151" s="79"/>
      <c r="AE151" s="130"/>
      <c r="AG151" s="106"/>
    </row>
    <row r="152">
      <c r="C152" s="79"/>
      <c r="D152" s="79"/>
      <c r="E152" s="79"/>
      <c r="O152" s="79"/>
      <c r="S152" s="79"/>
      <c r="T152" s="79"/>
      <c r="Y152" s="79"/>
      <c r="AE152" s="130"/>
      <c r="AG152" s="106"/>
    </row>
    <row r="153">
      <c r="C153" s="79"/>
      <c r="D153" s="79"/>
      <c r="E153" s="79"/>
      <c r="O153" s="79"/>
      <c r="S153" s="79"/>
      <c r="T153" s="79"/>
      <c r="Y153" s="79"/>
      <c r="AE153" s="130"/>
      <c r="AG153" s="106"/>
    </row>
    <row r="154">
      <c r="C154" s="79"/>
      <c r="D154" s="79"/>
      <c r="E154" s="79"/>
      <c r="O154" s="79"/>
      <c r="S154" s="79"/>
      <c r="T154" s="79"/>
      <c r="Y154" s="79"/>
      <c r="AE154" s="130"/>
      <c r="AG154" s="106"/>
    </row>
    <row r="155">
      <c r="C155" s="79"/>
      <c r="D155" s="79"/>
      <c r="E155" s="79"/>
      <c r="O155" s="79"/>
      <c r="S155" s="79"/>
      <c r="T155" s="79"/>
      <c r="Y155" s="79"/>
      <c r="AE155" s="130"/>
      <c r="AG155" s="106"/>
    </row>
    <row r="156">
      <c r="C156" s="79"/>
      <c r="D156" s="79"/>
      <c r="E156" s="79"/>
      <c r="O156" s="79"/>
      <c r="S156" s="79"/>
      <c r="T156" s="79"/>
      <c r="Y156" s="79"/>
      <c r="AE156" s="130"/>
      <c r="AG156" s="106"/>
    </row>
    <row r="157">
      <c r="C157" s="79"/>
      <c r="D157" s="79"/>
      <c r="E157" s="79"/>
      <c r="O157" s="79"/>
      <c r="S157" s="79"/>
      <c r="T157" s="79"/>
      <c r="Y157" s="79"/>
      <c r="AE157" s="130"/>
      <c r="AG157" s="106"/>
    </row>
    <row r="158">
      <c r="C158" s="79"/>
      <c r="D158" s="79"/>
      <c r="E158" s="79"/>
      <c r="O158" s="79"/>
      <c r="S158" s="79"/>
      <c r="T158" s="79"/>
      <c r="Y158" s="79"/>
      <c r="AE158" s="130"/>
      <c r="AG158" s="106"/>
    </row>
    <row r="159">
      <c r="C159" s="79"/>
      <c r="D159" s="79"/>
      <c r="E159" s="79"/>
      <c r="O159" s="79"/>
      <c r="S159" s="79"/>
      <c r="T159" s="79"/>
      <c r="Y159" s="79"/>
      <c r="AE159" s="130"/>
      <c r="AG159" s="106"/>
    </row>
    <row r="160">
      <c r="C160" s="79"/>
      <c r="D160" s="79"/>
      <c r="E160" s="79"/>
      <c r="O160" s="79"/>
      <c r="S160" s="79"/>
      <c r="T160" s="79"/>
      <c r="Y160" s="79"/>
      <c r="AE160" s="130"/>
      <c r="AG160" s="106"/>
    </row>
    <row r="161">
      <c r="C161" s="79"/>
      <c r="D161" s="79"/>
      <c r="E161" s="79"/>
      <c r="O161" s="79"/>
      <c r="S161" s="79"/>
      <c r="T161" s="79"/>
      <c r="Y161" s="79"/>
      <c r="AE161" s="130"/>
      <c r="AG161" s="106"/>
    </row>
    <row r="162">
      <c r="C162" s="79"/>
      <c r="D162" s="79"/>
      <c r="E162" s="79"/>
      <c r="O162" s="79"/>
      <c r="S162" s="79"/>
      <c r="T162" s="79"/>
      <c r="Y162" s="79"/>
      <c r="AE162" s="130"/>
      <c r="AG162" s="106"/>
    </row>
    <row r="163">
      <c r="C163" s="79"/>
      <c r="D163" s="79"/>
      <c r="E163" s="79"/>
      <c r="O163" s="79"/>
      <c r="S163" s="79"/>
      <c r="T163" s="79"/>
      <c r="Y163" s="79"/>
      <c r="AE163" s="130"/>
      <c r="AG163" s="106"/>
    </row>
    <row r="164">
      <c r="C164" s="79"/>
      <c r="D164" s="79"/>
      <c r="E164" s="79"/>
      <c r="O164" s="79"/>
      <c r="S164" s="79"/>
      <c r="T164" s="79"/>
      <c r="Y164" s="79"/>
      <c r="AE164" s="130"/>
      <c r="AG164" s="106"/>
    </row>
    <row r="165">
      <c r="C165" s="79"/>
      <c r="D165" s="79"/>
      <c r="E165" s="79"/>
      <c r="O165" s="79"/>
      <c r="S165" s="79"/>
      <c r="T165" s="79"/>
      <c r="Y165" s="79"/>
      <c r="AE165" s="130"/>
      <c r="AG165" s="106"/>
    </row>
    <row r="166">
      <c r="C166" s="79"/>
      <c r="D166" s="79"/>
      <c r="E166" s="79"/>
      <c r="O166" s="79"/>
      <c r="S166" s="79"/>
      <c r="T166" s="79"/>
      <c r="Y166" s="79"/>
      <c r="AE166" s="130"/>
      <c r="AG166" s="106"/>
    </row>
    <row r="167">
      <c r="C167" s="79"/>
      <c r="D167" s="79"/>
      <c r="E167" s="79"/>
      <c r="O167" s="79"/>
      <c r="S167" s="79"/>
      <c r="T167" s="79"/>
      <c r="Y167" s="79"/>
      <c r="AE167" s="130"/>
      <c r="AG167" s="106"/>
    </row>
    <row r="168">
      <c r="C168" s="79"/>
      <c r="D168" s="79"/>
      <c r="E168" s="79"/>
      <c r="O168" s="79"/>
      <c r="S168" s="79"/>
      <c r="T168" s="79"/>
      <c r="Y168" s="79"/>
      <c r="AE168" s="130"/>
      <c r="AG168" s="106"/>
    </row>
    <row r="169">
      <c r="C169" s="79"/>
      <c r="D169" s="79"/>
      <c r="E169" s="79"/>
      <c r="O169" s="79"/>
      <c r="S169" s="79"/>
      <c r="T169" s="79"/>
      <c r="Y169" s="79"/>
      <c r="AE169" s="130"/>
      <c r="AG169" s="106"/>
    </row>
    <row r="170">
      <c r="C170" s="79"/>
      <c r="D170" s="79"/>
      <c r="E170" s="79"/>
      <c r="O170" s="79"/>
      <c r="S170" s="79"/>
      <c r="T170" s="79"/>
      <c r="Y170" s="79"/>
      <c r="AE170" s="130"/>
      <c r="AG170" s="106"/>
    </row>
    <row r="171">
      <c r="C171" s="79"/>
      <c r="D171" s="79"/>
      <c r="E171" s="79"/>
      <c r="O171" s="79"/>
      <c r="S171" s="79"/>
      <c r="T171" s="79"/>
      <c r="Y171" s="79"/>
      <c r="AE171" s="130"/>
      <c r="AG171" s="106"/>
    </row>
    <row r="172">
      <c r="C172" s="79"/>
      <c r="D172" s="79"/>
      <c r="E172" s="79"/>
      <c r="O172" s="79"/>
      <c r="S172" s="79"/>
      <c r="T172" s="79"/>
      <c r="Y172" s="79"/>
      <c r="AE172" s="130"/>
      <c r="AG172" s="106"/>
    </row>
    <row r="173">
      <c r="C173" s="79"/>
      <c r="D173" s="79"/>
      <c r="E173" s="79"/>
      <c r="O173" s="79"/>
      <c r="S173" s="79"/>
      <c r="T173" s="79"/>
      <c r="Y173" s="79"/>
      <c r="AE173" s="130"/>
      <c r="AG173" s="106"/>
    </row>
    <row r="174">
      <c r="C174" s="79"/>
      <c r="D174" s="79"/>
      <c r="E174" s="79"/>
      <c r="O174" s="79"/>
      <c r="S174" s="79"/>
      <c r="T174" s="79"/>
      <c r="Y174" s="79"/>
      <c r="AE174" s="130"/>
      <c r="AG174" s="106"/>
    </row>
    <row r="175">
      <c r="C175" s="79"/>
      <c r="D175" s="79"/>
      <c r="E175" s="79"/>
      <c r="O175" s="79"/>
      <c r="S175" s="79"/>
      <c r="T175" s="79"/>
      <c r="Y175" s="79"/>
      <c r="AE175" s="130"/>
      <c r="AG175" s="106"/>
    </row>
    <row r="176">
      <c r="C176" s="79"/>
      <c r="D176" s="79"/>
      <c r="E176" s="79"/>
      <c r="O176" s="79"/>
      <c r="S176" s="79"/>
      <c r="T176" s="79"/>
      <c r="Y176" s="79"/>
      <c r="AE176" s="130"/>
      <c r="AG176" s="106"/>
    </row>
    <row r="177">
      <c r="C177" s="79"/>
      <c r="D177" s="79"/>
      <c r="E177" s="79"/>
      <c r="O177" s="79"/>
      <c r="S177" s="79"/>
      <c r="T177" s="79"/>
      <c r="Y177" s="79"/>
      <c r="AE177" s="130"/>
      <c r="AG177" s="106"/>
    </row>
    <row r="178">
      <c r="C178" s="79"/>
      <c r="D178" s="79"/>
      <c r="E178" s="79"/>
      <c r="O178" s="79"/>
      <c r="S178" s="79"/>
      <c r="T178" s="79"/>
      <c r="Y178" s="79"/>
      <c r="AE178" s="130"/>
      <c r="AG178" s="106"/>
    </row>
    <row r="179">
      <c r="C179" s="79"/>
      <c r="D179" s="79"/>
      <c r="E179" s="79"/>
      <c r="O179" s="79"/>
      <c r="S179" s="79"/>
      <c r="T179" s="79"/>
      <c r="Y179" s="79"/>
      <c r="AE179" s="130"/>
      <c r="AG179" s="106"/>
    </row>
    <row r="180">
      <c r="C180" s="79"/>
      <c r="D180" s="79"/>
      <c r="E180" s="79"/>
      <c r="O180" s="79"/>
      <c r="S180" s="79"/>
      <c r="T180" s="79"/>
      <c r="Y180" s="79"/>
      <c r="AE180" s="130"/>
      <c r="AG180" s="106"/>
    </row>
    <row r="181">
      <c r="C181" s="79"/>
      <c r="D181" s="79"/>
      <c r="E181" s="79"/>
      <c r="O181" s="79"/>
      <c r="S181" s="79"/>
      <c r="T181" s="79"/>
      <c r="Y181" s="79"/>
      <c r="AE181" s="130"/>
      <c r="AG181" s="106"/>
    </row>
    <row r="182">
      <c r="C182" s="79"/>
      <c r="D182" s="79"/>
      <c r="E182" s="79"/>
      <c r="O182" s="79"/>
      <c r="S182" s="79"/>
      <c r="T182" s="79"/>
      <c r="Y182" s="79"/>
      <c r="AE182" s="130"/>
      <c r="AG182" s="106"/>
    </row>
    <row r="183">
      <c r="C183" s="79"/>
      <c r="D183" s="79"/>
      <c r="E183" s="79"/>
      <c r="O183" s="79"/>
      <c r="S183" s="79"/>
      <c r="T183" s="79"/>
      <c r="Y183" s="79"/>
      <c r="AE183" s="130"/>
      <c r="AG183" s="106"/>
    </row>
    <row r="184">
      <c r="C184" s="79"/>
      <c r="D184" s="79"/>
      <c r="E184" s="79"/>
      <c r="O184" s="79"/>
      <c r="S184" s="79"/>
      <c r="T184" s="79"/>
      <c r="Y184" s="79"/>
      <c r="AE184" s="130"/>
      <c r="AG184" s="106"/>
    </row>
    <row r="185">
      <c r="C185" s="79"/>
      <c r="D185" s="79"/>
      <c r="E185" s="79"/>
      <c r="O185" s="79"/>
      <c r="S185" s="79"/>
      <c r="T185" s="79"/>
      <c r="Y185" s="79"/>
      <c r="AE185" s="130"/>
      <c r="AG185" s="106"/>
    </row>
    <row r="186">
      <c r="C186" s="79"/>
      <c r="D186" s="79"/>
      <c r="E186" s="79"/>
      <c r="O186" s="79"/>
      <c r="S186" s="79"/>
      <c r="T186" s="79"/>
      <c r="Y186" s="79"/>
      <c r="AE186" s="130"/>
      <c r="AG186" s="106"/>
    </row>
    <row r="187">
      <c r="C187" s="79"/>
      <c r="D187" s="79"/>
      <c r="E187" s="79"/>
      <c r="O187" s="79"/>
      <c r="S187" s="79"/>
      <c r="T187" s="79"/>
      <c r="Y187" s="79"/>
      <c r="AE187" s="130"/>
      <c r="AG187" s="106"/>
    </row>
    <row r="188">
      <c r="C188" s="79"/>
      <c r="D188" s="79"/>
      <c r="E188" s="79"/>
      <c r="O188" s="79"/>
      <c r="S188" s="79"/>
      <c r="T188" s="79"/>
      <c r="Y188" s="79"/>
      <c r="AE188" s="130"/>
      <c r="AG188" s="106"/>
    </row>
    <row r="189">
      <c r="C189" s="79"/>
      <c r="D189" s="79"/>
      <c r="E189" s="79"/>
      <c r="O189" s="79"/>
      <c r="S189" s="79"/>
      <c r="T189" s="79"/>
      <c r="Y189" s="79"/>
      <c r="AE189" s="130"/>
      <c r="AG189" s="106"/>
    </row>
    <row r="190">
      <c r="C190" s="79"/>
      <c r="D190" s="79"/>
      <c r="E190" s="79"/>
      <c r="O190" s="79"/>
      <c r="S190" s="79"/>
      <c r="T190" s="79"/>
      <c r="Y190" s="79"/>
      <c r="AE190" s="130"/>
      <c r="AG190" s="106"/>
    </row>
    <row r="191">
      <c r="C191" s="79"/>
      <c r="D191" s="79"/>
      <c r="E191" s="79"/>
      <c r="O191" s="79"/>
      <c r="S191" s="79"/>
      <c r="T191" s="79"/>
      <c r="Y191" s="79"/>
      <c r="AE191" s="130"/>
      <c r="AG191" s="106"/>
    </row>
    <row r="192">
      <c r="C192" s="79"/>
      <c r="D192" s="79"/>
      <c r="E192" s="79"/>
      <c r="O192" s="79"/>
      <c r="S192" s="79"/>
      <c r="T192" s="79"/>
      <c r="Y192" s="79"/>
      <c r="AE192" s="130"/>
      <c r="AG192" s="106"/>
    </row>
    <row r="193">
      <c r="C193" s="79"/>
      <c r="D193" s="79"/>
      <c r="E193" s="79"/>
      <c r="O193" s="79"/>
      <c r="S193" s="79"/>
      <c r="T193" s="79"/>
      <c r="Y193" s="79"/>
      <c r="AE193" s="130"/>
      <c r="AG193" s="106"/>
    </row>
    <row r="194">
      <c r="C194" s="79"/>
      <c r="D194" s="79"/>
      <c r="E194" s="79"/>
      <c r="O194" s="79"/>
      <c r="S194" s="79"/>
      <c r="T194" s="79"/>
      <c r="Y194" s="79"/>
      <c r="AE194" s="130"/>
      <c r="AG194" s="106"/>
    </row>
    <row r="195">
      <c r="C195" s="79"/>
      <c r="D195" s="79"/>
      <c r="E195" s="79"/>
      <c r="O195" s="79"/>
      <c r="S195" s="79"/>
      <c r="T195" s="79"/>
      <c r="Y195" s="79"/>
      <c r="AE195" s="130"/>
      <c r="AG195" s="106"/>
    </row>
    <row r="196">
      <c r="C196" s="79"/>
      <c r="D196" s="79"/>
      <c r="E196" s="79"/>
      <c r="O196" s="79"/>
      <c r="S196" s="79"/>
      <c r="T196" s="79"/>
      <c r="Y196" s="79"/>
      <c r="AE196" s="130"/>
      <c r="AG196" s="106"/>
    </row>
    <row r="197">
      <c r="C197" s="79"/>
      <c r="D197" s="79"/>
      <c r="E197" s="79"/>
      <c r="O197" s="79"/>
      <c r="S197" s="79"/>
      <c r="T197" s="79"/>
      <c r="Y197" s="79"/>
      <c r="AE197" s="130"/>
      <c r="AG197" s="106"/>
    </row>
    <row r="198">
      <c r="C198" s="79"/>
      <c r="D198" s="79"/>
      <c r="E198" s="79"/>
      <c r="O198" s="79"/>
      <c r="S198" s="79"/>
      <c r="T198" s="79"/>
      <c r="Y198" s="79"/>
      <c r="AE198" s="130"/>
      <c r="AG198" s="106"/>
    </row>
    <row r="199">
      <c r="C199" s="79"/>
      <c r="D199" s="79"/>
      <c r="E199" s="79"/>
      <c r="O199" s="79"/>
      <c r="S199" s="79"/>
      <c r="T199" s="79"/>
      <c r="Y199" s="79"/>
      <c r="AE199" s="130"/>
      <c r="AG199" s="106"/>
    </row>
    <row r="200">
      <c r="C200" s="79"/>
      <c r="D200" s="79"/>
      <c r="E200" s="79"/>
      <c r="O200" s="79"/>
      <c r="S200" s="79"/>
      <c r="T200" s="79"/>
      <c r="Y200" s="79"/>
      <c r="AE200" s="130"/>
      <c r="AG200" s="106"/>
    </row>
    <row r="201">
      <c r="C201" s="79"/>
      <c r="D201" s="79"/>
      <c r="E201" s="79"/>
      <c r="O201" s="79"/>
      <c r="S201" s="79"/>
      <c r="T201" s="79"/>
      <c r="Y201" s="79"/>
      <c r="AE201" s="130"/>
      <c r="AG201" s="106"/>
    </row>
    <row r="202">
      <c r="C202" s="79"/>
      <c r="D202" s="79"/>
      <c r="E202" s="79"/>
      <c r="O202" s="79"/>
      <c r="S202" s="79"/>
      <c r="T202" s="79"/>
      <c r="Y202" s="79"/>
      <c r="AE202" s="130"/>
      <c r="AG202" s="106"/>
    </row>
    <row r="203">
      <c r="C203" s="79"/>
      <c r="D203" s="79"/>
      <c r="E203" s="79"/>
      <c r="O203" s="79"/>
      <c r="S203" s="79"/>
      <c r="T203" s="79"/>
      <c r="Y203" s="79"/>
      <c r="AE203" s="130"/>
      <c r="AG203" s="106"/>
    </row>
    <row r="204">
      <c r="C204" s="79"/>
      <c r="D204" s="79"/>
      <c r="E204" s="79"/>
      <c r="O204" s="79"/>
      <c r="S204" s="79"/>
      <c r="T204" s="79"/>
      <c r="Y204" s="79"/>
      <c r="AE204" s="130"/>
      <c r="AG204" s="106"/>
    </row>
    <row r="205">
      <c r="C205" s="79"/>
      <c r="D205" s="79"/>
      <c r="E205" s="79"/>
      <c r="O205" s="79"/>
      <c r="S205" s="79"/>
      <c r="T205" s="79"/>
      <c r="Y205" s="79"/>
      <c r="AE205" s="130"/>
      <c r="AG205" s="106"/>
    </row>
    <row r="206">
      <c r="C206" s="79"/>
      <c r="D206" s="79"/>
      <c r="E206" s="79"/>
      <c r="O206" s="79"/>
      <c r="S206" s="79"/>
      <c r="T206" s="79"/>
      <c r="Y206" s="79"/>
      <c r="AE206" s="130"/>
      <c r="AG206" s="106"/>
    </row>
    <row r="207">
      <c r="C207" s="79"/>
      <c r="D207" s="79"/>
      <c r="E207" s="79"/>
      <c r="O207" s="79"/>
      <c r="S207" s="79"/>
      <c r="T207" s="79"/>
      <c r="Y207" s="79"/>
      <c r="AE207" s="130"/>
      <c r="AG207" s="106"/>
    </row>
    <row r="208">
      <c r="C208" s="79"/>
      <c r="D208" s="79"/>
      <c r="E208" s="79"/>
      <c r="O208" s="79"/>
      <c r="S208" s="79"/>
      <c r="T208" s="79"/>
      <c r="Y208" s="79"/>
      <c r="AE208" s="130"/>
      <c r="AG208" s="106"/>
    </row>
    <row r="209">
      <c r="C209" s="79"/>
      <c r="D209" s="79"/>
      <c r="E209" s="79"/>
      <c r="O209" s="79"/>
      <c r="S209" s="79"/>
      <c r="T209" s="79"/>
      <c r="Y209" s="79"/>
      <c r="AE209" s="130"/>
      <c r="AG209" s="106"/>
    </row>
    <row r="210">
      <c r="C210" s="79"/>
      <c r="D210" s="79"/>
      <c r="E210" s="79"/>
      <c r="O210" s="79"/>
      <c r="S210" s="79"/>
      <c r="T210" s="79"/>
      <c r="Y210" s="79"/>
      <c r="AE210" s="130"/>
      <c r="AG210" s="106"/>
    </row>
    <row r="211">
      <c r="C211" s="79"/>
      <c r="D211" s="79"/>
      <c r="E211" s="79"/>
      <c r="O211" s="79"/>
      <c r="S211" s="79"/>
      <c r="T211" s="79"/>
      <c r="Y211" s="79"/>
      <c r="AE211" s="130"/>
      <c r="AG211" s="106"/>
    </row>
    <row r="212">
      <c r="C212" s="79"/>
      <c r="D212" s="79"/>
      <c r="E212" s="79"/>
      <c r="O212" s="79"/>
      <c r="S212" s="79"/>
      <c r="T212" s="79"/>
      <c r="Y212" s="79"/>
      <c r="AE212" s="130"/>
      <c r="AG212" s="106"/>
    </row>
    <row r="213">
      <c r="C213" s="79"/>
      <c r="D213" s="79"/>
      <c r="E213" s="79"/>
      <c r="O213" s="79"/>
      <c r="S213" s="79"/>
      <c r="T213" s="79"/>
      <c r="Y213" s="79"/>
      <c r="AE213" s="130"/>
      <c r="AG213" s="106"/>
    </row>
    <row r="214">
      <c r="C214" s="79"/>
      <c r="D214" s="79"/>
      <c r="E214" s="79"/>
      <c r="O214" s="79"/>
      <c r="S214" s="79"/>
      <c r="T214" s="79"/>
      <c r="Y214" s="79"/>
      <c r="AE214" s="130"/>
      <c r="AG214" s="106"/>
    </row>
    <row r="215">
      <c r="C215" s="79"/>
      <c r="D215" s="79"/>
      <c r="E215" s="79"/>
      <c r="O215" s="79"/>
      <c r="S215" s="79"/>
      <c r="T215" s="79"/>
      <c r="Y215" s="79"/>
      <c r="AE215" s="130"/>
      <c r="AG215" s="106"/>
    </row>
    <row r="216">
      <c r="C216" s="79"/>
      <c r="D216" s="79"/>
      <c r="E216" s="79"/>
      <c r="O216" s="79"/>
      <c r="S216" s="79"/>
      <c r="T216" s="79"/>
      <c r="Y216" s="79"/>
      <c r="AE216" s="130"/>
      <c r="AG216" s="106"/>
    </row>
    <row r="217">
      <c r="C217" s="79"/>
      <c r="D217" s="79"/>
      <c r="E217" s="79"/>
      <c r="O217" s="79"/>
      <c r="S217" s="79"/>
      <c r="T217" s="79"/>
      <c r="Y217" s="79"/>
      <c r="AE217" s="130"/>
      <c r="AG217" s="106"/>
    </row>
    <row r="218">
      <c r="C218" s="79"/>
      <c r="D218" s="79"/>
      <c r="E218" s="79"/>
      <c r="O218" s="79"/>
      <c r="S218" s="79"/>
      <c r="T218" s="79"/>
      <c r="Y218" s="79"/>
      <c r="AE218" s="130"/>
      <c r="AG218" s="106"/>
    </row>
    <row r="219">
      <c r="C219" s="79"/>
      <c r="D219" s="79"/>
      <c r="E219" s="79"/>
      <c r="O219" s="79"/>
      <c r="S219" s="79"/>
      <c r="T219" s="79"/>
      <c r="Y219" s="79"/>
      <c r="AE219" s="130"/>
      <c r="AG219" s="106"/>
    </row>
    <row r="220">
      <c r="C220" s="79"/>
      <c r="D220" s="79"/>
      <c r="E220" s="79"/>
      <c r="O220" s="79"/>
      <c r="S220" s="79"/>
      <c r="T220" s="79"/>
      <c r="Y220" s="79"/>
      <c r="AE220" s="130"/>
      <c r="AG220" s="106"/>
    </row>
    <row r="221">
      <c r="C221" s="79"/>
      <c r="D221" s="79"/>
      <c r="E221" s="79"/>
      <c r="O221" s="79"/>
      <c r="S221" s="79"/>
      <c r="T221" s="79"/>
      <c r="Y221" s="79"/>
      <c r="AE221" s="130"/>
      <c r="AG221" s="106"/>
    </row>
    <row r="222">
      <c r="C222" s="79"/>
      <c r="D222" s="79"/>
      <c r="E222" s="79"/>
      <c r="O222" s="79"/>
      <c r="S222" s="79"/>
      <c r="T222" s="79"/>
      <c r="Y222" s="79"/>
      <c r="AE222" s="130"/>
      <c r="AG222" s="106"/>
    </row>
    <row r="223">
      <c r="C223" s="79"/>
      <c r="D223" s="79"/>
      <c r="E223" s="79"/>
      <c r="O223" s="79"/>
      <c r="S223" s="79"/>
      <c r="T223" s="79"/>
      <c r="Y223" s="79"/>
      <c r="AE223" s="130"/>
      <c r="AG223" s="106"/>
    </row>
    <row r="224">
      <c r="C224" s="79"/>
      <c r="D224" s="79"/>
      <c r="E224" s="79"/>
      <c r="O224" s="79"/>
      <c r="S224" s="79"/>
      <c r="T224" s="79"/>
      <c r="Y224" s="79"/>
      <c r="AE224" s="130"/>
      <c r="AG224" s="106"/>
    </row>
    <row r="225">
      <c r="C225" s="79"/>
      <c r="D225" s="79"/>
      <c r="E225" s="79"/>
      <c r="O225" s="79"/>
      <c r="S225" s="79"/>
      <c r="T225" s="79"/>
      <c r="Y225" s="79"/>
      <c r="AE225" s="130"/>
      <c r="AG225" s="106"/>
    </row>
    <row r="226">
      <c r="C226" s="79"/>
      <c r="D226" s="79"/>
      <c r="E226" s="79"/>
      <c r="O226" s="79"/>
      <c r="S226" s="79"/>
      <c r="T226" s="79"/>
      <c r="Y226" s="79"/>
      <c r="AE226" s="130"/>
      <c r="AG226" s="106"/>
    </row>
    <row r="227">
      <c r="C227" s="79"/>
      <c r="D227" s="79"/>
      <c r="E227" s="79"/>
      <c r="O227" s="79"/>
      <c r="S227" s="79"/>
      <c r="T227" s="79"/>
      <c r="Y227" s="79"/>
      <c r="AE227" s="130"/>
      <c r="AG227" s="106"/>
    </row>
    <row r="228">
      <c r="C228" s="79"/>
      <c r="D228" s="79"/>
      <c r="E228" s="79"/>
      <c r="O228" s="79"/>
      <c r="S228" s="79"/>
      <c r="T228" s="79"/>
      <c r="Y228" s="79"/>
      <c r="AE228" s="130"/>
      <c r="AG228" s="106"/>
    </row>
    <row r="229">
      <c r="C229" s="79"/>
      <c r="D229" s="79"/>
      <c r="E229" s="79"/>
      <c r="O229" s="79"/>
      <c r="S229" s="79"/>
      <c r="T229" s="79"/>
      <c r="Y229" s="79"/>
      <c r="AE229" s="130"/>
      <c r="AG229" s="106"/>
    </row>
    <row r="230">
      <c r="C230" s="79"/>
      <c r="D230" s="79"/>
      <c r="E230" s="79"/>
      <c r="O230" s="79"/>
      <c r="S230" s="79"/>
      <c r="T230" s="79"/>
      <c r="Y230" s="79"/>
      <c r="AE230" s="130"/>
      <c r="AG230" s="106"/>
    </row>
    <row r="231">
      <c r="C231" s="79"/>
      <c r="D231" s="79"/>
      <c r="E231" s="79"/>
      <c r="O231" s="79"/>
      <c r="S231" s="79"/>
      <c r="T231" s="79"/>
      <c r="Y231" s="79"/>
      <c r="AE231" s="130"/>
      <c r="AG231" s="106"/>
    </row>
    <row r="232">
      <c r="C232" s="79"/>
      <c r="D232" s="79"/>
      <c r="E232" s="79"/>
      <c r="O232" s="79"/>
      <c r="S232" s="79"/>
      <c r="T232" s="79"/>
      <c r="Y232" s="79"/>
      <c r="AE232" s="130"/>
      <c r="AG232" s="106"/>
    </row>
    <row r="233">
      <c r="C233" s="79"/>
      <c r="D233" s="79"/>
      <c r="E233" s="79"/>
      <c r="O233" s="79"/>
      <c r="S233" s="79"/>
      <c r="T233" s="79"/>
      <c r="Y233" s="79"/>
      <c r="AE233" s="130"/>
      <c r="AG233" s="106"/>
    </row>
    <row r="234">
      <c r="C234" s="79"/>
      <c r="D234" s="79"/>
      <c r="E234" s="79"/>
      <c r="O234" s="79"/>
      <c r="S234" s="79"/>
      <c r="T234" s="79"/>
      <c r="Y234" s="79"/>
      <c r="AE234" s="130"/>
      <c r="AG234" s="106"/>
    </row>
    <row r="235">
      <c r="C235" s="79"/>
      <c r="D235" s="79"/>
      <c r="E235" s="79"/>
      <c r="O235" s="79"/>
      <c r="S235" s="79"/>
      <c r="T235" s="79"/>
      <c r="Y235" s="79"/>
      <c r="AE235" s="130"/>
      <c r="AG235" s="106"/>
    </row>
    <row r="236">
      <c r="C236" s="79"/>
      <c r="D236" s="79"/>
      <c r="E236" s="79"/>
      <c r="O236" s="79"/>
      <c r="S236" s="79"/>
      <c r="T236" s="79"/>
      <c r="Y236" s="79"/>
      <c r="AE236" s="130"/>
      <c r="AG236" s="106"/>
    </row>
    <row r="237">
      <c r="C237" s="79"/>
      <c r="D237" s="79"/>
      <c r="E237" s="79"/>
      <c r="O237" s="79"/>
      <c r="S237" s="79"/>
      <c r="T237" s="79"/>
      <c r="Y237" s="79"/>
      <c r="AE237" s="130"/>
      <c r="AG237" s="106"/>
    </row>
    <row r="238">
      <c r="C238" s="79"/>
      <c r="D238" s="79"/>
      <c r="E238" s="79"/>
      <c r="O238" s="79"/>
      <c r="S238" s="79"/>
      <c r="T238" s="79"/>
      <c r="Y238" s="79"/>
      <c r="AE238" s="130"/>
      <c r="AG238" s="106"/>
    </row>
    <row r="239">
      <c r="C239" s="79"/>
      <c r="D239" s="79"/>
      <c r="E239" s="79"/>
      <c r="O239" s="79"/>
      <c r="S239" s="79"/>
      <c r="T239" s="79"/>
      <c r="Y239" s="79"/>
      <c r="AE239" s="130"/>
      <c r="AG239" s="106"/>
    </row>
    <row r="240">
      <c r="C240" s="79"/>
      <c r="D240" s="79"/>
      <c r="E240" s="79"/>
      <c r="O240" s="79"/>
      <c r="S240" s="79"/>
      <c r="T240" s="79"/>
      <c r="Y240" s="79"/>
      <c r="AE240" s="130"/>
      <c r="AG240" s="106"/>
    </row>
    <row r="241">
      <c r="C241" s="79"/>
      <c r="D241" s="79"/>
      <c r="E241" s="79"/>
      <c r="O241" s="79"/>
      <c r="S241" s="79"/>
      <c r="T241" s="79"/>
      <c r="Y241" s="79"/>
      <c r="AE241" s="130"/>
      <c r="AG241" s="106"/>
    </row>
    <row r="242">
      <c r="C242" s="79"/>
      <c r="D242" s="79"/>
      <c r="E242" s="79"/>
      <c r="O242" s="79"/>
      <c r="S242" s="79"/>
      <c r="T242" s="79"/>
      <c r="Y242" s="79"/>
      <c r="AE242" s="130"/>
      <c r="AG242" s="106"/>
    </row>
    <row r="243">
      <c r="C243" s="79"/>
      <c r="D243" s="79"/>
      <c r="E243" s="79"/>
      <c r="O243" s="79"/>
      <c r="S243" s="79"/>
      <c r="T243" s="79"/>
      <c r="Y243" s="79"/>
      <c r="AE243" s="130"/>
      <c r="AG243" s="106"/>
    </row>
    <row r="244">
      <c r="C244" s="79"/>
      <c r="D244" s="79"/>
      <c r="E244" s="79"/>
      <c r="O244" s="79"/>
      <c r="S244" s="79"/>
      <c r="T244" s="79"/>
      <c r="Y244" s="79"/>
      <c r="AE244" s="130"/>
      <c r="AG244" s="106"/>
    </row>
    <row r="245">
      <c r="C245" s="79"/>
      <c r="D245" s="79"/>
      <c r="E245" s="79"/>
      <c r="O245" s="79"/>
      <c r="S245" s="79"/>
      <c r="T245" s="79"/>
      <c r="Y245" s="79"/>
      <c r="AE245" s="130"/>
      <c r="AG245" s="106"/>
    </row>
    <row r="246">
      <c r="C246" s="79"/>
      <c r="D246" s="79"/>
      <c r="E246" s="79"/>
      <c r="O246" s="79"/>
      <c r="S246" s="79"/>
      <c r="T246" s="79"/>
      <c r="Y246" s="79"/>
      <c r="AE246" s="130"/>
      <c r="AG246" s="106"/>
    </row>
    <row r="247">
      <c r="C247" s="79"/>
      <c r="D247" s="79"/>
      <c r="E247" s="79"/>
      <c r="O247" s="79"/>
      <c r="S247" s="79"/>
      <c r="T247" s="79"/>
      <c r="Y247" s="79"/>
      <c r="AE247" s="130"/>
      <c r="AG247" s="106"/>
    </row>
    <row r="248">
      <c r="C248" s="79"/>
      <c r="D248" s="79"/>
      <c r="E248" s="79"/>
      <c r="O248" s="79"/>
      <c r="S248" s="79"/>
      <c r="T248" s="79"/>
      <c r="Y248" s="79"/>
      <c r="AE248" s="130"/>
      <c r="AG248" s="106"/>
    </row>
    <row r="249">
      <c r="C249" s="79"/>
      <c r="D249" s="79"/>
      <c r="E249" s="79"/>
      <c r="O249" s="79"/>
      <c r="S249" s="79"/>
      <c r="T249" s="79"/>
      <c r="Y249" s="79"/>
      <c r="AE249" s="130"/>
      <c r="AG249" s="106"/>
    </row>
    <row r="250">
      <c r="C250" s="79"/>
      <c r="D250" s="79"/>
      <c r="E250" s="79"/>
      <c r="O250" s="79"/>
      <c r="S250" s="79"/>
      <c r="T250" s="79"/>
      <c r="Y250" s="79"/>
      <c r="AE250" s="130"/>
      <c r="AG250" s="106"/>
    </row>
    <row r="251">
      <c r="C251" s="79"/>
      <c r="D251" s="79"/>
      <c r="E251" s="79"/>
      <c r="O251" s="79"/>
      <c r="S251" s="79"/>
      <c r="T251" s="79"/>
      <c r="Y251" s="79"/>
      <c r="AE251" s="130"/>
      <c r="AG251" s="106"/>
    </row>
    <row r="252">
      <c r="C252" s="79"/>
      <c r="D252" s="79"/>
      <c r="E252" s="79"/>
      <c r="O252" s="79"/>
      <c r="S252" s="79"/>
      <c r="T252" s="79"/>
      <c r="Y252" s="79"/>
      <c r="AE252" s="130"/>
      <c r="AG252" s="106"/>
    </row>
    <row r="253">
      <c r="C253" s="79"/>
      <c r="D253" s="79"/>
      <c r="E253" s="79"/>
      <c r="O253" s="79"/>
      <c r="S253" s="79"/>
      <c r="T253" s="79"/>
      <c r="Y253" s="79"/>
      <c r="AE253" s="130"/>
      <c r="AG253" s="106"/>
    </row>
    <row r="254">
      <c r="C254" s="79"/>
      <c r="D254" s="79"/>
      <c r="E254" s="79"/>
      <c r="O254" s="79"/>
      <c r="S254" s="79"/>
      <c r="T254" s="79"/>
      <c r="Y254" s="79"/>
      <c r="AE254" s="130"/>
      <c r="AG254" s="106"/>
    </row>
    <row r="255">
      <c r="C255" s="79"/>
      <c r="D255" s="79"/>
      <c r="E255" s="79"/>
      <c r="O255" s="79"/>
      <c r="S255" s="79"/>
      <c r="T255" s="79"/>
      <c r="Y255" s="79"/>
      <c r="AE255" s="130"/>
      <c r="AG255" s="106"/>
    </row>
    <row r="256">
      <c r="C256" s="79"/>
      <c r="D256" s="79"/>
      <c r="E256" s="79"/>
      <c r="O256" s="79"/>
      <c r="S256" s="79"/>
      <c r="T256" s="79"/>
      <c r="Y256" s="79"/>
      <c r="AE256" s="130"/>
      <c r="AG256" s="106"/>
    </row>
    <row r="257">
      <c r="C257" s="79"/>
      <c r="D257" s="79"/>
      <c r="E257" s="79"/>
      <c r="O257" s="79"/>
      <c r="S257" s="79"/>
      <c r="T257" s="79"/>
      <c r="Y257" s="79"/>
      <c r="AE257" s="130"/>
      <c r="AG257" s="106"/>
    </row>
    <row r="258">
      <c r="C258" s="79"/>
      <c r="D258" s="79"/>
      <c r="E258" s="79"/>
      <c r="O258" s="79"/>
      <c r="S258" s="79"/>
      <c r="T258" s="79"/>
      <c r="Y258" s="79"/>
      <c r="AE258" s="130"/>
      <c r="AG258" s="106"/>
    </row>
    <row r="259">
      <c r="C259" s="79"/>
      <c r="D259" s="79"/>
      <c r="E259" s="79"/>
      <c r="O259" s="79"/>
      <c r="S259" s="79"/>
      <c r="T259" s="79"/>
      <c r="Y259" s="79"/>
      <c r="AE259" s="130"/>
      <c r="AG259" s="106"/>
    </row>
    <row r="260">
      <c r="C260" s="79"/>
      <c r="D260" s="79"/>
      <c r="E260" s="79"/>
      <c r="O260" s="79"/>
      <c r="S260" s="79"/>
      <c r="T260" s="79"/>
      <c r="Y260" s="79"/>
      <c r="AE260" s="130"/>
      <c r="AG260" s="106"/>
    </row>
    <row r="261">
      <c r="C261" s="79"/>
      <c r="D261" s="79"/>
      <c r="E261" s="79"/>
      <c r="O261" s="79"/>
      <c r="S261" s="79"/>
      <c r="T261" s="79"/>
      <c r="Y261" s="79"/>
      <c r="AE261" s="130"/>
      <c r="AG261" s="106"/>
    </row>
    <row r="262">
      <c r="C262" s="79"/>
      <c r="D262" s="79"/>
      <c r="E262" s="79"/>
      <c r="O262" s="79"/>
      <c r="S262" s="79"/>
      <c r="T262" s="79"/>
      <c r="Y262" s="79"/>
      <c r="AE262" s="130"/>
      <c r="AG262" s="106"/>
    </row>
    <row r="263">
      <c r="C263" s="79"/>
      <c r="D263" s="79"/>
      <c r="E263" s="79"/>
      <c r="O263" s="79"/>
      <c r="S263" s="79"/>
      <c r="T263" s="79"/>
      <c r="Y263" s="79"/>
      <c r="AE263" s="130"/>
      <c r="AG263" s="106"/>
    </row>
    <row r="264">
      <c r="C264" s="79"/>
      <c r="D264" s="79"/>
      <c r="E264" s="79"/>
      <c r="O264" s="79"/>
      <c r="S264" s="79"/>
      <c r="T264" s="79"/>
      <c r="Y264" s="79"/>
      <c r="AE264" s="130"/>
      <c r="AG264" s="106"/>
    </row>
    <row r="265">
      <c r="C265" s="79"/>
      <c r="D265" s="79"/>
      <c r="E265" s="79"/>
      <c r="O265" s="79"/>
      <c r="S265" s="79"/>
      <c r="T265" s="79"/>
      <c r="Y265" s="79"/>
      <c r="AE265" s="130"/>
      <c r="AG265" s="106"/>
    </row>
    <row r="266">
      <c r="C266" s="79"/>
      <c r="D266" s="79"/>
      <c r="E266" s="79"/>
      <c r="O266" s="79"/>
      <c r="S266" s="79"/>
      <c r="T266" s="79"/>
      <c r="Y266" s="79"/>
      <c r="AE266" s="130"/>
      <c r="AG266" s="106"/>
    </row>
    <row r="267">
      <c r="C267" s="79"/>
      <c r="D267" s="79"/>
      <c r="E267" s="79"/>
      <c r="O267" s="79"/>
      <c r="S267" s="79"/>
      <c r="T267" s="79"/>
      <c r="Y267" s="79"/>
      <c r="AE267" s="130"/>
      <c r="AG267" s="106"/>
    </row>
    <row r="268">
      <c r="C268" s="79"/>
      <c r="D268" s="79"/>
      <c r="E268" s="79"/>
      <c r="O268" s="79"/>
      <c r="S268" s="79"/>
      <c r="T268" s="79"/>
      <c r="Y268" s="79"/>
      <c r="AE268" s="130"/>
      <c r="AG268" s="106"/>
    </row>
    <row r="269">
      <c r="C269" s="79"/>
      <c r="D269" s="79"/>
      <c r="E269" s="79"/>
      <c r="O269" s="79"/>
      <c r="S269" s="79"/>
      <c r="T269" s="79"/>
      <c r="Y269" s="79"/>
      <c r="AE269" s="130"/>
      <c r="AG269" s="106"/>
    </row>
    <row r="270">
      <c r="C270" s="79"/>
      <c r="D270" s="79"/>
      <c r="E270" s="79"/>
      <c r="O270" s="79"/>
      <c r="S270" s="79"/>
      <c r="T270" s="79"/>
      <c r="Y270" s="79"/>
      <c r="AE270" s="130"/>
      <c r="AG270" s="106"/>
    </row>
    <row r="271">
      <c r="C271" s="79"/>
      <c r="D271" s="79"/>
      <c r="E271" s="79"/>
      <c r="O271" s="79"/>
      <c r="S271" s="79"/>
      <c r="T271" s="79"/>
      <c r="Y271" s="79"/>
      <c r="AE271" s="130"/>
      <c r="AG271" s="106"/>
    </row>
    <row r="272">
      <c r="C272" s="79"/>
      <c r="D272" s="79"/>
      <c r="E272" s="79"/>
      <c r="O272" s="79"/>
      <c r="S272" s="79"/>
      <c r="T272" s="79"/>
      <c r="Y272" s="79"/>
      <c r="AE272" s="130"/>
      <c r="AG272" s="106"/>
    </row>
    <row r="273">
      <c r="C273" s="79"/>
      <c r="D273" s="79"/>
      <c r="E273" s="79"/>
      <c r="O273" s="79"/>
      <c r="S273" s="79"/>
      <c r="T273" s="79"/>
      <c r="Y273" s="79"/>
      <c r="AE273" s="130"/>
      <c r="AG273" s="106"/>
    </row>
    <row r="274">
      <c r="C274" s="79"/>
      <c r="D274" s="79"/>
      <c r="E274" s="79"/>
      <c r="O274" s="79"/>
      <c r="S274" s="79"/>
      <c r="T274" s="79"/>
      <c r="Y274" s="79"/>
      <c r="AE274" s="130"/>
      <c r="AG274" s="106"/>
    </row>
    <row r="275">
      <c r="C275" s="79"/>
      <c r="D275" s="79"/>
      <c r="E275" s="79"/>
      <c r="O275" s="79"/>
      <c r="S275" s="79"/>
      <c r="T275" s="79"/>
      <c r="Y275" s="79"/>
      <c r="AE275" s="130"/>
      <c r="AG275" s="106"/>
    </row>
    <row r="276">
      <c r="C276" s="79"/>
      <c r="D276" s="79"/>
      <c r="E276" s="79"/>
      <c r="O276" s="79"/>
      <c r="S276" s="79"/>
      <c r="T276" s="79"/>
      <c r="Y276" s="79"/>
      <c r="AE276" s="130"/>
      <c r="AG276" s="106"/>
    </row>
    <row r="277">
      <c r="C277" s="79"/>
      <c r="D277" s="79"/>
      <c r="E277" s="79"/>
      <c r="O277" s="79"/>
      <c r="S277" s="79"/>
      <c r="T277" s="79"/>
      <c r="Y277" s="79"/>
      <c r="AE277" s="130"/>
      <c r="AG277" s="106"/>
    </row>
    <row r="278">
      <c r="C278" s="79"/>
      <c r="D278" s="79"/>
      <c r="E278" s="79"/>
      <c r="O278" s="79"/>
      <c r="S278" s="79"/>
      <c r="T278" s="79"/>
      <c r="Y278" s="79"/>
      <c r="AE278" s="130"/>
      <c r="AG278" s="106"/>
    </row>
    <row r="279">
      <c r="C279" s="79"/>
      <c r="D279" s="79"/>
      <c r="E279" s="79"/>
      <c r="O279" s="79"/>
      <c r="S279" s="79"/>
      <c r="T279" s="79"/>
      <c r="Y279" s="79"/>
      <c r="AE279" s="130"/>
      <c r="AG279" s="106"/>
    </row>
    <row r="280">
      <c r="C280" s="79"/>
      <c r="D280" s="79"/>
      <c r="E280" s="79"/>
      <c r="O280" s="79"/>
      <c r="S280" s="79"/>
      <c r="T280" s="79"/>
      <c r="Y280" s="79"/>
      <c r="AE280" s="130"/>
      <c r="AG280" s="106"/>
    </row>
    <row r="281">
      <c r="C281" s="79"/>
      <c r="D281" s="79"/>
      <c r="E281" s="79"/>
      <c r="O281" s="79"/>
      <c r="S281" s="79"/>
      <c r="T281" s="79"/>
      <c r="Y281" s="79"/>
      <c r="AE281" s="130"/>
      <c r="AG281" s="106"/>
    </row>
    <row r="282">
      <c r="C282" s="79"/>
      <c r="D282" s="79"/>
      <c r="E282" s="79"/>
      <c r="O282" s="79"/>
      <c r="S282" s="79"/>
      <c r="T282" s="79"/>
      <c r="Y282" s="79"/>
      <c r="AE282" s="130"/>
      <c r="AG282" s="106"/>
    </row>
    <row r="283">
      <c r="C283" s="79"/>
      <c r="D283" s="79"/>
      <c r="E283" s="79"/>
      <c r="O283" s="79"/>
      <c r="S283" s="79"/>
      <c r="T283" s="79"/>
      <c r="Y283" s="79"/>
      <c r="AE283" s="130"/>
      <c r="AG283" s="106"/>
    </row>
    <row r="284">
      <c r="C284" s="79"/>
      <c r="D284" s="79"/>
      <c r="E284" s="79"/>
      <c r="O284" s="79"/>
      <c r="S284" s="79"/>
      <c r="T284" s="79"/>
      <c r="Y284" s="79"/>
      <c r="AE284" s="130"/>
      <c r="AG284" s="106"/>
    </row>
    <row r="285">
      <c r="C285" s="79"/>
      <c r="D285" s="79"/>
      <c r="E285" s="79"/>
      <c r="O285" s="79"/>
      <c r="S285" s="79"/>
      <c r="T285" s="79"/>
      <c r="Y285" s="79"/>
      <c r="AE285" s="130"/>
      <c r="AG285" s="106"/>
    </row>
    <row r="286">
      <c r="C286" s="79"/>
      <c r="D286" s="79"/>
      <c r="E286" s="79"/>
      <c r="O286" s="79"/>
      <c r="S286" s="79"/>
      <c r="T286" s="79"/>
      <c r="Y286" s="79"/>
      <c r="AE286" s="130"/>
      <c r="AG286" s="106"/>
    </row>
    <row r="287">
      <c r="C287" s="79"/>
      <c r="D287" s="79"/>
      <c r="E287" s="79"/>
      <c r="O287" s="79"/>
      <c r="S287" s="79"/>
      <c r="T287" s="79"/>
      <c r="Y287" s="79"/>
      <c r="AE287" s="130"/>
      <c r="AG287" s="106"/>
    </row>
    <row r="288">
      <c r="C288" s="79"/>
      <c r="D288" s="79"/>
      <c r="E288" s="79"/>
      <c r="O288" s="79"/>
      <c r="S288" s="79"/>
      <c r="T288" s="79"/>
      <c r="Y288" s="79"/>
      <c r="AE288" s="130"/>
      <c r="AG288" s="106"/>
    </row>
    <row r="289">
      <c r="C289" s="79"/>
      <c r="D289" s="79"/>
      <c r="E289" s="79"/>
      <c r="O289" s="79"/>
      <c r="S289" s="79"/>
      <c r="T289" s="79"/>
      <c r="Y289" s="79"/>
      <c r="AE289" s="130"/>
      <c r="AG289" s="106"/>
    </row>
    <row r="290">
      <c r="C290" s="79"/>
      <c r="D290" s="79"/>
      <c r="E290" s="79"/>
      <c r="O290" s="79"/>
      <c r="S290" s="79"/>
      <c r="T290" s="79"/>
      <c r="Y290" s="79"/>
      <c r="AE290" s="130"/>
      <c r="AG290" s="106"/>
    </row>
    <row r="291">
      <c r="C291" s="79"/>
      <c r="D291" s="79"/>
      <c r="E291" s="79"/>
      <c r="O291" s="79"/>
      <c r="S291" s="79"/>
      <c r="T291" s="79"/>
      <c r="Y291" s="79"/>
      <c r="AE291" s="130"/>
      <c r="AG291" s="106"/>
    </row>
    <row r="292">
      <c r="C292" s="79"/>
      <c r="D292" s="79"/>
      <c r="E292" s="79"/>
      <c r="O292" s="79"/>
      <c r="S292" s="79"/>
      <c r="T292" s="79"/>
      <c r="Y292" s="79"/>
      <c r="AE292" s="130"/>
      <c r="AG292" s="106"/>
    </row>
    <row r="293">
      <c r="C293" s="79"/>
      <c r="D293" s="79"/>
      <c r="E293" s="79"/>
      <c r="O293" s="79"/>
      <c r="S293" s="79"/>
      <c r="T293" s="79"/>
      <c r="Y293" s="79"/>
      <c r="AE293" s="130"/>
      <c r="AG293" s="106"/>
    </row>
    <row r="294">
      <c r="C294" s="79"/>
      <c r="D294" s="79"/>
      <c r="E294" s="79"/>
      <c r="O294" s="79"/>
      <c r="S294" s="79"/>
      <c r="T294" s="79"/>
      <c r="Y294" s="79"/>
      <c r="AE294" s="130"/>
      <c r="AG294" s="106"/>
    </row>
    <row r="295">
      <c r="C295" s="79"/>
      <c r="D295" s="79"/>
      <c r="E295" s="79"/>
      <c r="O295" s="79"/>
      <c r="S295" s="79"/>
      <c r="T295" s="79"/>
      <c r="Y295" s="79"/>
      <c r="AE295" s="130"/>
      <c r="AG295" s="106"/>
    </row>
    <row r="296">
      <c r="C296" s="79"/>
      <c r="D296" s="79"/>
      <c r="E296" s="79"/>
      <c r="O296" s="79"/>
      <c r="S296" s="79"/>
      <c r="T296" s="79"/>
      <c r="Y296" s="79"/>
      <c r="AE296" s="130"/>
      <c r="AG296" s="106"/>
    </row>
    <row r="297">
      <c r="C297" s="79"/>
      <c r="D297" s="79"/>
      <c r="E297" s="79"/>
      <c r="O297" s="79"/>
      <c r="S297" s="79"/>
      <c r="T297" s="79"/>
      <c r="Y297" s="79"/>
      <c r="AE297" s="130"/>
      <c r="AG297" s="106"/>
    </row>
    <row r="298">
      <c r="C298" s="79"/>
      <c r="D298" s="79"/>
      <c r="E298" s="79"/>
      <c r="O298" s="79"/>
      <c r="S298" s="79"/>
      <c r="T298" s="79"/>
      <c r="Y298" s="79"/>
      <c r="AE298" s="130"/>
      <c r="AG298" s="106"/>
    </row>
    <row r="299">
      <c r="C299" s="79"/>
      <c r="D299" s="79"/>
      <c r="E299" s="79"/>
      <c r="O299" s="79"/>
      <c r="S299" s="79"/>
      <c r="T299" s="79"/>
      <c r="Y299" s="79"/>
      <c r="AE299" s="130"/>
      <c r="AG299" s="106"/>
    </row>
    <row r="300">
      <c r="C300" s="79"/>
      <c r="D300" s="79"/>
      <c r="E300" s="79"/>
      <c r="O300" s="79"/>
      <c r="S300" s="79"/>
      <c r="T300" s="79"/>
      <c r="Y300" s="79"/>
      <c r="AE300" s="130"/>
      <c r="AG300" s="106"/>
    </row>
    <row r="301">
      <c r="C301" s="79"/>
      <c r="D301" s="79"/>
      <c r="E301" s="79"/>
      <c r="O301" s="79"/>
      <c r="S301" s="79"/>
      <c r="T301" s="79"/>
      <c r="Y301" s="79"/>
      <c r="AE301" s="130"/>
      <c r="AG301" s="106"/>
    </row>
    <row r="302">
      <c r="C302" s="79"/>
      <c r="D302" s="79"/>
      <c r="E302" s="79"/>
      <c r="O302" s="79"/>
      <c r="S302" s="79"/>
      <c r="T302" s="79"/>
      <c r="Y302" s="79"/>
      <c r="AE302" s="130"/>
      <c r="AG302" s="106"/>
    </row>
    <row r="303">
      <c r="C303" s="79"/>
      <c r="D303" s="79"/>
      <c r="E303" s="79"/>
      <c r="O303" s="79"/>
      <c r="S303" s="79"/>
      <c r="T303" s="79"/>
      <c r="Y303" s="79"/>
      <c r="AE303" s="130"/>
      <c r="AG303" s="106"/>
    </row>
    <row r="304">
      <c r="C304" s="79"/>
      <c r="D304" s="79"/>
      <c r="E304" s="79"/>
      <c r="O304" s="79"/>
      <c r="S304" s="79"/>
      <c r="T304" s="79"/>
      <c r="Y304" s="79"/>
      <c r="AE304" s="130"/>
      <c r="AG304" s="106"/>
    </row>
    <row r="305">
      <c r="C305" s="79"/>
      <c r="D305" s="79"/>
      <c r="E305" s="79"/>
      <c r="O305" s="79"/>
      <c r="S305" s="79"/>
      <c r="T305" s="79"/>
      <c r="Y305" s="79"/>
      <c r="AE305" s="130"/>
      <c r="AG305" s="106"/>
    </row>
    <row r="306">
      <c r="C306" s="79"/>
      <c r="D306" s="79"/>
      <c r="E306" s="79"/>
      <c r="O306" s="79"/>
      <c r="S306" s="79"/>
      <c r="T306" s="79"/>
      <c r="Y306" s="79"/>
      <c r="AE306" s="130"/>
      <c r="AG306" s="106"/>
    </row>
    <row r="307">
      <c r="C307" s="79"/>
      <c r="D307" s="79"/>
      <c r="E307" s="79"/>
      <c r="O307" s="79"/>
      <c r="S307" s="79"/>
      <c r="T307" s="79"/>
      <c r="Y307" s="79"/>
      <c r="AE307" s="130"/>
      <c r="AG307" s="106"/>
    </row>
    <row r="308">
      <c r="C308" s="79"/>
      <c r="D308" s="79"/>
      <c r="E308" s="79"/>
      <c r="O308" s="79"/>
      <c r="S308" s="79"/>
      <c r="T308" s="79"/>
      <c r="Y308" s="79"/>
      <c r="AE308" s="130"/>
      <c r="AG308" s="106"/>
    </row>
    <row r="309">
      <c r="C309" s="79"/>
      <c r="D309" s="79"/>
      <c r="E309" s="79"/>
      <c r="O309" s="79"/>
      <c r="S309" s="79"/>
      <c r="T309" s="79"/>
      <c r="Y309" s="79"/>
      <c r="AE309" s="130"/>
      <c r="AG309" s="106"/>
    </row>
    <row r="310">
      <c r="C310" s="79"/>
      <c r="D310" s="79"/>
      <c r="E310" s="79"/>
      <c r="O310" s="79"/>
      <c r="S310" s="79"/>
      <c r="T310" s="79"/>
      <c r="Y310" s="79"/>
      <c r="AE310" s="130"/>
      <c r="AG310" s="106"/>
    </row>
    <row r="311">
      <c r="C311" s="79"/>
      <c r="D311" s="79"/>
      <c r="E311" s="79"/>
      <c r="O311" s="79"/>
      <c r="S311" s="79"/>
      <c r="T311" s="79"/>
      <c r="Y311" s="79"/>
      <c r="AE311" s="130"/>
      <c r="AG311" s="106"/>
    </row>
    <row r="312">
      <c r="C312" s="79"/>
      <c r="D312" s="79"/>
      <c r="E312" s="79"/>
      <c r="O312" s="79"/>
      <c r="S312" s="79"/>
      <c r="T312" s="79"/>
      <c r="Y312" s="79"/>
      <c r="AE312" s="130"/>
      <c r="AG312" s="106"/>
    </row>
    <row r="313">
      <c r="C313" s="79"/>
      <c r="D313" s="79"/>
      <c r="E313" s="79"/>
      <c r="O313" s="79"/>
      <c r="S313" s="79"/>
      <c r="T313" s="79"/>
      <c r="Y313" s="79"/>
      <c r="AE313" s="130"/>
      <c r="AG313" s="106"/>
    </row>
    <row r="314">
      <c r="C314" s="79"/>
      <c r="D314" s="79"/>
      <c r="E314" s="79"/>
      <c r="O314" s="79"/>
      <c r="S314" s="79"/>
      <c r="T314" s="79"/>
      <c r="Y314" s="79"/>
      <c r="AE314" s="130"/>
      <c r="AG314" s="106"/>
    </row>
    <row r="315">
      <c r="C315" s="79"/>
      <c r="D315" s="79"/>
      <c r="E315" s="79"/>
      <c r="O315" s="79"/>
      <c r="S315" s="79"/>
      <c r="T315" s="79"/>
      <c r="Y315" s="79"/>
      <c r="AE315" s="130"/>
      <c r="AG315" s="106"/>
    </row>
    <row r="316">
      <c r="C316" s="79"/>
      <c r="D316" s="79"/>
      <c r="E316" s="79"/>
      <c r="O316" s="79"/>
      <c r="S316" s="79"/>
      <c r="T316" s="79"/>
      <c r="Y316" s="79"/>
      <c r="AE316" s="130"/>
      <c r="AG316" s="106"/>
    </row>
    <row r="317">
      <c r="C317" s="79"/>
      <c r="D317" s="79"/>
      <c r="E317" s="79"/>
      <c r="O317" s="79"/>
      <c r="S317" s="79"/>
      <c r="T317" s="79"/>
      <c r="Y317" s="79"/>
      <c r="AE317" s="130"/>
      <c r="AG317" s="106"/>
    </row>
    <row r="318">
      <c r="C318" s="79"/>
      <c r="D318" s="79"/>
      <c r="E318" s="79"/>
      <c r="O318" s="79"/>
      <c r="S318" s="79"/>
      <c r="T318" s="79"/>
      <c r="Y318" s="79"/>
      <c r="AE318" s="130"/>
      <c r="AG318" s="106"/>
    </row>
    <row r="319">
      <c r="C319" s="79"/>
      <c r="D319" s="79"/>
      <c r="E319" s="79"/>
      <c r="O319" s="79"/>
      <c r="S319" s="79"/>
      <c r="T319" s="79"/>
      <c r="Y319" s="79"/>
      <c r="AE319" s="130"/>
      <c r="AG319" s="106"/>
    </row>
    <row r="320">
      <c r="C320" s="79"/>
      <c r="D320" s="79"/>
      <c r="E320" s="79"/>
      <c r="O320" s="79"/>
      <c r="S320" s="79"/>
      <c r="T320" s="79"/>
      <c r="Y320" s="79"/>
      <c r="AE320" s="130"/>
      <c r="AG320" s="106"/>
    </row>
    <row r="321">
      <c r="C321" s="79"/>
      <c r="D321" s="79"/>
      <c r="E321" s="79"/>
      <c r="O321" s="79"/>
      <c r="S321" s="79"/>
      <c r="T321" s="79"/>
      <c r="Y321" s="79"/>
      <c r="AE321" s="130"/>
      <c r="AG321" s="106"/>
    </row>
    <row r="322">
      <c r="C322" s="79"/>
      <c r="D322" s="79"/>
      <c r="E322" s="79"/>
      <c r="O322" s="79"/>
      <c r="S322" s="79"/>
      <c r="T322" s="79"/>
      <c r="Y322" s="79"/>
      <c r="AE322" s="130"/>
      <c r="AG322" s="106"/>
    </row>
    <row r="323">
      <c r="C323" s="79"/>
      <c r="D323" s="79"/>
      <c r="E323" s="79"/>
      <c r="O323" s="79"/>
      <c r="S323" s="79"/>
      <c r="T323" s="79"/>
      <c r="Y323" s="79"/>
      <c r="AE323" s="130"/>
      <c r="AG323" s="106"/>
    </row>
    <row r="324">
      <c r="C324" s="79"/>
      <c r="D324" s="79"/>
      <c r="E324" s="79"/>
      <c r="O324" s="79"/>
      <c r="S324" s="79"/>
      <c r="T324" s="79"/>
      <c r="Y324" s="79"/>
      <c r="AE324" s="130"/>
      <c r="AG324" s="106"/>
    </row>
    <row r="325">
      <c r="C325" s="79"/>
      <c r="D325" s="79"/>
      <c r="E325" s="79"/>
      <c r="O325" s="79"/>
      <c r="S325" s="79"/>
      <c r="T325" s="79"/>
      <c r="Y325" s="79"/>
      <c r="AE325" s="130"/>
      <c r="AG325" s="106"/>
    </row>
    <row r="326">
      <c r="C326" s="79"/>
      <c r="D326" s="79"/>
      <c r="E326" s="79"/>
      <c r="O326" s="79"/>
      <c r="S326" s="79"/>
      <c r="T326" s="79"/>
      <c r="Y326" s="79"/>
      <c r="AE326" s="130"/>
      <c r="AG326" s="106"/>
    </row>
    <row r="327">
      <c r="C327" s="79"/>
      <c r="D327" s="79"/>
      <c r="E327" s="79"/>
      <c r="O327" s="79"/>
      <c r="S327" s="79"/>
      <c r="T327" s="79"/>
      <c r="Y327" s="79"/>
      <c r="AE327" s="130"/>
      <c r="AG327" s="106"/>
    </row>
    <row r="328">
      <c r="C328" s="79"/>
      <c r="D328" s="79"/>
      <c r="E328" s="79"/>
      <c r="O328" s="79"/>
      <c r="S328" s="79"/>
      <c r="T328" s="79"/>
      <c r="Y328" s="79"/>
      <c r="AE328" s="130"/>
      <c r="AG328" s="106"/>
    </row>
    <row r="329">
      <c r="C329" s="79"/>
      <c r="D329" s="79"/>
      <c r="E329" s="79"/>
      <c r="O329" s="79"/>
      <c r="S329" s="79"/>
      <c r="T329" s="79"/>
      <c r="Y329" s="79"/>
      <c r="AE329" s="130"/>
      <c r="AG329" s="106"/>
    </row>
    <row r="330">
      <c r="C330" s="79"/>
      <c r="D330" s="79"/>
      <c r="E330" s="79"/>
      <c r="O330" s="79"/>
      <c r="S330" s="79"/>
      <c r="T330" s="79"/>
      <c r="Y330" s="79"/>
      <c r="AE330" s="130"/>
      <c r="AG330" s="106"/>
    </row>
    <row r="331">
      <c r="C331" s="79"/>
      <c r="D331" s="79"/>
      <c r="E331" s="79"/>
      <c r="O331" s="79"/>
      <c r="S331" s="79"/>
      <c r="T331" s="79"/>
      <c r="Y331" s="79"/>
      <c r="AE331" s="130"/>
      <c r="AG331" s="106"/>
    </row>
    <row r="332">
      <c r="C332" s="79"/>
      <c r="D332" s="79"/>
      <c r="E332" s="79"/>
      <c r="O332" s="79"/>
      <c r="S332" s="79"/>
      <c r="T332" s="79"/>
      <c r="Y332" s="79"/>
      <c r="AE332" s="130"/>
      <c r="AG332" s="106"/>
    </row>
    <row r="333">
      <c r="C333" s="79"/>
      <c r="D333" s="79"/>
      <c r="E333" s="79"/>
      <c r="O333" s="79"/>
      <c r="S333" s="79"/>
      <c r="T333" s="79"/>
      <c r="Y333" s="79"/>
      <c r="AE333" s="130"/>
      <c r="AG333" s="106"/>
    </row>
    <row r="334">
      <c r="C334" s="79"/>
      <c r="D334" s="79"/>
      <c r="E334" s="79"/>
      <c r="O334" s="79"/>
      <c r="S334" s="79"/>
      <c r="T334" s="79"/>
      <c r="Y334" s="79"/>
      <c r="AE334" s="130"/>
      <c r="AG334" s="106"/>
    </row>
    <row r="335">
      <c r="C335" s="79"/>
      <c r="D335" s="79"/>
      <c r="E335" s="79"/>
      <c r="O335" s="79"/>
      <c r="S335" s="79"/>
      <c r="T335" s="79"/>
      <c r="Y335" s="79"/>
      <c r="AE335" s="130"/>
      <c r="AG335" s="106"/>
    </row>
    <row r="336">
      <c r="C336" s="79"/>
      <c r="D336" s="79"/>
      <c r="E336" s="79"/>
      <c r="O336" s="79"/>
      <c r="S336" s="79"/>
      <c r="T336" s="79"/>
      <c r="Y336" s="79"/>
      <c r="AE336" s="130"/>
      <c r="AG336" s="106"/>
    </row>
    <row r="337">
      <c r="C337" s="79"/>
      <c r="D337" s="79"/>
      <c r="E337" s="79"/>
      <c r="O337" s="79"/>
      <c r="S337" s="79"/>
      <c r="T337" s="79"/>
      <c r="Y337" s="79"/>
      <c r="AE337" s="130"/>
      <c r="AG337" s="106"/>
    </row>
    <row r="338">
      <c r="C338" s="79"/>
      <c r="D338" s="79"/>
      <c r="E338" s="79"/>
      <c r="O338" s="79"/>
      <c r="S338" s="79"/>
      <c r="T338" s="79"/>
      <c r="Y338" s="79"/>
      <c r="AE338" s="130"/>
      <c r="AG338" s="106"/>
    </row>
    <row r="339">
      <c r="C339" s="79"/>
      <c r="D339" s="79"/>
      <c r="E339" s="79"/>
      <c r="O339" s="79"/>
      <c r="S339" s="79"/>
      <c r="T339" s="79"/>
      <c r="Y339" s="79"/>
      <c r="AE339" s="130"/>
      <c r="AG339" s="106"/>
    </row>
    <row r="340">
      <c r="C340" s="79"/>
      <c r="D340" s="79"/>
      <c r="E340" s="79"/>
      <c r="O340" s="79"/>
      <c r="S340" s="79"/>
      <c r="T340" s="79"/>
      <c r="Y340" s="79"/>
      <c r="AE340" s="130"/>
      <c r="AG340" s="106"/>
    </row>
    <row r="341">
      <c r="C341" s="79"/>
      <c r="D341" s="79"/>
      <c r="E341" s="79"/>
      <c r="O341" s="79"/>
      <c r="S341" s="79"/>
      <c r="T341" s="79"/>
      <c r="Y341" s="79"/>
      <c r="AE341" s="130"/>
      <c r="AG341" s="106"/>
    </row>
    <row r="342">
      <c r="C342" s="79"/>
      <c r="D342" s="79"/>
      <c r="E342" s="79"/>
      <c r="O342" s="79"/>
      <c r="S342" s="79"/>
      <c r="T342" s="79"/>
      <c r="Y342" s="79"/>
      <c r="AE342" s="130"/>
      <c r="AG342" s="106"/>
    </row>
    <row r="343">
      <c r="C343" s="79"/>
      <c r="D343" s="79"/>
      <c r="E343" s="79"/>
      <c r="O343" s="79"/>
      <c r="S343" s="79"/>
      <c r="T343" s="79"/>
      <c r="Y343" s="79"/>
      <c r="AE343" s="130"/>
      <c r="AG343" s="106"/>
    </row>
    <row r="344">
      <c r="C344" s="79"/>
      <c r="D344" s="79"/>
      <c r="E344" s="79"/>
      <c r="O344" s="79"/>
      <c r="S344" s="79"/>
      <c r="T344" s="79"/>
      <c r="Y344" s="79"/>
      <c r="AE344" s="130"/>
      <c r="AG344" s="106"/>
    </row>
    <row r="345">
      <c r="C345" s="79"/>
      <c r="D345" s="79"/>
      <c r="E345" s="79"/>
      <c r="O345" s="79"/>
      <c r="S345" s="79"/>
      <c r="T345" s="79"/>
      <c r="Y345" s="79"/>
      <c r="AE345" s="130"/>
      <c r="AG345" s="106"/>
    </row>
    <row r="346">
      <c r="C346" s="79"/>
      <c r="D346" s="79"/>
      <c r="E346" s="79"/>
      <c r="O346" s="79"/>
      <c r="S346" s="79"/>
      <c r="T346" s="79"/>
      <c r="Y346" s="79"/>
      <c r="AE346" s="130"/>
      <c r="AG346" s="106"/>
    </row>
    <row r="347">
      <c r="C347" s="79"/>
      <c r="D347" s="79"/>
      <c r="E347" s="79"/>
      <c r="O347" s="79"/>
      <c r="S347" s="79"/>
      <c r="T347" s="79"/>
      <c r="Y347" s="79"/>
      <c r="AE347" s="130"/>
      <c r="AG347" s="106"/>
    </row>
    <row r="348">
      <c r="C348" s="79"/>
      <c r="D348" s="79"/>
      <c r="E348" s="79"/>
      <c r="O348" s="79"/>
      <c r="S348" s="79"/>
      <c r="T348" s="79"/>
      <c r="Y348" s="79"/>
      <c r="AE348" s="130"/>
      <c r="AG348" s="106"/>
    </row>
    <row r="349">
      <c r="C349" s="79"/>
      <c r="D349" s="79"/>
      <c r="E349" s="79"/>
      <c r="O349" s="79"/>
      <c r="S349" s="79"/>
      <c r="T349" s="79"/>
      <c r="Y349" s="79"/>
      <c r="AE349" s="130"/>
      <c r="AG349" s="106"/>
    </row>
    <row r="350">
      <c r="C350" s="79"/>
      <c r="D350" s="79"/>
      <c r="E350" s="79"/>
      <c r="O350" s="79"/>
      <c r="S350" s="79"/>
      <c r="T350" s="79"/>
      <c r="Y350" s="79"/>
      <c r="AE350" s="130"/>
      <c r="AG350" s="106"/>
    </row>
    <row r="351">
      <c r="C351" s="79"/>
      <c r="D351" s="79"/>
      <c r="E351" s="79"/>
      <c r="O351" s="79"/>
      <c r="S351" s="79"/>
      <c r="T351" s="79"/>
      <c r="Y351" s="79"/>
      <c r="AE351" s="130"/>
      <c r="AG351" s="106"/>
    </row>
    <row r="352">
      <c r="C352" s="79"/>
      <c r="D352" s="79"/>
      <c r="E352" s="79"/>
      <c r="O352" s="79"/>
      <c r="S352" s="79"/>
      <c r="T352" s="79"/>
      <c r="Y352" s="79"/>
      <c r="AE352" s="130"/>
      <c r="AG352" s="106"/>
    </row>
    <row r="353">
      <c r="C353" s="79"/>
      <c r="D353" s="79"/>
      <c r="E353" s="79"/>
      <c r="O353" s="79"/>
      <c r="S353" s="79"/>
      <c r="T353" s="79"/>
      <c r="Y353" s="79"/>
      <c r="AE353" s="130"/>
      <c r="AG353" s="106"/>
    </row>
    <row r="354">
      <c r="C354" s="79"/>
      <c r="D354" s="79"/>
      <c r="E354" s="79"/>
      <c r="O354" s="79"/>
      <c r="S354" s="79"/>
      <c r="T354" s="79"/>
      <c r="Y354" s="79"/>
      <c r="AE354" s="130"/>
      <c r="AG354" s="106"/>
    </row>
    <row r="355">
      <c r="C355" s="79"/>
      <c r="D355" s="79"/>
      <c r="E355" s="79"/>
      <c r="O355" s="79"/>
      <c r="S355" s="79"/>
      <c r="T355" s="79"/>
      <c r="Y355" s="79"/>
      <c r="AE355" s="130"/>
      <c r="AG355" s="106"/>
    </row>
    <row r="356">
      <c r="C356" s="79"/>
      <c r="D356" s="79"/>
      <c r="E356" s="79"/>
      <c r="O356" s="79"/>
      <c r="S356" s="79"/>
      <c r="T356" s="79"/>
      <c r="Y356" s="79"/>
      <c r="AE356" s="130"/>
      <c r="AG356" s="106"/>
    </row>
    <row r="357">
      <c r="C357" s="79"/>
      <c r="D357" s="79"/>
      <c r="E357" s="79"/>
      <c r="O357" s="79"/>
      <c r="S357" s="79"/>
      <c r="T357" s="79"/>
      <c r="Y357" s="79"/>
      <c r="AE357" s="130"/>
      <c r="AG357" s="106"/>
    </row>
    <row r="358">
      <c r="C358" s="79"/>
      <c r="D358" s="79"/>
      <c r="E358" s="79"/>
      <c r="O358" s="79"/>
      <c r="S358" s="79"/>
      <c r="T358" s="79"/>
      <c r="Y358" s="79"/>
      <c r="AE358" s="130"/>
      <c r="AG358" s="106"/>
    </row>
    <row r="359">
      <c r="C359" s="79"/>
      <c r="D359" s="79"/>
      <c r="E359" s="79"/>
      <c r="O359" s="79"/>
      <c r="S359" s="79"/>
      <c r="T359" s="79"/>
      <c r="Y359" s="79"/>
      <c r="AE359" s="130"/>
      <c r="AG359" s="106"/>
    </row>
    <row r="360">
      <c r="C360" s="79"/>
      <c r="D360" s="79"/>
      <c r="E360" s="79"/>
      <c r="O360" s="79"/>
      <c r="S360" s="79"/>
      <c r="T360" s="79"/>
      <c r="Y360" s="79"/>
      <c r="AE360" s="130"/>
      <c r="AG360" s="106"/>
    </row>
    <row r="361">
      <c r="C361" s="79"/>
      <c r="D361" s="79"/>
      <c r="E361" s="79"/>
      <c r="O361" s="79"/>
      <c r="S361" s="79"/>
      <c r="T361" s="79"/>
      <c r="Y361" s="79"/>
      <c r="AE361" s="130"/>
      <c r="AG361" s="106"/>
    </row>
    <row r="362">
      <c r="C362" s="79"/>
      <c r="D362" s="79"/>
      <c r="E362" s="79"/>
      <c r="O362" s="79"/>
      <c r="S362" s="79"/>
      <c r="T362" s="79"/>
      <c r="Y362" s="79"/>
      <c r="AE362" s="130"/>
      <c r="AG362" s="106"/>
    </row>
    <row r="363">
      <c r="C363" s="79"/>
      <c r="D363" s="79"/>
      <c r="E363" s="79"/>
      <c r="O363" s="79"/>
      <c r="S363" s="79"/>
      <c r="T363" s="79"/>
      <c r="Y363" s="79"/>
      <c r="AE363" s="130"/>
      <c r="AG363" s="106"/>
    </row>
    <row r="364">
      <c r="C364" s="79"/>
      <c r="D364" s="79"/>
      <c r="E364" s="79"/>
      <c r="O364" s="79"/>
      <c r="S364" s="79"/>
      <c r="T364" s="79"/>
      <c r="Y364" s="79"/>
      <c r="AE364" s="130"/>
      <c r="AG364" s="106"/>
    </row>
    <row r="365">
      <c r="C365" s="79"/>
      <c r="D365" s="79"/>
      <c r="E365" s="79"/>
      <c r="O365" s="79"/>
      <c r="S365" s="79"/>
      <c r="T365" s="79"/>
      <c r="Y365" s="79"/>
      <c r="AE365" s="130"/>
      <c r="AG365" s="106"/>
    </row>
    <row r="366">
      <c r="C366" s="79"/>
      <c r="D366" s="79"/>
      <c r="E366" s="79"/>
      <c r="O366" s="79"/>
      <c r="S366" s="79"/>
      <c r="T366" s="79"/>
      <c r="Y366" s="79"/>
      <c r="AE366" s="130"/>
      <c r="AG366" s="106"/>
    </row>
    <row r="367">
      <c r="C367" s="79"/>
      <c r="D367" s="79"/>
      <c r="E367" s="79"/>
      <c r="O367" s="79"/>
      <c r="S367" s="79"/>
      <c r="T367" s="79"/>
      <c r="Y367" s="79"/>
      <c r="AE367" s="130"/>
      <c r="AG367" s="106"/>
    </row>
    <row r="368">
      <c r="C368" s="79"/>
      <c r="D368" s="79"/>
      <c r="E368" s="79"/>
      <c r="O368" s="79"/>
      <c r="S368" s="79"/>
      <c r="T368" s="79"/>
      <c r="Y368" s="79"/>
      <c r="AE368" s="130"/>
      <c r="AG368" s="106"/>
    </row>
    <row r="369">
      <c r="C369" s="79"/>
      <c r="D369" s="79"/>
      <c r="E369" s="79"/>
      <c r="O369" s="79"/>
      <c r="S369" s="79"/>
      <c r="T369" s="79"/>
      <c r="Y369" s="79"/>
      <c r="AE369" s="130"/>
      <c r="AG369" s="106"/>
    </row>
    <row r="370">
      <c r="C370" s="79"/>
      <c r="D370" s="79"/>
      <c r="E370" s="79"/>
      <c r="O370" s="79"/>
      <c r="S370" s="79"/>
      <c r="T370" s="79"/>
      <c r="Y370" s="79"/>
      <c r="AE370" s="130"/>
      <c r="AG370" s="106"/>
    </row>
    <row r="371">
      <c r="C371" s="79"/>
      <c r="D371" s="79"/>
      <c r="E371" s="79"/>
      <c r="O371" s="79"/>
      <c r="S371" s="79"/>
      <c r="T371" s="79"/>
      <c r="Y371" s="79"/>
      <c r="AE371" s="130"/>
      <c r="AG371" s="106"/>
    </row>
    <row r="372">
      <c r="C372" s="79"/>
      <c r="D372" s="79"/>
      <c r="E372" s="79"/>
      <c r="O372" s="79"/>
      <c r="S372" s="79"/>
      <c r="T372" s="79"/>
      <c r="Y372" s="79"/>
      <c r="AE372" s="130"/>
      <c r="AG372" s="106"/>
    </row>
    <row r="373">
      <c r="C373" s="79"/>
      <c r="D373" s="79"/>
      <c r="E373" s="79"/>
      <c r="O373" s="79"/>
      <c r="S373" s="79"/>
      <c r="T373" s="79"/>
      <c r="Y373" s="79"/>
      <c r="AE373" s="130"/>
      <c r="AG373" s="106"/>
    </row>
    <row r="374">
      <c r="C374" s="79"/>
      <c r="D374" s="79"/>
      <c r="E374" s="79"/>
      <c r="O374" s="79"/>
      <c r="S374" s="79"/>
      <c r="T374" s="79"/>
      <c r="Y374" s="79"/>
      <c r="AE374" s="130"/>
      <c r="AG374" s="106"/>
    </row>
    <row r="375">
      <c r="C375" s="79"/>
      <c r="D375" s="79"/>
      <c r="E375" s="79"/>
      <c r="O375" s="79"/>
      <c r="S375" s="79"/>
      <c r="T375" s="79"/>
      <c r="Y375" s="79"/>
      <c r="AE375" s="130"/>
      <c r="AG375" s="106"/>
    </row>
    <row r="376">
      <c r="C376" s="79"/>
      <c r="D376" s="79"/>
      <c r="E376" s="79"/>
      <c r="O376" s="79"/>
      <c r="S376" s="79"/>
      <c r="T376" s="79"/>
      <c r="Y376" s="79"/>
      <c r="AE376" s="130"/>
      <c r="AG376" s="106"/>
    </row>
    <row r="377">
      <c r="C377" s="79"/>
      <c r="D377" s="79"/>
      <c r="E377" s="79"/>
      <c r="O377" s="79"/>
      <c r="S377" s="79"/>
      <c r="T377" s="79"/>
      <c r="Y377" s="79"/>
      <c r="AE377" s="130"/>
      <c r="AG377" s="106"/>
    </row>
    <row r="378">
      <c r="C378" s="79"/>
      <c r="D378" s="79"/>
      <c r="E378" s="79"/>
      <c r="O378" s="79"/>
      <c r="S378" s="79"/>
      <c r="T378" s="79"/>
      <c r="Y378" s="79"/>
      <c r="AE378" s="130"/>
      <c r="AG378" s="106"/>
    </row>
    <row r="379">
      <c r="C379" s="79"/>
      <c r="D379" s="79"/>
      <c r="E379" s="79"/>
      <c r="O379" s="79"/>
      <c r="S379" s="79"/>
      <c r="T379" s="79"/>
      <c r="Y379" s="79"/>
      <c r="AE379" s="130"/>
      <c r="AG379" s="106"/>
    </row>
    <row r="380">
      <c r="C380" s="79"/>
      <c r="D380" s="79"/>
      <c r="E380" s="79"/>
      <c r="O380" s="79"/>
      <c r="S380" s="79"/>
      <c r="T380" s="79"/>
      <c r="Y380" s="79"/>
      <c r="AE380" s="130"/>
      <c r="AG380" s="106"/>
    </row>
    <row r="381">
      <c r="C381" s="79"/>
      <c r="D381" s="79"/>
      <c r="E381" s="79"/>
      <c r="O381" s="79"/>
      <c r="S381" s="79"/>
      <c r="T381" s="79"/>
      <c r="Y381" s="79"/>
      <c r="AE381" s="130"/>
      <c r="AG381" s="106"/>
    </row>
    <row r="382">
      <c r="C382" s="79"/>
      <c r="D382" s="79"/>
      <c r="E382" s="79"/>
      <c r="O382" s="79"/>
      <c r="S382" s="79"/>
      <c r="T382" s="79"/>
      <c r="Y382" s="79"/>
      <c r="AE382" s="130"/>
      <c r="AG382" s="106"/>
    </row>
    <row r="383">
      <c r="C383" s="79"/>
      <c r="D383" s="79"/>
      <c r="E383" s="79"/>
      <c r="O383" s="79"/>
      <c r="S383" s="79"/>
      <c r="T383" s="79"/>
      <c r="Y383" s="79"/>
      <c r="AE383" s="130"/>
      <c r="AG383" s="106"/>
    </row>
    <row r="384">
      <c r="C384" s="79"/>
      <c r="D384" s="79"/>
      <c r="E384" s="79"/>
      <c r="O384" s="79"/>
      <c r="S384" s="79"/>
      <c r="T384" s="79"/>
      <c r="Y384" s="79"/>
      <c r="AE384" s="130"/>
      <c r="AG384" s="106"/>
    </row>
    <row r="385">
      <c r="C385" s="79"/>
      <c r="D385" s="79"/>
      <c r="E385" s="79"/>
      <c r="O385" s="79"/>
      <c r="S385" s="79"/>
      <c r="T385" s="79"/>
      <c r="Y385" s="79"/>
      <c r="AE385" s="130"/>
      <c r="AG385" s="106"/>
    </row>
    <row r="386">
      <c r="C386" s="79"/>
      <c r="D386" s="79"/>
      <c r="E386" s="79"/>
      <c r="O386" s="79"/>
      <c r="S386" s="79"/>
      <c r="T386" s="79"/>
      <c r="Y386" s="79"/>
      <c r="AE386" s="130"/>
      <c r="AG386" s="106"/>
    </row>
    <row r="387">
      <c r="C387" s="79"/>
      <c r="D387" s="79"/>
      <c r="E387" s="79"/>
      <c r="O387" s="79"/>
      <c r="S387" s="79"/>
      <c r="T387" s="79"/>
      <c r="Y387" s="79"/>
      <c r="AE387" s="130"/>
      <c r="AG387" s="106"/>
    </row>
    <row r="388">
      <c r="C388" s="79"/>
      <c r="D388" s="79"/>
      <c r="E388" s="79"/>
      <c r="O388" s="79"/>
      <c r="S388" s="79"/>
      <c r="T388" s="79"/>
      <c r="Y388" s="79"/>
      <c r="AE388" s="130"/>
      <c r="AG388" s="106"/>
    </row>
    <row r="389">
      <c r="C389" s="79"/>
      <c r="D389" s="79"/>
      <c r="E389" s="79"/>
      <c r="O389" s="79"/>
      <c r="S389" s="79"/>
      <c r="T389" s="79"/>
      <c r="Y389" s="79"/>
      <c r="AE389" s="130"/>
      <c r="AG389" s="106"/>
    </row>
    <row r="390">
      <c r="C390" s="79"/>
      <c r="D390" s="79"/>
      <c r="E390" s="79"/>
      <c r="O390" s="79"/>
      <c r="S390" s="79"/>
      <c r="T390" s="79"/>
      <c r="Y390" s="79"/>
      <c r="AE390" s="130"/>
      <c r="AG390" s="106"/>
    </row>
    <row r="391">
      <c r="C391" s="79"/>
      <c r="D391" s="79"/>
      <c r="E391" s="79"/>
      <c r="O391" s="79"/>
      <c r="S391" s="79"/>
      <c r="T391" s="79"/>
      <c r="Y391" s="79"/>
      <c r="AE391" s="130"/>
      <c r="AG391" s="106"/>
    </row>
    <row r="392">
      <c r="C392" s="79"/>
      <c r="D392" s="79"/>
      <c r="E392" s="79"/>
      <c r="O392" s="79"/>
      <c r="S392" s="79"/>
      <c r="T392" s="79"/>
      <c r="Y392" s="79"/>
      <c r="AE392" s="130"/>
      <c r="AG392" s="106"/>
    </row>
    <row r="393">
      <c r="C393" s="79"/>
      <c r="D393" s="79"/>
      <c r="E393" s="79"/>
      <c r="O393" s="79"/>
      <c r="S393" s="79"/>
      <c r="T393" s="79"/>
      <c r="Y393" s="79"/>
      <c r="AE393" s="130"/>
      <c r="AG393" s="106"/>
    </row>
    <row r="394">
      <c r="C394" s="79"/>
      <c r="D394" s="79"/>
      <c r="E394" s="79"/>
      <c r="O394" s="79"/>
      <c r="S394" s="79"/>
      <c r="T394" s="79"/>
      <c r="Y394" s="79"/>
      <c r="AE394" s="130"/>
      <c r="AG394" s="106"/>
    </row>
    <row r="395">
      <c r="C395" s="79"/>
      <c r="D395" s="79"/>
      <c r="E395" s="79"/>
      <c r="O395" s="79"/>
      <c r="S395" s="79"/>
      <c r="T395" s="79"/>
      <c r="Y395" s="79"/>
      <c r="AE395" s="130"/>
      <c r="AG395" s="106"/>
    </row>
    <row r="396">
      <c r="C396" s="79"/>
      <c r="D396" s="79"/>
      <c r="E396" s="79"/>
      <c r="O396" s="79"/>
      <c r="S396" s="79"/>
      <c r="T396" s="79"/>
      <c r="Y396" s="79"/>
      <c r="AE396" s="130"/>
      <c r="AG396" s="106"/>
    </row>
    <row r="397">
      <c r="C397" s="79"/>
      <c r="D397" s="79"/>
      <c r="E397" s="79"/>
      <c r="O397" s="79"/>
      <c r="S397" s="79"/>
      <c r="T397" s="79"/>
      <c r="Y397" s="79"/>
      <c r="AE397" s="130"/>
      <c r="AG397" s="106"/>
    </row>
    <row r="398">
      <c r="C398" s="79"/>
      <c r="D398" s="79"/>
      <c r="E398" s="79"/>
      <c r="O398" s="79"/>
      <c r="S398" s="79"/>
      <c r="T398" s="79"/>
      <c r="Y398" s="79"/>
      <c r="AE398" s="130"/>
      <c r="AG398" s="106"/>
    </row>
    <row r="399">
      <c r="C399" s="79"/>
      <c r="D399" s="79"/>
      <c r="E399" s="79"/>
      <c r="O399" s="79"/>
      <c r="S399" s="79"/>
      <c r="T399" s="79"/>
      <c r="Y399" s="79"/>
      <c r="AE399" s="130"/>
      <c r="AG399" s="106"/>
    </row>
    <row r="400">
      <c r="C400" s="79"/>
      <c r="D400" s="79"/>
      <c r="E400" s="79"/>
      <c r="O400" s="79"/>
      <c r="S400" s="79"/>
      <c r="T400" s="79"/>
      <c r="Y400" s="79"/>
      <c r="AE400" s="130"/>
      <c r="AG400" s="106"/>
    </row>
    <row r="401">
      <c r="C401" s="79"/>
      <c r="D401" s="79"/>
      <c r="E401" s="79"/>
      <c r="O401" s="79"/>
      <c r="S401" s="79"/>
      <c r="T401" s="79"/>
      <c r="Y401" s="79"/>
      <c r="AE401" s="130"/>
      <c r="AG401" s="106"/>
    </row>
    <row r="402">
      <c r="C402" s="79"/>
      <c r="D402" s="79"/>
      <c r="E402" s="79"/>
      <c r="O402" s="79"/>
      <c r="S402" s="79"/>
      <c r="T402" s="79"/>
      <c r="Y402" s="79"/>
      <c r="AE402" s="130"/>
      <c r="AG402" s="106"/>
    </row>
    <row r="403">
      <c r="C403" s="79"/>
      <c r="D403" s="79"/>
      <c r="E403" s="79"/>
      <c r="O403" s="79"/>
      <c r="S403" s="79"/>
      <c r="T403" s="79"/>
      <c r="Y403" s="79"/>
      <c r="AE403" s="130"/>
      <c r="AG403" s="106"/>
    </row>
    <row r="404">
      <c r="C404" s="79"/>
      <c r="D404" s="79"/>
      <c r="E404" s="79"/>
      <c r="O404" s="79"/>
      <c r="S404" s="79"/>
      <c r="T404" s="79"/>
      <c r="Y404" s="79"/>
      <c r="AE404" s="130"/>
      <c r="AG404" s="106"/>
    </row>
    <row r="405">
      <c r="C405" s="79"/>
      <c r="D405" s="79"/>
      <c r="E405" s="79"/>
      <c r="O405" s="79"/>
      <c r="S405" s="79"/>
      <c r="T405" s="79"/>
      <c r="Y405" s="79"/>
      <c r="AE405" s="130"/>
      <c r="AG405" s="106"/>
    </row>
    <row r="406">
      <c r="C406" s="79"/>
      <c r="D406" s="79"/>
      <c r="E406" s="79"/>
      <c r="O406" s="79"/>
      <c r="S406" s="79"/>
      <c r="T406" s="79"/>
      <c r="Y406" s="79"/>
      <c r="AE406" s="130"/>
      <c r="AG406" s="106"/>
    </row>
    <row r="407">
      <c r="C407" s="79"/>
      <c r="D407" s="79"/>
      <c r="E407" s="79"/>
      <c r="O407" s="79"/>
      <c r="S407" s="79"/>
      <c r="T407" s="79"/>
      <c r="Y407" s="79"/>
      <c r="AE407" s="130"/>
      <c r="AG407" s="106"/>
    </row>
    <row r="408">
      <c r="C408" s="79"/>
      <c r="D408" s="79"/>
      <c r="E408" s="79"/>
      <c r="O408" s="79"/>
      <c r="S408" s="79"/>
      <c r="T408" s="79"/>
      <c r="Y408" s="79"/>
      <c r="AE408" s="130"/>
      <c r="AG408" s="106"/>
    </row>
    <row r="409">
      <c r="C409" s="79"/>
      <c r="D409" s="79"/>
      <c r="E409" s="79"/>
      <c r="O409" s="79"/>
      <c r="S409" s="79"/>
      <c r="T409" s="79"/>
      <c r="Y409" s="79"/>
      <c r="AE409" s="130"/>
      <c r="AG409" s="106"/>
    </row>
    <row r="410">
      <c r="C410" s="79"/>
      <c r="D410" s="79"/>
      <c r="E410" s="79"/>
      <c r="O410" s="79"/>
      <c r="S410" s="79"/>
      <c r="T410" s="79"/>
      <c r="Y410" s="79"/>
      <c r="AE410" s="130"/>
      <c r="AG410" s="106"/>
    </row>
    <row r="411">
      <c r="C411" s="79"/>
      <c r="D411" s="79"/>
      <c r="E411" s="79"/>
      <c r="O411" s="79"/>
      <c r="S411" s="79"/>
      <c r="T411" s="79"/>
      <c r="Y411" s="79"/>
      <c r="AE411" s="130"/>
      <c r="AG411" s="106"/>
    </row>
    <row r="412">
      <c r="C412" s="79"/>
      <c r="D412" s="79"/>
      <c r="E412" s="79"/>
      <c r="O412" s="79"/>
      <c r="S412" s="79"/>
      <c r="T412" s="79"/>
      <c r="Y412" s="79"/>
      <c r="AE412" s="130"/>
      <c r="AG412" s="106"/>
    </row>
    <row r="413">
      <c r="C413" s="79"/>
      <c r="D413" s="79"/>
      <c r="E413" s="79"/>
      <c r="O413" s="79"/>
      <c r="S413" s="79"/>
      <c r="T413" s="79"/>
      <c r="Y413" s="79"/>
      <c r="AE413" s="130"/>
      <c r="AG413" s="106"/>
    </row>
    <row r="414">
      <c r="C414" s="79"/>
      <c r="D414" s="79"/>
      <c r="E414" s="79"/>
      <c r="O414" s="79"/>
      <c r="S414" s="79"/>
      <c r="T414" s="79"/>
      <c r="Y414" s="79"/>
      <c r="AE414" s="130"/>
      <c r="AG414" s="106"/>
    </row>
    <row r="415">
      <c r="C415" s="79"/>
      <c r="D415" s="79"/>
      <c r="E415" s="79"/>
      <c r="O415" s="79"/>
      <c r="S415" s="79"/>
      <c r="T415" s="79"/>
      <c r="Y415" s="79"/>
      <c r="AE415" s="130"/>
      <c r="AG415" s="106"/>
    </row>
    <row r="416">
      <c r="C416" s="79"/>
      <c r="D416" s="79"/>
      <c r="E416" s="79"/>
      <c r="O416" s="79"/>
      <c r="S416" s="79"/>
      <c r="T416" s="79"/>
      <c r="Y416" s="79"/>
      <c r="AE416" s="130"/>
      <c r="AG416" s="106"/>
    </row>
    <row r="417">
      <c r="C417" s="79"/>
      <c r="D417" s="79"/>
      <c r="E417" s="79"/>
      <c r="O417" s="79"/>
      <c r="S417" s="79"/>
      <c r="T417" s="79"/>
      <c r="Y417" s="79"/>
      <c r="AE417" s="130"/>
      <c r="AG417" s="106"/>
    </row>
    <row r="418">
      <c r="C418" s="79"/>
      <c r="D418" s="79"/>
      <c r="E418" s="79"/>
      <c r="O418" s="79"/>
      <c r="S418" s="79"/>
      <c r="T418" s="79"/>
      <c r="Y418" s="79"/>
      <c r="AE418" s="130"/>
      <c r="AG418" s="106"/>
    </row>
    <row r="419">
      <c r="C419" s="79"/>
      <c r="D419" s="79"/>
      <c r="E419" s="79"/>
      <c r="O419" s="79"/>
      <c r="S419" s="79"/>
      <c r="T419" s="79"/>
      <c r="Y419" s="79"/>
      <c r="AE419" s="130"/>
      <c r="AG419" s="106"/>
    </row>
    <row r="420">
      <c r="C420" s="79"/>
      <c r="D420" s="79"/>
      <c r="E420" s="79"/>
      <c r="O420" s="79"/>
      <c r="S420" s="79"/>
      <c r="T420" s="79"/>
      <c r="Y420" s="79"/>
      <c r="AE420" s="130"/>
      <c r="AG420" s="106"/>
    </row>
    <row r="421">
      <c r="C421" s="79"/>
      <c r="D421" s="79"/>
      <c r="E421" s="79"/>
      <c r="O421" s="79"/>
      <c r="S421" s="79"/>
      <c r="T421" s="79"/>
      <c r="Y421" s="79"/>
      <c r="AE421" s="130"/>
      <c r="AG421" s="106"/>
    </row>
    <row r="422">
      <c r="C422" s="79"/>
      <c r="D422" s="79"/>
      <c r="E422" s="79"/>
      <c r="O422" s="79"/>
      <c r="S422" s="79"/>
      <c r="T422" s="79"/>
      <c r="Y422" s="79"/>
      <c r="AE422" s="130"/>
      <c r="AG422" s="106"/>
    </row>
    <row r="423">
      <c r="C423" s="79"/>
      <c r="D423" s="79"/>
      <c r="E423" s="79"/>
      <c r="O423" s="79"/>
      <c r="S423" s="79"/>
      <c r="T423" s="79"/>
      <c r="Y423" s="79"/>
      <c r="AE423" s="130"/>
      <c r="AG423" s="106"/>
    </row>
    <row r="424">
      <c r="C424" s="79"/>
      <c r="D424" s="79"/>
      <c r="E424" s="79"/>
      <c r="O424" s="79"/>
      <c r="S424" s="79"/>
      <c r="T424" s="79"/>
      <c r="Y424" s="79"/>
      <c r="AE424" s="130"/>
      <c r="AG424" s="106"/>
    </row>
    <row r="425">
      <c r="C425" s="79"/>
      <c r="D425" s="79"/>
      <c r="E425" s="79"/>
      <c r="O425" s="79"/>
      <c r="S425" s="79"/>
      <c r="T425" s="79"/>
      <c r="Y425" s="79"/>
      <c r="AE425" s="130"/>
      <c r="AG425" s="106"/>
    </row>
    <row r="426">
      <c r="C426" s="79"/>
      <c r="D426" s="79"/>
      <c r="E426" s="79"/>
      <c r="O426" s="79"/>
      <c r="S426" s="79"/>
      <c r="T426" s="79"/>
      <c r="Y426" s="79"/>
      <c r="AE426" s="130"/>
      <c r="AG426" s="106"/>
    </row>
    <row r="427">
      <c r="C427" s="79"/>
      <c r="D427" s="79"/>
      <c r="E427" s="79"/>
      <c r="O427" s="79"/>
      <c r="S427" s="79"/>
      <c r="T427" s="79"/>
      <c r="Y427" s="79"/>
      <c r="AE427" s="130"/>
      <c r="AG427" s="106"/>
    </row>
    <row r="428">
      <c r="C428" s="79"/>
      <c r="D428" s="79"/>
      <c r="E428" s="79"/>
      <c r="O428" s="79"/>
      <c r="S428" s="79"/>
      <c r="T428" s="79"/>
      <c r="Y428" s="79"/>
      <c r="AE428" s="130"/>
      <c r="AG428" s="106"/>
    </row>
    <row r="429">
      <c r="C429" s="79"/>
      <c r="D429" s="79"/>
      <c r="E429" s="79"/>
      <c r="O429" s="79"/>
      <c r="S429" s="79"/>
      <c r="T429" s="79"/>
      <c r="Y429" s="79"/>
      <c r="AE429" s="130"/>
      <c r="AG429" s="106"/>
    </row>
    <row r="430">
      <c r="C430" s="79"/>
      <c r="D430" s="79"/>
      <c r="E430" s="79"/>
      <c r="O430" s="79"/>
      <c r="S430" s="79"/>
      <c r="T430" s="79"/>
      <c r="Y430" s="79"/>
      <c r="AE430" s="130"/>
      <c r="AG430" s="106"/>
    </row>
    <row r="431">
      <c r="C431" s="79"/>
      <c r="D431" s="79"/>
      <c r="E431" s="79"/>
      <c r="O431" s="79"/>
      <c r="S431" s="79"/>
      <c r="T431" s="79"/>
      <c r="Y431" s="79"/>
      <c r="AE431" s="130"/>
      <c r="AG431" s="106"/>
    </row>
    <row r="432">
      <c r="C432" s="79"/>
      <c r="D432" s="79"/>
      <c r="E432" s="79"/>
      <c r="O432" s="79"/>
      <c r="S432" s="79"/>
      <c r="T432" s="79"/>
      <c r="Y432" s="79"/>
      <c r="AE432" s="130"/>
      <c r="AG432" s="106"/>
    </row>
    <row r="433">
      <c r="C433" s="79"/>
      <c r="D433" s="79"/>
      <c r="E433" s="79"/>
      <c r="O433" s="79"/>
      <c r="S433" s="79"/>
      <c r="T433" s="79"/>
      <c r="Y433" s="79"/>
      <c r="AE433" s="130"/>
      <c r="AG433" s="106"/>
    </row>
    <row r="434">
      <c r="C434" s="79"/>
      <c r="D434" s="79"/>
      <c r="E434" s="79"/>
      <c r="O434" s="79"/>
      <c r="S434" s="79"/>
      <c r="T434" s="79"/>
      <c r="Y434" s="79"/>
      <c r="AE434" s="130"/>
      <c r="AG434" s="106"/>
    </row>
    <row r="435">
      <c r="C435" s="79"/>
      <c r="D435" s="79"/>
      <c r="E435" s="79"/>
      <c r="O435" s="79"/>
      <c r="S435" s="79"/>
      <c r="T435" s="79"/>
      <c r="Y435" s="79"/>
      <c r="AE435" s="130"/>
      <c r="AG435" s="106"/>
    </row>
    <row r="436">
      <c r="C436" s="79"/>
      <c r="D436" s="79"/>
      <c r="E436" s="79"/>
      <c r="O436" s="79"/>
      <c r="S436" s="79"/>
      <c r="T436" s="79"/>
      <c r="Y436" s="79"/>
      <c r="AE436" s="130"/>
      <c r="AG436" s="106"/>
    </row>
    <row r="437">
      <c r="C437" s="79"/>
      <c r="D437" s="79"/>
      <c r="E437" s="79"/>
      <c r="O437" s="79"/>
      <c r="S437" s="79"/>
      <c r="T437" s="79"/>
      <c r="Y437" s="79"/>
      <c r="AE437" s="130"/>
      <c r="AG437" s="106"/>
    </row>
    <row r="438">
      <c r="C438" s="79"/>
      <c r="D438" s="79"/>
      <c r="E438" s="79"/>
      <c r="O438" s="79"/>
      <c r="S438" s="79"/>
      <c r="T438" s="79"/>
      <c r="Y438" s="79"/>
      <c r="AE438" s="130"/>
      <c r="AG438" s="106"/>
    </row>
    <row r="439">
      <c r="C439" s="79"/>
      <c r="D439" s="79"/>
      <c r="E439" s="79"/>
      <c r="O439" s="79"/>
      <c r="S439" s="79"/>
      <c r="T439" s="79"/>
      <c r="Y439" s="79"/>
      <c r="AE439" s="130"/>
      <c r="AG439" s="106"/>
    </row>
    <row r="440">
      <c r="C440" s="79"/>
      <c r="D440" s="79"/>
      <c r="E440" s="79"/>
      <c r="O440" s="79"/>
      <c r="S440" s="79"/>
      <c r="T440" s="79"/>
      <c r="Y440" s="79"/>
      <c r="AE440" s="130"/>
      <c r="AG440" s="106"/>
    </row>
    <row r="441">
      <c r="C441" s="79"/>
      <c r="D441" s="79"/>
      <c r="E441" s="79"/>
      <c r="O441" s="79"/>
      <c r="S441" s="79"/>
      <c r="T441" s="79"/>
      <c r="Y441" s="79"/>
      <c r="AE441" s="130"/>
      <c r="AG441" s="106"/>
    </row>
    <row r="442">
      <c r="C442" s="79"/>
      <c r="D442" s="79"/>
      <c r="E442" s="79"/>
      <c r="O442" s="79"/>
      <c r="S442" s="79"/>
      <c r="T442" s="79"/>
      <c r="Y442" s="79"/>
      <c r="AE442" s="130"/>
      <c r="AG442" s="106"/>
    </row>
    <row r="443">
      <c r="C443" s="79"/>
      <c r="D443" s="79"/>
      <c r="E443" s="79"/>
      <c r="O443" s="79"/>
      <c r="S443" s="79"/>
      <c r="T443" s="79"/>
      <c r="Y443" s="79"/>
      <c r="AE443" s="130"/>
      <c r="AG443" s="106"/>
    </row>
    <row r="444">
      <c r="C444" s="79"/>
      <c r="D444" s="79"/>
      <c r="E444" s="79"/>
      <c r="O444" s="79"/>
      <c r="S444" s="79"/>
      <c r="T444" s="79"/>
      <c r="Y444" s="79"/>
      <c r="AE444" s="130"/>
      <c r="AG444" s="106"/>
    </row>
    <row r="445">
      <c r="C445" s="79"/>
      <c r="D445" s="79"/>
      <c r="E445" s="79"/>
      <c r="O445" s="79"/>
      <c r="S445" s="79"/>
      <c r="T445" s="79"/>
      <c r="Y445" s="79"/>
      <c r="AE445" s="130"/>
      <c r="AG445" s="106"/>
    </row>
    <row r="446">
      <c r="C446" s="79"/>
      <c r="D446" s="79"/>
      <c r="E446" s="79"/>
      <c r="O446" s="79"/>
      <c r="S446" s="79"/>
      <c r="T446" s="79"/>
      <c r="Y446" s="79"/>
      <c r="AE446" s="130"/>
      <c r="AG446" s="106"/>
    </row>
    <row r="447">
      <c r="C447" s="79"/>
      <c r="D447" s="79"/>
      <c r="E447" s="79"/>
      <c r="O447" s="79"/>
      <c r="S447" s="79"/>
      <c r="T447" s="79"/>
      <c r="Y447" s="79"/>
      <c r="AE447" s="130"/>
      <c r="AG447" s="106"/>
    </row>
    <row r="448">
      <c r="C448" s="79"/>
      <c r="D448" s="79"/>
      <c r="E448" s="79"/>
      <c r="O448" s="79"/>
      <c r="S448" s="79"/>
      <c r="T448" s="79"/>
      <c r="Y448" s="79"/>
      <c r="AE448" s="130"/>
      <c r="AG448" s="106"/>
    </row>
    <row r="449">
      <c r="C449" s="79"/>
      <c r="D449" s="79"/>
      <c r="E449" s="79"/>
      <c r="O449" s="79"/>
      <c r="S449" s="79"/>
      <c r="T449" s="79"/>
      <c r="Y449" s="79"/>
      <c r="AE449" s="130"/>
      <c r="AG449" s="106"/>
    </row>
    <row r="450">
      <c r="C450" s="79"/>
      <c r="D450" s="79"/>
      <c r="E450" s="79"/>
      <c r="O450" s="79"/>
      <c r="S450" s="79"/>
      <c r="T450" s="79"/>
      <c r="Y450" s="79"/>
      <c r="AE450" s="130"/>
      <c r="AG450" s="106"/>
    </row>
    <row r="451">
      <c r="C451" s="79"/>
      <c r="D451" s="79"/>
      <c r="E451" s="79"/>
      <c r="O451" s="79"/>
      <c r="S451" s="79"/>
      <c r="T451" s="79"/>
      <c r="Y451" s="79"/>
      <c r="AE451" s="130"/>
      <c r="AG451" s="106"/>
    </row>
    <row r="452">
      <c r="C452" s="79"/>
      <c r="D452" s="79"/>
      <c r="E452" s="79"/>
      <c r="O452" s="79"/>
      <c r="S452" s="79"/>
      <c r="T452" s="79"/>
      <c r="Y452" s="79"/>
      <c r="AE452" s="130"/>
      <c r="AG452" s="106"/>
    </row>
    <row r="453">
      <c r="C453" s="79"/>
      <c r="D453" s="79"/>
      <c r="E453" s="79"/>
      <c r="O453" s="79"/>
      <c r="S453" s="79"/>
      <c r="T453" s="79"/>
      <c r="Y453" s="79"/>
      <c r="AE453" s="130"/>
      <c r="AG453" s="106"/>
    </row>
    <row r="454">
      <c r="C454" s="79"/>
      <c r="D454" s="79"/>
      <c r="E454" s="79"/>
      <c r="O454" s="79"/>
      <c r="S454" s="79"/>
      <c r="T454" s="79"/>
      <c r="Y454" s="79"/>
      <c r="AE454" s="130"/>
      <c r="AG454" s="106"/>
    </row>
    <row r="455">
      <c r="C455" s="79"/>
      <c r="D455" s="79"/>
      <c r="E455" s="79"/>
      <c r="O455" s="79"/>
      <c r="S455" s="79"/>
      <c r="T455" s="79"/>
      <c r="Y455" s="79"/>
      <c r="AE455" s="130"/>
      <c r="AG455" s="106"/>
    </row>
    <row r="456">
      <c r="C456" s="79"/>
      <c r="D456" s="79"/>
      <c r="E456" s="79"/>
      <c r="O456" s="79"/>
      <c r="S456" s="79"/>
      <c r="T456" s="79"/>
      <c r="Y456" s="79"/>
      <c r="AE456" s="130"/>
      <c r="AG456" s="106"/>
    </row>
    <row r="457">
      <c r="C457" s="79"/>
      <c r="D457" s="79"/>
      <c r="E457" s="79"/>
      <c r="O457" s="79"/>
      <c r="S457" s="79"/>
      <c r="T457" s="79"/>
      <c r="Y457" s="79"/>
      <c r="AE457" s="130"/>
      <c r="AG457" s="106"/>
    </row>
    <row r="458">
      <c r="C458" s="79"/>
      <c r="D458" s="79"/>
      <c r="E458" s="79"/>
      <c r="O458" s="79"/>
      <c r="S458" s="79"/>
      <c r="T458" s="79"/>
      <c r="Y458" s="79"/>
      <c r="AE458" s="130"/>
      <c r="AG458" s="106"/>
    </row>
    <row r="459">
      <c r="C459" s="79"/>
      <c r="D459" s="79"/>
      <c r="E459" s="79"/>
      <c r="O459" s="79"/>
      <c r="S459" s="79"/>
      <c r="T459" s="79"/>
      <c r="Y459" s="79"/>
      <c r="AE459" s="130"/>
      <c r="AG459" s="106"/>
    </row>
    <row r="460">
      <c r="C460" s="79"/>
      <c r="D460" s="79"/>
      <c r="E460" s="79"/>
      <c r="O460" s="79"/>
      <c r="S460" s="79"/>
      <c r="T460" s="79"/>
      <c r="Y460" s="79"/>
      <c r="AE460" s="130"/>
      <c r="AG460" s="106"/>
    </row>
    <row r="461">
      <c r="C461" s="79"/>
      <c r="D461" s="79"/>
      <c r="E461" s="79"/>
      <c r="O461" s="79"/>
      <c r="S461" s="79"/>
      <c r="T461" s="79"/>
      <c r="Y461" s="79"/>
      <c r="AE461" s="130"/>
      <c r="AG461" s="106"/>
    </row>
    <row r="462">
      <c r="C462" s="79"/>
      <c r="D462" s="79"/>
      <c r="E462" s="79"/>
      <c r="O462" s="79"/>
      <c r="S462" s="79"/>
      <c r="T462" s="79"/>
      <c r="Y462" s="79"/>
      <c r="AE462" s="130"/>
      <c r="AG462" s="106"/>
    </row>
    <row r="463">
      <c r="C463" s="79"/>
      <c r="D463" s="79"/>
      <c r="E463" s="79"/>
      <c r="O463" s="79"/>
      <c r="S463" s="79"/>
      <c r="T463" s="79"/>
      <c r="Y463" s="79"/>
      <c r="AE463" s="130"/>
      <c r="AG463" s="106"/>
    </row>
    <row r="464">
      <c r="C464" s="79"/>
      <c r="D464" s="79"/>
      <c r="E464" s="79"/>
      <c r="O464" s="79"/>
      <c r="S464" s="79"/>
      <c r="T464" s="79"/>
      <c r="Y464" s="79"/>
      <c r="AE464" s="130"/>
      <c r="AG464" s="106"/>
    </row>
    <row r="465">
      <c r="C465" s="79"/>
      <c r="D465" s="79"/>
      <c r="E465" s="79"/>
      <c r="O465" s="79"/>
      <c r="S465" s="79"/>
      <c r="T465" s="79"/>
      <c r="Y465" s="79"/>
      <c r="AE465" s="130"/>
      <c r="AG465" s="106"/>
    </row>
    <row r="466">
      <c r="C466" s="79"/>
      <c r="D466" s="79"/>
      <c r="E466" s="79"/>
      <c r="O466" s="79"/>
      <c r="S466" s="79"/>
      <c r="T466" s="79"/>
      <c r="Y466" s="79"/>
      <c r="AE466" s="130"/>
      <c r="AG466" s="106"/>
    </row>
    <row r="467">
      <c r="C467" s="79"/>
      <c r="D467" s="79"/>
      <c r="E467" s="79"/>
      <c r="O467" s="79"/>
      <c r="S467" s="79"/>
      <c r="T467" s="79"/>
      <c r="Y467" s="79"/>
      <c r="AE467" s="130"/>
      <c r="AG467" s="106"/>
    </row>
    <row r="468">
      <c r="C468" s="79"/>
      <c r="D468" s="79"/>
      <c r="E468" s="79"/>
      <c r="O468" s="79"/>
      <c r="S468" s="79"/>
      <c r="T468" s="79"/>
      <c r="Y468" s="79"/>
      <c r="AE468" s="130"/>
      <c r="AG468" s="106"/>
    </row>
    <row r="469">
      <c r="C469" s="79"/>
      <c r="D469" s="79"/>
      <c r="E469" s="79"/>
      <c r="O469" s="79"/>
      <c r="S469" s="79"/>
      <c r="T469" s="79"/>
      <c r="Y469" s="79"/>
      <c r="AE469" s="130"/>
      <c r="AG469" s="106"/>
    </row>
    <row r="470">
      <c r="C470" s="79"/>
      <c r="D470" s="79"/>
      <c r="E470" s="79"/>
      <c r="O470" s="79"/>
      <c r="S470" s="79"/>
      <c r="T470" s="79"/>
      <c r="Y470" s="79"/>
      <c r="AE470" s="130"/>
      <c r="AG470" s="106"/>
    </row>
    <row r="471">
      <c r="C471" s="79"/>
      <c r="D471" s="79"/>
      <c r="E471" s="79"/>
      <c r="O471" s="79"/>
      <c r="S471" s="79"/>
      <c r="T471" s="79"/>
      <c r="Y471" s="79"/>
      <c r="AE471" s="130"/>
      <c r="AG471" s="106"/>
    </row>
    <row r="472">
      <c r="C472" s="79"/>
      <c r="D472" s="79"/>
      <c r="E472" s="79"/>
      <c r="O472" s="79"/>
      <c r="S472" s="79"/>
      <c r="T472" s="79"/>
      <c r="Y472" s="79"/>
      <c r="AE472" s="130"/>
      <c r="AG472" s="106"/>
    </row>
    <row r="473">
      <c r="C473" s="79"/>
      <c r="D473" s="79"/>
      <c r="E473" s="79"/>
      <c r="O473" s="79"/>
      <c r="S473" s="79"/>
      <c r="T473" s="79"/>
      <c r="Y473" s="79"/>
      <c r="AE473" s="130"/>
      <c r="AG473" s="106"/>
    </row>
    <row r="474">
      <c r="C474" s="79"/>
      <c r="D474" s="79"/>
      <c r="E474" s="79"/>
      <c r="O474" s="79"/>
      <c r="S474" s="79"/>
      <c r="T474" s="79"/>
      <c r="Y474" s="79"/>
      <c r="AE474" s="130"/>
      <c r="AG474" s="106"/>
    </row>
    <row r="475">
      <c r="C475" s="79"/>
      <c r="D475" s="79"/>
      <c r="E475" s="79"/>
      <c r="O475" s="79"/>
      <c r="S475" s="79"/>
      <c r="T475" s="79"/>
      <c r="Y475" s="79"/>
      <c r="AE475" s="130"/>
      <c r="AG475" s="106"/>
    </row>
    <row r="476">
      <c r="C476" s="79"/>
      <c r="D476" s="79"/>
      <c r="E476" s="79"/>
      <c r="O476" s="79"/>
      <c r="S476" s="79"/>
      <c r="T476" s="79"/>
      <c r="Y476" s="79"/>
      <c r="AE476" s="130"/>
      <c r="AG476" s="106"/>
    </row>
    <row r="477">
      <c r="C477" s="79"/>
      <c r="D477" s="79"/>
      <c r="E477" s="79"/>
      <c r="O477" s="79"/>
      <c r="S477" s="79"/>
      <c r="T477" s="79"/>
      <c r="Y477" s="79"/>
      <c r="AE477" s="130"/>
      <c r="AG477" s="106"/>
    </row>
    <row r="478">
      <c r="C478" s="79"/>
      <c r="D478" s="79"/>
      <c r="E478" s="79"/>
      <c r="O478" s="79"/>
      <c r="S478" s="79"/>
      <c r="T478" s="79"/>
      <c r="Y478" s="79"/>
      <c r="AE478" s="130"/>
      <c r="AG478" s="106"/>
    </row>
    <row r="479">
      <c r="C479" s="79"/>
      <c r="D479" s="79"/>
      <c r="E479" s="79"/>
      <c r="O479" s="79"/>
      <c r="S479" s="79"/>
      <c r="T479" s="79"/>
      <c r="Y479" s="79"/>
      <c r="AE479" s="130"/>
      <c r="AG479" s="106"/>
    </row>
    <row r="480">
      <c r="C480" s="79"/>
      <c r="D480" s="79"/>
      <c r="E480" s="79"/>
      <c r="O480" s="79"/>
      <c r="S480" s="79"/>
      <c r="T480" s="79"/>
      <c r="Y480" s="79"/>
      <c r="AE480" s="130"/>
      <c r="AG480" s="106"/>
    </row>
    <row r="481">
      <c r="C481" s="79"/>
      <c r="D481" s="79"/>
      <c r="E481" s="79"/>
      <c r="O481" s="79"/>
      <c r="S481" s="79"/>
      <c r="T481" s="79"/>
      <c r="Y481" s="79"/>
      <c r="AE481" s="130"/>
      <c r="AG481" s="106"/>
    </row>
    <row r="482">
      <c r="C482" s="79"/>
      <c r="D482" s="79"/>
      <c r="E482" s="79"/>
      <c r="O482" s="79"/>
      <c r="S482" s="79"/>
      <c r="T482" s="79"/>
      <c r="Y482" s="79"/>
      <c r="AE482" s="130"/>
      <c r="AG482" s="106"/>
    </row>
    <row r="483">
      <c r="C483" s="79"/>
      <c r="D483" s="79"/>
      <c r="E483" s="79"/>
      <c r="O483" s="79"/>
      <c r="S483" s="79"/>
      <c r="T483" s="79"/>
      <c r="Y483" s="79"/>
      <c r="AE483" s="130"/>
      <c r="AG483" s="106"/>
    </row>
    <row r="484">
      <c r="C484" s="79"/>
      <c r="D484" s="79"/>
      <c r="E484" s="79"/>
      <c r="O484" s="79"/>
      <c r="S484" s="79"/>
      <c r="T484" s="79"/>
      <c r="Y484" s="79"/>
      <c r="AE484" s="130"/>
      <c r="AG484" s="106"/>
    </row>
    <row r="485">
      <c r="C485" s="79"/>
      <c r="D485" s="79"/>
      <c r="E485" s="79"/>
      <c r="O485" s="79"/>
      <c r="S485" s="79"/>
      <c r="T485" s="79"/>
      <c r="Y485" s="79"/>
      <c r="AE485" s="130"/>
      <c r="AG485" s="106"/>
    </row>
    <row r="486">
      <c r="C486" s="79"/>
      <c r="D486" s="79"/>
      <c r="E486" s="79"/>
      <c r="O486" s="79"/>
      <c r="S486" s="79"/>
      <c r="T486" s="79"/>
      <c r="Y486" s="79"/>
      <c r="AE486" s="130"/>
      <c r="AG486" s="106"/>
    </row>
    <row r="487">
      <c r="C487" s="79"/>
      <c r="D487" s="79"/>
      <c r="E487" s="79"/>
      <c r="O487" s="79"/>
      <c r="S487" s="79"/>
      <c r="T487" s="79"/>
      <c r="Y487" s="79"/>
      <c r="AE487" s="130"/>
      <c r="AG487" s="106"/>
    </row>
    <row r="488">
      <c r="C488" s="79"/>
      <c r="D488" s="79"/>
      <c r="E488" s="79"/>
      <c r="O488" s="79"/>
      <c r="S488" s="79"/>
      <c r="T488" s="79"/>
      <c r="Y488" s="79"/>
      <c r="AE488" s="130"/>
      <c r="AG488" s="106"/>
    </row>
    <row r="489">
      <c r="C489" s="79"/>
      <c r="D489" s="79"/>
      <c r="E489" s="79"/>
      <c r="O489" s="79"/>
      <c r="S489" s="79"/>
      <c r="T489" s="79"/>
      <c r="Y489" s="79"/>
      <c r="AE489" s="130"/>
      <c r="AG489" s="106"/>
    </row>
    <row r="490">
      <c r="C490" s="79"/>
      <c r="D490" s="79"/>
      <c r="E490" s="79"/>
      <c r="O490" s="79"/>
      <c r="S490" s="79"/>
      <c r="T490" s="79"/>
      <c r="Y490" s="79"/>
      <c r="AE490" s="130"/>
      <c r="AG490" s="106"/>
    </row>
    <row r="491">
      <c r="C491" s="79"/>
      <c r="D491" s="79"/>
      <c r="E491" s="79"/>
      <c r="O491" s="79"/>
      <c r="S491" s="79"/>
      <c r="T491" s="79"/>
      <c r="Y491" s="79"/>
      <c r="AE491" s="130"/>
      <c r="AG491" s="106"/>
    </row>
    <row r="492">
      <c r="C492" s="79"/>
      <c r="D492" s="79"/>
      <c r="E492" s="79"/>
      <c r="O492" s="79"/>
      <c r="S492" s="79"/>
      <c r="T492" s="79"/>
      <c r="Y492" s="79"/>
      <c r="AE492" s="130"/>
      <c r="AG492" s="106"/>
    </row>
    <row r="493">
      <c r="C493" s="79"/>
      <c r="D493" s="79"/>
      <c r="E493" s="79"/>
      <c r="O493" s="79"/>
      <c r="S493" s="79"/>
      <c r="T493" s="79"/>
      <c r="Y493" s="79"/>
      <c r="AE493" s="130"/>
      <c r="AG493" s="106"/>
    </row>
    <row r="494">
      <c r="C494" s="79"/>
      <c r="D494" s="79"/>
      <c r="E494" s="79"/>
      <c r="O494" s="79"/>
      <c r="S494" s="79"/>
      <c r="T494" s="79"/>
      <c r="Y494" s="79"/>
      <c r="AE494" s="130"/>
      <c r="AG494" s="106"/>
    </row>
    <row r="495">
      <c r="C495" s="79"/>
      <c r="D495" s="79"/>
      <c r="E495" s="79"/>
      <c r="O495" s="79"/>
      <c r="S495" s="79"/>
      <c r="T495" s="79"/>
      <c r="Y495" s="79"/>
      <c r="AE495" s="130"/>
      <c r="AG495" s="106"/>
    </row>
    <row r="496">
      <c r="C496" s="79"/>
      <c r="D496" s="79"/>
      <c r="E496" s="79"/>
      <c r="O496" s="79"/>
      <c r="S496" s="79"/>
      <c r="T496" s="79"/>
      <c r="Y496" s="79"/>
      <c r="AE496" s="130"/>
      <c r="AG496" s="106"/>
    </row>
    <row r="497">
      <c r="C497" s="79"/>
      <c r="D497" s="79"/>
      <c r="E497" s="79"/>
      <c r="O497" s="79"/>
      <c r="S497" s="79"/>
      <c r="T497" s="79"/>
      <c r="Y497" s="79"/>
      <c r="AE497" s="130"/>
      <c r="AG497" s="106"/>
    </row>
    <row r="498">
      <c r="C498" s="79"/>
      <c r="D498" s="79"/>
      <c r="E498" s="79"/>
      <c r="O498" s="79"/>
      <c r="S498" s="79"/>
      <c r="T498" s="79"/>
      <c r="Y498" s="79"/>
      <c r="AE498" s="130"/>
      <c r="AG498" s="106"/>
    </row>
    <row r="499">
      <c r="C499" s="79"/>
      <c r="D499" s="79"/>
      <c r="E499" s="79"/>
      <c r="O499" s="79"/>
      <c r="S499" s="79"/>
      <c r="T499" s="79"/>
      <c r="Y499" s="79"/>
      <c r="AE499" s="130"/>
      <c r="AG499" s="106"/>
    </row>
    <row r="500">
      <c r="C500" s="79"/>
      <c r="D500" s="79"/>
      <c r="E500" s="79"/>
      <c r="O500" s="79"/>
      <c r="S500" s="79"/>
      <c r="T500" s="79"/>
      <c r="Y500" s="79"/>
      <c r="AE500" s="130"/>
      <c r="AG500" s="106"/>
    </row>
    <row r="501">
      <c r="C501" s="79"/>
      <c r="D501" s="79"/>
      <c r="E501" s="79"/>
      <c r="O501" s="79"/>
      <c r="S501" s="79"/>
      <c r="T501" s="79"/>
      <c r="Y501" s="79"/>
      <c r="AE501" s="130"/>
      <c r="AG501" s="106"/>
    </row>
    <row r="502">
      <c r="C502" s="79"/>
      <c r="D502" s="79"/>
      <c r="E502" s="79"/>
      <c r="O502" s="79"/>
      <c r="S502" s="79"/>
      <c r="T502" s="79"/>
      <c r="Y502" s="79"/>
      <c r="AE502" s="130"/>
      <c r="AG502" s="106"/>
    </row>
    <row r="503">
      <c r="C503" s="79"/>
      <c r="D503" s="79"/>
      <c r="E503" s="79"/>
      <c r="O503" s="79"/>
      <c r="S503" s="79"/>
      <c r="T503" s="79"/>
      <c r="Y503" s="79"/>
      <c r="AE503" s="130"/>
      <c r="AG503" s="106"/>
    </row>
    <row r="504">
      <c r="C504" s="79"/>
      <c r="D504" s="79"/>
      <c r="E504" s="79"/>
      <c r="O504" s="79"/>
      <c r="S504" s="79"/>
      <c r="T504" s="79"/>
      <c r="Y504" s="79"/>
      <c r="AE504" s="130"/>
      <c r="AG504" s="106"/>
    </row>
    <row r="505">
      <c r="C505" s="79"/>
      <c r="D505" s="79"/>
      <c r="E505" s="79"/>
      <c r="O505" s="79"/>
      <c r="S505" s="79"/>
      <c r="T505" s="79"/>
      <c r="Y505" s="79"/>
      <c r="AE505" s="130"/>
      <c r="AG505" s="106"/>
    </row>
    <row r="506">
      <c r="C506" s="79"/>
      <c r="D506" s="79"/>
      <c r="E506" s="79"/>
      <c r="O506" s="79"/>
      <c r="S506" s="79"/>
      <c r="T506" s="79"/>
      <c r="Y506" s="79"/>
      <c r="AE506" s="130"/>
      <c r="AG506" s="106"/>
    </row>
    <row r="507">
      <c r="C507" s="79"/>
      <c r="D507" s="79"/>
      <c r="E507" s="79"/>
      <c r="O507" s="79"/>
      <c r="S507" s="79"/>
      <c r="T507" s="79"/>
      <c r="Y507" s="79"/>
      <c r="AE507" s="130"/>
      <c r="AG507" s="106"/>
    </row>
    <row r="508">
      <c r="C508" s="79"/>
      <c r="D508" s="79"/>
      <c r="E508" s="79"/>
      <c r="O508" s="79"/>
      <c r="S508" s="79"/>
      <c r="T508" s="79"/>
      <c r="Y508" s="79"/>
      <c r="AE508" s="130"/>
      <c r="AG508" s="106"/>
    </row>
    <row r="509">
      <c r="C509" s="79"/>
      <c r="D509" s="79"/>
      <c r="E509" s="79"/>
      <c r="O509" s="79"/>
      <c r="S509" s="79"/>
      <c r="T509" s="79"/>
      <c r="Y509" s="79"/>
      <c r="AE509" s="130"/>
      <c r="AG509" s="106"/>
    </row>
    <row r="510">
      <c r="C510" s="79"/>
      <c r="D510" s="79"/>
      <c r="E510" s="79"/>
      <c r="O510" s="79"/>
      <c r="S510" s="79"/>
      <c r="T510" s="79"/>
      <c r="Y510" s="79"/>
      <c r="AE510" s="130"/>
      <c r="AG510" s="106"/>
    </row>
    <row r="511">
      <c r="C511" s="79"/>
      <c r="D511" s="79"/>
      <c r="E511" s="79"/>
      <c r="O511" s="79"/>
      <c r="S511" s="79"/>
      <c r="T511" s="79"/>
      <c r="Y511" s="79"/>
      <c r="AE511" s="130"/>
      <c r="AG511" s="106"/>
    </row>
    <row r="512">
      <c r="C512" s="79"/>
      <c r="D512" s="79"/>
      <c r="E512" s="79"/>
      <c r="O512" s="79"/>
      <c r="S512" s="79"/>
      <c r="T512" s="79"/>
      <c r="Y512" s="79"/>
      <c r="AE512" s="130"/>
      <c r="AG512" s="106"/>
    </row>
    <row r="513">
      <c r="C513" s="79"/>
      <c r="D513" s="79"/>
      <c r="E513" s="79"/>
      <c r="O513" s="79"/>
      <c r="S513" s="79"/>
      <c r="T513" s="79"/>
      <c r="Y513" s="79"/>
      <c r="AE513" s="130"/>
      <c r="AG513" s="106"/>
    </row>
    <row r="514">
      <c r="C514" s="79"/>
      <c r="D514" s="79"/>
      <c r="E514" s="79"/>
      <c r="O514" s="79"/>
      <c r="S514" s="79"/>
      <c r="T514" s="79"/>
      <c r="Y514" s="79"/>
      <c r="AE514" s="130"/>
      <c r="AG514" s="106"/>
    </row>
    <row r="515">
      <c r="C515" s="79"/>
      <c r="D515" s="79"/>
      <c r="E515" s="79"/>
      <c r="O515" s="79"/>
      <c r="S515" s="79"/>
      <c r="T515" s="79"/>
      <c r="Y515" s="79"/>
      <c r="AE515" s="130"/>
      <c r="AG515" s="106"/>
    </row>
    <row r="516">
      <c r="C516" s="79"/>
      <c r="D516" s="79"/>
      <c r="E516" s="79"/>
      <c r="O516" s="79"/>
      <c r="S516" s="79"/>
      <c r="T516" s="79"/>
      <c r="Y516" s="79"/>
      <c r="AE516" s="130"/>
      <c r="AG516" s="106"/>
    </row>
    <row r="517">
      <c r="C517" s="79"/>
      <c r="D517" s="79"/>
      <c r="E517" s="79"/>
      <c r="O517" s="79"/>
      <c r="S517" s="79"/>
      <c r="T517" s="79"/>
      <c r="Y517" s="79"/>
      <c r="AE517" s="130"/>
      <c r="AG517" s="106"/>
    </row>
    <row r="518">
      <c r="C518" s="79"/>
      <c r="D518" s="79"/>
      <c r="E518" s="79"/>
      <c r="O518" s="79"/>
      <c r="S518" s="79"/>
      <c r="T518" s="79"/>
      <c r="Y518" s="79"/>
      <c r="AE518" s="130"/>
      <c r="AG518" s="106"/>
    </row>
    <row r="519">
      <c r="C519" s="79"/>
      <c r="D519" s="79"/>
      <c r="E519" s="79"/>
      <c r="O519" s="79"/>
      <c r="S519" s="79"/>
      <c r="T519" s="79"/>
      <c r="Y519" s="79"/>
      <c r="AE519" s="130"/>
      <c r="AG519" s="106"/>
    </row>
    <row r="520">
      <c r="C520" s="79"/>
      <c r="D520" s="79"/>
      <c r="E520" s="79"/>
      <c r="O520" s="79"/>
      <c r="S520" s="79"/>
      <c r="T520" s="79"/>
      <c r="Y520" s="79"/>
      <c r="AE520" s="130"/>
      <c r="AG520" s="106"/>
    </row>
    <row r="521">
      <c r="C521" s="79"/>
      <c r="D521" s="79"/>
      <c r="E521" s="79"/>
      <c r="O521" s="79"/>
      <c r="S521" s="79"/>
      <c r="T521" s="79"/>
      <c r="Y521" s="79"/>
      <c r="AE521" s="130"/>
      <c r="AG521" s="106"/>
    </row>
    <row r="522">
      <c r="C522" s="79"/>
      <c r="D522" s="79"/>
      <c r="E522" s="79"/>
      <c r="O522" s="79"/>
      <c r="S522" s="79"/>
      <c r="T522" s="79"/>
      <c r="Y522" s="79"/>
      <c r="AE522" s="130"/>
      <c r="AG522" s="106"/>
    </row>
    <row r="523">
      <c r="C523" s="79"/>
      <c r="D523" s="79"/>
      <c r="E523" s="79"/>
      <c r="O523" s="79"/>
      <c r="S523" s="79"/>
      <c r="T523" s="79"/>
      <c r="Y523" s="79"/>
      <c r="AE523" s="130"/>
      <c r="AG523" s="106"/>
    </row>
    <row r="524">
      <c r="C524" s="79"/>
      <c r="D524" s="79"/>
      <c r="E524" s="79"/>
      <c r="O524" s="79"/>
      <c r="S524" s="79"/>
      <c r="T524" s="79"/>
      <c r="Y524" s="79"/>
      <c r="AE524" s="130"/>
      <c r="AG524" s="106"/>
    </row>
    <row r="525">
      <c r="C525" s="79"/>
      <c r="D525" s="79"/>
      <c r="E525" s="79"/>
      <c r="O525" s="79"/>
      <c r="S525" s="79"/>
      <c r="T525" s="79"/>
      <c r="Y525" s="79"/>
      <c r="AE525" s="130"/>
      <c r="AG525" s="106"/>
    </row>
    <row r="526">
      <c r="C526" s="79"/>
      <c r="D526" s="79"/>
      <c r="E526" s="79"/>
      <c r="O526" s="79"/>
      <c r="S526" s="79"/>
      <c r="T526" s="79"/>
      <c r="Y526" s="79"/>
      <c r="AE526" s="130"/>
      <c r="AG526" s="106"/>
    </row>
    <row r="527">
      <c r="C527" s="79"/>
      <c r="D527" s="79"/>
      <c r="E527" s="79"/>
      <c r="O527" s="79"/>
      <c r="S527" s="79"/>
      <c r="T527" s="79"/>
      <c r="Y527" s="79"/>
      <c r="AE527" s="130"/>
      <c r="AG527" s="106"/>
    </row>
    <row r="528">
      <c r="C528" s="79"/>
      <c r="D528" s="79"/>
      <c r="E528" s="79"/>
      <c r="O528" s="79"/>
      <c r="S528" s="79"/>
      <c r="T528" s="79"/>
      <c r="Y528" s="79"/>
      <c r="AE528" s="130"/>
      <c r="AG528" s="106"/>
    </row>
    <row r="529">
      <c r="C529" s="79"/>
      <c r="D529" s="79"/>
      <c r="E529" s="79"/>
      <c r="O529" s="79"/>
      <c r="S529" s="79"/>
      <c r="T529" s="79"/>
      <c r="Y529" s="79"/>
      <c r="AE529" s="130"/>
      <c r="AG529" s="106"/>
    </row>
    <row r="530">
      <c r="C530" s="79"/>
      <c r="D530" s="79"/>
      <c r="E530" s="79"/>
      <c r="O530" s="79"/>
      <c r="S530" s="79"/>
      <c r="T530" s="79"/>
      <c r="Y530" s="79"/>
      <c r="AE530" s="130"/>
      <c r="AG530" s="106"/>
    </row>
    <row r="531">
      <c r="C531" s="79"/>
      <c r="D531" s="79"/>
      <c r="E531" s="79"/>
      <c r="O531" s="79"/>
      <c r="S531" s="79"/>
      <c r="T531" s="79"/>
      <c r="Y531" s="79"/>
      <c r="AE531" s="130"/>
      <c r="AG531" s="106"/>
    </row>
    <row r="532">
      <c r="C532" s="79"/>
      <c r="D532" s="79"/>
      <c r="E532" s="79"/>
      <c r="O532" s="79"/>
      <c r="S532" s="79"/>
      <c r="T532" s="79"/>
      <c r="Y532" s="79"/>
      <c r="AE532" s="130"/>
      <c r="AG532" s="106"/>
    </row>
    <row r="533">
      <c r="C533" s="79"/>
      <c r="D533" s="79"/>
      <c r="E533" s="79"/>
      <c r="O533" s="79"/>
      <c r="S533" s="79"/>
      <c r="T533" s="79"/>
      <c r="Y533" s="79"/>
      <c r="AE533" s="130"/>
      <c r="AG533" s="106"/>
    </row>
    <row r="534">
      <c r="C534" s="79"/>
      <c r="D534" s="79"/>
      <c r="E534" s="79"/>
      <c r="O534" s="79"/>
      <c r="S534" s="79"/>
      <c r="T534" s="79"/>
      <c r="Y534" s="79"/>
      <c r="AE534" s="130"/>
      <c r="AG534" s="106"/>
    </row>
    <row r="535">
      <c r="C535" s="79"/>
      <c r="D535" s="79"/>
      <c r="E535" s="79"/>
      <c r="O535" s="79"/>
      <c r="S535" s="79"/>
      <c r="T535" s="79"/>
      <c r="Y535" s="79"/>
      <c r="AE535" s="130"/>
      <c r="AG535" s="106"/>
    </row>
    <row r="536">
      <c r="C536" s="79"/>
      <c r="D536" s="79"/>
      <c r="E536" s="79"/>
      <c r="O536" s="79"/>
      <c r="S536" s="79"/>
      <c r="T536" s="79"/>
      <c r="Y536" s="79"/>
      <c r="AE536" s="130"/>
      <c r="AG536" s="106"/>
    </row>
    <row r="537">
      <c r="C537" s="79"/>
      <c r="D537" s="79"/>
      <c r="E537" s="79"/>
      <c r="O537" s="79"/>
      <c r="S537" s="79"/>
      <c r="T537" s="79"/>
      <c r="Y537" s="79"/>
      <c r="AE537" s="130"/>
      <c r="AG537" s="106"/>
    </row>
    <row r="538">
      <c r="C538" s="79"/>
      <c r="D538" s="79"/>
      <c r="E538" s="79"/>
      <c r="O538" s="79"/>
      <c r="S538" s="79"/>
      <c r="T538" s="79"/>
      <c r="Y538" s="79"/>
      <c r="AE538" s="130"/>
      <c r="AG538" s="106"/>
    </row>
    <row r="539">
      <c r="C539" s="79"/>
      <c r="D539" s="79"/>
      <c r="E539" s="79"/>
      <c r="O539" s="79"/>
      <c r="S539" s="79"/>
      <c r="T539" s="79"/>
      <c r="Y539" s="79"/>
      <c r="AE539" s="130"/>
      <c r="AG539" s="106"/>
    </row>
    <row r="540">
      <c r="C540" s="79"/>
      <c r="D540" s="79"/>
      <c r="E540" s="79"/>
      <c r="O540" s="79"/>
      <c r="S540" s="79"/>
      <c r="T540" s="79"/>
      <c r="Y540" s="79"/>
      <c r="AE540" s="130"/>
      <c r="AG540" s="106"/>
    </row>
    <row r="541">
      <c r="C541" s="79"/>
      <c r="D541" s="79"/>
      <c r="E541" s="79"/>
      <c r="O541" s="79"/>
      <c r="S541" s="79"/>
      <c r="T541" s="79"/>
      <c r="Y541" s="79"/>
      <c r="AE541" s="130"/>
      <c r="AG541" s="106"/>
    </row>
    <row r="542">
      <c r="C542" s="79"/>
      <c r="D542" s="79"/>
      <c r="E542" s="79"/>
      <c r="O542" s="79"/>
      <c r="S542" s="79"/>
      <c r="T542" s="79"/>
      <c r="Y542" s="79"/>
      <c r="AE542" s="130"/>
      <c r="AG542" s="106"/>
    </row>
    <row r="543">
      <c r="C543" s="79"/>
      <c r="D543" s="79"/>
      <c r="E543" s="79"/>
      <c r="O543" s="79"/>
      <c r="S543" s="79"/>
      <c r="T543" s="79"/>
      <c r="Y543" s="79"/>
      <c r="AE543" s="130"/>
      <c r="AG543" s="106"/>
    </row>
    <row r="544">
      <c r="C544" s="79"/>
      <c r="D544" s="79"/>
      <c r="E544" s="79"/>
      <c r="O544" s="79"/>
      <c r="S544" s="79"/>
      <c r="T544" s="79"/>
      <c r="Y544" s="79"/>
      <c r="AE544" s="130"/>
      <c r="AG544" s="106"/>
    </row>
    <row r="545">
      <c r="C545" s="79"/>
      <c r="D545" s="79"/>
      <c r="E545" s="79"/>
      <c r="O545" s="79"/>
      <c r="S545" s="79"/>
      <c r="T545" s="79"/>
      <c r="Y545" s="79"/>
      <c r="AE545" s="130"/>
      <c r="AG545" s="106"/>
    </row>
    <row r="546">
      <c r="C546" s="79"/>
      <c r="D546" s="79"/>
      <c r="E546" s="79"/>
      <c r="O546" s="79"/>
      <c r="S546" s="79"/>
      <c r="T546" s="79"/>
      <c r="Y546" s="79"/>
      <c r="AE546" s="130"/>
      <c r="AG546" s="106"/>
    </row>
    <row r="547">
      <c r="C547" s="79"/>
      <c r="D547" s="79"/>
      <c r="E547" s="79"/>
      <c r="O547" s="79"/>
      <c r="S547" s="79"/>
      <c r="T547" s="79"/>
      <c r="Y547" s="79"/>
      <c r="AE547" s="130"/>
      <c r="AG547" s="106"/>
    </row>
    <row r="548">
      <c r="C548" s="79"/>
      <c r="D548" s="79"/>
      <c r="E548" s="79"/>
      <c r="O548" s="79"/>
      <c r="S548" s="79"/>
      <c r="T548" s="79"/>
      <c r="Y548" s="79"/>
      <c r="AE548" s="130"/>
      <c r="AG548" s="106"/>
    </row>
    <row r="549">
      <c r="C549" s="79"/>
      <c r="D549" s="79"/>
      <c r="E549" s="79"/>
      <c r="O549" s="79"/>
      <c r="S549" s="79"/>
      <c r="T549" s="79"/>
      <c r="Y549" s="79"/>
      <c r="AE549" s="130"/>
      <c r="AG549" s="106"/>
    </row>
    <row r="550">
      <c r="C550" s="79"/>
      <c r="D550" s="79"/>
      <c r="E550" s="79"/>
      <c r="O550" s="79"/>
      <c r="S550" s="79"/>
      <c r="T550" s="79"/>
      <c r="Y550" s="79"/>
      <c r="AE550" s="130"/>
      <c r="AG550" s="106"/>
    </row>
    <row r="551">
      <c r="C551" s="79"/>
      <c r="D551" s="79"/>
      <c r="E551" s="79"/>
      <c r="O551" s="79"/>
      <c r="S551" s="79"/>
      <c r="T551" s="79"/>
      <c r="Y551" s="79"/>
      <c r="AE551" s="130"/>
      <c r="AG551" s="106"/>
    </row>
    <row r="552">
      <c r="C552" s="79"/>
      <c r="D552" s="79"/>
      <c r="E552" s="79"/>
      <c r="O552" s="79"/>
      <c r="S552" s="79"/>
      <c r="T552" s="79"/>
      <c r="Y552" s="79"/>
      <c r="AE552" s="130"/>
      <c r="AG552" s="106"/>
    </row>
    <row r="553">
      <c r="C553" s="79"/>
      <c r="D553" s="79"/>
      <c r="E553" s="79"/>
      <c r="O553" s="79"/>
      <c r="S553" s="79"/>
      <c r="T553" s="79"/>
      <c r="Y553" s="79"/>
      <c r="AE553" s="130"/>
      <c r="AG553" s="106"/>
    </row>
    <row r="554">
      <c r="C554" s="79"/>
      <c r="D554" s="79"/>
      <c r="E554" s="79"/>
      <c r="O554" s="79"/>
      <c r="S554" s="79"/>
      <c r="T554" s="79"/>
      <c r="Y554" s="79"/>
      <c r="AE554" s="130"/>
      <c r="AG554" s="106"/>
    </row>
    <row r="555">
      <c r="C555" s="79"/>
      <c r="D555" s="79"/>
      <c r="E555" s="79"/>
      <c r="O555" s="79"/>
      <c r="S555" s="79"/>
      <c r="T555" s="79"/>
      <c r="Y555" s="79"/>
      <c r="AE555" s="130"/>
      <c r="AG555" s="106"/>
    </row>
    <row r="556">
      <c r="C556" s="79"/>
      <c r="D556" s="79"/>
      <c r="E556" s="79"/>
      <c r="O556" s="79"/>
      <c r="S556" s="79"/>
      <c r="T556" s="79"/>
      <c r="Y556" s="79"/>
      <c r="AE556" s="130"/>
      <c r="AG556" s="106"/>
    </row>
    <row r="557">
      <c r="C557" s="79"/>
      <c r="D557" s="79"/>
      <c r="E557" s="79"/>
      <c r="O557" s="79"/>
      <c r="S557" s="79"/>
      <c r="T557" s="79"/>
      <c r="Y557" s="79"/>
      <c r="AE557" s="130"/>
      <c r="AG557" s="106"/>
    </row>
    <row r="558">
      <c r="C558" s="79"/>
      <c r="D558" s="79"/>
      <c r="E558" s="79"/>
      <c r="O558" s="79"/>
      <c r="S558" s="79"/>
      <c r="T558" s="79"/>
      <c r="Y558" s="79"/>
      <c r="AE558" s="130"/>
      <c r="AG558" s="106"/>
    </row>
    <row r="559">
      <c r="C559" s="79"/>
      <c r="D559" s="79"/>
      <c r="E559" s="79"/>
      <c r="O559" s="79"/>
      <c r="S559" s="79"/>
      <c r="T559" s="79"/>
      <c r="Y559" s="79"/>
      <c r="AE559" s="130"/>
      <c r="AG559" s="106"/>
    </row>
    <row r="560">
      <c r="C560" s="79"/>
      <c r="D560" s="79"/>
      <c r="E560" s="79"/>
      <c r="O560" s="79"/>
      <c r="S560" s="79"/>
      <c r="T560" s="79"/>
      <c r="Y560" s="79"/>
      <c r="AE560" s="130"/>
      <c r="AG560" s="106"/>
    </row>
    <row r="561">
      <c r="C561" s="79"/>
      <c r="D561" s="79"/>
      <c r="E561" s="79"/>
      <c r="O561" s="79"/>
      <c r="S561" s="79"/>
      <c r="T561" s="79"/>
      <c r="Y561" s="79"/>
      <c r="AE561" s="130"/>
      <c r="AG561" s="106"/>
    </row>
    <row r="562">
      <c r="C562" s="79"/>
      <c r="D562" s="79"/>
      <c r="E562" s="79"/>
      <c r="O562" s="79"/>
      <c r="S562" s="79"/>
      <c r="T562" s="79"/>
      <c r="Y562" s="79"/>
      <c r="AE562" s="130"/>
      <c r="AG562" s="106"/>
    </row>
    <row r="563">
      <c r="C563" s="79"/>
      <c r="D563" s="79"/>
      <c r="E563" s="79"/>
      <c r="O563" s="79"/>
      <c r="S563" s="79"/>
      <c r="T563" s="79"/>
      <c r="Y563" s="79"/>
      <c r="AE563" s="130"/>
      <c r="AG563" s="106"/>
    </row>
    <row r="564">
      <c r="C564" s="79"/>
      <c r="D564" s="79"/>
      <c r="E564" s="79"/>
      <c r="O564" s="79"/>
      <c r="S564" s="79"/>
      <c r="T564" s="79"/>
      <c r="Y564" s="79"/>
      <c r="AE564" s="130"/>
      <c r="AG564" s="106"/>
    </row>
    <row r="565">
      <c r="C565" s="79"/>
      <c r="D565" s="79"/>
      <c r="E565" s="79"/>
      <c r="O565" s="79"/>
      <c r="S565" s="79"/>
      <c r="T565" s="79"/>
      <c r="Y565" s="79"/>
      <c r="AE565" s="130"/>
      <c r="AG565" s="106"/>
    </row>
    <row r="566">
      <c r="C566" s="79"/>
      <c r="D566" s="79"/>
      <c r="E566" s="79"/>
      <c r="O566" s="79"/>
      <c r="S566" s="79"/>
      <c r="T566" s="79"/>
      <c r="Y566" s="79"/>
      <c r="AE566" s="130"/>
      <c r="AG566" s="106"/>
    </row>
    <row r="567">
      <c r="C567" s="79"/>
      <c r="D567" s="79"/>
      <c r="E567" s="79"/>
      <c r="O567" s="79"/>
      <c r="S567" s="79"/>
      <c r="T567" s="79"/>
      <c r="Y567" s="79"/>
      <c r="AE567" s="130"/>
      <c r="AG567" s="106"/>
    </row>
    <row r="568">
      <c r="C568" s="79"/>
      <c r="D568" s="79"/>
      <c r="E568" s="79"/>
      <c r="O568" s="79"/>
      <c r="S568" s="79"/>
      <c r="T568" s="79"/>
      <c r="Y568" s="79"/>
      <c r="AE568" s="130"/>
      <c r="AG568" s="106"/>
    </row>
    <row r="569">
      <c r="C569" s="79"/>
      <c r="D569" s="79"/>
      <c r="E569" s="79"/>
      <c r="O569" s="79"/>
      <c r="S569" s="79"/>
      <c r="T569" s="79"/>
      <c r="Y569" s="79"/>
      <c r="AE569" s="130"/>
      <c r="AG569" s="106"/>
    </row>
    <row r="570">
      <c r="C570" s="79"/>
      <c r="D570" s="79"/>
      <c r="E570" s="79"/>
      <c r="O570" s="79"/>
      <c r="S570" s="79"/>
      <c r="T570" s="79"/>
      <c r="Y570" s="79"/>
      <c r="AE570" s="130"/>
      <c r="AG570" s="106"/>
    </row>
    <row r="571">
      <c r="C571" s="79"/>
      <c r="D571" s="79"/>
      <c r="E571" s="79"/>
      <c r="O571" s="79"/>
      <c r="S571" s="79"/>
      <c r="T571" s="79"/>
      <c r="Y571" s="79"/>
      <c r="AE571" s="130"/>
      <c r="AG571" s="106"/>
    </row>
    <row r="572">
      <c r="C572" s="79"/>
      <c r="D572" s="79"/>
      <c r="E572" s="79"/>
      <c r="O572" s="79"/>
      <c r="S572" s="79"/>
      <c r="T572" s="79"/>
      <c r="Y572" s="79"/>
      <c r="AE572" s="130"/>
      <c r="AG572" s="106"/>
    </row>
    <row r="573">
      <c r="C573" s="79"/>
      <c r="D573" s="79"/>
      <c r="E573" s="79"/>
      <c r="O573" s="79"/>
      <c r="S573" s="79"/>
      <c r="T573" s="79"/>
      <c r="Y573" s="79"/>
      <c r="AE573" s="130"/>
      <c r="AG573" s="106"/>
    </row>
    <row r="574">
      <c r="C574" s="79"/>
      <c r="D574" s="79"/>
      <c r="E574" s="79"/>
      <c r="O574" s="79"/>
      <c r="S574" s="79"/>
      <c r="T574" s="79"/>
      <c r="Y574" s="79"/>
      <c r="AE574" s="130"/>
      <c r="AG574" s="106"/>
    </row>
    <row r="575">
      <c r="C575" s="79"/>
      <c r="D575" s="79"/>
      <c r="E575" s="79"/>
      <c r="O575" s="79"/>
      <c r="S575" s="79"/>
      <c r="T575" s="79"/>
      <c r="Y575" s="79"/>
      <c r="AE575" s="130"/>
      <c r="AG575" s="106"/>
    </row>
    <row r="576">
      <c r="C576" s="79"/>
      <c r="D576" s="79"/>
      <c r="E576" s="79"/>
      <c r="O576" s="79"/>
      <c r="S576" s="79"/>
      <c r="T576" s="79"/>
      <c r="Y576" s="79"/>
      <c r="AE576" s="130"/>
      <c r="AG576" s="106"/>
    </row>
    <row r="577">
      <c r="C577" s="79"/>
      <c r="D577" s="79"/>
      <c r="E577" s="79"/>
      <c r="O577" s="79"/>
      <c r="S577" s="79"/>
      <c r="T577" s="79"/>
      <c r="Y577" s="79"/>
      <c r="AE577" s="130"/>
      <c r="AG577" s="106"/>
    </row>
    <row r="578">
      <c r="C578" s="79"/>
      <c r="D578" s="79"/>
      <c r="E578" s="79"/>
      <c r="O578" s="79"/>
      <c r="S578" s="79"/>
      <c r="T578" s="79"/>
      <c r="Y578" s="79"/>
      <c r="AE578" s="130"/>
      <c r="AG578" s="106"/>
    </row>
    <row r="579">
      <c r="C579" s="79"/>
      <c r="D579" s="79"/>
      <c r="E579" s="79"/>
      <c r="O579" s="79"/>
      <c r="S579" s="79"/>
      <c r="T579" s="79"/>
      <c r="Y579" s="79"/>
      <c r="AE579" s="130"/>
      <c r="AG579" s="106"/>
    </row>
    <row r="580">
      <c r="C580" s="79"/>
      <c r="D580" s="79"/>
      <c r="E580" s="79"/>
      <c r="O580" s="79"/>
      <c r="S580" s="79"/>
      <c r="T580" s="79"/>
      <c r="Y580" s="79"/>
      <c r="AE580" s="130"/>
      <c r="AG580" s="106"/>
    </row>
    <row r="581">
      <c r="C581" s="79"/>
      <c r="D581" s="79"/>
      <c r="E581" s="79"/>
      <c r="O581" s="79"/>
      <c r="S581" s="79"/>
      <c r="T581" s="79"/>
      <c r="Y581" s="79"/>
      <c r="AE581" s="130"/>
      <c r="AG581" s="106"/>
    </row>
    <row r="582">
      <c r="C582" s="79"/>
      <c r="D582" s="79"/>
      <c r="E582" s="79"/>
      <c r="O582" s="79"/>
      <c r="S582" s="79"/>
      <c r="T582" s="79"/>
      <c r="Y582" s="79"/>
      <c r="AE582" s="130"/>
      <c r="AG582" s="106"/>
    </row>
    <row r="583">
      <c r="C583" s="79"/>
      <c r="D583" s="79"/>
      <c r="E583" s="79"/>
      <c r="O583" s="79"/>
      <c r="S583" s="79"/>
      <c r="T583" s="79"/>
      <c r="Y583" s="79"/>
      <c r="AE583" s="130"/>
      <c r="AG583" s="106"/>
    </row>
    <row r="584">
      <c r="C584" s="79"/>
      <c r="D584" s="79"/>
      <c r="E584" s="79"/>
      <c r="O584" s="79"/>
      <c r="S584" s="79"/>
      <c r="T584" s="79"/>
      <c r="Y584" s="79"/>
      <c r="AE584" s="130"/>
      <c r="AG584" s="106"/>
    </row>
    <row r="585">
      <c r="C585" s="79"/>
      <c r="D585" s="79"/>
      <c r="E585" s="79"/>
      <c r="O585" s="79"/>
      <c r="S585" s="79"/>
      <c r="T585" s="79"/>
      <c r="Y585" s="79"/>
      <c r="AE585" s="130"/>
      <c r="AG585" s="106"/>
    </row>
    <row r="586">
      <c r="C586" s="79"/>
      <c r="D586" s="79"/>
      <c r="E586" s="79"/>
      <c r="O586" s="79"/>
      <c r="S586" s="79"/>
      <c r="T586" s="79"/>
      <c r="Y586" s="79"/>
      <c r="AE586" s="130"/>
      <c r="AG586" s="106"/>
    </row>
    <row r="587">
      <c r="C587" s="79"/>
      <c r="D587" s="79"/>
      <c r="E587" s="79"/>
      <c r="O587" s="79"/>
      <c r="S587" s="79"/>
      <c r="T587" s="79"/>
      <c r="Y587" s="79"/>
      <c r="AE587" s="130"/>
      <c r="AG587" s="106"/>
    </row>
    <row r="588">
      <c r="C588" s="79"/>
      <c r="D588" s="79"/>
      <c r="E588" s="79"/>
      <c r="O588" s="79"/>
      <c r="S588" s="79"/>
      <c r="T588" s="79"/>
      <c r="Y588" s="79"/>
      <c r="AE588" s="130"/>
      <c r="AG588" s="106"/>
    </row>
    <row r="589">
      <c r="C589" s="79"/>
      <c r="D589" s="79"/>
      <c r="E589" s="79"/>
      <c r="O589" s="79"/>
      <c r="S589" s="79"/>
      <c r="T589" s="79"/>
      <c r="Y589" s="79"/>
      <c r="AE589" s="130"/>
      <c r="AG589" s="106"/>
    </row>
    <row r="590">
      <c r="C590" s="79"/>
      <c r="D590" s="79"/>
      <c r="E590" s="79"/>
      <c r="O590" s="79"/>
      <c r="S590" s="79"/>
      <c r="T590" s="79"/>
      <c r="Y590" s="79"/>
      <c r="AE590" s="130"/>
      <c r="AG590" s="106"/>
    </row>
    <row r="591">
      <c r="C591" s="79"/>
      <c r="D591" s="79"/>
      <c r="E591" s="79"/>
      <c r="O591" s="79"/>
      <c r="S591" s="79"/>
      <c r="T591" s="79"/>
      <c r="Y591" s="79"/>
      <c r="AE591" s="130"/>
      <c r="AG591" s="106"/>
    </row>
    <row r="592">
      <c r="C592" s="79"/>
      <c r="D592" s="79"/>
      <c r="E592" s="79"/>
      <c r="O592" s="79"/>
      <c r="S592" s="79"/>
      <c r="T592" s="79"/>
      <c r="Y592" s="79"/>
      <c r="AE592" s="130"/>
      <c r="AG592" s="106"/>
    </row>
    <row r="593">
      <c r="C593" s="79"/>
      <c r="D593" s="79"/>
      <c r="E593" s="79"/>
      <c r="O593" s="79"/>
      <c r="S593" s="79"/>
      <c r="T593" s="79"/>
      <c r="Y593" s="79"/>
      <c r="AE593" s="130"/>
      <c r="AG593" s="106"/>
    </row>
    <row r="594">
      <c r="C594" s="79"/>
      <c r="D594" s="79"/>
      <c r="E594" s="79"/>
      <c r="O594" s="79"/>
      <c r="S594" s="79"/>
      <c r="T594" s="79"/>
      <c r="Y594" s="79"/>
      <c r="AE594" s="130"/>
      <c r="AG594" s="106"/>
    </row>
    <row r="595">
      <c r="C595" s="79"/>
      <c r="D595" s="79"/>
      <c r="E595" s="79"/>
      <c r="O595" s="79"/>
      <c r="S595" s="79"/>
      <c r="T595" s="79"/>
      <c r="Y595" s="79"/>
      <c r="AE595" s="130"/>
      <c r="AG595" s="106"/>
    </row>
    <row r="596">
      <c r="C596" s="79"/>
      <c r="D596" s="79"/>
      <c r="E596" s="79"/>
      <c r="O596" s="79"/>
      <c r="S596" s="79"/>
      <c r="T596" s="79"/>
      <c r="Y596" s="79"/>
      <c r="AE596" s="130"/>
      <c r="AG596" s="106"/>
    </row>
    <row r="597">
      <c r="C597" s="79"/>
      <c r="D597" s="79"/>
      <c r="E597" s="79"/>
      <c r="O597" s="79"/>
      <c r="S597" s="79"/>
      <c r="T597" s="79"/>
      <c r="Y597" s="79"/>
      <c r="AE597" s="130"/>
      <c r="AG597" s="106"/>
    </row>
    <row r="598">
      <c r="C598" s="79"/>
      <c r="D598" s="79"/>
      <c r="E598" s="79"/>
      <c r="O598" s="79"/>
      <c r="S598" s="79"/>
      <c r="T598" s="79"/>
      <c r="Y598" s="79"/>
      <c r="AE598" s="130"/>
      <c r="AG598" s="106"/>
    </row>
    <row r="599">
      <c r="C599" s="79"/>
      <c r="D599" s="79"/>
      <c r="E599" s="79"/>
      <c r="O599" s="79"/>
      <c r="S599" s="79"/>
      <c r="T599" s="79"/>
      <c r="Y599" s="79"/>
      <c r="AE599" s="130"/>
      <c r="AG599" s="106"/>
    </row>
    <row r="600">
      <c r="C600" s="79"/>
      <c r="D600" s="79"/>
      <c r="E600" s="79"/>
      <c r="O600" s="79"/>
      <c r="S600" s="79"/>
      <c r="T600" s="79"/>
      <c r="Y600" s="79"/>
      <c r="AE600" s="130"/>
      <c r="AG600" s="106"/>
    </row>
    <row r="601">
      <c r="C601" s="79"/>
      <c r="D601" s="79"/>
      <c r="E601" s="79"/>
      <c r="O601" s="79"/>
      <c r="S601" s="79"/>
      <c r="T601" s="79"/>
      <c r="Y601" s="79"/>
      <c r="AE601" s="130"/>
      <c r="AG601" s="106"/>
    </row>
    <row r="602">
      <c r="C602" s="79"/>
      <c r="D602" s="79"/>
      <c r="E602" s="79"/>
      <c r="O602" s="79"/>
      <c r="S602" s="79"/>
      <c r="T602" s="79"/>
      <c r="Y602" s="79"/>
      <c r="AE602" s="130"/>
      <c r="AG602" s="106"/>
    </row>
    <row r="603">
      <c r="C603" s="79"/>
      <c r="D603" s="79"/>
      <c r="E603" s="79"/>
      <c r="O603" s="79"/>
      <c r="S603" s="79"/>
      <c r="T603" s="79"/>
      <c r="Y603" s="79"/>
      <c r="AE603" s="130"/>
      <c r="AG603" s="106"/>
    </row>
    <row r="604">
      <c r="C604" s="79"/>
      <c r="D604" s="79"/>
      <c r="E604" s="79"/>
      <c r="O604" s="79"/>
      <c r="S604" s="79"/>
      <c r="T604" s="79"/>
      <c r="Y604" s="79"/>
      <c r="AE604" s="130"/>
      <c r="AG604" s="106"/>
    </row>
    <row r="605">
      <c r="C605" s="79"/>
      <c r="D605" s="79"/>
      <c r="E605" s="79"/>
      <c r="O605" s="79"/>
      <c r="S605" s="79"/>
      <c r="T605" s="79"/>
      <c r="Y605" s="79"/>
      <c r="AE605" s="130"/>
      <c r="AG605" s="106"/>
    </row>
    <row r="606">
      <c r="C606" s="79"/>
      <c r="D606" s="79"/>
      <c r="E606" s="79"/>
      <c r="O606" s="79"/>
      <c r="S606" s="79"/>
      <c r="T606" s="79"/>
      <c r="Y606" s="79"/>
      <c r="AE606" s="130"/>
      <c r="AG606" s="106"/>
    </row>
    <row r="607">
      <c r="C607" s="79"/>
      <c r="D607" s="79"/>
      <c r="E607" s="79"/>
      <c r="O607" s="79"/>
      <c r="S607" s="79"/>
      <c r="T607" s="79"/>
      <c r="Y607" s="79"/>
      <c r="AE607" s="130"/>
      <c r="AG607" s="106"/>
    </row>
    <row r="608">
      <c r="C608" s="79"/>
      <c r="D608" s="79"/>
      <c r="E608" s="79"/>
      <c r="O608" s="79"/>
      <c r="S608" s="79"/>
      <c r="T608" s="79"/>
      <c r="Y608" s="79"/>
      <c r="AE608" s="130"/>
      <c r="AG608" s="106"/>
    </row>
    <row r="609">
      <c r="C609" s="79"/>
      <c r="D609" s="79"/>
      <c r="E609" s="79"/>
      <c r="O609" s="79"/>
      <c r="S609" s="79"/>
      <c r="T609" s="79"/>
      <c r="Y609" s="79"/>
      <c r="AE609" s="130"/>
      <c r="AG609" s="106"/>
    </row>
    <row r="610">
      <c r="C610" s="79"/>
      <c r="D610" s="79"/>
      <c r="E610" s="79"/>
      <c r="O610" s="79"/>
      <c r="S610" s="79"/>
      <c r="T610" s="79"/>
      <c r="Y610" s="79"/>
      <c r="AE610" s="130"/>
      <c r="AG610" s="106"/>
    </row>
    <row r="611">
      <c r="C611" s="79"/>
      <c r="D611" s="79"/>
      <c r="E611" s="79"/>
      <c r="O611" s="79"/>
      <c r="S611" s="79"/>
      <c r="T611" s="79"/>
      <c r="Y611" s="79"/>
      <c r="AE611" s="130"/>
      <c r="AG611" s="106"/>
    </row>
    <row r="612">
      <c r="C612" s="79"/>
      <c r="D612" s="79"/>
      <c r="E612" s="79"/>
      <c r="O612" s="79"/>
      <c r="S612" s="79"/>
      <c r="T612" s="79"/>
      <c r="Y612" s="79"/>
      <c r="AE612" s="130"/>
      <c r="AG612" s="106"/>
    </row>
    <row r="613">
      <c r="C613" s="79"/>
      <c r="D613" s="79"/>
      <c r="E613" s="79"/>
      <c r="O613" s="79"/>
      <c r="S613" s="79"/>
      <c r="T613" s="79"/>
      <c r="Y613" s="79"/>
      <c r="AE613" s="130"/>
      <c r="AG613" s="106"/>
    </row>
    <row r="614">
      <c r="C614" s="79"/>
      <c r="D614" s="79"/>
      <c r="E614" s="79"/>
      <c r="O614" s="79"/>
      <c r="S614" s="79"/>
      <c r="T614" s="79"/>
      <c r="Y614" s="79"/>
      <c r="AE614" s="130"/>
      <c r="AG614" s="106"/>
    </row>
    <row r="615">
      <c r="C615" s="79"/>
      <c r="D615" s="79"/>
      <c r="E615" s="79"/>
      <c r="O615" s="79"/>
      <c r="S615" s="79"/>
      <c r="T615" s="79"/>
      <c r="Y615" s="79"/>
      <c r="AE615" s="130"/>
      <c r="AG615" s="106"/>
    </row>
    <row r="616">
      <c r="C616" s="79"/>
      <c r="D616" s="79"/>
      <c r="E616" s="79"/>
      <c r="O616" s="79"/>
      <c r="S616" s="79"/>
      <c r="T616" s="79"/>
      <c r="Y616" s="79"/>
      <c r="AE616" s="130"/>
      <c r="AG616" s="106"/>
    </row>
    <row r="617">
      <c r="C617" s="79"/>
      <c r="D617" s="79"/>
      <c r="E617" s="79"/>
      <c r="O617" s="79"/>
      <c r="S617" s="79"/>
      <c r="T617" s="79"/>
      <c r="Y617" s="79"/>
      <c r="AE617" s="130"/>
      <c r="AG617" s="106"/>
    </row>
    <row r="618">
      <c r="C618" s="79"/>
      <c r="D618" s="79"/>
      <c r="E618" s="79"/>
      <c r="O618" s="79"/>
      <c r="S618" s="79"/>
      <c r="T618" s="79"/>
      <c r="Y618" s="79"/>
      <c r="AE618" s="130"/>
      <c r="AG618" s="106"/>
    </row>
    <row r="619">
      <c r="C619" s="79"/>
      <c r="D619" s="79"/>
      <c r="E619" s="79"/>
      <c r="O619" s="79"/>
      <c r="S619" s="79"/>
      <c r="T619" s="79"/>
      <c r="Y619" s="79"/>
      <c r="AE619" s="130"/>
      <c r="AG619" s="106"/>
    </row>
    <row r="620">
      <c r="C620" s="79"/>
      <c r="D620" s="79"/>
      <c r="E620" s="79"/>
      <c r="O620" s="79"/>
      <c r="S620" s="79"/>
      <c r="T620" s="79"/>
      <c r="Y620" s="79"/>
      <c r="AE620" s="130"/>
      <c r="AG620" s="106"/>
    </row>
    <row r="621">
      <c r="C621" s="79"/>
      <c r="D621" s="79"/>
      <c r="E621" s="79"/>
      <c r="O621" s="79"/>
      <c r="S621" s="79"/>
      <c r="T621" s="79"/>
      <c r="Y621" s="79"/>
      <c r="AE621" s="130"/>
      <c r="AG621" s="106"/>
    </row>
    <row r="622">
      <c r="C622" s="79"/>
      <c r="D622" s="79"/>
      <c r="E622" s="79"/>
      <c r="O622" s="79"/>
      <c r="S622" s="79"/>
      <c r="T622" s="79"/>
      <c r="Y622" s="79"/>
      <c r="AE622" s="130"/>
      <c r="AG622" s="106"/>
    </row>
    <row r="623">
      <c r="C623" s="79"/>
      <c r="D623" s="79"/>
      <c r="E623" s="79"/>
      <c r="O623" s="79"/>
      <c r="S623" s="79"/>
      <c r="T623" s="79"/>
      <c r="Y623" s="79"/>
      <c r="AE623" s="130"/>
      <c r="AG623" s="106"/>
    </row>
    <row r="624">
      <c r="C624" s="79"/>
      <c r="D624" s="79"/>
      <c r="E624" s="79"/>
      <c r="O624" s="79"/>
      <c r="S624" s="79"/>
      <c r="T624" s="79"/>
      <c r="Y624" s="79"/>
      <c r="AE624" s="130"/>
      <c r="AG624" s="106"/>
    </row>
    <row r="625">
      <c r="C625" s="79"/>
      <c r="D625" s="79"/>
      <c r="E625" s="79"/>
      <c r="O625" s="79"/>
      <c r="S625" s="79"/>
      <c r="T625" s="79"/>
      <c r="Y625" s="79"/>
      <c r="AE625" s="130"/>
      <c r="AG625" s="106"/>
    </row>
    <row r="626">
      <c r="C626" s="79"/>
      <c r="D626" s="79"/>
      <c r="E626" s="79"/>
      <c r="O626" s="79"/>
      <c r="S626" s="79"/>
      <c r="T626" s="79"/>
      <c r="Y626" s="79"/>
      <c r="AE626" s="130"/>
      <c r="AG626" s="106"/>
    </row>
    <row r="627">
      <c r="C627" s="79"/>
      <c r="D627" s="79"/>
      <c r="E627" s="79"/>
      <c r="O627" s="79"/>
      <c r="S627" s="79"/>
      <c r="T627" s="79"/>
      <c r="Y627" s="79"/>
      <c r="AE627" s="130"/>
      <c r="AG627" s="106"/>
    </row>
    <row r="628">
      <c r="C628" s="79"/>
      <c r="D628" s="79"/>
      <c r="E628" s="79"/>
      <c r="O628" s="79"/>
      <c r="S628" s="79"/>
      <c r="T628" s="79"/>
      <c r="Y628" s="79"/>
      <c r="AE628" s="130"/>
      <c r="AG628" s="106"/>
    </row>
    <row r="629">
      <c r="C629" s="79"/>
      <c r="D629" s="79"/>
      <c r="E629" s="79"/>
      <c r="O629" s="79"/>
      <c r="S629" s="79"/>
      <c r="T629" s="79"/>
      <c r="Y629" s="79"/>
      <c r="AE629" s="130"/>
      <c r="AG629" s="106"/>
    </row>
    <row r="630">
      <c r="C630" s="79"/>
      <c r="D630" s="79"/>
      <c r="E630" s="79"/>
      <c r="O630" s="79"/>
      <c r="S630" s="79"/>
      <c r="T630" s="79"/>
      <c r="Y630" s="79"/>
      <c r="AE630" s="130"/>
      <c r="AG630" s="106"/>
    </row>
    <row r="631">
      <c r="C631" s="79"/>
      <c r="D631" s="79"/>
      <c r="E631" s="79"/>
      <c r="O631" s="79"/>
      <c r="S631" s="79"/>
      <c r="T631" s="79"/>
      <c r="Y631" s="79"/>
      <c r="AE631" s="130"/>
      <c r="AG631" s="106"/>
    </row>
    <row r="632">
      <c r="C632" s="79"/>
      <c r="D632" s="79"/>
      <c r="E632" s="79"/>
      <c r="O632" s="79"/>
      <c r="S632" s="79"/>
      <c r="T632" s="79"/>
      <c r="Y632" s="79"/>
      <c r="AE632" s="130"/>
      <c r="AG632" s="106"/>
    </row>
    <row r="633">
      <c r="C633" s="79"/>
      <c r="D633" s="79"/>
      <c r="E633" s="79"/>
      <c r="O633" s="79"/>
      <c r="S633" s="79"/>
      <c r="T633" s="79"/>
      <c r="Y633" s="79"/>
      <c r="AE633" s="130"/>
      <c r="AG633" s="106"/>
    </row>
    <row r="634">
      <c r="C634" s="79"/>
      <c r="D634" s="79"/>
      <c r="E634" s="79"/>
      <c r="O634" s="79"/>
      <c r="S634" s="79"/>
      <c r="T634" s="79"/>
      <c r="Y634" s="79"/>
      <c r="AE634" s="130"/>
      <c r="AG634" s="106"/>
    </row>
    <row r="635">
      <c r="C635" s="79"/>
      <c r="D635" s="79"/>
      <c r="E635" s="79"/>
      <c r="O635" s="79"/>
      <c r="S635" s="79"/>
      <c r="T635" s="79"/>
      <c r="Y635" s="79"/>
      <c r="AE635" s="130"/>
      <c r="AG635" s="106"/>
    </row>
    <row r="636">
      <c r="C636" s="79"/>
      <c r="D636" s="79"/>
      <c r="E636" s="79"/>
      <c r="O636" s="79"/>
      <c r="S636" s="79"/>
      <c r="T636" s="79"/>
      <c r="Y636" s="79"/>
      <c r="AE636" s="130"/>
      <c r="AG636" s="106"/>
    </row>
    <row r="637">
      <c r="C637" s="79"/>
      <c r="D637" s="79"/>
      <c r="E637" s="79"/>
      <c r="O637" s="79"/>
      <c r="S637" s="79"/>
      <c r="T637" s="79"/>
      <c r="Y637" s="79"/>
      <c r="AE637" s="130"/>
      <c r="AG637" s="106"/>
    </row>
    <row r="638">
      <c r="C638" s="79"/>
      <c r="D638" s="79"/>
      <c r="E638" s="79"/>
      <c r="O638" s="79"/>
      <c r="S638" s="79"/>
      <c r="T638" s="79"/>
      <c r="Y638" s="79"/>
      <c r="AE638" s="130"/>
      <c r="AG638" s="106"/>
    </row>
    <row r="639">
      <c r="C639" s="79"/>
      <c r="D639" s="79"/>
      <c r="E639" s="79"/>
      <c r="O639" s="79"/>
      <c r="S639" s="79"/>
      <c r="T639" s="79"/>
      <c r="Y639" s="79"/>
      <c r="AE639" s="130"/>
      <c r="AG639" s="106"/>
    </row>
    <row r="640">
      <c r="C640" s="79"/>
      <c r="D640" s="79"/>
      <c r="E640" s="79"/>
      <c r="O640" s="79"/>
      <c r="S640" s="79"/>
      <c r="T640" s="79"/>
      <c r="Y640" s="79"/>
      <c r="AE640" s="130"/>
      <c r="AG640" s="106"/>
    </row>
    <row r="641">
      <c r="C641" s="79"/>
      <c r="D641" s="79"/>
      <c r="E641" s="79"/>
      <c r="O641" s="79"/>
      <c r="S641" s="79"/>
      <c r="T641" s="79"/>
      <c r="Y641" s="79"/>
      <c r="AE641" s="130"/>
      <c r="AG641" s="106"/>
    </row>
    <row r="642">
      <c r="C642" s="79"/>
      <c r="D642" s="79"/>
      <c r="E642" s="79"/>
      <c r="O642" s="79"/>
      <c r="S642" s="79"/>
      <c r="T642" s="79"/>
      <c r="Y642" s="79"/>
      <c r="AE642" s="130"/>
      <c r="AG642" s="106"/>
    </row>
    <row r="643">
      <c r="C643" s="79"/>
      <c r="D643" s="79"/>
      <c r="E643" s="79"/>
      <c r="O643" s="79"/>
      <c r="S643" s="79"/>
      <c r="T643" s="79"/>
      <c r="Y643" s="79"/>
      <c r="AE643" s="130"/>
      <c r="AG643" s="106"/>
    </row>
    <row r="644">
      <c r="C644" s="79"/>
      <c r="D644" s="79"/>
      <c r="E644" s="79"/>
      <c r="O644" s="79"/>
      <c r="S644" s="79"/>
      <c r="T644" s="79"/>
      <c r="Y644" s="79"/>
      <c r="AE644" s="130"/>
      <c r="AG644" s="106"/>
    </row>
    <row r="645">
      <c r="C645" s="79"/>
      <c r="D645" s="79"/>
      <c r="E645" s="79"/>
      <c r="O645" s="79"/>
      <c r="S645" s="79"/>
      <c r="T645" s="79"/>
      <c r="Y645" s="79"/>
      <c r="AE645" s="130"/>
      <c r="AG645" s="106"/>
    </row>
    <row r="646">
      <c r="C646" s="79"/>
      <c r="D646" s="79"/>
      <c r="E646" s="79"/>
      <c r="O646" s="79"/>
      <c r="S646" s="79"/>
      <c r="T646" s="79"/>
      <c r="Y646" s="79"/>
      <c r="AE646" s="130"/>
      <c r="AG646" s="106"/>
    </row>
    <row r="647">
      <c r="C647" s="79"/>
      <c r="D647" s="79"/>
      <c r="E647" s="79"/>
      <c r="O647" s="79"/>
      <c r="S647" s="79"/>
      <c r="T647" s="79"/>
      <c r="Y647" s="79"/>
      <c r="AE647" s="130"/>
      <c r="AG647" s="106"/>
    </row>
    <row r="648">
      <c r="C648" s="79"/>
      <c r="D648" s="79"/>
      <c r="E648" s="79"/>
      <c r="O648" s="79"/>
      <c r="S648" s="79"/>
      <c r="T648" s="79"/>
      <c r="Y648" s="79"/>
      <c r="AE648" s="130"/>
      <c r="AG648" s="106"/>
    </row>
    <row r="649">
      <c r="C649" s="79"/>
      <c r="D649" s="79"/>
      <c r="E649" s="79"/>
      <c r="O649" s="79"/>
      <c r="S649" s="79"/>
      <c r="T649" s="79"/>
      <c r="Y649" s="79"/>
      <c r="AE649" s="130"/>
      <c r="AG649" s="106"/>
    </row>
    <row r="650">
      <c r="C650" s="79"/>
      <c r="D650" s="79"/>
      <c r="E650" s="79"/>
      <c r="O650" s="79"/>
      <c r="S650" s="79"/>
      <c r="T650" s="79"/>
      <c r="Y650" s="79"/>
      <c r="AE650" s="130"/>
      <c r="AG650" s="106"/>
    </row>
    <row r="651">
      <c r="C651" s="79"/>
      <c r="D651" s="79"/>
      <c r="E651" s="79"/>
      <c r="O651" s="79"/>
      <c r="S651" s="79"/>
      <c r="T651" s="79"/>
      <c r="Y651" s="79"/>
      <c r="AE651" s="130"/>
      <c r="AG651" s="106"/>
    </row>
    <row r="652">
      <c r="C652" s="79"/>
      <c r="D652" s="79"/>
      <c r="E652" s="79"/>
      <c r="O652" s="79"/>
      <c r="S652" s="79"/>
      <c r="T652" s="79"/>
      <c r="Y652" s="79"/>
      <c r="AE652" s="130"/>
      <c r="AG652" s="106"/>
    </row>
    <row r="653">
      <c r="C653" s="79"/>
      <c r="D653" s="79"/>
      <c r="E653" s="79"/>
      <c r="O653" s="79"/>
      <c r="S653" s="79"/>
      <c r="T653" s="79"/>
      <c r="Y653" s="79"/>
      <c r="AE653" s="130"/>
      <c r="AG653" s="106"/>
    </row>
    <row r="654">
      <c r="C654" s="79"/>
      <c r="D654" s="79"/>
      <c r="E654" s="79"/>
      <c r="O654" s="79"/>
      <c r="S654" s="79"/>
      <c r="T654" s="79"/>
      <c r="Y654" s="79"/>
      <c r="AE654" s="130"/>
      <c r="AG654" s="106"/>
    </row>
    <row r="655">
      <c r="C655" s="79"/>
      <c r="D655" s="79"/>
      <c r="E655" s="79"/>
      <c r="O655" s="79"/>
      <c r="S655" s="79"/>
      <c r="T655" s="79"/>
      <c r="Y655" s="79"/>
      <c r="AE655" s="130"/>
      <c r="AG655" s="106"/>
    </row>
    <row r="656">
      <c r="C656" s="79"/>
      <c r="D656" s="79"/>
      <c r="E656" s="79"/>
      <c r="O656" s="79"/>
      <c r="S656" s="79"/>
      <c r="T656" s="79"/>
      <c r="Y656" s="79"/>
      <c r="AE656" s="130"/>
      <c r="AG656" s="106"/>
    </row>
    <row r="657">
      <c r="C657" s="79"/>
      <c r="D657" s="79"/>
      <c r="E657" s="79"/>
      <c r="O657" s="79"/>
      <c r="S657" s="79"/>
      <c r="T657" s="79"/>
      <c r="Y657" s="79"/>
      <c r="AE657" s="130"/>
      <c r="AG657" s="106"/>
    </row>
    <row r="658">
      <c r="C658" s="79"/>
      <c r="D658" s="79"/>
      <c r="E658" s="79"/>
      <c r="O658" s="79"/>
      <c r="S658" s="79"/>
      <c r="T658" s="79"/>
      <c r="Y658" s="79"/>
      <c r="AE658" s="130"/>
      <c r="AG658" s="106"/>
    </row>
    <row r="659">
      <c r="C659" s="79"/>
      <c r="D659" s="79"/>
      <c r="E659" s="79"/>
      <c r="O659" s="79"/>
      <c r="S659" s="79"/>
      <c r="T659" s="79"/>
      <c r="Y659" s="79"/>
      <c r="AE659" s="130"/>
      <c r="AG659" s="106"/>
    </row>
    <row r="660">
      <c r="C660" s="79"/>
      <c r="D660" s="79"/>
      <c r="E660" s="79"/>
      <c r="O660" s="79"/>
      <c r="S660" s="79"/>
      <c r="T660" s="79"/>
      <c r="Y660" s="79"/>
      <c r="AE660" s="130"/>
      <c r="AG660" s="106"/>
    </row>
    <row r="661">
      <c r="C661" s="79"/>
      <c r="D661" s="79"/>
      <c r="E661" s="79"/>
      <c r="O661" s="79"/>
      <c r="S661" s="79"/>
      <c r="T661" s="79"/>
      <c r="Y661" s="79"/>
      <c r="AE661" s="130"/>
      <c r="AG661" s="106"/>
    </row>
    <row r="662">
      <c r="C662" s="79"/>
      <c r="D662" s="79"/>
      <c r="E662" s="79"/>
      <c r="O662" s="79"/>
      <c r="S662" s="79"/>
      <c r="T662" s="79"/>
      <c r="Y662" s="79"/>
      <c r="AE662" s="130"/>
      <c r="AG662" s="106"/>
    </row>
    <row r="663">
      <c r="C663" s="79"/>
      <c r="D663" s="79"/>
      <c r="E663" s="79"/>
      <c r="O663" s="79"/>
      <c r="S663" s="79"/>
      <c r="T663" s="79"/>
      <c r="Y663" s="79"/>
      <c r="AE663" s="130"/>
      <c r="AG663" s="106"/>
    </row>
    <row r="664">
      <c r="C664" s="79"/>
      <c r="D664" s="79"/>
      <c r="E664" s="79"/>
      <c r="O664" s="79"/>
      <c r="S664" s="79"/>
      <c r="T664" s="79"/>
      <c r="Y664" s="79"/>
      <c r="AE664" s="130"/>
      <c r="AG664" s="106"/>
    </row>
    <row r="665">
      <c r="C665" s="79"/>
      <c r="D665" s="79"/>
      <c r="E665" s="79"/>
      <c r="O665" s="79"/>
      <c r="S665" s="79"/>
      <c r="T665" s="79"/>
      <c r="Y665" s="79"/>
      <c r="AE665" s="130"/>
      <c r="AG665" s="106"/>
    </row>
    <row r="666">
      <c r="C666" s="79"/>
      <c r="D666" s="79"/>
      <c r="E666" s="79"/>
      <c r="O666" s="79"/>
      <c r="S666" s="79"/>
      <c r="T666" s="79"/>
      <c r="Y666" s="79"/>
      <c r="AE666" s="130"/>
      <c r="AG666" s="106"/>
    </row>
    <row r="667">
      <c r="C667" s="79"/>
      <c r="D667" s="79"/>
      <c r="E667" s="79"/>
      <c r="O667" s="79"/>
      <c r="S667" s="79"/>
      <c r="T667" s="79"/>
      <c r="Y667" s="79"/>
      <c r="AE667" s="130"/>
      <c r="AG667" s="106"/>
    </row>
    <row r="668">
      <c r="C668" s="79"/>
      <c r="D668" s="79"/>
      <c r="E668" s="79"/>
      <c r="O668" s="79"/>
      <c r="S668" s="79"/>
      <c r="T668" s="79"/>
      <c r="Y668" s="79"/>
      <c r="AE668" s="130"/>
      <c r="AG668" s="106"/>
    </row>
    <row r="669">
      <c r="C669" s="79"/>
      <c r="D669" s="79"/>
      <c r="E669" s="79"/>
      <c r="O669" s="79"/>
      <c r="S669" s="79"/>
      <c r="T669" s="79"/>
      <c r="Y669" s="79"/>
      <c r="AE669" s="130"/>
      <c r="AG669" s="106"/>
    </row>
    <row r="670">
      <c r="C670" s="79"/>
      <c r="D670" s="79"/>
      <c r="E670" s="79"/>
      <c r="O670" s="79"/>
      <c r="S670" s="79"/>
      <c r="T670" s="79"/>
      <c r="Y670" s="79"/>
      <c r="AE670" s="130"/>
      <c r="AG670" s="106"/>
    </row>
    <row r="671">
      <c r="C671" s="79"/>
      <c r="D671" s="79"/>
      <c r="E671" s="79"/>
      <c r="O671" s="79"/>
      <c r="S671" s="79"/>
      <c r="T671" s="79"/>
      <c r="Y671" s="79"/>
      <c r="AE671" s="130"/>
      <c r="AG671" s="106"/>
    </row>
    <row r="672">
      <c r="C672" s="79"/>
      <c r="D672" s="79"/>
      <c r="E672" s="79"/>
      <c r="O672" s="79"/>
      <c r="S672" s="79"/>
      <c r="T672" s="79"/>
      <c r="Y672" s="79"/>
      <c r="AE672" s="130"/>
      <c r="AG672" s="106"/>
    </row>
    <row r="673">
      <c r="C673" s="79"/>
      <c r="D673" s="79"/>
      <c r="E673" s="79"/>
      <c r="O673" s="79"/>
      <c r="S673" s="79"/>
      <c r="T673" s="79"/>
      <c r="Y673" s="79"/>
      <c r="AE673" s="130"/>
      <c r="AG673" s="106"/>
    </row>
    <row r="674">
      <c r="C674" s="79"/>
      <c r="D674" s="79"/>
      <c r="E674" s="79"/>
      <c r="O674" s="79"/>
      <c r="S674" s="79"/>
      <c r="T674" s="79"/>
      <c r="Y674" s="79"/>
      <c r="AE674" s="130"/>
      <c r="AG674" s="106"/>
    </row>
    <row r="675">
      <c r="C675" s="79"/>
      <c r="D675" s="79"/>
      <c r="E675" s="79"/>
      <c r="O675" s="79"/>
      <c r="S675" s="79"/>
      <c r="T675" s="79"/>
      <c r="Y675" s="79"/>
      <c r="AE675" s="130"/>
      <c r="AG675" s="106"/>
    </row>
    <row r="676">
      <c r="C676" s="79"/>
      <c r="D676" s="79"/>
      <c r="E676" s="79"/>
      <c r="O676" s="79"/>
      <c r="S676" s="79"/>
      <c r="T676" s="79"/>
      <c r="Y676" s="79"/>
      <c r="AE676" s="130"/>
      <c r="AG676" s="106"/>
    </row>
    <row r="677">
      <c r="C677" s="79"/>
      <c r="D677" s="79"/>
      <c r="E677" s="79"/>
      <c r="O677" s="79"/>
      <c r="S677" s="79"/>
      <c r="T677" s="79"/>
      <c r="Y677" s="79"/>
      <c r="AE677" s="130"/>
      <c r="AG677" s="106"/>
    </row>
    <row r="678">
      <c r="C678" s="79"/>
      <c r="D678" s="79"/>
      <c r="E678" s="79"/>
      <c r="O678" s="79"/>
      <c r="S678" s="79"/>
      <c r="T678" s="79"/>
      <c r="Y678" s="79"/>
      <c r="AE678" s="130"/>
      <c r="AG678" s="106"/>
    </row>
    <row r="679">
      <c r="C679" s="79"/>
      <c r="D679" s="79"/>
      <c r="E679" s="79"/>
      <c r="O679" s="79"/>
      <c r="S679" s="79"/>
      <c r="T679" s="79"/>
      <c r="Y679" s="79"/>
      <c r="AE679" s="130"/>
      <c r="AG679" s="106"/>
    </row>
    <row r="680">
      <c r="C680" s="79"/>
      <c r="D680" s="79"/>
      <c r="E680" s="79"/>
      <c r="O680" s="79"/>
      <c r="S680" s="79"/>
      <c r="T680" s="79"/>
      <c r="Y680" s="79"/>
      <c r="AE680" s="130"/>
      <c r="AG680" s="106"/>
    </row>
    <row r="681">
      <c r="C681" s="79"/>
      <c r="D681" s="79"/>
      <c r="E681" s="79"/>
      <c r="O681" s="79"/>
      <c r="S681" s="79"/>
      <c r="T681" s="79"/>
      <c r="Y681" s="79"/>
      <c r="AE681" s="130"/>
      <c r="AG681" s="106"/>
    </row>
    <row r="682">
      <c r="C682" s="79"/>
      <c r="D682" s="79"/>
      <c r="E682" s="79"/>
      <c r="O682" s="79"/>
      <c r="S682" s="79"/>
      <c r="T682" s="79"/>
      <c r="Y682" s="79"/>
      <c r="AE682" s="130"/>
      <c r="AG682" s="106"/>
    </row>
    <row r="683">
      <c r="C683" s="79"/>
      <c r="D683" s="79"/>
      <c r="E683" s="79"/>
      <c r="O683" s="79"/>
      <c r="S683" s="79"/>
      <c r="T683" s="79"/>
      <c r="Y683" s="79"/>
      <c r="AE683" s="130"/>
      <c r="AG683" s="106"/>
    </row>
    <row r="684">
      <c r="C684" s="79"/>
      <c r="D684" s="79"/>
      <c r="E684" s="79"/>
      <c r="O684" s="79"/>
      <c r="S684" s="79"/>
      <c r="T684" s="79"/>
      <c r="Y684" s="79"/>
      <c r="AE684" s="130"/>
      <c r="AG684" s="106"/>
    </row>
    <row r="685">
      <c r="C685" s="79"/>
      <c r="D685" s="79"/>
      <c r="E685" s="79"/>
      <c r="O685" s="79"/>
      <c r="S685" s="79"/>
      <c r="T685" s="79"/>
      <c r="Y685" s="79"/>
      <c r="AE685" s="130"/>
      <c r="AG685" s="106"/>
    </row>
    <row r="686">
      <c r="C686" s="79"/>
      <c r="D686" s="79"/>
      <c r="E686" s="79"/>
      <c r="O686" s="79"/>
      <c r="S686" s="79"/>
      <c r="T686" s="79"/>
      <c r="Y686" s="79"/>
      <c r="AE686" s="130"/>
      <c r="AG686" s="106"/>
    </row>
    <row r="687">
      <c r="C687" s="79"/>
      <c r="D687" s="79"/>
      <c r="E687" s="79"/>
      <c r="O687" s="79"/>
      <c r="S687" s="79"/>
      <c r="T687" s="79"/>
      <c r="Y687" s="79"/>
      <c r="AE687" s="130"/>
      <c r="AG687" s="106"/>
    </row>
    <row r="688">
      <c r="C688" s="79"/>
      <c r="D688" s="79"/>
      <c r="E688" s="79"/>
      <c r="O688" s="79"/>
      <c r="S688" s="79"/>
      <c r="T688" s="79"/>
      <c r="Y688" s="79"/>
      <c r="AE688" s="130"/>
      <c r="AG688" s="106"/>
    </row>
    <row r="689">
      <c r="C689" s="79"/>
      <c r="D689" s="79"/>
      <c r="E689" s="79"/>
      <c r="O689" s="79"/>
      <c r="S689" s="79"/>
      <c r="T689" s="79"/>
      <c r="Y689" s="79"/>
      <c r="AE689" s="130"/>
      <c r="AG689" s="106"/>
    </row>
    <row r="690">
      <c r="C690" s="79"/>
      <c r="D690" s="79"/>
      <c r="E690" s="79"/>
      <c r="O690" s="79"/>
      <c r="S690" s="79"/>
      <c r="T690" s="79"/>
      <c r="Y690" s="79"/>
      <c r="AE690" s="130"/>
      <c r="AG690" s="106"/>
    </row>
    <row r="691">
      <c r="C691" s="79"/>
      <c r="D691" s="79"/>
      <c r="E691" s="79"/>
      <c r="O691" s="79"/>
      <c r="S691" s="79"/>
      <c r="T691" s="79"/>
      <c r="Y691" s="79"/>
      <c r="AE691" s="130"/>
      <c r="AG691" s="106"/>
    </row>
    <row r="692">
      <c r="C692" s="79"/>
      <c r="D692" s="79"/>
      <c r="E692" s="79"/>
      <c r="O692" s="79"/>
      <c r="S692" s="79"/>
      <c r="T692" s="79"/>
      <c r="Y692" s="79"/>
      <c r="AE692" s="130"/>
      <c r="AG692" s="106"/>
    </row>
    <row r="693">
      <c r="C693" s="79"/>
      <c r="D693" s="79"/>
      <c r="E693" s="79"/>
      <c r="O693" s="79"/>
      <c r="S693" s="79"/>
      <c r="T693" s="79"/>
      <c r="Y693" s="79"/>
      <c r="AE693" s="130"/>
      <c r="AG693" s="106"/>
    </row>
    <row r="694">
      <c r="C694" s="79"/>
      <c r="D694" s="79"/>
      <c r="E694" s="79"/>
      <c r="O694" s="79"/>
      <c r="S694" s="79"/>
      <c r="T694" s="79"/>
      <c r="Y694" s="79"/>
      <c r="AE694" s="130"/>
      <c r="AG694" s="106"/>
    </row>
    <row r="695">
      <c r="C695" s="79"/>
      <c r="D695" s="79"/>
      <c r="E695" s="79"/>
      <c r="O695" s="79"/>
      <c r="S695" s="79"/>
      <c r="T695" s="79"/>
      <c r="Y695" s="79"/>
      <c r="AE695" s="130"/>
      <c r="AG695" s="106"/>
    </row>
    <row r="696">
      <c r="C696" s="79"/>
      <c r="D696" s="79"/>
      <c r="E696" s="79"/>
      <c r="O696" s="79"/>
      <c r="S696" s="79"/>
      <c r="T696" s="79"/>
      <c r="Y696" s="79"/>
      <c r="AE696" s="130"/>
      <c r="AG696" s="106"/>
    </row>
    <row r="697">
      <c r="C697" s="79"/>
      <c r="D697" s="79"/>
      <c r="E697" s="79"/>
      <c r="O697" s="79"/>
      <c r="S697" s="79"/>
      <c r="T697" s="79"/>
      <c r="Y697" s="79"/>
      <c r="AE697" s="130"/>
      <c r="AG697" s="106"/>
    </row>
    <row r="698">
      <c r="C698" s="79"/>
      <c r="D698" s="79"/>
      <c r="E698" s="79"/>
      <c r="O698" s="79"/>
      <c r="S698" s="79"/>
      <c r="T698" s="79"/>
      <c r="Y698" s="79"/>
      <c r="AE698" s="130"/>
      <c r="AG698" s="106"/>
    </row>
    <row r="699">
      <c r="C699" s="79"/>
      <c r="D699" s="79"/>
      <c r="E699" s="79"/>
      <c r="O699" s="79"/>
      <c r="S699" s="79"/>
      <c r="T699" s="79"/>
      <c r="Y699" s="79"/>
      <c r="AE699" s="130"/>
      <c r="AG699" s="106"/>
    </row>
    <row r="700">
      <c r="C700" s="79"/>
      <c r="D700" s="79"/>
      <c r="E700" s="79"/>
      <c r="O700" s="79"/>
      <c r="S700" s="79"/>
      <c r="T700" s="79"/>
      <c r="Y700" s="79"/>
      <c r="AE700" s="130"/>
      <c r="AG700" s="106"/>
    </row>
    <row r="701">
      <c r="C701" s="79"/>
      <c r="D701" s="79"/>
      <c r="E701" s="79"/>
      <c r="O701" s="79"/>
      <c r="S701" s="79"/>
      <c r="T701" s="79"/>
      <c r="Y701" s="79"/>
      <c r="AE701" s="130"/>
      <c r="AG701" s="106"/>
    </row>
    <row r="702">
      <c r="C702" s="79"/>
      <c r="D702" s="79"/>
      <c r="E702" s="79"/>
      <c r="O702" s="79"/>
      <c r="S702" s="79"/>
      <c r="T702" s="79"/>
      <c r="Y702" s="79"/>
      <c r="AE702" s="130"/>
      <c r="AG702" s="106"/>
    </row>
    <row r="703">
      <c r="C703" s="79"/>
      <c r="D703" s="79"/>
      <c r="E703" s="79"/>
      <c r="O703" s="79"/>
      <c r="S703" s="79"/>
      <c r="T703" s="79"/>
      <c r="Y703" s="79"/>
      <c r="AE703" s="130"/>
      <c r="AG703" s="106"/>
    </row>
    <row r="704">
      <c r="C704" s="79"/>
      <c r="D704" s="79"/>
      <c r="E704" s="79"/>
      <c r="O704" s="79"/>
      <c r="S704" s="79"/>
      <c r="T704" s="79"/>
      <c r="Y704" s="79"/>
      <c r="AE704" s="130"/>
      <c r="AG704" s="106"/>
    </row>
    <row r="705">
      <c r="C705" s="79"/>
      <c r="D705" s="79"/>
      <c r="E705" s="79"/>
      <c r="O705" s="79"/>
      <c r="S705" s="79"/>
      <c r="T705" s="79"/>
      <c r="Y705" s="79"/>
      <c r="AE705" s="130"/>
      <c r="AG705" s="106"/>
    </row>
    <row r="706">
      <c r="C706" s="79"/>
      <c r="D706" s="79"/>
      <c r="E706" s="79"/>
      <c r="O706" s="79"/>
      <c r="S706" s="79"/>
      <c r="T706" s="79"/>
      <c r="Y706" s="79"/>
      <c r="AE706" s="130"/>
      <c r="AG706" s="106"/>
    </row>
    <row r="707">
      <c r="C707" s="79"/>
      <c r="D707" s="79"/>
      <c r="E707" s="79"/>
      <c r="O707" s="79"/>
      <c r="S707" s="79"/>
      <c r="T707" s="79"/>
      <c r="Y707" s="79"/>
      <c r="AE707" s="130"/>
      <c r="AG707" s="106"/>
    </row>
    <row r="708">
      <c r="C708" s="79"/>
      <c r="D708" s="79"/>
      <c r="E708" s="79"/>
      <c r="O708" s="79"/>
      <c r="S708" s="79"/>
      <c r="T708" s="79"/>
      <c r="Y708" s="79"/>
      <c r="AE708" s="130"/>
      <c r="AG708" s="106"/>
    </row>
    <row r="709">
      <c r="C709" s="79"/>
      <c r="D709" s="79"/>
      <c r="E709" s="79"/>
      <c r="O709" s="79"/>
      <c r="S709" s="79"/>
      <c r="T709" s="79"/>
      <c r="Y709" s="79"/>
      <c r="AE709" s="130"/>
      <c r="AG709" s="106"/>
    </row>
    <row r="710">
      <c r="C710" s="79"/>
      <c r="D710" s="79"/>
      <c r="E710" s="79"/>
      <c r="O710" s="79"/>
      <c r="S710" s="79"/>
      <c r="T710" s="79"/>
      <c r="Y710" s="79"/>
      <c r="AE710" s="130"/>
      <c r="AG710" s="106"/>
    </row>
    <row r="711">
      <c r="C711" s="79"/>
      <c r="D711" s="79"/>
      <c r="E711" s="79"/>
      <c r="O711" s="79"/>
      <c r="S711" s="79"/>
      <c r="T711" s="79"/>
      <c r="Y711" s="79"/>
      <c r="AE711" s="130"/>
      <c r="AG711" s="106"/>
    </row>
    <row r="712">
      <c r="C712" s="79"/>
      <c r="D712" s="79"/>
      <c r="E712" s="79"/>
      <c r="O712" s="79"/>
      <c r="S712" s="79"/>
      <c r="T712" s="79"/>
      <c r="Y712" s="79"/>
      <c r="AE712" s="130"/>
      <c r="AG712" s="106"/>
    </row>
    <row r="713">
      <c r="C713" s="79"/>
      <c r="D713" s="79"/>
      <c r="E713" s="79"/>
      <c r="O713" s="79"/>
      <c r="S713" s="79"/>
      <c r="T713" s="79"/>
      <c r="Y713" s="79"/>
      <c r="AE713" s="130"/>
      <c r="AG713" s="106"/>
    </row>
    <row r="714">
      <c r="C714" s="79"/>
      <c r="D714" s="79"/>
      <c r="E714" s="79"/>
      <c r="O714" s="79"/>
      <c r="S714" s="79"/>
      <c r="T714" s="79"/>
      <c r="Y714" s="79"/>
      <c r="AE714" s="130"/>
      <c r="AG714" s="106"/>
    </row>
    <row r="715">
      <c r="C715" s="79"/>
      <c r="D715" s="79"/>
      <c r="E715" s="79"/>
      <c r="O715" s="79"/>
      <c r="S715" s="79"/>
      <c r="T715" s="79"/>
      <c r="Y715" s="79"/>
      <c r="AE715" s="130"/>
      <c r="AG715" s="106"/>
    </row>
    <row r="716">
      <c r="C716" s="79"/>
      <c r="D716" s="79"/>
      <c r="E716" s="79"/>
      <c r="O716" s="79"/>
      <c r="S716" s="79"/>
      <c r="T716" s="79"/>
      <c r="Y716" s="79"/>
      <c r="AE716" s="130"/>
      <c r="AG716" s="106"/>
    </row>
    <row r="717">
      <c r="C717" s="79"/>
      <c r="D717" s="79"/>
      <c r="E717" s="79"/>
      <c r="O717" s="79"/>
      <c r="S717" s="79"/>
      <c r="T717" s="79"/>
      <c r="Y717" s="79"/>
      <c r="AE717" s="130"/>
      <c r="AG717" s="106"/>
    </row>
    <row r="718">
      <c r="C718" s="79"/>
      <c r="D718" s="79"/>
      <c r="E718" s="79"/>
      <c r="O718" s="79"/>
      <c r="S718" s="79"/>
      <c r="T718" s="79"/>
      <c r="Y718" s="79"/>
      <c r="AE718" s="130"/>
      <c r="AG718" s="106"/>
    </row>
    <row r="719">
      <c r="C719" s="79"/>
      <c r="D719" s="79"/>
      <c r="E719" s="79"/>
      <c r="O719" s="79"/>
      <c r="S719" s="79"/>
      <c r="T719" s="79"/>
      <c r="Y719" s="79"/>
      <c r="AE719" s="130"/>
      <c r="AG719" s="106"/>
    </row>
    <row r="720">
      <c r="C720" s="79"/>
      <c r="D720" s="79"/>
      <c r="E720" s="79"/>
      <c r="O720" s="79"/>
      <c r="S720" s="79"/>
      <c r="T720" s="79"/>
      <c r="Y720" s="79"/>
      <c r="AE720" s="130"/>
      <c r="AG720" s="106"/>
    </row>
    <row r="721">
      <c r="C721" s="79"/>
      <c r="D721" s="79"/>
      <c r="E721" s="79"/>
      <c r="O721" s="79"/>
      <c r="S721" s="79"/>
      <c r="T721" s="79"/>
      <c r="Y721" s="79"/>
      <c r="AE721" s="130"/>
      <c r="AG721" s="106"/>
    </row>
    <row r="722">
      <c r="C722" s="79"/>
      <c r="D722" s="79"/>
      <c r="E722" s="79"/>
      <c r="O722" s="79"/>
      <c r="S722" s="79"/>
      <c r="T722" s="79"/>
      <c r="Y722" s="79"/>
      <c r="AE722" s="130"/>
      <c r="AG722" s="106"/>
    </row>
    <row r="723">
      <c r="C723" s="79"/>
      <c r="D723" s="79"/>
      <c r="E723" s="79"/>
      <c r="O723" s="79"/>
      <c r="S723" s="79"/>
      <c r="T723" s="79"/>
      <c r="Y723" s="79"/>
      <c r="AE723" s="130"/>
      <c r="AG723" s="106"/>
    </row>
    <row r="724">
      <c r="C724" s="79"/>
      <c r="D724" s="79"/>
      <c r="E724" s="79"/>
      <c r="O724" s="79"/>
      <c r="S724" s="79"/>
      <c r="T724" s="79"/>
      <c r="Y724" s="79"/>
      <c r="AE724" s="130"/>
      <c r="AG724" s="106"/>
    </row>
    <row r="725">
      <c r="C725" s="79"/>
      <c r="D725" s="79"/>
      <c r="E725" s="79"/>
      <c r="O725" s="79"/>
      <c r="S725" s="79"/>
      <c r="T725" s="79"/>
      <c r="Y725" s="79"/>
      <c r="AE725" s="130"/>
      <c r="AG725" s="106"/>
    </row>
    <row r="726">
      <c r="C726" s="79"/>
      <c r="D726" s="79"/>
      <c r="E726" s="79"/>
      <c r="O726" s="79"/>
      <c r="S726" s="79"/>
      <c r="T726" s="79"/>
      <c r="Y726" s="79"/>
      <c r="AE726" s="130"/>
      <c r="AG726" s="106"/>
    </row>
    <row r="727">
      <c r="C727" s="79"/>
      <c r="D727" s="79"/>
      <c r="E727" s="79"/>
      <c r="O727" s="79"/>
      <c r="S727" s="79"/>
      <c r="T727" s="79"/>
      <c r="Y727" s="79"/>
      <c r="AE727" s="130"/>
      <c r="AG727" s="106"/>
    </row>
    <row r="728">
      <c r="C728" s="79"/>
      <c r="D728" s="79"/>
      <c r="E728" s="79"/>
      <c r="O728" s="79"/>
      <c r="S728" s="79"/>
      <c r="T728" s="79"/>
      <c r="Y728" s="79"/>
      <c r="AE728" s="130"/>
      <c r="AG728" s="106"/>
    </row>
    <row r="729">
      <c r="C729" s="79"/>
      <c r="D729" s="79"/>
      <c r="E729" s="79"/>
      <c r="O729" s="79"/>
      <c r="S729" s="79"/>
      <c r="T729" s="79"/>
      <c r="Y729" s="79"/>
      <c r="AE729" s="130"/>
      <c r="AG729" s="106"/>
    </row>
    <row r="730">
      <c r="C730" s="79"/>
      <c r="D730" s="79"/>
      <c r="E730" s="79"/>
      <c r="O730" s="79"/>
      <c r="S730" s="79"/>
      <c r="T730" s="79"/>
      <c r="Y730" s="79"/>
      <c r="AE730" s="130"/>
      <c r="AG730" s="106"/>
    </row>
    <row r="731">
      <c r="C731" s="79"/>
      <c r="D731" s="79"/>
      <c r="E731" s="79"/>
      <c r="O731" s="79"/>
      <c r="S731" s="79"/>
      <c r="T731" s="79"/>
      <c r="Y731" s="79"/>
      <c r="AE731" s="130"/>
      <c r="AG731" s="106"/>
    </row>
    <row r="732">
      <c r="C732" s="79"/>
      <c r="D732" s="79"/>
      <c r="E732" s="79"/>
      <c r="O732" s="79"/>
      <c r="S732" s="79"/>
      <c r="T732" s="79"/>
      <c r="Y732" s="79"/>
      <c r="AE732" s="130"/>
      <c r="AG732" s="106"/>
    </row>
    <row r="733">
      <c r="C733" s="79"/>
      <c r="D733" s="79"/>
      <c r="E733" s="79"/>
      <c r="O733" s="79"/>
      <c r="S733" s="79"/>
      <c r="T733" s="79"/>
      <c r="Y733" s="79"/>
      <c r="AE733" s="130"/>
      <c r="AG733" s="106"/>
    </row>
    <row r="734">
      <c r="C734" s="79"/>
      <c r="D734" s="79"/>
      <c r="E734" s="79"/>
      <c r="O734" s="79"/>
      <c r="S734" s="79"/>
      <c r="T734" s="79"/>
      <c r="Y734" s="79"/>
      <c r="AE734" s="130"/>
      <c r="AG734" s="106"/>
    </row>
    <row r="735">
      <c r="C735" s="79"/>
      <c r="D735" s="79"/>
      <c r="E735" s="79"/>
      <c r="O735" s="79"/>
      <c r="S735" s="79"/>
      <c r="T735" s="79"/>
      <c r="Y735" s="79"/>
      <c r="AE735" s="130"/>
      <c r="AG735" s="106"/>
    </row>
    <row r="736">
      <c r="C736" s="79"/>
      <c r="D736" s="79"/>
      <c r="E736" s="79"/>
      <c r="O736" s="79"/>
      <c r="S736" s="79"/>
      <c r="T736" s="79"/>
      <c r="Y736" s="79"/>
      <c r="AE736" s="130"/>
      <c r="AG736" s="106"/>
    </row>
    <row r="737">
      <c r="C737" s="79"/>
      <c r="D737" s="79"/>
      <c r="E737" s="79"/>
      <c r="O737" s="79"/>
      <c r="S737" s="79"/>
      <c r="T737" s="79"/>
      <c r="Y737" s="79"/>
      <c r="AE737" s="130"/>
      <c r="AG737" s="106"/>
    </row>
    <row r="738">
      <c r="C738" s="79"/>
      <c r="D738" s="79"/>
      <c r="E738" s="79"/>
      <c r="O738" s="79"/>
      <c r="S738" s="79"/>
      <c r="T738" s="79"/>
      <c r="Y738" s="79"/>
      <c r="AE738" s="130"/>
      <c r="AG738" s="106"/>
    </row>
    <row r="739">
      <c r="C739" s="79"/>
      <c r="D739" s="79"/>
      <c r="E739" s="79"/>
      <c r="O739" s="79"/>
      <c r="S739" s="79"/>
      <c r="T739" s="79"/>
      <c r="Y739" s="79"/>
      <c r="AE739" s="130"/>
      <c r="AG739" s="106"/>
    </row>
    <row r="740">
      <c r="C740" s="79"/>
      <c r="D740" s="79"/>
      <c r="E740" s="79"/>
      <c r="O740" s="79"/>
      <c r="S740" s="79"/>
      <c r="T740" s="79"/>
      <c r="Y740" s="79"/>
      <c r="AE740" s="130"/>
      <c r="AG740" s="106"/>
    </row>
    <row r="741">
      <c r="C741" s="79"/>
      <c r="D741" s="79"/>
      <c r="E741" s="79"/>
      <c r="O741" s="79"/>
      <c r="S741" s="79"/>
      <c r="T741" s="79"/>
      <c r="Y741" s="79"/>
      <c r="AE741" s="130"/>
      <c r="AG741" s="106"/>
    </row>
    <row r="742">
      <c r="C742" s="79"/>
      <c r="D742" s="79"/>
      <c r="E742" s="79"/>
      <c r="O742" s="79"/>
      <c r="S742" s="79"/>
      <c r="T742" s="79"/>
      <c r="Y742" s="79"/>
      <c r="AE742" s="130"/>
      <c r="AG742" s="106"/>
    </row>
    <row r="743">
      <c r="C743" s="79"/>
      <c r="D743" s="79"/>
      <c r="E743" s="79"/>
      <c r="O743" s="79"/>
      <c r="S743" s="79"/>
      <c r="T743" s="79"/>
      <c r="Y743" s="79"/>
      <c r="AE743" s="130"/>
      <c r="AG743" s="106"/>
    </row>
    <row r="744">
      <c r="C744" s="79"/>
      <c r="D744" s="79"/>
      <c r="E744" s="79"/>
      <c r="O744" s="79"/>
      <c r="S744" s="79"/>
      <c r="T744" s="79"/>
      <c r="Y744" s="79"/>
      <c r="AE744" s="130"/>
      <c r="AG744" s="106"/>
    </row>
    <row r="745">
      <c r="C745" s="79"/>
      <c r="D745" s="79"/>
      <c r="E745" s="79"/>
      <c r="O745" s="79"/>
      <c r="S745" s="79"/>
      <c r="T745" s="79"/>
      <c r="Y745" s="79"/>
      <c r="AE745" s="130"/>
      <c r="AG745" s="106"/>
    </row>
    <row r="746">
      <c r="C746" s="79"/>
      <c r="D746" s="79"/>
      <c r="E746" s="79"/>
      <c r="O746" s="79"/>
      <c r="S746" s="79"/>
      <c r="T746" s="79"/>
      <c r="Y746" s="79"/>
      <c r="AE746" s="130"/>
      <c r="AG746" s="106"/>
    </row>
    <row r="747">
      <c r="C747" s="79"/>
      <c r="D747" s="79"/>
      <c r="E747" s="79"/>
      <c r="O747" s="79"/>
      <c r="S747" s="79"/>
      <c r="T747" s="79"/>
      <c r="Y747" s="79"/>
      <c r="AE747" s="130"/>
      <c r="AG747" s="106"/>
    </row>
    <row r="748">
      <c r="C748" s="79"/>
      <c r="D748" s="79"/>
      <c r="E748" s="79"/>
      <c r="O748" s="79"/>
      <c r="S748" s="79"/>
      <c r="T748" s="79"/>
      <c r="Y748" s="79"/>
      <c r="AE748" s="130"/>
      <c r="AG748" s="106"/>
    </row>
    <row r="749">
      <c r="C749" s="79"/>
      <c r="D749" s="79"/>
      <c r="E749" s="79"/>
      <c r="O749" s="79"/>
      <c r="S749" s="79"/>
      <c r="T749" s="79"/>
      <c r="Y749" s="79"/>
      <c r="AE749" s="130"/>
      <c r="AG749" s="106"/>
    </row>
    <row r="750">
      <c r="C750" s="79"/>
      <c r="D750" s="79"/>
      <c r="E750" s="79"/>
      <c r="O750" s="79"/>
      <c r="S750" s="79"/>
      <c r="T750" s="79"/>
      <c r="Y750" s="79"/>
      <c r="AE750" s="130"/>
      <c r="AG750" s="106"/>
    </row>
    <row r="751">
      <c r="C751" s="79"/>
      <c r="D751" s="79"/>
      <c r="E751" s="79"/>
      <c r="O751" s="79"/>
      <c r="S751" s="79"/>
      <c r="T751" s="79"/>
      <c r="Y751" s="79"/>
      <c r="AE751" s="130"/>
      <c r="AG751" s="106"/>
    </row>
    <row r="752">
      <c r="C752" s="79"/>
      <c r="D752" s="79"/>
      <c r="E752" s="79"/>
      <c r="O752" s="79"/>
      <c r="S752" s="79"/>
      <c r="T752" s="79"/>
      <c r="Y752" s="79"/>
      <c r="AE752" s="130"/>
      <c r="AG752" s="106"/>
    </row>
    <row r="753">
      <c r="C753" s="79"/>
      <c r="D753" s="79"/>
      <c r="E753" s="79"/>
      <c r="O753" s="79"/>
      <c r="S753" s="79"/>
      <c r="T753" s="79"/>
      <c r="Y753" s="79"/>
      <c r="AE753" s="130"/>
      <c r="AG753" s="106"/>
    </row>
    <row r="754">
      <c r="C754" s="79"/>
      <c r="D754" s="79"/>
      <c r="E754" s="79"/>
      <c r="O754" s="79"/>
      <c r="S754" s="79"/>
      <c r="T754" s="79"/>
      <c r="Y754" s="79"/>
      <c r="AE754" s="130"/>
      <c r="AG754" s="106"/>
    </row>
    <row r="755">
      <c r="C755" s="79"/>
      <c r="D755" s="79"/>
      <c r="E755" s="79"/>
      <c r="O755" s="79"/>
      <c r="S755" s="79"/>
      <c r="T755" s="79"/>
      <c r="Y755" s="79"/>
      <c r="AE755" s="130"/>
      <c r="AG755" s="106"/>
    </row>
    <row r="756">
      <c r="C756" s="79"/>
      <c r="D756" s="79"/>
      <c r="E756" s="79"/>
      <c r="O756" s="79"/>
      <c r="S756" s="79"/>
      <c r="T756" s="79"/>
      <c r="Y756" s="79"/>
      <c r="AE756" s="130"/>
      <c r="AG756" s="106"/>
    </row>
    <row r="757">
      <c r="C757" s="79"/>
      <c r="D757" s="79"/>
      <c r="E757" s="79"/>
      <c r="O757" s="79"/>
      <c r="S757" s="79"/>
      <c r="T757" s="79"/>
      <c r="Y757" s="79"/>
      <c r="AE757" s="130"/>
      <c r="AG757" s="106"/>
    </row>
    <row r="758">
      <c r="C758" s="79"/>
      <c r="D758" s="79"/>
      <c r="E758" s="79"/>
      <c r="O758" s="79"/>
      <c r="S758" s="79"/>
      <c r="T758" s="79"/>
      <c r="Y758" s="79"/>
      <c r="AE758" s="130"/>
      <c r="AG758" s="106"/>
    </row>
    <row r="759">
      <c r="C759" s="79"/>
      <c r="D759" s="79"/>
      <c r="E759" s="79"/>
      <c r="O759" s="79"/>
      <c r="S759" s="79"/>
      <c r="T759" s="79"/>
      <c r="Y759" s="79"/>
      <c r="AE759" s="130"/>
      <c r="AG759" s="106"/>
    </row>
    <row r="760">
      <c r="C760" s="79"/>
      <c r="D760" s="79"/>
      <c r="E760" s="79"/>
      <c r="O760" s="79"/>
      <c r="S760" s="79"/>
      <c r="T760" s="79"/>
      <c r="Y760" s="79"/>
      <c r="AE760" s="130"/>
      <c r="AG760" s="106"/>
    </row>
    <row r="761">
      <c r="C761" s="79"/>
      <c r="D761" s="79"/>
      <c r="E761" s="79"/>
      <c r="O761" s="79"/>
      <c r="S761" s="79"/>
      <c r="T761" s="79"/>
      <c r="Y761" s="79"/>
      <c r="AE761" s="130"/>
      <c r="AG761" s="106"/>
    </row>
    <row r="762">
      <c r="C762" s="79"/>
      <c r="D762" s="79"/>
      <c r="E762" s="79"/>
      <c r="O762" s="79"/>
      <c r="S762" s="79"/>
      <c r="T762" s="79"/>
      <c r="Y762" s="79"/>
      <c r="AE762" s="130"/>
      <c r="AG762" s="106"/>
    </row>
    <row r="763">
      <c r="C763" s="79"/>
      <c r="D763" s="79"/>
      <c r="E763" s="79"/>
      <c r="O763" s="79"/>
      <c r="S763" s="79"/>
      <c r="T763" s="79"/>
      <c r="Y763" s="79"/>
      <c r="AE763" s="130"/>
      <c r="AG763" s="106"/>
    </row>
    <row r="764">
      <c r="C764" s="79"/>
      <c r="D764" s="79"/>
      <c r="E764" s="79"/>
      <c r="O764" s="79"/>
      <c r="S764" s="79"/>
      <c r="T764" s="79"/>
      <c r="Y764" s="79"/>
      <c r="AE764" s="130"/>
      <c r="AG764" s="106"/>
    </row>
    <row r="765">
      <c r="C765" s="79"/>
      <c r="D765" s="79"/>
      <c r="E765" s="79"/>
      <c r="O765" s="79"/>
      <c r="S765" s="79"/>
      <c r="T765" s="79"/>
      <c r="Y765" s="79"/>
      <c r="AE765" s="130"/>
      <c r="AG765" s="106"/>
    </row>
    <row r="766">
      <c r="C766" s="79"/>
      <c r="D766" s="79"/>
      <c r="E766" s="79"/>
      <c r="O766" s="79"/>
      <c r="S766" s="79"/>
      <c r="T766" s="79"/>
      <c r="Y766" s="79"/>
      <c r="AE766" s="130"/>
      <c r="AG766" s="106"/>
    </row>
    <row r="767">
      <c r="C767" s="79"/>
      <c r="D767" s="79"/>
      <c r="E767" s="79"/>
      <c r="O767" s="79"/>
      <c r="S767" s="79"/>
      <c r="T767" s="79"/>
      <c r="Y767" s="79"/>
      <c r="AE767" s="130"/>
      <c r="AG767" s="106"/>
    </row>
    <row r="768">
      <c r="C768" s="79"/>
      <c r="D768" s="79"/>
      <c r="E768" s="79"/>
      <c r="O768" s="79"/>
      <c r="S768" s="79"/>
      <c r="T768" s="79"/>
      <c r="Y768" s="79"/>
      <c r="AE768" s="130"/>
      <c r="AG768" s="106"/>
    </row>
    <row r="769">
      <c r="C769" s="79"/>
      <c r="D769" s="79"/>
      <c r="E769" s="79"/>
      <c r="O769" s="79"/>
      <c r="S769" s="79"/>
      <c r="T769" s="79"/>
      <c r="Y769" s="79"/>
      <c r="AE769" s="130"/>
      <c r="AG769" s="106"/>
    </row>
    <row r="770">
      <c r="C770" s="79"/>
      <c r="D770" s="79"/>
      <c r="E770" s="79"/>
      <c r="O770" s="79"/>
      <c r="S770" s="79"/>
      <c r="T770" s="79"/>
      <c r="Y770" s="79"/>
      <c r="AE770" s="130"/>
      <c r="AG770" s="106"/>
    </row>
    <row r="771">
      <c r="C771" s="79"/>
      <c r="D771" s="79"/>
      <c r="E771" s="79"/>
      <c r="O771" s="79"/>
      <c r="S771" s="79"/>
      <c r="T771" s="79"/>
      <c r="Y771" s="79"/>
      <c r="AE771" s="130"/>
      <c r="AG771" s="106"/>
    </row>
    <row r="772">
      <c r="C772" s="79"/>
      <c r="D772" s="79"/>
      <c r="E772" s="79"/>
      <c r="O772" s="79"/>
      <c r="S772" s="79"/>
      <c r="T772" s="79"/>
      <c r="Y772" s="79"/>
      <c r="AE772" s="130"/>
      <c r="AG772" s="106"/>
    </row>
    <row r="773">
      <c r="C773" s="79"/>
      <c r="D773" s="79"/>
      <c r="E773" s="79"/>
      <c r="O773" s="79"/>
      <c r="S773" s="79"/>
      <c r="T773" s="79"/>
      <c r="Y773" s="79"/>
      <c r="AE773" s="130"/>
      <c r="AG773" s="106"/>
    </row>
    <row r="774">
      <c r="C774" s="79"/>
      <c r="D774" s="79"/>
      <c r="E774" s="79"/>
      <c r="O774" s="79"/>
      <c r="S774" s="79"/>
      <c r="T774" s="79"/>
      <c r="Y774" s="79"/>
      <c r="AE774" s="130"/>
      <c r="AG774" s="106"/>
    </row>
    <row r="775">
      <c r="C775" s="79"/>
      <c r="D775" s="79"/>
      <c r="E775" s="79"/>
      <c r="O775" s="79"/>
      <c r="S775" s="79"/>
      <c r="T775" s="79"/>
      <c r="Y775" s="79"/>
      <c r="AE775" s="130"/>
      <c r="AG775" s="106"/>
    </row>
    <row r="776">
      <c r="C776" s="79"/>
      <c r="D776" s="79"/>
      <c r="E776" s="79"/>
      <c r="O776" s="79"/>
      <c r="S776" s="79"/>
      <c r="T776" s="79"/>
      <c r="Y776" s="79"/>
      <c r="AE776" s="130"/>
      <c r="AG776" s="106"/>
    </row>
    <row r="777">
      <c r="C777" s="79"/>
      <c r="D777" s="79"/>
      <c r="E777" s="79"/>
      <c r="O777" s="79"/>
      <c r="S777" s="79"/>
      <c r="T777" s="79"/>
      <c r="Y777" s="79"/>
      <c r="AE777" s="130"/>
      <c r="AG777" s="106"/>
    </row>
    <row r="778">
      <c r="C778" s="79"/>
      <c r="D778" s="79"/>
      <c r="E778" s="79"/>
      <c r="O778" s="79"/>
      <c r="S778" s="79"/>
      <c r="T778" s="79"/>
      <c r="Y778" s="79"/>
      <c r="AE778" s="130"/>
      <c r="AG778" s="106"/>
    </row>
    <row r="779">
      <c r="C779" s="79"/>
      <c r="D779" s="79"/>
      <c r="E779" s="79"/>
      <c r="O779" s="79"/>
      <c r="S779" s="79"/>
      <c r="T779" s="79"/>
      <c r="Y779" s="79"/>
      <c r="AE779" s="130"/>
      <c r="AG779" s="106"/>
    </row>
    <row r="780">
      <c r="C780" s="79"/>
      <c r="D780" s="79"/>
      <c r="E780" s="79"/>
      <c r="O780" s="79"/>
      <c r="S780" s="79"/>
      <c r="T780" s="79"/>
      <c r="Y780" s="79"/>
      <c r="AE780" s="130"/>
      <c r="AG780" s="106"/>
    </row>
    <row r="781">
      <c r="C781" s="79"/>
      <c r="D781" s="79"/>
      <c r="E781" s="79"/>
      <c r="O781" s="79"/>
      <c r="S781" s="79"/>
      <c r="T781" s="79"/>
      <c r="Y781" s="79"/>
      <c r="AE781" s="130"/>
      <c r="AG781" s="106"/>
    </row>
    <row r="782">
      <c r="C782" s="79"/>
      <c r="D782" s="79"/>
      <c r="E782" s="79"/>
      <c r="O782" s="79"/>
      <c r="S782" s="79"/>
      <c r="T782" s="79"/>
      <c r="Y782" s="79"/>
      <c r="AE782" s="130"/>
      <c r="AG782" s="106"/>
    </row>
    <row r="783">
      <c r="C783" s="79"/>
      <c r="D783" s="79"/>
      <c r="E783" s="79"/>
      <c r="O783" s="79"/>
      <c r="S783" s="79"/>
      <c r="T783" s="79"/>
      <c r="Y783" s="79"/>
      <c r="AE783" s="130"/>
      <c r="AG783" s="106"/>
    </row>
    <row r="784">
      <c r="C784" s="79"/>
      <c r="D784" s="79"/>
      <c r="E784" s="79"/>
      <c r="O784" s="79"/>
      <c r="S784" s="79"/>
      <c r="T784" s="79"/>
      <c r="Y784" s="79"/>
      <c r="AE784" s="130"/>
      <c r="AG784" s="106"/>
    </row>
    <row r="785">
      <c r="C785" s="79"/>
      <c r="D785" s="79"/>
      <c r="E785" s="79"/>
      <c r="O785" s="79"/>
      <c r="S785" s="79"/>
      <c r="T785" s="79"/>
      <c r="Y785" s="79"/>
      <c r="AE785" s="130"/>
      <c r="AG785" s="106"/>
    </row>
    <row r="786">
      <c r="C786" s="79"/>
      <c r="D786" s="79"/>
      <c r="E786" s="79"/>
      <c r="O786" s="79"/>
      <c r="S786" s="79"/>
      <c r="T786" s="79"/>
      <c r="Y786" s="79"/>
      <c r="AE786" s="130"/>
      <c r="AG786" s="106"/>
    </row>
    <row r="787">
      <c r="C787" s="79"/>
      <c r="D787" s="79"/>
      <c r="E787" s="79"/>
      <c r="O787" s="79"/>
      <c r="S787" s="79"/>
      <c r="T787" s="79"/>
      <c r="Y787" s="79"/>
      <c r="AE787" s="130"/>
      <c r="AG787" s="106"/>
    </row>
    <row r="788">
      <c r="C788" s="79"/>
      <c r="D788" s="79"/>
      <c r="E788" s="79"/>
      <c r="O788" s="79"/>
      <c r="S788" s="79"/>
      <c r="T788" s="79"/>
      <c r="Y788" s="79"/>
      <c r="AE788" s="130"/>
      <c r="AG788" s="106"/>
    </row>
    <row r="789">
      <c r="C789" s="79"/>
      <c r="D789" s="79"/>
      <c r="E789" s="79"/>
      <c r="O789" s="79"/>
      <c r="S789" s="79"/>
      <c r="T789" s="79"/>
      <c r="Y789" s="79"/>
      <c r="AE789" s="130"/>
      <c r="AG789" s="106"/>
    </row>
    <row r="790">
      <c r="C790" s="79"/>
      <c r="D790" s="79"/>
      <c r="E790" s="79"/>
      <c r="O790" s="79"/>
      <c r="S790" s="79"/>
      <c r="T790" s="79"/>
      <c r="Y790" s="79"/>
      <c r="AE790" s="130"/>
      <c r="AG790" s="106"/>
    </row>
    <row r="791">
      <c r="C791" s="79"/>
      <c r="D791" s="79"/>
      <c r="E791" s="79"/>
      <c r="O791" s="79"/>
      <c r="S791" s="79"/>
      <c r="T791" s="79"/>
      <c r="Y791" s="79"/>
      <c r="AE791" s="130"/>
      <c r="AG791" s="106"/>
    </row>
    <row r="792">
      <c r="C792" s="79"/>
      <c r="D792" s="79"/>
      <c r="E792" s="79"/>
      <c r="O792" s="79"/>
      <c r="S792" s="79"/>
      <c r="T792" s="79"/>
      <c r="Y792" s="79"/>
      <c r="AE792" s="130"/>
      <c r="AG792" s="106"/>
    </row>
    <row r="793">
      <c r="C793" s="79"/>
      <c r="D793" s="79"/>
      <c r="E793" s="79"/>
      <c r="O793" s="79"/>
      <c r="S793" s="79"/>
      <c r="T793" s="79"/>
      <c r="Y793" s="79"/>
      <c r="AE793" s="130"/>
      <c r="AG793" s="106"/>
    </row>
    <row r="794">
      <c r="C794" s="79"/>
      <c r="D794" s="79"/>
      <c r="E794" s="79"/>
      <c r="O794" s="79"/>
      <c r="S794" s="79"/>
      <c r="T794" s="79"/>
      <c r="Y794" s="79"/>
      <c r="AE794" s="130"/>
      <c r="AG794" s="106"/>
    </row>
    <row r="795">
      <c r="C795" s="79"/>
      <c r="D795" s="79"/>
      <c r="E795" s="79"/>
      <c r="O795" s="79"/>
      <c r="S795" s="79"/>
      <c r="T795" s="79"/>
      <c r="Y795" s="79"/>
      <c r="AE795" s="130"/>
      <c r="AG795" s="106"/>
    </row>
    <row r="796">
      <c r="C796" s="79"/>
      <c r="D796" s="79"/>
      <c r="E796" s="79"/>
      <c r="O796" s="79"/>
      <c r="S796" s="79"/>
      <c r="T796" s="79"/>
      <c r="Y796" s="79"/>
      <c r="AE796" s="130"/>
      <c r="AG796" s="106"/>
    </row>
    <row r="797">
      <c r="C797" s="79"/>
      <c r="D797" s="79"/>
      <c r="E797" s="79"/>
      <c r="O797" s="79"/>
      <c r="S797" s="79"/>
      <c r="T797" s="79"/>
      <c r="Y797" s="79"/>
      <c r="AE797" s="130"/>
      <c r="AG797" s="106"/>
    </row>
    <row r="798">
      <c r="C798" s="79"/>
      <c r="D798" s="79"/>
      <c r="E798" s="79"/>
      <c r="O798" s="79"/>
      <c r="S798" s="79"/>
      <c r="T798" s="79"/>
      <c r="Y798" s="79"/>
      <c r="AE798" s="130"/>
      <c r="AG798" s="106"/>
    </row>
    <row r="799">
      <c r="C799" s="79"/>
      <c r="D799" s="79"/>
      <c r="E799" s="79"/>
      <c r="O799" s="79"/>
      <c r="S799" s="79"/>
      <c r="T799" s="79"/>
      <c r="Y799" s="79"/>
      <c r="AE799" s="130"/>
      <c r="AG799" s="106"/>
    </row>
    <row r="800">
      <c r="C800" s="79"/>
      <c r="D800" s="79"/>
      <c r="E800" s="79"/>
      <c r="O800" s="79"/>
      <c r="S800" s="79"/>
      <c r="T800" s="79"/>
      <c r="Y800" s="79"/>
      <c r="AE800" s="130"/>
      <c r="AG800" s="106"/>
    </row>
    <row r="801">
      <c r="C801" s="79"/>
      <c r="D801" s="79"/>
      <c r="E801" s="79"/>
      <c r="O801" s="79"/>
      <c r="S801" s="79"/>
      <c r="T801" s="79"/>
      <c r="Y801" s="79"/>
      <c r="AE801" s="130"/>
      <c r="AG801" s="106"/>
    </row>
    <row r="802">
      <c r="C802" s="79"/>
      <c r="D802" s="79"/>
      <c r="E802" s="79"/>
      <c r="O802" s="79"/>
      <c r="S802" s="79"/>
      <c r="T802" s="79"/>
      <c r="Y802" s="79"/>
      <c r="AE802" s="130"/>
      <c r="AG802" s="106"/>
    </row>
    <row r="803">
      <c r="C803" s="79"/>
      <c r="D803" s="79"/>
      <c r="E803" s="79"/>
      <c r="O803" s="79"/>
      <c r="S803" s="79"/>
      <c r="T803" s="79"/>
      <c r="Y803" s="79"/>
      <c r="AE803" s="130"/>
      <c r="AG803" s="106"/>
    </row>
    <row r="804">
      <c r="C804" s="79"/>
      <c r="D804" s="79"/>
      <c r="E804" s="79"/>
      <c r="O804" s="79"/>
      <c r="S804" s="79"/>
      <c r="T804" s="79"/>
      <c r="Y804" s="79"/>
      <c r="AE804" s="130"/>
      <c r="AG804" s="106"/>
    </row>
    <row r="805">
      <c r="C805" s="79"/>
      <c r="D805" s="79"/>
      <c r="E805" s="79"/>
      <c r="O805" s="79"/>
      <c r="S805" s="79"/>
      <c r="T805" s="79"/>
      <c r="Y805" s="79"/>
      <c r="AE805" s="130"/>
      <c r="AG805" s="106"/>
    </row>
    <row r="806">
      <c r="C806" s="79"/>
      <c r="D806" s="79"/>
      <c r="E806" s="79"/>
      <c r="O806" s="79"/>
      <c r="S806" s="79"/>
      <c r="T806" s="79"/>
      <c r="Y806" s="79"/>
      <c r="AE806" s="130"/>
      <c r="AG806" s="106"/>
    </row>
    <row r="807">
      <c r="C807" s="79"/>
      <c r="D807" s="79"/>
      <c r="E807" s="79"/>
      <c r="O807" s="79"/>
      <c r="S807" s="79"/>
      <c r="T807" s="79"/>
      <c r="Y807" s="79"/>
      <c r="AE807" s="130"/>
      <c r="AG807" s="106"/>
    </row>
    <row r="808">
      <c r="C808" s="79"/>
      <c r="D808" s="79"/>
      <c r="E808" s="79"/>
      <c r="O808" s="79"/>
      <c r="S808" s="79"/>
      <c r="T808" s="79"/>
      <c r="Y808" s="79"/>
      <c r="AE808" s="130"/>
      <c r="AG808" s="106"/>
    </row>
    <row r="809">
      <c r="C809" s="79"/>
      <c r="D809" s="79"/>
      <c r="E809" s="79"/>
      <c r="O809" s="79"/>
      <c r="S809" s="79"/>
      <c r="T809" s="79"/>
      <c r="Y809" s="79"/>
      <c r="AE809" s="130"/>
      <c r="AG809" s="106"/>
    </row>
    <row r="810">
      <c r="C810" s="79"/>
      <c r="D810" s="79"/>
      <c r="E810" s="79"/>
      <c r="O810" s="79"/>
      <c r="S810" s="79"/>
      <c r="T810" s="79"/>
      <c r="Y810" s="79"/>
      <c r="AE810" s="130"/>
      <c r="AG810" s="106"/>
    </row>
    <row r="811">
      <c r="C811" s="79"/>
      <c r="D811" s="79"/>
      <c r="E811" s="79"/>
      <c r="O811" s="79"/>
      <c r="S811" s="79"/>
      <c r="T811" s="79"/>
      <c r="Y811" s="79"/>
      <c r="AE811" s="130"/>
      <c r="AG811" s="106"/>
    </row>
    <row r="812">
      <c r="C812" s="79"/>
      <c r="D812" s="79"/>
      <c r="E812" s="79"/>
      <c r="O812" s="79"/>
      <c r="S812" s="79"/>
      <c r="T812" s="79"/>
      <c r="Y812" s="79"/>
      <c r="AE812" s="130"/>
      <c r="AG812" s="106"/>
    </row>
    <row r="813">
      <c r="C813" s="79"/>
      <c r="D813" s="79"/>
      <c r="E813" s="79"/>
      <c r="O813" s="79"/>
      <c r="S813" s="79"/>
      <c r="T813" s="79"/>
      <c r="Y813" s="79"/>
      <c r="AE813" s="130"/>
      <c r="AG813" s="106"/>
    </row>
    <row r="814">
      <c r="C814" s="79"/>
      <c r="D814" s="79"/>
      <c r="E814" s="79"/>
      <c r="O814" s="79"/>
      <c r="S814" s="79"/>
      <c r="T814" s="79"/>
      <c r="Y814" s="79"/>
      <c r="AE814" s="130"/>
      <c r="AG814" s="106"/>
    </row>
    <row r="815">
      <c r="C815" s="79"/>
      <c r="D815" s="79"/>
      <c r="E815" s="79"/>
      <c r="O815" s="79"/>
      <c r="S815" s="79"/>
      <c r="T815" s="79"/>
      <c r="Y815" s="79"/>
      <c r="AE815" s="130"/>
      <c r="AG815" s="106"/>
    </row>
    <row r="816">
      <c r="C816" s="79"/>
      <c r="D816" s="79"/>
      <c r="E816" s="79"/>
      <c r="O816" s="79"/>
      <c r="S816" s="79"/>
      <c r="T816" s="79"/>
      <c r="Y816" s="79"/>
      <c r="AE816" s="130"/>
      <c r="AG816" s="106"/>
    </row>
    <row r="817">
      <c r="C817" s="79"/>
      <c r="D817" s="79"/>
      <c r="E817" s="79"/>
      <c r="O817" s="79"/>
      <c r="S817" s="79"/>
      <c r="T817" s="79"/>
      <c r="Y817" s="79"/>
      <c r="AE817" s="130"/>
      <c r="AG817" s="106"/>
    </row>
    <row r="818">
      <c r="C818" s="79"/>
      <c r="D818" s="79"/>
      <c r="E818" s="79"/>
      <c r="O818" s="79"/>
      <c r="S818" s="79"/>
      <c r="T818" s="79"/>
      <c r="Y818" s="79"/>
      <c r="AE818" s="130"/>
      <c r="AG818" s="106"/>
    </row>
    <row r="819">
      <c r="C819" s="79"/>
      <c r="D819" s="79"/>
      <c r="E819" s="79"/>
      <c r="O819" s="79"/>
      <c r="S819" s="79"/>
      <c r="T819" s="79"/>
      <c r="Y819" s="79"/>
      <c r="AE819" s="130"/>
      <c r="AG819" s="106"/>
    </row>
    <row r="820">
      <c r="C820" s="79"/>
      <c r="D820" s="79"/>
      <c r="E820" s="79"/>
      <c r="O820" s="79"/>
      <c r="S820" s="79"/>
      <c r="T820" s="79"/>
      <c r="Y820" s="79"/>
      <c r="AE820" s="130"/>
      <c r="AG820" s="106"/>
    </row>
    <row r="821">
      <c r="C821" s="79"/>
      <c r="D821" s="79"/>
      <c r="E821" s="79"/>
      <c r="O821" s="79"/>
      <c r="S821" s="79"/>
      <c r="T821" s="79"/>
      <c r="Y821" s="79"/>
      <c r="AE821" s="130"/>
      <c r="AG821" s="106"/>
    </row>
    <row r="822">
      <c r="C822" s="79"/>
      <c r="D822" s="79"/>
      <c r="E822" s="79"/>
      <c r="O822" s="79"/>
      <c r="S822" s="79"/>
      <c r="T822" s="79"/>
      <c r="Y822" s="79"/>
      <c r="AE822" s="130"/>
      <c r="AG822" s="106"/>
    </row>
    <row r="823">
      <c r="C823" s="79"/>
      <c r="D823" s="79"/>
      <c r="E823" s="79"/>
      <c r="O823" s="79"/>
      <c r="S823" s="79"/>
      <c r="T823" s="79"/>
      <c r="Y823" s="79"/>
      <c r="AE823" s="130"/>
      <c r="AG823" s="106"/>
    </row>
    <row r="824">
      <c r="C824" s="79"/>
      <c r="D824" s="79"/>
      <c r="E824" s="79"/>
      <c r="O824" s="79"/>
      <c r="S824" s="79"/>
      <c r="T824" s="79"/>
      <c r="Y824" s="79"/>
      <c r="AE824" s="130"/>
      <c r="AG824" s="106"/>
    </row>
    <row r="825">
      <c r="C825" s="79"/>
      <c r="D825" s="79"/>
      <c r="E825" s="79"/>
      <c r="O825" s="79"/>
      <c r="S825" s="79"/>
      <c r="T825" s="79"/>
      <c r="Y825" s="79"/>
      <c r="AE825" s="130"/>
      <c r="AG825" s="106"/>
    </row>
    <row r="826">
      <c r="C826" s="79"/>
      <c r="D826" s="79"/>
      <c r="E826" s="79"/>
      <c r="O826" s="79"/>
      <c r="S826" s="79"/>
      <c r="T826" s="79"/>
      <c r="Y826" s="79"/>
      <c r="AE826" s="130"/>
      <c r="AG826" s="106"/>
    </row>
    <row r="827">
      <c r="C827" s="79"/>
      <c r="D827" s="79"/>
      <c r="E827" s="79"/>
      <c r="O827" s="79"/>
      <c r="S827" s="79"/>
      <c r="T827" s="79"/>
      <c r="Y827" s="79"/>
      <c r="AE827" s="130"/>
      <c r="AG827" s="106"/>
    </row>
    <row r="828">
      <c r="C828" s="79"/>
      <c r="D828" s="79"/>
      <c r="E828" s="79"/>
      <c r="O828" s="79"/>
      <c r="S828" s="79"/>
      <c r="T828" s="79"/>
      <c r="Y828" s="79"/>
      <c r="AE828" s="130"/>
      <c r="AG828" s="106"/>
    </row>
    <row r="829">
      <c r="C829" s="79"/>
      <c r="D829" s="79"/>
      <c r="E829" s="79"/>
      <c r="O829" s="79"/>
      <c r="S829" s="79"/>
      <c r="T829" s="79"/>
      <c r="Y829" s="79"/>
      <c r="AE829" s="130"/>
      <c r="AG829" s="106"/>
    </row>
    <row r="830">
      <c r="C830" s="79"/>
      <c r="D830" s="79"/>
      <c r="E830" s="79"/>
      <c r="O830" s="79"/>
      <c r="S830" s="79"/>
      <c r="T830" s="79"/>
      <c r="Y830" s="79"/>
      <c r="AE830" s="130"/>
      <c r="AG830" s="106"/>
    </row>
    <row r="831">
      <c r="C831" s="79"/>
      <c r="D831" s="79"/>
      <c r="E831" s="79"/>
      <c r="O831" s="79"/>
      <c r="S831" s="79"/>
      <c r="T831" s="79"/>
      <c r="Y831" s="79"/>
      <c r="AE831" s="130"/>
      <c r="AG831" s="106"/>
    </row>
    <row r="832">
      <c r="C832" s="79"/>
      <c r="D832" s="79"/>
      <c r="E832" s="79"/>
      <c r="O832" s="79"/>
      <c r="S832" s="79"/>
      <c r="T832" s="79"/>
      <c r="Y832" s="79"/>
      <c r="AE832" s="130"/>
      <c r="AG832" s="106"/>
    </row>
    <row r="833">
      <c r="C833" s="79"/>
      <c r="D833" s="79"/>
      <c r="E833" s="79"/>
      <c r="O833" s="79"/>
      <c r="S833" s="79"/>
      <c r="T833" s="79"/>
      <c r="Y833" s="79"/>
      <c r="AE833" s="130"/>
      <c r="AG833" s="106"/>
    </row>
    <row r="834">
      <c r="C834" s="79"/>
      <c r="D834" s="79"/>
      <c r="E834" s="79"/>
      <c r="O834" s="79"/>
      <c r="S834" s="79"/>
      <c r="T834" s="79"/>
      <c r="Y834" s="79"/>
      <c r="AE834" s="130"/>
      <c r="AG834" s="106"/>
    </row>
    <row r="835">
      <c r="C835" s="79"/>
      <c r="D835" s="79"/>
      <c r="E835" s="79"/>
      <c r="O835" s="79"/>
      <c r="S835" s="79"/>
      <c r="T835" s="79"/>
      <c r="Y835" s="79"/>
      <c r="AE835" s="130"/>
      <c r="AG835" s="106"/>
    </row>
    <row r="836">
      <c r="C836" s="79"/>
      <c r="D836" s="79"/>
      <c r="E836" s="79"/>
      <c r="O836" s="79"/>
      <c r="S836" s="79"/>
      <c r="T836" s="79"/>
      <c r="Y836" s="79"/>
      <c r="AE836" s="130"/>
      <c r="AG836" s="106"/>
    </row>
    <row r="837">
      <c r="C837" s="79"/>
      <c r="D837" s="79"/>
      <c r="E837" s="79"/>
      <c r="O837" s="79"/>
      <c r="S837" s="79"/>
      <c r="T837" s="79"/>
      <c r="Y837" s="79"/>
      <c r="AE837" s="130"/>
      <c r="AG837" s="106"/>
    </row>
    <row r="838">
      <c r="C838" s="79"/>
      <c r="D838" s="79"/>
      <c r="E838" s="79"/>
      <c r="O838" s="79"/>
      <c r="S838" s="79"/>
      <c r="T838" s="79"/>
      <c r="Y838" s="79"/>
      <c r="AE838" s="130"/>
      <c r="AG838" s="106"/>
    </row>
    <row r="839">
      <c r="C839" s="79"/>
      <c r="D839" s="79"/>
      <c r="E839" s="79"/>
      <c r="O839" s="79"/>
      <c r="S839" s="79"/>
      <c r="T839" s="79"/>
      <c r="Y839" s="79"/>
      <c r="AE839" s="130"/>
      <c r="AG839" s="106"/>
    </row>
    <row r="840">
      <c r="O840" s="79"/>
      <c r="S840" s="79"/>
      <c r="T840" s="79"/>
      <c r="Y840" s="79"/>
      <c r="AE840" s="130"/>
      <c r="AG840" s="106"/>
    </row>
    <row r="841">
      <c r="O841" s="79"/>
      <c r="S841" s="79"/>
      <c r="T841" s="79"/>
      <c r="Y841" s="79"/>
      <c r="AE841" s="130"/>
      <c r="AG841" s="106"/>
    </row>
    <row r="842">
      <c r="O842" s="79"/>
      <c r="S842" s="79"/>
      <c r="T842" s="79"/>
      <c r="Y842" s="79"/>
      <c r="AE842" s="130"/>
      <c r="AG842" s="106"/>
    </row>
    <row r="843">
      <c r="O843" s="79"/>
      <c r="S843" s="79"/>
      <c r="T843" s="79"/>
      <c r="Y843" s="79"/>
      <c r="AE843" s="130"/>
      <c r="AG843" s="106"/>
    </row>
    <row r="844">
      <c r="O844" s="79"/>
      <c r="S844" s="79"/>
      <c r="T844" s="79"/>
      <c r="Y844" s="79"/>
      <c r="AE844" s="130"/>
      <c r="AG844" s="106"/>
    </row>
    <row r="845">
      <c r="O845" s="79"/>
      <c r="S845" s="79"/>
      <c r="T845" s="79"/>
      <c r="Y845" s="79"/>
      <c r="AE845" s="130"/>
      <c r="AG845" s="106"/>
    </row>
    <row r="846">
      <c r="O846" s="79"/>
      <c r="S846" s="79"/>
      <c r="T846" s="79"/>
      <c r="Y846" s="79"/>
      <c r="AE846" s="130"/>
      <c r="AG846" s="106"/>
    </row>
    <row r="847">
      <c r="O847" s="79"/>
      <c r="S847" s="79"/>
      <c r="T847" s="79"/>
      <c r="Y847" s="79"/>
      <c r="AE847" s="130"/>
      <c r="AG847" s="106"/>
    </row>
    <row r="848">
      <c r="O848" s="79"/>
      <c r="S848" s="79"/>
      <c r="T848" s="79"/>
      <c r="Y848" s="79"/>
      <c r="AE848" s="130"/>
      <c r="AG848" s="106"/>
    </row>
    <row r="849">
      <c r="O849" s="79"/>
      <c r="S849" s="79"/>
      <c r="T849" s="79"/>
      <c r="Y849" s="79"/>
      <c r="AE849" s="130"/>
      <c r="AG849" s="106"/>
    </row>
    <row r="850">
      <c r="O850" s="79"/>
      <c r="S850" s="79"/>
      <c r="T850" s="79"/>
      <c r="Y850" s="79"/>
      <c r="AE850" s="130"/>
      <c r="AG850" s="106"/>
    </row>
    <row r="851">
      <c r="O851" s="79"/>
      <c r="S851" s="79"/>
      <c r="T851" s="79"/>
      <c r="Y851" s="79"/>
      <c r="AE851" s="130"/>
      <c r="AG851" s="106"/>
    </row>
    <row r="852">
      <c r="O852" s="79"/>
      <c r="S852" s="79"/>
      <c r="T852" s="79"/>
      <c r="Y852" s="79"/>
      <c r="AE852" s="130"/>
      <c r="AG852" s="106"/>
    </row>
  </sheetData>
  <autoFilter ref="$A$35:$F$96">
    <sortState ref="A35:F96">
      <sortCondition descending="1" sortBy="cellColor" ref="E35:E96" dxfId="1"/>
      <sortCondition descending="1" sortBy="cellColor" ref="C35:C96" dxfId="1"/>
      <sortCondition descending="1" sortBy="cellColor" ref="A35:A96" dxfId="1"/>
    </sortState>
  </autoFilter>
  <mergeCells count="1">
    <mergeCell ref="B32:E32"/>
  </mergeCells>
  <conditionalFormatting sqref="H36:H48">
    <cfRule type="cellIs" dxfId="2" priority="1" operator="greaterThanOrEqual">
      <formula>1</formula>
    </cfRule>
  </conditionalFormatting>
  <conditionalFormatting sqref="H36:H48">
    <cfRule type="cellIs" dxfId="3" priority="2" operator="lessThanOrEqual">
      <formula>0</formula>
    </cfRule>
  </conditionalFormatting>
  <drawing r:id="rId2"/>
  <legacyDrawing r:id="rId3"/>
  <tableParts count="2">
    <tablePart r:id="rId6"/>
    <tablePart r:id="rId7"/>
  </tableParts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3" max="3" width="17.38"/>
    <col customWidth="1" min="4" max="4" width="25.75"/>
    <col customWidth="1" min="5" max="5" width="20.88"/>
    <col customWidth="1" min="6" max="6" width="15.5"/>
    <col customWidth="1" min="7" max="7" width="25.13"/>
    <col customWidth="1" min="8" max="8" width="24.0"/>
    <col customWidth="1" min="9" max="10" width="15.5"/>
    <col customWidth="1" min="11" max="11" width="16.5"/>
    <col customWidth="1" min="12" max="13" width="15.5"/>
    <col customWidth="1" min="15" max="15" width="27.38"/>
    <col customWidth="1" min="17" max="17" width="11.13"/>
    <col customWidth="1" min="26" max="26" width="14.63"/>
    <col customWidth="1" min="29" max="29" width="19.88"/>
    <col customWidth="1" min="33" max="33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4</v>
      </c>
      <c r="J1" s="2" t="s">
        <v>5</v>
      </c>
      <c r="K1" s="2" t="s">
        <v>303</v>
      </c>
      <c r="L1" s="2" t="s">
        <v>6</v>
      </c>
      <c r="M1" s="2" t="s">
        <v>12</v>
      </c>
      <c r="N1" s="2" t="s">
        <v>49</v>
      </c>
      <c r="O1" s="105" t="s">
        <v>304</v>
      </c>
      <c r="P1" s="2" t="s">
        <v>37</v>
      </c>
      <c r="Q1" s="2" t="s">
        <v>10</v>
      </c>
      <c r="R1" s="2" t="s">
        <v>42</v>
      </c>
      <c r="S1" s="105" t="s">
        <v>656</v>
      </c>
      <c r="T1" s="105" t="s">
        <v>9</v>
      </c>
      <c r="U1" s="2" t="s">
        <v>164</v>
      </c>
      <c r="V1" s="105" t="s">
        <v>40</v>
      </c>
      <c r="W1" s="2" t="s">
        <v>83</v>
      </c>
      <c r="X1" s="2" t="s">
        <v>204</v>
      </c>
      <c r="Y1" s="105" t="s">
        <v>205</v>
      </c>
      <c r="Z1" s="2" t="s">
        <v>206</v>
      </c>
      <c r="AA1" s="2" t="s">
        <v>305</v>
      </c>
      <c r="AB1" s="3" t="s">
        <v>846</v>
      </c>
      <c r="AC1" s="3" t="s">
        <v>828</v>
      </c>
      <c r="AD1" s="3" t="s">
        <v>13</v>
      </c>
      <c r="AE1" s="3" t="s">
        <v>14</v>
      </c>
      <c r="AF1" s="3" t="s">
        <v>15</v>
      </c>
      <c r="AG1" s="106"/>
      <c r="AH1" s="265" t="s">
        <v>306</v>
      </c>
      <c r="AI1" s="266" t="s">
        <v>80</v>
      </c>
    </row>
    <row r="2">
      <c r="A2" s="74">
        <v>45656.0</v>
      </c>
      <c r="B2" s="93">
        <f>1670.1-43.36-103.8-51.51-53.74-26.33-40.45+87.84</f>
        <v>1438.75</v>
      </c>
      <c r="C2" s="93"/>
      <c r="D2" s="180">
        <f>1163.16-300</f>
        <v>863.16</v>
      </c>
      <c r="E2" s="93"/>
      <c r="F2" s="93"/>
      <c r="G2" s="93">
        <v>180.0</v>
      </c>
      <c r="H2" s="93"/>
      <c r="I2" s="93"/>
      <c r="J2" s="374">
        <f>1707.34-190-297</f>
        <v>1220.34</v>
      </c>
      <c r="K2" s="93"/>
      <c r="L2" s="93"/>
      <c r="M2" s="93"/>
      <c r="N2" s="93">
        <f>636-72-78</f>
        <v>486</v>
      </c>
      <c r="O2" s="93"/>
      <c r="P2" s="72"/>
      <c r="Q2" s="93">
        <v>378.7</v>
      </c>
      <c r="R2" s="93"/>
      <c r="S2" s="93"/>
      <c r="T2" s="93"/>
      <c r="U2" s="250">
        <v>252.0</v>
      </c>
      <c r="V2" s="93"/>
      <c r="W2" s="93"/>
      <c r="X2" s="93"/>
      <c r="Y2" s="93"/>
      <c r="Z2" s="93"/>
      <c r="AA2" s="250">
        <v>240.0</v>
      </c>
      <c r="AB2" s="326"/>
      <c r="AC2" s="386"/>
      <c r="AD2" s="107">
        <f>SUM(B2:AA2)</f>
        <v>5058.95</v>
      </c>
      <c r="AE2" s="158">
        <v>0.0</v>
      </c>
      <c r="AF2" s="59" t="str">
        <f t="shared" ref="AF2:AF8" si="1">AD2/AE2</f>
        <v>#DIV/0!</v>
      </c>
      <c r="AG2" s="109">
        <f t="shared" ref="AG2:AG8" si="2">A2</f>
        <v>45656</v>
      </c>
      <c r="AH2" s="267"/>
      <c r="AI2" s="268">
        <f t="shared" ref="AI2:AI8" si="3">AE2-AH2</f>
        <v>0</v>
      </c>
    </row>
    <row r="3">
      <c r="A3" s="74">
        <f t="shared" ref="A3:A8" si="4">A2+1</f>
        <v>45657</v>
      </c>
      <c r="B3" s="93"/>
      <c r="C3" s="93"/>
      <c r="D3" s="93"/>
      <c r="E3" s="93"/>
      <c r="F3" s="93"/>
      <c r="G3" s="93"/>
      <c r="H3" s="168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326"/>
      <c r="AB3" s="326"/>
      <c r="AC3" s="326"/>
      <c r="AD3" s="107">
        <f t="shared" ref="AD3:AD8" si="5">SUM(B3:Z3)</f>
        <v>0</v>
      </c>
      <c r="AE3" s="158">
        <v>24330.0</v>
      </c>
      <c r="AF3" s="59">
        <f t="shared" si="1"/>
        <v>0</v>
      </c>
      <c r="AG3" s="109">
        <f t="shared" si="2"/>
        <v>45657</v>
      </c>
      <c r="AH3" s="267"/>
      <c r="AI3" s="268">
        <f t="shared" si="3"/>
        <v>24330</v>
      </c>
    </row>
    <row r="4">
      <c r="A4" s="74">
        <f t="shared" si="4"/>
        <v>45658</v>
      </c>
      <c r="B4" s="93"/>
      <c r="C4" s="93"/>
      <c r="D4" s="93"/>
      <c r="E4" s="93"/>
      <c r="F4" s="93"/>
      <c r="G4" s="93"/>
      <c r="H4" s="168"/>
      <c r="I4" s="93"/>
      <c r="J4" s="93"/>
      <c r="K4" s="93"/>
      <c r="L4" s="93"/>
      <c r="M4" s="93"/>
      <c r="N4" s="93"/>
      <c r="O4" s="93"/>
      <c r="P4" s="160"/>
      <c r="Q4" s="93"/>
      <c r="R4" s="93"/>
      <c r="S4" s="93"/>
      <c r="T4" s="93"/>
      <c r="U4" s="93"/>
      <c r="V4" s="93"/>
      <c r="W4" s="93"/>
      <c r="X4" s="93"/>
      <c r="Y4" s="93"/>
      <c r="Z4" s="101"/>
      <c r="AA4" s="326"/>
      <c r="AB4" s="326"/>
      <c r="AC4" s="326"/>
      <c r="AD4" s="107">
        <f t="shared" si="5"/>
        <v>0</v>
      </c>
      <c r="AE4" s="158">
        <v>0.0</v>
      </c>
      <c r="AF4" s="59" t="str">
        <f t="shared" si="1"/>
        <v>#DIV/0!</v>
      </c>
      <c r="AG4" s="109">
        <f t="shared" si="2"/>
        <v>45658</v>
      </c>
      <c r="AH4" s="267"/>
      <c r="AI4" s="268">
        <f t="shared" si="3"/>
        <v>0</v>
      </c>
    </row>
    <row r="5">
      <c r="A5" s="74">
        <f t="shared" si="4"/>
        <v>45659</v>
      </c>
      <c r="B5" s="250">
        <f>1390.96-90-29.48-26.33-26.53-77</f>
        <v>1141.62</v>
      </c>
      <c r="C5" s="93"/>
      <c r="D5" s="93"/>
      <c r="E5" s="93"/>
      <c r="F5" s="166"/>
      <c r="G5" s="93">
        <v>180.0</v>
      </c>
      <c r="H5" s="160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101"/>
      <c r="Z5" s="101"/>
      <c r="AA5" s="327"/>
      <c r="AB5" s="327"/>
      <c r="AC5" s="93">
        <f>330.5*4</f>
        <v>1322</v>
      </c>
      <c r="AD5" s="7">
        <f t="shared" si="5"/>
        <v>1321.62</v>
      </c>
      <c r="AE5" s="380">
        <v>0.0</v>
      </c>
      <c r="AF5" s="59" t="str">
        <f t="shared" si="1"/>
        <v>#DIV/0!</v>
      </c>
      <c r="AG5" s="109">
        <f t="shared" si="2"/>
        <v>45659</v>
      </c>
      <c r="AH5" s="267"/>
      <c r="AI5" s="268">
        <f t="shared" si="3"/>
        <v>0</v>
      </c>
    </row>
    <row r="6">
      <c r="A6" s="74">
        <f t="shared" si="4"/>
        <v>45660</v>
      </c>
      <c r="B6" s="93">
        <f>643.75-14.6-47.2-71.59-52.07-34.36-26.82-32.38-66.68-17.05-8.22-37.86-11.38-144.86</f>
        <v>78.68</v>
      </c>
      <c r="C6" s="361"/>
      <c r="D6" s="93">
        <v>882.8</v>
      </c>
      <c r="E6" s="93"/>
      <c r="F6" s="79"/>
      <c r="G6" s="93"/>
      <c r="H6" s="160"/>
      <c r="I6" s="93"/>
      <c r="J6" s="374"/>
      <c r="K6" s="93"/>
      <c r="L6" s="93"/>
      <c r="M6" s="93"/>
      <c r="N6" s="93"/>
      <c r="O6" s="93"/>
      <c r="P6" s="93"/>
      <c r="Q6" s="93"/>
      <c r="R6" s="93"/>
      <c r="S6" s="93"/>
      <c r="T6" s="374"/>
      <c r="U6" s="93"/>
      <c r="V6" s="93"/>
      <c r="W6" s="93"/>
      <c r="X6" s="93"/>
      <c r="Y6" s="93"/>
      <c r="Z6" s="93"/>
      <c r="AA6" s="327"/>
      <c r="AB6" s="327"/>
      <c r="AC6" s="327"/>
      <c r="AD6" s="7">
        <f t="shared" si="5"/>
        <v>961.48</v>
      </c>
      <c r="AE6" s="380">
        <v>14846.0</v>
      </c>
      <c r="AF6" s="59">
        <f t="shared" si="1"/>
        <v>0.06476357268</v>
      </c>
      <c r="AG6" s="109">
        <f t="shared" si="2"/>
        <v>45660</v>
      </c>
      <c r="AH6" s="267"/>
      <c r="AI6" s="268">
        <f t="shared" si="3"/>
        <v>14846</v>
      </c>
    </row>
    <row r="7">
      <c r="A7" s="74">
        <f t="shared" si="4"/>
        <v>45661</v>
      </c>
      <c r="B7" s="93">
        <f>1178.4-380.13-169.56-62.41-9.38</f>
        <v>556.92</v>
      </c>
      <c r="C7" s="250">
        <f>101.45+55.6+143.85</f>
        <v>300.9</v>
      </c>
      <c r="D7" s="93">
        <f>614.53+440.68-230.68+83</f>
        <v>907.53</v>
      </c>
      <c r="E7" s="79"/>
      <c r="F7" s="93"/>
      <c r="G7" s="93">
        <v>180.0</v>
      </c>
      <c r="H7" s="79"/>
      <c r="I7" s="93"/>
      <c r="J7" s="93"/>
      <c r="K7" s="93"/>
      <c r="L7" s="93"/>
      <c r="M7" s="93"/>
      <c r="N7" s="93">
        <v>243.0</v>
      </c>
      <c r="O7" s="93"/>
      <c r="P7" s="402"/>
      <c r="Q7" s="93"/>
      <c r="R7" s="93"/>
      <c r="S7" s="101"/>
      <c r="T7" s="93"/>
      <c r="U7" s="93"/>
      <c r="V7" s="93"/>
      <c r="W7" s="93"/>
      <c r="X7" s="93"/>
      <c r="Y7" s="101"/>
      <c r="Z7" s="93"/>
      <c r="AA7" s="327"/>
      <c r="AB7" s="327"/>
      <c r="AC7" s="327"/>
      <c r="AD7" s="7">
        <f t="shared" si="5"/>
        <v>2188.35</v>
      </c>
      <c r="AE7" s="380">
        <v>15089.0</v>
      </c>
      <c r="AF7" s="59">
        <f t="shared" si="1"/>
        <v>0.1450294917</v>
      </c>
      <c r="AG7" s="109">
        <f t="shared" si="2"/>
        <v>45661</v>
      </c>
      <c r="AH7" s="267"/>
      <c r="AI7" s="268">
        <f t="shared" si="3"/>
        <v>15089</v>
      </c>
    </row>
    <row r="8">
      <c r="A8" s="74">
        <f t="shared" si="4"/>
        <v>45662</v>
      </c>
      <c r="B8" s="93"/>
      <c r="C8" s="374"/>
      <c r="D8" s="344">
        <v>1046.7</v>
      </c>
      <c r="E8" s="374"/>
      <c r="F8" s="344">
        <v>370.9</v>
      </c>
      <c r="G8" s="112"/>
      <c r="H8" s="93"/>
      <c r="I8" s="374"/>
      <c r="J8" s="402"/>
      <c r="K8" s="250">
        <v>290.0</v>
      </c>
      <c r="L8" s="112"/>
      <c r="M8" s="112"/>
      <c r="N8" s="93"/>
      <c r="O8" s="93"/>
      <c r="P8" s="93"/>
      <c r="Q8" s="93"/>
      <c r="R8" s="374"/>
      <c r="S8" s="101"/>
      <c r="T8" s="374"/>
      <c r="U8" s="374"/>
      <c r="V8" s="112"/>
      <c r="W8" s="112"/>
      <c r="X8" s="112"/>
      <c r="Y8" s="112"/>
      <c r="Z8" s="112"/>
      <c r="AA8" s="93"/>
      <c r="AB8" s="433">
        <v>290.0</v>
      </c>
      <c r="AC8" s="616"/>
      <c r="AD8" s="7">
        <f t="shared" si="5"/>
        <v>1707.6</v>
      </c>
      <c r="AE8" s="380">
        <v>0.0</v>
      </c>
      <c r="AF8" s="59" t="str">
        <f t="shared" si="1"/>
        <v>#DIV/0!</v>
      </c>
      <c r="AG8" s="109">
        <f t="shared" si="2"/>
        <v>45662</v>
      </c>
      <c r="AH8" s="267"/>
      <c r="AI8" s="268">
        <f t="shared" si="3"/>
        <v>0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E9" s="129"/>
      <c r="AG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E10" s="129"/>
      <c r="AG10" s="106"/>
    </row>
    <row r="11">
      <c r="A11" s="165" t="s">
        <v>194</v>
      </c>
      <c r="B11" s="93">
        <f>268.21+51.51+53.74+26.33+40.45+90+29.48+26.33</f>
        <v>586.05</v>
      </c>
      <c r="C11" s="93"/>
      <c r="D11" s="180">
        <v>300.0</v>
      </c>
      <c r="E11" s="167"/>
      <c r="F11" s="168"/>
      <c r="G11" s="168"/>
      <c r="H11" s="93"/>
      <c r="I11" s="166"/>
      <c r="J11" s="93"/>
      <c r="K11" s="168"/>
      <c r="L11" s="93"/>
      <c r="M11" s="93"/>
      <c r="N11" s="93"/>
      <c r="O11" s="168"/>
      <c r="P11" s="168"/>
      <c r="Q11" s="168"/>
      <c r="R11" s="168"/>
      <c r="S11" s="168"/>
      <c r="T11" s="168"/>
      <c r="U11" s="168"/>
      <c r="V11" s="168"/>
      <c r="W11" s="1"/>
      <c r="X11" s="168"/>
      <c r="Y11" s="168"/>
      <c r="Z11" s="1"/>
      <c r="AA11" s="96"/>
      <c r="AB11" s="1"/>
      <c r="AC11" s="1"/>
      <c r="AD11" s="1"/>
      <c r="AE11" s="169"/>
      <c r="AF11" s="1"/>
      <c r="AG11" s="170"/>
    </row>
    <row r="12">
      <c r="A12" s="165" t="s">
        <v>195</v>
      </c>
      <c r="B12" s="93">
        <f>380.13+169.56+62.41+9.38+52.86+23.56+43.36+103.8+14.6+47.2+71.59+34.36+26.82+32.38+66.68+17.05+8.22+37.86+11.38+144.86+26.53+77</f>
        <v>1461.59</v>
      </c>
      <c r="C12" s="636">
        <v>132.85</v>
      </c>
      <c r="D12" s="93">
        <v>141.0</v>
      </c>
      <c r="E12" s="93"/>
      <c r="F12" s="374"/>
      <c r="G12" s="93"/>
      <c r="H12" s="79"/>
      <c r="I12" s="93"/>
      <c r="J12" s="93">
        <f>190+297</f>
        <v>487</v>
      </c>
      <c r="K12" s="79"/>
      <c r="L12" s="93"/>
      <c r="M12" s="93"/>
      <c r="N12" s="93">
        <f>72+78</f>
        <v>150</v>
      </c>
      <c r="O12" s="168"/>
      <c r="P12" s="168"/>
      <c r="Q12" s="166"/>
      <c r="R12" s="166"/>
      <c r="S12" s="93"/>
      <c r="T12" s="166"/>
      <c r="U12" s="168"/>
      <c r="V12" s="168"/>
      <c r="W12" s="1"/>
      <c r="X12" s="93"/>
      <c r="Y12" s="168"/>
      <c r="Z12" s="1"/>
      <c r="AA12" s="1"/>
      <c r="AB12" s="192"/>
      <c r="AC12" s="1"/>
      <c r="AD12" s="1"/>
      <c r="AE12" s="171"/>
      <c r="AF12" s="1"/>
      <c r="AG12" s="170"/>
    </row>
    <row r="13" hidden="1">
      <c r="A13" s="172" t="s">
        <v>817</v>
      </c>
      <c r="B13" s="93"/>
      <c r="C13" s="93"/>
      <c r="D13" s="93"/>
      <c r="E13" s="93"/>
      <c r="F13" s="374"/>
      <c r="G13" s="93"/>
      <c r="H13" s="93"/>
      <c r="I13" s="93"/>
      <c r="J13" s="93"/>
      <c r="K13" s="374"/>
      <c r="L13" s="93"/>
      <c r="M13" s="93"/>
      <c r="N13" s="93"/>
      <c r="O13" s="166"/>
      <c r="P13" s="168"/>
      <c r="Q13" s="93"/>
      <c r="R13" s="166"/>
      <c r="S13" s="168"/>
      <c r="T13" s="166"/>
      <c r="U13" s="93"/>
      <c r="V13" s="168"/>
      <c r="W13" s="1"/>
      <c r="X13" s="93"/>
      <c r="Y13" s="168"/>
      <c r="Z13" s="1"/>
      <c r="AA13" s="1"/>
      <c r="AB13" s="1"/>
      <c r="AC13" s="1"/>
      <c r="AD13" s="1"/>
      <c r="AE13" s="171"/>
      <c r="AF13" s="1"/>
      <c r="AG13" s="170"/>
    </row>
    <row r="14">
      <c r="A14" s="172" t="s">
        <v>265</v>
      </c>
      <c r="B14" s="93"/>
      <c r="C14" s="348"/>
      <c r="D14" s="93"/>
      <c r="E14" s="168"/>
      <c r="F14" s="166"/>
      <c r="G14" s="166"/>
      <c r="H14" s="168"/>
      <c r="I14" s="168"/>
      <c r="J14" s="93"/>
      <c r="K14" s="168"/>
      <c r="L14" s="168"/>
      <c r="M14" s="168"/>
      <c r="N14" s="93"/>
      <c r="O14" s="168"/>
      <c r="P14" s="168"/>
      <c r="Q14" s="166"/>
      <c r="R14" s="168"/>
      <c r="S14" s="168"/>
      <c r="T14" s="168"/>
      <c r="U14" s="1"/>
      <c r="V14" s="1"/>
      <c r="W14" s="1"/>
      <c r="X14" s="168"/>
      <c r="Y14" s="168"/>
      <c r="Z14" s="1"/>
      <c r="AA14" s="1"/>
      <c r="AB14" s="1"/>
      <c r="AC14" s="1"/>
      <c r="AD14" s="1"/>
      <c r="AE14" s="174"/>
      <c r="AF14" s="1"/>
      <c r="AG14" s="170"/>
    </row>
    <row r="15">
      <c r="A15" s="91"/>
      <c r="B15" s="375"/>
      <c r="C15" s="79"/>
      <c r="D15" s="79"/>
      <c r="E15" s="79"/>
      <c r="F15" s="78"/>
      <c r="G15" s="78"/>
      <c r="H15" s="79"/>
      <c r="I15" s="78"/>
      <c r="J15" s="79"/>
      <c r="K15" s="79"/>
      <c r="L15" s="79"/>
      <c r="M15" s="79"/>
      <c r="N15" s="79"/>
      <c r="O15" s="79"/>
      <c r="R15" s="79"/>
      <c r="S15" s="79"/>
      <c r="T15" s="198"/>
      <c r="U15" s="198"/>
      <c r="Y15" s="79"/>
      <c r="AE15" s="131"/>
      <c r="AG15" s="106"/>
    </row>
    <row r="16">
      <c r="A16" s="91"/>
      <c r="B16" s="375"/>
      <c r="C16" s="79"/>
      <c r="D16" s="78"/>
      <c r="E16" s="78"/>
      <c r="F16" s="205"/>
      <c r="G16" s="351"/>
      <c r="H16" s="192"/>
      <c r="I16" s="198"/>
      <c r="J16" s="201"/>
      <c r="K16" s="199"/>
      <c r="L16" s="199"/>
      <c r="M16" s="200"/>
      <c r="N16" s="202"/>
      <c r="O16" s="198"/>
      <c r="R16" s="198"/>
      <c r="S16" s="79"/>
      <c r="T16" s="198"/>
      <c r="U16" s="198"/>
      <c r="V16" s="198"/>
      <c r="W16" s="198"/>
      <c r="X16" s="199"/>
      <c r="Y16" s="79"/>
      <c r="AE16" s="131"/>
      <c r="AG16" s="106"/>
    </row>
    <row r="17">
      <c r="A17" s="4" t="s">
        <v>22</v>
      </c>
      <c r="B17" s="11">
        <v>13000.0</v>
      </c>
      <c r="C17" s="79"/>
      <c r="D17" s="78"/>
      <c r="E17" s="78"/>
      <c r="F17" s="587"/>
      <c r="G17" s="388"/>
      <c r="H17" s="192"/>
      <c r="I17" s="203"/>
      <c r="J17" s="203"/>
      <c r="K17" s="203"/>
      <c r="L17" s="203"/>
      <c r="M17" s="198"/>
      <c r="N17" s="200"/>
      <c r="O17" s="198"/>
      <c r="P17" s="204"/>
      <c r="R17" s="203"/>
      <c r="S17" s="427"/>
      <c r="T17" s="201"/>
      <c r="U17" s="198"/>
      <c r="V17" s="198"/>
      <c r="W17" s="198"/>
      <c r="X17" s="201"/>
      <c r="Y17" s="79"/>
      <c r="AE17" s="131"/>
      <c r="AG17" s="106"/>
    </row>
    <row r="18">
      <c r="A18" s="4" t="s">
        <v>23</v>
      </c>
      <c r="B18" s="11">
        <f>SUM(B2:AC8)</f>
        <v>12850</v>
      </c>
      <c r="C18" s="192"/>
      <c r="D18" s="78"/>
      <c r="E18" s="78"/>
      <c r="F18" s="213"/>
      <c r="G18" s="224"/>
      <c r="H18" s="38"/>
      <c r="I18" s="175"/>
      <c r="J18" s="203"/>
      <c r="K18" s="203"/>
      <c r="L18" s="203"/>
      <c r="M18" s="201"/>
      <c r="N18" s="201"/>
      <c r="O18" s="198"/>
      <c r="P18" s="204"/>
      <c r="R18" s="203"/>
      <c r="S18" s="79"/>
      <c r="T18" s="201"/>
      <c r="U18" s="201"/>
      <c r="V18" s="198"/>
      <c r="W18" s="198"/>
      <c r="X18" s="191"/>
      <c r="Y18" s="79"/>
      <c r="AE18" s="131"/>
      <c r="AG18" s="106"/>
    </row>
    <row r="19">
      <c r="A19" s="4" t="s">
        <v>24</v>
      </c>
      <c r="B19" s="11">
        <f> SUM(B17-B18)</f>
        <v>150</v>
      </c>
      <c r="C19" s="79"/>
      <c r="D19" s="78"/>
      <c r="E19" s="151"/>
      <c r="F19" s="198"/>
      <c r="G19" s="224"/>
      <c r="H19" s="224"/>
      <c r="I19" s="203"/>
      <c r="J19" s="203"/>
      <c r="K19" s="203"/>
      <c r="L19" s="203"/>
      <c r="M19" s="201"/>
      <c r="N19" s="200"/>
      <c r="O19" s="198"/>
      <c r="P19" s="204"/>
      <c r="R19" s="203"/>
      <c r="S19" s="79"/>
      <c r="T19" s="210"/>
      <c r="U19" s="210"/>
      <c r="V19" s="198"/>
      <c r="W19" s="198"/>
      <c r="X19" s="203"/>
      <c r="Y19" s="79"/>
      <c r="AE19" s="131"/>
      <c r="AG19" s="106"/>
    </row>
    <row r="20">
      <c r="C20" s="79"/>
      <c r="E20" s="588" t="s">
        <v>195</v>
      </c>
      <c r="F20" s="198"/>
      <c r="G20" s="388"/>
      <c r="H20" s="224"/>
      <c r="I20" s="345"/>
      <c r="J20" s="203"/>
      <c r="K20" s="203"/>
      <c r="L20" s="203"/>
      <c r="N20" s="198"/>
      <c r="O20" s="198"/>
      <c r="P20" s="204"/>
      <c r="R20" s="203"/>
      <c r="S20" s="79"/>
      <c r="T20" s="198"/>
      <c r="U20" s="428"/>
      <c r="V20" s="198"/>
      <c r="W20" s="201"/>
      <c r="X20" s="203"/>
      <c r="Y20" s="79"/>
      <c r="AE20" s="131"/>
      <c r="AG20" s="106"/>
    </row>
    <row r="21">
      <c r="A21" s="13" t="s">
        <v>25</v>
      </c>
      <c r="B21" s="14">
        <f>SUM(AE2:AE8)</f>
        <v>54265</v>
      </c>
      <c r="C21" s="79"/>
      <c r="D21" s="13" t="s">
        <v>724</v>
      </c>
      <c r="E21" s="445">
        <f>sum(B12:AB13)+2700</f>
        <v>5072.44</v>
      </c>
      <c r="F21" s="589"/>
      <c r="G21" s="224"/>
      <c r="H21" s="224"/>
      <c r="I21" s="203"/>
      <c r="J21" s="203"/>
      <c r="K21" s="203"/>
      <c r="L21" s="203"/>
      <c r="M21" s="203"/>
      <c r="N21" s="198"/>
      <c r="O21" s="198"/>
      <c r="P21" s="204"/>
      <c r="R21" s="203"/>
      <c r="S21" s="79"/>
      <c r="T21" s="198"/>
      <c r="U21" s="198"/>
      <c r="V21" s="198"/>
      <c r="W21" s="198"/>
      <c r="X21" s="203"/>
      <c r="Y21" s="79"/>
      <c r="AE21" s="181"/>
      <c r="AG21" s="106"/>
    </row>
    <row r="22">
      <c r="A22" s="13" t="s">
        <v>26</v>
      </c>
      <c r="B22" s="15">
        <f>B18/B21</f>
        <v>0.2368008845</v>
      </c>
      <c r="C22" s="79"/>
      <c r="D22" s="13" t="s">
        <v>25</v>
      </c>
      <c r="E22" s="445">
        <f>6900+1989.5+2744</f>
        <v>11633.5</v>
      </c>
      <c r="F22" s="589"/>
      <c r="G22" s="224"/>
      <c r="H22" s="224"/>
      <c r="I22" s="203"/>
      <c r="J22" s="203"/>
      <c r="K22" s="203"/>
      <c r="L22" s="203"/>
      <c r="M22" s="203"/>
      <c r="N22" s="203"/>
      <c r="O22" s="198"/>
      <c r="P22" s="204"/>
      <c r="R22" s="203"/>
      <c r="S22" s="79"/>
      <c r="T22" s="198"/>
      <c r="U22" s="198"/>
      <c r="V22" s="198"/>
      <c r="W22" s="198"/>
      <c r="X22" s="203"/>
      <c r="Y22" s="79"/>
      <c r="AE22" s="130"/>
      <c r="AG22" s="106"/>
    </row>
    <row r="23">
      <c r="C23" s="79"/>
      <c r="D23" s="448" t="s">
        <v>26</v>
      </c>
      <c r="E23" s="449">
        <f>E21/E22</f>
        <v>0.4360201143</v>
      </c>
      <c r="F23" s="590"/>
      <c r="G23" s="240"/>
      <c r="H23" s="224"/>
      <c r="I23" s="78"/>
      <c r="J23" s="203"/>
      <c r="K23" s="203"/>
      <c r="L23" s="203"/>
      <c r="M23" s="203"/>
      <c r="N23" s="201"/>
      <c r="O23" s="198"/>
      <c r="P23" s="204"/>
      <c r="R23" s="198"/>
      <c r="S23" s="79"/>
      <c r="T23" s="198"/>
      <c r="U23" s="198"/>
      <c r="V23" s="198"/>
      <c r="W23" s="198"/>
      <c r="X23" s="203"/>
      <c r="Y23" s="79"/>
      <c r="AE23" s="182"/>
      <c r="AG23" s="106"/>
    </row>
    <row r="24">
      <c r="C24" s="79"/>
      <c r="D24" s="79"/>
      <c r="E24" s="79"/>
      <c r="F24" s="198"/>
      <c r="G24" s="192"/>
      <c r="H24" s="213"/>
      <c r="I24" s="203"/>
      <c r="J24" s="212"/>
      <c r="K24" s="203"/>
      <c r="L24" s="203"/>
      <c r="M24" s="203"/>
      <c r="N24" s="201"/>
      <c r="O24" s="198"/>
      <c r="P24" s="204"/>
      <c r="R24" s="198"/>
      <c r="S24" s="79"/>
      <c r="T24" s="198"/>
      <c r="U24" s="198"/>
      <c r="V24" s="198"/>
      <c r="W24" s="198"/>
      <c r="X24" s="203"/>
      <c r="Y24" s="79"/>
      <c r="AE24" s="130"/>
      <c r="AG24" s="106"/>
    </row>
    <row r="25">
      <c r="A25" s="16" t="s">
        <v>27</v>
      </c>
      <c r="B25" s="17"/>
      <c r="C25" s="114"/>
      <c r="D25" s="114"/>
      <c r="E25" s="114"/>
      <c r="F25" s="198"/>
      <c r="G25" s="78"/>
      <c r="H25" s="224"/>
      <c r="I25" s="78"/>
      <c r="J25" s="79"/>
      <c r="K25" s="203"/>
      <c r="L25" s="217"/>
      <c r="M25" s="208"/>
      <c r="N25" s="198"/>
      <c r="O25" s="198"/>
      <c r="P25" s="204"/>
      <c r="R25" s="200"/>
      <c r="S25" s="79"/>
      <c r="T25" s="198"/>
      <c r="U25" s="198"/>
      <c r="V25" s="198"/>
      <c r="W25" s="198"/>
      <c r="X25" s="203"/>
      <c r="Y25" s="79"/>
      <c r="AE25" s="130"/>
      <c r="AG25" s="106"/>
    </row>
    <row r="26">
      <c r="A26" s="19" t="s">
        <v>28</v>
      </c>
      <c r="B26" s="20"/>
      <c r="C26" s="116"/>
      <c r="D26" s="116"/>
      <c r="E26" s="116"/>
      <c r="F26" s="198"/>
      <c r="G26" s="212"/>
      <c r="H26" s="213"/>
      <c r="I26" s="224"/>
      <c r="J26" s="78"/>
      <c r="K26" s="203"/>
      <c r="L26" s="203"/>
      <c r="M26" s="209"/>
      <c r="N26" s="201"/>
      <c r="O26" s="198"/>
      <c r="P26" s="204"/>
      <c r="R26" s="198"/>
      <c r="S26" s="79"/>
      <c r="T26" s="198"/>
      <c r="U26" s="198"/>
      <c r="V26" s="198"/>
      <c r="W26" s="198"/>
      <c r="X26" s="203"/>
      <c r="Y26" s="79"/>
      <c r="AE26" s="130"/>
      <c r="AG26" s="106"/>
    </row>
    <row r="27">
      <c r="A27" s="183" t="s">
        <v>29</v>
      </c>
      <c r="B27" s="184" t="s">
        <v>30</v>
      </c>
      <c r="C27" s="183"/>
      <c r="D27" s="183" t="s">
        <v>170</v>
      </c>
      <c r="E27" s="591" t="s">
        <v>171</v>
      </c>
      <c r="F27" s="198"/>
      <c r="G27" s="79"/>
      <c r="H27" s="242"/>
      <c r="I27" s="79"/>
      <c r="J27" s="79"/>
      <c r="K27" s="203"/>
      <c r="L27" s="201"/>
      <c r="M27" s="209"/>
      <c r="N27" s="198"/>
      <c r="O27" s="198"/>
      <c r="P27" s="204"/>
      <c r="R27" s="198"/>
      <c r="S27" s="79"/>
      <c r="T27" s="198"/>
      <c r="U27" s="198"/>
      <c r="V27" s="198"/>
      <c r="W27" s="198"/>
      <c r="X27" s="203"/>
      <c r="Y27" s="79"/>
      <c r="Z27" s="195"/>
      <c r="AE27" s="130"/>
      <c r="AG27" s="106"/>
    </row>
    <row r="28">
      <c r="A28" s="237" t="s">
        <v>850</v>
      </c>
      <c r="B28" s="381">
        <f>+1346.7</f>
        <v>1346.7</v>
      </c>
      <c r="C28" s="239"/>
      <c r="D28" s="239"/>
      <c r="E28" s="239"/>
      <c r="F28" s="204"/>
      <c r="O28" s="79"/>
      <c r="S28" s="79"/>
      <c r="T28" s="79"/>
      <c r="Y28" s="79"/>
      <c r="AE28" s="130"/>
      <c r="AG28" s="106"/>
    </row>
    <row r="29">
      <c r="A29" s="237" t="s">
        <v>844</v>
      </c>
      <c r="B29" s="381">
        <v>330.05</v>
      </c>
      <c r="C29" s="239"/>
      <c r="D29" s="239"/>
      <c r="E29" s="239"/>
      <c r="F29" s="204"/>
      <c r="O29" s="79"/>
      <c r="S29" s="79"/>
      <c r="T29" s="79"/>
      <c r="Y29" s="79"/>
      <c r="AE29" s="130"/>
      <c r="AG29" s="106"/>
    </row>
    <row r="30">
      <c r="A30" s="237" t="s">
        <v>851</v>
      </c>
      <c r="B30" s="381">
        <f>580/2</f>
        <v>290</v>
      </c>
      <c r="C30" s="239"/>
      <c r="D30" s="239"/>
      <c r="E30" s="239"/>
      <c r="F30" s="204"/>
      <c r="O30" s="79"/>
      <c r="S30" s="79"/>
      <c r="T30" s="79"/>
      <c r="Y30" s="79"/>
      <c r="AE30" s="130"/>
      <c r="AG30" s="106"/>
    </row>
    <row r="31">
      <c r="A31" s="237" t="s">
        <v>852</v>
      </c>
      <c r="B31" s="381">
        <v>370.9</v>
      </c>
      <c r="C31" s="239"/>
      <c r="D31" s="239"/>
      <c r="E31" s="239"/>
      <c r="F31" s="204"/>
      <c r="O31" s="79"/>
      <c r="S31" s="79"/>
      <c r="T31" s="79"/>
      <c r="Y31" s="79"/>
      <c r="AE31" s="130"/>
      <c r="AG31" s="106"/>
    </row>
    <row r="32">
      <c r="C32" s="79"/>
      <c r="D32" s="79"/>
      <c r="E32" s="79"/>
      <c r="O32" s="79"/>
      <c r="S32" s="79"/>
      <c r="T32" s="79"/>
      <c r="Y32" s="79"/>
      <c r="AE32" s="130"/>
      <c r="AG32" s="106"/>
    </row>
    <row r="33">
      <c r="A33" s="274"/>
      <c r="B33" s="275" t="s">
        <v>315</v>
      </c>
      <c r="F33" s="274"/>
      <c r="G33" s="274"/>
      <c r="H33" s="274"/>
      <c r="I33" s="274"/>
      <c r="J33" s="274"/>
      <c r="K33" s="274"/>
      <c r="L33" s="274"/>
      <c r="M33" s="274"/>
      <c r="N33" s="274"/>
      <c r="O33" s="274"/>
      <c r="P33" s="274"/>
      <c r="Q33" s="274"/>
      <c r="R33" s="274"/>
      <c r="S33" s="274"/>
      <c r="T33" s="274"/>
      <c r="U33" s="274"/>
      <c r="V33" s="274"/>
      <c r="W33" s="274"/>
      <c r="X33" s="274"/>
      <c r="Y33" s="274"/>
      <c r="Z33" s="274"/>
      <c r="AA33" s="274"/>
      <c r="AB33" s="274"/>
      <c r="AC33" s="274"/>
      <c r="AD33" s="274"/>
      <c r="AE33" s="276"/>
      <c r="AF33" s="274"/>
      <c r="AG33" s="277"/>
      <c r="AH33" s="274"/>
      <c r="AI33" s="274"/>
      <c r="AJ33" s="274"/>
    </row>
    <row r="34">
      <c r="A34" s="16" t="s">
        <v>316</v>
      </c>
      <c r="B34" s="17"/>
      <c r="C34" s="114"/>
      <c r="D34" s="114"/>
      <c r="E34" s="115"/>
      <c r="I34" s="455" t="s">
        <v>735</v>
      </c>
      <c r="J34" s="17"/>
      <c r="K34" s="114"/>
      <c r="L34" s="114"/>
      <c r="M34" s="115"/>
      <c r="P34" s="79"/>
      <c r="T34" s="79"/>
      <c r="U34" s="79"/>
      <c r="AE34" s="130"/>
      <c r="AG34" s="106"/>
    </row>
    <row r="35">
      <c r="A35" s="19" t="s">
        <v>317</v>
      </c>
      <c r="B35" s="20"/>
      <c r="C35" s="116"/>
      <c r="D35" s="116"/>
      <c r="E35" s="117"/>
      <c r="I35" s="599" t="s">
        <v>736</v>
      </c>
      <c r="J35" s="20"/>
      <c r="K35" s="116"/>
      <c r="L35" s="116"/>
      <c r="M35" s="117"/>
      <c r="P35" s="79"/>
      <c r="T35" s="79"/>
      <c r="U35" s="79"/>
      <c r="AE35" s="130"/>
      <c r="AG35" s="106"/>
    </row>
    <row r="36">
      <c r="A36" s="278" t="s">
        <v>318</v>
      </c>
      <c r="B36" s="279" t="s">
        <v>319</v>
      </c>
      <c r="C36" s="280" t="s">
        <v>285</v>
      </c>
      <c r="D36" s="280" t="s">
        <v>30</v>
      </c>
      <c r="E36" s="281" t="s">
        <v>320</v>
      </c>
      <c r="F36" s="281" t="s">
        <v>321</v>
      </c>
      <c r="H36" s="600" t="s">
        <v>743</v>
      </c>
      <c r="I36" s="507" t="s">
        <v>318</v>
      </c>
      <c r="J36" s="601" t="s">
        <v>319</v>
      </c>
      <c r="K36" s="507" t="s">
        <v>285</v>
      </c>
      <c r="L36" s="507" t="s">
        <v>737</v>
      </c>
      <c r="M36" s="507" t="s">
        <v>738</v>
      </c>
      <c r="N36" s="507" t="s">
        <v>739</v>
      </c>
      <c r="O36" s="602" t="s">
        <v>740</v>
      </c>
      <c r="P36" s="602" t="s">
        <v>741</v>
      </c>
      <c r="Q36" s="602" t="s">
        <v>320</v>
      </c>
      <c r="R36" s="507"/>
      <c r="S36" s="602" t="s">
        <v>740</v>
      </c>
      <c r="T36" s="602" t="s">
        <v>741</v>
      </c>
      <c r="U36" s="602" t="s">
        <v>320</v>
      </c>
      <c r="V36" s="507"/>
      <c r="W36" s="602" t="s">
        <v>740</v>
      </c>
      <c r="X36" s="602" t="s">
        <v>741</v>
      </c>
      <c r="Y36" s="602" t="s">
        <v>320</v>
      </c>
      <c r="AE36" s="130"/>
      <c r="AG36" s="106"/>
    </row>
    <row r="37">
      <c r="A37" s="289" t="s">
        <v>802</v>
      </c>
      <c r="B37" s="290">
        <v>45595.0</v>
      </c>
      <c r="C37" s="173" t="s">
        <v>325</v>
      </c>
      <c r="D37" s="180">
        <v>817.04</v>
      </c>
      <c r="E37" s="336"/>
      <c r="F37" s="173" t="s">
        <v>830</v>
      </c>
      <c r="H37" s="603">
        <f t="shared" ref="H37:H49" si="6">L37+O37+S37+W37</f>
        <v>0</v>
      </c>
      <c r="I37" s="463">
        <v>607888.0</v>
      </c>
      <c r="J37" s="464">
        <v>45653.0</v>
      </c>
      <c r="K37" s="465" t="s">
        <v>437</v>
      </c>
      <c r="L37" s="466">
        <v>3.0</v>
      </c>
      <c r="M37" s="467">
        <v>1504.57</v>
      </c>
      <c r="N37" s="467">
        <f t="shared" ref="N37:N38" si="7">M37/L37</f>
        <v>501.5233333</v>
      </c>
      <c r="O37" s="342">
        <v>-3.0</v>
      </c>
      <c r="P37" s="637">
        <f t="shared" ref="P37:P38" si="8">O37*N37</f>
        <v>-1504.57</v>
      </c>
      <c r="Q37" s="638">
        <v>45662.0</v>
      </c>
      <c r="R37" s="583"/>
      <c r="S37" s="469"/>
      <c r="T37" s="534"/>
      <c r="U37" s="469"/>
      <c r="V37" s="583"/>
      <c r="W37" s="469"/>
      <c r="X37" s="469"/>
      <c r="Y37" s="469"/>
      <c r="Z37" s="483"/>
      <c r="AA37" s="483"/>
      <c r="AB37" s="483"/>
      <c r="AC37" s="483"/>
      <c r="AD37" s="483"/>
      <c r="AE37" s="492"/>
      <c r="AF37" s="483"/>
      <c r="AG37" s="493"/>
      <c r="AH37" s="483"/>
      <c r="AI37" s="483"/>
      <c r="AJ37" s="483"/>
    </row>
    <row r="38">
      <c r="A38" s="289" t="s">
        <v>810</v>
      </c>
      <c r="B38" s="290">
        <v>45602.0</v>
      </c>
      <c r="C38" s="173" t="s">
        <v>325</v>
      </c>
      <c r="D38" s="180">
        <v>817.64</v>
      </c>
      <c r="E38" s="336"/>
      <c r="F38" s="173" t="s">
        <v>830</v>
      </c>
      <c r="H38" s="603">
        <f t="shared" si="6"/>
        <v>6</v>
      </c>
      <c r="I38" s="463">
        <v>608100.0</v>
      </c>
      <c r="J38" s="464">
        <v>46022.0</v>
      </c>
      <c r="K38" s="465" t="s">
        <v>437</v>
      </c>
      <c r="L38" s="466">
        <v>9.0</v>
      </c>
      <c r="M38" s="467">
        <f>4305.17</f>
        <v>4305.17</v>
      </c>
      <c r="N38" s="467">
        <f t="shared" si="7"/>
        <v>478.3522222</v>
      </c>
      <c r="O38" s="342">
        <v>-3.0</v>
      </c>
      <c r="P38" s="637">
        <f t="shared" si="8"/>
        <v>-1435.056667</v>
      </c>
      <c r="Q38" s="638">
        <v>45662.0</v>
      </c>
      <c r="R38" s="583"/>
      <c r="S38" s="469"/>
      <c r="T38" s="534"/>
      <c r="U38" s="469"/>
      <c r="V38" s="583"/>
      <c r="W38" s="469"/>
      <c r="X38" s="469"/>
      <c r="Y38" s="469"/>
      <c r="AE38" s="130"/>
      <c r="AG38" s="106"/>
    </row>
    <row r="39">
      <c r="A39" s="289" t="s">
        <v>824</v>
      </c>
      <c r="B39" s="290">
        <v>45609.0</v>
      </c>
      <c r="C39" s="173" t="s">
        <v>325</v>
      </c>
      <c r="D39" s="180">
        <v>829.32</v>
      </c>
      <c r="E39" s="336"/>
      <c r="F39" s="173" t="s">
        <v>830</v>
      </c>
      <c r="H39" s="603">
        <f t="shared" si="6"/>
        <v>0</v>
      </c>
      <c r="I39" s="463"/>
      <c r="J39" s="464"/>
      <c r="K39" s="465"/>
      <c r="L39" s="466"/>
      <c r="M39" s="467"/>
      <c r="N39" s="467"/>
      <c r="O39" s="489"/>
      <c r="P39" s="488"/>
      <c r="Q39" s="604"/>
      <c r="R39" s="583"/>
      <c r="S39" s="469"/>
      <c r="T39" s="534"/>
      <c r="U39" s="469"/>
      <c r="V39" s="583"/>
      <c r="W39" s="469"/>
      <c r="X39" s="469"/>
      <c r="Y39" s="469"/>
      <c r="AE39" s="130"/>
      <c r="AG39" s="106"/>
    </row>
    <row r="40">
      <c r="A40" s="289" t="s">
        <v>831</v>
      </c>
      <c r="B40" s="290">
        <v>45616.0</v>
      </c>
      <c r="C40" s="173" t="s">
        <v>325</v>
      </c>
      <c r="D40" s="180">
        <v>860.13</v>
      </c>
      <c r="E40" s="336"/>
      <c r="F40" s="173" t="s">
        <v>830</v>
      </c>
      <c r="H40" s="603">
        <f t="shared" si="6"/>
        <v>0</v>
      </c>
      <c r="I40" s="463"/>
      <c r="J40" s="464"/>
      <c r="K40" s="465"/>
      <c r="L40" s="466"/>
      <c r="M40" s="467"/>
      <c r="N40" s="467"/>
      <c r="O40" s="489"/>
      <c r="P40" s="488"/>
      <c r="Q40" s="604"/>
      <c r="R40" s="583"/>
      <c r="S40" s="469"/>
      <c r="T40" s="534"/>
      <c r="U40" s="469"/>
      <c r="V40" s="583"/>
      <c r="W40" s="469"/>
      <c r="X40" s="469"/>
      <c r="Y40" s="469"/>
      <c r="AE40" s="130"/>
      <c r="AG40" s="106"/>
    </row>
    <row r="41">
      <c r="A41" s="264" t="s">
        <v>853</v>
      </c>
      <c r="B41" s="639">
        <v>45653.0</v>
      </c>
      <c r="C41" s="166" t="s">
        <v>845</v>
      </c>
      <c r="D41" s="93">
        <v>1346.7</v>
      </c>
      <c r="E41" s="285"/>
      <c r="F41" s="264"/>
      <c r="H41" s="603">
        <f t="shared" si="6"/>
        <v>0</v>
      </c>
      <c r="I41" s="463"/>
      <c r="J41" s="464"/>
      <c r="K41" s="465"/>
      <c r="L41" s="466"/>
      <c r="M41" s="467"/>
      <c r="N41" s="467"/>
      <c r="O41" s="489"/>
      <c r="P41" s="488"/>
      <c r="Q41" s="604"/>
      <c r="R41" s="583"/>
      <c r="S41" s="469"/>
      <c r="T41" s="534"/>
      <c r="U41" s="469"/>
      <c r="V41" s="583"/>
      <c r="W41" s="469"/>
      <c r="X41" s="469"/>
      <c r="Y41" s="469"/>
      <c r="AE41" s="130"/>
      <c r="AG41" s="106"/>
    </row>
    <row r="42">
      <c r="A42" s="640"/>
      <c r="B42" s="641"/>
      <c r="C42" s="78"/>
      <c r="D42" s="192"/>
      <c r="E42" s="642"/>
      <c r="F42" s="640"/>
      <c r="H42" s="610">
        <f t="shared" si="6"/>
        <v>0</v>
      </c>
      <c r="I42" s="463"/>
      <c r="J42" s="464"/>
      <c r="K42" s="465"/>
      <c r="L42" s="466"/>
      <c r="M42" s="467"/>
      <c r="N42" s="467"/>
      <c r="O42" s="489"/>
      <c r="P42" s="488"/>
      <c r="Q42" s="604"/>
      <c r="R42" s="615"/>
      <c r="S42" s="469"/>
      <c r="T42" s="534"/>
      <c r="U42" s="469"/>
      <c r="V42" s="615"/>
      <c r="W42" s="469"/>
      <c r="X42" s="469"/>
      <c r="Y42" s="469"/>
      <c r="AE42" s="130"/>
      <c r="AG42" s="106"/>
    </row>
    <row r="43">
      <c r="A43" s="640"/>
      <c r="B43" s="641"/>
      <c r="C43" s="78"/>
      <c r="D43" s="192"/>
      <c r="E43" s="642"/>
      <c r="F43" s="640"/>
      <c r="H43" s="610">
        <f t="shared" si="6"/>
        <v>0</v>
      </c>
      <c r="I43" s="463"/>
      <c r="J43" s="464"/>
      <c r="K43" s="465"/>
      <c r="L43" s="466"/>
      <c r="M43" s="467"/>
      <c r="N43" s="467"/>
      <c r="O43" s="489"/>
      <c r="P43" s="488"/>
      <c r="Q43" s="604"/>
      <c r="R43" s="583"/>
      <c r="S43" s="469"/>
      <c r="T43" s="534"/>
      <c r="U43" s="469"/>
      <c r="V43" s="583"/>
      <c r="W43" s="469"/>
      <c r="X43" s="469"/>
      <c r="Y43" s="469"/>
      <c r="AE43" s="130"/>
      <c r="AG43" s="106"/>
    </row>
    <row r="44">
      <c r="A44" s="640"/>
      <c r="B44" s="641"/>
      <c r="C44" s="78"/>
      <c r="D44" s="192"/>
      <c r="E44" s="642"/>
      <c r="F44" s="640"/>
      <c r="H44" s="603">
        <f t="shared" si="6"/>
        <v>0</v>
      </c>
      <c r="I44" s="463"/>
      <c r="J44" s="464"/>
      <c r="K44" s="465"/>
      <c r="L44" s="466"/>
      <c r="M44" s="467"/>
      <c r="N44" s="467"/>
      <c r="O44" s="489"/>
      <c r="P44" s="488"/>
      <c r="Q44" s="604"/>
      <c r="R44" s="583"/>
      <c r="S44" s="469"/>
      <c r="T44" s="534"/>
      <c r="U44" s="469"/>
      <c r="V44" s="583"/>
      <c r="W44" s="469"/>
      <c r="X44" s="469"/>
      <c r="Y44" s="469"/>
      <c r="AE44" s="130"/>
      <c r="AG44" s="106"/>
    </row>
    <row r="45">
      <c r="A45" s="640"/>
      <c r="B45" s="641"/>
      <c r="C45" s="78"/>
      <c r="D45" s="192"/>
      <c r="E45" s="642"/>
      <c r="F45" s="640"/>
      <c r="H45" s="603">
        <f t="shared" si="6"/>
        <v>0</v>
      </c>
      <c r="I45" s="463"/>
      <c r="J45" s="464"/>
      <c r="K45" s="465"/>
      <c r="L45" s="466"/>
      <c r="M45" s="467"/>
      <c r="N45" s="467"/>
      <c r="O45" s="489"/>
      <c r="P45" s="488"/>
      <c r="Q45" s="604"/>
      <c r="R45" s="583"/>
      <c r="S45" s="469"/>
      <c r="T45" s="534"/>
      <c r="U45" s="469"/>
      <c r="V45" s="583"/>
      <c r="W45" s="469"/>
      <c r="X45" s="469"/>
      <c r="Y45" s="469"/>
      <c r="AE45" s="130"/>
      <c r="AG45" s="106"/>
    </row>
    <row r="46">
      <c r="A46" s="640"/>
      <c r="B46" s="641"/>
      <c r="C46" s="78"/>
      <c r="D46" s="192"/>
      <c r="E46" s="642"/>
      <c r="F46" s="640"/>
      <c r="H46" s="603">
        <f t="shared" si="6"/>
        <v>0</v>
      </c>
      <c r="I46" s="463"/>
      <c r="J46" s="464"/>
      <c r="K46" s="465"/>
      <c r="L46" s="466"/>
      <c r="M46" s="467"/>
      <c r="N46" s="467"/>
      <c r="O46" s="489"/>
      <c r="P46" s="488"/>
      <c r="Q46" s="604"/>
      <c r="R46" s="583"/>
      <c r="S46" s="469"/>
      <c r="T46" s="534"/>
      <c r="U46" s="469"/>
      <c r="V46" s="583"/>
      <c r="W46" s="469"/>
      <c r="X46" s="469"/>
      <c r="Y46" s="469"/>
      <c r="AE46" s="130"/>
      <c r="AG46" s="106"/>
    </row>
    <row r="47">
      <c r="A47" s="79"/>
      <c r="B47" s="79"/>
      <c r="C47" s="79"/>
      <c r="D47" s="79"/>
      <c r="E47" s="79"/>
      <c r="F47" s="79"/>
      <c r="H47" s="603">
        <f t="shared" si="6"/>
        <v>0</v>
      </c>
      <c r="I47" s="463"/>
      <c r="J47" s="464"/>
      <c r="K47" s="465"/>
      <c r="L47" s="466"/>
      <c r="M47" s="467"/>
      <c r="N47" s="467"/>
      <c r="O47" s="489"/>
      <c r="P47" s="488"/>
      <c r="Q47" s="604"/>
      <c r="R47" s="583"/>
      <c r="S47" s="469"/>
      <c r="T47" s="534"/>
      <c r="U47" s="469"/>
      <c r="V47" s="583"/>
      <c r="W47" s="469"/>
      <c r="X47" s="469"/>
      <c r="Y47" s="469"/>
      <c r="AE47" s="130"/>
      <c r="AG47" s="106"/>
    </row>
    <row r="48">
      <c r="A48" s="79"/>
      <c r="B48" s="79"/>
      <c r="C48" s="79"/>
      <c r="D48" s="79"/>
      <c r="E48" s="79"/>
      <c r="F48" s="79"/>
      <c r="H48" s="603">
        <f t="shared" si="6"/>
        <v>0</v>
      </c>
      <c r="I48" s="463"/>
      <c r="J48" s="464"/>
      <c r="K48" s="465"/>
      <c r="L48" s="466"/>
      <c r="M48" s="467"/>
      <c r="N48" s="467"/>
      <c r="O48" s="489"/>
      <c r="P48" s="488"/>
      <c r="Q48" s="604"/>
      <c r="R48" s="583"/>
      <c r="S48" s="469"/>
      <c r="T48" s="534"/>
      <c r="U48" s="469"/>
      <c r="V48" s="583"/>
      <c r="W48" s="469"/>
      <c r="X48" s="469"/>
      <c r="Y48" s="469"/>
      <c r="AE48" s="130"/>
      <c r="AG48" s="106"/>
    </row>
    <row r="49">
      <c r="A49" s="79"/>
      <c r="B49" s="79"/>
      <c r="C49" s="79"/>
      <c r="D49" s="79"/>
      <c r="E49" s="79"/>
      <c r="F49" s="79"/>
      <c r="H49" s="603">
        <f t="shared" si="6"/>
        <v>0</v>
      </c>
      <c r="I49" s="463"/>
      <c r="J49" s="464"/>
      <c r="K49" s="465"/>
      <c r="L49" s="466"/>
      <c r="M49" s="467"/>
      <c r="N49" s="467"/>
      <c r="O49" s="489"/>
      <c r="P49" s="488"/>
      <c r="Q49" s="604"/>
      <c r="R49" s="583"/>
      <c r="S49" s="469"/>
      <c r="T49" s="534"/>
      <c r="U49" s="469"/>
      <c r="V49" s="583"/>
      <c r="W49" s="469"/>
      <c r="X49" s="469"/>
      <c r="Y49" s="469"/>
      <c r="AE49" s="130"/>
      <c r="AG49" s="106"/>
    </row>
    <row r="50">
      <c r="A50" s="79"/>
      <c r="B50" s="79"/>
      <c r="C50" s="79"/>
      <c r="D50" s="79"/>
      <c r="E50" s="79"/>
      <c r="F50" s="79"/>
      <c r="P50" s="79"/>
      <c r="T50" s="79"/>
      <c r="U50" s="79"/>
      <c r="AE50" s="130"/>
      <c r="AG50" s="106"/>
    </row>
    <row r="51">
      <c r="A51" s="640"/>
      <c r="B51" s="641"/>
      <c r="C51" s="78"/>
      <c r="D51" s="192"/>
      <c r="E51" s="643"/>
      <c r="F51" s="242"/>
      <c r="H51" s="479" t="s">
        <v>287</v>
      </c>
      <c r="I51" s="32" t="s">
        <v>748</v>
      </c>
      <c r="J51" s="479" t="s">
        <v>749</v>
      </c>
      <c r="K51" s="479" t="s">
        <v>750</v>
      </c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AE51" s="130"/>
      <c r="AG51" s="106"/>
    </row>
    <row r="52">
      <c r="A52" s="640"/>
      <c r="B52" s="641"/>
      <c r="C52" s="78"/>
      <c r="D52" s="192"/>
      <c r="E52" s="643"/>
      <c r="F52" s="242"/>
      <c r="H52" s="286">
        <v>45578.0</v>
      </c>
      <c r="I52" s="32">
        <v>6.0</v>
      </c>
      <c r="J52" s="480">
        <v>2413.68</v>
      </c>
      <c r="K52" s="479" t="s">
        <v>751</v>
      </c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AE52" s="130"/>
      <c r="AG52" s="106"/>
    </row>
    <row r="53">
      <c r="A53" s="640"/>
      <c r="B53" s="641"/>
      <c r="C53" s="78"/>
      <c r="D53" s="192"/>
      <c r="E53" s="643"/>
      <c r="F53" s="242"/>
      <c r="H53" s="286">
        <v>45578.0</v>
      </c>
      <c r="I53" s="32">
        <v>3.0</v>
      </c>
      <c r="J53" s="480">
        <v>1202.87</v>
      </c>
      <c r="K53" s="479" t="s">
        <v>752</v>
      </c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AE53" s="130"/>
      <c r="AG53" s="106"/>
    </row>
    <row r="54">
      <c r="A54" s="640"/>
      <c r="B54" s="641"/>
      <c r="C54" s="78"/>
      <c r="D54" s="192"/>
      <c r="E54" s="643"/>
      <c r="F54" s="242"/>
      <c r="H54" s="504">
        <v>45585.0</v>
      </c>
      <c r="I54" s="479">
        <v>1.0</v>
      </c>
      <c r="J54" s="505">
        <v>403.0566666666667</v>
      </c>
      <c r="K54" s="479" t="s">
        <v>751</v>
      </c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AE54" s="130"/>
      <c r="AG54" s="106"/>
    </row>
    <row r="55">
      <c r="A55" s="640"/>
      <c r="B55" s="641"/>
      <c r="C55" s="78"/>
      <c r="D55" s="192"/>
      <c r="E55" s="643"/>
      <c r="F55" s="242"/>
      <c r="H55" s="504">
        <v>45585.0</v>
      </c>
      <c r="I55" s="479">
        <v>6.0</v>
      </c>
      <c r="J55" s="505">
        <v>2399.445</v>
      </c>
      <c r="K55" s="479" t="s">
        <v>751</v>
      </c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AE55" s="130"/>
      <c r="AG55" s="106"/>
    </row>
    <row r="56">
      <c r="A56" s="640"/>
      <c r="B56" s="641"/>
      <c r="C56" s="78"/>
      <c r="D56" s="192"/>
      <c r="E56" s="643"/>
      <c r="F56" s="242"/>
      <c r="H56" s="504">
        <v>45592.0</v>
      </c>
      <c r="I56" s="479">
        <v>6.0</v>
      </c>
      <c r="J56" s="505">
        <v>2372.855</v>
      </c>
      <c r="K56" s="479" t="s">
        <v>751</v>
      </c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AE56" s="130"/>
      <c r="AG56" s="106"/>
    </row>
    <row r="57">
      <c r="A57" s="640"/>
      <c r="B57" s="641"/>
      <c r="C57" s="78"/>
      <c r="D57" s="192"/>
      <c r="E57" s="643"/>
      <c r="F57" s="45"/>
      <c r="H57" s="504">
        <v>45599.0</v>
      </c>
      <c r="I57" s="479">
        <v>6.0</v>
      </c>
      <c r="J57" s="505">
        <v>2362.5933333333332</v>
      </c>
      <c r="K57" s="479" t="s">
        <v>751</v>
      </c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AE57" s="130"/>
      <c r="AG57" s="106"/>
    </row>
    <row r="58">
      <c r="A58" s="640"/>
      <c r="B58" s="641"/>
      <c r="C58" s="78"/>
      <c r="D58" s="192"/>
      <c r="E58" s="644"/>
      <c r="F58" s="645"/>
      <c r="H58" s="504">
        <v>45606.0</v>
      </c>
      <c r="I58" s="479">
        <v>8.0</v>
      </c>
      <c r="J58" s="505">
        <v>3412.1633333333334</v>
      </c>
      <c r="K58" s="479" t="s">
        <v>751</v>
      </c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AE58" s="130"/>
      <c r="AG58" s="106"/>
    </row>
    <row r="59">
      <c r="A59" s="640"/>
      <c r="B59" s="641"/>
      <c r="C59" s="78"/>
      <c r="D59" s="192"/>
      <c r="E59" s="643"/>
      <c r="F59" s="45"/>
      <c r="H59" s="584">
        <v>45606.0</v>
      </c>
      <c r="I59" s="585">
        <v>1.0</v>
      </c>
      <c r="J59" s="586">
        <v>393.7266666666667</v>
      </c>
      <c r="K59" s="585" t="s">
        <v>811</v>
      </c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AE59" s="130"/>
      <c r="AG59" s="106"/>
    </row>
    <row r="60">
      <c r="A60" s="646"/>
      <c r="B60" s="647"/>
      <c r="C60" s="78"/>
      <c r="D60" s="192"/>
      <c r="E60" s="643"/>
      <c r="F60" s="45"/>
      <c r="H60" s="286">
        <v>45613.0</v>
      </c>
      <c r="I60" s="479">
        <v>8.0</v>
      </c>
      <c r="J60" s="505">
        <v>3424.46</v>
      </c>
      <c r="K60" s="479" t="s">
        <v>751</v>
      </c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AE60" s="130"/>
      <c r="AG60" s="106"/>
    </row>
    <row r="61">
      <c r="A61" s="646"/>
      <c r="B61" s="647"/>
      <c r="C61" s="78"/>
      <c r="D61" s="192"/>
      <c r="E61" s="648"/>
      <c r="F61" s="45"/>
      <c r="H61" s="286">
        <v>45620.0</v>
      </c>
      <c r="I61" s="479">
        <v>8.0</v>
      </c>
      <c r="J61" s="505">
        <v>3535.55</v>
      </c>
      <c r="K61" s="479" t="s">
        <v>751</v>
      </c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AE61" s="130"/>
      <c r="AG61" s="106"/>
    </row>
    <row r="62">
      <c r="A62" s="646"/>
      <c r="B62" s="647"/>
      <c r="C62" s="78"/>
      <c r="D62" s="192"/>
      <c r="E62" s="643"/>
      <c r="F62" s="45"/>
      <c r="H62" s="286">
        <v>45620.0</v>
      </c>
      <c r="I62" s="479">
        <v>2.0</v>
      </c>
      <c r="J62" s="479">
        <v>853.72</v>
      </c>
      <c r="K62" s="479" t="s">
        <v>839</v>
      </c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AE62" s="130"/>
      <c r="AG62" s="106"/>
    </row>
    <row r="63">
      <c r="A63" s="646"/>
      <c r="B63" s="647"/>
      <c r="C63" s="78"/>
      <c r="D63" s="192"/>
      <c r="E63" s="643"/>
      <c r="F63" s="45"/>
      <c r="H63" s="286">
        <v>45627.0</v>
      </c>
      <c r="I63" s="479">
        <v>2.0</v>
      </c>
      <c r="J63" s="479">
        <v>847.22</v>
      </c>
      <c r="K63" s="479" t="s">
        <v>751</v>
      </c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AE63" s="130"/>
      <c r="AG63" s="106"/>
    </row>
    <row r="64">
      <c r="A64" s="646"/>
      <c r="B64" s="647"/>
      <c r="C64" s="78"/>
      <c r="D64" s="192"/>
      <c r="E64" s="643"/>
      <c r="F64" s="45"/>
      <c r="H64" s="504">
        <v>45634.0</v>
      </c>
      <c r="I64" s="479">
        <v>7.0</v>
      </c>
      <c r="J64" s="505">
        <v>2982.0533333333333</v>
      </c>
      <c r="K64" s="479" t="s">
        <v>751</v>
      </c>
      <c r="M64" s="79"/>
      <c r="N64" s="481"/>
      <c r="O64" s="545"/>
      <c r="P64" s="79"/>
      <c r="Q64" s="481"/>
      <c r="R64" s="481"/>
      <c r="S64" s="545"/>
      <c r="T64" s="545"/>
      <c r="U64" s="481"/>
      <c r="V64" s="481"/>
      <c r="W64" s="481"/>
      <c r="X64" s="481"/>
      <c r="Y64" s="545"/>
      <c r="AE64" s="130"/>
      <c r="AG64" s="106"/>
    </row>
    <row r="65">
      <c r="A65" s="646"/>
      <c r="B65" s="647"/>
      <c r="C65" s="78"/>
      <c r="D65" s="192"/>
      <c r="E65" s="643"/>
      <c r="F65" s="45"/>
      <c r="H65" s="286">
        <v>45634.0</v>
      </c>
      <c r="I65" s="479">
        <v>1.0</v>
      </c>
      <c r="J65" s="479">
        <v>429.20666666666665</v>
      </c>
      <c r="K65" s="479" t="s">
        <v>839</v>
      </c>
      <c r="M65" s="79"/>
      <c r="N65" s="545"/>
      <c r="O65" s="545"/>
      <c r="P65" s="626"/>
      <c r="Q65" s="545"/>
      <c r="R65" s="545"/>
      <c r="S65" s="545"/>
      <c r="T65" s="545"/>
      <c r="U65" s="545"/>
      <c r="V65" s="545"/>
      <c r="W65" s="545"/>
      <c r="X65" s="545"/>
      <c r="Y65" s="545"/>
      <c r="AE65" s="130"/>
      <c r="AG65" s="106"/>
    </row>
    <row r="66">
      <c r="A66" s="646"/>
      <c r="B66" s="647"/>
      <c r="C66" s="78"/>
      <c r="D66" s="192"/>
      <c r="E66" s="643"/>
      <c r="F66" s="45"/>
      <c r="H66" s="634">
        <v>45641.0</v>
      </c>
      <c r="I66" s="479">
        <v>3.0</v>
      </c>
      <c r="J66" s="505">
        <v>1309.205</v>
      </c>
      <c r="K66" s="479" t="s">
        <v>839</v>
      </c>
      <c r="M66" s="79"/>
      <c r="N66" s="626"/>
      <c r="O66" s="626"/>
      <c r="P66" s="626"/>
      <c r="Q66" s="626"/>
      <c r="R66" s="626"/>
      <c r="S66" s="626"/>
      <c r="T66" s="626"/>
      <c r="U66" s="626"/>
      <c r="V66" s="626"/>
      <c r="W66" s="626"/>
      <c r="X66" s="626"/>
      <c r="Y66" s="626"/>
      <c r="AE66" s="130"/>
      <c r="AG66" s="106"/>
    </row>
    <row r="67">
      <c r="A67" s="646"/>
      <c r="B67" s="647"/>
      <c r="C67" s="78"/>
      <c r="D67" s="192"/>
      <c r="E67" s="643"/>
      <c r="F67" s="45"/>
      <c r="H67" s="634">
        <v>45641.0</v>
      </c>
      <c r="I67" s="479">
        <v>5.0</v>
      </c>
      <c r="J67" s="505">
        <v>2253.9583333333335</v>
      </c>
      <c r="K67" s="479" t="s">
        <v>751</v>
      </c>
      <c r="L67" s="625"/>
      <c r="M67" s="79"/>
      <c r="N67" s="626"/>
      <c r="O67" s="626"/>
      <c r="P67" s="626"/>
      <c r="Q67" s="626"/>
      <c r="R67" s="626"/>
      <c r="S67" s="626"/>
      <c r="T67" s="626"/>
      <c r="U67" s="626"/>
      <c r="V67" s="626"/>
      <c r="W67" s="626"/>
      <c r="X67" s="626"/>
      <c r="Y67" s="626"/>
      <c r="AE67" s="130"/>
      <c r="AG67" s="106"/>
    </row>
    <row r="68">
      <c r="A68" s="646"/>
      <c r="B68" s="647"/>
      <c r="C68" s="78"/>
      <c r="D68" s="192"/>
      <c r="E68" s="643"/>
      <c r="F68" s="45"/>
      <c r="H68" s="479"/>
      <c r="I68" s="481"/>
      <c r="J68" s="481"/>
      <c r="K68" s="481"/>
      <c r="L68" s="625"/>
      <c r="M68" s="79"/>
      <c r="N68" s="626"/>
      <c r="O68" s="626"/>
      <c r="P68" s="626"/>
      <c r="Q68" s="626"/>
      <c r="R68" s="626"/>
      <c r="S68" s="626"/>
      <c r="T68" s="626"/>
      <c r="U68" s="626"/>
      <c r="V68" s="626"/>
      <c r="W68" s="626"/>
      <c r="X68" s="626"/>
      <c r="Y68" s="626"/>
      <c r="AE68" s="130"/>
      <c r="AG68" s="106"/>
    </row>
    <row r="69">
      <c r="A69" s="646"/>
      <c r="B69" s="647"/>
      <c r="C69" s="78"/>
      <c r="D69" s="192"/>
      <c r="E69" s="643"/>
      <c r="F69" s="45"/>
      <c r="H69" s="479"/>
      <c r="I69" s="481"/>
      <c r="J69" s="481"/>
      <c r="K69" s="481"/>
      <c r="L69" s="625"/>
      <c r="M69" s="79"/>
      <c r="N69" s="626"/>
      <c r="O69" s="626"/>
      <c r="P69" s="626"/>
      <c r="Q69" s="626"/>
      <c r="R69" s="626"/>
      <c r="S69" s="626"/>
      <c r="T69" s="626"/>
      <c r="U69" s="626"/>
      <c r="V69" s="626"/>
      <c r="W69" s="626"/>
      <c r="X69" s="626"/>
      <c r="Y69" s="626"/>
      <c r="AE69" s="130"/>
      <c r="AG69" s="106"/>
    </row>
    <row r="70">
      <c r="A70" s="646"/>
      <c r="B70" s="647"/>
      <c r="C70" s="78"/>
      <c r="D70" s="192"/>
      <c r="E70" s="643"/>
      <c r="F70" s="45"/>
      <c r="H70" s="479"/>
      <c r="I70" s="481"/>
      <c r="J70" s="481"/>
      <c r="K70" s="481"/>
      <c r="L70" s="625"/>
      <c r="M70" s="79"/>
      <c r="N70" s="626"/>
      <c r="O70" s="626"/>
      <c r="P70" s="626"/>
      <c r="Q70" s="626"/>
      <c r="R70" s="626"/>
      <c r="S70" s="626"/>
      <c r="T70" s="626"/>
      <c r="U70" s="626"/>
      <c r="V70" s="626"/>
      <c r="W70" s="626"/>
      <c r="X70" s="626"/>
      <c r="Y70" s="626"/>
      <c r="AE70" s="130"/>
      <c r="AG70" s="106"/>
    </row>
    <row r="71">
      <c r="A71" s="646"/>
      <c r="B71" s="647"/>
      <c r="C71" s="78"/>
      <c r="D71" s="192"/>
      <c r="E71" s="643"/>
      <c r="F71" s="45"/>
      <c r="H71" s="479"/>
      <c r="I71" s="481"/>
      <c r="J71" s="481"/>
      <c r="K71" s="481"/>
      <c r="L71" s="625"/>
      <c r="M71" s="79"/>
      <c r="N71" s="626"/>
      <c r="O71" s="626"/>
      <c r="P71" s="626"/>
      <c r="Q71" s="626"/>
      <c r="R71" s="626"/>
      <c r="S71" s="626"/>
      <c r="T71" s="626"/>
      <c r="U71" s="626"/>
      <c r="V71" s="626"/>
      <c r="W71" s="626"/>
      <c r="X71" s="626"/>
      <c r="Y71" s="626"/>
      <c r="AE71" s="130"/>
      <c r="AG71" s="106"/>
    </row>
    <row r="72">
      <c r="E72" s="643"/>
      <c r="F72" s="45"/>
      <c r="H72" s="479"/>
      <c r="I72" s="481"/>
      <c r="J72" s="481"/>
      <c r="K72" s="481"/>
      <c r="L72" s="625"/>
      <c r="M72" s="79"/>
      <c r="N72" s="626"/>
      <c r="O72" s="626"/>
      <c r="P72" s="626"/>
      <c r="Q72" s="626"/>
      <c r="R72" s="626"/>
      <c r="S72" s="626"/>
      <c r="T72" s="626"/>
      <c r="U72" s="626"/>
      <c r="V72" s="626"/>
      <c r="W72" s="626"/>
      <c r="X72" s="626"/>
      <c r="Y72" s="626"/>
      <c r="AE72" s="130"/>
      <c r="AG72" s="106"/>
    </row>
    <row r="73">
      <c r="A73" s="646"/>
      <c r="B73" s="647"/>
      <c r="C73" s="78"/>
      <c r="D73" s="192"/>
      <c r="E73" s="643"/>
      <c r="F73" s="45"/>
      <c r="H73" s="479"/>
      <c r="I73" s="481"/>
      <c r="J73" s="481"/>
      <c r="K73" s="481"/>
      <c r="L73" s="625"/>
      <c r="M73" s="79"/>
      <c r="N73" s="626"/>
      <c r="O73" s="626"/>
      <c r="P73" s="626"/>
      <c r="Q73" s="626"/>
      <c r="R73" s="626"/>
      <c r="S73" s="626"/>
      <c r="T73" s="626"/>
      <c r="U73" s="626"/>
      <c r="V73" s="626"/>
      <c r="W73" s="626"/>
      <c r="X73" s="626"/>
      <c r="Y73" s="626"/>
      <c r="AE73" s="130"/>
      <c r="AG73" s="106"/>
    </row>
    <row r="74">
      <c r="A74" s="646"/>
      <c r="B74" s="647"/>
      <c r="C74" s="78"/>
      <c r="D74" s="192"/>
      <c r="E74" s="643"/>
      <c r="F74" s="45"/>
      <c r="H74" s="479"/>
      <c r="I74" s="481"/>
      <c r="J74" s="481"/>
      <c r="K74" s="481"/>
      <c r="L74" s="625"/>
      <c r="M74" s="79"/>
      <c r="N74" s="626"/>
      <c r="O74" s="626"/>
      <c r="P74" s="626"/>
      <c r="Q74" s="626"/>
      <c r="R74" s="626"/>
      <c r="S74" s="626"/>
      <c r="T74" s="626"/>
      <c r="U74" s="626"/>
      <c r="V74" s="626"/>
      <c r="W74" s="626"/>
      <c r="X74" s="626"/>
      <c r="Y74" s="626"/>
      <c r="AE74" s="130"/>
      <c r="AG74" s="106"/>
    </row>
    <row r="75">
      <c r="A75" s="646"/>
      <c r="B75" s="647"/>
      <c r="C75" s="78"/>
      <c r="D75" s="192"/>
      <c r="E75" s="643"/>
      <c r="F75" s="45"/>
      <c r="O75" s="79"/>
      <c r="S75" s="79"/>
      <c r="T75" s="79"/>
      <c r="Y75" s="79"/>
      <c r="AE75" s="130"/>
      <c r="AG75" s="106"/>
    </row>
    <row r="76">
      <c r="A76" s="646"/>
      <c r="B76" s="647"/>
      <c r="C76" s="78"/>
      <c r="D76" s="192"/>
      <c r="E76" s="643"/>
      <c r="F76" s="45"/>
      <c r="O76" s="79"/>
      <c r="S76" s="79"/>
      <c r="T76" s="79"/>
      <c r="Y76" s="79"/>
      <c r="AE76" s="130"/>
      <c r="AG76" s="106"/>
    </row>
    <row r="77">
      <c r="A77" s="646"/>
      <c r="B77" s="647"/>
      <c r="C77" s="78"/>
      <c r="D77" s="192"/>
      <c r="E77" s="643"/>
      <c r="F77" s="45"/>
      <c r="O77" s="79"/>
      <c r="S77" s="79"/>
      <c r="T77" s="79"/>
      <c r="Y77" s="79"/>
      <c r="AE77" s="130"/>
      <c r="AG77" s="106"/>
    </row>
    <row r="78">
      <c r="A78" s="646"/>
      <c r="B78" s="647"/>
      <c r="C78" s="78"/>
      <c r="D78" s="192"/>
      <c r="E78" s="643"/>
      <c r="F78" s="45"/>
      <c r="O78" s="79"/>
      <c r="S78" s="79"/>
      <c r="T78" s="79"/>
      <c r="Y78" s="79"/>
      <c r="AE78" s="130"/>
      <c r="AG78" s="106"/>
    </row>
    <row r="79">
      <c r="A79" s="646"/>
      <c r="B79" s="647"/>
      <c r="C79" s="78"/>
      <c r="D79" s="192"/>
      <c r="E79" s="643"/>
      <c r="F79" s="45"/>
      <c r="O79" s="79"/>
      <c r="S79" s="79"/>
      <c r="T79" s="79"/>
      <c r="Y79" s="79"/>
      <c r="AE79" s="130"/>
      <c r="AG79" s="106"/>
    </row>
    <row r="80">
      <c r="A80" s="646"/>
      <c r="B80" s="647"/>
      <c r="C80" s="78"/>
      <c r="D80" s="192"/>
      <c r="E80" s="643"/>
      <c r="F80" s="45"/>
      <c r="O80" s="79"/>
      <c r="S80" s="79"/>
      <c r="T80" s="79"/>
      <c r="Y80" s="79"/>
      <c r="AE80" s="130"/>
      <c r="AG80" s="106"/>
    </row>
    <row r="81">
      <c r="A81" s="646"/>
      <c r="B81" s="647"/>
      <c r="C81" s="78"/>
      <c r="D81" s="192"/>
      <c r="E81" s="643"/>
      <c r="F81" s="45"/>
      <c r="O81" s="79"/>
      <c r="S81" s="79"/>
      <c r="T81" s="79"/>
      <c r="Y81" s="79"/>
      <c r="AE81" s="130"/>
      <c r="AG81" s="106"/>
    </row>
    <row r="82">
      <c r="A82" s="646"/>
      <c r="B82" s="647"/>
      <c r="C82" s="78"/>
      <c r="D82" s="192"/>
      <c r="E82" s="643"/>
      <c r="F82" s="45"/>
      <c r="O82" s="79"/>
      <c r="S82" s="79"/>
      <c r="T82" s="79"/>
      <c r="Y82" s="79"/>
      <c r="AE82" s="130"/>
      <c r="AG82" s="106"/>
    </row>
    <row r="83">
      <c r="A83" s="646"/>
      <c r="B83" s="647"/>
      <c r="C83" s="78"/>
      <c r="D83" s="192"/>
      <c r="E83" s="643"/>
      <c r="F83" s="45"/>
      <c r="O83" s="79"/>
      <c r="S83" s="79"/>
      <c r="T83" s="79"/>
      <c r="Y83" s="79"/>
      <c r="AE83" s="130"/>
      <c r="AG83" s="106"/>
    </row>
    <row r="84">
      <c r="A84" s="646"/>
      <c r="B84" s="647"/>
      <c r="C84" s="78"/>
      <c r="D84" s="192"/>
      <c r="E84" s="643"/>
      <c r="F84" s="45"/>
      <c r="O84" s="79"/>
      <c r="S84" s="79"/>
      <c r="T84" s="79"/>
      <c r="Y84" s="79"/>
      <c r="AE84" s="130"/>
      <c r="AG84" s="106"/>
    </row>
    <row r="85">
      <c r="A85" s="646"/>
      <c r="B85" s="647"/>
      <c r="C85" s="78"/>
      <c r="D85" s="192"/>
      <c r="E85" s="643"/>
      <c r="F85" s="45"/>
      <c r="O85" s="79"/>
      <c r="S85" s="79"/>
      <c r="T85" s="79"/>
      <c r="Y85" s="79"/>
      <c r="AE85" s="130"/>
      <c r="AG85" s="106"/>
    </row>
    <row r="86">
      <c r="A86" s="646"/>
      <c r="B86" s="647"/>
      <c r="C86" s="78"/>
      <c r="D86" s="192"/>
      <c r="E86" s="643"/>
      <c r="F86" s="45"/>
      <c r="O86" s="79"/>
      <c r="S86" s="79"/>
      <c r="T86" s="79"/>
      <c r="Y86" s="79"/>
      <c r="AE86" s="130"/>
      <c r="AG86" s="106"/>
    </row>
    <row r="87">
      <c r="A87" s="646"/>
      <c r="B87" s="647"/>
      <c r="C87" s="78"/>
      <c r="D87" s="192"/>
      <c r="E87" s="643"/>
      <c r="F87" s="45"/>
      <c r="O87" s="79"/>
      <c r="S87" s="79"/>
      <c r="T87" s="79"/>
      <c r="Y87" s="79"/>
      <c r="AE87" s="130"/>
      <c r="AG87" s="106"/>
    </row>
    <row r="88">
      <c r="A88" s="646"/>
      <c r="B88" s="647"/>
      <c r="C88" s="78"/>
      <c r="D88" s="192"/>
      <c r="E88" s="643"/>
      <c r="F88" s="45"/>
      <c r="O88" s="79"/>
      <c r="S88" s="79"/>
      <c r="T88" s="79"/>
      <c r="Y88" s="79"/>
      <c r="AE88" s="130"/>
      <c r="AG88" s="106"/>
    </row>
    <row r="89">
      <c r="A89" s="646"/>
      <c r="B89" s="647"/>
      <c r="C89" s="78"/>
      <c r="D89" s="192"/>
      <c r="E89" s="643"/>
      <c r="F89" s="45"/>
      <c r="O89" s="79"/>
      <c r="S89" s="79"/>
      <c r="T89" s="79"/>
      <c r="Y89" s="79"/>
      <c r="AE89" s="130"/>
      <c r="AG89" s="106"/>
    </row>
    <row r="90">
      <c r="A90" s="646"/>
      <c r="B90" s="647"/>
      <c r="C90" s="78"/>
      <c r="D90" s="192"/>
      <c r="E90" s="643"/>
      <c r="F90" s="45"/>
      <c r="O90" s="79"/>
      <c r="S90" s="79"/>
      <c r="T90" s="79"/>
      <c r="Y90" s="79"/>
      <c r="AE90" s="130"/>
      <c r="AG90" s="106"/>
    </row>
    <row r="91">
      <c r="A91" s="646"/>
      <c r="B91" s="647"/>
      <c r="C91" s="78"/>
      <c r="D91" s="192"/>
      <c r="E91" s="643"/>
      <c r="F91" s="45"/>
      <c r="O91" s="79"/>
      <c r="S91" s="79"/>
      <c r="T91" s="79"/>
      <c r="Y91" s="79"/>
      <c r="AE91" s="130"/>
      <c r="AG91" s="106"/>
    </row>
    <row r="92">
      <c r="A92" s="646"/>
      <c r="B92" s="647"/>
      <c r="C92" s="78"/>
      <c r="D92" s="192"/>
      <c r="E92" s="643"/>
      <c r="F92" s="45"/>
      <c r="O92" s="79"/>
      <c r="S92" s="79"/>
      <c r="T92" s="79"/>
      <c r="Y92" s="79"/>
      <c r="AE92" s="130"/>
      <c r="AG92" s="106"/>
    </row>
    <row r="93">
      <c r="A93" s="646"/>
      <c r="B93" s="647"/>
      <c r="C93" s="78"/>
      <c r="D93" s="192"/>
      <c r="E93" s="643"/>
      <c r="F93" s="45"/>
      <c r="O93" s="79"/>
      <c r="S93" s="79"/>
      <c r="T93" s="79"/>
      <c r="Y93" s="79"/>
      <c r="AE93" s="130"/>
      <c r="AG93" s="106"/>
    </row>
    <row r="94">
      <c r="A94" s="646"/>
      <c r="B94" s="647"/>
      <c r="C94" s="78"/>
      <c r="D94" s="192"/>
      <c r="E94" s="643"/>
      <c r="F94" s="45"/>
      <c r="O94" s="79"/>
      <c r="S94" s="79"/>
      <c r="T94" s="79"/>
      <c r="Y94" s="79"/>
      <c r="AE94" s="130"/>
      <c r="AG94" s="106"/>
    </row>
    <row r="95">
      <c r="A95" s="646"/>
      <c r="B95" s="647"/>
      <c r="C95" s="78"/>
      <c r="D95" s="192"/>
      <c r="E95" s="643"/>
      <c r="F95" s="45"/>
      <c r="O95" s="79"/>
      <c r="S95" s="79"/>
      <c r="T95" s="79"/>
      <c r="Y95" s="79"/>
      <c r="AE95" s="130"/>
      <c r="AG95" s="106"/>
    </row>
    <row r="96">
      <c r="A96" s="646"/>
      <c r="B96" s="647"/>
      <c r="C96" s="78"/>
      <c r="D96" s="192"/>
      <c r="E96" s="643"/>
      <c r="F96" s="45"/>
      <c r="O96" s="79"/>
      <c r="S96" s="79"/>
      <c r="T96" s="79"/>
      <c r="Y96" s="79"/>
      <c r="AE96" s="130"/>
      <c r="AG96" s="106"/>
    </row>
    <row r="97">
      <c r="A97" s="646"/>
      <c r="B97" s="647"/>
      <c r="C97" s="78"/>
      <c r="D97" s="192"/>
      <c r="E97" s="643"/>
      <c r="F97" s="45"/>
      <c r="O97" s="79"/>
      <c r="S97" s="79"/>
      <c r="T97" s="79"/>
      <c r="Y97" s="79"/>
      <c r="AE97" s="130"/>
      <c r="AG97" s="106"/>
    </row>
    <row r="98">
      <c r="C98" s="79"/>
      <c r="D98" s="79"/>
      <c r="E98" s="79"/>
      <c r="O98" s="79"/>
      <c r="S98" s="79"/>
      <c r="T98" s="79"/>
      <c r="Y98" s="79"/>
      <c r="AE98" s="130"/>
      <c r="AG98" s="106"/>
    </row>
    <row r="99">
      <c r="C99" s="79"/>
      <c r="D99" s="79"/>
      <c r="E99" s="79"/>
      <c r="O99" s="79"/>
      <c r="S99" s="79"/>
      <c r="T99" s="79"/>
      <c r="Y99" s="79"/>
      <c r="AE99" s="130"/>
      <c r="AG99" s="106"/>
    </row>
    <row r="100">
      <c r="C100" s="79"/>
      <c r="D100" s="79"/>
      <c r="E100" s="79"/>
      <c r="O100" s="79"/>
      <c r="S100" s="79"/>
      <c r="T100" s="79"/>
      <c r="Y100" s="79"/>
      <c r="AE100" s="130"/>
      <c r="AG100" s="106"/>
    </row>
    <row r="101">
      <c r="C101" s="79"/>
      <c r="D101" s="79"/>
      <c r="E101" s="79"/>
      <c r="O101" s="79"/>
      <c r="S101" s="79"/>
      <c r="T101" s="79"/>
      <c r="Y101" s="79"/>
      <c r="AE101" s="130"/>
      <c r="AG101" s="106"/>
    </row>
    <row r="102">
      <c r="C102" s="79"/>
      <c r="D102" s="79"/>
      <c r="E102" s="79"/>
      <c r="O102" s="79"/>
      <c r="S102" s="79"/>
      <c r="T102" s="79"/>
      <c r="Y102" s="79"/>
      <c r="AE102" s="130"/>
      <c r="AG102" s="106"/>
    </row>
    <row r="103">
      <c r="C103" s="79"/>
      <c r="D103" s="79"/>
      <c r="E103" s="79"/>
      <c r="O103" s="79"/>
      <c r="S103" s="79"/>
      <c r="T103" s="79"/>
      <c r="Y103" s="79"/>
      <c r="AE103" s="130"/>
      <c r="AG103" s="106"/>
    </row>
    <row r="104">
      <c r="C104" s="79"/>
      <c r="D104" s="79"/>
      <c r="E104" s="79"/>
      <c r="O104" s="79"/>
      <c r="S104" s="79"/>
      <c r="T104" s="79"/>
      <c r="Y104" s="79"/>
      <c r="AE104" s="130"/>
      <c r="AG104" s="106"/>
    </row>
    <row r="105">
      <c r="C105" s="79"/>
      <c r="D105" s="79"/>
      <c r="E105" s="79"/>
      <c r="O105" s="79"/>
      <c r="S105" s="79"/>
      <c r="T105" s="79"/>
      <c r="Y105" s="79"/>
      <c r="AE105" s="130"/>
      <c r="AG105" s="106"/>
    </row>
    <row r="106">
      <c r="C106" s="79"/>
      <c r="D106" s="79"/>
      <c r="E106" s="79"/>
      <c r="O106" s="79"/>
      <c r="S106" s="79"/>
      <c r="T106" s="79"/>
      <c r="Y106" s="79"/>
      <c r="AE106" s="130"/>
      <c r="AG106" s="106"/>
    </row>
    <row r="107">
      <c r="C107" s="79"/>
      <c r="D107" s="79"/>
      <c r="E107" s="79"/>
      <c r="O107" s="79"/>
      <c r="S107" s="79"/>
      <c r="T107" s="79"/>
      <c r="Y107" s="79"/>
      <c r="AE107" s="130"/>
      <c r="AG107" s="106"/>
    </row>
    <row r="108">
      <c r="C108" s="79"/>
      <c r="D108" s="79"/>
      <c r="E108" s="79"/>
      <c r="O108" s="79"/>
      <c r="S108" s="79"/>
      <c r="T108" s="79"/>
      <c r="Y108" s="79"/>
      <c r="AE108" s="130"/>
      <c r="AG108" s="106"/>
    </row>
    <row r="109">
      <c r="C109" s="79"/>
      <c r="D109" s="79"/>
      <c r="E109" s="79"/>
      <c r="O109" s="79"/>
      <c r="S109" s="79"/>
      <c r="T109" s="79"/>
      <c r="Y109" s="79"/>
      <c r="AE109" s="130"/>
      <c r="AG109" s="106"/>
    </row>
    <row r="110">
      <c r="C110" s="79"/>
      <c r="D110" s="79"/>
      <c r="E110" s="79"/>
      <c r="O110" s="79"/>
      <c r="S110" s="79"/>
      <c r="T110" s="79"/>
      <c r="Y110" s="79"/>
      <c r="AE110" s="130"/>
      <c r="AG110" s="106"/>
    </row>
    <row r="111">
      <c r="C111" s="79"/>
      <c r="D111" s="79"/>
      <c r="E111" s="79"/>
      <c r="O111" s="79"/>
      <c r="S111" s="79"/>
      <c r="T111" s="79"/>
      <c r="Y111" s="79"/>
      <c r="AE111" s="130"/>
      <c r="AG111" s="106"/>
    </row>
    <row r="112">
      <c r="C112" s="79"/>
      <c r="D112" s="79"/>
      <c r="E112" s="79"/>
      <c r="O112" s="79"/>
      <c r="S112" s="79"/>
      <c r="T112" s="79"/>
      <c r="Y112" s="79"/>
      <c r="AE112" s="130"/>
      <c r="AG112" s="106"/>
    </row>
    <row r="113">
      <c r="C113" s="79"/>
      <c r="D113" s="79"/>
      <c r="E113" s="79"/>
      <c r="O113" s="79"/>
      <c r="S113" s="79"/>
      <c r="T113" s="79"/>
      <c r="Y113" s="79"/>
      <c r="AE113" s="130"/>
      <c r="AG113" s="106"/>
    </row>
    <row r="114">
      <c r="C114" s="79"/>
      <c r="D114" s="79"/>
      <c r="E114" s="79"/>
      <c r="O114" s="79"/>
      <c r="S114" s="79"/>
      <c r="T114" s="79"/>
      <c r="Y114" s="79"/>
      <c r="AE114" s="130"/>
      <c r="AG114" s="106"/>
    </row>
    <row r="115">
      <c r="C115" s="79"/>
      <c r="D115" s="79"/>
      <c r="E115" s="79"/>
      <c r="O115" s="79"/>
      <c r="S115" s="79"/>
      <c r="T115" s="79"/>
      <c r="Y115" s="79"/>
      <c r="AE115" s="130"/>
      <c r="AG115" s="106"/>
    </row>
    <row r="116">
      <c r="C116" s="79"/>
      <c r="D116" s="79"/>
      <c r="E116" s="79"/>
      <c r="O116" s="79"/>
      <c r="S116" s="79"/>
      <c r="T116" s="79"/>
      <c r="Y116" s="79"/>
      <c r="AE116" s="130"/>
      <c r="AG116" s="106"/>
    </row>
    <row r="117">
      <c r="C117" s="79"/>
      <c r="D117" s="79"/>
      <c r="E117" s="79"/>
      <c r="O117" s="79"/>
      <c r="S117" s="79"/>
      <c r="T117" s="79"/>
      <c r="Y117" s="79"/>
      <c r="AE117" s="130"/>
      <c r="AG117" s="106"/>
    </row>
    <row r="118">
      <c r="C118" s="79"/>
      <c r="D118" s="79"/>
      <c r="E118" s="79"/>
      <c r="O118" s="79"/>
      <c r="S118" s="79"/>
      <c r="T118" s="79"/>
      <c r="Y118" s="79"/>
      <c r="AE118" s="130"/>
      <c r="AG118" s="106"/>
    </row>
    <row r="119">
      <c r="C119" s="79"/>
      <c r="D119" s="79"/>
      <c r="E119" s="79"/>
      <c r="O119" s="79"/>
      <c r="S119" s="79"/>
      <c r="T119" s="79"/>
      <c r="Y119" s="79"/>
      <c r="AE119" s="130"/>
      <c r="AG119" s="106"/>
    </row>
    <row r="120">
      <c r="C120" s="79"/>
      <c r="D120" s="79"/>
      <c r="E120" s="79"/>
      <c r="O120" s="79"/>
      <c r="S120" s="79"/>
      <c r="T120" s="79"/>
      <c r="Y120" s="79"/>
      <c r="AE120" s="130"/>
      <c r="AG120" s="106"/>
    </row>
    <row r="121">
      <c r="C121" s="79"/>
      <c r="D121" s="79"/>
      <c r="E121" s="79"/>
      <c r="O121" s="79"/>
      <c r="S121" s="79"/>
      <c r="T121" s="79"/>
      <c r="Y121" s="79"/>
      <c r="AE121" s="130"/>
      <c r="AG121" s="106"/>
    </row>
    <row r="122">
      <c r="C122" s="79"/>
      <c r="D122" s="79"/>
      <c r="E122" s="79"/>
      <c r="O122" s="79"/>
      <c r="S122" s="79"/>
      <c r="T122" s="79"/>
      <c r="Y122" s="79"/>
      <c r="AE122" s="130"/>
      <c r="AG122" s="106"/>
    </row>
    <row r="123">
      <c r="C123" s="79"/>
      <c r="D123" s="79"/>
      <c r="E123" s="79"/>
      <c r="O123" s="79"/>
      <c r="S123" s="79"/>
      <c r="T123" s="79"/>
      <c r="Y123" s="79"/>
      <c r="AE123" s="130"/>
      <c r="AG123" s="106"/>
    </row>
    <row r="124">
      <c r="C124" s="79"/>
      <c r="D124" s="79"/>
      <c r="E124" s="79"/>
      <c r="O124" s="79"/>
      <c r="S124" s="79"/>
      <c r="T124" s="79"/>
      <c r="Y124" s="79"/>
      <c r="AE124" s="130"/>
      <c r="AG124" s="106"/>
    </row>
    <row r="125">
      <c r="C125" s="79"/>
      <c r="D125" s="79"/>
      <c r="E125" s="79"/>
      <c r="O125" s="79"/>
      <c r="S125" s="79"/>
      <c r="T125" s="79"/>
      <c r="Y125" s="79"/>
      <c r="AE125" s="130"/>
      <c r="AG125" s="106"/>
    </row>
    <row r="126">
      <c r="C126" s="79"/>
      <c r="D126" s="79"/>
      <c r="E126" s="79"/>
      <c r="O126" s="79"/>
      <c r="S126" s="79"/>
      <c r="T126" s="79"/>
      <c r="Y126" s="79"/>
      <c r="AE126" s="130"/>
      <c r="AG126" s="106"/>
    </row>
    <row r="127">
      <c r="C127" s="79"/>
      <c r="D127" s="79"/>
      <c r="E127" s="79"/>
      <c r="O127" s="79"/>
      <c r="S127" s="79"/>
      <c r="T127" s="79"/>
      <c r="Y127" s="79"/>
      <c r="AE127" s="130"/>
      <c r="AG127" s="106"/>
    </row>
    <row r="128">
      <c r="C128" s="79"/>
      <c r="D128" s="79"/>
      <c r="E128" s="79"/>
      <c r="O128" s="79"/>
      <c r="S128" s="79"/>
      <c r="T128" s="79"/>
      <c r="Y128" s="79"/>
      <c r="AE128" s="130"/>
      <c r="AG128" s="106"/>
    </row>
    <row r="129">
      <c r="C129" s="79"/>
      <c r="D129" s="79"/>
      <c r="E129" s="79"/>
      <c r="O129" s="79"/>
      <c r="S129" s="79"/>
      <c r="T129" s="79"/>
      <c r="Y129" s="79"/>
      <c r="AE129" s="130"/>
      <c r="AG129" s="106"/>
    </row>
    <row r="130">
      <c r="C130" s="79"/>
      <c r="D130" s="79"/>
      <c r="E130" s="79"/>
      <c r="O130" s="79"/>
      <c r="S130" s="79"/>
      <c r="T130" s="79"/>
      <c r="Y130" s="79"/>
      <c r="AE130" s="130"/>
      <c r="AG130" s="106"/>
    </row>
    <row r="131">
      <c r="C131" s="79"/>
      <c r="D131" s="79"/>
      <c r="E131" s="79"/>
      <c r="O131" s="79"/>
      <c r="S131" s="79"/>
      <c r="T131" s="79"/>
      <c r="Y131" s="79"/>
      <c r="AE131" s="130"/>
      <c r="AG131" s="106"/>
    </row>
    <row r="132">
      <c r="C132" s="79"/>
      <c r="D132" s="79"/>
      <c r="E132" s="79"/>
      <c r="O132" s="79"/>
      <c r="S132" s="79"/>
      <c r="T132" s="79"/>
      <c r="Y132" s="79"/>
      <c r="AE132" s="130"/>
      <c r="AG132" s="106"/>
    </row>
    <row r="133">
      <c r="C133" s="79"/>
      <c r="D133" s="79"/>
      <c r="E133" s="79"/>
      <c r="O133" s="79"/>
      <c r="S133" s="79"/>
      <c r="T133" s="79"/>
      <c r="Y133" s="79"/>
      <c r="AE133" s="130"/>
      <c r="AG133" s="106"/>
    </row>
    <row r="134">
      <c r="C134" s="79"/>
      <c r="D134" s="79"/>
      <c r="E134" s="79"/>
      <c r="O134" s="79"/>
      <c r="S134" s="79"/>
      <c r="T134" s="79"/>
      <c r="Y134" s="79"/>
      <c r="AE134" s="130"/>
      <c r="AG134" s="106"/>
    </row>
    <row r="135">
      <c r="C135" s="79"/>
      <c r="D135" s="79"/>
      <c r="E135" s="79"/>
      <c r="O135" s="79"/>
      <c r="S135" s="79"/>
      <c r="T135" s="79"/>
      <c r="Y135" s="79"/>
      <c r="AE135" s="130"/>
      <c r="AG135" s="106"/>
    </row>
    <row r="136">
      <c r="C136" s="79"/>
      <c r="D136" s="79"/>
      <c r="E136" s="79"/>
      <c r="O136" s="79"/>
      <c r="S136" s="79"/>
      <c r="T136" s="79"/>
      <c r="Y136" s="79"/>
      <c r="AE136" s="130"/>
      <c r="AG136" s="106"/>
    </row>
    <row r="137">
      <c r="C137" s="79"/>
      <c r="D137" s="79"/>
      <c r="E137" s="79"/>
      <c r="O137" s="79"/>
      <c r="S137" s="79"/>
      <c r="T137" s="79"/>
      <c r="Y137" s="79"/>
      <c r="AE137" s="130"/>
      <c r="AG137" s="106"/>
    </row>
    <row r="138">
      <c r="C138" s="79"/>
      <c r="D138" s="79"/>
      <c r="E138" s="79"/>
      <c r="O138" s="79"/>
      <c r="S138" s="79"/>
      <c r="T138" s="79"/>
      <c r="Y138" s="79"/>
      <c r="AE138" s="130"/>
      <c r="AG138" s="106"/>
    </row>
    <row r="139">
      <c r="C139" s="79"/>
      <c r="D139" s="79"/>
      <c r="E139" s="79"/>
      <c r="O139" s="79"/>
      <c r="S139" s="79"/>
      <c r="T139" s="79"/>
      <c r="Y139" s="79"/>
      <c r="AE139" s="130"/>
      <c r="AG139" s="106"/>
    </row>
    <row r="140">
      <c r="C140" s="79"/>
      <c r="D140" s="79"/>
      <c r="E140" s="79"/>
      <c r="O140" s="79"/>
      <c r="S140" s="79"/>
      <c r="T140" s="79"/>
      <c r="Y140" s="79"/>
      <c r="AE140" s="130"/>
      <c r="AG140" s="106"/>
    </row>
    <row r="141">
      <c r="C141" s="79"/>
      <c r="D141" s="79"/>
      <c r="E141" s="79"/>
      <c r="O141" s="79"/>
      <c r="S141" s="79"/>
      <c r="T141" s="79"/>
      <c r="Y141" s="79"/>
      <c r="AE141" s="130"/>
      <c r="AG141" s="106"/>
    </row>
    <row r="142">
      <c r="C142" s="79"/>
      <c r="D142" s="79"/>
      <c r="E142" s="79"/>
      <c r="O142" s="79"/>
      <c r="S142" s="79"/>
      <c r="T142" s="79"/>
      <c r="Y142" s="79"/>
      <c r="AE142" s="130"/>
      <c r="AG142" s="106"/>
    </row>
    <row r="143">
      <c r="C143" s="79"/>
      <c r="D143" s="79"/>
      <c r="E143" s="79"/>
      <c r="O143" s="79"/>
      <c r="S143" s="79"/>
      <c r="T143" s="79"/>
      <c r="Y143" s="79"/>
      <c r="AE143" s="130"/>
      <c r="AG143" s="106"/>
    </row>
    <row r="144">
      <c r="C144" s="79"/>
      <c r="D144" s="79"/>
      <c r="E144" s="79"/>
      <c r="O144" s="79"/>
      <c r="S144" s="79"/>
      <c r="T144" s="79"/>
      <c r="Y144" s="79"/>
      <c r="AE144" s="130"/>
      <c r="AG144" s="106"/>
    </row>
    <row r="145">
      <c r="C145" s="79"/>
      <c r="D145" s="79"/>
      <c r="E145" s="79"/>
      <c r="O145" s="79"/>
      <c r="S145" s="79"/>
      <c r="T145" s="79"/>
      <c r="Y145" s="79"/>
      <c r="AE145" s="130"/>
      <c r="AG145" s="106"/>
    </row>
    <row r="146">
      <c r="C146" s="79"/>
      <c r="D146" s="79"/>
      <c r="E146" s="79"/>
      <c r="O146" s="79"/>
      <c r="S146" s="79"/>
      <c r="T146" s="79"/>
      <c r="Y146" s="79"/>
      <c r="AE146" s="130"/>
      <c r="AG146" s="106"/>
    </row>
    <row r="147">
      <c r="C147" s="79"/>
      <c r="D147" s="79"/>
      <c r="E147" s="79"/>
      <c r="O147" s="79"/>
      <c r="S147" s="79"/>
      <c r="T147" s="79"/>
      <c r="Y147" s="79"/>
      <c r="AE147" s="130"/>
      <c r="AG147" s="106"/>
    </row>
    <row r="148">
      <c r="C148" s="79"/>
      <c r="D148" s="79"/>
      <c r="E148" s="79"/>
      <c r="O148" s="79"/>
      <c r="S148" s="79"/>
      <c r="T148" s="79"/>
      <c r="Y148" s="79"/>
      <c r="AE148" s="130"/>
      <c r="AG148" s="106"/>
    </row>
    <row r="149">
      <c r="C149" s="79"/>
      <c r="D149" s="79"/>
      <c r="E149" s="79"/>
      <c r="O149" s="79"/>
      <c r="S149" s="79"/>
      <c r="T149" s="79"/>
      <c r="Y149" s="79"/>
      <c r="AE149" s="130"/>
      <c r="AG149" s="106"/>
    </row>
    <row r="150">
      <c r="C150" s="79"/>
      <c r="D150" s="79"/>
      <c r="E150" s="79"/>
      <c r="O150" s="79"/>
      <c r="S150" s="79"/>
      <c r="T150" s="79"/>
      <c r="Y150" s="79"/>
      <c r="AE150" s="130"/>
      <c r="AG150" s="106"/>
    </row>
    <row r="151">
      <c r="C151" s="79"/>
      <c r="D151" s="79"/>
      <c r="E151" s="79"/>
      <c r="O151" s="79"/>
      <c r="S151" s="79"/>
      <c r="T151" s="79"/>
      <c r="Y151" s="79"/>
      <c r="AE151" s="130"/>
      <c r="AG151" s="106"/>
    </row>
    <row r="152">
      <c r="C152" s="79"/>
      <c r="D152" s="79"/>
      <c r="E152" s="79"/>
      <c r="O152" s="79"/>
      <c r="S152" s="79"/>
      <c r="T152" s="79"/>
      <c r="Y152" s="79"/>
      <c r="AE152" s="130"/>
      <c r="AG152" s="106"/>
    </row>
    <row r="153">
      <c r="C153" s="79"/>
      <c r="D153" s="79"/>
      <c r="E153" s="79"/>
      <c r="O153" s="79"/>
      <c r="S153" s="79"/>
      <c r="T153" s="79"/>
      <c r="Y153" s="79"/>
      <c r="AE153" s="130"/>
      <c r="AG153" s="106"/>
    </row>
    <row r="154">
      <c r="C154" s="79"/>
      <c r="D154" s="79"/>
      <c r="E154" s="79"/>
      <c r="O154" s="79"/>
      <c r="S154" s="79"/>
      <c r="T154" s="79"/>
      <c r="Y154" s="79"/>
      <c r="AE154" s="130"/>
      <c r="AG154" s="106"/>
    </row>
    <row r="155">
      <c r="C155" s="79"/>
      <c r="D155" s="79"/>
      <c r="E155" s="79"/>
      <c r="O155" s="79"/>
      <c r="S155" s="79"/>
      <c r="T155" s="79"/>
      <c r="Y155" s="79"/>
      <c r="AE155" s="130"/>
      <c r="AG155" s="106"/>
    </row>
    <row r="156">
      <c r="C156" s="79"/>
      <c r="D156" s="79"/>
      <c r="E156" s="79"/>
      <c r="O156" s="79"/>
      <c r="S156" s="79"/>
      <c r="T156" s="79"/>
      <c r="Y156" s="79"/>
      <c r="AE156" s="130"/>
      <c r="AG156" s="106"/>
    </row>
    <row r="157">
      <c r="C157" s="79"/>
      <c r="D157" s="79"/>
      <c r="E157" s="79"/>
      <c r="O157" s="79"/>
      <c r="S157" s="79"/>
      <c r="T157" s="79"/>
      <c r="Y157" s="79"/>
      <c r="AE157" s="130"/>
      <c r="AG157" s="106"/>
    </row>
    <row r="158">
      <c r="C158" s="79"/>
      <c r="D158" s="79"/>
      <c r="E158" s="79"/>
      <c r="O158" s="79"/>
      <c r="S158" s="79"/>
      <c r="T158" s="79"/>
      <c r="Y158" s="79"/>
      <c r="AE158" s="130"/>
      <c r="AG158" s="106"/>
    </row>
    <row r="159">
      <c r="C159" s="79"/>
      <c r="D159" s="79"/>
      <c r="E159" s="79"/>
      <c r="O159" s="79"/>
      <c r="S159" s="79"/>
      <c r="T159" s="79"/>
      <c r="Y159" s="79"/>
      <c r="AE159" s="130"/>
      <c r="AG159" s="106"/>
    </row>
    <row r="160">
      <c r="C160" s="79"/>
      <c r="D160" s="79"/>
      <c r="E160" s="79"/>
      <c r="O160" s="79"/>
      <c r="S160" s="79"/>
      <c r="T160" s="79"/>
      <c r="Y160" s="79"/>
      <c r="AE160" s="130"/>
      <c r="AG160" s="106"/>
    </row>
    <row r="161">
      <c r="C161" s="79"/>
      <c r="D161" s="79"/>
      <c r="E161" s="79"/>
      <c r="O161" s="79"/>
      <c r="S161" s="79"/>
      <c r="T161" s="79"/>
      <c r="Y161" s="79"/>
      <c r="AE161" s="130"/>
      <c r="AG161" s="106"/>
    </row>
    <row r="162">
      <c r="C162" s="79"/>
      <c r="D162" s="79"/>
      <c r="E162" s="79"/>
      <c r="O162" s="79"/>
      <c r="S162" s="79"/>
      <c r="T162" s="79"/>
      <c r="Y162" s="79"/>
      <c r="AE162" s="130"/>
      <c r="AG162" s="106"/>
    </row>
    <row r="163">
      <c r="C163" s="79"/>
      <c r="D163" s="79"/>
      <c r="E163" s="79"/>
      <c r="O163" s="79"/>
      <c r="S163" s="79"/>
      <c r="T163" s="79"/>
      <c r="Y163" s="79"/>
      <c r="AE163" s="130"/>
      <c r="AG163" s="106"/>
    </row>
    <row r="164">
      <c r="C164" s="79"/>
      <c r="D164" s="79"/>
      <c r="E164" s="79"/>
      <c r="O164" s="79"/>
      <c r="S164" s="79"/>
      <c r="T164" s="79"/>
      <c r="Y164" s="79"/>
      <c r="AE164" s="130"/>
      <c r="AG164" s="106"/>
    </row>
    <row r="165">
      <c r="C165" s="79"/>
      <c r="D165" s="79"/>
      <c r="E165" s="79"/>
      <c r="O165" s="79"/>
      <c r="S165" s="79"/>
      <c r="T165" s="79"/>
      <c r="Y165" s="79"/>
      <c r="AE165" s="130"/>
      <c r="AG165" s="106"/>
    </row>
    <row r="166">
      <c r="C166" s="79"/>
      <c r="D166" s="79"/>
      <c r="E166" s="79"/>
      <c r="O166" s="79"/>
      <c r="S166" s="79"/>
      <c r="T166" s="79"/>
      <c r="Y166" s="79"/>
      <c r="AE166" s="130"/>
      <c r="AG166" s="106"/>
    </row>
    <row r="167">
      <c r="C167" s="79"/>
      <c r="D167" s="79"/>
      <c r="E167" s="79"/>
      <c r="O167" s="79"/>
      <c r="S167" s="79"/>
      <c r="T167" s="79"/>
      <c r="Y167" s="79"/>
      <c r="AE167" s="130"/>
      <c r="AG167" s="106"/>
    </row>
    <row r="168">
      <c r="C168" s="79"/>
      <c r="D168" s="79"/>
      <c r="E168" s="79"/>
      <c r="O168" s="79"/>
      <c r="S168" s="79"/>
      <c r="T168" s="79"/>
      <c r="Y168" s="79"/>
      <c r="AE168" s="130"/>
      <c r="AG168" s="106"/>
    </row>
    <row r="169">
      <c r="C169" s="79"/>
      <c r="D169" s="79"/>
      <c r="E169" s="79"/>
      <c r="O169" s="79"/>
      <c r="S169" s="79"/>
      <c r="T169" s="79"/>
      <c r="Y169" s="79"/>
      <c r="AE169" s="130"/>
      <c r="AG169" s="106"/>
    </row>
    <row r="170">
      <c r="C170" s="79"/>
      <c r="D170" s="79"/>
      <c r="E170" s="79"/>
      <c r="O170" s="79"/>
      <c r="S170" s="79"/>
      <c r="T170" s="79"/>
      <c r="Y170" s="79"/>
      <c r="AE170" s="130"/>
      <c r="AG170" s="106"/>
    </row>
    <row r="171">
      <c r="C171" s="79"/>
      <c r="D171" s="79"/>
      <c r="E171" s="79"/>
      <c r="O171" s="79"/>
      <c r="S171" s="79"/>
      <c r="T171" s="79"/>
      <c r="Y171" s="79"/>
      <c r="AE171" s="130"/>
      <c r="AG171" s="106"/>
    </row>
    <row r="172">
      <c r="C172" s="79"/>
      <c r="D172" s="79"/>
      <c r="E172" s="79"/>
      <c r="O172" s="79"/>
      <c r="S172" s="79"/>
      <c r="T172" s="79"/>
      <c r="Y172" s="79"/>
      <c r="AE172" s="130"/>
      <c r="AG172" s="106"/>
    </row>
    <row r="173">
      <c r="C173" s="79"/>
      <c r="D173" s="79"/>
      <c r="E173" s="79"/>
      <c r="O173" s="79"/>
      <c r="S173" s="79"/>
      <c r="T173" s="79"/>
      <c r="Y173" s="79"/>
      <c r="AE173" s="130"/>
      <c r="AG173" s="106"/>
    </row>
    <row r="174">
      <c r="C174" s="79"/>
      <c r="D174" s="79"/>
      <c r="E174" s="79"/>
      <c r="O174" s="79"/>
      <c r="S174" s="79"/>
      <c r="T174" s="79"/>
      <c r="Y174" s="79"/>
      <c r="AE174" s="130"/>
      <c r="AG174" s="106"/>
    </row>
    <row r="175">
      <c r="C175" s="79"/>
      <c r="D175" s="79"/>
      <c r="E175" s="79"/>
      <c r="O175" s="79"/>
      <c r="S175" s="79"/>
      <c r="T175" s="79"/>
      <c r="Y175" s="79"/>
      <c r="AE175" s="130"/>
      <c r="AG175" s="106"/>
    </row>
    <row r="176">
      <c r="C176" s="79"/>
      <c r="D176" s="79"/>
      <c r="E176" s="79"/>
      <c r="O176" s="79"/>
      <c r="S176" s="79"/>
      <c r="T176" s="79"/>
      <c r="Y176" s="79"/>
      <c r="AE176" s="130"/>
      <c r="AG176" s="106"/>
    </row>
    <row r="177">
      <c r="C177" s="79"/>
      <c r="D177" s="79"/>
      <c r="E177" s="79"/>
      <c r="O177" s="79"/>
      <c r="S177" s="79"/>
      <c r="T177" s="79"/>
      <c r="Y177" s="79"/>
      <c r="AE177" s="130"/>
      <c r="AG177" s="106"/>
    </row>
    <row r="178">
      <c r="C178" s="79"/>
      <c r="D178" s="79"/>
      <c r="E178" s="79"/>
      <c r="O178" s="79"/>
      <c r="S178" s="79"/>
      <c r="T178" s="79"/>
      <c r="Y178" s="79"/>
      <c r="AE178" s="130"/>
      <c r="AG178" s="106"/>
    </row>
    <row r="179">
      <c r="C179" s="79"/>
      <c r="D179" s="79"/>
      <c r="E179" s="79"/>
      <c r="O179" s="79"/>
      <c r="S179" s="79"/>
      <c r="T179" s="79"/>
      <c r="Y179" s="79"/>
      <c r="AE179" s="130"/>
      <c r="AG179" s="106"/>
    </row>
    <row r="180">
      <c r="C180" s="79"/>
      <c r="D180" s="79"/>
      <c r="E180" s="79"/>
      <c r="O180" s="79"/>
      <c r="S180" s="79"/>
      <c r="T180" s="79"/>
      <c r="Y180" s="79"/>
      <c r="AE180" s="130"/>
      <c r="AG180" s="106"/>
    </row>
    <row r="181">
      <c r="C181" s="79"/>
      <c r="D181" s="79"/>
      <c r="E181" s="79"/>
      <c r="O181" s="79"/>
      <c r="S181" s="79"/>
      <c r="T181" s="79"/>
      <c r="Y181" s="79"/>
      <c r="AE181" s="130"/>
      <c r="AG181" s="106"/>
    </row>
    <row r="182">
      <c r="C182" s="79"/>
      <c r="D182" s="79"/>
      <c r="E182" s="79"/>
      <c r="O182" s="79"/>
      <c r="S182" s="79"/>
      <c r="T182" s="79"/>
      <c r="Y182" s="79"/>
      <c r="AE182" s="130"/>
      <c r="AG182" s="106"/>
    </row>
    <row r="183">
      <c r="C183" s="79"/>
      <c r="D183" s="79"/>
      <c r="E183" s="79"/>
      <c r="O183" s="79"/>
      <c r="S183" s="79"/>
      <c r="T183" s="79"/>
      <c r="Y183" s="79"/>
      <c r="AE183" s="130"/>
      <c r="AG183" s="106"/>
    </row>
    <row r="184">
      <c r="C184" s="79"/>
      <c r="D184" s="79"/>
      <c r="E184" s="79"/>
      <c r="O184" s="79"/>
      <c r="S184" s="79"/>
      <c r="T184" s="79"/>
      <c r="Y184" s="79"/>
      <c r="AE184" s="130"/>
      <c r="AG184" s="106"/>
    </row>
    <row r="185">
      <c r="C185" s="79"/>
      <c r="D185" s="79"/>
      <c r="E185" s="79"/>
      <c r="O185" s="79"/>
      <c r="S185" s="79"/>
      <c r="T185" s="79"/>
      <c r="Y185" s="79"/>
      <c r="AE185" s="130"/>
      <c r="AG185" s="106"/>
    </row>
    <row r="186">
      <c r="C186" s="79"/>
      <c r="D186" s="79"/>
      <c r="E186" s="79"/>
      <c r="O186" s="79"/>
      <c r="S186" s="79"/>
      <c r="T186" s="79"/>
      <c r="Y186" s="79"/>
      <c r="AE186" s="130"/>
      <c r="AG186" s="106"/>
    </row>
    <row r="187">
      <c r="C187" s="79"/>
      <c r="D187" s="79"/>
      <c r="E187" s="79"/>
      <c r="O187" s="79"/>
      <c r="S187" s="79"/>
      <c r="T187" s="79"/>
      <c r="Y187" s="79"/>
      <c r="AE187" s="130"/>
      <c r="AG187" s="106"/>
    </row>
    <row r="188">
      <c r="C188" s="79"/>
      <c r="D188" s="79"/>
      <c r="E188" s="79"/>
      <c r="O188" s="79"/>
      <c r="S188" s="79"/>
      <c r="T188" s="79"/>
      <c r="Y188" s="79"/>
      <c r="AE188" s="130"/>
      <c r="AG188" s="106"/>
    </row>
    <row r="189">
      <c r="C189" s="79"/>
      <c r="D189" s="79"/>
      <c r="E189" s="79"/>
      <c r="O189" s="79"/>
      <c r="S189" s="79"/>
      <c r="T189" s="79"/>
      <c r="Y189" s="79"/>
      <c r="AE189" s="130"/>
      <c r="AG189" s="106"/>
    </row>
    <row r="190">
      <c r="C190" s="79"/>
      <c r="D190" s="79"/>
      <c r="E190" s="79"/>
      <c r="O190" s="79"/>
      <c r="S190" s="79"/>
      <c r="T190" s="79"/>
      <c r="Y190" s="79"/>
      <c r="AE190" s="130"/>
      <c r="AG190" s="106"/>
    </row>
    <row r="191">
      <c r="C191" s="79"/>
      <c r="D191" s="79"/>
      <c r="E191" s="79"/>
      <c r="O191" s="79"/>
      <c r="S191" s="79"/>
      <c r="T191" s="79"/>
      <c r="Y191" s="79"/>
      <c r="AE191" s="130"/>
      <c r="AG191" s="106"/>
    </row>
    <row r="192">
      <c r="C192" s="79"/>
      <c r="D192" s="79"/>
      <c r="E192" s="79"/>
      <c r="O192" s="79"/>
      <c r="S192" s="79"/>
      <c r="T192" s="79"/>
      <c r="Y192" s="79"/>
      <c r="AE192" s="130"/>
      <c r="AG192" s="106"/>
    </row>
    <row r="193">
      <c r="C193" s="79"/>
      <c r="D193" s="79"/>
      <c r="E193" s="79"/>
      <c r="O193" s="79"/>
      <c r="S193" s="79"/>
      <c r="T193" s="79"/>
      <c r="Y193" s="79"/>
      <c r="AE193" s="130"/>
      <c r="AG193" s="106"/>
    </row>
    <row r="194">
      <c r="C194" s="79"/>
      <c r="D194" s="79"/>
      <c r="E194" s="79"/>
      <c r="O194" s="79"/>
      <c r="S194" s="79"/>
      <c r="T194" s="79"/>
      <c r="Y194" s="79"/>
      <c r="AE194" s="130"/>
      <c r="AG194" s="106"/>
    </row>
    <row r="195">
      <c r="C195" s="79"/>
      <c r="D195" s="79"/>
      <c r="E195" s="79"/>
      <c r="O195" s="79"/>
      <c r="S195" s="79"/>
      <c r="T195" s="79"/>
      <c r="Y195" s="79"/>
      <c r="AE195" s="130"/>
      <c r="AG195" s="106"/>
    </row>
    <row r="196">
      <c r="C196" s="79"/>
      <c r="D196" s="79"/>
      <c r="E196" s="79"/>
      <c r="O196" s="79"/>
      <c r="S196" s="79"/>
      <c r="T196" s="79"/>
      <c r="Y196" s="79"/>
      <c r="AE196" s="130"/>
      <c r="AG196" s="106"/>
    </row>
    <row r="197">
      <c r="C197" s="79"/>
      <c r="D197" s="79"/>
      <c r="E197" s="79"/>
      <c r="O197" s="79"/>
      <c r="S197" s="79"/>
      <c r="T197" s="79"/>
      <c r="Y197" s="79"/>
      <c r="AE197" s="130"/>
      <c r="AG197" s="106"/>
    </row>
    <row r="198">
      <c r="C198" s="79"/>
      <c r="D198" s="79"/>
      <c r="E198" s="79"/>
      <c r="O198" s="79"/>
      <c r="S198" s="79"/>
      <c r="T198" s="79"/>
      <c r="Y198" s="79"/>
      <c r="AE198" s="130"/>
      <c r="AG198" s="106"/>
    </row>
    <row r="199">
      <c r="C199" s="79"/>
      <c r="D199" s="79"/>
      <c r="E199" s="79"/>
      <c r="O199" s="79"/>
      <c r="S199" s="79"/>
      <c r="T199" s="79"/>
      <c r="Y199" s="79"/>
      <c r="AE199" s="130"/>
      <c r="AG199" s="106"/>
    </row>
    <row r="200">
      <c r="C200" s="79"/>
      <c r="D200" s="79"/>
      <c r="E200" s="79"/>
      <c r="O200" s="79"/>
      <c r="S200" s="79"/>
      <c r="T200" s="79"/>
      <c r="Y200" s="79"/>
      <c r="AE200" s="130"/>
      <c r="AG200" s="106"/>
    </row>
    <row r="201">
      <c r="C201" s="79"/>
      <c r="D201" s="79"/>
      <c r="E201" s="79"/>
      <c r="O201" s="79"/>
      <c r="S201" s="79"/>
      <c r="T201" s="79"/>
      <c r="Y201" s="79"/>
      <c r="AE201" s="130"/>
      <c r="AG201" s="106"/>
    </row>
    <row r="202">
      <c r="C202" s="79"/>
      <c r="D202" s="79"/>
      <c r="E202" s="79"/>
      <c r="O202" s="79"/>
      <c r="S202" s="79"/>
      <c r="T202" s="79"/>
      <c r="Y202" s="79"/>
      <c r="AE202" s="130"/>
      <c r="AG202" s="106"/>
    </row>
    <row r="203">
      <c r="C203" s="79"/>
      <c r="D203" s="79"/>
      <c r="E203" s="79"/>
      <c r="O203" s="79"/>
      <c r="S203" s="79"/>
      <c r="T203" s="79"/>
      <c r="Y203" s="79"/>
      <c r="AE203" s="130"/>
      <c r="AG203" s="106"/>
    </row>
    <row r="204">
      <c r="C204" s="79"/>
      <c r="D204" s="79"/>
      <c r="E204" s="79"/>
      <c r="O204" s="79"/>
      <c r="S204" s="79"/>
      <c r="T204" s="79"/>
      <c r="Y204" s="79"/>
      <c r="AE204" s="130"/>
      <c r="AG204" s="106"/>
    </row>
    <row r="205">
      <c r="C205" s="79"/>
      <c r="D205" s="79"/>
      <c r="E205" s="79"/>
      <c r="O205" s="79"/>
      <c r="S205" s="79"/>
      <c r="T205" s="79"/>
      <c r="Y205" s="79"/>
      <c r="AE205" s="130"/>
      <c r="AG205" s="106"/>
    </row>
    <row r="206">
      <c r="C206" s="79"/>
      <c r="D206" s="79"/>
      <c r="E206" s="79"/>
      <c r="O206" s="79"/>
      <c r="S206" s="79"/>
      <c r="T206" s="79"/>
      <c r="Y206" s="79"/>
      <c r="AE206" s="130"/>
      <c r="AG206" s="106"/>
    </row>
    <row r="207">
      <c r="C207" s="79"/>
      <c r="D207" s="79"/>
      <c r="E207" s="79"/>
      <c r="O207" s="79"/>
      <c r="S207" s="79"/>
      <c r="T207" s="79"/>
      <c r="Y207" s="79"/>
      <c r="AE207" s="130"/>
      <c r="AG207" s="106"/>
    </row>
    <row r="208">
      <c r="C208" s="79"/>
      <c r="D208" s="79"/>
      <c r="E208" s="79"/>
      <c r="O208" s="79"/>
      <c r="S208" s="79"/>
      <c r="T208" s="79"/>
      <c r="Y208" s="79"/>
      <c r="AE208" s="130"/>
      <c r="AG208" s="106"/>
    </row>
    <row r="209">
      <c r="C209" s="79"/>
      <c r="D209" s="79"/>
      <c r="E209" s="79"/>
      <c r="O209" s="79"/>
      <c r="S209" s="79"/>
      <c r="T209" s="79"/>
      <c r="Y209" s="79"/>
      <c r="AE209" s="130"/>
      <c r="AG209" s="106"/>
    </row>
    <row r="210">
      <c r="C210" s="79"/>
      <c r="D210" s="79"/>
      <c r="E210" s="79"/>
      <c r="O210" s="79"/>
      <c r="S210" s="79"/>
      <c r="T210" s="79"/>
      <c r="Y210" s="79"/>
      <c r="AE210" s="130"/>
      <c r="AG210" s="106"/>
    </row>
    <row r="211">
      <c r="C211" s="79"/>
      <c r="D211" s="79"/>
      <c r="E211" s="79"/>
      <c r="O211" s="79"/>
      <c r="S211" s="79"/>
      <c r="T211" s="79"/>
      <c r="Y211" s="79"/>
      <c r="AE211" s="130"/>
      <c r="AG211" s="106"/>
    </row>
    <row r="212">
      <c r="C212" s="79"/>
      <c r="D212" s="79"/>
      <c r="E212" s="79"/>
      <c r="O212" s="79"/>
      <c r="S212" s="79"/>
      <c r="T212" s="79"/>
      <c r="Y212" s="79"/>
      <c r="AE212" s="130"/>
      <c r="AG212" s="106"/>
    </row>
    <row r="213">
      <c r="C213" s="79"/>
      <c r="D213" s="79"/>
      <c r="E213" s="79"/>
      <c r="O213" s="79"/>
      <c r="S213" s="79"/>
      <c r="T213" s="79"/>
      <c r="Y213" s="79"/>
      <c r="AE213" s="130"/>
      <c r="AG213" s="106"/>
    </row>
    <row r="214">
      <c r="C214" s="79"/>
      <c r="D214" s="79"/>
      <c r="E214" s="79"/>
      <c r="O214" s="79"/>
      <c r="S214" s="79"/>
      <c r="T214" s="79"/>
      <c r="Y214" s="79"/>
      <c r="AE214" s="130"/>
      <c r="AG214" s="106"/>
    </row>
    <row r="215">
      <c r="C215" s="79"/>
      <c r="D215" s="79"/>
      <c r="E215" s="79"/>
      <c r="O215" s="79"/>
      <c r="S215" s="79"/>
      <c r="T215" s="79"/>
      <c r="Y215" s="79"/>
      <c r="AE215" s="130"/>
      <c r="AG215" s="106"/>
    </row>
    <row r="216">
      <c r="C216" s="79"/>
      <c r="D216" s="79"/>
      <c r="E216" s="79"/>
      <c r="O216" s="79"/>
      <c r="S216" s="79"/>
      <c r="T216" s="79"/>
      <c r="Y216" s="79"/>
      <c r="AE216" s="130"/>
      <c r="AG216" s="106"/>
    </row>
    <row r="217">
      <c r="C217" s="79"/>
      <c r="D217" s="79"/>
      <c r="E217" s="79"/>
      <c r="O217" s="79"/>
      <c r="S217" s="79"/>
      <c r="T217" s="79"/>
      <c r="Y217" s="79"/>
      <c r="AE217" s="130"/>
      <c r="AG217" s="106"/>
    </row>
    <row r="218">
      <c r="C218" s="79"/>
      <c r="D218" s="79"/>
      <c r="E218" s="79"/>
      <c r="O218" s="79"/>
      <c r="S218" s="79"/>
      <c r="T218" s="79"/>
      <c r="Y218" s="79"/>
      <c r="AE218" s="130"/>
      <c r="AG218" s="106"/>
    </row>
    <row r="219">
      <c r="C219" s="79"/>
      <c r="D219" s="79"/>
      <c r="E219" s="79"/>
      <c r="O219" s="79"/>
      <c r="S219" s="79"/>
      <c r="T219" s="79"/>
      <c r="Y219" s="79"/>
      <c r="AE219" s="130"/>
      <c r="AG219" s="106"/>
    </row>
    <row r="220">
      <c r="C220" s="79"/>
      <c r="D220" s="79"/>
      <c r="E220" s="79"/>
      <c r="O220" s="79"/>
      <c r="S220" s="79"/>
      <c r="T220" s="79"/>
      <c r="Y220" s="79"/>
      <c r="AE220" s="130"/>
      <c r="AG220" s="106"/>
    </row>
    <row r="221">
      <c r="C221" s="79"/>
      <c r="D221" s="79"/>
      <c r="E221" s="79"/>
      <c r="O221" s="79"/>
      <c r="S221" s="79"/>
      <c r="T221" s="79"/>
      <c r="Y221" s="79"/>
      <c r="AE221" s="130"/>
      <c r="AG221" s="106"/>
    </row>
    <row r="222">
      <c r="C222" s="79"/>
      <c r="D222" s="79"/>
      <c r="E222" s="79"/>
      <c r="O222" s="79"/>
      <c r="S222" s="79"/>
      <c r="T222" s="79"/>
      <c r="Y222" s="79"/>
      <c r="AE222" s="130"/>
      <c r="AG222" s="106"/>
    </row>
    <row r="223">
      <c r="C223" s="79"/>
      <c r="D223" s="79"/>
      <c r="E223" s="79"/>
      <c r="O223" s="79"/>
      <c r="S223" s="79"/>
      <c r="T223" s="79"/>
      <c r="Y223" s="79"/>
      <c r="AE223" s="130"/>
      <c r="AG223" s="106"/>
    </row>
    <row r="224">
      <c r="C224" s="79"/>
      <c r="D224" s="79"/>
      <c r="E224" s="79"/>
      <c r="O224" s="79"/>
      <c r="S224" s="79"/>
      <c r="T224" s="79"/>
      <c r="Y224" s="79"/>
      <c r="AE224" s="130"/>
      <c r="AG224" s="106"/>
    </row>
    <row r="225">
      <c r="C225" s="79"/>
      <c r="D225" s="79"/>
      <c r="E225" s="79"/>
      <c r="O225" s="79"/>
      <c r="S225" s="79"/>
      <c r="T225" s="79"/>
      <c r="Y225" s="79"/>
      <c r="AE225" s="130"/>
      <c r="AG225" s="106"/>
    </row>
    <row r="226">
      <c r="C226" s="79"/>
      <c r="D226" s="79"/>
      <c r="E226" s="79"/>
      <c r="O226" s="79"/>
      <c r="S226" s="79"/>
      <c r="T226" s="79"/>
      <c r="Y226" s="79"/>
      <c r="AE226" s="130"/>
      <c r="AG226" s="106"/>
    </row>
    <row r="227">
      <c r="C227" s="79"/>
      <c r="D227" s="79"/>
      <c r="E227" s="79"/>
      <c r="O227" s="79"/>
      <c r="S227" s="79"/>
      <c r="T227" s="79"/>
      <c r="Y227" s="79"/>
      <c r="AE227" s="130"/>
      <c r="AG227" s="106"/>
    </row>
    <row r="228">
      <c r="C228" s="79"/>
      <c r="D228" s="79"/>
      <c r="E228" s="79"/>
      <c r="O228" s="79"/>
      <c r="S228" s="79"/>
      <c r="T228" s="79"/>
      <c r="Y228" s="79"/>
      <c r="AE228" s="130"/>
      <c r="AG228" s="106"/>
    </row>
    <row r="229">
      <c r="C229" s="79"/>
      <c r="D229" s="79"/>
      <c r="E229" s="79"/>
      <c r="O229" s="79"/>
      <c r="S229" s="79"/>
      <c r="T229" s="79"/>
      <c r="Y229" s="79"/>
      <c r="AE229" s="130"/>
      <c r="AG229" s="106"/>
    </row>
    <row r="230">
      <c r="C230" s="79"/>
      <c r="D230" s="79"/>
      <c r="E230" s="79"/>
      <c r="O230" s="79"/>
      <c r="S230" s="79"/>
      <c r="T230" s="79"/>
      <c r="Y230" s="79"/>
      <c r="AE230" s="130"/>
      <c r="AG230" s="106"/>
    </row>
    <row r="231">
      <c r="C231" s="79"/>
      <c r="D231" s="79"/>
      <c r="E231" s="79"/>
      <c r="O231" s="79"/>
      <c r="S231" s="79"/>
      <c r="T231" s="79"/>
      <c r="Y231" s="79"/>
      <c r="AE231" s="130"/>
      <c r="AG231" s="106"/>
    </row>
    <row r="232">
      <c r="C232" s="79"/>
      <c r="D232" s="79"/>
      <c r="E232" s="79"/>
      <c r="O232" s="79"/>
      <c r="S232" s="79"/>
      <c r="T232" s="79"/>
      <c r="Y232" s="79"/>
      <c r="AE232" s="130"/>
      <c r="AG232" s="106"/>
    </row>
    <row r="233">
      <c r="C233" s="79"/>
      <c r="D233" s="79"/>
      <c r="E233" s="79"/>
      <c r="O233" s="79"/>
      <c r="S233" s="79"/>
      <c r="T233" s="79"/>
      <c r="Y233" s="79"/>
      <c r="AE233" s="130"/>
      <c r="AG233" s="106"/>
    </row>
    <row r="234">
      <c r="C234" s="79"/>
      <c r="D234" s="79"/>
      <c r="E234" s="79"/>
      <c r="O234" s="79"/>
      <c r="S234" s="79"/>
      <c r="T234" s="79"/>
      <c r="Y234" s="79"/>
      <c r="AE234" s="130"/>
      <c r="AG234" s="106"/>
    </row>
    <row r="235">
      <c r="C235" s="79"/>
      <c r="D235" s="79"/>
      <c r="E235" s="79"/>
      <c r="O235" s="79"/>
      <c r="S235" s="79"/>
      <c r="T235" s="79"/>
      <c r="Y235" s="79"/>
      <c r="AE235" s="130"/>
      <c r="AG235" s="106"/>
    </row>
    <row r="236">
      <c r="C236" s="79"/>
      <c r="D236" s="79"/>
      <c r="E236" s="79"/>
      <c r="O236" s="79"/>
      <c r="S236" s="79"/>
      <c r="T236" s="79"/>
      <c r="Y236" s="79"/>
      <c r="AE236" s="130"/>
      <c r="AG236" s="106"/>
    </row>
    <row r="237">
      <c r="C237" s="79"/>
      <c r="D237" s="79"/>
      <c r="E237" s="79"/>
      <c r="O237" s="79"/>
      <c r="S237" s="79"/>
      <c r="T237" s="79"/>
      <c r="Y237" s="79"/>
      <c r="AE237" s="130"/>
      <c r="AG237" s="106"/>
    </row>
    <row r="238">
      <c r="C238" s="79"/>
      <c r="D238" s="79"/>
      <c r="E238" s="79"/>
      <c r="O238" s="79"/>
      <c r="S238" s="79"/>
      <c r="T238" s="79"/>
      <c r="Y238" s="79"/>
      <c r="AE238" s="130"/>
      <c r="AG238" s="106"/>
    </row>
    <row r="239">
      <c r="C239" s="79"/>
      <c r="D239" s="79"/>
      <c r="E239" s="79"/>
      <c r="O239" s="79"/>
      <c r="S239" s="79"/>
      <c r="T239" s="79"/>
      <c r="Y239" s="79"/>
      <c r="AE239" s="130"/>
      <c r="AG239" s="106"/>
    </row>
    <row r="240">
      <c r="C240" s="79"/>
      <c r="D240" s="79"/>
      <c r="E240" s="79"/>
      <c r="O240" s="79"/>
      <c r="S240" s="79"/>
      <c r="T240" s="79"/>
      <c r="Y240" s="79"/>
      <c r="AE240" s="130"/>
      <c r="AG240" s="106"/>
    </row>
    <row r="241">
      <c r="C241" s="79"/>
      <c r="D241" s="79"/>
      <c r="E241" s="79"/>
      <c r="O241" s="79"/>
      <c r="S241" s="79"/>
      <c r="T241" s="79"/>
      <c r="Y241" s="79"/>
      <c r="AE241" s="130"/>
      <c r="AG241" s="106"/>
    </row>
    <row r="242">
      <c r="C242" s="79"/>
      <c r="D242" s="79"/>
      <c r="E242" s="79"/>
      <c r="O242" s="79"/>
      <c r="S242" s="79"/>
      <c r="T242" s="79"/>
      <c r="Y242" s="79"/>
      <c r="AE242" s="130"/>
      <c r="AG242" s="106"/>
    </row>
    <row r="243">
      <c r="C243" s="79"/>
      <c r="D243" s="79"/>
      <c r="E243" s="79"/>
      <c r="O243" s="79"/>
      <c r="S243" s="79"/>
      <c r="T243" s="79"/>
      <c r="Y243" s="79"/>
      <c r="AE243" s="130"/>
      <c r="AG243" s="106"/>
    </row>
    <row r="244">
      <c r="C244" s="79"/>
      <c r="D244" s="79"/>
      <c r="E244" s="79"/>
      <c r="O244" s="79"/>
      <c r="S244" s="79"/>
      <c r="T244" s="79"/>
      <c r="Y244" s="79"/>
      <c r="AE244" s="130"/>
      <c r="AG244" s="106"/>
    </row>
    <row r="245">
      <c r="C245" s="79"/>
      <c r="D245" s="79"/>
      <c r="E245" s="79"/>
      <c r="O245" s="79"/>
      <c r="S245" s="79"/>
      <c r="T245" s="79"/>
      <c r="Y245" s="79"/>
      <c r="AE245" s="130"/>
      <c r="AG245" s="106"/>
    </row>
    <row r="246">
      <c r="C246" s="79"/>
      <c r="D246" s="79"/>
      <c r="E246" s="79"/>
      <c r="O246" s="79"/>
      <c r="S246" s="79"/>
      <c r="T246" s="79"/>
      <c r="Y246" s="79"/>
      <c r="AE246" s="130"/>
      <c r="AG246" s="106"/>
    </row>
    <row r="247">
      <c r="C247" s="79"/>
      <c r="D247" s="79"/>
      <c r="E247" s="79"/>
      <c r="O247" s="79"/>
      <c r="S247" s="79"/>
      <c r="T247" s="79"/>
      <c r="Y247" s="79"/>
      <c r="AE247" s="130"/>
      <c r="AG247" s="106"/>
    </row>
    <row r="248">
      <c r="C248" s="79"/>
      <c r="D248" s="79"/>
      <c r="E248" s="79"/>
      <c r="O248" s="79"/>
      <c r="S248" s="79"/>
      <c r="T248" s="79"/>
      <c r="Y248" s="79"/>
      <c r="AE248" s="130"/>
      <c r="AG248" s="106"/>
    </row>
    <row r="249">
      <c r="C249" s="79"/>
      <c r="D249" s="79"/>
      <c r="E249" s="79"/>
      <c r="O249" s="79"/>
      <c r="S249" s="79"/>
      <c r="T249" s="79"/>
      <c r="Y249" s="79"/>
      <c r="AE249" s="130"/>
      <c r="AG249" s="106"/>
    </row>
    <row r="250">
      <c r="C250" s="79"/>
      <c r="D250" s="79"/>
      <c r="E250" s="79"/>
      <c r="O250" s="79"/>
      <c r="S250" s="79"/>
      <c r="T250" s="79"/>
      <c r="Y250" s="79"/>
      <c r="AE250" s="130"/>
      <c r="AG250" s="106"/>
    </row>
    <row r="251">
      <c r="C251" s="79"/>
      <c r="D251" s="79"/>
      <c r="E251" s="79"/>
      <c r="O251" s="79"/>
      <c r="S251" s="79"/>
      <c r="T251" s="79"/>
      <c r="Y251" s="79"/>
      <c r="AE251" s="130"/>
      <c r="AG251" s="106"/>
    </row>
    <row r="252">
      <c r="C252" s="79"/>
      <c r="D252" s="79"/>
      <c r="E252" s="79"/>
      <c r="O252" s="79"/>
      <c r="S252" s="79"/>
      <c r="T252" s="79"/>
      <c r="Y252" s="79"/>
      <c r="AE252" s="130"/>
      <c r="AG252" s="106"/>
    </row>
    <row r="253">
      <c r="C253" s="79"/>
      <c r="D253" s="79"/>
      <c r="E253" s="79"/>
      <c r="O253" s="79"/>
      <c r="S253" s="79"/>
      <c r="T253" s="79"/>
      <c r="Y253" s="79"/>
      <c r="AE253" s="130"/>
      <c r="AG253" s="106"/>
    </row>
    <row r="254">
      <c r="C254" s="79"/>
      <c r="D254" s="79"/>
      <c r="E254" s="79"/>
      <c r="O254" s="79"/>
      <c r="S254" s="79"/>
      <c r="T254" s="79"/>
      <c r="Y254" s="79"/>
      <c r="AE254" s="130"/>
      <c r="AG254" s="106"/>
    </row>
    <row r="255">
      <c r="C255" s="79"/>
      <c r="D255" s="79"/>
      <c r="E255" s="79"/>
      <c r="O255" s="79"/>
      <c r="S255" s="79"/>
      <c r="T255" s="79"/>
      <c r="Y255" s="79"/>
      <c r="AE255" s="130"/>
      <c r="AG255" s="106"/>
    </row>
    <row r="256">
      <c r="C256" s="79"/>
      <c r="D256" s="79"/>
      <c r="E256" s="79"/>
      <c r="O256" s="79"/>
      <c r="S256" s="79"/>
      <c r="T256" s="79"/>
      <c r="Y256" s="79"/>
      <c r="AE256" s="130"/>
      <c r="AG256" s="106"/>
    </row>
    <row r="257">
      <c r="C257" s="79"/>
      <c r="D257" s="79"/>
      <c r="E257" s="79"/>
      <c r="O257" s="79"/>
      <c r="S257" s="79"/>
      <c r="T257" s="79"/>
      <c r="Y257" s="79"/>
      <c r="AE257" s="130"/>
      <c r="AG257" s="106"/>
    </row>
    <row r="258">
      <c r="C258" s="79"/>
      <c r="D258" s="79"/>
      <c r="E258" s="79"/>
      <c r="O258" s="79"/>
      <c r="S258" s="79"/>
      <c r="T258" s="79"/>
      <c r="Y258" s="79"/>
      <c r="AE258" s="130"/>
      <c r="AG258" s="106"/>
    </row>
    <row r="259">
      <c r="C259" s="79"/>
      <c r="D259" s="79"/>
      <c r="E259" s="79"/>
      <c r="O259" s="79"/>
      <c r="S259" s="79"/>
      <c r="T259" s="79"/>
      <c r="Y259" s="79"/>
      <c r="AE259" s="130"/>
      <c r="AG259" s="106"/>
    </row>
    <row r="260">
      <c r="C260" s="79"/>
      <c r="D260" s="79"/>
      <c r="E260" s="79"/>
      <c r="O260" s="79"/>
      <c r="S260" s="79"/>
      <c r="T260" s="79"/>
      <c r="Y260" s="79"/>
      <c r="AE260" s="130"/>
      <c r="AG260" s="106"/>
    </row>
    <row r="261">
      <c r="C261" s="79"/>
      <c r="D261" s="79"/>
      <c r="E261" s="79"/>
      <c r="O261" s="79"/>
      <c r="S261" s="79"/>
      <c r="T261" s="79"/>
      <c r="Y261" s="79"/>
      <c r="AE261" s="130"/>
      <c r="AG261" s="106"/>
    </row>
    <row r="262">
      <c r="C262" s="79"/>
      <c r="D262" s="79"/>
      <c r="E262" s="79"/>
      <c r="O262" s="79"/>
      <c r="S262" s="79"/>
      <c r="T262" s="79"/>
      <c r="Y262" s="79"/>
      <c r="AE262" s="130"/>
      <c r="AG262" s="106"/>
    </row>
    <row r="263">
      <c r="C263" s="79"/>
      <c r="D263" s="79"/>
      <c r="E263" s="79"/>
      <c r="O263" s="79"/>
      <c r="S263" s="79"/>
      <c r="T263" s="79"/>
      <c r="Y263" s="79"/>
      <c r="AE263" s="130"/>
      <c r="AG263" s="106"/>
    </row>
    <row r="264">
      <c r="C264" s="79"/>
      <c r="D264" s="79"/>
      <c r="E264" s="79"/>
      <c r="O264" s="79"/>
      <c r="S264" s="79"/>
      <c r="T264" s="79"/>
      <c r="Y264" s="79"/>
      <c r="AE264" s="130"/>
      <c r="AG264" s="106"/>
    </row>
    <row r="265">
      <c r="C265" s="79"/>
      <c r="D265" s="79"/>
      <c r="E265" s="79"/>
      <c r="O265" s="79"/>
      <c r="S265" s="79"/>
      <c r="T265" s="79"/>
      <c r="Y265" s="79"/>
      <c r="AE265" s="130"/>
      <c r="AG265" s="106"/>
    </row>
    <row r="266">
      <c r="C266" s="79"/>
      <c r="D266" s="79"/>
      <c r="E266" s="79"/>
      <c r="O266" s="79"/>
      <c r="S266" s="79"/>
      <c r="T266" s="79"/>
      <c r="Y266" s="79"/>
      <c r="AE266" s="130"/>
      <c r="AG266" s="106"/>
    </row>
    <row r="267">
      <c r="C267" s="79"/>
      <c r="D267" s="79"/>
      <c r="E267" s="79"/>
      <c r="O267" s="79"/>
      <c r="S267" s="79"/>
      <c r="T267" s="79"/>
      <c r="Y267" s="79"/>
      <c r="AE267" s="130"/>
      <c r="AG267" s="106"/>
    </row>
    <row r="268">
      <c r="C268" s="79"/>
      <c r="D268" s="79"/>
      <c r="E268" s="79"/>
      <c r="O268" s="79"/>
      <c r="S268" s="79"/>
      <c r="T268" s="79"/>
      <c r="Y268" s="79"/>
      <c r="AE268" s="130"/>
      <c r="AG268" s="106"/>
    </row>
    <row r="269">
      <c r="C269" s="79"/>
      <c r="D269" s="79"/>
      <c r="E269" s="79"/>
      <c r="O269" s="79"/>
      <c r="S269" s="79"/>
      <c r="T269" s="79"/>
      <c r="Y269" s="79"/>
      <c r="AE269" s="130"/>
      <c r="AG269" s="106"/>
    </row>
    <row r="270">
      <c r="C270" s="79"/>
      <c r="D270" s="79"/>
      <c r="E270" s="79"/>
      <c r="O270" s="79"/>
      <c r="S270" s="79"/>
      <c r="T270" s="79"/>
      <c r="Y270" s="79"/>
      <c r="AE270" s="130"/>
      <c r="AG270" s="106"/>
    </row>
    <row r="271">
      <c r="C271" s="79"/>
      <c r="D271" s="79"/>
      <c r="E271" s="79"/>
      <c r="O271" s="79"/>
      <c r="S271" s="79"/>
      <c r="T271" s="79"/>
      <c r="Y271" s="79"/>
      <c r="AE271" s="130"/>
      <c r="AG271" s="106"/>
    </row>
    <row r="272">
      <c r="C272" s="79"/>
      <c r="D272" s="79"/>
      <c r="E272" s="79"/>
      <c r="O272" s="79"/>
      <c r="S272" s="79"/>
      <c r="T272" s="79"/>
      <c r="Y272" s="79"/>
      <c r="AE272" s="130"/>
      <c r="AG272" s="106"/>
    </row>
    <row r="273">
      <c r="C273" s="79"/>
      <c r="D273" s="79"/>
      <c r="E273" s="79"/>
      <c r="O273" s="79"/>
      <c r="S273" s="79"/>
      <c r="T273" s="79"/>
      <c r="Y273" s="79"/>
      <c r="AE273" s="130"/>
      <c r="AG273" s="106"/>
    </row>
    <row r="274">
      <c r="C274" s="79"/>
      <c r="D274" s="79"/>
      <c r="E274" s="79"/>
      <c r="O274" s="79"/>
      <c r="S274" s="79"/>
      <c r="T274" s="79"/>
      <c r="Y274" s="79"/>
      <c r="AE274" s="130"/>
      <c r="AG274" s="106"/>
    </row>
    <row r="275">
      <c r="C275" s="79"/>
      <c r="D275" s="79"/>
      <c r="E275" s="79"/>
      <c r="O275" s="79"/>
      <c r="S275" s="79"/>
      <c r="T275" s="79"/>
      <c r="Y275" s="79"/>
      <c r="AE275" s="130"/>
      <c r="AG275" s="106"/>
    </row>
    <row r="276">
      <c r="C276" s="79"/>
      <c r="D276" s="79"/>
      <c r="E276" s="79"/>
      <c r="O276" s="79"/>
      <c r="S276" s="79"/>
      <c r="T276" s="79"/>
      <c r="Y276" s="79"/>
      <c r="AE276" s="130"/>
      <c r="AG276" s="106"/>
    </row>
    <row r="277">
      <c r="C277" s="79"/>
      <c r="D277" s="79"/>
      <c r="E277" s="79"/>
      <c r="O277" s="79"/>
      <c r="S277" s="79"/>
      <c r="T277" s="79"/>
      <c r="Y277" s="79"/>
      <c r="AE277" s="130"/>
      <c r="AG277" s="106"/>
    </row>
    <row r="278">
      <c r="C278" s="79"/>
      <c r="D278" s="79"/>
      <c r="E278" s="79"/>
      <c r="O278" s="79"/>
      <c r="S278" s="79"/>
      <c r="T278" s="79"/>
      <c r="Y278" s="79"/>
      <c r="AE278" s="130"/>
      <c r="AG278" s="106"/>
    </row>
    <row r="279">
      <c r="C279" s="79"/>
      <c r="D279" s="79"/>
      <c r="E279" s="79"/>
      <c r="O279" s="79"/>
      <c r="S279" s="79"/>
      <c r="T279" s="79"/>
      <c r="Y279" s="79"/>
      <c r="AE279" s="130"/>
      <c r="AG279" s="106"/>
    </row>
    <row r="280">
      <c r="C280" s="79"/>
      <c r="D280" s="79"/>
      <c r="E280" s="79"/>
      <c r="O280" s="79"/>
      <c r="S280" s="79"/>
      <c r="T280" s="79"/>
      <c r="Y280" s="79"/>
      <c r="AE280" s="130"/>
      <c r="AG280" s="106"/>
    </row>
    <row r="281">
      <c r="C281" s="79"/>
      <c r="D281" s="79"/>
      <c r="E281" s="79"/>
      <c r="O281" s="79"/>
      <c r="S281" s="79"/>
      <c r="T281" s="79"/>
      <c r="Y281" s="79"/>
      <c r="AE281" s="130"/>
      <c r="AG281" s="106"/>
    </row>
    <row r="282">
      <c r="C282" s="79"/>
      <c r="D282" s="79"/>
      <c r="E282" s="79"/>
      <c r="O282" s="79"/>
      <c r="S282" s="79"/>
      <c r="T282" s="79"/>
      <c r="Y282" s="79"/>
      <c r="AE282" s="130"/>
      <c r="AG282" s="106"/>
    </row>
    <row r="283">
      <c r="C283" s="79"/>
      <c r="D283" s="79"/>
      <c r="E283" s="79"/>
      <c r="O283" s="79"/>
      <c r="S283" s="79"/>
      <c r="T283" s="79"/>
      <c r="Y283" s="79"/>
      <c r="AE283" s="130"/>
      <c r="AG283" s="106"/>
    </row>
    <row r="284">
      <c r="C284" s="79"/>
      <c r="D284" s="79"/>
      <c r="E284" s="79"/>
      <c r="O284" s="79"/>
      <c r="S284" s="79"/>
      <c r="T284" s="79"/>
      <c r="Y284" s="79"/>
      <c r="AE284" s="130"/>
      <c r="AG284" s="106"/>
    </row>
    <row r="285">
      <c r="C285" s="79"/>
      <c r="D285" s="79"/>
      <c r="E285" s="79"/>
      <c r="O285" s="79"/>
      <c r="S285" s="79"/>
      <c r="T285" s="79"/>
      <c r="Y285" s="79"/>
      <c r="AE285" s="130"/>
      <c r="AG285" s="106"/>
    </row>
    <row r="286">
      <c r="C286" s="79"/>
      <c r="D286" s="79"/>
      <c r="E286" s="79"/>
      <c r="O286" s="79"/>
      <c r="S286" s="79"/>
      <c r="T286" s="79"/>
      <c r="Y286" s="79"/>
      <c r="AE286" s="130"/>
      <c r="AG286" s="106"/>
    </row>
    <row r="287">
      <c r="C287" s="79"/>
      <c r="D287" s="79"/>
      <c r="E287" s="79"/>
      <c r="O287" s="79"/>
      <c r="S287" s="79"/>
      <c r="T287" s="79"/>
      <c r="Y287" s="79"/>
      <c r="AE287" s="130"/>
      <c r="AG287" s="106"/>
    </row>
    <row r="288">
      <c r="C288" s="79"/>
      <c r="D288" s="79"/>
      <c r="E288" s="79"/>
      <c r="O288" s="79"/>
      <c r="S288" s="79"/>
      <c r="T288" s="79"/>
      <c r="Y288" s="79"/>
      <c r="AE288" s="130"/>
      <c r="AG288" s="106"/>
    </row>
    <row r="289">
      <c r="C289" s="79"/>
      <c r="D289" s="79"/>
      <c r="E289" s="79"/>
      <c r="O289" s="79"/>
      <c r="S289" s="79"/>
      <c r="T289" s="79"/>
      <c r="Y289" s="79"/>
      <c r="AE289" s="130"/>
      <c r="AG289" s="106"/>
    </row>
    <row r="290">
      <c r="C290" s="79"/>
      <c r="D290" s="79"/>
      <c r="E290" s="79"/>
      <c r="O290" s="79"/>
      <c r="S290" s="79"/>
      <c r="T290" s="79"/>
      <c r="Y290" s="79"/>
      <c r="AE290" s="130"/>
      <c r="AG290" s="106"/>
    </row>
    <row r="291">
      <c r="C291" s="79"/>
      <c r="D291" s="79"/>
      <c r="E291" s="79"/>
      <c r="O291" s="79"/>
      <c r="S291" s="79"/>
      <c r="T291" s="79"/>
      <c r="Y291" s="79"/>
      <c r="AE291" s="130"/>
      <c r="AG291" s="106"/>
    </row>
    <row r="292">
      <c r="C292" s="79"/>
      <c r="D292" s="79"/>
      <c r="E292" s="79"/>
      <c r="O292" s="79"/>
      <c r="S292" s="79"/>
      <c r="T292" s="79"/>
      <c r="Y292" s="79"/>
      <c r="AE292" s="130"/>
      <c r="AG292" s="106"/>
    </row>
    <row r="293">
      <c r="C293" s="79"/>
      <c r="D293" s="79"/>
      <c r="E293" s="79"/>
      <c r="O293" s="79"/>
      <c r="S293" s="79"/>
      <c r="T293" s="79"/>
      <c r="Y293" s="79"/>
      <c r="AE293" s="130"/>
      <c r="AG293" s="106"/>
    </row>
    <row r="294">
      <c r="C294" s="79"/>
      <c r="D294" s="79"/>
      <c r="E294" s="79"/>
      <c r="O294" s="79"/>
      <c r="S294" s="79"/>
      <c r="T294" s="79"/>
      <c r="Y294" s="79"/>
      <c r="AE294" s="130"/>
      <c r="AG294" s="106"/>
    </row>
    <row r="295">
      <c r="C295" s="79"/>
      <c r="D295" s="79"/>
      <c r="E295" s="79"/>
      <c r="O295" s="79"/>
      <c r="S295" s="79"/>
      <c r="T295" s="79"/>
      <c r="Y295" s="79"/>
      <c r="AE295" s="130"/>
      <c r="AG295" s="106"/>
    </row>
    <row r="296">
      <c r="C296" s="79"/>
      <c r="D296" s="79"/>
      <c r="E296" s="79"/>
      <c r="O296" s="79"/>
      <c r="S296" s="79"/>
      <c r="T296" s="79"/>
      <c r="Y296" s="79"/>
      <c r="AE296" s="130"/>
      <c r="AG296" s="106"/>
    </row>
    <row r="297">
      <c r="C297" s="79"/>
      <c r="D297" s="79"/>
      <c r="E297" s="79"/>
      <c r="O297" s="79"/>
      <c r="S297" s="79"/>
      <c r="T297" s="79"/>
      <c r="Y297" s="79"/>
      <c r="AE297" s="130"/>
      <c r="AG297" s="106"/>
    </row>
    <row r="298">
      <c r="C298" s="79"/>
      <c r="D298" s="79"/>
      <c r="E298" s="79"/>
      <c r="O298" s="79"/>
      <c r="S298" s="79"/>
      <c r="T298" s="79"/>
      <c r="Y298" s="79"/>
      <c r="AE298" s="130"/>
      <c r="AG298" s="106"/>
    </row>
    <row r="299">
      <c r="C299" s="79"/>
      <c r="D299" s="79"/>
      <c r="E299" s="79"/>
      <c r="O299" s="79"/>
      <c r="S299" s="79"/>
      <c r="T299" s="79"/>
      <c r="Y299" s="79"/>
      <c r="AE299" s="130"/>
      <c r="AG299" s="106"/>
    </row>
    <row r="300">
      <c r="C300" s="79"/>
      <c r="D300" s="79"/>
      <c r="E300" s="79"/>
      <c r="O300" s="79"/>
      <c r="S300" s="79"/>
      <c r="T300" s="79"/>
      <c r="Y300" s="79"/>
      <c r="AE300" s="130"/>
      <c r="AG300" s="106"/>
    </row>
    <row r="301">
      <c r="C301" s="79"/>
      <c r="D301" s="79"/>
      <c r="E301" s="79"/>
      <c r="O301" s="79"/>
      <c r="S301" s="79"/>
      <c r="T301" s="79"/>
      <c r="Y301" s="79"/>
      <c r="AE301" s="130"/>
      <c r="AG301" s="106"/>
    </row>
    <row r="302">
      <c r="C302" s="79"/>
      <c r="D302" s="79"/>
      <c r="E302" s="79"/>
      <c r="O302" s="79"/>
      <c r="S302" s="79"/>
      <c r="T302" s="79"/>
      <c r="Y302" s="79"/>
      <c r="AE302" s="130"/>
      <c r="AG302" s="106"/>
    </row>
    <row r="303">
      <c r="C303" s="79"/>
      <c r="D303" s="79"/>
      <c r="E303" s="79"/>
      <c r="O303" s="79"/>
      <c r="S303" s="79"/>
      <c r="T303" s="79"/>
      <c r="Y303" s="79"/>
      <c r="AE303" s="130"/>
      <c r="AG303" s="106"/>
    </row>
    <row r="304">
      <c r="C304" s="79"/>
      <c r="D304" s="79"/>
      <c r="E304" s="79"/>
      <c r="O304" s="79"/>
      <c r="S304" s="79"/>
      <c r="T304" s="79"/>
      <c r="Y304" s="79"/>
      <c r="AE304" s="130"/>
      <c r="AG304" s="106"/>
    </row>
    <row r="305">
      <c r="C305" s="79"/>
      <c r="D305" s="79"/>
      <c r="E305" s="79"/>
      <c r="O305" s="79"/>
      <c r="S305" s="79"/>
      <c r="T305" s="79"/>
      <c r="Y305" s="79"/>
      <c r="AE305" s="130"/>
      <c r="AG305" s="106"/>
    </row>
    <row r="306">
      <c r="C306" s="79"/>
      <c r="D306" s="79"/>
      <c r="E306" s="79"/>
      <c r="O306" s="79"/>
      <c r="S306" s="79"/>
      <c r="T306" s="79"/>
      <c r="Y306" s="79"/>
      <c r="AE306" s="130"/>
      <c r="AG306" s="106"/>
    </row>
    <row r="307">
      <c r="C307" s="79"/>
      <c r="D307" s="79"/>
      <c r="E307" s="79"/>
      <c r="O307" s="79"/>
      <c r="S307" s="79"/>
      <c r="T307" s="79"/>
      <c r="Y307" s="79"/>
      <c r="AE307" s="130"/>
      <c r="AG307" s="106"/>
    </row>
    <row r="308">
      <c r="C308" s="79"/>
      <c r="D308" s="79"/>
      <c r="E308" s="79"/>
      <c r="O308" s="79"/>
      <c r="S308" s="79"/>
      <c r="T308" s="79"/>
      <c r="Y308" s="79"/>
      <c r="AE308" s="130"/>
      <c r="AG308" s="106"/>
    </row>
    <row r="309">
      <c r="C309" s="79"/>
      <c r="D309" s="79"/>
      <c r="E309" s="79"/>
      <c r="O309" s="79"/>
      <c r="S309" s="79"/>
      <c r="T309" s="79"/>
      <c r="Y309" s="79"/>
      <c r="AE309" s="130"/>
      <c r="AG309" s="106"/>
    </row>
    <row r="310">
      <c r="C310" s="79"/>
      <c r="D310" s="79"/>
      <c r="E310" s="79"/>
      <c r="O310" s="79"/>
      <c r="S310" s="79"/>
      <c r="T310" s="79"/>
      <c r="Y310" s="79"/>
      <c r="AE310" s="130"/>
      <c r="AG310" s="106"/>
    </row>
    <row r="311">
      <c r="C311" s="79"/>
      <c r="D311" s="79"/>
      <c r="E311" s="79"/>
      <c r="O311" s="79"/>
      <c r="S311" s="79"/>
      <c r="T311" s="79"/>
      <c r="Y311" s="79"/>
      <c r="AE311" s="130"/>
      <c r="AG311" s="106"/>
    </row>
    <row r="312">
      <c r="C312" s="79"/>
      <c r="D312" s="79"/>
      <c r="E312" s="79"/>
      <c r="O312" s="79"/>
      <c r="S312" s="79"/>
      <c r="T312" s="79"/>
      <c r="Y312" s="79"/>
      <c r="AE312" s="130"/>
      <c r="AG312" s="106"/>
    </row>
    <row r="313">
      <c r="C313" s="79"/>
      <c r="D313" s="79"/>
      <c r="E313" s="79"/>
      <c r="O313" s="79"/>
      <c r="S313" s="79"/>
      <c r="T313" s="79"/>
      <c r="Y313" s="79"/>
      <c r="AE313" s="130"/>
      <c r="AG313" s="106"/>
    </row>
    <row r="314">
      <c r="C314" s="79"/>
      <c r="D314" s="79"/>
      <c r="E314" s="79"/>
      <c r="O314" s="79"/>
      <c r="S314" s="79"/>
      <c r="T314" s="79"/>
      <c r="Y314" s="79"/>
      <c r="AE314" s="130"/>
      <c r="AG314" s="106"/>
    </row>
    <row r="315">
      <c r="C315" s="79"/>
      <c r="D315" s="79"/>
      <c r="E315" s="79"/>
      <c r="O315" s="79"/>
      <c r="S315" s="79"/>
      <c r="T315" s="79"/>
      <c r="Y315" s="79"/>
      <c r="AE315" s="130"/>
      <c r="AG315" s="106"/>
    </row>
    <row r="316">
      <c r="C316" s="79"/>
      <c r="D316" s="79"/>
      <c r="E316" s="79"/>
      <c r="O316" s="79"/>
      <c r="S316" s="79"/>
      <c r="T316" s="79"/>
      <c r="Y316" s="79"/>
      <c r="AE316" s="130"/>
      <c r="AG316" s="106"/>
    </row>
    <row r="317">
      <c r="C317" s="79"/>
      <c r="D317" s="79"/>
      <c r="E317" s="79"/>
      <c r="O317" s="79"/>
      <c r="S317" s="79"/>
      <c r="T317" s="79"/>
      <c r="Y317" s="79"/>
      <c r="AE317" s="130"/>
      <c r="AG317" s="106"/>
    </row>
    <row r="318">
      <c r="C318" s="79"/>
      <c r="D318" s="79"/>
      <c r="E318" s="79"/>
      <c r="O318" s="79"/>
      <c r="S318" s="79"/>
      <c r="T318" s="79"/>
      <c r="Y318" s="79"/>
      <c r="AE318" s="130"/>
      <c r="AG318" s="106"/>
    </row>
    <row r="319">
      <c r="C319" s="79"/>
      <c r="D319" s="79"/>
      <c r="E319" s="79"/>
      <c r="O319" s="79"/>
      <c r="S319" s="79"/>
      <c r="T319" s="79"/>
      <c r="Y319" s="79"/>
      <c r="AE319" s="130"/>
      <c r="AG319" s="106"/>
    </row>
    <row r="320">
      <c r="C320" s="79"/>
      <c r="D320" s="79"/>
      <c r="E320" s="79"/>
      <c r="O320" s="79"/>
      <c r="S320" s="79"/>
      <c r="T320" s="79"/>
      <c r="Y320" s="79"/>
      <c r="AE320" s="130"/>
      <c r="AG320" s="106"/>
    </row>
    <row r="321">
      <c r="C321" s="79"/>
      <c r="D321" s="79"/>
      <c r="E321" s="79"/>
      <c r="O321" s="79"/>
      <c r="S321" s="79"/>
      <c r="T321" s="79"/>
      <c r="Y321" s="79"/>
      <c r="AE321" s="130"/>
      <c r="AG321" s="106"/>
    </row>
    <row r="322">
      <c r="C322" s="79"/>
      <c r="D322" s="79"/>
      <c r="E322" s="79"/>
      <c r="O322" s="79"/>
      <c r="S322" s="79"/>
      <c r="T322" s="79"/>
      <c r="Y322" s="79"/>
      <c r="AE322" s="130"/>
      <c r="AG322" s="106"/>
    </row>
    <row r="323">
      <c r="C323" s="79"/>
      <c r="D323" s="79"/>
      <c r="E323" s="79"/>
      <c r="O323" s="79"/>
      <c r="S323" s="79"/>
      <c r="T323" s="79"/>
      <c r="Y323" s="79"/>
      <c r="AE323" s="130"/>
      <c r="AG323" s="106"/>
    </row>
    <row r="324">
      <c r="C324" s="79"/>
      <c r="D324" s="79"/>
      <c r="E324" s="79"/>
      <c r="O324" s="79"/>
      <c r="S324" s="79"/>
      <c r="T324" s="79"/>
      <c r="Y324" s="79"/>
      <c r="AE324" s="130"/>
      <c r="AG324" s="106"/>
    </row>
    <row r="325">
      <c r="C325" s="79"/>
      <c r="D325" s="79"/>
      <c r="E325" s="79"/>
      <c r="O325" s="79"/>
      <c r="S325" s="79"/>
      <c r="T325" s="79"/>
      <c r="Y325" s="79"/>
      <c r="AE325" s="130"/>
      <c r="AG325" s="106"/>
    </row>
    <row r="326">
      <c r="C326" s="79"/>
      <c r="D326" s="79"/>
      <c r="E326" s="79"/>
      <c r="O326" s="79"/>
      <c r="S326" s="79"/>
      <c r="T326" s="79"/>
      <c r="Y326" s="79"/>
      <c r="AE326" s="130"/>
      <c r="AG326" s="106"/>
    </row>
    <row r="327">
      <c r="C327" s="79"/>
      <c r="D327" s="79"/>
      <c r="E327" s="79"/>
      <c r="O327" s="79"/>
      <c r="S327" s="79"/>
      <c r="T327" s="79"/>
      <c r="Y327" s="79"/>
      <c r="AE327" s="130"/>
      <c r="AG327" s="106"/>
    </row>
    <row r="328">
      <c r="C328" s="79"/>
      <c r="D328" s="79"/>
      <c r="E328" s="79"/>
      <c r="O328" s="79"/>
      <c r="S328" s="79"/>
      <c r="T328" s="79"/>
      <c r="Y328" s="79"/>
      <c r="AE328" s="130"/>
      <c r="AG328" s="106"/>
    </row>
    <row r="329">
      <c r="C329" s="79"/>
      <c r="D329" s="79"/>
      <c r="E329" s="79"/>
      <c r="O329" s="79"/>
      <c r="S329" s="79"/>
      <c r="T329" s="79"/>
      <c r="Y329" s="79"/>
      <c r="AE329" s="130"/>
      <c r="AG329" s="106"/>
    </row>
    <row r="330">
      <c r="C330" s="79"/>
      <c r="D330" s="79"/>
      <c r="E330" s="79"/>
      <c r="O330" s="79"/>
      <c r="S330" s="79"/>
      <c r="T330" s="79"/>
      <c r="Y330" s="79"/>
      <c r="AE330" s="130"/>
      <c r="AG330" s="106"/>
    </row>
    <row r="331">
      <c r="C331" s="79"/>
      <c r="D331" s="79"/>
      <c r="E331" s="79"/>
      <c r="O331" s="79"/>
      <c r="S331" s="79"/>
      <c r="T331" s="79"/>
      <c r="Y331" s="79"/>
      <c r="AE331" s="130"/>
      <c r="AG331" s="106"/>
    </row>
    <row r="332">
      <c r="C332" s="79"/>
      <c r="D332" s="79"/>
      <c r="E332" s="79"/>
      <c r="O332" s="79"/>
      <c r="S332" s="79"/>
      <c r="T332" s="79"/>
      <c r="Y332" s="79"/>
      <c r="AE332" s="130"/>
      <c r="AG332" s="106"/>
    </row>
    <row r="333">
      <c r="C333" s="79"/>
      <c r="D333" s="79"/>
      <c r="E333" s="79"/>
      <c r="O333" s="79"/>
      <c r="S333" s="79"/>
      <c r="T333" s="79"/>
      <c r="Y333" s="79"/>
      <c r="AE333" s="130"/>
      <c r="AG333" s="106"/>
    </row>
    <row r="334">
      <c r="C334" s="79"/>
      <c r="D334" s="79"/>
      <c r="E334" s="79"/>
      <c r="O334" s="79"/>
      <c r="S334" s="79"/>
      <c r="T334" s="79"/>
      <c r="Y334" s="79"/>
      <c r="AE334" s="130"/>
      <c r="AG334" s="106"/>
    </row>
    <row r="335">
      <c r="C335" s="79"/>
      <c r="D335" s="79"/>
      <c r="E335" s="79"/>
      <c r="O335" s="79"/>
      <c r="S335" s="79"/>
      <c r="T335" s="79"/>
      <c r="Y335" s="79"/>
      <c r="AE335" s="130"/>
      <c r="AG335" s="106"/>
    </row>
    <row r="336">
      <c r="C336" s="79"/>
      <c r="D336" s="79"/>
      <c r="E336" s="79"/>
      <c r="O336" s="79"/>
      <c r="S336" s="79"/>
      <c r="T336" s="79"/>
      <c r="Y336" s="79"/>
      <c r="AE336" s="130"/>
      <c r="AG336" s="106"/>
    </row>
    <row r="337">
      <c r="C337" s="79"/>
      <c r="D337" s="79"/>
      <c r="E337" s="79"/>
      <c r="O337" s="79"/>
      <c r="S337" s="79"/>
      <c r="T337" s="79"/>
      <c r="Y337" s="79"/>
      <c r="AE337" s="130"/>
      <c r="AG337" s="106"/>
    </row>
    <row r="338">
      <c r="C338" s="79"/>
      <c r="D338" s="79"/>
      <c r="E338" s="79"/>
      <c r="O338" s="79"/>
      <c r="S338" s="79"/>
      <c r="T338" s="79"/>
      <c r="Y338" s="79"/>
      <c r="AE338" s="130"/>
      <c r="AG338" s="106"/>
    </row>
    <row r="339">
      <c r="C339" s="79"/>
      <c r="D339" s="79"/>
      <c r="E339" s="79"/>
      <c r="O339" s="79"/>
      <c r="S339" s="79"/>
      <c r="T339" s="79"/>
      <c r="Y339" s="79"/>
      <c r="AE339" s="130"/>
      <c r="AG339" s="106"/>
    </row>
    <row r="340">
      <c r="C340" s="79"/>
      <c r="D340" s="79"/>
      <c r="E340" s="79"/>
      <c r="O340" s="79"/>
      <c r="S340" s="79"/>
      <c r="T340" s="79"/>
      <c r="Y340" s="79"/>
      <c r="AE340" s="130"/>
      <c r="AG340" s="106"/>
    </row>
    <row r="341">
      <c r="C341" s="79"/>
      <c r="D341" s="79"/>
      <c r="E341" s="79"/>
      <c r="O341" s="79"/>
      <c r="S341" s="79"/>
      <c r="T341" s="79"/>
      <c r="Y341" s="79"/>
      <c r="AE341" s="130"/>
      <c r="AG341" s="106"/>
    </row>
    <row r="342">
      <c r="C342" s="79"/>
      <c r="D342" s="79"/>
      <c r="E342" s="79"/>
      <c r="O342" s="79"/>
      <c r="S342" s="79"/>
      <c r="T342" s="79"/>
      <c r="Y342" s="79"/>
      <c r="AE342" s="130"/>
      <c r="AG342" s="106"/>
    </row>
    <row r="343">
      <c r="C343" s="79"/>
      <c r="D343" s="79"/>
      <c r="E343" s="79"/>
      <c r="O343" s="79"/>
      <c r="S343" s="79"/>
      <c r="T343" s="79"/>
      <c r="Y343" s="79"/>
      <c r="AE343" s="130"/>
      <c r="AG343" s="106"/>
    </row>
    <row r="344">
      <c r="C344" s="79"/>
      <c r="D344" s="79"/>
      <c r="E344" s="79"/>
      <c r="O344" s="79"/>
      <c r="S344" s="79"/>
      <c r="T344" s="79"/>
      <c r="Y344" s="79"/>
      <c r="AE344" s="130"/>
      <c r="AG344" s="106"/>
    </row>
    <row r="345">
      <c r="C345" s="79"/>
      <c r="D345" s="79"/>
      <c r="E345" s="79"/>
      <c r="O345" s="79"/>
      <c r="S345" s="79"/>
      <c r="T345" s="79"/>
      <c r="Y345" s="79"/>
      <c r="AE345" s="130"/>
      <c r="AG345" s="106"/>
    </row>
    <row r="346">
      <c r="C346" s="79"/>
      <c r="D346" s="79"/>
      <c r="E346" s="79"/>
      <c r="O346" s="79"/>
      <c r="S346" s="79"/>
      <c r="T346" s="79"/>
      <c r="Y346" s="79"/>
      <c r="AE346" s="130"/>
      <c r="AG346" s="106"/>
    </row>
    <row r="347">
      <c r="C347" s="79"/>
      <c r="D347" s="79"/>
      <c r="E347" s="79"/>
      <c r="O347" s="79"/>
      <c r="S347" s="79"/>
      <c r="T347" s="79"/>
      <c r="Y347" s="79"/>
      <c r="AE347" s="130"/>
      <c r="AG347" s="106"/>
    </row>
    <row r="348">
      <c r="C348" s="79"/>
      <c r="D348" s="79"/>
      <c r="E348" s="79"/>
      <c r="O348" s="79"/>
      <c r="S348" s="79"/>
      <c r="T348" s="79"/>
      <c r="Y348" s="79"/>
      <c r="AE348" s="130"/>
      <c r="AG348" s="106"/>
    </row>
    <row r="349">
      <c r="C349" s="79"/>
      <c r="D349" s="79"/>
      <c r="E349" s="79"/>
      <c r="O349" s="79"/>
      <c r="S349" s="79"/>
      <c r="T349" s="79"/>
      <c r="Y349" s="79"/>
      <c r="AE349" s="130"/>
      <c r="AG349" s="106"/>
    </row>
    <row r="350">
      <c r="C350" s="79"/>
      <c r="D350" s="79"/>
      <c r="E350" s="79"/>
      <c r="O350" s="79"/>
      <c r="S350" s="79"/>
      <c r="T350" s="79"/>
      <c r="Y350" s="79"/>
      <c r="AE350" s="130"/>
      <c r="AG350" s="106"/>
    </row>
    <row r="351">
      <c r="C351" s="79"/>
      <c r="D351" s="79"/>
      <c r="E351" s="79"/>
      <c r="O351" s="79"/>
      <c r="S351" s="79"/>
      <c r="T351" s="79"/>
      <c r="Y351" s="79"/>
      <c r="AE351" s="130"/>
      <c r="AG351" s="106"/>
    </row>
    <row r="352">
      <c r="C352" s="79"/>
      <c r="D352" s="79"/>
      <c r="E352" s="79"/>
      <c r="O352" s="79"/>
      <c r="S352" s="79"/>
      <c r="T352" s="79"/>
      <c r="Y352" s="79"/>
      <c r="AE352" s="130"/>
      <c r="AG352" s="106"/>
    </row>
    <row r="353">
      <c r="C353" s="79"/>
      <c r="D353" s="79"/>
      <c r="E353" s="79"/>
      <c r="O353" s="79"/>
      <c r="S353" s="79"/>
      <c r="T353" s="79"/>
      <c r="Y353" s="79"/>
      <c r="AE353" s="130"/>
      <c r="AG353" s="106"/>
    </row>
    <row r="354">
      <c r="C354" s="79"/>
      <c r="D354" s="79"/>
      <c r="E354" s="79"/>
      <c r="O354" s="79"/>
      <c r="S354" s="79"/>
      <c r="T354" s="79"/>
      <c r="Y354" s="79"/>
      <c r="AE354" s="130"/>
      <c r="AG354" s="106"/>
    </row>
    <row r="355">
      <c r="C355" s="79"/>
      <c r="D355" s="79"/>
      <c r="E355" s="79"/>
      <c r="O355" s="79"/>
      <c r="S355" s="79"/>
      <c r="T355" s="79"/>
      <c r="Y355" s="79"/>
      <c r="AE355" s="130"/>
      <c r="AG355" s="106"/>
    </row>
    <row r="356">
      <c r="C356" s="79"/>
      <c r="D356" s="79"/>
      <c r="E356" s="79"/>
      <c r="O356" s="79"/>
      <c r="S356" s="79"/>
      <c r="T356" s="79"/>
      <c r="Y356" s="79"/>
      <c r="AE356" s="130"/>
      <c r="AG356" s="106"/>
    </row>
    <row r="357">
      <c r="C357" s="79"/>
      <c r="D357" s="79"/>
      <c r="E357" s="79"/>
      <c r="O357" s="79"/>
      <c r="S357" s="79"/>
      <c r="T357" s="79"/>
      <c r="Y357" s="79"/>
      <c r="AE357" s="130"/>
      <c r="AG357" s="106"/>
    </row>
    <row r="358">
      <c r="C358" s="79"/>
      <c r="D358" s="79"/>
      <c r="E358" s="79"/>
      <c r="O358" s="79"/>
      <c r="S358" s="79"/>
      <c r="T358" s="79"/>
      <c r="Y358" s="79"/>
      <c r="AE358" s="130"/>
      <c r="AG358" s="106"/>
    </row>
    <row r="359">
      <c r="C359" s="79"/>
      <c r="D359" s="79"/>
      <c r="E359" s="79"/>
      <c r="O359" s="79"/>
      <c r="S359" s="79"/>
      <c r="T359" s="79"/>
      <c r="Y359" s="79"/>
      <c r="AE359" s="130"/>
      <c r="AG359" s="106"/>
    </row>
    <row r="360">
      <c r="C360" s="79"/>
      <c r="D360" s="79"/>
      <c r="E360" s="79"/>
      <c r="O360" s="79"/>
      <c r="S360" s="79"/>
      <c r="T360" s="79"/>
      <c r="Y360" s="79"/>
      <c r="AE360" s="130"/>
      <c r="AG360" s="106"/>
    </row>
    <row r="361">
      <c r="C361" s="79"/>
      <c r="D361" s="79"/>
      <c r="E361" s="79"/>
      <c r="O361" s="79"/>
      <c r="S361" s="79"/>
      <c r="T361" s="79"/>
      <c r="Y361" s="79"/>
      <c r="AE361" s="130"/>
      <c r="AG361" s="106"/>
    </row>
    <row r="362">
      <c r="C362" s="79"/>
      <c r="D362" s="79"/>
      <c r="E362" s="79"/>
      <c r="O362" s="79"/>
      <c r="S362" s="79"/>
      <c r="T362" s="79"/>
      <c r="Y362" s="79"/>
      <c r="AE362" s="130"/>
      <c r="AG362" s="106"/>
    </row>
    <row r="363">
      <c r="C363" s="79"/>
      <c r="D363" s="79"/>
      <c r="E363" s="79"/>
      <c r="O363" s="79"/>
      <c r="S363" s="79"/>
      <c r="T363" s="79"/>
      <c r="Y363" s="79"/>
      <c r="AE363" s="130"/>
      <c r="AG363" s="106"/>
    </row>
    <row r="364">
      <c r="C364" s="79"/>
      <c r="D364" s="79"/>
      <c r="E364" s="79"/>
      <c r="O364" s="79"/>
      <c r="S364" s="79"/>
      <c r="T364" s="79"/>
      <c r="Y364" s="79"/>
      <c r="AE364" s="130"/>
      <c r="AG364" s="106"/>
    </row>
    <row r="365">
      <c r="C365" s="79"/>
      <c r="D365" s="79"/>
      <c r="E365" s="79"/>
      <c r="O365" s="79"/>
      <c r="S365" s="79"/>
      <c r="T365" s="79"/>
      <c r="Y365" s="79"/>
      <c r="AE365" s="130"/>
      <c r="AG365" s="106"/>
    </row>
    <row r="366">
      <c r="C366" s="79"/>
      <c r="D366" s="79"/>
      <c r="E366" s="79"/>
      <c r="O366" s="79"/>
      <c r="S366" s="79"/>
      <c r="T366" s="79"/>
      <c r="Y366" s="79"/>
      <c r="AE366" s="130"/>
      <c r="AG366" s="106"/>
    </row>
    <row r="367">
      <c r="C367" s="79"/>
      <c r="D367" s="79"/>
      <c r="E367" s="79"/>
      <c r="O367" s="79"/>
      <c r="S367" s="79"/>
      <c r="T367" s="79"/>
      <c r="Y367" s="79"/>
      <c r="AE367" s="130"/>
      <c r="AG367" s="106"/>
    </row>
    <row r="368">
      <c r="C368" s="79"/>
      <c r="D368" s="79"/>
      <c r="E368" s="79"/>
      <c r="O368" s="79"/>
      <c r="S368" s="79"/>
      <c r="T368" s="79"/>
      <c r="Y368" s="79"/>
      <c r="AE368" s="130"/>
      <c r="AG368" s="106"/>
    </row>
    <row r="369">
      <c r="C369" s="79"/>
      <c r="D369" s="79"/>
      <c r="E369" s="79"/>
      <c r="O369" s="79"/>
      <c r="S369" s="79"/>
      <c r="T369" s="79"/>
      <c r="Y369" s="79"/>
      <c r="AE369" s="130"/>
      <c r="AG369" s="106"/>
    </row>
    <row r="370">
      <c r="C370" s="79"/>
      <c r="D370" s="79"/>
      <c r="E370" s="79"/>
      <c r="O370" s="79"/>
      <c r="S370" s="79"/>
      <c r="T370" s="79"/>
      <c r="Y370" s="79"/>
      <c r="AE370" s="130"/>
      <c r="AG370" s="106"/>
    </row>
    <row r="371">
      <c r="C371" s="79"/>
      <c r="D371" s="79"/>
      <c r="E371" s="79"/>
      <c r="O371" s="79"/>
      <c r="S371" s="79"/>
      <c r="T371" s="79"/>
      <c r="Y371" s="79"/>
      <c r="AE371" s="130"/>
      <c r="AG371" s="106"/>
    </row>
    <row r="372">
      <c r="C372" s="79"/>
      <c r="D372" s="79"/>
      <c r="E372" s="79"/>
      <c r="O372" s="79"/>
      <c r="S372" s="79"/>
      <c r="T372" s="79"/>
      <c r="Y372" s="79"/>
      <c r="AE372" s="130"/>
      <c r="AG372" s="106"/>
    </row>
    <row r="373">
      <c r="C373" s="79"/>
      <c r="D373" s="79"/>
      <c r="E373" s="79"/>
      <c r="O373" s="79"/>
      <c r="S373" s="79"/>
      <c r="T373" s="79"/>
      <c r="Y373" s="79"/>
      <c r="AE373" s="130"/>
      <c r="AG373" s="106"/>
    </row>
    <row r="374">
      <c r="C374" s="79"/>
      <c r="D374" s="79"/>
      <c r="E374" s="79"/>
      <c r="O374" s="79"/>
      <c r="S374" s="79"/>
      <c r="T374" s="79"/>
      <c r="Y374" s="79"/>
      <c r="AE374" s="130"/>
      <c r="AG374" s="106"/>
    </row>
    <row r="375">
      <c r="C375" s="79"/>
      <c r="D375" s="79"/>
      <c r="E375" s="79"/>
      <c r="O375" s="79"/>
      <c r="S375" s="79"/>
      <c r="T375" s="79"/>
      <c r="Y375" s="79"/>
      <c r="AE375" s="130"/>
      <c r="AG375" s="106"/>
    </row>
    <row r="376">
      <c r="C376" s="79"/>
      <c r="D376" s="79"/>
      <c r="E376" s="79"/>
      <c r="O376" s="79"/>
      <c r="S376" s="79"/>
      <c r="T376" s="79"/>
      <c r="Y376" s="79"/>
      <c r="AE376" s="130"/>
      <c r="AG376" s="106"/>
    </row>
    <row r="377">
      <c r="C377" s="79"/>
      <c r="D377" s="79"/>
      <c r="E377" s="79"/>
      <c r="O377" s="79"/>
      <c r="S377" s="79"/>
      <c r="T377" s="79"/>
      <c r="Y377" s="79"/>
      <c r="AE377" s="130"/>
      <c r="AG377" s="106"/>
    </row>
    <row r="378">
      <c r="C378" s="79"/>
      <c r="D378" s="79"/>
      <c r="E378" s="79"/>
      <c r="O378" s="79"/>
      <c r="S378" s="79"/>
      <c r="T378" s="79"/>
      <c r="Y378" s="79"/>
      <c r="AE378" s="130"/>
      <c r="AG378" s="106"/>
    </row>
    <row r="379">
      <c r="C379" s="79"/>
      <c r="D379" s="79"/>
      <c r="E379" s="79"/>
      <c r="O379" s="79"/>
      <c r="S379" s="79"/>
      <c r="T379" s="79"/>
      <c r="Y379" s="79"/>
      <c r="AE379" s="130"/>
      <c r="AG379" s="106"/>
    </row>
    <row r="380">
      <c r="C380" s="79"/>
      <c r="D380" s="79"/>
      <c r="E380" s="79"/>
      <c r="O380" s="79"/>
      <c r="S380" s="79"/>
      <c r="T380" s="79"/>
      <c r="Y380" s="79"/>
      <c r="AE380" s="130"/>
      <c r="AG380" s="106"/>
    </row>
    <row r="381">
      <c r="C381" s="79"/>
      <c r="D381" s="79"/>
      <c r="E381" s="79"/>
      <c r="O381" s="79"/>
      <c r="S381" s="79"/>
      <c r="T381" s="79"/>
      <c r="Y381" s="79"/>
      <c r="AE381" s="130"/>
      <c r="AG381" s="106"/>
    </row>
    <row r="382">
      <c r="C382" s="79"/>
      <c r="D382" s="79"/>
      <c r="E382" s="79"/>
      <c r="O382" s="79"/>
      <c r="S382" s="79"/>
      <c r="T382" s="79"/>
      <c r="Y382" s="79"/>
      <c r="AE382" s="130"/>
      <c r="AG382" s="106"/>
    </row>
    <row r="383">
      <c r="C383" s="79"/>
      <c r="D383" s="79"/>
      <c r="E383" s="79"/>
      <c r="O383" s="79"/>
      <c r="S383" s="79"/>
      <c r="T383" s="79"/>
      <c r="Y383" s="79"/>
      <c r="AE383" s="130"/>
      <c r="AG383" s="106"/>
    </row>
    <row r="384">
      <c r="C384" s="79"/>
      <c r="D384" s="79"/>
      <c r="E384" s="79"/>
      <c r="O384" s="79"/>
      <c r="S384" s="79"/>
      <c r="T384" s="79"/>
      <c r="Y384" s="79"/>
      <c r="AE384" s="130"/>
      <c r="AG384" s="106"/>
    </row>
    <row r="385">
      <c r="C385" s="79"/>
      <c r="D385" s="79"/>
      <c r="E385" s="79"/>
      <c r="O385" s="79"/>
      <c r="S385" s="79"/>
      <c r="T385" s="79"/>
      <c r="Y385" s="79"/>
      <c r="AE385" s="130"/>
      <c r="AG385" s="106"/>
    </row>
    <row r="386">
      <c r="C386" s="79"/>
      <c r="D386" s="79"/>
      <c r="E386" s="79"/>
      <c r="O386" s="79"/>
      <c r="S386" s="79"/>
      <c r="T386" s="79"/>
      <c r="Y386" s="79"/>
      <c r="AE386" s="130"/>
      <c r="AG386" s="106"/>
    </row>
    <row r="387">
      <c r="C387" s="79"/>
      <c r="D387" s="79"/>
      <c r="E387" s="79"/>
      <c r="O387" s="79"/>
      <c r="S387" s="79"/>
      <c r="T387" s="79"/>
      <c r="Y387" s="79"/>
      <c r="AE387" s="130"/>
      <c r="AG387" s="106"/>
    </row>
    <row r="388">
      <c r="C388" s="79"/>
      <c r="D388" s="79"/>
      <c r="E388" s="79"/>
      <c r="O388" s="79"/>
      <c r="S388" s="79"/>
      <c r="T388" s="79"/>
      <c r="Y388" s="79"/>
      <c r="AE388" s="130"/>
      <c r="AG388" s="106"/>
    </row>
    <row r="389">
      <c r="C389" s="79"/>
      <c r="D389" s="79"/>
      <c r="E389" s="79"/>
      <c r="O389" s="79"/>
      <c r="S389" s="79"/>
      <c r="T389" s="79"/>
      <c r="Y389" s="79"/>
      <c r="AE389" s="130"/>
      <c r="AG389" s="106"/>
    </row>
    <row r="390">
      <c r="C390" s="79"/>
      <c r="D390" s="79"/>
      <c r="E390" s="79"/>
      <c r="O390" s="79"/>
      <c r="S390" s="79"/>
      <c r="T390" s="79"/>
      <c r="Y390" s="79"/>
      <c r="AE390" s="130"/>
      <c r="AG390" s="106"/>
    </row>
    <row r="391">
      <c r="C391" s="79"/>
      <c r="D391" s="79"/>
      <c r="E391" s="79"/>
      <c r="O391" s="79"/>
      <c r="S391" s="79"/>
      <c r="T391" s="79"/>
      <c r="Y391" s="79"/>
      <c r="AE391" s="130"/>
      <c r="AG391" s="106"/>
    </row>
    <row r="392">
      <c r="C392" s="79"/>
      <c r="D392" s="79"/>
      <c r="E392" s="79"/>
      <c r="O392" s="79"/>
      <c r="S392" s="79"/>
      <c r="T392" s="79"/>
      <c r="Y392" s="79"/>
      <c r="AE392" s="130"/>
      <c r="AG392" s="106"/>
    </row>
    <row r="393">
      <c r="C393" s="79"/>
      <c r="D393" s="79"/>
      <c r="E393" s="79"/>
      <c r="O393" s="79"/>
      <c r="S393" s="79"/>
      <c r="T393" s="79"/>
      <c r="Y393" s="79"/>
      <c r="AE393" s="130"/>
      <c r="AG393" s="106"/>
    </row>
    <row r="394">
      <c r="C394" s="79"/>
      <c r="D394" s="79"/>
      <c r="E394" s="79"/>
      <c r="O394" s="79"/>
      <c r="S394" s="79"/>
      <c r="T394" s="79"/>
      <c r="Y394" s="79"/>
      <c r="AE394" s="130"/>
      <c r="AG394" s="106"/>
    </row>
    <row r="395">
      <c r="C395" s="79"/>
      <c r="D395" s="79"/>
      <c r="E395" s="79"/>
      <c r="O395" s="79"/>
      <c r="S395" s="79"/>
      <c r="T395" s="79"/>
      <c r="Y395" s="79"/>
      <c r="AE395" s="130"/>
      <c r="AG395" s="106"/>
    </row>
    <row r="396">
      <c r="C396" s="79"/>
      <c r="D396" s="79"/>
      <c r="E396" s="79"/>
      <c r="O396" s="79"/>
      <c r="S396" s="79"/>
      <c r="T396" s="79"/>
      <c r="Y396" s="79"/>
      <c r="AE396" s="130"/>
      <c r="AG396" s="106"/>
    </row>
    <row r="397">
      <c r="C397" s="79"/>
      <c r="D397" s="79"/>
      <c r="E397" s="79"/>
      <c r="O397" s="79"/>
      <c r="S397" s="79"/>
      <c r="T397" s="79"/>
      <c r="Y397" s="79"/>
      <c r="AE397" s="130"/>
      <c r="AG397" s="106"/>
    </row>
    <row r="398">
      <c r="C398" s="79"/>
      <c r="D398" s="79"/>
      <c r="E398" s="79"/>
      <c r="O398" s="79"/>
      <c r="S398" s="79"/>
      <c r="T398" s="79"/>
      <c r="Y398" s="79"/>
      <c r="AE398" s="130"/>
      <c r="AG398" s="106"/>
    </row>
    <row r="399">
      <c r="C399" s="79"/>
      <c r="D399" s="79"/>
      <c r="E399" s="79"/>
      <c r="O399" s="79"/>
      <c r="S399" s="79"/>
      <c r="T399" s="79"/>
      <c r="Y399" s="79"/>
      <c r="AE399" s="130"/>
      <c r="AG399" s="106"/>
    </row>
    <row r="400">
      <c r="C400" s="79"/>
      <c r="D400" s="79"/>
      <c r="E400" s="79"/>
      <c r="O400" s="79"/>
      <c r="S400" s="79"/>
      <c r="T400" s="79"/>
      <c r="Y400" s="79"/>
      <c r="AE400" s="130"/>
      <c r="AG400" s="106"/>
    </row>
    <row r="401">
      <c r="C401" s="79"/>
      <c r="D401" s="79"/>
      <c r="E401" s="79"/>
      <c r="O401" s="79"/>
      <c r="S401" s="79"/>
      <c r="T401" s="79"/>
      <c r="Y401" s="79"/>
      <c r="AE401" s="130"/>
      <c r="AG401" s="106"/>
    </row>
    <row r="402">
      <c r="C402" s="79"/>
      <c r="D402" s="79"/>
      <c r="E402" s="79"/>
      <c r="O402" s="79"/>
      <c r="S402" s="79"/>
      <c r="T402" s="79"/>
      <c r="Y402" s="79"/>
      <c r="AE402" s="130"/>
      <c r="AG402" s="106"/>
    </row>
    <row r="403">
      <c r="C403" s="79"/>
      <c r="D403" s="79"/>
      <c r="E403" s="79"/>
      <c r="O403" s="79"/>
      <c r="S403" s="79"/>
      <c r="T403" s="79"/>
      <c r="Y403" s="79"/>
      <c r="AE403" s="130"/>
      <c r="AG403" s="106"/>
    </row>
    <row r="404">
      <c r="C404" s="79"/>
      <c r="D404" s="79"/>
      <c r="E404" s="79"/>
      <c r="O404" s="79"/>
      <c r="S404" s="79"/>
      <c r="T404" s="79"/>
      <c r="Y404" s="79"/>
      <c r="AE404" s="130"/>
      <c r="AG404" s="106"/>
    </row>
    <row r="405">
      <c r="C405" s="79"/>
      <c r="D405" s="79"/>
      <c r="E405" s="79"/>
      <c r="O405" s="79"/>
      <c r="S405" s="79"/>
      <c r="T405" s="79"/>
      <c r="Y405" s="79"/>
      <c r="AE405" s="130"/>
      <c r="AG405" s="106"/>
    </row>
    <row r="406">
      <c r="C406" s="79"/>
      <c r="D406" s="79"/>
      <c r="E406" s="79"/>
      <c r="O406" s="79"/>
      <c r="S406" s="79"/>
      <c r="T406" s="79"/>
      <c r="Y406" s="79"/>
      <c r="AE406" s="130"/>
      <c r="AG406" s="106"/>
    </row>
    <row r="407">
      <c r="C407" s="79"/>
      <c r="D407" s="79"/>
      <c r="E407" s="79"/>
      <c r="O407" s="79"/>
      <c r="S407" s="79"/>
      <c r="T407" s="79"/>
      <c r="Y407" s="79"/>
      <c r="AE407" s="130"/>
      <c r="AG407" s="106"/>
    </row>
    <row r="408">
      <c r="C408" s="79"/>
      <c r="D408" s="79"/>
      <c r="E408" s="79"/>
      <c r="O408" s="79"/>
      <c r="S408" s="79"/>
      <c r="T408" s="79"/>
      <c r="Y408" s="79"/>
      <c r="AE408" s="130"/>
      <c r="AG408" s="106"/>
    </row>
    <row r="409">
      <c r="C409" s="79"/>
      <c r="D409" s="79"/>
      <c r="E409" s="79"/>
      <c r="O409" s="79"/>
      <c r="S409" s="79"/>
      <c r="T409" s="79"/>
      <c r="Y409" s="79"/>
      <c r="AE409" s="130"/>
      <c r="AG409" s="106"/>
    </row>
    <row r="410">
      <c r="C410" s="79"/>
      <c r="D410" s="79"/>
      <c r="E410" s="79"/>
      <c r="O410" s="79"/>
      <c r="S410" s="79"/>
      <c r="T410" s="79"/>
      <c r="Y410" s="79"/>
      <c r="AE410" s="130"/>
      <c r="AG410" s="106"/>
    </row>
    <row r="411">
      <c r="C411" s="79"/>
      <c r="D411" s="79"/>
      <c r="E411" s="79"/>
      <c r="O411" s="79"/>
      <c r="S411" s="79"/>
      <c r="T411" s="79"/>
      <c r="Y411" s="79"/>
      <c r="AE411" s="130"/>
      <c r="AG411" s="106"/>
    </row>
    <row r="412">
      <c r="C412" s="79"/>
      <c r="D412" s="79"/>
      <c r="E412" s="79"/>
      <c r="O412" s="79"/>
      <c r="S412" s="79"/>
      <c r="T412" s="79"/>
      <c r="Y412" s="79"/>
      <c r="AE412" s="130"/>
      <c r="AG412" s="106"/>
    </row>
    <row r="413">
      <c r="C413" s="79"/>
      <c r="D413" s="79"/>
      <c r="E413" s="79"/>
      <c r="O413" s="79"/>
      <c r="S413" s="79"/>
      <c r="T413" s="79"/>
      <c r="Y413" s="79"/>
      <c r="AE413" s="130"/>
      <c r="AG413" s="106"/>
    </row>
    <row r="414">
      <c r="C414" s="79"/>
      <c r="D414" s="79"/>
      <c r="E414" s="79"/>
      <c r="O414" s="79"/>
      <c r="S414" s="79"/>
      <c r="T414" s="79"/>
      <c r="Y414" s="79"/>
      <c r="AE414" s="130"/>
      <c r="AG414" s="106"/>
    </row>
    <row r="415">
      <c r="C415" s="79"/>
      <c r="D415" s="79"/>
      <c r="E415" s="79"/>
      <c r="O415" s="79"/>
      <c r="S415" s="79"/>
      <c r="T415" s="79"/>
      <c r="Y415" s="79"/>
      <c r="AE415" s="130"/>
      <c r="AG415" s="106"/>
    </row>
    <row r="416">
      <c r="C416" s="79"/>
      <c r="D416" s="79"/>
      <c r="E416" s="79"/>
      <c r="O416" s="79"/>
      <c r="S416" s="79"/>
      <c r="T416" s="79"/>
      <c r="Y416" s="79"/>
      <c r="AE416" s="130"/>
      <c r="AG416" s="106"/>
    </row>
    <row r="417">
      <c r="C417" s="79"/>
      <c r="D417" s="79"/>
      <c r="E417" s="79"/>
      <c r="O417" s="79"/>
      <c r="S417" s="79"/>
      <c r="T417" s="79"/>
      <c r="Y417" s="79"/>
      <c r="AE417" s="130"/>
      <c r="AG417" s="106"/>
    </row>
    <row r="418">
      <c r="C418" s="79"/>
      <c r="D418" s="79"/>
      <c r="E418" s="79"/>
      <c r="O418" s="79"/>
      <c r="S418" s="79"/>
      <c r="T418" s="79"/>
      <c r="Y418" s="79"/>
      <c r="AE418" s="130"/>
      <c r="AG418" s="106"/>
    </row>
    <row r="419">
      <c r="C419" s="79"/>
      <c r="D419" s="79"/>
      <c r="E419" s="79"/>
      <c r="O419" s="79"/>
      <c r="S419" s="79"/>
      <c r="T419" s="79"/>
      <c r="Y419" s="79"/>
      <c r="AE419" s="130"/>
      <c r="AG419" s="106"/>
    </row>
    <row r="420">
      <c r="C420" s="79"/>
      <c r="D420" s="79"/>
      <c r="E420" s="79"/>
      <c r="O420" s="79"/>
      <c r="S420" s="79"/>
      <c r="T420" s="79"/>
      <c r="Y420" s="79"/>
      <c r="AE420" s="130"/>
      <c r="AG420" s="106"/>
    </row>
    <row r="421">
      <c r="C421" s="79"/>
      <c r="D421" s="79"/>
      <c r="E421" s="79"/>
      <c r="O421" s="79"/>
      <c r="S421" s="79"/>
      <c r="T421" s="79"/>
      <c r="Y421" s="79"/>
      <c r="AE421" s="130"/>
      <c r="AG421" s="106"/>
    </row>
    <row r="422">
      <c r="C422" s="79"/>
      <c r="D422" s="79"/>
      <c r="E422" s="79"/>
      <c r="O422" s="79"/>
      <c r="S422" s="79"/>
      <c r="T422" s="79"/>
      <c r="Y422" s="79"/>
      <c r="AE422" s="130"/>
      <c r="AG422" s="106"/>
    </row>
    <row r="423">
      <c r="C423" s="79"/>
      <c r="D423" s="79"/>
      <c r="E423" s="79"/>
      <c r="O423" s="79"/>
      <c r="S423" s="79"/>
      <c r="T423" s="79"/>
      <c r="Y423" s="79"/>
      <c r="AE423" s="130"/>
      <c r="AG423" s="106"/>
    </row>
    <row r="424">
      <c r="C424" s="79"/>
      <c r="D424" s="79"/>
      <c r="E424" s="79"/>
      <c r="O424" s="79"/>
      <c r="S424" s="79"/>
      <c r="T424" s="79"/>
      <c r="Y424" s="79"/>
      <c r="AE424" s="130"/>
      <c r="AG424" s="106"/>
    </row>
    <row r="425">
      <c r="C425" s="79"/>
      <c r="D425" s="79"/>
      <c r="E425" s="79"/>
      <c r="O425" s="79"/>
      <c r="S425" s="79"/>
      <c r="T425" s="79"/>
      <c r="Y425" s="79"/>
      <c r="AE425" s="130"/>
      <c r="AG425" s="106"/>
    </row>
    <row r="426">
      <c r="C426" s="79"/>
      <c r="D426" s="79"/>
      <c r="E426" s="79"/>
      <c r="O426" s="79"/>
      <c r="S426" s="79"/>
      <c r="T426" s="79"/>
      <c r="Y426" s="79"/>
      <c r="AE426" s="130"/>
      <c r="AG426" s="106"/>
    </row>
    <row r="427">
      <c r="C427" s="79"/>
      <c r="D427" s="79"/>
      <c r="E427" s="79"/>
      <c r="O427" s="79"/>
      <c r="S427" s="79"/>
      <c r="T427" s="79"/>
      <c r="Y427" s="79"/>
      <c r="AE427" s="130"/>
      <c r="AG427" s="106"/>
    </row>
    <row r="428">
      <c r="C428" s="79"/>
      <c r="D428" s="79"/>
      <c r="E428" s="79"/>
      <c r="O428" s="79"/>
      <c r="S428" s="79"/>
      <c r="T428" s="79"/>
      <c r="Y428" s="79"/>
      <c r="AE428" s="130"/>
      <c r="AG428" s="106"/>
    </row>
    <row r="429">
      <c r="C429" s="79"/>
      <c r="D429" s="79"/>
      <c r="E429" s="79"/>
      <c r="O429" s="79"/>
      <c r="S429" s="79"/>
      <c r="T429" s="79"/>
      <c r="Y429" s="79"/>
      <c r="AE429" s="130"/>
      <c r="AG429" s="106"/>
    </row>
    <row r="430">
      <c r="C430" s="79"/>
      <c r="D430" s="79"/>
      <c r="E430" s="79"/>
      <c r="O430" s="79"/>
      <c r="S430" s="79"/>
      <c r="T430" s="79"/>
      <c r="Y430" s="79"/>
      <c r="AE430" s="130"/>
      <c r="AG430" s="106"/>
    </row>
    <row r="431">
      <c r="C431" s="79"/>
      <c r="D431" s="79"/>
      <c r="E431" s="79"/>
      <c r="O431" s="79"/>
      <c r="S431" s="79"/>
      <c r="T431" s="79"/>
      <c r="Y431" s="79"/>
      <c r="AE431" s="130"/>
      <c r="AG431" s="106"/>
    </row>
    <row r="432">
      <c r="C432" s="79"/>
      <c r="D432" s="79"/>
      <c r="E432" s="79"/>
      <c r="O432" s="79"/>
      <c r="S432" s="79"/>
      <c r="T432" s="79"/>
      <c r="Y432" s="79"/>
      <c r="AE432" s="130"/>
      <c r="AG432" s="106"/>
    </row>
    <row r="433">
      <c r="C433" s="79"/>
      <c r="D433" s="79"/>
      <c r="E433" s="79"/>
      <c r="O433" s="79"/>
      <c r="S433" s="79"/>
      <c r="T433" s="79"/>
      <c r="Y433" s="79"/>
      <c r="AE433" s="130"/>
      <c r="AG433" s="106"/>
    </row>
    <row r="434">
      <c r="C434" s="79"/>
      <c r="D434" s="79"/>
      <c r="E434" s="79"/>
      <c r="O434" s="79"/>
      <c r="S434" s="79"/>
      <c r="T434" s="79"/>
      <c r="Y434" s="79"/>
      <c r="AE434" s="130"/>
      <c r="AG434" s="106"/>
    </row>
    <row r="435">
      <c r="C435" s="79"/>
      <c r="D435" s="79"/>
      <c r="E435" s="79"/>
      <c r="O435" s="79"/>
      <c r="S435" s="79"/>
      <c r="T435" s="79"/>
      <c r="Y435" s="79"/>
      <c r="AE435" s="130"/>
      <c r="AG435" s="106"/>
    </row>
    <row r="436">
      <c r="C436" s="79"/>
      <c r="D436" s="79"/>
      <c r="E436" s="79"/>
      <c r="O436" s="79"/>
      <c r="S436" s="79"/>
      <c r="T436" s="79"/>
      <c r="Y436" s="79"/>
      <c r="AE436" s="130"/>
      <c r="AG436" s="106"/>
    </row>
    <row r="437">
      <c r="C437" s="79"/>
      <c r="D437" s="79"/>
      <c r="E437" s="79"/>
      <c r="O437" s="79"/>
      <c r="S437" s="79"/>
      <c r="T437" s="79"/>
      <c r="Y437" s="79"/>
      <c r="AE437" s="130"/>
      <c r="AG437" s="106"/>
    </row>
    <row r="438">
      <c r="C438" s="79"/>
      <c r="D438" s="79"/>
      <c r="E438" s="79"/>
      <c r="O438" s="79"/>
      <c r="S438" s="79"/>
      <c r="T438" s="79"/>
      <c r="Y438" s="79"/>
      <c r="AE438" s="130"/>
      <c r="AG438" s="106"/>
    </row>
    <row r="439">
      <c r="C439" s="79"/>
      <c r="D439" s="79"/>
      <c r="E439" s="79"/>
      <c r="O439" s="79"/>
      <c r="S439" s="79"/>
      <c r="T439" s="79"/>
      <c r="Y439" s="79"/>
      <c r="AE439" s="130"/>
      <c r="AG439" s="106"/>
    </row>
    <row r="440">
      <c r="C440" s="79"/>
      <c r="D440" s="79"/>
      <c r="E440" s="79"/>
      <c r="O440" s="79"/>
      <c r="S440" s="79"/>
      <c r="T440" s="79"/>
      <c r="Y440" s="79"/>
      <c r="AE440" s="130"/>
      <c r="AG440" s="106"/>
    </row>
    <row r="441">
      <c r="C441" s="79"/>
      <c r="D441" s="79"/>
      <c r="E441" s="79"/>
      <c r="O441" s="79"/>
      <c r="S441" s="79"/>
      <c r="T441" s="79"/>
      <c r="Y441" s="79"/>
      <c r="AE441" s="130"/>
      <c r="AG441" s="106"/>
    </row>
    <row r="442">
      <c r="C442" s="79"/>
      <c r="D442" s="79"/>
      <c r="E442" s="79"/>
      <c r="O442" s="79"/>
      <c r="S442" s="79"/>
      <c r="T442" s="79"/>
      <c r="Y442" s="79"/>
      <c r="AE442" s="130"/>
      <c r="AG442" s="106"/>
    </row>
    <row r="443">
      <c r="C443" s="79"/>
      <c r="D443" s="79"/>
      <c r="E443" s="79"/>
      <c r="O443" s="79"/>
      <c r="S443" s="79"/>
      <c r="T443" s="79"/>
      <c r="Y443" s="79"/>
      <c r="AE443" s="130"/>
      <c r="AG443" s="106"/>
    </row>
    <row r="444">
      <c r="C444" s="79"/>
      <c r="D444" s="79"/>
      <c r="E444" s="79"/>
      <c r="O444" s="79"/>
      <c r="S444" s="79"/>
      <c r="T444" s="79"/>
      <c r="Y444" s="79"/>
      <c r="AE444" s="130"/>
      <c r="AG444" s="106"/>
    </row>
    <row r="445">
      <c r="C445" s="79"/>
      <c r="D445" s="79"/>
      <c r="E445" s="79"/>
      <c r="O445" s="79"/>
      <c r="S445" s="79"/>
      <c r="T445" s="79"/>
      <c r="Y445" s="79"/>
      <c r="AE445" s="130"/>
      <c r="AG445" s="106"/>
    </row>
    <row r="446">
      <c r="C446" s="79"/>
      <c r="D446" s="79"/>
      <c r="E446" s="79"/>
      <c r="O446" s="79"/>
      <c r="S446" s="79"/>
      <c r="T446" s="79"/>
      <c r="Y446" s="79"/>
      <c r="AE446" s="130"/>
      <c r="AG446" s="106"/>
    </row>
    <row r="447">
      <c r="C447" s="79"/>
      <c r="D447" s="79"/>
      <c r="E447" s="79"/>
      <c r="O447" s="79"/>
      <c r="S447" s="79"/>
      <c r="T447" s="79"/>
      <c r="Y447" s="79"/>
      <c r="AE447" s="130"/>
      <c r="AG447" s="106"/>
    </row>
    <row r="448">
      <c r="C448" s="79"/>
      <c r="D448" s="79"/>
      <c r="E448" s="79"/>
      <c r="O448" s="79"/>
      <c r="S448" s="79"/>
      <c r="T448" s="79"/>
      <c r="Y448" s="79"/>
      <c r="AE448" s="130"/>
      <c r="AG448" s="106"/>
    </row>
    <row r="449">
      <c r="C449" s="79"/>
      <c r="D449" s="79"/>
      <c r="E449" s="79"/>
      <c r="O449" s="79"/>
      <c r="S449" s="79"/>
      <c r="T449" s="79"/>
      <c r="Y449" s="79"/>
      <c r="AE449" s="130"/>
      <c r="AG449" s="106"/>
    </row>
    <row r="450">
      <c r="C450" s="79"/>
      <c r="D450" s="79"/>
      <c r="E450" s="79"/>
      <c r="O450" s="79"/>
      <c r="S450" s="79"/>
      <c r="T450" s="79"/>
      <c r="Y450" s="79"/>
      <c r="AE450" s="130"/>
      <c r="AG450" s="106"/>
    </row>
    <row r="451">
      <c r="C451" s="79"/>
      <c r="D451" s="79"/>
      <c r="E451" s="79"/>
      <c r="O451" s="79"/>
      <c r="S451" s="79"/>
      <c r="T451" s="79"/>
      <c r="Y451" s="79"/>
      <c r="AE451" s="130"/>
      <c r="AG451" s="106"/>
    </row>
    <row r="452">
      <c r="C452" s="79"/>
      <c r="D452" s="79"/>
      <c r="E452" s="79"/>
      <c r="O452" s="79"/>
      <c r="S452" s="79"/>
      <c r="T452" s="79"/>
      <c r="Y452" s="79"/>
      <c r="AE452" s="130"/>
      <c r="AG452" s="106"/>
    </row>
    <row r="453">
      <c r="C453" s="79"/>
      <c r="D453" s="79"/>
      <c r="E453" s="79"/>
      <c r="O453" s="79"/>
      <c r="S453" s="79"/>
      <c r="T453" s="79"/>
      <c r="Y453" s="79"/>
      <c r="AE453" s="130"/>
      <c r="AG453" s="106"/>
    </row>
    <row r="454">
      <c r="C454" s="79"/>
      <c r="D454" s="79"/>
      <c r="E454" s="79"/>
      <c r="O454" s="79"/>
      <c r="S454" s="79"/>
      <c r="T454" s="79"/>
      <c r="Y454" s="79"/>
      <c r="AE454" s="130"/>
      <c r="AG454" s="106"/>
    </row>
    <row r="455">
      <c r="C455" s="79"/>
      <c r="D455" s="79"/>
      <c r="E455" s="79"/>
      <c r="O455" s="79"/>
      <c r="S455" s="79"/>
      <c r="T455" s="79"/>
      <c r="Y455" s="79"/>
      <c r="AE455" s="130"/>
      <c r="AG455" s="106"/>
    </row>
    <row r="456">
      <c r="C456" s="79"/>
      <c r="D456" s="79"/>
      <c r="E456" s="79"/>
      <c r="O456" s="79"/>
      <c r="S456" s="79"/>
      <c r="T456" s="79"/>
      <c r="Y456" s="79"/>
      <c r="AE456" s="130"/>
      <c r="AG456" s="106"/>
    </row>
    <row r="457">
      <c r="C457" s="79"/>
      <c r="D457" s="79"/>
      <c r="E457" s="79"/>
      <c r="O457" s="79"/>
      <c r="S457" s="79"/>
      <c r="T457" s="79"/>
      <c r="Y457" s="79"/>
      <c r="AE457" s="130"/>
      <c r="AG457" s="106"/>
    </row>
    <row r="458">
      <c r="C458" s="79"/>
      <c r="D458" s="79"/>
      <c r="E458" s="79"/>
      <c r="O458" s="79"/>
      <c r="S458" s="79"/>
      <c r="T458" s="79"/>
      <c r="Y458" s="79"/>
      <c r="AE458" s="130"/>
      <c r="AG458" s="106"/>
    </row>
    <row r="459">
      <c r="C459" s="79"/>
      <c r="D459" s="79"/>
      <c r="E459" s="79"/>
      <c r="O459" s="79"/>
      <c r="S459" s="79"/>
      <c r="T459" s="79"/>
      <c r="Y459" s="79"/>
      <c r="AE459" s="130"/>
      <c r="AG459" s="106"/>
    </row>
    <row r="460">
      <c r="C460" s="79"/>
      <c r="D460" s="79"/>
      <c r="E460" s="79"/>
      <c r="O460" s="79"/>
      <c r="S460" s="79"/>
      <c r="T460" s="79"/>
      <c r="Y460" s="79"/>
      <c r="AE460" s="130"/>
      <c r="AG460" s="106"/>
    </row>
    <row r="461">
      <c r="C461" s="79"/>
      <c r="D461" s="79"/>
      <c r="E461" s="79"/>
      <c r="O461" s="79"/>
      <c r="S461" s="79"/>
      <c r="T461" s="79"/>
      <c r="Y461" s="79"/>
      <c r="AE461" s="130"/>
      <c r="AG461" s="106"/>
    </row>
    <row r="462">
      <c r="C462" s="79"/>
      <c r="D462" s="79"/>
      <c r="E462" s="79"/>
      <c r="O462" s="79"/>
      <c r="S462" s="79"/>
      <c r="T462" s="79"/>
      <c r="Y462" s="79"/>
      <c r="AE462" s="130"/>
      <c r="AG462" s="106"/>
    </row>
    <row r="463">
      <c r="C463" s="79"/>
      <c r="D463" s="79"/>
      <c r="E463" s="79"/>
      <c r="O463" s="79"/>
      <c r="S463" s="79"/>
      <c r="T463" s="79"/>
      <c r="Y463" s="79"/>
      <c r="AE463" s="130"/>
      <c r="AG463" s="106"/>
    </row>
    <row r="464">
      <c r="C464" s="79"/>
      <c r="D464" s="79"/>
      <c r="E464" s="79"/>
      <c r="O464" s="79"/>
      <c r="S464" s="79"/>
      <c r="T464" s="79"/>
      <c r="Y464" s="79"/>
      <c r="AE464" s="130"/>
      <c r="AG464" s="106"/>
    </row>
    <row r="465">
      <c r="C465" s="79"/>
      <c r="D465" s="79"/>
      <c r="E465" s="79"/>
      <c r="O465" s="79"/>
      <c r="S465" s="79"/>
      <c r="T465" s="79"/>
      <c r="Y465" s="79"/>
      <c r="AE465" s="130"/>
      <c r="AG465" s="106"/>
    </row>
    <row r="466">
      <c r="C466" s="79"/>
      <c r="D466" s="79"/>
      <c r="E466" s="79"/>
      <c r="O466" s="79"/>
      <c r="S466" s="79"/>
      <c r="T466" s="79"/>
      <c r="Y466" s="79"/>
      <c r="AE466" s="130"/>
      <c r="AG466" s="106"/>
    </row>
    <row r="467">
      <c r="C467" s="79"/>
      <c r="D467" s="79"/>
      <c r="E467" s="79"/>
      <c r="O467" s="79"/>
      <c r="S467" s="79"/>
      <c r="T467" s="79"/>
      <c r="Y467" s="79"/>
      <c r="AE467" s="130"/>
      <c r="AG467" s="106"/>
    </row>
    <row r="468">
      <c r="C468" s="79"/>
      <c r="D468" s="79"/>
      <c r="E468" s="79"/>
      <c r="O468" s="79"/>
      <c r="S468" s="79"/>
      <c r="T468" s="79"/>
      <c r="Y468" s="79"/>
      <c r="AE468" s="130"/>
      <c r="AG468" s="106"/>
    </row>
    <row r="469">
      <c r="C469" s="79"/>
      <c r="D469" s="79"/>
      <c r="E469" s="79"/>
      <c r="O469" s="79"/>
      <c r="S469" s="79"/>
      <c r="T469" s="79"/>
      <c r="Y469" s="79"/>
      <c r="AE469" s="130"/>
      <c r="AG469" s="106"/>
    </row>
    <row r="470">
      <c r="C470" s="79"/>
      <c r="D470" s="79"/>
      <c r="E470" s="79"/>
      <c r="O470" s="79"/>
      <c r="S470" s="79"/>
      <c r="T470" s="79"/>
      <c r="Y470" s="79"/>
      <c r="AE470" s="130"/>
      <c r="AG470" s="106"/>
    </row>
    <row r="471">
      <c r="C471" s="79"/>
      <c r="D471" s="79"/>
      <c r="E471" s="79"/>
      <c r="O471" s="79"/>
      <c r="S471" s="79"/>
      <c r="T471" s="79"/>
      <c r="Y471" s="79"/>
      <c r="AE471" s="130"/>
      <c r="AG471" s="106"/>
    </row>
    <row r="472">
      <c r="C472" s="79"/>
      <c r="D472" s="79"/>
      <c r="E472" s="79"/>
      <c r="O472" s="79"/>
      <c r="S472" s="79"/>
      <c r="T472" s="79"/>
      <c r="Y472" s="79"/>
      <c r="AE472" s="130"/>
      <c r="AG472" s="106"/>
    </row>
    <row r="473">
      <c r="C473" s="79"/>
      <c r="D473" s="79"/>
      <c r="E473" s="79"/>
      <c r="O473" s="79"/>
      <c r="S473" s="79"/>
      <c r="T473" s="79"/>
      <c r="Y473" s="79"/>
      <c r="AE473" s="130"/>
      <c r="AG473" s="106"/>
    </row>
    <row r="474">
      <c r="C474" s="79"/>
      <c r="D474" s="79"/>
      <c r="E474" s="79"/>
      <c r="O474" s="79"/>
      <c r="S474" s="79"/>
      <c r="T474" s="79"/>
      <c r="Y474" s="79"/>
      <c r="AE474" s="130"/>
      <c r="AG474" s="106"/>
    </row>
    <row r="475">
      <c r="C475" s="79"/>
      <c r="D475" s="79"/>
      <c r="E475" s="79"/>
      <c r="O475" s="79"/>
      <c r="S475" s="79"/>
      <c r="T475" s="79"/>
      <c r="Y475" s="79"/>
      <c r="AE475" s="130"/>
      <c r="AG475" s="106"/>
    </row>
    <row r="476">
      <c r="C476" s="79"/>
      <c r="D476" s="79"/>
      <c r="E476" s="79"/>
      <c r="O476" s="79"/>
      <c r="S476" s="79"/>
      <c r="T476" s="79"/>
      <c r="Y476" s="79"/>
      <c r="AE476" s="130"/>
      <c r="AG476" s="106"/>
    </row>
    <row r="477">
      <c r="C477" s="79"/>
      <c r="D477" s="79"/>
      <c r="E477" s="79"/>
      <c r="O477" s="79"/>
      <c r="S477" s="79"/>
      <c r="T477" s="79"/>
      <c r="Y477" s="79"/>
      <c r="AE477" s="130"/>
      <c r="AG477" s="106"/>
    </row>
    <row r="478">
      <c r="C478" s="79"/>
      <c r="D478" s="79"/>
      <c r="E478" s="79"/>
      <c r="O478" s="79"/>
      <c r="S478" s="79"/>
      <c r="T478" s="79"/>
      <c r="Y478" s="79"/>
      <c r="AE478" s="130"/>
      <c r="AG478" s="106"/>
    </row>
    <row r="479">
      <c r="C479" s="79"/>
      <c r="D479" s="79"/>
      <c r="E479" s="79"/>
      <c r="O479" s="79"/>
      <c r="S479" s="79"/>
      <c r="T479" s="79"/>
      <c r="Y479" s="79"/>
      <c r="AE479" s="130"/>
      <c r="AG479" s="106"/>
    </row>
    <row r="480">
      <c r="C480" s="79"/>
      <c r="D480" s="79"/>
      <c r="E480" s="79"/>
      <c r="O480" s="79"/>
      <c r="S480" s="79"/>
      <c r="T480" s="79"/>
      <c r="Y480" s="79"/>
      <c r="AE480" s="130"/>
      <c r="AG480" s="106"/>
    </row>
    <row r="481">
      <c r="C481" s="79"/>
      <c r="D481" s="79"/>
      <c r="E481" s="79"/>
      <c r="O481" s="79"/>
      <c r="S481" s="79"/>
      <c r="T481" s="79"/>
      <c r="Y481" s="79"/>
      <c r="AE481" s="130"/>
      <c r="AG481" s="106"/>
    </row>
    <row r="482">
      <c r="C482" s="79"/>
      <c r="D482" s="79"/>
      <c r="E482" s="79"/>
      <c r="O482" s="79"/>
      <c r="S482" s="79"/>
      <c r="T482" s="79"/>
      <c r="Y482" s="79"/>
      <c r="AE482" s="130"/>
      <c r="AG482" s="106"/>
    </row>
    <row r="483">
      <c r="C483" s="79"/>
      <c r="D483" s="79"/>
      <c r="E483" s="79"/>
      <c r="O483" s="79"/>
      <c r="S483" s="79"/>
      <c r="T483" s="79"/>
      <c r="Y483" s="79"/>
      <c r="AE483" s="130"/>
      <c r="AG483" s="106"/>
    </row>
    <row r="484">
      <c r="C484" s="79"/>
      <c r="D484" s="79"/>
      <c r="E484" s="79"/>
      <c r="O484" s="79"/>
      <c r="S484" s="79"/>
      <c r="T484" s="79"/>
      <c r="Y484" s="79"/>
      <c r="AE484" s="130"/>
      <c r="AG484" s="106"/>
    </row>
    <row r="485">
      <c r="C485" s="79"/>
      <c r="D485" s="79"/>
      <c r="E485" s="79"/>
      <c r="O485" s="79"/>
      <c r="S485" s="79"/>
      <c r="T485" s="79"/>
      <c r="Y485" s="79"/>
      <c r="AE485" s="130"/>
      <c r="AG485" s="106"/>
    </row>
    <row r="486">
      <c r="C486" s="79"/>
      <c r="D486" s="79"/>
      <c r="E486" s="79"/>
      <c r="O486" s="79"/>
      <c r="S486" s="79"/>
      <c r="T486" s="79"/>
      <c r="Y486" s="79"/>
      <c r="AE486" s="130"/>
      <c r="AG486" s="106"/>
    </row>
    <row r="487">
      <c r="C487" s="79"/>
      <c r="D487" s="79"/>
      <c r="E487" s="79"/>
      <c r="O487" s="79"/>
      <c r="S487" s="79"/>
      <c r="T487" s="79"/>
      <c r="Y487" s="79"/>
      <c r="AE487" s="130"/>
      <c r="AG487" s="106"/>
    </row>
    <row r="488">
      <c r="C488" s="79"/>
      <c r="D488" s="79"/>
      <c r="E488" s="79"/>
      <c r="O488" s="79"/>
      <c r="S488" s="79"/>
      <c r="T488" s="79"/>
      <c r="Y488" s="79"/>
      <c r="AE488" s="130"/>
      <c r="AG488" s="106"/>
    </row>
    <row r="489">
      <c r="C489" s="79"/>
      <c r="D489" s="79"/>
      <c r="E489" s="79"/>
      <c r="O489" s="79"/>
      <c r="S489" s="79"/>
      <c r="T489" s="79"/>
      <c r="Y489" s="79"/>
      <c r="AE489" s="130"/>
      <c r="AG489" s="106"/>
    </row>
    <row r="490">
      <c r="C490" s="79"/>
      <c r="D490" s="79"/>
      <c r="E490" s="79"/>
      <c r="O490" s="79"/>
      <c r="S490" s="79"/>
      <c r="T490" s="79"/>
      <c r="Y490" s="79"/>
      <c r="AE490" s="130"/>
      <c r="AG490" s="106"/>
    </row>
    <row r="491">
      <c r="C491" s="79"/>
      <c r="D491" s="79"/>
      <c r="E491" s="79"/>
      <c r="O491" s="79"/>
      <c r="S491" s="79"/>
      <c r="T491" s="79"/>
      <c r="Y491" s="79"/>
      <c r="AE491" s="130"/>
      <c r="AG491" s="106"/>
    </row>
    <row r="492">
      <c r="C492" s="79"/>
      <c r="D492" s="79"/>
      <c r="E492" s="79"/>
      <c r="O492" s="79"/>
      <c r="S492" s="79"/>
      <c r="T492" s="79"/>
      <c r="Y492" s="79"/>
      <c r="AE492" s="130"/>
      <c r="AG492" s="106"/>
    </row>
    <row r="493">
      <c r="C493" s="79"/>
      <c r="D493" s="79"/>
      <c r="E493" s="79"/>
      <c r="O493" s="79"/>
      <c r="S493" s="79"/>
      <c r="T493" s="79"/>
      <c r="Y493" s="79"/>
      <c r="AE493" s="130"/>
      <c r="AG493" s="106"/>
    </row>
    <row r="494">
      <c r="C494" s="79"/>
      <c r="D494" s="79"/>
      <c r="E494" s="79"/>
      <c r="O494" s="79"/>
      <c r="S494" s="79"/>
      <c r="T494" s="79"/>
      <c r="Y494" s="79"/>
      <c r="AE494" s="130"/>
      <c r="AG494" s="106"/>
    </row>
    <row r="495">
      <c r="C495" s="79"/>
      <c r="D495" s="79"/>
      <c r="E495" s="79"/>
      <c r="O495" s="79"/>
      <c r="S495" s="79"/>
      <c r="T495" s="79"/>
      <c r="Y495" s="79"/>
      <c r="AE495" s="130"/>
      <c r="AG495" s="106"/>
    </row>
    <row r="496">
      <c r="C496" s="79"/>
      <c r="D496" s="79"/>
      <c r="E496" s="79"/>
      <c r="O496" s="79"/>
      <c r="S496" s="79"/>
      <c r="T496" s="79"/>
      <c r="Y496" s="79"/>
      <c r="AE496" s="130"/>
      <c r="AG496" s="106"/>
    </row>
    <row r="497">
      <c r="C497" s="79"/>
      <c r="D497" s="79"/>
      <c r="E497" s="79"/>
      <c r="O497" s="79"/>
      <c r="S497" s="79"/>
      <c r="T497" s="79"/>
      <c r="Y497" s="79"/>
      <c r="AE497" s="130"/>
      <c r="AG497" s="106"/>
    </row>
    <row r="498">
      <c r="C498" s="79"/>
      <c r="D498" s="79"/>
      <c r="E498" s="79"/>
      <c r="O498" s="79"/>
      <c r="S498" s="79"/>
      <c r="T498" s="79"/>
      <c r="Y498" s="79"/>
      <c r="AE498" s="130"/>
      <c r="AG498" s="106"/>
    </row>
    <row r="499">
      <c r="C499" s="79"/>
      <c r="D499" s="79"/>
      <c r="E499" s="79"/>
      <c r="O499" s="79"/>
      <c r="S499" s="79"/>
      <c r="T499" s="79"/>
      <c r="Y499" s="79"/>
      <c r="AE499" s="130"/>
      <c r="AG499" s="106"/>
    </row>
    <row r="500">
      <c r="C500" s="79"/>
      <c r="D500" s="79"/>
      <c r="E500" s="79"/>
      <c r="O500" s="79"/>
      <c r="S500" s="79"/>
      <c r="T500" s="79"/>
      <c r="Y500" s="79"/>
      <c r="AE500" s="130"/>
      <c r="AG500" s="106"/>
    </row>
    <row r="501">
      <c r="C501" s="79"/>
      <c r="D501" s="79"/>
      <c r="E501" s="79"/>
      <c r="O501" s="79"/>
      <c r="S501" s="79"/>
      <c r="T501" s="79"/>
      <c r="Y501" s="79"/>
      <c r="AE501" s="130"/>
      <c r="AG501" s="106"/>
    </row>
    <row r="502">
      <c r="C502" s="79"/>
      <c r="D502" s="79"/>
      <c r="E502" s="79"/>
      <c r="O502" s="79"/>
      <c r="S502" s="79"/>
      <c r="T502" s="79"/>
      <c r="Y502" s="79"/>
      <c r="AE502" s="130"/>
      <c r="AG502" s="106"/>
    </row>
    <row r="503">
      <c r="C503" s="79"/>
      <c r="D503" s="79"/>
      <c r="E503" s="79"/>
      <c r="O503" s="79"/>
      <c r="S503" s="79"/>
      <c r="T503" s="79"/>
      <c r="Y503" s="79"/>
      <c r="AE503" s="130"/>
      <c r="AG503" s="106"/>
    </row>
    <row r="504">
      <c r="C504" s="79"/>
      <c r="D504" s="79"/>
      <c r="E504" s="79"/>
      <c r="O504" s="79"/>
      <c r="S504" s="79"/>
      <c r="T504" s="79"/>
      <c r="Y504" s="79"/>
      <c r="AE504" s="130"/>
      <c r="AG504" s="106"/>
    </row>
    <row r="505">
      <c r="C505" s="79"/>
      <c r="D505" s="79"/>
      <c r="E505" s="79"/>
      <c r="O505" s="79"/>
      <c r="S505" s="79"/>
      <c r="T505" s="79"/>
      <c r="Y505" s="79"/>
      <c r="AE505" s="130"/>
      <c r="AG505" s="106"/>
    </row>
    <row r="506">
      <c r="C506" s="79"/>
      <c r="D506" s="79"/>
      <c r="E506" s="79"/>
      <c r="O506" s="79"/>
      <c r="S506" s="79"/>
      <c r="T506" s="79"/>
      <c r="Y506" s="79"/>
      <c r="AE506" s="130"/>
      <c r="AG506" s="106"/>
    </row>
    <row r="507">
      <c r="C507" s="79"/>
      <c r="D507" s="79"/>
      <c r="E507" s="79"/>
      <c r="O507" s="79"/>
      <c r="S507" s="79"/>
      <c r="T507" s="79"/>
      <c r="Y507" s="79"/>
      <c r="AE507" s="130"/>
      <c r="AG507" s="106"/>
    </row>
    <row r="508">
      <c r="C508" s="79"/>
      <c r="D508" s="79"/>
      <c r="E508" s="79"/>
      <c r="O508" s="79"/>
      <c r="S508" s="79"/>
      <c r="T508" s="79"/>
      <c r="Y508" s="79"/>
      <c r="AE508" s="130"/>
      <c r="AG508" s="106"/>
    </row>
    <row r="509">
      <c r="C509" s="79"/>
      <c r="D509" s="79"/>
      <c r="E509" s="79"/>
      <c r="O509" s="79"/>
      <c r="S509" s="79"/>
      <c r="T509" s="79"/>
      <c r="Y509" s="79"/>
      <c r="AE509" s="130"/>
      <c r="AG509" s="106"/>
    </row>
    <row r="510">
      <c r="C510" s="79"/>
      <c r="D510" s="79"/>
      <c r="E510" s="79"/>
      <c r="O510" s="79"/>
      <c r="S510" s="79"/>
      <c r="T510" s="79"/>
      <c r="Y510" s="79"/>
      <c r="AE510" s="130"/>
      <c r="AG510" s="106"/>
    </row>
    <row r="511">
      <c r="C511" s="79"/>
      <c r="D511" s="79"/>
      <c r="E511" s="79"/>
      <c r="O511" s="79"/>
      <c r="S511" s="79"/>
      <c r="T511" s="79"/>
      <c r="Y511" s="79"/>
      <c r="AE511" s="130"/>
      <c r="AG511" s="106"/>
    </row>
    <row r="512">
      <c r="C512" s="79"/>
      <c r="D512" s="79"/>
      <c r="E512" s="79"/>
      <c r="O512" s="79"/>
      <c r="S512" s="79"/>
      <c r="T512" s="79"/>
      <c r="Y512" s="79"/>
      <c r="AE512" s="130"/>
      <c r="AG512" s="106"/>
    </row>
    <row r="513">
      <c r="C513" s="79"/>
      <c r="D513" s="79"/>
      <c r="E513" s="79"/>
      <c r="O513" s="79"/>
      <c r="S513" s="79"/>
      <c r="T513" s="79"/>
      <c r="Y513" s="79"/>
      <c r="AE513" s="130"/>
      <c r="AG513" s="106"/>
    </row>
    <row r="514">
      <c r="C514" s="79"/>
      <c r="D514" s="79"/>
      <c r="E514" s="79"/>
      <c r="O514" s="79"/>
      <c r="S514" s="79"/>
      <c r="T514" s="79"/>
      <c r="Y514" s="79"/>
      <c r="AE514" s="130"/>
      <c r="AG514" s="106"/>
    </row>
    <row r="515">
      <c r="C515" s="79"/>
      <c r="D515" s="79"/>
      <c r="E515" s="79"/>
      <c r="O515" s="79"/>
      <c r="S515" s="79"/>
      <c r="T515" s="79"/>
      <c r="Y515" s="79"/>
      <c r="AE515" s="130"/>
      <c r="AG515" s="106"/>
    </row>
    <row r="516">
      <c r="C516" s="79"/>
      <c r="D516" s="79"/>
      <c r="E516" s="79"/>
      <c r="O516" s="79"/>
      <c r="S516" s="79"/>
      <c r="T516" s="79"/>
      <c r="Y516" s="79"/>
      <c r="AE516" s="130"/>
      <c r="AG516" s="106"/>
    </row>
    <row r="517">
      <c r="C517" s="79"/>
      <c r="D517" s="79"/>
      <c r="E517" s="79"/>
      <c r="O517" s="79"/>
      <c r="S517" s="79"/>
      <c r="T517" s="79"/>
      <c r="Y517" s="79"/>
      <c r="AE517" s="130"/>
      <c r="AG517" s="106"/>
    </row>
    <row r="518">
      <c r="C518" s="79"/>
      <c r="D518" s="79"/>
      <c r="E518" s="79"/>
      <c r="O518" s="79"/>
      <c r="S518" s="79"/>
      <c r="T518" s="79"/>
      <c r="Y518" s="79"/>
      <c r="AE518" s="130"/>
      <c r="AG518" s="106"/>
    </row>
    <row r="519">
      <c r="C519" s="79"/>
      <c r="D519" s="79"/>
      <c r="E519" s="79"/>
      <c r="O519" s="79"/>
      <c r="S519" s="79"/>
      <c r="T519" s="79"/>
      <c r="Y519" s="79"/>
      <c r="AE519" s="130"/>
      <c r="AG519" s="106"/>
    </row>
    <row r="520">
      <c r="C520" s="79"/>
      <c r="D520" s="79"/>
      <c r="E520" s="79"/>
      <c r="O520" s="79"/>
      <c r="S520" s="79"/>
      <c r="T520" s="79"/>
      <c r="Y520" s="79"/>
      <c r="AE520" s="130"/>
      <c r="AG520" s="106"/>
    </row>
    <row r="521">
      <c r="C521" s="79"/>
      <c r="D521" s="79"/>
      <c r="E521" s="79"/>
      <c r="O521" s="79"/>
      <c r="S521" s="79"/>
      <c r="T521" s="79"/>
      <c r="Y521" s="79"/>
      <c r="AE521" s="130"/>
      <c r="AG521" s="106"/>
    </row>
    <row r="522">
      <c r="C522" s="79"/>
      <c r="D522" s="79"/>
      <c r="E522" s="79"/>
      <c r="O522" s="79"/>
      <c r="S522" s="79"/>
      <c r="T522" s="79"/>
      <c r="Y522" s="79"/>
      <c r="AE522" s="130"/>
      <c r="AG522" s="106"/>
    </row>
    <row r="523">
      <c r="C523" s="79"/>
      <c r="D523" s="79"/>
      <c r="E523" s="79"/>
      <c r="O523" s="79"/>
      <c r="S523" s="79"/>
      <c r="T523" s="79"/>
      <c r="Y523" s="79"/>
      <c r="AE523" s="130"/>
      <c r="AG523" s="106"/>
    </row>
    <row r="524">
      <c r="C524" s="79"/>
      <c r="D524" s="79"/>
      <c r="E524" s="79"/>
      <c r="O524" s="79"/>
      <c r="S524" s="79"/>
      <c r="T524" s="79"/>
      <c r="Y524" s="79"/>
      <c r="AE524" s="130"/>
      <c r="AG524" s="106"/>
    </row>
    <row r="525">
      <c r="C525" s="79"/>
      <c r="D525" s="79"/>
      <c r="E525" s="79"/>
      <c r="O525" s="79"/>
      <c r="S525" s="79"/>
      <c r="T525" s="79"/>
      <c r="Y525" s="79"/>
      <c r="AE525" s="130"/>
      <c r="AG525" s="106"/>
    </row>
    <row r="526">
      <c r="C526" s="79"/>
      <c r="D526" s="79"/>
      <c r="E526" s="79"/>
      <c r="O526" s="79"/>
      <c r="S526" s="79"/>
      <c r="T526" s="79"/>
      <c r="Y526" s="79"/>
      <c r="AE526" s="130"/>
      <c r="AG526" s="106"/>
    </row>
    <row r="527">
      <c r="C527" s="79"/>
      <c r="D527" s="79"/>
      <c r="E527" s="79"/>
      <c r="O527" s="79"/>
      <c r="S527" s="79"/>
      <c r="T527" s="79"/>
      <c r="Y527" s="79"/>
      <c r="AE527" s="130"/>
      <c r="AG527" s="106"/>
    </row>
    <row r="528">
      <c r="C528" s="79"/>
      <c r="D528" s="79"/>
      <c r="E528" s="79"/>
      <c r="O528" s="79"/>
      <c r="S528" s="79"/>
      <c r="T528" s="79"/>
      <c r="Y528" s="79"/>
      <c r="AE528" s="130"/>
      <c r="AG528" s="106"/>
    </row>
    <row r="529">
      <c r="C529" s="79"/>
      <c r="D529" s="79"/>
      <c r="E529" s="79"/>
      <c r="O529" s="79"/>
      <c r="S529" s="79"/>
      <c r="T529" s="79"/>
      <c r="Y529" s="79"/>
      <c r="AE529" s="130"/>
      <c r="AG529" s="106"/>
    </row>
    <row r="530">
      <c r="C530" s="79"/>
      <c r="D530" s="79"/>
      <c r="E530" s="79"/>
      <c r="O530" s="79"/>
      <c r="S530" s="79"/>
      <c r="T530" s="79"/>
      <c r="Y530" s="79"/>
      <c r="AE530" s="130"/>
      <c r="AG530" s="106"/>
    </row>
    <row r="531">
      <c r="C531" s="79"/>
      <c r="D531" s="79"/>
      <c r="E531" s="79"/>
      <c r="O531" s="79"/>
      <c r="S531" s="79"/>
      <c r="T531" s="79"/>
      <c r="Y531" s="79"/>
      <c r="AE531" s="130"/>
      <c r="AG531" s="106"/>
    </row>
    <row r="532">
      <c r="C532" s="79"/>
      <c r="D532" s="79"/>
      <c r="E532" s="79"/>
      <c r="O532" s="79"/>
      <c r="S532" s="79"/>
      <c r="T532" s="79"/>
      <c r="Y532" s="79"/>
      <c r="AE532" s="130"/>
      <c r="AG532" s="106"/>
    </row>
    <row r="533">
      <c r="C533" s="79"/>
      <c r="D533" s="79"/>
      <c r="E533" s="79"/>
      <c r="O533" s="79"/>
      <c r="S533" s="79"/>
      <c r="T533" s="79"/>
      <c r="Y533" s="79"/>
      <c r="AE533" s="130"/>
      <c r="AG533" s="106"/>
    </row>
    <row r="534">
      <c r="C534" s="79"/>
      <c r="D534" s="79"/>
      <c r="E534" s="79"/>
      <c r="O534" s="79"/>
      <c r="S534" s="79"/>
      <c r="T534" s="79"/>
      <c r="Y534" s="79"/>
      <c r="AE534" s="130"/>
      <c r="AG534" s="106"/>
    </row>
    <row r="535">
      <c r="C535" s="79"/>
      <c r="D535" s="79"/>
      <c r="E535" s="79"/>
      <c r="O535" s="79"/>
      <c r="S535" s="79"/>
      <c r="T535" s="79"/>
      <c r="Y535" s="79"/>
      <c r="AE535" s="130"/>
      <c r="AG535" s="106"/>
    </row>
    <row r="536">
      <c r="C536" s="79"/>
      <c r="D536" s="79"/>
      <c r="E536" s="79"/>
      <c r="O536" s="79"/>
      <c r="S536" s="79"/>
      <c r="T536" s="79"/>
      <c r="Y536" s="79"/>
      <c r="AE536" s="130"/>
      <c r="AG536" s="106"/>
    </row>
    <row r="537">
      <c r="C537" s="79"/>
      <c r="D537" s="79"/>
      <c r="E537" s="79"/>
      <c r="O537" s="79"/>
      <c r="S537" s="79"/>
      <c r="T537" s="79"/>
      <c r="Y537" s="79"/>
      <c r="AE537" s="130"/>
      <c r="AG537" s="106"/>
    </row>
    <row r="538">
      <c r="C538" s="79"/>
      <c r="D538" s="79"/>
      <c r="E538" s="79"/>
      <c r="O538" s="79"/>
      <c r="S538" s="79"/>
      <c r="T538" s="79"/>
      <c r="Y538" s="79"/>
      <c r="AE538" s="130"/>
      <c r="AG538" s="106"/>
    </row>
    <row r="539">
      <c r="C539" s="79"/>
      <c r="D539" s="79"/>
      <c r="E539" s="79"/>
      <c r="O539" s="79"/>
      <c r="S539" s="79"/>
      <c r="T539" s="79"/>
      <c r="Y539" s="79"/>
      <c r="AE539" s="130"/>
      <c r="AG539" s="106"/>
    </row>
    <row r="540">
      <c r="C540" s="79"/>
      <c r="D540" s="79"/>
      <c r="E540" s="79"/>
      <c r="O540" s="79"/>
      <c r="S540" s="79"/>
      <c r="T540" s="79"/>
      <c r="Y540" s="79"/>
      <c r="AE540" s="130"/>
      <c r="AG540" s="106"/>
    </row>
    <row r="541">
      <c r="C541" s="79"/>
      <c r="D541" s="79"/>
      <c r="E541" s="79"/>
      <c r="O541" s="79"/>
      <c r="S541" s="79"/>
      <c r="T541" s="79"/>
      <c r="Y541" s="79"/>
      <c r="AE541" s="130"/>
      <c r="AG541" s="106"/>
    </row>
    <row r="542">
      <c r="C542" s="79"/>
      <c r="D542" s="79"/>
      <c r="E542" s="79"/>
      <c r="O542" s="79"/>
      <c r="S542" s="79"/>
      <c r="T542" s="79"/>
      <c r="Y542" s="79"/>
      <c r="AE542" s="130"/>
      <c r="AG542" s="106"/>
    </row>
    <row r="543">
      <c r="C543" s="79"/>
      <c r="D543" s="79"/>
      <c r="E543" s="79"/>
      <c r="O543" s="79"/>
      <c r="S543" s="79"/>
      <c r="T543" s="79"/>
      <c r="Y543" s="79"/>
      <c r="AE543" s="130"/>
      <c r="AG543" s="106"/>
    </row>
    <row r="544">
      <c r="C544" s="79"/>
      <c r="D544" s="79"/>
      <c r="E544" s="79"/>
      <c r="O544" s="79"/>
      <c r="S544" s="79"/>
      <c r="T544" s="79"/>
      <c r="Y544" s="79"/>
      <c r="AE544" s="130"/>
      <c r="AG544" s="106"/>
    </row>
    <row r="545">
      <c r="C545" s="79"/>
      <c r="D545" s="79"/>
      <c r="E545" s="79"/>
      <c r="O545" s="79"/>
      <c r="S545" s="79"/>
      <c r="T545" s="79"/>
      <c r="Y545" s="79"/>
      <c r="AE545" s="130"/>
      <c r="AG545" s="106"/>
    </row>
    <row r="546">
      <c r="C546" s="79"/>
      <c r="D546" s="79"/>
      <c r="E546" s="79"/>
      <c r="O546" s="79"/>
      <c r="S546" s="79"/>
      <c r="T546" s="79"/>
      <c r="Y546" s="79"/>
      <c r="AE546" s="130"/>
      <c r="AG546" s="106"/>
    </row>
    <row r="547">
      <c r="C547" s="79"/>
      <c r="D547" s="79"/>
      <c r="E547" s="79"/>
      <c r="O547" s="79"/>
      <c r="S547" s="79"/>
      <c r="T547" s="79"/>
      <c r="Y547" s="79"/>
      <c r="AE547" s="130"/>
      <c r="AG547" s="106"/>
    </row>
    <row r="548">
      <c r="C548" s="79"/>
      <c r="D548" s="79"/>
      <c r="E548" s="79"/>
      <c r="O548" s="79"/>
      <c r="S548" s="79"/>
      <c r="T548" s="79"/>
      <c r="Y548" s="79"/>
      <c r="AE548" s="130"/>
      <c r="AG548" s="106"/>
    </row>
    <row r="549">
      <c r="C549" s="79"/>
      <c r="D549" s="79"/>
      <c r="E549" s="79"/>
      <c r="O549" s="79"/>
      <c r="S549" s="79"/>
      <c r="T549" s="79"/>
      <c r="Y549" s="79"/>
      <c r="AE549" s="130"/>
      <c r="AG549" s="106"/>
    </row>
    <row r="550">
      <c r="C550" s="79"/>
      <c r="D550" s="79"/>
      <c r="E550" s="79"/>
      <c r="O550" s="79"/>
      <c r="S550" s="79"/>
      <c r="T550" s="79"/>
      <c r="Y550" s="79"/>
      <c r="AE550" s="130"/>
      <c r="AG550" s="106"/>
    </row>
    <row r="551">
      <c r="C551" s="79"/>
      <c r="D551" s="79"/>
      <c r="E551" s="79"/>
      <c r="O551" s="79"/>
      <c r="S551" s="79"/>
      <c r="T551" s="79"/>
      <c r="Y551" s="79"/>
      <c r="AE551" s="130"/>
      <c r="AG551" s="106"/>
    </row>
    <row r="552">
      <c r="C552" s="79"/>
      <c r="D552" s="79"/>
      <c r="E552" s="79"/>
      <c r="O552" s="79"/>
      <c r="S552" s="79"/>
      <c r="T552" s="79"/>
      <c r="Y552" s="79"/>
      <c r="AE552" s="130"/>
      <c r="AG552" s="106"/>
    </row>
    <row r="553">
      <c r="C553" s="79"/>
      <c r="D553" s="79"/>
      <c r="E553" s="79"/>
      <c r="O553" s="79"/>
      <c r="S553" s="79"/>
      <c r="T553" s="79"/>
      <c r="Y553" s="79"/>
      <c r="AE553" s="130"/>
      <c r="AG553" s="106"/>
    </row>
    <row r="554">
      <c r="C554" s="79"/>
      <c r="D554" s="79"/>
      <c r="E554" s="79"/>
      <c r="O554" s="79"/>
      <c r="S554" s="79"/>
      <c r="T554" s="79"/>
      <c r="Y554" s="79"/>
      <c r="AE554" s="130"/>
      <c r="AG554" s="106"/>
    </row>
    <row r="555">
      <c r="C555" s="79"/>
      <c r="D555" s="79"/>
      <c r="E555" s="79"/>
      <c r="O555" s="79"/>
      <c r="S555" s="79"/>
      <c r="T555" s="79"/>
      <c r="Y555" s="79"/>
      <c r="AE555" s="130"/>
      <c r="AG555" s="106"/>
    </row>
    <row r="556">
      <c r="C556" s="79"/>
      <c r="D556" s="79"/>
      <c r="E556" s="79"/>
      <c r="O556" s="79"/>
      <c r="S556" s="79"/>
      <c r="T556" s="79"/>
      <c r="Y556" s="79"/>
      <c r="AE556" s="130"/>
      <c r="AG556" s="106"/>
    </row>
    <row r="557">
      <c r="C557" s="79"/>
      <c r="D557" s="79"/>
      <c r="E557" s="79"/>
      <c r="O557" s="79"/>
      <c r="S557" s="79"/>
      <c r="T557" s="79"/>
      <c r="Y557" s="79"/>
      <c r="AE557" s="130"/>
      <c r="AG557" s="106"/>
    </row>
    <row r="558">
      <c r="C558" s="79"/>
      <c r="D558" s="79"/>
      <c r="E558" s="79"/>
      <c r="O558" s="79"/>
      <c r="S558" s="79"/>
      <c r="T558" s="79"/>
      <c r="Y558" s="79"/>
      <c r="AE558" s="130"/>
      <c r="AG558" s="106"/>
    </row>
    <row r="559">
      <c r="C559" s="79"/>
      <c r="D559" s="79"/>
      <c r="E559" s="79"/>
      <c r="O559" s="79"/>
      <c r="S559" s="79"/>
      <c r="T559" s="79"/>
      <c r="Y559" s="79"/>
      <c r="AE559" s="130"/>
      <c r="AG559" s="106"/>
    </row>
    <row r="560">
      <c r="C560" s="79"/>
      <c r="D560" s="79"/>
      <c r="E560" s="79"/>
      <c r="O560" s="79"/>
      <c r="S560" s="79"/>
      <c r="T560" s="79"/>
      <c r="Y560" s="79"/>
      <c r="AE560" s="130"/>
      <c r="AG560" s="106"/>
    </row>
    <row r="561">
      <c r="C561" s="79"/>
      <c r="D561" s="79"/>
      <c r="E561" s="79"/>
      <c r="O561" s="79"/>
      <c r="S561" s="79"/>
      <c r="T561" s="79"/>
      <c r="Y561" s="79"/>
      <c r="AE561" s="130"/>
      <c r="AG561" s="106"/>
    </row>
    <row r="562">
      <c r="C562" s="79"/>
      <c r="D562" s="79"/>
      <c r="E562" s="79"/>
      <c r="O562" s="79"/>
      <c r="S562" s="79"/>
      <c r="T562" s="79"/>
      <c r="Y562" s="79"/>
      <c r="AE562" s="130"/>
      <c r="AG562" s="106"/>
    </row>
    <row r="563">
      <c r="C563" s="79"/>
      <c r="D563" s="79"/>
      <c r="E563" s="79"/>
      <c r="O563" s="79"/>
      <c r="S563" s="79"/>
      <c r="T563" s="79"/>
      <c r="Y563" s="79"/>
      <c r="AE563" s="130"/>
      <c r="AG563" s="106"/>
    </row>
    <row r="564">
      <c r="C564" s="79"/>
      <c r="D564" s="79"/>
      <c r="E564" s="79"/>
      <c r="O564" s="79"/>
      <c r="S564" s="79"/>
      <c r="T564" s="79"/>
      <c r="Y564" s="79"/>
      <c r="AE564" s="130"/>
      <c r="AG564" s="106"/>
    </row>
    <row r="565">
      <c r="C565" s="79"/>
      <c r="D565" s="79"/>
      <c r="E565" s="79"/>
      <c r="O565" s="79"/>
      <c r="S565" s="79"/>
      <c r="T565" s="79"/>
      <c r="Y565" s="79"/>
      <c r="AE565" s="130"/>
      <c r="AG565" s="106"/>
    </row>
    <row r="566">
      <c r="C566" s="79"/>
      <c r="D566" s="79"/>
      <c r="E566" s="79"/>
      <c r="O566" s="79"/>
      <c r="S566" s="79"/>
      <c r="T566" s="79"/>
      <c r="Y566" s="79"/>
      <c r="AE566" s="130"/>
      <c r="AG566" s="106"/>
    </row>
    <row r="567">
      <c r="C567" s="79"/>
      <c r="D567" s="79"/>
      <c r="E567" s="79"/>
      <c r="O567" s="79"/>
      <c r="S567" s="79"/>
      <c r="T567" s="79"/>
      <c r="Y567" s="79"/>
      <c r="AE567" s="130"/>
      <c r="AG567" s="106"/>
    </row>
    <row r="568">
      <c r="C568" s="79"/>
      <c r="D568" s="79"/>
      <c r="E568" s="79"/>
      <c r="O568" s="79"/>
      <c r="S568" s="79"/>
      <c r="T568" s="79"/>
      <c r="Y568" s="79"/>
      <c r="AE568" s="130"/>
      <c r="AG568" s="106"/>
    </row>
    <row r="569">
      <c r="C569" s="79"/>
      <c r="D569" s="79"/>
      <c r="E569" s="79"/>
      <c r="O569" s="79"/>
      <c r="S569" s="79"/>
      <c r="T569" s="79"/>
      <c r="Y569" s="79"/>
      <c r="AE569" s="130"/>
      <c r="AG569" s="106"/>
    </row>
    <row r="570">
      <c r="C570" s="79"/>
      <c r="D570" s="79"/>
      <c r="E570" s="79"/>
      <c r="O570" s="79"/>
      <c r="S570" s="79"/>
      <c r="T570" s="79"/>
      <c r="Y570" s="79"/>
      <c r="AE570" s="130"/>
      <c r="AG570" s="106"/>
    </row>
    <row r="571">
      <c r="C571" s="79"/>
      <c r="D571" s="79"/>
      <c r="E571" s="79"/>
      <c r="O571" s="79"/>
      <c r="S571" s="79"/>
      <c r="T571" s="79"/>
      <c r="Y571" s="79"/>
      <c r="AE571" s="130"/>
      <c r="AG571" s="106"/>
    </row>
    <row r="572">
      <c r="C572" s="79"/>
      <c r="D572" s="79"/>
      <c r="E572" s="79"/>
      <c r="O572" s="79"/>
      <c r="S572" s="79"/>
      <c r="T572" s="79"/>
      <c r="Y572" s="79"/>
      <c r="AE572" s="130"/>
      <c r="AG572" s="106"/>
    </row>
    <row r="573">
      <c r="C573" s="79"/>
      <c r="D573" s="79"/>
      <c r="E573" s="79"/>
      <c r="O573" s="79"/>
      <c r="S573" s="79"/>
      <c r="T573" s="79"/>
      <c r="Y573" s="79"/>
      <c r="AE573" s="130"/>
      <c r="AG573" s="106"/>
    </row>
    <row r="574">
      <c r="C574" s="79"/>
      <c r="D574" s="79"/>
      <c r="E574" s="79"/>
      <c r="O574" s="79"/>
      <c r="S574" s="79"/>
      <c r="T574" s="79"/>
      <c r="Y574" s="79"/>
      <c r="AE574" s="130"/>
      <c r="AG574" s="106"/>
    </row>
    <row r="575">
      <c r="C575" s="79"/>
      <c r="D575" s="79"/>
      <c r="E575" s="79"/>
      <c r="O575" s="79"/>
      <c r="S575" s="79"/>
      <c r="T575" s="79"/>
      <c r="Y575" s="79"/>
      <c r="AE575" s="130"/>
      <c r="AG575" s="106"/>
    </row>
    <row r="576">
      <c r="C576" s="79"/>
      <c r="D576" s="79"/>
      <c r="E576" s="79"/>
      <c r="O576" s="79"/>
      <c r="S576" s="79"/>
      <c r="T576" s="79"/>
      <c r="Y576" s="79"/>
      <c r="AE576" s="130"/>
      <c r="AG576" s="106"/>
    </row>
    <row r="577">
      <c r="C577" s="79"/>
      <c r="D577" s="79"/>
      <c r="E577" s="79"/>
      <c r="O577" s="79"/>
      <c r="S577" s="79"/>
      <c r="T577" s="79"/>
      <c r="Y577" s="79"/>
      <c r="AE577" s="130"/>
      <c r="AG577" s="106"/>
    </row>
    <row r="578">
      <c r="C578" s="79"/>
      <c r="D578" s="79"/>
      <c r="E578" s="79"/>
      <c r="O578" s="79"/>
      <c r="S578" s="79"/>
      <c r="T578" s="79"/>
      <c r="Y578" s="79"/>
      <c r="AE578" s="130"/>
      <c r="AG578" s="106"/>
    </row>
    <row r="579">
      <c r="C579" s="79"/>
      <c r="D579" s="79"/>
      <c r="E579" s="79"/>
      <c r="O579" s="79"/>
      <c r="S579" s="79"/>
      <c r="T579" s="79"/>
      <c r="Y579" s="79"/>
      <c r="AE579" s="130"/>
      <c r="AG579" s="106"/>
    </row>
    <row r="580">
      <c r="C580" s="79"/>
      <c r="D580" s="79"/>
      <c r="E580" s="79"/>
      <c r="O580" s="79"/>
      <c r="S580" s="79"/>
      <c r="T580" s="79"/>
      <c r="Y580" s="79"/>
      <c r="AE580" s="130"/>
      <c r="AG580" s="106"/>
    </row>
    <row r="581">
      <c r="C581" s="79"/>
      <c r="D581" s="79"/>
      <c r="E581" s="79"/>
      <c r="O581" s="79"/>
      <c r="S581" s="79"/>
      <c r="T581" s="79"/>
      <c r="Y581" s="79"/>
      <c r="AE581" s="130"/>
      <c r="AG581" s="106"/>
    </row>
    <row r="582">
      <c r="C582" s="79"/>
      <c r="D582" s="79"/>
      <c r="E582" s="79"/>
      <c r="O582" s="79"/>
      <c r="S582" s="79"/>
      <c r="T582" s="79"/>
      <c r="Y582" s="79"/>
      <c r="AE582" s="130"/>
      <c r="AG582" s="106"/>
    </row>
    <row r="583">
      <c r="C583" s="79"/>
      <c r="D583" s="79"/>
      <c r="E583" s="79"/>
      <c r="O583" s="79"/>
      <c r="S583" s="79"/>
      <c r="T583" s="79"/>
      <c r="Y583" s="79"/>
      <c r="AE583" s="130"/>
      <c r="AG583" s="106"/>
    </row>
    <row r="584">
      <c r="C584" s="79"/>
      <c r="D584" s="79"/>
      <c r="E584" s="79"/>
      <c r="O584" s="79"/>
      <c r="S584" s="79"/>
      <c r="T584" s="79"/>
      <c r="Y584" s="79"/>
      <c r="AE584" s="130"/>
      <c r="AG584" s="106"/>
    </row>
    <row r="585">
      <c r="C585" s="79"/>
      <c r="D585" s="79"/>
      <c r="E585" s="79"/>
      <c r="O585" s="79"/>
      <c r="S585" s="79"/>
      <c r="T585" s="79"/>
      <c r="Y585" s="79"/>
      <c r="AE585" s="130"/>
      <c r="AG585" s="106"/>
    </row>
    <row r="586">
      <c r="C586" s="79"/>
      <c r="D586" s="79"/>
      <c r="E586" s="79"/>
      <c r="O586" s="79"/>
      <c r="S586" s="79"/>
      <c r="T586" s="79"/>
      <c r="Y586" s="79"/>
      <c r="AE586" s="130"/>
      <c r="AG586" s="106"/>
    </row>
    <row r="587">
      <c r="C587" s="79"/>
      <c r="D587" s="79"/>
      <c r="E587" s="79"/>
      <c r="O587" s="79"/>
      <c r="S587" s="79"/>
      <c r="T587" s="79"/>
      <c r="Y587" s="79"/>
      <c r="AE587" s="130"/>
      <c r="AG587" s="106"/>
    </row>
    <row r="588">
      <c r="C588" s="79"/>
      <c r="D588" s="79"/>
      <c r="E588" s="79"/>
      <c r="O588" s="79"/>
      <c r="S588" s="79"/>
      <c r="T588" s="79"/>
      <c r="Y588" s="79"/>
      <c r="AE588" s="130"/>
      <c r="AG588" s="106"/>
    </row>
    <row r="589">
      <c r="C589" s="79"/>
      <c r="D589" s="79"/>
      <c r="E589" s="79"/>
      <c r="O589" s="79"/>
      <c r="S589" s="79"/>
      <c r="T589" s="79"/>
      <c r="Y589" s="79"/>
      <c r="AE589" s="130"/>
      <c r="AG589" s="106"/>
    </row>
    <row r="590">
      <c r="C590" s="79"/>
      <c r="D590" s="79"/>
      <c r="E590" s="79"/>
      <c r="O590" s="79"/>
      <c r="S590" s="79"/>
      <c r="T590" s="79"/>
      <c r="Y590" s="79"/>
      <c r="AE590" s="130"/>
      <c r="AG590" s="106"/>
    </row>
    <row r="591">
      <c r="C591" s="79"/>
      <c r="D591" s="79"/>
      <c r="E591" s="79"/>
      <c r="O591" s="79"/>
      <c r="S591" s="79"/>
      <c r="T591" s="79"/>
      <c r="Y591" s="79"/>
      <c r="AE591" s="130"/>
      <c r="AG591" s="106"/>
    </row>
    <row r="592">
      <c r="C592" s="79"/>
      <c r="D592" s="79"/>
      <c r="E592" s="79"/>
      <c r="O592" s="79"/>
      <c r="S592" s="79"/>
      <c r="T592" s="79"/>
      <c r="Y592" s="79"/>
      <c r="AE592" s="130"/>
      <c r="AG592" s="106"/>
    </row>
    <row r="593">
      <c r="C593" s="79"/>
      <c r="D593" s="79"/>
      <c r="E593" s="79"/>
      <c r="O593" s="79"/>
      <c r="S593" s="79"/>
      <c r="T593" s="79"/>
      <c r="Y593" s="79"/>
      <c r="AE593" s="130"/>
      <c r="AG593" s="106"/>
    </row>
    <row r="594">
      <c r="C594" s="79"/>
      <c r="D594" s="79"/>
      <c r="E594" s="79"/>
      <c r="O594" s="79"/>
      <c r="S594" s="79"/>
      <c r="T594" s="79"/>
      <c r="Y594" s="79"/>
      <c r="AE594" s="130"/>
      <c r="AG594" s="106"/>
    </row>
    <row r="595">
      <c r="C595" s="79"/>
      <c r="D595" s="79"/>
      <c r="E595" s="79"/>
      <c r="O595" s="79"/>
      <c r="S595" s="79"/>
      <c r="T595" s="79"/>
      <c r="Y595" s="79"/>
      <c r="AE595" s="130"/>
      <c r="AG595" s="106"/>
    </row>
    <row r="596">
      <c r="C596" s="79"/>
      <c r="D596" s="79"/>
      <c r="E596" s="79"/>
      <c r="O596" s="79"/>
      <c r="S596" s="79"/>
      <c r="T596" s="79"/>
      <c r="Y596" s="79"/>
      <c r="AE596" s="130"/>
      <c r="AG596" s="106"/>
    </row>
    <row r="597">
      <c r="C597" s="79"/>
      <c r="D597" s="79"/>
      <c r="E597" s="79"/>
      <c r="O597" s="79"/>
      <c r="S597" s="79"/>
      <c r="T597" s="79"/>
      <c r="Y597" s="79"/>
      <c r="AE597" s="130"/>
      <c r="AG597" s="106"/>
    </row>
    <row r="598">
      <c r="C598" s="79"/>
      <c r="D598" s="79"/>
      <c r="E598" s="79"/>
      <c r="O598" s="79"/>
      <c r="S598" s="79"/>
      <c r="T598" s="79"/>
      <c r="Y598" s="79"/>
      <c r="AE598" s="130"/>
      <c r="AG598" s="106"/>
    </row>
    <row r="599">
      <c r="C599" s="79"/>
      <c r="D599" s="79"/>
      <c r="E599" s="79"/>
      <c r="O599" s="79"/>
      <c r="S599" s="79"/>
      <c r="T599" s="79"/>
      <c r="Y599" s="79"/>
      <c r="AE599" s="130"/>
      <c r="AG599" s="106"/>
    </row>
    <row r="600">
      <c r="C600" s="79"/>
      <c r="D600" s="79"/>
      <c r="E600" s="79"/>
      <c r="O600" s="79"/>
      <c r="S600" s="79"/>
      <c r="T600" s="79"/>
      <c r="Y600" s="79"/>
      <c r="AE600" s="130"/>
      <c r="AG600" s="106"/>
    </row>
    <row r="601">
      <c r="C601" s="79"/>
      <c r="D601" s="79"/>
      <c r="E601" s="79"/>
      <c r="O601" s="79"/>
      <c r="S601" s="79"/>
      <c r="T601" s="79"/>
      <c r="Y601" s="79"/>
      <c r="AE601" s="130"/>
      <c r="AG601" s="106"/>
    </row>
    <row r="602">
      <c r="C602" s="79"/>
      <c r="D602" s="79"/>
      <c r="E602" s="79"/>
      <c r="O602" s="79"/>
      <c r="S602" s="79"/>
      <c r="T602" s="79"/>
      <c r="Y602" s="79"/>
      <c r="AE602" s="130"/>
      <c r="AG602" s="106"/>
    </row>
    <row r="603">
      <c r="C603" s="79"/>
      <c r="D603" s="79"/>
      <c r="E603" s="79"/>
      <c r="O603" s="79"/>
      <c r="S603" s="79"/>
      <c r="T603" s="79"/>
      <c r="Y603" s="79"/>
      <c r="AE603" s="130"/>
      <c r="AG603" s="106"/>
    </row>
    <row r="604">
      <c r="C604" s="79"/>
      <c r="D604" s="79"/>
      <c r="E604" s="79"/>
      <c r="O604" s="79"/>
      <c r="S604" s="79"/>
      <c r="T604" s="79"/>
      <c r="Y604" s="79"/>
      <c r="AE604" s="130"/>
      <c r="AG604" s="106"/>
    </row>
    <row r="605">
      <c r="C605" s="79"/>
      <c r="D605" s="79"/>
      <c r="E605" s="79"/>
      <c r="O605" s="79"/>
      <c r="S605" s="79"/>
      <c r="T605" s="79"/>
      <c r="Y605" s="79"/>
      <c r="AE605" s="130"/>
      <c r="AG605" s="106"/>
    </row>
    <row r="606">
      <c r="C606" s="79"/>
      <c r="D606" s="79"/>
      <c r="E606" s="79"/>
      <c r="O606" s="79"/>
      <c r="S606" s="79"/>
      <c r="T606" s="79"/>
      <c r="Y606" s="79"/>
      <c r="AE606" s="130"/>
      <c r="AG606" s="106"/>
    </row>
    <row r="607">
      <c r="C607" s="79"/>
      <c r="D607" s="79"/>
      <c r="E607" s="79"/>
      <c r="O607" s="79"/>
      <c r="S607" s="79"/>
      <c r="T607" s="79"/>
      <c r="Y607" s="79"/>
      <c r="AE607" s="130"/>
      <c r="AG607" s="106"/>
    </row>
    <row r="608">
      <c r="C608" s="79"/>
      <c r="D608" s="79"/>
      <c r="E608" s="79"/>
      <c r="O608" s="79"/>
      <c r="S608" s="79"/>
      <c r="T608" s="79"/>
      <c r="Y608" s="79"/>
      <c r="AE608" s="130"/>
      <c r="AG608" s="106"/>
    </row>
    <row r="609">
      <c r="C609" s="79"/>
      <c r="D609" s="79"/>
      <c r="E609" s="79"/>
      <c r="O609" s="79"/>
      <c r="S609" s="79"/>
      <c r="T609" s="79"/>
      <c r="Y609" s="79"/>
      <c r="AE609" s="130"/>
      <c r="AG609" s="106"/>
    </row>
    <row r="610">
      <c r="C610" s="79"/>
      <c r="D610" s="79"/>
      <c r="E610" s="79"/>
      <c r="O610" s="79"/>
      <c r="S610" s="79"/>
      <c r="T610" s="79"/>
      <c r="Y610" s="79"/>
      <c r="AE610" s="130"/>
      <c r="AG610" s="106"/>
    </row>
    <row r="611">
      <c r="C611" s="79"/>
      <c r="D611" s="79"/>
      <c r="E611" s="79"/>
      <c r="O611" s="79"/>
      <c r="S611" s="79"/>
      <c r="T611" s="79"/>
      <c r="Y611" s="79"/>
      <c r="AE611" s="130"/>
      <c r="AG611" s="106"/>
    </row>
    <row r="612">
      <c r="C612" s="79"/>
      <c r="D612" s="79"/>
      <c r="E612" s="79"/>
      <c r="O612" s="79"/>
      <c r="S612" s="79"/>
      <c r="T612" s="79"/>
      <c r="Y612" s="79"/>
      <c r="AE612" s="130"/>
      <c r="AG612" s="106"/>
    </row>
    <row r="613">
      <c r="C613" s="79"/>
      <c r="D613" s="79"/>
      <c r="E613" s="79"/>
      <c r="O613" s="79"/>
      <c r="S613" s="79"/>
      <c r="T613" s="79"/>
      <c r="Y613" s="79"/>
      <c r="AE613" s="130"/>
      <c r="AG613" s="106"/>
    </row>
    <row r="614">
      <c r="C614" s="79"/>
      <c r="D614" s="79"/>
      <c r="E614" s="79"/>
      <c r="O614" s="79"/>
      <c r="S614" s="79"/>
      <c r="T614" s="79"/>
      <c r="Y614" s="79"/>
      <c r="AE614" s="130"/>
      <c r="AG614" s="106"/>
    </row>
    <row r="615">
      <c r="C615" s="79"/>
      <c r="D615" s="79"/>
      <c r="E615" s="79"/>
      <c r="O615" s="79"/>
      <c r="S615" s="79"/>
      <c r="T615" s="79"/>
      <c r="Y615" s="79"/>
      <c r="AE615" s="130"/>
      <c r="AG615" s="106"/>
    </row>
    <row r="616">
      <c r="C616" s="79"/>
      <c r="D616" s="79"/>
      <c r="E616" s="79"/>
      <c r="O616" s="79"/>
      <c r="S616" s="79"/>
      <c r="T616" s="79"/>
      <c r="Y616" s="79"/>
      <c r="AE616" s="130"/>
      <c r="AG616" s="106"/>
    </row>
    <row r="617">
      <c r="C617" s="79"/>
      <c r="D617" s="79"/>
      <c r="E617" s="79"/>
      <c r="O617" s="79"/>
      <c r="S617" s="79"/>
      <c r="T617" s="79"/>
      <c r="Y617" s="79"/>
      <c r="AE617" s="130"/>
      <c r="AG617" s="106"/>
    </row>
    <row r="618">
      <c r="C618" s="79"/>
      <c r="D618" s="79"/>
      <c r="E618" s="79"/>
      <c r="O618" s="79"/>
      <c r="S618" s="79"/>
      <c r="T618" s="79"/>
      <c r="Y618" s="79"/>
      <c r="AE618" s="130"/>
      <c r="AG618" s="106"/>
    </row>
    <row r="619">
      <c r="C619" s="79"/>
      <c r="D619" s="79"/>
      <c r="E619" s="79"/>
      <c r="O619" s="79"/>
      <c r="S619" s="79"/>
      <c r="T619" s="79"/>
      <c r="Y619" s="79"/>
      <c r="AE619" s="130"/>
      <c r="AG619" s="106"/>
    </row>
    <row r="620">
      <c r="C620" s="79"/>
      <c r="D620" s="79"/>
      <c r="E620" s="79"/>
      <c r="O620" s="79"/>
      <c r="S620" s="79"/>
      <c r="T620" s="79"/>
      <c r="Y620" s="79"/>
      <c r="AE620" s="130"/>
      <c r="AG620" s="106"/>
    </row>
    <row r="621">
      <c r="C621" s="79"/>
      <c r="D621" s="79"/>
      <c r="E621" s="79"/>
      <c r="O621" s="79"/>
      <c r="S621" s="79"/>
      <c r="T621" s="79"/>
      <c r="Y621" s="79"/>
      <c r="AE621" s="130"/>
      <c r="AG621" s="106"/>
    </row>
    <row r="622">
      <c r="C622" s="79"/>
      <c r="D622" s="79"/>
      <c r="E622" s="79"/>
      <c r="O622" s="79"/>
      <c r="S622" s="79"/>
      <c r="T622" s="79"/>
      <c r="Y622" s="79"/>
      <c r="AE622" s="130"/>
      <c r="AG622" s="106"/>
    </row>
    <row r="623">
      <c r="C623" s="79"/>
      <c r="D623" s="79"/>
      <c r="E623" s="79"/>
      <c r="O623" s="79"/>
      <c r="S623" s="79"/>
      <c r="T623" s="79"/>
      <c r="Y623" s="79"/>
      <c r="AE623" s="130"/>
      <c r="AG623" s="106"/>
    </row>
    <row r="624">
      <c r="C624" s="79"/>
      <c r="D624" s="79"/>
      <c r="E624" s="79"/>
      <c r="O624" s="79"/>
      <c r="S624" s="79"/>
      <c r="T624" s="79"/>
      <c r="Y624" s="79"/>
      <c r="AE624" s="130"/>
      <c r="AG624" s="106"/>
    </row>
    <row r="625">
      <c r="C625" s="79"/>
      <c r="D625" s="79"/>
      <c r="E625" s="79"/>
      <c r="O625" s="79"/>
      <c r="S625" s="79"/>
      <c r="T625" s="79"/>
      <c r="Y625" s="79"/>
      <c r="AE625" s="130"/>
      <c r="AG625" s="106"/>
    </row>
    <row r="626">
      <c r="C626" s="79"/>
      <c r="D626" s="79"/>
      <c r="E626" s="79"/>
      <c r="O626" s="79"/>
      <c r="S626" s="79"/>
      <c r="T626" s="79"/>
      <c r="Y626" s="79"/>
      <c r="AE626" s="130"/>
      <c r="AG626" s="106"/>
    </row>
    <row r="627">
      <c r="C627" s="79"/>
      <c r="D627" s="79"/>
      <c r="E627" s="79"/>
      <c r="O627" s="79"/>
      <c r="S627" s="79"/>
      <c r="T627" s="79"/>
      <c r="Y627" s="79"/>
      <c r="AE627" s="130"/>
      <c r="AG627" s="106"/>
    </row>
    <row r="628">
      <c r="C628" s="79"/>
      <c r="D628" s="79"/>
      <c r="E628" s="79"/>
      <c r="O628" s="79"/>
      <c r="S628" s="79"/>
      <c r="T628" s="79"/>
      <c r="Y628" s="79"/>
      <c r="AE628" s="130"/>
      <c r="AG628" s="106"/>
    </row>
    <row r="629">
      <c r="C629" s="79"/>
      <c r="D629" s="79"/>
      <c r="E629" s="79"/>
      <c r="O629" s="79"/>
      <c r="S629" s="79"/>
      <c r="T629" s="79"/>
      <c r="Y629" s="79"/>
      <c r="AE629" s="130"/>
      <c r="AG629" s="106"/>
    </row>
    <row r="630">
      <c r="C630" s="79"/>
      <c r="D630" s="79"/>
      <c r="E630" s="79"/>
      <c r="O630" s="79"/>
      <c r="S630" s="79"/>
      <c r="T630" s="79"/>
      <c r="Y630" s="79"/>
      <c r="AE630" s="130"/>
      <c r="AG630" s="106"/>
    </row>
    <row r="631">
      <c r="C631" s="79"/>
      <c r="D631" s="79"/>
      <c r="E631" s="79"/>
      <c r="O631" s="79"/>
      <c r="S631" s="79"/>
      <c r="T631" s="79"/>
      <c r="Y631" s="79"/>
      <c r="AE631" s="130"/>
      <c r="AG631" s="106"/>
    </row>
    <row r="632">
      <c r="C632" s="79"/>
      <c r="D632" s="79"/>
      <c r="E632" s="79"/>
      <c r="O632" s="79"/>
      <c r="S632" s="79"/>
      <c r="T632" s="79"/>
      <c r="Y632" s="79"/>
      <c r="AE632" s="130"/>
      <c r="AG632" s="106"/>
    </row>
    <row r="633">
      <c r="C633" s="79"/>
      <c r="D633" s="79"/>
      <c r="E633" s="79"/>
      <c r="O633" s="79"/>
      <c r="S633" s="79"/>
      <c r="T633" s="79"/>
      <c r="Y633" s="79"/>
      <c r="AE633" s="130"/>
      <c r="AG633" s="106"/>
    </row>
    <row r="634">
      <c r="C634" s="79"/>
      <c r="D634" s="79"/>
      <c r="E634" s="79"/>
      <c r="O634" s="79"/>
      <c r="S634" s="79"/>
      <c r="T634" s="79"/>
      <c r="Y634" s="79"/>
      <c r="AE634" s="130"/>
      <c r="AG634" s="106"/>
    </row>
    <row r="635">
      <c r="C635" s="79"/>
      <c r="D635" s="79"/>
      <c r="E635" s="79"/>
      <c r="O635" s="79"/>
      <c r="S635" s="79"/>
      <c r="T635" s="79"/>
      <c r="Y635" s="79"/>
      <c r="AE635" s="130"/>
      <c r="AG635" s="106"/>
    </row>
    <row r="636">
      <c r="C636" s="79"/>
      <c r="D636" s="79"/>
      <c r="E636" s="79"/>
      <c r="O636" s="79"/>
      <c r="S636" s="79"/>
      <c r="T636" s="79"/>
      <c r="Y636" s="79"/>
      <c r="AE636" s="130"/>
      <c r="AG636" s="106"/>
    </row>
    <row r="637">
      <c r="C637" s="79"/>
      <c r="D637" s="79"/>
      <c r="E637" s="79"/>
      <c r="O637" s="79"/>
      <c r="S637" s="79"/>
      <c r="T637" s="79"/>
      <c r="Y637" s="79"/>
      <c r="AE637" s="130"/>
      <c r="AG637" s="106"/>
    </row>
    <row r="638">
      <c r="C638" s="79"/>
      <c r="D638" s="79"/>
      <c r="E638" s="79"/>
      <c r="O638" s="79"/>
      <c r="S638" s="79"/>
      <c r="T638" s="79"/>
      <c r="Y638" s="79"/>
      <c r="AE638" s="130"/>
      <c r="AG638" s="106"/>
    </row>
    <row r="639">
      <c r="C639" s="79"/>
      <c r="D639" s="79"/>
      <c r="E639" s="79"/>
      <c r="O639" s="79"/>
      <c r="S639" s="79"/>
      <c r="T639" s="79"/>
      <c r="Y639" s="79"/>
      <c r="AE639" s="130"/>
      <c r="AG639" s="106"/>
    </row>
    <row r="640">
      <c r="C640" s="79"/>
      <c r="D640" s="79"/>
      <c r="E640" s="79"/>
      <c r="O640" s="79"/>
      <c r="S640" s="79"/>
      <c r="T640" s="79"/>
      <c r="Y640" s="79"/>
      <c r="AE640" s="130"/>
      <c r="AG640" s="106"/>
    </row>
    <row r="641">
      <c r="C641" s="79"/>
      <c r="D641" s="79"/>
      <c r="E641" s="79"/>
      <c r="O641" s="79"/>
      <c r="S641" s="79"/>
      <c r="T641" s="79"/>
      <c r="Y641" s="79"/>
      <c r="AE641" s="130"/>
      <c r="AG641" s="106"/>
    </row>
    <row r="642">
      <c r="C642" s="79"/>
      <c r="D642" s="79"/>
      <c r="E642" s="79"/>
      <c r="O642" s="79"/>
      <c r="S642" s="79"/>
      <c r="T642" s="79"/>
      <c r="Y642" s="79"/>
      <c r="AE642" s="130"/>
      <c r="AG642" s="106"/>
    </row>
    <row r="643">
      <c r="C643" s="79"/>
      <c r="D643" s="79"/>
      <c r="E643" s="79"/>
      <c r="O643" s="79"/>
      <c r="S643" s="79"/>
      <c r="T643" s="79"/>
      <c r="Y643" s="79"/>
      <c r="AE643" s="130"/>
      <c r="AG643" s="106"/>
    </row>
    <row r="644">
      <c r="C644" s="79"/>
      <c r="D644" s="79"/>
      <c r="E644" s="79"/>
      <c r="O644" s="79"/>
      <c r="S644" s="79"/>
      <c r="T644" s="79"/>
      <c r="Y644" s="79"/>
      <c r="AE644" s="130"/>
      <c r="AG644" s="106"/>
    </row>
    <row r="645">
      <c r="C645" s="79"/>
      <c r="D645" s="79"/>
      <c r="E645" s="79"/>
      <c r="O645" s="79"/>
      <c r="S645" s="79"/>
      <c r="T645" s="79"/>
      <c r="Y645" s="79"/>
      <c r="AE645" s="130"/>
      <c r="AG645" s="106"/>
    </row>
    <row r="646">
      <c r="C646" s="79"/>
      <c r="D646" s="79"/>
      <c r="E646" s="79"/>
      <c r="O646" s="79"/>
      <c r="S646" s="79"/>
      <c r="T646" s="79"/>
      <c r="Y646" s="79"/>
      <c r="AE646" s="130"/>
      <c r="AG646" s="106"/>
    </row>
    <row r="647">
      <c r="C647" s="79"/>
      <c r="D647" s="79"/>
      <c r="E647" s="79"/>
      <c r="O647" s="79"/>
      <c r="S647" s="79"/>
      <c r="T647" s="79"/>
      <c r="Y647" s="79"/>
      <c r="AE647" s="130"/>
      <c r="AG647" s="106"/>
    </row>
    <row r="648">
      <c r="C648" s="79"/>
      <c r="D648" s="79"/>
      <c r="E648" s="79"/>
      <c r="O648" s="79"/>
      <c r="S648" s="79"/>
      <c r="T648" s="79"/>
      <c r="Y648" s="79"/>
      <c r="AE648" s="130"/>
      <c r="AG648" s="106"/>
    </row>
    <row r="649">
      <c r="C649" s="79"/>
      <c r="D649" s="79"/>
      <c r="E649" s="79"/>
      <c r="O649" s="79"/>
      <c r="S649" s="79"/>
      <c r="T649" s="79"/>
      <c r="Y649" s="79"/>
      <c r="AE649" s="130"/>
      <c r="AG649" s="106"/>
    </row>
    <row r="650">
      <c r="C650" s="79"/>
      <c r="D650" s="79"/>
      <c r="E650" s="79"/>
      <c r="O650" s="79"/>
      <c r="S650" s="79"/>
      <c r="T650" s="79"/>
      <c r="Y650" s="79"/>
      <c r="AE650" s="130"/>
      <c r="AG650" s="106"/>
    </row>
    <row r="651">
      <c r="C651" s="79"/>
      <c r="D651" s="79"/>
      <c r="E651" s="79"/>
      <c r="O651" s="79"/>
      <c r="S651" s="79"/>
      <c r="T651" s="79"/>
      <c r="Y651" s="79"/>
      <c r="AE651" s="130"/>
      <c r="AG651" s="106"/>
    </row>
    <row r="652">
      <c r="C652" s="79"/>
      <c r="D652" s="79"/>
      <c r="E652" s="79"/>
      <c r="O652" s="79"/>
      <c r="S652" s="79"/>
      <c r="T652" s="79"/>
      <c r="Y652" s="79"/>
      <c r="AE652" s="130"/>
      <c r="AG652" s="106"/>
    </row>
    <row r="653">
      <c r="C653" s="79"/>
      <c r="D653" s="79"/>
      <c r="E653" s="79"/>
      <c r="O653" s="79"/>
      <c r="S653" s="79"/>
      <c r="T653" s="79"/>
      <c r="Y653" s="79"/>
      <c r="AE653" s="130"/>
      <c r="AG653" s="106"/>
    </row>
    <row r="654">
      <c r="C654" s="79"/>
      <c r="D654" s="79"/>
      <c r="E654" s="79"/>
      <c r="O654" s="79"/>
      <c r="S654" s="79"/>
      <c r="T654" s="79"/>
      <c r="Y654" s="79"/>
      <c r="AE654" s="130"/>
      <c r="AG654" s="106"/>
    </row>
    <row r="655">
      <c r="C655" s="79"/>
      <c r="D655" s="79"/>
      <c r="E655" s="79"/>
      <c r="O655" s="79"/>
      <c r="S655" s="79"/>
      <c r="T655" s="79"/>
      <c r="Y655" s="79"/>
      <c r="AE655" s="130"/>
      <c r="AG655" s="106"/>
    </row>
    <row r="656">
      <c r="C656" s="79"/>
      <c r="D656" s="79"/>
      <c r="E656" s="79"/>
      <c r="O656" s="79"/>
      <c r="S656" s="79"/>
      <c r="T656" s="79"/>
      <c r="Y656" s="79"/>
      <c r="AE656" s="130"/>
      <c r="AG656" s="106"/>
    </row>
    <row r="657">
      <c r="C657" s="79"/>
      <c r="D657" s="79"/>
      <c r="E657" s="79"/>
      <c r="O657" s="79"/>
      <c r="S657" s="79"/>
      <c r="T657" s="79"/>
      <c r="Y657" s="79"/>
      <c r="AE657" s="130"/>
      <c r="AG657" s="106"/>
    </row>
    <row r="658">
      <c r="C658" s="79"/>
      <c r="D658" s="79"/>
      <c r="E658" s="79"/>
      <c r="O658" s="79"/>
      <c r="S658" s="79"/>
      <c r="T658" s="79"/>
      <c r="Y658" s="79"/>
      <c r="AE658" s="130"/>
      <c r="AG658" s="106"/>
    </row>
    <row r="659">
      <c r="C659" s="79"/>
      <c r="D659" s="79"/>
      <c r="E659" s="79"/>
      <c r="O659" s="79"/>
      <c r="S659" s="79"/>
      <c r="T659" s="79"/>
      <c r="Y659" s="79"/>
      <c r="AE659" s="130"/>
      <c r="AG659" s="106"/>
    </row>
    <row r="660">
      <c r="C660" s="79"/>
      <c r="D660" s="79"/>
      <c r="E660" s="79"/>
      <c r="O660" s="79"/>
      <c r="S660" s="79"/>
      <c r="T660" s="79"/>
      <c r="Y660" s="79"/>
      <c r="AE660" s="130"/>
      <c r="AG660" s="106"/>
    </row>
    <row r="661">
      <c r="C661" s="79"/>
      <c r="D661" s="79"/>
      <c r="E661" s="79"/>
      <c r="O661" s="79"/>
      <c r="S661" s="79"/>
      <c r="T661" s="79"/>
      <c r="Y661" s="79"/>
      <c r="AE661" s="130"/>
      <c r="AG661" s="106"/>
    </row>
    <row r="662">
      <c r="C662" s="79"/>
      <c r="D662" s="79"/>
      <c r="E662" s="79"/>
      <c r="O662" s="79"/>
      <c r="S662" s="79"/>
      <c r="T662" s="79"/>
      <c r="Y662" s="79"/>
      <c r="AE662" s="130"/>
      <c r="AG662" s="106"/>
    </row>
    <row r="663">
      <c r="C663" s="79"/>
      <c r="D663" s="79"/>
      <c r="E663" s="79"/>
      <c r="O663" s="79"/>
      <c r="S663" s="79"/>
      <c r="T663" s="79"/>
      <c r="Y663" s="79"/>
      <c r="AE663" s="130"/>
      <c r="AG663" s="106"/>
    </row>
    <row r="664">
      <c r="C664" s="79"/>
      <c r="D664" s="79"/>
      <c r="E664" s="79"/>
      <c r="O664" s="79"/>
      <c r="S664" s="79"/>
      <c r="T664" s="79"/>
      <c r="Y664" s="79"/>
      <c r="AE664" s="130"/>
      <c r="AG664" s="106"/>
    </row>
    <row r="665">
      <c r="C665" s="79"/>
      <c r="D665" s="79"/>
      <c r="E665" s="79"/>
      <c r="O665" s="79"/>
      <c r="S665" s="79"/>
      <c r="T665" s="79"/>
      <c r="Y665" s="79"/>
      <c r="AE665" s="130"/>
      <c r="AG665" s="106"/>
    </row>
    <row r="666">
      <c r="C666" s="79"/>
      <c r="D666" s="79"/>
      <c r="E666" s="79"/>
      <c r="O666" s="79"/>
      <c r="S666" s="79"/>
      <c r="T666" s="79"/>
      <c r="Y666" s="79"/>
      <c r="AE666" s="130"/>
      <c r="AG666" s="106"/>
    </row>
    <row r="667">
      <c r="C667" s="79"/>
      <c r="D667" s="79"/>
      <c r="E667" s="79"/>
      <c r="O667" s="79"/>
      <c r="S667" s="79"/>
      <c r="T667" s="79"/>
      <c r="Y667" s="79"/>
      <c r="AE667" s="130"/>
      <c r="AG667" s="106"/>
    </row>
    <row r="668">
      <c r="C668" s="79"/>
      <c r="D668" s="79"/>
      <c r="E668" s="79"/>
      <c r="O668" s="79"/>
      <c r="S668" s="79"/>
      <c r="T668" s="79"/>
      <c r="Y668" s="79"/>
      <c r="AE668" s="130"/>
      <c r="AG668" s="106"/>
    </row>
    <row r="669">
      <c r="C669" s="79"/>
      <c r="D669" s="79"/>
      <c r="E669" s="79"/>
      <c r="O669" s="79"/>
      <c r="S669" s="79"/>
      <c r="T669" s="79"/>
      <c r="Y669" s="79"/>
      <c r="AE669" s="130"/>
      <c r="AG669" s="106"/>
    </row>
    <row r="670">
      <c r="C670" s="79"/>
      <c r="D670" s="79"/>
      <c r="E670" s="79"/>
      <c r="O670" s="79"/>
      <c r="S670" s="79"/>
      <c r="T670" s="79"/>
      <c r="Y670" s="79"/>
      <c r="AE670" s="130"/>
      <c r="AG670" s="106"/>
    </row>
    <row r="671">
      <c r="C671" s="79"/>
      <c r="D671" s="79"/>
      <c r="E671" s="79"/>
      <c r="O671" s="79"/>
      <c r="S671" s="79"/>
      <c r="T671" s="79"/>
      <c r="Y671" s="79"/>
      <c r="AE671" s="130"/>
      <c r="AG671" s="106"/>
    </row>
    <row r="672">
      <c r="C672" s="79"/>
      <c r="D672" s="79"/>
      <c r="E672" s="79"/>
      <c r="O672" s="79"/>
      <c r="S672" s="79"/>
      <c r="T672" s="79"/>
      <c r="Y672" s="79"/>
      <c r="AE672" s="130"/>
      <c r="AG672" s="106"/>
    </row>
    <row r="673">
      <c r="C673" s="79"/>
      <c r="D673" s="79"/>
      <c r="E673" s="79"/>
      <c r="O673" s="79"/>
      <c r="S673" s="79"/>
      <c r="T673" s="79"/>
      <c r="Y673" s="79"/>
      <c r="AE673" s="130"/>
      <c r="AG673" s="106"/>
    </row>
    <row r="674">
      <c r="C674" s="79"/>
      <c r="D674" s="79"/>
      <c r="E674" s="79"/>
      <c r="O674" s="79"/>
      <c r="S674" s="79"/>
      <c r="T674" s="79"/>
      <c r="Y674" s="79"/>
      <c r="AE674" s="130"/>
      <c r="AG674" s="106"/>
    </row>
    <row r="675">
      <c r="C675" s="79"/>
      <c r="D675" s="79"/>
      <c r="E675" s="79"/>
      <c r="O675" s="79"/>
      <c r="S675" s="79"/>
      <c r="T675" s="79"/>
      <c r="Y675" s="79"/>
      <c r="AE675" s="130"/>
      <c r="AG675" s="106"/>
    </row>
    <row r="676">
      <c r="C676" s="79"/>
      <c r="D676" s="79"/>
      <c r="E676" s="79"/>
      <c r="O676" s="79"/>
      <c r="S676" s="79"/>
      <c r="T676" s="79"/>
      <c r="Y676" s="79"/>
      <c r="AE676" s="130"/>
      <c r="AG676" s="106"/>
    </row>
    <row r="677">
      <c r="C677" s="79"/>
      <c r="D677" s="79"/>
      <c r="E677" s="79"/>
      <c r="O677" s="79"/>
      <c r="S677" s="79"/>
      <c r="T677" s="79"/>
      <c r="Y677" s="79"/>
      <c r="AE677" s="130"/>
      <c r="AG677" s="106"/>
    </row>
    <row r="678">
      <c r="C678" s="79"/>
      <c r="D678" s="79"/>
      <c r="E678" s="79"/>
      <c r="O678" s="79"/>
      <c r="S678" s="79"/>
      <c r="T678" s="79"/>
      <c r="Y678" s="79"/>
      <c r="AE678" s="130"/>
      <c r="AG678" s="106"/>
    </row>
    <row r="679">
      <c r="C679" s="79"/>
      <c r="D679" s="79"/>
      <c r="E679" s="79"/>
      <c r="O679" s="79"/>
      <c r="S679" s="79"/>
      <c r="T679" s="79"/>
      <c r="Y679" s="79"/>
      <c r="AE679" s="130"/>
      <c r="AG679" s="106"/>
    </row>
    <row r="680">
      <c r="C680" s="79"/>
      <c r="D680" s="79"/>
      <c r="E680" s="79"/>
      <c r="O680" s="79"/>
      <c r="S680" s="79"/>
      <c r="T680" s="79"/>
      <c r="Y680" s="79"/>
      <c r="AE680" s="130"/>
      <c r="AG680" s="106"/>
    </row>
    <row r="681">
      <c r="C681" s="79"/>
      <c r="D681" s="79"/>
      <c r="E681" s="79"/>
      <c r="O681" s="79"/>
      <c r="S681" s="79"/>
      <c r="T681" s="79"/>
      <c r="Y681" s="79"/>
      <c r="AE681" s="130"/>
      <c r="AG681" s="106"/>
    </row>
    <row r="682">
      <c r="C682" s="79"/>
      <c r="D682" s="79"/>
      <c r="E682" s="79"/>
      <c r="O682" s="79"/>
      <c r="S682" s="79"/>
      <c r="T682" s="79"/>
      <c r="Y682" s="79"/>
      <c r="AE682" s="130"/>
      <c r="AG682" s="106"/>
    </row>
    <row r="683">
      <c r="C683" s="79"/>
      <c r="D683" s="79"/>
      <c r="E683" s="79"/>
      <c r="O683" s="79"/>
      <c r="S683" s="79"/>
      <c r="T683" s="79"/>
      <c r="Y683" s="79"/>
      <c r="AE683" s="130"/>
      <c r="AG683" s="106"/>
    </row>
    <row r="684">
      <c r="C684" s="79"/>
      <c r="D684" s="79"/>
      <c r="E684" s="79"/>
      <c r="O684" s="79"/>
      <c r="S684" s="79"/>
      <c r="T684" s="79"/>
      <c r="Y684" s="79"/>
      <c r="AE684" s="130"/>
      <c r="AG684" s="106"/>
    </row>
    <row r="685">
      <c r="C685" s="79"/>
      <c r="D685" s="79"/>
      <c r="E685" s="79"/>
      <c r="O685" s="79"/>
      <c r="S685" s="79"/>
      <c r="T685" s="79"/>
      <c r="Y685" s="79"/>
      <c r="AE685" s="130"/>
      <c r="AG685" s="106"/>
    </row>
    <row r="686">
      <c r="C686" s="79"/>
      <c r="D686" s="79"/>
      <c r="E686" s="79"/>
      <c r="O686" s="79"/>
      <c r="S686" s="79"/>
      <c r="T686" s="79"/>
      <c r="Y686" s="79"/>
      <c r="AE686" s="130"/>
      <c r="AG686" s="106"/>
    </row>
    <row r="687">
      <c r="C687" s="79"/>
      <c r="D687" s="79"/>
      <c r="E687" s="79"/>
      <c r="O687" s="79"/>
      <c r="S687" s="79"/>
      <c r="T687" s="79"/>
      <c r="Y687" s="79"/>
      <c r="AE687" s="130"/>
      <c r="AG687" s="106"/>
    </row>
    <row r="688">
      <c r="C688" s="79"/>
      <c r="D688" s="79"/>
      <c r="E688" s="79"/>
      <c r="O688" s="79"/>
      <c r="S688" s="79"/>
      <c r="T688" s="79"/>
      <c r="Y688" s="79"/>
      <c r="AE688" s="130"/>
      <c r="AG688" s="106"/>
    </row>
    <row r="689">
      <c r="C689" s="79"/>
      <c r="D689" s="79"/>
      <c r="E689" s="79"/>
      <c r="O689" s="79"/>
      <c r="S689" s="79"/>
      <c r="T689" s="79"/>
      <c r="Y689" s="79"/>
      <c r="AE689" s="130"/>
      <c r="AG689" s="106"/>
    </row>
    <row r="690">
      <c r="C690" s="79"/>
      <c r="D690" s="79"/>
      <c r="E690" s="79"/>
      <c r="O690" s="79"/>
      <c r="S690" s="79"/>
      <c r="T690" s="79"/>
      <c r="Y690" s="79"/>
      <c r="AE690" s="130"/>
      <c r="AG690" s="106"/>
    </row>
    <row r="691">
      <c r="C691" s="79"/>
      <c r="D691" s="79"/>
      <c r="E691" s="79"/>
      <c r="O691" s="79"/>
      <c r="S691" s="79"/>
      <c r="T691" s="79"/>
      <c r="Y691" s="79"/>
      <c r="AE691" s="130"/>
      <c r="AG691" s="106"/>
    </row>
    <row r="692">
      <c r="C692" s="79"/>
      <c r="D692" s="79"/>
      <c r="E692" s="79"/>
      <c r="O692" s="79"/>
      <c r="S692" s="79"/>
      <c r="T692" s="79"/>
      <c r="Y692" s="79"/>
      <c r="AE692" s="130"/>
      <c r="AG692" s="106"/>
    </row>
    <row r="693">
      <c r="C693" s="79"/>
      <c r="D693" s="79"/>
      <c r="E693" s="79"/>
      <c r="O693" s="79"/>
      <c r="S693" s="79"/>
      <c r="T693" s="79"/>
      <c r="Y693" s="79"/>
      <c r="AE693" s="130"/>
      <c r="AG693" s="106"/>
    </row>
    <row r="694">
      <c r="C694" s="79"/>
      <c r="D694" s="79"/>
      <c r="E694" s="79"/>
      <c r="O694" s="79"/>
      <c r="S694" s="79"/>
      <c r="T694" s="79"/>
      <c r="Y694" s="79"/>
      <c r="AE694" s="130"/>
      <c r="AG694" s="106"/>
    </row>
    <row r="695">
      <c r="C695" s="79"/>
      <c r="D695" s="79"/>
      <c r="E695" s="79"/>
      <c r="O695" s="79"/>
      <c r="S695" s="79"/>
      <c r="T695" s="79"/>
      <c r="Y695" s="79"/>
      <c r="AE695" s="130"/>
      <c r="AG695" s="106"/>
    </row>
    <row r="696">
      <c r="C696" s="79"/>
      <c r="D696" s="79"/>
      <c r="E696" s="79"/>
      <c r="O696" s="79"/>
      <c r="S696" s="79"/>
      <c r="T696" s="79"/>
      <c r="Y696" s="79"/>
      <c r="AE696" s="130"/>
      <c r="AG696" s="106"/>
    </row>
    <row r="697">
      <c r="C697" s="79"/>
      <c r="D697" s="79"/>
      <c r="E697" s="79"/>
      <c r="O697" s="79"/>
      <c r="S697" s="79"/>
      <c r="T697" s="79"/>
      <c r="Y697" s="79"/>
      <c r="AE697" s="130"/>
      <c r="AG697" s="106"/>
    </row>
    <row r="698">
      <c r="C698" s="79"/>
      <c r="D698" s="79"/>
      <c r="E698" s="79"/>
      <c r="O698" s="79"/>
      <c r="S698" s="79"/>
      <c r="T698" s="79"/>
      <c r="Y698" s="79"/>
      <c r="AE698" s="130"/>
      <c r="AG698" s="106"/>
    </row>
    <row r="699">
      <c r="C699" s="79"/>
      <c r="D699" s="79"/>
      <c r="E699" s="79"/>
      <c r="O699" s="79"/>
      <c r="S699" s="79"/>
      <c r="T699" s="79"/>
      <c r="Y699" s="79"/>
      <c r="AE699" s="130"/>
      <c r="AG699" s="106"/>
    </row>
    <row r="700">
      <c r="C700" s="79"/>
      <c r="D700" s="79"/>
      <c r="E700" s="79"/>
      <c r="O700" s="79"/>
      <c r="S700" s="79"/>
      <c r="T700" s="79"/>
      <c r="Y700" s="79"/>
      <c r="AE700" s="130"/>
      <c r="AG700" s="106"/>
    </row>
    <row r="701">
      <c r="C701" s="79"/>
      <c r="D701" s="79"/>
      <c r="E701" s="79"/>
      <c r="O701" s="79"/>
      <c r="S701" s="79"/>
      <c r="T701" s="79"/>
      <c r="Y701" s="79"/>
      <c r="AE701" s="130"/>
      <c r="AG701" s="106"/>
    </row>
    <row r="702">
      <c r="C702" s="79"/>
      <c r="D702" s="79"/>
      <c r="E702" s="79"/>
      <c r="O702" s="79"/>
      <c r="S702" s="79"/>
      <c r="T702" s="79"/>
      <c r="Y702" s="79"/>
      <c r="AE702" s="130"/>
      <c r="AG702" s="106"/>
    </row>
    <row r="703">
      <c r="C703" s="79"/>
      <c r="D703" s="79"/>
      <c r="E703" s="79"/>
      <c r="O703" s="79"/>
      <c r="S703" s="79"/>
      <c r="T703" s="79"/>
      <c r="Y703" s="79"/>
      <c r="AE703" s="130"/>
      <c r="AG703" s="106"/>
    </row>
    <row r="704">
      <c r="C704" s="79"/>
      <c r="D704" s="79"/>
      <c r="E704" s="79"/>
      <c r="O704" s="79"/>
      <c r="S704" s="79"/>
      <c r="T704" s="79"/>
      <c r="Y704" s="79"/>
      <c r="AE704" s="130"/>
      <c r="AG704" s="106"/>
    </row>
    <row r="705">
      <c r="C705" s="79"/>
      <c r="D705" s="79"/>
      <c r="E705" s="79"/>
      <c r="O705" s="79"/>
      <c r="S705" s="79"/>
      <c r="T705" s="79"/>
      <c r="Y705" s="79"/>
      <c r="AE705" s="130"/>
      <c r="AG705" s="106"/>
    </row>
    <row r="706">
      <c r="C706" s="79"/>
      <c r="D706" s="79"/>
      <c r="E706" s="79"/>
      <c r="O706" s="79"/>
      <c r="S706" s="79"/>
      <c r="T706" s="79"/>
      <c r="Y706" s="79"/>
      <c r="AE706" s="130"/>
      <c r="AG706" s="106"/>
    </row>
    <row r="707">
      <c r="C707" s="79"/>
      <c r="D707" s="79"/>
      <c r="E707" s="79"/>
      <c r="O707" s="79"/>
      <c r="S707" s="79"/>
      <c r="T707" s="79"/>
      <c r="Y707" s="79"/>
      <c r="AE707" s="130"/>
      <c r="AG707" s="106"/>
    </row>
    <row r="708">
      <c r="C708" s="79"/>
      <c r="D708" s="79"/>
      <c r="E708" s="79"/>
      <c r="O708" s="79"/>
      <c r="S708" s="79"/>
      <c r="T708" s="79"/>
      <c r="Y708" s="79"/>
      <c r="AE708" s="130"/>
      <c r="AG708" s="106"/>
    </row>
    <row r="709">
      <c r="C709" s="79"/>
      <c r="D709" s="79"/>
      <c r="E709" s="79"/>
      <c r="O709" s="79"/>
      <c r="S709" s="79"/>
      <c r="T709" s="79"/>
      <c r="Y709" s="79"/>
      <c r="AE709" s="130"/>
      <c r="AG709" s="106"/>
    </row>
    <row r="710">
      <c r="C710" s="79"/>
      <c r="D710" s="79"/>
      <c r="E710" s="79"/>
      <c r="O710" s="79"/>
      <c r="S710" s="79"/>
      <c r="T710" s="79"/>
      <c r="Y710" s="79"/>
      <c r="AE710" s="130"/>
      <c r="AG710" s="106"/>
    </row>
    <row r="711">
      <c r="C711" s="79"/>
      <c r="D711" s="79"/>
      <c r="E711" s="79"/>
      <c r="O711" s="79"/>
      <c r="S711" s="79"/>
      <c r="T711" s="79"/>
      <c r="Y711" s="79"/>
      <c r="AE711" s="130"/>
      <c r="AG711" s="106"/>
    </row>
    <row r="712">
      <c r="C712" s="79"/>
      <c r="D712" s="79"/>
      <c r="E712" s="79"/>
      <c r="O712" s="79"/>
      <c r="S712" s="79"/>
      <c r="T712" s="79"/>
      <c r="Y712" s="79"/>
      <c r="AE712" s="130"/>
      <c r="AG712" s="106"/>
    </row>
    <row r="713">
      <c r="C713" s="79"/>
      <c r="D713" s="79"/>
      <c r="E713" s="79"/>
      <c r="O713" s="79"/>
      <c r="S713" s="79"/>
      <c r="T713" s="79"/>
      <c r="Y713" s="79"/>
      <c r="AE713" s="130"/>
      <c r="AG713" s="106"/>
    </row>
    <row r="714">
      <c r="C714" s="79"/>
      <c r="D714" s="79"/>
      <c r="E714" s="79"/>
      <c r="O714" s="79"/>
      <c r="S714" s="79"/>
      <c r="T714" s="79"/>
      <c r="Y714" s="79"/>
      <c r="AE714" s="130"/>
      <c r="AG714" s="106"/>
    </row>
    <row r="715">
      <c r="C715" s="79"/>
      <c r="D715" s="79"/>
      <c r="E715" s="79"/>
      <c r="O715" s="79"/>
      <c r="S715" s="79"/>
      <c r="T715" s="79"/>
      <c r="Y715" s="79"/>
      <c r="AE715" s="130"/>
      <c r="AG715" s="106"/>
    </row>
    <row r="716">
      <c r="C716" s="79"/>
      <c r="D716" s="79"/>
      <c r="E716" s="79"/>
      <c r="O716" s="79"/>
      <c r="S716" s="79"/>
      <c r="T716" s="79"/>
      <c r="Y716" s="79"/>
      <c r="AE716" s="130"/>
      <c r="AG716" s="106"/>
    </row>
    <row r="717">
      <c r="C717" s="79"/>
      <c r="D717" s="79"/>
      <c r="E717" s="79"/>
      <c r="O717" s="79"/>
      <c r="S717" s="79"/>
      <c r="T717" s="79"/>
      <c r="Y717" s="79"/>
      <c r="AE717" s="130"/>
      <c r="AG717" s="106"/>
    </row>
    <row r="718">
      <c r="C718" s="79"/>
      <c r="D718" s="79"/>
      <c r="E718" s="79"/>
      <c r="O718" s="79"/>
      <c r="S718" s="79"/>
      <c r="T718" s="79"/>
      <c r="Y718" s="79"/>
      <c r="AE718" s="130"/>
      <c r="AG718" s="106"/>
    </row>
    <row r="719">
      <c r="C719" s="79"/>
      <c r="D719" s="79"/>
      <c r="E719" s="79"/>
      <c r="O719" s="79"/>
      <c r="S719" s="79"/>
      <c r="T719" s="79"/>
      <c r="Y719" s="79"/>
      <c r="AE719" s="130"/>
      <c r="AG719" s="106"/>
    </row>
    <row r="720">
      <c r="C720" s="79"/>
      <c r="D720" s="79"/>
      <c r="E720" s="79"/>
      <c r="O720" s="79"/>
      <c r="S720" s="79"/>
      <c r="T720" s="79"/>
      <c r="Y720" s="79"/>
      <c r="AE720" s="130"/>
      <c r="AG720" s="106"/>
    </row>
    <row r="721">
      <c r="C721" s="79"/>
      <c r="D721" s="79"/>
      <c r="E721" s="79"/>
      <c r="O721" s="79"/>
      <c r="S721" s="79"/>
      <c r="T721" s="79"/>
      <c r="Y721" s="79"/>
      <c r="AE721" s="130"/>
      <c r="AG721" s="106"/>
    </row>
    <row r="722">
      <c r="C722" s="79"/>
      <c r="D722" s="79"/>
      <c r="E722" s="79"/>
      <c r="O722" s="79"/>
      <c r="S722" s="79"/>
      <c r="T722" s="79"/>
      <c r="Y722" s="79"/>
      <c r="AE722" s="130"/>
      <c r="AG722" s="106"/>
    </row>
    <row r="723">
      <c r="C723" s="79"/>
      <c r="D723" s="79"/>
      <c r="E723" s="79"/>
      <c r="O723" s="79"/>
      <c r="S723" s="79"/>
      <c r="T723" s="79"/>
      <c r="Y723" s="79"/>
      <c r="AE723" s="130"/>
      <c r="AG723" s="106"/>
    </row>
    <row r="724">
      <c r="C724" s="79"/>
      <c r="D724" s="79"/>
      <c r="E724" s="79"/>
      <c r="O724" s="79"/>
      <c r="S724" s="79"/>
      <c r="T724" s="79"/>
      <c r="Y724" s="79"/>
      <c r="AE724" s="130"/>
      <c r="AG724" s="106"/>
    </row>
    <row r="725">
      <c r="C725" s="79"/>
      <c r="D725" s="79"/>
      <c r="E725" s="79"/>
      <c r="O725" s="79"/>
      <c r="S725" s="79"/>
      <c r="T725" s="79"/>
      <c r="Y725" s="79"/>
      <c r="AE725" s="130"/>
      <c r="AG725" s="106"/>
    </row>
    <row r="726">
      <c r="C726" s="79"/>
      <c r="D726" s="79"/>
      <c r="E726" s="79"/>
      <c r="O726" s="79"/>
      <c r="S726" s="79"/>
      <c r="T726" s="79"/>
      <c r="Y726" s="79"/>
      <c r="AE726" s="130"/>
      <c r="AG726" s="106"/>
    </row>
    <row r="727">
      <c r="C727" s="79"/>
      <c r="D727" s="79"/>
      <c r="E727" s="79"/>
      <c r="O727" s="79"/>
      <c r="S727" s="79"/>
      <c r="T727" s="79"/>
      <c r="Y727" s="79"/>
      <c r="AE727" s="130"/>
      <c r="AG727" s="106"/>
    </row>
    <row r="728">
      <c r="C728" s="79"/>
      <c r="D728" s="79"/>
      <c r="E728" s="79"/>
      <c r="O728" s="79"/>
      <c r="S728" s="79"/>
      <c r="T728" s="79"/>
      <c r="Y728" s="79"/>
      <c r="AE728" s="130"/>
      <c r="AG728" s="106"/>
    </row>
    <row r="729">
      <c r="C729" s="79"/>
      <c r="D729" s="79"/>
      <c r="E729" s="79"/>
      <c r="O729" s="79"/>
      <c r="S729" s="79"/>
      <c r="T729" s="79"/>
      <c r="Y729" s="79"/>
      <c r="AE729" s="130"/>
      <c r="AG729" s="106"/>
    </row>
    <row r="730">
      <c r="C730" s="79"/>
      <c r="D730" s="79"/>
      <c r="E730" s="79"/>
      <c r="O730" s="79"/>
      <c r="S730" s="79"/>
      <c r="T730" s="79"/>
      <c r="Y730" s="79"/>
      <c r="AE730" s="130"/>
      <c r="AG730" s="106"/>
    </row>
    <row r="731">
      <c r="C731" s="79"/>
      <c r="D731" s="79"/>
      <c r="E731" s="79"/>
      <c r="O731" s="79"/>
      <c r="S731" s="79"/>
      <c r="T731" s="79"/>
      <c r="Y731" s="79"/>
      <c r="AE731" s="130"/>
      <c r="AG731" s="106"/>
    </row>
    <row r="732">
      <c r="C732" s="79"/>
      <c r="D732" s="79"/>
      <c r="E732" s="79"/>
      <c r="O732" s="79"/>
      <c r="S732" s="79"/>
      <c r="T732" s="79"/>
      <c r="Y732" s="79"/>
      <c r="AE732" s="130"/>
      <c r="AG732" s="106"/>
    </row>
    <row r="733">
      <c r="C733" s="79"/>
      <c r="D733" s="79"/>
      <c r="E733" s="79"/>
      <c r="O733" s="79"/>
      <c r="S733" s="79"/>
      <c r="T733" s="79"/>
      <c r="Y733" s="79"/>
      <c r="AE733" s="130"/>
      <c r="AG733" s="106"/>
    </row>
    <row r="734">
      <c r="C734" s="79"/>
      <c r="D734" s="79"/>
      <c r="E734" s="79"/>
      <c r="O734" s="79"/>
      <c r="S734" s="79"/>
      <c r="T734" s="79"/>
      <c r="Y734" s="79"/>
      <c r="AE734" s="130"/>
      <c r="AG734" s="106"/>
    </row>
    <row r="735">
      <c r="C735" s="79"/>
      <c r="D735" s="79"/>
      <c r="E735" s="79"/>
      <c r="O735" s="79"/>
      <c r="S735" s="79"/>
      <c r="T735" s="79"/>
      <c r="Y735" s="79"/>
      <c r="AE735" s="130"/>
      <c r="AG735" s="106"/>
    </row>
    <row r="736">
      <c r="C736" s="79"/>
      <c r="D736" s="79"/>
      <c r="E736" s="79"/>
      <c r="O736" s="79"/>
      <c r="S736" s="79"/>
      <c r="T736" s="79"/>
      <c r="Y736" s="79"/>
      <c r="AE736" s="130"/>
      <c r="AG736" s="106"/>
    </row>
    <row r="737">
      <c r="C737" s="79"/>
      <c r="D737" s="79"/>
      <c r="E737" s="79"/>
      <c r="O737" s="79"/>
      <c r="S737" s="79"/>
      <c r="T737" s="79"/>
      <c r="Y737" s="79"/>
      <c r="AE737" s="130"/>
      <c r="AG737" s="106"/>
    </row>
    <row r="738">
      <c r="C738" s="79"/>
      <c r="D738" s="79"/>
      <c r="E738" s="79"/>
      <c r="O738" s="79"/>
      <c r="S738" s="79"/>
      <c r="T738" s="79"/>
      <c r="Y738" s="79"/>
      <c r="AE738" s="130"/>
      <c r="AG738" s="106"/>
    </row>
    <row r="739">
      <c r="C739" s="79"/>
      <c r="D739" s="79"/>
      <c r="E739" s="79"/>
      <c r="O739" s="79"/>
      <c r="S739" s="79"/>
      <c r="T739" s="79"/>
      <c r="Y739" s="79"/>
      <c r="AE739" s="130"/>
      <c r="AG739" s="106"/>
    </row>
    <row r="740">
      <c r="C740" s="79"/>
      <c r="D740" s="79"/>
      <c r="E740" s="79"/>
      <c r="O740" s="79"/>
      <c r="S740" s="79"/>
      <c r="T740" s="79"/>
      <c r="Y740" s="79"/>
      <c r="AE740" s="130"/>
      <c r="AG740" s="106"/>
    </row>
    <row r="741">
      <c r="C741" s="79"/>
      <c r="D741" s="79"/>
      <c r="E741" s="79"/>
      <c r="O741" s="79"/>
      <c r="S741" s="79"/>
      <c r="T741" s="79"/>
      <c r="Y741" s="79"/>
      <c r="AE741" s="130"/>
      <c r="AG741" s="106"/>
    </row>
    <row r="742">
      <c r="C742" s="79"/>
      <c r="D742" s="79"/>
      <c r="E742" s="79"/>
      <c r="O742" s="79"/>
      <c r="S742" s="79"/>
      <c r="T742" s="79"/>
      <c r="Y742" s="79"/>
      <c r="AE742" s="130"/>
      <c r="AG742" s="106"/>
    </row>
    <row r="743">
      <c r="C743" s="79"/>
      <c r="D743" s="79"/>
      <c r="E743" s="79"/>
      <c r="O743" s="79"/>
      <c r="S743" s="79"/>
      <c r="T743" s="79"/>
      <c r="Y743" s="79"/>
      <c r="AE743" s="130"/>
      <c r="AG743" s="106"/>
    </row>
    <row r="744">
      <c r="C744" s="79"/>
      <c r="D744" s="79"/>
      <c r="E744" s="79"/>
      <c r="O744" s="79"/>
      <c r="S744" s="79"/>
      <c r="T744" s="79"/>
      <c r="Y744" s="79"/>
      <c r="AE744" s="130"/>
      <c r="AG744" s="106"/>
    </row>
    <row r="745">
      <c r="C745" s="79"/>
      <c r="D745" s="79"/>
      <c r="E745" s="79"/>
      <c r="O745" s="79"/>
      <c r="S745" s="79"/>
      <c r="T745" s="79"/>
      <c r="Y745" s="79"/>
      <c r="AE745" s="130"/>
      <c r="AG745" s="106"/>
    </row>
    <row r="746">
      <c r="C746" s="79"/>
      <c r="D746" s="79"/>
      <c r="E746" s="79"/>
      <c r="O746" s="79"/>
      <c r="S746" s="79"/>
      <c r="T746" s="79"/>
      <c r="Y746" s="79"/>
      <c r="AE746" s="130"/>
      <c r="AG746" s="106"/>
    </row>
    <row r="747">
      <c r="C747" s="79"/>
      <c r="D747" s="79"/>
      <c r="E747" s="79"/>
      <c r="O747" s="79"/>
      <c r="S747" s="79"/>
      <c r="T747" s="79"/>
      <c r="Y747" s="79"/>
      <c r="AE747" s="130"/>
      <c r="AG747" s="106"/>
    </row>
    <row r="748">
      <c r="C748" s="79"/>
      <c r="D748" s="79"/>
      <c r="E748" s="79"/>
      <c r="O748" s="79"/>
      <c r="S748" s="79"/>
      <c r="T748" s="79"/>
      <c r="Y748" s="79"/>
      <c r="AE748" s="130"/>
      <c r="AG748" s="106"/>
    </row>
    <row r="749">
      <c r="C749" s="79"/>
      <c r="D749" s="79"/>
      <c r="E749" s="79"/>
      <c r="O749" s="79"/>
      <c r="S749" s="79"/>
      <c r="T749" s="79"/>
      <c r="Y749" s="79"/>
      <c r="AE749" s="130"/>
      <c r="AG749" s="106"/>
    </row>
    <row r="750">
      <c r="C750" s="79"/>
      <c r="D750" s="79"/>
      <c r="E750" s="79"/>
      <c r="O750" s="79"/>
      <c r="S750" s="79"/>
      <c r="T750" s="79"/>
      <c r="Y750" s="79"/>
      <c r="AE750" s="130"/>
      <c r="AG750" s="106"/>
    </row>
    <row r="751">
      <c r="C751" s="79"/>
      <c r="D751" s="79"/>
      <c r="E751" s="79"/>
      <c r="O751" s="79"/>
      <c r="S751" s="79"/>
      <c r="T751" s="79"/>
      <c r="Y751" s="79"/>
      <c r="AE751" s="130"/>
      <c r="AG751" s="106"/>
    </row>
    <row r="752">
      <c r="C752" s="79"/>
      <c r="D752" s="79"/>
      <c r="E752" s="79"/>
      <c r="O752" s="79"/>
      <c r="S752" s="79"/>
      <c r="T752" s="79"/>
      <c r="Y752" s="79"/>
      <c r="AE752" s="130"/>
      <c r="AG752" s="106"/>
    </row>
    <row r="753">
      <c r="C753" s="79"/>
      <c r="D753" s="79"/>
      <c r="E753" s="79"/>
      <c r="O753" s="79"/>
      <c r="S753" s="79"/>
      <c r="T753" s="79"/>
      <c r="Y753" s="79"/>
      <c r="AE753" s="130"/>
      <c r="AG753" s="106"/>
    </row>
    <row r="754">
      <c r="C754" s="79"/>
      <c r="D754" s="79"/>
      <c r="E754" s="79"/>
      <c r="O754" s="79"/>
      <c r="S754" s="79"/>
      <c r="T754" s="79"/>
      <c r="Y754" s="79"/>
      <c r="AE754" s="130"/>
      <c r="AG754" s="106"/>
    </row>
    <row r="755">
      <c r="C755" s="79"/>
      <c r="D755" s="79"/>
      <c r="E755" s="79"/>
      <c r="O755" s="79"/>
      <c r="S755" s="79"/>
      <c r="T755" s="79"/>
      <c r="Y755" s="79"/>
      <c r="AE755" s="130"/>
      <c r="AG755" s="106"/>
    </row>
    <row r="756">
      <c r="C756" s="79"/>
      <c r="D756" s="79"/>
      <c r="E756" s="79"/>
      <c r="O756" s="79"/>
      <c r="S756" s="79"/>
      <c r="T756" s="79"/>
      <c r="Y756" s="79"/>
      <c r="AE756" s="130"/>
      <c r="AG756" s="106"/>
    </row>
    <row r="757">
      <c r="C757" s="79"/>
      <c r="D757" s="79"/>
      <c r="E757" s="79"/>
      <c r="O757" s="79"/>
      <c r="S757" s="79"/>
      <c r="T757" s="79"/>
      <c r="Y757" s="79"/>
      <c r="AE757" s="130"/>
      <c r="AG757" s="106"/>
    </row>
    <row r="758">
      <c r="C758" s="79"/>
      <c r="D758" s="79"/>
      <c r="E758" s="79"/>
      <c r="O758" s="79"/>
      <c r="S758" s="79"/>
      <c r="T758" s="79"/>
      <c r="Y758" s="79"/>
      <c r="AE758" s="130"/>
      <c r="AG758" s="106"/>
    </row>
    <row r="759">
      <c r="C759" s="79"/>
      <c r="D759" s="79"/>
      <c r="E759" s="79"/>
      <c r="O759" s="79"/>
      <c r="S759" s="79"/>
      <c r="T759" s="79"/>
      <c r="Y759" s="79"/>
      <c r="AE759" s="130"/>
      <c r="AG759" s="106"/>
    </row>
    <row r="760">
      <c r="C760" s="79"/>
      <c r="D760" s="79"/>
      <c r="E760" s="79"/>
      <c r="O760" s="79"/>
      <c r="S760" s="79"/>
      <c r="T760" s="79"/>
      <c r="Y760" s="79"/>
      <c r="AE760" s="130"/>
      <c r="AG760" s="106"/>
    </row>
    <row r="761">
      <c r="C761" s="79"/>
      <c r="D761" s="79"/>
      <c r="E761" s="79"/>
      <c r="O761" s="79"/>
      <c r="S761" s="79"/>
      <c r="T761" s="79"/>
      <c r="Y761" s="79"/>
      <c r="AE761" s="130"/>
      <c r="AG761" s="106"/>
    </row>
    <row r="762">
      <c r="C762" s="79"/>
      <c r="D762" s="79"/>
      <c r="E762" s="79"/>
      <c r="O762" s="79"/>
      <c r="S762" s="79"/>
      <c r="T762" s="79"/>
      <c r="Y762" s="79"/>
      <c r="AE762" s="130"/>
      <c r="AG762" s="106"/>
    </row>
    <row r="763">
      <c r="C763" s="79"/>
      <c r="D763" s="79"/>
      <c r="E763" s="79"/>
      <c r="O763" s="79"/>
      <c r="S763" s="79"/>
      <c r="T763" s="79"/>
      <c r="Y763" s="79"/>
      <c r="AE763" s="130"/>
      <c r="AG763" s="106"/>
    </row>
    <row r="764">
      <c r="C764" s="79"/>
      <c r="D764" s="79"/>
      <c r="E764" s="79"/>
      <c r="O764" s="79"/>
      <c r="S764" s="79"/>
      <c r="T764" s="79"/>
      <c r="Y764" s="79"/>
      <c r="AE764" s="130"/>
      <c r="AG764" s="106"/>
    </row>
    <row r="765">
      <c r="C765" s="79"/>
      <c r="D765" s="79"/>
      <c r="E765" s="79"/>
      <c r="O765" s="79"/>
      <c r="S765" s="79"/>
      <c r="T765" s="79"/>
      <c r="Y765" s="79"/>
      <c r="AE765" s="130"/>
      <c r="AG765" s="106"/>
    </row>
    <row r="766">
      <c r="C766" s="79"/>
      <c r="D766" s="79"/>
      <c r="E766" s="79"/>
      <c r="O766" s="79"/>
      <c r="S766" s="79"/>
      <c r="T766" s="79"/>
      <c r="Y766" s="79"/>
      <c r="AE766" s="130"/>
      <c r="AG766" s="106"/>
    </row>
    <row r="767">
      <c r="C767" s="79"/>
      <c r="D767" s="79"/>
      <c r="E767" s="79"/>
      <c r="O767" s="79"/>
      <c r="S767" s="79"/>
      <c r="T767" s="79"/>
      <c r="Y767" s="79"/>
      <c r="AE767" s="130"/>
      <c r="AG767" s="106"/>
    </row>
    <row r="768">
      <c r="C768" s="79"/>
      <c r="D768" s="79"/>
      <c r="E768" s="79"/>
      <c r="O768" s="79"/>
      <c r="S768" s="79"/>
      <c r="T768" s="79"/>
      <c r="Y768" s="79"/>
      <c r="AE768" s="130"/>
      <c r="AG768" s="106"/>
    </row>
    <row r="769">
      <c r="C769" s="79"/>
      <c r="D769" s="79"/>
      <c r="E769" s="79"/>
      <c r="O769" s="79"/>
      <c r="S769" s="79"/>
      <c r="T769" s="79"/>
      <c r="Y769" s="79"/>
      <c r="AE769" s="130"/>
      <c r="AG769" s="106"/>
    </row>
    <row r="770">
      <c r="C770" s="79"/>
      <c r="D770" s="79"/>
      <c r="E770" s="79"/>
      <c r="O770" s="79"/>
      <c r="S770" s="79"/>
      <c r="T770" s="79"/>
      <c r="Y770" s="79"/>
      <c r="AE770" s="130"/>
      <c r="AG770" s="106"/>
    </row>
    <row r="771">
      <c r="C771" s="79"/>
      <c r="D771" s="79"/>
      <c r="E771" s="79"/>
      <c r="O771" s="79"/>
      <c r="S771" s="79"/>
      <c r="T771" s="79"/>
      <c r="Y771" s="79"/>
      <c r="AE771" s="130"/>
      <c r="AG771" s="106"/>
    </row>
    <row r="772">
      <c r="C772" s="79"/>
      <c r="D772" s="79"/>
      <c r="E772" s="79"/>
      <c r="O772" s="79"/>
      <c r="S772" s="79"/>
      <c r="T772" s="79"/>
      <c r="Y772" s="79"/>
      <c r="AE772" s="130"/>
      <c r="AG772" s="106"/>
    </row>
    <row r="773">
      <c r="C773" s="79"/>
      <c r="D773" s="79"/>
      <c r="E773" s="79"/>
      <c r="O773" s="79"/>
      <c r="S773" s="79"/>
      <c r="T773" s="79"/>
      <c r="Y773" s="79"/>
      <c r="AE773" s="130"/>
      <c r="AG773" s="106"/>
    </row>
    <row r="774">
      <c r="C774" s="79"/>
      <c r="D774" s="79"/>
      <c r="E774" s="79"/>
      <c r="O774" s="79"/>
      <c r="S774" s="79"/>
      <c r="T774" s="79"/>
      <c r="Y774" s="79"/>
      <c r="AE774" s="130"/>
      <c r="AG774" s="106"/>
    </row>
    <row r="775">
      <c r="C775" s="79"/>
      <c r="D775" s="79"/>
      <c r="E775" s="79"/>
      <c r="O775" s="79"/>
      <c r="S775" s="79"/>
      <c r="T775" s="79"/>
      <c r="Y775" s="79"/>
      <c r="AE775" s="130"/>
      <c r="AG775" s="106"/>
    </row>
    <row r="776">
      <c r="C776" s="79"/>
      <c r="D776" s="79"/>
      <c r="E776" s="79"/>
      <c r="O776" s="79"/>
      <c r="S776" s="79"/>
      <c r="T776" s="79"/>
      <c r="Y776" s="79"/>
      <c r="AE776" s="130"/>
      <c r="AG776" s="106"/>
    </row>
    <row r="777">
      <c r="C777" s="79"/>
      <c r="D777" s="79"/>
      <c r="E777" s="79"/>
      <c r="O777" s="79"/>
      <c r="S777" s="79"/>
      <c r="T777" s="79"/>
      <c r="Y777" s="79"/>
      <c r="AE777" s="130"/>
      <c r="AG777" s="106"/>
    </row>
    <row r="778">
      <c r="C778" s="79"/>
      <c r="D778" s="79"/>
      <c r="E778" s="79"/>
      <c r="O778" s="79"/>
      <c r="S778" s="79"/>
      <c r="T778" s="79"/>
      <c r="Y778" s="79"/>
      <c r="AE778" s="130"/>
      <c r="AG778" s="106"/>
    </row>
    <row r="779">
      <c r="C779" s="79"/>
      <c r="D779" s="79"/>
      <c r="E779" s="79"/>
      <c r="O779" s="79"/>
      <c r="S779" s="79"/>
      <c r="T779" s="79"/>
      <c r="Y779" s="79"/>
      <c r="AE779" s="130"/>
      <c r="AG779" s="106"/>
    </row>
    <row r="780">
      <c r="C780" s="79"/>
      <c r="D780" s="79"/>
      <c r="E780" s="79"/>
      <c r="O780" s="79"/>
      <c r="S780" s="79"/>
      <c r="T780" s="79"/>
      <c r="Y780" s="79"/>
      <c r="AE780" s="130"/>
      <c r="AG780" s="106"/>
    </row>
    <row r="781">
      <c r="C781" s="79"/>
      <c r="D781" s="79"/>
      <c r="E781" s="79"/>
      <c r="O781" s="79"/>
      <c r="S781" s="79"/>
      <c r="T781" s="79"/>
      <c r="Y781" s="79"/>
      <c r="AE781" s="130"/>
      <c r="AG781" s="106"/>
    </row>
    <row r="782">
      <c r="C782" s="79"/>
      <c r="D782" s="79"/>
      <c r="E782" s="79"/>
      <c r="O782" s="79"/>
      <c r="S782" s="79"/>
      <c r="T782" s="79"/>
      <c r="Y782" s="79"/>
      <c r="AE782" s="130"/>
      <c r="AG782" s="106"/>
    </row>
    <row r="783">
      <c r="C783" s="79"/>
      <c r="D783" s="79"/>
      <c r="E783" s="79"/>
      <c r="O783" s="79"/>
      <c r="S783" s="79"/>
      <c r="T783" s="79"/>
      <c r="Y783" s="79"/>
      <c r="AE783" s="130"/>
      <c r="AG783" s="106"/>
    </row>
    <row r="784">
      <c r="C784" s="79"/>
      <c r="D784" s="79"/>
      <c r="E784" s="79"/>
      <c r="O784" s="79"/>
      <c r="S784" s="79"/>
      <c r="T784" s="79"/>
      <c r="Y784" s="79"/>
      <c r="AE784" s="130"/>
      <c r="AG784" s="106"/>
    </row>
    <row r="785">
      <c r="C785" s="79"/>
      <c r="D785" s="79"/>
      <c r="E785" s="79"/>
      <c r="O785" s="79"/>
      <c r="S785" s="79"/>
      <c r="T785" s="79"/>
      <c r="Y785" s="79"/>
      <c r="AE785" s="130"/>
      <c r="AG785" s="106"/>
    </row>
    <row r="786">
      <c r="C786" s="79"/>
      <c r="D786" s="79"/>
      <c r="E786" s="79"/>
      <c r="O786" s="79"/>
      <c r="S786" s="79"/>
      <c r="T786" s="79"/>
      <c r="Y786" s="79"/>
      <c r="AE786" s="130"/>
      <c r="AG786" s="106"/>
    </row>
    <row r="787">
      <c r="C787" s="79"/>
      <c r="D787" s="79"/>
      <c r="E787" s="79"/>
      <c r="O787" s="79"/>
      <c r="S787" s="79"/>
      <c r="T787" s="79"/>
      <c r="Y787" s="79"/>
      <c r="AE787" s="130"/>
      <c r="AG787" s="106"/>
    </row>
    <row r="788">
      <c r="C788" s="79"/>
      <c r="D788" s="79"/>
      <c r="E788" s="79"/>
      <c r="O788" s="79"/>
      <c r="S788" s="79"/>
      <c r="T788" s="79"/>
      <c r="Y788" s="79"/>
      <c r="AE788" s="130"/>
      <c r="AG788" s="106"/>
    </row>
    <row r="789">
      <c r="C789" s="79"/>
      <c r="D789" s="79"/>
      <c r="E789" s="79"/>
      <c r="O789" s="79"/>
      <c r="S789" s="79"/>
      <c r="T789" s="79"/>
      <c r="Y789" s="79"/>
      <c r="AE789" s="130"/>
      <c r="AG789" s="106"/>
    </row>
    <row r="790">
      <c r="C790" s="79"/>
      <c r="D790" s="79"/>
      <c r="E790" s="79"/>
      <c r="O790" s="79"/>
      <c r="S790" s="79"/>
      <c r="T790" s="79"/>
      <c r="Y790" s="79"/>
      <c r="AE790" s="130"/>
      <c r="AG790" s="106"/>
    </row>
    <row r="791">
      <c r="C791" s="79"/>
      <c r="D791" s="79"/>
      <c r="E791" s="79"/>
      <c r="O791" s="79"/>
      <c r="S791" s="79"/>
      <c r="T791" s="79"/>
      <c r="Y791" s="79"/>
      <c r="AE791" s="130"/>
      <c r="AG791" s="106"/>
    </row>
    <row r="792">
      <c r="C792" s="79"/>
      <c r="D792" s="79"/>
      <c r="E792" s="79"/>
      <c r="O792" s="79"/>
      <c r="S792" s="79"/>
      <c r="T792" s="79"/>
      <c r="Y792" s="79"/>
      <c r="AE792" s="130"/>
      <c r="AG792" s="106"/>
    </row>
    <row r="793">
      <c r="C793" s="79"/>
      <c r="D793" s="79"/>
      <c r="E793" s="79"/>
      <c r="O793" s="79"/>
      <c r="S793" s="79"/>
      <c r="T793" s="79"/>
      <c r="Y793" s="79"/>
      <c r="AE793" s="130"/>
      <c r="AG793" s="106"/>
    </row>
    <row r="794">
      <c r="C794" s="79"/>
      <c r="D794" s="79"/>
      <c r="E794" s="79"/>
      <c r="O794" s="79"/>
      <c r="S794" s="79"/>
      <c r="T794" s="79"/>
      <c r="Y794" s="79"/>
      <c r="AE794" s="130"/>
      <c r="AG794" s="106"/>
    </row>
    <row r="795">
      <c r="C795" s="79"/>
      <c r="D795" s="79"/>
      <c r="E795" s="79"/>
      <c r="O795" s="79"/>
      <c r="S795" s="79"/>
      <c r="T795" s="79"/>
      <c r="Y795" s="79"/>
      <c r="AE795" s="130"/>
      <c r="AG795" s="106"/>
    </row>
    <row r="796">
      <c r="C796" s="79"/>
      <c r="D796" s="79"/>
      <c r="E796" s="79"/>
      <c r="O796" s="79"/>
      <c r="S796" s="79"/>
      <c r="T796" s="79"/>
      <c r="Y796" s="79"/>
      <c r="AE796" s="130"/>
      <c r="AG796" s="106"/>
    </row>
    <row r="797">
      <c r="C797" s="79"/>
      <c r="D797" s="79"/>
      <c r="E797" s="79"/>
      <c r="O797" s="79"/>
      <c r="S797" s="79"/>
      <c r="T797" s="79"/>
      <c r="Y797" s="79"/>
      <c r="AE797" s="130"/>
      <c r="AG797" s="106"/>
    </row>
    <row r="798">
      <c r="C798" s="79"/>
      <c r="D798" s="79"/>
      <c r="E798" s="79"/>
      <c r="O798" s="79"/>
      <c r="S798" s="79"/>
      <c r="T798" s="79"/>
      <c r="Y798" s="79"/>
      <c r="AE798" s="130"/>
      <c r="AG798" s="106"/>
    </row>
    <row r="799">
      <c r="C799" s="79"/>
      <c r="D799" s="79"/>
      <c r="E799" s="79"/>
      <c r="O799" s="79"/>
      <c r="S799" s="79"/>
      <c r="T799" s="79"/>
      <c r="Y799" s="79"/>
      <c r="AE799" s="130"/>
      <c r="AG799" s="106"/>
    </row>
    <row r="800">
      <c r="C800" s="79"/>
      <c r="D800" s="79"/>
      <c r="E800" s="79"/>
      <c r="O800" s="79"/>
      <c r="S800" s="79"/>
      <c r="T800" s="79"/>
      <c r="Y800" s="79"/>
      <c r="AE800" s="130"/>
      <c r="AG800" s="106"/>
    </row>
    <row r="801">
      <c r="C801" s="79"/>
      <c r="D801" s="79"/>
      <c r="E801" s="79"/>
      <c r="O801" s="79"/>
      <c r="S801" s="79"/>
      <c r="T801" s="79"/>
      <c r="Y801" s="79"/>
      <c r="AE801" s="130"/>
      <c r="AG801" s="106"/>
    </row>
    <row r="802">
      <c r="C802" s="79"/>
      <c r="D802" s="79"/>
      <c r="E802" s="79"/>
      <c r="O802" s="79"/>
      <c r="S802" s="79"/>
      <c r="T802" s="79"/>
      <c r="Y802" s="79"/>
      <c r="AE802" s="130"/>
      <c r="AG802" s="106"/>
    </row>
    <row r="803">
      <c r="C803" s="79"/>
      <c r="D803" s="79"/>
      <c r="E803" s="79"/>
      <c r="O803" s="79"/>
      <c r="S803" s="79"/>
      <c r="T803" s="79"/>
      <c r="Y803" s="79"/>
      <c r="AE803" s="130"/>
      <c r="AG803" s="106"/>
    </row>
    <row r="804">
      <c r="C804" s="79"/>
      <c r="D804" s="79"/>
      <c r="E804" s="79"/>
      <c r="O804" s="79"/>
      <c r="S804" s="79"/>
      <c r="T804" s="79"/>
      <c r="Y804" s="79"/>
      <c r="AE804" s="130"/>
      <c r="AG804" s="106"/>
    </row>
    <row r="805">
      <c r="C805" s="79"/>
      <c r="D805" s="79"/>
      <c r="E805" s="79"/>
      <c r="O805" s="79"/>
      <c r="S805" s="79"/>
      <c r="T805" s="79"/>
      <c r="Y805" s="79"/>
      <c r="AE805" s="130"/>
      <c r="AG805" s="106"/>
    </row>
    <row r="806">
      <c r="C806" s="79"/>
      <c r="D806" s="79"/>
      <c r="E806" s="79"/>
      <c r="O806" s="79"/>
      <c r="S806" s="79"/>
      <c r="T806" s="79"/>
      <c r="Y806" s="79"/>
      <c r="AE806" s="130"/>
      <c r="AG806" s="106"/>
    </row>
    <row r="807">
      <c r="C807" s="79"/>
      <c r="D807" s="79"/>
      <c r="E807" s="79"/>
      <c r="O807" s="79"/>
      <c r="S807" s="79"/>
      <c r="T807" s="79"/>
      <c r="Y807" s="79"/>
      <c r="AE807" s="130"/>
      <c r="AG807" s="106"/>
    </row>
    <row r="808">
      <c r="C808" s="79"/>
      <c r="D808" s="79"/>
      <c r="E808" s="79"/>
      <c r="O808" s="79"/>
      <c r="S808" s="79"/>
      <c r="T808" s="79"/>
      <c r="Y808" s="79"/>
      <c r="AE808" s="130"/>
      <c r="AG808" s="106"/>
    </row>
    <row r="809">
      <c r="C809" s="79"/>
      <c r="D809" s="79"/>
      <c r="E809" s="79"/>
      <c r="O809" s="79"/>
      <c r="S809" s="79"/>
      <c r="T809" s="79"/>
      <c r="Y809" s="79"/>
      <c r="AE809" s="130"/>
      <c r="AG809" s="106"/>
    </row>
    <row r="810">
      <c r="C810" s="79"/>
      <c r="D810" s="79"/>
      <c r="E810" s="79"/>
      <c r="O810" s="79"/>
      <c r="S810" s="79"/>
      <c r="T810" s="79"/>
      <c r="Y810" s="79"/>
      <c r="AE810" s="130"/>
      <c r="AG810" s="106"/>
    </row>
    <row r="811">
      <c r="C811" s="79"/>
      <c r="D811" s="79"/>
      <c r="E811" s="79"/>
      <c r="O811" s="79"/>
      <c r="S811" s="79"/>
      <c r="T811" s="79"/>
      <c r="Y811" s="79"/>
      <c r="AE811" s="130"/>
      <c r="AG811" s="106"/>
    </row>
    <row r="812">
      <c r="C812" s="79"/>
      <c r="D812" s="79"/>
      <c r="E812" s="79"/>
      <c r="O812" s="79"/>
      <c r="S812" s="79"/>
      <c r="T812" s="79"/>
      <c r="Y812" s="79"/>
      <c r="AE812" s="130"/>
      <c r="AG812" s="106"/>
    </row>
    <row r="813">
      <c r="C813" s="79"/>
      <c r="D813" s="79"/>
      <c r="E813" s="79"/>
      <c r="O813" s="79"/>
      <c r="S813" s="79"/>
      <c r="T813" s="79"/>
      <c r="Y813" s="79"/>
      <c r="AE813" s="130"/>
      <c r="AG813" s="106"/>
    </row>
    <row r="814">
      <c r="C814" s="79"/>
      <c r="D814" s="79"/>
      <c r="E814" s="79"/>
      <c r="O814" s="79"/>
      <c r="S814" s="79"/>
      <c r="T814" s="79"/>
      <c r="Y814" s="79"/>
      <c r="AE814" s="130"/>
      <c r="AG814" s="106"/>
    </row>
    <row r="815">
      <c r="C815" s="79"/>
      <c r="D815" s="79"/>
      <c r="E815" s="79"/>
      <c r="O815" s="79"/>
      <c r="S815" s="79"/>
      <c r="T815" s="79"/>
      <c r="Y815" s="79"/>
      <c r="AE815" s="130"/>
      <c r="AG815" s="106"/>
    </row>
    <row r="816">
      <c r="C816" s="79"/>
      <c r="D816" s="79"/>
      <c r="E816" s="79"/>
      <c r="O816" s="79"/>
      <c r="S816" s="79"/>
      <c r="T816" s="79"/>
      <c r="Y816" s="79"/>
      <c r="AE816" s="130"/>
      <c r="AG816" s="106"/>
    </row>
    <row r="817">
      <c r="C817" s="79"/>
      <c r="D817" s="79"/>
      <c r="E817" s="79"/>
      <c r="O817" s="79"/>
      <c r="S817" s="79"/>
      <c r="T817" s="79"/>
      <c r="Y817" s="79"/>
      <c r="AE817" s="130"/>
      <c r="AG817" s="106"/>
    </row>
    <row r="818">
      <c r="C818" s="79"/>
      <c r="D818" s="79"/>
      <c r="E818" s="79"/>
      <c r="O818" s="79"/>
      <c r="S818" s="79"/>
      <c r="T818" s="79"/>
      <c r="Y818" s="79"/>
      <c r="AE818" s="130"/>
      <c r="AG818" s="106"/>
    </row>
    <row r="819">
      <c r="C819" s="79"/>
      <c r="D819" s="79"/>
      <c r="E819" s="79"/>
      <c r="O819" s="79"/>
      <c r="S819" s="79"/>
      <c r="T819" s="79"/>
      <c r="Y819" s="79"/>
      <c r="AE819" s="130"/>
      <c r="AG819" s="106"/>
    </row>
    <row r="820">
      <c r="C820" s="79"/>
      <c r="D820" s="79"/>
      <c r="E820" s="79"/>
      <c r="O820" s="79"/>
      <c r="S820" s="79"/>
      <c r="T820" s="79"/>
      <c r="Y820" s="79"/>
      <c r="AE820" s="130"/>
      <c r="AG820" s="106"/>
    </row>
    <row r="821">
      <c r="C821" s="79"/>
      <c r="D821" s="79"/>
      <c r="E821" s="79"/>
      <c r="O821" s="79"/>
      <c r="S821" s="79"/>
      <c r="T821" s="79"/>
      <c r="Y821" s="79"/>
      <c r="AE821" s="130"/>
      <c r="AG821" s="106"/>
    </row>
    <row r="822">
      <c r="C822" s="79"/>
      <c r="D822" s="79"/>
      <c r="E822" s="79"/>
      <c r="O822" s="79"/>
      <c r="S822" s="79"/>
      <c r="T822" s="79"/>
      <c r="Y822" s="79"/>
      <c r="AE822" s="130"/>
      <c r="AG822" s="106"/>
    </row>
    <row r="823">
      <c r="C823" s="79"/>
      <c r="D823" s="79"/>
      <c r="E823" s="79"/>
      <c r="O823" s="79"/>
      <c r="S823" s="79"/>
      <c r="T823" s="79"/>
      <c r="Y823" s="79"/>
      <c r="AE823" s="130"/>
      <c r="AG823" s="106"/>
    </row>
    <row r="824">
      <c r="C824" s="79"/>
      <c r="D824" s="79"/>
      <c r="E824" s="79"/>
      <c r="O824" s="79"/>
      <c r="S824" s="79"/>
      <c r="T824" s="79"/>
      <c r="Y824" s="79"/>
      <c r="AE824" s="130"/>
      <c r="AG824" s="106"/>
    </row>
    <row r="825">
      <c r="C825" s="79"/>
      <c r="D825" s="79"/>
      <c r="E825" s="79"/>
      <c r="O825" s="79"/>
      <c r="S825" s="79"/>
      <c r="T825" s="79"/>
      <c r="Y825" s="79"/>
      <c r="AE825" s="130"/>
      <c r="AG825" s="106"/>
    </row>
    <row r="826">
      <c r="C826" s="79"/>
      <c r="D826" s="79"/>
      <c r="E826" s="79"/>
      <c r="O826" s="79"/>
      <c r="S826" s="79"/>
      <c r="T826" s="79"/>
      <c r="Y826" s="79"/>
      <c r="AE826" s="130"/>
      <c r="AG826" s="106"/>
    </row>
    <row r="827">
      <c r="C827" s="79"/>
      <c r="D827" s="79"/>
      <c r="E827" s="79"/>
      <c r="O827" s="79"/>
      <c r="S827" s="79"/>
      <c r="T827" s="79"/>
      <c r="Y827" s="79"/>
      <c r="AE827" s="130"/>
      <c r="AG827" s="106"/>
    </row>
    <row r="828">
      <c r="C828" s="79"/>
      <c r="D828" s="79"/>
      <c r="E828" s="79"/>
      <c r="O828" s="79"/>
      <c r="S828" s="79"/>
      <c r="T828" s="79"/>
      <c r="Y828" s="79"/>
      <c r="AE828" s="130"/>
      <c r="AG828" s="106"/>
    </row>
    <row r="829">
      <c r="C829" s="79"/>
      <c r="D829" s="79"/>
      <c r="E829" s="79"/>
      <c r="O829" s="79"/>
      <c r="S829" s="79"/>
      <c r="T829" s="79"/>
      <c r="Y829" s="79"/>
      <c r="AE829" s="130"/>
      <c r="AG829" s="106"/>
    </row>
    <row r="830">
      <c r="C830" s="79"/>
      <c r="D830" s="79"/>
      <c r="E830" s="79"/>
      <c r="O830" s="79"/>
      <c r="S830" s="79"/>
      <c r="T830" s="79"/>
      <c r="Y830" s="79"/>
      <c r="AE830" s="130"/>
      <c r="AG830" s="106"/>
    </row>
    <row r="831">
      <c r="C831" s="79"/>
      <c r="D831" s="79"/>
      <c r="E831" s="79"/>
      <c r="O831" s="79"/>
      <c r="S831" s="79"/>
      <c r="T831" s="79"/>
      <c r="Y831" s="79"/>
      <c r="AE831" s="130"/>
      <c r="AG831" s="106"/>
    </row>
    <row r="832">
      <c r="C832" s="79"/>
      <c r="D832" s="79"/>
      <c r="E832" s="79"/>
      <c r="O832" s="79"/>
      <c r="S832" s="79"/>
      <c r="T832" s="79"/>
      <c r="Y832" s="79"/>
      <c r="AE832" s="130"/>
      <c r="AG832" s="106"/>
    </row>
    <row r="833">
      <c r="C833" s="79"/>
      <c r="D833" s="79"/>
      <c r="E833" s="79"/>
      <c r="O833" s="79"/>
      <c r="S833" s="79"/>
      <c r="T833" s="79"/>
      <c r="Y833" s="79"/>
      <c r="AE833" s="130"/>
      <c r="AG833" s="106"/>
    </row>
    <row r="834">
      <c r="C834" s="79"/>
      <c r="D834" s="79"/>
      <c r="E834" s="79"/>
      <c r="O834" s="79"/>
      <c r="S834" s="79"/>
      <c r="T834" s="79"/>
      <c r="Y834" s="79"/>
      <c r="AE834" s="130"/>
      <c r="AG834" s="106"/>
    </row>
    <row r="835">
      <c r="C835" s="79"/>
      <c r="D835" s="79"/>
      <c r="E835" s="79"/>
      <c r="O835" s="79"/>
      <c r="S835" s="79"/>
      <c r="T835" s="79"/>
      <c r="Y835" s="79"/>
      <c r="AE835" s="130"/>
      <c r="AG835" s="106"/>
    </row>
    <row r="836">
      <c r="C836" s="79"/>
      <c r="D836" s="79"/>
      <c r="E836" s="79"/>
      <c r="O836" s="79"/>
      <c r="S836" s="79"/>
      <c r="T836" s="79"/>
      <c r="Y836" s="79"/>
      <c r="AE836" s="130"/>
      <c r="AG836" s="106"/>
    </row>
    <row r="837">
      <c r="C837" s="79"/>
      <c r="D837" s="79"/>
      <c r="E837" s="79"/>
      <c r="O837" s="79"/>
      <c r="S837" s="79"/>
      <c r="T837" s="79"/>
      <c r="Y837" s="79"/>
      <c r="AE837" s="130"/>
      <c r="AG837" s="106"/>
    </row>
    <row r="838">
      <c r="C838" s="79"/>
      <c r="D838" s="79"/>
      <c r="E838" s="79"/>
      <c r="O838" s="79"/>
      <c r="S838" s="79"/>
      <c r="T838" s="79"/>
      <c r="Y838" s="79"/>
      <c r="AE838" s="130"/>
      <c r="AG838" s="106"/>
    </row>
    <row r="839">
      <c r="C839" s="79"/>
      <c r="D839" s="79"/>
      <c r="E839" s="79"/>
      <c r="O839" s="79"/>
      <c r="S839" s="79"/>
      <c r="T839" s="79"/>
      <c r="Y839" s="79"/>
      <c r="AE839" s="130"/>
      <c r="AG839" s="106"/>
    </row>
    <row r="840">
      <c r="C840" s="79"/>
      <c r="D840" s="79"/>
      <c r="E840" s="79"/>
      <c r="O840" s="79"/>
      <c r="S840" s="79"/>
      <c r="T840" s="79"/>
      <c r="Y840" s="79"/>
      <c r="AE840" s="130"/>
      <c r="AG840" s="106"/>
    </row>
    <row r="841">
      <c r="O841" s="79"/>
      <c r="S841" s="79"/>
      <c r="T841" s="79"/>
      <c r="Y841" s="79"/>
      <c r="AE841" s="130"/>
      <c r="AG841" s="106"/>
    </row>
    <row r="842">
      <c r="O842" s="79"/>
      <c r="S842" s="79"/>
      <c r="T842" s="79"/>
      <c r="Y842" s="79"/>
      <c r="AE842" s="130"/>
      <c r="AG842" s="106"/>
    </row>
    <row r="843">
      <c r="O843" s="79"/>
      <c r="S843" s="79"/>
      <c r="T843" s="79"/>
      <c r="Y843" s="79"/>
      <c r="AE843" s="130"/>
      <c r="AG843" s="106"/>
    </row>
    <row r="844">
      <c r="O844" s="79"/>
      <c r="S844" s="79"/>
      <c r="T844" s="79"/>
      <c r="Y844" s="79"/>
      <c r="AE844" s="130"/>
      <c r="AG844" s="106"/>
    </row>
    <row r="845">
      <c r="O845" s="79"/>
      <c r="S845" s="79"/>
      <c r="T845" s="79"/>
      <c r="Y845" s="79"/>
      <c r="AE845" s="130"/>
      <c r="AG845" s="106"/>
    </row>
    <row r="846">
      <c r="O846" s="79"/>
      <c r="S846" s="79"/>
      <c r="T846" s="79"/>
      <c r="Y846" s="79"/>
      <c r="AE846" s="130"/>
      <c r="AG846" s="106"/>
    </row>
    <row r="847">
      <c r="O847" s="79"/>
      <c r="S847" s="79"/>
      <c r="T847" s="79"/>
      <c r="Y847" s="79"/>
      <c r="AE847" s="130"/>
      <c r="AG847" s="106"/>
    </row>
    <row r="848">
      <c r="O848" s="79"/>
      <c r="S848" s="79"/>
      <c r="T848" s="79"/>
      <c r="Y848" s="79"/>
      <c r="AE848" s="130"/>
      <c r="AG848" s="106"/>
    </row>
    <row r="849">
      <c r="O849" s="79"/>
      <c r="S849" s="79"/>
      <c r="T849" s="79"/>
      <c r="Y849" s="79"/>
      <c r="AE849" s="130"/>
      <c r="AG849" s="106"/>
    </row>
    <row r="850">
      <c r="O850" s="79"/>
      <c r="S850" s="79"/>
      <c r="T850" s="79"/>
      <c r="Y850" s="79"/>
      <c r="AE850" s="130"/>
      <c r="AG850" s="106"/>
    </row>
    <row r="851">
      <c r="O851" s="79"/>
      <c r="S851" s="79"/>
      <c r="T851" s="79"/>
      <c r="Y851" s="79"/>
      <c r="AE851" s="130"/>
      <c r="AG851" s="106"/>
    </row>
    <row r="852">
      <c r="O852" s="79"/>
      <c r="S852" s="79"/>
      <c r="T852" s="79"/>
      <c r="Y852" s="79"/>
      <c r="AE852" s="130"/>
      <c r="AG852" s="106"/>
    </row>
    <row r="853">
      <c r="O853" s="79"/>
      <c r="S853" s="79"/>
      <c r="T853" s="79"/>
      <c r="Y853" s="79"/>
      <c r="AE853" s="130"/>
      <c r="AG853" s="106"/>
    </row>
  </sheetData>
  <autoFilter ref="$A$36:$F$97">
    <sortState ref="A36:F97">
      <sortCondition descending="1" sortBy="cellColor" ref="E36:E97" dxfId="1"/>
      <sortCondition descending="1" sortBy="cellColor" ref="C36:C97" dxfId="1"/>
      <sortCondition descending="1" sortBy="cellColor" ref="A36:A97" dxfId="1"/>
    </sortState>
  </autoFilter>
  <mergeCells count="1">
    <mergeCell ref="B33:E33"/>
  </mergeCells>
  <conditionalFormatting sqref="H37:H49">
    <cfRule type="cellIs" dxfId="2" priority="1" operator="greaterThanOrEqual">
      <formula>1</formula>
    </cfRule>
  </conditionalFormatting>
  <conditionalFormatting sqref="H37:H49">
    <cfRule type="cellIs" dxfId="3" priority="2" operator="lessThanOrEqual">
      <formula>0</formula>
    </cfRule>
  </conditionalFormatting>
  <drawing r:id="rId2"/>
  <legacyDrawing r:id="rId3"/>
  <tableParts count="2">
    <tablePart r:id="rId6"/>
    <tablePart r:id="rId7"/>
  </tableParts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3" max="3" width="27.88"/>
    <col customWidth="1" min="4" max="4" width="25.75"/>
    <col customWidth="1" min="5" max="5" width="20.88"/>
    <col customWidth="1" min="6" max="6" width="15.5"/>
    <col customWidth="1" min="7" max="7" width="25.13"/>
    <col customWidth="1" min="8" max="8" width="24.0"/>
    <col customWidth="1" min="9" max="10" width="15.5"/>
    <col customWidth="1" min="11" max="11" width="16.5"/>
    <col customWidth="1" min="12" max="13" width="15.5"/>
    <col customWidth="1" min="15" max="15" width="27.38"/>
    <col customWidth="1" min="17" max="17" width="11.13"/>
    <col customWidth="1" min="26" max="26" width="14.63"/>
    <col customWidth="1" min="29" max="29" width="19.88"/>
    <col customWidth="1" min="33" max="33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854</v>
      </c>
      <c r="J1" s="2" t="s">
        <v>5</v>
      </c>
      <c r="K1" s="2" t="s">
        <v>303</v>
      </c>
      <c r="L1" s="2" t="s">
        <v>6</v>
      </c>
      <c r="M1" s="2" t="s">
        <v>12</v>
      </c>
      <c r="N1" s="2" t="s">
        <v>49</v>
      </c>
      <c r="O1" s="105" t="s">
        <v>304</v>
      </c>
      <c r="P1" s="2" t="s">
        <v>37</v>
      </c>
      <c r="Q1" s="2" t="s">
        <v>10</v>
      </c>
      <c r="R1" s="2" t="s">
        <v>42</v>
      </c>
      <c r="S1" s="105" t="s">
        <v>656</v>
      </c>
      <c r="T1" s="105" t="s">
        <v>9</v>
      </c>
      <c r="U1" s="2" t="s">
        <v>164</v>
      </c>
      <c r="V1" s="105" t="s">
        <v>40</v>
      </c>
      <c r="W1" s="2" t="s">
        <v>83</v>
      </c>
      <c r="X1" s="2" t="s">
        <v>204</v>
      </c>
      <c r="Y1" s="105" t="s">
        <v>205</v>
      </c>
      <c r="Z1" s="2" t="s">
        <v>206</v>
      </c>
      <c r="AA1" s="2" t="s">
        <v>305</v>
      </c>
      <c r="AB1" s="3" t="s">
        <v>846</v>
      </c>
      <c r="AC1" s="3" t="s">
        <v>828</v>
      </c>
      <c r="AD1" s="3" t="s">
        <v>13</v>
      </c>
      <c r="AE1" s="3" t="s">
        <v>14</v>
      </c>
      <c r="AF1" s="3" t="s">
        <v>15</v>
      </c>
      <c r="AG1" s="106"/>
      <c r="AH1" s="265" t="s">
        <v>306</v>
      </c>
      <c r="AI1" s="266" t="s">
        <v>80</v>
      </c>
    </row>
    <row r="2">
      <c r="A2" s="74">
        <v>45663.0</v>
      </c>
      <c r="B2" s="93"/>
      <c r="C2" s="93"/>
      <c r="D2" s="93"/>
      <c r="E2" s="93"/>
      <c r="F2" s="93"/>
      <c r="G2" s="93">
        <v>180.0</v>
      </c>
      <c r="H2" s="93"/>
      <c r="I2" s="93"/>
      <c r="J2" s="374"/>
      <c r="K2" s="93"/>
      <c r="L2" s="93"/>
      <c r="M2" s="93"/>
      <c r="N2" s="93">
        <f>798-72-78</f>
        <v>648</v>
      </c>
      <c r="O2" s="93"/>
      <c r="P2" s="72"/>
      <c r="Q2" s="93"/>
      <c r="R2" s="93"/>
      <c r="S2" s="93"/>
      <c r="T2" s="93"/>
      <c r="U2" s="93"/>
      <c r="V2" s="93"/>
      <c r="W2" s="93"/>
      <c r="X2" s="93"/>
      <c r="Y2" s="93"/>
      <c r="Z2" s="93"/>
      <c r="AA2" s="250">
        <v>49.57</v>
      </c>
      <c r="AB2" s="382">
        <v>330.0</v>
      </c>
      <c r="AC2" s="386"/>
      <c r="AD2" s="107">
        <f>SUM(B2:AA2)</f>
        <v>877.57</v>
      </c>
      <c r="AE2" s="158">
        <v>0.0</v>
      </c>
      <c r="AF2" s="59" t="str">
        <f t="shared" ref="AF2:AF8" si="1">AD2/AE2</f>
        <v>#DIV/0!</v>
      </c>
      <c r="AG2" s="109">
        <f t="shared" ref="AG2:AG8" si="2">A2</f>
        <v>45663</v>
      </c>
      <c r="AH2" s="267"/>
      <c r="AI2" s="268">
        <f t="shared" ref="AI2:AI8" si="3">AE2-AH2</f>
        <v>0</v>
      </c>
    </row>
    <row r="3">
      <c r="A3" s="74">
        <f t="shared" ref="A3:A8" si="4">A2+1</f>
        <v>45664</v>
      </c>
      <c r="B3" s="93">
        <f>159.07+21.78+496.99-15.88-44.98-15.58</f>
        <v>601.4</v>
      </c>
      <c r="C3" s="93">
        <f>545.85-50.5-46-84.7</f>
        <v>364.65</v>
      </c>
      <c r="D3" s="93">
        <v>207.5</v>
      </c>
      <c r="E3" s="93"/>
      <c r="F3" s="93"/>
      <c r="G3" s="93"/>
      <c r="H3" s="168"/>
      <c r="I3" s="93"/>
      <c r="J3" s="93">
        <v>1060.7</v>
      </c>
      <c r="K3" s="93"/>
      <c r="L3" s="93"/>
      <c r="M3" s="93"/>
      <c r="N3" s="93"/>
      <c r="O3" s="93"/>
      <c r="P3" s="93"/>
      <c r="Q3" s="93">
        <f>38+337.6-110-61.9</f>
        <v>203.7</v>
      </c>
      <c r="R3" s="93"/>
      <c r="S3" s="93"/>
      <c r="T3" s="93"/>
      <c r="U3" s="93"/>
      <c r="V3" s="93"/>
      <c r="W3" s="93"/>
      <c r="X3" s="93"/>
      <c r="Y3" s="93"/>
      <c r="Z3" s="93"/>
      <c r="AA3" s="326"/>
      <c r="AB3" s="326"/>
      <c r="AC3" s="326"/>
      <c r="AD3" s="107">
        <f t="shared" ref="AD3:AD8" si="5">SUM(B3:Z3)</f>
        <v>2437.95</v>
      </c>
      <c r="AE3" s="158">
        <v>4715.0</v>
      </c>
      <c r="AF3" s="59">
        <f t="shared" si="1"/>
        <v>0.5170625663</v>
      </c>
      <c r="AG3" s="109">
        <f t="shared" si="2"/>
        <v>45664</v>
      </c>
      <c r="AH3" s="267"/>
      <c r="AI3" s="268">
        <f t="shared" si="3"/>
        <v>4715</v>
      </c>
    </row>
    <row r="4">
      <c r="A4" s="74">
        <f t="shared" si="4"/>
        <v>45665</v>
      </c>
      <c r="B4" s="93">
        <f>665.5-27.41-45.65-47.2-26-74.28-52.86-16.58-18.12-23.58-22.11</f>
        <v>311.71</v>
      </c>
      <c r="C4" s="93">
        <f>182.2-14.1-24.5</f>
        <v>143.6</v>
      </c>
      <c r="D4" s="93">
        <f>230.15+271.06-122.8-60.26</f>
        <v>318.15</v>
      </c>
      <c r="E4" s="93"/>
      <c r="F4" s="93"/>
      <c r="G4" s="93"/>
      <c r="H4" s="168"/>
      <c r="I4" s="93"/>
      <c r="J4" s="93"/>
      <c r="K4" s="93"/>
      <c r="L4" s="93"/>
      <c r="M4" s="93"/>
      <c r="N4" s="93"/>
      <c r="O4" s="93"/>
      <c r="P4" s="160"/>
      <c r="Q4" s="93"/>
      <c r="R4" s="250"/>
      <c r="S4" s="93"/>
      <c r="T4" s="93"/>
      <c r="U4" s="93"/>
      <c r="V4" s="93"/>
      <c r="W4" s="93"/>
      <c r="X4" s="93"/>
      <c r="Y4" s="93"/>
      <c r="Z4" s="101"/>
      <c r="AA4" s="326"/>
      <c r="AB4" s="326"/>
      <c r="AC4" s="326"/>
      <c r="AD4" s="107">
        <f t="shared" si="5"/>
        <v>773.46</v>
      </c>
      <c r="AE4" s="158">
        <v>6210.0</v>
      </c>
      <c r="AF4" s="59">
        <f t="shared" si="1"/>
        <v>0.1245507246</v>
      </c>
      <c r="AG4" s="109">
        <f t="shared" si="2"/>
        <v>45665</v>
      </c>
      <c r="AH4" s="267"/>
      <c r="AI4" s="268">
        <f t="shared" si="3"/>
        <v>6210</v>
      </c>
    </row>
    <row r="5">
      <c r="A5" s="74">
        <f t="shared" si="4"/>
        <v>45666</v>
      </c>
      <c r="B5" s="93">
        <f>1105.71-85.45-172.08-27.41-15.99-23.61-62.66-70-28.8-13.81-13.26-16.19</f>
        <v>576.45</v>
      </c>
      <c r="C5" s="93">
        <f>291.5-13</f>
        <v>278.5</v>
      </c>
      <c r="D5" s="93">
        <f>262.43-121.16+184.12</f>
        <v>325.39</v>
      </c>
      <c r="E5" s="93"/>
      <c r="F5" s="166"/>
      <c r="G5" s="93">
        <v>180.0</v>
      </c>
      <c r="I5" s="387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101"/>
      <c r="Z5" s="101"/>
      <c r="AA5" s="327"/>
      <c r="AB5" s="327"/>
      <c r="AC5" s="93">
        <v>1980.25</v>
      </c>
      <c r="AD5" s="7">
        <f t="shared" si="5"/>
        <v>1360.34</v>
      </c>
      <c r="AE5" s="380">
        <v>8603.0</v>
      </c>
      <c r="AF5" s="59">
        <f t="shared" si="1"/>
        <v>0.1581239103</v>
      </c>
      <c r="AG5" s="109">
        <f t="shared" si="2"/>
        <v>45666</v>
      </c>
      <c r="AH5" s="267"/>
      <c r="AI5" s="268">
        <f t="shared" si="3"/>
        <v>8603</v>
      </c>
    </row>
    <row r="6">
      <c r="A6" s="74">
        <f t="shared" si="4"/>
        <v>45667</v>
      </c>
      <c r="B6" s="93">
        <f>591.61-38.85-55.6-38.46-26.92</f>
        <v>431.78</v>
      </c>
      <c r="D6" s="93"/>
      <c r="E6" s="93"/>
      <c r="F6" s="79"/>
      <c r="G6" s="93"/>
      <c r="H6" s="160"/>
      <c r="I6" s="93"/>
      <c r="J6" s="374">
        <v>590.88</v>
      </c>
      <c r="K6" s="93"/>
      <c r="L6" s="93"/>
      <c r="M6" s="93"/>
      <c r="N6" s="93">
        <v>243.0</v>
      </c>
      <c r="O6" s="93"/>
      <c r="P6" s="93"/>
      <c r="Q6" s="93"/>
      <c r="R6" s="93"/>
      <c r="S6" s="93"/>
      <c r="T6" s="374"/>
      <c r="U6" s="93"/>
      <c r="V6" s="93"/>
      <c r="W6" s="93"/>
      <c r="X6" s="93"/>
      <c r="Y6" s="93"/>
      <c r="Z6" s="93"/>
      <c r="AA6" s="327"/>
      <c r="AB6" s="327"/>
      <c r="AC6" s="327"/>
      <c r="AD6" s="7">
        <f t="shared" si="5"/>
        <v>1265.66</v>
      </c>
      <c r="AE6" s="380">
        <v>14973.0</v>
      </c>
      <c r="AF6" s="59">
        <f t="shared" si="1"/>
        <v>0.08452948641</v>
      </c>
      <c r="AG6" s="109">
        <f t="shared" si="2"/>
        <v>45667</v>
      </c>
      <c r="AH6" s="267"/>
      <c r="AI6" s="268">
        <f t="shared" si="3"/>
        <v>14973</v>
      </c>
    </row>
    <row r="7">
      <c r="A7" s="74">
        <f t="shared" si="4"/>
        <v>45668</v>
      </c>
      <c r="B7" s="93">
        <f>599.33-254.2-31.6-13.54-23.6-25.39-11.93</f>
        <v>239.07</v>
      </c>
      <c r="C7" s="361">
        <f>384-38.5</f>
        <v>345.5</v>
      </c>
      <c r="D7" s="93">
        <v>728.21</v>
      </c>
      <c r="E7" s="79"/>
      <c r="F7" s="93"/>
      <c r="G7" s="93">
        <v>180.0</v>
      </c>
      <c r="H7" s="79"/>
      <c r="I7" s="93"/>
      <c r="J7" s="93"/>
      <c r="K7" s="93"/>
      <c r="L7" s="93"/>
      <c r="M7" s="93"/>
      <c r="N7" s="93"/>
      <c r="O7" s="93"/>
      <c r="P7" s="402"/>
      <c r="Q7" s="93">
        <v>255.0</v>
      </c>
      <c r="R7" s="93"/>
      <c r="S7" s="101"/>
      <c r="T7" s="93"/>
      <c r="U7" s="93"/>
      <c r="V7" s="93"/>
      <c r="W7" s="93"/>
      <c r="X7" s="93"/>
      <c r="Y7" s="101"/>
      <c r="Z7" s="93"/>
      <c r="AA7" s="327"/>
      <c r="AB7" s="327"/>
      <c r="AC7" s="327"/>
      <c r="AD7" s="7">
        <f t="shared" si="5"/>
        <v>1747.78</v>
      </c>
      <c r="AE7" s="380">
        <v>14655.0</v>
      </c>
      <c r="AF7" s="59">
        <f t="shared" si="1"/>
        <v>0.1192616854</v>
      </c>
      <c r="AG7" s="109">
        <f t="shared" si="2"/>
        <v>45668</v>
      </c>
      <c r="AH7" s="267"/>
      <c r="AI7" s="268">
        <f t="shared" si="3"/>
        <v>14655</v>
      </c>
    </row>
    <row r="8">
      <c r="A8" s="74">
        <f t="shared" si="4"/>
        <v>45669</v>
      </c>
      <c r="B8" s="93"/>
      <c r="C8" s="374"/>
      <c r="D8" s="649">
        <v>1178.91</v>
      </c>
      <c r="E8" s="374"/>
      <c r="F8" s="344">
        <v>370.9</v>
      </c>
      <c r="G8" s="112"/>
      <c r="H8" s="93"/>
      <c r="I8" s="374"/>
      <c r="J8" s="402"/>
      <c r="K8" s="180"/>
      <c r="L8" s="112"/>
      <c r="M8" s="112"/>
      <c r="N8" s="93"/>
      <c r="O8" s="93"/>
      <c r="P8" s="93"/>
      <c r="Q8" s="93"/>
      <c r="R8" s="374"/>
      <c r="S8" s="101"/>
      <c r="T8" s="374"/>
      <c r="U8" s="374"/>
      <c r="V8" s="112"/>
      <c r="W8" s="112"/>
      <c r="X8" s="112"/>
      <c r="Y8" s="112"/>
      <c r="Z8" s="112"/>
      <c r="AA8" s="93"/>
      <c r="AB8" s="433"/>
      <c r="AC8" s="616"/>
      <c r="AD8" s="7">
        <f t="shared" si="5"/>
        <v>1549.81</v>
      </c>
      <c r="AE8" s="380">
        <v>0.0</v>
      </c>
      <c r="AF8" s="59" t="str">
        <f t="shared" si="1"/>
        <v>#DIV/0!</v>
      </c>
      <c r="AG8" s="109">
        <f t="shared" si="2"/>
        <v>45669</v>
      </c>
      <c r="AH8" s="267"/>
      <c r="AI8" s="268">
        <f t="shared" si="3"/>
        <v>0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E9" s="129"/>
      <c r="AG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E10" s="129"/>
      <c r="AG10" s="106"/>
    </row>
    <row r="11">
      <c r="A11" s="165" t="s">
        <v>194</v>
      </c>
      <c r="B11" s="93">
        <f>59.15+32.8+26.85+20.44+17.01+127.1+27.28+46.56+14.47+26.74+15.88+44.98+15.58+27.41+23.58+22.11+27.41+15.99+23.61+13.81+55.6+38.46+26.92+25.39+31.6+11.93+254.2</f>
        <v>1072.86</v>
      </c>
      <c r="C11" s="93">
        <f>14.1+24.5+38.5</f>
        <v>77.1</v>
      </c>
      <c r="D11" s="180">
        <v>300.0</v>
      </c>
      <c r="E11" s="167"/>
      <c r="F11" s="168"/>
      <c r="G11" s="168"/>
      <c r="H11" s="93"/>
      <c r="I11" s="166"/>
      <c r="J11" s="93"/>
      <c r="K11" s="168"/>
      <c r="L11" s="93"/>
      <c r="M11" s="93"/>
      <c r="N11" s="93"/>
      <c r="O11" s="168"/>
      <c r="P11" s="168"/>
      <c r="Q11" s="168"/>
      <c r="R11" s="168"/>
      <c r="S11" s="168"/>
      <c r="T11" s="168"/>
      <c r="U11" s="168"/>
      <c r="V11" s="168"/>
      <c r="W11" s="1"/>
      <c r="X11" s="168"/>
      <c r="Y11" s="168"/>
      <c r="Z11" s="1"/>
      <c r="AA11" s="96"/>
      <c r="AB11" s="1"/>
      <c r="AC11" s="1"/>
      <c r="AD11" s="1"/>
      <c r="AE11" s="169"/>
      <c r="AF11" s="1"/>
      <c r="AG11" s="170"/>
    </row>
    <row r="12">
      <c r="A12" s="165" t="s">
        <v>195</v>
      </c>
      <c r="B12" s="587">
        <f>45.65+47.2+26+74.28+52.86+16.58+18.12+172.08+13.26+16.19+38.85+23.6+13.54</f>
        <v>558.21</v>
      </c>
      <c r="C12" s="650">
        <f>50.5+46+84.7</f>
        <v>181.2</v>
      </c>
      <c r="D12" s="93">
        <f>122.8+60.26+160.3</f>
        <v>343.36</v>
      </c>
      <c r="E12" s="93"/>
      <c r="F12" s="374"/>
      <c r="G12" s="93"/>
      <c r="H12" s="79"/>
      <c r="I12" s="93"/>
      <c r="J12" s="93"/>
      <c r="K12" s="79"/>
      <c r="L12" s="93"/>
      <c r="M12" s="93"/>
      <c r="N12" s="93">
        <f>72+78</f>
        <v>150</v>
      </c>
      <c r="O12" s="168"/>
      <c r="P12" s="168"/>
      <c r="Q12" s="93">
        <v>61.9</v>
      </c>
      <c r="R12" s="166"/>
      <c r="S12" s="93"/>
      <c r="T12" s="166"/>
      <c r="U12" s="168"/>
      <c r="V12" s="168"/>
      <c r="W12" s="1"/>
      <c r="X12" s="93"/>
      <c r="Y12" s="168"/>
      <c r="Z12" s="1"/>
      <c r="AA12" s="1"/>
      <c r="AB12" s="192"/>
      <c r="AC12" s="1"/>
      <c r="AD12" s="1"/>
      <c r="AE12" s="171"/>
      <c r="AF12" s="1"/>
      <c r="AG12" s="170"/>
    </row>
    <row r="13" hidden="1">
      <c r="A13" s="172" t="s">
        <v>817</v>
      </c>
      <c r="B13" s="93"/>
      <c r="C13" s="93"/>
      <c r="D13" s="93"/>
      <c r="E13" s="93"/>
      <c r="F13" s="374"/>
      <c r="G13" s="93"/>
      <c r="H13" s="93"/>
      <c r="I13" s="93"/>
      <c r="J13" s="93"/>
      <c r="K13" s="374"/>
      <c r="L13" s="93"/>
      <c r="M13" s="93"/>
      <c r="N13" s="93"/>
      <c r="O13" s="166"/>
      <c r="P13" s="168"/>
      <c r="Q13" s="93"/>
      <c r="R13" s="166"/>
      <c r="S13" s="168"/>
      <c r="T13" s="166"/>
      <c r="U13" s="93"/>
      <c r="V13" s="168"/>
      <c r="W13" s="1"/>
      <c r="X13" s="93"/>
      <c r="Y13" s="168"/>
      <c r="Z13" s="1"/>
      <c r="AA13" s="1"/>
      <c r="AB13" s="1"/>
      <c r="AC13" s="1"/>
      <c r="AD13" s="1"/>
      <c r="AE13" s="171"/>
      <c r="AF13" s="1"/>
      <c r="AG13" s="170"/>
    </row>
    <row r="14">
      <c r="A14" s="172" t="s">
        <v>198</v>
      </c>
      <c r="B14" s="93">
        <f>37.24+85.45</f>
        <v>122.69</v>
      </c>
      <c r="C14" s="348"/>
      <c r="D14" s="93"/>
      <c r="E14" s="168"/>
      <c r="F14" s="166"/>
      <c r="G14" s="166"/>
      <c r="H14" s="168"/>
      <c r="I14" s="168"/>
      <c r="J14" s="93"/>
      <c r="K14" s="168"/>
      <c r="L14" s="168"/>
      <c r="M14" s="168"/>
      <c r="N14" s="93"/>
      <c r="O14" s="168"/>
      <c r="P14" s="168"/>
      <c r="Q14" s="93">
        <v>110.0</v>
      </c>
      <c r="R14" s="168"/>
      <c r="S14" s="168"/>
      <c r="T14" s="168"/>
      <c r="U14" s="1"/>
      <c r="V14" s="1"/>
      <c r="W14" s="1"/>
      <c r="X14" s="168"/>
      <c r="Y14" s="168"/>
      <c r="Z14" s="1"/>
      <c r="AA14" s="1"/>
      <c r="AB14" s="1"/>
      <c r="AC14" s="1"/>
      <c r="AD14" s="1"/>
      <c r="AE14" s="174"/>
      <c r="AF14" s="1"/>
      <c r="AG14" s="170"/>
    </row>
    <row r="15">
      <c r="A15" s="91"/>
      <c r="B15" s="375"/>
      <c r="C15" s="79"/>
      <c r="D15" s="79"/>
      <c r="E15" s="79"/>
      <c r="F15" s="78"/>
      <c r="G15" s="78"/>
      <c r="H15" s="79"/>
      <c r="I15" s="78"/>
      <c r="J15" s="79"/>
      <c r="K15" s="79"/>
      <c r="L15" s="79"/>
      <c r="M15" s="79"/>
      <c r="N15" s="79"/>
      <c r="O15" s="79"/>
      <c r="R15" s="79"/>
      <c r="S15" s="79"/>
      <c r="T15" s="198"/>
      <c r="U15" s="198"/>
      <c r="Y15" s="79"/>
      <c r="AE15" s="131"/>
      <c r="AG15" s="106"/>
    </row>
    <row r="16">
      <c r="A16" s="91"/>
      <c r="B16" s="375"/>
      <c r="C16" s="79"/>
      <c r="D16" s="78"/>
      <c r="E16" s="78"/>
      <c r="F16" s="205"/>
      <c r="G16" s="351"/>
      <c r="H16" s="192"/>
      <c r="I16" s="198"/>
      <c r="J16" s="201"/>
      <c r="K16" s="199"/>
      <c r="L16" s="199"/>
      <c r="M16" s="200"/>
      <c r="N16" s="202"/>
      <c r="O16" s="198"/>
      <c r="R16" s="198"/>
      <c r="S16" s="79"/>
      <c r="T16" s="198"/>
      <c r="U16" s="198"/>
      <c r="V16" s="198"/>
      <c r="W16" s="198"/>
      <c r="X16" s="199"/>
      <c r="Y16" s="79"/>
      <c r="AE16" s="131"/>
      <c r="AG16" s="106"/>
    </row>
    <row r="17">
      <c r="A17" s="4" t="s">
        <v>22</v>
      </c>
      <c r="B17" s="11">
        <v>13000.0</v>
      </c>
      <c r="C17" s="79"/>
      <c r="D17" s="78"/>
      <c r="E17" s="78"/>
      <c r="F17" s="587"/>
      <c r="G17" s="175"/>
      <c r="H17" s="192"/>
      <c r="I17" s="203"/>
      <c r="J17" s="203"/>
      <c r="K17" s="203"/>
      <c r="L17" s="203"/>
      <c r="M17" s="198"/>
      <c r="N17" s="200"/>
      <c r="O17" s="198"/>
      <c r="P17" s="204"/>
      <c r="R17" s="203"/>
      <c r="S17" s="427"/>
      <c r="T17" s="201"/>
      <c r="U17" s="198"/>
      <c r="V17" s="198"/>
      <c r="W17" s="198"/>
      <c r="X17" s="201"/>
      <c r="Y17" s="79"/>
      <c r="AE17" s="131"/>
      <c r="AG17" s="106"/>
    </row>
    <row r="18">
      <c r="A18" s="4" t="s">
        <v>23</v>
      </c>
      <c r="B18" s="11">
        <f>SUM(B2:AC8)</f>
        <v>12322.82</v>
      </c>
      <c r="C18" s="192"/>
      <c r="D18" s="78"/>
      <c r="E18" s="78"/>
      <c r="F18" s="213"/>
      <c r="G18" s="224"/>
      <c r="H18" s="38"/>
      <c r="I18" s="175"/>
      <c r="J18" s="203"/>
      <c r="K18" s="203"/>
      <c r="L18" s="203"/>
      <c r="M18" s="201"/>
      <c r="N18" s="201"/>
      <c r="O18" s="198"/>
      <c r="P18" s="204"/>
      <c r="R18" s="203"/>
      <c r="S18" s="79"/>
      <c r="T18" s="201"/>
      <c r="U18" s="201"/>
      <c r="V18" s="198"/>
      <c r="W18" s="198"/>
      <c r="X18" s="191"/>
      <c r="Y18" s="79"/>
      <c r="AE18" s="131"/>
      <c r="AG18" s="106"/>
    </row>
    <row r="19">
      <c r="A19" s="4" t="s">
        <v>24</v>
      </c>
      <c r="B19" s="11">
        <f> SUM(B17-B18)</f>
        <v>677.18</v>
      </c>
      <c r="C19" s="79"/>
      <c r="D19" s="78"/>
      <c r="E19" s="151"/>
      <c r="F19" s="198"/>
      <c r="G19" s="224"/>
      <c r="H19" s="224"/>
      <c r="I19" s="203"/>
      <c r="J19" s="203"/>
      <c r="K19" s="203"/>
      <c r="L19" s="203"/>
      <c r="M19" s="201"/>
      <c r="N19" s="200"/>
      <c r="O19" s="198"/>
      <c r="P19" s="204"/>
      <c r="R19" s="203"/>
      <c r="S19" s="79"/>
      <c r="T19" s="210"/>
      <c r="U19" s="210"/>
      <c r="V19" s="198"/>
      <c r="W19" s="198"/>
      <c r="X19" s="203"/>
      <c r="Y19" s="79"/>
      <c r="AE19" s="131"/>
      <c r="AG19" s="106"/>
    </row>
    <row r="20">
      <c r="C20" s="79"/>
      <c r="E20" s="588" t="s">
        <v>195</v>
      </c>
      <c r="F20" s="198"/>
      <c r="G20" s="388"/>
      <c r="H20" s="224"/>
      <c r="I20" s="345"/>
      <c r="J20" s="203"/>
      <c r="K20" s="203"/>
      <c r="L20" s="203"/>
      <c r="N20" s="198"/>
      <c r="O20" s="198"/>
      <c r="P20" s="204"/>
      <c r="R20" s="203"/>
      <c r="S20" s="79"/>
      <c r="T20" s="198"/>
      <c r="U20" s="428"/>
      <c r="V20" s="198"/>
      <c r="W20" s="201"/>
      <c r="X20" s="203"/>
      <c r="Y20" s="79"/>
      <c r="AE20" s="131"/>
      <c r="AG20" s="106"/>
    </row>
    <row r="21">
      <c r="A21" s="13" t="s">
        <v>25</v>
      </c>
      <c r="B21" s="14">
        <f>SUM(AE2:AE8)</f>
        <v>49156</v>
      </c>
      <c r="C21" s="79"/>
      <c r="D21" s="13" t="s">
        <v>724</v>
      </c>
      <c r="E21" s="445">
        <f>sum(B12:AB13)+1435</f>
        <v>2729.67</v>
      </c>
      <c r="F21" s="589"/>
      <c r="G21" s="651"/>
      <c r="H21" s="224"/>
      <c r="I21" s="203"/>
      <c r="J21" s="203"/>
      <c r="K21" s="203"/>
      <c r="L21" s="203"/>
      <c r="M21" s="203"/>
      <c r="N21" s="198"/>
      <c r="O21" s="198"/>
      <c r="P21" s="204"/>
      <c r="R21" s="203"/>
      <c r="S21" s="79"/>
      <c r="T21" s="198"/>
      <c r="U21" s="198"/>
      <c r="V21" s="198"/>
      <c r="W21" s="198"/>
      <c r="X21" s="203"/>
      <c r="Y21" s="79"/>
      <c r="AE21" s="181"/>
      <c r="AG21" s="106"/>
    </row>
    <row r="22">
      <c r="A22" s="13" t="s">
        <v>26</v>
      </c>
      <c r="B22" s="15">
        <f>B18/B21</f>
        <v>0.2506880137</v>
      </c>
      <c r="C22" s="79"/>
      <c r="D22" s="13" t="s">
        <v>25</v>
      </c>
      <c r="E22" s="445">
        <f>772.5+628+1016.5+4200</f>
        <v>6617</v>
      </c>
      <c r="F22" s="589"/>
      <c r="G22" s="651"/>
      <c r="H22" s="224"/>
      <c r="I22" s="203"/>
      <c r="J22" s="203"/>
      <c r="K22" s="203"/>
      <c r="L22" s="203"/>
      <c r="M22" s="203"/>
      <c r="N22" s="203"/>
      <c r="O22" s="198"/>
      <c r="P22" s="204"/>
      <c r="R22" s="203"/>
      <c r="S22" s="79"/>
      <c r="T22" s="198"/>
      <c r="U22" s="198"/>
      <c r="V22" s="198"/>
      <c r="W22" s="198"/>
      <c r="X22" s="203"/>
      <c r="Y22" s="79"/>
      <c r="AE22" s="130"/>
      <c r="AG22" s="106"/>
    </row>
    <row r="23">
      <c r="C23" s="79"/>
      <c r="D23" s="448" t="s">
        <v>26</v>
      </c>
      <c r="E23" s="449">
        <f>E21/E22</f>
        <v>0.4125238023</v>
      </c>
      <c r="F23" s="590"/>
      <c r="G23" s="240"/>
      <c r="H23" s="224"/>
      <c r="I23" s="78"/>
      <c r="J23" s="203"/>
      <c r="K23" s="203"/>
      <c r="L23" s="203"/>
      <c r="M23" s="203"/>
      <c r="N23" s="201"/>
      <c r="O23" s="198"/>
      <c r="P23" s="204"/>
      <c r="R23" s="198"/>
      <c r="S23" s="79"/>
      <c r="T23" s="198"/>
      <c r="U23" s="198"/>
      <c r="V23" s="198"/>
      <c r="W23" s="198"/>
      <c r="X23" s="203"/>
      <c r="Y23" s="79"/>
      <c r="AE23" s="182"/>
      <c r="AG23" s="106"/>
    </row>
    <row r="24">
      <c r="C24" s="79"/>
      <c r="D24" s="79"/>
      <c r="E24" s="79"/>
      <c r="F24" s="198"/>
      <c r="G24" s="192"/>
      <c r="H24" s="213"/>
      <c r="I24" s="203"/>
      <c r="J24" s="212"/>
      <c r="K24" s="203"/>
      <c r="L24" s="203"/>
      <c r="M24" s="203"/>
      <c r="N24" s="201"/>
      <c r="O24" s="198"/>
      <c r="P24" s="204"/>
      <c r="R24" s="198"/>
      <c r="S24" s="79"/>
      <c r="T24" s="198"/>
      <c r="U24" s="198"/>
      <c r="V24" s="198"/>
      <c r="W24" s="198"/>
      <c r="X24" s="203"/>
      <c r="Y24" s="79"/>
      <c r="AE24" s="130"/>
      <c r="AG24" s="106"/>
    </row>
    <row r="25">
      <c r="A25" s="16" t="s">
        <v>27</v>
      </c>
      <c r="B25" s="17"/>
      <c r="C25" s="114"/>
      <c r="D25" s="114"/>
      <c r="E25" s="114"/>
      <c r="F25" s="198"/>
      <c r="G25" s="78"/>
      <c r="H25" s="224"/>
      <c r="I25" s="78"/>
      <c r="J25" s="79"/>
      <c r="K25" s="203"/>
      <c r="L25" s="217"/>
      <c r="M25" s="208"/>
      <c r="N25" s="198"/>
      <c r="O25" s="198"/>
      <c r="P25" s="204"/>
      <c r="R25" s="200"/>
      <c r="S25" s="79"/>
      <c r="T25" s="198"/>
      <c r="U25" s="198"/>
      <c r="V25" s="198"/>
      <c r="W25" s="198"/>
      <c r="X25" s="203"/>
      <c r="Y25" s="79"/>
      <c r="AE25" s="130"/>
      <c r="AG25" s="106"/>
    </row>
    <row r="26">
      <c r="A26" s="19" t="s">
        <v>28</v>
      </c>
      <c r="B26" s="20"/>
      <c r="C26" s="116"/>
      <c r="D26" s="116"/>
      <c r="E26" s="116"/>
      <c r="F26" s="198"/>
      <c r="G26" s="212"/>
      <c r="H26" s="213"/>
      <c r="I26" s="224"/>
      <c r="J26" s="78"/>
      <c r="K26" s="203"/>
      <c r="L26" s="203"/>
      <c r="M26" s="209"/>
      <c r="N26" s="201"/>
      <c r="O26" s="198"/>
      <c r="P26" s="204"/>
      <c r="R26" s="198"/>
      <c r="S26" s="79"/>
      <c r="T26" s="198"/>
      <c r="U26" s="198"/>
      <c r="V26" s="198"/>
      <c r="W26" s="198"/>
      <c r="X26" s="203"/>
      <c r="Y26" s="79"/>
      <c r="AE26" s="130"/>
      <c r="AG26" s="106"/>
    </row>
    <row r="27">
      <c r="A27" s="183" t="s">
        <v>29</v>
      </c>
      <c r="B27" s="184" t="s">
        <v>30</v>
      </c>
      <c r="C27" s="183"/>
      <c r="D27" s="183" t="s">
        <v>170</v>
      </c>
      <c r="E27" s="591" t="s">
        <v>171</v>
      </c>
      <c r="F27" s="198"/>
      <c r="G27" s="79"/>
      <c r="H27" s="242"/>
      <c r="I27" s="79"/>
      <c r="J27" s="79"/>
      <c r="K27" s="203"/>
      <c r="L27" s="201"/>
      <c r="M27" s="209"/>
      <c r="N27" s="198"/>
      <c r="O27" s="198"/>
      <c r="P27" s="204"/>
      <c r="R27" s="198"/>
      <c r="S27" s="79"/>
      <c r="T27" s="198"/>
      <c r="U27" s="198"/>
      <c r="V27" s="198"/>
      <c r="W27" s="198"/>
      <c r="X27" s="203"/>
      <c r="Y27" s="79"/>
      <c r="Z27" s="195"/>
      <c r="AE27" s="130"/>
      <c r="AG27" s="106"/>
    </row>
    <row r="28">
      <c r="A28" s="237" t="s">
        <v>855</v>
      </c>
      <c r="B28" s="381">
        <f>+2657.81-1478.91</f>
        <v>1178.9</v>
      </c>
      <c r="C28" s="239"/>
      <c r="D28" s="239"/>
      <c r="E28" s="239"/>
      <c r="F28" s="204"/>
      <c r="O28" s="79"/>
      <c r="S28" s="79"/>
      <c r="T28" s="79"/>
      <c r="Y28" s="79"/>
      <c r="AE28" s="130"/>
      <c r="AG28" s="106"/>
    </row>
    <row r="29">
      <c r="A29" s="173" t="s">
        <v>856</v>
      </c>
      <c r="B29" s="344">
        <v>784.0</v>
      </c>
      <c r="C29" s="173" t="s">
        <v>540</v>
      </c>
      <c r="D29" s="241"/>
      <c r="E29" s="241"/>
      <c r="F29" s="204"/>
      <c r="O29" s="79"/>
      <c r="S29" s="79"/>
      <c r="T29" s="79"/>
      <c r="Y29" s="79"/>
      <c r="AE29" s="130"/>
      <c r="AG29" s="106"/>
    </row>
    <row r="30">
      <c r="A30" s="173" t="s">
        <v>656</v>
      </c>
      <c r="B30" s="344">
        <v>295.0</v>
      </c>
      <c r="C30" s="241"/>
      <c r="D30" s="241"/>
      <c r="E30" s="241"/>
      <c r="F30" s="204"/>
      <c r="O30" s="79"/>
      <c r="S30" s="79"/>
      <c r="T30" s="79"/>
      <c r="Y30" s="79"/>
      <c r="AE30" s="130"/>
      <c r="AG30" s="106"/>
    </row>
    <row r="31">
      <c r="A31" s="173" t="s">
        <v>857</v>
      </c>
      <c r="B31" s="344">
        <v>314.82</v>
      </c>
      <c r="C31" s="241"/>
      <c r="D31" s="241"/>
      <c r="E31" s="241"/>
      <c r="F31" s="204"/>
      <c r="O31" s="79"/>
      <c r="S31" s="79"/>
      <c r="T31" s="79"/>
      <c r="Y31" s="79"/>
      <c r="AE31" s="130"/>
      <c r="AG31" s="106"/>
    </row>
    <row r="32">
      <c r="A32" s="173" t="s">
        <v>844</v>
      </c>
      <c r="B32" s="344">
        <v>330.5</v>
      </c>
      <c r="C32" s="241"/>
      <c r="D32" s="241"/>
      <c r="E32" s="241"/>
      <c r="F32" s="204"/>
      <c r="O32" s="79"/>
      <c r="S32" s="79"/>
      <c r="T32" s="79"/>
      <c r="Y32" s="79"/>
      <c r="AE32" s="130"/>
      <c r="AG32" s="106"/>
    </row>
    <row r="33">
      <c r="A33" s="173" t="s">
        <v>111</v>
      </c>
      <c r="B33" s="344">
        <v>290.0</v>
      </c>
      <c r="C33" s="241"/>
      <c r="D33" s="241"/>
      <c r="E33" s="241"/>
      <c r="F33" s="204"/>
      <c r="O33" s="79"/>
      <c r="S33" s="79"/>
      <c r="T33" s="79"/>
      <c r="Y33" s="79"/>
      <c r="AE33" s="130"/>
      <c r="AG33" s="106"/>
    </row>
    <row r="34">
      <c r="A34" s="173" t="s">
        <v>858</v>
      </c>
      <c r="B34" s="344">
        <v>352.0</v>
      </c>
      <c r="C34" s="241"/>
      <c r="D34" s="241"/>
      <c r="E34" s="241"/>
      <c r="F34" s="204"/>
      <c r="O34" s="79"/>
      <c r="S34" s="79"/>
      <c r="T34" s="79"/>
      <c r="Y34" s="79"/>
      <c r="AE34" s="130"/>
      <c r="AG34" s="106"/>
    </row>
    <row r="35">
      <c r="C35" s="79"/>
      <c r="D35" s="79"/>
      <c r="E35" s="79"/>
      <c r="O35" s="79"/>
      <c r="S35" s="79"/>
      <c r="T35" s="79"/>
      <c r="Y35" s="79"/>
      <c r="AE35" s="130"/>
      <c r="AG35" s="106"/>
    </row>
    <row r="36">
      <c r="A36" s="274"/>
      <c r="B36" s="275" t="s">
        <v>315</v>
      </c>
      <c r="F36" s="274"/>
      <c r="G36" s="274"/>
      <c r="H36" s="274"/>
      <c r="I36" s="274"/>
      <c r="J36" s="274"/>
      <c r="K36" s="274"/>
      <c r="L36" s="274"/>
      <c r="M36" s="274"/>
      <c r="N36" s="274"/>
      <c r="O36" s="274"/>
      <c r="P36" s="274"/>
      <c r="Q36" s="274"/>
      <c r="R36" s="274"/>
      <c r="S36" s="274"/>
      <c r="T36" s="274"/>
      <c r="U36" s="274"/>
      <c r="V36" s="274"/>
      <c r="W36" s="274"/>
      <c r="X36" s="274"/>
      <c r="Y36" s="274"/>
      <c r="Z36" s="274"/>
      <c r="AA36" s="274"/>
      <c r="AB36" s="274"/>
      <c r="AC36" s="274"/>
      <c r="AD36" s="274"/>
      <c r="AE36" s="276"/>
      <c r="AF36" s="274"/>
      <c r="AG36" s="277"/>
      <c r="AH36" s="274"/>
      <c r="AI36" s="274"/>
      <c r="AJ36" s="274"/>
    </row>
    <row r="37">
      <c r="A37" s="16" t="s">
        <v>316</v>
      </c>
      <c r="B37" s="17"/>
      <c r="C37" s="114"/>
      <c r="D37" s="114"/>
      <c r="E37" s="115"/>
      <c r="I37" s="455" t="s">
        <v>735</v>
      </c>
      <c r="J37" s="17"/>
      <c r="K37" s="114"/>
      <c r="L37" s="114"/>
      <c r="M37" s="115"/>
      <c r="P37" s="79"/>
      <c r="T37" s="79"/>
      <c r="U37" s="79"/>
      <c r="AE37" s="130"/>
      <c r="AG37" s="106"/>
    </row>
    <row r="38">
      <c r="A38" s="19" t="s">
        <v>317</v>
      </c>
      <c r="B38" s="20"/>
      <c r="C38" s="116"/>
      <c r="D38" s="116"/>
      <c r="E38" s="117"/>
      <c r="I38" s="599" t="s">
        <v>736</v>
      </c>
      <c r="J38" s="20"/>
      <c r="K38" s="116"/>
      <c r="L38" s="116"/>
      <c r="M38" s="117"/>
      <c r="P38" s="79"/>
      <c r="T38" s="79"/>
      <c r="U38" s="79"/>
      <c r="AE38" s="130"/>
      <c r="AG38" s="106"/>
    </row>
    <row r="39">
      <c r="A39" s="278" t="s">
        <v>318</v>
      </c>
      <c r="B39" s="279" t="s">
        <v>319</v>
      </c>
      <c r="C39" s="280" t="s">
        <v>285</v>
      </c>
      <c r="D39" s="280" t="s">
        <v>30</v>
      </c>
      <c r="E39" s="281" t="s">
        <v>320</v>
      </c>
      <c r="F39" s="281" t="s">
        <v>321</v>
      </c>
      <c r="H39" s="600" t="s">
        <v>743</v>
      </c>
      <c r="I39" s="507" t="s">
        <v>318</v>
      </c>
      <c r="J39" s="601" t="s">
        <v>319</v>
      </c>
      <c r="K39" s="507" t="s">
        <v>285</v>
      </c>
      <c r="L39" s="507" t="s">
        <v>737</v>
      </c>
      <c r="M39" s="507" t="s">
        <v>738</v>
      </c>
      <c r="N39" s="507" t="s">
        <v>739</v>
      </c>
      <c r="O39" s="602" t="s">
        <v>740</v>
      </c>
      <c r="P39" s="602" t="s">
        <v>741</v>
      </c>
      <c r="Q39" s="602" t="s">
        <v>320</v>
      </c>
      <c r="R39" s="507"/>
      <c r="S39" s="602" t="s">
        <v>740</v>
      </c>
      <c r="T39" s="602" t="s">
        <v>741</v>
      </c>
      <c r="U39" s="602" t="s">
        <v>320</v>
      </c>
      <c r="V39" s="507"/>
      <c r="W39" s="602" t="s">
        <v>740</v>
      </c>
      <c r="X39" s="602" t="s">
        <v>741</v>
      </c>
      <c r="Y39" s="602" t="s">
        <v>320</v>
      </c>
      <c r="AE39" s="130"/>
      <c r="AG39" s="106"/>
    </row>
    <row r="40">
      <c r="A40" s="289" t="s">
        <v>802</v>
      </c>
      <c r="B40" s="290">
        <v>45595.0</v>
      </c>
      <c r="C40" s="173" t="s">
        <v>325</v>
      </c>
      <c r="D40" s="180">
        <v>817.04</v>
      </c>
      <c r="E40" s="336"/>
      <c r="F40" s="173" t="s">
        <v>830</v>
      </c>
      <c r="H40" s="603">
        <f t="shared" ref="H40:H52" si="6">L40+O40+S40+W40</f>
        <v>0</v>
      </c>
      <c r="I40" s="463">
        <v>607888.0</v>
      </c>
      <c r="J40" s="464">
        <v>45653.0</v>
      </c>
      <c r="K40" s="465" t="s">
        <v>437</v>
      </c>
      <c r="L40" s="466">
        <v>3.0</v>
      </c>
      <c r="M40" s="467">
        <v>1504.57</v>
      </c>
      <c r="N40" s="467">
        <f t="shared" ref="N40:N42" si="7">M40/L40</f>
        <v>501.5233333</v>
      </c>
      <c r="O40" s="652">
        <v>-3.0</v>
      </c>
      <c r="P40" s="622">
        <f t="shared" ref="P40:P41" si="8">O40*N40</f>
        <v>-1504.57</v>
      </c>
      <c r="Q40" s="653">
        <v>45662.0</v>
      </c>
      <c r="R40" s="583"/>
      <c r="S40" s="469"/>
      <c r="T40" s="534"/>
      <c r="U40" s="469"/>
      <c r="V40" s="583"/>
      <c r="W40" s="469"/>
      <c r="X40" s="469"/>
      <c r="Y40" s="469"/>
      <c r="Z40" s="483"/>
      <c r="AA40" s="483"/>
      <c r="AB40" s="483"/>
      <c r="AC40" s="483"/>
      <c r="AD40" s="483"/>
      <c r="AE40" s="492"/>
      <c r="AF40" s="483"/>
      <c r="AG40" s="493"/>
      <c r="AH40" s="483"/>
      <c r="AI40" s="483"/>
      <c r="AJ40" s="483"/>
    </row>
    <row r="41">
      <c r="A41" s="289" t="s">
        <v>810</v>
      </c>
      <c r="B41" s="290">
        <v>45602.0</v>
      </c>
      <c r="C41" s="173" t="s">
        <v>325</v>
      </c>
      <c r="D41" s="180">
        <v>812.54</v>
      </c>
      <c r="E41" s="336"/>
      <c r="F41" s="173" t="s">
        <v>830</v>
      </c>
      <c r="H41" s="603">
        <f t="shared" si="6"/>
        <v>2</v>
      </c>
      <c r="I41" s="463">
        <v>608100.0</v>
      </c>
      <c r="J41" s="464">
        <v>46022.0</v>
      </c>
      <c r="K41" s="465" t="s">
        <v>437</v>
      </c>
      <c r="L41" s="466">
        <v>9.0</v>
      </c>
      <c r="M41" s="467">
        <f>4305.17</f>
        <v>4305.17</v>
      </c>
      <c r="N41" s="467">
        <f t="shared" si="7"/>
        <v>478.3522222</v>
      </c>
      <c r="O41" s="652">
        <v>-3.0</v>
      </c>
      <c r="P41" s="622">
        <f t="shared" si="8"/>
        <v>-1435.056667</v>
      </c>
      <c r="Q41" s="653">
        <v>45662.0</v>
      </c>
      <c r="R41" s="583"/>
      <c r="S41" s="173">
        <v>-4.0</v>
      </c>
      <c r="T41" s="343">
        <f>S41*N41</f>
        <v>-1913.408889</v>
      </c>
      <c r="U41" s="654">
        <v>45669.0</v>
      </c>
      <c r="V41" s="583"/>
      <c r="W41" s="469"/>
      <c r="X41" s="469"/>
      <c r="Y41" s="469"/>
      <c r="AE41" s="130"/>
      <c r="AG41" s="106"/>
    </row>
    <row r="42">
      <c r="A42" s="289" t="s">
        <v>824</v>
      </c>
      <c r="B42" s="290">
        <v>45609.0</v>
      </c>
      <c r="C42" s="173" t="s">
        <v>325</v>
      </c>
      <c r="D42" s="180">
        <v>829.32</v>
      </c>
      <c r="E42" s="336"/>
      <c r="F42" s="173" t="s">
        <v>830</v>
      </c>
      <c r="H42" s="603">
        <f t="shared" si="6"/>
        <v>6</v>
      </c>
      <c r="I42" s="463">
        <v>609641.0</v>
      </c>
      <c r="J42" s="464">
        <v>45665.0</v>
      </c>
      <c r="K42" s="465" t="s">
        <v>437</v>
      </c>
      <c r="L42" s="466">
        <v>6.0</v>
      </c>
      <c r="M42" s="467">
        <v>2782.71</v>
      </c>
      <c r="N42" s="467">
        <f t="shared" si="7"/>
        <v>463.785</v>
      </c>
      <c r="O42" s="489"/>
      <c r="P42" s="488"/>
      <c r="Q42" s="604"/>
      <c r="R42" s="583"/>
      <c r="S42" s="469"/>
      <c r="T42" s="534"/>
      <c r="U42" s="469"/>
      <c r="V42" s="583"/>
      <c r="W42" s="469"/>
      <c r="X42" s="469"/>
      <c r="Y42" s="469"/>
      <c r="AE42" s="130"/>
      <c r="AG42" s="106"/>
    </row>
    <row r="43">
      <c r="A43" s="289" t="s">
        <v>831</v>
      </c>
      <c r="B43" s="290">
        <v>45616.0</v>
      </c>
      <c r="C43" s="173" t="s">
        <v>325</v>
      </c>
      <c r="D43" s="180">
        <v>821.53</v>
      </c>
      <c r="E43" s="336"/>
      <c r="F43" s="173" t="s">
        <v>830</v>
      </c>
      <c r="H43" s="603">
        <f t="shared" si="6"/>
        <v>0</v>
      </c>
      <c r="I43" s="463"/>
      <c r="J43" s="464"/>
      <c r="K43" s="465"/>
      <c r="L43" s="466"/>
      <c r="M43" s="467"/>
      <c r="N43" s="467"/>
      <c r="O43" s="489"/>
      <c r="P43" s="488"/>
      <c r="Q43" s="604"/>
      <c r="R43" s="583"/>
      <c r="S43" s="469"/>
      <c r="T43" s="534"/>
      <c r="U43" s="469"/>
      <c r="V43" s="583"/>
      <c r="W43" s="469"/>
      <c r="X43" s="469"/>
      <c r="Y43" s="469"/>
      <c r="AE43" s="130"/>
      <c r="AG43" s="106"/>
    </row>
    <row r="44">
      <c r="A44" s="264"/>
      <c r="B44" s="639"/>
      <c r="C44" s="166"/>
      <c r="D44" s="93"/>
      <c r="E44" s="285"/>
      <c r="F44" s="264"/>
      <c r="H44" s="603">
        <f t="shared" si="6"/>
        <v>0</v>
      </c>
      <c r="I44" s="463"/>
      <c r="J44" s="464"/>
      <c r="K44" s="465"/>
      <c r="L44" s="466"/>
      <c r="M44" s="467"/>
      <c r="N44" s="467"/>
      <c r="O44" s="489"/>
      <c r="P44" s="488"/>
      <c r="Q44" s="604"/>
      <c r="R44" s="583"/>
      <c r="S44" s="469"/>
      <c r="T44" s="534"/>
      <c r="U44" s="469"/>
      <c r="V44" s="583"/>
      <c r="W44" s="469"/>
      <c r="X44" s="469"/>
      <c r="Y44" s="469"/>
      <c r="AE44" s="130"/>
      <c r="AG44" s="106"/>
    </row>
    <row r="45">
      <c r="A45" s="264" t="s">
        <v>859</v>
      </c>
      <c r="B45" s="639">
        <v>45593.0</v>
      </c>
      <c r="C45" s="166" t="s">
        <v>408</v>
      </c>
      <c r="D45" s="93">
        <v>446.0</v>
      </c>
      <c r="E45" s="285"/>
      <c r="F45" s="264"/>
      <c r="H45" s="610">
        <f t="shared" si="6"/>
        <v>0</v>
      </c>
      <c r="I45" s="463"/>
      <c r="J45" s="464"/>
      <c r="K45" s="465"/>
      <c r="L45" s="466"/>
      <c r="M45" s="467"/>
      <c r="N45" s="467"/>
      <c r="O45" s="489"/>
      <c r="P45" s="488"/>
      <c r="Q45" s="604"/>
      <c r="R45" s="615"/>
      <c r="S45" s="469"/>
      <c r="T45" s="534"/>
      <c r="U45" s="469"/>
      <c r="V45" s="615"/>
      <c r="W45" s="469"/>
      <c r="X45" s="469"/>
      <c r="Y45" s="469"/>
      <c r="AE45" s="130"/>
      <c r="AG45" s="106"/>
    </row>
    <row r="46">
      <c r="A46" s="264" t="s">
        <v>860</v>
      </c>
      <c r="B46" s="639">
        <v>45663.0</v>
      </c>
      <c r="C46" s="166" t="s">
        <v>861</v>
      </c>
      <c r="D46" s="93">
        <v>754.0</v>
      </c>
      <c r="E46" s="285"/>
      <c r="F46" s="264"/>
      <c r="H46" s="610">
        <f t="shared" si="6"/>
        <v>0</v>
      </c>
      <c r="I46" s="463"/>
      <c r="J46" s="464"/>
      <c r="K46" s="465"/>
      <c r="L46" s="466"/>
      <c r="M46" s="467"/>
      <c r="N46" s="467"/>
      <c r="O46" s="489"/>
      <c r="P46" s="488"/>
      <c r="Q46" s="604"/>
      <c r="R46" s="583"/>
      <c r="S46" s="469"/>
      <c r="T46" s="534"/>
      <c r="U46" s="469"/>
      <c r="V46" s="583"/>
      <c r="W46" s="469"/>
      <c r="X46" s="469"/>
      <c r="Y46" s="469"/>
      <c r="AE46" s="130"/>
      <c r="AG46" s="106"/>
    </row>
    <row r="47">
      <c r="A47" s="264" t="s">
        <v>862</v>
      </c>
      <c r="B47" s="639">
        <v>45663.0</v>
      </c>
      <c r="C47" s="166" t="s">
        <v>863</v>
      </c>
      <c r="D47" s="93">
        <f>237+100</f>
        <v>337</v>
      </c>
      <c r="E47" s="285"/>
      <c r="F47" s="264"/>
      <c r="H47" s="603">
        <f t="shared" si="6"/>
        <v>0</v>
      </c>
      <c r="I47" s="463"/>
      <c r="J47" s="464"/>
      <c r="K47" s="465"/>
      <c r="L47" s="466"/>
      <c r="M47" s="467"/>
      <c r="N47" s="467"/>
      <c r="O47" s="489"/>
      <c r="P47" s="488"/>
      <c r="Q47" s="604"/>
      <c r="R47" s="583"/>
      <c r="S47" s="469"/>
      <c r="T47" s="534"/>
      <c r="U47" s="469"/>
      <c r="V47" s="583"/>
      <c r="W47" s="469"/>
      <c r="X47" s="469"/>
      <c r="Y47" s="469"/>
      <c r="AE47" s="130"/>
      <c r="AG47" s="106"/>
    </row>
    <row r="48">
      <c r="A48" s="264" t="s">
        <v>864</v>
      </c>
      <c r="B48" s="639">
        <v>45664.0</v>
      </c>
      <c r="C48" s="166" t="s">
        <v>845</v>
      </c>
      <c r="D48" s="93">
        <f>2657.81-1478.91</f>
        <v>1178.9</v>
      </c>
      <c r="E48" s="285"/>
      <c r="F48" s="264"/>
      <c r="H48" s="603">
        <f t="shared" si="6"/>
        <v>0</v>
      </c>
      <c r="I48" s="463"/>
      <c r="J48" s="464"/>
      <c r="K48" s="465"/>
      <c r="L48" s="466"/>
      <c r="M48" s="467"/>
      <c r="N48" s="467"/>
      <c r="O48" s="489"/>
      <c r="P48" s="488"/>
      <c r="Q48" s="604"/>
      <c r="R48" s="583"/>
      <c r="S48" s="469"/>
      <c r="T48" s="534"/>
      <c r="U48" s="469"/>
      <c r="V48" s="583"/>
      <c r="W48" s="469"/>
      <c r="X48" s="469"/>
      <c r="Y48" s="469"/>
      <c r="AE48" s="130"/>
      <c r="AG48" s="106"/>
    </row>
    <row r="49">
      <c r="A49" s="264" t="s">
        <v>865</v>
      </c>
      <c r="B49" s="639">
        <v>45666.0</v>
      </c>
      <c r="C49" s="166" t="s">
        <v>866</v>
      </c>
      <c r="D49" s="93">
        <v>314.82</v>
      </c>
      <c r="E49" s="285"/>
      <c r="F49" s="264"/>
      <c r="H49" s="603">
        <f t="shared" si="6"/>
        <v>0</v>
      </c>
      <c r="I49" s="463"/>
      <c r="J49" s="464"/>
      <c r="K49" s="465"/>
      <c r="L49" s="466"/>
      <c r="M49" s="467"/>
      <c r="N49" s="467"/>
      <c r="O49" s="489"/>
      <c r="P49" s="488"/>
      <c r="Q49" s="604"/>
      <c r="R49" s="583"/>
      <c r="S49" s="469"/>
      <c r="T49" s="534"/>
      <c r="U49" s="469"/>
      <c r="V49" s="583"/>
      <c r="W49" s="469"/>
      <c r="X49" s="469"/>
      <c r="Y49" s="469"/>
      <c r="AE49" s="130"/>
      <c r="AG49" s="106"/>
    </row>
    <row r="50">
      <c r="A50" s="264" t="s">
        <v>867</v>
      </c>
      <c r="B50" s="639">
        <v>45666.0</v>
      </c>
      <c r="C50" s="166" t="s">
        <v>868</v>
      </c>
      <c r="D50" s="93">
        <v>295.0</v>
      </c>
      <c r="E50" s="285"/>
      <c r="F50" s="264"/>
      <c r="H50" s="603">
        <f t="shared" si="6"/>
        <v>0</v>
      </c>
      <c r="I50" s="463"/>
      <c r="J50" s="464"/>
      <c r="K50" s="465"/>
      <c r="L50" s="466"/>
      <c r="M50" s="467"/>
      <c r="N50" s="467"/>
      <c r="O50" s="489"/>
      <c r="P50" s="488"/>
      <c r="Q50" s="604"/>
      <c r="R50" s="583"/>
      <c r="S50" s="469"/>
      <c r="T50" s="534"/>
      <c r="U50" s="469"/>
      <c r="V50" s="583"/>
      <c r="W50" s="469"/>
      <c r="X50" s="469"/>
      <c r="Y50" s="469"/>
      <c r="AE50" s="130"/>
      <c r="AG50" s="106"/>
    </row>
    <row r="51">
      <c r="A51" s="264"/>
      <c r="B51" s="639"/>
      <c r="C51" s="166"/>
      <c r="D51" s="93"/>
      <c r="E51" s="285"/>
      <c r="F51" s="264"/>
      <c r="H51" s="603">
        <f t="shared" si="6"/>
        <v>0</v>
      </c>
      <c r="I51" s="463"/>
      <c r="J51" s="464"/>
      <c r="K51" s="465"/>
      <c r="L51" s="466"/>
      <c r="M51" s="467"/>
      <c r="N51" s="467"/>
      <c r="O51" s="489"/>
      <c r="P51" s="488"/>
      <c r="Q51" s="604"/>
      <c r="R51" s="583"/>
      <c r="S51" s="469"/>
      <c r="T51" s="534"/>
      <c r="U51" s="469"/>
      <c r="V51" s="583"/>
      <c r="W51" s="469"/>
      <c r="X51" s="469"/>
      <c r="Y51" s="469"/>
      <c r="AE51" s="130"/>
      <c r="AG51" s="106"/>
    </row>
    <row r="52">
      <c r="A52" s="264"/>
      <c r="B52" s="639"/>
      <c r="C52" s="166"/>
      <c r="D52" s="93"/>
      <c r="E52" s="285"/>
      <c r="F52" s="264"/>
      <c r="H52" s="603">
        <f t="shared" si="6"/>
        <v>0</v>
      </c>
      <c r="I52" s="463"/>
      <c r="J52" s="464"/>
      <c r="K52" s="465"/>
      <c r="L52" s="466"/>
      <c r="M52" s="467"/>
      <c r="N52" s="467"/>
      <c r="O52" s="489"/>
      <c r="P52" s="488"/>
      <c r="Q52" s="604"/>
      <c r="R52" s="583"/>
      <c r="S52" s="469"/>
      <c r="T52" s="534"/>
      <c r="U52" s="469"/>
      <c r="V52" s="583"/>
      <c r="W52" s="469"/>
      <c r="X52" s="469"/>
      <c r="Y52" s="469"/>
      <c r="AE52" s="130"/>
      <c r="AG52" s="106"/>
    </row>
    <row r="53">
      <c r="A53" s="264"/>
      <c r="B53" s="639"/>
      <c r="C53" s="166"/>
      <c r="D53" s="93"/>
      <c r="E53" s="285"/>
      <c r="F53" s="264"/>
      <c r="P53" s="79"/>
      <c r="T53" s="79"/>
      <c r="U53" s="79"/>
      <c r="AE53" s="130"/>
      <c r="AG53" s="106"/>
    </row>
    <row r="54">
      <c r="A54" s="264"/>
      <c r="B54" s="639"/>
      <c r="C54" s="166"/>
      <c r="D54" s="93"/>
      <c r="E54" s="285"/>
      <c r="F54" s="264"/>
      <c r="H54" s="479" t="s">
        <v>287</v>
      </c>
      <c r="I54" s="32" t="s">
        <v>748</v>
      </c>
      <c r="J54" s="479" t="s">
        <v>749</v>
      </c>
      <c r="K54" s="479" t="s">
        <v>750</v>
      </c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AE54" s="130"/>
      <c r="AG54" s="106"/>
    </row>
    <row r="55">
      <c r="A55" s="264"/>
      <c r="B55" s="639"/>
      <c r="C55" s="166"/>
      <c r="D55" s="93"/>
      <c r="E55" s="285"/>
      <c r="F55" s="264"/>
      <c r="H55" s="286">
        <v>45662.0</v>
      </c>
      <c r="I55" s="32">
        <v>6.0</v>
      </c>
      <c r="J55" s="480">
        <f>P40+P41</f>
        <v>-2939.626667</v>
      </c>
      <c r="K55" s="479" t="s">
        <v>195</v>
      </c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AE55" s="130"/>
      <c r="AG55" s="106"/>
    </row>
    <row r="56">
      <c r="A56" s="640"/>
      <c r="B56" s="641"/>
      <c r="C56" s="78"/>
      <c r="D56" s="192"/>
      <c r="E56" s="643"/>
      <c r="F56" s="242"/>
      <c r="H56" s="286">
        <v>45669.0</v>
      </c>
      <c r="I56" s="32">
        <v>3.0</v>
      </c>
      <c r="J56" s="480">
        <f>N41*-3</f>
        <v>-1435.056667</v>
      </c>
      <c r="K56" s="479" t="s">
        <v>195</v>
      </c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AE56" s="130"/>
      <c r="AG56" s="106"/>
    </row>
    <row r="57">
      <c r="A57" s="640"/>
      <c r="B57" s="641"/>
      <c r="C57" s="78"/>
      <c r="D57" s="192"/>
      <c r="E57" s="643"/>
      <c r="F57" s="242"/>
      <c r="H57" s="286">
        <v>45669.0</v>
      </c>
      <c r="I57" s="32">
        <v>1.0</v>
      </c>
      <c r="J57" s="480">
        <f>N41*-1</f>
        <v>-478.3522222</v>
      </c>
      <c r="K57" s="479" t="s">
        <v>839</v>
      </c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AE57" s="130"/>
      <c r="AG57" s="106"/>
    </row>
    <row r="58">
      <c r="A58" s="640"/>
      <c r="B58" s="641"/>
      <c r="C58" s="78"/>
      <c r="D58" s="192"/>
      <c r="E58" s="643"/>
      <c r="F58" s="242"/>
      <c r="H58" s="504"/>
      <c r="I58" s="479"/>
      <c r="J58" s="505"/>
      <c r="K58" s="4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AE58" s="130"/>
      <c r="AG58" s="106"/>
    </row>
    <row r="59">
      <c r="A59" s="640"/>
      <c r="B59" s="641"/>
      <c r="C59" s="78"/>
      <c r="D59" s="192"/>
      <c r="E59" s="643"/>
      <c r="F59" s="242"/>
      <c r="H59" s="504"/>
      <c r="I59" s="479"/>
      <c r="J59" s="505"/>
      <c r="K59" s="4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AE59" s="130"/>
      <c r="AG59" s="106"/>
    </row>
    <row r="60">
      <c r="A60" s="640"/>
      <c r="B60" s="641"/>
      <c r="C60" s="78"/>
      <c r="D60" s="192"/>
      <c r="E60" s="643"/>
      <c r="F60" s="45"/>
      <c r="H60" s="504"/>
      <c r="I60" s="479"/>
      <c r="J60" s="505"/>
      <c r="K60" s="4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AE60" s="130"/>
      <c r="AG60" s="106"/>
    </row>
    <row r="61">
      <c r="A61" s="640"/>
      <c r="B61" s="641"/>
      <c r="C61" s="78"/>
      <c r="D61" s="192"/>
      <c r="E61" s="644"/>
      <c r="F61" s="645"/>
      <c r="H61" s="504"/>
      <c r="I61" s="479"/>
      <c r="J61" s="505"/>
      <c r="K61" s="4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AE61" s="130"/>
      <c r="AG61" s="106"/>
    </row>
    <row r="62">
      <c r="A62" s="640"/>
      <c r="B62" s="641"/>
      <c r="C62" s="78"/>
      <c r="D62" s="192"/>
      <c r="E62" s="643"/>
      <c r="F62" s="45"/>
      <c r="H62" s="584"/>
      <c r="I62" s="585"/>
      <c r="J62" s="586"/>
      <c r="K62" s="585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AE62" s="130"/>
      <c r="AG62" s="106"/>
    </row>
    <row r="63">
      <c r="A63" s="646"/>
      <c r="B63" s="647"/>
      <c r="C63" s="78"/>
      <c r="D63" s="192"/>
      <c r="E63" s="643"/>
      <c r="F63" s="45"/>
      <c r="H63" s="286"/>
      <c r="I63" s="479"/>
      <c r="J63" s="505"/>
      <c r="K63" s="4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AE63" s="130"/>
      <c r="AG63" s="106"/>
    </row>
    <row r="64">
      <c r="A64" s="646"/>
      <c r="B64" s="647"/>
      <c r="C64" s="78"/>
      <c r="D64" s="192"/>
      <c r="E64" s="648"/>
      <c r="F64" s="45"/>
      <c r="H64" s="286"/>
      <c r="I64" s="479"/>
      <c r="J64" s="505"/>
      <c r="K64" s="4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AE64" s="130"/>
      <c r="AG64" s="106"/>
    </row>
    <row r="65">
      <c r="A65" s="646"/>
      <c r="B65" s="647"/>
      <c r="C65" s="78"/>
      <c r="D65" s="192"/>
      <c r="E65" s="643"/>
      <c r="F65" s="45"/>
      <c r="H65" s="286"/>
      <c r="I65" s="479"/>
      <c r="J65" s="479"/>
      <c r="K65" s="4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AE65" s="130"/>
      <c r="AG65" s="106"/>
    </row>
    <row r="66">
      <c r="A66" s="646"/>
      <c r="B66" s="647"/>
      <c r="C66" s="78"/>
      <c r="D66" s="192"/>
      <c r="E66" s="643"/>
      <c r="F66" s="45"/>
      <c r="H66" s="286"/>
      <c r="I66" s="479"/>
      <c r="J66" s="479"/>
      <c r="K66" s="4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AE66" s="130"/>
      <c r="AG66" s="106"/>
    </row>
    <row r="67">
      <c r="A67" s="646"/>
      <c r="B67" s="647"/>
      <c r="C67" s="78"/>
      <c r="D67" s="192"/>
      <c r="E67" s="643"/>
      <c r="F67" s="45"/>
      <c r="H67" s="504"/>
      <c r="I67" s="479"/>
      <c r="J67" s="505"/>
      <c r="K67" s="479"/>
      <c r="M67" s="79"/>
      <c r="N67" s="481"/>
      <c r="O67" s="545"/>
      <c r="P67" s="79"/>
      <c r="Q67" s="481"/>
      <c r="R67" s="481"/>
      <c r="S67" s="545"/>
      <c r="T67" s="545"/>
      <c r="U67" s="481"/>
      <c r="V67" s="481"/>
      <c r="W67" s="481"/>
      <c r="X67" s="481"/>
      <c r="Y67" s="545"/>
      <c r="AE67" s="130"/>
      <c r="AG67" s="106"/>
    </row>
    <row r="68">
      <c r="A68" s="646"/>
      <c r="B68" s="647"/>
      <c r="C68" s="78"/>
      <c r="D68" s="192"/>
      <c r="E68" s="643"/>
      <c r="F68" s="45"/>
      <c r="H68" s="286"/>
      <c r="I68" s="479"/>
      <c r="J68" s="479"/>
      <c r="K68" s="479"/>
      <c r="M68" s="79"/>
      <c r="N68" s="545"/>
      <c r="O68" s="545"/>
      <c r="P68" s="626"/>
      <c r="Q68" s="545"/>
      <c r="R68" s="545"/>
      <c r="S68" s="545"/>
      <c r="T68" s="545"/>
      <c r="U68" s="545"/>
      <c r="V68" s="545"/>
      <c r="W68" s="545"/>
      <c r="X68" s="545"/>
      <c r="Y68" s="545"/>
      <c r="AE68" s="130"/>
      <c r="AG68" s="106"/>
    </row>
    <row r="69">
      <c r="A69" s="646"/>
      <c r="B69" s="647"/>
      <c r="C69" s="78"/>
      <c r="D69" s="192"/>
      <c r="E69" s="643"/>
      <c r="F69" s="45"/>
      <c r="H69" s="634"/>
      <c r="I69" s="479"/>
      <c r="J69" s="505"/>
      <c r="K69" s="479"/>
      <c r="M69" s="79"/>
      <c r="N69" s="626"/>
      <c r="O69" s="626"/>
      <c r="P69" s="626"/>
      <c r="Q69" s="626"/>
      <c r="R69" s="626"/>
      <c r="S69" s="626"/>
      <c r="T69" s="626"/>
      <c r="U69" s="626"/>
      <c r="V69" s="626"/>
      <c r="W69" s="626"/>
      <c r="X69" s="626"/>
      <c r="Y69" s="626"/>
      <c r="AE69" s="130"/>
      <c r="AG69" s="106"/>
    </row>
    <row r="70">
      <c r="A70" s="646"/>
      <c r="B70" s="647"/>
      <c r="C70" s="78"/>
      <c r="D70" s="192"/>
      <c r="E70" s="643"/>
      <c r="F70" s="45"/>
      <c r="H70" s="634"/>
      <c r="I70" s="479"/>
      <c r="J70" s="505"/>
      <c r="K70" s="479"/>
      <c r="L70" s="625"/>
      <c r="M70" s="79"/>
      <c r="N70" s="626"/>
      <c r="O70" s="626"/>
      <c r="P70" s="626"/>
      <c r="Q70" s="626"/>
      <c r="R70" s="626"/>
      <c r="S70" s="626"/>
      <c r="T70" s="626"/>
      <c r="U70" s="626"/>
      <c r="V70" s="626"/>
      <c r="W70" s="626"/>
      <c r="X70" s="626"/>
      <c r="Y70" s="626"/>
      <c r="AE70" s="130"/>
      <c r="AG70" s="106"/>
    </row>
    <row r="71">
      <c r="A71" s="646"/>
      <c r="B71" s="647"/>
      <c r="C71" s="78"/>
      <c r="D71" s="192"/>
      <c r="E71" s="643"/>
      <c r="F71" s="45"/>
      <c r="H71" s="479"/>
      <c r="I71" s="481"/>
      <c r="J71" s="481"/>
      <c r="K71" s="481"/>
      <c r="L71" s="625"/>
      <c r="M71" s="79"/>
      <c r="N71" s="626"/>
      <c r="O71" s="626"/>
      <c r="P71" s="626"/>
      <c r="Q71" s="626"/>
      <c r="R71" s="626"/>
      <c r="S71" s="626"/>
      <c r="T71" s="626"/>
      <c r="U71" s="626"/>
      <c r="V71" s="626"/>
      <c r="W71" s="626"/>
      <c r="X71" s="626"/>
      <c r="Y71" s="626"/>
      <c r="AE71" s="130"/>
      <c r="AG71" s="106"/>
    </row>
    <row r="72">
      <c r="A72" s="646"/>
      <c r="B72" s="647"/>
      <c r="C72" s="78"/>
      <c r="D72" s="192"/>
      <c r="E72" s="643"/>
      <c r="F72" s="45"/>
      <c r="H72" s="479"/>
      <c r="I72" s="481"/>
      <c r="J72" s="481"/>
      <c r="K72" s="481"/>
      <c r="L72" s="625"/>
      <c r="M72" s="79"/>
      <c r="N72" s="626"/>
      <c r="O72" s="626"/>
      <c r="P72" s="626"/>
      <c r="Q72" s="626"/>
      <c r="R72" s="626"/>
      <c r="S72" s="626"/>
      <c r="T72" s="626"/>
      <c r="U72" s="626"/>
      <c r="V72" s="626"/>
      <c r="W72" s="626"/>
      <c r="X72" s="626"/>
      <c r="Y72" s="626"/>
      <c r="AE72" s="130"/>
      <c r="AG72" s="106"/>
    </row>
    <row r="73">
      <c r="A73" s="646"/>
      <c r="B73" s="647"/>
      <c r="C73" s="78"/>
      <c r="D73" s="192"/>
      <c r="E73" s="643"/>
      <c r="F73" s="45"/>
      <c r="H73" s="479"/>
      <c r="I73" s="481"/>
      <c r="J73" s="481"/>
      <c r="K73" s="481"/>
      <c r="L73" s="625"/>
      <c r="M73" s="79"/>
      <c r="N73" s="626"/>
      <c r="O73" s="626"/>
      <c r="P73" s="626"/>
      <c r="Q73" s="626"/>
      <c r="R73" s="626"/>
      <c r="S73" s="626"/>
      <c r="T73" s="626"/>
      <c r="U73" s="626"/>
      <c r="V73" s="626"/>
      <c r="W73" s="626"/>
      <c r="X73" s="626"/>
      <c r="Y73" s="626"/>
      <c r="AE73" s="130"/>
      <c r="AG73" s="106"/>
    </row>
    <row r="74">
      <c r="A74" s="646"/>
      <c r="B74" s="647"/>
      <c r="C74" s="78"/>
      <c r="D74" s="192"/>
      <c r="E74" s="643"/>
      <c r="F74" s="45"/>
      <c r="H74" s="479"/>
      <c r="I74" s="481"/>
      <c r="J74" s="481"/>
      <c r="K74" s="481"/>
      <c r="L74" s="625"/>
      <c r="M74" s="79"/>
      <c r="N74" s="626"/>
      <c r="O74" s="626"/>
      <c r="P74" s="626"/>
      <c r="Q74" s="626"/>
      <c r="R74" s="626"/>
      <c r="S74" s="626"/>
      <c r="T74" s="626"/>
      <c r="U74" s="626"/>
      <c r="V74" s="626"/>
      <c r="W74" s="626"/>
      <c r="X74" s="626"/>
      <c r="Y74" s="626"/>
      <c r="AE74" s="130"/>
      <c r="AG74" s="106"/>
    </row>
    <row r="75">
      <c r="E75" s="643"/>
      <c r="F75" s="45"/>
      <c r="H75" s="479"/>
      <c r="I75" s="481"/>
      <c r="J75" s="481"/>
      <c r="K75" s="481"/>
      <c r="L75" s="625"/>
      <c r="M75" s="79"/>
      <c r="N75" s="626"/>
      <c r="O75" s="626"/>
      <c r="P75" s="626"/>
      <c r="Q75" s="626"/>
      <c r="R75" s="626"/>
      <c r="S75" s="626"/>
      <c r="T75" s="626"/>
      <c r="U75" s="626"/>
      <c r="V75" s="626"/>
      <c r="W75" s="626"/>
      <c r="X75" s="626"/>
      <c r="Y75" s="626"/>
      <c r="AE75" s="130"/>
      <c r="AG75" s="106"/>
    </row>
    <row r="76">
      <c r="A76" s="646"/>
      <c r="B76" s="647"/>
      <c r="C76" s="78"/>
      <c r="D76" s="192"/>
      <c r="E76" s="643"/>
      <c r="F76" s="45"/>
      <c r="H76" s="479"/>
      <c r="I76" s="481"/>
      <c r="J76" s="481"/>
      <c r="K76" s="481"/>
      <c r="L76" s="625"/>
      <c r="M76" s="79"/>
      <c r="N76" s="626"/>
      <c r="O76" s="626"/>
      <c r="P76" s="626"/>
      <c r="Q76" s="626"/>
      <c r="R76" s="626"/>
      <c r="S76" s="626"/>
      <c r="T76" s="626"/>
      <c r="U76" s="626"/>
      <c r="V76" s="626"/>
      <c r="W76" s="626"/>
      <c r="X76" s="626"/>
      <c r="Y76" s="626"/>
      <c r="AE76" s="130"/>
      <c r="AG76" s="106"/>
    </row>
    <row r="77">
      <c r="A77" s="646"/>
      <c r="B77" s="647"/>
      <c r="C77" s="78"/>
      <c r="D77" s="192"/>
      <c r="E77" s="643"/>
      <c r="F77" s="45"/>
      <c r="H77" s="479"/>
      <c r="I77" s="481"/>
      <c r="J77" s="481"/>
      <c r="K77" s="481"/>
      <c r="L77" s="625"/>
      <c r="M77" s="79"/>
      <c r="N77" s="626"/>
      <c r="O77" s="626"/>
      <c r="P77" s="626"/>
      <c r="Q77" s="626"/>
      <c r="R77" s="626"/>
      <c r="S77" s="626"/>
      <c r="T77" s="626"/>
      <c r="U77" s="626"/>
      <c r="V77" s="626"/>
      <c r="W77" s="626"/>
      <c r="X77" s="626"/>
      <c r="Y77" s="626"/>
      <c r="AE77" s="130"/>
      <c r="AG77" s="106"/>
    </row>
    <row r="78">
      <c r="A78" s="646"/>
      <c r="B78" s="647"/>
      <c r="C78" s="78"/>
      <c r="D78" s="192"/>
      <c r="E78" s="643"/>
      <c r="F78" s="45"/>
      <c r="O78" s="79"/>
      <c r="S78" s="79"/>
      <c r="T78" s="79"/>
      <c r="Y78" s="79"/>
      <c r="AE78" s="130"/>
      <c r="AG78" s="106"/>
    </row>
    <row r="79">
      <c r="A79" s="646"/>
      <c r="B79" s="647"/>
      <c r="C79" s="78"/>
      <c r="D79" s="192"/>
      <c r="E79" s="643"/>
      <c r="F79" s="45"/>
      <c r="O79" s="79"/>
      <c r="S79" s="79"/>
      <c r="T79" s="79"/>
      <c r="Y79" s="79"/>
      <c r="AE79" s="130"/>
      <c r="AG79" s="106"/>
    </row>
    <row r="80">
      <c r="A80" s="646"/>
      <c r="B80" s="647"/>
      <c r="C80" s="78"/>
      <c r="D80" s="192"/>
      <c r="E80" s="643"/>
      <c r="F80" s="45"/>
      <c r="O80" s="79"/>
      <c r="S80" s="79"/>
      <c r="T80" s="79"/>
      <c r="Y80" s="79"/>
      <c r="AE80" s="130"/>
      <c r="AG80" s="106"/>
    </row>
    <row r="81">
      <c r="A81" s="646"/>
      <c r="B81" s="647"/>
      <c r="C81" s="78"/>
      <c r="D81" s="192"/>
      <c r="E81" s="643"/>
      <c r="F81" s="45"/>
      <c r="O81" s="79"/>
      <c r="S81" s="79"/>
      <c r="T81" s="79"/>
      <c r="Y81" s="79"/>
      <c r="AE81" s="130"/>
      <c r="AG81" s="106"/>
    </row>
    <row r="82">
      <c r="A82" s="646"/>
      <c r="B82" s="647"/>
      <c r="C82" s="78"/>
      <c r="D82" s="192"/>
      <c r="E82" s="643"/>
      <c r="F82" s="45"/>
      <c r="O82" s="79"/>
      <c r="S82" s="79"/>
      <c r="T82" s="79"/>
      <c r="Y82" s="79"/>
      <c r="AE82" s="130"/>
      <c r="AG82" s="106"/>
    </row>
    <row r="83">
      <c r="A83" s="646"/>
      <c r="B83" s="647"/>
      <c r="C83" s="78"/>
      <c r="D83" s="192"/>
      <c r="E83" s="643"/>
      <c r="F83" s="45"/>
      <c r="O83" s="79"/>
      <c r="S83" s="79"/>
      <c r="T83" s="79"/>
      <c r="Y83" s="79"/>
      <c r="AE83" s="130"/>
      <c r="AG83" s="106"/>
    </row>
    <row r="84">
      <c r="A84" s="646"/>
      <c r="B84" s="647"/>
      <c r="C84" s="78"/>
      <c r="D84" s="192"/>
      <c r="E84" s="643"/>
      <c r="F84" s="45"/>
      <c r="O84" s="79"/>
      <c r="S84" s="79"/>
      <c r="T84" s="79"/>
      <c r="Y84" s="79"/>
      <c r="AE84" s="130"/>
      <c r="AG84" s="106"/>
    </row>
    <row r="85">
      <c r="A85" s="646"/>
      <c r="B85" s="647"/>
      <c r="C85" s="78"/>
      <c r="D85" s="192"/>
      <c r="E85" s="643"/>
      <c r="F85" s="45"/>
      <c r="O85" s="79"/>
      <c r="S85" s="79"/>
      <c r="T85" s="79"/>
      <c r="Y85" s="79"/>
      <c r="AE85" s="130"/>
      <c r="AG85" s="106"/>
    </row>
    <row r="86">
      <c r="A86" s="646"/>
      <c r="B86" s="647"/>
      <c r="C86" s="78"/>
      <c r="D86" s="192"/>
      <c r="E86" s="643"/>
      <c r="F86" s="45"/>
      <c r="O86" s="79"/>
      <c r="S86" s="79"/>
      <c r="T86" s="79"/>
      <c r="Y86" s="79"/>
      <c r="AE86" s="130"/>
      <c r="AG86" s="106"/>
    </row>
    <row r="87">
      <c r="A87" s="646"/>
      <c r="B87" s="647"/>
      <c r="C87" s="78"/>
      <c r="D87" s="192"/>
      <c r="E87" s="643"/>
      <c r="F87" s="45"/>
      <c r="O87" s="79"/>
      <c r="S87" s="79"/>
      <c r="T87" s="79"/>
      <c r="Y87" s="79"/>
      <c r="AE87" s="130"/>
      <c r="AG87" s="106"/>
    </row>
    <row r="88">
      <c r="A88" s="646"/>
      <c r="B88" s="647"/>
      <c r="C88" s="78"/>
      <c r="D88" s="192"/>
      <c r="E88" s="643"/>
      <c r="F88" s="45"/>
      <c r="O88" s="79"/>
      <c r="S88" s="79"/>
      <c r="T88" s="79"/>
      <c r="Y88" s="79"/>
      <c r="AE88" s="130"/>
      <c r="AG88" s="106"/>
    </row>
    <row r="89">
      <c r="A89" s="646"/>
      <c r="B89" s="647"/>
      <c r="C89" s="78"/>
      <c r="D89" s="192"/>
      <c r="E89" s="643"/>
      <c r="F89" s="45"/>
      <c r="O89" s="79"/>
      <c r="S89" s="79"/>
      <c r="T89" s="79"/>
      <c r="Y89" s="79"/>
      <c r="AE89" s="130"/>
      <c r="AG89" s="106"/>
    </row>
    <row r="90">
      <c r="A90" s="646"/>
      <c r="B90" s="647"/>
      <c r="C90" s="78"/>
      <c r="D90" s="192"/>
      <c r="E90" s="643"/>
      <c r="F90" s="45"/>
      <c r="O90" s="79"/>
      <c r="S90" s="79"/>
      <c r="T90" s="79"/>
      <c r="Y90" s="79"/>
      <c r="AE90" s="130"/>
      <c r="AG90" s="106"/>
    </row>
    <row r="91">
      <c r="A91" s="646"/>
      <c r="B91" s="647"/>
      <c r="C91" s="78"/>
      <c r="D91" s="192"/>
      <c r="E91" s="643"/>
      <c r="F91" s="45"/>
      <c r="O91" s="79"/>
      <c r="S91" s="79"/>
      <c r="T91" s="79"/>
      <c r="Y91" s="79"/>
      <c r="AE91" s="130"/>
      <c r="AG91" s="106"/>
    </row>
    <row r="92">
      <c r="A92" s="646"/>
      <c r="B92" s="647"/>
      <c r="C92" s="78"/>
      <c r="D92" s="192"/>
      <c r="E92" s="643"/>
      <c r="F92" s="45"/>
      <c r="O92" s="79"/>
      <c r="S92" s="79"/>
      <c r="T92" s="79"/>
      <c r="Y92" s="79"/>
      <c r="AE92" s="130"/>
      <c r="AG92" s="106"/>
    </row>
    <row r="93">
      <c r="A93" s="646"/>
      <c r="B93" s="647"/>
      <c r="C93" s="78"/>
      <c r="D93" s="192"/>
      <c r="E93" s="643"/>
      <c r="F93" s="45"/>
      <c r="O93" s="79"/>
      <c r="S93" s="79"/>
      <c r="T93" s="79"/>
      <c r="Y93" s="79"/>
      <c r="AE93" s="130"/>
      <c r="AG93" s="106"/>
    </row>
    <row r="94">
      <c r="A94" s="646"/>
      <c r="B94" s="647"/>
      <c r="C94" s="78"/>
      <c r="D94" s="192"/>
      <c r="E94" s="643"/>
      <c r="F94" s="45"/>
      <c r="O94" s="79"/>
      <c r="S94" s="79"/>
      <c r="T94" s="79"/>
      <c r="Y94" s="79"/>
      <c r="AE94" s="130"/>
      <c r="AG94" s="106"/>
    </row>
    <row r="95">
      <c r="A95" s="646"/>
      <c r="B95" s="647"/>
      <c r="C95" s="78"/>
      <c r="D95" s="192"/>
      <c r="E95" s="643"/>
      <c r="F95" s="45"/>
      <c r="O95" s="79"/>
      <c r="S95" s="79"/>
      <c r="T95" s="79"/>
      <c r="Y95" s="79"/>
      <c r="AE95" s="130"/>
      <c r="AG95" s="106"/>
    </row>
    <row r="96">
      <c r="A96" s="646"/>
      <c r="B96" s="647"/>
      <c r="C96" s="78"/>
      <c r="D96" s="192"/>
      <c r="E96" s="643"/>
      <c r="F96" s="45"/>
      <c r="O96" s="79"/>
      <c r="S96" s="79"/>
      <c r="T96" s="79"/>
      <c r="Y96" s="79"/>
      <c r="AE96" s="130"/>
      <c r="AG96" s="106"/>
    </row>
    <row r="97">
      <c r="A97" s="646"/>
      <c r="B97" s="647"/>
      <c r="C97" s="78"/>
      <c r="D97" s="192"/>
      <c r="E97" s="643"/>
      <c r="F97" s="45"/>
      <c r="O97" s="79"/>
      <c r="S97" s="79"/>
      <c r="T97" s="79"/>
      <c r="Y97" s="79"/>
      <c r="AE97" s="130"/>
      <c r="AG97" s="106"/>
    </row>
    <row r="98">
      <c r="A98" s="646"/>
      <c r="B98" s="647"/>
      <c r="C98" s="78"/>
      <c r="D98" s="192"/>
      <c r="E98" s="643"/>
      <c r="F98" s="45"/>
      <c r="O98" s="79"/>
      <c r="S98" s="79"/>
      <c r="T98" s="79"/>
      <c r="Y98" s="79"/>
      <c r="AE98" s="130"/>
      <c r="AG98" s="106"/>
    </row>
    <row r="99">
      <c r="A99" s="646"/>
      <c r="B99" s="647"/>
      <c r="C99" s="78"/>
      <c r="D99" s="192"/>
      <c r="E99" s="643"/>
      <c r="F99" s="45"/>
      <c r="O99" s="79"/>
      <c r="S99" s="79"/>
      <c r="T99" s="79"/>
      <c r="Y99" s="79"/>
      <c r="AE99" s="130"/>
      <c r="AG99" s="106"/>
    </row>
    <row r="100">
      <c r="A100" s="646"/>
      <c r="B100" s="647"/>
      <c r="C100" s="78"/>
      <c r="D100" s="192"/>
      <c r="E100" s="643"/>
      <c r="F100" s="45"/>
      <c r="O100" s="79"/>
      <c r="S100" s="79"/>
      <c r="T100" s="79"/>
      <c r="Y100" s="79"/>
      <c r="AE100" s="130"/>
      <c r="AG100" s="106"/>
    </row>
    <row r="101">
      <c r="C101" s="79"/>
      <c r="D101" s="79"/>
      <c r="E101" s="79"/>
      <c r="O101" s="79"/>
      <c r="S101" s="79"/>
      <c r="T101" s="79"/>
      <c r="Y101" s="79"/>
      <c r="AE101" s="130"/>
      <c r="AG101" s="106"/>
    </row>
    <row r="102">
      <c r="C102" s="79"/>
      <c r="D102" s="79"/>
      <c r="E102" s="79"/>
      <c r="O102" s="79"/>
      <c r="S102" s="79"/>
      <c r="T102" s="79"/>
      <c r="Y102" s="79"/>
      <c r="AE102" s="130"/>
      <c r="AG102" s="106"/>
    </row>
    <row r="103">
      <c r="C103" s="79"/>
      <c r="D103" s="79"/>
      <c r="E103" s="79"/>
      <c r="O103" s="79"/>
      <c r="S103" s="79"/>
      <c r="T103" s="79"/>
      <c r="Y103" s="79"/>
      <c r="AE103" s="130"/>
      <c r="AG103" s="106"/>
    </row>
    <row r="104">
      <c r="C104" s="79"/>
      <c r="D104" s="79"/>
      <c r="E104" s="79"/>
      <c r="O104" s="79"/>
      <c r="S104" s="79"/>
      <c r="T104" s="79"/>
      <c r="Y104" s="79"/>
      <c r="AE104" s="130"/>
      <c r="AG104" s="106"/>
    </row>
    <row r="105">
      <c r="C105" s="79"/>
      <c r="D105" s="79"/>
      <c r="E105" s="79"/>
      <c r="O105" s="79"/>
      <c r="S105" s="79"/>
      <c r="T105" s="79"/>
      <c r="Y105" s="79"/>
      <c r="AE105" s="130"/>
      <c r="AG105" s="106"/>
    </row>
    <row r="106">
      <c r="C106" s="79"/>
      <c r="D106" s="79"/>
      <c r="E106" s="79"/>
      <c r="O106" s="79"/>
      <c r="S106" s="79"/>
      <c r="T106" s="79"/>
      <c r="Y106" s="79"/>
      <c r="AE106" s="130"/>
      <c r="AG106" s="106"/>
    </row>
    <row r="107">
      <c r="C107" s="79"/>
      <c r="D107" s="79"/>
      <c r="E107" s="79"/>
      <c r="O107" s="79"/>
      <c r="S107" s="79"/>
      <c r="T107" s="79"/>
      <c r="Y107" s="79"/>
      <c r="AE107" s="130"/>
      <c r="AG107" s="106"/>
    </row>
    <row r="108">
      <c r="C108" s="79"/>
      <c r="D108" s="79"/>
      <c r="E108" s="79"/>
      <c r="O108" s="79"/>
      <c r="S108" s="79"/>
      <c r="T108" s="79"/>
      <c r="Y108" s="79"/>
      <c r="AE108" s="130"/>
      <c r="AG108" s="106"/>
    </row>
    <row r="109">
      <c r="C109" s="79"/>
      <c r="D109" s="79"/>
      <c r="E109" s="79"/>
      <c r="O109" s="79"/>
      <c r="S109" s="79"/>
      <c r="T109" s="79"/>
      <c r="Y109" s="79"/>
      <c r="AE109" s="130"/>
      <c r="AG109" s="106"/>
    </row>
    <row r="110">
      <c r="C110" s="79"/>
      <c r="D110" s="79"/>
      <c r="E110" s="79"/>
      <c r="O110" s="79"/>
      <c r="S110" s="79"/>
      <c r="T110" s="79"/>
      <c r="Y110" s="79"/>
      <c r="AE110" s="130"/>
      <c r="AG110" s="106"/>
    </row>
    <row r="111">
      <c r="C111" s="79"/>
      <c r="D111" s="79"/>
      <c r="E111" s="79"/>
      <c r="O111" s="79"/>
      <c r="S111" s="79"/>
      <c r="T111" s="79"/>
      <c r="Y111" s="79"/>
      <c r="AE111" s="130"/>
      <c r="AG111" s="106"/>
    </row>
    <row r="112">
      <c r="C112" s="79"/>
      <c r="D112" s="79"/>
      <c r="E112" s="79"/>
      <c r="O112" s="79"/>
      <c r="S112" s="79"/>
      <c r="T112" s="79"/>
      <c r="Y112" s="79"/>
      <c r="AE112" s="130"/>
      <c r="AG112" s="106"/>
    </row>
    <row r="113">
      <c r="C113" s="79"/>
      <c r="D113" s="79"/>
      <c r="E113" s="79"/>
      <c r="O113" s="79"/>
      <c r="S113" s="79"/>
      <c r="T113" s="79"/>
      <c r="Y113" s="79"/>
      <c r="AE113" s="130"/>
      <c r="AG113" s="106"/>
    </row>
    <row r="114">
      <c r="C114" s="79"/>
      <c r="D114" s="79"/>
      <c r="E114" s="79"/>
      <c r="O114" s="79"/>
      <c r="S114" s="79"/>
      <c r="T114" s="79"/>
      <c r="Y114" s="79"/>
      <c r="AE114" s="130"/>
      <c r="AG114" s="106"/>
    </row>
    <row r="115">
      <c r="C115" s="79"/>
      <c r="D115" s="79"/>
      <c r="E115" s="79"/>
      <c r="O115" s="79"/>
      <c r="S115" s="79"/>
      <c r="T115" s="79"/>
      <c r="Y115" s="79"/>
      <c r="AE115" s="130"/>
      <c r="AG115" s="106"/>
    </row>
    <row r="116">
      <c r="C116" s="79"/>
      <c r="D116" s="79"/>
      <c r="E116" s="79"/>
      <c r="O116" s="79"/>
      <c r="S116" s="79"/>
      <c r="T116" s="79"/>
      <c r="Y116" s="79"/>
      <c r="AE116" s="130"/>
      <c r="AG116" s="106"/>
    </row>
    <row r="117">
      <c r="C117" s="79"/>
      <c r="D117" s="79"/>
      <c r="E117" s="79"/>
      <c r="O117" s="79"/>
      <c r="S117" s="79"/>
      <c r="T117" s="79"/>
      <c r="Y117" s="79"/>
      <c r="AE117" s="130"/>
      <c r="AG117" s="106"/>
    </row>
    <row r="118">
      <c r="C118" s="79"/>
      <c r="D118" s="79"/>
      <c r="E118" s="79"/>
      <c r="O118" s="79"/>
      <c r="S118" s="79"/>
      <c r="T118" s="79"/>
      <c r="Y118" s="79"/>
      <c r="AE118" s="130"/>
      <c r="AG118" s="106"/>
    </row>
    <row r="119">
      <c r="C119" s="79"/>
      <c r="D119" s="79"/>
      <c r="E119" s="79"/>
      <c r="O119" s="79"/>
      <c r="S119" s="79"/>
      <c r="T119" s="79"/>
      <c r="Y119" s="79"/>
      <c r="AE119" s="130"/>
      <c r="AG119" s="106"/>
    </row>
    <row r="120">
      <c r="C120" s="79"/>
      <c r="D120" s="79"/>
      <c r="E120" s="79"/>
      <c r="O120" s="79"/>
      <c r="S120" s="79"/>
      <c r="T120" s="79"/>
      <c r="Y120" s="79"/>
      <c r="AE120" s="130"/>
      <c r="AG120" s="106"/>
    </row>
    <row r="121">
      <c r="C121" s="79"/>
      <c r="D121" s="79"/>
      <c r="E121" s="79"/>
      <c r="O121" s="79"/>
      <c r="S121" s="79"/>
      <c r="T121" s="79"/>
      <c r="Y121" s="79"/>
      <c r="AE121" s="130"/>
      <c r="AG121" s="106"/>
    </row>
    <row r="122">
      <c r="C122" s="79"/>
      <c r="D122" s="79"/>
      <c r="E122" s="79"/>
      <c r="O122" s="79"/>
      <c r="S122" s="79"/>
      <c r="T122" s="79"/>
      <c r="Y122" s="79"/>
      <c r="AE122" s="130"/>
      <c r="AG122" s="106"/>
    </row>
    <row r="123">
      <c r="C123" s="79"/>
      <c r="D123" s="79"/>
      <c r="E123" s="79"/>
      <c r="O123" s="79"/>
      <c r="S123" s="79"/>
      <c r="T123" s="79"/>
      <c r="Y123" s="79"/>
      <c r="AE123" s="130"/>
      <c r="AG123" s="106"/>
    </row>
    <row r="124">
      <c r="C124" s="79"/>
      <c r="D124" s="79"/>
      <c r="E124" s="79"/>
      <c r="O124" s="79"/>
      <c r="S124" s="79"/>
      <c r="T124" s="79"/>
      <c r="Y124" s="79"/>
      <c r="AE124" s="130"/>
      <c r="AG124" s="106"/>
    </row>
    <row r="125">
      <c r="C125" s="79"/>
      <c r="D125" s="79"/>
      <c r="E125" s="79"/>
      <c r="O125" s="79"/>
      <c r="S125" s="79"/>
      <c r="T125" s="79"/>
      <c r="Y125" s="79"/>
      <c r="AE125" s="130"/>
      <c r="AG125" s="106"/>
    </row>
    <row r="126">
      <c r="C126" s="79"/>
      <c r="D126" s="79"/>
      <c r="E126" s="79"/>
      <c r="O126" s="79"/>
      <c r="S126" s="79"/>
      <c r="T126" s="79"/>
      <c r="Y126" s="79"/>
      <c r="AE126" s="130"/>
      <c r="AG126" s="106"/>
    </row>
    <row r="127">
      <c r="C127" s="79"/>
      <c r="D127" s="79"/>
      <c r="E127" s="79"/>
      <c r="O127" s="79"/>
      <c r="S127" s="79"/>
      <c r="T127" s="79"/>
      <c r="Y127" s="79"/>
      <c r="AE127" s="130"/>
      <c r="AG127" s="106"/>
    </row>
    <row r="128">
      <c r="C128" s="79"/>
      <c r="D128" s="79"/>
      <c r="E128" s="79"/>
      <c r="O128" s="79"/>
      <c r="S128" s="79"/>
      <c r="T128" s="79"/>
      <c r="Y128" s="79"/>
      <c r="AE128" s="130"/>
      <c r="AG128" s="106"/>
    </row>
    <row r="129">
      <c r="C129" s="79"/>
      <c r="D129" s="79"/>
      <c r="E129" s="79"/>
      <c r="O129" s="79"/>
      <c r="S129" s="79"/>
      <c r="T129" s="79"/>
      <c r="Y129" s="79"/>
      <c r="AE129" s="130"/>
      <c r="AG129" s="106"/>
    </row>
    <row r="130">
      <c r="C130" s="79"/>
      <c r="D130" s="79"/>
      <c r="E130" s="79"/>
      <c r="O130" s="79"/>
      <c r="S130" s="79"/>
      <c r="T130" s="79"/>
      <c r="Y130" s="79"/>
      <c r="AE130" s="130"/>
      <c r="AG130" s="106"/>
    </row>
    <row r="131">
      <c r="C131" s="79"/>
      <c r="D131" s="79"/>
      <c r="E131" s="79"/>
      <c r="O131" s="79"/>
      <c r="S131" s="79"/>
      <c r="T131" s="79"/>
      <c r="Y131" s="79"/>
      <c r="AE131" s="130"/>
      <c r="AG131" s="106"/>
    </row>
    <row r="132">
      <c r="C132" s="79"/>
      <c r="D132" s="79"/>
      <c r="E132" s="79"/>
      <c r="O132" s="79"/>
      <c r="S132" s="79"/>
      <c r="T132" s="79"/>
      <c r="Y132" s="79"/>
      <c r="AE132" s="130"/>
      <c r="AG132" s="106"/>
    </row>
    <row r="133">
      <c r="C133" s="79"/>
      <c r="D133" s="79"/>
      <c r="E133" s="79"/>
      <c r="O133" s="79"/>
      <c r="S133" s="79"/>
      <c r="T133" s="79"/>
      <c r="Y133" s="79"/>
      <c r="AE133" s="130"/>
      <c r="AG133" s="106"/>
    </row>
    <row r="134">
      <c r="C134" s="79"/>
      <c r="D134" s="79"/>
      <c r="E134" s="79"/>
      <c r="O134" s="79"/>
      <c r="S134" s="79"/>
      <c r="T134" s="79"/>
      <c r="Y134" s="79"/>
      <c r="AE134" s="130"/>
      <c r="AG134" s="106"/>
    </row>
    <row r="135">
      <c r="C135" s="79"/>
      <c r="D135" s="79"/>
      <c r="E135" s="79"/>
      <c r="O135" s="79"/>
      <c r="S135" s="79"/>
      <c r="T135" s="79"/>
      <c r="Y135" s="79"/>
      <c r="AE135" s="130"/>
      <c r="AG135" s="106"/>
    </row>
    <row r="136">
      <c r="C136" s="79"/>
      <c r="D136" s="79"/>
      <c r="E136" s="79"/>
      <c r="O136" s="79"/>
      <c r="S136" s="79"/>
      <c r="T136" s="79"/>
      <c r="Y136" s="79"/>
      <c r="AE136" s="130"/>
      <c r="AG136" s="106"/>
    </row>
    <row r="137">
      <c r="C137" s="79"/>
      <c r="D137" s="79"/>
      <c r="E137" s="79"/>
      <c r="O137" s="79"/>
      <c r="S137" s="79"/>
      <c r="T137" s="79"/>
      <c r="Y137" s="79"/>
      <c r="AE137" s="130"/>
      <c r="AG137" s="106"/>
    </row>
    <row r="138">
      <c r="C138" s="79"/>
      <c r="D138" s="79"/>
      <c r="E138" s="79"/>
      <c r="O138" s="79"/>
      <c r="S138" s="79"/>
      <c r="T138" s="79"/>
      <c r="Y138" s="79"/>
      <c r="AE138" s="130"/>
      <c r="AG138" s="106"/>
    </row>
    <row r="139">
      <c r="C139" s="79"/>
      <c r="D139" s="79"/>
      <c r="E139" s="79"/>
      <c r="O139" s="79"/>
      <c r="S139" s="79"/>
      <c r="T139" s="79"/>
      <c r="Y139" s="79"/>
      <c r="AE139" s="130"/>
      <c r="AG139" s="106"/>
    </row>
    <row r="140">
      <c r="C140" s="79"/>
      <c r="D140" s="79"/>
      <c r="E140" s="79"/>
      <c r="O140" s="79"/>
      <c r="S140" s="79"/>
      <c r="T140" s="79"/>
      <c r="Y140" s="79"/>
      <c r="AE140" s="130"/>
      <c r="AG140" s="106"/>
    </row>
    <row r="141">
      <c r="C141" s="79"/>
      <c r="D141" s="79"/>
      <c r="E141" s="79"/>
      <c r="O141" s="79"/>
      <c r="S141" s="79"/>
      <c r="T141" s="79"/>
      <c r="Y141" s="79"/>
      <c r="AE141" s="130"/>
      <c r="AG141" s="106"/>
    </row>
    <row r="142">
      <c r="C142" s="79"/>
      <c r="D142" s="79"/>
      <c r="E142" s="79"/>
      <c r="O142" s="79"/>
      <c r="S142" s="79"/>
      <c r="T142" s="79"/>
      <c r="Y142" s="79"/>
      <c r="AE142" s="130"/>
      <c r="AG142" s="106"/>
    </row>
    <row r="143">
      <c r="C143" s="79"/>
      <c r="D143" s="79"/>
      <c r="E143" s="79"/>
      <c r="O143" s="79"/>
      <c r="S143" s="79"/>
      <c r="T143" s="79"/>
      <c r="Y143" s="79"/>
      <c r="AE143" s="130"/>
      <c r="AG143" s="106"/>
    </row>
    <row r="144">
      <c r="C144" s="79"/>
      <c r="D144" s="79"/>
      <c r="E144" s="79"/>
      <c r="O144" s="79"/>
      <c r="S144" s="79"/>
      <c r="T144" s="79"/>
      <c r="Y144" s="79"/>
      <c r="AE144" s="130"/>
      <c r="AG144" s="106"/>
    </row>
    <row r="145">
      <c r="C145" s="79"/>
      <c r="D145" s="79"/>
      <c r="E145" s="79"/>
      <c r="O145" s="79"/>
      <c r="S145" s="79"/>
      <c r="T145" s="79"/>
      <c r="Y145" s="79"/>
      <c r="AE145" s="130"/>
      <c r="AG145" s="106"/>
    </row>
    <row r="146">
      <c r="C146" s="79"/>
      <c r="D146" s="79"/>
      <c r="E146" s="79"/>
      <c r="O146" s="79"/>
      <c r="S146" s="79"/>
      <c r="T146" s="79"/>
      <c r="Y146" s="79"/>
      <c r="AE146" s="130"/>
      <c r="AG146" s="106"/>
    </row>
    <row r="147">
      <c r="C147" s="79"/>
      <c r="D147" s="79"/>
      <c r="E147" s="79"/>
      <c r="O147" s="79"/>
      <c r="S147" s="79"/>
      <c r="T147" s="79"/>
      <c r="Y147" s="79"/>
      <c r="AE147" s="130"/>
      <c r="AG147" s="106"/>
    </row>
    <row r="148">
      <c r="C148" s="79"/>
      <c r="D148" s="79"/>
      <c r="E148" s="79"/>
      <c r="O148" s="79"/>
      <c r="S148" s="79"/>
      <c r="T148" s="79"/>
      <c r="Y148" s="79"/>
      <c r="AE148" s="130"/>
      <c r="AG148" s="106"/>
    </row>
    <row r="149">
      <c r="C149" s="79"/>
      <c r="D149" s="79"/>
      <c r="E149" s="79"/>
      <c r="O149" s="79"/>
      <c r="S149" s="79"/>
      <c r="T149" s="79"/>
      <c r="Y149" s="79"/>
      <c r="AE149" s="130"/>
      <c r="AG149" s="106"/>
    </row>
    <row r="150">
      <c r="C150" s="79"/>
      <c r="D150" s="79"/>
      <c r="E150" s="79"/>
      <c r="O150" s="79"/>
      <c r="S150" s="79"/>
      <c r="T150" s="79"/>
      <c r="Y150" s="79"/>
      <c r="AE150" s="130"/>
      <c r="AG150" s="106"/>
    </row>
    <row r="151">
      <c r="C151" s="79"/>
      <c r="D151" s="79"/>
      <c r="E151" s="79"/>
      <c r="O151" s="79"/>
      <c r="S151" s="79"/>
      <c r="T151" s="79"/>
      <c r="Y151" s="79"/>
      <c r="AE151" s="130"/>
      <c r="AG151" s="106"/>
    </row>
    <row r="152">
      <c r="C152" s="79"/>
      <c r="D152" s="79"/>
      <c r="E152" s="79"/>
      <c r="O152" s="79"/>
      <c r="S152" s="79"/>
      <c r="T152" s="79"/>
      <c r="Y152" s="79"/>
      <c r="AE152" s="130"/>
      <c r="AG152" s="106"/>
    </row>
    <row r="153">
      <c r="C153" s="79"/>
      <c r="D153" s="79"/>
      <c r="E153" s="79"/>
      <c r="O153" s="79"/>
      <c r="S153" s="79"/>
      <c r="T153" s="79"/>
      <c r="Y153" s="79"/>
      <c r="AE153" s="130"/>
      <c r="AG153" s="106"/>
    </row>
    <row r="154">
      <c r="C154" s="79"/>
      <c r="D154" s="79"/>
      <c r="E154" s="79"/>
      <c r="O154" s="79"/>
      <c r="S154" s="79"/>
      <c r="T154" s="79"/>
      <c r="Y154" s="79"/>
      <c r="AE154" s="130"/>
      <c r="AG154" s="106"/>
    </row>
    <row r="155">
      <c r="C155" s="79"/>
      <c r="D155" s="79"/>
      <c r="E155" s="79"/>
      <c r="O155" s="79"/>
      <c r="S155" s="79"/>
      <c r="T155" s="79"/>
      <c r="Y155" s="79"/>
      <c r="AE155" s="130"/>
      <c r="AG155" s="106"/>
    </row>
    <row r="156">
      <c r="C156" s="79"/>
      <c r="D156" s="79"/>
      <c r="E156" s="79"/>
      <c r="O156" s="79"/>
      <c r="S156" s="79"/>
      <c r="T156" s="79"/>
      <c r="Y156" s="79"/>
      <c r="AE156" s="130"/>
      <c r="AG156" s="106"/>
    </row>
    <row r="157">
      <c r="C157" s="79"/>
      <c r="D157" s="79"/>
      <c r="E157" s="79"/>
      <c r="O157" s="79"/>
      <c r="S157" s="79"/>
      <c r="T157" s="79"/>
      <c r="Y157" s="79"/>
      <c r="AE157" s="130"/>
      <c r="AG157" s="106"/>
    </row>
    <row r="158">
      <c r="C158" s="79"/>
      <c r="D158" s="79"/>
      <c r="E158" s="79"/>
      <c r="O158" s="79"/>
      <c r="S158" s="79"/>
      <c r="T158" s="79"/>
      <c r="Y158" s="79"/>
      <c r="AE158" s="130"/>
      <c r="AG158" s="106"/>
    </row>
    <row r="159">
      <c r="C159" s="79"/>
      <c r="D159" s="79"/>
      <c r="E159" s="79"/>
      <c r="O159" s="79"/>
      <c r="S159" s="79"/>
      <c r="T159" s="79"/>
      <c r="Y159" s="79"/>
      <c r="AE159" s="130"/>
      <c r="AG159" s="106"/>
    </row>
    <row r="160">
      <c r="C160" s="79"/>
      <c r="D160" s="79"/>
      <c r="E160" s="79"/>
      <c r="O160" s="79"/>
      <c r="S160" s="79"/>
      <c r="T160" s="79"/>
      <c r="Y160" s="79"/>
      <c r="AE160" s="130"/>
      <c r="AG160" s="106"/>
    </row>
    <row r="161">
      <c r="C161" s="79"/>
      <c r="D161" s="79"/>
      <c r="E161" s="79"/>
      <c r="O161" s="79"/>
      <c r="S161" s="79"/>
      <c r="T161" s="79"/>
      <c r="Y161" s="79"/>
      <c r="AE161" s="130"/>
      <c r="AG161" s="106"/>
    </row>
    <row r="162">
      <c r="C162" s="79"/>
      <c r="D162" s="79"/>
      <c r="E162" s="79"/>
      <c r="O162" s="79"/>
      <c r="S162" s="79"/>
      <c r="T162" s="79"/>
      <c r="Y162" s="79"/>
      <c r="AE162" s="130"/>
      <c r="AG162" s="106"/>
    </row>
    <row r="163">
      <c r="C163" s="79"/>
      <c r="D163" s="79"/>
      <c r="E163" s="79"/>
      <c r="O163" s="79"/>
      <c r="S163" s="79"/>
      <c r="T163" s="79"/>
      <c r="Y163" s="79"/>
      <c r="AE163" s="130"/>
      <c r="AG163" s="106"/>
    </row>
    <row r="164">
      <c r="C164" s="79"/>
      <c r="D164" s="79"/>
      <c r="E164" s="79"/>
      <c r="O164" s="79"/>
      <c r="S164" s="79"/>
      <c r="T164" s="79"/>
      <c r="Y164" s="79"/>
      <c r="AE164" s="130"/>
      <c r="AG164" s="106"/>
    </row>
    <row r="165">
      <c r="C165" s="79"/>
      <c r="D165" s="79"/>
      <c r="E165" s="79"/>
      <c r="O165" s="79"/>
      <c r="S165" s="79"/>
      <c r="T165" s="79"/>
      <c r="Y165" s="79"/>
      <c r="AE165" s="130"/>
      <c r="AG165" s="106"/>
    </row>
    <row r="166">
      <c r="C166" s="79"/>
      <c r="D166" s="79"/>
      <c r="E166" s="79"/>
      <c r="O166" s="79"/>
      <c r="S166" s="79"/>
      <c r="T166" s="79"/>
      <c r="Y166" s="79"/>
      <c r="AE166" s="130"/>
      <c r="AG166" s="106"/>
    </row>
    <row r="167">
      <c r="C167" s="79"/>
      <c r="D167" s="79"/>
      <c r="E167" s="79"/>
      <c r="O167" s="79"/>
      <c r="S167" s="79"/>
      <c r="T167" s="79"/>
      <c r="Y167" s="79"/>
      <c r="AE167" s="130"/>
      <c r="AG167" s="106"/>
    </row>
    <row r="168">
      <c r="C168" s="79"/>
      <c r="D168" s="79"/>
      <c r="E168" s="79"/>
      <c r="O168" s="79"/>
      <c r="S168" s="79"/>
      <c r="T168" s="79"/>
      <c r="Y168" s="79"/>
      <c r="AE168" s="130"/>
      <c r="AG168" s="106"/>
    </row>
    <row r="169">
      <c r="C169" s="79"/>
      <c r="D169" s="79"/>
      <c r="E169" s="79"/>
      <c r="O169" s="79"/>
      <c r="S169" s="79"/>
      <c r="T169" s="79"/>
      <c r="Y169" s="79"/>
      <c r="AE169" s="130"/>
      <c r="AG169" s="106"/>
    </row>
    <row r="170">
      <c r="C170" s="79"/>
      <c r="D170" s="79"/>
      <c r="E170" s="79"/>
      <c r="O170" s="79"/>
      <c r="S170" s="79"/>
      <c r="T170" s="79"/>
      <c r="Y170" s="79"/>
      <c r="AE170" s="130"/>
      <c r="AG170" s="106"/>
    </row>
    <row r="171">
      <c r="C171" s="79"/>
      <c r="D171" s="79"/>
      <c r="E171" s="79"/>
      <c r="O171" s="79"/>
      <c r="S171" s="79"/>
      <c r="T171" s="79"/>
      <c r="Y171" s="79"/>
      <c r="AE171" s="130"/>
      <c r="AG171" s="106"/>
    </row>
    <row r="172">
      <c r="C172" s="79"/>
      <c r="D172" s="79"/>
      <c r="E172" s="79"/>
      <c r="O172" s="79"/>
      <c r="S172" s="79"/>
      <c r="T172" s="79"/>
      <c r="Y172" s="79"/>
      <c r="AE172" s="130"/>
      <c r="AG172" s="106"/>
    </row>
    <row r="173">
      <c r="C173" s="79"/>
      <c r="D173" s="79"/>
      <c r="E173" s="79"/>
      <c r="O173" s="79"/>
      <c r="S173" s="79"/>
      <c r="T173" s="79"/>
      <c r="Y173" s="79"/>
      <c r="AE173" s="130"/>
      <c r="AG173" s="106"/>
    </row>
    <row r="174">
      <c r="C174" s="79"/>
      <c r="D174" s="79"/>
      <c r="E174" s="79"/>
      <c r="O174" s="79"/>
      <c r="S174" s="79"/>
      <c r="T174" s="79"/>
      <c r="Y174" s="79"/>
      <c r="AE174" s="130"/>
      <c r="AG174" s="106"/>
    </row>
    <row r="175">
      <c r="C175" s="79"/>
      <c r="D175" s="79"/>
      <c r="E175" s="79"/>
      <c r="O175" s="79"/>
      <c r="S175" s="79"/>
      <c r="T175" s="79"/>
      <c r="Y175" s="79"/>
      <c r="AE175" s="130"/>
      <c r="AG175" s="106"/>
    </row>
    <row r="176">
      <c r="C176" s="79"/>
      <c r="D176" s="79"/>
      <c r="E176" s="79"/>
      <c r="O176" s="79"/>
      <c r="S176" s="79"/>
      <c r="T176" s="79"/>
      <c r="Y176" s="79"/>
      <c r="AE176" s="130"/>
      <c r="AG176" s="106"/>
    </row>
    <row r="177">
      <c r="C177" s="79"/>
      <c r="D177" s="79"/>
      <c r="E177" s="79"/>
      <c r="O177" s="79"/>
      <c r="S177" s="79"/>
      <c r="T177" s="79"/>
      <c r="Y177" s="79"/>
      <c r="AE177" s="130"/>
      <c r="AG177" s="106"/>
    </row>
    <row r="178">
      <c r="C178" s="79"/>
      <c r="D178" s="79"/>
      <c r="E178" s="79"/>
      <c r="O178" s="79"/>
      <c r="S178" s="79"/>
      <c r="T178" s="79"/>
      <c r="Y178" s="79"/>
      <c r="AE178" s="130"/>
      <c r="AG178" s="106"/>
    </row>
    <row r="179">
      <c r="C179" s="79"/>
      <c r="D179" s="79"/>
      <c r="E179" s="79"/>
      <c r="O179" s="79"/>
      <c r="S179" s="79"/>
      <c r="T179" s="79"/>
      <c r="Y179" s="79"/>
      <c r="AE179" s="130"/>
      <c r="AG179" s="106"/>
    </row>
    <row r="180">
      <c r="C180" s="79"/>
      <c r="D180" s="79"/>
      <c r="E180" s="79"/>
      <c r="O180" s="79"/>
      <c r="S180" s="79"/>
      <c r="T180" s="79"/>
      <c r="Y180" s="79"/>
      <c r="AE180" s="130"/>
      <c r="AG180" s="106"/>
    </row>
    <row r="181">
      <c r="C181" s="79"/>
      <c r="D181" s="79"/>
      <c r="E181" s="79"/>
      <c r="O181" s="79"/>
      <c r="S181" s="79"/>
      <c r="T181" s="79"/>
      <c r="Y181" s="79"/>
      <c r="AE181" s="130"/>
      <c r="AG181" s="106"/>
    </row>
    <row r="182">
      <c r="C182" s="79"/>
      <c r="D182" s="79"/>
      <c r="E182" s="79"/>
      <c r="O182" s="79"/>
      <c r="S182" s="79"/>
      <c r="T182" s="79"/>
      <c r="Y182" s="79"/>
      <c r="AE182" s="130"/>
      <c r="AG182" s="106"/>
    </row>
    <row r="183">
      <c r="C183" s="79"/>
      <c r="D183" s="79"/>
      <c r="E183" s="79"/>
      <c r="O183" s="79"/>
      <c r="S183" s="79"/>
      <c r="T183" s="79"/>
      <c r="Y183" s="79"/>
      <c r="AE183" s="130"/>
      <c r="AG183" s="106"/>
    </row>
    <row r="184">
      <c r="C184" s="79"/>
      <c r="D184" s="79"/>
      <c r="E184" s="79"/>
      <c r="O184" s="79"/>
      <c r="S184" s="79"/>
      <c r="T184" s="79"/>
      <c r="Y184" s="79"/>
      <c r="AE184" s="130"/>
      <c r="AG184" s="106"/>
    </row>
    <row r="185">
      <c r="C185" s="79"/>
      <c r="D185" s="79"/>
      <c r="E185" s="79"/>
      <c r="O185" s="79"/>
      <c r="S185" s="79"/>
      <c r="T185" s="79"/>
      <c r="Y185" s="79"/>
      <c r="AE185" s="130"/>
      <c r="AG185" s="106"/>
    </row>
    <row r="186">
      <c r="C186" s="79"/>
      <c r="D186" s="79"/>
      <c r="E186" s="79"/>
      <c r="O186" s="79"/>
      <c r="S186" s="79"/>
      <c r="T186" s="79"/>
      <c r="Y186" s="79"/>
      <c r="AE186" s="130"/>
      <c r="AG186" s="106"/>
    </row>
    <row r="187">
      <c r="C187" s="79"/>
      <c r="D187" s="79"/>
      <c r="E187" s="79"/>
      <c r="O187" s="79"/>
      <c r="S187" s="79"/>
      <c r="T187" s="79"/>
      <c r="Y187" s="79"/>
      <c r="AE187" s="130"/>
      <c r="AG187" s="106"/>
    </row>
    <row r="188">
      <c r="C188" s="79"/>
      <c r="D188" s="79"/>
      <c r="E188" s="79"/>
      <c r="O188" s="79"/>
      <c r="S188" s="79"/>
      <c r="T188" s="79"/>
      <c r="Y188" s="79"/>
      <c r="AE188" s="130"/>
      <c r="AG188" s="106"/>
    </row>
    <row r="189">
      <c r="C189" s="79"/>
      <c r="D189" s="79"/>
      <c r="E189" s="79"/>
      <c r="O189" s="79"/>
      <c r="S189" s="79"/>
      <c r="T189" s="79"/>
      <c r="Y189" s="79"/>
      <c r="AE189" s="130"/>
      <c r="AG189" s="106"/>
    </row>
    <row r="190">
      <c r="C190" s="79"/>
      <c r="D190" s="79"/>
      <c r="E190" s="79"/>
      <c r="O190" s="79"/>
      <c r="S190" s="79"/>
      <c r="T190" s="79"/>
      <c r="Y190" s="79"/>
      <c r="AE190" s="130"/>
      <c r="AG190" s="106"/>
    </row>
    <row r="191">
      <c r="C191" s="79"/>
      <c r="D191" s="79"/>
      <c r="E191" s="79"/>
      <c r="O191" s="79"/>
      <c r="S191" s="79"/>
      <c r="T191" s="79"/>
      <c r="Y191" s="79"/>
      <c r="AE191" s="130"/>
      <c r="AG191" s="106"/>
    </row>
    <row r="192">
      <c r="C192" s="79"/>
      <c r="D192" s="79"/>
      <c r="E192" s="79"/>
      <c r="O192" s="79"/>
      <c r="S192" s="79"/>
      <c r="T192" s="79"/>
      <c r="Y192" s="79"/>
      <c r="AE192" s="130"/>
      <c r="AG192" s="106"/>
    </row>
    <row r="193">
      <c r="C193" s="79"/>
      <c r="D193" s="79"/>
      <c r="E193" s="79"/>
      <c r="O193" s="79"/>
      <c r="S193" s="79"/>
      <c r="T193" s="79"/>
      <c r="Y193" s="79"/>
      <c r="AE193" s="130"/>
      <c r="AG193" s="106"/>
    </row>
    <row r="194">
      <c r="C194" s="79"/>
      <c r="D194" s="79"/>
      <c r="E194" s="79"/>
      <c r="O194" s="79"/>
      <c r="S194" s="79"/>
      <c r="T194" s="79"/>
      <c r="Y194" s="79"/>
      <c r="AE194" s="130"/>
      <c r="AG194" s="106"/>
    </row>
    <row r="195">
      <c r="C195" s="79"/>
      <c r="D195" s="79"/>
      <c r="E195" s="79"/>
      <c r="O195" s="79"/>
      <c r="S195" s="79"/>
      <c r="T195" s="79"/>
      <c r="Y195" s="79"/>
      <c r="AE195" s="130"/>
      <c r="AG195" s="106"/>
    </row>
    <row r="196">
      <c r="C196" s="79"/>
      <c r="D196" s="79"/>
      <c r="E196" s="79"/>
      <c r="O196" s="79"/>
      <c r="S196" s="79"/>
      <c r="T196" s="79"/>
      <c r="Y196" s="79"/>
      <c r="AE196" s="130"/>
      <c r="AG196" s="106"/>
    </row>
    <row r="197">
      <c r="C197" s="79"/>
      <c r="D197" s="79"/>
      <c r="E197" s="79"/>
      <c r="O197" s="79"/>
      <c r="S197" s="79"/>
      <c r="T197" s="79"/>
      <c r="Y197" s="79"/>
      <c r="AE197" s="130"/>
      <c r="AG197" s="106"/>
    </row>
    <row r="198">
      <c r="C198" s="79"/>
      <c r="D198" s="79"/>
      <c r="E198" s="79"/>
      <c r="O198" s="79"/>
      <c r="S198" s="79"/>
      <c r="T198" s="79"/>
      <c r="Y198" s="79"/>
      <c r="AE198" s="130"/>
      <c r="AG198" s="106"/>
    </row>
    <row r="199">
      <c r="C199" s="79"/>
      <c r="D199" s="79"/>
      <c r="E199" s="79"/>
      <c r="O199" s="79"/>
      <c r="S199" s="79"/>
      <c r="T199" s="79"/>
      <c r="Y199" s="79"/>
      <c r="AE199" s="130"/>
      <c r="AG199" s="106"/>
    </row>
    <row r="200">
      <c r="C200" s="79"/>
      <c r="D200" s="79"/>
      <c r="E200" s="79"/>
      <c r="O200" s="79"/>
      <c r="S200" s="79"/>
      <c r="T200" s="79"/>
      <c r="Y200" s="79"/>
      <c r="AE200" s="130"/>
      <c r="AG200" s="106"/>
    </row>
    <row r="201">
      <c r="C201" s="79"/>
      <c r="D201" s="79"/>
      <c r="E201" s="79"/>
      <c r="O201" s="79"/>
      <c r="S201" s="79"/>
      <c r="T201" s="79"/>
      <c r="Y201" s="79"/>
      <c r="AE201" s="130"/>
      <c r="AG201" s="106"/>
    </row>
    <row r="202">
      <c r="C202" s="79"/>
      <c r="D202" s="79"/>
      <c r="E202" s="79"/>
      <c r="O202" s="79"/>
      <c r="S202" s="79"/>
      <c r="T202" s="79"/>
      <c r="Y202" s="79"/>
      <c r="AE202" s="130"/>
      <c r="AG202" s="106"/>
    </row>
    <row r="203">
      <c r="C203" s="79"/>
      <c r="D203" s="79"/>
      <c r="E203" s="79"/>
      <c r="O203" s="79"/>
      <c r="S203" s="79"/>
      <c r="T203" s="79"/>
      <c r="Y203" s="79"/>
      <c r="AE203" s="130"/>
      <c r="AG203" s="106"/>
    </row>
    <row r="204">
      <c r="C204" s="79"/>
      <c r="D204" s="79"/>
      <c r="E204" s="79"/>
      <c r="O204" s="79"/>
      <c r="S204" s="79"/>
      <c r="T204" s="79"/>
      <c r="Y204" s="79"/>
      <c r="AE204" s="130"/>
      <c r="AG204" s="106"/>
    </row>
    <row r="205">
      <c r="C205" s="79"/>
      <c r="D205" s="79"/>
      <c r="E205" s="79"/>
      <c r="O205" s="79"/>
      <c r="S205" s="79"/>
      <c r="T205" s="79"/>
      <c r="Y205" s="79"/>
      <c r="AE205" s="130"/>
      <c r="AG205" s="106"/>
    </row>
    <row r="206">
      <c r="C206" s="79"/>
      <c r="D206" s="79"/>
      <c r="E206" s="79"/>
      <c r="O206" s="79"/>
      <c r="S206" s="79"/>
      <c r="T206" s="79"/>
      <c r="Y206" s="79"/>
      <c r="AE206" s="130"/>
      <c r="AG206" s="106"/>
    </row>
    <row r="207">
      <c r="C207" s="79"/>
      <c r="D207" s="79"/>
      <c r="E207" s="79"/>
      <c r="O207" s="79"/>
      <c r="S207" s="79"/>
      <c r="T207" s="79"/>
      <c r="Y207" s="79"/>
      <c r="AE207" s="130"/>
      <c r="AG207" s="106"/>
    </row>
    <row r="208">
      <c r="C208" s="79"/>
      <c r="D208" s="79"/>
      <c r="E208" s="79"/>
      <c r="O208" s="79"/>
      <c r="S208" s="79"/>
      <c r="T208" s="79"/>
      <c r="Y208" s="79"/>
      <c r="AE208" s="130"/>
      <c r="AG208" s="106"/>
    </row>
    <row r="209">
      <c r="C209" s="79"/>
      <c r="D209" s="79"/>
      <c r="E209" s="79"/>
      <c r="O209" s="79"/>
      <c r="S209" s="79"/>
      <c r="T209" s="79"/>
      <c r="Y209" s="79"/>
      <c r="AE209" s="130"/>
      <c r="AG209" s="106"/>
    </row>
    <row r="210">
      <c r="C210" s="79"/>
      <c r="D210" s="79"/>
      <c r="E210" s="79"/>
      <c r="O210" s="79"/>
      <c r="S210" s="79"/>
      <c r="T210" s="79"/>
      <c r="Y210" s="79"/>
      <c r="AE210" s="130"/>
      <c r="AG210" s="106"/>
    </row>
    <row r="211">
      <c r="C211" s="79"/>
      <c r="D211" s="79"/>
      <c r="E211" s="79"/>
      <c r="O211" s="79"/>
      <c r="S211" s="79"/>
      <c r="T211" s="79"/>
      <c r="Y211" s="79"/>
      <c r="AE211" s="130"/>
      <c r="AG211" s="106"/>
    </row>
    <row r="212">
      <c r="C212" s="79"/>
      <c r="D212" s="79"/>
      <c r="E212" s="79"/>
      <c r="O212" s="79"/>
      <c r="S212" s="79"/>
      <c r="T212" s="79"/>
      <c r="Y212" s="79"/>
      <c r="AE212" s="130"/>
      <c r="AG212" s="106"/>
    </row>
    <row r="213">
      <c r="C213" s="79"/>
      <c r="D213" s="79"/>
      <c r="E213" s="79"/>
      <c r="O213" s="79"/>
      <c r="S213" s="79"/>
      <c r="T213" s="79"/>
      <c r="Y213" s="79"/>
      <c r="AE213" s="130"/>
      <c r="AG213" s="106"/>
    </row>
    <row r="214">
      <c r="C214" s="79"/>
      <c r="D214" s="79"/>
      <c r="E214" s="79"/>
      <c r="O214" s="79"/>
      <c r="S214" s="79"/>
      <c r="T214" s="79"/>
      <c r="Y214" s="79"/>
      <c r="AE214" s="130"/>
      <c r="AG214" s="106"/>
    </row>
    <row r="215">
      <c r="C215" s="79"/>
      <c r="D215" s="79"/>
      <c r="E215" s="79"/>
      <c r="O215" s="79"/>
      <c r="S215" s="79"/>
      <c r="T215" s="79"/>
      <c r="Y215" s="79"/>
      <c r="AE215" s="130"/>
      <c r="AG215" s="106"/>
    </row>
    <row r="216">
      <c r="C216" s="79"/>
      <c r="D216" s="79"/>
      <c r="E216" s="79"/>
      <c r="O216" s="79"/>
      <c r="S216" s="79"/>
      <c r="T216" s="79"/>
      <c r="Y216" s="79"/>
      <c r="AE216" s="130"/>
      <c r="AG216" s="106"/>
    </row>
    <row r="217">
      <c r="C217" s="79"/>
      <c r="D217" s="79"/>
      <c r="E217" s="79"/>
      <c r="O217" s="79"/>
      <c r="S217" s="79"/>
      <c r="T217" s="79"/>
      <c r="Y217" s="79"/>
      <c r="AE217" s="130"/>
      <c r="AG217" s="106"/>
    </row>
    <row r="218">
      <c r="C218" s="79"/>
      <c r="D218" s="79"/>
      <c r="E218" s="79"/>
      <c r="O218" s="79"/>
      <c r="S218" s="79"/>
      <c r="T218" s="79"/>
      <c r="Y218" s="79"/>
      <c r="AE218" s="130"/>
      <c r="AG218" s="106"/>
    </row>
    <row r="219">
      <c r="C219" s="79"/>
      <c r="D219" s="79"/>
      <c r="E219" s="79"/>
      <c r="O219" s="79"/>
      <c r="S219" s="79"/>
      <c r="T219" s="79"/>
      <c r="Y219" s="79"/>
      <c r="AE219" s="130"/>
      <c r="AG219" s="106"/>
    </row>
    <row r="220">
      <c r="C220" s="79"/>
      <c r="D220" s="79"/>
      <c r="E220" s="79"/>
      <c r="O220" s="79"/>
      <c r="S220" s="79"/>
      <c r="T220" s="79"/>
      <c r="Y220" s="79"/>
      <c r="AE220" s="130"/>
      <c r="AG220" s="106"/>
    </row>
    <row r="221">
      <c r="C221" s="79"/>
      <c r="D221" s="79"/>
      <c r="E221" s="79"/>
      <c r="O221" s="79"/>
      <c r="S221" s="79"/>
      <c r="T221" s="79"/>
      <c r="Y221" s="79"/>
      <c r="AE221" s="130"/>
      <c r="AG221" s="106"/>
    </row>
    <row r="222">
      <c r="C222" s="79"/>
      <c r="D222" s="79"/>
      <c r="E222" s="79"/>
      <c r="O222" s="79"/>
      <c r="S222" s="79"/>
      <c r="T222" s="79"/>
      <c r="Y222" s="79"/>
      <c r="AE222" s="130"/>
      <c r="AG222" s="106"/>
    </row>
    <row r="223">
      <c r="C223" s="79"/>
      <c r="D223" s="79"/>
      <c r="E223" s="79"/>
      <c r="O223" s="79"/>
      <c r="S223" s="79"/>
      <c r="T223" s="79"/>
      <c r="Y223" s="79"/>
      <c r="AE223" s="130"/>
      <c r="AG223" s="106"/>
    </row>
    <row r="224">
      <c r="C224" s="79"/>
      <c r="D224" s="79"/>
      <c r="E224" s="79"/>
      <c r="O224" s="79"/>
      <c r="S224" s="79"/>
      <c r="T224" s="79"/>
      <c r="Y224" s="79"/>
      <c r="AE224" s="130"/>
      <c r="AG224" s="106"/>
    </row>
    <row r="225">
      <c r="C225" s="79"/>
      <c r="D225" s="79"/>
      <c r="E225" s="79"/>
      <c r="O225" s="79"/>
      <c r="S225" s="79"/>
      <c r="T225" s="79"/>
      <c r="Y225" s="79"/>
      <c r="AE225" s="130"/>
      <c r="AG225" s="106"/>
    </row>
    <row r="226">
      <c r="C226" s="79"/>
      <c r="D226" s="79"/>
      <c r="E226" s="79"/>
      <c r="O226" s="79"/>
      <c r="S226" s="79"/>
      <c r="T226" s="79"/>
      <c r="Y226" s="79"/>
      <c r="AE226" s="130"/>
      <c r="AG226" s="106"/>
    </row>
    <row r="227">
      <c r="C227" s="79"/>
      <c r="D227" s="79"/>
      <c r="E227" s="79"/>
      <c r="O227" s="79"/>
      <c r="S227" s="79"/>
      <c r="T227" s="79"/>
      <c r="Y227" s="79"/>
      <c r="AE227" s="130"/>
      <c r="AG227" s="106"/>
    </row>
    <row r="228">
      <c r="C228" s="79"/>
      <c r="D228" s="79"/>
      <c r="E228" s="79"/>
      <c r="O228" s="79"/>
      <c r="S228" s="79"/>
      <c r="T228" s="79"/>
      <c r="Y228" s="79"/>
      <c r="AE228" s="130"/>
      <c r="AG228" s="106"/>
    </row>
    <row r="229">
      <c r="C229" s="79"/>
      <c r="D229" s="79"/>
      <c r="E229" s="79"/>
      <c r="O229" s="79"/>
      <c r="S229" s="79"/>
      <c r="T229" s="79"/>
      <c r="Y229" s="79"/>
      <c r="AE229" s="130"/>
      <c r="AG229" s="106"/>
    </row>
    <row r="230">
      <c r="C230" s="79"/>
      <c r="D230" s="79"/>
      <c r="E230" s="79"/>
      <c r="O230" s="79"/>
      <c r="S230" s="79"/>
      <c r="T230" s="79"/>
      <c r="Y230" s="79"/>
      <c r="AE230" s="130"/>
      <c r="AG230" s="106"/>
    </row>
    <row r="231">
      <c r="C231" s="79"/>
      <c r="D231" s="79"/>
      <c r="E231" s="79"/>
      <c r="O231" s="79"/>
      <c r="S231" s="79"/>
      <c r="T231" s="79"/>
      <c r="Y231" s="79"/>
      <c r="AE231" s="130"/>
      <c r="AG231" s="106"/>
    </row>
    <row r="232">
      <c r="C232" s="79"/>
      <c r="D232" s="79"/>
      <c r="E232" s="79"/>
      <c r="O232" s="79"/>
      <c r="S232" s="79"/>
      <c r="T232" s="79"/>
      <c r="Y232" s="79"/>
      <c r="AE232" s="130"/>
      <c r="AG232" s="106"/>
    </row>
    <row r="233">
      <c r="C233" s="79"/>
      <c r="D233" s="79"/>
      <c r="E233" s="79"/>
      <c r="O233" s="79"/>
      <c r="S233" s="79"/>
      <c r="T233" s="79"/>
      <c r="Y233" s="79"/>
      <c r="AE233" s="130"/>
      <c r="AG233" s="106"/>
    </row>
    <row r="234">
      <c r="C234" s="79"/>
      <c r="D234" s="79"/>
      <c r="E234" s="79"/>
      <c r="O234" s="79"/>
      <c r="S234" s="79"/>
      <c r="T234" s="79"/>
      <c r="Y234" s="79"/>
      <c r="AE234" s="130"/>
      <c r="AG234" s="106"/>
    </row>
    <row r="235">
      <c r="C235" s="79"/>
      <c r="D235" s="79"/>
      <c r="E235" s="79"/>
      <c r="O235" s="79"/>
      <c r="S235" s="79"/>
      <c r="T235" s="79"/>
      <c r="Y235" s="79"/>
      <c r="AE235" s="130"/>
      <c r="AG235" s="106"/>
    </row>
    <row r="236">
      <c r="C236" s="79"/>
      <c r="D236" s="79"/>
      <c r="E236" s="79"/>
      <c r="O236" s="79"/>
      <c r="S236" s="79"/>
      <c r="T236" s="79"/>
      <c r="Y236" s="79"/>
      <c r="AE236" s="130"/>
      <c r="AG236" s="106"/>
    </row>
    <row r="237">
      <c r="C237" s="79"/>
      <c r="D237" s="79"/>
      <c r="E237" s="79"/>
      <c r="O237" s="79"/>
      <c r="S237" s="79"/>
      <c r="T237" s="79"/>
      <c r="Y237" s="79"/>
      <c r="AE237" s="130"/>
      <c r="AG237" s="106"/>
    </row>
    <row r="238">
      <c r="C238" s="79"/>
      <c r="D238" s="79"/>
      <c r="E238" s="79"/>
      <c r="O238" s="79"/>
      <c r="S238" s="79"/>
      <c r="T238" s="79"/>
      <c r="Y238" s="79"/>
      <c r="AE238" s="130"/>
      <c r="AG238" s="106"/>
    </row>
    <row r="239">
      <c r="C239" s="79"/>
      <c r="D239" s="79"/>
      <c r="E239" s="79"/>
      <c r="O239" s="79"/>
      <c r="S239" s="79"/>
      <c r="T239" s="79"/>
      <c r="Y239" s="79"/>
      <c r="AE239" s="130"/>
      <c r="AG239" s="106"/>
    </row>
    <row r="240">
      <c r="C240" s="79"/>
      <c r="D240" s="79"/>
      <c r="E240" s="79"/>
      <c r="O240" s="79"/>
      <c r="S240" s="79"/>
      <c r="T240" s="79"/>
      <c r="Y240" s="79"/>
      <c r="AE240" s="130"/>
      <c r="AG240" s="106"/>
    </row>
    <row r="241">
      <c r="C241" s="79"/>
      <c r="D241" s="79"/>
      <c r="E241" s="79"/>
      <c r="O241" s="79"/>
      <c r="S241" s="79"/>
      <c r="T241" s="79"/>
      <c r="Y241" s="79"/>
      <c r="AE241" s="130"/>
      <c r="AG241" s="106"/>
    </row>
    <row r="242">
      <c r="C242" s="79"/>
      <c r="D242" s="79"/>
      <c r="E242" s="79"/>
      <c r="O242" s="79"/>
      <c r="S242" s="79"/>
      <c r="T242" s="79"/>
      <c r="Y242" s="79"/>
      <c r="AE242" s="130"/>
      <c r="AG242" s="106"/>
    </row>
    <row r="243">
      <c r="C243" s="79"/>
      <c r="D243" s="79"/>
      <c r="E243" s="79"/>
      <c r="O243" s="79"/>
      <c r="S243" s="79"/>
      <c r="T243" s="79"/>
      <c r="Y243" s="79"/>
      <c r="AE243" s="130"/>
      <c r="AG243" s="106"/>
    </row>
    <row r="244">
      <c r="C244" s="79"/>
      <c r="D244" s="79"/>
      <c r="E244" s="79"/>
      <c r="O244" s="79"/>
      <c r="S244" s="79"/>
      <c r="T244" s="79"/>
      <c r="Y244" s="79"/>
      <c r="AE244" s="130"/>
      <c r="AG244" s="106"/>
    </row>
    <row r="245">
      <c r="C245" s="79"/>
      <c r="D245" s="79"/>
      <c r="E245" s="79"/>
      <c r="O245" s="79"/>
      <c r="S245" s="79"/>
      <c r="T245" s="79"/>
      <c r="Y245" s="79"/>
      <c r="AE245" s="130"/>
      <c r="AG245" s="106"/>
    </row>
    <row r="246">
      <c r="C246" s="79"/>
      <c r="D246" s="79"/>
      <c r="E246" s="79"/>
      <c r="O246" s="79"/>
      <c r="S246" s="79"/>
      <c r="T246" s="79"/>
      <c r="Y246" s="79"/>
      <c r="AE246" s="130"/>
      <c r="AG246" s="106"/>
    </row>
    <row r="247">
      <c r="C247" s="79"/>
      <c r="D247" s="79"/>
      <c r="E247" s="79"/>
      <c r="O247" s="79"/>
      <c r="S247" s="79"/>
      <c r="T247" s="79"/>
      <c r="Y247" s="79"/>
      <c r="AE247" s="130"/>
      <c r="AG247" s="106"/>
    </row>
    <row r="248">
      <c r="C248" s="79"/>
      <c r="D248" s="79"/>
      <c r="E248" s="79"/>
      <c r="O248" s="79"/>
      <c r="S248" s="79"/>
      <c r="T248" s="79"/>
      <c r="Y248" s="79"/>
      <c r="AE248" s="130"/>
      <c r="AG248" s="106"/>
    </row>
    <row r="249">
      <c r="C249" s="79"/>
      <c r="D249" s="79"/>
      <c r="E249" s="79"/>
      <c r="O249" s="79"/>
      <c r="S249" s="79"/>
      <c r="T249" s="79"/>
      <c r="Y249" s="79"/>
      <c r="AE249" s="130"/>
      <c r="AG249" s="106"/>
    </row>
    <row r="250">
      <c r="C250" s="79"/>
      <c r="D250" s="79"/>
      <c r="E250" s="79"/>
      <c r="O250" s="79"/>
      <c r="S250" s="79"/>
      <c r="T250" s="79"/>
      <c r="Y250" s="79"/>
      <c r="AE250" s="130"/>
      <c r="AG250" s="106"/>
    </row>
    <row r="251">
      <c r="C251" s="79"/>
      <c r="D251" s="79"/>
      <c r="E251" s="79"/>
      <c r="O251" s="79"/>
      <c r="S251" s="79"/>
      <c r="T251" s="79"/>
      <c r="Y251" s="79"/>
      <c r="AE251" s="130"/>
      <c r="AG251" s="106"/>
    </row>
    <row r="252">
      <c r="C252" s="79"/>
      <c r="D252" s="79"/>
      <c r="E252" s="79"/>
      <c r="O252" s="79"/>
      <c r="S252" s="79"/>
      <c r="T252" s="79"/>
      <c r="Y252" s="79"/>
      <c r="AE252" s="130"/>
      <c r="AG252" s="106"/>
    </row>
    <row r="253">
      <c r="C253" s="79"/>
      <c r="D253" s="79"/>
      <c r="E253" s="79"/>
      <c r="O253" s="79"/>
      <c r="S253" s="79"/>
      <c r="T253" s="79"/>
      <c r="Y253" s="79"/>
      <c r="AE253" s="130"/>
      <c r="AG253" s="106"/>
    </row>
    <row r="254">
      <c r="C254" s="79"/>
      <c r="D254" s="79"/>
      <c r="E254" s="79"/>
      <c r="O254" s="79"/>
      <c r="S254" s="79"/>
      <c r="T254" s="79"/>
      <c r="Y254" s="79"/>
      <c r="AE254" s="130"/>
      <c r="AG254" s="106"/>
    </row>
    <row r="255">
      <c r="C255" s="79"/>
      <c r="D255" s="79"/>
      <c r="E255" s="79"/>
      <c r="O255" s="79"/>
      <c r="S255" s="79"/>
      <c r="T255" s="79"/>
      <c r="Y255" s="79"/>
      <c r="AE255" s="130"/>
      <c r="AG255" s="106"/>
    </row>
    <row r="256">
      <c r="C256" s="79"/>
      <c r="D256" s="79"/>
      <c r="E256" s="79"/>
      <c r="O256" s="79"/>
      <c r="S256" s="79"/>
      <c r="T256" s="79"/>
      <c r="Y256" s="79"/>
      <c r="AE256" s="130"/>
      <c r="AG256" s="106"/>
    </row>
    <row r="257">
      <c r="C257" s="79"/>
      <c r="D257" s="79"/>
      <c r="E257" s="79"/>
      <c r="O257" s="79"/>
      <c r="S257" s="79"/>
      <c r="T257" s="79"/>
      <c r="Y257" s="79"/>
      <c r="AE257" s="130"/>
      <c r="AG257" s="106"/>
    </row>
    <row r="258">
      <c r="C258" s="79"/>
      <c r="D258" s="79"/>
      <c r="E258" s="79"/>
      <c r="O258" s="79"/>
      <c r="S258" s="79"/>
      <c r="T258" s="79"/>
      <c r="Y258" s="79"/>
      <c r="AE258" s="130"/>
      <c r="AG258" s="106"/>
    </row>
    <row r="259">
      <c r="C259" s="79"/>
      <c r="D259" s="79"/>
      <c r="E259" s="79"/>
      <c r="O259" s="79"/>
      <c r="S259" s="79"/>
      <c r="T259" s="79"/>
      <c r="Y259" s="79"/>
      <c r="AE259" s="130"/>
      <c r="AG259" s="106"/>
    </row>
    <row r="260">
      <c r="C260" s="79"/>
      <c r="D260" s="79"/>
      <c r="E260" s="79"/>
      <c r="O260" s="79"/>
      <c r="S260" s="79"/>
      <c r="T260" s="79"/>
      <c r="Y260" s="79"/>
      <c r="AE260" s="130"/>
      <c r="AG260" s="106"/>
    </row>
    <row r="261">
      <c r="C261" s="79"/>
      <c r="D261" s="79"/>
      <c r="E261" s="79"/>
      <c r="O261" s="79"/>
      <c r="S261" s="79"/>
      <c r="T261" s="79"/>
      <c r="Y261" s="79"/>
      <c r="AE261" s="130"/>
      <c r="AG261" s="106"/>
    </row>
    <row r="262">
      <c r="C262" s="79"/>
      <c r="D262" s="79"/>
      <c r="E262" s="79"/>
      <c r="O262" s="79"/>
      <c r="S262" s="79"/>
      <c r="T262" s="79"/>
      <c r="Y262" s="79"/>
      <c r="AE262" s="130"/>
      <c r="AG262" s="106"/>
    </row>
    <row r="263">
      <c r="C263" s="79"/>
      <c r="D263" s="79"/>
      <c r="E263" s="79"/>
      <c r="O263" s="79"/>
      <c r="S263" s="79"/>
      <c r="T263" s="79"/>
      <c r="Y263" s="79"/>
      <c r="AE263" s="130"/>
      <c r="AG263" s="106"/>
    </row>
    <row r="264">
      <c r="C264" s="79"/>
      <c r="D264" s="79"/>
      <c r="E264" s="79"/>
      <c r="O264" s="79"/>
      <c r="S264" s="79"/>
      <c r="T264" s="79"/>
      <c r="Y264" s="79"/>
      <c r="AE264" s="130"/>
      <c r="AG264" s="106"/>
    </row>
    <row r="265">
      <c r="C265" s="79"/>
      <c r="D265" s="79"/>
      <c r="E265" s="79"/>
      <c r="O265" s="79"/>
      <c r="S265" s="79"/>
      <c r="T265" s="79"/>
      <c r="Y265" s="79"/>
      <c r="AE265" s="130"/>
      <c r="AG265" s="106"/>
    </row>
    <row r="266">
      <c r="C266" s="79"/>
      <c r="D266" s="79"/>
      <c r="E266" s="79"/>
      <c r="O266" s="79"/>
      <c r="S266" s="79"/>
      <c r="T266" s="79"/>
      <c r="Y266" s="79"/>
      <c r="AE266" s="130"/>
      <c r="AG266" s="106"/>
    </row>
    <row r="267">
      <c r="C267" s="79"/>
      <c r="D267" s="79"/>
      <c r="E267" s="79"/>
      <c r="O267" s="79"/>
      <c r="S267" s="79"/>
      <c r="T267" s="79"/>
      <c r="Y267" s="79"/>
      <c r="AE267" s="130"/>
      <c r="AG267" s="106"/>
    </row>
    <row r="268">
      <c r="C268" s="79"/>
      <c r="D268" s="79"/>
      <c r="E268" s="79"/>
      <c r="O268" s="79"/>
      <c r="S268" s="79"/>
      <c r="T268" s="79"/>
      <c r="Y268" s="79"/>
      <c r="AE268" s="130"/>
      <c r="AG268" s="106"/>
    </row>
    <row r="269">
      <c r="C269" s="79"/>
      <c r="D269" s="79"/>
      <c r="E269" s="79"/>
      <c r="O269" s="79"/>
      <c r="S269" s="79"/>
      <c r="T269" s="79"/>
      <c r="Y269" s="79"/>
      <c r="AE269" s="130"/>
      <c r="AG269" s="106"/>
    </row>
    <row r="270">
      <c r="C270" s="79"/>
      <c r="D270" s="79"/>
      <c r="E270" s="79"/>
      <c r="O270" s="79"/>
      <c r="S270" s="79"/>
      <c r="T270" s="79"/>
      <c r="Y270" s="79"/>
      <c r="AE270" s="130"/>
      <c r="AG270" s="106"/>
    </row>
    <row r="271">
      <c r="C271" s="79"/>
      <c r="D271" s="79"/>
      <c r="E271" s="79"/>
      <c r="O271" s="79"/>
      <c r="S271" s="79"/>
      <c r="T271" s="79"/>
      <c r="Y271" s="79"/>
      <c r="AE271" s="130"/>
      <c r="AG271" s="106"/>
    </row>
    <row r="272">
      <c r="C272" s="79"/>
      <c r="D272" s="79"/>
      <c r="E272" s="79"/>
      <c r="O272" s="79"/>
      <c r="S272" s="79"/>
      <c r="T272" s="79"/>
      <c r="Y272" s="79"/>
      <c r="AE272" s="130"/>
      <c r="AG272" s="106"/>
    </row>
    <row r="273">
      <c r="C273" s="79"/>
      <c r="D273" s="79"/>
      <c r="E273" s="79"/>
      <c r="O273" s="79"/>
      <c r="S273" s="79"/>
      <c r="T273" s="79"/>
      <c r="Y273" s="79"/>
      <c r="AE273" s="130"/>
      <c r="AG273" s="106"/>
    </row>
    <row r="274">
      <c r="C274" s="79"/>
      <c r="D274" s="79"/>
      <c r="E274" s="79"/>
      <c r="O274" s="79"/>
      <c r="S274" s="79"/>
      <c r="T274" s="79"/>
      <c r="Y274" s="79"/>
      <c r="AE274" s="130"/>
      <c r="AG274" s="106"/>
    </row>
    <row r="275">
      <c r="C275" s="79"/>
      <c r="D275" s="79"/>
      <c r="E275" s="79"/>
      <c r="O275" s="79"/>
      <c r="S275" s="79"/>
      <c r="T275" s="79"/>
      <c r="Y275" s="79"/>
      <c r="AE275" s="130"/>
      <c r="AG275" s="106"/>
    </row>
    <row r="276">
      <c r="C276" s="79"/>
      <c r="D276" s="79"/>
      <c r="E276" s="79"/>
      <c r="O276" s="79"/>
      <c r="S276" s="79"/>
      <c r="T276" s="79"/>
      <c r="Y276" s="79"/>
      <c r="AE276" s="130"/>
      <c r="AG276" s="106"/>
    </row>
    <row r="277">
      <c r="C277" s="79"/>
      <c r="D277" s="79"/>
      <c r="E277" s="79"/>
      <c r="O277" s="79"/>
      <c r="S277" s="79"/>
      <c r="T277" s="79"/>
      <c r="Y277" s="79"/>
      <c r="AE277" s="130"/>
      <c r="AG277" s="106"/>
    </row>
    <row r="278">
      <c r="C278" s="79"/>
      <c r="D278" s="79"/>
      <c r="E278" s="79"/>
      <c r="O278" s="79"/>
      <c r="S278" s="79"/>
      <c r="T278" s="79"/>
      <c r="Y278" s="79"/>
      <c r="AE278" s="130"/>
      <c r="AG278" s="106"/>
    </row>
    <row r="279">
      <c r="C279" s="79"/>
      <c r="D279" s="79"/>
      <c r="E279" s="79"/>
      <c r="O279" s="79"/>
      <c r="S279" s="79"/>
      <c r="T279" s="79"/>
      <c r="Y279" s="79"/>
      <c r="AE279" s="130"/>
      <c r="AG279" s="106"/>
    </row>
    <row r="280">
      <c r="C280" s="79"/>
      <c r="D280" s="79"/>
      <c r="E280" s="79"/>
      <c r="O280" s="79"/>
      <c r="S280" s="79"/>
      <c r="T280" s="79"/>
      <c r="Y280" s="79"/>
      <c r="AE280" s="130"/>
      <c r="AG280" s="106"/>
    </row>
    <row r="281">
      <c r="C281" s="79"/>
      <c r="D281" s="79"/>
      <c r="E281" s="79"/>
      <c r="O281" s="79"/>
      <c r="S281" s="79"/>
      <c r="T281" s="79"/>
      <c r="Y281" s="79"/>
      <c r="AE281" s="130"/>
      <c r="AG281" s="106"/>
    </row>
    <row r="282">
      <c r="C282" s="79"/>
      <c r="D282" s="79"/>
      <c r="E282" s="79"/>
      <c r="O282" s="79"/>
      <c r="S282" s="79"/>
      <c r="T282" s="79"/>
      <c r="Y282" s="79"/>
      <c r="AE282" s="130"/>
      <c r="AG282" s="106"/>
    </row>
    <row r="283">
      <c r="C283" s="79"/>
      <c r="D283" s="79"/>
      <c r="E283" s="79"/>
      <c r="O283" s="79"/>
      <c r="S283" s="79"/>
      <c r="T283" s="79"/>
      <c r="Y283" s="79"/>
      <c r="AE283" s="130"/>
      <c r="AG283" s="106"/>
    </row>
    <row r="284">
      <c r="C284" s="79"/>
      <c r="D284" s="79"/>
      <c r="E284" s="79"/>
      <c r="O284" s="79"/>
      <c r="S284" s="79"/>
      <c r="T284" s="79"/>
      <c r="Y284" s="79"/>
      <c r="AE284" s="130"/>
      <c r="AG284" s="106"/>
    </row>
    <row r="285">
      <c r="C285" s="79"/>
      <c r="D285" s="79"/>
      <c r="E285" s="79"/>
      <c r="O285" s="79"/>
      <c r="S285" s="79"/>
      <c r="T285" s="79"/>
      <c r="Y285" s="79"/>
      <c r="AE285" s="130"/>
      <c r="AG285" s="106"/>
    </row>
    <row r="286">
      <c r="C286" s="79"/>
      <c r="D286" s="79"/>
      <c r="E286" s="79"/>
      <c r="O286" s="79"/>
      <c r="S286" s="79"/>
      <c r="T286" s="79"/>
      <c r="Y286" s="79"/>
      <c r="AE286" s="130"/>
      <c r="AG286" s="106"/>
    </row>
    <row r="287">
      <c r="C287" s="79"/>
      <c r="D287" s="79"/>
      <c r="E287" s="79"/>
      <c r="O287" s="79"/>
      <c r="S287" s="79"/>
      <c r="T287" s="79"/>
      <c r="Y287" s="79"/>
      <c r="AE287" s="130"/>
      <c r="AG287" s="106"/>
    </row>
    <row r="288">
      <c r="C288" s="79"/>
      <c r="D288" s="79"/>
      <c r="E288" s="79"/>
      <c r="O288" s="79"/>
      <c r="S288" s="79"/>
      <c r="T288" s="79"/>
      <c r="Y288" s="79"/>
      <c r="AE288" s="130"/>
      <c r="AG288" s="106"/>
    </row>
    <row r="289">
      <c r="C289" s="79"/>
      <c r="D289" s="79"/>
      <c r="E289" s="79"/>
      <c r="O289" s="79"/>
      <c r="S289" s="79"/>
      <c r="T289" s="79"/>
      <c r="Y289" s="79"/>
      <c r="AE289" s="130"/>
      <c r="AG289" s="106"/>
    </row>
    <row r="290">
      <c r="C290" s="79"/>
      <c r="D290" s="79"/>
      <c r="E290" s="79"/>
      <c r="O290" s="79"/>
      <c r="S290" s="79"/>
      <c r="T290" s="79"/>
      <c r="Y290" s="79"/>
      <c r="AE290" s="130"/>
      <c r="AG290" s="106"/>
    </row>
    <row r="291">
      <c r="C291" s="79"/>
      <c r="D291" s="79"/>
      <c r="E291" s="79"/>
      <c r="O291" s="79"/>
      <c r="S291" s="79"/>
      <c r="T291" s="79"/>
      <c r="Y291" s="79"/>
      <c r="AE291" s="130"/>
      <c r="AG291" s="106"/>
    </row>
    <row r="292">
      <c r="C292" s="79"/>
      <c r="D292" s="79"/>
      <c r="E292" s="79"/>
      <c r="O292" s="79"/>
      <c r="S292" s="79"/>
      <c r="T292" s="79"/>
      <c r="Y292" s="79"/>
      <c r="AE292" s="130"/>
      <c r="AG292" s="106"/>
    </row>
    <row r="293">
      <c r="C293" s="79"/>
      <c r="D293" s="79"/>
      <c r="E293" s="79"/>
      <c r="O293" s="79"/>
      <c r="S293" s="79"/>
      <c r="T293" s="79"/>
      <c r="Y293" s="79"/>
      <c r="AE293" s="130"/>
      <c r="AG293" s="106"/>
    </row>
    <row r="294">
      <c r="C294" s="79"/>
      <c r="D294" s="79"/>
      <c r="E294" s="79"/>
      <c r="O294" s="79"/>
      <c r="S294" s="79"/>
      <c r="T294" s="79"/>
      <c r="Y294" s="79"/>
      <c r="AE294" s="130"/>
      <c r="AG294" s="106"/>
    </row>
    <row r="295">
      <c r="C295" s="79"/>
      <c r="D295" s="79"/>
      <c r="E295" s="79"/>
      <c r="O295" s="79"/>
      <c r="S295" s="79"/>
      <c r="T295" s="79"/>
      <c r="Y295" s="79"/>
      <c r="AE295" s="130"/>
      <c r="AG295" s="106"/>
    </row>
    <row r="296">
      <c r="C296" s="79"/>
      <c r="D296" s="79"/>
      <c r="E296" s="79"/>
      <c r="O296" s="79"/>
      <c r="S296" s="79"/>
      <c r="T296" s="79"/>
      <c r="Y296" s="79"/>
      <c r="AE296" s="130"/>
      <c r="AG296" s="106"/>
    </row>
    <row r="297">
      <c r="C297" s="79"/>
      <c r="D297" s="79"/>
      <c r="E297" s="79"/>
      <c r="O297" s="79"/>
      <c r="S297" s="79"/>
      <c r="T297" s="79"/>
      <c r="Y297" s="79"/>
      <c r="AE297" s="130"/>
      <c r="AG297" s="106"/>
    </row>
    <row r="298">
      <c r="C298" s="79"/>
      <c r="D298" s="79"/>
      <c r="E298" s="79"/>
      <c r="O298" s="79"/>
      <c r="S298" s="79"/>
      <c r="T298" s="79"/>
      <c r="Y298" s="79"/>
      <c r="AE298" s="130"/>
      <c r="AG298" s="106"/>
    </row>
    <row r="299">
      <c r="C299" s="79"/>
      <c r="D299" s="79"/>
      <c r="E299" s="79"/>
      <c r="O299" s="79"/>
      <c r="S299" s="79"/>
      <c r="T299" s="79"/>
      <c r="Y299" s="79"/>
      <c r="AE299" s="130"/>
      <c r="AG299" s="106"/>
    </row>
    <row r="300">
      <c r="C300" s="79"/>
      <c r="D300" s="79"/>
      <c r="E300" s="79"/>
      <c r="O300" s="79"/>
      <c r="S300" s="79"/>
      <c r="T300" s="79"/>
      <c r="Y300" s="79"/>
      <c r="AE300" s="130"/>
      <c r="AG300" s="106"/>
    </row>
    <row r="301">
      <c r="C301" s="79"/>
      <c r="D301" s="79"/>
      <c r="E301" s="79"/>
      <c r="O301" s="79"/>
      <c r="S301" s="79"/>
      <c r="T301" s="79"/>
      <c r="Y301" s="79"/>
      <c r="AE301" s="130"/>
      <c r="AG301" s="106"/>
    </row>
    <row r="302">
      <c r="C302" s="79"/>
      <c r="D302" s="79"/>
      <c r="E302" s="79"/>
      <c r="O302" s="79"/>
      <c r="S302" s="79"/>
      <c r="T302" s="79"/>
      <c r="Y302" s="79"/>
      <c r="AE302" s="130"/>
      <c r="AG302" s="106"/>
    </row>
    <row r="303">
      <c r="C303" s="79"/>
      <c r="D303" s="79"/>
      <c r="E303" s="79"/>
      <c r="O303" s="79"/>
      <c r="S303" s="79"/>
      <c r="T303" s="79"/>
      <c r="Y303" s="79"/>
      <c r="AE303" s="130"/>
      <c r="AG303" s="106"/>
    </row>
    <row r="304">
      <c r="C304" s="79"/>
      <c r="D304" s="79"/>
      <c r="E304" s="79"/>
      <c r="O304" s="79"/>
      <c r="S304" s="79"/>
      <c r="T304" s="79"/>
      <c r="Y304" s="79"/>
      <c r="AE304" s="130"/>
      <c r="AG304" s="106"/>
    </row>
    <row r="305">
      <c r="C305" s="79"/>
      <c r="D305" s="79"/>
      <c r="E305" s="79"/>
      <c r="O305" s="79"/>
      <c r="S305" s="79"/>
      <c r="T305" s="79"/>
      <c r="Y305" s="79"/>
      <c r="AE305" s="130"/>
      <c r="AG305" s="106"/>
    </row>
    <row r="306">
      <c r="C306" s="79"/>
      <c r="D306" s="79"/>
      <c r="E306" s="79"/>
      <c r="O306" s="79"/>
      <c r="S306" s="79"/>
      <c r="T306" s="79"/>
      <c r="Y306" s="79"/>
      <c r="AE306" s="130"/>
      <c r="AG306" s="106"/>
    </row>
    <row r="307">
      <c r="C307" s="79"/>
      <c r="D307" s="79"/>
      <c r="E307" s="79"/>
      <c r="O307" s="79"/>
      <c r="S307" s="79"/>
      <c r="T307" s="79"/>
      <c r="Y307" s="79"/>
      <c r="AE307" s="130"/>
      <c r="AG307" s="106"/>
    </row>
    <row r="308">
      <c r="C308" s="79"/>
      <c r="D308" s="79"/>
      <c r="E308" s="79"/>
      <c r="O308" s="79"/>
      <c r="S308" s="79"/>
      <c r="T308" s="79"/>
      <c r="Y308" s="79"/>
      <c r="AE308" s="130"/>
      <c r="AG308" s="106"/>
    </row>
    <row r="309">
      <c r="C309" s="79"/>
      <c r="D309" s="79"/>
      <c r="E309" s="79"/>
      <c r="O309" s="79"/>
      <c r="S309" s="79"/>
      <c r="T309" s="79"/>
      <c r="Y309" s="79"/>
      <c r="AE309" s="130"/>
      <c r="AG309" s="106"/>
    </row>
    <row r="310">
      <c r="C310" s="79"/>
      <c r="D310" s="79"/>
      <c r="E310" s="79"/>
      <c r="O310" s="79"/>
      <c r="S310" s="79"/>
      <c r="T310" s="79"/>
      <c r="Y310" s="79"/>
      <c r="AE310" s="130"/>
      <c r="AG310" s="106"/>
    </row>
    <row r="311">
      <c r="C311" s="79"/>
      <c r="D311" s="79"/>
      <c r="E311" s="79"/>
      <c r="O311" s="79"/>
      <c r="S311" s="79"/>
      <c r="T311" s="79"/>
      <c r="Y311" s="79"/>
      <c r="AE311" s="130"/>
      <c r="AG311" s="106"/>
    </row>
    <row r="312">
      <c r="C312" s="79"/>
      <c r="D312" s="79"/>
      <c r="E312" s="79"/>
      <c r="O312" s="79"/>
      <c r="S312" s="79"/>
      <c r="T312" s="79"/>
      <c r="Y312" s="79"/>
      <c r="AE312" s="130"/>
      <c r="AG312" s="106"/>
    </row>
    <row r="313">
      <c r="C313" s="79"/>
      <c r="D313" s="79"/>
      <c r="E313" s="79"/>
      <c r="O313" s="79"/>
      <c r="S313" s="79"/>
      <c r="T313" s="79"/>
      <c r="Y313" s="79"/>
      <c r="AE313" s="130"/>
      <c r="AG313" s="106"/>
    </row>
    <row r="314">
      <c r="C314" s="79"/>
      <c r="D314" s="79"/>
      <c r="E314" s="79"/>
      <c r="O314" s="79"/>
      <c r="S314" s="79"/>
      <c r="T314" s="79"/>
      <c r="Y314" s="79"/>
      <c r="AE314" s="130"/>
      <c r="AG314" s="106"/>
    </row>
    <row r="315">
      <c r="C315" s="79"/>
      <c r="D315" s="79"/>
      <c r="E315" s="79"/>
      <c r="O315" s="79"/>
      <c r="S315" s="79"/>
      <c r="T315" s="79"/>
      <c r="Y315" s="79"/>
      <c r="AE315" s="130"/>
      <c r="AG315" s="106"/>
    </row>
    <row r="316">
      <c r="C316" s="79"/>
      <c r="D316" s="79"/>
      <c r="E316" s="79"/>
      <c r="O316" s="79"/>
      <c r="S316" s="79"/>
      <c r="T316" s="79"/>
      <c r="Y316" s="79"/>
      <c r="AE316" s="130"/>
      <c r="AG316" s="106"/>
    </row>
    <row r="317">
      <c r="C317" s="79"/>
      <c r="D317" s="79"/>
      <c r="E317" s="79"/>
      <c r="O317" s="79"/>
      <c r="S317" s="79"/>
      <c r="T317" s="79"/>
      <c r="Y317" s="79"/>
      <c r="AE317" s="130"/>
      <c r="AG317" s="106"/>
    </row>
    <row r="318">
      <c r="C318" s="79"/>
      <c r="D318" s="79"/>
      <c r="E318" s="79"/>
      <c r="O318" s="79"/>
      <c r="S318" s="79"/>
      <c r="T318" s="79"/>
      <c r="Y318" s="79"/>
      <c r="AE318" s="130"/>
      <c r="AG318" s="106"/>
    </row>
    <row r="319">
      <c r="C319" s="79"/>
      <c r="D319" s="79"/>
      <c r="E319" s="79"/>
      <c r="O319" s="79"/>
      <c r="S319" s="79"/>
      <c r="T319" s="79"/>
      <c r="Y319" s="79"/>
      <c r="AE319" s="130"/>
      <c r="AG319" s="106"/>
    </row>
    <row r="320">
      <c r="C320" s="79"/>
      <c r="D320" s="79"/>
      <c r="E320" s="79"/>
      <c r="O320" s="79"/>
      <c r="S320" s="79"/>
      <c r="T320" s="79"/>
      <c r="Y320" s="79"/>
      <c r="AE320" s="130"/>
      <c r="AG320" s="106"/>
    </row>
    <row r="321">
      <c r="C321" s="79"/>
      <c r="D321" s="79"/>
      <c r="E321" s="79"/>
      <c r="O321" s="79"/>
      <c r="S321" s="79"/>
      <c r="T321" s="79"/>
      <c r="Y321" s="79"/>
      <c r="AE321" s="130"/>
      <c r="AG321" s="106"/>
    </row>
    <row r="322">
      <c r="C322" s="79"/>
      <c r="D322" s="79"/>
      <c r="E322" s="79"/>
      <c r="O322" s="79"/>
      <c r="S322" s="79"/>
      <c r="T322" s="79"/>
      <c r="Y322" s="79"/>
      <c r="AE322" s="130"/>
      <c r="AG322" s="106"/>
    </row>
    <row r="323">
      <c r="C323" s="79"/>
      <c r="D323" s="79"/>
      <c r="E323" s="79"/>
      <c r="O323" s="79"/>
      <c r="S323" s="79"/>
      <c r="T323" s="79"/>
      <c r="Y323" s="79"/>
      <c r="AE323" s="130"/>
      <c r="AG323" s="106"/>
    </row>
    <row r="324">
      <c r="C324" s="79"/>
      <c r="D324" s="79"/>
      <c r="E324" s="79"/>
      <c r="O324" s="79"/>
      <c r="S324" s="79"/>
      <c r="T324" s="79"/>
      <c r="Y324" s="79"/>
      <c r="AE324" s="130"/>
      <c r="AG324" s="106"/>
    </row>
    <row r="325">
      <c r="C325" s="79"/>
      <c r="D325" s="79"/>
      <c r="E325" s="79"/>
      <c r="O325" s="79"/>
      <c r="S325" s="79"/>
      <c r="T325" s="79"/>
      <c r="Y325" s="79"/>
      <c r="AE325" s="130"/>
      <c r="AG325" s="106"/>
    </row>
    <row r="326">
      <c r="C326" s="79"/>
      <c r="D326" s="79"/>
      <c r="E326" s="79"/>
      <c r="O326" s="79"/>
      <c r="S326" s="79"/>
      <c r="T326" s="79"/>
      <c r="Y326" s="79"/>
      <c r="AE326" s="130"/>
      <c r="AG326" s="106"/>
    </row>
    <row r="327">
      <c r="C327" s="79"/>
      <c r="D327" s="79"/>
      <c r="E327" s="79"/>
      <c r="O327" s="79"/>
      <c r="S327" s="79"/>
      <c r="T327" s="79"/>
      <c r="Y327" s="79"/>
      <c r="AE327" s="130"/>
      <c r="AG327" s="106"/>
    </row>
    <row r="328">
      <c r="C328" s="79"/>
      <c r="D328" s="79"/>
      <c r="E328" s="79"/>
      <c r="O328" s="79"/>
      <c r="S328" s="79"/>
      <c r="T328" s="79"/>
      <c r="Y328" s="79"/>
      <c r="AE328" s="130"/>
      <c r="AG328" s="106"/>
    </row>
    <row r="329">
      <c r="C329" s="79"/>
      <c r="D329" s="79"/>
      <c r="E329" s="79"/>
      <c r="O329" s="79"/>
      <c r="S329" s="79"/>
      <c r="T329" s="79"/>
      <c r="Y329" s="79"/>
      <c r="AE329" s="130"/>
      <c r="AG329" s="106"/>
    </row>
    <row r="330">
      <c r="C330" s="79"/>
      <c r="D330" s="79"/>
      <c r="E330" s="79"/>
      <c r="O330" s="79"/>
      <c r="S330" s="79"/>
      <c r="T330" s="79"/>
      <c r="Y330" s="79"/>
      <c r="AE330" s="130"/>
      <c r="AG330" s="106"/>
    </row>
    <row r="331">
      <c r="C331" s="79"/>
      <c r="D331" s="79"/>
      <c r="E331" s="79"/>
      <c r="O331" s="79"/>
      <c r="S331" s="79"/>
      <c r="T331" s="79"/>
      <c r="Y331" s="79"/>
      <c r="AE331" s="130"/>
      <c r="AG331" s="106"/>
    </row>
    <row r="332">
      <c r="C332" s="79"/>
      <c r="D332" s="79"/>
      <c r="E332" s="79"/>
      <c r="O332" s="79"/>
      <c r="S332" s="79"/>
      <c r="T332" s="79"/>
      <c r="Y332" s="79"/>
      <c r="AE332" s="130"/>
      <c r="AG332" s="106"/>
    </row>
    <row r="333">
      <c r="C333" s="79"/>
      <c r="D333" s="79"/>
      <c r="E333" s="79"/>
      <c r="O333" s="79"/>
      <c r="S333" s="79"/>
      <c r="T333" s="79"/>
      <c r="Y333" s="79"/>
      <c r="AE333" s="130"/>
      <c r="AG333" s="106"/>
    </row>
    <row r="334">
      <c r="C334" s="79"/>
      <c r="D334" s="79"/>
      <c r="E334" s="79"/>
      <c r="O334" s="79"/>
      <c r="S334" s="79"/>
      <c r="T334" s="79"/>
      <c r="Y334" s="79"/>
      <c r="AE334" s="130"/>
      <c r="AG334" s="106"/>
    </row>
    <row r="335">
      <c r="C335" s="79"/>
      <c r="D335" s="79"/>
      <c r="E335" s="79"/>
      <c r="O335" s="79"/>
      <c r="S335" s="79"/>
      <c r="T335" s="79"/>
      <c r="Y335" s="79"/>
      <c r="AE335" s="130"/>
      <c r="AG335" s="106"/>
    </row>
    <row r="336">
      <c r="C336" s="79"/>
      <c r="D336" s="79"/>
      <c r="E336" s="79"/>
      <c r="O336" s="79"/>
      <c r="S336" s="79"/>
      <c r="T336" s="79"/>
      <c r="Y336" s="79"/>
      <c r="AE336" s="130"/>
      <c r="AG336" s="106"/>
    </row>
    <row r="337">
      <c r="C337" s="79"/>
      <c r="D337" s="79"/>
      <c r="E337" s="79"/>
      <c r="O337" s="79"/>
      <c r="S337" s="79"/>
      <c r="T337" s="79"/>
      <c r="Y337" s="79"/>
      <c r="AE337" s="130"/>
      <c r="AG337" s="106"/>
    </row>
    <row r="338">
      <c r="C338" s="79"/>
      <c r="D338" s="79"/>
      <c r="E338" s="79"/>
      <c r="O338" s="79"/>
      <c r="S338" s="79"/>
      <c r="T338" s="79"/>
      <c r="Y338" s="79"/>
      <c r="AE338" s="130"/>
      <c r="AG338" s="106"/>
    </row>
    <row r="339">
      <c r="C339" s="79"/>
      <c r="D339" s="79"/>
      <c r="E339" s="79"/>
      <c r="O339" s="79"/>
      <c r="S339" s="79"/>
      <c r="T339" s="79"/>
      <c r="Y339" s="79"/>
      <c r="AE339" s="130"/>
      <c r="AG339" s="106"/>
    </row>
    <row r="340">
      <c r="C340" s="79"/>
      <c r="D340" s="79"/>
      <c r="E340" s="79"/>
      <c r="O340" s="79"/>
      <c r="S340" s="79"/>
      <c r="T340" s="79"/>
      <c r="Y340" s="79"/>
      <c r="AE340" s="130"/>
      <c r="AG340" s="106"/>
    </row>
    <row r="341">
      <c r="C341" s="79"/>
      <c r="D341" s="79"/>
      <c r="E341" s="79"/>
      <c r="O341" s="79"/>
      <c r="S341" s="79"/>
      <c r="T341" s="79"/>
      <c r="Y341" s="79"/>
      <c r="AE341" s="130"/>
      <c r="AG341" s="106"/>
    </row>
    <row r="342">
      <c r="C342" s="79"/>
      <c r="D342" s="79"/>
      <c r="E342" s="79"/>
      <c r="O342" s="79"/>
      <c r="S342" s="79"/>
      <c r="T342" s="79"/>
      <c r="Y342" s="79"/>
      <c r="AE342" s="130"/>
      <c r="AG342" s="106"/>
    </row>
    <row r="343">
      <c r="C343" s="79"/>
      <c r="D343" s="79"/>
      <c r="E343" s="79"/>
      <c r="O343" s="79"/>
      <c r="S343" s="79"/>
      <c r="T343" s="79"/>
      <c r="Y343" s="79"/>
      <c r="AE343" s="130"/>
      <c r="AG343" s="106"/>
    </row>
    <row r="344">
      <c r="C344" s="79"/>
      <c r="D344" s="79"/>
      <c r="E344" s="79"/>
      <c r="O344" s="79"/>
      <c r="S344" s="79"/>
      <c r="T344" s="79"/>
      <c r="Y344" s="79"/>
      <c r="AE344" s="130"/>
      <c r="AG344" s="106"/>
    </row>
    <row r="345">
      <c r="C345" s="79"/>
      <c r="D345" s="79"/>
      <c r="E345" s="79"/>
      <c r="O345" s="79"/>
      <c r="S345" s="79"/>
      <c r="T345" s="79"/>
      <c r="Y345" s="79"/>
      <c r="AE345" s="130"/>
      <c r="AG345" s="106"/>
    </row>
    <row r="346">
      <c r="C346" s="79"/>
      <c r="D346" s="79"/>
      <c r="E346" s="79"/>
      <c r="O346" s="79"/>
      <c r="S346" s="79"/>
      <c r="T346" s="79"/>
      <c r="Y346" s="79"/>
      <c r="AE346" s="130"/>
      <c r="AG346" s="106"/>
    </row>
    <row r="347">
      <c r="C347" s="79"/>
      <c r="D347" s="79"/>
      <c r="E347" s="79"/>
      <c r="O347" s="79"/>
      <c r="S347" s="79"/>
      <c r="T347" s="79"/>
      <c r="Y347" s="79"/>
      <c r="AE347" s="130"/>
      <c r="AG347" s="106"/>
    </row>
    <row r="348">
      <c r="C348" s="79"/>
      <c r="D348" s="79"/>
      <c r="E348" s="79"/>
      <c r="O348" s="79"/>
      <c r="S348" s="79"/>
      <c r="T348" s="79"/>
      <c r="Y348" s="79"/>
      <c r="AE348" s="130"/>
      <c r="AG348" s="106"/>
    </row>
    <row r="349">
      <c r="C349" s="79"/>
      <c r="D349" s="79"/>
      <c r="E349" s="79"/>
      <c r="O349" s="79"/>
      <c r="S349" s="79"/>
      <c r="T349" s="79"/>
      <c r="Y349" s="79"/>
      <c r="AE349" s="130"/>
      <c r="AG349" s="106"/>
    </row>
    <row r="350">
      <c r="C350" s="79"/>
      <c r="D350" s="79"/>
      <c r="E350" s="79"/>
      <c r="O350" s="79"/>
      <c r="S350" s="79"/>
      <c r="T350" s="79"/>
      <c r="Y350" s="79"/>
      <c r="AE350" s="130"/>
      <c r="AG350" s="106"/>
    </row>
    <row r="351">
      <c r="C351" s="79"/>
      <c r="D351" s="79"/>
      <c r="E351" s="79"/>
      <c r="O351" s="79"/>
      <c r="S351" s="79"/>
      <c r="T351" s="79"/>
      <c r="Y351" s="79"/>
      <c r="AE351" s="130"/>
      <c r="AG351" s="106"/>
    </row>
    <row r="352">
      <c r="C352" s="79"/>
      <c r="D352" s="79"/>
      <c r="E352" s="79"/>
      <c r="O352" s="79"/>
      <c r="S352" s="79"/>
      <c r="T352" s="79"/>
      <c r="Y352" s="79"/>
      <c r="AE352" s="130"/>
      <c r="AG352" s="106"/>
    </row>
    <row r="353">
      <c r="C353" s="79"/>
      <c r="D353" s="79"/>
      <c r="E353" s="79"/>
      <c r="O353" s="79"/>
      <c r="S353" s="79"/>
      <c r="T353" s="79"/>
      <c r="Y353" s="79"/>
      <c r="AE353" s="130"/>
      <c r="AG353" s="106"/>
    </row>
    <row r="354">
      <c r="C354" s="79"/>
      <c r="D354" s="79"/>
      <c r="E354" s="79"/>
      <c r="O354" s="79"/>
      <c r="S354" s="79"/>
      <c r="T354" s="79"/>
      <c r="Y354" s="79"/>
      <c r="AE354" s="130"/>
      <c r="AG354" s="106"/>
    </row>
    <row r="355">
      <c r="C355" s="79"/>
      <c r="D355" s="79"/>
      <c r="E355" s="79"/>
      <c r="O355" s="79"/>
      <c r="S355" s="79"/>
      <c r="T355" s="79"/>
      <c r="Y355" s="79"/>
      <c r="AE355" s="130"/>
      <c r="AG355" s="106"/>
    </row>
    <row r="356">
      <c r="C356" s="79"/>
      <c r="D356" s="79"/>
      <c r="E356" s="79"/>
      <c r="O356" s="79"/>
      <c r="S356" s="79"/>
      <c r="T356" s="79"/>
      <c r="Y356" s="79"/>
      <c r="AE356" s="130"/>
      <c r="AG356" s="106"/>
    </row>
    <row r="357">
      <c r="C357" s="79"/>
      <c r="D357" s="79"/>
      <c r="E357" s="79"/>
      <c r="O357" s="79"/>
      <c r="S357" s="79"/>
      <c r="T357" s="79"/>
      <c r="Y357" s="79"/>
      <c r="AE357" s="130"/>
      <c r="AG357" s="106"/>
    </row>
    <row r="358">
      <c r="C358" s="79"/>
      <c r="D358" s="79"/>
      <c r="E358" s="79"/>
      <c r="O358" s="79"/>
      <c r="S358" s="79"/>
      <c r="T358" s="79"/>
      <c r="Y358" s="79"/>
      <c r="AE358" s="130"/>
      <c r="AG358" s="106"/>
    </row>
    <row r="359">
      <c r="C359" s="79"/>
      <c r="D359" s="79"/>
      <c r="E359" s="79"/>
      <c r="O359" s="79"/>
      <c r="S359" s="79"/>
      <c r="T359" s="79"/>
      <c r="Y359" s="79"/>
      <c r="AE359" s="130"/>
      <c r="AG359" s="106"/>
    </row>
    <row r="360">
      <c r="C360" s="79"/>
      <c r="D360" s="79"/>
      <c r="E360" s="79"/>
      <c r="O360" s="79"/>
      <c r="S360" s="79"/>
      <c r="T360" s="79"/>
      <c r="Y360" s="79"/>
      <c r="AE360" s="130"/>
      <c r="AG360" s="106"/>
    </row>
    <row r="361">
      <c r="C361" s="79"/>
      <c r="D361" s="79"/>
      <c r="E361" s="79"/>
      <c r="O361" s="79"/>
      <c r="S361" s="79"/>
      <c r="T361" s="79"/>
      <c r="Y361" s="79"/>
      <c r="AE361" s="130"/>
      <c r="AG361" s="106"/>
    </row>
    <row r="362">
      <c r="C362" s="79"/>
      <c r="D362" s="79"/>
      <c r="E362" s="79"/>
      <c r="O362" s="79"/>
      <c r="S362" s="79"/>
      <c r="T362" s="79"/>
      <c r="Y362" s="79"/>
      <c r="AE362" s="130"/>
      <c r="AG362" s="106"/>
    </row>
    <row r="363">
      <c r="C363" s="79"/>
      <c r="D363" s="79"/>
      <c r="E363" s="79"/>
      <c r="O363" s="79"/>
      <c r="S363" s="79"/>
      <c r="T363" s="79"/>
      <c r="Y363" s="79"/>
      <c r="AE363" s="130"/>
      <c r="AG363" s="106"/>
    </row>
    <row r="364">
      <c r="C364" s="79"/>
      <c r="D364" s="79"/>
      <c r="E364" s="79"/>
      <c r="O364" s="79"/>
      <c r="S364" s="79"/>
      <c r="T364" s="79"/>
      <c r="Y364" s="79"/>
      <c r="AE364" s="130"/>
      <c r="AG364" s="106"/>
    </row>
    <row r="365">
      <c r="C365" s="79"/>
      <c r="D365" s="79"/>
      <c r="E365" s="79"/>
      <c r="O365" s="79"/>
      <c r="S365" s="79"/>
      <c r="T365" s="79"/>
      <c r="Y365" s="79"/>
      <c r="AE365" s="130"/>
      <c r="AG365" s="106"/>
    </row>
    <row r="366">
      <c r="C366" s="79"/>
      <c r="D366" s="79"/>
      <c r="E366" s="79"/>
      <c r="O366" s="79"/>
      <c r="S366" s="79"/>
      <c r="T366" s="79"/>
      <c r="Y366" s="79"/>
      <c r="AE366" s="130"/>
      <c r="AG366" s="106"/>
    </row>
    <row r="367">
      <c r="C367" s="79"/>
      <c r="D367" s="79"/>
      <c r="E367" s="79"/>
      <c r="O367" s="79"/>
      <c r="S367" s="79"/>
      <c r="T367" s="79"/>
      <c r="Y367" s="79"/>
      <c r="AE367" s="130"/>
      <c r="AG367" s="106"/>
    </row>
    <row r="368">
      <c r="C368" s="79"/>
      <c r="D368" s="79"/>
      <c r="E368" s="79"/>
      <c r="O368" s="79"/>
      <c r="S368" s="79"/>
      <c r="T368" s="79"/>
      <c r="Y368" s="79"/>
      <c r="AE368" s="130"/>
      <c r="AG368" s="106"/>
    </row>
    <row r="369">
      <c r="C369" s="79"/>
      <c r="D369" s="79"/>
      <c r="E369" s="79"/>
      <c r="O369" s="79"/>
      <c r="S369" s="79"/>
      <c r="T369" s="79"/>
      <c r="Y369" s="79"/>
      <c r="AE369" s="130"/>
      <c r="AG369" s="106"/>
    </row>
    <row r="370">
      <c r="C370" s="79"/>
      <c r="D370" s="79"/>
      <c r="E370" s="79"/>
      <c r="O370" s="79"/>
      <c r="S370" s="79"/>
      <c r="T370" s="79"/>
      <c r="Y370" s="79"/>
      <c r="AE370" s="130"/>
      <c r="AG370" s="106"/>
    </row>
    <row r="371">
      <c r="C371" s="79"/>
      <c r="D371" s="79"/>
      <c r="E371" s="79"/>
      <c r="O371" s="79"/>
      <c r="S371" s="79"/>
      <c r="T371" s="79"/>
      <c r="Y371" s="79"/>
      <c r="AE371" s="130"/>
      <c r="AG371" s="106"/>
    </row>
    <row r="372">
      <c r="C372" s="79"/>
      <c r="D372" s="79"/>
      <c r="E372" s="79"/>
      <c r="O372" s="79"/>
      <c r="S372" s="79"/>
      <c r="T372" s="79"/>
      <c r="Y372" s="79"/>
      <c r="AE372" s="130"/>
      <c r="AG372" s="106"/>
    </row>
    <row r="373">
      <c r="C373" s="79"/>
      <c r="D373" s="79"/>
      <c r="E373" s="79"/>
      <c r="O373" s="79"/>
      <c r="S373" s="79"/>
      <c r="T373" s="79"/>
      <c r="Y373" s="79"/>
      <c r="AE373" s="130"/>
      <c r="AG373" s="106"/>
    </row>
    <row r="374">
      <c r="C374" s="79"/>
      <c r="D374" s="79"/>
      <c r="E374" s="79"/>
      <c r="O374" s="79"/>
      <c r="S374" s="79"/>
      <c r="T374" s="79"/>
      <c r="Y374" s="79"/>
      <c r="AE374" s="130"/>
      <c r="AG374" s="106"/>
    </row>
    <row r="375">
      <c r="C375" s="79"/>
      <c r="D375" s="79"/>
      <c r="E375" s="79"/>
      <c r="O375" s="79"/>
      <c r="S375" s="79"/>
      <c r="T375" s="79"/>
      <c r="Y375" s="79"/>
      <c r="AE375" s="130"/>
      <c r="AG375" s="106"/>
    </row>
    <row r="376">
      <c r="C376" s="79"/>
      <c r="D376" s="79"/>
      <c r="E376" s="79"/>
      <c r="O376" s="79"/>
      <c r="S376" s="79"/>
      <c r="T376" s="79"/>
      <c r="Y376" s="79"/>
      <c r="AE376" s="130"/>
      <c r="AG376" s="106"/>
    </row>
    <row r="377">
      <c r="C377" s="79"/>
      <c r="D377" s="79"/>
      <c r="E377" s="79"/>
      <c r="O377" s="79"/>
      <c r="S377" s="79"/>
      <c r="T377" s="79"/>
      <c r="Y377" s="79"/>
      <c r="AE377" s="130"/>
      <c r="AG377" s="106"/>
    </row>
    <row r="378">
      <c r="C378" s="79"/>
      <c r="D378" s="79"/>
      <c r="E378" s="79"/>
      <c r="O378" s="79"/>
      <c r="S378" s="79"/>
      <c r="T378" s="79"/>
      <c r="Y378" s="79"/>
      <c r="AE378" s="130"/>
      <c r="AG378" s="106"/>
    </row>
    <row r="379">
      <c r="C379" s="79"/>
      <c r="D379" s="79"/>
      <c r="E379" s="79"/>
      <c r="O379" s="79"/>
      <c r="S379" s="79"/>
      <c r="T379" s="79"/>
      <c r="Y379" s="79"/>
      <c r="AE379" s="130"/>
      <c r="AG379" s="106"/>
    </row>
    <row r="380">
      <c r="C380" s="79"/>
      <c r="D380" s="79"/>
      <c r="E380" s="79"/>
      <c r="O380" s="79"/>
      <c r="S380" s="79"/>
      <c r="T380" s="79"/>
      <c r="Y380" s="79"/>
      <c r="AE380" s="130"/>
      <c r="AG380" s="106"/>
    </row>
    <row r="381">
      <c r="C381" s="79"/>
      <c r="D381" s="79"/>
      <c r="E381" s="79"/>
      <c r="O381" s="79"/>
      <c r="S381" s="79"/>
      <c r="T381" s="79"/>
      <c r="Y381" s="79"/>
      <c r="AE381" s="130"/>
      <c r="AG381" s="106"/>
    </row>
    <row r="382">
      <c r="C382" s="79"/>
      <c r="D382" s="79"/>
      <c r="E382" s="79"/>
      <c r="O382" s="79"/>
      <c r="S382" s="79"/>
      <c r="T382" s="79"/>
      <c r="Y382" s="79"/>
      <c r="AE382" s="130"/>
      <c r="AG382" s="106"/>
    </row>
    <row r="383">
      <c r="C383" s="79"/>
      <c r="D383" s="79"/>
      <c r="E383" s="79"/>
      <c r="O383" s="79"/>
      <c r="S383" s="79"/>
      <c r="T383" s="79"/>
      <c r="Y383" s="79"/>
      <c r="AE383" s="130"/>
      <c r="AG383" s="106"/>
    </row>
    <row r="384">
      <c r="C384" s="79"/>
      <c r="D384" s="79"/>
      <c r="E384" s="79"/>
      <c r="O384" s="79"/>
      <c r="S384" s="79"/>
      <c r="T384" s="79"/>
      <c r="Y384" s="79"/>
      <c r="AE384" s="130"/>
      <c r="AG384" s="106"/>
    </row>
    <row r="385">
      <c r="C385" s="79"/>
      <c r="D385" s="79"/>
      <c r="E385" s="79"/>
      <c r="O385" s="79"/>
      <c r="S385" s="79"/>
      <c r="T385" s="79"/>
      <c r="Y385" s="79"/>
      <c r="AE385" s="130"/>
      <c r="AG385" s="106"/>
    </row>
    <row r="386">
      <c r="C386" s="79"/>
      <c r="D386" s="79"/>
      <c r="E386" s="79"/>
      <c r="O386" s="79"/>
      <c r="S386" s="79"/>
      <c r="T386" s="79"/>
      <c r="Y386" s="79"/>
      <c r="AE386" s="130"/>
      <c r="AG386" s="106"/>
    </row>
    <row r="387">
      <c r="C387" s="79"/>
      <c r="D387" s="79"/>
      <c r="E387" s="79"/>
      <c r="O387" s="79"/>
      <c r="S387" s="79"/>
      <c r="T387" s="79"/>
      <c r="Y387" s="79"/>
      <c r="AE387" s="130"/>
      <c r="AG387" s="106"/>
    </row>
    <row r="388">
      <c r="C388" s="79"/>
      <c r="D388" s="79"/>
      <c r="E388" s="79"/>
      <c r="O388" s="79"/>
      <c r="S388" s="79"/>
      <c r="T388" s="79"/>
      <c r="Y388" s="79"/>
      <c r="AE388" s="130"/>
      <c r="AG388" s="106"/>
    </row>
    <row r="389">
      <c r="C389" s="79"/>
      <c r="D389" s="79"/>
      <c r="E389" s="79"/>
      <c r="O389" s="79"/>
      <c r="S389" s="79"/>
      <c r="T389" s="79"/>
      <c r="Y389" s="79"/>
      <c r="AE389" s="130"/>
      <c r="AG389" s="106"/>
    </row>
    <row r="390">
      <c r="C390" s="79"/>
      <c r="D390" s="79"/>
      <c r="E390" s="79"/>
      <c r="O390" s="79"/>
      <c r="S390" s="79"/>
      <c r="T390" s="79"/>
      <c r="Y390" s="79"/>
      <c r="AE390" s="130"/>
      <c r="AG390" s="106"/>
    </row>
    <row r="391">
      <c r="C391" s="79"/>
      <c r="D391" s="79"/>
      <c r="E391" s="79"/>
      <c r="O391" s="79"/>
      <c r="S391" s="79"/>
      <c r="T391" s="79"/>
      <c r="Y391" s="79"/>
      <c r="AE391" s="130"/>
      <c r="AG391" s="106"/>
    </row>
    <row r="392">
      <c r="C392" s="79"/>
      <c r="D392" s="79"/>
      <c r="E392" s="79"/>
      <c r="O392" s="79"/>
      <c r="S392" s="79"/>
      <c r="T392" s="79"/>
      <c r="Y392" s="79"/>
      <c r="AE392" s="130"/>
      <c r="AG392" s="106"/>
    </row>
    <row r="393">
      <c r="C393" s="79"/>
      <c r="D393" s="79"/>
      <c r="E393" s="79"/>
      <c r="O393" s="79"/>
      <c r="S393" s="79"/>
      <c r="T393" s="79"/>
      <c r="Y393" s="79"/>
      <c r="AE393" s="130"/>
      <c r="AG393" s="106"/>
    </row>
    <row r="394">
      <c r="C394" s="79"/>
      <c r="D394" s="79"/>
      <c r="E394" s="79"/>
      <c r="O394" s="79"/>
      <c r="S394" s="79"/>
      <c r="T394" s="79"/>
      <c r="Y394" s="79"/>
      <c r="AE394" s="130"/>
      <c r="AG394" s="106"/>
    </row>
    <row r="395">
      <c r="C395" s="79"/>
      <c r="D395" s="79"/>
      <c r="E395" s="79"/>
      <c r="O395" s="79"/>
      <c r="S395" s="79"/>
      <c r="T395" s="79"/>
      <c r="Y395" s="79"/>
      <c r="AE395" s="130"/>
      <c r="AG395" s="106"/>
    </row>
    <row r="396">
      <c r="C396" s="79"/>
      <c r="D396" s="79"/>
      <c r="E396" s="79"/>
      <c r="O396" s="79"/>
      <c r="S396" s="79"/>
      <c r="T396" s="79"/>
      <c r="Y396" s="79"/>
      <c r="AE396" s="130"/>
      <c r="AG396" s="106"/>
    </row>
    <row r="397">
      <c r="C397" s="79"/>
      <c r="D397" s="79"/>
      <c r="E397" s="79"/>
      <c r="O397" s="79"/>
      <c r="S397" s="79"/>
      <c r="T397" s="79"/>
      <c r="Y397" s="79"/>
      <c r="AE397" s="130"/>
      <c r="AG397" s="106"/>
    </row>
    <row r="398">
      <c r="C398" s="79"/>
      <c r="D398" s="79"/>
      <c r="E398" s="79"/>
      <c r="O398" s="79"/>
      <c r="S398" s="79"/>
      <c r="T398" s="79"/>
      <c r="Y398" s="79"/>
      <c r="AE398" s="130"/>
      <c r="AG398" s="106"/>
    </row>
    <row r="399">
      <c r="C399" s="79"/>
      <c r="D399" s="79"/>
      <c r="E399" s="79"/>
      <c r="O399" s="79"/>
      <c r="S399" s="79"/>
      <c r="T399" s="79"/>
      <c r="Y399" s="79"/>
      <c r="AE399" s="130"/>
      <c r="AG399" s="106"/>
    </row>
    <row r="400">
      <c r="C400" s="79"/>
      <c r="D400" s="79"/>
      <c r="E400" s="79"/>
      <c r="O400" s="79"/>
      <c r="S400" s="79"/>
      <c r="T400" s="79"/>
      <c r="Y400" s="79"/>
      <c r="AE400" s="130"/>
      <c r="AG400" s="106"/>
    </row>
    <row r="401">
      <c r="C401" s="79"/>
      <c r="D401" s="79"/>
      <c r="E401" s="79"/>
      <c r="O401" s="79"/>
      <c r="S401" s="79"/>
      <c r="T401" s="79"/>
      <c r="Y401" s="79"/>
      <c r="AE401" s="130"/>
      <c r="AG401" s="106"/>
    </row>
    <row r="402">
      <c r="C402" s="79"/>
      <c r="D402" s="79"/>
      <c r="E402" s="79"/>
      <c r="O402" s="79"/>
      <c r="S402" s="79"/>
      <c r="T402" s="79"/>
      <c r="Y402" s="79"/>
      <c r="AE402" s="130"/>
      <c r="AG402" s="106"/>
    </row>
    <row r="403">
      <c r="C403" s="79"/>
      <c r="D403" s="79"/>
      <c r="E403" s="79"/>
      <c r="O403" s="79"/>
      <c r="S403" s="79"/>
      <c r="T403" s="79"/>
      <c r="Y403" s="79"/>
      <c r="AE403" s="130"/>
      <c r="AG403" s="106"/>
    </row>
    <row r="404">
      <c r="C404" s="79"/>
      <c r="D404" s="79"/>
      <c r="E404" s="79"/>
      <c r="O404" s="79"/>
      <c r="S404" s="79"/>
      <c r="T404" s="79"/>
      <c r="Y404" s="79"/>
      <c r="AE404" s="130"/>
      <c r="AG404" s="106"/>
    </row>
    <row r="405">
      <c r="C405" s="79"/>
      <c r="D405" s="79"/>
      <c r="E405" s="79"/>
      <c r="O405" s="79"/>
      <c r="S405" s="79"/>
      <c r="T405" s="79"/>
      <c r="Y405" s="79"/>
      <c r="AE405" s="130"/>
      <c r="AG405" s="106"/>
    </row>
    <row r="406">
      <c r="C406" s="79"/>
      <c r="D406" s="79"/>
      <c r="E406" s="79"/>
      <c r="O406" s="79"/>
      <c r="S406" s="79"/>
      <c r="T406" s="79"/>
      <c r="Y406" s="79"/>
      <c r="AE406" s="130"/>
      <c r="AG406" s="106"/>
    </row>
    <row r="407">
      <c r="C407" s="79"/>
      <c r="D407" s="79"/>
      <c r="E407" s="79"/>
      <c r="O407" s="79"/>
      <c r="S407" s="79"/>
      <c r="T407" s="79"/>
      <c r="Y407" s="79"/>
      <c r="AE407" s="130"/>
      <c r="AG407" s="106"/>
    </row>
    <row r="408">
      <c r="C408" s="79"/>
      <c r="D408" s="79"/>
      <c r="E408" s="79"/>
      <c r="O408" s="79"/>
      <c r="S408" s="79"/>
      <c r="T408" s="79"/>
      <c r="Y408" s="79"/>
      <c r="AE408" s="130"/>
      <c r="AG408" s="106"/>
    </row>
    <row r="409">
      <c r="C409" s="79"/>
      <c r="D409" s="79"/>
      <c r="E409" s="79"/>
      <c r="O409" s="79"/>
      <c r="S409" s="79"/>
      <c r="T409" s="79"/>
      <c r="Y409" s="79"/>
      <c r="AE409" s="130"/>
      <c r="AG409" s="106"/>
    </row>
    <row r="410">
      <c r="C410" s="79"/>
      <c r="D410" s="79"/>
      <c r="E410" s="79"/>
      <c r="O410" s="79"/>
      <c r="S410" s="79"/>
      <c r="T410" s="79"/>
      <c r="Y410" s="79"/>
      <c r="AE410" s="130"/>
      <c r="AG410" s="106"/>
    </row>
    <row r="411">
      <c r="C411" s="79"/>
      <c r="D411" s="79"/>
      <c r="E411" s="79"/>
      <c r="O411" s="79"/>
      <c r="S411" s="79"/>
      <c r="T411" s="79"/>
      <c r="Y411" s="79"/>
      <c r="AE411" s="130"/>
      <c r="AG411" s="106"/>
    </row>
    <row r="412">
      <c r="C412" s="79"/>
      <c r="D412" s="79"/>
      <c r="E412" s="79"/>
      <c r="O412" s="79"/>
      <c r="S412" s="79"/>
      <c r="T412" s="79"/>
      <c r="Y412" s="79"/>
      <c r="AE412" s="130"/>
      <c r="AG412" s="106"/>
    </row>
    <row r="413">
      <c r="C413" s="79"/>
      <c r="D413" s="79"/>
      <c r="E413" s="79"/>
      <c r="O413" s="79"/>
      <c r="S413" s="79"/>
      <c r="T413" s="79"/>
      <c r="Y413" s="79"/>
      <c r="AE413" s="130"/>
      <c r="AG413" s="106"/>
    </row>
    <row r="414">
      <c r="C414" s="79"/>
      <c r="D414" s="79"/>
      <c r="E414" s="79"/>
      <c r="O414" s="79"/>
      <c r="S414" s="79"/>
      <c r="T414" s="79"/>
      <c r="Y414" s="79"/>
      <c r="AE414" s="130"/>
      <c r="AG414" s="106"/>
    </row>
    <row r="415">
      <c r="C415" s="79"/>
      <c r="D415" s="79"/>
      <c r="E415" s="79"/>
      <c r="O415" s="79"/>
      <c r="S415" s="79"/>
      <c r="T415" s="79"/>
      <c r="Y415" s="79"/>
      <c r="AE415" s="130"/>
      <c r="AG415" s="106"/>
    </row>
    <row r="416">
      <c r="C416" s="79"/>
      <c r="D416" s="79"/>
      <c r="E416" s="79"/>
      <c r="O416" s="79"/>
      <c r="S416" s="79"/>
      <c r="T416" s="79"/>
      <c r="Y416" s="79"/>
      <c r="AE416" s="130"/>
      <c r="AG416" s="106"/>
    </row>
    <row r="417">
      <c r="C417" s="79"/>
      <c r="D417" s="79"/>
      <c r="E417" s="79"/>
      <c r="O417" s="79"/>
      <c r="S417" s="79"/>
      <c r="T417" s="79"/>
      <c r="Y417" s="79"/>
      <c r="AE417" s="130"/>
      <c r="AG417" s="106"/>
    </row>
    <row r="418">
      <c r="C418" s="79"/>
      <c r="D418" s="79"/>
      <c r="E418" s="79"/>
      <c r="O418" s="79"/>
      <c r="S418" s="79"/>
      <c r="T418" s="79"/>
      <c r="Y418" s="79"/>
      <c r="AE418" s="130"/>
      <c r="AG418" s="106"/>
    </row>
    <row r="419">
      <c r="C419" s="79"/>
      <c r="D419" s="79"/>
      <c r="E419" s="79"/>
      <c r="O419" s="79"/>
      <c r="S419" s="79"/>
      <c r="T419" s="79"/>
      <c r="Y419" s="79"/>
      <c r="AE419" s="130"/>
      <c r="AG419" s="106"/>
    </row>
    <row r="420">
      <c r="C420" s="79"/>
      <c r="D420" s="79"/>
      <c r="E420" s="79"/>
      <c r="O420" s="79"/>
      <c r="S420" s="79"/>
      <c r="T420" s="79"/>
      <c r="Y420" s="79"/>
      <c r="AE420" s="130"/>
      <c r="AG420" s="106"/>
    </row>
    <row r="421">
      <c r="C421" s="79"/>
      <c r="D421" s="79"/>
      <c r="E421" s="79"/>
      <c r="O421" s="79"/>
      <c r="S421" s="79"/>
      <c r="T421" s="79"/>
      <c r="Y421" s="79"/>
      <c r="AE421" s="130"/>
      <c r="AG421" s="106"/>
    </row>
    <row r="422">
      <c r="C422" s="79"/>
      <c r="D422" s="79"/>
      <c r="E422" s="79"/>
      <c r="O422" s="79"/>
      <c r="S422" s="79"/>
      <c r="T422" s="79"/>
      <c r="Y422" s="79"/>
      <c r="AE422" s="130"/>
      <c r="AG422" s="106"/>
    </row>
    <row r="423">
      <c r="C423" s="79"/>
      <c r="D423" s="79"/>
      <c r="E423" s="79"/>
      <c r="O423" s="79"/>
      <c r="S423" s="79"/>
      <c r="T423" s="79"/>
      <c r="Y423" s="79"/>
      <c r="AE423" s="130"/>
      <c r="AG423" s="106"/>
    </row>
    <row r="424">
      <c r="C424" s="79"/>
      <c r="D424" s="79"/>
      <c r="E424" s="79"/>
      <c r="O424" s="79"/>
      <c r="S424" s="79"/>
      <c r="T424" s="79"/>
      <c r="Y424" s="79"/>
      <c r="AE424" s="130"/>
      <c r="AG424" s="106"/>
    </row>
    <row r="425">
      <c r="C425" s="79"/>
      <c r="D425" s="79"/>
      <c r="E425" s="79"/>
      <c r="O425" s="79"/>
      <c r="S425" s="79"/>
      <c r="T425" s="79"/>
      <c r="Y425" s="79"/>
      <c r="AE425" s="130"/>
      <c r="AG425" s="106"/>
    </row>
    <row r="426">
      <c r="C426" s="79"/>
      <c r="D426" s="79"/>
      <c r="E426" s="79"/>
      <c r="O426" s="79"/>
      <c r="S426" s="79"/>
      <c r="T426" s="79"/>
      <c r="Y426" s="79"/>
      <c r="AE426" s="130"/>
      <c r="AG426" s="106"/>
    </row>
    <row r="427">
      <c r="C427" s="79"/>
      <c r="D427" s="79"/>
      <c r="E427" s="79"/>
      <c r="O427" s="79"/>
      <c r="S427" s="79"/>
      <c r="T427" s="79"/>
      <c r="Y427" s="79"/>
      <c r="AE427" s="130"/>
      <c r="AG427" s="106"/>
    </row>
    <row r="428">
      <c r="C428" s="79"/>
      <c r="D428" s="79"/>
      <c r="E428" s="79"/>
      <c r="O428" s="79"/>
      <c r="S428" s="79"/>
      <c r="T428" s="79"/>
      <c r="Y428" s="79"/>
      <c r="AE428" s="130"/>
      <c r="AG428" s="106"/>
    </row>
    <row r="429">
      <c r="C429" s="79"/>
      <c r="D429" s="79"/>
      <c r="E429" s="79"/>
      <c r="O429" s="79"/>
      <c r="S429" s="79"/>
      <c r="T429" s="79"/>
      <c r="Y429" s="79"/>
      <c r="AE429" s="130"/>
      <c r="AG429" s="106"/>
    </row>
    <row r="430">
      <c r="C430" s="79"/>
      <c r="D430" s="79"/>
      <c r="E430" s="79"/>
      <c r="O430" s="79"/>
      <c r="S430" s="79"/>
      <c r="T430" s="79"/>
      <c r="Y430" s="79"/>
      <c r="AE430" s="130"/>
      <c r="AG430" s="106"/>
    </row>
    <row r="431">
      <c r="C431" s="79"/>
      <c r="D431" s="79"/>
      <c r="E431" s="79"/>
      <c r="O431" s="79"/>
      <c r="S431" s="79"/>
      <c r="T431" s="79"/>
      <c r="Y431" s="79"/>
      <c r="AE431" s="130"/>
      <c r="AG431" s="106"/>
    </row>
    <row r="432">
      <c r="C432" s="79"/>
      <c r="D432" s="79"/>
      <c r="E432" s="79"/>
      <c r="O432" s="79"/>
      <c r="S432" s="79"/>
      <c r="T432" s="79"/>
      <c r="Y432" s="79"/>
      <c r="AE432" s="130"/>
      <c r="AG432" s="106"/>
    </row>
    <row r="433">
      <c r="C433" s="79"/>
      <c r="D433" s="79"/>
      <c r="E433" s="79"/>
      <c r="O433" s="79"/>
      <c r="S433" s="79"/>
      <c r="T433" s="79"/>
      <c r="Y433" s="79"/>
      <c r="AE433" s="130"/>
      <c r="AG433" s="106"/>
    </row>
    <row r="434">
      <c r="C434" s="79"/>
      <c r="D434" s="79"/>
      <c r="E434" s="79"/>
      <c r="O434" s="79"/>
      <c r="S434" s="79"/>
      <c r="T434" s="79"/>
      <c r="Y434" s="79"/>
      <c r="AE434" s="130"/>
      <c r="AG434" s="106"/>
    </row>
    <row r="435">
      <c r="C435" s="79"/>
      <c r="D435" s="79"/>
      <c r="E435" s="79"/>
      <c r="O435" s="79"/>
      <c r="S435" s="79"/>
      <c r="T435" s="79"/>
      <c r="Y435" s="79"/>
      <c r="AE435" s="130"/>
      <c r="AG435" s="106"/>
    </row>
    <row r="436">
      <c r="C436" s="79"/>
      <c r="D436" s="79"/>
      <c r="E436" s="79"/>
      <c r="O436" s="79"/>
      <c r="S436" s="79"/>
      <c r="T436" s="79"/>
      <c r="Y436" s="79"/>
      <c r="AE436" s="130"/>
      <c r="AG436" s="106"/>
    </row>
    <row r="437">
      <c r="C437" s="79"/>
      <c r="D437" s="79"/>
      <c r="E437" s="79"/>
      <c r="O437" s="79"/>
      <c r="S437" s="79"/>
      <c r="T437" s="79"/>
      <c r="Y437" s="79"/>
      <c r="AE437" s="130"/>
      <c r="AG437" s="106"/>
    </row>
    <row r="438">
      <c r="C438" s="79"/>
      <c r="D438" s="79"/>
      <c r="E438" s="79"/>
      <c r="O438" s="79"/>
      <c r="S438" s="79"/>
      <c r="T438" s="79"/>
      <c r="Y438" s="79"/>
      <c r="AE438" s="130"/>
      <c r="AG438" s="106"/>
    </row>
    <row r="439">
      <c r="C439" s="79"/>
      <c r="D439" s="79"/>
      <c r="E439" s="79"/>
      <c r="O439" s="79"/>
      <c r="S439" s="79"/>
      <c r="T439" s="79"/>
      <c r="Y439" s="79"/>
      <c r="AE439" s="130"/>
      <c r="AG439" s="106"/>
    </row>
    <row r="440">
      <c r="C440" s="79"/>
      <c r="D440" s="79"/>
      <c r="E440" s="79"/>
      <c r="O440" s="79"/>
      <c r="S440" s="79"/>
      <c r="T440" s="79"/>
      <c r="Y440" s="79"/>
      <c r="AE440" s="130"/>
      <c r="AG440" s="106"/>
    </row>
    <row r="441">
      <c r="C441" s="79"/>
      <c r="D441" s="79"/>
      <c r="E441" s="79"/>
      <c r="O441" s="79"/>
      <c r="S441" s="79"/>
      <c r="T441" s="79"/>
      <c r="Y441" s="79"/>
      <c r="AE441" s="130"/>
      <c r="AG441" s="106"/>
    </row>
    <row r="442">
      <c r="C442" s="79"/>
      <c r="D442" s="79"/>
      <c r="E442" s="79"/>
      <c r="O442" s="79"/>
      <c r="S442" s="79"/>
      <c r="T442" s="79"/>
      <c r="Y442" s="79"/>
      <c r="AE442" s="130"/>
      <c r="AG442" s="106"/>
    </row>
    <row r="443">
      <c r="C443" s="79"/>
      <c r="D443" s="79"/>
      <c r="E443" s="79"/>
      <c r="O443" s="79"/>
      <c r="S443" s="79"/>
      <c r="T443" s="79"/>
      <c r="Y443" s="79"/>
      <c r="AE443" s="130"/>
      <c r="AG443" s="106"/>
    </row>
    <row r="444">
      <c r="C444" s="79"/>
      <c r="D444" s="79"/>
      <c r="E444" s="79"/>
      <c r="O444" s="79"/>
      <c r="S444" s="79"/>
      <c r="T444" s="79"/>
      <c r="Y444" s="79"/>
      <c r="AE444" s="130"/>
      <c r="AG444" s="106"/>
    </row>
    <row r="445">
      <c r="C445" s="79"/>
      <c r="D445" s="79"/>
      <c r="E445" s="79"/>
      <c r="O445" s="79"/>
      <c r="S445" s="79"/>
      <c r="T445" s="79"/>
      <c r="Y445" s="79"/>
      <c r="AE445" s="130"/>
      <c r="AG445" s="106"/>
    </row>
    <row r="446">
      <c r="C446" s="79"/>
      <c r="D446" s="79"/>
      <c r="E446" s="79"/>
      <c r="O446" s="79"/>
      <c r="S446" s="79"/>
      <c r="T446" s="79"/>
      <c r="Y446" s="79"/>
      <c r="AE446" s="130"/>
      <c r="AG446" s="106"/>
    </row>
    <row r="447">
      <c r="C447" s="79"/>
      <c r="D447" s="79"/>
      <c r="E447" s="79"/>
      <c r="O447" s="79"/>
      <c r="S447" s="79"/>
      <c r="T447" s="79"/>
      <c r="Y447" s="79"/>
      <c r="AE447" s="130"/>
      <c r="AG447" s="106"/>
    </row>
    <row r="448">
      <c r="C448" s="79"/>
      <c r="D448" s="79"/>
      <c r="E448" s="79"/>
      <c r="O448" s="79"/>
      <c r="S448" s="79"/>
      <c r="T448" s="79"/>
      <c r="Y448" s="79"/>
      <c r="AE448" s="130"/>
      <c r="AG448" s="106"/>
    </row>
    <row r="449">
      <c r="C449" s="79"/>
      <c r="D449" s="79"/>
      <c r="E449" s="79"/>
      <c r="O449" s="79"/>
      <c r="S449" s="79"/>
      <c r="T449" s="79"/>
      <c r="Y449" s="79"/>
      <c r="AE449" s="130"/>
      <c r="AG449" s="106"/>
    </row>
    <row r="450">
      <c r="C450" s="79"/>
      <c r="D450" s="79"/>
      <c r="E450" s="79"/>
      <c r="O450" s="79"/>
      <c r="S450" s="79"/>
      <c r="T450" s="79"/>
      <c r="Y450" s="79"/>
      <c r="AE450" s="130"/>
      <c r="AG450" s="106"/>
    </row>
    <row r="451">
      <c r="C451" s="79"/>
      <c r="D451" s="79"/>
      <c r="E451" s="79"/>
      <c r="O451" s="79"/>
      <c r="S451" s="79"/>
      <c r="T451" s="79"/>
      <c r="Y451" s="79"/>
      <c r="AE451" s="130"/>
      <c r="AG451" s="106"/>
    </row>
    <row r="452">
      <c r="C452" s="79"/>
      <c r="D452" s="79"/>
      <c r="E452" s="79"/>
      <c r="O452" s="79"/>
      <c r="S452" s="79"/>
      <c r="T452" s="79"/>
      <c r="Y452" s="79"/>
      <c r="AE452" s="130"/>
      <c r="AG452" s="106"/>
    </row>
    <row r="453">
      <c r="C453" s="79"/>
      <c r="D453" s="79"/>
      <c r="E453" s="79"/>
      <c r="O453" s="79"/>
      <c r="S453" s="79"/>
      <c r="T453" s="79"/>
      <c r="Y453" s="79"/>
      <c r="AE453" s="130"/>
      <c r="AG453" s="106"/>
    </row>
    <row r="454">
      <c r="C454" s="79"/>
      <c r="D454" s="79"/>
      <c r="E454" s="79"/>
      <c r="O454" s="79"/>
      <c r="S454" s="79"/>
      <c r="T454" s="79"/>
      <c r="Y454" s="79"/>
      <c r="AE454" s="130"/>
      <c r="AG454" s="106"/>
    </row>
    <row r="455">
      <c r="C455" s="79"/>
      <c r="D455" s="79"/>
      <c r="E455" s="79"/>
      <c r="O455" s="79"/>
      <c r="S455" s="79"/>
      <c r="T455" s="79"/>
      <c r="Y455" s="79"/>
      <c r="AE455" s="130"/>
      <c r="AG455" s="106"/>
    </row>
    <row r="456">
      <c r="C456" s="79"/>
      <c r="D456" s="79"/>
      <c r="E456" s="79"/>
      <c r="O456" s="79"/>
      <c r="S456" s="79"/>
      <c r="T456" s="79"/>
      <c r="Y456" s="79"/>
      <c r="AE456" s="130"/>
      <c r="AG456" s="106"/>
    </row>
    <row r="457">
      <c r="C457" s="79"/>
      <c r="D457" s="79"/>
      <c r="E457" s="79"/>
      <c r="O457" s="79"/>
      <c r="S457" s="79"/>
      <c r="T457" s="79"/>
      <c r="Y457" s="79"/>
      <c r="AE457" s="130"/>
      <c r="AG457" s="106"/>
    </row>
    <row r="458">
      <c r="C458" s="79"/>
      <c r="D458" s="79"/>
      <c r="E458" s="79"/>
      <c r="O458" s="79"/>
      <c r="S458" s="79"/>
      <c r="T458" s="79"/>
      <c r="Y458" s="79"/>
      <c r="AE458" s="130"/>
      <c r="AG458" s="106"/>
    </row>
    <row r="459">
      <c r="C459" s="79"/>
      <c r="D459" s="79"/>
      <c r="E459" s="79"/>
      <c r="O459" s="79"/>
      <c r="S459" s="79"/>
      <c r="T459" s="79"/>
      <c r="Y459" s="79"/>
      <c r="AE459" s="130"/>
      <c r="AG459" s="106"/>
    </row>
    <row r="460">
      <c r="C460" s="79"/>
      <c r="D460" s="79"/>
      <c r="E460" s="79"/>
      <c r="O460" s="79"/>
      <c r="S460" s="79"/>
      <c r="T460" s="79"/>
      <c r="Y460" s="79"/>
      <c r="AE460" s="130"/>
      <c r="AG460" s="106"/>
    </row>
    <row r="461">
      <c r="C461" s="79"/>
      <c r="D461" s="79"/>
      <c r="E461" s="79"/>
      <c r="O461" s="79"/>
      <c r="S461" s="79"/>
      <c r="T461" s="79"/>
      <c r="Y461" s="79"/>
      <c r="AE461" s="130"/>
      <c r="AG461" s="106"/>
    </row>
    <row r="462">
      <c r="C462" s="79"/>
      <c r="D462" s="79"/>
      <c r="E462" s="79"/>
      <c r="O462" s="79"/>
      <c r="S462" s="79"/>
      <c r="T462" s="79"/>
      <c r="Y462" s="79"/>
      <c r="AE462" s="130"/>
      <c r="AG462" s="106"/>
    </row>
    <row r="463">
      <c r="C463" s="79"/>
      <c r="D463" s="79"/>
      <c r="E463" s="79"/>
      <c r="O463" s="79"/>
      <c r="S463" s="79"/>
      <c r="T463" s="79"/>
      <c r="Y463" s="79"/>
      <c r="AE463" s="130"/>
      <c r="AG463" s="106"/>
    </row>
    <row r="464">
      <c r="C464" s="79"/>
      <c r="D464" s="79"/>
      <c r="E464" s="79"/>
      <c r="O464" s="79"/>
      <c r="S464" s="79"/>
      <c r="T464" s="79"/>
      <c r="Y464" s="79"/>
      <c r="AE464" s="130"/>
      <c r="AG464" s="106"/>
    </row>
    <row r="465">
      <c r="C465" s="79"/>
      <c r="D465" s="79"/>
      <c r="E465" s="79"/>
      <c r="O465" s="79"/>
      <c r="S465" s="79"/>
      <c r="T465" s="79"/>
      <c r="Y465" s="79"/>
      <c r="AE465" s="130"/>
      <c r="AG465" s="106"/>
    </row>
    <row r="466">
      <c r="C466" s="79"/>
      <c r="D466" s="79"/>
      <c r="E466" s="79"/>
      <c r="O466" s="79"/>
      <c r="S466" s="79"/>
      <c r="T466" s="79"/>
      <c r="Y466" s="79"/>
      <c r="AE466" s="130"/>
      <c r="AG466" s="106"/>
    </row>
    <row r="467">
      <c r="C467" s="79"/>
      <c r="D467" s="79"/>
      <c r="E467" s="79"/>
      <c r="O467" s="79"/>
      <c r="S467" s="79"/>
      <c r="T467" s="79"/>
      <c r="Y467" s="79"/>
      <c r="AE467" s="130"/>
      <c r="AG467" s="106"/>
    </row>
    <row r="468">
      <c r="C468" s="79"/>
      <c r="D468" s="79"/>
      <c r="E468" s="79"/>
      <c r="O468" s="79"/>
      <c r="S468" s="79"/>
      <c r="T468" s="79"/>
      <c r="Y468" s="79"/>
      <c r="AE468" s="130"/>
      <c r="AG468" s="106"/>
    </row>
    <row r="469">
      <c r="C469" s="79"/>
      <c r="D469" s="79"/>
      <c r="E469" s="79"/>
      <c r="O469" s="79"/>
      <c r="S469" s="79"/>
      <c r="T469" s="79"/>
      <c r="Y469" s="79"/>
      <c r="AE469" s="130"/>
      <c r="AG469" s="106"/>
    </row>
    <row r="470">
      <c r="C470" s="79"/>
      <c r="D470" s="79"/>
      <c r="E470" s="79"/>
      <c r="O470" s="79"/>
      <c r="S470" s="79"/>
      <c r="T470" s="79"/>
      <c r="Y470" s="79"/>
      <c r="AE470" s="130"/>
      <c r="AG470" s="106"/>
    </row>
    <row r="471">
      <c r="C471" s="79"/>
      <c r="D471" s="79"/>
      <c r="E471" s="79"/>
      <c r="O471" s="79"/>
      <c r="S471" s="79"/>
      <c r="T471" s="79"/>
      <c r="Y471" s="79"/>
      <c r="AE471" s="130"/>
      <c r="AG471" s="106"/>
    </row>
    <row r="472">
      <c r="C472" s="79"/>
      <c r="D472" s="79"/>
      <c r="E472" s="79"/>
      <c r="O472" s="79"/>
      <c r="S472" s="79"/>
      <c r="T472" s="79"/>
      <c r="Y472" s="79"/>
      <c r="AE472" s="130"/>
      <c r="AG472" s="106"/>
    </row>
    <row r="473">
      <c r="C473" s="79"/>
      <c r="D473" s="79"/>
      <c r="E473" s="79"/>
      <c r="O473" s="79"/>
      <c r="S473" s="79"/>
      <c r="T473" s="79"/>
      <c r="Y473" s="79"/>
      <c r="AE473" s="130"/>
      <c r="AG473" s="106"/>
    </row>
    <row r="474">
      <c r="C474" s="79"/>
      <c r="D474" s="79"/>
      <c r="E474" s="79"/>
      <c r="O474" s="79"/>
      <c r="S474" s="79"/>
      <c r="T474" s="79"/>
      <c r="Y474" s="79"/>
      <c r="AE474" s="130"/>
      <c r="AG474" s="106"/>
    </row>
    <row r="475">
      <c r="C475" s="79"/>
      <c r="D475" s="79"/>
      <c r="E475" s="79"/>
      <c r="O475" s="79"/>
      <c r="S475" s="79"/>
      <c r="T475" s="79"/>
      <c r="Y475" s="79"/>
      <c r="AE475" s="130"/>
      <c r="AG475" s="106"/>
    </row>
    <row r="476">
      <c r="C476" s="79"/>
      <c r="D476" s="79"/>
      <c r="E476" s="79"/>
      <c r="O476" s="79"/>
      <c r="S476" s="79"/>
      <c r="T476" s="79"/>
      <c r="Y476" s="79"/>
      <c r="AE476" s="130"/>
      <c r="AG476" s="106"/>
    </row>
    <row r="477">
      <c r="C477" s="79"/>
      <c r="D477" s="79"/>
      <c r="E477" s="79"/>
      <c r="O477" s="79"/>
      <c r="S477" s="79"/>
      <c r="T477" s="79"/>
      <c r="Y477" s="79"/>
      <c r="AE477" s="130"/>
      <c r="AG477" s="106"/>
    </row>
    <row r="478">
      <c r="C478" s="79"/>
      <c r="D478" s="79"/>
      <c r="E478" s="79"/>
      <c r="O478" s="79"/>
      <c r="S478" s="79"/>
      <c r="T478" s="79"/>
      <c r="Y478" s="79"/>
      <c r="AE478" s="130"/>
      <c r="AG478" s="106"/>
    </row>
    <row r="479">
      <c r="C479" s="79"/>
      <c r="D479" s="79"/>
      <c r="E479" s="79"/>
      <c r="O479" s="79"/>
      <c r="S479" s="79"/>
      <c r="T479" s="79"/>
      <c r="Y479" s="79"/>
      <c r="AE479" s="130"/>
      <c r="AG479" s="106"/>
    </row>
    <row r="480">
      <c r="C480" s="79"/>
      <c r="D480" s="79"/>
      <c r="E480" s="79"/>
      <c r="O480" s="79"/>
      <c r="S480" s="79"/>
      <c r="T480" s="79"/>
      <c r="Y480" s="79"/>
      <c r="AE480" s="130"/>
      <c r="AG480" s="106"/>
    </row>
    <row r="481">
      <c r="C481" s="79"/>
      <c r="D481" s="79"/>
      <c r="E481" s="79"/>
      <c r="O481" s="79"/>
      <c r="S481" s="79"/>
      <c r="T481" s="79"/>
      <c r="Y481" s="79"/>
      <c r="AE481" s="130"/>
      <c r="AG481" s="106"/>
    </row>
    <row r="482">
      <c r="C482" s="79"/>
      <c r="D482" s="79"/>
      <c r="E482" s="79"/>
      <c r="O482" s="79"/>
      <c r="S482" s="79"/>
      <c r="T482" s="79"/>
      <c r="Y482" s="79"/>
      <c r="AE482" s="130"/>
      <c r="AG482" s="106"/>
    </row>
    <row r="483">
      <c r="C483" s="79"/>
      <c r="D483" s="79"/>
      <c r="E483" s="79"/>
      <c r="O483" s="79"/>
      <c r="S483" s="79"/>
      <c r="T483" s="79"/>
      <c r="Y483" s="79"/>
      <c r="AE483" s="130"/>
      <c r="AG483" s="106"/>
    </row>
    <row r="484">
      <c r="C484" s="79"/>
      <c r="D484" s="79"/>
      <c r="E484" s="79"/>
      <c r="O484" s="79"/>
      <c r="S484" s="79"/>
      <c r="T484" s="79"/>
      <c r="Y484" s="79"/>
      <c r="AE484" s="130"/>
      <c r="AG484" s="106"/>
    </row>
    <row r="485">
      <c r="C485" s="79"/>
      <c r="D485" s="79"/>
      <c r="E485" s="79"/>
      <c r="O485" s="79"/>
      <c r="S485" s="79"/>
      <c r="T485" s="79"/>
      <c r="Y485" s="79"/>
      <c r="AE485" s="130"/>
      <c r="AG485" s="106"/>
    </row>
    <row r="486">
      <c r="C486" s="79"/>
      <c r="D486" s="79"/>
      <c r="E486" s="79"/>
      <c r="O486" s="79"/>
      <c r="S486" s="79"/>
      <c r="T486" s="79"/>
      <c r="Y486" s="79"/>
      <c r="AE486" s="130"/>
      <c r="AG486" s="106"/>
    </row>
    <row r="487">
      <c r="C487" s="79"/>
      <c r="D487" s="79"/>
      <c r="E487" s="79"/>
      <c r="O487" s="79"/>
      <c r="S487" s="79"/>
      <c r="T487" s="79"/>
      <c r="Y487" s="79"/>
      <c r="AE487" s="130"/>
      <c r="AG487" s="106"/>
    </row>
    <row r="488">
      <c r="C488" s="79"/>
      <c r="D488" s="79"/>
      <c r="E488" s="79"/>
      <c r="O488" s="79"/>
      <c r="S488" s="79"/>
      <c r="T488" s="79"/>
      <c r="Y488" s="79"/>
      <c r="AE488" s="130"/>
      <c r="AG488" s="106"/>
    </row>
    <row r="489">
      <c r="C489" s="79"/>
      <c r="D489" s="79"/>
      <c r="E489" s="79"/>
      <c r="O489" s="79"/>
      <c r="S489" s="79"/>
      <c r="T489" s="79"/>
      <c r="Y489" s="79"/>
      <c r="AE489" s="130"/>
      <c r="AG489" s="106"/>
    </row>
    <row r="490">
      <c r="C490" s="79"/>
      <c r="D490" s="79"/>
      <c r="E490" s="79"/>
      <c r="O490" s="79"/>
      <c r="S490" s="79"/>
      <c r="T490" s="79"/>
      <c r="Y490" s="79"/>
      <c r="AE490" s="130"/>
      <c r="AG490" s="106"/>
    </row>
    <row r="491">
      <c r="C491" s="79"/>
      <c r="D491" s="79"/>
      <c r="E491" s="79"/>
      <c r="O491" s="79"/>
      <c r="S491" s="79"/>
      <c r="T491" s="79"/>
      <c r="Y491" s="79"/>
      <c r="AE491" s="130"/>
      <c r="AG491" s="106"/>
    </row>
    <row r="492">
      <c r="C492" s="79"/>
      <c r="D492" s="79"/>
      <c r="E492" s="79"/>
      <c r="O492" s="79"/>
      <c r="S492" s="79"/>
      <c r="T492" s="79"/>
      <c r="Y492" s="79"/>
      <c r="AE492" s="130"/>
      <c r="AG492" s="106"/>
    </row>
    <row r="493">
      <c r="C493" s="79"/>
      <c r="D493" s="79"/>
      <c r="E493" s="79"/>
      <c r="O493" s="79"/>
      <c r="S493" s="79"/>
      <c r="T493" s="79"/>
      <c r="Y493" s="79"/>
      <c r="AE493" s="130"/>
      <c r="AG493" s="106"/>
    </row>
    <row r="494">
      <c r="C494" s="79"/>
      <c r="D494" s="79"/>
      <c r="E494" s="79"/>
      <c r="O494" s="79"/>
      <c r="S494" s="79"/>
      <c r="T494" s="79"/>
      <c r="Y494" s="79"/>
      <c r="AE494" s="130"/>
      <c r="AG494" s="106"/>
    </row>
    <row r="495">
      <c r="C495" s="79"/>
      <c r="D495" s="79"/>
      <c r="E495" s="79"/>
      <c r="O495" s="79"/>
      <c r="S495" s="79"/>
      <c r="T495" s="79"/>
      <c r="Y495" s="79"/>
      <c r="AE495" s="130"/>
      <c r="AG495" s="106"/>
    </row>
    <row r="496">
      <c r="C496" s="79"/>
      <c r="D496" s="79"/>
      <c r="E496" s="79"/>
      <c r="O496" s="79"/>
      <c r="S496" s="79"/>
      <c r="T496" s="79"/>
      <c r="Y496" s="79"/>
      <c r="AE496" s="130"/>
      <c r="AG496" s="106"/>
    </row>
    <row r="497">
      <c r="C497" s="79"/>
      <c r="D497" s="79"/>
      <c r="E497" s="79"/>
      <c r="O497" s="79"/>
      <c r="S497" s="79"/>
      <c r="T497" s="79"/>
      <c r="Y497" s="79"/>
      <c r="AE497" s="130"/>
      <c r="AG497" s="106"/>
    </row>
    <row r="498">
      <c r="C498" s="79"/>
      <c r="D498" s="79"/>
      <c r="E498" s="79"/>
      <c r="O498" s="79"/>
      <c r="S498" s="79"/>
      <c r="T498" s="79"/>
      <c r="Y498" s="79"/>
      <c r="AE498" s="130"/>
      <c r="AG498" s="106"/>
    </row>
    <row r="499">
      <c r="C499" s="79"/>
      <c r="D499" s="79"/>
      <c r="E499" s="79"/>
      <c r="O499" s="79"/>
      <c r="S499" s="79"/>
      <c r="T499" s="79"/>
      <c r="Y499" s="79"/>
      <c r="AE499" s="130"/>
      <c r="AG499" s="106"/>
    </row>
    <row r="500">
      <c r="C500" s="79"/>
      <c r="D500" s="79"/>
      <c r="E500" s="79"/>
      <c r="O500" s="79"/>
      <c r="S500" s="79"/>
      <c r="T500" s="79"/>
      <c r="Y500" s="79"/>
      <c r="AE500" s="130"/>
      <c r="AG500" s="106"/>
    </row>
    <row r="501">
      <c r="C501" s="79"/>
      <c r="D501" s="79"/>
      <c r="E501" s="79"/>
      <c r="O501" s="79"/>
      <c r="S501" s="79"/>
      <c r="T501" s="79"/>
      <c r="Y501" s="79"/>
      <c r="AE501" s="130"/>
      <c r="AG501" s="106"/>
    </row>
    <row r="502">
      <c r="C502" s="79"/>
      <c r="D502" s="79"/>
      <c r="E502" s="79"/>
      <c r="O502" s="79"/>
      <c r="S502" s="79"/>
      <c r="T502" s="79"/>
      <c r="Y502" s="79"/>
      <c r="AE502" s="130"/>
      <c r="AG502" s="106"/>
    </row>
    <row r="503">
      <c r="C503" s="79"/>
      <c r="D503" s="79"/>
      <c r="E503" s="79"/>
      <c r="O503" s="79"/>
      <c r="S503" s="79"/>
      <c r="T503" s="79"/>
      <c r="Y503" s="79"/>
      <c r="AE503" s="130"/>
      <c r="AG503" s="106"/>
    </row>
    <row r="504">
      <c r="C504" s="79"/>
      <c r="D504" s="79"/>
      <c r="E504" s="79"/>
      <c r="O504" s="79"/>
      <c r="S504" s="79"/>
      <c r="T504" s="79"/>
      <c r="Y504" s="79"/>
      <c r="AE504" s="130"/>
      <c r="AG504" s="106"/>
    </row>
    <row r="505">
      <c r="C505" s="79"/>
      <c r="D505" s="79"/>
      <c r="E505" s="79"/>
      <c r="O505" s="79"/>
      <c r="S505" s="79"/>
      <c r="T505" s="79"/>
      <c r="Y505" s="79"/>
      <c r="AE505" s="130"/>
      <c r="AG505" s="106"/>
    </row>
    <row r="506">
      <c r="C506" s="79"/>
      <c r="D506" s="79"/>
      <c r="E506" s="79"/>
      <c r="O506" s="79"/>
      <c r="S506" s="79"/>
      <c r="T506" s="79"/>
      <c r="Y506" s="79"/>
      <c r="AE506" s="130"/>
      <c r="AG506" s="106"/>
    </row>
    <row r="507">
      <c r="C507" s="79"/>
      <c r="D507" s="79"/>
      <c r="E507" s="79"/>
      <c r="O507" s="79"/>
      <c r="S507" s="79"/>
      <c r="T507" s="79"/>
      <c r="Y507" s="79"/>
      <c r="AE507" s="130"/>
      <c r="AG507" s="106"/>
    </row>
    <row r="508">
      <c r="C508" s="79"/>
      <c r="D508" s="79"/>
      <c r="E508" s="79"/>
      <c r="O508" s="79"/>
      <c r="S508" s="79"/>
      <c r="T508" s="79"/>
      <c r="Y508" s="79"/>
      <c r="AE508" s="130"/>
      <c r="AG508" s="106"/>
    </row>
    <row r="509">
      <c r="C509" s="79"/>
      <c r="D509" s="79"/>
      <c r="E509" s="79"/>
      <c r="O509" s="79"/>
      <c r="S509" s="79"/>
      <c r="T509" s="79"/>
      <c r="Y509" s="79"/>
      <c r="AE509" s="130"/>
      <c r="AG509" s="106"/>
    </row>
    <row r="510">
      <c r="C510" s="79"/>
      <c r="D510" s="79"/>
      <c r="E510" s="79"/>
      <c r="O510" s="79"/>
      <c r="S510" s="79"/>
      <c r="T510" s="79"/>
      <c r="Y510" s="79"/>
      <c r="AE510" s="130"/>
      <c r="AG510" s="106"/>
    </row>
    <row r="511">
      <c r="C511" s="79"/>
      <c r="D511" s="79"/>
      <c r="E511" s="79"/>
      <c r="O511" s="79"/>
      <c r="S511" s="79"/>
      <c r="T511" s="79"/>
      <c r="Y511" s="79"/>
      <c r="AE511" s="130"/>
      <c r="AG511" s="106"/>
    </row>
    <row r="512">
      <c r="C512" s="79"/>
      <c r="D512" s="79"/>
      <c r="E512" s="79"/>
      <c r="O512" s="79"/>
      <c r="S512" s="79"/>
      <c r="T512" s="79"/>
      <c r="Y512" s="79"/>
      <c r="AE512" s="130"/>
      <c r="AG512" s="106"/>
    </row>
    <row r="513">
      <c r="C513" s="79"/>
      <c r="D513" s="79"/>
      <c r="E513" s="79"/>
      <c r="O513" s="79"/>
      <c r="S513" s="79"/>
      <c r="T513" s="79"/>
      <c r="Y513" s="79"/>
      <c r="AE513" s="130"/>
      <c r="AG513" s="106"/>
    </row>
    <row r="514">
      <c r="C514" s="79"/>
      <c r="D514" s="79"/>
      <c r="E514" s="79"/>
      <c r="O514" s="79"/>
      <c r="S514" s="79"/>
      <c r="T514" s="79"/>
      <c r="Y514" s="79"/>
      <c r="AE514" s="130"/>
      <c r="AG514" s="106"/>
    </row>
    <row r="515">
      <c r="C515" s="79"/>
      <c r="D515" s="79"/>
      <c r="E515" s="79"/>
      <c r="O515" s="79"/>
      <c r="S515" s="79"/>
      <c r="T515" s="79"/>
      <c r="Y515" s="79"/>
      <c r="AE515" s="130"/>
      <c r="AG515" s="106"/>
    </row>
    <row r="516">
      <c r="C516" s="79"/>
      <c r="D516" s="79"/>
      <c r="E516" s="79"/>
      <c r="O516" s="79"/>
      <c r="S516" s="79"/>
      <c r="T516" s="79"/>
      <c r="Y516" s="79"/>
      <c r="AE516" s="130"/>
      <c r="AG516" s="106"/>
    </row>
    <row r="517">
      <c r="C517" s="79"/>
      <c r="D517" s="79"/>
      <c r="E517" s="79"/>
      <c r="O517" s="79"/>
      <c r="S517" s="79"/>
      <c r="T517" s="79"/>
      <c r="Y517" s="79"/>
      <c r="AE517" s="130"/>
      <c r="AG517" s="106"/>
    </row>
    <row r="518">
      <c r="C518" s="79"/>
      <c r="D518" s="79"/>
      <c r="E518" s="79"/>
      <c r="O518" s="79"/>
      <c r="S518" s="79"/>
      <c r="T518" s="79"/>
      <c r="Y518" s="79"/>
      <c r="AE518" s="130"/>
      <c r="AG518" s="106"/>
    </row>
    <row r="519">
      <c r="C519" s="79"/>
      <c r="D519" s="79"/>
      <c r="E519" s="79"/>
      <c r="O519" s="79"/>
      <c r="S519" s="79"/>
      <c r="T519" s="79"/>
      <c r="Y519" s="79"/>
      <c r="AE519" s="130"/>
      <c r="AG519" s="106"/>
    </row>
    <row r="520">
      <c r="C520" s="79"/>
      <c r="D520" s="79"/>
      <c r="E520" s="79"/>
      <c r="O520" s="79"/>
      <c r="S520" s="79"/>
      <c r="T520" s="79"/>
      <c r="Y520" s="79"/>
      <c r="AE520" s="130"/>
      <c r="AG520" s="106"/>
    </row>
    <row r="521">
      <c r="C521" s="79"/>
      <c r="D521" s="79"/>
      <c r="E521" s="79"/>
      <c r="O521" s="79"/>
      <c r="S521" s="79"/>
      <c r="T521" s="79"/>
      <c r="Y521" s="79"/>
      <c r="AE521" s="130"/>
      <c r="AG521" s="106"/>
    </row>
    <row r="522">
      <c r="C522" s="79"/>
      <c r="D522" s="79"/>
      <c r="E522" s="79"/>
      <c r="O522" s="79"/>
      <c r="S522" s="79"/>
      <c r="T522" s="79"/>
      <c r="Y522" s="79"/>
      <c r="AE522" s="130"/>
      <c r="AG522" s="106"/>
    </row>
    <row r="523">
      <c r="C523" s="79"/>
      <c r="D523" s="79"/>
      <c r="E523" s="79"/>
      <c r="O523" s="79"/>
      <c r="S523" s="79"/>
      <c r="T523" s="79"/>
      <c r="Y523" s="79"/>
      <c r="AE523" s="130"/>
      <c r="AG523" s="106"/>
    </row>
    <row r="524">
      <c r="C524" s="79"/>
      <c r="D524" s="79"/>
      <c r="E524" s="79"/>
      <c r="O524" s="79"/>
      <c r="S524" s="79"/>
      <c r="T524" s="79"/>
      <c r="Y524" s="79"/>
      <c r="AE524" s="130"/>
      <c r="AG524" s="106"/>
    </row>
    <row r="525">
      <c r="C525" s="79"/>
      <c r="D525" s="79"/>
      <c r="E525" s="79"/>
      <c r="O525" s="79"/>
      <c r="S525" s="79"/>
      <c r="T525" s="79"/>
      <c r="Y525" s="79"/>
      <c r="AE525" s="130"/>
      <c r="AG525" s="106"/>
    </row>
    <row r="526">
      <c r="C526" s="79"/>
      <c r="D526" s="79"/>
      <c r="E526" s="79"/>
      <c r="O526" s="79"/>
      <c r="S526" s="79"/>
      <c r="T526" s="79"/>
      <c r="Y526" s="79"/>
      <c r="AE526" s="130"/>
      <c r="AG526" s="106"/>
    </row>
    <row r="527">
      <c r="C527" s="79"/>
      <c r="D527" s="79"/>
      <c r="E527" s="79"/>
      <c r="O527" s="79"/>
      <c r="S527" s="79"/>
      <c r="T527" s="79"/>
      <c r="Y527" s="79"/>
      <c r="AE527" s="130"/>
      <c r="AG527" s="106"/>
    </row>
    <row r="528">
      <c r="C528" s="79"/>
      <c r="D528" s="79"/>
      <c r="E528" s="79"/>
      <c r="O528" s="79"/>
      <c r="S528" s="79"/>
      <c r="T528" s="79"/>
      <c r="Y528" s="79"/>
      <c r="AE528" s="130"/>
      <c r="AG528" s="106"/>
    </row>
    <row r="529">
      <c r="C529" s="79"/>
      <c r="D529" s="79"/>
      <c r="E529" s="79"/>
      <c r="O529" s="79"/>
      <c r="S529" s="79"/>
      <c r="T529" s="79"/>
      <c r="Y529" s="79"/>
      <c r="AE529" s="130"/>
      <c r="AG529" s="106"/>
    </row>
    <row r="530">
      <c r="C530" s="79"/>
      <c r="D530" s="79"/>
      <c r="E530" s="79"/>
      <c r="O530" s="79"/>
      <c r="S530" s="79"/>
      <c r="T530" s="79"/>
      <c r="Y530" s="79"/>
      <c r="AE530" s="130"/>
      <c r="AG530" s="106"/>
    </row>
    <row r="531">
      <c r="C531" s="79"/>
      <c r="D531" s="79"/>
      <c r="E531" s="79"/>
      <c r="O531" s="79"/>
      <c r="S531" s="79"/>
      <c r="T531" s="79"/>
      <c r="Y531" s="79"/>
      <c r="AE531" s="130"/>
      <c r="AG531" s="106"/>
    </row>
    <row r="532">
      <c r="C532" s="79"/>
      <c r="D532" s="79"/>
      <c r="E532" s="79"/>
      <c r="O532" s="79"/>
      <c r="S532" s="79"/>
      <c r="T532" s="79"/>
      <c r="Y532" s="79"/>
      <c r="AE532" s="130"/>
      <c r="AG532" s="106"/>
    </row>
    <row r="533">
      <c r="C533" s="79"/>
      <c r="D533" s="79"/>
      <c r="E533" s="79"/>
      <c r="O533" s="79"/>
      <c r="S533" s="79"/>
      <c r="T533" s="79"/>
      <c r="Y533" s="79"/>
      <c r="AE533" s="130"/>
      <c r="AG533" s="106"/>
    </row>
    <row r="534">
      <c r="C534" s="79"/>
      <c r="D534" s="79"/>
      <c r="E534" s="79"/>
      <c r="O534" s="79"/>
      <c r="S534" s="79"/>
      <c r="T534" s="79"/>
      <c r="Y534" s="79"/>
      <c r="AE534" s="130"/>
      <c r="AG534" s="106"/>
    </row>
    <row r="535">
      <c r="C535" s="79"/>
      <c r="D535" s="79"/>
      <c r="E535" s="79"/>
      <c r="O535" s="79"/>
      <c r="S535" s="79"/>
      <c r="T535" s="79"/>
      <c r="Y535" s="79"/>
      <c r="AE535" s="130"/>
      <c r="AG535" s="106"/>
    </row>
    <row r="536">
      <c r="C536" s="79"/>
      <c r="D536" s="79"/>
      <c r="E536" s="79"/>
      <c r="O536" s="79"/>
      <c r="S536" s="79"/>
      <c r="T536" s="79"/>
      <c r="Y536" s="79"/>
      <c r="AE536" s="130"/>
      <c r="AG536" s="106"/>
    </row>
    <row r="537">
      <c r="C537" s="79"/>
      <c r="D537" s="79"/>
      <c r="E537" s="79"/>
      <c r="O537" s="79"/>
      <c r="S537" s="79"/>
      <c r="T537" s="79"/>
      <c r="Y537" s="79"/>
      <c r="AE537" s="130"/>
      <c r="AG537" s="106"/>
    </row>
    <row r="538">
      <c r="C538" s="79"/>
      <c r="D538" s="79"/>
      <c r="E538" s="79"/>
      <c r="O538" s="79"/>
      <c r="S538" s="79"/>
      <c r="T538" s="79"/>
      <c r="Y538" s="79"/>
      <c r="AE538" s="130"/>
      <c r="AG538" s="106"/>
    </row>
    <row r="539">
      <c r="C539" s="79"/>
      <c r="D539" s="79"/>
      <c r="E539" s="79"/>
      <c r="O539" s="79"/>
      <c r="S539" s="79"/>
      <c r="T539" s="79"/>
      <c r="Y539" s="79"/>
      <c r="AE539" s="130"/>
      <c r="AG539" s="106"/>
    </row>
    <row r="540">
      <c r="C540" s="79"/>
      <c r="D540" s="79"/>
      <c r="E540" s="79"/>
      <c r="O540" s="79"/>
      <c r="S540" s="79"/>
      <c r="T540" s="79"/>
      <c r="Y540" s="79"/>
      <c r="AE540" s="130"/>
      <c r="AG540" s="106"/>
    </row>
    <row r="541">
      <c r="C541" s="79"/>
      <c r="D541" s="79"/>
      <c r="E541" s="79"/>
      <c r="O541" s="79"/>
      <c r="S541" s="79"/>
      <c r="T541" s="79"/>
      <c r="Y541" s="79"/>
      <c r="AE541" s="130"/>
      <c r="AG541" s="106"/>
    </row>
    <row r="542">
      <c r="C542" s="79"/>
      <c r="D542" s="79"/>
      <c r="E542" s="79"/>
      <c r="O542" s="79"/>
      <c r="S542" s="79"/>
      <c r="T542" s="79"/>
      <c r="Y542" s="79"/>
      <c r="AE542" s="130"/>
      <c r="AG542" s="106"/>
    </row>
    <row r="543">
      <c r="C543" s="79"/>
      <c r="D543" s="79"/>
      <c r="E543" s="79"/>
      <c r="O543" s="79"/>
      <c r="S543" s="79"/>
      <c r="T543" s="79"/>
      <c r="Y543" s="79"/>
      <c r="AE543" s="130"/>
      <c r="AG543" s="106"/>
    </row>
    <row r="544">
      <c r="C544" s="79"/>
      <c r="D544" s="79"/>
      <c r="E544" s="79"/>
      <c r="O544" s="79"/>
      <c r="S544" s="79"/>
      <c r="T544" s="79"/>
      <c r="Y544" s="79"/>
      <c r="AE544" s="130"/>
      <c r="AG544" s="106"/>
    </row>
    <row r="545">
      <c r="C545" s="79"/>
      <c r="D545" s="79"/>
      <c r="E545" s="79"/>
      <c r="O545" s="79"/>
      <c r="S545" s="79"/>
      <c r="T545" s="79"/>
      <c r="Y545" s="79"/>
      <c r="AE545" s="130"/>
      <c r="AG545" s="106"/>
    </row>
    <row r="546">
      <c r="C546" s="79"/>
      <c r="D546" s="79"/>
      <c r="E546" s="79"/>
      <c r="O546" s="79"/>
      <c r="S546" s="79"/>
      <c r="T546" s="79"/>
      <c r="Y546" s="79"/>
      <c r="AE546" s="130"/>
      <c r="AG546" s="106"/>
    </row>
    <row r="547">
      <c r="C547" s="79"/>
      <c r="D547" s="79"/>
      <c r="E547" s="79"/>
      <c r="O547" s="79"/>
      <c r="S547" s="79"/>
      <c r="T547" s="79"/>
      <c r="Y547" s="79"/>
      <c r="AE547" s="130"/>
      <c r="AG547" s="106"/>
    </row>
    <row r="548">
      <c r="C548" s="79"/>
      <c r="D548" s="79"/>
      <c r="E548" s="79"/>
      <c r="O548" s="79"/>
      <c r="S548" s="79"/>
      <c r="T548" s="79"/>
      <c r="Y548" s="79"/>
      <c r="AE548" s="130"/>
      <c r="AG548" s="106"/>
    </row>
    <row r="549">
      <c r="C549" s="79"/>
      <c r="D549" s="79"/>
      <c r="E549" s="79"/>
      <c r="O549" s="79"/>
      <c r="S549" s="79"/>
      <c r="T549" s="79"/>
      <c r="Y549" s="79"/>
      <c r="AE549" s="130"/>
      <c r="AG549" s="106"/>
    </row>
    <row r="550">
      <c r="C550" s="79"/>
      <c r="D550" s="79"/>
      <c r="E550" s="79"/>
      <c r="O550" s="79"/>
      <c r="S550" s="79"/>
      <c r="T550" s="79"/>
      <c r="Y550" s="79"/>
      <c r="AE550" s="130"/>
      <c r="AG550" s="106"/>
    </row>
    <row r="551">
      <c r="C551" s="79"/>
      <c r="D551" s="79"/>
      <c r="E551" s="79"/>
      <c r="O551" s="79"/>
      <c r="S551" s="79"/>
      <c r="T551" s="79"/>
      <c r="Y551" s="79"/>
      <c r="AE551" s="130"/>
      <c r="AG551" s="106"/>
    </row>
    <row r="552">
      <c r="C552" s="79"/>
      <c r="D552" s="79"/>
      <c r="E552" s="79"/>
      <c r="O552" s="79"/>
      <c r="S552" s="79"/>
      <c r="T552" s="79"/>
      <c r="Y552" s="79"/>
      <c r="AE552" s="130"/>
      <c r="AG552" s="106"/>
    </row>
    <row r="553">
      <c r="C553" s="79"/>
      <c r="D553" s="79"/>
      <c r="E553" s="79"/>
      <c r="O553" s="79"/>
      <c r="S553" s="79"/>
      <c r="T553" s="79"/>
      <c r="Y553" s="79"/>
      <c r="AE553" s="130"/>
      <c r="AG553" s="106"/>
    </row>
    <row r="554">
      <c r="C554" s="79"/>
      <c r="D554" s="79"/>
      <c r="E554" s="79"/>
      <c r="O554" s="79"/>
      <c r="S554" s="79"/>
      <c r="T554" s="79"/>
      <c r="Y554" s="79"/>
      <c r="AE554" s="130"/>
      <c r="AG554" s="106"/>
    </row>
    <row r="555">
      <c r="C555" s="79"/>
      <c r="D555" s="79"/>
      <c r="E555" s="79"/>
      <c r="O555" s="79"/>
      <c r="S555" s="79"/>
      <c r="T555" s="79"/>
      <c r="Y555" s="79"/>
      <c r="AE555" s="130"/>
      <c r="AG555" s="106"/>
    </row>
    <row r="556">
      <c r="C556" s="79"/>
      <c r="D556" s="79"/>
      <c r="E556" s="79"/>
      <c r="O556" s="79"/>
      <c r="S556" s="79"/>
      <c r="T556" s="79"/>
      <c r="Y556" s="79"/>
      <c r="AE556" s="130"/>
      <c r="AG556" s="106"/>
    </row>
    <row r="557">
      <c r="C557" s="79"/>
      <c r="D557" s="79"/>
      <c r="E557" s="79"/>
      <c r="O557" s="79"/>
      <c r="S557" s="79"/>
      <c r="T557" s="79"/>
      <c r="Y557" s="79"/>
      <c r="AE557" s="130"/>
      <c r="AG557" s="106"/>
    </row>
    <row r="558">
      <c r="C558" s="79"/>
      <c r="D558" s="79"/>
      <c r="E558" s="79"/>
      <c r="O558" s="79"/>
      <c r="S558" s="79"/>
      <c r="T558" s="79"/>
      <c r="Y558" s="79"/>
      <c r="AE558" s="130"/>
      <c r="AG558" s="106"/>
    </row>
    <row r="559">
      <c r="C559" s="79"/>
      <c r="D559" s="79"/>
      <c r="E559" s="79"/>
      <c r="O559" s="79"/>
      <c r="S559" s="79"/>
      <c r="T559" s="79"/>
      <c r="Y559" s="79"/>
      <c r="AE559" s="130"/>
      <c r="AG559" s="106"/>
    </row>
    <row r="560">
      <c r="C560" s="79"/>
      <c r="D560" s="79"/>
      <c r="E560" s="79"/>
      <c r="O560" s="79"/>
      <c r="S560" s="79"/>
      <c r="T560" s="79"/>
      <c r="Y560" s="79"/>
      <c r="AE560" s="130"/>
      <c r="AG560" s="106"/>
    </row>
    <row r="561">
      <c r="C561" s="79"/>
      <c r="D561" s="79"/>
      <c r="E561" s="79"/>
      <c r="O561" s="79"/>
      <c r="S561" s="79"/>
      <c r="T561" s="79"/>
      <c r="Y561" s="79"/>
      <c r="AE561" s="130"/>
      <c r="AG561" s="106"/>
    </row>
    <row r="562">
      <c r="C562" s="79"/>
      <c r="D562" s="79"/>
      <c r="E562" s="79"/>
      <c r="O562" s="79"/>
      <c r="S562" s="79"/>
      <c r="T562" s="79"/>
      <c r="Y562" s="79"/>
      <c r="AE562" s="130"/>
      <c r="AG562" s="106"/>
    </row>
    <row r="563">
      <c r="C563" s="79"/>
      <c r="D563" s="79"/>
      <c r="E563" s="79"/>
      <c r="O563" s="79"/>
      <c r="S563" s="79"/>
      <c r="T563" s="79"/>
      <c r="Y563" s="79"/>
      <c r="AE563" s="130"/>
      <c r="AG563" s="106"/>
    </row>
    <row r="564">
      <c r="C564" s="79"/>
      <c r="D564" s="79"/>
      <c r="E564" s="79"/>
      <c r="O564" s="79"/>
      <c r="S564" s="79"/>
      <c r="T564" s="79"/>
      <c r="Y564" s="79"/>
      <c r="AE564" s="130"/>
      <c r="AG564" s="106"/>
    </row>
    <row r="565">
      <c r="C565" s="79"/>
      <c r="D565" s="79"/>
      <c r="E565" s="79"/>
      <c r="O565" s="79"/>
      <c r="S565" s="79"/>
      <c r="T565" s="79"/>
      <c r="Y565" s="79"/>
      <c r="AE565" s="130"/>
      <c r="AG565" s="106"/>
    </row>
    <row r="566">
      <c r="C566" s="79"/>
      <c r="D566" s="79"/>
      <c r="E566" s="79"/>
      <c r="O566" s="79"/>
      <c r="S566" s="79"/>
      <c r="T566" s="79"/>
      <c r="Y566" s="79"/>
      <c r="AE566" s="130"/>
      <c r="AG566" s="106"/>
    </row>
    <row r="567">
      <c r="C567" s="79"/>
      <c r="D567" s="79"/>
      <c r="E567" s="79"/>
      <c r="O567" s="79"/>
      <c r="S567" s="79"/>
      <c r="T567" s="79"/>
      <c r="Y567" s="79"/>
      <c r="AE567" s="130"/>
      <c r="AG567" s="106"/>
    </row>
    <row r="568">
      <c r="C568" s="79"/>
      <c r="D568" s="79"/>
      <c r="E568" s="79"/>
      <c r="O568" s="79"/>
      <c r="S568" s="79"/>
      <c r="T568" s="79"/>
      <c r="Y568" s="79"/>
      <c r="AE568" s="130"/>
      <c r="AG568" s="106"/>
    </row>
    <row r="569">
      <c r="C569" s="79"/>
      <c r="D569" s="79"/>
      <c r="E569" s="79"/>
      <c r="O569" s="79"/>
      <c r="S569" s="79"/>
      <c r="T569" s="79"/>
      <c r="Y569" s="79"/>
      <c r="AE569" s="130"/>
      <c r="AG569" s="106"/>
    </row>
    <row r="570">
      <c r="C570" s="79"/>
      <c r="D570" s="79"/>
      <c r="E570" s="79"/>
      <c r="O570" s="79"/>
      <c r="S570" s="79"/>
      <c r="T570" s="79"/>
      <c r="Y570" s="79"/>
      <c r="AE570" s="130"/>
      <c r="AG570" s="106"/>
    </row>
    <row r="571">
      <c r="C571" s="79"/>
      <c r="D571" s="79"/>
      <c r="E571" s="79"/>
      <c r="O571" s="79"/>
      <c r="S571" s="79"/>
      <c r="T571" s="79"/>
      <c r="Y571" s="79"/>
      <c r="AE571" s="130"/>
      <c r="AG571" s="106"/>
    </row>
    <row r="572">
      <c r="C572" s="79"/>
      <c r="D572" s="79"/>
      <c r="E572" s="79"/>
      <c r="O572" s="79"/>
      <c r="S572" s="79"/>
      <c r="T572" s="79"/>
      <c r="Y572" s="79"/>
      <c r="AE572" s="130"/>
      <c r="AG572" s="106"/>
    </row>
    <row r="573">
      <c r="C573" s="79"/>
      <c r="D573" s="79"/>
      <c r="E573" s="79"/>
      <c r="O573" s="79"/>
      <c r="S573" s="79"/>
      <c r="T573" s="79"/>
      <c r="Y573" s="79"/>
      <c r="AE573" s="130"/>
      <c r="AG573" s="106"/>
    </row>
    <row r="574">
      <c r="C574" s="79"/>
      <c r="D574" s="79"/>
      <c r="E574" s="79"/>
      <c r="O574" s="79"/>
      <c r="S574" s="79"/>
      <c r="T574" s="79"/>
      <c r="Y574" s="79"/>
      <c r="AE574" s="130"/>
      <c r="AG574" s="106"/>
    </row>
    <row r="575">
      <c r="C575" s="79"/>
      <c r="D575" s="79"/>
      <c r="E575" s="79"/>
      <c r="O575" s="79"/>
      <c r="S575" s="79"/>
      <c r="T575" s="79"/>
      <c r="Y575" s="79"/>
      <c r="AE575" s="130"/>
      <c r="AG575" s="106"/>
    </row>
    <row r="576">
      <c r="C576" s="79"/>
      <c r="D576" s="79"/>
      <c r="E576" s="79"/>
      <c r="O576" s="79"/>
      <c r="S576" s="79"/>
      <c r="T576" s="79"/>
      <c r="Y576" s="79"/>
      <c r="AE576" s="130"/>
      <c r="AG576" s="106"/>
    </row>
    <row r="577">
      <c r="C577" s="79"/>
      <c r="D577" s="79"/>
      <c r="E577" s="79"/>
      <c r="O577" s="79"/>
      <c r="S577" s="79"/>
      <c r="T577" s="79"/>
      <c r="Y577" s="79"/>
      <c r="AE577" s="130"/>
      <c r="AG577" s="106"/>
    </row>
    <row r="578">
      <c r="C578" s="79"/>
      <c r="D578" s="79"/>
      <c r="E578" s="79"/>
      <c r="O578" s="79"/>
      <c r="S578" s="79"/>
      <c r="T578" s="79"/>
      <c r="Y578" s="79"/>
      <c r="AE578" s="130"/>
      <c r="AG578" s="106"/>
    </row>
    <row r="579">
      <c r="C579" s="79"/>
      <c r="D579" s="79"/>
      <c r="E579" s="79"/>
      <c r="O579" s="79"/>
      <c r="S579" s="79"/>
      <c r="T579" s="79"/>
      <c r="Y579" s="79"/>
      <c r="AE579" s="130"/>
      <c r="AG579" s="106"/>
    </row>
    <row r="580">
      <c r="C580" s="79"/>
      <c r="D580" s="79"/>
      <c r="E580" s="79"/>
      <c r="O580" s="79"/>
      <c r="S580" s="79"/>
      <c r="T580" s="79"/>
      <c r="Y580" s="79"/>
      <c r="AE580" s="130"/>
      <c r="AG580" s="106"/>
    </row>
    <row r="581">
      <c r="C581" s="79"/>
      <c r="D581" s="79"/>
      <c r="E581" s="79"/>
      <c r="O581" s="79"/>
      <c r="S581" s="79"/>
      <c r="T581" s="79"/>
      <c r="Y581" s="79"/>
      <c r="AE581" s="130"/>
      <c r="AG581" s="106"/>
    </row>
    <row r="582">
      <c r="C582" s="79"/>
      <c r="D582" s="79"/>
      <c r="E582" s="79"/>
      <c r="O582" s="79"/>
      <c r="S582" s="79"/>
      <c r="T582" s="79"/>
      <c r="Y582" s="79"/>
      <c r="AE582" s="130"/>
      <c r="AG582" s="106"/>
    </row>
    <row r="583">
      <c r="C583" s="79"/>
      <c r="D583" s="79"/>
      <c r="E583" s="79"/>
      <c r="O583" s="79"/>
      <c r="S583" s="79"/>
      <c r="T583" s="79"/>
      <c r="Y583" s="79"/>
      <c r="AE583" s="130"/>
      <c r="AG583" s="106"/>
    </row>
    <row r="584">
      <c r="C584" s="79"/>
      <c r="D584" s="79"/>
      <c r="E584" s="79"/>
      <c r="O584" s="79"/>
      <c r="S584" s="79"/>
      <c r="T584" s="79"/>
      <c r="Y584" s="79"/>
      <c r="AE584" s="130"/>
      <c r="AG584" s="106"/>
    </row>
    <row r="585">
      <c r="C585" s="79"/>
      <c r="D585" s="79"/>
      <c r="E585" s="79"/>
      <c r="O585" s="79"/>
      <c r="S585" s="79"/>
      <c r="T585" s="79"/>
      <c r="Y585" s="79"/>
      <c r="AE585" s="130"/>
      <c r="AG585" s="106"/>
    </row>
    <row r="586">
      <c r="C586" s="79"/>
      <c r="D586" s="79"/>
      <c r="E586" s="79"/>
      <c r="O586" s="79"/>
      <c r="S586" s="79"/>
      <c r="T586" s="79"/>
      <c r="Y586" s="79"/>
      <c r="AE586" s="130"/>
      <c r="AG586" s="106"/>
    </row>
    <row r="587">
      <c r="C587" s="79"/>
      <c r="D587" s="79"/>
      <c r="E587" s="79"/>
      <c r="O587" s="79"/>
      <c r="S587" s="79"/>
      <c r="T587" s="79"/>
      <c r="Y587" s="79"/>
      <c r="AE587" s="130"/>
      <c r="AG587" s="106"/>
    </row>
    <row r="588">
      <c r="C588" s="79"/>
      <c r="D588" s="79"/>
      <c r="E588" s="79"/>
      <c r="O588" s="79"/>
      <c r="S588" s="79"/>
      <c r="T588" s="79"/>
      <c r="Y588" s="79"/>
      <c r="AE588" s="130"/>
      <c r="AG588" s="106"/>
    </row>
    <row r="589">
      <c r="C589" s="79"/>
      <c r="D589" s="79"/>
      <c r="E589" s="79"/>
      <c r="O589" s="79"/>
      <c r="S589" s="79"/>
      <c r="T589" s="79"/>
      <c r="Y589" s="79"/>
      <c r="AE589" s="130"/>
      <c r="AG589" s="106"/>
    </row>
    <row r="590">
      <c r="C590" s="79"/>
      <c r="D590" s="79"/>
      <c r="E590" s="79"/>
      <c r="O590" s="79"/>
      <c r="S590" s="79"/>
      <c r="T590" s="79"/>
      <c r="Y590" s="79"/>
      <c r="AE590" s="130"/>
      <c r="AG590" s="106"/>
    </row>
    <row r="591">
      <c r="C591" s="79"/>
      <c r="D591" s="79"/>
      <c r="E591" s="79"/>
      <c r="O591" s="79"/>
      <c r="S591" s="79"/>
      <c r="T591" s="79"/>
      <c r="Y591" s="79"/>
      <c r="AE591" s="130"/>
      <c r="AG591" s="106"/>
    </row>
    <row r="592">
      <c r="C592" s="79"/>
      <c r="D592" s="79"/>
      <c r="E592" s="79"/>
      <c r="O592" s="79"/>
      <c r="S592" s="79"/>
      <c r="T592" s="79"/>
      <c r="Y592" s="79"/>
      <c r="AE592" s="130"/>
      <c r="AG592" s="106"/>
    </row>
    <row r="593">
      <c r="C593" s="79"/>
      <c r="D593" s="79"/>
      <c r="E593" s="79"/>
      <c r="O593" s="79"/>
      <c r="S593" s="79"/>
      <c r="T593" s="79"/>
      <c r="Y593" s="79"/>
      <c r="AE593" s="130"/>
      <c r="AG593" s="106"/>
    </row>
    <row r="594">
      <c r="C594" s="79"/>
      <c r="D594" s="79"/>
      <c r="E594" s="79"/>
      <c r="O594" s="79"/>
      <c r="S594" s="79"/>
      <c r="T594" s="79"/>
      <c r="Y594" s="79"/>
      <c r="AE594" s="130"/>
      <c r="AG594" s="106"/>
    </row>
    <row r="595">
      <c r="C595" s="79"/>
      <c r="D595" s="79"/>
      <c r="E595" s="79"/>
      <c r="O595" s="79"/>
      <c r="S595" s="79"/>
      <c r="T595" s="79"/>
      <c r="Y595" s="79"/>
      <c r="AE595" s="130"/>
      <c r="AG595" s="106"/>
    </row>
    <row r="596">
      <c r="C596" s="79"/>
      <c r="D596" s="79"/>
      <c r="E596" s="79"/>
      <c r="O596" s="79"/>
      <c r="S596" s="79"/>
      <c r="T596" s="79"/>
      <c r="Y596" s="79"/>
      <c r="AE596" s="130"/>
      <c r="AG596" s="106"/>
    </row>
    <row r="597">
      <c r="C597" s="79"/>
      <c r="D597" s="79"/>
      <c r="E597" s="79"/>
      <c r="O597" s="79"/>
      <c r="S597" s="79"/>
      <c r="T597" s="79"/>
      <c r="Y597" s="79"/>
      <c r="AE597" s="130"/>
      <c r="AG597" s="106"/>
    </row>
    <row r="598">
      <c r="C598" s="79"/>
      <c r="D598" s="79"/>
      <c r="E598" s="79"/>
      <c r="O598" s="79"/>
      <c r="S598" s="79"/>
      <c r="T598" s="79"/>
      <c r="Y598" s="79"/>
      <c r="AE598" s="130"/>
      <c r="AG598" s="106"/>
    </row>
    <row r="599">
      <c r="C599" s="79"/>
      <c r="D599" s="79"/>
      <c r="E599" s="79"/>
      <c r="O599" s="79"/>
      <c r="S599" s="79"/>
      <c r="T599" s="79"/>
      <c r="Y599" s="79"/>
      <c r="AE599" s="130"/>
      <c r="AG599" s="106"/>
    </row>
    <row r="600">
      <c r="C600" s="79"/>
      <c r="D600" s="79"/>
      <c r="E600" s="79"/>
      <c r="O600" s="79"/>
      <c r="S600" s="79"/>
      <c r="T600" s="79"/>
      <c r="Y600" s="79"/>
      <c r="AE600" s="130"/>
      <c r="AG600" s="106"/>
    </row>
    <row r="601">
      <c r="C601" s="79"/>
      <c r="D601" s="79"/>
      <c r="E601" s="79"/>
      <c r="O601" s="79"/>
      <c r="S601" s="79"/>
      <c r="T601" s="79"/>
      <c r="Y601" s="79"/>
      <c r="AE601" s="130"/>
      <c r="AG601" s="106"/>
    </row>
    <row r="602">
      <c r="C602" s="79"/>
      <c r="D602" s="79"/>
      <c r="E602" s="79"/>
      <c r="O602" s="79"/>
      <c r="S602" s="79"/>
      <c r="T602" s="79"/>
      <c r="Y602" s="79"/>
      <c r="AE602" s="130"/>
      <c r="AG602" s="106"/>
    </row>
    <row r="603">
      <c r="C603" s="79"/>
      <c r="D603" s="79"/>
      <c r="E603" s="79"/>
      <c r="O603" s="79"/>
      <c r="S603" s="79"/>
      <c r="T603" s="79"/>
      <c r="Y603" s="79"/>
      <c r="AE603" s="130"/>
      <c r="AG603" s="106"/>
    </row>
    <row r="604">
      <c r="C604" s="79"/>
      <c r="D604" s="79"/>
      <c r="E604" s="79"/>
      <c r="O604" s="79"/>
      <c r="S604" s="79"/>
      <c r="T604" s="79"/>
      <c r="Y604" s="79"/>
      <c r="AE604" s="130"/>
      <c r="AG604" s="106"/>
    </row>
    <row r="605">
      <c r="C605" s="79"/>
      <c r="D605" s="79"/>
      <c r="E605" s="79"/>
      <c r="O605" s="79"/>
      <c r="S605" s="79"/>
      <c r="T605" s="79"/>
      <c r="Y605" s="79"/>
      <c r="AE605" s="130"/>
      <c r="AG605" s="106"/>
    </row>
    <row r="606">
      <c r="C606" s="79"/>
      <c r="D606" s="79"/>
      <c r="E606" s="79"/>
      <c r="O606" s="79"/>
      <c r="S606" s="79"/>
      <c r="T606" s="79"/>
      <c r="Y606" s="79"/>
      <c r="AE606" s="130"/>
      <c r="AG606" s="106"/>
    </row>
    <row r="607">
      <c r="C607" s="79"/>
      <c r="D607" s="79"/>
      <c r="E607" s="79"/>
      <c r="O607" s="79"/>
      <c r="S607" s="79"/>
      <c r="T607" s="79"/>
      <c r="Y607" s="79"/>
      <c r="AE607" s="130"/>
      <c r="AG607" s="106"/>
    </row>
    <row r="608">
      <c r="C608" s="79"/>
      <c r="D608" s="79"/>
      <c r="E608" s="79"/>
      <c r="O608" s="79"/>
      <c r="S608" s="79"/>
      <c r="T608" s="79"/>
      <c r="Y608" s="79"/>
      <c r="AE608" s="130"/>
      <c r="AG608" s="106"/>
    </row>
    <row r="609">
      <c r="C609" s="79"/>
      <c r="D609" s="79"/>
      <c r="E609" s="79"/>
      <c r="O609" s="79"/>
      <c r="S609" s="79"/>
      <c r="T609" s="79"/>
      <c r="Y609" s="79"/>
      <c r="AE609" s="130"/>
      <c r="AG609" s="106"/>
    </row>
    <row r="610">
      <c r="C610" s="79"/>
      <c r="D610" s="79"/>
      <c r="E610" s="79"/>
      <c r="O610" s="79"/>
      <c r="S610" s="79"/>
      <c r="T610" s="79"/>
      <c r="Y610" s="79"/>
      <c r="AE610" s="130"/>
      <c r="AG610" s="106"/>
    </row>
    <row r="611">
      <c r="C611" s="79"/>
      <c r="D611" s="79"/>
      <c r="E611" s="79"/>
      <c r="O611" s="79"/>
      <c r="S611" s="79"/>
      <c r="T611" s="79"/>
      <c r="Y611" s="79"/>
      <c r="AE611" s="130"/>
      <c r="AG611" s="106"/>
    </row>
    <row r="612">
      <c r="C612" s="79"/>
      <c r="D612" s="79"/>
      <c r="E612" s="79"/>
      <c r="O612" s="79"/>
      <c r="S612" s="79"/>
      <c r="T612" s="79"/>
      <c r="Y612" s="79"/>
      <c r="AE612" s="130"/>
      <c r="AG612" s="106"/>
    </row>
    <row r="613">
      <c r="C613" s="79"/>
      <c r="D613" s="79"/>
      <c r="E613" s="79"/>
      <c r="O613" s="79"/>
      <c r="S613" s="79"/>
      <c r="T613" s="79"/>
      <c r="Y613" s="79"/>
      <c r="AE613" s="130"/>
      <c r="AG613" s="106"/>
    </row>
    <row r="614">
      <c r="C614" s="79"/>
      <c r="D614" s="79"/>
      <c r="E614" s="79"/>
      <c r="O614" s="79"/>
      <c r="S614" s="79"/>
      <c r="T614" s="79"/>
      <c r="Y614" s="79"/>
      <c r="AE614" s="130"/>
      <c r="AG614" s="106"/>
    </row>
    <row r="615">
      <c r="C615" s="79"/>
      <c r="D615" s="79"/>
      <c r="E615" s="79"/>
      <c r="O615" s="79"/>
      <c r="S615" s="79"/>
      <c r="T615" s="79"/>
      <c r="Y615" s="79"/>
      <c r="AE615" s="130"/>
      <c r="AG615" s="106"/>
    </row>
    <row r="616">
      <c r="C616" s="79"/>
      <c r="D616" s="79"/>
      <c r="E616" s="79"/>
      <c r="O616" s="79"/>
      <c r="S616" s="79"/>
      <c r="T616" s="79"/>
      <c r="Y616" s="79"/>
      <c r="AE616" s="130"/>
      <c r="AG616" s="106"/>
    </row>
    <row r="617">
      <c r="C617" s="79"/>
      <c r="D617" s="79"/>
      <c r="E617" s="79"/>
      <c r="O617" s="79"/>
      <c r="S617" s="79"/>
      <c r="T617" s="79"/>
      <c r="Y617" s="79"/>
      <c r="AE617" s="130"/>
      <c r="AG617" s="106"/>
    </row>
    <row r="618">
      <c r="C618" s="79"/>
      <c r="D618" s="79"/>
      <c r="E618" s="79"/>
      <c r="O618" s="79"/>
      <c r="S618" s="79"/>
      <c r="T618" s="79"/>
      <c r="Y618" s="79"/>
      <c r="AE618" s="130"/>
      <c r="AG618" s="106"/>
    </row>
    <row r="619">
      <c r="C619" s="79"/>
      <c r="D619" s="79"/>
      <c r="E619" s="79"/>
      <c r="O619" s="79"/>
      <c r="S619" s="79"/>
      <c r="T619" s="79"/>
      <c r="Y619" s="79"/>
      <c r="AE619" s="130"/>
      <c r="AG619" s="106"/>
    </row>
    <row r="620">
      <c r="C620" s="79"/>
      <c r="D620" s="79"/>
      <c r="E620" s="79"/>
      <c r="O620" s="79"/>
      <c r="S620" s="79"/>
      <c r="T620" s="79"/>
      <c r="Y620" s="79"/>
      <c r="AE620" s="130"/>
      <c r="AG620" s="106"/>
    </row>
    <row r="621">
      <c r="C621" s="79"/>
      <c r="D621" s="79"/>
      <c r="E621" s="79"/>
      <c r="O621" s="79"/>
      <c r="S621" s="79"/>
      <c r="T621" s="79"/>
      <c r="Y621" s="79"/>
      <c r="AE621" s="130"/>
      <c r="AG621" s="106"/>
    </row>
    <row r="622">
      <c r="C622" s="79"/>
      <c r="D622" s="79"/>
      <c r="E622" s="79"/>
      <c r="O622" s="79"/>
      <c r="S622" s="79"/>
      <c r="T622" s="79"/>
      <c r="Y622" s="79"/>
      <c r="AE622" s="130"/>
      <c r="AG622" s="106"/>
    </row>
    <row r="623">
      <c r="C623" s="79"/>
      <c r="D623" s="79"/>
      <c r="E623" s="79"/>
      <c r="O623" s="79"/>
      <c r="S623" s="79"/>
      <c r="T623" s="79"/>
      <c r="Y623" s="79"/>
      <c r="AE623" s="130"/>
      <c r="AG623" s="106"/>
    </row>
    <row r="624">
      <c r="C624" s="79"/>
      <c r="D624" s="79"/>
      <c r="E624" s="79"/>
      <c r="O624" s="79"/>
      <c r="S624" s="79"/>
      <c r="T624" s="79"/>
      <c r="Y624" s="79"/>
      <c r="AE624" s="130"/>
      <c r="AG624" s="106"/>
    </row>
    <row r="625">
      <c r="C625" s="79"/>
      <c r="D625" s="79"/>
      <c r="E625" s="79"/>
      <c r="O625" s="79"/>
      <c r="S625" s="79"/>
      <c r="T625" s="79"/>
      <c r="Y625" s="79"/>
      <c r="AE625" s="130"/>
      <c r="AG625" s="106"/>
    </row>
    <row r="626">
      <c r="C626" s="79"/>
      <c r="D626" s="79"/>
      <c r="E626" s="79"/>
      <c r="O626" s="79"/>
      <c r="S626" s="79"/>
      <c r="T626" s="79"/>
      <c r="Y626" s="79"/>
      <c r="AE626" s="130"/>
      <c r="AG626" s="106"/>
    </row>
    <row r="627">
      <c r="C627" s="79"/>
      <c r="D627" s="79"/>
      <c r="E627" s="79"/>
      <c r="O627" s="79"/>
      <c r="S627" s="79"/>
      <c r="T627" s="79"/>
      <c r="Y627" s="79"/>
      <c r="AE627" s="130"/>
      <c r="AG627" s="106"/>
    </row>
    <row r="628">
      <c r="C628" s="79"/>
      <c r="D628" s="79"/>
      <c r="E628" s="79"/>
      <c r="O628" s="79"/>
      <c r="S628" s="79"/>
      <c r="T628" s="79"/>
      <c r="Y628" s="79"/>
      <c r="AE628" s="130"/>
      <c r="AG628" s="106"/>
    </row>
    <row r="629">
      <c r="C629" s="79"/>
      <c r="D629" s="79"/>
      <c r="E629" s="79"/>
      <c r="O629" s="79"/>
      <c r="S629" s="79"/>
      <c r="T629" s="79"/>
      <c r="Y629" s="79"/>
      <c r="AE629" s="130"/>
      <c r="AG629" s="106"/>
    </row>
    <row r="630">
      <c r="C630" s="79"/>
      <c r="D630" s="79"/>
      <c r="E630" s="79"/>
      <c r="O630" s="79"/>
      <c r="S630" s="79"/>
      <c r="T630" s="79"/>
      <c r="Y630" s="79"/>
      <c r="AE630" s="130"/>
      <c r="AG630" s="106"/>
    </row>
    <row r="631">
      <c r="C631" s="79"/>
      <c r="D631" s="79"/>
      <c r="E631" s="79"/>
      <c r="O631" s="79"/>
      <c r="S631" s="79"/>
      <c r="T631" s="79"/>
      <c r="Y631" s="79"/>
      <c r="AE631" s="130"/>
      <c r="AG631" s="106"/>
    </row>
    <row r="632">
      <c r="C632" s="79"/>
      <c r="D632" s="79"/>
      <c r="E632" s="79"/>
      <c r="O632" s="79"/>
      <c r="S632" s="79"/>
      <c r="T632" s="79"/>
      <c r="Y632" s="79"/>
      <c r="AE632" s="130"/>
      <c r="AG632" s="106"/>
    </row>
    <row r="633">
      <c r="C633" s="79"/>
      <c r="D633" s="79"/>
      <c r="E633" s="79"/>
      <c r="O633" s="79"/>
      <c r="S633" s="79"/>
      <c r="T633" s="79"/>
      <c r="Y633" s="79"/>
      <c r="AE633" s="130"/>
      <c r="AG633" s="106"/>
    </row>
    <row r="634">
      <c r="C634" s="79"/>
      <c r="D634" s="79"/>
      <c r="E634" s="79"/>
      <c r="O634" s="79"/>
      <c r="S634" s="79"/>
      <c r="T634" s="79"/>
      <c r="Y634" s="79"/>
      <c r="AE634" s="130"/>
      <c r="AG634" s="106"/>
    </row>
    <row r="635">
      <c r="C635" s="79"/>
      <c r="D635" s="79"/>
      <c r="E635" s="79"/>
      <c r="O635" s="79"/>
      <c r="S635" s="79"/>
      <c r="T635" s="79"/>
      <c r="Y635" s="79"/>
      <c r="AE635" s="130"/>
      <c r="AG635" s="106"/>
    </row>
    <row r="636">
      <c r="C636" s="79"/>
      <c r="D636" s="79"/>
      <c r="E636" s="79"/>
      <c r="O636" s="79"/>
      <c r="S636" s="79"/>
      <c r="T636" s="79"/>
      <c r="Y636" s="79"/>
      <c r="AE636" s="130"/>
      <c r="AG636" s="106"/>
    </row>
    <row r="637">
      <c r="C637" s="79"/>
      <c r="D637" s="79"/>
      <c r="E637" s="79"/>
      <c r="O637" s="79"/>
      <c r="S637" s="79"/>
      <c r="T637" s="79"/>
      <c r="Y637" s="79"/>
      <c r="AE637" s="130"/>
      <c r="AG637" s="106"/>
    </row>
    <row r="638">
      <c r="C638" s="79"/>
      <c r="D638" s="79"/>
      <c r="E638" s="79"/>
      <c r="O638" s="79"/>
      <c r="S638" s="79"/>
      <c r="T638" s="79"/>
      <c r="Y638" s="79"/>
      <c r="AE638" s="130"/>
      <c r="AG638" s="106"/>
    </row>
    <row r="639">
      <c r="C639" s="79"/>
      <c r="D639" s="79"/>
      <c r="E639" s="79"/>
      <c r="O639" s="79"/>
      <c r="S639" s="79"/>
      <c r="T639" s="79"/>
      <c r="Y639" s="79"/>
      <c r="AE639" s="130"/>
      <c r="AG639" s="106"/>
    </row>
    <row r="640">
      <c r="C640" s="79"/>
      <c r="D640" s="79"/>
      <c r="E640" s="79"/>
      <c r="O640" s="79"/>
      <c r="S640" s="79"/>
      <c r="T640" s="79"/>
      <c r="Y640" s="79"/>
      <c r="AE640" s="130"/>
      <c r="AG640" s="106"/>
    </row>
    <row r="641">
      <c r="C641" s="79"/>
      <c r="D641" s="79"/>
      <c r="E641" s="79"/>
      <c r="O641" s="79"/>
      <c r="S641" s="79"/>
      <c r="T641" s="79"/>
      <c r="Y641" s="79"/>
      <c r="AE641" s="130"/>
      <c r="AG641" s="106"/>
    </row>
    <row r="642">
      <c r="C642" s="79"/>
      <c r="D642" s="79"/>
      <c r="E642" s="79"/>
      <c r="O642" s="79"/>
      <c r="S642" s="79"/>
      <c r="T642" s="79"/>
      <c r="Y642" s="79"/>
      <c r="AE642" s="130"/>
      <c r="AG642" s="106"/>
    </row>
    <row r="643">
      <c r="C643" s="79"/>
      <c r="D643" s="79"/>
      <c r="E643" s="79"/>
      <c r="O643" s="79"/>
      <c r="S643" s="79"/>
      <c r="T643" s="79"/>
      <c r="Y643" s="79"/>
      <c r="AE643" s="130"/>
      <c r="AG643" s="106"/>
    </row>
    <row r="644">
      <c r="C644" s="79"/>
      <c r="D644" s="79"/>
      <c r="E644" s="79"/>
      <c r="O644" s="79"/>
      <c r="S644" s="79"/>
      <c r="T644" s="79"/>
      <c r="Y644" s="79"/>
      <c r="AE644" s="130"/>
      <c r="AG644" s="106"/>
    </row>
    <row r="645">
      <c r="C645" s="79"/>
      <c r="D645" s="79"/>
      <c r="E645" s="79"/>
      <c r="O645" s="79"/>
      <c r="S645" s="79"/>
      <c r="T645" s="79"/>
      <c r="Y645" s="79"/>
      <c r="AE645" s="130"/>
      <c r="AG645" s="106"/>
    </row>
    <row r="646">
      <c r="C646" s="79"/>
      <c r="D646" s="79"/>
      <c r="E646" s="79"/>
      <c r="O646" s="79"/>
      <c r="S646" s="79"/>
      <c r="T646" s="79"/>
      <c r="Y646" s="79"/>
      <c r="AE646" s="130"/>
      <c r="AG646" s="106"/>
    </row>
    <row r="647">
      <c r="C647" s="79"/>
      <c r="D647" s="79"/>
      <c r="E647" s="79"/>
      <c r="O647" s="79"/>
      <c r="S647" s="79"/>
      <c r="T647" s="79"/>
      <c r="Y647" s="79"/>
      <c r="AE647" s="130"/>
      <c r="AG647" s="106"/>
    </row>
    <row r="648">
      <c r="C648" s="79"/>
      <c r="D648" s="79"/>
      <c r="E648" s="79"/>
      <c r="O648" s="79"/>
      <c r="S648" s="79"/>
      <c r="T648" s="79"/>
      <c r="Y648" s="79"/>
      <c r="AE648" s="130"/>
      <c r="AG648" s="106"/>
    </row>
    <row r="649">
      <c r="C649" s="79"/>
      <c r="D649" s="79"/>
      <c r="E649" s="79"/>
      <c r="O649" s="79"/>
      <c r="S649" s="79"/>
      <c r="T649" s="79"/>
      <c r="Y649" s="79"/>
      <c r="AE649" s="130"/>
      <c r="AG649" s="106"/>
    </row>
    <row r="650">
      <c r="C650" s="79"/>
      <c r="D650" s="79"/>
      <c r="E650" s="79"/>
      <c r="O650" s="79"/>
      <c r="S650" s="79"/>
      <c r="T650" s="79"/>
      <c r="Y650" s="79"/>
      <c r="AE650" s="130"/>
      <c r="AG650" s="106"/>
    </row>
    <row r="651">
      <c r="C651" s="79"/>
      <c r="D651" s="79"/>
      <c r="E651" s="79"/>
      <c r="O651" s="79"/>
      <c r="S651" s="79"/>
      <c r="T651" s="79"/>
      <c r="Y651" s="79"/>
      <c r="AE651" s="130"/>
      <c r="AG651" s="106"/>
    </row>
    <row r="652">
      <c r="C652" s="79"/>
      <c r="D652" s="79"/>
      <c r="E652" s="79"/>
      <c r="O652" s="79"/>
      <c r="S652" s="79"/>
      <c r="T652" s="79"/>
      <c r="Y652" s="79"/>
      <c r="AE652" s="130"/>
      <c r="AG652" s="106"/>
    </row>
    <row r="653">
      <c r="C653" s="79"/>
      <c r="D653" s="79"/>
      <c r="E653" s="79"/>
      <c r="O653" s="79"/>
      <c r="S653" s="79"/>
      <c r="T653" s="79"/>
      <c r="Y653" s="79"/>
      <c r="AE653" s="130"/>
      <c r="AG653" s="106"/>
    </row>
    <row r="654">
      <c r="C654" s="79"/>
      <c r="D654" s="79"/>
      <c r="E654" s="79"/>
      <c r="O654" s="79"/>
      <c r="S654" s="79"/>
      <c r="T654" s="79"/>
      <c r="Y654" s="79"/>
      <c r="AE654" s="130"/>
      <c r="AG654" s="106"/>
    </row>
    <row r="655">
      <c r="C655" s="79"/>
      <c r="D655" s="79"/>
      <c r="E655" s="79"/>
      <c r="O655" s="79"/>
      <c r="S655" s="79"/>
      <c r="T655" s="79"/>
      <c r="Y655" s="79"/>
      <c r="AE655" s="130"/>
      <c r="AG655" s="106"/>
    </row>
    <row r="656">
      <c r="C656" s="79"/>
      <c r="D656" s="79"/>
      <c r="E656" s="79"/>
      <c r="O656" s="79"/>
      <c r="S656" s="79"/>
      <c r="T656" s="79"/>
      <c r="Y656" s="79"/>
      <c r="AE656" s="130"/>
      <c r="AG656" s="106"/>
    </row>
    <row r="657">
      <c r="C657" s="79"/>
      <c r="D657" s="79"/>
      <c r="E657" s="79"/>
      <c r="O657" s="79"/>
      <c r="S657" s="79"/>
      <c r="T657" s="79"/>
      <c r="Y657" s="79"/>
      <c r="AE657" s="130"/>
      <c r="AG657" s="106"/>
    </row>
    <row r="658">
      <c r="C658" s="79"/>
      <c r="D658" s="79"/>
      <c r="E658" s="79"/>
      <c r="O658" s="79"/>
      <c r="S658" s="79"/>
      <c r="T658" s="79"/>
      <c r="Y658" s="79"/>
      <c r="AE658" s="130"/>
      <c r="AG658" s="106"/>
    </row>
    <row r="659">
      <c r="C659" s="79"/>
      <c r="D659" s="79"/>
      <c r="E659" s="79"/>
      <c r="O659" s="79"/>
      <c r="S659" s="79"/>
      <c r="T659" s="79"/>
      <c r="Y659" s="79"/>
      <c r="AE659" s="130"/>
      <c r="AG659" s="106"/>
    </row>
    <row r="660">
      <c r="C660" s="79"/>
      <c r="D660" s="79"/>
      <c r="E660" s="79"/>
      <c r="O660" s="79"/>
      <c r="S660" s="79"/>
      <c r="T660" s="79"/>
      <c r="Y660" s="79"/>
      <c r="AE660" s="130"/>
      <c r="AG660" s="106"/>
    </row>
    <row r="661">
      <c r="C661" s="79"/>
      <c r="D661" s="79"/>
      <c r="E661" s="79"/>
      <c r="O661" s="79"/>
      <c r="S661" s="79"/>
      <c r="T661" s="79"/>
      <c r="Y661" s="79"/>
      <c r="AE661" s="130"/>
      <c r="AG661" s="106"/>
    </row>
    <row r="662">
      <c r="C662" s="79"/>
      <c r="D662" s="79"/>
      <c r="E662" s="79"/>
      <c r="O662" s="79"/>
      <c r="S662" s="79"/>
      <c r="T662" s="79"/>
      <c r="Y662" s="79"/>
      <c r="AE662" s="130"/>
      <c r="AG662" s="106"/>
    </row>
    <row r="663">
      <c r="C663" s="79"/>
      <c r="D663" s="79"/>
      <c r="E663" s="79"/>
      <c r="O663" s="79"/>
      <c r="S663" s="79"/>
      <c r="T663" s="79"/>
      <c r="Y663" s="79"/>
      <c r="AE663" s="130"/>
      <c r="AG663" s="106"/>
    </row>
    <row r="664">
      <c r="C664" s="79"/>
      <c r="D664" s="79"/>
      <c r="E664" s="79"/>
      <c r="O664" s="79"/>
      <c r="S664" s="79"/>
      <c r="T664" s="79"/>
      <c r="Y664" s="79"/>
      <c r="AE664" s="130"/>
      <c r="AG664" s="106"/>
    </row>
    <row r="665">
      <c r="C665" s="79"/>
      <c r="D665" s="79"/>
      <c r="E665" s="79"/>
      <c r="O665" s="79"/>
      <c r="S665" s="79"/>
      <c r="T665" s="79"/>
      <c r="Y665" s="79"/>
      <c r="AE665" s="130"/>
      <c r="AG665" s="106"/>
    </row>
    <row r="666">
      <c r="C666" s="79"/>
      <c r="D666" s="79"/>
      <c r="E666" s="79"/>
      <c r="O666" s="79"/>
      <c r="S666" s="79"/>
      <c r="T666" s="79"/>
      <c r="Y666" s="79"/>
      <c r="AE666" s="130"/>
      <c r="AG666" s="106"/>
    </row>
    <row r="667">
      <c r="C667" s="79"/>
      <c r="D667" s="79"/>
      <c r="E667" s="79"/>
      <c r="O667" s="79"/>
      <c r="S667" s="79"/>
      <c r="T667" s="79"/>
      <c r="Y667" s="79"/>
      <c r="AE667" s="130"/>
      <c r="AG667" s="106"/>
    </row>
    <row r="668">
      <c r="C668" s="79"/>
      <c r="D668" s="79"/>
      <c r="E668" s="79"/>
      <c r="O668" s="79"/>
      <c r="S668" s="79"/>
      <c r="T668" s="79"/>
      <c r="Y668" s="79"/>
      <c r="AE668" s="130"/>
      <c r="AG668" s="106"/>
    </row>
    <row r="669">
      <c r="C669" s="79"/>
      <c r="D669" s="79"/>
      <c r="E669" s="79"/>
      <c r="O669" s="79"/>
      <c r="S669" s="79"/>
      <c r="T669" s="79"/>
      <c r="Y669" s="79"/>
      <c r="AE669" s="130"/>
      <c r="AG669" s="106"/>
    </row>
    <row r="670">
      <c r="C670" s="79"/>
      <c r="D670" s="79"/>
      <c r="E670" s="79"/>
      <c r="O670" s="79"/>
      <c r="S670" s="79"/>
      <c r="T670" s="79"/>
      <c r="Y670" s="79"/>
      <c r="AE670" s="130"/>
      <c r="AG670" s="106"/>
    </row>
    <row r="671">
      <c r="C671" s="79"/>
      <c r="D671" s="79"/>
      <c r="E671" s="79"/>
      <c r="O671" s="79"/>
      <c r="S671" s="79"/>
      <c r="T671" s="79"/>
      <c r="Y671" s="79"/>
      <c r="AE671" s="130"/>
      <c r="AG671" s="106"/>
    </row>
    <row r="672">
      <c r="C672" s="79"/>
      <c r="D672" s="79"/>
      <c r="E672" s="79"/>
      <c r="O672" s="79"/>
      <c r="S672" s="79"/>
      <c r="T672" s="79"/>
      <c r="Y672" s="79"/>
      <c r="AE672" s="130"/>
      <c r="AG672" s="106"/>
    </row>
    <row r="673">
      <c r="C673" s="79"/>
      <c r="D673" s="79"/>
      <c r="E673" s="79"/>
      <c r="O673" s="79"/>
      <c r="S673" s="79"/>
      <c r="T673" s="79"/>
      <c r="Y673" s="79"/>
      <c r="AE673" s="130"/>
      <c r="AG673" s="106"/>
    </row>
    <row r="674">
      <c r="C674" s="79"/>
      <c r="D674" s="79"/>
      <c r="E674" s="79"/>
      <c r="O674" s="79"/>
      <c r="S674" s="79"/>
      <c r="T674" s="79"/>
      <c r="Y674" s="79"/>
      <c r="AE674" s="130"/>
      <c r="AG674" s="106"/>
    </row>
    <row r="675">
      <c r="C675" s="79"/>
      <c r="D675" s="79"/>
      <c r="E675" s="79"/>
      <c r="O675" s="79"/>
      <c r="S675" s="79"/>
      <c r="T675" s="79"/>
      <c r="Y675" s="79"/>
      <c r="AE675" s="130"/>
      <c r="AG675" s="106"/>
    </row>
    <row r="676">
      <c r="C676" s="79"/>
      <c r="D676" s="79"/>
      <c r="E676" s="79"/>
      <c r="O676" s="79"/>
      <c r="S676" s="79"/>
      <c r="T676" s="79"/>
      <c r="Y676" s="79"/>
      <c r="AE676" s="130"/>
      <c r="AG676" s="106"/>
    </row>
    <row r="677">
      <c r="C677" s="79"/>
      <c r="D677" s="79"/>
      <c r="E677" s="79"/>
      <c r="O677" s="79"/>
      <c r="S677" s="79"/>
      <c r="T677" s="79"/>
      <c r="Y677" s="79"/>
      <c r="AE677" s="130"/>
      <c r="AG677" s="106"/>
    </row>
    <row r="678">
      <c r="C678" s="79"/>
      <c r="D678" s="79"/>
      <c r="E678" s="79"/>
      <c r="O678" s="79"/>
      <c r="S678" s="79"/>
      <c r="T678" s="79"/>
      <c r="Y678" s="79"/>
      <c r="AE678" s="130"/>
      <c r="AG678" s="106"/>
    </row>
    <row r="679">
      <c r="C679" s="79"/>
      <c r="D679" s="79"/>
      <c r="E679" s="79"/>
      <c r="O679" s="79"/>
      <c r="S679" s="79"/>
      <c r="T679" s="79"/>
      <c r="Y679" s="79"/>
      <c r="AE679" s="130"/>
      <c r="AG679" s="106"/>
    </row>
    <row r="680">
      <c r="C680" s="79"/>
      <c r="D680" s="79"/>
      <c r="E680" s="79"/>
      <c r="O680" s="79"/>
      <c r="S680" s="79"/>
      <c r="T680" s="79"/>
      <c r="Y680" s="79"/>
      <c r="AE680" s="130"/>
      <c r="AG680" s="106"/>
    </row>
    <row r="681">
      <c r="C681" s="79"/>
      <c r="D681" s="79"/>
      <c r="E681" s="79"/>
      <c r="O681" s="79"/>
      <c r="S681" s="79"/>
      <c r="T681" s="79"/>
      <c r="Y681" s="79"/>
      <c r="AE681" s="130"/>
      <c r="AG681" s="106"/>
    </row>
    <row r="682">
      <c r="C682" s="79"/>
      <c r="D682" s="79"/>
      <c r="E682" s="79"/>
      <c r="O682" s="79"/>
      <c r="S682" s="79"/>
      <c r="T682" s="79"/>
      <c r="Y682" s="79"/>
      <c r="AE682" s="130"/>
      <c r="AG682" s="106"/>
    </row>
    <row r="683">
      <c r="C683" s="79"/>
      <c r="D683" s="79"/>
      <c r="E683" s="79"/>
      <c r="O683" s="79"/>
      <c r="S683" s="79"/>
      <c r="T683" s="79"/>
      <c r="Y683" s="79"/>
      <c r="AE683" s="130"/>
      <c r="AG683" s="106"/>
    </row>
    <row r="684">
      <c r="C684" s="79"/>
      <c r="D684" s="79"/>
      <c r="E684" s="79"/>
      <c r="O684" s="79"/>
      <c r="S684" s="79"/>
      <c r="T684" s="79"/>
      <c r="Y684" s="79"/>
      <c r="AE684" s="130"/>
      <c r="AG684" s="106"/>
    </row>
    <row r="685">
      <c r="C685" s="79"/>
      <c r="D685" s="79"/>
      <c r="E685" s="79"/>
      <c r="O685" s="79"/>
      <c r="S685" s="79"/>
      <c r="T685" s="79"/>
      <c r="Y685" s="79"/>
      <c r="AE685" s="130"/>
      <c r="AG685" s="106"/>
    </row>
    <row r="686">
      <c r="C686" s="79"/>
      <c r="D686" s="79"/>
      <c r="E686" s="79"/>
      <c r="O686" s="79"/>
      <c r="S686" s="79"/>
      <c r="T686" s="79"/>
      <c r="Y686" s="79"/>
      <c r="AE686" s="130"/>
      <c r="AG686" s="106"/>
    </row>
    <row r="687">
      <c r="C687" s="79"/>
      <c r="D687" s="79"/>
      <c r="E687" s="79"/>
      <c r="O687" s="79"/>
      <c r="S687" s="79"/>
      <c r="T687" s="79"/>
      <c r="Y687" s="79"/>
      <c r="AE687" s="130"/>
      <c r="AG687" s="106"/>
    </row>
    <row r="688">
      <c r="C688" s="79"/>
      <c r="D688" s="79"/>
      <c r="E688" s="79"/>
      <c r="O688" s="79"/>
      <c r="S688" s="79"/>
      <c r="T688" s="79"/>
      <c r="Y688" s="79"/>
      <c r="AE688" s="130"/>
      <c r="AG688" s="106"/>
    </row>
    <row r="689">
      <c r="C689" s="79"/>
      <c r="D689" s="79"/>
      <c r="E689" s="79"/>
      <c r="O689" s="79"/>
      <c r="S689" s="79"/>
      <c r="T689" s="79"/>
      <c r="Y689" s="79"/>
      <c r="AE689" s="130"/>
      <c r="AG689" s="106"/>
    </row>
    <row r="690">
      <c r="C690" s="79"/>
      <c r="D690" s="79"/>
      <c r="E690" s="79"/>
      <c r="O690" s="79"/>
      <c r="S690" s="79"/>
      <c r="T690" s="79"/>
      <c r="Y690" s="79"/>
      <c r="AE690" s="130"/>
      <c r="AG690" s="106"/>
    </row>
    <row r="691">
      <c r="C691" s="79"/>
      <c r="D691" s="79"/>
      <c r="E691" s="79"/>
      <c r="O691" s="79"/>
      <c r="S691" s="79"/>
      <c r="T691" s="79"/>
      <c r="Y691" s="79"/>
      <c r="AE691" s="130"/>
      <c r="AG691" s="106"/>
    </row>
    <row r="692">
      <c r="C692" s="79"/>
      <c r="D692" s="79"/>
      <c r="E692" s="79"/>
      <c r="O692" s="79"/>
      <c r="S692" s="79"/>
      <c r="T692" s="79"/>
      <c r="Y692" s="79"/>
      <c r="AE692" s="130"/>
      <c r="AG692" s="106"/>
    </row>
    <row r="693">
      <c r="C693" s="79"/>
      <c r="D693" s="79"/>
      <c r="E693" s="79"/>
      <c r="O693" s="79"/>
      <c r="S693" s="79"/>
      <c r="T693" s="79"/>
      <c r="Y693" s="79"/>
      <c r="AE693" s="130"/>
      <c r="AG693" s="106"/>
    </row>
    <row r="694">
      <c r="C694" s="79"/>
      <c r="D694" s="79"/>
      <c r="E694" s="79"/>
      <c r="O694" s="79"/>
      <c r="S694" s="79"/>
      <c r="T694" s="79"/>
      <c r="Y694" s="79"/>
      <c r="AE694" s="130"/>
      <c r="AG694" s="106"/>
    </row>
    <row r="695">
      <c r="C695" s="79"/>
      <c r="D695" s="79"/>
      <c r="E695" s="79"/>
      <c r="O695" s="79"/>
      <c r="S695" s="79"/>
      <c r="T695" s="79"/>
      <c r="Y695" s="79"/>
      <c r="AE695" s="130"/>
      <c r="AG695" s="106"/>
    </row>
    <row r="696">
      <c r="C696" s="79"/>
      <c r="D696" s="79"/>
      <c r="E696" s="79"/>
      <c r="O696" s="79"/>
      <c r="S696" s="79"/>
      <c r="T696" s="79"/>
      <c r="Y696" s="79"/>
      <c r="AE696" s="130"/>
      <c r="AG696" s="106"/>
    </row>
    <row r="697">
      <c r="C697" s="79"/>
      <c r="D697" s="79"/>
      <c r="E697" s="79"/>
      <c r="O697" s="79"/>
      <c r="S697" s="79"/>
      <c r="T697" s="79"/>
      <c r="Y697" s="79"/>
      <c r="AE697" s="130"/>
      <c r="AG697" s="106"/>
    </row>
    <row r="698">
      <c r="C698" s="79"/>
      <c r="D698" s="79"/>
      <c r="E698" s="79"/>
      <c r="O698" s="79"/>
      <c r="S698" s="79"/>
      <c r="T698" s="79"/>
      <c r="Y698" s="79"/>
      <c r="AE698" s="130"/>
      <c r="AG698" s="106"/>
    </row>
    <row r="699">
      <c r="C699" s="79"/>
      <c r="D699" s="79"/>
      <c r="E699" s="79"/>
      <c r="O699" s="79"/>
      <c r="S699" s="79"/>
      <c r="T699" s="79"/>
      <c r="Y699" s="79"/>
      <c r="AE699" s="130"/>
      <c r="AG699" s="106"/>
    </row>
    <row r="700">
      <c r="C700" s="79"/>
      <c r="D700" s="79"/>
      <c r="E700" s="79"/>
      <c r="O700" s="79"/>
      <c r="S700" s="79"/>
      <c r="T700" s="79"/>
      <c r="Y700" s="79"/>
      <c r="AE700" s="130"/>
      <c r="AG700" s="106"/>
    </row>
    <row r="701">
      <c r="C701" s="79"/>
      <c r="D701" s="79"/>
      <c r="E701" s="79"/>
      <c r="O701" s="79"/>
      <c r="S701" s="79"/>
      <c r="T701" s="79"/>
      <c r="Y701" s="79"/>
      <c r="AE701" s="130"/>
      <c r="AG701" s="106"/>
    </row>
    <row r="702">
      <c r="C702" s="79"/>
      <c r="D702" s="79"/>
      <c r="E702" s="79"/>
      <c r="O702" s="79"/>
      <c r="S702" s="79"/>
      <c r="T702" s="79"/>
      <c r="Y702" s="79"/>
      <c r="AE702" s="130"/>
      <c r="AG702" s="106"/>
    </row>
    <row r="703">
      <c r="C703" s="79"/>
      <c r="D703" s="79"/>
      <c r="E703" s="79"/>
      <c r="O703" s="79"/>
      <c r="S703" s="79"/>
      <c r="T703" s="79"/>
      <c r="Y703" s="79"/>
      <c r="AE703" s="130"/>
      <c r="AG703" s="106"/>
    </row>
    <row r="704">
      <c r="C704" s="79"/>
      <c r="D704" s="79"/>
      <c r="E704" s="79"/>
      <c r="O704" s="79"/>
      <c r="S704" s="79"/>
      <c r="T704" s="79"/>
      <c r="Y704" s="79"/>
      <c r="AE704" s="130"/>
      <c r="AG704" s="106"/>
    </row>
    <row r="705">
      <c r="C705" s="79"/>
      <c r="D705" s="79"/>
      <c r="E705" s="79"/>
      <c r="O705" s="79"/>
      <c r="S705" s="79"/>
      <c r="T705" s="79"/>
      <c r="Y705" s="79"/>
      <c r="AE705" s="130"/>
      <c r="AG705" s="106"/>
    </row>
    <row r="706">
      <c r="C706" s="79"/>
      <c r="D706" s="79"/>
      <c r="E706" s="79"/>
      <c r="O706" s="79"/>
      <c r="S706" s="79"/>
      <c r="T706" s="79"/>
      <c r="Y706" s="79"/>
      <c r="AE706" s="130"/>
      <c r="AG706" s="106"/>
    </row>
    <row r="707">
      <c r="C707" s="79"/>
      <c r="D707" s="79"/>
      <c r="E707" s="79"/>
      <c r="O707" s="79"/>
      <c r="S707" s="79"/>
      <c r="T707" s="79"/>
      <c r="Y707" s="79"/>
      <c r="AE707" s="130"/>
      <c r="AG707" s="106"/>
    </row>
    <row r="708">
      <c r="C708" s="79"/>
      <c r="D708" s="79"/>
      <c r="E708" s="79"/>
      <c r="O708" s="79"/>
      <c r="S708" s="79"/>
      <c r="T708" s="79"/>
      <c r="Y708" s="79"/>
      <c r="AE708" s="130"/>
      <c r="AG708" s="106"/>
    </row>
    <row r="709">
      <c r="C709" s="79"/>
      <c r="D709" s="79"/>
      <c r="E709" s="79"/>
      <c r="O709" s="79"/>
      <c r="S709" s="79"/>
      <c r="T709" s="79"/>
      <c r="Y709" s="79"/>
      <c r="AE709" s="130"/>
      <c r="AG709" s="106"/>
    </row>
    <row r="710">
      <c r="C710" s="79"/>
      <c r="D710" s="79"/>
      <c r="E710" s="79"/>
      <c r="O710" s="79"/>
      <c r="S710" s="79"/>
      <c r="T710" s="79"/>
      <c r="Y710" s="79"/>
      <c r="AE710" s="130"/>
      <c r="AG710" s="106"/>
    </row>
    <row r="711">
      <c r="C711" s="79"/>
      <c r="D711" s="79"/>
      <c r="E711" s="79"/>
      <c r="O711" s="79"/>
      <c r="S711" s="79"/>
      <c r="T711" s="79"/>
      <c r="Y711" s="79"/>
      <c r="AE711" s="130"/>
      <c r="AG711" s="106"/>
    </row>
    <row r="712">
      <c r="C712" s="79"/>
      <c r="D712" s="79"/>
      <c r="E712" s="79"/>
      <c r="O712" s="79"/>
      <c r="S712" s="79"/>
      <c r="T712" s="79"/>
      <c r="Y712" s="79"/>
      <c r="AE712" s="130"/>
      <c r="AG712" s="106"/>
    </row>
    <row r="713">
      <c r="C713" s="79"/>
      <c r="D713" s="79"/>
      <c r="E713" s="79"/>
      <c r="O713" s="79"/>
      <c r="S713" s="79"/>
      <c r="T713" s="79"/>
      <c r="Y713" s="79"/>
      <c r="AE713" s="130"/>
      <c r="AG713" s="106"/>
    </row>
    <row r="714">
      <c r="C714" s="79"/>
      <c r="D714" s="79"/>
      <c r="E714" s="79"/>
      <c r="O714" s="79"/>
      <c r="S714" s="79"/>
      <c r="T714" s="79"/>
      <c r="Y714" s="79"/>
      <c r="AE714" s="130"/>
      <c r="AG714" s="106"/>
    </row>
    <row r="715">
      <c r="C715" s="79"/>
      <c r="D715" s="79"/>
      <c r="E715" s="79"/>
      <c r="O715" s="79"/>
      <c r="S715" s="79"/>
      <c r="T715" s="79"/>
      <c r="Y715" s="79"/>
      <c r="AE715" s="130"/>
      <c r="AG715" s="106"/>
    </row>
    <row r="716">
      <c r="C716" s="79"/>
      <c r="D716" s="79"/>
      <c r="E716" s="79"/>
      <c r="O716" s="79"/>
      <c r="S716" s="79"/>
      <c r="T716" s="79"/>
      <c r="Y716" s="79"/>
      <c r="AE716" s="130"/>
      <c r="AG716" s="106"/>
    </row>
    <row r="717">
      <c r="C717" s="79"/>
      <c r="D717" s="79"/>
      <c r="E717" s="79"/>
      <c r="O717" s="79"/>
      <c r="S717" s="79"/>
      <c r="T717" s="79"/>
      <c r="Y717" s="79"/>
      <c r="AE717" s="130"/>
      <c r="AG717" s="106"/>
    </row>
    <row r="718">
      <c r="C718" s="79"/>
      <c r="D718" s="79"/>
      <c r="E718" s="79"/>
      <c r="O718" s="79"/>
      <c r="S718" s="79"/>
      <c r="T718" s="79"/>
      <c r="Y718" s="79"/>
      <c r="AE718" s="130"/>
      <c r="AG718" s="106"/>
    </row>
    <row r="719">
      <c r="C719" s="79"/>
      <c r="D719" s="79"/>
      <c r="E719" s="79"/>
      <c r="O719" s="79"/>
      <c r="S719" s="79"/>
      <c r="T719" s="79"/>
      <c r="Y719" s="79"/>
      <c r="AE719" s="130"/>
      <c r="AG719" s="106"/>
    </row>
    <row r="720">
      <c r="C720" s="79"/>
      <c r="D720" s="79"/>
      <c r="E720" s="79"/>
      <c r="O720" s="79"/>
      <c r="S720" s="79"/>
      <c r="T720" s="79"/>
      <c r="Y720" s="79"/>
      <c r="AE720" s="130"/>
      <c r="AG720" s="106"/>
    </row>
    <row r="721">
      <c r="C721" s="79"/>
      <c r="D721" s="79"/>
      <c r="E721" s="79"/>
      <c r="O721" s="79"/>
      <c r="S721" s="79"/>
      <c r="T721" s="79"/>
      <c r="Y721" s="79"/>
      <c r="AE721" s="130"/>
      <c r="AG721" s="106"/>
    </row>
    <row r="722">
      <c r="C722" s="79"/>
      <c r="D722" s="79"/>
      <c r="E722" s="79"/>
      <c r="O722" s="79"/>
      <c r="S722" s="79"/>
      <c r="T722" s="79"/>
      <c r="Y722" s="79"/>
      <c r="AE722" s="130"/>
      <c r="AG722" s="106"/>
    </row>
    <row r="723">
      <c r="C723" s="79"/>
      <c r="D723" s="79"/>
      <c r="E723" s="79"/>
      <c r="O723" s="79"/>
      <c r="S723" s="79"/>
      <c r="T723" s="79"/>
      <c r="Y723" s="79"/>
      <c r="AE723" s="130"/>
      <c r="AG723" s="106"/>
    </row>
    <row r="724">
      <c r="C724" s="79"/>
      <c r="D724" s="79"/>
      <c r="E724" s="79"/>
      <c r="O724" s="79"/>
      <c r="S724" s="79"/>
      <c r="T724" s="79"/>
      <c r="Y724" s="79"/>
      <c r="AE724" s="130"/>
      <c r="AG724" s="106"/>
    </row>
    <row r="725">
      <c r="C725" s="79"/>
      <c r="D725" s="79"/>
      <c r="E725" s="79"/>
      <c r="O725" s="79"/>
      <c r="S725" s="79"/>
      <c r="T725" s="79"/>
      <c r="Y725" s="79"/>
      <c r="AE725" s="130"/>
      <c r="AG725" s="106"/>
    </row>
    <row r="726">
      <c r="C726" s="79"/>
      <c r="D726" s="79"/>
      <c r="E726" s="79"/>
      <c r="O726" s="79"/>
      <c r="S726" s="79"/>
      <c r="T726" s="79"/>
      <c r="Y726" s="79"/>
      <c r="AE726" s="130"/>
      <c r="AG726" s="106"/>
    </row>
    <row r="727">
      <c r="C727" s="79"/>
      <c r="D727" s="79"/>
      <c r="E727" s="79"/>
      <c r="O727" s="79"/>
      <c r="S727" s="79"/>
      <c r="T727" s="79"/>
      <c r="Y727" s="79"/>
      <c r="AE727" s="130"/>
      <c r="AG727" s="106"/>
    </row>
    <row r="728">
      <c r="C728" s="79"/>
      <c r="D728" s="79"/>
      <c r="E728" s="79"/>
      <c r="O728" s="79"/>
      <c r="S728" s="79"/>
      <c r="T728" s="79"/>
      <c r="Y728" s="79"/>
      <c r="AE728" s="130"/>
      <c r="AG728" s="106"/>
    </row>
    <row r="729">
      <c r="C729" s="79"/>
      <c r="D729" s="79"/>
      <c r="E729" s="79"/>
      <c r="O729" s="79"/>
      <c r="S729" s="79"/>
      <c r="T729" s="79"/>
      <c r="Y729" s="79"/>
      <c r="AE729" s="130"/>
      <c r="AG729" s="106"/>
    </row>
    <row r="730">
      <c r="C730" s="79"/>
      <c r="D730" s="79"/>
      <c r="E730" s="79"/>
      <c r="O730" s="79"/>
      <c r="S730" s="79"/>
      <c r="T730" s="79"/>
      <c r="Y730" s="79"/>
      <c r="AE730" s="130"/>
      <c r="AG730" s="106"/>
    </row>
    <row r="731">
      <c r="C731" s="79"/>
      <c r="D731" s="79"/>
      <c r="E731" s="79"/>
      <c r="O731" s="79"/>
      <c r="S731" s="79"/>
      <c r="T731" s="79"/>
      <c r="Y731" s="79"/>
      <c r="AE731" s="130"/>
      <c r="AG731" s="106"/>
    </row>
    <row r="732">
      <c r="C732" s="79"/>
      <c r="D732" s="79"/>
      <c r="E732" s="79"/>
      <c r="O732" s="79"/>
      <c r="S732" s="79"/>
      <c r="T732" s="79"/>
      <c r="Y732" s="79"/>
      <c r="AE732" s="130"/>
      <c r="AG732" s="106"/>
    </row>
    <row r="733">
      <c r="C733" s="79"/>
      <c r="D733" s="79"/>
      <c r="E733" s="79"/>
      <c r="O733" s="79"/>
      <c r="S733" s="79"/>
      <c r="T733" s="79"/>
      <c r="Y733" s="79"/>
      <c r="AE733" s="130"/>
      <c r="AG733" s="106"/>
    </row>
    <row r="734">
      <c r="C734" s="79"/>
      <c r="D734" s="79"/>
      <c r="E734" s="79"/>
      <c r="O734" s="79"/>
      <c r="S734" s="79"/>
      <c r="T734" s="79"/>
      <c r="Y734" s="79"/>
      <c r="AE734" s="130"/>
      <c r="AG734" s="106"/>
    </row>
    <row r="735">
      <c r="C735" s="79"/>
      <c r="D735" s="79"/>
      <c r="E735" s="79"/>
      <c r="O735" s="79"/>
      <c r="S735" s="79"/>
      <c r="T735" s="79"/>
      <c r="Y735" s="79"/>
      <c r="AE735" s="130"/>
      <c r="AG735" s="106"/>
    </row>
    <row r="736">
      <c r="C736" s="79"/>
      <c r="D736" s="79"/>
      <c r="E736" s="79"/>
      <c r="O736" s="79"/>
      <c r="S736" s="79"/>
      <c r="T736" s="79"/>
      <c r="Y736" s="79"/>
      <c r="AE736" s="130"/>
      <c r="AG736" s="106"/>
    </row>
    <row r="737">
      <c r="C737" s="79"/>
      <c r="D737" s="79"/>
      <c r="E737" s="79"/>
      <c r="O737" s="79"/>
      <c r="S737" s="79"/>
      <c r="T737" s="79"/>
      <c r="Y737" s="79"/>
      <c r="AE737" s="130"/>
      <c r="AG737" s="106"/>
    </row>
    <row r="738">
      <c r="C738" s="79"/>
      <c r="D738" s="79"/>
      <c r="E738" s="79"/>
      <c r="O738" s="79"/>
      <c r="S738" s="79"/>
      <c r="T738" s="79"/>
      <c r="Y738" s="79"/>
      <c r="AE738" s="130"/>
      <c r="AG738" s="106"/>
    </row>
    <row r="739">
      <c r="C739" s="79"/>
      <c r="D739" s="79"/>
      <c r="E739" s="79"/>
      <c r="O739" s="79"/>
      <c r="S739" s="79"/>
      <c r="T739" s="79"/>
      <c r="Y739" s="79"/>
      <c r="AE739" s="130"/>
      <c r="AG739" s="106"/>
    </row>
    <row r="740">
      <c r="C740" s="79"/>
      <c r="D740" s="79"/>
      <c r="E740" s="79"/>
      <c r="O740" s="79"/>
      <c r="S740" s="79"/>
      <c r="T740" s="79"/>
      <c r="Y740" s="79"/>
      <c r="AE740" s="130"/>
      <c r="AG740" s="106"/>
    </row>
    <row r="741">
      <c r="C741" s="79"/>
      <c r="D741" s="79"/>
      <c r="E741" s="79"/>
      <c r="O741" s="79"/>
      <c r="S741" s="79"/>
      <c r="T741" s="79"/>
      <c r="Y741" s="79"/>
      <c r="AE741" s="130"/>
      <c r="AG741" s="106"/>
    </row>
    <row r="742">
      <c r="C742" s="79"/>
      <c r="D742" s="79"/>
      <c r="E742" s="79"/>
      <c r="O742" s="79"/>
      <c r="S742" s="79"/>
      <c r="T742" s="79"/>
      <c r="Y742" s="79"/>
      <c r="AE742" s="130"/>
      <c r="AG742" s="106"/>
    </row>
    <row r="743">
      <c r="C743" s="79"/>
      <c r="D743" s="79"/>
      <c r="E743" s="79"/>
      <c r="O743" s="79"/>
      <c r="S743" s="79"/>
      <c r="T743" s="79"/>
      <c r="Y743" s="79"/>
      <c r="AE743" s="130"/>
      <c r="AG743" s="106"/>
    </row>
    <row r="744">
      <c r="C744" s="79"/>
      <c r="D744" s="79"/>
      <c r="E744" s="79"/>
      <c r="O744" s="79"/>
      <c r="S744" s="79"/>
      <c r="T744" s="79"/>
      <c r="Y744" s="79"/>
      <c r="AE744" s="130"/>
      <c r="AG744" s="106"/>
    </row>
    <row r="745">
      <c r="C745" s="79"/>
      <c r="D745" s="79"/>
      <c r="E745" s="79"/>
      <c r="O745" s="79"/>
      <c r="S745" s="79"/>
      <c r="T745" s="79"/>
      <c r="Y745" s="79"/>
      <c r="AE745" s="130"/>
      <c r="AG745" s="106"/>
    </row>
    <row r="746">
      <c r="C746" s="79"/>
      <c r="D746" s="79"/>
      <c r="E746" s="79"/>
      <c r="O746" s="79"/>
      <c r="S746" s="79"/>
      <c r="T746" s="79"/>
      <c r="Y746" s="79"/>
      <c r="AE746" s="130"/>
      <c r="AG746" s="106"/>
    </row>
    <row r="747">
      <c r="C747" s="79"/>
      <c r="D747" s="79"/>
      <c r="E747" s="79"/>
      <c r="O747" s="79"/>
      <c r="S747" s="79"/>
      <c r="T747" s="79"/>
      <c r="Y747" s="79"/>
      <c r="AE747" s="130"/>
      <c r="AG747" s="106"/>
    </row>
    <row r="748">
      <c r="C748" s="79"/>
      <c r="D748" s="79"/>
      <c r="E748" s="79"/>
      <c r="O748" s="79"/>
      <c r="S748" s="79"/>
      <c r="T748" s="79"/>
      <c r="Y748" s="79"/>
      <c r="AE748" s="130"/>
      <c r="AG748" s="106"/>
    </row>
    <row r="749">
      <c r="C749" s="79"/>
      <c r="D749" s="79"/>
      <c r="E749" s="79"/>
      <c r="O749" s="79"/>
      <c r="S749" s="79"/>
      <c r="T749" s="79"/>
      <c r="Y749" s="79"/>
      <c r="AE749" s="130"/>
      <c r="AG749" s="106"/>
    </row>
    <row r="750">
      <c r="C750" s="79"/>
      <c r="D750" s="79"/>
      <c r="E750" s="79"/>
      <c r="O750" s="79"/>
      <c r="S750" s="79"/>
      <c r="T750" s="79"/>
      <c r="Y750" s="79"/>
      <c r="AE750" s="130"/>
      <c r="AG750" s="106"/>
    </row>
    <row r="751">
      <c r="C751" s="79"/>
      <c r="D751" s="79"/>
      <c r="E751" s="79"/>
      <c r="O751" s="79"/>
      <c r="S751" s="79"/>
      <c r="T751" s="79"/>
      <c r="Y751" s="79"/>
      <c r="AE751" s="130"/>
      <c r="AG751" s="106"/>
    </row>
    <row r="752">
      <c r="C752" s="79"/>
      <c r="D752" s="79"/>
      <c r="E752" s="79"/>
      <c r="O752" s="79"/>
      <c r="S752" s="79"/>
      <c r="T752" s="79"/>
      <c r="Y752" s="79"/>
      <c r="AE752" s="130"/>
      <c r="AG752" s="106"/>
    </row>
    <row r="753">
      <c r="C753" s="79"/>
      <c r="D753" s="79"/>
      <c r="E753" s="79"/>
      <c r="O753" s="79"/>
      <c r="S753" s="79"/>
      <c r="T753" s="79"/>
      <c r="Y753" s="79"/>
      <c r="AE753" s="130"/>
      <c r="AG753" s="106"/>
    </row>
    <row r="754">
      <c r="C754" s="79"/>
      <c r="D754" s="79"/>
      <c r="E754" s="79"/>
      <c r="O754" s="79"/>
      <c r="S754" s="79"/>
      <c r="T754" s="79"/>
      <c r="Y754" s="79"/>
      <c r="AE754" s="130"/>
      <c r="AG754" s="106"/>
    </row>
    <row r="755">
      <c r="C755" s="79"/>
      <c r="D755" s="79"/>
      <c r="E755" s="79"/>
      <c r="O755" s="79"/>
      <c r="S755" s="79"/>
      <c r="T755" s="79"/>
      <c r="Y755" s="79"/>
      <c r="AE755" s="130"/>
      <c r="AG755" s="106"/>
    </row>
    <row r="756">
      <c r="C756" s="79"/>
      <c r="D756" s="79"/>
      <c r="E756" s="79"/>
      <c r="O756" s="79"/>
      <c r="S756" s="79"/>
      <c r="T756" s="79"/>
      <c r="Y756" s="79"/>
      <c r="AE756" s="130"/>
      <c r="AG756" s="106"/>
    </row>
    <row r="757">
      <c r="C757" s="79"/>
      <c r="D757" s="79"/>
      <c r="E757" s="79"/>
      <c r="O757" s="79"/>
      <c r="S757" s="79"/>
      <c r="T757" s="79"/>
      <c r="Y757" s="79"/>
      <c r="AE757" s="130"/>
      <c r="AG757" s="106"/>
    </row>
    <row r="758">
      <c r="C758" s="79"/>
      <c r="D758" s="79"/>
      <c r="E758" s="79"/>
      <c r="O758" s="79"/>
      <c r="S758" s="79"/>
      <c r="T758" s="79"/>
      <c r="Y758" s="79"/>
      <c r="AE758" s="130"/>
      <c r="AG758" s="106"/>
    </row>
    <row r="759">
      <c r="C759" s="79"/>
      <c r="D759" s="79"/>
      <c r="E759" s="79"/>
      <c r="O759" s="79"/>
      <c r="S759" s="79"/>
      <c r="T759" s="79"/>
      <c r="Y759" s="79"/>
      <c r="AE759" s="130"/>
      <c r="AG759" s="106"/>
    </row>
    <row r="760">
      <c r="C760" s="79"/>
      <c r="D760" s="79"/>
      <c r="E760" s="79"/>
      <c r="O760" s="79"/>
      <c r="S760" s="79"/>
      <c r="T760" s="79"/>
      <c r="Y760" s="79"/>
      <c r="AE760" s="130"/>
      <c r="AG760" s="106"/>
    </row>
    <row r="761">
      <c r="C761" s="79"/>
      <c r="D761" s="79"/>
      <c r="E761" s="79"/>
      <c r="O761" s="79"/>
      <c r="S761" s="79"/>
      <c r="T761" s="79"/>
      <c r="Y761" s="79"/>
      <c r="AE761" s="130"/>
      <c r="AG761" s="106"/>
    </row>
    <row r="762">
      <c r="C762" s="79"/>
      <c r="D762" s="79"/>
      <c r="E762" s="79"/>
      <c r="O762" s="79"/>
      <c r="S762" s="79"/>
      <c r="T762" s="79"/>
      <c r="Y762" s="79"/>
      <c r="AE762" s="130"/>
      <c r="AG762" s="106"/>
    </row>
    <row r="763">
      <c r="C763" s="79"/>
      <c r="D763" s="79"/>
      <c r="E763" s="79"/>
      <c r="O763" s="79"/>
      <c r="S763" s="79"/>
      <c r="T763" s="79"/>
      <c r="Y763" s="79"/>
      <c r="AE763" s="130"/>
      <c r="AG763" s="106"/>
    </row>
    <row r="764">
      <c r="C764" s="79"/>
      <c r="D764" s="79"/>
      <c r="E764" s="79"/>
      <c r="O764" s="79"/>
      <c r="S764" s="79"/>
      <c r="T764" s="79"/>
      <c r="Y764" s="79"/>
      <c r="AE764" s="130"/>
      <c r="AG764" s="106"/>
    </row>
    <row r="765">
      <c r="C765" s="79"/>
      <c r="D765" s="79"/>
      <c r="E765" s="79"/>
      <c r="O765" s="79"/>
      <c r="S765" s="79"/>
      <c r="T765" s="79"/>
      <c r="Y765" s="79"/>
      <c r="AE765" s="130"/>
      <c r="AG765" s="106"/>
    </row>
    <row r="766">
      <c r="C766" s="79"/>
      <c r="D766" s="79"/>
      <c r="E766" s="79"/>
      <c r="O766" s="79"/>
      <c r="S766" s="79"/>
      <c r="T766" s="79"/>
      <c r="Y766" s="79"/>
      <c r="AE766" s="130"/>
      <c r="AG766" s="106"/>
    </row>
    <row r="767">
      <c r="C767" s="79"/>
      <c r="D767" s="79"/>
      <c r="E767" s="79"/>
      <c r="O767" s="79"/>
      <c r="S767" s="79"/>
      <c r="T767" s="79"/>
      <c r="Y767" s="79"/>
      <c r="AE767" s="130"/>
      <c r="AG767" s="106"/>
    </row>
    <row r="768">
      <c r="C768" s="79"/>
      <c r="D768" s="79"/>
      <c r="E768" s="79"/>
      <c r="O768" s="79"/>
      <c r="S768" s="79"/>
      <c r="T768" s="79"/>
      <c r="Y768" s="79"/>
      <c r="AE768" s="130"/>
      <c r="AG768" s="106"/>
    </row>
    <row r="769">
      <c r="C769" s="79"/>
      <c r="D769" s="79"/>
      <c r="E769" s="79"/>
      <c r="O769" s="79"/>
      <c r="S769" s="79"/>
      <c r="T769" s="79"/>
      <c r="Y769" s="79"/>
      <c r="AE769" s="130"/>
      <c r="AG769" s="106"/>
    </row>
    <row r="770">
      <c r="C770" s="79"/>
      <c r="D770" s="79"/>
      <c r="E770" s="79"/>
      <c r="O770" s="79"/>
      <c r="S770" s="79"/>
      <c r="T770" s="79"/>
      <c r="Y770" s="79"/>
      <c r="AE770" s="130"/>
      <c r="AG770" s="106"/>
    </row>
    <row r="771">
      <c r="C771" s="79"/>
      <c r="D771" s="79"/>
      <c r="E771" s="79"/>
      <c r="O771" s="79"/>
      <c r="S771" s="79"/>
      <c r="T771" s="79"/>
      <c r="Y771" s="79"/>
      <c r="AE771" s="130"/>
      <c r="AG771" s="106"/>
    </row>
    <row r="772">
      <c r="C772" s="79"/>
      <c r="D772" s="79"/>
      <c r="E772" s="79"/>
      <c r="O772" s="79"/>
      <c r="S772" s="79"/>
      <c r="T772" s="79"/>
      <c r="Y772" s="79"/>
      <c r="AE772" s="130"/>
      <c r="AG772" s="106"/>
    </row>
    <row r="773">
      <c r="C773" s="79"/>
      <c r="D773" s="79"/>
      <c r="E773" s="79"/>
      <c r="O773" s="79"/>
      <c r="S773" s="79"/>
      <c r="T773" s="79"/>
      <c r="Y773" s="79"/>
      <c r="AE773" s="130"/>
      <c r="AG773" s="106"/>
    </row>
    <row r="774">
      <c r="C774" s="79"/>
      <c r="D774" s="79"/>
      <c r="E774" s="79"/>
      <c r="O774" s="79"/>
      <c r="S774" s="79"/>
      <c r="T774" s="79"/>
      <c r="Y774" s="79"/>
      <c r="AE774" s="130"/>
      <c r="AG774" s="106"/>
    </row>
    <row r="775">
      <c r="C775" s="79"/>
      <c r="D775" s="79"/>
      <c r="E775" s="79"/>
      <c r="O775" s="79"/>
      <c r="S775" s="79"/>
      <c r="T775" s="79"/>
      <c r="Y775" s="79"/>
      <c r="AE775" s="130"/>
      <c r="AG775" s="106"/>
    </row>
    <row r="776">
      <c r="C776" s="79"/>
      <c r="D776" s="79"/>
      <c r="E776" s="79"/>
      <c r="O776" s="79"/>
      <c r="S776" s="79"/>
      <c r="T776" s="79"/>
      <c r="Y776" s="79"/>
      <c r="AE776" s="130"/>
      <c r="AG776" s="106"/>
    </row>
    <row r="777">
      <c r="C777" s="79"/>
      <c r="D777" s="79"/>
      <c r="E777" s="79"/>
      <c r="O777" s="79"/>
      <c r="S777" s="79"/>
      <c r="T777" s="79"/>
      <c r="Y777" s="79"/>
      <c r="AE777" s="130"/>
      <c r="AG777" s="106"/>
    </row>
    <row r="778">
      <c r="C778" s="79"/>
      <c r="D778" s="79"/>
      <c r="E778" s="79"/>
      <c r="O778" s="79"/>
      <c r="S778" s="79"/>
      <c r="T778" s="79"/>
      <c r="Y778" s="79"/>
      <c r="AE778" s="130"/>
      <c r="AG778" s="106"/>
    </row>
    <row r="779">
      <c r="C779" s="79"/>
      <c r="D779" s="79"/>
      <c r="E779" s="79"/>
      <c r="O779" s="79"/>
      <c r="S779" s="79"/>
      <c r="T779" s="79"/>
      <c r="Y779" s="79"/>
      <c r="AE779" s="130"/>
      <c r="AG779" s="106"/>
    </row>
    <row r="780">
      <c r="C780" s="79"/>
      <c r="D780" s="79"/>
      <c r="E780" s="79"/>
      <c r="O780" s="79"/>
      <c r="S780" s="79"/>
      <c r="T780" s="79"/>
      <c r="Y780" s="79"/>
      <c r="AE780" s="130"/>
      <c r="AG780" s="106"/>
    </row>
    <row r="781">
      <c r="C781" s="79"/>
      <c r="D781" s="79"/>
      <c r="E781" s="79"/>
      <c r="O781" s="79"/>
      <c r="S781" s="79"/>
      <c r="T781" s="79"/>
      <c r="Y781" s="79"/>
      <c r="AE781" s="130"/>
      <c r="AG781" s="106"/>
    </row>
    <row r="782">
      <c r="C782" s="79"/>
      <c r="D782" s="79"/>
      <c r="E782" s="79"/>
      <c r="O782" s="79"/>
      <c r="S782" s="79"/>
      <c r="T782" s="79"/>
      <c r="Y782" s="79"/>
      <c r="AE782" s="130"/>
      <c r="AG782" s="106"/>
    </row>
    <row r="783">
      <c r="C783" s="79"/>
      <c r="D783" s="79"/>
      <c r="E783" s="79"/>
      <c r="O783" s="79"/>
      <c r="S783" s="79"/>
      <c r="T783" s="79"/>
      <c r="Y783" s="79"/>
      <c r="AE783" s="130"/>
      <c r="AG783" s="106"/>
    </row>
    <row r="784">
      <c r="C784" s="79"/>
      <c r="D784" s="79"/>
      <c r="E784" s="79"/>
      <c r="O784" s="79"/>
      <c r="S784" s="79"/>
      <c r="T784" s="79"/>
      <c r="Y784" s="79"/>
      <c r="AE784" s="130"/>
      <c r="AG784" s="106"/>
    </row>
    <row r="785">
      <c r="C785" s="79"/>
      <c r="D785" s="79"/>
      <c r="E785" s="79"/>
      <c r="O785" s="79"/>
      <c r="S785" s="79"/>
      <c r="T785" s="79"/>
      <c r="Y785" s="79"/>
      <c r="AE785" s="130"/>
      <c r="AG785" s="106"/>
    </row>
    <row r="786">
      <c r="C786" s="79"/>
      <c r="D786" s="79"/>
      <c r="E786" s="79"/>
      <c r="O786" s="79"/>
      <c r="S786" s="79"/>
      <c r="T786" s="79"/>
      <c r="Y786" s="79"/>
      <c r="AE786" s="130"/>
      <c r="AG786" s="106"/>
    </row>
    <row r="787">
      <c r="C787" s="79"/>
      <c r="D787" s="79"/>
      <c r="E787" s="79"/>
      <c r="O787" s="79"/>
      <c r="S787" s="79"/>
      <c r="T787" s="79"/>
      <c r="Y787" s="79"/>
      <c r="AE787" s="130"/>
      <c r="AG787" s="106"/>
    </row>
    <row r="788">
      <c r="C788" s="79"/>
      <c r="D788" s="79"/>
      <c r="E788" s="79"/>
      <c r="O788" s="79"/>
      <c r="S788" s="79"/>
      <c r="T788" s="79"/>
      <c r="Y788" s="79"/>
      <c r="AE788" s="130"/>
      <c r="AG788" s="106"/>
    </row>
    <row r="789">
      <c r="C789" s="79"/>
      <c r="D789" s="79"/>
      <c r="E789" s="79"/>
      <c r="O789" s="79"/>
      <c r="S789" s="79"/>
      <c r="T789" s="79"/>
      <c r="Y789" s="79"/>
      <c r="AE789" s="130"/>
      <c r="AG789" s="106"/>
    </row>
    <row r="790">
      <c r="C790" s="79"/>
      <c r="D790" s="79"/>
      <c r="E790" s="79"/>
      <c r="O790" s="79"/>
      <c r="S790" s="79"/>
      <c r="T790" s="79"/>
      <c r="Y790" s="79"/>
      <c r="AE790" s="130"/>
      <c r="AG790" s="106"/>
    </row>
    <row r="791">
      <c r="C791" s="79"/>
      <c r="D791" s="79"/>
      <c r="E791" s="79"/>
      <c r="O791" s="79"/>
      <c r="S791" s="79"/>
      <c r="T791" s="79"/>
      <c r="Y791" s="79"/>
      <c r="AE791" s="130"/>
      <c r="AG791" s="106"/>
    </row>
    <row r="792">
      <c r="C792" s="79"/>
      <c r="D792" s="79"/>
      <c r="E792" s="79"/>
      <c r="O792" s="79"/>
      <c r="S792" s="79"/>
      <c r="T792" s="79"/>
      <c r="Y792" s="79"/>
      <c r="AE792" s="130"/>
      <c r="AG792" s="106"/>
    </row>
    <row r="793">
      <c r="C793" s="79"/>
      <c r="D793" s="79"/>
      <c r="E793" s="79"/>
      <c r="O793" s="79"/>
      <c r="S793" s="79"/>
      <c r="T793" s="79"/>
      <c r="Y793" s="79"/>
      <c r="AE793" s="130"/>
      <c r="AG793" s="106"/>
    </row>
    <row r="794">
      <c r="C794" s="79"/>
      <c r="D794" s="79"/>
      <c r="E794" s="79"/>
      <c r="O794" s="79"/>
      <c r="S794" s="79"/>
      <c r="T794" s="79"/>
      <c r="Y794" s="79"/>
      <c r="AE794" s="130"/>
      <c r="AG794" s="106"/>
    </row>
    <row r="795">
      <c r="C795" s="79"/>
      <c r="D795" s="79"/>
      <c r="E795" s="79"/>
      <c r="O795" s="79"/>
      <c r="S795" s="79"/>
      <c r="T795" s="79"/>
      <c r="Y795" s="79"/>
      <c r="AE795" s="130"/>
      <c r="AG795" s="106"/>
    </row>
    <row r="796">
      <c r="C796" s="79"/>
      <c r="D796" s="79"/>
      <c r="E796" s="79"/>
      <c r="O796" s="79"/>
      <c r="S796" s="79"/>
      <c r="T796" s="79"/>
      <c r="Y796" s="79"/>
      <c r="AE796" s="130"/>
      <c r="AG796" s="106"/>
    </row>
    <row r="797">
      <c r="C797" s="79"/>
      <c r="D797" s="79"/>
      <c r="E797" s="79"/>
      <c r="O797" s="79"/>
      <c r="S797" s="79"/>
      <c r="T797" s="79"/>
      <c r="Y797" s="79"/>
      <c r="AE797" s="130"/>
      <c r="AG797" s="106"/>
    </row>
    <row r="798">
      <c r="C798" s="79"/>
      <c r="D798" s="79"/>
      <c r="E798" s="79"/>
      <c r="O798" s="79"/>
      <c r="S798" s="79"/>
      <c r="T798" s="79"/>
      <c r="Y798" s="79"/>
      <c r="AE798" s="130"/>
      <c r="AG798" s="106"/>
    </row>
    <row r="799">
      <c r="C799" s="79"/>
      <c r="D799" s="79"/>
      <c r="E799" s="79"/>
      <c r="O799" s="79"/>
      <c r="S799" s="79"/>
      <c r="T799" s="79"/>
      <c r="Y799" s="79"/>
      <c r="AE799" s="130"/>
      <c r="AG799" s="106"/>
    </row>
    <row r="800">
      <c r="C800" s="79"/>
      <c r="D800" s="79"/>
      <c r="E800" s="79"/>
      <c r="O800" s="79"/>
      <c r="S800" s="79"/>
      <c r="T800" s="79"/>
      <c r="Y800" s="79"/>
      <c r="AE800" s="130"/>
      <c r="AG800" s="106"/>
    </row>
    <row r="801">
      <c r="C801" s="79"/>
      <c r="D801" s="79"/>
      <c r="E801" s="79"/>
      <c r="O801" s="79"/>
      <c r="S801" s="79"/>
      <c r="T801" s="79"/>
      <c r="Y801" s="79"/>
      <c r="AE801" s="130"/>
      <c r="AG801" s="106"/>
    </row>
    <row r="802">
      <c r="C802" s="79"/>
      <c r="D802" s="79"/>
      <c r="E802" s="79"/>
      <c r="O802" s="79"/>
      <c r="S802" s="79"/>
      <c r="T802" s="79"/>
      <c r="Y802" s="79"/>
      <c r="AE802" s="130"/>
      <c r="AG802" s="106"/>
    </row>
    <row r="803">
      <c r="C803" s="79"/>
      <c r="D803" s="79"/>
      <c r="E803" s="79"/>
      <c r="O803" s="79"/>
      <c r="S803" s="79"/>
      <c r="T803" s="79"/>
      <c r="Y803" s="79"/>
      <c r="AE803" s="130"/>
      <c r="AG803" s="106"/>
    </row>
    <row r="804">
      <c r="C804" s="79"/>
      <c r="D804" s="79"/>
      <c r="E804" s="79"/>
      <c r="O804" s="79"/>
      <c r="S804" s="79"/>
      <c r="T804" s="79"/>
      <c r="Y804" s="79"/>
      <c r="AE804" s="130"/>
      <c r="AG804" s="106"/>
    </row>
    <row r="805">
      <c r="C805" s="79"/>
      <c r="D805" s="79"/>
      <c r="E805" s="79"/>
      <c r="O805" s="79"/>
      <c r="S805" s="79"/>
      <c r="T805" s="79"/>
      <c r="Y805" s="79"/>
      <c r="AE805" s="130"/>
      <c r="AG805" s="106"/>
    </row>
    <row r="806">
      <c r="C806" s="79"/>
      <c r="D806" s="79"/>
      <c r="E806" s="79"/>
      <c r="O806" s="79"/>
      <c r="S806" s="79"/>
      <c r="T806" s="79"/>
      <c r="Y806" s="79"/>
      <c r="AE806" s="130"/>
      <c r="AG806" s="106"/>
    </row>
    <row r="807">
      <c r="C807" s="79"/>
      <c r="D807" s="79"/>
      <c r="E807" s="79"/>
      <c r="O807" s="79"/>
      <c r="S807" s="79"/>
      <c r="T807" s="79"/>
      <c r="Y807" s="79"/>
      <c r="AE807" s="130"/>
      <c r="AG807" s="106"/>
    </row>
    <row r="808">
      <c r="C808" s="79"/>
      <c r="D808" s="79"/>
      <c r="E808" s="79"/>
      <c r="O808" s="79"/>
      <c r="S808" s="79"/>
      <c r="T808" s="79"/>
      <c r="Y808" s="79"/>
      <c r="AE808" s="130"/>
      <c r="AG808" s="106"/>
    </row>
    <row r="809">
      <c r="C809" s="79"/>
      <c r="D809" s="79"/>
      <c r="E809" s="79"/>
      <c r="O809" s="79"/>
      <c r="S809" s="79"/>
      <c r="T809" s="79"/>
      <c r="Y809" s="79"/>
      <c r="AE809" s="130"/>
      <c r="AG809" s="106"/>
    </row>
    <row r="810">
      <c r="C810" s="79"/>
      <c r="D810" s="79"/>
      <c r="E810" s="79"/>
      <c r="O810" s="79"/>
      <c r="S810" s="79"/>
      <c r="T810" s="79"/>
      <c r="Y810" s="79"/>
      <c r="AE810" s="130"/>
      <c r="AG810" s="106"/>
    </row>
    <row r="811">
      <c r="C811" s="79"/>
      <c r="D811" s="79"/>
      <c r="E811" s="79"/>
      <c r="O811" s="79"/>
      <c r="S811" s="79"/>
      <c r="T811" s="79"/>
      <c r="Y811" s="79"/>
      <c r="AE811" s="130"/>
      <c r="AG811" s="106"/>
    </row>
    <row r="812">
      <c r="C812" s="79"/>
      <c r="D812" s="79"/>
      <c r="E812" s="79"/>
      <c r="O812" s="79"/>
      <c r="S812" s="79"/>
      <c r="T812" s="79"/>
      <c r="Y812" s="79"/>
      <c r="AE812" s="130"/>
      <c r="AG812" s="106"/>
    </row>
    <row r="813">
      <c r="C813" s="79"/>
      <c r="D813" s="79"/>
      <c r="E813" s="79"/>
      <c r="O813" s="79"/>
      <c r="S813" s="79"/>
      <c r="T813" s="79"/>
      <c r="Y813" s="79"/>
      <c r="AE813" s="130"/>
      <c r="AG813" s="106"/>
    </row>
    <row r="814">
      <c r="C814" s="79"/>
      <c r="D814" s="79"/>
      <c r="E814" s="79"/>
      <c r="O814" s="79"/>
      <c r="S814" s="79"/>
      <c r="T814" s="79"/>
      <c r="Y814" s="79"/>
      <c r="AE814" s="130"/>
      <c r="AG814" s="106"/>
    </row>
    <row r="815">
      <c r="C815" s="79"/>
      <c r="D815" s="79"/>
      <c r="E815" s="79"/>
      <c r="O815" s="79"/>
      <c r="S815" s="79"/>
      <c r="T815" s="79"/>
      <c r="Y815" s="79"/>
      <c r="AE815" s="130"/>
      <c r="AG815" s="106"/>
    </row>
    <row r="816">
      <c r="C816" s="79"/>
      <c r="D816" s="79"/>
      <c r="E816" s="79"/>
      <c r="O816" s="79"/>
      <c r="S816" s="79"/>
      <c r="T816" s="79"/>
      <c r="Y816" s="79"/>
      <c r="AE816" s="130"/>
      <c r="AG816" s="106"/>
    </row>
    <row r="817">
      <c r="C817" s="79"/>
      <c r="D817" s="79"/>
      <c r="E817" s="79"/>
      <c r="O817" s="79"/>
      <c r="S817" s="79"/>
      <c r="T817" s="79"/>
      <c r="Y817" s="79"/>
      <c r="AE817" s="130"/>
      <c r="AG817" s="106"/>
    </row>
    <row r="818">
      <c r="C818" s="79"/>
      <c r="D818" s="79"/>
      <c r="E818" s="79"/>
      <c r="O818" s="79"/>
      <c r="S818" s="79"/>
      <c r="T818" s="79"/>
      <c r="Y818" s="79"/>
      <c r="AE818" s="130"/>
      <c r="AG818" s="106"/>
    </row>
    <row r="819">
      <c r="C819" s="79"/>
      <c r="D819" s="79"/>
      <c r="E819" s="79"/>
      <c r="O819" s="79"/>
      <c r="S819" s="79"/>
      <c r="T819" s="79"/>
      <c r="Y819" s="79"/>
      <c r="AE819" s="130"/>
      <c r="AG819" s="106"/>
    </row>
    <row r="820">
      <c r="C820" s="79"/>
      <c r="D820" s="79"/>
      <c r="E820" s="79"/>
      <c r="O820" s="79"/>
      <c r="S820" s="79"/>
      <c r="T820" s="79"/>
      <c r="Y820" s="79"/>
      <c r="AE820" s="130"/>
      <c r="AG820" s="106"/>
    </row>
    <row r="821">
      <c r="C821" s="79"/>
      <c r="D821" s="79"/>
      <c r="E821" s="79"/>
      <c r="O821" s="79"/>
      <c r="S821" s="79"/>
      <c r="T821" s="79"/>
      <c r="Y821" s="79"/>
      <c r="AE821" s="130"/>
      <c r="AG821" s="106"/>
    </row>
    <row r="822">
      <c r="C822" s="79"/>
      <c r="D822" s="79"/>
      <c r="E822" s="79"/>
      <c r="O822" s="79"/>
      <c r="S822" s="79"/>
      <c r="T822" s="79"/>
      <c r="Y822" s="79"/>
      <c r="AE822" s="130"/>
      <c r="AG822" s="106"/>
    </row>
    <row r="823">
      <c r="C823" s="79"/>
      <c r="D823" s="79"/>
      <c r="E823" s="79"/>
      <c r="O823" s="79"/>
      <c r="S823" s="79"/>
      <c r="T823" s="79"/>
      <c r="Y823" s="79"/>
      <c r="AE823" s="130"/>
      <c r="AG823" s="106"/>
    </row>
    <row r="824">
      <c r="C824" s="79"/>
      <c r="D824" s="79"/>
      <c r="E824" s="79"/>
      <c r="O824" s="79"/>
      <c r="S824" s="79"/>
      <c r="T824" s="79"/>
      <c r="Y824" s="79"/>
      <c r="AE824" s="130"/>
      <c r="AG824" s="106"/>
    </row>
    <row r="825">
      <c r="C825" s="79"/>
      <c r="D825" s="79"/>
      <c r="E825" s="79"/>
      <c r="O825" s="79"/>
      <c r="S825" s="79"/>
      <c r="T825" s="79"/>
      <c r="Y825" s="79"/>
      <c r="AE825" s="130"/>
      <c r="AG825" s="106"/>
    </row>
    <row r="826">
      <c r="C826" s="79"/>
      <c r="D826" s="79"/>
      <c r="E826" s="79"/>
      <c r="O826" s="79"/>
      <c r="S826" s="79"/>
      <c r="T826" s="79"/>
      <c r="Y826" s="79"/>
      <c r="AE826" s="130"/>
      <c r="AG826" s="106"/>
    </row>
    <row r="827">
      <c r="C827" s="79"/>
      <c r="D827" s="79"/>
      <c r="E827" s="79"/>
      <c r="O827" s="79"/>
      <c r="S827" s="79"/>
      <c r="T827" s="79"/>
      <c r="Y827" s="79"/>
      <c r="AE827" s="130"/>
      <c r="AG827" s="106"/>
    </row>
    <row r="828">
      <c r="C828" s="79"/>
      <c r="D828" s="79"/>
      <c r="E828" s="79"/>
      <c r="O828" s="79"/>
      <c r="S828" s="79"/>
      <c r="T828" s="79"/>
      <c r="Y828" s="79"/>
      <c r="AE828" s="130"/>
      <c r="AG828" s="106"/>
    </row>
    <row r="829">
      <c r="C829" s="79"/>
      <c r="D829" s="79"/>
      <c r="E829" s="79"/>
      <c r="O829" s="79"/>
      <c r="S829" s="79"/>
      <c r="T829" s="79"/>
      <c r="Y829" s="79"/>
      <c r="AE829" s="130"/>
      <c r="AG829" s="106"/>
    </row>
    <row r="830">
      <c r="C830" s="79"/>
      <c r="D830" s="79"/>
      <c r="E830" s="79"/>
      <c r="O830" s="79"/>
      <c r="S830" s="79"/>
      <c r="T830" s="79"/>
      <c r="Y830" s="79"/>
      <c r="AE830" s="130"/>
      <c r="AG830" s="106"/>
    </row>
    <row r="831">
      <c r="C831" s="79"/>
      <c r="D831" s="79"/>
      <c r="E831" s="79"/>
      <c r="O831" s="79"/>
      <c r="S831" s="79"/>
      <c r="T831" s="79"/>
      <c r="Y831" s="79"/>
      <c r="AE831" s="130"/>
      <c r="AG831" s="106"/>
    </row>
    <row r="832">
      <c r="C832" s="79"/>
      <c r="D832" s="79"/>
      <c r="E832" s="79"/>
      <c r="O832" s="79"/>
      <c r="S832" s="79"/>
      <c r="T832" s="79"/>
      <c r="Y832" s="79"/>
      <c r="AE832" s="130"/>
      <c r="AG832" s="106"/>
    </row>
    <row r="833">
      <c r="C833" s="79"/>
      <c r="D833" s="79"/>
      <c r="E833" s="79"/>
      <c r="O833" s="79"/>
      <c r="S833" s="79"/>
      <c r="T833" s="79"/>
      <c r="Y833" s="79"/>
      <c r="AE833" s="130"/>
      <c r="AG833" s="106"/>
    </row>
    <row r="834">
      <c r="C834" s="79"/>
      <c r="D834" s="79"/>
      <c r="E834" s="79"/>
      <c r="O834" s="79"/>
      <c r="S834" s="79"/>
      <c r="T834" s="79"/>
      <c r="Y834" s="79"/>
      <c r="AE834" s="130"/>
      <c r="AG834" s="106"/>
    </row>
    <row r="835">
      <c r="C835" s="79"/>
      <c r="D835" s="79"/>
      <c r="E835" s="79"/>
      <c r="O835" s="79"/>
      <c r="S835" s="79"/>
      <c r="T835" s="79"/>
      <c r="Y835" s="79"/>
      <c r="AE835" s="130"/>
      <c r="AG835" s="106"/>
    </row>
    <row r="836">
      <c r="C836" s="79"/>
      <c r="D836" s="79"/>
      <c r="E836" s="79"/>
      <c r="O836" s="79"/>
      <c r="S836" s="79"/>
      <c r="T836" s="79"/>
      <c r="Y836" s="79"/>
      <c r="AE836" s="130"/>
      <c r="AG836" s="106"/>
    </row>
    <row r="837">
      <c r="C837" s="79"/>
      <c r="D837" s="79"/>
      <c r="E837" s="79"/>
      <c r="O837" s="79"/>
      <c r="S837" s="79"/>
      <c r="T837" s="79"/>
      <c r="Y837" s="79"/>
      <c r="AE837" s="130"/>
      <c r="AG837" s="106"/>
    </row>
    <row r="838">
      <c r="C838" s="79"/>
      <c r="D838" s="79"/>
      <c r="E838" s="79"/>
      <c r="O838" s="79"/>
      <c r="S838" s="79"/>
      <c r="T838" s="79"/>
      <c r="Y838" s="79"/>
      <c r="AE838" s="130"/>
      <c r="AG838" s="106"/>
    </row>
    <row r="839">
      <c r="C839" s="79"/>
      <c r="D839" s="79"/>
      <c r="E839" s="79"/>
      <c r="O839" s="79"/>
      <c r="S839" s="79"/>
      <c r="T839" s="79"/>
      <c r="Y839" s="79"/>
      <c r="AE839" s="130"/>
      <c r="AG839" s="106"/>
    </row>
    <row r="840">
      <c r="C840" s="79"/>
      <c r="D840" s="79"/>
      <c r="E840" s="79"/>
      <c r="O840" s="79"/>
      <c r="S840" s="79"/>
      <c r="T840" s="79"/>
      <c r="Y840" s="79"/>
      <c r="AE840" s="130"/>
      <c r="AG840" s="106"/>
    </row>
    <row r="841">
      <c r="C841" s="79"/>
      <c r="D841" s="79"/>
      <c r="E841" s="79"/>
      <c r="O841" s="79"/>
      <c r="S841" s="79"/>
      <c r="T841" s="79"/>
      <c r="Y841" s="79"/>
      <c r="AE841" s="130"/>
      <c r="AG841" s="106"/>
    </row>
    <row r="842">
      <c r="C842" s="79"/>
      <c r="D842" s="79"/>
      <c r="E842" s="79"/>
      <c r="O842" s="79"/>
      <c r="S842" s="79"/>
      <c r="T842" s="79"/>
      <c r="Y842" s="79"/>
      <c r="AE842" s="130"/>
      <c r="AG842" s="106"/>
    </row>
    <row r="843">
      <c r="C843" s="79"/>
      <c r="D843" s="79"/>
      <c r="E843" s="79"/>
      <c r="O843" s="79"/>
      <c r="S843" s="79"/>
      <c r="T843" s="79"/>
      <c r="Y843" s="79"/>
      <c r="AE843" s="130"/>
      <c r="AG843" s="106"/>
    </row>
    <row r="844">
      <c r="O844" s="79"/>
      <c r="S844" s="79"/>
      <c r="T844" s="79"/>
      <c r="Y844" s="79"/>
      <c r="AE844" s="130"/>
      <c r="AG844" s="106"/>
    </row>
    <row r="845">
      <c r="O845" s="79"/>
      <c r="S845" s="79"/>
      <c r="T845" s="79"/>
      <c r="Y845" s="79"/>
      <c r="AE845" s="130"/>
      <c r="AG845" s="106"/>
    </row>
    <row r="846">
      <c r="O846" s="79"/>
      <c r="S846" s="79"/>
      <c r="T846" s="79"/>
      <c r="Y846" s="79"/>
      <c r="AE846" s="130"/>
      <c r="AG846" s="106"/>
    </row>
    <row r="847">
      <c r="O847" s="79"/>
      <c r="S847" s="79"/>
      <c r="T847" s="79"/>
      <c r="Y847" s="79"/>
      <c r="AE847" s="130"/>
      <c r="AG847" s="106"/>
    </row>
    <row r="848">
      <c r="O848" s="79"/>
      <c r="S848" s="79"/>
      <c r="T848" s="79"/>
      <c r="Y848" s="79"/>
      <c r="AE848" s="130"/>
      <c r="AG848" s="106"/>
    </row>
    <row r="849">
      <c r="O849" s="79"/>
      <c r="S849" s="79"/>
      <c r="T849" s="79"/>
      <c r="Y849" s="79"/>
      <c r="AE849" s="130"/>
      <c r="AG849" s="106"/>
    </row>
    <row r="850">
      <c r="O850" s="79"/>
      <c r="S850" s="79"/>
      <c r="T850" s="79"/>
      <c r="Y850" s="79"/>
      <c r="AE850" s="130"/>
      <c r="AG850" s="106"/>
    </row>
    <row r="851">
      <c r="O851" s="79"/>
      <c r="S851" s="79"/>
      <c r="T851" s="79"/>
      <c r="Y851" s="79"/>
      <c r="AE851" s="130"/>
      <c r="AG851" s="106"/>
    </row>
    <row r="852">
      <c r="O852" s="79"/>
      <c r="S852" s="79"/>
      <c r="T852" s="79"/>
      <c r="Y852" s="79"/>
      <c r="AE852" s="130"/>
      <c r="AG852" s="106"/>
    </row>
    <row r="853">
      <c r="O853" s="79"/>
      <c r="S853" s="79"/>
      <c r="T853" s="79"/>
      <c r="Y853" s="79"/>
      <c r="AE853" s="130"/>
      <c r="AG853" s="106"/>
    </row>
    <row r="854">
      <c r="O854" s="79"/>
      <c r="S854" s="79"/>
      <c r="T854" s="79"/>
      <c r="Y854" s="79"/>
      <c r="AE854" s="130"/>
      <c r="AG854" s="106"/>
    </row>
    <row r="855">
      <c r="O855" s="79"/>
      <c r="S855" s="79"/>
      <c r="T855" s="79"/>
      <c r="Y855" s="79"/>
      <c r="AE855" s="130"/>
      <c r="AG855" s="106"/>
    </row>
    <row r="856">
      <c r="O856" s="79"/>
      <c r="S856" s="79"/>
      <c r="T856" s="79"/>
      <c r="Y856" s="79"/>
      <c r="AE856" s="130"/>
      <c r="AG856" s="106"/>
    </row>
  </sheetData>
  <autoFilter ref="$A$39:$F$100">
    <sortState ref="A39:F100">
      <sortCondition descending="1" sortBy="cellColor" ref="E39:E100" dxfId="1"/>
      <sortCondition descending="1" sortBy="cellColor" ref="C39:C100" dxfId="1"/>
      <sortCondition descending="1" sortBy="cellColor" ref="A39:A100" dxfId="1"/>
    </sortState>
  </autoFilter>
  <mergeCells count="1">
    <mergeCell ref="B36:E36"/>
  </mergeCells>
  <conditionalFormatting sqref="H40:H52">
    <cfRule type="cellIs" dxfId="2" priority="1" operator="greaterThanOrEqual">
      <formula>1</formula>
    </cfRule>
  </conditionalFormatting>
  <conditionalFormatting sqref="H40:H52">
    <cfRule type="cellIs" dxfId="3" priority="2" operator="lessThanOrEqual">
      <formula>0</formula>
    </cfRule>
  </conditionalFormatting>
  <drawing r:id="rId2"/>
  <legacyDrawing r:id="rId3"/>
  <tableParts count="2">
    <tablePart r:id="rId6"/>
    <tablePart r:id="rId7"/>
  </tableParts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3" max="3" width="27.88"/>
    <col customWidth="1" min="4" max="4" width="25.75"/>
    <col customWidth="1" min="5" max="5" width="20.88"/>
    <col customWidth="1" min="6" max="6" width="15.5"/>
    <col customWidth="1" min="7" max="7" width="25.13"/>
    <col customWidth="1" min="8" max="8" width="24.0"/>
    <col customWidth="1" min="9" max="10" width="15.5"/>
    <col customWidth="1" min="11" max="11" width="16.5"/>
    <col customWidth="1" min="12" max="13" width="15.5"/>
    <col customWidth="1" min="15" max="15" width="27.38"/>
    <col customWidth="1" min="17" max="17" width="11.13"/>
    <col customWidth="1" min="26" max="26" width="14.63"/>
    <col customWidth="1" min="29" max="29" width="19.88"/>
    <col customWidth="1" min="33" max="33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37</v>
      </c>
      <c r="J1" s="2" t="s">
        <v>5</v>
      </c>
      <c r="K1" s="2" t="s">
        <v>303</v>
      </c>
      <c r="L1" s="2" t="s">
        <v>6</v>
      </c>
      <c r="M1" s="2" t="s">
        <v>854</v>
      </c>
      <c r="N1" s="2" t="s">
        <v>49</v>
      </c>
      <c r="O1" s="105" t="s">
        <v>304</v>
      </c>
      <c r="P1" s="2" t="s">
        <v>37</v>
      </c>
      <c r="Q1" s="2" t="s">
        <v>10</v>
      </c>
      <c r="R1" s="2" t="s">
        <v>42</v>
      </c>
      <c r="S1" s="105" t="s">
        <v>656</v>
      </c>
      <c r="T1" s="105" t="s">
        <v>9</v>
      </c>
      <c r="U1" s="2" t="s">
        <v>164</v>
      </c>
      <c r="V1" s="105" t="s">
        <v>40</v>
      </c>
      <c r="W1" s="2" t="s">
        <v>83</v>
      </c>
      <c r="X1" s="2" t="s">
        <v>204</v>
      </c>
      <c r="Y1" s="105" t="s">
        <v>205</v>
      </c>
      <c r="Z1" s="2" t="s">
        <v>206</v>
      </c>
      <c r="AA1" s="2" t="s">
        <v>305</v>
      </c>
      <c r="AB1" s="3" t="s">
        <v>846</v>
      </c>
      <c r="AC1" s="3" t="s">
        <v>828</v>
      </c>
      <c r="AD1" s="3" t="s">
        <v>13</v>
      </c>
      <c r="AE1" s="3" t="s">
        <v>14</v>
      </c>
      <c r="AF1" s="3" t="s">
        <v>15</v>
      </c>
      <c r="AG1" s="106"/>
      <c r="AH1" s="265" t="s">
        <v>306</v>
      </c>
      <c r="AI1" s="266" t="s">
        <v>80</v>
      </c>
    </row>
    <row r="2">
      <c r="A2" s="74">
        <v>45670.0</v>
      </c>
      <c r="B2" s="93"/>
      <c r="C2" s="93"/>
      <c r="D2" s="93"/>
      <c r="E2" s="93"/>
      <c r="F2" s="93"/>
      <c r="G2" s="93">
        <v>180.0</v>
      </c>
      <c r="H2" s="93"/>
      <c r="I2" s="93"/>
      <c r="J2" s="374"/>
      <c r="K2" s="93"/>
      <c r="L2" s="93"/>
      <c r="M2" s="93"/>
      <c r="N2" s="93"/>
      <c r="O2" s="93"/>
      <c r="P2" s="72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382">
        <v>330.0</v>
      </c>
      <c r="AC2" s="386"/>
      <c r="AD2" s="107">
        <f>SUM(B2:AA2)</f>
        <v>180</v>
      </c>
      <c r="AE2" s="158">
        <v>0.0</v>
      </c>
      <c r="AF2" s="59" t="str">
        <f t="shared" ref="AF2:AF8" si="1">AD2/AE2</f>
        <v>#DIV/0!</v>
      </c>
      <c r="AG2" s="109">
        <f t="shared" ref="AG2:AG8" si="2">A2</f>
        <v>45670</v>
      </c>
      <c r="AH2" s="267"/>
      <c r="AI2" s="268">
        <f t="shared" ref="AI2:AI8" si="3">AE2-AH2</f>
        <v>0</v>
      </c>
    </row>
    <row r="3">
      <c r="A3" s="74">
        <f t="shared" ref="A3:A8" si="4">A2+1</f>
        <v>45671</v>
      </c>
      <c r="B3" s="93">
        <f>1665.41-17.89-35.66-172.08-380.13-53.06-21.44-102.8-24.37</f>
        <v>857.98</v>
      </c>
      <c r="C3" s="93">
        <f>685-38.7-7.4-38-48.7-26-61.95</f>
        <v>464.25</v>
      </c>
      <c r="D3" s="93">
        <f>220.2</f>
        <v>220.2</v>
      </c>
      <c r="E3" s="93"/>
      <c r="F3" s="93"/>
      <c r="G3" s="93"/>
      <c r="H3" s="168"/>
      <c r="I3" s="93"/>
      <c r="J3" s="93">
        <f>1695.95-99</f>
        <v>1596.95</v>
      </c>
      <c r="K3" s="93"/>
      <c r="L3" s="93"/>
      <c r="M3" s="93"/>
      <c r="N3" s="93">
        <v>648.0</v>
      </c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326"/>
      <c r="AB3" s="326"/>
      <c r="AC3" s="326"/>
      <c r="AD3" s="107">
        <f t="shared" ref="AD3:AD8" si="5">SUM(B3:Z3)</f>
        <v>3787.38</v>
      </c>
      <c r="AE3" s="158">
        <v>9385.0</v>
      </c>
      <c r="AF3" s="59">
        <f t="shared" si="1"/>
        <v>0.4035567395</v>
      </c>
      <c r="AG3" s="109">
        <f t="shared" si="2"/>
        <v>45671</v>
      </c>
      <c r="AH3" s="267"/>
      <c r="AI3" s="268">
        <f t="shared" si="3"/>
        <v>9385</v>
      </c>
    </row>
    <row r="4">
      <c r="A4" s="74">
        <f t="shared" si="4"/>
        <v>45672</v>
      </c>
      <c r="B4" s="93">
        <f>778.72-5.89-39.9-54.94-105.61</f>
        <v>572.38</v>
      </c>
      <c r="C4" s="93">
        <f>392.1-26</f>
        <v>366.1</v>
      </c>
      <c r="D4" s="93">
        <f>588.6-67.2-106.4+415</f>
        <v>830</v>
      </c>
      <c r="E4" s="93"/>
      <c r="F4" s="93"/>
      <c r="G4" s="93"/>
      <c r="H4" s="168"/>
      <c r="I4" s="93"/>
      <c r="J4" s="93"/>
      <c r="K4" s="93"/>
      <c r="L4" s="93"/>
      <c r="M4" s="93"/>
      <c r="N4" s="93"/>
      <c r="O4" s="93"/>
      <c r="P4" s="160"/>
      <c r="Q4" s="93"/>
      <c r="R4" s="93"/>
      <c r="S4" s="93"/>
      <c r="T4" s="93"/>
      <c r="U4" s="93"/>
      <c r="V4" s="93"/>
      <c r="W4" s="93"/>
      <c r="X4" s="93"/>
      <c r="Y4" s="93"/>
      <c r="Z4" s="101"/>
      <c r="AA4" s="326"/>
      <c r="AB4" s="326"/>
      <c r="AC4" s="326"/>
      <c r="AD4" s="107">
        <f t="shared" si="5"/>
        <v>1768.48</v>
      </c>
      <c r="AE4" s="158">
        <v>7444.7</v>
      </c>
      <c r="AF4" s="59">
        <f t="shared" si="1"/>
        <v>0.2375488603</v>
      </c>
      <c r="AG4" s="109">
        <f t="shared" si="2"/>
        <v>45672</v>
      </c>
      <c r="AH4" s="267"/>
      <c r="AI4" s="268">
        <f t="shared" si="3"/>
        <v>7444.7</v>
      </c>
    </row>
    <row r="5">
      <c r="A5" s="74">
        <f t="shared" si="4"/>
        <v>45673</v>
      </c>
      <c r="B5" s="93">
        <f>1073.31-33.12-24.91-27.06-53.44-35.82-27.1-212-102.8-62.66-27.09</f>
        <v>467.31</v>
      </c>
      <c r="C5" s="93">
        <f>390.3-23.2-8.5-22.6-81.8</f>
        <v>254.2</v>
      </c>
      <c r="D5" s="93"/>
      <c r="E5" s="93"/>
      <c r="F5" s="166"/>
      <c r="G5" s="93">
        <v>180.0</v>
      </c>
      <c r="I5" s="160"/>
      <c r="J5" s="93">
        <v>978.75</v>
      </c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101"/>
      <c r="Z5" s="101"/>
      <c r="AA5" s="327"/>
      <c r="AB5" s="327"/>
      <c r="AC5" s="93">
        <f>330.5*5</f>
        <v>1652.5</v>
      </c>
      <c r="AD5" s="7">
        <f t="shared" si="5"/>
        <v>1880.26</v>
      </c>
      <c r="AE5" s="380">
        <v>8489.0</v>
      </c>
      <c r="AF5" s="59">
        <f t="shared" si="1"/>
        <v>0.2214936977</v>
      </c>
      <c r="AG5" s="109">
        <f t="shared" si="2"/>
        <v>45673</v>
      </c>
      <c r="AH5" s="267"/>
      <c r="AI5" s="268">
        <f t="shared" si="3"/>
        <v>8489</v>
      </c>
    </row>
    <row r="6">
      <c r="A6" s="74">
        <f t="shared" si="4"/>
        <v>45674</v>
      </c>
      <c r="B6" s="93">
        <f>984.55-51.33-51.15-26-8.15-20.04-66.68-13.72-27.09-7.08-33.22-172.08</f>
        <v>508.01</v>
      </c>
      <c r="C6" s="93">
        <f>308.8-22.4-84.7</f>
        <v>201.7</v>
      </c>
      <c r="D6" s="93"/>
      <c r="E6" s="93"/>
      <c r="F6" s="79"/>
      <c r="G6" s="93"/>
      <c r="H6" s="160"/>
      <c r="I6" s="93"/>
      <c r="J6" s="374"/>
      <c r="K6" s="93"/>
      <c r="L6" s="93"/>
      <c r="M6" s="93"/>
      <c r="N6" s="93">
        <v>324.0</v>
      </c>
      <c r="O6" s="93"/>
      <c r="P6" s="93"/>
      <c r="Q6" s="93"/>
      <c r="R6" s="93"/>
      <c r="S6" s="93"/>
      <c r="T6" s="374"/>
      <c r="U6" s="93"/>
      <c r="V6" s="93"/>
      <c r="W6" s="93"/>
      <c r="X6" s="93"/>
      <c r="Y6" s="93"/>
      <c r="Z6" s="93"/>
      <c r="AA6" s="327"/>
      <c r="AB6" s="327"/>
      <c r="AC6" s="327"/>
      <c r="AD6" s="7">
        <f t="shared" si="5"/>
        <v>1033.71</v>
      </c>
      <c r="AE6" s="380">
        <v>13324.0</v>
      </c>
      <c r="AF6" s="59">
        <f t="shared" si="1"/>
        <v>0.07758255779</v>
      </c>
      <c r="AG6" s="109">
        <f t="shared" si="2"/>
        <v>45674</v>
      </c>
      <c r="AH6" s="267"/>
      <c r="AI6" s="268">
        <f t="shared" si="3"/>
        <v>13324</v>
      </c>
    </row>
    <row r="7">
      <c r="A7" s="74">
        <f t="shared" si="4"/>
        <v>45675</v>
      </c>
      <c r="B7" s="93">
        <f>593.73-125.32-17.41-90-26.84-18.12-8.24-13.61-14.47-13.41-27.08-8.52</f>
        <v>230.71</v>
      </c>
      <c r="C7" s="361"/>
      <c r="D7" s="93"/>
      <c r="E7" s="79"/>
      <c r="F7" s="93"/>
      <c r="G7" s="93">
        <v>180.0</v>
      </c>
      <c r="H7" s="79"/>
      <c r="I7" s="93"/>
      <c r="J7" s="93"/>
      <c r="K7" s="93"/>
      <c r="L7" s="93"/>
      <c r="M7" s="93"/>
      <c r="N7" s="93"/>
      <c r="O7" s="93"/>
      <c r="P7" s="402"/>
      <c r="Q7" s="93">
        <v>204.71</v>
      </c>
      <c r="R7" s="93"/>
      <c r="S7" s="101"/>
      <c r="T7" s="93"/>
      <c r="U7" s="93"/>
      <c r="V7" s="93"/>
      <c r="W7" s="93"/>
      <c r="X7" s="93"/>
      <c r="Y7" s="101"/>
      <c r="Z7" s="93"/>
      <c r="AA7" s="327"/>
      <c r="AB7" s="327"/>
      <c r="AC7" s="327"/>
      <c r="AD7" s="7">
        <f t="shared" si="5"/>
        <v>615.42</v>
      </c>
      <c r="AE7" s="380">
        <v>14205.0</v>
      </c>
      <c r="AF7" s="59">
        <f t="shared" si="1"/>
        <v>0.04332418163</v>
      </c>
      <c r="AG7" s="109">
        <f t="shared" si="2"/>
        <v>45675</v>
      </c>
      <c r="AH7" s="267"/>
      <c r="AI7" s="268">
        <f t="shared" si="3"/>
        <v>14205</v>
      </c>
    </row>
    <row r="8">
      <c r="A8" s="74">
        <f t="shared" si="4"/>
        <v>45676</v>
      </c>
      <c r="B8" s="93"/>
      <c r="C8" s="374"/>
      <c r="D8" s="180">
        <f>1328.5-300</f>
        <v>1028.5</v>
      </c>
      <c r="E8" s="374"/>
      <c r="F8" s="374"/>
      <c r="G8" s="112"/>
      <c r="H8" s="93"/>
      <c r="I8" s="344">
        <v>392.0</v>
      </c>
      <c r="J8" s="402"/>
      <c r="K8" s="44">
        <v>290.0</v>
      </c>
      <c r="L8" s="112"/>
      <c r="M8" s="112"/>
      <c r="N8" s="93"/>
      <c r="O8" s="93"/>
      <c r="P8" s="93"/>
      <c r="Q8" s="93"/>
      <c r="R8" s="374"/>
      <c r="S8" s="101"/>
      <c r="T8" s="374"/>
      <c r="U8" s="344">
        <v>352.0</v>
      </c>
      <c r="V8" s="112"/>
      <c r="W8" s="112"/>
      <c r="X8" s="112"/>
      <c r="Y8" s="112"/>
      <c r="Z8" s="112"/>
      <c r="AA8" s="93"/>
      <c r="AB8" s="433"/>
      <c r="AC8" s="616"/>
      <c r="AD8" s="7">
        <f t="shared" si="5"/>
        <v>2062.5</v>
      </c>
      <c r="AE8" s="380">
        <v>0.0</v>
      </c>
      <c r="AF8" s="59" t="str">
        <f t="shared" si="1"/>
        <v>#DIV/0!</v>
      </c>
      <c r="AG8" s="109">
        <f t="shared" si="2"/>
        <v>45676</v>
      </c>
      <c r="AH8" s="267"/>
      <c r="AI8" s="268">
        <f t="shared" si="3"/>
        <v>0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E9" s="129"/>
      <c r="AG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E10" s="129"/>
      <c r="AG10" s="106"/>
    </row>
    <row r="11">
      <c r="A11" s="165" t="s">
        <v>194</v>
      </c>
      <c r="B11" s="93">
        <f>21.44+5.89+39.9+54.94+53.44+35.82+102.8+24.37+51.33+51.15+26+8.15+20.04+13.41+27.08+8.52</f>
        <v>544.28</v>
      </c>
      <c r="C11" s="93">
        <f>106.4+23.2</f>
        <v>129.6</v>
      </c>
      <c r="D11" s="180">
        <v>300.0</v>
      </c>
      <c r="E11" s="167"/>
      <c r="F11" s="168"/>
      <c r="G11" s="168"/>
      <c r="H11" s="93"/>
      <c r="I11" s="166"/>
      <c r="J11" s="93"/>
      <c r="K11" s="168"/>
      <c r="L11" s="93"/>
      <c r="M11" s="93"/>
      <c r="N11" s="93"/>
      <c r="O11" s="168"/>
      <c r="P11" s="168"/>
      <c r="Q11" s="168"/>
      <c r="R11" s="168"/>
      <c r="S11" s="168"/>
      <c r="T11" s="168"/>
      <c r="U11" s="168"/>
      <c r="V11" s="168"/>
      <c r="W11" s="1"/>
      <c r="X11" s="168"/>
      <c r="Y11" s="168"/>
      <c r="Z11" s="1"/>
      <c r="AA11" s="96"/>
      <c r="AB11" s="1"/>
      <c r="AC11" s="1"/>
      <c r="AD11" s="1"/>
      <c r="AE11" s="169"/>
      <c r="AF11" s="1"/>
      <c r="AG11" s="170"/>
    </row>
    <row r="12">
      <c r="A12" s="165" t="s">
        <v>195</v>
      </c>
      <c r="B12" s="93">
        <f>281.91+172.08+380.13+53.06+105.6+33.12+24.91+27.06+27.1+102.08+27.09+66.68+13.72+27.09+7.08+33.22+172.08+90+26.84+18.12+8.24+13.61+14.47+53.27</f>
        <v>1778.56</v>
      </c>
      <c r="C12" s="93">
        <f>67.2+8.5+22.6+81.8+140.15+22.4+84.7</f>
        <v>427.35</v>
      </c>
      <c r="D12" s="93"/>
      <c r="E12" s="93"/>
      <c r="F12" s="374"/>
      <c r="G12" s="93"/>
      <c r="H12" s="79"/>
      <c r="I12" s="93"/>
      <c r="J12" s="93">
        <v>99.0</v>
      </c>
      <c r="K12" s="79"/>
      <c r="L12" s="93"/>
      <c r="M12" s="93"/>
      <c r="N12" s="93">
        <f>72+78</f>
        <v>150</v>
      </c>
      <c r="O12" s="168"/>
      <c r="P12" s="168"/>
      <c r="Q12" s="93"/>
      <c r="R12" s="166"/>
      <c r="S12" s="93"/>
      <c r="T12" s="166"/>
      <c r="U12" s="168"/>
      <c r="V12" s="168"/>
      <c r="W12" s="1"/>
      <c r="X12" s="93"/>
      <c r="Y12" s="168"/>
      <c r="Z12" s="1"/>
      <c r="AA12" s="1"/>
      <c r="AB12" s="192"/>
      <c r="AC12" s="1"/>
      <c r="AD12" s="1"/>
      <c r="AE12" s="171"/>
      <c r="AF12" s="1"/>
      <c r="AG12" s="170"/>
    </row>
    <row r="13" hidden="1">
      <c r="A13" s="172" t="s">
        <v>817</v>
      </c>
      <c r="B13" s="93"/>
      <c r="C13" s="93"/>
      <c r="D13" s="93"/>
      <c r="E13" s="93"/>
      <c r="F13" s="374"/>
      <c r="G13" s="93"/>
      <c r="H13" s="93"/>
      <c r="I13" s="93"/>
      <c r="J13" s="93"/>
      <c r="K13" s="374"/>
      <c r="L13" s="93"/>
      <c r="M13" s="93"/>
      <c r="N13" s="93"/>
      <c r="O13" s="166"/>
      <c r="P13" s="168"/>
      <c r="Q13" s="93"/>
      <c r="R13" s="166"/>
      <c r="S13" s="168"/>
      <c r="T13" s="166"/>
      <c r="U13" s="93"/>
      <c r="V13" s="168"/>
      <c r="W13" s="1"/>
      <c r="X13" s="93"/>
      <c r="Y13" s="168"/>
      <c r="Z13" s="1"/>
      <c r="AA13" s="1"/>
      <c r="AB13" s="1"/>
      <c r="AC13" s="1"/>
      <c r="AD13" s="1"/>
      <c r="AE13" s="171"/>
      <c r="AF13" s="1"/>
      <c r="AG13" s="170"/>
    </row>
    <row r="14">
      <c r="A14" s="172" t="s">
        <v>198</v>
      </c>
      <c r="B14" s="93">
        <v>212.0</v>
      </c>
      <c r="C14" s="348"/>
      <c r="D14" s="93"/>
      <c r="E14" s="168"/>
      <c r="F14" s="166"/>
      <c r="G14" s="166"/>
      <c r="H14" s="168"/>
      <c r="I14" s="168"/>
      <c r="J14" s="93"/>
      <c r="K14" s="168"/>
      <c r="L14" s="168"/>
      <c r="M14" s="168"/>
      <c r="N14" s="93"/>
      <c r="O14" s="168"/>
      <c r="P14" s="168"/>
      <c r="Q14" s="93"/>
      <c r="R14" s="168"/>
      <c r="S14" s="168"/>
      <c r="T14" s="168"/>
      <c r="U14" s="1"/>
      <c r="V14" s="1"/>
      <c r="W14" s="1"/>
      <c r="X14" s="168"/>
      <c r="Y14" s="168"/>
      <c r="Z14" s="1"/>
      <c r="AA14" s="1"/>
      <c r="AB14" s="1"/>
      <c r="AC14" s="1"/>
      <c r="AD14" s="1"/>
      <c r="AE14" s="174"/>
      <c r="AF14" s="1"/>
      <c r="AG14" s="170"/>
    </row>
    <row r="15">
      <c r="A15" s="91"/>
      <c r="B15" s="375"/>
      <c r="C15" s="79"/>
      <c r="D15" s="79"/>
      <c r="E15" s="79"/>
      <c r="F15" s="78"/>
      <c r="G15" s="78"/>
      <c r="H15" s="79"/>
      <c r="I15" s="78"/>
      <c r="J15" s="79"/>
      <c r="K15" s="79"/>
      <c r="L15" s="79"/>
      <c r="M15" s="79"/>
      <c r="N15" s="79"/>
      <c r="O15" s="79"/>
      <c r="R15" s="79"/>
      <c r="S15" s="79"/>
      <c r="T15" s="198"/>
      <c r="U15" s="198"/>
      <c r="Y15" s="79"/>
      <c r="AE15" s="131"/>
      <c r="AG15" s="106"/>
    </row>
    <row r="16">
      <c r="A16" s="91"/>
      <c r="B16" s="375"/>
      <c r="C16" s="79"/>
      <c r="D16" s="78"/>
      <c r="E16" s="78"/>
      <c r="F16" s="205"/>
      <c r="G16" s="351"/>
      <c r="H16" s="192"/>
      <c r="I16" s="198"/>
      <c r="J16" s="201"/>
      <c r="K16" s="199"/>
      <c r="L16" s="199"/>
      <c r="M16" s="200"/>
      <c r="N16" s="202"/>
      <c r="O16" s="198"/>
      <c r="R16" s="198"/>
      <c r="S16" s="79"/>
      <c r="T16" s="198"/>
      <c r="U16" s="198"/>
      <c r="V16" s="198"/>
      <c r="W16" s="198"/>
      <c r="X16" s="199"/>
      <c r="Y16" s="79"/>
      <c r="AE16" s="131"/>
      <c r="AG16" s="106"/>
    </row>
    <row r="17">
      <c r="A17" s="4" t="s">
        <v>22</v>
      </c>
      <c r="B17" s="11">
        <v>13000.0</v>
      </c>
      <c r="C17" s="79"/>
      <c r="D17" s="78"/>
      <c r="E17" s="78"/>
      <c r="F17" s="587"/>
      <c r="G17" s="175"/>
      <c r="H17" s="192"/>
      <c r="I17" s="203"/>
      <c r="J17" s="203"/>
      <c r="K17" s="203"/>
      <c r="L17" s="203"/>
      <c r="M17" s="198"/>
      <c r="N17" s="200"/>
      <c r="O17" s="198"/>
      <c r="P17" s="204"/>
      <c r="R17" s="203"/>
      <c r="S17" s="427"/>
      <c r="T17" s="201"/>
      <c r="U17" s="198"/>
      <c r="V17" s="198"/>
      <c r="W17" s="198"/>
      <c r="X17" s="201"/>
      <c r="Y17" s="79"/>
      <c r="AE17" s="131"/>
      <c r="AG17" s="106"/>
    </row>
    <row r="18">
      <c r="A18" s="4" t="s">
        <v>23</v>
      </c>
      <c r="B18" s="11">
        <f>SUM(B2:AC8)</f>
        <v>13310.25</v>
      </c>
      <c r="C18" s="192"/>
      <c r="D18" s="78"/>
      <c r="E18" s="78"/>
      <c r="F18" s="213"/>
      <c r="G18" s="224"/>
      <c r="H18" s="38"/>
      <c r="I18" s="175"/>
      <c r="J18" s="203"/>
      <c r="K18" s="203"/>
      <c r="L18" s="203"/>
      <c r="M18" s="201"/>
      <c r="N18" s="201"/>
      <c r="O18" s="198"/>
      <c r="P18" s="204"/>
      <c r="R18" s="203"/>
      <c r="S18" s="79"/>
      <c r="T18" s="201"/>
      <c r="U18" s="201"/>
      <c r="V18" s="198"/>
      <c r="W18" s="198"/>
      <c r="X18" s="191"/>
      <c r="Y18" s="79"/>
      <c r="AE18" s="131"/>
      <c r="AG18" s="106"/>
    </row>
    <row r="19">
      <c r="A19" s="4" t="s">
        <v>24</v>
      </c>
      <c r="B19" s="11">
        <f> SUM(B17-B18)</f>
        <v>-310.25</v>
      </c>
      <c r="C19" s="79"/>
      <c r="D19" s="78"/>
      <c r="E19" s="151"/>
      <c r="F19" s="198"/>
      <c r="G19" s="224"/>
      <c r="H19" s="224"/>
      <c r="I19" s="203"/>
      <c r="J19" s="203"/>
      <c r="K19" s="203"/>
      <c r="L19" s="203"/>
      <c r="M19" s="201"/>
      <c r="N19" s="200"/>
      <c r="O19" s="198"/>
      <c r="P19" s="204"/>
      <c r="R19" s="203"/>
      <c r="S19" s="79"/>
      <c r="T19" s="210"/>
      <c r="U19" s="210"/>
      <c r="V19" s="198"/>
      <c r="W19" s="198"/>
      <c r="X19" s="203"/>
      <c r="Y19" s="79"/>
      <c r="AE19" s="131"/>
      <c r="AG19" s="106"/>
    </row>
    <row r="20">
      <c r="C20" s="79"/>
      <c r="E20" s="588" t="s">
        <v>195</v>
      </c>
      <c r="F20" s="198"/>
      <c r="G20" s="175"/>
      <c r="H20" s="224"/>
      <c r="I20" s="345"/>
      <c r="J20" s="203"/>
      <c r="K20" s="203"/>
      <c r="L20" s="203"/>
      <c r="N20" s="198"/>
      <c r="O20" s="198"/>
      <c r="P20" s="204"/>
      <c r="R20" s="203"/>
      <c r="S20" s="79"/>
      <c r="T20" s="198"/>
      <c r="U20" s="428"/>
      <c r="V20" s="198"/>
      <c r="W20" s="201"/>
      <c r="X20" s="203"/>
      <c r="Y20" s="79"/>
      <c r="AE20" s="131"/>
      <c r="AG20" s="106"/>
    </row>
    <row r="21">
      <c r="A21" s="13" t="s">
        <v>25</v>
      </c>
      <c r="B21" s="14">
        <f>SUM(AE2:AE8)</f>
        <v>52847.7</v>
      </c>
      <c r="C21" s="79"/>
      <c r="D21" s="13" t="s">
        <v>724</v>
      </c>
      <c r="E21" s="445">
        <f>sum(B12:AB13)+J57</f>
        <v>5730.539444</v>
      </c>
      <c r="F21" s="589"/>
      <c r="G21" s="651"/>
      <c r="H21" s="224"/>
      <c r="I21" s="203"/>
      <c r="J21" s="203"/>
      <c r="K21" s="203"/>
      <c r="L21" s="203"/>
      <c r="M21" s="203"/>
      <c r="N21" s="198"/>
      <c r="O21" s="198"/>
      <c r="P21" s="204"/>
      <c r="R21" s="203"/>
      <c r="S21" s="79"/>
      <c r="T21" s="198"/>
      <c r="U21" s="198"/>
      <c r="V21" s="198"/>
      <c r="W21" s="198"/>
      <c r="X21" s="203"/>
      <c r="Y21" s="79"/>
      <c r="AE21" s="181"/>
      <c r="AG21" s="106"/>
    </row>
    <row r="22">
      <c r="A22" s="13" t="s">
        <v>26</v>
      </c>
      <c r="B22" s="15">
        <f>B18/B21</f>
        <v>0.2518605351</v>
      </c>
      <c r="C22" s="79"/>
      <c r="D22" s="13" t="s">
        <v>25</v>
      </c>
      <c r="E22" s="445">
        <f>1248.5+8050+1871+3467</f>
        <v>14636.5</v>
      </c>
      <c r="F22" s="589"/>
      <c r="G22" s="651"/>
      <c r="H22" s="224"/>
      <c r="I22" s="203"/>
      <c r="J22" s="203"/>
      <c r="K22" s="203"/>
      <c r="L22" s="203"/>
      <c r="M22" s="203"/>
      <c r="N22" s="203"/>
      <c r="O22" s="198"/>
      <c r="P22" s="204"/>
      <c r="R22" s="203"/>
      <c r="S22" s="79"/>
      <c r="T22" s="198"/>
      <c r="U22" s="198"/>
      <c r="V22" s="198"/>
      <c r="W22" s="198"/>
      <c r="X22" s="203"/>
      <c r="Y22" s="79"/>
      <c r="AE22" s="130"/>
      <c r="AG22" s="106"/>
    </row>
    <row r="23">
      <c r="C23" s="79"/>
      <c r="D23" s="448" t="s">
        <v>26</v>
      </c>
      <c r="E23" s="449">
        <f>E21/E22</f>
        <v>0.3915238919</v>
      </c>
      <c r="F23" s="590"/>
      <c r="G23" s="240"/>
      <c r="H23" s="224"/>
      <c r="I23" s="78"/>
      <c r="J23" s="203"/>
      <c r="K23" s="203"/>
      <c r="L23" s="203"/>
      <c r="M23" s="203"/>
      <c r="N23" s="201"/>
      <c r="O23" s="198"/>
      <c r="P23" s="204"/>
      <c r="R23" s="198"/>
      <c r="S23" s="79"/>
      <c r="T23" s="198"/>
      <c r="U23" s="198"/>
      <c r="V23" s="198"/>
      <c r="W23" s="198"/>
      <c r="X23" s="203"/>
      <c r="Y23" s="79"/>
      <c r="AE23" s="182"/>
      <c r="AG23" s="106"/>
    </row>
    <row r="24">
      <c r="C24" s="79"/>
      <c r="D24" s="79"/>
      <c r="E24" s="79"/>
      <c r="F24" s="198"/>
      <c r="G24" s="192"/>
      <c r="H24" s="213"/>
      <c r="I24" s="203"/>
      <c r="J24" s="212"/>
      <c r="K24" s="203"/>
      <c r="L24" s="203"/>
      <c r="M24" s="203"/>
      <c r="N24" s="201"/>
      <c r="O24" s="198"/>
      <c r="P24" s="204"/>
      <c r="R24" s="198"/>
      <c r="S24" s="79"/>
      <c r="T24" s="198"/>
      <c r="U24" s="198"/>
      <c r="V24" s="198"/>
      <c r="W24" s="198"/>
      <c r="X24" s="203"/>
      <c r="Y24" s="79"/>
      <c r="AE24" s="130"/>
      <c r="AG24" s="106"/>
    </row>
    <row r="25">
      <c r="A25" s="16" t="s">
        <v>27</v>
      </c>
      <c r="B25" s="17"/>
      <c r="C25" s="114"/>
      <c r="D25" s="114"/>
      <c r="E25" s="114"/>
      <c r="F25" s="198"/>
      <c r="G25" s="78"/>
      <c r="H25" s="224"/>
      <c r="I25" s="78"/>
      <c r="J25" s="79"/>
      <c r="K25" s="203"/>
      <c r="L25" s="217"/>
      <c r="M25" s="208"/>
      <c r="N25" s="198"/>
      <c r="O25" s="198"/>
      <c r="P25" s="204"/>
      <c r="R25" s="200"/>
      <c r="S25" s="79"/>
      <c r="T25" s="198"/>
      <c r="U25" s="198"/>
      <c r="V25" s="198"/>
      <c r="W25" s="198"/>
      <c r="X25" s="203"/>
      <c r="Y25" s="79"/>
      <c r="AE25" s="130"/>
      <c r="AG25" s="106"/>
    </row>
    <row r="26">
      <c r="A26" s="19" t="s">
        <v>28</v>
      </c>
      <c r="B26" s="20"/>
      <c r="C26" s="116"/>
      <c r="D26" s="116"/>
      <c r="E26" s="116"/>
      <c r="F26" s="198"/>
      <c r="G26" s="212"/>
      <c r="H26" s="213"/>
      <c r="I26" s="224"/>
      <c r="J26" s="78"/>
      <c r="K26" s="203"/>
      <c r="L26" s="203"/>
      <c r="M26" s="209"/>
      <c r="N26" s="201">
        <f>463*4</f>
        <v>1852</v>
      </c>
      <c r="O26" s="198"/>
      <c r="P26" s="204"/>
      <c r="R26" s="198"/>
      <c r="S26" s="79"/>
      <c r="T26" s="198"/>
      <c r="U26" s="198"/>
      <c r="V26" s="198"/>
      <c r="W26" s="198"/>
      <c r="X26" s="203"/>
      <c r="Y26" s="79"/>
      <c r="AE26" s="130"/>
      <c r="AG26" s="106"/>
    </row>
    <row r="27">
      <c r="A27" s="183" t="s">
        <v>29</v>
      </c>
      <c r="B27" s="184" t="s">
        <v>30</v>
      </c>
      <c r="C27" s="183"/>
      <c r="D27" s="183" t="s">
        <v>170</v>
      </c>
      <c r="E27" s="591" t="s">
        <v>171</v>
      </c>
      <c r="F27" s="198"/>
      <c r="G27" s="79"/>
      <c r="H27" s="242"/>
      <c r="I27" s="79"/>
      <c r="J27" s="79"/>
      <c r="K27" s="203"/>
      <c r="L27" s="201"/>
      <c r="M27" s="209"/>
      <c r="N27" s="198"/>
      <c r="O27" s="198"/>
      <c r="P27" s="204"/>
      <c r="R27" s="198"/>
      <c r="S27" s="79"/>
      <c r="T27" s="198"/>
      <c r="U27" s="198"/>
      <c r="V27" s="198"/>
      <c r="W27" s="198"/>
      <c r="X27" s="203"/>
      <c r="Y27" s="79"/>
      <c r="Z27" s="195"/>
      <c r="AE27" s="130"/>
      <c r="AG27" s="106"/>
    </row>
    <row r="28">
      <c r="A28" s="237" t="s">
        <v>869</v>
      </c>
      <c r="B28" s="381">
        <f>+2657.81-1478.91+1459.9</f>
        <v>2638.8</v>
      </c>
      <c r="C28" s="239"/>
      <c r="D28" s="239"/>
      <c r="E28" s="239"/>
      <c r="F28" s="204"/>
      <c r="O28" s="79"/>
      <c r="S28" s="79"/>
      <c r="T28" s="79"/>
      <c r="Y28" s="79"/>
      <c r="AE28" s="130"/>
      <c r="AG28" s="106"/>
    </row>
    <row r="29">
      <c r="A29" s="173" t="s">
        <v>870</v>
      </c>
      <c r="B29" s="344">
        <f>295+314.82+393.89</f>
        <v>1003.71</v>
      </c>
      <c r="C29" s="241"/>
      <c r="D29" s="241"/>
      <c r="E29" s="241"/>
      <c r="F29" s="204"/>
      <c r="O29" s="79"/>
      <c r="S29" s="79"/>
      <c r="T29" s="79"/>
      <c r="Y29" s="79"/>
      <c r="AE29" s="130"/>
      <c r="AG29" s="106"/>
    </row>
    <row r="30">
      <c r="A30" s="221" t="s">
        <v>871</v>
      </c>
      <c r="B30" s="341">
        <v>227.39</v>
      </c>
      <c r="C30" s="223"/>
      <c r="D30" s="223"/>
      <c r="E30" s="223"/>
      <c r="F30" s="204"/>
      <c r="O30" s="79"/>
      <c r="S30" s="79"/>
      <c r="T30" s="79"/>
      <c r="Y30" s="79"/>
      <c r="AE30" s="130"/>
      <c r="AG30" s="106"/>
    </row>
    <row r="31">
      <c r="A31" s="221" t="s">
        <v>872</v>
      </c>
      <c r="B31" s="341">
        <f>+784-392+787.5</f>
        <v>1179.5</v>
      </c>
      <c r="C31" s="223" t="s">
        <v>540</v>
      </c>
      <c r="D31" s="223"/>
      <c r="E31" s="223"/>
      <c r="F31" s="204"/>
      <c r="O31" s="79"/>
      <c r="S31" s="79"/>
      <c r="T31" s="79"/>
      <c r="Y31" s="79"/>
      <c r="AE31" s="130"/>
      <c r="AG31" s="106"/>
    </row>
    <row r="32">
      <c r="A32" s="221" t="s">
        <v>873</v>
      </c>
      <c r="B32" s="341">
        <v>620.0</v>
      </c>
      <c r="C32" s="223"/>
      <c r="D32" s="223"/>
      <c r="E32" s="223"/>
      <c r="F32" s="204"/>
      <c r="O32" s="79"/>
      <c r="S32" s="79"/>
      <c r="T32" s="79"/>
      <c r="Y32" s="79"/>
      <c r="AE32" s="130"/>
      <c r="AG32" s="106"/>
    </row>
    <row r="33">
      <c r="A33" s="221" t="s">
        <v>874</v>
      </c>
      <c r="B33" s="341">
        <f>330.5*2</f>
        <v>661</v>
      </c>
      <c r="C33" s="223"/>
      <c r="D33" s="223"/>
      <c r="E33" s="223"/>
      <c r="F33" s="204"/>
      <c r="O33" s="79"/>
      <c r="S33" s="79"/>
      <c r="T33" s="79"/>
      <c r="Y33" s="79"/>
      <c r="AE33" s="130"/>
      <c r="AG33" s="106"/>
    </row>
    <row r="34">
      <c r="C34" s="79"/>
      <c r="D34" s="79"/>
      <c r="E34" s="79"/>
      <c r="O34" s="79"/>
      <c r="S34" s="79"/>
      <c r="T34" s="79"/>
      <c r="Y34" s="79"/>
      <c r="AE34" s="130"/>
      <c r="AG34" s="106"/>
    </row>
    <row r="35">
      <c r="A35" s="274"/>
      <c r="B35" s="275" t="s">
        <v>315</v>
      </c>
      <c r="F35" s="274"/>
      <c r="G35" s="274"/>
      <c r="H35" s="274"/>
      <c r="I35" s="274"/>
      <c r="J35" s="274"/>
      <c r="K35" s="274"/>
      <c r="L35" s="274"/>
      <c r="M35" s="274"/>
      <c r="N35" s="274"/>
      <c r="O35" s="274"/>
      <c r="P35" s="274"/>
      <c r="Q35" s="274"/>
      <c r="R35" s="274"/>
      <c r="S35" s="274"/>
      <c r="T35" s="274"/>
      <c r="U35" s="274"/>
      <c r="V35" s="274"/>
      <c r="W35" s="274"/>
      <c r="X35" s="274"/>
      <c r="Y35" s="274"/>
      <c r="Z35" s="274"/>
      <c r="AA35" s="274"/>
      <c r="AB35" s="274"/>
      <c r="AC35" s="274"/>
      <c r="AD35" s="274"/>
      <c r="AE35" s="276"/>
      <c r="AF35" s="274"/>
      <c r="AG35" s="277"/>
      <c r="AH35" s="274"/>
      <c r="AI35" s="274"/>
      <c r="AJ35" s="274"/>
    </row>
    <row r="36">
      <c r="A36" s="16" t="s">
        <v>316</v>
      </c>
      <c r="B36" s="17"/>
      <c r="C36" s="114"/>
      <c r="D36" s="114"/>
      <c r="E36" s="115"/>
      <c r="I36" s="455" t="s">
        <v>735</v>
      </c>
      <c r="J36" s="17"/>
      <c r="K36" s="114"/>
      <c r="L36" s="114"/>
      <c r="M36" s="115"/>
      <c r="P36" s="79"/>
      <c r="T36" s="79"/>
      <c r="U36" s="79"/>
      <c r="AE36" s="130"/>
      <c r="AG36" s="106"/>
    </row>
    <row r="37">
      <c r="A37" s="19" t="s">
        <v>317</v>
      </c>
      <c r="B37" s="20"/>
      <c r="C37" s="116"/>
      <c r="D37" s="116"/>
      <c r="E37" s="117"/>
      <c r="I37" s="599" t="s">
        <v>736</v>
      </c>
      <c r="J37" s="20"/>
      <c r="K37" s="116"/>
      <c r="L37" s="116"/>
      <c r="M37" s="117"/>
      <c r="P37" s="79"/>
      <c r="T37" s="79"/>
      <c r="U37" s="79"/>
      <c r="AE37" s="130"/>
      <c r="AG37" s="106"/>
    </row>
    <row r="38">
      <c r="A38" s="278" t="s">
        <v>318</v>
      </c>
      <c r="B38" s="279" t="s">
        <v>319</v>
      </c>
      <c r="C38" s="280" t="s">
        <v>285</v>
      </c>
      <c r="D38" s="280" t="s">
        <v>30</v>
      </c>
      <c r="E38" s="281" t="s">
        <v>320</v>
      </c>
      <c r="F38" s="281" t="s">
        <v>321</v>
      </c>
      <c r="H38" s="600" t="s">
        <v>743</v>
      </c>
      <c r="I38" s="507" t="s">
        <v>318</v>
      </c>
      <c r="J38" s="601" t="s">
        <v>319</v>
      </c>
      <c r="K38" s="507" t="s">
        <v>285</v>
      </c>
      <c r="L38" s="507" t="s">
        <v>737</v>
      </c>
      <c r="M38" s="507" t="s">
        <v>738</v>
      </c>
      <c r="N38" s="507" t="s">
        <v>739</v>
      </c>
      <c r="O38" s="602" t="s">
        <v>740</v>
      </c>
      <c r="P38" s="602" t="s">
        <v>741</v>
      </c>
      <c r="Q38" s="602" t="s">
        <v>320</v>
      </c>
      <c r="R38" s="507"/>
      <c r="S38" s="602" t="s">
        <v>740</v>
      </c>
      <c r="T38" s="602" t="s">
        <v>741</v>
      </c>
      <c r="U38" s="602" t="s">
        <v>320</v>
      </c>
      <c r="V38" s="507"/>
      <c r="W38" s="602" t="s">
        <v>740</v>
      </c>
      <c r="X38" s="602" t="s">
        <v>741</v>
      </c>
      <c r="Y38" s="602" t="s">
        <v>320</v>
      </c>
      <c r="AE38" s="130"/>
      <c r="AG38" s="106"/>
    </row>
    <row r="39">
      <c r="A39" s="289" t="s">
        <v>802</v>
      </c>
      <c r="B39" s="290">
        <v>45595.0</v>
      </c>
      <c r="C39" s="173" t="s">
        <v>325</v>
      </c>
      <c r="D39" s="180">
        <v>817.04</v>
      </c>
      <c r="E39" s="336"/>
      <c r="F39" s="173" t="s">
        <v>830</v>
      </c>
      <c r="H39" s="603">
        <f t="shared" ref="H39:H51" si="6">L39+O39+S39+W39</f>
        <v>0</v>
      </c>
      <c r="I39" s="463">
        <v>607888.0</v>
      </c>
      <c r="J39" s="464">
        <v>45653.0</v>
      </c>
      <c r="K39" s="465" t="s">
        <v>437</v>
      </c>
      <c r="L39" s="466">
        <v>3.0</v>
      </c>
      <c r="M39" s="467">
        <v>1504.57</v>
      </c>
      <c r="N39" s="467">
        <f t="shared" ref="N39:N42" si="7">M39/L39</f>
        <v>501.5233333</v>
      </c>
      <c r="O39" s="652">
        <v>-3.0</v>
      </c>
      <c r="P39" s="622">
        <f t="shared" ref="P39:P41" si="8">O39*N39</f>
        <v>-1504.57</v>
      </c>
      <c r="Q39" s="653">
        <v>45662.0</v>
      </c>
      <c r="R39" s="583"/>
      <c r="S39" s="469"/>
      <c r="T39" s="534"/>
      <c r="U39" s="469"/>
      <c r="V39" s="583"/>
      <c r="W39" s="469"/>
      <c r="X39" s="469"/>
      <c r="Y39" s="469"/>
      <c r="Z39" s="483"/>
      <c r="AA39" s="483"/>
      <c r="AB39" s="483"/>
      <c r="AC39" s="483"/>
      <c r="AD39" s="483"/>
      <c r="AE39" s="492"/>
      <c r="AF39" s="483"/>
      <c r="AG39" s="493"/>
      <c r="AH39" s="483"/>
      <c r="AI39" s="483"/>
      <c r="AJ39" s="483"/>
    </row>
    <row r="40">
      <c r="A40" s="289" t="s">
        <v>810</v>
      </c>
      <c r="B40" s="290">
        <v>45602.0</v>
      </c>
      <c r="C40" s="173" t="s">
        <v>325</v>
      </c>
      <c r="D40" s="180">
        <v>812.54</v>
      </c>
      <c r="E40" s="336"/>
      <c r="F40" s="173" t="s">
        <v>830</v>
      </c>
      <c r="H40" s="603">
        <f t="shared" si="6"/>
        <v>0</v>
      </c>
      <c r="I40" s="463">
        <v>608100.0</v>
      </c>
      <c r="J40" s="464">
        <v>46022.0</v>
      </c>
      <c r="K40" s="465" t="s">
        <v>437</v>
      </c>
      <c r="L40" s="466">
        <v>9.0</v>
      </c>
      <c r="M40" s="467">
        <f>4305.17</f>
        <v>4305.17</v>
      </c>
      <c r="N40" s="467">
        <f t="shared" si="7"/>
        <v>478.3522222</v>
      </c>
      <c r="O40" s="652">
        <v>-3.0</v>
      </c>
      <c r="P40" s="622">
        <f t="shared" si="8"/>
        <v>-1435.056667</v>
      </c>
      <c r="Q40" s="653">
        <v>45662.0</v>
      </c>
      <c r="R40" s="583"/>
      <c r="S40" s="652">
        <v>-4.0</v>
      </c>
      <c r="T40" s="622">
        <f t="shared" ref="T40:T41" si="9">S40*N40</f>
        <v>-1913.408889</v>
      </c>
      <c r="U40" s="653">
        <v>45669.0</v>
      </c>
      <c r="V40" s="583"/>
      <c r="W40" s="173">
        <v>-2.0</v>
      </c>
      <c r="X40" s="343">
        <f>W40*N40</f>
        <v>-956.7044444</v>
      </c>
      <c r="Y40" s="654">
        <v>45676.0</v>
      </c>
      <c r="AE40" s="130"/>
      <c r="AG40" s="106"/>
    </row>
    <row r="41">
      <c r="A41" s="289" t="s">
        <v>824</v>
      </c>
      <c r="B41" s="290">
        <v>45609.0</v>
      </c>
      <c r="C41" s="173" t="s">
        <v>325</v>
      </c>
      <c r="D41" s="180">
        <v>829.32</v>
      </c>
      <c r="E41" s="336"/>
      <c r="F41" s="173" t="s">
        <v>830</v>
      </c>
      <c r="H41" s="603">
        <f t="shared" si="6"/>
        <v>0</v>
      </c>
      <c r="I41" s="463">
        <v>609641.0</v>
      </c>
      <c r="J41" s="464">
        <v>45665.0</v>
      </c>
      <c r="K41" s="465" t="s">
        <v>437</v>
      </c>
      <c r="L41" s="466">
        <v>6.0</v>
      </c>
      <c r="M41" s="467">
        <v>2782.71</v>
      </c>
      <c r="N41" s="467">
        <f t="shared" si="7"/>
        <v>463.785</v>
      </c>
      <c r="O41" s="342">
        <v>-5.0</v>
      </c>
      <c r="P41" s="637">
        <f t="shared" si="8"/>
        <v>-2318.925</v>
      </c>
      <c r="Q41" s="638">
        <v>45676.0</v>
      </c>
      <c r="R41" s="583"/>
      <c r="S41" s="173">
        <v>-1.0</v>
      </c>
      <c r="T41" s="637">
        <f t="shared" si="9"/>
        <v>-463.785</v>
      </c>
      <c r="U41" s="654">
        <v>45676.0</v>
      </c>
      <c r="V41" s="583"/>
      <c r="W41" s="469"/>
      <c r="X41" s="469"/>
      <c r="Y41" s="469"/>
      <c r="AE41" s="130"/>
      <c r="AG41" s="106"/>
    </row>
    <row r="42">
      <c r="A42" s="289" t="s">
        <v>831</v>
      </c>
      <c r="B42" s="290">
        <v>45616.0</v>
      </c>
      <c r="C42" s="173" t="s">
        <v>325</v>
      </c>
      <c r="D42" s="180">
        <v>821.53</v>
      </c>
      <c r="E42" s="336"/>
      <c r="F42" s="173" t="s">
        <v>830</v>
      </c>
      <c r="H42" s="603">
        <f t="shared" si="6"/>
        <v>6</v>
      </c>
      <c r="I42" s="463">
        <v>611034.0</v>
      </c>
      <c r="J42" s="464">
        <v>45672.0</v>
      </c>
      <c r="K42" s="465" t="s">
        <v>437</v>
      </c>
      <c r="L42" s="466">
        <v>6.0</v>
      </c>
      <c r="M42" s="467">
        <v>2892.55</v>
      </c>
      <c r="N42" s="467">
        <f t="shared" si="7"/>
        <v>482.0916667</v>
      </c>
      <c r="O42" s="489"/>
      <c r="P42" s="488"/>
      <c r="Q42" s="604"/>
      <c r="R42" s="583"/>
      <c r="S42" s="469"/>
      <c r="T42" s="534"/>
      <c r="U42" s="469"/>
      <c r="V42" s="583"/>
      <c r="W42" s="469"/>
      <c r="X42" s="469"/>
      <c r="Y42" s="469"/>
      <c r="AE42" s="130"/>
      <c r="AG42" s="106"/>
    </row>
    <row r="43">
      <c r="A43" s="289" t="s">
        <v>875</v>
      </c>
      <c r="B43" s="290">
        <v>45673.0</v>
      </c>
      <c r="C43" s="173" t="s">
        <v>325</v>
      </c>
      <c r="D43" s="180">
        <v>805.36</v>
      </c>
      <c r="E43" s="336"/>
      <c r="F43" s="173"/>
      <c r="H43" s="603">
        <f t="shared" si="6"/>
        <v>0</v>
      </c>
      <c r="I43" s="463"/>
      <c r="J43" s="464"/>
      <c r="K43" s="465"/>
      <c r="L43" s="466"/>
      <c r="M43" s="467"/>
      <c r="N43" s="467"/>
      <c r="O43" s="489"/>
      <c r="P43" s="488"/>
      <c r="Q43" s="604"/>
      <c r="R43" s="583"/>
      <c r="S43" s="469"/>
      <c r="T43" s="534"/>
      <c r="U43" s="469"/>
      <c r="V43" s="583"/>
      <c r="W43" s="469"/>
      <c r="X43" s="469"/>
      <c r="Y43" s="469"/>
      <c r="AE43" s="130"/>
      <c r="AG43" s="106"/>
    </row>
    <row r="44">
      <c r="A44" s="289" t="s">
        <v>876</v>
      </c>
      <c r="B44" s="290">
        <v>45675.0</v>
      </c>
      <c r="C44" s="173" t="s">
        <v>325</v>
      </c>
      <c r="D44" s="180">
        <v>1624.49</v>
      </c>
      <c r="E44" s="336"/>
      <c r="F44" s="173"/>
      <c r="H44" s="610">
        <f t="shared" si="6"/>
        <v>0</v>
      </c>
      <c r="I44" s="463"/>
      <c r="J44" s="464"/>
      <c r="K44" s="465"/>
      <c r="L44" s="466"/>
      <c r="M44" s="467"/>
      <c r="N44" s="467"/>
      <c r="O44" s="489"/>
      <c r="P44" s="488"/>
      <c r="Q44" s="604"/>
      <c r="R44" s="615"/>
      <c r="S44" s="469"/>
      <c r="T44" s="534"/>
      <c r="U44" s="469"/>
      <c r="V44" s="615"/>
      <c r="W44" s="469"/>
      <c r="X44" s="469"/>
      <c r="Y44" s="469"/>
      <c r="AE44" s="130"/>
      <c r="AG44" s="106"/>
    </row>
    <row r="45">
      <c r="A45" s="264" t="s">
        <v>860</v>
      </c>
      <c r="B45" s="639">
        <v>45663.0</v>
      </c>
      <c r="C45" s="166" t="s">
        <v>861</v>
      </c>
      <c r="D45" s="93">
        <f>754/2</f>
        <v>377</v>
      </c>
      <c r="E45" s="285"/>
      <c r="F45" s="264"/>
      <c r="H45" s="610">
        <f t="shared" si="6"/>
        <v>0</v>
      </c>
      <c r="I45" s="463"/>
      <c r="J45" s="464"/>
      <c r="K45" s="465"/>
      <c r="L45" s="466"/>
      <c r="M45" s="467"/>
      <c r="N45" s="467"/>
      <c r="O45" s="489"/>
      <c r="P45" s="488"/>
      <c r="Q45" s="604"/>
      <c r="R45" s="583"/>
      <c r="S45" s="469"/>
      <c r="T45" s="534"/>
      <c r="U45" s="469"/>
      <c r="V45" s="583"/>
      <c r="W45" s="469"/>
      <c r="X45" s="469"/>
      <c r="Y45" s="469"/>
      <c r="AE45" s="130"/>
      <c r="AG45" s="106"/>
    </row>
    <row r="46">
      <c r="A46" s="655" t="s">
        <v>862</v>
      </c>
      <c r="B46" s="656">
        <v>45663.0</v>
      </c>
      <c r="C46" s="322" t="s">
        <v>863</v>
      </c>
      <c r="D46" s="323">
        <f>237+100-337</f>
        <v>0</v>
      </c>
      <c r="E46" s="285"/>
      <c r="F46" s="264"/>
      <c r="H46" s="603">
        <f t="shared" si="6"/>
        <v>0</v>
      </c>
      <c r="I46" s="463"/>
      <c r="J46" s="464"/>
      <c r="K46" s="465"/>
      <c r="L46" s="466"/>
      <c r="M46" s="467"/>
      <c r="N46" s="467"/>
      <c r="O46" s="489"/>
      <c r="P46" s="488"/>
      <c r="Q46" s="604"/>
      <c r="R46" s="583"/>
      <c r="S46" s="469"/>
      <c r="T46" s="534"/>
      <c r="U46" s="469"/>
      <c r="V46" s="583"/>
      <c r="W46" s="469"/>
      <c r="X46" s="469"/>
      <c r="Y46" s="469"/>
      <c r="AE46" s="130"/>
      <c r="AG46" s="106"/>
    </row>
    <row r="47">
      <c r="A47" s="655" t="s">
        <v>864</v>
      </c>
      <c r="B47" s="656">
        <v>45664.0</v>
      </c>
      <c r="C47" s="322" t="s">
        <v>845</v>
      </c>
      <c r="D47" s="323">
        <f>2657.81-1478.91-1178.9</f>
        <v>0</v>
      </c>
      <c r="E47" s="291"/>
      <c r="F47" s="264"/>
      <c r="H47" s="603">
        <f t="shared" si="6"/>
        <v>0</v>
      </c>
      <c r="I47" s="463"/>
      <c r="J47" s="464"/>
      <c r="K47" s="465"/>
      <c r="L47" s="466"/>
      <c r="M47" s="467"/>
      <c r="N47" s="467"/>
      <c r="O47" s="489"/>
      <c r="P47" s="488"/>
      <c r="Q47" s="604"/>
      <c r="R47" s="583"/>
      <c r="S47" s="469"/>
      <c r="T47" s="534"/>
      <c r="U47" s="469"/>
      <c r="V47" s="583"/>
      <c r="W47" s="469"/>
      <c r="X47" s="469"/>
      <c r="Y47" s="469"/>
      <c r="AE47" s="130"/>
      <c r="AG47" s="106"/>
    </row>
    <row r="48">
      <c r="A48" s="264" t="s">
        <v>865</v>
      </c>
      <c r="B48" s="639">
        <v>45666.0</v>
      </c>
      <c r="C48" s="166" t="s">
        <v>866</v>
      </c>
      <c r="D48" s="93">
        <v>314.82</v>
      </c>
      <c r="E48" s="285"/>
      <c r="F48" s="264"/>
      <c r="H48" s="603">
        <f t="shared" si="6"/>
        <v>0</v>
      </c>
      <c r="I48" s="463"/>
      <c r="J48" s="464"/>
      <c r="K48" s="465"/>
      <c r="L48" s="466"/>
      <c r="M48" s="467"/>
      <c r="N48" s="467"/>
      <c r="O48" s="489"/>
      <c r="P48" s="488"/>
      <c r="Q48" s="604"/>
      <c r="R48" s="583"/>
      <c r="S48" s="469"/>
      <c r="T48" s="534"/>
      <c r="U48" s="469"/>
      <c r="V48" s="583"/>
      <c r="W48" s="469"/>
      <c r="X48" s="469"/>
      <c r="Y48" s="469"/>
      <c r="AE48" s="130"/>
      <c r="AG48" s="106"/>
    </row>
    <row r="49">
      <c r="A49" s="264" t="s">
        <v>867</v>
      </c>
      <c r="B49" s="639">
        <v>45666.0</v>
      </c>
      <c r="C49" s="166" t="s">
        <v>868</v>
      </c>
      <c r="D49" s="93">
        <v>295.0</v>
      </c>
      <c r="E49" s="285"/>
      <c r="F49" s="264"/>
      <c r="H49" s="603">
        <f t="shared" si="6"/>
        <v>0</v>
      </c>
      <c r="I49" s="463"/>
      <c r="J49" s="464"/>
      <c r="K49" s="465"/>
      <c r="L49" s="466"/>
      <c r="M49" s="467"/>
      <c r="N49" s="467"/>
      <c r="O49" s="489"/>
      <c r="P49" s="488"/>
      <c r="Q49" s="604"/>
      <c r="R49" s="583"/>
      <c r="S49" s="469"/>
      <c r="T49" s="534"/>
      <c r="U49" s="469"/>
      <c r="V49" s="583"/>
      <c r="W49" s="469"/>
      <c r="X49" s="469"/>
      <c r="Y49" s="469"/>
      <c r="AE49" s="130"/>
      <c r="AG49" s="106"/>
    </row>
    <row r="50">
      <c r="A50" s="264" t="s">
        <v>877</v>
      </c>
      <c r="B50" s="639">
        <v>45674.0</v>
      </c>
      <c r="C50" s="166" t="s">
        <v>845</v>
      </c>
      <c r="D50" s="93">
        <v>1454.9</v>
      </c>
      <c r="E50" s="285"/>
      <c r="F50" s="264"/>
      <c r="H50" s="603">
        <f t="shared" si="6"/>
        <v>0</v>
      </c>
      <c r="I50" s="463"/>
      <c r="J50" s="464"/>
      <c r="K50" s="465"/>
      <c r="L50" s="466"/>
      <c r="M50" s="467"/>
      <c r="N50" s="467"/>
      <c r="O50" s="489"/>
      <c r="P50" s="488"/>
      <c r="Q50" s="604"/>
      <c r="R50" s="583"/>
      <c r="S50" s="469"/>
      <c r="T50" s="534"/>
      <c r="U50" s="469"/>
      <c r="V50" s="583"/>
      <c r="W50" s="469"/>
      <c r="X50" s="469"/>
      <c r="Y50" s="469"/>
      <c r="AE50" s="130"/>
      <c r="AG50" s="106"/>
    </row>
    <row r="51">
      <c r="A51" s="264" t="s">
        <v>878</v>
      </c>
      <c r="B51" s="639">
        <v>45675.0</v>
      </c>
      <c r="C51" s="166" t="s">
        <v>879</v>
      </c>
      <c r="D51" s="93">
        <v>227.39</v>
      </c>
      <c r="E51" s="285"/>
      <c r="F51" s="264"/>
      <c r="H51" s="603">
        <f t="shared" si="6"/>
        <v>0</v>
      </c>
      <c r="I51" s="463"/>
      <c r="J51" s="464"/>
      <c r="K51" s="465"/>
      <c r="L51" s="466"/>
      <c r="M51" s="467"/>
      <c r="N51" s="467"/>
      <c r="O51" s="489"/>
      <c r="P51" s="488"/>
      <c r="Q51" s="604"/>
      <c r="R51" s="583"/>
      <c r="S51" s="469"/>
      <c r="T51" s="534"/>
      <c r="U51" s="469"/>
      <c r="V51" s="583"/>
      <c r="W51" s="469"/>
      <c r="X51" s="469"/>
      <c r="Y51" s="469"/>
      <c r="AE51" s="130"/>
      <c r="AG51" s="106"/>
    </row>
    <row r="52">
      <c r="A52" s="264" t="s">
        <v>880</v>
      </c>
      <c r="B52" s="639">
        <v>45673.0</v>
      </c>
      <c r="C52" s="166" t="s">
        <v>881</v>
      </c>
      <c r="D52" s="93">
        <v>660.08</v>
      </c>
      <c r="E52" s="285"/>
      <c r="F52" s="264"/>
      <c r="P52" s="79"/>
      <c r="T52" s="79"/>
      <c r="U52" s="79"/>
      <c r="AE52" s="130"/>
      <c r="AG52" s="106"/>
    </row>
    <row r="53">
      <c r="A53" s="264" t="s">
        <v>882</v>
      </c>
      <c r="B53" s="639">
        <v>45674.0</v>
      </c>
      <c r="C53" s="166" t="s">
        <v>408</v>
      </c>
      <c r="D53" s="93">
        <v>787.5</v>
      </c>
      <c r="E53" s="285"/>
      <c r="F53" s="264"/>
      <c r="H53" s="479" t="s">
        <v>287</v>
      </c>
      <c r="I53" s="32" t="s">
        <v>748</v>
      </c>
      <c r="J53" s="479" t="s">
        <v>749</v>
      </c>
      <c r="K53" s="479" t="s">
        <v>750</v>
      </c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AE53" s="130"/>
      <c r="AG53" s="106"/>
    </row>
    <row r="54">
      <c r="A54" s="264" t="s">
        <v>883</v>
      </c>
      <c r="B54" s="639">
        <v>45675.0</v>
      </c>
      <c r="C54" s="166" t="s">
        <v>536</v>
      </c>
      <c r="D54" s="93">
        <v>232.0</v>
      </c>
      <c r="E54" s="285"/>
      <c r="F54" s="264"/>
      <c r="H54" s="286">
        <v>45662.0</v>
      </c>
      <c r="I54" s="32">
        <v>6.0</v>
      </c>
      <c r="J54" s="480">
        <f>P39+P40</f>
        <v>-2939.626667</v>
      </c>
      <c r="K54" s="479" t="s">
        <v>195</v>
      </c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AE54" s="130"/>
      <c r="AG54" s="106"/>
    </row>
    <row r="55">
      <c r="A55" s="264" t="s">
        <v>884</v>
      </c>
      <c r="B55" s="639">
        <v>45671.0</v>
      </c>
      <c r="C55" s="166" t="s">
        <v>885</v>
      </c>
      <c r="D55" s="93">
        <f>143+60+105+180+132</f>
        <v>620</v>
      </c>
      <c r="E55" s="285"/>
      <c r="F55" s="264"/>
      <c r="H55" s="286">
        <v>45669.0</v>
      </c>
      <c r="I55" s="32">
        <v>3.0</v>
      </c>
      <c r="J55" s="480">
        <f>N40*-3</f>
        <v>-1435.056667</v>
      </c>
      <c r="K55" s="479" t="s">
        <v>195</v>
      </c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AE55" s="130"/>
      <c r="AG55" s="106"/>
    </row>
    <row r="56">
      <c r="A56" s="264"/>
      <c r="B56" s="639"/>
      <c r="C56" s="166"/>
      <c r="D56" s="93"/>
      <c r="E56" s="285"/>
      <c r="F56" s="264"/>
      <c r="H56" s="286">
        <v>45669.0</v>
      </c>
      <c r="I56" s="32">
        <v>1.0</v>
      </c>
      <c r="J56" s="480">
        <f>N40*-1</f>
        <v>-478.3522222</v>
      </c>
      <c r="K56" s="479" t="s">
        <v>839</v>
      </c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AE56" s="130"/>
      <c r="AG56" s="106"/>
    </row>
    <row r="57">
      <c r="A57" s="264"/>
      <c r="B57" s="639"/>
      <c r="C57" s="166"/>
      <c r="D57" s="93"/>
      <c r="E57" s="285"/>
      <c r="F57" s="264"/>
      <c r="H57" s="504">
        <v>45676.0</v>
      </c>
      <c r="I57" s="479">
        <v>7.0</v>
      </c>
      <c r="J57" s="505">
        <f>(P41+X40)*-1</f>
        <v>3275.629444</v>
      </c>
      <c r="K57" s="479" t="s">
        <v>195</v>
      </c>
      <c r="M57" s="79"/>
      <c r="N57" s="78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AE57" s="130"/>
      <c r="AG57" s="106"/>
    </row>
    <row r="58">
      <c r="A58" s="264"/>
      <c r="B58" s="639"/>
      <c r="C58" s="166"/>
      <c r="D58" s="93"/>
      <c r="E58" s="285"/>
      <c r="F58" s="264"/>
      <c r="H58" s="504">
        <v>45676.0</v>
      </c>
      <c r="I58" s="479">
        <v>1.0</v>
      </c>
      <c r="J58" s="505">
        <f>T41</f>
        <v>-463.785</v>
      </c>
      <c r="K58" s="479" t="s">
        <v>839</v>
      </c>
      <c r="M58" s="79"/>
      <c r="N58" s="78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AE58" s="130"/>
      <c r="AG58" s="106"/>
    </row>
    <row r="59">
      <c r="A59" s="264"/>
      <c r="B59" s="639"/>
      <c r="C59" s="166"/>
      <c r="D59" s="93"/>
      <c r="E59" s="285"/>
      <c r="F59" s="264"/>
      <c r="H59" s="504"/>
      <c r="I59" s="479"/>
      <c r="J59" s="505"/>
      <c r="K59" s="4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AE59" s="130"/>
      <c r="AG59" s="106"/>
    </row>
    <row r="60">
      <c r="A60" s="264"/>
      <c r="B60" s="639"/>
      <c r="C60" s="166"/>
      <c r="D60" s="93"/>
      <c r="E60" s="285"/>
      <c r="F60" s="264"/>
      <c r="H60" s="504"/>
      <c r="I60" s="479"/>
      <c r="J60" s="505"/>
      <c r="K60" s="4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AE60" s="130"/>
      <c r="AG60" s="106"/>
    </row>
    <row r="61">
      <c r="A61" s="264"/>
      <c r="B61" s="639"/>
      <c r="C61" s="166"/>
      <c r="D61" s="93"/>
      <c r="E61" s="285"/>
      <c r="F61" s="264"/>
      <c r="H61" s="584"/>
      <c r="I61" s="585"/>
      <c r="J61" s="586"/>
      <c r="K61" s="585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AE61" s="130"/>
      <c r="AG61" s="106"/>
    </row>
    <row r="62">
      <c r="A62" s="264"/>
      <c r="B62" s="639"/>
      <c r="C62" s="166"/>
      <c r="D62" s="93"/>
      <c r="E62" s="285"/>
      <c r="F62" s="264"/>
      <c r="H62" s="286"/>
      <c r="I62" s="479"/>
      <c r="J62" s="505"/>
      <c r="K62" s="4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AE62" s="130"/>
      <c r="AG62" s="106"/>
    </row>
    <row r="63">
      <c r="A63" s="264"/>
      <c r="B63" s="639"/>
      <c r="C63" s="166"/>
      <c r="D63" s="93"/>
      <c r="E63" s="285"/>
      <c r="F63" s="264"/>
      <c r="H63" s="286"/>
      <c r="I63" s="479"/>
      <c r="J63" s="505"/>
      <c r="K63" s="4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AE63" s="130"/>
      <c r="AG63" s="106"/>
    </row>
    <row r="64">
      <c r="A64" s="264"/>
      <c r="B64" s="639"/>
      <c r="C64" s="166"/>
      <c r="D64" s="93"/>
      <c r="E64" s="285"/>
      <c r="F64" s="264"/>
      <c r="H64" s="286"/>
      <c r="I64" s="479"/>
      <c r="J64" s="479"/>
      <c r="K64" s="4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AE64" s="130"/>
      <c r="AG64" s="106"/>
    </row>
    <row r="65">
      <c r="A65" s="646"/>
      <c r="B65" s="647"/>
      <c r="C65" s="78"/>
      <c r="D65" s="192"/>
      <c r="E65" s="643"/>
      <c r="F65" s="45"/>
      <c r="H65" s="286"/>
      <c r="I65" s="479"/>
      <c r="J65" s="479"/>
      <c r="K65" s="4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AE65" s="130"/>
      <c r="AG65" s="106"/>
    </row>
    <row r="66">
      <c r="A66" s="646"/>
      <c r="B66" s="647"/>
      <c r="C66" s="78"/>
      <c r="D66" s="192"/>
      <c r="E66" s="643"/>
      <c r="F66" s="45"/>
      <c r="H66" s="504"/>
      <c r="I66" s="479"/>
      <c r="J66" s="505"/>
      <c r="K66" s="479"/>
      <c r="M66" s="79"/>
      <c r="N66" s="481"/>
      <c r="O66" s="545"/>
      <c r="P66" s="79"/>
      <c r="Q66" s="481"/>
      <c r="R66" s="481"/>
      <c r="S66" s="545"/>
      <c r="T66" s="545"/>
      <c r="U66" s="481"/>
      <c r="V66" s="481"/>
      <c r="W66" s="481"/>
      <c r="X66" s="481"/>
      <c r="Y66" s="545"/>
      <c r="AE66" s="130"/>
      <c r="AG66" s="106"/>
    </row>
    <row r="67">
      <c r="A67" s="646"/>
      <c r="B67" s="647"/>
      <c r="C67" s="78"/>
      <c r="D67" s="192"/>
      <c r="E67" s="643"/>
      <c r="F67" s="45"/>
      <c r="H67" s="286"/>
      <c r="I67" s="479"/>
      <c r="J67" s="479"/>
      <c r="K67" s="479"/>
      <c r="M67" s="79"/>
      <c r="N67" s="545"/>
      <c r="O67" s="545"/>
      <c r="P67" s="626"/>
      <c r="Q67" s="545"/>
      <c r="R67" s="545"/>
      <c r="S67" s="545"/>
      <c r="T67" s="545"/>
      <c r="U67" s="545"/>
      <c r="V67" s="545"/>
      <c r="W67" s="545"/>
      <c r="X67" s="545"/>
      <c r="Y67" s="545"/>
      <c r="AE67" s="130"/>
      <c r="AG67" s="106"/>
    </row>
    <row r="68">
      <c r="A68" s="646"/>
      <c r="B68" s="647"/>
      <c r="C68" s="78"/>
      <c r="D68" s="192"/>
      <c r="E68" s="643"/>
      <c r="F68" s="45"/>
      <c r="H68" s="634"/>
      <c r="I68" s="479"/>
      <c r="J68" s="505"/>
      <c r="K68" s="479"/>
      <c r="M68" s="79"/>
      <c r="N68" s="626"/>
      <c r="O68" s="626"/>
      <c r="P68" s="626"/>
      <c r="Q68" s="626"/>
      <c r="R68" s="626"/>
      <c r="S68" s="626"/>
      <c r="T68" s="626"/>
      <c r="U68" s="626"/>
      <c r="V68" s="626"/>
      <c r="W68" s="626"/>
      <c r="X68" s="626"/>
      <c r="Y68" s="626"/>
      <c r="AE68" s="130"/>
      <c r="AG68" s="106"/>
    </row>
    <row r="69">
      <c r="A69" s="646"/>
      <c r="B69" s="647"/>
      <c r="C69" s="78"/>
      <c r="D69" s="192"/>
      <c r="E69" s="643"/>
      <c r="F69" s="45"/>
      <c r="H69" s="634"/>
      <c r="I69" s="479"/>
      <c r="J69" s="505"/>
      <c r="K69" s="479"/>
      <c r="L69" s="625"/>
      <c r="M69" s="79"/>
      <c r="N69" s="626"/>
      <c r="O69" s="626"/>
      <c r="P69" s="626"/>
      <c r="Q69" s="626"/>
      <c r="R69" s="626"/>
      <c r="S69" s="626"/>
      <c r="T69" s="626"/>
      <c r="U69" s="626"/>
      <c r="V69" s="626"/>
      <c r="W69" s="626"/>
      <c r="X69" s="626"/>
      <c r="Y69" s="626"/>
      <c r="AE69" s="130"/>
      <c r="AG69" s="106"/>
    </row>
    <row r="70">
      <c r="A70" s="646"/>
      <c r="B70" s="647"/>
      <c r="C70" s="78"/>
      <c r="D70" s="192"/>
      <c r="E70" s="643"/>
      <c r="F70" s="45"/>
      <c r="H70" s="479"/>
      <c r="I70" s="481"/>
      <c r="J70" s="481"/>
      <c r="K70" s="481"/>
      <c r="L70" s="625"/>
      <c r="M70" s="79"/>
      <c r="N70" s="626"/>
      <c r="O70" s="626"/>
      <c r="P70" s="626"/>
      <c r="Q70" s="626"/>
      <c r="R70" s="626"/>
      <c r="S70" s="626"/>
      <c r="T70" s="626"/>
      <c r="U70" s="626"/>
      <c r="V70" s="626"/>
      <c r="W70" s="626"/>
      <c r="X70" s="626"/>
      <c r="Y70" s="626"/>
      <c r="AE70" s="130"/>
      <c r="AG70" s="106"/>
    </row>
    <row r="71">
      <c r="A71" s="646"/>
      <c r="B71" s="647"/>
      <c r="C71" s="78"/>
      <c r="D71" s="192"/>
      <c r="E71" s="643"/>
      <c r="F71" s="45"/>
      <c r="H71" s="479"/>
      <c r="I71" s="481"/>
      <c r="J71" s="481"/>
      <c r="K71" s="481"/>
      <c r="L71" s="625"/>
      <c r="M71" s="79"/>
      <c r="N71" s="626"/>
      <c r="O71" s="626"/>
      <c r="P71" s="626"/>
      <c r="Q71" s="626"/>
      <c r="R71" s="626"/>
      <c r="S71" s="626"/>
      <c r="T71" s="626"/>
      <c r="U71" s="626"/>
      <c r="V71" s="626"/>
      <c r="W71" s="626"/>
      <c r="X71" s="626"/>
      <c r="Y71" s="626"/>
      <c r="AE71" s="130"/>
      <c r="AG71" s="106"/>
    </row>
    <row r="72">
      <c r="A72" s="646"/>
      <c r="B72" s="647"/>
      <c r="C72" s="78"/>
      <c r="D72" s="192"/>
      <c r="E72" s="643"/>
      <c r="F72" s="45"/>
      <c r="H72" s="479"/>
      <c r="I72" s="481"/>
      <c r="J72" s="481"/>
      <c r="K72" s="481"/>
      <c r="L72" s="625"/>
      <c r="M72" s="79"/>
      <c r="N72" s="626"/>
      <c r="O72" s="626"/>
      <c r="P72" s="626"/>
      <c r="Q72" s="626"/>
      <c r="R72" s="626"/>
      <c r="S72" s="626"/>
      <c r="T72" s="626"/>
      <c r="U72" s="626"/>
      <c r="V72" s="626"/>
      <c r="W72" s="626"/>
      <c r="X72" s="626"/>
      <c r="Y72" s="626"/>
      <c r="AE72" s="130"/>
      <c r="AG72" s="106"/>
    </row>
    <row r="73">
      <c r="A73" s="646"/>
      <c r="B73" s="647"/>
      <c r="C73" s="78"/>
      <c r="D73" s="192"/>
      <c r="E73" s="643"/>
      <c r="F73" s="45"/>
      <c r="H73" s="479"/>
      <c r="I73" s="481"/>
      <c r="J73" s="481"/>
      <c r="K73" s="481"/>
      <c r="L73" s="625"/>
      <c r="M73" s="79"/>
      <c r="N73" s="626"/>
      <c r="O73" s="626"/>
      <c r="P73" s="626"/>
      <c r="Q73" s="626"/>
      <c r="R73" s="626"/>
      <c r="S73" s="626"/>
      <c r="T73" s="626"/>
      <c r="U73" s="626"/>
      <c r="V73" s="626"/>
      <c r="W73" s="626"/>
      <c r="X73" s="626"/>
      <c r="Y73" s="626"/>
      <c r="AE73" s="130"/>
      <c r="AG73" s="106"/>
    </row>
    <row r="74">
      <c r="E74" s="643"/>
      <c r="F74" s="45"/>
      <c r="H74" s="479"/>
      <c r="I74" s="481"/>
      <c r="J74" s="481"/>
      <c r="K74" s="481"/>
      <c r="L74" s="625"/>
      <c r="M74" s="79"/>
      <c r="N74" s="626"/>
      <c r="O74" s="626"/>
      <c r="P74" s="626"/>
      <c r="Q74" s="626"/>
      <c r="R74" s="626"/>
      <c r="S74" s="626"/>
      <c r="T74" s="626"/>
      <c r="U74" s="626"/>
      <c r="V74" s="626"/>
      <c r="W74" s="626"/>
      <c r="X74" s="626"/>
      <c r="Y74" s="626"/>
      <c r="AE74" s="130"/>
      <c r="AG74" s="106"/>
    </row>
    <row r="75">
      <c r="A75" s="646"/>
      <c r="B75" s="647"/>
      <c r="C75" s="78"/>
      <c r="D75" s="192"/>
      <c r="E75" s="643"/>
      <c r="F75" s="45"/>
      <c r="H75" s="479"/>
      <c r="I75" s="481"/>
      <c r="J75" s="481"/>
      <c r="K75" s="481"/>
      <c r="L75" s="625"/>
      <c r="M75" s="79"/>
      <c r="N75" s="626"/>
      <c r="O75" s="626"/>
      <c r="P75" s="626"/>
      <c r="Q75" s="626"/>
      <c r="R75" s="626"/>
      <c r="S75" s="626"/>
      <c r="T75" s="626"/>
      <c r="U75" s="626"/>
      <c r="V75" s="626"/>
      <c r="W75" s="626"/>
      <c r="X75" s="626"/>
      <c r="Y75" s="626"/>
      <c r="AE75" s="130"/>
      <c r="AG75" s="106"/>
    </row>
    <row r="76">
      <c r="A76" s="646"/>
      <c r="B76" s="647"/>
      <c r="C76" s="78"/>
      <c r="D76" s="192"/>
      <c r="E76" s="643"/>
      <c r="F76" s="45"/>
      <c r="H76" s="479"/>
      <c r="I76" s="481"/>
      <c r="J76" s="481"/>
      <c r="K76" s="481"/>
      <c r="L76" s="625"/>
      <c r="M76" s="79"/>
      <c r="N76" s="626"/>
      <c r="O76" s="626"/>
      <c r="P76" s="626"/>
      <c r="Q76" s="626"/>
      <c r="R76" s="626"/>
      <c r="S76" s="626"/>
      <c r="T76" s="626"/>
      <c r="U76" s="626"/>
      <c r="V76" s="626"/>
      <c r="W76" s="626"/>
      <c r="X76" s="626"/>
      <c r="Y76" s="626"/>
      <c r="AE76" s="130"/>
      <c r="AG76" s="106"/>
    </row>
    <row r="77">
      <c r="A77" s="646"/>
      <c r="B77" s="647"/>
      <c r="C77" s="78"/>
      <c r="D77" s="192"/>
      <c r="E77" s="643"/>
      <c r="F77" s="45"/>
      <c r="O77" s="79"/>
      <c r="S77" s="79"/>
      <c r="T77" s="79"/>
      <c r="Y77" s="79"/>
      <c r="AE77" s="130"/>
      <c r="AG77" s="106"/>
    </row>
    <row r="78">
      <c r="A78" s="646"/>
      <c r="B78" s="647"/>
      <c r="C78" s="78"/>
      <c r="D78" s="192"/>
      <c r="E78" s="643"/>
      <c r="F78" s="45"/>
      <c r="O78" s="79"/>
      <c r="S78" s="79"/>
      <c r="T78" s="79"/>
      <c r="Y78" s="79"/>
      <c r="AE78" s="130"/>
      <c r="AG78" s="106"/>
    </row>
    <row r="79">
      <c r="A79" s="646"/>
      <c r="B79" s="647"/>
      <c r="C79" s="78"/>
      <c r="D79" s="192"/>
      <c r="E79" s="643"/>
      <c r="F79" s="45"/>
      <c r="O79" s="79"/>
      <c r="S79" s="79"/>
      <c r="T79" s="79"/>
      <c r="Y79" s="79"/>
      <c r="AE79" s="130"/>
      <c r="AG79" s="106"/>
    </row>
    <row r="80">
      <c r="A80" s="646"/>
      <c r="B80" s="647"/>
      <c r="C80" s="78"/>
      <c r="D80" s="192"/>
      <c r="E80" s="643"/>
      <c r="F80" s="45"/>
      <c r="O80" s="79"/>
      <c r="S80" s="79"/>
      <c r="T80" s="79"/>
      <c r="Y80" s="79"/>
      <c r="AE80" s="130"/>
      <c r="AG80" s="106"/>
    </row>
    <row r="81">
      <c r="A81" s="646"/>
      <c r="B81" s="647"/>
      <c r="C81" s="78"/>
      <c r="D81" s="192"/>
      <c r="E81" s="643"/>
      <c r="F81" s="45"/>
      <c r="O81" s="79"/>
      <c r="S81" s="79"/>
      <c r="T81" s="79"/>
      <c r="Y81" s="79"/>
      <c r="AE81" s="130"/>
      <c r="AG81" s="106"/>
    </row>
    <row r="82">
      <c r="A82" s="646"/>
      <c r="B82" s="647"/>
      <c r="C82" s="78"/>
      <c r="D82" s="192"/>
      <c r="E82" s="643"/>
      <c r="F82" s="45"/>
      <c r="O82" s="79"/>
      <c r="S82" s="79"/>
      <c r="T82" s="79"/>
      <c r="Y82" s="79"/>
      <c r="AE82" s="130"/>
      <c r="AG82" s="106"/>
    </row>
    <row r="83">
      <c r="A83" s="646"/>
      <c r="B83" s="647"/>
      <c r="C83" s="78"/>
      <c r="D83" s="192"/>
      <c r="E83" s="643"/>
      <c r="F83" s="45"/>
      <c r="O83" s="79"/>
      <c r="S83" s="79"/>
      <c r="T83" s="79"/>
      <c r="Y83" s="79"/>
      <c r="AE83" s="130"/>
      <c r="AG83" s="106"/>
    </row>
    <row r="84">
      <c r="A84" s="646"/>
      <c r="B84" s="647"/>
      <c r="C84" s="78"/>
      <c r="D84" s="192"/>
      <c r="E84" s="643"/>
      <c r="F84" s="45"/>
      <c r="O84" s="79"/>
      <c r="S84" s="79"/>
      <c r="T84" s="79"/>
      <c r="Y84" s="79"/>
      <c r="AE84" s="130"/>
      <c r="AG84" s="106"/>
    </row>
    <row r="85">
      <c r="A85" s="646"/>
      <c r="B85" s="647"/>
      <c r="C85" s="78"/>
      <c r="D85" s="192"/>
      <c r="E85" s="643"/>
      <c r="F85" s="45"/>
      <c r="O85" s="79"/>
      <c r="S85" s="79"/>
      <c r="T85" s="79"/>
      <c r="Y85" s="79"/>
      <c r="AE85" s="130"/>
      <c r="AG85" s="106"/>
    </row>
    <row r="86">
      <c r="A86" s="646"/>
      <c r="B86" s="647"/>
      <c r="C86" s="78"/>
      <c r="D86" s="192"/>
      <c r="E86" s="643"/>
      <c r="F86" s="45"/>
      <c r="O86" s="79"/>
      <c r="S86" s="79"/>
      <c r="T86" s="79"/>
      <c r="Y86" s="79"/>
      <c r="AE86" s="130"/>
      <c r="AG86" s="106"/>
    </row>
    <row r="87">
      <c r="A87" s="646"/>
      <c r="B87" s="647"/>
      <c r="C87" s="78"/>
      <c r="D87" s="192"/>
      <c r="E87" s="643"/>
      <c r="F87" s="45"/>
      <c r="O87" s="79"/>
      <c r="S87" s="79"/>
      <c r="T87" s="79"/>
      <c r="Y87" s="79"/>
      <c r="AE87" s="130"/>
      <c r="AG87" s="106"/>
    </row>
    <row r="88">
      <c r="A88" s="646"/>
      <c r="B88" s="647"/>
      <c r="C88" s="78"/>
      <c r="D88" s="192"/>
      <c r="E88" s="643"/>
      <c r="F88" s="45"/>
      <c r="O88" s="79"/>
      <c r="S88" s="79"/>
      <c r="T88" s="79"/>
      <c r="Y88" s="79"/>
      <c r="AE88" s="130"/>
      <c r="AG88" s="106"/>
    </row>
    <row r="89">
      <c r="A89" s="646"/>
      <c r="B89" s="647"/>
      <c r="C89" s="78"/>
      <c r="D89" s="192"/>
      <c r="E89" s="643"/>
      <c r="F89" s="45"/>
      <c r="O89" s="79"/>
      <c r="S89" s="79"/>
      <c r="T89" s="79"/>
      <c r="Y89" s="79"/>
      <c r="AE89" s="130"/>
      <c r="AG89" s="106"/>
    </row>
    <row r="90">
      <c r="A90" s="646"/>
      <c r="B90" s="647"/>
      <c r="C90" s="78"/>
      <c r="D90" s="192"/>
      <c r="E90" s="643"/>
      <c r="F90" s="45"/>
      <c r="O90" s="79"/>
      <c r="S90" s="79"/>
      <c r="T90" s="79"/>
      <c r="Y90" s="79"/>
      <c r="AE90" s="130"/>
      <c r="AG90" s="106"/>
    </row>
    <row r="91">
      <c r="A91" s="646"/>
      <c r="B91" s="647"/>
      <c r="C91" s="78"/>
      <c r="D91" s="192"/>
      <c r="E91" s="643"/>
      <c r="F91" s="45"/>
      <c r="O91" s="79"/>
      <c r="S91" s="79"/>
      <c r="T91" s="79"/>
      <c r="Y91" s="79"/>
      <c r="AE91" s="130"/>
      <c r="AG91" s="106"/>
    </row>
    <row r="92">
      <c r="A92" s="646"/>
      <c r="B92" s="647"/>
      <c r="C92" s="78"/>
      <c r="D92" s="192"/>
      <c r="E92" s="643"/>
      <c r="F92" s="45"/>
      <c r="O92" s="79"/>
      <c r="S92" s="79"/>
      <c r="T92" s="79"/>
      <c r="Y92" s="79"/>
      <c r="AE92" s="130"/>
      <c r="AG92" s="106"/>
    </row>
    <row r="93">
      <c r="A93" s="646"/>
      <c r="B93" s="647"/>
      <c r="C93" s="78"/>
      <c r="D93" s="192"/>
      <c r="E93" s="643"/>
      <c r="F93" s="45"/>
      <c r="O93" s="79"/>
      <c r="S93" s="79"/>
      <c r="T93" s="79"/>
      <c r="Y93" s="79"/>
      <c r="AE93" s="130"/>
      <c r="AG93" s="106"/>
    </row>
    <row r="94">
      <c r="A94" s="646"/>
      <c r="B94" s="647"/>
      <c r="C94" s="78"/>
      <c r="D94" s="192"/>
      <c r="E94" s="643"/>
      <c r="F94" s="45"/>
      <c r="O94" s="79"/>
      <c r="S94" s="79"/>
      <c r="T94" s="79"/>
      <c r="Y94" s="79"/>
      <c r="AE94" s="130"/>
      <c r="AG94" s="106"/>
    </row>
    <row r="95">
      <c r="A95" s="646"/>
      <c r="B95" s="647"/>
      <c r="C95" s="78"/>
      <c r="D95" s="192"/>
      <c r="E95" s="643"/>
      <c r="F95" s="45"/>
      <c r="O95" s="79"/>
      <c r="S95" s="79"/>
      <c r="T95" s="79"/>
      <c r="Y95" s="79"/>
      <c r="AE95" s="130"/>
      <c r="AG95" s="106"/>
    </row>
    <row r="96">
      <c r="A96" s="646"/>
      <c r="B96" s="647"/>
      <c r="C96" s="78"/>
      <c r="D96" s="192"/>
      <c r="E96" s="643"/>
      <c r="F96" s="45"/>
      <c r="O96" s="79"/>
      <c r="S96" s="79"/>
      <c r="T96" s="79"/>
      <c r="Y96" s="79"/>
      <c r="AE96" s="130"/>
      <c r="AG96" s="106"/>
    </row>
    <row r="97">
      <c r="A97" s="646"/>
      <c r="B97" s="647"/>
      <c r="C97" s="78"/>
      <c r="D97" s="192"/>
      <c r="E97" s="643"/>
      <c r="F97" s="45"/>
      <c r="O97" s="79"/>
      <c r="S97" s="79"/>
      <c r="T97" s="79"/>
      <c r="Y97" s="79"/>
      <c r="AE97" s="130"/>
      <c r="AG97" s="106"/>
    </row>
    <row r="98">
      <c r="A98" s="646"/>
      <c r="B98" s="647"/>
      <c r="C98" s="78"/>
      <c r="D98" s="192"/>
      <c r="E98" s="643"/>
      <c r="F98" s="45"/>
      <c r="O98" s="79"/>
      <c r="S98" s="79"/>
      <c r="T98" s="79"/>
      <c r="Y98" s="79"/>
      <c r="AE98" s="130"/>
      <c r="AG98" s="106"/>
    </row>
    <row r="99">
      <c r="A99" s="646"/>
      <c r="B99" s="647"/>
      <c r="C99" s="78"/>
      <c r="D99" s="192"/>
      <c r="E99" s="643"/>
      <c r="F99" s="45"/>
      <c r="O99" s="79"/>
      <c r="S99" s="79"/>
      <c r="T99" s="79"/>
      <c r="Y99" s="79"/>
      <c r="AE99" s="130"/>
      <c r="AG99" s="106"/>
    </row>
    <row r="100">
      <c r="C100" s="79"/>
      <c r="D100" s="79"/>
      <c r="E100" s="79"/>
      <c r="O100" s="79"/>
      <c r="S100" s="79"/>
      <c r="T100" s="79"/>
      <c r="Y100" s="79"/>
      <c r="AE100" s="130"/>
      <c r="AG100" s="106"/>
    </row>
    <row r="101">
      <c r="C101" s="79"/>
      <c r="D101" s="79"/>
      <c r="E101" s="79"/>
      <c r="O101" s="79"/>
      <c r="S101" s="79"/>
      <c r="T101" s="79"/>
      <c r="Y101" s="79"/>
      <c r="AE101" s="130"/>
      <c r="AG101" s="106"/>
    </row>
    <row r="102">
      <c r="C102" s="79"/>
      <c r="D102" s="79"/>
      <c r="E102" s="79"/>
      <c r="O102" s="79"/>
      <c r="S102" s="79"/>
      <c r="T102" s="79"/>
      <c r="Y102" s="79"/>
      <c r="AE102" s="130"/>
      <c r="AG102" s="106"/>
    </row>
    <row r="103">
      <c r="C103" s="79"/>
      <c r="D103" s="79"/>
      <c r="E103" s="79"/>
      <c r="O103" s="79"/>
      <c r="S103" s="79"/>
      <c r="T103" s="79"/>
      <c r="Y103" s="79"/>
      <c r="AE103" s="130"/>
      <c r="AG103" s="106"/>
    </row>
    <row r="104">
      <c r="C104" s="79"/>
      <c r="D104" s="79"/>
      <c r="E104" s="79"/>
      <c r="O104" s="79"/>
      <c r="S104" s="79"/>
      <c r="T104" s="79"/>
      <c r="Y104" s="79"/>
      <c r="AE104" s="130"/>
      <c r="AG104" s="106"/>
    </row>
    <row r="105">
      <c r="C105" s="79"/>
      <c r="D105" s="79"/>
      <c r="E105" s="79"/>
      <c r="O105" s="79"/>
      <c r="S105" s="79"/>
      <c r="T105" s="79"/>
      <c r="Y105" s="79"/>
      <c r="AE105" s="130"/>
      <c r="AG105" s="106"/>
    </row>
    <row r="106">
      <c r="C106" s="79"/>
      <c r="D106" s="79"/>
      <c r="E106" s="79"/>
      <c r="O106" s="79"/>
      <c r="S106" s="79"/>
      <c r="T106" s="79"/>
      <c r="Y106" s="79"/>
      <c r="AE106" s="130"/>
      <c r="AG106" s="106"/>
    </row>
    <row r="107">
      <c r="C107" s="79"/>
      <c r="D107" s="79"/>
      <c r="E107" s="79"/>
      <c r="O107" s="79"/>
      <c r="S107" s="79"/>
      <c r="T107" s="79"/>
      <c r="Y107" s="79"/>
      <c r="AE107" s="130"/>
      <c r="AG107" s="106"/>
    </row>
    <row r="108">
      <c r="C108" s="79"/>
      <c r="D108" s="79"/>
      <c r="E108" s="79"/>
      <c r="O108" s="79"/>
      <c r="S108" s="79"/>
      <c r="T108" s="79"/>
      <c r="Y108" s="79"/>
      <c r="AE108" s="130"/>
      <c r="AG108" s="106"/>
    </row>
    <row r="109">
      <c r="C109" s="79"/>
      <c r="D109" s="79"/>
      <c r="E109" s="79"/>
      <c r="O109" s="79"/>
      <c r="S109" s="79"/>
      <c r="T109" s="79"/>
      <c r="Y109" s="79"/>
      <c r="AE109" s="130"/>
      <c r="AG109" s="106"/>
    </row>
    <row r="110">
      <c r="C110" s="79"/>
      <c r="D110" s="79"/>
      <c r="E110" s="79"/>
      <c r="O110" s="79"/>
      <c r="S110" s="79"/>
      <c r="T110" s="79"/>
      <c r="Y110" s="79"/>
      <c r="AE110" s="130"/>
      <c r="AG110" s="106"/>
    </row>
    <row r="111">
      <c r="C111" s="79"/>
      <c r="D111" s="79"/>
      <c r="E111" s="79"/>
      <c r="O111" s="79"/>
      <c r="S111" s="79"/>
      <c r="T111" s="79"/>
      <c r="Y111" s="79"/>
      <c r="AE111" s="130"/>
      <c r="AG111" s="106"/>
    </row>
    <row r="112">
      <c r="C112" s="79"/>
      <c r="D112" s="79"/>
      <c r="E112" s="79"/>
      <c r="O112" s="79"/>
      <c r="S112" s="79"/>
      <c r="T112" s="79"/>
      <c r="Y112" s="79"/>
      <c r="AE112" s="130"/>
      <c r="AG112" s="106"/>
    </row>
    <row r="113">
      <c r="C113" s="79"/>
      <c r="D113" s="79"/>
      <c r="E113" s="79"/>
      <c r="O113" s="79"/>
      <c r="S113" s="79"/>
      <c r="T113" s="79"/>
      <c r="Y113" s="79"/>
      <c r="AE113" s="130"/>
      <c r="AG113" s="106"/>
    </row>
    <row r="114">
      <c r="C114" s="79"/>
      <c r="D114" s="79"/>
      <c r="E114" s="79"/>
      <c r="O114" s="79"/>
      <c r="S114" s="79"/>
      <c r="T114" s="79"/>
      <c r="Y114" s="79"/>
      <c r="AE114" s="130"/>
      <c r="AG114" s="106"/>
    </row>
    <row r="115">
      <c r="C115" s="79"/>
      <c r="D115" s="79"/>
      <c r="E115" s="79"/>
      <c r="O115" s="79"/>
      <c r="S115" s="79"/>
      <c r="T115" s="79"/>
      <c r="Y115" s="79"/>
      <c r="AE115" s="130"/>
      <c r="AG115" s="106"/>
    </row>
    <row r="116">
      <c r="C116" s="79"/>
      <c r="D116" s="79"/>
      <c r="E116" s="79"/>
      <c r="O116" s="79"/>
      <c r="S116" s="79"/>
      <c r="T116" s="79"/>
      <c r="Y116" s="79"/>
      <c r="AE116" s="130"/>
      <c r="AG116" s="106"/>
    </row>
    <row r="117">
      <c r="C117" s="79"/>
      <c r="D117" s="79"/>
      <c r="E117" s="79"/>
      <c r="O117" s="79"/>
      <c r="S117" s="79"/>
      <c r="T117" s="79"/>
      <c r="Y117" s="79"/>
      <c r="AE117" s="130"/>
      <c r="AG117" s="106"/>
    </row>
    <row r="118">
      <c r="C118" s="79"/>
      <c r="D118" s="79"/>
      <c r="E118" s="79"/>
      <c r="O118" s="79"/>
      <c r="S118" s="79"/>
      <c r="T118" s="79"/>
      <c r="Y118" s="79"/>
      <c r="AE118" s="130"/>
      <c r="AG118" s="106"/>
    </row>
    <row r="119">
      <c r="C119" s="79"/>
      <c r="D119" s="79"/>
      <c r="E119" s="79"/>
      <c r="O119" s="79"/>
      <c r="S119" s="79"/>
      <c r="T119" s="79"/>
      <c r="Y119" s="79"/>
      <c r="AE119" s="130"/>
      <c r="AG119" s="106"/>
    </row>
    <row r="120">
      <c r="C120" s="79"/>
      <c r="D120" s="79"/>
      <c r="E120" s="79"/>
      <c r="O120" s="79"/>
      <c r="S120" s="79"/>
      <c r="T120" s="79"/>
      <c r="Y120" s="79"/>
      <c r="AE120" s="130"/>
      <c r="AG120" s="106"/>
    </row>
    <row r="121">
      <c r="C121" s="79"/>
      <c r="D121" s="79"/>
      <c r="E121" s="79"/>
      <c r="O121" s="79"/>
      <c r="S121" s="79"/>
      <c r="T121" s="79"/>
      <c r="Y121" s="79"/>
      <c r="AE121" s="130"/>
      <c r="AG121" s="106"/>
    </row>
    <row r="122">
      <c r="C122" s="79"/>
      <c r="D122" s="79"/>
      <c r="E122" s="79"/>
      <c r="O122" s="79"/>
      <c r="S122" s="79"/>
      <c r="T122" s="79"/>
      <c r="Y122" s="79"/>
      <c r="AE122" s="130"/>
      <c r="AG122" s="106"/>
    </row>
    <row r="123">
      <c r="C123" s="79"/>
      <c r="D123" s="79"/>
      <c r="E123" s="79"/>
      <c r="O123" s="79"/>
      <c r="S123" s="79"/>
      <c r="T123" s="79"/>
      <c r="Y123" s="79"/>
      <c r="AE123" s="130"/>
      <c r="AG123" s="106"/>
    </row>
    <row r="124">
      <c r="C124" s="79"/>
      <c r="D124" s="79"/>
      <c r="E124" s="79"/>
      <c r="O124" s="79"/>
      <c r="S124" s="79"/>
      <c r="T124" s="79"/>
      <c r="Y124" s="79"/>
      <c r="AE124" s="130"/>
      <c r="AG124" s="106"/>
    </row>
    <row r="125">
      <c r="C125" s="79"/>
      <c r="D125" s="79"/>
      <c r="E125" s="79"/>
      <c r="O125" s="79"/>
      <c r="S125" s="79"/>
      <c r="T125" s="79"/>
      <c r="Y125" s="79"/>
      <c r="AE125" s="130"/>
      <c r="AG125" s="106"/>
    </row>
    <row r="126">
      <c r="C126" s="79"/>
      <c r="D126" s="79"/>
      <c r="E126" s="79"/>
      <c r="O126" s="79"/>
      <c r="S126" s="79"/>
      <c r="T126" s="79"/>
      <c r="Y126" s="79"/>
      <c r="AE126" s="130"/>
      <c r="AG126" s="106"/>
    </row>
    <row r="127">
      <c r="C127" s="79"/>
      <c r="D127" s="79"/>
      <c r="E127" s="79"/>
      <c r="O127" s="79"/>
      <c r="S127" s="79"/>
      <c r="T127" s="79"/>
      <c r="Y127" s="79"/>
      <c r="AE127" s="130"/>
      <c r="AG127" s="106"/>
    </row>
    <row r="128">
      <c r="C128" s="79"/>
      <c r="D128" s="79"/>
      <c r="E128" s="79"/>
      <c r="O128" s="79"/>
      <c r="S128" s="79"/>
      <c r="T128" s="79"/>
      <c r="Y128" s="79"/>
      <c r="AE128" s="130"/>
      <c r="AG128" s="106"/>
    </row>
    <row r="129">
      <c r="C129" s="79"/>
      <c r="D129" s="79"/>
      <c r="E129" s="79"/>
      <c r="O129" s="79"/>
      <c r="S129" s="79"/>
      <c r="T129" s="79"/>
      <c r="Y129" s="79"/>
      <c r="AE129" s="130"/>
      <c r="AG129" s="106"/>
    </row>
    <row r="130">
      <c r="C130" s="79"/>
      <c r="D130" s="79"/>
      <c r="E130" s="79"/>
      <c r="O130" s="79"/>
      <c r="S130" s="79"/>
      <c r="T130" s="79"/>
      <c r="Y130" s="79"/>
      <c r="AE130" s="130"/>
      <c r="AG130" s="106"/>
    </row>
    <row r="131">
      <c r="C131" s="79"/>
      <c r="D131" s="79"/>
      <c r="E131" s="79"/>
      <c r="O131" s="79"/>
      <c r="S131" s="79"/>
      <c r="T131" s="79"/>
      <c r="Y131" s="79"/>
      <c r="AE131" s="130"/>
      <c r="AG131" s="106"/>
    </row>
    <row r="132">
      <c r="C132" s="79"/>
      <c r="D132" s="79"/>
      <c r="E132" s="79"/>
      <c r="O132" s="79"/>
      <c r="S132" s="79"/>
      <c r="T132" s="79"/>
      <c r="Y132" s="79"/>
      <c r="AE132" s="130"/>
      <c r="AG132" s="106"/>
    </row>
    <row r="133">
      <c r="C133" s="79"/>
      <c r="D133" s="79"/>
      <c r="E133" s="79"/>
      <c r="O133" s="79"/>
      <c r="S133" s="79"/>
      <c r="T133" s="79"/>
      <c r="Y133" s="79"/>
      <c r="AE133" s="130"/>
      <c r="AG133" s="106"/>
    </row>
    <row r="134">
      <c r="C134" s="79"/>
      <c r="D134" s="79"/>
      <c r="E134" s="79"/>
      <c r="O134" s="79"/>
      <c r="S134" s="79"/>
      <c r="T134" s="79"/>
      <c r="Y134" s="79"/>
      <c r="AE134" s="130"/>
      <c r="AG134" s="106"/>
    </row>
    <row r="135">
      <c r="C135" s="79"/>
      <c r="D135" s="79"/>
      <c r="E135" s="79"/>
      <c r="O135" s="79"/>
      <c r="S135" s="79"/>
      <c r="T135" s="79"/>
      <c r="Y135" s="79"/>
      <c r="AE135" s="130"/>
      <c r="AG135" s="106"/>
    </row>
    <row r="136">
      <c r="C136" s="79"/>
      <c r="D136" s="79"/>
      <c r="E136" s="79"/>
      <c r="O136" s="79"/>
      <c r="S136" s="79"/>
      <c r="T136" s="79"/>
      <c r="Y136" s="79"/>
      <c r="AE136" s="130"/>
      <c r="AG136" s="106"/>
    </row>
    <row r="137">
      <c r="C137" s="79"/>
      <c r="D137" s="79"/>
      <c r="E137" s="79"/>
      <c r="O137" s="79"/>
      <c r="S137" s="79"/>
      <c r="T137" s="79"/>
      <c r="Y137" s="79"/>
      <c r="AE137" s="130"/>
      <c r="AG137" s="106"/>
    </row>
    <row r="138">
      <c r="C138" s="79"/>
      <c r="D138" s="79"/>
      <c r="E138" s="79"/>
      <c r="O138" s="79"/>
      <c r="S138" s="79"/>
      <c r="T138" s="79"/>
      <c r="Y138" s="79"/>
      <c r="AE138" s="130"/>
      <c r="AG138" s="106"/>
    </row>
    <row r="139">
      <c r="C139" s="79"/>
      <c r="D139" s="79"/>
      <c r="E139" s="79"/>
      <c r="O139" s="79"/>
      <c r="S139" s="79"/>
      <c r="T139" s="79"/>
      <c r="Y139" s="79"/>
      <c r="AE139" s="130"/>
      <c r="AG139" s="106"/>
    </row>
    <row r="140">
      <c r="C140" s="79"/>
      <c r="D140" s="79"/>
      <c r="E140" s="79"/>
      <c r="O140" s="79"/>
      <c r="S140" s="79"/>
      <c r="T140" s="79"/>
      <c r="Y140" s="79"/>
      <c r="AE140" s="130"/>
      <c r="AG140" s="106"/>
    </row>
    <row r="141">
      <c r="C141" s="79"/>
      <c r="D141" s="79"/>
      <c r="E141" s="79"/>
      <c r="O141" s="79"/>
      <c r="S141" s="79"/>
      <c r="T141" s="79"/>
      <c r="Y141" s="79"/>
      <c r="AE141" s="130"/>
      <c r="AG141" s="106"/>
    </row>
    <row r="142">
      <c r="C142" s="79"/>
      <c r="D142" s="79"/>
      <c r="E142" s="79"/>
      <c r="O142" s="79"/>
      <c r="S142" s="79"/>
      <c r="T142" s="79"/>
      <c r="Y142" s="79"/>
      <c r="AE142" s="130"/>
      <c r="AG142" s="106"/>
    </row>
    <row r="143">
      <c r="C143" s="79"/>
      <c r="D143" s="79"/>
      <c r="E143" s="79"/>
      <c r="O143" s="79"/>
      <c r="S143" s="79"/>
      <c r="T143" s="79"/>
      <c r="Y143" s="79"/>
      <c r="AE143" s="130"/>
      <c r="AG143" s="106"/>
    </row>
    <row r="144">
      <c r="C144" s="79"/>
      <c r="D144" s="79"/>
      <c r="E144" s="79"/>
      <c r="O144" s="79"/>
      <c r="S144" s="79"/>
      <c r="T144" s="79"/>
      <c r="Y144" s="79"/>
      <c r="AE144" s="130"/>
      <c r="AG144" s="106"/>
    </row>
    <row r="145">
      <c r="C145" s="79"/>
      <c r="D145" s="79"/>
      <c r="E145" s="79"/>
      <c r="O145" s="79"/>
      <c r="S145" s="79"/>
      <c r="T145" s="79"/>
      <c r="Y145" s="79"/>
      <c r="AE145" s="130"/>
      <c r="AG145" s="106"/>
    </row>
    <row r="146">
      <c r="C146" s="79"/>
      <c r="D146" s="79"/>
      <c r="E146" s="79"/>
      <c r="O146" s="79"/>
      <c r="S146" s="79"/>
      <c r="T146" s="79"/>
      <c r="Y146" s="79"/>
      <c r="AE146" s="130"/>
      <c r="AG146" s="106"/>
    </row>
    <row r="147">
      <c r="C147" s="79"/>
      <c r="D147" s="79"/>
      <c r="E147" s="79"/>
      <c r="O147" s="79"/>
      <c r="S147" s="79"/>
      <c r="T147" s="79"/>
      <c r="Y147" s="79"/>
      <c r="AE147" s="130"/>
      <c r="AG147" s="106"/>
    </row>
    <row r="148">
      <c r="C148" s="79"/>
      <c r="D148" s="79"/>
      <c r="E148" s="79"/>
      <c r="O148" s="79"/>
      <c r="S148" s="79"/>
      <c r="T148" s="79"/>
      <c r="Y148" s="79"/>
      <c r="AE148" s="130"/>
      <c r="AG148" s="106"/>
    </row>
    <row r="149">
      <c r="C149" s="79"/>
      <c r="D149" s="79"/>
      <c r="E149" s="79"/>
      <c r="O149" s="79"/>
      <c r="S149" s="79"/>
      <c r="T149" s="79"/>
      <c r="Y149" s="79"/>
      <c r="AE149" s="130"/>
      <c r="AG149" s="106"/>
    </row>
    <row r="150">
      <c r="C150" s="79"/>
      <c r="D150" s="79"/>
      <c r="E150" s="79"/>
      <c r="O150" s="79"/>
      <c r="S150" s="79"/>
      <c r="T150" s="79"/>
      <c r="Y150" s="79"/>
      <c r="AE150" s="130"/>
      <c r="AG150" s="106"/>
    </row>
    <row r="151">
      <c r="C151" s="79"/>
      <c r="D151" s="79"/>
      <c r="E151" s="79"/>
      <c r="O151" s="79"/>
      <c r="S151" s="79"/>
      <c r="T151" s="79"/>
      <c r="Y151" s="79"/>
      <c r="AE151" s="130"/>
      <c r="AG151" s="106"/>
    </row>
    <row r="152">
      <c r="C152" s="79"/>
      <c r="D152" s="79"/>
      <c r="E152" s="79"/>
      <c r="O152" s="79"/>
      <c r="S152" s="79"/>
      <c r="T152" s="79"/>
      <c r="Y152" s="79"/>
      <c r="AE152" s="130"/>
      <c r="AG152" s="106"/>
    </row>
    <row r="153">
      <c r="C153" s="79"/>
      <c r="D153" s="79"/>
      <c r="E153" s="79"/>
      <c r="O153" s="79"/>
      <c r="S153" s="79"/>
      <c r="T153" s="79"/>
      <c r="Y153" s="79"/>
      <c r="AE153" s="130"/>
      <c r="AG153" s="106"/>
    </row>
    <row r="154">
      <c r="C154" s="79"/>
      <c r="D154" s="79"/>
      <c r="E154" s="79"/>
      <c r="O154" s="79"/>
      <c r="S154" s="79"/>
      <c r="T154" s="79"/>
      <c r="Y154" s="79"/>
      <c r="AE154" s="130"/>
      <c r="AG154" s="106"/>
    </row>
    <row r="155">
      <c r="C155" s="79"/>
      <c r="D155" s="79"/>
      <c r="E155" s="79"/>
      <c r="O155" s="79"/>
      <c r="S155" s="79"/>
      <c r="T155" s="79"/>
      <c r="Y155" s="79"/>
      <c r="AE155" s="130"/>
      <c r="AG155" s="106"/>
    </row>
    <row r="156">
      <c r="C156" s="79"/>
      <c r="D156" s="79"/>
      <c r="E156" s="79"/>
      <c r="O156" s="79"/>
      <c r="S156" s="79"/>
      <c r="T156" s="79"/>
      <c r="Y156" s="79"/>
      <c r="AE156" s="130"/>
      <c r="AG156" s="106"/>
    </row>
    <row r="157">
      <c r="C157" s="79"/>
      <c r="D157" s="79"/>
      <c r="E157" s="79"/>
      <c r="O157" s="79"/>
      <c r="S157" s="79"/>
      <c r="T157" s="79"/>
      <c r="Y157" s="79"/>
      <c r="AE157" s="130"/>
      <c r="AG157" s="106"/>
    </row>
    <row r="158">
      <c r="C158" s="79"/>
      <c r="D158" s="79"/>
      <c r="E158" s="79"/>
      <c r="O158" s="79"/>
      <c r="S158" s="79"/>
      <c r="T158" s="79"/>
      <c r="Y158" s="79"/>
      <c r="AE158" s="130"/>
      <c r="AG158" s="106"/>
    </row>
    <row r="159">
      <c r="C159" s="79"/>
      <c r="D159" s="79"/>
      <c r="E159" s="79"/>
      <c r="O159" s="79"/>
      <c r="S159" s="79"/>
      <c r="T159" s="79"/>
      <c r="Y159" s="79"/>
      <c r="AE159" s="130"/>
      <c r="AG159" s="106"/>
    </row>
    <row r="160">
      <c r="C160" s="79"/>
      <c r="D160" s="79"/>
      <c r="E160" s="79"/>
      <c r="O160" s="79"/>
      <c r="S160" s="79"/>
      <c r="T160" s="79"/>
      <c r="Y160" s="79"/>
      <c r="AE160" s="130"/>
      <c r="AG160" s="106"/>
    </row>
    <row r="161">
      <c r="C161" s="79"/>
      <c r="D161" s="79"/>
      <c r="E161" s="79"/>
      <c r="O161" s="79"/>
      <c r="S161" s="79"/>
      <c r="T161" s="79"/>
      <c r="Y161" s="79"/>
      <c r="AE161" s="130"/>
      <c r="AG161" s="106"/>
    </row>
    <row r="162">
      <c r="C162" s="79"/>
      <c r="D162" s="79"/>
      <c r="E162" s="79"/>
      <c r="O162" s="79"/>
      <c r="S162" s="79"/>
      <c r="T162" s="79"/>
      <c r="Y162" s="79"/>
      <c r="AE162" s="130"/>
      <c r="AG162" s="106"/>
    </row>
    <row r="163">
      <c r="C163" s="79"/>
      <c r="D163" s="79"/>
      <c r="E163" s="79"/>
      <c r="O163" s="79"/>
      <c r="S163" s="79"/>
      <c r="T163" s="79"/>
      <c r="Y163" s="79"/>
      <c r="AE163" s="130"/>
      <c r="AG163" s="106"/>
    </row>
    <row r="164">
      <c r="C164" s="79"/>
      <c r="D164" s="79"/>
      <c r="E164" s="79"/>
      <c r="O164" s="79"/>
      <c r="S164" s="79"/>
      <c r="T164" s="79"/>
      <c r="Y164" s="79"/>
      <c r="AE164" s="130"/>
      <c r="AG164" s="106"/>
    </row>
    <row r="165">
      <c r="C165" s="79"/>
      <c r="D165" s="79"/>
      <c r="E165" s="79"/>
      <c r="O165" s="79"/>
      <c r="S165" s="79"/>
      <c r="T165" s="79"/>
      <c r="Y165" s="79"/>
      <c r="AE165" s="130"/>
      <c r="AG165" s="106"/>
    </row>
    <row r="166">
      <c r="C166" s="79"/>
      <c r="D166" s="79"/>
      <c r="E166" s="79"/>
      <c r="O166" s="79"/>
      <c r="S166" s="79"/>
      <c r="T166" s="79"/>
      <c r="Y166" s="79"/>
      <c r="AE166" s="130"/>
      <c r="AG166" s="106"/>
    </row>
    <row r="167">
      <c r="C167" s="79"/>
      <c r="D167" s="79"/>
      <c r="E167" s="79"/>
      <c r="O167" s="79"/>
      <c r="S167" s="79"/>
      <c r="T167" s="79"/>
      <c r="Y167" s="79"/>
      <c r="AE167" s="130"/>
      <c r="AG167" s="106"/>
    </row>
    <row r="168">
      <c r="C168" s="79"/>
      <c r="D168" s="79"/>
      <c r="E168" s="79"/>
      <c r="O168" s="79"/>
      <c r="S168" s="79"/>
      <c r="T168" s="79"/>
      <c r="Y168" s="79"/>
      <c r="AE168" s="130"/>
      <c r="AG168" s="106"/>
    </row>
    <row r="169">
      <c r="C169" s="79"/>
      <c r="D169" s="79"/>
      <c r="E169" s="79"/>
      <c r="O169" s="79"/>
      <c r="S169" s="79"/>
      <c r="T169" s="79"/>
      <c r="Y169" s="79"/>
      <c r="AE169" s="130"/>
      <c r="AG169" s="106"/>
    </row>
    <row r="170">
      <c r="C170" s="79"/>
      <c r="D170" s="79"/>
      <c r="E170" s="79"/>
      <c r="O170" s="79"/>
      <c r="S170" s="79"/>
      <c r="T170" s="79"/>
      <c r="Y170" s="79"/>
      <c r="AE170" s="130"/>
      <c r="AG170" s="106"/>
    </row>
    <row r="171">
      <c r="C171" s="79"/>
      <c r="D171" s="79"/>
      <c r="E171" s="79"/>
      <c r="O171" s="79"/>
      <c r="S171" s="79"/>
      <c r="T171" s="79"/>
      <c r="Y171" s="79"/>
      <c r="AE171" s="130"/>
      <c r="AG171" s="106"/>
    </row>
    <row r="172">
      <c r="C172" s="79"/>
      <c r="D172" s="79"/>
      <c r="E172" s="79"/>
      <c r="O172" s="79"/>
      <c r="S172" s="79"/>
      <c r="T172" s="79"/>
      <c r="Y172" s="79"/>
      <c r="AE172" s="130"/>
      <c r="AG172" s="106"/>
    </row>
    <row r="173">
      <c r="C173" s="79"/>
      <c r="D173" s="79"/>
      <c r="E173" s="79"/>
      <c r="O173" s="79"/>
      <c r="S173" s="79"/>
      <c r="T173" s="79"/>
      <c r="Y173" s="79"/>
      <c r="AE173" s="130"/>
      <c r="AG173" s="106"/>
    </row>
    <row r="174">
      <c r="C174" s="79"/>
      <c r="D174" s="79"/>
      <c r="E174" s="79"/>
      <c r="O174" s="79"/>
      <c r="S174" s="79"/>
      <c r="T174" s="79"/>
      <c r="Y174" s="79"/>
      <c r="AE174" s="130"/>
      <c r="AG174" s="106"/>
    </row>
    <row r="175">
      <c r="C175" s="79"/>
      <c r="D175" s="79"/>
      <c r="E175" s="79"/>
      <c r="O175" s="79"/>
      <c r="S175" s="79"/>
      <c r="T175" s="79"/>
      <c r="Y175" s="79"/>
      <c r="AE175" s="130"/>
      <c r="AG175" s="106"/>
    </row>
    <row r="176">
      <c r="C176" s="79"/>
      <c r="D176" s="79"/>
      <c r="E176" s="79"/>
      <c r="O176" s="79"/>
      <c r="S176" s="79"/>
      <c r="T176" s="79"/>
      <c r="Y176" s="79"/>
      <c r="AE176" s="130"/>
      <c r="AG176" s="106"/>
    </row>
    <row r="177">
      <c r="C177" s="79"/>
      <c r="D177" s="79"/>
      <c r="E177" s="79"/>
      <c r="O177" s="79"/>
      <c r="S177" s="79"/>
      <c r="T177" s="79"/>
      <c r="Y177" s="79"/>
      <c r="AE177" s="130"/>
      <c r="AG177" s="106"/>
    </row>
    <row r="178">
      <c r="C178" s="79"/>
      <c r="D178" s="79"/>
      <c r="E178" s="79"/>
      <c r="O178" s="79"/>
      <c r="S178" s="79"/>
      <c r="T178" s="79"/>
      <c r="Y178" s="79"/>
      <c r="AE178" s="130"/>
      <c r="AG178" s="106"/>
    </row>
    <row r="179">
      <c r="C179" s="79"/>
      <c r="D179" s="79"/>
      <c r="E179" s="79"/>
      <c r="O179" s="79"/>
      <c r="S179" s="79"/>
      <c r="T179" s="79"/>
      <c r="Y179" s="79"/>
      <c r="AE179" s="130"/>
      <c r="AG179" s="106"/>
    </row>
    <row r="180">
      <c r="C180" s="79"/>
      <c r="D180" s="79"/>
      <c r="E180" s="79"/>
      <c r="O180" s="79"/>
      <c r="S180" s="79"/>
      <c r="T180" s="79"/>
      <c r="Y180" s="79"/>
      <c r="AE180" s="130"/>
      <c r="AG180" s="106"/>
    </row>
    <row r="181">
      <c r="C181" s="79"/>
      <c r="D181" s="79"/>
      <c r="E181" s="79"/>
      <c r="O181" s="79"/>
      <c r="S181" s="79"/>
      <c r="T181" s="79"/>
      <c r="Y181" s="79"/>
      <c r="AE181" s="130"/>
      <c r="AG181" s="106"/>
    </row>
    <row r="182">
      <c r="C182" s="79"/>
      <c r="D182" s="79"/>
      <c r="E182" s="79"/>
      <c r="O182" s="79"/>
      <c r="S182" s="79"/>
      <c r="T182" s="79"/>
      <c r="Y182" s="79"/>
      <c r="AE182" s="130"/>
      <c r="AG182" s="106"/>
    </row>
    <row r="183">
      <c r="C183" s="79"/>
      <c r="D183" s="79"/>
      <c r="E183" s="79"/>
      <c r="O183" s="79"/>
      <c r="S183" s="79"/>
      <c r="T183" s="79"/>
      <c r="Y183" s="79"/>
      <c r="AE183" s="130"/>
      <c r="AG183" s="106"/>
    </row>
    <row r="184">
      <c r="C184" s="79"/>
      <c r="D184" s="79"/>
      <c r="E184" s="79"/>
      <c r="O184" s="79"/>
      <c r="S184" s="79"/>
      <c r="T184" s="79"/>
      <c r="Y184" s="79"/>
      <c r="AE184" s="130"/>
      <c r="AG184" s="106"/>
    </row>
    <row r="185">
      <c r="C185" s="79"/>
      <c r="D185" s="79"/>
      <c r="E185" s="79"/>
      <c r="O185" s="79"/>
      <c r="S185" s="79"/>
      <c r="T185" s="79"/>
      <c r="Y185" s="79"/>
      <c r="AE185" s="130"/>
      <c r="AG185" s="106"/>
    </row>
    <row r="186">
      <c r="C186" s="79"/>
      <c r="D186" s="79"/>
      <c r="E186" s="79"/>
      <c r="O186" s="79"/>
      <c r="S186" s="79"/>
      <c r="T186" s="79"/>
      <c r="Y186" s="79"/>
      <c r="AE186" s="130"/>
      <c r="AG186" s="106"/>
    </row>
    <row r="187">
      <c r="C187" s="79"/>
      <c r="D187" s="79"/>
      <c r="E187" s="79"/>
      <c r="O187" s="79"/>
      <c r="S187" s="79"/>
      <c r="T187" s="79"/>
      <c r="Y187" s="79"/>
      <c r="AE187" s="130"/>
      <c r="AG187" s="106"/>
    </row>
    <row r="188">
      <c r="C188" s="79"/>
      <c r="D188" s="79"/>
      <c r="E188" s="79"/>
      <c r="O188" s="79"/>
      <c r="S188" s="79"/>
      <c r="T188" s="79"/>
      <c r="Y188" s="79"/>
      <c r="AE188" s="130"/>
      <c r="AG188" s="106"/>
    </row>
    <row r="189">
      <c r="C189" s="79"/>
      <c r="D189" s="79"/>
      <c r="E189" s="79"/>
      <c r="O189" s="79"/>
      <c r="S189" s="79"/>
      <c r="T189" s="79"/>
      <c r="Y189" s="79"/>
      <c r="AE189" s="130"/>
      <c r="AG189" s="106"/>
    </row>
    <row r="190">
      <c r="C190" s="79"/>
      <c r="D190" s="79"/>
      <c r="E190" s="79"/>
      <c r="O190" s="79"/>
      <c r="S190" s="79"/>
      <c r="T190" s="79"/>
      <c r="Y190" s="79"/>
      <c r="AE190" s="130"/>
      <c r="AG190" s="106"/>
    </row>
    <row r="191">
      <c r="C191" s="79"/>
      <c r="D191" s="79"/>
      <c r="E191" s="79"/>
      <c r="O191" s="79"/>
      <c r="S191" s="79"/>
      <c r="T191" s="79"/>
      <c r="Y191" s="79"/>
      <c r="AE191" s="130"/>
      <c r="AG191" s="106"/>
    </row>
    <row r="192">
      <c r="C192" s="79"/>
      <c r="D192" s="79"/>
      <c r="E192" s="79"/>
      <c r="O192" s="79"/>
      <c r="S192" s="79"/>
      <c r="T192" s="79"/>
      <c r="Y192" s="79"/>
      <c r="AE192" s="130"/>
      <c r="AG192" s="106"/>
    </row>
    <row r="193">
      <c r="C193" s="79"/>
      <c r="D193" s="79"/>
      <c r="E193" s="79"/>
      <c r="O193" s="79"/>
      <c r="S193" s="79"/>
      <c r="T193" s="79"/>
      <c r="Y193" s="79"/>
      <c r="AE193" s="130"/>
      <c r="AG193" s="106"/>
    </row>
    <row r="194">
      <c r="C194" s="79"/>
      <c r="D194" s="79"/>
      <c r="E194" s="79"/>
      <c r="O194" s="79"/>
      <c r="S194" s="79"/>
      <c r="T194" s="79"/>
      <c r="Y194" s="79"/>
      <c r="AE194" s="130"/>
      <c r="AG194" s="106"/>
    </row>
    <row r="195">
      <c r="C195" s="79"/>
      <c r="D195" s="79"/>
      <c r="E195" s="79"/>
      <c r="O195" s="79"/>
      <c r="S195" s="79"/>
      <c r="T195" s="79"/>
      <c r="Y195" s="79"/>
      <c r="AE195" s="130"/>
      <c r="AG195" s="106"/>
    </row>
    <row r="196">
      <c r="C196" s="79"/>
      <c r="D196" s="79"/>
      <c r="E196" s="79"/>
      <c r="O196" s="79"/>
      <c r="S196" s="79"/>
      <c r="T196" s="79"/>
      <c r="Y196" s="79"/>
      <c r="AE196" s="130"/>
      <c r="AG196" s="106"/>
    </row>
    <row r="197">
      <c r="C197" s="79"/>
      <c r="D197" s="79"/>
      <c r="E197" s="79"/>
      <c r="O197" s="79"/>
      <c r="S197" s="79"/>
      <c r="T197" s="79"/>
      <c r="Y197" s="79"/>
      <c r="AE197" s="130"/>
      <c r="AG197" s="106"/>
    </row>
    <row r="198">
      <c r="C198" s="79"/>
      <c r="D198" s="79"/>
      <c r="E198" s="79"/>
      <c r="O198" s="79"/>
      <c r="S198" s="79"/>
      <c r="T198" s="79"/>
      <c r="Y198" s="79"/>
      <c r="AE198" s="130"/>
      <c r="AG198" s="106"/>
    </row>
    <row r="199">
      <c r="C199" s="79"/>
      <c r="D199" s="79"/>
      <c r="E199" s="79"/>
      <c r="O199" s="79"/>
      <c r="S199" s="79"/>
      <c r="T199" s="79"/>
      <c r="Y199" s="79"/>
      <c r="AE199" s="130"/>
      <c r="AG199" s="106"/>
    </row>
    <row r="200">
      <c r="C200" s="79"/>
      <c r="D200" s="79"/>
      <c r="E200" s="79"/>
      <c r="O200" s="79"/>
      <c r="S200" s="79"/>
      <c r="T200" s="79"/>
      <c r="Y200" s="79"/>
      <c r="AE200" s="130"/>
      <c r="AG200" s="106"/>
    </row>
    <row r="201">
      <c r="C201" s="79"/>
      <c r="D201" s="79"/>
      <c r="E201" s="79"/>
      <c r="O201" s="79"/>
      <c r="S201" s="79"/>
      <c r="T201" s="79"/>
      <c r="Y201" s="79"/>
      <c r="AE201" s="130"/>
      <c r="AG201" s="106"/>
    </row>
    <row r="202">
      <c r="C202" s="79"/>
      <c r="D202" s="79"/>
      <c r="E202" s="79"/>
      <c r="O202" s="79"/>
      <c r="S202" s="79"/>
      <c r="T202" s="79"/>
      <c r="Y202" s="79"/>
      <c r="AE202" s="130"/>
      <c r="AG202" s="106"/>
    </row>
    <row r="203">
      <c r="C203" s="79"/>
      <c r="D203" s="79"/>
      <c r="E203" s="79"/>
      <c r="O203" s="79"/>
      <c r="S203" s="79"/>
      <c r="T203" s="79"/>
      <c r="Y203" s="79"/>
      <c r="AE203" s="130"/>
      <c r="AG203" s="106"/>
    </row>
    <row r="204">
      <c r="C204" s="79"/>
      <c r="D204" s="79"/>
      <c r="E204" s="79"/>
      <c r="O204" s="79"/>
      <c r="S204" s="79"/>
      <c r="T204" s="79"/>
      <c r="Y204" s="79"/>
      <c r="AE204" s="130"/>
      <c r="AG204" s="106"/>
    </row>
    <row r="205">
      <c r="C205" s="79"/>
      <c r="D205" s="79"/>
      <c r="E205" s="79"/>
      <c r="O205" s="79"/>
      <c r="S205" s="79"/>
      <c r="T205" s="79"/>
      <c r="Y205" s="79"/>
      <c r="AE205" s="130"/>
      <c r="AG205" s="106"/>
    </row>
    <row r="206">
      <c r="C206" s="79"/>
      <c r="D206" s="79"/>
      <c r="E206" s="79"/>
      <c r="O206" s="79"/>
      <c r="S206" s="79"/>
      <c r="T206" s="79"/>
      <c r="Y206" s="79"/>
      <c r="AE206" s="130"/>
      <c r="AG206" s="106"/>
    </row>
    <row r="207">
      <c r="C207" s="79"/>
      <c r="D207" s="79"/>
      <c r="E207" s="79"/>
      <c r="O207" s="79"/>
      <c r="S207" s="79"/>
      <c r="T207" s="79"/>
      <c r="Y207" s="79"/>
      <c r="AE207" s="130"/>
      <c r="AG207" s="106"/>
    </row>
    <row r="208">
      <c r="C208" s="79"/>
      <c r="D208" s="79"/>
      <c r="E208" s="79"/>
      <c r="O208" s="79"/>
      <c r="S208" s="79"/>
      <c r="T208" s="79"/>
      <c r="Y208" s="79"/>
      <c r="AE208" s="130"/>
      <c r="AG208" s="106"/>
    </row>
    <row r="209">
      <c r="C209" s="79"/>
      <c r="D209" s="79"/>
      <c r="E209" s="79"/>
      <c r="O209" s="79"/>
      <c r="S209" s="79"/>
      <c r="T209" s="79"/>
      <c r="Y209" s="79"/>
      <c r="AE209" s="130"/>
      <c r="AG209" s="106"/>
    </row>
    <row r="210">
      <c r="C210" s="79"/>
      <c r="D210" s="79"/>
      <c r="E210" s="79"/>
      <c r="O210" s="79"/>
      <c r="S210" s="79"/>
      <c r="T210" s="79"/>
      <c r="Y210" s="79"/>
      <c r="AE210" s="130"/>
      <c r="AG210" s="106"/>
    </row>
    <row r="211">
      <c r="C211" s="79"/>
      <c r="D211" s="79"/>
      <c r="E211" s="79"/>
      <c r="O211" s="79"/>
      <c r="S211" s="79"/>
      <c r="T211" s="79"/>
      <c r="Y211" s="79"/>
      <c r="AE211" s="130"/>
      <c r="AG211" s="106"/>
    </row>
    <row r="212">
      <c r="C212" s="79"/>
      <c r="D212" s="79"/>
      <c r="E212" s="79"/>
      <c r="O212" s="79"/>
      <c r="S212" s="79"/>
      <c r="T212" s="79"/>
      <c r="Y212" s="79"/>
      <c r="AE212" s="130"/>
      <c r="AG212" s="106"/>
    </row>
    <row r="213">
      <c r="C213" s="79"/>
      <c r="D213" s="79"/>
      <c r="E213" s="79"/>
      <c r="O213" s="79"/>
      <c r="S213" s="79"/>
      <c r="T213" s="79"/>
      <c r="Y213" s="79"/>
      <c r="AE213" s="130"/>
      <c r="AG213" s="106"/>
    </row>
    <row r="214">
      <c r="C214" s="79"/>
      <c r="D214" s="79"/>
      <c r="E214" s="79"/>
      <c r="O214" s="79"/>
      <c r="S214" s="79"/>
      <c r="T214" s="79"/>
      <c r="Y214" s="79"/>
      <c r="AE214" s="130"/>
      <c r="AG214" s="106"/>
    </row>
    <row r="215">
      <c r="C215" s="79"/>
      <c r="D215" s="79"/>
      <c r="E215" s="79"/>
      <c r="O215" s="79"/>
      <c r="S215" s="79"/>
      <c r="T215" s="79"/>
      <c r="Y215" s="79"/>
      <c r="AE215" s="130"/>
      <c r="AG215" s="106"/>
    </row>
    <row r="216">
      <c r="C216" s="79"/>
      <c r="D216" s="79"/>
      <c r="E216" s="79"/>
      <c r="O216" s="79"/>
      <c r="S216" s="79"/>
      <c r="T216" s="79"/>
      <c r="Y216" s="79"/>
      <c r="AE216" s="130"/>
      <c r="AG216" s="106"/>
    </row>
    <row r="217">
      <c r="C217" s="79"/>
      <c r="D217" s="79"/>
      <c r="E217" s="79"/>
      <c r="O217" s="79"/>
      <c r="S217" s="79"/>
      <c r="T217" s="79"/>
      <c r="Y217" s="79"/>
      <c r="AE217" s="130"/>
      <c r="AG217" s="106"/>
    </row>
    <row r="218">
      <c r="C218" s="79"/>
      <c r="D218" s="79"/>
      <c r="E218" s="79"/>
      <c r="O218" s="79"/>
      <c r="S218" s="79"/>
      <c r="T218" s="79"/>
      <c r="Y218" s="79"/>
      <c r="AE218" s="130"/>
      <c r="AG218" s="106"/>
    </row>
    <row r="219">
      <c r="C219" s="79"/>
      <c r="D219" s="79"/>
      <c r="E219" s="79"/>
      <c r="O219" s="79"/>
      <c r="S219" s="79"/>
      <c r="T219" s="79"/>
      <c r="Y219" s="79"/>
      <c r="AE219" s="130"/>
      <c r="AG219" s="106"/>
    </row>
    <row r="220">
      <c r="C220" s="79"/>
      <c r="D220" s="79"/>
      <c r="E220" s="79"/>
      <c r="O220" s="79"/>
      <c r="S220" s="79"/>
      <c r="T220" s="79"/>
      <c r="Y220" s="79"/>
      <c r="AE220" s="130"/>
      <c r="AG220" s="106"/>
    </row>
    <row r="221">
      <c r="C221" s="79"/>
      <c r="D221" s="79"/>
      <c r="E221" s="79"/>
      <c r="O221" s="79"/>
      <c r="S221" s="79"/>
      <c r="T221" s="79"/>
      <c r="Y221" s="79"/>
      <c r="AE221" s="130"/>
      <c r="AG221" s="106"/>
    </row>
    <row r="222">
      <c r="C222" s="79"/>
      <c r="D222" s="79"/>
      <c r="E222" s="79"/>
      <c r="O222" s="79"/>
      <c r="S222" s="79"/>
      <c r="T222" s="79"/>
      <c r="Y222" s="79"/>
      <c r="AE222" s="130"/>
      <c r="AG222" s="106"/>
    </row>
    <row r="223">
      <c r="C223" s="79"/>
      <c r="D223" s="79"/>
      <c r="E223" s="79"/>
      <c r="O223" s="79"/>
      <c r="S223" s="79"/>
      <c r="T223" s="79"/>
      <c r="Y223" s="79"/>
      <c r="AE223" s="130"/>
      <c r="AG223" s="106"/>
    </row>
    <row r="224">
      <c r="C224" s="79"/>
      <c r="D224" s="79"/>
      <c r="E224" s="79"/>
      <c r="O224" s="79"/>
      <c r="S224" s="79"/>
      <c r="T224" s="79"/>
      <c r="Y224" s="79"/>
      <c r="AE224" s="130"/>
      <c r="AG224" s="106"/>
    </row>
    <row r="225">
      <c r="C225" s="79"/>
      <c r="D225" s="79"/>
      <c r="E225" s="79"/>
      <c r="O225" s="79"/>
      <c r="S225" s="79"/>
      <c r="T225" s="79"/>
      <c r="Y225" s="79"/>
      <c r="AE225" s="130"/>
      <c r="AG225" s="106"/>
    </row>
    <row r="226">
      <c r="C226" s="79"/>
      <c r="D226" s="79"/>
      <c r="E226" s="79"/>
      <c r="O226" s="79"/>
      <c r="S226" s="79"/>
      <c r="T226" s="79"/>
      <c r="Y226" s="79"/>
      <c r="AE226" s="130"/>
      <c r="AG226" s="106"/>
    </row>
    <row r="227">
      <c r="C227" s="79"/>
      <c r="D227" s="79"/>
      <c r="E227" s="79"/>
      <c r="O227" s="79"/>
      <c r="S227" s="79"/>
      <c r="T227" s="79"/>
      <c r="Y227" s="79"/>
      <c r="AE227" s="130"/>
      <c r="AG227" s="106"/>
    </row>
    <row r="228">
      <c r="C228" s="79"/>
      <c r="D228" s="79"/>
      <c r="E228" s="79"/>
      <c r="O228" s="79"/>
      <c r="S228" s="79"/>
      <c r="T228" s="79"/>
      <c r="Y228" s="79"/>
      <c r="AE228" s="130"/>
      <c r="AG228" s="106"/>
    </row>
    <row r="229">
      <c r="C229" s="79"/>
      <c r="D229" s="79"/>
      <c r="E229" s="79"/>
      <c r="O229" s="79"/>
      <c r="S229" s="79"/>
      <c r="T229" s="79"/>
      <c r="Y229" s="79"/>
      <c r="AE229" s="130"/>
      <c r="AG229" s="106"/>
    </row>
    <row r="230">
      <c r="C230" s="79"/>
      <c r="D230" s="79"/>
      <c r="E230" s="79"/>
      <c r="O230" s="79"/>
      <c r="S230" s="79"/>
      <c r="T230" s="79"/>
      <c r="Y230" s="79"/>
      <c r="AE230" s="130"/>
      <c r="AG230" s="106"/>
    </row>
    <row r="231">
      <c r="C231" s="79"/>
      <c r="D231" s="79"/>
      <c r="E231" s="79"/>
      <c r="O231" s="79"/>
      <c r="S231" s="79"/>
      <c r="T231" s="79"/>
      <c r="Y231" s="79"/>
      <c r="AE231" s="130"/>
      <c r="AG231" s="106"/>
    </row>
    <row r="232">
      <c r="C232" s="79"/>
      <c r="D232" s="79"/>
      <c r="E232" s="79"/>
      <c r="O232" s="79"/>
      <c r="S232" s="79"/>
      <c r="T232" s="79"/>
      <c r="Y232" s="79"/>
      <c r="AE232" s="130"/>
      <c r="AG232" s="106"/>
    </row>
    <row r="233">
      <c r="C233" s="79"/>
      <c r="D233" s="79"/>
      <c r="E233" s="79"/>
      <c r="O233" s="79"/>
      <c r="S233" s="79"/>
      <c r="T233" s="79"/>
      <c r="Y233" s="79"/>
      <c r="AE233" s="130"/>
      <c r="AG233" s="106"/>
    </row>
    <row r="234">
      <c r="C234" s="79"/>
      <c r="D234" s="79"/>
      <c r="E234" s="79"/>
      <c r="O234" s="79"/>
      <c r="S234" s="79"/>
      <c r="T234" s="79"/>
      <c r="Y234" s="79"/>
      <c r="AE234" s="130"/>
      <c r="AG234" s="106"/>
    </row>
    <row r="235">
      <c r="C235" s="79"/>
      <c r="D235" s="79"/>
      <c r="E235" s="79"/>
      <c r="O235" s="79"/>
      <c r="S235" s="79"/>
      <c r="T235" s="79"/>
      <c r="Y235" s="79"/>
      <c r="AE235" s="130"/>
      <c r="AG235" s="106"/>
    </row>
    <row r="236">
      <c r="C236" s="79"/>
      <c r="D236" s="79"/>
      <c r="E236" s="79"/>
      <c r="O236" s="79"/>
      <c r="S236" s="79"/>
      <c r="T236" s="79"/>
      <c r="Y236" s="79"/>
      <c r="AE236" s="130"/>
      <c r="AG236" s="106"/>
    </row>
    <row r="237">
      <c r="C237" s="79"/>
      <c r="D237" s="79"/>
      <c r="E237" s="79"/>
      <c r="O237" s="79"/>
      <c r="S237" s="79"/>
      <c r="T237" s="79"/>
      <c r="Y237" s="79"/>
      <c r="AE237" s="130"/>
      <c r="AG237" s="106"/>
    </row>
    <row r="238">
      <c r="C238" s="79"/>
      <c r="D238" s="79"/>
      <c r="E238" s="79"/>
      <c r="O238" s="79"/>
      <c r="S238" s="79"/>
      <c r="T238" s="79"/>
      <c r="Y238" s="79"/>
      <c r="AE238" s="130"/>
      <c r="AG238" s="106"/>
    </row>
    <row r="239">
      <c r="C239" s="79"/>
      <c r="D239" s="79"/>
      <c r="E239" s="79"/>
      <c r="O239" s="79"/>
      <c r="S239" s="79"/>
      <c r="T239" s="79"/>
      <c r="Y239" s="79"/>
      <c r="AE239" s="130"/>
      <c r="AG239" s="106"/>
    </row>
    <row r="240">
      <c r="C240" s="79"/>
      <c r="D240" s="79"/>
      <c r="E240" s="79"/>
      <c r="O240" s="79"/>
      <c r="S240" s="79"/>
      <c r="T240" s="79"/>
      <c r="Y240" s="79"/>
      <c r="AE240" s="130"/>
      <c r="AG240" s="106"/>
    </row>
    <row r="241">
      <c r="C241" s="79"/>
      <c r="D241" s="79"/>
      <c r="E241" s="79"/>
      <c r="O241" s="79"/>
      <c r="S241" s="79"/>
      <c r="T241" s="79"/>
      <c r="Y241" s="79"/>
      <c r="AE241" s="130"/>
      <c r="AG241" s="106"/>
    </row>
    <row r="242">
      <c r="C242" s="79"/>
      <c r="D242" s="79"/>
      <c r="E242" s="79"/>
      <c r="O242" s="79"/>
      <c r="S242" s="79"/>
      <c r="T242" s="79"/>
      <c r="Y242" s="79"/>
      <c r="AE242" s="130"/>
      <c r="AG242" s="106"/>
    </row>
    <row r="243">
      <c r="C243" s="79"/>
      <c r="D243" s="79"/>
      <c r="E243" s="79"/>
      <c r="O243" s="79"/>
      <c r="S243" s="79"/>
      <c r="T243" s="79"/>
      <c r="Y243" s="79"/>
      <c r="AE243" s="130"/>
      <c r="AG243" s="106"/>
    </row>
    <row r="244">
      <c r="C244" s="79"/>
      <c r="D244" s="79"/>
      <c r="E244" s="79"/>
      <c r="O244" s="79"/>
      <c r="S244" s="79"/>
      <c r="T244" s="79"/>
      <c r="Y244" s="79"/>
      <c r="AE244" s="130"/>
      <c r="AG244" s="106"/>
    </row>
    <row r="245">
      <c r="C245" s="79"/>
      <c r="D245" s="79"/>
      <c r="E245" s="79"/>
      <c r="O245" s="79"/>
      <c r="S245" s="79"/>
      <c r="T245" s="79"/>
      <c r="Y245" s="79"/>
      <c r="AE245" s="130"/>
      <c r="AG245" s="106"/>
    </row>
    <row r="246">
      <c r="C246" s="79"/>
      <c r="D246" s="79"/>
      <c r="E246" s="79"/>
      <c r="O246" s="79"/>
      <c r="S246" s="79"/>
      <c r="T246" s="79"/>
      <c r="Y246" s="79"/>
      <c r="AE246" s="130"/>
      <c r="AG246" s="106"/>
    </row>
    <row r="247">
      <c r="C247" s="79"/>
      <c r="D247" s="79"/>
      <c r="E247" s="79"/>
      <c r="O247" s="79"/>
      <c r="S247" s="79"/>
      <c r="T247" s="79"/>
      <c r="Y247" s="79"/>
      <c r="AE247" s="130"/>
      <c r="AG247" s="106"/>
    </row>
    <row r="248">
      <c r="C248" s="79"/>
      <c r="D248" s="79"/>
      <c r="E248" s="79"/>
      <c r="O248" s="79"/>
      <c r="S248" s="79"/>
      <c r="T248" s="79"/>
      <c r="Y248" s="79"/>
      <c r="AE248" s="130"/>
      <c r="AG248" s="106"/>
    </row>
    <row r="249">
      <c r="C249" s="79"/>
      <c r="D249" s="79"/>
      <c r="E249" s="79"/>
      <c r="O249" s="79"/>
      <c r="S249" s="79"/>
      <c r="T249" s="79"/>
      <c r="Y249" s="79"/>
      <c r="AE249" s="130"/>
      <c r="AG249" s="106"/>
    </row>
    <row r="250">
      <c r="C250" s="79"/>
      <c r="D250" s="79"/>
      <c r="E250" s="79"/>
      <c r="O250" s="79"/>
      <c r="S250" s="79"/>
      <c r="T250" s="79"/>
      <c r="Y250" s="79"/>
      <c r="AE250" s="130"/>
      <c r="AG250" s="106"/>
    </row>
    <row r="251">
      <c r="C251" s="79"/>
      <c r="D251" s="79"/>
      <c r="E251" s="79"/>
      <c r="O251" s="79"/>
      <c r="S251" s="79"/>
      <c r="T251" s="79"/>
      <c r="Y251" s="79"/>
      <c r="AE251" s="130"/>
      <c r="AG251" s="106"/>
    </row>
    <row r="252">
      <c r="C252" s="79"/>
      <c r="D252" s="79"/>
      <c r="E252" s="79"/>
      <c r="O252" s="79"/>
      <c r="S252" s="79"/>
      <c r="T252" s="79"/>
      <c r="Y252" s="79"/>
      <c r="AE252" s="130"/>
      <c r="AG252" s="106"/>
    </row>
    <row r="253">
      <c r="C253" s="79"/>
      <c r="D253" s="79"/>
      <c r="E253" s="79"/>
      <c r="O253" s="79"/>
      <c r="S253" s="79"/>
      <c r="T253" s="79"/>
      <c r="Y253" s="79"/>
      <c r="AE253" s="130"/>
      <c r="AG253" s="106"/>
    </row>
    <row r="254">
      <c r="C254" s="79"/>
      <c r="D254" s="79"/>
      <c r="E254" s="79"/>
      <c r="O254" s="79"/>
      <c r="S254" s="79"/>
      <c r="T254" s="79"/>
      <c r="Y254" s="79"/>
      <c r="AE254" s="130"/>
      <c r="AG254" s="106"/>
    </row>
    <row r="255">
      <c r="C255" s="79"/>
      <c r="D255" s="79"/>
      <c r="E255" s="79"/>
      <c r="O255" s="79"/>
      <c r="S255" s="79"/>
      <c r="T255" s="79"/>
      <c r="Y255" s="79"/>
      <c r="AE255" s="130"/>
      <c r="AG255" s="106"/>
    </row>
    <row r="256">
      <c r="C256" s="79"/>
      <c r="D256" s="79"/>
      <c r="E256" s="79"/>
      <c r="O256" s="79"/>
      <c r="S256" s="79"/>
      <c r="T256" s="79"/>
      <c r="Y256" s="79"/>
      <c r="AE256" s="130"/>
      <c r="AG256" s="106"/>
    </row>
    <row r="257">
      <c r="C257" s="79"/>
      <c r="D257" s="79"/>
      <c r="E257" s="79"/>
      <c r="O257" s="79"/>
      <c r="S257" s="79"/>
      <c r="T257" s="79"/>
      <c r="Y257" s="79"/>
      <c r="AE257" s="130"/>
      <c r="AG257" s="106"/>
    </row>
    <row r="258">
      <c r="C258" s="79"/>
      <c r="D258" s="79"/>
      <c r="E258" s="79"/>
      <c r="O258" s="79"/>
      <c r="S258" s="79"/>
      <c r="T258" s="79"/>
      <c r="Y258" s="79"/>
      <c r="AE258" s="130"/>
      <c r="AG258" s="106"/>
    </row>
    <row r="259">
      <c r="C259" s="79"/>
      <c r="D259" s="79"/>
      <c r="E259" s="79"/>
      <c r="O259" s="79"/>
      <c r="S259" s="79"/>
      <c r="T259" s="79"/>
      <c r="Y259" s="79"/>
      <c r="AE259" s="130"/>
      <c r="AG259" s="106"/>
    </row>
    <row r="260">
      <c r="C260" s="79"/>
      <c r="D260" s="79"/>
      <c r="E260" s="79"/>
      <c r="O260" s="79"/>
      <c r="S260" s="79"/>
      <c r="T260" s="79"/>
      <c r="Y260" s="79"/>
      <c r="AE260" s="130"/>
      <c r="AG260" s="106"/>
    </row>
    <row r="261">
      <c r="C261" s="79"/>
      <c r="D261" s="79"/>
      <c r="E261" s="79"/>
      <c r="O261" s="79"/>
      <c r="S261" s="79"/>
      <c r="T261" s="79"/>
      <c r="Y261" s="79"/>
      <c r="AE261" s="130"/>
      <c r="AG261" s="106"/>
    </row>
    <row r="262">
      <c r="C262" s="79"/>
      <c r="D262" s="79"/>
      <c r="E262" s="79"/>
      <c r="O262" s="79"/>
      <c r="S262" s="79"/>
      <c r="T262" s="79"/>
      <c r="Y262" s="79"/>
      <c r="AE262" s="130"/>
      <c r="AG262" s="106"/>
    </row>
    <row r="263">
      <c r="C263" s="79"/>
      <c r="D263" s="79"/>
      <c r="E263" s="79"/>
      <c r="O263" s="79"/>
      <c r="S263" s="79"/>
      <c r="T263" s="79"/>
      <c r="Y263" s="79"/>
      <c r="AE263" s="130"/>
      <c r="AG263" s="106"/>
    </row>
    <row r="264">
      <c r="C264" s="79"/>
      <c r="D264" s="79"/>
      <c r="E264" s="79"/>
      <c r="O264" s="79"/>
      <c r="S264" s="79"/>
      <c r="T264" s="79"/>
      <c r="Y264" s="79"/>
      <c r="AE264" s="130"/>
      <c r="AG264" s="106"/>
    </row>
    <row r="265">
      <c r="C265" s="79"/>
      <c r="D265" s="79"/>
      <c r="E265" s="79"/>
      <c r="O265" s="79"/>
      <c r="S265" s="79"/>
      <c r="T265" s="79"/>
      <c r="Y265" s="79"/>
      <c r="AE265" s="130"/>
      <c r="AG265" s="106"/>
    </row>
    <row r="266">
      <c r="C266" s="79"/>
      <c r="D266" s="79"/>
      <c r="E266" s="79"/>
      <c r="O266" s="79"/>
      <c r="S266" s="79"/>
      <c r="T266" s="79"/>
      <c r="Y266" s="79"/>
      <c r="AE266" s="130"/>
      <c r="AG266" s="106"/>
    </row>
    <row r="267">
      <c r="C267" s="79"/>
      <c r="D267" s="79"/>
      <c r="E267" s="79"/>
      <c r="O267" s="79"/>
      <c r="S267" s="79"/>
      <c r="T267" s="79"/>
      <c r="Y267" s="79"/>
      <c r="AE267" s="130"/>
      <c r="AG267" s="106"/>
    </row>
    <row r="268">
      <c r="C268" s="79"/>
      <c r="D268" s="79"/>
      <c r="E268" s="79"/>
      <c r="O268" s="79"/>
      <c r="S268" s="79"/>
      <c r="T268" s="79"/>
      <c r="Y268" s="79"/>
      <c r="AE268" s="130"/>
      <c r="AG268" s="106"/>
    </row>
    <row r="269">
      <c r="C269" s="79"/>
      <c r="D269" s="79"/>
      <c r="E269" s="79"/>
      <c r="O269" s="79"/>
      <c r="S269" s="79"/>
      <c r="T269" s="79"/>
      <c r="Y269" s="79"/>
      <c r="AE269" s="130"/>
      <c r="AG269" s="106"/>
    </row>
    <row r="270">
      <c r="C270" s="79"/>
      <c r="D270" s="79"/>
      <c r="E270" s="79"/>
      <c r="O270" s="79"/>
      <c r="S270" s="79"/>
      <c r="T270" s="79"/>
      <c r="Y270" s="79"/>
      <c r="AE270" s="130"/>
      <c r="AG270" s="106"/>
    </row>
    <row r="271">
      <c r="C271" s="79"/>
      <c r="D271" s="79"/>
      <c r="E271" s="79"/>
      <c r="O271" s="79"/>
      <c r="S271" s="79"/>
      <c r="T271" s="79"/>
      <c r="Y271" s="79"/>
      <c r="AE271" s="130"/>
      <c r="AG271" s="106"/>
    </row>
    <row r="272">
      <c r="C272" s="79"/>
      <c r="D272" s="79"/>
      <c r="E272" s="79"/>
      <c r="O272" s="79"/>
      <c r="S272" s="79"/>
      <c r="T272" s="79"/>
      <c r="Y272" s="79"/>
      <c r="AE272" s="130"/>
      <c r="AG272" s="106"/>
    </row>
    <row r="273">
      <c r="C273" s="79"/>
      <c r="D273" s="79"/>
      <c r="E273" s="79"/>
      <c r="O273" s="79"/>
      <c r="S273" s="79"/>
      <c r="T273" s="79"/>
      <c r="Y273" s="79"/>
      <c r="AE273" s="130"/>
      <c r="AG273" s="106"/>
    </row>
    <row r="274">
      <c r="C274" s="79"/>
      <c r="D274" s="79"/>
      <c r="E274" s="79"/>
      <c r="O274" s="79"/>
      <c r="S274" s="79"/>
      <c r="T274" s="79"/>
      <c r="Y274" s="79"/>
      <c r="AE274" s="130"/>
      <c r="AG274" s="106"/>
    </row>
    <row r="275">
      <c r="C275" s="79"/>
      <c r="D275" s="79"/>
      <c r="E275" s="79"/>
      <c r="O275" s="79"/>
      <c r="S275" s="79"/>
      <c r="T275" s="79"/>
      <c r="Y275" s="79"/>
      <c r="AE275" s="130"/>
      <c r="AG275" s="106"/>
    </row>
    <row r="276">
      <c r="C276" s="79"/>
      <c r="D276" s="79"/>
      <c r="E276" s="79"/>
      <c r="O276" s="79"/>
      <c r="S276" s="79"/>
      <c r="T276" s="79"/>
      <c r="Y276" s="79"/>
      <c r="AE276" s="130"/>
      <c r="AG276" s="106"/>
    </row>
    <row r="277">
      <c r="C277" s="79"/>
      <c r="D277" s="79"/>
      <c r="E277" s="79"/>
      <c r="O277" s="79"/>
      <c r="S277" s="79"/>
      <c r="T277" s="79"/>
      <c r="Y277" s="79"/>
      <c r="AE277" s="130"/>
      <c r="AG277" s="106"/>
    </row>
    <row r="278">
      <c r="C278" s="79"/>
      <c r="D278" s="79"/>
      <c r="E278" s="79"/>
      <c r="O278" s="79"/>
      <c r="S278" s="79"/>
      <c r="T278" s="79"/>
      <c r="Y278" s="79"/>
      <c r="AE278" s="130"/>
      <c r="AG278" s="106"/>
    </row>
    <row r="279">
      <c r="C279" s="79"/>
      <c r="D279" s="79"/>
      <c r="E279" s="79"/>
      <c r="O279" s="79"/>
      <c r="S279" s="79"/>
      <c r="T279" s="79"/>
      <c r="Y279" s="79"/>
      <c r="AE279" s="130"/>
      <c r="AG279" s="106"/>
    </row>
    <row r="280">
      <c r="C280" s="79"/>
      <c r="D280" s="79"/>
      <c r="E280" s="79"/>
      <c r="O280" s="79"/>
      <c r="S280" s="79"/>
      <c r="T280" s="79"/>
      <c r="Y280" s="79"/>
      <c r="AE280" s="130"/>
      <c r="AG280" s="106"/>
    </row>
    <row r="281">
      <c r="C281" s="79"/>
      <c r="D281" s="79"/>
      <c r="E281" s="79"/>
      <c r="O281" s="79"/>
      <c r="S281" s="79"/>
      <c r="T281" s="79"/>
      <c r="Y281" s="79"/>
      <c r="AE281" s="130"/>
      <c r="AG281" s="106"/>
    </row>
    <row r="282">
      <c r="C282" s="79"/>
      <c r="D282" s="79"/>
      <c r="E282" s="79"/>
      <c r="O282" s="79"/>
      <c r="S282" s="79"/>
      <c r="T282" s="79"/>
      <c r="Y282" s="79"/>
      <c r="AE282" s="130"/>
      <c r="AG282" s="106"/>
    </row>
    <row r="283">
      <c r="C283" s="79"/>
      <c r="D283" s="79"/>
      <c r="E283" s="79"/>
      <c r="O283" s="79"/>
      <c r="S283" s="79"/>
      <c r="T283" s="79"/>
      <c r="Y283" s="79"/>
      <c r="AE283" s="130"/>
      <c r="AG283" s="106"/>
    </row>
    <row r="284">
      <c r="C284" s="79"/>
      <c r="D284" s="79"/>
      <c r="E284" s="79"/>
      <c r="O284" s="79"/>
      <c r="S284" s="79"/>
      <c r="T284" s="79"/>
      <c r="Y284" s="79"/>
      <c r="AE284" s="130"/>
      <c r="AG284" s="106"/>
    </row>
    <row r="285">
      <c r="C285" s="79"/>
      <c r="D285" s="79"/>
      <c r="E285" s="79"/>
      <c r="O285" s="79"/>
      <c r="S285" s="79"/>
      <c r="T285" s="79"/>
      <c r="Y285" s="79"/>
      <c r="AE285" s="130"/>
      <c r="AG285" s="106"/>
    </row>
    <row r="286">
      <c r="C286" s="79"/>
      <c r="D286" s="79"/>
      <c r="E286" s="79"/>
      <c r="O286" s="79"/>
      <c r="S286" s="79"/>
      <c r="T286" s="79"/>
      <c r="Y286" s="79"/>
      <c r="AE286" s="130"/>
      <c r="AG286" s="106"/>
    </row>
    <row r="287">
      <c r="C287" s="79"/>
      <c r="D287" s="79"/>
      <c r="E287" s="79"/>
      <c r="O287" s="79"/>
      <c r="S287" s="79"/>
      <c r="T287" s="79"/>
      <c r="Y287" s="79"/>
      <c r="AE287" s="130"/>
      <c r="AG287" s="106"/>
    </row>
    <row r="288">
      <c r="C288" s="79"/>
      <c r="D288" s="79"/>
      <c r="E288" s="79"/>
      <c r="O288" s="79"/>
      <c r="S288" s="79"/>
      <c r="T288" s="79"/>
      <c r="Y288" s="79"/>
      <c r="AE288" s="130"/>
      <c r="AG288" s="106"/>
    </row>
    <row r="289">
      <c r="C289" s="79"/>
      <c r="D289" s="79"/>
      <c r="E289" s="79"/>
      <c r="O289" s="79"/>
      <c r="S289" s="79"/>
      <c r="T289" s="79"/>
      <c r="Y289" s="79"/>
      <c r="AE289" s="130"/>
      <c r="AG289" s="106"/>
    </row>
    <row r="290">
      <c r="C290" s="79"/>
      <c r="D290" s="79"/>
      <c r="E290" s="79"/>
      <c r="O290" s="79"/>
      <c r="S290" s="79"/>
      <c r="T290" s="79"/>
      <c r="Y290" s="79"/>
      <c r="AE290" s="130"/>
      <c r="AG290" s="106"/>
    </row>
    <row r="291">
      <c r="C291" s="79"/>
      <c r="D291" s="79"/>
      <c r="E291" s="79"/>
      <c r="O291" s="79"/>
      <c r="S291" s="79"/>
      <c r="T291" s="79"/>
      <c r="Y291" s="79"/>
      <c r="AE291" s="130"/>
      <c r="AG291" s="106"/>
    </row>
    <row r="292">
      <c r="C292" s="79"/>
      <c r="D292" s="79"/>
      <c r="E292" s="79"/>
      <c r="O292" s="79"/>
      <c r="S292" s="79"/>
      <c r="T292" s="79"/>
      <c r="Y292" s="79"/>
      <c r="AE292" s="130"/>
      <c r="AG292" s="106"/>
    </row>
    <row r="293">
      <c r="C293" s="79"/>
      <c r="D293" s="79"/>
      <c r="E293" s="79"/>
      <c r="O293" s="79"/>
      <c r="S293" s="79"/>
      <c r="T293" s="79"/>
      <c r="Y293" s="79"/>
      <c r="AE293" s="130"/>
      <c r="AG293" s="106"/>
    </row>
    <row r="294">
      <c r="C294" s="79"/>
      <c r="D294" s="79"/>
      <c r="E294" s="79"/>
      <c r="O294" s="79"/>
      <c r="S294" s="79"/>
      <c r="T294" s="79"/>
      <c r="Y294" s="79"/>
      <c r="AE294" s="130"/>
      <c r="AG294" s="106"/>
    </row>
    <row r="295">
      <c r="C295" s="79"/>
      <c r="D295" s="79"/>
      <c r="E295" s="79"/>
      <c r="O295" s="79"/>
      <c r="S295" s="79"/>
      <c r="T295" s="79"/>
      <c r="Y295" s="79"/>
      <c r="AE295" s="130"/>
      <c r="AG295" s="106"/>
    </row>
    <row r="296">
      <c r="C296" s="79"/>
      <c r="D296" s="79"/>
      <c r="E296" s="79"/>
      <c r="O296" s="79"/>
      <c r="S296" s="79"/>
      <c r="T296" s="79"/>
      <c r="Y296" s="79"/>
      <c r="AE296" s="130"/>
      <c r="AG296" s="106"/>
    </row>
    <row r="297">
      <c r="C297" s="79"/>
      <c r="D297" s="79"/>
      <c r="E297" s="79"/>
      <c r="O297" s="79"/>
      <c r="S297" s="79"/>
      <c r="T297" s="79"/>
      <c r="Y297" s="79"/>
      <c r="AE297" s="130"/>
      <c r="AG297" s="106"/>
    </row>
    <row r="298">
      <c r="C298" s="79"/>
      <c r="D298" s="79"/>
      <c r="E298" s="79"/>
      <c r="O298" s="79"/>
      <c r="S298" s="79"/>
      <c r="T298" s="79"/>
      <c r="Y298" s="79"/>
      <c r="AE298" s="130"/>
      <c r="AG298" s="106"/>
    </row>
    <row r="299">
      <c r="C299" s="79"/>
      <c r="D299" s="79"/>
      <c r="E299" s="79"/>
      <c r="O299" s="79"/>
      <c r="S299" s="79"/>
      <c r="T299" s="79"/>
      <c r="Y299" s="79"/>
      <c r="AE299" s="130"/>
      <c r="AG299" s="106"/>
    </row>
    <row r="300">
      <c r="C300" s="79"/>
      <c r="D300" s="79"/>
      <c r="E300" s="79"/>
      <c r="O300" s="79"/>
      <c r="S300" s="79"/>
      <c r="T300" s="79"/>
      <c r="Y300" s="79"/>
      <c r="AE300" s="130"/>
      <c r="AG300" s="106"/>
    </row>
    <row r="301">
      <c r="C301" s="79"/>
      <c r="D301" s="79"/>
      <c r="E301" s="79"/>
      <c r="O301" s="79"/>
      <c r="S301" s="79"/>
      <c r="T301" s="79"/>
      <c r="Y301" s="79"/>
      <c r="AE301" s="130"/>
      <c r="AG301" s="106"/>
    </row>
    <row r="302">
      <c r="C302" s="79"/>
      <c r="D302" s="79"/>
      <c r="E302" s="79"/>
      <c r="O302" s="79"/>
      <c r="S302" s="79"/>
      <c r="T302" s="79"/>
      <c r="Y302" s="79"/>
      <c r="AE302" s="130"/>
      <c r="AG302" s="106"/>
    </row>
    <row r="303">
      <c r="C303" s="79"/>
      <c r="D303" s="79"/>
      <c r="E303" s="79"/>
      <c r="O303" s="79"/>
      <c r="S303" s="79"/>
      <c r="T303" s="79"/>
      <c r="Y303" s="79"/>
      <c r="AE303" s="130"/>
      <c r="AG303" s="106"/>
    </row>
    <row r="304">
      <c r="C304" s="79"/>
      <c r="D304" s="79"/>
      <c r="E304" s="79"/>
      <c r="O304" s="79"/>
      <c r="S304" s="79"/>
      <c r="T304" s="79"/>
      <c r="Y304" s="79"/>
      <c r="AE304" s="130"/>
      <c r="AG304" s="106"/>
    </row>
    <row r="305">
      <c r="C305" s="79"/>
      <c r="D305" s="79"/>
      <c r="E305" s="79"/>
      <c r="O305" s="79"/>
      <c r="S305" s="79"/>
      <c r="T305" s="79"/>
      <c r="Y305" s="79"/>
      <c r="AE305" s="130"/>
      <c r="AG305" s="106"/>
    </row>
    <row r="306">
      <c r="C306" s="79"/>
      <c r="D306" s="79"/>
      <c r="E306" s="79"/>
      <c r="O306" s="79"/>
      <c r="S306" s="79"/>
      <c r="T306" s="79"/>
      <c r="Y306" s="79"/>
      <c r="AE306" s="130"/>
      <c r="AG306" s="106"/>
    </row>
    <row r="307">
      <c r="C307" s="79"/>
      <c r="D307" s="79"/>
      <c r="E307" s="79"/>
      <c r="O307" s="79"/>
      <c r="S307" s="79"/>
      <c r="T307" s="79"/>
      <c r="Y307" s="79"/>
      <c r="AE307" s="130"/>
      <c r="AG307" s="106"/>
    </row>
    <row r="308">
      <c r="C308" s="79"/>
      <c r="D308" s="79"/>
      <c r="E308" s="79"/>
      <c r="O308" s="79"/>
      <c r="S308" s="79"/>
      <c r="T308" s="79"/>
      <c r="Y308" s="79"/>
      <c r="AE308" s="130"/>
      <c r="AG308" s="106"/>
    </row>
    <row r="309">
      <c r="C309" s="79"/>
      <c r="D309" s="79"/>
      <c r="E309" s="79"/>
      <c r="O309" s="79"/>
      <c r="S309" s="79"/>
      <c r="T309" s="79"/>
      <c r="Y309" s="79"/>
      <c r="AE309" s="130"/>
      <c r="AG309" s="106"/>
    </row>
    <row r="310">
      <c r="C310" s="79"/>
      <c r="D310" s="79"/>
      <c r="E310" s="79"/>
      <c r="O310" s="79"/>
      <c r="S310" s="79"/>
      <c r="T310" s="79"/>
      <c r="Y310" s="79"/>
      <c r="AE310" s="130"/>
      <c r="AG310" s="106"/>
    </row>
    <row r="311">
      <c r="C311" s="79"/>
      <c r="D311" s="79"/>
      <c r="E311" s="79"/>
      <c r="O311" s="79"/>
      <c r="S311" s="79"/>
      <c r="T311" s="79"/>
      <c r="Y311" s="79"/>
      <c r="AE311" s="130"/>
      <c r="AG311" s="106"/>
    </row>
    <row r="312">
      <c r="C312" s="79"/>
      <c r="D312" s="79"/>
      <c r="E312" s="79"/>
      <c r="O312" s="79"/>
      <c r="S312" s="79"/>
      <c r="T312" s="79"/>
      <c r="Y312" s="79"/>
      <c r="AE312" s="130"/>
      <c r="AG312" s="106"/>
    </row>
    <row r="313">
      <c r="C313" s="79"/>
      <c r="D313" s="79"/>
      <c r="E313" s="79"/>
      <c r="O313" s="79"/>
      <c r="S313" s="79"/>
      <c r="T313" s="79"/>
      <c r="Y313" s="79"/>
      <c r="AE313" s="130"/>
      <c r="AG313" s="106"/>
    </row>
    <row r="314">
      <c r="C314" s="79"/>
      <c r="D314" s="79"/>
      <c r="E314" s="79"/>
      <c r="O314" s="79"/>
      <c r="S314" s="79"/>
      <c r="T314" s="79"/>
      <c r="Y314" s="79"/>
      <c r="AE314" s="130"/>
      <c r="AG314" s="106"/>
    </row>
    <row r="315">
      <c r="C315" s="79"/>
      <c r="D315" s="79"/>
      <c r="E315" s="79"/>
      <c r="O315" s="79"/>
      <c r="S315" s="79"/>
      <c r="T315" s="79"/>
      <c r="Y315" s="79"/>
      <c r="AE315" s="130"/>
      <c r="AG315" s="106"/>
    </row>
    <row r="316">
      <c r="C316" s="79"/>
      <c r="D316" s="79"/>
      <c r="E316" s="79"/>
      <c r="O316" s="79"/>
      <c r="S316" s="79"/>
      <c r="T316" s="79"/>
      <c r="Y316" s="79"/>
      <c r="AE316" s="130"/>
      <c r="AG316" s="106"/>
    </row>
    <row r="317">
      <c r="C317" s="79"/>
      <c r="D317" s="79"/>
      <c r="E317" s="79"/>
      <c r="O317" s="79"/>
      <c r="S317" s="79"/>
      <c r="T317" s="79"/>
      <c r="Y317" s="79"/>
      <c r="AE317" s="130"/>
      <c r="AG317" s="106"/>
    </row>
    <row r="318">
      <c r="C318" s="79"/>
      <c r="D318" s="79"/>
      <c r="E318" s="79"/>
      <c r="O318" s="79"/>
      <c r="S318" s="79"/>
      <c r="T318" s="79"/>
      <c r="Y318" s="79"/>
      <c r="AE318" s="130"/>
      <c r="AG318" s="106"/>
    </row>
    <row r="319">
      <c r="C319" s="79"/>
      <c r="D319" s="79"/>
      <c r="E319" s="79"/>
      <c r="O319" s="79"/>
      <c r="S319" s="79"/>
      <c r="T319" s="79"/>
      <c r="Y319" s="79"/>
      <c r="AE319" s="130"/>
      <c r="AG319" s="106"/>
    </row>
    <row r="320">
      <c r="C320" s="79"/>
      <c r="D320" s="79"/>
      <c r="E320" s="79"/>
      <c r="O320" s="79"/>
      <c r="S320" s="79"/>
      <c r="T320" s="79"/>
      <c r="Y320" s="79"/>
      <c r="AE320" s="130"/>
      <c r="AG320" s="106"/>
    </row>
    <row r="321">
      <c r="C321" s="79"/>
      <c r="D321" s="79"/>
      <c r="E321" s="79"/>
      <c r="O321" s="79"/>
      <c r="S321" s="79"/>
      <c r="T321" s="79"/>
      <c r="Y321" s="79"/>
      <c r="AE321" s="130"/>
      <c r="AG321" s="106"/>
    </row>
    <row r="322">
      <c r="C322" s="79"/>
      <c r="D322" s="79"/>
      <c r="E322" s="79"/>
      <c r="O322" s="79"/>
      <c r="S322" s="79"/>
      <c r="T322" s="79"/>
      <c r="Y322" s="79"/>
      <c r="AE322" s="130"/>
      <c r="AG322" s="106"/>
    </row>
    <row r="323">
      <c r="C323" s="79"/>
      <c r="D323" s="79"/>
      <c r="E323" s="79"/>
      <c r="O323" s="79"/>
      <c r="S323" s="79"/>
      <c r="T323" s="79"/>
      <c r="Y323" s="79"/>
      <c r="AE323" s="130"/>
      <c r="AG323" s="106"/>
    </row>
    <row r="324">
      <c r="C324" s="79"/>
      <c r="D324" s="79"/>
      <c r="E324" s="79"/>
      <c r="O324" s="79"/>
      <c r="S324" s="79"/>
      <c r="T324" s="79"/>
      <c r="Y324" s="79"/>
      <c r="AE324" s="130"/>
      <c r="AG324" s="106"/>
    </row>
    <row r="325">
      <c r="C325" s="79"/>
      <c r="D325" s="79"/>
      <c r="E325" s="79"/>
      <c r="O325" s="79"/>
      <c r="S325" s="79"/>
      <c r="T325" s="79"/>
      <c r="Y325" s="79"/>
      <c r="AE325" s="130"/>
      <c r="AG325" s="106"/>
    </row>
    <row r="326">
      <c r="C326" s="79"/>
      <c r="D326" s="79"/>
      <c r="E326" s="79"/>
      <c r="O326" s="79"/>
      <c r="S326" s="79"/>
      <c r="T326" s="79"/>
      <c r="Y326" s="79"/>
      <c r="AE326" s="130"/>
      <c r="AG326" s="106"/>
    </row>
    <row r="327">
      <c r="C327" s="79"/>
      <c r="D327" s="79"/>
      <c r="E327" s="79"/>
      <c r="O327" s="79"/>
      <c r="S327" s="79"/>
      <c r="T327" s="79"/>
      <c r="Y327" s="79"/>
      <c r="AE327" s="130"/>
      <c r="AG327" s="106"/>
    </row>
    <row r="328">
      <c r="C328" s="79"/>
      <c r="D328" s="79"/>
      <c r="E328" s="79"/>
      <c r="O328" s="79"/>
      <c r="S328" s="79"/>
      <c r="T328" s="79"/>
      <c r="Y328" s="79"/>
      <c r="AE328" s="130"/>
      <c r="AG328" s="106"/>
    </row>
    <row r="329">
      <c r="C329" s="79"/>
      <c r="D329" s="79"/>
      <c r="E329" s="79"/>
      <c r="O329" s="79"/>
      <c r="S329" s="79"/>
      <c r="T329" s="79"/>
      <c r="Y329" s="79"/>
      <c r="AE329" s="130"/>
      <c r="AG329" s="106"/>
    </row>
    <row r="330">
      <c r="C330" s="79"/>
      <c r="D330" s="79"/>
      <c r="E330" s="79"/>
      <c r="O330" s="79"/>
      <c r="S330" s="79"/>
      <c r="T330" s="79"/>
      <c r="Y330" s="79"/>
      <c r="AE330" s="130"/>
      <c r="AG330" s="106"/>
    </row>
    <row r="331">
      <c r="C331" s="79"/>
      <c r="D331" s="79"/>
      <c r="E331" s="79"/>
      <c r="O331" s="79"/>
      <c r="S331" s="79"/>
      <c r="T331" s="79"/>
      <c r="Y331" s="79"/>
      <c r="AE331" s="130"/>
      <c r="AG331" s="106"/>
    </row>
    <row r="332">
      <c r="C332" s="79"/>
      <c r="D332" s="79"/>
      <c r="E332" s="79"/>
      <c r="O332" s="79"/>
      <c r="S332" s="79"/>
      <c r="T332" s="79"/>
      <c r="Y332" s="79"/>
      <c r="AE332" s="130"/>
      <c r="AG332" s="106"/>
    </row>
    <row r="333">
      <c r="C333" s="79"/>
      <c r="D333" s="79"/>
      <c r="E333" s="79"/>
      <c r="O333" s="79"/>
      <c r="S333" s="79"/>
      <c r="T333" s="79"/>
      <c r="Y333" s="79"/>
      <c r="AE333" s="130"/>
      <c r="AG333" s="106"/>
    </row>
    <row r="334">
      <c r="C334" s="79"/>
      <c r="D334" s="79"/>
      <c r="E334" s="79"/>
      <c r="O334" s="79"/>
      <c r="S334" s="79"/>
      <c r="T334" s="79"/>
      <c r="Y334" s="79"/>
      <c r="AE334" s="130"/>
      <c r="AG334" s="106"/>
    </row>
    <row r="335">
      <c r="C335" s="79"/>
      <c r="D335" s="79"/>
      <c r="E335" s="79"/>
      <c r="O335" s="79"/>
      <c r="S335" s="79"/>
      <c r="T335" s="79"/>
      <c r="Y335" s="79"/>
      <c r="AE335" s="130"/>
      <c r="AG335" s="106"/>
    </row>
    <row r="336">
      <c r="C336" s="79"/>
      <c r="D336" s="79"/>
      <c r="E336" s="79"/>
      <c r="O336" s="79"/>
      <c r="S336" s="79"/>
      <c r="T336" s="79"/>
      <c r="Y336" s="79"/>
      <c r="AE336" s="130"/>
      <c r="AG336" s="106"/>
    </row>
    <row r="337">
      <c r="C337" s="79"/>
      <c r="D337" s="79"/>
      <c r="E337" s="79"/>
      <c r="O337" s="79"/>
      <c r="S337" s="79"/>
      <c r="T337" s="79"/>
      <c r="Y337" s="79"/>
      <c r="AE337" s="130"/>
      <c r="AG337" s="106"/>
    </row>
    <row r="338">
      <c r="C338" s="79"/>
      <c r="D338" s="79"/>
      <c r="E338" s="79"/>
      <c r="O338" s="79"/>
      <c r="S338" s="79"/>
      <c r="T338" s="79"/>
      <c r="Y338" s="79"/>
      <c r="AE338" s="130"/>
      <c r="AG338" s="106"/>
    </row>
    <row r="339">
      <c r="C339" s="79"/>
      <c r="D339" s="79"/>
      <c r="E339" s="79"/>
      <c r="O339" s="79"/>
      <c r="S339" s="79"/>
      <c r="T339" s="79"/>
      <c r="Y339" s="79"/>
      <c r="AE339" s="130"/>
      <c r="AG339" s="106"/>
    </row>
    <row r="340">
      <c r="C340" s="79"/>
      <c r="D340" s="79"/>
      <c r="E340" s="79"/>
      <c r="O340" s="79"/>
      <c r="S340" s="79"/>
      <c r="T340" s="79"/>
      <c r="Y340" s="79"/>
      <c r="AE340" s="130"/>
      <c r="AG340" s="106"/>
    </row>
    <row r="341">
      <c r="C341" s="79"/>
      <c r="D341" s="79"/>
      <c r="E341" s="79"/>
      <c r="O341" s="79"/>
      <c r="S341" s="79"/>
      <c r="T341" s="79"/>
      <c r="Y341" s="79"/>
      <c r="AE341" s="130"/>
      <c r="AG341" s="106"/>
    </row>
    <row r="342">
      <c r="C342" s="79"/>
      <c r="D342" s="79"/>
      <c r="E342" s="79"/>
      <c r="O342" s="79"/>
      <c r="S342" s="79"/>
      <c r="T342" s="79"/>
      <c r="Y342" s="79"/>
      <c r="AE342" s="130"/>
      <c r="AG342" s="106"/>
    </row>
    <row r="343">
      <c r="C343" s="79"/>
      <c r="D343" s="79"/>
      <c r="E343" s="79"/>
      <c r="O343" s="79"/>
      <c r="S343" s="79"/>
      <c r="T343" s="79"/>
      <c r="Y343" s="79"/>
      <c r="AE343" s="130"/>
      <c r="AG343" s="106"/>
    </row>
    <row r="344">
      <c r="C344" s="79"/>
      <c r="D344" s="79"/>
      <c r="E344" s="79"/>
      <c r="O344" s="79"/>
      <c r="S344" s="79"/>
      <c r="T344" s="79"/>
      <c r="Y344" s="79"/>
      <c r="AE344" s="130"/>
      <c r="AG344" s="106"/>
    </row>
    <row r="345">
      <c r="C345" s="79"/>
      <c r="D345" s="79"/>
      <c r="E345" s="79"/>
      <c r="O345" s="79"/>
      <c r="S345" s="79"/>
      <c r="T345" s="79"/>
      <c r="Y345" s="79"/>
      <c r="AE345" s="130"/>
      <c r="AG345" s="106"/>
    </row>
    <row r="346">
      <c r="C346" s="79"/>
      <c r="D346" s="79"/>
      <c r="E346" s="79"/>
      <c r="O346" s="79"/>
      <c r="S346" s="79"/>
      <c r="T346" s="79"/>
      <c r="Y346" s="79"/>
      <c r="AE346" s="130"/>
      <c r="AG346" s="106"/>
    </row>
    <row r="347">
      <c r="C347" s="79"/>
      <c r="D347" s="79"/>
      <c r="E347" s="79"/>
      <c r="O347" s="79"/>
      <c r="S347" s="79"/>
      <c r="T347" s="79"/>
      <c r="Y347" s="79"/>
      <c r="AE347" s="130"/>
      <c r="AG347" s="106"/>
    </row>
    <row r="348">
      <c r="C348" s="79"/>
      <c r="D348" s="79"/>
      <c r="E348" s="79"/>
      <c r="O348" s="79"/>
      <c r="S348" s="79"/>
      <c r="T348" s="79"/>
      <c r="Y348" s="79"/>
      <c r="AE348" s="130"/>
      <c r="AG348" s="106"/>
    </row>
    <row r="349">
      <c r="C349" s="79"/>
      <c r="D349" s="79"/>
      <c r="E349" s="79"/>
      <c r="O349" s="79"/>
      <c r="S349" s="79"/>
      <c r="T349" s="79"/>
      <c r="Y349" s="79"/>
      <c r="AE349" s="130"/>
      <c r="AG349" s="106"/>
    </row>
    <row r="350">
      <c r="C350" s="79"/>
      <c r="D350" s="79"/>
      <c r="E350" s="79"/>
      <c r="O350" s="79"/>
      <c r="S350" s="79"/>
      <c r="T350" s="79"/>
      <c r="Y350" s="79"/>
      <c r="AE350" s="130"/>
      <c r="AG350" s="106"/>
    </row>
    <row r="351">
      <c r="C351" s="79"/>
      <c r="D351" s="79"/>
      <c r="E351" s="79"/>
      <c r="O351" s="79"/>
      <c r="S351" s="79"/>
      <c r="T351" s="79"/>
      <c r="Y351" s="79"/>
      <c r="AE351" s="130"/>
      <c r="AG351" s="106"/>
    </row>
    <row r="352">
      <c r="C352" s="79"/>
      <c r="D352" s="79"/>
      <c r="E352" s="79"/>
      <c r="O352" s="79"/>
      <c r="S352" s="79"/>
      <c r="T352" s="79"/>
      <c r="Y352" s="79"/>
      <c r="AE352" s="130"/>
      <c r="AG352" s="106"/>
    </row>
    <row r="353">
      <c r="C353" s="79"/>
      <c r="D353" s="79"/>
      <c r="E353" s="79"/>
      <c r="O353" s="79"/>
      <c r="S353" s="79"/>
      <c r="T353" s="79"/>
      <c r="Y353" s="79"/>
      <c r="AE353" s="130"/>
      <c r="AG353" s="106"/>
    </row>
    <row r="354">
      <c r="C354" s="79"/>
      <c r="D354" s="79"/>
      <c r="E354" s="79"/>
      <c r="O354" s="79"/>
      <c r="S354" s="79"/>
      <c r="T354" s="79"/>
      <c r="Y354" s="79"/>
      <c r="AE354" s="130"/>
      <c r="AG354" s="106"/>
    </row>
    <row r="355">
      <c r="C355" s="79"/>
      <c r="D355" s="79"/>
      <c r="E355" s="79"/>
      <c r="O355" s="79"/>
      <c r="S355" s="79"/>
      <c r="T355" s="79"/>
      <c r="Y355" s="79"/>
      <c r="AE355" s="130"/>
      <c r="AG355" s="106"/>
    </row>
    <row r="356">
      <c r="C356" s="79"/>
      <c r="D356" s="79"/>
      <c r="E356" s="79"/>
      <c r="O356" s="79"/>
      <c r="S356" s="79"/>
      <c r="T356" s="79"/>
      <c r="Y356" s="79"/>
      <c r="AE356" s="130"/>
      <c r="AG356" s="106"/>
    </row>
    <row r="357">
      <c r="C357" s="79"/>
      <c r="D357" s="79"/>
      <c r="E357" s="79"/>
      <c r="O357" s="79"/>
      <c r="S357" s="79"/>
      <c r="T357" s="79"/>
      <c r="Y357" s="79"/>
      <c r="AE357" s="130"/>
      <c r="AG357" s="106"/>
    </row>
    <row r="358">
      <c r="C358" s="79"/>
      <c r="D358" s="79"/>
      <c r="E358" s="79"/>
      <c r="O358" s="79"/>
      <c r="S358" s="79"/>
      <c r="T358" s="79"/>
      <c r="Y358" s="79"/>
      <c r="AE358" s="130"/>
      <c r="AG358" s="106"/>
    </row>
    <row r="359">
      <c r="C359" s="79"/>
      <c r="D359" s="79"/>
      <c r="E359" s="79"/>
      <c r="O359" s="79"/>
      <c r="S359" s="79"/>
      <c r="T359" s="79"/>
      <c r="Y359" s="79"/>
      <c r="AE359" s="130"/>
      <c r="AG359" s="106"/>
    </row>
    <row r="360">
      <c r="C360" s="79"/>
      <c r="D360" s="79"/>
      <c r="E360" s="79"/>
      <c r="O360" s="79"/>
      <c r="S360" s="79"/>
      <c r="T360" s="79"/>
      <c r="Y360" s="79"/>
      <c r="AE360" s="130"/>
      <c r="AG360" s="106"/>
    </row>
    <row r="361">
      <c r="C361" s="79"/>
      <c r="D361" s="79"/>
      <c r="E361" s="79"/>
      <c r="O361" s="79"/>
      <c r="S361" s="79"/>
      <c r="T361" s="79"/>
      <c r="Y361" s="79"/>
      <c r="AE361" s="130"/>
      <c r="AG361" s="106"/>
    </row>
    <row r="362">
      <c r="C362" s="79"/>
      <c r="D362" s="79"/>
      <c r="E362" s="79"/>
      <c r="O362" s="79"/>
      <c r="S362" s="79"/>
      <c r="T362" s="79"/>
      <c r="Y362" s="79"/>
      <c r="AE362" s="130"/>
      <c r="AG362" s="106"/>
    </row>
    <row r="363">
      <c r="C363" s="79"/>
      <c r="D363" s="79"/>
      <c r="E363" s="79"/>
      <c r="O363" s="79"/>
      <c r="S363" s="79"/>
      <c r="T363" s="79"/>
      <c r="Y363" s="79"/>
      <c r="AE363" s="130"/>
      <c r="AG363" s="106"/>
    </row>
    <row r="364">
      <c r="C364" s="79"/>
      <c r="D364" s="79"/>
      <c r="E364" s="79"/>
      <c r="O364" s="79"/>
      <c r="S364" s="79"/>
      <c r="T364" s="79"/>
      <c r="Y364" s="79"/>
      <c r="AE364" s="130"/>
      <c r="AG364" s="106"/>
    </row>
    <row r="365">
      <c r="C365" s="79"/>
      <c r="D365" s="79"/>
      <c r="E365" s="79"/>
      <c r="O365" s="79"/>
      <c r="S365" s="79"/>
      <c r="T365" s="79"/>
      <c r="Y365" s="79"/>
      <c r="AE365" s="130"/>
      <c r="AG365" s="106"/>
    </row>
    <row r="366">
      <c r="C366" s="79"/>
      <c r="D366" s="79"/>
      <c r="E366" s="79"/>
      <c r="O366" s="79"/>
      <c r="S366" s="79"/>
      <c r="T366" s="79"/>
      <c r="Y366" s="79"/>
      <c r="AE366" s="130"/>
      <c r="AG366" s="106"/>
    </row>
    <row r="367">
      <c r="C367" s="79"/>
      <c r="D367" s="79"/>
      <c r="E367" s="79"/>
      <c r="O367" s="79"/>
      <c r="S367" s="79"/>
      <c r="T367" s="79"/>
      <c r="Y367" s="79"/>
      <c r="AE367" s="130"/>
      <c r="AG367" s="106"/>
    </row>
    <row r="368">
      <c r="C368" s="79"/>
      <c r="D368" s="79"/>
      <c r="E368" s="79"/>
      <c r="O368" s="79"/>
      <c r="S368" s="79"/>
      <c r="T368" s="79"/>
      <c r="Y368" s="79"/>
      <c r="AE368" s="130"/>
      <c r="AG368" s="106"/>
    </row>
    <row r="369">
      <c r="C369" s="79"/>
      <c r="D369" s="79"/>
      <c r="E369" s="79"/>
      <c r="O369" s="79"/>
      <c r="S369" s="79"/>
      <c r="T369" s="79"/>
      <c r="Y369" s="79"/>
      <c r="AE369" s="130"/>
      <c r="AG369" s="106"/>
    </row>
    <row r="370">
      <c r="C370" s="79"/>
      <c r="D370" s="79"/>
      <c r="E370" s="79"/>
      <c r="O370" s="79"/>
      <c r="S370" s="79"/>
      <c r="T370" s="79"/>
      <c r="Y370" s="79"/>
      <c r="AE370" s="130"/>
      <c r="AG370" s="106"/>
    </row>
    <row r="371">
      <c r="C371" s="79"/>
      <c r="D371" s="79"/>
      <c r="E371" s="79"/>
      <c r="O371" s="79"/>
      <c r="S371" s="79"/>
      <c r="T371" s="79"/>
      <c r="Y371" s="79"/>
      <c r="AE371" s="130"/>
      <c r="AG371" s="106"/>
    </row>
    <row r="372">
      <c r="C372" s="79"/>
      <c r="D372" s="79"/>
      <c r="E372" s="79"/>
      <c r="O372" s="79"/>
      <c r="S372" s="79"/>
      <c r="T372" s="79"/>
      <c r="Y372" s="79"/>
      <c r="AE372" s="130"/>
      <c r="AG372" s="106"/>
    </row>
    <row r="373">
      <c r="C373" s="79"/>
      <c r="D373" s="79"/>
      <c r="E373" s="79"/>
      <c r="O373" s="79"/>
      <c r="S373" s="79"/>
      <c r="T373" s="79"/>
      <c r="Y373" s="79"/>
      <c r="AE373" s="130"/>
      <c r="AG373" s="106"/>
    </row>
    <row r="374">
      <c r="C374" s="79"/>
      <c r="D374" s="79"/>
      <c r="E374" s="79"/>
      <c r="O374" s="79"/>
      <c r="S374" s="79"/>
      <c r="T374" s="79"/>
      <c r="Y374" s="79"/>
      <c r="AE374" s="130"/>
      <c r="AG374" s="106"/>
    </row>
    <row r="375">
      <c r="C375" s="79"/>
      <c r="D375" s="79"/>
      <c r="E375" s="79"/>
      <c r="O375" s="79"/>
      <c r="S375" s="79"/>
      <c r="T375" s="79"/>
      <c r="Y375" s="79"/>
      <c r="AE375" s="130"/>
      <c r="AG375" s="106"/>
    </row>
    <row r="376">
      <c r="C376" s="79"/>
      <c r="D376" s="79"/>
      <c r="E376" s="79"/>
      <c r="O376" s="79"/>
      <c r="S376" s="79"/>
      <c r="T376" s="79"/>
      <c r="Y376" s="79"/>
      <c r="AE376" s="130"/>
      <c r="AG376" s="106"/>
    </row>
    <row r="377">
      <c r="C377" s="79"/>
      <c r="D377" s="79"/>
      <c r="E377" s="79"/>
      <c r="O377" s="79"/>
      <c r="S377" s="79"/>
      <c r="T377" s="79"/>
      <c r="Y377" s="79"/>
      <c r="AE377" s="130"/>
      <c r="AG377" s="106"/>
    </row>
    <row r="378">
      <c r="C378" s="79"/>
      <c r="D378" s="79"/>
      <c r="E378" s="79"/>
      <c r="O378" s="79"/>
      <c r="S378" s="79"/>
      <c r="T378" s="79"/>
      <c r="Y378" s="79"/>
      <c r="AE378" s="130"/>
      <c r="AG378" s="106"/>
    </row>
    <row r="379">
      <c r="C379" s="79"/>
      <c r="D379" s="79"/>
      <c r="E379" s="79"/>
      <c r="O379" s="79"/>
      <c r="S379" s="79"/>
      <c r="T379" s="79"/>
      <c r="Y379" s="79"/>
      <c r="AE379" s="130"/>
      <c r="AG379" s="106"/>
    </row>
    <row r="380">
      <c r="C380" s="79"/>
      <c r="D380" s="79"/>
      <c r="E380" s="79"/>
      <c r="O380" s="79"/>
      <c r="S380" s="79"/>
      <c r="T380" s="79"/>
      <c r="Y380" s="79"/>
      <c r="AE380" s="130"/>
      <c r="AG380" s="106"/>
    </row>
    <row r="381">
      <c r="C381" s="79"/>
      <c r="D381" s="79"/>
      <c r="E381" s="79"/>
      <c r="O381" s="79"/>
      <c r="S381" s="79"/>
      <c r="T381" s="79"/>
      <c r="Y381" s="79"/>
      <c r="AE381" s="130"/>
      <c r="AG381" s="106"/>
    </row>
    <row r="382">
      <c r="C382" s="79"/>
      <c r="D382" s="79"/>
      <c r="E382" s="79"/>
      <c r="O382" s="79"/>
      <c r="S382" s="79"/>
      <c r="T382" s="79"/>
      <c r="Y382" s="79"/>
      <c r="AE382" s="130"/>
      <c r="AG382" s="106"/>
    </row>
    <row r="383">
      <c r="C383" s="79"/>
      <c r="D383" s="79"/>
      <c r="E383" s="79"/>
      <c r="O383" s="79"/>
      <c r="S383" s="79"/>
      <c r="T383" s="79"/>
      <c r="Y383" s="79"/>
      <c r="AE383" s="130"/>
      <c r="AG383" s="106"/>
    </row>
    <row r="384">
      <c r="C384" s="79"/>
      <c r="D384" s="79"/>
      <c r="E384" s="79"/>
      <c r="O384" s="79"/>
      <c r="S384" s="79"/>
      <c r="T384" s="79"/>
      <c r="Y384" s="79"/>
      <c r="AE384" s="130"/>
      <c r="AG384" s="106"/>
    </row>
    <row r="385">
      <c r="C385" s="79"/>
      <c r="D385" s="79"/>
      <c r="E385" s="79"/>
      <c r="O385" s="79"/>
      <c r="S385" s="79"/>
      <c r="T385" s="79"/>
      <c r="Y385" s="79"/>
      <c r="AE385" s="130"/>
      <c r="AG385" s="106"/>
    </row>
    <row r="386">
      <c r="C386" s="79"/>
      <c r="D386" s="79"/>
      <c r="E386" s="79"/>
      <c r="O386" s="79"/>
      <c r="S386" s="79"/>
      <c r="T386" s="79"/>
      <c r="Y386" s="79"/>
      <c r="AE386" s="130"/>
      <c r="AG386" s="106"/>
    </row>
    <row r="387">
      <c r="C387" s="79"/>
      <c r="D387" s="79"/>
      <c r="E387" s="79"/>
      <c r="O387" s="79"/>
      <c r="S387" s="79"/>
      <c r="T387" s="79"/>
      <c r="Y387" s="79"/>
      <c r="AE387" s="130"/>
      <c r="AG387" s="106"/>
    </row>
    <row r="388">
      <c r="C388" s="79"/>
      <c r="D388" s="79"/>
      <c r="E388" s="79"/>
      <c r="O388" s="79"/>
      <c r="S388" s="79"/>
      <c r="T388" s="79"/>
      <c r="Y388" s="79"/>
      <c r="AE388" s="130"/>
      <c r="AG388" s="106"/>
    </row>
    <row r="389">
      <c r="C389" s="79"/>
      <c r="D389" s="79"/>
      <c r="E389" s="79"/>
      <c r="O389" s="79"/>
      <c r="S389" s="79"/>
      <c r="T389" s="79"/>
      <c r="Y389" s="79"/>
      <c r="AE389" s="130"/>
      <c r="AG389" s="106"/>
    </row>
    <row r="390">
      <c r="C390" s="79"/>
      <c r="D390" s="79"/>
      <c r="E390" s="79"/>
      <c r="O390" s="79"/>
      <c r="S390" s="79"/>
      <c r="T390" s="79"/>
      <c r="Y390" s="79"/>
      <c r="AE390" s="130"/>
      <c r="AG390" s="106"/>
    </row>
    <row r="391">
      <c r="C391" s="79"/>
      <c r="D391" s="79"/>
      <c r="E391" s="79"/>
      <c r="O391" s="79"/>
      <c r="S391" s="79"/>
      <c r="T391" s="79"/>
      <c r="Y391" s="79"/>
      <c r="AE391" s="130"/>
      <c r="AG391" s="106"/>
    </row>
    <row r="392">
      <c r="C392" s="79"/>
      <c r="D392" s="79"/>
      <c r="E392" s="79"/>
      <c r="O392" s="79"/>
      <c r="S392" s="79"/>
      <c r="T392" s="79"/>
      <c r="Y392" s="79"/>
      <c r="AE392" s="130"/>
      <c r="AG392" s="106"/>
    </row>
    <row r="393">
      <c r="C393" s="79"/>
      <c r="D393" s="79"/>
      <c r="E393" s="79"/>
      <c r="O393" s="79"/>
      <c r="S393" s="79"/>
      <c r="T393" s="79"/>
      <c r="Y393" s="79"/>
      <c r="AE393" s="130"/>
      <c r="AG393" s="106"/>
    </row>
    <row r="394">
      <c r="C394" s="79"/>
      <c r="D394" s="79"/>
      <c r="E394" s="79"/>
      <c r="O394" s="79"/>
      <c r="S394" s="79"/>
      <c r="T394" s="79"/>
      <c r="Y394" s="79"/>
      <c r="AE394" s="130"/>
      <c r="AG394" s="106"/>
    </row>
    <row r="395">
      <c r="C395" s="79"/>
      <c r="D395" s="79"/>
      <c r="E395" s="79"/>
      <c r="O395" s="79"/>
      <c r="S395" s="79"/>
      <c r="T395" s="79"/>
      <c r="Y395" s="79"/>
      <c r="AE395" s="130"/>
      <c r="AG395" s="106"/>
    </row>
    <row r="396">
      <c r="C396" s="79"/>
      <c r="D396" s="79"/>
      <c r="E396" s="79"/>
      <c r="O396" s="79"/>
      <c r="S396" s="79"/>
      <c r="T396" s="79"/>
      <c r="Y396" s="79"/>
      <c r="AE396" s="130"/>
      <c r="AG396" s="106"/>
    </row>
    <row r="397">
      <c r="C397" s="79"/>
      <c r="D397" s="79"/>
      <c r="E397" s="79"/>
      <c r="O397" s="79"/>
      <c r="S397" s="79"/>
      <c r="T397" s="79"/>
      <c r="Y397" s="79"/>
      <c r="AE397" s="130"/>
      <c r="AG397" s="106"/>
    </row>
    <row r="398">
      <c r="C398" s="79"/>
      <c r="D398" s="79"/>
      <c r="E398" s="79"/>
      <c r="O398" s="79"/>
      <c r="S398" s="79"/>
      <c r="T398" s="79"/>
      <c r="Y398" s="79"/>
      <c r="AE398" s="130"/>
      <c r="AG398" s="106"/>
    </row>
    <row r="399">
      <c r="C399" s="79"/>
      <c r="D399" s="79"/>
      <c r="E399" s="79"/>
      <c r="O399" s="79"/>
      <c r="S399" s="79"/>
      <c r="T399" s="79"/>
      <c r="Y399" s="79"/>
      <c r="AE399" s="130"/>
      <c r="AG399" s="106"/>
    </row>
    <row r="400">
      <c r="C400" s="79"/>
      <c r="D400" s="79"/>
      <c r="E400" s="79"/>
      <c r="O400" s="79"/>
      <c r="S400" s="79"/>
      <c r="T400" s="79"/>
      <c r="Y400" s="79"/>
      <c r="AE400" s="130"/>
      <c r="AG400" s="106"/>
    </row>
    <row r="401">
      <c r="C401" s="79"/>
      <c r="D401" s="79"/>
      <c r="E401" s="79"/>
      <c r="O401" s="79"/>
      <c r="S401" s="79"/>
      <c r="T401" s="79"/>
      <c r="Y401" s="79"/>
      <c r="AE401" s="130"/>
      <c r="AG401" s="106"/>
    </row>
    <row r="402">
      <c r="C402" s="79"/>
      <c r="D402" s="79"/>
      <c r="E402" s="79"/>
      <c r="O402" s="79"/>
      <c r="S402" s="79"/>
      <c r="T402" s="79"/>
      <c r="Y402" s="79"/>
      <c r="AE402" s="130"/>
      <c r="AG402" s="106"/>
    </row>
    <row r="403">
      <c r="C403" s="79"/>
      <c r="D403" s="79"/>
      <c r="E403" s="79"/>
      <c r="O403" s="79"/>
      <c r="S403" s="79"/>
      <c r="T403" s="79"/>
      <c r="Y403" s="79"/>
      <c r="AE403" s="130"/>
      <c r="AG403" s="106"/>
    </row>
    <row r="404">
      <c r="C404" s="79"/>
      <c r="D404" s="79"/>
      <c r="E404" s="79"/>
      <c r="O404" s="79"/>
      <c r="S404" s="79"/>
      <c r="T404" s="79"/>
      <c r="Y404" s="79"/>
      <c r="AE404" s="130"/>
      <c r="AG404" s="106"/>
    </row>
    <row r="405">
      <c r="C405" s="79"/>
      <c r="D405" s="79"/>
      <c r="E405" s="79"/>
      <c r="O405" s="79"/>
      <c r="S405" s="79"/>
      <c r="T405" s="79"/>
      <c r="Y405" s="79"/>
      <c r="AE405" s="130"/>
      <c r="AG405" s="106"/>
    </row>
    <row r="406">
      <c r="C406" s="79"/>
      <c r="D406" s="79"/>
      <c r="E406" s="79"/>
      <c r="O406" s="79"/>
      <c r="S406" s="79"/>
      <c r="T406" s="79"/>
      <c r="Y406" s="79"/>
      <c r="AE406" s="130"/>
      <c r="AG406" s="106"/>
    </row>
    <row r="407">
      <c r="C407" s="79"/>
      <c r="D407" s="79"/>
      <c r="E407" s="79"/>
      <c r="O407" s="79"/>
      <c r="S407" s="79"/>
      <c r="T407" s="79"/>
      <c r="Y407" s="79"/>
      <c r="AE407" s="130"/>
      <c r="AG407" s="106"/>
    </row>
    <row r="408">
      <c r="C408" s="79"/>
      <c r="D408" s="79"/>
      <c r="E408" s="79"/>
      <c r="O408" s="79"/>
      <c r="S408" s="79"/>
      <c r="T408" s="79"/>
      <c r="Y408" s="79"/>
      <c r="AE408" s="130"/>
      <c r="AG408" s="106"/>
    </row>
    <row r="409">
      <c r="C409" s="79"/>
      <c r="D409" s="79"/>
      <c r="E409" s="79"/>
      <c r="O409" s="79"/>
      <c r="S409" s="79"/>
      <c r="T409" s="79"/>
      <c r="Y409" s="79"/>
      <c r="AE409" s="130"/>
      <c r="AG409" s="106"/>
    </row>
    <row r="410">
      <c r="C410" s="79"/>
      <c r="D410" s="79"/>
      <c r="E410" s="79"/>
      <c r="O410" s="79"/>
      <c r="S410" s="79"/>
      <c r="T410" s="79"/>
      <c r="Y410" s="79"/>
      <c r="AE410" s="130"/>
      <c r="AG410" s="106"/>
    </row>
    <row r="411">
      <c r="C411" s="79"/>
      <c r="D411" s="79"/>
      <c r="E411" s="79"/>
      <c r="O411" s="79"/>
      <c r="S411" s="79"/>
      <c r="T411" s="79"/>
      <c r="Y411" s="79"/>
      <c r="AE411" s="130"/>
      <c r="AG411" s="106"/>
    </row>
    <row r="412">
      <c r="C412" s="79"/>
      <c r="D412" s="79"/>
      <c r="E412" s="79"/>
      <c r="O412" s="79"/>
      <c r="S412" s="79"/>
      <c r="T412" s="79"/>
      <c r="Y412" s="79"/>
      <c r="AE412" s="130"/>
      <c r="AG412" s="106"/>
    </row>
    <row r="413">
      <c r="C413" s="79"/>
      <c r="D413" s="79"/>
      <c r="E413" s="79"/>
      <c r="O413" s="79"/>
      <c r="S413" s="79"/>
      <c r="T413" s="79"/>
      <c r="Y413" s="79"/>
      <c r="AE413" s="130"/>
      <c r="AG413" s="106"/>
    </row>
    <row r="414">
      <c r="C414" s="79"/>
      <c r="D414" s="79"/>
      <c r="E414" s="79"/>
      <c r="O414" s="79"/>
      <c r="S414" s="79"/>
      <c r="T414" s="79"/>
      <c r="Y414" s="79"/>
      <c r="AE414" s="130"/>
      <c r="AG414" s="106"/>
    </row>
    <row r="415">
      <c r="C415" s="79"/>
      <c r="D415" s="79"/>
      <c r="E415" s="79"/>
      <c r="O415" s="79"/>
      <c r="S415" s="79"/>
      <c r="T415" s="79"/>
      <c r="Y415" s="79"/>
      <c r="AE415" s="130"/>
      <c r="AG415" s="106"/>
    </row>
    <row r="416">
      <c r="C416" s="79"/>
      <c r="D416" s="79"/>
      <c r="E416" s="79"/>
      <c r="O416" s="79"/>
      <c r="S416" s="79"/>
      <c r="T416" s="79"/>
      <c r="Y416" s="79"/>
      <c r="AE416" s="130"/>
      <c r="AG416" s="106"/>
    </row>
    <row r="417">
      <c r="C417" s="79"/>
      <c r="D417" s="79"/>
      <c r="E417" s="79"/>
      <c r="O417" s="79"/>
      <c r="S417" s="79"/>
      <c r="T417" s="79"/>
      <c r="Y417" s="79"/>
      <c r="AE417" s="130"/>
      <c r="AG417" s="106"/>
    </row>
    <row r="418">
      <c r="C418" s="79"/>
      <c r="D418" s="79"/>
      <c r="E418" s="79"/>
      <c r="O418" s="79"/>
      <c r="S418" s="79"/>
      <c r="T418" s="79"/>
      <c r="Y418" s="79"/>
      <c r="AE418" s="130"/>
      <c r="AG418" s="106"/>
    </row>
    <row r="419">
      <c r="C419" s="79"/>
      <c r="D419" s="79"/>
      <c r="E419" s="79"/>
      <c r="O419" s="79"/>
      <c r="S419" s="79"/>
      <c r="T419" s="79"/>
      <c r="Y419" s="79"/>
      <c r="AE419" s="130"/>
      <c r="AG419" s="106"/>
    </row>
    <row r="420">
      <c r="C420" s="79"/>
      <c r="D420" s="79"/>
      <c r="E420" s="79"/>
      <c r="O420" s="79"/>
      <c r="S420" s="79"/>
      <c r="T420" s="79"/>
      <c r="Y420" s="79"/>
      <c r="AE420" s="130"/>
      <c r="AG420" s="106"/>
    </row>
    <row r="421">
      <c r="C421" s="79"/>
      <c r="D421" s="79"/>
      <c r="E421" s="79"/>
      <c r="O421" s="79"/>
      <c r="S421" s="79"/>
      <c r="T421" s="79"/>
      <c r="Y421" s="79"/>
      <c r="AE421" s="130"/>
      <c r="AG421" s="106"/>
    </row>
    <row r="422">
      <c r="C422" s="79"/>
      <c r="D422" s="79"/>
      <c r="E422" s="79"/>
      <c r="O422" s="79"/>
      <c r="S422" s="79"/>
      <c r="T422" s="79"/>
      <c r="Y422" s="79"/>
      <c r="AE422" s="130"/>
      <c r="AG422" s="106"/>
    </row>
    <row r="423">
      <c r="C423" s="79"/>
      <c r="D423" s="79"/>
      <c r="E423" s="79"/>
      <c r="O423" s="79"/>
      <c r="S423" s="79"/>
      <c r="T423" s="79"/>
      <c r="Y423" s="79"/>
      <c r="AE423" s="130"/>
      <c r="AG423" s="106"/>
    </row>
    <row r="424">
      <c r="C424" s="79"/>
      <c r="D424" s="79"/>
      <c r="E424" s="79"/>
      <c r="O424" s="79"/>
      <c r="S424" s="79"/>
      <c r="T424" s="79"/>
      <c r="Y424" s="79"/>
      <c r="AE424" s="130"/>
      <c r="AG424" s="106"/>
    </row>
    <row r="425">
      <c r="C425" s="79"/>
      <c r="D425" s="79"/>
      <c r="E425" s="79"/>
      <c r="O425" s="79"/>
      <c r="S425" s="79"/>
      <c r="T425" s="79"/>
      <c r="Y425" s="79"/>
      <c r="AE425" s="130"/>
      <c r="AG425" s="106"/>
    </row>
    <row r="426">
      <c r="C426" s="79"/>
      <c r="D426" s="79"/>
      <c r="E426" s="79"/>
      <c r="O426" s="79"/>
      <c r="S426" s="79"/>
      <c r="T426" s="79"/>
      <c r="Y426" s="79"/>
      <c r="AE426" s="130"/>
      <c r="AG426" s="106"/>
    </row>
    <row r="427">
      <c r="C427" s="79"/>
      <c r="D427" s="79"/>
      <c r="E427" s="79"/>
      <c r="O427" s="79"/>
      <c r="S427" s="79"/>
      <c r="T427" s="79"/>
      <c r="Y427" s="79"/>
      <c r="AE427" s="130"/>
      <c r="AG427" s="106"/>
    </row>
    <row r="428">
      <c r="C428" s="79"/>
      <c r="D428" s="79"/>
      <c r="E428" s="79"/>
      <c r="O428" s="79"/>
      <c r="S428" s="79"/>
      <c r="T428" s="79"/>
      <c r="Y428" s="79"/>
      <c r="AE428" s="130"/>
      <c r="AG428" s="106"/>
    </row>
    <row r="429">
      <c r="C429" s="79"/>
      <c r="D429" s="79"/>
      <c r="E429" s="79"/>
      <c r="O429" s="79"/>
      <c r="S429" s="79"/>
      <c r="T429" s="79"/>
      <c r="Y429" s="79"/>
      <c r="AE429" s="130"/>
      <c r="AG429" s="106"/>
    </row>
    <row r="430">
      <c r="C430" s="79"/>
      <c r="D430" s="79"/>
      <c r="E430" s="79"/>
      <c r="O430" s="79"/>
      <c r="S430" s="79"/>
      <c r="T430" s="79"/>
      <c r="Y430" s="79"/>
      <c r="AE430" s="130"/>
      <c r="AG430" s="106"/>
    </row>
    <row r="431">
      <c r="C431" s="79"/>
      <c r="D431" s="79"/>
      <c r="E431" s="79"/>
      <c r="O431" s="79"/>
      <c r="S431" s="79"/>
      <c r="T431" s="79"/>
      <c r="Y431" s="79"/>
      <c r="AE431" s="130"/>
      <c r="AG431" s="106"/>
    </row>
    <row r="432">
      <c r="C432" s="79"/>
      <c r="D432" s="79"/>
      <c r="E432" s="79"/>
      <c r="O432" s="79"/>
      <c r="S432" s="79"/>
      <c r="T432" s="79"/>
      <c r="Y432" s="79"/>
      <c r="AE432" s="130"/>
      <c r="AG432" s="106"/>
    </row>
    <row r="433">
      <c r="C433" s="79"/>
      <c r="D433" s="79"/>
      <c r="E433" s="79"/>
      <c r="O433" s="79"/>
      <c r="S433" s="79"/>
      <c r="T433" s="79"/>
      <c r="Y433" s="79"/>
      <c r="AE433" s="130"/>
      <c r="AG433" s="106"/>
    </row>
    <row r="434">
      <c r="C434" s="79"/>
      <c r="D434" s="79"/>
      <c r="E434" s="79"/>
      <c r="O434" s="79"/>
      <c r="S434" s="79"/>
      <c r="T434" s="79"/>
      <c r="Y434" s="79"/>
      <c r="AE434" s="130"/>
      <c r="AG434" s="106"/>
    </row>
    <row r="435">
      <c r="C435" s="79"/>
      <c r="D435" s="79"/>
      <c r="E435" s="79"/>
      <c r="O435" s="79"/>
      <c r="S435" s="79"/>
      <c r="T435" s="79"/>
      <c r="Y435" s="79"/>
      <c r="AE435" s="130"/>
      <c r="AG435" s="106"/>
    </row>
    <row r="436">
      <c r="C436" s="79"/>
      <c r="D436" s="79"/>
      <c r="E436" s="79"/>
      <c r="O436" s="79"/>
      <c r="S436" s="79"/>
      <c r="T436" s="79"/>
      <c r="Y436" s="79"/>
      <c r="AE436" s="130"/>
      <c r="AG436" s="106"/>
    </row>
    <row r="437">
      <c r="C437" s="79"/>
      <c r="D437" s="79"/>
      <c r="E437" s="79"/>
      <c r="O437" s="79"/>
      <c r="S437" s="79"/>
      <c r="T437" s="79"/>
      <c r="Y437" s="79"/>
      <c r="AE437" s="130"/>
      <c r="AG437" s="106"/>
    </row>
    <row r="438">
      <c r="C438" s="79"/>
      <c r="D438" s="79"/>
      <c r="E438" s="79"/>
      <c r="O438" s="79"/>
      <c r="S438" s="79"/>
      <c r="T438" s="79"/>
      <c r="Y438" s="79"/>
      <c r="AE438" s="130"/>
      <c r="AG438" s="106"/>
    </row>
    <row r="439">
      <c r="C439" s="79"/>
      <c r="D439" s="79"/>
      <c r="E439" s="79"/>
      <c r="O439" s="79"/>
      <c r="S439" s="79"/>
      <c r="T439" s="79"/>
      <c r="Y439" s="79"/>
      <c r="AE439" s="130"/>
      <c r="AG439" s="106"/>
    </row>
    <row r="440">
      <c r="C440" s="79"/>
      <c r="D440" s="79"/>
      <c r="E440" s="79"/>
      <c r="O440" s="79"/>
      <c r="S440" s="79"/>
      <c r="T440" s="79"/>
      <c r="Y440" s="79"/>
      <c r="AE440" s="130"/>
      <c r="AG440" s="106"/>
    </row>
    <row r="441">
      <c r="C441" s="79"/>
      <c r="D441" s="79"/>
      <c r="E441" s="79"/>
      <c r="O441" s="79"/>
      <c r="S441" s="79"/>
      <c r="T441" s="79"/>
      <c r="Y441" s="79"/>
      <c r="AE441" s="130"/>
      <c r="AG441" s="106"/>
    </row>
    <row r="442">
      <c r="C442" s="79"/>
      <c r="D442" s="79"/>
      <c r="E442" s="79"/>
      <c r="O442" s="79"/>
      <c r="S442" s="79"/>
      <c r="T442" s="79"/>
      <c r="Y442" s="79"/>
      <c r="AE442" s="130"/>
      <c r="AG442" s="106"/>
    </row>
    <row r="443">
      <c r="C443" s="79"/>
      <c r="D443" s="79"/>
      <c r="E443" s="79"/>
      <c r="O443" s="79"/>
      <c r="S443" s="79"/>
      <c r="T443" s="79"/>
      <c r="Y443" s="79"/>
      <c r="AE443" s="130"/>
      <c r="AG443" s="106"/>
    </row>
    <row r="444">
      <c r="C444" s="79"/>
      <c r="D444" s="79"/>
      <c r="E444" s="79"/>
      <c r="O444" s="79"/>
      <c r="S444" s="79"/>
      <c r="T444" s="79"/>
      <c r="Y444" s="79"/>
      <c r="AE444" s="130"/>
      <c r="AG444" s="106"/>
    </row>
    <row r="445">
      <c r="C445" s="79"/>
      <c r="D445" s="79"/>
      <c r="E445" s="79"/>
      <c r="O445" s="79"/>
      <c r="S445" s="79"/>
      <c r="T445" s="79"/>
      <c r="Y445" s="79"/>
      <c r="AE445" s="130"/>
      <c r="AG445" s="106"/>
    </row>
    <row r="446">
      <c r="C446" s="79"/>
      <c r="D446" s="79"/>
      <c r="E446" s="79"/>
      <c r="O446" s="79"/>
      <c r="S446" s="79"/>
      <c r="T446" s="79"/>
      <c r="Y446" s="79"/>
      <c r="AE446" s="130"/>
      <c r="AG446" s="106"/>
    </row>
    <row r="447">
      <c r="C447" s="79"/>
      <c r="D447" s="79"/>
      <c r="E447" s="79"/>
      <c r="O447" s="79"/>
      <c r="S447" s="79"/>
      <c r="T447" s="79"/>
      <c r="Y447" s="79"/>
      <c r="AE447" s="130"/>
      <c r="AG447" s="106"/>
    </row>
    <row r="448">
      <c r="C448" s="79"/>
      <c r="D448" s="79"/>
      <c r="E448" s="79"/>
      <c r="O448" s="79"/>
      <c r="S448" s="79"/>
      <c r="T448" s="79"/>
      <c r="Y448" s="79"/>
      <c r="AE448" s="130"/>
      <c r="AG448" s="106"/>
    </row>
    <row r="449">
      <c r="C449" s="79"/>
      <c r="D449" s="79"/>
      <c r="E449" s="79"/>
      <c r="O449" s="79"/>
      <c r="S449" s="79"/>
      <c r="T449" s="79"/>
      <c r="Y449" s="79"/>
      <c r="AE449" s="130"/>
      <c r="AG449" s="106"/>
    </row>
    <row r="450">
      <c r="C450" s="79"/>
      <c r="D450" s="79"/>
      <c r="E450" s="79"/>
      <c r="O450" s="79"/>
      <c r="S450" s="79"/>
      <c r="T450" s="79"/>
      <c r="Y450" s="79"/>
      <c r="AE450" s="130"/>
      <c r="AG450" s="106"/>
    </row>
    <row r="451">
      <c r="C451" s="79"/>
      <c r="D451" s="79"/>
      <c r="E451" s="79"/>
      <c r="O451" s="79"/>
      <c r="S451" s="79"/>
      <c r="T451" s="79"/>
      <c r="Y451" s="79"/>
      <c r="AE451" s="130"/>
      <c r="AG451" s="106"/>
    </row>
    <row r="452">
      <c r="C452" s="79"/>
      <c r="D452" s="79"/>
      <c r="E452" s="79"/>
      <c r="O452" s="79"/>
      <c r="S452" s="79"/>
      <c r="T452" s="79"/>
      <c r="Y452" s="79"/>
      <c r="AE452" s="130"/>
      <c r="AG452" s="106"/>
    </row>
    <row r="453">
      <c r="C453" s="79"/>
      <c r="D453" s="79"/>
      <c r="E453" s="79"/>
      <c r="O453" s="79"/>
      <c r="S453" s="79"/>
      <c r="T453" s="79"/>
      <c r="Y453" s="79"/>
      <c r="AE453" s="130"/>
      <c r="AG453" s="106"/>
    </row>
    <row r="454">
      <c r="C454" s="79"/>
      <c r="D454" s="79"/>
      <c r="E454" s="79"/>
      <c r="O454" s="79"/>
      <c r="S454" s="79"/>
      <c r="T454" s="79"/>
      <c r="Y454" s="79"/>
      <c r="AE454" s="130"/>
      <c r="AG454" s="106"/>
    </row>
    <row r="455">
      <c r="C455" s="79"/>
      <c r="D455" s="79"/>
      <c r="E455" s="79"/>
      <c r="O455" s="79"/>
      <c r="S455" s="79"/>
      <c r="T455" s="79"/>
      <c r="Y455" s="79"/>
      <c r="AE455" s="130"/>
      <c r="AG455" s="106"/>
    </row>
    <row r="456">
      <c r="C456" s="79"/>
      <c r="D456" s="79"/>
      <c r="E456" s="79"/>
      <c r="O456" s="79"/>
      <c r="S456" s="79"/>
      <c r="T456" s="79"/>
      <c r="Y456" s="79"/>
      <c r="AE456" s="130"/>
      <c r="AG456" s="106"/>
    </row>
    <row r="457">
      <c r="C457" s="79"/>
      <c r="D457" s="79"/>
      <c r="E457" s="79"/>
      <c r="O457" s="79"/>
      <c r="S457" s="79"/>
      <c r="T457" s="79"/>
      <c r="Y457" s="79"/>
      <c r="AE457" s="130"/>
      <c r="AG457" s="106"/>
    </row>
    <row r="458">
      <c r="C458" s="79"/>
      <c r="D458" s="79"/>
      <c r="E458" s="79"/>
      <c r="O458" s="79"/>
      <c r="S458" s="79"/>
      <c r="T458" s="79"/>
      <c r="Y458" s="79"/>
      <c r="AE458" s="130"/>
      <c r="AG458" s="106"/>
    </row>
    <row r="459">
      <c r="C459" s="79"/>
      <c r="D459" s="79"/>
      <c r="E459" s="79"/>
      <c r="O459" s="79"/>
      <c r="S459" s="79"/>
      <c r="T459" s="79"/>
      <c r="Y459" s="79"/>
      <c r="AE459" s="130"/>
      <c r="AG459" s="106"/>
    </row>
    <row r="460">
      <c r="C460" s="79"/>
      <c r="D460" s="79"/>
      <c r="E460" s="79"/>
      <c r="O460" s="79"/>
      <c r="S460" s="79"/>
      <c r="T460" s="79"/>
      <c r="Y460" s="79"/>
      <c r="AE460" s="130"/>
      <c r="AG460" s="106"/>
    </row>
    <row r="461">
      <c r="C461" s="79"/>
      <c r="D461" s="79"/>
      <c r="E461" s="79"/>
      <c r="O461" s="79"/>
      <c r="S461" s="79"/>
      <c r="T461" s="79"/>
      <c r="Y461" s="79"/>
      <c r="AE461" s="130"/>
      <c r="AG461" s="106"/>
    </row>
    <row r="462">
      <c r="C462" s="79"/>
      <c r="D462" s="79"/>
      <c r="E462" s="79"/>
      <c r="O462" s="79"/>
      <c r="S462" s="79"/>
      <c r="T462" s="79"/>
      <c r="Y462" s="79"/>
      <c r="AE462" s="130"/>
      <c r="AG462" s="106"/>
    </row>
    <row r="463">
      <c r="C463" s="79"/>
      <c r="D463" s="79"/>
      <c r="E463" s="79"/>
      <c r="O463" s="79"/>
      <c r="S463" s="79"/>
      <c r="T463" s="79"/>
      <c r="Y463" s="79"/>
      <c r="AE463" s="130"/>
      <c r="AG463" s="106"/>
    </row>
    <row r="464">
      <c r="C464" s="79"/>
      <c r="D464" s="79"/>
      <c r="E464" s="79"/>
      <c r="O464" s="79"/>
      <c r="S464" s="79"/>
      <c r="T464" s="79"/>
      <c r="Y464" s="79"/>
      <c r="AE464" s="130"/>
      <c r="AG464" s="106"/>
    </row>
    <row r="465">
      <c r="C465" s="79"/>
      <c r="D465" s="79"/>
      <c r="E465" s="79"/>
      <c r="O465" s="79"/>
      <c r="S465" s="79"/>
      <c r="T465" s="79"/>
      <c r="Y465" s="79"/>
      <c r="AE465" s="130"/>
      <c r="AG465" s="106"/>
    </row>
    <row r="466">
      <c r="C466" s="79"/>
      <c r="D466" s="79"/>
      <c r="E466" s="79"/>
      <c r="O466" s="79"/>
      <c r="S466" s="79"/>
      <c r="T466" s="79"/>
      <c r="Y466" s="79"/>
      <c r="AE466" s="130"/>
      <c r="AG466" s="106"/>
    </row>
    <row r="467">
      <c r="C467" s="79"/>
      <c r="D467" s="79"/>
      <c r="E467" s="79"/>
      <c r="O467" s="79"/>
      <c r="S467" s="79"/>
      <c r="T467" s="79"/>
      <c r="Y467" s="79"/>
      <c r="AE467" s="130"/>
      <c r="AG467" s="106"/>
    </row>
    <row r="468">
      <c r="C468" s="79"/>
      <c r="D468" s="79"/>
      <c r="E468" s="79"/>
      <c r="O468" s="79"/>
      <c r="S468" s="79"/>
      <c r="T468" s="79"/>
      <c r="Y468" s="79"/>
      <c r="AE468" s="130"/>
      <c r="AG468" s="106"/>
    </row>
    <row r="469">
      <c r="C469" s="79"/>
      <c r="D469" s="79"/>
      <c r="E469" s="79"/>
      <c r="O469" s="79"/>
      <c r="S469" s="79"/>
      <c r="T469" s="79"/>
      <c r="Y469" s="79"/>
      <c r="AE469" s="130"/>
      <c r="AG469" s="106"/>
    </row>
    <row r="470">
      <c r="C470" s="79"/>
      <c r="D470" s="79"/>
      <c r="E470" s="79"/>
      <c r="O470" s="79"/>
      <c r="S470" s="79"/>
      <c r="T470" s="79"/>
      <c r="Y470" s="79"/>
      <c r="AE470" s="130"/>
      <c r="AG470" s="106"/>
    </row>
    <row r="471">
      <c r="C471" s="79"/>
      <c r="D471" s="79"/>
      <c r="E471" s="79"/>
      <c r="O471" s="79"/>
      <c r="S471" s="79"/>
      <c r="T471" s="79"/>
      <c r="Y471" s="79"/>
      <c r="AE471" s="130"/>
      <c r="AG471" s="106"/>
    </row>
    <row r="472">
      <c r="C472" s="79"/>
      <c r="D472" s="79"/>
      <c r="E472" s="79"/>
      <c r="O472" s="79"/>
      <c r="S472" s="79"/>
      <c r="T472" s="79"/>
      <c r="Y472" s="79"/>
      <c r="AE472" s="130"/>
      <c r="AG472" s="106"/>
    </row>
    <row r="473">
      <c r="C473" s="79"/>
      <c r="D473" s="79"/>
      <c r="E473" s="79"/>
      <c r="O473" s="79"/>
      <c r="S473" s="79"/>
      <c r="T473" s="79"/>
      <c r="Y473" s="79"/>
      <c r="AE473" s="130"/>
      <c r="AG473" s="106"/>
    </row>
    <row r="474">
      <c r="C474" s="79"/>
      <c r="D474" s="79"/>
      <c r="E474" s="79"/>
      <c r="O474" s="79"/>
      <c r="S474" s="79"/>
      <c r="T474" s="79"/>
      <c r="Y474" s="79"/>
      <c r="AE474" s="130"/>
      <c r="AG474" s="106"/>
    </row>
    <row r="475">
      <c r="C475" s="79"/>
      <c r="D475" s="79"/>
      <c r="E475" s="79"/>
      <c r="O475" s="79"/>
      <c r="S475" s="79"/>
      <c r="T475" s="79"/>
      <c r="Y475" s="79"/>
      <c r="AE475" s="130"/>
      <c r="AG475" s="106"/>
    </row>
    <row r="476">
      <c r="C476" s="79"/>
      <c r="D476" s="79"/>
      <c r="E476" s="79"/>
      <c r="O476" s="79"/>
      <c r="S476" s="79"/>
      <c r="T476" s="79"/>
      <c r="Y476" s="79"/>
      <c r="AE476" s="130"/>
      <c r="AG476" s="106"/>
    </row>
    <row r="477">
      <c r="C477" s="79"/>
      <c r="D477" s="79"/>
      <c r="E477" s="79"/>
      <c r="O477" s="79"/>
      <c r="S477" s="79"/>
      <c r="T477" s="79"/>
      <c r="Y477" s="79"/>
      <c r="AE477" s="130"/>
      <c r="AG477" s="106"/>
    </row>
    <row r="478">
      <c r="C478" s="79"/>
      <c r="D478" s="79"/>
      <c r="E478" s="79"/>
      <c r="O478" s="79"/>
      <c r="S478" s="79"/>
      <c r="T478" s="79"/>
      <c r="Y478" s="79"/>
      <c r="AE478" s="130"/>
      <c r="AG478" s="106"/>
    </row>
    <row r="479">
      <c r="C479" s="79"/>
      <c r="D479" s="79"/>
      <c r="E479" s="79"/>
      <c r="O479" s="79"/>
      <c r="S479" s="79"/>
      <c r="T479" s="79"/>
      <c r="Y479" s="79"/>
      <c r="AE479" s="130"/>
      <c r="AG479" s="106"/>
    </row>
    <row r="480">
      <c r="C480" s="79"/>
      <c r="D480" s="79"/>
      <c r="E480" s="79"/>
      <c r="O480" s="79"/>
      <c r="S480" s="79"/>
      <c r="T480" s="79"/>
      <c r="Y480" s="79"/>
      <c r="AE480" s="130"/>
      <c r="AG480" s="106"/>
    </row>
    <row r="481">
      <c r="C481" s="79"/>
      <c r="D481" s="79"/>
      <c r="E481" s="79"/>
      <c r="O481" s="79"/>
      <c r="S481" s="79"/>
      <c r="T481" s="79"/>
      <c r="Y481" s="79"/>
      <c r="AE481" s="130"/>
      <c r="AG481" s="106"/>
    </row>
    <row r="482">
      <c r="C482" s="79"/>
      <c r="D482" s="79"/>
      <c r="E482" s="79"/>
      <c r="O482" s="79"/>
      <c r="S482" s="79"/>
      <c r="T482" s="79"/>
      <c r="Y482" s="79"/>
      <c r="AE482" s="130"/>
      <c r="AG482" s="106"/>
    </row>
    <row r="483">
      <c r="C483" s="79"/>
      <c r="D483" s="79"/>
      <c r="E483" s="79"/>
      <c r="O483" s="79"/>
      <c r="S483" s="79"/>
      <c r="T483" s="79"/>
      <c r="Y483" s="79"/>
      <c r="AE483" s="130"/>
      <c r="AG483" s="106"/>
    </row>
    <row r="484">
      <c r="C484" s="79"/>
      <c r="D484" s="79"/>
      <c r="E484" s="79"/>
      <c r="O484" s="79"/>
      <c r="S484" s="79"/>
      <c r="T484" s="79"/>
      <c r="Y484" s="79"/>
      <c r="AE484" s="130"/>
      <c r="AG484" s="106"/>
    </row>
    <row r="485">
      <c r="C485" s="79"/>
      <c r="D485" s="79"/>
      <c r="E485" s="79"/>
      <c r="O485" s="79"/>
      <c r="S485" s="79"/>
      <c r="T485" s="79"/>
      <c r="Y485" s="79"/>
      <c r="AE485" s="130"/>
      <c r="AG485" s="106"/>
    </row>
    <row r="486">
      <c r="C486" s="79"/>
      <c r="D486" s="79"/>
      <c r="E486" s="79"/>
      <c r="O486" s="79"/>
      <c r="S486" s="79"/>
      <c r="T486" s="79"/>
      <c r="Y486" s="79"/>
      <c r="AE486" s="130"/>
      <c r="AG486" s="106"/>
    </row>
    <row r="487">
      <c r="C487" s="79"/>
      <c r="D487" s="79"/>
      <c r="E487" s="79"/>
      <c r="O487" s="79"/>
      <c r="S487" s="79"/>
      <c r="T487" s="79"/>
      <c r="Y487" s="79"/>
      <c r="AE487" s="130"/>
      <c r="AG487" s="106"/>
    </row>
    <row r="488">
      <c r="C488" s="79"/>
      <c r="D488" s="79"/>
      <c r="E488" s="79"/>
      <c r="O488" s="79"/>
      <c r="S488" s="79"/>
      <c r="T488" s="79"/>
      <c r="Y488" s="79"/>
      <c r="AE488" s="130"/>
      <c r="AG488" s="106"/>
    </row>
    <row r="489">
      <c r="C489" s="79"/>
      <c r="D489" s="79"/>
      <c r="E489" s="79"/>
      <c r="O489" s="79"/>
      <c r="S489" s="79"/>
      <c r="T489" s="79"/>
      <c r="Y489" s="79"/>
      <c r="AE489" s="130"/>
      <c r="AG489" s="106"/>
    </row>
    <row r="490">
      <c r="C490" s="79"/>
      <c r="D490" s="79"/>
      <c r="E490" s="79"/>
      <c r="O490" s="79"/>
      <c r="S490" s="79"/>
      <c r="T490" s="79"/>
      <c r="Y490" s="79"/>
      <c r="AE490" s="130"/>
      <c r="AG490" s="106"/>
    </row>
    <row r="491">
      <c r="C491" s="79"/>
      <c r="D491" s="79"/>
      <c r="E491" s="79"/>
      <c r="O491" s="79"/>
      <c r="S491" s="79"/>
      <c r="T491" s="79"/>
      <c r="Y491" s="79"/>
      <c r="AE491" s="130"/>
      <c r="AG491" s="106"/>
    </row>
    <row r="492">
      <c r="C492" s="79"/>
      <c r="D492" s="79"/>
      <c r="E492" s="79"/>
      <c r="O492" s="79"/>
      <c r="S492" s="79"/>
      <c r="T492" s="79"/>
      <c r="Y492" s="79"/>
      <c r="AE492" s="130"/>
      <c r="AG492" s="106"/>
    </row>
    <row r="493">
      <c r="C493" s="79"/>
      <c r="D493" s="79"/>
      <c r="E493" s="79"/>
      <c r="O493" s="79"/>
      <c r="S493" s="79"/>
      <c r="T493" s="79"/>
      <c r="Y493" s="79"/>
      <c r="AE493" s="130"/>
      <c r="AG493" s="106"/>
    </row>
    <row r="494">
      <c r="C494" s="79"/>
      <c r="D494" s="79"/>
      <c r="E494" s="79"/>
      <c r="O494" s="79"/>
      <c r="S494" s="79"/>
      <c r="T494" s="79"/>
      <c r="Y494" s="79"/>
      <c r="AE494" s="130"/>
      <c r="AG494" s="106"/>
    </row>
    <row r="495">
      <c r="C495" s="79"/>
      <c r="D495" s="79"/>
      <c r="E495" s="79"/>
      <c r="O495" s="79"/>
      <c r="S495" s="79"/>
      <c r="T495" s="79"/>
      <c r="Y495" s="79"/>
      <c r="AE495" s="130"/>
      <c r="AG495" s="106"/>
    </row>
    <row r="496">
      <c r="C496" s="79"/>
      <c r="D496" s="79"/>
      <c r="E496" s="79"/>
      <c r="O496" s="79"/>
      <c r="S496" s="79"/>
      <c r="T496" s="79"/>
      <c r="Y496" s="79"/>
      <c r="AE496" s="130"/>
      <c r="AG496" s="106"/>
    </row>
    <row r="497">
      <c r="C497" s="79"/>
      <c r="D497" s="79"/>
      <c r="E497" s="79"/>
      <c r="O497" s="79"/>
      <c r="S497" s="79"/>
      <c r="T497" s="79"/>
      <c r="Y497" s="79"/>
      <c r="AE497" s="130"/>
      <c r="AG497" s="106"/>
    </row>
    <row r="498">
      <c r="C498" s="79"/>
      <c r="D498" s="79"/>
      <c r="E498" s="79"/>
      <c r="O498" s="79"/>
      <c r="S498" s="79"/>
      <c r="T498" s="79"/>
      <c r="Y498" s="79"/>
      <c r="AE498" s="130"/>
      <c r="AG498" s="106"/>
    </row>
    <row r="499">
      <c r="C499" s="79"/>
      <c r="D499" s="79"/>
      <c r="E499" s="79"/>
      <c r="O499" s="79"/>
      <c r="S499" s="79"/>
      <c r="T499" s="79"/>
      <c r="Y499" s="79"/>
      <c r="AE499" s="130"/>
      <c r="AG499" s="106"/>
    </row>
    <row r="500">
      <c r="C500" s="79"/>
      <c r="D500" s="79"/>
      <c r="E500" s="79"/>
      <c r="O500" s="79"/>
      <c r="S500" s="79"/>
      <c r="T500" s="79"/>
      <c r="Y500" s="79"/>
      <c r="AE500" s="130"/>
      <c r="AG500" s="106"/>
    </row>
    <row r="501">
      <c r="C501" s="79"/>
      <c r="D501" s="79"/>
      <c r="E501" s="79"/>
      <c r="O501" s="79"/>
      <c r="S501" s="79"/>
      <c r="T501" s="79"/>
      <c r="Y501" s="79"/>
      <c r="AE501" s="130"/>
      <c r="AG501" s="106"/>
    </row>
    <row r="502">
      <c r="C502" s="79"/>
      <c r="D502" s="79"/>
      <c r="E502" s="79"/>
      <c r="O502" s="79"/>
      <c r="S502" s="79"/>
      <c r="T502" s="79"/>
      <c r="Y502" s="79"/>
      <c r="AE502" s="130"/>
      <c r="AG502" s="106"/>
    </row>
    <row r="503">
      <c r="C503" s="79"/>
      <c r="D503" s="79"/>
      <c r="E503" s="79"/>
      <c r="O503" s="79"/>
      <c r="S503" s="79"/>
      <c r="T503" s="79"/>
      <c r="Y503" s="79"/>
      <c r="AE503" s="130"/>
      <c r="AG503" s="106"/>
    </row>
    <row r="504">
      <c r="C504" s="79"/>
      <c r="D504" s="79"/>
      <c r="E504" s="79"/>
      <c r="O504" s="79"/>
      <c r="S504" s="79"/>
      <c r="T504" s="79"/>
      <c r="Y504" s="79"/>
      <c r="AE504" s="130"/>
      <c r="AG504" s="106"/>
    </row>
    <row r="505">
      <c r="C505" s="79"/>
      <c r="D505" s="79"/>
      <c r="E505" s="79"/>
      <c r="O505" s="79"/>
      <c r="S505" s="79"/>
      <c r="T505" s="79"/>
      <c r="Y505" s="79"/>
      <c r="AE505" s="130"/>
      <c r="AG505" s="106"/>
    </row>
    <row r="506">
      <c r="C506" s="79"/>
      <c r="D506" s="79"/>
      <c r="E506" s="79"/>
      <c r="O506" s="79"/>
      <c r="S506" s="79"/>
      <c r="T506" s="79"/>
      <c r="Y506" s="79"/>
      <c r="AE506" s="130"/>
      <c r="AG506" s="106"/>
    </row>
    <row r="507">
      <c r="C507" s="79"/>
      <c r="D507" s="79"/>
      <c r="E507" s="79"/>
      <c r="O507" s="79"/>
      <c r="S507" s="79"/>
      <c r="T507" s="79"/>
      <c r="Y507" s="79"/>
      <c r="AE507" s="130"/>
      <c r="AG507" s="106"/>
    </row>
    <row r="508">
      <c r="C508" s="79"/>
      <c r="D508" s="79"/>
      <c r="E508" s="79"/>
      <c r="O508" s="79"/>
      <c r="S508" s="79"/>
      <c r="T508" s="79"/>
      <c r="Y508" s="79"/>
      <c r="AE508" s="130"/>
      <c r="AG508" s="106"/>
    </row>
    <row r="509">
      <c r="C509" s="79"/>
      <c r="D509" s="79"/>
      <c r="E509" s="79"/>
      <c r="O509" s="79"/>
      <c r="S509" s="79"/>
      <c r="T509" s="79"/>
      <c r="Y509" s="79"/>
      <c r="AE509" s="130"/>
      <c r="AG509" s="106"/>
    </row>
    <row r="510">
      <c r="C510" s="79"/>
      <c r="D510" s="79"/>
      <c r="E510" s="79"/>
      <c r="O510" s="79"/>
      <c r="S510" s="79"/>
      <c r="T510" s="79"/>
      <c r="Y510" s="79"/>
      <c r="AE510" s="130"/>
      <c r="AG510" s="106"/>
    </row>
    <row r="511">
      <c r="C511" s="79"/>
      <c r="D511" s="79"/>
      <c r="E511" s="79"/>
      <c r="O511" s="79"/>
      <c r="S511" s="79"/>
      <c r="T511" s="79"/>
      <c r="Y511" s="79"/>
      <c r="AE511" s="130"/>
      <c r="AG511" s="106"/>
    </row>
    <row r="512">
      <c r="C512" s="79"/>
      <c r="D512" s="79"/>
      <c r="E512" s="79"/>
      <c r="O512" s="79"/>
      <c r="S512" s="79"/>
      <c r="T512" s="79"/>
      <c r="Y512" s="79"/>
      <c r="AE512" s="130"/>
      <c r="AG512" s="106"/>
    </row>
    <row r="513">
      <c r="C513" s="79"/>
      <c r="D513" s="79"/>
      <c r="E513" s="79"/>
      <c r="O513" s="79"/>
      <c r="S513" s="79"/>
      <c r="T513" s="79"/>
      <c r="Y513" s="79"/>
      <c r="AE513" s="130"/>
      <c r="AG513" s="106"/>
    </row>
    <row r="514">
      <c r="C514" s="79"/>
      <c r="D514" s="79"/>
      <c r="E514" s="79"/>
      <c r="O514" s="79"/>
      <c r="S514" s="79"/>
      <c r="T514" s="79"/>
      <c r="Y514" s="79"/>
      <c r="AE514" s="130"/>
      <c r="AG514" s="106"/>
    </row>
    <row r="515">
      <c r="C515" s="79"/>
      <c r="D515" s="79"/>
      <c r="E515" s="79"/>
      <c r="O515" s="79"/>
      <c r="S515" s="79"/>
      <c r="T515" s="79"/>
      <c r="Y515" s="79"/>
      <c r="AE515" s="130"/>
      <c r="AG515" s="106"/>
    </row>
    <row r="516">
      <c r="C516" s="79"/>
      <c r="D516" s="79"/>
      <c r="E516" s="79"/>
      <c r="O516" s="79"/>
      <c r="S516" s="79"/>
      <c r="T516" s="79"/>
      <c r="Y516" s="79"/>
      <c r="AE516" s="130"/>
      <c r="AG516" s="106"/>
    </row>
    <row r="517">
      <c r="C517" s="79"/>
      <c r="D517" s="79"/>
      <c r="E517" s="79"/>
      <c r="O517" s="79"/>
      <c r="S517" s="79"/>
      <c r="T517" s="79"/>
      <c r="Y517" s="79"/>
      <c r="AE517" s="130"/>
      <c r="AG517" s="106"/>
    </row>
    <row r="518">
      <c r="C518" s="79"/>
      <c r="D518" s="79"/>
      <c r="E518" s="79"/>
      <c r="O518" s="79"/>
      <c r="S518" s="79"/>
      <c r="T518" s="79"/>
      <c r="Y518" s="79"/>
      <c r="AE518" s="130"/>
      <c r="AG518" s="106"/>
    </row>
    <row r="519">
      <c r="C519" s="79"/>
      <c r="D519" s="79"/>
      <c r="E519" s="79"/>
      <c r="O519" s="79"/>
      <c r="S519" s="79"/>
      <c r="T519" s="79"/>
      <c r="Y519" s="79"/>
      <c r="AE519" s="130"/>
      <c r="AG519" s="106"/>
    </row>
    <row r="520">
      <c r="C520" s="79"/>
      <c r="D520" s="79"/>
      <c r="E520" s="79"/>
      <c r="O520" s="79"/>
      <c r="S520" s="79"/>
      <c r="T520" s="79"/>
      <c r="Y520" s="79"/>
      <c r="AE520" s="130"/>
      <c r="AG520" s="106"/>
    </row>
    <row r="521">
      <c r="C521" s="79"/>
      <c r="D521" s="79"/>
      <c r="E521" s="79"/>
      <c r="O521" s="79"/>
      <c r="S521" s="79"/>
      <c r="T521" s="79"/>
      <c r="Y521" s="79"/>
      <c r="AE521" s="130"/>
      <c r="AG521" s="106"/>
    </row>
    <row r="522">
      <c r="C522" s="79"/>
      <c r="D522" s="79"/>
      <c r="E522" s="79"/>
      <c r="O522" s="79"/>
      <c r="S522" s="79"/>
      <c r="T522" s="79"/>
      <c r="Y522" s="79"/>
      <c r="AE522" s="130"/>
      <c r="AG522" s="106"/>
    </row>
    <row r="523">
      <c r="C523" s="79"/>
      <c r="D523" s="79"/>
      <c r="E523" s="79"/>
      <c r="O523" s="79"/>
      <c r="S523" s="79"/>
      <c r="T523" s="79"/>
      <c r="Y523" s="79"/>
      <c r="AE523" s="130"/>
      <c r="AG523" s="106"/>
    </row>
    <row r="524">
      <c r="C524" s="79"/>
      <c r="D524" s="79"/>
      <c r="E524" s="79"/>
      <c r="O524" s="79"/>
      <c r="S524" s="79"/>
      <c r="T524" s="79"/>
      <c r="Y524" s="79"/>
      <c r="AE524" s="130"/>
      <c r="AG524" s="106"/>
    </row>
    <row r="525">
      <c r="C525" s="79"/>
      <c r="D525" s="79"/>
      <c r="E525" s="79"/>
      <c r="O525" s="79"/>
      <c r="S525" s="79"/>
      <c r="T525" s="79"/>
      <c r="Y525" s="79"/>
      <c r="AE525" s="130"/>
      <c r="AG525" s="106"/>
    </row>
    <row r="526">
      <c r="C526" s="79"/>
      <c r="D526" s="79"/>
      <c r="E526" s="79"/>
      <c r="O526" s="79"/>
      <c r="S526" s="79"/>
      <c r="T526" s="79"/>
      <c r="Y526" s="79"/>
      <c r="AE526" s="130"/>
      <c r="AG526" s="106"/>
    </row>
    <row r="527">
      <c r="C527" s="79"/>
      <c r="D527" s="79"/>
      <c r="E527" s="79"/>
      <c r="O527" s="79"/>
      <c r="S527" s="79"/>
      <c r="T527" s="79"/>
      <c r="Y527" s="79"/>
      <c r="AE527" s="130"/>
      <c r="AG527" s="106"/>
    </row>
    <row r="528">
      <c r="C528" s="79"/>
      <c r="D528" s="79"/>
      <c r="E528" s="79"/>
      <c r="O528" s="79"/>
      <c r="S528" s="79"/>
      <c r="T528" s="79"/>
      <c r="Y528" s="79"/>
      <c r="AE528" s="130"/>
      <c r="AG528" s="106"/>
    </row>
    <row r="529">
      <c r="C529" s="79"/>
      <c r="D529" s="79"/>
      <c r="E529" s="79"/>
      <c r="O529" s="79"/>
      <c r="S529" s="79"/>
      <c r="T529" s="79"/>
      <c r="Y529" s="79"/>
      <c r="AE529" s="130"/>
      <c r="AG529" s="106"/>
    </row>
    <row r="530">
      <c r="C530" s="79"/>
      <c r="D530" s="79"/>
      <c r="E530" s="79"/>
      <c r="O530" s="79"/>
      <c r="S530" s="79"/>
      <c r="T530" s="79"/>
      <c r="Y530" s="79"/>
      <c r="AE530" s="130"/>
      <c r="AG530" s="106"/>
    </row>
    <row r="531">
      <c r="C531" s="79"/>
      <c r="D531" s="79"/>
      <c r="E531" s="79"/>
      <c r="O531" s="79"/>
      <c r="S531" s="79"/>
      <c r="T531" s="79"/>
      <c r="Y531" s="79"/>
      <c r="AE531" s="130"/>
      <c r="AG531" s="106"/>
    </row>
    <row r="532">
      <c r="C532" s="79"/>
      <c r="D532" s="79"/>
      <c r="E532" s="79"/>
      <c r="O532" s="79"/>
      <c r="S532" s="79"/>
      <c r="T532" s="79"/>
      <c r="Y532" s="79"/>
      <c r="AE532" s="130"/>
      <c r="AG532" s="106"/>
    </row>
    <row r="533">
      <c r="C533" s="79"/>
      <c r="D533" s="79"/>
      <c r="E533" s="79"/>
      <c r="O533" s="79"/>
      <c r="S533" s="79"/>
      <c r="T533" s="79"/>
      <c r="Y533" s="79"/>
      <c r="AE533" s="130"/>
      <c r="AG533" s="106"/>
    </row>
    <row r="534">
      <c r="C534" s="79"/>
      <c r="D534" s="79"/>
      <c r="E534" s="79"/>
      <c r="O534" s="79"/>
      <c r="S534" s="79"/>
      <c r="T534" s="79"/>
      <c r="Y534" s="79"/>
      <c r="AE534" s="130"/>
      <c r="AG534" s="106"/>
    </row>
    <row r="535">
      <c r="C535" s="79"/>
      <c r="D535" s="79"/>
      <c r="E535" s="79"/>
      <c r="O535" s="79"/>
      <c r="S535" s="79"/>
      <c r="T535" s="79"/>
      <c r="Y535" s="79"/>
      <c r="AE535" s="130"/>
      <c r="AG535" s="106"/>
    </row>
    <row r="536">
      <c r="C536" s="79"/>
      <c r="D536" s="79"/>
      <c r="E536" s="79"/>
      <c r="O536" s="79"/>
      <c r="S536" s="79"/>
      <c r="T536" s="79"/>
      <c r="Y536" s="79"/>
      <c r="AE536" s="130"/>
      <c r="AG536" s="106"/>
    </row>
    <row r="537">
      <c r="C537" s="79"/>
      <c r="D537" s="79"/>
      <c r="E537" s="79"/>
      <c r="O537" s="79"/>
      <c r="S537" s="79"/>
      <c r="T537" s="79"/>
      <c r="Y537" s="79"/>
      <c r="AE537" s="130"/>
      <c r="AG537" s="106"/>
    </row>
    <row r="538">
      <c r="C538" s="79"/>
      <c r="D538" s="79"/>
      <c r="E538" s="79"/>
      <c r="O538" s="79"/>
      <c r="S538" s="79"/>
      <c r="T538" s="79"/>
      <c r="Y538" s="79"/>
      <c r="AE538" s="130"/>
      <c r="AG538" s="106"/>
    </row>
    <row r="539">
      <c r="C539" s="79"/>
      <c r="D539" s="79"/>
      <c r="E539" s="79"/>
      <c r="O539" s="79"/>
      <c r="S539" s="79"/>
      <c r="T539" s="79"/>
      <c r="Y539" s="79"/>
      <c r="AE539" s="130"/>
      <c r="AG539" s="106"/>
    </row>
    <row r="540">
      <c r="C540" s="79"/>
      <c r="D540" s="79"/>
      <c r="E540" s="79"/>
      <c r="O540" s="79"/>
      <c r="S540" s="79"/>
      <c r="T540" s="79"/>
      <c r="Y540" s="79"/>
      <c r="AE540" s="130"/>
      <c r="AG540" s="106"/>
    </row>
    <row r="541">
      <c r="C541" s="79"/>
      <c r="D541" s="79"/>
      <c r="E541" s="79"/>
      <c r="O541" s="79"/>
      <c r="S541" s="79"/>
      <c r="T541" s="79"/>
      <c r="Y541" s="79"/>
      <c r="AE541" s="130"/>
      <c r="AG541" s="106"/>
    </row>
    <row r="542">
      <c r="C542" s="79"/>
      <c r="D542" s="79"/>
      <c r="E542" s="79"/>
      <c r="O542" s="79"/>
      <c r="S542" s="79"/>
      <c r="T542" s="79"/>
      <c r="Y542" s="79"/>
      <c r="AE542" s="130"/>
      <c r="AG542" s="106"/>
    </row>
    <row r="543">
      <c r="C543" s="79"/>
      <c r="D543" s="79"/>
      <c r="E543" s="79"/>
      <c r="O543" s="79"/>
      <c r="S543" s="79"/>
      <c r="T543" s="79"/>
      <c r="Y543" s="79"/>
      <c r="AE543" s="130"/>
      <c r="AG543" s="106"/>
    </row>
    <row r="544">
      <c r="C544" s="79"/>
      <c r="D544" s="79"/>
      <c r="E544" s="79"/>
      <c r="O544" s="79"/>
      <c r="S544" s="79"/>
      <c r="T544" s="79"/>
      <c r="Y544" s="79"/>
      <c r="AE544" s="130"/>
      <c r="AG544" s="106"/>
    </row>
    <row r="545">
      <c r="C545" s="79"/>
      <c r="D545" s="79"/>
      <c r="E545" s="79"/>
      <c r="O545" s="79"/>
      <c r="S545" s="79"/>
      <c r="T545" s="79"/>
      <c r="Y545" s="79"/>
      <c r="AE545" s="130"/>
      <c r="AG545" s="106"/>
    </row>
    <row r="546">
      <c r="C546" s="79"/>
      <c r="D546" s="79"/>
      <c r="E546" s="79"/>
      <c r="O546" s="79"/>
      <c r="S546" s="79"/>
      <c r="T546" s="79"/>
      <c r="Y546" s="79"/>
      <c r="AE546" s="130"/>
      <c r="AG546" s="106"/>
    </row>
    <row r="547">
      <c r="C547" s="79"/>
      <c r="D547" s="79"/>
      <c r="E547" s="79"/>
      <c r="O547" s="79"/>
      <c r="S547" s="79"/>
      <c r="T547" s="79"/>
      <c r="Y547" s="79"/>
      <c r="AE547" s="130"/>
      <c r="AG547" s="106"/>
    </row>
    <row r="548">
      <c r="C548" s="79"/>
      <c r="D548" s="79"/>
      <c r="E548" s="79"/>
      <c r="O548" s="79"/>
      <c r="S548" s="79"/>
      <c r="T548" s="79"/>
      <c r="Y548" s="79"/>
      <c r="AE548" s="130"/>
      <c r="AG548" s="106"/>
    </row>
    <row r="549">
      <c r="C549" s="79"/>
      <c r="D549" s="79"/>
      <c r="E549" s="79"/>
      <c r="O549" s="79"/>
      <c r="S549" s="79"/>
      <c r="T549" s="79"/>
      <c r="Y549" s="79"/>
      <c r="AE549" s="130"/>
      <c r="AG549" s="106"/>
    </row>
    <row r="550">
      <c r="C550" s="79"/>
      <c r="D550" s="79"/>
      <c r="E550" s="79"/>
      <c r="O550" s="79"/>
      <c r="S550" s="79"/>
      <c r="T550" s="79"/>
      <c r="Y550" s="79"/>
      <c r="AE550" s="130"/>
      <c r="AG550" s="106"/>
    </row>
    <row r="551">
      <c r="C551" s="79"/>
      <c r="D551" s="79"/>
      <c r="E551" s="79"/>
      <c r="O551" s="79"/>
      <c r="S551" s="79"/>
      <c r="T551" s="79"/>
      <c r="Y551" s="79"/>
      <c r="AE551" s="130"/>
      <c r="AG551" s="106"/>
    </row>
    <row r="552">
      <c r="C552" s="79"/>
      <c r="D552" s="79"/>
      <c r="E552" s="79"/>
      <c r="O552" s="79"/>
      <c r="S552" s="79"/>
      <c r="T552" s="79"/>
      <c r="Y552" s="79"/>
      <c r="AE552" s="130"/>
      <c r="AG552" s="106"/>
    </row>
    <row r="553">
      <c r="C553" s="79"/>
      <c r="D553" s="79"/>
      <c r="E553" s="79"/>
      <c r="O553" s="79"/>
      <c r="S553" s="79"/>
      <c r="T553" s="79"/>
      <c r="Y553" s="79"/>
      <c r="AE553" s="130"/>
      <c r="AG553" s="106"/>
    </row>
    <row r="554">
      <c r="C554" s="79"/>
      <c r="D554" s="79"/>
      <c r="E554" s="79"/>
      <c r="O554" s="79"/>
      <c r="S554" s="79"/>
      <c r="T554" s="79"/>
      <c r="Y554" s="79"/>
      <c r="AE554" s="130"/>
      <c r="AG554" s="106"/>
    </row>
    <row r="555">
      <c r="C555" s="79"/>
      <c r="D555" s="79"/>
      <c r="E555" s="79"/>
      <c r="O555" s="79"/>
      <c r="S555" s="79"/>
      <c r="T555" s="79"/>
      <c r="Y555" s="79"/>
      <c r="AE555" s="130"/>
      <c r="AG555" s="106"/>
    </row>
    <row r="556">
      <c r="C556" s="79"/>
      <c r="D556" s="79"/>
      <c r="E556" s="79"/>
      <c r="O556" s="79"/>
      <c r="S556" s="79"/>
      <c r="T556" s="79"/>
      <c r="Y556" s="79"/>
      <c r="AE556" s="130"/>
      <c r="AG556" s="106"/>
    </row>
    <row r="557">
      <c r="C557" s="79"/>
      <c r="D557" s="79"/>
      <c r="E557" s="79"/>
      <c r="O557" s="79"/>
      <c r="S557" s="79"/>
      <c r="T557" s="79"/>
      <c r="Y557" s="79"/>
      <c r="AE557" s="130"/>
      <c r="AG557" s="106"/>
    </row>
    <row r="558">
      <c r="C558" s="79"/>
      <c r="D558" s="79"/>
      <c r="E558" s="79"/>
      <c r="O558" s="79"/>
      <c r="S558" s="79"/>
      <c r="T558" s="79"/>
      <c r="Y558" s="79"/>
      <c r="AE558" s="130"/>
      <c r="AG558" s="106"/>
    </row>
    <row r="559">
      <c r="C559" s="79"/>
      <c r="D559" s="79"/>
      <c r="E559" s="79"/>
      <c r="O559" s="79"/>
      <c r="S559" s="79"/>
      <c r="T559" s="79"/>
      <c r="Y559" s="79"/>
      <c r="AE559" s="130"/>
      <c r="AG559" s="106"/>
    </row>
    <row r="560">
      <c r="C560" s="79"/>
      <c r="D560" s="79"/>
      <c r="E560" s="79"/>
      <c r="O560" s="79"/>
      <c r="S560" s="79"/>
      <c r="T560" s="79"/>
      <c r="Y560" s="79"/>
      <c r="AE560" s="130"/>
      <c r="AG560" s="106"/>
    </row>
    <row r="561">
      <c r="C561" s="79"/>
      <c r="D561" s="79"/>
      <c r="E561" s="79"/>
      <c r="O561" s="79"/>
      <c r="S561" s="79"/>
      <c r="T561" s="79"/>
      <c r="Y561" s="79"/>
      <c r="AE561" s="130"/>
      <c r="AG561" s="106"/>
    </row>
    <row r="562">
      <c r="C562" s="79"/>
      <c r="D562" s="79"/>
      <c r="E562" s="79"/>
      <c r="O562" s="79"/>
      <c r="S562" s="79"/>
      <c r="T562" s="79"/>
      <c r="Y562" s="79"/>
      <c r="AE562" s="130"/>
      <c r="AG562" s="106"/>
    </row>
    <row r="563">
      <c r="C563" s="79"/>
      <c r="D563" s="79"/>
      <c r="E563" s="79"/>
      <c r="O563" s="79"/>
      <c r="S563" s="79"/>
      <c r="T563" s="79"/>
      <c r="Y563" s="79"/>
      <c r="AE563" s="130"/>
      <c r="AG563" s="106"/>
    </row>
    <row r="564">
      <c r="C564" s="79"/>
      <c r="D564" s="79"/>
      <c r="E564" s="79"/>
      <c r="O564" s="79"/>
      <c r="S564" s="79"/>
      <c r="T564" s="79"/>
      <c r="Y564" s="79"/>
      <c r="AE564" s="130"/>
      <c r="AG564" s="106"/>
    </row>
    <row r="565">
      <c r="C565" s="79"/>
      <c r="D565" s="79"/>
      <c r="E565" s="79"/>
      <c r="O565" s="79"/>
      <c r="S565" s="79"/>
      <c r="T565" s="79"/>
      <c r="Y565" s="79"/>
      <c r="AE565" s="130"/>
      <c r="AG565" s="106"/>
    </row>
    <row r="566">
      <c r="C566" s="79"/>
      <c r="D566" s="79"/>
      <c r="E566" s="79"/>
      <c r="O566" s="79"/>
      <c r="S566" s="79"/>
      <c r="T566" s="79"/>
      <c r="Y566" s="79"/>
      <c r="AE566" s="130"/>
      <c r="AG566" s="106"/>
    </row>
    <row r="567">
      <c r="C567" s="79"/>
      <c r="D567" s="79"/>
      <c r="E567" s="79"/>
      <c r="O567" s="79"/>
      <c r="S567" s="79"/>
      <c r="T567" s="79"/>
      <c r="Y567" s="79"/>
      <c r="AE567" s="130"/>
      <c r="AG567" s="106"/>
    </row>
    <row r="568">
      <c r="C568" s="79"/>
      <c r="D568" s="79"/>
      <c r="E568" s="79"/>
      <c r="O568" s="79"/>
      <c r="S568" s="79"/>
      <c r="T568" s="79"/>
      <c r="Y568" s="79"/>
      <c r="AE568" s="130"/>
      <c r="AG568" s="106"/>
    </row>
    <row r="569">
      <c r="C569" s="79"/>
      <c r="D569" s="79"/>
      <c r="E569" s="79"/>
      <c r="O569" s="79"/>
      <c r="S569" s="79"/>
      <c r="T569" s="79"/>
      <c r="Y569" s="79"/>
      <c r="AE569" s="130"/>
      <c r="AG569" s="106"/>
    </row>
    <row r="570">
      <c r="C570" s="79"/>
      <c r="D570" s="79"/>
      <c r="E570" s="79"/>
      <c r="O570" s="79"/>
      <c r="S570" s="79"/>
      <c r="T570" s="79"/>
      <c r="Y570" s="79"/>
      <c r="AE570" s="130"/>
      <c r="AG570" s="106"/>
    </row>
    <row r="571">
      <c r="C571" s="79"/>
      <c r="D571" s="79"/>
      <c r="E571" s="79"/>
      <c r="O571" s="79"/>
      <c r="S571" s="79"/>
      <c r="T571" s="79"/>
      <c r="Y571" s="79"/>
      <c r="AE571" s="130"/>
      <c r="AG571" s="106"/>
    </row>
    <row r="572">
      <c r="C572" s="79"/>
      <c r="D572" s="79"/>
      <c r="E572" s="79"/>
      <c r="O572" s="79"/>
      <c r="S572" s="79"/>
      <c r="T572" s="79"/>
      <c r="Y572" s="79"/>
      <c r="AE572" s="130"/>
      <c r="AG572" s="106"/>
    </row>
    <row r="573">
      <c r="C573" s="79"/>
      <c r="D573" s="79"/>
      <c r="E573" s="79"/>
      <c r="O573" s="79"/>
      <c r="S573" s="79"/>
      <c r="T573" s="79"/>
      <c r="Y573" s="79"/>
      <c r="AE573" s="130"/>
      <c r="AG573" s="106"/>
    </row>
    <row r="574">
      <c r="C574" s="79"/>
      <c r="D574" s="79"/>
      <c r="E574" s="79"/>
      <c r="O574" s="79"/>
      <c r="S574" s="79"/>
      <c r="T574" s="79"/>
      <c r="Y574" s="79"/>
      <c r="AE574" s="130"/>
      <c r="AG574" s="106"/>
    </row>
    <row r="575">
      <c r="C575" s="79"/>
      <c r="D575" s="79"/>
      <c r="E575" s="79"/>
      <c r="O575" s="79"/>
      <c r="S575" s="79"/>
      <c r="T575" s="79"/>
      <c r="Y575" s="79"/>
      <c r="AE575" s="130"/>
      <c r="AG575" s="106"/>
    </row>
    <row r="576">
      <c r="C576" s="79"/>
      <c r="D576" s="79"/>
      <c r="E576" s="79"/>
      <c r="O576" s="79"/>
      <c r="S576" s="79"/>
      <c r="T576" s="79"/>
      <c r="Y576" s="79"/>
      <c r="AE576" s="130"/>
      <c r="AG576" s="106"/>
    </row>
    <row r="577">
      <c r="C577" s="79"/>
      <c r="D577" s="79"/>
      <c r="E577" s="79"/>
      <c r="O577" s="79"/>
      <c r="S577" s="79"/>
      <c r="T577" s="79"/>
      <c r="Y577" s="79"/>
      <c r="AE577" s="130"/>
      <c r="AG577" s="106"/>
    </row>
    <row r="578">
      <c r="C578" s="79"/>
      <c r="D578" s="79"/>
      <c r="E578" s="79"/>
      <c r="O578" s="79"/>
      <c r="S578" s="79"/>
      <c r="T578" s="79"/>
      <c r="Y578" s="79"/>
      <c r="AE578" s="130"/>
      <c r="AG578" s="106"/>
    </row>
    <row r="579">
      <c r="C579" s="79"/>
      <c r="D579" s="79"/>
      <c r="E579" s="79"/>
      <c r="O579" s="79"/>
      <c r="S579" s="79"/>
      <c r="T579" s="79"/>
      <c r="Y579" s="79"/>
      <c r="AE579" s="130"/>
      <c r="AG579" s="106"/>
    </row>
    <row r="580">
      <c r="C580" s="79"/>
      <c r="D580" s="79"/>
      <c r="E580" s="79"/>
      <c r="O580" s="79"/>
      <c r="S580" s="79"/>
      <c r="T580" s="79"/>
      <c r="Y580" s="79"/>
      <c r="AE580" s="130"/>
      <c r="AG580" s="106"/>
    </row>
    <row r="581">
      <c r="C581" s="79"/>
      <c r="D581" s="79"/>
      <c r="E581" s="79"/>
      <c r="O581" s="79"/>
      <c r="S581" s="79"/>
      <c r="T581" s="79"/>
      <c r="Y581" s="79"/>
      <c r="AE581" s="130"/>
      <c r="AG581" s="106"/>
    </row>
    <row r="582">
      <c r="C582" s="79"/>
      <c r="D582" s="79"/>
      <c r="E582" s="79"/>
      <c r="O582" s="79"/>
      <c r="S582" s="79"/>
      <c r="T582" s="79"/>
      <c r="Y582" s="79"/>
      <c r="AE582" s="130"/>
      <c r="AG582" s="106"/>
    </row>
    <row r="583">
      <c r="C583" s="79"/>
      <c r="D583" s="79"/>
      <c r="E583" s="79"/>
      <c r="O583" s="79"/>
      <c r="S583" s="79"/>
      <c r="T583" s="79"/>
      <c r="Y583" s="79"/>
      <c r="AE583" s="130"/>
      <c r="AG583" s="106"/>
    </row>
    <row r="584">
      <c r="C584" s="79"/>
      <c r="D584" s="79"/>
      <c r="E584" s="79"/>
      <c r="O584" s="79"/>
      <c r="S584" s="79"/>
      <c r="T584" s="79"/>
      <c r="Y584" s="79"/>
      <c r="AE584" s="130"/>
      <c r="AG584" s="106"/>
    </row>
    <row r="585">
      <c r="C585" s="79"/>
      <c r="D585" s="79"/>
      <c r="E585" s="79"/>
      <c r="O585" s="79"/>
      <c r="S585" s="79"/>
      <c r="T585" s="79"/>
      <c r="Y585" s="79"/>
      <c r="AE585" s="130"/>
      <c r="AG585" s="106"/>
    </row>
    <row r="586">
      <c r="C586" s="79"/>
      <c r="D586" s="79"/>
      <c r="E586" s="79"/>
      <c r="O586" s="79"/>
      <c r="S586" s="79"/>
      <c r="T586" s="79"/>
      <c r="Y586" s="79"/>
      <c r="AE586" s="130"/>
      <c r="AG586" s="106"/>
    </row>
    <row r="587">
      <c r="C587" s="79"/>
      <c r="D587" s="79"/>
      <c r="E587" s="79"/>
      <c r="O587" s="79"/>
      <c r="S587" s="79"/>
      <c r="T587" s="79"/>
      <c r="Y587" s="79"/>
      <c r="AE587" s="130"/>
      <c r="AG587" s="106"/>
    </row>
    <row r="588">
      <c r="C588" s="79"/>
      <c r="D588" s="79"/>
      <c r="E588" s="79"/>
      <c r="O588" s="79"/>
      <c r="S588" s="79"/>
      <c r="T588" s="79"/>
      <c r="Y588" s="79"/>
      <c r="AE588" s="130"/>
      <c r="AG588" s="106"/>
    </row>
    <row r="589">
      <c r="C589" s="79"/>
      <c r="D589" s="79"/>
      <c r="E589" s="79"/>
      <c r="O589" s="79"/>
      <c r="S589" s="79"/>
      <c r="T589" s="79"/>
      <c r="Y589" s="79"/>
      <c r="AE589" s="130"/>
      <c r="AG589" s="106"/>
    </row>
    <row r="590">
      <c r="C590" s="79"/>
      <c r="D590" s="79"/>
      <c r="E590" s="79"/>
      <c r="O590" s="79"/>
      <c r="S590" s="79"/>
      <c r="T590" s="79"/>
      <c r="Y590" s="79"/>
      <c r="AE590" s="130"/>
      <c r="AG590" s="106"/>
    </row>
    <row r="591">
      <c r="C591" s="79"/>
      <c r="D591" s="79"/>
      <c r="E591" s="79"/>
      <c r="O591" s="79"/>
      <c r="S591" s="79"/>
      <c r="T591" s="79"/>
      <c r="Y591" s="79"/>
      <c r="AE591" s="130"/>
      <c r="AG591" s="106"/>
    </row>
    <row r="592">
      <c r="C592" s="79"/>
      <c r="D592" s="79"/>
      <c r="E592" s="79"/>
      <c r="O592" s="79"/>
      <c r="S592" s="79"/>
      <c r="T592" s="79"/>
      <c r="Y592" s="79"/>
      <c r="AE592" s="130"/>
      <c r="AG592" s="106"/>
    </row>
    <row r="593">
      <c r="C593" s="79"/>
      <c r="D593" s="79"/>
      <c r="E593" s="79"/>
      <c r="O593" s="79"/>
      <c r="S593" s="79"/>
      <c r="T593" s="79"/>
      <c r="Y593" s="79"/>
      <c r="AE593" s="130"/>
      <c r="AG593" s="106"/>
    </row>
    <row r="594">
      <c r="C594" s="79"/>
      <c r="D594" s="79"/>
      <c r="E594" s="79"/>
      <c r="O594" s="79"/>
      <c r="S594" s="79"/>
      <c r="T594" s="79"/>
      <c r="Y594" s="79"/>
      <c r="AE594" s="130"/>
      <c r="AG594" s="106"/>
    </row>
    <row r="595">
      <c r="C595" s="79"/>
      <c r="D595" s="79"/>
      <c r="E595" s="79"/>
      <c r="O595" s="79"/>
      <c r="S595" s="79"/>
      <c r="T595" s="79"/>
      <c r="Y595" s="79"/>
      <c r="AE595" s="130"/>
      <c r="AG595" s="106"/>
    </row>
    <row r="596">
      <c r="C596" s="79"/>
      <c r="D596" s="79"/>
      <c r="E596" s="79"/>
      <c r="O596" s="79"/>
      <c r="S596" s="79"/>
      <c r="T596" s="79"/>
      <c r="Y596" s="79"/>
      <c r="AE596" s="130"/>
      <c r="AG596" s="106"/>
    </row>
    <row r="597">
      <c r="C597" s="79"/>
      <c r="D597" s="79"/>
      <c r="E597" s="79"/>
      <c r="O597" s="79"/>
      <c r="S597" s="79"/>
      <c r="T597" s="79"/>
      <c r="Y597" s="79"/>
      <c r="AE597" s="130"/>
      <c r="AG597" s="106"/>
    </row>
    <row r="598">
      <c r="C598" s="79"/>
      <c r="D598" s="79"/>
      <c r="E598" s="79"/>
      <c r="O598" s="79"/>
      <c r="S598" s="79"/>
      <c r="T598" s="79"/>
      <c r="Y598" s="79"/>
      <c r="AE598" s="130"/>
      <c r="AG598" s="106"/>
    </row>
    <row r="599">
      <c r="C599" s="79"/>
      <c r="D599" s="79"/>
      <c r="E599" s="79"/>
      <c r="O599" s="79"/>
      <c r="S599" s="79"/>
      <c r="T599" s="79"/>
      <c r="Y599" s="79"/>
      <c r="AE599" s="130"/>
      <c r="AG599" s="106"/>
    </row>
    <row r="600">
      <c r="C600" s="79"/>
      <c r="D600" s="79"/>
      <c r="E600" s="79"/>
      <c r="O600" s="79"/>
      <c r="S600" s="79"/>
      <c r="T600" s="79"/>
      <c r="Y600" s="79"/>
      <c r="AE600" s="130"/>
      <c r="AG600" s="106"/>
    </row>
    <row r="601">
      <c r="C601" s="79"/>
      <c r="D601" s="79"/>
      <c r="E601" s="79"/>
      <c r="O601" s="79"/>
      <c r="S601" s="79"/>
      <c r="T601" s="79"/>
      <c r="Y601" s="79"/>
      <c r="AE601" s="130"/>
      <c r="AG601" s="106"/>
    </row>
    <row r="602">
      <c r="C602" s="79"/>
      <c r="D602" s="79"/>
      <c r="E602" s="79"/>
      <c r="O602" s="79"/>
      <c r="S602" s="79"/>
      <c r="T602" s="79"/>
      <c r="Y602" s="79"/>
      <c r="AE602" s="130"/>
      <c r="AG602" s="106"/>
    </row>
    <row r="603">
      <c r="C603" s="79"/>
      <c r="D603" s="79"/>
      <c r="E603" s="79"/>
      <c r="O603" s="79"/>
      <c r="S603" s="79"/>
      <c r="T603" s="79"/>
      <c r="Y603" s="79"/>
      <c r="AE603" s="130"/>
      <c r="AG603" s="106"/>
    </row>
    <row r="604">
      <c r="C604" s="79"/>
      <c r="D604" s="79"/>
      <c r="E604" s="79"/>
      <c r="O604" s="79"/>
      <c r="S604" s="79"/>
      <c r="T604" s="79"/>
      <c r="Y604" s="79"/>
      <c r="AE604" s="130"/>
      <c r="AG604" s="106"/>
    </row>
    <row r="605">
      <c r="C605" s="79"/>
      <c r="D605" s="79"/>
      <c r="E605" s="79"/>
      <c r="O605" s="79"/>
      <c r="S605" s="79"/>
      <c r="T605" s="79"/>
      <c r="Y605" s="79"/>
      <c r="AE605" s="130"/>
      <c r="AG605" s="106"/>
    </row>
    <row r="606">
      <c r="C606" s="79"/>
      <c r="D606" s="79"/>
      <c r="E606" s="79"/>
      <c r="O606" s="79"/>
      <c r="S606" s="79"/>
      <c r="T606" s="79"/>
      <c r="Y606" s="79"/>
      <c r="AE606" s="130"/>
      <c r="AG606" s="106"/>
    </row>
    <row r="607">
      <c r="C607" s="79"/>
      <c r="D607" s="79"/>
      <c r="E607" s="79"/>
      <c r="O607" s="79"/>
      <c r="S607" s="79"/>
      <c r="T607" s="79"/>
      <c r="Y607" s="79"/>
      <c r="AE607" s="130"/>
      <c r="AG607" s="106"/>
    </row>
    <row r="608">
      <c r="C608" s="79"/>
      <c r="D608" s="79"/>
      <c r="E608" s="79"/>
      <c r="O608" s="79"/>
      <c r="S608" s="79"/>
      <c r="T608" s="79"/>
      <c r="Y608" s="79"/>
      <c r="AE608" s="130"/>
      <c r="AG608" s="106"/>
    </row>
    <row r="609">
      <c r="C609" s="79"/>
      <c r="D609" s="79"/>
      <c r="E609" s="79"/>
      <c r="O609" s="79"/>
      <c r="S609" s="79"/>
      <c r="T609" s="79"/>
      <c r="Y609" s="79"/>
      <c r="AE609" s="130"/>
      <c r="AG609" s="106"/>
    </row>
    <row r="610">
      <c r="C610" s="79"/>
      <c r="D610" s="79"/>
      <c r="E610" s="79"/>
      <c r="O610" s="79"/>
      <c r="S610" s="79"/>
      <c r="T610" s="79"/>
      <c r="Y610" s="79"/>
      <c r="AE610" s="130"/>
      <c r="AG610" s="106"/>
    </row>
    <row r="611">
      <c r="C611" s="79"/>
      <c r="D611" s="79"/>
      <c r="E611" s="79"/>
      <c r="O611" s="79"/>
      <c r="S611" s="79"/>
      <c r="T611" s="79"/>
      <c r="Y611" s="79"/>
      <c r="AE611" s="130"/>
      <c r="AG611" s="106"/>
    </row>
    <row r="612">
      <c r="C612" s="79"/>
      <c r="D612" s="79"/>
      <c r="E612" s="79"/>
      <c r="O612" s="79"/>
      <c r="S612" s="79"/>
      <c r="T612" s="79"/>
      <c r="Y612" s="79"/>
      <c r="AE612" s="130"/>
      <c r="AG612" s="106"/>
    </row>
    <row r="613">
      <c r="C613" s="79"/>
      <c r="D613" s="79"/>
      <c r="E613" s="79"/>
      <c r="O613" s="79"/>
      <c r="S613" s="79"/>
      <c r="T613" s="79"/>
      <c r="Y613" s="79"/>
      <c r="AE613" s="130"/>
      <c r="AG613" s="106"/>
    </row>
    <row r="614">
      <c r="C614" s="79"/>
      <c r="D614" s="79"/>
      <c r="E614" s="79"/>
      <c r="O614" s="79"/>
      <c r="S614" s="79"/>
      <c r="T614" s="79"/>
      <c r="Y614" s="79"/>
      <c r="AE614" s="130"/>
      <c r="AG614" s="106"/>
    </row>
    <row r="615">
      <c r="C615" s="79"/>
      <c r="D615" s="79"/>
      <c r="E615" s="79"/>
      <c r="O615" s="79"/>
      <c r="S615" s="79"/>
      <c r="T615" s="79"/>
      <c r="Y615" s="79"/>
      <c r="AE615" s="130"/>
      <c r="AG615" s="106"/>
    </row>
    <row r="616">
      <c r="C616" s="79"/>
      <c r="D616" s="79"/>
      <c r="E616" s="79"/>
      <c r="O616" s="79"/>
      <c r="S616" s="79"/>
      <c r="T616" s="79"/>
      <c r="Y616" s="79"/>
      <c r="AE616" s="130"/>
      <c r="AG616" s="106"/>
    </row>
    <row r="617">
      <c r="C617" s="79"/>
      <c r="D617" s="79"/>
      <c r="E617" s="79"/>
      <c r="O617" s="79"/>
      <c r="S617" s="79"/>
      <c r="T617" s="79"/>
      <c r="Y617" s="79"/>
      <c r="AE617" s="130"/>
      <c r="AG617" s="106"/>
    </row>
    <row r="618">
      <c r="C618" s="79"/>
      <c r="D618" s="79"/>
      <c r="E618" s="79"/>
      <c r="O618" s="79"/>
      <c r="S618" s="79"/>
      <c r="T618" s="79"/>
      <c r="Y618" s="79"/>
      <c r="AE618" s="130"/>
      <c r="AG618" s="106"/>
    </row>
    <row r="619">
      <c r="C619" s="79"/>
      <c r="D619" s="79"/>
      <c r="E619" s="79"/>
      <c r="O619" s="79"/>
      <c r="S619" s="79"/>
      <c r="T619" s="79"/>
      <c r="Y619" s="79"/>
      <c r="AE619" s="130"/>
      <c r="AG619" s="106"/>
    </row>
    <row r="620">
      <c r="C620" s="79"/>
      <c r="D620" s="79"/>
      <c r="E620" s="79"/>
      <c r="O620" s="79"/>
      <c r="S620" s="79"/>
      <c r="T620" s="79"/>
      <c r="Y620" s="79"/>
      <c r="AE620" s="130"/>
      <c r="AG620" s="106"/>
    </row>
    <row r="621">
      <c r="C621" s="79"/>
      <c r="D621" s="79"/>
      <c r="E621" s="79"/>
      <c r="O621" s="79"/>
      <c r="S621" s="79"/>
      <c r="T621" s="79"/>
      <c r="Y621" s="79"/>
      <c r="AE621" s="130"/>
      <c r="AG621" s="106"/>
    </row>
    <row r="622">
      <c r="C622" s="79"/>
      <c r="D622" s="79"/>
      <c r="E622" s="79"/>
      <c r="O622" s="79"/>
      <c r="S622" s="79"/>
      <c r="T622" s="79"/>
      <c r="Y622" s="79"/>
      <c r="AE622" s="130"/>
      <c r="AG622" s="106"/>
    </row>
    <row r="623">
      <c r="C623" s="79"/>
      <c r="D623" s="79"/>
      <c r="E623" s="79"/>
      <c r="O623" s="79"/>
      <c r="S623" s="79"/>
      <c r="T623" s="79"/>
      <c r="Y623" s="79"/>
      <c r="AE623" s="130"/>
      <c r="AG623" s="106"/>
    </row>
    <row r="624">
      <c r="C624" s="79"/>
      <c r="D624" s="79"/>
      <c r="E624" s="79"/>
      <c r="O624" s="79"/>
      <c r="S624" s="79"/>
      <c r="T624" s="79"/>
      <c r="Y624" s="79"/>
      <c r="AE624" s="130"/>
      <c r="AG624" s="106"/>
    </row>
    <row r="625">
      <c r="C625" s="79"/>
      <c r="D625" s="79"/>
      <c r="E625" s="79"/>
      <c r="O625" s="79"/>
      <c r="S625" s="79"/>
      <c r="T625" s="79"/>
      <c r="Y625" s="79"/>
      <c r="AE625" s="130"/>
      <c r="AG625" s="106"/>
    </row>
    <row r="626">
      <c r="C626" s="79"/>
      <c r="D626" s="79"/>
      <c r="E626" s="79"/>
      <c r="O626" s="79"/>
      <c r="S626" s="79"/>
      <c r="T626" s="79"/>
      <c r="Y626" s="79"/>
      <c r="AE626" s="130"/>
      <c r="AG626" s="106"/>
    </row>
    <row r="627">
      <c r="C627" s="79"/>
      <c r="D627" s="79"/>
      <c r="E627" s="79"/>
      <c r="O627" s="79"/>
      <c r="S627" s="79"/>
      <c r="T627" s="79"/>
      <c r="Y627" s="79"/>
      <c r="AE627" s="130"/>
      <c r="AG627" s="106"/>
    </row>
    <row r="628">
      <c r="C628" s="79"/>
      <c r="D628" s="79"/>
      <c r="E628" s="79"/>
      <c r="O628" s="79"/>
      <c r="S628" s="79"/>
      <c r="T628" s="79"/>
      <c r="Y628" s="79"/>
      <c r="AE628" s="130"/>
      <c r="AG628" s="106"/>
    </row>
    <row r="629">
      <c r="C629" s="79"/>
      <c r="D629" s="79"/>
      <c r="E629" s="79"/>
      <c r="O629" s="79"/>
      <c r="S629" s="79"/>
      <c r="T629" s="79"/>
      <c r="Y629" s="79"/>
      <c r="AE629" s="130"/>
      <c r="AG629" s="106"/>
    </row>
    <row r="630">
      <c r="C630" s="79"/>
      <c r="D630" s="79"/>
      <c r="E630" s="79"/>
      <c r="O630" s="79"/>
      <c r="S630" s="79"/>
      <c r="T630" s="79"/>
      <c r="Y630" s="79"/>
      <c r="AE630" s="130"/>
      <c r="AG630" s="106"/>
    </row>
    <row r="631">
      <c r="C631" s="79"/>
      <c r="D631" s="79"/>
      <c r="E631" s="79"/>
      <c r="O631" s="79"/>
      <c r="S631" s="79"/>
      <c r="T631" s="79"/>
      <c r="Y631" s="79"/>
      <c r="AE631" s="130"/>
      <c r="AG631" s="106"/>
    </row>
    <row r="632">
      <c r="C632" s="79"/>
      <c r="D632" s="79"/>
      <c r="E632" s="79"/>
      <c r="O632" s="79"/>
      <c r="S632" s="79"/>
      <c r="T632" s="79"/>
      <c r="Y632" s="79"/>
      <c r="AE632" s="130"/>
      <c r="AG632" s="106"/>
    </row>
    <row r="633">
      <c r="C633" s="79"/>
      <c r="D633" s="79"/>
      <c r="E633" s="79"/>
      <c r="O633" s="79"/>
      <c r="S633" s="79"/>
      <c r="T633" s="79"/>
      <c r="Y633" s="79"/>
      <c r="AE633" s="130"/>
      <c r="AG633" s="106"/>
    </row>
    <row r="634">
      <c r="C634" s="79"/>
      <c r="D634" s="79"/>
      <c r="E634" s="79"/>
      <c r="O634" s="79"/>
      <c r="S634" s="79"/>
      <c r="T634" s="79"/>
      <c r="Y634" s="79"/>
      <c r="AE634" s="130"/>
      <c r="AG634" s="106"/>
    </row>
    <row r="635">
      <c r="C635" s="79"/>
      <c r="D635" s="79"/>
      <c r="E635" s="79"/>
      <c r="O635" s="79"/>
      <c r="S635" s="79"/>
      <c r="T635" s="79"/>
      <c r="Y635" s="79"/>
      <c r="AE635" s="130"/>
      <c r="AG635" s="106"/>
    </row>
    <row r="636">
      <c r="C636" s="79"/>
      <c r="D636" s="79"/>
      <c r="E636" s="79"/>
      <c r="O636" s="79"/>
      <c r="S636" s="79"/>
      <c r="T636" s="79"/>
      <c r="Y636" s="79"/>
      <c r="AE636" s="130"/>
      <c r="AG636" s="106"/>
    </row>
    <row r="637">
      <c r="C637" s="79"/>
      <c r="D637" s="79"/>
      <c r="E637" s="79"/>
      <c r="O637" s="79"/>
      <c r="S637" s="79"/>
      <c r="T637" s="79"/>
      <c r="Y637" s="79"/>
      <c r="AE637" s="130"/>
      <c r="AG637" s="106"/>
    </row>
    <row r="638">
      <c r="C638" s="79"/>
      <c r="D638" s="79"/>
      <c r="E638" s="79"/>
      <c r="O638" s="79"/>
      <c r="S638" s="79"/>
      <c r="T638" s="79"/>
      <c r="Y638" s="79"/>
      <c r="AE638" s="130"/>
      <c r="AG638" s="106"/>
    </row>
    <row r="639">
      <c r="C639" s="79"/>
      <c r="D639" s="79"/>
      <c r="E639" s="79"/>
      <c r="O639" s="79"/>
      <c r="S639" s="79"/>
      <c r="T639" s="79"/>
      <c r="Y639" s="79"/>
      <c r="AE639" s="130"/>
      <c r="AG639" s="106"/>
    </row>
    <row r="640">
      <c r="C640" s="79"/>
      <c r="D640" s="79"/>
      <c r="E640" s="79"/>
      <c r="O640" s="79"/>
      <c r="S640" s="79"/>
      <c r="T640" s="79"/>
      <c r="Y640" s="79"/>
      <c r="AE640" s="130"/>
      <c r="AG640" s="106"/>
    </row>
    <row r="641">
      <c r="C641" s="79"/>
      <c r="D641" s="79"/>
      <c r="E641" s="79"/>
      <c r="O641" s="79"/>
      <c r="S641" s="79"/>
      <c r="T641" s="79"/>
      <c r="Y641" s="79"/>
      <c r="AE641" s="130"/>
      <c r="AG641" s="106"/>
    </row>
    <row r="642">
      <c r="C642" s="79"/>
      <c r="D642" s="79"/>
      <c r="E642" s="79"/>
      <c r="O642" s="79"/>
      <c r="S642" s="79"/>
      <c r="T642" s="79"/>
      <c r="Y642" s="79"/>
      <c r="AE642" s="130"/>
      <c r="AG642" s="106"/>
    </row>
    <row r="643">
      <c r="C643" s="79"/>
      <c r="D643" s="79"/>
      <c r="E643" s="79"/>
      <c r="O643" s="79"/>
      <c r="S643" s="79"/>
      <c r="T643" s="79"/>
      <c r="Y643" s="79"/>
      <c r="AE643" s="130"/>
      <c r="AG643" s="106"/>
    </row>
    <row r="644">
      <c r="C644" s="79"/>
      <c r="D644" s="79"/>
      <c r="E644" s="79"/>
      <c r="O644" s="79"/>
      <c r="S644" s="79"/>
      <c r="T644" s="79"/>
      <c r="Y644" s="79"/>
      <c r="AE644" s="130"/>
      <c r="AG644" s="106"/>
    </row>
    <row r="645">
      <c r="C645" s="79"/>
      <c r="D645" s="79"/>
      <c r="E645" s="79"/>
      <c r="O645" s="79"/>
      <c r="S645" s="79"/>
      <c r="T645" s="79"/>
      <c r="Y645" s="79"/>
      <c r="AE645" s="130"/>
      <c r="AG645" s="106"/>
    </row>
    <row r="646">
      <c r="C646" s="79"/>
      <c r="D646" s="79"/>
      <c r="E646" s="79"/>
      <c r="O646" s="79"/>
      <c r="S646" s="79"/>
      <c r="T646" s="79"/>
      <c r="Y646" s="79"/>
      <c r="AE646" s="130"/>
      <c r="AG646" s="106"/>
    </row>
    <row r="647">
      <c r="C647" s="79"/>
      <c r="D647" s="79"/>
      <c r="E647" s="79"/>
      <c r="O647" s="79"/>
      <c r="S647" s="79"/>
      <c r="T647" s="79"/>
      <c r="Y647" s="79"/>
      <c r="AE647" s="130"/>
      <c r="AG647" s="106"/>
    </row>
    <row r="648">
      <c r="C648" s="79"/>
      <c r="D648" s="79"/>
      <c r="E648" s="79"/>
      <c r="O648" s="79"/>
      <c r="S648" s="79"/>
      <c r="T648" s="79"/>
      <c r="Y648" s="79"/>
      <c r="AE648" s="130"/>
      <c r="AG648" s="106"/>
    </row>
    <row r="649">
      <c r="C649" s="79"/>
      <c r="D649" s="79"/>
      <c r="E649" s="79"/>
      <c r="O649" s="79"/>
      <c r="S649" s="79"/>
      <c r="T649" s="79"/>
      <c r="Y649" s="79"/>
      <c r="AE649" s="130"/>
      <c r="AG649" s="106"/>
    </row>
    <row r="650">
      <c r="C650" s="79"/>
      <c r="D650" s="79"/>
      <c r="E650" s="79"/>
      <c r="O650" s="79"/>
      <c r="S650" s="79"/>
      <c r="T650" s="79"/>
      <c r="Y650" s="79"/>
      <c r="AE650" s="130"/>
      <c r="AG650" s="106"/>
    </row>
    <row r="651">
      <c r="C651" s="79"/>
      <c r="D651" s="79"/>
      <c r="E651" s="79"/>
      <c r="O651" s="79"/>
      <c r="S651" s="79"/>
      <c r="T651" s="79"/>
      <c r="Y651" s="79"/>
      <c r="AE651" s="130"/>
      <c r="AG651" s="106"/>
    </row>
    <row r="652">
      <c r="C652" s="79"/>
      <c r="D652" s="79"/>
      <c r="E652" s="79"/>
      <c r="O652" s="79"/>
      <c r="S652" s="79"/>
      <c r="T652" s="79"/>
      <c r="Y652" s="79"/>
      <c r="AE652" s="130"/>
      <c r="AG652" s="106"/>
    </row>
    <row r="653">
      <c r="C653" s="79"/>
      <c r="D653" s="79"/>
      <c r="E653" s="79"/>
      <c r="O653" s="79"/>
      <c r="S653" s="79"/>
      <c r="T653" s="79"/>
      <c r="Y653" s="79"/>
      <c r="AE653" s="130"/>
      <c r="AG653" s="106"/>
    </row>
    <row r="654">
      <c r="C654" s="79"/>
      <c r="D654" s="79"/>
      <c r="E654" s="79"/>
      <c r="O654" s="79"/>
      <c r="S654" s="79"/>
      <c r="T654" s="79"/>
      <c r="Y654" s="79"/>
      <c r="AE654" s="130"/>
      <c r="AG654" s="106"/>
    </row>
    <row r="655">
      <c r="C655" s="79"/>
      <c r="D655" s="79"/>
      <c r="E655" s="79"/>
      <c r="O655" s="79"/>
      <c r="S655" s="79"/>
      <c r="T655" s="79"/>
      <c r="Y655" s="79"/>
      <c r="AE655" s="130"/>
      <c r="AG655" s="106"/>
    </row>
    <row r="656">
      <c r="C656" s="79"/>
      <c r="D656" s="79"/>
      <c r="E656" s="79"/>
      <c r="O656" s="79"/>
      <c r="S656" s="79"/>
      <c r="T656" s="79"/>
      <c r="Y656" s="79"/>
      <c r="AE656" s="130"/>
      <c r="AG656" s="106"/>
    </row>
    <row r="657">
      <c r="C657" s="79"/>
      <c r="D657" s="79"/>
      <c r="E657" s="79"/>
      <c r="O657" s="79"/>
      <c r="S657" s="79"/>
      <c r="T657" s="79"/>
      <c r="Y657" s="79"/>
      <c r="AE657" s="130"/>
      <c r="AG657" s="106"/>
    </row>
    <row r="658">
      <c r="C658" s="79"/>
      <c r="D658" s="79"/>
      <c r="E658" s="79"/>
      <c r="O658" s="79"/>
      <c r="S658" s="79"/>
      <c r="T658" s="79"/>
      <c r="Y658" s="79"/>
      <c r="AE658" s="130"/>
      <c r="AG658" s="106"/>
    </row>
    <row r="659">
      <c r="C659" s="79"/>
      <c r="D659" s="79"/>
      <c r="E659" s="79"/>
      <c r="O659" s="79"/>
      <c r="S659" s="79"/>
      <c r="T659" s="79"/>
      <c r="Y659" s="79"/>
      <c r="AE659" s="130"/>
      <c r="AG659" s="106"/>
    </row>
    <row r="660">
      <c r="C660" s="79"/>
      <c r="D660" s="79"/>
      <c r="E660" s="79"/>
      <c r="O660" s="79"/>
      <c r="S660" s="79"/>
      <c r="T660" s="79"/>
      <c r="Y660" s="79"/>
      <c r="AE660" s="130"/>
      <c r="AG660" s="106"/>
    </row>
    <row r="661">
      <c r="C661" s="79"/>
      <c r="D661" s="79"/>
      <c r="E661" s="79"/>
      <c r="O661" s="79"/>
      <c r="S661" s="79"/>
      <c r="T661" s="79"/>
      <c r="Y661" s="79"/>
      <c r="AE661" s="130"/>
      <c r="AG661" s="106"/>
    </row>
    <row r="662">
      <c r="C662" s="79"/>
      <c r="D662" s="79"/>
      <c r="E662" s="79"/>
      <c r="O662" s="79"/>
      <c r="S662" s="79"/>
      <c r="T662" s="79"/>
      <c r="Y662" s="79"/>
      <c r="AE662" s="130"/>
      <c r="AG662" s="106"/>
    </row>
    <row r="663">
      <c r="C663" s="79"/>
      <c r="D663" s="79"/>
      <c r="E663" s="79"/>
      <c r="O663" s="79"/>
      <c r="S663" s="79"/>
      <c r="T663" s="79"/>
      <c r="Y663" s="79"/>
      <c r="AE663" s="130"/>
      <c r="AG663" s="106"/>
    </row>
    <row r="664">
      <c r="C664" s="79"/>
      <c r="D664" s="79"/>
      <c r="E664" s="79"/>
      <c r="O664" s="79"/>
      <c r="S664" s="79"/>
      <c r="T664" s="79"/>
      <c r="Y664" s="79"/>
      <c r="AE664" s="130"/>
      <c r="AG664" s="106"/>
    </row>
    <row r="665">
      <c r="C665" s="79"/>
      <c r="D665" s="79"/>
      <c r="E665" s="79"/>
      <c r="O665" s="79"/>
      <c r="S665" s="79"/>
      <c r="T665" s="79"/>
      <c r="Y665" s="79"/>
      <c r="AE665" s="130"/>
      <c r="AG665" s="106"/>
    </row>
    <row r="666">
      <c r="C666" s="79"/>
      <c r="D666" s="79"/>
      <c r="E666" s="79"/>
      <c r="O666" s="79"/>
      <c r="S666" s="79"/>
      <c r="T666" s="79"/>
      <c r="Y666" s="79"/>
      <c r="AE666" s="130"/>
      <c r="AG666" s="106"/>
    </row>
    <row r="667">
      <c r="C667" s="79"/>
      <c r="D667" s="79"/>
      <c r="E667" s="79"/>
      <c r="O667" s="79"/>
      <c r="S667" s="79"/>
      <c r="T667" s="79"/>
      <c r="Y667" s="79"/>
      <c r="AE667" s="130"/>
      <c r="AG667" s="106"/>
    </row>
    <row r="668">
      <c r="C668" s="79"/>
      <c r="D668" s="79"/>
      <c r="E668" s="79"/>
      <c r="O668" s="79"/>
      <c r="S668" s="79"/>
      <c r="T668" s="79"/>
      <c r="Y668" s="79"/>
      <c r="AE668" s="130"/>
      <c r="AG668" s="106"/>
    </row>
    <row r="669">
      <c r="C669" s="79"/>
      <c r="D669" s="79"/>
      <c r="E669" s="79"/>
      <c r="O669" s="79"/>
      <c r="S669" s="79"/>
      <c r="T669" s="79"/>
      <c r="Y669" s="79"/>
      <c r="AE669" s="130"/>
      <c r="AG669" s="106"/>
    </row>
    <row r="670">
      <c r="C670" s="79"/>
      <c r="D670" s="79"/>
      <c r="E670" s="79"/>
      <c r="O670" s="79"/>
      <c r="S670" s="79"/>
      <c r="T670" s="79"/>
      <c r="Y670" s="79"/>
      <c r="AE670" s="130"/>
      <c r="AG670" s="106"/>
    </row>
    <row r="671">
      <c r="C671" s="79"/>
      <c r="D671" s="79"/>
      <c r="E671" s="79"/>
      <c r="O671" s="79"/>
      <c r="S671" s="79"/>
      <c r="T671" s="79"/>
      <c r="Y671" s="79"/>
      <c r="AE671" s="130"/>
      <c r="AG671" s="106"/>
    </row>
    <row r="672">
      <c r="C672" s="79"/>
      <c r="D672" s="79"/>
      <c r="E672" s="79"/>
      <c r="O672" s="79"/>
      <c r="S672" s="79"/>
      <c r="T672" s="79"/>
      <c r="Y672" s="79"/>
      <c r="AE672" s="130"/>
      <c r="AG672" s="106"/>
    </row>
    <row r="673">
      <c r="C673" s="79"/>
      <c r="D673" s="79"/>
      <c r="E673" s="79"/>
      <c r="O673" s="79"/>
      <c r="S673" s="79"/>
      <c r="T673" s="79"/>
      <c r="Y673" s="79"/>
      <c r="AE673" s="130"/>
      <c r="AG673" s="106"/>
    </row>
    <row r="674">
      <c r="C674" s="79"/>
      <c r="D674" s="79"/>
      <c r="E674" s="79"/>
      <c r="O674" s="79"/>
      <c r="S674" s="79"/>
      <c r="T674" s="79"/>
      <c r="Y674" s="79"/>
      <c r="AE674" s="130"/>
      <c r="AG674" s="106"/>
    </row>
    <row r="675">
      <c r="C675" s="79"/>
      <c r="D675" s="79"/>
      <c r="E675" s="79"/>
      <c r="O675" s="79"/>
      <c r="S675" s="79"/>
      <c r="T675" s="79"/>
      <c r="Y675" s="79"/>
      <c r="AE675" s="130"/>
      <c r="AG675" s="106"/>
    </row>
    <row r="676">
      <c r="C676" s="79"/>
      <c r="D676" s="79"/>
      <c r="E676" s="79"/>
      <c r="O676" s="79"/>
      <c r="S676" s="79"/>
      <c r="T676" s="79"/>
      <c r="Y676" s="79"/>
      <c r="AE676" s="130"/>
      <c r="AG676" s="106"/>
    </row>
    <row r="677">
      <c r="C677" s="79"/>
      <c r="D677" s="79"/>
      <c r="E677" s="79"/>
      <c r="O677" s="79"/>
      <c r="S677" s="79"/>
      <c r="T677" s="79"/>
      <c r="Y677" s="79"/>
      <c r="AE677" s="130"/>
      <c r="AG677" s="106"/>
    </row>
    <row r="678">
      <c r="C678" s="79"/>
      <c r="D678" s="79"/>
      <c r="E678" s="79"/>
      <c r="O678" s="79"/>
      <c r="S678" s="79"/>
      <c r="T678" s="79"/>
      <c r="Y678" s="79"/>
      <c r="AE678" s="130"/>
      <c r="AG678" s="106"/>
    </row>
    <row r="679">
      <c r="C679" s="79"/>
      <c r="D679" s="79"/>
      <c r="E679" s="79"/>
      <c r="O679" s="79"/>
      <c r="S679" s="79"/>
      <c r="T679" s="79"/>
      <c r="Y679" s="79"/>
      <c r="AE679" s="130"/>
      <c r="AG679" s="106"/>
    </row>
    <row r="680">
      <c r="C680" s="79"/>
      <c r="D680" s="79"/>
      <c r="E680" s="79"/>
      <c r="O680" s="79"/>
      <c r="S680" s="79"/>
      <c r="T680" s="79"/>
      <c r="Y680" s="79"/>
      <c r="AE680" s="130"/>
      <c r="AG680" s="106"/>
    </row>
    <row r="681">
      <c r="C681" s="79"/>
      <c r="D681" s="79"/>
      <c r="E681" s="79"/>
      <c r="O681" s="79"/>
      <c r="S681" s="79"/>
      <c r="T681" s="79"/>
      <c r="Y681" s="79"/>
      <c r="AE681" s="130"/>
      <c r="AG681" s="106"/>
    </row>
    <row r="682">
      <c r="C682" s="79"/>
      <c r="D682" s="79"/>
      <c r="E682" s="79"/>
      <c r="O682" s="79"/>
      <c r="S682" s="79"/>
      <c r="T682" s="79"/>
      <c r="Y682" s="79"/>
      <c r="AE682" s="130"/>
      <c r="AG682" s="106"/>
    </row>
    <row r="683">
      <c r="C683" s="79"/>
      <c r="D683" s="79"/>
      <c r="E683" s="79"/>
      <c r="O683" s="79"/>
      <c r="S683" s="79"/>
      <c r="T683" s="79"/>
      <c r="Y683" s="79"/>
      <c r="AE683" s="130"/>
      <c r="AG683" s="106"/>
    </row>
    <row r="684">
      <c r="C684" s="79"/>
      <c r="D684" s="79"/>
      <c r="E684" s="79"/>
      <c r="O684" s="79"/>
      <c r="S684" s="79"/>
      <c r="T684" s="79"/>
      <c r="Y684" s="79"/>
      <c r="AE684" s="130"/>
      <c r="AG684" s="106"/>
    </row>
    <row r="685">
      <c r="C685" s="79"/>
      <c r="D685" s="79"/>
      <c r="E685" s="79"/>
      <c r="O685" s="79"/>
      <c r="S685" s="79"/>
      <c r="T685" s="79"/>
      <c r="Y685" s="79"/>
      <c r="AE685" s="130"/>
      <c r="AG685" s="106"/>
    </row>
    <row r="686">
      <c r="C686" s="79"/>
      <c r="D686" s="79"/>
      <c r="E686" s="79"/>
      <c r="O686" s="79"/>
      <c r="S686" s="79"/>
      <c r="T686" s="79"/>
      <c r="Y686" s="79"/>
      <c r="AE686" s="130"/>
      <c r="AG686" s="106"/>
    </row>
    <row r="687">
      <c r="C687" s="79"/>
      <c r="D687" s="79"/>
      <c r="E687" s="79"/>
      <c r="O687" s="79"/>
      <c r="S687" s="79"/>
      <c r="T687" s="79"/>
      <c r="Y687" s="79"/>
      <c r="AE687" s="130"/>
      <c r="AG687" s="106"/>
    </row>
    <row r="688">
      <c r="C688" s="79"/>
      <c r="D688" s="79"/>
      <c r="E688" s="79"/>
      <c r="O688" s="79"/>
      <c r="S688" s="79"/>
      <c r="T688" s="79"/>
      <c r="Y688" s="79"/>
      <c r="AE688" s="130"/>
      <c r="AG688" s="106"/>
    </row>
    <row r="689">
      <c r="C689" s="79"/>
      <c r="D689" s="79"/>
      <c r="E689" s="79"/>
      <c r="O689" s="79"/>
      <c r="S689" s="79"/>
      <c r="T689" s="79"/>
      <c r="Y689" s="79"/>
      <c r="AE689" s="130"/>
      <c r="AG689" s="106"/>
    </row>
    <row r="690">
      <c r="C690" s="79"/>
      <c r="D690" s="79"/>
      <c r="E690" s="79"/>
      <c r="O690" s="79"/>
      <c r="S690" s="79"/>
      <c r="T690" s="79"/>
      <c r="Y690" s="79"/>
      <c r="AE690" s="130"/>
      <c r="AG690" s="106"/>
    </row>
    <row r="691">
      <c r="C691" s="79"/>
      <c r="D691" s="79"/>
      <c r="E691" s="79"/>
      <c r="O691" s="79"/>
      <c r="S691" s="79"/>
      <c r="T691" s="79"/>
      <c r="Y691" s="79"/>
      <c r="AE691" s="130"/>
      <c r="AG691" s="106"/>
    </row>
    <row r="692">
      <c r="C692" s="79"/>
      <c r="D692" s="79"/>
      <c r="E692" s="79"/>
      <c r="O692" s="79"/>
      <c r="S692" s="79"/>
      <c r="T692" s="79"/>
      <c r="Y692" s="79"/>
      <c r="AE692" s="130"/>
      <c r="AG692" s="106"/>
    </row>
    <row r="693">
      <c r="C693" s="79"/>
      <c r="D693" s="79"/>
      <c r="E693" s="79"/>
      <c r="O693" s="79"/>
      <c r="S693" s="79"/>
      <c r="T693" s="79"/>
      <c r="Y693" s="79"/>
      <c r="AE693" s="130"/>
      <c r="AG693" s="106"/>
    </row>
    <row r="694">
      <c r="C694" s="79"/>
      <c r="D694" s="79"/>
      <c r="E694" s="79"/>
      <c r="O694" s="79"/>
      <c r="S694" s="79"/>
      <c r="T694" s="79"/>
      <c r="Y694" s="79"/>
      <c r="AE694" s="130"/>
      <c r="AG694" s="106"/>
    </row>
    <row r="695">
      <c r="C695" s="79"/>
      <c r="D695" s="79"/>
      <c r="E695" s="79"/>
      <c r="O695" s="79"/>
      <c r="S695" s="79"/>
      <c r="T695" s="79"/>
      <c r="Y695" s="79"/>
      <c r="AE695" s="130"/>
      <c r="AG695" s="106"/>
    </row>
    <row r="696">
      <c r="C696" s="79"/>
      <c r="D696" s="79"/>
      <c r="E696" s="79"/>
      <c r="O696" s="79"/>
      <c r="S696" s="79"/>
      <c r="T696" s="79"/>
      <c r="Y696" s="79"/>
      <c r="AE696" s="130"/>
      <c r="AG696" s="106"/>
    </row>
    <row r="697">
      <c r="C697" s="79"/>
      <c r="D697" s="79"/>
      <c r="E697" s="79"/>
      <c r="O697" s="79"/>
      <c r="S697" s="79"/>
      <c r="T697" s="79"/>
      <c r="Y697" s="79"/>
      <c r="AE697" s="130"/>
      <c r="AG697" s="106"/>
    </row>
    <row r="698">
      <c r="C698" s="79"/>
      <c r="D698" s="79"/>
      <c r="E698" s="79"/>
      <c r="O698" s="79"/>
      <c r="S698" s="79"/>
      <c r="T698" s="79"/>
      <c r="Y698" s="79"/>
      <c r="AE698" s="130"/>
      <c r="AG698" s="106"/>
    </row>
    <row r="699">
      <c r="C699" s="79"/>
      <c r="D699" s="79"/>
      <c r="E699" s="79"/>
      <c r="O699" s="79"/>
      <c r="S699" s="79"/>
      <c r="T699" s="79"/>
      <c r="Y699" s="79"/>
      <c r="AE699" s="130"/>
      <c r="AG699" s="106"/>
    </row>
    <row r="700">
      <c r="C700" s="79"/>
      <c r="D700" s="79"/>
      <c r="E700" s="79"/>
      <c r="O700" s="79"/>
      <c r="S700" s="79"/>
      <c r="T700" s="79"/>
      <c r="Y700" s="79"/>
      <c r="AE700" s="130"/>
      <c r="AG700" s="106"/>
    </row>
    <row r="701">
      <c r="C701" s="79"/>
      <c r="D701" s="79"/>
      <c r="E701" s="79"/>
      <c r="O701" s="79"/>
      <c r="S701" s="79"/>
      <c r="T701" s="79"/>
      <c r="Y701" s="79"/>
      <c r="AE701" s="130"/>
      <c r="AG701" s="106"/>
    </row>
    <row r="702">
      <c r="C702" s="79"/>
      <c r="D702" s="79"/>
      <c r="E702" s="79"/>
      <c r="O702" s="79"/>
      <c r="S702" s="79"/>
      <c r="T702" s="79"/>
      <c r="Y702" s="79"/>
      <c r="AE702" s="130"/>
      <c r="AG702" s="106"/>
    </row>
    <row r="703">
      <c r="C703" s="79"/>
      <c r="D703" s="79"/>
      <c r="E703" s="79"/>
      <c r="O703" s="79"/>
      <c r="S703" s="79"/>
      <c r="T703" s="79"/>
      <c r="Y703" s="79"/>
      <c r="AE703" s="130"/>
      <c r="AG703" s="106"/>
    </row>
    <row r="704">
      <c r="C704" s="79"/>
      <c r="D704" s="79"/>
      <c r="E704" s="79"/>
      <c r="O704" s="79"/>
      <c r="S704" s="79"/>
      <c r="T704" s="79"/>
      <c r="Y704" s="79"/>
      <c r="AE704" s="130"/>
      <c r="AG704" s="106"/>
    </row>
    <row r="705">
      <c r="C705" s="79"/>
      <c r="D705" s="79"/>
      <c r="E705" s="79"/>
      <c r="O705" s="79"/>
      <c r="S705" s="79"/>
      <c r="T705" s="79"/>
      <c r="Y705" s="79"/>
      <c r="AE705" s="130"/>
      <c r="AG705" s="106"/>
    </row>
    <row r="706">
      <c r="C706" s="79"/>
      <c r="D706" s="79"/>
      <c r="E706" s="79"/>
      <c r="O706" s="79"/>
      <c r="S706" s="79"/>
      <c r="T706" s="79"/>
      <c r="Y706" s="79"/>
      <c r="AE706" s="130"/>
      <c r="AG706" s="106"/>
    </row>
    <row r="707">
      <c r="C707" s="79"/>
      <c r="D707" s="79"/>
      <c r="E707" s="79"/>
      <c r="O707" s="79"/>
      <c r="S707" s="79"/>
      <c r="T707" s="79"/>
      <c r="Y707" s="79"/>
      <c r="AE707" s="130"/>
      <c r="AG707" s="106"/>
    </row>
    <row r="708">
      <c r="C708" s="79"/>
      <c r="D708" s="79"/>
      <c r="E708" s="79"/>
      <c r="O708" s="79"/>
      <c r="S708" s="79"/>
      <c r="T708" s="79"/>
      <c r="Y708" s="79"/>
      <c r="AE708" s="130"/>
      <c r="AG708" s="106"/>
    </row>
    <row r="709">
      <c r="C709" s="79"/>
      <c r="D709" s="79"/>
      <c r="E709" s="79"/>
      <c r="O709" s="79"/>
      <c r="S709" s="79"/>
      <c r="T709" s="79"/>
      <c r="Y709" s="79"/>
      <c r="AE709" s="130"/>
      <c r="AG709" s="106"/>
    </row>
    <row r="710">
      <c r="C710" s="79"/>
      <c r="D710" s="79"/>
      <c r="E710" s="79"/>
      <c r="O710" s="79"/>
      <c r="S710" s="79"/>
      <c r="T710" s="79"/>
      <c r="Y710" s="79"/>
      <c r="AE710" s="130"/>
      <c r="AG710" s="106"/>
    </row>
    <row r="711">
      <c r="C711" s="79"/>
      <c r="D711" s="79"/>
      <c r="E711" s="79"/>
      <c r="O711" s="79"/>
      <c r="S711" s="79"/>
      <c r="T711" s="79"/>
      <c r="Y711" s="79"/>
      <c r="AE711" s="130"/>
      <c r="AG711" s="106"/>
    </row>
    <row r="712">
      <c r="C712" s="79"/>
      <c r="D712" s="79"/>
      <c r="E712" s="79"/>
      <c r="O712" s="79"/>
      <c r="S712" s="79"/>
      <c r="T712" s="79"/>
      <c r="Y712" s="79"/>
      <c r="AE712" s="130"/>
      <c r="AG712" s="106"/>
    </row>
    <row r="713">
      <c r="C713" s="79"/>
      <c r="D713" s="79"/>
      <c r="E713" s="79"/>
      <c r="O713" s="79"/>
      <c r="S713" s="79"/>
      <c r="T713" s="79"/>
      <c r="Y713" s="79"/>
      <c r="AE713" s="130"/>
      <c r="AG713" s="106"/>
    </row>
    <row r="714">
      <c r="C714" s="79"/>
      <c r="D714" s="79"/>
      <c r="E714" s="79"/>
      <c r="O714" s="79"/>
      <c r="S714" s="79"/>
      <c r="T714" s="79"/>
      <c r="Y714" s="79"/>
      <c r="AE714" s="130"/>
      <c r="AG714" s="106"/>
    </row>
    <row r="715">
      <c r="C715" s="79"/>
      <c r="D715" s="79"/>
      <c r="E715" s="79"/>
      <c r="O715" s="79"/>
      <c r="S715" s="79"/>
      <c r="T715" s="79"/>
      <c r="Y715" s="79"/>
      <c r="AE715" s="130"/>
      <c r="AG715" s="106"/>
    </row>
    <row r="716">
      <c r="C716" s="79"/>
      <c r="D716" s="79"/>
      <c r="E716" s="79"/>
      <c r="O716" s="79"/>
      <c r="S716" s="79"/>
      <c r="T716" s="79"/>
      <c r="Y716" s="79"/>
      <c r="AE716" s="130"/>
      <c r="AG716" s="106"/>
    </row>
    <row r="717">
      <c r="C717" s="79"/>
      <c r="D717" s="79"/>
      <c r="E717" s="79"/>
      <c r="O717" s="79"/>
      <c r="S717" s="79"/>
      <c r="T717" s="79"/>
      <c r="Y717" s="79"/>
      <c r="AE717" s="130"/>
      <c r="AG717" s="106"/>
    </row>
    <row r="718">
      <c r="C718" s="79"/>
      <c r="D718" s="79"/>
      <c r="E718" s="79"/>
      <c r="O718" s="79"/>
      <c r="S718" s="79"/>
      <c r="T718" s="79"/>
      <c r="Y718" s="79"/>
      <c r="AE718" s="130"/>
      <c r="AG718" s="106"/>
    </row>
    <row r="719">
      <c r="C719" s="79"/>
      <c r="D719" s="79"/>
      <c r="E719" s="79"/>
      <c r="O719" s="79"/>
      <c r="S719" s="79"/>
      <c r="T719" s="79"/>
      <c r="Y719" s="79"/>
      <c r="AE719" s="130"/>
      <c r="AG719" s="106"/>
    </row>
    <row r="720">
      <c r="C720" s="79"/>
      <c r="D720" s="79"/>
      <c r="E720" s="79"/>
      <c r="O720" s="79"/>
      <c r="S720" s="79"/>
      <c r="T720" s="79"/>
      <c r="Y720" s="79"/>
      <c r="AE720" s="130"/>
      <c r="AG720" s="106"/>
    </row>
    <row r="721">
      <c r="C721" s="79"/>
      <c r="D721" s="79"/>
      <c r="E721" s="79"/>
      <c r="O721" s="79"/>
      <c r="S721" s="79"/>
      <c r="T721" s="79"/>
      <c r="Y721" s="79"/>
      <c r="AE721" s="130"/>
      <c r="AG721" s="106"/>
    </row>
    <row r="722">
      <c r="C722" s="79"/>
      <c r="D722" s="79"/>
      <c r="E722" s="79"/>
      <c r="O722" s="79"/>
      <c r="S722" s="79"/>
      <c r="T722" s="79"/>
      <c r="Y722" s="79"/>
      <c r="AE722" s="130"/>
      <c r="AG722" s="106"/>
    </row>
    <row r="723">
      <c r="C723" s="79"/>
      <c r="D723" s="79"/>
      <c r="E723" s="79"/>
      <c r="O723" s="79"/>
      <c r="S723" s="79"/>
      <c r="T723" s="79"/>
      <c r="Y723" s="79"/>
      <c r="AE723" s="130"/>
      <c r="AG723" s="106"/>
    </row>
    <row r="724">
      <c r="C724" s="79"/>
      <c r="D724" s="79"/>
      <c r="E724" s="79"/>
      <c r="O724" s="79"/>
      <c r="S724" s="79"/>
      <c r="T724" s="79"/>
      <c r="Y724" s="79"/>
      <c r="AE724" s="130"/>
      <c r="AG724" s="106"/>
    </row>
    <row r="725">
      <c r="C725" s="79"/>
      <c r="D725" s="79"/>
      <c r="E725" s="79"/>
      <c r="O725" s="79"/>
      <c r="S725" s="79"/>
      <c r="T725" s="79"/>
      <c r="Y725" s="79"/>
      <c r="AE725" s="130"/>
      <c r="AG725" s="106"/>
    </row>
    <row r="726">
      <c r="C726" s="79"/>
      <c r="D726" s="79"/>
      <c r="E726" s="79"/>
      <c r="O726" s="79"/>
      <c r="S726" s="79"/>
      <c r="T726" s="79"/>
      <c r="Y726" s="79"/>
      <c r="AE726" s="130"/>
      <c r="AG726" s="106"/>
    </row>
    <row r="727">
      <c r="C727" s="79"/>
      <c r="D727" s="79"/>
      <c r="E727" s="79"/>
      <c r="O727" s="79"/>
      <c r="S727" s="79"/>
      <c r="T727" s="79"/>
      <c r="Y727" s="79"/>
      <c r="AE727" s="130"/>
      <c r="AG727" s="106"/>
    </row>
    <row r="728">
      <c r="C728" s="79"/>
      <c r="D728" s="79"/>
      <c r="E728" s="79"/>
      <c r="O728" s="79"/>
      <c r="S728" s="79"/>
      <c r="T728" s="79"/>
      <c r="Y728" s="79"/>
      <c r="AE728" s="130"/>
      <c r="AG728" s="106"/>
    </row>
    <row r="729">
      <c r="C729" s="79"/>
      <c r="D729" s="79"/>
      <c r="E729" s="79"/>
      <c r="O729" s="79"/>
      <c r="S729" s="79"/>
      <c r="T729" s="79"/>
      <c r="Y729" s="79"/>
      <c r="AE729" s="130"/>
      <c r="AG729" s="106"/>
    </row>
    <row r="730">
      <c r="C730" s="79"/>
      <c r="D730" s="79"/>
      <c r="E730" s="79"/>
      <c r="O730" s="79"/>
      <c r="S730" s="79"/>
      <c r="T730" s="79"/>
      <c r="Y730" s="79"/>
      <c r="AE730" s="130"/>
      <c r="AG730" s="106"/>
    </row>
    <row r="731">
      <c r="C731" s="79"/>
      <c r="D731" s="79"/>
      <c r="E731" s="79"/>
      <c r="O731" s="79"/>
      <c r="S731" s="79"/>
      <c r="T731" s="79"/>
      <c r="Y731" s="79"/>
      <c r="AE731" s="130"/>
      <c r="AG731" s="106"/>
    </row>
    <row r="732">
      <c r="C732" s="79"/>
      <c r="D732" s="79"/>
      <c r="E732" s="79"/>
      <c r="O732" s="79"/>
      <c r="S732" s="79"/>
      <c r="T732" s="79"/>
      <c r="Y732" s="79"/>
      <c r="AE732" s="130"/>
      <c r="AG732" s="106"/>
    </row>
    <row r="733">
      <c r="C733" s="79"/>
      <c r="D733" s="79"/>
      <c r="E733" s="79"/>
      <c r="O733" s="79"/>
      <c r="S733" s="79"/>
      <c r="T733" s="79"/>
      <c r="Y733" s="79"/>
      <c r="AE733" s="130"/>
      <c r="AG733" s="106"/>
    </row>
    <row r="734">
      <c r="C734" s="79"/>
      <c r="D734" s="79"/>
      <c r="E734" s="79"/>
      <c r="O734" s="79"/>
      <c r="S734" s="79"/>
      <c r="T734" s="79"/>
      <c r="Y734" s="79"/>
      <c r="AE734" s="130"/>
      <c r="AG734" s="106"/>
    </row>
    <row r="735">
      <c r="C735" s="79"/>
      <c r="D735" s="79"/>
      <c r="E735" s="79"/>
      <c r="O735" s="79"/>
      <c r="S735" s="79"/>
      <c r="T735" s="79"/>
      <c r="Y735" s="79"/>
      <c r="AE735" s="130"/>
      <c r="AG735" s="106"/>
    </row>
    <row r="736">
      <c r="C736" s="79"/>
      <c r="D736" s="79"/>
      <c r="E736" s="79"/>
      <c r="O736" s="79"/>
      <c r="S736" s="79"/>
      <c r="T736" s="79"/>
      <c r="Y736" s="79"/>
      <c r="AE736" s="130"/>
      <c r="AG736" s="106"/>
    </row>
    <row r="737">
      <c r="C737" s="79"/>
      <c r="D737" s="79"/>
      <c r="E737" s="79"/>
      <c r="O737" s="79"/>
      <c r="S737" s="79"/>
      <c r="T737" s="79"/>
      <c r="Y737" s="79"/>
      <c r="AE737" s="130"/>
      <c r="AG737" s="106"/>
    </row>
    <row r="738">
      <c r="C738" s="79"/>
      <c r="D738" s="79"/>
      <c r="E738" s="79"/>
      <c r="O738" s="79"/>
      <c r="S738" s="79"/>
      <c r="T738" s="79"/>
      <c r="Y738" s="79"/>
      <c r="AE738" s="130"/>
      <c r="AG738" s="106"/>
    </row>
    <row r="739">
      <c r="C739" s="79"/>
      <c r="D739" s="79"/>
      <c r="E739" s="79"/>
      <c r="O739" s="79"/>
      <c r="S739" s="79"/>
      <c r="T739" s="79"/>
      <c r="Y739" s="79"/>
      <c r="AE739" s="130"/>
      <c r="AG739" s="106"/>
    </row>
    <row r="740">
      <c r="C740" s="79"/>
      <c r="D740" s="79"/>
      <c r="E740" s="79"/>
      <c r="O740" s="79"/>
      <c r="S740" s="79"/>
      <c r="T740" s="79"/>
      <c r="Y740" s="79"/>
      <c r="AE740" s="130"/>
      <c r="AG740" s="106"/>
    </row>
    <row r="741">
      <c r="C741" s="79"/>
      <c r="D741" s="79"/>
      <c r="E741" s="79"/>
      <c r="O741" s="79"/>
      <c r="S741" s="79"/>
      <c r="T741" s="79"/>
      <c r="Y741" s="79"/>
      <c r="AE741" s="130"/>
      <c r="AG741" s="106"/>
    </row>
    <row r="742">
      <c r="C742" s="79"/>
      <c r="D742" s="79"/>
      <c r="E742" s="79"/>
      <c r="O742" s="79"/>
      <c r="S742" s="79"/>
      <c r="T742" s="79"/>
      <c r="Y742" s="79"/>
      <c r="AE742" s="130"/>
      <c r="AG742" s="106"/>
    </row>
    <row r="743">
      <c r="C743" s="79"/>
      <c r="D743" s="79"/>
      <c r="E743" s="79"/>
      <c r="O743" s="79"/>
      <c r="S743" s="79"/>
      <c r="T743" s="79"/>
      <c r="Y743" s="79"/>
      <c r="AE743" s="130"/>
      <c r="AG743" s="106"/>
    </row>
    <row r="744">
      <c r="C744" s="79"/>
      <c r="D744" s="79"/>
      <c r="E744" s="79"/>
      <c r="O744" s="79"/>
      <c r="S744" s="79"/>
      <c r="T744" s="79"/>
      <c r="Y744" s="79"/>
      <c r="AE744" s="130"/>
      <c r="AG744" s="106"/>
    </row>
    <row r="745">
      <c r="C745" s="79"/>
      <c r="D745" s="79"/>
      <c r="E745" s="79"/>
      <c r="O745" s="79"/>
      <c r="S745" s="79"/>
      <c r="T745" s="79"/>
      <c r="Y745" s="79"/>
      <c r="AE745" s="130"/>
      <c r="AG745" s="106"/>
    </row>
    <row r="746">
      <c r="C746" s="79"/>
      <c r="D746" s="79"/>
      <c r="E746" s="79"/>
      <c r="O746" s="79"/>
      <c r="S746" s="79"/>
      <c r="T746" s="79"/>
      <c r="Y746" s="79"/>
      <c r="AE746" s="130"/>
      <c r="AG746" s="106"/>
    </row>
    <row r="747">
      <c r="C747" s="79"/>
      <c r="D747" s="79"/>
      <c r="E747" s="79"/>
      <c r="O747" s="79"/>
      <c r="S747" s="79"/>
      <c r="T747" s="79"/>
      <c r="Y747" s="79"/>
      <c r="AE747" s="130"/>
      <c r="AG747" s="106"/>
    </row>
    <row r="748">
      <c r="C748" s="79"/>
      <c r="D748" s="79"/>
      <c r="E748" s="79"/>
      <c r="O748" s="79"/>
      <c r="S748" s="79"/>
      <c r="T748" s="79"/>
      <c r="Y748" s="79"/>
      <c r="AE748" s="130"/>
      <c r="AG748" s="106"/>
    </row>
    <row r="749">
      <c r="C749" s="79"/>
      <c r="D749" s="79"/>
      <c r="E749" s="79"/>
      <c r="O749" s="79"/>
      <c r="S749" s="79"/>
      <c r="T749" s="79"/>
      <c r="Y749" s="79"/>
      <c r="AE749" s="130"/>
      <c r="AG749" s="106"/>
    </row>
    <row r="750">
      <c r="C750" s="79"/>
      <c r="D750" s="79"/>
      <c r="E750" s="79"/>
      <c r="O750" s="79"/>
      <c r="S750" s="79"/>
      <c r="T750" s="79"/>
      <c r="Y750" s="79"/>
      <c r="AE750" s="130"/>
      <c r="AG750" s="106"/>
    </row>
    <row r="751">
      <c r="C751" s="79"/>
      <c r="D751" s="79"/>
      <c r="E751" s="79"/>
      <c r="O751" s="79"/>
      <c r="S751" s="79"/>
      <c r="T751" s="79"/>
      <c r="Y751" s="79"/>
      <c r="AE751" s="130"/>
      <c r="AG751" s="106"/>
    </row>
    <row r="752">
      <c r="C752" s="79"/>
      <c r="D752" s="79"/>
      <c r="E752" s="79"/>
      <c r="O752" s="79"/>
      <c r="S752" s="79"/>
      <c r="T752" s="79"/>
      <c r="Y752" s="79"/>
      <c r="AE752" s="130"/>
      <c r="AG752" s="106"/>
    </row>
    <row r="753">
      <c r="C753" s="79"/>
      <c r="D753" s="79"/>
      <c r="E753" s="79"/>
      <c r="O753" s="79"/>
      <c r="S753" s="79"/>
      <c r="T753" s="79"/>
      <c r="Y753" s="79"/>
      <c r="AE753" s="130"/>
      <c r="AG753" s="106"/>
    </row>
    <row r="754">
      <c r="C754" s="79"/>
      <c r="D754" s="79"/>
      <c r="E754" s="79"/>
      <c r="O754" s="79"/>
      <c r="S754" s="79"/>
      <c r="T754" s="79"/>
      <c r="Y754" s="79"/>
      <c r="AE754" s="130"/>
      <c r="AG754" s="106"/>
    </row>
    <row r="755">
      <c r="C755" s="79"/>
      <c r="D755" s="79"/>
      <c r="E755" s="79"/>
      <c r="O755" s="79"/>
      <c r="S755" s="79"/>
      <c r="T755" s="79"/>
      <c r="Y755" s="79"/>
      <c r="AE755" s="130"/>
      <c r="AG755" s="106"/>
    </row>
    <row r="756">
      <c r="C756" s="79"/>
      <c r="D756" s="79"/>
      <c r="E756" s="79"/>
      <c r="O756" s="79"/>
      <c r="S756" s="79"/>
      <c r="T756" s="79"/>
      <c r="Y756" s="79"/>
      <c r="AE756" s="130"/>
      <c r="AG756" s="106"/>
    </row>
    <row r="757">
      <c r="C757" s="79"/>
      <c r="D757" s="79"/>
      <c r="E757" s="79"/>
      <c r="O757" s="79"/>
      <c r="S757" s="79"/>
      <c r="T757" s="79"/>
      <c r="Y757" s="79"/>
      <c r="AE757" s="130"/>
      <c r="AG757" s="106"/>
    </row>
    <row r="758">
      <c r="C758" s="79"/>
      <c r="D758" s="79"/>
      <c r="E758" s="79"/>
      <c r="O758" s="79"/>
      <c r="S758" s="79"/>
      <c r="T758" s="79"/>
      <c r="Y758" s="79"/>
      <c r="AE758" s="130"/>
      <c r="AG758" s="106"/>
    </row>
    <row r="759">
      <c r="C759" s="79"/>
      <c r="D759" s="79"/>
      <c r="E759" s="79"/>
      <c r="O759" s="79"/>
      <c r="S759" s="79"/>
      <c r="T759" s="79"/>
      <c r="Y759" s="79"/>
      <c r="AE759" s="130"/>
      <c r="AG759" s="106"/>
    </row>
    <row r="760">
      <c r="C760" s="79"/>
      <c r="D760" s="79"/>
      <c r="E760" s="79"/>
      <c r="O760" s="79"/>
      <c r="S760" s="79"/>
      <c r="T760" s="79"/>
      <c r="Y760" s="79"/>
      <c r="AE760" s="130"/>
      <c r="AG760" s="106"/>
    </row>
    <row r="761">
      <c r="C761" s="79"/>
      <c r="D761" s="79"/>
      <c r="E761" s="79"/>
      <c r="O761" s="79"/>
      <c r="S761" s="79"/>
      <c r="T761" s="79"/>
      <c r="Y761" s="79"/>
      <c r="AE761" s="130"/>
      <c r="AG761" s="106"/>
    </row>
    <row r="762">
      <c r="C762" s="79"/>
      <c r="D762" s="79"/>
      <c r="E762" s="79"/>
      <c r="O762" s="79"/>
      <c r="S762" s="79"/>
      <c r="T762" s="79"/>
      <c r="Y762" s="79"/>
      <c r="AE762" s="130"/>
      <c r="AG762" s="106"/>
    </row>
    <row r="763">
      <c r="C763" s="79"/>
      <c r="D763" s="79"/>
      <c r="E763" s="79"/>
      <c r="O763" s="79"/>
      <c r="S763" s="79"/>
      <c r="T763" s="79"/>
      <c r="Y763" s="79"/>
      <c r="AE763" s="130"/>
      <c r="AG763" s="106"/>
    </row>
    <row r="764">
      <c r="C764" s="79"/>
      <c r="D764" s="79"/>
      <c r="E764" s="79"/>
      <c r="O764" s="79"/>
      <c r="S764" s="79"/>
      <c r="T764" s="79"/>
      <c r="Y764" s="79"/>
      <c r="AE764" s="130"/>
      <c r="AG764" s="106"/>
    </row>
    <row r="765">
      <c r="C765" s="79"/>
      <c r="D765" s="79"/>
      <c r="E765" s="79"/>
      <c r="O765" s="79"/>
      <c r="S765" s="79"/>
      <c r="T765" s="79"/>
      <c r="Y765" s="79"/>
      <c r="AE765" s="130"/>
      <c r="AG765" s="106"/>
    </row>
    <row r="766">
      <c r="C766" s="79"/>
      <c r="D766" s="79"/>
      <c r="E766" s="79"/>
      <c r="O766" s="79"/>
      <c r="S766" s="79"/>
      <c r="T766" s="79"/>
      <c r="Y766" s="79"/>
      <c r="AE766" s="130"/>
      <c r="AG766" s="106"/>
    </row>
    <row r="767">
      <c r="C767" s="79"/>
      <c r="D767" s="79"/>
      <c r="E767" s="79"/>
      <c r="O767" s="79"/>
      <c r="S767" s="79"/>
      <c r="T767" s="79"/>
      <c r="Y767" s="79"/>
      <c r="AE767" s="130"/>
      <c r="AG767" s="106"/>
    </row>
    <row r="768">
      <c r="C768" s="79"/>
      <c r="D768" s="79"/>
      <c r="E768" s="79"/>
      <c r="O768" s="79"/>
      <c r="S768" s="79"/>
      <c r="T768" s="79"/>
      <c r="Y768" s="79"/>
      <c r="AE768" s="130"/>
      <c r="AG768" s="106"/>
    </row>
    <row r="769">
      <c r="C769" s="79"/>
      <c r="D769" s="79"/>
      <c r="E769" s="79"/>
      <c r="O769" s="79"/>
      <c r="S769" s="79"/>
      <c r="T769" s="79"/>
      <c r="Y769" s="79"/>
      <c r="AE769" s="130"/>
      <c r="AG769" s="106"/>
    </row>
    <row r="770">
      <c r="C770" s="79"/>
      <c r="D770" s="79"/>
      <c r="E770" s="79"/>
      <c r="O770" s="79"/>
      <c r="S770" s="79"/>
      <c r="T770" s="79"/>
      <c r="Y770" s="79"/>
      <c r="AE770" s="130"/>
      <c r="AG770" s="106"/>
    </row>
    <row r="771">
      <c r="C771" s="79"/>
      <c r="D771" s="79"/>
      <c r="E771" s="79"/>
      <c r="O771" s="79"/>
      <c r="S771" s="79"/>
      <c r="T771" s="79"/>
      <c r="Y771" s="79"/>
      <c r="AE771" s="130"/>
      <c r="AG771" s="106"/>
    </row>
    <row r="772">
      <c r="C772" s="79"/>
      <c r="D772" s="79"/>
      <c r="E772" s="79"/>
      <c r="O772" s="79"/>
      <c r="S772" s="79"/>
      <c r="T772" s="79"/>
      <c r="Y772" s="79"/>
      <c r="AE772" s="130"/>
      <c r="AG772" s="106"/>
    </row>
    <row r="773">
      <c r="C773" s="79"/>
      <c r="D773" s="79"/>
      <c r="E773" s="79"/>
      <c r="O773" s="79"/>
      <c r="S773" s="79"/>
      <c r="T773" s="79"/>
      <c r="Y773" s="79"/>
      <c r="AE773" s="130"/>
      <c r="AG773" s="106"/>
    </row>
    <row r="774">
      <c r="C774" s="79"/>
      <c r="D774" s="79"/>
      <c r="E774" s="79"/>
      <c r="O774" s="79"/>
      <c r="S774" s="79"/>
      <c r="T774" s="79"/>
      <c r="Y774" s="79"/>
      <c r="AE774" s="130"/>
      <c r="AG774" s="106"/>
    </row>
    <row r="775">
      <c r="C775" s="79"/>
      <c r="D775" s="79"/>
      <c r="E775" s="79"/>
      <c r="O775" s="79"/>
      <c r="S775" s="79"/>
      <c r="T775" s="79"/>
      <c r="Y775" s="79"/>
      <c r="AE775" s="130"/>
      <c r="AG775" s="106"/>
    </row>
    <row r="776">
      <c r="C776" s="79"/>
      <c r="D776" s="79"/>
      <c r="E776" s="79"/>
      <c r="O776" s="79"/>
      <c r="S776" s="79"/>
      <c r="T776" s="79"/>
      <c r="Y776" s="79"/>
      <c r="AE776" s="130"/>
      <c r="AG776" s="106"/>
    </row>
    <row r="777">
      <c r="C777" s="79"/>
      <c r="D777" s="79"/>
      <c r="E777" s="79"/>
      <c r="O777" s="79"/>
      <c r="S777" s="79"/>
      <c r="T777" s="79"/>
      <c r="Y777" s="79"/>
      <c r="AE777" s="130"/>
      <c r="AG777" s="106"/>
    </row>
    <row r="778">
      <c r="C778" s="79"/>
      <c r="D778" s="79"/>
      <c r="E778" s="79"/>
      <c r="O778" s="79"/>
      <c r="S778" s="79"/>
      <c r="T778" s="79"/>
      <c r="Y778" s="79"/>
      <c r="AE778" s="130"/>
      <c r="AG778" s="106"/>
    </row>
    <row r="779">
      <c r="C779" s="79"/>
      <c r="D779" s="79"/>
      <c r="E779" s="79"/>
      <c r="O779" s="79"/>
      <c r="S779" s="79"/>
      <c r="T779" s="79"/>
      <c r="Y779" s="79"/>
      <c r="AE779" s="130"/>
      <c r="AG779" s="106"/>
    </row>
    <row r="780">
      <c r="C780" s="79"/>
      <c r="D780" s="79"/>
      <c r="E780" s="79"/>
      <c r="O780" s="79"/>
      <c r="S780" s="79"/>
      <c r="T780" s="79"/>
      <c r="Y780" s="79"/>
      <c r="AE780" s="130"/>
      <c r="AG780" s="106"/>
    </row>
    <row r="781">
      <c r="C781" s="79"/>
      <c r="D781" s="79"/>
      <c r="E781" s="79"/>
      <c r="O781" s="79"/>
      <c r="S781" s="79"/>
      <c r="T781" s="79"/>
      <c r="Y781" s="79"/>
      <c r="AE781" s="130"/>
      <c r="AG781" s="106"/>
    </row>
    <row r="782">
      <c r="C782" s="79"/>
      <c r="D782" s="79"/>
      <c r="E782" s="79"/>
      <c r="O782" s="79"/>
      <c r="S782" s="79"/>
      <c r="T782" s="79"/>
      <c r="Y782" s="79"/>
      <c r="AE782" s="130"/>
      <c r="AG782" s="106"/>
    </row>
    <row r="783">
      <c r="C783" s="79"/>
      <c r="D783" s="79"/>
      <c r="E783" s="79"/>
      <c r="O783" s="79"/>
      <c r="S783" s="79"/>
      <c r="T783" s="79"/>
      <c r="Y783" s="79"/>
      <c r="AE783" s="130"/>
      <c r="AG783" s="106"/>
    </row>
    <row r="784">
      <c r="C784" s="79"/>
      <c r="D784" s="79"/>
      <c r="E784" s="79"/>
      <c r="O784" s="79"/>
      <c r="S784" s="79"/>
      <c r="T784" s="79"/>
      <c r="Y784" s="79"/>
      <c r="AE784" s="130"/>
      <c r="AG784" s="106"/>
    </row>
    <row r="785">
      <c r="C785" s="79"/>
      <c r="D785" s="79"/>
      <c r="E785" s="79"/>
      <c r="O785" s="79"/>
      <c r="S785" s="79"/>
      <c r="T785" s="79"/>
      <c r="Y785" s="79"/>
      <c r="AE785" s="130"/>
      <c r="AG785" s="106"/>
    </row>
    <row r="786">
      <c r="C786" s="79"/>
      <c r="D786" s="79"/>
      <c r="E786" s="79"/>
      <c r="O786" s="79"/>
      <c r="S786" s="79"/>
      <c r="T786" s="79"/>
      <c r="Y786" s="79"/>
      <c r="AE786" s="130"/>
      <c r="AG786" s="106"/>
    </row>
    <row r="787">
      <c r="C787" s="79"/>
      <c r="D787" s="79"/>
      <c r="E787" s="79"/>
      <c r="O787" s="79"/>
      <c r="S787" s="79"/>
      <c r="T787" s="79"/>
      <c r="Y787" s="79"/>
      <c r="AE787" s="130"/>
      <c r="AG787" s="106"/>
    </row>
    <row r="788">
      <c r="C788" s="79"/>
      <c r="D788" s="79"/>
      <c r="E788" s="79"/>
      <c r="O788" s="79"/>
      <c r="S788" s="79"/>
      <c r="T788" s="79"/>
      <c r="Y788" s="79"/>
      <c r="AE788" s="130"/>
      <c r="AG788" s="106"/>
    </row>
    <row r="789">
      <c r="C789" s="79"/>
      <c r="D789" s="79"/>
      <c r="E789" s="79"/>
      <c r="O789" s="79"/>
      <c r="S789" s="79"/>
      <c r="T789" s="79"/>
      <c r="Y789" s="79"/>
      <c r="AE789" s="130"/>
      <c r="AG789" s="106"/>
    </row>
    <row r="790">
      <c r="C790" s="79"/>
      <c r="D790" s="79"/>
      <c r="E790" s="79"/>
      <c r="O790" s="79"/>
      <c r="S790" s="79"/>
      <c r="T790" s="79"/>
      <c r="Y790" s="79"/>
      <c r="AE790" s="130"/>
      <c r="AG790" s="106"/>
    </row>
    <row r="791">
      <c r="C791" s="79"/>
      <c r="D791" s="79"/>
      <c r="E791" s="79"/>
      <c r="O791" s="79"/>
      <c r="S791" s="79"/>
      <c r="T791" s="79"/>
      <c r="Y791" s="79"/>
      <c r="AE791" s="130"/>
      <c r="AG791" s="106"/>
    </row>
    <row r="792">
      <c r="C792" s="79"/>
      <c r="D792" s="79"/>
      <c r="E792" s="79"/>
      <c r="O792" s="79"/>
      <c r="S792" s="79"/>
      <c r="T792" s="79"/>
      <c r="Y792" s="79"/>
      <c r="AE792" s="130"/>
      <c r="AG792" s="106"/>
    </row>
    <row r="793">
      <c r="C793" s="79"/>
      <c r="D793" s="79"/>
      <c r="E793" s="79"/>
      <c r="O793" s="79"/>
      <c r="S793" s="79"/>
      <c r="T793" s="79"/>
      <c r="Y793" s="79"/>
      <c r="AE793" s="130"/>
      <c r="AG793" s="106"/>
    </row>
    <row r="794">
      <c r="C794" s="79"/>
      <c r="D794" s="79"/>
      <c r="E794" s="79"/>
      <c r="O794" s="79"/>
      <c r="S794" s="79"/>
      <c r="T794" s="79"/>
      <c r="Y794" s="79"/>
      <c r="AE794" s="130"/>
      <c r="AG794" s="106"/>
    </row>
    <row r="795">
      <c r="C795" s="79"/>
      <c r="D795" s="79"/>
      <c r="E795" s="79"/>
      <c r="O795" s="79"/>
      <c r="S795" s="79"/>
      <c r="T795" s="79"/>
      <c r="Y795" s="79"/>
      <c r="AE795" s="130"/>
      <c r="AG795" s="106"/>
    </row>
    <row r="796">
      <c r="C796" s="79"/>
      <c r="D796" s="79"/>
      <c r="E796" s="79"/>
      <c r="O796" s="79"/>
      <c r="S796" s="79"/>
      <c r="T796" s="79"/>
      <c r="Y796" s="79"/>
      <c r="AE796" s="130"/>
      <c r="AG796" s="106"/>
    </row>
    <row r="797">
      <c r="C797" s="79"/>
      <c r="D797" s="79"/>
      <c r="E797" s="79"/>
      <c r="O797" s="79"/>
      <c r="S797" s="79"/>
      <c r="T797" s="79"/>
      <c r="Y797" s="79"/>
      <c r="AE797" s="130"/>
      <c r="AG797" s="106"/>
    </row>
    <row r="798">
      <c r="C798" s="79"/>
      <c r="D798" s="79"/>
      <c r="E798" s="79"/>
      <c r="O798" s="79"/>
      <c r="S798" s="79"/>
      <c r="T798" s="79"/>
      <c r="Y798" s="79"/>
      <c r="AE798" s="130"/>
      <c r="AG798" s="106"/>
    </row>
    <row r="799">
      <c r="C799" s="79"/>
      <c r="D799" s="79"/>
      <c r="E799" s="79"/>
      <c r="O799" s="79"/>
      <c r="S799" s="79"/>
      <c r="T799" s="79"/>
      <c r="Y799" s="79"/>
      <c r="AE799" s="130"/>
      <c r="AG799" s="106"/>
    </row>
    <row r="800">
      <c r="C800" s="79"/>
      <c r="D800" s="79"/>
      <c r="E800" s="79"/>
      <c r="O800" s="79"/>
      <c r="S800" s="79"/>
      <c r="T800" s="79"/>
      <c r="Y800" s="79"/>
      <c r="AE800" s="130"/>
      <c r="AG800" s="106"/>
    </row>
    <row r="801">
      <c r="C801" s="79"/>
      <c r="D801" s="79"/>
      <c r="E801" s="79"/>
      <c r="O801" s="79"/>
      <c r="S801" s="79"/>
      <c r="T801" s="79"/>
      <c r="Y801" s="79"/>
      <c r="AE801" s="130"/>
      <c r="AG801" s="106"/>
    </row>
    <row r="802">
      <c r="C802" s="79"/>
      <c r="D802" s="79"/>
      <c r="E802" s="79"/>
      <c r="O802" s="79"/>
      <c r="S802" s="79"/>
      <c r="T802" s="79"/>
      <c r="Y802" s="79"/>
      <c r="AE802" s="130"/>
      <c r="AG802" s="106"/>
    </row>
    <row r="803">
      <c r="C803" s="79"/>
      <c r="D803" s="79"/>
      <c r="E803" s="79"/>
      <c r="O803" s="79"/>
      <c r="S803" s="79"/>
      <c r="T803" s="79"/>
      <c r="Y803" s="79"/>
      <c r="AE803" s="130"/>
      <c r="AG803" s="106"/>
    </row>
    <row r="804">
      <c r="C804" s="79"/>
      <c r="D804" s="79"/>
      <c r="E804" s="79"/>
      <c r="O804" s="79"/>
      <c r="S804" s="79"/>
      <c r="T804" s="79"/>
      <c r="Y804" s="79"/>
      <c r="AE804" s="130"/>
      <c r="AG804" s="106"/>
    </row>
    <row r="805">
      <c r="C805" s="79"/>
      <c r="D805" s="79"/>
      <c r="E805" s="79"/>
      <c r="O805" s="79"/>
      <c r="S805" s="79"/>
      <c r="T805" s="79"/>
      <c r="Y805" s="79"/>
      <c r="AE805" s="130"/>
      <c r="AG805" s="106"/>
    </row>
    <row r="806">
      <c r="C806" s="79"/>
      <c r="D806" s="79"/>
      <c r="E806" s="79"/>
      <c r="O806" s="79"/>
      <c r="S806" s="79"/>
      <c r="T806" s="79"/>
      <c r="Y806" s="79"/>
      <c r="AE806" s="130"/>
      <c r="AG806" s="106"/>
    </row>
    <row r="807">
      <c r="C807" s="79"/>
      <c r="D807" s="79"/>
      <c r="E807" s="79"/>
      <c r="O807" s="79"/>
      <c r="S807" s="79"/>
      <c r="T807" s="79"/>
      <c r="Y807" s="79"/>
      <c r="AE807" s="130"/>
      <c r="AG807" s="106"/>
    </row>
    <row r="808">
      <c r="C808" s="79"/>
      <c r="D808" s="79"/>
      <c r="E808" s="79"/>
      <c r="O808" s="79"/>
      <c r="S808" s="79"/>
      <c r="T808" s="79"/>
      <c r="Y808" s="79"/>
      <c r="AE808" s="130"/>
      <c r="AG808" s="106"/>
    </row>
    <row r="809">
      <c r="C809" s="79"/>
      <c r="D809" s="79"/>
      <c r="E809" s="79"/>
      <c r="O809" s="79"/>
      <c r="S809" s="79"/>
      <c r="T809" s="79"/>
      <c r="Y809" s="79"/>
      <c r="AE809" s="130"/>
      <c r="AG809" s="106"/>
    </row>
    <row r="810">
      <c r="C810" s="79"/>
      <c r="D810" s="79"/>
      <c r="E810" s="79"/>
      <c r="O810" s="79"/>
      <c r="S810" s="79"/>
      <c r="T810" s="79"/>
      <c r="Y810" s="79"/>
      <c r="AE810" s="130"/>
      <c r="AG810" s="106"/>
    </row>
    <row r="811">
      <c r="C811" s="79"/>
      <c r="D811" s="79"/>
      <c r="E811" s="79"/>
      <c r="O811" s="79"/>
      <c r="S811" s="79"/>
      <c r="T811" s="79"/>
      <c r="Y811" s="79"/>
      <c r="AE811" s="130"/>
      <c r="AG811" s="106"/>
    </row>
    <row r="812">
      <c r="C812" s="79"/>
      <c r="D812" s="79"/>
      <c r="E812" s="79"/>
      <c r="O812" s="79"/>
      <c r="S812" s="79"/>
      <c r="T812" s="79"/>
      <c r="Y812" s="79"/>
      <c r="AE812" s="130"/>
      <c r="AG812" s="106"/>
    </row>
    <row r="813">
      <c r="C813" s="79"/>
      <c r="D813" s="79"/>
      <c r="E813" s="79"/>
      <c r="O813" s="79"/>
      <c r="S813" s="79"/>
      <c r="T813" s="79"/>
      <c r="Y813" s="79"/>
      <c r="AE813" s="130"/>
      <c r="AG813" s="106"/>
    </row>
    <row r="814">
      <c r="C814" s="79"/>
      <c r="D814" s="79"/>
      <c r="E814" s="79"/>
      <c r="O814" s="79"/>
      <c r="S814" s="79"/>
      <c r="T814" s="79"/>
      <c r="Y814" s="79"/>
      <c r="AE814" s="130"/>
      <c r="AG814" s="106"/>
    </row>
    <row r="815">
      <c r="C815" s="79"/>
      <c r="D815" s="79"/>
      <c r="E815" s="79"/>
      <c r="O815" s="79"/>
      <c r="S815" s="79"/>
      <c r="T815" s="79"/>
      <c r="Y815" s="79"/>
      <c r="AE815" s="130"/>
      <c r="AG815" s="106"/>
    </row>
    <row r="816">
      <c r="C816" s="79"/>
      <c r="D816" s="79"/>
      <c r="E816" s="79"/>
      <c r="O816" s="79"/>
      <c r="S816" s="79"/>
      <c r="T816" s="79"/>
      <c r="Y816" s="79"/>
      <c r="AE816" s="130"/>
      <c r="AG816" s="106"/>
    </row>
    <row r="817">
      <c r="C817" s="79"/>
      <c r="D817" s="79"/>
      <c r="E817" s="79"/>
      <c r="O817" s="79"/>
      <c r="S817" s="79"/>
      <c r="T817" s="79"/>
      <c r="Y817" s="79"/>
      <c r="AE817" s="130"/>
      <c r="AG817" s="106"/>
    </row>
    <row r="818">
      <c r="C818" s="79"/>
      <c r="D818" s="79"/>
      <c r="E818" s="79"/>
      <c r="O818" s="79"/>
      <c r="S818" s="79"/>
      <c r="T818" s="79"/>
      <c r="Y818" s="79"/>
      <c r="AE818" s="130"/>
      <c r="AG818" s="106"/>
    </row>
    <row r="819">
      <c r="C819" s="79"/>
      <c r="D819" s="79"/>
      <c r="E819" s="79"/>
      <c r="O819" s="79"/>
      <c r="S819" s="79"/>
      <c r="T819" s="79"/>
      <c r="Y819" s="79"/>
      <c r="AE819" s="130"/>
      <c r="AG819" s="106"/>
    </row>
    <row r="820">
      <c r="C820" s="79"/>
      <c r="D820" s="79"/>
      <c r="E820" s="79"/>
      <c r="O820" s="79"/>
      <c r="S820" s="79"/>
      <c r="T820" s="79"/>
      <c r="Y820" s="79"/>
      <c r="AE820" s="130"/>
      <c r="AG820" s="106"/>
    </row>
    <row r="821">
      <c r="C821" s="79"/>
      <c r="D821" s="79"/>
      <c r="E821" s="79"/>
      <c r="O821" s="79"/>
      <c r="S821" s="79"/>
      <c r="T821" s="79"/>
      <c r="Y821" s="79"/>
      <c r="AE821" s="130"/>
      <c r="AG821" s="106"/>
    </row>
    <row r="822">
      <c r="C822" s="79"/>
      <c r="D822" s="79"/>
      <c r="E822" s="79"/>
      <c r="O822" s="79"/>
      <c r="S822" s="79"/>
      <c r="T822" s="79"/>
      <c r="Y822" s="79"/>
      <c r="AE822" s="130"/>
      <c r="AG822" s="106"/>
    </row>
    <row r="823">
      <c r="C823" s="79"/>
      <c r="D823" s="79"/>
      <c r="E823" s="79"/>
      <c r="O823" s="79"/>
      <c r="S823" s="79"/>
      <c r="T823" s="79"/>
      <c r="Y823" s="79"/>
      <c r="AE823" s="130"/>
      <c r="AG823" s="106"/>
    </row>
    <row r="824">
      <c r="C824" s="79"/>
      <c r="D824" s="79"/>
      <c r="E824" s="79"/>
      <c r="O824" s="79"/>
      <c r="S824" s="79"/>
      <c r="T824" s="79"/>
      <c r="Y824" s="79"/>
      <c r="AE824" s="130"/>
      <c r="AG824" s="106"/>
    </row>
    <row r="825">
      <c r="C825" s="79"/>
      <c r="D825" s="79"/>
      <c r="E825" s="79"/>
      <c r="O825" s="79"/>
      <c r="S825" s="79"/>
      <c r="T825" s="79"/>
      <c r="Y825" s="79"/>
      <c r="AE825" s="130"/>
      <c r="AG825" s="106"/>
    </row>
    <row r="826">
      <c r="C826" s="79"/>
      <c r="D826" s="79"/>
      <c r="E826" s="79"/>
      <c r="O826" s="79"/>
      <c r="S826" s="79"/>
      <c r="T826" s="79"/>
      <c r="Y826" s="79"/>
      <c r="AE826" s="130"/>
      <c r="AG826" s="106"/>
    </row>
    <row r="827">
      <c r="C827" s="79"/>
      <c r="D827" s="79"/>
      <c r="E827" s="79"/>
      <c r="O827" s="79"/>
      <c r="S827" s="79"/>
      <c r="T827" s="79"/>
      <c r="Y827" s="79"/>
      <c r="AE827" s="130"/>
      <c r="AG827" s="106"/>
    </row>
    <row r="828">
      <c r="C828" s="79"/>
      <c r="D828" s="79"/>
      <c r="E828" s="79"/>
      <c r="O828" s="79"/>
      <c r="S828" s="79"/>
      <c r="T828" s="79"/>
      <c r="Y828" s="79"/>
      <c r="AE828" s="130"/>
      <c r="AG828" s="106"/>
    </row>
    <row r="829">
      <c r="C829" s="79"/>
      <c r="D829" s="79"/>
      <c r="E829" s="79"/>
      <c r="O829" s="79"/>
      <c r="S829" s="79"/>
      <c r="T829" s="79"/>
      <c r="Y829" s="79"/>
      <c r="AE829" s="130"/>
      <c r="AG829" s="106"/>
    </row>
    <row r="830">
      <c r="C830" s="79"/>
      <c r="D830" s="79"/>
      <c r="E830" s="79"/>
      <c r="O830" s="79"/>
      <c r="S830" s="79"/>
      <c r="T830" s="79"/>
      <c r="Y830" s="79"/>
      <c r="AE830" s="130"/>
      <c r="AG830" s="106"/>
    </row>
    <row r="831">
      <c r="C831" s="79"/>
      <c r="D831" s="79"/>
      <c r="E831" s="79"/>
      <c r="O831" s="79"/>
      <c r="S831" s="79"/>
      <c r="T831" s="79"/>
      <c r="Y831" s="79"/>
      <c r="AE831" s="130"/>
      <c r="AG831" s="106"/>
    </row>
    <row r="832">
      <c r="C832" s="79"/>
      <c r="D832" s="79"/>
      <c r="E832" s="79"/>
      <c r="O832" s="79"/>
      <c r="S832" s="79"/>
      <c r="T832" s="79"/>
      <c r="Y832" s="79"/>
      <c r="AE832" s="130"/>
      <c r="AG832" s="106"/>
    </row>
    <row r="833">
      <c r="C833" s="79"/>
      <c r="D833" s="79"/>
      <c r="E833" s="79"/>
      <c r="O833" s="79"/>
      <c r="S833" s="79"/>
      <c r="T833" s="79"/>
      <c r="Y833" s="79"/>
      <c r="AE833" s="130"/>
      <c r="AG833" s="106"/>
    </row>
    <row r="834">
      <c r="C834" s="79"/>
      <c r="D834" s="79"/>
      <c r="E834" s="79"/>
      <c r="O834" s="79"/>
      <c r="S834" s="79"/>
      <c r="T834" s="79"/>
      <c r="Y834" s="79"/>
      <c r="AE834" s="130"/>
      <c r="AG834" s="106"/>
    </row>
    <row r="835">
      <c r="C835" s="79"/>
      <c r="D835" s="79"/>
      <c r="E835" s="79"/>
      <c r="O835" s="79"/>
      <c r="S835" s="79"/>
      <c r="T835" s="79"/>
      <c r="Y835" s="79"/>
      <c r="AE835" s="130"/>
      <c r="AG835" s="106"/>
    </row>
    <row r="836">
      <c r="C836" s="79"/>
      <c r="D836" s="79"/>
      <c r="E836" s="79"/>
      <c r="O836" s="79"/>
      <c r="S836" s="79"/>
      <c r="T836" s="79"/>
      <c r="Y836" s="79"/>
      <c r="AE836" s="130"/>
      <c r="AG836" s="106"/>
    </row>
    <row r="837">
      <c r="C837" s="79"/>
      <c r="D837" s="79"/>
      <c r="E837" s="79"/>
      <c r="O837" s="79"/>
      <c r="S837" s="79"/>
      <c r="T837" s="79"/>
      <c r="Y837" s="79"/>
      <c r="AE837" s="130"/>
      <c r="AG837" s="106"/>
    </row>
    <row r="838">
      <c r="C838" s="79"/>
      <c r="D838" s="79"/>
      <c r="E838" s="79"/>
      <c r="O838" s="79"/>
      <c r="S838" s="79"/>
      <c r="T838" s="79"/>
      <c r="Y838" s="79"/>
      <c r="AE838" s="130"/>
      <c r="AG838" s="106"/>
    </row>
    <row r="839">
      <c r="C839" s="79"/>
      <c r="D839" s="79"/>
      <c r="E839" s="79"/>
      <c r="O839" s="79"/>
      <c r="S839" s="79"/>
      <c r="T839" s="79"/>
      <c r="Y839" s="79"/>
      <c r="AE839" s="130"/>
      <c r="AG839" s="106"/>
    </row>
    <row r="840">
      <c r="C840" s="79"/>
      <c r="D840" s="79"/>
      <c r="E840" s="79"/>
      <c r="O840" s="79"/>
      <c r="S840" s="79"/>
      <c r="T840" s="79"/>
      <c r="Y840" s="79"/>
      <c r="AE840" s="130"/>
      <c r="AG840" s="106"/>
    </row>
    <row r="841">
      <c r="C841" s="79"/>
      <c r="D841" s="79"/>
      <c r="E841" s="79"/>
      <c r="O841" s="79"/>
      <c r="S841" s="79"/>
      <c r="T841" s="79"/>
      <c r="Y841" s="79"/>
      <c r="AE841" s="130"/>
      <c r="AG841" s="106"/>
    </row>
    <row r="842">
      <c r="C842" s="79"/>
      <c r="D842" s="79"/>
      <c r="E842" s="79"/>
      <c r="O842" s="79"/>
      <c r="S842" s="79"/>
      <c r="T842" s="79"/>
      <c r="Y842" s="79"/>
      <c r="AE842" s="130"/>
      <c r="AG842" s="106"/>
    </row>
    <row r="843">
      <c r="O843" s="79"/>
      <c r="S843" s="79"/>
      <c r="T843" s="79"/>
      <c r="Y843" s="79"/>
      <c r="AE843" s="130"/>
      <c r="AG843" s="106"/>
    </row>
    <row r="844">
      <c r="O844" s="79"/>
      <c r="S844" s="79"/>
      <c r="T844" s="79"/>
      <c r="Y844" s="79"/>
      <c r="AE844" s="130"/>
      <c r="AG844" s="106"/>
    </row>
    <row r="845">
      <c r="O845" s="79"/>
      <c r="S845" s="79"/>
      <c r="T845" s="79"/>
      <c r="Y845" s="79"/>
      <c r="AE845" s="130"/>
      <c r="AG845" s="106"/>
    </row>
    <row r="846">
      <c r="O846" s="79"/>
      <c r="S846" s="79"/>
      <c r="T846" s="79"/>
      <c r="Y846" s="79"/>
      <c r="AE846" s="130"/>
      <c r="AG846" s="106"/>
    </row>
    <row r="847">
      <c r="O847" s="79"/>
      <c r="S847" s="79"/>
      <c r="T847" s="79"/>
      <c r="Y847" s="79"/>
      <c r="AE847" s="130"/>
      <c r="AG847" s="106"/>
    </row>
    <row r="848">
      <c r="O848" s="79"/>
      <c r="S848" s="79"/>
      <c r="T848" s="79"/>
      <c r="Y848" s="79"/>
      <c r="AE848" s="130"/>
      <c r="AG848" s="106"/>
    </row>
    <row r="849">
      <c r="O849" s="79"/>
      <c r="S849" s="79"/>
      <c r="T849" s="79"/>
      <c r="Y849" s="79"/>
      <c r="AE849" s="130"/>
      <c r="AG849" s="106"/>
    </row>
    <row r="850">
      <c r="O850" s="79"/>
      <c r="S850" s="79"/>
      <c r="T850" s="79"/>
      <c r="Y850" s="79"/>
      <c r="AE850" s="130"/>
      <c r="AG850" s="106"/>
    </row>
    <row r="851">
      <c r="O851" s="79"/>
      <c r="S851" s="79"/>
      <c r="T851" s="79"/>
      <c r="Y851" s="79"/>
      <c r="AE851" s="130"/>
      <c r="AG851" s="106"/>
    </row>
    <row r="852">
      <c r="O852" s="79"/>
      <c r="S852" s="79"/>
      <c r="T852" s="79"/>
      <c r="Y852" s="79"/>
      <c r="AE852" s="130"/>
      <c r="AG852" s="106"/>
    </row>
    <row r="853">
      <c r="O853" s="79"/>
      <c r="S853" s="79"/>
      <c r="T853" s="79"/>
      <c r="Y853" s="79"/>
      <c r="AE853" s="130"/>
      <c r="AG853" s="106"/>
    </row>
    <row r="854">
      <c r="O854" s="79"/>
      <c r="S854" s="79"/>
      <c r="T854" s="79"/>
      <c r="Y854" s="79"/>
      <c r="AE854" s="130"/>
      <c r="AG854" s="106"/>
    </row>
    <row r="855">
      <c r="O855" s="79"/>
      <c r="S855" s="79"/>
      <c r="T855" s="79"/>
      <c r="Y855" s="79"/>
      <c r="AE855" s="130"/>
      <c r="AG855" s="106"/>
    </row>
  </sheetData>
  <autoFilter ref="$A$38:$F$99">
    <sortState ref="A38:F99">
      <sortCondition descending="1" sortBy="cellColor" ref="E38:E99" dxfId="1"/>
      <sortCondition descending="1" sortBy="cellColor" ref="C38:C99" dxfId="1"/>
      <sortCondition descending="1" sortBy="cellColor" ref="A38:A99" dxfId="1"/>
    </sortState>
  </autoFilter>
  <mergeCells count="1">
    <mergeCell ref="B35:E35"/>
  </mergeCells>
  <conditionalFormatting sqref="H39:H51">
    <cfRule type="cellIs" dxfId="2" priority="1" operator="greaterThanOrEqual">
      <formula>1</formula>
    </cfRule>
  </conditionalFormatting>
  <conditionalFormatting sqref="H39:H51">
    <cfRule type="cellIs" dxfId="3" priority="2" operator="lessThanOrEqual">
      <formula>0</formula>
    </cfRule>
  </conditionalFormatting>
  <drawing r:id="rId2"/>
  <legacyDrawing r:id="rId3"/>
  <tableParts count="2">
    <tablePart r:id="rId6"/>
    <tablePart r:id="rId7"/>
  </tableParts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16.75"/>
    <col customWidth="1" min="3" max="3" width="27.88"/>
    <col customWidth="1" min="4" max="4" width="25.75"/>
    <col customWidth="1" min="5" max="5" width="20.88"/>
    <col customWidth="1" min="6" max="6" width="26.38"/>
    <col customWidth="1" min="7" max="7" width="25.13"/>
    <col customWidth="1" min="8" max="8" width="24.0"/>
    <col customWidth="1" min="9" max="10" width="15.5"/>
    <col customWidth="1" min="11" max="11" width="16.5"/>
    <col customWidth="1" min="12" max="13" width="15.5"/>
    <col customWidth="1" min="15" max="15" width="27.38"/>
    <col customWidth="1" min="16" max="16" width="11.13"/>
    <col customWidth="1" min="25" max="25" width="14.63"/>
    <col customWidth="1" min="28" max="28" width="19.88"/>
    <col customWidth="1" min="32" max="32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37</v>
      </c>
      <c r="J1" s="2" t="s">
        <v>5</v>
      </c>
      <c r="K1" s="2" t="s">
        <v>303</v>
      </c>
      <c r="L1" s="2" t="s">
        <v>6</v>
      </c>
      <c r="M1" s="2" t="s">
        <v>854</v>
      </c>
      <c r="N1" s="2" t="s">
        <v>49</v>
      </c>
      <c r="O1" s="105" t="s">
        <v>304</v>
      </c>
      <c r="P1" s="2" t="s">
        <v>10</v>
      </c>
      <c r="Q1" s="2" t="s">
        <v>42</v>
      </c>
      <c r="R1" s="105" t="s">
        <v>656</v>
      </c>
      <c r="S1" s="105" t="s">
        <v>9</v>
      </c>
      <c r="T1" s="2" t="s">
        <v>164</v>
      </c>
      <c r="U1" s="105" t="s">
        <v>40</v>
      </c>
      <c r="V1" s="2" t="s">
        <v>83</v>
      </c>
      <c r="W1" s="2" t="s">
        <v>204</v>
      </c>
      <c r="X1" s="105" t="s">
        <v>205</v>
      </c>
      <c r="Y1" s="2" t="s">
        <v>206</v>
      </c>
      <c r="Z1" s="2" t="s">
        <v>305</v>
      </c>
      <c r="AA1" s="2" t="s">
        <v>846</v>
      </c>
      <c r="AB1" s="3" t="s">
        <v>828</v>
      </c>
      <c r="AC1" s="3" t="s">
        <v>13</v>
      </c>
      <c r="AD1" s="3" t="s">
        <v>14</v>
      </c>
      <c r="AE1" s="3" t="s">
        <v>15</v>
      </c>
      <c r="AF1" s="106"/>
      <c r="AG1" s="265" t="s">
        <v>306</v>
      </c>
      <c r="AH1" s="266" t="s">
        <v>80</v>
      </c>
    </row>
    <row r="2">
      <c r="A2" s="74">
        <v>45677.0</v>
      </c>
      <c r="B2" s="93"/>
      <c r="C2" s="93"/>
      <c r="D2" s="93"/>
      <c r="E2" s="93"/>
      <c r="F2" s="93"/>
      <c r="G2" s="93">
        <v>180.0</v>
      </c>
      <c r="H2" s="93"/>
      <c r="I2" s="93"/>
      <c r="J2" s="374"/>
      <c r="K2" s="250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>
        <v>259.0</v>
      </c>
      <c r="Z2" s="93"/>
      <c r="AA2" s="93">
        <v>290.0</v>
      </c>
      <c r="AB2" s="386"/>
      <c r="AC2" s="107">
        <f>SUM(B2:Z2)</f>
        <v>439</v>
      </c>
      <c r="AD2" s="158">
        <v>0.0</v>
      </c>
      <c r="AE2" s="59" t="str">
        <f t="shared" ref="AE2:AE8" si="1">AC2/AD2</f>
        <v>#DIV/0!</v>
      </c>
      <c r="AF2" s="109">
        <f t="shared" ref="AF2:AF8" si="2">A2</f>
        <v>45677</v>
      </c>
      <c r="AG2" s="267"/>
      <c r="AH2" s="268">
        <f t="shared" ref="AH2:AH8" si="3">AD2-AG2</f>
        <v>0</v>
      </c>
    </row>
    <row r="3">
      <c r="A3" s="74">
        <f t="shared" ref="A3:A8" si="4">A2+1</f>
        <v>45678</v>
      </c>
      <c r="B3" s="93">
        <f>1399.8-34.16-25.8-28.01-195.52-61-85.45-39.11-48.3-6.69-7.37-30.14</f>
        <v>838.25</v>
      </c>
      <c r="C3" s="93">
        <f>20.6+297.1-18.6-51.6-84.7</f>
        <v>162.8</v>
      </c>
      <c r="D3" s="93">
        <f>1449.86-1226.1</f>
        <v>223.76</v>
      </c>
      <c r="E3" s="93"/>
      <c r="F3" s="93"/>
      <c r="G3" s="93"/>
      <c r="H3" s="168"/>
      <c r="I3" s="93"/>
      <c r="J3" s="93"/>
      <c r="K3" s="93"/>
      <c r="L3" s="93"/>
      <c r="M3" s="93"/>
      <c r="N3" s="93">
        <f>486</f>
        <v>486</v>
      </c>
      <c r="O3" s="93"/>
      <c r="P3" s="93"/>
      <c r="Q3" s="93"/>
      <c r="R3" s="93"/>
      <c r="S3" s="93"/>
      <c r="U3" s="93"/>
      <c r="V3" s="93"/>
      <c r="W3" s="93"/>
      <c r="X3" s="93"/>
      <c r="Y3" s="93"/>
      <c r="Z3" s="326"/>
      <c r="AA3" s="326"/>
      <c r="AB3" s="326"/>
      <c r="AC3" s="107">
        <f t="shared" ref="AC3:AC8" si="5">SUM(B3:Y3)</f>
        <v>1710.81</v>
      </c>
      <c r="AD3" s="158">
        <v>5060.0</v>
      </c>
      <c r="AE3" s="59">
        <f t="shared" si="1"/>
        <v>0.3381047431</v>
      </c>
      <c r="AF3" s="109">
        <f t="shared" si="2"/>
        <v>45678</v>
      </c>
      <c r="AG3" s="267"/>
      <c r="AH3" s="268">
        <f t="shared" si="3"/>
        <v>5060</v>
      </c>
    </row>
    <row r="4">
      <c r="A4" s="74">
        <f t="shared" si="4"/>
        <v>45679</v>
      </c>
      <c r="B4" s="93">
        <f>720.59-42.66-28.56-34.36-52.86-13.02-17.4-8.47-8.65-37.88-27.08</f>
        <v>449.65</v>
      </c>
      <c r="C4" s="93"/>
      <c r="D4" s="93"/>
      <c r="E4" s="93"/>
      <c r="F4" s="93"/>
      <c r="G4" s="93"/>
      <c r="H4" s="168"/>
      <c r="I4" s="93"/>
      <c r="J4" s="93">
        <v>2129.68</v>
      </c>
      <c r="K4" s="93"/>
      <c r="L4" s="93"/>
      <c r="M4" s="93"/>
      <c r="N4" s="93"/>
      <c r="O4" s="93"/>
      <c r="P4" s="93">
        <v>167.7</v>
      </c>
      <c r="Q4" s="93"/>
      <c r="R4" s="93"/>
      <c r="S4" s="93"/>
      <c r="T4" s="93">
        <v>302.0</v>
      </c>
      <c r="U4" s="93"/>
      <c r="V4" s="93"/>
      <c r="W4" s="93"/>
      <c r="X4" s="93"/>
      <c r="Y4" s="101"/>
      <c r="Z4" s="326"/>
      <c r="AA4" s="326"/>
      <c r="AB4" s="326"/>
      <c r="AC4" s="107">
        <f t="shared" si="5"/>
        <v>3049.03</v>
      </c>
      <c r="AD4" s="158">
        <v>8505.0</v>
      </c>
      <c r="AE4" s="59">
        <f t="shared" si="1"/>
        <v>0.3584985303</v>
      </c>
      <c r="AF4" s="109">
        <f t="shared" si="2"/>
        <v>45679</v>
      </c>
      <c r="AG4" s="267"/>
      <c r="AH4" s="268">
        <f t="shared" si="3"/>
        <v>8505</v>
      </c>
    </row>
    <row r="5">
      <c r="A5" s="74">
        <f t="shared" si="4"/>
        <v>45680</v>
      </c>
      <c r="B5" s="93">
        <f>1090.31-105.98-32.81-114.24-39.08-17.8-23.65-47.2</f>
        <v>709.55</v>
      </c>
      <c r="C5" s="93"/>
      <c r="D5" s="93">
        <f>521.33-80.9-227.93</f>
        <v>212.5</v>
      </c>
      <c r="E5" s="93"/>
      <c r="F5" s="166"/>
      <c r="G5" s="93">
        <v>180.0</v>
      </c>
      <c r="I5" s="160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101"/>
      <c r="Y5" s="101"/>
      <c r="Z5" s="327"/>
      <c r="AA5" s="327"/>
      <c r="AB5" s="93">
        <f>330.5*5</f>
        <v>1652.5</v>
      </c>
      <c r="AC5" s="7">
        <f t="shared" si="5"/>
        <v>1102.05</v>
      </c>
      <c r="AD5" s="380">
        <v>7744.0</v>
      </c>
      <c r="AE5" s="59">
        <f t="shared" si="1"/>
        <v>0.1423101756</v>
      </c>
      <c r="AF5" s="109">
        <f t="shared" si="2"/>
        <v>45680</v>
      </c>
      <c r="AG5" s="267"/>
      <c r="AH5" s="268">
        <f t="shared" si="3"/>
        <v>7744</v>
      </c>
    </row>
    <row r="6">
      <c r="A6" s="74">
        <f t="shared" si="4"/>
        <v>45681</v>
      </c>
      <c r="B6" s="93"/>
      <c r="C6" s="93">
        <f>385.15-31-26</f>
        <v>328.15</v>
      </c>
      <c r="D6" s="180">
        <v>227.39</v>
      </c>
      <c r="E6" s="93"/>
      <c r="F6" s="79"/>
      <c r="G6" s="93"/>
      <c r="H6" s="160"/>
      <c r="I6" s="93"/>
      <c r="J6" s="93">
        <v>249.3</v>
      </c>
      <c r="K6" s="93"/>
      <c r="L6" s="93"/>
      <c r="M6" s="93"/>
      <c r="N6" s="93">
        <v>324.0</v>
      </c>
      <c r="O6" s="93"/>
      <c r="P6" s="93"/>
      <c r="Q6" s="93"/>
      <c r="R6" s="93"/>
      <c r="S6" s="374"/>
      <c r="T6" s="93"/>
      <c r="U6" s="93"/>
      <c r="V6" s="93"/>
      <c r="W6" s="93"/>
      <c r="X6" s="93"/>
      <c r="Y6" s="93"/>
      <c r="Z6" s="327"/>
      <c r="AA6" s="327"/>
      <c r="AB6" s="327"/>
      <c r="AC6" s="7">
        <f t="shared" si="5"/>
        <v>1128.84</v>
      </c>
      <c r="AD6" s="380">
        <v>13685.0</v>
      </c>
      <c r="AE6" s="59">
        <f t="shared" si="1"/>
        <v>0.08248739496</v>
      </c>
      <c r="AF6" s="109">
        <f t="shared" si="2"/>
        <v>45681</v>
      </c>
      <c r="AG6" s="267"/>
      <c r="AH6" s="268">
        <f t="shared" si="3"/>
        <v>13685</v>
      </c>
    </row>
    <row r="7">
      <c r="A7" s="74">
        <f t="shared" si="4"/>
        <v>45682</v>
      </c>
      <c r="B7" s="93">
        <v>299.6</v>
      </c>
      <c r="C7" s="361"/>
      <c r="D7" s="93">
        <f>697.57-62.24-105.3-94.2</f>
        <v>435.83</v>
      </c>
      <c r="E7" s="79"/>
      <c r="F7" s="93"/>
      <c r="G7" s="93">
        <v>180.0</v>
      </c>
      <c r="H7" s="79"/>
      <c r="I7" s="93"/>
      <c r="J7" s="93"/>
      <c r="K7" s="93"/>
      <c r="L7" s="93"/>
      <c r="M7" s="93"/>
      <c r="N7" s="93"/>
      <c r="O7" s="93"/>
      <c r="P7" s="93"/>
      <c r="Q7" s="93"/>
      <c r="R7" s="101"/>
      <c r="S7" s="93"/>
      <c r="T7" s="93"/>
      <c r="U7" s="93"/>
      <c r="V7" s="93"/>
      <c r="W7" s="93"/>
      <c r="X7" s="101"/>
      <c r="Y7" s="93"/>
      <c r="Z7" s="327"/>
      <c r="AA7" s="327"/>
      <c r="AB7" s="327"/>
      <c r="AC7" s="7">
        <f t="shared" si="5"/>
        <v>915.43</v>
      </c>
      <c r="AD7" s="380">
        <v>15294.0</v>
      </c>
      <c r="AE7" s="59">
        <f t="shared" si="1"/>
        <v>0.05985549889</v>
      </c>
      <c r="AF7" s="109">
        <f t="shared" si="2"/>
        <v>45682</v>
      </c>
      <c r="AG7" s="267"/>
      <c r="AH7" s="268">
        <f t="shared" si="3"/>
        <v>15294</v>
      </c>
    </row>
    <row r="8">
      <c r="A8" s="74">
        <f t="shared" si="4"/>
        <v>45683</v>
      </c>
      <c r="B8" s="93"/>
      <c r="C8" s="374"/>
      <c r="D8" s="180">
        <v>970.37</v>
      </c>
      <c r="E8" s="374"/>
      <c r="F8" s="374"/>
      <c r="G8" s="112"/>
      <c r="H8" s="93"/>
      <c r="I8" s="344">
        <v>392.0</v>
      </c>
      <c r="J8" s="402"/>
      <c r="K8" s="93"/>
      <c r="L8" s="112"/>
      <c r="M8" s="75">
        <v>225.66</v>
      </c>
      <c r="N8" s="93"/>
      <c r="O8" s="93"/>
      <c r="P8" s="93"/>
      <c r="Q8" s="374"/>
      <c r="R8" s="101"/>
      <c r="S8" s="180">
        <f>620-60-132-35</f>
        <v>393</v>
      </c>
      <c r="T8" s="374"/>
      <c r="U8" s="112"/>
      <c r="V8" s="112"/>
      <c r="W8" s="112"/>
      <c r="X8" s="112"/>
      <c r="Y8" s="112"/>
      <c r="Z8" s="93">
        <f>184.53+39.98+18.97+35.35</f>
        <v>278.83</v>
      </c>
      <c r="AA8" s="433"/>
      <c r="AB8" s="616"/>
      <c r="AC8" s="7">
        <f t="shared" si="5"/>
        <v>1981.03</v>
      </c>
      <c r="AD8" s="380">
        <v>0.0</v>
      </c>
      <c r="AE8" s="59" t="str">
        <f t="shared" si="1"/>
        <v>#DIV/0!</v>
      </c>
      <c r="AF8" s="109">
        <f t="shared" si="2"/>
        <v>45683</v>
      </c>
      <c r="AG8" s="267"/>
      <c r="AH8" s="268">
        <f t="shared" si="3"/>
        <v>0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D9" s="129"/>
      <c r="AF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D10" s="129"/>
      <c r="AF10" s="106"/>
    </row>
    <row r="11">
      <c r="A11" s="165" t="s">
        <v>194</v>
      </c>
      <c r="B11" s="93">
        <f>34.16+25.8+28.01+48.3+6.69+7.37+30.14+144+42.66+27.08+32.81+114.24+39.08+20.88+26.92+12.72+10.02+21.75</f>
        <v>672.63</v>
      </c>
      <c r="C11" s="93">
        <f>18.6+31+26</f>
        <v>75.6</v>
      </c>
      <c r="D11" s="180">
        <f>80.9+94.2+300</f>
        <v>475.1</v>
      </c>
      <c r="E11" s="167"/>
      <c r="F11" s="168"/>
      <c r="G11" s="168"/>
      <c r="H11" s="93"/>
      <c r="I11" s="166"/>
      <c r="J11" s="93"/>
      <c r="K11" s="168"/>
      <c r="L11" s="93"/>
      <c r="M11" s="93"/>
      <c r="N11" s="93"/>
      <c r="O11" s="168"/>
      <c r="P11" s="168"/>
      <c r="Q11" s="168"/>
      <c r="R11" s="168"/>
      <c r="S11" s="168"/>
      <c r="T11" s="168"/>
      <c r="U11" s="168"/>
      <c r="V11" s="1"/>
      <c r="W11" s="168"/>
      <c r="X11" s="168"/>
      <c r="Y11" s="1"/>
      <c r="Z11" s="180">
        <f>49.61+67.58</f>
        <v>117.19</v>
      </c>
      <c r="AA11" s="1"/>
      <c r="AB11" s="1"/>
      <c r="AC11" s="1"/>
      <c r="AD11" s="169"/>
      <c r="AE11" s="1"/>
      <c r="AF11" s="170"/>
    </row>
    <row r="12">
      <c r="A12" s="165" t="s">
        <v>195</v>
      </c>
      <c r="B12" s="93">
        <f>129.96+380.13+34.36+52.86+13.02+17.4+8.47+8.65+37.88+105.98+17.8+23.65+47.2+23.6+37.88+44.64</f>
        <v>983.48</v>
      </c>
      <c r="C12" s="93">
        <f>84.7</f>
        <v>84.7</v>
      </c>
      <c r="D12" s="93">
        <f>385.5+64.24+105.3</f>
        <v>555.04</v>
      </c>
      <c r="E12" s="93"/>
      <c r="F12" s="374"/>
      <c r="G12" s="93"/>
      <c r="H12" s="79"/>
      <c r="I12" s="93"/>
      <c r="J12" s="93"/>
      <c r="K12" s="79"/>
      <c r="L12" s="93"/>
      <c r="M12" s="93"/>
      <c r="N12" s="93">
        <f>72+78</f>
        <v>150</v>
      </c>
      <c r="O12" s="168"/>
      <c r="P12" s="93"/>
      <c r="Q12" s="166"/>
      <c r="R12" s="93"/>
      <c r="S12" s="166"/>
      <c r="T12" s="168"/>
      <c r="U12" s="168"/>
      <c r="V12" s="1"/>
      <c r="W12" s="93"/>
      <c r="X12" s="168"/>
      <c r="Y12" s="1"/>
      <c r="Z12" s="1"/>
      <c r="AA12" s="192"/>
      <c r="AB12" s="1"/>
      <c r="AC12" s="1"/>
      <c r="AD12" s="171"/>
      <c r="AE12" s="1"/>
      <c r="AF12" s="170"/>
    </row>
    <row r="13">
      <c r="A13" s="172" t="s">
        <v>198</v>
      </c>
      <c r="B13" s="93">
        <f>195.52+28.35+167.94+49.75</f>
        <v>441.56</v>
      </c>
      <c r="C13" s="348"/>
      <c r="D13" s="93"/>
      <c r="E13" s="168"/>
      <c r="F13" s="166"/>
      <c r="G13" s="166"/>
      <c r="H13" s="168"/>
      <c r="I13" s="168"/>
      <c r="J13" s="93"/>
      <c r="K13" s="168"/>
      <c r="L13" s="168"/>
      <c r="M13" s="168"/>
      <c r="N13" s="93"/>
      <c r="O13" s="168"/>
      <c r="P13" s="93"/>
      <c r="Q13" s="168"/>
      <c r="R13" s="168"/>
      <c r="S13" s="168"/>
      <c r="T13" s="1"/>
      <c r="U13" s="1"/>
      <c r="V13" s="1"/>
      <c r="W13" s="168"/>
      <c r="X13" s="168"/>
      <c r="Y13" s="1"/>
      <c r="Z13" s="1"/>
      <c r="AA13" s="1"/>
      <c r="AB13" s="1"/>
      <c r="AC13" s="1"/>
      <c r="AD13" s="174"/>
      <c r="AE13" s="1"/>
      <c r="AF13" s="170"/>
    </row>
    <row r="14">
      <c r="A14" s="91"/>
      <c r="B14" s="375"/>
      <c r="C14" s="79"/>
      <c r="D14" s="79"/>
      <c r="E14" s="79"/>
      <c r="F14" s="78"/>
      <c r="G14" s="78"/>
      <c r="H14" s="79"/>
      <c r="I14" s="78"/>
      <c r="J14" s="79"/>
      <c r="K14" s="79"/>
      <c r="L14" s="79"/>
      <c r="M14" s="79"/>
      <c r="N14" s="79"/>
      <c r="O14" s="79"/>
      <c r="Q14" s="79"/>
      <c r="R14" s="79"/>
      <c r="S14" s="198"/>
      <c r="T14" s="198"/>
      <c r="X14" s="79"/>
      <c r="AD14" s="131"/>
      <c r="AF14" s="106"/>
    </row>
    <row r="15">
      <c r="A15" s="91"/>
      <c r="B15" s="375"/>
      <c r="C15" s="79"/>
      <c r="D15" s="78"/>
      <c r="E15" s="78"/>
      <c r="F15" s="205"/>
      <c r="G15" s="351"/>
      <c r="H15" s="192"/>
      <c r="I15" s="198"/>
      <c r="J15" s="201"/>
      <c r="K15" s="199"/>
      <c r="L15" s="199"/>
      <c r="M15" s="200"/>
      <c r="N15" s="202"/>
      <c r="O15" s="198"/>
      <c r="Q15" s="198"/>
      <c r="R15" s="79"/>
      <c r="S15" s="198"/>
      <c r="T15" s="198"/>
      <c r="U15" s="198"/>
      <c r="V15" s="198"/>
      <c r="W15" s="199"/>
      <c r="X15" s="79"/>
      <c r="AD15" s="131"/>
      <c r="AF15" s="106"/>
    </row>
    <row r="16">
      <c r="A16" s="4" t="s">
        <v>22</v>
      </c>
      <c r="B16" s="11">
        <v>12000.0</v>
      </c>
      <c r="C16" s="79"/>
      <c r="D16" s="78"/>
      <c r="E16" s="78"/>
      <c r="F16" s="587"/>
      <c r="G16" s="175"/>
      <c r="H16" s="192"/>
      <c r="I16" s="203"/>
      <c r="J16" s="203"/>
      <c r="K16" s="203"/>
      <c r="L16" s="203"/>
      <c r="M16" s="198"/>
      <c r="N16" s="200"/>
      <c r="O16" s="198"/>
      <c r="Q16" s="203"/>
      <c r="R16" s="427"/>
      <c r="S16" s="201"/>
      <c r="T16" s="198"/>
      <c r="U16" s="198"/>
      <c r="V16" s="198"/>
      <c r="W16" s="201"/>
      <c r="X16" s="79"/>
      <c r="AD16" s="131"/>
      <c r="AF16" s="106"/>
    </row>
    <row r="17">
      <c r="A17" s="4" t="s">
        <v>23</v>
      </c>
      <c r="B17" s="11">
        <f>SUM(B2:AB8)</f>
        <v>12547.52</v>
      </c>
      <c r="C17" s="192"/>
      <c r="D17" s="78"/>
      <c r="E17" s="78"/>
      <c r="F17" s="213"/>
      <c r="G17" s="224"/>
      <c r="H17" s="38"/>
      <c r="I17" s="175"/>
      <c r="J17" s="203"/>
      <c r="K17" s="203"/>
      <c r="L17" s="203"/>
      <c r="M17" s="201"/>
      <c r="N17" s="201"/>
      <c r="O17" s="198"/>
      <c r="Q17" s="203"/>
      <c r="R17" s="79"/>
      <c r="S17" s="201"/>
      <c r="T17" s="201"/>
      <c r="U17" s="198"/>
      <c r="V17" s="198"/>
      <c r="W17" s="191"/>
      <c r="X17" s="79"/>
      <c r="AD17" s="131"/>
      <c r="AF17" s="106"/>
    </row>
    <row r="18">
      <c r="A18" s="4" t="s">
        <v>24</v>
      </c>
      <c r="B18" s="11">
        <f> SUM(B16-B17)</f>
        <v>-547.52</v>
      </c>
      <c r="C18" s="79"/>
      <c r="D18" s="78"/>
      <c r="E18" s="151"/>
      <c r="F18" s="198"/>
      <c r="G18" s="224"/>
      <c r="H18" s="224"/>
      <c r="I18" s="203"/>
      <c r="J18" s="203"/>
      <c r="K18" s="203"/>
      <c r="L18" s="203"/>
      <c r="M18" s="201"/>
      <c r="N18" s="200"/>
      <c r="O18" s="198"/>
      <c r="Q18" s="203"/>
      <c r="R18" s="79"/>
      <c r="S18" s="210"/>
      <c r="T18" s="210"/>
      <c r="U18" s="198"/>
      <c r="V18" s="198"/>
      <c r="W18" s="203"/>
      <c r="X18" s="79"/>
      <c r="AD18" s="131"/>
      <c r="AF18" s="106"/>
    </row>
    <row r="19">
      <c r="C19" s="79"/>
      <c r="E19" s="588" t="s">
        <v>195</v>
      </c>
      <c r="F19" s="198"/>
      <c r="H19" s="588" t="s">
        <v>195</v>
      </c>
      <c r="I19" s="345"/>
      <c r="J19" s="203"/>
      <c r="K19" s="203"/>
      <c r="L19" s="203"/>
      <c r="N19" s="198"/>
      <c r="O19" s="198"/>
      <c r="Q19" s="203"/>
      <c r="R19" s="79"/>
      <c r="S19" s="198"/>
      <c r="T19" s="428"/>
      <c r="U19" s="198"/>
      <c r="V19" s="201"/>
      <c r="W19" s="203"/>
      <c r="X19" s="79"/>
      <c r="AD19" s="131"/>
      <c r="AF19" s="106"/>
    </row>
    <row r="20">
      <c r="A20" s="13" t="s">
        <v>25</v>
      </c>
      <c r="B20" s="14">
        <f>SUM(AD2:AD8)</f>
        <v>50288</v>
      </c>
      <c r="C20" s="79"/>
      <c r="D20" s="13" t="s">
        <v>724</v>
      </c>
      <c r="E20" s="445">
        <f>sum(B12:AA12)+1852</f>
        <v>3625.22</v>
      </c>
      <c r="F20" s="589"/>
      <c r="G20" s="13" t="s">
        <v>886</v>
      </c>
      <c r="H20" s="445">
        <f>N110</f>
        <v>3759.88</v>
      </c>
      <c r="I20" s="203"/>
      <c r="J20" s="203"/>
      <c r="K20" s="203"/>
      <c r="L20" s="203"/>
      <c r="M20" s="203"/>
      <c r="N20" s="198"/>
      <c r="O20" s="198"/>
      <c r="Q20" s="203"/>
      <c r="R20" s="79"/>
      <c r="S20" s="198"/>
      <c r="T20" s="198"/>
      <c r="U20" s="198"/>
      <c r="V20" s="198"/>
      <c r="W20" s="203"/>
      <c r="X20" s="79"/>
      <c r="AD20" s="181"/>
      <c r="AF20" s="106"/>
    </row>
    <row r="21">
      <c r="A21" s="13" t="s">
        <v>26</v>
      </c>
      <c r="B21" s="15">
        <f>B17/B20</f>
        <v>0.2495132039</v>
      </c>
      <c r="C21" s="79"/>
      <c r="D21" s="13" t="s">
        <v>25</v>
      </c>
      <c r="E21" s="445">
        <f>750.5+798+3743.5+4571</f>
        <v>9863</v>
      </c>
      <c r="F21" s="589"/>
      <c r="G21" s="13" t="s">
        <v>25</v>
      </c>
      <c r="H21" s="445">
        <f>750.5+798+3743.5+4571</f>
        <v>9863</v>
      </c>
      <c r="I21" s="203"/>
      <c r="J21" s="203"/>
      <c r="K21" s="203"/>
      <c r="L21" s="203"/>
      <c r="M21" s="203"/>
      <c r="N21" s="203"/>
      <c r="O21" s="198"/>
      <c r="Q21" s="203"/>
      <c r="R21" s="79"/>
      <c r="S21" s="198"/>
      <c r="T21" s="198"/>
      <c r="U21" s="198"/>
      <c r="V21" s="198"/>
      <c r="W21" s="203"/>
      <c r="X21" s="79"/>
      <c r="AD21" s="130"/>
      <c r="AF21" s="106"/>
    </row>
    <row r="22">
      <c r="C22" s="79"/>
      <c r="D22" s="448" t="s">
        <v>26</v>
      </c>
      <c r="E22" s="449">
        <f>E20/E21</f>
        <v>0.3675575383</v>
      </c>
      <c r="F22" s="590"/>
      <c r="G22" s="448" t="s">
        <v>26</v>
      </c>
      <c r="H22" s="449">
        <f>H20/H21</f>
        <v>0.381210585</v>
      </c>
      <c r="I22" s="78"/>
      <c r="J22" s="203"/>
      <c r="K22" s="203"/>
      <c r="L22" s="203"/>
      <c r="M22" s="203"/>
      <c r="N22" s="201"/>
      <c r="O22" s="198"/>
      <c r="Q22" s="198"/>
      <c r="R22" s="79"/>
      <c r="S22" s="198"/>
      <c r="T22" s="198"/>
      <c r="U22" s="198"/>
      <c r="V22" s="198"/>
      <c r="W22" s="203"/>
      <c r="X22" s="79"/>
      <c r="AD22" s="182"/>
      <c r="AF22" s="106"/>
    </row>
    <row r="23">
      <c r="C23" s="79"/>
      <c r="D23" s="79"/>
      <c r="E23" s="79"/>
      <c r="F23" s="198"/>
      <c r="G23" s="192"/>
      <c r="H23" s="213"/>
      <c r="I23" s="203"/>
      <c r="J23" s="212"/>
      <c r="K23" s="203"/>
      <c r="L23" s="203"/>
      <c r="M23" s="203"/>
      <c r="N23" s="201"/>
      <c r="O23" s="198"/>
      <c r="Q23" s="198"/>
      <c r="R23" s="79"/>
      <c r="S23" s="198"/>
      <c r="T23" s="198"/>
      <c r="U23" s="198"/>
      <c r="V23" s="198"/>
      <c r="W23" s="203"/>
      <c r="X23" s="79"/>
      <c r="AD23" s="130"/>
      <c r="AF23" s="106"/>
    </row>
    <row r="24">
      <c r="A24" s="16" t="s">
        <v>27</v>
      </c>
      <c r="B24" s="17"/>
      <c r="C24" s="114"/>
      <c r="D24" s="114"/>
      <c r="E24" s="114"/>
      <c r="F24" s="198"/>
      <c r="G24" s="78"/>
      <c r="H24" s="224"/>
      <c r="I24" s="78"/>
      <c r="J24" s="79"/>
      <c r="K24" s="203"/>
      <c r="L24" s="217"/>
      <c r="M24" s="208"/>
      <c r="N24" s="198"/>
      <c r="O24" s="198"/>
      <c r="Q24" s="200"/>
      <c r="R24" s="79"/>
      <c r="S24" s="198"/>
      <c r="T24" s="198"/>
      <c r="U24" s="198"/>
      <c r="V24" s="198"/>
      <c r="W24" s="203"/>
      <c r="X24" s="79"/>
      <c r="AD24" s="130"/>
      <c r="AF24" s="106"/>
    </row>
    <row r="25">
      <c r="A25" s="19" t="s">
        <v>28</v>
      </c>
      <c r="B25" s="20"/>
      <c r="C25" s="116"/>
      <c r="D25" s="116"/>
      <c r="E25" s="116"/>
      <c r="F25" s="198"/>
      <c r="G25" s="212"/>
      <c r="H25" s="213"/>
      <c r="I25" s="224"/>
      <c r="J25" s="78"/>
      <c r="K25" s="203"/>
      <c r="L25" s="203"/>
      <c r="M25" s="209"/>
      <c r="N25" s="201"/>
      <c r="O25" s="198"/>
      <c r="Q25" s="198"/>
      <c r="R25" s="79"/>
      <c r="S25" s="198"/>
      <c r="T25" s="198"/>
      <c r="U25" s="198"/>
      <c r="V25" s="198"/>
      <c r="W25" s="203"/>
      <c r="X25" s="79"/>
      <c r="AD25" s="130"/>
      <c r="AF25" s="106"/>
    </row>
    <row r="26">
      <c r="A26" s="183" t="s">
        <v>29</v>
      </c>
      <c r="B26" s="184" t="s">
        <v>30</v>
      </c>
      <c r="C26" s="183"/>
      <c r="D26" s="183" t="s">
        <v>170</v>
      </c>
      <c r="E26" s="591" t="s">
        <v>171</v>
      </c>
      <c r="F26" s="198"/>
      <c r="G26" s="79"/>
      <c r="H26" s="242"/>
      <c r="I26" s="79"/>
      <c r="J26" s="79"/>
      <c r="K26" s="203"/>
      <c r="L26" s="201"/>
      <c r="M26" s="209"/>
      <c r="N26" s="198"/>
      <c r="O26" s="198"/>
      <c r="Q26" s="198"/>
      <c r="R26" s="79"/>
      <c r="S26" s="198"/>
      <c r="T26" s="198"/>
      <c r="U26" s="198"/>
      <c r="V26" s="198"/>
      <c r="W26" s="203"/>
      <c r="X26" s="79"/>
      <c r="Y26" s="195"/>
      <c r="AD26" s="130"/>
      <c r="AF26" s="106"/>
    </row>
    <row r="27">
      <c r="A27" s="237" t="s">
        <v>887</v>
      </c>
      <c r="B27" s="381">
        <f>1459.9+1449.86</f>
        <v>2909.76</v>
      </c>
      <c r="C27" s="239"/>
      <c r="D27" s="239"/>
      <c r="E27" s="239"/>
      <c r="F27" s="204"/>
      <c r="O27" s="79"/>
      <c r="R27" s="79"/>
      <c r="S27" s="79"/>
      <c r="X27" s="79"/>
      <c r="AD27" s="130"/>
      <c r="AF27" s="106"/>
    </row>
    <row r="28">
      <c r="A28" s="173" t="s">
        <v>870</v>
      </c>
      <c r="B28" s="344">
        <f>295+314.82+393.89</f>
        <v>1003.71</v>
      </c>
      <c r="C28" s="241"/>
      <c r="D28" s="241"/>
      <c r="E28" s="241"/>
      <c r="F28" s="204"/>
      <c r="O28" s="79"/>
      <c r="R28" s="79"/>
      <c r="S28" s="79"/>
      <c r="X28" s="79"/>
      <c r="AD28" s="130"/>
      <c r="AF28" s="106"/>
    </row>
    <row r="29">
      <c r="A29" s="221" t="s">
        <v>872</v>
      </c>
      <c r="B29" s="341">
        <f>+787.5</f>
        <v>787.5</v>
      </c>
      <c r="C29" s="223" t="s">
        <v>540</v>
      </c>
      <c r="D29" s="223"/>
      <c r="E29" s="223"/>
      <c r="F29" s="204"/>
      <c r="O29" s="79"/>
      <c r="R29" s="79"/>
      <c r="S29" s="79"/>
      <c r="X29" s="79"/>
      <c r="AD29" s="130"/>
      <c r="AF29" s="106"/>
    </row>
    <row r="30">
      <c r="A30" s="221" t="s">
        <v>111</v>
      </c>
      <c r="B30" s="341">
        <v>633.17</v>
      </c>
      <c r="C30" s="223"/>
      <c r="D30" s="223"/>
      <c r="E30" s="223"/>
      <c r="F30" s="204"/>
      <c r="O30" s="79"/>
      <c r="R30" s="79"/>
      <c r="S30" s="79"/>
      <c r="X30" s="79"/>
      <c r="AD30" s="130"/>
      <c r="AF30" s="106"/>
    </row>
    <row r="31">
      <c r="A31" s="221" t="s">
        <v>874</v>
      </c>
      <c r="B31" s="341">
        <f>330.5*2</f>
        <v>661</v>
      </c>
      <c r="C31" s="223"/>
      <c r="D31" s="223"/>
      <c r="E31" s="223"/>
      <c r="F31" s="204"/>
      <c r="O31" s="79"/>
      <c r="R31" s="79"/>
      <c r="S31" s="79"/>
      <c r="X31" s="79"/>
      <c r="AD31" s="130"/>
      <c r="AF31" s="106"/>
    </row>
    <row r="32">
      <c r="C32" s="79"/>
      <c r="D32" s="79"/>
      <c r="E32" s="79"/>
      <c r="O32" s="79"/>
      <c r="R32" s="79"/>
      <c r="S32" s="79"/>
      <c r="X32" s="79"/>
      <c r="AD32" s="130"/>
      <c r="AF32" s="106"/>
    </row>
    <row r="33">
      <c r="A33" s="274"/>
      <c r="B33" s="275" t="s">
        <v>315</v>
      </c>
      <c r="F33" s="274"/>
      <c r="G33" s="274"/>
      <c r="H33" s="274"/>
      <c r="I33" s="274"/>
      <c r="J33" s="274"/>
      <c r="K33" s="274"/>
      <c r="L33" s="274"/>
      <c r="M33" s="274"/>
      <c r="N33" s="274"/>
      <c r="O33" s="274"/>
      <c r="P33" s="274"/>
      <c r="Q33" s="274"/>
      <c r="R33" s="274"/>
      <c r="S33" s="274"/>
      <c r="T33" s="274"/>
      <c r="U33" s="274"/>
      <c r="V33" s="274"/>
      <c r="W33" s="274"/>
      <c r="X33" s="274"/>
      <c r="Y33" s="274"/>
      <c r="Z33" s="274"/>
      <c r="AA33" s="274"/>
      <c r="AB33" s="274"/>
      <c r="AC33" s="274"/>
      <c r="AD33" s="276"/>
      <c r="AE33" s="274"/>
      <c r="AF33" s="277"/>
      <c r="AG33" s="274"/>
      <c r="AH33" s="274"/>
      <c r="AI33" s="274"/>
    </row>
    <row r="34">
      <c r="A34" s="16" t="s">
        <v>316</v>
      </c>
      <c r="B34" s="17"/>
      <c r="C34" s="114"/>
      <c r="D34" s="114"/>
      <c r="E34" s="115"/>
      <c r="I34" s="455" t="s">
        <v>735</v>
      </c>
      <c r="J34" s="17"/>
      <c r="K34" s="114"/>
      <c r="L34" s="114"/>
      <c r="M34" s="115"/>
      <c r="P34" s="79"/>
      <c r="T34" s="79"/>
      <c r="U34" s="79"/>
      <c r="AE34" s="130"/>
      <c r="AG34" s="106"/>
    </row>
    <row r="35">
      <c r="A35" s="19" t="s">
        <v>317</v>
      </c>
      <c r="B35" s="20"/>
      <c r="C35" s="116"/>
      <c r="D35" s="116"/>
      <c r="E35" s="117"/>
      <c r="I35" s="599" t="s">
        <v>736</v>
      </c>
      <c r="J35" s="20"/>
      <c r="K35" s="116"/>
      <c r="L35" s="116"/>
      <c r="M35" s="117"/>
      <c r="P35" s="79"/>
      <c r="T35" s="79"/>
      <c r="U35" s="79"/>
      <c r="AE35" s="130"/>
      <c r="AG35" s="106"/>
    </row>
    <row r="36">
      <c r="A36" s="278" t="s">
        <v>318</v>
      </c>
      <c r="B36" s="279" t="s">
        <v>319</v>
      </c>
      <c r="C36" s="280" t="s">
        <v>285</v>
      </c>
      <c r="D36" s="280" t="s">
        <v>30</v>
      </c>
      <c r="E36" s="281" t="s">
        <v>320</v>
      </c>
      <c r="F36" s="281" t="s">
        <v>321</v>
      </c>
      <c r="H36" s="600" t="s">
        <v>743</v>
      </c>
      <c r="I36" s="507" t="s">
        <v>318</v>
      </c>
      <c r="J36" s="601" t="s">
        <v>319</v>
      </c>
      <c r="K36" s="507" t="s">
        <v>285</v>
      </c>
      <c r="L36" s="507" t="s">
        <v>737</v>
      </c>
      <c r="M36" s="507" t="s">
        <v>738</v>
      </c>
      <c r="N36" s="507" t="s">
        <v>739</v>
      </c>
      <c r="O36" s="602" t="s">
        <v>740</v>
      </c>
      <c r="P36" s="602" t="s">
        <v>741</v>
      </c>
      <c r="Q36" s="602" t="s">
        <v>320</v>
      </c>
      <c r="R36" s="507"/>
      <c r="S36" s="602" t="s">
        <v>740</v>
      </c>
      <c r="T36" s="602" t="s">
        <v>741</v>
      </c>
      <c r="U36" s="602" t="s">
        <v>320</v>
      </c>
      <c r="V36" s="507"/>
      <c r="W36" s="602" t="s">
        <v>740</v>
      </c>
      <c r="X36" s="602" t="s">
        <v>741</v>
      </c>
      <c r="Y36" s="602" t="s">
        <v>320</v>
      </c>
      <c r="AE36" s="130"/>
      <c r="AG36" s="106"/>
    </row>
    <row r="37">
      <c r="A37" s="289" t="s">
        <v>802</v>
      </c>
      <c r="B37" s="290">
        <v>45595.0</v>
      </c>
      <c r="C37" s="173" t="s">
        <v>325</v>
      </c>
      <c r="D37" s="180">
        <v>817.04</v>
      </c>
      <c r="E37" s="336"/>
      <c r="F37" s="173" t="s">
        <v>830</v>
      </c>
      <c r="H37" s="603">
        <f t="shared" ref="H37:H49" si="6">L37+O37+S37+W37</f>
        <v>0</v>
      </c>
      <c r="I37" s="463">
        <v>607888.0</v>
      </c>
      <c r="J37" s="464">
        <v>45653.0</v>
      </c>
      <c r="K37" s="465" t="s">
        <v>437</v>
      </c>
      <c r="L37" s="466">
        <v>3.0</v>
      </c>
      <c r="M37" s="467">
        <v>1504.57</v>
      </c>
      <c r="N37" s="467">
        <f t="shared" ref="N37:N41" si="7">M37/L37</f>
        <v>501.5233333</v>
      </c>
      <c r="O37" s="652">
        <v>-3.0</v>
      </c>
      <c r="P37" s="622">
        <f t="shared" ref="P37:P40" si="8">O37*N37</f>
        <v>-1504.57</v>
      </c>
      <c r="Q37" s="653">
        <v>45662.0</v>
      </c>
      <c r="R37" s="583"/>
      <c r="S37" s="469"/>
      <c r="T37" s="534"/>
      <c r="U37" s="469"/>
      <c r="V37" s="583"/>
      <c r="W37" s="469"/>
      <c r="X37" s="469"/>
      <c r="Y37" s="469"/>
      <c r="Z37" s="483"/>
      <c r="AA37" s="483"/>
      <c r="AB37" s="483"/>
      <c r="AC37" s="483"/>
      <c r="AD37" s="483"/>
      <c r="AE37" s="492"/>
      <c r="AF37" s="483"/>
      <c r="AG37" s="493"/>
      <c r="AH37" s="483"/>
      <c r="AI37" s="483"/>
    </row>
    <row r="38">
      <c r="A38" s="289" t="s">
        <v>810</v>
      </c>
      <c r="B38" s="290">
        <v>45602.0</v>
      </c>
      <c r="C38" s="173" t="s">
        <v>325</v>
      </c>
      <c r="D38" s="180">
        <v>812.54</v>
      </c>
      <c r="E38" s="336"/>
      <c r="F38" s="173" t="s">
        <v>830</v>
      </c>
      <c r="H38" s="603">
        <f t="shared" si="6"/>
        <v>0</v>
      </c>
      <c r="I38" s="463">
        <v>608100.0</v>
      </c>
      <c r="J38" s="464">
        <v>46022.0</v>
      </c>
      <c r="K38" s="465" t="s">
        <v>437</v>
      </c>
      <c r="L38" s="466">
        <v>9.0</v>
      </c>
      <c r="M38" s="467">
        <f>4305.17</f>
        <v>4305.17</v>
      </c>
      <c r="N38" s="467">
        <f t="shared" si="7"/>
        <v>478.3522222</v>
      </c>
      <c r="O38" s="652">
        <v>-3.0</v>
      </c>
      <c r="P38" s="622">
        <f t="shared" si="8"/>
        <v>-1435.056667</v>
      </c>
      <c r="Q38" s="653">
        <v>45662.0</v>
      </c>
      <c r="R38" s="583"/>
      <c r="S38" s="652">
        <v>-4.0</v>
      </c>
      <c r="T38" s="622">
        <f t="shared" ref="T38:T40" si="9">S38*N38</f>
        <v>-1913.408889</v>
      </c>
      <c r="U38" s="653">
        <v>45669.0</v>
      </c>
      <c r="V38" s="583"/>
      <c r="W38" s="652">
        <v>-2.0</v>
      </c>
      <c r="X38" s="622">
        <f>W38*N38</f>
        <v>-956.7044444</v>
      </c>
      <c r="Y38" s="653">
        <v>45676.0</v>
      </c>
      <c r="AE38" s="130"/>
      <c r="AG38" s="106"/>
    </row>
    <row r="39">
      <c r="A39" s="289" t="s">
        <v>824</v>
      </c>
      <c r="B39" s="290">
        <v>45609.0</v>
      </c>
      <c r="C39" s="173" t="s">
        <v>325</v>
      </c>
      <c r="D39" s="180">
        <v>829.32</v>
      </c>
      <c r="E39" s="336"/>
      <c r="F39" s="173" t="s">
        <v>830</v>
      </c>
      <c r="H39" s="603">
        <f t="shared" si="6"/>
        <v>0</v>
      </c>
      <c r="I39" s="463">
        <v>609641.0</v>
      </c>
      <c r="J39" s="464">
        <v>45665.0</v>
      </c>
      <c r="K39" s="465" t="s">
        <v>437</v>
      </c>
      <c r="L39" s="466">
        <v>6.0</v>
      </c>
      <c r="M39" s="467">
        <v>2782.71</v>
      </c>
      <c r="N39" s="467">
        <f t="shared" si="7"/>
        <v>463.785</v>
      </c>
      <c r="O39" s="652">
        <v>-5.0</v>
      </c>
      <c r="P39" s="622">
        <f t="shared" si="8"/>
        <v>-2318.925</v>
      </c>
      <c r="Q39" s="653">
        <v>45676.0</v>
      </c>
      <c r="R39" s="583"/>
      <c r="S39" s="652">
        <v>-1.0</v>
      </c>
      <c r="T39" s="622">
        <f t="shared" si="9"/>
        <v>-463.785</v>
      </c>
      <c r="U39" s="653">
        <v>45676.0</v>
      </c>
      <c r="V39" s="583"/>
      <c r="W39" s="469"/>
      <c r="X39" s="469"/>
      <c r="Y39" s="469"/>
      <c r="AE39" s="130"/>
      <c r="AG39" s="106"/>
    </row>
    <row r="40">
      <c r="A40" s="289" t="s">
        <v>831</v>
      </c>
      <c r="B40" s="290">
        <v>45616.0</v>
      </c>
      <c r="C40" s="173" t="s">
        <v>325</v>
      </c>
      <c r="D40" s="180">
        <v>821.53</v>
      </c>
      <c r="E40" s="336"/>
      <c r="F40" s="173" t="s">
        <v>830</v>
      </c>
      <c r="H40" s="603">
        <f t="shared" si="6"/>
        <v>0</v>
      </c>
      <c r="I40" s="463">
        <v>611034.0</v>
      </c>
      <c r="J40" s="464">
        <v>45672.0</v>
      </c>
      <c r="K40" s="465" t="s">
        <v>437</v>
      </c>
      <c r="L40" s="466">
        <v>6.0</v>
      </c>
      <c r="M40" s="467">
        <v>2892.55</v>
      </c>
      <c r="N40" s="467">
        <f t="shared" si="7"/>
        <v>482.0916667</v>
      </c>
      <c r="O40" s="360">
        <v>-4.0</v>
      </c>
      <c r="P40" s="613">
        <f t="shared" si="8"/>
        <v>-1928.366667</v>
      </c>
      <c r="Q40" s="604"/>
      <c r="R40" s="583"/>
      <c r="S40" s="360">
        <v>-2.0</v>
      </c>
      <c r="T40" s="613">
        <f t="shared" si="9"/>
        <v>-964.1833333</v>
      </c>
      <c r="U40" s="359">
        <v>45676.0</v>
      </c>
      <c r="V40" s="583"/>
      <c r="W40" s="469"/>
      <c r="X40" s="469"/>
      <c r="Y40" s="469"/>
      <c r="AE40" s="130"/>
      <c r="AG40" s="106"/>
    </row>
    <row r="41">
      <c r="A41" s="289" t="s">
        <v>875</v>
      </c>
      <c r="B41" s="290">
        <v>45673.0</v>
      </c>
      <c r="C41" s="173" t="s">
        <v>325</v>
      </c>
      <c r="D41" s="180">
        <v>805.36</v>
      </c>
      <c r="E41" s="336"/>
      <c r="F41" s="173"/>
      <c r="H41" s="603">
        <f t="shared" si="6"/>
        <v>6</v>
      </c>
      <c r="I41" s="463">
        <v>612376.0</v>
      </c>
      <c r="J41" s="464">
        <v>45679.0</v>
      </c>
      <c r="K41" s="465" t="s">
        <v>437</v>
      </c>
      <c r="L41" s="466">
        <v>6.0</v>
      </c>
      <c r="M41" s="467">
        <v>2661.57</v>
      </c>
      <c r="N41" s="467">
        <f t="shared" si="7"/>
        <v>443.595</v>
      </c>
      <c r="O41" s="489"/>
      <c r="P41" s="488"/>
      <c r="Q41" s="604"/>
      <c r="R41" s="583"/>
      <c r="S41" s="469"/>
      <c r="T41" s="534"/>
      <c r="U41" s="469"/>
      <c r="V41" s="583"/>
      <c r="W41" s="469"/>
      <c r="X41" s="469"/>
      <c r="Y41" s="469"/>
      <c r="AE41" s="130"/>
      <c r="AG41" s="106"/>
    </row>
    <row r="42">
      <c r="A42" s="289" t="s">
        <v>876</v>
      </c>
      <c r="B42" s="290">
        <v>45675.0</v>
      </c>
      <c r="C42" s="173" t="s">
        <v>325</v>
      </c>
      <c r="D42" s="180">
        <v>1624.49</v>
      </c>
      <c r="E42" s="336"/>
      <c r="F42" s="173"/>
      <c r="H42" s="610">
        <f t="shared" si="6"/>
        <v>0</v>
      </c>
      <c r="I42" s="463"/>
      <c r="J42" s="464"/>
      <c r="K42" s="465"/>
      <c r="L42" s="466"/>
      <c r="M42" s="467"/>
      <c r="N42" s="467"/>
      <c r="O42" s="489"/>
      <c r="P42" s="488"/>
      <c r="Q42" s="604"/>
      <c r="R42" s="615"/>
      <c r="S42" s="469"/>
      <c r="T42" s="534"/>
      <c r="U42" s="469"/>
      <c r="V42" s="615"/>
      <c r="W42" s="469"/>
      <c r="X42" s="469"/>
      <c r="Y42" s="469"/>
      <c r="AE42" s="130"/>
      <c r="AG42" s="106"/>
    </row>
    <row r="43">
      <c r="A43" s="289" t="s">
        <v>888</v>
      </c>
      <c r="B43" s="290">
        <v>45680.0</v>
      </c>
      <c r="C43" s="173" t="s">
        <v>325</v>
      </c>
      <c r="D43" s="180">
        <v>227.93</v>
      </c>
      <c r="E43" s="336"/>
      <c r="F43" s="173"/>
      <c r="H43" s="610">
        <f t="shared" si="6"/>
        <v>0</v>
      </c>
      <c r="I43" s="463"/>
      <c r="J43" s="464"/>
      <c r="K43" s="465"/>
      <c r="L43" s="466"/>
      <c r="M43" s="467"/>
      <c r="N43" s="467"/>
      <c r="O43" s="489"/>
      <c r="P43" s="488"/>
      <c r="Q43" s="604"/>
      <c r="R43" s="583"/>
      <c r="S43" s="469"/>
      <c r="T43" s="534"/>
      <c r="U43" s="469"/>
      <c r="V43" s="583"/>
      <c r="W43" s="469"/>
      <c r="X43" s="469"/>
      <c r="Y43" s="469"/>
      <c r="AE43" s="130"/>
      <c r="AG43" s="106"/>
    </row>
    <row r="44">
      <c r="A44" s="264" t="s">
        <v>860</v>
      </c>
      <c r="B44" s="639">
        <v>45663.0</v>
      </c>
      <c r="C44" s="166" t="s">
        <v>861</v>
      </c>
      <c r="D44" s="93">
        <f>754/2</f>
        <v>377</v>
      </c>
      <c r="E44" s="285"/>
      <c r="F44" s="264"/>
      <c r="H44" s="603">
        <f t="shared" si="6"/>
        <v>0</v>
      </c>
      <c r="I44" s="463"/>
      <c r="J44" s="464"/>
      <c r="K44" s="465"/>
      <c r="L44" s="466"/>
      <c r="M44" s="467"/>
      <c r="N44" s="467"/>
      <c r="O44" s="489"/>
      <c r="P44" s="488"/>
      <c r="Q44" s="604"/>
      <c r="R44" s="583"/>
      <c r="S44" s="469"/>
      <c r="T44" s="534"/>
      <c r="U44" s="469"/>
      <c r="V44" s="583"/>
      <c r="W44" s="469"/>
      <c r="X44" s="469"/>
      <c r="Y44" s="469"/>
      <c r="AE44" s="130"/>
      <c r="AG44" s="106"/>
    </row>
    <row r="45">
      <c r="A45" s="655" t="s">
        <v>865</v>
      </c>
      <c r="B45" s="656">
        <v>45666.0</v>
      </c>
      <c r="C45" s="322" t="s">
        <v>866</v>
      </c>
      <c r="D45" s="323">
        <f>89.16+225.66-225.66</f>
        <v>89.16</v>
      </c>
      <c r="E45" s="285"/>
      <c r="F45" s="655" t="s">
        <v>889</v>
      </c>
      <c r="H45" s="603">
        <f t="shared" si="6"/>
        <v>0</v>
      </c>
      <c r="I45" s="463"/>
      <c r="J45" s="464"/>
      <c r="K45" s="465"/>
      <c r="L45" s="466"/>
      <c r="M45" s="467"/>
      <c r="N45" s="467"/>
      <c r="O45" s="489"/>
      <c r="P45" s="488"/>
      <c r="Q45" s="604"/>
      <c r="R45" s="583"/>
      <c r="S45" s="469"/>
      <c r="T45" s="534"/>
      <c r="U45" s="469"/>
      <c r="V45" s="583"/>
      <c r="W45" s="469"/>
      <c r="X45" s="469"/>
      <c r="Y45" s="469"/>
      <c r="AE45" s="130"/>
      <c r="AG45" s="106"/>
    </row>
    <row r="46">
      <c r="A46" s="264" t="s">
        <v>867</v>
      </c>
      <c r="B46" s="639">
        <v>45666.0</v>
      </c>
      <c r="C46" s="166" t="s">
        <v>868</v>
      </c>
      <c r="D46" s="93">
        <v>295.0</v>
      </c>
      <c r="E46" s="285"/>
      <c r="F46" s="264"/>
      <c r="H46" s="603">
        <f t="shared" si="6"/>
        <v>0</v>
      </c>
      <c r="I46" s="463"/>
      <c r="J46" s="464"/>
      <c r="K46" s="465"/>
      <c r="L46" s="466"/>
      <c r="M46" s="467"/>
      <c r="N46" s="467"/>
      <c r="O46" s="489"/>
      <c r="P46" s="488"/>
      <c r="Q46" s="604"/>
      <c r="R46" s="583"/>
      <c r="S46" s="469"/>
      <c r="T46" s="534"/>
      <c r="U46" s="469"/>
      <c r="V46" s="583"/>
      <c r="W46" s="469"/>
      <c r="X46" s="469"/>
      <c r="Y46" s="469"/>
      <c r="AE46" s="130"/>
      <c r="AG46" s="106"/>
    </row>
    <row r="47">
      <c r="A47" s="655" t="s">
        <v>877</v>
      </c>
      <c r="B47" s="656">
        <v>45674.0</v>
      </c>
      <c r="C47" s="322" t="s">
        <v>845</v>
      </c>
      <c r="D47" s="323">
        <f>1454.9-84.53-1370.37</f>
        <v>0</v>
      </c>
      <c r="E47" s="657"/>
      <c r="F47" s="655" t="s">
        <v>890</v>
      </c>
      <c r="H47" s="603">
        <f t="shared" si="6"/>
        <v>0</v>
      </c>
      <c r="I47" s="463"/>
      <c r="J47" s="464"/>
      <c r="K47" s="465"/>
      <c r="L47" s="466"/>
      <c r="M47" s="467"/>
      <c r="N47" s="467"/>
      <c r="O47" s="489"/>
      <c r="P47" s="488"/>
      <c r="Q47" s="604"/>
      <c r="R47" s="583"/>
      <c r="S47" s="469"/>
      <c r="T47" s="534"/>
      <c r="U47" s="469"/>
      <c r="V47" s="583"/>
      <c r="W47" s="469"/>
      <c r="X47" s="469"/>
      <c r="Y47" s="469"/>
      <c r="AE47" s="130"/>
      <c r="AG47" s="106"/>
    </row>
    <row r="48">
      <c r="A48" s="655" t="s">
        <v>878</v>
      </c>
      <c r="B48" s="656">
        <v>45675.0</v>
      </c>
      <c r="C48" s="322" t="s">
        <v>879</v>
      </c>
      <c r="D48" s="323">
        <f>227.39-227.39</f>
        <v>0</v>
      </c>
      <c r="E48" s="285"/>
      <c r="F48" s="264"/>
      <c r="H48" s="603">
        <f t="shared" si="6"/>
        <v>0</v>
      </c>
      <c r="I48" s="463"/>
      <c r="J48" s="464"/>
      <c r="K48" s="465"/>
      <c r="L48" s="466"/>
      <c r="M48" s="467"/>
      <c r="N48" s="467"/>
      <c r="O48" s="489"/>
      <c r="P48" s="488"/>
      <c r="Q48" s="604"/>
      <c r="R48" s="583"/>
      <c r="S48" s="469"/>
      <c r="T48" s="534"/>
      <c r="U48" s="469"/>
      <c r="V48" s="583"/>
      <c r="W48" s="469"/>
      <c r="X48" s="469"/>
      <c r="Y48" s="469"/>
      <c r="AE48" s="130"/>
      <c r="AG48" s="106"/>
    </row>
    <row r="49">
      <c r="A49" s="264" t="s">
        <v>880</v>
      </c>
      <c r="B49" s="639">
        <v>45673.0</v>
      </c>
      <c r="C49" s="166" t="s">
        <v>881</v>
      </c>
      <c r="D49" s="93">
        <v>660.08</v>
      </c>
      <c r="E49" s="285"/>
      <c r="F49" s="264"/>
      <c r="H49" s="603">
        <f t="shared" si="6"/>
        <v>0</v>
      </c>
      <c r="I49" s="463"/>
      <c r="J49" s="464"/>
      <c r="K49" s="465"/>
      <c r="L49" s="466"/>
      <c r="M49" s="467"/>
      <c r="N49" s="467"/>
      <c r="O49" s="489"/>
      <c r="P49" s="488"/>
      <c r="Q49" s="604"/>
      <c r="R49" s="583"/>
      <c r="S49" s="469"/>
      <c r="T49" s="534"/>
      <c r="U49" s="469"/>
      <c r="V49" s="583"/>
      <c r="W49" s="469"/>
      <c r="X49" s="469"/>
      <c r="Y49" s="469"/>
      <c r="AE49" s="130"/>
      <c r="AG49" s="106"/>
    </row>
    <row r="50">
      <c r="A50" s="264" t="s">
        <v>882</v>
      </c>
      <c r="B50" s="639">
        <v>45674.0</v>
      </c>
      <c r="C50" s="166" t="s">
        <v>408</v>
      </c>
      <c r="D50" s="93">
        <v>787.5</v>
      </c>
      <c r="E50" s="285"/>
      <c r="F50" s="264"/>
      <c r="P50" s="79"/>
      <c r="T50" s="79"/>
      <c r="U50" s="79"/>
      <c r="AE50" s="130"/>
      <c r="AG50" s="106"/>
    </row>
    <row r="51">
      <c r="A51" s="264" t="s">
        <v>883</v>
      </c>
      <c r="B51" s="639">
        <v>45675.0</v>
      </c>
      <c r="C51" s="166" t="s">
        <v>536</v>
      </c>
      <c r="D51" s="93">
        <v>232.0</v>
      </c>
      <c r="E51" s="285"/>
      <c r="F51" s="264"/>
      <c r="H51" s="479" t="s">
        <v>287</v>
      </c>
      <c r="I51" s="32" t="s">
        <v>748</v>
      </c>
      <c r="J51" s="479" t="s">
        <v>749</v>
      </c>
      <c r="K51" s="479" t="s">
        <v>750</v>
      </c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AE51" s="130"/>
      <c r="AG51" s="106"/>
    </row>
    <row r="52">
      <c r="A52" s="264" t="s">
        <v>884</v>
      </c>
      <c r="B52" s="639">
        <v>45671.0</v>
      </c>
      <c r="C52" s="166" t="s">
        <v>885</v>
      </c>
      <c r="D52" s="93">
        <f>143+60+105+180+132</f>
        <v>620</v>
      </c>
      <c r="E52" s="285"/>
      <c r="F52" s="264"/>
      <c r="H52" s="286">
        <v>45662.0</v>
      </c>
      <c r="I52" s="32">
        <v>6.0</v>
      </c>
      <c r="J52" s="480">
        <f>P37+P38</f>
        <v>-2939.626667</v>
      </c>
      <c r="K52" s="479" t="s">
        <v>195</v>
      </c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AE52" s="130"/>
      <c r="AG52" s="106"/>
    </row>
    <row r="53">
      <c r="A53" s="264" t="s">
        <v>891</v>
      </c>
      <c r="B53" s="639">
        <v>45678.0</v>
      </c>
      <c r="C53" s="166" t="s">
        <v>845</v>
      </c>
      <c r="D53" s="93">
        <v>1226.1</v>
      </c>
      <c r="E53" s="285"/>
      <c r="F53" s="264"/>
      <c r="H53" s="286">
        <v>45669.0</v>
      </c>
      <c r="I53" s="32">
        <v>3.0</v>
      </c>
      <c r="J53" s="480">
        <f>N38*-3</f>
        <v>-1435.056667</v>
      </c>
      <c r="K53" s="479" t="s">
        <v>195</v>
      </c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AE53" s="130"/>
      <c r="AG53" s="106"/>
    </row>
    <row r="54">
      <c r="A54" s="264" t="s">
        <v>892</v>
      </c>
      <c r="B54" s="639">
        <v>45682.0</v>
      </c>
      <c r="C54" s="166" t="s">
        <v>893</v>
      </c>
      <c r="D54" s="93">
        <v>266.0</v>
      </c>
      <c r="E54" s="285"/>
      <c r="F54" s="264"/>
      <c r="H54" s="286">
        <v>45669.0</v>
      </c>
      <c r="I54" s="32">
        <v>1.0</v>
      </c>
      <c r="J54" s="480">
        <f>N38*-1</f>
        <v>-478.3522222</v>
      </c>
      <c r="K54" s="479" t="s">
        <v>839</v>
      </c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AE54" s="130"/>
      <c r="AG54" s="106"/>
    </row>
    <row r="55">
      <c r="A55" s="264" t="s">
        <v>894</v>
      </c>
      <c r="B55" s="639">
        <v>45677.0</v>
      </c>
      <c r="C55" s="166" t="s">
        <v>111</v>
      </c>
      <c r="D55" s="93">
        <v>580.0</v>
      </c>
      <c r="E55" s="285"/>
      <c r="F55" s="264"/>
      <c r="H55" s="504">
        <v>45676.0</v>
      </c>
      <c r="I55" s="479">
        <v>7.0</v>
      </c>
      <c r="J55" s="505">
        <f>(P39+X38)*-1</f>
        <v>3275.629444</v>
      </c>
      <c r="K55" s="479" t="s">
        <v>195</v>
      </c>
      <c r="M55" s="79"/>
      <c r="N55" s="78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AE55" s="130"/>
      <c r="AG55" s="106"/>
    </row>
    <row r="56">
      <c r="A56" s="264"/>
      <c r="B56" s="639"/>
      <c r="C56" s="166"/>
      <c r="D56" s="93"/>
      <c r="E56" s="285"/>
      <c r="F56" s="264"/>
      <c r="H56" s="504">
        <v>45676.0</v>
      </c>
      <c r="I56" s="479">
        <v>1.0</v>
      </c>
      <c r="J56" s="505">
        <f>T39</f>
        <v>-463.785</v>
      </c>
      <c r="K56" s="479" t="s">
        <v>839</v>
      </c>
      <c r="M56" s="79"/>
      <c r="N56" s="78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AE56" s="130"/>
      <c r="AG56" s="106"/>
    </row>
    <row r="57">
      <c r="A57" s="264"/>
      <c r="B57" s="639"/>
      <c r="C57" s="166"/>
      <c r="D57" s="93"/>
      <c r="E57" s="285"/>
      <c r="F57" s="264"/>
      <c r="H57" s="504"/>
      <c r="I57" s="479"/>
      <c r="J57" s="505"/>
      <c r="K57" s="4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Z57" s="625"/>
      <c r="AA57" s="625"/>
      <c r="AB57" s="625"/>
      <c r="AC57" s="625"/>
      <c r="AD57" s="658"/>
      <c r="AE57" s="625"/>
      <c r="AF57" s="659"/>
      <c r="AG57" s="625"/>
    </row>
    <row r="58">
      <c r="A58" s="264"/>
      <c r="B58" s="639"/>
      <c r="C58" s="166"/>
      <c r="D58" s="93"/>
      <c r="E58" s="285"/>
      <c r="F58" s="264"/>
      <c r="H58" s="504"/>
      <c r="I58" s="479"/>
      <c r="J58" s="505"/>
      <c r="K58" s="4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Z58" s="625"/>
      <c r="AA58" s="625"/>
      <c r="AB58" s="625"/>
      <c r="AC58" s="625"/>
      <c r="AD58" s="658"/>
      <c r="AE58" s="625"/>
      <c r="AF58" s="659"/>
      <c r="AG58" s="625"/>
    </row>
    <row r="59">
      <c r="A59" s="264"/>
      <c r="B59" s="639"/>
      <c r="C59" s="166"/>
      <c r="D59" s="93"/>
      <c r="E59" s="285"/>
      <c r="F59" s="264"/>
      <c r="H59" s="584"/>
      <c r="I59" s="585"/>
      <c r="J59" s="586"/>
      <c r="K59" s="585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Z59" s="625"/>
      <c r="AA59" s="625"/>
      <c r="AB59" s="625"/>
      <c r="AC59" s="625"/>
      <c r="AD59" s="658"/>
      <c r="AE59" s="625"/>
      <c r="AF59" s="659"/>
      <c r="AG59" s="625"/>
    </row>
    <row r="60">
      <c r="A60" s="264"/>
      <c r="B60" s="639"/>
      <c r="C60" s="166"/>
      <c r="D60" s="93"/>
      <c r="E60" s="285"/>
      <c r="F60" s="264"/>
      <c r="H60" s="286"/>
      <c r="I60" s="479"/>
      <c r="J60" s="505"/>
      <c r="K60" s="4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Z60" s="625"/>
      <c r="AA60" s="625"/>
      <c r="AB60" s="625"/>
      <c r="AC60" s="625"/>
      <c r="AD60" s="658"/>
      <c r="AE60" s="625"/>
      <c r="AF60" s="659"/>
      <c r="AG60" s="625"/>
    </row>
    <row r="61">
      <c r="A61" s="646"/>
      <c r="B61" s="647"/>
      <c r="C61" s="78"/>
      <c r="D61" s="192"/>
      <c r="E61" s="643"/>
      <c r="F61" s="45"/>
      <c r="H61" s="286"/>
      <c r="I61" s="479"/>
      <c r="J61" s="505"/>
      <c r="K61" s="4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Z61" s="625"/>
      <c r="AA61" s="625"/>
      <c r="AB61" s="625"/>
      <c r="AC61" s="625"/>
      <c r="AD61" s="658"/>
      <c r="AE61" s="625"/>
      <c r="AF61" s="659"/>
      <c r="AG61" s="625"/>
    </row>
    <row r="62">
      <c r="A62" s="646"/>
      <c r="B62" s="647"/>
      <c r="C62" s="78"/>
      <c r="D62" s="192"/>
      <c r="E62" s="643"/>
      <c r="F62" s="45"/>
      <c r="H62" s="286"/>
      <c r="I62" s="479"/>
      <c r="J62" s="479"/>
      <c r="K62" s="4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Z62" s="625"/>
      <c r="AA62" s="625"/>
      <c r="AB62" s="625"/>
      <c r="AC62" s="625"/>
      <c r="AD62" s="658"/>
      <c r="AE62" s="625"/>
      <c r="AF62" s="659"/>
      <c r="AG62" s="625"/>
    </row>
    <row r="63">
      <c r="A63" s="646"/>
      <c r="B63" s="647"/>
      <c r="C63" s="78"/>
      <c r="D63" s="192"/>
      <c r="E63" s="643"/>
      <c r="F63" s="45"/>
      <c r="H63" s="286"/>
      <c r="I63" s="479"/>
      <c r="J63" s="479"/>
      <c r="K63" s="4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Z63" s="625"/>
      <c r="AA63" s="625"/>
      <c r="AB63" s="625"/>
      <c r="AC63" s="625"/>
      <c r="AD63" s="658"/>
      <c r="AE63" s="625"/>
      <c r="AF63" s="659"/>
      <c r="AG63" s="625"/>
    </row>
    <row r="64">
      <c r="A64" s="646"/>
      <c r="B64" s="647"/>
      <c r="C64" s="78"/>
      <c r="D64" s="192"/>
      <c r="E64" s="643"/>
      <c r="F64" s="45"/>
      <c r="H64" s="504"/>
      <c r="I64" s="479"/>
      <c r="J64" s="505"/>
      <c r="K64" s="479"/>
      <c r="M64" s="79"/>
      <c r="N64" s="481"/>
      <c r="O64" s="545"/>
      <c r="P64" s="481"/>
      <c r="Q64" s="481"/>
      <c r="R64" s="545"/>
      <c r="S64" s="545"/>
      <c r="T64" s="481"/>
      <c r="U64" s="481"/>
      <c r="V64" s="481"/>
      <c r="W64" s="481"/>
      <c r="X64" s="545"/>
      <c r="Z64" s="625"/>
      <c r="AA64" s="625"/>
      <c r="AB64" s="625"/>
      <c r="AC64" s="625"/>
      <c r="AD64" s="658"/>
      <c r="AE64" s="625"/>
      <c r="AF64" s="659"/>
      <c r="AG64" s="625"/>
    </row>
    <row r="65">
      <c r="A65" s="646"/>
      <c r="B65" s="647"/>
      <c r="C65" s="78"/>
      <c r="D65" s="192"/>
      <c r="E65" s="643"/>
      <c r="F65" s="45"/>
      <c r="H65" s="286"/>
      <c r="I65" s="479"/>
      <c r="J65" s="479"/>
      <c r="K65" s="479"/>
      <c r="M65" s="79"/>
      <c r="N65" s="545"/>
      <c r="O65" s="545"/>
      <c r="P65" s="545"/>
      <c r="Q65" s="545"/>
      <c r="R65" s="545"/>
      <c r="S65" s="545"/>
      <c r="T65" s="545"/>
      <c r="U65" s="545"/>
      <c r="V65" s="545"/>
      <c r="W65" s="545"/>
      <c r="X65" s="545"/>
      <c r="AD65" s="130"/>
      <c r="AF65" s="106"/>
    </row>
    <row r="66">
      <c r="A66" s="646"/>
      <c r="B66" s="647"/>
      <c r="C66" s="78"/>
      <c r="D66" s="192"/>
      <c r="E66" s="643"/>
      <c r="F66" s="45"/>
      <c r="H66" s="634"/>
      <c r="I66" s="479"/>
      <c r="J66" s="505"/>
      <c r="K66" s="479"/>
      <c r="M66" s="79"/>
      <c r="N66" s="626"/>
      <c r="O66" s="626"/>
      <c r="P66" s="626"/>
      <c r="Q66" s="626"/>
      <c r="R66" s="626"/>
      <c r="S66" s="626"/>
      <c r="T66" s="626"/>
      <c r="U66" s="626"/>
      <c r="V66" s="626"/>
      <c r="W66" s="626"/>
      <c r="X66" s="626"/>
      <c r="AD66" s="130"/>
      <c r="AF66" s="106"/>
    </row>
    <row r="67">
      <c r="A67" s="646"/>
      <c r="B67" s="647"/>
      <c r="C67" s="78"/>
      <c r="D67" s="192"/>
      <c r="E67" s="643"/>
      <c r="F67" s="45"/>
      <c r="H67" s="634"/>
      <c r="I67" s="479"/>
      <c r="J67" s="505"/>
      <c r="K67" s="479"/>
      <c r="L67" s="625"/>
      <c r="M67" s="79"/>
      <c r="N67" s="626"/>
      <c r="O67" s="626"/>
      <c r="P67" s="626"/>
      <c r="Q67" s="626"/>
      <c r="R67" s="626"/>
      <c r="S67" s="626"/>
      <c r="T67" s="626"/>
      <c r="U67" s="626"/>
      <c r="V67" s="626"/>
      <c r="W67" s="626"/>
      <c r="X67" s="626"/>
      <c r="AD67" s="130"/>
      <c r="AF67" s="106"/>
    </row>
    <row r="68">
      <c r="A68" s="646"/>
      <c r="B68" s="647"/>
      <c r="C68" s="78"/>
      <c r="D68" s="192"/>
      <c r="E68" s="643"/>
      <c r="F68" s="45"/>
      <c r="H68" s="479"/>
      <c r="I68" s="481"/>
      <c r="J68" s="481"/>
      <c r="K68" s="481"/>
      <c r="L68" s="625"/>
      <c r="M68" s="79"/>
      <c r="N68" s="626"/>
      <c r="O68" s="626"/>
      <c r="P68" s="626"/>
      <c r="Q68" s="626"/>
      <c r="R68" s="626"/>
      <c r="S68" s="626"/>
      <c r="T68" s="626"/>
      <c r="U68" s="626"/>
      <c r="V68" s="626"/>
      <c r="W68" s="626"/>
      <c r="X68" s="626"/>
      <c r="AD68" s="130"/>
      <c r="AF68" s="106"/>
    </row>
    <row r="69">
      <c r="A69" s="646"/>
      <c r="B69" s="647"/>
      <c r="C69" s="78"/>
      <c r="D69" s="192"/>
      <c r="E69" s="643"/>
      <c r="F69" s="45"/>
      <c r="H69" s="479"/>
      <c r="I69" s="481"/>
      <c r="J69" s="481"/>
      <c r="K69" s="481"/>
      <c r="L69" s="625"/>
      <c r="M69" s="79"/>
      <c r="N69" s="626"/>
      <c r="O69" s="626"/>
      <c r="P69" s="626"/>
      <c r="Q69" s="626"/>
      <c r="R69" s="626"/>
      <c r="S69" s="626"/>
      <c r="T69" s="626"/>
      <c r="U69" s="626"/>
      <c r="V69" s="626"/>
      <c r="W69" s="626"/>
      <c r="X69" s="626"/>
      <c r="AD69" s="130"/>
      <c r="AF69" s="106"/>
    </row>
    <row r="70">
      <c r="E70" s="643"/>
      <c r="F70" s="45"/>
      <c r="H70" s="479"/>
      <c r="I70" s="481"/>
      <c r="J70" s="481"/>
      <c r="K70" s="481"/>
      <c r="L70" s="625"/>
      <c r="M70" s="79"/>
      <c r="N70" s="626"/>
      <c r="O70" s="626"/>
      <c r="P70" s="626"/>
      <c r="Q70" s="626"/>
      <c r="R70" s="626"/>
      <c r="S70" s="626"/>
      <c r="T70" s="626"/>
      <c r="U70" s="626"/>
      <c r="V70" s="626"/>
      <c r="W70" s="626"/>
      <c r="X70" s="626"/>
      <c r="AD70" s="130"/>
      <c r="AF70" s="106"/>
    </row>
    <row r="71">
      <c r="A71" s="646"/>
      <c r="B71" s="647"/>
      <c r="C71" s="78"/>
      <c r="D71" s="192"/>
      <c r="E71" s="643"/>
      <c r="F71" s="45"/>
      <c r="H71" s="479"/>
      <c r="I71" s="481"/>
      <c r="J71" s="481"/>
      <c r="K71" s="481"/>
      <c r="L71" s="625"/>
      <c r="M71" s="79"/>
      <c r="N71" s="626"/>
      <c r="O71" s="626"/>
      <c r="P71" s="626"/>
      <c r="Q71" s="626"/>
      <c r="R71" s="626"/>
      <c r="S71" s="626"/>
      <c r="T71" s="626"/>
      <c r="U71" s="626"/>
      <c r="V71" s="626"/>
      <c r="W71" s="626"/>
      <c r="X71" s="626"/>
      <c r="AD71" s="130"/>
      <c r="AF71" s="106"/>
    </row>
    <row r="72">
      <c r="A72" s="646"/>
      <c r="B72" s="647"/>
      <c r="C72" s="78"/>
      <c r="D72" s="192"/>
      <c r="E72" s="643"/>
      <c r="F72" s="45"/>
      <c r="H72" s="479"/>
      <c r="I72" s="481"/>
      <c r="J72" s="481"/>
      <c r="K72" s="481"/>
      <c r="L72" s="625"/>
      <c r="M72" s="79"/>
      <c r="N72" s="626"/>
      <c r="O72" s="626"/>
      <c r="P72" s="626"/>
      <c r="Q72" s="626"/>
      <c r="R72" s="626"/>
      <c r="S72" s="626"/>
      <c r="T72" s="626"/>
      <c r="U72" s="626"/>
      <c r="V72" s="626"/>
      <c r="W72" s="626"/>
      <c r="X72" s="626"/>
      <c r="AD72" s="130"/>
      <c r="AF72" s="106"/>
    </row>
    <row r="73">
      <c r="A73" s="646"/>
      <c r="B73" s="647"/>
      <c r="C73" s="78"/>
      <c r="D73" s="192"/>
      <c r="E73" s="643"/>
      <c r="F73" s="45"/>
      <c r="H73" s="479"/>
      <c r="I73" s="481"/>
      <c r="J73" s="481"/>
      <c r="K73" s="481"/>
      <c r="L73" s="625"/>
      <c r="M73" s="79"/>
      <c r="N73" s="626"/>
      <c r="O73" s="626"/>
      <c r="P73" s="626"/>
      <c r="Q73" s="626"/>
      <c r="R73" s="626"/>
      <c r="S73" s="626"/>
      <c r="T73" s="626"/>
      <c r="U73" s="626"/>
      <c r="V73" s="626"/>
      <c r="W73" s="626"/>
      <c r="X73" s="626"/>
      <c r="AD73" s="130"/>
      <c r="AF73" s="106"/>
    </row>
    <row r="74">
      <c r="A74" s="646"/>
      <c r="B74" s="647"/>
      <c r="C74" s="78"/>
      <c r="D74" s="192"/>
      <c r="E74" s="643"/>
      <c r="F74" s="45"/>
      <c r="H74" s="479"/>
      <c r="I74" s="481"/>
      <c r="J74" s="481"/>
      <c r="K74" s="481"/>
      <c r="L74" s="625"/>
      <c r="M74" s="79"/>
      <c r="N74" s="626"/>
      <c r="O74" s="626"/>
      <c r="P74" s="626"/>
      <c r="Q74" s="626"/>
      <c r="R74" s="626"/>
      <c r="S74" s="626"/>
      <c r="T74" s="626"/>
      <c r="U74" s="626"/>
      <c r="V74" s="626"/>
      <c r="W74" s="626"/>
      <c r="X74" s="626"/>
      <c r="AD74" s="130"/>
      <c r="AF74" s="106"/>
    </row>
    <row r="75">
      <c r="A75" s="646"/>
      <c r="B75" s="647"/>
      <c r="C75" s="78"/>
      <c r="D75" s="192"/>
      <c r="E75" s="643"/>
      <c r="F75" s="45"/>
      <c r="O75" s="79"/>
      <c r="R75" s="79"/>
      <c r="S75" s="79"/>
      <c r="X75" s="79"/>
      <c r="AD75" s="130"/>
      <c r="AF75" s="106"/>
    </row>
    <row r="76">
      <c r="A76" s="646"/>
      <c r="B76" s="647"/>
      <c r="C76" s="78"/>
      <c r="D76" s="192"/>
      <c r="E76" s="643"/>
      <c r="F76" s="45"/>
      <c r="O76" s="79"/>
      <c r="R76" s="79"/>
      <c r="S76" s="79"/>
      <c r="X76" s="79"/>
      <c r="AD76" s="130"/>
      <c r="AF76" s="106"/>
    </row>
    <row r="77">
      <c r="A77" s="646"/>
      <c r="B77" s="647"/>
      <c r="C77" s="78"/>
      <c r="D77" s="192"/>
      <c r="E77" s="643"/>
      <c r="F77" s="45"/>
      <c r="O77" s="79"/>
      <c r="R77" s="79"/>
      <c r="S77" s="79"/>
      <c r="X77" s="79"/>
      <c r="AD77" s="130"/>
      <c r="AF77" s="106"/>
    </row>
    <row r="78">
      <c r="A78" s="646"/>
      <c r="B78" s="647"/>
      <c r="C78" s="78"/>
      <c r="D78" s="192"/>
      <c r="E78" s="643"/>
      <c r="F78" s="45"/>
      <c r="O78" s="79"/>
      <c r="R78" s="79"/>
      <c r="S78" s="79"/>
      <c r="X78" s="79"/>
      <c r="AD78" s="130"/>
      <c r="AF78" s="106"/>
    </row>
    <row r="79">
      <c r="A79" s="646"/>
      <c r="B79" s="647"/>
      <c r="C79" s="78"/>
      <c r="D79" s="192"/>
      <c r="E79" s="643"/>
      <c r="F79" s="45"/>
      <c r="O79" s="79"/>
      <c r="R79" s="79"/>
      <c r="S79" s="79"/>
      <c r="X79" s="79"/>
      <c r="AD79" s="130"/>
      <c r="AF79" s="106"/>
    </row>
    <row r="80">
      <c r="A80" s="646"/>
      <c r="B80" s="647"/>
      <c r="C80" s="78"/>
      <c r="D80" s="192"/>
      <c r="E80" s="643"/>
      <c r="F80" s="45"/>
      <c r="O80" s="79"/>
      <c r="R80" s="79"/>
      <c r="S80" s="79"/>
      <c r="X80" s="79"/>
      <c r="AD80" s="130"/>
      <c r="AF80" s="106"/>
    </row>
    <row r="81">
      <c r="A81" s="646"/>
      <c r="B81" s="647"/>
      <c r="C81" s="78"/>
      <c r="D81" s="192"/>
      <c r="E81" s="643"/>
      <c r="F81" s="45"/>
      <c r="H81" s="660" t="s">
        <v>895</v>
      </c>
      <c r="O81" s="79"/>
      <c r="R81" s="79"/>
      <c r="S81" s="79"/>
      <c r="X81" s="79"/>
      <c r="AD81" s="130"/>
      <c r="AF81" s="106"/>
    </row>
    <row r="82">
      <c r="A82" s="646"/>
      <c r="B82" s="647"/>
      <c r="C82" s="78"/>
      <c r="D82" s="192"/>
      <c r="E82" s="643"/>
      <c r="F82" s="45"/>
      <c r="H82" s="661">
        <v>45679.0</v>
      </c>
      <c r="I82" s="662" t="s">
        <v>139</v>
      </c>
      <c r="J82" s="662">
        <v>6.6700071E7</v>
      </c>
      <c r="K82" s="662" t="s">
        <v>896</v>
      </c>
      <c r="L82" s="662" t="s">
        <v>897</v>
      </c>
      <c r="M82" s="662" t="s">
        <v>898</v>
      </c>
      <c r="N82" s="663">
        <v>37.88</v>
      </c>
      <c r="O82" s="662"/>
      <c r="R82" s="79"/>
      <c r="S82" s="79"/>
      <c r="X82" s="79"/>
      <c r="AD82" s="130"/>
      <c r="AF82" s="106"/>
    </row>
    <row r="83">
      <c r="A83" s="646"/>
      <c r="B83" s="647"/>
      <c r="C83" s="78"/>
      <c r="D83" s="192"/>
      <c r="E83" s="643"/>
      <c r="F83" s="45"/>
      <c r="H83" s="661">
        <v>45680.0</v>
      </c>
      <c r="I83" s="662" t="s">
        <v>139</v>
      </c>
      <c r="J83" s="662">
        <v>6.6712975E7</v>
      </c>
      <c r="K83" s="662" t="s">
        <v>896</v>
      </c>
      <c r="L83" s="662" t="s">
        <v>897</v>
      </c>
      <c r="M83" s="662" t="s">
        <v>899</v>
      </c>
      <c r="N83" s="663">
        <v>23.65</v>
      </c>
      <c r="O83" s="662"/>
      <c r="R83" s="79"/>
      <c r="S83" s="79"/>
      <c r="X83" s="79"/>
      <c r="AD83" s="130"/>
      <c r="AF83" s="106"/>
    </row>
    <row r="84">
      <c r="A84" s="646"/>
      <c r="B84" s="647"/>
      <c r="C84" s="78"/>
      <c r="D84" s="192"/>
      <c r="E84" s="643"/>
      <c r="F84" s="45"/>
      <c r="H84" s="661">
        <v>45680.0</v>
      </c>
      <c r="I84" s="662" t="s">
        <v>139</v>
      </c>
      <c r="J84" s="662">
        <v>6.6712975E7</v>
      </c>
      <c r="K84" s="662" t="s">
        <v>896</v>
      </c>
      <c r="L84" s="662" t="s">
        <v>897</v>
      </c>
      <c r="M84" s="662" t="s">
        <v>900</v>
      </c>
      <c r="N84" s="663">
        <v>47.2</v>
      </c>
      <c r="O84" s="662"/>
      <c r="R84" s="79"/>
      <c r="S84" s="79"/>
      <c r="X84" s="79"/>
      <c r="AD84" s="130"/>
      <c r="AF84" s="106"/>
    </row>
    <row r="85">
      <c r="A85" s="646"/>
      <c r="B85" s="647"/>
      <c r="C85" s="78"/>
      <c r="D85" s="192"/>
      <c r="E85" s="643"/>
      <c r="F85" s="45"/>
      <c r="H85" s="661">
        <v>45682.0</v>
      </c>
      <c r="I85" s="662" t="s">
        <v>139</v>
      </c>
      <c r="J85" s="662">
        <v>6.674436E7</v>
      </c>
      <c r="K85" s="662" t="s">
        <v>896</v>
      </c>
      <c r="L85" s="662" t="s">
        <v>897</v>
      </c>
      <c r="M85" s="662" t="s">
        <v>900</v>
      </c>
      <c r="N85" s="663">
        <v>23.6</v>
      </c>
      <c r="O85" s="662"/>
      <c r="R85" s="79"/>
      <c r="S85" s="79"/>
      <c r="X85" s="79"/>
      <c r="AD85" s="130"/>
      <c r="AF85" s="106"/>
    </row>
    <row r="86">
      <c r="A86" s="646"/>
      <c r="B86" s="647"/>
      <c r="C86" s="78"/>
      <c r="D86" s="192"/>
      <c r="E86" s="643"/>
      <c r="F86" s="45"/>
      <c r="H86" s="661">
        <v>45682.0</v>
      </c>
      <c r="I86" s="662" t="s">
        <v>139</v>
      </c>
      <c r="J86" s="662">
        <v>6.674436E7</v>
      </c>
      <c r="K86" s="662" t="s">
        <v>896</v>
      </c>
      <c r="L86" s="662" t="s">
        <v>897</v>
      </c>
      <c r="M86" s="662" t="s">
        <v>898</v>
      </c>
      <c r="N86" s="664">
        <v>37.88</v>
      </c>
      <c r="O86" s="662"/>
      <c r="R86" s="79"/>
      <c r="S86" s="79"/>
      <c r="X86" s="79"/>
      <c r="AD86" s="130"/>
      <c r="AF86" s="106"/>
    </row>
    <row r="87">
      <c r="A87" s="646"/>
      <c r="B87" s="647"/>
      <c r="C87" s="78"/>
      <c r="D87" s="192"/>
      <c r="E87" s="643"/>
      <c r="F87" s="45"/>
      <c r="H87" s="661">
        <v>45682.0</v>
      </c>
      <c r="I87" s="662" t="s">
        <v>139</v>
      </c>
      <c r="J87" s="662">
        <v>6.674436E7</v>
      </c>
      <c r="K87" s="662" t="s">
        <v>896</v>
      </c>
      <c r="L87" s="662" t="s">
        <v>897</v>
      </c>
      <c r="M87" s="662" t="s">
        <v>901</v>
      </c>
      <c r="N87" s="663">
        <v>44.64</v>
      </c>
      <c r="O87" s="662"/>
      <c r="R87" s="79"/>
      <c r="S87" s="79"/>
      <c r="X87" s="79"/>
      <c r="AD87" s="130"/>
      <c r="AF87" s="106"/>
    </row>
    <row r="88">
      <c r="A88" s="646"/>
      <c r="B88" s="647"/>
      <c r="C88" s="78"/>
      <c r="D88" s="192"/>
      <c r="E88" s="643"/>
      <c r="F88" s="45"/>
      <c r="H88" s="661">
        <v>45678.0</v>
      </c>
      <c r="I88" s="662" t="s">
        <v>139</v>
      </c>
      <c r="J88" s="662">
        <v>6.6685638E7</v>
      </c>
      <c r="K88" s="662" t="s">
        <v>896</v>
      </c>
      <c r="L88" s="662" t="s">
        <v>897</v>
      </c>
      <c r="M88" s="662" t="s">
        <v>902</v>
      </c>
      <c r="N88" s="664">
        <v>129.96</v>
      </c>
      <c r="O88" s="662"/>
      <c r="R88" s="79"/>
      <c r="S88" s="79"/>
      <c r="X88" s="79"/>
      <c r="AD88" s="130"/>
      <c r="AF88" s="106"/>
    </row>
    <row r="89">
      <c r="A89" s="646"/>
      <c r="B89" s="647"/>
      <c r="C89" s="78"/>
      <c r="D89" s="192"/>
      <c r="E89" s="643"/>
      <c r="F89" s="45"/>
      <c r="H89" s="661">
        <v>45678.0</v>
      </c>
      <c r="I89" s="662" t="s">
        <v>139</v>
      </c>
      <c r="J89" s="662">
        <v>6.6685638E7</v>
      </c>
      <c r="K89" s="662" t="s">
        <v>896</v>
      </c>
      <c r="L89" s="662" t="s">
        <v>897</v>
      </c>
      <c r="M89" s="662" t="s">
        <v>903</v>
      </c>
      <c r="N89" s="663">
        <v>7.95</v>
      </c>
      <c r="O89" s="662"/>
      <c r="R89" s="79"/>
      <c r="S89" s="79"/>
      <c r="X89" s="79"/>
      <c r="AD89" s="130"/>
      <c r="AF89" s="106"/>
    </row>
    <row r="90">
      <c r="A90" s="646"/>
      <c r="B90" s="647"/>
      <c r="C90" s="78"/>
      <c r="D90" s="192"/>
      <c r="E90" s="643"/>
      <c r="F90" s="45"/>
      <c r="H90" s="661"/>
      <c r="I90" s="662"/>
      <c r="J90" s="662"/>
      <c r="K90" s="662"/>
      <c r="L90" s="662"/>
      <c r="M90" s="662"/>
      <c r="N90" s="663"/>
      <c r="O90" s="662"/>
      <c r="R90" s="79"/>
      <c r="S90" s="79"/>
      <c r="X90" s="79"/>
      <c r="AD90" s="130"/>
      <c r="AF90" s="106"/>
    </row>
    <row r="91">
      <c r="A91" s="646"/>
      <c r="B91" s="647"/>
      <c r="C91" s="78"/>
      <c r="D91" s="192"/>
      <c r="E91" s="643"/>
      <c r="F91" s="45"/>
      <c r="H91" s="661">
        <v>45680.0</v>
      </c>
      <c r="I91" s="662" t="s">
        <v>139</v>
      </c>
      <c r="J91" s="662">
        <v>6.6712975E7</v>
      </c>
      <c r="K91" s="662" t="s">
        <v>896</v>
      </c>
      <c r="L91" s="662" t="s">
        <v>897</v>
      </c>
      <c r="M91" s="662" t="s">
        <v>904</v>
      </c>
      <c r="N91" s="663">
        <v>105.98</v>
      </c>
      <c r="O91" s="662"/>
      <c r="R91" s="79"/>
      <c r="S91" s="79"/>
      <c r="X91" s="79"/>
      <c r="AD91" s="130"/>
      <c r="AF91" s="106"/>
    </row>
    <row r="92">
      <c r="A92" s="646"/>
      <c r="B92" s="647"/>
      <c r="C92" s="78"/>
      <c r="D92" s="192"/>
      <c r="E92" s="643"/>
      <c r="F92" s="45"/>
      <c r="H92" s="661">
        <v>45682.0</v>
      </c>
      <c r="I92" s="662" t="s">
        <v>139</v>
      </c>
      <c r="J92" s="662" t="s">
        <v>905</v>
      </c>
      <c r="K92" s="662" t="s">
        <v>906</v>
      </c>
      <c r="L92" s="662" t="s">
        <v>897</v>
      </c>
      <c r="M92" s="662" t="s">
        <v>907</v>
      </c>
      <c r="N92" s="663">
        <v>64.24</v>
      </c>
      <c r="O92" s="662"/>
      <c r="R92" s="79"/>
      <c r="S92" s="79"/>
      <c r="X92" s="79"/>
      <c r="AD92" s="130"/>
      <c r="AF92" s="106"/>
    </row>
    <row r="93">
      <c r="A93" s="646"/>
      <c r="B93" s="647"/>
      <c r="C93" s="78"/>
      <c r="D93" s="192"/>
      <c r="E93" s="643"/>
      <c r="F93" s="45"/>
      <c r="H93" s="661">
        <v>45683.0</v>
      </c>
      <c r="I93" s="662" t="s">
        <v>908</v>
      </c>
      <c r="J93" s="662" t="s">
        <v>909</v>
      </c>
      <c r="K93" s="665"/>
      <c r="L93" s="662" t="s">
        <v>897</v>
      </c>
      <c r="M93" s="662" t="s">
        <v>910</v>
      </c>
      <c r="N93" s="664">
        <v>1928.37</v>
      </c>
      <c r="O93" s="662"/>
      <c r="R93" s="79"/>
      <c r="S93" s="79"/>
      <c r="X93" s="79"/>
      <c r="AD93" s="130"/>
      <c r="AF93" s="106"/>
    </row>
    <row r="94">
      <c r="A94" s="646"/>
      <c r="B94" s="647"/>
      <c r="C94" s="78"/>
      <c r="D94" s="192"/>
      <c r="E94" s="643"/>
      <c r="F94" s="45"/>
      <c r="H94" s="661">
        <v>45678.0</v>
      </c>
      <c r="I94" s="662" t="s">
        <v>139</v>
      </c>
      <c r="J94" s="662">
        <v>4964983.0</v>
      </c>
      <c r="K94" s="662" t="s">
        <v>911</v>
      </c>
      <c r="L94" s="662" t="s">
        <v>897</v>
      </c>
      <c r="M94" s="662" t="s">
        <v>912</v>
      </c>
      <c r="N94" s="664">
        <v>84.7</v>
      </c>
      <c r="O94" s="662"/>
      <c r="R94" s="79"/>
      <c r="S94" s="79"/>
      <c r="X94" s="79"/>
      <c r="AD94" s="130"/>
      <c r="AF94" s="106"/>
    </row>
    <row r="95">
      <c r="A95" s="646"/>
      <c r="B95" s="647"/>
      <c r="C95" s="78"/>
      <c r="D95" s="192"/>
      <c r="E95" s="643"/>
      <c r="F95" s="45"/>
      <c r="H95" s="661">
        <v>45679.0</v>
      </c>
      <c r="I95" s="662" t="s">
        <v>139</v>
      </c>
      <c r="J95" s="662">
        <v>6.670053E7</v>
      </c>
      <c r="K95" s="662" t="s">
        <v>896</v>
      </c>
      <c r="L95" s="662" t="s">
        <v>897</v>
      </c>
      <c r="M95" s="662" t="s">
        <v>913</v>
      </c>
      <c r="N95" s="666">
        <v>380.13</v>
      </c>
      <c r="O95" s="662"/>
      <c r="R95" s="79"/>
      <c r="S95" s="79"/>
      <c r="X95" s="79"/>
      <c r="AD95" s="130"/>
      <c r="AF95" s="106"/>
    </row>
    <row r="96">
      <c r="C96" s="79"/>
      <c r="D96" s="79"/>
      <c r="E96" s="79"/>
      <c r="H96" s="661">
        <v>45680.0</v>
      </c>
      <c r="I96" s="662" t="s">
        <v>139</v>
      </c>
      <c r="J96" s="662">
        <v>4967413.0</v>
      </c>
      <c r="K96" s="662" t="s">
        <v>911</v>
      </c>
      <c r="L96" s="662" t="s">
        <v>897</v>
      </c>
      <c r="M96" s="662" t="s">
        <v>912</v>
      </c>
      <c r="N96" s="663">
        <v>84.7</v>
      </c>
      <c r="O96" s="662"/>
      <c r="R96" s="79"/>
      <c r="S96" s="79"/>
      <c r="X96" s="79"/>
      <c r="AD96" s="130"/>
      <c r="AF96" s="106"/>
    </row>
    <row r="97">
      <c r="C97" s="79"/>
      <c r="D97" s="79"/>
      <c r="E97" s="79"/>
      <c r="H97" s="661">
        <v>45678.0</v>
      </c>
      <c r="I97" s="662" t="s">
        <v>139</v>
      </c>
      <c r="J97" s="662" t="s">
        <v>914</v>
      </c>
      <c r="K97" s="662" t="s">
        <v>915</v>
      </c>
      <c r="L97" s="662" t="s">
        <v>897</v>
      </c>
      <c r="M97" s="662" t="s">
        <v>916</v>
      </c>
      <c r="N97" s="664">
        <v>72.0</v>
      </c>
      <c r="O97" s="662"/>
      <c r="R97" s="79"/>
      <c r="S97" s="79"/>
      <c r="X97" s="79"/>
      <c r="AD97" s="130"/>
      <c r="AF97" s="106"/>
    </row>
    <row r="98">
      <c r="C98" s="79"/>
      <c r="D98" s="79"/>
      <c r="E98" s="79"/>
      <c r="H98" s="661">
        <v>45678.0</v>
      </c>
      <c r="I98" s="662" t="s">
        <v>139</v>
      </c>
      <c r="J98" s="662" t="s">
        <v>914</v>
      </c>
      <c r="K98" s="662" t="s">
        <v>915</v>
      </c>
      <c r="L98" s="662" t="s">
        <v>897</v>
      </c>
      <c r="M98" s="662" t="s">
        <v>917</v>
      </c>
      <c r="N98" s="664">
        <v>78.0</v>
      </c>
      <c r="O98" s="662"/>
      <c r="R98" s="79"/>
      <c r="S98" s="79"/>
      <c r="X98" s="79"/>
      <c r="AD98" s="130"/>
      <c r="AF98" s="106"/>
    </row>
    <row r="99">
      <c r="C99" s="79"/>
      <c r="D99" s="79"/>
      <c r="E99" s="79"/>
      <c r="H99" s="661">
        <v>45679.0</v>
      </c>
      <c r="I99" s="662" t="s">
        <v>139</v>
      </c>
      <c r="J99" s="662">
        <v>6.6700071E7</v>
      </c>
      <c r="K99" s="662" t="s">
        <v>896</v>
      </c>
      <c r="L99" s="662" t="s">
        <v>897</v>
      </c>
      <c r="M99" s="662" t="s">
        <v>918</v>
      </c>
      <c r="N99" s="663">
        <v>52.86</v>
      </c>
      <c r="O99" s="662"/>
      <c r="R99" s="79"/>
      <c r="S99" s="79"/>
      <c r="X99" s="79"/>
      <c r="AD99" s="130"/>
      <c r="AF99" s="106"/>
    </row>
    <row r="100">
      <c r="C100" s="79"/>
      <c r="D100" s="79"/>
      <c r="E100" s="79"/>
      <c r="H100" s="661">
        <v>45679.0</v>
      </c>
      <c r="I100" s="662" t="s">
        <v>139</v>
      </c>
      <c r="J100" s="662">
        <v>6.6700071E7</v>
      </c>
      <c r="K100" s="662" t="s">
        <v>896</v>
      </c>
      <c r="L100" s="662" t="s">
        <v>897</v>
      </c>
      <c r="M100" s="662" t="s">
        <v>919</v>
      </c>
      <c r="N100" s="663">
        <v>13.02</v>
      </c>
      <c r="O100" s="662"/>
      <c r="R100" s="79"/>
      <c r="S100" s="79"/>
      <c r="X100" s="79"/>
      <c r="AD100" s="130"/>
      <c r="AF100" s="106"/>
    </row>
    <row r="101">
      <c r="C101" s="79"/>
      <c r="D101" s="79"/>
      <c r="E101" s="79"/>
      <c r="H101" s="661">
        <v>45679.0</v>
      </c>
      <c r="I101" s="662" t="s">
        <v>139</v>
      </c>
      <c r="J101" s="662">
        <v>6.6700071E7</v>
      </c>
      <c r="K101" s="662" t="s">
        <v>896</v>
      </c>
      <c r="L101" s="662" t="s">
        <v>897</v>
      </c>
      <c r="M101" s="662" t="s">
        <v>920</v>
      </c>
      <c r="N101" s="663">
        <v>17.4</v>
      </c>
      <c r="O101" s="662"/>
      <c r="R101" s="79"/>
      <c r="S101" s="79"/>
      <c r="X101" s="79"/>
      <c r="AD101" s="130"/>
      <c r="AF101" s="106"/>
    </row>
    <row r="102">
      <c r="C102" s="79"/>
      <c r="D102" s="79"/>
      <c r="E102" s="79"/>
      <c r="H102" s="661">
        <v>45679.0</v>
      </c>
      <c r="I102" s="662" t="s">
        <v>139</v>
      </c>
      <c r="J102" s="662">
        <v>6.6700071E7</v>
      </c>
      <c r="K102" s="662" t="s">
        <v>896</v>
      </c>
      <c r="L102" s="662" t="s">
        <v>897</v>
      </c>
      <c r="M102" s="662" t="s">
        <v>921</v>
      </c>
      <c r="N102" s="664">
        <v>8.47</v>
      </c>
      <c r="O102" s="662"/>
      <c r="R102" s="79"/>
      <c r="S102" s="79"/>
      <c r="X102" s="79"/>
      <c r="AD102" s="130"/>
      <c r="AF102" s="106"/>
    </row>
    <row r="103">
      <c r="C103" s="79"/>
      <c r="D103" s="79"/>
      <c r="E103" s="79"/>
      <c r="H103" s="661">
        <v>45679.0</v>
      </c>
      <c r="I103" s="662" t="s">
        <v>139</v>
      </c>
      <c r="J103" s="662">
        <v>6.6700071E7</v>
      </c>
      <c r="K103" s="662" t="s">
        <v>896</v>
      </c>
      <c r="L103" s="662" t="s">
        <v>897</v>
      </c>
      <c r="M103" s="662" t="s">
        <v>922</v>
      </c>
      <c r="N103" s="663">
        <v>8.65</v>
      </c>
      <c r="O103" s="662"/>
      <c r="R103" s="79"/>
      <c r="S103" s="79"/>
      <c r="X103" s="79"/>
      <c r="AD103" s="130"/>
      <c r="AF103" s="106"/>
    </row>
    <row r="104">
      <c r="C104" s="79"/>
      <c r="D104" s="79"/>
      <c r="E104" s="79"/>
      <c r="H104" s="661">
        <v>45679.0</v>
      </c>
      <c r="I104" s="662" t="s">
        <v>139</v>
      </c>
      <c r="J104" s="662" t="s">
        <v>923</v>
      </c>
      <c r="K104" s="662" t="s">
        <v>906</v>
      </c>
      <c r="L104" s="662" t="s">
        <v>897</v>
      </c>
      <c r="M104" s="662" t="s">
        <v>924</v>
      </c>
      <c r="N104" s="663">
        <v>122.8</v>
      </c>
      <c r="O104" s="662"/>
      <c r="R104" s="79"/>
      <c r="S104" s="79"/>
      <c r="X104" s="79"/>
      <c r="AD104" s="130"/>
      <c r="AF104" s="106"/>
    </row>
    <row r="105">
      <c r="C105" s="79"/>
      <c r="D105" s="79"/>
      <c r="E105" s="79"/>
      <c r="H105" s="661">
        <v>45679.0</v>
      </c>
      <c r="I105" s="662" t="s">
        <v>139</v>
      </c>
      <c r="J105" s="662" t="s">
        <v>923</v>
      </c>
      <c r="K105" s="662" t="s">
        <v>906</v>
      </c>
      <c r="L105" s="662" t="s">
        <v>897</v>
      </c>
      <c r="M105" s="662" t="s">
        <v>925</v>
      </c>
      <c r="N105" s="663">
        <v>105.3</v>
      </c>
      <c r="O105" s="662"/>
      <c r="R105" s="79"/>
      <c r="S105" s="79"/>
      <c r="X105" s="79"/>
      <c r="AD105" s="130"/>
      <c r="AF105" s="106"/>
    </row>
    <row r="106">
      <c r="C106" s="79"/>
      <c r="D106" s="79"/>
      <c r="E106" s="79"/>
      <c r="H106" s="661">
        <v>45679.0</v>
      </c>
      <c r="I106" s="662" t="s">
        <v>139</v>
      </c>
      <c r="J106" s="662" t="s">
        <v>923</v>
      </c>
      <c r="K106" s="662" t="s">
        <v>906</v>
      </c>
      <c r="L106" s="662" t="s">
        <v>897</v>
      </c>
      <c r="M106" s="662" t="s">
        <v>926</v>
      </c>
      <c r="N106" s="664">
        <v>152.4</v>
      </c>
      <c r="O106" s="662"/>
      <c r="R106" s="79"/>
      <c r="S106" s="79"/>
      <c r="X106" s="79"/>
      <c r="AD106" s="130"/>
      <c r="AF106" s="106"/>
    </row>
    <row r="107">
      <c r="C107" s="79"/>
      <c r="D107" s="79"/>
      <c r="E107" s="79"/>
      <c r="H107" s="661">
        <v>45679.0</v>
      </c>
      <c r="I107" s="662" t="s">
        <v>139</v>
      </c>
      <c r="J107" s="662" t="s">
        <v>923</v>
      </c>
      <c r="K107" s="662" t="s">
        <v>906</v>
      </c>
      <c r="L107" s="662" t="s">
        <v>897</v>
      </c>
      <c r="M107" s="662" t="s">
        <v>903</v>
      </c>
      <c r="N107" s="664">
        <v>5.0</v>
      </c>
      <c r="O107" s="662"/>
      <c r="R107" s="79"/>
      <c r="S107" s="79"/>
      <c r="X107" s="79"/>
      <c r="AD107" s="130"/>
      <c r="AF107" s="106"/>
    </row>
    <row r="108">
      <c r="C108" s="79"/>
      <c r="D108" s="79"/>
      <c r="E108" s="79"/>
      <c r="H108" s="661">
        <v>45682.0</v>
      </c>
      <c r="I108" s="662" t="s">
        <v>139</v>
      </c>
      <c r="J108" s="662" t="s">
        <v>905</v>
      </c>
      <c r="K108" s="662" t="s">
        <v>906</v>
      </c>
      <c r="L108" s="662" t="s">
        <v>897</v>
      </c>
      <c r="M108" s="662" t="s">
        <v>925</v>
      </c>
      <c r="N108" s="664">
        <v>105.3</v>
      </c>
      <c r="O108" s="662"/>
      <c r="R108" s="79"/>
      <c r="S108" s="79"/>
      <c r="X108" s="79"/>
      <c r="AD108" s="130"/>
      <c r="AF108" s="106"/>
    </row>
    <row r="109">
      <c r="C109" s="79"/>
      <c r="D109" s="79"/>
      <c r="E109" s="79"/>
      <c r="H109" s="661">
        <v>45680.0</v>
      </c>
      <c r="I109" s="662" t="s">
        <v>139</v>
      </c>
      <c r="J109" s="662">
        <v>6.6712975E7</v>
      </c>
      <c r="K109" s="662" t="s">
        <v>896</v>
      </c>
      <c r="L109" s="662" t="s">
        <v>897</v>
      </c>
      <c r="M109" s="662" t="s">
        <v>927</v>
      </c>
      <c r="N109" s="664">
        <v>17.8</v>
      </c>
      <c r="O109" s="662"/>
      <c r="R109" s="79"/>
      <c r="S109" s="79"/>
      <c r="X109" s="79"/>
      <c r="AD109" s="130"/>
      <c r="AF109" s="106"/>
    </row>
    <row r="110">
      <c r="C110" s="79"/>
      <c r="D110" s="79"/>
      <c r="E110" s="79"/>
      <c r="N110" s="667">
        <f>sum(N82:N109)</f>
        <v>3759.88</v>
      </c>
      <c r="O110" s="79"/>
      <c r="R110" s="79"/>
      <c r="S110" s="79"/>
      <c r="X110" s="79"/>
      <c r="AD110" s="130"/>
      <c r="AF110" s="106"/>
    </row>
    <row r="111">
      <c r="C111" s="79"/>
      <c r="D111" s="79"/>
      <c r="E111" s="79"/>
      <c r="O111" s="79"/>
      <c r="R111" s="79"/>
      <c r="S111" s="79"/>
      <c r="X111" s="79"/>
      <c r="AD111" s="130"/>
      <c r="AF111" s="106"/>
    </row>
    <row r="112">
      <c r="C112" s="79"/>
      <c r="D112" s="79"/>
      <c r="E112" s="79"/>
      <c r="O112" s="79"/>
      <c r="R112" s="79"/>
      <c r="S112" s="79"/>
      <c r="X112" s="79"/>
      <c r="AD112" s="130"/>
      <c r="AF112" s="106"/>
    </row>
    <row r="113">
      <c r="C113" s="79"/>
      <c r="D113" s="79"/>
      <c r="E113" s="79"/>
      <c r="O113" s="79"/>
      <c r="R113" s="79"/>
      <c r="S113" s="79"/>
      <c r="X113" s="79"/>
      <c r="AD113" s="130"/>
      <c r="AF113" s="106"/>
    </row>
    <row r="114">
      <c r="C114" s="79"/>
      <c r="D114" s="79"/>
      <c r="E114" s="79"/>
      <c r="H114" s="661">
        <v>45679.0</v>
      </c>
      <c r="I114" s="662" t="s">
        <v>139</v>
      </c>
      <c r="J114" s="662">
        <v>612376.0</v>
      </c>
      <c r="K114" s="662" t="s">
        <v>928</v>
      </c>
      <c r="L114" s="662" t="s">
        <v>897</v>
      </c>
      <c r="M114" s="662" t="s">
        <v>910</v>
      </c>
      <c r="N114" s="663">
        <v>2661.57</v>
      </c>
      <c r="O114" s="79"/>
      <c r="R114" s="79"/>
      <c r="S114" s="79"/>
      <c r="X114" s="79"/>
      <c r="AD114" s="130"/>
      <c r="AF114" s="106"/>
    </row>
    <row r="115">
      <c r="C115" s="79"/>
      <c r="D115" s="79"/>
      <c r="E115" s="79"/>
      <c r="O115" s="79"/>
      <c r="R115" s="79"/>
      <c r="S115" s="79"/>
      <c r="X115" s="79"/>
      <c r="AD115" s="130"/>
      <c r="AF115" s="106"/>
    </row>
    <row r="116">
      <c r="C116" s="79"/>
      <c r="D116" s="79"/>
      <c r="E116" s="79"/>
      <c r="O116" s="79"/>
      <c r="R116" s="79"/>
      <c r="S116" s="79"/>
      <c r="X116" s="79"/>
      <c r="AD116" s="130"/>
      <c r="AF116" s="106"/>
    </row>
    <row r="117">
      <c r="C117" s="79"/>
      <c r="D117" s="79"/>
      <c r="E117" s="79"/>
      <c r="O117" s="79"/>
      <c r="R117" s="79"/>
      <c r="S117" s="79"/>
      <c r="X117" s="79"/>
      <c r="AD117" s="130"/>
      <c r="AF117" s="106"/>
    </row>
    <row r="118">
      <c r="C118" s="79"/>
      <c r="D118" s="79"/>
      <c r="E118" s="79"/>
      <c r="O118" s="79"/>
      <c r="R118" s="79"/>
      <c r="S118" s="79"/>
      <c r="X118" s="79"/>
      <c r="AD118" s="130"/>
      <c r="AF118" s="106"/>
    </row>
    <row r="119">
      <c r="C119" s="79"/>
      <c r="D119" s="79"/>
      <c r="E119" s="79"/>
      <c r="O119" s="79"/>
      <c r="R119" s="79"/>
      <c r="S119" s="79"/>
      <c r="X119" s="79"/>
      <c r="AD119" s="130"/>
      <c r="AF119" s="106"/>
    </row>
    <row r="120">
      <c r="C120" s="79"/>
      <c r="D120" s="79"/>
      <c r="E120" s="79"/>
      <c r="O120" s="79"/>
      <c r="R120" s="79"/>
      <c r="S120" s="79"/>
      <c r="X120" s="79"/>
      <c r="AD120" s="130"/>
      <c r="AF120" s="106"/>
    </row>
    <row r="121">
      <c r="C121" s="79"/>
      <c r="D121" s="79"/>
      <c r="E121" s="79"/>
      <c r="O121" s="79"/>
      <c r="R121" s="79"/>
      <c r="S121" s="79"/>
      <c r="X121" s="79"/>
      <c r="AD121" s="130"/>
      <c r="AF121" s="106"/>
    </row>
    <row r="122">
      <c r="C122" s="79"/>
      <c r="D122" s="79"/>
      <c r="E122" s="79"/>
      <c r="O122" s="79"/>
      <c r="R122" s="79"/>
      <c r="S122" s="79"/>
      <c r="X122" s="79"/>
      <c r="AD122" s="130"/>
      <c r="AF122" s="106"/>
    </row>
    <row r="123">
      <c r="C123" s="79"/>
      <c r="D123" s="79"/>
      <c r="E123" s="79"/>
      <c r="O123" s="79"/>
      <c r="R123" s="79"/>
      <c r="S123" s="79"/>
      <c r="X123" s="79"/>
      <c r="AD123" s="130"/>
      <c r="AF123" s="106"/>
    </row>
    <row r="124">
      <c r="C124" s="79"/>
      <c r="D124" s="79"/>
      <c r="E124" s="79"/>
      <c r="O124" s="79"/>
      <c r="R124" s="79"/>
      <c r="S124" s="79"/>
      <c r="X124" s="79"/>
      <c r="AD124" s="130"/>
      <c r="AF124" s="106"/>
    </row>
    <row r="125">
      <c r="C125" s="79"/>
      <c r="D125" s="79"/>
      <c r="E125" s="79"/>
      <c r="O125" s="79"/>
      <c r="R125" s="79"/>
      <c r="S125" s="79"/>
      <c r="X125" s="79"/>
      <c r="AD125" s="130"/>
      <c r="AF125" s="106"/>
    </row>
    <row r="126">
      <c r="C126" s="79"/>
      <c r="D126" s="79"/>
      <c r="E126" s="79"/>
      <c r="O126" s="79"/>
      <c r="R126" s="79"/>
      <c r="S126" s="79"/>
      <c r="X126" s="79"/>
      <c r="AD126" s="130"/>
      <c r="AF126" s="106"/>
    </row>
    <row r="127">
      <c r="C127" s="79"/>
      <c r="D127" s="79"/>
      <c r="E127" s="79"/>
      <c r="O127" s="79"/>
      <c r="R127" s="79"/>
      <c r="S127" s="79"/>
      <c r="X127" s="79"/>
      <c r="AD127" s="130"/>
      <c r="AF127" s="106"/>
    </row>
    <row r="128">
      <c r="C128" s="79"/>
      <c r="D128" s="79"/>
      <c r="E128" s="79"/>
      <c r="O128" s="79"/>
      <c r="R128" s="79"/>
      <c r="S128" s="79"/>
      <c r="X128" s="79"/>
      <c r="AD128" s="130"/>
      <c r="AF128" s="106"/>
    </row>
    <row r="129">
      <c r="C129" s="79"/>
      <c r="D129" s="79"/>
      <c r="E129" s="79"/>
      <c r="O129" s="79"/>
      <c r="R129" s="79"/>
      <c r="S129" s="79"/>
      <c r="X129" s="79"/>
      <c r="AD129" s="130"/>
      <c r="AF129" s="106"/>
    </row>
    <row r="130">
      <c r="C130" s="79"/>
      <c r="D130" s="79"/>
      <c r="E130" s="79"/>
      <c r="O130" s="79"/>
      <c r="R130" s="79"/>
      <c r="S130" s="79"/>
      <c r="X130" s="79"/>
      <c r="AD130" s="130"/>
      <c r="AF130" s="106"/>
    </row>
    <row r="131">
      <c r="C131" s="79"/>
      <c r="D131" s="79"/>
      <c r="E131" s="79"/>
      <c r="O131" s="79"/>
      <c r="R131" s="79"/>
      <c r="S131" s="79"/>
      <c r="X131" s="79"/>
      <c r="AD131" s="130"/>
      <c r="AF131" s="106"/>
    </row>
    <row r="132">
      <c r="C132" s="79"/>
      <c r="D132" s="79"/>
      <c r="E132" s="79"/>
      <c r="O132" s="79"/>
      <c r="R132" s="79"/>
      <c r="S132" s="79"/>
      <c r="X132" s="79"/>
      <c r="AD132" s="130"/>
      <c r="AF132" s="106"/>
    </row>
    <row r="133">
      <c r="C133" s="79"/>
      <c r="D133" s="79"/>
      <c r="E133" s="79"/>
      <c r="O133" s="79"/>
      <c r="R133" s="79"/>
      <c r="S133" s="79"/>
      <c r="X133" s="79"/>
      <c r="AD133" s="130"/>
      <c r="AF133" s="106"/>
    </row>
    <row r="134">
      <c r="C134" s="79"/>
      <c r="D134" s="79"/>
      <c r="E134" s="79"/>
      <c r="O134" s="79"/>
      <c r="R134" s="79"/>
      <c r="S134" s="79"/>
      <c r="X134" s="79"/>
      <c r="AD134" s="130"/>
      <c r="AF134" s="106"/>
    </row>
    <row r="135">
      <c r="C135" s="79"/>
      <c r="D135" s="79"/>
      <c r="E135" s="79"/>
      <c r="O135" s="79"/>
      <c r="R135" s="79"/>
      <c r="S135" s="79"/>
      <c r="X135" s="79"/>
      <c r="AD135" s="130"/>
      <c r="AF135" s="106"/>
    </row>
    <row r="136">
      <c r="C136" s="79"/>
      <c r="D136" s="79"/>
      <c r="E136" s="79"/>
      <c r="O136" s="79"/>
      <c r="R136" s="79"/>
      <c r="S136" s="79"/>
      <c r="X136" s="79"/>
      <c r="AD136" s="130"/>
      <c r="AF136" s="106"/>
    </row>
    <row r="137">
      <c r="C137" s="79"/>
      <c r="D137" s="79"/>
      <c r="E137" s="79"/>
      <c r="O137" s="79"/>
      <c r="R137" s="79"/>
      <c r="S137" s="79"/>
      <c r="X137" s="79"/>
      <c r="AD137" s="130"/>
      <c r="AF137" s="106"/>
    </row>
    <row r="138">
      <c r="C138" s="79"/>
      <c r="D138" s="79"/>
      <c r="E138" s="79"/>
      <c r="O138" s="79"/>
      <c r="R138" s="79"/>
      <c r="S138" s="79"/>
      <c r="X138" s="79"/>
      <c r="AD138" s="130"/>
      <c r="AF138" s="106"/>
    </row>
    <row r="139">
      <c r="C139" s="79"/>
      <c r="D139" s="79"/>
      <c r="E139" s="79"/>
      <c r="O139" s="79"/>
      <c r="R139" s="79"/>
      <c r="S139" s="79"/>
      <c r="X139" s="79"/>
      <c r="AD139" s="130"/>
      <c r="AF139" s="106"/>
    </row>
    <row r="140">
      <c r="C140" s="79"/>
      <c r="D140" s="79"/>
      <c r="E140" s="79"/>
      <c r="O140" s="79"/>
      <c r="R140" s="79"/>
      <c r="S140" s="79"/>
      <c r="X140" s="79"/>
      <c r="AD140" s="130"/>
      <c r="AF140" s="106"/>
    </row>
    <row r="141">
      <c r="C141" s="79"/>
      <c r="D141" s="79"/>
      <c r="E141" s="79"/>
      <c r="O141" s="79"/>
      <c r="R141" s="79"/>
      <c r="S141" s="79"/>
      <c r="X141" s="79"/>
      <c r="AD141" s="130"/>
      <c r="AF141" s="106"/>
    </row>
    <row r="142">
      <c r="C142" s="79"/>
      <c r="D142" s="79"/>
      <c r="E142" s="79"/>
      <c r="O142" s="79"/>
      <c r="R142" s="79"/>
      <c r="S142" s="79"/>
      <c r="X142" s="79"/>
      <c r="AD142" s="130"/>
      <c r="AF142" s="106"/>
    </row>
    <row r="143">
      <c r="C143" s="79"/>
      <c r="D143" s="79"/>
      <c r="E143" s="79"/>
      <c r="O143" s="79"/>
      <c r="R143" s="79"/>
      <c r="S143" s="79"/>
      <c r="X143" s="79"/>
      <c r="AD143" s="130"/>
      <c r="AF143" s="106"/>
    </row>
    <row r="144">
      <c r="C144" s="79"/>
      <c r="D144" s="79"/>
      <c r="E144" s="79"/>
      <c r="O144" s="79"/>
      <c r="R144" s="79"/>
      <c r="S144" s="79"/>
      <c r="X144" s="79"/>
      <c r="AD144" s="130"/>
      <c r="AF144" s="106"/>
    </row>
    <row r="145">
      <c r="C145" s="79"/>
      <c r="D145" s="79"/>
      <c r="E145" s="79"/>
      <c r="O145" s="79"/>
      <c r="R145" s="79"/>
      <c r="S145" s="79"/>
      <c r="X145" s="79"/>
      <c r="AD145" s="130"/>
      <c r="AF145" s="106"/>
    </row>
    <row r="146">
      <c r="C146" s="79"/>
      <c r="D146" s="79"/>
      <c r="E146" s="79"/>
      <c r="O146" s="79"/>
      <c r="R146" s="79"/>
      <c r="S146" s="79"/>
      <c r="X146" s="79"/>
      <c r="AD146" s="130"/>
      <c r="AF146" s="106"/>
    </row>
    <row r="147">
      <c r="C147" s="79"/>
      <c r="D147" s="79"/>
      <c r="E147" s="79"/>
      <c r="O147" s="79"/>
      <c r="R147" s="79"/>
      <c r="S147" s="79"/>
      <c r="X147" s="79"/>
      <c r="AD147" s="130"/>
      <c r="AF147" s="106"/>
    </row>
    <row r="148">
      <c r="C148" s="79"/>
      <c r="D148" s="79"/>
      <c r="E148" s="79"/>
      <c r="O148" s="79"/>
      <c r="R148" s="79"/>
      <c r="S148" s="79"/>
      <c r="X148" s="79"/>
      <c r="AD148" s="130"/>
      <c r="AF148" s="106"/>
    </row>
    <row r="149">
      <c r="C149" s="79"/>
      <c r="D149" s="79"/>
      <c r="E149" s="79"/>
      <c r="O149" s="79"/>
      <c r="R149" s="79"/>
      <c r="S149" s="79"/>
      <c r="X149" s="79"/>
      <c r="AD149" s="130"/>
      <c r="AF149" s="106"/>
    </row>
    <row r="150">
      <c r="C150" s="79"/>
      <c r="D150" s="79"/>
      <c r="E150" s="79"/>
      <c r="O150" s="79"/>
      <c r="R150" s="79"/>
      <c r="S150" s="79"/>
      <c r="X150" s="79"/>
      <c r="AD150" s="130"/>
      <c r="AF150" s="106"/>
    </row>
    <row r="151">
      <c r="C151" s="79"/>
      <c r="D151" s="79"/>
      <c r="E151" s="79"/>
      <c r="O151" s="79"/>
      <c r="R151" s="79"/>
      <c r="S151" s="79"/>
      <c r="X151" s="79"/>
      <c r="AD151" s="130"/>
      <c r="AF151" s="106"/>
    </row>
    <row r="152">
      <c r="C152" s="79"/>
      <c r="D152" s="79"/>
      <c r="E152" s="79"/>
      <c r="O152" s="79"/>
      <c r="R152" s="79"/>
      <c r="S152" s="79"/>
      <c r="X152" s="79"/>
      <c r="AD152" s="130"/>
      <c r="AF152" s="106"/>
    </row>
    <row r="153">
      <c r="C153" s="79"/>
      <c r="D153" s="79"/>
      <c r="E153" s="79"/>
      <c r="O153" s="79"/>
      <c r="R153" s="79"/>
      <c r="S153" s="79"/>
      <c r="X153" s="79"/>
      <c r="AD153" s="130"/>
      <c r="AF153" s="106"/>
    </row>
    <row r="154">
      <c r="C154" s="79"/>
      <c r="D154" s="79"/>
      <c r="E154" s="79"/>
      <c r="O154" s="79"/>
      <c r="R154" s="79"/>
      <c r="S154" s="79"/>
      <c r="X154" s="79"/>
      <c r="AD154" s="130"/>
      <c r="AF154" s="106"/>
    </row>
    <row r="155">
      <c r="C155" s="79"/>
      <c r="D155" s="79"/>
      <c r="E155" s="79"/>
      <c r="O155" s="79"/>
      <c r="R155" s="79"/>
      <c r="S155" s="79"/>
      <c r="X155" s="79"/>
      <c r="AD155" s="130"/>
      <c r="AF155" s="106"/>
    </row>
    <row r="156">
      <c r="C156" s="79"/>
      <c r="D156" s="79"/>
      <c r="E156" s="79"/>
      <c r="O156" s="79"/>
      <c r="R156" s="79"/>
      <c r="S156" s="79"/>
      <c r="X156" s="79"/>
      <c r="AD156" s="130"/>
      <c r="AF156" s="106"/>
    </row>
    <row r="157">
      <c r="C157" s="79"/>
      <c r="D157" s="79"/>
      <c r="E157" s="79"/>
      <c r="O157" s="79"/>
      <c r="R157" s="79"/>
      <c r="S157" s="79"/>
      <c r="X157" s="79"/>
      <c r="AD157" s="130"/>
      <c r="AF157" s="106"/>
    </row>
    <row r="158">
      <c r="C158" s="79"/>
      <c r="D158" s="79"/>
      <c r="E158" s="79"/>
      <c r="O158" s="79"/>
      <c r="R158" s="79"/>
      <c r="S158" s="79"/>
      <c r="X158" s="79"/>
      <c r="AD158" s="130"/>
      <c r="AF158" s="106"/>
    </row>
    <row r="159">
      <c r="C159" s="79"/>
      <c r="D159" s="79"/>
      <c r="E159" s="79"/>
      <c r="O159" s="79"/>
      <c r="R159" s="79"/>
      <c r="S159" s="79"/>
      <c r="X159" s="79"/>
      <c r="AD159" s="130"/>
      <c r="AF159" s="106"/>
    </row>
    <row r="160">
      <c r="C160" s="79"/>
      <c r="D160" s="79"/>
      <c r="E160" s="79"/>
      <c r="O160" s="79"/>
      <c r="R160" s="79"/>
      <c r="S160" s="79"/>
      <c r="X160" s="79"/>
      <c r="AD160" s="130"/>
      <c r="AF160" s="106"/>
    </row>
    <row r="161">
      <c r="C161" s="79"/>
      <c r="D161" s="79"/>
      <c r="E161" s="79"/>
      <c r="O161" s="79"/>
      <c r="R161" s="79"/>
      <c r="S161" s="79"/>
      <c r="X161" s="79"/>
      <c r="AD161" s="130"/>
      <c r="AF161" s="106"/>
    </row>
    <row r="162">
      <c r="C162" s="79"/>
      <c r="D162" s="79"/>
      <c r="E162" s="79"/>
      <c r="O162" s="79"/>
      <c r="R162" s="79"/>
      <c r="S162" s="79"/>
      <c r="X162" s="79"/>
      <c r="AD162" s="130"/>
      <c r="AF162" s="106"/>
    </row>
    <row r="163">
      <c r="C163" s="79"/>
      <c r="D163" s="79"/>
      <c r="E163" s="79"/>
      <c r="O163" s="79"/>
      <c r="R163" s="79"/>
      <c r="S163" s="79"/>
      <c r="X163" s="79"/>
      <c r="AD163" s="130"/>
      <c r="AF163" s="106"/>
    </row>
    <row r="164">
      <c r="C164" s="79"/>
      <c r="D164" s="79"/>
      <c r="E164" s="79"/>
      <c r="O164" s="79"/>
      <c r="R164" s="79"/>
      <c r="S164" s="79"/>
      <c r="X164" s="79"/>
      <c r="AD164" s="130"/>
      <c r="AF164" s="106"/>
    </row>
    <row r="165">
      <c r="C165" s="79"/>
      <c r="D165" s="79"/>
      <c r="E165" s="79"/>
      <c r="O165" s="79"/>
      <c r="R165" s="79"/>
      <c r="S165" s="79"/>
      <c r="X165" s="79"/>
      <c r="AD165" s="130"/>
      <c r="AF165" s="106"/>
    </row>
    <row r="166">
      <c r="C166" s="79"/>
      <c r="D166" s="79"/>
      <c r="E166" s="79"/>
      <c r="O166" s="79"/>
      <c r="R166" s="79"/>
      <c r="S166" s="79"/>
      <c r="X166" s="79"/>
      <c r="AD166" s="130"/>
      <c r="AF166" s="106"/>
    </row>
    <row r="167">
      <c r="C167" s="79"/>
      <c r="D167" s="79"/>
      <c r="E167" s="79"/>
      <c r="O167" s="79"/>
      <c r="R167" s="79"/>
      <c r="S167" s="79"/>
      <c r="X167" s="79"/>
      <c r="AD167" s="130"/>
      <c r="AF167" s="106"/>
    </row>
    <row r="168">
      <c r="C168" s="79"/>
      <c r="D168" s="79"/>
      <c r="E168" s="79"/>
      <c r="O168" s="79"/>
      <c r="R168" s="79"/>
      <c r="S168" s="79"/>
      <c r="X168" s="79"/>
      <c r="AD168" s="130"/>
      <c r="AF168" s="106"/>
    </row>
    <row r="169">
      <c r="C169" s="79"/>
      <c r="D169" s="79"/>
      <c r="E169" s="79"/>
      <c r="O169" s="79"/>
      <c r="R169" s="79"/>
      <c r="S169" s="79"/>
      <c r="X169" s="79"/>
      <c r="AD169" s="130"/>
      <c r="AF169" s="106"/>
    </row>
    <row r="170">
      <c r="C170" s="79"/>
      <c r="D170" s="79"/>
      <c r="E170" s="79"/>
      <c r="O170" s="79"/>
      <c r="R170" s="79"/>
      <c r="S170" s="79"/>
      <c r="X170" s="79"/>
      <c r="AD170" s="130"/>
      <c r="AF170" s="106"/>
    </row>
    <row r="171">
      <c r="C171" s="79"/>
      <c r="D171" s="79"/>
      <c r="E171" s="79"/>
      <c r="O171" s="79"/>
      <c r="R171" s="79"/>
      <c r="S171" s="79"/>
      <c r="X171" s="79"/>
      <c r="AD171" s="130"/>
      <c r="AF171" s="106"/>
    </row>
    <row r="172">
      <c r="C172" s="79"/>
      <c r="D172" s="79"/>
      <c r="E172" s="79"/>
      <c r="O172" s="79"/>
      <c r="R172" s="79"/>
      <c r="S172" s="79"/>
      <c r="X172" s="79"/>
      <c r="AD172" s="130"/>
      <c r="AF172" s="106"/>
    </row>
    <row r="173">
      <c r="C173" s="79"/>
      <c r="D173" s="79"/>
      <c r="E173" s="79"/>
      <c r="O173" s="79"/>
      <c r="R173" s="79"/>
      <c r="S173" s="79"/>
      <c r="X173" s="79"/>
      <c r="AD173" s="130"/>
      <c r="AF173" s="106"/>
    </row>
    <row r="174">
      <c r="C174" s="79"/>
      <c r="D174" s="79"/>
      <c r="E174" s="79"/>
      <c r="O174" s="79"/>
      <c r="R174" s="79"/>
      <c r="S174" s="79"/>
      <c r="X174" s="79"/>
      <c r="AD174" s="130"/>
      <c r="AF174" s="106"/>
    </row>
    <row r="175">
      <c r="C175" s="79"/>
      <c r="D175" s="79"/>
      <c r="E175" s="79"/>
      <c r="O175" s="79"/>
      <c r="R175" s="79"/>
      <c r="S175" s="79"/>
      <c r="X175" s="79"/>
      <c r="AD175" s="130"/>
      <c r="AF175" s="106"/>
    </row>
    <row r="176">
      <c r="C176" s="79"/>
      <c r="D176" s="79"/>
      <c r="E176" s="79"/>
      <c r="O176" s="79"/>
      <c r="R176" s="79"/>
      <c r="S176" s="79"/>
      <c r="X176" s="79"/>
      <c r="AD176" s="130"/>
      <c r="AF176" s="106"/>
    </row>
    <row r="177">
      <c r="C177" s="79"/>
      <c r="D177" s="79"/>
      <c r="E177" s="79"/>
      <c r="O177" s="79"/>
      <c r="R177" s="79"/>
      <c r="S177" s="79"/>
      <c r="X177" s="79"/>
      <c r="AD177" s="130"/>
      <c r="AF177" s="106"/>
    </row>
    <row r="178">
      <c r="C178" s="79"/>
      <c r="D178" s="79"/>
      <c r="E178" s="79"/>
      <c r="O178" s="79"/>
      <c r="R178" s="79"/>
      <c r="S178" s="79"/>
      <c r="X178" s="79"/>
      <c r="AD178" s="130"/>
      <c r="AF178" s="106"/>
    </row>
    <row r="179">
      <c r="C179" s="79"/>
      <c r="D179" s="79"/>
      <c r="E179" s="79"/>
      <c r="O179" s="79"/>
      <c r="R179" s="79"/>
      <c r="S179" s="79"/>
      <c r="X179" s="79"/>
      <c r="AD179" s="130"/>
      <c r="AF179" s="106"/>
    </row>
    <row r="180">
      <c r="C180" s="79"/>
      <c r="D180" s="79"/>
      <c r="E180" s="79"/>
      <c r="O180" s="79"/>
      <c r="R180" s="79"/>
      <c r="S180" s="79"/>
      <c r="X180" s="79"/>
      <c r="AD180" s="130"/>
      <c r="AF180" s="106"/>
    </row>
    <row r="181">
      <c r="C181" s="79"/>
      <c r="D181" s="79"/>
      <c r="E181" s="79"/>
      <c r="O181" s="79"/>
      <c r="R181" s="79"/>
      <c r="S181" s="79"/>
      <c r="X181" s="79"/>
      <c r="AD181" s="130"/>
      <c r="AF181" s="106"/>
    </row>
    <row r="182">
      <c r="C182" s="79"/>
      <c r="D182" s="79"/>
      <c r="E182" s="79"/>
      <c r="O182" s="79"/>
      <c r="R182" s="79"/>
      <c r="S182" s="79"/>
      <c r="X182" s="79"/>
      <c r="AD182" s="130"/>
      <c r="AF182" s="106"/>
    </row>
    <row r="183">
      <c r="C183" s="79"/>
      <c r="D183" s="79"/>
      <c r="E183" s="79"/>
      <c r="O183" s="79"/>
      <c r="R183" s="79"/>
      <c r="S183" s="79"/>
      <c r="X183" s="79"/>
      <c r="AD183" s="130"/>
      <c r="AF183" s="106"/>
    </row>
    <row r="184">
      <c r="C184" s="79"/>
      <c r="D184" s="79"/>
      <c r="E184" s="79"/>
      <c r="O184" s="79"/>
      <c r="R184" s="79"/>
      <c r="S184" s="79"/>
      <c r="X184" s="79"/>
      <c r="AD184" s="130"/>
      <c r="AF184" s="106"/>
    </row>
    <row r="185">
      <c r="C185" s="79"/>
      <c r="D185" s="79"/>
      <c r="E185" s="79"/>
      <c r="O185" s="79"/>
      <c r="R185" s="79"/>
      <c r="S185" s="79"/>
      <c r="X185" s="79"/>
      <c r="AD185" s="130"/>
      <c r="AF185" s="106"/>
    </row>
    <row r="186">
      <c r="C186" s="79"/>
      <c r="D186" s="79"/>
      <c r="E186" s="79"/>
      <c r="O186" s="79"/>
      <c r="R186" s="79"/>
      <c r="S186" s="79"/>
      <c r="X186" s="79"/>
      <c r="AD186" s="130"/>
      <c r="AF186" s="106"/>
    </row>
    <row r="187">
      <c r="C187" s="79"/>
      <c r="D187" s="79"/>
      <c r="E187" s="79"/>
      <c r="O187" s="79"/>
      <c r="R187" s="79"/>
      <c r="S187" s="79"/>
      <c r="X187" s="79"/>
      <c r="AD187" s="130"/>
      <c r="AF187" s="106"/>
    </row>
    <row r="188">
      <c r="C188" s="79"/>
      <c r="D188" s="79"/>
      <c r="E188" s="79"/>
      <c r="O188" s="79"/>
      <c r="R188" s="79"/>
      <c r="S188" s="79"/>
      <c r="X188" s="79"/>
      <c r="AD188" s="130"/>
      <c r="AF188" s="106"/>
    </row>
    <row r="189">
      <c r="C189" s="79"/>
      <c r="D189" s="79"/>
      <c r="E189" s="79"/>
      <c r="O189" s="79"/>
      <c r="R189" s="79"/>
      <c r="S189" s="79"/>
      <c r="X189" s="79"/>
      <c r="AD189" s="130"/>
      <c r="AF189" s="106"/>
    </row>
    <row r="190">
      <c r="C190" s="79"/>
      <c r="D190" s="79"/>
      <c r="E190" s="79"/>
      <c r="O190" s="79"/>
      <c r="R190" s="79"/>
      <c r="S190" s="79"/>
      <c r="X190" s="79"/>
      <c r="AD190" s="130"/>
      <c r="AF190" s="106"/>
    </row>
    <row r="191">
      <c r="C191" s="79"/>
      <c r="D191" s="79"/>
      <c r="E191" s="79"/>
      <c r="O191" s="79"/>
      <c r="R191" s="79"/>
      <c r="S191" s="79"/>
      <c r="X191" s="79"/>
      <c r="AD191" s="130"/>
      <c r="AF191" s="106"/>
    </row>
    <row r="192">
      <c r="C192" s="79"/>
      <c r="D192" s="79"/>
      <c r="E192" s="79"/>
      <c r="O192" s="79"/>
      <c r="R192" s="79"/>
      <c r="S192" s="79"/>
      <c r="X192" s="79"/>
      <c r="AD192" s="130"/>
      <c r="AF192" s="106"/>
    </row>
    <row r="193">
      <c r="C193" s="79"/>
      <c r="D193" s="79"/>
      <c r="E193" s="79"/>
      <c r="O193" s="79"/>
      <c r="R193" s="79"/>
      <c r="S193" s="79"/>
      <c r="X193" s="79"/>
      <c r="AD193" s="130"/>
      <c r="AF193" s="106"/>
    </row>
    <row r="194">
      <c r="C194" s="79"/>
      <c r="D194" s="79"/>
      <c r="E194" s="79"/>
      <c r="O194" s="79"/>
      <c r="R194" s="79"/>
      <c r="S194" s="79"/>
      <c r="X194" s="79"/>
      <c r="AD194" s="130"/>
      <c r="AF194" s="106"/>
    </row>
    <row r="195">
      <c r="C195" s="79"/>
      <c r="D195" s="79"/>
      <c r="E195" s="79"/>
      <c r="O195" s="79"/>
      <c r="R195" s="79"/>
      <c r="S195" s="79"/>
      <c r="X195" s="79"/>
      <c r="AD195" s="130"/>
      <c r="AF195" s="106"/>
    </row>
    <row r="196">
      <c r="C196" s="79"/>
      <c r="D196" s="79"/>
      <c r="E196" s="79"/>
      <c r="O196" s="79"/>
      <c r="R196" s="79"/>
      <c r="S196" s="79"/>
      <c r="X196" s="79"/>
      <c r="AD196" s="130"/>
      <c r="AF196" s="106"/>
    </row>
    <row r="197">
      <c r="C197" s="79"/>
      <c r="D197" s="79"/>
      <c r="E197" s="79"/>
      <c r="O197" s="79"/>
      <c r="R197" s="79"/>
      <c r="S197" s="79"/>
      <c r="X197" s="79"/>
      <c r="AD197" s="130"/>
      <c r="AF197" s="106"/>
    </row>
    <row r="198">
      <c r="C198" s="79"/>
      <c r="D198" s="79"/>
      <c r="E198" s="79"/>
      <c r="O198" s="79"/>
      <c r="R198" s="79"/>
      <c r="S198" s="79"/>
      <c r="X198" s="79"/>
      <c r="AD198" s="130"/>
      <c r="AF198" s="106"/>
    </row>
    <row r="199">
      <c r="C199" s="79"/>
      <c r="D199" s="79"/>
      <c r="E199" s="79"/>
      <c r="O199" s="79"/>
      <c r="R199" s="79"/>
      <c r="S199" s="79"/>
      <c r="X199" s="79"/>
      <c r="AD199" s="130"/>
      <c r="AF199" s="106"/>
    </row>
    <row r="200">
      <c r="C200" s="79"/>
      <c r="D200" s="79"/>
      <c r="E200" s="79"/>
      <c r="O200" s="79"/>
      <c r="R200" s="79"/>
      <c r="S200" s="79"/>
      <c r="X200" s="79"/>
      <c r="AD200" s="130"/>
      <c r="AF200" s="106"/>
    </row>
    <row r="201">
      <c r="C201" s="79"/>
      <c r="D201" s="79"/>
      <c r="E201" s="79"/>
      <c r="O201" s="79"/>
      <c r="R201" s="79"/>
      <c r="S201" s="79"/>
      <c r="X201" s="79"/>
      <c r="AD201" s="130"/>
      <c r="AF201" s="106"/>
    </row>
    <row r="202">
      <c r="C202" s="79"/>
      <c r="D202" s="79"/>
      <c r="E202" s="79"/>
      <c r="O202" s="79"/>
      <c r="R202" s="79"/>
      <c r="S202" s="79"/>
      <c r="X202" s="79"/>
      <c r="AD202" s="130"/>
      <c r="AF202" s="106"/>
    </row>
    <row r="203">
      <c r="C203" s="79"/>
      <c r="D203" s="79"/>
      <c r="E203" s="79"/>
      <c r="O203" s="79"/>
      <c r="R203" s="79"/>
      <c r="S203" s="79"/>
      <c r="X203" s="79"/>
      <c r="AD203" s="130"/>
      <c r="AF203" s="106"/>
    </row>
    <row r="204">
      <c r="C204" s="79"/>
      <c r="D204" s="79"/>
      <c r="E204" s="79"/>
      <c r="O204" s="79"/>
      <c r="R204" s="79"/>
      <c r="S204" s="79"/>
      <c r="X204" s="79"/>
      <c r="AD204" s="130"/>
      <c r="AF204" s="106"/>
    </row>
    <row r="205">
      <c r="C205" s="79"/>
      <c r="D205" s="79"/>
      <c r="E205" s="79"/>
      <c r="O205" s="79"/>
      <c r="R205" s="79"/>
      <c r="S205" s="79"/>
      <c r="X205" s="79"/>
      <c r="AD205" s="130"/>
      <c r="AF205" s="106"/>
    </row>
    <row r="206">
      <c r="C206" s="79"/>
      <c r="D206" s="79"/>
      <c r="E206" s="79"/>
      <c r="O206" s="79"/>
      <c r="R206" s="79"/>
      <c r="S206" s="79"/>
      <c r="X206" s="79"/>
      <c r="AD206" s="130"/>
      <c r="AF206" s="106"/>
    </row>
    <row r="207">
      <c r="C207" s="79"/>
      <c r="D207" s="79"/>
      <c r="E207" s="79"/>
      <c r="O207" s="79"/>
      <c r="R207" s="79"/>
      <c r="S207" s="79"/>
      <c r="X207" s="79"/>
      <c r="AD207" s="130"/>
      <c r="AF207" s="106"/>
    </row>
    <row r="208">
      <c r="C208" s="79"/>
      <c r="D208" s="79"/>
      <c r="E208" s="79"/>
      <c r="O208" s="79"/>
      <c r="R208" s="79"/>
      <c r="S208" s="79"/>
      <c r="X208" s="79"/>
      <c r="AD208" s="130"/>
      <c r="AF208" s="106"/>
    </row>
    <row r="209">
      <c r="C209" s="79"/>
      <c r="D209" s="79"/>
      <c r="E209" s="79"/>
      <c r="O209" s="79"/>
      <c r="R209" s="79"/>
      <c r="S209" s="79"/>
      <c r="X209" s="79"/>
      <c r="AD209" s="130"/>
      <c r="AF209" s="106"/>
    </row>
    <row r="210">
      <c r="C210" s="79"/>
      <c r="D210" s="79"/>
      <c r="E210" s="79"/>
      <c r="O210" s="79"/>
      <c r="R210" s="79"/>
      <c r="S210" s="79"/>
      <c r="X210" s="79"/>
      <c r="AD210" s="130"/>
      <c r="AF210" s="106"/>
    </row>
    <row r="211">
      <c r="C211" s="79"/>
      <c r="D211" s="79"/>
      <c r="E211" s="79"/>
      <c r="O211" s="79"/>
      <c r="R211" s="79"/>
      <c r="S211" s="79"/>
      <c r="X211" s="79"/>
      <c r="AD211" s="130"/>
      <c r="AF211" s="106"/>
    </row>
    <row r="212">
      <c r="C212" s="79"/>
      <c r="D212" s="79"/>
      <c r="E212" s="79"/>
      <c r="O212" s="79"/>
      <c r="R212" s="79"/>
      <c r="S212" s="79"/>
      <c r="X212" s="79"/>
      <c r="AD212" s="130"/>
      <c r="AF212" s="106"/>
    </row>
    <row r="213">
      <c r="C213" s="79"/>
      <c r="D213" s="79"/>
      <c r="E213" s="79"/>
      <c r="O213" s="79"/>
      <c r="R213" s="79"/>
      <c r="S213" s="79"/>
      <c r="X213" s="79"/>
      <c r="AD213" s="130"/>
      <c r="AF213" s="106"/>
    </row>
    <row r="214">
      <c r="C214" s="79"/>
      <c r="D214" s="79"/>
      <c r="E214" s="79"/>
      <c r="O214" s="79"/>
      <c r="R214" s="79"/>
      <c r="S214" s="79"/>
      <c r="X214" s="79"/>
      <c r="AD214" s="130"/>
      <c r="AF214" s="106"/>
    </row>
    <row r="215">
      <c r="C215" s="79"/>
      <c r="D215" s="79"/>
      <c r="E215" s="79"/>
      <c r="O215" s="79"/>
      <c r="R215" s="79"/>
      <c r="S215" s="79"/>
      <c r="X215" s="79"/>
      <c r="AD215" s="130"/>
      <c r="AF215" s="106"/>
    </row>
    <row r="216">
      <c r="C216" s="79"/>
      <c r="D216" s="79"/>
      <c r="E216" s="79"/>
      <c r="O216" s="79"/>
      <c r="R216" s="79"/>
      <c r="S216" s="79"/>
      <c r="X216" s="79"/>
      <c r="AD216" s="130"/>
      <c r="AF216" s="106"/>
    </row>
    <row r="217">
      <c r="C217" s="79"/>
      <c r="D217" s="79"/>
      <c r="E217" s="79"/>
      <c r="O217" s="79"/>
      <c r="R217" s="79"/>
      <c r="S217" s="79"/>
      <c r="X217" s="79"/>
      <c r="AD217" s="130"/>
      <c r="AF217" s="106"/>
    </row>
    <row r="218">
      <c r="C218" s="79"/>
      <c r="D218" s="79"/>
      <c r="E218" s="79"/>
      <c r="O218" s="79"/>
      <c r="R218" s="79"/>
      <c r="S218" s="79"/>
      <c r="X218" s="79"/>
      <c r="AD218" s="130"/>
      <c r="AF218" s="106"/>
    </row>
    <row r="219">
      <c r="C219" s="79"/>
      <c r="D219" s="79"/>
      <c r="E219" s="79"/>
      <c r="O219" s="79"/>
      <c r="R219" s="79"/>
      <c r="S219" s="79"/>
      <c r="X219" s="79"/>
      <c r="AD219" s="130"/>
      <c r="AF219" s="106"/>
    </row>
    <row r="220">
      <c r="C220" s="79"/>
      <c r="D220" s="79"/>
      <c r="E220" s="79"/>
      <c r="O220" s="79"/>
      <c r="R220" s="79"/>
      <c r="S220" s="79"/>
      <c r="X220" s="79"/>
      <c r="AD220" s="130"/>
      <c r="AF220" s="106"/>
    </row>
    <row r="221">
      <c r="C221" s="79"/>
      <c r="D221" s="79"/>
      <c r="E221" s="79"/>
      <c r="O221" s="79"/>
      <c r="R221" s="79"/>
      <c r="S221" s="79"/>
      <c r="X221" s="79"/>
      <c r="AD221" s="130"/>
      <c r="AF221" s="106"/>
    </row>
    <row r="222">
      <c r="C222" s="79"/>
      <c r="D222" s="79"/>
      <c r="E222" s="79"/>
      <c r="O222" s="79"/>
      <c r="R222" s="79"/>
      <c r="S222" s="79"/>
      <c r="X222" s="79"/>
      <c r="AD222" s="130"/>
      <c r="AF222" s="106"/>
    </row>
    <row r="223">
      <c r="C223" s="79"/>
      <c r="D223" s="79"/>
      <c r="E223" s="79"/>
      <c r="O223" s="79"/>
      <c r="R223" s="79"/>
      <c r="S223" s="79"/>
      <c r="X223" s="79"/>
      <c r="AD223" s="130"/>
      <c r="AF223" s="106"/>
    </row>
    <row r="224">
      <c r="C224" s="79"/>
      <c r="D224" s="79"/>
      <c r="E224" s="79"/>
      <c r="O224" s="79"/>
      <c r="R224" s="79"/>
      <c r="S224" s="79"/>
      <c r="X224" s="79"/>
      <c r="AD224" s="130"/>
      <c r="AF224" s="106"/>
    </row>
    <row r="225">
      <c r="C225" s="79"/>
      <c r="D225" s="79"/>
      <c r="E225" s="79"/>
      <c r="O225" s="79"/>
      <c r="R225" s="79"/>
      <c r="S225" s="79"/>
      <c r="X225" s="79"/>
      <c r="AD225" s="130"/>
      <c r="AF225" s="106"/>
    </row>
    <row r="226">
      <c r="C226" s="79"/>
      <c r="D226" s="79"/>
      <c r="E226" s="79"/>
      <c r="O226" s="79"/>
      <c r="R226" s="79"/>
      <c r="S226" s="79"/>
      <c r="X226" s="79"/>
      <c r="AD226" s="130"/>
      <c r="AF226" s="106"/>
    </row>
    <row r="227">
      <c r="C227" s="79"/>
      <c r="D227" s="79"/>
      <c r="E227" s="79"/>
      <c r="O227" s="79"/>
      <c r="R227" s="79"/>
      <c r="S227" s="79"/>
      <c r="X227" s="79"/>
      <c r="AD227" s="130"/>
      <c r="AF227" s="106"/>
    </row>
    <row r="228">
      <c r="C228" s="79"/>
      <c r="D228" s="79"/>
      <c r="E228" s="79"/>
      <c r="O228" s="79"/>
      <c r="R228" s="79"/>
      <c r="S228" s="79"/>
      <c r="X228" s="79"/>
      <c r="AD228" s="130"/>
      <c r="AF228" s="106"/>
    </row>
    <row r="229">
      <c r="C229" s="79"/>
      <c r="D229" s="79"/>
      <c r="E229" s="79"/>
      <c r="O229" s="79"/>
      <c r="R229" s="79"/>
      <c r="S229" s="79"/>
      <c r="X229" s="79"/>
      <c r="AD229" s="130"/>
      <c r="AF229" s="106"/>
    </row>
    <row r="230">
      <c r="C230" s="79"/>
      <c r="D230" s="79"/>
      <c r="E230" s="79"/>
      <c r="O230" s="79"/>
      <c r="R230" s="79"/>
      <c r="S230" s="79"/>
      <c r="X230" s="79"/>
      <c r="AD230" s="130"/>
      <c r="AF230" s="106"/>
    </row>
    <row r="231">
      <c r="C231" s="79"/>
      <c r="D231" s="79"/>
      <c r="E231" s="79"/>
      <c r="O231" s="79"/>
      <c r="R231" s="79"/>
      <c r="S231" s="79"/>
      <c r="X231" s="79"/>
      <c r="AD231" s="130"/>
      <c r="AF231" s="106"/>
    </row>
    <row r="232">
      <c r="C232" s="79"/>
      <c r="D232" s="79"/>
      <c r="E232" s="79"/>
      <c r="O232" s="79"/>
      <c r="R232" s="79"/>
      <c r="S232" s="79"/>
      <c r="X232" s="79"/>
      <c r="AD232" s="130"/>
      <c r="AF232" s="106"/>
    </row>
    <row r="233">
      <c r="C233" s="79"/>
      <c r="D233" s="79"/>
      <c r="E233" s="79"/>
      <c r="O233" s="79"/>
      <c r="R233" s="79"/>
      <c r="S233" s="79"/>
      <c r="X233" s="79"/>
      <c r="AD233" s="130"/>
      <c r="AF233" s="106"/>
    </row>
    <row r="234">
      <c r="C234" s="79"/>
      <c r="D234" s="79"/>
      <c r="E234" s="79"/>
      <c r="O234" s="79"/>
      <c r="R234" s="79"/>
      <c r="S234" s="79"/>
      <c r="X234" s="79"/>
      <c r="AD234" s="130"/>
      <c r="AF234" s="106"/>
    </row>
    <row r="235">
      <c r="C235" s="79"/>
      <c r="D235" s="79"/>
      <c r="E235" s="79"/>
      <c r="O235" s="79"/>
      <c r="R235" s="79"/>
      <c r="S235" s="79"/>
      <c r="X235" s="79"/>
      <c r="AD235" s="130"/>
      <c r="AF235" s="106"/>
    </row>
    <row r="236">
      <c r="C236" s="79"/>
      <c r="D236" s="79"/>
      <c r="E236" s="79"/>
      <c r="O236" s="79"/>
      <c r="R236" s="79"/>
      <c r="S236" s="79"/>
      <c r="X236" s="79"/>
      <c r="AD236" s="130"/>
      <c r="AF236" s="106"/>
    </row>
    <row r="237">
      <c r="C237" s="79"/>
      <c r="D237" s="79"/>
      <c r="E237" s="79"/>
      <c r="O237" s="79"/>
      <c r="R237" s="79"/>
      <c r="S237" s="79"/>
      <c r="X237" s="79"/>
      <c r="AD237" s="130"/>
      <c r="AF237" s="106"/>
    </row>
    <row r="238">
      <c r="C238" s="79"/>
      <c r="D238" s="79"/>
      <c r="E238" s="79"/>
      <c r="O238" s="79"/>
      <c r="R238" s="79"/>
      <c r="S238" s="79"/>
      <c r="X238" s="79"/>
      <c r="AD238" s="130"/>
      <c r="AF238" s="106"/>
    </row>
    <row r="239">
      <c r="C239" s="79"/>
      <c r="D239" s="79"/>
      <c r="E239" s="79"/>
      <c r="O239" s="79"/>
      <c r="R239" s="79"/>
      <c r="S239" s="79"/>
      <c r="X239" s="79"/>
      <c r="AD239" s="130"/>
      <c r="AF239" s="106"/>
    </row>
    <row r="240">
      <c r="C240" s="79"/>
      <c r="D240" s="79"/>
      <c r="E240" s="79"/>
      <c r="O240" s="79"/>
      <c r="R240" s="79"/>
      <c r="S240" s="79"/>
      <c r="X240" s="79"/>
      <c r="AD240" s="130"/>
      <c r="AF240" s="106"/>
    </row>
    <row r="241">
      <c r="C241" s="79"/>
      <c r="D241" s="79"/>
      <c r="E241" s="79"/>
      <c r="O241" s="79"/>
      <c r="R241" s="79"/>
      <c r="S241" s="79"/>
      <c r="X241" s="79"/>
      <c r="AD241" s="130"/>
      <c r="AF241" s="106"/>
    </row>
    <row r="242">
      <c r="C242" s="79"/>
      <c r="D242" s="79"/>
      <c r="E242" s="79"/>
      <c r="O242" s="79"/>
      <c r="R242" s="79"/>
      <c r="S242" s="79"/>
      <c r="X242" s="79"/>
      <c r="AD242" s="130"/>
      <c r="AF242" s="106"/>
    </row>
    <row r="243">
      <c r="C243" s="79"/>
      <c r="D243" s="79"/>
      <c r="E243" s="79"/>
      <c r="O243" s="79"/>
      <c r="R243" s="79"/>
      <c r="S243" s="79"/>
      <c r="X243" s="79"/>
      <c r="AD243" s="130"/>
      <c r="AF243" s="106"/>
    </row>
    <row r="244">
      <c r="C244" s="79"/>
      <c r="D244" s="79"/>
      <c r="E244" s="79"/>
      <c r="O244" s="79"/>
      <c r="R244" s="79"/>
      <c r="S244" s="79"/>
      <c r="X244" s="79"/>
      <c r="AD244" s="130"/>
      <c r="AF244" s="106"/>
    </row>
    <row r="245">
      <c r="C245" s="79"/>
      <c r="D245" s="79"/>
      <c r="E245" s="79"/>
      <c r="O245" s="79"/>
      <c r="R245" s="79"/>
      <c r="S245" s="79"/>
      <c r="X245" s="79"/>
      <c r="AD245" s="130"/>
      <c r="AF245" s="106"/>
    </row>
    <row r="246">
      <c r="C246" s="79"/>
      <c r="D246" s="79"/>
      <c r="E246" s="79"/>
      <c r="O246" s="79"/>
      <c r="R246" s="79"/>
      <c r="S246" s="79"/>
      <c r="X246" s="79"/>
      <c r="AD246" s="130"/>
      <c r="AF246" s="106"/>
    </row>
    <row r="247">
      <c r="C247" s="79"/>
      <c r="D247" s="79"/>
      <c r="E247" s="79"/>
      <c r="O247" s="79"/>
      <c r="R247" s="79"/>
      <c r="S247" s="79"/>
      <c r="X247" s="79"/>
      <c r="AD247" s="130"/>
      <c r="AF247" s="106"/>
    </row>
    <row r="248">
      <c r="C248" s="79"/>
      <c r="D248" s="79"/>
      <c r="E248" s="79"/>
      <c r="O248" s="79"/>
      <c r="R248" s="79"/>
      <c r="S248" s="79"/>
      <c r="X248" s="79"/>
      <c r="AD248" s="130"/>
      <c r="AF248" s="106"/>
    </row>
    <row r="249">
      <c r="C249" s="79"/>
      <c r="D249" s="79"/>
      <c r="E249" s="79"/>
      <c r="O249" s="79"/>
      <c r="R249" s="79"/>
      <c r="S249" s="79"/>
      <c r="X249" s="79"/>
      <c r="AD249" s="130"/>
      <c r="AF249" s="106"/>
    </row>
    <row r="250">
      <c r="C250" s="79"/>
      <c r="D250" s="79"/>
      <c r="E250" s="79"/>
      <c r="O250" s="79"/>
      <c r="R250" s="79"/>
      <c r="S250" s="79"/>
      <c r="X250" s="79"/>
      <c r="AD250" s="130"/>
      <c r="AF250" s="106"/>
    </row>
    <row r="251">
      <c r="C251" s="79"/>
      <c r="D251" s="79"/>
      <c r="E251" s="79"/>
      <c r="O251" s="79"/>
      <c r="R251" s="79"/>
      <c r="S251" s="79"/>
      <c r="X251" s="79"/>
      <c r="AD251" s="130"/>
      <c r="AF251" s="106"/>
    </row>
    <row r="252">
      <c r="C252" s="79"/>
      <c r="D252" s="79"/>
      <c r="E252" s="79"/>
      <c r="O252" s="79"/>
      <c r="R252" s="79"/>
      <c r="S252" s="79"/>
      <c r="X252" s="79"/>
      <c r="AD252" s="130"/>
      <c r="AF252" s="106"/>
    </row>
    <row r="253">
      <c r="C253" s="79"/>
      <c r="D253" s="79"/>
      <c r="E253" s="79"/>
      <c r="O253" s="79"/>
      <c r="R253" s="79"/>
      <c r="S253" s="79"/>
      <c r="X253" s="79"/>
      <c r="AD253" s="130"/>
      <c r="AF253" s="106"/>
    </row>
    <row r="254">
      <c r="C254" s="79"/>
      <c r="D254" s="79"/>
      <c r="E254" s="79"/>
      <c r="O254" s="79"/>
      <c r="R254" s="79"/>
      <c r="S254" s="79"/>
      <c r="X254" s="79"/>
      <c r="AD254" s="130"/>
      <c r="AF254" s="106"/>
    </row>
    <row r="255">
      <c r="C255" s="79"/>
      <c r="D255" s="79"/>
      <c r="E255" s="79"/>
      <c r="O255" s="79"/>
      <c r="R255" s="79"/>
      <c r="S255" s="79"/>
      <c r="X255" s="79"/>
      <c r="AD255" s="130"/>
      <c r="AF255" s="106"/>
    </row>
    <row r="256">
      <c r="C256" s="79"/>
      <c r="D256" s="79"/>
      <c r="E256" s="79"/>
      <c r="O256" s="79"/>
      <c r="R256" s="79"/>
      <c r="S256" s="79"/>
      <c r="X256" s="79"/>
      <c r="AD256" s="130"/>
      <c r="AF256" s="106"/>
    </row>
    <row r="257">
      <c r="C257" s="79"/>
      <c r="D257" s="79"/>
      <c r="E257" s="79"/>
      <c r="O257" s="79"/>
      <c r="R257" s="79"/>
      <c r="S257" s="79"/>
      <c r="X257" s="79"/>
      <c r="AD257" s="130"/>
      <c r="AF257" s="106"/>
    </row>
    <row r="258">
      <c r="C258" s="79"/>
      <c r="D258" s="79"/>
      <c r="E258" s="79"/>
      <c r="O258" s="79"/>
      <c r="R258" s="79"/>
      <c r="S258" s="79"/>
      <c r="X258" s="79"/>
      <c r="AD258" s="130"/>
      <c r="AF258" s="106"/>
    </row>
    <row r="259">
      <c r="C259" s="79"/>
      <c r="D259" s="79"/>
      <c r="E259" s="79"/>
      <c r="O259" s="79"/>
      <c r="R259" s="79"/>
      <c r="S259" s="79"/>
      <c r="X259" s="79"/>
      <c r="AD259" s="130"/>
      <c r="AF259" s="106"/>
    </row>
    <row r="260">
      <c r="C260" s="79"/>
      <c r="D260" s="79"/>
      <c r="E260" s="79"/>
      <c r="O260" s="79"/>
      <c r="R260" s="79"/>
      <c r="S260" s="79"/>
      <c r="X260" s="79"/>
      <c r="AD260" s="130"/>
      <c r="AF260" s="106"/>
    </row>
    <row r="261">
      <c r="C261" s="79"/>
      <c r="D261" s="79"/>
      <c r="E261" s="79"/>
      <c r="O261" s="79"/>
      <c r="R261" s="79"/>
      <c r="S261" s="79"/>
      <c r="X261" s="79"/>
      <c r="AD261" s="130"/>
      <c r="AF261" s="106"/>
    </row>
    <row r="262">
      <c r="C262" s="79"/>
      <c r="D262" s="79"/>
      <c r="E262" s="79"/>
      <c r="O262" s="79"/>
      <c r="R262" s="79"/>
      <c r="S262" s="79"/>
      <c r="X262" s="79"/>
      <c r="AD262" s="130"/>
      <c r="AF262" s="106"/>
    </row>
    <row r="263">
      <c r="C263" s="79"/>
      <c r="D263" s="79"/>
      <c r="E263" s="79"/>
      <c r="O263" s="79"/>
      <c r="R263" s="79"/>
      <c r="S263" s="79"/>
      <c r="X263" s="79"/>
      <c r="AD263" s="130"/>
      <c r="AF263" s="106"/>
    </row>
    <row r="264">
      <c r="C264" s="79"/>
      <c r="D264" s="79"/>
      <c r="E264" s="79"/>
      <c r="O264" s="79"/>
      <c r="R264" s="79"/>
      <c r="S264" s="79"/>
      <c r="X264" s="79"/>
      <c r="AD264" s="130"/>
      <c r="AF264" s="106"/>
    </row>
    <row r="265">
      <c r="C265" s="79"/>
      <c r="D265" s="79"/>
      <c r="E265" s="79"/>
      <c r="O265" s="79"/>
      <c r="R265" s="79"/>
      <c r="S265" s="79"/>
      <c r="X265" s="79"/>
      <c r="AD265" s="130"/>
      <c r="AF265" s="106"/>
    </row>
    <row r="266">
      <c r="C266" s="79"/>
      <c r="D266" s="79"/>
      <c r="E266" s="79"/>
      <c r="O266" s="79"/>
      <c r="R266" s="79"/>
      <c r="S266" s="79"/>
      <c r="X266" s="79"/>
      <c r="AD266" s="130"/>
      <c r="AF266" s="106"/>
    </row>
    <row r="267">
      <c r="C267" s="79"/>
      <c r="D267" s="79"/>
      <c r="E267" s="79"/>
      <c r="O267" s="79"/>
      <c r="R267" s="79"/>
      <c r="S267" s="79"/>
      <c r="X267" s="79"/>
      <c r="AD267" s="130"/>
      <c r="AF267" s="106"/>
    </row>
    <row r="268">
      <c r="C268" s="79"/>
      <c r="D268" s="79"/>
      <c r="E268" s="79"/>
      <c r="O268" s="79"/>
      <c r="R268" s="79"/>
      <c r="S268" s="79"/>
      <c r="X268" s="79"/>
      <c r="AD268" s="130"/>
      <c r="AF268" s="106"/>
    </row>
    <row r="269">
      <c r="C269" s="79"/>
      <c r="D269" s="79"/>
      <c r="E269" s="79"/>
      <c r="O269" s="79"/>
      <c r="R269" s="79"/>
      <c r="S269" s="79"/>
      <c r="X269" s="79"/>
      <c r="AD269" s="130"/>
      <c r="AF269" s="106"/>
    </row>
    <row r="270">
      <c r="C270" s="79"/>
      <c r="D270" s="79"/>
      <c r="E270" s="79"/>
      <c r="O270" s="79"/>
      <c r="R270" s="79"/>
      <c r="S270" s="79"/>
      <c r="X270" s="79"/>
      <c r="AD270" s="130"/>
      <c r="AF270" s="106"/>
    </row>
    <row r="271">
      <c r="C271" s="79"/>
      <c r="D271" s="79"/>
      <c r="E271" s="79"/>
      <c r="O271" s="79"/>
      <c r="R271" s="79"/>
      <c r="S271" s="79"/>
      <c r="X271" s="79"/>
      <c r="AD271" s="130"/>
      <c r="AF271" s="106"/>
    </row>
    <row r="272">
      <c r="C272" s="79"/>
      <c r="D272" s="79"/>
      <c r="E272" s="79"/>
      <c r="O272" s="79"/>
      <c r="R272" s="79"/>
      <c r="S272" s="79"/>
      <c r="X272" s="79"/>
      <c r="AD272" s="130"/>
      <c r="AF272" s="106"/>
    </row>
    <row r="273">
      <c r="C273" s="79"/>
      <c r="D273" s="79"/>
      <c r="E273" s="79"/>
      <c r="O273" s="79"/>
      <c r="R273" s="79"/>
      <c r="S273" s="79"/>
      <c r="X273" s="79"/>
      <c r="AD273" s="130"/>
      <c r="AF273" s="106"/>
    </row>
    <row r="274">
      <c r="C274" s="79"/>
      <c r="D274" s="79"/>
      <c r="E274" s="79"/>
      <c r="O274" s="79"/>
      <c r="R274" s="79"/>
      <c r="S274" s="79"/>
      <c r="X274" s="79"/>
      <c r="AD274" s="130"/>
      <c r="AF274" s="106"/>
    </row>
    <row r="275">
      <c r="C275" s="79"/>
      <c r="D275" s="79"/>
      <c r="E275" s="79"/>
      <c r="O275" s="79"/>
      <c r="R275" s="79"/>
      <c r="S275" s="79"/>
      <c r="X275" s="79"/>
      <c r="AD275" s="130"/>
      <c r="AF275" s="106"/>
    </row>
    <row r="276">
      <c r="C276" s="79"/>
      <c r="D276" s="79"/>
      <c r="E276" s="79"/>
      <c r="O276" s="79"/>
      <c r="R276" s="79"/>
      <c r="S276" s="79"/>
      <c r="X276" s="79"/>
      <c r="AD276" s="130"/>
      <c r="AF276" s="106"/>
    </row>
    <row r="277">
      <c r="C277" s="79"/>
      <c r="D277" s="79"/>
      <c r="E277" s="79"/>
      <c r="O277" s="79"/>
      <c r="R277" s="79"/>
      <c r="S277" s="79"/>
      <c r="X277" s="79"/>
      <c r="AD277" s="130"/>
      <c r="AF277" s="106"/>
    </row>
    <row r="278">
      <c r="C278" s="79"/>
      <c r="D278" s="79"/>
      <c r="E278" s="79"/>
      <c r="O278" s="79"/>
      <c r="R278" s="79"/>
      <c r="S278" s="79"/>
      <c r="X278" s="79"/>
      <c r="AD278" s="130"/>
      <c r="AF278" s="106"/>
    </row>
    <row r="279">
      <c r="C279" s="79"/>
      <c r="D279" s="79"/>
      <c r="E279" s="79"/>
      <c r="O279" s="79"/>
      <c r="R279" s="79"/>
      <c r="S279" s="79"/>
      <c r="X279" s="79"/>
      <c r="AD279" s="130"/>
      <c r="AF279" s="106"/>
    </row>
    <row r="280">
      <c r="C280" s="79"/>
      <c r="D280" s="79"/>
      <c r="E280" s="79"/>
      <c r="O280" s="79"/>
      <c r="R280" s="79"/>
      <c r="S280" s="79"/>
      <c r="X280" s="79"/>
      <c r="AD280" s="130"/>
      <c r="AF280" s="106"/>
    </row>
    <row r="281">
      <c r="C281" s="79"/>
      <c r="D281" s="79"/>
      <c r="E281" s="79"/>
      <c r="O281" s="79"/>
      <c r="R281" s="79"/>
      <c r="S281" s="79"/>
      <c r="X281" s="79"/>
      <c r="AD281" s="130"/>
      <c r="AF281" s="106"/>
    </row>
    <row r="282">
      <c r="C282" s="79"/>
      <c r="D282" s="79"/>
      <c r="E282" s="79"/>
      <c r="O282" s="79"/>
      <c r="R282" s="79"/>
      <c r="S282" s="79"/>
      <c r="X282" s="79"/>
      <c r="AD282" s="130"/>
      <c r="AF282" s="106"/>
    </row>
    <row r="283">
      <c r="C283" s="79"/>
      <c r="D283" s="79"/>
      <c r="E283" s="79"/>
      <c r="O283" s="79"/>
      <c r="R283" s="79"/>
      <c r="S283" s="79"/>
      <c r="X283" s="79"/>
      <c r="AD283" s="130"/>
      <c r="AF283" s="106"/>
    </row>
    <row r="284">
      <c r="C284" s="79"/>
      <c r="D284" s="79"/>
      <c r="E284" s="79"/>
      <c r="O284" s="79"/>
      <c r="R284" s="79"/>
      <c r="S284" s="79"/>
      <c r="X284" s="79"/>
      <c r="AD284" s="130"/>
      <c r="AF284" s="106"/>
    </row>
    <row r="285">
      <c r="C285" s="79"/>
      <c r="D285" s="79"/>
      <c r="E285" s="79"/>
      <c r="O285" s="79"/>
      <c r="R285" s="79"/>
      <c r="S285" s="79"/>
      <c r="X285" s="79"/>
      <c r="AD285" s="130"/>
      <c r="AF285" s="106"/>
    </row>
    <row r="286">
      <c r="C286" s="79"/>
      <c r="D286" s="79"/>
      <c r="E286" s="79"/>
      <c r="O286" s="79"/>
      <c r="R286" s="79"/>
      <c r="S286" s="79"/>
      <c r="X286" s="79"/>
      <c r="AD286" s="130"/>
      <c r="AF286" s="106"/>
    </row>
    <row r="287">
      <c r="C287" s="79"/>
      <c r="D287" s="79"/>
      <c r="E287" s="79"/>
      <c r="O287" s="79"/>
      <c r="R287" s="79"/>
      <c r="S287" s="79"/>
      <c r="X287" s="79"/>
      <c r="AD287" s="130"/>
      <c r="AF287" s="106"/>
    </row>
    <row r="288">
      <c r="C288" s="79"/>
      <c r="D288" s="79"/>
      <c r="E288" s="79"/>
      <c r="O288" s="79"/>
      <c r="R288" s="79"/>
      <c r="S288" s="79"/>
      <c r="X288" s="79"/>
      <c r="AD288" s="130"/>
      <c r="AF288" s="106"/>
    </row>
    <row r="289">
      <c r="C289" s="79"/>
      <c r="D289" s="79"/>
      <c r="E289" s="79"/>
      <c r="O289" s="79"/>
      <c r="R289" s="79"/>
      <c r="S289" s="79"/>
      <c r="X289" s="79"/>
      <c r="AD289" s="130"/>
      <c r="AF289" s="106"/>
    </row>
    <row r="290">
      <c r="C290" s="79"/>
      <c r="D290" s="79"/>
      <c r="E290" s="79"/>
      <c r="O290" s="79"/>
      <c r="R290" s="79"/>
      <c r="S290" s="79"/>
      <c r="X290" s="79"/>
      <c r="AD290" s="130"/>
      <c r="AF290" s="106"/>
    </row>
    <row r="291">
      <c r="C291" s="79"/>
      <c r="D291" s="79"/>
      <c r="E291" s="79"/>
      <c r="O291" s="79"/>
      <c r="R291" s="79"/>
      <c r="S291" s="79"/>
      <c r="X291" s="79"/>
      <c r="AD291" s="130"/>
      <c r="AF291" s="106"/>
    </row>
    <row r="292">
      <c r="C292" s="79"/>
      <c r="D292" s="79"/>
      <c r="E292" s="79"/>
      <c r="O292" s="79"/>
      <c r="R292" s="79"/>
      <c r="S292" s="79"/>
      <c r="X292" s="79"/>
      <c r="AD292" s="130"/>
      <c r="AF292" s="106"/>
    </row>
    <row r="293">
      <c r="C293" s="79"/>
      <c r="D293" s="79"/>
      <c r="E293" s="79"/>
      <c r="O293" s="79"/>
      <c r="R293" s="79"/>
      <c r="S293" s="79"/>
      <c r="X293" s="79"/>
      <c r="AD293" s="130"/>
      <c r="AF293" s="106"/>
    </row>
    <row r="294">
      <c r="C294" s="79"/>
      <c r="D294" s="79"/>
      <c r="E294" s="79"/>
      <c r="O294" s="79"/>
      <c r="R294" s="79"/>
      <c r="S294" s="79"/>
      <c r="X294" s="79"/>
      <c r="AD294" s="130"/>
      <c r="AF294" s="106"/>
    </row>
    <row r="295">
      <c r="C295" s="79"/>
      <c r="D295" s="79"/>
      <c r="E295" s="79"/>
      <c r="O295" s="79"/>
      <c r="R295" s="79"/>
      <c r="S295" s="79"/>
      <c r="X295" s="79"/>
      <c r="AD295" s="130"/>
      <c r="AF295" s="106"/>
    </row>
    <row r="296">
      <c r="C296" s="79"/>
      <c r="D296" s="79"/>
      <c r="E296" s="79"/>
      <c r="O296" s="79"/>
      <c r="R296" s="79"/>
      <c r="S296" s="79"/>
      <c r="X296" s="79"/>
      <c r="AD296" s="130"/>
      <c r="AF296" s="106"/>
    </row>
    <row r="297">
      <c r="C297" s="79"/>
      <c r="D297" s="79"/>
      <c r="E297" s="79"/>
      <c r="O297" s="79"/>
      <c r="R297" s="79"/>
      <c r="S297" s="79"/>
      <c r="X297" s="79"/>
      <c r="AD297" s="130"/>
      <c r="AF297" s="106"/>
    </row>
    <row r="298">
      <c r="C298" s="79"/>
      <c r="D298" s="79"/>
      <c r="E298" s="79"/>
      <c r="O298" s="79"/>
      <c r="R298" s="79"/>
      <c r="S298" s="79"/>
      <c r="X298" s="79"/>
      <c r="AD298" s="130"/>
      <c r="AF298" s="106"/>
    </row>
    <row r="299">
      <c r="C299" s="79"/>
      <c r="D299" s="79"/>
      <c r="E299" s="79"/>
      <c r="O299" s="79"/>
      <c r="R299" s="79"/>
      <c r="S299" s="79"/>
      <c r="X299" s="79"/>
      <c r="AD299" s="130"/>
      <c r="AF299" s="106"/>
    </row>
    <row r="300">
      <c r="C300" s="79"/>
      <c r="D300" s="79"/>
      <c r="E300" s="79"/>
      <c r="O300" s="79"/>
      <c r="R300" s="79"/>
      <c r="S300" s="79"/>
      <c r="X300" s="79"/>
      <c r="AD300" s="130"/>
      <c r="AF300" s="106"/>
    </row>
    <row r="301">
      <c r="C301" s="79"/>
      <c r="D301" s="79"/>
      <c r="E301" s="79"/>
      <c r="O301" s="79"/>
      <c r="R301" s="79"/>
      <c r="S301" s="79"/>
      <c r="X301" s="79"/>
      <c r="AD301" s="130"/>
      <c r="AF301" s="106"/>
    </row>
    <row r="302">
      <c r="C302" s="79"/>
      <c r="D302" s="79"/>
      <c r="E302" s="79"/>
      <c r="O302" s="79"/>
      <c r="R302" s="79"/>
      <c r="S302" s="79"/>
      <c r="X302" s="79"/>
      <c r="AD302" s="130"/>
      <c r="AF302" s="106"/>
    </row>
    <row r="303">
      <c r="C303" s="79"/>
      <c r="D303" s="79"/>
      <c r="E303" s="79"/>
      <c r="O303" s="79"/>
      <c r="R303" s="79"/>
      <c r="S303" s="79"/>
      <c r="X303" s="79"/>
      <c r="AD303" s="130"/>
      <c r="AF303" s="106"/>
    </row>
    <row r="304">
      <c r="C304" s="79"/>
      <c r="D304" s="79"/>
      <c r="E304" s="79"/>
      <c r="O304" s="79"/>
      <c r="R304" s="79"/>
      <c r="S304" s="79"/>
      <c r="X304" s="79"/>
      <c r="AD304" s="130"/>
      <c r="AF304" s="106"/>
    </row>
    <row r="305">
      <c r="C305" s="79"/>
      <c r="D305" s="79"/>
      <c r="E305" s="79"/>
      <c r="O305" s="79"/>
      <c r="R305" s="79"/>
      <c r="S305" s="79"/>
      <c r="X305" s="79"/>
      <c r="AD305" s="130"/>
      <c r="AF305" s="106"/>
    </row>
    <row r="306">
      <c r="C306" s="79"/>
      <c r="D306" s="79"/>
      <c r="E306" s="79"/>
      <c r="O306" s="79"/>
      <c r="R306" s="79"/>
      <c r="S306" s="79"/>
      <c r="X306" s="79"/>
      <c r="AD306" s="130"/>
      <c r="AF306" s="106"/>
    </row>
    <row r="307">
      <c r="C307" s="79"/>
      <c r="D307" s="79"/>
      <c r="E307" s="79"/>
      <c r="O307" s="79"/>
      <c r="R307" s="79"/>
      <c r="S307" s="79"/>
      <c r="X307" s="79"/>
      <c r="AD307" s="130"/>
      <c r="AF307" s="106"/>
    </row>
    <row r="308">
      <c r="C308" s="79"/>
      <c r="D308" s="79"/>
      <c r="E308" s="79"/>
      <c r="O308" s="79"/>
      <c r="R308" s="79"/>
      <c r="S308" s="79"/>
      <c r="X308" s="79"/>
      <c r="AD308" s="130"/>
      <c r="AF308" s="106"/>
    </row>
    <row r="309">
      <c r="C309" s="79"/>
      <c r="D309" s="79"/>
      <c r="E309" s="79"/>
      <c r="O309" s="79"/>
      <c r="R309" s="79"/>
      <c r="S309" s="79"/>
      <c r="X309" s="79"/>
      <c r="AD309" s="130"/>
      <c r="AF309" s="106"/>
    </row>
    <row r="310">
      <c r="C310" s="79"/>
      <c r="D310" s="79"/>
      <c r="E310" s="79"/>
      <c r="O310" s="79"/>
      <c r="R310" s="79"/>
      <c r="S310" s="79"/>
      <c r="X310" s="79"/>
      <c r="AD310" s="130"/>
      <c r="AF310" s="106"/>
    </row>
    <row r="311">
      <c r="C311" s="79"/>
      <c r="D311" s="79"/>
      <c r="E311" s="79"/>
      <c r="O311" s="79"/>
      <c r="R311" s="79"/>
      <c r="S311" s="79"/>
      <c r="X311" s="79"/>
      <c r="AD311" s="130"/>
      <c r="AF311" s="106"/>
    </row>
    <row r="312">
      <c r="C312" s="79"/>
      <c r="D312" s="79"/>
      <c r="E312" s="79"/>
      <c r="O312" s="79"/>
      <c r="R312" s="79"/>
      <c r="S312" s="79"/>
      <c r="X312" s="79"/>
      <c r="AD312" s="130"/>
      <c r="AF312" s="106"/>
    </row>
    <row r="313">
      <c r="C313" s="79"/>
      <c r="D313" s="79"/>
      <c r="E313" s="79"/>
      <c r="O313" s="79"/>
      <c r="R313" s="79"/>
      <c r="S313" s="79"/>
      <c r="X313" s="79"/>
      <c r="AD313" s="130"/>
      <c r="AF313" s="106"/>
    </row>
    <row r="314">
      <c r="C314" s="79"/>
      <c r="D314" s="79"/>
      <c r="E314" s="79"/>
      <c r="O314" s="79"/>
      <c r="R314" s="79"/>
      <c r="S314" s="79"/>
      <c r="X314" s="79"/>
      <c r="AD314" s="130"/>
      <c r="AF314" s="106"/>
    </row>
    <row r="315">
      <c r="C315" s="79"/>
      <c r="D315" s="79"/>
      <c r="E315" s="79"/>
      <c r="O315" s="79"/>
      <c r="R315" s="79"/>
      <c r="S315" s="79"/>
      <c r="X315" s="79"/>
      <c r="AD315" s="130"/>
      <c r="AF315" s="106"/>
    </row>
    <row r="316">
      <c r="C316" s="79"/>
      <c r="D316" s="79"/>
      <c r="E316" s="79"/>
      <c r="O316" s="79"/>
      <c r="R316" s="79"/>
      <c r="S316" s="79"/>
      <c r="X316" s="79"/>
      <c r="AD316" s="130"/>
      <c r="AF316" s="106"/>
    </row>
    <row r="317">
      <c r="C317" s="79"/>
      <c r="D317" s="79"/>
      <c r="E317" s="79"/>
      <c r="O317" s="79"/>
      <c r="R317" s="79"/>
      <c r="S317" s="79"/>
      <c r="X317" s="79"/>
      <c r="AD317" s="130"/>
      <c r="AF317" s="106"/>
    </row>
    <row r="318">
      <c r="C318" s="79"/>
      <c r="D318" s="79"/>
      <c r="E318" s="79"/>
      <c r="O318" s="79"/>
      <c r="R318" s="79"/>
      <c r="S318" s="79"/>
      <c r="X318" s="79"/>
      <c r="AD318" s="130"/>
      <c r="AF318" s="106"/>
    </row>
    <row r="319">
      <c r="C319" s="79"/>
      <c r="D319" s="79"/>
      <c r="E319" s="79"/>
      <c r="O319" s="79"/>
      <c r="R319" s="79"/>
      <c r="S319" s="79"/>
      <c r="X319" s="79"/>
      <c r="AD319" s="130"/>
      <c r="AF319" s="106"/>
    </row>
    <row r="320">
      <c r="C320" s="79"/>
      <c r="D320" s="79"/>
      <c r="E320" s="79"/>
      <c r="O320" s="79"/>
      <c r="R320" s="79"/>
      <c r="S320" s="79"/>
      <c r="X320" s="79"/>
      <c r="AD320" s="130"/>
      <c r="AF320" s="106"/>
    </row>
    <row r="321">
      <c r="C321" s="79"/>
      <c r="D321" s="79"/>
      <c r="E321" s="79"/>
      <c r="O321" s="79"/>
      <c r="R321" s="79"/>
      <c r="S321" s="79"/>
      <c r="X321" s="79"/>
      <c r="AD321" s="130"/>
      <c r="AF321" s="106"/>
    </row>
    <row r="322">
      <c r="C322" s="79"/>
      <c r="D322" s="79"/>
      <c r="E322" s="79"/>
      <c r="O322" s="79"/>
      <c r="R322" s="79"/>
      <c r="S322" s="79"/>
      <c r="X322" s="79"/>
      <c r="AD322" s="130"/>
      <c r="AF322" s="106"/>
    </row>
    <row r="323">
      <c r="C323" s="79"/>
      <c r="D323" s="79"/>
      <c r="E323" s="79"/>
      <c r="O323" s="79"/>
      <c r="R323" s="79"/>
      <c r="S323" s="79"/>
      <c r="X323" s="79"/>
      <c r="AD323" s="130"/>
      <c r="AF323" s="106"/>
    </row>
    <row r="324">
      <c r="C324" s="79"/>
      <c r="D324" s="79"/>
      <c r="E324" s="79"/>
      <c r="O324" s="79"/>
      <c r="R324" s="79"/>
      <c r="S324" s="79"/>
      <c r="X324" s="79"/>
      <c r="AD324" s="130"/>
      <c r="AF324" s="106"/>
    </row>
    <row r="325">
      <c r="C325" s="79"/>
      <c r="D325" s="79"/>
      <c r="E325" s="79"/>
      <c r="O325" s="79"/>
      <c r="R325" s="79"/>
      <c r="S325" s="79"/>
      <c r="X325" s="79"/>
      <c r="AD325" s="130"/>
      <c r="AF325" s="106"/>
    </row>
    <row r="326">
      <c r="C326" s="79"/>
      <c r="D326" s="79"/>
      <c r="E326" s="79"/>
      <c r="O326" s="79"/>
      <c r="R326" s="79"/>
      <c r="S326" s="79"/>
      <c r="X326" s="79"/>
      <c r="AD326" s="130"/>
      <c r="AF326" s="106"/>
    </row>
    <row r="327">
      <c r="C327" s="79"/>
      <c r="D327" s="79"/>
      <c r="E327" s="79"/>
      <c r="O327" s="79"/>
      <c r="R327" s="79"/>
      <c r="S327" s="79"/>
      <c r="X327" s="79"/>
      <c r="AD327" s="130"/>
      <c r="AF327" s="106"/>
    </row>
    <row r="328">
      <c r="C328" s="79"/>
      <c r="D328" s="79"/>
      <c r="E328" s="79"/>
      <c r="O328" s="79"/>
      <c r="R328" s="79"/>
      <c r="S328" s="79"/>
      <c r="X328" s="79"/>
      <c r="AD328" s="130"/>
      <c r="AF328" s="106"/>
    </row>
    <row r="329">
      <c r="C329" s="79"/>
      <c r="D329" s="79"/>
      <c r="E329" s="79"/>
      <c r="O329" s="79"/>
      <c r="R329" s="79"/>
      <c r="S329" s="79"/>
      <c r="X329" s="79"/>
      <c r="AD329" s="130"/>
      <c r="AF329" s="106"/>
    </row>
    <row r="330">
      <c r="C330" s="79"/>
      <c r="D330" s="79"/>
      <c r="E330" s="79"/>
      <c r="O330" s="79"/>
      <c r="R330" s="79"/>
      <c r="S330" s="79"/>
      <c r="X330" s="79"/>
      <c r="AD330" s="130"/>
      <c r="AF330" s="106"/>
    </row>
    <row r="331">
      <c r="C331" s="79"/>
      <c r="D331" s="79"/>
      <c r="E331" s="79"/>
      <c r="O331" s="79"/>
      <c r="R331" s="79"/>
      <c r="S331" s="79"/>
      <c r="X331" s="79"/>
      <c r="AD331" s="130"/>
      <c r="AF331" s="106"/>
    </row>
    <row r="332">
      <c r="C332" s="79"/>
      <c r="D332" s="79"/>
      <c r="E332" s="79"/>
      <c r="O332" s="79"/>
      <c r="R332" s="79"/>
      <c r="S332" s="79"/>
      <c r="X332" s="79"/>
      <c r="AD332" s="130"/>
      <c r="AF332" s="106"/>
    </row>
    <row r="333">
      <c r="C333" s="79"/>
      <c r="D333" s="79"/>
      <c r="E333" s="79"/>
      <c r="O333" s="79"/>
      <c r="R333" s="79"/>
      <c r="S333" s="79"/>
      <c r="X333" s="79"/>
      <c r="AD333" s="130"/>
      <c r="AF333" s="106"/>
    </row>
    <row r="334">
      <c r="C334" s="79"/>
      <c r="D334" s="79"/>
      <c r="E334" s="79"/>
      <c r="O334" s="79"/>
      <c r="R334" s="79"/>
      <c r="S334" s="79"/>
      <c r="X334" s="79"/>
      <c r="AD334" s="130"/>
      <c r="AF334" s="106"/>
    </row>
    <row r="335">
      <c r="C335" s="79"/>
      <c r="D335" s="79"/>
      <c r="E335" s="79"/>
      <c r="O335" s="79"/>
      <c r="R335" s="79"/>
      <c r="S335" s="79"/>
      <c r="X335" s="79"/>
      <c r="AD335" s="130"/>
      <c r="AF335" s="106"/>
    </row>
    <row r="336">
      <c r="C336" s="79"/>
      <c r="D336" s="79"/>
      <c r="E336" s="79"/>
      <c r="O336" s="79"/>
      <c r="R336" s="79"/>
      <c r="S336" s="79"/>
      <c r="X336" s="79"/>
      <c r="AD336" s="130"/>
      <c r="AF336" s="106"/>
    </row>
    <row r="337">
      <c r="C337" s="79"/>
      <c r="D337" s="79"/>
      <c r="E337" s="79"/>
      <c r="O337" s="79"/>
      <c r="R337" s="79"/>
      <c r="S337" s="79"/>
      <c r="X337" s="79"/>
      <c r="AD337" s="130"/>
      <c r="AF337" s="106"/>
    </row>
    <row r="338">
      <c r="C338" s="79"/>
      <c r="D338" s="79"/>
      <c r="E338" s="79"/>
      <c r="O338" s="79"/>
      <c r="R338" s="79"/>
      <c r="S338" s="79"/>
      <c r="X338" s="79"/>
      <c r="AD338" s="130"/>
      <c r="AF338" s="106"/>
    </row>
    <row r="339">
      <c r="C339" s="79"/>
      <c r="D339" s="79"/>
      <c r="E339" s="79"/>
      <c r="O339" s="79"/>
      <c r="R339" s="79"/>
      <c r="S339" s="79"/>
      <c r="X339" s="79"/>
      <c r="AD339" s="130"/>
      <c r="AF339" s="106"/>
    </row>
    <row r="340">
      <c r="C340" s="79"/>
      <c r="D340" s="79"/>
      <c r="E340" s="79"/>
      <c r="O340" s="79"/>
      <c r="R340" s="79"/>
      <c r="S340" s="79"/>
      <c r="X340" s="79"/>
      <c r="AD340" s="130"/>
      <c r="AF340" s="106"/>
    </row>
    <row r="341">
      <c r="C341" s="79"/>
      <c r="D341" s="79"/>
      <c r="E341" s="79"/>
      <c r="O341" s="79"/>
      <c r="R341" s="79"/>
      <c r="S341" s="79"/>
      <c r="X341" s="79"/>
      <c r="AD341" s="130"/>
      <c r="AF341" s="106"/>
    </row>
    <row r="342">
      <c r="C342" s="79"/>
      <c r="D342" s="79"/>
      <c r="E342" s="79"/>
      <c r="O342" s="79"/>
      <c r="R342" s="79"/>
      <c r="S342" s="79"/>
      <c r="X342" s="79"/>
      <c r="AD342" s="130"/>
      <c r="AF342" s="106"/>
    </row>
    <row r="343">
      <c r="C343" s="79"/>
      <c r="D343" s="79"/>
      <c r="E343" s="79"/>
      <c r="O343" s="79"/>
      <c r="R343" s="79"/>
      <c r="S343" s="79"/>
      <c r="X343" s="79"/>
      <c r="AD343" s="130"/>
      <c r="AF343" s="106"/>
    </row>
    <row r="344">
      <c r="C344" s="79"/>
      <c r="D344" s="79"/>
      <c r="E344" s="79"/>
      <c r="O344" s="79"/>
      <c r="R344" s="79"/>
      <c r="S344" s="79"/>
      <c r="X344" s="79"/>
      <c r="AD344" s="130"/>
      <c r="AF344" s="106"/>
    </row>
    <row r="345">
      <c r="C345" s="79"/>
      <c r="D345" s="79"/>
      <c r="E345" s="79"/>
      <c r="O345" s="79"/>
      <c r="R345" s="79"/>
      <c r="S345" s="79"/>
      <c r="X345" s="79"/>
      <c r="AD345" s="130"/>
      <c r="AF345" s="106"/>
    </row>
    <row r="346">
      <c r="C346" s="79"/>
      <c r="D346" s="79"/>
      <c r="E346" s="79"/>
      <c r="O346" s="79"/>
      <c r="R346" s="79"/>
      <c r="S346" s="79"/>
      <c r="X346" s="79"/>
      <c r="AD346" s="130"/>
      <c r="AF346" s="106"/>
    </row>
    <row r="347">
      <c r="C347" s="79"/>
      <c r="D347" s="79"/>
      <c r="E347" s="79"/>
      <c r="O347" s="79"/>
      <c r="R347" s="79"/>
      <c r="S347" s="79"/>
      <c r="X347" s="79"/>
      <c r="AD347" s="130"/>
      <c r="AF347" s="106"/>
    </row>
    <row r="348">
      <c r="C348" s="79"/>
      <c r="D348" s="79"/>
      <c r="E348" s="79"/>
      <c r="O348" s="79"/>
      <c r="R348" s="79"/>
      <c r="S348" s="79"/>
      <c r="X348" s="79"/>
      <c r="AD348" s="130"/>
      <c r="AF348" s="106"/>
    </row>
    <row r="349">
      <c r="C349" s="79"/>
      <c r="D349" s="79"/>
      <c r="E349" s="79"/>
      <c r="O349" s="79"/>
      <c r="R349" s="79"/>
      <c r="S349" s="79"/>
      <c r="X349" s="79"/>
      <c r="AD349" s="130"/>
      <c r="AF349" s="106"/>
    </row>
    <row r="350">
      <c r="C350" s="79"/>
      <c r="D350" s="79"/>
      <c r="E350" s="79"/>
      <c r="O350" s="79"/>
      <c r="R350" s="79"/>
      <c r="S350" s="79"/>
      <c r="X350" s="79"/>
      <c r="AD350" s="130"/>
      <c r="AF350" s="106"/>
    </row>
    <row r="351">
      <c r="C351" s="79"/>
      <c r="D351" s="79"/>
      <c r="E351" s="79"/>
      <c r="O351" s="79"/>
      <c r="R351" s="79"/>
      <c r="S351" s="79"/>
      <c r="X351" s="79"/>
      <c r="AD351" s="130"/>
      <c r="AF351" s="106"/>
    </row>
    <row r="352">
      <c r="C352" s="79"/>
      <c r="D352" s="79"/>
      <c r="E352" s="79"/>
      <c r="O352" s="79"/>
      <c r="R352" s="79"/>
      <c r="S352" s="79"/>
      <c r="X352" s="79"/>
      <c r="AD352" s="130"/>
      <c r="AF352" s="106"/>
    </row>
    <row r="353">
      <c r="C353" s="79"/>
      <c r="D353" s="79"/>
      <c r="E353" s="79"/>
      <c r="O353" s="79"/>
      <c r="R353" s="79"/>
      <c r="S353" s="79"/>
      <c r="X353" s="79"/>
      <c r="AD353" s="130"/>
      <c r="AF353" s="106"/>
    </row>
    <row r="354">
      <c r="C354" s="79"/>
      <c r="D354" s="79"/>
      <c r="E354" s="79"/>
      <c r="O354" s="79"/>
      <c r="R354" s="79"/>
      <c r="S354" s="79"/>
      <c r="X354" s="79"/>
      <c r="AD354" s="130"/>
      <c r="AF354" s="106"/>
    </row>
    <row r="355">
      <c r="C355" s="79"/>
      <c r="D355" s="79"/>
      <c r="E355" s="79"/>
      <c r="O355" s="79"/>
      <c r="R355" s="79"/>
      <c r="S355" s="79"/>
      <c r="X355" s="79"/>
      <c r="AD355" s="130"/>
      <c r="AF355" s="106"/>
    </row>
    <row r="356">
      <c r="C356" s="79"/>
      <c r="D356" s="79"/>
      <c r="E356" s="79"/>
      <c r="O356" s="79"/>
      <c r="R356" s="79"/>
      <c r="S356" s="79"/>
      <c r="X356" s="79"/>
      <c r="AD356" s="130"/>
      <c r="AF356" s="106"/>
    </row>
    <row r="357">
      <c r="C357" s="79"/>
      <c r="D357" s="79"/>
      <c r="E357" s="79"/>
      <c r="O357" s="79"/>
      <c r="R357" s="79"/>
      <c r="S357" s="79"/>
      <c r="X357" s="79"/>
      <c r="AD357" s="130"/>
      <c r="AF357" s="106"/>
    </row>
    <row r="358">
      <c r="C358" s="79"/>
      <c r="D358" s="79"/>
      <c r="E358" s="79"/>
      <c r="O358" s="79"/>
      <c r="R358" s="79"/>
      <c r="S358" s="79"/>
      <c r="X358" s="79"/>
      <c r="AD358" s="130"/>
      <c r="AF358" s="106"/>
    </row>
    <row r="359">
      <c r="C359" s="79"/>
      <c r="D359" s="79"/>
      <c r="E359" s="79"/>
      <c r="O359" s="79"/>
      <c r="R359" s="79"/>
      <c r="S359" s="79"/>
      <c r="X359" s="79"/>
      <c r="AD359" s="130"/>
      <c r="AF359" s="106"/>
    </row>
    <row r="360">
      <c r="C360" s="79"/>
      <c r="D360" s="79"/>
      <c r="E360" s="79"/>
      <c r="O360" s="79"/>
      <c r="R360" s="79"/>
      <c r="S360" s="79"/>
      <c r="X360" s="79"/>
      <c r="AD360" s="130"/>
      <c r="AF360" s="106"/>
    </row>
    <row r="361">
      <c r="C361" s="79"/>
      <c r="D361" s="79"/>
      <c r="E361" s="79"/>
      <c r="O361" s="79"/>
      <c r="R361" s="79"/>
      <c r="S361" s="79"/>
      <c r="X361" s="79"/>
      <c r="AD361" s="130"/>
      <c r="AF361" s="106"/>
    </row>
    <row r="362">
      <c r="C362" s="79"/>
      <c r="D362" s="79"/>
      <c r="E362" s="79"/>
      <c r="O362" s="79"/>
      <c r="R362" s="79"/>
      <c r="S362" s="79"/>
      <c r="X362" s="79"/>
      <c r="AD362" s="130"/>
      <c r="AF362" s="106"/>
    </row>
    <row r="363">
      <c r="C363" s="79"/>
      <c r="D363" s="79"/>
      <c r="E363" s="79"/>
      <c r="O363" s="79"/>
      <c r="R363" s="79"/>
      <c r="S363" s="79"/>
      <c r="X363" s="79"/>
      <c r="AD363" s="130"/>
      <c r="AF363" s="106"/>
    </row>
    <row r="364">
      <c r="C364" s="79"/>
      <c r="D364" s="79"/>
      <c r="E364" s="79"/>
      <c r="O364" s="79"/>
      <c r="R364" s="79"/>
      <c r="S364" s="79"/>
      <c r="X364" s="79"/>
      <c r="AD364" s="130"/>
      <c r="AF364" s="106"/>
    </row>
    <row r="365">
      <c r="C365" s="79"/>
      <c r="D365" s="79"/>
      <c r="E365" s="79"/>
      <c r="O365" s="79"/>
      <c r="R365" s="79"/>
      <c r="S365" s="79"/>
      <c r="X365" s="79"/>
      <c r="AD365" s="130"/>
      <c r="AF365" s="106"/>
    </row>
    <row r="366">
      <c r="C366" s="79"/>
      <c r="D366" s="79"/>
      <c r="E366" s="79"/>
      <c r="O366" s="79"/>
      <c r="R366" s="79"/>
      <c r="S366" s="79"/>
      <c r="X366" s="79"/>
      <c r="AD366" s="130"/>
      <c r="AF366" s="106"/>
    </row>
    <row r="367">
      <c r="C367" s="79"/>
      <c r="D367" s="79"/>
      <c r="E367" s="79"/>
      <c r="O367" s="79"/>
      <c r="R367" s="79"/>
      <c r="S367" s="79"/>
      <c r="X367" s="79"/>
      <c r="AD367" s="130"/>
      <c r="AF367" s="106"/>
    </row>
    <row r="368">
      <c r="C368" s="79"/>
      <c r="D368" s="79"/>
      <c r="E368" s="79"/>
      <c r="O368" s="79"/>
      <c r="R368" s="79"/>
      <c r="S368" s="79"/>
      <c r="X368" s="79"/>
      <c r="AD368" s="130"/>
      <c r="AF368" s="106"/>
    </row>
    <row r="369">
      <c r="C369" s="79"/>
      <c r="D369" s="79"/>
      <c r="E369" s="79"/>
      <c r="O369" s="79"/>
      <c r="R369" s="79"/>
      <c r="S369" s="79"/>
      <c r="X369" s="79"/>
      <c r="AD369" s="130"/>
      <c r="AF369" s="106"/>
    </row>
    <row r="370">
      <c r="C370" s="79"/>
      <c r="D370" s="79"/>
      <c r="E370" s="79"/>
      <c r="O370" s="79"/>
      <c r="R370" s="79"/>
      <c r="S370" s="79"/>
      <c r="X370" s="79"/>
      <c r="AD370" s="130"/>
      <c r="AF370" s="106"/>
    </row>
    <row r="371">
      <c r="C371" s="79"/>
      <c r="D371" s="79"/>
      <c r="E371" s="79"/>
      <c r="O371" s="79"/>
      <c r="R371" s="79"/>
      <c r="S371" s="79"/>
      <c r="X371" s="79"/>
      <c r="AD371" s="130"/>
      <c r="AF371" s="106"/>
    </row>
    <row r="372">
      <c r="C372" s="79"/>
      <c r="D372" s="79"/>
      <c r="E372" s="79"/>
      <c r="O372" s="79"/>
      <c r="R372" s="79"/>
      <c r="S372" s="79"/>
      <c r="X372" s="79"/>
      <c r="AD372" s="130"/>
      <c r="AF372" s="106"/>
    </row>
    <row r="373">
      <c r="C373" s="79"/>
      <c r="D373" s="79"/>
      <c r="E373" s="79"/>
      <c r="O373" s="79"/>
      <c r="R373" s="79"/>
      <c r="S373" s="79"/>
      <c r="X373" s="79"/>
      <c r="AD373" s="130"/>
      <c r="AF373" s="106"/>
    </row>
    <row r="374">
      <c r="C374" s="79"/>
      <c r="D374" s="79"/>
      <c r="E374" s="79"/>
      <c r="O374" s="79"/>
      <c r="R374" s="79"/>
      <c r="S374" s="79"/>
      <c r="X374" s="79"/>
      <c r="AD374" s="130"/>
      <c r="AF374" s="106"/>
    </row>
    <row r="375">
      <c r="C375" s="79"/>
      <c r="D375" s="79"/>
      <c r="E375" s="79"/>
      <c r="O375" s="79"/>
      <c r="R375" s="79"/>
      <c r="S375" s="79"/>
      <c r="X375" s="79"/>
      <c r="AD375" s="130"/>
      <c r="AF375" s="106"/>
    </row>
    <row r="376">
      <c r="C376" s="79"/>
      <c r="D376" s="79"/>
      <c r="E376" s="79"/>
      <c r="O376" s="79"/>
      <c r="R376" s="79"/>
      <c r="S376" s="79"/>
      <c r="X376" s="79"/>
      <c r="AD376" s="130"/>
      <c r="AF376" s="106"/>
    </row>
    <row r="377">
      <c r="C377" s="79"/>
      <c r="D377" s="79"/>
      <c r="E377" s="79"/>
      <c r="O377" s="79"/>
      <c r="R377" s="79"/>
      <c r="S377" s="79"/>
      <c r="X377" s="79"/>
      <c r="AD377" s="130"/>
      <c r="AF377" s="106"/>
    </row>
    <row r="378">
      <c r="C378" s="79"/>
      <c r="D378" s="79"/>
      <c r="E378" s="79"/>
      <c r="O378" s="79"/>
      <c r="R378" s="79"/>
      <c r="S378" s="79"/>
      <c r="X378" s="79"/>
      <c r="AD378" s="130"/>
      <c r="AF378" s="106"/>
    </row>
    <row r="379">
      <c r="C379" s="79"/>
      <c r="D379" s="79"/>
      <c r="E379" s="79"/>
      <c r="O379" s="79"/>
      <c r="R379" s="79"/>
      <c r="S379" s="79"/>
      <c r="X379" s="79"/>
      <c r="AD379" s="130"/>
      <c r="AF379" s="106"/>
    </row>
    <row r="380">
      <c r="C380" s="79"/>
      <c r="D380" s="79"/>
      <c r="E380" s="79"/>
      <c r="O380" s="79"/>
      <c r="R380" s="79"/>
      <c r="S380" s="79"/>
      <c r="X380" s="79"/>
      <c r="AD380" s="130"/>
      <c r="AF380" s="106"/>
    </row>
    <row r="381">
      <c r="C381" s="79"/>
      <c r="D381" s="79"/>
      <c r="E381" s="79"/>
      <c r="O381" s="79"/>
      <c r="R381" s="79"/>
      <c r="S381" s="79"/>
      <c r="X381" s="79"/>
      <c r="AD381" s="130"/>
      <c r="AF381" s="106"/>
    </row>
    <row r="382">
      <c r="C382" s="79"/>
      <c r="D382" s="79"/>
      <c r="E382" s="79"/>
      <c r="O382" s="79"/>
      <c r="R382" s="79"/>
      <c r="S382" s="79"/>
      <c r="X382" s="79"/>
      <c r="AD382" s="130"/>
      <c r="AF382" s="106"/>
    </row>
    <row r="383">
      <c r="C383" s="79"/>
      <c r="D383" s="79"/>
      <c r="E383" s="79"/>
      <c r="O383" s="79"/>
      <c r="R383" s="79"/>
      <c r="S383" s="79"/>
      <c r="X383" s="79"/>
      <c r="AD383" s="130"/>
      <c r="AF383" s="106"/>
    </row>
    <row r="384">
      <c r="C384" s="79"/>
      <c r="D384" s="79"/>
      <c r="E384" s="79"/>
      <c r="O384" s="79"/>
      <c r="R384" s="79"/>
      <c r="S384" s="79"/>
      <c r="X384" s="79"/>
      <c r="AD384" s="130"/>
      <c r="AF384" s="106"/>
    </row>
    <row r="385">
      <c r="C385" s="79"/>
      <c r="D385" s="79"/>
      <c r="E385" s="79"/>
      <c r="O385" s="79"/>
      <c r="R385" s="79"/>
      <c r="S385" s="79"/>
      <c r="X385" s="79"/>
      <c r="AD385" s="130"/>
      <c r="AF385" s="106"/>
    </row>
    <row r="386">
      <c r="C386" s="79"/>
      <c r="D386" s="79"/>
      <c r="E386" s="79"/>
      <c r="O386" s="79"/>
      <c r="R386" s="79"/>
      <c r="S386" s="79"/>
      <c r="X386" s="79"/>
      <c r="AD386" s="130"/>
      <c r="AF386" s="106"/>
    </row>
    <row r="387">
      <c r="C387" s="79"/>
      <c r="D387" s="79"/>
      <c r="E387" s="79"/>
      <c r="O387" s="79"/>
      <c r="R387" s="79"/>
      <c r="S387" s="79"/>
      <c r="X387" s="79"/>
      <c r="AD387" s="130"/>
      <c r="AF387" s="106"/>
    </row>
    <row r="388">
      <c r="C388" s="79"/>
      <c r="D388" s="79"/>
      <c r="E388" s="79"/>
      <c r="O388" s="79"/>
      <c r="R388" s="79"/>
      <c r="S388" s="79"/>
      <c r="X388" s="79"/>
      <c r="AD388" s="130"/>
      <c r="AF388" s="106"/>
    </row>
    <row r="389">
      <c r="C389" s="79"/>
      <c r="D389" s="79"/>
      <c r="E389" s="79"/>
      <c r="O389" s="79"/>
      <c r="R389" s="79"/>
      <c r="S389" s="79"/>
      <c r="X389" s="79"/>
      <c r="AD389" s="130"/>
      <c r="AF389" s="106"/>
    </row>
    <row r="390">
      <c r="C390" s="79"/>
      <c r="D390" s="79"/>
      <c r="E390" s="79"/>
      <c r="O390" s="79"/>
      <c r="R390" s="79"/>
      <c r="S390" s="79"/>
      <c r="X390" s="79"/>
      <c r="AD390" s="130"/>
      <c r="AF390" s="106"/>
    </row>
    <row r="391">
      <c r="C391" s="79"/>
      <c r="D391" s="79"/>
      <c r="E391" s="79"/>
      <c r="O391" s="79"/>
      <c r="R391" s="79"/>
      <c r="S391" s="79"/>
      <c r="X391" s="79"/>
      <c r="AD391" s="130"/>
      <c r="AF391" s="106"/>
    </row>
    <row r="392">
      <c r="C392" s="79"/>
      <c r="D392" s="79"/>
      <c r="E392" s="79"/>
      <c r="O392" s="79"/>
      <c r="R392" s="79"/>
      <c r="S392" s="79"/>
      <c r="X392" s="79"/>
      <c r="AD392" s="130"/>
      <c r="AF392" s="106"/>
    </row>
    <row r="393">
      <c r="C393" s="79"/>
      <c r="D393" s="79"/>
      <c r="E393" s="79"/>
      <c r="O393" s="79"/>
      <c r="R393" s="79"/>
      <c r="S393" s="79"/>
      <c r="X393" s="79"/>
      <c r="AD393" s="130"/>
      <c r="AF393" s="106"/>
    </row>
    <row r="394">
      <c r="C394" s="79"/>
      <c r="D394" s="79"/>
      <c r="E394" s="79"/>
      <c r="O394" s="79"/>
      <c r="R394" s="79"/>
      <c r="S394" s="79"/>
      <c r="X394" s="79"/>
      <c r="AD394" s="130"/>
      <c r="AF394" s="106"/>
    </row>
    <row r="395">
      <c r="C395" s="79"/>
      <c r="D395" s="79"/>
      <c r="E395" s="79"/>
      <c r="O395" s="79"/>
      <c r="R395" s="79"/>
      <c r="S395" s="79"/>
      <c r="X395" s="79"/>
      <c r="AD395" s="130"/>
      <c r="AF395" s="106"/>
    </row>
    <row r="396">
      <c r="C396" s="79"/>
      <c r="D396" s="79"/>
      <c r="E396" s="79"/>
      <c r="O396" s="79"/>
      <c r="R396" s="79"/>
      <c r="S396" s="79"/>
      <c r="X396" s="79"/>
      <c r="AD396" s="130"/>
      <c r="AF396" s="106"/>
    </row>
    <row r="397">
      <c r="C397" s="79"/>
      <c r="D397" s="79"/>
      <c r="E397" s="79"/>
      <c r="O397" s="79"/>
      <c r="R397" s="79"/>
      <c r="S397" s="79"/>
      <c r="X397" s="79"/>
      <c r="AD397" s="130"/>
      <c r="AF397" s="106"/>
    </row>
    <row r="398">
      <c r="C398" s="79"/>
      <c r="D398" s="79"/>
      <c r="E398" s="79"/>
      <c r="O398" s="79"/>
      <c r="R398" s="79"/>
      <c r="S398" s="79"/>
      <c r="X398" s="79"/>
      <c r="AD398" s="130"/>
      <c r="AF398" s="106"/>
    </row>
    <row r="399">
      <c r="C399" s="79"/>
      <c r="D399" s="79"/>
      <c r="E399" s="79"/>
      <c r="O399" s="79"/>
      <c r="R399" s="79"/>
      <c r="S399" s="79"/>
      <c r="X399" s="79"/>
      <c r="AD399" s="130"/>
      <c r="AF399" s="106"/>
    </row>
    <row r="400">
      <c r="C400" s="79"/>
      <c r="D400" s="79"/>
      <c r="E400" s="79"/>
      <c r="O400" s="79"/>
      <c r="R400" s="79"/>
      <c r="S400" s="79"/>
      <c r="X400" s="79"/>
      <c r="AD400" s="130"/>
      <c r="AF400" s="106"/>
    </row>
    <row r="401">
      <c r="C401" s="79"/>
      <c r="D401" s="79"/>
      <c r="E401" s="79"/>
      <c r="O401" s="79"/>
      <c r="R401" s="79"/>
      <c r="S401" s="79"/>
      <c r="X401" s="79"/>
      <c r="AD401" s="130"/>
      <c r="AF401" s="106"/>
    </row>
    <row r="402">
      <c r="C402" s="79"/>
      <c r="D402" s="79"/>
      <c r="E402" s="79"/>
      <c r="O402" s="79"/>
      <c r="R402" s="79"/>
      <c r="S402" s="79"/>
      <c r="X402" s="79"/>
      <c r="AD402" s="130"/>
      <c r="AF402" s="106"/>
    </row>
    <row r="403">
      <c r="C403" s="79"/>
      <c r="D403" s="79"/>
      <c r="E403" s="79"/>
      <c r="O403" s="79"/>
      <c r="R403" s="79"/>
      <c r="S403" s="79"/>
      <c r="X403" s="79"/>
      <c r="AD403" s="130"/>
      <c r="AF403" s="106"/>
    </row>
    <row r="404">
      <c r="C404" s="79"/>
      <c r="D404" s="79"/>
      <c r="E404" s="79"/>
      <c r="O404" s="79"/>
      <c r="R404" s="79"/>
      <c r="S404" s="79"/>
      <c r="X404" s="79"/>
      <c r="AD404" s="130"/>
      <c r="AF404" s="106"/>
    </row>
    <row r="405">
      <c r="C405" s="79"/>
      <c r="D405" s="79"/>
      <c r="E405" s="79"/>
      <c r="O405" s="79"/>
      <c r="R405" s="79"/>
      <c r="S405" s="79"/>
      <c r="X405" s="79"/>
      <c r="AD405" s="130"/>
      <c r="AF405" s="106"/>
    </row>
    <row r="406">
      <c r="C406" s="79"/>
      <c r="D406" s="79"/>
      <c r="E406" s="79"/>
      <c r="O406" s="79"/>
      <c r="R406" s="79"/>
      <c r="S406" s="79"/>
      <c r="X406" s="79"/>
      <c r="AD406" s="130"/>
      <c r="AF406" s="106"/>
    </row>
    <row r="407">
      <c r="C407" s="79"/>
      <c r="D407" s="79"/>
      <c r="E407" s="79"/>
      <c r="O407" s="79"/>
      <c r="R407" s="79"/>
      <c r="S407" s="79"/>
      <c r="X407" s="79"/>
      <c r="AD407" s="130"/>
      <c r="AF407" s="106"/>
    </row>
    <row r="408">
      <c r="C408" s="79"/>
      <c r="D408" s="79"/>
      <c r="E408" s="79"/>
      <c r="O408" s="79"/>
      <c r="R408" s="79"/>
      <c r="S408" s="79"/>
      <c r="X408" s="79"/>
      <c r="AD408" s="130"/>
      <c r="AF408" s="106"/>
    </row>
    <row r="409">
      <c r="C409" s="79"/>
      <c r="D409" s="79"/>
      <c r="E409" s="79"/>
      <c r="O409" s="79"/>
      <c r="R409" s="79"/>
      <c r="S409" s="79"/>
      <c r="X409" s="79"/>
      <c r="AD409" s="130"/>
      <c r="AF409" s="106"/>
    </row>
    <row r="410">
      <c r="C410" s="79"/>
      <c r="D410" s="79"/>
      <c r="E410" s="79"/>
      <c r="O410" s="79"/>
      <c r="R410" s="79"/>
      <c r="S410" s="79"/>
      <c r="X410" s="79"/>
      <c r="AD410" s="130"/>
      <c r="AF410" s="106"/>
    </row>
    <row r="411">
      <c r="C411" s="79"/>
      <c r="D411" s="79"/>
      <c r="E411" s="79"/>
      <c r="O411" s="79"/>
      <c r="R411" s="79"/>
      <c r="S411" s="79"/>
      <c r="X411" s="79"/>
      <c r="AD411" s="130"/>
      <c r="AF411" s="106"/>
    </row>
    <row r="412">
      <c r="C412" s="79"/>
      <c r="D412" s="79"/>
      <c r="E412" s="79"/>
      <c r="O412" s="79"/>
      <c r="R412" s="79"/>
      <c r="S412" s="79"/>
      <c r="X412" s="79"/>
      <c r="AD412" s="130"/>
      <c r="AF412" s="106"/>
    </row>
    <row r="413">
      <c r="C413" s="79"/>
      <c r="D413" s="79"/>
      <c r="E413" s="79"/>
      <c r="O413" s="79"/>
      <c r="R413" s="79"/>
      <c r="S413" s="79"/>
      <c r="X413" s="79"/>
      <c r="AD413" s="130"/>
      <c r="AF413" s="106"/>
    </row>
    <row r="414">
      <c r="C414" s="79"/>
      <c r="D414" s="79"/>
      <c r="E414" s="79"/>
      <c r="O414" s="79"/>
      <c r="R414" s="79"/>
      <c r="S414" s="79"/>
      <c r="X414" s="79"/>
      <c r="AD414" s="130"/>
      <c r="AF414" s="106"/>
    </row>
    <row r="415">
      <c r="C415" s="79"/>
      <c r="D415" s="79"/>
      <c r="E415" s="79"/>
      <c r="O415" s="79"/>
      <c r="R415" s="79"/>
      <c r="S415" s="79"/>
      <c r="X415" s="79"/>
      <c r="AD415" s="130"/>
      <c r="AF415" s="106"/>
    </row>
    <row r="416">
      <c r="C416" s="79"/>
      <c r="D416" s="79"/>
      <c r="E416" s="79"/>
      <c r="O416" s="79"/>
      <c r="R416" s="79"/>
      <c r="S416" s="79"/>
      <c r="X416" s="79"/>
      <c r="AD416" s="130"/>
      <c r="AF416" s="106"/>
    </row>
    <row r="417">
      <c r="C417" s="79"/>
      <c r="D417" s="79"/>
      <c r="E417" s="79"/>
      <c r="O417" s="79"/>
      <c r="R417" s="79"/>
      <c r="S417" s="79"/>
      <c r="X417" s="79"/>
      <c r="AD417" s="130"/>
      <c r="AF417" s="106"/>
    </row>
    <row r="418">
      <c r="C418" s="79"/>
      <c r="D418" s="79"/>
      <c r="E418" s="79"/>
      <c r="O418" s="79"/>
      <c r="R418" s="79"/>
      <c r="S418" s="79"/>
      <c r="X418" s="79"/>
      <c r="AD418" s="130"/>
      <c r="AF418" s="106"/>
    </row>
    <row r="419">
      <c r="C419" s="79"/>
      <c r="D419" s="79"/>
      <c r="E419" s="79"/>
      <c r="O419" s="79"/>
      <c r="R419" s="79"/>
      <c r="S419" s="79"/>
      <c r="X419" s="79"/>
      <c r="AD419" s="130"/>
      <c r="AF419" s="106"/>
    </row>
    <row r="420">
      <c r="C420" s="79"/>
      <c r="D420" s="79"/>
      <c r="E420" s="79"/>
      <c r="O420" s="79"/>
      <c r="R420" s="79"/>
      <c r="S420" s="79"/>
      <c r="X420" s="79"/>
      <c r="AD420" s="130"/>
      <c r="AF420" s="106"/>
    </row>
    <row r="421">
      <c r="C421" s="79"/>
      <c r="D421" s="79"/>
      <c r="E421" s="79"/>
      <c r="O421" s="79"/>
      <c r="R421" s="79"/>
      <c r="S421" s="79"/>
      <c r="X421" s="79"/>
      <c r="AD421" s="130"/>
      <c r="AF421" s="106"/>
    </row>
    <row r="422">
      <c r="C422" s="79"/>
      <c r="D422" s="79"/>
      <c r="E422" s="79"/>
      <c r="O422" s="79"/>
      <c r="R422" s="79"/>
      <c r="S422" s="79"/>
      <c r="X422" s="79"/>
      <c r="AD422" s="130"/>
      <c r="AF422" s="106"/>
    </row>
    <row r="423">
      <c r="C423" s="79"/>
      <c r="D423" s="79"/>
      <c r="E423" s="79"/>
      <c r="O423" s="79"/>
      <c r="R423" s="79"/>
      <c r="S423" s="79"/>
      <c r="X423" s="79"/>
      <c r="AD423" s="130"/>
      <c r="AF423" s="106"/>
    </row>
    <row r="424">
      <c r="C424" s="79"/>
      <c r="D424" s="79"/>
      <c r="E424" s="79"/>
      <c r="O424" s="79"/>
      <c r="R424" s="79"/>
      <c r="S424" s="79"/>
      <c r="X424" s="79"/>
      <c r="AD424" s="130"/>
      <c r="AF424" s="106"/>
    </row>
    <row r="425">
      <c r="C425" s="79"/>
      <c r="D425" s="79"/>
      <c r="E425" s="79"/>
      <c r="O425" s="79"/>
      <c r="R425" s="79"/>
      <c r="S425" s="79"/>
      <c r="X425" s="79"/>
      <c r="AD425" s="130"/>
      <c r="AF425" s="106"/>
    </row>
    <row r="426">
      <c r="C426" s="79"/>
      <c r="D426" s="79"/>
      <c r="E426" s="79"/>
      <c r="O426" s="79"/>
      <c r="R426" s="79"/>
      <c r="S426" s="79"/>
      <c r="X426" s="79"/>
      <c r="AD426" s="130"/>
      <c r="AF426" s="106"/>
    </row>
    <row r="427">
      <c r="C427" s="79"/>
      <c r="D427" s="79"/>
      <c r="E427" s="79"/>
      <c r="O427" s="79"/>
      <c r="R427" s="79"/>
      <c r="S427" s="79"/>
      <c r="X427" s="79"/>
      <c r="AD427" s="130"/>
      <c r="AF427" s="106"/>
    </row>
    <row r="428">
      <c r="C428" s="79"/>
      <c r="D428" s="79"/>
      <c r="E428" s="79"/>
      <c r="O428" s="79"/>
      <c r="R428" s="79"/>
      <c r="S428" s="79"/>
      <c r="X428" s="79"/>
      <c r="AD428" s="130"/>
      <c r="AF428" s="106"/>
    </row>
    <row r="429">
      <c r="C429" s="79"/>
      <c r="D429" s="79"/>
      <c r="E429" s="79"/>
      <c r="O429" s="79"/>
      <c r="R429" s="79"/>
      <c r="S429" s="79"/>
      <c r="X429" s="79"/>
      <c r="AD429" s="130"/>
      <c r="AF429" s="106"/>
    </row>
    <row r="430">
      <c r="C430" s="79"/>
      <c r="D430" s="79"/>
      <c r="E430" s="79"/>
      <c r="O430" s="79"/>
      <c r="R430" s="79"/>
      <c r="S430" s="79"/>
      <c r="X430" s="79"/>
      <c r="AD430" s="130"/>
      <c r="AF430" s="106"/>
    </row>
    <row r="431">
      <c r="C431" s="79"/>
      <c r="D431" s="79"/>
      <c r="E431" s="79"/>
      <c r="O431" s="79"/>
      <c r="R431" s="79"/>
      <c r="S431" s="79"/>
      <c r="X431" s="79"/>
      <c r="AD431" s="130"/>
      <c r="AF431" s="106"/>
    </row>
    <row r="432">
      <c r="C432" s="79"/>
      <c r="D432" s="79"/>
      <c r="E432" s="79"/>
      <c r="O432" s="79"/>
      <c r="R432" s="79"/>
      <c r="S432" s="79"/>
      <c r="X432" s="79"/>
      <c r="AD432" s="130"/>
      <c r="AF432" s="106"/>
    </row>
    <row r="433">
      <c r="C433" s="79"/>
      <c r="D433" s="79"/>
      <c r="E433" s="79"/>
      <c r="O433" s="79"/>
      <c r="R433" s="79"/>
      <c r="S433" s="79"/>
      <c r="X433" s="79"/>
      <c r="AD433" s="130"/>
      <c r="AF433" s="106"/>
    </row>
    <row r="434">
      <c r="C434" s="79"/>
      <c r="D434" s="79"/>
      <c r="E434" s="79"/>
      <c r="O434" s="79"/>
      <c r="R434" s="79"/>
      <c r="S434" s="79"/>
      <c r="X434" s="79"/>
      <c r="AD434" s="130"/>
      <c r="AF434" s="106"/>
    </row>
    <row r="435">
      <c r="C435" s="79"/>
      <c r="D435" s="79"/>
      <c r="E435" s="79"/>
      <c r="O435" s="79"/>
      <c r="R435" s="79"/>
      <c r="S435" s="79"/>
      <c r="X435" s="79"/>
      <c r="AD435" s="130"/>
      <c r="AF435" s="106"/>
    </row>
    <row r="436">
      <c r="C436" s="79"/>
      <c r="D436" s="79"/>
      <c r="E436" s="79"/>
      <c r="O436" s="79"/>
      <c r="R436" s="79"/>
      <c r="S436" s="79"/>
      <c r="X436" s="79"/>
      <c r="AD436" s="130"/>
      <c r="AF436" s="106"/>
    </row>
    <row r="437">
      <c r="C437" s="79"/>
      <c r="D437" s="79"/>
      <c r="E437" s="79"/>
      <c r="O437" s="79"/>
      <c r="R437" s="79"/>
      <c r="S437" s="79"/>
      <c r="X437" s="79"/>
      <c r="AD437" s="130"/>
      <c r="AF437" s="106"/>
    </row>
    <row r="438">
      <c r="C438" s="79"/>
      <c r="D438" s="79"/>
      <c r="E438" s="79"/>
      <c r="O438" s="79"/>
      <c r="R438" s="79"/>
      <c r="S438" s="79"/>
      <c r="X438" s="79"/>
      <c r="AD438" s="130"/>
      <c r="AF438" s="106"/>
    </row>
    <row r="439">
      <c r="C439" s="79"/>
      <c r="D439" s="79"/>
      <c r="E439" s="79"/>
      <c r="O439" s="79"/>
      <c r="R439" s="79"/>
      <c r="S439" s="79"/>
      <c r="X439" s="79"/>
      <c r="AD439" s="130"/>
      <c r="AF439" s="106"/>
    </row>
    <row r="440">
      <c r="C440" s="79"/>
      <c r="D440" s="79"/>
      <c r="E440" s="79"/>
      <c r="O440" s="79"/>
      <c r="R440" s="79"/>
      <c r="S440" s="79"/>
      <c r="X440" s="79"/>
      <c r="AD440" s="130"/>
      <c r="AF440" s="106"/>
    </row>
    <row r="441">
      <c r="C441" s="79"/>
      <c r="D441" s="79"/>
      <c r="E441" s="79"/>
      <c r="O441" s="79"/>
      <c r="R441" s="79"/>
      <c r="S441" s="79"/>
      <c r="X441" s="79"/>
      <c r="AD441" s="130"/>
      <c r="AF441" s="106"/>
    </row>
    <row r="442">
      <c r="C442" s="79"/>
      <c r="D442" s="79"/>
      <c r="E442" s="79"/>
      <c r="O442" s="79"/>
      <c r="R442" s="79"/>
      <c r="S442" s="79"/>
      <c r="X442" s="79"/>
      <c r="AD442" s="130"/>
      <c r="AF442" s="106"/>
    </row>
    <row r="443">
      <c r="C443" s="79"/>
      <c r="D443" s="79"/>
      <c r="E443" s="79"/>
      <c r="O443" s="79"/>
      <c r="R443" s="79"/>
      <c r="S443" s="79"/>
      <c r="X443" s="79"/>
      <c r="AD443" s="130"/>
      <c r="AF443" s="106"/>
    </row>
    <row r="444">
      <c r="C444" s="79"/>
      <c r="D444" s="79"/>
      <c r="E444" s="79"/>
      <c r="O444" s="79"/>
      <c r="R444" s="79"/>
      <c r="S444" s="79"/>
      <c r="X444" s="79"/>
      <c r="AD444" s="130"/>
      <c r="AF444" s="106"/>
    </row>
    <row r="445">
      <c r="C445" s="79"/>
      <c r="D445" s="79"/>
      <c r="E445" s="79"/>
      <c r="O445" s="79"/>
      <c r="R445" s="79"/>
      <c r="S445" s="79"/>
      <c r="X445" s="79"/>
      <c r="AD445" s="130"/>
      <c r="AF445" s="106"/>
    </row>
    <row r="446">
      <c r="C446" s="79"/>
      <c r="D446" s="79"/>
      <c r="E446" s="79"/>
      <c r="O446" s="79"/>
      <c r="R446" s="79"/>
      <c r="S446" s="79"/>
      <c r="X446" s="79"/>
      <c r="AD446" s="130"/>
      <c r="AF446" s="106"/>
    </row>
    <row r="447">
      <c r="C447" s="79"/>
      <c r="D447" s="79"/>
      <c r="E447" s="79"/>
      <c r="O447" s="79"/>
      <c r="R447" s="79"/>
      <c r="S447" s="79"/>
      <c r="X447" s="79"/>
      <c r="AD447" s="130"/>
      <c r="AF447" s="106"/>
    </row>
    <row r="448">
      <c r="C448" s="79"/>
      <c r="D448" s="79"/>
      <c r="E448" s="79"/>
      <c r="O448" s="79"/>
      <c r="R448" s="79"/>
      <c r="S448" s="79"/>
      <c r="X448" s="79"/>
      <c r="AD448" s="130"/>
      <c r="AF448" s="106"/>
    </row>
    <row r="449">
      <c r="C449" s="79"/>
      <c r="D449" s="79"/>
      <c r="E449" s="79"/>
      <c r="O449" s="79"/>
      <c r="R449" s="79"/>
      <c r="S449" s="79"/>
      <c r="X449" s="79"/>
      <c r="AD449" s="130"/>
      <c r="AF449" s="106"/>
    </row>
    <row r="450">
      <c r="C450" s="79"/>
      <c r="D450" s="79"/>
      <c r="E450" s="79"/>
      <c r="O450" s="79"/>
      <c r="R450" s="79"/>
      <c r="S450" s="79"/>
      <c r="X450" s="79"/>
      <c r="AD450" s="130"/>
      <c r="AF450" s="106"/>
    </row>
    <row r="451">
      <c r="C451" s="79"/>
      <c r="D451" s="79"/>
      <c r="E451" s="79"/>
      <c r="O451" s="79"/>
      <c r="R451" s="79"/>
      <c r="S451" s="79"/>
      <c r="X451" s="79"/>
      <c r="AD451" s="130"/>
      <c r="AF451" s="106"/>
    </row>
    <row r="452">
      <c r="C452" s="79"/>
      <c r="D452" s="79"/>
      <c r="E452" s="79"/>
      <c r="O452" s="79"/>
      <c r="R452" s="79"/>
      <c r="S452" s="79"/>
      <c r="X452" s="79"/>
      <c r="AD452" s="130"/>
      <c r="AF452" s="106"/>
    </row>
    <row r="453">
      <c r="C453" s="79"/>
      <c r="D453" s="79"/>
      <c r="E453" s="79"/>
      <c r="O453" s="79"/>
      <c r="R453" s="79"/>
      <c r="S453" s="79"/>
      <c r="X453" s="79"/>
      <c r="AD453" s="130"/>
      <c r="AF453" s="106"/>
    </row>
    <row r="454">
      <c r="C454" s="79"/>
      <c r="D454" s="79"/>
      <c r="E454" s="79"/>
      <c r="O454" s="79"/>
      <c r="R454" s="79"/>
      <c r="S454" s="79"/>
      <c r="X454" s="79"/>
      <c r="AD454" s="130"/>
      <c r="AF454" s="106"/>
    </row>
    <row r="455">
      <c r="C455" s="79"/>
      <c r="D455" s="79"/>
      <c r="E455" s="79"/>
      <c r="O455" s="79"/>
      <c r="R455" s="79"/>
      <c r="S455" s="79"/>
      <c r="X455" s="79"/>
      <c r="AD455" s="130"/>
      <c r="AF455" s="106"/>
    </row>
    <row r="456">
      <c r="C456" s="79"/>
      <c r="D456" s="79"/>
      <c r="E456" s="79"/>
      <c r="O456" s="79"/>
      <c r="R456" s="79"/>
      <c r="S456" s="79"/>
      <c r="X456" s="79"/>
      <c r="AD456" s="130"/>
      <c r="AF456" s="106"/>
    </row>
    <row r="457">
      <c r="C457" s="79"/>
      <c r="D457" s="79"/>
      <c r="E457" s="79"/>
      <c r="O457" s="79"/>
      <c r="R457" s="79"/>
      <c r="S457" s="79"/>
      <c r="X457" s="79"/>
      <c r="AD457" s="130"/>
      <c r="AF457" s="106"/>
    </row>
    <row r="458">
      <c r="C458" s="79"/>
      <c r="D458" s="79"/>
      <c r="E458" s="79"/>
      <c r="O458" s="79"/>
      <c r="R458" s="79"/>
      <c r="S458" s="79"/>
      <c r="X458" s="79"/>
      <c r="AD458" s="130"/>
      <c r="AF458" s="106"/>
    </row>
    <row r="459">
      <c r="C459" s="79"/>
      <c r="D459" s="79"/>
      <c r="E459" s="79"/>
      <c r="O459" s="79"/>
      <c r="R459" s="79"/>
      <c r="S459" s="79"/>
      <c r="X459" s="79"/>
      <c r="AD459" s="130"/>
      <c r="AF459" s="106"/>
    </row>
    <row r="460">
      <c r="C460" s="79"/>
      <c r="D460" s="79"/>
      <c r="E460" s="79"/>
      <c r="O460" s="79"/>
      <c r="R460" s="79"/>
      <c r="S460" s="79"/>
      <c r="X460" s="79"/>
      <c r="AD460" s="130"/>
      <c r="AF460" s="106"/>
    </row>
    <row r="461">
      <c r="C461" s="79"/>
      <c r="D461" s="79"/>
      <c r="E461" s="79"/>
      <c r="O461" s="79"/>
      <c r="R461" s="79"/>
      <c r="S461" s="79"/>
      <c r="X461" s="79"/>
      <c r="AD461" s="130"/>
      <c r="AF461" s="106"/>
    </row>
    <row r="462">
      <c r="C462" s="79"/>
      <c r="D462" s="79"/>
      <c r="E462" s="79"/>
      <c r="O462" s="79"/>
      <c r="R462" s="79"/>
      <c r="S462" s="79"/>
      <c r="X462" s="79"/>
      <c r="AD462" s="130"/>
      <c r="AF462" s="106"/>
    </row>
    <row r="463">
      <c r="C463" s="79"/>
      <c r="D463" s="79"/>
      <c r="E463" s="79"/>
      <c r="O463" s="79"/>
      <c r="R463" s="79"/>
      <c r="S463" s="79"/>
      <c r="X463" s="79"/>
      <c r="AD463" s="130"/>
      <c r="AF463" s="106"/>
    </row>
    <row r="464">
      <c r="C464" s="79"/>
      <c r="D464" s="79"/>
      <c r="E464" s="79"/>
      <c r="O464" s="79"/>
      <c r="R464" s="79"/>
      <c r="S464" s="79"/>
      <c r="X464" s="79"/>
      <c r="AD464" s="130"/>
      <c r="AF464" s="106"/>
    </row>
    <row r="465">
      <c r="C465" s="79"/>
      <c r="D465" s="79"/>
      <c r="E465" s="79"/>
      <c r="O465" s="79"/>
      <c r="R465" s="79"/>
      <c r="S465" s="79"/>
      <c r="X465" s="79"/>
      <c r="AD465" s="130"/>
      <c r="AF465" s="106"/>
    </row>
    <row r="466">
      <c r="C466" s="79"/>
      <c r="D466" s="79"/>
      <c r="E466" s="79"/>
      <c r="O466" s="79"/>
      <c r="R466" s="79"/>
      <c r="S466" s="79"/>
      <c r="X466" s="79"/>
      <c r="AD466" s="130"/>
      <c r="AF466" s="106"/>
    </row>
    <row r="467">
      <c r="C467" s="79"/>
      <c r="D467" s="79"/>
      <c r="E467" s="79"/>
      <c r="O467" s="79"/>
      <c r="R467" s="79"/>
      <c r="S467" s="79"/>
      <c r="X467" s="79"/>
      <c r="AD467" s="130"/>
      <c r="AF467" s="106"/>
    </row>
    <row r="468">
      <c r="C468" s="79"/>
      <c r="D468" s="79"/>
      <c r="E468" s="79"/>
      <c r="O468" s="79"/>
      <c r="R468" s="79"/>
      <c r="S468" s="79"/>
      <c r="X468" s="79"/>
      <c r="AD468" s="130"/>
      <c r="AF468" s="106"/>
    </row>
    <row r="469">
      <c r="C469" s="79"/>
      <c r="D469" s="79"/>
      <c r="E469" s="79"/>
      <c r="O469" s="79"/>
      <c r="R469" s="79"/>
      <c r="S469" s="79"/>
      <c r="X469" s="79"/>
      <c r="AD469" s="130"/>
      <c r="AF469" s="106"/>
    </row>
    <row r="470">
      <c r="C470" s="79"/>
      <c r="D470" s="79"/>
      <c r="E470" s="79"/>
      <c r="O470" s="79"/>
      <c r="R470" s="79"/>
      <c r="S470" s="79"/>
      <c r="X470" s="79"/>
      <c r="AD470" s="130"/>
      <c r="AF470" s="106"/>
    </row>
    <row r="471">
      <c r="C471" s="79"/>
      <c r="D471" s="79"/>
      <c r="E471" s="79"/>
      <c r="O471" s="79"/>
      <c r="R471" s="79"/>
      <c r="S471" s="79"/>
      <c r="X471" s="79"/>
      <c r="AD471" s="130"/>
      <c r="AF471" s="106"/>
    </row>
    <row r="472">
      <c r="C472" s="79"/>
      <c r="D472" s="79"/>
      <c r="E472" s="79"/>
      <c r="O472" s="79"/>
      <c r="R472" s="79"/>
      <c r="S472" s="79"/>
      <c r="X472" s="79"/>
      <c r="AD472" s="130"/>
      <c r="AF472" s="106"/>
    </row>
    <row r="473">
      <c r="C473" s="79"/>
      <c r="D473" s="79"/>
      <c r="E473" s="79"/>
      <c r="O473" s="79"/>
      <c r="R473" s="79"/>
      <c r="S473" s="79"/>
      <c r="X473" s="79"/>
      <c r="AD473" s="130"/>
      <c r="AF473" s="106"/>
    </row>
    <row r="474">
      <c r="C474" s="79"/>
      <c r="D474" s="79"/>
      <c r="E474" s="79"/>
      <c r="O474" s="79"/>
      <c r="R474" s="79"/>
      <c r="S474" s="79"/>
      <c r="X474" s="79"/>
      <c r="AD474" s="130"/>
      <c r="AF474" s="106"/>
    </row>
    <row r="475">
      <c r="C475" s="79"/>
      <c r="D475" s="79"/>
      <c r="E475" s="79"/>
      <c r="O475" s="79"/>
      <c r="R475" s="79"/>
      <c r="S475" s="79"/>
      <c r="X475" s="79"/>
      <c r="AD475" s="130"/>
      <c r="AF475" s="106"/>
    </row>
    <row r="476">
      <c r="C476" s="79"/>
      <c r="D476" s="79"/>
      <c r="E476" s="79"/>
      <c r="O476" s="79"/>
      <c r="R476" s="79"/>
      <c r="S476" s="79"/>
      <c r="X476" s="79"/>
      <c r="AD476" s="130"/>
      <c r="AF476" s="106"/>
    </row>
    <row r="477">
      <c r="C477" s="79"/>
      <c r="D477" s="79"/>
      <c r="E477" s="79"/>
      <c r="O477" s="79"/>
      <c r="R477" s="79"/>
      <c r="S477" s="79"/>
      <c r="X477" s="79"/>
      <c r="AD477" s="130"/>
      <c r="AF477" s="106"/>
    </row>
    <row r="478">
      <c r="C478" s="79"/>
      <c r="D478" s="79"/>
      <c r="E478" s="79"/>
      <c r="O478" s="79"/>
      <c r="R478" s="79"/>
      <c r="S478" s="79"/>
      <c r="X478" s="79"/>
      <c r="AD478" s="130"/>
      <c r="AF478" s="106"/>
    </row>
    <row r="479">
      <c r="C479" s="79"/>
      <c r="D479" s="79"/>
      <c r="E479" s="79"/>
      <c r="O479" s="79"/>
      <c r="R479" s="79"/>
      <c r="S479" s="79"/>
      <c r="X479" s="79"/>
      <c r="AD479" s="130"/>
      <c r="AF479" s="106"/>
    </row>
    <row r="480">
      <c r="C480" s="79"/>
      <c r="D480" s="79"/>
      <c r="E480" s="79"/>
      <c r="O480" s="79"/>
      <c r="R480" s="79"/>
      <c r="S480" s="79"/>
      <c r="X480" s="79"/>
      <c r="AD480" s="130"/>
      <c r="AF480" s="106"/>
    </row>
    <row r="481">
      <c r="C481" s="79"/>
      <c r="D481" s="79"/>
      <c r="E481" s="79"/>
      <c r="O481" s="79"/>
      <c r="R481" s="79"/>
      <c r="S481" s="79"/>
      <c r="X481" s="79"/>
      <c r="AD481" s="130"/>
      <c r="AF481" s="106"/>
    </row>
    <row r="482">
      <c r="C482" s="79"/>
      <c r="D482" s="79"/>
      <c r="E482" s="79"/>
      <c r="O482" s="79"/>
      <c r="R482" s="79"/>
      <c r="S482" s="79"/>
      <c r="X482" s="79"/>
      <c r="AD482" s="130"/>
      <c r="AF482" s="106"/>
    </row>
    <row r="483">
      <c r="C483" s="79"/>
      <c r="D483" s="79"/>
      <c r="E483" s="79"/>
      <c r="O483" s="79"/>
      <c r="R483" s="79"/>
      <c r="S483" s="79"/>
      <c r="X483" s="79"/>
      <c r="AD483" s="130"/>
      <c r="AF483" s="106"/>
    </row>
    <row r="484">
      <c r="C484" s="79"/>
      <c r="D484" s="79"/>
      <c r="E484" s="79"/>
      <c r="O484" s="79"/>
      <c r="R484" s="79"/>
      <c r="S484" s="79"/>
      <c r="X484" s="79"/>
      <c r="AD484" s="130"/>
      <c r="AF484" s="106"/>
    </row>
    <row r="485">
      <c r="C485" s="79"/>
      <c r="D485" s="79"/>
      <c r="E485" s="79"/>
      <c r="O485" s="79"/>
      <c r="R485" s="79"/>
      <c r="S485" s="79"/>
      <c r="X485" s="79"/>
      <c r="AD485" s="130"/>
      <c r="AF485" s="106"/>
    </row>
    <row r="486">
      <c r="C486" s="79"/>
      <c r="D486" s="79"/>
      <c r="E486" s="79"/>
      <c r="O486" s="79"/>
      <c r="R486" s="79"/>
      <c r="S486" s="79"/>
      <c r="X486" s="79"/>
      <c r="AD486" s="130"/>
      <c r="AF486" s="106"/>
    </row>
    <row r="487">
      <c r="C487" s="79"/>
      <c r="D487" s="79"/>
      <c r="E487" s="79"/>
      <c r="O487" s="79"/>
      <c r="R487" s="79"/>
      <c r="S487" s="79"/>
      <c r="X487" s="79"/>
      <c r="AD487" s="130"/>
      <c r="AF487" s="106"/>
    </row>
    <row r="488">
      <c r="C488" s="79"/>
      <c r="D488" s="79"/>
      <c r="E488" s="79"/>
      <c r="O488" s="79"/>
      <c r="R488" s="79"/>
      <c r="S488" s="79"/>
      <c r="X488" s="79"/>
      <c r="AD488" s="130"/>
      <c r="AF488" s="106"/>
    </row>
    <row r="489">
      <c r="C489" s="79"/>
      <c r="D489" s="79"/>
      <c r="E489" s="79"/>
      <c r="O489" s="79"/>
      <c r="R489" s="79"/>
      <c r="S489" s="79"/>
      <c r="X489" s="79"/>
      <c r="AD489" s="130"/>
      <c r="AF489" s="106"/>
    </row>
    <row r="490">
      <c r="C490" s="79"/>
      <c r="D490" s="79"/>
      <c r="E490" s="79"/>
      <c r="O490" s="79"/>
      <c r="R490" s="79"/>
      <c r="S490" s="79"/>
      <c r="X490" s="79"/>
      <c r="AD490" s="130"/>
      <c r="AF490" s="106"/>
    </row>
    <row r="491">
      <c r="C491" s="79"/>
      <c r="D491" s="79"/>
      <c r="E491" s="79"/>
      <c r="O491" s="79"/>
      <c r="R491" s="79"/>
      <c r="S491" s="79"/>
      <c r="X491" s="79"/>
      <c r="AD491" s="130"/>
      <c r="AF491" s="106"/>
    </row>
    <row r="492">
      <c r="C492" s="79"/>
      <c r="D492" s="79"/>
      <c r="E492" s="79"/>
      <c r="O492" s="79"/>
      <c r="R492" s="79"/>
      <c r="S492" s="79"/>
      <c r="X492" s="79"/>
      <c r="AD492" s="130"/>
      <c r="AF492" s="106"/>
    </row>
    <row r="493">
      <c r="C493" s="79"/>
      <c r="D493" s="79"/>
      <c r="E493" s="79"/>
      <c r="O493" s="79"/>
      <c r="R493" s="79"/>
      <c r="S493" s="79"/>
      <c r="X493" s="79"/>
      <c r="AD493" s="130"/>
      <c r="AF493" s="106"/>
    </row>
    <row r="494">
      <c r="C494" s="79"/>
      <c r="D494" s="79"/>
      <c r="E494" s="79"/>
      <c r="O494" s="79"/>
      <c r="R494" s="79"/>
      <c r="S494" s="79"/>
      <c r="X494" s="79"/>
      <c r="AD494" s="130"/>
      <c r="AF494" s="106"/>
    </row>
    <row r="495">
      <c r="C495" s="79"/>
      <c r="D495" s="79"/>
      <c r="E495" s="79"/>
      <c r="O495" s="79"/>
      <c r="R495" s="79"/>
      <c r="S495" s="79"/>
      <c r="X495" s="79"/>
      <c r="AD495" s="130"/>
      <c r="AF495" s="106"/>
    </row>
    <row r="496">
      <c r="C496" s="79"/>
      <c r="D496" s="79"/>
      <c r="E496" s="79"/>
      <c r="O496" s="79"/>
      <c r="R496" s="79"/>
      <c r="S496" s="79"/>
      <c r="X496" s="79"/>
      <c r="AD496" s="130"/>
      <c r="AF496" s="106"/>
    </row>
    <row r="497">
      <c r="C497" s="79"/>
      <c r="D497" s="79"/>
      <c r="E497" s="79"/>
      <c r="O497" s="79"/>
      <c r="R497" s="79"/>
      <c r="S497" s="79"/>
      <c r="X497" s="79"/>
      <c r="AD497" s="130"/>
      <c r="AF497" s="106"/>
    </row>
    <row r="498">
      <c r="C498" s="79"/>
      <c r="D498" s="79"/>
      <c r="E498" s="79"/>
      <c r="O498" s="79"/>
      <c r="R498" s="79"/>
      <c r="S498" s="79"/>
      <c r="X498" s="79"/>
      <c r="AD498" s="130"/>
      <c r="AF498" s="106"/>
    </row>
    <row r="499">
      <c r="C499" s="79"/>
      <c r="D499" s="79"/>
      <c r="E499" s="79"/>
      <c r="O499" s="79"/>
      <c r="R499" s="79"/>
      <c r="S499" s="79"/>
      <c r="X499" s="79"/>
      <c r="AD499" s="130"/>
      <c r="AF499" s="106"/>
    </row>
    <row r="500">
      <c r="C500" s="79"/>
      <c r="D500" s="79"/>
      <c r="E500" s="79"/>
      <c r="O500" s="79"/>
      <c r="R500" s="79"/>
      <c r="S500" s="79"/>
      <c r="X500" s="79"/>
      <c r="AD500" s="130"/>
      <c r="AF500" s="106"/>
    </row>
    <row r="501">
      <c r="C501" s="79"/>
      <c r="D501" s="79"/>
      <c r="E501" s="79"/>
      <c r="O501" s="79"/>
      <c r="R501" s="79"/>
      <c r="S501" s="79"/>
      <c r="X501" s="79"/>
      <c r="AD501" s="130"/>
      <c r="AF501" s="106"/>
    </row>
    <row r="502">
      <c r="C502" s="79"/>
      <c r="D502" s="79"/>
      <c r="E502" s="79"/>
      <c r="O502" s="79"/>
      <c r="R502" s="79"/>
      <c r="S502" s="79"/>
      <c r="X502" s="79"/>
      <c r="AD502" s="130"/>
      <c r="AF502" s="106"/>
    </row>
    <row r="503">
      <c r="C503" s="79"/>
      <c r="D503" s="79"/>
      <c r="E503" s="79"/>
      <c r="O503" s="79"/>
      <c r="R503" s="79"/>
      <c r="S503" s="79"/>
      <c r="X503" s="79"/>
      <c r="AD503" s="130"/>
      <c r="AF503" s="106"/>
    </row>
    <row r="504">
      <c r="C504" s="79"/>
      <c r="D504" s="79"/>
      <c r="E504" s="79"/>
      <c r="O504" s="79"/>
      <c r="R504" s="79"/>
      <c r="S504" s="79"/>
      <c r="X504" s="79"/>
      <c r="AD504" s="130"/>
      <c r="AF504" s="106"/>
    </row>
    <row r="505">
      <c r="C505" s="79"/>
      <c r="D505" s="79"/>
      <c r="E505" s="79"/>
      <c r="O505" s="79"/>
      <c r="R505" s="79"/>
      <c r="S505" s="79"/>
      <c r="X505" s="79"/>
      <c r="AD505" s="130"/>
      <c r="AF505" s="106"/>
    </row>
    <row r="506">
      <c r="C506" s="79"/>
      <c r="D506" s="79"/>
      <c r="E506" s="79"/>
      <c r="O506" s="79"/>
      <c r="R506" s="79"/>
      <c r="S506" s="79"/>
      <c r="X506" s="79"/>
      <c r="AD506" s="130"/>
      <c r="AF506" s="106"/>
    </row>
    <row r="507">
      <c r="C507" s="79"/>
      <c r="D507" s="79"/>
      <c r="E507" s="79"/>
      <c r="O507" s="79"/>
      <c r="R507" s="79"/>
      <c r="S507" s="79"/>
      <c r="X507" s="79"/>
      <c r="AD507" s="130"/>
      <c r="AF507" s="106"/>
    </row>
    <row r="508">
      <c r="C508" s="79"/>
      <c r="D508" s="79"/>
      <c r="E508" s="79"/>
      <c r="O508" s="79"/>
      <c r="R508" s="79"/>
      <c r="S508" s="79"/>
      <c r="X508" s="79"/>
      <c r="AD508" s="130"/>
      <c r="AF508" s="106"/>
    </row>
    <row r="509">
      <c r="C509" s="79"/>
      <c r="D509" s="79"/>
      <c r="E509" s="79"/>
      <c r="O509" s="79"/>
      <c r="R509" s="79"/>
      <c r="S509" s="79"/>
      <c r="X509" s="79"/>
      <c r="AD509" s="130"/>
      <c r="AF509" s="106"/>
    </row>
    <row r="510">
      <c r="C510" s="79"/>
      <c r="D510" s="79"/>
      <c r="E510" s="79"/>
      <c r="O510" s="79"/>
      <c r="R510" s="79"/>
      <c r="S510" s="79"/>
      <c r="X510" s="79"/>
      <c r="AD510" s="130"/>
      <c r="AF510" s="106"/>
    </row>
    <row r="511">
      <c r="C511" s="79"/>
      <c r="D511" s="79"/>
      <c r="E511" s="79"/>
      <c r="O511" s="79"/>
      <c r="R511" s="79"/>
      <c r="S511" s="79"/>
      <c r="X511" s="79"/>
      <c r="AD511" s="130"/>
      <c r="AF511" s="106"/>
    </row>
    <row r="512">
      <c r="C512" s="79"/>
      <c r="D512" s="79"/>
      <c r="E512" s="79"/>
      <c r="O512" s="79"/>
      <c r="R512" s="79"/>
      <c r="S512" s="79"/>
      <c r="X512" s="79"/>
      <c r="AD512" s="130"/>
      <c r="AF512" s="106"/>
    </row>
    <row r="513">
      <c r="C513" s="79"/>
      <c r="D513" s="79"/>
      <c r="E513" s="79"/>
      <c r="O513" s="79"/>
      <c r="R513" s="79"/>
      <c r="S513" s="79"/>
      <c r="X513" s="79"/>
      <c r="AD513" s="130"/>
      <c r="AF513" s="106"/>
    </row>
    <row r="514">
      <c r="C514" s="79"/>
      <c r="D514" s="79"/>
      <c r="E514" s="79"/>
      <c r="O514" s="79"/>
      <c r="R514" s="79"/>
      <c r="S514" s="79"/>
      <c r="X514" s="79"/>
      <c r="AD514" s="130"/>
      <c r="AF514" s="106"/>
    </row>
    <row r="515">
      <c r="C515" s="79"/>
      <c r="D515" s="79"/>
      <c r="E515" s="79"/>
      <c r="O515" s="79"/>
      <c r="R515" s="79"/>
      <c r="S515" s="79"/>
      <c r="X515" s="79"/>
      <c r="AD515" s="130"/>
      <c r="AF515" s="106"/>
    </row>
    <row r="516">
      <c r="C516" s="79"/>
      <c r="D516" s="79"/>
      <c r="E516" s="79"/>
      <c r="O516" s="79"/>
      <c r="R516" s="79"/>
      <c r="S516" s="79"/>
      <c r="X516" s="79"/>
      <c r="AD516" s="130"/>
      <c r="AF516" s="106"/>
    </row>
    <row r="517">
      <c r="C517" s="79"/>
      <c r="D517" s="79"/>
      <c r="E517" s="79"/>
      <c r="O517" s="79"/>
      <c r="R517" s="79"/>
      <c r="S517" s="79"/>
      <c r="X517" s="79"/>
      <c r="AD517" s="130"/>
      <c r="AF517" s="106"/>
    </row>
    <row r="518">
      <c r="C518" s="79"/>
      <c r="D518" s="79"/>
      <c r="E518" s="79"/>
      <c r="O518" s="79"/>
      <c r="R518" s="79"/>
      <c r="S518" s="79"/>
      <c r="X518" s="79"/>
      <c r="AD518" s="130"/>
      <c r="AF518" s="106"/>
    </row>
    <row r="519">
      <c r="C519" s="79"/>
      <c r="D519" s="79"/>
      <c r="E519" s="79"/>
      <c r="O519" s="79"/>
      <c r="R519" s="79"/>
      <c r="S519" s="79"/>
      <c r="X519" s="79"/>
      <c r="AD519" s="130"/>
      <c r="AF519" s="106"/>
    </row>
    <row r="520">
      <c r="C520" s="79"/>
      <c r="D520" s="79"/>
      <c r="E520" s="79"/>
      <c r="O520" s="79"/>
      <c r="R520" s="79"/>
      <c r="S520" s="79"/>
      <c r="X520" s="79"/>
      <c r="AD520" s="130"/>
      <c r="AF520" s="106"/>
    </row>
    <row r="521">
      <c r="C521" s="79"/>
      <c r="D521" s="79"/>
      <c r="E521" s="79"/>
      <c r="O521" s="79"/>
      <c r="R521" s="79"/>
      <c r="S521" s="79"/>
      <c r="X521" s="79"/>
      <c r="AD521" s="130"/>
      <c r="AF521" s="106"/>
    </row>
    <row r="522">
      <c r="C522" s="79"/>
      <c r="D522" s="79"/>
      <c r="E522" s="79"/>
      <c r="O522" s="79"/>
      <c r="R522" s="79"/>
      <c r="S522" s="79"/>
      <c r="X522" s="79"/>
      <c r="AD522" s="130"/>
      <c r="AF522" s="106"/>
    </row>
    <row r="523">
      <c r="C523" s="79"/>
      <c r="D523" s="79"/>
      <c r="E523" s="79"/>
      <c r="O523" s="79"/>
      <c r="R523" s="79"/>
      <c r="S523" s="79"/>
      <c r="X523" s="79"/>
      <c r="AD523" s="130"/>
      <c r="AF523" s="106"/>
    </row>
    <row r="524">
      <c r="C524" s="79"/>
      <c r="D524" s="79"/>
      <c r="E524" s="79"/>
      <c r="O524" s="79"/>
      <c r="R524" s="79"/>
      <c r="S524" s="79"/>
      <c r="X524" s="79"/>
      <c r="AD524" s="130"/>
      <c r="AF524" s="106"/>
    </row>
    <row r="525">
      <c r="C525" s="79"/>
      <c r="D525" s="79"/>
      <c r="E525" s="79"/>
      <c r="O525" s="79"/>
      <c r="R525" s="79"/>
      <c r="S525" s="79"/>
      <c r="X525" s="79"/>
      <c r="AD525" s="130"/>
      <c r="AF525" s="106"/>
    </row>
    <row r="526">
      <c r="C526" s="79"/>
      <c r="D526" s="79"/>
      <c r="E526" s="79"/>
      <c r="O526" s="79"/>
      <c r="R526" s="79"/>
      <c r="S526" s="79"/>
      <c r="X526" s="79"/>
      <c r="AD526" s="130"/>
      <c r="AF526" s="106"/>
    </row>
    <row r="527">
      <c r="C527" s="79"/>
      <c r="D527" s="79"/>
      <c r="E527" s="79"/>
      <c r="O527" s="79"/>
      <c r="R527" s="79"/>
      <c r="S527" s="79"/>
      <c r="X527" s="79"/>
      <c r="AD527" s="130"/>
      <c r="AF527" s="106"/>
    </row>
    <row r="528">
      <c r="C528" s="79"/>
      <c r="D528" s="79"/>
      <c r="E528" s="79"/>
      <c r="O528" s="79"/>
      <c r="R528" s="79"/>
      <c r="S528" s="79"/>
      <c r="X528" s="79"/>
      <c r="AD528" s="130"/>
      <c r="AF528" s="106"/>
    </row>
    <row r="529">
      <c r="C529" s="79"/>
      <c r="D529" s="79"/>
      <c r="E529" s="79"/>
      <c r="O529" s="79"/>
      <c r="R529" s="79"/>
      <c r="S529" s="79"/>
      <c r="X529" s="79"/>
      <c r="AD529" s="130"/>
      <c r="AF529" s="106"/>
    </row>
    <row r="530">
      <c r="C530" s="79"/>
      <c r="D530" s="79"/>
      <c r="E530" s="79"/>
      <c r="O530" s="79"/>
      <c r="R530" s="79"/>
      <c r="S530" s="79"/>
      <c r="X530" s="79"/>
      <c r="AD530" s="130"/>
      <c r="AF530" s="106"/>
    </row>
    <row r="531">
      <c r="C531" s="79"/>
      <c r="D531" s="79"/>
      <c r="E531" s="79"/>
      <c r="O531" s="79"/>
      <c r="R531" s="79"/>
      <c r="S531" s="79"/>
      <c r="X531" s="79"/>
      <c r="AD531" s="130"/>
      <c r="AF531" s="106"/>
    </row>
    <row r="532">
      <c r="C532" s="79"/>
      <c r="D532" s="79"/>
      <c r="E532" s="79"/>
      <c r="O532" s="79"/>
      <c r="R532" s="79"/>
      <c r="S532" s="79"/>
      <c r="X532" s="79"/>
      <c r="AD532" s="130"/>
      <c r="AF532" s="106"/>
    </row>
    <row r="533">
      <c r="C533" s="79"/>
      <c r="D533" s="79"/>
      <c r="E533" s="79"/>
      <c r="O533" s="79"/>
      <c r="R533" s="79"/>
      <c r="S533" s="79"/>
      <c r="X533" s="79"/>
      <c r="AD533" s="130"/>
      <c r="AF533" s="106"/>
    </row>
    <row r="534">
      <c r="C534" s="79"/>
      <c r="D534" s="79"/>
      <c r="E534" s="79"/>
      <c r="O534" s="79"/>
      <c r="R534" s="79"/>
      <c r="S534" s="79"/>
      <c r="X534" s="79"/>
      <c r="AD534" s="130"/>
      <c r="AF534" s="106"/>
    </row>
    <row r="535">
      <c r="C535" s="79"/>
      <c r="D535" s="79"/>
      <c r="E535" s="79"/>
      <c r="O535" s="79"/>
      <c r="R535" s="79"/>
      <c r="S535" s="79"/>
      <c r="X535" s="79"/>
      <c r="AD535" s="130"/>
      <c r="AF535" s="106"/>
    </row>
    <row r="536">
      <c r="C536" s="79"/>
      <c r="D536" s="79"/>
      <c r="E536" s="79"/>
      <c r="O536" s="79"/>
      <c r="R536" s="79"/>
      <c r="S536" s="79"/>
      <c r="X536" s="79"/>
      <c r="AD536" s="130"/>
      <c r="AF536" s="106"/>
    </row>
    <row r="537">
      <c r="C537" s="79"/>
      <c r="D537" s="79"/>
      <c r="E537" s="79"/>
      <c r="O537" s="79"/>
      <c r="R537" s="79"/>
      <c r="S537" s="79"/>
      <c r="X537" s="79"/>
      <c r="AD537" s="130"/>
      <c r="AF537" s="106"/>
    </row>
    <row r="538">
      <c r="C538" s="79"/>
      <c r="D538" s="79"/>
      <c r="E538" s="79"/>
      <c r="O538" s="79"/>
      <c r="R538" s="79"/>
      <c r="S538" s="79"/>
      <c r="X538" s="79"/>
      <c r="AD538" s="130"/>
      <c r="AF538" s="106"/>
    </row>
    <row r="539">
      <c r="C539" s="79"/>
      <c r="D539" s="79"/>
      <c r="E539" s="79"/>
      <c r="O539" s="79"/>
      <c r="R539" s="79"/>
      <c r="S539" s="79"/>
      <c r="X539" s="79"/>
      <c r="AD539" s="130"/>
      <c r="AF539" s="106"/>
    </row>
    <row r="540">
      <c r="C540" s="79"/>
      <c r="D540" s="79"/>
      <c r="E540" s="79"/>
      <c r="O540" s="79"/>
      <c r="R540" s="79"/>
      <c r="S540" s="79"/>
      <c r="X540" s="79"/>
      <c r="AD540" s="130"/>
      <c r="AF540" s="106"/>
    </row>
    <row r="541">
      <c r="C541" s="79"/>
      <c r="D541" s="79"/>
      <c r="E541" s="79"/>
      <c r="O541" s="79"/>
      <c r="R541" s="79"/>
      <c r="S541" s="79"/>
      <c r="X541" s="79"/>
      <c r="AD541" s="130"/>
      <c r="AF541" s="106"/>
    </row>
    <row r="542">
      <c r="C542" s="79"/>
      <c r="D542" s="79"/>
      <c r="E542" s="79"/>
      <c r="O542" s="79"/>
      <c r="R542" s="79"/>
      <c r="S542" s="79"/>
      <c r="X542" s="79"/>
      <c r="AD542" s="130"/>
      <c r="AF542" s="106"/>
    </row>
    <row r="543">
      <c r="C543" s="79"/>
      <c r="D543" s="79"/>
      <c r="E543" s="79"/>
      <c r="O543" s="79"/>
      <c r="R543" s="79"/>
      <c r="S543" s="79"/>
      <c r="X543" s="79"/>
      <c r="AD543" s="130"/>
      <c r="AF543" s="106"/>
    </row>
    <row r="544">
      <c r="C544" s="79"/>
      <c r="D544" s="79"/>
      <c r="E544" s="79"/>
      <c r="O544" s="79"/>
      <c r="R544" s="79"/>
      <c r="S544" s="79"/>
      <c r="X544" s="79"/>
      <c r="AD544" s="130"/>
      <c r="AF544" s="106"/>
    </row>
    <row r="545">
      <c r="C545" s="79"/>
      <c r="D545" s="79"/>
      <c r="E545" s="79"/>
      <c r="O545" s="79"/>
      <c r="R545" s="79"/>
      <c r="S545" s="79"/>
      <c r="X545" s="79"/>
      <c r="AD545" s="130"/>
      <c r="AF545" s="106"/>
    </row>
    <row r="546">
      <c r="C546" s="79"/>
      <c r="D546" s="79"/>
      <c r="E546" s="79"/>
      <c r="O546" s="79"/>
      <c r="R546" s="79"/>
      <c r="S546" s="79"/>
      <c r="X546" s="79"/>
      <c r="AD546" s="130"/>
      <c r="AF546" s="106"/>
    </row>
    <row r="547">
      <c r="C547" s="79"/>
      <c r="D547" s="79"/>
      <c r="E547" s="79"/>
      <c r="O547" s="79"/>
      <c r="R547" s="79"/>
      <c r="S547" s="79"/>
      <c r="X547" s="79"/>
      <c r="AD547" s="130"/>
      <c r="AF547" s="106"/>
    </row>
    <row r="548">
      <c r="C548" s="79"/>
      <c r="D548" s="79"/>
      <c r="E548" s="79"/>
      <c r="O548" s="79"/>
      <c r="R548" s="79"/>
      <c r="S548" s="79"/>
      <c r="X548" s="79"/>
      <c r="AD548" s="130"/>
      <c r="AF548" s="106"/>
    </row>
    <row r="549">
      <c r="C549" s="79"/>
      <c r="D549" s="79"/>
      <c r="E549" s="79"/>
      <c r="O549" s="79"/>
      <c r="R549" s="79"/>
      <c r="S549" s="79"/>
      <c r="X549" s="79"/>
      <c r="AD549" s="130"/>
      <c r="AF549" s="106"/>
    </row>
    <row r="550">
      <c r="C550" s="79"/>
      <c r="D550" s="79"/>
      <c r="E550" s="79"/>
      <c r="O550" s="79"/>
      <c r="R550" s="79"/>
      <c r="S550" s="79"/>
      <c r="X550" s="79"/>
      <c r="AD550" s="130"/>
      <c r="AF550" s="106"/>
    </row>
    <row r="551">
      <c r="C551" s="79"/>
      <c r="D551" s="79"/>
      <c r="E551" s="79"/>
      <c r="O551" s="79"/>
      <c r="R551" s="79"/>
      <c r="S551" s="79"/>
      <c r="X551" s="79"/>
      <c r="AD551" s="130"/>
      <c r="AF551" s="106"/>
    </row>
    <row r="552">
      <c r="C552" s="79"/>
      <c r="D552" s="79"/>
      <c r="E552" s="79"/>
      <c r="O552" s="79"/>
      <c r="R552" s="79"/>
      <c r="S552" s="79"/>
      <c r="X552" s="79"/>
      <c r="AD552" s="130"/>
      <c r="AF552" s="106"/>
    </row>
    <row r="553">
      <c r="C553" s="79"/>
      <c r="D553" s="79"/>
      <c r="E553" s="79"/>
      <c r="O553" s="79"/>
      <c r="R553" s="79"/>
      <c r="S553" s="79"/>
      <c r="X553" s="79"/>
      <c r="AD553" s="130"/>
      <c r="AF553" s="106"/>
    </row>
    <row r="554">
      <c r="C554" s="79"/>
      <c r="D554" s="79"/>
      <c r="E554" s="79"/>
      <c r="O554" s="79"/>
      <c r="R554" s="79"/>
      <c r="S554" s="79"/>
      <c r="X554" s="79"/>
      <c r="AD554" s="130"/>
      <c r="AF554" s="106"/>
    </row>
    <row r="555">
      <c r="C555" s="79"/>
      <c r="D555" s="79"/>
      <c r="E555" s="79"/>
      <c r="O555" s="79"/>
      <c r="R555" s="79"/>
      <c r="S555" s="79"/>
      <c r="X555" s="79"/>
      <c r="AD555" s="130"/>
      <c r="AF555" s="106"/>
    </row>
    <row r="556">
      <c r="C556" s="79"/>
      <c r="D556" s="79"/>
      <c r="E556" s="79"/>
      <c r="O556" s="79"/>
      <c r="R556" s="79"/>
      <c r="S556" s="79"/>
      <c r="X556" s="79"/>
      <c r="AD556" s="130"/>
      <c r="AF556" s="106"/>
    </row>
    <row r="557">
      <c r="C557" s="79"/>
      <c r="D557" s="79"/>
      <c r="E557" s="79"/>
      <c r="O557" s="79"/>
      <c r="R557" s="79"/>
      <c r="S557" s="79"/>
      <c r="X557" s="79"/>
      <c r="AD557" s="130"/>
      <c r="AF557" s="106"/>
    </row>
    <row r="558">
      <c r="C558" s="79"/>
      <c r="D558" s="79"/>
      <c r="E558" s="79"/>
      <c r="O558" s="79"/>
      <c r="R558" s="79"/>
      <c r="S558" s="79"/>
      <c r="X558" s="79"/>
      <c r="AD558" s="130"/>
      <c r="AF558" s="106"/>
    </row>
    <row r="559">
      <c r="C559" s="79"/>
      <c r="D559" s="79"/>
      <c r="E559" s="79"/>
      <c r="O559" s="79"/>
      <c r="R559" s="79"/>
      <c r="S559" s="79"/>
      <c r="X559" s="79"/>
      <c r="AD559" s="130"/>
      <c r="AF559" s="106"/>
    </row>
    <row r="560">
      <c r="C560" s="79"/>
      <c r="D560" s="79"/>
      <c r="E560" s="79"/>
      <c r="O560" s="79"/>
      <c r="R560" s="79"/>
      <c r="S560" s="79"/>
      <c r="X560" s="79"/>
      <c r="AD560" s="130"/>
      <c r="AF560" s="106"/>
    </row>
    <row r="561">
      <c r="C561" s="79"/>
      <c r="D561" s="79"/>
      <c r="E561" s="79"/>
      <c r="O561" s="79"/>
      <c r="R561" s="79"/>
      <c r="S561" s="79"/>
      <c r="X561" s="79"/>
      <c r="AD561" s="130"/>
      <c r="AF561" s="106"/>
    </row>
    <row r="562">
      <c r="C562" s="79"/>
      <c r="D562" s="79"/>
      <c r="E562" s="79"/>
      <c r="O562" s="79"/>
      <c r="R562" s="79"/>
      <c r="S562" s="79"/>
      <c r="X562" s="79"/>
      <c r="AD562" s="130"/>
      <c r="AF562" s="106"/>
    </row>
    <row r="563">
      <c r="C563" s="79"/>
      <c r="D563" s="79"/>
      <c r="E563" s="79"/>
      <c r="O563" s="79"/>
      <c r="R563" s="79"/>
      <c r="S563" s="79"/>
      <c r="X563" s="79"/>
      <c r="AD563" s="130"/>
      <c r="AF563" s="106"/>
    </row>
    <row r="564">
      <c r="C564" s="79"/>
      <c r="D564" s="79"/>
      <c r="E564" s="79"/>
      <c r="O564" s="79"/>
      <c r="R564" s="79"/>
      <c r="S564" s="79"/>
      <c r="X564" s="79"/>
      <c r="AD564" s="130"/>
      <c r="AF564" s="106"/>
    </row>
    <row r="565">
      <c r="C565" s="79"/>
      <c r="D565" s="79"/>
      <c r="E565" s="79"/>
      <c r="O565" s="79"/>
      <c r="R565" s="79"/>
      <c r="S565" s="79"/>
      <c r="X565" s="79"/>
      <c r="AD565" s="130"/>
      <c r="AF565" s="106"/>
    </row>
    <row r="566">
      <c r="C566" s="79"/>
      <c r="D566" s="79"/>
      <c r="E566" s="79"/>
      <c r="O566" s="79"/>
      <c r="R566" s="79"/>
      <c r="S566" s="79"/>
      <c r="X566" s="79"/>
      <c r="AD566" s="130"/>
      <c r="AF566" s="106"/>
    </row>
    <row r="567">
      <c r="C567" s="79"/>
      <c r="D567" s="79"/>
      <c r="E567" s="79"/>
      <c r="O567" s="79"/>
      <c r="R567" s="79"/>
      <c r="S567" s="79"/>
      <c r="X567" s="79"/>
      <c r="AD567" s="130"/>
      <c r="AF567" s="106"/>
    </row>
    <row r="568">
      <c r="C568" s="79"/>
      <c r="D568" s="79"/>
      <c r="E568" s="79"/>
      <c r="O568" s="79"/>
      <c r="R568" s="79"/>
      <c r="S568" s="79"/>
      <c r="X568" s="79"/>
      <c r="AD568" s="130"/>
      <c r="AF568" s="106"/>
    </row>
    <row r="569">
      <c r="C569" s="79"/>
      <c r="D569" s="79"/>
      <c r="E569" s="79"/>
      <c r="O569" s="79"/>
      <c r="R569" s="79"/>
      <c r="S569" s="79"/>
      <c r="X569" s="79"/>
      <c r="AD569" s="130"/>
      <c r="AF569" s="106"/>
    </row>
    <row r="570">
      <c r="C570" s="79"/>
      <c r="D570" s="79"/>
      <c r="E570" s="79"/>
      <c r="O570" s="79"/>
      <c r="R570" s="79"/>
      <c r="S570" s="79"/>
      <c r="X570" s="79"/>
      <c r="AD570" s="130"/>
      <c r="AF570" s="106"/>
    </row>
    <row r="571">
      <c r="C571" s="79"/>
      <c r="D571" s="79"/>
      <c r="E571" s="79"/>
      <c r="O571" s="79"/>
      <c r="R571" s="79"/>
      <c r="S571" s="79"/>
      <c r="X571" s="79"/>
      <c r="AD571" s="130"/>
      <c r="AF571" s="106"/>
    </row>
    <row r="572">
      <c r="C572" s="79"/>
      <c r="D572" s="79"/>
      <c r="E572" s="79"/>
      <c r="O572" s="79"/>
      <c r="R572" s="79"/>
      <c r="S572" s="79"/>
      <c r="X572" s="79"/>
      <c r="AD572" s="130"/>
      <c r="AF572" s="106"/>
    </row>
    <row r="573">
      <c r="C573" s="79"/>
      <c r="D573" s="79"/>
      <c r="E573" s="79"/>
      <c r="O573" s="79"/>
      <c r="R573" s="79"/>
      <c r="S573" s="79"/>
      <c r="X573" s="79"/>
      <c r="AD573" s="130"/>
      <c r="AF573" s="106"/>
    </row>
    <row r="574">
      <c r="C574" s="79"/>
      <c r="D574" s="79"/>
      <c r="E574" s="79"/>
      <c r="O574" s="79"/>
      <c r="R574" s="79"/>
      <c r="S574" s="79"/>
      <c r="X574" s="79"/>
      <c r="AD574" s="130"/>
      <c r="AF574" s="106"/>
    </row>
    <row r="575">
      <c r="C575" s="79"/>
      <c r="D575" s="79"/>
      <c r="E575" s="79"/>
      <c r="O575" s="79"/>
      <c r="R575" s="79"/>
      <c r="S575" s="79"/>
      <c r="X575" s="79"/>
      <c r="AD575" s="130"/>
      <c r="AF575" s="106"/>
    </row>
    <row r="576">
      <c r="C576" s="79"/>
      <c r="D576" s="79"/>
      <c r="E576" s="79"/>
      <c r="O576" s="79"/>
      <c r="R576" s="79"/>
      <c r="S576" s="79"/>
      <c r="X576" s="79"/>
      <c r="AD576" s="130"/>
      <c r="AF576" s="106"/>
    </row>
    <row r="577">
      <c r="C577" s="79"/>
      <c r="D577" s="79"/>
      <c r="E577" s="79"/>
      <c r="O577" s="79"/>
      <c r="R577" s="79"/>
      <c r="S577" s="79"/>
      <c r="X577" s="79"/>
      <c r="AD577" s="130"/>
      <c r="AF577" s="106"/>
    </row>
    <row r="578">
      <c r="C578" s="79"/>
      <c r="D578" s="79"/>
      <c r="E578" s="79"/>
      <c r="O578" s="79"/>
      <c r="R578" s="79"/>
      <c r="S578" s="79"/>
      <c r="X578" s="79"/>
      <c r="AD578" s="130"/>
      <c r="AF578" s="106"/>
    </row>
    <row r="579">
      <c r="C579" s="79"/>
      <c r="D579" s="79"/>
      <c r="E579" s="79"/>
      <c r="O579" s="79"/>
      <c r="R579" s="79"/>
      <c r="S579" s="79"/>
      <c r="X579" s="79"/>
      <c r="AD579" s="130"/>
      <c r="AF579" s="106"/>
    </row>
    <row r="580">
      <c r="C580" s="79"/>
      <c r="D580" s="79"/>
      <c r="E580" s="79"/>
      <c r="O580" s="79"/>
      <c r="R580" s="79"/>
      <c r="S580" s="79"/>
      <c r="X580" s="79"/>
      <c r="AD580" s="130"/>
      <c r="AF580" s="106"/>
    </row>
    <row r="581">
      <c r="C581" s="79"/>
      <c r="D581" s="79"/>
      <c r="E581" s="79"/>
      <c r="O581" s="79"/>
      <c r="R581" s="79"/>
      <c r="S581" s="79"/>
      <c r="X581" s="79"/>
      <c r="AD581" s="130"/>
      <c r="AF581" s="106"/>
    </row>
    <row r="582">
      <c r="C582" s="79"/>
      <c r="D582" s="79"/>
      <c r="E582" s="79"/>
      <c r="O582" s="79"/>
      <c r="R582" s="79"/>
      <c r="S582" s="79"/>
      <c r="X582" s="79"/>
      <c r="AD582" s="130"/>
      <c r="AF582" s="106"/>
    </row>
    <row r="583">
      <c r="C583" s="79"/>
      <c r="D583" s="79"/>
      <c r="E583" s="79"/>
      <c r="O583" s="79"/>
      <c r="R583" s="79"/>
      <c r="S583" s="79"/>
      <c r="X583" s="79"/>
      <c r="AD583" s="130"/>
      <c r="AF583" s="106"/>
    </row>
    <row r="584">
      <c r="C584" s="79"/>
      <c r="D584" s="79"/>
      <c r="E584" s="79"/>
      <c r="O584" s="79"/>
      <c r="R584" s="79"/>
      <c r="S584" s="79"/>
      <c r="X584" s="79"/>
      <c r="AD584" s="130"/>
      <c r="AF584" s="106"/>
    </row>
    <row r="585">
      <c r="C585" s="79"/>
      <c r="D585" s="79"/>
      <c r="E585" s="79"/>
      <c r="O585" s="79"/>
      <c r="R585" s="79"/>
      <c r="S585" s="79"/>
      <c r="X585" s="79"/>
      <c r="AD585" s="130"/>
      <c r="AF585" s="106"/>
    </row>
    <row r="586">
      <c r="C586" s="79"/>
      <c r="D586" s="79"/>
      <c r="E586" s="79"/>
      <c r="O586" s="79"/>
      <c r="R586" s="79"/>
      <c r="S586" s="79"/>
      <c r="X586" s="79"/>
      <c r="AD586" s="130"/>
      <c r="AF586" s="106"/>
    </row>
    <row r="587">
      <c r="C587" s="79"/>
      <c r="D587" s="79"/>
      <c r="E587" s="79"/>
      <c r="O587" s="79"/>
      <c r="R587" s="79"/>
      <c r="S587" s="79"/>
      <c r="X587" s="79"/>
      <c r="AD587" s="130"/>
      <c r="AF587" s="106"/>
    </row>
    <row r="588">
      <c r="C588" s="79"/>
      <c r="D588" s="79"/>
      <c r="E588" s="79"/>
      <c r="O588" s="79"/>
      <c r="R588" s="79"/>
      <c r="S588" s="79"/>
      <c r="X588" s="79"/>
      <c r="AD588" s="130"/>
      <c r="AF588" s="106"/>
    </row>
    <row r="589">
      <c r="C589" s="79"/>
      <c r="D589" s="79"/>
      <c r="E589" s="79"/>
      <c r="O589" s="79"/>
      <c r="R589" s="79"/>
      <c r="S589" s="79"/>
      <c r="X589" s="79"/>
      <c r="AD589" s="130"/>
      <c r="AF589" s="106"/>
    </row>
    <row r="590">
      <c r="C590" s="79"/>
      <c r="D590" s="79"/>
      <c r="E590" s="79"/>
      <c r="O590" s="79"/>
      <c r="R590" s="79"/>
      <c r="S590" s="79"/>
      <c r="X590" s="79"/>
      <c r="AD590" s="130"/>
      <c r="AF590" s="106"/>
    </row>
    <row r="591">
      <c r="C591" s="79"/>
      <c r="D591" s="79"/>
      <c r="E591" s="79"/>
      <c r="O591" s="79"/>
      <c r="R591" s="79"/>
      <c r="S591" s="79"/>
      <c r="X591" s="79"/>
      <c r="AD591" s="130"/>
      <c r="AF591" s="106"/>
    </row>
    <row r="592">
      <c r="C592" s="79"/>
      <c r="D592" s="79"/>
      <c r="E592" s="79"/>
      <c r="O592" s="79"/>
      <c r="R592" s="79"/>
      <c r="S592" s="79"/>
      <c r="X592" s="79"/>
      <c r="AD592" s="130"/>
      <c r="AF592" s="106"/>
    </row>
    <row r="593">
      <c r="C593" s="79"/>
      <c r="D593" s="79"/>
      <c r="E593" s="79"/>
      <c r="O593" s="79"/>
      <c r="R593" s="79"/>
      <c r="S593" s="79"/>
      <c r="X593" s="79"/>
      <c r="AD593" s="130"/>
      <c r="AF593" s="106"/>
    </row>
    <row r="594">
      <c r="C594" s="79"/>
      <c r="D594" s="79"/>
      <c r="E594" s="79"/>
      <c r="O594" s="79"/>
      <c r="R594" s="79"/>
      <c r="S594" s="79"/>
      <c r="X594" s="79"/>
      <c r="AD594" s="130"/>
      <c r="AF594" s="106"/>
    </row>
    <row r="595">
      <c r="C595" s="79"/>
      <c r="D595" s="79"/>
      <c r="E595" s="79"/>
      <c r="O595" s="79"/>
      <c r="R595" s="79"/>
      <c r="S595" s="79"/>
      <c r="X595" s="79"/>
      <c r="AD595" s="130"/>
      <c r="AF595" s="106"/>
    </row>
    <row r="596">
      <c r="C596" s="79"/>
      <c r="D596" s="79"/>
      <c r="E596" s="79"/>
      <c r="O596" s="79"/>
      <c r="R596" s="79"/>
      <c r="S596" s="79"/>
      <c r="X596" s="79"/>
      <c r="AD596" s="130"/>
      <c r="AF596" s="106"/>
    </row>
    <row r="597">
      <c r="C597" s="79"/>
      <c r="D597" s="79"/>
      <c r="E597" s="79"/>
      <c r="O597" s="79"/>
      <c r="R597" s="79"/>
      <c r="S597" s="79"/>
      <c r="X597" s="79"/>
      <c r="AD597" s="130"/>
      <c r="AF597" s="106"/>
    </row>
    <row r="598">
      <c r="C598" s="79"/>
      <c r="D598" s="79"/>
      <c r="E598" s="79"/>
      <c r="O598" s="79"/>
      <c r="R598" s="79"/>
      <c r="S598" s="79"/>
      <c r="X598" s="79"/>
      <c r="AD598" s="130"/>
      <c r="AF598" s="106"/>
    </row>
    <row r="599">
      <c r="C599" s="79"/>
      <c r="D599" s="79"/>
      <c r="E599" s="79"/>
      <c r="O599" s="79"/>
      <c r="R599" s="79"/>
      <c r="S599" s="79"/>
      <c r="X599" s="79"/>
      <c r="AD599" s="130"/>
      <c r="AF599" s="106"/>
    </row>
    <row r="600">
      <c r="C600" s="79"/>
      <c r="D600" s="79"/>
      <c r="E600" s="79"/>
      <c r="O600" s="79"/>
      <c r="R600" s="79"/>
      <c r="S600" s="79"/>
      <c r="X600" s="79"/>
      <c r="AD600" s="130"/>
      <c r="AF600" s="106"/>
    </row>
    <row r="601">
      <c r="C601" s="79"/>
      <c r="D601" s="79"/>
      <c r="E601" s="79"/>
      <c r="O601" s="79"/>
      <c r="R601" s="79"/>
      <c r="S601" s="79"/>
      <c r="X601" s="79"/>
      <c r="AD601" s="130"/>
      <c r="AF601" s="106"/>
    </row>
    <row r="602">
      <c r="C602" s="79"/>
      <c r="D602" s="79"/>
      <c r="E602" s="79"/>
      <c r="O602" s="79"/>
      <c r="R602" s="79"/>
      <c r="S602" s="79"/>
      <c r="X602" s="79"/>
      <c r="AD602" s="130"/>
      <c r="AF602" s="106"/>
    </row>
    <row r="603">
      <c r="C603" s="79"/>
      <c r="D603" s="79"/>
      <c r="E603" s="79"/>
      <c r="O603" s="79"/>
      <c r="R603" s="79"/>
      <c r="S603" s="79"/>
      <c r="X603" s="79"/>
      <c r="AD603" s="130"/>
      <c r="AF603" s="106"/>
    </row>
    <row r="604">
      <c r="C604" s="79"/>
      <c r="D604" s="79"/>
      <c r="E604" s="79"/>
      <c r="O604" s="79"/>
      <c r="R604" s="79"/>
      <c r="S604" s="79"/>
      <c r="X604" s="79"/>
      <c r="AD604" s="130"/>
      <c r="AF604" s="106"/>
    </row>
    <row r="605">
      <c r="C605" s="79"/>
      <c r="D605" s="79"/>
      <c r="E605" s="79"/>
      <c r="O605" s="79"/>
      <c r="R605" s="79"/>
      <c r="S605" s="79"/>
      <c r="X605" s="79"/>
      <c r="AD605" s="130"/>
      <c r="AF605" s="106"/>
    </row>
    <row r="606">
      <c r="C606" s="79"/>
      <c r="D606" s="79"/>
      <c r="E606" s="79"/>
      <c r="O606" s="79"/>
      <c r="R606" s="79"/>
      <c r="S606" s="79"/>
      <c r="X606" s="79"/>
      <c r="AD606" s="130"/>
      <c r="AF606" s="106"/>
    </row>
    <row r="607">
      <c r="C607" s="79"/>
      <c r="D607" s="79"/>
      <c r="E607" s="79"/>
      <c r="O607" s="79"/>
      <c r="R607" s="79"/>
      <c r="S607" s="79"/>
      <c r="X607" s="79"/>
      <c r="AD607" s="130"/>
      <c r="AF607" s="106"/>
    </row>
    <row r="608">
      <c r="C608" s="79"/>
      <c r="D608" s="79"/>
      <c r="E608" s="79"/>
      <c r="O608" s="79"/>
      <c r="R608" s="79"/>
      <c r="S608" s="79"/>
      <c r="X608" s="79"/>
      <c r="AD608" s="130"/>
      <c r="AF608" s="106"/>
    </row>
    <row r="609">
      <c r="C609" s="79"/>
      <c r="D609" s="79"/>
      <c r="E609" s="79"/>
      <c r="O609" s="79"/>
      <c r="R609" s="79"/>
      <c r="S609" s="79"/>
      <c r="X609" s="79"/>
      <c r="AD609" s="130"/>
      <c r="AF609" s="106"/>
    </row>
    <row r="610">
      <c r="C610" s="79"/>
      <c r="D610" s="79"/>
      <c r="E610" s="79"/>
      <c r="O610" s="79"/>
      <c r="R610" s="79"/>
      <c r="S610" s="79"/>
      <c r="X610" s="79"/>
      <c r="AD610" s="130"/>
      <c r="AF610" s="106"/>
    </row>
    <row r="611">
      <c r="C611" s="79"/>
      <c r="D611" s="79"/>
      <c r="E611" s="79"/>
      <c r="O611" s="79"/>
      <c r="R611" s="79"/>
      <c r="S611" s="79"/>
      <c r="X611" s="79"/>
      <c r="AD611" s="130"/>
      <c r="AF611" s="106"/>
    </row>
    <row r="612">
      <c r="C612" s="79"/>
      <c r="D612" s="79"/>
      <c r="E612" s="79"/>
      <c r="O612" s="79"/>
      <c r="R612" s="79"/>
      <c r="S612" s="79"/>
      <c r="X612" s="79"/>
      <c r="AD612" s="130"/>
      <c r="AF612" s="106"/>
    </row>
    <row r="613">
      <c r="C613" s="79"/>
      <c r="D613" s="79"/>
      <c r="E613" s="79"/>
      <c r="O613" s="79"/>
      <c r="R613" s="79"/>
      <c r="S613" s="79"/>
      <c r="X613" s="79"/>
      <c r="AD613" s="130"/>
      <c r="AF613" s="106"/>
    </row>
    <row r="614">
      <c r="C614" s="79"/>
      <c r="D614" s="79"/>
      <c r="E614" s="79"/>
      <c r="O614" s="79"/>
      <c r="R614" s="79"/>
      <c r="S614" s="79"/>
      <c r="X614" s="79"/>
      <c r="AD614" s="130"/>
      <c r="AF614" s="106"/>
    </row>
    <row r="615">
      <c r="C615" s="79"/>
      <c r="D615" s="79"/>
      <c r="E615" s="79"/>
      <c r="O615" s="79"/>
      <c r="R615" s="79"/>
      <c r="S615" s="79"/>
      <c r="X615" s="79"/>
      <c r="AD615" s="130"/>
      <c r="AF615" s="106"/>
    </row>
    <row r="616">
      <c r="C616" s="79"/>
      <c r="D616" s="79"/>
      <c r="E616" s="79"/>
      <c r="O616" s="79"/>
      <c r="R616" s="79"/>
      <c r="S616" s="79"/>
      <c r="X616" s="79"/>
      <c r="AD616" s="130"/>
      <c r="AF616" s="106"/>
    </row>
    <row r="617">
      <c r="C617" s="79"/>
      <c r="D617" s="79"/>
      <c r="E617" s="79"/>
      <c r="O617" s="79"/>
      <c r="R617" s="79"/>
      <c r="S617" s="79"/>
      <c r="X617" s="79"/>
      <c r="AD617" s="130"/>
      <c r="AF617" s="106"/>
    </row>
    <row r="618">
      <c r="C618" s="79"/>
      <c r="D618" s="79"/>
      <c r="E618" s="79"/>
      <c r="O618" s="79"/>
      <c r="R618" s="79"/>
      <c r="S618" s="79"/>
      <c r="X618" s="79"/>
      <c r="AD618" s="130"/>
      <c r="AF618" s="106"/>
    </row>
    <row r="619">
      <c r="C619" s="79"/>
      <c r="D619" s="79"/>
      <c r="E619" s="79"/>
      <c r="O619" s="79"/>
      <c r="R619" s="79"/>
      <c r="S619" s="79"/>
      <c r="X619" s="79"/>
      <c r="AD619" s="130"/>
      <c r="AF619" s="106"/>
    </row>
    <row r="620">
      <c r="C620" s="79"/>
      <c r="D620" s="79"/>
      <c r="E620" s="79"/>
      <c r="O620" s="79"/>
      <c r="R620" s="79"/>
      <c r="S620" s="79"/>
      <c r="X620" s="79"/>
      <c r="AD620" s="130"/>
      <c r="AF620" s="106"/>
    </row>
    <row r="621">
      <c r="C621" s="79"/>
      <c r="D621" s="79"/>
      <c r="E621" s="79"/>
      <c r="O621" s="79"/>
      <c r="R621" s="79"/>
      <c r="S621" s="79"/>
      <c r="X621" s="79"/>
      <c r="AD621" s="130"/>
      <c r="AF621" s="106"/>
    </row>
    <row r="622">
      <c r="C622" s="79"/>
      <c r="D622" s="79"/>
      <c r="E622" s="79"/>
      <c r="O622" s="79"/>
      <c r="R622" s="79"/>
      <c r="S622" s="79"/>
      <c r="X622" s="79"/>
      <c r="AD622" s="130"/>
      <c r="AF622" s="106"/>
    </row>
    <row r="623">
      <c r="C623" s="79"/>
      <c r="D623" s="79"/>
      <c r="E623" s="79"/>
      <c r="O623" s="79"/>
      <c r="R623" s="79"/>
      <c r="S623" s="79"/>
      <c r="X623" s="79"/>
      <c r="AD623" s="130"/>
      <c r="AF623" s="106"/>
    </row>
    <row r="624">
      <c r="C624" s="79"/>
      <c r="D624" s="79"/>
      <c r="E624" s="79"/>
      <c r="O624" s="79"/>
      <c r="R624" s="79"/>
      <c r="S624" s="79"/>
      <c r="X624" s="79"/>
      <c r="AD624" s="130"/>
      <c r="AF624" s="106"/>
    </row>
    <row r="625">
      <c r="C625" s="79"/>
      <c r="D625" s="79"/>
      <c r="E625" s="79"/>
      <c r="O625" s="79"/>
      <c r="R625" s="79"/>
      <c r="S625" s="79"/>
      <c r="X625" s="79"/>
      <c r="AD625" s="130"/>
      <c r="AF625" s="106"/>
    </row>
    <row r="626">
      <c r="C626" s="79"/>
      <c r="D626" s="79"/>
      <c r="E626" s="79"/>
      <c r="O626" s="79"/>
      <c r="R626" s="79"/>
      <c r="S626" s="79"/>
      <c r="X626" s="79"/>
      <c r="AD626" s="130"/>
      <c r="AF626" s="106"/>
    </row>
    <row r="627">
      <c r="C627" s="79"/>
      <c r="D627" s="79"/>
      <c r="E627" s="79"/>
      <c r="O627" s="79"/>
      <c r="R627" s="79"/>
      <c r="S627" s="79"/>
      <c r="X627" s="79"/>
      <c r="AD627" s="130"/>
      <c r="AF627" s="106"/>
    </row>
    <row r="628">
      <c r="C628" s="79"/>
      <c r="D628" s="79"/>
      <c r="E628" s="79"/>
      <c r="O628" s="79"/>
      <c r="R628" s="79"/>
      <c r="S628" s="79"/>
      <c r="X628" s="79"/>
      <c r="AD628" s="130"/>
      <c r="AF628" s="106"/>
    </row>
    <row r="629">
      <c r="C629" s="79"/>
      <c r="D629" s="79"/>
      <c r="E629" s="79"/>
      <c r="O629" s="79"/>
      <c r="R629" s="79"/>
      <c r="S629" s="79"/>
      <c r="X629" s="79"/>
      <c r="AD629" s="130"/>
      <c r="AF629" s="106"/>
    </row>
    <row r="630">
      <c r="C630" s="79"/>
      <c r="D630" s="79"/>
      <c r="E630" s="79"/>
      <c r="O630" s="79"/>
      <c r="R630" s="79"/>
      <c r="S630" s="79"/>
      <c r="X630" s="79"/>
      <c r="AD630" s="130"/>
      <c r="AF630" s="106"/>
    </row>
    <row r="631">
      <c r="C631" s="79"/>
      <c r="D631" s="79"/>
      <c r="E631" s="79"/>
      <c r="O631" s="79"/>
      <c r="R631" s="79"/>
      <c r="S631" s="79"/>
      <c r="X631" s="79"/>
      <c r="AD631" s="130"/>
      <c r="AF631" s="106"/>
    </row>
    <row r="632">
      <c r="C632" s="79"/>
      <c r="D632" s="79"/>
      <c r="E632" s="79"/>
      <c r="O632" s="79"/>
      <c r="R632" s="79"/>
      <c r="S632" s="79"/>
      <c r="X632" s="79"/>
      <c r="AD632" s="130"/>
      <c r="AF632" s="106"/>
    </row>
    <row r="633">
      <c r="C633" s="79"/>
      <c r="D633" s="79"/>
      <c r="E633" s="79"/>
      <c r="O633" s="79"/>
      <c r="R633" s="79"/>
      <c r="S633" s="79"/>
      <c r="X633" s="79"/>
      <c r="AD633" s="130"/>
      <c r="AF633" s="106"/>
    </row>
    <row r="634">
      <c r="C634" s="79"/>
      <c r="D634" s="79"/>
      <c r="E634" s="79"/>
      <c r="O634" s="79"/>
      <c r="R634" s="79"/>
      <c r="S634" s="79"/>
      <c r="X634" s="79"/>
      <c r="AD634" s="130"/>
      <c r="AF634" s="106"/>
    </row>
    <row r="635">
      <c r="C635" s="79"/>
      <c r="D635" s="79"/>
      <c r="E635" s="79"/>
      <c r="O635" s="79"/>
      <c r="R635" s="79"/>
      <c r="S635" s="79"/>
      <c r="X635" s="79"/>
      <c r="AD635" s="130"/>
      <c r="AF635" s="106"/>
    </row>
    <row r="636">
      <c r="C636" s="79"/>
      <c r="D636" s="79"/>
      <c r="E636" s="79"/>
      <c r="O636" s="79"/>
      <c r="R636" s="79"/>
      <c r="S636" s="79"/>
      <c r="X636" s="79"/>
      <c r="AD636" s="130"/>
      <c r="AF636" s="106"/>
    </row>
    <row r="637">
      <c r="C637" s="79"/>
      <c r="D637" s="79"/>
      <c r="E637" s="79"/>
      <c r="O637" s="79"/>
      <c r="R637" s="79"/>
      <c r="S637" s="79"/>
      <c r="X637" s="79"/>
      <c r="AD637" s="130"/>
      <c r="AF637" s="106"/>
    </row>
    <row r="638">
      <c r="C638" s="79"/>
      <c r="D638" s="79"/>
      <c r="E638" s="79"/>
      <c r="O638" s="79"/>
      <c r="R638" s="79"/>
      <c r="S638" s="79"/>
      <c r="X638" s="79"/>
      <c r="AD638" s="130"/>
      <c r="AF638" s="106"/>
    </row>
    <row r="639">
      <c r="C639" s="79"/>
      <c r="D639" s="79"/>
      <c r="E639" s="79"/>
      <c r="O639" s="79"/>
      <c r="R639" s="79"/>
      <c r="S639" s="79"/>
      <c r="X639" s="79"/>
      <c r="AD639" s="130"/>
      <c r="AF639" s="106"/>
    </row>
    <row r="640">
      <c r="C640" s="79"/>
      <c r="D640" s="79"/>
      <c r="E640" s="79"/>
      <c r="O640" s="79"/>
      <c r="R640" s="79"/>
      <c r="S640" s="79"/>
      <c r="X640" s="79"/>
      <c r="AD640" s="130"/>
      <c r="AF640" s="106"/>
    </row>
    <row r="641">
      <c r="C641" s="79"/>
      <c r="D641" s="79"/>
      <c r="E641" s="79"/>
      <c r="O641" s="79"/>
      <c r="R641" s="79"/>
      <c r="S641" s="79"/>
      <c r="X641" s="79"/>
      <c r="AD641" s="130"/>
      <c r="AF641" s="106"/>
    </row>
    <row r="642">
      <c r="C642" s="79"/>
      <c r="D642" s="79"/>
      <c r="E642" s="79"/>
      <c r="O642" s="79"/>
      <c r="R642" s="79"/>
      <c r="S642" s="79"/>
      <c r="X642" s="79"/>
      <c r="AD642" s="130"/>
      <c r="AF642" s="106"/>
    </row>
    <row r="643">
      <c r="C643" s="79"/>
      <c r="D643" s="79"/>
      <c r="E643" s="79"/>
      <c r="O643" s="79"/>
      <c r="R643" s="79"/>
      <c r="S643" s="79"/>
      <c r="X643" s="79"/>
      <c r="AD643" s="130"/>
      <c r="AF643" s="106"/>
    </row>
    <row r="644">
      <c r="C644" s="79"/>
      <c r="D644" s="79"/>
      <c r="E644" s="79"/>
      <c r="O644" s="79"/>
      <c r="R644" s="79"/>
      <c r="S644" s="79"/>
      <c r="X644" s="79"/>
      <c r="AD644" s="130"/>
      <c r="AF644" s="106"/>
    </row>
    <row r="645">
      <c r="C645" s="79"/>
      <c r="D645" s="79"/>
      <c r="E645" s="79"/>
      <c r="O645" s="79"/>
      <c r="R645" s="79"/>
      <c r="S645" s="79"/>
      <c r="X645" s="79"/>
      <c r="AD645" s="130"/>
      <c r="AF645" s="106"/>
    </row>
    <row r="646">
      <c r="C646" s="79"/>
      <c r="D646" s="79"/>
      <c r="E646" s="79"/>
      <c r="O646" s="79"/>
      <c r="R646" s="79"/>
      <c r="S646" s="79"/>
      <c r="X646" s="79"/>
      <c r="AD646" s="130"/>
      <c r="AF646" s="106"/>
    </row>
    <row r="647">
      <c r="C647" s="79"/>
      <c r="D647" s="79"/>
      <c r="E647" s="79"/>
      <c r="O647" s="79"/>
      <c r="R647" s="79"/>
      <c r="S647" s="79"/>
      <c r="X647" s="79"/>
      <c r="AD647" s="130"/>
      <c r="AF647" s="106"/>
    </row>
    <row r="648">
      <c r="C648" s="79"/>
      <c r="D648" s="79"/>
      <c r="E648" s="79"/>
      <c r="O648" s="79"/>
      <c r="R648" s="79"/>
      <c r="S648" s="79"/>
      <c r="X648" s="79"/>
      <c r="AD648" s="130"/>
      <c r="AF648" s="106"/>
    </row>
    <row r="649">
      <c r="C649" s="79"/>
      <c r="D649" s="79"/>
      <c r="E649" s="79"/>
      <c r="O649" s="79"/>
      <c r="R649" s="79"/>
      <c r="S649" s="79"/>
      <c r="X649" s="79"/>
      <c r="AD649" s="130"/>
      <c r="AF649" s="106"/>
    </row>
    <row r="650">
      <c r="C650" s="79"/>
      <c r="D650" s="79"/>
      <c r="E650" s="79"/>
      <c r="O650" s="79"/>
      <c r="R650" s="79"/>
      <c r="S650" s="79"/>
      <c r="X650" s="79"/>
      <c r="AD650" s="130"/>
      <c r="AF650" s="106"/>
    </row>
    <row r="651">
      <c r="C651" s="79"/>
      <c r="D651" s="79"/>
      <c r="E651" s="79"/>
      <c r="O651" s="79"/>
      <c r="R651" s="79"/>
      <c r="S651" s="79"/>
      <c r="X651" s="79"/>
      <c r="AD651" s="130"/>
      <c r="AF651" s="106"/>
    </row>
    <row r="652">
      <c r="C652" s="79"/>
      <c r="D652" s="79"/>
      <c r="E652" s="79"/>
      <c r="O652" s="79"/>
      <c r="R652" s="79"/>
      <c r="S652" s="79"/>
      <c r="X652" s="79"/>
      <c r="AD652" s="130"/>
      <c r="AF652" s="106"/>
    </row>
    <row r="653">
      <c r="C653" s="79"/>
      <c r="D653" s="79"/>
      <c r="E653" s="79"/>
      <c r="O653" s="79"/>
      <c r="R653" s="79"/>
      <c r="S653" s="79"/>
      <c r="X653" s="79"/>
      <c r="AD653" s="130"/>
      <c r="AF653" s="106"/>
    </row>
    <row r="654">
      <c r="C654" s="79"/>
      <c r="D654" s="79"/>
      <c r="E654" s="79"/>
      <c r="O654" s="79"/>
      <c r="R654" s="79"/>
      <c r="S654" s="79"/>
      <c r="X654" s="79"/>
      <c r="AD654" s="130"/>
      <c r="AF654" s="106"/>
    </row>
    <row r="655">
      <c r="C655" s="79"/>
      <c r="D655" s="79"/>
      <c r="E655" s="79"/>
      <c r="O655" s="79"/>
      <c r="R655" s="79"/>
      <c r="S655" s="79"/>
      <c r="X655" s="79"/>
      <c r="AD655" s="130"/>
      <c r="AF655" s="106"/>
    </row>
    <row r="656">
      <c r="C656" s="79"/>
      <c r="D656" s="79"/>
      <c r="E656" s="79"/>
      <c r="O656" s="79"/>
      <c r="R656" s="79"/>
      <c r="S656" s="79"/>
      <c r="X656" s="79"/>
      <c r="AD656" s="130"/>
      <c r="AF656" s="106"/>
    </row>
    <row r="657">
      <c r="C657" s="79"/>
      <c r="D657" s="79"/>
      <c r="E657" s="79"/>
      <c r="O657" s="79"/>
      <c r="R657" s="79"/>
      <c r="S657" s="79"/>
      <c r="X657" s="79"/>
      <c r="AD657" s="130"/>
      <c r="AF657" s="106"/>
    </row>
    <row r="658">
      <c r="C658" s="79"/>
      <c r="D658" s="79"/>
      <c r="E658" s="79"/>
      <c r="O658" s="79"/>
      <c r="R658" s="79"/>
      <c r="S658" s="79"/>
      <c r="X658" s="79"/>
      <c r="AD658" s="130"/>
      <c r="AF658" s="106"/>
    </row>
    <row r="659">
      <c r="C659" s="79"/>
      <c r="D659" s="79"/>
      <c r="E659" s="79"/>
      <c r="O659" s="79"/>
      <c r="R659" s="79"/>
      <c r="S659" s="79"/>
      <c r="X659" s="79"/>
      <c r="AD659" s="130"/>
      <c r="AF659" s="106"/>
    </row>
    <row r="660">
      <c r="C660" s="79"/>
      <c r="D660" s="79"/>
      <c r="E660" s="79"/>
      <c r="O660" s="79"/>
      <c r="R660" s="79"/>
      <c r="S660" s="79"/>
      <c r="X660" s="79"/>
      <c r="AD660" s="130"/>
      <c r="AF660" s="106"/>
    </row>
    <row r="661">
      <c r="C661" s="79"/>
      <c r="D661" s="79"/>
      <c r="E661" s="79"/>
      <c r="O661" s="79"/>
      <c r="R661" s="79"/>
      <c r="S661" s="79"/>
      <c r="X661" s="79"/>
      <c r="AD661" s="130"/>
      <c r="AF661" s="106"/>
    </row>
    <row r="662">
      <c r="C662" s="79"/>
      <c r="D662" s="79"/>
      <c r="E662" s="79"/>
      <c r="O662" s="79"/>
      <c r="R662" s="79"/>
      <c r="S662" s="79"/>
      <c r="X662" s="79"/>
      <c r="AD662" s="130"/>
      <c r="AF662" s="106"/>
    </row>
    <row r="663">
      <c r="C663" s="79"/>
      <c r="D663" s="79"/>
      <c r="E663" s="79"/>
      <c r="O663" s="79"/>
      <c r="R663" s="79"/>
      <c r="S663" s="79"/>
      <c r="X663" s="79"/>
      <c r="AD663" s="130"/>
      <c r="AF663" s="106"/>
    </row>
    <row r="664">
      <c r="C664" s="79"/>
      <c r="D664" s="79"/>
      <c r="E664" s="79"/>
      <c r="O664" s="79"/>
      <c r="R664" s="79"/>
      <c r="S664" s="79"/>
      <c r="X664" s="79"/>
      <c r="AD664" s="130"/>
      <c r="AF664" s="106"/>
    </row>
    <row r="665">
      <c r="C665" s="79"/>
      <c r="D665" s="79"/>
      <c r="E665" s="79"/>
      <c r="O665" s="79"/>
      <c r="R665" s="79"/>
      <c r="S665" s="79"/>
      <c r="X665" s="79"/>
      <c r="AD665" s="130"/>
      <c r="AF665" s="106"/>
    </row>
    <row r="666">
      <c r="C666" s="79"/>
      <c r="D666" s="79"/>
      <c r="E666" s="79"/>
      <c r="O666" s="79"/>
      <c r="R666" s="79"/>
      <c r="S666" s="79"/>
      <c r="X666" s="79"/>
      <c r="AD666" s="130"/>
      <c r="AF666" s="106"/>
    </row>
    <row r="667">
      <c r="C667" s="79"/>
      <c r="D667" s="79"/>
      <c r="E667" s="79"/>
      <c r="O667" s="79"/>
      <c r="R667" s="79"/>
      <c r="S667" s="79"/>
      <c r="X667" s="79"/>
      <c r="AD667" s="130"/>
      <c r="AF667" s="106"/>
    </row>
    <row r="668">
      <c r="C668" s="79"/>
      <c r="D668" s="79"/>
      <c r="E668" s="79"/>
      <c r="O668" s="79"/>
      <c r="R668" s="79"/>
      <c r="S668" s="79"/>
      <c r="X668" s="79"/>
      <c r="AD668" s="130"/>
      <c r="AF668" s="106"/>
    </row>
    <row r="669">
      <c r="C669" s="79"/>
      <c r="D669" s="79"/>
      <c r="E669" s="79"/>
      <c r="O669" s="79"/>
      <c r="R669" s="79"/>
      <c r="S669" s="79"/>
      <c r="X669" s="79"/>
      <c r="AD669" s="130"/>
      <c r="AF669" s="106"/>
    </row>
    <row r="670">
      <c r="C670" s="79"/>
      <c r="D670" s="79"/>
      <c r="E670" s="79"/>
      <c r="O670" s="79"/>
      <c r="R670" s="79"/>
      <c r="S670" s="79"/>
      <c r="X670" s="79"/>
      <c r="AD670" s="130"/>
      <c r="AF670" s="106"/>
    </row>
    <row r="671">
      <c r="C671" s="79"/>
      <c r="D671" s="79"/>
      <c r="E671" s="79"/>
      <c r="O671" s="79"/>
      <c r="R671" s="79"/>
      <c r="S671" s="79"/>
      <c r="X671" s="79"/>
      <c r="AD671" s="130"/>
      <c r="AF671" s="106"/>
    </row>
    <row r="672">
      <c r="C672" s="79"/>
      <c r="D672" s="79"/>
      <c r="E672" s="79"/>
      <c r="O672" s="79"/>
      <c r="R672" s="79"/>
      <c r="S672" s="79"/>
      <c r="X672" s="79"/>
      <c r="AD672" s="130"/>
      <c r="AF672" s="106"/>
    </row>
    <row r="673">
      <c r="C673" s="79"/>
      <c r="D673" s="79"/>
      <c r="E673" s="79"/>
      <c r="O673" s="79"/>
      <c r="R673" s="79"/>
      <c r="S673" s="79"/>
      <c r="X673" s="79"/>
      <c r="AD673" s="130"/>
      <c r="AF673" s="106"/>
    </row>
    <row r="674">
      <c r="C674" s="79"/>
      <c r="D674" s="79"/>
      <c r="E674" s="79"/>
      <c r="O674" s="79"/>
      <c r="R674" s="79"/>
      <c r="S674" s="79"/>
      <c r="X674" s="79"/>
      <c r="AD674" s="130"/>
      <c r="AF674" s="106"/>
    </row>
    <row r="675">
      <c r="C675" s="79"/>
      <c r="D675" s="79"/>
      <c r="E675" s="79"/>
      <c r="O675" s="79"/>
      <c r="R675" s="79"/>
      <c r="S675" s="79"/>
      <c r="X675" s="79"/>
      <c r="AD675" s="130"/>
      <c r="AF675" s="106"/>
    </row>
    <row r="676">
      <c r="C676" s="79"/>
      <c r="D676" s="79"/>
      <c r="E676" s="79"/>
      <c r="O676" s="79"/>
      <c r="R676" s="79"/>
      <c r="S676" s="79"/>
      <c r="X676" s="79"/>
      <c r="AD676" s="130"/>
      <c r="AF676" s="106"/>
    </row>
    <row r="677">
      <c r="C677" s="79"/>
      <c r="D677" s="79"/>
      <c r="E677" s="79"/>
      <c r="O677" s="79"/>
      <c r="R677" s="79"/>
      <c r="S677" s="79"/>
      <c r="X677" s="79"/>
      <c r="AD677" s="130"/>
      <c r="AF677" s="106"/>
    </row>
    <row r="678">
      <c r="C678" s="79"/>
      <c r="D678" s="79"/>
      <c r="E678" s="79"/>
      <c r="O678" s="79"/>
      <c r="R678" s="79"/>
      <c r="S678" s="79"/>
      <c r="X678" s="79"/>
      <c r="AD678" s="130"/>
      <c r="AF678" s="106"/>
    </row>
    <row r="679">
      <c r="C679" s="79"/>
      <c r="D679" s="79"/>
      <c r="E679" s="79"/>
      <c r="O679" s="79"/>
      <c r="R679" s="79"/>
      <c r="S679" s="79"/>
      <c r="X679" s="79"/>
      <c r="AD679" s="130"/>
      <c r="AF679" s="106"/>
    </row>
    <row r="680">
      <c r="C680" s="79"/>
      <c r="D680" s="79"/>
      <c r="E680" s="79"/>
      <c r="O680" s="79"/>
      <c r="R680" s="79"/>
      <c r="S680" s="79"/>
      <c r="X680" s="79"/>
      <c r="AD680" s="130"/>
      <c r="AF680" s="106"/>
    </row>
    <row r="681">
      <c r="C681" s="79"/>
      <c r="D681" s="79"/>
      <c r="E681" s="79"/>
      <c r="O681" s="79"/>
      <c r="R681" s="79"/>
      <c r="S681" s="79"/>
      <c r="X681" s="79"/>
      <c r="AD681" s="130"/>
      <c r="AF681" s="106"/>
    </row>
    <row r="682">
      <c r="C682" s="79"/>
      <c r="D682" s="79"/>
      <c r="E682" s="79"/>
      <c r="O682" s="79"/>
      <c r="R682" s="79"/>
      <c r="S682" s="79"/>
      <c r="X682" s="79"/>
      <c r="AD682" s="130"/>
      <c r="AF682" s="106"/>
    </row>
    <row r="683">
      <c r="C683" s="79"/>
      <c r="D683" s="79"/>
      <c r="E683" s="79"/>
      <c r="O683" s="79"/>
      <c r="R683" s="79"/>
      <c r="S683" s="79"/>
      <c r="X683" s="79"/>
      <c r="AD683" s="130"/>
      <c r="AF683" s="106"/>
    </row>
    <row r="684">
      <c r="C684" s="79"/>
      <c r="D684" s="79"/>
      <c r="E684" s="79"/>
      <c r="O684" s="79"/>
      <c r="R684" s="79"/>
      <c r="S684" s="79"/>
      <c r="X684" s="79"/>
      <c r="AD684" s="130"/>
      <c r="AF684" s="106"/>
    </row>
    <row r="685">
      <c r="C685" s="79"/>
      <c r="D685" s="79"/>
      <c r="E685" s="79"/>
      <c r="O685" s="79"/>
      <c r="R685" s="79"/>
      <c r="S685" s="79"/>
      <c r="X685" s="79"/>
      <c r="AD685" s="130"/>
      <c r="AF685" s="106"/>
    </row>
    <row r="686">
      <c r="C686" s="79"/>
      <c r="D686" s="79"/>
      <c r="E686" s="79"/>
      <c r="O686" s="79"/>
      <c r="R686" s="79"/>
      <c r="S686" s="79"/>
      <c r="X686" s="79"/>
      <c r="AD686" s="130"/>
      <c r="AF686" s="106"/>
    </row>
    <row r="687">
      <c r="C687" s="79"/>
      <c r="D687" s="79"/>
      <c r="E687" s="79"/>
      <c r="O687" s="79"/>
      <c r="R687" s="79"/>
      <c r="S687" s="79"/>
      <c r="X687" s="79"/>
      <c r="AD687" s="130"/>
      <c r="AF687" s="106"/>
    </row>
    <row r="688">
      <c r="C688" s="79"/>
      <c r="D688" s="79"/>
      <c r="E688" s="79"/>
      <c r="O688" s="79"/>
      <c r="R688" s="79"/>
      <c r="S688" s="79"/>
      <c r="X688" s="79"/>
      <c r="AD688" s="130"/>
      <c r="AF688" s="106"/>
    </row>
    <row r="689">
      <c r="C689" s="79"/>
      <c r="D689" s="79"/>
      <c r="E689" s="79"/>
      <c r="O689" s="79"/>
      <c r="R689" s="79"/>
      <c r="S689" s="79"/>
      <c r="X689" s="79"/>
      <c r="AD689" s="130"/>
      <c r="AF689" s="106"/>
    </row>
    <row r="690">
      <c r="C690" s="79"/>
      <c r="D690" s="79"/>
      <c r="E690" s="79"/>
      <c r="O690" s="79"/>
      <c r="R690" s="79"/>
      <c r="S690" s="79"/>
      <c r="X690" s="79"/>
      <c r="AD690" s="130"/>
      <c r="AF690" s="106"/>
    </row>
    <row r="691">
      <c r="C691" s="79"/>
      <c r="D691" s="79"/>
      <c r="E691" s="79"/>
      <c r="O691" s="79"/>
      <c r="R691" s="79"/>
      <c r="S691" s="79"/>
      <c r="X691" s="79"/>
      <c r="AD691" s="130"/>
      <c r="AF691" s="106"/>
    </row>
    <row r="692">
      <c r="C692" s="79"/>
      <c r="D692" s="79"/>
      <c r="E692" s="79"/>
      <c r="O692" s="79"/>
      <c r="R692" s="79"/>
      <c r="S692" s="79"/>
      <c r="X692" s="79"/>
      <c r="AD692" s="130"/>
      <c r="AF692" s="106"/>
    </row>
    <row r="693">
      <c r="C693" s="79"/>
      <c r="D693" s="79"/>
      <c r="E693" s="79"/>
      <c r="O693" s="79"/>
      <c r="R693" s="79"/>
      <c r="S693" s="79"/>
      <c r="X693" s="79"/>
      <c r="AD693" s="130"/>
      <c r="AF693" s="106"/>
    </row>
    <row r="694">
      <c r="C694" s="79"/>
      <c r="D694" s="79"/>
      <c r="E694" s="79"/>
      <c r="O694" s="79"/>
      <c r="R694" s="79"/>
      <c r="S694" s="79"/>
      <c r="X694" s="79"/>
      <c r="AD694" s="130"/>
      <c r="AF694" s="106"/>
    </row>
    <row r="695">
      <c r="C695" s="79"/>
      <c r="D695" s="79"/>
      <c r="E695" s="79"/>
      <c r="O695" s="79"/>
      <c r="R695" s="79"/>
      <c r="S695" s="79"/>
      <c r="X695" s="79"/>
      <c r="AD695" s="130"/>
      <c r="AF695" s="106"/>
    </row>
    <row r="696">
      <c r="C696" s="79"/>
      <c r="D696" s="79"/>
      <c r="E696" s="79"/>
      <c r="O696" s="79"/>
      <c r="R696" s="79"/>
      <c r="S696" s="79"/>
      <c r="X696" s="79"/>
      <c r="AD696" s="130"/>
      <c r="AF696" s="106"/>
    </row>
    <row r="697">
      <c r="C697" s="79"/>
      <c r="D697" s="79"/>
      <c r="E697" s="79"/>
      <c r="O697" s="79"/>
      <c r="R697" s="79"/>
      <c r="S697" s="79"/>
      <c r="X697" s="79"/>
      <c r="AD697" s="130"/>
      <c r="AF697" s="106"/>
    </row>
    <row r="698">
      <c r="C698" s="79"/>
      <c r="D698" s="79"/>
      <c r="E698" s="79"/>
      <c r="O698" s="79"/>
      <c r="R698" s="79"/>
      <c r="S698" s="79"/>
      <c r="X698" s="79"/>
      <c r="AD698" s="130"/>
      <c r="AF698" s="106"/>
    </row>
    <row r="699">
      <c r="C699" s="79"/>
      <c r="D699" s="79"/>
      <c r="E699" s="79"/>
      <c r="O699" s="79"/>
      <c r="R699" s="79"/>
      <c r="S699" s="79"/>
      <c r="X699" s="79"/>
      <c r="AD699" s="130"/>
      <c r="AF699" s="106"/>
    </row>
    <row r="700">
      <c r="C700" s="79"/>
      <c r="D700" s="79"/>
      <c r="E700" s="79"/>
      <c r="O700" s="79"/>
      <c r="R700" s="79"/>
      <c r="S700" s="79"/>
      <c r="X700" s="79"/>
      <c r="AD700" s="130"/>
      <c r="AF700" s="106"/>
    </row>
    <row r="701">
      <c r="C701" s="79"/>
      <c r="D701" s="79"/>
      <c r="E701" s="79"/>
      <c r="O701" s="79"/>
      <c r="R701" s="79"/>
      <c r="S701" s="79"/>
      <c r="X701" s="79"/>
      <c r="AD701" s="130"/>
      <c r="AF701" s="106"/>
    </row>
    <row r="702">
      <c r="C702" s="79"/>
      <c r="D702" s="79"/>
      <c r="E702" s="79"/>
      <c r="O702" s="79"/>
      <c r="R702" s="79"/>
      <c r="S702" s="79"/>
      <c r="X702" s="79"/>
      <c r="AD702" s="130"/>
      <c r="AF702" s="106"/>
    </row>
    <row r="703">
      <c r="C703" s="79"/>
      <c r="D703" s="79"/>
      <c r="E703" s="79"/>
      <c r="O703" s="79"/>
      <c r="R703" s="79"/>
      <c r="S703" s="79"/>
      <c r="X703" s="79"/>
      <c r="AD703" s="130"/>
      <c r="AF703" s="106"/>
    </row>
    <row r="704">
      <c r="C704" s="79"/>
      <c r="D704" s="79"/>
      <c r="E704" s="79"/>
      <c r="O704" s="79"/>
      <c r="R704" s="79"/>
      <c r="S704" s="79"/>
      <c r="X704" s="79"/>
      <c r="AD704" s="130"/>
      <c r="AF704" s="106"/>
    </row>
    <row r="705">
      <c r="C705" s="79"/>
      <c r="D705" s="79"/>
      <c r="E705" s="79"/>
      <c r="O705" s="79"/>
      <c r="R705" s="79"/>
      <c r="S705" s="79"/>
      <c r="X705" s="79"/>
      <c r="AD705" s="130"/>
      <c r="AF705" s="106"/>
    </row>
    <row r="706">
      <c r="C706" s="79"/>
      <c r="D706" s="79"/>
      <c r="E706" s="79"/>
      <c r="O706" s="79"/>
      <c r="R706" s="79"/>
      <c r="S706" s="79"/>
      <c r="X706" s="79"/>
      <c r="AD706" s="130"/>
      <c r="AF706" s="106"/>
    </row>
    <row r="707">
      <c r="C707" s="79"/>
      <c r="D707" s="79"/>
      <c r="E707" s="79"/>
      <c r="O707" s="79"/>
      <c r="R707" s="79"/>
      <c r="S707" s="79"/>
      <c r="X707" s="79"/>
      <c r="AD707" s="130"/>
      <c r="AF707" s="106"/>
    </row>
    <row r="708">
      <c r="C708" s="79"/>
      <c r="D708" s="79"/>
      <c r="E708" s="79"/>
      <c r="O708" s="79"/>
      <c r="R708" s="79"/>
      <c r="S708" s="79"/>
      <c r="X708" s="79"/>
      <c r="AD708" s="130"/>
      <c r="AF708" s="106"/>
    </row>
    <row r="709">
      <c r="C709" s="79"/>
      <c r="D709" s="79"/>
      <c r="E709" s="79"/>
      <c r="O709" s="79"/>
      <c r="R709" s="79"/>
      <c r="S709" s="79"/>
      <c r="X709" s="79"/>
      <c r="AD709" s="130"/>
      <c r="AF709" s="106"/>
    </row>
    <row r="710">
      <c r="C710" s="79"/>
      <c r="D710" s="79"/>
      <c r="E710" s="79"/>
      <c r="O710" s="79"/>
      <c r="R710" s="79"/>
      <c r="S710" s="79"/>
      <c r="X710" s="79"/>
      <c r="AD710" s="130"/>
      <c r="AF710" s="106"/>
    </row>
    <row r="711">
      <c r="C711" s="79"/>
      <c r="D711" s="79"/>
      <c r="E711" s="79"/>
      <c r="O711" s="79"/>
      <c r="R711" s="79"/>
      <c r="S711" s="79"/>
      <c r="X711" s="79"/>
      <c r="AD711" s="130"/>
      <c r="AF711" s="106"/>
    </row>
    <row r="712">
      <c r="C712" s="79"/>
      <c r="D712" s="79"/>
      <c r="E712" s="79"/>
      <c r="O712" s="79"/>
      <c r="R712" s="79"/>
      <c r="S712" s="79"/>
      <c r="X712" s="79"/>
      <c r="AD712" s="130"/>
      <c r="AF712" s="106"/>
    </row>
    <row r="713">
      <c r="C713" s="79"/>
      <c r="D713" s="79"/>
      <c r="E713" s="79"/>
      <c r="O713" s="79"/>
      <c r="R713" s="79"/>
      <c r="S713" s="79"/>
      <c r="X713" s="79"/>
      <c r="AD713" s="130"/>
      <c r="AF713" s="106"/>
    </row>
    <row r="714">
      <c r="C714" s="79"/>
      <c r="D714" s="79"/>
      <c r="E714" s="79"/>
      <c r="O714" s="79"/>
      <c r="R714" s="79"/>
      <c r="S714" s="79"/>
      <c r="X714" s="79"/>
      <c r="AD714" s="130"/>
      <c r="AF714" s="106"/>
    </row>
    <row r="715">
      <c r="C715" s="79"/>
      <c r="D715" s="79"/>
      <c r="E715" s="79"/>
      <c r="O715" s="79"/>
      <c r="R715" s="79"/>
      <c r="S715" s="79"/>
      <c r="X715" s="79"/>
      <c r="AD715" s="130"/>
      <c r="AF715" s="106"/>
    </row>
    <row r="716">
      <c r="C716" s="79"/>
      <c r="D716" s="79"/>
      <c r="E716" s="79"/>
      <c r="O716" s="79"/>
      <c r="R716" s="79"/>
      <c r="S716" s="79"/>
      <c r="X716" s="79"/>
      <c r="AD716" s="130"/>
      <c r="AF716" s="106"/>
    </row>
    <row r="717">
      <c r="C717" s="79"/>
      <c r="D717" s="79"/>
      <c r="E717" s="79"/>
      <c r="O717" s="79"/>
      <c r="R717" s="79"/>
      <c r="S717" s="79"/>
      <c r="X717" s="79"/>
      <c r="AD717" s="130"/>
      <c r="AF717" s="106"/>
    </row>
    <row r="718">
      <c r="C718" s="79"/>
      <c r="D718" s="79"/>
      <c r="E718" s="79"/>
      <c r="O718" s="79"/>
      <c r="R718" s="79"/>
      <c r="S718" s="79"/>
      <c r="X718" s="79"/>
      <c r="AD718" s="130"/>
      <c r="AF718" s="106"/>
    </row>
    <row r="719">
      <c r="C719" s="79"/>
      <c r="D719" s="79"/>
      <c r="E719" s="79"/>
      <c r="O719" s="79"/>
      <c r="R719" s="79"/>
      <c r="S719" s="79"/>
      <c r="X719" s="79"/>
      <c r="AD719" s="130"/>
      <c r="AF719" s="106"/>
    </row>
    <row r="720">
      <c r="C720" s="79"/>
      <c r="D720" s="79"/>
      <c r="E720" s="79"/>
      <c r="O720" s="79"/>
      <c r="R720" s="79"/>
      <c r="S720" s="79"/>
      <c r="X720" s="79"/>
      <c r="AD720" s="130"/>
      <c r="AF720" s="106"/>
    </row>
    <row r="721">
      <c r="C721" s="79"/>
      <c r="D721" s="79"/>
      <c r="E721" s="79"/>
      <c r="O721" s="79"/>
      <c r="R721" s="79"/>
      <c r="S721" s="79"/>
      <c r="X721" s="79"/>
      <c r="AD721" s="130"/>
      <c r="AF721" s="106"/>
    </row>
    <row r="722">
      <c r="C722" s="79"/>
      <c r="D722" s="79"/>
      <c r="E722" s="79"/>
      <c r="O722" s="79"/>
      <c r="R722" s="79"/>
      <c r="S722" s="79"/>
      <c r="X722" s="79"/>
      <c r="AD722" s="130"/>
      <c r="AF722" s="106"/>
    </row>
    <row r="723">
      <c r="C723" s="79"/>
      <c r="D723" s="79"/>
      <c r="E723" s="79"/>
      <c r="O723" s="79"/>
      <c r="R723" s="79"/>
      <c r="S723" s="79"/>
      <c r="X723" s="79"/>
      <c r="AD723" s="130"/>
      <c r="AF723" s="106"/>
    </row>
    <row r="724">
      <c r="C724" s="79"/>
      <c r="D724" s="79"/>
      <c r="E724" s="79"/>
      <c r="O724" s="79"/>
      <c r="R724" s="79"/>
      <c r="S724" s="79"/>
      <c r="X724" s="79"/>
      <c r="AD724" s="130"/>
      <c r="AF724" s="106"/>
    </row>
    <row r="725">
      <c r="C725" s="79"/>
      <c r="D725" s="79"/>
      <c r="E725" s="79"/>
      <c r="O725" s="79"/>
      <c r="R725" s="79"/>
      <c r="S725" s="79"/>
      <c r="X725" s="79"/>
      <c r="AD725" s="130"/>
      <c r="AF725" s="106"/>
    </row>
    <row r="726">
      <c r="C726" s="79"/>
      <c r="D726" s="79"/>
      <c r="E726" s="79"/>
      <c r="O726" s="79"/>
      <c r="R726" s="79"/>
      <c r="S726" s="79"/>
      <c r="X726" s="79"/>
      <c r="AD726" s="130"/>
      <c r="AF726" s="106"/>
    </row>
    <row r="727">
      <c r="C727" s="79"/>
      <c r="D727" s="79"/>
      <c r="E727" s="79"/>
      <c r="O727" s="79"/>
      <c r="R727" s="79"/>
      <c r="S727" s="79"/>
      <c r="X727" s="79"/>
      <c r="AD727" s="130"/>
      <c r="AF727" s="106"/>
    </row>
    <row r="728">
      <c r="C728" s="79"/>
      <c r="D728" s="79"/>
      <c r="E728" s="79"/>
      <c r="O728" s="79"/>
      <c r="R728" s="79"/>
      <c r="S728" s="79"/>
      <c r="X728" s="79"/>
      <c r="AD728" s="130"/>
      <c r="AF728" s="106"/>
    </row>
    <row r="729">
      <c r="C729" s="79"/>
      <c r="D729" s="79"/>
      <c r="E729" s="79"/>
      <c r="O729" s="79"/>
      <c r="R729" s="79"/>
      <c r="S729" s="79"/>
      <c r="X729" s="79"/>
      <c r="AD729" s="130"/>
      <c r="AF729" s="106"/>
    </row>
    <row r="730">
      <c r="C730" s="79"/>
      <c r="D730" s="79"/>
      <c r="E730" s="79"/>
      <c r="O730" s="79"/>
      <c r="R730" s="79"/>
      <c r="S730" s="79"/>
      <c r="X730" s="79"/>
      <c r="AD730" s="130"/>
      <c r="AF730" s="106"/>
    </row>
    <row r="731">
      <c r="C731" s="79"/>
      <c r="D731" s="79"/>
      <c r="E731" s="79"/>
      <c r="O731" s="79"/>
      <c r="R731" s="79"/>
      <c r="S731" s="79"/>
      <c r="X731" s="79"/>
      <c r="AD731" s="130"/>
      <c r="AF731" s="106"/>
    </row>
    <row r="732">
      <c r="C732" s="79"/>
      <c r="D732" s="79"/>
      <c r="E732" s="79"/>
      <c r="O732" s="79"/>
      <c r="R732" s="79"/>
      <c r="S732" s="79"/>
      <c r="X732" s="79"/>
      <c r="AD732" s="130"/>
      <c r="AF732" s="106"/>
    </row>
    <row r="733">
      <c r="C733" s="79"/>
      <c r="D733" s="79"/>
      <c r="E733" s="79"/>
      <c r="O733" s="79"/>
      <c r="R733" s="79"/>
      <c r="S733" s="79"/>
      <c r="X733" s="79"/>
      <c r="AD733" s="130"/>
      <c r="AF733" s="106"/>
    </row>
    <row r="734">
      <c r="C734" s="79"/>
      <c r="D734" s="79"/>
      <c r="E734" s="79"/>
      <c r="O734" s="79"/>
      <c r="R734" s="79"/>
      <c r="S734" s="79"/>
      <c r="X734" s="79"/>
      <c r="AD734" s="130"/>
      <c r="AF734" s="106"/>
    </row>
    <row r="735">
      <c r="C735" s="79"/>
      <c r="D735" s="79"/>
      <c r="E735" s="79"/>
      <c r="O735" s="79"/>
      <c r="R735" s="79"/>
      <c r="S735" s="79"/>
      <c r="X735" s="79"/>
      <c r="AD735" s="130"/>
      <c r="AF735" s="106"/>
    </row>
    <row r="736">
      <c r="C736" s="79"/>
      <c r="D736" s="79"/>
      <c r="E736" s="79"/>
      <c r="O736" s="79"/>
      <c r="R736" s="79"/>
      <c r="S736" s="79"/>
      <c r="X736" s="79"/>
      <c r="AD736" s="130"/>
      <c r="AF736" s="106"/>
    </row>
    <row r="737">
      <c r="C737" s="79"/>
      <c r="D737" s="79"/>
      <c r="E737" s="79"/>
      <c r="O737" s="79"/>
      <c r="R737" s="79"/>
      <c r="S737" s="79"/>
      <c r="X737" s="79"/>
      <c r="AD737" s="130"/>
      <c r="AF737" s="106"/>
    </row>
    <row r="738">
      <c r="C738" s="79"/>
      <c r="D738" s="79"/>
      <c r="E738" s="79"/>
      <c r="O738" s="79"/>
      <c r="R738" s="79"/>
      <c r="S738" s="79"/>
      <c r="X738" s="79"/>
      <c r="AD738" s="130"/>
      <c r="AF738" s="106"/>
    </row>
    <row r="739">
      <c r="C739" s="79"/>
      <c r="D739" s="79"/>
      <c r="E739" s="79"/>
      <c r="O739" s="79"/>
      <c r="R739" s="79"/>
      <c r="S739" s="79"/>
      <c r="X739" s="79"/>
      <c r="AD739" s="130"/>
      <c r="AF739" s="106"/>
    </row>
    <row r="740">
      <c r="C740" s="79"/>
      <c r="D740" s="79"/>
      <c r="E740" s="79"/>
      <c r="O740" s="79"/>
      <c r="R740" s="79"/>
      <c r="S740" s="79"/>
      <c r="X740" s="79"/>
      <c r="AD740" s="130"/>
      <c r="AF740" s="106"/>
    </row>
    <row r="741">
      <c r="C741" s="79"/>
      <c r="D741" s="79"/>
      <c r="E741" s="79"/>
      <c r="O741" s="79"/>
      <c r="R741" s="79"/>
      <c r="S741" s="79"/>
      <c r="X741" s="79"/>
      <c r="AD741" s="130"/>
      <c r="AF741" s="106"/>
    </row>
    <row r="742">
      <c r="C742" s="79"/>
      <c r="D742" s="79"/>
      <c r="E742" s="79"/>
      <c r="O742" s="79"/>
      <c r="R742" s="79"/>
      <c r="S742" s="79"/>
      <c r="X742" s="79"/>
      <c r="AD742" s="130"/>
      <c r="AF742" s="106"/>
    </row>
    <row r="743">
      <c r="C743" s="79"/>
      <c r="D743" s="79"/>
      <c r="E743" s="79"/>
      <c r="O743" s="79"/>
      <c r="R743" s="79"/>
      <c r="S743" s="79"/>
      <c r="X743" s="79"/>
      <c r="AD743" s="130"/>
      <c r="AF743" s="106"/>
    </row>
    <row r="744">
      <c r="C744" s="79"/>
      <c r="D744" s="79"/>
      <c r="E744" s="79"/>
      <c r="O744" s="79"/>
      <c r="R744" s="79"/>
      <c r="S744" s="79"/>
      <c r="X744" s="79"/>
      <c r="AD744" s="130"/>
      <c r="AF744" s="106"/>
    </row>
    <row r="745">
      <c r="C745" s="79"/>
      <c r="D745" s="79"/>
      <c r="E745" s="79"/>
      <c r="O745" s="79"/>
      <c r="R745" s="79"/>
      <c r="S745" s="79"/>
      <c r="X745" s="79"/>
      <c r="AD745" s="130"/>
      <c r="AF745" s="106"/>
    </row>
    <row r="746">
      <c r="C746" s="79"/>
      <c r="D746" s="79"/>
      <c r="E746" s="79"/>
      <c r="O746" s="79"/>
      <c r="R746" s="79"/>
      <c r="S746" s="79"/>
      <c r="X746" s="79"/>
      <c r="AD746" s="130"/>
      <c r="AF746" s="106"/>
    </row>
    <row r="747">
      <c r="C747" s="79"/>
      <c r="D747" s="79"/>
      <c r="E747" s="79"/>
      <c r="O747" s="79"/>
      <c r="R747" s="79"/>
      <c r="S747" s="79"/>
      <c r="X747" s="79"/>
      <c r="AD747" s="130"/>
      <c r="AF747" s="106"/>
    </row>
    <row r="748">
      <c r="C748" s="79"/>
      <c r="D748" s="79"/>
      <c r="E748" s="79"/>
      <c r="O748" s="79"/>
      <c r="R748" s="79"/>
      <c r="S748" s="79"/>
      <c r="X748" s="79"/>
      <c r="AD748" s="130"/>
      <c r="AF748" s="106"/>
    </row>
    <row r="749">
      <c r="C749" s="79"/>
      <c r="D749" s="79"/>
      <c r="E749" s="79"/>
      <c r="O749" s="79"/>
      <c r="R749" s="79"/>
      <c r="S749" s="79"/>
      <c r="X749" s="79"/>
      <c r="AD749" s="130"/>
      <c r="AF749" s="106"/>
    </row>
    <row r="750">
      <c r="C750" s="79"/>
      <c r="D750" s="79"/>
      <c r="E750" s="79"/>
      <c r="O750" s="79"/>
      <c r="R750" s="79"/>
      <c r="S750" s="79"/>
      <c r="X750" s="79"/>
      <c r="AD750" s="130"/>
      <c r="AF750" s="106"/>
    </row>
    <row r="751">
      <c r="C751" s="79"/>
      <c r="D751" s="79"/>
      <c r="E751" s="79"/>
      <c r="O751" s="79"/>
      <c r="R751" s="79"/>
      <c r="S751" s="79"/>
      <c r="X751" s="79"/>
      <c r="AD751" s="130"/>
      <c r="AF751" s="106"/>
    </row>
    <row r="752">
      <c r="C752" s="79"/>
      <c r="D752" s="79"/>
      <c r="E752" s="79"/>
      <c r="O752" s="79"/>
      <c r="R752" s="79"/>
      <c r="S752" s="79"/>
      <c r="X752" s="79"/>
      <c r="AD752" s="130"/>
      <c r="AF752" s="106"/>
    </row>
    <row r="753">
      <c r="C753" s="79"/>
      <c r="D753" s="79"/>
      <c r="E753" s="79"/>
      <c r="O753" s="79"/>
      <c r="R753" s="79"/>
      <c r="S753" s="79"/>
      <c r="X753" s="79"/>
      <c r="AD753" s="130"/>
      <c r="AF753" s="106"/>
    </row>
    <row r="754">
      <c r="C754" s="79"/>
      <c r="D754" s="79"/>
      <c r="E754" s="79"/>
      <c r="O754" s="79"/>
      <c r="R754" s="79"/>
      <c r="S754" s="79"/>
      <c r="X754" s="79"/>
      <c r="AD754" s="130"/>
      <c r="AF754" s="106"/>
    </row>
    <row r="755">
      <c r="C755" s="79"/>
      <c r="D755" s="79"/>
      <c r="E755" s="79"/>
      <c r="O755" s="79"/>
      <c r="R755" s="79"/>
      <c r="S755" s="79"/>
      <c r="X755" s="79"/>
      <c r="AD755" s="130"/>
      <c r="AF755" s="106"/>
    </row>
    <row r="756">
      <c r="C756" s="79"/>
      <c r="D756" s="79"/>
      <c r="E756" s="79"/>
      <c r="O756" s="79"/>
      <c r="R756" s="79"/>
      <c r="S756" s="79"/>
      <c r="X756" s="79"/>
      <c r="AD756" s="130"/>
      <c r="AF756" s="106"/>
    </row>
    <row r="757">
      <c r="C757" s="79"/>
      <c r="D757" s="79"/>
      <c r="E757" s="79"/>
      <c r="O757" s="79"/>
      <c r="R757" s="79"/>
      <c r="S757" s="79"/>
      <c r="X757" s="79"/>
      <c r="AD757" s="130"/>
      <c r="AF757" s="106"/>
    </row>
    <row r="758">
      <c r="C758" s="79"/>
      <c r="D758" s="79"/>
      <c r="E758" s="79"/>
      <c r="O758" s="79"/>
      <c r="R758" s="79"/>
      <c r="S758" s="79"/>
      <c r="X758" s="79"/>
      <c r="AD758" s="130"/>
      <c r="AF758" s="106"/>
    </row>
    <row r="759">
      <c r="C759" s="79"/>
      <c r="D759" s="79"/>
      <c r="E759" s="79"/>
      <c r="O759" s="79"/>
      <c r="R759" s="79"/>
      <c r="S759" s="79"/>
      <c r="X759" s="79"/>
      <c r="AD759" s="130"/>
      <c r="AF759" s="106"/>
    </row>
    <row r="760">
      <c r="C760" s="79"/>
      <c r="D760" s="79"/>
      <c r="E760" s="79"/>
      <c r="O760" s="79"/>
      <c r="R760" s="79"/>
      <c r="S760" s="79"/>
      <c r="X760" s="79"/>
      <c r="AD760" s="130"/>
      <c r="AF760" s="106"/>
    </row>
    <row r="761">
      <c r="C761" s="79"/>
      <c r="D761" s="79"/>
      <c r="E761" s="79"/>
      <c r="O761" s="79"/>
      <c r="R761" s="79"/>
      <c r="S761" s="79"/>
      <c r="X761" s="79"/>
      <c r="AD761" s="130"/>
      <c r="AF761" s="106"/>
    </row>
    <row r="762">
      <c r="C762" s="79"/>
      <c r="D762" s="79"/>
      <c r="E762" s="79"/>
      <c r="O762" s="79"/>
      <c r="R762" s="79"/>
      <c r="S762" s="79"/>
      <c r="X762" s="79"/>
      <c r="AD762" s="130"/>
      <c r="AF762" s="106"/>
    </row>
    <row r="763">
      <c r="C763" s="79"/>
      <c r="D763" s="79"/>
      <c r="E763" s="79"/>
      <c r="O763" s="79"/>
      <c r="R763" s="79"/>
      <c r="S763" s="79"/>
      <c r="X763" s="79"/>
      <c r="AD763" s="130"/>
      <c r="AF763" s="106"/>
    </row>
    <row r="764">
      <c r="C764" s="79"/>
      <c r="D764" s="79"/>
      <c r="E764" s="79"/>
      <c r="O764" s="79"/>
      <c r="R764" s="79"/>
      <c r="S764" s="79"/>
      <c r="X764" s="79"/>
      <c r="AD764" s="130"/>
      <c r="AF764" s="106"/>
    </row>
    <row r="765">
      <c r="C765" s="79"/>
      <c r="D765" s="79"/>
      <c r="E765" s="79"/>
      <c r="O765" s="79"/>
      <c r="R765" s="79"/>
      <c r="S765" s="79"/>
      <c r="X765" s="79"/>
      <c r="AD765" s="130"/>
      <c r="AF765" s="106"/>
    </row>
    <row r="766">
      <c r="C766" s="79"/>
      <c r="D766" s="79"/>
      <c r="E766" s="79"/>
      <c r="O766" s="79"/>
      <c r="R766" s="79"/>
      <c r="S766" s="79"/>
      <c r="X766" s="79"/>
      <c r="AD766" s="130"/>
      <c r="AF766" s="106"/>
    </row>
    <row r="767">
      <c r="C767" s="79"/>
      <c r="D767" s="79"/>
      <c r="E767" s="79"/>
      <c r="O767" s="79"/>
      <c r="R767" s="79"/>
      <c r="S767" s="79"/>
      <c r="X767" s="79"/>
      <c r="AD767" s="130"/>
      <c r="AF767" s="106"/>
    </row>
    <row r="768">
      <c r="C768" s="79"/>
      <c r="D768" s="79"/>
      <c r="E768" s="79"/>
      <c r="O768" s="79"/>
      <c r="R768" s="79"/>
      <c r="S768" s="79"/>
      <c r="X768" s="79"/>
      <c r="AD768" s="130"/>
      <c r="AF768" s="106"/>
    </row>
    <row r="769">
      <c r="C769" s="79"/>
      <c r="D769" s="79"/>
      <c r="E769" s="79"/>
      <c r="O769" s="79"/>
      <c r="R769" s="79"/>
      <c r="S769" s="79"/>
      <c r="X769" s="79"/>
      <c r="AD769" s="130"/>
      <c r="AF769" s="106"/>
    </row>
    <row r="770">
      <c r="C770" s="79"/>
      <c r="D770" s="79"/>
      <c r="E770" s="79"/>
      <c r="O770" s="79"/>
      <c r="R770" s="79"/>
      <c r="S770" s="79"/>
      <c r="X770" s="79"/>
      <c r="AD770" s="130"/>
      <c r="AF770" s="106"/>
    </row>
    <row r="771">
      <c r="C771" s="79"/>
      <c r="D771" s="79"/>
      <c r="E771" s="79"/>
      <c r="O771" s="79"/>
      <c r="R771" s="79"/>
      <c r="S771" s="79"/>
      <c r="X771" s="79"/>
      <c r="AD771" s="130"/>
      <c r="AF771" s="106"/>
    </row>
    <row r="772">
      <c r="C772" s="79"/>
      <c r="D772" s="79"/>
      <c r="E772" s="79"/>
      <c r="O772" s="79"/>
      <c r="R772" s="79"/>
      <c r="S772" s="79"/>
      <c r="X772" s="79"/>
      <c r="AD772" s="130"/>
      <c r="AF772" s="106"/>
    </row>
    <row r="773">
      <c r="C773" s="79"/>
      <c r="D773" s="79"/>
      <c r="E773" s="79"/>
      <c r="O773" s="79"/>
      <c r="R773" s="79"/>
      <c r="S773" s="79"/>
      <c r="X773" s="79"/>
      <c r="AD773" s="130"/>
      <c r="AF773" s="106"/>
    </row>
    <row r="774">
      <c r="C774" s="79"/>
      <c r="D774" s="79"/>
      <c r="E774" s="79"/>
      <c r="O774" s="79"/>
      <c r="R774" s="79"/>
      <c r="S774" s="79"/>
      <c r="X774" s="79"/>
      <c r="AD774" s="130"/>
      <c r="AF774" s="106"/>
    </row>
    <row r="775">
      <c r="C775" s="79"/>
      <c r="D775" s="79"/>
      <c r="E775" s="79"/>
      <c r="O775" s="79"/>
      <c r="R775" s="79"/>
      <c r="S775" s="79"/>
      <c r="X775" s="79"/>
      <c r="AD775" s="130"/>
      <c r="AF775" s="106"/>
    </row>
    <row r="776">
      <c r="C776" s="79"/>
      <c r="D776" s="79"/>
      <c r="E776" s="79"/>
      <c r="O776" s="79"/>
      <c r="R776" s="79"/>
      <c r="S776" s="79"/>
      <c r="X776" s="79"/>
      <c r="AD776" s="130"/>
      <c r="AF776" s="106"/>
    </row>
    <row r="777">
      <c r="C777" s="79"/>
      <c r="D777" s="79"/>
      <c r="E777" s="79"/>
      <c r="O777" s="79"/>
      <c r="R777" s="79"/>
      <c r="S777" s="79"/>
      <c r="X777" s="79"/>
      <c r="AD777" s="130"/>
      <c r="AF777" s="106"/>
    </row>
    <row r="778">
      <c r="C778" s="79"/>
      <c r="D778" s="79"/>
      <c r="E778" s="79"/>
      <c r="O778" s="79"/>
      <c r="R778" s="79"/>
      <c r="S778" s="79"/>
      <c r="X778" s="79"/>
      <c r="AD778" s="130"/>
      <c r="AF778" s="106"/>
    </row>
    <row r="779">
      <c r="C779" s="79"/>
      <c r="D779" s="79"/>
      <c r="E779" s="79"/>
      <c r="O779" s="79"/>
      <c r="R779" s="79"/>
      <c r="S779" s="79"/>
      <c r="X779" s="79"/>
      <c r="AD779" s="130"/>
      <c r="AF779" s="106"/>
    </row>
    <row r="780">
      <c r="C780" s="79"/>
      <c r="D780" s="79"/>
      <c r="E780" s="79"/>
      <c r="O780" s="79"/>
      <c r="R780" s="79"/>
      <c r="S780" s="79"/>
      <c r="X780" s="79"/>
      <c r="AD780" s="130"/>
      <c r="AF780" s="106"/>
    </row>
    <row r="781">
      <c r="C781" s="79"/>
      <c r="D781" s="79"/>
      <c r="E781" s="79"/>
      <c r="O781" s="79"/>
      <c r="R781" s="79"/>
      <c r="S781" s="79"/>
      <c r="X781" s="79"/>
      <c r="AD781" s="130"/>
      <c r="AF781" s="106"/>
    </row>
    <row r="782">
      <c r="C782" s="79"/>
      <c r="D782" s="79"/>
      <c r="E782" s="79"/>
      <c r="O782" s="79"/>
      <c r="R782" s="79"/>
      <c r="S782" s="79"/>
      <c r="X782" s="79"/>
      <c r="AD782" s="130"/>
      <c r="AF782" s="106"/>
    </row>
    <row r="783">
      <c r="C783" s="79"/>
      <c r="D783" s="79"/>
      <c r="E783" s="79"/>
      <c r="O783" s="79"/>
      <c r="R783" s="79"/>
      <c r="S783" s="79"/>
      <c r="X783" s="79"/>
      <c r="AD783" s="130"/>
      <c r="AF783" s="106"/>
    </row>
    <row r="784">
      <c r="C784" s="79"/>
      <c r="D784" s="79"/>
      <c r="E784" s="79"/>
      <c r="O784" s="79"/>
      <c r="R784" s="79"/>
      <c r="S784" s="79"/>
      <c r="X784" s="79"/>
      <c r="AD784" s="130"/>
      <c r="AF784" s="106"/>
    </row>
    <row r="785">
      <c r="C785" s="79"/>
      <c r="D785" s="79"/>
      <c r="E785" s="79"/>
      <c r="O785" s="79"/>
      <c r="R785" s="79"/>
      <c r="S785" s="79"/>
      <c r="X785" s="79"/>
      <c r="AD785" s="130"/>
      <c r="AF785" s="106"/>
    </row>
    <row r="786">
      <c r="C786" s="79"/>
      <c r="D786" s="79"/>
      <c r="E786" s="79"/>
      <c r="O786" s="79"/>
      <c r="R786" s="79"/>
      <c r="S786" s="79"/>
      <c r="X786" s="79"/>
      <c r="AD786" s="130"/>
      <c r="AF786" s="106"/>
    </row>
    <row r="787">
      <c r="C787" s="79"/>
      <c r="D787" s="79"/>
      <c r="E787" s="79"/>
      <c r="O787" s="79"/>
      <c r="R787" s="79"/>
      <c r="S787" s="79"/>
      <c r="X787" s="79"/>
      <c r="AD787" s="130"/>
      <c r="AF787" s="106"/>
    </row>
    <row r="788">
      <c r="C788" s="79"/>
      <c r="D788" s="79"/>
      <c r="E788" s="79"/>
      <c r="O788" s="79"/>
      <c r="R788" s="79"/>
      <c r="S788" s="79"/>
      <c r="X788" s="79"/>
      <c r="AD788" s="130"/>
      <c r="AF788" s="106"/>
    </row>
    <row r="789">
      <c r="C789" s="79"/>
      <c r="D789" s="79"/>
      <c r="E789" s="79"/>
      <c r="O789" s="79"/>
      <c r="R789" s="79"/>
      <c r="S789" s="79"/>
      <c r="X789" s="79"/>
      <c r="AD789" s="130"/>
      <c r="AF789" s="106"/>
    </row>
    <row r="790">
      <c r="C790" s="79"/>
      <c r="D790" s="79"/>
      <c r="E790" s="79"/>
      <c r="O790" s="79"/>
      <c r="R790" s="79"/>
      <c r="S790" s="79"/>
      <c r="X790" s="79"/>
      <c r="AD790" s="130"/>
      <c r="AF790" s="106"/>
    </row>
    <row r="791">
      <c r="C791" s="79"/>
      <c r="D791" s="79"/>
      <c r="E791" s="79"/>
      <c r="O791" s="79"/>
      <c r="R791" s="79"/>
      <c r="S791" s="79"/>
      <c r="X791" s="79"/>
      <c r="AD791" s="130"/>
      <c r="AF791" s="106"/>
    </row>
    <row r="792">
      <c r="C792" s="79"/>
      <c r="D792" s="79"/>
      <c r="E792" s="79"/>
      <c r="O792" s="79"/>
      <c r="R792" s="79"/>
      <c r="S792" s="79"/>
      <c r="X792" s="79"/>
      <c r="AD792" s="130"/>
      <c r="AF792" s="106"/>
    </row>
    <row r="793">
      <c r="C793" s="79"/>
      <c r="D793" s="79"/>
      <c r="E793" s="79"/>
      <c r="O793" s="79"/>
      <c r="R793" s="79"/>
      <c r="S793" s="79"/>
      <c r="X793" s="79"/>
      <c r="AD793" s="130"/>
      <c r="AF793" s="106"/>
    </row>
    <row r="794">
      <c r="C794" s="79"/>
      <c r="D794" s="79"/>
      <c r="E794" s="79"/>
      <c r="O794" s="79"/>
      <c r="R794" s="79"/>
      <c r="S794" s="79"/>
      <c r="X794" s="79"/>
      <c r="AD794" s="130"/>
      <c r="AF794" s="106"/>
    </row>
    <row r="795">
      <c r="C795" s="79"/>
      <c r="D795" s="79"/>
      <c r="E795" s="79"/>
      <c r="O795" s="79"/>
      <c r="R795" s="79"/>
      <c r="S795" s="79"/>
      <c r="X795" s="79"/>
      <c r="AD795" s="130"/>
      <c r="AF795" s="106"/>
    </row>
    <row r="796">
      <c r="C796" s="79"/>
      <c r="D796" s="79"/>
      <c r="E796" s="79"/>
      <c r="O796" s="79"/>
      <c r="R796" s="79"/>
      <c r="S796" s="79"/>
      <c r="X796" s="79"/>
      <c r="AD796" s="130"/>
      <c r="AF796" s="106"/>
    </row>
    <row r="797">
      <c r="C797" s="79"/>
      <c r="D797" s="79"/>
      <c r="E797" s="79"/>
      <c r="O797" s="79"/>
      <c r="R797" s="79"/>
      <c r="S797" s="79"/>
      <c r="X797" s="79"/>
      <c r="AD797" s="130"/>
      <c r="AF797" s="106"/>
    </row>
    <row r="798">
      <c r="C798" s="79"/>
      <c r="D798" s="79"/>
      <c r="E798" s="79"/>
      <c r="O798" s="79"/>
      <c r="R798" s="79"/>
      <c r="S798" s="79"/>
      <c r="X798" s="79"/>
      <c r="AD798" s="130"/>
      <c r="AF798" s="106"/>
    </row>
    <row r="799">
      <c r="C799" s="79"/>
      <c r="D799" s="79"/>
      <c r="E799" s="79"/>
      <c r="O799" s="79"/>
      <c r="R799" s="79"/>
      <c r="S799" s="79"/>
      <c r="X799" s="79"/>
      <c r="AD799" s="130"/>
      <c r="AF799" s="106"/>
    </row>
    <row r="800">
      <c r="C800" s="79"/>
      <c r="D800" s="79"/>
      <c r="E800" s="79"/>
      <c r="O800" s="79"/>
      <c r="R800" s="79"/>
      <c r="S800" s="79"/>
      <c r="X800" s="79"/>
      <c r="AD800" s="130"/>
      <c r="AF800" s="106"/>
    </row>
    <row r="801">
      <c r="C801" s="79"/>
      <c r="D801" s="79"/>
      <c r="E801" s="79"/>
      <c r="O801" s="79"/>
      <c r="R801" s="79"/>
      <c r="S801" s="79"/>
      <c r="X801" s="79"/>
      <c r="AD801" s="130"/>
      <c r="AF801" s="106"/>
    </row>
    <row r="802">
      <c r="C802" s="79"/>
      <c r="D802" s="79"/>
      <c r="E802" s="79"/>
      <c r="O802" s="79"/>
      <c r="R802" s="79"/>
      <c r="S802" s="79"/>
      <c r="X802" s="79"/>
      <c r="AD802" s="130"/>
      <c r="AF802" s="106"/>
    </row>
    <row r="803">
      <c r="C803" s="79"/>
      <c r="D803" s="79"/>
      <c r="E803" s="79"/>
      <c r="O803" s="79"/>
      <c r="R803" s="79"/>
      <c r="S803" s="79"/>
      <c r="X803" s="79"/>
      <c r="AD803" s="130"/>
      <c r="AF803" s="106"/>
    </row>
    <row r="804">
      <c r="C804" s="79"/>
      <c r="D804" s="79"/>
      <c r="E804" s="79"/>
      <c r="O804" s="79"/>
      <c r="R804" s="79"/>
      <c r="S804" s="79"/>
      <c r="X804" s="79"/>
      <c r="AD804" s="130"/>
      <c r="AF804" s="106"/>
    </row>
    <row r="805">
      <c r="C805" s="79"/>
      <c r="D805" s="79"/>
      <c r="E805" s="79"/>
      <c r="O805" s="79"/>
      <c r="R805" s="79"/>
      <c r="S805" s="79"/>
      <c r="X805" s="79"/>
      <c r="AD805" s="130"/>
      <c r="AF805" s="106"/>
    </row>
    <row r="806">
      <c r="C806" s="79"/>
      <c r="D806" s="79"/>
      <c r="E806" s="79"/>
      <c r="O806" s="79"/>
      <c r="R806" s="79"/>
      <c r="S806" s="79"/>
      <c r="X806" s="79"/>
      <c r="AD806" s="130"/>
      <c r="AF806" s="106"/>
    </row>
    <row r="807">
      <c r="C807" s="79"/>
      <c r="D807" s="79"/>
      <c r="E807" s="79"/>
      <c r="O807" s="79"/>
      <c r="R807" s="79"/>
      <c r="S807" s="79"/>
      <c r="X807" s="79"/>
      <c r="AD807" s="130"/>
      <c r="AF807" s="106"/>
    </row>
    <row r="808">
      <c r="C808" s="79"/>
      <c r="D808" s="79"/>
      <c r="E808" s="79"/>
      <c r="O808" s="79"/>
      <c r="R808" s="79"/>
      <c r="S808" s="79"/>
      <c r="X808" s="79"/>
      <c r="AD808" s="130"/>
      <c r="AF808" s="106"/>
    </row>
    <row r="809">
      <c r="C809" s="79"/>
      <c r="D809" s="79"/>
      <c r="E809" s="79"/>
      <c r="O809" s="79"/>
      <c r="R809" s="79"/>
      <c r="S809" s="79"/>
      <c r="X809" s="79"/>
      <c r="AD809" s="130"/>
      <c r="AF809" s="106"/>
    </row>
    <row r="810">
      <c r="C810" s="79"/>
      <c r="D810" s="79"/>
      <c r="E810" s="79"/>
      <c r="O810" s="79"/>
      <c r="R810" s="79"/>
      <c r="S810" s="79"/>
      <c r="X810" s="79"/>
      <c r="AD810" s="130"/>
      <c r="AF810" s="106"/>
    </row>
    <row r="811">
      <c r="C811" s="79"/>
      <c r="D811" s="79"/>
      <c r="E811" s="79"/>
      <c r="O811" s="79"/>
      <c r="R811" s="79"/>
      <c r="S811" s="79"/>
      <c r="X811" s="79"/>
      <c r="AD811" s="130"/>
      <c r="AF811" s="106"/>
    </row>
    <row r="812">
      <c r="C812" s="79"/>
      <c r="D812" s="79"/>
      <c r="E812" s="79"/>
      <c r="O812" s="79"/>
      <c r="R812" s="79"/>
      <c r="S812" s="79"/>
      <c r="X812" s="79"/>
      <c r="AD812" s="130"/>
      <c r="AF812" s="106"/>
    </row>
    <row r="813">
      <c r="C813" s="79"/>
      <c r="D813" s="79"/>
      <c r="E813" s="79"/>
      <c r="O813" s="79"/>
      <c r="R813" s="79"/>
      <c r="S813" s="79"/>
      <c r="X813" s="79"/>
      <c r="AD813" s="130"/>
      <c r="AF813" s="106"/>
    </row>
    <row r="814">
      <c r="C814" s="79"/>
      <c r="D814" s="79"/>
      <c r="E814" s="79"/>
      <c r="O814" s="79"/>
      <c r="R814" s="79"/>
      <c r="S814" s="79"/>
      <c r="X814" s="79"/>
      <c r="AD814" s="130"/>
      <c r="AF814" s="106"/>
    </row>
    <row r="815">
      <c r="C815" s="79"/>
      <c r="D815" s="79"/>
      <c r="E815" s="79"/>
      <c r="O815" s="79"/>
      <c r="R815" s="79"/>
      <c r="S815" s="79"/>
      <c r="X815" s="79"/>
      <c r="AD815" s="130"/>
      <c r="AF815" s="106"/>
    </row>
    <row r="816">
      <c r="C816" s="79"/>
      <c r="D816" s="79"/>
      <c r="E816" s="79"/>
      <c r="O816" s="79"/>
      <c r="R816" s="79"/>
      <c r="S816" s="79"/>
      <c r="X816" s="79"/>
      <c r="AD816" s="130"/>
      <c r="AF816" s="106"/>
    </row>
    <row r="817">
      <c r="C817" s="79"/>
      <c r="D817" s="79"/>
      <c r="E817" s="79"/>
      <c r="O817" s="79"/>
      <c r="R817" s="79"/>
      <c r="S817" s="79"/>
      <c r="X817" s="79"/>
      <c r="AD817" s="130"/>
      <c r="AF817" s="106"/>
    </row>
    <row r="818">
      <c r="C818" s="79"/>
      <c r="D818" s="79"/>
      <c r="E818" s="79"/>
      <c r="O818" s="79"/>
      <c r="R818" s="79"/>
      <c r="S818" s="79"/>
      <c r="X818" s="79"/>
      <c r="AD818" s="130"/>
      <c r="AF818" s="106"/>
    </row>
    <row r="819">
      <c r="C819" s="79"/>
      <c r="D819" s="79"/>
      <c r="E819" s="79"/>
      <c r="O819" s="79"/>
      <c r="R819" s="79"/>
      <c r="S819" s="79"/>
      <c r="X819" s="79"/>
      <c r="AD819" s="130"/>
      <c r="AF819" s="106"/>
    </row>
    <row r="820">
      <c r="C820" s="79"/>
      <c r="D820" s="79"/>
      <c r="E820" s="79"/>
      <c r="O820" s="79"/>
      <c r="R820" s="79"/>
      <c r="S820" s="79"/>
      <c r="X820" s="79"/>
      <c r="AD820" s="130"/>
      <c r="AF820" s="106"/>
    </row>
    <row r="821">
      <c r="C821" s="79"/>
      <c r="D821" s="79"/>
      <c r="E821" s="79"/>
      <c r="O821" s="79"/>
      <c r="R821" s="79"/>
      <c r="S821" s="79"/>
      <c r="X821" s="79"/>
      <c r="AD821" s="130"/>
      <c r="AF821" s="106"/>
    </row>
    <row r="822">
      <c r="C822" s="79"/>
      <c r="D822" s="79"/>
      <c r="E822" s="79"/>
      <c r="O822" s="79"/>
      <c r="R822" s="79"/>
      <c r="S822" s="79"/>
      <c r="X822" s="79"/>
      <c r="AD822" s="130"/>
      <c r="AF822" s="106"/>
    </row>
    <row r="823">
      <c r="C823" s="79"/>
      <c r="D823" s="79"/>
      <c r="E823" s="79"/>
      <c r="O823" s="79"/>
      <c r="R823" s="79"/>
      <c r="S823" s="79"/>
      <c r="X823" s="79"/>
      <c r="AD823" s="130"/>
      <c r="AF823" s="106"/>
    </row>
    <row r="824">
      <c r="C824" s="79"/>
      <c r="D824" s="79"/>
      <c r="E824" s="79"/>
      <c r="O824" s="79"/>
      <c r="R824" s="79"/>
      <c r="S824" s="79"/>
      <c r="X824" s="79"/>
      <c r="AD824" s="130"/>
      <c r="AF824" s="106"/>
    </row>
    <row r="825">
      <c r="C825" s="79"/>
      <c r="D825" s="79"/>
      <c r="E825" s="79"/>
      <c r="O825" s="79"/>
      <c r="R825" s="79"/>
      <c r="S825" s="79"/>
      <c r="X825" s="79"/>
      <c r="AD825" s="130"/>
      <c r="AF825" s="106"/>
    </row>
    <row r="826">
      <c r="C826" s="79"/>
      <c r="D826" s="79"/>
      <c r="E826" s="79"/>
      <c r="O826" s="79"/>
      <c r="R826" s="79"/>
      <c r="S826" s="79"/>
      <c r="X826" s="79"/>
      <c r="AD826" s="130"/>
      <c r="AF826" s="106"/>
    </row>
    <row r="827">
      <c r="C827" s="79"/>
      <c r="D827" s="79"/>
      <c r="E827" s="79"/>
      <c r="O827" s="79"/>
      <c r="R827" s="79"/>
      <c r="S827" s="79"/>
      <c r="X827" s="79"/>
      <c r="AD827" s="130"/>
      <c r="AF827" s="106"/>
    </row>
    <row r="828">
      <c r="C828" s="79"/>
      <c r="D828" s="79"/>
      <c r="E828" s="79"/>
      <c r="O828" s="79"/>
      <c r="R828" s="79"/>
      <c r="S828" s="79"/>
      <c r="X828" s="79"/>
      <c r="AD828" s="130"/>
      <c r="AF828" s="106"/>
    </row>
    <row r="829">
      <c r="C829" s="79"/>
      <c r="D829" s="79"/>
      <c r="E829" s="79"/>
      <c r="O829" s="79"/>
      <c r="R829" s="79"/>
      <c r="S829" s="79"/>
      <c r="X829" s="79"/>
      <c r="AD829" s="130"/>
      <c r="AF829" s="106"/>
    </row>
    <row r="830">
      <c r="C830" s="79"/>
      <c r="D830" s="79"/>
      <c r="E830" s="79"/>
      <c r="O830" s="79"/>
      <c r="R830" s="79"/>
      <c r="S830" s="79"/>
      <c r="X830" s="79"/>
      <c r="AD830" s="130"/>
      <c r="AF830" s="106"/>
    </row>
    <row r="831">
      <c r="C831" s="79"/>
      <c r="D831" s="79"/>
      <c r="E831" s="79"/>
      <c r="O831" s="79"/>
      <c r="R831" s="79"/>
      <c r="S831" s="79"/>
      <c r="X831" s="79"/>
      <c r="AD831" s="130"/>
      <c r="AF831" s="106"/>
    </row>
    <row r="832">
      <c r="C832" s="79"/>
      <c r="D832" s="79"/>
      <c r="E832" s="79"/>
      <c r="O832" s="79"/>
      <c r="R832" s="79"/>
      <c r="S832" s="79"/>
      <c r="X832" s="79"/>
      <c r="AD832" s="130"/>
      <c r="AF832" s="106"/>
    </row>
    <row r="833">
      <c r="C833" s="79"/>
      <c r="D833" s="79"/>
      <c r="E833" s="79"/>
      <c r="O833" s="79"/>
      <c r="R833" s="79"/>
      <c r="S833" s="79"/>
      <c r="X833" s="79"/>
      <c r="AD833" s="130"/>
      <c r="AF833" s="106"/>
    </row>
    <row r="834">
      <c r="C834" s="79"/>
      <c r="D834" s="79"/>
      <c r="E834" s="79"/>
      <c r="O834" s="79"/>
      <c r="R834" s="79"/>
      <c r="S834" s="79"/>
      <c r="X834" s="79"/>
      <c r="AD834" s="130"/>
      <c r="AF834" s="106"/>
    </row>
    <row r="835">
      <c r="C835" s="79"/>
      <c r="D835" s="79"/>
      <c r="E835" s="79"/>
      <c r="O835" s="79"/>
      <c r="R835" s="79"/>
      <c r="S835" s="79"/>
      <c r="X835" s="79"/>
      <c r="AD835" s="130"/>
      <c r="AF835" s="106"/>
    </row>
    <row r="836">
      <c r="C836" s="79"/>
      <c r="D836" s="79"/>
      <c r="E836" s="79"/>
      <c r="O836" s="79"/>
      <c r="R836" s="79"/>
      <c r="S836" s="79"/>
      <c r="X836" s="79"/>
      <c r="AD836" s="130"/>
      <c r="AF836" s="106"/>
    </row>
    <row r="837">
      <c r="C837" s="79"/>
      <c r="D837" s="79"/>
      <c r="E837" s="79"/>
      <c r="O837" s="79"/>
      <c r="R837" s="79"/>
      <c r="S837" s="79"/>
      <c r="X837" s="79"/>
      <c r="AD837" s="130"/>
      <c r="AF837" s="106"/>
    </row>
    <row r="838">
      <c r="C838" s="79"/>
      <c r="D838" s="79"/>
      <c r="E838" s="79"/>
      <c r="O838" s="79"/>
      <c r="R838" s="79"/>
      <c r="S838" s="79"/>
      <c r="X838" s="79"/>
      <c r="AD838" s="130"/>
      <c r="AF838" s="106"/>
    </row>
    <row r="839">
      <c r="O839" s="79"/>
      <c r="R839" s="79"/>
      <c r="S839" s="79"/>
      <c r="X839" s="79"/>
      <c r="AD839" s="130"/>
      <c r="AF839" s="106"/>
    </row>
    <row r="840">
      <c r="O840" s="79"/>
      <c r="R840" s="79"/>
      <c r="S840" s="79"/>
      <c r="X840" s="79"/>
      <c r="AD840" s="130"/>
      <c r="AF840" s="106"/>
    </row>
    <row r="841">
      <c r="O841" s="79"/>
      <c r="R841" s="79"/>
      <c r="S841" s="79"/>
      <c r="X841" s="79"/>
      <c r="AD841" s="130"/>
      <c r="AF841" s="106"/>
    </row>
    <row r="842">
      <c r="O842" s="79"/>
      <c r="R842" s="79"/>
      <c r="S842" s="79"/>
      <c r="X842" s="79"/>
      <c r="AD842" s="130"/>
      <c r="AF842" s="106"/>
    </row>
    <row r="843">
      <c r="O843" s="79"/>
      <c r="R843" s="79"/>
      <c r="S843" s="79"/>
      <c r="X843" s="79"/>
      <c r="AD843" s="130"/>
      <c r="AF843" s="106"/>
    </row>
    <row r="844">
      <c r="O844" s="79"/>
      <c r="R844" s="79"/>
      <c r="S844" s="79"/>
      <c r="X844" s="79"/>
      <c r="AD844" s="130"/>
      <c r="AF844" s="106"/>
    </row>
    <row r="845">
      <c r="O845" s="79"/>
      <c r="R845" s="79"/>
      <c r="S845" s="79"/>
      <c r="X845" s="79"/>
      <c r="AD845" s="130"/>
      <c r="AF845" s="106"/>
    </row>
    <row r="846">
      <c r="O846" s="79"/>
      <c r="R846" s="79"/>
      <c r="S846" s="79"/>
      <c r="X846" s="79"/>
      <c r="AD846" s="130"/>
      <c r="AF846" s="106"/>
    </row>
    <row r="847">
      <c r="O847" s="79"/>
      <c r="R847" s="79"/>
      <c r="S847" s="79"/>
      <c r="X847" s="79"/>
      <c r="AD847" s="130"/>
      <c r="AF847" s="106"/>
    </row>
    <row r="848">
      <c r="O848" s="79"/>
      <c r="R848" s="79"/>
      <c r="S848" s="79"/>
      <c r="X848" s="79"/>
      <c r="AD848" s="130"/>
      <c r="AF848" s="106"/>
    </row>
    <row r="849">
      <c r="O849" s="79"/>
      <c r="R849" s="79"/>
      <c r="S849" s="79"/>
      <c r="X849" s="79"/>
      <c r="AD849" s="130"/>
      <c r="AF849" s="106"/>
    </row>
    <row r="850">
      <c r="O850" s="79"/>
      <c r="R850" s="79"/>
      <c r="S850" s="79"/>
      <c r="X850" s="79"/>
      <c r="AD850" s="130"/>
      <c r="AF850" s="106"/>
    </row>
    <row r="851">
      <c r="O851" s="79"/>
      <c r="R851" s="79"/>
      <c r="S851" s="79"/>
      <c r="X851" s="79"/>
      <c r="AD851" s="130"/>
      <c r="AF851" s="106"/>
    </row>
    <row r="852">
      <c r="O852" s="79"/>
      <c r="R852" s="79"/>
      <c r="S852" s="79"/>
      <c r="X852" s="79"/>
      <c r="AD852" s="130"/>
      <c r="AF852" s="106"/>
    </row>
    <row r="853">
      <c r="O853" s="79"/>
      <c r="R853" s="79"/>
      <c r="S853" s="79"/>
      <c r="X853" s="79"/>
      <c r="AD853" s="130"/>
      <c r="AF853" s="106"/>
    </row>
  </sheetData>
  <autoFilter ref="$A$36:$F$95">
    <sortState ref="A36:F95">
      <sortCondition descending="1" sortBy="cellColor" ref="E36:E95" dxfId="1"/>
      <sortCondition descending="1" sortBy="cellColor" ref="C36:C95" dxfId="1"/>
      <sortCondition descending="1" sortBy="cellColor" ref="A36:A95" dxfId="1"/>
    </sortState>
  </autoFilter>
  <mergeCells count="2">
    <mergeCell ref="B33:E33"/>
    <mergeCell ref="H81:N81"/>
  </mergeCells>
  <conditionalFormatting sqref="H37:H49">
    <cfRule type="cellIs" dxfId="2" priority="1" operator="greaterThanOrEqual">
      <formula>1</formula>
    </cfRule>
  </conditionalFormatting>
  <conditionalFormatting sqref="H37:H49">
    <cfRule type="cellIs" dxfId="3" priority="2" operator="lessThanOrEqual">
      <formula>0</formula>
    </cfRule>
  </conditionalFormatting>
  <drawing r:id="rId2"/>
  <legacyDrawing r:id="rId3"/>
  <tableParts count="2">
    <tablePart r:id="rId6"/>
    <tablePart r:id="rId7"/>
  </tableParts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16.75"/>
    <col customWidth="1" min="3" max="3" width="27.88"/>
    <col customWidth="1" min="4" max="4" width="25.75"/>
    <col customWidth="1" min="5" max="5" width="20.88"/>
    <col customWidth="1" min="6" max="6" width="34.88"/>
    <col customWidth="1" min="7" max="7" width="25.13"/>
    <col customWidth="1" min="8" max="8" width="24.0"/>
    <col customWidth="1" min="9" max="10" width="15.5"/>
    <col customWidth="1" min="11" max="11" width="16.5"/>
    <col customWidth="1" min="12" max="13" width="15.5"/>
    <col customWidth="1" min="15" max="15" width="27.38"/>
    <col customWidth="1" min="16" max="16" width="11.13"/>
    <col customWidth="1" min="25" max="25" width="14.63"/>
    <col customWidth="1" min="28" max="28" width="19.88"/>
    <col customWidth="1" min="32" max="32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37</v>
      </c>
      <c r="J1" s="2" t="s">
        <v>5</v>
      </c>
      <c r="K1" s="2" t="s">
        <v>303</v>
      </c>
      <c r="L1" s="2" t="s">
        <v>6</v>
      </c>
      <c r="M1" s="2" t="s">
        <v>854</v>
      </c>
      <c r="N1" s="2" t="s">
        <v>49</v>
      </c>
      <c r="O1" s="105" t="s">
        <v>304</v>
      </c>
      <c r="P1" s="2" t="s">
        <v>10</v>
      </c>
      <c r="Q1" s="2" t="s">
        <v>42</v>
      </c>
      <c r="R1" s="105" t="s">
        <v>656</v>
      </c>
      <c r="S1" s="105" t="s">
        <v>9</v>
      </c>
      <c r="T1" s="2" t="s">
        <v>164</v>
      </c>
      <c r="U1" s="105" t="s">
        <v>40</v>
      </c>
      <c r="V1" s="2" t="s">
        <v>83</v>
      </c>
      <c r="W1" s="2" t="s">
        <v>204</v>
      </c>
      <c r="X1" s="105" t="s">
        <v>205</v>
      </c>
      <c r="Y1" s="2" t="s">
        <v>206</v>
      </c>
      <c r="Z1" s="2" t="s">
        <v>305</v>
      </c>
      <c r="AA1" s="2" t="s">
        <v>846</v>
      </c>
      <c r="AB1" s="3" t="s">
        <v>828</v>
      </c>
      <c r="AC1" s="3" t="s">
        <v>13</v>
      </c>
      <c r="AD1" s="3" t="s">
        <v>14</v>
      </c>
      <c r="AE1" s="3" t="s">
        <v>15</v>
      </c>
      <c r="AF1" s="106"/>
      <c r="AG1" s="265" t="s">
        <v>306</v>
      </c>
      <c r="AH1" s="266" t="s">
        <v>80</v>
      </c>
    </row>
    <row r="2">
      <c r="A2" s="74">
        <v>45684.0</v>
      </c>
      <c r="B2" s="93"/>
      <c r="C2" s="93"/>
      <c r="D2" s="93"/>
      <c r="E2" s="93"/>
      <c r="F2" s="93"/>
      <c r="G2" s="93">
        <v>180.0</v>
      </c>
      <c r="H2" s="93"/>
      <c r="I2" s="93"/>
      <c r="J2" s="374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250">
        <v>262.0</v>
      </c>
      <c r="AA2" s="93">
        <v>290.0</v>
      </c>
      <c r="AB2" s="386"/>
      <c r="AC2" s="107">
        <f>SUM(B2:Z2)</f>
        <v>442</v>
      </c>
      <c r="AD2" s="158">
        <v>0.0</v>
      </c>
      <c r="AE2" s="59" t="str">
        <f t="shared" ref="AE2:AE8" si="1">AC2/AD2</f>
        <v>#DIV/0!</v>
      </c>
      <c r="AF2" s="109">
        <f t="shared" ref="AF2:AF8" si="2">A2</f>
        <v>45684</v>
      </c>
      <c r="AG2" s="267"/>
      <c r="AH2" s="268">
        <f t="shared" ref="AH2:AH8" si="3">AD2-AG2</f>
        <v>0</v>
      </c>
    </row>
    <row r="3">
      <c r="A3" s="74">
        <f t="shared" ref="A3:A8" si="4">A2+1</f>
        <v>45685</v>
      </c>
      <c r="B3" s="93">
        <f>1556.24-38.85-32.8-41.94-15.92-15.58-32.89-90-385.55</f>
        <v>902.71</v>
      </c>
      <c r="C3" s="93">
        <f>559.6-9.2-23-26-84.7</f>
        <v>416.7</v>
      </c>
      <c r="D3" s="93">
        <f>458.1-245.6</f>
        <v>212.5</v>
      </c>
      <c r="E3" s="93"/>
      <c r="F3" s="93"/>
      <c r="G3" s="93"/>
      <c r="H3" s="168"/>
      <c r="I3" s="93"/>
      <c r="J3" s="93">
        <f>1485.13-99</f>
        <v>1386.13</v>
      </c>
      <c r="K3" s="93"/>
      <c r="L3" s="93"/>
      <c r="M3" s="93"/>
      <c r="N3" s="93">
        <v>486.0</v>
      </c>
      <c r="O3" s="93"/>
      <c r="P3" s="93"/>
      <c r="Q3" s="93"/>
      <c r="R3" s="93"/>
      <c r="S3" s="93"/>
      <c r="T3" s="79"/>
      <c r="U3" s="93"/>
      <c r="V3" s="93"/>
      <c r="W3" s="93"/>
      <c r="X3" s="93"/>
      <c r="Y3" s="93"/>
      <c r="Z3" s="326"/>
      <c r="AA3" s="326"/>
      <c r="AB3" s="326"/>
      <c r="AC3" s="107">
        <f t="shared" ref="AC3:AC8" si="5">SUM(B3:Y3)</f>
        <v>3404.04</v>
      </c>
      <c r="AD3" s="158">
        <v>9610.0</v>
      </c>
      <c r="AE3" s="59">
        <f t="shared" si="1"/>
        <v>0.3542185224</v>
      </c>
      <c r="AF3" s="109">
        <f t="shared" si="2"/>
        <v>45685</v>
      </c>
      <c r="AG3" s="267"/>
      <c r="AH3" s="268">
        <f t="shared" si="3"/>
        <v>9610</v>
      </c>
    </row>
    <row r="4">
      <c r="A4" s="74">
        <f t="shared" si="4"/>
        <v>45686</v>
      </c>
      <c r="B4" s="93">
        <f>960.91-18.16-26.53-102.3-45.65-47.2-12.78-62.67-52.86-14.29-20.44-13.42</f>
        <v>544.61</v>
      </c>
      <c r="C4" s="93">
        <v>90.5</v>
      </c>
      <c r="D4" s="93">
        <f>330.8-62.7</f>
        <v>268.1</v>
      </c>
      <c r="E4" s="93"/>
      <c r="F4" s="93"/>
      <c r="G4" s="93"/>
      <c r="H4" s="168"/>
      <c r="I4" s="93"/>
      <c r="J4" s="93"/>
      <c r="K4" s="93"/>
      <c r="L4" s="93"/>
      <c r="M4" s="93"/>
      <c r="N4" s="93"/>
      <c r="O4" s="93"/>
      <c r="P4" s="93">
        <v>167.7</v>
      </c>
      <c r="Q4" s="93"/>
      <c r="R4" s="93"/>
      <c r="S4" s="93"/>
      <c r="T4" s="93">
        <v>252.0</v>
      </c>
      <c r="U4" s="93"/>
      <c r="V4" s="93"/>
      <c r="W4" s="93"/>
      <c r="X4" s="93"/>
      <c r="Y4" s="101"/>
      <c r="Z4" s="326"/>
      <c r="AA4" s="326"/>
      <c r="AB4" s="326"/>
      <c r="AC4" s="107">
        <f t="shared" si="5"/>
        <v>1322.91</v>
      </c>
      <c r="AD4" s="158">
        <v>8840.0</v>
      </c>
      <c r="AE4" s="59">
        <f t="shared" si="1"/>
        <v>0.1496504525</v>
      </c>
      <c r="AF4" s="109">
        <f t="shared" si="2"/>
        <v>45686</v>
      </c>
      <c r="AG4" s="267"/>
      <c r="AH4" s="268">
        <f t="shared" si="3"/>
        <v>8840</v>
      </c>
    </row>
    <row r="5">
      <c r="A5" s="74">
        <f t="shared" si="4"/>
        <v>45687</v>
      </c>
      <c r="B5" s="93">
        <f>932.27-33.99-28.49-22.4-8.24-72.48-8.52-34.36</f>
        <v>723.79</v>
      </c>
      <c r="C5" s="93">
        <f>240.7-43.5-84.7</f>
        <v>112.5</v>
      </c>
      <c r="D5" s="93">
        <f>1519.49-1304.58</f>
        <v>214.91</v>
      </c>
      <c r="E5" s="93"/>
      <c r="F5" s="166"/>
      <c r="G5" s="93">
        <v>180.0</v>
      </c>
      <c r="I5" s="160"/>
      <c r="J5" s="93">
        <v>946.0</v>
      </c>
      <c r="K5" s="93"/>
      <c r="L5" s="93"/>
      <c r="M5" s="93"/>
      <c r="N5" s="93">
        <v>324.0</v>
      </c>
      <c r="O5" s="93"/>
      <c r="P5" s="93"/>
      <c r="Q5" s="93"/>
      <c r="R5" s="93"/>
      <c r="S5" s="93"/>
      <c r="T5" s="93"/>
      <c r="U5" s="93"/>
      <c r="V5" s="93"/>
      <c r="W5" s="93"/>
      <c r="X5" s="101"/>
      <c r="Y5" s="101"/>
      <c r="Z5" s="327"/>
      <c r="AA5" s="327"/>
      <c r="AB5" s="93">
        <f>330.5*5</f>
        <v>1652.5</v>
      </c>
      <c r="AC5" s="7">
        <f t="shared" si="5"/>
        <v>2501.2</v>
      </c>
      <c r="AD5" s="380">
        <v>8125.0</v>
      </c>
      <c r="AE5" s="59">
        <f t="shared" si="1"/>
        <v>0.30784</v>
      </c>
      <c r="AF5" s="109">
        <f t="shared" si="2"/>
        <v>45687</v>
      </c>
      <c r="AG5" s="267"/>
      <c r="AH5" s="268">
        <f t="shared" si="3"/>
        <v>8125</v>
      </c>
    </row>
    <row r="6">
      <c r="A6" s="74">
        <f t="shared" si="4"/>
        <v>45688</v>
      </c>
      <c r="B6" s="93">
        <f>552.12-30.57-120.8-9.57-11.51-14.47-36.42</f>
        <v>328.78</v>
      </c>
      <c r="C6" s="93">
        <v>357.91</v>
      </c>
      <c r="D6" s="93"/>
      <c r="E6" s="93"/>
      <c r="F6" s="79"/>
      <c r="G6" s="93"/>
      <c r="H6" s="160"/>
      <c r="I6" s="93"/>
      <c r="J6" s="93"/>
      <c r="K6" s="93"/>
      <c r="L6" s="93"/>
      <c r="M6" s="93"/>
      <c r="N6" s="93"/>
      <c r="O6" s="93"/>
      <c r="P6" s="93"/>
      <c r="Q6" s="93"/>
      <c r="R6" s="93"/>
      <c r="S6" s="374"/>
      <c r="T6" s="93"/>
      <c r="U6" s="93"/>
      <c r="V6" s="93"/>
      <c r="W6" s="93"/>
      <c r="X6" s="93"/>
      <c r="Y6" s="93"/>
      <c r="Z6" s="327"/>
      <c r="AA6" s="327"/>
      <c r="AB6" s="327"/>
      <c r="AC6" s="7">
        <f t="shared" si="5"/>
        <v>686.69</v>
      </c>
      <c r="AD6" s="380">
        <v>14050.0</v>
      </c>
      <c r="AE6" s="59">
        <f t="shared" si="1"/>
        <v>0.0488747331</v>
      </c>
      <c r="AF6" s="109">
        <f t="shared" si="2"/>
        <v>45688</v>
      </c>
      <c r="AG6" s="267"/>
      <c r="AH6" s="268">
        <f t="shared" si="3"/>
        <v>14050</v>
      </c>
    </row>
    <row r="7">
      <c r="A7" s="74">
        <f t="shared" si="4"/>
        <v>45689</v>
      </c>
      <c r="B7" s="93">
        <f>267.15-18.74-13.88-66.68-51</f>
        <v>116.85</v>
      </c>
      <c r="C7" s="361">
        <v>47.3</v>
      </c>
      <c r="D7" s="93">
        <f>292.55-105.3-125.4</f>
        <v>61.85</v>
      </c>
      <c r="E7" s="79"/>
      <c r="F7" s="93"/>
      <c r="G7" s="93">
        <v>180.0</v>
      </c>
      <c r="H7" s="79"/>
      <c r="I7" s="93"/>
      <c r="J7" s="93"/>
      <c r="K7" s="93"/>
      <c r="L7" s="93"/>
      <c r="M7" s="93"/>
      <c r="N7" s="93"/>
      <c r="O7" s="93"/>
      <c r="P7" s="93"/>
      <c r="Q7" s="93"/>
      <c r="R7" s="101"/>
      <c r="S7" s="93"/>
      <c r="T7" s="93"/>
      <c r="U7" s="93"/>
      <c r="V7" s="93"/>
      <c r="W7" s="93"/>
      <c r="X7" s="101"/>
      <c r="Y7" s="93"/>
      <c r="Z7" s="327"/>
      <c r="AA7" s="327"/>
      <c r="AB7" s="327"/>
      <c r="AC7" s="7">
        <f t="shared" si="5"/>
        <v>406</v>
      </c>
      <c r="AD7" s="380">
        <v>14475.0</v>
      </c>
      <c r="AE7" s="59">
        <f t="shared" si="1"/>
        <v>0.02804835924</v>
      </c>
      <c r="AF7" s="109">
        <f t="shared" si="2"/>
        <v>45689</v>
      </c>
      <c r="AG7" s="267"/>
      <c r="AH7" s="268">
        <f t="shared" si="3"/>
        <v>14475</v>
      </c>
    </row>
    <row r="8">
      <c r="A8" s="74">
        <f t="shared" si="4"/>
        <v>45690</v>
      </c>
      <c r="B8" s="93"/>
      <c r="C8" s="374"/>
      <c r="D8" s="180">
        <f>1459.9-300</f>
        <v>1159.9</v>
      </c>
      <c r="E8" s="374"/>
      <c r="F8" s="374"/>
      <c r="G8" s="112"/>
      <c r="H8" s="93"/>
      <c r="I8" s="344">
        <v>787.5</v>
      </c>
      <c r="J8" s="402"/>
      <c r="K8" s="93"/>
      <c r="L8" s="112"/>
      <c r="M8" s="344">
        <f>314.82+393.89</f>
        <v>708.71</v>
      </c>
      <c r="N8" s="344">
        <v>243.0</v>
      </c>
      <c r="O8" s="93"/>
      <c r="P8" s="93"/>
      <c r="Q8" s="374"/>
      <c r="R8" s="101"/>
      <c r="S8" s="93"/>
      <c r="T8" s="374"/>
      <c r="U8" s="112"/>
      <c r="V8" s="112"/>
      <c r="W8" s="112"/>
      <c r="X8" s="112"/>
      <c r="Y8" s="112"/>
      <c r="Z8" s="93"/>
      <c r="AA8" s="433"/>
      <c r="AB8" s="616"/>
      <c r="AC8" s="7">
        <f t="shared" si="5"/>
        <v>2899.11</v>
      </c>
      <c r="AD8" s="380">
        <v>0.0</v>
      </c>
      <c r="AE8" s="59" t="str">
        <f t="shared" si="1"/>
        <v>#DIV/0!</v>
      </c>
      <c r="AF8" s="109">
        <f t="shared" si="2"/>
        <v>45690</v>
      </c>
      <c r="AG8" s="267"/>
      <c r="AH8" s="268">
        <f t="shared" si="3"/>
        <v>0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D9" s="129"/>
      <c r="AF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D10" s="129"/>
      <c r="AF10" s="106"/>
    </row>
    <row r="11">
      <c r="A11" s="165" t="s">
        <v>194</v>
      </c>
      <c r="B11" s="93">
        <f>32.89+32.8+41.94+15.92+15.58+90+18.16+26.53+102.3+8.87+12.78+14.29+20.44+13.41+33.99+28.49+72.48+8.52+30.57+120.8+9.57+11.51+14.47+18.74+51</f>
        <v>846.05</v>
      </c>
      <c r="C11" s="93">
        <f>9.2+23+26</f>
        <v>58.2</v>
      </c>
      <c r="D11" s="93">
        <f>245.6+300</f>
        <v>545.6</v>
      </c>
      <c r="E11" s="167"/>
      <c r="F11" s="168"/>
      <c r="G11" s="168"/>
      <c r="H11" s="93"/>
      <c r="I11" s="166"/>
      <c r="J11" s="93"/>
      <c r="K11" s="168"/>
      <c r="L11" s="93"/>
      <c r="M11" s="93"/>
      <c r="N11" s="93"/>
      <c r="O11" s="168"/>
      <c r="P11" s="168"/>
      <c r="Q11" s="168"/>
      <c r="R11" s="168"/>
      <c r="S11" s="168"/>
      <c r="T11" s="168"/>
      <c r="U11" s="168"/>
      <c r="V11" s="1"/>
      <c r="W11" s="168"/>
      <c r="X11" s="168"/>
      <c r="Y11" s="1"/>
      <c r="Z11" s="93"/>
      <c r="AA11" s="1"/>
      <c r="AB11" s="1"/>
      <c r="AC11" s="1"/>
      <c r="AD11" s="169"/>
      <c r="AE11" s="1"/>
      <c r="AF11" s="170"/>
    </row>
    <row r="12">
      <c r="A12" s="165" t="s">
        <v>195</v>
      </c>
      <c r="B12" s="93">
        <f>38.85+385.55+45.65+47.2+62.67+52.86+34.36+13.88+66.68</f>
        <v>747.7</v>
      </c>
      <c r="C12" s="93">
        <f>84.7+84.7</f>
        <v>169.4</v>
      </c>
      <c r="D12" s="93"/>
      <c r="E12" s="93"/>
      <c r="F12" s="374"/>
      <c r="G12" s="93"/>
      <c r="H12" s="79"/>
      <c r="I12" s="93"/>
      <c r="J12" s="93">
        <v>99.0</v>
      </c>
      <c r="K12" s="79"/>
      <c r="L12" s="93"/>
      <c r="M12" s="93"/>
      <c r="N12" s="93">
        <f>72+78</f>
        <v>150</v>
      </c>
      <c r="O12" s="168"/>
      <c r="P12" s="93"/>
      <c r="Q12" s="166"/>
      <c r="R12" s="93"/>
      <c r="S12" s="166"/>
      <c r="T12" s="168"/>
      <c r="U12" s="168"/>
      <c r="V12" s="1"/>
      <c r="W12" s="93"/>
      <c r="X12" s="168"/>
      <c r="Y12" s="1"/>
      <c r="Z12" s="1"/>
      <c r="AA12" s="192"/>
      <c r="AB12" s="1"/>
      <c r="AC12" s="1"/>
      <c r="AD12" s="171"/>
      <c r="AE12" s="1"/>
      <c r="AF12" s="170"/>
    </row>
    <row r="13">
      <c r="A13" s="172" t="s">
        <v>198</v>
      </c>
      <c r="B13" s="93">
        <v>36.42</v>
      </c>
      <c r="C13" s="348"/>
      <c r="D13" s="93"/>
      <c r="E13" s="168"/>
      <c r="F13" s="166"/>
      <c r="G13" s="166"/>
      <c r="H13" s="168"/>
      <c r="I13" s="168"/>
      <c r="J13" s="93"/>
      <c r="K13" s="168"/>
      <c r="L13" s="168"/>
      <c r="M13" s="168"/>
      <c r="N13" s="93"/>
      <c r="O13" s="168"/>
      <c r="P13" s="93"/>
      <c r="Q13" s="168"/>
      <c r="R13" s="168"/>
      <c r="S13" s="168"/>
      <c r="T13" s="1"/>
      <c r="U13" s="1"/>
      <c r="V13" s="1"/>
      <c r="W13" s="168"/>
      <c r="X13" s="168"/>
      <c r="Y13" s="1"/>
      <c r="Z13" s="1"/>
      <c r="AA13" s="1"/>
      <c r="AB13" s="1"/>
      <c r="AC13" s="1"/>
      <c r="AD13" s="174"/>
      <c r="AE13" s="1"/>
      <c r="AF13" s="170"/>
    </row>
    <row r="14">
      <c r="A14" s="91"/>
      <c r="B14" s="375"/>
      <c r="C14" s="79"/>
      <c r="D14" s="79"/>
      <c r="E14" s="79"/>
      <c r="F14" s="78"/>
      <c r="G14" s="78"/>
      <c r="H14" s="79"/>
      <c r="I14" s="78"/>
      <c r="J14" s="79"/>
      <c r="K14" s="79"/>
      <c r="L14" s="79"/>
      <c r="M14" s="79"/>
      <c r="N14" s="79"/>
      <c r="O14" s="79"/>
      <c r="Q14" s="79"/>
      <c r="R14" s="79"/>
      <c r="S14" s="198"/>
      <c r="T14" s="198"/>
      <c r="X14" s="79"/>
      <c r="AD14" s="131"/>
      <c r="AF14" s="106"/>
    </row>
    <row r="15">
      <c r="A15" s="91"/>
      <c r="B15" s="375"/>
      <c r="C15" s="79"/>
      <c r="D15" s="78"/>
      <c r="E15" s="78"/>
      <c r="F15" s="205"/>
      <c r="G15" s="351"/>
      <c r="H15" s="192"/>
      <c r="I15" s="198"/>
      <c r="J15" s="201"/>
      <c r="K15" s="199"/>
      <c r="L15" s="199"/>
      <c r="M15" s="200"/>
      <c r="N15" s="202"/>
      <c r="O15" s="198"/>
      <c r="Q15" s="198"/>
      <c r="R15" s="79"/>
      <c r="S15" s="198"/>
      <c r="T15" s="198"/>
      <c r="U15" s="198"/>
      <c r="V15" s="198"/>
      <c r="W15" s="199"/>
      <c r="X15" s="79"/>
      <c r="AD15" s="131"/>
      <c r="AF15" s="106"/>
    </row>
    <row r="16">
      <c r="A16" s="4" t="s">
        <v>22</v>
      </c>
      <c r="B16" s="11">
        <v>11500.0</v>
      </c>
      <c r="C16" s="79"/>
      <c r="D16" s="78"/>
      <c r="E16" s="78"/>
      <c r="F16" s="587"/>
      <c r="G16" s="175"/>
      <c r="H16" s="192"/>
      <c r="I16" s="203"/>
      <c r="J16" s="203"/>
      <c r="K16" s="203"/>
      <c r="L16" s="203"/>
      <c r="M16" s="198"/>
      <c r="N16" s="200"/>
      <c r="O16" s="198"/>
      <c r="Q16" s="203"/>
      <c r="R16" s="427"/>
      <c r="S16" s="201"/>
      <c r="T16" s="198"/>
      <c r="U16" s="198"/>
      <c r="V16" s="198"/>
      <c r="W16" s="201"/>
      <c r="X16" s="79"/>
      <c r="AD16" s="131"/>
      <c r="AF16" s="106"/>
    </row>
    <row r="17">
      <c r="A17" s="4" t="s">
        <v>23</v>
      </c>
      <c r="B17" s="11">
        <f>SUM(B2:AB8)</f>
        <v>13604.45</v>
      </c>
      <c r="C17" s="192"/>
      <c r="D17" s="78"/>
      <c r="E17" s="78"/>
      <c r="F17" s="213"/>
      <c r="G17" s="213"/>
      <c r="H17" s="213"/>
      <c r="I17" s="175"/>
      <c r="J17" s="203"/>
      <c r="K17" s="203"/>
      <c r="L17" s="203"/>
      <c r="M17" s="201"/>
      <c r="N17" s="201"/>
      <c r="O17" s="198"/>
      <c r="Q17" s="203"/>
      <c r="R17" s="79"/>
      <c r="S17" s="201"/>
      <c r="T17" s="201"/>
      <c r="U17" s="198"/>
      <c r="V17" s="198"/>
      <c r="W17" s="191"/>
      <c r="X17" s="79"/>
      <c r="AD17" s="131"/>
      <c r="AF17" s="106"/>
    </row>
    <row r="18">
      <c r="A18" s="4" t="s">
        <v>24</v>
      </c>
      <c r="B18" s="11">
        <f> SUM(B16-B17)</f>
        <v>-2104.45</v>
      </c>
      <c r="C18" s="79"/>
      <c r="D18" s="78"/>
      <c r="E18" s="151"/>
      <c r="F18" s="198"/>
      <c r="G18" s="213"/>
      <c r="H18" s="213"/>
      <c r="I18" s="203"/>
      <c r="J18" s="203"/>
      <c r="K18" s="203"/>
      <c r="L18" s="203"/>
      <c r="M18" s="201"/>
      <c r="N18" s="200"/>
      <c r="O18" s="198"/>
      <c r="Q18" s="203"/>
      <c r="R18" s="79"/>
      <c r="S18" s="210"/>
      <c r="T18" s="210"/>
      <c r="U18" s="198"/>
      <c r="V18" s="198"/>
      <c r="W18" s="203"/>
      <c r="X18" s="79"/>
      <c r="AD18" s="131"/>
      <c r="AF18" s="106"/>
    </row>
    <row r="19">
      <c r="C19" s="79"/>
      <c r="E19" s="588" t="s">
        <v>195</v>
      </c>
      <c r="F19" s="198"/>
      <c r="G19" s="213"/>
      <c r="H19" s="213"/>
      <c r="I19" s="345"/>
      <c r="J19" s="203"/>
      <c r="K19" s="203"/>
      <c r="L19" s="203"/>
      <c r="N19" s="198"/>
      <c r="O19" s="198"/>
      <c r="Q19" s="203"/>
      <c r="R19" s="79"/>
      <c r="S19" s="198"/>
      <c r="T19" s="428"/>
      <c r="U19" s="198"/>
      <c r="V19" s="201"/>
      <c r="W19" s="203"/>
      <c r="X19" s="79"/>
      <c r="AD19" s="131"/>
      <c r="AF19" s="106"/>
    </row>
    <row r="20">
      <c r="A20" s="13" t="s">
        <v>25</v>
      </c>
      <c r="B20" s="13">
        <v>60587.0</v>
      </c>
      <c r="C20" s="79"/>
      <c r="D20" s="13" t="s">
        <v>724</v>
      </c>
      <c r="E20" s="445">
        <f>sum(B12:AA12)+2279</f>
        <v>3445.1</v>
      </c>
      <c r="F20" s="589"/>
      <c r="G20" s="213"/>
      <c r="H20" s="213"/>
      <c r="I20" s="203"/>
      <c r="J20" s="203"/>
      <c r="K20" s="203"/>
      <c r="L20" s="203"/>
      <c r="M20" s="203"/>
      <c r="N20" s="198"/>
      <c r="O20" s="198"/>
      <c r="Q20" s="203"/>
      <c r="R20" s="79"/>
      <c r="S20" s="198"/>
      <c r="T20" s="198"/>
      <c r="U20" s="198"/>
      <c r="V20" s="198"/>
      <c r="W20" s="203"/>
      <c r="X20" s="79"/>
      <c r="AD20" s="181"/>
      <c r="AF20" s="106"/>
    </row>
    <row r="21">
      <c r="A21" s="13" t="s">
        <v>26</v>
      </c>
      <c r="B21" s="15">
        <f>B17/B20</f>
        <v>0.2245440441</v>
      </c>
      <c r="C21" s="79"/>
      <c r="D21" s="13" t="s">
        <v>25</v>
      </c>
      <c r="E21" s="445">
        <f>1182.5+522+1549.5+4545</f>
        <v>7799</v>
      </c>
      <c r="F21" s="589"/>
      <c r="G21" s="213"/>
      <c r="H21" s="213"/>
      <c r="I21" s="203"/>
      <c r="J21" s="203"/>
      <c r="K21" s="203"/>
      <c r="L21" s="203"/>
      <c r="M21" s="203"/>
      <c r="N21" s="203"/>
      <c r="O21" s="198"/>
      <c r="Q21" s="203"/>
      <c r="R21" s="79"/>
      <c r="S21" s="198"/>
      <c r="T21" s="198"/>
      <c r="U21" s="198"/>
      <c r="V21" s="198"/>
      <c r="W21" s="203"/>
      <c r="X21" s="79"/>
      <c r="AD21" s="130"/>
      <c r="AF21" s="106"/>
    </row>
    <row r="22">
      <c r="C22" s="79"/>
      <c r="D22" s="448" t="s">
        <v>26</v>
      </c>
      <c r="E22" s="449">
        <f>E20/E21</f>
        <v>0.44173612</v>
      </c>
      <c r="F22" s="590"/>
      <c r="G22" s="213"/>
      <c r="H22" s="213">
        <v>84.53</v>
      </c>
      <c r="I22" s="78"/>
      <c r="J22" s="203"/>
      <c r="K22" s="203"/>
      <c r="L22" s="203"/>
      <c r="M22" s="203"/>
      <c r="N22" s="201"/>
      <c r="O22" s="198"/>
      <c r="Q22" s="198"/>
      <c r="R22" s="79"/>
      <c r="S22" s="198"/>
      <c r="T22" s="198"/>
      <c r="U22" s="198"/>
      <c r="V22" s="198"/>
      <c r="W22" s="203"/>
      <c r="X22" s="79"/>
      <c r="AD22" s="182"/>
      <c r="AF22" s="106"/>
    </row>
    <row r="23">
      <c r="C23" s="79"/>
      <c r="D23" s="79"/>
      <c r="E23" s="79"/>
      <c r="F23" s="198"/>
      <c r="G23" s="213"/>
      <c r="H23" s="213">
        <v>1370.37</v>
      </c>
      <c r="I23" s="203"/>
      <c r="J23" s="212"/>
      <c r="K23" s="203"/>
      <c r="L23" s="203"/>
      <c r="M23" s="203"/>
      <c r="N23" s="201"/>
      <c r="O23" s="198"/>
      <c r="Q23" s="198"/>
      <c r="R23" s="79"/>
      <c r="S23" s="198"/>
      <c r="T23" s="198"/>
      <c r="U23" s="198"/>
      <c r="V23" s="198"/>
      <c r="W23" s="203"/>
      <c r="X23" s="79"/>
      <c r="AD23" s="130"/>
      <c r="AF23" s="106"/>
    </row>
    <row r="24">
      <c r="A24" s="16" t="s">
        <v>27</v>
      </c>
      <c r="B24" s="17"/>
      <c r="C24" s="114"/>
      <c r="D24" s="114"/>
      <c r="E24" s="114"/>
      <c r="F24" s="198"/>
      <c r="G24" s="213"/>
      <c r="H24" s="213"/>
      <c r="I24" s="78"/>
      <c r="J24" s="79"/>
      <c r="K24" s="203"/>
      <c r="L24" s="217"/>
      <c r="M24" s="208"/>
      <c r="N24" s="198"/>
      <c r="O24" s="198"/>
      <c r="Q24" s="200"/>
      <c r="R24" s="79"/>
      <c r="S24" s="198"/>
      <c r="T24" s="198"/>
      <c r="U24" s="198"/>
      <c r="V24" s="198"/>
      <c r="W24" s="203"/>
      <c r="X24" s="79"/>
      <c r="AD24" s="130"/>
      <c r="AF24" s="106"/>
    </row>
    <row r="25">
      <c r="A25" s="19" t="s">
        <v>28</v>
      </c>
      <c r="B25" s="20"/>
      <c r="C25" s="116"/>
      <c r="D25" s="116"/>
      <c r="E25" s="116"/>
      <c r="F25" s="198"/>
      <c r="G25" s="213"/>
      <c r="H25" s="213"/>
      <c r="I25" s="224"/>
      <c r="J25" s="78"/>
      <c r="K25" s="203"/>
      <c r="L25" s="203"/>
      <c r="M25" s="209"/>
      <c r="N25" s="201"/>
      <c r="O25" s="198"/>
      <c r="Q25" s="198"/>
      <c r="R25" s="79"/>
      <c r="S25" s="198"/>
      <c r="T25" s="198"/>
      <c r="U25" s="198"/>
      <c r="V25" s="198"/>
      <c r="W25" s="203"/>
      <c r="X25" s="79"/>
      <c r="AD25" s="130"/>
      <c r="AF25" s="106"/>
    </row>
    <row r="26">
      <c r="A26" s="183" t="s">
        <v>29</v>
      </c>
      <c r="B26" s="184" t="s">
        <v>30</v>
      </c>
      <c r="C26" s="183"/>
      <c r="D26" s="183" t="s">
        <v>170</v>
      </c>
      <c r="E26" s="591" t="s">
        <v>171</v>
      </c>
      <c r="F26" s="198"/>
      <c r="G26" s="213"/>
      <c r="H26" s="213"/>
      <c r="I26" s="79"/>
      <c r="J26" s="79"/>
      <c r="K26" s="203"/>
      <c r="L26" s="201"/>
      <c r="M26" s="209"/>
      <c r="N26" s="198"/>
      <c r="O26" s="198"/>
      <c r="Q26" s="198"/>
      <c r="R26" s="79"/>
      <c r="S26" s="198"/>
      <c r="T26" s="198"/>
      <c r="U26" s="198"/>
      <c r="V26" s="198"/>
      <c r="W26" s="203"/>
      <c r="X26" s="79"/>
      <c r="Y26" s="195"/>
      <c r="AD26" s="130"/>
      <c r="AF26" s="106"/>
    </row>
    <row r="27">
      <c r="A27" s="237" t="s">
        <v>929</v>
      </c>
      <c r="B27" s="381">
        <f>+1449.86+1519.49</f>
        <v>2969.35</v>
      </c>
      <c r="C27" s="239"/>
      <c r="D27" s="239"/>
      <c r="E27" s="239"/>
      <c r="F27" s="204"/>
      <c r="G27" s="213"/>
      <c r="H27" s="213"/>
      <c r="O27" s="79"/>
      <c r="R27" s="79"/>
      <c r="S27" s="79"/>
      <c r="X27" s="79"/>
      <c r="AD27" s="130"/>
      <c r="AF27" s="106"/>
    </row>
    <row r="28">
      <c r="A28" s="221" t="s">
        <v>930</v>
      </c>
      <c r="B28" s="341">
        <v>295.0</v>
      </c>
      <c r="C28" s="223"/>
      <c r="D28" s="223"/>
      <c r="E28" s="223"/>
      <c r="F28" s="204"/>
      <c r="G28" s="213"/>
      <c r="H28" s="213"/>
      <c r="O28" s="79"/>
      <c r="R28" s="79"/>
      <c r="S28" s="79"/>
      <c r="X28" s="79"/>
      <c r="AD28" s="130"/>
      <c r="AF28" s="106"/>
    </row>
    <row r="29">
      <c r="A29" s="221" t="s">
        <v>111</v>
      </c>
      <c r="B29" s="341">
        <v>633.17</v>
      </c>
      <c r="C29" s="223"/>
      <c r="D29" s="223"/>
      <c r="E29" s="223"/>
      <c r="F29" s="204"/>
      <c r="G29" s="213"/>
      <c r="H29" s="213"/>
      <c r="O29" s="79"/>
      <c r="R29" s="79"/>
      <c r="S29" s="79"/>
      <c r="X29" s="79"/>
      <c r="AD29" s="130"/>
      <c r="AF29" s="106"/>
    </row>
    <row r="30">
      <c r="A30" s="221" t="s">
        <v>874</v>
      </c>
      <c r="B30" s="341">
        <f>330.5*2</f>
        <v>661</v>
      </c>
      <c r="C30" s="223"/>
      <c r="D30" s="223"/>
      <c r="E30" s="223"/>
      <c r="F30" s="204"/>
      <c r="O30" s="79"/>
      <c r="R30" s="79"/>
      <c r="S30" s="79"/>
      <c r="X30" s="79"/>
      <c r="AD30" s="130"/>
      <c r="AF30" s="106"/>
    </row>
    <row r="31">
      <c r="A31" s="173" t="s">
        <v>872</v>
      </c>
      <c r="B31" s="344">
        <f>377</f>
        <v>377</v>
      </c>
      <c r="C31" s="241" t="s">
        <v>540</v>
      </c>
      <c r="D31" s="241"/>
      <c r="E31" s="241"/>
      <c r="O31" s="79"/>
      <c r="R31" s="79"/>
      <c r="S31" s="79"/>
      <c r="X31" s="79"/>
      <c r="AD31" s="130"/>
      <c r="AF31" s="106"/>
    </row>
    <row r="32">
      <c r="A32" s="173" t="s">
        <v>931</v>
      </c>
      <c r="B32" s="344">
        <f>180+180</f>
        <v>360</v>
      </c>
      <c r="C32" s="241"/>
      <c r="D32" s="241"/>
      <c r="E32" s="241"/>
      <c r="O32" s="79"/>
      <c r="R32" s="79"/>
      <c r="S32" s="79"/>
      <c r="X32" s="79"/>
      <c r="AD32" s="130"/>
      <c r="AF32" s="106"/>
    </row>
    <row r="33">
      <c r="A33" s="173" t="s">
        <v>608</v>
      </c>
      <c r="B33" s="344">
        <v>731.4</v>
      </c>
      <c r="C33" s="241"/>
      <c r="D33" s="241"/>
      <c r="E33" s="241"/>
      <c r="O33" s="79"/>
      <c r="R33" s="79"/>
      <c r="S33" s="79"/>
      <c r="X33" s="79"/>
      <c r="AD33" s="130"/>
      <c r="AF33" s="106"/>
    </row>
    <row r="34">
      <c r="A34" s="79"/>
      <c r="B34" s="668"/>
      <c r="C34" s="668"/>
      <c r="D34" s="668"/>
      <c r="E34" s="668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669"/>
      <c r="AE34" s="79"/>
      <c r="AF34" s="670"/>
      <c r="AG34" s="79"/>
      <c r="AH34" s="79"/>
      <c r="AI34" s="79"/>
    </row>
    <row r="35">
      <c r="A35" s="274"/>
      <c r="B35" s="275" t="s">
        <v>315</v>
      </c>
      <c r="F35" s="274"/>
      <c r="G35" s="274"/>
      <c r="H35" s="274"/>
      <c r="I35" s="274"/>
      <c r="J35" s="274"/>
      <c r="K35" s="274"/>
      <c r="L35" s="274"/>
      <c r="M35" s="274"/>
      <c r="N35" s="274"/>
      <c r="O35" s="274"/>
      <c r="P35" s="274"/>
      <c r="Q35" s="274"/>
      <c r="R35" s="274"/>
      <c r="S35" s="274"/>
      <c r="T35" s="274"/>
      <c r="U35" s="274"/>
      <c r="V35" s="274"/>
      <c r="W35" s="274"/>
      <c r="X35" s="274"/>
      <c r="Y35" s="274"/>
      <c r="Z35" s="274"/>
      <c r="AA35" s="274"/>
      <c r="AB35" s="274"/>
      <c r="AC35" s="274"/>
      <c r="AD35" s="276"/>
      <c r="AE35" s="274"/>
      <c r="AF35" s="277"/>
      <c r="AG35" s="274"/>
      <c r="AH35" s="274"/>
      <c r="AI35" s="274"/>
    </row>
    <row r="36">
      <c r="A36" s="16" t="s">
        <v>316</v>
      </c>
      <c r="B36" s="17"/>
      <c r="C36" s="114"/>
      <c r="D36" s="114"/>
      <c r="E36" s="115"/>
      <c r="I36" s="455" t="s">
        <v>735</v>
      </c>
      <c r="J36" s="17"/>
      <c r="K36" s="114"/>
      <c r="L36" s="114"/>
      <c r="M36" s="115"/>
      <c r="P36" s="79"/>
      <c r="T36" s="79"/>
      <c r="U36" s="79"/>
      <c r="AE36" s="130"/>
      <c r="AG36" s="106"/>
    </row>
    <row r="37">
      <c r="A37" s="19" t="s">
        <v>317</v>
      </c>
      <c r="B37" s="20"/>
      <c r="C37" s="116"/>
      <c r="D37" s="116"/>
      <c r="E37" s="117"/>
      <c r="I37" s="599" t="s">
        <v>736</v>
      </c>
      <c r="J37" s="20"/>
      <c r="K37" s="116"/>
      <c r="L37" s="116"/>
      <c r="M37" s="117"/>
      <c r="P37" s="79"/>
      <c r="T37" s="79"/>
      <c r="U37" s="79"/>
      <c r="AE37" s="130"/>
      <c r="AG37" s="106"/>
    </row>
    <row r="38">
      <c r="A38" s="278" t="s">
        <v>318</v>
      </c>
      <c r="B38" s="279" t="s">
        <v>319</v>
      </c>
      <c r="C38" s="280" t="s">
        <v>285</v>
      </c>
      <c r="D38" s="280" t="s">
        <v>30</v>
      </c>
      <c r="E38" s="281" t="s">
        <v>320</v>
      </c>
      <c r="F38" s="281" t="s">
        <v>321</v>
      </c>
      <c r="H38" s="600" t="s">
        <v>743</v>
      </c>
      <c r="I38" s="507" t="s">
        <v>318</v>
      </c>
      <c r="J38" s="601" t="s">
        <v>319</v>
      </c>
      <c r="K38" s="507" t="s">
        <v>285</v>
      </c>
      <c r="L38" s="507" t="s">
        <v>737</v>
      </c>
      <c r="M38" s="507" t="s">
        <v>738</v>
      </c>
      <c r="N38" s="507" t="s">
        <v>739</v>
      </c>
      <c r="O38" s="602" t="s">
        <v>740</v>
      </c>
      <c r="P38" s="602" t="s">
        <v>741</v>
      </c>
      <c r="Q38" s="602" t="s">
        <v>320</v>
      </c>
      <c r="R38" s="507"/>
      <c r="S38" s="602" t="s">
        <v>740</v>
      </c>
      <c r="T38" s="602" t="s">
        <v>741</v>
      </c>
      <c r="U38" s="602" t="s">
        <v>320</v>
      </c>
      <c r="V38" s="507"/>
      <c r="W38" s="602" t="s">
        <v>740</v>
      </c>
      <c r="X38" s="602" t="s">
        <v>741</v>
      </c>
      <c r="Y38" s="602" t="s">
        <v>320</v>
      </c>
      <c r="AE38" s="130"/>
      <c r="AG38" s="106"/>
    </row>
    <row r="39">
      <c r="A39" s="289" t="s">
        <v>802</v>
      </c>
      <c r="B39" s="290">
        <v>45595.0</v>
      </c>
      <c r="C39" s="173" t="s">
        <v>325</v>
      </c>
      <c r="D39" s="180">
        <v>817.04</v>
      </c>
      <c r="E39" s="336"/>
      <c r="F39" s="173" t="s">
        <v>830</v>
      </c>
      <c r="H39" s="603">
        <f t="shared" ref="H39:H51" si="6">L39+O39+S39+W39</f>
        <v>0</v>
      </c>
      <c r="I39" s="463">
        <v>607888.0</v>
      </c>
      <c r="J39" s="464">
        <v>45653.0</v>
      </c>
      <c r="K39" s="465" t="s">
        <v>437</v>
      </c>
      <c r="L39" s="466">
        <v>3.0</v>
      </c>
      <c r="M39" s="467">
        <v>1504.57</v>
      </c>
      <c r="N39" s="467">
        <f t="shared" ref="N39:N44" si="7">M39/L39</f>
        <v>501.5233333</v>
      </c>
      <c r="O39" s="652">
        <v>-3.0</v>
      </c>
      <c r="P39" s="622">
        <f t="shared" ref="P39:P43" si="8">O39*N39</f>
        <v>-1504.57</v>
      </c>
      <c r="Q39" s="653">
        <v>45662.0</v>
      </c>
      <c r="R39" s="583"/>
      <c r="S39" s="469"/>
      <c r="T39" s="534"/>
      <c r="U39" s="469"/>
      <c r="V39" s="583"/>
      <c r="W39" s="469"/>
      <c r="X39" s="469"/>
      <c r="Y39" s="469"/>
      <c r="Z39" s="483"/>
      <c r="AA39" s="483"/>
      <c r="AB39" s="483"/>
      <c r="AC39" s="483"/>
      <c r="AD39" s="483"/>
      <c r="AE39" s="492"/>
      <c r="AF39" s="483"/>
      <c r="AG39" s="493"/>
      <c r="AH39" s="483"/>
      <c r="AI39" s="483"/>
    </row>
    <row r="40">
      <c r="A40" s="289" t="s">
        <v>810</v>
      </c>
      <c r="B40" s="290">
        <v>45602.0</v>
      </c>
      <c r="C40" s="173" t="s">
        <v>325</v>
      </c>
      <c r="D40" s="180">
        <v>812.54</v>
      </c>
      <c r="E40" s="336"/>
      <c r="F40" s="173" t="s">
        <v>830</v>
      </c>
      <c r="H40" s="603">
        <f t="shared" si="6"/>
        <v>0</v>
      </c>
      <c r="I40" s="463">
        <v>608100.0</v>
      </c>
      <c r="J40" s="464">
        <v>46022.0</v>
      </c>
      <c r="K40" s="465" t="s">
        <v>437</v>
      </c>
      <c r="L40" s="466">
        <v>9.0</v>
      </c>
      <c r="M40" s="467">
        <f>4305.17</f>
        <v>4305.17</v>
      </c>
      <c r="N40" s="467">
        <f t="shared" si="7"/>
        <v>478.3522222</v>
      </c>
      <c r="O40" s="652">
        <v>-3.0</v>
      </c>
      <c r="P40" s="622">
        <f t="shared" si="8"/>
        <v>-1435.056667</v>
      </c>
      <c r="Q40" s="653">
        <v>45662.0</v>
      </c>
      <c r="R40" s="583"/>
      <c r="S40" s="652">
        <v>-4.0</v>
      </c>
      <c r="T40" s="622">
        <f t="shared" ref="T40:T43" si="9">S40*N40</f>
        <v>-1913.408889</v>
      </c>
      <c r="U40" s="653">
        <v>45669.0</v>
      </c>
      <c r="V40" s="583"/>
      <c r="W40" s="652">
        <v>-2.0</v>
      </c>
      <c r="X40" s="622">
        <f>W40*N40</f>
        <v>-956.7044444</v>
      </c>
      <c r="Y40" s="653">
        <v>45676.0</v>
      </c>
      <c r="AE40" s="130"/>
      <c r="AG40" s="106"/>
    </row>
    <row r="41">
      <c r="A41" s="289" t="s">
        <v>824</v>
      </c>
      <c r="B41" s="290">
        <v>45609.0</v>
      </c>
      <c r="C41" s="173" t="s">
        <v>325</v>
      </c>
      <c r="D41" s="180">
        <v>829.32</v>
      </c>
      <c r="E41" s="336"/>
      <c r="F41" s="173" t="s">
        <v>830</v>
      </c>
      <c r="H41" s="603">
        <f t="shared" si="6"/>
        <v>0</v>
      </c>
      <c r="I41" s="463">
        <v>609641.0</v>
      </c>
      <c r="J41" s="464">
        <v>45665.0</v>
      </c>
      <c r="K41" s="465" t="s">
        <v>437</v>
      </c>
      <c r="L41" s="466">
        <v>6.0</v>
      </c>
      <c r="M41" s="467">
        <v>2782.71</v>
      </c>
      <c r="N41" s="467">
        <f t="shared" si="7"/>
        <v>463.785</v>
      </c>
      <c r="O41" s="652">
        <v>-5.0</v>
      </c>
      <c r="P41" s="622">
        <f t="shared" si="8"/>
        <v>-2318.925</v>
      </c>
      <c r="Q41" s="653">
        <v>45676.0</v>
      </c>
      <c r="R41" s="583"/>
      <c r="S41" s="652">
        <v>-1.0</v>
      </c>
      <c r="T41" s="622">
        <f t="shared" si="9"/>
        <v>-463.785</v>
      </c>
      <c r="U41" s="653">
        <v>45676.0</v>
      </c>
      <c r="V41" s="583"/>
      <c r="W41" s="469"/>
      <c r="X41" s="469"/>
      <c r="Y41" s="469"/>
      <c r="AE41" s="130"/>
      <c r="AG41" s="106"/>
    </row>
    <row r="42">
      <c r="A42" s="289" t="s">
        <v>831</v>
      </c>
      <c r="B42" s="290">
        <v>45616.0</v>
      </c>
      <c r="C42" s="173" t="s">
        <v>325</v>
      </c>
      <c r="D42" s="180">
        <v>821.53</v>
      </c>
      <c r="E42" s="336"/>
      <c r="F42" s="173" t="s">
        <v>830</v>
      </c>
      <c r="H42" s="603">
        <f t="shared" si="6"/>
        <v>0</v>
      </c>
      <c r="I42" s="463">
        <v>611034.0</v>
      </c>
      <c r="J42" s="464">
        <v>45672.0</v>
      </c>
      <c r="K42" s="465" t="s">
        <v>437</v>
      </c>
      <c r="L42" s="466">
        <v>6.0</v>
      </c>
      <c r="M42" s="467">
        <v>2892.55</v>
      </c>
      <c r="N42" s="467">
        <f t="shared" si="7"/>
        <v>482.0916667</v>
      </c>
      <c r="O42" s="652">
        <v>-4.0</v>
      </c>
      <c r="P42" s="622">
        <f t="shared" si="8"/>
        <v>-1928.366667</v>
      </c>
      <c r="Q42" s="653">
        <v>45683.0</v>
      </c>
      <c r="R42" s="583"/>
      <c r="S42" s="652">
        <v>-2.0</v>
      </c>
      <c r="T42" s="622">
        <f t="shared" si="9"/>
        <v>-964.1833333</v>
      </c>
      <c r="U42" s="653">
        <v>45676.0</v>
      </c>
      <c r="V42" s="583"/>
      <c r="W42" s="469"/>
      <c r="X42" s="469"/>
      <c r="Y42" s="469"/>
      <c r="AE42" s="130"/>
      <c r="AG42" s="106"/>
    </row>
    <row r="43">
      <c r="A43" s="289" t="s">
        <v>875</v>
      </c>
      <c r="B43" s="290">
        <v>45673.0</v>
      </c>
      <c r="C43" s="173" t="s">
        <v>325</v>
      </c>
      <c r="D43" s="180">
        <v>805.36</v>
      </c>
      <c r="E43" s="336"/>
      <c r="F43" s="173"/>
      <c r="H43" s="603">
        <f t="shared" si="6"/>
        <v>0</v>
      </c>
      <c r="I43" s="463">
        <v>612376.0</v>
      </c>
      <c r="J43" s="464">
        <v>45679.0</v>
      </c>
      <c r="K43" s="465" t="s">
        <v>437</v>
      </c>
      <c r="L43" s="466">
        <v>6.0</v>
      </c>
      <c r="M43" s="467">
        <v>2661.57</v>
      </c>
      <c r="N43" s="467">
        <f t="shared" si="7"/>
        <v>443.595</v>
      </c>
      <c r="O43" s="360">
        <v>-5.0</v>
      </c>
      <c r="P43" s="613">
        <f t="shared" si="8"/>
        <v>-2217.975</v>
      </c>
      <c r="Q43" s="359">
        <v>45690.0</v>
      </c>
      <c r="R43" s="583"/>
      <c r="S43" s="46">
        <v>-1.0</v>
      </c>
      <c r="T43" s="613">
        <f t="shared" si="9"/>
        <v>-443.595</v>
      </c>
      <c r="U43" s="359">
        <v>45690.0</v>
      </c>
      <c r="V43" s="583"/>
      <c r="W43" s="469"/>
      <c r="X43" s="469"/>
      <c r="Y43" s="469"/>
      <c r="AE43" s="130"/>
      <c r="AG43" s="106"/>
    </row>
    <row r="44">
      <c r="A44" s="289" t="s">
        <v>876</v>
      </c>
      <c r="B44" s="290">
        <v>45675.0</v>
      </c>
      <c r="C44" s="173" t="s">
        <v>325</v>
      </c>
      <c r="D44" s="180">
        <v>1624.49</v>
      </c>
      <c r="E44" s="336"/>
      <c r="F44" s="173"/>
      <c r="H44" s="610">
        <f t="shared" si="6"/>
        <v>6</v>
      </c>
      <c r="I44" s="463">
        <v>613778.0</v>
      </c>
      <c r="J44" s="464">
        <v>45686.0</v>
      </c>
      <c r="K44" s="465" t="s">
        <v>437</v>
      </c>
      <c r="L44" s="466">
        <v>6.0</v>
      </c>
      <c r="M44" s="467">
        <v>2728.75</v>
      </c>
      <c r="N44" s="467">
        <f t="shared" si="7"/>
        <v>454.7916667</v>
      </c>
      <c r="O44" s="489"/>
      <c r="P44" s="488"/>
      <c r="Q44" s="604"/>
      <c r="R44" s="615"/>
      <c r="S44" s="469"/>
      <c r="T44" s="534"/>
      <c r="U44" s="469"/>
      <c r="V44" s="615"/>
      <c r="W44" s="469"/>
      <c r="X44" s="469"/>
      <c r="Y44" s="469"/>
      <c r="AE44" s="130"/>
      <c r="AG44" s="106"/>
    </row>
    <row r="45">
      <c r="A45" s="289" t="s">
        <v>888</v>
      </c>
      <c r="B45" s="290">
        <v>45680.0</v>
      </c>
      <c r="C45" s="173" t="s">
        <v>325</v>
      </c>
      <c r="D45" s="180">
        <v>227.93</v>
      </c>
      <c r="E45" s="336"/>
      <c r="F45" s="173"/>
      <c r="H45" s="610">
        <f t="shared" si="6"/>
        <v>0</v>
      </c>
      <c r="I45" s="463"/>
      <c r="J45" s="464"/>
      <c r="K45" s="465"/>
      <c r="L45" s="466"/>
      <c r="M45" s="467"/>
      <c r="N45" s="467"/>
      <c r="O45" s="489"/>
      <c r="P45" s="488"/>
      <c r="Q45" s="604"/>
      <c r="R45" s="583"/>
      <c r="S45" s="469"/>
      <c r="T45" s="534"/>
      <c r="U45" s="469"/>
      <c r="V45" s="583"/>
      <c r="W45" s="469"/>
      <c r="X45" s="469"/>
      <c r="Y45" s="469"/>
      <c r="AE45" s="130"/>
      <c r="AG45" s="106"/>
    </row>
    <row r="46">
      <c r="A46" s="655" t="s">
        <v>860</v>
      </c>
      <c r="B46" s="656">
        <v>45663.0</v>
      </c>
      <c r="C46" s="322" t="s">
        <v>861</v>
      </c>
      <c r="D46" s="323">
        <f>754-754</f>
        <v>0</v>
      </c>
      <c r="E46" s="657"/>
      <c r="F46" s="655" t="s">
        <v>932</v>
      </c>
      <c r="H46" s="603">
        <f t="shared" si="6"/>
        <v>0</v>
      </c>
      <c r="I46" s="463"/>
      <c r="J46" s="464"/>
      <c r="K46" s="465"/>
      <c r="L46" s="466"/>
      <c r="M46" s="467"/>
      <c r="N46" s="467"/>
      <c r="O46" s="489"/>
      <c r="P46" s="488"/>
      <c r="Q46" s="604"/>
      <c r="R46" s="583"/>
      <c r="S46" s="469"/>
      <c r="T46" s="534"/>
      <c r="U46" s="469"/>
      <c r="V46" s="583"/>
      <c r="W46" s="469"/>
      <c r="X46" s="469"/>
      <c r="Y46" s="469"/>
      <c r="AE46" s="130"/>
      <c r="AG46" s="106"/>
    </row>
    <row r="47">
      <c r="A47" s="655" t="s">
        <v>865</v>
      </c>
      <c r="B47" s="656">
        <v>45666.0</v>
      </c>
      <c r="C47" s="322" t="s">
        <v>866</v>
      </c>
      <c r="D47" s="323">
        <f>89.16+225.66-225.66-89.16</f>
        <v>0</v>
      </c>
      <c r="E47" s="285"/>
      <c r="F47" s="655" t="s">
        <v>933</v>
      </c>
      <c r="H47" s="603">
        <f t="shared" si="6"/>
        <v>0</v>
      </c>
      <c r="I47" s="463"/>
      <c r="J47" s="464"/>
      <c r="K47" s="465"/>
      <c r="L47" s="466"/>
      <c r="M47" s="467"/>
      <c r="N47" s="467"/>
      <c r="O47" s="489"/>
      <c r="P47" s="488"/>
      <c r="Q47" s="604"/>
      <c r="R47" s="583"/>
      <c r="S47" s="469"/>
      <c r="T47" s="534"/>
      <c r="U47" s="469"/>
      <c r="V47" s="583"/>
      <c r="W47" s="469"/>
      <c r="X47" s="469"/>
      <c r="Y47" s="469"/>
      <c r="AE47" s="130"/>
      <c r="AG47" s="106"/>
    </row>
    <row r="48">
      <c r="A48" s="655" t="s">
        <v>867</v>
      </c>
      <c r="B48" s="656">
        <v>45666.0</v>
      </c>
      <c r="C48" s="322" t="s">
        <v>868</v>
      </c>
      <c r="D48" s="323">
        <v>295.0</v>
      </c>
      <c r="E48" s="657"/>
      <c r="F48" s="655" t="s">
        <v>934</v>
      </c>
      <c r="H48" s="603">
        <f t="shared" si="6"/>
        <v>0</v>
      </c>
      <c r="I48" s="463"/>
      <c r="J48" s="464"/>
      <c r="K48" s="465"/>
      <c r="L48" s="466"/>
      <c r="M48" s="467"/>
      <c r="N48" s="467"/>
      <c r="O48" s="489"/>
      <c r="P48" s="488"/>
      <c r="Q48" s="604"/>
      <c r="R48" s="583"/>
      <c r="S48" s="469"/>
      <c r="T48" s="534"/>
      <c r="U48" s="469"/>
      <c r="V48" s="583"/>
      <c r="W48" s="469"/>
      <c r="X48" s="469"/>
      <c r="Y48" s="469"/>
      <c r="AE48" s="130"/>
      <c r="AG48" s="106"/>
    </row>
    <row r="49">
      <c r="A49" s="671" t="s">
        <v>880</v>
      </c>
      <c r="B49" s="672">
        <v>45673.0</v>
      </c>
      <c r="C49" s="673" t="s">
        <v>881</v>
      </c>
      <c r="D49" s="674">
        <v>660.08</v>
      </c>
      <c r="E49" s="285"/>
      <c r="F49" s="264"/>
      <c r="H49" s="603">
        <f t="shared" si="6"/>
        <v>0</v>
      </c>
      <c r="I49" s="463"/>
      <c r="J49" s="464"/>
      <c r="K49" s="465"/>
      <c r="L49" s="466"/>
      <c r="M49" s="467"/>
      <c r="N49" s="467"/>
      <c r="O49" s="489"/>
      <c r="P49" s="488"/>
      <c r="Q49" s="604"/>
      <c r="R49" s="583"/>
      <c r="S49" s="469"/>
      <c r="T49" s="534"/>
      <c r="U49" s="469"/>
      <c r="V49" s="583"/>
      <c r="W49" s="469"/>
      <c r="X49" s="469"/>
      <c r="Y49" s="469"/>
      <c r="AE49" s="130"/>
      <c r="AG49" s="106"/>
    </row>
    <row r="50">
      <c r="A50" s="655" t="s">
        <v>882</v>
      </c>
      <c r="B50" s="656">
        <v>45674.0</v>
      </c>
      <c r="C50" s="322" t="s">
        <v>408</v>
      </c>
      <c r="D50" s="323">
        <f>787.5-787.5</f>
        <v>0</v>
      </c>
      <c r="E50" s="675"/>
      <c r="F50" s="655" t="s">
        <v>934</v>
      </c>
      <c r="H50" s="603">
        <f t="shared" si="6"/>
        <v>0</v>
      </c>
      <c r="I50" s="463"/>
      <c r="J50" s="464"/>
      <c r="K50" s="465"/>
      <c r="L50" s="466"/>
      <c r="M50" s="467"/>
      <c r="N50" s="467"/>
      <c r="O50" s="489"/>
      <c r="P50" s="488"/>
      <c r="Q50" s="604"/>
      <c r="R50" s="583"/>
      <c r="S50" s="469"/>
      <c r="T50" s="534"/>
      <c r="U50" s="469"/>
      <c r="V50" s="583"/>
      <c r="W50" s="469"/>
      <c r="X50" s="469"/>
      <c r="Y50" s="469"/>
      <c r="AE50" s="130"/>
      <c r="AG50" s="106"/>
    </row>
    <row r="51">
      <c r="A51" s="676" t="s">
        <v>883</v>
      </c>
      <c r="B51" s="677">
        <v>45675.0</v>
      </c>
      <c r="C51" s="678" t="s">
        <v>536</v>
      </c>
      <c r="D51" s="679">
        <v>232.0</v>
      </c>
      <c r="E51" s="285"/>
      <c r="F51" s="264"/>
      <c r="H51" s="603">
        <f t="shared" si="6"/>
        <v>0</v>
      </c>
      <c r="I51" s="463"/>
      <c r="J51" s="464"/>
      <c r="K51" s="465"/>
      <c r="L51" s="466"/>
      <c r="M51" s="467"/>
      <c r="N51" s="467"/>
      <c r="O51" s="489"/>
      <c r="P51" s="488"/>
      <c r="Q51" s="604"/>
      <c r="R51" s="583"/>
      <c r="S51" s="469"/>
      <c r="T51" s="534"/>
      <c r="U51" s="469"/>
      <c r="V51" s="583"/>
      <c r="W51" s="469"/>
      <c r="X51" s="469"/>
      <c r="Y51" s="469"/>
      <c r="AE51" s="130"/>
      <c r="AG51" s="106"/>
    </row>
    <row r="52">
      <c r="A52" s="655" t="s">
        <v>884</v>
      </c>
      <c r="B52" s="656">
        <v>45671.0</v>
      </c>
      <c r="C52" s="322" t="s">
        <v>885</v>
      </c>
      <c r="D52" s="323">
        <f>143+60+105+180+132-620</f>
        <v>0</v>
      </c>
      <c r="E52" s="657"/>
      <c r="F52" s="655" t="s">
        <v>935</v>
      </c>
      <c r="P52" s="79"/>
      <c r="T52" s="79"/>
      <c r="U52" s="79"/>
      <c r="AE52" s="130"/>
      <c r="AG52" s="106"/>
    </row>
    <row r="53">
      <c r="A53" s="655" t="s">
        <v>891</v>
      </c>
      <c r="B53" s="656">
        <v>45678.0</v>
      </c>
      <c r="C53" s="322" t="s">
        <v>845</v>
      </c>
      <c r="D53" s="323">
        <f>1226.1-1226.1</f>
        <v>0</v>
      </c>
      <c r="E53" s="285"/>
      <c r="F53" s="655" t="s">
        <v>934</v>
      </c>
      <c r="H53" s="479" t="s">
        <v>287</v>
      </c>
      <c r="I53" s="32" t="s">
        <v>748</v>
      </c>
      <c r="J53" s="479" t="s">
        <v>749</v>
      </c>
      <c r="K53" s="479" t="s">
        <v>750</v>
      </c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AE53" s="130"/>
      <c r="AG53" s="106"/>
    </row>
    <row r="54">
      <c r="A54" s="264" t="s">
        <v>892</v>
      </c>
      <c r="B54" s="639">
        <v>45682.0</v>
      </c>
      <c r="C54" s="166" t="s">
        <v>893</v>
      </c>
      <c r="D54" s="93">
        <v>266.0</v>
      </c>
      <c r="E54" s="285"/>
      <c r="F54" s="264"/>
      <c r="H54" s="286">
        <v>45662.0</v>
      </c>
      <c r="I54" s="32">
        <v>6.0</v>
      </c>
      <c r="J54" s="480">
        <f>P39+P40</f>
        <v>-2939.626667</v>
      </c>
      <c r="K54" s="479" t="s">
        <v>195</v>
      </c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AE54" s="130"/>
      <c r="AG54" s="106"/>
    </row>
    <row r="55">
      <c r="A55" s="264" t="s">
        <v>894</v>
      </c>
      <c r="B55" s="639">
        <v>45677.0</v>
      </c>
      <c r="C55" s="166" t="s">
        <v>111</v>
      </c>
      <c r="D55" s="93">
        <v>580.0</v>
      </c>
      <c r="E55" s="285"/>
      <c r="F55" s="264"/>
      <c r="H55" s="286">
        <v>45669.0</v>
      </c>
      <c r="I55" s="32">
        <v>3.0</v>
      </c>
      <c r="J55" s="480">
        <f>N40*-3</f>
        <v>-1435.056667</v>
      </c>
      <c r="K55" s="479" t="s">
        <v>195</v>
      </c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AE55" s="130"/>
      <c r="AG55" s="106"/>
    </row>
    <row r="56">
      <c r="A56" s="264" t="s">
        <v>936</v>
      </c>
      <c r="B56" s="639">
        <v>45687.0</v>
      </c>
      <c r="C56" s="166" t="s">
        <v>845</v>
      </c>
      <c r="D56" s="93">
        <v>1304.58</v>
      </c>
      <c r="E56" s="680">
        <f>D56/2</f>
        <v>652.29</v>
      </c>
      <c r="F56" s="264"/>
      <c r="H56" s="286">
        <v>45669.0</v>
      </c>
      <c r="I56" s="32">
        <v>1.0</v>
      </c>
      <c r="J56" s="480">
        <f>N40*-1</f>
        <v>-478.3522222</v>
      </c>
      <c r="K56" s="479" t="s">
        <v>839</v>
      </c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AE56" s="130"/>
      <c r="AG56" s="106"/>
    </row>
    <row r="57">
      <c r="A57" s="264" t="s">
        <v>937</v>
      </c>
      <c r="B57" s="639">
        <v>45688.0</v>
      </c>
      <c r="C57" s="166" t="s">
        <v>845</v>
      </c>
      <c r="D57" s="93">
        <v>1535.86</v>
      </c>
      <c r="E57" s="285"/>
      <c r="F57" s="264"/>
      <c r="H57" s="504">
        <v>45676.0</v>
      </c>
      <c r="I57" s="479">
        <v>7.0</v>
      </c>
      <c r="J57" s="505">
        <f>(P41+X40)*-1</f>
        <v>3275.629444</v>
      </c>
      <c r="K57" s="479" t="s">
        <v>195</v>
      </c>
      <c r="M57" s="79"/>
      <c r="N57" s="78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AE57" s="130"/>
      <c r="AG57" s="106"/>
    </row>
    <row r="58">
      <c r="A58" s="264" t="s">
        <v>938</v>
      </c>
      <c r="B58" s="639">
        <v>45689.0</v>
      </c>
      <c r="C58" s="166" t="s">
        <v>608</v>
      </c>
      <c r="D58" s="93">
        <v>731.4</v>
      </c>
      <c r="E58" s="285"/>
      <c r="F58" s="264"/>
      <c r="H58" s="504">
        <v>45676.0</v>
      </c>
      <c r="I58" s="479">
        <v>1.0</v>
      </c>
      <c r="J58" s="505">
        <f>T41</f>
        <v>-463.785</v>
      </c>
      <c r="K58" s="479" t="s">
        <v>839</v>
      </c>
      <c r="M58" s="79"/>
      <c r="N58" s="78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AE58" s="130"/>
      <c r="AG58" s="106"/>
    </row>
    <row r="59">
      <c r="A59" s="264"/>
      <c r="B59" s="639"/>
      <c r="C59" s="166"/>
      <c r="D59" s="93"/>
      <c r="E59" s="285"/>
      <c r="F59" s="264"/>
      <c r="H59" s="504"/>
      <c r="I59" s="479"/>
      <c r="J59" s="505"/>
      <c r="K59" s="4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Z59" s="625"/>
      <c r="AA59" s="625"/>
      <c r="AB59" s="625"/>
      <c r="AC59" s="625"/>
      <c r="AD59" s="658"/>
      <c r="AE59" s="625"/>
      <c r="AF59" s="659"/>
      <c r="AG59" s="625"/>
    </row>
    <row r="60">
      <c r="A60" s="264"/>
      <c r="B60" s="639"/>
      <c r="C60" s="166"/>
      <c r="D60" s="93"/>
      <c r="E60" s="285"/>
      <c r="F60" s="264"/>
      <c r="H60" s="504"/>
      <c r="I60" s="479"/>
      <c r="J60" s="505"/>
      <c r="K60" s="4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Z60" s="625"/>
      <c r="AA60" s="625"/>
      <c r="AB60" s="625"/>
      <c r="AC60" s="625"/>
      <c r="AD60" s="658"/>
      <c r="AE60" s="625"/>
      <c r="AF60" s="659"/>
      <c r="AG60" s="625"/>
    </row>
    <row r="61">
      <c r="A61" s="646"/>
      <c r="B61" s="647"/>
      <c r="C61" s="78"/>
      <c r="D61" s="192"/>
      <c r="E61" s="643"/>
      <c r="F61" s="45"/>
      <c r="H61" s="584"/>
      <c r="I61" s="585"/>
      <c r="J61" s="586"/>
      <c r="K61" s="585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Z61" s="625"/>
      <c r="AA61" s="625"/>
      <c r="AB61" s="625"/>
      <c r="AC61" s="625"/>
      <c r="AD61" s="658"/>
      <c r="AE61" s="625"/>
      <c r="AF61" s="659"/>
      <c r="AG61" s="625"/>
    </row>
    <row r="62">
      <c r="A62" s="646"/>
      <c r="B62" s="647"/>
      <c r="C62" s="78"/>
      <c r="D62" s="192"/>
      <c r="E62" s="643"/>
      <c r="F62" s="45"/>
      <c r="H62" s="286"/>
      <c r="I62" s="479"/>
      <c r="J62" s="505"/>
      <c r="K62" s="4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Z62" s="625"/>
      <c r="AA62" s="625"/>
      <c r="AB62" s="625"/>
      <c r="AC62" s="625"/>
      <c r="AD62" s="658"/>
      <c r="AE62" s="625"/>
      <c r="AF62" s="659"/>
      <c r="AG62" s="625"/>
    </row>
    <row r="63">
      <c r="A63" s="646"/>
      <c r="B63" s="647"/>
      <c r="C63" s="78"/>
      <c r="D63" s="192"/>
      <c r="E63" s="643"/>
      <c r="F63" s="45"/>
      <c r="H63" s="286"/>
      <c r="I63" s="479"/>
      <c r="J63" s="505"/>
      <c r="K63" s="4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Z63" s="625"/>
      <c r="AA63" s="625"/>
      <c r="AB63" s="625"/>
      <c r="AC63" s="625"/>
      <c r="AD63" s="658"/>
      <c r="AE63" s="625"/>
      <c r="AF63" s="659"/>
      <c r="AG63" s="625"/>
    </row>
    <row r="64">
      <c r="A64" s="646"/>
      <c r="B64" s="647"/>
      <c r="C64" s="78"/>
      <c r="D64" s="192"/>
      <c r="E64" s="643"/>
      <c r="F64" s="45"/>
      <c r="H64" s="286"/>
      <c r="I64" s="479"/>
      <c r="J64" s="479"/>
      <c r="K64" s="4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Z64" s="625"/>
      <c r="AA64" s="625"/>
      <c r="AB64" s="625"/>
      <c r="AC64" s="625"/>
      <c r="AD64" s="658"/>
      <c r="AE64" s="625"/>
      <c r="AF64" s="659"/>
      <c r="AG64" s="625"/>
    </row>
    <row r="65">
      <c r="A65" s="646"/>
      <c r="B65" s="647"/>
      <c r="C65" s="78"/>
      <c r="D65" s="192"/>
      <c r="E65" s="643"/>
      <c r="F65" s="45"/>
      <c r="H65" s="286"/>
      <c r="I65" s="479"/>
      <c r="J65" s="479"/>
      <c r="K65" s="4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Z65" s="625"/>
      <c r="AA65" s="625"/>
      <c r="AB65" s="625"/>
      <c r="AC65" s="625"/>
      <c r="AD65" s="658"/>
      <c r="AE65" s="625"/>
      <c r="AF65" s="659"/>
      <c r="AG65" s="625"/>
    </row>
    <row r="66">
      <c r="A66" s="646"/>
      <c r="B66" s="647"/>
      <c r="C66" s="78"/>
      <c r="D66" s="192"/>
      <c r="E66" s="643"/>
      <c r="F66" s="45"/>
      <c r="H66" s="504"/>
      <c r="I66" s="479"/>
      <c r="J66" s="505"/>
      <c r="K66" s="479"/>
      <c r="M66" s="79"/>
      <c r="N66" s="481"/>
      <c r="O66" s="545"/>
      <c r="P66" s="481"/>
      <c r="Q66" s="481"/>
      <c r="R66" s="545"/>
      <c r="S66" s="545"/>
      <c r="T66" s="481"/>
      <c r="U66" s="481"/>
      <c r="V66" s="481"/>
      <c r="W66" s="481"/>
      <c r="X66" s="545"/>
      <c r="Z66" s="625"/>
      <c r="AA66" s="625"/>
      <c r="AB66" s="625"/>
      <c r="AC66" s="625"/>
      <c r="AD66" s="658"/>
      <c r="AE66" s="625"/>
      <c r="AF66" s="659"/>
      <c r="AG66" s="625"/>
    </row>
    <row r="67">
      <c r="A67" s="646"/>
      <c r="B67" s="647"/>
      <c r="C67" s="78"/>
      <c r="D67" s="192"/>
      <c r="E67" s="643"/>
      <c r="F67" s="45"/>
      <c r="H67" s="286"/>
      <c r="I67" s="479"/>
      <c r="J67" s="479"/>
      <c r="K67" s="479"/>
      <c r="M67" s="79"/>
      <c r="N67" s="545"/>
      <c r="O67" s="545"/>
      <c r="P67" s="545"/>
      <c r="Q67" s="545"/>
      <c r="R67" s="545"/>
      <c r="S67" s="545"/>
      <c r="T67" s="545"/>
      <c r="U67" s="545"/>
      <c r="V67" s="545"/>
      <c r="W67" s="545"/>
      <c r="X67" s="545"/>
      <c r="AD67" s="130"/>
      <c r="AF67" s="106"/>
    </row>
    <row r="68">
      <c r="A68" s="646"/>
      <c r="B68" s="647"/>
      <c r="C68" s="78"/>
      <c r="D68" s="192"/>
      <c r="E68" s="643"/>
      <c r="F68" s="45"/>
      <c r="H68" s="634"/>
      <c r="I68" s="479"/>
      <c r="J68" s="505"/>
      <c r="K68" s="479"/>
      <c r="M68" s="79"/>
      <c r="N68" s="626"/>
      <c r="O68" s="626"/>
      <c r="P68" s="626"/>
      <c r="Q68" s="626"/>
      <c r="R68" s="626"/>
      <c r="S68" s="626"/>
      <c r="T68" s="626"/>
      <c r="U68" s="626"/>
      <c r="V68" s="626"/>
      <c r="W68" s="626"/>
      <c r="X68" s="626"/>
      <c r="AD68" s="130"/>
      <c r="AF68" s="106"/>
    </row>
    <row r="69">
      <c r="A69" s="646"/>
      <c r="B69" s="647"/>
      <c r="C69" s="78"/>
      <c r="D69" s="192"/>
      <c r="E69" s="643"/>
      <c r="F69" s="45"/>
      <c r="H69" s="634"/>
      <c r="I69" s="479"/>
      <c r="J69" s="505"/>
      <c r="K69" s="479"/>
      <c r="L69" s="625"/>
      <c r="M69" s="79"/>
      <c r="N69" s="626"/>
      <c r="O69" s="626"/>
      <c r="P69" s="626"/>
      <c r="Q69" s="626"/>
      <c r="R69" s="626"/>
      <c r="S69" s="626"/>
      <c r="T69" s="626"/>
      <c r="U69" s="626"/>
      <c r="V69" s="626"/>
      <c r="W69" s="626"/>
      <c r="X69" s="626"/>
      <c r="AD69" s="130"/>
      <c r="AF69" s="106"/>
    </row>
    <row r="70">
      <c r="E70" s="643"/>
      <c r="F70" s="45"/>
      <c r="H70" s="479"/>
      <c r="I70" s="481"/>
      <c r="J70" s="481"/>
      <c r="K70" s="481"/>
      <c r="L70" s="625"/>
      <c r="M70" s="79"/>
      <c r="N70" s="626"/>
      <c r="O70" s="626"/>
      <c r="P70" s="626"/>
      <c r="Q70" s="626"/>
      <c r="R70" s="626"/>
      <c r="S70" s="626"/>
      <c r="T70" s="626"/>
      <c r="U70" s="626"/>
      <c r="V70" s="626"/>
      <c r="W70" s="626"/>
      <c r="X70" s="626"/>
      <c r="AD70" s="130"/>
      <c r="AF70" s="106"/>
    </row>
    <row r="71">
      <c r="A71" s="646"/>
      <c r="B71" s="647"/>
      <c r="C71" s="78"/>
      <c r="D71" s="192"/>
      <c r="E71" s="643"/>
      <c r="F71" s="45"/>
      <c r="H71" s="479"/>
      <c r="I71" s="481"/>
      <c r="J71" s="481"/>
      <c r="K71" s="481"/>
      <c r="L71" s="625"/>
      <c r="M71" s="79"/>
      <c r="N71" s="626"/>
      <c r="O71" s="626"/>
      <c r="P71" s="626"/>
      <c r="Q71" s="626"/>
      <c r="R71" s="626"/>
      <c r="S71" s="626"/>
      <c r="T71" s="626"/>
      <c r="U71" s="626"/>
      <c r="V71" s="626"/>
      <c r="W71" s="626"/>
      <c r="X71" s="626"/>
      <c r="AD71" s="130"/>
      <c r="AF71" s="106"/>
    </row>
    <row r="72">
      <c r="A72" s="646"/>
      <c r="B72" s="647"/>
      <c r="C72" s="78"/>
      <c r="D72" s="192"/>
      <c r="E72" s="643"/>
      <c r="F72" s="45"/>
      <c r="H72" s="479"/>
      <c r="I72" s="481"/>
      <c r="J72" s="481"/>
      <c r="K72" s="481"/>
      <c r="L72" s="625"/>
      <c r="M72" s="79"/>
      <c r="N72" s="626"/>
      <c r="O72" s="626"/>
      <c r="P72" s="626"/>
      <c r="Q72" s="626"/>
      <c r="R72" s="626"/>
      <c r="S72" s="626"/>
      <c r="T72" s="626"/>
      <c r="U72" s="626"/>
      <c r="V72" s="626"/>
      <c r="W72" s="626"/>
      <c r="X72" s="626"/>
      <c r="AD72" s="130"/>
      <c r="AF72" s="106"/>
    </row>
    <row r="73">
      <c r="A73" s="646"/>
      <c r="B73" s="647"/>
      <c r="C73" s="78"/>
      <c r="D73" s="192"/>
      <c r="E73" s="643"/>
      <c r="F73" s="45"/>
      <c r="H73" s="479"/>
      <c r="I73" s="481"/>
      <c r="J73" s="481"/>
      <c r="K73" s="481"/>
      <c r="L73" s="625"/>
      <c r="M73" s="79"/>
      <c r="N73" s="626"/>
      <c r="O73" s="626"/>
      <c r="P73" s="626"/>
      <c r="Q73" s="626"/>
      <c r="R73" s="626"/>
      <c r="S73" s="626"/>
      <c r="T73" s="626"/>
      <c r="U73" s="626"/>
      <c r="V73" s="626"/>
      <c r="W73" s="626"/>
      <c r="X73" s="626"/>
      <c r="AD73" s="130"/>
      <c r="AF73" s="106"/>
    </row>
    <row r="74">
      <c r="A74" s="646"/>
      <c r="B74" s="647"/>
      <c r="C74" s="78"/>
      <c r="D74" s="192"/>
      <c r="E74" s="643"/>
      <c r="F74" s="45"/>
      <c r="H74" s="479"/>
      <c r="I74" s="481"/>
      <c r="J74" s="481"/>
      <c r="K74" s="481"/>
      <c r="L74" s="625"/>
      <c r="M74" s="79"/>
      <c r="N74" s="626"/>
      <c r="O74" s="626"/>
      <c r="P74" s="626"/>
      <c r="Q74" s="626"/>
      <c r="R74" s="626"/>
      <c r="S74" s="626"/>
      <c r="T74" s="626"/>
      <c r="U74" s="626"/>
      <c r="V74" s="626"/>
      <c r="W74" s="626"/>
      <c r="X74" s="626"/>
      <c r="AD74" s="130"/>
      <c r="AF74" s="106"/>
    </row>
    <row r="75">
      <c r="A75" s="646"/>
      <c r="B75" s="647"/>
      <c r="C75" s="78"/>
      <c r="D75" s="192"/>
      <c r="E75" s="643"/>
      <c r="F75" s="45"/>
      <c r="H75" s="479"/>
      <c r="I75" s="481"/>
      <c r="J75" s="481"/>
      <c r="K75" s="481"/>
      <c r="L75" s="625"/>
      <c r="M75" s="79"/>
      <c r="N75" s="626"/>
      <c r="O75" s="626"/>
      <c r="P75" s="626"/>
      <c r="Q75" s="626"/>
      <c r="R75" s="626"/>
      <c r="S75" s="626"/>
      <c r="T75" s="626"/>
      <c r="U75" s="626"/>
      <c r="V75" s="626"/>
      <c r="W75" s="626"/>
      <c r="X75" s="626"/>
      <c r="AD75" s="130"/>
      <c r="AF75" s="106"/>
    </row>
    <row r="76">
      <c r="A76" s="646"/>
      <c r="B76" s="647"/>
      <c r="C76" s="78"/>
      <c r="D76" s="192"/>
      <c r="E76" s="643"/>
      <c r="F76" s="45"/>
      <c r="H76" s="479"/>
      <c r="I76" s="481"/>
      <c r="J76" s="481"/>
      <c r="K76" s="481"/>
      <c r="L76" s="625"/>
      <c r="M76" s="79"/>
      <c r="N76" s="626"/>
      <c r="O76" s="626"/>
      <c r="P76" s="626"/>
      <c r="Q76" s="626"/>
      <c r="R76" s="626"/>
      <c r="S76" s="626"/>
      <c r="T76" s="626"/>
      <c r="U76" s="626"/>
      <c r="V76" s="626"/>
      <c r="W76" s="626"/>
      <c r="X76" s="626"/>
      <c r="AD76" s="130"/>
      <c r="AF76" s="106"/>
    </row>
    <row r="77">
      <c r="A77" s="646"/>
      <c r="B77" s="647"/>
      <c r="C77" s="78"/>
      <c r="D77" s="192"/>
      <c r="E77" s="643"/>
      <c r="F77" s="45"/>
      <c r="O77" s="79"/>
      <c r="R77" s="79"/>
      <c r="S77" s="79"/>
      <c r="X77" s="79"/>
      <c r="AD77" s="130"/>
      <c r="AF77" s="106"/>
    </row>
    <row r="78">
      <c r="A78" s="646"/>
      <c r="B78" s="647"/>
      <c r="C78" s="78"/>
      <c r="D78" s="192"/>
      <c r="E78" s="643"/>
      <c r="F78" s="45"/>
      <c r="O78" s="79"/>
      <c r="R78" s="79"/>
      <c r="S78" s="79"/>
      <c r="X78" s="79"/>
      <c r="AD78" s="130"/>
      <c r="AF78" s="106"/>
    </row>
    <row r="79">
      <c r="A79" s="646"/>
      <c r="B79" s="647"/>
      <c r="C79" s="78"/>
      <c r="D79" s="192"/>
      <c r="E79" s="643"/>
      <c r="F79" s="45"/>
      <c r="O79" s="79"/>
      <c r="R79" s="79"/>
      <c r="S79" s="79"/>
      <c r="X79" s="79"/>
      <c r="AD79" s="130"/>
      <c r="AF79" s="106"/>
    </row>
    <row r="80">
      <c r="A80" s="646"/>
      <c r="B80" s="647"/>
      <c r="C80" s="78"/>
      <c r="D80" s="192"/>
      <c r="E80" s="643"/>
      <c r="F80" s="45"/>
      <c r="O80" s="79"/>
      <c r="R80" s="79"/>
      <c r="S80" s="79"/>
      <c r="X80" s="79"/>
      <c r="AD80" s="130"/>
      <c r="AF80" s="106"/>
    </row>
    <row r="81">
      <c r="A81" s="646"/>
      <c r="B81" s="647"/>
      <c r="C81" s="78"/>
      <c r="D81" s="192"/>
      <c r="E81" s="643"/>
      <c r="F81" s="45"/>
      <c r="O81" s="79"/>
      <c r="R81" s="79"/>
      <c r="S81" s="79"/>
      <c r="X81" s="79"/>
      <c r="AD81" s="130"/>
      <c r="AF81" s="106"/>
    </row>
    <row r="82">
      <c r="A82" s="646"/>
      <c r="B82" s="647"/>
      <c r="C82" s="78"/>
      <c r="D82" s="192"/>
      <c r="E82" s="643"/>
      <c r="F82" s="45"/>
      <c r="O82" s="79"/>
      <c r="R82" s="79"/>
      <c r="S82" s="79"/>
      <c r="X82" s="79"/>
      <c r="AD82" s="130"/>
      <c r="AF82" s="106"/>
    </row>
    <row r="83">
      <c r="A83" s="646"/>
      <c r="B83" s="647"/>
      <c r="C83" s="78"/>
      <c r="D83" s="192"/>
      <c r="E83" s="643"/>
      <c r="F83" s="45"/>
      <c r="H83" s="660" t="s">
        <v>895</v>
      </c>
      <c r="O83" s="79"/>
      <c r="R83" s="79"/>
      <c r="S83" s="79"/>
      <c r="X83" s="79"/>
      <c r="AD83" s="130"/>
      <c r="AF83" s="106"/>
    </row>
    <row r="84">
      <c r="A84" s="646"/>
      <c r="B84" s="647"/>
      <c r="C84" s="78"/>
      <c r="D84" s="192"/>
      <c r="E84" s="643"/>
      <c r="F84" s="45"/>
      <c r="H84" s="661">
        <v>45679.0</v>
      </c>
      <c r="I84" s="662" t="s">
        <v>139</v>
      </c>
      <c r="J84" s="662">
        <v>6.6700071E7</v>
      </c>
      <c r="K84" s="662" t="s">
        <v>896</v>
      </c>
      <c r="L84" s="662" t="s">
        <v>897</v>
      </c>
      <c r="M84" s="662" t="s">
        <v>898</v>
      </c>
      <c r="N84" s="663">
        <v>37.88</v>
      </c>
      <c r="O84" s="662"/>
      <c r="R84" s="79"/>
      <c r="S84" s="79"/>
      <c r="X84" s="79"/>
      <c r="AD84" s="130"/>
      <c r="AF84" s="106"/>
    </row>
    <row r="85">
      <c r="A85" s="646"/>
      <c r="B85" s="647"/>
      <c r="C85" s="78"/>
      <c r="D85" s="192"/>
      <c r="E85" s="643"/>
      <c r="F85" s="45"/>
      <c r="H85" s="661">
        <v>45680.0</v>
      </c>
      <c r="I85" s="662" t="s">
        <v>139</v>
      </c>
      <c r="J85" s="662">
        <v>6.6712975E7</v>
      </c>
      <c r="K85" s="662" t="s">
        <v>896</v>
      </c>
      <c r="L85" s="662" t="s">
        <v>897</v>
      </c>
      <c r="M85" s="662" t="s">
        <v>899</v>
      </c>
      <c r="N85" s="663">
        <v>23.65</v>
      </c>
      <c r="O85" s="662"/>
      <c r="R85" s="79"/>
      <c r="S85" s="79"/>
      <c r="X85" s="79"/>
      <c r="AD85" s="130"/>
      <c r="AF85" s="106"/>
    </row>
    <row r="86">
      <c r="A86" s="646"/>
      <c r="B86" s="647"/>
      <c r="C86" s="78"/>
      <c r="D86" s="192"/>
      <c r="E86" s="643"/>
      <c r="F86" s="45"/>
      <c r="H86" s="661">
        <v>45680.0</v>
      </c>
      <c r="I86" s="662" t="s">
        <v>139</v>
      </c>
      <c r="J86" s="662">
        <v>6.6712975E7</v>
      </c>
      <c r="K86" s="662" t="s">
        <v>896</v>
      </c>
      <c r="L86" s="662" t="s">
        <v>897</v>
      </c>
      <c r="M86" s="662" t="s">
        <v>900</v>
      </c>
      <c r="N86" s="663">
        <v>47.2</v>
      </c>
      <c r="O86" s="662"/>
      <c r="R86" s="79"/>
      <c r="S86" s="79"/>
      <c r="X86" s="79"/>
      <c r="AD86" s="130"/>
      <c r="AF86" s="106"/>
    </row>
    <row r="87">
      <c r="A87" s="646"/>
      <c r="B87" s="647"/>
      <c r="C87" s="78"/>
      <c r="D87" s="192"/>
      <c r="E87" s="643"/>
      <c r="F87" s="45"/>
      <c r="H87" s="661">
        <v>45682.0</v>
      </c>
      <c r="I87" s="662" t="s">
        <v>139</v>
      </c>
      <c r="J87" s="662">
        <v>6.674436E7</v>
      </c>
      <c r="K87" s="662" t="s">
        <v>896</v>
      </c>
      <c r="L87" s="662" t="s">
        <v>897</v>
      </c>
      <c r="M87" s="662" t="s">
        <v>900</v>
      </c>
      <c r="N87" s="663">
        <v>23.6</v>
      </c>
      <c r="O87" s="662"/>
      <c r="R87" s="79"/>
      <c r="S87" s="79"/>
      <c r="X87" s="79"/>
      <c r="AD87" s="130"/>
      <c r="AF87" s="106"/>
    </row>
    <row r="88">
      <c r="A88" s="646"/>
      <c r="B88" s="647"/>
      <c r="C88" s="78"/>
      <c r="D88" s="192"/>
      <c r="E88" s="643"/>
      <c r="F88" s="45"/>
      <c r="H88" s="661">
        <v>45682.0</v>
      </c>
      <c r="I88" s="662" t="s">
        <v>139</v>
      </c>
      <c r="J88" s="662">
        <v>6.674436E7</v>
      </c>
      <c r="K88" s="662" t="s">
        <v>896</v>
      </c>
      <c r="L88" s="662" t="s">
        <v>897</v>
      </c>
      <c r="M88" s="662" t="s">
        <v>898</v>
      </c>
      <c r="N88" s="664">
        <v>37.88</v>
      </c>
      <c r="O88" s="662"/>
      <c r="R88" s="79"/>
      <c r="S88" s="79"/>
      <c r="X88" s="79"/>
      <c r="AD88" s="130"/>
      <c r="AF88" s="106"/>
    </row>
    <row r="89">
      <c r="A89" s="646"/>
      <c r="B89" s="647"/>
      <c r="C89" s="78"/>
      <c r="D89" s="192"/>
      <c r="E89" s="643"/>
      <c r="F89" s="45"/>
      <c r="H89" s="661">
        <v>45682.0</v>
      </c>
      <c r="I89" s="662" t="s">
        <v>139</v>
      </c>
      <c r="J89" s="662">
        <v>6.674436E7</v>
      </c>
      <c r="K89" s="662" t="s">
        <v>896</v>
      </c>
      <c r="L89" s="662" t="s">
        <v>897</v>
      </c>
      <c r="M89" s="662" t="s">
        <v>901</v>
      </c>
      <c r="N89" s="663">
        <v>44.64</v>
      </c>
      <c r="O89" s="662"/>
      <c r="R89" s="79"/>
      <c r="S89" s="79"/>
      <c r="X89" s="79"/>
      <c r="AD89" s="130"/>
      <c r="AF89" s="106"/>
    </row>
    <row r="90">
      <c r="A90" s="646"/>
      <c r="B90" s="647"/>
      <c r="C90" s="78"/>
      <c r="D90" s="192"/>
      <c r="E90" s="643"/>
      <c r="F90" s="45"/>
      <c r="H90" s="661">
        <v>45678.0</v>
      </c>
      <c r="I90" s="662" t="s">
        <v>139</v>
      </c>
      <c r="J90" s="662">
        <v>6.6685638E7</v>
      </c>
      <c r="K90" s="662" t="s">
        <v>896</v>
      </c>
      <c r="L90" s="662" t="s">
        <v>897</v>
      </c>
      <c r="M90" s="662" t="s">
        <v>902</v>
      </c>
      <c r="N90" s="664">
        <v>129.96</v>
      </c>
      <c r="O90" s="662"/>
      <c r="R90" s="79"/>
      <c r="S90" s="79"/>
      <c r="X90" s="79"/>
      <c r="AD90" s="130"/>
      <c r="AF90" s="106"/>
    </row>
    <row r="91">
      <c r="A91" s="646"/>
      <c r="B91" s="647"/>
      <c r="C91" s="78"/>
      <c r="D91" s="192"/>
      <c r="E91" s="643"/>
      <c r="F91" s="45"/>
      <c r="H91" s="661">
        <v>45678.0</v>
      </c>
      <c r="I91" s="662" t="s">
        <v>139</v>
      </c>
      <c r="J91" s="662">
        <v>6.6685638E7</v>
      </c>
      <c r="K91" s="662" t="s">
        <v>896</v>
      </c>
      <c r="L91" s="662" t="s">
        <v>897</v>
      </c>
      <c r="M91" s="662" t="s">
        <v>903</v>
      </c>
      <c r="N91" s="663">
        <v>7.95</v>
      </c>
      <c r="O91" s="662"/>
      <c r="R91" s="79"/>
      <c r="S91" s="79"/>
      <c r="X91" s="79"/>
      <c r="AD91" s="130"/>
      <c r="AF91" s="106"/>
    </row>
    <row r="92">
      <c r="A92" s="646"/>
      <c r="B92" s="647"/>
      <c r="C92" s="78"/>
      <c r="D92" s="192"/>
      <c r="E92" s="643"/>
      <c r="F92" s="45"/>
      <c r="H92" s="661"/>
      <c r="I92" s="662"/>
      <c r="J92" s="662"/>
      <c r="K92" s="662"/>
      <c r="L92" s="662"/>
      <c r="M92" s="662"/>
      <c r="N92" s="663"/>
      <c r="O92" s="662"/>
      <c r="R92" s="79"/>
      <c r="S92" s="79"/>
      <c r="X92" s="79"/>
      <c r="AD92" s="130"/>
      <c r="AF92" s="106"/>
    </row>
    <row r="93">
      <c r="A93" s="646"/>
      <c r="B93" s="647"/>
      <c r="C93" s="78"/>
      <c r="D93" s="192"/>
      <c r="E93" s="643"/>
      <c r="F93" s="45"/>
      <c r="H93" s="661">
        <v>45680.0</v>
      </c>
      <c r="I93" s="662" t="s">
        <v>139</v>
      </c>
      <c r="J93" s="662">
        <v>6.6712975E7</v>
      </c>
      <c r="K93" s="662" t="s">
        <v>896</v>
      </c>
      <c r="L93" s="662" t="s">
        <v>897</v>
      </c>
      <c r="M93" s="662" t="s">
        <v>904</v>
      </c>
      <c r="N93" s="663">
        <v>105.98</v>
      </c>
      <c r="O93" s="662"/>
      <c r="R93" s="79"/>
      <c r="S93" s="79"/>
      <c r="X93" s="79"/>
      <c r="AD93" s="130"/>
      <c r="AF93" s="106"/>
    </row>
    <row r="94">
      <c r="A94" s="646"/>
      <c r="B94" s="647"/>
      <c r="C94" s="78"/>
      <c r="D94" s="192"/>
      <c r="E94" s="643"/>
      <c r="F94" s="45"/>
      <c r="H94" s="661">
        <v>45682.0</v>
      </c>
      <c r="I94" s="662" t="s">
        <v>139</v>
      </c>
      <c r="J94" s="662" t="s">
        <v>905</v>
      </c>
      <c r="K94" s="662" t="s">
        <v>906</v>
      </c>
      <c r="L94" s="662" t="s">
        <v>897</v>
      </c>
      <c r="M94" s="662" t="s">
        <v>907</v>
      </c>
      <c r="N94" s="663">
        <v>64.24</v>
      </c>
      <c r="O94" s="662"/>
      <c r="R94" s="79"/>
      <c r="S94" s="79"/>
      <c r="X94" s="79"/>
      <c r="AD94" s="130"/>
      <c r="AF94" s="106"/>
    </row>
    <row r="95">
      <c r="A95" s="646"/>
      <c r="B95" s="647"/>
      <c r="C95" s="78"/>
      <c r="D95" s="192"/>
      <c r="E95" s="643"/>
      <c r="F95" s="45"/>
      <c r="H95" s="661">
        <v>45683.0</v>
      </c>
      <c r="I95" s="662" t="s">
        <v>908</v>
      </c>
      <c r="J95" s="662" t="s">
        <v>909</v>
      </c>
      <c r="K95" s="665"/>
      <c r="L95" s="662" t="s">
        <v>897</v>
      </c>
      <c r="M95" s="662" t="s">
        <v>910</v>
      </c>
      <c r="N95" s="664">
        <v>1928.37</v>
      </c>
      <c r="O95" s="662"/>
      <c r="R95" s="79"/>
      <c r="S95" s="79"/>
      <c r="X95" s="79"/>
      <c r="AD95" s="130"/>
      <c r="AF95" s="106"/>
    </row>
    <row r="96">
      <c r="C96" s="79"/>
      <c r="D96" s="79"/>
      <c r="E96" s="79"/>
      <c r="H96" s="661">
        <v>45678.0</v>
      </c>
      <c r="I96" s="662" t="s">
        <v>139</v>
      </c>
      <c r="J96" s="662">
        <v>4964983.0</v>
      </c>
      <c r="K96" s="662" t="s">
        <v>911</v>
      </c>
      <c r="L96" s="662" t="s">
        <v>897</v>
      </c>
      <c r="M96" s="662" t="s">
        <v>912</v>
      </c>
      <c r="N96" s="664">
        <v>84.7</v>
      </c>
      <c r="O96" s="662"/>
      <c r="R96" s="79"/>
      <c r="S96" s="79"/>
      <c r="X96" s="79"/>
      <c r="AD96" s="130"/>
      <c r="AF96" s="106"/>
    </row>
    <row r="97">
      <c r="C97" s="79"/>
      <c r="D97" s="79"/>
      <c r="E97" s="79"/>
      <c r="H97" s="661">
        <v>45679.0</v>
      </c>
      <c r="I97" s="662" t="s">
        <v>139</v>
      </c>
      <c r="J97" s="662">
        <v>6.670053E7</v>
      </c>
      <c r="K97" s="662" t="s">
        <v>896</v>
      </c>
      <c r="L97" s="662" t="s">
        <v>897</v>
      </c>
      <c r="M97" s="662" t="s">
        <v>913</v>
      </c>
      <c r="N97" s="666">
        <v>380.13</v>
      </c>
      <c r="O97" s="662"/>
      <c r="R97" s="79"/>
      <c r="S97" s="79"/>
      <c r="X97" s="79"/>
      <c r="AD97" s="130"/>
      <c r="AF97" s="106"/>
    </row>
    <row r="98">
      <c r="C98" s="79"/>
      <c r="D98" s="79"/>
      <c r="E98" s="79"/>
      <c r="H98" s="661">
        <v>45680.0</v>
      </c>
      <c r="I98" s="662" t="s">
        <v>139</v>
      </c>
      <c r="J98" s="662">
        <v>4967413.0</v>
      </c>
      <c r="K98" s="662" t="s">
        <v>911</v>
      </c>
      <c r="L98" s="662" t="s">
        <v>897</v>
      </c>
      <c r="M98" s="662" t="s">
        <v>912</v>
      </c>
      <c r="N98" s="663">
        <v>84.7</v>
      </c>
      <c r="O98" s="662"/>
      <c r="R98" s="79"/>
      <c r="S98" s="79"/>
      <c r="X98" s="79"/>
      <c r="AD98" s="130"/>
      <c r="AF98" s="106"/>
    </row>
    <row r="99">
      <c r="C99" s="79"/>
      <c r="D99" s="79"/>
      <c r="E99" s="79"/>
      <c r="H99" s="661">
        <v>45678.0</v>
      </c>
      <c r="I99" s="662" t="s">
        <v>139</v>
      </c>
      <c r="J99" s="662" t="s">
        <v>914</v>
      </c>
      <c r="K99" s="662" t="s">
        <v>915</v>
      </c>
      <c r="L99" s="662" t="s">
        <v>897</v>
      </c>
      <c r="M99" s="662" t="s">
        <v>916</v>
      </c>
      <c r="N99" s="664">
        <v>72.0</v>
      </c>
      <c r="O99" s="662"/>
      <c r="R99" s="79"/>
      <c r="S99" s="79"/>
      <c r="X99" s="79"/>
      <c r="AD99" s="130"/>
      <c r="AF99" s="106"/>
    </row>
    <row r="100">
      <c r="C100" s="79"/>
      <c r="D100" s="79"/>
      <c r="E100" s="79"/>
      <c r="H100" s="661">
        <v>45678.0</v>
      </c>
      <c r="I100" s="662" t="s">
        <v>139</v>
      </c>
      <c r="J100" s="662" t="s">
        <v>914</v>
      </c>
      <c r="K100" s="662" t="s">
        <v>915</v>
      </c>
      <c r="L100" s="662" t="s">
        <v>897</v>
      </c>
      <c r="M100" s="662" t="s">
        <v>917</v>
      </c>
      <c r="N100" s="664">
        <v>78.0</v>
      </c>
      <c r="O100" s="662"/>
      <c r="R100" s="79"/>
      <c r="S100" s="79"/>
      <c r="X100" s="79"/>
      <c r="AD100" s="130"/>
      <c r="AF100" s="106"/>
    </row>
    <row r="101">
      <c r="C101" s="79"/>
      <c r="D101" s="79"/>
      <c r="E101" s="79"/>
      <c r="H101" s="661">
        <v>45679.0</v>
      </c>
      <c r="I101" s="662" t="s">
        <v>139</v>
      </c>
      <c r="J101" s="662">
        <v>6.6700071E7</v>
      </c>
      <c r="K101" s="662" t="s">
        <v>896</v>
      </c>
      <c r="L101" s="662" t="s">
        <v>897</v>
      </c>
      <c r="M101" s="662" t="s">
        <v>918</v>
      </c>
      <c r="N101" s="663">
        <v>52.86</v>
      </c>
      <c r="O101" s="662"/>
      <c r="R101" s="79"/>
      <c r="S101" s="79"/>
      <c r="X101" s="79"/>
      <c r="AD101" s="130"/>
      <c r="AF101" s="106"/>
    </row>
    <row r="102">
      <c r="C102" s="79"/>
      <c r="D102" s="79"/>
      <c r="E102" s="79"/>
      <c r="H102" s="661">
        <v>45679.0</v>
      </c>
      <c r="I102" s="662" t="s">
        <v>139</v>
      </c>
      <c r="J102" s="662">
        <v>6.6700071E7</v>
      </c>
      <c r="K102" s="662" t="s">
        <v>896</v>
      </c>
      <c r="L102" s="662" t="s">
        <v>897</v>
      </c>
      <c r="M102" s="662" t="s">
        <v>919</v>
      </c>
      <c r="N102" s="663">
        <v>13.02</v>
      </c>
      <c r="O102" s="662"/>
      <c r="R102" s="79"/>
      <c r="S102" s="79"/>
      <c r="X102" s="79"/>
      <c r="AD102" s="130"/>
      <c r="AF102" s="106"/>
    </row>
    <row r="103">
      <c r="C103" s="79"/>
      <c r="D103" s="79"/>
      <c r="E103" s="79"/>
      <c r="H103" s="661">
        <v>45679.0</v>
      </c>
      <c r="I103" s="662" t="s">
        <v>139</v>
      </c>
      <c r="J103" s="662">
        <v>6.6700071E7</v>
      </c>
      <c r="K103" s="662" t="s">
        <v>896</v>
      </c>
      <c r="L103" s="662" t="s">
        <v>897</v>
      </c>
      <c r="M103" s="662" t="s">
        <v>920</v>
      </c>
      <c r="N103" s="663">
        <v>17.4</v>
      </c>
      <c r="O103" s="662"/>
      <c r="R103" s="79"/>
      <c r="S103" s="79"/>
      <c r="X103" s="79"/>
      <c r="AD103" s="130"/>
      <c r="AF103" s="106"/>
    </row>
    <row r="104">
      <c r="C104" s="79"/>
      <c r="D104" s="79"/>
      <c r="E104" s="79"/>
      <c r="H104" s="661">
        <v>45679.0</v>
      </c>
      <c r="I104" s="662" t="s">
        <v>139</v>
      </c>
      <c r="J104" s="662">
        <v>6.6700071E7</v>
      </c>
      <c r="K104" s="662" t="s">
        <v>896</v>
      </c>
      <c r="L104" s="662" t="s">
        <v>897</v>
      </c>
      <c r="M104" s="662" t="s">
        <v>921</v>
      </c>
      <c r="N104" s="664">
        <v>8.47</v>
      </c>
      <c r="O104" s="662"/>
      <c r="R104" s="79"/>
      <c r="S104" s="79"/>
      <c r="X104" s="79"/>
      <c r="AD104" s="130"/>
      <c r="AF104" s="106"/>
    </row>
    <row r="105">
      <c r="C105" s="79"/>
      <c r="D105" s="79"/>
      <c r="E105" s="79"/>
      <c r="H105" s="661">
        <v>45679.0</v>
      </c>
      <c r="I105" s="662" t="s">
        <v>139</v>
      </c>
      <c r="J105" s="662">
        <v>6.6700071E7</v>
      </c>
      <c r="K105" s="662" t="s">
        <v>896</v>
      </c>
      <c r="L105" s="662" t="s">
        <v>897</v>
      </c>
      <c r="M105" s="662" t="s">
        <v>922</v>
      </c>
      <c r="N105" s="663">
        <v>8.65</v>
      </c>
      <c r="O105" s="662"/>
      <c r="R105" s="79"/>
      <c r="S105" s="79"/>
      <c r="X105" s="79"/>
      <c r="AD105" s="130"/>
      <c r="AF105" s="106"/>
    </row>
    <row r="106">
      <c r="C106" s="79"/>
      <c r="D106" s="79"/>
      <c r="E106" s="79"/>
      <c r="H106" s="661">
        <v>45679.0</v>
      </c>
      <c r="I106" s="662" t="s">
        <v>139</v>
      </c>
      <c r="J106" s="662" t="s">
        <v>923</v>
      </c>
      <c r="K106" s="662" t="s">
        <v>906</v>
      </c>
      <c r="L106" s="662" t="s">
        <v>897</v>
      </c>
      <c r="M106" s="662" t="s">
        <v>924</v>
      </c>
      <c r="N106" s="663">
        <v>122.8</v>
      </c>
      <c r="O106" s="662"/>
      <c r="R106" s="79"/>
      <c r="S106" s="79"/>
      <c r="X106" s="79"/>
      <c r="AD106" s="130"/>
      <c r="AF106" s="106"/>
    </row>
    <row r="107">
      <c r="C107" s="79"/>
      <c r="D107" s="79"/>
      <c r="E107" s="79"/>
      <c r="H107" s="661">
        <v>45679.0</v>
      </c>
      <c r="I107" s="662" t="s">
        <v>139</v>
      </c>
      <c r="J107" s="662" t="s">
        <v>923</v>
      </c>
      <c r="K107" s="662" t="s">
        <v>906</v>
      </c>
      <c r="L107" s="662" t="s">
        <v>897</v>
      </c>
      <c r="M107" s="662" t="s">
        <v>925</v>
      </c>
      <c r="N107" s="663">
        <v>105.3</v>
      </c>
      <c r="O107" s="662"/>
      <c r="R107" s="79"/>
      <c r="S107" s="79"/>
      <c r="X107" s="79"/>
      <c r="AD107" s="130"/>
      <c r="AF107" s="106"/>
    </row>
    <row r="108">
      <c r="C108" s="79"/>
      <c r="D108" s="79"/>
      <c r="E108" s="79"/>
      <c r="H108" s="661">
        <v>45679.0</v>
      </c>
      <c r="I108" s="662" t="s">
        <v>139</v>
      </c>
      <c r="J108" s="662" t="s">
        <v>923</v>
      </c>
      <c r="K108" s="662" t="s">
        <v>906</v>
      </c>
      <c r="L108" s="662" t="s">
        <v>897</v>
      </c>
      <c r="M108" s="662" t="s">
        <v>926</v>
      </c>
      <c r="N108" s="664">
        <v>152.4</v>
      </c>
      <c r="O108" s="662"/>
      <c r="R108" s="79"/>
      <c r="S108" s="79"/>
      <c r="X108" s="79"/>
      <c r="AD108" s="130"/>
      <c r="AF108" s="106"/>
    </row>
    <row r="109">
      <c r="C109" s="79"/>
      <c r="D109" s="79"/>
      <c r="E109" s="79"/>
      <c r="H109" s="661">
        <v>45679.0</v>
      </c>
      <c r="I109" s="662" t="s">
        <v>139</v>
      </c>
      <c r="J109" s="662" t="s">
        <v>923</v>
      </c>
      <c r="K109" s="662" t="s">
        <v>906</v>
      </c>
      <c r="L109" s="662" t="s">
        <v>897</v>
      </c>
      <c r="M109" s="662" t="s">
        <v>903</v>
      </c>
      <c r="N109" s="664">
        <v>5.0</v>
      </c>
      <c r="O109" s="662"/>
      <c r="R109" s="79"/>
      <c r="S109" s="79"/>
      <c r="X109" s="79"/>
      <c r="AD109" s="130"/>
      <c r="AF109" s="106"/>
    </row>
    <row r="110">
      <c r="C110" s="79"/>
      <c r="D110" s="79"/>
      <c r="E110" s="79"/>
      <c r="H110" s="661">
        <v>45682.0</v>
      </c>
      <c r="I110" s="662" t="s">
        <v>139</v>
      </c>
      <c r="J110" s="662" t="s">
        <v>905</v>
      </c>
      <c r="K110" s="662" t="s">
        <v>906</v>
      </c>
      <c r="L110" s="662" t="s">
        <v>897</v>
      </c>
      <c r="M110" s="662" t="s">
        <v>925</v>
      </c>
      <c r="N110" s="664">
        <v>105.3</v>
      </c>
      <c r="O110" s="662"/>
      <c r="R110" s="79"/>
      <c r="S110" s="79"/>
      <c r="X110" s="79"/>
      <c r="AD110" s="130"/>
      <c r="AF110" s="106"/>
    </row>
    <row r="111">
      <c r="C111" s="79"/>
      <c r="D111" s="79"/>
      <c r="E111" s="79"/>
      <c r="H111" s="661">
        <v>45680.0</v>
      </c>
      <c r="I111" s="662" t="s">
        <v>139</v>
      </c>
      <c r="J111" s="662">
        <v>6.6712975E7</v>
      </c>
      <c r="K111" s="662" t="s">
        <v>896</v>
      </c>
      <c r="L111" s="662" t="s">
        <v>897</v>
      </c>
      <c r="M111" s="662" t="s">
        <v>927</v>
      </c>
      <c r="N111" s="664">
        <v>17.8</v>
      </c>
      <c r="O111" s="662"/>
      <c r="R111" s="79"/>
      <c r="S111" s="79"/>
      <c r="X111" s="79"/>
      <c r="AD111" s="130"/>
      <c r="AF111" s="106"/>
    </row>
    <row r="112">
      <c r="C112" s="79"/>
      <c r="D112" s="79"/>
      <c r="E112" s="79"/>
      <c r="N112" s="667">
        <f>sum(N84:N111)</f>
        <v>3759.88</v>
      </c>
      <c r="O112" s="79"/>
      <c r="R112" s="79"/>
      <c r="S112" s="79"/>
      <c r="X112" s="79"/>
      <c r="AD112" s="130"/>
      <c r="AF112" s="106"/>
    </row>
    <row r="113">
      <c r="C113" s="79"/>
      <c r="D113" s="79"/>
      <c r="E113" s="79"/>
      <c r="O113" s="79"/>
      <c r="R113" s="79"/>
      <c r="S113" s="79"/>
      <c r="X113" s="79"/>
      <c r="AD113" s="130"/>
      <c r="AF113" s="106"/>
    </row>
    <row r="114">
      <c r="C114" s="79"/>
      <c r="D114" s="79"/>
      <c r="E114" s="79"/>
      <c r="O114" s="79"/>
      <c r="R114" s="79"/>
      <c r="S114" s="79"/>
      <c r="X114" s="79"/>
      <c r="AD114" s="130"/>
      <c r="AF114" s="106"/>
    </row>
    <row r="115">
      <c r="C115" s="79"/>
      <c r="D115" s="79"/>
      <c r="E115" s="79"/>
      <c r="O115" s="79"/>
      <c r="R115" s="79"/>
      <c r="S115" s="79"/>
      <c r="X115" s="79"/>
      <c r="AD115" s="130"/>
      <c r="AF115" s="106"/>
    </row>
    <row r="116">
      <c r="C116" s="79"/>
      <c r="D116" s="79"/>
      <c r="E116" s="79"/>
      <c r="H116" s="661">
        <v>45679.0</v>
      </c>
      <c r="I116" s="662" t="s">
        <v>139</v>
      </c>
      <c r="J116" s="662">
        <v>612376.0</v>
      </c>
      <c r="K116" s="662" t="s">
        <v>928</v>
      </c>
      <c r="L116" s="662" t="s">
        <v>897</v>
      </c>
      <c r="M116" s="662" t="s">
        <v>910</v>
      </c>
      <c r="N116" s="663">
        <v>2661.57</v>
      </c>
      <c r="O116" s="79"/>
      <c r="R116" s="79"/>
      <c r="S116" s="79"/>
      <c r="X116" s="79"/>
      <c r="AD116" s="130"/>
      <c r="AF116" s="106"/>
    </row>
    <row r="117">
      <c r="C117" s="79"/>
      <c r="D117" s="79"/>
      <c r="E117" s="79"/>
      <c r="O117" s="79"/>
      <c r="R117" s="79"/>
      <c r="S117" s="79"/>
      <c r="X117" s="79"/>
      <c r="AD117" s="130"/>
      <c r="AF117" s="106"/>
    </row>
    <row r="118">
      <c r="C118" s="79"/>
      <c r="D118" s="79"/>
      <c r="E118" s="79"/>
      <c r="O118" s="79"/>
      <c r="R118" s="79"/>
      <c r="S118" s="79"/>
      <c r="X118" s="79"/>
      <c r="AD118" s="130"/>
      <c r="AF118" s="106"/>
    </row>
    <row r="119">
      <c r="C119" s="79"/>
      <c r="D119" s="79"/>
      <c r="E119" s="79"/>
      <c r="O119" s="79"/>
      <c r="R119" s="79"/>
      <c r="S119" s="79"/>
      <c r="X119" s="79"/>
      <c r="AD119" s="130"/>
      <c r="AF119" s="106"/>
    </row>
    <row r="120">
      <c r="C120" s="79"/>
      <c r="D120" s="79"/>
      <c r="E120" s="79"/>
      <c r="O120" s="79"/>
      <c r="R120" s="79"/>
      <c r="S120" s="79"/>
      <c r="X120" s="79"/>
      <c r="AD120" s="130"/>
      <c r="AF120" s="106"/>
    </row>
    <row r="121">
      <c r="C121" s="79"/>
      <c r="D121" s="79"/>
      <c r="E121" s="79"/>
      <c r="O121" s="79"/>
      <c r="R121" s="79"/>
      <c r="S121" s="79"/>
      <c r="X121" s="79"/>
      <c r="AD121" s="130"/>
      <c r="AF121" s="106"/>
    </row>
    <row r="122">
      <c r="C122" s="79"/>
      <c r="D122" s="79"/>
      <c r="E122" s="79"/>
      <c r="O122" s="79"/>
      <c r="R122" s="79"/>
      <c r="S122" s="79"/>
      <c r="X122" s="79"/>
      <c r="AD122" s="130"/>
      <c r="AF122" s="106"/>
    </row>
    <row r="123">
      <c r="C123" s="79"/>
      <c r="D123" s="79"/>
      <c r="E123" s="79"/>
      <c r="O123" s="79"/>
      <c r="R123" s="79"/>
      <c r="S123" s="79"/>
      <c r="X123" s="79"/>
      <c r="AD123" s="130"/>
      <c r="AF123" s="106"/>
    </row>
    <row r="124">
      <c r="C124" s="79"/>
      <c r="D124" s="79"/>
      <c r="E124" s="79"/>
      <c r="O124" s="79"/>
      <c r="R124" s="79"/>
      <c r="S124" s="79"/>
      <c r="X124" s="79"/>
      <c r="AD124" s="130"/>
      <c r="AF124" s="106"/>
    </row>
    <row r="125">
      <c r="C125" s="79"/>
      <c r="D125" s="79"/>
      <c r="E125" s="79"/>
      <c r="O125" s="79"/>
      <c r="R125" s="79"/>
      <c r="S125" s="79"/>
      <c r="X125" s="79"/>
      <c r="AD125" s="130"/>
      <c r="AF125" s="106"/>
    </row>
    <row r="126">
      <c r="C126" s="79"/>
      <c r="D126" s="79"/>
      <c r="E126" s="79"/>
      <c r="O126" s="79"/>
      <c r="R126" s="79"/>
      <c r="S126" s="79"/>
      <c r="X126" s="79"/>
      <c r="AD126" s="130"/>
      <c r="AF126" s="106"/>
    </row>
    <row r="127">
      <c r="C127" s="79"/>
      <c r="D127" s="79"/>
      <c r="E127" s="79"/>
      <c r="O127" s="79"/>
      <c r="R127" s="79"/>
      <c r="S127" s="79"/>
      <c r="X127" s="79"/>
      <c r="AD127" s="130"/>
      <c r="AF127" s="106"/>
    </row>
    <row r="128">
      <c r="C128" s="79"/>
      <c r="D128" s="79"/>
      <c r="E128" s="79"/>
      <c r="O128" s="79"/>
      <c r="R128" s="79"/>
      <c r="S128" s="79"/>
      <c r="X128" s="79"/>
      <c r="AD128" s="130"/>
      <c r="AF128" s="106"/>
    </row>
    <row r="129">
      <c r="C129" s="79"/>
      <c r="D129" s="79"/>
      <c r="E129" s="79"/>
      <c r="O129" s="79"/>
      <c r="R129" s="79"/>
      <c r="S129" s="79"/>
      <c r="X129" s="79"/>
      <c r="AD129" s="130"/>
      <c r="AF129" s="106"/>
    </row>
    <row r="130">
      <c r="C130" s="79"/>
      <c r="D130" s="79"/>
      <c r="E130" s="79"/>
      <c r="O130" s="79"/>
      <c r="R130" s="79"/>
      <c r="S130" s="79"/>
      <c r="X130" s="79"/>
      <c r="AD130" s="130"/>
      <c r="AF130" s="106"/>
    </row>
    <row r="131">
      <c r="C131" s="79"/>
      <c r="D131" s="79"/>
      <c r="E131" s="79"/>
      <c r="O131" s="79"/>
      <c r="R131" s="79"/>
      <c r="S131" s="79"/>
      <c r="X131" s="79"/>
      <c r="AD131" s="130"/>
      <c r="AF131" s="106"/>
    </row>
    <row r="132">
      <c r="C132" s="79"/>
      <c r="D132" s="79"/>
      <c r="E132" s="79"/>
      <c r="O132" s="79"/>
      <c r="R132" s="79"/>
      <c r="S132" s="79"/>
      <c r="X132" s="79"/>
      <c r="AD132" s="130"/>
      <c r="AF132" s="106"/>
    </row>
    <row r="133">
      <c r="C133" s="79"/>
      <c r="D133" s="79"/>
      <c r="E133" s="79"/>
      <c r="O133" s="79"/>
      <c r="R133" s="79"/>
      <c r="S133" s="79"/>
      <c r="X133" s="79"/>
      <c r="AD133" s="130"/>
      <c r="AF133" s="106"/>
    </row>
    <row r="134">
      <c r="C134" s="79"/>
      <c r="D134" s="79"/>
      <c r="E134" s="79"/>
      <c r="O134" s="79"/>
      <c r="R134" s="79"/>
      <c r="S134" s="79"/>
      <c r="X134" s="79"/>
      <c r="AD134" s="130"/>
      <c r="AF134" s="106"/>
    </row>
    <row r="135">
      <c r="C135" s="79"/>
      <c r="D135" s="79"/>
      <c r="E135" s="79"/>
      <c r="O135" s="79"/>
      <c r="R135" s="79"/>
      <c r="S135" s="79"/>
      <c r="X135" s="79"/>
      <c r="AD135" s="130"/>
      <c r="AF135" s="106"/>
    </row>
    <row r="136">
      <c r="C136" s="79"/>
      <c r="D136" s="79"/>
      <c r="E136" s="79"/>
      <c r="O136" s="79"/>
      <c r="R136" s="79"/>
      <c r="S136" s="79"/>
      <c r="X136" s="79"/>
      <c r="AD136" s="130"/>
      <c r="AF136" s="106"/>
    </row>
    <row r="137">
      <c r="C137" s="79"/>
      <c r="D137" s="79"/>
      <c r="E137" s="79"/>
      <c r="O137" s="79"/>
      <c r="R137" s="79"/>
      <c r="S137" s="79"/>
      <c r="X137" s="79"/>
      <c r="AD137" s="130"/>
      <c r="AF137" s="106"/>
    </row>
    <row r="138">
      <c r="C138" s="79"/>
      <c r="D138" s="79"/>
      <c r="E138" s="79"/>
      <c r="O138" s="79"/>
      <c r="R138" s="79"/>
      <c r="S138" s="79"/>
      <c r="X138" s="79"/>
      <c r="AD138" s="130"/>
      <c r="AF138" s="106"/>
    </row>
    <row r="139">
      <c r="C139" s="79"/>
      <c r="D139" s="79"/>
      <c r="E139" s="79"/>
      <c r="O139" s="79"/>
      <c r="R139" s="79"/>
      <c r="S139" s="79"/>
      <c r="X139" s="79"/>
      <c r="AD139" s="130"/>
      <c r="AF139" s="106"/>
    </row>
    <row r="140">
      <c r="C140" s="79"/>
      <c r="D140" s="79"/>
      <c r="E140" s="79"/>
      <c r="O140" s="79"/>
      <c r="R140" s="79"/>
      <c r="S140" s="79"/>
      <c r="X140" s="79"/>
      <c r="AD140" s="130"/>
      <c r="AF140" s="106"/>
    </row>
    <row r="141">
      <c r="C141" s="79"/>
      <c r="D141" s="79"/>
      <c r="E141" s="79"/>
      <c r="O141" s="79"/>
      <c r="R141" s="79"/>
      <c r="S141" s="79"/>
      <c r="X141" s="79"/>
      <c r="AD141" s="130"/>
      <c r="AF141" s="106"/>
    </row>
    <row r="142">
      <c r="C142" s="79"/>
      <c r="D142" s="79"/>
      <c r="E142" s="79"/>
      <c r="O142" s="79"/>
      <c r="R142" s="79"/>
      <c r="S142" s="79"/>
      <c r="X142" s="79"/>
      <c r="AD142" s="130"/>
      <c r="AF142" s="106"/>
    </row>
    <row r="143">
      <c r="C143" s="79"/>
      <c r="D143" s="79"/>
      <c r="E143" s="79"/>
      <c r="O143" s="79"/>
      <c r="R143" s="79"/>
      <c r="S143" s="79"/>
      <c r="X143" s="79"/>
      <c r="AD143" s="130"/>
      <c r="AF143" s="106"/>
    </row>
    <row r="144">
      <c r="C144" s="79"/>
      <c r="D144" s="79"/>
      <c r="E144" s="79"/>
      <c r="O144" s="79"/>
      <c r="R144" s="79"/>
      <c r="S144" s="79"/>
      <c r="X144" s="79"/>
      <c r="AD144" s="130"/>
      <c r="AF144" s="106"/>
    </row>
    <row r="145">
      <c r="C145" s="79"/>
      <c r="D145" s="79"/>
      <c r="E145" s="79"/>
      <c r="O145" s="79"/>
      <c r="R145" s="79"/>
      <c r="S145" s="79"/>
      <c r="X145" s="79"/>
      <c r="AD145" s="130"/>
      <c r="AF145" s="106"/>
    </row>
    <row r="146">
      <c r="C146" s="79"/>
      <c r="D146" s="79"/>
      <c r="E146" s="79"/>
      <c r="O146" s="79"/>
      <c r="R146" s="79"/>
      <c r="S146" s="79"/>
      <c r="X146" s="79"/>
      <c r="AD146" s="130"/>
      <c r="AF146" s="106"/>
    </row>
    <row r="147">
      <c r="C147" s="79"/>
      <c r="D147" s="79"/>
      <c r="E147" s="79"/>
      <c r="O147" s="79"/>
      <c r="R147" s="79"/>
      <c r="S147" s="79"/>
      <c r="X147" s="79"/>
      <c r="AD147" s="130"/>
      <c r="AF147" s="106"/>
    </row>
    <row r="148">
      <c r="C148" s="79"/>
      <c r="D148" s="79"/>
      <c r="E148" s="79"/>
      <c r="O148" s="79"/>
      <c r="R148" s="79"/>
      <c r="S148" s="79"/>
      <c r="X148" s="79"/>
      <c r="AD148" s="130"/>
      <c r="AF148" s="106"/>
    </row>
    <row r="149">
      <c r="C149" s="79"/>
      <c r="D149" s="79"/>
      <c r="E149" s="79"/>
      <c r="O149" s="79"/>
      <c r="R149" s="79"/>
      <c r="S149" s="79"/>
      <c r="X149" s="79"/>
      <c r="AD149" s="130"/>
      <c r="AF149" s="106"/>
    </row>
    <row r="150">
      <c r="C150" s="79"/>
      <c r="D150" s="79"/>
      <c r="E150" s="79"/>
      <c r="O150" s="79"/>
      <c r="R150" s="79"/>
      <c r="S150" s="79"/>
      <c r="X150" s="79"/>
      <c r="AD150" s="130"/>
      <c r="AF150" s="106"/>
    </row>
    <row r="151">
      <c r="C151" s="79"/>
      <c r="D151" s="79"/>
      <c r="E151" s="79"/>
      <c r="O151" s="79"/>
      <c r="R151" s="79"/>
      <c r="S151" s="79"/>
      <c r="X151" s="79"/>
      <c r="AD151" s="130"/>
      <c r="AF151" s="106"/>
    </row>
    <row r="152">
      <c r="C152" s="79"/>
      <c r="D152" s="79"/>
      <c r="E152" s="79"/>
      <c r="O152" s="79"/>
      <c r="R152" s="79"/>
      <c r="S152" s="79"/>
      <c r="X152" s="79"/>
      <c r="AD152" s="130"/>
      <c r="AF152" s="106"/>
    </row>
    <row r="153">
      <c r="C153" s="79"/>
      <c r="D153" s="79"/>
      <c r="E153" s="79"/>
      <c r="O153" s="79"/>
      <c r="R153" s="79"/>
      <c r="S153" s="79"/>
      <c r="X153" s="79"/>
      <c r="AD153" s="130"/>
      <c r="AF153" s="106"/>
    </row>
    <row r="154">
      <c r="C154" s="79"/>
      <c r="D154" s="79"/>
      <c r="E154" s="79"/>
      <c r="O154" s="79"/>
      <c r="R154" s="79"/>
      <c r="S154" s="79"/>
      <c r="X154" s="79"/>
      <c r="AD154" s="130"/>
      <c r="AF154" s="106"/>
    </row>
    <row r="155">
      <c r="C155" s="79"/>
      <c r="D155" s="79"/>
      <c r="E155" s="79"/>
      <c r="O155" s="79"/>
      <c r="R155" s="79"/>
      <c r="S155" s="79"/>
      <c r="X155" s="79"/>
      <c r="AD155" s="130"/>
      <c r="AF155" s="106"/>
    </row>
    <row r="156">
      <c r="C156" s="79"/>
      <c r="D156" s="79"/>
      <c r="E156" s="79"/>
      <c r="O156" s="79"/>
      <c r="R156" s="79"/>
      <c r="S156" s="79"/>
      <c r="X156" s="79"/>
      <c r="AD156" s="130"/>
      <c r="AF156" s="106"/>
    </row>
    <row r="157">
      <c r="C157" s="79"/>
      <c r="D157" s="79"/>
      <c r="E157" s="79"/>
      <c r="O157" s="79"/>
      <c r="R157" s="79"/>
      <c r="S157" s="79"/>
      <c r="X157" s="79"/>
      <c r="AD157" s="130"/>
      <c r="AF157" s="106"/>
    </row>
    <row r="158">
      <c r="C158" s="79"/>
      <c r="D158" s="79"/>
      <c r="E158" s="79"/>
      <c r="O158" s="79"/>
      <c r="R158" s="79"/>
      <c r="S158" s="79"/>
      <c r="X158" s="79"/>
      <c r="AD158" s="130"/>
      <c r="AF158" s="106"/>
    </row>
    <row r="159">
      <c r="C159" s="79"/>
      <c r="D159" s="79"/>
      <c r="E159" s="79"/>
      <c r="O159" s="79"/>
      <c r="R159" s="79"/>
      <c r="S159" s="79"/>
      <c r="X159" s="79"/>
      <c r="AD159" s="130"/>
      <c r="AF159" s="106"/>
    </row>
    <row r="160">
      <c r="C160" s="79"/>
      <c r="D160" s="79"/>
      <c r="E160" s="79"/>
      <c r="O160" s="79"/>
      <c r="R160" s="79"/>
      <c r="S160" s="79"/>
      <c r="X160" s="79"/>
      <c r="AD160" s="130"/>
      <c r="AF160" s="106"/>
    </row>
    <row r="161">
      <c r="C161" s="79"/>
      <c r="D161" s="79"/>
      <c r="E161" s="79"/>
      <c r="O161" s="79"/>
      <c r="R161" s="79"/>
      <c r="S161" s="79"/>
      <c r="X161" s="79"/>
      <c r="AD161" s="130"/>
      <c r="AF161" s="106"/>
    </row>
    <row r="162">
      <c r="C162" s="79"/>
      <c r="D162" s="79"/>
      <c r="E162" s="79"/>
      <c r="O162" s="79"/>
      <c r="R162" s="79"/>
      <c r="S162" s="79"/>
      <c r="X162" s="79"/>
      <c r="AD162" s="130"/>
      <c r="AF162" s="106"/>
    </row>
    <row r="163">
      <c r="C163" s="79"/>
      <c r="D163" s="79"/>
      <c r="E163" s="79"/>
      <c r="O163" s="79"/>
      <c r="R163" s="79"/>
      <c r="S163" s="79"/>
      <c r="X163" s="79"/>
      <c r="AD163" s="130"/>
      <c r="AF163" s="106"/>
    </row>
    <row r="164">
      <c r="C164" s="79"/>
      <c r="D164" s="79"/>
      <c r="E164" s="79"/>
      <c r="O164" s="79"/>
      <c r="R164" s="79"/>
      <c r="S164" s="79"/>
      <c r="X164" s="79"/>
      <c r="AD164" s="130"/>
      <c r="AF164" s="106"/>
    </row>
    <row r="165">
      <c r="C165" s="79"/>
      <c r="D165" s="79"/>
      <c r="E165" s="79"/>
      <c r="O165" s="79"/>
      <c r="R165" s="79"/>
      <c r="S165" s="79"/>
      <c r="X165" s="79"/>
      <c r="AD165" s="130"/>
      <c r="AF165" s="106"/>
    </row>
    <row r="166">
      <c r="C166" s="79"/>
      <c r="D166" s="79"/>
      <c r="E166" s="79"/>
      <c r="O166" s="79"/>
      <c r="R166" s="79"/>
      <c r="S166" s="79"/>
      <c r="X166" s="79"/>
      <c r="AD166" s="130"/>
      <c r="AF166" s="106"/>
    </row>
    <row r="167">
      <c r="C167" s="79"/>
      <c r="D167" s="79"/>
      <c r="E167" s="79"/>
      <c r="O167" s="79"/>
      <c r="R167" s="79"/>
      <c r="S167" s="79"/>
      <c r="X167" s="79"/>
      <c r="AD167" s="130"/>
      <c r="AF167" s="106"/>
    </row>
    <row r="168">
      <c r="C168" s="79"/>
      <c r="D168" s="79"/>
      <c r="E168" s="79"/>
      <c r="O168" s="79"/>
      <c r="R168" s="79"/>
      <c r="S168" s="79"/>
      <c r="X168" s="79"/>
      <c r="AD168" s="130"/>
      <c r="AF168" s="106"/>
    </row>
    <row r="169">
      <c r="C169" s="79"/>
      <c r="D169" s="79"/>
      <c r="E169" s="79"/>
      <c r="O169" s="79"/>
      <c r="R169" s="79"/>
      <c r="S169" s="79"/>
      <c r="X169" s="79"/>
      <c r="AD169" s="130"/>
      <c r="AF169" s="106"/>
    </row>
    <row r="170">
      <c r="C170" s="79"/>
      <c r="D170" s="79"/>
      <c r="E170" s="79"/>
      <c r="O170" s="79"/>
      <c r="R170" s="79"/>
      <c r="S170" s="79"/>
      <c r="X170" s="79"/>
      <c r="AD170" s="130"/>
      <c r="AF170" s="106"/>
    </row>
    <row r="171">
      <c r="C171" s="79"/>
      <c r="D171" s="79"/>
      <c r="E171" s="79"/>
      <c r="O171" s="79"/>
      <c r="R171" s="79"/>
      <c r="S171" s="79"/>
      <c r="X171" s="79"/>
      <c r="AD171" s="130"/>
      <c r="AF171" s="106"/>
    </row>
    <row r="172">
      <c r="C172" s="79"/>
      <c r="D172" s="79"/>
      <c r="E172" s="79"/>
      <c r="O172" s="79"/>
      <c r="R172" s="79"/>
      <c r="S172" s="79"/>
      <c r="X172" s="79"/>
      <c r="AD172" s="130"/>
      <c r="AF172" s="106"/>
    </row>
    <row r="173">
      <c r="C173" s="79"/>
      <c r="D173" s="79"/>
      <c r="E173" s="79"/>
      <c r="O173" s="79"/>
      <c r="R173" s="79"/>
      <c r="S173" s="79"/>
      <c r="X173" s="79"/>
      <c r="AD173" s="130"/>
      <c r="AF173" s="106"/>
    </row>
    <row r="174">
      <c r="C174" s="79"/>
      <c r="D174" s="79"/>
      <c r="E174" s="79"/>
      <c r="O174" s="79"/>
      <c r="R174" s="79"/>
      <c r="S174" s="79"/>
      <c r="X174" s="79"/>
      <c r="AD174" s="130"/>
      <c r="AF174" s="106"/>
    </row>
    <row r="175">
      <c r="C175" s="79"/>
      <c r="D175" s="79"/>
      <c r="E175" s="79"/>
      <c r="O175" s="79"/>
      <c r="R175" s="79"/>
      <c r="S175" s="79"/>
      <c r="X175" s="79"/>
      <c r="AD175" s="130"/>
      <c r="AF175" s="106"/>
    </row>
    <row r="176">
      <c r="C176" s="79"/>
      <c r="D176" s="79"/>
      <c r="E176" s="79"/>
      <c r="O176" s="79"/>
      <c r="R176" s="79"/>
      <c r="S176" s="79"/>
      <c r="X176" s="79"/>
      <c r="AD176" s="130"/>
      <c r="AF176" s="106"/>
    </row>
    <row r="177">
      <c r="C177" s="79"/>
      <c r="D177" s="79"/>
      <c r="E177" s="79"/>
      <c r="O177" s="79"/>
      <c r="R177" s="79"/>
      <c r="S177" s="79"/>
      <c r="X177" s="79"/>
      <c r="AD177" s="130"/>
      <c r="AF177" s="106"/>
    </row>
    <row r="178">
      <c r="C178" s="79"/>
      <c r="D178" s="79"/>
      <c r="E178" s="79"/>
      <c r="O178" s="79"/>
      <c r="R178" s="79"/>
      <c r="S178" s="79"/>
      <c r="X178" s="79"/>
      <c r="AD178" s="130"/>
      <c r="AF178" s="106"/>
    </row>
    <row r="179">
      <c r="C179" s="79"/>
      <c r="D179" s="79"/>
      <c r="E179" s="79"/>
      <c r="O179" s="79"/>
      <c r="R179" s="79"/>
      <c r="S179" s="79"/>
      <c r="X179" s="79"/>
      <c r="AD179" s="130"/>
      <c r="AF179" s="106"/>
    </row>
    <row r="180">
      <c r="C180" s="79"/>
      <c r="D180" s="79"/>
      <c r="E180" s="79"/>
      <c r="O180" s="79"/>
      <c r="R180" s="79"/>
      <c r="S180" s="79"/>
      <c r="X180" s="79"/>
      <c r="AD180" s="130"/>
      <c r="AF180" s="106"/>
    </row>
    <row r="181">
      <c r="C181" s="79"/>
      <c r="D181" s="79"/>
      <c r="E181" s="79"/>
      <c r="O181" s="79"/>
      <c r="R181" s="79"/>
      <c r="S181" s="79"/>
      <c r="X181" s="79"/>
      <c r="AD181" s="130"/>
      <c r="AF181" s="106"/>
    </row>
    <row r="182">
      <c r="C182" s="79"/>
      <c r="D182" s="79"/>
      <c r="E182" s="79"/>
      <c r="O182" s="79"/>
      <c r="R182" s="79"/>
      <c r="S182" s="79"/>
      <c r="X182" s="79"/>
      <c r="AD182" s="130"/>
      <c r="AF182" s="106"/>
    </row>
    <row r="183">
      <c r="C183" s="79"/>
      <c r="D183" s="79"/>
      <c r="E183" s="79"/>
      <c r="O183" s="79"/>
      <c r="R183" s="79"/>
      <c r="S183" s="79"/>
      <c r="X183" s="79"/>
      <c r="AD183" s="130"/>
      <c r="AF183" s="106"/>
    </row>
    <row r="184">
      <c r="C184" s="79"/>
      <c r="D184" s="79"/>
      <c r="E184" s="79"/>
      <c r="O184" s="79"/>
      <c r="R184" s="79"/>
      <c r="S184" s="79"/>
      <c r="X184" s="79"/>
      <c r="AD184" s="130"/>
      <c r="AF184" s="106"/>
    </row>
    <row r="185">
      <c r="C185" s="79"/>
      <c r="D185" s="79"/>
      <c r="E185" s="79"/>
      <c r="O185" s="79"/>
      <c r="R185" s="79"/>
      <c r="S185" s="79"/>
      <c r="X185" s="79"/>
      <c r="AD185" s="130"/>
      <c r="AF185" s="106"/>
    </row>
    <row r="186">
      <c r="C186" s="79"/>
      <c r="D186" s="79"/>
      <c r="E186" s="79"/>
      <c r="O186" s="79"/>
      <c r="R186" s="79"/>
      <c r="S186" s="79"/>
      <c r="X186" s="79"/>
      <c r="AD186" s="130"/>
      <c r="AF186" s="106"/>
    </row>
    <row r="187">
      <c r="C187" s="79"/>
      <c r="D187" s="79"/>
      <c r="E187" s="79"/>
      <c r="O187" s="79"/>
      <c r="R187" s="79"/>
      <c r="S187" s="79"/>
      <c r="X187" s="79"/>
      <c r="AD187" s="130"/>
      <c r="AF187" s="106"/>
    </row>
    <row r="188">
      <c r="C188" s="79"/>
      <c r="D188" s="79"/>
      <c r="E188" s="79"/>
      <c r="O188" s="79"/>
      <c r="R188" s="79"/>
      <c r="S188" s="79"/>
      <c r="X188" s="79"/>
      <c r="AD188" s="130"/>
      <c r="AF188" s="106"/>
    </row>
    <row r="189">
      <c r="C189" s="79"/>
      <c r="D189" s="79"/>
      <c r="E189" s="79"/>
      <c r="O189" s="79"/>
      <c r="R189" s="79"/>
      <c r="S189" s="79"/>
      <c r="X189" s="79"/>
      <c r="AD189" s="130"/>
      <c r="AF189" s="106"/>
    </row>
    <row r="190">
      <c r="C190" s="79"/>
      <c r="D190" s="79"/>
      <c r="E190" s="79"/>
      <c r="O190" s="79"/>
      <c r="R190" s="79"/>
      <c r="S190" s="79"/>
      <c r="X190" s="79"/>
      <c r="AD190" s="130"/>
      <c r="AF190" s="106"/>
    </row>
    <row r="191">
      <c r="C191" s="79"/>
      <c r="D191" s="79"/>
      <c r="E191" s="79"/>
      <c r="O191" s="79"/>
      <c r="R191" s="79"/>
      <c r="S191" s="79"/>
      <c r="X191" s="79"/>
      <c r="AD191" s="130"/>
      <c r="AF191" s="106"/>
    </row>
    <row r="192">
      <c r="C192" s="79"/>
      <c r="D192" s="79"/>
      <c r="E192" s="79"/>
      <c r="O192" s="79"/>
      <c r="R192" s="79"/>
      <c r="S192" s="79"/>
      <c r="X192" s="79"/>
      <c r="AD192" s="130"/>
      <c r="AF192" s="106"/>
    </row>
    <row r="193">
      <c r="C193" s="79"/>
      <c r="D193" s="79"/>
      <c r="E193" s="79"/>
      <c r="O193" s="79"/>
      <c r="R193" s="79"/>
      <c r="S193" s="79"/>
      <c r="X193" s="79"/>
      <c r="AD193" s="130"/>
      <c r="AF193" s="106"/>
    </row>
    <row r="194">
      <c r="C194" s="79"/>
      <c r="D194" s="79"/>
      <c r="E194" s="79"/>
      <c r="O194" s="79"/>
      <c r="R194" s="79"/>
      <c r="S194" s="79"/>
      <c r="X194" s="79"/>
      <c r="AD194" s="130"/>
      <c r="AF194" s="106"/>
    </row>
    <row r="195">
      <c r="C195" s="79"/>
      <c r="D195" s="79"/>
      <c r="E195" s="79"/>
      <c r="O195" s="79"/>
      <c r="R195" s="79"/>
      <c r="S195" s="79"/>
      <c r="X195" s="79"/>
      <c r="AD195" s="130"/>
      <c r="AF195" s="106"/>
    </row>
    <row r="196">
      <c r="C196" s="79"/>
      <c r="D196" s="79"/>
      <c r="E196" s="79"/>
      <c r="O196" s="79"/>
      <c r="R196" s="79"/>
      <c r="S196" s="79"/>
      <c r="X196" s="79"/>
      <c r="AD196" s="130"/>
      <c r="AF196" s="106"/>
    </row>
    <row r="197">
      <c r="C197" s="79"/>
      <c r="D197" s="79"/>
      <c r="E197" s="79"/>
      <c r="O197" s="79"/>
      <c r="R197" s="79"/>
      <c r="S197" s="79"/>
      <c r="X197" s="79"/>
      <c r="AD197" s="130"/>
      <c r="AF197" s="106"/>
    </row>
    <row r="198">
      <c r="C198" s="79"/>
      <c r="D198" s="79"/>
      <c r="E198" s="79"/>
      <c r="O198" s="79"/>
      <c r="R198" s="79"/>
      <c r="S198" s="79"/>
      <c r="X198" s="79"/>
      <c r="AD198" s="130"/>
      <c r="AF198" s="106"/>
    </row>
    <row r="199">
      <c r="C199" s="79"/>
      <c r="D199" s="79"/>
      <c r="E199" s="79"/>
      <c r="O199" s="79"/>
      <c r="R199" s="79"/>
      <c r="S199" s="79"/>
      <c r="X199" s="79"/>
      <c r="AD199" s="130"/>
      <c r="AF199" s="106"/>
    </row>
    <row r="200">
      <c r="C200" s="79"/>
      <c r="D200" s="79"/>
      <c r="E200" s="79"/>
      <c r="O200" s="79"/>
      <c r="R200" s="79"/>
      <c r="S200" s="79"/>
      <c r="X200" s="79"/>
      <c r="AD200" s="130"/>
      <c r="AF200" s="106"/>
    </row>
    <row r="201">
      <c r="C201" s="79"/>
      <c r="D201" s="79"/>
      <c r="E201" s="79"/>
      <c r="O201" s="79"/>
      <c r="R201" s="79"/>
      <c r="S201" s="79"/>
      <c r="X201" s="79"/>
      <c r="AD201" s="130"/>
      <c r="AF201" s="106"/>
    </row>
    <row r="202">
      <c r="C202" s="79"/>
      <c r="D202" s="79"/>
      <c r="E202" s="79"/>
      <c r="O202" s="79"/>
      <c r="R202" s="79"/>
      <c r="S202" s="79"/>
      <c r="X202" s="79"/>
      <c r="AD202" s="130"/>
      <c r="AF202" s="106"/>
    </row>
    <row r="203">
      <c r="C203" s="79"/>
      <c r="D203" s="79"/>
      <c r="E203" s="79"/>
      <c r="O203" s="79"/>
      <c r="R203" s="79"/>
      <c r="S203" s="79"/>
      <c r="X203" s="79"/>
      <c r="AD203" s="130"/>
      <c r="AF203" s="106"/>
    </row>
    <row r="204">
      <c r="C204" s="79"/>
      <c r="D204" s="79"/>
      <c r="E204" s="79"/>
      <c r="O204" s="79"/>
      <c r="R204" s="79"/>
      <c r="S204" s="79"/>
      <c r="X204" s="79"/>
      <c r="AD204" s="130"/>
      <c r="AF204" s="106"/>
    </row>
    <row r="205">
      <c r="C205" s="79"/>
      <c r="D205" s="79"/>
      <c r="E205" s="79"/>
      <c r="O205" s="79"/>
      <c r="R205" s="79"/>
      <c r="S205" s="79"/>
      <c r="X205" s="79"/>
      <c r="AD205" s="130"/>
      <c r="AF205" s="106"/>
    </row>
    <row r="206">
      <c r="C206" s="79"/>
      <c r="D206" s="79"/>
      <c r="E206" s="79"/>
      <c r="O206" s="79"/>
      <c r="R206" s="79"/>
      <c r="S206" s="79"/>
      <c r="X206" s="79"/>
      <c r="AD206" s="130"/>
      <c r="AF206" s="106"/>
    </row>
    <row r="207">
      <c r="C207" s="79"/>
      <c r="D207" s="79"/>
      <c r="E207" s="79"/>
      <c r="O207" s="79"/>
      <c r="R207" s="79"/>
      <c r="S207" s="79"/>
      <c r="X207" s="79"/>
      <c r="AD207" s="130"/>
      <c r="AF207" s="106"/>
    </row>
    <row r="208">
      <c r="C208" s="79"/>
      <c r="D208" s="79"/>
      <c r="E208" s="79"/>
      <c r="O208" s="79"/>
      <c r="R208" s="79"/>
      <c r="S208" s="79"/>
      <c r="X208" s="79"/>
      <c r="AD208" s="130"/>
      <c r="AF208" s="106"/>
    </row>
    <row r="209">
      <c r="C209" s="79"/>
      <c r="D209" s="79"/>
      <c r="E209" s="79"/>
      <c r="O209" s="79"/>
      <c r="R209" s="79"/>
      <c r="S209" s="79"/>
      <c r="X209" s="79"/>
      <c r="AD209" s="130"/>
      <c r="AF209" s="106"/>
    </row>
    <row r="210">
      <c r="C210" s="79"/>
      <c r="D210" s="79"/>
      <c r="E210" s="79"/>
      <c r="O210" s="79"/>
      <c r="R210" s="79"/>
      <c r="S210" s="79"/>
      <c r="X210" s="79"/>
      <c r="AD210" s="130"/>
      <c r="AF210" s="106"/>
    </row>
    <row r="211">
      <c r="C211" s="79"/>
      <c r="D211" s="79"/>
      <c r="E211" s="79"/>
      <c r="O211" s="79"/>
      <c r="R211" s="79"/>
      <c r="S211" s="79"/>
      <c r="X211" s="79"/>
      <c r="AD211" s="130"/>
      <c r="AF211" s="106"/>
    </row>
    <row r="212">
      <c r="C212" s="79"/>
      <c r="D212" s="79"/>
      <c r="E212" s="79"/>
      <c r="O212" s="79"/>
      <c r="R212" s="79"/>
      <c r="S212" s="79"/>
      <c r="X212" s="79"/>
      <c r="AD212" s="130"/>
      <c r="AF212" s="106"/>
    </row>
    <row r="213">
      <c r="C213" s="79"/>
      <c r="D213" s="79"/>
      <c r="E213" s="79"/>
      <c r="O213" s="79"/>
      <c r="R213" s="79"/>
      <c r="S213" s="79"/>
      <c r="X213" s="79"/>
      <c r="AD213" s="130"/>
      <c r="AF213" s="106"/>
    </row>
    <row r="214">
      <c r="C214" s="79"/>
      <c r="D214" s="79"/>
      <c r="E214" s="79"/>
      <c r="O214" s="79"/>
      <c r="R214" s="79"/>
      <c r="S214" s="79"/>
      <c r="X214" s="79"/>
      <c r="AD214" s="130"/>
      <c r="AF214" s="106"/>
    </row>
    <row r="215">
      <c r="C215" s="79"/>
      <c r="D215" s="79"/>
      <c r="E215" s="79"/>
      <c r="O215" s="79"/>
      <c r="R215" s="79"/>
      <c r="S215" s="79"/>
      <c r="X215" s="79"/>
      <c r="AD215" s="130"/>
      <c r="AF215" s="106"/>
    </row>
    <row r="216">
      <c r="C216" s="79"/>
      <c r="D216" s="79"/>
      <c r="E216" s="79"/>
      <c r="O216" s="79"/>
      <c r="R216" s="79"/>
      <c r="S216" s="79"/>
      <c r="X216" s="79"/>
      <c r="AD216" s="130"/>
      <c r="AF216" s="106"/>
    </row>
    <row r="217">
      <c r="C217" s="79"/>
      <c r="D217" s="79"/>
      <c r="E217" s="79"/>
      <c r="O217" s="79"/>
      <c r="R217" s="79"/>
      <c r="S217" s="79"/>
      <c r="X217" s="79"/>
      <c r="AD217" s="130"/>
      <c r="AF217" s="106"/>
    </row>
    <row r="218">
      <c r="C218" s="79"/>
      <c r="D218" s="79"/>
      <c r="E218" s="79"/>
      <c r="O218" s="79"/>
      <c r="R218" s="79"/>
      <c r="S218" s="79"/>
      <c r="X218" s="79"/>
      <c r="AD218" s="130"/>
      <c r="AF218" s="106"/>
    </row>
    <row r="219">
      <c r="C219" s="79"/>
      <c r="D219" s="79"/>
      <c r="E219" s="79"/>
      <c r="O219" s="79"/>
      <c r="R219" s="79"/>
      <c r="S219" s="79"/>
      <c r="X219" s="79"/>
      <c r="AD219" s="130"/>
      <c r="AF219" s="106"/>
    </row>
    <row r="220">
      <c r="C220" s="79"/>
      <c r="D220" s="79"/>
      <c r="E220" s="79"/>
      <c r="O220" s="79"/>
      <c r="R220" s="79"/>
      <c r="S220" s="79"/>
      <c r="X220" s="79"/>
      <c r="AD220" s="130"/>
      <c r="AF220" s="106"/>
    </row>
    <row r="221">
      <c r="C221" s="79"/>
      <c r="D221" s="79"/>
      <c r="E221" s="79"/>
      <c r="O221" s="79"/>
      <c r="R221" s="79"/>
      <c r="S221" s="79"/>
      <c r="X221" s="79"/>
      <c r="AD221" s="130"/>
      <c r="AF221" s="106"/>
    </row>
    <row r="222">
      <c r="C222" s="79"/>
      <c r="D222" s="79"/>
      <c r="E222" s="79"/>
      <c r="O222" s="79"/>
      <c r="R222" s="79"/>
      <c r="S222" s="79"/>
      <c r="X222" s="79"/>
      <c r="AD222" s="130"/>
      <c r="AF222" s="106"/>
    </row>
    <row r="223">
      <c r="C223" s="79"/>
      <c r="D223" s="79"/>
      <c r="E223" s="79"/>
      <c r="O223" s="79"/>
      <c r="R223" s="79"/>
      <c r="S223" s="79"/>
      <c r="X223" s="79"/>
      <c r="AD223" s="130"/>
      <c r="AF223" s="106"/>
    </row>
    <row r="224">
      <c r="C224" s="79"/>
      <c r="D224" s="79"/>
      <c r="E224" s="79"/>
      <c r="O224" s="79"/>
      <c r="R224" s="79"/>
      <c r="S224" s="79"/>
      <c r="X224" s="79"/>
      <c r="AD224" s="130"/>
      <c r="AF224" s="106"/>
    </row>
    <row r="225">
      <c r="C225" s="79"/>
      <c r="D225" s="79"/>
      <c r="E225" s="79"/>
      <c r="O225" s="79"/>
      <c r="R225" s="79"/>
      <c r="S225" s="79"/>
      <c r="X225" s="79"/>
      <c r="AD225" s="130"/>
      <c r="AF225" s="106"/>
    </row>
    <row r="226">
      <c r="C226" s="79"/>
      <c r="D226" s="79"/>
      <c r="E226" s="79"/>
      <c r="O226" s="79"/>
      <c r="R226" s="79"/>
      <c r="S226" s="79"/>
      <c r="X226" s="79"/>
      <c r="AD226" s="130"/>
      <c r="AF226" s="106"/>
    </row>
    <row r="227">
      <c r="C227" s="79"/>
      <c r="D227" s="79"/>
      <c r="E227" s="79"/>
      <c r="O227" s="79"/>
      <c r="R227" s="79"/>
      <c r="S227" s="79"/>
      <c r="X227" s="79"/>
      <c r="AD227" s="130"/>
      <c r="AF227" s="106"/>
    </row>
    <row r="228">
      <c r="C228" s="79"/>
      <c r="D228" s="79"/>
      <c r="E228" s="79"/>
      <c r="O228" s="79"/>
      <c r="R228" s="79"/>
      <c r="S228" s="79"/>
      <c r="X228" s="79"/>
      <c r="AD228" s="130"/>
      <c r="AF228" s="106"/>
    </row>
    <row r="229">
      <c r="C229" s="79"/>
      <c r="D229" s="79"/>
      <c r="E229" s="79"/>
      <c r="O229" s="79"/>
      <c r="R229" s="79"/>
      <c r="S229" s="79"/>
      <c r="X229" s="79"/>
      <c r="AD229" s="130"/>
      <c r="AF229" s="106"/>
    </row>
    <row r="230">
      <c r="C230" s="79"/>
      <c r="D230" s="79"/>
      <c r="E230" s="79"/>
      <c r="O230" s="79"/>
      <c r="R230" s="79"/>
      <c r="S230" s="79"/>
      <c r="X230" s="79"/>
      <c r="AD230" s="130"/>
      <c r="AF230" s="106"/>
    </row>
    <row r="231">
      <c r="C231" s="79"/>
      <c r="D231" s="79"/>
      <c r="E231" s="79"/>
      <c r="O231" s="79"/>
      <c r="R231" s="79"/>
      <c r="S231" s="79"/>
      <c r="X231" s="79"/>
      <c r="AD231" s="130"/>
      <c r="AF231" s="106"/>
    </row>
    <row r="232">
      <c r="C232" s="79"/>
      <c r="D232" s="79"/>
      <c r="E232" s="79"/>
      <c r="O232" s="79"/>
      <c r="R232" s="79"/>
      <c r="S232" s="79"/>
      <c r="X232" s="79"/>
      <c r="AD232" s="130"/>
      <c r="AF232" s="106"/>
    </row>
    <row r="233">
      <c r="C233" s="79"/>
      <c r="D233" s="79"/>
      <c r="E233" s="79"/>
      <c r="O233" s="79"/>
      <c r="R233" s="79"/>
      <c r="S233" s="79"/>
      <c r="X233" s="79"/>
      <c r="AD233" s="130"/>
      <c r="AF233" s="106"/>
    </row>
    <row r="234">
      <c r="C234" s="79"/>
      <c r="D234" s="79"/>
      <c r="E234" s="79"/>
      <c r="O234" s="79"/>
      <c r="R234" s="79"/>
      <c r="S234" s="79"/>
      <c r="X234" s="79"/>
      <c r="AD234" s="130"/>
      <c r="AF234" s="106"/>
    </row>
    <row r="235">
      <c r="C235" s="79"/>
      <c r="D235" s="79"/>
      <c r="E235" s="79"/>
      <c r="O235" s="79"/>
      <c r="R235" s="79"/>
      <c r="S235" s="79"/>
      <c r="X235" s="79"/>
      <c r="AD235" s="130"/>
      <c r="AF235" s="106"/>
    </row>
    <row r="236">
      <c r="C236" s="79"/>
      <c r="D236" s="79"/>
      <c r="E236" s="79"/>
      <c r="O236" s="79"/>
      <c r="R236" s="79"/>
      <c r="S236" s="79"/>
      <c r="X236" s="79"/>
      <c r="AD236" s="130"/>
      <c r="AF236" s="106"/>
    </row>
    <row r="237">
      <c r="C237" s="79"/>
      <c r="D237" s="79"/>
      <c r="E237" s="79"/>
      <c r="O237" s="79"/>
      <c r="R237" s="79"/>
      <c r="S237" s="79"/>
      <c r="X237" s="79"/>
      <c r="AD237" s="130"/>
      <c r="AF237" s="106"/>
    </row>
    <row r="238">
      <c r="C238" s="79"/>
      <c r="D238" s="79"/>
      <c r="E238" s="79"/>
      <c r="O238" s="79"/>
      <c r="R238" s="79"/>
      <c r="S238" s="79"/>
      <c r="X238" s="79"/>
      <c r="AD238" s="130"/>
      <c r="AF238" s="106"/>
    </row>
    <row r="239">
      <c r="C239" s="79"/>
      <c r="D239" s="79"/>
      <c r="E239" s="79"/>
      <c r="O239" s="79"/>
      <c r="R239" s="79"/>
      <c r="S239" s="79"/>
      <c r="X239" s="79"/>
      <c r="AD239" s="130"/>
      <c r="AF239" s="106"/>
    </row>
    <row r="240">
      <c r="C240" s="79"/>
      <c r="D240" s="79"/>
      <c r="E240" s="79"/>
      <c r="O240" s="79"/>
      <c r="R240" s="79"/>
      <c r="S240" s="79"/>
      <c r="X240" s="79"/>
      <c r="AD240" s="130"/>
      <c r="AF240" s="106"/>
    </row>
    <row r="241">
      <c r="C241" s="79"/>
      <c r="D241" s="79"/>
      <c r="E241" s="79"/>
      <c r="O241" s="79"/>
      <c r="R241" s="79"/>
      <c r="S241" s="79"/>
      <c r="X241" s="79"/>
      <c r="AD241" s="130"/>
      <c r="AF241" s="106"/>
    </row>
    <row r="242">
      <c r="C242" s="79"/>
      <c r="D242" s="79"/>
      <c r="E242" s="79"/>
      <c r="O242" s="79"/>
      <c r="R242" s="79"/>
      <c r="S242" s="79"/>
      <c r="X242" s="79"/>
      <c r="AD242" s="130"/>
      <c r="AF242" s="106"/>
    </row>
    <row r="243">
      <c r="C243" s="79"/>
      <c r="D243" s="79"/>
      <c r="E243" s="79"/>
      <c r="O243" s="79"/>
      <c r="R243" s="79"/>
      <c r="S243" s="79"/>
      <c r="X243" s="79"/>
      <c r="AD243" s="130"/>
      <c r="AF243" s="106"/>
    </row>
    <row r="244">
      <c r="C244" s="79"/>
      <c r="D244" s="79"/>
      <c r="E244" s="79"/>
      <c r="O244" s="79"/>
      <c r="R244" s="79"/>
      <c r="S244" s="79"/>
      <c r="X244" s="79"/>
      <c r="AD244" s="130"/>
      <c r="AF244" s="106"/>
    </row>
    <row r="245">
      <c r="C245" s="79"/>
      <c r="D245" s="79"/>
      <c r="E245" s="79"/>
      <c r="O245" s="79"/>
      <c r="R245" s="79"/>
      <c r="S245" s="79"/>
      <c r="X245" s="79"/>
      <c r="AD245" s="130"/>
      <c r="AF245" s="106"/>
    </row>
    <row r="246">
      <c r="C246" s="79"/>
      <c r="D246" s="79"/>
      <c r="E246" s="79"/>
      <c r="O246" s="79"/>
      <c r="R246" s="79"/>
      <c r="S246" s="79"/>
      <c r="X246" s="79"/>
      <c r="AD246" s="130"/>
      <c r="AF246" s="106"/>
    </row>
    <row r="247">
      <c r="C247" s="79"/>
      <c r="D247" s="79"/>
      <c r="E247" s="79"/>
      <c r="O247" s="79"/>
      <c r="R247" s="79"/>
      <c r="S247" s="79"/>
      <c r="X247" s="79"/>
      <c r="AD247" s="130"/>
      <c r="AF247" s="106"/>
    </row>
    <row r="248">
      <c r="C248" s="79"/>
      <c r="D248" s="79"/>
      <c r="E248" s="79"/>
      <c r="O248" s="79"/>
      <c r="R248" s="79"/>
      <c r="S248" s="79"/>
      <c r="X248" s="79"/>
      <c r="AD248" s="130"/>
      <c r="AF248" s="106"/>
    </row>
    <row r="249">
      <c r="C249" s="79"/>
      <c r="D249" s="79"/>
      <c r="E249" s="79"/>
      <c r="O249" s="79"/>
      <c r="R249" s="79"/>
      <c r="S249" s="79"/>
      <c r="X249" s="79"/>
      <c r="AD249" s="130"/>
      <c r="AF249" s="106"/>
    </row>
    <row r="250">
      <c r="C250" s="79"/>
      <c r="D250" s="79"/>
      <c r="E250" s="79"/>
      <c r="O250" s="79"/>
      <c r="R250" s="79"/>
      <c r="S250" s="79"/>
      <c r="X250" s="79"/>
      <c r="AD250" s="130"/>
      <c r="AF250" s="106"/>
    </row>
    <row r="251">
      <c r="C251" s="79"/>
      <c r="D251" s="79"/>
      <c r="E251" s="79"/>
      <c r="O251" s="79"/>
      <c r="R251" s="79"/>
      <c r="S251" s="79"/>
      <c r="X251" s="79"/>
      <c r="AD251" s="130"/>
      <c r="AF251" s="106"/>
    </row>
    <row r="252">
      <c r="C252" s="79"/>
      <c r="D252" s="79"/>
      <c r="E252" s="79"/>
      <c r="O252" s="79"/>
      <c r="R252" s="79"/>
      <c r="S252" s="79"/>
      <c r="X252" s="79"/>
      <c r="AD252" s="130"/>
      <c r="AF252" s="106"/>
    </row>
    <row r="253">
      <c r="C253" s="79"/>
      <c r="D253" s="79"/>
      <c r="E253" s="79"/>
      <c r="O253" s="79"/>
      <c r="R253" s="79"/>
      <c r="S253" s="79"/>
      <c r="X253" s="79"/>
      <c r="AD253" s="130"/>
      <c r="AF253" s="106"/>
    </row>
    <row r="254">
      <c r="C254" s="79"/>
      <c r="D254" s="79"/>
      <c r="E254" s="79"/>
      <c r="O254" s="79"/>
      <c r="R254" s="79"/>
      <c r="S254" s="79"/>
      <c r="X254" s="79"/>
      <c r="AD254" s="130"/>
      <c r="AF254" s="106"/>
    </row>
    <row r="255">
      <c r="C255" s="79"/>
      <c r="D255" s="79"/>
      <c r="E255" s="79"/>
      <c r="O255" s="79"/>
      <c r="R255" s="79"/>
      <c r="S255" s="79"/>
      <c r="X255" s="79"/>
      <c r="AD255" s="130"/>
      <c r="AF255" s="106"/>
    </row>
    <row r="256">
      <c r="C256" s="79"/>
      <c r="D256" s="79"/>
      <c r="E256" s="79"/>
      <c r="O256" s="79"/>
      <c r="R256" s="79"/>
      <c r="S256" s="79"/>
      <c r="X256" s="79"/>
      <c r="AD256" s="130"/>
      <c r="AF256" s="106"/>
    </row>
    <row r="257">
      <c r="C257" s="79"/>
      <c r="D257" s="79"/>
      <c r="E257" s="79"/>
      <c r="O257" s="79"/>
      <c r="R257" s="79"/>
      <c r="S257" s="79"/>
      <c r="X257" s="79"/>
      <c r="AD257" s="130"/>
      <c r="AF257" s="106"/>
    </row>
    <row r="258">
      <c r="C258" s="79"/>
      <c r="D258" s="79"/>
      <c r="E258" s="79"/>
      <c r="O258" s="79"/>
      <c r="R258" s="79"/>
      <c r="S258" s="79"/>
      <c r="X258" s="79"/>
      <c r="AD258" s="130"/>
      <c r="AF258" s="106"/>
    </row>
    <row r="259">
      <c r="C259" s="79"/>
      <c r="D259" s="79"/>
      <c r="E259" s="79"/>
      <c r="O259" s="79"/>
      <c r="R259" s="79"/>
      <c r="S259" s="79"/>
      <c r="X259" s="79"/>
      <c r="AD259" s="130"/>
      <c r="AF259" s="106"/>
    </row>
    <row r="260">
      <c r="C260" s="79"/>
      <c r="D260" s="79"/>
      <c r="E260" s="79"/>
      <c r="O260" s="79"/>
      <c r="R260" s="79"/>
      <c r="S260" s="79"/>
      <c r="X260" s="79"/>
      <c r="AD260" s="130"/>
      <c r="AF260" s="106"/>
    </row>
    <row r="261">
      <c r="C261" s="79"/>
      <c r="D261" s="79"/>
      <c r="E261" s="79"/>
      <c r="O261" s="79"/>
      <c r="R261" s="79"/>
      <c r="S261" s="79"/>
      <c r="X261" s="79"/>
      <c r="AD261" s="130"/>
      <c r="AF261" s="106"/>
    </row>
    <row r="262">
      <c r="C262" s="79"/>
      <c r="D262" s="79"/>
      <c r="E262" s="79"/>
      <c r="O262" s="79"/>
      <c r="R262" s="79"/>
      <c r="S262" s="79"/>
      <c r="X262" s="79"/>
      <c r="AD262" s="130"/>
      <c r="AF262" s="106"/>
    </row>
    <row r="263">
      <c r="C263" s="79"/>
      <c r="D263" s="79"/>
      <c r="E263" s="79"/>
      <c r="O263" s="79"/>
      <c r="R263" s="79"/>
      <c r="S263" s="79"/>
      <c r="X263" s="79"/>
      <c r="AD263" s="130"/>
      <c r="AF263" s="106"/>
    </row>
    <row r="264">
      <c r="C264" s="79"/>
      <c r="D264" s="79"/>
      <c r="E264" s="79"/>
      <c r="O264" s="79"/>
      <c r="R264" s="79"/>
      <c r="S264" s="79"/>
      <c r="X264" s="79"/>
      <c r="AD264" s="130"/>
      <c r="AF264" s="106"/>
    </row>
    <row r="265">
      <c r="C265" s="79"/>
      <c r="D265" s="79"/>
      <c r="E265" s="79"/>
      <c r="O265" s="79"/>
      <c r="R265" s="79"/>
      <c r="S265" s="79"/>
      <c r="X265" s="79"/>
      <c r="AD265" s="130"/>
      <c r="AF265" s="106"/>
    </row>
    <row r="266">
      <c r="C266" s="79"/>
      <c r="D266" s="79"/>
      <c r="E266" s="79"/>
      <c r="O266" s="79"/>
      <c r="R266" s="79"/>
      <c r="S266" s="79"/>
      <c r="X266" s="79"/>
      <c r="AD266" s="130"/>
      <c r="AF266" s="106"/>
    </row>
    <row r="267">
      <c r="C267" s="79"/>
      <c r="D267" s="79"/>
      <c r="E267" s="79"/>
      <c r="O267" s="79"/>
      <c r="R267" s="79"/>
      <c r="S267" s="79"/>
      <c r="X267" s="79"/>
      <c r="AD267" s="130"/>
      <c r="AF267" s="106"/>
    </row>
    <row r="268">
      <c r="C268" s="79"/>
      <c r="D268" s="79"/>
      <c r="E268" s="79"/>
      <c r="O268" s="79"/>
      <c r="R268" s="79"/>
      <c r="S268" s="79"/>
      <c r="X268" s="79"/>
      <c r="AD268" s="130"/>
      <c r="AF268" s="106"/>
    </row>
    <row r="269">
      <c r="C269" s="79"/>
      <c r="D269" s="79"/>
      <c r="E269" s="79"/>
      <c r="O269" s="79"/>
      <c r="R269" s="79"/>
      <c r="S269" s="79"/>
      <c r="X269" s="79"/>
      <c r="AD269" s="130"/>
      <c r="AF269" s="106"/>
    </row>
    <row r="270">
      <c r="C270" s="79"/>
      <c r="D270" s="79"/>
      <c r="E270" s="79"/>
      <c r="O270" s="79"/>
      <c r="R270" s="79"/>
      <c r="S270" s="79"/>
      <c r="X270" s="79"/>
      <c r="AD270" s="130"/>
      <c r="AF270" s="106"/>
    </row>
    <row r="271">
      <c r="C271" s="79"/>
      <c r="D271" s="79"/>
      <c r="E271" s="79"/>
      <c r="O271" s="79"/>
      <c r="R271" s="79"/>
      <c r="S271" s="79"/>
      <c r="X271" s="79"/>
      <c r="AD271" s="130"/>
      <c r="AF271" s="106"/>
    </row>
    <row r="272">
      <c r="C272" s="79"/>
      <c r="D272" s="79"/>
      <c r="E272" s="79"/>
      <c r="O272" s="79"/>
      <c r="R272" s="79"/>
      <c r="S272" s="79"/>
      <c r="X272" s="79"/>
      <c r="AD272" s="130"/>
      <c r="AF272" s="106"/>
    </row>
    <row r="273">
      <c r="C273" s="79"/>
      <c r="D273" s="79"/>
      <c r="E273" s="79"/>
      <c r="O273" s="79"/>
      <c r="R273" s="79"/>
      <c r="S273" s="79"/>
      <c r="X273" s="79"/>
      <c r="AD273" s="130"/>
      <c r="AF273" s="106"/>
    </row>
    <row r="274">
      <c r="C274" s="79"/>
      <c r="D274" s="79"/>
      <c r="E274" s="79"/>
      <c r="O274" s="79"/>
      <c r="R274" s="79"/>
      <c r="S274" s="79"/>
      <c r="X274" s="79"/>
      <c r="AD274" s="130"/>
      <c r="AF274" s="106"/>
    </row>
    <row r="275">
      <c r="C275" s="79"/>
      <c r="D275" s="79"/>
      <c r="E275" s="79"/>
      <c r="O275" s="79"/>
      <c r="R275" s="79"/>
      <c r="S275" s="79"/>
      <c r="X275" s="79"/>
      <c r="AD275" s="130"/>
      <c r="AF275" s="106"/>
    </row>
    <row r="276">
      <c r="C276" s="79"/>
      <c r="D276" s="79"/>
      <c r="E276" s="79"/>
      <c r="O276" s="79"/>
      <c r="R276" s="79"/>
      <c r="S276" s="79"/>
      <c r="X276" s="79"/>
      <c r="AD276" s="130"/>
      <c r="AF276" s="106"/>
    </row>
    <row r="277">
      <c r="C277" s="79"/>
      <c r="D277" s="79"/>
      <c r="E277" s="79"/>
      <c r="O277" s="79"/>
      <c r="R277" s="79"/>
      <c r="S277" s="79"/>
      <c r="X277" s="79"/>
      <c r="AD277" s="130"/>
      <c r="AF277" s="106"/>
    </row>
    <row r="278">
      <c r="C278" s="79"/>
      <c r="D278" s="79"/>
      <c r="E278" s="79"/>
      <c r="O278" s="79"/>
      <c r="R278" s="79"/>
      <c r="S278" s="79"/>
      <c r="X278" s="79"/>
      <c r="AD278" s="130"/>
      <c r="AF278" s="106"/>
    </row>
    <row r="279">
      <c r="C279" s="79"/>
      <c r="D279" s="79"/>
      <c r="E279" s="79"/>
      <c r="O279" s="79"/>
      <c r="R279" s="79"/>
      <c r="S279" s="79"/>
      <c r="X279" s="79"/>
      <c r="AD279" s="130"/>
      <c r="AF279" s="106"/>
    </row>
    <row r="280">
      <c r="C280" s="79"/>
      <c r="D280" s="79"/>
      <c r="E280" s="79"/>
      <c r="O280" s="79"/>
      <c r="R280" s="79"/>
      <c r="S280" s="79"/>
      <c r="X280" s="79"/>
      <c r="AD280" s="130"/>
      <c r="AF280" s="106"/>
    </row>
    <row r="281">
      <c r="C281" s="79"/>
      <c r="D281" s="79"/>
      <c r="E281" s="79"/>
      <c r="O281" s="79"/>
      <c r="R281" s="79"/>
      <c r="S281" s="79"/>
      <c r="X281" s="79"/>
      <c r="AD281" s="130"/>
      <c r="AF281" s="106"/>
    </row>
    <row r="282">
      <c r="C282" s="79"/>
      <c r="D282" s="79"/>
      <c r="E282" s="79"/>
      <c r="O282" s="79"/>
      <c r="R282" s="79"/>
      <c r="S282" s="79"/>
      <c r="X282" s="79"/>
      <c r="AD282" s="130"/>
      <c r="AF282" s="106"/>
    </row>
    <row r="283">
      <c r="C283" s="79"/>
      <c r="D283" s="79"/>
      <c r="E283" s="79"/>
      <c r="O283" s="79"/>
      <c r="R283" s="79"/>
      <c r="S283" s="79"/>
      <c r="X283" s="79"/>
      <c r="AD283" s="130"/>
      <c r="AF283" s="106"/>
    </row>
    <row r="284">
      <c r="C284" s="79"/>
      <c r="D284" s="79"/>
      <c r="E284" s="79"/>
      <c r="O284" s="79"/>
      <c r="R284" s="79"/>
      <c r="S284" s="79"/>
      <c r="X284" s="79"/>
      <c r="AD284" s="130"/>
      <c r="AF284" s="106"/>
    </row>
    <row r="285">
      <c r="C285" s="79"/>
      <c r="D285" s="79"/>
      <c r="E285" s="79"/>
      <c r="O285" s="79"/>
      <c r="R285" s="79"/>
      <c r="S285" s="79"/>
      <c r="X285" s="79"/>
      <c r="AD285" s="130"/>
      <c r="AF285" s="106"/>
    </row>
    <row r="286">
      <c r="C286" s="79"/>
      <c r="D286" s="79"/>
      <c r="E286" s="79"/>
      <c r="O286" s="79"/>
      <c r="R286" s="79"/>
      <c r="S286" s="79"/>
      <c r="X286" s="79"/>
      <c r="AD286" s="130"/>
      <c r="AF286" s="106"/>
    </row>
    <row r="287">
      <c r="C287" s="79"/>
      <c r="D287" s="79"/>
      <c r="E287" s="79"/>
      <c r="O287" s="79"/>
      <c r="R287" s="79"/>
      <c r="S287" s="79"/>
      <c r="X287" s="79"/>
      <c r="AD287" s="130"/>
      <c r="AF287" s="106"/>
    </row>
    <row r="288">
      <c r="C288" s="79"/>
      <c r="D288" s="79"/>
      <c r="E288" s="79"/>
      <c r="O288" s="79"/>
      <c r="R288" s="79"/>
      <c r="S288" s="79"/>
      <c r="X288" s="79"/>
      <c r="AD288" s="130"/>
      <c r="AF288" s="106"/>
    </row>
    <row r="289">
      <c r="C289" s="79"/>
      <c r="D289" s="79"/>
      <c r="E289" s="79"/>
      <c r="O289" s="79"/>
      <c r="R289" s="79"/>
      <c r="S289" s="79"/>
      <c r="X289" s="79"/>
      <c r="AD289" s="130"/>
      <c r="AF289" s="106"/>
    </row>
    <row r="290">
      <c r="C290" s="79"/>
      <c r="D290" s="79"/>
      <c r="E290" s="79"/>
      <c r="O290" s="79"/>
      <c r="R290" s="79"/>
      <c r="S290" s="79"/>
      <c r="X290" s="79"/>
      <c r="AD290" s="130"/>
      <c r="AF290" s="106"/>
    </row>
    <row r="291">
      <c r="C291" s="79"/>
      <c r="D291" s="79"/>
      <c r="E291" s="79"/>
      <c r="O291" s="79"/>
      <c r="R291" s="79"/>
      <c r="S291" s="79"/>
      <c r="X291" s="79"/>
      <c r="AD291" s="130"/>
      <c r="AF291" s="106"/>
    </row>
    <row r="292">
      <c r="C292" s="79"/>
      <c r="D292" s="79"/>
      <c r="E292" s="79"/>
      <c r="O292" s="79"/>
      <c r="R292" s="79"/>
      <c r="S292" s="79"/>
      <c r="X292" s="79"/>
      <c r="AD292" s="130"/>
      <c r="AF292" s="106"/>
    </row>
    <row r="293">
      <c r="C293" s="79"/>
      <c r="D293" s="79"/>
      <c r="E293" s="79"/>
      <c r="O293" s="79"/>
      <c r="R293" s="79"/>
      <c r="S293" s="79"/>
      <c r="X293" s="79"/>
      <c r="AD293" s="130"/>
      <c r="AF293" s="106"/>
    </row>
    <row r="294">
      <c r="C294" s="79"/>
      <c r="D294" s="79"/>
      <c r="E294" s="79"/>
      <c r="O294" s="79"/>
      <c r="R294" s="79"/>
      <c r="S294" s="79"/>
      <c r="X294" s="79"/>
      <c r="AD294" s="130"/>
      <c r="AF294" s="106"/>
    </row>
    <row r="295">
      <c r="C295" s="79"/>
      <c r="D295" s="79"/>
      <c r="E295" s="79"/>
      <c r="O295" s="79"/>
      <c r="R295" s="79"/>
      <c r="S295" s="79"/>
      <c r="X295" s="79"/>
      <c r="AD295" s="130"/>
      <c r="AF295" s="106"/>
    </row>
    <row r="296">
      <c r="C296" s="79"/>
      <c r="D296" s="79"/>
      <c r="E296" s="79"/>
      <c r="O296" s="79"/>
      <c r="R296" s="79"/>
      <c r="S296" s="79"/>
      <c r="X296" s="79"/>
      <c r="AD296" s="130"/>
      <c r="AF296" s="106"/>
    </row>
    <row r="297">
      <c r="C297" s="79"/>
      <c r="D297" s="79"/>
      <c r="E297" s="79"/>
      <c r="O297" s="79"/>
      <c r="R297" s="79"/>
      <c r="S297" s="79"/>
      <c r="X297" s="79"/>
      <c r="AD297" s="130"/>
      <c r="AF297" s="106"/>
    </row>
    <row r="298">
      <c r="C298" s="79"/>
      <c r="D298" s="79"/>
      <c r="E298" s="79"/>
      <c r="O298" s="79"/>
      <c r="R298" s="79"/>
      <c r="S298" s="79"/>
      <c r="X298" s="79"/>
      <c r="AD298" s="130"/>
      <c r="AF298" s="106"/>
    </row>
    <row r="299">
      <c r="C299" s="79"/>
      <c r="D299" s="79"/>
      <c r="E299" s="79"/>
      <c r="O299" s="79"/>
      <c r="R299" s="79"/>
      <c r="S299" s="79"/>
      <c r="X299" s="79"/>
      <c r="AD299" s="130"/>
      <c r="AF299" s="106"/>
    </row>
    <row r="300">
      <c r="C300" s="79"/>
      <c r="D300" s="79"/>
      <c r="E300" s="79"/>
      <c r="O300" s="79"/>
      <c r="R300" s="79"/>
      <c r="S300" s="79"/>
      <c r="X300" s="79"/>
      <c r="AD300" s="130"/>
      <c r="AF300" s="106"/>
    </row>
    <row r="301">
      <c r="C301" s="79"/>
      <c r="D301" s="79"/>
      <c r="E301" s="79"/>
      <c r="O301" s="79"/>
      <c r="R301" s="79"/>
      <c r="S301" s="79"/>
      <c r="X301" s="79"/>
      <c r="AD301" s="130"/>
      <c r="AF301" s="106"/>
    </row>
    <row r="302">
      <c r="C302" s="79"/>
      <c r="D302" s="79"/>
      <c r="E302" s="79"/>
      <c r="O302" s="79"/>
      <c r="R302" s="79"/>
      <c r="S302" s="79"/>
      <c r="X302" s="79"/>
      <c r="AD302" s="130"/>
      <c r="AF302" s="106"/>
    </row>
    <row r="303">
      <c r="C303" s="79"/>
      <c r="D303" s="79"/>
      <c r="E303" s="79"/>
      <c r="O303" s="79"/>
      <c r="R303" s="79"/>
      <c r="S303" s="79"/>
      <c r="X303" s="79"/>
      <c r="AD303" s="130"/>
      <c r="AF303" s="106"/>
    </row>
    <row r="304">
      <c r="C304" s="79"/>
      <c r="D304" s="79"/>
      <c r="E304" s="79"/>
      <c r="O304" s="79"/>
      <c r="R304" s="79"/>
      <c r="S304" s="79"/>
      <c r="X304" s="79"/>
      <c r="AD304" s="130"/>
      <c r="AF304" s="106"/>
    </row>
    <row r="305">
      <c r="C305" s="79"/>
      <c r="D305" s="79"/>
      <c r="E305" s="79"/>
      <c r="O305" s="79"/>
      <c r="R305" s="79"/>
      <c r="S305" s="79"/>
      <c r="X305" s="79"/>
      <c r="AD305" s="130"/>
      <c r="AF305" s="106"/>
    </row>
    <row r="306">
      <c r="C306" s="79"/>
      <c r="D306" s="79"/>
      <c r="E306" s="79"/>
      <c r="O306" s="79"/>
      <c r="R306" s="79"/>
      <c r="S306" s="79"/>
      <c r="X306" s="79"/>
      <c r="AD306" s="130"/>
      <c r="AF306" s="106"/>
    </row>
    <row r="307">
      <c r="C307" s="79"/>
      <c r="D307" s="79"/>
      <c r="E307" s="79"/>
      <c r="O307" s="79"/>
      <c r="R307" s="79"/>
      <c r="S307" s="79"/>
      <c r="X307" s="79"/>
      <c r="AD307" s="130"/>
      <c r="AF307" s="106"/>
    </row>
    <row r="308">
      <c r="C308" s="79"/>
      <c r="D308" s="79"/>
      <c r="E308" s="79"/>
      <c r="O308" s="79"/>
      <c r="R308" s="79"/>
      <c r="S308" s="79"/>
      <c r="X308" s="79"/>
      <c r="AD308" s="130"/>
      <c r="AF308" s="106"/>
    </row>
    <row r="309">
      <c r="C309" s="79"/>
      <c r="D309" s="79"/>
      <c r="E309" s="79"/>
      <c r="O309" s="79"/>
      <c r="R309" s="79"/>
      <c r="S309" s="79"/>
      <c r="X309" s="79"/>
      <c r="AD309" s="130"/>
      <c r="AF309" s="106"/>
    </row>
    <row r="310">
      <c r="C310" s="79"/>
      <c r="D310" s="79"/>
      <c r="E310" s="79"/>
      <c r="O310" s="79"/>
      <c r="R310" s="79"/>
      <c r="S310" s="79"/>
      <c r="X310" s="79"/>
      <c r="AD310" s="130"/>
      <c r="AF310" s="106"/>
    </row>
    <row r="311">
      <c r="C311" s="79"/>
      <c r="D311" s="79"/>
      <c r="E311" s="79"/>
      <c r="O311" s="79"/>
      <c r="R311" s="79"/>
      <c r="S311" s="79"/>
      <c r="X311" s="79"/>
      <c r="AD311" s="130"/>
      <c r="AF311" s="106"/>
    </row>
    <row r="312">
      <c r="C312" s="79"/>
      <c r="D312" s="79"/>
      <c r="E312" s="79"/>
      <c r="O312" s="79"/>
      <c r="R312" s="79"/>
      <c r="S312" s="79"/>
      <c r="X312" s="79"/>
      <c r="AD312" s="130"/>
      <c r="AF312" s="106"/>
    </row>
    <row r="313">
      <c r="C313" s="79"/>
      <c r="D313" s="79"/>
      <c r="E313" s="79"/>
      <c r="O313" s="79"/>
      <c r="R313" s="79"/>
      <c r="S313" s="79"/>
      <c r="X313" s="79"/>
      <c r="AD313" s="130"/>
      <c r="AF313" s="106"/>
    </row>
    <row r="314">
      <c r="C314" s="79"/>
      <c r="D314" s="79"/>
      <c r="E314" s="79"/>
      <c r="O314" s="79"/>
      <c r="R314" s="79"/>
      <c r="S314" s="79"/>
      <c r="X314" s="79"/>
      <c r="AD314" s="130"/>
      <c r="AF314" s="106"/>
    </row>
    <row r="315">
      <c r="C315" s="79"/>
      <c r="D315" s="79"/>
      <c r="E315" s="79"/>
      <c r="O315" s="79"/>
      <c r="R315" s="79"/>
      <c r="S315" s="79"/>
      <c r="X315" s="79"/>
      <c r="AD315" s="130"/>
      <c r="AF315" s="106"/>
    </row>
    <row r="316">
      <c r="C316" s="79"/>
      <c r="D316" s="79"/>
      <c r="E316" s="79"/>
      <c r="O316" s="79"/>
      <c r="R316" s="79"/>
      <c r="S316" s="79"/>
      <c r="X316" s="79"/>
      <c r="AD316" s="130"/>
      <c r="AF316" s="106"/>
    </row>
    <row r="317">
      <c r="C317" s="79"/>
      <c r="D317" s="79"/>
      <c r="E317" s="79"/>
      <c r="O317" s="79"/>
      <c r="R317" s="79"/>
      <c r="S317" s="79"/>
      <c r="X317" s="79"/>
      <c r="AD317" s="130"/>
      <c r="AF317" s="106"/>
    </row>
    <row r="318">
      <c r="C318" s="79"/>
      <c r="D318" s="79"/>
      <c r="E318" s="79"/>
      <c r="O318" s="79"/>
      <c r="R318" s="79"/>
      <c r="S318" s="79"/>
      <c r="X318" s="79"/>
      <c r="AD318" s="130"/>
      <c r="AF318" s="106"/>
    </row>
    <row r="319">
      <c r="C319" s="79"/>
      <c r="D319" s="79"/>
      <c r="E319" s="79"/>
      <c r="O319" s="79"/>
      <c r="R319" s="79"/>
      <c r="S319" s="79"/>
      <c r="X319" s="79"/>
      <c r="AD319" s="130"/>
      <c r="AF319" s="106"/>
    </row>
    <row r="320">
      <c r="C320" s="79"/>
      <c r="D320" s="79"/>
      <c r="E320" s="79"/>
      <c r="O320" s="79"/>
      <c r="R320" s="79"/>
      <c r="S320" s="79"/>
      <c r="X320" s="79"/>
      <c r="AD320" s="130"/>
      <c r="AF320" s="106"/>
    </row>
    <row r="321">
      <c r="C321" s="79"/>
      <c r="D321" s="79"/>
      <c r="E321" s="79"/>
      <c r="O321" s="79"/>
      <c r="R321" s="79"/>
      <c r="S321" s="79"/>
      <c r="X321" s="79"/>
      <c r="AD321" s="130"/>
      <c r="AF321" s="106"/>
    </row>
    <row r="322">
      <c r="C322" s="79"/>
      <c r="D322" s="79"/>
      <c r="E322" s="79"/>
      <c r="O322" s="79"/>
      <c r="R322" s="79"/>
      <c r="S322" s="79"/>
      <c r="X322" s="79"/>
      <c r="AD322" s="130"/>
      <c r="AF322" s="106"/>
    </row>
    <row r="323">
      <c r="C323" s="79"/>
      <c r="D323" s="79"/>
      <c r="E323" s="79"/>
      <c r="O323" s="79"/>
      <c r="R323" s="79"/>
      <c r="S323" s="79"/>
      <c r="X323" s="79"/>
      <c r="AD323" s="130"/>
      <c r="AF323" s="106"/>
    </row>
    <row r="324">
      <c r="C324" s="79"/>
      <c r="D324" s="79"/>
      <c r="E324" s="79"/>
      <c r="O324" s="79"/>
      <c r="R324" s="79"/>
      <c r="S324" s="79"/>
      <c r="X324" s="79"/>
      <c r="AD324" s="130"/>
      <c r="AF324" s="106"/>
    </row>
    <row r="325">
      <c r="C325" s="79"/>
      <c r="D325" s="79"/>
      <c r="E325" s="79"/>
      <c r="O325" s="79"/>
      <c r="R325" s="79"/>
      <c r="S325" s="79"/>
      <c r="X325" s="79"/>
      <c r="AD325" s="130"/>
      <c r="AF325" s="106"/>
    </row>
    <row r="326">
      <c r="C326" s="79"/>
      <c r="D326" s="79"/>
      <c r="E326" s="79"/>
      <c r="O326" s="79"/>
      <c r="R326" s="79"/>
      <c r="S326" s="79"/>
      <c r="X326" s="79"/>
      <c r="AD326" s="130"/>
      <c r="AF326" s="106"/>
    </row>
    <row r="327">
      <c r="C327" s="79"/>
      <c r="D327" s="79"/>
      <c r="E327" s="79"/>
      <c r="O327" s="79"/>
      <c r="R327" s="79"/>
      <c r="S327" s="79"/>
      <c r="X327" s="79"/>
      <c r="AD327" s="130"/>
      <c r="AF327" s="106"/>
    </row>
    <row r="328">
      <c r="C328" s="79"/>
      <c r="D328" s="79"/>
      <c r="E328" s="79"/>
      <c r="O328" s="79"/>
      <c r="R328" s="79"/>
      <c r="S328" s="79"/>
      <c r="X328" s="79"/>
      <c r="AD328" s="130"/>
      <c r="AF328" s="106"/>
    </row>
    <row r="329">
      <c r="C329" s="79"/>
      <c r="D329" s="79"/>
      <c r="E329" s="79"/>
      <c r="O329" s="79"/>
      <c r="R329" s="79"/>
      <c r="S329" s="79"/>
      <c r="X329" s="79"/>
      <c r="AD329" s="130"/>
      <c r="AF329" s="106"/>
    </row>
    <row r="330">
      <c r="C330" s="79"/>
      <c r="D330" s="79"/>
      <c r="E330" s="79"/>
      <c r="O330" s="79"/>
      <c r="R330" s="79"/>
      <c r="S330" s="79"/>
      <c r="X330" s="79"/>
      <c r="AD330" s="130"/>
      <c r="AF330" s="106"/>
    </row>
    <row r="331">
      <c r="C331" s="79"/>
      <c r="D331" s="79"/>
      <c r="E331" s="79"/>
      <c r="O331" s="79"/>
      <c r="R331" s="79"/>
      <c r="S331" s="79"/>
      <c r="X331" s="79"/>
      <c r="AD331" s="130"/>
      <c r="AF331" s="106"/>
    </row>
    <row r="332">
      <c r="C332" s="79"/>
      <c r="D332" s="79"/>
      <c r="E332" s="79"/>
      <c r="O332" s="79"/>
      <c r="R332" s="79"/>
      <c r="S332" s="79"/>
      <c r="X332" s="79"/>
      <c r="AD332" s="130"/>
      <c r="AF332" s="106"/>
    </row>
    <row r="333">
      <c r="C333" s="79"/>
      <c r="D333" s="79"/>
      <c r="E333" s="79"/>
      <c r="O333" s="79"/>
      <c r="R333" s="79"/>
      <c r="S333" s="79"/>
      <c r="X333" s="79"/>
      <c r="AD333" s="130"/>
      <c r="AF333" s="106"/>
    </row>
    <row r="334">
      <c r="C334" s="79"/>
      <c r="D334" s="79"/>
      <c r="E334" s="79"/>
      <c r="O334" s="79"/>
      <c r="R334" s="79"/>
      <c r="S334" s="79"/>
      <c r="X334" s="79"/>
      <c r="AD334" s="130"/>
      <c r="AF334" s="106"/>
    </row>
    <row r="335">
      <c r="C335" s="79"/>
      <c r="D335" s="79"/>
      <c r="E335" s="79"/>
      <c r="O335" s="79"/>
      <c r="R335" s="79"/>
      <c r="S335" s="79"/>
      <c r="X335" s="79"/>
      <c r="AD335" s="130"/>
      <c r="AF335" s="106"/>
    </row>
    <row r="336">
      <c r="C336" s="79"/>
      <c r="D336" s="79"/>
      <c r="E336" s="79"/>
      <c r="O336" s="79"/>
      <c r="R336" s="79"/>
      <c r="S336" s="79"/>
      <c r="X336" s="79"/>
      <c r="AD336" s="130"/>
      <c r="AF336" s="106"/>
    </row>
    <row r="337">
      <c r="C337" s="79"/>
      <c r="D337" s="79"/>
      <c r="E337" s="79"/>
      <c r="O337" s="79"/>
      <c r="R337" s="79"/>
      <c r="S337" s="79"/>
      <c r="X337" s="79"/>
      <c r="AD337" s="130"/>
      <c r="AF337" s="106"/>
    </row>
    <row r="338">
      <c r="C338" s="79"/>
      <c r="D338" s="79"/>
      <c r="E338" s="79"/>
      <c r="O338" s="79"/>
      <c r="R338" s="79"/>
      <c r="S338" s="79"/>
      <c r="X338" s="79"/>
      <c r="AD338" s="130"/>
      <c r="AF338" s="106"/>
    </row>
    <row r="339">
      <c r="C339" s="79"/>
      <c r="D339" s="79"/>
      <c r="E339" s="79"/>
      <c r="O339" s="79"/>
      <c r="R339" s="79"/>
      <c r="S339" s="79"/>
      <c r="X339" s="79"/>
      <c r="AD339" s="130"/>
      <c r="AF339" s="106"/>
    </row>
    <row r="340">
      <c r="C340" s="79"/>
      <c r="D340" s="79"/>
      <c r="E340" s="79"/>
      <c r="O340" s="79"/>
      <c r="R340" s="79"/>
      <c r="S340" s="79"/>
      <c r="X340" s="79"/>
      <c r="AD340" s="130"/>
      <c r="AF340" s="106"/>
    </row>
    <row r="341">
      <c r="C341" s="79"/>
      <c r="D341" s="79"/>
      <c r="E341" s="79"/>
      <c r="O341" s="79"/>
      <c r="R341" s="79"/>
      <c r="S341" s="79"/>
      <c r="X341" s="79"/>
      <c r="AD341" s="130"/>
      <c r="AF341" s="106"/>
    </row>
    <row r="342">
      <c r="C342" s="79"/>
      <c r="D342" s="79"/>
      <c r="E342" s="79"/>
      <c r="O342" s="79"/>
      <c r="R342" s="79"/>
      <c r="S342" s="79"/>
      <c r="X342" s="79"/>
      <c r="AD342" s="130"/>
      <c r="AF342" s="106"/>
    </row>
    <row r="343">
      <c r="C343" s="79"/>
      <c r="D343" s="79"/>
      <c r="E343" s="79"/>
      <c r="O343" s="79"/>
      <c r="R343" s="79"/>
      <c r="S343" s="79"/>
      <c r="X343" s="79"/>
      <c r="AD343" s="130"/>
      <c r="AF343" s="106"/>
    </row>
    <row r="344">
      <c r="C344" s="79"/>
      <c r="D344" s="79"/>
      <c r="E344" s="79"/>
      <c r="O344" s="79"/>
      <c r="R344" s="79"/>
      <c r="S344" s="79"/>
      <c r="X344" s="79"/>
      <c r="AD344" s="130"/>
      <c r="AF344" s="106"/>
    </row>
    <row r="345">
      <c r="C345" s="79"/>
      <c r="D345" s="79"/>
      <c r="E345" s="79"/>
      <c r="O345" s="79"/>
      <c r="R345" s="79"/>
      <c r="S345" s="79"/>
      <c r="X345" s="79"/>
      <c r="AD345" s="130"/>
      <c r="AF345" s="106"/>
    </row>
    <row r="346">
      <c r="C346" s="79"/>
      <c r="D346" s="79"/>
      <c r="E346" s="79"/>
      <c r="O346" s="79"/>
      <c r="R346" s="79"/>
      <c r="S346" s="79"/>
      <c r="X346" s="79"/>
      <c r="AD346" s="130"/>
      <c r="AF346" s="106"/>
    </row>
    <row r="347">
      <c r="C347" s="79"/>
      <c r="D347" s="79"/>
      <c r="E347" s="79"/>
      <c r="O347" s="79"/>
      <c r="R347" s="79"/>
      <c r="S347" s="79"/>
      <c r="X347" s="79"/>
      <c r="AD347" s="130"/>
      <c r="AF347" s="106"/>
    </row>
    <row r="348">
      <c r="C348" s="79"/>
      <c r="D348" s="79"/>
      <c r="E348" s="79"/>
      <c r="O348" s="79"/>
      <c r="R348" s="79"/>
      <c r="S348" s="79"/>
      <c r="X348" s="79"/>
      <c r="AD348" s="130"/>
      <c r="AF348" s="106"/>
    </row>
    <row r="349">
      <c r="C349" s="79"/>
      <c r="D349" s="79"/>
      <c r="E349" s="79"/>
      <c r="O349" s="79"/>
      <c r="R349" s="79"/>
      <c r="S349" s="79"/>
      <c r="X349" s="79"/>
      <c r="AD349" s="130"/>
      <c r="AF349" s="106"/>
    </row>
    <row r="350">
      <c r="C350" s="79"/>
      <c r="D350" s="79"/>
      <c r="E350" s="79"/>
      <c r="O350" s="79"/>
      <c r="R350" s="79"/>
      <c r="S350" s="79"/>
      <c r="X350" s="79"/>
      <c r="AD350" s="130"/>
      <c r="AF350" s="106"/>
    </row>
    <row r="351">
      <c r="C351" s="79"/>
      <c r="D351" s="79"/>
      <c r="E351" s="79"/>
      <c r="O351" s="79"/>
      <c r="R351" s="79"/>
      <c r="S351" s="79"/>
      <c r="X351" s="79"/>
      <c r="AD351" s="130"/>
      <c r="AF351" s="106"/>
    </row>
    <row r="352">
      <c r="C352" s="79"/>
      <c r="D352" s="79"/>
      <c r="E352" s="79"/>
      <c r="O352" s="79"/>
      <c r="R352" s="79"/>
      <c r="S352" s="79"/>
      <c r="X352" s="79"/>
      <c r="AD352" s="130"/>
      <c r="AF352" s="106"/>
    </row>
    <row r="353">
      <c r="C353" s="79"/>
      <c r="D353" s="79"/>
      <c r="E353" s="79"/>
      <c r="O353" s="79"/>
      <c r="R353" s="79"/>
      <c r="S353" s="79"/>
      <c r="X353" s="79"/>
      <c r="AD353" s="130"/>
      <c r="AF353" s="106"/>
    </row>
    <row r="354">
      <c r="C354" s="79"/>
      <c r="D354" s="79"/>
      <c r="E354" s="79"/>
      <c r="O354" s="79"/>
      <c r="R354" s="79"/>
      <c r="S354" s="79"/>
      <c r="X354" s="79"/>
      <c r="AD354" s="130"/>
      <c r="AF354" s="106"/>
    </row>
    <row r="355">
      <c r="C355" s="79"/>
      <c r="D355" s="79"/>
      <c r="E355" s="79"/>
      <c r="O355" s="79"/>
      <c r="R355" s="79"/>
      <c r="S355" s="79"/>
      <c r="X355" s="79"/>
      <c r="AD355" s="130"/>
      <c r="AF355" s="106"/>
    </row>
    <row r="356">
      <c r="C356" s="79"/>
      <c r="D356" s="79"/>
      <c r="E356" s="79"/>
      <c r="O356" s="79"/>
      <c r="R356" s="79"/>
      <c r="S356" s="79"/>
      <c r="X356" s="79"/>
      <c r="AD356" s="130"/>
      <c r="AF356" s="106"/>
    </row>
    <row r="357">
      <c r="C357" s="79"/>
      <c r="D357" s="79"/>
      <c r="E357" s="79"/>
      <c r="O357" s="79"/>
      <c r="R357" s="79"/>
      <c r="S357" s="79"/>
      <c r="X357" s="79"/>
      <c r="AD357" s="130"/>
      <c r="AF357" s="106"/>
    </row>
    <row r="358">
      <c r="C358" s="79"/>
      <c r="D358" s="79"/>
      <c r="E358" s="79"/>
      <c r="O358" s="79"/>
      <c r="R358" s="79"/>
      <c r="S358" s="79"/>
      <c r="X358" s="79"/>
      <c r="AD358" s="130"/>
      <c r="AF358" s="106"/>
    </row>
    <row r="359">
      <c r="C359" s="79"/>
      <c r="D359" s="79"/>
      <c r="E359" s="79"/>
      <c r="O359" s="79"/>
      <c r="R359" s="79"/>
      <c r="S359" s="79"/>
      <c r="X359" s="79"/>
      <c r="AD359" s="130"/>
      <c r="AF359" s="106"/>
    </row>
    <row r="360">
      <c r="C360" s="79"/>
      <c r="D360" s="79"/>
      <c r="E360" s="79"/>
      <c r="O360" s="79"/>
      <c r="R360" s="79"/>
      <c r="S360" s="79"/>
      <c r="X360" s="79"/>
      <c r="AD360" s="130"/>
      <c r="AF360" s="106"/>
    </row>
    <row r="361">
      <c r="C361" s="79"/>
      <c r="D361" s="79"/>
      <c r="E361" s="79"/>
      <c r="O361" s="79"/>
      <c r="R361" s="79"/>
      <c r="S361" s="79"/>
      <c r="X361" s="79"/>
      <c r="AD361" s="130"/>
      <c r="AF361" s="106"/>
    </row>
    <row r="362">
      <c r="C362" s="79"/>
      <c r="D362" s="79"/>
      <c r="E362" s="79"/>
      <c r="O362" s="79"/>
      <c r="R362" s="79"/>
      <c r="S362" s="79"/>
      <c r="X362" s="79"/>
      <c r="AD362" s="130"/>
      <c r="AF362" s="106"/>
    </row>
    <row r="363">
      <c r="C363" s="79"/>
      <c r="D363" s="79"/>
      <c r="E363" s="79"/>
      <c r="O363" s="79"/>
      <c r="R363" s="79"/>
      <c r="S363" s="79"/>
      <c r="X363" s="79"/>
      <c r="AD363" s="130"/>
      <c r="AF363" s="106"/>
    </row>
    <row r="364">
      <c r="C364" s="79"/>
      <c r="D364" s="79"/>
      <c r="E364" s="79"/>
      <c r="O364" s="79"/>
      <c r="R364" s="79"/>
      <c r="S364" s="79"/>
      <c r="X364" s="79"/>
      <c r="AD364" s="130"/>
      <c r="AF364" s="106"/>
    </row>
    <row r="365">
      <c r="C365" s="79"/>
      <c r="D365" s="79"/>
      <c r="E365" s="79"/>
      <c r="O365" s="79"/>
      <c r="R365" s="79"/>
      <c r="S365" s="79"/>
      <c r="X365" s="79"/>
      <c r="AD365" s="130"/>
      <c r="AF365" s="106"/>
    </row>
    <row r="366">
      <c r="C366" s="79"/>
      <c r="D366" s="79"/>
      <c r="E366" s="79"/>
      <c r="O366" s="79"/>
      <c r="R366" s="79"/>
      <c r="S366" s="79"/>
      <c r="X366" s="79"/>
      <c r="AD366" s="130"/>
      <c r="AF366" s="106"/>
    </row>
    <row r="367">
      <c r="C367" s="79"/>
      <c r="D367" s="79"/>
      <c r="E367" s="79"/>
      <c r="O367" s="79"/>
      <c r="R367" s="79"/>
      <c r="S367" s="79"/>
      <c r="X367" s="79"/>
      <c r="AD367" s="130"/>
      <c r="AF367" s="106"/>
    </row>
    <row r="368">
      <c r="C368" s="79"/>
      <c r="D368" s="79"/>
      <c r="E368" s="79"/>
      <c r="O368" s="79"/>
      <c r="R368" s="79"/>
      <c r="S368" s="79"/>
      <c r="X368" s="79"/>
      <c r="AD368" s="130"/>
      <c r="AF368" s="106"/>
    </row>
    <row r="369">
      <c r="C369" s="79"/>
      <c r="D369" s="79"/>
      <c r="E369" s="79"/>
      <c r="O369" s="79"/>
      <c r="R369" s="79"/>
      <c r="S369" s="79"/>
      <c r="X369" s="79"/>
      <c r="AD369" s="130"/>
      <c r="AF369" s="106"/>
    </row>
    <row r="370">
      <c r="C370" s="79"/>
      <c r="D370" s="79"/>
      <c r="E370" s="79"/>
      <c r="O370" s="79"/>
      <c r="R370" s="79"/>
      <c r="S370" s="79"/>
      <c r="X370" s="79"/>
      <c r="AD370" s="130"/>
      <c r="AF370" s="106"/>
    </row>
    <row r="371">
      <c r="C371" s="79"/>
      <c r="D371" s="79"/>
      <c r="E371" s="79"/>
      <c r="O371" s="79"/>
      <c r="R371" s="79"/>
      <c r="S371" s="79"/>
      <c r="X371" s="79"/>
      <c r="AD371" s="130"/>
      <c r="AF371" s="106"/>
    </row>
    <row r="372">
      <c r="C372" s="79"/>
      <c r="D372" s="79"/>
      <c r="E372" s="79"/>
      <c r="O372" s="79"/>
      <c r="R372" s="79"/>
      <c r="S372" s="79"/>
      <c r="X372" s="79"/>
      <c r="AD372" s="130"/>
      <c r="AF372" s="106"/>
    </row>
    <row r="373">
      <c r="C373" s="79"/>
      <c r="D373" s="79"/>
      <c r="E373" s="79"/>
      <c r="O373" s="79"/>
      <c r="R373" s="79"/>
      <c r="S373" s="79"/>
      <c r="X373" s="79"/>
      <c r="AD373" s="130"/>
      <c r="AF373" s="106"/>
    </row>
    <row r="374">
      <c r="C374" s="79"/>
      <c r="D374" s="79"/>
      <c r="E374" s="79"/>
      <c r="O374" s="79"/>
      <c r="R374" s="79"/>
      <c r="S374" s="79"/>
      <c r="X374" s="79"/>
      <c r="AD374" s="130"/>
      <c r="AF374" s="106"/>
    </row>
    <row r="375">
      <c r="C375" s="79"/>
      <c r="D375" s="79"/>
      <c r="E375" s="79"/>
      <c r="O375" s="79"/>
      <c r="R375" s="79"/>
      <c r="S375" s="79"/>
      <c r="X375" s="79"/>
      <c r="AD375" s="130"/>
      <c r="AF375" s="106"/>
    </row>
    <row r="376">
      <c r="C376" s="79"/>
      <c r="D376" s="79"/>
      <c r="E376" s="79"/>
      <c r="O376" s="79"/>
      <c r="R376" s="79"/>
      <c r="S376" s="79"/>
      <c r="X376" s="79"/>
      <c r="AD376" s="130"/>
      <c r="AF376" s="106"/>
    </row>
    <row r="377">
      <c r="C377" s="79"/>
      <c r="D377" s="79"/>
      <c r="E377" s="79"/>
      <c r="O377" s="79"/>
      <c r="R377" s="79"/>
      <c r="S377" s="79"/>
      <c r="X377" s="79"/>
      <c r="AD377" s="130"/>
      <c r="AF377" s="106"/>
    </row>
    <row r="378">
      <c r="C378" s="79"/>
      <c r="D378" s="79"/>
      <c r="E378" s="79"/>
      <c r="O378" s="79"/>
      <c r="R378" s="79"/>
      <c r="S378" s="79"/>
      <c r="X378" s="79"/>
      <c r="AD378" s="130"/>
      <c r="AF378" s="106"/>
    </row>
    <row r="379">
      <c r="C379" s="79"/>
      <c r="D379" s="79"/>
      <c r="E379" s="79"/>
      <c r="O379" s="79"/>
      <c r="R379" s="79"/>
      <c r="S379" s="79"/>
      <c r="X379" s="79"/>
      <c r="AD379" s="130"/>
      <c r="AF379" s="106"/>
    </row>
    <row r="380">
      <c r="C380" s="79"/>
      <c r="D380" s="79"/>
      <c r="E380" s="79"/>
      <c r="O380" s="79"/>
      <c r="R380" s="79"/>
      <c r="S380" s="79"/>
      <c r="X380" s="79"/>
      <c r="AD380" s="130"/>
      <c r="AF380" s="106"/>
    </row>
    <row r="381">
      <c r="C381" s="79"/>
      <c r="D381" s="79"/>
      <c r="E381" s="79"/>
      <c r="O381" s="79"/>
      <c r="R381" s="79"/>
      <c r="S381" s="79"/>
      <c r="X381" s="79"/>
      <c r="AD381" s="130"/>
      <c r="AF381" s="106"/>
    </row>
    <row r="382">
      <c r="C382" s="79"/>
      <c r="D382" s="79"/>
      <c r="E382" s="79"/>
      <c r="O382" s="79"/>
      <c r="R382" s="79"/>
      <c r="S382" s="79"/>
      <c r="X382" s="79"/>
      <c r="AD382" s="130"/>
      <c r="AF382" s="106"/>
    </row>
    <row r="383">
      <c r="C383" s="79"/>
      <c r="D383" s="79"/>
      <c r="E383" s="79"/>
      <c r="O383" s="79"/>
      <c r="R383" s="79"/>
      <c r="S383" s="79"/>
      <c r="X383" s="79"/>
      <c r="AD383" s="130"/>
      <c r="AF383" s="106"/>
    </row>
    <row r="384">
      <c r="C384" s="79"/>
      <c r="D384" s="79"/>
      <c r="E384" s="79"/>
      <c r="O384" s="79"/>
      <c r="R384" s="79"/>
      <c r="S384" s="79"/>
      <c r="X384" s="79"/>
      <c r="AD384" s="130"/>
      <c r="AF384" s="106"/>
    </row>
    <row r="385">
      <c r="C385" s="79"/>
      <c r="D385" s="79"/>
      <c r="E385" s="79"/>
      <c r="O385" s="79"/>
      <c r="R385" s="79"/>
      <c r="S385" s="79"/>
      <c r="X385" s="79"/>
      <c r="AD385" s="130"/>
      <c r="AF385" s="106"/>
    </row>
    <row r="386">
      <c r="C386" s="79"/>
      <c r="D386" s="79"/>
      <c r="E386" s="79"/>
      <c r="O386" s="79"/>
      <c r="R386" s="79"/>
      <c r="S386" s="79"/>
      <c r="X386" s="79"/>
      <c r="AD386" s="130"/>
      <c r="AF386" s="106"/>
    </row>
    <row r="387">
      <c r="C387" s="79"/>
      <c r="D387" s="79"/>
      <c r="E387" s="79"/>
      <c r="O387" s="79"/>
      <c r="R387" s="79"/>
      <c r="S387" s="79"/>
      <c r="X387" s="79"/>
      <c r="AD387" s="130"/>
      <c r="AF387" s="106"/>
    </row>
    <row r="388">
      <c r="C388" s="79"/>
      <c r="D388" s="79"/>
      <c r="E388" s="79"/>
      <c r="O388" s="79"/>
      <c r="R388" s="79"/>
      <c r="S388" s="79"/>
      <c r="X388" s="79"/>
      <c r="AD388" s="130"/>
      <c r="AF388" s="106"/>
    </row>
    <row r="389">
      <c r="C389" s="79"/>
      <c r="D389" s="79"/>
      <c r="E389" s="79"/>
      <c r="O389" s="79"/>
      <c r="R389" s="79"/>
      <c r="S389" s="79"/>
      <c r="X389" s="79"/>
      <c r="AD389" s="130"/>
      <c r="AF389" s="106"/>
    </row>
    <row r="390">
      <c r="C390" s="79"/>
      <c r="D390" s="79"/>
      <c r="E390" s="79"/>
      <c r="O390" s="79"/>
      <c r="R390" s="79"/>
      <c r="S390" s="79"/>
      <c r="X390" s="79"/>
      <c r="AD390" s="130"/>
      <c r="AF390" s="106"/>
    </row>
    <row r="391">
      <c r="C391" s="79"/>
      <c r="D391" s="79"/>
      <c r="E391" s="79"/>
      <c r="O391" s="79"/>
      <c r="R391" s="79"/>
      <c r="S391" s="79"/>
      <c r="X391" s="79"/>
      <c r="AD391" s="130"/>
      <c r="AF391" s="106"/>
    </row>
    <row r="392">
      <c r="C392" s="79"/>
      <c r="D392" s="79"/>
      <c r="E392" s="79"/>
      <c r="O392" s="79"/>
      <c r="R392" s="79"/>
      <c r="S392" s="79"/>
      <c r="X392" s="79"/>
      <c r="AD392" s="130"/>
      <c r="AF392" s="106"/>
    </row>
    <row r="393">
      <c r="C393" s="79"/>
      <c r="D393" s="79"/>
      <c r="E393" s="79"/>
      <c r="O393" s="79"/>
      <c r="R393" s="79"/>
      <c r="S393" s="79"/>
      <c r="X393" s="79"/>
      <c r="AD393" s="130"/>
      <c r="AF393" s="106"/>
    </row>
    <row r="394">
      <c r="C394" s="79"/>
      <c r="D394" s="79"/>
      <c r="E394" s="79"/>
      <c r="O394" s="79"/>
      <c r="R394" s="79"/>
      <c r="S394" s="79"/>
      <c r="X394" s="79"/>
      <c r="AD394" s="130"/>
      <c r="AF394" s="106"/>
    </row>
    <row r="395">
      <c r="C395" s="79"/>
      <c r="D395" s="79"/>
      <c r="E395" s="79"/>
      <c r="O395" s="79"/>
      <c r="R395" s="79"/>
      <c r="S395" s="79"/>
      <c r="X395" s="79"/>
      <c r="AD395" s="130"/>
      <c r="AF395" s="106"/>
    </row>
    <row r="396">
      <c r="C396" s="79"/>
      <c r="D396" s="79"/>
      <c r="E396" s="79"/>
      <c r="O396" s="79"/>
      <c r="R396" s="79"/>
      <c r="S396" s="79"/>
      <c r="X396" s="79"/>
      <c r="AD396" s="130"/>
      <c r="AF396" s="106"/>
    </row>
    <row r="397">
      <c r="C397" s="79"/>
      <c r="D397" s="79"/>
      <c r="E397" s="79"/>
      <c r="O397" s="79"/>
      <c r="R397" s="79"/>
      <c r="S397" s="79"/>
      <c r="X397" s="79"/>
      <c r="AD397" s="130"/>
      <c r="AF397" s="106"/>
    </row>
    <row r="398">
      <c r="C398" s="79"/>
      <c r="D398" s="79"/>
      <c r="E398" s="79"/>
      <c r="O398" s="79"/>
      <c r="R398" s="79"/>
      <c r="S398" s="79"/>
      <c r="X398" s="79"/>
      <c r="AD398" s="130"/>
      <c r="AF398" s="106"/>
    </row>
    <row r="399">
      <c r="C399" s="79"/>
      <c r="D399" s="79"/>
      <c r="E399" s="79"/>
      <c r="O399" s="79"/>
      <c r="R399" s="79"/>
      <c r="S399" s="79"/>
      <c r="X399" s="79"/>
      <c r="AD399" s="130"/>
      <c r="AF399" s="106"/>
    </row>
    <row r="400">
      <c r="C400" s="79"/>
      <c r="D400" s="79"/>
      <c r="E400" s="79"/>
      <c r="O400" s="79"/>
      <c r="R400" s="79"/>
      <c r="S400" s="79"/>
      <c r="X400" s="79"/>
      <c r="AD400" s="130"/>
      <c r="AF400" s="106"/>
    </row>
    <row r="401">
      <c r="C401" s="79"/>
      <c r="D401" s="79"/>
      <c r="E401" s="79"/>
      <c r="O401" s="79"/>
      <c r="R401" s="79"/>
      <c r="S401" s="79"/>
      <c r="X401" s="79"/>
      <c r="AD401" s="130"/>
      <c r="AF401" s="106"/>
    </row>
    <row r="402">
      <c r="C402" s="79"/>
      <c r="D402" s="79"/>
      <c r="E402" s="79"/>
      <c r="O402" s="79"/>
      <c r="R402" s="79"/>
      <c r="S402" s="79"/>
      <c r="X402" s="79"/>
      <c r="AD402" s="130"/>
      <c r="AF402" s="106"/>
    </row>
    <row r="403">
      <c r="C403" s="79"/>
      <c r="D403" s="79"/>
      <c r="E403" s="79"/>
      <c r="O403" s="79"/>
      <c r="R403" s="79"/>
      <c r="S403" s="79"/>
      <c r="X403" s="79"/>
      <c r="AD403" s="130"/>
      <c r="AF403" s="106"/>
    </row>
    <row r="404">
      <c r="C404" s="79"/>
      <c r="D404" s="79"/>
      <c r="E404" s="79"/>
      <c r="O404" s="79"/>
      <c r="R404" s="79"/>
      <c r="S404" s="79"/>
      <c r="X404" s="79"/>
      <c r="AD404" s="130"/>
      <c r="AF404" s="106"/>
    </row>
    <row r="405">
      <c r="C405" s="79"/>
      <c r="D405" s="79"/>
      <c r="E405" s="79"/>
      <c r="O405" s="79"/>
      <c r="R405" s="79"/>
      <c r="S405" s="79"/>
      <c r="X405" s="79"/>
      <c r="AD405" s="130"/>
      <c r="AF405" s="106"/>
    </row>
    <row r="406">
      <c r="C406" s="79"/>
      <c r="D406" s="79"/>
      <c r="E406" s="79"/>
      <c r="O406" s="79"/>
      <c r="R406" s="79"/>
      <c r="S406" s="79"/>
      <c r="X406" s="79"/>
      <c r="AD406" s="130"/>
      <c r="AF406" s="106"/>
    </row>
    <row r="407">
      <c r="C407" s="79"/>
      <c r="D407" s="79"/>
      <c r="E407" s="79"/>
      <c r="O407" s="79"/>
      <c r="R407" s="79"/>
      <c r="S407" s="79"/>
      <c r="X407" s="79"/>
      <c r="AD407" s="130"/>
      <c r="AF407" s="106"/>
    </row>
    <row r="408">
      <c r="C408" s="79"/>
      <c r="D408" s="79"/>
      <c r="E408" s="79"/>
      <c r="O408" s="79"/>
      <c r="R408" s="79"/>
      <c r="S408" s="79"/>
      <c r="X408" s="79"/>
      <c r="AD408" s="130"/>
      <c r="AF408" s="106"/>
    </row>
    <row r="409">
      <c r="C409" s="79"/>
      <c r="D409" s="79"/>
      <c r="E409" s="79"/>
      <c r="O409" s="79"/>
      <c r="R409" s="79"/>
      <c r="S409" s="79"/>
      <c r="X409" s="79"/>
      <c r="AD409" s="130"/>
      <c r="AF409" s="106"/>
    </row>
    <row r="410">
      <c r="C410" s="79"/>
      <c r="D410" s="79"/>
      <c r="E410" s="79"/>
      <c r="O410" s="79"/>
      <c r="R410" s="79"/>
      <c r="S410" s="79"/>
      <c r="X410" s="79"/>
      <c r="AD410" s="130"/>
      <c r="AF410" s="106"/>
    </row>
    <row r="411">
      <c r="C411" s="79"/>
      <c r="D411" s="79"/>
      <c r="E411" s="79"/>
      <c r="O411" s="79"/>
      <c r="R411" s="79"/>
      <c r="S411" s="79"/>
      <c r="X411" s="79"/>
      <c r="AD411" s="130"/>
      <c r="AF411" s="106"/>
    </row>
    <row r="412">
      <c r="C412" s="79"/>
      <c r="D412" s="79"/>
      <c r="E412" s="79"/>
      <c r="O412" s="79"/>
      <c r="R412" s="79"/>
      <c r="S412" s="79"/>
      <c r="X412" s="79"/>
      <c r="AD412" s="130"/>
      <c r="AF412" s="106"/>
    </row>
    <row r="413">
      <c r="C413" s="79"/>
      <c r="D413" s="79"/>
      <c r="E413" s="79"/>
      <c r="O413" s="79"/>
      <c r="R413" s="79"/>
      <c r="S413" s="79"/>
      <c r="X413" s="79"/>
      <c r="AD413" s="130"/>
      <c r="AF413" s="106"/>
    </row>
    <row r="414">
      <c r="C414" s="79"/>
      <c r="D414" s="79"/>
      <c r="E414" s="79"/>
      <c r="O414" s="79"/>
      <c r="R414" s="79"/>
      <c r="S414" s="79"/>
      <c r="X414" s="79"/>
      <c r="AD414" s="130"/>
      <c r="AF414" s="106"/>
    </row>
    <row r="415">
      <c r="C415" s="79"/>
      <c r="D415" s="79"/>
      <c r="E415" s="79"/>
      <c r="O415" s="79"/>
      <c r="R415" s="79"/>
      <c r="S415" s="79"/>
      <c r="X415" s="79"/>
      <c r="AD415" s="130"/>
      <c r="AF415" s="106"/>
    </row>
    <row r="416">
      <c r="C416" s="79"/>
      <c r="D416" s="79"/>
      <c r="E416" s="79"/>
      <c r="O416" s="79"/>
      <c r="R416" s="79"/>
      <c r="S416" s="79"/>
      <c r="X416" s="79"/>
      <c r="AD416" s="130"/>
      <c r="AF416" s="106"/>
    </row>
    <row r="417">
      <c r="C417" s="79"/>
      <c r="D417" s="79"/>
      <c r="E417" s="79"/>
      <c r="O417" s="79"/>
      <c r="R417" s="79"/>
      <c r="S417" s="79"/>
      <c r="X417" s="79"/>
      <c r="AD417" s="130"/>
      <c r="AF417" s="106"/>
    </row>
    <row r="418">
      <c r="C418" s="79"/>
      <c r="D418" s="79"/>
      <c r="E418" s="79"/>
      <c r="O418" s="79"/>
      <c r="R418" s="79"/>
      <c r="S418" s="79"/>
      <c r="X418" s="79"/>
      <c r="AD418" s="130"/>
      <c r="AF418" s="106"/>
    </row>
    <row r="419">
      <c r="C419" s="79"/>
      <c r="D419" s="79"/>
      <c r="E419" s="79"/>
      <c r="O419" s="79"/>
      <c r="R419" s="79"/>
      <c r="S419" s="79"/>
      <c r="X419" s="79"/>
      <c r="AD419" s="130"/>
      <c r="AF419" s="106"/>
    </row>
    <row r="420">
      <c r="C420" s="79"/>
      <c r="D420" s="79"/>
      <c r="E420" s="79"/>
      <c r="O420" s="79"/>
      <c r="R420" s="79"/>
      <c r="S420" s="79"/>
      <c r="X420" s="79"/>
      <c r="AD420" s="130"/>
      <c r="AF420" s="106"/>
    </row>
    <row r="421">
      <c r="C421" s="79"/>
      <c r="D421" s="79"/>
      <c r="E421" s="79"/>
      <c r="O421" s="79"/>
      <c r="R421" s="79"/>
      <c r="S421" s="79"/>
      <c r="X421" s="79"/>
      <c r="AD421" s="130"/>
      <c r="AF421" s="106"/>
    </row>
    <row r="422">
      <c r="C422" s="79"/>
      <c r="D422" s="79"/>
      <c r="E422" s="79"/>
      <c r="O422" s="79"/>
      <c r="R422" s="79"/>
      <c r="S422" s="79"/>
      <c r="X422" s="79"/>
      <c r="AD422" s="130"/>
      <c r="AF422" s="106"/>
    </row>
    <row r="423">
      <c r="C423" s="79"/>
      <c r="D423" s="79"/>
      <c r="E423" s="79"/>
      <c r="O423" s="79"/>
      <c r="R423" s="79"/>
      <c r="S423" s="79"/>
      <c r="X423" s="79"/>
      <c r="AD423" s="130"/>
      <c r="AF423" s="106"/>
    </row>
    <row r="424">
      <c r="C424" s="79"/>
      <c r="D424" s="79"/>
      <c r="E424" s="79"/>
      <c r="O424" s="79"/>
      <c r="R424" s="79"/>
      <c r="S424" s="79"/>
      <c r="X424" s="79"/>
      <c r="AD424" s="130"/>
      <c r="AF424" s="106"/>
    </row>
    <row r="425">
      <c r="C425" s="79"/>
      <c r="D425" s="79"/>
      <c r="E425" s="79"/>
      <c r="O425" s="79"/>
      <c r="R425" s="79"/>
      <c r="S425" s="79"/>
      <c r="X425" s="79"/>
      <c r="AD425" s="130"/>
      <c r="AF425" s="106"/>
    </row>
    <row r="426">
      <c r="C426" s="79"/>
      <c r="D426" s="79"/>
      <c r="E426" s="79"/>
      <c r="O426" s="79"/>
      <c r="R426" s="79"/>
      <c r="S426" s="79"/>
      <c r="X426" s="79"/>
      <c r="AD426" s="130"/>
      <c r="AF426" s="106"/>
    </row>
    <row r="427">
      <c r="C427" s="79"/>
      <c r="D427" s="79"/>
      <c r="E427" s="79"/>
      <c r="O427" s="79"/>
      <c r="R427" s="79"/>
      <c r="S427" s="79"/>
      <c r="X427" s="79"/>
      <c r="AD427" s="130"/>
      <c r="AF427" s="106"/>
    </row>
    <row r="428">
      <c r="C428" s="79"/>
      <c r="D428" s="79"/>
      <c r="E428" s="79"/>
      <c r="O428" s="79"/>
      <c r="R428" s="79"/>
      <c r="S428" s="79"/>
      <c r="X428" s="79"/>
      <c r="AD428" s="130"/>
      <c r="AF428" s="106"/>
    </row>
    <row r="429">
      <c r="C429" s="79"/>
      <c r="D429" s="79"/>
      <c r="E429" s="79"/>
      <c r="O429" s="79"/>
      <c r="R429" s="79"/>
      <c r="S429" s="79"/>
      <c r="X429" s="79"/>
      <c r="AD429" s="130"/>
      <c r="AF429" s="106"/>
    </row>
    <row r="430">
      <c r="C430" s="79"/>
      <c r="D430" s="79"/>
      <c r="E430" s="79"/>
      <c r="O430" s="79"/>
      <c r="R430" s="79"/>
      <c r="S430" s="79"/>
      <c r="X430" s="79"/>
      <c r="AD430" s="130"/>
      <c r="AF430" s="106"/>
    </row>
    <row r="431">
      <c r="C431" s="79"/>
      <c r="D431" s="79"/>
      <c r="E431" s="79"/>
      <c r="O431" s="79"/>
      <c r="R431" s="79"/>
      <c r="S431" s="79"/>
      <c r="X431" s="79"/>
      <c r="AD431" s="130"/>
      <c r="AF431" s="106"/>
    </row>
    <row r="432">
      <c r="C432" s="79"/>
      <c r="D432" s="79"/>
      <c r="E432" s="79"/>
      <c r="O432" s="79"/>
      <c r="R432" s="79"/>
      <c r="S432" s="79"/>
      <c r="X432" s="79"/>
      <c r="AD432" s="130"/>
      <c r="AF432" s="106"/>
    </row>
    <row r="433">
      <c r="C433" s="79"/>
      <c r="D433" s="79"/>
      <c r="E433" s="79"/>
      <c r="O433" s="79"/>
      <c r="R433" s="79"/>
      <c r="S433" s="79"/>
      <c r="X433" s="79"/>
      <c r="AD433" s="130"/>
      <c r="AF433" s="106"/>
    </row>
    <row r="434">
      <c r="C434" s="79"/>
      <c r="D434" s="79"/>
      <c r="E434" s="79"/>
      <c r="O434" s="79"/>
      <c r="R434" s="79"/>
      <c r="S434" s="79"/>
      <c r="X434" s="79"/>
      <c r="AD434" s="130"/>
      <c r="AF434" s="106"/>
    </row>
    <row r="435">
      <c r="C435" s="79"/>
      <c r="D435" s="79"/>
      <c r="E435" s="79"/>
      <c r="O435" s="79"/>
      <c r="R435" s="79"/>
      <c r="S435" s="79"/>
      <c r="X435" s="79"/>
      <c r="AD435" s="130"/>
      <c r="AF435" s="106"/>
    </row>
    <row r="436">
      <c r="C436" s="79"/>
      <c r="D436" s="79"/>
      <c r="E436" s="79"/>
      <c r="O436" s="79"/>
      <c r="R436" s="79"/>
      <c r="S436" s="79"/>
      <c r="X436" s="79"/>
      <c r="AD436" s="130"/>
      <c r="AF436" s="106"/>
    </row>
    <row r="437">
      <c r="C437" s="79"/>
      <c r="D437" s="79"/>
      <c r="E437" s="79"/>
      <c r="O437" s="79"/>
      <c r="R437" s="79"/>
      <c r="S437" s="79"/>
      <c r="X437" s="79"/>
      <c r="AD437" s="130"/>
      <c r="AF437" s="106"/>
    </row>
    <row r="438">
      <c r="C438" s="79"/>
      <c r="D438" s="79"/>
      <c r="E438" s="79"/>
      <c r="O438" s="79"/>
      <c r="R438" s="79"/>
      <c r="S438" s="79"/>
      <c r="X438" s="79"/>
      <c r="AD438" s="130"/>
      <c r="AF438" s="106"/>
    </row>
    <row r="439">
      <c r="C439" s="79"/>
      <c r="D439" s="79"/>
      <c r="E439" s="79"/>
      <c r="O439" s="79"/>
      <c r="R439" s="79"/>
      <c r="S439" s="79"/>
      <c r="X439" s="79"/>
      <c r="AD439" s="130"/>
      <c r="AF439" s="106"/>
    </row>
    <row r="440">
      <c r="C440" s="79"/>
      <c r="D440" s="79"/>
      <c r="E440" s="79"/>
      <c r="O440" s="79"/>
      <c r="R440" s="79"/>
      <c r="S440" s="79"/>
      <c r="X440" s="79"/>
      <c r="AD440" s="130"/>
      <c r="AF440" s="106"/>
    </row>
    <row r="441">
      <c r="C441" s="79"/>
      <c r="D441" s="79"/>
      <c r="E441" s="79"/>
      <c r="O441" s="79"/>
      <c r="R441" s="79"/>
      <c r="S441" s="79"/>
      <c r="X441" s="79"/>
      <c r="AD441" s="130"/>
      <c r="AF441" s="106"/>
    </row>
    <row r="442">
      <c r="C442" s="79"/>
      <c r="D442" s="79"/>
      <c r="E442" s="79"/>
      <c r="O442" s="79"/>
      <c r="R442" s="79"/>
      <c r="S442" s="79"/>
      <c r="X442" s="79"/>
      <c r="AD442" s="130"/>
      <c r="AF442" s="106"/>
    </row>
    <row r="443">
      <c r="C443" s="79"/>
      <c r="D443" s="79"/>
      <c r="E443" s="79"/>
      <c r="O443" s="79"/>
      <c r="R443" s="79"/>
      <c r="S443" s="79"/>
      <c r="X443" s="79"/>
      <c r="AD443" s="130"/>
      <c r="AF443" s="106"/>
    </row>
    <row r="444">
      <c r="C444" s="79"/>
      <c r="D444" s="79"/>
      <c r="E444" s="79"/>
      <c r="O444" s="79"/>
      <c r="R444" s="79"/>
      <c r="S444" s="79"/>
      <c r="X444" s="79"/>
      <c r="AD444" s="130"/>
      <c r="AF444" s="106"/>
    </row>
    <row r="445">
      <c r="C445" s="79"/>
      <c r="D445" s="79"/>
      <c r="E445" s="79"/>
      <c r="O445" s="79"/>
      <c r="R445" s="79"/>
      <c r="S445" s="79"/>
      <c r="X445" s="79"/>
      <c r="AD445" s="130"/>
      <c r="AF445" s="106"/>
    </row>
    <row r="446">
      <c r="C446" s="79"/>
      <c r="D446" s="79"/>
      <c r="E446" s="79"/>
      <c r="O446" s="79"/>
      <c r="R446" s="79"/>
      <c r="S446" s="79"/>
      <c r="X446" s="79"/>
      <c r="AD446" s="130"/>
      <c r="AF446" s="106"/>
    </row>
    <row r="447">
      <c r="C447" s="79"/>
      <c r="D447" s="79"/>
      <c r="E447" s="79"/>
      <c r="O447" s="79"/>
      <c r="R447" s="79"/>
      <c r="S447" s="79"/>
      <c r="X447" s="79"/>
      <c r="AD447" s="130"/>
      <c r="AF447" s="106"/>
    </row>
    <row r="448">
      <c r="C448" s="79"/>
      <c r="D448" s="79"/>
      <c r="E448" s="79"/>
      <c r="O448" s="79"/>
      <c r="R448" s="79"/>
      <c r="S448" s="79"/>
      <c r="X448" s="79"/>
      <c r="AD448" s="130"/>
      <c r="AF448" s="106"/>
    </row>
    <row r="449">
      <c r="C449" s="79"/>
      <c r="D449" s="79"/>
      <c r="E449" s="79"/>
      <c r="O449" s="79"/>
      <c r="R449" s="79"/>
      <c r="S449" s="79"/>
      <c r="X449" s="79"/>
      <c r="AD449" s="130"/>
      <c r="AF449" s="106"/>
    </row>
    <row r="450">
      <c r="C450" s="79"/>
      <c r="D450" s="79"/>
      <c r="E450" s="79"/>
      <c r="O450" s="79"/>
      <c r="R450" s="79"/>
      <c r="S450" s="79"/>
      <c r="X450" s="79"/>
      <c r="AD450" s="130"/>
      <c r="AF450" s="106"/>
    </row>
    <row r="451">
      <c r="C451" s="79"/>
      <c r="D451" s="79"/>
      <c r="E451" s="79"/>
      <c r="O451" s="79"/>
      <c r="R451" s="79"/>
      <c r="S451" s="79"/>
      <c r="X451" s="79"/>
      <c r="AD451" s="130"/>
      <c r="AF451" s="106"/>
    </row>
    <row r="452">
      <c r="C452" s="79"/>
      <c r="D452" s="79"/>
      <c r="E452" s="79"/>
      <c r="O452" s="79"/>
      <c r="R452" s="79"/>
      <c r="S452" s="79"/>
      <c r="X452" s="79"/>
      <c r="AD452" s="130"/>
      <c r="AF452" s="106"/>
    </row>
    <row r="453">
      <c r="C453" s="79"/>
      <c r="D453" s="79"/>
      <c r="E453" s="79"/>
      <c r="O453" s="79"/>
      <c r="R453" s="79"/>
      <c r="S453" s="79"/>
      <c r="X453" s="79"/>
      <c r="AD453" s="130"/>
      <c r="AF453" s="106"/>
    </row>
    <row r="454">
      <c r="C454" s="79"/>
      <c r="D454" s="79"/>
      <c r="E454" s="79"/>
      <c r="O454" s="79"/>
      <c r="R454" s="79"/>
      <c r="S454" s="79"/>
      <c r="X454" s="79"/>
      <c r="AD454" s="130"/>
      <c r="AF454" s="106"/>
    </row>
    <row r="455">
      <c r="C455" s="79"/>
      <c r="D455" s="79"/>
      <c r="E455" s="79"/>
      <c r="O455" s="79"/>
      <c r="R455" s="79"/>
      <c r="S455" s="79"/>
      <c r="X455" s="79"/>
      <c r="AD455" s="130"/>
      <c r="AF455" s="106"/>
    </row>
    <row r="456">
      <c r="C456" s="79"/>
      <c r="D456" s="79"/>
      <c r="E456" s="79"/>
      <c r="O456" s="79"/>
      <c r="R456" s="79"/>
      <c r="S456" s="79"/>
      <c r="X456" s="79"/>
      <c r="AD456" s="130"/>
      <c r="AF456" s="106"/>
    </row>
    <row r="457">
      <c r="C457" s="79"/>
      <c r="D457" s="79"/>
      <c r="E457" s="79"/>
      <c r="O457" s="79"/>
      <c r="R457" s="79"/>
      <c r="S457" s="79"/>
      <c r="X457" s="79"/>
      <c r="AD457" s="130"/>
      <c r="AF457" s="106"/>
    </row>
    <row r="458">
      <c r="C458" s="79"/>
      <c r="D458" s="79"/>
      <c r="E458" s="79"/>
      <c r="O458" s="79"/>
      <c r="R458" s="79"/>
      <c r="S458" s="79"/>
      <c r="X458" s="79"/>
      <c r="AD458" s="130"/>
      <c r="AF458" s="106"/>
    </row>
    <row r="459">
      <c r="C459" s="79"/>
      <c r="D459" s="79"/>
      <c r="E459" s="79"/>
      <c r="O459" s="79"/>
      <c r="R459" s="79"/>
      <c r="S459" s="79"/>
      <c r="X459" s="79"/>
      <c r="AD459" s="130"/>
      <c r="AF459" s="106"/>
    </row>
    <row r="460">
      <c r="C460" s="79"/>
      <c r="D460" s="79"/>
      <c r="E460" s="79"/>
      <c r="O460" s="79"/>
      <c r="R460" s="79"/>
      <c r="S460" s="79"/>
      <c r="X460" s="79"/>
      <c r="AD460" s="130"/>
      <c r="AF460" s="106"/>
    </row>
    <row r="461">
      <c r="C461" s="79"/>
      <c r="D461" s="79"/>
      <c r="E461" s="79"/>
      <c r="O461" s="79"/>
      <c r="R461" s="79"/>
      <c r="S461" s="79"/>
      <c r="X461" s="79"/>
      <c r="AD461" s="130"/>
      <c r="AF461" s="106"/>
    </row>
    <row r="462">
      <c r="C462" s="79"/>
      <c r="D462" s="79"/>
      <c r="E462" s="79"/>
      <c r="O462" s="79"/>
      <c r="R462" s="79"/>
      <c r="S462" s="79"/>
      <c r="X462" s="79"/>
      <c r="AD462" s="130"/>
      <c r="AF462" s="106"/>
    </row>
    <row r="463">
      <c r="C463" s="79"/>
      <c r="D463" s="79"/>
      <c r="E463" s="79"/>
      <c r="O463" s="79"/>
      <c r="R463" s="79"/>
      <c r="S463" s="79"/>
      <c r="X463" s="79"/>
      <c r="AD463" s="130"/>
      <c r="AF463" s="106"/>
    </row>
    <row r="464">
      <c r="C464" s="79"/>
      <c r="D464" s="79"/>
      <c r="E464" s="79"/>
      <c r="O464" s="79"/>
      <c r="R464" s="79"/>
      <c r="S464" s="79"/>
      <c r="X464" s="79"/>
      <c r="AD464" s="130"/>
      <c r="AF464" s="106"/>
    </row>
    <row r="465">
      <c r="C465" s="79"/>
      <c r="D465" s="79"/>
      <c r="E465" s="79"/>
      <c r="O465" s="79"/>
      <c r="R465" s="79"/>
      <c r="S465" s="79"/>
      <c r="X465" s="79"/>
      <c r="AD465" s="130"/>
      <c r="AF465" s="106"/>
    </row>
    <row r="466">
      <c r="C466" s="79"/>
      <c r="D466" s="79"/>
      <c r="E466" s="79"/>
      <c r="O466" s="79"/>
      <c r="R466" s="79"/>
      <c r="S466" s="79"/>
      <c r="X466" s="79"/>
      <c r="AD466" s="130"/>
      <c r="AF466" s="106"/>
    </row>
    <row r="467">
      <c r="C467" s="79"/>
      <c r="D467" s="79"/>
      <c r="E467" s="79"/>
      <c r="O467" s="79"/>
      <c r="R467" s="79"/>
      <c r="S467" s="79"/>
      <c r="X467" s="79"/>
      <c r="AD467" s="130"/>
      <c r="AF467" s="106"/>
    </row>
    <row r="468">
      <c r="C468" s="79"/>
      <c r="D468" s="79"/>
      <c r="E468" s="79"/>
      <c r="O468" s="79"/>
      <c r="R468" s="79"/>
      <c r="S468" s="79"/>
      <c r="X468" s="79"/>
      <c r="AD468" s="130"/>
      <c r="AF468" s="106"/>
    </row>
    <row r="469">
      <c r="C469" s="79"/>
      <c r="D469" s="79"/>
      <c r="E469" s="79"/>
      <c r="O469" s="79"/>
      <c r="R469" s="79"/>
      <c r="S469" s="79"/>
      <c r="X469" s="79"/>
      <c r="AD469" s="130"/>
      <c r="AF469" s="106"/>
    </row>
    <row r="470">
      <c r="C470" s="79"/>
      <c r="D470" s="79"/>
      <c r="E470" s="79"/>
      <c r="O470" s="79"/>
      <c r="R470" s="79"/>
      <c r="S470" s="79"/>
      <c r="X470" s="79"/>
      <c r="AD470" s="130"/>
      <c r="AF470" s="106"/>
    </row>
    <row r="471">
      <c r="C471" s="79"/>
      <c r="D471" s="79"/>
      <c r="E471" s="79"/>
      <c r="O471" s="79"/>
      <c r="R471" s="79"/>
      <c r="S471" s="79"/>
      <c r="X471" s="79"/>
      <c r="AD471" s="130"/>
      <c r="AF471" s="106"/>
    </row>
    <row r="472">
      <c r="C472" s="79"/>
      <c r="D472" s="79"/>
      <c r="E472" s="79"/>
      <c r="O472" s="79"/>
      <c r="R472" s="79"/>
      <c r="S472" s="79"/>
      <c r="X472" s="79"/>
      <c r="AD472" s="130"/>
      <c r="AF472" s="106"/>
    </row>
    <row r="473">
      <c r="C473" s="79"/>
      <c r="D473" s="79"/>
      <c r="E473" s="79"/>
      <c r="O473" s="79"/>
      <c r="R473" s="79"/>
      <c r="S473" s="79"/>
      <c r="X473" s="79"/>
      <c r="AD473" s="130"/>
      <c r="AF473" s="106"/>
    </row>
    <row r="474">
      <c r="C474" s="79"/>
      <c r="D474" s="79"/>
      <c r="E474" s="79"/>
      <c r="O474" s="79"/>
      <c r="R474" s="79"/>
      <c r="S474" s="79"/>
      <c r="X474" s="79"/>
      <c r="AD474" s="130"/>
      <c r="AF474" s="106"/>
    </row>
    <row r="475">
      <c r="C475" s="79"/>
      <c r="D475" s="79"/>
      <c r="E475" s="79"/>
      <c r="O475" s="79"/>
      <c r="R475" s="79"/>
      <c r="S475" s="79"/>
      <c r="X475" s="79"/>
      <c r="AD475" s="130"/>
      <c r="AF475" s="106"/>
    </row>
    <row r="476">
      <c r="C476" s="79"/>
      <c r="D476" s="79"/>
      <c r="E476" s="79"/>
      <c r="O476" s="79"/>
      <c r="R476" s="79"/>
      <c r="S476" s="79"/>
      <c r="X476" s="79"/>
      <c r="AD476" s="130"/>
      <c r="AF476" s="106"/>
    </row>
    <row r="477">
      <c r="C477" s="79"/>
      <c r="D477" s="79"/>
      <c r="E477" s="79"/>
      <c r="O477" s="79"/>
      <c r="R477" s="79"/>
      <c r="S477" s="79"/>
      <c r="X477" s="79"/>
      <c r="AD477" s="130"/>
      <c r="AF477" s="106"/>
    </row>
    <row r="478">
      <c r="C478" s="79"/>
      <c r="D478" s="79"/>
      <c r="E478" s="79"/>
      <c r="O478" s="79"/>
      <c r="R478" s="79"/>
      <c r="S478" s="79"/>
      <c r="X478" s="79"/>
      <c r="AD478" s="130"/>
      <c r="AF478" s="106"/>
    </row>
    <row r="479">
      <c r="C479" s="79"/>
      <c r="D479" s="79"/>
      <c r="E479" s="79"/>
      <c r="O479" s="79"/>
      <c r="R479" s="79"/>
      <c r="S479" s="79"/>
      <c r="X479" s="79"/>
      <c r="AD479" s="130"/>
      <c r="AF479" s="106"/>
    </row>
    <row r="480">
      <c r="C480" s="79"/>
      <c r="D480" s="79"/>
      <c r="E480" s="79"/>
      <c r="O480" s="79"/>
      <c r="R480" s="79"/>
      <c r="S480" s="79"/>
      <c r="X480" s="79"/>
      <c r="AD480" s="130"/>
      <c r="AF480" s="106"/>
    </row>
    <row r="481">
      <c r="C481" s="79"/>
      <c r="D481" s="79"/>
      <c r="E481" s="79"/>
      <c r="O481" s="79"/>
      <c r="R481" s="79"/>
      <c r="S481" s="79"/>
      <c r="X481" s="79"/>
      <c r="AD481" s="130"/>
      <c r="AF481" s="106"/>
    </row>
    <row r="482">
      <c r="C482" s="79"/>
      <c r="D482" s="79"/>
      <c r="E482" s="79"/>
      <c r="O482" s="79"/>
      <c r="R482" s="79"/>
      <c r="S482" s="79"/>
      <c r="X482" s="79"/>
      <c r="AD482" s="130"/>
      <c r="AF482" s="106"/>
    </row>
    <row r="483">
      <c r="C483" s="79"/>
      <c r="D483" s="79"/>
      <c r="E483" s="79"/>
      <c r="O483" s="79"/>
      <c r="R483" s="79"/>
      <c r="S483" s="79"/>
      <c r="X483" s="79"/>
      <c r="AD483" s="130"/>
      <c r="AF483" s="106"/>
    </row>
    <row r="484">
      <c r="C484" s="79"/>
      <c r="D484" s="79"/>
      <c r="E484" s="79"/>
      <c r="O484" s="79"/>
      <c r="R484" s="79"/>
      <c r="S484" s="79"/>
      <c r="X484" s="79"/>
      <c r="AD484" s="130"/>
      <c r="AF484" s="106"/>
    </row>
    <row r="485">
      <c r="C485" s="79"/>
      <c r="D485" s="79"/>
      <c r="E485" s="79"/>
      <c r="O485" s="79"/>
      <c r="R485" s="79"/>
      <c r="S485" s="79"/>
      <c r="X485" s="79"/>
      <c r="AD485" s="130"/>
      <c r="AF485" s="106"/>
    </row>
    <row r="486">
      <c r="C486" s="79"/>
      <c r="D486" s="79"/>
      <c r="E486" s="79"/>
      <c r="O486" s="79"/>
      <c r="R486" s="79"/>
      <c r="S486" s="79"/>
      <c r="X486" s="79"/>
      <c r="AD486" s="130"/>
      <c r="AF486" s="106"/>
    </row>
    <row r="487">
      <c r="C487" s="79"/>
      <c r="D487" s="79"/>
      <c r="E487" s="79"/>
      <c r="O487" s="79"/>
      <c r="R487" s="79"/>
      <c r="S487" s="79"/>
      <c r="X487" s="79"/>
      <c r="AD487" s="130"/>
      <c r="AF487" s="106"/>
    </row>
    <row r="488">
      <c r="C488" s="79"/>
      <c r="D488" s="79"/>
      <c r="E488" s="79"/>
      <c r="O488" s="79"/>
      <c r="R488" s="79"/>
      <c r="S488" s="79"/>
      <c r="X488" s="79"/>
      <c r="AD488" s="130"/>
      <c r="AF488" s="106"/>
    </row>
    <row r="489">
      <c r="C489" s="79"/>
      <c r="D489" s="79"/>
      <c r="E489" s="79"/>
      <c r="O489" s="79"/>
      <c r="R489" s="79"/>
      <c r="S489" s="79"/>
      <c r="X489" s="79"/>
      <c r="AD489" s="130"/>
      <c r="AF489" s="106"/>
    </row>
    <row r="490">
      <c r="C490" s="79"/>
      <c r="D490" s="79"/>
      <c r="E490" s="79"/>
      <c r="O490" s="79"/>
      <c r="R490" s="79"/>
      <c r="S490" s="79"/>
      <c r="X490" s="79"/>
      <c r="AD490" s="130"/>
      <c r="AF490" s="106"/>
    </row>
    <row r="491">
      <c r="C491" s="79"/>
      <c r="D491" s="79"/>
      <c r="E491" s="79"/>
      <c r="O491" s="79"/>
      <c r="R491" s="79"/>
      <c r="S491" s="79"/>
      <c r="X491" s="79"/>
      <c r="AD491" s="130"/>
      <c r="AF491" s="106"/>
    </row>
    <row r="492">
      <c r="C492" s="79"/>
      <c r="D492" s="79"/>
      <c r="E492" s="79"/>
      <c r="O492" s="79"/>
      <c r="R492" s="79"/>
      <c r="S492" s="79"/>
      <c r="X492" s="79"/>
      <c r="AD492" s="130"/>
      <c r="AF492" s="106"/>
    </row>
    <row r="493">
      <c r="C493" s="79"/>
      <c r="D493" s="79"/>
      <c r="E493" s="79"/>
      <c r="O493" s="79"/>
      <c r="R493" s="79"/>
      <c r="S493" s="79"/>
      <c r="X493" s="79"/>
      <c r="AD493" s="130"/>
      <c r="AF493" s="106"/>
    </row>
    <row r="494">
      <c r="C494" s="79"/>
      <c r="D494" s="79"/>
      <c r="E494" s="79"/>
      <c r="O494" s="79"/>
      <c r="R494" s="79"/>
      <c r="S494" s="79"/>
      <c r="X494" s="79"/>
      <c r="AD494" s="130"/>
      <c r="AF494" s="106"/>
    </row>
    <row r="495">
      <c r="C495" s="79"/>
      <c r="D495" s="79"/>
      <c r="E495" s="79"/>
      <c r="O495" s="79"/>
      <c r="R495" s="79"/>
      <c r="S495" s="79"/>
      <c r="X495" s="79"/>
      <c r="AD495" s="130"/>
      <c r="AF495" s="106"/>
    </row>
    <row r="496">
      <c r="C496" s="79"/>
      <c r="D496" s="79"/>
      <c r="E496" s="79"/>
      <c r="O496" s="79"/>
      <c r="R496" s="79"/>
      <c r="S496" s="79"/>
      <c r="X496" s="79"/>
      <c r="AD496" s="130"/>
      <c r="AF496" s="106"/>
    </row>
    <row r="497">
      <c r="C497" s="79"/>
      <c r="D497" s="79"/>
      <c r="E497" s="79"/>
      <c r="O497" s="79"/>
      <c r="R497" s="79"/>
      <c r="S497" s="79"/>
      <c r="X497" s="79"/>
      <c r="AD497" s="130"/>
      <c r="AF497" s="106"/>
    </row>
    <row r="498">
      <c r="C498" s="79"/>
      <c r="D498" s="79"/>
      <c r="E498" s="79"/>
      <c r="O498" s="79"/>
      <c r="R498" s="79"/>
      <c r="S498" s="79"/>
      <c r="X498" s="79"/>
      <c r="AD498" s="130"/>
      <c r="AF498" s="106"/>
    </row>
    <row r="499">
      <c r="C499" s="79"/>
      <c r="D499" s="79"/>
      <c r="E499" s="79"/>
      <c r="O499" s="79"/>
      <c r="R499" s="79"/>
      <c r="S499" s="79"/>
      <c r="X499" s="79"/>
      <c r="AD499" s="130"/>
      <c r="AF499" s="106"/>
    </row>
    <row r="500">
      <c r="C500" s="79"/>
      <c r="D500" s="79"/>
      <c r="E500" s="79"/>
      <c r="O500" s="79"/>
      <c r="R500" s="79"/>
      <c r="S500" s="79"/>
      <c r="X500" s="79"/>
      <c r="AD500" s="130"/>
      <c r="AF500" s="106"/>
    </row>
    <row r="501">
      <c r="C501" s="79"/>
      <c r="D501" s="79"/>
      <c r="E501" s="79"/>
      <c r="O501" s="79"/>
      <c r="R501" s="79"/>
      <c r="S501" s="79"/>
      <c r="X501" s="79"/>
      <c r="AD501" s="130"/>
      <c r="AF501" s="106"/>
    </row>
    <row r="502">
      <c r="C502" s="79"/>
      <c r="D502" s="79"/>
      <c r="E502" s="79"/>
      <c r="O502" s="79"/>
      <c r="R502" s="79"/>
      <c r="S502" s="79"/>
      <c r="X502" s="79"/>
      <c r="AD502" s="130"/>
      <c r="AF502" s="106"/>
    </row>
    <row r="503">
      <c r="C503" s="79"/>
      <c r="D503" s="79"/>
      <c r="E503" s="79"/>
      <c r="O503" s="79"/>
      <c r="R503" s="79"/>
      <c r="S503" s="79"/>
      <c r="X503" s="79"/>
      <c r="AD503" s="130"/>
      <c r="AF503" s="106"/>
    </row>
    <row r="504">
      <c r="C504" s="79"/>
      <c r="D504" s="79"/>
      <c r="E504" s="79"/>
      <c r="O504" s="79"/>
      <c r="R504" s="79"/>
      <c r="S504" s="79"/>
      <c r="X504" s="79"/>
      <c r="AD504" s="130"/>
      <c r="AF504" s="106"/>
    </row>
    <row r="505">
      <c r="C505" s="79"/>
      <c r="D505" s="79"/>
      <c r="E505" s="79"/>
      <c r="O505" s="79"/>
      <c r="R505" s="79"/>
      <c r="S505" s="79"/>
      <c r="X505" s="79"/>
      <c r="AD505" s="130"/>
      <c r="AF505" s="106"/>
    </row>
    <row r="506">
      <c r="C506" s="79"/>
      <c r="D506" s="79"/>
      <c r="E506" s="79"/>
      <c r="O506" s="79"/>
      <c r="R506" s="79"/>
      <c r="S506" s="79"/>
      <c r="X506" s="79"/>
      <c r="AD506" s="130"/>
      <c r="AF506" s="106"/>
    </row>
    <row r="507">
      <c r="C507" s="79"/>
      <c r="D507" s="79"/>
      <c r="E507" s="79"/>
      <c r="O507" s="79"/>
      <c r="R507" s="79"/>
      <c r="S507" s="79"/>
      <c r="X507" s="79"/>
      <c r="AD507" s="130"/>
      <c r="AF507" s="106"/>
    </row>
    <row r="508">
      <c r="C508" s="79"/>
      <c r="D508" s="79"/>
      <c r="E508" s="79"/>
      <c r="O508" s="79"/>
      <c r="R508" s="79"/>
      <c r="S508" s="79"/>
      <c r="X508" s="79"/>
      <c r="AD508" s="130"/>
      <c r="AF508" s="106"/>
    </row>
    <row r="509">
      <c r="C509" s="79"/>
      <c r="D509" s="79"/>
      <c r="E509" s="79"/>
      <c r="O509" s="79"/>
      <c r="R509" s="79"/>
      <c r="S509" s="79"/>
      <c r="X509" s="79"/>
      <c r="AD509" s="130"/>
      <c r="AF509" s="106"/>
    </row>
    <row r="510">
      <c r="C510" s="79"/>
      <c r="D510" s="79"/>
      <c r="E510" s="79"/>
      <c r="O510" s="79"/>
      <c r="R510" s="79"/>
      <c r="S510" s="79"/>
      <c r="X510" s="79"/>
      <c r="AD510" s="130"/>
      <c r="AF510" s="106"/>
    </row>
    <row r="511">
      <c r="C511" s="79"/>
      <c r="D511" s="79"/>
      <c r="E511" s="79"/>
      <c r="O511" s="79"/>
      <c r="R511" s="79"/>
      <c r="S511" s="79"/>
      <c r="X511" s="79"/>
      <c r="AD511" s="130"/>
      <c r="AF511" s="106"/>
    </row>
    <row r="512">
      <c r="C512" s="79"/>
      <c r="D512" s="79"/>
      <c r="E512" s="79"/>
      <c r="O512" s="79"/>
      <c r="R512" s="79"/>
      <c r="S512" s="79"/>
      <c r="X512" s="79"/>
      <c r="AD512" s="130"/>
      <c r="AF512" s="106"/>
    </row>
    <row r="513">
      <c r="C513" s="79"/>
      <c r="D513" s="79"/>
      <c r="E513" s="79"/>
      <c r="O513" s="79"/>
      <c r="R513" s="79"/>
      <c r="S513" s="79"/>
      <c r="X513" s="79"/>
      <c r="AD513" s="130"/>
      <c r="AF513" s="106"/>
    </row>
    <row r="514">
      <c r="C514" s="79"/>
      <c r="D514" s="79"/>
      <c r="E514" s="79"/>
      <c r="O514" s="79"/>
      <c r="R514" s="79"/>
      <c r="S514" s="79"/>
      <c r="X514" s="79"/>
      <c r="AD514" s="130"/>
      <c r="AF514" s="106"/>
    </row>
    <row r="515">
      <c r="C515" s="79"/>
      <c r="D515" s="79"/>
      <c r="E515" s="79"/>
      <c r="O515" s="79"/>
      <c r="R515" s="79"/>
      <c r="S515" s="79"/>
      <c r="X515" s="79"/>
      <c r="AD515" s="130"/>
      <c r="AF515" s="106"/>
    </row>
    <row r="516">
      <c r="C516" s="79"/>
      <c r="D516" s="79"/>
      <c r="E516" s="79"/>
      <c r="O516" s="79"/>
      <c r="R516" s="79"/>
      <c r="S516" s="79"/>
      <c r="X516" s="79"/>
      <c r="AD516" s="130"/>
      <c r="AF516" s="106"/>
    </row>
    <row r="517">
      <c r="C517" s="79"/>
      <c r="D517" s="79"/>
      <c r="E517" s="79"/>
      <c r="O517" s="79"/>
      <c r="R517" s="79"/>
      <c r="S517" s="79"/>
      <c r="X517" s="79"/>
      <c r="AD517" s="130"/>
      <c r="AF517" s="106"/>
    </row>
    <row r="518">
      <c r="C518" s="79"/>
      <c r="D518" s="79"/>
      <c r="E518" s="79"/>
      <c r="O518" s="79"/>
      <c r="R518" s="79"/>
      <c r="S518" s="79"/>
      <c r="X518" s="79"/>
      <c r="AD518" s="130"/>
      <c r="AF518" s="106"/>
    </row>
    <row r="519">
      <c r="C519" s="79"/>
      <c r="D519" s="79"/>
      <c r="E519" s="79"/>
      <c r="O519" s="79"/>
      <c r="R519" s="79"/>
      <c r="S519" s="79"/>
      <c r="X519" s="79"/>
      <c r="AD519" s="130"/>
      <c r="AF519" s="106"/>
    </row>
    <row r="520">
      <c r="C520" s="79"/>
      <c r="D520" s="79"/>
      <c r="E520" s="79"/>
      <c r="O520" s="79"/>
      <c r="R520" s="79"/>
      <c r="S520" s="79"/>
      <c r="X520" s="79"/>
      <c r="AD520" s="130"/>
      <c r="AF520" s="106"/>
    </row>
    <row r="521">
      <c r="C521" s="79"/>
      <c r="D521" s="79"/>
      <c r="E521" s="79"/>
      <c r="O521" s="79"/>
      <c r="R521" s="79"/>
      <c r="S521" s="79"/>
      <c r="X521" s="79"/>
      <c r="AD521" s="130"/>
      <c r="AF521" s="106"/>
    </row>
    <row r="522">
      <c r="C522" s="79"/>
      <c r="D522" s="79"/>
      <c r="E522" s="79"/>
      <c r="O522" s="79"/>
      <c r="R522" s="79"/>
      <c r="S522" s="79"/>
      <c r="X522" s="79"/>
      <c r="AD522" s="130"/>
      <c r="AF522" s="106"/>
    </row>
    <row r="523">
      <c r="C523" s="79"/>
      <c r="D523" s="79"/>
      <c r="E523" s="79"/>
      <c r="O523" s="79"/>
      <c r="R523" s="79"/>
      <c r="S523" s="79"/>
      <c r="X523" s="79"/>
      <c r="AD523" s="130"/>
      <c r="AF523" s="106"/>
    </row>
    <row r="524">
      <c r="C524" s="79"/>
      <c r="D524" s="79"/>
      <c r="E524" s="79"/>
      <c r="O524" s="79"/>
      <c r="R524" s="79"/>
      <c r="S524" s="79"/>
      <c r="X524" s="79"/>
      <c r="AD524" s="130"/>
      <c r="AF524" s="106"/>
    </row>
    <row r="525">
      <c r="C525" s="79"/>
      <c r="D525" s="79"/>
      <c r="E525" s="79"/>
      <c r="O525" s="79"/>
      <c r="R525" s="79"/>
      <c r="S525" s="79"/>
      <c r="X525" s="79"/>
      <c r="AD525" s="130"/>
      <c r="AF525" s="106"/>
    </row>
    <row r="526">
      <c r="C526" s="79"/>
      <c r="D526" s="79"/>
      <c r="E526" s="79"/>
      <c r="O526" s="79"/>
      <c r="R526" s="79"/>
      <c r="S526" s="79"/>
      <c r="X526" s="79"/>
      <c r="AD526" s="130"/>
      <c r="AF526" s="106"/>
    </row>
    <row r="527">
      <c r="C527" s="79"/>
      <c r="D527" s="79"/>
      <c r="E527" s="79"/>
      <c r="O527" s="79"/>
      <c r="R527" s="79"/>
      <c r="S527" s="79"/>
      <c r="X527" s="79"/>
      <c r="AD527" s="130"/>
      <c r="AF527" s="106"/>
    </row>
    <row r="528">
      <c r="C528" s="79"/>
      <c r="D528" s="79"/>
      <c r="E528" s="79"/>
      <c r="O528" s="79"/>
      <c r="R528" s="79"/>
      <c r="S528" s="79"/>
      <c r="X528" s="79"/>
      <c r="AD528" s="130"/>
      <c r="AF528" s="106"/>
    </row>
    <row r="529">
      <c r="C529" s="79"/>
      <c r="D529" s="79"/>
      <c r="E529" s="79"/>
      <c r="O529" s="79"/>
      <c r="R529" s="79"/>
      <c r="S529" s="79"/>
      <c r="X529" s="79"/>
      <c r="AD529" s="130"/>
      <c r="AF529" s="106"/>
    </row>
    <row r="530">
      <c r="C530" s="79"/>
      <c r="D530" s="79"/>
      <c r="E530" s="79"/>
      <c r="O530" s="79"/>
      <c r="R530" s="79"/>
      <c r="S530" s="79"/>
      <c r="X530" s="79"/>
      <c r="AD530" s="130"/>
      <c r="AF530" s="106"/>
    </row>
    <row r="531">
      <c r="C531" s="79"/>
      <c r="D531" s="79"/>
      <c r="E531" s="79"/>
      <c r="O531" s="79"/>
      <c r="R531" s="79"/>
      <c r="S531" s="79"/>
      <c r="X531" s="79"/>
      <c r="AD531" s="130"/>
      <c r="AF531" s="106"/>
    </row>
    <row r="532">
      <c r="C532" s="79"/>
      <c r="D532" s="79"/>
      <c r="E532" s="79"/>
      <c r="O532" s="79"/>
      <c r="R532" s="79"/>
      <c r="S532" s="79"/>
      <c r="X532" s="79"/>
      <c r="AD532" s="130"/>
      <c r="AF532" s="106"/>
    </row>
    <row r="533">
      <c r="C533" s="79"/>
      <c r="D533" s="79"/>
      <c r="E533" s="79"/>
      <c r="O533" s="79"/>
      <c r="R533" s="79"/>
      <c r="S533" s="79"/>
      <c r="X533" s="79"/>
      <c r="AD533" s="130"/>
      <c r="AF533" s="106"/>
    </row>
    <row r="534">
      <c r="C534" s="79"/>
      <c r="D534" s="79"/>
      <c r="E534" s="79"/>
      <c r="O534" s="79"/>
      <c r="R534" s="79"/>
      <c r="S534" s="79"/>
      <c r="X534" s="79"/>
      <c r="AD534" s="130"/>
      <c r="AF534" s="106"/>
    </row>
    <row r="535">
      <c r="C535" s="79"/>
      <c r="D535" s="79"/>
      <c r="E535" s="79"/>
      <c r="O535" s="79"/>
      <c r="R535" s="79"/>
      <c r="S535" s="79"/>
      <c r="X535" s="79"/>
      <c r="AD535" s="130"/>
      <c r="AF535" s="106"/>
    </row>
    <row r="536">
      <c r="C536" s="79"/>
      <c r="D536" s="79"/>
      <c r="E536" s="79"/>
      <c r="O536" s="79"/>
      <c r="R536" s="79"/>
      <c r="S536" s="79"/>
      <c r="X536" s="79"/>
      <c r="AD536" s="130"/>
      <c r="AF536" s="106"/>
    </row>
    <row r="537">
      <c r="C537" s="79"/>
      <c r="D537" s="79"/>
      <c r="E537" s="79"/>
      <c r="O537" s="79"/>
      <c r="R537" s="79"/>
      <c r="S537" s="79"/>
      <c r="X537" s="79"/>
      <c r="AD537" s="130"/>
      <c r="AF537" s="106"/>
    </row>
    <row r="538">
      <c r="C538" s="79"/>
      <c r="D538" s="79"/>
      <c r="E538" s="79"/>
      <c r="O538" s="79"/>
      <c r="R538" s="79"/>
      <c r="S538" s="79"/>
      <c r="X538" s="79"/>
      <c r="AD538" s="130"/>
      <c r="AF538" s="106"/>
    </row>
    <row r="539">
      <c r="C539" s="79"/>
      <c r="D539" s="79"/>
      <c r="E539" s="79"/>
      <c r="O539" s="79"/>
      <c r="R539" s="79"/>
      <c r="S539" s="79"/>
      <c r="X539" s="79"/>
      <c r="AD539" s="130"/>
      <c r="AF539" s="106"/>
    </row>
    <row r="540">
      <c r="C540" s="79"/>
      <c r="D540" s="79"/>
      <c r="E540" s="79"/>
      <c r="O540" s="79"/>
      <c r="R540" s="79"/>
      <c r="S540" s="79"/>
      <c r="X540" s="79"/>
      <c r="AD540" s="130"/>
      <c r="AF540" s="106"/>
    </row>
    <row r="541">
      <c r="C541" s="79"/>
      <c r="D541" s="79"/>
      <c r="E541" s="79"/>
      <c r="O541" s="79"/>
      <c r="R541" s="79"/>
      <c r="S541" s="79"/>
      <c r="X541" s="79"/>
      <c r="AD541" s="130"/>
      <c r="AF541" s="106"/>
    </row>
    <row r="542">
      <c r="C542" s="79"/>
      <c r="D542" s="79"/>
      <c r="E542" s="79"/>
      <c r="O542" s="79"/>
      <c r="R542" s="79"/>
      <c r="S542" s="79"/>
      <c r="X542" s="79"/>
      <c r="AD542" s="130"/>
      <c r="AF542" s="106"/>
    </row>
    <row r="543">
      <c r="C543" s="79"/>
      <c r="D543" s="79"/>
      <c r="E543" s="79"/>
      <c r="O543" s="79"/>
      <c r="R543" s="79"/>
      <c r="S543" s="79"/>
      <c r="X543" s="79"/>
      <c r="AD543" s="130"/>
      <c r="AF543" s="106"/>
    </row>
    <row r="544">
      <c r="C544" s="79"/>
      <c r="D544" s="79"/>
      <c r="E544" s="79"/>
      <c r="O544" s="79"/>
      <c r="R544" s="79"/>
      <c r="S544" s="79"/>
      <c r="X544" s="79"/>
      <c r="AD544" s="130"/>
      <c r="AF544" s="106"/>
    </row>
    <row r="545">
      <c r="C545" s="79"/>
      <c r="D545" s="79"/>
      <c r="E545" s="79"/>
      <c r="O545" s="79"/>
      <c r="R545" s="79"/>
      <c r="S545" s="79"/>
      <c r="X545" s="79"/>
      <c r="AD545" s="130"/>
      <c r="AF545" s="106"/>
    </row>
    <row r="546">
      <c r="C546" s="79"/>
      <c r="D546" s="79"/>
      <c r="E546" s="79"/>
      <c r="O546" s="79"/>
      <c r="R546" s="79"/>
      <c r="S546" s="79"/>
      <c r="X546" s="79"/>
      <c r="AD546" s="130"/>
      <c r="AF546" s="106"/>
    </row>
    <row r="547">
      <c r="C547" s="79"/>
      <c r="D547" s="79"/>
      <c r="E547" s="79"/>
      <c r="O547" s="79"/>
      <c r="R547" s="79"/>
      <c r="S547" s="79"/>
      <c r="X547" s="79"/>
      <c r="AD547" s="130"/>
      <c r="AF547" s="106"/>
    </row>
    <row r="548">
      <c r="C548" s="79"/>
      <c r="D548" s="79"/>
      <c r="E548" s="79"/>
      <c r="O548" s="79"/>
      <c r="R548" s="79"/>
      <c r="S548" s="79"/>
      <c r="X548" s="79"/>
      <c r="AD548" s="130"/>
      <c r="AF548" s="106"/>
    </row>
    <row r="549">
      <c r="C549" s="79"/>
      <c r="D549" s="79"/>
      <c r="E549" s="79"/>
      <c r="O549" s="79"/>
      <c r="R549" s="79"/>
      <c r="S549" s="79"/>
      <c r="X549" s="79"/>
      <c r="AD549" s="130"/>
      <c r="AF549" s="106"/>
    </row>
    <row r="550">
      <c r="C550" s="79"/>
      <c r="D550" s="79"/>
      <c r="E550" s="79"/>
      <c r="O550" s="79"/>
      <c r="R550" s="79"/>
      <c r="S550" s="79"/>
      <c r="X550" s="79"/>
      <c r="AD550" s="130"/>
      <c r="AF550" s="106"/>
    </row>
    <row r="551">
      <c r="C551" s="79"/>
      <c r="D551" s="79"/>
      <c r="E551" s="79"/>
      <c r="O551" s="79"/>
      <c r="R551" s="79"/>
      <c r="S551" s="79"/>
      <c r="X551" s="79"/>
      <c r="AD551" s="130"/>
      <c r="AF551" s="106"/>
    </row>
    <row r="552">
      <c r="C552" s="79"/>
      <c r="D552" s="79"/>
      <c r="E552" s="79"/>
      <c r="O552" s="79"/>
      <c r="R552" s="79"/>
      <c r="S552" s="79"/>
      <c r="X552" s="79"/>
      <c r="AD552" s="130"/>
      <c r="AF552" s="106"/>
    </row>
    <row r="553">
      <c r="C553" s="79"/>
      <c r="D553" s="79"/>
      <c r="E553" s="79"/>
      <c r="O553" s="79"/>
      <c r="R553" s="79"/>
      <c r="S553" s="79"/>
      <c r="X553" s="79"/>
      <c r="AD553" s="130"/>
      <c r="AF553" s="106"/>
    </row>
    <row r="554">
      <c r="C554" s="79"/>
      <c r="D554" s="79"/>
      <c r="E554" s="79"/>
      <c r="O554" s="79"/>
      <c r="R554" s="79"/>
      <c r="S554" s="79"/>
      <c r="X554" s="79"/>
      <c r="AD554" s="130"/>
      <c r="AF554" s="106"/>
    </row>
    <row r="555">
      <c r="C555" s="79"/>
      <c r="D555" s="79"/>
      <c r="E555" s="79"/>
      <c r="O555" s="79"/>
      <c r="R555" s="79"/>
      <c r="S555" s="79"/>
      <c r="X555" s="79"/>
      <c r="AD555" s="130"/>
      <c r="AF555" s="106"/>
    </row>
    <row r="556">
      <c r="C556" s="79"/>
      <c r="D556" s="79"/>
      <c r="E556" s="79"/>
      <c r="O556" s="79"/>
      <c r="R556" s="79"/>
      <c r="S556" s="79"/>
      <c r="X556" s="79"/>
      <c r="AD556" s="130"/>
      <c r="AF556" s="106"/>
    </row>
    <row r="557">
      <c r="C557" s="79"/>
      <c r="D557" s="79"/>
      <c r="E557" s="79"/>
      <c r="O557" s="79"/>
      <c r="R557" s="79"/>
      <c r="S557" s="79"/>
      <c r="X557" s="79"/>
      <c r="AD557" s="130"/>
      <c r="AF557" s="106"/>
    </row>
    <row r="558">
      <c r="C558" s="79"/>
      <c r="D558" s="79"/>
      <c r="E558" s="79"/>
      <c r="O558" s="79"/>
      <c r="R558" s="79"/>
      <c r="S558" s="79"/>
      <c r="X558" s="79"/>
      <c r="AD558" s="130"/>
      <c r="AF558" s="106"/>
    </row>
    <row r="559">
      <c r="C559" s="79"/>
      <c r="D559" s="79"/>
      <c r="E559" s="79"/>
      <c r="O559" s="79"/>
      <c r="R559" s="79"/>
      <c r="S559" s="79"/>
      <c r="X559" s="79"/>
      <c r="AD559" s="130"/>
      <c r="AF559" s="106"/>
    </row>
    <row r="560">
      <c r="C560" s="79"/>
      <c r="D560" s="79"/>
      <c r="E560" s="79"/>
      <c r="O560" s="79"/>
      <c r="R560" s="79"/>
      <c r="S560" s="79"/>
      <c r="X560" s="79"/>
      <c r="AD560" s="130"/>
      <c r="AF560" s="106"/>
    </row>
    <row r="561">
      <c r="C561" s="79"/>
      <c r="D561" s="79"/>
      <c r="E561" s="79"/>
      <c r="O561" s="79"/>
      <c r="R561" s="79"/>
      <c r="S561" s="79"/>
      <c r="X561" s="79"/>
      <c r="AD561" s="130"/>
      <c r="AF561" s="106"/>
    </row>
    <row r="562">
      <c r="C562" s="79"/>
      <c r="D562" s="79"/>
      <c r="E562" s="79"/>
      <c r="O562" s="79"/>
      <c r="R562" s="79"/>
      <c r="S562" s="79"/>
      <c r="X562" s="79"/>
      <c r="AD562" s="130"/>
      <c r="AF562" s="106"/>
    </row>
    <row r="563">
      <c r="C563" s="79"/>
      <c r="D563" s="79"/>
      <c r="E563" s="79"/>
      <c r="O563" s="79"/>
      <c r="R563" s="79"/>
      <c r="S563" s="79"/>
      <c r="X563" s="79"/>
      <c r="AD563" s="130"/>
      <c r="AF563" s="106"/>
    </row>
    <row r="564">
      <c r="C564" s="79"/>
      <c r="D564" s="79"/>
      <c r="E564" s="79"/>
      <c r="O564" s="79"/>
      <c r="R564" s="79"/>
      <c r="S564" s="79"/>
      <c r="X564" s="79"/>
      <c r="AD564" s="130"/>
      <c r="AF564" s="106"/>
    </row>
    <row r="565">
      <c r="C565" s="79"/>
      <c r="D565" s="79"/>
      <c r="E565" s="79"/>
      <c r="O565" s="79"/>
      <c r="R565" s="79"/>
      <c r="S565" s="79"/>
      <c r="X565" s="79"/>
      <c r="AD565" s="130"/>
      <c r="AF565" s="106"/>
    </row>
    <row r="566">
      <c r="C566" s="79"/>
      <c r="D566" s="79"/>
      <c r="E566" s="79"/>
      <c r="O566" s="79"/>
      <c r="R566" s="79"/>
      <c r="S566" s="79"/>
      <c r="X566" s="79"/>
      <c r="AD566" s="130"/>
      <c r="AF566" s="106"/>
    </row>
    <row r="567">
      <c r="C567" s="79"/>
      <c r="D567" s="79"/>
      <c r="E567" s="79"/>
      <c r="O567" s="79"/>
      <c r="R567" s="79"/>
      <c r="S567" s="79"/>
      <c r="X567" s="79"/>
      <c r="AD567" s="130"/>
      <c r="AF567" s="106"/>
    </row>
    <row r="568">
      <c r="C568" s="79"/>
      <c r="D568" s="79"/>
      <c r="E568" s="79"/>
      <c r="O568" s="79"/>
      <c r="R568" s="79"/>
      <c r="S568" s="79"/>
      <c r="X568" s="79"/>
      <c r="AD568" s="130"/>
      <c r="AF568" s="106"/>
    </row>
    <row r="569">
      <c r="C569" s="79"/>
      <c r="D569" s="79"/>
      <c r="E569" s="79"/>
      <c r="O569" s="79"/>
      <c r="R569" s="79"/>
      <c r="S569" s="79"/>
      <c r="X569" s="79"/>
      <c r="AD569" s="130"/>
      <c r="AF569" s="106"/>
    </row>
    <row r="570">
      <c r="C570" s="79"/>
      <c r="D570" s="79"/>
      <c r="E570" s="79"/>
      <c r="O570" s="79"/>
      <c r="R570" s="79"/>
      <c r="S570" s="79"/>
      <c r="X570" s="79"/>
      <c r="AD570" s="130"/>
      <c r="AF570" s="106"/>
    </row>
    <row r="571">
      <c r="C571" s="79"/>
      <c r="D571" s="79"/>
      <c r="E571" s="79"/>
      <c r="O571" s="79"/>
      <c r="R571" s="79"/>
      <c r="S571" s="79"/>
      <c r="X571" s="79"/>
      <c r="AD571" s="130"/>
      <c r="AF571" s="106"/>
    </row>
    <row r="572">
      <c r="C572" s="79"/>
      <c r="D572" s="79"/>
      <c r="E572" s="79"/>
      <c r="O572" s="79"/>
      <c r="R572" s="79"/>
      <c r="S572" s="79"/>
      <c r="X572" s="79"/>
      <c r="AD572" s="130"/>
      <c r="AF572" s="106"/>
    </row>
    <row r="573">
      <c r="C573" s="79"/>
      <c r="D573" s="79"/>
      <c r="E573" s="79"/>
      <c r="O573" s="79"/>
      <c r="R573" s="79"/>
      <c r="S573" s="79"/>
      <c r="X573" s="79"/>
      <c r="AD573" s="130"/>
      <c r="AF573" s="106"/>
    </row>
    <row r="574">
      <c r="C574" s="79"/>
      <c r="D574" s="79"/>
      <c r="E574" s="79"/>
      <c r="O574" s="79"/>
      <c r="R574" s="79"/>
      <c r="S574" s="79"/>
      <c r="X574" s="79"/>
      <c r="AD574" s="130"/>
      <c r="AF574" s="106"/>
    </row>
    <row r="575">
      <c r="C575" s="79"/>
      <c r="D575" s="79"/>
      <c r="E575" s="79"/>
      <c r="O575" s="79"/>
      <c r="R575" s="79"/>
      <c r="S575" s="79"/>
      <c r="X575" s="79"/>
      <c r="AD575" s="130"/>
      <c r="AF575" s="106"/>
    </row>
    <row r="576">
      <c r="C576" s="79"/>
      <c r="D576" s="79"/>
      <c r="E576" s="79"/>
      <c r="O576" s="79"/>
      <c r="R576" s="79"/>
      <c r="S576" s="79"/>
      <c r="X576" s="79"/>
      <c r="AD576" s="130"/>
      <c r="AF576" s="106"/>
    </row>
    <row r="577">
      <c r="C577" s="79"/>
      <c r="D577" s="79"/>
      <c r="E577" s="79"/>
      <c r="O577" s="79"/>
      <c r="R577" s="79"/>
      <c r="S577" s="79"/>
      <c r="X577" s="79"/>
      <c r="AD577" s="130"/>
      <c r="AF577" s="106"/>
    </row>
    <row r="578">
      <c r="C578" s="79"/>
      <c r="D578" s="79"/>
      <c r="E578" s="79"/>
      <c r="O578" s="79"/>
      <c r="R578" s="79"/>
      <c r="S578" s="79"/>
      <c r="X578" s="79"/>
      <c r="AD578" s="130"/>
      <c r="AF578" s="106"/>
    </row>
    <row r="579">
      <c r="C579" s="79"/>
      <c r="D579" s="79"/>
      <c r="E579" s="79"/>
      <c r="O579" s="79"/>
      <c r="R579" s="79"/>
      <c r="S579" s="79"/>
      <c r="X579" s="79"/>
      <c r="AD579" s="130"/>
      <c r="AF579" s="106"/>
    </row>
    <row r="580">
      <c r="C580" s="79"/>
      <c r="D580" s="79"/>
      <c r="E580" s="79"/>
      <c r="O580" s="79"/>
      <c r="R580" s="79"/>
      <c r="S580" s="79"/>
      <c r="X580" s="79"/>
      <c r="AD580" s="130"/>
      <c r="AF580" s="106"/>
    </row>
    <row r="581">
      <c r="C581" s="79"/>
      <c r="D581" s="79"/>
      <c r="E581" s="79"/>
      <c r="O581" s="79"/>
      <c r="R581" s="79"/>
      <c r="S581" s="79"/>
      <c r="X581" s="79"/>
      <c r="AD581" s="130"/>
      <c r="AF581" s="106"/>
    </row>
    <row r="582">
      <c r="C582" s="79"/>
      <c r="D582" s="79"/>
      <c r="E582" s="79"/>
      <c r="O582" s="79"/>
      <c r="R582" s="79"/>
      <c r="S582" s="79"/>
      <c r="X582" s="79"/>
      <c r="AD582" s="130"/>
      <c r="AF582" s="106"/>
    </row>
    <row r="583">
      <c r="C583" s="79"/>
      <c r="D583" s="79"/>
      <c r="E583" s="79"/>
      <c r="O583" s="79"/>
      <c r="R583" s="79"/>
      <c r="S583" s="79"/>
      <c r="X583" s="79"/>
      <c r="AD583" s="130"/>
      <c r="AF583" s="106"/>
    </row>
    <row r="584">
      <c r="C584" s="79"/>
      <c r="D584" s="79"/>
      <c r="E584" s="79"/>
      <c r="O584" s="79"/>
      <c r="R584" s="79"/>
      <c r="S584" s="79"/>
      <c r="X584" s="79"/>
      <c r="AD584" s="130"/>
      <c r="AF584" s="106"/>
    </row>
    <row r="585">
      <c r="C585" s="79"/>
      <c r="D585" s="79"/>
      <c r="E585" s="79"/>
      <c r="O585" s="79"/>
      <c r="R585" s="79"/>
      <c r="S585" s="79"/>
      <c r="X585" s="79"/>
      <c r="AD585" s="130"/>
      <c r="AF585" s="106"/>
    </row>
    <row r="586">
      <c r="C586" s="79"/>
      <c r="D586" s="79"/>
      <c r="E586" s="79"/>
      <c r="O586" s="79"/>
      <c r="R586" s="79"/>
      <c r="S586" s="79"/>
      <c r="X586" s="79"/>
      <c r="AD586" s="130"/>
      <c r="AF586" s="106"/>
    </row>
    <row r="587">
      <c r="C587" s="79"/>
      <c r="D587" s="79"/>
      <c r="E587" s="79"/>
      <c r="O587" s="79"/>
      <c r="R587" s="79"/>
      <c r="S587" s="79"/>
      <c r="X587" s="79"/>
      <c r="AD587" s="130"/>
      <c r="AF587" s="106"/>
    </row>
    <row r="588">
      <c r="C588" s="79"/>
      <c r="D588" s="79"/>
      <c r="E588" s="79"/>
      <c r="O588" s="79"/>
      <c r="R588" s="79"/>
      <c r="S588" s="79"/>
      <c r="X588" s="79"/>
      <c r="AD588" s="130"/>
      <c r="AF588" s="106"/>
    </row>
    <row r="589">
      <c r="C589" s="79"/>
      <c r="D589" s="79"/>
      <c r="E589" s="79"/>
      <c r="O589" s="79"/>
      <c r="R589" s="79"/>
      <c r="S589" s="79"/>
      <c r="X589" s="79"/>
      <c r="AD589" s="130"/>
      <c r="AF589" s="106"/>
    </row>
    <row r="590">
      <c r="C590" s="79"/>
      <c r="D590" s="79"/>
      <c r="E590" s="79"/>
      <c r="O590" s="79"/>
      <c r="R590" s="79"/>
      <c r="S590" s="79"/>
      <c r="X590" s="79"/>
      <c r="AD590" s="130"/>
      <c r="AF590" s="106"/>
    </row>
    <row r="591">
      <c r="C591" s="79"/>
      <c r="D591" s="79"/>
      <c r="E591" s="79"/>
      <c r="O591" s="79"/>
      <c r="R591" s="79"/>
      <c r="S591" s="79"/>
      <c r="X591" s="79"/>
      <c r="AD591" s="130"/>
      <c r="AF591" s="106"/>
    </row>
    <row r="592">
      <c r="C592" s="79"/>
      <c r="D592" s="79"/>
      <c r="E592" s="79"/>
      <c r="O592" s="79"/>
      <c r="R592" s="79"/>
      <c r="S592" s="79"/>
      <c r="X592" s="79"/>
      <c r="AD592" s="130"/>
      <c r="AF592" s="106"/>
    </row>
    <row r="593">
      <c r="C593" s="79"/>
      <c r="D593" s="79"/>
      <c r="E593" s="79"/>
      <c r="O593" s="79"/>
      <c r="R593" s="79"/>
      <c r="S593" s="79"/>
      <c r="X593" s="79"/>
      <c r="AD593" s="130"/>
      <c r="AF593" s="106"/>
    </row>
    <row r="594">
      <c r="C594" s="79"/>
      <c r="D594" s="79"/>
      <c r="E594" s="79"/>
      <c r="O594" s="79"/>
      <c r="R594" s="79"/>
      <c r="S594" s="79"/>
      <c r="X594" s="79"/>
      <c r="AD594" s="130"/>
      <c r="AF594" s="106"/>
    </row>
    <row r="595">
      <c r="C595" s="79"/>
      <c r="D595" s="79"/>
      <c r="E595" s="79"/>
      <c r="O595" s="79"/>
      <c r="R595" s="79"/>
      <c r="S595" s="79"/>
      <c r="X595" s="79"/>
      <c r="AD595" s="130"/>
      <c r="AF595" s="106"/>
    </row>
    <row r="596">
      <c r="C596" s="79"/>
      <c r="D596" s="79"/>
      <c r="E596" s="79"/>
      <c r="O596" s="79"/>
      <c r="R596" s="79"/>
      <c r="S596" s="79"/>
      <c r="X596" s="79"/>
      <c r="AD596" s="130"/>
      <c r="AF596" s="106"/>
    </row>
    <row r="597">
      <c r="C597" s="79"/>
      <c r="D597" s="79"/>
      <c r="E597" s="79"/>
      <c r="O597" s="79"/>
      <c r="R597" s="79"/>
      <c r="S597" s="79"/>
      <c r="X597" s="79"/>
      <c r="AD597" s="130"/>
      <c r="AF597" s="106"/>
    </row>
    <row r="598">
      <c r="C598" s="79"/>
      <c r="D598" s="79"/>
      <c r="E598" s="79"/>
      <c r="O598" s="79"/>
      <c r="R598" s="79"/>
      <c r="S598" s="79"/>
      <c r="X598" s="79"/>
      <c r="AD598" s="130"/>
      <c r="AF598" s="106"/>
    </row>
    <row r="599">
      <c r="C599" s="79"/>
      <c r="D599" s="79"/>
      <c r="E599" s="79"/>
      <c r="O599" s="79"/>
      <c r="R599" s="79"/>
      <c r="S599" s="79"/>
      <c r="X599" s="79"/>
      <c r="AD599" s="130"/>
      <c r="AF599" s="106"/>
    </row>
    <row r="600">
      <c r="C600" s="79"/>
      <c r="D600" s="79"/>
      <c r="E600" s="79"/>
      <c r="O600" s="79"/>
      <c r="R600" s="79"/>
      <c r="S600" s="79"/>
      <c r="X600" s="79"/>
      <c r="AD600" s="130"/>
      <c r="AF600" s="106"/>
    </row>
    <row r="601">
      <c r="C601" s="79"/>
      <c r="D601" s="79"/>
      <c r="E601" s="79"/>
      <c r="O601" s="79"/>
      <c r="R601" s="79"/>
      <c r="S601" s="79"/>
      <c r="X601" s="79"/>
      <c r="AD601" s="130"/>
      <c r="AF601" s="106"/>
    </row>
    <row r="602">
      <c r="C602" s="79"/>
      <c r="D602" s="79"/>
      <c r="E602" s="79"/>
      <c r="O602" s="79"/>
      <c r="R602" s="79"/>
      <c r="S602" s="79"/>
      <c r="X602" s="79"/>
      <c r="AD602" s="130"/>
      <c r="AF602" s="106"/>
    </row>
    <row r="603">
      <c r="C603" s="79"/>
      <c r="D603" s="79"/>
      <c r="E603" s="79"/>
      <c r="O603" s="79"/>
      <c r="R603" s="79"/>
      <c r="S603" s="79"/>
      <c r="X603" s="79"/>
      <c r="AD603" s="130"/>
      <c r="AF603" s="106"/>
    </row>
    <row r="604">
      <c r="C604" s="79"/>
      <c r="D604" s="79"/>
      <c r="E604" s="79"/>
      <c r="O604" s="79"/>
      <c r="R604" s="79"/>
      <c r="S604" s="79"/>
      <c r="X604" s="79"/>
      <c r="AD604" s="130"/>
      <c r="AF604" s="106"/>
    </row>
    <row r="605">
      <c r="C605" s="79"/>
      <c r="D605" s="79"/>
      <c r="E605" s="79"/>
      <c r="O605" s="79"/>
      <c r="R605" s="79"/>
      <c r="S605" s="79"/>
      <c r="X605" s="79"/>
      <c r="AD605" s="130"/>
      <c r="AF605" s="106"/>
    </row>
    <row r="606">
      <c r="C606" s="79"/>
      <c r="D606" s="79"/>
      <c r="E606" s="79"/>
      <c r="O606" s="79"/>
      <c r="R606" s="79"/>
      <c r="S606" s="79"/>
      <c r="X606" s="79"/>
      <c r="AD606" s="130"/>
      <c r="AF606" s="106"/>
    </row>
    <row r="607">
      <c r="C607" s="79"/>
      <c r="D607" s="79"/>
      <c r="E607" s="79"/>
      <c r="O607" s="79"/>
      <c r="R607" s="79"/>
      <c r="S607" s="79"/>
      <c r="X607" s="79"/>
      <c r="AD607" s="130"/>
      <c r="AF607" s="106"/>
    </row>
    <row r="608">
      <c r="C608" s="79"/>
      <c r="D608" s="79"/>
      <c r="E608" s="79"/>
      <c r="O608" s="79"/>
      <c r="R608" s="79"/>
      <c r="S608" s="79"/>
      <c r="X608" s="79"/>
      <c r="AD608" s="130"/>
      <c r="AF608" s="106"/>
    </row>
    <row r="609">
      <c r="C609" s="79"/>
      <c r="D609" s="79"/>
      <c r="E609" s="79"/>
      <c r="O609" s="79"/>
      <c r="R609" s="79"/>
      <c r="S609" s="79"/>
      <c r="X609" s="79"/>
      <c r="AD609" s="130"/>
      <c r="AF609" s="106"/>
    </row>
    <row r="610">
      <c r="C610" s="79"/>
      <c r="D610" s="79"/>
      <c r="E610" s="79"/>
      <c r="O610" s="79"/>
      <c r="R610" s="79"/>
      <c r="S610" s="79"/>
      <c r="X610" s="79"/>
      <c r="AD610" s="130"/>
      <c r="AF610" s="106"/>
    </row>
    <row r="611">
      <c r="C611" s="79"/>
      <c r="D611" s="79"/>
      <c r="E611" s="79"/>
      <c r="O611" s="79"/>
      <c r="R611" s="79"/>
      <c r="S611" s="79"/>
      <c r="X611" s="79"/>
      <c r="AD611" s="130"/>
      <c r="AF611" s="106"/>
    </row>
    <row r="612">
      <c r="C612" s="79"/>
      <c r="D612" s="79"/>
      <c r="E612" s="79"/>
      <c r="O612" s="79"/>
      <c r="R612" s="79"/>
      <c r="S612" s="79"/>
      <c r="X612" s="79"/>
      <c r="AD612" s="130"/>
      <c r="AF612" s="106"/>
    </row>
    <row r="613">
      <c r="C613" s="79"/>
      <c r="D613" s="79"/>
      <c r="E613" s="79"/>
      <c r="O613" s="79"/>
      <c r="R613" s="79"/>
      <c r="S613" s="79"/>
      <c r="X613" s="79"/>
      <c r="AD613" s="130"/>
      <c r="AF613" s="106"/>
    </row>
    <row r="614">
      <c r="C614" s="79"/>
      <c r="D614" s="79"/>
      <c r="E614" s="79"/>
      <c r="O614" s="79"/>
      <c r="R614" s="79"/>
      <c r="S614" s="79"/>
      <c r="X614" s="79"/>
      <c r="AD614" s="130"/>
      <c r="AF614" s="106"/>
    </row>
    <row r="615">
      <c r="C615" s="79"/>
      <c r="D615" s="79"/>
      <c r="E615" s="79"/>
      <c r="O615" s="79"/>
      <c r="R615" s="79"/>
      <c r="S615" s="79"/>
      <c r="X615" s="79"/>
      <c r="AD615" s="130"/>
      <c r="AF615" s="106"/>
    </row>
    <row r="616">
      <c r="C616" s="79"/>
      <c r="D616" s="79"/>
      <c r="E616" s="79"/>
      <c r="O616" s="79"/>
      <c r="R616" s="79"/>
      <c r="S616" s="79"/>
      <c r="X616" s="79"/>
      <c r="AD616" s="130"/>
      <c r="AF616" s="106"/>
    </row>
    <row r="617">
      <c r="C617" s="79"/>
      <c r="D617" s="79"/>
      <c r="E617" s="79"/>
      <c r="O617" s="79"/>
      <c r="R617" s="79"/>
      <c r="S617" s="79"/>
      <c r="X617" s="79"/>
      <c r="AD617" s="130"/>
      <c r="AF617" s="106"/>
    </row>
    <row r="618">
      <c r="C618" s="79"/>
      <c r="D618" s="79"/>
      <c r="E618" s="79"/>
      <c r="O618" s="79"/>
      <c r="R618" s="79"/>
      <c r="S618" s="79"/>
      <c r="X618" s="79"/>
      <c r="AD618" s="130"/>
      <c r="AF618" s="106"/>
    </row>
    <row r="619">
      <c r="C619" s="79"/>
      <c r="D619" s="79"/>
      <c r="E619" s="79"/>
      <c r="O619" s="79"/>
      <c r="R619" s="79"/>
      <c r="S619" s="79"/>
      <c r="X619" s="79"/>
      <c r="AD619" s="130"/>
      <c r="AF619" s="106"/>
    </row>
    <row r="620">
      <c r="C620" s="79"/>
      <c r="D620" s="79"/>
      <c r="E620" s="79"/>
      <c r="O620" s="79"/>
      <c r="R620" s="79"/>
      <c r="S620" s="79"/>
      <c r="X620" s="79"/>
      <c r="AD620" s="130"/>
      <c r="AF620" s="106"/>
    </row>
    <row r="621">
      <c r="C621" s="79"/>
      <c r="D621" s="79"/>
      <c r="E621" s="79"/>
      <c r="O621" s="79"/>
      <c r="R621" s="79"/>
      <c r="S621" s="79"/>
      <c r="X621" s="79"/>
      <c r="AD621" s="130"/>
      <c r="AF621" s="106"/>
    </row>
    <row r="622">
      <c r="C622" s="79"/>
      <c r="D622" s="79"/>
      <c r="E622" s="79"/>
      <c r="O622" s="79"/>
      <c r="R622" s="79"/>
      <c r="S622" s="79"/>
      <c r="X622" s="79"/>
      <c r="AD622" s="130"/>
      <c r="AF622" s="106"/>
    </row>
    <row r="623">
      <c r="C623" s="79"/>
      <c r="D623" s="79"/>
      <c r="E623" s="79"/>
      <c r="O623" s="79"/>
      <c r="R623" s="79"/>
      <c r="S623" s="79"/>
      <c r="X623" s="79"/>
      <c r="AD623" s="130"/>
      <c r="AF623" s="106"/>
    </row>
    <row r="624">
      <c r="C624" s="79"/>
      <c r="D624" s="79"/>
      <c r="E624" s="79"/>
      <c r="O624" s="79"/>
      <c r="R624" s="79"/>
      <c r="S624" s="79"/>
      <c r="X624" s="79"/>
      <c r="AD624" s="130"/>
      <c r="AF624" s="106"/>
    </row>
    <row r="625">
      <c r="C625" s="79"/>
      <c r="D625" s="79"/>
      <c r="E625" s="79"/>
      <c r="O625" s="79"/>
      <c r="R625" s="79"/>
      <c r="S625" s="79"/>
      <c r="X625" s="79"/>
      <c r="AD625" s="130"/>
      <c r="AF625" s="106"/>
    </row>
    <row r="626">
      <c r="C626" s="79"/>
      <c r="D626" s="79"/>
      <c r="E626" s="79"/>
      <c r="O626" s="79"/>
      <c r="R626" s="79"/>
      <c r="S626" s="79"/>
      <c r="X626" s="79"/>
      <c r="AD626" s="130"/>
      <c r="AF626" s="106"/>
    </row>
    <row r="627">
      <c r="C627" s="79"/>
      <c r="D627" s="79"/>
      <c r="E627" s="79"/>
      <c r="O627" s="79"/>
      <c r="R627" s="79"/>
      <c r="S627" s="79"/>
      <c r="X627" s="79"/>
      <c r="AD627" s="130"/>
      <c r="AF627" s="106"/>
    </row>
    <row r="628">
      <c r="C628" s="79"/>
      <c r="D628" s="79"/>
      <c r="E628" s="79"/>
      <c r="O628" s="79"/>
      <c r="R628" s="79"/>
      <c r="S628" s="79"/>
      <c r="X628" s="79"/>
      <c r="AD628" s="130"/>
      <c r="AF628" s="106"/>
    </row>
    <row r="629">
      <c r="C629" s="79"/>
      <c r="D629" s="79"/>
      <c r="E629" s="79"/>
      <c r="O629" s="79"/>
      <c r="R629" s="79"/>
      <c r="S629" s="79"/>
      <c r="X629" s="79"/>
      <c r="AD629" s="130"/>
      <c r="AF629" s="106"/>
    </row>
    <row r="630">
      <c r="C630" s="79"/>
      <c r="D630" s="79"/>
      <c r="E630" s="79"/>
      <c r="O630" s="79"/>
      <c r="R630" s="79"/>
      <c r="S630" s="79"/>
      <c r="X630" s="79"/>
      <c r="AD630" s="130"/>
      <c r="AF630" s="106"/>
    </row>
    <row r="631">
      <c r="C631" s="79"/>
      <c r="D631" s="79"/>
      <c r="E631" s="79"/>
      <c r="O631" s="79"/>
      <c r="R631" s="79"/>
      <c r="S631" s="79"/>
      <c r="X631" s="79"/>
      <c r="AD631" s="130"/>
      <c r="AF631" s="106"/>
    </row>
    <row r="632">
      <c r="C632" s="79"/>
      <c r="D632" s="79"/>
      <c r="E632" s="79"/>
      <c r="O632" s="79"/>
      <c r="R632" s="79"/>
      <c r="S632" s="79"/>
      <c r="X632" s="79"/>
      <c r="AD632" s="130"/>
      <c r="AF632" s="106"/>
    </row>
    <row r="633">
      <c r="C633" s="79"/>
      <c r="D633" s="79"/>
      <c r="E633" s="79"/>
      <c r="O633" s="79"/>
      <c r="R633" s="79"/>
      <c r="S633" s="79"/>
      <c r="X633" s="79"/>
      <c r="AD633" s="130"/>
      <c r="AF633" s="106"/>
    </row>
    <row r="634">
      <c r="C634" s="79"/>
      <c r="D634" s="79"/>
      <c r="E634" s="79"/>
      <c r="O634" s="79"/>
      <c r="R634" s="79"/>
      <c r="S634" s="79"/>
      <c r="X634" s="79"/>
      <c r="AD634" s="130"/>
      <c r="AF634" s="106"/>
    </row>
    <row r="635">
      <c r="C635" s="79"/>
      <c r="D635" s="79"/>
      <c r="E635" s="79"/>
      <c r="O635" s="79"/>
      <c r="R635" s="79"/>
      <c r="S635" s="79"/>
      <c r="X635" s="79"/>
      <c r="AD635" s="130"/>
      <c r="AF635" s="106"/>
    </row>
    <row r="636">
      <c r="C636" s="79"/>
      <c r="D636" s="79"/>
      <c r="E636" s="79"/>
      <c r="O636" s="79"/>
      <c r="R636" s="79"/>
      <c r="S636" s="79"/>
      <c r="X636" s="79"/>
      <c r="AD636" s="130"/>
      <c r="AF636" s="106"/>
    </row>
    <row r="637">
      <c r="C637" s="79"/>
      <c r="D637" s="79"/>
      <c r="E637" s="79"/>
      <c r="O637" s="79"/>
      <c r="R637" s="79"/>
      <c r="S637" s="79"/>
      <c r="X637" s="79"/>
      <c r="AD637" s="130"/>
      <c r="AF637" s="106"/>
    </row>
    <row r="638">
      <c r="C638" s="79"/>
      <c r="D638" s="79"/>
      <c r="E638" s="79"/>
      <c r="O638" s="79"/>
      <c r="R638" s="79"/>
      <c r="S638" s="79"/>
      <c r="X638" s="79"/>
      <c r="AD638" s="130"/>
      <c r="AF638" s="106"/>
    </row>
    <row r="639">
      <c r="C639" s="79"/>
      <c r="D639" s="79"/>
      <c r="E639" s="79"/>
      <c r="O639" s="79"/>
      <c r="R639" s="79"/>
      <c r="S639" s="79"/>
      <c r="X639" s="79"/>
      <c r="AD639" s="130"/>
      <c r="AF639" s="106"/>
    </row>
    <row r="640">
      <c r="C640" s="79"/>
      <c r="D640" s="79"/>
      <c r="E640" s="79"/>
      <c r="O640" s="79"/>
      <c r="R640" s="79"/>
      <c r="S640" s="79"/>
      <c r="X640" s="79"/>
      <c r="AD640" s="130"/>
      <c r="AF640" s="106"/>
    </row>
    <row r="641">
      <c r="C641" s="79"/>
      <c r="D641" s="79"/>
      <c r="E641" s="79"/>
      <c r="O641" s="79"/>
      <c r="R641" s="79"/>
      <c r="S641" s="79"/>
      <c r="X641" s="79"/>
      <c r="AD641" s="130"/>
      <c r="AF641" s="106"/>
    </row>
    <row r="642">
      <c r="C642" s="79"/>
      <c r="D642" s="79"/>
      <c r="E642" s="79"/>
      <c r="O642" s="79"/>
      <c r="R642" s="79"/>
      <c r="S642" s="79"/>
      <c r="X642" s="79"/>
      <c r="AD642" s="130"/>
      <c r="AF642" s="106"/>
    </row>
    <row r="643">
      <c r="C643" s="79"/>
      <c r="D643" s="79"/>
      <c r="E643" s="79"/>
      <c r="O643" s="79"/>
      <c r="R643" s="79"/>
      <c r="S643" s="79"/>
      <c r="X643" s="79"/>
      <c r="AD643" s="130"/>
      <c r="AF643" s="106"/>
    </row>
    <row r="644">
      <c r="C644" s="79"/>
      <c r="D644" s="79"/>
      <c r="E644" s="79"/>
      <c r="O644" s="79"/>
      <c r="R644" s="79"/>
      <c r="S644" s="79"/>
      <c r="X644" s="79"/>
      <c r="AD644" s="130"/>
      <c r="AF644" s="106"/>
    </row>
    <row r="645">
      <c r="C645" s="79"/>
      <c r="D645" s="79"/>
      <c r="E645" s="79"/>
      <c r="O645" s="79"/>
      <c r="R645" s="79"/>
      <c r="S645" s="79"/>
      <c r="X645" s="79"/>
      <c r="AD645" s="130"/>
      <c r="AF645" s="106"/>
    </row>
    <row r="646">
      <c r="C646" s="79"/>
      <c r="D646" s="79"/>
      <c r="E646" s="79"/>
      <c r="O646" s="79"/>
      <c r="R646" s="79"/>
      <c r="S646" s="79"/>
      <c r="X646" s="79"/>
      <c r="AD646" s="130"/>
      <c r="AF646" s="106"/>
    </row>
    <row r="647">
      <c r="C647" s="79"/>
      <c r="D647" s="79"/>
      <c r="E647" s="79"/>
      <c r="O647" s="79"/>
      <c r="R647" s="79"/>
      <c r="S647" s="79"/>
      <c r="X647" s="79"/>
      <c r="AD647" s="130"/>
      <c r="AF647" s="106"/>
    </row>
    <row r="648">
      <c r="C648" s="79"/>
      <c r="D648" s="79"/>
      <c r="E648" s="79"/>
      <c r="O648" s="79"/>
      <c r="R648" s="79"/>
      <c r="S648" s="79"/>
      <c r="X648" s="79"/>
      <c r="AD648" s="130"/>
      <c r="AF648" s="106"/>
    </row>
    <row r="649">
      <c r="C649" s="79"/>
      <c r="D649" s="79"/>
      <c r="E649" s="79"/>
      <c r="O649" s="79"/>
      <c r="R649" s="79"/>
      <c r="S649" s="79"/>
      <c r="X649" s="79"/>
      <c r="AD649" s="130"/>
      <c r="AF649" s="106"/>
    </row>
    <row r="650">
      <c r="C650" s="79"/>
      <c r="D650" s="79"/>
      <c r="E650" s="79"/>
      <c r="O650" s="79"/>
      <c r="R650" s="79"/>
      <c r="S650" s="79"/>
      <c r="X650" s="79"/>
      <c r="AD650" s="130"/>
      <c r="AF650" s="106"/>
    </row>
    <row r="651">
      <c r="C651" s="79"/>
      <c r="D651" s="79"/>
      <c r="E651" s="79"/>
      <c r="O651" s="79"/>
      <c r="R651" s="79"/>
      <c r="S651" s="79"/>
      <c r="X651" s="79"/>
      <c r="AD651" s="130"/>
      <c r="AF651" s="106"/>
    </row>
    <row r="652">
      <c r="C652" s="79"/>
      <c r="D652" s="79"/>
      <c r="E652" s="79"/>
      <c r="O652" s="79"/>
      <c r="R652" s="79"/>
      <c r="S652" s="79"/>
      <c r="X652" s="79"/>
      <c r="AD652" s="130"/>
      <c r="AF652" s="106"/>
    </row>
    <row r="653">
      <c r="C653" s="79"/>
      <c r="D653" s="79"/>
      <c r="E653" s="79"/>
      <c r="O653" s="79"/>
      <c r="R653" s="79"/>
      <c r="S653" s="79"/>
      <c r="X653" s="79"/>
      <c r="AD653" s="130"/>
      <c r="AF653" s="106"/>
    </row>
    <row r="654">
      <c r="C654" s="79"/>
      <c r="D654" s="79"/>
      <c r="E654" s="79"/>
      <c r="O654" s="79"/>
      <c r="R654" s="79"/>
      <c r="S654" s="79"/>
      <c r="X654" s="79"/>
      <c r="AD654" s="130"/>
      <c r="AF654" s="106"/>
    </row>
    <row r="655">
      <c r="C655" s="79"/>
      <c r="D655" s="79"/>
      <c r="E655" s="79"/>
      <c r="O655" s="79"/>
      <c r="R655" s="79"/>
      <c r="S655" s="79"/>
      <c r="X655" s="79"/>
      <c r="AD655" s="130"/>
      <c r="AF655" s="106"/>
    </row>
    <row r="656">
      <c r="C656" s="79"/>
      <c r="D656" s="79"/>
      <c r="E656" s="79"/>
      <c r="O656" s="79"/>
      <c r="R656" s="79"/>
      <c r="S656" s="79"/>
      <c r="X656" s="79"/>
      <c r="AD656" s="130"/>
      <c r="AF656" s="106"/>
    </row>
    <row r="657">
      <c r="C657" s="79"/>
      <c r="D657" s="79"/>
      <c r="E657" s="79"/>
      <c r="O657" s="79"/>
      <c r="R657" s="79"/>
      <c r="S657" s="79"/>
      <c r="X657" s="79"/>
      <c r="AD657" s="130"/>
      <c r="AF657" s="106"/>
    </row>
    <row r="658">
      <c r="C658" s="79"/>
      <c r="D658" s="79"/>
      <c r="E658" s="79"/>
      <c r="O658" s="79"/>
      <c r="R658" s="79"/>
      <c r="S658" s="79"/>
      <c r="X658" s="79"/>
      <c r="AD658" s="130"/>
      <c r="AF658" s="106"/>
    </row>
    <row r="659">
      <c r="C659" s="79"/>
      <c r="D659" s="79"/>
      <c r="E659" s="79"/>
      <c r="O659" s="79"/>
      <c r="R659" s="79"/>
      <c r="S659" s="79"/>
      <c r="X659" s="79"/>
      <c r="AD659" s="130"/>
      <c r="AF659" s="106"/>
    </row>
    <row r="660">
      <c r="C660" s="79"/>
      <c r="D660" s="79"/>
      <c r="E660" s="79"/>
      <c r="O660" s="79"/>
      <c r="R660" s="79"/>
      <c r="S660" s="79"/>
      <c r="X660" s="79"/>
      <c r="AD660" s="130"/>
      <c r="AF660" s="106"/>
    </row>
    <row r="661">
      <c r="C661" s="79"/>
      <c r="D661" s="79"/>
      <c r="E661" s="79"/>
      <c r="O661" s="79"/>
      <c r="R661" s="79"/>
      <c r="S661" s="79"/>
      <c r="X661" s="79"/>
      <c r="AD661" s="130"/>
      <c r="AF661" s="106"/>
    </row>
    <row r="662">
      <c r="C662" s="79"/>
      <c r="D662" s="79"/>
      <c r="E662" s="79"/>
      <c r="O662" s="79"/>
      <c r="R662" s="79"/>
      <c r="S662" s="79"/>
      <c r="X662" s="79"/>
      <c r="AD662" s="130"/>
      <c r="AF662" s="106"/>
    </row>
    <row r="663">
      <c r="C663" s="79"/>
      <c r="D663" s="79"/>
      <c r="E663" s="79"/>
      <c r="O663" s="79"/>
      <c r="R663" s="79"/>
      <c r="S663" s="79"/>
      <c r="X663" s="79"/>
      <c r="AD663" s="130"/>
      <c r="AF663" s="106"/>
    </row>
    <row r="664">
      <c r="C664" s="79"/>
      <c r="D664" s="79"/>
      <c r="E664" s="79"/>
      <c r="O664" s="79"/>
      <c r="R664" s="79"/>
      <c r="S664" s="79"/>
      <c r="X664" s="79"/>
      <c r="AD664" s="130"/>
      <c r="AF664" s="106"/>
    </row>
    <row r="665">
      <c r="C665" s="79"/>
      <c r="D665" s="79"/>
      <c r="E665" s="79"/>
      <c r="O665" s="79"/>
      <c r="R665" s="79"/>
      <c r="S665" s="79"/>
      <c r="X665" s="79"/>
      <c r="AD665" s="130"/>
      <c r="AF665" s="106"/>
    </row>
    <row r="666">
      <c r="C666" s="79"/>
      <c r="D666" s="79"/>
      <c r="E666" s="79"/>
      <c r="O666" s="79"/>
      <c r="R666" s="79"/>
      <c r="S666" s="79"/>
      <c r="X666" s="79"/>
      <c r="AD666" s="130"/>
      <c r="AF666" s="106"/>
    </row>
    <row r="667">
      <c r="C667" s="79"/>
      <c r="D667" s="79"/>
      <c r="E667" s="79"/>
      <c r="O667" s="79"/>
      <c r="R667" s="79"/>
      <c r="S667" s="79"/>
      <c r="X667" s="79"/>
      <c r="AD667" s="130"/>
      <c r="AF667" s="106"/>
    </row>
    <row r="668">
      <c r="C668" s="79"/>
      <c r="D668" s="79"/>
      <c r="E668" s="79"/>
      <c r="O668" s="79"/>
      <c r="R668" s="79"/>
      <c r="S668" s="79"/>
      <c r="X668" s="79"/>
      <c r="AD668" s="130"/>
      <c r="AF668" s="106"/>
    </row>
    <row r="669">
      <c r="C669" s="79"/>
      <c r="D669" s="79"/>
      <c r="E669" s="79"/>
      <c r="O669" s="79"/>
      <c r="R669" s="79"/>
      <c r="S669" s="79"/>
      <c r="X669" s="79"/>
      <c r="AD669" s="130"/>
      <c r="AF669" s="106"/>
    </row>
    <row r="670">
      <c r="C670" s="79"/>
      <c r="D670" s="79"/>
      <c r="E670" s="79"/>
      <c r="O670" s="79"/>
      <c r="R670" s="79"/>
      <c r="S670" s="79"/>
      <c r="X670" s="79"/>
      <c r="AD670" s="130"/>
      <c r="AF670" s="106"/>
    </row>
    <row r="671">
      <c r="C671" s="79"/>
      <c r="D671" s="79"/>
      <c r="E671" s="79"/>
      <c r="O671" s="79"/>
      <c r="R671" s="79"/>
      <c r="S671" s="79"/>
      <c r="X671" s="79"/>
      <c r="AD671" s="130"/>
      <c r="AF671" s="106"/>
    </row>
    <row r="672">
      <c r="C672" s="79"/>
      <c r="D672" s="79"/>
      <c r="E672" s="79"/>
      <c r="O672" s="79"/>
      <c r="R672" s="79"/>
      <c r="S672" s="79"/>
      <c r="X672" s="79"/>
      <c r="AD672" s="130"/>
      <c r="AF672" s="106"/>
    </row>
    <row r="673">
      <c r="C673" s="79"/>
      <c r="D673" s="79"/>
      <c r="E673" s="79"/>
      <c r="O673" s="79"/>
      <c r="R673" s="79"/>
      <c r="S673" s="79"/>
      <c r="X673" s="79"/>
      <c r="AD673" s="130"/>
      <c r="AF673" s="106"/>
    </row>
    <row r="674">
      <c r="C674" s="79"/>
      <c r="D674" s="79"/>
      <c r="E674" s="79"/>
      <c r="O674" s="79"/>
      <c r="R674" s="79"/>
      <c r="S674" s="79"/>
      <c r="X674" s="79"/>
      <c r="AD674" s="130"/>
      <c r="AF674" s="106"/>
    </row>
    <row r="675">
      <c r="C675" s="79"/>
      <c r="D675" s="79"/>
      <c r="E675" s="79"/>
      <c r="O675" s="79"/>
      <c r="R675" s="79"/>
      <c r="S675" s="79"/>
      <c r="X675" s="79"/>
      <c r="AD675" s="130"/>
      <c r="AF675" s="106"/>
    </row>
    <row r="676">
      <c r="C676" s="79"/>
      <c r="D676" s="79"/>
      <c r="E676" s="79"/>
      <c r="O676" s="79"/>
      <c r="R676" s="79"/>
      <c r="S676" s="79"/>
      <c r="X676" s="79"/>
      <c r="AD676" s="130"/>
      <c r="AF676" s="106"/>
    </row>
    <row r="677">
      <c r="C677" s="79"/>
      <c r="D677" s="79"/>
      <c r="E677" s="79"/>
      <c r="O677" s="79"/>
      <c r="R677" s="79"/>
      <c r="S677" s="79"/>
      <c r="X677" s="79"/>
      <c r="AD677" s="130"/>
      <c r="AF677" s="106"/>
    </row>
    <row r="678">
      <c r="C678" s="79"/>
      <c r="D678" s="79"/>
      <c r="E678" s="79"/>
      <c r="O678" s="79"/>
      <c r="R678" s="79"/>
      <c r="S678" s="79"/>
      <c r="X678" s="79"/>
      <c r="AD678" s="130"/>
      <c r="AF678" s="106"/>
    </row>
    <row r="679">
      <c r="C679" s="79"/>
      <c r="D679" s="79"/>
      <c r="E679" s="79"/>
      <c r="O679" s="79"/>
      <c r="R679" s="79"/>
      <c r="S679" s="79"/>
      <c r="X679" s="79"/>
      <c r="AD679" s="130"/>
      <c r="AF679" s="106"/>
    </row>
    <row r="680">
      <c r="C680" s="79"/>
      <c r="D680" s="79"/>
      <c r="E680" s="79"/>
      <c r="O680" s="79"/>
      <c r="R680" s="79"/>
      <c r="S680" s="79"/>
      <c r="X680" s="79"/>
      <c r="AD680" s="130"/>
      <c r="AF680" s="106"/>
    </row>
    <row r="681">
      <c r="C681" s="79"/>
      <c r="D681" s="79"/>
      <c r="E681" s="79"/>
      <c r="O681" s="79"/>
      <c r="R681" s="79"/>
      <c r="S681" s="79"/>
      <c r="X681" s="79"/>
      <c r="AD681" s="130"/>
      <c r="AF681" s="106"/>
    </row>
    <row r="682">
      <c r="C682" s="79"/>
      <c r="D682" s="79"/>
      <c r="E682" s="79"/>
      <c r="O682" s="79"/>
      <c r="R682" s="79"/>
      <c r="S682" s="79"/>
      <c r="X682" s="79"/>
      <c r="AD682" s="130"/>
      <c r="AF682" s="106"/>
    </row>
    <row r="683">
      <c r="C683" s="79"/>
      <c r="D683" s="79"/>
      <c r="E683" s="79"/>
      <c r="O683" s="79"/>
      <c r="R683" s="79"/>
      <c r="S683" s="79"/>
      <c r="X683" s="79"/>
      <c r="AD683" s="130"/>
      <c r="AF683" s="106"/>
    </row>
    <row r="684">
      <c r="C684" s="79"/>
      <c r="D684" s="79"/>
      <c r="E684" s="79"/>
      <c r="O684" s="79"/>
      <c r="R684" s="79"/>
      <c r="S684" s="79"/>
      <c r="X684" s="79"/>
      <c r="AD684" s="130"/>
      <c r="AF684" s="106"/>
    </row>
    <row r="685">
      <c r="C685" s="79"/>
      <c r="D685" s="79"/>
      <c r="E685" s="79"/>
      <c r="O685" s="79"/>
      <c r="R685" s="79"/>
      <c r="S685" s="79"/>
      <c r="X685" s="79"/>
      <c r="AD685" s="130"/>
      <c r="AF685" s="106"/>
    </row>
    <row r="686">
      <c r="C686" s="79"/>
      <c r="D686" s="79"/>
      <c r="E686" s="79"/>
      <c r="O686" s="79"/>
      <c r="R686" s="79"/>
      <c r="S686" s="79"/>
      <c r="X686" s="79"/>
      <c r="AD686" s="130"/>
      <c r="AF686" s="106"/>
    </row>
    <row r="687">
      <c r="C687" s="79"/>
      <c r="D687" s="79"/>
      <c r="E687" s="79"/>
      <c r="O687" s="79"/>
      <c r="R687" s="79"/>
      <c r="S687" s="79"/>
      <c r="X687" s="79"/>
      <c r="AD687" s="130"/>
      <c r="AF687" s="106"/>
    </row>
    <row r="688">
      <c r="C688" s="79"/>
      <c r="D688" s="79"/>
      <c r="E688" s="79"/>
      <c r="O688" s="79"/>
      <c r="R688" s="79"/>
      <c r="S688" s="79"/>
      <c r="X688" s="79"/>
      <c r="AD688" s="130"/>
      <c r="AF688" s="106"/>
    </row>
    <row r="689">
      <c r="C689" s="79"/>
      <c r="D689" s="79"/>
      <c r="E689" s="79"/>
      <c r="O689" s="79"/>
      <c r="R689" s="79"/>
      <c r="S689" s="79"/>
      <c r="X689" s="79"/>
      <c r="AD689" s="130"/>
      <c r="AF689" s="106"/>
    </row>
    <row r="690">
      <c r="C690" s="79"/>
      <c r="D690" s="79"/>
      <c r="E690" s="79"/>
      <c r="O690" s="79"/>
      <c r="R690" s="79"/>
      <c r="S690" s="79"/>
      <c r="X690" s="79"/>
      <c r="AD690" s="130"/>
      <c r="AF690" s="106"/>
    </row>
    <row r="691">
      <c r="C691" s="79"/>
      <c r="D691" s="79"/>
      <c r="E691" s="79"/>
      <c r="O691" s="79"/>
      <c r="R691" s="79"/>
      <c r="S691" s="79"/>
      <c r="X691" s="79"/>
      <c r="AD691" s="130"/>
      <c r="AF691" s="106"/>
    </row>
    <row r="692">
      <c r="C692" s="79"/>
      <c r="D692" s="79"/>
      <c r="E692" s="79"/>
      <c r="O692" s="79"/>
      <c r="R692" s="79"/>
      <c r="S692" s="79"/>
      <c r="X692" s="79"/>
      <c r="AD692" s="130"/>
      <c r="AF692" s="106"/>
    </row>
    <row r="693">
      <c r="C693" s="79"/>
      <c r="D693" s="79"/>
      <c r="E693" s="79"/>
      <c r="O693" s="79"/>
      <c r="R693" s="79"/>
      <c r="S693" s="79"/>
      <c r="X693" s="79"/>
      <c r="AD693" s="130"/>
      <c r="AF693" s="106"/>
    </row>
    <row r="694">
      <c r="C694" s="79"/>
      <c r="D694" s="79"/>
      <c r="E694" s="79"/>
      <c r="O694" s="79"/>
      <c r="R694" s="79"/>
      <c r="S694" s="79"/>
      <c r="X694" s="79"/>
      <c r="AD694" s="130"/>
      <c r="AF694" s="106"/>
    </row>
    <row r="695">
      <c r="C695" s="79"/>
      <c r="D695" s="79"/>
      <c r="E695" s="79"/>
      <c r="O695" s="79"/>
      <c r="R695" s="79"/>
      <c r="S695" s="79"/>
      <c r="X695" s="79"/>
      <c r="AD695" s="130"/>
      <c r="AF695" s="106"/>
    </row>
    <row r="696">
      <c r="C696" s="79"/>
      <c r="D696" s="79"/>
      <c r="E696" s="79"/>
      <c r="O696" s="79"/>
      <c r="R696" s="79"/>
      <c r="S696" s="79"/>
      <c r="X696" s="79"/>
      <c r="AD696" s="130"/>
      <c r="AF696" s="106"/>
    </row>
    <row r="697">
      <c r="C697" s="79"/>
      <c r="D697" s="79"/>
      <c r="E697" s="79"/>
      <c r="O697" s="79"/>
      <c r="R697" s="79"/>
      <c r="S697" s="79"/>
      <c r="X697" s="79"/>
      <c r="AD697" s="130"/>
      <c r="AF697" s="106"/>
    </row>
    <row r="698">
      <c r="C698" s="79"/>
      <c r="D698" s="79"/>
      <c r="E698" s="79"/>
      <c r="O698" s="79"/>
      <c r="R698" s="79"/>
      <c r="S698" s="79"/>
      <c r="X698" s="79"/>
      <c r="AD698" s="130"/>
      <c r="AF698" s="106"/>
    </row>
    <row r="699">
      <c r="C699" s="79"/>
      <c r="D699" s="79"/>
      <c r="E699" s="79"/>
      <c r="O699" s="79"/>
      <c r="R699" s="79"/>
      <c r="S699" s="79"/>
      <c r="X699" s="79"/>
      <c r="AD699" s="130"/>
      <c r="AF699" s="106"/>
    </row>
    <row r="700">
      <c r="C700" s="79"/>
      <c r="D700" s="79"/>
      <c r="E700" s="79"/>
      <c r="O700" s="79"/>
      <c r="R700" s="79"/>
      <c r="S700" s="79"/>
      <c r="X700" s="79"/>
      <c r="AD700" s="130"/>
      <c r="AF700" s="106"/>
    </row>
    <row r="701">
      <c r="C701" s="79"/>
      <c r="D701" s="79"/>
      <c r="E701" s="79"/>
      <c r="O701" s="79"/>
      <c r="R701" s="79"/>
      <c r="S701" s="79"/>
      <c r="X701" s="79"/>
      <c r="AD701" s="130"/>
      <c r="AF701" s="106"/>
    </row>
    <row r="702">
      <c r="C702" s="79"/>
      <c r="D702" s="79"/>
      <c r="E702" s="79"/>
      <c r="O702" s="79"/>
      <c r="R702" s="79"/>
      <c r="S702" s="79"/>
      <c r="X702" s="79"/>
      <c r="AD702" s="130"/>
      <c r="AF702" s="106"/>
    </row>
    <row r="703">
      <c r="C703" s="79"/>
      <c r="D703" s="79"/>
      <c r="E703" s="79"/>
      <c r="O703" s="79"/>
      <c r="R703" s="79"/>
      <c r="S703" s="79"/>
      <c r="X703" s="79"/>
      <c r="AD703" s="130"/>
      <c r="AF703" s="106"/>
    </row>
    <row r="704">
      <c r="C704" s="79"/>
      <c r="D704" s="79"/>
      <c r="E704" s="79"/>
      <c r="O704" s="79"/>
      <c r="R704" s="79"/>
      <c r="S704" s="79"/>
      <c r="X704" s="79"/>
      <c r="AD704" s="130"/>
      <c r="AF704" s="106"/>
    </row>
    <row r="705">
      <c r="C705" s="79"/>
      <c r="D705" s="79"/>
      <c r="E705" s="79"/>
      <c r="O705" s="79"/>
      <c r="R705" s="79"/>
      <c r="S705" s="79"/>
      <c r="X705" s="79"/>
      <c r="AD705" s="130"/>
      <c r="AF705" s="106"/>
    </row>
    <row r="706">
      <c r="C706" s="79"/>
      <c r="D706" s="79"/>
      <c r="E706" s="79"/>
      <c r="O706" s="79"/>
      <c r="R706" s="79"/>
      <c r="S706" s="79"/>
      <c r="X706" s="79"/>
      <c r="AD706" s="130"/>
      <c r="AF706" s="106"/>
    </row>
    <row r="707">
      <c r="C707" s="79"/>
      <c r="D707" s="79"/>
      <c r="E707" s="79"/>
      <c r="O707" s="79"/>
      <c r="R707" s="79"/>
      <c r="S707" s="79"/>
      <c r="X707" s="79"/>
      <c r="AD707" s="130"/>
      <c r="AF707" s="106"/>
    </row>
    <row r="708">
      <c r="C708" s="79"/>
      <c r="D708" s="79"/>
      <c r="E708" s="79"/>
      <c r="O708" s="79"/>
      <c r="R708" s="79"/>
      <c r="S708" s="79"/>
      <c r="X708" s="79"/>
      <c r="AD708" s="130"/>
      <c r="AF708" s="106"/>
    </row>
    <row r="709">
      <c r="C709" s="79"/>
      <c r="D709" s="79"/>
      <c r="E709" s="79"/>
      <c r="O709" s="79"/>
      <c r="R709" s="79"/>
      <c r="S709" s="79"/>
      <c r="X709" s="79"/>
      <c r="AD709" s="130"/>
      <c r="AF709" s="106"/>
    </row>
    <row r="710">
      <c r="C710" s="79"/>
      <c r="D710" s="79"/>
      <c r="E710" s="79"/>
      <c r="O710" s="79"/>
      <c r="R710" s="79"/>
      <c r="S710" s="79"/>
      <c r="X710" s="79"/>
      <c r="AD710" s="130"/>
      <c r="AF710" s="106"/>
    </row>
    <row r="711">
      <c r="C711" s="79"/>
      <c r="D711" s="79"/>
      <c r="E711" s="79"/>
      <c r="O711" s="79"/>
      <c r="R711" s="79"/>
      <c r="S711" s="79"/>
      <c r="X711" s="79"/>
      <c r="AD711" s="130"/>
      <c r="AF711" s="106"/>
    </row>
    <row r="712">
      <c r="C712" s="79"/>
      <c r="D712" s="79"/>
      <c r="E712" s="79"/>
      <c r="O712" s="79"/>
      <c r="R712" s="79"/>
      <c r="S712" s="79"/>
      <c r="X712" s="79"/>
      <c r="AD712" s="130"/>
      <c r="AF712" s="106"/>
    </row>
    <row r="713">
      <c r="C713" s="79"/>
      <c r="D713" s="79"/>
      <c r="E713" s="79"/>
      <c r="O713" s="79"/>
      <c r="R713" s="79"/>
      <c r="S713" s="79"/>
      <c r="X713" s="79"/>
      <c r="AD713" s="130"/>
      <c r="AF713" s="106"/>
    </row>
    <row r="714">
      <c r="C714" s="79"/>
      <c r="D714" s="79"/>
      <c r="E714" s="79"/>
      <c r="O714" s="79"/>
      <c r="R714" s="79"/>
      <c r="S714" s="79"/>
      <c r="X714" s="79"/>
      <c r="AD714" s="130"/>
      <c r="AF714" s="106"/>
    </row>
    <row r="715">
      <c r="C715" s="79"/>
      <c r="D715" s="79"/>
      <c r="E715" s="79"/>
      <c r="O715" s="79"/>
      <c r="R715" s="79"/>
      <c r="S715" s="79"/>
      <c r="X715" s="79"/>
      <c r="AD715" s="130"/>
      <c r="AF715" s="106"/>
    </row>
    <row r="716">
      <c r="C716" s="79"/>
      <c r="D716" s="79"/>
      <c r="E716" s="79"/>
      <c r="O716" s="79"/>
      <c r="R716" s="79"/>
      <c r="S716" s="79"/>
      <c r="X716" s="79"/>
      <c r="AD716" s="130"/>
      <c r="AF716" s="106"/>
    </row>
    <row r="717">
      <c r="C717" s="79"/>
      <c r="D717" s="79"/>
      <c r="E717" s="79"/>
      <c r="O717" s="79"/>
      <c r="R717" s="79"/>
      <c r="S717" s="79"/>
      <c r="X717" s="79"/>
      <c r="AD717" s="130"/>
      <c r="AF717" s="106"/>
    </row>
    <row r="718">
      <c r="C718" s="79"/>
      <c r="D718" s="79"/>
      <c r="E718" s="79"/>
      <c r="O718" s="79"/>
      <c r="R718" s="79"/>
      <c r="S718" s="79"/>
      <c r="X718" s="79"/>
      <c r="AD718" s="130"/>
      <c r="AF718" s="106"/>
    </row>
    <row r="719">
      <c r="C719" s="79"/>
      <c r="D719" s="79"/>
      <c r="E719" s="79"/>
      <c r="O719" s="79"/>
      <c r="R719" s="79"/>
      <c r="S719" s="79"/>
      <c r="X719" s="79"/>
      <c r="AD719" s="130"/>
      <c r="AF719" s="106"/>
    </row>
    <row r="720">
      <c r="C720" s="79"/>
      <c r="D720" s="79"/>
      <c r="E720" s="79"/>
      <c r="O720" s="79"/>
      <c r="R720" s="79"/>
      <c r="S720" s="79"/>
      <c r="X720" s="79"/>
      <c r="AD720" s="130"/>
      <c r="AF720" s="106"/>
    </row>
    <row r="721">
      <c r="C721" s="79"/>
      <c r="D721" s="79"/>
      <c r="E721" s="79"/>
      <c r="O721" s="79"/>
      <c r="R721" s="79"/>
      <c r="S721" s="79"/>
      <c r="X721" s="79"/>
      <c r="AD721" s="130"/>
      <c r="AF721" s="106"/>
    </row>
    <row r="722">
      <c r="C722" s="79"/>
      <c r="D722" s="79"/>
      <c r="E722" s="79"/>
      <c r="O722" s="79"/>
      <c r="R722" s="79"/>
      <c r="S722" s="79"/>
      <c r="X722" s="79"/>
      <c r="AD722" s="130"/>
      <c r="AF722" s="106"/>
    </row>
    <row r="723">
      <c r="C723" s="79"/>
      <c r="D723" s="79"/>
      <c r="E723" s="79"/>
      <c r="O723" s="79"/>
      <c r="R723" s="79"/>
      <c r="S723" s="79"/>
      <c r="X723" s="79"/>
      <c r="AD723" s="130"/>
      <c r="AF723" s="106"/>
    </row>
    <row r="724">
      <c r="C724" s="79"/>
      <c r="D724" s="79"/>
      <c r="E724" s="79"/>
      <c r="O724" s="79"/>
      <c r="R724" s="79"/>
      <c r="S724" s="79"/>
      <c r="X724" s="79"/>
      <c r="AD724" s="130"/>
      <c r="AF724" s="106"/>
    </row>
    <row r="725">
      <c r="C725" s="79"/>
      <c r="D725" s="79"/>
      <c r="E725" s="79"/>
      <c r="O725" s="79"/>
      <c r="R725" s="79"/>
      <c r="S725" s="79"/>
      <c r="X725" s="79"/>
      <c r="AD725" s="130"/>
      <c r="AF725" s="106"/>
    </row>
    <row r="726">
      <c r="C726" s="79"/>
      <c r="D726" s="79"/>
      <c r="E726" s="79"/>
      <c r="O726" s="79"/>
      <c r="R726" s="79"/>
      <c r="S726" s="79"/>
      <c r="X726" s="79"/>
      <c r="AD726" s="130"/>
      <c r="AF726" s="106"/>
    </row>
    <row r="727">
      <c r="C727" s="79"/>
      <c r="D727" s="79"/>
      <c r="E727" s="79"/>
      <c r="O727" s="79"/>
      <c r="R727" s="79"/>
      <c r="S727" s="79"/>
      <c r="X727" s="79"/>
      <c r="AD727" s="130"/>
      <c r="AF727" s="106"/>
    </row>
    <row r="728">
      <c r="C728" s="79"/>
      <c r="D728" s="79"/>
      <c r="E728" s="79"/>
      <c r="O728" s="79"/>
      <c r="R728" s="79"/>
      <c r="S728" s="79"/>
      <c r="X728" s="79"/>
      <c r="AD728" s="130"/>
      <c r="AF728" s="106"/>
    </row>
    <row r="729">
      <c r="C729" s="79"/>
      <c r="D729" s="79"/>
      <c r="E729" s="79"/>
      <c r="O729" s="79"/>
      <c r="R729" s="79"/>
      <c r="S729" s="79"/>
      <c r="X729" s="79"/>
      <c r="AD729" s="130"/>
      <c r="AF729" s="106"/>
    </row>
    <row r="730">
      <c r="C730" s="79"/>
      <c r="D730" s="79"/>
      <c r="E730" s="79"/>
      <c r="O730" s="79"/>
      <c r="R730" s="79"/>
      <c r="S730" s="79"/>
      <c r="X730" s="79"/>
      <c r="AD730" s="130"/>
      <c r="AF730" s="106"/>
    </row>
    <row r="731">
      <c r="C731" s="79"/>
      <c r="D731" s="79"/>
      <c r="E731" s="79"/>
      <c r="O731" s="79"/>
      <c r="R731" s="79"/>
      <c r="S731" s="79"/>
      <c r="X731" s="79"/>
      <c r="AD731" s="130"/>
      <c r="AF731" s="106"/>
    </row>
    <row r="732">
      <c r="C732" s="79"/>
      <c r="D732" s="79"/>
      <c r="E732" s="79"/>
      <c r="O732" s="79"/>
      <c r="R732" s="79"/>
      <c r="S732" s="79"/>
      <c r="X732" s="79"/>
      <c r="AD732" s="130"/>
      <c r="AF732" s="106"/>
    </row>
    <row r="733">
      <c r="C733" s="79"/>
      <c r="D733" s="79"/>
      <c r="E733" s="79"/>
      <c r="O733" s="79"/>
      <c r="R733" s="79"/>
      <c r="S733" s="79"/>
      <c r="X733" s="79"/>
      <c r="AD733" s="130"/>
      <c r="AF733" s="106"/>
    </row>
    <row r="734">
      <c r="C734" s="79"/>
      <c r="D734" s="79"/>
      <c r="E734" s="79"/>
      <c r="O734" s="79"/>
      <c r="R734" s="79"/>
      <c r="S734" s="79"/>
      <c r="X734" s="79"/>
      <c r="AD734" s="130"/>
      <c r="AF734" s="106"/>
    </row>
    <row r="735">
      <c r="C735" s="79"/>
      <c r="D735" s="79"/>
      <c r="E735" s="79"/>
      <c r="O735" s="79"/>
      <c r="R735" s="79"/>
      <c r="S735" s="79"/>
      <c r="X735" s="79"/>
      <c r="AD735" s="130"/>
      <c r="AF735" s="106"/>
    </row>
    <row r="736">
      <c r="C736" s="79"/>
      <c r="D736" s="79"/>
      <c r="E736" s="79"/>
      <c r="O736" s="79"/>
      <c r="R736" s="79"/>
      <c r="S736" s="79"/>
      <c r="X736" s="79"/>
      <c r="AD736" s="130"/>
      <c r="AF736" s="106"/>
    </row>
    <row r="737">
      <c r="C737" s="79"/>
      <c r="D737" s="79"/>
      <c r="E737" s="79"/>
      <c r="O737" s="79"/>
      <c r="R737" s="79"/>
      <c r="S737" s="79"/>
      <c r="X737" s="79"/>
      <c r="AD737" s="130"/>
      <c r="AF737" s="106"/>
    </row>
    <row r="738">
      <c r="C738" s="79"/>
      <c r="D738" s="79"/>
      <c r="E738" s="79"/>
      <c r="O738" s="79"/>
      <c r="R738" s="79"/>
      <c r="S738" s="79"/>
      <c r="X738" s="79"/>
      <c r="AD738" s="130"/>
      <c r="AF738" s="106"/>
    </row>
    <row r="739">
      <c r="C739" s="79"/>
      <c r="D739" s="79"/>
      <c r="E739" s="79"/>
      <c r="O739" s="79"/>
      <c r="R739" s="79"/>
      <c r="S739" s="79"/>
      <c r="X739" s="79"/>
      <c r="AD739" s="130"/>
      <c r="AF739" s="106"/>
    </row>
    <row r="740">
      <c r="C740" s="79"/>
      <c r="D740" s="79"/>
      <c r="E740" s="79"/>
      <c r="O740" s="79"/>
      <c r="R740" s="79"/>
      <c r="S740" s="79"/>
      <c r="X740" s="79"/>
      <c r="AD740" s="130"/>
      <c r="AF740" s="106"/>
    </row>
    <row r="741">
      <c r="C741" s="79"/>
      <c r="D741" s="79"/>
      <c r="E741" s="79"/>
      <c r="O741" s="79"/>
      <c r="R741" s="79"/>
      <c r="S741" s="79"/>
      <c r="X741" s="79"/>
      <c r="AD741" s="130"/>
      <c r="AF741" s="106"/>
    </row>
    <row r="742">
      <c r="C742" s="79"/>
      <c r="D742" s="79"/>
      <c r="E742" s="79"/>
      <c r="O742" s="79"/>
      <c r="R742" s="79"/>
      <c r="S742" s="79"/>
      <c r="X742" s="79"/>
      <c r="AD742" s="130"/>
      <c r="AF742" s="106"/>
    </row>
    <row r="743">
      <c r="C743" s="79"/>
      <c r="D743" s="79"/>
      <c r="E743" s="79"/>
      <c r="O743" s="79"/>
      <c r="R743" s="79"/>
      <c r="S743" s="79"/>
      <c r="X743" s="79"/>
      <c r="AD743" s="130"/>
      <c r="AF743" s="106"/>
    </row>
    <row r="744">
      <c r="C744" s="79"/>
      <c r="D744" s="79"/>
      <c r="E744" s="79"/>
      <c r="O744" s="79"/>
      <c r="R744" s="79"/>
      <c r="S744" s="79"/>
      <c r="X744" s="79"/>
      <c r="AD744" s="130"/>
      <c r="AF744" s="106"/>
    </row>
    <row r="745">
      <c r="C745" s="79"/>
      <c r="D745" s="79"/>
      <c r="E745" s="79"/>
      <c r="O745" s="79"/>
      <c r="R745" s="79"/>
      <c r="S745" s="79"/>
      <c r="X745" s="79"/>
      <c r="AD745" s="130"/>
      <c r="AF745" s="106"/>
    </row>
    <row r="746">
      <c r="C746" s="79"/>
      <c r="D746" s="79"/>
      <c r="E746" s="79"/>
      <c r="O746" s="79"/>
      <c r="R746" s="79"/>
      <c r="S746" s="79"/>
      <c r="X746" s="79"/>
      <c r="AD746" s="130"/>
      <c r="AF746" s="106"/>
    </row>
    <row r="747">
      <c r="C747" s="79"/>
      <c r="D747" s="79"/>
      <c r="E747" s="79"/>
      <c r="O747" s="79"/>
      <c r="R747" s="79"/>
      <c r="S747" s="79"/>
      <c r="X747" s="79"/>
      <c r="AD747" s="130"/>
      <c r="AF747" s="106"/>
    </row>
    <row r="748">
      <c r="C748" s="79"/>
      <c r="D748" s="79"/>
      <c r="E748" s="79"/>
      <c r="O748" s="79"/>
      <c r="R748" s="79"/>
      <c r="S748" s="79"/>
      <c r="X748" s="79"/>
      <c r="AD748" s="130"/>
      <c r="AF748" s="106"/>
    </row>
    <row r="749">
      <c r="C749" s="79"/>
      <c r="D749" s="79"/>
      <c r="E749" s="79"/>
      <c r="O749" s="79"/>
      <c r="R749" s="79"/>
      <c r="S749" s="79"/>
      <c r="X749" s="79"/>
      <c r="AD749" s="130"/>
      <c r="AF749" s="106"/>
    </row>
    <row r="750">
      <c r="C750" s="79"/>
      <c r="D750" s="79"/>
      <c r="E750" s="79"/>
      <c r="O750" s="79"/>
      <c r="R750" s="79"/>
      <c r="S750" s="79"/>
      <c r="X750" s="79"/>
      <c r="AD750" s="130"/>
      <c r="AF750" s="106"/>
    </row>
    <row r="751">
      <c r="C751" s="79"/>
      <c r="D751" s="79"/>
      <c r="E751" s="79"/>
      <c r="O751" s="79"/>
      <c r="R751" s="79"/>
      <c r="S751" s="79"/>
      <c r="X751" s="79"/>
      <c r="AD751" s="130"/>
      <c r="AF751" s="106"/>
    </row>
    <row r="752">
      <c r="C752" s="79"/>
      <c r="D752" s="79"/>
      <c r="E752" s="79"/>
      <c r="O752" s="79"/>
      <c r="R752" s="79"/>
      <c r="S752" s="79"/>
      <c r="X752" s="79"/>
      <c r="AD752" s="130"/>
      <c r="AF752" s="106"/>
    </row>
    <row r="753">
      <c r="C753" s="79"/>
      <c r="D753" s="79"/>
      <c r="E753" s="79"/>
      <c r="O753" s="79"/>
      <c r="R753" s="79"/>
      <c r="S753" s="79"/>
      <c r="X753" s="79"/>
      <c r="AD753" s="130"/>
      <c r="AF753" s="106"/>
    </row>
    <row r="754">
      <c r="C754" s="79"/>
      <c r="D754" s="79"/>
      <c r="E754" s="79"/>
      <c r="O754" s="79"/>
      <c r="R754" s="79"/>
      <c r="S754" s="79"/>
      <c r="X754" s="79"/>
      <c r="AD754" s="130"/>
      <c r="AF754" s="106"/>
    </row>
    <row r="755">
      <c r="C755" s="79"/>
      <c r="D755" s="79"/>
      <c r="E755" s="79"/>
      <c r="O755" s="79"/>
      <c r="R755" s="79"/>
      <c r="S755" s="79"/>
      <c r="X755" s="79"/>
      <c r="AD755" s="130"/>
      <c r="AF755" s="106"/>
    </row>
    <row r="756">
      <c r="C756" s="79"/>
      <c r="D756" s="79"/>
      <c r="E756" s="79"/>
      <c r="O756" s="79"/>
      <c r="R756" s="79"/>
      <c r="S756" s="79"/>
      <c r="X756" s="79"/>
      <c r="AD756" s="130"/>
      <c r="AF756" s="106"/>
    </row>
    <row r="757">
      <c r="C757" s="79"/>
      <c r="D757" s="79"/>
      <c r="E757" s="79"/>
      <c r="O757" s="79"/>
      <c r="R757" s="79"/>
      <c r="S757" s="79"/>
      <c r="X757" s="79"/>
      <c r="AD757" s="130"/>
      <c r="AF757" s="106"/>
    </row>
    <row r="758">
      <c r="C758" s="79"/>
      <c r="D758" s="79"/>
      <c r="E758" s="79"/>
      <c r="O758" s="79"/>
      <c r="R758" s="79"/>
      <c r="S758" s="79"/>
      <c r="X758" s="79"/>
      <c r="AD758" s="130"/>
      <c r="AF758" s="106"/>
    </row>
    <row r="759">
      <c r="C759" s="79"/>
      <c r="D759" s="79"/>
      <c r="E759" s="79"/>
      <c r="O759" s="79"/>
      <c r="R759" s="79"/>
      <c r="S759" s="79"/>
      <c r="X759" s="79"/>
      <c r="AD759" s="130"/>
      <c r="AF759" s="106"/>
    </row>
    <row r="760">
      <c r="C760" s="79"/>
      <c r="D760" s="79"/>
      <c r="E760" s="79"/>
      <c r="O760" s="79"/>
      <c r="R760" s="79"/>
      <c r="S760" s="79"/>
      <c r="X760" s="79"/>
      <c r="AD760" s="130"/>
      <c r="AF760" s="106"/>
    </row>
    <row r="761">
      <c r="C761" s="79"/>
      <c r="D761" s="79"/>
      <c r="E761" s="79"/>
      <c r="O761" s="79"/>
      <c r="R761" s="79"/>
      <c r="S761" s="79"/>
      <c r="X761" s="79"/>
      <c r="AD761" s="130"/>
      <c r="AF761" s="106"/>
    </row>
    <row r="762">
      <c r="C762" s="79"/>
      <c r="D762" s="79"/>
      <c r="E762" s="79"/>
      <c r="O762" s="79"/>
      <c r="R762" s="79"/>
      <c r="S762" s="79"/>
      <c r="X762" s="79"/>
      <c r="AD762" s="130"/>
      <c r="AF762" s="106"/>
    </row>
    <row r="763">
      <c r="C763" s="79"/>
      <c r="D763" s="79"/>
      <c r="E763" s="79"/>
      <c r="O763" s="79"/>
      <c r="R763" s="79"/>
      <c r="S763" s="79"/>
      <c r="X763" s="79"/>
      <c r="AD763" s="130"/>
      <c r="AF763" s="106"/>
    </row>
    <row r="764">
      <c r="C764" s="79"/>
      <c r="D764" s="79"/>
      <c r="E764" s="79"/>
      <c r="O764" s="79"/>
      <c r="R764" s="79"/>
      <c r="S764" s="79"/>
      <c r="X764" s="79"/>
      <c r="AD764" s="130"/>
      <c r="AF764" s="106"/>
    </row>
    <row r="765">
      <c r="C765" s="79"/>
      <c r="D765" s="79"/>
      <c r="E765" s="79"/>
      <c r="O765" s="79"/>
      <c r="R765" s="79"/>
      <c r="S765" s="79"/>
      <c r="X765" s="79"/>
      <c r="AD765" s="130"/>
      <c r="AF765" s="106"/>
    </row>
    <row r="766">
      <c r="C766" s="79"/>
      <c r="D766" s="79"/>
      <c r="E766" s="79"/>
      <c r="O766" s="79"/>
      <c r="R766" s="79"/>
      <c r="S766" s="79"/>
      <c r="X766" s="79"/>
      <c r="AD766" s="130"/>
      <c r="AF766" s="106"/>
    </row>
    <row r="767">
      <c r="C767" s="79"/>
      <c r="D767" s="79"/>
      <c r="E767" s="79"/>
      <c r="O767" s="79"/>
      <c r="R767" s="79"/>
      <c r="S767" s="79"/>
      <c r="X767" s="79"/>
      <c r="AD767" s="130"/>
      <c r="AF767" s="106"/>
    </row>
    <row r="768">
      <c r="C768" s="79"/>
      <c r="D768" s="79"/>
      <c r="E768" s="79"/>
      <c r="O768" s="79"/>
      <c r="R768" s="79"/>
      <c r="S768" s="79"/>
      <c r="X768" s="79"/>
      <c r="AD768" s="130"/>
      <c r="AF768" s="106"/>
    </row>
    <row r="769">
      <c r="C769" s="79"/>
      <c r="D769" s="79"/>
      <c r="E769" s="79"/>
      <c r="O769" s="79"/>
      <c r="R769" s="79"/>
      <c r="S769" s="79"/>
      <c r="X769" s="79"/>
      <c r="AD769" s="130"/>
      <c r="AF769" s="106"/>
    </row>
    <row r="770">
      <c r="C770" s="79"/>
      <c r="D770" s="79"/>
      <c r="E770" s="79"/>
      <c r="O770" s="79"/>
      <c r="R770" s="79"/>
      <c r="S770" s="79"/>
      <c r="X770" s="79"/>
      <c r="AD770" s="130"/>
      <c r="AF770" s="106"/>
    </row>
    <row r="771">
      <c r="C771" s="79"/>
      <c r="D771" s="79"/>
      <c r="E771" s="79"/>
      <c r="O771" s="79"/>
      <c r="R771" s="79"/>
      <c r="S771" s="79"/>
      <c r="X771" s="79"/>
      <c r="AD771" s="130"/>
      <c r="AF771" s="106"/>
    </row>
    <row r="772">
      <c r="C772" s="79"/>
      <c r="D772" s="79"/>
      <c r="E772" s="79"/>
      <c r="O772" s="79"/>
      <c r="R772" s="79"/>
      <c r="S772" s="79"/>
      <c r="X772" s="79"/>
      <c r="AD772" s="130"/>
      <c r="AF772" s="106"/>
    </row>
    <row r="773">
      <c r="C773" s="79"/>
      <c r="D773" s="79"/>
      <c r="E773" s="79"/>
      <c r="O773" s="79"/>
      <c r="R773" s="79"/>
      <c r="S773" s="79"/>
      <c r="X773" s="79"/>
      <c r="AD773" s="130"/>
      <c r="AF773" s="106"/>
    </row>
    <row r="774">
      <c r="C774" s="79"/>
      <c r="D774" s="79"/>
      <c r="E774" s="79"/>
      <c r="O774" s="79"/>
      <c r="R774" s="79"/>
      <c r="S774" s="79"/>
      <c r="X774" s="79"/>
      <c r="AD774" s="130"/>
      <c r="AF774" s="106"/>
    </row>
    <row r="775">
      <c r="C775" s="79"/>
      <c r="D775" s="79"/>
      <c r="E775" s="79"/>
      <c r="O775" s="79"/>
      <c r="R775" s="79"/>
      <c r="S775" s="79"/>
      <c r="X775" s="79"/>
      <c r="AD775" s="130"/>
      <c r="AF775" s="106"/>
    </row>
    <row r="776">
      <c r="C776" s="79"/>
      <c r="D776" s="79"/>
      <c r="E776" s="79"/>
      <c r="O776" s="79"/>
      <c r="R776" s="79"/>
      <c r="S776" s="79"/>
      <c r="X776" s="79"/>
      <c r="AD776" s="130"/>
      <c r="AF776" s="106"/>
    </row>
    <row r="777">
      <c r="C777" s="79"/>
      <c r="D777" s="79"/>
      <c r="E777" s="79"/>
      <c r="O777" s="79"/>
      <c r="R777" s="79"/>
      <c r="S777" s="79"/>
      <c r="X777" s="79"/>
      <c r="AD777" s="130"/>
      <c r="AF777" s="106"/>
    </row>
    <row r="778">
      <c r="C778" s="79"/>
      <c r="D778" s="79"/>
      <c r="E778" s="79"/>
      <c r="O778" s="79"/>
      <c r="R778" s="79"/>
      <c r="S778" s="79"/>
      <c r="X778" s="79"/>
      <c r="AD778" s="130"/>
      <c r="AF778" s="106"/>
    </row>
    <row r="779">
      <c r="C779" s="79"/>
      <c r="D779" s="79"/>
      <c r="E779" s="79"/>
      <c r="O779" s="79"/>
      <c r="R779" s="79"/>
      <c r="S779" s="79"/>
      <c r="X779" s="79"/>
      <c r="AD779" s="130"/>
      <c r="AF779" s="106"/>
    </row>
    <row r="780">
      <c r="C780" s="79"/>
      <c r="D780" s="79"/>
      <c r="E780" s="79"/>
      <c r="O780" s="79"/>
      <c r="R780" s="79"/>
      <c r="S780" s="79"/>
      <c r="X780" s="79"/>
      <c r="AD780" s="130"/>
      <c r="AF780" s="106"/>
    </row>
    <row r="781">
      <c r="C781" s="79"/>
      <c r="D781" s="79"/>
      <c r="E781" s="79"/>
      <c r="O781" s="79"/>
      <c r="R781" s="79"/>
      <c r="S781" s="79"/>
      <c r="X781" s="79"/>
      <c r="AD781" s="130"/>
      <c r="AF781" s="106"/>
    </row>
    <row r="782">
      <c r="C782" s="79"/>
      <c r="D782" s="79"/>
      <c r="E782" s="79"/>
      <c r="O782" s="79"/>
      <c r="R782" s="79"/>
      <c r="S782" s="79"/>
      <c r="X782" s="79"/>
      <c r="AD782" s="130"/>
      <c r="AF782" s="106"/>
    </row>
    <row r="783">
      <c r="C783" s="79"/>
      <c r="D783" s="79"/>
      <c r="E783" s="79"/>
      <c r="O783" s="79"/>
      <c r="R783" s="79"/>
      <c r="S783" s="79"/>
      <c r="X783" s="79"/>
      <c r="AD783" s="130"/>
      <c r="AF783" s="106"/>
    </row>
    <row r="784">
      <c r="C784" s="79"/>
      <c r="D784" s="79"/>
      <c r="E784" s="79"/>
      <c r="O784" s="79"/>
      <c r="R784" s="79"/>
      <c r="S784" s="79"/>
      <c r="X784" s="79"/>
      <c r="AD784" s="130"/>
      <c r="AF784" s="106"/>
    </row>
    <row r="785">
      <c r="C785" s="79"/>
      <c r="D785" s="79"/>
      <c r="E785" s="79"/>
      <c r="O785" s="79"/>
      <c r="R785" s="79"/>
      <c r="S785" s="79"/>
      <c r="X785" s="79"/>
      <c r="AD785" s="130"/>
      <c r="AF785" s="106"/>
    </row>
    <row r="786">
      <c r="C786" s="79"/>
      <c r="D786" s="79"/>
      <c r="E786" s="79"/>
      <c r="O786" s="79"/>
      <c r="R786" s="79"/>
      <c r="S786" s="79"/>
      <c r="X786" s="79"/>
      <c r="AD786" s="130"/>
      <c r="AF786" s="106"/>
    </row>
    <row r="787">
      <c r="C787" s="79"/>
      <c r="D787" s="79"/>
      <c r="E787" s="79"/>
      <c r="O787" s="79"/>
      <c r="R787" s="79"/>
      <c r="S787" s="79"/>
      <c r="X787" s="79"/>
      <c r="AD787" s="130"/>
      <c r="AF787" s="106"/>
    </row>
    <row r="788">
      <c r="C788" s="79"/>
      <c r="D788" s="79"/>
      <c r="E788" s="79"/>
      <c r="O788" s="79"/>
      <c r="R788" s="79"/>
      <c r="S788" s="79"/>
      <c r="X788" s="79"/>
      <c r="AD788" s="130"/>
      <c r="AF788" s="106"/>
    </row>
    <row r="789">
      <c r="C789" s="79"/>
      <c r="D789" s="79"/>
      <c r="E789" s="79"/>
      <c r="O789" s="79"/>
      <c r="R789" s="79"/>
      <c r="S789" s="79"/>
      <c r="X789" s="79"/>
      <c r="AD789" s="130"/>
      <c r="AF789" s="106"/>
    </row>
    <row r="790">
      <c r="C790" s="79"/>
      <c r="D790" s="79"/>
      <c r="E790" s="79"/>
      <c r="O790" s="79"/>
      <c r="R790" s="79"/>
      <c r="S790" s="79"/>
      <c r="X790" s="79"/>
      <c r="AD790" s="130"/>
      <c r="AF790" s="106"/>
    </row>
    <row r="791">
      <c r="C791" s="79"/>
      <c r="D791" s="79"/>
      <c r="E791" s="79"/>
      <c r="O791" s="79"/>
      <c r="R791" s="79"/>
      <c r="S791" s="79"/>
      <c r="X791" s="79"/>
      <c r="AD791" s="130"/>
      <c r="AF791" s="106"/>
    </row>
    <row r="792">
      <c r="C792" s="79"/>
      <c r="D792" s="79"/>
      <c r="E792" s="79"/>
      <c r="O792" s="79"/>
      <c r="R792" s="79"/>
      <c r="S792" s="79"/>
      <c r="X792" s="79"/>
      <c r="AD792" s="130"/>
      <c r="AF792" s="106"/>
    </row>
    <row r="793">
      <c r="C793" s="79"/>
      <c r="D793" s="79"/>
      <c r="E793" s="79"/>
      <c r="O793" s="79"/>
      <c r="R793" s="79"/>
      <c r="S793" s="79"/>
      <c r="X793" s="79"/>
      <c r="AD793" s="130"/>
      <c r="AF793" s="106"/>
    </row>
    <row r="794">
      <c r="C794" s="79"/>
      <c r="D794" s="79"/>
      <c r="E794" s="79"/>
      <c r="O794" s="79"/>
      <c r="R794" s="79"/>
      <c r="S794" s="79"/>
      <c r="X794" s="79"/>
      <c r="AD794" s="130"/>
      <c r="AF794" s="106"/>
    </row>
    <row r="795">
      <c r="C795" s="79"/>
      <c r="D795" s="79"/>
      <c r="E795" s="79"/>
      <c r="O795" s="79"/>
      <c r="R795" s="79"/>
      <c r="S795" s="79"/>
      <c r="X795" s="79"/>
      <c r="AD795" s="130"/>
      <c r="AF795" s="106"/>
    </row>
    <row r="796">
      <c r="C796" s="79"/>
      <c r="D796" s="79"/>
      <c r="E796" s="79"/>
      <c r="O796" s="79"/>
      <c r="R796" s="79"/>
      <c r="S796" s="79"/>
      <c r="X796" s="79"/>
      <c r="AD796" s="130"/>
      <c r="AF796" s="106"/>
    </row>
    <row r="797">
      <c r="C797" s="79"/>
      <c r="D797" s="79"/>
      <c r="E797" s="79"/>
      <c r="O797" s="79"/>
      <c r="R797" s="79"/>
      <c r="S797" s="79"/>
      <c r="X797" s="79"/>
      <c r="AD797" s="130"/>
      <c r="AF797" s="106"/>
    </row>
    <row r="798">
      <c r="C798" s="79"/>
      <c r="D798" s="79"/>
      <c r="E798" s="79"/>
      <c r="O798" s="79"/>
      <c r="R798" s="79"/>
      <c r="S798" s="79"/>
      <c r="X798" s="79"/>
      <c r="AD798" s="130"/>
      <c r="AF798" s="106"/>
    </row>
    <row r="799">
      <c r="C799" s="79"/>
      <c r="D799" s="79"/>
      <c r="E799" s="79"/>
      <c r="O799" s="79"/>
      <c r="R799" s="79"/>
      <c r="S799" s="79"/>
      <c r="X799" s="79"/>
      <c r="AD799" s="130"/>
      <c r="AF799" s="106"/>
    </row>
    <row r="800">
      <c r="C800" s="79"/>
      <c r="D800" s="79"/>
      <c r="E800" s="79"/>
      <c r="O800" s="79"/>
      <c r="R800" s="79"/>
      <c r="S800" s="79"/>
      <c r="X800" s="79"/>
      <c r="AD800" s="130"/>
      <c r="AF800" s="106"/>
    </row>
    <row r="801">
      <c r="C801" s="79"/>
      <c r="D801" s="79"/>
      <c r="E801" s="79"/>
      <c r="O801" s="79"/>
      <c r="R801" s="79"/>
      <c r="S801" s="79"/>
      <c r="X801" s="79"/>
      <c r="AD801" s="130"/>
      <c r="AF801" s="106"/>
    </row>
    <row r="802">
      <c r="C802" s="79"/>
      <c r="D802" s="79"/>
      <c r="E802" s="79"/>
      <c r="O802" s="79"/>
      <c r="R802" s="79"/>
      <c r="S802" s="79"/>
      <c r="X802" s="79"/>
      <c r="AD802" s="130"/>
      <c r="AF802" s="106"/>
    </row>
    <row r="803">
      <c r="C803" s="79"/>
      <c r="D803" s="79"/>
      <c r="E803" s="79"/>
      <c r="O803" s="79"/>
      <c r="R803" s="79"/>
      <c r="S803" s="79"/>
      <c r="X803" s="79"/>
      <c r="AD803" s="130"/>
      <c r="AF803" s="106"/>
    </row>
    <row r="804">
      <c r="C804" s="79"/>
      <c r="D804" s="79"/>
      <c r="E804" s="79"/>
      <c r="O804" s="79"/>
      <c r="R804" s="79"/>
      <c r="S804" s="79"/>
      <c r="X804" s="79"/>
      <c r="AD804" s="130"/>
      <c r="AF804" s="106"/>
    </row>
    <row r="805">
      <c r="C805" s="79"/>
      <c r="D805" s="79"/>
      <c r="E805" s="79"/>
      <c r="O805" s="79"/>
      <c r="R805" s="79"/>
      <c r="S805" s="79"/>
      <c r="X805" s="79"/>
      <c r="AD805" s="130"/>
      <c r="AF805" s="106"/>
    </row>
    <row r="806">
      <c r="C806" s="79"/>
      <c r="D806" s="79"/>
      <c r="E806" s="79"/>
      <c r="O806" s="79"/>
      <c r="R806" s="79"/>
      <c r="S806" s="79"/>
      <c r="X806" s="79"/>
      <c r="AD806" s="130"/>
      <c r="AF806" s="106"/>
    </row>
    <row r="807">
      <c r="C807" s="79"/>
      <c r="D807" s="79"/>
      <c r="E807" s="79"/>
      <c r="O807" s="79"/>
      <c r="R807" s="79"/>
      <c r="S807" s="79"/>
      <c r="X807" s="79"/>
      <c r="AD807" s="130"/>
      <c r="AF807" s="106"/>
    </row>
    <row r="808">
      <c r="C808" s="79"/>
      <c r="D808" s="79"/>
      <c r="E808" s="79"/>
      <c r="O808" s="79"/>
      <c r="R808" s="79"/>
      <c r="S808" s="79"/>
      <c r="X808" s="79"/>
      <c r="AD808" s="130"/>
      <c r="AF808" s="106"/>
    </row>
    <row r="809">
      <c r="C809" s="79"/>
      <c r="D809" s="79"/>
      <c r="E809" s="79"/>
      <c r="O809" s="79"/>
      <c r="R809" s="79"/>
      <c r="S809" s="79"/>
      <c r="X809" s="79"/>
      <c r="AD809" s="130"/>
      <c r="AF809" s="106"/>
    </row>
    <row r="810">
      <c r="C810" s="79"/>
      <c r="D810" s="79"/>
      <c r="E810" s="79"/>
      <c r="O810" s="79"/>
      <c r="R810" s="79"/>
      <c r="S810" s="79"/>
      <c r="X810" s="79"/>
      <c r="AD810" s="130"/>
      <c r="AF810" s="106"/>
    </row>
    <row r="811">
      <c r="C811" s="79"/>
      <c r="D811" s="79"/>
      <c r="E811" s="79"/>
      <c r="O811" s="79"/>
      <c r="R811" s="79"/>
      <c r="S811" s="79"/>
      <c r="X811" s="79"/>
      <c r="AD811" s="130"/>
      <c r="AF811" s="106"/>
    </row>
    <row r="812">
      <c r="C812" s="79"/>
      <c r="D812" s="79"/>
      <c r="E812" s="79"/>
      <c r="O812" s="79"/>
      <c r="R812" s="79"/>
      <c r="S812" s="79"/>
      <c r="X812" s="79"/>
      <c r="AD812" s="130"/>
      <c r="AF812" s="106"/>
    </row>
    <row r="813">
      <c r="C813" s="79"/>
      <c r="D813" s="79"/>
      <c r="E813" s="79"/>
      <c r="O813" s="79"/>
      <c r="R813" s="79"/>
      <c r="S813" s="79"/>
      <c r="X813" s="79"/>
      <c r="AD813" s="130"/>
      <c r="AF813" s="106"/>
    </row>
    <row r="814">
      <c r="C814" s="79"/>
      <c r="D814" s="79"/>
      <c r="E814" s="79"/>
      <c r="O814" s="79"/>
      <c r="R814" s="79"/>
      <c r="S814" s="79"/>
      <c r="X814" s="79"/>
      <c r="AD814" s="130"/>
      <c r="AF814" s="106"/>
    </row>
    <row r="815">
      <c r="C815" s="79"/>
      <c r="D815" s="79"/>
      <c r="E815" s="79"/>
      <c r="O815" s="79"/>
      <c r="R815" s="79"/>
      <c r="S815" s="79"/>
      <c r="X815" s="79"/>
      <c r="AD815" s="130"/>
      <c r="AF815" s="106"/>
    </row>
    <row r="816">
      <c r="C816" s="79"/>
      <c r="D816" s="79"/>
      <c r="E816" s="79"/>
      <c r="O816" s="79"/>
      <c r="R816" s="79"/>
      <c r="S816" s="79"/>
      <c r="X816" s="79"/>
      <c r="AD816" s="130"/>
      <c r="AF816" s="106"/>
    </row>
    <row r="817">
      <c r="C817" s="79"/>
      <c r="D817" s="79"/>
      <c r="E817" s="79"/>
      <c r="O817" s="79"/>
      <c r="R817" s="79"/>
      <c r="S817" s="79"/>
      <c r="X817" s="79"/>
      <c r="AD817" s="130"/>
      <c r="AF817" s="106"/>
    </row>
    <row r="818">
      <c r="C818" s="79"/>
      <c r="D818" s="79"/>
      <c r="E818" s="79"/>
      <c r="O818" s="79"/>
      <c r="R818" s="79"/>
      <c r="S818" s="79"/>
      <c r="X818" s="79"/>
      <c r="AD818" s="130"/>
      <c r="AF818" s="106"/>
    </row>
    <row r="819">
      <c r="C819" s="79"/>
      <c r="D819" s="79"/>
      <c r="E819" s="79"/>
      <c r="O819" s="79"/>
      <c r="R819" s="79"/>
      <c r="S819" s="79"/>
      <c r="X819" s="79"/>
      <c r="AD819" s="130"/>
      <c r="AF819" s="106"/>
    </row>
    <row r="820">
      <c r="C820" s="79"/>
      <c r="D820" s="79"/>
      <c r="E820" s="79"/>
      <c r="O820" s="79"/>
      <c r="R820" s="79"/>
      <c r="S820" s="79"/>
      <c r="X820" s="79"/>
      <c r="AD820" s="130"/>
      <c r="AF820" s="106"/>
    </row>
    <row r="821">
      <c r="C821" s="79"/>
      <c r="D821" s="79"/>
      <c r="E821" s="79"/>
      <c r="O821" s="79"/>
      <c r="R821" s="79"/>
      <c r="S821" s="79"/>
      <c r="X821" s="79"/>
      <c r="AD821" s="130"/>
      <c r="AF821" s="106"/>
    </row>
    <row r="822">
      <c r="C822" s="79"/>
      <c r="D822" s="79"/>
      <c r="E822" s="79"/>
      <c r="O822" s="79"/>
      <c r="R822" s="79"/>
      <c r="S822" s="79"/>
      <c r="X822" s="79"/>
      <c r="AD822" s="130"/>
      <c r="AF822" s="106"/>
    </row>
    <row r="823">
      <c r="C823" s="79"/>
      <c r="D823" s="79"/>
      <c r="E823" s="79"/>
      <c r="O823" s="79"/>
      <c r="R823" s="79"/>
      <c r="S823" s="79"/>
      <c r="X823" s="79"/>
      <c r="AD823" s="130"/>
      <c r="AF823" s="106"/>
    </row>
    <row r="824">
      <c r="C824" s="79"/>
      <c r="D824" s="79"/>
      <c r="E824" s="79"/>
      <c r="O824" s="79"/>
      <c r="R824" s="79"/>
      <c r="S824" s="79"/>
      <c r="X824" s="79"/>
      <c r="AD824" s="130"/>
      <c r="AF824" s="106"/>
    </row>
    <row r="825">
      <c r="C825" s="79"/>
      <c r="D825" s="79"/>
      <c r="E825" s="79"/>
      <c r="O825" s="79"/>
      <c r="R825" s="79"/>
      <c r="S825" s="79"/>
      <c r="X825" s="79"/>
      <c r="AD825" s="130"/>
      <c r="AF825" s="106"/>
    </row>
    <row r="826">
      <c r="C826" s="79"/>
      <c r="D826" s="79"/>
      <c r="E826" s="79"/>
      <c r="O826" s="79"/>
      <c r="R826" s="79"/>
      <c r="S826" s="79"/>
      <c r="X826" s="79"/>
      <c r="AD826" s="130"/>
      <c r="AF826" s="106"/>
    </row>
    <row r="827">
      <c r="C827" s="79"/>
      <c r="D827" s="79"/>
      <c r="E827" s="79"/>
      <c r="O827" s="79"/>
      <c r="R827" s="79"/>
      <c r="S827" s="79"/>
      <c r="X827" s="79"/>
      <c r="AD827" s="130"/>
      <c r="AF827" s="106"/>
    </row>
    <row r="828">
      <c r="C828" s="79"/>
      <c r="D828" s="79"/>
      <c r="E828" s="79"/>
      <c r="O828" s="79"/>
      <c r="R828" s="79"/>
      <c r="S828" s="79"/>
      <c r="X828" s="79"/>
      <c r="AD828" s="130"/>
      <c r="AF828" s="106"/>
    </row>
    <row r="829">
      <c r="C829" s="79"/>
      <c r="D829" s="79"/>
      <c r="E829" s="79"/>
      <c r="O829" s="79"/>
      <c r="R829" s="79"/>
      <c r="S829" s="79"/>
      <c r="X829" s="79"/>
      <c r="AD829" s="130"/>
      <c r="AF829" s="106"/>
    </row>
    <row r="830">
      <c r="C830" s="79"/>
      <c r="D830" s="79"/>
      <c r="E830" s="79"/>
      <c r="O830" s="79"/>
      <c r="R830" s="79"/>
      <c r="S830" s="79"/>
      <c r="X830" s="79"/>
      <c r="AD830" s="130"/>
      <c r="AF830" s="106"/>
    </row>
    <row r="831">
      <c r="C831" s="79"/>
      <c r="D831" s="79"/>
      <c r="E831" s="79"/>
      <c r="O831" s="79"/>
      <c r="R831" s="79"/>
      <c r="S831" s="79"/>
      <c r="X831" s="79"/>
      <c r="AD831" s="130"/>
      <c r="AF831" s="106"/>
    </row>
    <row r="832">
      <c r="C832" s="79"/>
      <c r="D832" s="79"/>
      <c r="E832" s="79"/>
      <c r="O832" s="79"/>
      <c r="R832" s="79"/>
      <c r="S832" s="79"/>
      <c r="X832" s="79"/>
      <c r="AD832" s="130"/>
      <c r="AF832" s="106"/>
    </row>
    <row r="833">
      <c r="C833" s="79"/>
      <c r="D833" s="79"/>
      <c r="E833" s="79"/>
      <c r="O833" s="79"/>
      <c r="R833" s="79"/>
      <c r="S833" s="79"/>
      <c r="X833" s="79"/>
      <c r="AD833" s="130"/>
      <c r="AF833" s="106"/>
    </row>
    <row r="834">
      <c r="C834" s="79"/>
      <c r="D834" s="79"/>
      <c r="E834" s="79"/>
      <c r="O834" s="79"/>
      <c r="R834" s="79"/>
      <c r="S834" s="79"/>
      <c r="X834" s="79"/>
      <c r="AD834" s="130"/>
      <c r="AF834" s="106"/>
    </row>
    <row r="835">
      <c r="C835" s="79"/>
      <c r="D835" s="79"/>
      <c r="E835" s="79"/>
      <c r="O835" s="79"/>
      <c r="R835" s="79"/>
      <c r="S835" s="79"/>
      <c r="X835" s="79"/>
      <c r="AD835" s="130"/>
      <c r="AF835" s="106"/>
    </row>
    <row r="836">
      <c r="C836" s="79"/>
      <c r="D836" s="79"/>
      <c r="E836" s="79"/>
      <c r="O836" s="79"/>
      <c r="R836" s="79"/>
      <c r="S836" s="79"/>
      <c r="X836" s="79"/>
      <c r="AD836" s="130"/>
      <c r="AF836" s="106"/>
    </row>
    <row r="837">
      <c r="C837" s="79"/>
      <c r="D837" s="79"/>
      <c r="E837" s="79"/>
      <c r="O837" s="79"/>
      <c r="R837" s="79"/>
      <c r="S837" s="79"/>
      <c r="X837" s="79"/>
      <c r="AD837" s="130"/>
      <c r="AF837" s="106"/>
    </row>
    <row r="838">
      <c r="C838" s="79"/>
      <c r="D838" s="79"/>
      <c r="E838" s="79"/>
      <c r="O838" s="79"/>
      <c r="R838" s="79"/>
      <c r="S838" s="79"/>
      <c r="X838" s="79"/>
      <c r="AD838" s="130"/>
      <c r="AF838" s="106"/>
    </row>
    <row r="839">
      <c r="O839" s="79"/>
      <c r="R839" s="79"/>
      <c r="S839" s="79"/>
      <c r="X839" s="79"/>
      <c r="AD839" s="130"/>
      <c r="AF839" s="106"/>
    </row>
    <row r="840">
      <c r="O840" s="79"/>
      <c r="R840" s="79"/>
      <c r="S840" s="79"/>
      <c r="X840" s="79"/>
      <c r="AD840" s="130"/>
      <c r="AF840" s="106"/>
    </row>
    <row r="841">
      <c r="O841" s="79"/>
      <c r="R841" s="79"/>
      <c r="S841" s="79"/>
      <c r="X841" s="79"/>
      <c r="AD841" s="130"/>
      <c r="AF841" s="106"/>
    </row>
    <row r="842">
      <c r="O842" s="79"/>
      <c r="R842" s="79"/>
      <c r="S842" s="79"/>
      <c r="X842" s="79"/>
      <c r="AD842" s="130"/>
      <c r="AF842" s="106"/>
    </row>
    <row r="843">
      <c r="O843" s="79"/>
      <c r="R843" s="79"/>
      <c r="S843" s="79"/>
      <c r="X843" s="79"/>
      <c r="AD843" s="130"/>
      <c r="AF843" s="106"/>
    </row>
    <row r="844">
      <c r="O844" s="79"/>
      <c r="R844" s="79"/>
      <c r="S844" s="79"/>
      <c r="X844" s="79"/>
      <c r="AD844" s="130"/>
      <c r="AF844" s="106"/>
    </row>
    <row r="845">
      <c r="O845" s="79"/>
      <c r="R845" s="79"/>
      <c r="S845" s="79"/>
      <c r="X845" s="79"/>
      <c r="AD845" s="130"/>
      <c r="AF845" s="106"/>
    </row>
    <row r="846">
      <c r="O846" s="79"/>
      <c r="R846" s="79"/>
      <c r="S846" s="79"/>
      <c r="X846" s="79"/>
      <c r="AD846" s="130"/>
      <c r="AF846" s="106"/>
    </row>
    <row r="847">
      <c r="O847" s="79"/>
      <c r="R847" s="79"/>
      <c r="S847" s="79"/>
      <c r="X847" s="79"/>
      <c r="AD847" s="130"/>
      <c r="AF847" s="106"/>
    </row>
    <row r="848">
      <c r="O848" s="79"/>
      <c r="R848" s="79"/>
      <c r="S848" s="79"/>
      <c r="X848" s="79"/>
      <c r="AD848" s="130"/>
      <c r="AF848" s="106"/>
    </row>
    <row r="849">
      <c r="O849" s="79"/>
      <c r="R849" s="79"/>
      <c r="S849" s="79"/>
      <c r="X849" s="79"/>
      <c r="AD849" s="130"/>
      <c r="AF849" s="106"/>
    </row>
    <row r="850">
      <c r="O850" s="79"/>
      <c r="R850" s="79"/>
      <c r="S850" s="79"/>
      <c r="X850" s="79"/>
      <c r="AD850" s="130"/>
      <c r="AF850" s="106"/>
    </row>
    <row r="851">
      <c r="O851" s="79"/>
      <c r="R851" s="79"/>
      <c r="S851" s="79"/>
      <c r="X851" s="79"/>
      <c r="AD851" s="130"/>
      <c r="AF851" s="106"/>
    </row>
    <row r="852">
      <c r="O852" s="79"/>
      <c r="R852" s="79"/>
      <c r="S852" s="79"/>
      <c r="X852" s="79"/>
      <c r="AD852" s="130"/>
      <c r="AF852" s="106"/>
    </row>
    <row r="853">
      <c r="O853" s="79"/>
      <c r="R853" s="79"/>
      <c r="S853" s="79"/>
      <c r="X853" s="79"/>
      <c r="AD853" s="130"/>
      <c r="AF853" s="106"/>
    </row>
    <row r="854">
      <c r="O854" s="79"/>
      <c r="R854" s="79"/>
      <c r="S854" s="79"/>
      <c r="X854" s="79"/>
      <c r="AD854" s="130"/>
      <c r="AF854" s="106"/>
    </row>
    <row r="855">
      <c r="O855" s="79"/>
      <c r="R855" s="79"/>
      <c r="S855" s="79"/>
      <c r="X855" s="79"/>
      <c r="AD855" s="130"/>
      <c r="AF855" s="106"/>
    </row>
  </sheetData>
  <autoFilter ref="$A$38:$F$95">
    <sortState ref="A38:F95">
      <sortCondition descending="1" sortBy="cellColor" ref="E38:E95" dxfId="1"/>
      <sortCondition descending="1" sortBy="cellColor" ref="C38:C95" dxfId="1"/>
      <sortCondition descending="1" sortBy="cellColor" ref="A38:A95" dxfId="1"/>
    </sortState>
  </autoFilter>
  <mergeCells count="2">
    <mergeCell ref="B35:E35"/>
    <mergeCell ref="H83:N83"/>
  </mergeCells>
  <conditionalFormatting sqref="H39:H51">
    <cfRule type="cellIs" dxfId="2" priority="1" operator="greaterThanOrEqual">
      <formula>1</formula>
    </cfRule>
  </conditionalFormatting>
  <conditionalFormatting sqref="H39:H51">
    <cfRule type="cellIs" dxfId="3" priority="2" operator="lessThanOrEqual">
      <formula>0</formula>
    </cfRule>
  </conditionalFormatting>
  <drawing r:id="rId2"/>
  <legacyDrawing r:id="rId3"/>
  <tableParts count="2">
    <tablePart r:id="rId6"/>
    <tablePart r:id="rId7"/>
  </tableParts>
</worksheet>
</file>

<file path=xl/worksheets/sheet1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16.75"/>
    <col customWidth="1" min="3" max="3" width="27.88"/>
    <col customWidth="1" min="4" max="4" width="25.75"/>
    <col customWidth="1" min="5" max="5" width="20.88"/>
    <col customWidth="1" min="6" max="6" width="26.38"/>
    <col customWidth="1" min="7" max="7" width="25.13"/>
    <col customWidth="1" min="8" max="8" width="24.0"/>
    <col customWidth="1" min="9" max="10" width="15.5"/>
    <col customWidth="1" min="11" max="11" width="16.5"/>
    <col customWidth="1" min="12" max="13" width="15.5"/>
    <col customWidth="1" min="15" max="15" width="27.38"/>
    <col customWidth="1" min="16" max="16" width="11.13"/>
    <col customWidth="1" min="25" max="25" width="14.63"/>
    <col customWidth="1" min="28" max="28" width="19.88"/>
    <col customWidth="1" min="32" max="32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37</v>
      </c>
      <c r="J1" s="2" t="s">
        <v>5</v>
      </c>
      <c r="K1" s="2" t="s">
        <v>303</v>
      </c>
      <c r="L1" s="2" t="s">
        <v>6</v>
      </c>
      <c r="M1" s="2" t="s">
        <v>854</v>
      </c>
      <c r="N1" s="2" t="s">
        <v>49</v>
      </c>
      <c r="O1" s="105" t="s">
        <v>304</v>
      </c>
      <c r="P1" s="2" t="s">
        <v>10</v>
      </c>
      <c r="Q1" s="2" t="s">
        <v>42</v>
      </c>
      <c r="R1" s="105" t="s">
        <v>656</v>
      </c>
      <c r="S1" s="105" t="s">
        <v>9</v>
      </c>
      <c r="T1" s="2" t="s">
        <v>164</v>
      </c>
      <c r="U1" s="105" t="s">
        <v>40</v>
      </c>
      <c r="V1" s="2" t="s">
        <v>83</v>
      </c>
      <c r="W1" s="2" t="s">
        <v>204</v>
      </c>
      <c r="X1" s="105" t="s">
        <v>205</v>
      </c>
      <c r="Y1" s="2" t="s">
        <v>206</v>
      </c>
      <c r="Z1" s="2" t="s">
        <v>305</v>
      </c>
      <c r="AA1" s="2" t="s">
        <v>846</v>
      </c>
      <c r="AB1" s="3" t="s">
        <v>828</v>
      </c>
      <c r="AC1" s="3" t="s">
        <v>13</v>
      </c>
      <c r="AD1" s="3" t="s">
        <v>14</v>
      </c>
      <c r="AE1" s="3" t="s">
        <v>15</v>
      </c>
      <c r="AF1" s="106"/>
      <c r="AG1" s="265" t="s">
        <v>306</v>
      </c>
      <c r="AH1" s="266" t="s">
        <v>80</v>
      </c>
    </row>
    <row r="2">
      <c r="A2" s="74">
        <v>45691.0</v>
      </c>
      <c r="B2" s="93"/>
      <c r="C2" s="93"/>
      <c r="D2" s="93"/>
      <c r="E2" s="93"/>
      <c r="F2" s="93"/>
      <c r="G2" s="93">
        <v>180.0</v>
      </c>
      <c r="H2" s="93"/>
      <c r="I2" s="93"/>
      <c r="J2" s="374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>
        <v>363.0</v>
      </c>
      <c r="AB2" s="386"/>
      <c r="AC2" s="107">
        <f>SUM(B2:Z2)</f>
        <v>180</v>
      </c>
      <c r="AD2" s="158">
        <v>0.0</v>
      </c>
      <c r="AE2" s="59" t="str">
        <f t="shared" ref="AE2:AE8" si="1">AC2/AD2</f>
        <v>#DIV/0!</v>
      </c>
      <c r="AF2" s="109">
        <f t="shared" ref="AF2:AF8" si="2">A2</f>
        <v>45691</v>
      </c>
      <c r="AG2" s="267"/>
      <c r="AH2" s="268">
        <f t="shared" ref="AH2:AH8" si="3">AD2-AG2</f>
        <v>0</v>
      </c>
    </row>
    <row r="3">
      <c r="A3" s="74">
        <f t="shared" ref="A3:A8" si="4">A2+1</f>
        <v>45692</v>
      </c>
      <c r="B3" s="93">
        <f>1646.91-385.55-33.45-27.23-54.77-48.3-55.6-123.01-31.3</f>
        <v>887.7</v>
      </c>
      <c r="C3" s="93">
        <f>630.85-15-26.5-12.5-22.5-78-118</f>
        <v>358.35</v>
      </c>
      <c r="D3" s="93">
        <f>387.07+526.25-210</f>
        <v>703.32</v>
      </c>
      <c r="E3" s="93"/>
      <c r="F3" s="93"/>
      <c r="G3" s="93"/>
      <c r="H3" s="168"/>
      <c r="I3" s="93"/>
      <c r="J3" s="93"/>
      <c r="K3" s="93"/>
      <c r="L3" s="93"/>
      <c r="M3" s="93"/>
      <c r="N3" s="93">
        <v>648.0</v>
      </c>
      <c r="O3" s="93"/>
      <c r="P3" s="93"/>
      <c r="Q3" s="93"/>
      <c r="R3" s="93"/>
      <c r="S3" s="93"/>
      <c r="T3" s="79"/>
      <c r="U3" s="93"/>
      <c r="V3" s="93"/>
      <c r="W3" s="93"/>
      <c r="X3" s="93"/>
      <c r="Y3" s="93"/>
      <c r="Z3" s="326"/>
      <c r="AA3" s="326"/>
      <c r="AB3" s="326"/>
      <c r="AC3" s="107">
        <f t="shared" ref="AC3:AC8" si="5">SUM(B3:Y3)</f>
        <v>2597.37</v>
      </c>
      <c r="AD3" s="158">
        <v>4720.0</v>
      </c>
      <c r="AE3" s="59">
        <f t="shared" si="1"/>
        <v>0.5502902542</v>
      </c>
      <c r="AF3" s="109">
        <f t="shared" si="2"/>
        <v>45692</v>
      </c>
      <c r="AG3" s="267"/>
      <c r="AH3" s="268">
        <f t="shared" si="3"/>
        <v>4720</v>
      </c>
    </row>
    <row r="4">
      <c r="A4" s="74">
        <f t="shared" si="4"/>
        <v>45693</v>
      </c>
      <c r="B4" s="93">
        <f>615.43-39.55-47.2-80.32-26.04-7.28-11.96-49.5</f>
        <v>353.58</v>
      </c>
      <c r="C4" s="93">
        <f>272.8-15-25</f>
        <v>232.8</v>
      </c>
      <c r="D4" s="93"/>
      <c r="E4" s="93"/>
      <c r="F4" s="93"/>
      <c r="G4" s="93"/>
      <c r="H4" s="168"/>
      <c r="I4" s="93"/>
      <c r="J4" s="93">
        <v>2142.35</v>
      </c>
      <c r="K4" s="93"/>
      <c r="L4" s="93"/>
      <c r="M4" s="93"/>
      <c r="N4" s="93"/>
      <c r="O4" s="93"/>
      <c r="P4" s="93"/>
      <c r="Q4" s="93">
        <v>121.85</v>
      </c>
      <c r="R4" s="93"/>
      <c r="S4" s="93"/>
      <c r="T4" s="93"/>
      <c r="U4" s="93"/>
      <c r="V4" s="93"/>
      <c r="W4" s="93"/>
      <c r="X4" s="93"/>
      <c r="Y4" s="101"/>
      <c r="Z4" s="326"/>
      <c r="AA4" s="326"/>
      <c r="AB4" s="326"/>
      <c r="AC4" s="107">
        <f t="shared" si="5"/>
        <v>2850.58</v>
      </c>
      <c r="AD4" s="158">
        <v>6930.0</v>
      </c>
      <c r="AE4" s="59">
        <f t="shared" si="1"/>
        <v>0.4113391053</v>
      </c>
      <c r="AF4" s="109">
        <f t="shared" si="2"/>
        <v>45693</v>
      </c>
      <c r="AG4" s="267"/>
      <c r="AH4" s="268">
        <f t="shared" si="3"/>
        <v>6930</v>
      </c>
    </row>
    <row r="5">
      <c r="A5" s="74">
        <f t="shared" si="4"/>
        <v>45694</v>
      </c>
      <c r="B5" s="93">
        <v>91.04</v>
      </c>
      <c r="C5" s="93">
        <f>597.41-13.3-22.25-84.7+89.95</f>
        <v>567.11</v>
      </c>
      <c r="D5" s="93"/>
      <c r="E5" s="93"/>
      <c r="F5" s="166"/>
      <c r="G5" s="93">
        <v>180.0</v>
      </c>
      <c r="H5" s="79"/>
      <c r="I5" s="160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101"/>
      <c r="Y5" s="101"/>
      <c r="Z5" s="327"/>
      <c r="AA5" s="327"/>
      <c r="AB5" s="93">
        <f>330.5*6</f>
        <v>1983</v>
      </c>
      <c r="AC5" s="7">
        <f t="shared" si="5"/>
        <v>838.15</v>
      </c>
      <c r="AD5" s="380">
        <v>8745</v>
      </c>
      <c r="AE5" s="59">
        <f t="shared" si="1"/>
        <v>0.09584333905</v>
      </c>
      <c r="AF5" s="109">
        <f t="shared" si="2"/>
        <v>45694</v>
      </c>
      <c r="AG5" s="267"/>
      <c r="AH5" s="268">
        <f t="shared" si="3"/>
        <v>8745</v>
      </c>
    </row>
    <row r="6">
      <c r="A6" s="74">
        <f t="shared" si="4"/>
        <v>45695</v>
      </c>
      <c r="B6" s="93">
        <f>659.33-66.68-52.86-23.6-22.32-66.91-25.75-5.92-13.02-27-37.88</f>
        <v>317.39</v>
      </c>
      <c r="C6" s="93">
        <f>387.9-89.9</f>
        <v>298</v>
      </c>
      <c r="D6" s="93"/>
      <c r="E6" s="93"/>
      <c r="F6" s="79"/>
      <c r="G6" s="93"/>
      <c r="H6" s="160"/>
      <c r="I6" s="93"/>
      <c r="J6" s="93"/>
      <c r="K6" s="93"/>
      <c r="L6" s="93"/>
      <c r="M6" s="344"/>
      <c r="N6" s="93"/>
      <c r="O6" s="93"/>
      <c r="P6" s="93"/>
      <c r="Q6" s="93"/>
      <c r="R6" s="93"/>
      <c r="S6" s="374"/>
      <c r="T6" s="93"/>
      <c r="U6" s="93"/>
      <c r="V6" s="93"/>
      <c r="W6" s="93"/>
      <c r="X6" s="93"/>
      <c r="Y6" s="93"/>
      <c r="Z6" s="327"/>
      <c r="AA6" s="327"/>
      <c r="AB6" s="327"/>
      <c r="AC6" s="7">
        <f t="shared" si="5"/>
        <v>615.39</v>
      </c>
      <c r="AD6" s="380">
        <v>13725.0</v>
      </c>
      <c r="AE6" s="59">
        <f t="shared" si="1"/>
        <v>0.04483715847</v>
      </c>
      <c r="AF6" s="109">
        <f t="shared" si="2"/>
        <v>45695</v>
      </c>
      <c r="AG6" s="267"/>
      <c r="AH6" s="268">
        <f t="shared" si="3"/>
        <v>13725</v>
      </c>
    </row>
    <row r="7">
      <c r="A7" s="74">
        <f t="shared" si="4"/>
        <v>45696</v>
      </c>
      <c r="B7" s="93">
        <v>567.04</v>
      </c>
      <c r="C7" s="361"/>
      <c r="D7" s="180">
        <f>724.93-300</f>
        <v>424.93</v>
      </c>
      <c r="E7" s="79"/>
      <c r="F7" s="93"/>
      <c r="G7" s="93">
        <v>180.0</v>
      </c>
      <c r="H7" s="79"/>
      <c r="I7" s="93"/>
      <c r="J7" s="93"/>
      <c r="K7" s="93"/>
      <c r="L7" s="93"/>
      <c r="M7" s="344">
        <f>180+180</f>
        <v>360</v>
      </c>
      <c r="N7" s="93"/>
      <c r="O7" s="93"/>
      <c r="P7" s="93"/>
      <c r="Q7" s="93"/>
      <c r="R7" s="101"/>
      <c r="S7" s="93"/>
      <c r="T7" s="93"/>
      <c r="U7" s="93"/>
      <c r="V7" s="93"/>
      <c r="W7" s="93"/>
      <c r="X7" s="101"/>
      <c r="Y7" s="93"/>
      <c r="Z7" s="327"/>
      <c r="AA7" s="327"/>
      <c r="AB7" s="327"/>
      <c r="AC7" s="7">
        <f t="shared" si="5"/>
        <v>1531.97</v>
      </c>
      <c r="AD7" s="380">
        <v>12106.0</v>
      </c>
      <c r="AE7" s="59">
        <f t="shared" si="1"/>
        <v>0.1265463407</v>
      </c>
      <c r="AF7" s="109">
        <f t="shared" si="2"/>
        <v>45696</v>
      </c>
      <c r="AG7" s="267"/>
      <c r="AH7" s="268">
        <f t="shared" si="3"/>
        <v>12106</v>
      </c>
    </row>
    <row r="8">
      <c r="A8" s="74">
        <f t="shared" si="4"/>
        <v>45697</v>
      </c>
      <c r="B8" s="93"/>
      <c r="C8" s="374"/>
      <c r="D8" s="93"/>
      <c r="E8" s="374"/>
      <c r="F8" s="374"/>
      <c r="G8" s="112"/>
      <c r="H8" s="93"/>
      <c r="I8" s="374"/>
      <c r="J8" s="344">
        <v>731.4</v>
      </c>
      <c r="K8" s="93"/>
      <c r="L8" s="112"/>
      <c r="M8" s="344">
        <v>266.0</v>
      </c>
      <c r="N8" s="374"/>
      <c r="O8" s="93"/>
      <c r="P8" s="93"/>
      <c r="Q8" s="374"/>
      <c r="R8" s="101"/>
      <c r="S8" s="93"/>
      <c r="T8" s="374"/>
      <c r="U8" s="112"/>
      <c r="V8" s="112"/>
      <c r="W8" s="112"/>
      <c r="X8" s="112"/>
      <c r="Y8" s="112"/>
      <c r="Z8" s="93"/>
      <c r="AA8" s="433"/>
      <c r="AB8" s="616"/>
      <c r="AC8" s="7">
        <f t="shared" si="5"/>
        <v>997.4</v>
      </c>
      <c r="AD8" s="380">
        <v>0.0</v>
      </c>
      <c r="AE8" s="59" t="str">
        <f t="shared" si="1"/>
        <v>#DIV/0!</v>
      </c>
      <c r="AF8" s="109">
        <f t="shared" si="2"/>
        <v>45697</v>
      </c>
      <c r="AG8" s="267"/>
      <c r="AH8" s="268">
        <f t="shared" si="3"/>
        <v>0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D9" s="129"/>
      <c r="AF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D10" s="129"/>
      <c r="AF10" s="106"/>
    </row>
    <row r="11">
      <c r="A11" s="165" t="s">
        <v>194</v>
      </c>
      <c r="B11" s="93">
        <f>33.45+27.23+54.77+55.6+123.02+31.3</f>
        <v>325.37</v>
      </c>
      <c r="C11" s="93">
        <f>22.5+12.5+25+89.9</f>
        <v>149.9</v>
      </c>
      <c r="D11" s="93">
        <v>300.0</v>
      </c>
      <c r="E11" s="167"/>
      <c r="F11" s="168"/>
      <c r="G11" s="168"/>
      <c r="H11" s="93"/>
      <c r="I11" s="166"/>
      <c r="J11" s="93"/>
      <c r="K11" s="168"/>
      <c r="L11" s="93"/>
      <c r="M11" s="93"/>
      <c r="N11" s="93"/>
      <c r="O11" s="168"/>
      <c r="P11" s="168"/>
      <c r="Q11" s="168"/>
      <c r="R11" s="168"/>
      <c r="S11" s="168"/>
      <c r="T11" s="168"/>
      <c r="U11" s="168"/>
      <c r="V11" s="1"/>
      <c r="W11" s="168"/>
      <c r="X11" s="168"/>
      <c r="Y11" s="1"/>
      <c r="Z11" s="93"/>
      <c r="AA11" s="1"/>
      <c r="AB11" s="1"/>
      <c r="AC11" s="1"/>
      <c r="AD11" s="169"/>
      <c r="AE11" s="1"/>
      <c r="AF11" s="170"/>
    </row>
    <row r="12">
      <c r="A12" s="165" t="s">
        <v>195</v>
      </c>
      <c r="B12" s="93">
        <f>385.55+195.1+39.55+47.2+26.04+7.28+11.96+37.88+27+13.02+5.92+25.75+66.91+22.32+23.6+52.86+66.68</f>
        <v>1054.62</v>
      </c>
      <c r="C12" s="93">
        <f>118+84.7+13.3+60.74+75.44</f>
        <v>352.18</v>
      </c>
      <c r="D12" s="93">
        <f>59.15</f>
        <v>59.15</v>
      </c>
      <c r="E12" s="93"/>
      <c r="F12" s="374"/>
      <c r="G12" s="93"/>
      <c r="H12" s="79"/>
      <c r="I12" s="93"/>
      <c r="J12" s="93">
        <v>99.0</v>
      </c>
      <c r="K12" s="79"/>
      <c r="L12" s="93"/>
      <c r="M12" s="93"/>
      <c r="N12" s="93">
        <f>72+78</f>
        <v>150</v>
      </c>
      <c r="O12" s="168"/>
      <c r="P12" s="93"/>
      <c r="Q12" s="166"/>
      <c r="R12" s="93"/>
      <c r="S12" s="166"/>
      <c r="T12" s="168"/>
      <c r="U12" s="168"/>
      <c r="V12" s="1"/>
      <c r="W12" s="93"/>
      <c r="X12" s="168"/>
      <c r="Y12" s="1"/>
      <c r="Z12" s="1"/>
      <c r="AA12" s="192"/>
      <c r="AB12" s="1"/>
      <c r="AC12" s="1"/>
      <c r="AD12" s="171"/>
      <c r="AE12" s="1"/>
      <c r="AF12" s="170"/>
    </row>
    <row r="13">
      <c r="A13" s="172" t="s">
        <v>198</v>
      </c>
      <c r="B13" s="93">
        <f>80.32+49.5</f>
        <v>129.82</v>
      </c>
      <c r="C13" s="348"/>
      <c r="D13" s="93"/>
      <c r="E13" s="168"/>
      <c r="F13" s="166"/>
      <c r="G13" s="166"/>
      <c r="H13" s="168"/>
      <c r="I13" s="168"/>
      <c r="J13" s="93"/>
      <c r="K13" s="168"/>
      <c r="L13" s="168"/>
      <c r="M13" s="168"/>
      <c r="N13" s="93"/>
      <c r="O13" s="168"/>
      <c r="P13" s="93"/>
      <c r="Q13" s="168"/>
      <c r="R13" s="168"/>
      <c r="S13" s="168"/>
      <c r="T13" s="1"/>
      <c r="U13" s="1"/>
      <c r="V13" s="1"/>
      <c r="W13" s="168"/>
      <c r="X13" s="168"/>
      <c r="Y13" s="1"/>
      <c r="Z13" s="1"/>
      <c r="AA13" s="1"/>
      <c r="AB13" s="1"/>
      <c r="AC13" s="1"/>
      <c r="AD13" s="174"/>
      <c r="AE13" s="1"/>
      <c r="AF13" s="170"/>
    </row>
    <row r="14">
      <c r="A14" s="91"/>
      <c r="B14" s="375"/>
      <c r="C14" s="79"/>
      <c r="D14" s="79"/>
      <c r="E14" s="79"/>
      <c r="F14" s="78"/>
      <c r="G14" s="78"/>
      <c r="H14" s="79"/>
      <c r="I14" s="78"/>
      <c r="J14" s="79"/>
      <c r="K14" s="79"/>
      <c r="L14" s="79"/>
      <c r="M14" s="79"/>
      <c r="N14" s="79"/>
      <c r="O14" s="79"/>
      <c r="Q14" s="79"/>
      <c r="R14" s="79"/>
      <c r="S14" s="198"/>
      <c r="T14" s="198"/>
      <c r="X14" s="79"/>
      <c r="AD14" s="131"/>
      <c r="AF14" s="106"/>
    </row>
    <row r="15">
      <c r="A15" s="91"/>
      <c r="B15" s="375"/>
      <c r="C15" s="79"/>
      <c r="D15" s="78"/>
      <c r="E15" s="78"/>
      <c r="F15" s="205"/>
      <c r="G15" s="351"/>
      <c r="H15" s="192"/>
      <c r="I15" s="198"/>
      <c r="J15" s="201"/>
      <c r="K15" s="199"/>
      <c r="L15" s="199"/>
      <c r="M15" s="200"/>
      <c r="N15" s="202"/>
      <c r="O15" s="198"/>
      <c r="Q15" s="198"/>
      <c r="R15" s="79"/>
      <c r="S15" s="198"/>
      <c r="T15" s="198"/>
      <c r="U15" s="198"/>
      <c r="V15" s="198"/>
      <c r="W15" s="199"/>
      <c r="X15" s="79"/>
      <c r="AD15" s="131"/>
      <c r="AF15" s="106"/>
    </row>
    <row r="16">
      <c r="A16" s="4" t="s">
        <v>22</v>
      </c>
      <c r="B16" s="11">
        <v>11500.0</v>
      </c>
      <c r="C16" s="79"/>
      <c r="D16" s="78"/>
      <c r="E16" s="78"/>
      <c r="F16" s="587"/>
      <c r="G16" s="175"/>
      <c r="H16" s="192"/>
      <c r="I16" s="203"/>
      <c r="J16" s="203"/>
      <c r="K16" s="203"/>
      <c r="L16" s="203"/>
      <c r="M16" s="198"/>
      <c r="N16" s="200"/>
      <c r="O16" s="198"/>
      <c r="Q16" s="203"/>
      <c r="R16" s="427"/>
      <c r="S16" s="201"/>
      <c r="T16" s="198"/>
      <c r="U16" s="198"/>
      <c r="V16" s="198"/>
      <c r="W16" s="201"/>
      <c r="X16" s="79"/>
      <c r="AD16" s="131"/>
      <c r="AF16" s="106"/>
    </row>
    <row r="17">
      <c r="A17" s="4" t="s">
        <v>23</v>
      </c>
      <c r="B17" s="11">
        <f>SUM(B2:AB8)</f>
        <v>11956.86</v>
      </c>
      <c r="C17" s="192"/>
      <c r="D17" s="78"/>
      <c r="E17" s="78"/>
      <c r="F17" s="213"/>
      <c r="G17" s="351"/>
      <c r="H17" s="192"/>
      <c r="I17" s="175"/>
      <c r="J17" s="203"/>
      <c r="K17" s="203"/>
      <c r="L17" s="203"/>
      <c r="M17" s="201"/>
      <c r="N17" s="201"/>
      <c r="O17" s="198"/>
      <c r="Q17" s="203"/>
      <c r="R17" s="79"/>
      <c r="S17" s="201"/>
      <c r="T17" s="201"/>
      <c r="U17" s="198"/>
      <c r="V17" s="198"/>
      <c r="W17" s="191"/>
      <c r="X17" s="79"/>
      <c r="AD17" s="131"/>
      <c r="AF17" s="106"/>
    </row>
    <row r="18">
      <c r="A18" s="4" t="s">
        <v>24</v>
      </c>
      <c r="B18" s="11">
        <f> SUM(B16-B17)</f>
        <v>-456.86</v>
      </c>
      <c r="C18" s="79"/>
      <c r="D18" s="78"/>
      <c r="E18" s="151"/>
      <c r="F18" s="198"/>
      <c r="G18" s="351"/>
      <c r="H18" s="192"/>
      <c r="I18" s="203"/>
      <c r="J18" s="203"/>
      <c r="K18" s="203"/>
      <c r="L18" s="203"/>
      <c r="M18" s="201"/>
      <c r="N18" s="200"/>
      <c r="O18" s="198"/>
      <c r="Q18" s="203"/>
      <c r="R18" s="79"/>
      <c r="S18" s="210"/>
      <c r="T18" s="210"/>
      <c r="U18" s="198"/>
      <c r="V18" s="198"/>
      <c r="W18" s="203"/>
      <c r="X18" s="79"/>
      <c r="AD18" s="131"/>
      <c r="AF18" s="106"/>
    </row>
    <row r="19">
      <c r="C19" s="79"/>
      <c r="E19" s="588" t="s">
        <v>195</v>
      </c>
      <c r="F19" s="198"/>
      <c r="G19" s="351"/>
      <c r="H19" s="192"/>
      <c r="I19" s="345"/>
      <c r="J19" s="203"/>
      <c r="K19" s="203"/>
      <c r="L19" s="203"/>
      <c r="N19" s="198"/>
      <c r="O19" s="198"/>
      <c r="Q19" s="203"/>
      <c r="R19" s="79"/>
      <c r="S19" s="198"/>
      <c r="T19" s="428"/>
      <c r="U19" s="198"/>
      <c r="V19" s="201"/>
      <c r="W19" s="203"/>
      <c r="X19" s="79"/>
      <c r="AD19" s="131"/>
      <c r="AF19" s="106"/>
    </row>
    <row r="20">
      <c r="A20" s="13" t="s">
        <v>25</v>
      </c>
      <c r="B20" s="14">
        <f>SUM(AD2:AD8)</f>
        <v>46226</v>
      </c>
      <c r="C20" s="79"/>
      <c r="D20" s="13" t="s">
        <v>724</v>
      </c>
      <c r="E20" s="445">
        <f>sum(B12:AA12)+1364</f>
        <v>3078.95</v>
      </c>
      <c r="F20" s="589"/>
      <c r="G20" s="351"/>
      <c r="H20" s="192"/>
      <c r="I20" s="203"/>
      <c r="J20" s="203"/>
      <c r="K20" s="203"/>
      <c r="L20" s="203"/>
      <c r="M20" s="203"/>
      <c r="N20" s="198"/>
      <c r="O20" s="198"/>
      <c r="Q20" s="203"/>
      <c r="R20" s="79"/>
      <c r="S20" s="198"/>
      <c r="T20" s="198"/>
      <c r="U20" s="198"/>
      <c r="V20" s="198"/>
      <c r="W20" s="203"/>
      <c r="X20" s="79"/>
      <c r="AD20" s="181"/>
      <c r="AF20" s="106"/>
    </row>
    <row r="21">
      <c r="A21" s="13" t="s">
        <v>26</v>
      </c>
      <c r="B21" s="15">
        <f>B17/B20</f>
        <v>0.2586609268</v>
      </c>
      <c r="C21" s="79"/>
      <c r="D21" s="13" t="s">
        <v>25</v>
      </c>
      <c r="E21" s="445">
        <f>1328+2990.5+2272</f>
        <v>6590.5</v>
      </c>
      <c r="F21" s="589"/>
      <c r="G21" s="351"/>
      <c r="H21" s="192"/>
      <c r="I21" s="203"/>
      <c r="J21" s="203"/>
      <c r="K21" s="203"/>
      <c r="L21" s="203"/>
      <c r="M21" s="203"/>
      <c r="N21" s="203"/>
      <c r="O21" s="198"/>
      <c r="Q21" s="203"/>
      <c r="R21" s="79"/>
      <c r="S21" s="198"/>
      <c r="T21" s="198"/>
      <c r="U21" s="198"/>
      <c r="V21" s="198"/>
      <c r="W21" s="203"/>
      <c r="X21" s="79"/>
      <c r="AD21" s="130"/>
      <c r="AF21" s="106"/>
    </row>
    <row r="22">
      <c r="C22" s="79"/>
      <c r="D22" s="448" t="s">
        <v>26</v>
      </c>
      <c r="E22" s="449">
        <f>E20/E21</f>
        <v>0.4671800319</v>
      </c>
      <c r="F22" s="590"/>
      <c r="G22" s="351"/>
      <c r="H22" s="192"/>
      <c r="I22" s="78"/>
      <c r="J22" s="203"/>
      <c r="K22" s="203"/>
      <c r="L22" s="203"/>
      <c r="M22" s="203"/>
      <c r="N22" s="201"/>
      <c r="O22" s="198"/>
      <c r="Q22" s="198"/>
      <c r="R22" s="79"/>
      <c r="S22" s="198"/>
      <c r="T22" s="198"/>
      <c r="U22" s="198"/>
      <c r="V22" s="198"/>
      <c r="W22" s="203"/>
      <c r="X22" s="79"/>
      <c r="AD22" s="182"/>
      <c r="AF22" s="106"/>
    </row>
    <row r="23">
      <c r="C23" s="79"/>
      <c r="D23" s="79"/>
      <c r="E23" s="79"/>
      <c r="F23" s="198"/>
      <c r="G23" s="351"/>
      <c r="H23" s="192"/>
      <c r="I23" s="203"/>
      <c r="J23" s="212"/>
      <c r="K23" s="203"/>
      <c r="L23" s="203"/>
      <c r="M23" s="203"/>
      <c r="N23" s="201"/>
      <c r="O23" s="198"/>
      <c r="Q23" s="198"/>
      <c r="R23" s="79"/>
      <c r="S23" s="198"/>
      <c r="T23" s="198"/>
      <c r="U23" s="198"/>
      <c r="V23" s="198"/>
      <c r="W23" s="203"/>
      <c r="X23" s="79"/>
      <c r="AD23" s="130"/>
      <c r="AF23" s="106"/>
    </row>
    <row r="24">
      <c r="A24" s="16" t="s">
        <v>27</v>
      </c>
      <c r="B24" s="17"/>
      <c r="C24" s="114"/>
      <c r="D24" s="114"/>
      <c r="E24" s="114"/>
      <c r="F24" s="198"/>
      <c r="G24" s="78"/>
      <c r="H24" s="224"/>
      <c r="I24" s="78"/>
      <c r="J24" s="79"/>
      <c r="K24" s="203"/>
      <c r="L24" s="217"/>
      <c r="M24" s="208"/>
      <c r="N24" s="198"/>
      <c r="O24" s="198"/>
      <c r="Q24" s="200"/>
      <c r="R24" s="79"/>
      <c r="S24" s="198"/>
      <c r="T24" s="198"/>
      <c r="U24" s="198"/>
      <c r="V24" s="198"/>
      <c r="W24" s="203"/>
      <c r="X24" s="79"/>
      <c r="AD24" s="130"/>
      <c r="AF24" s="106"/>
    </row>
    <row r="25">
      <c r="A25" s="19" t="s">
        <v>28</v>
      </c>
      <c r="B25" s="20"/>
      <c r="C25" s="116"/>
      <c r="D25" s="116"/>
      <c r="E25" s="116"/>
      <c r="F25" s="198"/>
      <c r="G25" s="212"/>
      <c r="H25" s="213"/>
      <c r="I25" s="224"/>
      <c r="J25" s="78"/>
      <c r="K25" s="203"/>
      <c r="L25" s="203"/>
      <c r="M25" s="209"/>
      <c r="N25" s="201"/>
      <c r="O25" s="198"/>
      <c r="Q25" s="198"/>
      <c r="R25" s="79"/>
      <c r="S25" s="198"/>
      <c r="T25" s="198"/>
      <c r="U25" s="198"/>
      <c r="V25" s="198"/>
      <c r="W25" s="203"/>
      <c r="X25" s="79"/>
      <c r="AD25" s="130"/>
      <c r="AF25" s="106"/>
    </row>
    <row r="26">
      <c r="A26" s="183" t="s">
        <v>29</v>
      </c>
      <c r="B26" s="184" t="s">
        <v>30</v>
      </c>
      <c r="C26" s="183"/>
      <c r="D26" s="183" t="s">
        <v>170</v>
      </c>
      <c r="E26" s="591" t="s">
        <v>171</v>
      </c>
      <c r="F26" s="198"/>
      <c r="G26" s="79"/>
      <c r="H26" s="242"/>
      <c r="I26" s="79"/>
      <c r="J26" s="79"/>
      <c r="K26" s="203"/>
      <c r="L26" s="201"/>
      <c r="M26" s="209"/>
      <c r="N26" s="198"/>
      <c r="O26" s="198"/>
      <c r="Q26" s="198"/>
      <c r="R26" s="79"/>
      <c r="S26" s="198"/>
      <c r="T26" s="198"/>
      <c r="U26" s="198"/>
      <c r="V26" s="198"/>
      <c r="W26" s="203"/>
      <c r="X26" s="79"/>
      <c r="Y26" s="195"/>
      <c r="AD26" s="130"/>
      <c r="AF26" s="106"/>
    </row>
    <row r="27">
      <c r="A27" s="237" t="s">
        <v>939</v>
      </c>
      <c r="B27" s="381">
        <f>+1449.86-724.94-300+1519.49</f>
        <v>1944.41</v>
      </c>
      <c r="C27" s="239"/>
      <c r="D27" s="239"/>
      <c r="E27" s="239"/>
      <c r="F27" s="204"/>
      <c r="O27" s="79"/>
      <c r="R27" s="79"/>
      <c r="S27" s="79"/>
      <c r="X27" s="79"/>
      <c r="AD27" s="130"/>
      <c r="AF27" s="106"/>
    </row>
    <row r="28">
      <c r="A28" s="221" t="s">
        <v>940</v>
      </c>
      <c r="B28" s="341">
        <f>431+746.25</f>
        <v>1177.25</v>
      </c>
      <c r="C28" s="223"/>
      <c r="D28" s="223"/>
      <c r="E28" s="223"/>
      <c r="F28" s="204"/>
      <c r="O28" s="79"/>
      <c r="R28" s="79"/>
      <c r="S28" s="79"/>
      <c r="X28" s="79"/>
      <c r="AD28" s="130"/>
      <c r="AF28" s="106"/>
    </row>
    <row r="29">
      <c r="A29" s="221" t="s">
        <v>111</v>
      </c>
      <c r="B29" s="341">
        <v>633.17</v>
      </c>
      <c r="C29" s="223"/>
      <c r="D29" s="223"/>
      <c r="E29" s="223"/>
      <c r="F29" s="204"/>
      <c r="O29" s="79"/>
      <c r="R29" s="79"/>
      <c r="S29" s="79"/>
      <c r="X29" s="79"/>
      <c r="AD29" s="130"/>
      <c r="AF29" s="106"/>
    </row>
    <row r="30">
      <c r="A30" s="681" t="s">
        <v>941</v>
      </c>
      <c r="B30" s="682">
        <v>874.75</v>
      </c>
      <c r="C30" s="683"/>
      <c r="D30" s="683"/>
      <c r="E30" s="683"/>
      <c r="F30" s="204"/>
      <c r="O30" s="79"/>
      <c r="R30" s="79"/>
      <c r="S30" s="79"/>
      <c r="X30" s="79"/>
      <c r="AD30" s="130"/>
      <c r="AF30" s="106"/>
    </row>
    <row r="31">
      <c r="A31" s="681" t="s">
        <v>942</v>
      </c>
      <c r="B31" s="682">
        <f>311.25+330.05</f>
        <v>641.3</v>
      </c>
      <c r="C31" s="683"/>
      <c r="D31" s="683"/>
      <c r="E31" s="683"/>
      <c r="F31" s="204"/>
      <c r="O31" s="79"/>
      <c r="R31" s="79"/>
      <c r="S31" s="79"/>
      <c r="X31" s="79"/>
      <c r="AD31" s="130"/>
      <c r="AF31" s="106"/>
    </row>
    <row r="32">
      <c r="A32" s="681" t="s">
        <v>943</v>
      </c>
      <c r="B32" s="682">
        <v>379.86</v>
      </c>
      <c r="C32" s="683"/>
      <c r="D32" s="683"/>
      <c r="E32" s="683"/>
      <c r="F32" s="204"/>
      <c r="O32" s="79"/>
      <c r="R32" s="79"/>
      <c r="S32" s="79"/>
      <c r="X32" s="79"/>
      <c r="AD32" s="130"/>
      <c r="AF32" s="106"/>
    </row>
    <row r="33">
      <c r="A33" s="79"/>
      <c r="B33" s="668"/>
      <c r="C33" s="668"/>
      <c r="D33" s="668"/>
      <c r="E33" s="668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669"/>
      <c r="AE33" s="79"/>
      <c r="AF33" s="670"/>
      <c r="AG33" s="79"/>
      <c r="AH33" s="79"/>
      <c r="AI33" s="79"/>
    </row>
    <row r="34">
      <c r="A34" s="274"/>
      <c r="B34" s="275" t="s">
        <v>315</v>
      </c>
      <c r="F34" s="274"/>
      <c r="G34" s="274"/>
      <c r="H34" s="274"/>
      <c r="I34" s="274"/>
      <c r="J34" s="274"/>
      <c r="K34" s="274"/>
      <c r="L34" s="274"/>
      <c r="M34" s="274"/>
      <c r="N34" s="274"/>
      <c r="O34" s="274"/>
      <c r="P34" s="274"/>
      <c r="Q34" s="274"/>
      <c r="R34" s="274"/>
      <c r="S34" s="274"/>
      <c r="T34" s="274"/>
      <c r="U34" s="274"/>
      <c r="V34" s="274"/>
      <c r="W34" s="274"/>
      <c r="X34" s="274"/>
      <c r="Y34" s="274"/>
      <c r="Z34" s="274"/>
      <c r="AA34" s="274"/>
      <c r="AB34" s="274"/>
      <c r="AC34" s="274"/>
      <c r="AD34" s="276"/>
      <c r="AE34" s="274"/>
      <c r="AF34" s="277"/>
      <c r="AG34" s="274"/>
      <c r="AH34" s="274"/>
      <c r="AI34" s="274"/>
    </row>
    <row r="35">
      <c r="A35" s="16" t="s">
        <v>316</v>
      </c>
      <c r="B35" s="17"/>
      <c r="C35" s="114"/>
      <c r="D35" s="114"/>
      <c r="E35" s="115"/>
      <c r="I35" s="455" t="s">
        <v>735</v>
      </c>
      <c r="J35" s="17"/>
      <c r="K35" s="114"/>
      <c r="L35" s="114"/>
      <c r="M35" s="115"/>
      <c r="P35" s="79"/>
      <c r="T35" s="79"/>
      <c r="U35" s="79"/>
      <c r="AE35" s="130"/>
      <c r="AG35" s="106"/>
    </row>
    <row r="36">
      <c r="A36" s="19" t="s">
        <v>317</v>
      </c>
      <c r="B36" s="20"/>
      <c r="C36" s="116"/>
      <c r="D36" s="116"/>
      <c r="E36" s="117"/>
      <c r="I36" s="599" t="s">
        <v>736</v>
      </c>
      <c r="J36" s="20"/>
      <c r="K36" s="116"/>
      <c r="L36" s="116"/>
      <c r="M36" s="117"/>
      <c r="P36" s="79"/>
      <c r="T36" s="79"/>
      <c r="U36" s="79"/>
      <c r="AE36" s="130"/>
      <c r="AG36" s="106"/>
    </row>
    <row r="37">
      <c r="A37" s="278" t="s">
        <v>318</v>
      </c>
      <c r="B37" s="279" t="s">
        <v>319</v>
      </c>
      <c r="C37" s="280" t="s">
        <v>285</v>
      </c>
      <c r="D37" s="280" t="s">
        <v>30</v>
      </c>
      <c r="E37" s="281" t="s">
        <v>320</v>
      </c>
      <c r="F37" s="281" t="s">
        <v>321</v>
      </c>
      <c r="H37" s="600" t="s">
        <v>743</v>
      </c>
      <c r="I37" s="507" t="s">
        <v>318</v>
      </c>
      <c r="J37" s="601" t="s">
        <v>319</v>
      </c>
      <c r="K37" s="507" t="s">
        <v>285</v>
      </c>
      <c r="L37" s="507" t="s">
        <v>737</v>
      </c>
      <c r="M37" s="507" t="s">
        <v>738</v>
      </c>
      <c r="N37" s="507" t="s">
        <v>739</v>
      </c>
      <c r="O37" s="602" t="s">
        <v>740</v>
      </c>
      <c r="P37" s="602" t="s">
        <v>741</v>
      </c>
      <c r="Q37" s="602" t="s">
        <v>320</v>
      </c>
      <c r="R37" s="507"/>
      <c r="S37" s="602" t="s">
        <v>740</v>
      </c>
      <c r="T37" s="602" t="s">
        <v>741</v>
      </c>
      <c r="U37" s="602" t="s">
        <v>320</v>
      </c>
      <c r="V37" s="507"/>
      <c r="W37" s="602" t="s">
        <v>740</v>
      </c>
      <c r="X37" s="602" t="s">
        <v>741</v>
      </c>
      <c r="Y37" s="602" t="s">
        <v>320</v>
      </c>
      <c r="AE37" s="130"/>
      <c r="AG37" s="106"/>
    </row>
    <row r="38">
      <c r="A38" s="289" t="s">
        <v>802</v>
      </c>
      <c r="B38" s="290">
        <v>45595.0</v>
      </c>
      <c r="C38" s="173" t="s">
        <v>325</v>
      </c>
      <c r="D38" s="180">
        <v>817.04</v>
      </c>
      <c r="E38" s="336"/>
      <c r="F38" s="173" t="s">
        <v>830</v>
      </c>
      <c r="H38" s="603">
        <f t="shared" ref="H38:H50" si="6">L38+O38+S38+W38</f>
        <v>0</v>
      </c>
      <c r="I38" s="463">
        <v>607888.0</v>
      </c>
      <c r="J38" s="464">
        <v>45653.0</v>
      </c>
      <c r="K38" s="465" t="s">
        <v>437</v>
      </c>
      <c r="L38" s="466">
        <v>3.0</v>
      </c>
      <c r="M38" s="467">
        <v>1504.57</v>
      </c>
      <c r="N38" s="467">
        <f t="shared" ref="N38:N44" si="7">M38/L38</f>
        <v>501.5233333</v>
      </c>
      <c r="O38" s="652">
        <v>-3.0</v>
      </c>
      <c r="P38" s="622">
        <f t="shared" ref="P38:P43" si="8">O38*N38</f>
        <v>-1504.57</v>
      </c>
      <c r="Q38" s="653">
        <v>45662.0</v>
      </c>
      <c r="R38" s="583"/>
      <c r="S38" s="469"/>
      <c r="T38" s="534"/>
      <c r="U38" s="469"/>
      <c r="V38" s="583"/>
      <c r="W38" s="469"/>
      <c r="X38" s="469"/>
      <c r="Y38" s="469"/>
      <c r="Z38" s="483"/>
      <c r="AA38" s="483"/>
      <c r="AB38" s="483"/>
      <c r="AC38" s="483"/>
      <c r="AD38" s="483"/>
      <c r="AE38" s="492"/>
      <c r="AF38" s="483"/>
      <c r="AG38" s="493"/>
      <c r="AH38" s="483"/>
      <c r="AI38" s="483"/>
    </row>
    <row r="39">
      <c r="A39" s="289" t="s">
        <v>810</v>
      </c>
      <c r="B39" s="290">
        <v>45602.0</v>
      </c>
      <c r="C39" s="173" t="s">
        <v>325</v>
      </c>
      <c r="D39" s="180">
        <v>812.54</v>
      </c>
      <c r="E39" s="336"/>
      <c r="F39" s="173" t="s">
        <v>830</v>
      </c>
      <c r="H39" s="603">
        <f t="shared" si="6"/>
        <v>0</v>
      </c>
      <c r="I39" s="463">
        <v>608100.0</v>
      </c>
      <c r="J39" s="464">
        <v>46022.0</v>
      </c>
      <c r="K39" s="465" t="s">
        <v>437</v>
      </c>
      <c r="L39" s="466">
        <v>9.0</v>
      </c>
      <c r="M39" s="467">
        <f>4305.17</f>
        <v>4305.17</v>
      </c>
      <c r="N39" s="467">
        <f t="shared" si="7"/>
        <v>478.3522222</v>
      </c>
      <c r="O39" s="652">
        <v>-3.0</v>
      </c>
      <c r="P39" s="622">
        <f t="shared" si="8"/>
        <v>-1435.056667</v>
      </c>
      <c r="Q39" s="653">
        <v>45662.0</v>
      </c>
      <c r="R39" s="583"/>
      <c r="S39" s="652">
        <v>-4.0</v>
      </c>
      <c r="T39" s="622">
        <f t="shared" ref="T39:T43" si="9">S39*N39</f>
        <v>-1913.408889</v>
      </c>
      <c r="U39" s="653">
        <v>45669.0</v>
      </c>
      <c r="V39" s="583"/>
      <c r="W39" s="652">
        <v>-2.0</v>
      </c>
      <c r="X39" s="622">
        <f>W39*N39</f>
        <v>-956.7044444</v>
      </c>
      <c r="Y39" s="653">
        <v>45676.0</v>
      </c>
      <c r="AE39" s="130"/>
      <c r="AG39" s="106"/>
    </row>
    <row r="40">
      <c r="A40" s="289" t="s">
        <v>824</v>
      </c>
      <c r="B40" s="290">
        <v>45609.0</v>
      </c>
      <c r="C40" s="173" t="s">
        <v>325</v>
      </c>
      <c r="D40" s="180">
        <v>829.32</v>
      </c>
      <c r="E40" s="336"/>
      <c r="F40" s="173" t="s">
        <v>830</v>
      </c>
      <c r="H40" s="603">
        <f t="shared" si="6"/>
        <v>0</v>
      </c>
      <c r="I40" s="463">
        <v>609641.0</v>
      </c>
      <c r="J40" s="464">
        <v>45665.0</v>
      </c>
      <c r="K40" s="465" t="s">
        <v>437</v>
      </c>
      <c r="L40" s="466">
        <v>6.0</v>
      </c>
      <c r="M40" s="467">
        <v>2782.71</v>
      </c>
      <c r="N40" s="467">
        <f t="shared" si="7"/>
        <v>463.785</v>
      </c>
      <c r="O40" s="652">
        <v>-5.0</v>
      </c>
      <c r="P40" s="622">
        <f t="shared" si="8"/>
        <v>-2318.925</v>
      </c>
      <c r="Q40" s="653">
        <v>45676.0</v>
      </c>
      <c r="R40" s="583"/>
      <c r="S40" s="652">
        <v>-1.0</v>
      </c>
      <c r="T40" s="622">
        <f t="shared" si="9"/>
        <v>-463.785</v>
      </c>
      <c r="U40" s="653">
        <v>45676.0</v>
      </c>
      <c r="V40" s="583"/>
      <c r="W40" s="469"/>
      <c r="X40" s="469"/>
      <c r="Y40" s="469"/>
      <c r="AE40" s="130"/>
      <c r="AG40" s="106"/>
    </row>
    <row r="41">
      <c r="A41" s="289" t="s">
        <v>831</v>
      </c>
      <c r="B41" s="290">
        <v>45616.0</v>
      </c>
      <c r="C41" s="173" t="s">
        <v>325</v>
      </c>
      <c r="D41" s="180">
        <v>821.53</v>
      </c>
      <c r="E41" s="336"/>
      <c r="F41" s="173" t="s">
        <v>830</v>
      </c>
      <c r="H41" s="603">
        <f t="shared" si="6"/>
        <v>0</v>
      </c>
      <c r="I41" s="463">
        <v>611034.0</v>
      </c>
      <c r="J41" s="464">
        <v>45672.0</v>
      </c>
      <c r="K41" s="465" t="s">
        <v>437</v>
      </c>
      <c r="L41" s="466">
        <v>6.0</v>
      </c>
      <c r="M41" s="467">
        <v>2892.55</v>
      </c>
      <c r="N41" s="467">
        <f t="shared" si="7"/>
        <v>482.0916667</v>
      </c>
      <c r="O41" s="652">
        <v>-4.0</v>
      </c>
      <c r="P41" s="622">
        <f t="shared" si="8"/>
        <v>-1928.366667</v>
      </c>
      <c r="Q41" s="653">
        <v>45683.0</v>
      </c>
      <c r="R41" s="583"/>
      <c r="S41" s="652">
        <v>-2.0</v>
      </c>
      <c r="T41" s="622">
        <f t="shared" si="9"/>
        <v>-964.1833333</v>
      </c>
      <c r="U41" s="653">
        <v>45676.0</v>
      </c>
      <c r="V41" s="583"/>
      <c r="W41" s="469"/>
      <c r="X41" s="469"/>
      <c r="Y41" s="469"/>
      <c r="AE41" s="130"/>
      <c r="AG41" s="106"/>
    </row>
    <row r="42">
      <c r="A42" s="289" t="s">
        <v>875</v>
      </c>
      <c r="B42" s="290">
        <v>45673.0</v>
      </c>
      <c r="C42" s="173" t="s">
        <v>325</v>
      </c>
      <c r="D42" s="180">
        <v>805.36</v>
      </c>
      <c r="E42" s="336"/>
      <c r="F42" s="173"/>
      <c r="H42" s="603">
        <f t="shared" si="6"/>
        <v>0</v>
      </c>
      <c r="I42" s="463">
        <v>612376.0</v>
      </c>
      <c r="J42" s="464">
        <v>45679.0</v>
      </c>
      <c r="K42" s="465" t="s">
        <v>437</v>
      </c>
      <c r="L42" s="466">
        <v>6.0</v>
      </c>
      <c r="M42" s="467">
        <v>2661.57</v>
      </c>
      <c r="N42" s="467">
        <f t="shared" si="7"/>
        <v>443.595</v>
      </c>
      <c r="O42" s="652">
        <v>-5.0</v>
      </c>
      <c r="P42" s="622">
        <f t="shared" si="8"/>
        <v>-2217.975</v>
      </c>
      <c r="Q42" s="653">
        <v>45690.0</v>
      </c>
      <c r="R42" s="583"/>
      <c r="S42" s="652">
        <v>-1.0</v>
      </c>
      <c r="T42" s="622">
        <f t="shared" si="9"/>
        <v>-443.595</v>
      </c>
      <c r="U42" s="653">
        <v>45690.0</v>
      </c>
      <c r="V42" s="583"/>
      <c r="W42" s="469"/>
      <c r="X42" s="469"/>
      <c r="Y42" s="469"/>
      <c r="AE42" s="130"/>
      <c r="AG42" s="106"/>
    </row>
    <row r="43">
      <c r="A43" s="289" t="s">
        <v>876</v>
      </c>
      <c r="B43" s="290">
        <v>45675.0</v>
      </c>
      <c r="C43" s="173" t="s">
        <v>325</v>
      </c>
      <c r="D43" s="180">
        <v>1624.49</v>
      </c>
      <c r="E43" s="336"/>
      <c r="F43" s="173"/>
      <c r="H43" s="610">
        <f t="shared" si="6"/>
        <v>1</v>
      </c>
      <c r="I43" s="463">
        <v>613778.0</v>
      </c>
      <c r="J43" s="464">
        <v>45686.0</v>
      </c>
      <c r="K43" s="465" t="s">
        <v>437</v>
      </c>
      <c r="L43" s="466">
        <v>6.0</v>
      </c>
      <c r="M43" s="467">
        <v>2728.75</v>
      </c>
      <c r="N43" s="467">
        <f t="shared" si="7"/>
        <v>454.7916667</v>
      </c>
      <c r="O43" s="360">
        <v>-3.0</v>
      </c>
      <c r="P43" s="613">
        <f t="shared" si="8"/>
        <v>-1364.375</v>
      </c>
      <c r="Q43" s="359">
        <v>45697.0</v>
      </c>
      <c r="R43" s="615"/>
      <c r="S43" s="46">
        <v>-2.0</v>
      </c>
      <c r="T43" s="613">
        <f t="shared" si="9"/>
        <v>-909.5833333</v>
      </c>
      <c r="U43" s="359">
        <v>45697.0</v>
      </c>
      <c r="V43" s="615"/>
      <c r="W43" s="469"/>
      <c r="X43" s="469"/>
      <c r="Y43" s="469"/>
      <c r="AE43" s="130"/>
      <c r="AG43" s="106"/>
    </row>
    <row r="44">
      <c r="A44" s="289" t="s">
        <v>888</v>
      </c>
      <c r="B44" s="290">
        <v>45680.0</v>
      </c>
      <c r="C44" s="173" t="s">
        <v>325</v>
      </c>
      <c r="D44" s="180">
        <v>227.93</v>
      </c>
      <c r="E44" s="336"/>
      <c r="F44" s="173"/>
      <c r="H44" s="610">
        <f t="shared" si="6"/>
        <v>6</v>
      </c>
      <c r="I44" s="463">
        <v>615515.0</v>
      </c>
      <c r="J44" s="464">
        <v>45694.0</v>
      </c>
      <c r="K44" s="465" t="s">
        <v>437</v>
      </c>
      <c r="L44" s="466">
        <v>6.0</v>
      </c>
      <c r="M44" s="467">
        <v>2714.35</v>
      </c>
      <c r="N44" s="467">
        <f t="shared" si="7"/>
        <v>452.3916667</v>
      </c>
      <c r="O44" s="489"/>
      <c r="P44" s="488"/>
      <c r="Q44" s="604"/>
      <c r="R44" s="583"/>
      <c r="S44" s="469"/>
      <c r="T44" s="534"/>
      <c r="U44" s="469"/>
      <c r="V44" s="583"/>
      <c r="W44" s="469"/>
      <c r="X44" s="469"/>
      <c r="Y44" s="469"/>
      <c r="AE44" s="130"/>
      <c r="AG44" s="106"/>
    </row>
    <row r="45">
      <c r="A45" s="655" t="s">
        <v>892</v>
      </c>
      <c r="B45" s="656">
        <v>45682.0</v>
      </c>
      <c r="C45" s="322" t="s">
        <v>893</v>
      </c>
      <c r="D45" s="323">
        <f>266-266</f>
        <v>0</v>
      </c>
      <c r="E45" s="285"/>
      <c r="F45" s="655" t="s">
        <v>944</v>
      </c>
      <c r="H45" s="603">
        <f t="shared" si="6"/>
        <v>0</v>
      </c>
      <c r="I45" s="463"/>
      <c r="J45" s="464"/>
      <c r="K45" s="465"/>
      <c r="L45" s="466"/>
      <c r="M45" s="467"/>
      <c r="N45" s="467"/>
      <c r="O45" s="489"/>
      <c r="P45" s="488"/>
      <c r="Q45" s="604"/>
      <c r="R45" s="583"/>
      <c r="S45" s="469"/>
      <c r="T45" s="534"/>
      <c r="U45" s="469"/>
      <c r="V45" s="583"/>
      <c r="W45" s="469"/>
      <c r="X45" s="469"/>
      <c r="Y45" s="469"/>
      <c r="AE45" s="130"/>
      <c r="AG45" s="106"/>
    </row>
    <row r="46">
      <c r="A46" s="264" t="s">
        <v>894</v>
      </c>
      <c r="B46" s="639">
        <v>45677.0</v>
      </c>
      <c r="C46" s="166" t="s">
        <v>111</v>
      </c>
      <c r="D46" s="93">
        <v>580.0</v>
      </c>
      <c r="E46" s="285"/>
      <c r="F46" s="264"/>
      <c r="H46" s="603">
        <f t="shared" si="6"/>
        <v>0</v>
      </c>
      <c r="I46" s="463"/>
      <c r="J46" s="464"/>
      <c r="K46" s="465"/>
      <c r="L46" s="466"/>
      <c r="M46" s="467"/>
      <c r="N46" s="467"/>
      <c r="O46" s="489"/>
      <c r="P46" s="488"/>
      <c r="Q46" s="604"/>
      <c r="R46" s="583"/>
      <c r="S46" s="469"/>
      <c r="T46" s="534"/>
      <c r="U46" s="469"/>
      <c r="V46" s="583"/>
      <c r="W46" s="469"/>
      <c r="X46" s="469"/>
      <c r="Y46" s="469"/>
      <c r="AE46" s="130"/>
      <c r="AG46" s="106"/>
    </row>
    <row r="47">
      <c r="A47" s="655" t="s">
        <v>936</v>
      </c>
      <c r="B47" s="656">
        <v>45687.0</v>
      </c>
      <c r="C47" s="322" t="s">
        <v>845</v>
      </c>
      <c r="D47" s="323">
        <v>1304.58</v>
      </c>
      <c r="E47" s="684">
        <f>(D47/2)-424.93</f>
        <v>227.36</v>
      </c>
      <c r="F47" s="264"/>
      <c r="H47" s="603">
        <f t="shared" si="6"/>
        <v>0</v>
      </c>
      <c r="I47" s="463"/>
      <c r="J47" s="464"/>
      <c r="K47" s="465"/>
      <c r="L47" s="466"/>
      <c r="M47" s="467"/>
      <c r="N47" s="467"/>
      <c r="O47" s="489"/>
      <c r="P47" s="488"/>
      <c r="Q47" s="604"/>
      <c r="R47" s="583"/>
      <c r="S47" s="469"/>
      <c r="T47" s="534"/>
      <c r="U47" s="469"/>
      <c r="V47" s="583"/>
      <c r="W47" s="469"/>
      <c r="X47" s="469"/>
      <c r="Y47" s="469"/>
      <c r="AE47" s="130"/>
      <c r="AG47" s="106"/>
    </row>
    <row r="48">
      <c r="A48" s="264" t="s">
        <v>937</v>
      </c>
      <c r="B48" s="639">
        <v>45688.0</v>
      </c>
      <c r="C48" s="166" t="s">
        <v>845</v>
      </c>
      <c r="D48" s="93">
        <v>1535.86</v>
      </c>
      <c r="E48" s="285"/>
      <c r="F48" s="264"/>
      <c r="H48" s="603">
        <f t="shared" si="6"/>
        <v>0</v>
      </c>
      <c r="I48" s="463"/>
      <c r="J48" s="464"/>
      <c r="K48" s="465"/>
      <c r="L48" s="466"/>
      <c r="M48" s="467"/>
      <c r="N48" s="467"/>
      <c r="O48" s="489"/>
      <c r="P48" s="488"/>
      <c r="Q48" s="604"/>
      <c r="R48" s="583"/>
      <c r="S48" s="469"/>
      <c r="T48" s="534"/>
      <c r="U48" s="469"/>
      <c r="V48" s="583"/>
      <c r="W48" s="469"/>
      <c r="X48" s="469"/>
      <c r="Y48" s="469"/>
      <c r="AE48" s="130"/>
      <c r="AG48" s="106"/>
    </row>
    <row r="49">
      <c r="A49" s="655" t="s">
        <v>938</v>
      </c>
      <c r="B49" s="656">
        <v>45689.0</v>
      </c>
      <c r="C49" s="322" t="s">
        <v>608</v>
      </c>
      <c r="D49" s="323">
        <f>731.4-731.4</f>
        <v>0</v>
      </c>
      <c r="E49" s="657"/>
      <c r="F49" s="655" t="s">
        <v>944</v>
      </c>
      <c r="H49" s="603">
        <f t="shared" si="6"/>
        <v>0</v>
      </c>
      <c r="I49" s="463"/>
      <c r="J49" s="464"/>
      <c r="K49" s="465"/>
      <c r="L49" s="466"/>
      <c r="M49" s="467"/>
      <c r="N49" s="467"/>
      <c r="O49" s="489"/>
      <c r="P49" s="488"/>
      <c r="Q49" s="604"/>
      <c r="R49" s="583"/>
      <c r="S49" s="469"/>
      <c r="T49" s="534"/>
      <c r="U49" s="469"/>
      <c r="V49" s="583"/>
      <c r="W49" s="469"/>
      <c r="X49" s="469"/>
      <c r="Y49" s="469"/>
      <c r="AE49" s="130"/>
      <c r="AG49" s="106"/>
    </row>
    <row r="50">
      <c r="A50" s="264">
        <v>570093.0</v>
      </c>
      <c r="B50" s="639">
        <v>45692.0</v>
      </c>
      <c r="C50" s="166" t="s">
        <v>945</v>
      </c>
      <c r="D50" s="93">
        <v>431.0</v>
      </c>
      <c r="E50" s="285"/>
      <c r="F50" s="264"/>
      <c r="H50" s="603">
        <f t="shared" si="6"/>
        <v>0</v>
      </c>
      <c r="I50" s="463"/>
      <c r="J50" s="464"/>
      <c r="K50" s="465"/>
      <c r="L50" s="466"/>
      <c r="M50" s="467"/>
      <c r="N50" s="467"/>
      <c r="O50" s="489"/>
      <c r="P50" s="488"/>
      <c r="Q50" s="604"/>
      <c r="R50" s="583"/>
      <c r="S50" s="469"/>
      <c r="T50" s="534"/>
      <c r="U50" s="469"/>
      <c r="V50" s="583"/>
      <c r="W50" s="469"/>
      <c r="X50" s="469"/>
      <c r="Y50" s="469"/>
      <c r="AE50" s="130"/>
      <c r="AG50" s="106"/>
    </row>
    <row r="51">
      <c r="A51" s="264" t="s">
        <v>946</v>
      </c>
      <c r="B51" s="639">
        <v>45692.0</v>
      </c>
      <c r="C51" s="166" t="s">
        <v>945</v>
      </c>
      <c r="D51" s="93">
        <v>746.25</v>
      </c>
      <c r="E51" s="285"/>
      <c r="F51" s="264"/>
      <c r="P51" s="79"/>
      <c r="T51" s="79"/>
      <c r="U51" s="79"/>
      <c r="AE51" s="130"/>
      <c r="AG51" s="106"/>
    </row>
    <row r="52">
      <c r="A52" s="264" t="s">
        <v>947</v>
      </c>
      <c r="B52" s="639">
        <v>45693.0</v>
      </c>
      <c r="C52" s="166" t="s">
        <v>355</v>
      </c>
      <c r="D52" s="93">
        <f>379.86-15</f>
        <v>364.86</v>
      </c>
      <c r="E52" s="285"/>
      <c r="F52" s="264"/>
      <c r="H52" s="479" t="s">
        <v>287</v>
      </c>
      <c r="I52" s="32" t="s">
        <v>748</v>
      </c>
      <c r="J52" s="479" t="s">
        <v>749</v>
      </c>
      <c r="K52" s="479" t="s">
        <v>750</v>
      </c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AE52" s="130"/>
      <c r="AG52" s="106"/>
    </row>
    <row r="53">
      <c r="A53" s="264" t="s">
        <v>948</v>
      </c>
      <c r="B53" s="639">
        <v>45695.0</v>
      </c>
      <c r="C53" s="166" t="s">
        <v>608</v>
      </c>
      <c r="D53" s="93">
        <v>874.5</v>
      </c>
      <c r="E53" s="285"/>
      <c r="F53" s="264"/>
      <c r="H53" s="286">
        <v>45662.0</v>
      </c>
      <c r="I53" s="32">
        <v>6.0</v>
      </c>
      <c r="J53" s="480">
        <f>P38+P39</f>
        <v>-2939.626667</v>
      </c>
      <c r="K53" s="479" t="s">
        <v>195</v>
      </c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AE53" s="130"/>
      <c r="AG53" s="106"/>
    </row>
    <row r="54">
      <c r="A54" s="264" t="s">
        <v>880</v>
      </c>
      <c r="B54" s="639">
        <v>45673.0</v>
      </c>
      <c r="C54" s="166" t="s">
        <v>881</v>
      </c>
      <c r="D54" s="93">
        <v>660.08</v>
      </c>
      <c r="E54" s="285"/>
      <c r="F54" s="264"/>
      <c r="H54" s="286">
        <v>45669.0</v>
      </c>
      <c r="I54" s="32">
        <v>3.0</v>
      </c>
      <c r="J54" s="480">
        <f>N39*-3</f>
        <v>-1435.056667</v>
      </c>
      <c r="K54" s="479" t="s">
        <v>195</v>
      </c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AE54" s="130"/>
      <c r="AG54" s="106"/>
    </row>
    <row r="55">
      <c r="A55" s="264"/>
      <c r="B55" s="639"/>
      <c r="C55" s="166"/>
      <c r="D55" s="93"/>
      <c r="E55" s="285"/>
      <c r="F55" s="264"/>
      <c r="H55" s="286">
        <v>45669.0</v>
      </c>
      <c r="I55" s="32">
        <v>1.0</v>
      </c>
      <c r="J55" s="480">
        <f>N39*-1</f>
        <v>-478.3522222</v>
      </c>
      <c r="K55" s="479" t="s">
        <v>839</v>
      </c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AE55" s="130"/>
      <c r="AG55" s="106"/>
    </row>
    <row r="56">
      <c r="A56" s="264"/>
      <c r="B56" s="639"/>
      <c r="C56" s="166"/>
      <c r="D56" s="93"/>
      <c r="E56" s="285"/>
      <c r="F56" s="264"/>
      <c r="H56" s="504">
        <v>45676.0</v>
      </c>
      <c r="I56" s="479">
        <v>7.0</v>
      </c>
      <c r="J56" s="505">
        <f>(P40+X39)*-1</f>
        <v>3275.629444</v>
      </c>
      <c r="K56" s="479" t="s">
        <v>195</v>
      </c>
      <c r="M56" s="79"/>
      <c r="N56" s="78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AE56" s="130"/>
      <c r="AG56" s="106"/>
    </row>
    <row r="57">
      <c r="A57" s="264"/>
      <c r="B57" s="639"/>
      <c r="C57" s="166"/>
      <c r="D57" s="93"/>
      <c r="E57" s="285"/>
      <c r="F57" s="264"/>
      <c r="H57" s="504">
        <v>45676.0</v>
      </c>
      <c r="I57" s="479">
        <v>1.0</v>
      </c>
      <c r="J57" s="505">
        <f>T40</f>
        <v>-463.785</v>
      </c>
      <c r="K57" s="479" t="s">
        <v>839</v>
      </c>
      <c r="M57" s="79"/>
      <c r="N57" s="78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AE57" s="130"/>
      <c r="AG57" s="106"/>
    </row>
    <row r="58">
      <c r="A58" s="264"/>
      <c r="B58" s="639"/>
      <c r="C58" s="166"/>
      <c r="D58" s="93"/>
      <c r="E58" s="285"/>
      <c r="F58" s="264"/>
      <c r="H58" s="504">
        <v>45697.0</v>
      </c>
      <c r="I58" s="479">
        <v>5.0</v>
      </c>
      <c r="J58" s="505">
        <f>P43+T43</f>
        <v>-2273.958333</v>
      </c>
      <c r="K58" s="4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Z58" s="625"/>
      <c r="AA58" s="625"/>
      <c r="AB58" s="625"/>
      <c r="AC58" s="625"/>
      <c r="AD58" s="658"/>
      <c r="AE58" s="625"/>
      <c r="AF58" s="659"/>
      <c r="AG58" s="625"/>
    </row>
    <row r="59">
      <c r="A59" s="264"/>
      <c r="B59" s="639"/>
      <c r="C59" s="166"/>
      <c r="D59" s="93"/>
      <c r="E59" s="285"/>
      <c r="F59" s="264"/>
      <c r="H59" s="504"/>
      <c r="I59" s="479"/>
      <c r="J59" s="505"/>
      <c r="K59" s="4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Z59" s="625"/>
      <c r="AA59" s="625"/>
      <c r="AB59" s="625"/>
      <c r="AC59" s="625"/>
      <c r="AD59" s="658"/>
      <c r="AE59" s="625"/>
      <c r="AF59" s="659"/>
      <c r="AG59" s="625"/>
    </row>
    <row r="60">
      <c r="A60" s="264"/>
      <c r="B60" s="639"/>
      <c r="C60" s="166"/>
      <c r="D60" s="93"/>
      <c r="E60" s="285"/>
      <c r="F60" s="264"/>
      <c r="H60" s="584"/>
      <c r="I60" s="585"/>
      <c r="J60" s="586"/>
      <c r="K60" s="585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Z60" s="625"/>
      <c r="AA60" s="625"/>
      <c r="AB60" s="625"/>
      <c r="AC60" s="625"/>
      <c r="AD60" s="658"/>
      <c r="AE60" s="625"/>
      <c r="AF60" s="659"/>
      <c r="AG60" s="625"/>
    </row>
    <row r="61">
      <c r="A61" s="264"/>
      <c r="B61" s="639"/>
      <c r="C61" s="166"/>
      <c r="D61" s="93"/>
      <c r="E61" s="285"/>
      <c r="F61" s="264"/>
      <c r="H61" s="286"/>
      <c r="I61" s="479"/>
      <c r="J61" s="505"/>
      <c r="K61" s="4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Z61" s="625"/>
      <c r="AA61" s="625"/>
      <c r="AB61" s="625"/>
      <c r="AC61" s="625"/>
      <c r="AD61" s="658"/>
      <c r="AE61" s="625"/>
      <c r="AF61" s="659"/>
      <c r="AG61" s="625"/>
    </row>
    <row r="62">
      <c r="A62" s="264"/>
      <c r="B62" s="639"/>
      <c r="C62" s="166"/>
      <c r="D62" s="93"/>
      <c r="E62" s="285"/>
      <c r="F62" s="264"/>
      <c r="H62" s="286"/>
      <c r="I62" s="479"/>
      <c r="J62" s="505"/>
      <c r="K62" s="4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Z62" s="625"/>
      <c r="AA62" s="625"/>
      <c r="AB62" s="625"/>
      <c r="AC62" s="625"/>
      <c r="AD62" s="658"/>
      <c r="AE62" s="625"/>
      <c r="AF62" s="659"/>
      <c r="AG62" s="625"/>
    </row>
    <row r="63">
      <c r="A63" s="264"/>
      <c r="B63" s="639"/>
      <c r="C63" s="166"/>
      <c r="D63" s="93"/>
      <c r="E63" s="285"/>
      <c r="F63" s="264"/>
      <c r="H63" s="286"/>
      <c r="I63" s="479"/>
      <c r="J63" s="479"/>
      <c r="K63" s="4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Z63" s="625"/>
      <c r="AA63" s="625"/>
      <c r="AB63" s="625"/>
      <c r="AC63" s="625"/>
      <c r="AD63" s="658"/>
      <c r="AE63" s="625"/>
      <c r="AF63" s="659"/>
      <c r="AG63" s="625"/>
    </row>
    <row r="64">
      <c r="A64" s="646"/>
      <c r="B64" s="647"/>
      <c r="C64" s="78"/>
      <c r="D64" s="192"/>
      <c r="E64" s="643"/>
      <c r="F64" s="45"/>
      <c r="H64" s="286"/>
      <c r="I64" s="479"/>
      <c r="J64" s="479"/>
      <c r="K64" s="4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Z64" s="625"/>
      <c r="AA64" s="625"/>
      <c r="AB64" s="625"/>
      <c r="AC64" s="625"/>
      <c r="AD64" s="658"/>
      <c r="AE64" s="625"/>
      <c r="AF64" s="659"/>
      <c r="AG64" s="625"/>
    </row>
    <row r="65">
      <c r="A65" s="646"/>
      <c r="B65" s="647"/>
      <c r="C65" s="78"/>
      <c r="D65" s="192"/>
      <c r="E65" s="643"/>
      <c r="F65" s="45"/>
      <c r="H65" s="504"/>
      <c r="I65" s="479"/>
      <c r="J65" s="505"/>
      <c r="K65" s="479"/>
      <c r="M65" s="79"/>
      <c r="N65" s="481"/>
      <c r="O65" s="545"/>
      <c r="P65" s="481"/>
      <c r="Q65" s="481"/>
      <c r="R65" s="545"/>
      <c r="S65" s="545"/>
      <c r="T65" s="481"/>
      <c r="U65" s="481"/>
      <c r="V65" s="481"/>
      <c r="W65" s="481"/>
      <c r="X65" s="545"/>
      <c r="Z65" s="625"/>
      <c r="AA65" s="625"/>
      <c r="AB65" s="625"/>
      <c r="AC65" s="625"/>
      <c r="AD65" s="658"/>
      <c r="AE65" s="625"/>
      <c r="AF65" s="659"/>
      <c r="AG65" s="625"/>
    </row>
    <row r="66">
      <c r="A66" s="646"/>
      <c r="B66" s="647"/>
      <c r="C66" s="78"/>
      <c r="D66" s="192"/>
      <c r="E66" s="643"/>
      <c r="F66" s="45"/>
      <c r="H66" s="286"/>
      <c r="I66" s="479"/>
      <c r="J66" s="479"/>
      <c r="K66" s="479"/>
      <c r="M66" s="79"/>
      <c r="N66" s="545"/>
      <c r="O66" s="545"/>
      <c r="P66" s="545"/>
      <c r="Q66" s="545"/>
      <c r="R66" s="545"/>
      <c r="S66" s="545"/>
      <c r="T66" s="545"/>
      <c r="U66" s="545"/>
      <c r="V66" s="545"/>
      <c r="W66" s="545"/>
      <c r="X66" s="545"/>
      <c r="AD66" s="130"/>
      <c r="AF66" s="106"/>
    </row>
    <row r="67">
      <c r="A67" s="646"/>
      <c r="B67" s="647"/>
      <c r="C67" s="78"/>
      <c r="D67" s="192"/>
      <c r="E67" s="643"/>
      <c r="F67" s="45"/>
      <c r="H67" s="634"/>
      <c r="I67" s="479"/>
      <c r="J67" s="505"/>
      <c r="K67" s="479"/>
      <c r="M67" s="79"/>
      <c r="N67" s="626"/>
      <c r="O67" s="626"/>
      <c r="P67" s="626"/>
      <c r="Q67" s="626"/>
      <c r="R67" s="626"/>
      <c r="S67" s="626"/>
      <c r="T67" s="626"/>
      <c r="U67" s="626"/>
      <c r="V67" s="626"/>
      <c r="W67" s="626"/>
      <c r="X67" s="626"/>
      <c r="AD67" s="130"/>
      <c r="AF67" s="106"/>
    </row>
    <row r="68">
      <c r="A68" s="646"/>
      <c r="B68" s="647"/>
      <c r="C68" s="78"/>
      <c r="D68" s="192"/>
      <c r="E68" s="643"/>
      <c r="F68" s="45"/>
      <c r="H68" s="634"/>
      <c r="I68" s="479"/>
      <c r="J68" s="505"/>
      <c r="K68" s="479"/>
      <c r="L68" s="625"/>
      <c r="M68" s="79"/>
      <c r="N68" s="626"/>
      <c r="O68" s="626"/>
      <c r="P68" s="626"/>
      <c r="Q68" s="626"/>
      <c r="R68" s="626"/>
      <c r="S68" s="626"/>
      <c r="T68" s="626"/>
      <c r="U68" s="626"/>
      <c r="V68" s="626"/>
      <c r="W68" s="626"/>
      <c r="X68" s="626"/>
      <c r="AD68" s="130"/>
      <c r="AF68" s="106"/>
    </row>
    <row r="69">
      <c r="A69" s="646"/>
      <c r="B69" s="647"/>
      <c r="C69" s="78"/>
      <c r="D69" s="192"/>
      <c r="E69" s="643"/>
      <c r="F69" s="45"/>
      <c r="H69" s="479"/>
      <c r="I69" s="481"/>
      <c r="J69" s="481"/>
      <c r="K69" s="481"/>
      <c r="L69" s="625"/>
      <c r="M69" s="79"/>
      <c r="N69" s="626"/>
      <c r="O69" s="626"/>
      <c r="P69" s="626"/>
      <c r="Q69" s="626"/>
      <c r="R69" s="626"/>
      <c r="S69" s="626"/>
      <c r="T69" s="626"/>
      <c r="U69" s="626"/>
      <c r="V69" s="626"/>
      <c r="W69" s="626"/>
      <c r="X69" s="626"/>
      <c r="AD69" s="130"/>
      <c r="AF69" s="106"/>
    </row>
    <row r="70">
      <c r="A70" s="646"/>
      <c r="B70" s="647"/>
      <c r="C70" s="78"/>
      <c r="D70" s="192"/>
      <c r="E70" s="643"/>
      <c r="F70" s="45"/>
      <c r="H70" s="479"/>
      <c r="I70" s="481"/>
      <c r="J70" s="481"/>
      <c r="K70" s="481"/>
      <c r="L70" s="625"/>
      <c r="M70" s="79"/>
      <c r="N70" s="626"/>
      <c r="O70" s="626"/>
      <c r="P70" s="626"/>
      <c r="Q70" s="626"/>
      <c r="R70" s="626"/>
      <c r="S70" s="626"/>
      <c r="T70" s="626"/>
      <c r="U70" s="626"/>
      <c r="V70" s="626"/>
      <c r="W70" s="626"/>
      <c r="X70" s="626"/>
      <c r="AD70" s="130"/>
      <c r="AF70" s="106"/>
    </row>
    <row r="71">
      <c r="A71" s="646"/>
      <c r="B71" s="647"/>
      <c r="C71" s="78"/>
      <c r="D71" s="192"/>
      <c r="E71" s="643"/>
      <c r="F71" s="45"/>
      <c r="H71" s="479"/>
      <c r="I71" s="481"/>
      <c r="J71" s="481"/>
      <c r="K71" s="481"/>
      <c r="L71" s="625"/>
      <c r="M71" s="79"/>
      <c r="N71" s="626"/>
      <c r="O71" s="626"/>
      <c r="P71" s="626"/>
      <c r="Q71" s="626"/>
      <c r="R71" s="626"/>
      <c r="S71" s="626"/>
      <c r="T71" s="626"/>
      <c r="U71" s="626"/>
      <c r="V71" s="626"/>
      <c r="W71" s="626"/>
      <c r="X71" s="626"/>
      <c r="AD71" s="130"/>
      <c r="AF71" s="106"/>
    </row>
    <row r="72">
      <c r="A72" s="646"/>
      <c r="B72" s="647"/>
      <c r="C72" s="78"/>
      <c r="D72" s="192"/>
      <c r="E72" s="643"/>
      <c r="F72" s="45"/>
      <c r="H72" s="479"/>
      <c r="I72" s="481"/>
      <c r="J72" s="481"/>
      <c r="K72" s="481"/>
      <c r="L72" s="625"/>
      <c r="M72" s="79"/>
      <c r="N72" s="626"/>
      <c r="O72" s="626"/>
      <c r="P72" s="626"/>
      <c r="Q72" s="626"/>
      <c r="R72" s="626"/>
      <c r="S72" s="626"/>
      <c r="T72" s="626"/>
      <c r="U72" s="626"/>
      <c r="V72" s="626"/>
      <c r="W72" s="626"/>
      <c r="X72" s="626"/>
      <c r="AD72" s="130"/>
      <c r="AF72" s="106"/>
    </row>
    <row r="73">
      <c r="A73" s="646"/>
      <c r="B73" s="647"/>
      <c r="C73" s="78"/>
      <c r="D73" s="192"/>
      <c r="E73" s="643"/>
      <c r="F73" s="45"/>
      <c r="H73" s="479"/>
      <c r="I73" s="481"/>
      <c r="J73" s="481"/>
      <c r="K73" s="481"/>
      <c r="L73" s="625"/>
      <c r="M73" s="79"/>
      <c r="N73" s="626"/>
      <c r="O73" s="626"/>
      <c r="P73" s="626"/>
      <c r="Q73" s="626"/>
      <c r="R73" s="626"/>
      <c r="S73" s="626"/>
      <c r="T73" s="626"/>
      <c r="U73" s="626"/>
      <c r="V73" s="626"/>
      <c r="W73" s="626"/>
      <c r="X73" s="626"/>
      <c r="AD73" s="130"/>
      <c r="AF73" s="106"/>
    </row>
    <row r="74">
      <c r="A74" s="646"/>
      <c r="B74" s="647"/>
      <c r="C74" s="78"/>
      <c r="D74" s="192"/>
      <c r="E74" s="643"/>
      <c r="F74" s="45"/>
      <c r="H74" s="479"/>
      <c r="I74" s="481"/>
      <c r="J74" s="481"/>
      <c r="K74" s="481"/>
      <c r="L74" s="625"/>
      <c r="M74" s="79"/>
      <c r="N74" s="626"/>
      <c r="O74" s="626"/>
      <c r="P74" s="626"/>
      <c r="Q74" s="626"/>
      <c r="R74" s="626"/>
      <c r="S74" s="626"/>
      <c r="T74" s="626"/>
      <c r="U74" s="626"/>
      <c r="V74" s="626"/>
      <c r="W74" s="626"/>
      <c r="X74" s="626"/>
      <c r="AD74" s="130"/>
      <c r="AF74" s="106"/>
    </row>
    <row r="75">
      <c r="A75" s="646"/>
      <c r="B75" s="647"/>
      <c r="C75" s="78"/>
      <c r="D75" s="192"/>
      <c r="E75" s="643"/>
      <c r="F75" s="45"/>
      <c r="H75" s="479"/>
      <c r="I75" s="481"/>
      <c r="J75" s="481"/>
      <c r="K75" s="481"/>
      <c r="L75" s="625"/>
      <c r="M75" s="79"/>
      <c r="N75" s="626"/>
      <c r="O75" s="626"/>
      <c r="P75" s="626"/>
      <c r="Q75" s="626"/>
      <c r="R75" s="626"/>
      <c r="S75" s="626"/>
      <c r="T75" s="626"/>
      <c r="U75" s="626"/>
      <c r="V75" s="626"/>
      <c r="W75" s="626"/>
      <c r="X75" s="626"/>
      <c r="AD75" s="130"/>
      <c r="AF75" s="106"/>
    </row>
    <row r="76">
      <c r="A76" s="646"/>
      <c r="B76" s="647"/>
      <c r="C76" s="78"/>
      <c r="D76" s="192"/>
      <c r="E76" s="643"/>
      <c r="F76" s="45"/>
      <c r="O76" s="79"/>
      <c r="R76" s="79"/>
      <c r="S76" s="79"/>
      <c r="X76" s="79"/>
      <c r="AD76" s="130"/>
      <c r="AF76" s="106"/>
    </row>
    <row r="77">
      <c r="A77" s="646"/>
      <c r="B77" s="647"/>
      <c r="C77" s="78"/>
      <c r="D77" s="192"/>
      <c r="E77" s="643"/>
      <c r="F77" s="45"/>
      <c r="O77" s="79"/>
      <c r="R77" s="79"/>
      <c r="S77" s="79"/>
      <c r="X77" s="79"/>
      <c r="AD77" s="130"/>
      <c r="AF77" s="106"/>
    </row>
    <row r="78">
      <c r="A78" s="646"/>
      <c r="B78" s="647"/>
      <c r="C78" s="78"/>
      <c r="D78" s="192"/>
      <c r="E78" s="643"/>
      <c r="F78" s="45"/>
      <c r="O78" s="79"/>
      <c r="R78" s="79"/>
      <c r="S78" s="79"/>
      <c r="X78" s="79"/>
      <c r="AD78" s="130"/>
      <c r="AF78" s="106"/>
    </row>
    <row r="79">
      <c r="A79" s="646"/>
      <c r="B79" s="647"/>
      <c r="C79" s="78"/>
      <c r="D79" s="192"/>
      <c r="E79" s="643"/>
      <c r="F79" s="45"/>
      <c r="O79" s="79"/>
      <c r="R79" s="79"/>
      <c r="S79" s="79"/>
      <c r="X79" s="79"/>
      <c r="AD79" s="130"/>
      <c r="AF79" s="106"/>
    </row>
    <row r="80">
      <c r="A80" s="646"/>
      <c r="B80" s="647"/>
      <c r="C80" s="78"/>
      <c r="D80" s="192"/>
      <c r="E80" s="643"/>
      <c r="F80" s="45"/>
      <c r="O80" s="79"/>
      <c r="R80" s="79"/>
      <c r="S80" s="79"/>
      <c r="X80" s="79"/>
      <c r="AD80" s="130"/>
      <c r="AF80" s="106"/>
    </row>
    <row r="81">
      <c r="A81" s="646"/>
      <c r="B81" s="647"/>
      <c r="C81" s="78"/>
      <c r="D81" s="192"/>
      <c r="E81" s="643"/>
      <c r="F81" s="45"/>
      <c r="O81" s="79"/>
      <c r="R81" s="79"/>
      <c r="S81" s="79"/>
      <c r="X81" s="79"/>
      <c r="AD81" s="130"/>
      <c r="AF81" s="106"/>
    </row>
    <row r="82">
      <c r="A82" s="646"/>
      <c r="B82" s="647"/>
      <c r="C82" s="78"/>
      <c r="D82" s="192"/>
      <c r="E82" s="643"/>
      <c r="F82" s="45"/>
      <c r="H82" s="660" t="s">
        <v>895</v>
      </c>
      <c r="O82" s="79"/>
      <c r="R82" s="79"/>
      <c r="S82" s="79"/>
      <c r="X82" s="79"/>
      <c r="AD82" s="130"/>
      <c r="AF82" s="106"/>
    </row>
    <row r="83">
      <c r="A83" s="646"/>
      <c r="B83" s="647"/>
      <c r="C83" s="78"/>
      <c r="D83" s="192"/>
      <c r="E83" s="643"/>
      <c r="F83" s="45"/>
      <c r="H83" s="661"/>
      <c r="I83" s="662"/>
      <c r="J83" s="662"/>
      <c r="K83" s="662"/>
      <c r="L83" s="662"/>
      <c r="M83" s="662"/>
      <c r="N83" s="663"/>
      <c r="O83" s="662"/>
      <c r="R83" s="79"/>
      <c r="S83" s="79"/>
      <c r="X83" s="79"/>
      <c r="AD83" s="130"/>
      <c r="AF83" s="106"/>
    </row>
    <row r="84">
      <c r="A84" s="646"/>
      <c r="B84" s="647"/>
      <c r="C84" s="78"/>
      <c r="D84" s="192"/>
      <c r="E84" s="643"/>
      <c r="F84" s="45"/>
      <c r="H84" s="661"/>
      <c r="I84" s="662"/>
      <c r="J84" s="662"/>
      <c r="K84" s="662"/>
      <c r="L84" s="662"/>
      <c r="M84" s="662"/>
      <c r="N84" s="663"/>
      <c r="O84" s="662"/>
      <c r="R84" s="79"/>
      <c r="S84" s="79"/>
      <c r="X84" s="79"/>
      <c r="AD84" s="130"/>
      <c r="AF84" s="106"/>
    </row>
    <row r="85">
      <c r="A85" s="646"/>
      <c r="B85" s="647"/>
      <c r="C85" s="78"/>
      <c r="D85" s="192"/>
      <c r="E85" s="643"/>
      <c r="F85" s="45"/>
      <c r="H85" s="661"/>
      <c r="I85" s="662"/>
      <c r="J85" s="662"/>
      <c r="K85" s="662"/>
      <c r="L85" s="662"/>
      <c r="M85" s="662"/>
      <c r="N85" s="663"/>
      <c r="O85" s="662"/>
      <c r="R85" s="79"/>
      <c r="S85" s="79"/>
      <c r="X85" s="79"/>
      <c r="AD85" s="130"/>
      <c r="AF85" s="106"/>
    </row>
    <row r="86">
      <c r="A86" s="646"/>
      <c r="B86" s="647"/>
      <c r="C86" s="78"/>
      <c r="D86" s="192"/>
      <c r="E86" s="643"/>
      <c r="F86" s="45"/>
      <c r="H86" s="661"/>
      <c r="I86" s="662"/>
      <c r="J86" s="662"/>
      <c r="K86" s="662"/>
      <c r="L86" s="662"/>
      <c r="M86" s="662"/>
      <c r="N86" s="663"/>
      <c r="O86" s="662"/>
      <c r="R86" s="79"/>
      <c r="S86" s="79"/>
      <c r="X86" s="79"/>
      <c r="AD86" s="130"/>
      <c r="AF86" s="106"/>
    </row>
    <row r="87">
      <c r="C87" s="79"/>
      <c r="D87" s="79"/>
      <c r="E87" s="79"/>
      <c r="H87" s="661"/>
      <c r="I87" s="662"/>
      <c r="J87" s="662"/>
      <c r="K87" s="662"/>
      <c r="L87" s="662"/>
      <c r="M87" s="662"/>
      <c r="N87" s="664"/>
      <c r="O87" s="662"/>
      <c r="R87" s="79"/>
      <c r="S87" s="79"/>
      <c r="X87" s="79"/>
      <c r="AD87" s="130"/>
      <c r="AF87" s="106"/>
    </row>
    <row r="88">
      <c r="C88" s="79"/>
      <c r="D88" s="79"/>
      <c r="E88" s="79"/>
      <c r="H88" s="661"/>
      <c r="I88" s="662"/>
      <c r="J88" s="662"/>
      <c r="K88" s="662"/>
      <c r="L88" s="662"/>
      <c r="M88" s="662"/>
      <c r="N88" s="663"/>
      <c r="O88" s="662"/>
      <c r="R88" s="79"/>
      <c r="S88" s="79"/>
      <c r="X88" s="79"/>
      <c r="AD88" s="130"/>
      <c r="AF88" s="106"/>
    </row>
    <row r="89">
      <c r="C89" s="79"/>
      <c r="D89" s="79"/>
      <c r="E89" s="79"/>
      <c r="H89" s="661"/>
      <c r="I89" s="662"/>
      <c r="J89" s="662"/>
      <c r="K89" s="662"/>
      <c r="L89" s="662"/>
      <c r="M89" s="662"/>
      <c r="N89" s="664"/>
      <c r="O89" s="662"/>
      <c r="R89" s="79"/>
      <c r="S89" s="79"/>
      <c r="X89" s="79"/>
      <c r="AD89" s="130"/>
      <c r="AF89" s="106"/>
    </row>
    <row r="90">
      <c r="C90" s="79"/>
      <c r="D90" s="79"/>
      <c r="E90" s="79"/>
      <c r="H90" s="661"/>
      <c r="I90" s="662"/>
      <c r="J90" s="662"/>
      <c r="K90" s="662"/>
      <c r="L90" s="662"/>
      <c r="M90" s="662"/>
      <c r="N90" s="663"/>
      <c r="O90" s="662"/>
      <c r="R90" s="79"/>
      <c r="S90" s="79"/>
      <c r="X90" s="79"/>
      <c r="AD90" s="130"/>
      <c r="AF90" s="106"/>
    </row>
    <row r="91">
      <c r="C91" s="79"/>
      <c r="D91" s="79"/>
      <c r="E91" s="79"/>
      <c r="H91" s="661"/>
      <c r="I91" s="662"/>
      <c r="J91" s="662"/>
      <c r="K91" s="662"/>
      <c r="L91" s="662"/>
      <c r="M91" s="662"/>
      <c r="N91" s="663"/>
      <c r="O91" s="662"/>
      <c r="R91" s="79"/>
      <c r="S91" s="79"/>
      <c r="X91" s="79"/>
      <c r="AD91" s="130"/>
      <c r="AF91" s="106"/>
    </row>
    <row r="92">
      <c r="C92" s="79"/>
      <c r="D92" s="79"/>
      <c r="E92" s="79"/>
      <c r="H92" s="661"/>
      <c r="I92" s="662"/>
      <c r="J92" s="662"/>
      <c r="K92" s="662"/>
      <c r="L92" s="662"/>
      <c r="M92" s="662"/>
      <c r="N92" s="663"/>
      <c r="O92" s="662"/>
      <c r="R92" s="79"/>
      <c r="S92" s="79"/>
      <c r="X92" s="79"/>
      <c r="AD92" s="130"/>
      <c r="AF92" s="106"/>
    </row>
    <row r="93">
      <c r="C93" s="79"/>
      <c r="D93" s="79"/>
      <c r="E93" s="79"/>
      <c r="H93" s="661"/>
      <c r="I93" s="662"/>
      <c r="J93" s="662"/>
      <c r="K93" s="662"/>
      <c r="L93" s="662"/>
      <c r="M93" s="662"/>
      <c r="N93" s="663"/>
      <c r="O93" s="662"/>
      <c r="R93" s="79"/>
      <c r="S93" s="79"/>
      <c r="X93" s="79"/>
      <c r="AD93" s="130"/>
      <c r="AF93" s="106"/>
    </row>
    <row r="94">
      <c r="C94" s="79"/>
      <c r="D94" s="79"/>
      <c r="E94" s="79"/>
      <c r="H94" s="661"/>
      <c r="I94" s="662"/>
      <c r="J94" s="662"/>
      <c r="K94" s="665"/>
      <c r="L94" s="662"/>
      <c r="M94" s="662"/>
      <c r="N94" s="664"/>
      <c r="O94" s="662"/>
      <c r="R94" s="79"/>
      <c r="S94" s="79"/>
      <c r="X94" s="79"/>
      <c r="AD94" s="130"/>
      <c r="AF94" s="106"/>
    </row>
    <row r="95">
      <c r="C95" s="79"/>
      <c r="D95" s="79"/>
      <c r="E95" s="79"/>
      <c r="H95" s="661"/>
      <c r="I95" s="662"/>
      <c r="J95" s="662"/>
      <c r="K95" s="662"/>
      <c r="L95" s="662"/>
      <c r="M95" s="662"/>
      <c r="N95" s="664"/>
      <c r="O95" s="662"/>
      <c r="R95" s="79"/>
      <c r="S95" s="79"/>
      <c r="X95" s="79"/>
      <c r="AD95" s="130"/>
      <c r="AF95" s="106"/>
    </row>
    <row r="96">
      <c r="C96" s="79"/>
      <c r="D96" s="79"/>
      <c r="E96" s="79"/>
      <c r="H96" s="661"/>
      <c r="I96" s="662"/>
      <c r="J96" s="662"/>
      <c r="K96" s="662"/>
      <c r="L96" s="662"/>
      <c r="M96" s="662"/>
      <c r="N96" s="666"/>
      <c r="O96" s="662"/>
      <c r="R96" s="79"/>
      <c r="S96" s="79"/>
      <c r="X96" s="79"/>
      <c r="AD96" s="130"/>
      <c r="AF96" s="106"/>
    </row>
    <row r="97">
      <c r="C97" s="79"/>
      <c r="D97" s="79"/>
      <c r="E97" s="79"/>
      <c r="H97" s="661"/>
      <c r="I97" s="662"/>
      <c r="J97" s="662"/>
      <c r="K97" s="662"/>
      <c r="L97" s="662"/>
      <c r="M97" s="662"/>
      <c r="N97" s="663"/>
      <c r="O97" s="662"/>
      <c r="R97" s="79"/>
      <c r="S97" s="79"/>
      <c r="X97" s="79"/>
      <c r="AD97" s="130"/>
      <c r="AF97" s="106"/>
    </row>
    <row r="98">
      <c r="C98" s="79"/>
      <c r="D98" s="79"/>
      <c r="E98" s="79"/>
      <c r="H98" s="661"/>
      <c r="I98" s="662"/>
      <c r="J98" s="662"/>
      <c r="K98" s="662"/>
      <c r="L98" s="662"/>
      <c r="M98" s="662"/>
      <c r="N98" s="664"/>
      <c r="O98" s="662"/>
      <c r="R98" s="79"/>
      <c r="S98" s="79"/>
      <c r="X98" s="79"/>
      <c r="AD98" s="130"/>
      <c r="AF98" s="106"/>
    </row>
    <row r="99">
      <c r="C99" s="79"/>
      <c r="D99" s="79"/>
      <c r="E99" s="79"/>
      <c r="H99" s="661"/>
      <c r="I99" s="662"/>
      <c r="J99" s="662"/>
      <c r="K99" s="662"/>
      <c r="L99" s="662"/>
      <c r="M99" s="662"/>
      <c r="N99" s="664"/>
      <c r="O99" s="662"/>
      <c r="R99" s="79"/>
      <c r="S99" s="79"/>
      <c r="X99" s="79"/>
      <c r="AD99" s="130"/>
      <c r="AF99" s="106"/>
    </row>
    <row r="100">
      <c r="C100" s="79"/>
      <c r="D100" s="79"/>
      <c r="E100" s="79"/>
      <c r="H100" s="661"/>
      <c r="I100" s="662"/>
      <c r="J100" s="662"/>
      <c r="K100" s="662"/>
      <c r="L100" s="662"/>
      <c r="M100" s="662"/>
      <c r="N100" s="663"/>
      <c r="O100" s="662"/>
      <c r="R100" s="79"/>
      <c r="S100" s="79"/>
      <c r="X100" s="79"/>
      <c r="AD100" s="130"/>
      <c r="AF100" s="106"/>
    </row>
    <row r="101">
      <c r="C101" s="79"/>
      <c r="D101" s="79"/>
      <c r="E101" s="79"/>
      <c r="H101" s="661"/>
      <c r="I101" s="662"/>
      <c r="J101" s="662"/>
      <c r="K101" s="662"/>
      <c r="L101" s="662"/>
      <c r="M101" s="662"/>
      <c r="N101" s="663"/>
      <c r="O101" s="662"/>
      <c r="R101" s="79"/>
      <c r="S101" s="79"/>
      <c r="X101" s="79"/>
      <c r="AD101" s="130"/>
      <c r="AF101" s="106"/>
    </row>
    <row r="102">
      <c r="C102" s="79"/>
      <c r="D102" s="79"/>
      <c r="E102" s="79"/>
      <c r="H102" s="661"/>
      <c r="I102" s="662"/>
      <c r="J102" s="662"/>
      <c r="K102" s="662"/>
      <c r="L102" s="662"/>
      <c r="M102" s="662"/>
      <c r="N102" s="663"/>
      <c r="O102" s="662"/>
      <c r="R102" s="79"/>
      <c r="S102" s="79"/>
      <c r="X102" s="79"/>
      <c r="AD102" s="130"/>
      <c r="AF102" s="106"/>
    </row>
    <row r="103">
      <c r="C103" s="79"/>
      <c r="D103" s="79"/>
      <c r="E103" s="79"/>
      <c r="H103" s="661"/>
      <c r="I103" s="662"/>
      <c r="J103" s="662"/>
      <c r="K103" s="662"/>
      <c r="L103" s="662"/>
      <c r="M103" s="662"/>
      <c r="N103" s="664"/>
      <c r="O103" s="662"/>
      <c r="R103" s="79"/>
      <c r="S103" s="79"/>
      <c r="X103" s="79"/>
      <c r="AD103" s="130"/>
      <c r="AF103" s="106"/>
    </row>
    <row r="104">
      <c r="C104" s="79"/>
      <c r="D104" s="79"/>
      <c r="E104" s="79"/>
      <c r="H104" s="661"/>
      <c r="I104" s="662"/>
      <c r="J104" s="662"/>
      <c r="K104" s="662"/>
      <c r="L104" s="662"/>
      <c r="M104" s="662"/>
      <c r="N104" s="663"/>
      <c r="O104" s="662"/>
      <c r="R104" s="79"/>
      <c r="S104" s="79"/>
      <c r="X104" s="79"/>
      <c r="AD104" s="130"/>
      <c r="AF104" s="106"/>
    </row>
    <row r="105">
      <c r="C105" s="79"/>
      <c r="D105" s="79"/>
      <c r="E105" s="79"/>
      <c r="H105" s="661"/>
      <c r="I105" s="662"/>
      <c r="J105" s="662"/>
      <c r="K105" s="662"/>
      <c r="L105" s="662"/>
      <c r="M105" s="662"/>
      <c r="N105" s="663"/>
      <c r="O105" s="662"/>
      <c r="R105" s="79"/>
      <c r="S105" s="79"/>
      <c r="X105" s="79"/>
      <c r="AD105" s="130"/>
      <c r="AF105" s="106"/>
    </row>
    <row r="106">
      <c r="C106" s="79"/>
      <c r="D106" s="79"/>
      <c r="E106" s="79"/>
      <c r="H106" s="661"/>
      <c r="I106" s="662"/>
      <c r="J106" s="662"/>
      <c r="K106" s="662"/>
      <c r="L106" s="662"/>
      <c r="M106" s="662"/>
      <c r="N106" s="663"/>
      <c r="O106" s="662"/>
      <c r="R106" s="79"/>
      <c r="S106" s="79"/>
      <c r="X106" s="79"/>
      <c r="AD106" s="130"/>
      <c r="AF106" s="106"/>
    </row>
    <row r="107">
      <c r="C107" s="79"/>
      <c r="D107" s="79"/>
      <c r="E107" s="79"/>
      <c r="H107" s="661"/>
      <c r="I107" s="662"/>
      <c r="J107" s="662"/>
      <c r="K107" s="662"/>
      <c r="L107" s="662"/>
      <c r="M107" s="662"/>
      <c r="N107" s="664"/>
      <c r="O107" s="662"/>
      <c r="R107" s="79"/>
      <c r="S107" s="79"/>
      <c r="X107" s="79"/>
      <c r="AD107" s="130"/>
      <c r="AF107" s="106"/>
    </row>
    <row r="108">
      <c r="C108" s="79"/>
      <c r="D108" s="79"/>
      <c r="E108" s="79"/>
      <c r="H108" s="661"/>
      <c r="I108" s="662"/>
      <c r="J108" s="662"/>
      <c r="K108" s="662"/>
      <c r="L108" s="662"/>
      <c r="M108" s="662"/>
      <c r="N108" s="664"/>
      <c r="O108" s="662"/>
      <c r="R108" s="79"/>
      <c r="S108" s="79"/>
      <c r="X108" s="79"/>
      <c r="AD108" s="130"/>
      <c r="AF108" s="106"/>
    </row>
    <row r="109">
      <c r="C109" s="79"/>
      <c r="D109" s="79"/>
      <c r="E109" s="79"/>
      <c r="H109" s="661"/>
      <c r="I109" s="662"/>
      <c r="J109" s="662"/>
      <c r="K109" s="662"/>
      <c r="L109" s="662"/>
      <c r="M109" s="662"/>
      <c r="N109" s="664"/>
      <c r="O109" s="662"/>
      <c r="R109" s="79"/>
      <c r="S109" s="79"/>
      <c r="X109" s="79"/>
      <c r="AD109" s="130"/>
      <c r="AF109" s="106"/>
    </row>
    <row r="110">
      <c r="C110" s="79"/>
      <c r="D110" s="79"/>
      <c r="E110" s="79"/>
      <c r="H110" s="661"/>
      <c r="I110" s="662"/>
      <c r="J110" s="662"/>
      <c r="K110" s="662"/>
      <c r="L110" s="662"/>
      <c r="M110" s="662"/>
      <c r="N110" s="664"/>
      <c r="O110" s="662"/>
      <c r="R110" s="79"/>
      <c r="S110" s="79"/>
      <c r="X110" s="79"/>
      <c r="AD110" s="130"/>
      <c r="AF110" s="106"/>
    </row>
    <row r="111">
      <c r="C111" s="79"/>
      <c r="D111" s="79"/>
      <c r="E111" s="79"/>
      <c r="N111" s="355"/>
      <c r="O111" s="79"/>
      <c r="R111" s="79"/>
      <c r="S111" s="79"/>
      <c r="X111" s="79"/>
      <c r="AD111" s="130"/>
      <c r="AF111" s="106"/>
    </row>
    <row r="112">
      <c r="C112" s="79"/>
      <c r="D112" s="79"/>
      <c r="E112" s="79"/>
      <c r="O112" s="79"/>
      <c r="R112" s="79"/>
      <c r="S112" s="79"/>
      <c r="X112" s="79"/>
      <c r="AD112" s="130"/>
      <c r="AF112" s="106"/>
    </row>
    <row r="113">
      <c r="C113" s="79"/>
      <c r="D113" s="79"/>
      <c r="E113" s="79"/>
      <c r="O113" s="79"/>
      <c r="R113" s="79"/>
      <c r="S113" s="79"/>
      <c r="X113" s="79"/>
      <c r="AD113" s="130"/>
      <c r="AF113" s="106"/>
    </row>
    <row r="114">
      <c r="C114" s="79"/>
      <c r="D114" s="79"/>
      <c r="E114" s="79"/>
      <c r="O114" s="79"/>
      <c r="R114" s="79"/>
      <c r="S114" s="79"/>
      <c r="X114" s="79"/>
      <c r="AD114" s="130"/>
      <c r="AF114" s="106"/>
    </row>
    <row r="115">
      <c r="C115" s="79"/>
      <c r="D115" s="79"/>
      <c r="E115" s="79"/>
      <c r="H115" s="661"/>
      <c r="I115" s="662"/>
      <c r="J115" s="662"/>
      <c r="K115" s="662"/>
      <c r="L115" s="662"/>
      <c r="M115" s="662"/>
      <c r="N115" s="663"/>
      <c r="O115" s="79"/>
      <c r="R115" s="79"/>
      <c r="S115" s="79"/>
      <c r="X115" s="79"/>
      <c r="AD115" s="130"/>
      <c r="AF115" s="106"/>
    </row>
    <row r="116">
      <c r="C116" s="79"/>
      <c r="D116" s="79"/>
      <c r="E116" s="79"/>
      <c r="O116" s="79"/>
      <c r="R116" s="79"/>
      <c r="S116" s="79"/>
      <c r="X116" s="79"/>
      <c r="AD116" s="130"/>
      <c r="AF116" s="106"/>
    </row>
    <row r="117">
      <c r="C117" s="79"/>
      <c r="D117" s="79"/>
      <c r="E117" s="79"/>
      <c r="O117" s="79"/>
      <c r="R117" s="79"/>
      <c r="S117" s="79"/>
      <c r="X117" s="79"/>
      <c r="AD117" s="130"/>
      <c r="AF117" s="106"/>
    </row>
    <row r="118">
      <c r="C118" s="79"/>
      <c r="D118" s="79"/>
      <c r="E118" s="79"/>
      <c r="O118" s="79"/>
      <c r="R118" s="79"/>
      <c r="S118" s="79"/>
      <c r="X118" s="79"/>
      <c r="AD118" s="130"/>
      <c r="AF118" s="106"/>
    </row>
    <row r="119">
      <c r="C119" s="79"/>
      <c r="D119" s="79"/>
      <c r="E119" s="79"/>
      <c r="O119" s="79"/>
      <c r="R119" s="79"/>
      <c r="S119" s="79"/>
      <c r="X119" s="79"/>
      <c r="AD119" s="130"/>
      <c r="AF119" s="106"/>
    </row>
    <row r="120">
      <c r="C120" s="79"/>
      <c r="D120" s="79"/>
      <c r="E120" s="79"/>
      <c r="O120" s="79"/>
      <c r="R120" s="79"/>
      <c r="S120" s="79"/>
      <c r="X120" s="79"/>
      <c r="AD120" s="130"/>
      <c r="AF120" s="106"/>
    </row>
    <row r="121">
      <c r="C121" s="79"/>
      <c r="D121" s="79"/>
      <c r="E121" s="79"/>
      <c r="O121" s="79"/>
      <c r="R121" s="79"/>
      <c r="S121" s="79"/>
      <c r="X121" s="79"/>
      <c r="AD121" s="130"/>
      <c r="AF121" s="106"/>
    </row>
    <row r="122">
      <c r="C122" s="79"/>
      <c r="D122" s="79"/>
      <c r="E122" s="79"/>
      <c r="O122" s="79"/>
      <c r="R122" s="79"/>
      <c r="S122" s="79"/>
      <c r="X122" s="79"/>
      <c r="AD122" s="130"/>
      <c r="AF122" s="106"/>
    </row>
    <row r="123">
      <c r="C123" s="79"/>
      <c r="D123" s="79"/>
      <c r="E123" s="79"/>
      <c r="O123" s="79"/>
      <c r="R123" s="79"/>
      <c r="S123" s="79"/>
      <c r="X123" s="79"/>
      <c r="AD123" s="130"/>
      <c r="AF123" s="106"/>
    </row>
    <row r="124">
      <c r="C124" s="79"/>
      <c r="D124" s="79"/>
      <c r="E124" s="79"/>
      <c r="O124" s="79"/>
      <c r="R124" s="79"/>
      <c r="S124" s="79"/>
      <c r="X124" s="79"/>
      <c r="AD124" s="130"/>
      <c r="AF124" s="106"/>
    </row>
    <row r="125">
      <c r="C125" s="79"/>
      <c r="D125" s="79"/>
      <c r="E125" s="79"/>
      <c r="O125" s="79"/>
      <c r="R125" s="79"/>
      <c r="S125" s="79"/>
      <c r="X125" s="79"/>
      <c r="AD125" s="130"/>
      <c r="AF125" s="106"/>
    </row>
    <row r="126">
      <c r="C126" s="79"/>
      <c r="D126" s="79"/>
      <c r="E126" s="79"/>
      <c r="O126" s="79"/>
      <c r="R126" s="79"/>
      <c r="S126" s="79"/>
      <c r="X126" s="79"/>
      <c r="AD126" s="130"/>
      <c r="AF126" s="106"/>
    </row>
    <row r="127">
      <c r="C127" s="79"/>
      <c r="D127" s="79"/>
      <c r="E127" s="79"/>
      <c r="O127" s="79"/>
      <c r="R127" s="79"/>
      <c r="S127" s="79"/>
      <c r="X127" s="79"/>
      <c r="AD127" s="130"/>
      <c r="AF127" s="106"/>
    </row>
    <row r="128">
      <c r="C128" s="79"/>
      <c r="D128" s="79"/>
      <c r="E128" s="79"/>
      <c r="O128" s="79"/>
      <c r="R128" s="79"/>
      <c r="S128" s="79"/>
      <c r="X128" s="79"/>
      <c r="AD128" s="130"/>
      <c r="AF128" s="106"/>
    </row>
    <row r="129">
      <c r="C129" s="79"/>
      <c r="D129" s="79"/>
      <c r="E129" s="79"/>
      <c r="O129" s="79"/>
      <c r="R129" s="79"/>
      <c r="S129" s="79"/>
      <c r="X129" s="79"/>
      <c r="AD129" s="130"/>
      <c r="AF129" s="106"/>
    </row>
    <row r="130">
      <c r="C130" s="79"/>
      <c r="D130" s="79"/>
      <c r="E130" s="79"/>
      <c r="O130" s="79"/>
      <c r="R130" s="79"/>
      <c r="S130" s="79"/>
      <c r="X130" s="79"/>
      <c r="AD130" s="130"/>
      <c r="AF130" s="106"/>
    </row>
    <row r="131">
      <c r="C131" s="79"/>
      <c r="D131" s="79"/>
      <c r="E131" s="79"/>
      <c r="O131" s="79"/>
      <c r="R131" s="79"/>
      <c r="S131" s="79"/>
      <c r="X131" s="79"/>
      <c r="AD131" s="130"/>
      <c r="AF131" s="106"/>
    </row>
    <row r="132">
      <c r="C132" s="79"/>
      <c r="D132" s="79"/>
      <c r="E132" s="79"/>
      <c r="O132" s="79"/>
      <c r="R132" s="79"/>
      <c r="S132" s="79"/>
      <c r="X132" s="79"/>
      <c r="AD132" s="130"/>
      <c r="AF132" s="106"/>
    </row>
    <row r="133">
      <c r="C133" s="79"/>
      <c r="D133" s="79"/>
      <c r="E133" s="79"/>
      <c r="O133" s="79"/>
      <c r="R133" s="79"/>
      <c r="S133" s="79"/>
      <c r="X133" s="79"/>
      <c r="AD133" s="130"/>
      <c r="AF133" s="106"/>
    </row>
    <row r="134">
      <c r="C134" s="79"/>
      <c r="D134" s="79"/>
      <c r="E134" s="79"/>
      <c r="O134" s="79"/>
      <c r="R134" s="79"/>
      <c r="S134" s="79"/>
      <c r="X134" s="79"/>
      <c r="AD134" s="130"/>
      <c r="AF134" s="106"/>
    </row>
    <row r="135">
      <c r="C135" s="79"/>
      <c r="D135" s="79"/>
      <c r="E135" s="79"/>
      <c r="O135" s="79"/>
      <c r="R135" s="79"/>
      <c r="S135" s="79"/>
      <c r="X135" s="79"/>
      <c r="AD135" s="130"/>
      <c r="AF135" s="106"/>
    </row>
    <row r="136">
      <c r="C136" s="79"/>
      <c r="D136" s="79"/>
      <c r="E136" s="79"/>
      <c r="O136" s="79"/>
      <c r="R136" s="79"/>
      <c r="S136" s="79"/>
      <c r="X136" s="79"/>
      <c r="AD136" s="130"/>
      <c r="AF136" s="106"/>
    </row>
    <row r="137">
      <c r="C137" s="79"/>
      <c r="D137" s="79"/>
      <c r="E137" s="79"/>
      <c r="O137" s="79"/>
      <c r="R137" s="79"/>
      <c r="S137" s="79"/>
      <c r="X137" s="79"/>
      <c r="AD137" s="130"/>
      <c r="AF137" s="106"/>
    </row>
    <row r="138">
      <c r="C138" s="79"/>
      <c r="D138" s="79"/>
      <c r="E138" s="79"/>
      <c r="O138" s="79"/>
      <c r="R138" s="79"/>
      <c r="S138" s="79"/>
      <c r="X138" s="79"/>
      <c r="AD138" s="130"/>
      <c r="AF138" s="106"/>
    </row>
    <row r="139">
      <c r="C139" s="79"/>
      <c r="D139" s="79"/>
      <c r="E139" s="79"/>
      <c r="O139" s="79"/>
      <c r="R139" s="79"/>
      <c r="S139" s="79"/>
      <c r="X139" s="79"/>
      <c r="AD139" s="130"/>
      <c r="AF139" s="106"/>
    </row>
    <row r="140">
      <c r="C140" s="79"/>
      <c r="D140" s="79"/>
      <c r="E140" s="79"/>
      <c r="O140" s="79"/>
      <c r="R140" s="79"/>
      <c r="S140" s="79"/>
      <c r="X140" s="79"/>
      <c r="AD140" s="130"/>
      <c r="AF140" s="106"/>
    </row>
    <row r="141">
      <c r="C141" s="79"/>
      <c r="D141" s="79"/>
      <c r="E141" s="79"/>
      <c r="O141" s="79"/>
      <c r="R141" s="79"/>
      <c r="S141" s="79"/>
      <c r="X141" s="79"/>
      <c r="AD141" s="130"/>
      <c r="AF141" s="106"/>
    </row>
    <row r="142">
      <c r="C142" s="79"/>
      <c r="D142" s="79"/>
      <c r="E142" s="79"/>
      <c r="O142" s="79"/>
      <c r="R142" s="79"/>
      <c r="S142" s="79"/>
      <c r="X142" s="79"/>
      <c r="AD142" s="130"/>
      <c r="AF142" s="106"/>
    </row>
    <row r="143">
      <c r="C143" s="79"/>
      <c r="D143" s="79"/>
      <c r="E143" s="79"/>
      <c r="O143" s="79"/>
      <c r="R143" s="79"/>
      <c r="S143" s="79"/>
      <c r="X143" s="79"/>
      <c r="AD143" s="130"/>
      <c r="AF143" s="106"/>
    </row>
    <row r="144">
      <c r="C144" s="79"/>
      <c r="D144" s="79"/>
      <c r="E144" s="79"/>
      <c r="O144" s="79"/>
      <c r="R144" s="79"/>
      <c r="S144" s="79"/>
      <c r="X144" s="79"/>
      <c r="AD144" s="130"/>
      <c r="AF144" s="106"/>
    </row>
    <row r="145">
      <c r="C145" s="79"/>
      <c r="D145" s="79"/>
      <c r="E145" s="79"/>
      <c r="O145" s="79"/>
      <c r="R145" s="79"/>
      <c r="S145" s="79"/>
      <c r="X145" s="79"/>
      <c r="AD145" s="130"/>
      <c r="AF145" s="106"/>
    </row>
    <row r="146">
      <c r="C146" s="79"/>
      <c r="D146" s="79"/>
      <c r="E146" s="79"/>
      <c r="O146" s="79"/>
      <c r="R146" s="79"/>
      <c r="S146" s="79"/>
      <c r="X146" s="79"/>
      <c r="AD146" s="130"/>
      <c r="AF146" s="106"/>
    </row>
    <row r="147">
      <c r="C147" s="79"/>
      <c r="D147" s="79"/>
      <c r="E147" s="79"/>
      <c r="O147" s="79"/>
      <c r="R147" s="79"/>
      <c r="S147" s="79"/>
      <c r="X147" s="79"/>
      <c r="AD147" s="130"/>
      <c r="AF147" s="106"/>
    </row>
    <row r="148">
      <c r="C148" s="79"/>
      <c r="D148" s="79"/>
      <c r="E148" s="79"/>
      <c r="O148" s="79"/>
      <c r="R148" s="79"/>
      <c r="S148" s="79"/>
      <c r="X148" s="79"/>
      <c r="AD148" s="130"/>
      <c r="AF148" s="106"/>
    </row>
    <row r="149">
      <c r="C149" s="79"/>
      <c r="D149" s="79"/>
      <c r="E149" s="79"/>
      <c r="O149" s="79"/>
      <c r="R149" s="79"/>
      <c r="S149" s="79"/>
      <c r="X149" s="79"/>
      <c r="AD149" s="130"/>
      <c r="AF149" s="106"/>
    </row>
    <row r="150">
      <c r="C150" s="79"/>
      <c r="D150" s="79"/>
      <c r="E150" s="79"/>
      <c r="O150" s="79"/>
      <c r="R150" s="79"/>
      <c r="S150" s="79"/>
      <c r="X150" s="79"/>
      <c r="AD150" s="130"/>
      <c r="AF150" s="106"/>
    </row>
    <row r="151">
      <c r="C151" s="79"/>
      <c r="D151" s="79"/>
      <c r="E151" s="79"/>
      <c r="O151" s="79"/>
      <c r="R151" s="79"/>
      <c r="S151" s="79"/>
      <c r="X151" s="79"/>
      <c r="AD151" s="130"/>
      <c r="AF151" s="106"/>
    </row>
    <row r="152">
      <c r="C152" s="79"/>
      <c r="D152" s="79"/>
      <c r="E152" s="79"/>
      <c r="O152" s="79"/>
      <c r="R152" s="79"/>
      <c r="S152" s="79"/>
      <c r="X152" s="79"/>
      <c r="AD152" s="130"/>
      <c r="AF152" s="106"/>
    </row>
    <row r="153">
      <c r="C153" s="79"/>
      <c r="D153" s="79"/>
      <c r="E153" s="79"/>
      <c r="O153" s="79"/>
      <c r="R153" s="79"/>
      <c r="S153" s="79"/>
      <c r="X153" s="79"/>
      <c r="AD153" s="130"/>
      <c r="AF153" s="106"/>
    </row>
    <row r="154">
      <c r="C154" s="79"/>
      <c r="D154" s="79"/>
      <c r="E154" s="79"/>
      <c r="O154" s="79"/>
      <c r="R154" s="79"/>
      <c r="S154" s="79"/>
      <c r="X154" s="79"/>
      <c r="AD154" s="130"/>
      <c r="AF154" s="106"/>
    </row>
    <row r="155">
      <c r="C155" s="79"/>
      <c r="D155" s="79"/>
      <c r="E155" s="79"/>
      <c r="O155" s="79"/>
      <c r="R155" s="79"/>
      <c r="S155" s="79"/>
      <c r="X155" s="79"/>
      <c r="AD155" s="130"/>
      <c r="AF155" s="106"/>
    </row>
    <row r="156">
      <c r="C156" s="79"/>
      <c r="D156" s="79"/>
      <c r="E156" s="79"/>
      <c r="O156" s="79"/>
      <c r="R156" s="79"/>
      <c r="S156" s="79"/>
      <c r="X156" s="79"/>
      <c r="AD156" s="130"/>
      <c r="AF156" s="106"/>
    </row>
    <row r="157">
      <c r="C157" s="79"/>
      <c r="D157" s="79"/>
      <c r="E157" s="79"/>
      <c r="O157" s="79"/>
      <c r="R157" s="79"/>
      <c r="S157" s="79"/>
      <c r="X157" s="79"/>
      <c r="AD157" s="130"/>
      <c r="AF157" s="106"/>
    </row>
    <row r="158">
      <c r="C158" s="79"/>
      <c r="D158" s="79"/>
      <c r="E158" s="79"/>
      <c r="O158" s="79"/>
      <c r="R158" s="79"/>
      <c r="S158" s="79"/>
      <c r="X158" s="79"/>
      <c r="AD158" s="130"/>
      <c r="AF158" s="106"/>
    </row>
    <row r="159">
      <c r="C159" s="79"/>
      <c r="D159" s="79"/>
      <c r="E159" s="79"/>
      <c r="O159" s="79"/>
      <c r="R159" s="79"/>
      <c r="S159" s="79"/>
      <c r="X159" s="79"/>
      <c r="AD159" s="130"/>
      <c r="AF159" s="106"/>
    </row>
    <row r="160">
      <c r="C160" s="79"/>
      <c r="D160" s="79"/>
      <c r="E160" s="79"/>
      <c r="O160" s="79"/>
      <c r="R160" s="79"/>
      <c r="S160" s="79"/>
      <c r="X160" s="79"/>
      <c r="AD160" s="130"/>
      <c r="AF160" s="106"/>
    </row>
    <row r="161">
      <c r="C161" s="79"/>
      <c r="D161" s="79"/>
      <c r="E161" s="79"/>
      <c r="O161" s="79"/>
      <c r="R161" s="79"/>
      <c r="S161" s="79"/>
      <c r="X161" s="79"/>
      <c r="AD161" s="130"/>
      <c r="AF161" s="106"/>
    </row>
    <row r="162">
      <c r="C162" s="79"/>
      <c r="D162" s="79"/>
      <c r="E162" s="79"/>
      <c r="O162" s="79"/>
      <c r="R162" s="79"/>
      <c r="S162" s="79"/>
      <c r="X162" s="79"/>
      <c r="AD162" s="130"/>
      <c r="AF162" s="106"/>
    </row>
    <row r="163">
      <c r="C163" s="79"/>
      <c r="D163" s="79"/>
      <c r="E163" s="79"/>
      <c r="O163" s="79"/>
      <c r="R163" s="79"/>
      <c r="S163" s="79"/>
      <c r="X163" s="79"/>
      <c r="AD163" s="130"/>
      <c r="AF163" s="106"/>
    </row>
    <row r="164">
      <c r="C164" s="79"/>
      <c r="D164" s="79"/>
      <c r="E164" s="79"/>
      <c r="O164" s="79"/>
      <c r="R164" s="79"/>
      <c r="S164" s="79"/>
      <c r="X164" s="79"/>
      <c r="AD164" s="130"/>
      <c r="AF164" s="106"/>
    </row>
    <row r="165">
      <c r="C165" s="79"/>
      <c r="D165" s="79"/>
      <c r="E165" s="79"/>
      <c r="O165" s="79"/>
      <c r="R165" s="79"/>
      <c r="S165" s="79"/>
      <c r="X165" s="79"/>
      <c r="AD165" s="130"/>
      <c r="AF165" s="106"/>
    </row>
    <row r="166">
      <c r="C166" s="79"/>
      <c r="D166" s="79"/>
      <c r="E166" s="79"/>
      <c r="O166" s="79"/>
      <c r="R166" s="79"/>
      <c r="S166" s="79"/>
      <c r="X166" s="79"/>
      <c r="AD166" s="130"/>
      <c r="AF166" s="106"/>
    </row>
    <row r="167">
      <c r="C167" s="79"/>
      <c r="D167" s="79"/>
      <c r="E167" s="79"/>
      <c r="O167" s="79"/>
      <c r="R167" s="79"/>
      <c r="S167" s="79"/>
      <c r="X167" s="79"/>
      <c r="AD167" s="130"/>
      <c r="AF167" s="106"/>
    </row>
    <row r="168">
      <c r="C168" s="79"/>
      <c r="D168" s="79"/>
      <c r="E168" s="79"/>
      <c r="O168" s="79"/>
      <c r="R168" s="79"/>
      <c r="S168" s="79"/>
      <c r="X168" s="79"/>
      <c r="AD168" s="130"/>
      <c r="AF168" s="106"/>
    </row>
    <row r="169">
      <c r="C169" s="79"/>
      <c r="D169" s="79"/>
      <c r="E169" s="79"/>
      <c r="O169" s="79"/>
      <c r="R169" s="79"/>
      <c r="S169" s="79"/>
      <c r="X169" s="79"/>
      <c r="AD169" s="130"/>
      <c r="AF169" s="106"/>
    </row>
    <row r="170">
      <c r="C170" s="79"/>
      <c r="D170" s="79"/>
      <c r="E170" s="79"/>
      <c r="O170" s="79"/>
      <c r="R170" s="79"/>
      <c r="S170" s="79"/>
      <c r="X170" s="79"/>
      <c r="AD170" s="130"/>
      <c r="AF170" s="106"/>
    </row>
    <row r="171">
      <c r="C171" s="79"/>
      <c r="D171" s="79"/>
      <c r="E171" s="79"/>
      <c r="O171" s="79"/>
      <c r="R171" s="79"/>
      <c r="S171" s="79"/>
      <c r="X171" s="79"/>
      <c r="AD171" s="130"/>
      <c r="AF171" s="106"/>
    </row>
    <row r="172">
      <c r="C172" s="79"/>
      <c r="D172" s="79"/>
      <c r="E172" s="79"/>
      <c r="O172" s="79"/>
      <c r="R172" s="79"/>
      <c r="S172" s="79"/>
      <c r="X172" s="79"/>
      <c r="AD172" s="130"/>
      <c r="AF172" s="106"/>
    </row>
    <row r="173">
      <c r="C173" s="79"/>
      <c r="D173" s="79"/>
      <c r="E173" s="79"/>
      <c r="O173" s="79"/>
      <c r="R173" s="79"/>
      <c r="S173" s="79"/>
      <c r="X173" s="79"/>
      <c r="AD173" s="130"/>
      <c r="AF173" s="106"/>
    </row>
    <row r="174">
      <c r="C174" s="79"/>
      <c r="D174" s="79"/>
      <c r="E174" s="79"/>
      <c r="O174" s="79"/>
      <c r="R174" s="79"/>
      <c r="S174" s="79"/>
      <c r="X174" s="79"/>
      <c r="AD174" s="130"/>
      <c r="AF174" s="106"/>
    </row>
    <row r="175">
      <c r="C175" s="79"/>
      <c r="D175" s="79"/>
      <c r="E175" s="79"/>
      <c r="O175" s="79"/>
      <c r="R175" s="79"/>
      <c r="S175" s="79"/>
      <c r="X175" s="79"/>
      <c r="AD175" s="130"/>
      <c r="AF175" s="106"/>
    </row>
    <row r="176">
      <c r="C176" s="79"/>
      <c r="D176" s="79"/>
      <c r="E176" s="79"/>
      <c r="O176" s="79"/>
      <c r="R176" s="79"/>
      <c r="S176" s="79"/>
      <c r="X176" s="79"/>
      <c r="AD176" s="130"/>
      <c r="AF176" s="106"/>
    </row>
    <row r="177">
      <c r="C177" s="79"/>
      <c r="D177" s="79"/>
      <c r="E177" s="79"/>
      <c r="O177" s="79"/>
      <c r="R177" s="79"/>
      <c r="S177" s="79"/>
      <c r="X177" s="79"/>
      <c r="AD177" s="130"/>
      <c r="AF177" s="106"/>
    </row>
    <row r="178">
      <c r="C178" s="79"/>
      <c r="D178" s="79"/>
      <c r="E178" s="79"/>
      <c r="O178" s="79"/>
      <c r="R178" s="79"/>
      <c r="S178" s="79"/>
      <c r="X178" s="79"/>
      <c r="AD178" s="130"/>
      <c r="AF178" s="106"/>
    </row>
    <row r="179">
      <c r="C179" s="79"/>
      <c r="D179" s="79"/>
      <c r="E179" s="79"/>
      <c r="O179" s="79"/>
      <c r="R179" s="79"/>
      <c r="S179" s="79"/>
      <c r="X179" s="79"/>
      <c r="AD179" s="130"/>
      <c r="AF179" s="106"/>
    </row>
    <row r="180">
      <c r="C180" s="79"/>
      <c r="D180" s="79"/>
      <c r="E180" s="79"/>
      <c r="O180" s="79"/>
      <c r="R180" s="79"/>
      <c r="S180" s="79"/>
      <c r="X180" s="79"/>
      <c r="AD180" s="130"/>
      <c r="AF180" s="106"/>
    </row>
    <row r="181">
      <c r="C181" s="79"/>
      <c r="D181" s="79"/>
      <c r="E181" s="79"/>
      <c r="O181" s="79"/>
      <c r="R181" s="79"/>
      <c r="S181" s="79"/>
      <c r="X181" s="79"/>
      <c r="AD181" s="130"/>
      <c r="AF181" s="106"/>
    </row>
    <row r="182">
      <c r="C182" s="79"/>
      <c r="D182" s="79"/>
      <c r="E182" s="79"/>
      <c r="O182" s="79"/>
      <c r="R182" s="79"/>
      <c r="S182" s="79"/>
      <c r="X182" s="79"/>
      <c r="AD182" s="130"/>
      <c r="AF182" s="106"/>
    </row>
    <row r="183">
      <c r="C183" s="79"/>
      <c r="D183" s="79"/>
      <c r="E183" s="79"/>
      <c r="O183" s="79"/>
      <c r="R183" s="79"/>
      <c r="S183" s="79"/>
      <c r="X183" s="79"/>
      <c r="AD183" s="130"/>
      <c r="AF183" s="106"/>
    </row>
    <row r="184">
      <c r="C184" s="79"/>
      <c r="D184" s="79"/>
      <c r="E184" s="79"/>
      <c r="O184" s="79"/>
      <c r="R184" s="79"/>
      <c r="S184" s="79"/>
      <c r="X184" s="79"/>
      <c r="AD184" s="130"/>
      <c r="AF184" s="106"/>
    </row>
    <row r="185">
      <c r="C185" s="79"/>
      <c r="D185" s="79"/>
      <c r="E185" s="79"/>
      <c r="O185" s="79"/>
      <c r="R185" s="79"/>
      <c r="S185" s="79"/>
      <c r="X185" s="79"/>
      <c r="AD185" s="130"/>
      <c r="AF185" s="106"/>
    </row>
    <row r="186">
      <c r="C186" s="79"/>
      <c r="D186" s="79"/>
      <c r="E186" s="79"/>
      <c r="O186" s="79"/>
      <c r="R186" s="79"/>
      <c r="S186" s="79"/>
      <c r="X186" s="79"/>
      <c r="AD186" s="130"/>
      <c r="AF186" s="106"/>
    </row>
    <row r="187">
      <c r="C187" s="79"/>
      <c r="D187" s="79"/>
      <c r="E187" s="79"/>
      <c r="O187" s="79"/>
      <c r="R187" s="79"/>
      <c r="S187" s="79"/>
      <c r="X187" s="79"/>
      <c r="AD187" s="130"/>
      <c r="AF187" s="106"/>
    </row>
    <row r="188">
      <c r="C188" s="79"/>
      <c r="D188" s="79"/>
      <c r="E188" s="79"/>
      <c r="O188" s="79"/>
      <c r="R188" s="79"/>
      <c r="S188" s="79"/>
      <c r="X188" s="79"/>
      <c r="AD188" s="130"/>
      <c r="AF188" s="106"/>
    </row>
    <row r="189">
      <c r="C189" s="79"/>
      <c r="D189" s="79"/>
      <c r="E189" s="79"/>
      <c r="O189" s="79"/>
      <c r="R189" s="79"/>
      <c r="S189" s="79"/>
      <c r="X189" s="79"/>
      <c r="AD189" s="130"/>
      <c r="AF189" s="106"/>
    </row>
    <row r="190">
      <c r="C190" s="79"/>
      <c r="D190" s="79"/>
      <c r="E190" s="79"/>
      <c r="O190" s="79"/>
      <c r="R190" s="79"/>
      <c r="S190" s="79"/>
      <c r="X190" s="79"/>
      <c r="AD190" s="130"/>
      <c r="AF190" s="106"/>
    </row>
    <row r="191">
      <c r="C191" s="79"/>
      <c r="D191" s="79"/>
      <c r="E191" s="79"/>
      <c r="O191" s="79"/>
      <c r="R191" s="79"/>
      <c r="S191" s="79"/>
      <c r="X191" s="79"/>
      <c r="AD191" s="130"/>
      <c r="AF191" s="106"/>
    </row>
    <row r="192">
      <c r="C192" s="79"/>
      <c r="D192" s="79"/>
      <c r="E192" s="79"/>
      <c r="O192" s="79"/>
      <c r="R192" s="79"/>
      <c r="S192" s="79"/>
      <c r="X192" s="79"/>
      <c r="AD192" s="130"/>
      <c r="AF192" s="106"/>
    </row>
    <row r="193">
      <c r="C193" s="79"/>
      <c r="D193" s="79"/>
      <c r="E193" s="79"/>
      <c r="O193" s="79"/>
      <c r="R193" s="79"/>
      <c r="S193" s="79"/>
      <c r="X193" s="79"/>
      <c r="AD193" s="130"/>
      <c r="AF193" s="106"/>
    </row>
    <row r="194">
      <c r="C194" s="79"/>
      <c r="D194" s="79"/>
      <c r="E194" s="79"/>
      <c r="O194" s="79"/>
      <c r="R194" s="79"/>
      <c r="S194" s="79"/>
      <c r="X194" s="79"/>
      <c r="AD194" s="130"/>
      <c r="AF194" s="106"/>
    </row>
    <row r="195">
      <c r="C195" s="79"/>
      <c r="D195" s="79"/>
      <c r="E195" s="79"/>
      <c r="O195" s="79"/>
      <c r="R195" s="79"/>
      <c r="S195" s="79"/>
      <c r="X195" s="79"/>
      <c r="AD195" s="130"/>
      <c r="AF195" s="106"/>
    </row>
    <row r="196">
      <c r="C196" s="79"/>
      <c r="D196" s="79"/>
      <c r="E196" s="79"/>
      <c r="O196" s="79"/>
      <c r="R196" s="79"/>
      <c r="S196" s="79"/>
      <c r="X196" s="79"/>
      <c r="AD196" s="130"/>
      <c r="AF196" s="106"/>
    </row>
    <row r="197">
      <c r="C197" s="79"/>
      <c r="D197" s="79"/>
      <c r="E197" s="79"/>
      <c r="O197" s="79"/>
      <c r="R197" s="79"/>
      <c r="S197" s="79"/>
      <c r="X197" s="79"/>
      <c r="AD197" s="130"/>
      <c r="AF197" s="106"/>
    </row>
    <row r="198">
      <c r="C198" s="79"/>
      <c r="D198" s="79"/>
      <c r="E198" s="79"/>
      <c r="O198" s="79"/>
      <c r="R198" s="79"/>
      <c r="S198" s="79"/>
      <c r="X198" s="79"/>
      <c r="AD198" s="130"/>
      <c r="AF198" s="106"/>
    </row>
    <row r="199">
      <c r="C199" s="79"/>
      <c r="D199" s="79"/>
      <c r="E199" s="79"/>
      <c r="O199" s="79"/>
      <c r="R199" s="79"/>
      <c r="S199" s="79"/>
      <c r="X199" s="79"/>
      <c r="AD199" s="130"/>
      <c r="AF199" s="106"/>
    </row>
    <row r="200">
      <c r="C200" s="79"/>
      <c r="D200" s="79"/>
      <c r="E200" s="79"/>
      <c r="O200" s="79"/>
      <c r="R200" s="79"/>
      <c r="S200" s="79"/>
      <c r="X200" s="79"/>
      <c r="AD200" s="130"/>
      <c r="AF200" s="106"/>
    </row>
    <row r="201">
      <c r="C201" s="79"/>
      <c r="D201" s="79"/>
      <c r="E201" s="79"/>
      <c r="O201" s="79"/>
      <c r="R201" s="79"/>
      <c r="S201" s="79"/>
      <c r="X201" s="79"/>
      <c r="AD201" s="130"/>
      <c r="AF201" s="106"/>
    </row>
    <row r="202">
      <c r="C202" s="79"/>
      <c r="D202" s="79"/>
      <c r="E202" s="79"/>
      <c r="O202" s="79"/>
      <c r="R202" s="79"/>
      <c r="S202" s="79"/>
      <c r="X202" s="79"/>
      <c r="AD202" s="130"/>
      <c r="AF202" s="106"/>
    </row>
    <row r="203">
      <c r="C203" s="79"/>
      <c r="D203" s="79"/>
      <c r="E203" s="79"/>
      <c r="O203" s="79"/>
      <c r="R203" s="79"/>
      <c r="S203" s="79"/>
      <c r="X203" s="79"/>
      <c r="AD203" s="130"/>
      <c r="AF203" s="106"/>
    </row>
    <row r="204">
      <c r="C204" s="79"/>
      <c r="D204" s="79"/>
      <c r="E204" s="79"/>
      <c r="O204" s="79"/>
      <c r="R204" s="79"/>
      <c r="S204" s="79"/>
      <c r="X204" s="79"/>
      <c r="AD204" s="130"/>
      <c r="AF204" s="106"/>
    </row>
    <row r="205">
      <c r="C205" s="79"/>
      <c r="D205" s="79"/>
      <c r="E205" s="79"/>
      <c r="O205" s="79"/>
      <c r="R205" s="79"/>
      <c r="S205" s="79"/>
      <c r="X205" s="79"/>
      <c r="AD205" s="130"/>
      <c r="AF205" s="106"/>
    </row>
    <row r="206">
      <c r="C206" s="79"/>
      <c r="D206" s="79"/>
      <c r="E206" s="79"/>
      <c r="O206" s="79"/>
      <c r="R206" s="79"/>
      <c r="S206" s="79"/>
      <c r="X206" s="79"/>
      <c r="AD206" s="130"/>
      <c r="AF206" s="106"/>
    </row>
    <row r="207">
      <c r="C207" s="79"/>
      <c r="D207" s="79"/>
      <c r="E207" s="79"/>
      <c r="O207" s="79"/>
      <c r="R207" s="79"/>
      <c r="S207" s="79"/>
      <c r="X207" s="79"/>
      <c r="AD207" s="130"/>
      <c r="AF207" s="106"/>
    </row>
    <row r="208">
      <c r="C208" s="79"/>
      <c r="D208" s="79"/>
      <c r="E208" s="79"/>
      <c r="O208" s="79"/>
      <c r="R208" s="79"/>
      <c r="S208" s="79"/>
      <c r="X208" s="79"/>
      <c r="AD208" s="130"/>
      <c r="AF208" s="106"/>
    </row>
    <row r="209">
      <c r="C209" s="79"/>
      <c r="D209" s="79"/>
      <c r="E209" s="79"/>
      <c r="O209" s="79"/>
      <c r="R209" s="79"/>
      <c r="S209" s="79"/>
      <c r="X209" s="79"/>
      <c r="AD209" s="130"/>
      <c r="AF209" s="106"/>
    </row>
    <row r="210">
      <c r="C210" s="79"/>
      <c r="D210" s="79"/>
      <c r="E210" s="79"/>
      <c r="O210" s="79"/>
      <c r="R210" s="79"/>
      <c r="S210" s="79"/>
      <c r="X210" s="79"/>
      <c r="AD210" s="130"/>
      <c r="AF210" s="106"/>
    </row>
    <row r="211">
      <c r="C211" s="79"/>
      <c r="D211" s="79"/>
      <c r="E211" s="79"/>
      <c r="O211" s="79"/>
      <c r="R211" s="79"/>
      <c r="S211" s="79"/>
      <c r="X211" s="79"/>
      <c r="AD211" s="130"/>
      <c r="AF211" s="106"/>
    </row>
    <row r="212">
      <c r="C212" s="79"/>
      <c r="D212" s="79"/>
      <c r="E212" s="79"/>
      <c r="O212" s="79"/>
      <c r="R212" s="79"/>
      <c r="S212" s="79"/>
      <c r="X212" s="79"/>
      <c r="AD212" s="130"/>
      <c r="AF212" s="106"/>
    </row>
    <row r="213">
      <c r="C213" s="79"/>
      <c r="D213" s="79"/>
      <c r="E213" s="79"/>
      <c r="O213" s="79"/>
      <c r="R213" s="79"/>
      <c r="S213" s="79"/>
      <c r="X213" s="79"/>
      <c r="AD213" s="130"/>
      <c r="AF213" s="106"/>
    </row>
    <row r="214">
      <c r="C214" s="79"/>
      <c r="D214" s="79"/>
      <c r="E214" s="79"/>
      <c r="O214" s="79"/>
      <c r="R214" s="79"/>
      <c r="S214" s="79"/>
      <c r="X214" s="79"/>
      <c r="AD214" s="130"/>
      <c r="AF214" s="106"/>
    </row>
    <row r="215">
      <c r="C215" s="79"/>
      <c r="D215" s="79"/>
      <c r="E215" s="79"/>
      <c r="O215" s="79"/>
      <c r="R215" s="79"/>
      <c r="S215" s="79"/>
      <c r="X215" s="79"/>
      <c r="AD215" s="130"/>
      <c r="AF215" s="106"/>
    </row>
    <row r="216">
      <c r="C216" s="79"/>
      <c r="D216" s="79"/>
      <c r="E216" s="79"/>
      <c r="O216" s="79"/>
      <c r="R216" s="79"/>
      <c r="S216" s="79"/>
      <c r="X216" s="79"/>
      <c r="AD216" s="130"/>
      <c r="AF216" s="106"/>
    </row>
    <row r="217">
      <c r="C217" s="79"/>
      <c r="D217" s="79"/>
      <c r="E217" s="79"/>
      <c r="O217" s="79"/>
      <c r="R217" s="79"/>
      <c r="S217" s="79"/>
      <c r="X217" s="79"/>
      <c r="AD217" s="130"/>
      <c r="AF217" s="106"/>
    </row>
    <row r="218">
      <c r="C218" s="79"/>
      <c r="D218" s="79"/>
      <c r="E218" s="79"/>
      <c r="O218" s="79"/>
      <c r="R218" s="79"/>
      <c r="S218" s="79"/>
      <c r="X218" s="79"/>
      <c r="AD218" s="130"/>
      <c r="AF218" s="106"/>
    </row>
    <row r="219">
      <c r="C219" s="79"/>
      <c r="D219" s="79"/>
      <c r="E219" s="79"/>
      <c r="O219" s="79"/>
      <c r="R219" s="79"/>
      <c r="S219" s="79"/>
      <c r="X219" s="79"/>
      <c r="AD219" s="130"/>
      <c r="AF219" s="106"/>
    </row>
    <row r="220">
      <c r="C220" s="79"/>
      <c r="D220" s="79"/>
      <c r="E220" s="79"/>
      <c r="O220" s="79"/>
      <c r="R220" s="79"/>
      <c r="S220" s="79"/>
      <c r="X220" s="79"/>
      <c r="AD220" s="130"/>
      <c r="AF220" s="106"/>
    </row>
    <row r="221">
      <c r="C221" s="79"/>
      <c r="D221" s="79"/>
      <c r="E221" s="79"/>
      <c r="O221" s="79"/>
      <c r="R221" s="79"/>
      <c r="S221" s="79"/>
      <c r="X221" s="79"/>
      <c r="AD221" s="130"/>
      <c r="AF221" s="106"/>
    </row>
    <row r="222">
      <c r="C222" s="79"/>
      <c r="D222" s="79"/>
      <c r="E222" s="79"/>
      <c r="O222" s="79"/>
      <c r="R222" s="79"/>
      <c r="S222" s="79"/>
      <c r="X222" s="79"/>
      <c r="AD222" s="130"/>
      <c r="AF222" s="106"/>
    </row>
    <row r="223">
      <c r="C223" s="79"/>
      <c r="D223" s="79"/>
      <c r="E223" s="79"/>
      <c r="O223" s="79"/>
      <c r="R223" s="79"/>
      <c r="S223" s="79"/>
      <c r="X223" s="79"/>
      <c r="AD223" s="130"/>
      <c r="AF223" s="106"/>
    </row>
    <row r="224">
      <c r="C224" s="79"/>
      <c r="D224" s="79"/>
      <c r="E224" s="79"/>
      <c r="O224" s="79"/>
      <c r="R224" s="79"/>
      <c r="S224" s="79"/>
      <c r="X224" s="79"/>
      <c r="AD224" s="130"/>
      <c r="AF224" s="106"/>
    </row>
    <row r="225">
      <c r="C225" s="79"/>
      <c r="D225" s="79"/>
      <c r="E225" s="79"/>
      <c r="O225" s="79"/>
      <c r="R225" s="79"/>
      <c r="S225" s="79"/>
      <c r="X225" s="79"/>
      <c r="AD225" s="130"/>
      <c r="AF225" s="106"/>
    </row>
    <row r="226">
      <c r="C226" s="79"/>
      <c r="D226" s="79"/>
      <c r="E226" s="79"/>
      <c r="O226" s="79"/>
      <c r="R226" s="79"/>
      <c r="S226" s="79"/>
      <c r="X226" s="79"/>
      <c r="AD226" s="130"/>
      <c r="AF226" s="106"/>
    </row>
    <row r="227">
      <c r="C227" s="79"/>
      <c r="D227" s="79"/>
      <c r="E227" s="79"/>
      <c r="O227" s="79"/>
      <c r="R227" s="79"/>
      <c r="S227" s="79"/>
      <c r="X227" s="79"/>
      <c r="AD227" s="130"/>
      <c r="AF227" s="106"/>
    </row>
    <row r="228">
      <c r="C228" s="79"/>
      <c r="D228" s="79"/>
      <c r="E228" s="79"/>
      <c r="O228" s="79"/>
      <c r="R228" s="79"/>
      <c r="S228" s="79"/>
      <c r="X228" s="79"/>
      <c r="AD228" s="130"/>
      <c r="AF228" s="106"/>
    </row>
    <row r="229">
      <c r="C229" s="79"/>
      <c r="D229" s="79"/>
      <c r="E229" s="79"/>
      <c r="O229" s="79"/>
      <c r="R229" s="79"/>
      <c r="S229" s="79"/>
      <c r="X229" s="79"/>
      <c r="AD229" s="130"/>
      <c r="AF229" s="106"/>
    </row>
    <row r="230">
      <c r="C230" s="79"/>
      <c r="D230" s="79"/>
      <c r="E230" s="79"/>
      <c r="O230" s="79"/>
      <c r="R230" s="79"/>
      <c r="S230" s="79"/>
      <c r="X230" s="79"/>
      <c r="AD230" s="130"/>
      <c r="AF230" s="106"/>
    </row>
    <row r="231">
      <c r="C231" s="79"/>
      <c r="D231" s="79"/>
      <c r="E231" s="79"/>
      <c r="O231" s="79"/>
      <c r="R231" s="79"/>
      <c r="S231" s="79"/>
      <c r="X231" s="79"/>
      <c r="AD231" s="130"/>
      <c r="AF231" s="106"/>
    </row>
    <row r="232">
      <c r="C232" s="79"/>
      <c r="D232" s="79"/>
      <c r="E232" s="79"/>
      <c r="O232" s="79"/>
      <c r="R232" s="79"/>
      <c r="S232" s="79"/>
      <c r="X232" s="79"/>
      <c r="AD232" s="130"/>
      <c r="AF232" s="106"/>
    </row>
    <row r="233">
      <c r="C233" s="79"/>
      <c r="D233" s="79"/>
      <c r="E233" s="79"/>
      <c r="O233" s="79"/>
      <c r="R233" s="79"/>
      <c r="S233" s="79"/>
      <c r="X233" s="79"/>
      <c r="AD233" s="130"/>
      <c r="AF233" s="106"/>
    </row>
    <row r="234">
      <c r="C234" s="79"/>
      <c r="D234" s="79"/>
      <c r="E234" s="79"/>
      <c r="O234" s="79"/>
      <c r="R234" s="79"/>
      <c r="S234" s="79"/>
      <c r="X234" s="79"/>
      <c r="AD234" s="130"/>
      <c r="AF234" s="106"/>
    </row>
    <row r="235">
      <c r="C235" s="79"/>
      <c r="D235" s="79"/>
      <c r="E235" s="79"/>
      <c r="O235" s="79"/>
      <c r="R235" s="79"/>
      <c r="S235" s="79"/>
      <c r="X235" s="79"/>
      <c r="AD235" s="130"/>
      <c r="AF235" s="106"/>
    </row>
    <row r="236">
      <c r="C236" s="79"/>
      <c r="D236" s="79"/>
      <c r="E236" s="79"/>
      <c r="O236" s="79"/>
      <c r="R236" s="79"/>
      <c r="S236" s="79"/>
      <c r="X236" s="79"/>
      <c r="AD236" s="130"/>
      <c r="AF236" s="106"/>
    </row>
    <row r="237">
      <c r="C237" s="79"/>
      <c r="D237" s="79"/>
      <c r="E237" s="79"/>
      <c r="O237" s="79"/>
      <c r="R237" s="79"/>
      <c r="S237" s="79"/>
      <c r="X237" s="79"/>
      <c r="AD237" s="130"/>
      <c r="AF237" s="106"/>
    </row>
    <row r="238">
      <c r="C238" s="79"/>
      <c r="D238" s="79"/>
      <c r="E238" s="79"/>
      <c r="O238" s="79"/>
      <c r="R238" s="79"/>
      <c r="S238" s="79"/>
      <c r="X238" s="79"/>
      <c r="AD238" s="130"/>
      <c r="AF238" s="106"/>
    </row>
    <row r="239">
      <c r="C239" s="79"/>
      <c r="D239" s="79"/>
      <c r="E239" s="79"/>
      <c r="O239" s="79"/>
      <c r="R239" s="79"/>
      <c r="S239" s="79"/>
      <c r="X239" s="79"/>
      <c r="AD239" s="130"/>
      <c r="AF239" s="106"/>
    </row>
    <row r="240">
      <c r="C240" s="79"/>
      <c r="D240" s="79"/>
      <c r="E240" s="79"/>
      <c r="O240" s="79"/>
      <c r="R240" s="79"/>
      <c r="S240" s="79"/>
      <c r="X240" s="79"/>
      <c r="AD240" s="130"/>
      <c r="AF240" s="106"/>
    </row>
    <row r="241">
      <c r="C241" s="79"/>
      <c r="D241" s="79"/>
      <c r="E241" s="79"/>
      <c r="O241" s="79"/>
      <c r="R241" s="79"/>
      <c r="S241" s="79"/>
      <c r="X241" s="79"/>
      <c r="AD241" s="130"/>
      <c r="AF241" s="106"/>
    </row>
    <row r="242">
      <c r="C242" s="79"/>
      <c r="D242" s="79"/>
      <c r="E242" s="79"/>
      <c r="O242" s="79"/>
      <c r="R242" s="79"/>
      <c r="S242" s="79"/>
      <c r="X242" s="79"/>
      <c r="AD242" s="130"/>
      <c r="AF242" s="106"/>
    </row>
    <row r="243">
      <c r="C243" s="79"/>
      <c r="D243" s="79"/>
      <c r="E243" s="79"/>
      <c r="O243" s="79"/>
      <c r="R243" s="79"/>
      <c r="S243" s="79"/>
      <c r="X243" s="79"/>
      <c r="AD243" s="130"/>
      <c r="AF243" s="106"/>
    </row>
    <row r="244">
      <c r="C244" s="79"/>
      <c r="D244" s="79"/>
      <c r="E244" s="79"/>
      <c r="O244" s="79"/>
      <c r="R244" s="79"/>
      <c r="S244" s="79"/>
      <c r="X244" s="79"/>
      <c r="AD244" s="130"/>
      <c r="AF244" s="106"/>
    </row>
    <row r="245">
      <c r="C245" s="79"/>
      <c r="D245" s="79"/>
      <c r="E245" s="79"/>
      <c r="O245" s="79"/>
      <c r="R245" s="79"/>
      <c r="S245" s="79"/>
      <c r="X245" s="79"/>
      <c r="AD245" s="130"/>
      <c r="AF245" s="106"/>
    </row>
    <row r="246">
      <c r="C246" s="79"/>
      <c r="D246" s="79"/>
      <c r="E246" s="79"/>
      <c r="O246" s="79"/>
      <c r="R246" s="79"/>
      <c r="S246" s="79"/>
      <c r="X246" s="79"/>
      <c r="AD246" s="130"/>
      <c r="AF246" s="106"/>
    </row>
    <row r="247">
      <c r="C247" s="79"/>
      <c r="D247" s="79"/>
      <c r="E247" s="79"/>
      <c r="O247" s="79"/>
      <c r="R247" s="79"/>
      <c r="S247" s="79"/>
      <c r="X247" s="79"/>
      <c r="AD247" s="130"/>
      <c r="AF247" s="106"/>
    </row>
    <row r="248">
      <c r="C248" s="79"/>
      <c r="D248" s="79"/>
      <c r="E248" s="79"/>
      <c r="O248" s="79"/>
      <c r="R248" s="79"/>
      <c r="S248" s="79"/>
      <c r="X248" s="79"/>
      <c r="AD248" s="130"/>
      <c r="AF248" s="106"/>
    </row>
    <row r="249">
      <c r="C249" s="79"/>
      <c r="D249" s="79"/>
      <c r="E249" s="79"/>
      <c r="O249" s="79"/>
      <c r="R249" s="79"/>
      <c r="S249" s="79"/>
      <c r="X249" s="79"/>
      <c r="AD249" s="130"/>
      <c r="AF249" s="106"/>
    </row>
    <row r="250">
      <c r="C250" s="79"/>
      <c r="D250" s="79"/>
      <c r="E250" s="79"/>
      <c r="O250" s="79"/>
      <c r="R250" s="79"/>
      <c r="S250" s="79"/>
      <c r="X250" s="79"/>
      <c r="AD250" s="130"/>
      <c r="AF250" s="106"/>
    </row>
    <row r="251">
      <c r="C251" s="79"/>
      <c r="D251" s="79"/>
      <c r="E251" s="79"/>
      <c r="O251" s="79"/>
      <c r="R251" s="79"/>
      <c r="S251" s="79"/>
      <c r="X251" s="79"/>
      <c r="AD251" s="130"/>
      <c r="AF251" s="106"/>
    </row>
    <row r="252">
      <c r="C252" s="79"/>
      <c r="D252" s="79"/>
      <c r="E252" s="79"/>
      <c r="O252" s="79"/>
      <c r="R252" s="79"/>
      <c r="S252" s="79"/>
      <c r="X252" s="79"/>
      <c r="AD252" s="130"/>
      <c r="AF252" s="106"/>
    </row>
    <row r="253">
      <c r="C253" s="79"/>
      <c r="D253" s="79"/>
      <c r="E253" s="79"/>
      <c r="O253" s="79"/>
      <c r="R253" s="79"/>
      <c r="S253" s="79"/>
      <c r="X253" s="79"/>
      <c r="AD253" s="130"/>
      <c r="AF253" s="106"/>
    </row>
    <row r="254">
      <c r="C254" s="79"/>
      <c r="D254" s="79"/>
      <c r="E254" s="79"/>
      <c r="O254" s="79"/>
      <c r="R254" s="79"/>
      <c r="S254" s="79"/>
      <c r="X254" s="79"/>
      <c r="AD254" s="130"/>
      <c r="AF254" s="106"/>
    </row>
    <row r="255">
      <c r="C255" s="79"/>
      <c r="D255" s="79"/>
      <c r="E255" s="79"/>
      <c r="O255" s="79"/>
      <c r="R255" s="79"/>
      <c r="S255" s="79"/>
      <c r="X255" s="79"/>
      <c r="AD255" s="130"/>
      <c r="AF255" s="106"/>
    </row>
    <row r="256">
      <c r="C256" s="79"/>
      <c r="D256" s="79"/>
      <c r="E256" s="79"/>
      <c r="O256" s="79"/>
      <c r="R256" s="79"/>
      <c r="S256" s="79"/>
      <c r="X256" s="79"/>
      <c r="AD256" s="130"/>
      <c r="AF256" s="106"/>
    </row>
    <row r="257">
      <c r="C257" s="79"/>
      <c r="D257" s="79"/>
      <c r="E257" s="79"/>
      <c r="O257" s="79"/>
      <c r="R257" s="79"/>
      <c r="S257" s="79"/>
      <c r="X257" s="79"/>
      <c r="AD257" s="130"/>
      <c r="AF257" s="106"/>
    </row>
    <row r="258">
      <c r="C258" s="79"/>
      <c r="D258" s="79"/>
      <c r="E258" s="79"/>
      <c r="O258" s="79"/>
      <c r="R258" s="79"/>
      <c r="S258" s="79"/>
      <c r="X258" s="79"/>
      <c r="AD258" s="130"/>
      <c r="AF258" s="106"/>
    </row>
    <row r="259">
      <c r="C259" s="79"/>
      <c r="D259" s="79"/>
      <c r="E259" s="79"/>
      <c r="O259" s="79"/>
      <c r="R259" s="79"/>
      <c r="S259" s="79"/>
      <c r="X259" s="79"/>
      <c r="AD259" s="130"/>
      <c r="AF259" s="106"/>
    </row>
    <row r="260">
      <c r="C260" s="79"/>
      <c r="D260" s="79"/>
      <c r="E260" s="79"/>
      <c r="O260" s="79"/>
      <c r="R260" s="79"/>
      <c r="S260" s="79"/>
      <c r="X260" s="79"/>
      <c r="AD260" s="130"/>
      <c r="AF260" s="106"/>
    </row>
    <row r="261">
      <c r="C261" s="79"/>
      <c r="D261" s="79"/>
      <c r="E261" s="79"/>
      <c r="O261" s="79"/>
      <c r="R261" s="79"/>
      <c r="S261" s="79"/>
      <c r="X261" s="79"/>
      <c r="AD261" s="130"/>
      <c r="AF261" s="106"/>
    </row>
    <row r="262">
      <c r="C262" s="79"/>
      <c r="D262" s="79"/>
      <c r="E262" s="79"/>
      <c r="O262" s="79"/>
      <c r="R262" s="79"/>
      <c r="S262" s="79"/>
      <c r="X262" s="79"/>
      <c r="AD262" s="130"/>
      <c r="AF262" s="106"/>
    </row>
    <row r="263">
      <c r="C263" s="79"/>
      <c r="D263" s="79"/>
      <c r="E263" s="79"/>
      <c r="O263" s="79"/>
      <c r="R263" s="79"/>
      <c r="S263" s="79"/>
      <c r="X263" s="79"/>
      <c r="AD263" s="130"/>
      <c r="AF263" s="106"/>
    </row>
    <row r="264">
      <c r="C264" s="79"/>
      <c r="D264" s="79"/>
      <c r="E264" s="79"/>
      <c r="O264" s="79"/>
      <c r="R264" s="79"/>
      <c r="S264" s="79"/>
      <c r="X264" s="79"/>
      <c r="AD264" s="130"/>
      <c r="AF264" s="106"/>
    </row>
    <row r="265">
      <c r="C265" s="79"/>
      <c r="D265" s="79"/>
      <c r="E265" s="79"/>
      <c r="O265" s="79"/>
      <c r="R265" s="79"/>
      <c r="S265" s="79"/>
      <c r="X265" s="79"/>
      <c r="AD265" s="130"/>
      <c r="AF265" s="106"/>
    </row>
    <row r="266">
      <c r="C266" s="79"/>
      <c r="D266" s="79"/>
      <c r="E266" s="79"/>
      <c r="O266" s="79"/>
      <c r="R266" s="79"/>
      <c r="S266" s="79"/>
      <c r="X266" s="79"/>
      <c r="AD266" s="130"/>
      <c r="AF266" s="106"/>
    </row>
    <row r="267">
      <c r="C267" s="79"/>
      <c r="D267" s="79"/>
      <c r="E267" s="79"/>
      <c r="O267" s="79"/>
      <c r="R267" s="79"/>
      <c r="S267" s="79"/>
      <c r="X267" s="79"/>
      <c r="AD267" s="130"/>
      <c r="AF267" s="106"/>
    </row>
    <row r="268">
      <c r="C268" s="79"/>
      <c r="D268" s="79"/>
      <c r="E268" s="79"/>
      <c r="O268" s="79"/>
      <c r="R268" s="79"/>
      <c r="S268" s="79"/>
      <c r="X268" s="79"/>
      <c r="AD268" s="130"/>
      <c r="AF268" s="106"/>
    </row>
    <row r="269">
      <c r="C269" s="79"/>
      <c r="D269" s="79"/>
      <c r="E269" s="79"/>
      <c r="O269" s="79"/>
      <c r="R269" s="79"/>
      <c r="S269" s="79"/>
      <c r="X269" s="79"/>
      <c r="AD269" s="130"/>
      <c r="AF269" s="106"/>
    </row>
    <row r="270">
      <c r="C270" s="79"/>
      <c r="D270" s="79"/>
      <c r="E270" s="79"/>
      <c r="O270" s="79"/>
      <c r="R270" s="79"/>
      <c r="S270" s="79"/>
      <c r="X270" s="79"/>
      <c r="AD270" s="130"/>
      <c r="AF270" s="106"/>
    </row>
    <row r="271">
      <c r="C271" s="79"/>
      <c r="D271" s="79"/>
      <c r="E271" s="79"/>
      <c r="O271" s="79"/>
      <c r="R271" s="79"/>
      <c r="S271" s="79"/>
      <c r="X271" s="79"/>
      <c r="AD271" s="130"/>
      <c r="AF271" s="106"/>
    </row>
    <row r="272">
      <c r="C272" s="79"/>
      <c r="D272" s="79"/>
      <c r="E272" s="79"/>
      <c r="O272" s="79"/>
      <c r="R272" s="79"/>
      <c r="S272" s="79"/>
      <c r="X272" s="79"/>
      <c r="AD272" s="130"/>
      <c r="AF272" s="106"/>
    </row>
    <row r="273">
      <c r="C273" s="79"/>
      <c r="D273" s="79"/>
      <c r="E273" s="79"/>
      <c r="O273" s="79"/>
      <c r="R273" s="79"/>
      <c r="S273" s="79"/>
      <c r="X273" s="79"/>
      <c r="AD273" s="130"/>
      <c r="AF273" s="106"/>
    </row>
    <row r="274">
      <c r="C274" s="79"/>
      <c r="D274" s="79"/>
      <c r="E274" s="79"/>
      <c r="O274" s="79"/>
      <c r="R274" s="79"/>
      <c r="S274" s="79"/>
      <c r="X274" s="79"/>
      <c r="AD274" s="130"/>
      <c r="AF274" s="106"/>
    </row>
    <row r="275">
      <c r="C275" s="79"/>
      <c r="D275" s="79"/>
      <c r="E275" s="79"/>
      <c r="O275" s="79"/>
      <c r="R275" s="79"/>
      <c r="S275" s="79"/>
      <c r="X275" s="79"/>
      <c r="AD275" s="130"/>
      <c r="AF275" s="106"/>
    </row>
    <row r="276">
      <c r="C276" s="79"/>
      <c r="D276" s="79"/>
      <c r="E276" s="79"/>
      <c r="O276" s="79"/>
      <c r="R276" s="79"/>
      <c r="S276" s="79"/>
      <c r="X276" s="79"/>
      <c r="AD276" s="130"/>
      <c r="AF276" s="106"/>
    </row>
    <row r="277">
      <c r="C277" s="79"/>
      <c r="D277" s="79"/>
      <c r="E277" s="79"/>
      <c r="O277" s="79"/>
      <c r="R277" s="79"/>
      <c r="S277" s="79"/>
      <c r="X277" s="79"/>
      <c r="AD277" s="130"/>
      <c r="AF277" s="106"/>
    </row>
    <row r="278">
      <c r="C278" s="79"/>
      <c r="D278" s="79"/>
      <c r="E278" s="79"/>
      <c r="O278" s="79"/>
      <c r="R278" s="79"/>
      <c r="S278" s="79"/>
      <c r="X278" s="79"/>
      <c r="AD278" s="130"/>
      <c r="AF278" s="106"/>
    </row>
    <row r="279">
      <c r="C279" s="79"/>
      <c r="D279" s="79"/>
      <c r="E279" s="79"/>
      <c r="O279" s="79"/>
      <c r="R279" s="79"/>
      <c r="S279" s="79"/>
      <c r="X279" s="79"/>
      <c r="AD279" s="130"/>
      <c r="AF279" s="106"/>
    </row>
    <row r="280">
      <c r="C280" s="79"/>
      <c r="D280" s="79"/>
      <c r="E280" s="79"/>
      <c r="O280" s="79"/>
      <c r="R280" s="79"/>
      <c r="S280" s="79"/>
      <c r="X280" s="79"/>
      <c r="AD280" s="130"/>
      <c r="AF280" s="106"/>
    </row>
    <row r="281">
      <c r="C281" s="79"/>
      <c r="D281" s="79"/>
      <c r="E281" s="79"/>
      <c r="O281" s="79"/>
      <c r="R281" s="79"/>
      <c r="S281" s="79"/>
      <c r="X281" s="79"/>
      <c r="AD281" s="130"/>
      <c r="AF281" s="106"/>
    </row>
    <row r="282">
      <c r="C282" s="79"/>
      <c r="D282" s="79"/>
      <c r="E282" s="79"/>
      <c r="O282" s="79"/>
      <c r="R282" s="79"/>
      <c r="S282" s="79"/>
      <c r="X282" s="79"/>
      <c r="AD282" s="130"/>
      <c r="AF282" s="106"/>
    </row>
    <row r="283">
      <c r="C283" s="79"/>
      <c r="D283" s="79"/>
      <c r="E283" s="79"/>
      <c r="O283" s="79"/>
      <c r="R283" s="79"/>
      <c r="S283" s="79"/>
      <c r="X283" s="79"/>
      <c r="AD283" s="130"/>
      <c r="AF283" s="106"/>
    </row>
    <row r="284">
      <c r="C284" s="79"/>
      <c r="D284" s="79"/>
      <c r="E284" s="79"/>
      <c r="O284" s="79"/>
      <c r="R284" s="79"/>
      <c r="S284" s="79"/>
      <c r="X284" s="79"/>
      <c r="AD284" s="130"/>
      <c r="AF284" s="106"/>
    </row>
    <row r="285">
      <c r="C285" s="79"/>
      <c r="D285" s="79"/>
      <c r="E285" s="79"/>
      <c r="O285" s="79"/>
      <c r="R285" s="79"/>
      <c r="S285" s="79"/>
      <c r="X285" s="79"/>
      <c r="AD285" s="130"/>
      <c r="AF285" s="106"/>
    </row>
    <row r="286">
      <c r="C286" s="79"/>
      <c r="D286" s="79"/>
      <c r="E286" s="79"/>
      <c r="O286" s="79"/>
      <c r="R286" s="79"/>
      <c r="S286" s="79"/>
      <c r="X286" s="79"/>
      <c r="AD286" s="130"/>
      <c r="AF286" s="106"/>
    </row>
    <row r="287">
      <c r="C287" s="79"/>
      <c r="D287" s="79"/>
      <c r="E287" s="79"/>
      <c r="O287" s="79"/>
      <c r="R287" s="79"/>
      <c r="S287" s="79"/>
      <c r="X287" s="79"/>
      <c r="AD287" s="130"/>
      <c r="AF287" s="106"/>
    </row>
    <row r="288">
      <c r="C288" s="79"/>
      <c r="D288" s="79"/>
      <c r="E288" s="79"/>
      <c r="O288" s="79"/>
      <c r="R288" s="79"/>
      <c r="S288" s="79"/>
      <c r="X288" s="79"/>
      <c r="AD288" s="130"/>
      <c r="AF288" s="106"/>
    </row>
    <row r="289">
      <c r="C289" s="79"/>
      <c r="D289" s="79"/>
      <c r="E289" s="79"/>
      <c r="O289" s="79"/>
      <c r="R289" s="79"/>
      <c r="S289" s="79"/>
      <c r="X289" s="79"/>
      <c r="AD289" s="130"/>
      <c r="AF289" s="106"/>
    </row>
    <row r="290">
      <c r="C290" s="79"/>
      <c r="D290" s="79"/>
      <c r="E290" s="79"/>
      <c r="O290" s="79"/>
      <c r="R290" s="79"/>
      <c r="S290" s="79"/>
      <c r="X290" s="79"/>
      <c r="AD290" s="130"/>
      <c r="AF290" s="106"/>
    </row>
    <row r="291">
      <c r="C291" s="79"/>
      <c r="D291" s="79"/>
      <c r="E291" s="79"/>
      <c r="O291" s="79"/>
      <c r="R291" s="79"/>
      <c r="S291" s="79"/>
      <c r="X291" s="79"/>
      <c r="AD291" s="130"/>
      <c r="AF291" s="106"/>
    </row>
    <row r="292">
      <c r="C292" s="79"/>
      <c r="D292" s="79"/>
      <c r="E292" s="79"/>
      <c r="O292" s="79"/>
      <c r="R292" s="79"/>
      <c r="S292" s="79"/>
      <c r="X292" s="79"/>
      <c r="AD292" s="130"/>
      <c r="AF292" s="106"/>
    </row>
    <row r="293">
      <c r="C293" s="79"/>
      <c r="D293" s="79"/>
      <c r="E293" s="79"/>
      <c r="O293" s="79"/>
      <c r="R293" s="79"/>
      <c r="S293" s="79"/>
      <c r="X293" s="79"/>
      <c r="AD293" s="130"/>
      <c r="AF293" s="106"/>
    </row>
    <row r="294">
      <c r="C294" s="79"/>
      <c r="D294" s="79"/>
      <c r="E294" s="79"/>
      <c r="O294" s="79"/>
      <c r="R294" s="79"/>
      <c r="S294" s="79"/>
      <c r="X294" s="79"/>
      <c r="AD294" s="130"/>
      <c r="AF294" s="106"/>
    </row>
    <row r="295">
      <c r="C295" s="79"/>
      <c r="D295" s="79"/>
      <c r="E295" s="79"/>
      <c r="O295" s="79"/>
      <c r="R295" s="79"/>
      <c r="S295" s="79"/>
      <c r="X295" s="79"/>
      <c r="AD295" s="130"/>
      <c r="AF295" s="106"/>
    </row>
    <row r="296">
      <c r="C296" s="79"/>
      <c r="D296" s="79"/>
      <c r="E296" s="79"/>
      <c r="O296" s="79"/>
      <c r="R296" s="79"/>
      <c r="S296" s="79"/>
      <c r="X296" s="79"/>
      <c r="AD296" s="130"/>
      <c r="AF296" s="106"/>
    </row>
    <row r="297">
      <c r="C297" s="79"/>
      <c r="D297" s="79"/>
      <c r="E297" s="79"/>
      <c r="O297" s="79"/>
      <c r="R297" s="79"/>
      <c r="S297" s="79"/>
      <c r="X297" s="79"/>
      <c r="AD297" s="130"/>
      <c r="AF297" s="106"/>
    </row>
    <row r="298">
      <c r="C298" s="79"/>
      <c r="D298" s="79"/>
      <c r="E298" s="79"/>
      <c r="O298" s="79"/>
      <c r="R298" s="79"/>
      <c r="S298" s="79"/>
      <c r="X298" s="79"/>
      <c r="AD298" s="130"/>
      <c r="AF298" s="106"/>
    </row>
    <row r="299">
      <c r="C299" s="79"/>
      <c r="D299" s="79"/>
      <c r="E299" s="79"/>
      <c r="O299" s="79"/>
      <c r="R299" s="79"/>
      <c r="S299" s="79"/>
      <c r="X299" s="79"/>
      <c r="AD299" s="130"/>
      <c r="AF299" s="106"/>
    </row>
    <row r="300">
      <c r="C300" s="79"/>
      <c r="D300" s="79"/>
      <c r="E300" s="79"/>
      <c r="O300" s="79"/>
      <c r="R300" s="79"/>
      <c r="S300" s="79"/>
      <c r="X300" s="79"/>
      <c r="AD300" s="130"/>
      <c r="AF300" s="106"/>
    </row>
    <row r="301">
      <c r="C301" s="79"/>
      <c r="D301" s="79"/>
      <c r="E301" s="79"/>
      <c r="O301" s="79"/>
      <c r="R301" s="79"/>
      <c r="S301" s="79"/>
      <c r="X301" s="79"/>
      <c r="AD301" s="130"/>
      <c r="AF301" s="106"/>
    </row>
    <row r="302">
      <c r="C302" s="79"/>
      <c r="D302" s="79"/>
      <c r="E302" s="79"/>
      <c r="O302" s="79"/>
      <c r="R302" s="79"/>
      <c r="S302" s="79"/>
      <c r="X302" s="79"/>
      <c r="AD302" s="130"/>
      <c r="AF302" s="106"/>
    </row>
    <row r="303">
      <c r="C303" s="79"/>
      <c r="D303" s="79"/>
      <c r="E303" s="79"/>
      <c r="O303" s="79"/>
      <c r="R303" s="79"/>
      <c r="S303" s="79"/>
      <c r="X303" s="79"/>
      <c r="AD303" s="130"/>
      <c r="AF303" s="106"/>
    </row>
    <row r="304">
      <c r="C304" s="79"/>
      <c r="D304" s="79"/>
      <c r="E304" s="79"/>
      <c r="O304" s="79"/>
      <c r="R304" s="79"/>
      <c r="S304" s="79"/>
      <c r="X304" s="79"/>
      <c r="AD304" s="130"/>
      <c r="AF304" s="106"/>
    </row>
    <row r="305">
      <c r="C305" s="79"/>
      <c r="D305" s="79"/>
      <c r="E305" s="79"/>
      <c r="O305" s="79"/>
      <c r="R305" s="79"/>
      <c r="S305" s="79"/>
      <c r="X305" s="79"/>
      <c r="AD305" s="130"/>
      <c r="AF305" s="106"/>
    </row>
    <row r="306">
      <c r="C306" s="79"/>
      <c r="D306" s="79"/>
      <c r="E306" s="79"/>
      <c r="O306" s="79"/>
      <c r="R306" s="79"/>
      <c r="S306" s="79"/>
      <c r="X306" s="79"/>
      <c r="AD306" s="130"/>
      <c r="AF306" s="106"/>
    </row>
    <row r="307">
      <c r="C307" s="79"/>
      <c r="D307" s="79"/>
      <c r="E307" s="79"/>
      <c r="O307" s="79"/>
      <c r="R307" s="79"/>
      <c r="S307" s="79"/>
      <c r="X307" s="79"/>
      <c r="AD307" s="130"/>
      <c r="AF307" s="106"/>
    </row>
    <row r="308">
      <c r="C308" s="79"/>
      <c r="D308" s="79"/>
      <c r="E308" s="79"/>
      <c r="O308" s="79"/>
      <c r="R308" s="79"/>
      <c r="S308" s="79"/>
      <c r="X308" s="79"/>
      <c r="AD308" s="130"/>
      <c r="AF308" s="106"/>
    </row>
    <row r="309">
      <c r="C309" s="79"/>
      <c r="D309" s="79"/>
      <c r="E309" s="79"/>
      <c r="O309" s="79"/>
      <c r="R309" s="79"/>
      <c r="S309" s="79"/>
      <c r="X309" s="79"/>
      <c r="AD309" s="130"/>
      <c r="AF309" s="106"/>
    </row>
    <row r="310">
      <c r="C310" s="79"/>
      <c r="D310" s="79"/>
      <c r="E310" s="79"/>
      <c r="O310" s="79"/>
      <c r="R310" s="79"/>
      <c r="S310" s="79"/>
      <c r="X310" s="79"/>
      <c r="AD310" s="130"/>
      <c r="AF310" s="106"/>
    </row>
    <row r="311">
      <c r="C311" s="79"/>
      <c r="D311" s="79"/>
      <c r="E311" s="79"/>
      <c r="O311" s="79"/>
      <c r="R311" s="79"/>
      <c r="S311" s="79"/>
      <c r="X311" s="79"/>
      <c r="AD311" s="130"/>
      <c r="AF311" s="106"/>
    </row>
    <row r="312">
      <c r="C312" s="79"/>
      <c r="D312" s="79"/>
      <c r="E312" s="79"/>
      <c r="O312" s="79"/>
      <c r="R312" s="79"/>
      <c r="S312" s="79"/>
      <c r="X312" s="79"/>
      <c r="AD312" s="130"/>
      <c r="AF312" s="106"/>
    </row>
    <row r="313">
      <c r="C313" s="79"/>
      <c r="D313" s="79"/>
      <c r="E313" s="79"/>
      <c r="O313" s="79"/>
      <c r="R313" s="79"/>
      <c r="S313" s="79"/>
      <c r="X313" s="79"/>
      <c r="AD313" s="130"/>
      <c r="AF313" s="106"/>
    </row>
    <row r="314">
      <c r="C314" s="79"/>
      <c r="D314" s="79"/>
      <c r="E314" s="79"/>
      <c r="O314" s="79"/>
      <c r="R314" s="79"/>
      <c r="S314" s="79"/>
      <c r="X314" s="79"/>
      <c r="AD314" s="130"/>
      <c r="AF314" s="106"/>
    </row>
    <row r="315">
      <c r="C315" s="79"/>
      <c r="D315" s="79"/>
      <c r="E315" s="79"/>
      <c r="O315" s="79"/>
      <c r="R315" s="79"/>
      <c r="S315" s="79"/>
      <c r="X315" s="79"/>
      <c r="AD315" s="130"/>
      <c r="AF315" s="106"/>
    </row>
    <row r="316">
      <c r="C316" s="79"/>
      <c r="D316" s="79"/>
      <c r="E316" s="79"/>
      <c r="O316" s="79"/>
      <c r="R316" s="79"/>
      <c r="S316" s="79"/>
      <c r="X316" s="79"/>
      <c r="AD316" s="130"/>
      <c r="AF316" s="106"/>
    </row>
    <row r="317">
      <c r="C317" s="79"/>
      <c r="D317" s="79"/>
      <c r="E317" s="79"/>
      <c r="O317" s="79"/>
      <c r="R317" s="79"/>
      <c r="S317" s="79"/>
      <c r="X317" s="79"/>
      <c r="AD317" s="130"/>
      <c r="AF317" s="106"/>
    </row>
    <row r="318">
      <c r="C318" s="79"/>
      <c r="D318" s="79"/>
      <c r="E318" s="79"/>
      <c r="O318" s="79"/>
      <c r="R318" s="79"/>
      <c r="S318" s="79"/>
      <c r="X318" s="79"/>
      <c r="AD318" s="130"/>
      <c r="AF318" s="106"/>
    </row>
    <row r="319">
      <c r="C319" s="79"/>
      <c r="D319" s="79"/>
      <c r="E319" s="79"/>
      <c r="O319" s="79"/>
      <c r="R319" s="79"/>
      <c r="S319" s="79"/>
      <c r="X319" s="79"/>
      <c r="AD319" s="130"/>
      <c r="AF319" s="106"/>
    </row>
    <row r="320">
      <c r="C320" s="79"/>
      <c r="D320" s="79"/>
      <c r="E320" s="79"/>
      <c r="O320" s="79"/>
      <c r="R320" s="79"/>
      <c r="S320" s="79"/>
      <c r="X320" s="79"/>
      <c r="AD320" s="130"/>
      <c r="AF320" s="106"/>
    </row>
    <row r="321">
      <c r="C321" s="79"/>
      <c r="D321" s="79"/>
      <c r="E321" s="79"/>
      <c r="O321" s="79"/>
      <c r="R321" s="79"/>
      <c r="S321" s="79"/>
      <c r="X321" s="79"/>
      <c r="AD321" s="130"/>
      <c r="AF321" s="106"/>
    </row>
    <row r="322">
      <c r="C322" s="79"/>
      <c r="D322" s="79"/>
      <c r="E322" s="79"/>
      <c r="O322" s="79"/>
      <c r="R322" s="79"/>
      <c r="S322" s="79"/>
      <c r="X322" s="79"/>
      <c r="AD322" s="130"/>
      <c r="AF322" s="106"/>
    </row>
    <row r="323">
      <c r="C323" s="79"/>
      <c r="D323" s="79"/>
      <c r="E323" s="79"/>
      <c r="O323" s="79"/>
      <c r="R323" s="79"/>
      <c r="S323" s="79"/>
      <c r="X323" s="79"/>
      <c r="AD323" s="130"/>
      <c r="AF323" s="106"/>
    </row>
    <row r="324">
      <c r="C324" s="79"/>
      <c r="D324" s="79"/>
      <c r="E324" s="79"/>
      <c r="O324" s="79"/>
      <c r="R324" s="79"/>
      <c r="S324" s="79"/>
      <c r="X324" s="79"/>
      <c r="AD324" s="130"/>
      <c r="AF324" s="106"/>
    </row>
    <row r="325">
      <c r="C325" s="79"/>
      <c r="D325" s="79"/>
      <c r="E325" s="79"/>
      <c r="O325" s="79"/>
      <c r="R325" s="79"/>
      <c r="S325" s="79"/>
      <c r="X325" s="79"/>
      <c r="AD325" s="130"/>
      <c r="AF325" s="106"/>
    </row>
    <row r="326">
      <c r="C326" s="79"/>
      <c r="D326" s="79"/>
      <c r="E326" s="79"/>
      <c r="O326" s="79"/>
      <c r="R326" s="79"/>
      <c r="S326" s="79"/>
      <c r="X326" s="79"/>
      <c r="AD326" s="130"/>
      <c r="AF326" s="106"/>
    </row>
    <row r="327">
      <c r="C327" s="79"/>
      <c r="D327" s="79"/>
      <c r="E327" s="79"/>
      <c r="O327" s="79"/>
      <c r="R327" s="79"/>
      <c r="S327" s="79"/>
      <c r="X327" s="79"/>
      <c r="AD327" s="130"/>
      <c r="AF327" s="106"/>
    </row>
    <row r="328">
      <c r="C328" s="79"/>
      <c r="D328" s="79"/>
      <c r="E328" s="79"/>
      <c r="O328" s="79"/>
      <c r="R328" s="79"/>
      <c r="S328" s="79"/>
      <c r="X328" s="79"/>
      <c r="AD328" s="130"/>
      <c r="AF328" s="106"/>
    </row>
    <row r="329">
      <c r="C329" s="79"/>
      <c r="D329" s="79"/>
      <c r="E329" s="79"/>
      <c r="O329" s="79"/>
      <c r="R329" s="79"/>
      <c r="S329" s="79"/>
      <c r="X329" s="79"/>
      <c r="AD329" s="130"/>
      <c r="AF329" s="106"/>
    </row>
    <row r="330">
      <c r="C330" s="79"/>
      <c r="D330" s="79"/>
      <c r="E330" s="79"/>
      <c r="O330" s="79"/>
      <c r="R330" s="79"/>
      <c r="S330" s="79"/>
      <c r="X330" s="79"/>
      <c r="AD330" s="130"/>
      <c r="AF330" s="106"/>
    </row>
    <row r="331">
      <c r="C331" s="79"/>
      <c r="D331" s="79"/>
      <c r="E331" s="79"/>
      <c r="O331" s="79"/>
      <c r="R331" s="79"/>
      <c r="S331" s="79"/>
      <c r="X331" s="79"/>
      <c r="AD331" s="130"/>
      <c r="AF331" s="106"/>
    </row>
    <row r="332">
      <c r="C332" s="79"/>
      <c r="D332" s="79"/>
      <c r="E332" s="79"/>
      <c r="O332" s="79"/>
      <c r="R332" s="79"/>
      <c r="S332" s="79"/>
      <c r="X332" s="79"/>
      <c r="AD332" s="130"/>
      <c r="AF332" s="106"/>
    </row>
    <row r="333">
      <c r="C333" s="79"/>
      <c r="D333" s="79"/>
      <c r="E333" s="79"/>
      <c r="O333" s="79"/>
      <c r="R333" s="79"/>
      <c r="S333" s="79"/>
      <c r="X333" s="79"/>
      <c r="AD333" s="130"/>
      <c r="AF333" s="106"/>
    </row>
    <row r="334">
      <c r="C334" s="79"/>
      <c r="D334" s="79"/>
      <c r="E334" s="79"/>
      <c r="O334" s="79"/>
      <c r="R334" s="79"/>
      <c r="S334" s="79"/>
      <c r="X334" s="79"/>
      <c r="AD334" s="130"/>
      <c r="AF334" s="106"/>
    </row>
    <row r="335">
      <c r="C335" s="79"/>
      <c r="D335" s="79"/>
      <c r="E335" s="79"/>
      <c r="O335" s="79"/>
      <c r="R335" s="79"/>
      <c r="S335" s="79"/>
      <c r="X335" s="79"/>
      <c r="AD335" s="130"/>
      <c r="AF335" s="106"/>
    </row>
    <row r="336">
      <c r="C336" s="79"/>
      <c r="D336" s="79"/>
      <c r="E336" s="79"/>
      <c r="O336" s="79"/>
      <c r="R336" s="79"/>
      <c r="S336" s="79"/>
      <c r="X336" s="79"/>
      <c r="AD336" s="130"/>
      <c r="AF336" s="106"/>
    </row>
    <row r="337">
      <c r="C337" s="79"/>
      <c r="D337" s="79"/>
      <c r="E337" s="79"/>
      <c r="O337" s="79"/>
      <c r="R337" s="79"/>
      <c r="S337" s="79"/>
      <c r="X337" s="79"/>
      <c r="AD337" s="130"/>
      <c r="AF337" s="106"/>
    </row>
    <row r="338">
      <c r="C338" s="79"/>
      <c r="D338" s="79"/>
      <c r="E338" s="79"/>
      <c r="O338" s="79"/>
      <c r="R338" s="79"/>
      <c r="S338" s="79"/>
      <c r="X338" s="79"/>
      <c r="AD338" s="130"/>
      <c r="AF338" s="106"/>
    </row>
    <row r="339">
      <c r="C339" s="79"/>
      <c r="D339" s="79"/>
      <c r="E339" s="79"/>
      <c r="O339" s="79"/>
      <c r="R339" s="79"/>
      <c r="S339" s="79"/>
      <c r="X339" s="79"/>
      <c r="AD339" s="130"/>
      <c r="AF339" s="106"/>
    </row>
    <row r="340">
      <c r="C340" s="79"/>
      <c r="D340" s="79"/>
      <c r="E340" s="79"/>
      <c r="O340" s="79"/>
      <c r="R340" s="79"/>
      <c r="S340" s="79"/>
      <c r="X340" s="79"/>
      <c r="AD340" s="130"/>
      <c r="AF340" s="106"/>
    </row>
    <row r="341">
      <c r="C341" s="79"/>
      <c r="D341" s="79"/>
      <c r="E341" s="79"/>
      <c r="O341" s="79"/>
      <c r="R341" s="79"/>
      <c r="S341" s="79"/>
      <c r="X341" s="79"/>
      <c r="AD341" s="130"/>
      <c r="AF341" s="106"/>
    </row>
    <row r="342">
      <c r="C342" s="79"/>
      <c r="D342" s="79"/>
      <c r="E342" s="79"/>
      <c r="O342" s="79"/>
      <c r="R342" s="79"/>
      <c r="S342" s="79"/>
      <c r="X342" s="79"/>
      <c r="AD342" s="130"/>
      <c r="AF342" s="106"/>
    </row>
    <row r="343">
      <c r="C343" s="79"/>
      <c r="D343" s="79"/>
      <c r="E343" s="79"/>
      <c r="O343" s="79"/>
      <c r="R343" s="79"/>
      <c r="S343" s="79"/>
      <c r="X343" s="79"/>
      <c r="AD343" s="130"/>
      <c r="AF343" s="106"/>
    </row>
    <row r="344">
      <c r="C344" s="79"/>
      <c r="D344" s="79"/>
      <c r="E344" s="79"/>
      <c r="O344" s="79"/>
      <c r="R344" s="79"/>
      <c r="S344" s="79"/>
      <c r="X344" s="79"/>
      <c r="AD344" s="130"/>
      <c r="AF344" s="106"/>
    </row>
    <row r="345">
      <c r="C345" s="79"/>
      <c r="D345" s="79"/>
      <c r="E345" s="79"/>
      <c r="O345" s="79"/>
      <c r="R345" s="79"/>
      <c r="S345" s="79"/>
      <c r="X345" s="79"/>
      <c r="AD345" s="130"/>
      <c r="AF345" s="106"/>
    </row>
    <row r="346">
      <c r="C346" s="79"/>
      <c r="D346" s="79"/>
      <c r="E346" s="79"/>
      <c r="O346" s="79"/>
      <c r="R346" s="79"/>
      <c r="S346" s="79"/>
      <c r="X346" s="79"/>
      <c r="AD346" s="130"/>
      <c r="AF346" s="106"/>
    </row>
    <row r="347">
      <c r="C347" s="79"/>
      <c r="D347" s="79"/>
      <c r="E347" s="79"/>
      <c r="O347" s="79"/>
      <c r="R347" s="79"/>
      <c r="S347" s="79"/>
      <c r="X347" s="79"/>
      <c r="AD347" s="130"/>
      <c r="AF347" s="106"/>
    </row>
    <row r="348">
      <c r="C348" s="79"/>
      <c r="D348" s="79"/>
      <c r="E348" s="79"/>
      <c r="O348" s="79"/>
      <c r="R348" s="79"/>
      <c r="S348" s="79"/>
      <c r="X348" s="79"/>
      <c r="AD348" s="130"/>
      <c r="AF348" s="106"/>
    </row>
    <row r="349">
      <c r="C349" s="79"/>
      <c r="D349" s="79"/>
      <c r="E349" s="79"/>
      <c r="O349" s="79"/>
      <c r="R349" s="79"/>
      <c r="S349" s="79"/>
      <c r="X349" s="79"/>
      <c r="AD349" s="130"/>
      <c r="AF349" s="106"/>
    </row>
    <row r="350">
      <c r="C350" s="79"/>
      <c r="D350" s="79"/>
      <c r="E350" s="79"/>
      <c r="O350" s="79"/>
      <c r="R350" s="79"/>
      <c r="S350" s="79"/>
      <c r="X350" s="79"/>
      <c r="AD350" s="130"/>
      <c r="AF350" s="106"/>
    </row>
    <row r="351">
      <c r="C351" s="79"/>
      <c r="D351" s="79"/>
      <c r="E351" s="79"/>
      <c r="O351" s="79"/>
      <c r="R351" s="79"/>
      <c r="S351" s="79"/>
      <c r="X351" s="79"/>
      <c r="AD351" s="130"/>
      <c r="AF351" s="106"/>
    </row>
    <row r="352">
      <c r="C352" s="79"/>
      <c r="D352" s="79"/>
      <c r="E352" s="79"/>
      <c r="O352" s="79"/>
      <c r="R352" s="79"/>
      <c r="S352" s="79"/>
      <c r="X352" s="79"/>
      <c r="AD352" s="130"/>
      <c r="AF352" s="106"/>
    </row>
    <row r="353">
      <c r="C353" s="79"/>
      <c r="D353" s="79"/>
      <c r="E353" s="79"/>
      <c r="O353" s="79"/>
      <c r="R353" s="79"/>
      <c r="S353" s="79"/>
      <c r="X353" s="79"/>
      <c r="AD353" s="130"/>
      <c r="AF353" s="106"/>
    </row>
    <row r="354">
      <c r="C354" s="79"/>
      <c r="D354" s="79"/>
      <c r="E354" s="79"/>
      <c r="O354" s="79"/>
      <c r="R354" s="79"/>
      <c r="S354" s="79"/>
      <c r="X354" s="79"/>
      <c r="AD354" s="130"/>
      <c r="AF354" s="106"/>
    </row>
    <row r="355">
      <c r="C355" s="79"/>
      <c r="D355" s="79"/>
      <c r="E355" s="79"/>
      <c r="O355" s="79"/>
      <c r="R355" s="79"/>
      <c r="S355" s="79"/>
      <c r="X355" s="79"/>
      <c r="AD355" s="130"/>
      <c r="AF355" s="106"/>
    </row>
    <row r="356">
      <c r="C356" s="79"/>
      <c r="D356" s="79"/>
      <c r="E356" s="79"/>
      <c r="O356" s="79"/>
      <c r="R356" s="79"/>
      <c r="S356" s="79"/>
      <c r="X356" s="79"/>
      <c r="AD356" s="130"/>
      <c r="AF356" s="106"/>
    </row>
    <row r="357">
      <c r="C357" s="79"/>
      <c r="D357" s="79"/>
      <c r="E357" s="79"/>
      <c r="O357" s="79"/>
      <c r="R357" s="79"/>
      <c r="S357" s="79"/>
      <c r="X357" s="79"/>
      <c r="AD357" s="130"/>
      <c r="AF357" s="106"/>
    </row>
    <row r="358">
      <c r="C358" s="79"/>
      <c r="D358" s="79"/>
      <c r="E358" s="79"/>
      <c r="O358" s="79"/>
      <c r="R358" s="79"/>
      <c r="S358" s="79"/>
      <c r="X358" s="79"/>
      <c r="AD358" s="130"/>
      <c r="AF358" s="106"/>
    </row>
    <row r="359">
      <c r="C359" s="79"/>
      <c r="D359" s="79"/>
      <c r="E359" s="79"/>
      <c r="O359" s="79"/>
      <c r="R359" s="79"/>
      <c r="S359" s="79"/>
      <c r="X359" s="79"/>
      <c r="AD359" s="130"/>
      <c r="AF359" s="106"/>
    </row>
    <row r="360">
      <c r="C360" s="79"/>
      <c r="D360" s="79"/>
      <c r="E360" s="79"/>
      <c r="O360" s="79"/>
      <c r="R360" s="79"/>
      <c r="S360" s="79"/>
      <c r="X360" s="79"/>
      <c r="AD360" s="130"/>
      <c r="AF360" s="106"/>
    </row>
    <row r="361">
      <c r="C361" s="79"/>
      <c r="D361" s="79"/>
      <c r="E361" s="79"/>
      <c r="O361" s="79"/>
      <c r="R361" s="79"/>
      <c r="S361" s="79"/>
      <c r="X361" s="79"/>
      <c r="AD361" s="130"/>
      <c r="AF361" s="106"/>
    </row>
    <row r="362">
      <c r="C362" s="79"/>
      <c r="D362" s="79"/>
      <c r="E362" s="79"/>
      <c r="O362" s="79"/>
      <c r="R362" s="79"/>
      <c r="S362" s="79"/>
      <c r="X362" s="79"/>
      <c r="AD362" s="130"/>
      <c r="AF362" s="106"/>
    </row>
    <row r="363">
      <c r="C363" s="79"/>
      <c r="D363" s="79"/>
      <c r="E363" s="79"/>
      <c r="O363" s="79"/>
      <c r="R363" s="79"/>
      <c r="S363" s="79"/>
      <c r="X363" s="79"/>
      <c r="AD363" s="130"/>
      <c r="AF363" s="106"/>
    </row>
    <row r="364">
      <c r="C364" s="79"/>
      <c r="D364" s="79"/>
      <c r="E364" s="79"/>
      <c r="O364" s="79"/>
      <c r="R364" s="79"/>
      <c r="S364" s="79"/>
      <c r="X364" s="79"/>
      <c r="AD364" s="130"/>
      <c r="AF364" s="106"/>
    </row>
    <row r="365">
      <c r="C365" s="79"/>
      <c r="D365" s="79"/>
      <c r="E365" s="79"/>
      <c r="O365" s="79"/>
      <c r="R365" s="79"/>
      <c r="S365" s="79"/>
      <c r="X365" s="79"/>
      <c r="AD365" s="130"/>
      <c r="AF365" s="106"/>
    </row>
    <row r="366">
      <c r="C366" s="79"/>
      <c r="D366" s="79"/>
      <c r="E366" s="79"/>
      <c r="O366" s="79"/>
      <c r="R366" s="79"/>
      <c r="S366" s="79"/>
      <c r="X366" s="79"/>
      <c r="AD366" s="130"/>
      <c r="AF366" s="106"/>
    </row>
    <row r="367">
      <c r="C367" s="79"/>
      <c r="D367" s="79"/>
      <c r="E367" s="79"/>
      <c r="O367" s="79"/>
      <c r="R367" s="79"/>
      <c r="S367" s="79"/>
      <c r="X367" s="79"/>
      <c r="AD367" s="130"/>
      <c r="AF367" s="106"/>
    </row>
    <row r="368">
      <c r="C368" s="79"/>
      <c r="D368" s="79"/>
      <c r="E368" s="79"/>
      <c r="O368" s="79"/>
      <c r="R368" s="79"/>
      <c r="S368" s="79"/>
      <c r="X368" s="79"/>
      <c r="AD368" s="130"/>
      <c r="AF368" s="106"/>
    </row>
    <row r="369">
      <c r="C369" s="79"/>
      <c r="D369" s="79"/>
      <c r="E369" s="79"/>
      <c r="O369" s="79"/>
      <c r="R369" s="79"/>
      <c r="S369" s="79"/>
      <c r="X369" s="79"/>
      <c r="AD369" s="130"/>
      <c r="AF369" s="106"/>
    </row>
    <row r="370">
      <c r="C370" s="79"/>
      <c r="D370" s="79"/>
      <c r="E370" s="79"/>
      <c r="O370" s="79"/>
      <c r="R370" s="79"/>
      <c r="S370" s="79"/>
      <c r="X370" s="79"/>
      <c r="AD370" s="130"/>
      <c r="AF370" s="106"/>
    </row>
    <row r="371">
      <c r="C371" s="79"/>
      <c r="D371" s="79"/>
      <c r="E371" s="79"/>
      <c r="O371" s="79"/>
      <c r="R371" s="79"/>
      <c r="S371" s="79"/>
      <c r="X371" s="79"/>
      <c r="AD371" s="130"/>
      <c r="AF371" s="106"/>
    </row>
    <row r="372">
      <c r="C372" s="79"/>
      <c r="D372" s="79"/>
      <c r="E372" s="79"/>
      <c r="O372" s="79"/>
      <c r="R372" s="79"/>
      <c r="S372" s="79"/>
      <c r="X372" s="79"/>
      <c r="AD372" s="130"/>
      <c r="AF372" s="106"/>
    </row>
    <row r="373">
      <c r="C373" s="79"/>
      <c r="D373" s="79"/>
      <c r="E373" s="79"/>
      <c r="O373" s="79"/>
      <c r="R373" s="79"/>
      <c r="S373" s="79"/>
      <c r="X373" s="79"/>
      <c r="AD373" s="130"/>
      <c r="AF373" s="106"/>
    </row>
    <row r="374">
      <c r="C374" s="79"/>
      <c r="D374" s="79"/>
      <c r="E374" s="79"/>
      <c r="O374" s="79"/>
      <c r="R374" s="79"/>
      <c r="S374" s="79"/>
      <c r="X374" s="79"/>
      <c r="AD374" s="130"/>
      <c r="AF374" s="106"/>
    </row>
    <row r="375">
      <c r="C375" s="79"/>
      <c r="D375" s="79"/>
      <c r="E375" s="79"/>
      <c r="O375" s="79"/>
      <c r="R375" s="79"/>
      <c r="S375" s="79"/>
      <c r="X375" s="79"/>
      <c r="AD375" s="130"/>
      <c r="AF375" s="106"/>
    </row>
    <row r="376">
      <c r="C376" s="79"/>
      <c r="D376" s="79"/>
      <c r="E376" s="79"/>
      <c r="O376" s="79"/>
      <c r="R376" s="79"/>
      <c r="S376" s="79"/>
      <c r="X376" s="79"/>
      <c r="AD376" s="130"/>
      <c r="AF376" s="106"/>
    </row>
    <row r="377">
      <c r="C377" s="79"/>
      <c r="D377" s="79"/>
      <c r="E377" s="79"/>
      <c r="O377" s="79"/>
      <c r="R377" s="79"/>
      <c r="S377" s="79"/>
      <c r="X377" s="79"/>
      <c r="AD377" s="130"/>
      <c r="AF377" s="106"/>
    </row>
    <row r="378">
      <c r="C378" s="79"/>
      <c r="D378" s="79"/>
      <c r="E378" s="79"/>
      <c r="O378" s="79"/>
      <c r="R378" s="79"/>
      <c r="S378" s="79"/>
      <c r="X378" s="79"/>
      <c r="AD378" s="130"/>
      <c r="AF378" s="106"/>
    </row>
    <row r="379">
      <c r="C379" s="79"/>
      <c r="D379" s="79"/>
      <c r="E379" s="79"/>
      <c r="O379" s="79"/>
      <c r="R379" s="79"/>
      <c r="S379" s="79"/>
      <c r="X379" s="79"/>
      <c r="AD379" s="130"/>
      <c r="AF379" s="106"/>
    </row>
    <row r="380">
      <c r="C380" s="79"/>
      <c r="D380" s="79"/>
      <c r="E380" s="79"/>
      <c r="O380" s="79"/>
      <c r="R380" s="79"/>
      <c r="S380" s="79"/>
      <c r="X380" s="79"/>
      <c r="AD380" s="130"/>
      <c r="AF380" s="106"/>
    </row>
    <row r="381">
      <c r="C381" s="79"/>
      <c r="D381" s="79"/>
      <c r="E381" s="79"/>
      <c r="O381" s="79"/>
      <c r="R381" s="79"/>
      <c r="S381" s="79"/>
      <c r="X381" s="79"/>
      <c r="AD381" s="130"/>
      <c r="AF381" s="106"/>
    </row>
    <row r="382">
      <c r="C382" s="79"/>
      <c r="D382" s="79"/>
      <c r="E382" s="79"/>
      <c r="O382" s="79"/>
      <c r="R382" s="79"/>
      <c r="S382" s="79"/>
      <c r="X382" s="79"/>
      <c r="AD382" s="130"/>
      <c r="AF382" s="106"/>
    </row>
    <row r="383">
      <c r="C383" s="79"/>
      <c r="D383" s="79"/>
      <c r="E383" s="79"/>
      <c r="O383" s="79"/>
      <c r="R383" s="79"/>
      <c r="S383" s="79"/>
      <c r="X383" s="79"/>
      <c r="AD383" s="130"/>
      <c r="AF383" s="106"/>
    </row>
    <row r="384">
      <c r="C384" s="79"/>
      <c r="D384" s="79"/>
      <c r="E384" s="79"/>
      <c r="O384" s="79"/>
      <c r="R384" s="79"/>
      <c r="S384" s="79"/>
      <c r="X384" s="79"/>
      <c r="AD384" s="130"/>
      <c r="AF384" s="106"/>
    </row>
    <row r="385">
      <c r="C385" s="79"/>
      <c r="D385" s="79"/>
      <c r="E385" s="79"/>
      <c r="O385" s="79"/>
      <c r="R385" s="79"/>
      <c r="S385" s="79"/>
      <c r="X385" s="79"/>
      <c r="AD385" s="130"/>
      <c r="AF385" s="106"/>
    </row>
    <row r="386">
      <c r="C386" s="79"/>
      <c r="D386" s="79"/>
      <c r="E386" s="79"/>
      <c r="O386" s="79"/>
      <c r="R386" s="79"/>
      <c r="S386" s="79"/>
      <c r="X386" s="79"/>
      <c r="AD386" s="130"/>
      <c r="AF386" s="106"/>
    </row>
    <row r="387">
      <c r="C387" s="79"/>
      <c r="D387" s="79"/>
      <c r="E387" s="79"/>
      <c r="O387" s="79"/>
      <c r="R387" s="79"/>
      <c r="S387" s="79"/>
      <c r="X387" s="79"/>
      <c r="AD387" s="130"/>
      <c r="AF387" s="106"/>
    </row>
    <row r="388">
      <c r="C388" s="79"/>
      <c r="D388" s="79"/>
      <c r="E388" s="79"/>
      <c r="O388" s="79"/>
      <c r="R388" s="79"/>
      <c r="S388" s="79"/>
      <c r="X388" s="79"/>
      <c r="AD388" s="130"/>
      <c r="AF388" s="106"/>
    </row>
    <row r="389">
      <c r="C389" s="79"/>
      <c r="D389" s="79"/>
      <c r="E389" s="79"/>
      <c r="O389" s="79"/>
      <c r="R389" s="79"/>
      <c r="S389" s="79"/>
      <c r="X389" s="79"/>
      <c r="AD389" s="130"/>
      <c r="AF389" s="106"/>
    </row>
    <row r="390">
      <c r="C390" s="79"/>
      <c r="D390" s="79"/>
      <c r="E390" s="79"/>
      <c r="O390" s="79"/>
      <c r="R390" s="79"/>
      <c r="S390" s="79"/>
      <c r="X390" s="79"/>
      <c r="AD390" s="130"/>
      <c r="AF390" s="106"/>
    </row>
    <row r="391">
      <c r="C391" s="79"/>
      <c r="D391" s="79"/>
      <c r="E391" s="79"/>
      <c r="O391" s="79"/>
      <c r="R391" s="79"/>
      <c r="S391" s="79"/>
      <c r="X391" s="79"/>
      <c r="AD391" s="130"/>
      <c r="AF391" s="106"/>
    </row>
    <row r="392">
      <c r="C392" s="79"/>
      <c r="D392" s="79"/>
      <c r="E392" s="79"/>
      <c r="O392" s="79"/>
      <c r="R392" s="79"/>
      <c r="S392" s="79"/>
      <c r="X392" s="79"/>
      <c r="AD392" s="130"/>
      <c r="AF392" s="106"/>
    </row>
    <row r="393">
      <c r="C393" s="79"/>
      <c r="D393" s="79"/>
      <c r="E393" s="79"/>
      <c r="O393" s="79"/>
      <c r="R393" s="79"/>
      <c r="S393" s="79"/>
      <c r="X393" s="79"/>
      <c r="AD393" s="130"/>
      <c r="AF393" s="106"/>
    </row>
    <row r="394">
      <c r="C394" s="79"/>
      <c r="D394" s="79"/>
      <c r="E394" s="79"/>
      <c r="O394" s="79"/>
      <c r="R394" s="79"/>
      <c r="S394" s="79"/>
      <c r="X394" s="79"/>
      <c r="AD394" s="130"/>
      <c r="AF394" s="106"/>
    </row>
    <row r="395">
      <c r="C395" s="79"/>
      <c r="D395" s="79"/>
      <c r="E395" s="79"/>
      <c r="O395" s="79"/>
      <c r="R395" s="79"/>
      <c r="S395" s="79"/>
      <c r="X395" s="79"/>
      <c r="AD395" s="130"/>
      <c r="AF395" s="106"/>
    </row>
    <row r="396">
      <c r="C396" s="79"/>
      <c r="D396" s="79"/>
      <c r="E396" s="79"/>
      <c r="O396" s="79"/>
      <c r="R396" s="79"/>
      <c r="S396" s="79"/>
      <c r="X396" s="79"/>
      <c r="AD396" s="130"/>
      <c r="AF396" s="106"/>
    </row>
    <row r="397">
      <c r="C397" s="79"/>
      <c r="D397" s="79"/>
      <c r="E397" s="79"/>
      <c r="O397" s="79"/>
      <c r="R397" s="79"/>
      <c r="S397" s="79"/>
      <c r="X397" s="79"/>
      <c r="AD397" s="130"/>
      <c r="AF397" s="106"/>
    </row>
    <row r="398">
      <c r="C398" s="79"/>
      <c r="D398" s="79"/>
      <c r="E398" s="79"/>
      <c r="O398" s="79"/>
      <c r="R398" s="79"/>
      <c r="S398" s="79"/>
      <c r="X398" s="79"/>
      <c r="AD398" s="130"/>
      <c r="AF398" s="106"/>
    </row>
    <row r="399">
      <c r="C399" s="79"/>
      <c r="D399" s="79"/>
      <c r="E399" s="79"/>
      <c r="O399" s="79"/>
      <c r="R399" s="79"/>
      <c r="S399" s="79"/>
      <c r="X399" s="79"/>
      <c r="AD399" s="130"/>
      <c r="AF399" s="106"/>
    </row>
    <row r="400">
      <c r="C400" s="79"/>
      <c r="D400" s="79"/>
      <c r="E400" s="79"/>
      <c r="O400" s="79"/>
      <c r="R400" s="79"/>
      <c r="S400" s="79"/>
      <c r="X400" s="79"/>
      <c r="AD400" s="130"/>
      <c r="AF400" s="106"/>
    </row>
    <row r="401">
      <c r="C401" s="79"/>
      <c r="D401" s="79"/>
      <c r="E401" s="79"/>
      <c r="O401" s="79"/>
      <c r="R401" s="79"/>
      <c r="S401" s="79"/>
      <c r="X401" s="79"/>
      <c r="AD401" s="130"/>
      <c r="AF401" s="106"/>
    </row>
    <row r="402">
      <c r="C402" s="79"/>
      <c r="D402" s="79"/>
      <c r="E402" s="79"/>
      <c r="O402" s="79"/>
      <c r="R402" s="79"/>
      <c r="S402" s="79"/>
      <c r="X402" s="79"/>
      <c r="AD402" s="130"/>
      <c r="AF402" s="106"/>
    </row>
    <row r="403">
      <c r="C403" s="79"/>
      <c r="D403" s="79"/>
      <c r="E403" s="79"/>
      <c r="O403" s="79"/>
      <c r="R403" s="79"/>
      <c r="S403" s="79"/>
      <c r="X403" s="79"/>
      <c r="AD403" s="130"/>
      <c r="AF403" s="106"/>
    </row>
    <row r="404">
      <c r="C404" s="79"/>
      <c r="D404" s="79"/>
      <c r="E404" s="79"/>
      <c r="O404" s="79"/>
      <c r="R404" s="79"/>
      <c r="S404" s="79"/>
      <c r="X404" s="79"/>
      <c r="AD404" s="130"/>
      <c r="AF404" s="106"/>
    </row>
    <row r="405">
      <c r="C405" s="79"/>
      <c r="D405" s="79"/>
      <c r="E405" s="79"/>
      <c r="O405" s="79"/>
      <c r="R405" s="79"/>
      <c r="S405" s="79"/>
      <c r="X405" s="79"/>
      <c r="AD405" s="130"/>
      <c r="AF405" s="106"/>
    </row>
    <row r="406">
      <c r="C406" s="79"/>
      <c r="D406" s="79"/>
      <c r="E406" s="79"/>
      <c r="O406" s="79"/>
      <c r="R406" s="79"/>
      <c r="S406" s="79"/>
      <c r="X406" s="79"/>
      <c r="AD406" s="130"/>
      <c r="AF406" s="106"/>
    </row>
    <row r="407">
      <c r="C407" s="79"/>
      <c r="D407" s="79"/>
      <c r="E407" s="79"/>
      <c r="O407" s="79"/>
      <c r="R407" s="79"/>
      <c r="S407" s="79"/>
      <c r="X407" s="79"/>
      <c r="AD407" s="130"/>
      <c r="AF407" s="106"/>
    </row>
    <row r="408">
      <c r="C408" s="79"/>
      <c r="D408" s="79"/>
      <c r="E408" s="79"/>
      <c r="O408" s="79"/>
      <c r="R408" s="79"/>
      <c r="S408" s="79"/>
      <c r="X408" s="79"/>
      <c r="AD408" s="130"/>
      <c r="AF408" s="106"/>
    </row>
    <row r="409">
      <c r="C409" s="79"/>
      <c r="D409" s="79"/>
      <c r="E409" s="79"/>
      <c r="O409" s="79"/>
      <c r="R409" s="79"/>
      <c r="S409" s="79"/>
      <c r="X409" s="79"/>
      <c r="AD409" s="130"/>
      <c r="AF409" s="106"/>
    </row>
    <row r="410">
      <c r="C410" s="79"/>
      <c r="D410" s="79"/>
      <c r="E410" s="79"/>
      <c r="O410" s="79"/>
      <c r="R410" s="79"/>
      <c r="S410" s="79"/>
      <c r="X410" s="79"/>
      <c r="AD410" s="130"/>
      <c r="AF410" s="106"/>
    </row>
    <row r="411">
      <c r="C411" s="79"/>
      <c r="D411" s="79"/>
      <c r="E411" s="79"/>
      <c r="O411" s="79"/>
      <c r="R411" s="79"/>
      <c r="S411" s="79"/>
      <c r="X411" s="79"/>
      <c r="AD411" s="130"/>
      <c r="AF411" s="106"/>
    </row>
    <row r="412">
      <c r="C412" s="79"/>
      <c r="D412" s="79"/>
      <c r="E412" s="79"/>
      <c r="O412" s="79"/>
      <c r="R412" s="79"/>
      <c r="S412" s="79"/>
      <c r="X412" s="79"/>
      <c r="AD412" s="130"/>
      <c r="AF412" s="106"/>
    </row>
    <row r="413">
      <c r="C413" s="79"/>
      <c r="D413" s="79"/>
      <c r="E413" s="79"/>
      <c r="O413" s="79"/>
      <c r="R413" s="79"/>
      <c r="S413" s="79"/>
      <c r="X413" s="79"/>
      <c r="AD413" s="130"/>
      <c r="AF413" s="106"/>
    </row>
    <row r="414">
      <c r="C414" s="79"/>
      <c r="D414" s="79"/>
      <c r="E414" s="79"/>
      <c r="O414" s="79"/>
      <c r="R414" s="79"/>
      <c r="S414" s="79"/>
      <c r="X414" s="79"/>
      <c r="AD414" s="130"/>
      <c r="AF414" s="106"/>
    </row>
    <row r="415">
      <c r="C415" s="79"/>
      <c r="D415" s="79"/>
      <c r="E415" s="79"/>
      <c r="O415" s="79"/>
      <c r="R415" s="79"/>
      <c r="S415" s="79"/>
      <c r="X415" s="79"/>
      <c r="AD415" s="130"/>
      <c r="AF415" s="106"/>
    </row>
    <row r="416">
      <c r="C416" s="79"/>
      <c r="D416" s="79"/>
      <c r="E416" s="79"/>
      <c r="O416" s="79"/>
      <c r="R416" s="79"/>
      <c r="S416" s="79"/>
      <c r="X416" s="79"/>
      <c r="AD416" s="130"/>
      <c r="AF416" s="106"/>
    </row>
    <row r="417">
      <c r="C417" s="79"/>
      <c r="D417" s="79"/>
      <c r="E417" s="79"/>
      <c r="O417" s="79"/>
      <c r="R417" s="79"/>
      <c r="S417" s="79"/>
      <c r="X417" s="79"/>
      <c r="AD417" s="130"/>
      <c r="AF417" s="106"/>
    </row>
    <row r="418">
      <c r="C418" s="79"/>
      <c r="D418" s="79"/>
      <c r="E418" s="79"/>
      <c r="O418" s="79"/>
      <c r="R418" s="79"/>
      <c r="S418" s="79"/>
      <c r="X418" s="79"/>
      <c r="AD418" s="130"/>
      <c r="AF418" s="106"/>
    </row>
    <row r="419">
      <c r="C419" s="79"/>
      <c r="D419" s="79"/>
      <c r="E419" s="79"/>
      <c r="O419" s="79"/>
      <c r="R419" s="79"/>
      <c r="S419" s="79"/>
      <c r="X419" s="79"/>
      <c r="AD419" s="130"/>
      <c r="AF419" s="106"/>
    </row>
    <row r="420">
      <c r="C420" s="79"/>
      <c r="D420" s="79"/>
      <c r="E420" s="79"/>
      <c r="O420" s="79"/>
      <c r="R420" s="79"/>
      <c r="S420" s="79"/>
      <c r="X420" s="79"/>
      <c r="AD420" s="130"/>
      <c r="AF420" s="106"/>
    </row>
    <row r="421">
      <c r="C421" s="79"/>
      <c r="D421" s="79"/>
      <c r="E421" s="79"/>
      <c r="O421" s="79"/>
      <c r="R421" s="79"/>
      <c r="S421" s="79"/>
      <c r="X421" s="79"/>
      <c r="AD421" s="130"/>
      <c r="AF421" s="106"/>
    </row>
    <row r="422">
      <c r="C422" s="79"/>
      <c r="D422" s="79"/>
      <c r="E422" s="79"/>
      <c r="O422" s="79"/>
      <c r="R422" s="79"/>
      <c r="S422" s="79"/>
      <c r="X422" s="79"/>
      <c r="AD422" s="130"/>
      <c r="AF422" s="106"/>
    </row>
    <row r="423">
      <c r="C423" s="79"/>
      <c r="D423" s="79"/>
      <c r="E423" s="79"/>
      <c r="O423" s="79"/>
      <c r="R423" s="79"/>
      <c r="S423" s="79"/>
      <c r="X423" s="79"/>
      <c r="AD423" s="130"/>
      <c r="AF423" s="106"/>
    </row>
    <row r="424">
      <c r="C424" s="79"/>
      <c r="D424" s="79"/>
      <c r="E424" s="79"/>
      <c r="O424" s="79"/>
      <c r="R424" s="79"/>
      <c r="S424" s="79"/>
      <c r="X424" s="79"/>
      <c r="AD424" s="130"/>
      <c r="AF424" s="106"/>
    </row>
    <row r="425">
      <c r="C425" s="79"/>
      <c r="D425" s="79"/>
      <c r="E425" s="79"/>
      <c r="O425" s="79"/>
      <c r="R425" s="79"/>
      <c r="S425" s="79"/>
      <c r="X425" s="79"/>
      <c r="AD425" s="130"/>
      <c r="AF425" s="106"/>
    </row>
    <row r="426">
      <c r="C426" s="79"/>
      <c r="D426" s="79"/>
      <c r="E426" s="79"/>
      <c r="O426" s="79"/>
      <c r="R426" s="79"/>
      <c r="S426" s="79"/>
      <c r="X426" s="79"/>
      <c r="AD426" s="130"/>
      <c r="AF426" s="106"/>
    </row>
    <row r="427">
      <c r="C427" s="79"/>
      <c r="D427" s="79"/>
      <c r="E427" s="79"/>
      <c r="O427" s="79"/>
      <c r="R427" s="79"/>
      <c r="S427" s="79"/>
      <c r="X427" s="79"/>
      <c r="AD427" s="130"/>
      <c r="AF427" s="106"/>
    </row>
    <row r="428">
      <c r="C428" s="79"/>
      <c r="D428" s="79"/>
      <c r="E428" s="79"/>
      <c r="O428" s="79"/>
      <c r="R428" s="79"/>
      <c r="S428" s="79"/>
      <c r="X428" s="79"/>
      <c r="AD428" s="130"/>
      <c r="AF428" s="106"/>
    </row>
    <row r="429">
      <c r="C429" s="79"/>
      <c r="D429" s="79"/>
      <c r="E429" s="79"/>
      <c r="O429" s="79"/>
      <c r="R429" s="79"/>
      <c r="S429" s="79"/>
      <c r="X429" s="79"/>
      <c r="AD429" s="130"/>
      <c r="AF429" s="106"/>
    </row>
    <row r="430">
      <c r="C430" s="79"/>
      <c r="D430" s="79"/>
      <c r="E430" s="79"/>
      <c r="O430" s="79"/>
      <c r="R430" s="79"/>
      <c r="S430" s="79"/>
      <c r="X430" s="79"/>
      <c r="AD430" s="130"/>
      <c r="AF430" s="106"/>
    </row>
    <row r="431">
      <c r="C431" s="79"/>
      <c r="D431" s="79"/>
      <c r="E431" s="79"/>
      <c r="O431" s="79"/>
      <c r="R431" s="79"/>
      <c r="S431" s="79"/>
      <c r="X431" s="79"/>
      <c r="AD431" s="130"/>
      <c r="AF431" s="106"/>
    </row>
    <row r="432">
      <c r="C432" s="79"/>
      <c r="D432" s="79"/>
      <c r="E432" s="79"/>
      <c r="O432" s="79"/>
      <c r="R432" s="79"/>
      <c r="S432" s="79"/>
      <c r="X432" s="79"/>
      <c r="AD432" s="130"/>
      <c r="AF432" s="106"/>
    </row>
    <row r="433">
      <c r="C433" s="79"/>
      <c r="D433" s="79"/>
      <c r="E433" s="79"/>
      <c r="O433" s="79"/>
      <c r="R433" s="79"/>
      <c r="S433" s="79"/>
      <c r="X433" s="79"/>
      <c r="AD433" s="130"/>
      <c r="AF433" s="106"/>
    </row>
    <row r="434">
      <c r="C434" s="79"/>
      <c r="D434" s="79"/>
      <c r="E434" s="79"/>
      <c r="O434" s="79"/>
      <c r="R434" s="79"/>
      <c r="S434" s="79"/>
      <c r="X434" s="79"/>
      <c r="AD434" s="130"/>
      <c r="AF434" s="106"/>
    </row>
    <row r="435">
      <c r="C435" s="79"/>
      <c r="D435" s="79"/>
      <c r="E435" s="79"/>
      <c r="O435" s="79"/>
      <c r="R435" s="79"/>
      <c r="S435" s="79"/>
      <c r="X435" s="79"/>
      <c r="AD435" s="130"/>
      <c r="AF435" s="106"/>
    </row>
    <row r="436">
      <c r="C436" s="79"/>
      <c r="D436" s="79"/>
      <c r="E436" s="79"/>
      <c r="O436" s="79"/>
      <c r="R436" s="79"/>
      <c r="S436" s="79"/>
      <c r="X436" s="79"/>
      <c r="AD436" s="130"/>
      <c r="AF436" s="106"/>
    </row>
    <row r="437">
      <c r="C437" s="79"/>
      <c r="D437" s="79"/>
      <c r="E437" s="79"/>
      <c r="O437" s="79"/>
      <c r="R437" s="79"/>
      <c r="S437" s="79"/>
      <c r="X437" s="79"/>
      <c r="AD437" s="130"/>
      <c r="AF437" s="106"/>
    </row>
    <row r="438">
      <c r="C438" s="79"/>
      <c r="D438" s="79"/>
      <c r="E438" s="79"/>
      <c r="O438" s="79"/>
      <c r="R438" s="79"/>
      <c r="S438" s="79"/>
      <c r="X438" s="79"/>
      <c r="AD438" s="130"/>
      <c r="AF438" s="106"/>
    </row>
    <row r="439">
      <c r="C439" s="79"/>
      <c r="D439" s="79"/>
      <c r="E439" s="79"/>
      <c r="O439" s="79"/>
      <c r="R439" s="79"/>
      <c r="S439" s="79"/>
      <c r="X439" s="79"/>
      <c r="AD439" s="130"/>
      <c r="AF439" s="106"/>
    </row>
    <row r="440">
      <c r="C440" s="79"/>
      <c r="D440" s="79"/>
      <c r="E440" s="79"/>
      <c r="O440" s="79"/>
      <c r="R440" s="79"/>
      <c r="S440" s="79"/>
      <c r="X440" s="79"/>
      <c r="AD440" s="130"/>
      <c r="AF440" s="106"/>
    </row>
    <row r="441">
      <c r="C441" s="79"/>
      <c r="D441" s="79"/>
      <c r="E441" s="79"/>
      <c r="O441" s="79"/>
      <c r="R441" s="79"/>
      <c r="S441" s="79"/>
      <c r="X441" s="79"/>
      <c r="AD441" s="130"/>
      <c r="AF441" s="106"/>
    </row>
    <row r="442">
      <c r="C442" s="79"/>
      <c r="D442" s="79"/>
      <c r="E442" s="79"/>
      <c r="O442" s="79"/>
      <c r="R442" s="79"/>
      <c r="S442" s="79"/>
      <c r="X442" s="79"/>
      <c r="AD442" s="130"/>
      <c r="AF442" s="106"/>
    </row>
    <row r="443">
      <c r="C443" s="79"/>
      <c r="D443" s="79"/>
      <c r="E443" s="79"/>
      <c r="O443" s="79"/>
      <c r="R443" s="79"/>
      <c r="S443" s="79"/>
      <c r="X443" s="79"/>
      <c r="AD443" s="130"/>
      <c r="AF443" s="106"/>
    </row>
    <row r="444">
      <c r="C444" s="79"/>
      <c r="D444" s="79"/>
      <c r="E444" s="79"/>
      <c r="O444" s="79"/>
      <c r="R444" s="79"/>
      <c r="S444" s="79"/>
      <c r="X444" s="79"/>
      <c r="AD444" s="130"/>
      <c r="AF444" s="106"/>
    </row>
    <row r="445">
      <c r="C445" s="79"/>
      <c r="D445" s="79"/>
      <c r="E445" s="79"/>
      <c r="O445" s="79"/>
      <c r="R445" s="79"/>
      <c r="S445" s="79"/>
      <c r="X445" s="79"/>
      <c r="AD445" s="130"/>
      <c r="AF445" s="106"/>
    </row>
    <row r="446">
      <c r="C446" s="79"/>
      <c r="D446" s="79"/>
      <c r="E446" s="79"/>
      <c r="O446" s="79"/>
      <c r="R446" s="79"/>
      <c r="S446" s="79"/>
      <c r="X446" s="79"/>
      <c r="AD446" s="130"/>
      <c r="AF446" s="106"/>
    </row>
    <row r="447">
      <c r="C447" s="79"/>
      <c r="D447" s="79"/>
      <c r="E447" s="79"/>
      <c r="O447" s="79"/>
      <c r="R447" s="79"/>
      <c r="S447" s="79"/>
      <c r="X447" s="79"/>
      <c r="AD447" s="130"/>
      <c r="AF447" s="106"/>
    </row>
    <row r="448">
      <c r="C448" s="79"/>
      <c r="D448" s="79"/>
      <c r="E448" s="79"/>
      <c r="O448" s="79"/>
      <c r="R448" s="79"/>
      <c r="S448" s="79"/>
      <c r="X448" s="79"/>
      <c r="AD448" s="130"/>
      <c r="AF448" s="106"/>
    </row>
    <row r="449">
      <c r="C449" s="79"/>
      <c r="D449" s="79"/>
      <c r="E449" s="79"/>
      <c r="O449" s="79"/>
      <c r="R449" s="79"/>
      <c r="S449" s="79"/>
      <c r="X449" s="79"/>
      <c r="AD449" s="130"/>
      <c r="AF449" s="106"/>
    </row>
    <row r="450">
      <c r="C450" s="79"/>
      <c r="D450" s="79"/>
      <c r="E450" s="79"/>
      <c r="O450" s="79"/>
      <c r="R450" s="79"/>
      <c r="S450" s="79"/>
      <c r="X450" s="79"/>
      <c r="AD450" s="130"/>
      <c r="AF450" s="106"/>
    </row>
    <row r="451">
      <c r="C451" s="79"/>
      <c r="D451" s="79"/>
      <c r="E451" s="79"/>
      <c r="O451" s="79"/>
      <c r="R451" s="79"/>
      <c r="S451" s="79"/>
      <c r="X451" s="79"/>
      <c r="AD451" s="130"/>
      <c r="AF451" s="106"/>
    </row>
    <row r="452">
      <c r="C452" s="79"/>
      <c r="D452" s="79"/>
      <c r="E452" s="79"/>
      <c r="O452" s="79"/>
      <c r="R452" s="79"/>
      <c r="S452" s="79"/>
      <c r="X452" s="79"/>
      <c r="AD452" s="130"/>
      <c r="AF452" s="106"/>
    </row>
    <row r="453">
      <c r="C453" s="79"/>
      <c r="D453" s="79"/>
      <c r="E453" s="79"/>
      <c r="O453" s="79"/>
      <c r="R453" s="79"/>
      <c r="S453" s="79"/>
      <c r="X453" s="79"/>
      <c r="AD453" s="130"/>
      <c r="AF453" s="106"/>
    </row>
    <row r="454">
      <c r="C454" s="79"/>
      <c r="D454" s="79"/>
      <c r="E454" s="79"/>
      <c r="O454" s="79"/>
      <c r="R454" s="79"/>
      <c r="S454" s="79"/>
      <c r="X454" s="79"/>
      <c r="AD454" s="130"/>
      <c r="AF454" s="106"/>
    </row>
    <row r="455">
      <c r="C455" s="79"/>
      <c r="D455" s="79"/>
      <c r="E455" s="79"/>
      <c r="O455" s="79"/>
      <c r="R455" s="79"/>
      <c r="S455" s="79"/>
      <c r="X455" s="79"/>
      <c r="AD455" s="130"/>
      <c r="AF455" s="106"/>
    </row>
    <row r="456">
      <c r="C456" s="79"/>
      <c r="D456" s="79"/>
      <c r="E456" s="79"/>
      <c r="O456" s="79"/>
      <c r="R456" s="79"/>
      <c r="S456" s="79"/>
      <c r="X456" s="79"/>
      <c r="AD456" s="130"/>
      <c r="AF456" s="106"/>
    </row>
    <row r="457">
      <c r="C457" s="79"/>
      <c r="D457" s="79"/>
      <c r="E457" s="79"/>
      <c r="O457" s="79"/>
      <c r="R457" s="79"/>
      <c r="S457" s="79"/>
      <c r="X457" s="79"/>
      <c r="AD457" s="130"/>
      <c r="AF457" s="106"/>
    </row>
    <row r="458">
      <c r="C458" s="79"/>
      <c r="D458" s="79"/>
      <c r="E458" s="79"/>
      <c r="O458" s="79"/>
      <c r="R458" s="79"/>
      <c r="S458" s="79"/>
      <c r="X458" s="79"/>
      <c r="AD458" s="130"/>
      <c r="AF458" s="106"/>
    </row>
    <row r="459">
      <c r="C459" s="79"/>
      <c r="D459" s="79"/>
      <c r="E459" s="79"/>
      <c r="O459" s="79"/>
      <c r="R459" s="79"/>
      <c r="S459" s="79"/>
      <c r="X459" s="79"/>
      <c r="AD459" s="130"/>
      <c r="AF459" s="106"/>
    </row>
    <row r="460">
      <c r="C460" s="79"/>
      <c r="D460" s="79"/>
      <c r="E460" s="79"/>
      <c r="O460" s="79"/>
      <c r="R460" s="79"/>
      <c r="S460" s="79"/>
      <c r="X460" s="79"/>
      <c r="AD460" s="130"/>
      <c r="AF460" s="106"/>
    </row>
    <row r="461">
      <c r="C461" s="79"/>
      <c r="D461" s="79"/>
      <c r="E461" s="79"/>
      <c r="O461" s="79"/>
      <c r="R461" s="79"/>
      <c r="S461" s="79"/>
      <c r="X461" s="79"/>
      <c r="AD461" s="130"/>
      <c r="AF461" s="106"/>
    </row>
    <row r="462">
      <c r="C462" s="79"/>
      <c r="D462" s="79"/>
      <c r="E462" s="79"/>
      <c r="O462" s="79"/>
      <c r="R462" s="79"/>
      <c r="S462" s="79"/>
      <c r="X462" s="79"/>
      <c r="AD462" s="130"/>
      <c r="AF462" s="106"/>
    </row>
    <row r="463">
      <c r="C463" s="79"/>
      <c r="D463" s="79"/>
      <c r="E463" s="79"/>
      <c r="O463" s="79"/>
      <c r="R463" s="79"/>
      <c r="S463" s="79"/>
      <c r="X463" s="79"/>
      <c r="AD463" s="130"/>
      <c r="AF463" s="106"/>
    </row>
    <row r="464">
      <c r="C464" s="79"/>
      <c r="D464" s="79"/>
      <c r="E464" s="79"/>
      <c r="O464" s="79"/>
      <c r="R464" s="79"/>
      <c r="S464" s="79"/>
      <c r="X464" s="79"/>
      <c r="AD464" s="130"/>
      <c r="AF464" s="106"/>
    </row>
    <row r="465">
      <c r="C465" s="79"/>
      <c r="D465" s="79"/>
      <c r="E465" s="79"/>
      <c r="O465" s="79"/>
      <c r="R465" s="79"/>
      <c r="S465" s="79"/>
      <c r="X465" s="79"/>
      <c r="AD465" s="130"/>
      <c r="AF465" s="106"/>
    </row>
    <row r="466">
      <c r="C466" s="79"/>
      <c r="D466" s="79"/>
      <c r="E466" s="79"/>
      <c r="O466" s="79"/>
      <c r="R466" s="79"/>
      <c r="S466" s="79"/>
      <c r="X466" s="79"/>
      <c r="AD466" s="130"/>
      <c r="AF466" s="106"/>
    </row>
    <row r="467">
      <c r="C467" s="79"/>
      <c r="D467" s="79"/>
      <c r="E467" s="79"/>
      <c r="O467" s="79"/>
      <c r="R467" s="79"/>
      <c r="S467" s="79"/>
      <c r="X467" s="79"/>
      <c r="AD467" s="130"/>
      <c r="AF467" s="106"/>
    </row>
    <row r="468">
      <c r="C468" s="79"/>
      <c r="D468" s="79"/>
      <c r="E468" s="79"/>
      <c r="O468" s="79"/>
      <c r="R468" s="79"/>
      <c r="S468" s="79"/>
      <c r="X468" s="79"/>
      <c r="AD468" s="130"/>
      <c r="AF468" s="106"/>
    </row>
    <row r="469">
      <c r="C469" s="79"/>
      <c r="D469" s="79"/>
      <c r="E469" s="79"/>
      <c r="O469" s="79"/>
      <c r="R469" s="79"/>
      <c r="S469" s="79"/>
      <c r="X469" s="79"/>
      <c r="AD469" s="130"/>
      <c r="AF469" s="106"/>
    </row>
    <row r="470">
      <c r="C470" s="79"/>
      <c r="D470" s="79"/>
      <c r="E470" s="79"/>
      <c r="O470" s="79"/>
      <c r="R470" s="79"/>
      <c r="S470" s="79"/>
      <c r="X470" s="79"/>
      <c r="AD470" s="130"/>
      <c r="AF470" s="106"/>
    </row>
    <row r="471">
      <c r="C471" s="79"/>
      <c r="D471" s="79"/>
      <c r="E471" s="79"/>
      <c r="O471" s="79"/>
      <c r="R471" s="79"/>
      <c r="S471" s="79"/>
      <c r="X471" s="79"/>
      <c r="AD471" s="130"/>
      <c r="AF471" s="106"/>
    </row>
    <row r="472">
      <c r="C472" s="79"/>
      <c r="D472" s="79"/>
      <c r="E472" s="79"/>
      <c r="O472" s="79"/>
      <c r="R472" s="79"/>
      <c r="S472" s="79"/>
      <c r="X472" s="79"/>
      <c r="AD472" s="130"/>
      <c r="AF472" s="106"/>
    </row>
    <row r="473">
      <c r="C473" s="79"/>
      <c r="D473" s="79"/>
      <c r="E473" s="79"/>
      <c r="O473" s="79"/>
      <c r="R473" s="79"/>
      <c r="S473" s="79"/>
      <c r="X473" s="79"/>
      <c r="AD473" s="130"/>
      <c r="AF473" s="106"/>
    </row>
    <row r="474">
      <c r="C474" s="79"/>
      <c r="D474" s="79"/>
      <c r="E474" s="79"/>
      <c r="O474" s="79"/>
      <c r="R474" s="79"/>
      <c r="S474" s="79"/>
      <c r="X474" s="79"/>
      <c r="AD474" s="130"/>
      <c r="AF474" s="106"/>
    </row>
    <row r="475">
      <c r="C475" s="79"/>
      <c r="D475" s="79"/>
      <c r="E475" s="79"/>
      <c r="O475" s="79"/>
      <c r="R475" s="79"/>
      <c r="S475" s="79"/>
      <c r="X475" s="79"/>
      <c r="AD475" s="130"/>
      <c r="AF475" s="106"/>
    </row>
    <row r="476">
      <c r="C476" s="79"/>
      <c r="D476" s="79"/>
      <c r="E476" s="79"/>
      <c r="O476" s="79"/>
      <c r="R476" s="79"/>
      <c r="S476" s="79"/>
      <c r="X476" s="79"/>
      <c r="AD476" s="130"/>
      <c r="AF476" s="106"/>
    </row>
    <row r="477">
      <c r="C477" s="79"/>
      <c r="D477" s="79"/>
      <c r="E477" s="79"/>
      <c r="O477" s="79"/>
      <c r="R477" s="79"/>
      <c r="S477" s="79"/>
      <c r="X477" s="79"/>
      <c r="AD477" s="130"/>
      <c r="AF477" s="106"/>
    </row>
    <row r="478">
      <c r="C478" s="79"/>
      <c r="D478" s="79"/>
      <c r="E478" s="79"/>
      <c r="O478" s="79"/>
      <c r="R478" s="79"/>
      <c r="S478" s="79"/>
      <c r="X478" s="79"/>
      <c r="AD478" s="130"/>
      <c r="AF478" s="106"/>
    </row>
    <row r="479">
      <c r="C479" s="79"/>
      <c r="D479" s="79"/>
      <c r="E479" s="79"/>
      <c r="O479" s="79"/>
      <c r="R479" s="79"/>
      <c r="S479" s="79"/>
      <c r="X479" s="79"/>
      <c r="AD479" s="130"/>
      <c r="AF479" s="106"/>
    </row>
    <row r="480">
      <c r="C480" s="79"/>
      <c r="D480" s="79"/>
      <c r="E480" s="79"/>
      <c r="O480" s="79"/>
      <c r="R480" s="79"/>
      <c r="S480" s="79"/>
      <c r="X480" s="79"/>
      <c r="AD480" s="130"/>
      <c r="AF480" s="106"/>
    </row>
    <row r="481">
      <c r="C481" s="79"/>
      <c r="D481" s="79"/>
      <c r="E481" s="79"/>
      <c r="O481" s="79"/>
      <c r="R481" s="79"/>
      <c r="S481" s="79"/>
      <c r="X481" s="79"/>
      <c r="AD481" s="130"/>
      <c r="AF481" s="106"/>
    </row>
    <row r="482">
      <c r="C482" s="79"/>
      <c r="D482" s="79"/>
      <c r="E482" s="79"/>
      <c r="O482" s="79"/>
      <c r="R482" s="79"/>
      <c r="S482" s="79"/>
      <c r="X482" s="79"/>
      <c r="AD482" s="130"/>
      <c r="AF482" s="106"/>
    </row>
    <row r="483">
      <c r="C483" s="79"/>
      <c r="D483" s="79"/>
      <c r="E483" s="79"/>
      <c r="O483" s="79"/>
      <c r="R483" s="79"/>
      <c r="S483" s="79"/>
      <c r="X483" s="79"/>
      <c r="AD483" s="130"/>
      <c r="AF483" s="106"/>
    </row>
    <row r="484">
      <c r="C484" s="79"/>
      <c r="D484" s="79"/>
      <c r="E484" s="79"/>
      <c r="O484" s="79"/>
      <c r="R484" s="79"/>
      <c r="S484" s="79"/>
      <c r="X484" s="79"/>
      <c r="AD484" s="130"/>
      <c r="AF484" s="106"/>
    </row>
    <row r="485">
      <c r="C485" s="79"/>
      <c r="D485" s="79"/>
      <c r="E485" s="79"/>
      <c r="O485" s="79"/>
      <c r="R485" s="79"/>
      <c r="S485" s="79"/>
      <c r="X485" s="79"/>
      <c r="AD485" s="130"/>
      <c r="AF485" s="106"/>
    </row>
    <row r="486">
      <c r="C486" s="79"/>
      <c r="D486" s="79"/>
      <c r="E486" s="79"/>
      <c r="O486" s="79"/>
      <c r="R486" s="79"/>
      <c r="S486" s="79"/>
      <c r="X486" s="79"/>
      <c r="AD486" s="130"/>
      <c r="AF486" s="106"/>
    </row>
    <row r="487">
      <c r="C487" s="79"/>
      <c r="D487" s="79"/>
      <c r="E487" s="79"/>
      <c r="O487" s="79"/>
      <c r="R487" s="79"/>
      <c r="S487" s="79"/>
      <c r="X487" s="79"/>
      <c r="AD487" s="130"/>
      <c r="AF487" s="106"/>
    </row>
    <row r="488">
      <c r="C488" s="79"/>
      <c r="D488" s="79"/>
      <c r="E488" s="79"/>
      <c r="O488" s="79"/>
      <c r="R488" s="79"/>
      <c r="S488" s="79"/>
      <c r="X488" s="79"/>
      <c r="AD488" s="130"/>
      <c r="AF488" s="106"/>
    </row>
    <row r="489">
      <c r="C489" s="79"/>
      <c r="D489" s="79"/>
      <c r="E489" s="79"/>
      <c r="O489" s="79"/>
      <c r="R489" s="79"/>
      <c r="S489" s="79"/>
      <c r="X489" s="79"/>
      <c r="AD489" s="130"/>
      <c r="AF489" s="106"/>
    </row>
    <row r="490">
      <c r="C490" s="79"/>
      <c r="D490" s="79"/>
      <c r="E490" s="79"/>
      <c r="O490" s="79"/>
      <c r="R490" s="79"/>
      <c r="S490" s="79"/>
      <c r="X490" s="79"/>
      <c r="AD490" s="130"/>
      <c r="AF490" s="106"/>
    </row>
    <row r="491">
      <c r="C491" s="79"/>
      <c r="D491" s="79"/>
      <c r="E491" s="79"/>
      <c r="O491" s="79"/>
      <c r="R491" s="79"/>
      <c r="S491" s="79"/>
      <c r="X491" s="79"/>
      <c r="AD491" s="130"/>
      <c r="AF491" s="106"/>
    </row>
    <row r="492">
      <c r="C492" s="79"/>
      <c r="D492" s="79"/>
      <c r="E492" s="79"/>
      <c r="O492" s="79"/>
      <c r="R492" s="79"/>
      <c r="S492" s="79"/>
      <c r="X492" s="79"/>
      <c r="AD492" s="130"/>
      <c r="AF492" s="106"/>
    </row>
    <row r="493">
      <c r="C493" s="79"/>
      <c r="D493" s="79"/>
      <c r="E493" s="79"/>
      <c r="O493" s="79"/>
      <c r="R493" s="79"/>
      <c r="S493" s="79"/>
      <c r="X493" s="79"/>
      <c r="AD493" s="130"/>
      <c r="AF493" s="106"/>
    </row>
    <row r="494">
      <c r="C494" s="79"/>
      <c r="D494" s="79"/>
      <c r="E494" s="79"/>
      <c r="O494" s="79"/>
      <c r="R494" s="79"/>
      <c r="S494" s="79"/>
      <c r="X494" s="79"/>
      <c r="AD494" s="130"/>
      <c r="AF494" s="106"/>
    </row>
    <row r="495">
      <c r="C495" s="79"/>
      <c r="D495" s="79"/>
      <c r="E495" s="79"/>
      <c r="O495" s="79"/>
      <c r="R495" s="79"/>
      <c r="S495" s="79"/>
      <c r="X495" s="79"/>
      <c r="AD495" s="130"/>
      <c r="AF495" s="106"/>
    </row>
    <row r="496">
      <c r="C496" s="79"/>
      <c r="D496" s="79"/>
      <c r="E496" s="79"/>
      <c r="O496" s="79"/>
      <c r="R496" s="79"/>
      <c r="S496" s="79"/>
      <c r="X496" s="79"/>
      <c r="AD496" s="130"/>
      <c r="AF496" s="106"/>
    </row>
    <row r="497">
      <c r="C497" s="79"/>
      <c r="D497" s="79"/>
      <c r="E497" s="79"/>
      <c r="O497" s="79"/>
      <c r="R497" s="79"/>
      <c r="S497" s="79"/>
      <c r="X497" s="79"/>
      <c r="AD497" s="130"/>
      <c r="AF497" s="106"/>
    </row>
    <row r="498">
      <c r="C498" s="79"/>
      <c r="D498" s="79"/>
      <c r="E498" s="79"/>
      <c r="O498" s="79"/>
      <c r="R498" s="79"/>
      <c r="S498" s="79"/>
      <c r="X498" s="79"/>
      <c r="AD498" s="130"/>
      <c r="AF498" s="106"/>
    </row>
    <row r="499">
      <c r="C499" s="79"/>
      <c r="D499" s="79"/>
      <c r="E499" s="79"/>
      <c r="O499" s="79"/>
      <c r="R499" s="79"/>
      <c r="S499" s="79"/>
      <c r="X499" s="79"/>
      <c r="AD499" s="130"/>
      <c r="AF499" s="106"/>
    </row>
    <row r="500">
      <c r="C500" s="79"/>
      <c r="D500" s="79"/>
      <c r="E500" s="79"/>
      <c r="O500" s="79"/>
      <c r="R500" s="79"/>
      <c r="S500" s="79"/>
      <c r="X500" s="79"/>
      <c r="AD500" s="130"/>
      <c r="AF500" s="106"/>
    </row>
    <row r="501">
      <c r="C501" s="79"/>
      <c r="D501" s="79"/>
      <c r="E501" s="79"/>
      <c r="O501" s="79"/>
      <c r="R501" s="79"/>
      <c r="S501" s="79"/>
      <c r="X501" s="79"/>
      <c r="AD501" s="130"/>
      <c r="AF501" s="106"/>
    </row>
    <row r="502">
      <c r="C502" s="79"/>
      <c r="D502" s="79"/>
      <c r="E502" s="79"/>
      <c r="O502" s="79"/>
      <c r="R502" s="79"/>
      <c r="S502" s="79"/>
      <c r="X502" s="79"/>
      <c r="AD502" s="130"/>
      <c r="AF502" s="106"/>
    </row>
    <row r="503">
      <c r="C503" s="79"/>
      <c r="D503" s="79"/>
      <c r="E503" s="79"/>
      <c r="O503" s="79"/>
      <c r="R503" s="79"/>
      <c r="S503" s="79"/>
      <c r="X503" s="79"/>
      <c r="AD503" s="130"/>
      <c r="AF503" s="106"/>
    </row>
    <row r="504">
      <c r="C504" s="79"/>
      <c r="D504" s="79"/>
      <c r="E504" s="79"/>
      <c r="O504" s="79"/>
      <c r="R504" s="79"/>
      <c r="S504" s="79"/>
      <c r="X504" s="79"/>
      <c r="AD504" s="130"/>
      <c r="AF504" s="106"/>
    </row>
    <row r="505">
      <c r="C505" s="79"/>
      <c r="D505" s="79"/>
      <c r="E505" s="79"/>
      <c r="O505" s="79"/>
      <c r="R505" s="79"/>
      <c r="S505" s="79"/>
      <c r="X505" s="79"/>
      <c r="AD505" s="130"/>
      <c r="AF505" s="106"/>
    </row>
    <row r="506">
      <c r="C506" s="79"/>
      <c r="D506" s="79"/>
      <c r="E506" s="79"/>
      <c r="O506" s="79"/>
      <c r="R506" s="79"/>
      <c r="S506" s="79"/>
      <c r="X506" s="79"/>
      <c r="AD506" s="130"/>
      <c r="AF506" s="106"/>
    </row>
    <row r="507">
      <c r="C507" s="79"/>
      <c r="D507" s="79"/>
      <c r="E507" s="79"/>
      <c r="O507" s="79"/>
      <c r="R507" s="79"/>
      <c r="S507" s="79"/>
      <c r="X507" s="79"/>
      <c r="AD507" s="130"/>
      <c r="AF507" s="106"/>
    </row>
    <row r="508">
      <c r="C508" s="79"/>
      <c r="D508" s="79"/>
      <c r="E508" s="79"/>
      <c r="O508" s="79"/>
      <c r="R508" s="79"/>
      <c r="S508" s="79"/>
      <c r="X508" s="79"/>
      <c r="AD508" s="130"/>
      <c r="AF508" s="106"/>
    </row>
    <row r="509">
      <c r="C509" s="79"/>
      <c r="D509" s="79"/>
      <c r="E509" s="79"/>
      <c r="O509" s="79"/>
      <c r="R509" s="79"/>
      <c r="S509" s="79"/>
      <c r="X509" s="79"/>
      <c r="AD509" s="130"/>
      <c r="AF509" s="106"/>
    </row>
    <row r="510">
      <c r="C510" s="79"/>
      <c r="D510" s="79"/>
      <c r="E510" s="79"/>
      <c r="O510" s="79"/>
      <c r="R510" s="79"/>
      <c r="S510" s="79"/>
      <c r="X510" s="79"/>
      <c r="AD510" s="130"/>
      <c r="AF510" s="106"/>
    </row>
    <row r="511">
      <c r="C511" s="79"/>
      <c r="D511" s="79"/>
      <c r="E511" s="79"/>
      <c r="O511" s="79"/>
      <c r="R511" s="79"/>
      <c r="S511" s="79"/>
      <c r="X511" s="79"/>
      <c r="AD511" s="130"/>
      <c r="AF511" s="106"/>
    </row>
    <row r="512">
      <c r="C512" s="79"/>
      <c r="D512" s="79"/>
      <c r="E512" s="79"/>
      <c r="O512" s="79"/>
      <c r="R512" s="79"/>
      <c r="S512" s="79"/>
      <c r="X512" s="79"/>
      <c r="AD512" s="130"/>
      <c r="AF512" s="106"/>
    </row>
    <row r="513">
      <c r="C513" s="79"/>
      <c r="D513" s="79"/>
      <c r="E513" s="79"/>
      <c r="O513" s="79"/>
      <c r="R513" s="79"/>
      <c r="S513" s="79"/>
      <c r="X513" s="79"/>
      <c r="AD513" s="130"/>
      <c r="AF513" s="106"/>
    </row>
    <row r="514">
      <c r="C514" s="79"/>
      <c r="D514" s="79"/>
      <c r="E514" s="79"/>
      <c r="O514" s="79"/>
      <c r="R514" s="79"/>
      <c r="S514" s="79"/>
      <c r="X514" s="79"/>
      <c r="AD514" s="130"/>
      <c r="AF514" s="106"/>
    </row>
    <row r="515">
      <c r="C515" s="79"/>
      <c r="D515" s="79"/>
      <c r="E515" s="79"/>
      <c r="O515" s="79"/>
      <c r="R515" s="79"/>
      <c r="S515" s="79"/>
      <c r="X515" s="79"/>
      <c r="AD515" s="130"/>
      <c r="AF515" s="106"/>
    </row>
    <row r="516">
      <c r="C516" s="79"/>
      <c r="D516" s="79"/>
      <c r="E516" s="79"/>
      <c r="O516" s="79"/>
      <c r="R516" s="79"/>
      <c r="S516" s="79"/>
      <c r="X516" s="79"/>
      <c r="AD516" s="130"/>
      <c r="AF516" s="106"/>
    </row>
    <row r="517">
      <c r="C517" s="79"/>
      <c r="D517" s="79"/>
      <c r="E517" s="79"/>
      <c r="O517" s="79"/>
      <c r="R517" s="79"/>
      <c r="S517" s="79"/>
      <c r="X517" s="79"/>
      <c r="AD517" s="130"/>
      <c r="AF517" s="106"/>
    </row>
    <row r="518">
      <c r="C518" s="79"/>
      <c r="D518" s="79"/>
      <c r="E518" s="79"/>
      <c r="O518" s="79"/>
      <c r="R518" s="79"/>
      <c r="S518" s="79"/>
      <c r="X518" s="79"/>
      <c r="AD518" s="130"/>
      <c r="AF518" s="106"/>
    </row>
    <row r="519">
      <c r="C519" s="79"/>
      <c r="D519" s="79"/>
      <c r="E519" s="79"/>
      <c r="O519" s="79"/>
      <c r="R519" s="79"/>
      <c r="S519" s="79"/>
      <c r="X519" s="79"/>
      <c r="AD519" s="130"/>
      <c r="AF519" s="106"/>
    </row>
    <row r="520">
      <c r="C520" s="79"/>
      <c r="D520" s="79"/>
      <c r="E520" s="79"/>
      <c r="O520" s="79"/>
      <c r="R520" s="79"/>
      <c r="S520" s="79"/>
      <c r="X520" s="79"/>
      <c r="AD520" s="130"/>
      <c r="AF520" s="106"/>
    </row>
    <row r="521">
      <c r="C521" s="79"/>
      <c r="D521" s="79"/>
      <c r="E521" s="79"/>
      <c r="O521" s="79"/>
      <c r="R521" s="79"/>
      <c r="S521" s="79"/>
      <c r="X521" s="79"/>
      <c r="AD521" s="130"/>
      <c r="AF521" s="106"/>
    </row>
    <row r="522">
      <c r="C522" s="79"/>
      <c r="D522" s="79"/>
      <c r="E522" s="79"/>
      <c r="O522" s="79"/>
      <c r="R522" s="79"/>
      <c r="S522" s="79"/>
      <c r="X522" s="79"/>
      <c r="AD522" s="130"/>
      <c r="AF522" s="106"/>
    </row>
    <row r="523">
      <c r="C523" s="79"/>
      <c r="D523" s="79"/>
      <c r="E523" s="79"/>
      <c r="O523" s="79"/>
      <c r="R523" s="79"/>
      <c r="S523" s="79"/>
      <c r="X523" s="79"/>
      <c r="AD523" s="130"/>
      <c r="AF523" s="106"/>
    </row>
    <row r="524">
      <c r="C524" s="79"/>
      <c r="D524" s="79"/>
      <c r="E524" s="79"/>
      <c r="O524" s="79"/>
      <c r="R524" s="79"/>
      <c r="S524" s="79"/>
      <c r="X524" s="79"/>
      <c r="AD524" s="130"/>
      <c r="AF524" s="106"/>
    </row>
    <row r="525">
      <c r="C525" s="79"/>
      <c r="D525" s="79"/>
      <c r="E525" s="79"/>
      <c r="O525" s="79"/>
      <c r="R525" s="79"/>
      <c r="S525" s="79"/>
      <c r="X525" s="79"/>
      <c r="AD525" s="130"/>
      <c r="AF525" s="106"/>
    </row>
    <row r="526">
      <c r="C526" s="79"/>
      <c r="D526" s="79"/>
      <c r="E526" s="79"/>
      <c r="O526" s="79"/>
      <c r="R526" s="79"/>
      <c r="S526" s="79"/>
      <c r="X526" s="79"/>
      <c r="AD526" s="130"/>
      <c r="AF526" s="106"/>
    </row>
    <row r="527">
      <c r="C527" s="79"/>
      <c r="D527" s="79"/>
      <c r="E527" s="79"/>
      <c r="O527" s="79"/>
      <c r="R527" s="79"/>
      <c r="S527" s="79"/>
      <c r="X527" s="79"/>
      <c r="AD527" s="130"/>
      <c r="AF527" s="106"/>
    </row>
    <row r="528">
      <c r="C528" s="79"/>
      <c r="D528" s="79"/>
      <c r="E528" s="79"/>
      <c r="O528" s="79"/>
      <c r="R528" s="79"/>
      <c r="S528" s="79"/>
      <c r="X528" s="79"/>
      <c r="AD528" s="130"/>
      <c r="AF528" s="106"/>
    </row>
    <row r="529">
      <c r="C529" s="79"/>
      <c r="D529" s="79"/>
      <c r="E529" s="79"/>
      <c r="O529" s="79"/>
      <c r="R529" s="79"/>
      <c r="S529" s="79"/>
      <c r="X529" s="79"/>
      <c r="AD529" s="130"/>
      <c r="AF529" s="106"/>
    </row>
    <row r="530">
      <c r="C530" s="79"/>
      <c r="D530" s="79"/>
      <c r="E530" s="79"/>
      <c r="O530" s="79"/>
      <c r="R530" s="79"/>
      <c r="S530" s="79"/>
      <c r="X530" s="79"/>
      <c r="AD530" s="130"/>
      <c r="AF530" s="106"/>
    </row>
    <row r="531">
      <c r="C531" s="79"/>
      <c r="D531" s="79"/>
      <c r="E531" s="79"/>
      <c r="O531" s="79"/>
      <c r="R531" s="79"/>
      <c r="S531" s="79"/>
      <c r="X531" s="79"/>
      <c r="AD531" s="130"/>
      <c r="AF531" s="106"/>
    </row>
    <row r="532">
      <c r="C532" s="79"/>
      <c r="D532" s="79"/>
      <c r="E532" s="79"/>
      <c r="O532" s="79"/>
      <c r="R532" s="79"/>
      <c r="S532" s="79"/>
      <c r="X532" s="79"/>
      <c r="AD532" s="130"/>
      <c r="AF532" s="106"/>
    </row>
    <row r="533">
      <c r="C533" s="79"/>
      <c r="D533" s="79"/>
      <c r="E533" s="79"/>
      <c r="O533" s="79"/>
      <c r="R533" s="79"/>
      <c r="S533" s="79"/>
      <c r="X533" s="79"/>
      <c r="AD533" s="130"/>
      <c r="AF533" s="106"/>
    </row>
    <row r="534">
      <c r="C534" s="79"/>
      <c r="D534" s="79"/>
      <c r="E534" s="79"/>
      <c r="O534" s="79"/>
      <c r="R534" s="79"/>
      <c r="S534" s="79"/>
      <c r="X534" s="79"/>
      <c r="AD534" s="130"/>
      <c r="AF534" s="106"/>
    </row>
    <row r="535">
      <c r="C535" s="79"/>
      <c r="D535" s="79"/>
      <c r="E535" s="79"/>
      <c r="O535" s="79"/>
      <c r="R535" s="79"/>
      <c r="S535" s="79"/>
      <c r="X535" s="79"/>
      <c r="AD535" s="130"/>
      <c r="AF535" s="106"/>
    </row>
    <row r="536">
      <c r="C536" s="79"/>
      <c r="D536" s="79"/>
      <c r="E536" s="79"/>
      <c r="O536" s="79"/>
      <c r="R536" s="79"/>
      <c r="S536" s="79"/>
      <c r="X536" s="79"/>
      <c r="AD536" s="130"/>
      <c r="AF536" s="106"/>
    </row>
    <row r="537">
      <c r="C537" s="79"/>
      <c r="D537" s="79"/>
      <c r="E537" s="79"/>
      <c r="O537" s="79"/>
      <c r="R537" s="79"/>
      <c r="S537" s="79"/>
      <c r="X537" s="79"/>
      <c r="AD537" s="130"/>
      <c r="AF537" s="106"/>
    </row>
    <row r="538">
      <c r="C538" s="79"/>
      <c r="D538" s="79"/>
      <c r="E538" s="79"/>
      <c r="O538" s="79"/>
      <c r="R538" s="79"/>
      <c r="S538" s="79"/>
      <c r="X538" s="79"/>
      <c r="AD538" s="130"/>
      <c r="AF538" s="106"/>
    </row>
    <row r="539">
      <c r="C539" s="79"/>
      <c r="D539" s="79"/>
      <c r="E539" s="79"/>
      <c r="O539" s="79"/>
      <c r="R539" s="79"/>
      <c r="S539" s="79"/>
      <c r="X539" s="79"/>
      <c r="AD539" s="130"/>
      <c r="AF539" s="106"/>
    </row>
    <row r="540">
      <c r="C540" s="79"/>
      <c r="D540" s="79"/>
      <c r="E540" s="79"/>
      <c r="O540" s="79"/>
      <c r="R540" s="79"/>
      <c r="S540" s="79"/>
      <c r="X540" s="79"/>
      <c r="AD540" s="130"/>
      <c r="AF540" s="106"/>
    </row>
    <row r="541">
      <c r="C541" s="79"/>
      <c r="D541" s="79"/>
      <c r="E541" s="79"/>
      <c r="O541" s="79"/>
      <c r="R541" s="79"/>
      <c r="S541" s="79"/>
      <c r="X541" s="79"/>
      <c r="AD541" s="130"/>
      <c r="AF541" s="106"/>
    </row>
    <row r="542">
      <c r="C542" s="79"/>
      <c r="D542" s="79"/>
      <c r="E542" s="79"/>
      <c r="O542" s="79"/>
      <c r="R542" s="79"/>
      <c r="S542" s="79"/>
      <c r="X542" s="79"/>
      <c r="AD542" s="130"/>
      <c r="AF542" s="106"/>
    </row>
    <row r="543">
      <c r="C543" s="79"/>
      <c r="D543" s="79"/>
      <c r="E543" s="79"/>
      <c r="O543" s="79"/>
      <c r="R543" s="79"/>
      <c r="S543" s="79"/>
      <c r="X543" s="79"/>
      <c r="AD543" s="130"/>
      <c r="AF543" s="106"/>
    </row>
    <row r="544">
      <c r="C544" s="79"/>
      <c r="D544" s="79"/>
      <c r="E544" s="79"/>
      <c r="O544" s="79"/>
      <c r="R544" s="79"/>
      <c r="S544" s="79"/>
      <c r="X544" s="79"/>
      <c r="AD544" s="130"/>
      <c r="AF544" s="106"/>
    </row>
    <row r="545">
      <c r="C545" s="79"/>
      <c r="D545" s="79"/>
      <c r="E545" s="79"/>
      <c r="O545" s="79"/>
      <c r="R545" s="79"/>
      <c r="S545" s="79"/>
      <c r="X545" s="79"/>
      <c r="AD545" s="130"/>
      <c r="AF545" s="106"/>
    </row>
    <row r="546">
      <c r="C546" s="79"/>
      <c r="D546" s="79"/>
      <c r="E546" s="79"/>
      <c r="O546" s="79"/>
      <c r="R546" s="79"/>
      <c r="S546" s="79"/>
      <c r="X546" s="79"/>
      <c r="AD546" s="130"/>
      <c r="AF546" s="106"/>
    </row>
    <row r="547">
      <c r="C547" s="79"/>
      <c r="D547" s="79"/>
      <c r="E547" s="79"/>
      <c r="O547" s="79"/>
      <c r="R547" s="79"/>
      <c r="S547" s="79"/>
      <c r="X547" s="79"/>
      <c r="AD547" s="130"/>
      <c r="AF547" s="106"/>
    </row>
    <row r="548">
      <c r="C548" s="79"/>
      <c r="D548" s="79"/>
      <c r="E548" s="79"/>
      <c r="O548" s="79"/>
      <c r="R548" s="79"/>
      <c r="S548" s="79"/>
      <c r="X548" s="79"/>
      <c r="AD548" s="130"/>
      <c r="AF548" s="106"/>
    </row>
    <row r="549">
      <c r="C549" s="79"/>
      <c r="D549" s="79"/>
      <c r="E549" s="79"/>
      <c r="O549" s="79"/>
      <c r="R549" s="79"/>
      <c r="S549" s="79"/>
      <c r="X549" s="79"/>
      <c r="AD549" s="130"/>
      <c r="AF549" s="106"/>
    </row>
    <row r="550">
      <c r="C550" s="79"/>
      <c r="D550" s="79"/>
      <c r="E550" s="79"/>
      <c r="O550" s="79"/>
      <c r="R550" s="79"/>
      <c r="S550" s="79"/>
      <c r="X550" s="79"/>
      <c r="AD550" s="130"/>
      <c r="AF550" s="106"/>
    </row>
    <row r="551">
      <c r="C551" s="79"/>
      <c r="D551" s="79"/>
      <c r="E551" s="79"/>
      <c r="O551" s="79"/>
      <c r="R551" s="79"/>
      <c r="S551" s="79"/>
      <c r="X551" s="79"/>
      <c r="AD551" s="130"/>
      <c r="AF551" s="106"/>
    </row>
    <row r="552">
      <c r="C552" s="79"/>
      <c r="D552" s="79"/>
      <c r="E552" s="79"/>
      <c r="O552" s="79"/>
      <c r="R552" s="79"/>
      <c r="S552" s="79"/>
      <c r="X552" s="79"/>
      <c r="AD552" s="130"/>
      <c r="AF552" s="106"/>
    </row>
    <row r="553">
      <c r="C553" s="79"/>
      <c r="D553" s="79"/>
      <c r="E553" s="79"/>
      <c r="O553" s="79"/>
      <c r="R553" s="79"/>
      <c r="S553" s="79"/>
      <c r="X553" s="79"/>
      <c r="AD553" s="130"/>
      <c r="AF553" s="106"/>
    </row>
    <row r="554">
      <c r="C554" s="79"/>
      <c r="D554" s="79"/>
      <c r="E554" s="79"/>
      <c r="O554" s="79"/>
      <c r="R554" s="79"/>
      <c r="S554" s="79"/>
      <c r="X554" s="79"/>
      <c r="AD554" s="130"/>
      <c r="AF554" s="106"/>
    </row>
    <row r="555">
      <c r="C555" s="79"/>
      <c r="D555" s="79"/>
      <c r="E555" s="79"/>
      <c r="O555" s="79"/>
      <c r="R555" s="79"/>
      <c r="S555" s="79"/>
      <c r="X555" s="79"/>
      <c r="AD555" s="130"/>
      <c r="AF555" s="106"/>
    </row>
    <row r="556">
      <c r="C556" s="79"/>
      <c r="D556" s="79"/>
      <c r="E556" s="79"/>
      <c r="O556" s="79"/>
      <c r="R556" s="79"/>
      <c r="S556" s="79"/>
      <c r="X556" s="79"/>
      <c r="AD556" s="130"/>
      <c r="AF556" s="106"/>
    </row>
    <row r="557">
      <c r="C557" s="79"/>
      <c r="D557" s="79"/>
      <c r="E557" s="79"/>
      <c r="O557" s="79"/>
      <c r="R557" s="79"/>
      <c r="S557" s="79"/>
      <c r="X557" s="79"/>
      <c r="AD557" s="130"/>
      <c r="AF557" s="106"/>
    </row>
    <row r="558">
      <c r="C558" s="79"/>
      <c r="D558" s="79"/>
      <c r="E558" s="79"/>
      <c r="O558" s="79"/>
      <c r="R558" s="79"/>
      <c r="S558" s="79"/>
      <c r="X558" s="79"/>
      <c r="AD558" s="130"/>
      <c r="AF558" s="106"/>
    </row>
    <row r="559">
      <c r="C559" s="79"/>
      <c r="D559" s="79"/>
      <c r="E559" s="79"/>
      <c r="O559" s="79"/>
      <c r="R559" s="79"/>
      <c r="S559" s="79"/>
      <c r="X559" s="79"/>
      <c r="AD559" s="130"/>
      <c r="AF559" s="106"/>
    </row>
    <row r="560">
      <c r="C560" s="79"/>
      <c r="D560" s="79"/>
      <c r="E560" s="79"/>
      <c r="O560" s="79"/>
      <c r="R560" s="79"/>
      <c r="S560" s="79"/>
      <c r="X560" s="79"/>
      <c r="AD560" s="130"/>
      <c r="AF560" s="106"/>
    </row>
    <row r="561">
      <c r="C561" s="79"/>
      <c r="D561" s="79"/>
      <c r="E561" s="79"/>
      <c r="O561" s="79"/>
      <c r="R561" s="79"/>
      <c r="S561" s="79"/>
      <c r="X561" s="79"/>
      <c r="AD561" s="130"/>
      <c r="AF561" s="106"/>
    </row>
    <row r="562">
      <c r="C562" s="79"/>
      <c r="D562" s="79"/>
      <c r="E562" s="79"/>
      <c r="O562" s="79"/>
      <c r="R562" s="79"/>
      <c r="S562" s="79"/>
      <c r="X562" s="79"/>
      <c r="AD562" s="130"/>
      <c r="AF562" s="106"/>
    </row>
    <row r="563">
      <c r="C563" s="79"/>
      <c r="D563" s="79"/>
      <c r="E563" s="79"/>
      <c r="O563" s="79"/>
      <c r="R563" s="79"/>
      <c r="S563" s="79"/>
      <c r="X563" s="79"/>
      <c r="AD563" s="130"/>
      <c r="AF563" s="106"/>
    </row>
    <row r="564">
      <c r="C564" s="79"/>
      <c r="D564" s="79"/>
      <c r="E564" s="79"/>
      <c r="O564" s="79"/>
      <c r="R564" s="79"/>
      <c r="S564" s="79"/>
      <c r="X564" s="79"/>
      <c r="AD564" s="130"/>
      <c r="AF564" s="106"/>
    </row>
    <row r="565">
      <c r="C565" s="79"/>
      <c r="D565" s="79"/>
      <c r="E565" s="79"/>
      <c r="O565" s="79"/>
      <c r="R565" s="79"/>
      <c r="S565" s="79"/>
      <c r="X565" s="79"/>
      <c r="AD565" s="130"/>
      <c r="AF565" s="106"/>
    </row>
    <row r="566">
      <c r="C566" s="79"/>
      <c r="D566" s="79"/>
      <c r="E566" s="79"/>
      <c r="O566" s="79"/>
      <c r="R566" s="79"/>
      <c r="S566" s="79"/>
      <c r="X566" s="79"/>
      <c r="AD566" s="130"/>
      <c r="AF566" s="106"/>
    </row>
    <row r="567">
      <c r="C567" s="79"/>
      <c r="D567" s="79"/>
      <c r="E567" s="79"/>
      <c r="O567" s="79"/>
      <c r="R567" s="79"/>
      <c r="S567" s="79"/>
      <c r="X567" s="79"/>
      <c r="AD567" s="130"/>
      <c r="AF567" s="106"/>
    </row>
    <row r="568">
      <c r="C568" s="79"/>
      <c r="D568" s="79"/>
      <c r="E568" s="79"/>
      <c r="O568" s="79"/>
      <c r="R568" s="79"/>
      <c r="S568" s="79"/>
      <c r="X568" s="79"/>
      <c r="AD568" s="130"/>
      <c r="AF568" s="106"/>
    </row>
    <row r="569">
      <c r="C569" s="79"/>
      <c r="D569" s="79"/>
      <c r="E569" s="79"/>
      <c r="O569" s="79"/>
      <c r="R569" s="79"/>
      <c r="S569" s="79"/>
      <c r="X569" s="79"/>
      <c r="AD569" s="130"/>
      <c r="AF569" s="106"/>
    </row>
    <row r="570">
      <c r="C570" s="79"/>
      <c r="D570" s="79"/>
      <c r="E570" s="79"/>
      <c r="O570" s="79"/>
      <c r="R570" s="79"/>
      <c r="S570" s="79"/>
      <c r="X570" s="79"/>
      <c r="AD570" s="130"/>
      <c r="AF570" s="106"/>
    </row>
    <row r="571">
      <c r="C571" s="79"/>
      <c r="D571" s="79"/>
      <c r="E571" s="79"/>
      <c r="O571" s="79"/>
      <c r="R571" s="79"/>
      <c r="S571" s="79"/>
      <c r="X571" s="79"/>
      <c r="AD571" s="130"/>
      <c r="AF571" s="106"/>
    </row>
    <row r="572">
      <c r="C572" s="79"/>
      <c r="D572" s="79"/>
      <c r="E572" s="79"/>
      <c r="O572" s="79"/>
      <c r="R572" s="79"/>
      <c r="S572" s="79"/>
      <c r="X572" s="79"/>
      <c r="AD572" s="130"/>
      <c r="AF572" s="106"/>
    </row>
    <row r="573">
      <c r="C573" s="79"/>
      <c r="D573" s="79"/>
      <c r="E573" s="79"/>
      <c r="O573" s="79"/>
      <c r="R573" s="79"/>
      <c r="S573" s="79"/>
      <c r="X573" s="79"/>
      <c r="AD573" s="130"/>
      <c r="AF573" s="106"/>
    </row>
    <row r="574">
      <c r="C574" s="79"/>
      <c r="D574" s="79"/>
      <c r="E574" s="79"/>
      <c r="O574" s="79"/>
      <c r="R574" s="79"/>
      <c r="S574" s="79"/>
      <c r="X574" s="79"/>
      <c r="AD574" s="130"/>
      <c r="AF574" s="106"/>
    </row>
    <row r="575">
      <c r="C575" s="79"/>
      <c r="D575" s="79"/>
      <c r="E575" s="79"/>
      <c r="O575" s="79"/>
      <c r="R575" s="79"/>
      <c r="S575" s="79"/>
      <c r="X575" s="79"/>
      <c r="AD575" s="130"/>
      <c r="AF575" s="106"/>
    </row>
    <row r="576">
      <c r="C576" s="79"/>
      <c r="D576" s="79"/>
      <c r="E576" s="79"/>
      <c r="O576" s="79"/>
      <c r="R576" s="79"/>
      <c r="S576" s="79"/>
      <c r="X576" s="79"/>
      <c r="AD576" s="130"/>
      <c r="AF576" s="106"/>
    </row>
    <row r="577">
      <c r="C577" s="79"/>
      <c r="D577" s="79"/>
      <c r="E577" s="79"/>
      <c r="O577" s="79"/>
      <c r="R577" s="79"/>
      <c r="S577" s="79"/>
      <c r="X577" s="79"/>
      <c r="AD577" s="130"/>
      <c r="AF577" s="106"/>
    </row>
    <row r="578">
      <c r="C578" s="79"/>
      <c r="D578" s="79"/>
      <c r="E578" s="79"/>
      <c r="O578" s="79"/>
      <c r="R578" s="79"/>
      <c r="S578" s="79"/>
      <c r="X578" s="79"/>
      <c r="AD578" s="130"/>
      <c r="AF578" s="106"/>
    </row>
    <row r="579">
      <c r="C579" s="79"/>
      <c r="D579" s="79"/>
      <c r="E579" s="79"/>
      <c r="O579" s="79"/>
      <c r="R579" s="79"/>
      <c r="S579" s="79"/>
      <c r="X579" s="79"/>
      <c r="AD579" s="130"/>
      <c r="AF579" s="106"/>
    </row>
    <row r="580">
      <c r="C580" s="79"/>
      <c r="D580" s="79"/>
      <c r="E580" s="79"/>
      <c r="O580" s="79"/>
      <c r="R580" s="79"/>
      <c r="S580" s="79"/>
      <c r="X580" s="79"/>
      <c r="AD580" s="130"/>
      <c r="AF580" s="106"/>
    </row>
    <row r="581">
      <c r="C581" s="79"/>
      <c r="D581" s="79"/>
      <c r="E581" s="79"/>
      <c r="O581" s="79"/>
      <c r="R581" s="79"/>
      <c r="S581" s="79"/>
      <c r="X581" s="79"/>
      <c r="AD581" s="130"/>
      <c r="AF581" s="106"/>
    </row>
    <row r="582">
      <c r="C582" s="79"/>
      <c r="D582" s="79"/>
      <c r="E582" s="79"/>
      <c r="O582" s="79"/>
      <c r="R582" s="79"/>
      <c r="S582" s="79"/>
      <c r="X582" s="79"/>
      <c r="AD582" s="130"/>
      <c r="AF582" s="106"/>
    </row>
    <row r="583">
      <c r="C583" s="79"/>
      <c r="D583" s="79"/>
      <c r="E583" s="79"/>
      <c r="O583" s="79"/>
      <c r="R583" s="79"/>
      <c r="S583" s="79"/>
      <c r="X583" s="79"/>
      <c r="AD583" s="130"/>
      <c r="AF583" s="106"/>
    </row>
    <row r="584">
      <c r="C584" s="79"/>
      <c r="D584" s="79"/>
      <c r="E584" s="79"/>
      <c r="O584" s="79"/>
      <c r="R584" s="79"/>
      <c r="S584" s="79"/>
      <c r="X584" s="79"/>
      <c r="AD584" s="130"/>
      <c r="AF584" s="106"/>
    </row>
    <row r="585">
      <c r="C585" s="79"/>
      <c r="D585" s="79"/>
      <c r="E585" s="79"/>
      <c r="O585" s="79"/>
      <c r="R585" s="79"/>
      <c r="S585" s="79"/>
      <c r="X585" s="79"/>
      <c r="AD585" s="130"/>
      <c r="AF585" s="106"/>
    </row>
    <row r="586">
      <c r="C586" s="79"/>
      <c r="D586" s="79"/>
      <c r="E586" s="79"/>
      <c r="O586" s="79"/>
      <c r="R586" s="79"/>
      <c r="S586" s="79"/>
      <c r="X586" s="79"/>
      <c r="AD586" s="130"/>
      <c r="AF586" s="106"/>
    </row>
    <row r="587">
      <c r="C587" s="79"/>
      <c r="D587" s="79"/>
      <c r="E587" s="79"/>
      <c r="O587" s="79"/>
      <c r="R587" s="79"/>
      <c r="S587" s="79"/>
      <c r="X587" s="79"/>
      <c r="AD587" s="130"/>
      <c r="AF587" s="106"/>
    </row>
    <row r="588">
      <c r="C588" s="79"/>
      <c r="D588" s="79"/>
      <c r="E588" s="79"/>
      <c r="O588" s="79"/>
      <c r="R588" s="79"/>
      <c r="S588" s="79"/>
      <c r="X588" s="79"/>
      <c r="AD588" s="130"/>
      <c r="AF588" s="106"/>
    </row>
    <row r="589">
      <c r="C589" s="79"/>
      <c r="D589" s="79"/>
      <c r="E589" s="79"/>
      <c r="O589" s="79"/>
      <c r="R589" s="79"/>
      <c r="S589" s="79"/>
      <c r="X589" s="79"/>
      <c r="AD589" s="130"/>
      <c r="AF589" s="106"/>
    </row>
    <row r="590">
      <c r="C590" s="79"/>
      <c r="D590" s="79"/>
      <c r="E590" s="79"/>
      <c r="O590" s="79"/>
      <c r="R590" s="79"/>
      <c r="S590" s="79"/>
      <c r="X590" s="79"/>
      <c r="AD590" s="130"/>
      <c r="AF590" s="106"/>
    </row>
    <row r="591">
      <c r="C591" s="79"/>
      <c r="D591" s="79"/>
      <c r="E591" s="79"/>
      <c r="O591" s="79"/>
      <c r="R591" s="79"/>
      <c r="S591" s="79"/>
      <c r="X591" s="79"/>
      <c r="AD591" s="130"/>
      <c r="AF591" s="106"/>
    </row>
    <row r="592">
      <c r="C592" s="79"/>
      <c r="D592" s="79"/>
      <c r="E592" s="79"/>
      <c r="O592" s="79"/>
      <c r="R592" s="79"/>
      <c r="S592" s="79"/>
      <c r="X592" s="79"/>
      <c r="AD592" s="130"/>
      <c r="AF592" s="106"/>
    </row>
    <row r="593">
      <c r="C593" s="79"/>
      <c r="D593" s="79"/>
      <c r="E593" s="79"/>
      <c r="O593" s="79"/>
      <c r="R593" s="79"/>
      <c r="S593" s="79"/>
      <c r="X593" s="79"/>
      <c r="AD593" s="130"/>
      <c r="AF593" s="106"/>
    </row>
    <row r="594">
      <c r="C594" s="79"/>
      <c r="D594" s="79"/>
      <c r="E594" s="79"/>
      <c r="O594" s="79"/>
      <c r="R594" s="79"/>
      <c r="S594" s="79"/>
      <c r="X594" s="79"/>
      <c r="AD594" s="130"/>
      <c r="AF594" s="106"/>
    </row>
    <row r="595">
      <c r="C595" s="79"/>
      <c r="D595" s="79"/>
      <c r="E595" s="79"/>
      <c r="O595" s="79"/>
      <c r="R595" s="79"/>
      <c r="S595" s="79"/>
      <c r="X595" s="79"/>
      <c r="AD595" s="130"/>
      <c r="AF595" s="106"/>
    </row>
    <row r="596">
      <c r="C596" s="79"/>
      <c r="D596" s="79"/>
      <c r="E596" s="79"/>
      <c r="O596" s="79"/>
      <c r="R596" s="79"/>
      <c r="S596" s="79"/>
      <c r="X596" s="79"/>
      <c r="AD596" s="130"/>
      <c r="AF596" s="106"/>
    </row>
    <row r="597">
      <c r="C597" s="79"/>
      <c r="D597" s="79"/>
      <c r="E597" s="79"/>
      <c r="O597" s="79"/>
      <c r="R597" s="79"/>
      <c r="S597" s="79"/>
      <c r="X597" s="79"/>
      <c r="AD597" s="130"/>
      <c r="AF597" s="106"/>
    </row>
    <row r="598">
      <c r="C598" s="79"/>
      <c r="D598" s="79"/>
      <c r="E598" s="79"/>
      <c r="O598" s="79"/>
      <c r="R598" s="79"/>
      <c r="S598" s="79"/>
      <c r="X598" s="79"/>
      <c r="AD598" s="130"/>
      <c r="AF598" s="106"/>
    </row>
    <row r="599">
      <c r="C599" s="79"/>
      <c r="D599" s="79"/>
      <c r="E599" s="79"/>
      <c r="O599" s="79"/>
      <c r="R599" s="79"/>
      <c r="S599" s="79"/>
      <c r="X599" s="79"/>
      <c r="AD599" s="130"/>
      <c r="AF599" s="106"/>
    </row>
    <row r="600">
      <c r="C600" s="79"/>
      <c r="D600" s="79"/>
      <c r="E600" s="79"/>
      <c r="O600" s="79"/>
      <c r="R600" s="79"/>
      <c r="S600" s="79"/>
      <c r="X600" s="79"/>
      <c r="AD600" s="130"/>
      <c r="AF600" s="106"/>
    </row>
    <row r="601">
      <c r="C601" s="79"/>
      <c r="D601" s="79"/>
      <c r="E601" s="79"/>
      <c r="O601" s="79"/>
      <c r="R601" s="79"/>
      <c r="S601" s="79"/>
      <c r="X601" s="79"/>
      <c r="AD601" s="130"/>
      <c r="AF601" s="106"/>
    </row>
    <row r="602">
      <c r="C602" s="79"/>
      <c r="D602" s="79"/>
      <c r="E602" s="79"/>
      <c r="O602" s="79"/>
      <c r="R602" s="79"/>
      <c r="S602" s="79"/>
      <c r="X602" s="79"/>
      <c r="AD602" s="130"/>
      <c r="AF602" s="106"/>
    </row>
    <row r="603">
      <c r="C603" s="79"/>
      <c r="D603" s="79"/>
      <c r="E603" s="79"/>
      <c r="O603" s="79"/>
      <c r="R603" s="79"/>
      <c r="S603" s="79"/>
      <c r="X603" s="79"/>
      <c r="AD603" s="130"/>
      <c r="AF603" s="106"/>
    </row>
    <row r="604">
      <c r="C604" s="79"/>
      <c r="D604" s="79"/>
      <c r="E604" s="79"/>
      <c r="O604" s="79"/>
      <c r="R604" s="79"/>
      <c r="S604" s="79"/>
      <c r="X604" s="79"/>
      <c r="AD604" s="130"/>
      <c r="AF604" s="106"/>
    </row>
    <row r="605">
      <c r="C605" s="79"/>
      <c r="D605" s="79"/>
      <c r="E605" s="79"/>
      <c r="O605" s="79"/>
      <c r="R605" s="79"/>
      <c r="S605" s="79"/>
      <c r="X605" s="79"/>
      <c r="AD605" s="130"/>
      <c r="AF605" s="106"/>
    </row>
    <row r="606">
      <c r="C606" s="79"/>
      <c r="D606" s="79"/>
      <c r="E606" s="79"/>
      <c r="O606" s="79"/>
      <c r="R606" s="79"/>
      <c r="S606" s="79"/>
      <c r="X606" s="79"/>
      <c r="AD606" s="130"/>
      <c r="AF606" s="106"/>
    </row>
    <row r="607">
      <c r="C607" s="79"/>
      <c r="D607" s="79"/>
      <c r="E607" s="79"/>
      <c r="O607" s="79"/>
      <c r="R607" s="79"/>
      <c r="S607" s="79"/>
      <c r="X607" s="79"/>
      <c r="AD607" s="130"/>
      <c r="AF607" s="106"/>
    </row>
    <row r="608">
      <c r="C608" s="79"/>
      <c r="D608" s="79"/>
      <c r="E608" s="79"/>
      <c r="O608" s="79"/>
      <c r="R608" s="79"/>
      <c r="S608" s="79"/>
      <c r="X608" s="79"/>
      <c r="AD608" s="130"/>
      <c r="AF608" s="106"/>
    </row>
    <row r="609">
      <c r="C609" s="79"/>
      <c r="D609" s="79"/>
      <c r="E609" s="79"/>
      <c r="O609" s="79"/>
      <c r="R609" s="79"/>
      <c r="S609" s="79"/>
      <c r="X609" s="79"/>
      <c r="AD609" s="130"/>
      <c r="AF609" s="106"/>
    </row>
    <row r="610">
      <c r="C610" s="79"/>
      <c r="D610" s="79"/>
      <c r="E610" s="79"/>
      <c r="O610" s="79"/>
      <c r="R610" s="79"/>
      <c r="S610" s="79"/>
      <c r="X610" s="79"/>
      <c r="AD610" s="130"/>
      <c r="AF610" s="106"/>
    </row>
    <row r="611">
      <c r="C611" s="79"/>
      <c r="D611" s="79"/>
      <c r="E611" s="79"/>
      <c r="O611" s="79"/>
      <c r="R611" s="79"/>
      <c r="S611" s="79"/>
      <c r="X611" s="79"/>
      <c r="AD611" s="130"/>
      <c r="AF611" s="106"/>
    </row>
    <row r="612">
      <c r="C612" s="79"/>
      <c r="D612" s="79"/>
      <c r="E612" s="79"/>
      <c r="O612" s="79"/>
      <c r="R612" s="79"/>
      <c r="S612" s="79"/>
      <c r="X612" s="79"/>
      <c r="AD612" s="130"/>
      <c r="AF612" s="106"/>
    </row>
    <row r="613">
      <c r="C613" s="79"/>
      <c r="D613" s="79"/>
      <c r="E613" s="79"/>
      <c r="O613" s="79"/>
      <c r="R613" s="79"/>
      <c r="S613" s="79"/>
      <c r="X613" s="79"/>
      <c r="AD613" s="130"/>
      <c r="AF613" s="106"/>
    </row>
    <row r="614">
      <c r="C614" s="79"/>
      <c r="D614" s="79"/>
      <c r="E614" s="79"/>
      <c r="O614" s="79"/>
      <c r="R614" s="79"/>
      <c r="S614" s="79"/>
      <c r="X614" s="79"/>
      <c r="AD614" s="130"/>
      <c r="AF614" s="106"/>
    </row>
    <row r="615">
      <c r="C615" s="79"/>
      <c r="D615" s="79"/>
      <c r="E615" s="79"/>
      <c r="O615" s="79"/>
      <c r="R615" s="79"/>
      <c r="S615" s="79"/>
      <c r="X615" s="79"/>
      <c r="AD615" s="130"/>
      <c r="AF615" s="106"/>
    </row>
    <row r="616">
      <c r="C616" s="79"/>
      <c r="D616" s="79"/>
      <c r="E616" s="79"/>
      <c r="O616" s="79"/>
      <c r="R616" s="79"/>
      <c r="S616" s="79"/>
      <c r="X616" s="79"/>
      <c r="AD616" s="130"/>
      <c r="AF616" s="106"/>
    </row>
    <row r="617">
      <c r="C617" s="79"/>
      <c r="D617" s="79"/>
      <c r="E617" s="79"/>
      <c r="O617" s="79"/>
      <c r="R617" s="79"/>
      <c r="S617" s="79"/>
      <c r="X617" s="79"/>
      <c r="AD617" s="130"/>
      <c r="AF617" s="106"/>
    </row>
    <row r="618">
      <c r="C618" s="79"/>
      <c r="D618" s="79"/>
      <c r="E618" s="79"/>
      <c r="O618" s="79"/>
      <c r="R618" s="79"/>
      <c r="S618" s="79"/>
      <c r="X618" s="79"/>
      <c r="AD618" s="130"/>
      <c r="AF618" s="106"/>
    </row>
    <row r="619">
      <c r="C619" s="79"/>
      <c r="D619" s="79"/>
      <c r="E619" s="79"/>
      <c r="O619" s="79"/>
      <c r="R619" s="79"/>
      <c r="S619" s="79"/>
      <c r="X619" s="79"/>
      <c r="AD619" s="130"/>
      <c r="AF619" s="106"/>
    </row>
    <row r="620">
      <c r="C620" s="79"/>
      <c r="D620" s="79"/>
      <c r="E620" s="79"/>
      <c r="O620" s="79"/>
      <c r="R620" s="79"/>
      <c r="S620" s="79"/>
      <c r="X620" s="79"/>
      <c r="AD620" s="130"/>
      <c r="AF620" s="106"/>
    </row>
    <row r="621">
      <c r="C621" s="79"/>
      <c r="D621" s="79"/>
      <c r="E621" s="79"/>
      <c r="O621" s="79"/>
      <c r="R621" s="79"/>
      <c r="S621" s="79"/>
      <c r="X621" s="79"/>
      <c r="AD621" s="130"/>
      <c r="AF621" s="106"/>
    </row>
    <row r="622">
      <c r="C622" s="79"/>
      <c r="D622" s="79"/>
      <c r="E622" s="79"/>
      <c r="O622" s="79"/>
      <c r="R622" s="79"/>
      <c r="S622" s="79"/>
      <c r="X622" s="79"/>
      <c r="AD622" s="130"/>
      <c r="AF622" s="106"/>
    </row>
    <row r="623">
      <c r="C623" s="79"/>
      <c r="D623" s="79"/>
      <c r="E623" s="79"/>
      <c r="O623" s="79"/>
      <c r="R623" s="79"/>
      <c r="S623" s="79"/>
      <c r="X623" s="79"/>
      <c r="AD623" s="130"/>
      <c r="AF623" s="106"/>
    </row>
    <row r="624">
      <c r="C624" s="79"/>
      <c r="D624" s="79"/>
      <c r="E624" s="79"/>
      <c r="O624" s="79"/>
      <c r="R624" s="79"/>
      <c r="S624" s="79"/>
      <c r="X624" s="79"/>
      <c r="AD624" s="130"/>
      <c r="AF624" s="106"/>
    </row>
    <row r="625">
      <c r="C625" s="79"/>
      <c r="D625" s="79"/>
      <c r="E625" s="79"/>
      <c r="O625" s="79"/>
      <c r="R625" s="79"/>
      <c r="S625" s="79"/>
      <c r="X625" s="79"/>
      <c r="AD625" s="130"/>
      <c r="AF625" s="106"/>
    </row>
    <row r="626">
      <c r="C626" s="79"/>
      <c r="D626" s="79"/>
      <c r="E626" s="79"/>
      <c r="O626" s="79"/>
      <c r="R626" s="79"/>
      <c r="S626" s="79"/>
      <c r="X626" s="79"/>
      <c r="AD626" s="130"/>
      <c r="AF626" s="106"/>
    </row>
    <row r="627">
      <c r="C627" s="79"/>
      <c r="D627" s="79"/>
      <c r="E627" s="79"/>
      <c r="O627" s="79"/>
      <c r="R627" s="79"/>
      <c r="S627" s="79"/>
      <c r="X627" s="79"/>
      <c r="AD627" s="130"/>
      <c r="AF627" s="106"/>
    </row>
    <row r="628">
      <c r="C628" s="79"/>
      <c r="D628" s="79"/>
      <c r="E628" s="79"/>
      <c r="O628" s="79"/>
      <c r="R628" s="79"/>
      <c r="S628" s="79"/>
      <c r="X628" s="79"/>
      <c r="AD628" s="130"/>
      <c r="AF628" s="106"/>
    </row>
    <row r="629">
      <c r="C629" s="79"/>
      <c r="D629" s="79"/>
      <c r="E629" s="79"/>
      <c r="O629" s="79"/>
      <c r="R629" s="79"/>
      <c r="S629" s="79"/>
      <c r="X629" s="79"/>
      <c r="AD629" s="130"/>
      <c r="AF629" s="106"/>
    </row>
    <row r="630">
      <c r="C630" s="79"/>
      <c r="D630" s="79"/>
      <c r="E630" s="79"/>
      <c r="O630" s="79"/>
      <c r="R630" s="79"/>
      <c r="S630" s="79"/>
      <c r="X630" s="79"/>
      <c r="AD630" s="130"/>
      <c r="AF630" s="106"/>
    </row>
    <row r="631">
      <c r="C631" s="79"/>
      <c r="D631" s="79"/>
      <c r="E631" s="79"/>
      <c r="O631" s="79"/>
      <c r="R631" s="79"/>
      <c r="S631" s="79"/>
      <c r="X631" s="79"/>
      <c r="AD631" s="130"/>
      <c r="AF631" s="106"/>
    </row>
    <row r="632">
      <c r="C632" s="79"/>
      <c r="D632" s="79"/>
      <c r="E632" s="79"/>
      <c r="O632" s="79"/>
      <c r="R632" s="79"/>
      <c r="S632" s="79"/>
      <c r="X632" s="79"/>
      <c r="AD632" s="130"/>
      <c r="AF632" s="106"/>
    </row>
    <row r="633">
      <c r="C633" s="79"/>
      <c r="D633" s="79"/>
      <c r="E633" s="79"/>
      <c r="O633" s="79"/>
      <c r="R633" s="79"/>
      <c r="S633" s="79"/>
      <c r="X633" s="79"/>
      <c r="AD633" s="130"/>
      <c r="AF633" s="106"/>
    </row>
    <row r="634">
      <c r="C634" s="79"/>
      <c r="D634" s="79"/>
      <c r="E634" s="79"/>
      <c r="O634" s="79"/>
      <c r="R634" s="79"/>
      <c r="S634" s="79"/>
      <c r="X634" s="79"/>
      <c r="AD634" s="130"/>
      <c r="AF634" s="106"/>
    </row>
    <row r="635">
      <c r="C635" s="79"/>
      <c r="D635" s="79"/>
      <c r="E635" s="79"/>
      <c r="O635" s="79"/>
      <c r="R635" s="79"/>
      <c r="S635" s="79"/>
      <c r="X635" s="79"/>
      <c r="AD635" s="130"/>
      <c r="AF635" s="106"/>
    </row>
    <row r="636">
      <c r="C636" s="79"/>
      <c r="D636" s="79"/>
      <c r="E636" s="79"/>
      <c r="O636" s="79"/>
      <c r="R636" s="79"/>
      <c r="S636" s="79"/>
      <c r="X636" s="79"/>
      <c r="AD636" s="130"/>
      <c r="AF636" s="106"/>
    </row>
    <row r="637">
      <c r="C637" s="79"/>
      <c r="D637" s="79"/>
      <c r="E637" s="79"/>
      <c r="O637" s="79"/>
      <c r="R637" s="79"/>
      <c r="S637" s="79"/>
      <c r="X637" s="79"/>
      <c r="AD637" s="130"/>
      <c r="AF637" s="106"/>
    </row>
    <row r="638">
      <c r="C638" s="79"/>
      <c r="D638" s="79"/>
      <c r="E638" s="79"/>
      <c r="O638" s="79"/>
      <c r="R638" s="79"/>
      <c r="S638" s="79"/>
      <c r="X638" s="79"/>
      <c r="AD638" s="130"/>
      <c r="AF638" s="106"/>
    </row>
    <row r="639">
      <c r="C639" s="79"/>
      <c r="D639" s="79"/>
      <c r="E639" s="79"/>
      <c r="O639" s="79"/>
      <c r="R639" s="79"/>
      <c r="S639" s="79"/>
      <c r="X639" s="79"/>
      <c r="AD639" s="130"/>
      <c r="AF639" s="106"/>
    </row>
    <row r="640">
      <c r="C640" s="79"/>
      <c r="D640" s="79"/>
      <c r="E640" s="79"/>
      <c r="O640" s="79"/>
      <c r="R640" s="79"/>
      <c r="S640" s="79"/>
      <c r="X640" s="79"/>
      <c r="AD640" s="130"/>
      <c r="AF640" s="106"/>
    </row>
    <row r="641">
      <c r="C641" s="79"/>
      <c r="D641" s="79"/>
      <c r="E641" s="79"/>
      <c r="O641" s="79"/>
      <c r="R641" s="79"/>
      <c r="S641" s="79"/>
      <c r="X641" s="79"/>
      <c r="AD641" s="130"/>
      <c r="AF641" s="106"/>
    </row>
    <row r="642">
      <c r="C642" s="79"/>
      <c r="D642" s="79"/>
      <c r="E642" s="79"/>
      <c r="O642" s="79"/>
      <c r="R642" s="79"/>
      <c r="S642" s="79"/>
      <c r="X642" s="79"/>
      <c r="AD642" s="130"/>
      <c r="AF642" s="106"/>
    </row>
    <row r="643">
      <c r="C643" s="79"/>
      <c r="D643" s="79"/>
      <c r="E643" s="79"/>
      <c r="O643" s="79"/>
      <c r="R643" s="79"/>
      <c r="S643" s="79"/>
      <c r="X643" s="79"/>
      <c r="AD643" s="130"/>
      <c r="AF643" s="106"/>
    </row>
    <row r="644">
      <c r="C644" s="79"/>
      <c r="D644" s="79"/>
      <c r="E644" s="79"/>
      <c r="O644" s="79"/>
      <c r="R644" s="79"/>
      <c r="S644" s="79"/>
      <c r="X644" s="79"/>
      <c r="AD644" s="130"/>
      <c r="AF644" s="106"/>
    </row>
    <row r="645">
      <c r="C645" s="79"/>
      <c r="D645" s="79"/>
      <c r="E645" s="79"/>
      <c r="O645" s="79"/>
      <c r="R645" s="79"/>
      <c r="S645" s="79"/>
      <c r="X645" s="79"/>
      <c r="AD645" s="130"/>
      <c r="AF645" s="106"/>
    </row>
    <row r="646">
      <c r="C646" s="79"/>
      <c r="D646" s="79"/>
      <c r="E646" s="79"/>
      <c r="O646" s="79"/>
      <c r="R646" s="79"/>
      <c r="S646" s="79"/>
      <c r="X646" s="79"/>
      <c r="AD646" s="130"/>
      <c r="AF646" s="106"/>
    </row>
    <row r="647">
      <c r="C647" s="79"/>
      <c r="D647" s="79"/>
      <c r="E647" s="79"/>
      <c r="O647" s="79"/>
      <c r="R647" s="79"/>
      <c r="S647" s="79"/>
      <c r="X647" s="79"/>
      <c r="AD647" s="130"/>
      <c r="AF647" s="106"/>
    </row>
    <row r="648">
      <c r="C648" s="79"/>
      <c r="D648" s="79"/>
      <c r="E648" s="79"/>
      <c r="O648" s="79"/>
      <c r="R648" s="79"/>
      <c r="S648" s="79"/>
      <c r="X648" s="79"/>
      <c r="AD648" s="130"/>
      <c r="AF648" s="106"/>
    </row>
    <row r="649">
      <c r="C649" s="79"/>
      <c r="D649" s="79"/>
      <c r="E649" s="79"/>
      <c r="O649" s="79"/>
      <c r="R649" s="79"/>
      <c r="S649" s="79"/>
      <c r="X649" s="79"/>
      <c r="AD649" s="130"/>
      <c r="AF649" s="106"/>
    </row>
    <row r="650">
      <c r="C650" s="79"/>
      <c r="D650" s="79"/>
      <c r="E650" s="79"/>
      <c r="O650" s="79"/>
      <c r="R650" s="79"/>
      <c r="S650" s="79"/>
      <c r="X650" s="79"/>
      <c r="AD650" s="130"/>
      <c r="AF650" s="106"/>
    </row>
    <row r="651">
      <c r="C651" s="79"/>
      <c r="D651" s="79"/>
      <c r="E651" s="79"/>
      <c r="O651" s="79"/>
      <c r="R651" s="79"/>
      <c r="S651" s="79"/>
      <c r="X651" s="79"/>
      <c r="AD651" s="130"/>
      <c r="AF651" s="106"/>
    </row>
    <row r="652">
      <c r="C652" s="79"/>
      <c r="D652" s="79"/>
      <c r="E652" s="79"/>
      <c r="O652" s="79"/>
      <c r="R652" s="79"/>
      <c r="S652" s="79"/>
      <c r="X652" s="79"/>
      <c r="AD652" s="130"/>
      <c r="AF652" s="106"/>
    </row>
    <row r="653">
      <c r="C653" s="79"/>
      <c r="D653" s="79"/>
      <c r="E653" s="79"/>
      <c r="O653" s="79"/>
      <c r="R653" s="79"/>
      <c r="S653" s="79"/>
      <c r="X653" s="79"/>
      <c r="AD653" s="130"/>
      <c r="AF653" s="106"/>
    </row>
    <row r="654">
      <c r="C654" s="79"/>
      <c r="D654" s="79"/>
      <c r="E654" s="79"/>
      <c r="O654" s="79"/>
      <c r="R654" s="79"/>
      <c r="S654" s="79"/>
      <c r="X654" s="79"/>
      <c r="AD654" s="130"/>
      <c r="AF654" s="106"/>
    </row>
    <row r="655">
      <c r="C655" s="79"/>
      <c r="D655" s="79"/>
      <c r="E655" s="79"/>
      <c r="O655" s="79"/>
      <c r="R655" s="79"/>
      <c r="S655" s="79"/>
      <c r="X655" s="79"/>
      <c r="AD655" s="130"/>
      <c r="AF655" s="106"/>
    </row>
    <row r="656">
      <c r="C656" s="79"/>
      <c r="D656" s="79"/>
      <c r="E656" s="79"/>
      <c r="O656" s="79"/>
      <c r="R656" s="79"/>
      <c r="S656" s="79"/>
      <c r="X656" s="79"/>
      <c r="AD656" s="130"/>
      <c r="AF656" s="106"/>
    </row>
    <row r="657">
      <c r="C657" s="79"/>
      <c r="D657" s="79"/>
      <c r="E657" s="79"/>
      <c r="O657" s="79"/>
      <c r="R657" s="79"/>
      <c r="S657" s="79"/>
      <c r="X657" s="79"/>
      <c r="AD657" s="130"/>
      <c r="AF657" s="106"/>
    </row>
    <row r="658">
      <c r="C658" s="79"/>
      <c r="D658" s="79"/>
      <c r="E658" s="79"/>
      <c r="O658" s="79"/>
      <c r="R658" s="79"/>
      <c r="S658" s="79"/>
      <c r="X658" s="79"/>
      <c r="AD658" s="130"/>
      <c r="AF658" s="106"/>
    </row>
    <row r="659">
      <c r="C659" s="79"/>
      <c r="D659" s="79"/>
      <c r="E659" s="79"/>
      <c r="O659" s="79"/>
      <c r="R659" s="79"/>
      <c r="S659" s="79"/>
      <c r="X659" s="79"/>
      <c r="AD659" s="130"/>
      <c r="AF659" s="106"/>
    </row>
    <row r="660">
      <c r="C660" s="79"/>
      <c r="D660" s="79"/>
      <c r="E660" s="79"/>
      <c r="O660" s="79"/>
      <c r="R660" s="79"/>
      <c r="S660" s="79"/>
      <c r="X660" s="79"/>
      <c r="AD660" s="130"/>
      <c r="AF660" s="106"/>
    </row>
    <row r="661">
      <c r="C661" s="79"/>
      <c r="D661" s="79"/>
      <c r="E661" s="79"/>
      <c r="O661" s="79"/>
      <c r="R661" s="79"/>
      <c r="S661" s="79"/>
      <c r="X661" s="79"/>
      <c r="AD661" s="130"/>
      <c r="AF661" s="106"/>
    </row>
    <row r="662">
      <c r="C662" s="79"/>
      <c r="D662" s="79"/>
      <c r="E662" s="79"/>
      <c r="O662" s="79"/>
      <c r="R662" s="79"/>
      <c r="S662" s="79"/>
      <c r="X662" s="79"/>
      <c r="AD662" s="130"/>
      <c r="AF662" s="106"/>
    </row>
    <row r="663">
      <c r="C663" s="79"/>
      <c r="D663" s="79"/>
      <c r="E663" s="79"/>
      <c r="O663" s="79"/>
      <c r="R663" s="79"/>
      <c r="S663" s="79"/>
      <c r="X663" s="79"/>
      <c r="AD663" s="130"/>
      <c r="AF663" s="106"/>
    </row>
    <row r="664">
      <c r="C664" s="79"/>
      <c r="D664" s="79"/>
      <c r="E664" s="79"/>
      <c r="O664" s="79"/>
      <c r="R664" s="79"/>
      <c r="S664" s="79"/>
      <c r="X664" s="79"/>
      <c r="AD664" s="130"/>
      <c r="AF664" s="106"/>
    </row>
    <row r="665">
      <c r="C665" s="79"/>
      <c r="D665" s="79"/>
      <c r="E665" s="79"/>
      <c r="O665" s="79"/>
      <c r="R665" s="79"/>
      <c r="S665" s="79"/>
      <c r="X665" s="79"/>
      <c r="AD665" s="130"/>
      <c r="AF665" s="106"/>
    </row>
    <row r="666">
      <c r="C666" s="79"/>
      <c r="D666" s="79"/>
      <c r="E666" s="79"/>
      <c r="O666" s="79"/>
      <c r="R666" s="79"/>
      <c r="S666" s="79"/>
      <c r="X666" s="79"/>
      <c r="AD666" s="130"/>
      <c r="AF666" s="106"/>
    </row>
    <row r="667">
      <c r="C667" s="79"/>
      <c r="D667" s="79"/>
      <c r="E667" s="79"/>
      <c r="O667" s="79"/>
      <c r="R667" s="79"/>
      <c r="S667" s="79"/>
      <c r="X667" s="79"/>
      <c r="AD667" s="130"/>
      <c r="AF667" s="106"/>
    </row>
    <row r="668">
      <c r="C668" s="79"/>
      <c r="D668" s="79"/>
      <c r="E668" s="79"/>
      <c r="O668" s="79"/>
      <c r="R668" s="79"/>
      <c r="S668" s="79"/>
      <c r="X668" s="79"/>
      <c r="AD668" s="130"/>
      <c r="AF668" s="106"/>
    </row>
    <row r="669">
      <c r="C669" s="79"/>
      <c r="D669" s="79"/>
      <c r="E669" s="79"/>
      <c r="O669" s="79"/>
      <c r="R669" s="79"/>
      <c r="S669" s="79"/>
      <c r="X669" s="79"/>
      <c r="AD669" s="130"/>
      <c r="AF669" s="106"/>
    </row>
    <row r="670">
      <c r="C670" s="79"/>
      <c r="D670" s="79"/>
      <c r="E670" s="79"/>
      <c r="O670" s="79"/>
      <c r="R670" s="79"/>
      <c r="S670" s="79"/>
      <c r="X670" s="79"/>
      <c r="AD670" s="130"/>
      <c r="AF670" s="106"/>
    </row>
    <row r="671">
      <c r="C671" s="79"/>
      <c r="D671" s="79"/>
      <c r="E671" s="79"/>
      <c r="O671" s="79"/>
      <c r="R671" s="79"/>
      <c r="S671" s="79"/>
      <c r="X671" s="79"/>
      <c r="AD671" s="130"/>
      <c r="AF671" s="106"/>
    </row>
    <row r="672">
      <c r="C672" s="79"/>
      <c r="D672" s="79"/>
      <c r="E672" s="79"/>
      <c r="O672" s="79"/>
      <c r="R672" s="79"/>
      <c r="S672" s="79"/>
      <c r="X672" s="79"/>
      <c r="AD672" s="130"/>
      <c r="AF672" s="106"/>
    </row>
    <row r="673">
      <c r="C673" s="79"/>
      <c r="D673" s="79"/>
      <c r="E673" s="79"/>
      <c r="O673" s="79"/>
      <c r="R673" s="79"/>
      <c r="S673" s="79"/>
      <c r="X673" s="79"/>
      <c r="AD673" s="130"/>
      <c r="AF673" s="106"/>
    </row>
    <row r="674">
      <c r="C674" s="79"/>
      <c r="D674" s="79"/>
      <c r="E674" s="79"/>
      <c r="O674" s="79"/>
      <c r="R674" s="79"/>
      <c r="S674" s="79"/>
      <c r="X674" s="79"/>
      <c r="AD674" s="130"/>
      <c r="AF674" s="106"/>
    </row>
    <row r="675">
      <c r="C675" s="79"/>
      <c r="D675" s="79"/>
      <c r="E675" s="79"/>
      <c r="O675" s="79"/>
      <c r="R675" s="79"/>
      <c r="S675" s="79"/>
      <c r="X675" s="79"/>
      <c r="AD675" s="130"/>
      <c r="AF675" s="106"/>
    </row>
    <row r="676">
      <c r="C676" s="79"/>
      <c r="D676" s="79"/>
      <c r="E676" s="79"/>
      <c r="O676" s="79"/>
      <c r="R676" s="79"/>
      <c r="S676" s="79"/>
      <c r="X676" s="79"/>
      <c r="AD676" s="130"/>
      <c r="AF676" s="106"/>
    </row>
    <row r="677">
      <c r="C677" s="79"/>
      <c r="D677" s="79"/>
      <c r="E677" s="79"/>
      <c r="O677" s="79"/>
      <c r="R677" s="79"/>
      <c r="S677" s="79"/>
      <c r="X677" s="79"/>
      <c r="AD677" s="130"/>
      <c r="AF677" s="106"/>
    </row>
    <row r="678">
      <c r="C678" s="79"/>
      <c r="D678" s="79"/>
      <c r="E678" s="79"/>
      <c r="O678" s="79"/>
      <c r="R678" s="79"/>
      <c r="S678" s="79"/>
      <c r="X678" s="79"/>
      <c r="AD678" s="130"/>
      <c r="AF678" s="106"/>
    </row>
    <row r="679">
      <c r="C679" s="79"/>
      <c r="D679" s="79"/>
      <c r="E679" s="79"/>
      <c r="O679" s="79"/>
      <c r="R679" s="79"/>
      <c r="S679" s="79"/>
      <c r="X679" s="79"/>
      <c r="AD679" s="130"/>
      <c r="AF679" s="106"/>
    </row>
    <row r="680">
      <c r="C680" s="79"/>
      <c r="D680" s="79"/>
      <c r="E680" s="79"/>
      <c r="O680" s="79"/>
      <c r="R680" s="79"/>
      <c r="S680" s="79"/>
      <c r="X680" s="79"/>
      <c r="AD680" s="130"/>
      <c r="AF680" s="106"/>
    </row>
    <row r="681">
      <c r="C681" s="79"/>
      <c r="D681" s="79"/>
      <c r="E681" s="79"/>
      <c r="O681" s="79"/>
      <c r="R681" s="79"/>
      <c r="S681" s="79"/>
      <c r="X681" s="79"/>
      <c r="AD681" s="130"/>
      <c r="AF681" s="106"/>
    </row>
    <row r="682">
      <c r="C682" s="79"/>
      <c r="D682" s="79"/>
      <c r="E682" s="79"/>
      <c r="O682" s="79"/>
      <c r="R682" s="79"/>
      <c r="S682" s="79"/>
      <c r="X682" s="79"/>
      <c r="AD682" s="130"/>
      <c r="AF682" s="106"/>
    </row>
    <row r="683">
      <c r="C683" s="79"/>
      <c r="D683" s="79"/>
      <c r="E683" s="79"/>
      <c r="O683" s="79"/>
      <c r="R683" s="79"/>
      <c r="S683" s="79"/>
      <c r="X683" s="79"/>
      <c r="AD683" s="130"/>
      <c r="AF683" s="106"/>
    </row>
    <row r="684">
      <c r="C684" s="79"/>
      <c r="D684" s="79"/>
      <c r="E684" s="79"/>
      <c r="O684" s="79"/>
      <c r="R684" s="79"/>
      <c r="S684" s="79"/>
      <c r="X684" s="79"/>
      <c r="AD684" s="130"/>
      <c r="AF684" s="106"/>
    </row>
    <row r="685">
      <c r="C685" s="79"/>
      <c r="D685" s="79"/>
      <c r="E685" s="79"/>
      <c r="O685" s="79"/>
      <c r="R685" s="79"/>
      <c r="S685" s="79"/>
      <c r="X685" s="79"/>
      <c r="AD685" s="130"/>
      <c r="AF685" s="106"/>
    </row>
    <row r="686">
      <c r="C686" s="79"/>
      <c r="D686" s="79"/>
      <c r="E686" s="79"/>
      <c r="O686" s="79"/>
      <c r="R686" s="79"/>
      <c r="S686" s="79"/>
      <c r="X686" s="79"/>
      <c r="AD686" s="130"/>
      <c r="AF686" s="106"/>
    </row>
    <row r="687">
      <c r="C687" s="79"/>
      <c r="D687" s="79"/>
      <c r="E687" s="79"/>
      <c r="O687" s="79"/>
      <c r="R687" s="79"/>
      <c r="S687" s="79"/>
      <c r="X687" s="79"/>
      <c r="AD687" s="130"/>
      <c r="AF687" s="106"/>
    </row>
    <row r="688">
      <c r="C688" s="79"/>
      <c r="D688" s="79"/>
      <c r="E688" s="79"/>
      <c r="O688" s="79"/>
      <c r="R688" s="79"/>
      <c r="S688" s="79"/>
      <c r="X688" s="79"/>
      <c r="AD688" s="130"/>
      <c r="AF688" s="106"/>
    </row>
    <row r="689">
      <c r="C689" s="79"/>
      <c r="D689" s="79"/>
      <c r="E689" s="79"/>
      <c r="O689" s="79"/>
      <c r="R689" s="79"/>
      <c r="S689" s="79"/>
      <c r="X689" s="79"/>
      <c r="AD689" s="130"/>
      <c r="AF689" s="106"/>
    </row>
    <row r="690">
      <c r="C690" s="79"/>
      <c r="D690" s="79"/>
      <c r="E690" s="79"/>
      <c r="O690" s="79"/>
      <c r="R690" s="79"/>
      <c r="S690" s="79"/>
      <c r="X690" s="79"/>
      <c r="AD690" s="130"/>
      <c r="AF690" s="106"/>
    </row>
    <row r="691">
      <c r="C691" s="79"/>
      <c r="D691" s="79"/>
      <c r="E691" s="79"/>
      <c r="O691" s="79"/>
      <c r="R691" s="79"/>
      <c r="S691" s="79"/>
      <c r="X691" s="79"/>
      <c r="AD691" s="130"/>
      <c r="AF691" s="106"/>
    </row>
    <row r="692">
      <c r="C692" s="79"/>
      <c r="D692" s="79"/>
      <c r="E692" s="79"/>
      <c r="O692" s="79"/>
      <c r="R692" s="79"/>
      <c r="S692" s="79"/>
      <c r="X692" s="79"/>
      <c r="AD692" s="130"/>
      <c r="AF692" s="106"/>
    </row>
    <row r="693">
      <c r="C693" s="79"/>
      <c r="D693" s="79"/>
      <c r="E693" s="79"/>
      <c r="O693" s="79"/>
      <c r="R693" s="79"/>
      <c r="S693" s="79"/>
      <c r="X693" s="79"/>
      <c r="AD693" s="130"/>
      <c r="AF693" s="106"/>
    </row>
    <row r="694">
      <c r="C694" s="79"/>
      <c r="D694" s="79"/>
      <c r="E694" s="79"/>
      <c r="O694" s="79"/>
      <c r="R694" s="79"/>
      <c r="S694" s="79"/>
      <c r="X694" s="79"/>
      <c r="AD694" s="130"/>
      <c r="AF694" s="106"/>
    </row>
    <row r="695">
      <c r="C695" s="79"/>
      <c r="D695" s="79"/>
      <c r="E695" s="79"/>
      <c r="O695" s="79"/>
      <c r="R695" s="79"/>
      <c r="S695" s="79"/>
      <c r="X695" s="79"/>
      <c r="AD695" s="130"/>
      <c r="AF695" s="106"/>
    </row>
    <row r="696">
      <c r="C696" s="79"/>
      <c r="D696" s="79"/>
      <c r="E696" s="79"/>
      <c r="O696" s="79"/>
      <c r="R696" s="79"/>
      <c r="S696" s="79"/>
      <c r="X696" s="79"/>
      <c r="AD696" s="130"/>
      <c r="AF696" s="106"/>
    </row>
    <row r="697">
      <c r="C697" s="79"/>
      <c r="D697" s="79"/>
      <c r="E697" s="79"/>
      <c r="O697" s="79"/>
      <c r="R697" s="79"/>
      <c r="S697" s="79"/>
      <c r="X697" s="79"/>
      <c r="AD697" s="130"/>
      <c r="AF697" s="106"/>
    </row>
    <row r="698">
      <c r="C698" s="79"/>
      <c r="D698" s="79"/>
      <c r="E698" s="79"/>
      <c r="O698" s="79"/>
      <c r="R698" s="79"/>
      <c r="S698" s="79"/>
      <c r="X698" s="79"/>
      <c r="AD698" s="130"/>
      <c r="AF698" s="106"/>
    </row>
    <row r="699">
      <c r="C699" s="79"/>
      <c r="D699" s="79"/>
      <c r="E699" s="79"/>
      <c r="O699" s="79"/>
      <c r="R699" s="79"/>
      <c r="S699" s="79"/>
      <c r="X699" s="79"/>
      <c r="AD699" s="130"/>
      <c r="AF699" s="106"/>
    </row>
    <row r="700">
      <c r="C700" s="79"/>
      <c r="D700" s="79"/>
      <c r="E700" s="79"/>
      <c r="O700" s="79"/>
      <c r="R700" s="79"/>
      <c r="S700" s="79"/>
      <c r="X700" s="79"/>
      <c r="AD700" s="130"/>
      <c r="AF700" s="106"/>
    </row>
    <row r="701">
      <c r="C701" s="79"/>
      <c r="D701" s="79"/>
      <c r="E701" s="79"/>
      <c r="O701" s="79"/>
      <c r="R701" s="79"/>
      <c r="S701" s="79"/>
      <c r="X701" s="79"/>
      <c r="AD701" s="130"/>
      <c r="AF701" s="106"/>
    </row>
    <row r="702">
      <c r="C702" s="79"/>
      <c r="D702" s="79"/>
      <c r="E702" s="79"/>
      <c r="O702" s="79"/>
      <c r="R702" s="79"/>
      <c r="S702" s="79"/>
      <c r="X702" s="79"/>
      <c r="AD702" s="130"/>
      <c r="AF702" s="106"/>
    </row>
    <row r="703">
      <c r="C703" s="79"/>
      <c r="D703" s="79"/>
      <c r="E703" s="79"/>
      <c r="O703" s="79"/>
      <c r="R703" s="79"/>
      <c r="S703" s="79"/>
      <c r="X703" s="79"/>
      <c r="AD703" s="130"/>
      <c r="AF703" s="106"/>
    </row>
    <row r="704">
      <c r="C704" s="79"/>
      <c r="D704" s="79"/>
      <c r="E704" s="79"/>
      <c r="O704" s="79"/>
      <c r="R704" s="79"/>
      <c r="S704" s="79"/>
      <c r="X704" s="79"/>
      <c r="AD704" s="130"/>
      <c r="AF704" s="106"/>
    </row>
    <row r="705">
      <c r="C705" s="79"/>
      <c r="D705" s="79"/>
      <c r="E705" s="79"/>
      <c r="O705" s="79"/>
      <c r="R705" s="79"/>
      <c r="S705" s="79"/>
      <c r="X705" s="79"/>
      <c r="AD705" s="130"/>
      <c r="AF705" s="106"/>
    </row>
    <row r="706">
      <c r="C706" s="79"/>
      <c r="D706" s="79"/>
      <c r="E706" s="79"/>
      <c r="O706" s="79"/>
      <c r="R706" s="79"/>
      <c r="S706" s="79"/>
      <c r="X706" s="79"/>
      <c r="AD706" s="130"/>
      <c r="AF706" s="106"/>
    </row>
    <row r="707">
      <c r="C707" s="79"/>
      <c r="D707" s="79"/>
      <c r="E707" s="79"/>
      <c r="O707" s="79"/>
      <c r="R707" s="79"/>
      <c r="S707" s="79"/>
      <c r="X707" s="79"/>
      <c r="AD707" s="130"/>
      <c r="AF707" s="106"/>
    </row>
    <row r="708">
      <c r="C708" s="79"/>
      <c r="D708" s="79"/>
      <c r="E708" s="79"/>
      <c r="O708" s="79"/>
      <c r="R708" s="79"/>
      <c r="S708" s="79"/>
      <c r="X708" s="79"/>
      <c r="AD708" s="130"/>
      <c r="AF708" s="106"/>
    </row>
    <row r="709">
      <c r="C709" s="79"/>
      <c r="D709" s="79"/>
      <c r="E709" s="79"/>
      <c r="O709" s="79"/>
      <c r="R709" s="79"/>
      <c r="S709" s="79"/>
      <c r="X709" s="79"/>
      <c r="AD709" s="130"/>
      <c r="AF709" s="106"/>
    </row>
    <row r="710">
      <c r="C710" s="79"/>
      <c r="D710" s="79"/>
      <c r="E710" s="79"/>
      <c r="O710" s="79"/>
      <c r="R710" s="79"/>
      <c r="S710" s="79"/>
      <c r="X710" s="79"/>
      <c r="AD710" s="130"/>
      <c r="AF710" s="106"/>
    </row>
    <row r="711">
      <c r="C711" s="79"/>
      <c r="D711" s="79"/>
      <c r="E711" s="79"/>
      <c r="O711" s="79"/>
      <c r="R711" s="79"/>
      <c r="S711" s="79"/>
      <c r="X711" s="79"/>
      <c r="AD711" s="130"/>
      <c r="AF711" s="106"/>
    </row>
    <row r="712">
      <c r="C712" s="79"/>
      <c r="D712" s="79"/>
      <c r="E712" s="79"/>
      <c r="O712" s="79"/>
      <c r="R712" s="79"/>
      <c r="S712" s="79"/>
      <c r="X712" s="79"/>
      <c r="AD712" s="130"/>
      <c r="AF712" s="106"/>
    </row>
    <row r="713">
      <c r="C713" s="79"/>
      <c r="D713" s="79"/>
      <c r="E713" s="79"/>
      <c r="O713" s="79"/>
      <c r="R713" s="79"/>
      <c r="S713" s="79"/>
      <c r="X713" s="79"/>
      <c r="AD713" s="130"/>
      <c r="AF713" s="106"/>
    </row>
    <row r="714">
      <c r="C714" s="79"/>
      <c r="D714" s="79"/>
      <c r="E714" s="79"/>
      <c r="O714" s="79"/>
      <c r="R714" s="79"/>
      <c r="S714" s="79"/>
      <c r="X714" s="79"/>
      <c r="AD714" s="130"/>
      <c r="AF714" s="106"/>
    </row>
    <row r="715">
      <c r="C715" s="79"/>
      <c r="D715" s="79"/>
      <c r="E715" s="79"/>
      <c r="O715" s="79"/>
      <c r="R715" s="79"/>
      <c r="S715" s="79"/>
      <c r="X715" s="79"/>
      <c r="AD715" s="130"/>
      <c r="AF715" s="106"/>
    </row>
    <row r="716">
      <c r="C716" s="79"/>
      <c r="D716" s="79"/>
      <c r="E716" s="79"/>
      <c r="O716" s="79"/>
      <c r="R716" s="79"/>
      <c r="S716" s="79"/>
      <c r="X716" s="79"/>
      <c r="AD716" s="130"/>
      <c r="AF716" s="106"/>
    </row>
    <row r="717">
      <c r="C717" s="79"/>
      <c r="D717" s="79"/>
      <c r="E717" s="79"/>
      <c r="O717" s="79"/>
      <c r="R717" s="79"/>
      <c r="S717" s="79"/>
      <c r="X717" s="79"/>
      <c r="AD717" s="130"/>
      <c r="AF717" s="106"/>
    </row>
    <row r="718">
      <c r="C718" s="79"/>
      <c r="D718" s="79"/>
      <c r="E718" s="79"/>
      <c r="O718" s="79"/>
      <c r="R718" s="79"/>
      <c r="S718" s="79"/>
      <c r="X718" s="79"/>
      <c r="AD718" s="130"/>
      <c r="AF718" s="106"/>
    </row>
    <row r="719">
      <c r="C719" s="79"/>
      <c r="D719" s="79"/>
      <c r="E719" s="79"/>
      <c r="O719" s="79"/>
      <c r="R719" s="79"/>
      <c r="S719" s="79"/>
      <c r="X719" s="79"/>
      <c r="AD719" s="130"/>
      <c r="AF719" s="106"/>
    </row>
    <row r="720">
      <c r="C720" s="79"/>
      <c r="D720" s="79"/>
      <c r="E720" s="79"/>
      <c r="O720" s="79"/>
      <c r="R720" s="79"/>
      <c r="S720" s="79"/>
      <c r="X720" s="79"/>
      <c r="AD720" s="130"/>
      <c r="AF720" s="106"/>
    </row>
    <row r="721">
      <c r="C721" s="79"/>
      <c r="D721" s="79"/>
      <c r="E721" s="79"/>
      <c r="O721" s="79"/>
      <c r="R721" s="79"/>
      <c r="S721" s="79"/>
      <c r="X721" s="79"/>
      <c r="AD721" s="130"/>
      <c r="AF721" s="106"/>
    </row>
    <row r="722">
      <c r="C722" s="79"/>
      <c r="D722" s="79"/>
      <c r="E722" s="79"/>
      <c r="O722" s="79"/>
      <c r="R722" s="79"/>
      <c r="S722" s="79"/>
      <c r="X722" s="79"/>
      <c r="AD722" s="130"/>
      <c r="AF722" s="106"/>
    </row>
    <row r="723">
      <c r="C723" s="79"/>
      <c r="D723" s="79"/>
      <c r="E723" s="79"/>
      <c r="O723" s="79"/>
      <c r="R723" s="79"/>
      <c r="S723" s="79"/>
      <c r="X723" s="79"/>
      <c r="AD723" s="130"/>
      <c r="AF723" s="106"/>
    </row>
    <row r="724">
      <c r="C724" s="79"/>
      <c r="D724" s="79"/>
      <c r="E724" s="79"/>
      <c r="O724" s="79"/>
      <c r="R724" s="79"/>
      <c r="S724" s="79"/>
      <c r="X724" s="79"/>
      <c r="AD724" s="130"/>
      <c r="AF724" s="106"/>
    </row>
    <row r="725">
      <c r="C725" s="79"/>
      <c r="D725" s="79"/>
      <c r="E725" s="79"/>
      <c r="O725" s="79"/>
      <c r="R725" s="79"/>
      <c r="S725" s="79"/>
      <c r="X725" s="79"/>
      <c r="AD725" s="130"/>
      <c r="AF725" s="106"/>
    </row>
    <row r="726">
      <c r="C726" s="79"/>
      <c r="D726" s="79"/>
      <c r="E726" s="79"/>
      <c r="O726" s="79"/>
      <c r="R726" s="79"/>
      <c r="S726" s="79"/>
      <c r="X726" s="79"/>
      <c r="AD726" s="130"/>
      <c r="AF726" s="106"/>
    </row>
    <row r="727">
      <c r="C727" s="79"/>
      <c r="D727" s="79"/>
      <c r="E727" s="79"/>
      <c r="O727" s="79"/>
      <c r="R727" s="79"/>
      <c r="S727" s="79"/>
      <c r="X727" s="79"/>
      <c r="AD727" s="130"/>
      <c r="AF727" s="106"/>
    </row>
    <row r="728">
      <c r="C728" s="79"/>
      <c r="D728" s="79"/>
      <c r="E728" s="79"/>
      <c r="O728" s="79"/>
      <c r="R728" s="79"/>
      <c r="S728" s="79"/>
      <c r="X728" s="79"/>
      <c r="AD728" s="130"/>
      <c r="AF728" s="106"/>
    </row>
    <row r="729">
      <c r="C729" s="79"/>
      <c r="D729" s="79"/>
      <c r="E729" s="79"/>
      <c r="O729" s="79"/>
      <c r="R729" s="79"/>
      <c r="S729" s="79"/>
      <c r="X729" s="79"/>
      <c r="AD729" s="130"/>
      <c r="AF729" s="106"/>
    </row>
    <row r="730">
      <c r="C730" s="79"/>
      <c r="D730" s="79"/>
      <c r="E730" s="79"/>
      <c r="O730" s="79"/>
      <c r="R730" s="79"/>
      <c r="S730" s="79"/>
      <c r="X730" s="79"/>
      <c r="AD730" s="130"/>
      <c r="AF730" s="106"/>
    </row>
    <row r="731">
      <c r="C731" s="79"/>
      <c r="D731" s="79"/>
      <c r="E731" s="79"/>
      <c r="O731" s="79"/>
      <c r="R731" s="79"/>
      <c r="S731" s="79"/>
      <c r="X731" s="79"/>
      <c r="AD731" s="130"/>
      <c r="AF731" s="106"/>
    </row>
    <row r="732">
      <c r="C732" s="79"/>
      <c r="D732" s="79"/>
      <c r="E732" s="79"/>
      <c r="O732" s="79"/>
      <c r="R732" s="79"/>
      <c r="S732" s="79"/>
      <c r="X732" s="79"/>
      <c r="AD732" s="130"/>
      <c r="AF732" s="106"/>
    </row>
    <row r="733">
      <c r="C733" s="79"/>
      <c r="D733" s="79"/>
      <c r="E733" s="79"/>
      <c r="O733" s="79"/>
      <c r="R733" s="79"/>
      <c r="S733" s="79"/>
      <c r="X733" s="79"/>
      <c r="AD733" s="130"/>
      <c r="AF733" s="106"/>
    </row>
    <row r="734">
      <c r="C734" s="79"/>
      <c r="D734" s="79"/>
      <c r="E734" s="79"/>
      <c r="O734" s="79"/>
      <c r="R734" s="79"/>
      <c r="S734" s="79"/>
      <c r="X734" s="79"/>
      <c r="AD734" s="130"/>
      <c r="AF734" s="106"/>
    </row>
    <row r="735">
      <c r="C735" s="79"/>
      <c r="D735" s="79"/>
      <c r="E735" s="79"/>
      <c r="O735" s="79"/>
      <c r="R735" s="79"/>
      <c r="S735" s="79"/>
      <c r="X735" s="79"/>
      <c r="AD735" s="130"/>
      <c r="AF735" s="106"/>
    </row>
    <row r="736">
      <c r="C736" s="79"/>
      <c r="D736" s="79"/>
      <c r="E736" s="79"/>
      <c r="O736" s="79"/>
      <c r="R736" s="79"/>
      <c r="S736" s="79"/>
      <c r="X736" s="79"/>
      <c r="AD736" s="130"/>
      <c r="AF736" s="106"/>
    </row>
    <row r="737">
      <c r="C737" s="79"/>
      <c r="D737" s="79"/>
      <c r="E737" s="79"/>
      <c r="O737" s="79"/>
      <c r="R737" s="79"/>
      <c r="S737" s="79"/>
      <c r="X737" s="79"/>
      <c r="AD737" s="130"/>
      <c r="AF737" s="106"/>
    </row>
    <row r="738">
      <c r="C738" s="79"/>
      <c r="D738" s="79"/>
      <c r="E738" s="79"/>
      <c r="O738" s="79"/>
      <c r="R738" s="79"/>
      <c r="S738" s="79"/>
      <c r="X738" s="79"/>
      <c r="AD738" s="130"/>
      <c r="AF738" s="106"/>
    </row>
    <row r="739">
      <c r="C739" s="79"/>
      <c r="D739" s="79"/>
      <c r="E739" s="79"/>
      <c r="O739" s="79"/>
      <c r="R739" s="79"/>
      <c r="S739" s="79"/>
      <c r="X739" s="79"/>
      <c r="AD739" s="130"/>
      <c r="AF739" s="106"/>
    </row>
    <row r="740">
      <c r="C740" s="79"/>
      <c r="D740" s="79"/>
      <c r="E740" s="79"/>
      <c r="O740" s="79"/>
      <c r="R740" s="79"/>
      <c r="S740" s="79"/>
      <c r="X740" s="79"/>
      <c r="AD740" s="130"/>
      <c r="AF740" s="106"/>
    </row>
    <row r="741">
      <c r="C741" s="79"/>
      <c r="D741" s="79"/>
      <c r="E741" s="79"/>
      <c r="O741" s="79"/>
      <c r="R741" s="79"/>
      <c r="S741" s="79"/>
      <c r="X741" s="79"/>
      <c r="AD741" s="130"/>
      <c r="AF741" s="106"/>
    </row>
    <row r="742">
      <c r="C742" s="79"/>
      <c r="D742" s="79"/>
      <c r="E742" s="79"/>
      <c r="O742" s="79"/>
      <c r="R742" s="79"/>
      <c r="S742" s="79"/>
      <c r="X742" s="79"/>
      <c r="AD742" s="130"/>
      <c r="AF742" s="106"/>
    </row>
    <row r="743">
      <c r="C743" s="79"/>
      <c r="D743" s="79"/>
      <c r="E743" s="79"/>
      <c r="O743" s="79"/>
      <c r="R743" s="79"/>
      <c r="S743" s="79"/>
      <c r="X743" s="79"/>
      <c r="AD743" s="130"/>
      <c r="AF743" s="106"/>
    </row>
    <row r="744">
      <c r="C744" s="79"/>
      <c r="D744" s="79"/>
      <c r="E744" s="79"/>
      <c r="O744" s="79"/>
      <c r="R744" s="79"/>
      <c r="S744" s="79"/>
      <c r="X744" s="79"/>
      <c r="AD744" s="130"/>
      <c r="AF744" s="106"/>
    </row>
    <row r="745">
      <c r="C745" s="79"/>
      <c r="D745" s="79"/>
      <c r="E745" s="79"/>
      <c r="O745" s="79"/>
      <c r="R745" s="79"/>
      <c r="S745" s="79"/>
      <c r="X745" s="79"/>
      <c r="AD745" s="130"/>
      <c r="AF745" s="106"/>
    </row>
    <row r="746">
      <c r="C746" s="79"/>
      <c r="D746" s="79"/>
      <c r="E746" s="79"/>
      <c r="O746" s="79"/>
      <c r="R746" s="79"/>
      <c r="S746" s="79"/>
      <c r="X746" s="79"/>
      <c r="AD746" s="130"/>
      <c r="AF746" s="106"/>
    </row>
    <row r="747">
      <c r="C747" s="79"/>
      <c r="D747" s="79"/>
      <c r="E747" s="79"/>
      <c r="O747" s="79"/>
      <c r="R747" s="79"/>
      <c r="S747" s="79"/>
      <c r="X747" s="79"/>
      <c r="AD747" s="130"/>
      <c r="AF747" s="106"/>
    </row>
    <row r="748">
      <c r="C748" s="79"/>
      <c r="D748" s="79"/>
      <c r="E748" s="79"/>
      <c r="O748" s="79"/>
      <c r="R748" s="79"/>
      <c r="S748" s="79"/>
      <c r="X748" s="79"/>
      <c r="AD748" s="130"/>
      <c r="AF748" s="106"/>
    </row>
    <row r="749">
      <c r="C749" s="79"/>
      <c r="D749" s="79"/>
      <c r="E749" s="79"/>
      <c r="O749" s="79"/>
      <c r="R749" s="79"/>
      <c r="S749" s="79"/>
      <c r="X749" s="79"/>
      <c r="AD749" s="130"/>
      <c r="AF749" s="106"/>
    </row>
    <row r="750">
      <c r="C750" s="79"/>
      <c r="D750" s="79"/>
      <c r="E750" s="79"/>
      <c r="O750" s="79"/>
      <c r="R750" s="79"/>
      <c r="S750" s="79"/>
      <c r="X750" s="79"/>
      <c r="AD750" s="130"/>
      <c r="AF750" s="106"/>
    </row>
    <row r="751">
      <c r="C751" s="79"/>
      <c r="D751" s="79"/>
      <c r="E751" s="79"/>
      <c r="O751" s="79"/>
      <c r="R751" s="79"/>
      <c r="S751" s="79"/>
      <c r="X751" s="79"/>
      <c r="AD751" s="130"/>
      <c r="AF751" s="106"/>
    </row>
    <row r="752">
      <c r="C752" s="79"/>
      <c r="D752" s="79"/>
      <c r="E752" s="79"/>
      <c r="O752" s="79"/>
      <c r="R752" s="79"/>
      <c r="S752" s="79"/>
      <c r="X752" s="79"/>
      <c r="AD752" s="130"/>
      <c r="AF752" s="106"/>
    </row>
    <row r="753">
      <c r="C753" s="79"/>
      <c r="D753" s="79"/>
      <c r="E753" s="79"/>
      <c r="O753" s="79"/>
      <c r="R753" s="79"/>
      <c r="S753" s="79"/>
      <c r="X753" s="79"/>
      <c r="AD753" s="130"/>
      <c r="AF753" s="106"/>
    </row>
    <row r="754">
      <c r="C754" s="79"/>
      <c r="D754" s="79"/>
      <c r="E754" s="79"/>
      <c r="O754" s="79"/>
      <c r="R754" s="79"/>
      <c r="S754" s="79"/>
      <c r="X754" s="79"/>
      <c r="AD754" s="130"/>
      <c r="AF754" s="106"/>
    </row>
    <row r="755">
      <c r="C755" s="79"/>
      <c r="D755" s="79"/>
      <c r="E755" s="79"/>
      <c r="O755" s="79"/>
      <c r="R755" s="79"/>
      <c r="S755" s="79"/>
      <c r="X755" s="79"/>
      <c r="AD755" s="130"/>
      <c r="AF755" s="106"/>
    </row>
    <row r="756">
      <c r="C756" s="79"/>
      <c r="D756" s="79"/>
      <c r="E756" s="79"/>
      <c r="O756" s="79"/>
      <c r="R756" s="79"/>
      <c r="S756" s="79"/>
      <c r="X756" s="79"/>
      <c r="AD756" s="130"/>
      <c r="AF756" s="106"/>
    </row>
    <row r="757">
      <c r="C757" s="79"/>
      <c r="D757" s="79"/>
      <c r="E757" s="79"/>
      <c r="O757" s="79"/>
      <c r="R757" s="79"/>
      <c r="S757" s="79"/>
      <c r="X757" s="79"/>
      <c r="AD757" s="130"/>
      <c r="AF757" s="106"/>
    </row>
    <row r="758">
      <c r="C758" s="79"/>
      <c r="D758" s="79"/>
      <c r="E758" s="79"/>
      <c r="O758" s="79"/>
      <c r="R758" s="79"/>
      <c r="S758" s="79"/>
      <c r="X758" s="79"/>
      <c r="AD758" s="130"/>
      <c r="AF758" s="106"/>
    </row>
    <row r="759">
      <c r="C759" s="79"/>
      <c r="D759" s="79"/>
      <c r="E759" s="79"/>
      <c r="O759" s="79"/>
      <c r="R759" s="79"/>
      <c r="S759" s="79"/>
      <c r="X759" s="79"/>
      <c r="AD759" s="130"/>
      <c r="AF759" s="106"/>
    </row>
    <row r="760">
      <c r="C760" s="79"/>
      <c r="D760" s="79"/>
      <c r="E760" s="79"/>
      <c r="O760" s="79"/>
      <c r="R760" s="79"/>
      <c r="S760" s="79"/>
      <c r="X760" s="79"/>
      <c r="AD760" s="130"/>
      <c r="AF760" s="106"/>
    </row>
    <row r="761">
      <c r="C761" s="79"/>
      <c r="D761" s="79"/>
      <c r="E761" s="79"/>
      <c r="O761" s="79"/>
      <c r="R761" s="79"/>
      <c r="S761" s="79"/>
      <c r="X761" s="79"/>
      <c r="AD761" s="130"/>
      <c r="AF761" s="106"/>
    </row>
    <row r="762">
      <c r="C762" s="79"/>
      <c r="D762" s="79"/>
      <c r="E762" s="79"/>
      <c r="O762" s="79"/>
      <c r="R762" s="79"/>
      <c r="S762" s="79"/>
      <c r="X762" s="79"/>
      <c r="AD762" s="130"/>
      <c r="AF762" s="106"/>
    </row>
    <row r="763">
      <c r="C763" s="79"/>
      <c r="D763" s="79"/>
      <c r="E763" s="79"/>
      <c r="O763" s="79"/>
      <c r="R763" s="79"/>
      <c r="S763" s="79"/>
      <c r="X763" s="79"/>
      <c r="AD763" s="130"/>
      <c r="AF763" s="106"/>
    </row>
    <row r="764">
      <c r="C764" s="79"/>
      <c r="D764" s="79"/>
      <c r="E764" s="79"/>
      <c r="O764" s="79"/>
      <c r="R764" s="79"/>
      <c r="S764" s="79"/>
      <c r="X764" s="79"/>
      <c r="AD764" s="130"/>
      <c r="AF764" s="106"/>
    </row>
    <row r="765">
      <c r="C765" s="79"/>
      <c r="D765" s="79"/>
      <c r="E765" s="79"/>
      <c r="O765" s="79"/>
      <c r="R765" s="79"/>
      <c r="S765" s="79"/>
      <c r="X765" s="79"/>
      <c r="AD765" s="130"/>
      <c r="AF765" s="106"/>
    </row>
    <row r="766">
      <c r="C766" s="79"/>
      <c r="D766" s="79"/>
      <c r="E766" s="79"/>
      <c r="O766" s="79"/>
      <c r="R766" s="79"/>
      <c r="S766" s="79"/>
      <c r="X766" s="79"/>
      <c r="AD766" s="130"/>
      <c r="AF766" s="106"/>
    </row>
    <row r="767">
      <c r="C767" s="79"/>
      <c r="D767" s="79"/>
      <c r="E767" s="79"/>
      <c r="O767" s="79"/>
      <c r="R767" s="79"/>
      <c r="S767" s="79"/>
      <c r="X767" s="79"/>
      <c r="AD767" s="130"/>
      <c r="AF767" s="106"/>
    </row>
    <row r="768">
      <c r="C768" s="79"/>
      <c r="D768" s="79"/>
      <c r="E768" s="79"/>
      <c r="O768" s="79"/>
      <c r="R768" s="79"/>
      <c r="S768" s="79"/>
      <c r="X768" s="79"/>
      <c r="AD768" s="130"/>
      <c r="AF768" s="106"/>
    </row>
    <row r="769">
      <c r="C769" s="79"/>
      <c r="D769" s="79"/>
      <c r="E769" s="79"/>
      <c r="O769" s="79"/>
      <c r="R769" s="79"/>
      <c r="S769" s="79"/>
      <c r="X769" s="79"/>
      <c r="AD769" s="130"/>
      <c r="AF769" s="106"/>
    </row>
    <row r="770">
      <c r="C770" s="79"/>
      <c r="D770" s="79"/>
      <c r="E770" s="79"/>
      <c r="O770" s="79"/>
      <c r="R770" s="79"/>
      <c r="S770" s="79"/>
      <c r="X770" s="79"/>
      <c r="AD770" s="130"/>
      <c r="AF770" s="106"/>
    </row>
    <row r="771">
      <c r="C771" s="79"/>
      <c r="D771" s="79"/>
      <c r="E771" s="79"/>
      <c r="O771" s="79"/>
      <c r="R771" s="79"/>
      <c r="S771" s="79"/>
      <c r="X771" s="79"/>
      <c r="AD771" s="130"/>
      <c r="AF771" s="106"/>
    </row>
    <row r="772">
      <c r="C772" s="79"/>
      <c r="D772" s="79"/>
      <c r="E772" s="79"/>
      <c r="O772" s="79"/>
      <c r="R772" s="79"/>
      <c r="S772" s="79"/>
      <c r="X772" s="79"/>
      <c r="AD772" s="130"/>
      <c r="AF772" s="106"/>
    </row>
    <row r="773">
      <c r="C773" s="79"/>
      <c r="D773" s="79"/>
      <c r="E773" s="79"/>
      <c r="O773" s="79"/>
      <c r="R773" s="79"/>
      <c r="S773" s="79"/>
      <c r="X773" s="79"/>
      <c r="AD773" s="130"/>
      <c r="AF773" s="106"/>
    </row>
    <row r="774">
      <c r="C774" s="79"/>
      <c r="D774" s="79"/>
      <c r="E774" s="79"/>
      <c r="O774" s="79"/>
      <c r="R774" s="79"/>
      <c r="S774" s="79"/>
      <c r="X774" s="79"/>
      <c r="AD774" s="130"/>
      <c r="AF774" s="106"/>
    </row>
    <row r="775">
      <c r="C775" s="79"/>
      <c r="D775" s="79"/>
      <c r="E775" s="79"/>
      <c r="O775" s="79"/>
      <c r="R775" s="79"/>
      <c r="S775" s="79"/>
      <c r="X775" s="79"/>
      <c r="AD775" s="130"/>
      <c r="AF775" s="106"/>
    </row>
    <row r="776">
      <c r="C776" s="79"/>
      <c r="D776" s="79"/>
      <c r="E776" s="79"/>
      <c r="O776" s="79"/>
      <c r="R776" s="79"/>
      <c r="S776" s="79"/>
      <c r="X776" s="79"/>
      <c r="AD776" s="130"/>
      <c r="AF776" s="106"/>
    </row>
    <row r="777">
      <c r="C777" s="79"/>
      <c r="D777" s="79"/>
      <c r="E777" s="79"/>
      <c r="O777" s="79"/>
      <c r="R777" s="79"/>
      <c r="S777" s="79"/>
      <c r="X777" s="79"/>
      <c r="AD777" s="130"/>
      <c r="AF777" s="106"/>
    </row>
    <row r="778">
      <c r="C778" s="79"/>
      <c r="D778" s="79"/>
      <c r="E778" s="79"/>
      <c r="O778" s="79"/>
      <c r="R778" s="79"/>
      <c r="S778" s="79"/>
      <c r="X778" s="79"/>
      <c r="AD778" s="130"/>
      <c r="AF778" s="106"/>
    </row>
    <row r="779">
      <c r="C779" s="79"/>
      <c r="D779" s="79"/>
      <c r="E779" s="79"/>
      <c r="O779" s="79"/>
      <c r="R779" s="79"/>
      <c r="S779" s="79"/>
      <c r="X779" s="79"/>
      <c r="AD779" s="130"/>
      <c r="AF779" s="106"/>
    </row>
    <row r="780">
      <c r="C780" s="79"/>
      <c r="D780" s="79"/>
      <c r="E780" s="79"/>
      <c r="O780" s="79"/>
      <c r="R780" s="79"/>
      <c r="S780" s="79"/>
      <c r="X780" s="79"/>
      <c r="AD780" s="130"/>
      <c r="AF780" s="106"/>
    </row>
    <row r="781">
      <c r="C781" s="79"/>
      <c r="D781" s="79"/>
      <c r="E781" s="79"/>
      <c r="O781" s="79"/>
      <c r="R781" s="79"/>
      <c r="S781" s="79"/>
      <c r="X781" s="79"/>
      <c r="AD781" s="130"/>
      <c r="AF781" s="106"/>
    </row>
    <row r="782">
      <c r="C782" s="79"/>
      <c r="D782" s="79"/>
      <c r="E782" s="79"/>
      <c r="O782" s="79"/>
      <c r="R782" s="79"/>
      <c r="S782" s="79"/>
      <c r="X782" s="79"/>
      <c r="AD782" s="130"/>
      <c r="AF782" s="106"/>
    </row>
    <row r="783">
      <c r="C783" s="79"/>
      <c r="D783" s="79"/>
      <c r="E783" s="79"/>
      <c r="O783" s="79"/>
      <c r="R783" s="79"/>
      <c r="S783" s="79"/>
      <c r="X783" s="79"/>
      <c r="AD783" s="130"/>
      <c r="AF783" s="106"/>
    </row>
    <row r="784">
      <c r="C784" s="79"/>
      <c r="D784" s="79"/>
      <c r="E784" s="79"/>
      <c r="O784" s="79"/>
      <c r="R784" s="79"/>
      <c r="S784" s="79"/>
      <c r="X784" s="79"/>
      <c r="AD784" s="130"/>
      <c r="AF784" s="106"/>
    </row>
    <row r="785">
      <c r="C785" s="79"/>
      <c r="D785" s="79"/>
      <c r="E785" s="79"/>
      <c r="O785" s="79"/>
      <c r="R785" s="79"/>
      <c r="S785" s="79"/>
      <c r="X785" s="79"/>
      <c r="AD785" s="130"/>
      <c r="AF785" s="106"/>
    </row>
    <row r="786">
      <c r="C786" s="79"/>
      <c r="D786" s="79"/>
      <c r="E786" s="79"/>
      <c r="O786" s="79"/>
      <c r="R786" s="79"/>
      <c r="S786" s="79"/>
      <c r="X786" s="79"/>
      <c r="AD786" s="130"/>
      <c r="AF786" s="106"/>
    </row>
    <row r="787">
      <c r="C787" s="79"/>
      <c r="D787" s="79"/>
      <c r="E787" s="79"/>
      <c r="O787" s="79"/>
      <c r="R787" s="79"/>
      <c r="S787" s="79"/>
      <c r="X787" s="79"/>
      <c r="AD787" s="130"/>
      <c r="AF787" s="106"/>
    </row>
    <row r="788">
      <c r="C788" s="79"/>
      <c r="D788" s="79"/>
      <c r="E788" s="79"/>
      <c r="O788" s="79"/>
      <c r="R788" s="79"/>
      <c r="S788" s="79"/>
      <c r="X788" s="79"/>
      <c r="AD788" s="130"/>
      <c r="AF788" s="106"/>
    </row>
    <row r="789">
      <c r="C789" s="79"/>
      <c r="D789" s="79"/>
      <c r="E789" s="79"/>
      <c r="O789" s="79"/>
      <c r="R789" s="79"/>
      <c r="S789" s="79"/>
      <c r="X789" s="79"/>
      <c r="AD789" s="130"/>
      <c r="AF789" s="106"/>
    </row>
    <row r="790">
      <c r="C790" s="79"/>
      <c r="D790" s="79"/>
      <c r="E790" s="79"/>
      <c r="O790" s="79"/>
      <c r="R790" s="79"/>
      <c r="S790" s="79"/>
      <c r="X790" s="79"/>
      <c r="AD790" s="130"/>
      <c r="AF790" s="106"/>
    </row>
    <row r="791">
      <c r="C791" s="79"/>
      <c r="D791" s="79"/>
      <c r="E791" s="79"/>
      <c r="O791" s="79"/>
      <c r="R791" s="79"/>
      <c r="S791" s="79"/>
      <c r="X791" s="79"/>
      <c r="AD791" s="130"/>
      <c r="AF791" s="106"/>
    </row>
    <row r="792">
      <c r="C792" s="79"/>
      <c r="D792" s="79"/>
      <c r="E792" s="79"/>
      <c r="O792" s="79"/>
      <c r="R792" s="79"/>
      <c r="S792" s="79"/>
      <c r="X792" s="79"/>
      <c r="AD792" s="130"/>
      <c r="AF792" s="106"/>
    </row>
    <row r="793">
      <c r="C793" s="79"/>
      <c r="D793" s="79"/>
      <c r="E793" s="79"/>
      <c r="O793" s="79"/>
      <c r="R793" s="79"/>
      <c r="S793" s="79"/>
      <c r="X793" s="79"/>
      <c r="AD793" s="130"/>
      <c r="AF793" s="106"/>
    </row>
    <row r="794">
      <c r="C794" s="79"/>
      <c r="D794" s="79"/>
      <c r="E794" s="79"/>
      <c r="O794" s="79"/>
      <c r="R794" s="79"/>
      <c r="S794" s="79"/>
      <c r="X794" s="79"/>
      <c r="AD794" s="130"/>
      <c r="AF794" s="106"/>
    </row>
    <row r="795">
      <c r="C795" s="79"/>
      <c r="D795" s="79"/>
      <c r="E795" s="79"/>
      <c r="O795" s="79"/>
      <c r="R795" s="79"/>
      <c r="S795" s="79"/>
      <c r="X795" s="79"/>
      <c r="AD795" s="130"/>
      <c r="AF795" s="106"/>
    </row>
    <row r="796">
      <c r="C796" s="79"/>
      <c r="D796" s="79"/>
      <c r="E796" s="79"/>
      <c r="O796" s="79"/>
      <c r="R796" s="79"/>
      <c r="S796" s="79"/>
      <c r="X796" s="79"/>
      <c r="AD796" s="130"/>
      <c r="AF796" s="106"/>
    </row>
    <row r="797">
      <c r="C797" s="79"/>
      <c r="D797" s="79"/>
      <c r="E797" s="79"/>
      <c r="O797" s="79"/>
      <c r="R797" s="79"/>
      <c r="S797" s="79"/>
      <c r="X797" s="79"/>
      <c r="AD797" s="130"/>
      <c r="AF797" s="106"/>
    </row>
    <row r="798">
      <c r="C798" s="79"/>
      <c r="D798" s="79"/>
      <c r="E798" s="79"/>
      <c r="O798" s="79"/>
      <c r="R798" s="79"/>
      <c r="S798" s="79"/>
      <c r="X798" s="79"/>
      <c r="AD798" s="130"/>
      <c r="AF798" s="106"/>
    </row>
    <row r="799">
      <c r="C799" s="79"/>
      <c r="D799" s="79"/>
      <c r="E799" s="79"/>
      <c r="O799" s="79"/>
      <c r="R799" s="79"/>
      <c r="S799" s="79"/>
      <c r="X799" s="79"/>
      <c r="AD799" s="130"/>
      <c r="AF799" s="106"/>
    </row>
    <row r="800">
      <c r="C800" s="79"/>
      <c r="D800" s="79"/>
      <c r="E800" s="79"/>
      <c r="O800" s="79"/>
      <c r="R800" s="79"/>
      <c r="S800" s="79"/>
      <c r="X800" s="79"/>
      <c r="AD800" s="130"/>
      <c r="AF800" s="106"/>
    </row>
    <row r="801">
      <c r="C801" s="79"/>
      <c r="D801" s="79"/>
      <c r="E801" s="79"/>
      <c r="O801" s="79"/>
      <c r="R801" s="79"/>
      <c r="S801" s="79"/>
      <c r="X801" s="79"/>
      <c r="AD801" s="130"/>
      <c r="AF801" s="106"/>
    </row>
    <row r="802">
      <c r="C802" s="79"/>
      <c r="D802" s="79"/>
      <c r="E802" s="79"/>
      <c r="O802" s="79"/>
      <c r="R802" s="79"/>
      <c r="S802" s="79"/>
      <c r="X802" s="79"/>
      <c r="AD802" s="130"/>
      <c r="AF802" s="106"/>
    </row>
    <row r="803">
      <c r="C803" s="79"/>
      <c r="D803" s="79"/>
      <c r="E803" s="79"/>
      <c r="O803" s="79"/>
      <c r="R803" s="79"/>
      <c r="S803" s="79"/>
      <c r="X803" s="79"/>
      <c r="AD803" s="130"/>
      <c r="AF803" s="106"/>
    </row>
    <row r="804">
      <c r="C804" s="79"/>
      <c r="D804" s="79"/>
      <c r="E804" s="79"/>
      <c r="O804" s="79"/>
      <c r="R804" s="79"/>
      <c r="S804" s="79"/>
      <c r="X804" s="79"/>
      <c r="AD804" s="130"/>
      <c r="AF804" s="106"/>
    </row>
    <row r="805">
      <c r="C805" s="79"/>
      <c r="D805" s="79"/>
      <c r="E805" s="79"/>
      <c r="O805" s="79"/>
      <c r="R805" s="79"/>
      <c r="S805" s="79"/>
      <c r="X805" s="79"/>
      <c r="AD805" s="130"/>
      <c r="AF805" s="106"/>
    </row>
    <row r="806">
      <c r="C806" s="79"/>
      <c r="D806" s="79"/>
      <c r="E806" s="79"/>
      <c r="O806" s="79"/>
      <c r="R806" s="79"/>
      <c r="S806" s="79"/>
      <c r="X806" s="79"/>
      <c r="AD806" s="130"/>
      <c r="AF806" s="106"/>
    </row>
    <row r="807">
      <c r="C807" s="79"/>
      <c r="D807" s="79"/>
      <c r="E807" s="79"/>
      <c r="O807" s="79"/>
      <c r="R807" s="79"/>
      <c r="S807" s="79"/>
      <c r="X807" s="79"/>
      <c r="AD807" s="130"/>
      <c r="AF807" s="106"/>
    </row>
    <row r="808">
      <c r="C808" s="79"/>
      <c r="D808" s="79"/>
      <c r="E808" s="79"/>
      <c r="O808" s="79"/>
      <c r="R808" s="79"/>
      <c r="S808" s="79"/>
      <c r="X808" s="79"/>
      <c r="AD808" s="130"/>
      <c r="AF808" s="106"/>
    </row>
    <row r="809">
      <c r="C809" s="79"/>
      <c r="D809" s="79"/>
      <c r="E809" s="79"/>
      <c r="O809" s="79"/>
      <c r="R809" s="79"/>
      <c r="S809" s="79"/>
      <c r="X809" s="79"/>
      <c r="AD809" s="130"/>
      <c r="AF809" s="106"/>
    </row>
    <row r="810">
      <c r="C810" s="79"/>
      <c r="D810" s="79"/>
      <c r="E810" s="79"/>
      <c r="O810" s="79"/>
      <c r="R810" s="79"/>
      <c r="S810" s="79"/>
      <c r="X810" s="79"/>
      <c r="AD810" s="130"/>
      <c r="AF810" s="106"/>
    </row>
    <row r="811">
      <c r="C811" s="79"/>
      <c r="D811" s="79"/>
      <c r="E811" s="79"/>
      <c r="O811" s="79"/>
      <c r="R811" s="79"/>
      <c r="S811" s="79"/>
      <c r="X811" s="79"/>
      <c r="AD811" s="130"/>
      <c r="AF811" s="106"/>
    </row>
    <row r="812">
      <c r="C812" s="79"/>
      <c r="D812" s="79"/>
      <c r="E812" s="79"/>
      <c r="O812" s="79"/>
      <c r="R812" s="79"/>
      <c r="S812" s="79"/>
      <c r="X812" s="79"/>
      <c r="AD812" s="130"/>
      <c r="AF812" s="106"/>
    </row>
    <row r="813">
      <c r="C813" s="79"/>
      <c r="D813" s="79"/>
      <c r="E813" s="79"/>
      <c r="O813" s="79"/>
      <c r="R813" s="79"/>
      <c r="S813" s="79"/>
      <c r="X813" s="79"/>
      <c r="AD813" s="130"/>
      <c r="AF813" s="106"/>
    </row>
    <row r="814">
      <c r="C814" s="79"/>
      <c r="D814" s="79"/>
      <c r="E814" s="79"/>
      <c r="O814" s="79"/>
      <c r="R814" s="79"/>
      <c r="S814" s="79"/>
      <c r="X814" s="79"/>
      <c r="AD814" s="130"/>
      <c r="AF814" s="106"/>
    </row>
    <row r="815">
      <c r="C815" s="79"/>
      <c r="D815" s="79"/>
      <c r="E815" s="79"/>
      <c r="O815" s="79"/>
      <c r="R815" s="79"/>
      <c r="S815" s="79"/>
      <c r="X815" s="79"/>
      <c r="AD815" s="130"/>
      <c r="AF815" s="106"/>
    </row>
    <row r="816">
      <c r="C816" s="79"/>
      <c r="D816" s="79"/>
      <c r="E816" s="79"/>
      <c r="O816" s="79"/>
      <c r="R816" s="79"/>
      <c r="S816" s="79"/>
      <c r="X816" s="79"/>
      <c r="AD816" s="130"/>
      <c r="AF816" s="106"/>
    </row>
    <row r="817">
      <c r="C817" s="79"/>
      <c r="D817" s="79"/>
      <c r="E817" s="79"/>
      <c r="O817" s="79"/>
      <c r="R817" s="79"/>
      <c r="S817" s="79"/>
      <c r="X817" s="79"/>
      <c r="AD817" s="130"/>
      <c r="AF817" s="106"/>
    </row>
    <row r="818">
      <c r="C818" s="79"/>
      <c r="D818" s="79"/>
      <c r="E818" s="79"/>
      <c r="O818" s="79"/>
      <c r="R818" s="79"/>
      <c r="S818" s="79"/>
      <c r="X818" s="79"/>
      <c r="AD818" s="130"/>
      <c r="AF818" s="106"/>
    </row>
    <row r="819">
      <c r="C819" s="79"/>
      <c r="D819" s="79"/>
      <c r="E819" s="79"/>
      <c r="O819" s="79"/>
      <c r="R819" s="79"/>
      <c r="S819" s="79"/>
      <c r="X819" s="79"/>
      <c r="AD819" s="130"/>
      <c r="AF819" s="106"/>
    </row>
    <row r="820">
      <c r="C820" s="79"/>
      <c r="D820" s="79"/>
      <c r="E820" s="79"/>
      <c r="O820" s="79"/>
      <c r="R820" s="79"/>
      <c r="S820" s="79"/>
      <c r="X820" s="79"/>
      <c r="AD820" s="130"/>
      <c r="AF820" s="106"/>
    </row>
    <row r="821">
      <c r="C821" s="79"/>
      <c r="D821" s="79"/>
      <c r="E821" s="79"/>
      <c r="O821" s="79"/>
      <c r="R821" s="79"/>
      <c r="S821" s="79"/>
      <c r="X821" s="79"/>
      <c r="AD821" s="130"/>
      <c r="AF821" s="106"/>
    </row>
    <row r="822">
      <c r="C822" s="79"/>
      <c r="D822" s="79"/>
      <c r="E822" s="79"/>
      <c r="O822" s="79"/>
      <c r="R822" s="79"/>
      <c r="S822" s="79"/>
      <c r="X822" s="79"/>
      <c r="AD822" s="130"/>
      <c r="AF822" s="106"/>
    </row>
    <row r="823">
      <c r="C823" s="79"/>
      <c r="D823" s="79"/>
      <c r="E823" s="79"/>
      <c r="O823" s="79"/>
      <c r="R823" s="79"/>
      <c r="S823" s="79"/>
      <c r="X823" s="79"/>
      <c r="AD823" s="130"/>
      <c r="AF823" s="106"/>
    </row>
    <row r="824">
      <c r="C824" s="79"/>
      <c r="D824" s="79"/>
      <c r="E824" s="79"/>
      <c r="O824" s="79"/>
      <c r="R824" s="79"/>
      <c r="S824" s="79"/>
      <c r="X824" s="79"/>
      <c r="AD824" s="130"/>
      <c r="AF824" s="106"/>
    </row>
    <row r="825">
      <c r="C825" s="79"/>
      <c r="D825" s="79"/>
      <c r="E825" s="79"/>
      <c r="O825" s="79"/>
      <c r="R825" s="79"/>
      <c r="S825" s="79"/>
      <c r="X825" s="79"/>
      <c r="AD825" s="130"/>
      <c r="AF825" s="106"/>
    </row>
    <row r="826">
      <c r="C826" s="79"/>
      <c r="D826" s="79"/>
      <c r="E826" s="79"/>
      <c r="O826" s="79"/>
      <c r="R826" s="79"/>
      <c r="S826" s="79"/>
      <c r="X826" s="79"/>
      <c r="AD826" s="130"/>
      <c r="AF826" s="106"/>
    </row>
    <row r="827">
      <c r="C827" s="79"/>
      <c r="D827" s="79"/>
      <c r="E827" s="79"/>
      <c r="O827" s="79"/>
      <c r="R827" s="79"/>
      <c r="S827" s="79"/>
      <c r="X827" s="79"/>
      <c r="AD827" s="130"/>
      <c r="AF827" s="106"/>
    </row>
    <row r="828">
      <c r="C828" s="79"/>
      <c r="D828" s="79"/>
      <c r="E828" s="79"/>
      <c r="O828" s="79"/>
      <c r="R828" s="79"/>
      <c r="S828" s="79"/>
      <c r="X828" s="79"/>
      <c r="AD828" s="130"/>
      <c r="AF828" s="106"/>
    </row>
    <row r="829">
      <c r="C829" s="79"/>
      <c r="D829" s="79"/>
      <c r="E829" s="79"/>
      <c r="O829" s="79"/>
      <c r="R829" s="79"/>
      <c r="S829" s="79"/>
      <c r="X829" s="79"/>
      <c r="AD829" s="130"/>
      <c r="AF829" s="106"/>
    </row>
    <row r="830">
      <c r="C830" s="79"/>
      <c r="D830" s="79"/>
      <c r="E830" s="79"/>
      <c r="O830" s="79"/>
      <c r="R830" s="79"/>
      <c r="S830" s="79"/>
      <c r="X830" s="79"/>
      <c r="AD830" s="130"/>
      <c r="AF830" s="106"/>
    </row>
    <row r="831">
      <c r="C831" s="79"/>
      <c r="D831" s="79"/>
      <c r="E831" s="79"/>
      <c r="O831" s="79"/>
      <c r="R831" s="79"/>
      <c r="S831" s="79"/>
      <c r="X831" s="79"/>
      <c r="AD831" s="130"/>
      <c r="AF831" s="106"/>
    </row>
    <row r="832">
      <c r="O832" s="79"/>
      <c r="R832" s="79"/>
      <c r="S832" s="79"/>
      <c r="X832" s="79"/>
      <c r="AD832" s="130"/>
      <c r="AF832" s="106"/>
    </row>
    <row r="833">
      <c r="O833" s="79"/>
      <c r="R833" s="79"/>
      <c r="S833" s="79"/>
      <c r="X833" s="79"/>
      <c r="AD833" s="130"/>
      <c r="AF833" s="106"/>
    </row>
    <row r="834">
      <c r="O834" s="79"/>
      <c r="R834" s="79"/>
      <c r="S834" s="79"/>
      <c r="X834" s="79"/>
      <c r="AD834" s="130"/>
      <c r="AF834" s="106"/>
    </row>
    <row r="835">
      <c r="O835" s="79"/>
      <c r="R835" s="79"/>
      <c r="S835" s="79"/>
      <c r="X835" s="79"/>
      <c r="AD835" s="130"/>
      <c r="AF835" s="106"/>
    </row>
    <row r="836">
      <c r="O836" s="79"/>
      <c r="R836" s="79"/>
      <c r="S836" s="79"/>
      <c r="X836" s="79"/>
      <c r="AD836" s="130"/>
      <c r="AF836" s="106"/>
    </row>
    <row r="837">
      <c r="O837" s="79"/>
      <c r="R837" s="79"/>
      <c r="S837" s="79"/>
      <c r="X837" s="79"/>
      <c r="AD837" s="130"/>
      <c r="AF837" s="106"/>
    </row>
    <row r="838">
      <c r="O838" s="79"/>
      <c r="R838" s="79"/>
      <c r="S838" s="79"/>
      <c r="X838" s="79"/>
      <c r="AD838" s="130"/>
      <c r="AF838" s="106"/>
    </row>
    <row r="839">
      <c r="O839" s="79"/>
      <c r="R839" s="79"/>
      <c r="S839" s="79"/>
      <c r="X839" s="79"/>
      <c r="AD839" s="130"/>
      <c r="AF839" s="106"/>
    </row>
    <row r="840">
      <c r="O840" s="79"/>
      <c r="R840" s="79"/>
      <c r="S840" s="79"/>
      <c r="X840" s="79"/>
      <c r="AD840" s="130"/>
      <c r="AF840" s="106"/>
    </row>
    <row r="841">
      <c r="O841" s="79"/>
      <c r="R841" s="79"/>
      <c r="S841" s="79"/>
      <c r="X841" s="79"/>
      <c r="AD841" s="130"/>
      <c r="AF841" s="106"/>
    </row>
    <row r="842">
      <c r="O842" s="79"/>
      <c r="R842" s="79"/>
      <c r="S842" s="79"/>
      <c r="X842" s="79"/>
      <c r="AD842" s="130"/>
      <c r="AF842" s="106"/>
    </row>
    <row r="843">
      <c r="O843" s="79"/>
      <c r="R843" s="79"/>
      <c r="S843" s="79"/>
      <c r="X843" s="79"/>
      <c r="AD843" s="130"/>
      <c r="AF843" s="106"/>
    </row>
    <row r="844">
      <c r="O844" s="79"/>
      <c r="R844" s="79"/>
      <c r="S844" s="79"/>
      <c r="X844" s="79"/>
      <c r="AD844" s="130"/>
      <c r="AF844" s="106"/>
    </row>
    <row r="845">
      <c r="O845" s="79"/>
      <c r="R845" s="79"/>
      <c r="S845" s="79"/>
      <c r="X845" s="79"/>
      <c r="AD845" s="130"/>
      <c r="AF845" s="106"/>
    </row>
    <row r="846">
      <c r="O846" s="79"/>
      <c r="R846" s="79"/>
      <c r="S846" s="79"/>
      <c r="X846" s="79"/>
      <c r="AD846" s="130"/>
      <c r="AF846" s="106"/>
    </row>
    <row r="847">
      <c r="O847" s="79"/>
      <c r="R847" s="79"/>
      <c r="S847" s="79"/>
      <c r="X847" s="79"/>
      <c r="AD847" s="130"/>
      <c r="AF847" s="106"/>
    </row>
    <row r="848">
      <c r="O848" s="79"/>
      <c r="R848" s="79"/>
      <c r="S848" s="79"/>
      <c r="X848" s="79"/>
      <c r="AD848" s="130"/>
      <c r="AF848" s="106"/>
    </row>
    <row r="849">
      <c r="O849" s="79"/>
      <c r="R849" s="79"/>
      <c r="S849" s="79"/>
      <c r="X849" s="79"/>
      <c r="AD849" s="130"/>
      <c r="AF849" s="106"/>
    </row>
    <row r="850">
      <c r="O850" s="79"/>
      <c r="R850" s="79"/>
      <c r="S850" s="79"/>
      <c r="X850" s="79"/>
      <c r="AD850" s="130"/>
      <c r="AF850" s="106"/>
    </row>
    <row r="851">
      <c r="O851" s="79"/>
      <c r="R851" s="79"/>
      <c r="S851" s="79"/>
      <c r="X851" s="79"/>
      <c r="AD851" s="130"/>
      <c r="AF851" s="106"/>
    </row>
    <row r="852">
      <c r="O852" s="79"/>
      <c r="R852" s="79"/>
      <c r="S852" s="79"/>
      <c r="X852" s="79"/>
      <c r="AD852" s="130"/>
      <c r="AF852" s="106"/>
    </row>
    <row r="853">
      <c r="O853" s="79"/>
      <c r="R853" s="79"/>
      <c r="S853" s="79"/>
      <c r="X853" s="79"/>
      <c r="AD853" s="130"/>
      <c r="AF853" s="106"/>
    </row>
    <row r="854">
      <c r="O854" s="79"/>
      <c r="R854" s="79"/>
      <c r="S854" s="79"/>
      <c r="X854" s="79"/>
      <c r="AD854" s="130"/>
      <c r="AF854" s="106"/>
    </row>
  </sheetData>
  <autoFilter ref="$A$37:$F$88">
    <sortState ref="A37:F88">
      <sortCondition descending="1" sortBy="cellColor" ref="E37:E88" dxfId="1"/>
      <sortCondition descending="1" sortBy="cellColor" ref="C37:C88" dxfId="1"/>
      <sortCondition descending="1" sortBy="cellColor" ref="A37:A88" dxfId="1"/>
    </sortState>
  </autoFilter>
  <mergeCells count="2">
    <mergeCell ref="B34:E34"/>
    <mergeCell ref="H82:N82"/>
  </mergeCells>
  <conditionalFormatting sqref="H38:H50">
    <cfRule type="cellIs" dxfId="2" priority="1" operator="greaterThanOrEqual">
      <formula>1</formula>
    </cfRule>
  </conditionalFormatting>
  <conditionalFormatting sqref="H38:H50">
    <cfRule type="cellIs" dxfId="3" priority="2" operator="lessThanOrEqual">
      <formula>0</formula>
    </cfRule>
  </conditionalFormatting>
  <drawing r:id="rId2"/>
  <legacyDrawing r:id="rId3"/>
  <tableParts count="2">
    <tablePart r:id="rId6"/>
    <tablePart r:id="rId7"/>
  </tableParts>
</worksheet>
</file>

<file path=xl/worksheets/sheet1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16.75"/>
    <col customWidth="1" min="3" max="3" width="27.88"/>
    <col customWidth="1" min="4" max="4" width="25.75"/>
    <col customWidth="1" min="5" max="5" width="20.88"/>
    <col customWidth="1" min="6" max="6" width="26.38"/>
    <col customWidth="1" min="7" max="7" width="25.13"/>
    <col customWidth="1" min="8" max="8" width="24.0"/>
    <col customWidth="1" min="9" max="10" width="15.5"/>
    <col customWidth="1" min="11" max="11" width="16.5"/>
    <col customWidth="1" min="12" max="13" width="15.5"/>
    <col customWidth="1" min="15" max="15" width="27.38"/>
    <col customWidth="1" min="16" max="16" width="11.13"/>
    <col customWidth="1" min="25" max="25" width="14.63"/>
    <col customWidth="1" min="28" max="28" width="19.88"/>
    <col customWidth="1" min="32" max="32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37</v>
      </c>
      <c r="J1" s="2" t="s">
        <v>5</v>
      </c>
      <c r="K1" s="2" t="s">
        <v>303</v>
      </c>
      <c r="L1" s="2" t="s">
        <v>6</v>
      </c>
      <c r="M1" s="2" t="s">
        <v>854</v>
      </c>
      <c r="N1" s="2" t="s">
        <v>49</v>
      </c>
      <c r="O1" s="105" t="s">
        <v>304</v>
      </c>
      <c r="P1" s="2" t="s">
        <v>10</v>
      </c>
      <c r="Q1" s="2" t="s">
        <v>42</v>
      </c>
      <c r="R1" s="105" t="s">
        <v>656</v>
      </c>
      <c r="S1" s="105" t="s">
        <v>9</v>
      </c>
      <c r="T1" s="2" t="s">
        <v>164</v>
      </c>
      <c r="U1" s="105" t="s">
        <v>40</v>
      </c>
      <c r="V1" s="2" t="s">
        <v>83</v>
      </c>
      <c r="W1" s="2" t="s">
        <v>204</v>
      </c>
      <c r="X1" s="105" t="s">
        <v>205</v>
      </c>
      <c r="Y1" s="2" t="s">
        <v>206</v>
      </c>
      <c r="Z1" s="2" t="s">
        <v>305</v>
      </c>
      <c r="AA1" s="2" t="s">
        <v>846</v>
      </c>
      <c r="AB1" s="3" t="s">
        <v>828</v>
      </c>
      <c r="AC1" s="3" t="s">
        <v>13</v>
      </c>
      <c r="AD1" s="3" t="s">
        <v>14</v>
      </c>
      <c r="AE1" s="3" t="s">
        <v>15</v>
      </c>
      <c r="AF1" s="106"/>
      <c r="AG1" s="265" t="s">
        <v>306</v>
      </c>
      <c r="AH1" s="266" t="s">
        <v>80</v>
      </c>
    </row>
    <row r="2">
      <c r="A2" s="74">
        <v>45698.0</v>
      </c>
      <c r="B2" s="93"/>
      <c r="C2" s="93"/>
      <c r="D2" s="93"/>
      <c r="E2" s="93"/>
      <c r="F2" s="93"/>
      <c r="G2" s="93">
        <v>180.0</v>
      </c>
      <c r="H2" s="93"/>
      <c r="I2" s="93"/>
      <c r="J2" s="374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250">
        <v>240.0</v>
      </c>
      <c r="AA2" s="250">
        <v>363.0</v>
      </c>
      <c r="AB2" s="386"/>
      <c r="AC2" s="107">
        <f>SUM(B2:Z2)</f>
        <v>420</v>
      </c>
      <c r="AD2" s="158">
        <v>0.0</v>
      </c>
      <c r="AE2" s="59" t="str">
        <f t="shared" ref="AE2:AE8" si="1">AC2/AD2</f>
        <v>#DIV/0!</v>
      </c>
      <c r="AF2" s="109">
        <f t="shared" ref="AF2:AF8" si="2">A2</f>
        <v>45698</v>
      </c>
      <c r="AG2" s="267"/>
      <c r="AH2" s="268">
        <f t="shared" ref="AH2:AH8" si="3">AD2-AG2</f>
        <v>0</v>
      </c>
    </row>
    <row r="3">
      <c r="A3" s="74">
        <f t="shared" ref="A3:A8" si="4">A2+1</f>
        <v>45699</v>
      </c>
      <c r="B3" s="93">
        <f>1085.19-33.97-11.62-10.04-26.39-296.55</f>
        <v>706.62</v>
      </c>
      <c r="C3" s="93">
        <f>661.4-23-84.7-24.25</f>
        <v>529.45</v>
      </c>
      <c r="D3" s="93">
        <f>1740.79-845.19</f>
        <v>895.6</v>
      </c>
      <c r="E3" s="93"/>
      <c r="F3" s="93"/>
      <c r="G3" s="93"/>
      <c r="H3" s="168"/>
      <c r="I3" s="93"/>
      <c r="J3" s="93"/>
      <c r="K3" s="93"/>
      <c r="L3" s="93"/>
      <c r="M3" s="93"/>
      <c r="N3" s="93">
        <f>648</f>
        <v>648</v>
      </c>
      <c r="O3" s="93"/>
      <c r="P3" s="93">
        <v>167.7</v>
      </c>
      <c r="Q3" s="93"/>
      <c r="R3" s="93"/>
      <c r="S3" s="93"/>
      <c r="T3" s="79"/>
      <c r="U3" s="93"/>
      <c r="V3" s="93"/>
      <c r="W3" s="93"/>
      <c r="X3" s="93"/>
      <c r="Y3" s="93"/>
      <c r="Z3" s="326"/>
      <c r="AA3" s="326"/>
      <c r="AB3" s="326"/>
      <c r="AC3" s="107">
        <f t="shared" ref="AC3:AC8" si="5">SUM(B3:Y3)</f>
        <v>2947.37</v>
      </c>
      <c r="AD3" s="158">
        <v>8620.0</v>
      </c>
      <c r="AE3" s="59">
        <f t="shared" si="1"/>
        <v>0.3419222738</v>
      </c>
      <c r="AF3" s="109">
        <f t="shared" si="2"/>
        <v>45699</v>
      </c>
      <c r="AG3" s="267"/>
      <c r="AH3" s="268">
        <f t="shared" si="3"/>
        <v>8620</v>
      </c>
    </row>
    <row r="4">
      <c r="A4" s="74">
        <f t="shared" si="4"/>
        <v>45700</v>
      </c>
      <c r="B4" s="93">
        <f>862.86-28.71-32.96-9.48-7.4-10.54-55.6-14.29-14.88-38.46-14.47-11.63-52.07-41.38</f>
        <v>530.99</v>
      </c>
      <c r="C4" s="93"/>
      <c r="D4" s="93"/>
      <c r="E4" s="93"/>
      <c r="F4" s="93"/>
      <c r="G4" s="93"/>
      <c r="H4" s="168"/>
      <c r="I4" s="93"/>
      <c r="J4" s="93">
        <f>1800.3-99</f>
        <v>1701.3</v>
      </c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101"/>
      <c r="Z4" s="326"/>
      <c r="AA4" s="326"/>
      <c r="AB4" s="326"/>
      <c r="AC4" s="107">
        <f t="shared" si="5"/>
        <v>2232.29</v>
      </c>
      <c r="AD4" s="158">
        <v>8641.0</v>
      </c>
      <c r="AE4" s="59">
        <f t="shared" si="1"/>
        <v>0.258336998</v>
      </c>
      <c r="AF4" s="109">
        <f t="shared" si="2"/>
        <v>45700</v>
      </c>
      <c r="AG4" s="267"/>
      <c r="AH4" s="268">
        <f t="shared" si="3"/>
        <v>8641</v>
      </c>
    </row>
    <row r="5">
      <c r="A5" s="74">
        <f t="shared" si="4"/>
        <v>45701</v>
      </c>
      <c r="B5" s="93">
        <f>1370.54-91.69-175.32-25.92-24.07-29.01-75.76-17.29-20.08-26.04-21.62-8.73-82.77</f>
        <v>772.24</v>
      </c>
      <c r="C5" s="93"/>
      <c r="D5" s="93"/>
      <c r="E5" s="93"/>
      <c r="F5" s="344">
        <v>379.86</v>
      </c>
      <c r="G5" s="93">
        <v>180.0</v>
      </c>
      <c r="H5" s="79"/>
      <c r="I5" s="160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101"/>
      <c r="Y5" s="101"/>
      <c r="Z5" s="327"/>
      <c r="AA5" s="327"/>
      <c r="AB5" s="93">
        <f>330.5*7</f>
        <v>2313.5</v>
      </c>
      <c r="AC5" s="7">
        <f t="shared" si="5"/>
        <v>1332.1</v>
      </c>
      <c r="AD5" s="380">
        <v>11780.0</v>
      </c>
      <c r="AE5" s="59">
        <f t="shared" si="1"/>
        <v>0.1130814941</v>
      </c>
      <c r="AF5" s="109">
        <f t="shared" si="2"/>
        <v>45701</v>
      </c>
      <c r="AG5" s="267"/>
      <c r="AH5" s="268">
        <f t="shared" si="3"/>
        <v>11780</v>
      </c>
    </row>
    <row r="6">
      <c r="A6" s="74">
        <f t="shared" si="4"/>
        <v>45702</v>
      </c>
      <c r="B6" s="93">
        <f>567.24-21.62-7.92-26.56-11.96-7.4-69.81-57.12-66.96-28.45-22.82-12.37-13.61</f>
        <v>220.64</v>
      </c>
      <c r="C6" s="93">
        <f>231.4-28.8-84.7</f>
        <v>117.9</v>
      </c>
      <c r="D6" s="93"/>
      <c r="E6" s="93"/>
      <c r="F6" s="79"/>
      <c r="G6" s="93"/>
      <c r="H6" s="160"/>
      <c r="I6" s="93"/>
      <c r="J6" s="93"/>
      <c r="K6" s="93"/>
      <c r="L6" s="93"/>
      <c r="M6" s="374"/>
      <c r="N6" s="93">
        <v>243.0</v>
      </c>
      <c r="O6" s="93"/>
      <c r="P6" s="93">
        <v>204.0</v>
      </c>
      <c r="Q6" s="93"/>
      <c r="R6" s="93"/>
      <c r="S6" s="374"/>
      <c r="T6" s="93"/>
      <c r="U6" s="93"/>
      <c r="V6" s="93"/>
      <c r="W6" s="93"/>
      <c r="X6" s="93"/>
      <c r="Y6" s="93"/>
      <c r="Z6" s="327"/>
      <c r="AA6" s="327"/>
      <c r="AB6" s="327"/>
      <c r="AC6" s="7">
        <f t="shared" si="5"/>
        <v>785.54</v>
      </c>
      <c r="AD6" s="380">
        <v>16095.0</v>
      </c>
      <c r="AE6" s="59">
        <f t="shared" si="1"/>
        <v>0.04880646163</v>
      </c>
      <c r="AF6" s="109">
        <f t="shared" si="2"/>
        <v>45702</v>
      </c>
      <c r="AG6" s="267"/>
      <c r="AH6" s="268">
        <f t="shared" si="3"/>
        <v>16095</v>
      </c>
    </row>
    <row r="7">
      <c r="A7" s="74">
        <f t="shared" si="4"/>
        <v>45703</v>
      </c>
      <c r="B7" s="93">
        <f>562.83-34.36-26.06-7.96-13.61-25.75-23.6-2.88</f>
        <v>428.61</v>
      </c>
      <c r="C7" s="361"/>
      <c r="D7" s="93">
        <f>180.12+1021.33-115.2-210.6-690.53</f>
        <v>185.12</v>
      </c>
      <c r="E7" s="79"/>
      <c r="F7" s="93"/>
      <c r="G7" s="93">
        <v>180.0</v>
      </c>
      <c r="H7" s="79"/>
      <c r="I7" s="93"/>
      <c r="J7" s="93"/>
      <c r="K7" s="93"/>
      <c r="L7" s="93"/>
      <c r="M7" s="374"/>
      <c r="N7" s="93"/>
      <c r="O7" s="93"/>
      <c r="P7" s="93"/>
      <c r="Q7" s="93"/>
      <c r="R7" s="101"/>
      <c r="S7" s="93"/>
      <c r="T7" s="93"/>
      <c r="U7" s="93"/>
      <c r="V7" s="93"/>
      <c r="W7" s="93"/>
      <c r="X7" s="101"/>
      <c r="Y7" s="93"/>
      <c r="Z7" s="327"/>
      <c r="AA7" s="327"/>
      <c r="AB7" s="327"/>
      <c r="AC7" s="7">
        <f t="shared" si="5"/>
        <v>793.73</v>
      </c>
      <c r="AD7" s="380">
        <v>14445.0</v>
      </c>
      <c r="AE7" s="59">
        <f t="shared" si="1"/>
        <v>0.05494842506</v>
      </c>
      <c r="AF7" s="109">
        <f t="shared" si="2"/>
        <v>45703</v>
      </c>
      <c r="AG7" s="267"/>
      <c r="AH7" s="268">
        <f t="shared" si="3"/>
        <v>14445</v>
      </c>
    </row>
    <row r="8">
      <c r="A8" s="74">
        <f t="shared" si="4"/>
        <v>45704</v>
      </c>
      <c r="B8" s="93"/>
      <c r="C8" s="374"/>
      <c r="D8" s="180">
        <v>817.04</v>
      </c>
      <c r="E8" s="374"/>
      <c r="F8" s="374"/>
      <c r="G8" s="112"/>
      <c r="H8" s="93"/>
      <c r="I8" s="344">
        <v>431.0</v>
      </c>
      <c r="J8" s="344">
        <v>874.75</v>
      </c>
      <c r="K8" s="180">
        <v>633.17</v>
      </c>
      <c r="L8" s="112"/>
      <c r="M8" s="374"/>
      <c r="N8" s="374"/>
      <c r="O8" s="93"/>
      <c r="P8" s="93"/>
      <c r="Q8" s="374"/>
      <c r="R8" s="101"/>
      <c r="S8" s="93"/>
      <c r="T8" s="374"/>
      <c r="U8" s="112"/>
      <c r="V8" s="112"/>
      <c r="W8" s="112"/>
      <c r="X8" s="112"/>
      <c r="Y8" s="112"/>
      <c r="Z8" s="93"/>
      <c r="AA8" s="433"/>
      <c r="AB8" s="616"/>
      <c r="AC8" s="7">
        <f t="shared" si="5"/>
        <v>2755.96</v>
      </c>
      <c r="AD8" s="380">
        <v>0.0</v>
      </c>
      <c r="AE8" s="59" t="str">
        <f t="shared" si="1"/>
        <v>#DIV/0!</v>
      </c>
      <c r="AF8" s="109">
        <f t="shared" si="2"/>
        <v>45704</v>
      </c>
      <c r="AG8" s="267"/>
      <c r="AH8" s="268">
        <f t="shared" si="3"/>
        <v>0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D9" s="129"/>
      <c r="AF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D10" s="129"/>
      <c r="AF10" s="106"/>
    </row>
    <row r="11">
      <c r="A11" s="165" t="s">
        <v>194</v>
      </c>
      <c r="B11" s="93">
        <f>33.97+11.62+28.71+32.96+55.6+14.29+14.88+38.46+14.47+21.62+7.92+26.56+69.81+57.12+12.37+13.61+21.62+8.73+34.36+26.06+7.96+13.61+25.75+23.6+2.88</f>
        <v>618.54</v>
      </c>
      <c r="C11" s="93">
        <f>137.66+24.25+28.8</f>
        <v>190.71</v>
      </c>
      <c r="D11" s="180">
        <f>1449.86-724.94-300</f>
        <v>424.92</v>
      </c>
      <c r="E11" s="167"/>
      <c r="F11" s="168"/>
      <c r="G11" s="168"/>
      <c r="H11" s="93"/>
      <c r="I11" s="166"/>
      <c r="J11" s="93"/>
      <c r="K11" s="168"/>
      <c r="L11" s="93"/>
      <c r="M11" s="93"/>
      <c r="N11" s="93"/>
      <c r="O11" s="168"/>
      <c r="P11" s="168"/>
      <c r="Q11" s="168"/>
      <c r="R11" s="168"/>
      <c r="S11" s="168"/>
      <c r="T11" s="168"/>
      <c r="U11" s="168"/>
      <c r="V11" s="1"/>
      <c r="W11" s="168"/>
      <c r="X11" s="168"/>
      <c r="Y11" s="1"/>
      <c r="Z11" s="93"/>
      <c r="AA11" s="1"/>
      <c r="AB11" s="1"/>
      <c r="AC11" s="1"/>
      <c r="AD11" s="169"/>
      <c r="AE11" s="1"/>
      <c r="AF11" s="170"/>
    </row>
    <row r="12">
      <c r="A12" s="165" t="s">
        <v>195</v>
      </c>
      <c r="B12" s="93">
        <f>10.04+26.39+9.48+7.4+10.54+11.63+52.07+41.38+11.96+7.4+66.96+28.46+22.32+91.69+175.32+25.92+24.07+29.01+75.76+17.29+20.08+26.04+82.77</f>
        <v>873.98</v>
      </c>
      <c r="C12" s="93">
        <f>23+84.7+115.2+84.7</f>
        <v>307.6</v>
      </c>
      <c r="D12" s="93">
        <f>115.2+105.3+115.2+210.6</f>
        <v>546.3</v>
      </c>
      <c r="E12" s="93"/>
      <c r="F12" s="374"/>
      <c r="G12" s="93"/>
      <c r="H12" s="79"/>
      <c r="I12" s="93"/>
      <c r="J12" s="93">
        <f>99+99</f>
        <v>198</v>
      </c>
      <c r="K12" s="79"/>
      <c r="L12" s="93"/>
      <c r="M12" s="93"/>
      <c r="N12" s="93">
        <f>78+72</f>
        <v>150</v>
      </c>
      <c r="O12" s="168"/>
      <c r="P12" s="93"/>
      <c r="Q12" s="166"/>
      <c r="R12" s="93"/>
      <c r="S12" s="166"/>
      <c r="T12" s="168"/>
      <c r="U12" s="168"/>
      <c r="V12" s="1"/>
      <c r="W12" s="93"/>
      <c r="X12" s="168"/>
      <c r="Y12" s="1"/>
      <c r="Z12" s="1"/>
      <c r="AA12" s="192"/>
      <c r="AB12" s="1"/>
      <c r="AC12" s="1"/>
      <c r="AD12" s="171"/>
      <c r="AE12" s="1"/>
      <c r="AF12" s="170"/>
    </row>
    <row r="13">
      <c r="A13" s="172" t="s">
        <v>198</v>
      </c>
      <c r="B13" s="93"/>
      <c r="C13" s="348"/>
      <c r="D13" s="93"/>
      <c r="E13" s="168"/>
      <c r="F13" s="166"/>
      <c r="G13" s="166"/>
      <c r="H13" s="168"/>
      <c r="I13" s="168"/>
      <c r="J13" s="93"/>
      <c r="K13" s="168"/>
      <c r="L13" s="168"/>
      <c r="M13" s="168"/>
      <c r="N13" s="93"/>
      <c r="O13" s="168"/>
      <c r="P13" s="93"/>
      <c r="Q13" s="168"/>
      <c r="R13" s="168"/>
      <c r="S13" s="168"/>
      <c r="T13" s="1"/>
      <c r="U13" s="1"/>
      <c r="V13" s="1"/>
      <c r="W13" s="168"/>
      <c r="X13" s="168"/>
      <c r="Y13" s="1"/>
      <c r="Z13" s="1"/>
      <c r="AA13" s="1"/>
      <c r="AB13" s="1"/>
      <c r="AC13" s="1"/>
      <c r="AD13" s="174"/>
      <c r="AE13" s="1"/>
      <c r="AF13" s="170"/>
    </row>
    <row r="14">
      <c r="A14" s="91"/>
      <c r="B14" s="375"/>
      <c r="C14" s="79"/>
      <c r="D14" s="79"/>
      <c r="E14" s="79"/>
      <c r="F14" s="78"/>
      <c r="G14" s="78"/>
      <c r="H14" s="79"/>
      <c r="I14" s="78"/>
      <c r="J14" s="79"/>
      <c r="K14" s="79"/>
      <c r="L14" s="79"/>
      <c r="M14" s="79"/>
      <c r="N14" s="79"/>
      <c r="O14" s="79"/>
      <c r="Q14" s="79"/>
      <c r="R14" s="79"/>
      <c r="S14" s="198"/>
      <c r="T14" s="198"/>
      <c r="X14" s="79"/>
      <c r="AD14" s="131"/>
      <c r="AF14" s="106"/>
    </row>
    <row r="15">
      <c r="A15" s="91"/>
      <c r="B15" s="375"/>
      <c r="C15" s="79"/>
      <c r="D15" s="78"/>
      <c r="E15" s="78"/>
      <c r="F15" s="93"/>
      <c r="G15" s="351"/>
      <c r="H15" s="192"/>
      <c r="I15" s="198"/>
      <c r="J15" s="201"/>
      <c r="K15" s="199"/>
      <c r="L15" s="199"/>
      <c r="M15" s="200"/>
      <c r="N15" s="202"/>
      <c r="O15" s="198"/>
      <c r="Q15" s="198"/>
      <c r="R15" s="79"/>
      <c r="S15" s="198"/>
      <c r="T15" s="198"/>
      <c r="U15" s="198"/>
      <c r="V15" s="198"/>
      <c r="W15" s="199"/>
      <c r="X15" s="79"/>
      <c r="AD15" s="131"/>
      <c r="AF15" s="106"/>
    </row>
    <row r="16">
      <c r="A16" s="4" t="s">
        <v>22</v>
      </c>
      <c r="B16" s="11">
        <v>11500.0</v>
      </c>
      <c r="C16" s="79"/>
      <c r="D16" s="78"/>
      <c r="E16" s="78"/>
      <c r="F16" s="587"/>
      <c r="G16" s="175"/>
      <c r="H16" s="192"/>
      <c r="I16" s="203"/>
      <c r="J16" s="203"/>
      <c r="K16" s="203"/>
      <c r="L16" s="203"/>
      <c r="M16" s="198"/>
      <c r="N16" s="200"/>
      <c r="O16" s="198"/>
      <c r="Q16" s="203"/>
      <c r="R16" s="427"/>
      <c r="S16" s="201"/>
      <c r="T16" s="198"/>
      <c r="U16" s="198"/>
      <c r="V16" s="198"/>
      <c r="W16" s="201"/>
      <c r="X16" s="79"/>
      <c r="AD16" s="131"/>
      <c r="AF16" s="106"/>
    </row>
    <row r="17">
      <c r="A17" s="4" t="s">
        <v>23</v>
      </c>
      <c r="B17" s="11">
        <f>SUM(B2:AB8)</f>
        <v>13943.49</v>
      </c>
      <c r="C17" s="192"/>
      <c r="D17" s="78"/>
      <c r="E17" s="78"/>
      <c r="F17" s="213"/>
      <c r="G17" s="351"/>
      <c r="H17" s="192"/>
      <c r="I17" s="175"/>
      <c r="J17" s="203"/>
      <c r="K17" s="203"/>
      <c r="L17" s="203"/>
      <c r="M17" s="201"/>
      <c r="N17" s="201"/>
      <c r="O17" s="198"/>
      <c r="Q17" s="203"/>
      <c r="R17" s="79"/>
      <c r="S17" s="201"/>
      <c r="T17" s="201"/>
      <c r="U17" s="198"/>
      <c r="V17" s="198"/>
      <c r="W17" s="191"/>
      <c r="X17" s="79"/>
      <c r="AD17" s="131"/>
      <c r="AF17" s="106"/>
    </row>
    <row r="18">
      <c r="A18" s="4" t="s">
        <v>24</v>
      </c>
      <c r="B18" s="11">
        <f> SUM(B16-B17)</f>
        <v>-2443.49</v>
      </c>
      <c r="C18" s="79"/>
      <c r="D18" s="78"/>
      <c r="E18" s="151"/>
      <c r="F18" s="198"/>
      <c r="G18" s="351"/>
      <c r="H18" s="192"/>
      <c r="I18" s="203">
        <v>126.0</v>
      </c>
      <c r="J18" s="203"/>
      <c r="K18" s="203"/>
      <c r="L18" s="203"/>
      <c r="M18" s="201"/>
      <c r="N18" s="200"/>
      <c r="O18" s="198"/>
      <c r="Q18" s="203"/>
      <c r="R18" s="79"/>
      <c r="S18" s="210"/>
      <c r="T18" s="210"/>
      <c r="U18" s="198"/>
      <c r="V18" s="198"/>
      <c r="W18" s="203"/>
      <c r="X18" s="79"/>
      <c r="AD18" s="131"/>
      <c r="AF18" s="106"/>
    </row>
    <row r="19">
      <c r="C19" s="79"/>
      <c r="E19" s="588" t="s">
        <v>195</v>
      </c>
      <c r="F19" s="198"/>
      <c r="G19" s="351"/>
      <c r="H19" s="192"/>
      <c r="I19" s="345">
        <v>126.0</v>
      </c>
      <c r="J19" s="203"/>
      <c r="K19" s="203"/>
      <c r="L19" s="203"/>
      <c r="N19" s="198"/>
      <c r="O19" s="198"/>
      <c r="Q19" s="203"/>
      <c r="R19" s="79"/>
      <c r="S19" s="198"/>
      <c r="T19" s="428"/>
      <c r="U19" s="198"/>
      <c r="V19" s="201"/>
      <c r="W19" s="203"/>
      <c r="X19" s="79"/>
      <c r="AD19" s="131"/>
      <c r="AF19" s="106"/>
    </row>
    <row r="20">
      <c r="A20" s="13" t="s">
        <v>25</v>
      </c>
      <c r="B20" s="14">
        <f>SUM(AD2:AD8)</f>
        <v>59581</v>
      </c>
      <c r="C20" s="79"/>
      <c r="D20" s="13" t="s">
        <v>724</v>
      </c>
      <c r="E20" s="445">
        <f>sum(B12:AA12)+3266</f>
        <v>5341.88</v>
      </c>
      <c r="F20" s="589"/>
      <c r="G20" s="351"/>
      <c r="H20" s="192"/>
      <c r="I20" s="203">
        <f>I18+I19</f>
        <v>252</v>
      </c>
      <c r="J20" s="203"/>
      <c r="K20" s="203"/>
      <c r="L20" s="203"/>
      <c r="M20" s="203"/>
      <c r="N20" s="198"/>
      <c r="O20" s="198"/>
      <c r="Q20" s="203"/>
      <c r="R20" s="79"/>
      <c r="S20" s="198"/>
      <c r="T20" s="198"/>
      <c r="U20" s="198"/>
      <c r="V20" s="198"/>
      <c r="W20" s="203"/>
      <c r="X20" s="79"/>
      <c r="AD20" s="181"/>
      <c r="AF20" s="106"/>
    </row>
    <row r="21">
      <c r="A21" s="13" t="s">
        <v>26</v>
      </c>
      <c r="B21" s="15">
        <f>B17/B20</f>
        <v>0.23402578</v>
      </c>
      <c r="C21" s="79"/>
      <c r="D21" s="13" t="s">
        <v>25</v>
      </c>
      <c r="E21" s="445">
        <f>2524.6+8294+4712</f>
        <v>15530.6</v>
      </c>
      <c r="F21" s="589"/>
      <c r="G21" s="351"/>
      <c r="H21" s="192"/>
      <c r="I21" s="203">
        <f>I20/2</f>
        <v>126</v>
      </c>
      <c r="J21" s="203"/>
      <c r="K21" s="203"/>
      <c r="L21" s="203"/>
      <c r="M21" s="203"/>
      <c r="N21" s="203"/>
      <c r="O21" s="198"/>
      <c r="Q21" s="203"/>
      <c r="R21" s="79"/>
      <c r="S21" s="198"/>
      <c r="T21" s="198"/>
      <c r="U21" s="198"/>
      <c r="V21" s="198"/>
      <c r="W21" s="203"/>
      <c r="X21" s="79"/>
      <c r="AD21" s="130"/>
      <c r="AF21" s="106"/>
    </row>
    <row r="22">
      <c r="C22" s="79"/>
      <c r="D22" s="448" t="s">
        <v>26</v>
      </c>
      <c r="E22" s="449">
        <f>E20/E21</f>
        <v>0.3439583789</v>
      </c>
      <c r="F22" s="590"/>
      <c r="G22" s="351"/>
      <c r="H22" s="192"/>
      <c r="I22" s="78"/>
      <c r="J22" s="203"/>
      <c r="K22" s="203"/>
      <c r="L22" s="203"/>
      <c r="M22" s="203"/>
      <c r="N22" s="201"/>
      <c r="O22" s="198"/>
      <c r="Q22" s="198"/>
      <c r="R22" s="79"/>
      <c r="S22" s="198"/>
      <c r="T22" s="198"/>
      <c r="U22" s="198"/>
      <c r="V22" s="198"/>
      <c r="W22" s="203"/>
      <c r="X22" s="79"/>
      <c r="AD22" s="182"/>
      <c r="AF22" s="106"/>
    </row>
    <row r="23">
      <c r="C23" s="79"/>
      <c r="D23" s="79"/>
      <c r="E23" s="79"/>
      <c r="F23" s="198"/>
      <c r="G23" s="351"/>
      <c r="H23" s="192"/>
      <c r="I23" s="203"/>
      <c r="J23" s="212"/>
      <c r="K23" s="203"/>
      <c r="L23" s="203"/>
      <c r="M23" s="203"/>
      <c r="N23" s="201"/>
      <c r="O23" s="198"/>
      <c r="Q23" s="198"/>
      <c r="R23" s="79"/>
      <c r="S23" s="198"/>
      <c r="T23" s="198"/>
      <c r="U23" s="198"/>
      <c r="V23" s="198"/>
      <c r="W23" s="203"/>
      <c r="X23" s="79"/>
      <c r="AD23" s="130"/>
      <c r="AF23" s="106"/>
    </row>
    <row r="24">
      <c r="A24" s="16" t="s">
        <v>27</v>
      </c>
      <c r="B24" s="17"/>
      <c r="C24" s="114"/>
      <c r="D24" s="114"/>
      <c r="E24" s="114"/>
      <c r="F24" s="198"/>
      <c r="G24" s="78"/>
      <c r="H24" s="224"/>
      <c r="I24" s="78"/>
      <c r="J24" s="79"/>
      <c r="K24" s="203"/>
      <c r="L24" s="217"/>
      <c r="M24" s="208"/>
      <c r="N24" s="198"/>
      <c r="O24" s="198"/>
      <c r="Q24" s="200"/>
      <c r="R24" s="79"/>
      <c r="S24" s="198"/>
      <c r="T24" s="198"/>
      <c r="U24" s="198"/>
      <c r="V24" s="198"/>
      <c r="W24" s="203"/>
      <c r="X24" s="79"/>
      <c r="AD24" s="130"/>
      <c r="AF24" s="106"/>
    </row>
    <row r="25">
      <c r="A25" s="19" t="s">
        <v>28</v>
      </c>
      <c r="B25" s="20"/>
      <c r="C25" s="116"/>
      <c r="D25" s="116"/>
      <c r="E25" s="116"/>
      <c r="F25" s="198"/>
      <c r="G25" s="78"/>
      <c r="H25" s="213"/>
      <c r="I25" s="224"/>
      <c r="J25" s="78"/>
      <c r="K25" s="203"/>
      <c r="L25" s="203"/>
      <c r="M25" s="209"/>
      <c r="N25" s="201"/>
      <c r="O25" s="198"/>
      <c r="Q25" s="198"/>
      <c r="R25" s="79"/>
      <c r="S25" s="198"/>
      <c r="T25" s="198"/>
      <c r="U25" s="198"/>
      <c r="V25" s="198"/>
      <c r="W25" s="203"/>
      <c r="X25" s="79"/>
      <c r="AD25" s="130"/>
      <c r="AF25" s="106"/>
    </row>
    <row r="26">
      <c r="A26" s="183" t="s">
        <v>29</v>
      </c>
      <c r="B26" s="184" t="s">
        <v>30</v>
      </c>
      <c r="C26" s="183"/>
      <c r="D26" s="183" t="s">
        <v>170</v>
      </c>
      <c r="E26" s="591" t="s">
        <v>171</v>
      </c>
      <c r="F26" s="198"/>
      <c r="G26" s="79"/>
      <c r="H26" s="242"/>
      <c r="I26" s="79"/>
      <c r="J26" s="79"/>
      <c r="K26" s="203"/>
      <c r="L26" s="201"/>
      <c r="M26" s="209"/>
      <c r="N26" s="198"/>
      <c r="O26" s="198"/>
      <c r="Q26" s="198"/>
      <c r="R26" s="79"/>
      <c r="S26" s="198"/>
      <c r="T26" s="198"/>
      <c r="U26" s="198"/>
      <c r="V26" s="198"/>
      <c r="W26" s="203"/>
      <c r="X26" s="79"/>
      <c r="Y26" s="195"/>
      <c r="AD26" s="130"/>
      <c r="AF26" s="106"/>
    </row>
    <row r="27">
      <c r="A27" s="237" t="s">
        <v>949</v>
      </c>
      <c r="B27" s="381">
        <f>+1519.49+1309.88</f>
        <v>2829.37</v>
      </c>
      <c r="C27" s="239"/>
      <c r="D27" s="239"/>
      <c r="E27" s="239"/>
      <c r="F27" s="204"/>
      <c r="O27" s="79"/>
      <c r="R27" s="79"/>
      <c r="S27" s="79"/>
      <c r="X27" s="79"/>
      <c r="AD27" s="130"/>
      <c r="AF27" s="106"/>
    </row>
    <row r="28">
      <c r="A28" s="221" t="s">
        <v>950</v>
      </c>
      <c r="B28" s="341">
        <f>746.25+682</f>
        <v>1428.25</v>
      </c>
      <c r="C28" s="223"/>
      <c r="D28" s="223"/>
      <c r="E28" s="223"/>
      <c r="F28" s="204"/>
      <c r="O28" s="79"/>
      <c r="R28" s="79"/>
      <c r="S28" s="79"/>
      <c r="X28" s="79"/>
      <c r="AD28" s="130"/>
      <c r="AF28" s="106"/>
    </row>
    <row r="29">
      <c r="A29" s="221" t="s">
        <v>111</v>
      </c>
      <c r="B29" s="341">
        <f>1221.58</f>
        <v>1221.58</v>
      </c>
      <c r="C29" s="223"/>
      <c r="D29" s="223"/>
      <c r="E29" s="223"/>
      <c r="F29" s="204"/>
      <c r="O29" s="79"/>
      <c r="R29" s="79"/>
      <c r="S29" s="79"/>
      <c r="X29" s="79"/>
      <c r="AD29" s="130"/>
      <c r="AF29" s="106"/>
    </row>
    <row r="30">
      <c r="A30" s="681" t="s">
        <v>942</v>
      </c>
      <c r="B30" s="682">
        <f>311.25+330.05</f>
        <v>641.3</v>
      </c>
      <c r="C30" s="683"/>
      <c r="D30" s="683"/>
      <c r="E30" s="683"/>
      <c r="F30" s="204"/>
      <c r="O30" s="79"/>
      <c r="R30" s="79"/>
      <c r="S30" s="79"/>
      <c r="X30" s="79"/>
      <c r="AD30" s="130"/>
      <c r="AF30" s="106"/>
    </row>
    <row r="31">
      <c r="A31" s="245" t="s">
        <v>951</v>
      </c>
      <c r="B31" s="340">
        <f>697.33+312.9+455.86+396.9</f>
        <v>1862.99</v>
      </c>
      <c r="C31" s="247"/>
      <c r="D31" s="247"/>
      <c r="E31" s="247"/>
      <c r="F31" s="204"/>
      <c r="O31" s="79"/>
      <c r="R31" s="79"/>
      <c r="S31" s="79"/>
      <c r="X31" s="79"/>
      <c r="AD31" s="130"/>
      <c r="AF31" s="106"/>
    </row>
    <row r="32">
      <c r="A32" s="245" t="s">
        <v>952</v>
      </c>
      <c r="B32" s="340">
        <v>296.55</v>
      </c>
      <c r="C32" s="247"/>
      <c r="D32" s="247"/>
      <c r="E32" s="247"/>
      <c r="F32" s="204"/>
      <c r="O32" s="79"/>
      <c r="R32" s="79"/>
      <c r="S32" s="79"/>
      <c r="X32" s="79"/>
      <c r="AD32" s="130"/>
      <c r="AF32" s="106"/>
    </row>
    <row r="33">
      <c r="A33" s="79"/>
      <c r="B33" s="668"/>
      <c r="C33" s="668"/>
      <c r="D33" s="668"/>
      <c r="E33" s="668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669"/>
      <c r="AE33" s="79"/>
      <c r="AF33" s="670"/>
      <c r="AG33" s="79"/>
      <c r="AH33" s="79"/>
      <c r="AI33" s="79"/>
    </row>
    <row r="34">
      <c r="A34" s="274"/>
      <c r="B34" s="275" t="s">
        <v>315</v>
      </c>
      <c r="F34" s="274"/>
      <c r="G34" s="274"/>
      <c r="H34" s="274"/>
      <c r="I34" s="274"/>
      <c r="J34" s="274"/>
      <c r="K34" s="274"/>
      <c r="L34" s="274"/>
      <c r="M34" s="274"/>
      <c r="N34" s="274"/>
      <c r="O34" s="274"/>
      <c r="P34" s="274"/>
      <c r="Q34" s="274"/>
      <c r="R34" s="274"/>
      <c r="S34" s="274"/>
      <c r="T34" s="274"/>
      <c r="U34" s="274"/>
      <c r="V34" s="274"/>
      <c r="W34" s="274"/>
      <c r="X34" s="274"/>
      <c r="Y34" s="274"/>
      <c r="Z34" s="274"/>
      <c r="AA34" s="274"/>
      <c r="AB34" s="274"/>
      <c r="AC34" s="274"/>
      <c r="AD34" s="276"/>
      <c r="AE34" s="274"/>
      <c r="AF34" s="277"/>
      <c r="AG34" s="274"/>
      <c r="AH34" s="274"/>
      <c r="AI34" s="274"/>
    </row>
    <row r="35">
      <c r="A35" s="16" t="s">
        <v>316</v>
      </c>
      <c r="B35" s="17"/>
      <c r="C35" s="114"/>
      <c r="D35" s="114"/>
      <c r="E35" s="115"/>
      <c r="I35" s="455" t="s">
        <v>735</v>
      </c>
      <c r="J35" s="17"/>
      <c r="K35" s="114"/>
      <c r="L35" s="114"/>
      <c r="M35" s="115"/>
      <c r="P35" s="79"/>
      <c r="T35" s="79"/>
      <c r="U35" s="79"/>
      <c r="AE35" s="130"/>
      <c r="AG35" s="106"/>
    </row>
    <row r="36">
      <c r="A36" s="19" t="s">
        <v>317</v>
      </c>
      <c r="B36" s="20"/>
      <c r="C36" s="116"/>
      <c r="D36" s="116"/>
      <c r="E36" s="117"/>
      <c r="I36" s="599" t="s">
        <v>736</v>
      </c>
      <c r="J36" s="20"/>
      <c r="K36" s="116"/>
      <c r="L36" s="116"/>
      <c r="M36" s="117"/>
      <c r="P36" s="79"/>
      <c r="T36" s="79"/>
      <c r="U36" s="79"/>
      <c r="AE36" s="130"/>
      <c r="AG36" s="106"/>
    </row>
    <row r="37">
      <c r="A37" s="278" t="s">
        <v>318</v>
      </c>
      <c r="B37" s="279" t="s">
        <v>319</v>
      </c>
      <c r="C37" s="280" t="s">
        <v>285</v>
      </c>
      <c r="D37" s="280" t="s">
        <v>30</v>
      </c>
      <c r="E37" s="281" t="s">
        <v>320</v>
      </c>
      <c r="F37" s="281" t="s">
        <v>321</v>
      </c>
      <c r="H37" s="600" t="s">
        <v>743</v>
      </c>
      <c r="I37" s="507" t="s">
        <v>318</v>
      </c>
      <c r="J37" s="601" t="s">
        <v>319</v>
      </c>
      <c r="K37" s="507" t="s">
        <v>285</v>
      </c>
      <c r="L37" s="507" t="s">
        <v>737</v>
      </c>
      <c r="M37" s="507" t="s">
        <v>738</v>
      </c>
      <c r="N37" s="507" t="s">
        <v>739</v>
      </c>
      <c r="O37" s="602" t="s">
        <v>740</v>
      </c>
      <c r="P37" s="602" t="s">
        <v>741</v>
      </c>
      <c r="Q37" s="602" t="s">
        <v>320</v>
      </c>
      <c r="R37" s="507"/>
      <c r="S37" s="602" t="s">
        <v>740</v>
      </c>
      <c r="T37" s="602" t="s">
        <v>741</v>
      </c>
      <c r="U37" s="602" t="s">
        <v>320</v>
      </c>
      <c r="V37" s="507"/>
      <c r="W37" s="602" t="s">
        <v>740</v>
      </c>
      <c r="X37" s="602" t="s">
        <v>741</v>
      </c>
      <c r="Y37" s="602" t="s">
        <v>320</v>
      </c>
      <c r="AE37" s="130"/>
      <c r="AG37" s="106"/>
    </row>
    <row r="38">
      <c r="A38" s="320" t="s">
        <v>802</v>
      </c>
      <c r="B38" s="321">
        <v>45595.0</v>
      </c>
      <c r="C38" s="685" t="s">
        <v>325</v>
      </c>
      <c r="D38" s="686">
        <v>817.04</v>
      </c>
      <c r="E38" s="324"/>
      <c r="F38" s="320" t="s">
        <v>953</v>
      </c>
      <c r="H38" s="603">
        <f t="shared" ref="H38:H50" si="6">L38+O38+S38+W38</f>
        <v>0</v>
      </c>
      <c r="I38" s="463">
        <v>607888.0</v>
      </c>
      <c r="J38" s="464">
        <v>45653.0</v>
      </c>
      <c r="K38" s="465" t="s">
        <v>437</v>
      </c>
      <c r="L38" s="466">
        <v>3.0</v>
      </c>
      <c r="M38" s="467">
        <v>1504.57</v>
      </c>
      <c r="N38" s="467">
        <f t="shared" ref="N38:N45" si="7">M38/L38</f>
        <v>501.5233333</v>
      </c>
      <c r="O38" s="652">
        <v>-3.0</v>
      </c>
      <c r="P38" s="622">
        <f t="shared" ref="P38:P44" si="8">O38*N38</f>
        <v>-1504.57</v>
      </c>
      <c r="Q38" s="653">
        <v>45662.0</v>
      </c>
      <c r="R38" s="583"/>
      <c r="S38" s="469"/>
      <c r="T38" s="534"/>
      <c r="U38" s="469"/>
      <c r="V38" s="583"/>
      <c r="W38" s="469"/>
      <c r="X38" s="469"/>
      <c r="Y38" s="469"/>
      <c r="Z38" s="483"/>
      <c r="AA38" s="483"/>
      <c r="AB38" s="483"/>
      <c r="AC38" s="483"/>
      <c r="AD38" s="483"/>
      <c r="AE38" s="492"/>
      <c r="AF38" s="483"/>
      <c r="AG38" s="493"/>
      <c r="AH38" s="483"/>
      <c r="AI38" s="483"/>
    </row>
    <row r="39">
      <c r="A39" s="655" t="s">
        <v>894</v>
      </c>
      <c r="B39" s="656">
        <v>45677.0</v>
      </c>
      <c r="C39" s="322" t="s">
        <v>111</v>
      </c>
      <c r="D39" s="323">
        <v>580.0</v>
      </c>
      <c r="E39" s="657"/>
      <c r="F39" s="655" t="s">
        <v>953</v>
      </c>
      <c r="H39" s="603">
        <f t="shared" si="6"/>
        <v>0</v>
      </c>
      <c r="I39" s="463">
        <v>608100.0</v>
      </c>
      <c r="J39" s="464">
        <v>46022.0</v>
      </c>
      <c r="K39" s="465" t="s">
        <v>437</v>
      </c>
      <c r="L39" s="466">
        <v>9.0</v>
      </c>
      <c r="M39" s="467">
        <f>4305.17</f>
        <v>4305.17</v>
      </c>
      <c r="N39" s="467">
        <f t="shared" si="7"/>
        <v>478.3522222</v>
      </c>
      <c r="O39" s="652">
        <v>-3.0</v>
      </c>
      <c r="P39" s="622">
        <f t="shared" si="8"/>
        <v>-1435.056667</v>
      </c>
      <c r="Q39" s="653">
        <v>45662.0</v>
      </c>
      <c r="R39" s="583"/>
      <c r="S39" s="652">
        <v>-4.0</v>
      </c>
      <c r="T39" s="622">
        <f t="shared" ref="T39:T43" si="9">S39*N39</f>
        <v>-1913.408889</v>
      </c>
      <c r="U39" s="653">
        <v>45669.0</v>
      </c>
      <c r="V39" s="583"/>
      <c r="W39" s="652">
        <v>-2.0</v>
      </c>
      <c r="X39" s="622">
        <f>W39*N39</f>
        <v>-956.7044444</v>
      </c>
      <c r="Y39" s="653">
        <v>45676.0</v>
      </c>
      <c r="AE39" s="130"/>
      <c r="AG39" s="106"/>
    </row>
    <row r="40">
      <c r="A40" s="655" t="s">
        <v>936</v>
      </c>
      <c r="B40" s="656">
        <v>45687.0</v>
      </c>
      <c r="C40" s="322" t="s">
        <v>845</v>
      </c>
      <c r="D40" s="323">
        <v>1304.58</v>
      </c>
      <c r="E40" s="684">
        <f>(D40/2)-424.93-227.36</f>
        <v>0</v>
      </c>
      <c r="F40" s="655" t="s">
        <v>953</v>
      </c>
      <c r="H40" s="603">
        <f t="shared" si="6"/>
        <v>0</v>
      </c>
      <c r="I40" s="463">
        <v>609641.0</v>
      </c>
      <c r="J40" s="464">
        <v>45665.0</v>
      </c>
      <c r="K40" s="465" t="s">
        <v>437</v>
      </c>
      <c r="L40" s="466">
        <v>6.0</v>
      </c>
      <c r="M40" s="467">
        <v>2782.71</v>
      </c>
      <c r="N40" s="467">
        <f t="shared" si="7"/>
        <v>463.785</v>
      </c>
      <c r="O40" s="652">
        <v>-5.0</v>
      </c>
      <c r="P40" s="622">
        <f t="shared" si="8"/>
        <v>-2318.925</v>
      </c>
      <c r="Q40" s="653">
        <v>45676.0</v>
      </c>
      <c r="R40" s="583"/>
      <c r="S40" s="652">
        <v>-1.0</v>
      </c>
      <c r="T40" s="622">
        <f t="shared" si="9"/>
        <v>-463.785</v>
      </c>
      <c r="U40" s="653">
        <v>45676.0</v>
      </c>
      <c r="V40" s="583"/>
      <c r="W40" s="469"/>
      <c r="X40" s="469"/>
      <c r="Y40" s="469"/>
      <c r="AE40" s="130"/>
      <c r="AG40" s="106"/>
    </row>
    <row r="41">
      <c r="A41" s="655">
        <v>570093.0</v>
      </c>
      <c r="B41" s="656">
        <v>45692.0</v>
      </c>
      <c r="C41" s="322" t="s">
        <v>945</v>
      </c>
      <c r="D41" s="323">
        <v>431.0</v>
      </c>
      <c r="E41" s="285"/>
      <c r="F41" s="655" t="s">
        <v>953</v>
      </c>
      <c r="H41" s="603">
        <f t="shared" si="6"/>
        <v>0</v>
      </c>
      <c r="I41" s="463">
        <v>611034.0</v>
      </c>
      <c r="J41" s="464">
        <v>45672.0</v>
      </c>
      <c r="K41" s="465" t="s">
        <v>437</v>
      </c>
      <c r="L41" s="466">
        <v>6.0</v>
      </c>
      <c r="M41" s="467">
        <v>2892.55</v>
      </c>
      <c r="N41" s="467">
        <f t="shared" si="7"/>
        <v>482.0916667</v>
      </c>
      <c r="O41" s="652">
        <v>-4.0</v>
      </c>
      <c r="P41" s="622">
        <f t="shared" si="8"/>
        <v>-1928.366667</v>
      </c>
      <c r="Q41" s="653">
        <v>45683.0</v>
      </c>
      <c r="R41" s="583"/>
      <c r="S41" s="652">
        <v>-2.0</v>
      </c>
      <c r="T41" s="622">
        <f t="shared" si="9"/>
        <v>-964.1833333</v>
      </c>
      <c r="U41" s="653">
        <v>45676.0</v>
      </c>
      <c r="V41" s="583"/>
      <c r="W41" s="469"/>
      <c r="X41" s="469"/>
      <c r="Y41" s="469"/>
      <c r="AE41" s="130"/>
      <c r="AG41" s="106"/>
    </row>
    <row r="42">
      <c r="A42" s="655" t="s">
        <v>948</v>
      </c>
      <c r="B42" s="656">
        <v>45695.0</v>
      </c>
      <c r="C42" s="322" t="s">
        <v>608</v>
      </c>
      <c r="D42" s="323">
        <v>874.5</v>
      </c>
      <c r="E42" s="285"/>
      <c r="F42" s="655" t="s">
        <v>953</v>
      </c>
      <c r="H42" s="603">
        <f t="shared" si="6"/>
        <v>0</v>
      </c>
      <c r="I42" s="463">
        <v>612376.0</v>
      </c>
      <c r="J42" s="464">
        <v>45679.0</v>
      </c>
      <c r="K42" s="465" t="s">
        <v>437</v>
      </c>
      <c r="L42" s="466">
        <v>6.0</v>
      </c>
      <c r="M42" s="467">
        <v>2661.57</v>
      </c>
      <c r="N42" s="467">
        <f t="shared" si="7"/>
        <v>443.595</v>
      </c>
      <c r="O42" s="652">
        <v>-5.0</v>
      </c>
      <c r="P42" s="622">
        <f t="shared" si="8"/>
        <v>-2217.975</v>
      </c>
      <c r="Q42" s="653">
        <v>45690.0</v>
      </c>
      <c r="R42" s="583"/>
      <c r="S42" s="652">
        <v>-1.0</v>
      </c>
      <c r="T42" s="622">
        <f t="shared" si="9"/>
        <v>-443.595</v>
      </c>
      <c r="U42" s="653">
        <v>45690.0</v>
      </c>
      <c r="V42" s="583"/>
      <c r="W42" s="469"/>
      <c r="X42" s="469"/>
      <c r="Y42" s="469"/>
      <c r="AE42" s="130"/>
      <c r="AG42" s="106"/>
    </row>
    <row r="43">
      <c r="A43" s="655" t="s">
        <v>880</v>
      </c>
      <c r="B43" s="656">
        <v>45673.0</v>
      </c>
      <c r="C43" s="322" t="s">
        <v>881</v>
      </c>
      <c r="D43" s="323">
        <v>660.08</v>
      </c>
      <c r="E43" s="657"/>
      <c r="F43" s="655" t="s">
        <v>953</v>
      </c>
      <c r="H43" s="610">
        <f t="shared" si="6"/>
        <v>0</v>
      </c>
      <c r="I43" s="463">
        <v>613778.0</v>
      </c>
      <c r="J43" s="464">
        <v>45686.0</v>
      </c>
      <c r="K43" s="465" t="s">
        <v>437</v>
      </c>
      <c r="L43" s="466">
        <v>6.0</v>
      </c>
      <c r="M43" s="467">
        <v>2728.75</v>
      </c>
      <c r="N43" s="467">
        <f t="shared" si="7"/>
        <v>454.7916667</v>
      </c>
      <c r="O43" s="652">
        <v>-3.0</v>
      </c>
      <c r="P43" s="622">
        <f t="shared" si="8"/>
        <v>-1364.375</v>
      </c>
      <c r="Q43" s="653">
        <v>45697.0</v>
      </c>
      <c r="R43" s="615"/>
      <c r="S43" s="652">
        <v>-2.0</v>
      </c>
      <c r="T43" s="622">
        <f t="shared" si="9"/>
        <v>-909.5833333</v>
      </c>
      <c r="U43" s="653">
        <v>45697.0</v>
      </c>
      <c r="V43" s="615"/>
      <c r="W43" s="46">
        <v>-1.0</v>
      </c>
      <c r="X43" s="613">
        <f>W43*N43</f>
        <v>-454.7916667</v>
      </c>
      <c r="Y43" s="359">
        <v>45704.0</v>
      </c>
      <c r="AE43" s="130"/>
      <c r="AG43" s="106"/>
    </row>
    <row r="44">
      <c r="A44" s="289" t="s">
        <v>810</v>
      </c>
      <c r="B44" s="290">
        <v>45602.0</v>
      </c>
      <c r="C44" s="173" t="s">
        <v>325</v>
      </c>
      <c r="D44" s="180">
        <v>812.54</v>
      </c>
      <c r="E44" s="336"/>
      <c r="F44" s="173" t="s">
        <v>830</v>
      </c>
      <c r="H44" s="610">
        <f t="shared" si="6"/>
        <v>0</v>
      </c>
      <c r="I44" s="463">
        <v>615515.0</v>
      </c>
      <c r="J44" s="464">
        <v>45694.0</v>
      </c>
      <c r="K44" s="465" t="s">
        <v>437</v>
      </c>
      <c r="L44" s="466">
        <v>6.0</v>
      </c>
      <c r="M44" s="467">
        <v>2714.35</v>
      </c>
      <c r="N44" s="467">
        <f t="shared" si="7"/>
        <v>452.3916667</v>
      </c>
      <c r="O44" s="360">
        <v>-6.0</v>
      </c>
      <c r="P44" s="613">
        <f t="shared" si="8"/>
        <v>-2714.35</v>
      </c>
      <c r="Q44" s="359">
        <v>45697.0</v>
      </c>
      <c r="R44" s="583"/>
      <c r="S44" s="469"/>
      <c r="T44" s="534"/>
      <c r="U44" s="469"/>
      <c r="V44" s="583"/>
      <c r="W44" s="469"/>
      <c r="X44" s="469"/>
      <c r="Y44" s="469"/>
      <c r="AE44" s="130"/>
      <c r="AG44" s="106"/>
    </row>
    <row r="45">
      <c r="A45" s="289" t="s">
        <v>824</v>
      </c>
      <c r="B45" s="290">
        <v>45609.0</v>
      </c>
      <c r="C45" s="173" t="s">
        <v>325</v>
      </c>
      <c r="D45" s="180">
        <v>829.32</v>
      </c>
      <c r="E45" s="336"/>
      <c r="F45" s="173" t="s">
        <v>830</v>
      </c>
      <c r="H45" s="603">
        <f t="shared" si="6"/>
        <v>2</v>
      </c>
      <c r="I45" s="463" t="s">
        <v>954</v>
      </c>
      <c r="J45" s="464">
        <v>45703.0</v>
      </c>
      <c r="K45" s="465" t="s">
        <v>437</v>
      </c>
      <c r="L45" s="466">
        <v>2.0</v>
      </c>
      <c r="M45" s="467">
        <v>690.53</v>
      </c>
      <c r="N45" s="467">
        <f t="shared" si="7"/>
        <v>345.265</v>
      </c>
      <c r="O45" s="489"/>
      <c r="P45" s="488"/>
      <c r="Q45" s="604"/>
      <c r="R45" s="583"/>
      <c r="S45" s="469"/>
      <c r="T45" s="534"/>
      <c r="U45" s="469"/>
      <c r="V45" s="583"/>
      <c r="W45" s="469"/>
      <c r="X45" s="469"/>
      <c r="Y45" s="469"/>
      <c r="AE45" s="130"/>
      <c r="AG45" s="106"/>
    </row>
    <row r="46">
      <c r="A46" s="289" t="s">
        <v>831</v>
      </c>
      <c r="B46" s="290">
        <v>45616.0</v>
      </c>
      <c r="C46" s="173" t="s">
        <v>325</v>
      </c>
      <c r="D46" s="180">
        <v>821.53</v>
      </c>
      <c r="E46" s="336"/>
      <c r="F46" s="173" t="s">
        <v>830</v>
      </c>
      <c r="H46" s="603">
        <f t="shared" si="6"/>
        <v>0</v>
      </c>
      <c r="I46" s="463"/>
      <c r="J46" s="464"/>
      <c r="K46" s="465"/>
      <c r="L46" s="466"/>
      <c r="M46" s="467"/>
      <c r="N46" s="467"/>
      <c r="O46" s="489"/>
      <c r="P46" s="488"/>
      <c r="Q46" s="604"/>
      <c r="R46" s="583"/>
      <c r="S46" s="469"/>
      <c r="T46" s="534"/>
      <c r="U46" s="469"/>
      <c r="V46" s="583"/>
      <c r="W46" s="469"/>
      <c r="X46" s="469"/>
      <c r="Y46" s="469"/>
      <c r="AE46" s="130"/>
      <c r="AG46" s="106"/>
    </row>
    <row r="47">
      <c r="A47" s="289" t="s">
        <v>875</v>
      </c>
      <c r="B47" s="290">
        <v>45673.0</v>
      </c>
      <c r="C47" s="173" t="s">
        <v>325</v>
      </c>
      <c r="D47" s="180">
        <v>805.36</v>
      </c>
      <c r="E47" s="336"/>
      <c r="F47" s="173"/>
      <c r="H47" s="603">
        <f t="shared" si="6"/>
        <v>0</v>
      </c>
      <c r="I47" s="463"/>
      <c r="J47" s="464"/>
      <c r="K47" s="465"/>
      <c r="L47" s="466"/>
      <c r="M47" s="467"/>
      <c r="N47" s="467"/>
      <c r="O47" s="489"/>
      <c r="P47" s="488"/>
      <c r="Q47" s="604"/>
      <c r="R47" s="583"/>
      <c r="S47" s="469"/>
      <c r="T47" s="534"/>
      <c r="U47" s="469"/>
      <c r="V47" s="583"/>
      <c r="W47" s="469"/>
      <c r="X47" s="469"/>
      <c r="Y47" s="469"/>
      <c r="AE47" s="130"/>
      <c r="AG47" s="106"/>
    </row>
    <row r="48">
      <c r="A48" s="289" t="s">
        <v>876</v>
      </c>
      <c r="B48" s="290">
        <v>45675.0</v>
      </c>
      <c r="C48" s="173" t="s">
        <v>325</v>
      </c>
      <c r="D48" s="180">
        <v>1624.49</v>
      </c>
      <c r="E48" s="336"/>
      <c r="F48" s="173"/>
      <c r="H48" s="603">
        <f t="shared" si="6"/>
        <v>0</v>
      </c>
      <c r="I48" s="463"/>
      <c r="J48" s="464"/>
      <c r="K48" s="465"/>
      <c r="L48" s="466"/>
      <c r="M48" s="467"/>
      <c r="N48" s="467"/>
      <c r="O48" s="489"/>
      <c r="P48" s="488"/>
      <c r="Q48" s="604"/>
      <c r="R48" s="583"/>
      <c r="S48" s="469"/>
      <c r="T48" s="534"/>
      <c r="U48" s="469"/>
      <c r="V48" s="583"/>
      <c r="W48" s="469"/>
      <c r="X48" s="469"/>
      <c r="Y48" s="469"/>
      <c r="AE48" s="130"/>
      <c r="AG48" s="106"/>
    </row>
    <row r="49">
      <c r="A49" s="687" t="s">
        <v>888</v>
      </c>
      <c r="B49" s="688">
        <v>45680.0</v>
      </c>
      <c r="C49" s="377" t="s">
        <v>325</v>
      </c>
      <c r="D49" s="99">
        <v>227.93</v>
      </c>
      <c r="E49" s="689"/>
      <c r="F49" s="377"/>
      <c r="H49" s="603">
        <f t="shared" si="6"/>
        <v>0</v>
      </c>
      <c r="I49" s="463"/>
      <c r="J49" s="464"/>
      <c r="K49" s="465"/>
      <c r="L49" s="466"/>
      <c r="M49" s="467"/>
      <c r="N49" s="467"/>
      <c r="O49" s="489"/>
      <c r="P49" s="488"/>
      <c r="Q49" s="604"/>
      <c r="R49" s="583"/>
      <c r="S49" s="469"/>
      <c r="T49" s="534"/>
      <c r="U49" s="469"/>
      <c r="V49" s="583"/>
      <c r="W49" s="469"/>
      <c r="X49" s="469"/>
      <c r="Y49" s="469"/>
      <c r="AE49" s="130"/>
      <c r="AG49" s="106"/>
    </row>
    <row r="50">
      <c r="A50" s="289" t="s">
        <v>888</v>
      </c>
      <c r="B50" s="290">
        <v>45699.0</v>
      </c>
      <c r="C50" s="173" t="s">
        <v>325</v>
      </c>
      <c r="D50" s="180">
        <v>845.19</v>
      </c>
      <c r="E50" s="336"/>
      <c r="F50" s="173"/>
      <c r="H50" s="603">
        <f t="shared" si="6"/>
        <v>0</v>
      </c>
      <c r="I50" s="463"/>
      <c r="J50" s="464"/>
      <c r="K50" s="465"/>
      <c r="L50" s="466"/>
      <c r="M50" s="467"/>
      <c r="N50" s="467"/>
      <c r="O50" s="489"/>
      <c r="P50" s="488"/>
      <c r="Q50" s="604"/>
      <c r="R50" s="583"/>
      <c r="S50" s="469"/>
      <c r="T50" s="534"/>
      <c r="U50" s="469"/>
      <c r="V50" s="583"/>
      <c r="W50" s="469"/>
      <c r="X50" s="469"/>
      <c r="Y50" s="469"/>
      <c r="AE50" s="130"/>
      <c r="AG50" s="106"/>
    </row>
    <row r="51">
      <c r="A51" s="264" t="s">
        <v>937</v>
      </c>
      <c r="B51" s="639">
        <v>45688.0</v>
      </c>
      <c r="C51" s="166" t="s">
        <v>845</v>
      </c>
      <c r="D51" s="93">
        <v>1535.86</v>
      </c>
      <c r="E51" s="285"/>
      <c r="F51" s="264"/>
      <c r="P51" s="79"/>
      <c r="T51" s="79"/>
      <c r="U51" s="79"/>
      <c r="AE51" s="130"/>
      <c r="AG51" s="106"/>
    </row>
    <row r="52">
      <c r="A52" s="690" t="s">
        <v>946</v>
      </c>
      <c r="B52" s="691">
        <v>45692.0</v>
      </c>
      <c r="C52" s="692" t="s">
        <v>945</v>
      </c>
      <c r="D52" s="693">
        <v>746.25</v>
      </c>
      <c r="E52" s="285"/>
      <c r="F52" s="264"/>
      <c r="H52" s="479" t="s">
        <v>287</v>
      </c>
      <c r="I52" s="32" t="s">
        <v>748</v>
      </c>
      <c r="J52" s="479" t="s">
        <v>749</v>
      </c>
      <c r="K52" s="479" t="s">
        <v>750</v>
      </c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AE52" s="130"/>
      <c r="AG52" s="106"/>
    </row>
    <row r="53">
      <c r="A53" s="690" t="s">
        <v>947</v>
      </c>
      <c r="B53" s="691">
        <v>45693.0</v>
      </c>
      <c r="C53" s="692" t="s">
        <v>355</v>
      </c>
      <c r="D53" s="693">
        <f>379.86-15</f>
        <v>364.86</v>
      </c>
      <c r="E53" s="285"/>
      <c r="F53" s="264"/>
      <c r="H53" s="286">
        <v>45662.0</v>
      </c>
      <c r="I53" s="32">
        <v>6.0</v>
      </c>
      <c r="J53" s="480">
        <f>P38+P39</f>
        <v>-2939.626667</v>
      </c>
      <c r="K53" s="479" t="s">
        <v>195</v>
      </c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AE53" s="130"/>
      <c r="AG53" s="106"/>
    </row>
    <row r="54">
      <c r="A54" s="690" t="s">
        <v>955</v>
      </c>
      <c r="B54" s="691">
        <v>45703.0</v>
      </c>
      <c r="C54" s="692" t="s">
        <v>956</v>
      </c>
      <c r="D54" s="693">
        <v>682.0</v>
      </c>
      <c r="E54" s="285"/>
      <c r="F54" s="264"/>
      <c r="H54" s="286">
        <v>45669.0</v>
      </c>
      <c r="I54" s="32">
        <v>3.0</v>
      </c>
      <c r="J54" s="480">
        <f>N39*-3</f>
        <v>-1435.056667</v>
      </c>
      <c r="K54" s="479" t="s">
        <v>195</v>
      </c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AE54" s="130"/>
      <c r="AG54" s="106"/>
    </row>
    <row r="55">
      <c r="A55" s="264" t="s">
        <v>957</v>
      </c>
      <c r="B55" s="639">
        <v>45699.0</v>
      </c>
      <c r="C55" s="166" t="s">
        <v>958</v>
      </c>
      <c r="D55" s="93">
        <v>845.19</v>
      </c>
      <c r="E55" s="285"/>
      <c r="F55" s="264"/>
      <c r="H55" s="286">
        <v>45669.0</v>
      </c>
      <c r="I55" s="32">
        <v>1.0</v>
      </c>
      <c r="J55" s="480">
        <f>N39*-1</f>
        <v>-478.3522222</v>
      </c>
      <c r="K55" s="479" t="s">
        <v>839</v>
      </c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AE55" s="130"/>
      <c r="AG55" s="106"/>
    </row>
    <row r="56">
      <c r="A56" s="264" t="s">
        <v>959</v>
      </c>
      <c r="B56" s="639">
        <v>45699.0</v>
      </c>
      <c r="C56" s="166" t="s">
        <v>960</v>
      </c>
      <c r="D56" s="93">
        <v>296.55</v>
      </c>
      <c r="E56" s="285"/>
      <c r="F56" s="264"/>
      <c r="H56" s="504">
        <v>45676.0</v>
      </c>
      <c r="I56" s="479">
        <v>7.0</v>
      </c>
      <c r="J56" s="505">
        <f>(P40+X39)*-1</f>
        <v>3275.629444</v>
      </c>
      <c r="K56" s="479" t="s">
        <v>195</v>
      </c>
      <c r="M56" s="79"/>
      <c r="N56" s="78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AE56" s="130"/>
      <c r="AG56" s="106"/>
    </row>
    <row r="57">
      <c r="A57" s="264" t="s">
        <v>961</v>
      </c>
      <c r="B57" s="639">
        <v>45701.0</v>
      </c>
      <c r="C57" s="166" t="s">
        <v>962</v>
      </c>
      <c r="D57" s="93">
        <v>1309.88</v>
      </c>
      <c r="E57" s="285"/>
      <c r="F57" s="264"/>
      <c r="H57" s="504">
        <v>45676.0</v>
      </c>
      <c r="I57" s="479">
        <v>1.0</v>
      </c>
      <c r="J57" s="505">
        <f>T40</f>
        <v>-463.785</v>
      </c>
      <c r="K57" s="479" t="s">
        <v>839</v>
      </c>
      <c r="M57" s="79"/>
      <c r="N57" s="78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AE57" s="130"/>
      <c r="AG57" s="106"/>
    </row>
    <row r="58">
      <c r="A58" s="264" t="s">
        <v>963</v>
      </c>
      <c r="B58" s="639">
        <v>45702.0</v>
      </c>
      <c r="C58" s="166" t="s">
        <v>111</v>
      </c>
      <c r="D58" s="93">
        <v>1221.58</v>
      </c>
      <c r="E58" s="285"/>
      <c r="F58" s="264"/>
      <c r="H58" s="504">
        <v>45697.0</v>
      </c>
      <c r="I58" s="479">
        <v>5.0</v>
      </c>
      <c r="J58" s="505">
        <f>P43+T43</f>
        <v>-2273.958333</v>
      </c>
      <c r="K58" s="4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Z58" s="625"/>
      <c r="AA58" s="625"/>
      <c r="AB58" s="625"/>
      <c r="AC58" s="625"/>
      <c r="AD58" s="658"/>
      <c r="AE58" s="625"/>
      <c r="AF58" s="659"/>
      <c r="AG58" s="625"/>
    </row>
    <row r="59">
      <c r="A59" s="264"/>
      <c r="B59" s="639"/>
      <c r="C59" s="166"/>
      <c r="D59" s="93"/>
      <c r="E59" s="285"/>
      <c r="F59" s="264"/>
      <c r="H59" s="504">
        <v>45704.0</v>
      </c>
      <c r="I59" s="479">
        <v>7.0</v>
      </c>
      <c r="J59" s="505">
        <f>P44+X43</f>
        <v>-3169.141667</v>
      </c>
      <c r="K59" s="4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Z59" s="625"/>
      <c r="AA59" s="625"/>
      <c r="AB59" s="625"/>
      <c r="AC59" s="625"/>
      <c r="AD59" s="658"/>
      <c r="AE59" s="625"/>
      <c r="AF59" s="659"/>
      <c r="AG59" s="625"/>
    </row>
    <row r="60">
      <c r="A60" s="264"/>
      <c r="B60" s="639"/>
      <c r="C60" s="166"/>
      <c r="D60" s="93"/>
      <c r="E60" s="285"/>
      <c r="F60" s="264"/>
      <c r="H60" s="584"/>
      <c r="I60" s="585"/>
      <c r="J60" s="586"/>
      <c r="K60" s="585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Z60" s="625"/>
      <c r="AA60" s="625"/>
      <c r="AB60" s="625"/>
      <c r="AC60" s="625"/>
      <c r="AD60" s="658"/>
      <c r="AE60" s="625"/>
      <c r="AF60" s="659"/>
      <c r="AG60" s="625"/>
    </row>
    <row r="61">
      <c r="A61" s="264"/>
      <c r="B61" s="639"/>
      <c r="C61" s="166"/>
      <c r="D61" s="93"/>
      <c r="E61" s="285"/>
      <c r="F61" s="264"/>
      <c r="H61" s="286"/>
      <c r="I61" s="479"/>
      <c r="J61" s="505"/>
      <c r="K61" s="4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Z61" s="625"/>
      <c r="AA61" s="625"/>
      <c r="AB61" s="625"/>
      <c r="AC61" s="625"/>
      <c r="AD61" s="658"/>
      <c r="AE61" s="625"/>
      <c r="AF61" s="659"/>
      <c r="AG61" s="625"/>
    </row>
    <row r="62">
      <c r="A62" s="264"/>
      <c r="B62" s="639"/>
      <c r="C62" s="166"/>
      <c r="D62" s="93"/>
      <c r="E62" s="285"/>
      <c r="F62" s="264"/>
      <c r="H62" s="286"/>
      <c r="I62" s="479"/>
      <c r="J62" s="505"/>
      <c r="K62" s="4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Z62" s="625"/>
      <c r="AA62" s="625"/>
      <c r="AB62" s="625"/>
      <c r="AC62" s="625"/>
      <c r="AD62" s="658"/>
      <c r="AE62" s="625"/>
      <c r="AF62" s="659"/>
      <c r="AG62" s="625"/>
    </row>
    <row r="63">
      <c r="A63" s="646"/>
      <c r="B63" s="647"/>
      <c r="C63" s="78"/>
      <c r="D63" s="192"/>
      <c r="E63" s="643"/>
      <c r="F63" s="45"/>
      <c r="H63" s="286"/>
      <c r="I63" s="479"/>
      <c r="J63" s="479"/>
      <c r="K63" s="4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Z63" s="625"/>
      <c r="AA63" s="625"/>
      <c r="AB63" s="625"/>
      <c r="AC63" s="625"/>
      <c r="AD63" s="658"/>
      <c r="AE63" s="625"/>
      <c r="AF63" s="659"/>
      <c r="AG63" s="625"/>
    </row>
    <row r="64">
      <c r="A64" s="646"/>
      <c r="B64" s="647"/>
      <c r="C64" s="78"/>
      <c r="D64" s="192"/>
      <c r="E64" s="643"/>
      <c r="F64" s="45"/>
      <c r="H64" s="286"/>
      <c r="I64" s="479"/>
      <c r="J64" s="479"/>
      <c r="K64" s="4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Z64" s="625"/>
      <c r="AA64" s="625"/>
      <c r="AB64" s="625"/>
      <c r="AC64" s="625"/>
      <c r="AD64" s="658"/>
      <c r="AE64" s="625"/>
      <c r="AF64" s="659"/>
      <c r="AG64" s="625"/>
    </row>
    <row r="65">
      <c r="A65" s="646"/>
      <c r="B65" s="647"/>
      <c r="C65" s="78"/>
      <c r="D65" s="192"/>
      <c r="E65" s="643"/>
      <c r="F65" s="45"/>
      <c r="H65" s="504"/>
      <c r="I65" s="479"/>
      <c r="J65" s="505"/>
      <c r="K65" s="479"/>
      <c r="M65" s="79"/>
      <c r="N65" s="481"/>
      <c r="O65" s="545"/>
      <c r="P65" s="481"/>
      <c r="Q65" s="481"/>
      <c r="R65" s="545"/>
      <c r="S65" s="545"/>
      <c r="T65" s="481"/>
      <c r="U65" s="481"/>
      <c r="V65" s="481"/>
      <c r="W65" s="481"/>
      <c r="X65" s="545"/>
      <c r="Z65" s="625"/>
      <c r="AA65" s="625"/>
      <c r="AB65" s="625"/>
      <c r="AC65" s="625"/>
      <c r="AD65" s="658"/>
      <c r="AE65" s="625"/>
      <c r="AF65" s="659"/>
      <c r="AG65" s="625"/>
    </row>
    <row r="66">
      <c r="A66" s="646"/>
      <c r="B66" s="647"/>
      <c r="C66" s="78"/>
      <c r="D66" s="192"/>
      <c r="E66" s="643"/>
      <c r="F66" s="45"/>
      <c r="H66" s="286"/>
      <c r="I66" s="479"/>
      <c r="J66" s="479"/>
      <c r="K66" s="479"/>
      <c r="M66" s="79"/>
      <c r="N66" s="545"/>
      <c r="O66" s="545"/>
      <c r="P66" s="545"/>
      <c r="Q66" s="545"/>
      <c r="R66" s="545"/>
      <c r="S66" s="545"/>
      <c r="T66" s="545"/>
      <c r="U66" s="545"/>
      <c r="V66" s="545"/>
      <c r="W66" s="545"/>
      <c r="X66" s="545"/>
      <c r="AD66" s="130"/>
      <c r="AF66" s="106"/>
    </row>
    <row r="67">
      <c r="A67" s="646"/>
      <c r="B67" s="647"/>
      <c r="C67" s="78"/>
      <c r="D67" s="192"/>
      <c r="E67" s="643"/>
      <c r="F67" s="45"/>
      <c r="H67" s="634"/>
      <c r="I67" s="479"/>
      <c r="J67" s="505"/>
      <c r="K67" s="479"/>
      <c r="M67" s="79"/>
      <c r="N67" s="626"/>
      <c r="O67" s="626"/>
      <c r="P67" s="626"/>
      <c r="Q67" s="626"/>
      <c r="R67" s="626"/>
      <c r="S67" s="626"/>
      <c r="T67" s="626"/>
      <c r="U67" s="626"/>
      <c r="V67" s="626"/>
      <c r="W67" s="626"/>
      <c r="X67" s="626"/>
      <c r="AD67" s="130"/>
      <c r="AF67" s="106"/>
    </row>
    <row r="68">
      <c r="A68" s="646"/>
      <c r="B68" s="647"/>
      <c r="C68" s="78"/>
      <c r="D68" s="192"/>
      <c r="E68" s="643"/>
      <c r="F68" s="45"/>
      <c r="H68" s="634"/>
      <c r="I68" s="479"/>
      <c r="J68" s="505"/>
      <c r="K68" s="479"/>
      <c r="L68" s="625"/>
      <c r="M68" s="79"/>
      <c r="N68" s="626"/>
      <c r="O68" s="626"/>
      <c r="P68" s="626"/>
      <c r="Q68" s="626"/>
      <c r="R68" s="626"/>
      <c r="S68" s="626"/>
      <c r="T68" s="626"/>
      <c r="U68" s="626"/>
      <c r="V68" s="626"/>
      <c r="W68" s="626"/>
      <c r="X68" s="626"/>
      <c r="AD68" s="130"/>
      <c r="AF68" s="106"/>
    </row>
    <row r="69">
      <c r="A69" s="646"/>
      <c r="B69" s="647"/>
      <c r="C69" s="78"/>
      <c r="D69" s="192"/>
      <c r="E69" s="643"/>
      <c r="F69" s="45"/>
      <c r="H69" s="479"/>
      <c r="I69" s="481"/>
      <c r="J69" s="481"/>
      <c r="K69" s="481"/>
      <c r="L69" s="625"/>
      <c r="M69" s="79"/>
      <c r="N69" s="626"/>
      <c r="O69" s="626"/>
      <c r="P69" s="626"/>
      <c r="Q69" s="626"/>
      <c r="R69" s="626"/>
      <c r="S69" s="626"/>
      <c r="T69" s="626"/>
      <c r="U69" s="626"/>
      <c r="V69" s="626"/>
      <c r="W69" s="626"/>
      <c r="X69" s="626"/>
      <c r="AD69" s="130"/>
      <c r="AF69" s="106"/>
    </row>
    <row r="70">
      <c r="A70" s="646"/>
      <c r="B70" s="647"/>
      <c r="C70" s="78"/>
      <c r="D70" s="192"/>
      <c r="E70" s="643"/>
      <c r="F70" s="45"/>
      <c r="H70" s="479"/>
      <c r="I70" s="481"/>
      <c r="J70" s="481"/>
      <c r="K70" s="481"/>
      <c r="L70" s="625"/>
      <c r="M70" s="79"/>
      <c r="N70" s="626"/>
      <c r="O70" s="626"/>
      <c r="P70" s="626"/>
      <c r="Q70" s="626"/>
      <c r="R70" s="626"/>
      <c r="S70" s="626"/>
      <c r="T70" s="626"/>
      <c r="U70" s="626"/>
      <c r="V70" s="626"/>
      <c r="W70" s="626"/>
      <c r="X70" s="626"/>
      <c r="AD70" s="130"/>
      <c r="AF70" s="106"/>
    </row>
    <row r="71">
      <c r="A71" s="646"/>
      <c r="B71" s="647"/>
      <c r="C71" s="78"/>
      <c r="D71" s="192"/>
      <c r="E71" s="643"/>
      <c r="F71" s="45"/>
      <c r="H71" s="479"/>
      <c r="I71" s="481"/>
      <c r="J71" s="481"/>
      <c r="K71" s="481"/>
      <c r="L71" s="625"/>
      <c r="M71" s="79"/>
      <c r="N71" s="626"/>
      <c r="O71" s="626"/>
      <c r="P71" s="626"/>
      <c r="Q71" s="626"/>
      <c r="R71" s="626"/>
      <c r="S71" s="626"/>
      <c r="T71" s="626"/>
      <c r="U71" s="626"/>
      <c r="V71" s="626"/>
      <c r="W71" s="626"/>
      <c r="X71" s="626"/>
      <c r="AD71" s="130"/>
      <c r="AF71" s="106"/>
    </row>
    <row r="72">
      <c r="A72" s="646"/>
      <c r="B72" s="647"/>
      <c r="C72" s="78"/>
      <c r="D72" s="192"/>
      <c r="E72" s="643"/>
      <c r="F72" s="45"/>
      <c r="H72" s="479"/>
      <c r="I72" s="481"/>
      <c r="J72" s="481"/>
      <c r="K72" s="481"/>
      <c r="L72" s="625"/>
      <c r="M72" s="79"/>
      <c r="N72" s="626"/>
      <c r="O72" s="626"/>
      <c r="P72" s="626"/>
      <c r="Q72" s="626"/>
      <c r="R72" s="626"/>
      <c r="S72" s="626"/>
      <c r="T72" s="626"/>
      <c r="U72" s="626"/>
      <c r="V72" s="626"/>
      <c r="W72" s="626"/>
      <c r="X72" s="626"/>
      <c r="AD72" s="130"/>
      <c r="AF72" s="106"/>
    </row>
    <row r="73">
      <c r="A73" s="646"/>
      <c r="B73" s="647"/>
      <c r="C73" s="78"/>
      <c r="D73" s="192"/>
      <c r="E73" s="643"/>
      <c r="F73" s="45"/>
      <c r="H73" s="479"/>
      <c r="I73" s="481"/>
      <c r="J73" s="481"/>
      <c r="K73" s="481"/>
      <c r="L73" s="625"/>
      <c r="M73" s="79"/>
      <c r="N73" s="626"/>
      <c r="O73" s="626"/>
      <c r="P73" s="626"/>
      <c r="Q73" s="626"/>
      <c r="R73" s="626"/>
      <c r="S73" s="626"/>
      <c r="T73" s="626"/>
      <c r="U73" s="626"/>
      <c r="V73" s="626"/>
      <c r="W73" s="626"/>
      <c r="X73" s="626"/>
      <c r="AD73" s="130"/>
      <c r="AF73" s="106"/>
    </row>
    <row r="74">
      <c r="A74" s="646"/>
      <c r="B74" s="647"/>
      <c r="C74" s="78"/>
      <c r="D74" s="192"/>
      <c r="E74" s="643"/>
      <c r="F74" s="45"/>
      <c r="H74" s="479"/>
      <c r="I74" s="481"/>
      <c r="J74" s="481"/>
      <c r="K74" s="481"/>
      <c r="L74" s="625"/>
      <c r="M74" s="79"/>
      <c r="N74" s="626"/>
      <c r="O74" s="626"/>
      <c r="P74" s="626"/>
      <c r="Q74" s="626"/>
      <c r="R74" s="626"/>
      <c r="S74" s="626"/>
      <c r="T74" s="626"/>
      <c r="U74" s="626"/>
      <c r="V74" s="626"/>
      <c r="W74" s="626"/>
      <c r="X74" s="626"/>
      <c r="AD74" s="130"/>
      <c r="AF74" s="106"/>
    </row>
    <row r="75">
      <c r="A75" s="646"/>
      <c r="B75" s="647"/>
      <c r="C75" s="78"/>
      <c r="D75" s="192"/>
      <c r="E75" s="643"/>
      <c r="F75" s="45"/>
      <c r="H75" s="479"/>
      <c r="I75" s="481"/>
      <c r="J75" s="481"/>
      <c r="K75" s="481"/>
      <c r="L75" s="625"/>
      <c r="M75" s="79"/>
      <c r="N75" s="626"/>
      <c r="O75" s="626"/>
      <c r="P75" s="626"/>
      <c r="Q75" s="626"/>
      <c r="R75" s="626"/>
      <c r="S75" s="626"/>
      <c r="T75" s="626"/>
      <c r="U75" s="626"/>
      <c r="V75" s="626"/>
      <c r="W75" s="626"/>
      <c r="X75" s="626"/>
      <c r="AD75" s="130"/>
      <c r="AF75" s="106"/>
    </row>
    <row r="76">
      <c r="A76" s="646"/>
      <c r="B76" s="647"/>
      <c r="C76" s="78"/>
      <c r="D76" s="192"/>
      <c r="E76" s="643"/>
      <c r="F76" s="45"/>
      <c r="O76" s="79"/>
      <c r="R76" s="79"/>
      <c r="S76" s="79"/>
      <c r="X76" s="79"/>
      <c r="AD76" s="130"/>
      <c r="AF76" s="106"/>
    </row>
    <row r="77">
      <c r="A77" s="646"/>
      <c r="B77" s="647"/>
      <c r="C77" s="78"/>
      <c r="D77" s="192"/>
      <c r="E77" s="643"/>
      <c r="F77" s="45"/>
      <c r="O77" s="79"/>
      <c r="R77" s="79"/>
      <c r="S77" s="79"/>
      <c r="X77" s="79"/>
      <c r="AD77" s="130"/>
      <c r="AF77" s="106"/>
    </row>
    <row r="78">
      <c r="A78" s="646"/>
      <c r="B78" s="647"/>
      <c r="C78" s="78"/>
      <c r="D78" s="192"/>
      <c r="E78" s="643"/>
      <c r="F78" s="45"/>
      <c r="O78" s="79"/>
      <c r="R78" s="79"/>
      <c r="S78" s="79"/>
      <c r="X78" s="79"/>
      <c r="AD78" s="130"/>
      <c r="AF78" s="106"/>
    </row>
    <row r="79">
      <c r="A79" s="646"/>
      <c r="B79" s="647"/>
      <c r="C79" s="78"/>
      <c r="D79" s="192"/>
      <c r="E79" s="643"/>
      <c r="F79" s="45"/>
      <c r="O79" s="79"/>
      <c r="R79" s="79"/>
      <c r="S79" s="79"/>
      <c r="X79" s="79"/>
      <c r="AD79" s="130"/>
      <c r="AF79" s="106"/>
    </row>
    <row r="80">
      <c r="A80" s="646"/>
      <c r="B80" s="647"/>
      <c r="C80" s="78"/>
      <c r="D80" s="192"/>
      <c r="E80" s="643"/>
      <c r="F80" s="45"/>
      <c r="O80" s="79"/>
      <c r="R80" s="79"/>
      <c r="S80" s="79"/>
      <c r="X80" s="79"/>
      <c r="AD80" s="130"/>
      <c r="AF80" s="106"/>
    </row>
    <row r="81">
      <c r="A81" s="646"/>
      <c r="B81" s="647"/>
      <c r="C81" s="78"/>
      <c r="D81" s="192"/>
      <c r="E81" s="643"/>
      <c r="F81" s="45"/>
      <c r="O81" s="79"/>
      <c r="R81" s="79"/>
      <c r="S81" s="79"/>
      <c r="X81" s="79"/>
      <c r="AD81" s="130"/>
      <c r="AF81" s="106"/>
    </row>
    <row r="82">
      <c r="A82" s="646"/>
      <c r="B82" s="647"/>
      <c r="C82" s="78"/>
      <c r="D82" s="192"/>
      <c r="E82" s="643"/>
      <c r="F82" s="45"/>
      <c r="H82" s="660" t="s">
        <v>895</v>
      </c>
      <c r="O82" s="79"/>
      <c r="R82" s="79"/>
      <c r="S82" s="79"/>
      <c r="X82" s="79"/>
      <c r="AD82" s="130"/>
      <c r="AF82" s="106"/>
    </row>
    <row r="83">
      <c r="A83" s="646"/>
      <c r="B83" s="647"/>
      <c r="C83" s="78"/>
      <c r="D83" s="192"/>
      <c r="E83" s="643"/>
      <c r="F83" s="45"/>
      <c r="H83" s="661"/>
      <c r="I83" s="662"/>
      <c r="J83" s="662"/>
      <c r="K83" s="662"/>
      <c r="L83" s="662"/>
      <c r="M83" s="662"/>
      <c r="N83" s="663"/>
      <c r="O83" s="662"/>
      <c r="R83" s="79"/>
      <c r="S83" s="79"/>
      <c r="X83" s="79"/>
      <c r="AD83" s="130"/>
      <c r="AF83" s="106"/>
    </row>
    <row r="84">
      <c r="A84" s="646"/>
      <c r="B84" s="647"/>
      <c r="C84" s="78"/>
      <c r="D84" s="192"/>
      <c r="E84" s="643"/>
      <c r="F84" s="45"/>
      <c r="H84" s="661"/>
      <c r="I84" s="662"/>
      <c r="J84" s="662"/>
      <c r="K84" s="662"/>
      <c r="L84" s="662"/>
      <c r="M84" s="662"/>
      <c r="N84" s="663"/>
      <c r="O84" s="662"/>
      <c r="R84" s="79"/>
      <c r="S84" s="79"/>
      <c r="X84" s="79"/>
      <c r="AD84" s="130"/>
      <c r="AF84" s="106"/>
    </row>
    <row r="85">
      <c r="A85" s="646"/>
      <c r="B85" s="647"/>
      <c r="C85" s="78"/>
      <c r="D85" s="192"/>
      <c r="E85" s="643"/>
      <c r="F85" s="45"/>
      <c r="H85" s="661"/>
      <c r="I85" s="662"/>
      <c r="J85" s="662"/>
      <c r="K85" s="662"/>
      <c r="L85" s="662"/>
      <c r="M85" s="662"/>
      <c r="N85" s="663"/>
      <c r="O85" s="662"/>
      <c r="R85" s="79"/>
      <c r="S85" s="79"/>
      <c r="X85" s="79"/>
      <c r="AD85" s="130"/>
      <c r="AF85" s="106"/>
    </row>
    <row r="86">
      <c r="C86" s="79"/>
      <c r="D86" s="79"/>
      <c r="E86" s="79"/>
      <c r="H86" s="661"/>
      <c r="I86" s="662"/>
      <c r="J86" s="662"/>
      <c r="K86" s="662"/>
      <c r="L86" s="662"/>
      <c r="M86" s="662"/>
      <c r="N86" s="663"/>
      <c r="O86" s="662"/>
      <c r="R86" s="79"/>
      <c r="S86" s="79"/>
      <c r="X86" s="79"/>
      <c r="AD86" s="130"/>
      <c r="AF86" s="106"/>
    </row>
    <row r="87">
      <c r="C87" s="79"/>
      <c r="D87" s="79"/>
      <c r="E87" s="79"/>
      <c r="H87" s="661"/>
      <c r="I87" s="662"/>
      <c r="J87" s="662"/>
      <c r="K87" s="662"/>
      <c r="L87" s="662"/>
      <c r="M87" s="662"/>
      <c r="N87" s="664"/>
      <c r="O87" s="662"/>
      <c r="R87" s="79"/>
      <c r="S87" s="79"/>
      <c r="X87" s="79"/>
      <c r="AD87" s="130"/>
      <c r="AF87" s="106"/>
    </row>
    <row r="88">
      <c r="C88" s="79"/>
      <c r="D88" s="79"/>
      <c r="E88" s="79"/>
      <c r="H88" s="661"/>
      <c r="I88" s="662"/>
      <c r="J88" s="662"/>
      <c r="K88" s="662"/>
      <c r="L88" s="662"/>
      <c r="M88" s="662"/>
      <c r="N88" s="663"/>
      <c r="O88" s="662"/>
      <c r="R88" s="79"/>
      <c r="S88" s="79"/>
      <c r="X88" s="79"/>
      <c r="AD88" s="130"/>
      <c r="AF88" s="106"/>
    </row>
    <row r="89">
      <c r="C89" s="79"/>
      <c r="D89" s="79"/>
      <c r="E89" s="79"/>
      <c r="H89" s="661"/>
      <c r="I89" s="662"/>
      <c r="J89" s="662"/>
      <c r="K89" s="662"/>
      <c r="L89" s="662"/>
      <c r="M89" s="662"/>
      <c r="N89" s="664"/>
      <c r="O89" s="662"/>
      <c r="R89" s="79"/>
      <c r="S89" s="79"/>
      <c r="X89" s="79"/>
      <c r="AD89" s="130"/>
      <c r="AF89" s="106"/>
    </row>
    <row r="90">
      <c r="C90" s="79"/>
      <c r="D90" s="79"/>
      <c r="E90" s="79"/>
      <c r="H90" s="661"/>
      <c r="I90" s="662"/>
      <c r="J90" s="662"/>
      <c r="K90" s="662"/>
      <c r="L90" s="662"/>
      <c r="M90" s="662"/>
      <c r="N90" s="663"/>
      <c r="O90" s="662"/>
      <c r="R90" s="79"/>
      <c r="S90" s="79"/>
      <c r="X90" s="79"/>
      <c r="AD90" s="130"/>
      <c r="AF90" s="106"/>
    </row>
    <row r="91">
      <c r="C91" s="79"/>
      <c r="D91" s="79"/>
      <c r="E91" s="79"/>
      <c r="H91" s="661"/>
      <c r="I91" s="662"/>
      <c r="J91" s="662"/>
      <c r="K91" s="662"/>
      <c r="L91" s="662"/>
      <c r="M91" s="662"/>
      <c r="N91" s="663"/>
      <c r="O91" s="662"/>
      <c r="R91" s="79"/>
      <c r="S91" s="79"/>
      <c r="X91" s="79"/>
      <c r="AD91" s="130"/>
      <c r="AF91" s="106"/>
    </row>
    <row r="92">
      <c r="C92" s="79"/>
      <c r="D92" s="79"/>
      <c r="E92" s="79"/>
      <c r="H92" s="661"/>
      <c r="I92" s="662"/>
      <c r="J92" s="662"/>
      <c r="K92" s="662"/>
      <c r="L92" s="662"/>
      <c r="M92" s="662"/>
      <c r="N92" s="663"/>
      <c r="O92" s="662"/>
      <c r="R92" s="79"/>
      <c r="S92" s="79"/>
      <c r="X92" s="79"/>
      <c r="AD92" s="130"/>
      <c r="AF92" s="106"/>
    </row>
    <row r="93">
      <c r="C93" s="79"/>
      <c r="D93" s="79"/>
      <c r="E93" s="79"/>
      <c r="H93" s="661"/>
      <c r="I93" s="662"/>
      <c r="J93" s="662"/>
      <c r="K93" s="662"/>
      <c r="L93" s="662"/>
      <c r="M93" s="662"/>
      <c r="N93" s="663"/>
      <c r="O93" s="662"/>
      <c r="R93" s="79"/>
      <c r="S93" s="79"/>
      <c r="X93" s="79"/>
      <c r="AD93" s="130"/>
      <c r="AF93" s="106"/>
    </row>
    <row r="94">
      <c r="C94" s="79"/>
      <c r="D94" s="79"/>
      <c r="E94" s="79"/>
      <c r="H94" s="661"/>
      <c r="I94" s="662"/>
      <c r="J94" s="662"/>
      <c r="K94" s="665"/>
      <c r="L94" s="662"/>
      <c r="M94" s="662"/>
      <c r="N94" s="664"/>
      <c r="O94" s="662"/>
      <c r="R94" s="79"/>
      <c r="S94" s="79"/>
      <c r="X94" s="79"/>
      <c r="AD94" s="130"/>
      <c r="AF94" s="106"/>
    </row>
    <row r="95">
      <c r="C95" s="79"/>
      <c r="D95" s="79"/>
      <c r="E95" s="79"/>
      <c r="H95" s="661"/>
      <c r="I95" s="662"/>
      <c r="J95" s="662"/>
      <c r="K95" s="662"/>
      <c r="L95" s="662"/>
      <c r="M95" s="662"/>
      <c r="N95" s="664"/>
      <c r="O95" s="662"/>
      <c r="R95" s="79"/>
      <c r="S95" s="79"/>
      <c r="X95" s="79"/>
      <c r="AD95" s="130"/>
      <c r="AF95" s="106"/>
    </row>
    <row r="96">
      <c r="C96" s="79"/>
      <c r="D96" s="79"/>
      <c r="E96" s="79"/>
      <c r="H96" s="661"/>
      <c r="I96" s="662"/>
      <c r="J96" s="662"/>
      <c r="K96" s="662"/>
      <c r="L96" s="662"/>
      <c r="M96" s="662"/>
      <c r="N96" s="666"/>
      <c r="O96" s="662"/>
      <c r="R96" s="79"/>
      <c r="S96" s="79"/>
      <c r="X96" s="79"/>
      <c r="AD96" s="130"/>
      <c r="AF96" s="106"/>
    </row>
    <row r="97">
      <c r="C97" s="79"/>
      <c r="D97" s="79"/>
      <c r="E97" s="79"/>
      <c r="H97" s="661"/>
      <c r="I97" s="662"/>
      <c r="J97" s="662"/>
      <c r="K97" s="662"/>
      <c r="L97" s="662"/>
      <c r="M97" s="662"/>
      <c r="N97" s="663"/>
      <c r="O97" s="662"/>
      <c r="R97" s="79"/>
      <c r="S97" s="79"/>
      <c r="X97" s="79"/>
      <c r="AD97" s="130"/>
      <c r="AF97" s="106"/>
    </row>
    <row r="98">
      <c r="C98" s="79"/>
      <c r="D98" s="79"/>
      <c r="E98" s="79"/>
      <c r="H98" s="661"/>
      <c r="I98" s="662"/>
      <c r="J98" s="662"/>
      <c r="K98" s="662"/>
      <c r="L98" s="662"/>
      <c r="M98" s="662"/>
      <c r="N98" s="664"/>
      <c r="O98" s="662"/>
      <c r="R98" s="79"/>
      <c r="S98" s="79"/>
      <c r="X98" s="79"/>
      <c r="AD98" s="130"/>
      <c r="AF98" s="106"/>
    </row>
    <row r="99">
      <c r="C99" s="79"/>
      <c r="D99" s="79"/>
      <c r="E99" s="79"/>
      <c r="H99" s="661"/>
      <c r="I99" s="662"/>
      <c r="J99" s="662"/>
      <c r="K99" s="662"/>
      <c r="L99" s="662"/>
      <c r="M99" s="662"/>
      <c r="N99" s="664"/>
      <c r="O99" s="662"/>
      <c r="R99" s="79"/>
      <c r="S99" s="79"/>
      <c r="X99" s="79"/>
      <c r="AD99" s="130"/>
      <c r="AF99" s="106"/>
    </row>
    <row r="100">
      <c r="C100" s="79"/>
      <c r="D100" s="79"/>
      <c r="E100" s="79"/>
      <c r="H100" s="661"/>
      <c r="I100" s="662"/>
      <c r="J100" s="662"/>
      <c r="K100" s="662"/>
      <c r="L100" s="662"/>
      <c r="M100" s="662"/>
      <c r="N100" s="663"/>
      <c r="O100" s="662"/>
      <c r="R100" s="79"/>
      <c r="S100" s="79"/>
      <c r="X100" s="79"/>
      <c r="AD100" s="130"/>
      <c r="AF100" s="106"/>
    </row>
    <row r="101">
      <c r="C101" s="79"/>
      <c r="D101" s="79"/>
      <c r="E101" s="79"/>
      <c r="H101" s="661"/>
      <c r="I101" s="662"/>
      <c r="J101" s="662"/>
      <c r="K101" s="662"/>
      <c r="L101" s="662"/>
      <c r="M101" s="662"/>
      <c r="N101" s="663"/>
      <c r="O101" s="662"/>
      <c r="R101" s="79"/>
      <c r="S101" s="79"/>
      <c r="X101" s="79"/>
      <c r="AD101" s="130"/>
      <c r="AF101" s="106"/>
    </row>
    <row r="102">
      <c r="C102" s="79"/>
      <c r="D102" s="79"/>
      <c r="E102" s="79"/>
      <c r="H102" s="661"/>
      <c r="I102" s="662"/>
      <c r="J102" s="662"/>
      <c r="K102" s="662"/>
      <c r="L102" s="662"/>
      <c r="M102" s="662"/>
      <c r="N102" s="663"/>
      <c r="O102" s="662"/>
      <c r="R102" s="79"/>
      <c r="S102" s="79"/>
      <c r="X102" s="79"/>
      <c r="AD102" s="130"/>
      <c r="AF102" s="106"/>
    </row>
    <row r="103">
      <c r="C103" s="79"/>
      <c r="D103" s="79"/>
      <c r="E103" s="79"/>
      <c r="H103" s="661"/>
      <c r="I103" s="662"/>
      <c r="J103" s="662"/>
      <c r="K103" s="662"/>
      <c r="L103" s="662"/>
      <c r="M103" s="662"/>
      <c r="N103" s="664"/>
      <c r="O103" s="662"/>
      <c r="R103" s="79"/>
      <c r="S103" s="79"/>
      <c r="X103" s="79"/>
      <c r="AD103" s="130"/>
      <c r="AF103" s="106"/>
    </row>
    <row r="104">
      <c r="C104" s="79"/>
      <c r="D104" s="79"/>
      <c r="E104" s="79"/>
      <c r="H104" s="661"/>
      <c r="I104" s="662"/>
      <c r="J104" s="662"/>
      <c r="K104" s="662"/>
      <c r="L104" s="662"/>
      <c r="M104" s="662"/>
      <c r="N104" s="663"/>
      <c r="O104" s="662"/>
      <c r="R104" s="79"/>
      <c r="S104" s="79"/>
      <c r="X104" s="79"/>
      <c r="AD104" s="130"/>
      <c r="AF104" s="106"/>
    </row>
    <row r="105">
      <c r="C105" s="79"/>
      <c r="D105" s="79"/>
      <c r="E105" s="79"/>
      <c r="H105" s="661"/>
      <c r="I105" s="662"/>
      <c r="J105" s="662"/>
      <c r="K105" s="662"/>
      <c r="L105" s="662"/>
      <c r="M105" s="662"/>
      <c r="N105" s="663"/>
      <c r="O105" s="662"/>
      <c r="R105" s="79"/>
      <c r="S105" s="79"/>
      <c r="X105" s="79"/>
      <c r="AD105" s="130"/>
      <c r="AF105" s="106"/>
    </row>
    <row r="106">
      <c r="C106" s="79"/>
      <c r="D106" s="79"/>
      <c r="E106" s="79"/>
      <c r="H106" s="661"/>
      <c r="I106" s="662"/>
      <c r="J106" s="662"/>
      <c r="K106" s="662"/>
      <c r="L106" s="662"/>
      <c r="M106" s="662"/>
      <c r="N106" s="663"/>
      <c r="O106" s="662"/>
      <c r="R106" s="79"/>
      <c r="S106" s="79"/>
      <c r="X106" s="79"/>
      <c r="AD106" s="130"/>
      <c r="AF106" s="106"/>
    </row>
    <row r="107">
      <c r="C107" s="79"/>
      <c r="D107" s="79"/>
      <c r="E107" s="79"/>
      <c r="H107" s="661"/>
      <c r="I107" s="662"/>
      <c r="J107" s="662"/>
      <c r="K107" s="662"/>
      <c r="L107" s="662"/>
      <c r="M107" s="662"/>
      <c r="N107" s="664"/>
      <c r="O107" s="662"/>
      <c r="R107" s="79"/>
      <c r="S107" s="79"/>
      <c r="X107" s="79"/>
      <c r="AD107" s="130"/>
      <c r="AF107" s="106"/>
    </row>
    <row r="108">
      <c r="C108" s="79"/>
      <c r="D108" s="79"/>
      <c r="E108" s="79"/>
      <c r="H108" s="661"/>
      <c r="I108" s="662"/>
      <c r="J108" s="662"/>
      <c r="K108" s="662"/>
      <c r="L108" s="662"/>
      <c r="M108" s="662"/>
      <c r="N108" s="664"/>
      <c r="O108" s="662"/>
      <c r="R108" s="79"/>
      <c r="S108" s="79"/>
      <c r="X108" s="79"/>
      <c r="AD108" s="130"/>
      <c r="AF108" s="106"/>
    </row>
    <row r="109">
      <c r="C109" s="79"/>
      <c r="D109" s="79"/>
      <c r="E109" s="79"/>
      <c r="H109" s="661"/>
      <c r="I109" s="662"/>
      <c r="J109" s="662"/>
      <c r="K109" s="662"/>
      <c r="L109" s="662"/>
      <c r="M109" s="662"/>
      <c r="N109" s="664"/>
      <c r="O109" s="662"/>
      <c r="R109" s="79"/>
      <c r="S109" s="79"/>
      <c r="X109" s="79"/>
      <c r="AD109" s="130"/>
      <c r="AF109" s="106"/>
    </row>
    <row r="110">
      <c r="C110" s="79"/>
      <c r="D110" s="79"/>
      <c r="E110" s="79"/>
      <c r="H110" s="661"/>
      <c r="I110" s="662"/>
      <c r="J110" s="662"/>
      <c r="K110" s="662"/>
      <c r="L110" s="662"/>
      <c r="M110" s="662"/>
      <c r="N110" s="664"/>
      <c r="O110" s="662"/>
      <c r="R110" s="79"/>
      <c r="S110" s="79"/>
      <c r="X110" s="79"/>
      <c r="AD110" s="130"/>
      <c r="AF110" s="106"/>
    </row>
    <row r="111">
      <c r="C111" s="79"/>
      <c r="D111" s="79"/>
      <c r="E111" s="79"/>
      <c r="N111" s="355"/>
      <c r="O111" s="79"/>
      <c r="R111" s="79"/>
      <c r="S111" s="79"/>
      <c r="X111" s="79"/>
      <c r="AD111" s="130"/>
      <c r="AF111" s="106"/>
    </row>
    <row r="112">
      <c r="C112" s="79"/>
      <c r="D112" s="79"/>
      <c r="E112" s="79"/>
      <c r="O112" s="79"/>
      <c r="R112" s="79"/>
      <c r="S112" s="79"/>
      <c r="X112" s="79"/>
      <c r="AD112" s="130"/>
      <c r="AF112" s="106"/>
    </row>
    <row r="113">
      <c r="C113" s="79"/>
      <c r="D113" s="79"/>
      <c r="E113" s="79"/>
      <c r="O113" s="79"/>
      <c r="R113" s="79"/>
      <c r="S113" s="79"/>
      <c r="X113" s="79"/>
      <c r="AD113" s="130"/>
      <c r="AF113" s="106"/>
    </row>
    <row r="114">
      <c r="C114" s="79"/>
      <c r="D114" s="79"/>
      <c r="E114" s="79"/>
      <c r="O114" s="79"/>
      <c r="R114" s="79"/>
      <c r="S114" s="79"/>
      <c r="X114" s="79"/>
      <c r="AD114" s="130"/>
      <c r="AF114" s="106"/>
    </row>
    <row r="115">
      <c r="C115" s="79"/>
      <c r="D115" s="79"/>
      <c r="E115" s="79"/>
      <c r="H115" s="661"/>
      <c r="I115" s="662"/>
      <c r="J115" s="662"/>
      <c r="K115" s="662"/>
      <c r="L115" s="662"/>
      <c r="M115" s="662"/>
      <c r="N115" s="663"/>
      <c r="O115" s="79"/>
      <c r="R115" s="79"/>
      <c r="S115" s="79"/>
      <c r="X115" s="79"/>
      <c r="AD115" s="130"/>
      <c r="AF115" s="106"/>
    </row>
    <row r="116">
      <c r="C116" s="79"/>
      <c r="D116" s="79"/>
      <c r="E116" s="79"/>
      <c r="O116" s="79"/>
      <c r="R116" s="79"/>
      <c r="S116" s="79"/>
      <c r="X116" s="79"/>
      <c r="AD116" s="130"/>
      <c r="AF116" s="106"/>
    </row>
    <row r="117">
      <c r="C117" s="79"/>
      <c r="D117" s="79"/>
      <c r="E117" s="79"/>
      <c r="O117" s="79"/>
      <c r="R117" s="79"/>
      <c r="S117" s="79"/>
      <c r="X117" s="79"/>
      <c r="AD117" s="130"/>
      <c r="AF117" s="106"/>
    </row>
    <row r="118">
      <c r="C118" s="79"/>
      <c r="D118" s="79"/>
      <c r="E118" s="79"/>
      <c r="O118" s="79"/>
      <c r="R118" s="79"/>
      <c r="S118" s="79"/>
      <c r="X118" s="79"/>
      <c r="AD118" s="130"/>
      <c r="AF118" s="106"/>
    </row>
    <row r="119">
      <c r="C119" s="79"/>
      <c r="D119" s="79"/>
      <c r="E119" s="79"/>
      <c r="O119" s="79"/>
      <c r="R119" s="79"/>
      <c r="S119" s="79"/>
      <c r="X119" s="79"/>
      <c r="AD119" s="130"/>
      <c r="AF119" s="106"/>
    </row>
    <row r="120">
      <c r="C120" s="79"/>
      <c r="D120" s="79"/>
      <c r="E120" s="79"/>
      <c r="O120" s="79"/>
      <c r="R120" s="79"/>
      <c r="S120" s="79"/>
      <c r="X120" s="79"/>
      <c r="AD120" s="130"/>
      <c r="AF120" s="106"/>
    </row>
    <row r="121">
      <c r="C121" s="79"/>
      <c r="D121" s="79"/>
      <c r="E121" s="79"/>
      <c r="O121" s="79"/>
      <c r="R121" s="79"/>
      <c r="S121" s="79"/>
      <c r="X121" s="79"/>
      <c r="AD121" s="130"/>
      <c r="AF121" s="106"/>
    </row>
    <row r="122">
      <c r="C122" s="79"/>
      <c r="D122" s="79"/>
      <c r="E122" s="79"/>
      <c r="O122" s="79"/>
      <c r="R122" s="79"/>
      <c r="S122" s="79"/>
      <c r="X122" s="79"/>
      <c r="AD122" s="130"/>
      <c r="AF122" s="106"/>
    </row>
    <row r="123">
      <c r="C123" s="79"/>
      <c r="D123" s="79"/>
      <c r="E123" s="79"/>
      <c r="O123" s="79"/>
      <c r="R123" s="79"/>
      <c r="S123" s="79"/>
      <c r="X123" s="79"/>
      <c r="AD123" s="130"/>
      <c r="AF123" s="106"/>
    </row>
    <row r="124">
      <c r="C124" s="79"/>
      <c r="D124" s="79"/>
      <c r="E124" s="79"/>
      <c r="O124" s="79"/>
      <c r="R124" s="79"/>
      <c r="S124" s="79"/>
      <c r="X124" s="79"/>
      <c r="AD124" s="130"/>
      <c r="AF124" s="106"/>
    </row>
    <row r="125">
      <c r="C125" s="79"/>
      <c r="D125" s="79"/>
      <c r="E125" s="79"/>
      <c r="O125" s="79"/>
      <c r="R125" s="79"/>
      <c r="S125" s="79"/>
      <c r="X125" s="79"/>
      <c r="AD125" s="130"/>
      <c r="AF125" s="106"/>
    </row>
    <row r="126">
      <c r="C126" s="79"/>
      <c r="D126" s="79"/>
      <c r="E126" s="79"/>
      <c r="O126" s="79"/>
      <c r="R126" s="79"/>
      <c r="S126" s="79"/>
      <c r="X126" s="79"/>
      <c r="AD126" s="130"/>
      <c r="AF126" s="106"/>
    </row>
    <row r="127">
      <c r="C127" s="79"/>
      <c r="D127" s="79"/>
      <c r="E127" s="79"/>
      <c r="O127" s="79"/>
      <c r="R127" s="79"/>
      <c r="S127" s="79"/>
      <c r="X127" s="79"/>
      <c r="AD127" s="130"/>
      <c r="AF127" s="106"/>
    </row>
    <row r="128">
      <c r="C128" s="79"/>
      <c r="D128" s="79"/>
      <c r="E128" s="79"/>
      <c r="O128" s="79"/>
      <c r="R128" s="79"/>
      <c r="S128" s="79"/>
      <c r="X128" s="79"/>
      <c r="AD128" s="130"/>
      <c r="AF128" s="106"/>
    </row>
    <row r="129">
      <c r="C129" s="79"/>
      <c r="D129" s="79"/>
      <c r="E129" s="79"/>
      <c r="O129" s="79"/>
      <c r="R129" s="79"/>
      <c r="S129" s="79"/>
      <c r="X129" s="79"/>
      <c r="AD129" s="130"/>
      <c r="AF129" s="106"/>
    </row>
    <row r="130">
      <c r="C130" s="79"/>
      <c r="D130" s="79"/>
      <c r="E130" s="79"/>
      <c r="O130" s="79"/>
      <c r="R130" s="79"/>
      <c r="S130" s="79"/>
      <c r="X130" s="79"/>
      <c r="AD130" s="130"/>
      <c r="AF130" s="106"/>
    </row>
    <row r="131">
      <c r="C131" s="79"/>
      <c r="D131" s="79"/>
      <c r="E131" s="79"/>
      <c r="O131" s="79"/>
      <c r="R131" s="79"/>
      <c r="S131" s="79"/>
      <c r="X131" s="79"/>
      <c r="AD131" s="130"/>
      <c r="AF131" s="106"/>
    </row>
    <row r="132">
      <c r="C132" s="79"/>
      <c r="D132" s="79"/>
      <c r="E132" s="79"/>
      <c r="O132" s="79"/>
      <c r="R132" s="79"/>
      <c r="S132" s="79"/>
      <c r="X132" s="79"/>
      <c r="AD132" s="130"/>
      <c r="AF132" s="106"/>
    </row>
    <row r="133">
      <c r="C133" s="79"/>
      <c r="D133" s="79"/>
      <c r="E133" s="79"/>
      <c r="O133" s="79"/>
      <c r="R133" s="79"/>
      <c r="S133" s="79"/>
      <c r="X133" s="79"/>
      <c r="AD133" s="130"/>
      <c r="AF133" s="106"/>
    </row>
    <row r="134">
      <c r="C134" s="79"/>
      <c r="D134" s="79"/>
      <c r="E134" s="79"/>
      <c r="O134" s="79"/>
      <c r="R134" s="79"/>
      <c r="S134" s="79"/>
      <c r="X134" s="79"/>
      <c r="AD134" s="130"/>
      <c r="AF134" s="106"/>
    </row>
    <row r="135">
      <c r="C135" s="79"/>
      <c r="D135" s="79"/>
      <c r="E135" s="79"/>
      <c r="O135" s="79"/>
      <c r="R135" s="79"/>
      <c r="S135" s="79"/>
      <c r="X135" s="79"/>
      <c r="AD135" s="130"/>
      <c r="AF135" s="106"/>
    </row>
    <row r="136">
      <c r="C136" s="79"/>
      <c r="D136" s="79"/>
      <c r="E136" s="79"/>
      <c r="O136" s="79"/>
      <c r="R136" s="79"/>
      <c r="S136" s="79"/>
      <c r="X136" s="79"/>
      <c r="AD136" s="130"/>
      <c r="AF136" s="106"/>
    </row>
    <row r="137">
      <c r="C137" s="79"/>
      <c r="D137" s="79"/>
      <c r="E137" s="79"/>
      <c r="O137" s="79"/>
      <c r="R137" s="79"/>
      <c r="S137" s="79"/>
      <c r="X137" s="79"/>
      <c r="AD137" s="130"/>
      <c r="AF137" s="106"/>
    </row>
    <row r="138">
      <c r="C138" s="79"/>
      <c r="D138" s="79"/>
      <c r="E138" s="79"/>
      <c r="O138" s="79"/>
      <c r="R138" s="79"/>
      <c r="S138" s="79"/>
      <c r="X138" s="79"/>
      <c r="AD138" s="130"/>
      <c r="AF138" s="106"/>
    </row>
    <row r="139">
      <c r="C139" s="79"/>
      <c r="D139" s="79"/>
      <c r="E139" s="79"/>
      <c r="O139" s="79"/>
      <c r="R139" s="79"/>
      <c r="S139" s="79"/>
      <c r="X139" s="79"/>
      <c r="AD139" s="130"/>
      <c r="AF139" s="106"/>
    </row>
    <row r="140">
      <c r="C140" s="79"/>
      <c r="D140" s="79"/>
      <c r="E140" s="79"/>
      <c r="O140" s="79"/>
      <c r="R140" s="79"/>
      <c r="S140" s="79"/>
      <c r="X140" s="79"/>
      <c r="AD140" s="130"/>
      <c r="AF140" s="106"/>
    </row>
    <row r="141">
      <c r="C141" s="79"/>
      <c r="D141" s="79"/>
      <c r="E141" s="79"/>
      <c r="O141" s="79"/>
      <c r="R141" s="79"/>
      <c r="S141" s="79"/>
      <c r="X141" s="79"/>
      <c r="AD141" s="130"/>
      <c r="AF141" s="106"/>
    </row>
    <row r="142">
      <c r="C142" s="79"/>
      <c r="D142" s="79"/>
      <c r="E142" s="79"/>
      <c r="O142" s="79"/>
      <c r="R142" s="79"/>
      <c r="S142" s="79"/>
      <c r="X142" s="79"/>
      <c r="AD142" s="130"/>
      <c r="AF142" s="106"/>
    </row>
    <row r="143">
      <c r="C143" s="79"/>
      <c r="D143" s="79"/>
      <c r="E143" s="79"/>
      <c r="O143" s="79"/>
      <c r="R143" s="79"/>
      <c r="S143" s="79"/>
      <c r="X143" s="79"/>
      <c r="AD143" s="130"/>
      <c r="AF143" s="106"/>
    </row>
    <row r="144">
      <c r="C144" s="79"/>
      <c r="D144" s="79"/>
      <c r="E144" s="79"/>
      <c r="O144" s="79"/>
      <c r="R144" s="79"/>
      <c r="S144" s="79"/>
      <c r="X144" s="79"/>
      <c r="AD144" s="130"/>
      <c r="AF144" s="106"/>
    </row>
    <row r="145">
      <c r="C145" s="79"/>
      <c r="D145" s="79"/>
      <c r="E145" s="79"/>
      <c r="O145" s="79"/>
      <c r="R145" s="79"/>
      <c r="S145" s="79"/>
      <c r="X145" s="79"/>
      <c r="AD145" s="130"/>
      <c r="AF145" s="106"/>
    </row>
    <row r="146">
      <c r="C146" s="79"/>
      <c r="D146" s="79"/>
      <c r="E146" s="79"/>
      <c r="O146" s="79"/>
      <c r="R146" s="79"/>
      <c r="S146" s="79"/>
      <c r="X146" s="79"/>
      <c r="AD146" s="130"/>
      <c r="AF146" s="106"/>
    </row>
    <row r="147">
      <c r="C147" s="79"/>
      <c r="D147" s="79"/>
      <c r="E147" s="79"/>
      <c r="O147" s="79"/>
      <c r="R147" s="79"/>
      <c r="S147" s="79"/>
      <c r="X147" s="79"/>
      <c r="AD147" s="130"/>
      <c r="AF147" s="106"/>
    </row>
    <row r="148">
      <c r="C148" s="79"/>
      <c r="D148" s="79"/>
      <c r="E148" s="79"/>
      <c r="O148" s="79"/>
      <c r="R148" s="79"/>
      <c r="S148" s="79"/>
      <c r="X148" s="79"/>
      <c r="AD148" s="130"/>
      <c r="AF148" s="106"/>
    </row>
    <row r="149">
      <c r="C149" s="79"/>
      <c r="D149" s="79"/>
      <c r="E149" s="79"/>
      <c r="O149" s="79"/>
      <c r="R149" s="79"/>
      <c r="S149" s="79"/>
      <c r="X149" s="79"/>
      <c r="AD149" s="130"/>
      <c r="AF149" s="106"/>
    </row>
    <row r="150">
      <c r="C150" s="79"/>
      <c r="D150" s="79"/>
      <c r="E150" s="79"/>
      <c r="O150" s="79"/>
      <c r="R150" s="79"/>
      <c r="S150" s="79"/>
      <c r="X150" s="79"/>
      <c r="AD150" s="130"/>
      <c r="AF150" s="106"/>
    </row>
    <row r="151">
      <c r="C151" s="79"/>
      <c r="D151" s="79"/>
      <c r="E151" s="79"/>
      <c r="O151" s="79"/>
      <c r="R151" s="79"/>
      <c r="S151" s="79"/>
      <c r="X151" s="79"/>
      <c r="AD151" s="130"/>
      <c r="AF151" s="106"/>
    </row>
    <row r="152">
      <c r="C152" s="79"/>
      <c r="D152" s="79"/>
      <c r="E152" s="79"/>
      <c r="O152" s="79"/>
      <c r="R152" s="79"/>
      <c r="S152" s="79"/>
      <c r="X152" s="79"/>
      <c r="AD152" s="130"/>
      <c r="AF152" s="106"/>
    </row>
    <row r="153">
      <c r="C153" s="79"/>
      <c r="D153" s="79"/>
      <c r="E153" s="79"/>
      <c r="O153" s="79"/>
      <c r="R153" s="79"/>
      <c r="S153" s="79"/>
      <c r="X153" s="79"/>
      <c r="AD153" s="130"/>
      <c r="AF153" s="106"/>
    </row>
    <row r="154">
      <c r="C154" s="79"/>
      <c r="D154" s="79"/>
      <c r="E154" s="79"/>
      <c r="O154" s="79"/>
      <c r="R154" s="79"/>
      <c r="S154" s="79"/>
      <c r="X154" s="79"/>
      <c r="AD154" s="130"/>
      <c r="AF154" s="106"/>
    </row>
    <row r="155">
      <c r="C155" s="79"/>
      <c r="D155" s="79"/>
      <c r="E155" s="79"/>
      <c r="O155" s="79"/>
      <c r="R155" s="79"/>
      <c r="S155" s="79"/>
      <c r="X155" s="79"/>
      <c r="AD155" s="130"/>
      <c r="AF155" s="106"/>
    </row>
    <row r="156">
      <c r="C156" s="79"/>
      <c r="D156" s="79"/>
      <c r="E156" s="79"/>
      <c r="O156" s="79"/>
      <c r="R156" s="79"/>
      <c r="S156" s="79"/>
      <c r="X156" s="79"/>
      <c r="AD156" s="130"/>
      <c r="AF156" s="106"/>
    </row>
    <row r="157">
      <c r="C157" s="79"/>
      <c r="D157" s="79"/>
      <c r="E157" s="79"/>
      <c r="O157" s="79"/>
      <c r="R157" s="79"/>
      <c r="S157" s="79"/>
      <c r="X157" s="79"/>
      <c r="AD157" s="130"/>
      <c r="AF157" s="106"/>
    </row>
    <row r="158">
      <c r="C158" s="79"/>
      <c r="D158" s="79"/>
      <c r="E158" s="79"/>
      <c r="O158" s="79"/>
      <c r="R158" s="79"/>
      <c r="S158" s="79"/>
      <c r="X158" s="79"/>
      <c r="AD158" s="130"/>
      <c r="AF158" s="106"/>
    </row>
    <row r="159">
      <c r="C159" s="79"/>
      <c r="D159" s="79"/>
      <c r="E159" s="79"/>
      <c r="O159" s="79"/>
      <c r="R159" s="79"/>
      <c r="S159" s="79"/>
      <c r="X159" s="79"/>
      <c r="AD159" s="130"/>
      <c r="AF159" s="106"/>
    </row>
    <row r="160">
      <c r="C160" s="79"/>
      <c r="D160" s="79"/>
      <c r="E160" s="79"/>
      <c r="O160" s="79"/>
      <c r="R160" s="79"/>
      <c r="S160" s="79"/>
      <c r="X160" s="79"/>
      <c r="AD160" s="130"/>
      <c r="AF160" s="106"/>
    </row>
    <row r="161">
      <c r="C161" s="79"/>
      <c r="D161" s="79"/>
      <c r="E161" s="79"/>
      <c r="O161" s="79"/>
      <c r="R161" s="79"/>
      <c r="S161" s="79"/>
      <c r="X161" s="79"/>
      <c r="AD161" s="130"/>
      <c r="AF161" s="106"/>
    </row>
    <row r="162">
      <c r="C162" s="79"/>
      <c r="D162" s="79"/>
      <c r="E162" s="79"/>
      <c r="O162" s="79"/>
      <c r="R162" s="79"/>
      <c r="S162" s="79"/>
      <c r="X162" s="79"/>
      <c r="AD162" s="130"/>
      <c r="AF162" s="106"/>
    </row>
    <row r="163">
      <c r="C163" s="79"/>
      <c r="D163" s="79"/>
      <c r="E163" s="79"/>
      <c r="O163" s="79"/>
      <c r="R163" s="79"/>
      <c r="S163" s="79"/>
      <c r="X163" s="79"/>
      <c r="AD163" s="130"/>
      <c r="AF163" s="106"/>
    </row>
    <row r="164">
      <c r="C164" s="79"/>
      <c r="D164" s="79"/>
      <c r="E164" s="79"/>
      <c r="O164" s="79"/>
      <c r="R164" s="79"/>
      <c r="S164" s="79"/>
      <c r="X164" s="79"/>
      <c r="AD164" s="130"/>
      <c r="AF164" s="106"/>
    </row>
    <row r="165">
      <c r="C165" s="79"/>
      <c r="D165" s="79"/>
      <c r="E165" s="79"/>
      <c r="O165" s="79"/>
      <c r="R165" s="79"/>
      <c r="S165" s="79"/>
      <c r="X165" s="79"/>
      <c r="AD165" s="130"/>
      <c r="AF165" s="106"/>
    </row>
    <row r="166">
      <c r="C166" s="79"/>
      <c r="D166" s="79"/>
      <c r="E166" s="79"/>
      <c r="O166" s="79"/>
      <c r="R166" s="79"/>
      <c r="S166" s="79"/>
      <c r="X166" s="79"/>
      <c r="AD166" s="130"/>
      <c r="AF166" s="106"/>
    </row>
    <row r="167">
      <c r="C167" s="79"/>
      <c r="D167" s="79"/>
      <c r="E167" s="79"/>
      <c r="O167" s="79"/>
      <c r="R167" s="79"/>
      <c r="S167" s="79"/>
      <c r="X167" s="79"/>
      <c r="AD167" s="130"/>
      <c r="AF167" s="106"/>
    </row>
    <row r="168">
      <c r="C168" s="79"/>
      <c r="D168" s="79"/>
      <c r="E168" s="79"/>
      <c r="O168" s="79"/>
      <c r="R168" s="79"/>
      <c r="S168" s="79"/>
      <c r="X168" s="79"/>
      <c r="AD168" s="130"/>
      <c r="AF168" s="106"/>
    </row>
    <row r="169">
      <c r="C169" s="79"/>
      <c r="D169" s="79"/>
      <c r="E169" s="79"/>
      <c r="O169" s="79"/>
      <c r="R169" s="79"/>
      <c r="S169" s="79"/>
      <c r="X169" s="79"/>
      <c r="AD169" s="130"/>
      <c r="AF169" s="106"/>
    </row>
    <row r="170">
      <c r="C170" s="79"/>
      <c r="D170" s="79"/>
      <c r="E170" s="79"/>
      <c r="O170" s="79"/>
      <c r="R170" s="79"/>
      <c r="S170" s="79"/>
      <c r="X170" s="79"/>
      <c r="AD170" s="130"/>
      <c r="AF170" s="106"/>
    </row>
    <row r="171">
      <c r="C171" s="79"/>
      <c r="D171" s="79"/>
      <c r="E171" s="79"/>
      <c r="O171" s="79"/>
      <c r="R171" s="79"/>
      <c r="S171" s="79"/>
      <c r="X171" s="79"/>
      <c r="AD171" s="130"/>
      <c r="AF171" s="106"/>
    </row>
    <row r="172">
      <c r="C172" s="79"/>
      <c r="D172" s="79"/>
      <c r="E172" s="79"/>
      <c r="O172" s="79"/>
      <c r="R172" s="79"/>
      <c r="S172" s="79"/>
      <c r="X172" s="79"/>
      <c r="AD172" s="130"/>
      <c r="AF172" s="106"/>
    </row>
    <row r="173">
      <c r="C173" s="79"/>
      <c r="D173" s="79"/>
      <c r="E173" s="79"/>
      <c r="O173" s="79"/>
      <c r="R173" s="79"/>
      <c r="S173" s="79"/>
      <c r="X173" s="79"/>
      <c r="AD173" s="130"/>
      <c r="AF173" s="106"/>
    </row>
    <row r="174">
      <c r="C174" s="79"/>
      <c r="D174" s="79"/>
      <c r="E174" s="79"/>
      <c r="O174" s="79"/>
      <c r="R174" s="79"/>
      <c r="S174" s="79"/>
      <c r="X174" s="79"/>
      <c r="AD174" s="130"/>
      <c r="AF174" s="106"/>
    </row>
    <row r="175">
      <c r="C175" s="79"/>
      <c r="D175" s="79"/>
      <c r="E175" s="79"/>
      <c r="O175" s="79"/>
      <c r="R175" s="79"/>
      <c r="S175" s="79"/>
      <c r="X175" s="79"/>
      <c r="AD175" s="130"/>
      <c r="AF175" s="106"/>
    </row>
    <row r="176">
      <c r="C176" s="79"/>
      <c r="D176" s="79"/>
      <c r="E176" s="79"/>
      <c r="O176" s="79"/>
      <c r="R176" s="79"/>
      <c r="S176" s="79"/>
      <c r="X176" s="79"/>
      <c r="AD176" s="130"/>
      <c r="AF176" s="106"/>
    </row>
    <row r="177">
      <c r="C177" s="79"/>
      <c r="D177" s="79"/>
      <c r="E177" s="79"/>
      <c r="O177" s="79"/>
      <c r="R177" s="79"/>
      <c r="S177" s="79"/>
      <c r="X177" s="79"/>
      <c r="AD177" s="130"/>
      <c r="AF177" s="106"/>
    </row>
    <row r="178">
      <c r="C178" s="79"/>
      <c r="D178" s="79"/>
      <c r="E178" s="79"/>
      <c r="O178" s="79"/>
      <c r="R178" s="79"/>
      <c r="S178" s="79"/>
      <c r="X178" s="79"/>
      <c r="AD178" s="130"/>
      <c r="AF178" s="106"/>
    </row>
    <row r="179">
      <c r="C179" s="79"/>
      <c r="D179" s="79"/>
      <c r="E179" s="79"/>
      <c r="O179" s="79"/>
      <c r="R179" s="79"/>
      <c r="S179" s="79"/>
      <c r="X179" s="79"/>
      <c r="AD179" s="130"/>
      <c r="AF179" s="106"/>
    </row>
    <row r="180">
      <c r="C180" s="79"/>
      <c r="D180" s="79"/>
      <c r="E180" s="79"/>
      <c r="O180" s="79"/>
      <c r="R180" s="79"/>
      <c r="S180" s="79"/>
      <c r="X180" s="79"/>
      <c r="AD180" s="130"/>
      <c r="AF180" s="106"/>
    </row>
    <row r="181">
      <c r="C181" s="79"/>
      <c r="D181" s="79"/>
      <c r="E181" s="79"/>
      <c r="O181" s="79"/>
      <c r="R181" s="79"/>
      <c r="S181" s="79"/>
      <c r="X181" s="79"/>
      <c r="AD181" s="130"/>
      <c r="AF181" s="106"/>
    </row>
    <row r="182">
      <c r="C182" s="79"/>
      <c r="D182" s="79"/>
      <c r="E182" s="79"/>
      <c r="O182" s="79"/>
      <c r="R182" s="79"/>
      <c r="S182" s="79"/>
      <c r="X182" s="79"/>
      <c r="AD182" s="130"/>
      <c r="AF182" s="106"/>
    </row>
    <row r="183">
      <c r="C183" s="79"/>
      <c r="D183" s="79"/>
      <c r="E183" s="79"/>
      <c r="O183" s="79"/>
      <c r="R183" s="79"/>
      <c r="S183" s="79"/>
      <c r="X183" s="79"/>
      <c r="AD183" s="130"/>
      <c r="AF183" s="106"/>
    </row>
    <row r="184">
      <c r="C184" s="79"/>
      <c r="D184" s="79"/>
      <c r="E184" s="79"/>
      <c r="O184" s="79"/>
      <c r="R184" s="79"/>
      <c r="S184" s="79"/>
      <c r="X184" s="79"/>
      <c r="AD184" s="130"/>
      <c r="AF184" s="106"/>
    </row>
    <row r="185">
      <c r="C185" s="79"/>
      <c r="D185" s="79"/>
      <c r="E185" s="79"/>
      <c r="O185" s="79"/>
      <c r="R185" s="79"/>
      <c r="S185" s="79"/>
      <c r="X185" s="79"/>
      <c r="AD185" s="130"/>
      <c r="AF185" s="106"/>
    </row>
    <row r="186">
      <c r="C186" s="79"/>
      <c r="D186" s="79"/>
      <c r="E186" s="79"/>
      <c r="O186" s="79"/>
      <c r="R186" s="79"/>
      <c r="S186" s="79"/>
      <c r="X186" s="79"/>
      <c r="AD186" s="130"/>
      <c r="AF186" s="106"/>
    </row>
    <row r="187">
      <c r="C187" s="79"/>
      <c r="D187" s="79"/>
      <c r="E187" s="79"/>
      <c r="O187" s="79"/>
      <c r="R187" s="79"/>
      <c r="S187" s="79"/>
      <c r="X187" s="79"/>
      <c r="AD187" s="130"/>
      <c r="AF187" s="106"/>
    </row>
    <row r="188">
      <c r="C188" s="79"/>
      <c r="D188" s="79"/>
      <c r="E188" s="79"/>
      <c r="O188" s="79"/>
      <c r="R188" s="79"/>
      <c r="S188" s="79"/>
      <c r="X188" s="79"/>
      <c r="AD188" s="130"/>
      <c r="AF188" s="106"/>
    </row>
    <row r="189">
      <c r="C189" s="79"/>
      <c r="D189" s="79"/>
      <c r="E189" s="79"/>
      <c r="O189" s="79"/>
      <c r="R189" s="79"/>
      <c r="S189" s="79"/>
      <c r="X189" s="79"/>
      <c r="AD189" s="130"/>
      <c r="AF189" s="106"/>
    </row>
    <row r="190">
      <c r="C190" s="79"/>
      <c r="D190" s="79"/>
      <c r="E190" s="79"/>
      <c r="O190" s="79"/>
      <c r="R190" s="79"/>
      <c r="S190" s="79"/>
      <c r="X190" s="79"/>
      <c r="AD190" s="130"/>
      <c r="AF190" s="106"/>
    </row>
    <row r="191">
      <c r="C191" s="79"/>
      <c r="D191" s="79"/>
      <c r="E191" s="79"/>
      <c r="O191" s="79"/>
      <c r="R191" s="79"/>
      <c r="S191" s="79"/>
      <c r="X191" s="79"/>
      <c r="AD191" s="130"/>
      <c r="AF191" s="106"/>
    </row>
    <row r="192">
      <c r="C192" s="79"/>
      <c r="D192" s="79"/>
      <c r="E192" s="79"/>
      <c r="O192" s="79"/>
      <c r="R192" s="79"/>
      <c r="S192" s="79"/>
      <c r="X192" s="79"/>
      <c r="AD192" s="130"/>
      <c r="AF192" s="106"/>
    </row>
    <row r="193">
      <c r="C193" s="79"/>
      <c r="D193" s="79"/>
      <c r="E193" s="79"/>
      <c r="O193" s="79"/>
      <c r="R193" s="79"/>
      <c r="S193" s="79"/>
      <c r="X193" s="79"/>
      <c r="AD193" s="130"/>
      <c r="AF193" s="106"/>
    </row>
    <row r="194">
      <c r="C194" s="79"/>
      <c r="D194" s="79"/>
      <c r="E194" s="79"/>
      <c r="O194" s="79"/>
      <c r="R194" s="79"/>
      <c r="S194" s="79"/>
      <c r="X194" s="79"/>
      <c r="AD194" s="130"/>
      <c r="AF194" s="106"/>
    </row>
    <row r="195">
      <c r="C195" s="79"/>
      <c r="D195" s="79"/>
      <c r="E195" s="79"/>
      <c r="O195" s="79"/>
      <c r="R195" s="79"/>
      <c r="S195" s="79"/>
      <c r="X195" s="79"/>
      <c r="AD195" s="130"/>
      <c r="AF195" s="106"/>
    </row>
    <row r="196">
      <c r="C196" s="79"/>
      <c r="D196" s="79"/>
      <c r="E196" s="79"/>
      <c r="O196" s="79"/>
      <c r="R196" s="79"/>
      <c r="S196" s="79"/>
      <c r="X196" s="79"/>
      <c r="AD196" s="130"/>
      <c r="AF196" s="106"/>
    </row>
    <row r="197">
      <c r="C197" s="79"/>
      <c r="D197" s="79"/>
      <c r="E197" s="79"/>
      <c r="O197" s="79"/>
      <c r="R197" s="79"/>
      <c r="S197" s="79"/>
      <c r="X197" s="79"/>
      <c r="AD197" s="130"/>
      <c r="AF197" s="106"/>
    </row>
    <row r="198">
      <c r="C198" s="79"/>
      <c r="D198" s="79"/>
      <c r="E198" s="79"/>
      <c r="O198" s="79"/>
      <c r="R198" s="79"/>
      <c r="S198" s="79"/>
      <c r="X198" s="79"/>
      <c r="AD198" s="130"/>
      <c r="AF198" s="106"/>
    </row>
    <row r="199">
      <c r="C199" s="79"/>
      <c r="D199" s="79"/>
      <c r="E199" s="79"/>
      <c r="O199" s="79"/>
      <c r="R199" s="79"/>
      <c r="S199" s="79"/>
      <c r="X199" s="79"/>
      <c r="AD199" s="130"/>
      <c r="AF199" s="106"/>
    </row>
    <row r="200">
      <c r="C200" s="79"/>
      <c r="D200" s="79"/>
      <c r="E200" s="79"/>
      <c r="O200" s="79"/>
      <c r="R200" s="79"/>
      <c r="S200" s="79"/>
      <c r="X200" s="79"/>
      <c r="AD200" s="130"/>
      <c r="AF200" s="106"/>
    </row>
    <row r="201">
      <c r="C201" s="79"/>
      <c r="D201" s="79"/>
      <c r="E201" s="79"/>
      <c r="O201" s="79"/>
      <c r="R201" s="79"/>
      <c r="S201" s="79"/>
      <c r="X201" s="79"/>
      <c r="AD201" s="130"/>
      <c r="AF201" s="106"/>
    </row>
    <row r="202">
      <c r="C202" s="79"/>
      <c r="D202" s="79"/>
      <c r="E202" s="79"/>
      <c r="O202" s="79"/>
      <c r="R202" s="79"/>
      <c r="S202" s="79"/>
      <c r="X202" s="79"/>
      <c r="AD202" s="130"/>
      <c r="AF202" s="106"/>
    </row>
    <row r="203">
      <c r="C203" s="79"/>
      <c r="D203" s="79"/>
      <c r="E203" s="79"/>
      <c r="O203" s="79"/>
      <c r="R203" s="79"/>
      <c r="S203" s="79"/>
      <c r="X203" s="79"/>
      <c r="AD203" s="130"/>
      <c r="AF203" s="106"/>
    </row>
    <row r="204">
      <c r="C204" s="79"/>
      <c r="D204" s="79"/>
      <c r="E204" s="79"/>
      <c r="O204" s="79"/>
      <c r="R204" s="79"/>
      <c r="S204" s="79"/>
      <c r="X204" s="79"/>
      <c r="AD204" s="130"/>
      <c r="AF204" s="106"/>
    </row>
    <row r="205">
      <c r="C205" s="79"/>
      <c r="D205" s="79"/>
      <c r="E205" s="79"/>
      <c r="O205" s="79"/>
      <c r="R205" s="79"/>
      <c r="S205" s="79"/>
      <c r="X205" s="79"/>
      <c r="AD205" s="130"/>
      <c r="AF205" s="106"/>
    </row>
    <row r="206">
      <c r="C206" s="79"/>
      <c r="D206" s="79"/>
      <c r="E206" s="79"/>
      <c r="O206" s="79"/>
      <c r="R206" s="79"/>
      <c r="S206" s="79"/>
      <c r="X206" s="79"/>
      <c r="AD206" s="130"/>
      <c r="AF206" s="106"/>
    </row>
    <row r="207">
      <c r="C207" s="79"/>
      <c r="D207" s="79"/>
      <c r="E207" s="79"/>
      <c r="O207" s="79"/>
      <c r="R207" s="79"/>
      <c r="S207" s="79"/>
      <c r="X207" s="79"/>
      <c r="AD207" s="130"/>
      <c r="AF207" s="106"/>
    </row>
    <row r="208">
      <c r="C208" s="79"/>
      <c r="D208" s="79"/>
      <c r="E208" s="79"/>
      <c r="O208" s="79"/>
      <c r="R208" s="79"/>
      <c r="S208" s="79"/>
      <c r="X208" s="79"/>
      <c r="AD208" s="130"/>
      <c r="AF208" s="106"/>
    </row>
    <row r="209">
      <c r="C209" s="79"/>
      <c r="D209" s="79"/>
      <c r="E209" s="79"/>
      <c r="O209" s="79"/>
      <c r="R209" s="79"/>
      <c r="S209" s="79"/>
      <c r="X209" s="79"/>
      <c r="AD209" s="130"/>
      <c r="AF209" s="106"/>
    </row>
    <row r="210">
      <c r="C210" s="79"/>
      <c r="D210" s="79"/>
      <c r="E210" s="79"/>
      <c r="O210" s="79"/>
      <c r="R210" s="79"/>
      <c r="S210" s="79"/>
      <c r="X210" s="79"/>
      <c r="AD210" s="130"/>
      <c r="AF210" s="106"/>
    </row>
    <row r="211">
      <c r="C211" s="79"/>
      <c r="D211" s="79"/>
      <c r="E211" s="79"/>
      <c r="O211" s="79"/>
      <c r="R211" s="79"/>
      <c r="S211" s="79"/>
      <c r="X211" s="79"/>
      <c r="AD211" s="130"/>
      <c r="AF211" s="106"/>
    </row>
    <row r="212">
      <c r="C212" s="79"/>
      <c r="D212" s="79"/>
      <c r="E212" s="79"/>
      <c r="O212" s="79"/>
      <c r="R212" s="79"/>
      <c r="S212" s="79"/>
      <c r="X212" s="79"/>
      <c r="AD212" s="130"/>
      <c r="AF212" s="106"/>
    </row>
    <row r="213">
      <c r="C213" s="79"/>
      <c r="D213" s="79"/>
      <c r="E213" s="79"/>
      <c r="O213" s="79"/>
      <c r="R213" s="79"/>
      <c r="S213" s="79"/>
      <c r="X213" s="79"/>
      <c r="AD213" s="130"/>
      <c r="AF213" s="106"/>
    </row>
    <row r="214">
      <c r="C214" s="79"/>
      <c r="D214" s="79"/>
      <c r="E214" s="79"/>
      <c r="O214" s="79"/>
      <c r="R214" s="79"/>
      <c r="S214" s="79"/>
      <c r="X214" s="79"/>
      <c r="AD214" s="130"/>
      <c r="AF214" s="106"/>
    </row>
    <row r="215">
      <c r="C215" s="79"/>
      <c r="D215" s="79"/>
      <c r="E215" s="79"/>
      <c r="O215" s="79"/>
      <c r="R215" s="79"/>
      <c r="S215" s="79"/>
      <c r="X215" s="79"/>
      <c r="AD215" s="130"/>
      <c r="AF215" s="106"/>
    </row>
    <row r="216">
      <c r="C216" s="79"/>
      <c r="D216" s="79"/>
      <c r="E216" s="79"/>
      <c r="O216" s="79"/>
      <c r="R216" s="79"/>
      <c r="S216" s="79"/>
      <c r="X216" s="79"/>
      <c r="AD216" s="130"/>
      <c r="AF216" s="106"/>
    </row>
    <row r="217">
      <c r="C217" s="79"/>
      <c r="D217" s="79"/>
      <c r="E217" s="79"/>
      <c r="O217" s="79"/>
      <c r="R217" s="79"/>
      <c r="S217" s="79"/>
      <c r="X217" s="79"/>
      <c r="AD217" s="130"/>
      <c r="AF217" s="106"/>
    </row>
    <row r="218">
      <c r="C218" s="79"/>
      <c r="D218" s="79"/>
      <c r="E218" s="79"/>
      <c r="O218" s="79"/>
      <c r="R218" s="79"/>
      <c r="S218" s="79"/>
      <c r="X218" s="79"/>
      <c r="AD218" s="130"/>
      <c r="AF218" s="106"/>
    </row>
    <row r="219">
      <c r="C219" s="79"/>
      <c r="D219" s="79"/>
      <c r="E219" s="79"/>
      <c r="O219" s="79"/>
      <c r="R219" s="79"/>
      <c r="S219" s="79"/>
      <c r="X219" s="79"/>
      <c r="AD219" s="130"/>
      <c r="AF219" s="106"/>
    </row>
    <row r="220">
      <c r="C220" s="79"/>
      <c r="D220" s="79"/>
      <c r="E220" s="79"/>
      <c r="O220" s="79"/>
      <c r="R220" s="79"/>
      <c r="S220" s="79"/>
      <c r="X220" s="79"/>
      <c r="AD220" s="130"/>
      <c r="AF220" s="106"/>
    </row>
    <row r="221">
      <c r="C221" s="79"/>
      <c r="D221" s="79"/>
      <c r="E221" s="79"/>
      <c r="O221" s="79"/>
      <c r="R221" s="79"/>
      <c r="S221" s="79"/>
      <c r="X221" s="79"/>
      <c r="AD221" s="130"/>
      <c r="AF221" s="106"/>
    </row>
    <row r="222">
      <c r="C222" s="79"/>
      <c r="D222" s="79"/>
      <c r="E222" s="79"/>
      <c r="O222" s="79"/>
      <c r="R222" s="79"/>
      <c r="S222" s="79"/>
      <c r="X222" s="79"/>
      <c r="AD222" s="130"/>
      <c r="AF222" s="106"/>
    </row>
    <row r="223">
      <c r="C223" s="79"/>
      <c r="D223" s="79"/>
      <c r="E223" s="79"/>
      <c r="O223" s="79"/>
      <c r="R223" s="79"/>
      <c r="S223" s="79"/>
      <c r="X223" s="79"/>
      <c r="AD223" s="130"/>
      <c r="AF223" s="106"/>
    </row>
    <row r="224">
      <c r="C224" s="79"/>
      <c r="D224" s="79"/>
      <c r="E224" s="79"/>
      <c r="O224" s="79"/>
      <c r="R224" s="79"/>
      <c r="S224" s="79"/>
      <c r="X224" s="79"/>
      <c r="AD224" s="130"/>
      <c r="AF224" s="106"/>
    </row>
    <row r="225">
      <c r="C225" s="79"/>
      <c r="D225" s="79"/>
      <c r="E225" s="79"/>
      <c r="O225" s="79"/>
      <c r="R225" s="79"/>
      <c r="S225" s="79"/>
      <c r="X225" s="79"/>
      <c r="AD225" s="130"/>
      <c r="AF225" s="106"/>
    </row>
    <row r="226">
      <c r="C226" s="79"/>
      <c r="D226" s="79"/>
      <c r="E226" s="79"/>
      <c r="O226" s="79"/>
      <c r="R226" s="79"/>
      <c r="S226" s="79"/>
      <c r="X226" s="79"/>
      <c r="AD226" s="130"/>
      <c r="AF226" s="106"/>
    </row>
    <row r="227">
      <c r="C227" s="79"/>
      <c r="D227" s="79"/>
      <c r="E227" s="79"/>
      <c r="O227" s="79"/>
      <c r="R227" s="79"/>
      <c r="S227" s="79"/>
      <c r="X227" s="79"/>
      <c r="AD227" s="130"/>
      <c r="AF227" s="106"/>
    </row>
    <row r="228">
      <c r="C228" s="79"/>
      <c r="D228" s="79"/>
      <c r="E228" s="79"/>
      <c r="O228" s="79"/>
      <c r="R228" s="79"/>
      <c r="S228" s="79"/>
      <c r="X228" s="79"/>
      <c r="AD228" s="130"/>
      <c r="AF228" s="106"/>
    </row>
    <row r="229">
      <c r="C229" s="79"/>
      <c r="D229" s="79"/>
      <c r="E229" s="79"/>
      <c r="O229" s="79"/>
      <c r="R229" s="79"/>
      <c r="S229" s="79"/>
      <c r="X229" s="79"/>
      <c r="AD229" s="130"/>
      <c r="AF229" s="106"/>
    </row>
    <row r="230">
      <c r="C230" s="79"/>
      <c r="D230" s="79"/>
      <c r="E230" s="79"/>
      <c r="O230" s="79"/>
      <c r="R230" s="79"/>
      <c r="S230" s="79"/>
      <c r="X230" s="79"/>
      <c r="AD230" s="130"/>
      <c r="AF230" s="106"/>
    </row>
    <row r="231">
      <c r="C231" s="79"/>
      <c r="D231" s="79"/>
      <c r="E231" s="79"/>
      <c r="O231" s="79"/>
      <c r="R231" s="79"/>
      <c r="S231" s="79"/>
      <c r="X231" s="79"/>
      <c r="AD231" s="130"/>
      <c r="AF231" s="106"/>
    </row>
    <row r="232">
      <c r="C232" s="79"/>
      <c r="D232" s="79"/>
      <c r="E232" s="79"/>
      <c r="O232" s="79"/>
      <c r="R232" s="79"/>
      <c r="S232" s="79"/>
      <c r="X232" s="79"/>
      <c r="AD232" s="130"/>
      <c r="AF232" s="106"/>
    </row>
    <row r="233">
      <c r="C233" s="79"/>
      <c r="D233" s="79"/>
      <c r="E233" s="79"/>
      <c r="O233" s="79"/>
      <c r="R233" s="79"/>
      <c r="S233" s="79"/>
      <c r="X233" s="79"/>
      <c r="AD233" s="130"/>
      <c r="AF233" s="106"/>
    </row>
    <row r="234">
      <c r="C234" s="79"/>
      <c r="D234" s="79"/>
      <c r="E234" s="79"/>
      <c r="O234" s="79"/>
      <c r="R234" s="79"/>
      <c r="S234" s="79"/>
      <c r="X234" s="79"/>
      <c r="AD234" s="130"/>
      <c r="AF234" s="106"/>
    </row>
    <row r="235">
      <c r="C235" s="79"/>
      <c r="D235" s="79"/>
      <c r="E235" s="79"/>
      <c r="O235" s="79"/>
      <c r="R235" s="79"/>
      <c r="S235" s="79"/>
      <c r="X235" s="79"/>
      <c r="AD235" s="130"/>
      <c r="AF235" s="106"/>
    </row>
    <row r="236">
      <c r="C236" s="79"/>
      <c r="D236" s="79"/>
      <c r="E236" s="79"/>
      <c r="O236" s="79"/>
      <c r="R236" s="79"/>
      <c r="S236" s="79"/>
      <c r="X236" s="79"/>
      <c r="AD236" s="130"/>
      <c r="AF236" s="106"/>
    </row>
    <row r="237">
      <c r="C237" s="79"/>
      <c r="D237" s="79"/>
      <c r="E237" s="79"/>
      <c r="O237" s="79"/>
      <c r="R237" s="79"/>
      <c r="S237" s="79"/>
      <c r="X237" s="79"/>
      <c r="AD237" s="130"/>
      <c r="AF237" s="106"/>
    </row>
    <row r="238">
      <c r="C238" s="79"/>
      <c r="D238" s="79"/>
      <c r="E238" s="79"/>
      <c r="O238" s="79"/>
      <c r="R238" s="79"/>
      <c r="S238" s="79"/>
      <c r="X238" s="79"/>
      <c r="AD238" s="130"/>
      <c r="AF238" s="106"/>
    </row>
    <row r="239">
      <c r="C239" s="79"/>
      <c r="D239" s="79"/>
      <c r="E239" s="79"/>
      <c r="O239" s="79"/>
      <c r="R239" s="79"/>
      <c r="S239" s="79"/>
      <c r="X239" s="79"/>
      <c r="AD239" s="130"/>
      <c r="AF239" s="106"/>
    </row>
    <row r="240">
      <c r="C240" s="79"/>
      <c r="D240" s="79"/>
      <c r="E240" s="79"/>
      <c r="O240" s="79"/>
      <c r="R240" s="79"/>
      <c r="S240" s="79"/>
      <c r="X240" s="79"/>
      <c r="AD240" s="130"/>
      <c r="AF240" s="106"/>
    </row>
    <row r="241">
      <c r="C241" s="79"/>
      <c r="D241" s="79"/>
      <c r="E241" s="79"/>
      <c r="O241" s="79"/>
      <c r="R241" s="79"/>
      <c r="S241" s="79"/>
      <c r="X241" s="79"/>
      <c r="AD241" s="130"/>
      <c r="AF241" s="106"/>
    </row>
    <row r="242">
      <c r="C242" s="79"/>
      <c r="D242" s="79"/>
      <c r="E242" s="79"/>
      <c r="O242" s="79"/>
      <c r="R242" s="79"/>
      <c r="S242" s="79"/>
      <c r="X242" s="79"/>
      <c r="AD242" s="130"/>
      <c r="AF242" s="106"/>
    </row>
    <row r="243">
      <c r="C243" s="79"/>
      <c r="D243" s="79"/>
      <c r="E243" s="79"/>
      <c r="O243" s="79"/>
      <c r="R243" s="79"/>
      <c r="S243" s="79"/>
      <c r="X243" s="79"/>
      <c r="AD243" s="130"/>
      <c r="AF243" s="106"/>
    </row>
    <row r="244">
      <c r="C244" s="79"/>
      <c r="D244" s="79"/>
      <c r="E244" s="79"/>
      <c r="O244" s="79"/>
      <c r="R244" s="79"/>
      <c r="S244" s="79"/>
      <c r="X244" s="79"/>
      <c r="AD244" s="130"/>
      <c r="AF244" s="106"/>
    </row>
    <row r="245">
      <c r="C245" s="79"/>
      <c r="D245" s="79"/>
      <c r="E245" s="79"/>
      <c r="O245" s="79"/>
      <c r="R245" s="79"/>
      <c r="S245" s="79"/>
      <c r="X245" s="79"/>
      <c r="AD245" s="130"/>
      <c r="AF245" s="106"/>
    </row>
    <row r="246">
      <c r="C246" s="79"/>
      <c r="D246" s="79"/>
      <c r="E246" s="79"/>
      <c r="O246" s="79"/>
      <c r="R246" s="79"/>
      <c r="S246" s="79"/>
      <c r="X246" s="79"/>
      <c r="AD246" s="130"/>
      <c r="AF246" s="106"/>
    </row>
    <row r="247">
      <c r="C247" s="79"/>
      <c r="D247" s="79"/>
      <c r="E247" s="79"/>
      <c r="O247" s="79"/>
      <c r="R247" s="79"/>
      <c r="S247" s="79"/>
      <c r="X247" s="79"/>
      <c r="AD247" s="130"/>
      <c r="AF247" s="106"/>
    </row>
    <row r="248">
      <c r="C248" s="79"/>
      <c r="D248" s="79"/>
      <c r="E248" s="79"/>
      <c r="O248" s="79"/>
      <c r="R248" s="79"/>
      <c r="S248" s="79"/>
      <c r="X248" s="79"/>
      <c r="AD248" s="130"/>
      <c r="AF248" s="106"/>
    </row>
    <row r="249">
      <c r="C249" s="79"/>
      <c r="D249" s="79"/>
      <c r="E249" s="79"/>
      <c r="O249" s="79"/>
      <c r="R249" s="79"/>
      <c r="S249" s="79"/>
      <c r="X249" s="79"/>
      <c r="AD249" s="130"/>
      <c r="AF249" s="106"/>
    </row>
    <row r="250">
      <c r="C250" s="79"/>
      <c r="D250" s="79"/>
      <c r="E250" s="79"/>
      <c r="O250" s="79"/>
      <c r="R250" s="79"/>
      <c r="S250" s="79"/>
      <c r="X250" s="79"/>
      <c r="AD250" s="130"/>
      <c r="AF250" s="106"/>
    </row>
    <row r="251">
      <c r="C251" s="79"/>
      <c r="D251" s="79"/>
      <c r="E251" s="79"/>
      <c r="O251" s="79"/>
      <c r="R251" s="79"/>
      <c r="S251" s="79"/>
      <c r="X251" s="79"/>
      <c r="AD251" s="130"/>
      <c r="AF251" s="106"/>
    </row>
    <row r="252">
      <c r="C252" s="79"/>
      <c r="D252" s="79"/>
      <c r="E252" s="79"/>
      <c r="O252" s="79"/>
      <c r="R252" s="79"/>
      <c r="S252" s="79"/>
      <c r="X252" s="79"/>
      <c r="AD252" s="130"/>
      <c r="AF252" s="106"/>
    </row>
    <row r="253">
      <c r="C253" s="79"/>
      <c r="D253" s="79"/>
      <c r="E253" s="79"/>
      <c r="O253" s="79"/>
      <c r="R253" s="79"/>
      <c r="S253" s="79"/>
      <c r="X253" s="79"/>
      <c r="AD253" s="130"/>
      <c r="AF253" s="106"/>
    </row>
    <row r="254">
      <c r="C254" s="79"/>
      <c r="D254" s="79"/>
      <c r="E254" s="79"/>
      <c r="O254" s="79"/>
      <c r="R254" s="79"/>
      <c r="S254" s="79"/>
      <c r="X254" s="79"/>
      <c r="AD254" s="130"/>
      <c r="AF254" s="106"/>
    </row>
    <row r="255">
      <c r="C255" s="79"/>
      <c r="D255" s="79"/>
      <c r="E255" s="79"/>
      <c r="O255" s="79"/>
      <c r="R255" s="79"/>
      <c r="S255" s="79"/>
      <c r="X255" s="79"/>
      <c r="AD255" s="130"/>
      <c r="AF255" s="106"/>
    </row>
    <row r="256">
      <c r="C256" s="79"/>
      <c r="D256" s="79"/>
      <c r="E256" s="79"/>
      <c r="O256" s="79"/>
      <c r="R256" s="79"/>
      <c r="S256" s="79"/>
      <c r="X256" s="79"/>
      <c r="AD256" s="130"/>
      <c r="AF256" s="106"/>
    </row>
    <row r="257">
      <c r="C257" s="79"/>
      <c r="D257" s="79"/>
      <c r="E257" s="79"/>
      <c r="O257" s="79"/>
      <c r="R257" s="79"/>
      <c r="S257" s="79"/>
      <c r="X257" s="79"/>
      <c r="AD257" s="130"/>
      <c r="AF257" s="106"/>
    </row>
    <row r="258">
      <c r="C258" s="79"/>
      <c r="D258" s="79"/>
      <c r="E258" s="79"/>
      <c r="O258" s="79"/>
      <c r="R258" s="79"/>
      <c r="S258" s="79"/>
      <c r="X258" s="79"/>
      <c r="AD258" s="130"/>
      <c r="AF258" s="106"/>
    </row>
    <row r="259">
      <c r="C259" s="79"/>
      <c r="D259" s="79"/>
      <c r="E259" s="79"/>
      <c r="O259" s="79"/>
      <c r="R259" s="79"/>
      <c r="S259" s="79"/>
      <c r="X259" s="79"/>
      <c r="AD259" s="130"/>
      <c r="AF259" s="106"/>
    </row>
    <row r="260">
      <c r="C260" s="79"/>
      <c r="D260" s="79"/>
      <c r="E260" s="79"/>
      <c r="O260" s="79"/>
      <c r="R260" s="79"/>
      <c r="S260" s="79"/>
      <c r="X260" s="79"/>
      <c r="AD260" s="130"/>
      <c r="AF260" s="106"/>
    </row>
    <row r="261">
      <c r="C261" s="79"/>
      <c r="D261" s="79"/>
      <c r="E261" s="79"/>
      <c r="O261" s="79"/>
      <c r="R261" s="79"/>
      <c r="S261" s="79"/>
      <c r="X261" s="79"/>
      <c r="AD261" s="130"/>
      <c r="AF261" s="106"/>
    </row>
    <row r="262">
      <c r="C262" s="79"/>
      <c r="D262" s="79"/>
      <c r="E262" s="79"/>
      <c r="O262" s="79"/>
      <c r="R262" s="79"/>
      <c r="S262" s="79"/>
      <c r="X262" s="79"/>
      <c r="AD262" s="130"/>
      <c r="AF262" s="106"/>
    </row>
    <row r="263">
      <c r="C263" s="79"/>
      <c r="D263" s="79"/>
      <c r="E263" s="79"/>
      <c r="O263" s="79"/>
      <c r="R263" s="79"/>
      <c r="S263" s="79"/>
      <c r="X263" s="79"/>
      <c r="AD263" s="130"/>
      <c r="AF263" s="106"/>
    </row>
    <row r="264">
      <c r="C264" s="79"/>
      <c r="D264" s="79"/>
      <c r="E264" s="79"/>
      <c r="O264" s="79"/>
      <c r="R264" s="79"/>
      <c r="S264" s="79"/>
      <c r="X264" s="79"/>
      <c r="AD264" s="130"/>
      <c r="AF264" s="106"/>
    </row>
    <row r="265">
      <c r="C265" s="79"/>
      <c r="D265" s="79"/>
      <c r="E265" s="79"/>
      <c r="O265" s="79"/>
      <c r="R265" s="79"/>
      <c r="S265" s="79"/>
      <c r="X265" s="79"/>
      <c r="AD265" s="130"/>
      <c r="AF265" s="106"/>
    </row>
    <row r="266">
      <c r="C266" s="79"/>
      <c r="D266" s="79"/>
      <c r="E266" s="79"/>
      <c r="O266" s="79"/>
      <c r="R266" s="79"/>
      <c r="S266" s="79"/>
      <c r="X266" s="79"/>
      <c r="AD266" s="130"/>
      <c r="AF266" s="106"/>
    </row>
    <row r="267">
      <c r="C267" s="79"/>
      <c r="D267" s="79"/>
      <c r="E267" s="79"/>
      <c r="O267" s="79"/>
      <c r="R267" s="79"/>
      <c r="S267" s="79"/>
      <c r="X267" s="79"/>
      <c r="AD267" s="130"/>
      <c r="AF267" s="106"/>
    </row>
    <row r="268">
      <c r="C268" s="79"/>
      <c r="D268" s="79"/>
      <c r="E268" s="79"/>
      <c r="O268" s="79"/>
      <c r="R268" s="79"/>
      <c r="S268" s="79"/>
      <c r="X268" s="79"/>
      <c r="AD268" s="130"/>
      <c r="AF268" s="106"/>
    </row>
    <row r="269">
      <c r="C269" s="79"/>
      <c r="D269" s="79"/>
      <c r="E269" s="79"/>
      <c r="O269" s="79"/>
      <c r="R269" s="79"/>
      <c r="S269" s="79"/>
      <c r="X269" s="79"/>
      <c r="AD269" s="130"/>
      <c r="AF269" s="106"/>
    </row>
    <row r="270">
      <c r="C270" s="79"/>
      <c r="D270" s="79"/>
      <c r="E270" s="79"/>
      <c r="O270" s="79"/>
      <c r="R270" s="79"/>
      <c r="S270" s="79"/>
      <c r="X270" s="79"/>
      <c r="AD270" s="130"/>
      <c r="AF270" s="106"/>
    </row>
    <row r="271">
      <c r="C271" s="79"/>
      <c r="D271" s="79"/>
      <c r="E271" s="79"/>
      <c r="O271" s="79"/>
      <c r="R271" s="79"/>
      <c r="S271" s="79"/>
      <c r="X271" s="79"/>
      <c r="AD271" s="130"/>
      <c r="AF271" s="106"/>
    </row>
    <row r="272">
      <c r="C272" s="79"/>
      <c r="D272" s="79"/>
      <c r="E272" s="79"/>
      <c r="O272" s="79"/>
      <c r="R272" s="79"/>
      <c r="S272" s="79"/>
      <c r="X272" s="79"/>
      <c r="AD272" s="130"/>
      <c r="AF272" s="106"/>
    </row>
    <row r="273">
      <c r="C273" s="79"/>
      <c r="D273" s="79"/>
      <c r="E273" s="79"/>
      <c r="O273" s="79"/>
      <c r="R273" s="79"/>
      <c r="S273" s="79"/>
      <c r="X273" s="79"/>
      <c r="AD273" s="130"/>
      <c r="AF273" s="106"/>
    </row>
    <row r="274">
      <c r="C274" s="79"/>
      <c r="D274" s="79"/>
      <c r="E274" s="79"/>
      <c r="O274" s="79"/>
      <c r="R274" s="79"/>
      <c r="S274" s="79"/>
      <c r="X274" s="79"/>
      <c r="AD274" s="130"/>
      <c r="AF274" s="106"/>
    </row>
    <row r="275">
      <c r="C275" s="79"/>
      <c r="D275" s="79"/>
      <c r="E275" s="79"/>
      <c r="O275" s="79"/>
      <c r="R275" s="79"/>
      <c r="S275" s="79"/>
      <c r="X275" s="79"/>
      <c r="AD275" s="130"/>
      <c r="AF275" s="106"/>
    </row>
    <row r="276">
      <c r="C276" s="79"/>
      <c r="D276" s="79"/>
      <c r="E276" s="79"/>
      <c r="O276" s="79"/>
      <c r="R276" s="79"/>
      <c r="S276" s="79"/>
      <c r="X276" s="79"/>
      <c r="AD276" s="130"/>
      <c r="AF276" s="106"/>
    </row>
    <row r="277">
      <c r="C277" s="79"/>
      <c r="D277" s="79"/>
      <c r="E277" s="79"/>
      <c r="O277" s="79"/>
      <c r="R277" s="79"/>
      <c r="S277" s="79"/>
      <c r="X277" s="79"/>
      <c r="AD277" s="130"/>
      <c r="AF277" s="106"/>
    </row>
    <row r="278">
      <c r="C278" s="79"/>
      <c r="D278" s="79"/>
      <c r="E278" s="79"/>
      <c r="O278" s="79"/>
      <c r="R278" s="79"/>
      <c r="S278" s="79"/>
      <c r="X278" s="79"/>
      <c r="AD278" s="130"/>
      <c r="AF278" s="106"/>
    </row>
    <row r="279">
      <c r="C279" s="79"/>
      <c r="D279" s="79"/>
      <c r="E279" s="79"/>
      <c r="O279" s="79"/>
      <c r="R279" s="79"/>
      <c r="S279" s="79"/>
      <c r="X279" s="79"/>
      <c r="AD279" s="130"/>
      <c r="AF279" s="106"/>
    </row>
    <row r="280">
      <c r="C280" s="79"/>
      <c r="D280" s="79"/>
      <c r="E280" s="79"/>
      <c r="O280" s="79"/>
      <c r="R280" s="79"/>
      <c r="S280" s="79"/>
      <c r="X280" s="79"/>
      <c r="AD280" s="130"/>
      <c r="AF280" s="106"/>
    </row>
    <row r="281">
      <c r="C281" s="79"/>
      <c r="D281" s="79"/>
      <c r="E281" s="79"/>
      <c r="O281" s="79"/>
      <c r="R281" s="79"/>
      <c r="S281" s="79"/>
      <c r="X281" s="79"/>
      <c r="AD281" s="130"/>
      <c r="AF281" s="106"/>
    </row>
    <row r="282">
      <c r="C282" s="79"/>
      <c r="D282" s="79"/>
      <c r="E282" s="79"/>
      <c r="O282" s="79"/>
      <c r="R282" s="79"/>
      <c r="S282" s="79"/>
      <c r="X282" s="79"/>
      <c r="AD282" s="130"/>
      <c r="AF282" s="106"/>
    </row>
    <row r="283">
      <c r="C283" s="79"/>
      <c r="D283" s="79"/>
      <c r="E283" s="79"/>
      <c r="O283" s="79"/>
      <c r="R283" s="79"/>
      <c r="S283" s="79"/>
      <c r="X283" s="79"/>
      <c r="AD283" s="130"/>
      <c r="AF283" s="106"/>
    </row>
    <row r="284">
      <c r="C284" s="79"/>
      <c r="D284" s="79"/>
      <c r="E284" s="79"/>
      <c r="O284" s="79"/>
      <c r="R284" s="79"/>
      <c r="S284" s="79"/>
      <c r="X284" s="79"/>
      <c r="AD284" s="130"/>
      <c r="AF284" s="106"/>
    </row>
    <row r="285">
      <c r="C285" s="79"/>
      <c r="D285" s="79"/>
      <c r="E285" s="79"/>
      <c r="O285" s="79"/>
      <c r="R285" s="79"/>
      <c r="S285" s="79"/>
      <c r="X285" s="79"/>
      <c r="AD285" s="130"/>
      <c r="AF285" s="106"/>
    </row>
    <row r="286">
      <c r="C286" s="79"/>
      <c r="D286" s="79"/>
      <c r="E286" s="79"/>
      <c r="O286" s="79"/>
      <c r="R286" s="79"/>
      <c r="S286" s="79"/>
      <c r="X286" s="79"/>
      <c r="AD286" s="130"/>
      <c r="AF286" s="106"/>
    </row>
    <row r="287">
      <c r="C287" s="79"/>
      <c r="D287" s="79"/>
      <c r="E287" s="79"/>
      <c r="O287" s="79"/>
      <c r="R287" s="79"/>
      <c r="S287" s="79"/>
      <c r="X287" s="79"/>
      <c r="AD287" s="130"/>
      <c r="AF287" s="106"/>
    </row>
    <row r="288">
      <c r="C288" s="79"/>
      <c r="D288" s="79"/>
      <c r="E288" s="79"/>
      <c r="O288" s="79"/>
      <c r="R288" s="79"/>
      <c r="S288" s="79"/>
      <c r="X288" s="79"/>
      <c r="AD288" s="130"/>
      <c r="AF288" s="106"/>
    </row>
    <row r="289">
      <c r="C289" s="79"/>
      <c r="D289" s="79"/>
      <c r="E289" s="79"/>
      <c r="O289" s="79"/>
      <c r="R289" s="79"/>
      <c r="S289" s="79"/>
      <c r="X289" s="79"/>
      <c r="AD289" s="130"/>
      <c r="AF289" s="106"/>
    </row>
    <row r="290">
      <c r="C290" s="79"/>
      <c r="D290" s="79"/>
      <c r="E290" s="79"/>
      <c r="O290" s="79"/>
      <c r="R290" s="79"/>
      <c r="S290" s="79"/>
      <c r="X290" s="79"/>
      <c r="AD290" s="130"/>
      <c r="AF290" s="106"/>
    </row>
    <row r="291">
      <c r="C291" s="79"/>
      <c r="D291" s="79"/>
      <c r="E291" s="79"/>
      <c r="O291" s="79"/>
      <c r="R291" s="79"/>
      <c r="S291" s="79"/>
      <c r="X291" s="79"/>
      <c r="AD291" s="130"/>
      <c r="AF291" s="106"/>
    </row>
    <row r="292">
      <c r="C292" s="79"/>
      <c r="D292" s="79"/>
      <c r="E292" s="79"/>
      <c r="O292" s="79"/>
      <c r="R292" s="79"/>
      <c r="S292" s="79"/>
      <c r="X292" s="79"/>
      <c r="AD292" s="130"/>
      <c r="AF292" s="106"/>
    </row>
    <row r="293">
      <c r="C293" s="79"/>
      <c r="D293" s="79"/>
      <c r="E293" s="79"/>
      <c r="O293" s="79"/>
      <c r="R293" s="79"/>
      <c r="S293" s="79"/>
      <c r="X293" s="79"/>
      <c r="AD293" s="130"/>
      <c r="AF293" s="106"/>
    </row>
    <row r="294">
      <c r="C294" s="79"/>
      <c r="D294" s="79"/>
      <c r="E294" s="79"/>
      <c r="O294" s="79"/>
      <c r="R294" s="79"/>
      <c r="S294" s="79"/>
      <c r="X294" s="79"/>
      <c r="AD294" s="130"/>
      <c r="AF294" s="106"/>
    </row>
    <row r="295">
      <c r="C295" s="79"/>
      <c r="D295" s="79"/>
      <c r="E295" s="79"/>
      <c r="O295" s="79"/>
      <c r="R295" s="79"/>
      <c r="S295" s="79"/>
      <c r="X295" s="79"/>
      <c r="AD295" s="130"/>
      <c r="AF295" s="106"/>
    </row>
    <row r="296">
      <c r="C296" s="79"/>
      <c r="D296" s="79"/>
      <c r="E296" s="79"/>
      <c r="O296" s="79"/>
      <c r="R296" s="79"/>
      <c r="S296" s="79"/>
      <c r="X296" s="79"/>
      <c r="AD296" s="130"/>
      <c r="AF296" s="106"/>
    </row>
    <row r="297">
      <c r="C297" s="79"/>
      <c r="D297" s="79"/>
      <c r="E297" s="79"/>
      <c r="O297" s="79"/>
      <c r="R297" s="79"/>
      <c r="S297" s="79"/>
      <c r="X297" s="79"/>
      <c r="AD297" s="130"/>
      <c r="AF297" s="106"/>
    </row>
    <row r="298">
      <c r="C298" s="79"/>
      <c r="D298" s="79"/>
      <c r="E298" s="79"/>
      <c r="O298" s="79"/>
      <c r="R298" s="79"/>
      <c r="S298" s="79"/>
      <c r="X298" s="79"/>
      <c r="AD298" s="130"/>
      <c r="AF298" s="106"/>
    </row>
    <row r="299">
      <c r="C299" s="79"/>
      <c r="D299" s="79"/>
      <c r="E299" s="79"/>
      <c r="O299" s="79"/>
      <c r="R299" s="79"/>
      <c r="S299" s="79"/>
      <c r="X299" s="79"/>
      <c r="AD299" s="130"/>
      <c r="AF299" s="106"/>
    </row>
    <row r="300">
      <c r="C300" s="79"/>
      <c r="D300" s="79"/>
      <c r="E300" s="79"/>
      <c r="O300" s="79"/>
      <c r="R300" s="79"/>
      <c r="S300" s="79"/>
      <c r="X300" s="79"/>
      <c r="AD300" s="130"/>
      <c r="AF300" s="106"/>
    </row>
    <row r="301">
      <c r="C301" s="79"/>
      <c r="D301" s="79"/>
      <c r="E301" s="79"/>
      <c r="O301" s="79"/>
      <c r="R301" s="79"/>
      <c r="S301" s="79"/>
      <c r="X301" s="79"/>
      <c r="AD301" s="130"/>
      <c r="AF301" s="106"/>
    </row>
    <row r="302">
      <c r="C302" s="79"/>
      <c r="D302" s="79"/>
      <c r="E302" s="79"/>
      <c r="O302" s="79"/>
      <c r="R302" s="79"/>
      <c r="S302" s="79"/>
      <c r="X302" s="79"/>
      <c r="AD302" s="130"/>
      <c r="AF302" s="106"/>
    </row>
    <row r="303">
      <c r="C303" s="79"/>
      <c r="D303" s="79"/>
      <c r="E303" s="79"/>
      <c r="O303" s="79"/>
      <c r="R303" s="79"/>
      <c r="S303" s="79"/>
      <c r="X303" s="79"/>
      <c r="AD303" s="130"/>
      <c r="AF303" s="106"/>
    </row>
    <row r="304">
      <c r="C304" s="79"/>
      <c r="D304" s="79"/>
      <c r="E304" s="79"/>
      <c r="O304" s="79"/>
      <c r="R304" s="79"/>
      <c r="S304" s="79"/>
      <c r="X304" s="79"/>
      <c r="AD304" s="130"/>
      <c r="AF304" s="106"/>
    </row>
    <row r="305">
      <c r="C305" s="79"/>
      <c r="D305" s="79"/>
      <c r="E305" s="79"/>
      <c r="O305" s="79"/>
      <c r="R305" s="79"/>
      <c r="S305" s="79"/>
      <c r="X305" s="79"/>
      <c r="AD305" s="130"/>
      <c r="AF305" s="106"/>
    </row>
    <row r="306">
      <c r="C306" s="79"/>
      <c r="D306" s="79"/>
      <c r="E306" s="79"/>
      <c r="O306" s="79"/>
      <c r="R306" s="79"/>
      <c r="S306" s="79"/>
      <c r="X306" s="79"/>
      <c r="AD306" s="130"/>
      <c r="AF306" s="106"/>
    </row>
    <row r="307">
      <c r="C307" s="79"/>
      <c r="D307" s="79"/>
      <c r="E307" s="79"/>
      <c r="O307" s="79"/>
      <c r="R307" s="79"/>
      <c r="S307" s="79"/>
      <c r="X307" s="79"/>
      <c r="AD307" s="130"/>
      <c r="AF307" s="106"/>
    </row>
    <row r="308">
      <c r="C308" s="79"/>
      <c r="D308" s="79"/>
      <c r="E308" s="79"/>
      <c r="O308" s="79"/>
      <c r="R308" s="79"/>
      <c r="S308" s="79"/>
      <c r="X308" s="79"/>
      <c r="AD308" s="130"/>
      <c r="AF308" s="106"/>
    </row>
    <row r="309">
      <c r="C309" s="79"/>
      <c r="D309" s="79"/>
      <c r="E309" s="79"/>
      <c r="O309" s="79"/>
      <c r="R309" s="79"/>
      <c r="S309" s="79"/>
      <c r="X309" s="79"/>
      <c r="AD309" s="130"/>
      <c r="AF309" s="106"/>
    </row>
    <row r="310">
      <c r="C310" s="79"/>
      <c r="D310" s="79"/>
      <c r="E310" s="79"/>
      <c r="O310" s="79"/>
      <c r="R310" s="79"/>
      <c r="S310" s="79"/>
      <c r="X310" s="79"/>
      <c r="AD310" s="130"/>
      <c r="AF310" s="106"/>
    </row>
    <row r="311">
      <c r="C311" s="79"/>
      <c r="D311" s="79"/>
      <c r="E311" s="79"/>
      <c r="O311" s="79"/>
      <c r="R311" s="79"/>
      <c r="S311" s="79"/>
      <c r="X311" s="79"/>
      <c r="AD311" s="130"/>
      <c r="AF311" s="106"/>
    </row>
    <row r="312">
      <c r="C312" s="79"/>
      <c r="D312" s="79"/>
      <c r="E312" s="79"/>
      <c r="O312" s="79"/>
      <c r="R312" s="79"/>
      <c r="S312" s="79"/>
      <c r="X312" s="79"/>
      <c r="AD312" s="130"/>
      <c r="AF312" s="106"/>
    </row>
    <row r="313">
      <c r="C313" s="79"/>
      <c r="D313" s="79"/>
      <c r="E313" s="79"/>
      <c r="O313" s="79"/>
      <c r="R313" s="79"/>
      <c r="S313" s="79"/>
      <c r="X313" s="79"/>
      <c r="AD313" s="130"/>
      <c r="AF313" s="106"/>
    </row>
    <row r="314">
      <c r="C314" s="79"/>
      <c r="D314" s="79"/>
      <c r="E314" s="79"/>
      <c r="O314" s="79"/>
      <c r="R314" s="79"/>
      <c r="S314" s="79"/>
      <c r="X314" s="79"/>
      <c r="AD314" s="130"/>
      <c r="AF314" s="106"/>
    </row>
    <row r="315">
      <c r="C315" s="79"/>
      <c r="D315" s="79"/>
      <c r="E315" s="79"/>
      <c r="O315" s="79"/>
      <c r="R315" s="79"/>
      <c r="S315" s="79"/>
      <c r="X315" s="79"/>
      <c r="AD315" s="130"/>
      <c r="AF315" s="106"/>
    </row>
    <row r="316">
      <c r="C316" s="79"/>
      <c r="D316" s="79"/>
      <c r="E316" s="79"/>
      <c r="O316" s="79"/>
      <c r="R316" s="79"/>
      <c r="S316" s="79"/>
      <c r="X316" s="79"/>
      <c r="AD316" s="130"/>
      <c r="AF316" s="106"/>
    </row>
    <row r="317">
      <c r="C317" s="79"/>
      <c r="D317" s="79"/>
      <c r="E317" s="79"/>
      <c r="O317" s="79"/>
      <c r="R317" s="79"/>
      <c r="S317" s="79"/>
      <c r="X317" s="79"/>
      <c r="AD317" s="130"/>
      <c r="AF317" s="106"/>
    </row>
    <row r="318">
      <c r="C318" s="79"/>
      <c r="D318" s="79"/>
      <c r="E318" s="79"/>
      <c r="O318" s="79"/>
      <c r="R318" s="79"/>
      <c r="S318" s="79"/>
      <c r="X318" s="79"/>
      <c r="AD318" s="130"/>
      <c r="AF318" s="106"/>
    </row>
    <row r="319">
      <c r="C319" s="79"/>
      <c r="D319" s="79"/>
      <c r="E319" s="79"/>
      <c r="O319" s="79"/>
      <c r="R319" s="79"/>
      <c r="S319" s="79"/>
      <c r="X319" s="79"/>
      <c r="AD319" s="130"/>
      <c r="AF319" s="106"/>
    </row>
    <row r="320">
      <c r="C320" s="79"/>
      <c r="D320" s="79"/>
      <c r="E320" s="79"/>
      <c r="O320" s="79"/>
      <c r="R320" s="79"/>
      <c r="S320" s="79"/>
      <c r="X320" s="79"/>
      <c r="AD320" s="130"/>
      <c r="AF320" s="106"/>
    </row>
    <row r="321">
      <c r="C321" s="79"/>
      <c r="D321" s="79"/>
      <c r="E321" s="79"/>
      <c r="O321" s="79"/>
      <c r="R321" s="79"/>
      <c r="S321" s="79"/>
      <c r="X321" s="79"/>
      <c r="AD321" s="130"/>
      <c r="AF321" s="106"/>
    </row>
    <row r="322">
      <c r="C322" s="79"/>
      <c r="D322" s="79"/>
      <c r="E322" s="79"/>
      <c r="O322" s="79"/>
      <c r="R322" s="79"/>
      <c r="S322" s="79"/>
      <c r="X322" s="79"/>
      <c r="AD322" s="130"/>
      <c r="AF322" s="106"/>
    </row>
    <row r="323">
      <c r="C323" s="79"/>
      <c r="D323" s="79"/>
      <c r="E323" s="79"/>
      <c r="O323" s="79"/>
      <c r="R323" s="79"/>
      <c r="S323" s="79"/>
      <c r="X323" s="79"/>
      <c r="AD323" s="130"/>
      <c r="AF323" s="106"/>
    </row>
    <row r="324">
      <c r="C324" s="79"/>
      <c r="D324" s="79"/>
      <c r="E324" s="79"/>
      <c r="O324" s="79"/>
      <c r="R324" s="79"/>
      <c r="S324" s="79"/>
      <c r="X324" s="79"/>
      <c r="AD324" s="130"/>
      <c r="AF324" s="106"/>
    </row>
    <row r="325">
      <c r="C325" s="79"/>
      <c r="D325" s="79"/>
      <c r="E325" s="79"/>
      <c r="O325" s="79"/>
      <c r="R325" s="79"/>
      <c r="S325" s="79"/>
      <c r="X325" s="79"/>
      <c r="AD325" s="130"/>
      <c r="AF325" s="106"/>
    </row>
    <row r="326">
      <c r="C326" s="79"/>
      <c r="D326" s="79"/>
      <c r="E326" s="79"/>
      <c r="O326" s="79"/>
      <c r="R326" s="79"/>
      <c r="S326" s="79"/>
      <c r="X326" s="79"/>
      <c r="AD326" s="130"/>
      <c r="AF326" s="106"/>
    </row>
    <row r="327">
      <c r="C327" s="79"/>
      <c r="D327" s="79"/>
      <c r="E327" s="79"/>
      <c r="O327" s="79"/>
      <c r="R327" s="79"/>
      <c r="S327" s="79"/>
      <c r="X327" s="79"/>
      <c r="AD327" s="130"/>
      <c r="AF327" s="106"/>
    </row>
    <row r="328">
      <c r="C328" s="79"/>
      <c r="D328" s="79"/>
      <c r="E328" s="79"/>
      <c r="O328" s="79"/>
      <c r="R328" s="79"/>
      <c r="S328" s="79"/>
      <c r="X328" s="79"/>
      <c r="AD328" s="130"/>
      <c r="AF328" s="106"/>
    </row>
    <row r="329">
      <c r="C329" s="79"/>
      <c r="D329" s="79"/>
      <c r="E329" s="79"/>
      <c r="O329" s="79"/>
      <c r="R329" s="79"/>
      <c r="S329" s="79"/>
      <c r="X329" s="79"/>
      <c r="AD329" s="130"/>
      <c r="AF329" s="106"/>
    </row>
    <row r="330">
      <c r="C330" s="79"/>
      <c r="D330" s="79"/>
      <c r="E330" s="79"/>
      <c r="O330" s="79"/>
      <c r="R330" s="79"/>
      <c r="S330" s="79"/>
      <c r="X330" s="79"/>
      <c r="AD330" s="130"/>
      <c r="AF330" s="106"/>
    </row>
    <row r="331">
      <c r="C331" s="79"/>
      <c r="D331" s="79"/>
      <c r="E331" s="79"/>
      <c r="O331" s="79"/>
      <c r="R331" s="79"/>
      <c r="S331" s="79"/>
      <c r="X331" s="79"/>
      <c r="AD331" s="130"/>
      <c r="AF331" s="106"/>
    </row>
    <row r="332">
      <c r="C332" s="79"/>
      <c r="D332" s="79"/>
      <c r="E332" s="79"/>
      <c r="O332" s="79"/>
      <c r="R332" s="79"/>
      <c r="S332" s="79"/>
      <c r="X332" s="79"/>
      <c r="AD332" s="130"/>
      <c r="AF332" s="106"/>
    </row>
    <row r="333">
      <c r="C333" s="79"/>
      <c r="D333" s="79"/>
      <c r="E333" s="79"/>
      <c r="O333" s="79"/>
      <c r="R333" s="79"/>
      <c r="S333" s="79"/>
      <c r="X333" s="79"/>
      <c r="AD333" s="130"/>
      <c r="AF333" s="106"/>
    </row>
    <row r="334">
      <c r="C334" s="79"/>
      <c r="D334" s="79"/>
      <c r="E334" s="79"/>
      <c r="O334" s="79"/>
      <c r="R334" s="79"/>
      <c r="S334" s="79"/>
      <c r="X334" s="79"/>
      <c r="AD334" s="130"/>
      <c r="AF334" s="106"/>
    </row>
    <row r="335">
      <c r="C335" s="79"/>
      <c r="D335" s="79"/>
      <c r="E335" s="79"/>
      <c r="O335" s="79"/>
      <c r="R335" s="79"/>
      <c r="S335" s="79"/>
      <c r="X335" s="79"/>
      <c r="AD335" s="130"/>
      <c r="AF335" s="106"/>
    </row>
    <row r="336">
      <c r="C336" s="79"/>
      <c r="D336" s="79"/>
      <c r="E336" s="79"/>
      <c r="O336" s="79"/>
      <c r="R336" s="79"/>
      <c r="S336" s="79"/>
      <c r="X336" s="79"/>
      <c r="AD336" s="130"/>
      <c r="AF336" s="106"/>
    </row>
    <row r="337">
      <c r="C337" s="79"/>
      <c r="D337" s="79"/>
      <c r="E337" s="79"/>
      <c r="O337" s="79"/>
      <c r="R337" s="79"/>
      <c r="S337" s="79"/>
      <c r="X337" s="79"/>
      <c r="AD337" s="130"/>
      <c r="AF337" s="106"/>
    </row>
    <row r="338">
      <c r="C338" s="79"/>
      <c r="D338" s="79"/>
      <c r="E338" s="79"/>
      <c r="O338" s="79"/>
      <c r="R338" s="79"/>
      <c r="S338" s="79"/>
      <c r="X338" s="79"/>
      <c r="AD338" s="130"/>
      <c r="AF338" s="106"/>
    </row>
    <row r="339">
      <c r="C339" s="79"/>
      <c r="D339" s="79"/>
      <c r="E339" s="79"/>
      <c r="O339" s="79"/>
      <c r="R339" s="79"/>
      <c r="S339" s="79"/>
      <c r="X339" s="79"/>
      <c r="AD339" s="130"/>
      <c r="AF339" s="106"/>
    </row>
    <row r="340">
      <c r="C340" s="79"/>
      <c r="D340" s="79"/>
      <c r="E340" s="79"/>
      <c r="O340" s="79"/>
      <c r="R340" s="79"/>
      <c r="S340" s="79"/>
      <c r="X340" s="79"/>
      <c r="AD340" s="130"/>
      <c r="AF340" s="106"/>
    </row>
    <row r="341">
      <c r="C341" s="79"/>
      <c r="D341" s="79"/>
      <c r="E341" s="79"/>
      <c r="O341" s="79"/>
      <c r="R341" s="79"/>
      <c r="S341" s="79"/>
      <c r="X341" s="79"/>
      <c r="AD341" s="130"/>
      <c r="AF341" s="106"/>
    </row>
    <row r="342">
      <c r="C342" s="79"/>
      <c r="D342" s="79"/>
      <c r="E342" s="79"/>
      <c r="O342" s="79"/>
      <c r="R342" s="79"/>
      <c r="S342" s="79"/>
      <c r="X342" s="79"/>
      <c r="AD342" s="130"/>
      <c r="AF342" s="106"/>
    </row>
    <row r="343">
      <c r="C343" s="79"/>
      <c r="D343" s="79"/>
      <c r="E343" s="79"/>
      <c r="O343" s="79"/>
      <c r="R343" s="79"/>
      <c r="S343" s="79"/>
      <c r="X343" s="79"/>
      <c r="AD343" s="130"/>
      <c r="AF343" s="106"/>
    </row>
    <row r="344">
      <c r="C344" s="79"/>
      <c r="D344" s="79"/>
      <c r="E344" s="79"/>
      <c r="O344" s="79"/>
      <c r="R344" s="79"/>
      <c r="S344" s="79"/>
      <c r="X344" s="79"/>
      <c r="AD344" s="130"/>
      <c r="AF344" s="106"/>
    </row>
    <row r="345">
      <c r="C345" s="79"/>
      <c r="D345" s="79"/>
      <c r="E345" s="79"/>
      <c r="O345" s="79"/>
      <c r="R345" s="79"/>
      <c r="S345" s="79"/>
      <c r="X345" s="79"/>
      <c r="AD345" s="130"/>
      <c r="AF345" s="106"/>
    </row>
    <row r="346">
      <c r="C346" s="79"/>
      <c r="D346" s="79"/>
      <c r="E346" s="79"/>
      <c r="O346" s="79"/>
      <c r="R346" s="79"/>
      <c r="S346" s="79"/>
      <c r="X346" s="79"/>
      <c r="AD346" s="130"/>
      <c r="AF346" s="106"/>
    </row>
    <row r="347">
      <c r="C347" s="79"/>
      <c r="D347" s="79"/>
      <c r="E347" s="79"/>
      <c r="O347" s="79"/>
      <c r="R347" s="79"/>
      <c r="S347" s="79"/>
      <c r="X347" s="79"/>
      <c r="AD347" s="130"/>
      <c r="AF347" s="106"/>
    </row>
    <row r="348">
      <c r="C348" s="79"/>
      <c r="D348" s="79"/>
      <c r="E348" s="79"/>
      <c r="O348" s="79"/>
      <c r="R348" s="79"/>
      <c r="S348" s="79"/>
      <c r="X348" s="79"/>
      <c r="AD348" s="130"/>
      <c r="AF348" s="106"/>
    </row>
    <row r="349">
      <c r="C349" s="79"/>
      <c r="D349" s="79"/>
      <c r="E349" s="79"/>
      <c r="O349" s="79"/>
      <c r="R349" s="79"/>
      <c r="S349" s="79"/>
      <c r="X349" s="79"/>
      <c r="AD349" s="130"/>
      <c r="AF349" s="106"/>
    </row>
    <row r="350">
      <c r="C350" s="79"/>
      <c r="D350" s="79"/>
      <c r="E350" s="79"/>
      <c r="O350" s="79"/>
      <c r="R350" s="79"/>
      <c r="S350" s="79"/>
      <c r="X350" s="79"/>
      <c r="AD350" s="130"/>
      <c r="AF350" s="106"/>
    </row>
    <row r="351">
      <c r="C351" s="79"/>
      <c r="D351" s="79"/>
      <c r="E351" s="79"/>
      <c r="O351" s="79"/>
      <c r="R351" s="79"/>
      <c r="S351" s="79"/>
      <c r="X351" s="79"/>
      <c r="AD351" s="130"/>
      <c r="AF351" s="106"/>
    </row>
    <row r="352">
      <c r="C352" s="79"/>
      <c r="D352" s="79"/>
      <c r="E352" s="79"/>
      <c r="O352" s="79"/>
      <c r="R352" s="79"/>
      <c r="S352" s="79"/>
      <c r="X352" s="79"/>
      <c r="AD352" s="130"/>
      <c r="AF352" s="106"/>
    </row>
    <row r="353">
      <c r="C353" s="79"/>
      <c r="D353" s="79"/>
      <c r="E353" s="79"/>
      <c r="O353" s="79"/>
      <c r="R353" s="79"/>
      <c r="S353" s="79"/>
      <c r="X353" s="79"/>
      <c r="AD353" s="130"/>
      <c r="AF353" s="106"/>
    </row>
    <row r="354">
      <c r="C354" s="79"/>
      <c r="D354" s="79"/>
      <c r="E354" s="79"/>
      <c r="O354" s="79"/>
      <c r="R354" s="79"/>
      <c r="S354" s="79"/>
      <c r="X354" s="79"/>
      <c r="AD354" s="130"/>
      <c r="AF354" s="106"/>
    </row>
    <row r="355">
      <c r="C355" s="79"/>
      <c r="D355" s="79"/>
      <c r="E355" s="79"/>
      <c r="O355" s="79"/>
      <c r="R355" s="79"/>
      <c r="S355" s="79"/>
      <c r="X355" s="79"/>
      <c r="AD355" s="130"/>
      <c r="AF355" s="106"/>
    </row>
    <row r="356">
      <c r="C356" s="79"/>
      <c r="D356" s="79"/>
      <c r="E356" s="79"/>
      <c r="O356" s="79"/>
      <c r="R356" s="79"/>
      <c r="S356" s="79"/>
      <c r="X356" s="79"/>
      <c r="AD356" s="130"/>
      <c r="AF356" s="106"/>
    </row>
    <row r="357">
      <c r="C357" s="79"/>
      <c r="D357" s="79"/>
      <c r="E357" s="79"/>
      <c r="O357" s="79"/>
      <c r="R357" s="79"/>
      <c r="S357" s="79"/>
      <c r="X357" s="79"/>
      <c r="AD357" s="130"/>
      <c r="AF357" s="106"/>
    </row>
    <row r="358">
      <c r="C358" s="79"/>
      <c r="D358" s="79"/>
      <c r="E358" s="79"/>
      <c r="O358" s="79"/>
      <c r="R358" s="79"/>
      <c r="S358" s="79"/>
      <c r="X358" s="79"/>
      <c r="AD358" s="130"/>
      <c r="AF358" s="106"/>
    </row>
    <row r="359">
      <c r="C359" s="79"/>
      <c r="D359" s="79"/>
      <c r="E359" s="79"/>
      <c r="O359" s="79"/>
      <c r="R359" s="79"/>
      <c r="S359" s="79"/>
      <c r="X359" s="79"/>
      <c r="AD359" s="130"/>
      <c r="AF359" s="106"/>
    </row>
    <row r="360">
      <c r="C360" s="79"/>
      <c r="D360" s="79"/>
      <c r="E360" s="79"/>
      <c r="O360" s="79"/>
      <c r="R360" s="79"/>
      <c r="S360" s="79"/>
      <c r="X360" s="79"/>
      <c r="AD360" s="130"/>
      <c r="AF360" s="106"/>
    </row>
    <row r="361">
      <c r="C361" s="79"/>
      <c r="D361" s="79"/>
      <c r="E361" s="79"/>
      <c r="O361" s="79"/>
      <c r="R361" s="79"/>
      <c r="S361" s="79"/>
      <c r="X361" s="79"/>
      <c r="AD361" s="130"/>
      <c r="AF361" s="106"/>
    </row>
    <row r="362">
      <c r="C362" s="79"/>
      <c r="D362" s="79"/>
      <c r="E362" s="79"/>
      <c r="O362" s="79"/>
      <c r="R362" s="79"/>
      <c r="S362" s="79"/>
      <c r="X362" s="79"/>
      <c r="AD362" s="130"/>
      <c r="AF362" s="106"/>
    </row>
    <row r="363">
      <c r="C363" s="79"/>
      <c r="D363" s="79"/>
      <c r="E363" s="79"/>
      <c r="O363" s="79"/>
      <c r="R363" s="79"/>
      <c r="S363" s="79"/>
      <c r="X363" s="79"/>
      <c r="AD363" s="130"/>
      <c r="AF363" s="106"/>
    </row>
    <row r="364">
      <c r="C364" s="79"/>
      <c r="D364" s="79"/>
      <c r="E364" s="79"/>
      <c r="O364" s="79"/>
      <c r="R364" s="79"/>
      <c r="S364" s="79"/>
      <c r="X364" s="79"/>
      <c r="AD364" s="130"/>
      <c r="AF364" s="106"/>
    </row>
    <row r="365">
      <c r="C365" s="79"/>
      <c r="D365" s="79"/>
      <c r="E365" s="79"/>
      <c r="O365" s="79"/>
      <c r="R365" s="79"/>
      <c r="S365" s="79"/>
      <c r="X365" s="79"/>
      <c r="AD365" s="130"/>
      <c r="AF365" s="106"/>
    </row>
    <row r="366">
      <c r="C366" s="79"/>
      <c r="D366" s="79"/>
      <c r="E366" s="79"/>
      <c r="O366" s="79"/>
      <c r="R366" s="79"/>
      <c r="S366" s="79"/>
      <c r="X366" s="79"/>
      <c r="AD366" s="130"/>
      <c r="AF366" s="106"/>
    </row>
    <row r="367">
      <c r="C367" s="79"/>
      <c r="D367" s="79"/>
      <c r="E367" s="79"/>
      <c r="O367" s="79"/>
      <c r="R367" s="79"/>
      <c r="S367" s="79"/>
      <c r="X367" s="79"/>
      <c r="AD367" s="130"/>
      <c r="AF367" s="106"/>
    </row>
    <row r="368">
      <c r="C368" s="79"/>
      <c r="D368" s="79"/>
      <c r="E368" s="79"/>
      <c r="O368" s="79"/>
      <c r="R368" s="79"/>
      <c r="S368" s="79"/>
      <c r="X368" s="79"/>
      <c r="AD368" s="130"/>
      <c r="AF368" s="106"/>
    </row>
    <row r="369">
      <c r="C369" s="79"/>
      <c r="D369" s="79"/>
      <c r="E369" s="79"/>
      <c r="O369" s="79"/>
      <c r="R369" s="79"/>
      <c r="S369" s="79"/>
      <c r="X369" s="79"/>
      <c r="AD369" s="130"/>
      <c r="AF369" s="106"/>
    </row>
    <row r="370">
      <c r="C370" s="79"/>
      <c r="D370" s="79"/>
      <c r="E370" s="79"/>
      <c r="O370" s="79"/>
      <c r="R370" s="79"/>
      <c r="S370" s="79"/>
      <c r="X370" s="79"/>
      <c r="AD370" s="130"/>
      <c r="AF370" s="106"/>
    </row>
    <row r="371">
      <c r="C371" s="79"/>
      <c r="D371" s="79"/>
      <c r="E371" s="79"/>
      <c r="O371" s="79"/>
      <c r="R371" s="79"/>
      <c r="S371" s="79"/>
      <c r="X371" s="79"/>
      <c r="AD371" s="130"/>
      <c r="AF371" s="106"/>
    </row>
    <row r="372">
      <c r="C372" s="79"/>
      <c r="D372" s="79"/>
      <c r="E372" s="79"/>
      <c r="O372" s="79"/>
      <c r="R372" s="79"/>
      <c r="S372" s="79"/>
      <c r="X372" s="79"/>
      <c r="AD372" s="130"/>
      <c r="AF372" s="106"/>
    </row>
    <row r="373">
      <c r="C373" s="79"/>
      <c r="D373" s="79"/>
      <c r="E373" s="79"/>
      <c r="O373" s="79"/>
      <c r="R373" s="79"/>
      <c r="S373" s="79"/>
      <c r="X373" s="79"/>
      <c r="AD373" s="130"/>
      <c r="AF373" s="106"/>
    </row>
    <row r="374">
      <c r="C374" s="79"/>
      <c r="D374" s="79"/>
      <c r="E374" s="79"/>
      <c r="O374" s="79"/>
      <c r="R374" s="79"/>
      <c r="S374" s="79"/>
      <c r="X374" s="79"/>
      <c r="AD374" s="130"/>
      <c r="AF374" s="106"/>
    </row>
    <row r="375">
      <c r="C375" s="79"/>
      <c r="D375" s="79"/>
      <c r="E375" s="79"/>
      <c r="O375" s="79"/>
      <c r="R375" s="79"/>
      <c r="S375" s="79"/>
      <c r="X375" s="79"/>
      <c r="AD375" s="130"/>
      <c r="AF375" s="106"/>
    </row>
    <row r="376">
      <c r="C376" s="79"/>
      <c r="D376" s="79"/>
      <c r="E376" s="79"/>
      <c r="O376" s="79"/>
      <c r="R376" s="79"/>
      <c r="S376" s="79"/>
      <c r="X376" s="79"/>
      <c r="AD376" s="130"/>
      <c r="AF376" s="106"/>
    </row>
    <row r="377">
      <c r="C377" s="79"/>
      <c r="D377" s="79"/>
      <c r="E377" s="79"/>
      <c r="O377" s="79"/>
      <c r="R377" s="79"/>
      <c r="S377" s="79"/>
      <c r="X377" s="79"/>
      <c r="AD377" s="130"/>
      <c r="AF377" s="106"/>
    </row>
    <row r="378">
      <c r="C378" s="79"/>
      <c r="D378" s="79"/>
      <c r="E378" s="79"/>
      <c r="O378" s="79"/>
      <c r="R378" s="79"/>
      <c r="S378" s="79"/>
      <c r="X378" s="79"/>
      <c r="AD378" s="130"/>
      <c r="AF378" s="106"/>
    </row>
    <row r="379">
      <c r="C379" s="79"/>
      <c r="D379" s="79"/>
      <c r="E379" s="79"/>
      <c r="O379" s="79"/>
      <c r="R379" s="79"/>
      <c r="S379" s="79"/>
      <c r="X379" s="79"/>
      <c r="AD379" s="130"/>
      <c r="AF379" s="106"/>
    </row>
    <row r="380">
      <c r="C380" s="79"/>
      <c r="D380" s="79"/>
      <c r="E380" s="79"/>
      <c r="O380" s="79"/>
      <c r="R380" s="79"/>
      <c r="S380" s="79"/>
      <c r="X380" s="79"/>
      <c r="AD380" s="130"/>
      <c r="AF380" s="106"/>
    </row>
    <row r="381">
      <c r="C381" s="79"/>
      <c r="D381" s="79"/>
      <c r="E381" s="79"/>
      <c r="O381" s="79"/>
      <c r="R381" s="79"/>
      <c r="S381" s="79"/>
      <c r="X381" s="79"/>
      <c r="AD381" s="130"/>
      <c r="AF381" s="106"/>
    </row>
    <row r="382">
      <c r="C382" s="79"/>
      <c r="D382" s="79"/>
      <c r="E382" s="79"/>
      <c r="O382" s="79"/>
      <c r="R382" s="79"/>
      <c r="S382" s="79"/>
      <c r="X382" s="79"/>
      <c r="AD382" s="130"/>
      <c r="AF382" s="106"/>
    </row>
    <row r="383">
      <c r="C383" s="79"/>
      <c r="D383" s="79"/>
      <c r="E383" s="79"/>
      <c r="O383" s="79"/>
      <c r="R383" s="79"/>
      <c r="S383" s="79"/>
      <c r="X383" s="79"/>
      <c r="AD383" s="130"/>
      <c r="AF383" s="106"/>
    </row>
    <row r="384">
      <c r="C384" s="79"/>
      <c r="D384" s="79"/>
      <c r="E384" s="79"/>
      <c r="O384" s="79"/>
      <c r="R384" s="79"/>
      <c r="S384" s="79"/>
      <c r="X384" s="79"/>
      <c r="AD384" s="130"/>
      <c r="AF384" s="106"/>
    </row>
    <row r="385">
      <c r="C385" s="79"/>
      <c r="D385" s="79"/>
      <c r="E385" s="79"/>
      <c r="O385" s="79"/>
      <c r="R385" s="79"/>
      <c r="S385" s="79"/>
      <c r="X385" s="79"/>
      <c r="AD385" s="130"/>
      <c r="AF385" s="106"/>
    </row>
    <row r="386">
      <c r="C386" s="79"/>
      <c r="D386" s="79"/>
      <c r="E386" s="79"/>
      <c r="O386" s="79"/>
      <c r="R386" s="79"/>
      <c r="S386" s="79"/>
      <c r="X386" s="79"/>
      <c r="AD386" s="130"/>
      <c r="AF386" s="106"/>
    </row>
    <row r="387">
      <c r="C387" s="79"/>
      <c r="D387" s="79"/>
      <c r="E387" s="79"/>
      <c r="O387" s="79"/>
      <c r="R387" s="79"/>
      <c r="S387" s="79"/>
      <c r="X387" s="79"/>
      <c r="AD387" s="130"/>
      <c r="AF387" s="106"/>
    </row>
    <row r="388">
      <c r="C388" s="79"/>
      <c r="D388" s="79"/>
      <c r="E388" s="79"/>
      <c r="O388" s="79"/>
      <c r="R388" s="79"/>
      <c r="S388" s="79"/>
      <c r="X388" s="79"/>
      <c r="AD388" s="130"/>
      <c r="AF388" s="106"/>
    </row>
    <row r="389">
      <c r="C389" s="79"/>
      <c r="D389" s="79"/>
      <c r="E389" s="79"/>
      <c r="O389" s="79"/>
      <c r="R389" s="79"/>
      <c r="S389" s="79"/>
      <c r="X389" s="79"/>
      <c r="AD389" s="130"/>
      <c r="AF389" s="106"/>
    </row>
    <row r="390">
      <c r="C390" s="79"/>
      <c r="D390" s="79"/>
      <c r="E390" s="79"/>
      <c r="O390" s="79"/>
      <c r="R390" s="79"/>
      <c r="S390" s="79"/>
      <c r="X390" s="79"/>
      <c r="AD390" s="130"/>
      <c r="AF390" s="106"/>
    </row>
    <row r="391">
      <c r="C391" s="79"/>
      <c r="D391" s="79"/>
      <c r="E391" s="79"/>
      <c r="O391" s="79"/>
      <c r="R391" s="79"/>
      <c r="S391" s="79"/>
      <c r="X391" s="79"/>
      <c r="AD391" s="130"/>
      <c r="AF391" s="106"/>
    </row>
    <row r="392">
      <c r="C392" s="79"/>
      <c r="D392" s="79"/>
      <c r="E392" s="79"/>
      <c r="O392" s="79"/>
      <c r="R392" s="79"/>
      <c r="S392" s="79"/>
      <c r="X392" s="79"/>
      <c r="AD392" s="130"/>
      <c r="AF392" s="106"/>
    </row>
    <row r="393">
      <c r="C393" s="79"/>
      <c r="D393" s="79"/>
      <c r="E393" s="79"/>
      <c r="O393" s="79"/>
      <c r="R393" s="79"/>
      <c r="S393" s="79"/>
      <c r="X393" s="79"/>
      <c r="AD393" s="130"/>
      <c r="AF393" s="106"/>
    </row>
    <row r="394">
      <c r="C394" s="79"/>
      <c r="D394" s="79"/>
      <c r="E394" s="79"/>
      <c r="O394" s="79"/>
      <c r="R394" s="79"/>
      <c r="S394" s="79"/>
      <c r="X394" s="79"/>
      <c r="AD394" s="130"/>
      <c r="AF394" s="106"/>
    </row>
    <row r="395">
      <c r="C395" s="79"/>
      <c r="D395" s="79"/>
      <c r="E395" s="79"/>
      <c r="O395" s="79"/>
      <c r="R395" s="79"/>
      <c r="S395" s="79"/>
      <c r="X395" s="79"/>
      <c r="AD395" s="130"/>
      <c r="AF395" s="106"/>
    </row>
    <row r="396">
      <c r="C396" s="79"/>
      <c r="D396" s="79"/>
      <c r="E396" s="79"/>
      <c r="O396" s="79"/>
      <c r="R396" s="79"/>
      <c r="S396" s="79"/>
      <c r="X396" s="79"/>
      <c r="AD396" s="130"/>
      <c r="AF396" s="106"/>
    </row>
    <row r="397">
      <c r="C397" s="79"/>
      <c r="D397" s="79"/>
      <c r="E397" s="79"/>
      <c r="O397" s="79"/>
      <c r="R397" s="79"/>
      <c r="S397" s="79"/>
      <c r="X397" s="79"/>
      <c r="AD397" s="130"/>
      <c r="AF397" s="106"/>
    </row>
    <row r="398">
      <c r="C398" s="79"/>
      <c r="D398" s="79"/>
      <c r="E398" s="79"/>
      <c r="O398" s="79"/>
      <c r="R398" s="79"/>
      <c r="S398" s="79"/>
      <c r="X398" s="79"/>
      <c r="AD398" s="130"/>
      <c r="AF398" s="106"/>
    </row>
    <row r="399">
      <c r="C399" s="79"/>
      <c r="D399" s="79"/>
      <c r="E399" s="79"/>
      <c r="O399" s="79"/>
      <c r="R399" s="79"/>
      <c r="S399" s="79"/>
      <c r="X399" s="79"/>
      <c r="AD399" s="130"/>
      <c r="AF399" s="106"/>
    </row>
    <row r="400">
      <c r="C400" s="79"/>
      <c r="D400" s="79"/>
      <c r="E400" s="79"/>
      <c r="O400" s="79"/>
      <c r="R400" s="79"/>
      <c r="S400" s="79"/>
      <c r="X400" s="79"/>
      <c r="AD400" s="130"/>
      <c r="AF400" s="106"/>
    </row>
    <row r="401">
      <c r="C401" s="79"/>
      <c r="D401" s="79"/>
      <c r="E401" s="79"/>
      <c r="O401" s="79"/>
      <c r="R401" s="79"/>
      <c r="S401" s="79"/>
      <c r="X401" s="79"/>
      <c r="AD401" s="130"/>
      <c r="AF401" s="106"/>
    </row>
    <row r="402">
      <c r="C402" s="79"/>
      <c r="D402" s="79"/>
      <c r="E402" s="79"/>
      <c r="O402" s="79"/>
      <c r="R402" s="79"/>
      <c r="S402" s="79"/>
      <c r="X402" s="79"/>
      <c r="AD402" s="130"/>
      <c r="AF402" s="106"/>
    </row>
    <row r="403">
      <c r="C403" s="79"/>
      <c r="D403" s="79"/>
      <c r="E403" s="79"/>
      <c r="O403" s="79"/>
      <c r="R403" s="79"/>
      <c r="S403" s="79"/>
      <c r="X403" s="79"/>
      <c r="AD403" s="130"/>
      <c r="AF403" s="106"/>
    </row>
    <row r="404">
      <c r="C404" s="79"/>
      <c r="D404" s="79"/>
      <c r="E404" s="79"/>
      <c r="O404" s="79"/>
      <c r="R404" s="79"/>
      <c r="S404" s="79"/>
      <c r="X404" s="79"/>
      <c r="AD404" s="130"/>
      <c r="AF404" s="106"/>
    </row>
    <row r="405">
      <c r="C405" s="79"/>
      <c r="D405" s="79"/>
      <c r="E405" s="79"/>
      <c r="O405" s="79"/>
      <c r="R405" s="79"/>
      <c r="S405" s="79"/>
      <c r="X405" s="79"/>
      <c r="AD405" s="130"/>
      <c r="AF405" s="106"/>
    </row>
    <row r="406">
      <c r="C406" s="79"/>
      <c r="D406" s="79"/>
      <c r="E406" s="79"/>
      <c r="O406" s="79"/>
      <c r="R406" s="79"/>
      <c r="S406" s="79"/>
      <c r="X406" s="79"/>
      <c r="AD406" s="130"/>
      <c r="AF406" s="106"/>
    </row>
    <row r="407">
      <c r="C407" s="79"/>
      <c r="D407" s="79"/>
      <c r="E407" s="79"/>
      <c r="O407" s="79"/>
      <c r="R407" s="79"/>
      <c r="S407" s="79"/>
      <c r="X407" s="79"/>
      <c r="AD407" s="130"/>
      <c r="AF407" s="106"/>
    </row>
    <row r="408">
      <c r="C408" s="79"/>
      <c r="D408" s="79"/>
      <c r="E408" s="79"/>
      <c r="O408" s="79"/>
      <c r="R408" s="79"/>
      <c r="S408" s="79"/>
      <c r="X408" s="79"/>
      <c r="AD408" s="130"/>
      <c r="AF408" s="106"/>
    </row>
    <row r="409">
      <c r="C409" s="79"/>
      <c r="D409" s="79"/>
      <c r="E409" s="79"/>
      <c r="O409" s="79"/>
      <c r="R409" s="79"/>
      <c r="S409" s="79"/>
      <c r="X409" s="79"/>
      <c r="AD409" s="130"/>
      <c r="AF409" s="106"/>
    </row>
    <row r="410">
      <c r="C410" s="79"/>
      <c r="D410" s="79"/>
      <c r="E410" s="79"/>
      <c r="O410" s="79"/>
      <c r="R410" s="79"/>
      <c r="S410" s="79"/>
      <c r="X410" s="79"/>
      <c r="AD410" s="130"/>
      <c r="AF410" s="106"/>
    </row>
    <row r="411">
      <c r="C411" s="79"/>
      <c r="D411" s="79"/>
      <c r="E411" s="79"/>
      <c r="O411" s="79"/>
      <c r="R411" s="79"/>
      <c r="S411" s="79"/>
      <c r="X411" s="79"/>
      <c r="AD411" s="130"/>
      <c r="AF411" s="106"/>
    </row>
    <row r="412">
      <c r="C412" s="79"/>
      <c r="D412" s="79"/>
      <c r="E412" s="79"/>
      <c r="O412" s="79"/>
      <c r="R412" s="79"/>
      <c r="S412" s="79"/>
      <c r="X412" s="79"/>
      <c r="AD412" s="130"/>
      <c r="AF412" s="106"/>
    </row>
    <row r="413">
      <c r="C413" s="79"/>
      <c r="D413" s="79"/>
      <c r="E413" s="79"/>
      <c r="O413" s="79"/>
      <c r="R413" s="79"/>
      <c r="S413" s="79"/>
      <c r="X413" s="79"/>
      <c r="AD413" s="130"/>
      <c r="AF413" s="106"/>
    </row>
    <row r="414">
      <c r="C414" s="79"/>
      <c r="D414" s="79"/>
      <c r="E414" s="79"/>
      <c r="O414" s="79"/>
      <c r="R414" s="79"/>
      <c r="S414" s="79"/>
      <c r="X414" s="79"/>
      <c r="AD414" s="130"/>
      <c r="AF414" s="106"/>
    </row>
    <row r="415">
      <c r="C415" s="79"/>
      <c r="D415" s="79"/>
      <c r="E415" s="79"/>
      <c r="O415" s="79"/>
      <c r="R415" s="79"/>
      <c r="S415" s="79"/>
      <c r="X415" s="79"/>
      <c r="AD415" s="130"/>
      <c r="AF415" s="106"/>
    </row>
    <row r="416">
      <c r="C416" s="79"/>
      <c r="D416" s="79"/>
      <c r="E416" s="79"/>
      <c r="O416" s="79"/>
      <c r="R416" s="79"/>
      <c r="S416" s="79"/>
      <c r="X416" s="79"/>
      <c r="AD416" s="130"/>
      <c r="AF416" s="106"/>
    </row>
    <row r="417">
      <c r="C417" s="79"/>
      <c r="D417" s="79"/>
      <c r="E417" s="79"/>
      <c r="O417" s="79"/>
      <c r="R417" s="79"/>
      <c r="S417" s="79"/>
      <c r="X417" s="79"/>
      <c r="AD417" s="130"/>
      <c r="AF417" s="106"/>
    </row>
    <row r="418">
      <c r="C418" s="79"/>
      <c r="D418" s="79"/>
      <c r="E418" s="79"/>
      <c r="O418" s="79"/>
      <c r="R418" s="79"/>
      <c r="S418" s="79"/>
      <c r="X418" s="79"/>
      <c r="AD418" s="130"/>
      <c r="AF418" s="106"/>
    </row>
    <row r="419">
      <c r="C419" s="79"/>
      <c r="D419" s="79"/>
      <c r="E419" s="79"/>
      <c r="O419" s="79"/>
      <c r="R419" s="79"/>
      <c r="S419" s="79"/>
      <c r="X419" s="79"/>
      <c r="AD419" s="130"/>
      <c r="AF419" s="106"/>
    </row>
    <row r="420">
      <c r="C420" s="79"/>
      <c r="D420" s="79"/>
      <c r="E420" s="79"/>
      <c r="O420" s="79"/>
      <c r="R420" s="79"/>
      <c r="S420" s="79"/>
      <c r="X420" s="79"/>
      <c r="AD420" s="130"/>
      <c r="AF420" s="106"/>
    </row>
    <row r="421">
      <c r="C421" s="79"/>
      <c r="D421" s="79"/>
      <c r="E421" s="79"/>
      <c r="O421" s="79"/>
      <c r="R421" s="79"/>
      <c r="S421" s="79"/>
      <c r="X421" s="79"/>
      <c r="AD421" s="130"/>
      <c r="AF421" s="106"/>
    </row>
    <row r="422">
      <c r="C422" s="79"/>
      <c r="D422" s="79"/>
      <c r="E422" s="79"/>
      <c r="O422" s="79"/>
      <c r="R422" s="79"/>
      <c r="S422" s="79"/>
      <c r="X422" s="79"/>
      <c r="AD422" s="130"/>
      <c r="AF422" s="106"/>
    </row>
    <row r="423">
      <c r="C423" s="79"/>
      <c r="D423" s="79"/>
      <c r="E423" s="79"/>
      <c r="O423" s="79"/>
      <c r="R423" s="79"/>
      <c r="S423" s="79"/>
      <c r="X423" s="79"/>
      <c r="AD423" s="130"/>
      <c r="AF423" s="106"/>
    </row>
    <row r="424">
      <c r="C424" s="79"/>
      <c r="D424" s="79"/>
      <c r="E424" s="79"/>
      <c r="O424" s="79"/>
      <c r="R424" s="79"/>
      <c r="S424" s="79"/>
      <c r="X424" s="79"/>
      <c r="AD424" s="130"/>
      <c r="AF424" s="106"/>
    </row>
    <row r="425">
      <c r="C425" s="79"/>
      <c r="D425" s="79"/>
      <c r="E425" s="79"/>
      <c r="O425" s="79"/>
      <c r="R425" s="79"/>
      <c r="S425" s="79"/>
      <c r="X425" s="79"/>
      <c r="AD425" s="130"/>
      <c r="AF425" s="106"/>
    </row>
    <row r="426">
      <c r="C426" s="79"/>
      <c r="D426" s="79"/>
      <c r="E426" s="79"/>
      <c r="O426" s="79"/>
      <c r="R426" s="79"/>
      <c r="S426" s="79"/>
      <c r="X426" s="79"/>
      <c r="AD426" s="130"/>
      <c r="AF426" s="106"/>
    </row>
    <row r="427">
      <c r="C427" s="79"/>
      <c r="D427" s="79"/>
      <c r="E427" s="79"/>
      <c r="O427" s="79"/>
      <c r="R427" s="79"/>
      <c r="S427" s="79"/>
      <c r="X427" s="79"/>
      <c r="AD427" s="130"/>
      <c r="AF427" s="106"/>
    </row>
    <row r="428">
      <c r="C428" s="79"/>
      <c r="D428" s="79"/>
      <c r="E428" s="79"/>
      <c r="O428" s="79"/>
      <c r="R428" s="79"/>
      <c r="S428" s="79"/>
      <c r="X428" s="79"/>
      <c r="AD428" s="130"/>
      <c r="AF428" s="106"/>
    </row>
    <row r="429">
      <c r="C429" s="79"/>
      <c r="D429" s="79"/>
      <c r="E429" s="79"/>
      <c r="O429" s="79"/>
      <c r="R429" s="79"/>
      <c r="S429" s="79"/>
      <c r="X429" s="79"/>
      <c r="AD429" s="130"/>
      <c r="AF429" s="106"/>
    </row>
    <row r="430">
      <c r="C430" s="79"/>
      <c r="D430" s="79"/>
      <c r="E430" s="79"/>
      <c r="O430" s="79"/>
      <c r="R430" s="79"/>
      <c r="S430" s="79"/>
      <c r="X430" s="79"/>
      <c r="AD430" s="130"/>
      <c r="AF430" s="106"/>
    </row>
    <row r="431">
      <c r="C431" s="79"/>
      <c r="D431" s="79"/>
      <c r="E431" s="79"/>
      <c r="O431" s="79"/>
      <c r="R431" s="79"/>
      <c r="S431" s="79"/>
      <c r="X431" s="79"/>
      <c r="AD431" s="130"/>
      <c r="AF431" s="106"/>
    </row>
    <row r="432">
      <c r="C432" s="79"/>
      <c r="D432" s="79"/>
      <c r="E432" s="79"/>
      <c r="O432" s="79"/>
      <c r="R432" s="79"/>
      <c r="S432" s="79"/>
      <c r="X432" s="79"/>
      <c r="AD432" s="130"/>
      <c r="AF432" s="106"/>
    </row>
    <row r="433">
      <c r="C433" s="79"/>
      <c r="D433" s="79"/>
      <c r="E433" s="79"/>
      <c r="O433" s="79"/>
      <c r="R433" s="79"/>
      <c r="S433" s="79"/>
      <c r="X433" s="79"/>
      <c r="AD433" s="130"/>
      <c r="AF433" s="106"/>
    </row>
    <row r="434">
      <c r="C434" s="79"/>
      <c r="D434" s="79"/>
      <c r="E434" s="79"/>
      <c r="O434" s="79"/>
      <c r="R434" s="79"/>
      <c r="S434" s="79"/>
      <c r="X434" s="79"/>
      <c r="AD434" s="130"/>
      <c r="AF434" s="106"/>
    </row>
    <row r="435">
      <c r="C435" s="79"/>
      <c r="D435" s="79"/>
      <c r="E435" s="79"/>
      <c r="O435" s="79"/>
      <c r="R435" s="79"/>
      <c r="S435" s="79"/>
      <c r="X435" s="79"/>
      <c r="AD435" s="130"/>
      <c r="AF435" s="106"/>
    </row>
    <row r="436">
      <c r="C436" s="79"/>
      <c r="D436" s="79"/>
      <c r="E436" s="79"/>
      <c r="O436" s="79"/>
      <c r="R436" s="79"/>
      <c r="S436" s="79"/>
      <c r="X436" s="79"/>
      <c r="AD436" s="130"/>
      <c r="AF436" s="106"/>
    </row>
    <row r="437">
      <c r="C437" s="79"/>
      <c r="D437" s="79"/>
      <c r="E437" s="79"/>
      <c r="O437" s="79"/>
      <c r="R437" s="79"/>
      <c r="S437" s="79"/>
      <c r="X437" s="79"/>
      <c r="AD437" s="130"/>
      <c r="AF437" s="106"/>
    </row>
    <row r="438">
      <c r="C438" s="79"/>
      <c r="D438" s="79"/>
      <c r="E438" s="79"/>
      <c r="O438" s="79"/>
      <c r="R438" s="79"/>
      <c r="S438" s="79"/>
      <c r="X438" s="79"/>
      <c r="AD438" s="130"/>
      <c r="AF438" s="106"/>
    </row>
    <row r="439">
      <c r="C439" s="79"/>
      <c r="D439" s="79"/>
      <c r="E439" s="79"/>
      <c r="O439" s="79"/>
      <c r="R439" s="79"/>
      <c r="S439" s="79"/>
      <c r="X439" s="79"/>
      <c r="AD439" s="130"/>
      <c r="AF439" s="106"/>
    </row>
    <row r="440">
      <c r="C440" s="79"/>
      <c r="D440" s="79"/>
      <c r="E440" s="79"/>
      <c r="O440" s="79"/>
      <c r="R440" s="79"/>
      <c r="S440" s="79"/>
      <c r="X440" s="79"/>
      <c r="AD440" s="130"/>
      <c r="AF440" s="106"/>
    </row>
    <row r="441">
      <c r="C441" s="79"/>
      <c r="D441" s="79"/>
      <c r="E441" s="79"/>
      <c r="O441" s="79"/>
      <c r="R441" s="79"/>
      <c r="S441" s="79"/>
      <c r="X441" s="79"/>
      <c r="AD441" s="130"/>
      <c r="AF441" s="106"/>
    </row>
    <row r="442">
      <c r="C442" s="79"/>
      <c r="D442" s="79"/>
      <c r="E442" s="79"/>
      <c r="O442" s="79"/>
      <c r="R442" s="79"/>
      <c r="S442" s="79"/>
      <c r="X442" s="79"/>
      <c r="AD442" s="130"/>
      <c r="AF442" s="106"/>
    </row>
    <row r="443">
      <c r="C443" s="79"/>
      <c r="D443" s="79"/>
      <c r="E443" s="79"/>
      <c r="O443" s="79"/>
      <c r="R443" s="79"/>
      <c r="S443" s="79"/>
      <c r="X443" s="79"/>
      <c r="AD443" s="130"/>
      <c r="AF443" s="106"/>
    </row>
    <row r="444">
      <c r="C444" s="79"/>
      <c r="D444" s="79"/>
      <c r="E444" s="79"/>
      <c r="O444" s="79"/>
      <c r="R444" s="79"/>
      <c r="S444" s="79"/>
      <c r="X444" s="79"/>
      <c r="AD444" s="130"/>
      <c r="AF444" s="106"/>
    </row>
    <row r="445">
      <c r="C445" s="79"/>
      <c r="D445" s="79"/>
      <c r="E445" s="79"/>
      <c r="O445" s="79"/>
      <c r="R445" s="79"/>
      <c r="S445" s="79"/>
      <c r="X445" s="79"/>
      <c r="AD445" s="130"/>
      <c r="AF445" s="106"/>
    </row>
    <row r="446">
      <c r="C446" s="79"/>
      <c r="D446" s="79"/>
      <c r="E446" s="79"/>
      <c r="O446" s="79"/>
      <c r="R446" s="79"/>
      <c r="S446" s="79"/>
      <c r="X446" s="79"/>
      <c r="AD446" s="130"/>
      <c r="AF446" s="106"/>
    </row>
    <row r="447">
      <c r="C447" s="79"/>
      <c r="D447" s="79"/>
      <c r="E447" s="79"/>
      <c r="O447" s="79"/>
      <c r="R447" s="79"/>
      <c r="S447" s="79"/>
      <c r="X447" s="79"/>
      <c r="AD447" s="130"/>
      <c r="AF447" s="106"/>
    </row>
    <row r="448">
      <c r="C448" s="79"/>
      <c r="D448" s="79"/>
      <c r="E448" s="79"/>
      <c r="O448" s="79"/>
      <c r="R448" s="79"/>
      <c r="S448" s="79"/>
      <c r="X448" s="79"/>
      <c r="AD448" s="130"/>
      <c r="AF448" s="106"/>
    </row>
    <row r="449">
      <c r="C449" s="79"/>
      <c r="D449" s="79"/>
      <c r="E449" s="79"/>
      <c r="O449" s="79"/>
      <c r="R449" s="79"/>
      <c r="S449" s="79"/>
      <c r="X449" s="79"/>
      <c r="AD449" s="130"/>
      <c r="AF449" s="106"/>
    </row>
    <row r="450">
      <c r="C450" s="79"/>
      <c r="D450" s="79"/>
      <c r="E450" s="79"/>
      <c r="O450" s="79"/>
      <c r="R450" s="79"/>
      <c r="S450" s="79"/>
      <c r="X450" s="79"/>
      <c r="AD450" s="130"/>
      <c r="AF450" s="106"/>
    </row>
    <row r="451">
      <c r="C451" s="79"/>
      <c r="D451" s="79"/>
      <c r="E451" s="79"/>
      <c r="O451" s="79"/>
      <c r="R451" s="79"/>
      <c r="S451" s="79"/>
      <c r="X451" s="79"/>
      <c r="AD451" s="130"/>
      <c r="AF451" s="106"/>
    </row>
    <row r="452">
      <c r="C452" s="79"/>
      <c r="D452" s="79"/>
      <c r="E452" s="79"/>
      <c r="O452" s="79"/>
      <c r="R452" s="79"/>
      <c r="S452" s="79"/>
      <c r="X452" s="79"/>
      <c r="AD452" s="130"/>
      <c r="AF452" s="106"/>
    </row>
    <row r="453">
      <c r="C453" s="79"/>
      <c r="D453" s="79"/>
      <c r="E453" s="79"/>
      <c r="O453" s="79"/>
      <c r="R453" s="79"/>
      <c r="S453" s="79"/>
      <c r="X453" s="79"/>
      <c r="AD453" s="130"/>
      <c r="AF453" s="106"/>
    </row>
    <row r="454">
      <c r="C454" s="79"/>
      <c r="D454" s="79"/>
      <c r="E454" s="79"/>
      <c r="O454" s="79"/>
      <c r="R454" s="79"/>
      <c r="S454" s="79"/>
      <c r="X454" s="79"/>
      <c r="AD454" s="130"/>
      <c r="AF454" s="106"/>
    </row>
    <row r="455">
      <c r="C455" s="79"/>
      <c r="D455" s="79"/>
      <c r="E455" s="79"/>
      <c r="O455" s="79"/>
      <c r="R455" s="79"/>
      <c r="S455" s="79"/>
      <c r="X455" s="79"/>
      <c r="AD455" s="130"/>
      <c r="AF455" s="106"/>
    </row>
    <row r="456">
      <c r="C456" s="79"/>
      <c r="D456" s="79"/>
      <c r="E456" s="79"/>
      <c r="O456" s="79"/>
      <c r="R456" s="79"/>
      <c r="S456" s="79"/>
      <c r="X456" s="79"/>
      <c r="AD456" s="130"/>
      <c r="AF456" s="106"/>
    </row>
    <row r="457">
      <c r="C457" s="79"/>
      <c r="D457" s="79"/>
      <c r="E457" s="79"/>
      <c r="O457" s="79"/>
      <c r="R457" s="79"/>
      <c r="S457" s="79"/>
      <c r="X457" s="79"/>
      <c r="AD457" s="130"/>
      <c r="AF457" s="106"/>
    </row>
    <row r="458">
      <c r="C458" s="79"/>
      <c r="D458" s="79"/>
      <c r="E458" s="79"/>
      <c r="O458" s="79"/>
      <c r="R458" s="79"/>
      <c r="S458" s="79"/>
      <c r="X458" s="79"/>
      <c r="AD458" s="130"/>
      <c r="AF458" s="106"/>
    </row>
    <row r="459">
      <c r="C459" s="79"/>
      <c r="D459" s="79"/>
      <c r="E459" s="79"/>
      <c r="O459" s="79"/>
      <c r="R459" s="79"/>
      <c r="S459" s="79"/>
      <c r="X459" s="79"/>
      <c r="AD459" s="130"/>
      <c r="AF459" s="106"/>
    </row>
    <row r="460">
      <c r="C460" s="79"/>
      <c r="D460" s="79"/>
      <c r="E460" s="79"/>
      <c r="O460" s="79"/>
      <c r="R460" s="79"/>
      <c r="S460" s="79"/>
      <c r="X460" s="79"/>
      <c r="AD460" s="130"/>
      <c r="AF460" s="106"/>
    </row>
    <row r="461">
      <c r="C461" s="79"/>
      <c r="D461" s="79"/>
      <c r="E461" s="79"/>
      <c r="O461" s="79"/>
      <c r="R461" s="79"/>
      <c r="S461" s="79"/>
      <c r="X461" s="79"/>
      <c r="AD461" s="130"/>
      <c r="AF461" s="106"/>
    </row>
    <row r="462">
      <c r="C462" s="79"/>
      <c r="D462" s="79"/>
      <c r="E462" s="79"/>
      <c r="O462" s="79"/>
      <c r="R462" s="79"/>
      <c r="S462" s="79"/>
      <c r="X462" s="79"/>
      <c r="AD462" s="130"/>
      <c r="AF462" s="106"/>
    </row>
    <row r="463">
      <c r="C463" s="79"/>
      <c r="D463" s="79"/>
      <c r="E463" s="79"/>
      <c r="O463" s="79"/>
      <c r="R463" s="79"/>
      <c r="S463" s="79"/>
      <c r="X463" s="79"/>
      <c r="AD463" s="130"/>
      <c r="AF463" s="106"/>
    </row>
    <row r="464">
      <c r="C464" s="79"/>
      <c r="D464" s="79"/>
      <c r="E464" s="79"/>
      <c r="O464" s="79"/>
      <c r="R464" s="79"/>
      <c r="S464" s="79"/>
      <c r="X464" s="79"/>
      <c r="AD464" s="130"/>
      <c r="AF464" s="106"/>
    </row>
    <row r="465">
      <c r="C465" s="79"/>
      <c r="D465" s="79"/>
      <c r="E465" s="79"/>
      <c r="O465" s="79"/>
      <c r="R465" s="79"/>
      <c r="S465" s="79"/>
      <c r="X465" s="79"/>
      <c r="AD465" s="130"/>
      <c r="AF465" s="106"/>
    </row>
    <row r="466">
      <c r="C466" s="79"/>
      <c r="D466" s="79"/>
      <c r="E466" s="79"/>
      <c r="O466" s="79"/>
      <c r="R466" s="79"/>
      <c r="S466" s="79"/>
      <c r="X466" s="79"/>
      <c r="AD466" s="130"/>
      <c r="AF466" s="106"/>
    </row>
    <row r="467">
      <c r="C467" s="79"/>
      <c r="D467" s="79"/>
      <c r="E467" s="79"/>
      <c r="O467" s="79"/>
      <c r="R467" s="79"/>
      <c r="S467" s="79"/>
      <c r="X467" s="79"/>
      <c r="AD467" s="130"/>
      <c r="AF467" s="106"/>
    </row>
    <row r="468">
      <c r="C468" s="79"/>
      <c r="D468" s="79"/>
      <c r="E468" s="79"/>
      <c r="O468" s="79"/>
      <c r="R468" s="79"/>
      <c r="S468" s="79"/>
      <c r="X468" s="79"/>
      <c r="AD468" s="130"/>
      <c r="AF468" s="106"/>
    </row>
    <row r="469">
      <c r="C469" s="79"/>
      <c r="D469" s="79"/>
      <c r="E469" s="79"/>
      <c r="O469" s="79"/>
      <c r="R469" s="79"/>
      <c r="S469" s="79"/>
      <c r="X469" s="79"/>
      <c r="AD469" s="130"/>
      <c r="AF469" s="106"/>
    </row>
    <row r="470">
      <c r="C470" s="79"/>
      <c r="D470" s="79"/>
      <c r="E470" s="79"/>
      <c r="O470" s="79"/>
      <c r="R470" s="79"/>
      <c r="S470" s="79"/>
      <c r="X470" s="79"/>
      <c r="AD470" s="130"/>
      <c r="AF470" s="106"/>
    </row>
    <row r="471">
      <c r="C471" s="79"/>
      <c r="D471" s="79"/>
      <c r="E471" s="79"/>
      <c r="O471" s="79"/>
      <c r="R471" s="79"/>
      <c r="S471" s="79"/>
      <c r="X471" s="79"/>
      <c r="AD471" s="130"/>
      <c r="AF471" s="106"/>
    </row>
    <row r="472">
      <c r="C472" s="79"/>
      <c r="D472" s="79"/>
      <c r="E472" s="79"/>
      <c r="O472" s="79"/>
      <c r="R472" s="79"/>
      <c r="S472" s="79"/>
      <c r="X472" s="79"/>
      <c r="AD472" s="130"/>
      <c r="AF472" s="106"/>
    </row>
    <row r="473">
      <c r="C473" s="79"/>
      <c r="D473" s="79"/>
      <c r="E473" s="79"/>
      <c r="O473" s="79"/>
      <c r="R473" s="79"/>
      <c r="S473" s="79"/>
      <c r="X473" s="79"/>
      <c r="AD473" s="130"/>
      <c r="AF473" s="106"/>
    </row>
    <row r="474">
      <c r="C474" s="79"/>
      <c r="D474" s="79"/>
      <c r="E474" s="79"/>
      <c r="O474" s="79"/>
      <c r="R474" s="79"/>
      <c r="S474" s="79"/>
      <c r="X474" s="79"/>
      <c r="AD474" s="130"/>
      <c r="AF474" s="106"/>
    </row>
    <row r="475">
      <c r="C475" s="79"/>
      <c r="D475" s="79"/>
      <c r="E475" s="79"/>
      <c r="O475" s="79"/>
      <c r="R475" s="79"/>
      <c r="S475" s="79"/>
      <c r="X475" s="79"/>
      <c r="AD475" s="130"/>
      <c r="AF475" s="106"/>
    </row>
    <row r="476">
      <c r="C476" s="79"/>
      <c r="D476" s="79"/>
      <c r="E476" s="79"/>
      <c r="O476" s="79"/>
      <c r="R476" s="79"/>
      <c r="S476" s="79"/>
      <c r="X476" s="79"/>
      <c r="AD476" s="130"/>
      <c r="AF476" s="106"/>
    </row>
    <row r="477">
      <c r="C477" s="79"/>
      <c r="D477" s="79"/>
      <c r="E477" s="79"/>
      <c r="O477" s="79"/>
      <c r="R477" s="79"/>
      <c r="S477" s="79"/>
      <c r="X477" s="79"/>
      <c r="AD477" s="130"/>
      <c r="AF477" s="106"/>
    </row>
    <row r="478">
      <c r="C478" s="79"/>
      <c r="D478" s="79"/>
      <c r="E478" s="79"/>
      <c r="O478" s="79"/>
      <c r="R478" s="79"/>
      <c r="S478" s="79"/>
      <c r="X478" s="79"/>
      <c r="AD478" s="130"/>
      <c r="AF478" s="106"/>
    </row>
    <row r="479">
      <c r="C479" s="79"/>
      <c r="D479" s="79"/>
      <c r="E479" s="79"/>
      <c r="O479" s="79"/>
      <c r="R479" s="79"/>
      <c r="S479" s="79"/>
      <c r="X479" s="79"/>
      <c r="AD479" s="130"/>
      <c r="AF479" s="106"/>
    </row>
    <row r="480">
      <c r="C480" s="79"/>
      <c r="D480" s="79"/>
      <c r="E480" s="79"/>
      <c r="O480" s="79"/>
      <c r="R480" s="79"/>
      <c r="S480" s="79"/>
      <c r="X480" s="79"/>
      <c r="AD480" s="130"/>
      <c r="AF480" s="106"/>
    </row>
    <row r="481">
      <c r="C481" s="79"/>
      <c r="D481" s="79"/>
      <c r="E481" s="79"/>
      <c r="O481" s="79"/>
      <c r="R481" s="79"/>
      <c r="S481" s="79"/>
      <c r="X481" s="79"/>
      <c r="AD481" s="130"/>
      <c r="AF481" s="106"/>
    </row>
    <row r="482">
      <c r="C482" s="79"/>
      <c r="D482" s="79"/>
      <c r="E482" s="79"/>
      <c r="O482" s="79"/>
      <c r="R482" s="79"/>
      <c r="S482" s="79"/>
      <c r="X482" s="79"/>
      <c r="AD482" s="130"/>
      <c r="AF482" s="106"/>
    </row>
    <row r="483">
      <c r="C483" s="79"/>
      <c r="D483" s="79"/>
      <c r="E483" s="79"/>
      <c r="O483" s="79"/>
      <c r="R483" s="79"/>
      <c r="S483" s="79"/>
      <c r="X483" s="79"/>
      <c r="AD483" s="130"/>
      <c r="AF483" s="106"/>
    </row>
    <row r="484">
      <c r="C484" s="79"/>
      <c r="D484" s="79"/>
      <c r="E484" s="79"/>
      <c r="O484" s="79"/>
      <c r="R484" s="79"/>
      <c r="S484" s="79"/>
      <c r="X484" s="79"/>
      <c r="AD484" s="130"/>
      <c r="AF484" s="106"/>
    </row>
    <row r="485">
      <c r="C485" s="79"/>
      <c r="D485" s="79"/>
      <c r="E485" s="79"/>
      <c r="O485" s="79"/>
      <c r="R485" s="79"/>
      <c r="S485" s="79"/>
      <c r="X485" s="79"/>
      <c r="AD485" s="130"/>
      <c r="AF485" s="106"/>
    </row>
    <row r="486">
      <c r="C486" s="79"/>
      <c r="D486" s="79"/>
      <c r="E486" s="79"/>
      <c r="O486" s="79"/>
      <c r="R486" s="79"/>
      <c r="S486" s="79"/>
      <c r="X486" s="79"/>
      <c r="AD486" s="130"/>
      <c r="AF486" s="106"/>
    </row>
    <row r="487">
      <c r="C487" s="79"/>
      <c r="D487" s="79"/>
      <c r="E487" s="79"/>
      <c r="O487" s="79"/>
      <c r="R487" s="79"/>
      <c r="S487" s="79"/>
      <c r="X487" s="79"/>
      <c r="AD487" s="130"/>
      <c r="AF487" s="106"/>
    </row>
    <row r="488">
      <c r="C488" s="79"/>
      <c r="D488" s="79"/>
      <c r="E488" s="79"/>
      <c r="O488" s="79"/>
      <c r="R488" s="79"/>
      <c r="S488" s="79"/>
      <c r="X488" s="79"/>
      <c r="AD488" s="130"/>
      <c r="AF488" s="106"/>
    </row>
    <row r="489">
      <c r="C489" s="79"/>
      <c r="D489" s="79"/>
      <c r="E489" s="79"/>
      <c r="O489" s="79"/>
      <c r="R489" s="79"/>
      <c r="S489" s="79"/>
      <c r="X489" s="79"/>
      <c r="AD489" s="130"/>
      <c r="AF489" s="106"/>
    </row>
    <row r="490">
      <c r="C490" s="79"/>
      <c r="D490" s="79"/>
      <c r="E490" s="79"/>
      <c r="O490" s="79"/>
      <c r="R490" s="79"/>
      <c r="S490" s="79"/>
      <c r="X490" s="79"/>
      <c r="AD490" s="130"/>
      <c r="AF490" s="106"/>
    </row>
    <row r="491">
      <c r="C491" s="79"/>
      <c r="D491" s="79"/>
      <c r="E491" s="79"/>
      <c r="O491" s="79"/>
      <c r="R491" s="79"/>
      <c r="S491" s="79"/>
      <c r="X491" s="79"/>
      <c r="AD491" s="130"/>
      <c r="AF491" s="106"/>
    </row>
    <row r="492">
      <c r="C492" s="79"/>
      <c r="D492" s="79"/>
      <c r="E492" s="79"/>
      <c r="O492" s="79"/>
      <c r="R492" s="79"/>
      <c r="S492" s="79"/>
      <c r="X492" s="79"/>
      <c r="AD492" s="130"/>
      <c r="AF492" s="106"/>
    </row>
    <row r="493">
      <c r="C493" s="79"/>
      <c r="D493" s="79"/>
      <c r="E493" s="79"/>
      <c r="O493" s="79"/>
      <c r="R493" s="79"/>
      <c r="S493" s="79"/>
      <c r="X493" s="79"/>
      <c r="AD493" s="130"/>
      <c r="AF493" s="106"/>
    </row>
    <row r="494">
      <c r="C494" s="79"/>
      <c r="D494" s="79"/>
      <c r="E494" s="79"/>
      <c r="O494" s="79"/>
      <c r="R494" s="79"/>
      <c r="S494" s="79"/>
      <c r="X494" s="79"/>
      <c r="AD494" s="130"/>
      <c r="AF494" s="106"/>
    </row>
    <row r="495">
      <c r="C495" s="79"/>
      <c r="D495" s="79"/>
      <c r="E495" s="79"/>
      <c r="O495" s="79"/>
      <c r="R495" s="79"/>
      <c r="S495" s="79"/>
      <c r="X495" s="79"/>
      <c r="AD495" s="130"/>
      <c r="AF495" s="106"/>
    </row>
    <row r="496">
      <c r="C496" s="79"/>
      <c r="D496" s="79"/>
      <c r="E496" s="79"/>
      <c r="O496" s="79"/>
      <c r="R496" s="79"/>
      <c r="S496" s="79"/>
      <c r="X496" s="79"/>
      <c r="AD496" s="130"/>
      <c r="AF496" s="106"/>
    </row>
    <row r="497">
      <c r="C497" s="79"/>
      <c r="D497" s="79"/>
      <c r="E497" s="79"/>
      <c r="O497" s="79"/>
      <c r="R497" s="79"/>
      <c r="S497" s="79"/>
      <c r="X497" s="79"/>
      <c r="AD497" s="130"/>
      <c r="AF497" s="106"/>
    </row>
    <row r="498">
      <c r="C498" s="79"/>
      <c r="D498" s="79"/>
      <c r="E498" s="79"/>
      <c r="O498" s="79"/>
      <c r="R498" s="79"/>
      <c r="S498" s="79"/>
      <c r="X498" s="79"/>
      <c r="AD498" s="130"/>
      <c r="AF498" s="106"/>
    </row>
    <row r="499">
      <c r="C499" s="79"/>
      <c r="D499" s="79"/>
      <c r="E499" s="79"/>
      <c r="O499" s="79"/>
      <c r="R499" s="79"/>
      <c r="S499" s="79"/>
      <c r="X499" s="79"/>
      <c r="AD499" s="130"/>
      <c r="AF499" s="106"/>
    </row>
    <row r="500">
      <c r="C500" s="79"/>
      <c r="D500" s="79"/>
      <c r="E500" s="79"/>
      <c r="O500" s="79"/>
      <c r="R500" s="79"/>
      <c r="S500" s="79"/>
      <c r="X500" s="79"/>
      <c r="AD500" s="130"/>
      <c r="AF500" s="106"/>
    </row>
    <row r="501">
      <c r="C501" s="79"/>
      <c r="D501" s="79"/>
      <c r="E501" s="79"/>
      <c r="O501" s="79"/>
      <c r="R501" s="79"/>
      <c r="S501" s="79"/>
      <c r="X501" s="79"/>
      <c r="AD501" s="130"/>
      <c r="AF501" s="106"/>
    </row>
    <row r="502">
      <c r="C502" s="79"/>
      <c r="D502" s="79"/>
      <c r="E502" s="79"/>
      <c r="O502" s="79"/>
      <c r="R502" s="79"/>
      <c r="S502" s="79"/>
      <c r="X502" s="79"/>
      <c r="AD502" s="130"/>
      <c r="AF502" s="106"/>
    </row>
    <row r="503">
      <c r="C503" s="79"/>
      <c r="D503" s="79"/>
      <c r="E503" s="79"/>
      <c r="O503" s="79"/>
      <c r="R503" s="79"/>
      <c r="S503" s="79"/>
      <c r="X503" s="79"/>
      <c r="AD503" s="130"/>
      <c r="AF503" s="106"/>
    </row>
    <row r="504">
      <c r="C504" s="79"/>
      <c r="D504" s="79"/>
      <c r="E504" s="79"/>
      <c r="O504" s="79"/>
      <c r="R504" s="79"/>
      <c r="S504" s="79"/>
      <c r="X504" s="79"/>
      <c r="AD504" s="130"/>
      <c r="AF504" s="106"/>
    </row>
    <row r="505">
      <c r="C505" s="79"/>
      <c r="D505" s="79"/>
      <c r="E505" s="79"/>
      <c r="O505" s="79"/>
      <c r="R505" s="79"/>
      <c r="S505" s="79"/>
      <c r="X505" s="79"/>
      <c r="AD505" s="130"/>
      <c r="AF505" s="106"/>
    </row>
    <row r="506">
      <c r="C506" s="79"/>
      <c r="D506" s="79"/>
      <c r="E506" s="79"/>
      <c r="O506" s="79"/>
      <c r="R506" s="79"/>
      <c r="S506" s="79"/>
      <c r="X506" s="79"/>
      <c r="AD506" s="130"/>
      <c r="AF506" s="106"/>
    </row>
    <row r="507">
      <c r="C507" s="79"/>
      <c r="D507" s="79"/>
      <c r="E507" s="79"/>
      <c r="O507" s="79"/>
      <c r="R507" s="79"/>
      <c r="S507" s="79"/>
      <c r="X507" s="79"/>
      <c r="AD507" s="130"/>
      <c r="AF507" s="106"/>
    </row>
    <row r="508">
      <c r="C508" s="79"/>
      <c r="D508" s="79"/>
      <c r="E508" s="79"/>
      <c r="O508" s="79"/>
      <c r="R508" s="79"/>
      <c r="S508" s="79"/>
      <c r="X508" s="79"/>
      <c r="AD508" s="130"/>
      <c r="AF508" s="106"/>
    </row>
    <row r="509">
      <c r="C509" s="79"/>
      <c r="D509" s="79"/>
      <c r="E509" s="79"/>
      <c r="O509" s="79"/>
      <c r="R509" s="79"/>
      <c r="S509" s="79"/>
      <c r="X509" s="79"/>
      <c r="AD509" s="130"/>
      <c r="AF509" s="106"/>
    </row>
    <row r="510">
      <c r="C510" s="79"/>
      <c r="D510" s="79"/>
      <c r="E510" s="79"/>
      <c r="O510" s="79"/>
      <c r="R510" s="79"/>
      <c r="S510" s="79"/>
      <c r="X510" s="79"/>
      <c r="AD510" s="130"/>
      <c r="AF510" s="106"/>
    </row>
    <row r="511">
      <c r="C511" s="79"/>
      <c r="D511" s="79"/>
      <c r="E511" s="79"/>
      <c r="O511" s="79"/>
      <c r="R511" s="79"/>
      <c r="S511" s="79"/>
      <c r="X511" s="79"/>
      <c r="AD511" s="130"/>
      <c r="AF511" s="106"/>
    </row>
    <row r="512">
      <c r="C512" s="79"/>
      <c r="D512" s="79"/>
      <c r="E512" s="79"/>
      <c r="O512" s="79"/>
      <c r="R512" s="79"/>
      <c r="S512" s="79"/>
      <c r="X512" s="79"/>
      <c r="AD512" s="130"/>
      <c r="AF512" s="106"/>
    </row>
    <row r="513">
      <c r="C513" s="79"/>
      <c r="D513" s="79"/>
      <c r="E513" s="79"/>
      <c r="O513" s="79"/>
      <c r="R513" s="79"/>
      <c r="S513" s="79"/>
      <c r="X513" s="79"/>
      <c r="AD513" s="130"/>
      <c r="AF513" s="106"/>
    </row>
    <row r="514">
      <c r="C514" s="79"/>
      <c r="D514" s="79"/>
      <c r="E514" s="79"/>
      <c r="O514" s="79"/>
      <c r="R514" s="79"/>
      <c r="S514" s="79"/>
      <c r="X514" s="79"/>
      <c r="AD514" s="130"/>
      <c r="AF514" s="106"/>
    </row>
    <row r="515">
      <c r="C515" s="79"/>
      <c r="D515" s="79"/>
      <c r="E515" s="79"/>
      <c r="O515" s="79"/>
      <c r="R515" s="79"/>
      <c r="S515" s="79"/>
      <c r="X515" s="79"/>
      <c r="AD515" s="130"/>
      <c r="AF515" s="106"/>
    </row>
    <row r="516">
      <c r="C516" s="79"/>
      <c r="D516" s="79"/>
      <c r="E516" s="79"/>
      <c r="O516" s="79"/>
      <c r="R516" s="79"/>
      <c r="S516" s="79"/>
      <c r="X516" s="79"/>
      <c r="AD516" s="130"/>
      <c r="AF516" s="106"/>
    </row>
    <row r="517">
      <c r="C517" s="79"/>
      <c r="D517" s="79"/>
      <c r="E517" s="79"/>
      <c r="O517" s="79"/>
      <c r="R517" s="79"/>
      <c r="S517" s="79"/>
      <c r="X517" s="79"/>
      <c r="AD517" s="130"/>
      <c r="AF517" s="106"/>
    </row>
    <row r="518">
      <c r="C518" s="79"/>
      <c r="D518" s="79"/>
      <c r="E518" s="79"/>
      <c r="O518" s="79"/>
      <c r="R518" s="79"/>
      <c r="S518" s="79"/>
      <c r="X518" s="79"/>
      <c r="AD518" s="130"/>
      <c r="AF518" s="106"/>
    </row>
    <row r="519">
      <c r="C519" s="79"/>
      <c r="D519" s="79"/>
      <c r="E519" s="79"/>
      <c r="O519" s="79"/>
      <c r="R519" s="79"/>
      <c r="S519" s="79"/>
      <c r="X519" s="79"/>
      <c r="AD519" s="130"/>
      <c r="AF519" s="106"/>
    </row>
    <row r="520">
      <c r="C520" s="79"/>
      <c r="D520" s="79"/>
      <c r="E520" s="79"/>
      <c r="O520" s="79"/>
      <c r="R520" s="79"/>
      <c r="S520" s="79"/>
      <c r="X520" s="79"/>
      <c r="AD520" s="130"/>
      <c r="AF520" s="106"/>
    </row>
    <row r="521">
      <c r="C521" s="79"/>
      <c r="D521" s="79"/>
      <c r="E521" s="79"/>
      <c r="O521" s="79"/>
      <c r="R521" s="79"/>
      <c r="S521" s="79"/>
      <c r="X521" s="79"/>
      <c r="AD521" s="130"/>
      <c r="AF521" s="106"/>
    </row>
    <row r="522">
      <c r="C522" s="79"/>
      <c r="D522" s="79"/>
      <c r="E522" s="79"/>
      <c r="O522" s="79"/>
      <c r="R522" s="79"/>
      <c r="S522" s="79"/>
      <c r="X522" s="79"/>
      <c r="AD522" s="130"/>
      <c r="AF522" s="106"/>
    </row>
    <row r="523">
      <c r="C523" s="79"/>
      <c r="D523" s="79"/>
      <c r="E523" s="79"/>
      <c r="O523" s="79"/>
      <c r="R523" s="79"/>
      <c r="S523" s="79"/>
      <c r="X523" s="79"/>
      <c r="AD523" s="130"/>
      <c r="AF523" s="106"/>
    </row>
    <row r="524">
      <c r="C524" s="79"/>
      <c r="D524" s="79"/>
      <c r="E524" s="79"/>
      <c r="O524" s="79"/>
      <c r="R524" s="79"/>
      <c r="S524" s="79"/>
      <c r="X524" s="79"/>
      <c r="AD524" s="130"/>
      <c r="AF524" s="106"/>
    </row>
    <row r="525">
      <c r="C525" s="79"/>
      <c r="D525" s="79"/>
      <c r="E525" s="79"/>
      <c r="O525" s="79"/>
      <c r="R525" s="79"/>
      <c r="S525" s="79"/>
      <c r="X525" s="79"/>
      <c r="AD525" s="130"/>
      <c r="AF525" s="106"/>
    </row>
    <row r="526">
      <c r="C526" s="79"/>
      <c r="D526" s="79"/>
      <c r="E526" s="79"/>
      <c r="O526" s="79"/>
      <c r="R526" s="79"/>
      <c r="S526" s="79"/>
      <c r="X526" s="79"/>
      <c r="AD526" s="130"/>
      <c r="AF526" s="106"/>
    </row>
    <row r="527">
      <c r="C527" s="79"/>
      <c r="D527" s="79"/>
      <c r="E527" s="79"/>
      <c r="O527" s="79"/>
      <c r="R527" s="79"/>
      <c r="S527" s="79"/>
      <c r="X527" s="79"/>
      <c r="AD527" s="130"/>
      <c r="AF527" s="106"/>
    </row>
    <row r="528">
      <c r="C528" s="79"/>
      <c r="D528" s="79"/>
      <c r="E528" s="79"/>
      <c r="O528" s="79"/>
      <c r="R528" s="79"/>
      <c r="S528" s="79"/>
      <c r="X528" s="79"/>
      <c r="AD528" s="130"/>
      <c r="AF528" s="106"/>
    </row>
    <row r="529">
      <c r="C529" s="79"/>
      <c r="D529" s="79"/>
      <c r="E529" s="79"/>
      <c r="O529" s="79"/>
      <c r="R529" s="79"/>
      <c r="S529" s="79"/>
      <c r="X529" s="79"/>
      <c r="AD529" s="130"/>
      <c r="AF529" s="106"/>
    </row>
    <row r="530">
      <c r="C530" s="79"/>
      <c r="D530" s="79"/>
      <c r="E530" s="79"/>
      <c r="O530" s="79"/>
      <c r="R530" s="79"/>
      <c r="S530" s="79"/>
      <c r="X530" s="79"/>
      <c r="AD530" s="130"/>
      <c r="AF530" s="106"/>
    </row>
    <row r="531">
      <c r="C531" s="79"/>
      <c r="D531" s="79"/>
      <c r="E531" s="79"/>
      <c r="O531" s="79"/>
      <c r="R531" s="79"/>
      <c r="S531" s="79"/>
      <c r="X531" s="79"/>
      <c r="AD531" s="130"/>
      <c r="AF531" s="106"/>
    </row>
    <row r="532">
      <c r="C532" s="79"/>
      <c r="D532" s="79"/>
      <c r="E532" s="79"/>
      <c r="O532" s="79"/>
      <c r="R532" s="79"/>
      <c r="S532" s="79"/>
      <c r="X532" s="79"/>
      <c r="AD532" s="130"/>
      <c r="AF532" s="106"/>
    </row>
    <row r="533">
      <c r="C533" s="79"/>
      <c r="D533" s="79"/>
      <c r="E533" s="79"/>
      <c r="O533" s="79"/>
      <c r="R533" s="79"/>
      <c r="S533" s="79"/>
      <c r="X533" s="79"/>
      <c r="AD533" s="130"/>
      <c r="AF533" s="106"/>
    </row>
    <row r="534">
      <c r="C534" s="79"/>
      <c r="D534" s="79"/>
      <c r="E534" s="79"/>
      <c r="O534" s="79"/>
      <c r="R534" s="79"/>
      <c r="S534" s="79"/>
      <c r="X534" s="79"/>
      <c r="AD534" s="130"/>
      <c r="AF534" s="106"/>
    </row>
    <row r="535">
      <c r="C535" s="79"/>
      <c r="D535" s="79"/>
      <c r="E535" s="79"/>
      <c r="O535" s="79"/>
      <c r="R535" s="79"/>
      <c r="S535" s="79"/>
      <c r="X535" s="79"/>
      <c r="AD535" s="130"/>
      <c r="AF535" s="106"/>
    </row>
    <row r="536">
      <c r="C536" s="79"/>
      <c r="D536" s="79"/>
      <c r="E536" s="79"/>
      <c r="O536" s="79"/>
      <c r="R536" s="79"/>
      <c r="S536" s="79"/>
      <c r="X536" s="79"/>
      <c r="AD536" s="130"/>
      <c r="AF536" s="106"/>
    </row>
    <row r="537">
      <c r="C537" s="79"/>
      <c r="D537" s="79"/>
      <c r="E537" s="79"/>
      <c r="O537" s="79"/>
      <c r="R537" s="79"/>
      <c r="S537" s="79"/>
      <c r="X537" s="79"/>
      <c r="AD537" s="130"/>
      <c r="AF537" s="106"/>
    </row>
    <row r="538">
      <c r="C538" s="79"/>
      <c r="D538" s="79"/>
      <c r="E538" s="79"/>
      <c r="O538" s="79"/>
      <c r="R538" s="79"/>
      <c r="S538" s="79"/>
      <c r="X538" s="79"/>
      <c r="AD538" s="130"/>
      <c r="AF538" s="106"/>
    </row>
    <row r="539">
      <c r="C539" s="79"/>
      <c r="D539" s="79"/>
      <c r="E539" s="79"/>
      <c r="O539" s="79"/>
      <c r="R539" s="79"/>
      <c r="S539" s="79"/>
      <c r="X539" s="79"/>
      <c r="AD539" s="130"/>
      <c r="AF539" s="106"/>
    </row>
    <row r="540">
      <c r="C540" s="79"/>
      <c r="D540" s="79"/>
      <c r="E540" s="79"/>
      <c r="O540" s="79"/>
      <c r="R540" s="79"/>
      <c r="S540" s="79"/>
      <c r="X540" s="79"/>
      <c r="AD540" s="130"/>
      <c r="AF540" s="106"/>
    </row>
    <row r="541">
      <c r="C541" s="79"/>
      <c r="D541" s="79"/>
      <c r="E541" s="79"/>
      <c r="O541" s="79"/>
      <c r="R541" s="79"/>
      <c r="S541" s="79"/>
      <c r="X541" s="79"/>
      <c r="AD541" s="130"/>
      <c r="AF541" s="106"/>
    </row>
    <row r="542">
      <c r="C542" s="79"/>
      <c r="D542" s="79"/>
      <c r="E542" s="79"/>
      <c r="O542" s="79"/>
      <c r="R542" s="79"/>
      <c r="S542" s="79"/>
      <c r="X542" s="79"/>
      <c r="AD542" s="130"/>
      <c r="AF542" s="106"/>
    </row>
    <row r="543">
      <c r="C543" s="79"/>
      <c r="D543" s="79"/>
      <c r="E543" s="79"/>
      <c r="O543" s="79"/>
      <c r="R543" s="79"/>
      <c r="S543" s="79"/>
      <c r="X543" s="79"/>
      <c r="AD543" s="130"/>
      <c r="AF543" s="106"/>
    </row>
    <row r="544">
      <c r="C544" s="79"/>
      <c r="D544" s="79"/>
      <c r="E544" s="79"/>
      <c r="O544" s="79"/>
      <c r="R544" s="79"/>
      <c r="S544" s="79"/>
      <c r="X544" s="79"/>
      <c r="AD544" s="130"/>
      <c r="AF544" s="106"/>
    </row>
    <row r="545">
      <c r="C545" s="79"/>
      <c r="D545" s="79"/>
      <c r="E545" s="79"/>
      <c r="O545" s="79"/>
      <c r="R545" s="79"/>
      <c r="S545" s="79"/>
      <c r="X545" s="79"/>
      <c r="AD545" s="130"/>
      <c r="AF545" s="106"/>
    </row>
    <row r="546">
      <c r="C546" s="79"/>
      <c r="D546" s="79"/>
      <c r="E546" s="79"/>
      <c r="O546" s="79"/>
      <c r="R546" s="79"/>
      <c r="S546" s="79"/>
      <c r="X546" s="79"/>
      <c r="AD546" s="130"/>
      <c r="AF546" s="106"/>
    </row>
    <row r="547">
      <c r="C547" s="79"/>
      <c r="D547" s="79"/>
      <c r="E547" s="79"/>
      <c r="O547" s="79"/>
      <c r="R547" s="79"/>
      <c r="S547" s="79"/>
      <c r="X547" s="79"/>
      <c r="AD547" s="130"/>
      <c r="AF547" s="106"/>
    </row>
    <row r="548">
      <c r="C548" s="79"/>
      <c r="D548" s="79"/>
      <c r="E548" s="79"/>
      <c r="O548" s="79"/>
      <c r="R548" s="79"/>
      <c r="S548" s="79"/>
      <c r="X548" s="79"/>
      <c r="AD548" s="130"/>
      <c r="AF548" s="106"/>
    </row>
    <row r="549">
      <c r="C549" s="79"/>
      <c r="D549" s="79"/>
      <c r="E549" s="79"/>
      <c r="O549" s="79"/>
      <c r="R549" s="79"/>
      <c r="S549" s="79"/>
      <c r="X549" s="79"/>
      <c r="AD549" s="130"/>
      <c r="AF549" s="106"/>
    </row>
    <row r="550">
      <c r="C550" s="79"/>
      <c r="D550" s="79"/>
      <c r="E550" s="79"/>
      <c r="O550" s="79"/>
      <c r="R550" s="79"/>
      <c r="S550" s="79"/>
      <c r="X550" s="79"/>
      <c r="AD550" s="130"/>
      <c r="AF550" s="106"/>
    </row>
    <row r="551">
      <c r="C551" s="79"/>
      <c r="D551" s="79"/>
      <c r="E551" s="79"/>
      <c r="O551" s="79"/>
      <c r="R551" s="79"/>
      <c r="S551" s="79"/>
      <c r="X551" s="79"/>
      <c r="AD551" s="130"/>
      <c r="AF551" s="106"/>
    </row>
    <row r="552">
      <c r="C552" s="79"/>
      <c r="D552" s="79"/>
      <c r="E552" s="79"/>
      <c r="O552" s="79"/>
      <c r="R552" s="79"/>
      <c r="S552" s="79"/>
      <c r="X552" s="79"/>
      <c r="AD552" s="130"/>
      <c r="AF552" s="106"/>
    </row>
    <row r="553">
      <c r="C553" s="79"/>
      <c r="D553" s="79"/>
      <c r="E553" s="79"/>
      <c r="O553" s="79"/>
      <c r="R553" s="79"/>
      <c r="S553" s="79"/>
      <c r="X553" s="79"/>
      <c r="AD553" s="130"/>
      <c r="AF553" s="106"/>
    </row>
    <row r="554">
      <c r="C554" s="79"/>
      <c r="D554" s="79"/>
      <c r="E554" s="79"/>
      <c r="O554" s="79"/>
      <c r="R554" s="79"/>
      <c r="S554" s="79"/>
      <c r="X554" s="79"/>
      <c r="AD554" s="130"/>
      <c r="AF554" s="106"/>
    </row>
    <row r="555">
      <c r="C555" s="79"/>
      <c r="D555" s="79"/>
      <c r="E555" s="79"/>
      <c r="O555" s="79"/>
      <c r="R555" s="79"/>
      <c r="S555" s="79"/>
      <c r="X555" s="79"/>
      <c r="AD555" s="130"/>
      <c r="AF555" s="106"/>
    </row>
    <row r="556">
      <c r="C556" s="79"/>
      <c r="D556" s="79"/>
      <c r="E556" s="79"/>
      <c r="O556" s="79"/>
      <c r="R556" s="79"/>
      <c r="S556" s="79"/>
      <c r="X556" s="79"/>
      <c r="AD556" s="130"/>
      <c r="AF556" s="106"/>
    </row>
    <row r="557">
      <c r="C557" s="79"/>
      <c r="D557" s="79"/>
      <c r="E557" s="79"/>
      <c r="O557" s="79"/>
      <c r="R557" s="79"/>
      <c r="S557" s="79"/>
      <c r="X557" s="79"/>
      <c r="AD557" s="130"/>
      <c r="AF557" s="106"/>
    </row>
    <row r="558">
      <c r="C558" s="79"/>
      <c r="D558" s="79"/>
      <c r="E558" s="79"/>
      <c r="O558" s="79"/>
      <c r="R558" s="79"/>
      <c r="S558" s="79"/>
      <c r="X558" s="79"/>
      <c r="AD558" s="130"/>
      <c r="AF558" s="106"/>
    </row>
    <row r="559">
      <c r="C559" s="79"/>
      <c r="D559" s="79"/>
      <c r="E559" s="79"/>
      <c r="O559" s="79"/>
      <c r="R559" s="79"/>
      <c r="S559" s="79"/>
      <c r="X559" s="79"/>
      <c r="AD559" s="130"/>
      <c r="AF559" s="106"/>
    </row>
    <row r="560">
      <c r="C560" s="79"/>
      <c r="D560" s="79"/>
      <c r="E560" s="79"/>
      <c r="O560" s="79"/>
      <c r="R560" s="79"/>
      <c r="S560" s="79"/>
      <c r="X560" s="79"/>
      <c r="AD560" s="130"/>
      <c r="AF560" s="106"/>
    </row>
    <row r="561">
      <c r="C561" s="79"/>
      <c r="D561" s="79"/>
      <c r="E561" s="79"/>
      <c r="O561" s="79"/>
      <c r="R561" s="79"/>
      <c r="S561" s="79"/>
      <c r="X561" s="79"/>
      <c r="AD561" s="130"/>
      <c r="AF561" s="106"/>
    </row>
    <row r="562">
      <c r="C562" s="79"/>
      <c r="D562" s="79"/>
      <c r="E562" s="79"/>
      <c r="O562" s="79"/>
      <c r="R562" s="79"/>
      <c r="S562" s="79"/>
      <c r="X562" s="79"/>
      <c r="AD562" s="130"/>
      <c r="AF562" s="106"/>
    </row>
    <row r="563">
      <c r="C563" s="79"/>
      <c r="D563" s="79"/>
      <c r="E563" s="79"/>
      <c r="O563" s="79"/>
      <c r="R563" s="79"/>
      <c r="S563" s="79"/>
      <c r="X563" s="79"/>
      <c r="AD563" s="130"/>
      <c r="AF563" s="106"/>
    </row>
    <row r="564">
      <c r="C564" s="79"/>
      <c r="D564" s="79"/>
      <c r="E564" s="79"/>
      <c r="O564" s="79"/>
      <c r="R564" s="79"/>
      <c r="S564" s="79"/>
      <c r="X564" s="79"/>
      <c r="AD564" s="130"/>
      <c r="AF564" s="106"/>
    </row>
    <row r="565">
      <c r="C565" s="79"/>
      <c r="D565" s="79"/>
      <c r="E565" s="79"/>
      <c r="O565" s="79"/>
      <c r="R565" s="79"/>
      <c r="S565" s="79"/>
      <c r="X565" s="79"/>
      <c r="AD565" s="130"/>
      <c r="AF565" s="106"/>
    </row>
    <row r="566">
      <c r="C566" s="79"/>
      <c r="D566" s="79"/>
      <c r="E566" s="79"/>
      <c r="O566" s="79"/>
      <c r="R566" s="79"/>
      <c r="S566" s="79"/>
      <c r="X566" s="79"/>
      <c r="AD566" s="130"/>
      <c r="AF566" s="106"/>
    </row>
    <row r="567">
      <c r="C567" s="79"/>
      <c r="D567" s="79"/>
      <c r="E567" s="79"/>
      <c r="O567" s="79"/>
      <c r="R567" s="79"/>
      <c r="S567" s="79"/>
      <c r="X567" s="79"/>
      <c r="AD567" s="130"/>
      <c r="AF567" s="106"/>
    </row>
    <row r="568">
      <c r="C568" s="79"/>
      <c r="D568" s="79"/>
      <c r="E568" s="79"/>
      <c r="O568" s="79"/>
      <c r="R568" s="79"/>
      <c r="S568" s="79"/>
      <c r="X568" s="79"/>
      <c r="AD568" s="130"/>
      <c r="AF568" s="106"/>
    </row>
    <row r="569">
      <c r="C569" s="79"/>
      <c r="D569" s="79"/>
      <c r="E569" s="79"/>
      <c r="O569" s="79"/>
      <c r="R569" s="79"/>
      <c r="S569" s="79"/>
      <c r="X569" s="79"/>
      <c r="AD569" s="130"/>
      <c r="AF569" s="106"/>
    </row>
    <row r="570">
      <c r="C570" s="79"/>
      <c r="D570" s="79"/>
      <c r="E570" s="79"/>
      <c r="O570" s="79"/>
      <c r="R570" s="79"/>
      <c r="S570" s="79"/>
      <c r="X570" s="79"/>
      <c r="AD570" s="130"/>
      <c r="AF570" s="106"/>
    </row>
    <row r="571">
      <c r="C571" s="79"/>
      <c r="D571" s="79"/>
      <c r="E571" s="79"/>
      <c r="O571" s="79"/>
      <c r="R571" s="79"/>
      <c r="S571" s="79"/>
      <c r="X571" s="79"/>
      <c r="AD571" s="130"/>
      <c r="AF571" s="106"/>
    </row>
    <row r="572">
      <c r="C572" s="79"/>
      <c r="D572" s="79"/>
      <c r="E572" s="79"/>
      <c r="O572" s="79"/>
      <c r="R572" s="79"/>
      <c r="S572" s="79"/>
      <c r="X572" s="79"/>
      <c r="AD572" s="130"/>
      <c r="AF572" s="106"/>
    </row>
    <row r="573">
      <c r="C573" s="79"/>
      <c r="D573" s="79"/>
      <c r="E573" s="79"/>
      <c r="O573" s="79"/>
      <c r="R573" s="79"/>
      <c r="S573" s="79"/>
      <c r="X573" s="79"/>
      <c r="AD573" s="130"/>
      <c r="AF573" s="106"/>
    </row>
    <row r="574">
      <c r="C574" s="79"/>
      <c r="D574" s="79"/>
      <c r="E574" s="79"/>
      <c r="O574" s="79"/>
      <c r="R574" s="79"/>
      <c r="S574" s="79"/>
      <c r="X574" s="79"/>
      <c r="AD574" s="130"/>
      <c r="AF574" s="106"/>
    </row>
    <row r="575">
      <c r="C575" s="79"/>
      <c r="D575" s="79"/>
      <c r="E575" s="79"/>
      <c r="O575" s="79"/>
      <c r="R575" s="79"/>
      <c r="S575" s="79"/>
      <c r="X575" s="79"/>
      <c r="AD575" s="130"/>
      <c r="AF575" s="106"/>
    </row>
    <row r="576">
      <c r="C576" s="79"/>
      <c r="D576" s="79"/>
      <c r="E576" s="79"/>
      <c r="O576" s="79"/>
      <c r="R576" s="79"/>
      <c r="S576" s="79"/>
      <c r="X576" s="79"/>
      <c r="AD576" s="130"/>
      <c r="AF576" s="106"/>
    </row>
    <row r="577">
      <c r="C577" s="79"/>
      <c r="D577" s="79"/>
      <c r="E577" s="79"/>
      <c r="O577" s="79"/>
      <c r="R577" s="79"/>
      <c r="S577" s="79"/>
      <c r="X577" s="79"/>
      <c r="AD577" s="130"/>
      <c r="AF577" s="106"/>
    </row>
    <row r="578">
      <c r="C578" s="79"/>
      <c r="D578" s="79"/>
      <c r="E578" s="79"/>
      <c r="O578" s="79"/>
      <c r="R578" s="79"/>
      <c r="S578" s="79"/>
      <c r="X578" s="79"/>
      <c r="AD578" s="130"/>
      <c r="AF578" s="106"/>
    </row>
    <row r="579">
      <c r="C579" s="79"/>
      <c r="D579" s="79"/>
      <c r="E579" s="79"/>
      <c r="O579" s="79"/>
      <c r="R579" s="79"/>
      <c r="S579" s="79"/>
      <c r="X579" s="79"/>
      <c r="AD579" s="130"/>
      <c r="AF579" s="106"/>
    </row>
    <row r="580">
      <c r="C580" s="79"/>
      <c r="D580" s="79"/>
      <c r="E580" s="79"/>
      <c r="O580" s="79"/>
      <c r="R580" s="79"/>
      <c r="S580" s="79"/>
      <c r="X580" s="79"/>
      <c r="AD580" s="130"/>
      <c r="AF580" s="106"/>
    </row>
    <row r="581">
      <c r="C581" s="79"/>
      <c r="D581" s="79"/>
      <c r="E581" s="79"/>
      <c r="O581" s="79"/>
      <c r="R581" s="79"/>
      <c r="S581" s="79"/>
      <c r="X581" s="79"/>
      <c r="AD581" s="130"/>
      <c r="AF581" s="106"/>
    </row>
    <row r="582">
      <c r="C582" s="79"/>
      <c r="D582" s="79"/>
      <c r="E582" s="79"/>
      <c r="O582" s="79"/>
      <c r="R582" s="79"/>
      <c r="S582" s="79"/>
      <c r="X582" s="79"/>
      <c r="AD582" s="130"/>
      <c r="AF582" s="106"/>
    </row>
    <row r="583">
      <c r="C583" s="79"/>
      <c r="D583" s="79"/>
      <c r="E583" s="79"/>
      <c r="O583" s="79"/>
      <c r="R583" s="79"/>
      <c r="S583" s="79"/>
      <c r="X583" s="79"/>
      <c r="AD583" s="130"/>
      <c r="AF583" s="106"/>
    </row>
    <row r="584">
      <c r="C584" s="79"/>
      <c r="D584" s="79"/>
      <c r="E584" s="79"/>
      <c r="O584" s="79"/>
      <c r="R584" s="79"/>
      <c r="S584" s="79"/>
      <c r="X584" s="79"/>
      <c r="AD584" s="130"/>
      <c r="AF584" s="106"/>
    </row>
    <row r="585">
      <c r="C585" s="79"/>
      <c r="D585" s="79"/>
      <c r="E585" s="79"/>
      <c r="O585" s="79"/>
      <c r="R585" s="79"/>
      <c r="S585" s="79"/>
      <c r="X585" s="79"/>
      <c r="AD585" s="130"/>
      <c r="AF585" s="106"/>
    </row>
    <row r="586">
      <c r="C586" s="79"/>
      <c r="D586" s="79"/>
      <c r="E586" s="79"/>
      <c r="O586" s="79"/>
      <c r="R586" s="79"/>
      <c r="S586" s="79"/>
      <c r="X586" s="79"/>
      <c r="AD586" s="130"/>
      <c r="AF586" s="106"/>
    </row>
    <row r="587">
      <c r="C587" s="79"/>
      <c r="D587" s="79"/>
      <c r="E587" s="79"/>
      <c r="O587" s="79"/>
      <c r="R587" s="79"/>
      <c r="S587" s="79"/>
      <c r="X587" s="79"/>
      <c r="AD587" s="130"/>
      <c r="AF587" s="106"/>
    </row>
    <row r="588">
      <c r="C588" s="79"/>
      <c r="D588" s="79"/>
      <c r="E588" s="79"/>
      <c r="O588" s="79"/>
      <c r="R588" s="79"/>
      <c r="S588" s="79"/>
      <c r="X588" s="79"/>
      <c r="AD588" s="130"/>
      <c r="AF588" s="106"/>
    </row>
    <row r="589">
      <c r="C589" s="79"/>
      <c r="D589" s="79"/>
      <c r="E589" s="79"/>
      <c r="O589" s="79"/>
      <c r="R589" s="79"/>
      <c r="S589" s="79"/>
      <c r="X589" s="79"/>
      <c r="AD589" s="130"/>
      <c r="AF589" s="106"/>
    </row>
    <row r="590">
      <c r="C590" s="79"/>
      <c r="D590" s="79"/>
      <c r="E590" s="79"/>
      <c r="O590" s="79"/>
      <c r="R590" s="79"/>
      <c r="S590" s="79"/>
      <c r="X590" s="79"/>
      <c r="AD590" s="130"/>
      <c r="AF590" s="106"/>
    </row>
    <row r="591">
      <c r="C591" s="79"/>
      <c r="D591" s="79"/>
      <c r="E591" s="79"/>
      <c r="O591" s="79"/>
      <c r="R591" s="79"/>
      <c r="S591" s="79"/>
      <c r="X591" s="79"/>
      <c r="AD591" s="130"/>
      <c r="AF591" s="106"/>
    </row>
    <row r="592">
      <c r="C592" s="79"/>
      <c r="D592" s="79"/>
      <c r="E592" s="79"/>
      <c r="O592" s="79"/>
      <c r="R592" s="79"/>
      <c r="S592" s="79"/>
      <c r="X592" s="79"/>
      <c r="AD592" s="130"/>
      <c r="AF592" s="106"/>
    </row>
    <row r="593">
      <c r="C593" s="79"/>
      <c r="D593" s="79"/>
      <c r="E593" s="79"/>
      <c r="O593" s="79"/>
      <c r="R593" s="79"/>
      <c r="S593" s="79"/>
      <c r="X593" s="79"/>
      <c r="AD593" s="130"/>
      <c r="AF593" s="106"/>
    </row>
    <row r="594">
      <c r="C594" s="79"/>
      <c r="D594" s="79"/>
      <c r="E594" s="79"/>
      <c r="O594" s="79"/>
      <c r="R594" s="79"/>
      <c r="S594" s="79"/>
      <c r="X594" s="79"/>
      <c r="AD594" s="130"/>
      <c r="AF594" s="106"/>
    </row>
    <row r="595">
      <c r="C595" s="79"/>
      <c r="D595" s="79"/>
      <c r="E595" s="79"/>
      <c r="O595" s="79"/>
      <c r="R595" s="79"/>
      <c r="S595" s="79"/>
      <c r="X595" s="79"/>
      <c r="AD595" s="130"/>
      <c r="AF595" s="106"/>
    </row>
    <row r="596">
      <c r="C596" s="79"/>
      <c r="D596" s="79"/>
      <c r="E596" s="79"/>
      <c r="O596" s="79"/>
      <c r="R596" s="79"/>
      <c r="S596" s="79"/>
      <c r="X596" s="79"/>
      <c r="AD596" s="130"/>
      <c r="AF596" s="106"/>
    </row>
    <row r="597">
      <c r="C597" s="79"/>
      <c r="D597" s="79"/>
      <c r="E597" s="79"/>
      <c r="O597" s="79"/>
      <c r="R597" s="79"/>
      <c r="S597" s="79"/>
      <c r="X597" s="79"/>
      <c r="AD597" s="130"/>
      <c r="AF597" s="106"/>
    </row>
    <row r="598">
      <c r="C598" s="79"/>
      <c r="D598" s="79"/>
      <c r="E598" s="79"/>
      <c r="O598" s="79"/>
      <c r="R598" s="79"/>
      <c r="S598" s="79"/>
      <c r="X598" s="79"/>
      <c r="AD598" s="130"/>
      <c r="AF598" s="106"/>
    </row>
    <row r="599">
      <c r="C599" s="79"/>
      <c r="D599" s="79"/>
      <c r="E599" s="79"/>
      <c r="O599" s="79"/>
      <c r="R599" s="79"/>
      <c r="S599" s="79"/>
      <c r="X599" s="79"/>
      <c r="AD599" s="130"/>
      <c r="AF599" s="106"/>
    </row>
    <row r="600">
      <c r="C600" s="79"/>
      <c r="D600" s="79"/>
      <c r="E600" s="79"/>
      <c r="O600" s="79"/>
      <c r="R600" s="79"/>
      <c r="S600" s="79"/>
      <c r="X600" s="79"/>
      <c r="AD600" s="130"/>
      <c r="AF600" s="106"/>
    </row>
    <row r="601">
      <c r="C601" s="79"/>
      <c r="D601" s="79"/>
      <c r="E601" s="79"/>
      <c r="O601" s="79"/>
      <c r="R601" s="79"/>
      <c r="S601" s="79"/>
      <c r="X601" s="79"/>
      <c r="AD601" s="130"/>
      <c r="AF601" s="106"/>
    </row>
    <row r="602">
      <c r="C602" s="79"/>
      <c r="D602" s="79"/>
      <c r="E602" s="79"/>
      <c r="O602" s="79"/>
      <c r="R602" s="79"/>
      <c r="S602" s="79"/>
      <c r="X602" s="79"/>
      <c r="AD602" s="130"/>
      <c r="AF602" s="106"/>
    </row>
    <row r="603">
      <c r="C603" s="79"/>
      <c r="D603" s="79"/>
      <c r="E603" s="79"/>
      <c r="O603" s="79"/>
      <c r="R603" s="79"/>
      <c r="S603" s="79"/>
      <c r="X603" s="79"/>
      <c r="AD603" s="130"/>
      <c r="AF603" s="106"/>
    </row>
    <row r="604">
      <c r="C604" s="79"/>
      <c r="D604" s="79"/>
      <c r="E604" s="79"/>
      <c r="O604" s="79"/>
      <c r="R604" s="79"/>
      <c r="S604" s="79"/>
      <c r="X604" s="79"/>
      <c r="AD604" s="130"/>
      <c r="AF604" s="106"/>
    </row>
    <row r="605">
      <c r="C605" s="79"/>
      <c r="D605" s="79"/>
      <c r="E605" s="79"/>
      <c r="O605" s="79"/>
      <c r="R605" s="79"/>
      <c r="S605" s="79"/>
      <c r="X605" s="79"/>
      <c r="AD605" s="130"/>
      <c r="AF605" s="106"/>
    </row>
    <row r="606">
      <c r="C606" s="79"/>
      <c r="D606" s="79"/>
      <c r="E606" s="79"/>
      <c r="O606" s="79"/>
      <c r="R606" s="79"/>
      <c r="S606" s="79"/>
      <c r="X606" s="79"/>
      <c r="AD606" s="130"/>
      <c r="AF606" s="106"/>
    </row>
    <row r="607">
      <c r="C607" s="79"/>
      <c r="D607" s="79"/>
      <c r="E607" s="79"/>
      <c r="O607" s="79"/>
      <c r="R607" s="79"/>
      <c r="S607" s="79"/>
      <c r="X607" s="79"/>
      <c r="AD607" s="130"/>
      <c r="AF607" s="106"/>
    </row>
    <row r="608">
      <c r="C608" s="79"/>
      <c r="D608" s="79"/>
      <c r="E608" s="79"/>
      <c r="O608" s="79"/>
      <c r="R608" s="79"/>
      <c r="S608" s="79"/>
      <c r="X608" s="79"/>
      <c r="AD608" s="130"/>
      <c r="AF608" s="106"/>
    </row>
    <row r="609">
      <c r="C609" s="79"/>
      <c r="D609" s="79"/>
      <c r="E609" s="79"/>
      <c r="O609" s="79"/>
      <c r="R609" s="79"/>
      <c r="S609" s="79"/>
      <c r="X609" s="79"/>
      <c r="AD609" s="130"/>
      <c r="AF609" s="106"/>
    </row>
    <row r="610">
      <c r="C610" s="79"/>
      <c r="D610" s="79"/>
      <c r="E610" s="79"/>
      <c r="O610" s="79"/>
      <c r="R610" s="79"/>
      <c r="S610" s="79"/>
      <c r="X610" s="79"/>
      <c r="AD610" s="130"/>
      <c r="AF610" s="106"/>
    </row>
    <row r="611">
      <c r="C611" s="79"/>
      <c r="D611" s="79"/>
      <c r="E611" s="79"/>
      <c r="O611" s="79"/>
      <c r="R611" s="79"/>
      <c r="S611" s="79"/>
      <c r="X611" s="79"/>
      <c r="AD611" s="130"/>
      <c r="AF611" s="106"/>
    </row>
    <row r="612">
      <c r="C612" s="79"/>
      <c r="D612" s="79"/>
      <c r="E612" s="79"/>
      <c r="O612" s="79"/>
      <c r="R612" s="79"/>
      <c r="S612" s="79"/>
      <c r="X612" s="79"/>
      <c r="AD612" s="130"/>
      <c r="AF612" s="106"/>
    </row>
    <row r="613">
      <c r="C613" s="79"/>
      <c r="D613" s="79"/>
      <c r="E613" s="79"/>
      <c r="O613" s="79"/>
      <c r="R613" s="79"/>
      <c r="S613" s="79"/>
      <c r="X613" s="79"/>
      <c r="AD613" s="130"/>
      <c r="AF613" s="106"/>
    </row>
    <row r="614">
      <c r="C614" s="79"/>
      <c r="D614" s="79"/>
      <c r="E614" s="79"/>
      <c r="O614" s="79"/>
      <c r="R614" s="79"/>
      <c r="S614" s="79"/>
      <c r="X614" s="79"/>
      <c r="AD614" s="130"/>
      <c r="AF614" s="106"/>
    </row>
    <row r="615">
      <c r="C615" s="79"/>
      <c r="D615" s="79"/>
      <c r="E615" s="79"/>
      <c r="O615" s="79"/>
      <c r="R615" s="79"/>
      <c r="S615" s="79"/>
      <c r="X615" s="79"/>
      <c r="AD615" s="130"/>
      <c r="AF615" s="106"/>
    </row>
    <row r="616">
      <c r="C616" s="79"/>
      <c r="D616" s="79"/>
      <c r="E616" s="79"/>
      <c r="O616" s="79"/>
      <c r="R616" s="79"/>
      <c r="S616" s="79"/>
      <c r="X616" s="79"/>
      <c r="AD616" s="130"/>
      <c r="AF616" s="106"/>
    </row>
    <row r="617">
      <c r="C617" s="79"/>
      <c r="D617" s="79"/>
      <c r="E617" s="79"/>
      <c r="O617" s="79"/>
      <c r="R617" s="79"/>
      <c r="S617" s="79"/>
      <c r="X617" s="79"/>
      <c r="AD617" s="130"/>
      <c r="AF617" s="106"/>
    </row>
    <row r="618">
      <c r="C618" s="79"/>
      <c r="D618" s="79"/>
      <c r="E618" s="79"/>
      <c r="O618" s="79"/>
      <c r="R618" s="79"/>
      <c r="S618" s="79"/>
      <c r="X618" s="79"/>
      <c r="AD618" s="130"/>
      <c r="AF618" s="106"/>
    </row>
    <row r="619">
      <c r="C619" s="79"/>
      <c r="D619" s="79"/>
      <c r="E619" s="79"/>
      <c r="O619" s="79"/>
      <c r="R619" s="79"/>
      <c r="S619" s="79"/>
      <c r="X619" s="79"/>
      <c r="AD619" s="130"/>
      <c r="AF619" s="106"/>
    </row>
    <row r="620">
      <c r="C620" s="79"/>
      <c r="D620" s="79"/>
      <c r="E620" s="79"/>
      <c r="O620" s="79"/>
      <c r="R620" s="79"/>
      <c r="S620" s="79"/>
      <c r="X620" s="79"/>
      <c r="AD620" s="130"/>
      <c r="AF620" s="106"/>
    </row>
    <row r="621">
      <c r="C621" s="79"/>
      <c r="D621" s="79"/>
      <c r="E621" s="79"/>
      <c r="O621" s="79"/>
      <c r="R621" s="79"/>
      <c r="S621" s="79"/>
      <c r="X621" s="79"/>
      <c r="AD621" s="130"/>
      <c r="AF621" s="106"/>
    </row>
    <row r="622">
      <c r="C622" s="79"/>
      <c r="D622" s="79"/>
      <c r="E622" s="79"/>
      <c r="O622" s="79"/>
      <c r="R622" s="79"/>
      <c r="S622" s="79"/>
      <c r="X622" s="79"/>
      <c r="AD622" s="130"/>
      <c r="AF622" s="106"/>
    </row>
    <row r="623">
      <c r="C623" s="79"/>
      <c r="D623" s="79"/>
      <c r="E623" s="79"/>
      <c r="O623" s="79"/>
      <c r="R623" s="79"/>
      <c r="S623" s="79"/>
      <c r="X623" s="79"/>
      <c r="AD623" s="130"/>
      <c r="AF623" s="106"/>
    </row>
    <row r="624">
      <c r="C624" s="79"/>
      <c r="D624" s="79"/>
      <c r="E624" s="79"/>
      <c r="O624" s="79"/>
      <c r="R624" s="79"/>
      <c r="S624" s="79"/>
      <c r="X624" s="79"/>
      <c r="AD624" s="130"/>
      <c r="AF624" s="106"/>
    </row>
    <row r="625">
      <c r="C625" s="79"/>
      <c r="D625" s="79"/>
      <c r="E625" s="79"/>
      <c r="O625" s="79"/>
      <c r="R625" s="79"/>
      <c r="S625" s="79"/>
      <c r="X625" s="79"/>
      <c r="AD625" s="130"/>
      <c r="AF625" s="106"/>
    </row>
    <row r="626">
      <c r="C626" s="79"/>
      <c r="D626" s="79"/>
      <c r="E626" s="79"/>
      <c r="O626" s="79"/>
      <c r="R626" s="79"/>
      <c r="S626" s="79"/>
      <c r="X626" s="79"/>
      <c r="AD626" s="130"/>
      <c r="AF626" s="106"/>
    </row>
    <row r="627">
      <c r="C627" s="79"/>
      <c r="D627" s="79"/>
      <c r="E627" s="79"/>
      <c r="O627" s="79"/>
      <c r="R627" s="79"/>
      <c r="S627" s="79"/>
      <c r="X627" s="79"/>
      <c r="AD627" s="130"/>
      <c r="AF627" s="106"/>
    </row>
    <row r="628">
      <c r="C628" s="79"/>
      <c r="D628" s="79"/>
      <c r="E628" s="79"/>
      <c r="O628" s="79"/>
      <c r="R628" s="79"/>
      <c r="S628" s="79"/>
      <c r="X628" s="79"/>
      <c r="AD628" s="130"/>
      <c r="AF628" s="106"/>
    </row>
    <row r="629">
      <c r="C629" s="79"/>
      <c r="D629" s="79"/>
      <c r="E629" s="79"/>
      <c r="O629" s="79"/>
      <c r="R629" s="79"/>
      <c r="S629" s="79"/>
      <c r="X629" s="79"/>
      <c r="AD629" s="130"/>
      <c r="AF629" s="106"/>
    </row>
    <row r="630">
      <c r="C630" s="79"/>
      <c r="D630" s="79"/>
      <c r="E630" s="79"/>
      <c r="O630" s="79"/>
      <c r="R630" s="79"/>
      <c r="S630" s="79"/>
      <c r="X630" s="79"/>
      <c r="AD630" s="130"/>
      <c r="AF630" s="106"/>
    </row>
    <row r="631">
      <c r="C631" s="79"/>
      <c r="D631" s="79"/>
      <c r="E631" s="79"/>
      <c r="O631" s="79"/>
      <c r="R631" s="79"/>
      <c r="S631" s="79"/>
      <c r="X631" s="79"/>
      <c r="AD631" s="130"/>
      <c r="AF631" s="106"/>
    </row>
    <row r="632">
      <c r="C632" s="79"/>
      <c r="D632" s="79"/>
      <c r="E632" s="79"/>
      <c r="O632" s="79"/>
      <c r="R632" s="79"/>
      <c r="S632" s="79"/>
      <c r="X632" s="79"/>
      <c r="AD632" s="130"/>
      <c r="AF632" s="106"/>
    </row>
    <row r="633">
      <c r="C633" s="79"/>
      <c r="D633" s="79"/>
      <c r="E633" s="79"/>
      <c r="O633" s="79"/>
      <c r="R633" s="79"/>
      <c r="S633" s="79"/>
      <c r="X633" s="79"/>
      <c r="AD633" s="130"/>
      <c r="AF633" s="106"/>
    </row>
    <row r="634">
      <c r="C634" s="79"/>
      <c r="D634" s="79"/>
      <c r="E634" s="79"/>
      <c r="O634" s="79"/>
      <c r="R634" s="79"/>
      <c r="S634" s="79"/>
      <c r="X634" s="79"/>
      <c r="AD634" s="130"/>
      <c r="AF634" s="106"/>
    </row>
    <row r="635">
      <c r="C635" s="79"/>
      <c r="D635" s="79"/>
      <c r="E635" s="79"/>
      <c r="O635" s="79"/>
      <c r="R635" s="79"/>
      <c r="S635" s="79"/>
      <c r="X635" s="79"/>
      <c r="AD635" s="130"/>
      <c r="AF635" s="106"/>
    </row>
    <row r="636">
      <c r="C636" s="79"/>
      <c r="D636" s="79"/>
      <c r="E636" s="79"/>
      <c r="O636" s="79"/>
      <c r="R636" s="79"/>
      <c r="S636" s="79"/>
      <c r="X636" s="79"/>
      <c r="AD636" s="130"/>
      <c r="AF636" s="106"/>
    </row>
    <row r="637">
      <c r="C637" s="79"/>
      <c r="D637" s="79"/>
      <c r="E637" s="79"/>
      <c r="O637" s="79"/>
      <c r="R637" s="79"/>
      <c r="S637" s="79"/>
      <c r="X637" s="79"/>
      <c r="AD637" s="130"/>
      <c r="AF637" s="106"/>
    </row>
    <row r="638">
      <c r="C638" s="79"/>
      <c r="D638" s="79"/>
      <c r="E638" s="79"/>
      <c r="O638" s="79"/>
      <c r="R638" s="79"/>
      <c r="S638" s="79"/>
      <c r="X638" s="79"/>
      <c r="AD638" s="130"/>
      <c r="AF638" s="106"/>
    </row>
    <row r="639">
      <c r="C639" s="79"/>
      <c r="D639" s="79"/>
      <c r="E639" s="79"/>
      <c r="O639" s="79"/>
      <c r="R639" s="79"/>
      <c r="S639" s="79"/>
      <c r="X639" s="79"/>
      <c r="AD639" s="130"/>
      <c r="AF639" s="106"/>
    </row>
    <row r="640">
      <c r="C640" s="79"/>
      <c r="D640" s="79"/>
      <c r="E640" s="79"/>
      <c r="O640" s="79"/>
      <c r="R640" s="79"/>
      <c r="S640" s="79"/>
      <c r="X640" s="79"/>
      <c r="AD640" s="130"/>
      <c r="AF640" s="106"/>
    </row>
    <row r="641">
      <c r="C641" s="79"/>
      <c r="D641" s="79"/>
      <c r="E641" s="79"/>
      <c r="O641" s="79"/>
      <c r="R641" s="79"/>
      <c r="S641" s="79"/>
      <c r="X641" s="79"/>
      <c r="AD641" s="130"/>
      <c r="AF641" s="106"/>
    </row>
    <row r="642">
      <c r="C642" s="79"/>
      <c r="D642" s="79"/>
      <c r="E642" s="79"/>
      <c r="O642" s="79"/>
      <c r="R642" s="79"/>
      <c r="S642" s="79"/>
      <c r="X642" s="79"/>
      <c r="AD642" s="130"/>
      <c r="AF642" s="106"/>
    </row>
    <row r="643">
      <c r="C643" s="79"/>
      <c r="D643" s="79"/>
      <c r="E643" s="79"/>
      <c r="O643" s="79"/>
      <c r="R643" s="79"/>
      <c r="S643" s="79"/>
      <c r="X643" s="79"/>
      <c r="AD643" s="130"/>
      <c r="AF643" s="106"/>
    </row>
    <row r="644">
      <c r="C644" s="79"/>
      <c r="D644" s="79"/>
      <c r="E644" s="79"/>
      <c r="O644" s="79"/>
      <c r="R644" s="79"/>
      <c r="S644" s="79"/>
      <c r="X644" s="79"/>
      <c r="AD644" s="130"/>
      <c r="AF644" s="106"/>
    </row>
    <row r="645">
      <c r="C645" s="79"/>
      <c r="D645" s="79"/>
      <c r="E645" s="79"/>
      <c r="O645" s="79"/>
      <c r="R645" s="79"/>
      <c r="S645" s="79"/>
      <c r="X645" s="79"/>
      <c r="AD645" s="130"/>
      <c r="AF645" s="106"/>
    </row>
    <row r="646">
      <c r="C646" s="79"/>
      <c r="D646" s="79"/>
      <c r="E646" s="79"/>
      <c r="O646" s="79"/>
      <c r="R646" s="79"/>
      <c r="S646" s="79"/>
      <c r="X646" s="79"/>
      <c r="AD646" s="130"/>
      <c r="AF646" s="106"/>
    </row>
    <row r="647">
      <c r="C647" s="79"/>
      <c r="D647" s="79"/>
      <c r="E647" s="79"/>
      <c r="O647" s="79"/>
      <c r="R647" s="79"/>
      <c r="S647" s="79"/>
      <c r="X647" s="79"/>
      <c r="AD647" s="130"/>
      <c r="AF647" s="106"/>
    </row>
    <row r="648">
      <c r="C648" s="79"/>
      <c r="D648" s="79"/>
      <c r="E648" s="79"/>
      <c r="O648" s="79"/>
      <c r="R648" s="79"/>
      <c r="S648" s="79"/>
      <c r="X648" s="79"/>
      <c r="AD648" s="130"/>
      <c r="AF648" s="106"/>
    </row>
    <row r="649">
      <c r="C649" s="79"/>
      <c r="D649" s="79"/>
      <c r="E649" s="79"/>
      <c r="O649" s="79"/>
      <c r="R649" s="79"/>
      <c r="S649" s="79"/>
      <c r="X649" s="79"/>
      <c r="AD649" s="130"/>
      <c r="AF649" s="106"/>
    </row>
    <row r="650">
      <c r="C650" s="79"/>
      <c r="D650" s="79"/>
      <c r="E650" s="79"/>
      <c r="O650" s="79"/>
      <c r="R650" s="79"/>
      <c r="S650" s="79"/>
      <c r="X650" s="79"/>
      <c r="AD650" s="130"/>
      <c r="AF650" s="106"/>
    </row>
    <row r="651">
      <c r="C651" s="79"/>
      <c r="D651" s="79"/>
      <c r="E651" s="79"/>
      <c r="O651" s="79"/>
      <c r="R651" s="79"/>
      <c r="S651" s="79"/>
      <c r="X651" s="79"/>
      <c r="AD651" s="130"/>
      <c r="AF651" s="106"/>
    </row>
    <row r="652">
      <c r="C652" s="79"/>
      <c r="D652" s="79"/>
      <c r="E652" s="79"/>
      <c r="O652" s="79"/>
      <c r="R652" s="79"/>
      <c r="S652" s="79"/>
      <c r="X652" s="79"/>
      <c r="AD652" s="130"/>
      <c r="AF652" s="106"/>
    </row>
    <row r="653">
      <c r="C653" s="79"/>
      <c r="D653" s="79"/>
      <c r="E653" s="79"/>
      <c r="O653" s="79"/>
      <c r="R653" s="79"/>
      <c r="S653" s="79"/>
      <c r="X653" s="79"/>
      <c r="AD653" s="130"/>
      <c r="AF653" s="106"/>
    </row>
    <row r="654">
      <c r="C654" s="79"/>
      <c r="D654" s="79"/>
      <c r="E654" s="79"/>
      <c r="O654" s="79"/>
      <c r="R654" s="79"/>
      <c r="S654" s="79"/>
      <c r="X654" s="79"/>
      <c r="AD654" s="130"/>
      <c r="AF654" s="106"/>
    </row>
    <row r="655">
      <c r="C655" s="79"/>
      <c r="D655" s="79"/>
      <c r="E655" s="79"/>
      <c r="O655" s="79"/>
      <c r="R655" s="79"/>
      <c r="S655" s="79"/>
      <c r="X655" s="79"/>
      <c r="AD655" s="130"/>
      <c r="AF655" s="106"/>
    </row>
    <row r="656">
      <c r="C656" s="79"/>
      <c r="D656" s="79"/>
      <c r="E656" s="79"/>
      <c r="O656" s="79"/>
      <c r="R656" s="79"/>
      <c r="S656" s="79"/>
      <c r="X656" s="79"/>
      <c r="AD656" s="130"/>
      <c r="AF656" s="106"/>
    </row>
    <row r="657">
      <c r="C657" s="79"/>
      <c r="D657" s="79"/>
      <c r="E657" s="79"/>
      <c r="O657" s="79"/>
      <c r="R657" s="79"/>
      <c r="S657" s="79"/>
      <c r="X657" s="79"/>
      <c r="AD657" s="130"/>
      <c r="AF657" s="106"/>
    </row>
    <row r="658">
      <c r="C658" s="79"/>
      <c r="D658" s="79"/>
      <c r="E658" s="79"/>
      <c r="O658" s="79"/>
      <c r="R658" s="79"/>
      <c r="S658" s="79"/>
      <c r="X658" s="79"/>
      <c r="AD658" s="130"/>
      <c r="AF658" s="106"/>
    </row>
    <row r="659">
      <c r="C659" s="79"/>
      <c r="D659" s="79"/>
      <c r="E659" s="79"/>
      <c r="O659" s="79"/>
      <c r="R659" s="79"/>
      <c r="S659" s="79"/>
      <c r="X659" s="79"/>
      <c r="AD659" s="130"/>
      <c r="AF659" s="106"/>
    </row>
    <row r="660">
      <c r="C660" s="79"/>
      <c r="D660" s="79"/>
      <c r="E660" s="79"/>
      <c r="O660" s="79"/>
      <c r="R660" s="79"/>
      <c r="S660" s="79"/>
      <c r="X660" s="79"/>
      <c r="AD660" s="130"/>
      <c r="AF660" s="106"/>
    </row>
    <row r="661">
      <c r="C661" s="79"/>
      <c r="D661" s="79"/>
      <c r="E661" s="79"/>
      <c r="O661" s="79"/>
      <c r="R661" s="79"/>
      <c r="S661" s="79"/>
      <c r="X661" s="79"/>
      <c r="AD661" s="130"/>
      <c r="AF661" s="106"/>
    </row>
    <row r="662">
      <c r="C662" s="79"/>
      <c r="D662" s="79"/>
      <c r="E662" s="79"/>
      <c r="O662" s="79"/>
      <c r="R662" s="79"/>
      <c r="S662" s="79"/>
      <c r="X662" s="79"/>
      <c r="AD662" s="130"/>
      <c r="AF662" s="106"/>
    </row>
    <row r="663">
      <c r="C663" s="79"/>
      <c r="D663" s="79"/>
      <c r="E663" s="79"/>
      <c r="O663" s="79"/>
      <c r="R663" s="79"/>
      <c r="S663" s="79"/>
      <c r="X663" s="79"/>
      <c r="AD663" s="130"/>
      <c r="AF663" s="106"/>
    </row>
    <row r="664">
      <c r="C664" s="79"/>
      <c r="D664" s="79"/>
      <c r="E664" s="79"/>
      <c r="O664" s="79"/>
      <c r="R664" s="79"/>
      <c r="S664" s="79"/>
      <c r="X664" s="79"/>
      <c r="AD664" s="130"/>
      <c r="AF664" s="106"/>
    </row>
    <row r="665">
      <c r="C665" s="79"/>
      <c r="D665" s="79"/>
      <c r="E665" s="79"/>
      <c r="O665" s="79"/>
      <c r="R665" s="79"/>
      <c r="S665" s="79"/>
      <c r="X665" s="79"/>
      <c r="AD665" s="130"/>
      <c r="AF665" s="106"/>
    </row>
    <row r="666">
      <c r="C666" s="79"/>
      <c r="D666" s="79"/>
      <c r="E666" s="79"/>
      <c r="O666" s="79"/>
      <c r="R666" s="79"/>
      <c r="S666" s="79"/>
      <c r="X666" s="79"/>
      <c r="AD666" s="130"/>
      <c r="AF666" s="106"/>
    </row>
    <row r="667">
      <c r="C667" s="79"/>
      <c r="D667" s="79"/>
      <c r="E667" s="79"/>
      <c r="O667" s="79"/>
      <c r="R667" s="79"/>
      <c r="S667" s="79"/>
      <c r="X667" s="79"/>
      <c r="AD667" s="130"/>
      <c r="AF667" s="106"/>
    </row>
    <row r="668">
      <c r="C668" s="79"/>
      <c r="D668" s="79"/>
      <c r="E668" s="79"/>
      <c r="O668" s="79"/>
      <c r="R668" s="79"/>
      <c r="S668" s="79"/>
      <c r="X668" s="79"/>
      <c r="AD668" s="130"/>
      <c r="AF668" s="106"/>
    </row>
    <row r="669">
      <c r="C669" s="79"/>
      <c r="D669" s="79"/>
      <c r="E669" s="79"/>
      <c r="O669" s="79"/>
      <c r="R669" s="79"/>
      <c r="S669" s="79"/>
      <c r="X669" s="79"/>
      <c r="AD669" s="130"/>
      <c r="AF669" s="106"/>
    </row>
    <row r="670">
      <c r="C670" s="79"/>
      <c r="D670" s="79"/>
      <c r="E670" s="79"/>
      <c r="O670" s="79"/>
      <c r="R670" s="79"/>
      <c r="S670" s="79"/>
      <c r="X670" s="79"/>
      <c r="AD670" s="130"/>
      <c r="AF670" s="106"/>
    </row>
    <row r="671">
      <c r="C671" s="79"/>
      <c r="D671" s="79"/>
      <c r="E671" s="79"/>
      <c r="O671" s="79"/>
      <c r="R671" s="79"/>
      <c r="S671" s="79"/>
      <c r="X671" s="79"/>
      <c r="AD671" s="130"/>
      <c r="AF671" s="106"/>
    </row>
    <row r="672">
      <c r="C672" s="79"/>
      <c r="D672" s="79"/>
      <c r="E672" s="79"/>
      <c r="O672" s="79"/>
      <c r="R672" s="79"/>
      <c r="S672" s="79"/>
      <c r="X672" s="79"/>
      <c r="AD672" s="130"/>
      <c r="AF672" s="106"/>
    </row>
    <row r="673">
      <c r="C673" s="79"/>
      <c r="D673" s="79"/>
      <c r="E673" s="79"/>
      <c r="O673" s="79"/>
      <c r="R673" s="79"/>
      <c r="S673" s="79"/>
      <c r="X673" s="79"/>
      <c r="AD673" s="130"/>
      <c r="AF673" s="106"/>
    </row>
    <row r="674">
      <c r="C674" s="79"/>
      <c r="D674" s="79"/>
      <c r="E674" s="79"/>
      <c r="O674" s="79"/>
      <c r="R674" s="79"/>
      <c r="S674" s="79"/>
      <c r="X674" s="79"/>
      <c r="AD674" s="130"/>
      <c r="AF674" s="106"/>
    </row>
    <row r="675">
      <c r="C675" s="79"/>
      <c r="D675" s="79"/>
      <c r="E675" s="79"/>
      <c r="O675" s="79"/>
      <c r="R675" s="79"/>
      <c r="S675" s="79"/>
      <c r="X675" s="79"/>
      <c r="AD675" s="130"/>
      <c r="AF675" s="106"/>
    </row>
    <row r="676">
      <c r="C676" s="79"/>
      <c r="D676" s="79"/>
      <c r="E676" s="79"/>
      <c r="O676" s="79"/>
      <c r="R676" s="79"/>
      <c r="S676" s="79"/>
      <c r="X676" s="79"/>
      <c r="AD676" s="130"/>
      <c r="AF676" s="106"/>
    </row>
    <row r="677">
      <c r="C677" s="79"/>
      <c r="D677" s="79"/>
      <c r="E677" s="79"/>
      <c r="O677" s="79"/>
      <c r="R677" s="79"/>
      <c r="S677" s="79"/>
      <c r="X677" s="79"/>
      <c r="AD677" s="130"/>
      <c r="AF677" s="106"/>
    </row>
    <row r="678">
      <c r="C678" s="79"/>
      <c r="D678" s="79"/>
      <c r="E678" s="79"/>
      <c r="O678" s="79"/>
      <c r="R678" s="79"/>
      <c r="S678" s="79"/>
      <c r="X678" s="79"/>
      <c r="AD678" s="130"/>
      <c r="AF678" s="106"/>
    </row>
    <row r="679">
      <c r="C679" s="79"/>
      <c r="D679" s="79"/>
      <c r="E679" s="79"/>
      <c r="O679" s="79"/>
      <c r="R679" s="79"/>
      <c r="S679" s="79"/>
      <c r="X679" s="79"/>
      <c r="AD679" s="130"/>
      <c r="AF679" s="106"/>
    </row>
    <row r="680">
      <c r="C680" s="79"/>
      <c r="D680" s="79"/>
      <c r="E680" s="79"/>
      <c r="O680" s="79"/>
      <c r="R680" s="79"/>
      <c r="S680" s="79"/>
      <c r="X680" s="79"/>
      <c r="AD680" s="130"/>
      <c r="AF680" s="106"/>
    </row>
    <row r="681">
      <c r="C681" s="79"/>
      <c r="D681" s="79"/>
      <c r="E681" s="79"/>
      <c r="O681" s="79"/>
      <c r="R681" s="79"/>
      <c r="S681" s="79"/>
      <c r="X681" s="79"/>
      <c r="AD681" s="130"/>
      <c r="AF681" s="106"/>
    </row>
    <row r="682">
      <c r="C682" s="79"/>
      <c r="D682" s="79"/>
      <c r="E682" s="79"/>
      <c r="O682" s="79"/>
      <c r="R682" s="79"/>
      <c r="S682" s="79"/>
      <c r="X682" s="79"/>
      <c r="AD682" s="130"/>
      <c r="AF682" s="106"/>
    </row>
    <row r="683">
      <c r="C683" s="79"/>
      <c r="D683" s="79"/>
      <c r="E683" s="79"/>
      <c r="O683" s="79"/>
      <c r="R683" s="79"/>
      <c r="S683" s="79"/>
      <c r="X683" s="79"/>
      <c r="AD683" s="130"/>
      <c r="AF683" s="106"/>
    </row>
    <row r="684">
      <c r="C684" s="79"/>
      <c r="D684" s="79"/>
      <c r="E684" s="79"/>
      <c r="O684" s="79"/>
      <c r="R684" s="79"/>
      <c r="S684" s="79"/>
      <c r="X684" s="79"/>
      <c r="AD684" s="130"/>
      <c r="AF684" s="106"/>
    </row>
    <row r="685">
      <c r="C685" s="79"/>
      <c r="D685" s="79"/>
      <c r="E685" s="79"/>
      <c r="O685" s="79"/>
      <c r="R685" s="79"/>
      <c r="S685" s="79"/>
      <c r="X685" s="79"/>
      <c r="AD685" s="130"/>
      <c r="AF685" s="106"/>
    </row>
    <row r="686">
      <c r="C686" s="79"/>
      <c r="D686" s="79"/>
      <c r="E686" s="79"/>
      <c r="O686" s="79"/>
      <c r="R686" s="79"/>
      <c r="S686" s="79"/>
      <c r="X686" s="79"/>
      <c r="AD686" s="130"/>
      <c r="AF686" s="106"/>
    </row>
    <row r="687">
      <c r="C687" s="79"/>
      <c r="D687" s="79"/>
      <c r="E687" s="79"/>
      <c r="O687" s="79"/>
      <c r="R687" s="79"/>
      <c r="S687" s="79"/>
      <c r="X687" s="79"/>
      <c r="AD687" s="130"/>
      <c r="AF687" s="106"/>
    </row>
    <row r="688">
      <c r="C688" s="79"/>
      <c r="D688" s="79"/>
      <c r="E688" s="79"/>
      <c r="O688" s="79"/>
      <c r="R688" s="79"/>
      <c r="S688" s="79"/>
      <c r="X688" s="79"/>
      <c r="AD688" s="130"/>
      <c r="AF688" s="106"/>
    </row>
    <row r="689">
      <c r="C689" s="79"/>
      <c r="D689" s="79"/>
      <c r="E689" s="79"/>
      <c r="O689" s="79"/>
      <c r="R689" s="79"/>
      <c r="S689" s="79"/>
      <c r="X689" s="79"/>
      <c r="AD689" s="130"/>
      <c r="AF689" s="106"/>
    </row>
    <row r="690">
      <c r="C690" s="79"/>
      <c r="D690" s="79"/>
      <c r="E690" s="79"/>
      <c r="O690" s="79"/>
      <c r="R690" s="79"/>
      <c r="S690" s="79"/>
      <c r="X690" s="79"/>
      <c r="AD690" s="130"/>
      <c r="AF690" s="106"/>
    </row>
    <row r="691">
      <c r="C691" s="79"/>
      <c r="D691" s="79"/>
      <c r="E691" s="79"/>
      <c r="O691" s="79"/>
      <c r="R691" s="79"/>
      <c r="S691" s="79"/>
      <c r="X691" s="79"/>
      <c r="AD691" s="130"/>
      <c r="AF691" s="106"/>
    </row>
    <row r="692">
      <c r="C692" s="79"/>
      <c r="D692" s="79"/>
      <c r="E692" s="79"/>
      <c r="O692" s="79"/>
      <c r="R692" s="79"/>
      <c r="S692" s="79"/>
      <c r="X692" s="79"/>
      <c r="AD692" s="130"/>
      <c r="AF692" s="106"/>
    </row>
    <row r="693">
      <c r="C693" s="79"/>
      <c r="D693" s="79"/>
      <c r="E693" s="79"/>
      <c r="O693" s="79"/>
      <c r="R693" s="79"/>
      <c r="S693" s="79"/>
      <c r="X693" s="79"/>
      <c r="AD693" s="130"/>
      <c r="AF693" s="106"/>
    </row>
    <row r="694">
      <c r="C694" s="79"/>
      <c r="D694" s="79"/>
      <c r="E694" s="79"/>
      <c r="O694" s="79"/>
      <c r="R694" s="79"/>
      <c r="S694" s="79"/>
      <c r="X694" s="79"/>
      <c r="AD694" s="130"/>
      <c r="AF694" s="106"/>
    </row>
    <row r="695">
      <c r="C695" s="79"/>
      <c r="D695" s="79"/>
      <c r="E695" s="79"/>
      <c r="O695" s="79"/>
      <c r="R695" s="79"/>
      <c r="S695" s="79"/>
      <c r="X695" s="79"/>
      <c r="AD695" s="130"/>
      <c r="AF695" s="106"/>
    </row>
    <row r="696">
      <c r="C696" s="79"/>
      <c r="D696" s="79"/>
      <c r="E696" s="79"/>
      <c r="O696" s="79"/>
      <c r="R696" s="79"/>
      <c r="S696" s="79"/>
      <c r="X696" s="79"/>
      <c r="AD696" s="130"/>
      <c r="AF696" s="106"/>
    </row>
    <row r="697">
      <c r="C697" s="79"/>
      <c r="D697" s="79"/>
      <c r="E697" s="79"/>
      <c r="O697" s="79"/>
      <c r="R697" s="79"/>
      <c r="S697" s="79"/>
      <c r="X697" s="79"/>
      <c r="AD697" s="130"/>
      <c r="AF697" s="106"/>
    </row>
    <row r="698">
      <c r="C698" s="79"/>
      <c r="D698" s="79"/>
      <c r="E698" s="79"/>
      <c r="O698" s="79"/>
      <c r="R698" s="79"/>
      <c r="S698" s="79"/>
      <c r="X698" s="79"/>
      <c r="AD698" s="130"/>
      <c r="AF698" s="106"/>
    </row>
    <row r="699">
      <c r="C699" s="79"/>
      <c r="D699" s="79"/>
      <c r="E699" s="79"/>
      <c r="O699" s="79"/>
      <c r="R699" s="79"/>
      <c r="S699" s="79"/>
      <c r="X699" s="79"/>
      <c r="AD699" s="130"/>
      <c r="AF699" s="106"/>
    </row>
    <row r="700">
      <c r="C700" s="79"/>
      <c r="D700" s="79"/>
      <c r="E700" s="79"/>
      <c r="O700" s="79"/>
      <c r="R700" s="79"/>
      <c r="S700" s="79"/>
      <c r="X700" s="79"/>
      <c r="AD700" s="130"/>
      <c r="AF700" s="106"/>
    </row>
    <row r="701">
      <c r="C701" s="79"/>
      <c r="D701" s="79"/>
      <c r="E701" s="79"/>
      <c r="O701" s="79"/>
      <c r="R701" s="79"/>
      <c r="S701" s="79"/>
      <c r="X701" s="79"/>
      <c r="AD701" s="130"/>
      <c r="AF701" s="106"/>
    </row>
    <row r="702">
      <c r="C702" s="79"/>
      <c r="D702" s="79"/>
      <c r="E702" s="79"/>
      <c r="O702" s="79"/>
      <c r="R702" s="79"/>
      <c r="S702" s="79"/>
      <c r="X702" s="79"/>
      <c r="AD702" s="130"/>
      <c r="AF702" s="106"/>
    </row>
    <row r="703">
      <c r="C703" s="79"/>
      <c r="D703" s="79"/>
      <c r="E703" s="79"/>
      <c r="O703" s="79"/>
      <c r="R703" s="79"/>
      <c r="S703" s="79"/>
      <c r="X703" s="79"/>
      <c r="AD703" s="130"/>
      <c r="AF703" s="106"/>
    </row>
    <row r="704">
      <c r="C704" s="79"/>
      <c r="D704" s="79"/>
      <c r="E704" s="79"/>
      <c r="O704" s="79"/>
      <c r="R704" s="79"/>
      <c r="S704" s="79"/>
      <c r="X704" s="79"/>
      <c r="AD704" s="130"/>
      <c r="AF704" s="106"/>
    </row>
    <row r="705">
      <c r="C705" s="79"/>
      <c r="D705" s="79"/>
      <c r="E705" s="79"/>
      <c r="O705" s="79"/>
      <c r="R705" s="79"/>
      <c r="S705" s="79"/>
      <c r="X705" s="79"/>
      <c r="AD705" s="130"/>
      <c r="AF705" s="106"/>
    </row>
    <row r="706">
      <c r="C706" s="79"/>
      <c r="D706" s="79"/>
      <c r="E706" s="79"/>
      <c r="O706" s="79"/>
      <c r="R706" s="79"/>
      <c r="S706" s="79"/>
      <c r="X706" s="79"/>
      <c r="AD706" s="130"/>
      <c r="AF706" s="106"/>
    </row>
    <row r="707">
      <c r="C707" s="79"/>
      <c r="D707" s="79"/>
      <c r="E707" s="79"/>
      <c r="O707" s="79"/>
      <c r="R707" s="79"/>
      <c r="S707" s="79"/>
      <c r="X707" s="79"/>
      <c r="AD707" s="130"/>
      <c r="AF707" s="106"/>
    </row>
    <row r="708">
      <c r="C708" s="79"/>
      <c r="D708" s="79"/>
      <c r="E708" s="79"/>
      <c r="O708" s="79"/>
      <c r="R708" s="79"/>
      <c r="S708" s="79"/>
      <c r="X708" s="79"/>
      <c r="AD708" s="130"/>
      <c r="AF708" s="106"/>
    </row>
    <row r="709">
      <c r="C709" s="79"/>
      <c r="D709" s="79"/>
      <c r="E709" s="79"/>
      <c r="O709" s="79"/>
      <c r="R709" s="79"/>
      <c r="S709" s="79"/>
      <c r="X709" s="79"/>
      <c r="AD709" s="130"/>
      <c r="AF709" s="106"/>
    </row>
    <row r="710">
      <c r="C710" s="79"/>
      <c r="D710" s="79"/>
      <c r="E710" s="79"/>
      <c r="O710" s="79"/>
      <c r="R710" s="79"/>
      <c r="S710" s="79"/>
      <c r="X710" s="79"/>
      <c r="AD710" s="130"/>
      <c r="AF710" s="106"/>
    </row>
    <row r="711">
      <c r="C711" s="79"/>
      <c r="D711" s="79"/>
      <c r="E711" s="79"/>
      <c r="O711" s="79"/>
      <c r="R711" s="79"/>
      <c r="S711" s="79"/>
      <c r="X711" s="79"/>
      <c r="AD711" s="130"/>
      <c r="AF711" s="106"/>
    </row>
    <row r="712">
      <c r="C712" s="79"/>
      <c r="D712" s="79"/>
      <c r="E712" s="79"/>
      <c r="O712" s="79"/>
      <c r="R712" s="79"/>
      <c r="S712" s="79"/>
      <c r="X712" s="79"/>
      <c r="AD712" s="130"/>
      <c r="AF712" s="106"/>
    </row>
    <row r="713">
      <c r="C713" s="79"/>
      <c r="D713" s="79"/>
      <c r="E713" s="79"/>
      <c r="O713" s="79"/>
      <c r="R713" s="79"/>
      <c r="S713" s="79"/>
      <c r="X713" s="79"/>
      <c r="AD713" s="130"/>
      <c r="AF713" s="106"/>
    </row>
    <row r="714">
      <c r="C714" s="79"/>
      <c r="D714" s="79"/>
      <c r="E714" s="79"/>
      <c r="O714" s="79"/>
      <c r="R714" s="79"/>
      <c r="S714" s="79"/>
      <c r="X714" s="79"/>
      <c r="AD714" s="130"/>
      <c r="AF714" s="106"/>
    </row>
    <row r="715">
      <c r="C715" s="79"/>
      <c r="D715" s="79"/>
      <c r="E715" s="79"/>
      <c r="O715" s="79"/>
      <c r="R715" s="79"/>
      <c r="S715" s="79"/>
      <c r="X715" s="79"/>
      <c r="AD715" s="130"/>
      <c r="AF715" s="106"/>
    </row>
    <row r="716">
      <c r="C716" s="79"/>
      <c r="D716" s="79"/>
      <c r="E716" s="79"/>
      <c r="O716" s="79"/>
      <c r="R716" s="79"/>
      <c r="S716" s="79"/>
      <c r="X716" s="79"/>
      <c r="AD716" s="130"/>
      <c r="AF716" s="106"/>
    </row>
    <row r="717">
      <c r="C717" s="79"/>
      <c r="D717" s="79"/>
      <c r="E717" s="79"/>
      <c r="O717" s="79"/>
      <c r="R717" s="79"/>
      <c r="S717" s="79"/>
      <c r="X717" s="79"/>
      <c r="AD717" s="130"/>
      <c r="AF717" s="106"/>
    </row>
    <row r="718">
      <c r="C718" s="79"/>
      <c r="D718" s="79"/>
      <c r="E718" s="79"/>
      <c r="O718" s="79"/>
      <c r="R718" s="79"/>
      <c r="S718" s="79"/>
      <c r="X718" s="79"/>
      <c r="AD718" s="130"/>
      <c r="AF718" s="106"/>
    </row>
    <row r="719">
      <c r="C719" s="79"/>
      <c r="D719" s="79"/>
      <c r="E719" s="79"/>
      <c r="O719" s="79"/>
      <c r="R719" s="79"/>
      <c r="S719" s="79"/>
      <c r="X719" s="79"/>
      <c r="AD719" s="130"/>
      <c r="AF719" s="106"/>
    </row>
    <row r="720">
      <c r="C720" s="79"/>
      <c r="D720" s="79"/>
      <c r="E720" s="79"/>
      <c r="O720" s="79"/>
      <c r="R720" s="79"/>
      <c r="S720" s="79"/>
      <c r="X720" s="79"/>
      <c r="AD720" s="130"/>
      <c r="AF720" s="106"/>
    </row>
    <row r="721">
      <c r="C721" s="79"/>
      <c r="D721" s="79"/>
      <c r="E721" s="79"/>
      <c r="O721" s="79"/>
      <c r="R721" s="79"/>
      <c r="S721" s="79"/>
      <c r="X721" s="79"/>
      <c r="AD721" s="130"/>
      <c r="AF721" s="106"/>
    </row>
    <row r="722">
      <c r="C722" s="79"/>
      <c r="D722" s="79"/>
      <c r="E722" s="79"/>
      <c r="O722" s="79"/>
      <c r="R722" s="79"/>
      <c r="S722" s="79"/>
      <c r="X722" s="79"/>
      <c r="AD722" s="130"/>
      <c r="AF722" s="106"/>
    </row>
    <row r="723">
      <c r="C723" s="79"/>
      <c r="D723" s="79"/>
      <c r="E723" s="79"/>
      <c r="O723" s="79"/>
      <c r="R723" s="79"/>
      <c r="S723" s="79"/>
      <c r="X723" s="79"/>
      <c r="AD723" s="130"/>
      <c r="AF723" s="106"/>
    </row>
    <row r="724">
      <c r="C724" s="79"/>
      <c r="D724" s="79"/>
      <c r="E724" s="79"/>
      <c r="O724" s="79"/>
      <c r="R724" s="79"/>
      <c r="S724" s="79"/>
      <c r="X724" s="79"/>
      <c r="AD724" s="130"/>
      <c r="AF724" s="106"/>
    </row>
    <row r="725">
      <c r="C725" s="79"/>
      <c r="D725" s="79"/>
      <c r="E725" s="79"/>
      <c r="O725" s="79"/>
      <c r="R725" s="79"/>
      <c r="S725" s="79"/>
      <c r="X725" s="79"/>
      <c r="AD725" s="130"/>
      <c r="AF725" s="106"/>
    </row>
    <row r="726">
      <c r="C726" s="79"/>
      <c r="D726" s="79"/>
      <c r="E726" s="79"/>
      <c r="O726" s="79"/>
      <c r="R726" s="79"/>
      <c r="S726" s="79"/>
      <c r="X726" s="79"/>
      <c r="AD726" s="130"/>
      <c r="AF726" s="106"/>
    </row>
    <row r="727">
      <c r="C727" s="79"/>
      <c r="D727" s="79"/>
      <c r="E727" s="79"/>
      <c r="O727" s="79"/>
      <c r="R727" s="79"/>
      <c r="S727" s="79"/>
      <c r="X727" s="79"/>
      <c r="AD727" s="130"/>
      <c r="AF727" s="106"/>
    </row>
    <row r="728">
      <c r="C728" s="79"/>
      <c r="D728" s="79"/>
      <c r="E728" s="79"/>
      <c r="O728" s="79"/>
      <c r="R728" s="79"/>
      <c r="S728" s="79"/>
      <c r="X728" s="79"/>
      <c r="AD728" s="130"/>
      <c r="AF728" s="106"/>
    </row>
    <row r="729">
      <c r="C729" s="79"/>
      <c r="D729" s="79"/>
      <c r="E729" s="79"/>
      <c r="O729" s="79"/>
      <c r="R729" s="79"/>
      <c r="S729" s="79"/>
      <c r="X729" s="79"/>
      <c r="AD729" s="130"/>
      <c r="AF729" s="106"/>
    </row>
    <row r="730">
      <c r="C730" s="79"/>
      <c r="D730" s="79"/>
      <c r="E730" s="79"/>
      <c r="O730" s="79"/>
      <c r="R730" s="79"/>
      <c r="S730" s="79"/>
      <c r="X730" s="79"/>
      <c r="AD730" s="130"/>
      <c r="AF730" s="106"/>
    </row>
    <row r="731">
      <c r="C731" s="79"/>
      <c r="D731" s="79"/>
      <c r="E731" s="79"/>
      <c r="O731" s="79"/>
      <c r="R731" s="79"/>
      <c r="S731" s="79"/>
      <c r="X731" s="79"/>
      <c r="AD731" s="130"/>
      <c r="AF731" s="106"/>
    </row>
    <row r="732">
      <c r="C732" s="79"/>
      <c r="D732" s="79"/>
      <c r="E732" s="79"/>
      <c r="O732" s="79"/>
      <c r="R732" s="79"/>
      <c r="S732" s="79"/>
      <c r="X732" s="79"/>
      <c r="AD732" s="130"/>
      <c r="AF732" s="106"/>
    </row>
    <row r="733">
      <c r="C733" s="79"/>
      <c r="D733" s="79"/>
      <c r="E733" s="79"/>
      <c r="O733" s="79"/>
      <c r="R733" s="79"/>
      <c r="S733" s="79"/>
      <c r="X733" s="79"/>
      <c r="AD733" s="130"/>
      <c r="AF733" s="106"/>
    </row>
    <row r="734">
      <c r="C734" s="79"/>
      <c r="D734" s="79"/>
      <c r="E734" s="79"/>
      <c r="O734" s="79"/>
      <c r="R734" s="79"/>
      <c r="S734" s="79"/>
      <c r="X734" s="79"/>
      <c r="AD734" s="130"/>
      <c r="AF734" s="106"/>
    </row>
    <row r="735">
      <c r="C735" s="79"/>
      <c r="D735" s="79"/>
      <c r="E735" s="79"/>
      <c r="O735" s="79"/>
      <c r="R735" s="79"/>
      <c r="S735" s="79"/>
      <c r="X735" s="79"/>
      <c r="AD735" s="130"/>
      <c r="AF735" s="106"/>
    </row>
    <row r="736">
      <c r="C736" s="79"/>
      <c r="D736" s="79"/>
      <c r="E736" s="79"/>
      <c r="O736" s="79"/>
      <c r="R736" s="79"/>
      <c r="S736" s="79"/>
      <c r="X736" s="79"/>
      <c r="AD736" s="130"/>
      <c r="AF736" s="106"/>
    </row>
    <row r="737">
      <c r="C737" s="79"/>
      <c r="D737" s="79"/>
      <c r="E737" s="79"/>
      <c r="O737" s="79"/>
      <c r="R737" s="79"/>
      <c r="S737" s="79"/>
      <c r="X737" s="79"/>
      <c r="AD737" s="130"/>
      <c r="AF737" s="106"/>
    </row>
    <row r="738">
      <c r="C738" s="79"/>
      <c r="D738" s="79"/>
      <c r="E738" s="79"/>
      <c r="O738" s="79"/>
      <c r="R738" s="79"/>
      <c r="S738" s="79"/>
      <c r="X738" s="79"/>
      <c r="AD738" s="130"/>
      <c r="AF738" s="106"/>
    </row>
    <row r="739">
      <c r="C739" s="79"/>
      <c r="D739" s="79"/>
      <c r="E739" s="79"/>
      <c r="O739" s="79"/>
      <c r="R739" s="79"/>
      <c r="S739" s="79"/>
      <c r="X739" s="79"/>
      <c r="AD739" s="130"/>
      <c r="AF739" s="106"/>
    </row>
    <row r="740">
      <c r="C740" s="79"/>
      <c r="D740" s="79"/>
      <c r="E740" s="79"/>
      <c r="O740" s="79"/>
      <c r="R740" s="79"/>
      <c r="S740" s="79"/>
      <c r="X740" s="79"/>
      <c r="AD740" s="130"/>
      <c r="AF740" s="106"/>
    </row>
    <row r="741">
      <c r="C741" s="79"/>
      <c r="D741" s="79"/>
      <c r="E741" s="79"/>
      <c r="O741" s="79"/>
      <c r="R741" s="79"/>
      <c r="S741" s="79"/>
      <c r="X741" s="79"/>
      <c r="AD741" s="130"/>
      <c r="AF741" s="106"/>
    </row>
    <row r="742">
      <c r="C742" s="79"/>
      <c r="D742" s="79"/>
      <c r="E742" s="79"/>
      <c r="O742" s="79"/>
      <c r="R742" s="79"/>
      <c r="S742" s="79"/>
      <c r="X742" s="79"/>
      <c r="AD742" s="130"/>
      <c r="AF742" s="106"/>
    </row>
    <row r="743">
      <c r="C743" s="79"/>
      <c r="D743" s="79"/>
      <c r="E743" s="79"/>
      <c r="O743" s="79"/>
      <c r="R743" s="79"/>
      <c r="S743" s="79"/>
      <c r="X743" s="79"/>
      <c r="AD743" s="130"/>
      <c r="AF743" s="106"/>
    </row>
    <row r="744">
      <c r="C744" s="79"/>
      <c r="D744" s="79"/>
      <c r="E744" s="79"/>
      <c r="O744" s="79"/>
      <c r="R744" s="79"/>
      <c r="S744" s="79"/>
      <c r="X744" s="79"/>
      <c r="AD744" s="130"/>
      <c r="AF744" s="106"/>
    </row>
    <row r="745">
      <c r="C745" s="79"/>
      <c r="D745" s="79"/>
      <c r="E745" s="79"/>
      <c r="O745" s="79"/>
      <c r="R745" s="79"/>
      <c r="S745" s="79"/>
      <c r="X745" s="79"/>
      <c r="AD745" s="130"/>
      <c r="AF745" s="106"/>
    </row>
    <row r="746">
      <c r="C746" s="79"/>
      <c r="D746" s="79"/>
      <c r="E746" s="79"/>
      <c r="O746" s="79"/>
      <c r="R746" s="79"/>
      <c r="S746" s="79"/>
      <c r="X746" s="79"/>
      <c r="AD746" s="130"/>
      <c r="AF746" s="106"/>
    </row>
    <row r="747">
      <c r="C747" s="79"/>
      <c r="D747" s="79"/>
      <c r="E747" s="79"/>
      <c r="O747" s="79"/>
      <c r="R747" s="79"/>
      <c r="S747" s="79"/>
      <c r="X747" s="79"/>
      <c r="AD747" s="130"/>
      <c r="AF747" s="106"/>
    </row>
    <row r="748">
      <c r="C748" s="79"/>
      <c r="D748" s="79"/>
      <c r="E748" s="79"/>
      <c r="O748" s="79"/>
      <c r="R748" s="79"/>
      <c r="S748" s="79"/>
      <c r="X748" s="79"/>
      <c r="AD748" s="130"/>
      <c r="AF748" s="106"/>
    </row>
    <row r="749">
      <c r="C749" s="79"/>
      <c r="D749" s="79"/>
      <c r="E749" s="79"/>
      <c r="O749" s="79"/>
      <c r="R749" s="79"/>
      <c r="S749" s="79"/>
      <c r="X749" s="79"/>
      <c r="AD749" s="130"/>
      <c r="AF749" s="106"/>
    </row>
    <row r="750">
      <c r="C750" s="79"/>
      <c r="D750" s="79"/>
      <c r="E750" s="79"/>
      <c r="O750" s="79"/>
      <c r="R750" s="79"/>
      <c r="S750" s="79"/>
      <c r="X750" s="79"/>
      <c r="AD750" s="130"/>
      <c r="AF750" s="106"/>
    </row>
    <row r="751">
      <c r="C751" s="79"/>
      <c r="D751" s="79"/>
      <c r="E751" s="79"/>
      <c r="O751" s="79"/>
      <c r="R751" s="79"/>
      <c r="S751" s="79"/>
      <c r="X751" s="79"/>
      <c r="AD751" s="130"/>
      <c r="AF751" s="106"/>
    </row>
    <row r="752">
      <c r="C752" s="79"/>
      <c r="D752" s="79"/>
      <c r="E752" s="79"/>
      <c r="O752" s="79"/>
      <c r="R752" s="79"/>
      <c r="S752" s="79"/>
      <c r="X752" s="79"/>
      <c r="AD752" s="130"/>
      <c r="AF752" s="106"/>
    </row>
    <row r="753">
      <c r="C753" s="79"/>
      <c r="D753" s="79"/>
      <c r="E753" s="79"/>
      <c r="O753" s="79"/>
      <c r="R753" s="79"/>
      <c r="S753" s="79"/>
      <c r="X753" s="79"/>
      <c r="AD753" s="130"/>
      <c r="AF753" s="106"/>
    </row>
    <row r="754">
      <c r="C754" s="79"/>
      <c r="D754" s="79"/>
      <c r="E754" s="79"/>
      <c r="O754" s="79"/>
      <c r="R754" s="79"/>
      <c r="S754" s="79"/>
      <c r="X754" s="79"/>
      <c r="AD754" s="130"/>
      <c r="AF754" s="106"/>
    </row>
    <row r="755">
      <c r="C755" s="79"/>
      <c r="D755" s="79"/>
      <c r="E755" s="79"/>
      <c r="O755" s="79"/>
      <c r="R755" s="79"/>
      <c r="S755" s="79"/>
      <c r="X755" s="79"/>
      <c r="AD755" s="130"/>
      <c r="AF755" s="106"/>
    </row>
    <row r="756">
      <c r="C756" s="79"/>
      <c r="D756" s="79"/>
      <c r="E756" s="79"/>
      <c r="O756" s="79"/>
      <c r="R756" s="79"/>
      <c r="S756" s="79"/>
      <c r="X756" s="79"/>
      <c r="AD756" s="130"/>
      <c r="AF756" s="106"/>
    </row>
    <row r="757">
      <c r="C757" s="79"/>
      <c r="D757" s="79"/>
      <c r="E757" s="79"/>
      <c r="O757" s="79"/>
      <c r="R757" s="79"/>
      <c r="S757" s="79"/>
      <c r="X757" s="79"/>
      <c r="AD757" s="130"/>
      <c r="AF757" s="106"/>
    </row>
    <row r="758">
      <c r="C758" s="79"/>
      <c r="D758" s="79"/>
      <c r="E758" s="79"/>
      <c r="O758" s="79"/>
      <c r="R758" s="79"/>
      <c r="S758" s="79"/>
      <c r="X758" s="79"/>
      <c r="AD758" s="130"/>
      <c r="AF758" s="106"/>
    </row>
    <row r="759">
      <c r="C759" s="79"/>
      <c r="D759" s="79"/>
      <c r="E759" s="79"/>
      <c r="O759" s="79"/>
      <c r="R759" s="79"/>
      <c r="S759" s="79"/>
      <c r="X759" s="79"/>
      <c r="AD759" s="130"/>
      <c r="AF759" s="106"/>
    </row>
    <row r="760">
      <c r="C760" s="79"/>
      <c r="D760" s="79"/>
      <c r="E760" s="79"/>
      <c r="O760" s="79"/>
      <c r="R760" s="79"/>
      <c r="S760" s="79"/>
      <c r="X760" s="79"/>
      <c r="AD760" s="130"/>
      <c r="AF760" s="106"/>
    </row>
    <row r="761">
      <c r="C761" s="79"/>
      <c r="D761" s="79"/>
      <c r="E761" s="79"/>
      <c r="O761" s="79"/>
      <c r="R761" s="79"/>
      <c r="S761" s="79"/>
      <c r="X761" s="79"/>
      <c r="AD761" s="130"/>
      <c r="AF761" s="106"/>
    </row>
    <row r="762">
      <c r="C762" s="79"/>
      <c r="D762" s="79"/>
      <c r="E762" s="79"/>
      <c r="O762" s="79"/>
      <c r="R762" s="79"/>
      <c r="S762" s="79"/>
      <c r="X762" s="79"/>
      <c r="AD762" s="130"/>
      <c r="AF762" s="106"/>
    </row>
    <row r="763">
      <c r="C763" s="79"/>
      <c r="D763" s="79"/>
      <c r="E763" s="79"/>
      <c r="O763" s="79"/>
      <c r="R763" s="79"/>
      <c r="S763" s="79"/>
      <c r="X763" s="79"/>
      <c r="AD763" s="130"/>
      <c r="AF763" s="106"/>
    </row>
    <row r="764">
      <c r="C764" s="79"/>
      <c r="D764" s="79"/>
      <c r="E764" s="79"/>
      <c r="O764" s="79"/>
      <c r="R764" s="79"/>
      <c r="S764" s="79"/>
      <c r="X764" s="79"/>
      <c r="AD764" s="130"/>
      <c r="AF764" s="106"/>
    </row>
    <row r="765">
      <c r="C765" s="79"/>
      <c r="D765" s="79"/>
      <c r="E765" s="79"/>
      <c r="O765" s="79"/>
      <c r="R765" s="79"/>
      <c r="S765" s="79"/>
      <c r="X765" s="79"/>
      <c r="AD765" s="130"/>
      <c r="AF765" s="106"/>
    </row>
    <row r="766">
      <c r="C766" s="79"/>
      <c r="D766" s="79"/>
      <c r="E766" s="79"/>
      <c r="O766" s="79"/>
      <c r="R766" s="79"/>
      <c r="S766" s="79"/>
      <c r="X766" s="79"/>
      <c r="AD766" s="130"/>
      <c r="AF766" s="106"/>
    </row>
    <row r="767">
      <c r="C767" s="79"/>
      <c r="D767" s="79"/>
      <c r="E767" s="79"/>
      <c r="O767" s="79"/>
      <c r="R767" s="79"/>
      <c r="S767" s="79"/>
      <c r="X767" s="79"/>
      <c r="AD767" s="130"/>
      <c r="AF767" s="106"/>
    </row>
    <row r="768">
      <c r="C768" s="79"/>
      <c r="D768" s="79"/>
      <c r="E768" s="79"/>
      <c r="O768" s="79"/>
      <c r="R768" s="79"/>
      <c r="S768" s="79"/>
      <c r="X768" s="79"/>
      <c r="AD768" s="130"/>
      <c r="AF768" s="106"/>
    </row>
    <row r="769">
      <c r="C769" s="79"/>
      <c r="D769" s="79"/>
      <c r="E769" s="79"/>
      <c r="O769" s="79"/>
      <c r="R769" s="79"/>
      <c r="S769" s="79"/>
      <c r="X769" s="79"/>
      <c r="AD769" s="130"/>
      <c r="AF769" s="106"/>
    </row>
    <row r="770">
      <c r="C770" s="79"/>
      <c r="D770" s="79"/>
      <c r="E770" s="79"/>
      <c r="O770" s="79"/>
      <c r="R770" s="79"/>
      <c r="S770" s="79"/>
      <c r="X770" s="79"/>
      <c r="AD770" s="130"/>
      <c r="AF770" s="106"/>
    </row>
    <row r="771">
      <c r="C771" s="79"/>
      <c r="D771" s="79"/>
      <c r="E771" s="79"/>
      <c r="O771" s="79"/>
      <c r="R771" s="79"/>
      <c r="S771" s="79"/>
      <c r="X771" s="79"/>
      <c r="AD771" s="130"/>
      <c r="AF771" s="106"/>
    </row>
    <row r="772">
      <c r="C772" s="79"/>
      <c r="D772" s="79"/>
      <c r="E772" s="79"/>
      <c r="O772" s="79"/>
      <c r="R772" s="79"/>
      <c r="S772" s="79"/>
      <c r="X772" s="79"/>
      <c r="AD772" s="130"/>
      <c r="AF772" s="106"/>
    </row>
    <row r="773">
      <c r="C773" s="79"/>
      <c r="D773" s="79"/>
      <c r="E773" s="79"/>
      <c r="O773" s="79"/>
      <c r="R773" s="79"/>
      <c r="S773" s="79"/>
      <c r="X773" s="79"/>
      <c r="AD773" s="130"/>
      <c r="AF773" s="106"/>
    </row>
    <row r="774">
      <c r="C774" s="79"/>
      <c r="D774" s="79"/>
      <c r="E774" s="79"/>
      <c r="O774" s="79"/>
      <c r="R774" s="79"/>
      <c r="S774" s="79"/>
      <c r="X774" s="79"/>
      <c r="AD774" s="130"/>
      <c r="AF774" s="106"/>
    </row>
    <row r="775">
      <c r="C775" s="79"/>
      <c r="D775" s="79"/>
      <c r="E775" s="79"/>
      <c r="O775" s="79"/>
      <c r="R775" s="79"/>
      <c r="S775" s="79"/>
      <c r="X775" s="79"/>
      <c r="AD775" s="130"/>
      <c r="AF775" s="106"/>
    </row>
    <row r="776">
      <c r="C776" s="79"/>
      <c r="D776" s="79"/>
      <c r="E776" s="79"/>
      <c r="O776" s="79"/>
      <c r="R776" s="79"/>
      <c r="S776" s="79"/>
      <c r="X776" s="79"/>
      <c r="AD776" s="130"/>
      <c r="AF776" s="106"/>
    </row>
    <row r="777">
      <c r="C777" s="79"/>
      <c r="D777" s="79"/>
      <c r="E777" s="79"/>
      <c r="O777" s="79"/>
      <c r="R777" s="79"/>
      <c r="S777" s="79"/>
      <c r="X777" s="79"/>
      <c r="AD777" s="130"/>
      <c r="AF777" s="106"/>
    </row>
    <row r="778">
      <c r="C778" s="79"/>
      <c r="D778" s="79"/>
      <c r="E778" s="79"/>
      <c r="O778" s="79"/>
      <c r="R778" s="79"/>
      <c r="S778" s="79"/>
      <c r="X778" s="79"/>
      <c r="AD778" s="130"/>
      <c r="AF778" s="106"/>
    </row>
    <row r="779">
      <c r="C779" s="79"/>
      <c r="D779" s="79"/>
      <c r="E779" s="79"/>
      <c r="O779" s="79"/>
      <c r="R779" s="79"/>
      <c r="S779" s="79"/>
      <c r="X779" s="79"/>
      <c r="AD779" s="130"/>
      <c r="AF779" s="106"/>
    </row>
    <row r="780">
      <c r="C780" s="79"/>
      <c r="D780" s="79"/>
      <c r="E780" s="79"/>
      <c r="O780" s="79"/>
      <c r="R780" s="79"/>
      <c r="S780" s="79"/>
      <c r="X780" s="79"/>
      <c r="AD780" s="130"/>
      <c r="AF780" s="106"/>
    </row>
    <row r="781">
      <c r="C781" s="79"/>
      <c r="D781" s="79"/>
      <c r="E781" s="79"/>
      <c r="O781" s="79"/>
      <c r="R781" s="79"/>
      <c r="S781" s="79"/>
      <c r="X781" s="79"/>
      <c r="AD781" s="130"/>
      <c r="AF781" s="106"/>
    </row>
    <row r="782">
      <c r="C782" s="79"/>
      <c r="D782" s="79"/>
      <c r="E782" s="79"/>
      <c r="O782" s="79"/>
      <c r="R782" s="79"/>
      <c r="S782" s="79"/>
      <c r="X782" s="79"/>
      <c r="AD782" s="130"/>
      <c r="AF782" s="106"/>
    </row>
    <row r="783">
      <c r="C783" s="79"/>
      <c r="D783" s="79"/>
      <c r="E783" s="79"/>
      <c r="O783" s="79"/>
      <c r="R783" s="79"/>
      <c r="S783" s="79"/>
      <c r="X783" s="79"/>
      <c r="AD783" s="130"/>
      <c r="AF783" s="106"/>
    </row>
    <row r="784">
      <c r="C784" s="79"/>
      <c r="D784" s="79"/>
      <c r="E784" s="79"/>
      <c r="O784" s="79"/>
      <c r="R784" s="79"/>
      <c r="S784" s="79"/>
      <c r="X784" s="79"/>
      <c r="AD784" s="130"/>
      <c r="AF784" s="106"/>
    </row>
    <row r="785">
      <c r="C785" s="79"/>
      <c r="D785" s="79"/>
      <c r="E785" s="79"/>
      <c r="O785" s="79"/>
      <c r="R785" s="79"/>
      <c r="S785" s="79"/>
      <c r="X785" s="79"/>
      <c r="AD785" s="130"/>
      <c r="AF785" s="106"/>
    </row>
    <row r="786">
      <c r="C786" s="79"/>
      <c r="D786" s="79"/>
      <c r="E786" s="79"/>
      <c r="O786" s="79"/>
      <c r="R786" s="79"/>
      <c r="S786" s="79"/>
      <c r="X786" s="79"/>
      <c r="AD786" s="130"/>
      <c r="AF786" s="106"/>
    </row>
    <row r="787">
      <c r="C787" s="79"/>
      <c r="D787" s="79"/>
      <c r="E787" s="79"/>
      <c r="O787" s="79"/>
      <c r="R787" s="79"/>
      <c r="S787" s="79"/>
      <c r="X787" s="79"/>
      <c r="AD787" s="130"/>
      <c r="AF787" s="106"/>
    </row>
    <row r="788">
      <c r="C788" s="79"/>
      <c r="D788" s="79"/>
      <c r="E788" s="79"/>
      <c r="O788" s="79"/>
      <c r="R788" s="79"/>
      <c r="S788" s="79"/>
      <c r="X788" s="79"/>
      <c r="AD788" s="130"/>
      <c r="AF788" s="106"/>
    </row>
    <row r="789">
      <c r="C789" s="79"/>
      <c r="D789" s="79"/>
      <c r="E789" s="79"/>
      <c r="O789" s="79"/>
      <c r="R789" s="79"/>
      <c r="S789" s="79"/>
      <c r="X789" s="79"/>
      <c r="AD789" s="130"/>
      <c r="AF789" s="106"/>
    </row>
    <row r="790">
      <c r="C790" s="79"/>
      <c r="D790" s="79"/>
      <c r="E790" s="79"/>
      <c r="O790" s="79"/>
      <c r="R790" s="79"/>
      <c r="S790" s="79"/>
      <c r="X790" s="79"/>
      <c r="AD790" s="130"/>
      <c r="AF790" s="106"/>
    </row>
    <row r="791">
      <c r="C791" s="79"/>
      <c r="D791" s="79"/>
      <c r="E791" s="79"/>
      <c r="O791" s="79"/>
      <c r="R791" s="79"/>
      <c r="S791" s="79"/>
      <c r="X791" s="79"/>
      <c r="AD791" s="130"/>
      <c r="AF791" s="106"/>
    </row>
    <row r="792">
      <c r="C792" s="79"/>
      <c r="D792" s="79"/>
      <c r="E792" s="79"/>
      <c r="O792" s="79"/>
      <c r="R792" s="79"/>
      <c r="S792" s="79"/>
      <c r="X792" s="79"/>
      <c r="AD792" s="130"/>
      <c r="AF792" s="106"/>
    </row>
    <row r="793">
      <c r="C793" s="79"/>
      <c r="D793" s="79"/>
      <c r="E793" s="79"/>
      <c r="O793" s="79"/>
      <c r="R793" s="79"/>
      <c r="S793" s="79"/>
      <c r="X793" s="79"/>
      <c r="AD793" s="130"/>
      <c r="AF793" s="106"/>
    </row>
    <row r="794">
      <c r="C794" s="79"/>
      <c r="D794" s="79"/>
      <c r="E794" s="79"/>
      <c r="O794" s="79"/>
      <c r="R794" s="79"/>
      <c r="S794" s="79"/>
      <c r="X794" s="79"/>
      <c r="AD794" s="130"/>
      <c r="AF794" s="106"/>
    </row>
    <row r="795">
      <c r="C795" s="79"/>
      <c r="D795" s="79"/>
      <c r="E795" s="79"/>
      <c r="O795" s="79"/>
      <c r="R795" s="79"/>
      <c r="S795" s="79"/>
      <c r="X795" s="79"/>
      <c r="AD795" s="130"/>
      <c r="AF795" s="106"/>
    </row>
    <row r="796">
      <c r="C796" s="79"/>
      <c r="D796" s="79"/>
      <c r="E796" s="79"/>
      <c r="O796" s="79"/>
      <c r="R796" s="79"/>
      <c r="S796" s="79"/>
      <c r="X796" s="79"/>
      <c r="AD796" s="130"/>
      <c r="AF796" s="106"/>
    </row>
    <row r="797">
      <c r="C797" s="79"/>
      <c r="D797" s="79"/>
      <c r="E797" s="79"/>
      <c r="O797" s="79"/>
      <c r="R797" s="79"/>
      <c r="S797" s="79"/>
      <c r="X797" s="79"/>
      <c r="AD797" s="130"/>
      <c r="AF797" s="106"/>
    </row>
    <row r="798">
      <c r="C798" s="79"/>
      <c r="D798" s="79"/>
      <c r="E798" s="79"/>
      <c r="O798" s="79"/>
      <c r="R798" s="79"/>
      <c r="S798" s="79"/>
      <c r="X798" s="79"/>
      <c r="AD798" s="130"/>
      <c r="AF798" s="106"/>
    </row>
    <row r="799">
      <c r="C799" s="79"/>
      <c r="D799" s="79"/>
      <c r="E799" s="79"/>
      <c r="O799" s="79"/>
      <c r="R799" s="79"/>
      <c r="S799" s="79"/>
      <c r="X799" s="79"/>
      <c r="AD799" s="130"/>
      <c r="AF799" s="106"/>
    </row>
    <row r="800">
      <c r="C800" s="79"/>
      <c r="D800" s="79"/>
      <c r="E800" s="79"/>
      <c r="O800" s="79"/>
      <c r="R800" s="79"/>
      <c r="S800" s="79"/>
      <c r="X800" s="79"/>
      <c r="AD800" s="130"/>
      <c r="AF800" s="106"/>
    </row>
    <row r="801">
      <c r="C801" s="79"/>
      <c r="D801" s="79"/>
      <c r="E801" s="79"/>
      <c r="O801" s="79"/>
      <c r="R801" s="79"/>
      <c r="S801" s="79"/>
      <c r="X801" s="79"/>
      <c r="AD801" s="130"/>
      <c r="AF801" s="106"/>
    </row>
    <row r="802">
      <c r="C802" s="79"/>
      <c r="D802" s="79"/>
      <c r="E802" s="79"/>
      <c r="O802" s="79"/>
      <c r="R802" s="79"/>
      <c r="S802" s="79"/>
      <c r="X802" s="79"/>
      <c r="AD802" s="130"/>
      <c r="AF802" s="106"/>
    </row>
    <row r="803">
      <c r="C803" s="79"/>
      <c r="D803" s="79"/>
      <c r="E803" s="79"/>
      <c r="O803" s="79"/>
      <c r="R803" s="79"/>
      <c r="S803" s="79"/>
      <c r="X803" s="79"/>
      <c r="AD803" s="130"/>
      <c r="AF803" s="106"/>
    </row>
    <row r="804">
      <c r="C804" s="79"/>
      <c r="D804" s="79"/>
      <c r="E804" s="79"/>
      <c r="O804" s="79"/>
      <c r="R804" s="79"/>
      <c r="S804" s="79"/>
      <c r="X804" s="79"/>
      <c r="AD804" s="130"/>
      <c r="AF804" s="106"/>
    </row>
    <row r="805">
      <c r="C805" s="79"/>
      <c r="D805" s="79"/>
      <c r="E805" s="79"/>
      <c r="O805" s="79"/>
      <c r="R805" s="79"/>
      <c r="S805" s="79"/>
      <c r="X805" s="79"/>
      <c r="AD805" s="130"/>
      <c r="AF805" s="106"/>
    </row>
    <row r="806">
      <c r="C806" s="79"/>
      <c r="D806" s="79"/>
      <c r="E806" s="79"/>
      <c r="O806" s="79"/>
      <c r="R806" s="79"/>
      <c r="S806" s="79"/>
      <c r="X806" s="79"/>
      <c r="AD806" s="130"/>
      <c r="AF806" s="106"/>
    </row>
    <row r="807">
      <c r="C807" s="79"/>
      <c r="D807" s="79"/>
      <c r="E807" s="79"/>
      <c r="O807" s="79"/>
      <c r="R807" s="79"/>
      <c r="S807" s="79"/>
      <c r="X807" s="79"/>
      <c r="AD807" s="130"/>
      <c r="AF807" s="106"/>
    </row>
    <row r="808">
      <c r="C808" s="79"/>
      <c r="D808" s="79"/>
      <c r="E808" s="79"/>
      <c r="O808" s="79"/>
      <c r="R808" s="79"/>
      <c r="S808" s="79"/>
      <c r="X808" s="79"/>
      <c r="AD808" s="130"/>
      <c r="AF808" s="106"/>
    </row>
    <row r="809">
      <c r="C809" s="79"/>
      <c r="D809" s="79"/>
      <c r="E809" s="79"/>
      <c r="O809" s="79"/>
      <c r="R809" s="79"/>
      <c r="S809" s="79"/>
      <c r="X809" s="79"/>
      <c r="AD809" s="130"/>
      <c r="AF809" s="106"/>
    </row>
    <row r="810">
      <c r="C810" s="79"/>
      <c r="D810" s="79"/>
      <c r="E810" s="79"/>
      <c r="O810" s="79"/>
      <c r="R810" s="79"/>
      <c r="S810" s="79"/>
      <c r="X810" s="79"/>
      <c r="AD810" s="130"/>
      <c r="AF810" s="106"/>
    </row>
    <row r="811">
      <c r="C811" s="79"/>
      <c r="D811" s="79"/>
      <c r="E811" s="79"/>
      <c r="O811" s="79"/>
      <c r="R811" s="79"/>
      <c r="S811" s="79"/>
      <c r="X811" s="79"/>
      <c r="AD811" s="130"/>
      <c r="AF811" s="106"/>
    </row>
    <row r="812">
      <c r="C812" s="79"/>
      <c r="D812" s="79"/>
      <c r="E812" s="79"/>
      <c r="O812" s="79"/>
      <c r="R812" s="79"/>
      <c r="S812" s="79"/>
      <c r="X812" s="79"/>
      <c r="AD812" s="130"/>
      <c r="AF812" s="106"/>
    </row>
    <row r="813">
      <c r="C813" s="79"/>
      <c r="D813" s="79"/>
      <c r="E813" s="79"/>
      <c r="O813" s="79"/>
      <c r="R813" s="79"/>
      <c r="S813" s="79"/>
      <c r="X813" s="79"/>
      <c r="AD813" s="130"/>
      <c r="AF813" s="106"/>
    </row>
    <row r="814">
      <c r="C814" s="79"/>
      <c r="D814" s="79"/>
      <c r="E814" s="79"/>
      <c r="O814" s="79"/>
      <c r="R814" s="79"/>
      <c r="S814" s="79"/>
      <c r="X814" s="79"/>
      <c r="AD814" s="130"/>
      <c r="AF814" s="106"/>
    </row>
    <row r="815">
      <c r="C815" s="79"/>
      <c r="D815" s="79"/>
      <c r="E815" s="79"/>
      <c r="O815" s="79"/>
      <c r="R815" s="79"/>
      <c r="S815" s="79"/>
      <c r="X815" s="79"/>
      <c r="AD815" s="130"/>
      <c r="AF815" s="106"/>
    </row>
    <row r="816">
      <c r="C816" s="79"/>
      <c r="D816" s="79"/>
      <c r="E816" s="79"/>
      <c r="O816" s="79"/>
      <c r="R816" s="79"/>
      <c r="S816" s="79"/>
      <c r="X816" s="79"/>
      <c r="AD816" s="130"/>
      <c r="AF816" s="106"/>
    </row>
    <row r="817">
      <c r="C817" s="79"/>
      <c r="D817" s="79"/>
      <c r="E817" s="79"/>
      <c r="O817" s="79"/>
      <c r="R817" s="79"/>
      <c r="S817" s="79"/>
      <c r="X817" s="79"/>
      <c r="AD817" s="130"/>
      <c r="AF817" s="106"/>
    </row>
    <row r="818">
      <c r="C818" s="79"/>
      <c r="D818" s="79"/>
      <c r="E818" s="79"/>
      <c r="O818" s="79"/>
      <c r="R818" s="79"/>
      <c r="S818" s="79"/>
      <c r="X818" s="79"/>
      <c r="AD818" s="130"/>
      <c r="AF818" s="106"/>
    </row>
    <row r="819">
      <c r="C819" s="79"/>
      <c r="D819" s="79"/>
      <c r="E819" s="79"/>
      <c r="O819" s="79"/>
      <c r="R819" s="79"/>
      <c r="S819" s="79"/>
      <c r="X819" s="79"/>
      <c r="AD819" s="130"/>
      <c r="AF819" s="106"/>
    </row>
    <row r="820">
      <c r="C820" s="79"/>
      <c r="D820" s="79"/>
      <c r="E820" s="79"/>
      <c r="O820" s="79"/>
      <c r="R820" s="79"/>
      <c r="S820" s="79"/>
      <c r="X820" s="79"/>
      <c r="AD820" s="130"/>
      <c r="AF820" s="106"/>
    </row>
    <row r="821">
      <c r="C821" s="79"/>
      <c r="D821" s="79"/>
      <c r="E821" s="79"/>
      <c r="O821" s="79"/>
      <c r="R821" s="79"/>
      <c r="S821" s="79"/>
      <c r="X821" s="79"/>
      <c r="AD821" s="130"/>
      <c r="AF821" s="106"/>
    </row>
    <row r="822">
      <c r="C822" s="79"/>
      <c r="D822" s="79"/>
      <c r="E822" s="79"/>
      <c r="O822" s="79"/>
      <c r="R822" s="79"/>
      <c r="S822" s="79"/>
      <c r="X822" s="79"/>
      <c r="AD822" s="130"/>
      <c r="AF822" s="106"/>
    </row>
    <row r="823">
      <c r="C823" s="79"/>
      <c r="D823" s="79"/>
      <c r="E823" s="79"/>
      <c r="O823" s="79"/>
      <c r="R823" s="79"/>
      <c r="S823" s="79"/>
      <c r="X823" s="79"/>
      <c r="AD823" s="130"/>
      <c r="AF823" s="106"/>
    </row>
    <row r="824">
      <c r="C824" s="79"/>
      <c r="D824" s="79"/>
      <c r="E824" s="79"/>
      <c r="O824" s="79"/>
      <c r="R824" s="79"/>
      <c r="S824" s="79"/>
      <c r="X824" s="79"/>
      <c r="AD824" s="130"/>
      <c r="AF824" s="106"/>
    </row>
    <row r="825">
      <c r="C825" s="79"/>
      <c r="D825" s="79"/>
      <c r="E825" s="79"/>
      <c r="O825" s="79"/>
      <c r="R825" s="79"/>
      <c r="S825" s="79"/>
      <c r="X825" s="79"/>
      <c r="AD825" s="130"/>
      <c r="AF825" s="106"/>
    </row>
    <row r="826">
      <c r="C826" s="79"/>
      <c r="D826" s="79"/>
      <c r="E826" s="79"/>
      <c r="O826" s="79"/>
      <c r="R826" s="79"/>
      <c r="S826" s="79"/>
      <c r="X826" s="79"/>
      <c r="AD826" s="130"/>
      <c r="AF826" s="106"/>
    </row>
    <row r="827">
      <c r="C827" s="79"/>
      <c r="D827" s="79"/>
      <c r="E827" s="79"/>
      <c r="O827" s="79"/>
      <c r="R827" s="79"/>
      <c r="S827" s="79"/>
      <c r="X827" s="79"/>
      <c r="AD827" s="130"/>
      <c r="AF827" s="106"/>
    </row>
    <row r="828">
      <c r="C828" s="79"/>
      <c r="D828" s="79"/>
      <c r="E828" s="79"/>
      <c r="O828" s="79"/>
      <c r="R828" s="79"/>
      <c r="S828" s="79"/>
      <c r="X828" s="79"/>
      <c r="AD828" s="130"/>
      <c r="AF828" s="106"/>
    </row>
    <row r="829">
      <c r="C829" s="79"/>
      <c r="D829" s="79"/>
      <c r="E829" s="79"/>
      <c r="O829" s="79"/>
      <c r="R829" s="79"/>
      <c r="S829" s="79"/>
      <c r="X829" s="79"/>
      <c r="AD829" s="130"/>
      <c r="AF829" s="106"/>
    </row>
    <row r="830">
      <c r="C830" s="79"/>
      <c r="D830" s="79"/>
      <c r="E830" s="79"/>
      <c r="O830" s="79"/>
      <c r="R830" s="79"/>
      <c r="S830" s="79"/>
      <c r="X830" s="79"/>
      <c r="AD830" s="130"/>
      <c r="AF830" s="106"/>
    </row>
    <row r="831">
      <c r="O831" s="79"/>
      <c r="R831" s="79"/>
      <c r="S831" s="79"/>
      <c r="X831" s="79"/>
      <c r="AD831" s="130"/>
      <c r="AF831" s="106"/>
    </row>
    <row r="832">
      <c r="O832" s="79"/>
      <c r="R832" s="79"/>
      <c r="S832" s="79"/>
      <c r="X832" s="79"/>
      <c r="AD832" s="130"/>
      <c r="AF832" s="106"/>
    </row>
    <row r="833">
      <c r="O833" s="79"/>
      <c r="R833" s="79"/>
      <c r="S833" s="79"/>
      <c r="X833" s="79"/>
      <c r="AD833" s="130"/>
      <c r="AF833" s="106"/>
    </row>
    <row r="834">
      <c r="O834" s="79"/>
      <c r="R834" s="79"/>
      <c r="S834" s="79"/>
      <c r="X834" s="79"/>
      <c r="AD834" s="130"/>
      <c r="AF834" s="106"/>
    </row>
    <row r="835">
      <c r="O835" s="79"/>
      <c r="R835" s="79"/>
      <c r="S835" s="79"/>
      <c r="X835" s="79"/>
      <c r="AD835" s="130"/>
      <c r="AF835" s="106"/>
    </row>
    <row r="836">
      <c r="O836" s="79"/>
      <c r="R836" s="79"/>
      <c r="S836" s="79"/>
      <c r="X836" s="79"/>
      <c r="AD836" s="130"/>
      <c r="AF836" s="106"/>
    </row>
    <row r="837">
      <c r="O837" s="79"/>
      <c r="R837" s="79"/>
      <c r="S837" s="79"/>
      <c r="X837" s="79"/>
      <c r="AD837" s="130"/>
      <c r="AF837" s="106"/>
    </row>
    <row r="838">
      <c r="O838" s="79"/>
      <c r="R838" s="79"/>
      <c r="S838" s="79"/>
      <c r="X838" s="79"/>
      <c r="AD838" s="130"/>
      <c r="AF838" s="106"/>
    </row>
    <row r="839">
      <c r="O839" s="79"/>
      <c r="R839" s="79"/>
      <c r="S839" s="79"/>
      <c r="X839" s="79"/>
      <c r="AD839" s="130"/>
      <c r="AF839" s="106"/>
    </row>
    <row r="840">
      <c r="O840" s="79"/>
      <c r="R840" s="79"/>
      <c r="S840" s="79"/>
      <c r="X840" s="79"/>
      <c r="AD840" s="130"/>
      <c r="AF840" s="106"/>
    </row>
    <row r="841">
      <c r="O841" s="79"/>
      <c r="R841" s="79"/>
      <c r="S841" s="79"/>
      <c r="X841" s="79"/>
      <c r="AD841" s="130"/>
      <c r="AF841" s="106"/>
    </row>
    <row r="842">
      <c r="O842" s="79"/>
      <c r="R842" s="79"/>
      <c r="S842" s="79"/>
      <c r="X842" s="79"/>
      <c r="AD842" s="130"/>
      <c r="AF842" s="106"/>
    </row>
    <row r="843">
      <c r="O843" s="79"/>
      <c r="R843" s="79"/>
      <c r="S843" s="79"/>
      <c r="X843" s="79"/>
      <c r="AD843" s="130"/>
      <c r="AF843" s="106"/>
    </row>
    <row r="844">
      <c r="O844" s="79"/>
      <c r="R844" s="79"/>
      <c r="S844" s="79"/>
      <c r="X844" s="79"/>
      <c r="AD844" s="130"/>
      <c r="AF844" s="106"/>
    </row>
    <row r="845">
      <c r="O845" s="79"/>
      <c r="R845" s="79"/>
      <c r="S845" s="79"/>
      <c r="X845" s="79"/>
      <c r="AD845" s="130"/>
      <c r="AF845" s="106"/>
    </row>
    <row r="846">
      <c r="O846" s="79"/>
      <c r="R846" s="79"/>
      <c r="S846" s="79"/>
      <c r="X846" s="79"/>
      <c r="AD846" s="130"/>
      <c r="AF846" s="106"/>
    </row>
    <row r="847">
      <c r="O847" s="79"/>
      <c r="R847" s="79"/>
      <c r="S847" s="79"/>
      <c r="X847" s="79"/>
      <c r="AD847" s="130"/>
      <c r="AF847" s="106"/>
    </row>
    <row r="848">
      <c r="O848" s="79"/>
      <c r="R848" s="79"/>
      <c r="S848" s="79"/>
      <c r="X848" s="79"/>
      <c r="AD848" s="130"/>
      <c r="AF848" s="106"/>
    </row>
    <row r="849">
      <c r="O849" s="79"/>
      <c r="R849" s="79"/>
      <c r="S849" s="79"/>
      <c r="X849" s="79"/>
      <c r="AD849" s="130"/>
      <c r="AF849" s="106"/>
    </row>
    <row r="850">
      <c r="O850" s="79"/>
      <c r="R850" s="79"/>
      <c r="S850" s="79"/>
      <c r="X850" s="79"/>
      <c r="AD850" s="130"/>
      <c r="AF850" s="106"/>
    </row>
    <row r="851">
      <c r="O851" s="79"/>
      <c r="R851" s="79"/>
      <c r="S851" s="79"/>
      <c r="X851" s="79"/>
      <c r="AD851" s="130"/>
      <c r="AF851" s="106"/>
    </row>
    <row r="852">
      <c r="O852" s="79"/>
      <c r="R852" s="79"/>
      <c r="S852" s="79"/>
      <c r="X852" s="79"/>
      <c r="AD852" s="130"/>
      <c r="AF852" s="106"/>
    </row>
    <row r="853">
      <c r="O853" s="79"/>
      <c r="R853" s="79"/>
      <c r="S853" s="79"/>
      <c r="X853" s="79"/>
      <c r="AD853" s="130"/>
      <c r="AF853" s="106"/>
    </row>
    <row r="854">
      <c r="O854" s="79"/>
      <c r="R854" s="79"/>
      <c r="S854" s="79"/>
      <c r="X854" s="79"/>
      <c r="AD854" s="130"/>
      <c r="AF854" s="106"/>
    </row>
  </sheetData>
  <autoFilter ref="$A$37:$F$87">
    <sortState ref="A37:F87">
      <sortCondition descending="1" sortBy="cellColor" ref="C37:C87" dxfId="8"/>
      <sortCondition descending="1" sortBy="cellColor" ref="D37:D87" dxfId="8"/>
      <sortCondition descending="1" sortBy="cellColor" ref="E37:E87" dxfId="1"/>
      <sortCondition descending="1" sortBy="cellColor" ref="A37:A87" dxfId="1"/>
    </sortState>
  </autoFilter>
  <mergeCells count="2">
    <mergeCell ref="B34:E34"/>
    <mergeCell ref="H82:N82"/>
  </mergeCells>
  <conditionalFormatting sqref="H38:H50">
    <cfRule type="cellIs" dxfId="2" priority="1" operator="greaterThanOrEqual">
      <formula>1</formula>
    </cfRule>
  </conditionalFormatting>
  <conditionalFormatting sqref="H38:H50">
    <cfRule type="cellIs" dxfId="3" priority="2" operator="lessThanOrEqual">
      <formula>0</formula>
    </cfRule>
  </conditionalFormatting>
  <drawing r:id="rId2"/>
  <legacyDrawing r:id="rId3"/>
  <tableParts count="2">
    <tablePart r:id="rId6"/>
    <tablePart r:id="rId7"/>
  </tableParts>
</worksheet>
</file>

<file path=xl/worksheets/sheet1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16.75"/>
    <col customWidth="1" min="3" max="3" width="27.88"/>
    <col customWidth="1" min="4" max="4" width="25.75"/>
    <col customWidth="1" min="5" max="5" width="20.88"/>
    <col customWidth="1" min="6" max="6" width="26.38"/>
    <col customWidth="1" min="7" max="7" width="25.13"/>
    <col customWidth="1" min="8" max="8" width="24.0"/>
    <col customWidth="1" min="9" max="10" width="15.5"/>
    <col customWidth="1" min="11" max="11" width="16.5"/>
    <col customWidth="1" min="12" max="13" width="15.5"/>
    <col customWidth="1" min="15" max="15" width="27.38"/>
    <col customWidth="1" min="16" max="16" width="11.13"/>
    <col customWidth="1" min="25" max="25" width="14.63"/>
    <col customWidth="1" min="28" max="28" width="19.88"/>
    <col customWidth="1" min="32" max="32" width="17.0"/>
  </cols>
  <sheetData>
    <row r="1">
      <c r="B1" s="2" t="s">
        <v>0</v>
      </c>
      <c r="C1" s="105" t="s">
        <v>202</v>
      </c>
      <c r="D1" s="105" t="s">
        <v>1</v>
      </c>
      <c r="E1" s="105" t="s">
        <v>7</v>
      </c>
      <c r="F1" s="2" t="s">
        <v>264</v>
      </c>
      <c r="G1" s="2" t="s">
        <v>3</v>
      </c>
      <c r="H1" s="2" t="s">
        <v>203</v>
      </c>
      <c r="I1" s="2" t="s">
        <v>37</v>
      </c>
      <c r="J1" s="2" t="s">
        <v>5</v>
      </c>
      <c r="K1" s="2" t="s">
        <v>303</v>
      </c>
      <c r="L1" s="2" t="s">
        <v>6</v>
      </c>
      <c r="M1" s="2" t="s">
        <v>854</v>
      </c>
      <c r="N1" s="2" t="s">
        <v>49</v>
      </c>
      <c r="O1" s="105" t="s">
        <v>304</v>
      </c>
      <c r="P1" s="2" t="s">
        <v>10</v>
      </c>
      <c r="Q1" s="2" t="s">
        <v>42</v>
      </c>
      <c r="R1" s="105" t="s">
        <v>656</v>
      </c>
      <c r="S1" s="105" t="s">
        <v>9</v>
      </c>
      <c r="T1" s="2" t="s">
        <v>164</v>
      </c>
      <c r="U1" s="105" t="s">
        <v>40</v>
      </c>
      <c r="V1" s="2" t="s">
        <v>83</v>
      </c>
      <c r="W1" s="2" t="s">
        <v>204</v>
      </c>
      <c r="X1" s="105" t="s">
        <v>205</v>
      </c>
      <c r="Y1" s="2" t="s">
        <v>206</v>
      </c>
      <c r="Z1" s="2" t="s">
        <v>305</v>
      </c>
      <c r="AA1" s="2" t="s">
        <v>846</v>
      </c>
      <c r="AB1" s="3" t="s">
        <v>828</v>
      </c>
      <c r="AC1" s="3" t="s">
        <v>13</v>
      </c>
      <c r="AD1" s="3" t="s">
        <v>14</v>
      </c>
      <c r="AE1" s="3" t="s">
        <v>15</v>
      </c>
      <c r="AF1" s="106"/>
      <c r="AG1" s="265" t="s">
        <v>306</v>
      </c>
      <c r="AH1" s="266" t="s">
        <v>80</v>
      </c>
    </row>
    <row r="2">
      <c r="A2" s="74">
        <v>45705.0</v>
      </c>
      <c r="B2" s="93"/>
      <c r="C2" s="93"/>
      <c r="D2" s="180">
        <v>812.54</v>
      </c>
      <c r="E2" s="93"/>
      <c r="F2" s="93"/>
      <c r="G2" s="93">
        <v>180.0</v>
      </c>
      <c r="H2" s="93"/>
      <c r="I2" s="93"/>
      <c r="J2" s="374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250">
        <v>325.16</v>
      </c>
      <c r="AA2" s="250">
        <v>363.0</v>
      </c>
      <c r="AB2" s="386"/>
      <c r="AC2" s="107">
        <f>SUM(B2:Z2)</f>
        <v>1317.7</v>
      </c>
      <c r="AD2" s="158">
        <v>0.0</v>
      </c>
      <c r="AE2" s="59" t="str">
        <f t="shared" ref="AE2:AE8" si="1">AC2/AD2</f>
        <v>#DIV/0!</v>
      </c>
      <c r="AF2" s="109">
        <f t="shared" ref="AF2:AF8" si="2">A2</f>
        <v>45705</v>
      </c>
      <c r="AG2" s="267"/>
      <c r="AH2" s="268">
        <f t="shared" ref="AH2:AH8" si="3">AD2-AG2</f>
        <v>0</v>
      </c>
    </row>
    <row r="3">
      <c r="A3" s="74">
        <f t="shared" ref="A3:A8" si="4">A2+1</f>
        <v>45706</v>
      </c>
      <c r="B3" s="93">
        <f>1275.77-75.76-385.55-26.53-175.32-65.8-65.03</f>
        <v>481.78</v>
      </c>
      <c r="C3" s="93">
        <f>606.55-25.25-26</f>
        <v>555.3</v>
      </c>
      <c r="D3" s="93">
        <f>1381.66-133.24-828.42</f>
        <v>420</v>
      </c>
      <c r="E3" s="93"/>
      <c r="F3" s="93"/>
      <c r="G3" s="93"/>
      <c r="H3" s="168"/>
      <c r="I3" s="93"/>
      <c r="J3" s="93">
        <v>1317.05</v>
      </c>
      <c r="K3" s="93"/>
      <c r="L3" s="93"/>
      <c r="M3" s="93"/>
      <c r="N3" s="93">
        <v>648.0</v>
      </c>
      <c r="O3" s="93"/>
      <c r="P3" s="93"/>
      <c r="Q3" s="93"/>
      <c r="R3" s="93"/>
      <c r="S3" s="93"/>
      <c r="T3" s="79"/>
      <c r="U3" s="93"/>
      <c r="V3" s="93"/>
      <c r="W3" s="93"/>
      <c r="X3" s="93"/>
      <c r="Y3" s="93"/>
      <c r="Z3" s="326"/>
      <c r="AA3" s="326"/>
      <c r="AB3" s="326"/>
      <c r="AC3" s="107">
        <f t="shared" ref="AC3:AC8" si="5">SUM(B3:Y3)</f>
        <v>3422.13</v>
      </c>
      <c r="AD3" s="158">
        <v>4939.0</v>
      </c>
      <c r="AE3" s="59">
        <f t="shared" si="1"/>
        <v>0.6928791253</v>
      </c>
      <c r="AF3" s="109">
        <f t="shared" si="2"/>
        <v>45706</v>
      </c>
      <c r="AG3" s="267"/>
      <c r="AH3" s="268">
        <f t="shared" si="3"/>
        <v>4939</v>
      </c>
    </row>
    <row r="4">
      <c r="A4" s="74">
        <f t="shared" si="4"/>
        <v>45707</v>
      </c>
      <c r="B4" s="93">
        <f>821.49-25.75-52.86-132.15-102.3-102.66-58.63-8.97-9.33-27.5-33.11-66.68-6.37-17.65-14.25-10.09-40.02</f>
        <v>113.17</v>
      </c>
      <c r="C4" s="93">
        <f>244.35-84.7</f>
        <v>159.65</v>
      </c>
      <c r="D4" s="180">
        <f>759-300</f>
        <v>459</v>
      </c>
      <c r="E4" s="93"/>
      <c r="F4" s="93"/>
      <c r="G4" s="93"/>
      <c r="H4" s="168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101"/>
      <c r="Z4" s="326"/>
      <c r="AA4" s="326"/>
      <c r="AB4" s="326"/>
      <c r="AC4" s="107">
        <f t="shared" si="5"/>
        <v>731.82</v>
      </c>
      <c r="AD4" s="158">
        <v>6755.0</v>
      </c>
      <c r="AE4" s="59">
        <f t="shared" si="1"/>
        <v>0.1083375278</v>
      </c>
      <c r="AF4" s="109">
        <f t="shared" si="2"/>
        <v>45707</v>
      </c>
      <c r="AG4" s="267"/>
      <c r="AH4" s="268">
        <f t="shared" si="3"/>
        <v>6755</v>
      </c>
    </row>
    <row r="5">
      <c r="A5" s="74">
        <f t="shared" si="4"/>
        <v>45708</v>
      </c>
      <c r="B5" s="93">
        <f>585.24-40.94-47.2-7.4-35.56-75.76-14.47-11.52-22.24</f>
        <v>330.15</v>
      </c>
      <c r="C5" s="93"/>
      <c r="D5" s="93">
        <v>275.2</v>
      </c>
      <c r="E5" s="93"/>
      <c r="F5" s="374"/>
      <c r="G5" s="93">
        <v>180.0</v>
      </c>
      <c r="H5" s="79"/>
      <c r="I5" s="160"/>
      <c r="J5" s="93">
        <v>1192.5</v>
      </c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101"/>
      <c r="Y5" s="101"/>
      <c r="Z5" s="327"/>
      <c r="AA5" s="327"/>
      <c r="AB5" s="93">
        <f>330.5*4</f>
        <v>1322</v>
      </c>
      <c r="AC5" s="7">
        <f t="shared" si="5"/>
        <v>1977.85</v>
      </c>
      <c r="AD5" s="380">
        <v>10401</v>
      </c>
      <c r="AE5" s="59">
        <f t="shared" si="1"/>
        <v>0.1901596</v>
      </c>
      <c r="AF5" s="109">
        <f t="shared" si="2"/>
        <v>45708</v>
      </c>
      <c r="AG5" s="267"/>
      <c r="AH5" s="268">
        <f t="shared" si="3"/>
        <v>10401</v>
      </c>
    </row>
    <row r="6">
      <c r="A6" s="74">
        <f t="shared" si="4"/>
        <v>45709</v>
      </c>
      <c r="B6" s="93">
        <f>472.06-58.4-27.23-74.6</f>
        <v>311.83</v>
      </c>
      <c r="C6" s="93">
        <v>168.45</v>
      </c>
      <c r="D6" s="93"/>
      <c r="E6" s="93"/>
      <c r="F6" s="79"/>
      <c r="G6" s="93"/>
      <c r="H6" s="160"/>
      <c r="I6" s="93"/>
      <c r="J6" s="93"/>
      <c r="K6" s="93"/>
      <c r="L6" s="93"/>
      <c r="M6" s="374"/>
      <c r="N6" s="93">
        <v>324.0</v>
      </c>
      <c r="O6" s="93"/>
      <c r="P6" s="93">
        <v>197.75</v>
      </c>
      <c r="Q6" s="93"/>
      <c r="R6" s="93"/>
      <c r="S6" s="374"/>
      <c r="T6" s="93"/>
      <c r="U6" s="93"/>
      <c r="V6" s="93"/>
      <c r="W6" s="93"/>
      <c r="X6" s="93"/>
      <c r="Y6" s="93"/>
      <c r="Z6" s="327"/>
      <c r="AA6" s="327"/>
      <c r="AB6" s="327"/>
      <c r="AC6" s="7">
        <f t="shared" si="5"/>
        <v>1002.03</v>
      </c>
      <c r="AD6" s="380">
        <v>13796.5</v>
      </c>
      <c r="AE6" s="59">
        <f t="shared" si="1"/>
        <v>0.07262929004</v>
      </c>
      <c r="AF6" s="109">
        <f t="shared" si="2"/>
        <v>45709</v>
      </c>
      <c r="AG6" s="267"/>
      <c r="AH6" s="268">
        <f t="shared" si="3"/>
        <v>13796.5</v>
      </c>
    </row>
    <row r="7">
      <c r="A7" s="74">
        <f t="shared" si="4"/>
        <v>45710</v>
      </c>
      <c r="B7" s="93">
        <f>635.56-82.82-47.2-28.71</f>
        <v>476.83</v>
      </c>
      <c r="C7" s="361">
        <v>84.4</v>
      </c>
      <c r="D7" s="93">
        <f>616.01-152.4-67.8</f>
        <v>395.81</v>
      </c>
      <c r="E7" s="79"/>
      <c r="F7" s="93"/>
      <c r="G7" s="93">
        <v>180.0</v>
      </c>
      <c r="H7" s="79"/>
      <c r="I7" s="93"/>
      <c r="J7" s="93"/>
      <c r="K7" s="93"/>
      <c r="L7" s="93"/>
      <c r="M7" s="374"/>
      <c r="N7" s="93"/>
      <c r="O7" s="93"/>
      <c r="P7" s="93"/>
      <c r="Q7" s="93"/>
      <c r="R7" s="101"/>
      <c r="S7" s="93"/>
      <c r="T7" s="93"/>
      <c r="U7" s="93"/>
      <c r="V7" s="93"/>
      <c r="W7" s="93"/>
      <c r="X7" s="101"/>
      <c r="Y7" s="93"/>
      <c r="Z7" s="327"/>
      <c r="AA7" s="327"/>
      <c r="AB7" s="327"/>
      <c r="AC7" s="7">
        <f t="shared" si="5"/>
        <v>1137.04</v>
      </c>
      <c r="AD7" s="380">
        <v>13372.0</v>
      </c>
      <c r="AE7" s="59">
        <f t="shared" si="1"/>
        <v>0.08503140891</v>
      </c>
      <c r="AF7" s="109">
        <f t="shared" si="2"/>
        <v>45710</v>
      </c>
      <c r="AG7" s="267"/>
      <c r="AH7" s="268">
        <f t="shared" si="3"/>
        <v>13372</v>
      </c>
    </row>
    <row r="8">
      <c r="A8" s="74">
        <f t="shared" si="4"/>
        <v>45711</v>
      </c>
      <c r="B8" s="344">
        <v>296.55</v>
      </c>
      <c r="C8" s="374"/>
      <c r="D8" s="344">
        <f>311.25+330.05</f>
        <v>641.3</v>
      </c>
      <c r="E8" s="374"/>
      <c r="F8" s="344"/>
      <c r="G8" s="112"/>
      <c r="H8" s="93"/>
      <c r="I8" s="344">
        <v>746.25</v>
      </c>
      <c r="J8" s="374"/>
      <c r="K8" s="93"/>
      <c r="L8" s="112"/>
      <c r="M8" s="374"/>
      <c r="N8" s="374"/>
      <c r="O8" s="93"/>
      <c r="P8" s="93"/>
      <c r="Q8" s="374"/>
      <c r="R8" s="101"/>
      <c r="S8" s="93"/>
      <c r="T8" s="374"/>
      <c r="U8" s="112"/>
      <c r="V8" s="112"/>
      <c r="W8" s="112"/>
      <c r="X8" s="112"/>
      <c r="Y8" s="112"/>
      <c r="Z8" s="93"/>
      <c r="AA8" s="433"/>
      <c r="AB8" s="616"/>
      <c r="AC8" s="7">
        <f t="shared" si="5"/>
        <v>1684.1</v>
      </c>
      <c r="AD8" s="380">
        <v>0.0</v>
      </c>
      <c r="AE8" s="59" t="str">
        <f t="shared" si="1"/>
        <v>#DIV/0!</v>
      </c>
      <c r="AF8" s="109">
        <f t="shared" si="2"/>
        <v>45711</v>
      </c>
      <c r="AG8" s="267"/>
      <c r="AH8" s="268">
        <f t="shared" si="3"/>
        <v>0</v>
      </c>
    </row>
    <row r="9">
      <c r="A9" s="163"/>
      <c r="B9" s="78"/>
      <c r="C9" s="78"/>
      <c r="D9" s="78"/>
      <c r="E9" s="188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D9" s="129"/>
      <c r="AF9" s="106"/>
    </row>
    <row r="10">
      <c r="A10" s="164" t="s">
        <v>193</v>
      </c>
      <c r="B10" s="78"/>
      <c r="C10" s="78"/>
      <c r="D10" s="78"/>
      <c r="E10" s="188"/>
      <c r="F10" s="188"/>
      <c r="G10" s="18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D10" s="129"/>
      <c r="AF10" s="106"/>
    </row>
    <row r="11">
      <c r="A11" s="165" t="s">
        <v>194</v>
      </c>
      <c r="B11" s="93">
        <f>102.3+102.66+58.63+17.65+14.25+10.09+40.02+40.94+14.47+11.52+22.24+82.82+47.2+28.71+26.53+65.8+65.03</f>
        <v>750.86</v>
      </c>
      <c r="C11" s="93">
        <v>26.0</v>
      </c>
      <c r="D11" s="93">
        <f>67.8+300</f>
        <v>367.8</v>
      </c>
      <c r="E11" s="167"/>
      <c r="F11" s="168"/>
      <c r="G11" s="168"/>
      <c r="H11" s="93"/>
      <c r="I11" s="166"/>
      <c r="J11" s="93"/>
      <c r="K11" s="168"/>
      <c r="L11" s="93"/>
      <c r="M11" s="93"/>
      <c r="N11" s="93"/>
      <c r="O11" s="168"/>
      <c r="P11" s="168"/>
      <c r="Q11" s="168"/>
      <c r="R11" s="168"/>
      <c r="S11" s="168"/>
      <c r="T11" s="168"/>
      <c r="U11" s="168"/>
      <c r="V11" s="1"/>
      <c r="W11" s="168"/>
      <c r="X11" s="168"/>
      <c r="Y11" s="1"/>
      <c r="Z11" s="93"/>
      <c r="AA11" s="1"/>
      <c r="AB11" s="1"/>
      <c r="AC11" s="1"/>
      <c r="AD11" s="169"/>
      <c r="AE11" s="1"/>
      <c r="AF11" s="170"/>
    </row>
    <row r="12">
      <c r="A12" s="165" t="s">
        <v>195</v>
      </c>
      <c r="B12" s="93">
        <f>245.45+75.76+385.55+47.2+7.4+35.56+75.76+58.4+27.23+74.6+175.32</f>
        <v>1208.23</v>
      </c>
      <c r="C12" s="93">
        <f>84.7+25.25</f>
        <v>109.95</v>
      </c>
      <c r="D12" s="93">
        <f>133.24+152.4</f>
        <v>285.64</v>
      </c>
      <c r="E12" s="93"/>
      <c r="F12" s="374"/>
      <c r="G12" s="93"/>
      <c r="H12" s="79"/>
      <c r="I12" s="93"/>
      <c r="J12" s="93"/>
      <c r="K12" s="79"/>
      <c r="L12" s="93"/>
      <c r="M12" s="93"/>
      <c r="N12" s="93">
        <f>78+72</f>
        <v>150</v>
      </c>
      <c r="O12" s="168"/>
      <c r="P12" s="93"/>
      <c r="Q12" s="166"/>
      <c r="R12" s="93"/>
      <c r="S12" s="166"/>
      <c r="T12" s="168"/>
      <c r="U12" s="168"/>
      <c r="V12" s="1"/>
      <c r="W12" s="93"/>
      <c r="X12" s="168"/>
      <c r="Y12" s="1"/>
      <c r="Z12" s="1"/>
      <c r="AA12" s="192"/>
      <c r="AB12" s="1"/>
      <c r="AC12" s="1"/>
      <c r="AD12" s="171"/>
      <c r="AE12" s="1"/>
      <c r="AF12" s="170"/>
    </row>
    <row r="13">
      <c r="A13" s="172" t="s">
        <v>198</v>
      </c>
      <c r="B13" s="93"/>
      <c r="C13" s="348"/>
      <c r="D13" s="93"/>
      <c r="E13" s="168"/>
      <c r="F13" s="166"/>
      <c r="G13" s="166"/>
      <c r="H13" s="168"/>
      <c r="I13" s="168"/>
      <c r="J13" s="93"/>
      <c r="K13" s="168"/>
      <c r="L13" s="168"/>
      <c r="M13" s="168"/>
      <c r="N13" s="93"/>
      <c r="O13" s="168"/>
      <c r="P13" s="93"/>
      <c r="Q13" s="168"/>
      <c r="R13" s="168"/>
      <c r="S13" s="168"/>
      <c r="T13" s="1"/>
      <c r="U13" s="1"/>
      <c r="V13" s="1"/>
      <c r="W13" s="168"/>
      <c r="X13" s="168"/>
      <c r="Y13" s="1"/>
      <c r="Z13" s="1"/>
      <c r="AA13" s="1"/>
      <c r="AB13" s="1"/>
      <c r="AC13" s="1"/>
      <c r="AD13" s="174"/>
      <c r="AE13" s="1"/>
      <c r="AF13" s="170"/>
    </row>
    <row r="14">
      <c r="A14" s="91"/>
      <c r="B14" s="375"/>
      <c r="C14" s="79"/>
      <c r="D14" s="79"/>
      <c r="E14" s="79"/>
      <c r="F14" s="78"/>
      <c r="G14" s="78"/>
      <c r="H14" s="79"/>
      <c r="I14" s="78"/>
      <c r="J14" s="79"/>
      <c r="K14" s="79"/>
      <c r="L14" s="79"/>
      <c r="M14" s="79"/>
      <c r="N14" s="79"/>
      <c r="O14" s="79"/>
      <c r="Q14" s="79"/>
      <c r="R14" s="79"/>
      <c r="S14" s="198"/>
      <c r="T14" s="198"/>
      <c r="X14" s="79"/>
      <c r="AD14" s="131"/>
      <c r="AF14" s="106"/>
    </row>
    <row r="15">
      <c r="A15" s="91"/>
      <c r="B15" s="375"/>
      <c r="C15" s="79"/>
      <c r="D15" s="78"/>
      <c r="E15" s="78"/>
      <c r="F15" s="351"/>
      <c r="G15" s="351"/>
      <c r="H15" s="192"/>
      <c r="I15" s="198"/>
      <c r="J15" s="201"/>
      <c r="K15" s="199"/>
      <c r="L15" s="199"/>
      <c r="M15" s="200"/>
      <c r="N15" s="202"/>
      <c r="O15" s="198"/>
      <c r="Q15" s="198"/>
      <c r="R15" s="79"/>
      <c r="S15" s="198"/>
      <c r="T15" s="198"/>
      <c r="U15" s="198"/>
      <c r="V15" s="198"/>
      <c r="W15" s="199"/>
      <c r="X15" s="79"/>
      <c r="AD15" s="131"/>
      <c r="AF15" s="106"/>
    </row>
    <row r="16">
      <c r="A16" s="4" t="s">
        <v>22</v>
      </c>
      <c r="B16" s="11">
        <v>11500.0</v>
      </c>
      <c r="C16" s="79"/>
      <c r="D16" s="78"/>
      <c r="E16" s="78"/>
      <c r="F16" s="351"/>
      <c r="G16" s="175"/>
      <c r="H16" s="192"/>
      <c r="I16" s="203"/>
      <c r="J16" s="203"/>
      <c r="K16" s="203"/>
      <c r="L16" s="203"/>
      <c r="M16" s="198"/>
      <c r="N16" s="200"/>
      <c r="O16" s="198"/>
      <c r="Q16" s="203"/>
      <c r="R16" s="427"/>
      <c r="S16" s="201"/>
      <c r="T16" s="198"/>
      <c r="U16" s="198"/>
      <c r="V16" s="198"/>
      <c r="W16" s="201"/>
      <c r="X16" s="79"/>
      <c r="AD16" s="131"/>
      <c r="AF16" s="106"/>
    </row>
    <row r="17">
      <c r="A17" s="4" t="s">
        <v>23</v>
      </c>
      <c r="B17" s="11">
        <f>SUM(B2:AB8)</f>
        <v>12957.67</v>
      </c>
      <c r="C17" s="192"/>
      <c r="D17" s="78"/>
      <c r="E17" s="78"/>
      <c r="F17" s="351"/>
      <c r="G17" s="351"/>
      <c r="H17" s="192"/>
      <c r="I17" s="175"/>
      <c r="J17" s="203"/>
      <c r="K17" s="203"/>
      <c r="L17" s="203"/>
      <c r="M17" s="201"/>
      <c r="N17" s="201"/>
      <c r="O17" s="198"/>
      <c r="Q17" s="203"/>
      <c r="R17" s="79"/>
      <c r="S17" s="201"/>
      <c r="T17" s="201"/>
      <c r="U17" s="198"/>
      <c r="V17" s="198"/>
      <c r="W17" s="191"/>
      <c r="X17" s="79"/>
      <c r="AD17" s="131"/>
      <c r="AF17" s="106"/>
    </row>
    <row r="18">
      <c r="A18" s="4" t="s">
        <v>24</v>
      </c>
      <c r="B18" s="11">
        <f> SUM(B16-B17)</f>
        <v>-1457.67</v>
      </c>
      <c r="C18" s="79"/>
      <c r="D18" s="78"/>
      <c r="E18" s="151"/>
      <c r="F18" s="351"/>
      <c r="G18" s="351"/>
      <c r="H18" s="192"/>
      <c r="I18" s="203"/>
      <c r="J18" s="203"/>
      <c r="K18" s="203"/>
      <c r="L18" s="203"/>
      <c r="M18" s="201"/>
      <c r="N18" s="200"/>
      <c r="O18" s="198"/>
      <c r="Q18" s="203"/>
      <c r="R18" s="79"/>
      <c r="S18" s="210"/>
      <c r="T18" s="210"/>
      <c r="U18" s="198"/>
      <c r="V18" s="198"/>
      <c r="W18" s="203"/>
      <c r="X18" s="79"/>
      <c r="AD18" s="131"/>
      <c r="AF18" s="106"/>
    </row>
    <row r="19">
      <c r="C19" s="79"/>
      <c r="E19" s="588" t="s">
        <v>195</v>
      </c>
      <c r="F19" s="198"/>
      <c r="G19" s="351"/>
      <c r="H19" s="192"/>
      <c r="I19" s="345"/>
      <c r="J19" s="203"/>
      <c r="K19" s="203"/>
      <c r="L19" s="203"/>
      <c r="N19" s="198"/>
      <c r="O19" s="198"/>
      <c r="Q19" s="203"/>
      <c r="R19" s="79"/>
      <c r="S19" s="198"/>
      <c r="T19" s="428"/>
      <c r="U19" s="198"/>
      <c r="V19" s="201"/>
      <c r="W19" s="203"/>
      <c r="X19" s="79"/>
      <c r="AD19" s="131"/>
      <c r="AF19" s="106"/>
    </row>
    <row r="20">
      <c r="A20" s="13" t="s">
        <v>25</v>
      </c>
      <c r="B20" s="14">
        <f>SUM(AD2:AD8)</f>
        <v>49263.5</v>
      </c>
      <c r="C20" s="79"/>
      <c r="D20" s="13" t="s">
        <v>724</v>
      </c>
      <c r="E20" s="445">
        <f>sum(B12:AA12)+2712</f>
        <v>4465.82</v>
      </c>
      <c r="F20" s="589"/>
      <c r="G20" s="351"/>
      <c r="H20" s="192"/>
      <c r="I20" s="203"/>
      <c r="J20" s="203"/>
      <c r="K20" s="203"/>
      <c r="L20" s="203"/>
      <c r="M20" s="203"/>
      <c r="N20" s="198"/>
      <c r="O20" s="198"/>
      <c r="Q20" s="203"/>
      <c r="R20" s="79"/>
      <c r="S20" s="198"/>
      <c r="T20" s="198"/>
      <c r="U20" s="198"/>
      <c r="V20" s="198"/>
      <c r="W20" s="203"/>
      <c r="X20" s="79"/>
      <c r="AD20" s="181"/>
      <c r="AF20" s="106"/>
    </row>
    <row r="21">
      <c r="A21" s="13" t="s">
        <v>26</v>
      </c>
      <c r="B21" s="15">
        <f>B17/B20</f>
        <v>0.2630277995</v>
      </c>
      <c r="C21" s="79"/>
      <c r="D21" s="13" t="s">
        <v>25</v>
      </c>
      <c r="E21" s="445">
        <f>2007+1961+3210+3940</f>
        <v>11118</v>
      </c>
      <c r="F21" s="589">
        <f>1518/2</f>
        <v>759</v>
      </c>
      <c r="G21" s="351"/>
      <c r="H21" s="192"/>
      <c r="I21" s="203"/>
      <c r="J21" s="203"/>
      <c r="K21" s="203"/>
      <c r="L21" s="203"/>
      <c r="M21" s="203"/>
      <c r="N21" s="203"/>
      <c r="O21" s="198"/>
      <c r="Q21" s="203"/>
      <c r="R21" s="79"/>
      <c r="S21" s="198"/>
      <c r="T21" s="198"/>
      <c r="U21" s="198"/>
      <c r="V21" s="198"/>
      <c r="W21" s="203"/>
      <c r="X21" s="79"/>
      <c r="AD21" s="130"/>
      <c r="AF21" s="106"/>
    </row>
    <row r="22">
      <c r="C22" s="79"/>
      <c r="D22" s="448" t="s">
        <v>26</v>
      </c>
      <c r="E22" s="449">
        <f>E20/E21</f>
        <v>0.4016747616</v>
      </c>
      <c r="F22" s="590"/>
      <c r="G22" s="351"/>
      <c r="H22" s="192"/>
      <c r="I22" s="78"/>
      <c r="J22" s="203"/>
      <c r="K22" s="203"/>
      <c r="L22" s="203"/>
      <c r="M22" s="203"/>
      <c r="N22" s="201"/>
      <c r="O22" s="198"/>
      <c r="Q22" s="198"/>
      <c r="R22" s="79"/>
      <c r="S22" s="198"/>
      <c r="T22" s="198"/>
      <c r="U22" s="198"/>
      <c r="V22" s="198"/>
      <c r="W22" s="203"/>
      <c r="X22" s="79"/>
      <c r="AD22" s="182"/>
      <c r="AF22" s="106"/>
    </row>
    <row r="23">
      <c r="C23" s="79"/>
      <c r="D23" s="79"/>
      <c r="E23" s="79"/>
      <c r="F23" s="198"/>
      <c r="G23" s="351"/>
      <c r="H23" s="192"/>
      <c r="I23" s="203"/>
      <c r="J23" s="212"/>
      <c r="K23" s="203"/>
      <c r="L23" s="203"/>
      <c r="M23" s="203"/>
      <c r="N23" s="201"/>
      <c r="O23" s="198"/>
      <c r="Q23" s="198"/>
      <c r="R23" s="79"/>
      <c r="S23" s="198"/>
      <c r="T23" s="198"/>
      <c r="U23" s="198"/>
      <c r="V23" s="198"/>
      <c r="W23" s="203"/>
      <c r="X23" s="79"/>
      <c r="AD23" s="130"/>
      <c r="AF23" s="106"/>
    </row>
    <row r="24">
      <c r="A24" s="16" t="s">
        <v>27</v>
      </c>
      <c r="B24" s="17"/>
      <c r="C24" s="114"/>
      <c r="D24" s="114"/>
      <c r="E24" s="114"/>
      <c r="F24" s="198"/>
      <c r="G24" s="78"/>
      <c r="H24" s="224"/>
      <c r="I24" s="78"/>
      <c r="J24" s="79"/>
      <c r="K24" s="203"/>
      <c r="L24" s="217"/>
      <c r="M24" s="208"/>
      <c r="N24" s="198"/>
      <c r="O24" s="198"/>
      <c r="Q24" s="200"/>
      <c r="R24" s="79"/>
      <c r="S24" s="198"/>
      <c r="T24" s="198"/>
      <c r="U24" s="198"/>
      <c r="V24" s="198"/>
      <c r="W24" s="203"/>
      <c r="X24" s="79"/>
      <c r="AD24" s="130"/>
      <c r="AF24" s="106"/>
    </row>
    <row r="25">
      <c r="A25" s="19" t="s">
        <v>28</v>
      </c>
      <c r="B25" s="20"/>
      <c r="C25" s="116"/>
      <c r="D25" s="116"/>
      <c r="E25" s="116"/>
      <c r="F25" s="198"/>
      <c r="G25" s="78"/>
      <c r="H25" s="213"/>
      <c r="I25" s="224"/>
      <c r="J25" s="78"/>
      <c r="K25" s="203"/>
      <c r="L25" s="203"/>
      <c r="M25" s="209"/>
      <c r="N25" s="201"/>
      <c r="O25" s="198"/>
      <c r="Q25" s="198"/>
      <c r="R25" s="79"/>
      <c r="S25" s="198"/>
      <c r="T25" s="198"/>
      <c r="U25" s="198"/>
      <c r="V25" s="198"/>
      <c r="W25" s="203"/>
      <c r="X25" s="79"/>
      <c r="AD25" s="130"/>
      <c r="AF25" s="106"/>
    </row>
    <row r="26">
      <c r="A26" s="183" t="s">
        <v>29</v>
      </c>
      <c r="B26" s="184" t="s">
        <v>30</v>
      </c>
      <c r="C26" s="183"/>
      <c r="D26" s="183" t="s">
        <v>170</v>
      </c>
      <c r="E26" s="591" t="s">
        <v>171</v>
      </c>
      <c r="F26" s="198"/>
      <c r="G26" s="79"/>
      <c r="H26" s="242"/>
      <c r="I26" s="79"/>
      <c r="J26" s="79"/>
      <c r="K26" s="203"/>
      <c r="L26" s="201"/>
      <c r="M26" s="209"/>
      <c r="N26" s="198"/>
      <c r="O26" s="198"/>
      <c r="Q26" s="198"/>
      <c r="R26" s="79"/>
      <c r="S26" s="198"/>
      <c r="T26" s="198"/>
      <c r="U26" s="198"/>
      <c r="V26" s="198"/>
      <c r="W26" s="203"/>
      <c r="X26" s="79"/>
      <c r="Y26" s="195"/>
      <c r="AD26" s="130"/>
      <c r="AF26" s="106"/>
    </row>
    <row r="27">
      <c r="A27" s="237" t="s">
        <v>964</v>
      </c>
      <c r="B27" s="381">
        <f>+1535.86-459-367.8+1309.88</f>
        <v>2018.94</v>
      </c>
      <c r="C27" s="239"/>
      <c r="D27" s="239"/>
      <c r="E27" s="239"/>
      <c r="F27" s="204"/>
      <c r="O27" s="79"/>
      <c r="R27" s="79"/>
      <c r="S27" s="79"/>
      <c r="X27" s="79"/>
      <c r="AD27" s="130"/>
      <c r="AF27" s="106"/>
    </row>
    <row r="28">
      <c r="A28" s="221" t="s">
        <v>965</v>
      </c>
      <c r="B28" s="341">
        <f>+682+426+300</f>
        <v>1408</v>
      </c>
      <c r="C28" s="223"/>
      <c r="D28" s="223"/>
      <c r="E28" s="223"/>
      <c r="F28" s="204"/>
      <c r="O28" s="79"/>
      <c r="R28" s="79"/>
      <c r="S28" s="79"/>
      <c r="X28" s="79"/>
      <c r="AD28" s="130"/>
      <c r="AF28" s="106"/>
    </row>
    <row r="29">
      <c r="A29" s="221" t="s">
        <v>111</v>
      </c>
      <c r="B29" s="341">
        <f>1221.58</f>
        <v>1221.58</v>
      </c>
      <c r="C29" s="223"/>
      <c r="D29" s="223"/>
      <c r="E29" s="223"/>
      <c r="F29" s="204"/>
      <c r="O29" s="79"/>
      <c r="R29" s="79"/>
      <c r="S29" s="79"/>
      <c r="X29" s="79"/>
      <c r="AD29" s="130"/>
      <c r="AF29" s="106"/>
    </row>
    <row r="30">
      <c r="A30" s="245" t="s">
        <v>966</v>
      </c>
      <c r="B30" s="340">
        <v>697.3</v>
      </c>
      <c r="C30" s="247"/>
      <c r="D30" s="247"/>
      <c r="E30" s="247"/>
      <c r="F30" s="204"/>
      <c r="O30" s="79"/>
      <c r="R30" s="79"/>
      <c r="S30" s="79"/>
      <c r="X30" s="79"/>
      <c r="AD30" s="130"/>
      <c r="AF30" s="106"/>
    </row>
    <row r="31">
      <c r="A31" s="245" t="s">
        <v>967</v>
      </c>
      <c r="B31" s="340">
        <v>393.89</v>
      </c>
      <c r="C31" s="247"/>
      <c r="D31" s="247"/>
      <c r="E31" s="247"/>
      <c r="F31" s="204"/>
      <c r="O31" s="79"/>
      <c r="R31" s="79"/>
      <c r="S31" s="79"/>
      <c r="X31" s="79"/>
      <c r="AD31" s="130"/>
      <c r="AF31" s="106"/>
    </row>
    <row r="32">
      <c r="A32" s="245" t="s">
        <v>968</v>
      </c>
      <c r="B32" s="340">
        <f>+682.33+312.9+455.86+396.9+273.43</f>
        <v>2121.42</v>
      </c>
      <c r="C32" s="247"/>
      <c r="D32" s="247"/>
      <c r="E32" s="247"/>
      <c r="F32" s="204"/>
      <c r="O32" s="79"/>
      <c r="R32" s="79"/>
      <c r="S32" s="79"/>
      <c r="X32" s="79"/>
      <c r="AD32" s="130"/>
      <c r="AF32" s="106"/>
    </row>
    <row r="33">
      <c r="A33" s="245" t="s">
        <v>969</v>
      </c>
      <c r="B33" s="340">
        <f>330.5*2</f>
        <v>661</v>
      </c>
      <c r="C33" s="247"/>
      <c r="D33" s="247"/>
      <c r="E33" s="247"/>
      <c r="F33" s="79"/>
      <c r="G33" s="79"/>
      <c r="H33" s="79"/>
      <c r="I33" s="79"/>
      <c r="J33" s="79"/>
      <c r="K33" s="79"/>
      <c r="L33" s="79"/>
      <c r="M33" s="79"/>
      <c r="N33" s="79">
        <v>2712</v>
      </c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669"/>
      <c r="AE33" s="79"/>
      <c r="AF33" s="670"/>
      <c r="AG33" s="79"/>
      <c r="AH33" s="79"/>
      <c r="AI33" s="79"/>
    </row>
    <row r="34">
      <c r="A34" s="79"/>
      <c r="B34" s="668"/>
      <c r="C34" s="668"/>
      <c r="D34" s="668"/>
      <c r="E34" s="668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669"/>
      <c r="AE34" s="79"/>
      <c r="AF34" s="670"/>
      <c r="AG34" s="79"/>
      <c r="AH34" s="79"/>
      <c r="AI34" s="79"/>
    </row>
    <row r="35">
      <c r="A35" s="274"/>
      <c r="B35" s="275" t="s">
        <v>315</v>
      </c>
      <c r="F35" s="274"/>
      <c r="G35" s="274"/>
      <c r="H35" s="274"/>
      <c r="I35" s="274"/>
      <c r="J35" s="274"/>
      <c r="K35" s="274"/>
      <c r="L35" s="274"/>
      <c r="M35" s="274"/>
      <c r="N35" s="274"/>
      <c r="O35" s="274"/>
      <c r="P35" s="274"/>
      <c r="Q35" s="274"/>
      <c r="R35" s="274"/>
      <c r="S35" s="274"/>
      <c r="T35" s="274"/>
      <c r="U35" s="274"/>
      <c r="V35" s="274"/>
      <c r="W35" s="274"/>
      <c r="X35" s="274"/>
      <c r="Y35" s="274"/>
      <c r="Z35" s="274"/>
      <c r="AA35" s="274"/>
      <c r="AB35" s="274"/>
      <c r="AC35" s="274"/>
      <c r="AD35" s="276"/>
      <c r="AE35" s="274"/>
      <c r="AF35" s="277"/>
      <c r="AG35" s="274"/>
      <c r="AH35" s="274"/>
      <c r="AI35" s="274"/>
    </row>
    <row r="36">
      <c r="A36" s="16" t="s">
        <v>316</v>
      </c>
      <c r="B36" s="17"/>
      <c r="C36" s="114"/>
      <c r="D36" s="114"/>
      <c r="E36" s="115"/>
      <c r="I36" s="455" t="s">
        <v>735</v>
      </c>
      <c r="J36" s="17"/>
      <c r="K36" s="114"/>
      <c r="L36" s="114"/>
      <c r="M36" s="115"/>
      <c r="P36" s="79"/>
      <c r="T36" s="79"/>
      <c r="U36" s="79"/>
      <c r="AE36" s="130"/>
      <c r="AG36" s="106"/>
    </row>
    <row r="37">
      <c r="A37" s="19" t="s">
        <v>317</v>
      </c>
      <c r="B37" s="20"/>
      <c r="C37" s="116"/>
      <c r="D37" s="116"/>
      <c r="E37" s="117"/>
      <c r="I37" s="599" t="s">
        <v>736</v>
      </c>
      <c r="J37" s="20"/>
      <c r="K37" s="116"/>
      <c r="L37" s="116"/>
      <c r="M37" s="117"/>
      <c r="P37" s="79"/>
      <c r="T37" s="79"/>
      <c r="U37" s="79"/>
      <c r="AE37" s="130"/>
      <c r="AG37" s="106"/>
    </row>
    <row r="38">
      <c r="A38" s="278" t="s">
        <v>318</v>
      </c>
      <c r="B38" s="279" t="s">
        <v>319</v>
      </c>
      <c r="C38" s="280" t="s">
        <v>285</v>
      </c>
      <c r="D38" s="280" t="s">
        <v>30</v>
      </c>
      <c r="E38" s="281" t="s">
        <v>320</v>
      </c>
      <c r="F38" s="281" t="s">
        <v>321</v>
      </c>
      <c r="H38" s="600" t="s">
        <v>743</v>
      </c>
      <c r="I38" s="507" t="s">
        <v>318</v>
      </c>
      <c r="J38" s="601" t="s">
        <v>319</v>
      </c>
      <c r="K38" s="507" t="s">
        <v>285</v>
      </c>
      <c r="L38" s="507" t="s">
        <v>737</v>
      </c>
      <c r="M38" s="507" t="s">
        <v>738</v>
      </c>
      <c r="N38" s="507" t="s">
        <v>739</v>
      </c>
      <c r="O38" s="602" t="s">
        <v>740</v>
      </c>
      <c r="P38" s="602" t="s">
        <v>741</v>
      </c>
      <c r="Q38" s="602" t="s">
        <v>320</v>
      </c>
      <c r="R38" s="507"/>
      <c r="S38" s="602" t="s">
        <v>740</v>
      </c>
      <c r="T38" s="602" t="s">
        <v>741</v>
      </c>
      <c r="U38" s="602" t="s">
        <v>320</v>
      </c>
      <c r="V38" s="507"/>
      <c r="W38" s="602" t="s">
        <v>740</v>
      </c>
      <c r="X38" s="602" t="s">
        <v>741</v>
      </c>
      <c r="Y38" s="602" t="s">
        <v>320</v>
      </c>
      <c r="AE38" s="130"/>
      <c r="AG38" s="106"/>
    </row>
    <row r="39">
      <c r="A39" s="320" t="s">
        <v>810</v>
      </c>
      <c r="B39" s="321">
        <v>45602.0</v>
      </c>
      <c r="C39" s="685" t="s">
        <v>325</v>
      </c>
      <c r="D39" s="686">
        <v>812.54</v>
      </c>
      <c r="E39" s="320" t="s">
        <v>970</v>
      </c>
      <c r="F39" s="685" t="s">
        <v>830</v>
      </c>
      <c r="H39" s="603"/>
      <c r="I39" s="463"/>
      <c r="J39" s="464"/>
      <c r="K39" s="465"/>
      <c r="L39" s="466"/>
      <c r="M39" s="467"/>
      <c r="N39" s="467"/>
      <c r="O39" s="652"/>
      <c r="P39" s="622"/>
      <c r="Q39" s="653"/>
      <c r="R39" s="583"/>
      <c r="S39" s="469"/>
      <c r="T39" s="534"/>
      <c r="U39" s="469"/>
      <c r="V39" s="583"/>
      <c r="W39" s="469"/>
      <c r="X39" s="469"/>
      <c r="Y39" s="469"/>
      <c r="Z39" s="483"/>
      <c r="AA39" s="483"/>
      <c r="AB39" s="483"/>
      <c r="AC39" s="483"/>
      <c r="AD39" s="483"/>
      <c r="AE39" s="492"/>
      <c r="AF39" s="483"/>
      <c r="AG39" s="493"/>
      <c r="AH39" s="483"/>
      <c r="AI39" s="483"/>
    </row>
    <row r="40">
      <c r="A40" s="655" t="s">
        <v>946</v>
      </c>
      <c r="B40" s="656">
        <v>45692.0</v>
      </c>
      <c r="C40" s="322" t="s">
        <v>945</v>
      </c>
      <c r="D40" s="323">
        <v>746.25</v>
      </c>
      <c r="E40" s="320" t="s">
        <v>970</v>
      </c>
      <c r="F40" s="690"/>
      <c r="H40" s="603">
        <f t="shared" ref="H40:H52" si="6">L40+O40+S40+W40</f>
        <v>0</v>
      </c>
      <c r="I40" s="463">
        <v>607888.0</v>
      </c>
      <c r="J40" s="464">
        <v>45653.0</v>
      </c>
      <c r="K40" s="465" t="s">
        <v>437</v>
      </c>
      <c r="L40" s="466">
        <v>3.0</v>
      </c>
      <c r="M40" s="467">
        <v>1504.57</v>
      </c>
      <c r="N40" s="467">
        <f t="shared" ref="N40:N48" si="7">M40/L40</f>
        <v>501.5233333</v>
      </c>
      <c r="O40" s="652">
        <v>-3.0</v>
      </c>
      <c r="P40" s="622">
        <f t="shared" ref="P40:P48" si="8">O40*N40</f>
        <v>-1504.57</v>
      </c>
      <c r="Q40" s="653">
        <v>45662.0</v>
      </c>
      <c r="R40" s="583"/>
      <c r="S40" s="469"/>
      <c r="T40" s="534"/>
      <c r="U40" s="469"/>
      <c r="V40" s="583"/>
      <c r="W40" s="469"/>
      <c r="X40" s="469"/>
      <c r="Y40" s="469"/>
      <c r="Z40" s="483"/>
      <c r="AA40" s="483"/>
      <c r="AB40" s="483"/>
      <c r="AC40" s="483"/>
      <c r="AD40" s="483"/>
      <c r="AE40" s="492"/>
      <c r="AF40" s="483"/>
      <c r="AG40" s="493"/>
      <c r="AH40" s="483"/>
      <c r="AI40" s="483"/>
    </row>
    <row r="41">
      <c r="A41" s="655" t="s">
        <v>959</v>
      </c>
      <c r="B41" s="656">
        <v>45699.0</v>
      </c>
      <c r="C41" s="322" t="s">
        <v>960</v>
      </c>
      <c r="D41" s="323">
        <v>296.55</v>
      </c>
      <c r="E41" s="320" t="s">
        <v>970</v>
      </c>
      <c r="F41" s="264"/>
      <c r="H41" s="603">
        <f t="shared" si="6"/>
        <v>0</v>
      </c>
      <c r="I41" s="463">
        <v>608100.0</v>
      </c>
      <c r="J41" s="464">
        <v>46022.0</v>
      </c>
      <c r="K41" s="465" t="s">
        <v>437</v>
      </c>
      <c r="L41" s="466">
        <v>9.0</v>
      </c>
      <c r="M41" s="467">
        <f>4305.17</f>
        <v>4305.17</v>
      </c>
      <c r="N41" s="467">
        <f t="shared" si="7"/>
        <v>478.3522222</v>
      </c>
      <c r="O41" s="652">
        <v>-3.0</v>
      </c>
      <c r="P41" s="622">
        <f t="shared" si="8"/>
        <v>-1435.056667</v>
      </c>
      <c r="Q41" s="653">
        <v>45662.0</v>
      </c>
      <c r="R41" s="583"/>
      <c r="S41" s="652">
        <v>-4.0</v>
      </c>
      <c r="T41" s="622">
        <f t="shared" ref="T41:T45" si="9">S41*N41</f>
        <v>-1913.408889</v>
      </c>
      <c r="U41" s="653">
        <v>45669.0</v>
      </c>
      <c r="V41" s="583"/>
      <c r="W41" s="652">
        <v>-2.0</v>
      </c>
      <c r="X41" s="622">
        <f>W41*N41</f>
        <v>-956.7044444</v>
      </c>
      <c r="Y41" s="653">
        <v>45676.0</v>
      </c>
      <c r="AE41" s="130"/>
      <c r="AG41" s="106"/>
    </row>
    <row r="42">
      <c r="A42" s="289" t="s">
        <v>824</v>
      </c>
      <c r="B42" s="290">
        <v>45609.0</v>
      </c>
      <c r="C42" s="173" t="s">
        <v>325</v>
      </c>
      <c r="D42" s="180">
        <v>829.32</v>
      </c>
      <c r="E42" s="336"/>
      <c r="F42" s="173" t="s">
        <v>830</v>
      </c>
      <c r="H42" s="603">
        <f t="shared" si="6"/>
        <v>0</v>
      </c>
      <c r="I42" s="463">
        <v>609641.0</v>
      </c>
      <c r="J42" s="464">
        <v>45665.0</v>
      </c>
      <c r="K42" s="465" t="s">
        <v>437</v>
      </c>
      <c r="L42" s="466">
        <v>6.0</v>
      </c>
      <c r="M42" s="467">
        <v>2782.71</v>
      </c>
      <c r="N42" s="467">
        <f t="shared" si="7"/>
        <v>463.785</v>
      </c>
      <c r="O42" s="652">
        <v>-5.0</v>
      </c>
      <c r="P42" s="622">
        <f t="shared" si="8"/>
        <v>-2318.925</v>
      </c>
      <c r="Q42" s="653">
        <v>45676.0</v>
      </c>
      <c r="R42" s="583"/>
      <c r="S42" s="652">
        <v>-1.0</v>
      </c>
      <c r="T42" s="622">
        <f t="shared" si="9"/>
        <v>-463.785</v>
      </c>
      <c r="U42" s="653">
        <v>45676.0</v>
      </c>
      <c r="V42" s="583"/>
      <c r="W42" s="469"/>
      <c r="X42" s="469"/>
      <c r="Y42" s="469"/>
      <c r="AE42" s="130"/>
      <c r="AG42" s="106"/>
    </row>
    <row r="43">
      <c r="A43" s="289" t="s">
        <v>831</v>
      </c>
      <c r="B43" s="290">
        <v>45616.0</v>
      </c>
      <c r="C43" s="173" t="s">
        <v>325</v>
      </c>
      <c r="D43" s="180">
        <v>821.53</v>
      </c>
      <c r="E43" s="336"/>
      <c r="F43" s="173" t="s">
        <v>830</v>
      </c>
      <c r="H43" s="603">
        <f t="shared" si="6"/>
        <v>0</v>
      </c>
      <c r="I43" s="463">
        <v>611034.0</v>
      </c>
      <c r="J43" s="464">
        <v>45672.0</v>
      </c>
      <c r="K43" s="465" t="s">
        <v>437</v>
      </c>
      <c r="L43" s="466">
        <v>6.0</v>
      </c>
      <c r="M43" s="467">
        <v>2892.55</v>
      </c>
      <c r="N43" s="467">
        <f t="shared" si="7"/>
        <v>482.0916667</v>
      </c>
      <c r="O43" s="652">
        <v>-4.0</v>
      </c>
      <c r="P43" s="622">
        <f t="shared" si="8"/>
        <v>-1928.366667</v>
      </c>
      <c r="Q43" s="653">
        <v>45683.0</v>
      </c>
      <c r="R43" s="583"/>
      <c r="S43" s="652">
        <v>-2.0</v>
      </c>
      <c r="T43" s="622">
        <f t="shared" si="9"/>
        <v>-964.1833333</v>
      </c>
      <c r="U43" s="653">
        <v>45676.0</v>
      </c>
      <c r="V43" s="583"/>
      <c r="W43" s="469"/>
      <c r="X43" s="469"/>
      <c r="Y43" s="469"/>
      <c r="AE43" s="130"/>
      <c r="AG43" s="106"/>
    </row>
    <row r="44">
      <c r="A44" s="289" t="s">
        <v>875</v>
      </c>
      <c r="B44" s="290">
        <v>45673.0</v>
      </c>
      <c r="C44" s="173" t="s">
        <v>325</v>
      </c>
      <c r="D44" s="180">
        <v>805.36</v>
      </c>
      <c r="E44" s="336"/>
      <c r="F44" s="173"/>
      <c r="H44" s="603">
        <f t="shared" si="6"/>
        <v>0</v>
      </c>
      <c r="I44" s="463">
        <v>612376.0</v>
      </c>
      <c r="J44" s="464">
        <v>45679.0</v>
      </c>
      <c r="K44" s="465" t="s">
        <v>437</v>
      </c>
      <c r="L44" s="466">
        <v>6.0</v>
      </c>
      <c r="M44" s="467">
        <v>2661.57</v>
      </c>
      <c r="N44" s="467">
        <f t="shared" si="7"/>
        <v>443.595</v>
      </c>
      <c r="O44" s="652">
        <v>-5.0</v>
      </c>
      <c r="P44" s="622">
        <f t="shared" si="8"/>
        <v>-2217.975</v>
      </c>
      <c r="Q44" s="653">
        <v>45690.0</v>
      </c>
      <c r="R44" s="583"/>
      <c r="S44" s="652">
        <v>-1.0</v>
      </c>
      <c r="T44" s="622">
        <f t="shared" si="9"/>
        <v>-443.595</v>
      </c>
      <c r="U44" s="653">
        <v>45690.0</v>
      </c>
      <c r="V44" s="583"/>
      <c r="W44" s="469"/>
      <c r="X44" s="469"/>
      <c r="Y44" s="469"/>
      <c r="AE44" s="130"/>
      <c r="AG44" s="106"/>
    </row>
    <row r="45">
      <c r="A45" s="289" t="s">
        <v>876</v>
      </c>
      <c r="B45" s="290">
        <v>45675.0</v>
      </c>
      <c r="C45" s="173" t="s">
        <v>325</v>
      </c>
      <c r="D45" s="180">
        <v>1624.49</v>
      </c>
      <c r="E45" s="336"/>
      <c r="F45" s="173"/>
      <c r="H45" s="610">
        <f t="shared" si="6"/>
        <v>0</v>
      </c>
      <c r="I45" s="463">
        <v>613778.0</v>
      </c>
      <c r="J45" s="464">
        <v>45686.0</v>
      </c>
      <c r="K45" s="465" t="s">
        <v>437</v>
      </c>
      <c r="L45" s="466">
        <v>6.0</v>
      </c>
      <c r="M45" s="467">
        <v>2728.75</v>
      </c>
      <c r="N45" s="467">
        <f t="shared" si="7"/>
        <v>454.7916667</v>
      </c>
      <c r="O45" s="652">
        <v>-3.0</v>
      </c>
      <c r="P45" s="622">
        <f t="shared" si="8"/>
        <v>-1364.375</v>
      </c>
      <c r="Q45" s="653">
        <v>45697.0</v>
      </c>
      <c r="R45" s="615"/>
      <c r="S45" s="652">
        <v>-2.0</v>
      </c>
      <c r="T45" s="622">
        <f t="shared" si="9"/>
        <v>-909.5833333</v>
      </c>
      <c r="U45" s="653">
        <v>45697.0</v>
      </c>
      <c r="V45" s="615"/>
      <c r="W45" s="652">
        <v>-1.0</v>
      </c>
      <c r="X45" s="622">
        <f>W45*N45</f>
        <v>-454.7916667</v>
      </c>
      <c r="Y45" s="653">
        <v>45704.0</v>
      </c>
      <c r="AE45" s="130"/>
      <c r="AG45" s="106"/>
    </row>
    <row r="46">
      <c r="A46" s="687" t="s">
        <v>888</v>
      </c>
      <c r="B46" s="688">
        <v>45680.0</v>
      </c>
      <c r="C46" s="377" t="s">
        <v>325</v>
      </c>
      <c r="D46" s="99">
        <v>227.93</v>
      </c>
      <c r="E46" s="689"/>
      <c r="F46" s="377"/>
      <c r="H46" s="610">
        <f t="shared" si="6"/>
        <v>0</v>
      </c>
      <c r="I46" s="463">
        <v>615515.0</v>
      </c>
      <c r="J46" s="464">
        <v>45694.0</v>
      </c>
      <c r="K46" s="465" t="s">
        <v>437</v>
      </c>
      <c r="L46" s="466">
        <v>6.0</v>
      </c>
      <c r="M46" s="467">
        <v>2714.35</v>
      </c>
      <c r="N46" s="467">
        <f t="shared" si="7"/>
        <v>452.3916667</v>
      </c>
      <c r="O46" s="652">
        <v>-6.0</v>
      </c>
      <c r="P46" s="622">
        <f t="shared" si="8"/>
        <v>-2714.35</v>
      </c>
      <c r="Q46" s="653">
        <v>45697.0</v>
      </c>
      <c r="R46" s="583"/>
      <c r="S46" s="469"/>
      <c r="T46" s="534"/>
      <c r="U46" s="469"/>
      <c r="V46" s="583"/>
      <c r="W46" s="469"/>
      <c r="X46" s="469"/>
      <c r="Y46" s="469"/>
      <c r="AE46" s="130"/>
      <c r="AG46" s="106"/>
    </row>
    <row r="47">
      <c r="A47" s="289" t="s">
        <v>888</v>
      </c>
      <c r="B47" s="290">
        <v>45699.0</v>
      </c>
      <c r="C47" s="173" t="s">
        <v>325</v>
      </c>
      <c r="D47" s="180">
        <v>845.19</v>
      </c>
      <c r="E47" s="336"/>
      <c r="F47" s="173"/>
      <c r="H47" s="603">
        <f t="shared" si="6"/>
        <v>0</v>
      </c>
      <c r="I47" s="463" t="s">
        <v>954</v>
      </c>
      <c r="J47" s="464">
        <v>45703.0</v>
      </c>
      <c r="K47" s="465" t="s">
        <v>437</v>
      </c>
      <c r="L47" s="466">
        <v>2.0</v>
      </c>
      <c r="M47" s="467">
        <v>690.53</v>
      </c>
      <c r="N47" s="467">
        <f t="shared" si="7"/>
        <v>345.265</v>
      </c>
      <c r="O47" s="360">
        <v>-2.0</v>
      </c>
      <c r="P47" s="613">
        <f t="shared" si="8"/>
        <v>-690.53</v>
      </c>
      <c r="Q47" s="359">
        <v>45711.0</v>
      </c>
      <c r="R47" s="583"/>
      <c r="S47" s="469"/>
      <c r="T47" s="534"/>
      <c r="U47" s="469"/>
      <c r="V47" s="583"/>
      <c r="W47" s="469"/>
      <c r="X47" s="469"/>
      <c r="Y47" s="469"/>
      <c r="AE47" s="130"/>
      <c r="AG47" s="106"/>
    </row>
    <row r="48">
      <c r="A48" s="289" t="s">
        <v>971</v>
      </c>
      <c r="B48" s="290">
        <v>45706.0</v>
      </c>
      <c r="C48" s="173" t="s">
        <v>325</v>
      </c>
      <c r="D48" s="180">
        <v>828.42</v>
      </c>
      <c r="E48" s="336"/>
      <c r="F48" s="173"/>
      <c r="H48" s="603">
        <f t="shared" si="6"/>
        <v>2</v>
      </c>
      <c r="I48" s="463">
        <v>618438.0</v>
      </c>
      <c r="J48" s="464">
        <v>45707.0</v>
      </c>
      <c r="K48" s="465" t="s">
        <v>437</v>
      </c>
      <c r="L48" s="466">
        <v>6.0</v>
      </c>
      <c r="M48" s="467">
        <v>2762.34</v>
      </c>
      <c r="N48" s="467">
        <f t="shared" si="7"/>
        <v>460.39</v>
      </c>
      <c r="O48" s="360">
        <v>-4.0</v>
      </c>
      <c r="P48" s="613">
        <f t="shared" si="8"/>
        <v>-1841.56</v>
      </c>
      <c r="Q48" s="359">
        <v>45711.0</v>
      </c>
      <c r="R48" s="583"/>
      <c r="S48" s="469"/>
      <c r="T48" s="534"/>
      <c r="U48" s="469"/>
      <c r="V48" s="583"/>
      <c r="W48" s="469"/>
      <c r="X48" s="469"/>
      <c r="Y48" s="469"/>
      <c r="AE48" s="130"/>
      <c r="AG48" s="106"/>
    </row>
    <row r="49">
      <c r="A49" s="264" t="s">
        <v>937</v>
      </c>
      <c r="B49" s="639">
        <v>45688.0</v>
      </c>
      <c r="C49" s="166" t="s">
        <v>845</v>
      </c>
      <c r="D49" s="323">
        <f>1535.86-459-367.8</f>
        <v>709.06</v>
      </c>
      <c r="E49" s="655" t="s">
        <v>972</v>
      </c>
      <c r="F49" s="264"/>
      <c r="H49" s="603">
        <f t="shared" si="6"/>
        <v>0</v>
      </c>
      <c r="I49" s="463"/>
      <c r="J49" s="464"/>
      <c r="K49" s="465"/>
      <c r="L49" s="466"/>
      <c r="M49" s="467"/>
      <c r="N49" s="467"/>
      <c r="O49" s="489"/>
      <c r="P49" s="488"/>
      <c r="Q49" s="604"/>
      <c r="R49" s="583"/>
      <c r="S49" s="469"/>
      <c r="T49" s="534"/>
      <c r="U49" s="469"/>
      <c r="V49" s="583"/>
      <c r="W49" s="469"/>
      <c r="X49" s="469"/>
      <c r="Y49" s="469"/>
      <c r="AE49" s="130"/>
      <c r="AG49" s="106"/>
    </row>
    <row r="50">
      <c r="A50" s="694" t="s">
        <v>947</v>
      </c>
      <c r="B50" s="695">
        <v>45693.0</v>
      </c>
      <c r="C50" s="329" t="s">
        <v>355</v>
      </c>
      <c r="D50" s="348">
        <f>379.86-15</f>
        <v>364.86</v>
      </c>
      <c r="E50" s="696"/>
      <c r="F50" s="264"/>
      <c r="H50" s="603">
        <f t="shared" si="6"/>
        <v>0</v>
      </c>
      <c r="I50" s="463"/>
      <c r="J50" s="464"/>
      <c r="K50" s="465"/>
      <c r="L50" s="466"/>
      <c r="M50" s="467"/>
      <c r="N50" s="467"/>
      <c r="O50" s="489"/>
      <c r="P50" s="488"/>
      <c r="Q50" s="604"/>
      <c r="R50" s="583"/>
      <c r="S50" s="469"/>
      <c r="T50" s="534"/>
      <c r="U50" s="469"/>
      <c r="V50" s="583"/>
      <c r="W50" s="469"/>
      <c r="X50" s="469"/>
      <c r="Y50" s="469"/>
      <c r="AE50" s="130"/>
      <c r="AG50" s="106"/>
    </row>
    <row r="51">
      <c r="A51" s="690" t="s">
        <v>955</v>
      </c>
      <c r="B51" s="691">
        <v>45703.0</v>
      </c>
      <c r="C51" s="692" t="s">
        <v>956</v>
      </c>
      <c r="D51" s="693">
        <v>682.0</v>
      </c>
      <c r="E51" s="697"/>
      <c r="F51" s="690"/>
      <c r="H51" s="603">
        <f t="shared" si="6"/>
        <v>0</v>
      </c>
      <c r="I51" s="463"/>
      <c r="J51" s="464"/>
      <c r="K51" s="465"/>
      <c r="L51" s="466"/>
      <c r="M51" s="467"/>
      <c r="N51" s="467"/>
      <c r="O51" s="489"/>
      <c r="P51" s="488"/>
      <c r="Q51" s="604"/>
      <c r="R51" s="583"/>
      <c r="S51" s="469"/>
      <c r="T51" s="534"/>
      <c r="U51" s="469"/>
      <c r="V51" s="583"/>
      <c r="W51" s="469"/>
      <c r="X51" s="469"/>
      <c r="Y51" s="469"/>
      <c r="AE51" s="130"/>
      <c r="AG51" s="106"/>
    </row>
    <row r="52">
      <c r="A52" s="264" t="s">
        <v>961</v>
      </c>
      <c r="B52" s="639">
        <v>45701.0</v>
      </c>
      <c r="C52" s="166" t="s">
        <v>962</v>
      </c>
      <c r="D52" s="93">
        <v>1309.88</v>
      </c>
      <c r="E52" s="697"/>
      <c r="F52" s="690"/>
      <c r="H52" s="603">
        <f t="shared" si="6"/>
        <v>0</v>
      </c>
      <c r="I52" s="463"/>
      <c r="J52" s="464"/>
      <c r="K52" s="465"/>
      <c r="L52" s="466"/>
      <c r="M52" s="467"/>
      <c r="N52" s="467"/>
      <c r="O52" s="489"/>
      <c r="P52" s="488"/>
      <c r="Q52" s="604"/>
      <c r="R52" s="583"/>
      <c r="S52" s="469"/>
      <c r="T52" s="534"/>
      <c r="U52" s="469"/>
      <c r="V52" s="583"/>
      <c r="W52" s="469"/>
      <c r="X52" s="469"/>
      <c r="Y52" s="469"/>
      <c r="AE52" s="130"/>
      <c r="AG52" s="106"/>
    </row>
    <row r="53">
      <c r="A53" s="690" t="s">
        <v>963</v>
      </c>
      <c r="B53" s="691">
        <v>45702.0</v>
      </c>
      <c r="C53" s="692" t="s">
        <v>111</v>
      </c>
      <c r="D53" s="693">
        <v>1221.58</v>
      </c>
      <c r="E53" s="285"/>
      <c r="F53" s="264"/>
      <c r="P53" s="79"/>
      <c r="T53" s="79"/>
      <c r="U53" s="79"/>
      <c r="AE53" s="130"/>
      <c r="AG53" s="106"/>
    </row>
    <row r="54">
      <c r="A54" s="264" t="s">
        <v>973</v>
      </c>
      <c r="B54" s="283">
        <v>45703.0</v>
      </c>
      <c r="C54" s="96" t="s">
        <v>331</v>
      </c>
      <c r="D54" s="5">
        <v>426.0</v>
      </c>
      <c r="E54" s="697"/>
      <c r="F54" s="264"/>
      <c r="H54" s="479" t="s">
        <v>287</v>
      </c>
      <c r="I54" s="32" t="s">
        <v>748</v>
      </c>
      <c r="J54" s="479" t="s">
        <v>749</v>
      </c>
      <c r="K54" s="479" t="s">
        <v>750</v>
      </c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AE54" s="130"/>
      <c r="AG54" s="106"/>
    </row>
    <row r="55">
      <c r="A55" s="264" t="s">
        <v>974</v>
      </c>
      <c r="B55" s="283">
        <v>45703.0</v>
      </c>
      <c r="C55" s="96" t="s">
        <v>331</v>
      </c>
      <c r="D55" s="5">
        <v>300.0</v>
      </c>
      <c r="E55" s="1"/>
      <c r="F55" s="1"/>
      <c r="H55" s="286">
        <v>45662.0</v>
      </c>
      <c r="I55" s="32">
        <v>6.0</v>
      </c>
      <c r="J55" s="480">
        <f>P40+P41</f>
        <v>-2939.626667</v>
      </c>
      <c r="K55" s="479" t="s">
        <v>195</v>
      </c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AE55" s="130"/>
      <c r="AG55" s="106"/>
    </row>
    <row r="56">
      <c r="A56" s="264" t="s">
        <v>975</v>
      </c>
      <c r="B56" s="283">
        <v>45707.0</v>
      </c>
      <c r="C56" s="96" t="s">
        <v>976</v>
      </c>
      <c r="D56" s="96">
        <f>273.43-15</f>
        <v>258.43</v>
      </c>
      <c r="E56" s="1"/>
      <c r="F56" s="1"/>
      <c r="H56" s="286">
        <v>45669.0</v>
      </c>
      <c r="I56" s="32">
        <v>3.0</v>
      </c>
      <c r="J56" s="480">
        <f>N41*-3</f>
        <v>-1435.056667</v>
      </c>
      <c r="K56" s="479" t="s">
        <v>195</v>
      </c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AE56" s="130"/>
      <c r="AG56" s="106"/>
    </row>
    <row r="57">
      <c r="A57" s="1"/>
      <c r="B57" s="1"/>
      <c r="C57" s="1"/>
      <c r="D57" s="1"/>
      <c r="E57" s="1"/>
      <c r="F57" s="1"/>
      <c r="H57" s="286">
        <v>45669.0</v>
      </c>
      <c r="I57" s="32">
        <v>1.0</v>
      </c>
      <c r="J57" s="480">
        <f>N41*-1</f>
        <v>-478.3522222</v>
      </c>
      <c r="K57" s="479" t="s">
        <v>839</v>
      </c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AE57" s="130"/>
      <c r="AG57" s="106"/>
    </row>
    <row r="58">
      <c r="A58" s="1"/>
      <c r="B58" s="1"/>
      <c r="C58" s="1"/>
      <c r="D58" s="1"/>
      <c r="E58" s="1"/>
      <c r="F58" s="1"/>
      <c r="H58" s="504">
        <v>45676.0</v>
      </c>
      <c r="I58" s="479">
        <v>7.0</v>
      </c>
      <c r="J58" s="505">
        <f>(P42+X41)*-1</f>
        <v>3275.629444</v>
      </c>
      <c r="K58" s="479" t="s">
        <v>195</v>
      </c>
      <c r="M58" s="79"/>
      <c r="N58" s="78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AE58" s="130"/>
      <c r="AG58" s="106"/>
    </row>
    <row r="59">
      <c r="A59" s="1"/>
      <c r="B59" s="1"/>
      <c r="C59" s="1"/>
      <c r="D59" s="1"/>
      <c r="E59" s="1"/>
      <c r="F59" s="1"/>
      <c r="H59" s="504">
        <v>45676.0</v>
      </c>
      <c r="I59" s="479">
        <v>1.0</v>
      </c>
      <c r="J59" s="505">
        <f>T42</f>
        <v>-463.785</v>
      </c>
      <c r="K59" s="479" t="s">
        <v>839</v>
      </c>
      <c r="M59" s="79"/>
      <c r="N59" s="78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AE59" s="130"/>
      <c r="AG59" s="106"/>
    </row>
    <row r="60">
      <c r="A60" s="1"/>
      <c r="B60" s="1"/>
      <c r="C60" s="1"/>
      <c r="D60" s="1"/>
      <c r="E60" s="1"/>
      <c r="F60" s="1"/>
      <c r="H60" s="504">
        <v>45697.0</v>
      </c>
      <c r="I60" s="479">
        <v>5.0</v>
      </c>
      <c r="J60" s="505">
        <f>P45+T45</f>
        <v>-2273.958333</v>
      </c>
      <c r="K60" s="4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Z60" s="625"/>
      <c r="AA60" s="625"/>
      <c r="AB60" s="625"/>
      <c r="AC60" s="625"/>
      <c r="AD60" s="658"/>
      <c r="AE60" s="625"/>
      <c r="AF60" s="659"/>
      <c r="AG60" s="625"/>
    </row>
    <row r="61">
      <c r="A61" s="1"/>
      <c r="B61" s="1"/>
      <c r="C61" s="1"/>
      <c r="D61" s="1"/>
      <c r="E61" s="1"/>
      <c r="F61" s="1"/>
      <c r="H61" s="504">
        <v>45704.0</v>
      </c>
      <c r="I61" s="479">
        <v>7.0</v>
      </c>
      <c r="J61" s="505">
        <f>P46+X45</f>
        <v>-3169.141667</v>
      </c>
      <c r="K61" s="4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Z61" s="625"/>
      <c r="AA61" s="625"/>
      <c r="AB61" s="625"/>
      <c r="AC61" s="625"/>
      <c r="AD61" s="658"/>
      <c r="AE61" s="625"/>
      <c r="AF61" s="659"/>
      <c r="AG61" s="625"/>
    </row>
    <row r="62">
      <c r="A62" s="264"/>
      <c r="B62" s="639"/>
      <c r="C62" s="166"/>
      <c r="D62" s="93"/>
      <c r="E62" s="285"/>
      <c r="F62" s="264"/>
      <c r="H62" s="584">
        <v>45711.0</v>
      </c>
      <c r="I62" s="585">
        <v>6.0</v>
      </c>
      <c r="J62" s="586">
        <f>P48+P47</f>
        <v>-2532.09</v>
      </c>
      <c r="K62" s="585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Z62" s="625"/>
      <c r="AA62" s="625"/>
      <c r="AB62" s="625"/>
      <c r="AC62" s="625"/>
      <c r="AD62" s="658"/>
      <c r="AE62" s="625"/>
      <c r="AF62" s="659"/>
      <c r="AG62" s="625"/>
    </row>
    <row r="63">
      <c r="A63" s="264"/>
      <c r="B63" s="639"/>
      <c r="C63" s="166"/>
      <c r="D63" s="93"/>
      <c r="E63" s="285"/>
      <c r="F63" s="264"/>
      <c r="H63" s="584"/>
      <c r="I63" s="585"/>
      <c r="J63" s="505"/>
      <c r="K63" s="4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Z63" s="625"/>
      <c r="AA63" s="625"/>
      <c r="AB63" s="625"/>
      <c r="AC63" s="625"/>
      <c r="AD63" s="658"/>
      <c r="AE63" s="625"/>
      <c r="AF63" s="659"/>
      <c r="AG63" s="625"/>
    </row>
    <row r="64">
      <c r="A64" s="264"/>
      <c r="B64" s="639"/>
      <c r="C64" s="166"/>
      <c r="D64" s="93"/>
      <c r="E64" s="285"/>
      <c r="F64" s="264"/>
      <c r="H64" s="286"/>
      <c r="I64" s="479"/>
      <c r="J64" s="505"/>
      <c r="K64" s="4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Z64" s="625"/>
      <c r="AA64" s="625"/>
      <c r="AB64" s="625"/>
      <c r="AC64" s="625"/>
      <c r="AD64" s="658"/>
      <c r="AE64" s="625"/>
      <c r="AF64" s="659"/>
      <c r="AG64" s="625"/>
    </row>
    <row r="65">
      <c r="A65" s="646"/>
      <c r="B65" s="647"/>
      <c r="C65" s="78"/>
      <c r="D65" s="192"/>
      <c r="E65" s="643"/>
      <c r="F65" s="45"/>
      <c r="H65" s="286"/>
      <c r="I65" s="479"/>
      <c r="J65" s="479"/>
      <c r="K65" s="4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Z65" s="625"/>
      <c r="AA65" s="625"/>
      <c r="AB65" s="625"/>
      <c r="AC65" s="625"/>
      <c r="AD65" s="658"/>
      <c r="AE65" s="625"/>
      <c r="AF65" s="659"/>
      <c r="AG65" s="625"/>
    </row>
    <row r="66">
      <c r="A66" s="646"/>
      <c r="B66" s="647"/>
      <c r="C66" s="78"/>
      <c r="D66" s="192"/>
      <c r="E66" s="643"/>
      <c r="F66" s="45"/>
      <c r="H66" s="286"/>
      <c r="I66" s="479"/>
      <c r="J66" s="479"/>
      <c r="K66" s="4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Z66" s="625"/>
      <c r="AA66" s="625"/>
      <c r="AB66" s="625"/>
      <c r="AC66" s="625"/>
      <c r="AD66" s="658"/>
      <c r="AE66" s="625"/>
      <c r="AF66" s="659"/>
      <c r="AG66" s="625"/>
    </row>
    <row r="67">
      <c r="A67" s="646"/>
      <c r="B67" s="647"/>
      <c r="C67" s="78"/>
      <c r="D67" s="192"/>
      <c r="E67" s="643"/>
      <c r="F67" s="45"/>
      <c r="H67" s="504"/>
      <c r="I67" s="479"/>
      <c r="J67" s="505"/>
      <c r="K67" s="479"/>
      <c r="M67" s="79"/>
      <c r="N67" s="481"/>
      <c r="O67" s="545"/>
      <c r="P67" s="481"/>
      <c r="Q67" s="481"/>
      <c r="R67" s="545"/>
      <c r="S67" s="545"/>
      <c r="T67" s="481"/>
      <c r="U67" s="481"/>
      <c r="V67" s="481"/>
      <c r="W67" s="481"/>
      <c r="X67" s="545"/>
      <c r="Z67" s="625"/>
      <c r="AA67" s="625"/>
      <c r="AB67" s="625"/>
      <c r="AC67" s="625"/>
      <c r="AD67" s="658"/>
      <c r="AE67" s="625"/>
      <c r="AF67" s="659"/>
      <c r="AG67" s="625"/>
    </row>
    <row r="68">
      <c r="A68" s="646"/>
      <c r="B68" s="647"/>
      <c r="C68" s="78"/>
      <c r="D68" s="192"/>
      <c r="E68" s="643"/>
      <c r="F68" s="45"/>
      <c r="H68" s="286"/>
      <c r="I68" s="479"/>
      <c r="J68" s="479"/>
      <c r="K68" s="479"/>
      <c r="M68" s="79"/>
      <c r="N68" s="545"/>
      <c r="O68" s="545"/>
      <c r="P68" s="545"/>
      <c r="Q68" s="545"/>
      <c r="R68" s="545"/>
      <c r="S68" s="545"/>
      <c r="T68" s="545"/>
      <c r="U68" s="545"/>
      <c r="V68" s="545"/>
      <c r="W68" s="545"/>
      <c r="X68" s="545"/>
      <c r="AD68" s="130"/>
      <c r="AF68" s="106"/>
    </row>
    <row r="69">
      <c r="A69" s="646"/>
      <c r="B69" s="647"/>
      <c r="C69" s="78"/>
      <c r="D69" s="192"/>
      <c r="E69" s="643"/>
      <c r="F69" s="45"/>
      <c r="H69" s="634"/>
      <c r="I69" s="479"/>
      <c r="J69" s="505"/>
      <c r="K69" s="479"/>
      <c r="M69" s="79"/>
      <c r="N69" s="626"/>
      <c r="O69" s="626"/>
      <c r="P69" s="626"/>
      <c r="Q69" s="626"/>
      <c r="R69" s="626"/>
      <c r="S69" s="626"/>
      <c r="T69" s="626"/>
      <c r="U69" s="626"/>
      <c r="V69" s="626"/>
      <c r="W69" s="626"/>
      <c r="X69" s="626"/>
      <c r="AD69" s="130"/>
      <c r="AF69" s="106"/>
    </row>
    <row r="70">
      <c r="A70" s="646"/>
      <c r="B70" s="647"/>
      <c r="C70" s="78"/>
      <c r="D70" s="192"/>
      <c r="E70" s="643"/>
      <c r="F70" s="45"/>
      <c r="H70" s="634"/>
      <c r="I70" s="479"/>
      <c r="J70" s="505"/>
      <c r="K70" s="479"/>
      <c r="L70" s="625"/>
      <c r="M70" s="79"/>
      <c r="N70" s="626"/>
      <c r="O70" s="626"/>
      <c r="P70" s="626"/>
      <c r="Q70" s="626"/>
      <c r="R70" s="626"/>
      <c r="S70" s="626"/>
      <c r="T70" s="626"/>
      <c r="U70" s="626"/>
      <c r="V70" s="626"/>
      <c r="W70" s="626"/>
      <c r="X70" s="626"/>
      <c r="AD70" s="130"/>
      <c r="AF70" s="106"/>
    </row>
    <row r="71">
      <c r="A71" s="646"/>
      <c r="B71" s="647"/>
      <c r="C71" s="78"/>
      <c r="D71" s="192"/>
      <c r="E71" s="643"/>
      <c r="F71" s="45"/>
      <c r="H71" s="479"/>
      <c r="I71" s="481"/>
      <c r="J71" s="481"/>
      <c r="K71" s="481"/>
      <c r="L71" s="625"/>
      <c r="M71" s="79"/>
      <c r="N71" s="626"/>
      <c r="O71" s="626"/>
      <c r="P71" s="626"/>
      <c r="Q71" s="626"/>
      <c r="R71" s="626"/>
      <c r="S71" s="626"/>
      <c r="T71" s="626"/>
      <c r="U71" s="626"/>
      <c r="V71" s="626"/>
      <c r="W71" s="626"/>
      <c r="X71" s="626"/>
      <c r="AD71" s="130"/>
      <c r="AF71" s="106"/>
    </row>
    <row r="72">
      <c r="A72" s="646"/>
      <c r="B72" s="647"/>
      <c r="C72" s="78"/>
      <c r="D72" s="192"/>
      <c r="E72" s="643"/>
      <c r="F72" s="45"/>
      <c r="H72" s="479"/>
      <c r="I72" s="481"/>
      <c r="J72" s="481"/>
      <c r="K72" s="481"/>
      <c r="L72" s="625"/>
      <c r="M72" s="79"/>
      <c r="N72" s="626"/>
      <c r="O72" s="626"/>
      <c r="P72" s="626"/>
      <c r="Q72" s="626"/>
      <c r="R72" s="626"/>
      <c r="S72" s="626"/>
      <c r="T72" s="626"/>
      <c r="U72" s="626"/>
      <c r="V72" s="626"/>
      <c r="W72" s="626"/>
      <c r="X72" s="626"/>
      <c r="AD72" s="130"/>
      <c r="AF72" s="106"/>
    </row>
    <row r="73">
      <c r="A73" s="646"/>
      <c r="B73" s="647"/>
      <c r="C73" s="78"/>
      <c r="D73" s="192"/>
      <c r="E73" s="643"/>
      <c r="F73" s="45"/>
      <c r="H73" s="479"/>
      <c r="I73" s="481"/>
      <c r="J73" s="481"/>
      <c r="K73" s="481"/>
      <c r="L73" s="625"/>
      <c r="M73" s="79"/>
      <c r="N73" s="626"/>
      <c r="O73" s="626"/>
      <c r="P73" s="626"/>
      <c r="Q73" s="626"/>
      <c r="R73" s="626"/>
      <c r="S73" s="626"/>
      <c r="T73" s="626"/>
      <c r="U73" s="626"/>
      <c r="V73" s="626"/>
      <c r="W73" s="626"/>
      <c r="X73" s="626"/>
      <c r="AD73" s="130"/>
      <c r="AF73" s="106"/>
    </row>
    <row r="74">
      <c r="A74" s="646"/>
      <c r="B74" s="647"/>
      <c r="C74" s="78"/>
      <c r="D74" s="192"/>
      <c r="E74" s="643"/>
      <c r="F74" s="45"/>
      <c r="H74" s="479"/>
      <c r="I74" s="481"/>
      <c r="J74" s="481"/>
      <c r="K74" s="481"/>
      <c r="L74" s="625"/>
      <c r="M74" s="79"/>
      <c r="N74" s="626"/>
      <c r="O74" s="626"/>
      <c r="P74" s="626"/>
      <c r="Q74" s="626"/>
      <c r="R74" s="626"/>
      <c r="S74" s="626"/>
      <c r="T74" s="626"/>
      <c r="U74" s="626"/>
      <c r="V74" s="626"/>
      <c r="W74" s="626"/>
      <c r="X74" s="626"/>
      <c r="AD74" s="130"/>
      <c r="AF74" s="106"/>
    </row>
    <row r="75">
      <c r="A75" s="646"/>
      <c r="B75" s="647"/>
      <c r="C75" s="78"/>
      <c r="D75" s="192"/>
      <c r="E75" s="643"/>
      <c r="F75" s="45"/>
      <c r="H75" s="479"/>
      <c r="I75" s="481"/>
      <c r="J75" s="481"/>
      <c r="K75" s="481"/>
      <c r="L75" s="625"/>
      <c r="M75" s="79"/>
      <c r="N75" s="626"/>
      <c r="O75" s="626"/>
      <c r="P75" s="626"/>
      <c r="Q75" s="626"/>
      <c r="R75" s="626"/>
      <c r="S75" s="626"/>
      <c r="T75" s="626"/>
      <c r="U75" s="626"/>
      <c r="V75" s="626"/>
      <c r="W75" s="626"/>
      <c r="X75" s="626"/>
      <c r="AD75" s="130"/>
      <c r="AF75" s="106"/>
    </row>
    <row r="76">
      <c r="A76" s="646"/>
      <c r="B76" s="647"/>
      <c r="C76" s="78"/>
      <c r="D76" s="192"/>
      <c r="E76" s="643"/>
      <c r="F76" s="45"/>
      <c r="H76" s="479"/>
      <c r="I76" s="481"/>
      <c r="J76" s="481"/>
      <c r="K76" s="481"/>
      <c r="L76" s="625"/>
      <c r="M76" s="79"/>
      <c r="N76" s="626"/>
      <c r="O76" s="626"/>
      <c r="P76" s="626"/>
      <c r="Q76" s="626"/>
      <c r="R76" s="626"/>
      <c r="S76" s="626"/>
      <c r="T76" s="626"/>
      <c r="U76" s="626"/>
      <c r="V76" s="626"/>
      <c r="W76" s="626"/>
      <c r="X76" s="626"/>
      <c r="AD76" s="130"/>
      <c r="AF76" s="106"/>
    </row>
    <row r="77">
      <c r="A77" s="646"/>
      <c r="B77" s="647"/>
      <c r="C77" s="78"/>
      <c r="D77" s="192"/>
      <c r="E77" s="643"/>
      <c r="F77" s="45"/>
      <c r="H77" s="479"/>
      <c r="I77" s="481"/>
      <c r="J77" s="481"/>
      <c r="K77" s="481"/>
      <c r="L77" s="625"/>
      <c r="M77" s="79"/>
      <c r="N77" s="626"/>
      <c r="O77" s="626"/>
      <c r="P77" s="626"/>
      <c r="Q77" s="626"/>
      <c r="R77" s="626"/>
      <c r="S77" s="626"/>
      <c r="T77" s="626"/>
      <c r="U77" s="626"/>
      <c r="V77" s="626"/>
      <c r="W77" s="626"/>
      <c r="X77" s="626"/>
      <c r="AD77" s="130"/>
      <c r="AF77" s="106"/>
    </row>
    <row r="78">
      <c r="A78" s="646"/>
      <c r="B78" s="647"/>
      <c r="C78" s="78"/>
      <c r="D78" s="192"/>
      <c r="E78" s="643"/>
      <c r="F78" s="45"/>
      <c r="O78" s="79"/>
      <c r="R78" s="79"/>
      <c r="S78" s="79"/>
      <c r="X78" s="79"/>
      <c r="AD78" s="130"/>
      <c r="AF78" s="106"/>
    </row>
    <row r="79">
      <c r="A79" s="646"/>
      <c r="B79" s="647"/>
      <c r="C79" s="78"/>
      <c r="D79" s="192"/>
      <c r="E79" s="643"/>
      <c r="F79" s="45"/>
      <c r="O79" s="79"/>
      <c r="R79" s="79"/>
      <c r="S79" s="79"/>
      <c r="X79" s="79"/>
      <c r="AD79" s="130"/>
      <c r="AF79" s="106"/>
    </row>
    <row r="80">
      <c r="A80" s="646"/>
      <c r="B80" s="647"/>
      <c r="C80" s="78"/>
      <c r="D80" s="192"/>
      <c r="E80" s="643"/>
      <c r="F80" s="45"/>
      <c r="O80" s="79"/>
      <c r="R80" s="79"/>
      <c r="S80" s="79"/>
      <c r="X80" s="79"/>
      <c r="AD80" s="130"/>
      <c r="AF80" s="106"/>
    </row>
    <row r="81">
      <c r="A81" s="646"/>
      <c r="B81" s="647"/>
      <c r="C81" s="78"/>
      <c r="D81" s="192"/>
      <c r="E81" s="643"/>
      <c r="F81" s="45"/>
      <c r="O81" s="79"/>
      <c r="R81" s="79"/>
      <c r="S81" s="79"/>
      <c r="X81" s="79"/>
      <c r="AD81" s="130"/>
      <c r="AF81" s="106"/>
    </row>
    <row r="82">
      <c r="A82" s="646"/>
      <c r="B82" s="647"/>
      <c r="C82" s="78"/>
      <c r="D82" s="192"/>
      <c r="E82" s="643"/>
      <c r="F82" s="45"/>
      <c r="O82" s="79"/>
      <c r="R82" s="79"/>
      <c r="S82" s="79"/>
      <c r="X82" s="79"/>
      <c r="AD82" s="130"/>
      <c r="AF82" s="106"/>
    </row>
    <row r="83">
      <c r="A83" s="646"/>
      <c r="B83" s="647"/>
      <c r="C83" s="78"/>
      <c r="D83" s="192"/>
      <c r="E83" s="643"/>
      <c r="F83" s="45"/>
      <c r="O83" s="79"/>
      <c r="R83" s="79"/>
      <c r="S83" s="79"/>
      <c r="X83" s="79"/>
      <c r="AD83" s="130"/>
      <c r="AF83" s="106"/>
    </row>
    <row r="84">
      <c r="A84" s="646"/>
      <c r="B84" s="647"/>
      <c r="C84" s="78"/>
      <c r="D84" s="192"/>
      <c r="E84" s="643"/>
      <c r="F84" s="45"/>
      <c r="H84" s="660" t="s">
        <v>895</v>
      </c>
      <c r="O84" s="79"/>
      <c r="R84" s="79"/>
      <c r="S84" s="79"/>
      <c r="X84" s="79"/>
      <c r="AD84" s="130"/>
      <c r="AF84" s="106"/>
    </row>
    <row r="85">
      <c r="A85" s="646"/>
      <c r="B85" s="647"/>
      <c r="C85" s="78"/>
      <c r="D85" s="192"/>
      <c r="E85" s="643"/>
      <c r="F85" s="45"/>
      <c r="H85" s="661"/>
      <c r="I85" s="662"/>
      <c r="J85" s="662"/>
      <c r="K85" s="662"/>
      <c r="L85" s="662"/>
      <c r="M85" s="662"/>
      <c r="N85" s="663"/>
      <c r="O85" s="662"/>
      <c r="R85" s="79"/>
      <c r="S85" s="79"/>
      <c r="X85" s="79"/>
      <c r="AD85" s="130"/>
      <c r="AF85" s="106"/>
    </row>
    <row r="86">
      <c r="A86" s="646"/>
      <c r="B86" s="647"/>
      <c r="C86" s="78"/>
      <c r="D86" s="192"/>
      <c r="E86" s="643"/>
      <c r="F86" s="45"/>
      <c r="H86" s="661"/>
      <c r="I86" s="662"/>
      <c r="J86" s="662"/>
      <c r="K86" s="662"/>
      <c r="L86" s="662"/>
      <c r="M86" s="662"/>
      <c r="N86" s="663"/>
      <c r="O86" s="662"/>
      <c r="R86" s="79"/>
      <c r="S86" s="79"/>
      <c r="X86" s="79"/>
      <c r="AD86" s="130"/>
      <c r="AF86" s="106"/>
    </row>
    <row r="87">
      <c r="A87" s="646"/>
      <c r="B87" s="647"/>
      <c r="C87" s="78"/>
      <c r="D87" s="192"/>
      <c r="E87" s="643"/>
      <c r="F87" s="45"/>
      <c r="H87" s="661"/>
      <c r="I87" s="662"/>
      <c r="J87" s="662"/>
      <c r="K87" s="662"/>
      <c r="L87" s="662"/>
      <c r="M87" s="662"/>
      <c r="N87" s="663"/>
      <c r="O87" s="662"/>
      <c r="R87" s="79"/>
      <c r="S87" s="79"/>
      <c r="X87" s="79"/>
      <c r="AD87" s="130"/>
      <c r="AF87" s="106"/>
    </row>
    <row r="88">
      <c r="C88" s="79"/>
      <c r="D88" s="79"/>
      <c r="E88" s="79"/>
      <c r="H88" s="661"/>
      <c r="I88" s="662"/>
      <c r="J88" s="662"/>
      <c r="K88" s="662"/>
      <c r="L88" s="662"/>
      <c r="M88" s="662"/>
      <c r="N88" s="663"/>
      <c r="O88" s="662"/>
      <c r="R88" s="79"/>
      <c r="S88" s="79"/>
      <c r="X88" s="79"/>
      <c r="AD88" s="130"/>
      <c r="AF88" s="106"/>
    </row>
    <row r="89">
      <c r="C89" s="79"/>
      <c r="D89" s="79"/>
      <c r="E89" s="79"/>
      <c r="H89" s="661"/>
      <c r="I89" s="662"/>
      <c r="J89" s="662"/>
      <c r="K89" s="662"/>
      <c r="L89" s="662"/>
      <c r="M89" s="662"/>
      <c r="N89" s="664"/>
      <c r="O89" s="662"/>
      <c r="R89" s="79"/>
      <c r="S89" s="79"/>
      <c r="X89" s="79"/>
      <c r="AD89" s="130"/>
      <c r="AF89" s="106"/>
    </row>
    <row r="90">
      <c r="C90" s="79"/>
      <c r="D90" s="79"/>
      <c r="E90" s="79"/>
      <c r="H90" s="661"/>
      <c r="I90" s="662"/>
      <c r="J90" s="662"/>
      <c r="K90" s="662"/>
      <c r="L90" s="662"/>
      <c r="M90" s="662"/>
      <c r="N90" s="663"/>
      <c r="O90" s="662"/>
      <c r="R90" s="79"/>
      <c r="S90" s="79"/>
      <c r="X90" s="79"/>
      <c r="AD90" s="130"/>
      <c r="AF90" s="106"/>
    </row>
    <row r="91">
      <c r="C91" s="79"/>
      <c r="D91" s="79"/>
      <c r="E91" s="79"/>
      <c r="H91" s="661"/>
      <c r="I91" s="662"/>
      <c r="J91" s="662"/>
      <c r="K91" s="662"/>
      <c r="L91" s="662"/>
      <c r="M91" s="662"/>
      <c r="N91" s="664"/>
      <c r="O91" s="662"/>
      <c r="R91" s="79"/>
      <c r="S91" s="79"/>
      <c r="X91" s="79"/>
      <c r="AD91" s="130"/>
      <c r="AF91" s="106"/>
    </row>
    <row r="92">
      <c r="C92" s="79"/>
      <c r="D92" s="79"/>
      <c r="E92" s="79"/>
      <c r="H92" s="661"/>
      <c r="I92" s="662"/>
      <c r="J92" s="662"/>
      <c r="K92" s="662"/>
      <c r="L92" s="662"/>
      <c r="M92" s="662"/>
      <c r="N92" s="663"/>
      <c r="O92" s="662"/>
      <c r="R92" s="79"/>
      <c r="S92" s="79"/>
      <c r="X92" s="79"/>
      <c r="AD92" s="130"/>
      <c r="AF92" s="106"/>
    </row>
    <row r="93">
      <c r="C93" s="79"/>
      <c r="D93" s="79"/>
      <c r="E93" s="79"/>
      <c r="H93" s="661"/>
      <c r="I93" s="662"/>
      <c r="J93" s="662"/>
      <c r="K93" s="662"/>
      <c r="L93" s="662"/>
      <c r="M93" s="662"/>
      <c r="N93" s="663"/>
      <c r="O93" s="662"/>
      <c r="R93" s="79"/>
      <c r="S93" s="79"/>
      <c r="X93" s="79"/>
      <c r="AD93" s="130"/>
      <c r="AF93" s="106"/>
    </row>
    <row r="94">
      <c r="C94" s="79"/>
      <c r="D94" s="79"/>
      <c r="E94" s="79"/>
      <c r="H94" s="661"/>
      <c r="I94" s="662"/>
      <c r="J94" s="662"/>
      <c r="K94" s="662"/>
      <c r="L94" s="662"/>
      <c r="M94" s="662"/>
      <c r="N94" s="663"/>
      <c r="O94" s="662"/>
      <c r="R94" s="79"/>
      <c r="S94" s="79"/>
      <c r="X94" s="79"/>
      <c r="AD94" s="130"/>
      <c r="AF94" s="106"/>
    </row>
    <row r="95">
      <c r="C95" s="79"/>
      <c r="D95" s="79"/>
      <c r="E95" s="79"/>
      <c r="H95" s="661"/>
      <c r="I95" s="662"/>
      <c r="J95" s="662"/>
      <c r="K95" s="662"/>
      <c r="L95" s="662"/>
      <c r="M95" s="662"/>
      <c r="N95" s="663"/>
      <c r="O95" s="662"/>
      <c r="R95" s="79"/>
      <c r="S95" s="79"/>
      <c r="X95" s="79"/>
      <c r="AD95" s="130"/>
      <c r="AF95" s="106"/>
    </row>
    <row r="96">
      <c r="C96" s="79"/>
      <c r="D96" s="79"/>
      <c r="E96" s="79"/>
      <c r="H96" s="661"/>
      <c r="I96" s="662"/>
      <c r="J96" s="662"/>
      <c r="K96" s="665"/>
      <c r="L96" s="662"/>
      <c r="M96" s="662"/>
      <c r="N96" s="664"/>
      <c r="O96" s="662"/>
      <c r="R96" s="79"/>
      <c r="S96" s="79"/>
      <c r="X96" s="79"/>
      <c r="AD96" s="130"/>
      <c r="AF96" s="106"/>
    </row>
    <row r="97">
      <c r="C97" s="79"/>
      <c r="D97" s="79"/>
      <c r="E97" s="79"/>
      <c r="H97" s="661"/>
      <c r="I97" s="662"/>
      <c r="J97" s="662"/>
      <c r="K97" s="662"/>
      <c r="L97" s="662"/>
      <c r="M97" s="662"/>
      <c r="N97" s="664"/>
      <c r="O97" s="662"/>
      <c r="R97" s="79"/>
      <c r="S97" s="79"/>
      <c r="X97" s="79"/>
      <c r="AD97" s="130"/>
      <c r="AF97" s="106"/>
    </row>
    <row r="98">
      <c r="C98" s="79"/>
      <c r="D98" s="79"/>
      <c r="E98" s="79"/>
      <c r="H98" s="661"/>
      <c r="I98" s="662"/>
      <c r="J98" s="662"/>
      <c r="K98" s="662"/>
      <c r="L98" s="662"/>
      <c r="M98" s="662"/>
      <c r="N98" s="666"/>
      <c r="O98" s="662"/>
      <c r="R98" s="79"/>
      <c r="S98" s="79"/>
      <c r="X98" s="79"/>
      <c r="AD98" s="130"/>
      <c r="AF98" s="106"/>
    </row>
    <row r="99">
      <c r="C99" s="79"/>
      <c r="D99" s="79"/>
      <c r="E99" s="79"/>
      <c r="H99" s="661"/>
      <c r="I99" s="662"/>
      <c r="J99" s="662"/>
      <c r="K99" s="662"/>
      <c r="L99" s="662"/>
      <c r="M99" s="662"/>
      <c r="N99" s="663"/>
      <c r="O99" s="662"/>
      <c r="R99" s="79"/>
      <c r="S99" s="79"/>
      <c r="X99" s="79"/>
      <c r="AD99" s="130"/>
      <c r="AF99" s="106"/>
    </row>
    <row r="100">
      <c r="C100" s="79"/>
      <c r="D100" s="79"/>
      <c r="E100" s="79"/>
      <c r="H100" s="661"/>
      <c r="I100" s="662"/>
      <c r="J100" s="662"/>
      <c r="K100" s="662"/>
      <c r="L100" s="662"/>
      <c r="M100" s="662"/>
      <c r="N100" s="664"/>
      <c r="O100" s="662"/>
      <c r="R100" s="79"/>
      <c r="S100" s="79"/>
      <c r="X100" s="79"/>
      <c r="AD100" s="130"/>
      <c r="AF100" s="106"/>
    </row>
    <row r="101">
      <c r="C101" s="79"/>
      <c r="D101" s="79"/>
      <c r="E101" s="79"/>
      <c r="H101" s="661"/>
      <c r="I101" s="662"/>
      <c r="J101" s="662"/>
      <c r="K101" s="662"/>
      <c r="L101" s="662"/>
      <c r="M101" s="662"/>
      <c r="N101" s="664"/>
      <c r="O101" s="662"/>
      <c r="R101" s="79"/>
      <c r="S101" s="79"/>
      <c r="X101" s="79"/>
      <c r="AD101" s="130"/>
      <c r="AF101" s="106"/>
    </row>
    <row r="102">
      <c r="C102" s="79"/>
      <c r="D102" s="79"/>
      <c r="E102" s="79"/>
      <c r="H102" s="661"/>
      <c r="I102" s="662"/>
      <c r="J102" s="662"/>
      <c r="K102" s="662"/>
      <c r="L102" s="662"/>
      <c r="M102" s="662"/>
      <c r="N102" s="663"/>
      <c r="O102" s="662"/>
      <c r="R102" s="79"/>
      <c r="S102" s="79"/>
      <c r="X102" s="79"/>
      <c r="AD102" s="130"/>
      <c r="AF102" s="106"/>
    </row>
    <row r="103">
      <c r="C103" s="79"/>
      <c r="D103" s="79"/>
      <c r="E103" s="79"/>
      <c r="H103" s="661"/>
      <c r="I103" s="662"/>
      <c r="J103" s="662"/>
      <c r="K103" s="662"/>
      <c r="L103" s="662"/>
      <c r="M103" s="662"/>
      <c r="N103" s="663"/>
      <c r="O103" s="662"/>
      <c r="R103" s="79"/>
      <c r="S103" s="79"/>
      <c r="X103" s="79"/>
      <c r="AD103" s="130"/>
      <c r="AF103" s="106"/>
    </row>
    <row r="104">
      <c r="C104" s="79"/>
      <c r="D104" s="79"/>
      <c r="E104" s="79"/>
      <c r="H104" s="661"/>
      <c r="I104" s="662"/>
      <c r="J104" s="662"/>
      <c r="K104" s="662"/>
      <c r="L104" s="662"/>
      <c r="M104" s="662"/>
      <c r="N104" s="663"/>
      <c r="O104" s="662"/>
      <c r="R104" s="79"/>
      <c r="S104" s="79"/>
      <c r="X104" s="79"/>
      <c r="AD104" s="130"/>
      <c r="AF104" s="106"/>
    </row>
    <row r="105">
      <c r="C105" s="79"/>
      <c r="D105" s="79"/>
      <c r="E105" s="79"/>
      <c r="H105" s="661"/>
      <c r="I105" s="662"/>
      <c r="J105" s="662"/>
      <c r="K105" s="662"/>
      <c r="L105" s="662"/>
      <c r="M105" s="662"/>
      <c r="N105" s="664"/>
      <c r="O105" s="662"/>
      <c r="R105" s="79"/>
      <c r="S105" s="79"/>
      <c r="X105" s="79"/>
      <c r="AD105" s="130"/>
      <c r="AF105" s="106"/>
    </row>
    <row r="106">
      <c r="C106" s="79"/>
      <c r="D106" s="79"/>
      <c r="E106" s="79"/>
      <c r="H106" s="661"/>
      <c r="I106" s="662"/>
      <c r="J106" s="662"/>
      <c r="K106" s="662"/>
      <c r="L106" s="662"/>
      <c r="M106" s="662"/>
      <c r="N106" s="663"/>
      <c r="O106" s="662"/>
      <c r="R106" s="79"/>
      <c r="S106" s="79"/>
      <c r="X106" s="79"/>
      <c r="AD106" s="130"/>
      <c r="AF106" s="106"/>
    </row>
    <row r="107">
      <c r="C107" s="79"/>
      <c r="D107" s="79"/>
      <c r="E107" s="79"/>
      <c r="H107" s="661"/>
      <c r="I107" s="662"/>
      <c r="J107" s="662"/>
      <c r="K107" s="662"/>
      <c r="L107" s="662"/>
      <c r="M107" s="662"/>
      <c r="N107" s="663"/>
      <c r="O107" s="662"/>
      <c r="R107" s="79"/>
      <c r="S107" s="79"/>
      <c r="X107" s="79"/>
      <c r="AD107" s="130"/>
      <c r="AF107" s="106"/>
    </row>
    <row r="108">
      <c r="C108" s="79"/>
      <c r="D108" s="79"/>
      <c r="E108" s="79"/>
      <c r="H108" s="661"/>
      <c r="I108" s="662"/>
      <c r="J108" s="662"/>
      <c r="K108" s="662"/>
      <c r="L108" s="662"/>
      <c r="M108" s="662"/>
      <c r="N108" s="663"/>
      <c r="O108" s="662"/>
      <c r="R108" s="79"/>
      <c r="S108" s="79"/>
      <c r="X108" s="79"/>
      <c r="AD108" s="130"/>
      <c r="AF108" s="106"/>
    </row>
    <row r="109">
      <c r="C109" s="79"/>
      <c r="D109" s="79"/>
      <c r="E109" s="79"/>
      <c r="H109" s="661"/>
      <c r="I109" s="662"/>
      <c r="J109" s="662"/>
      <c r="K109" s="662"/>
      <c r="L109" s="662"/>
      <c r="M109" s="662"/>
      <c r="N109" s="664"/>
      <c r="O109" s="662"/>
      <c r="R109" s="79"/>
      <c r="S109" s="79"/>
      <c r="X109" s="79"/>
      <c r="AD109" s="130"/>
      <c r="AF109" s="106"/>
    </row>
    <row r="110">
      <c r="C110" s="79"/>
      <c r="D110" s="79"/>
      <c r="E110" s="79"/>
      <c r="H110" s="661"/>
      <c r="I110" s="662"/>
      <c r="J110" s="662"/>
      <c r="K110" s="662"/>
      <c r="L110" s="662"/>
      <c r="M110" s="662"/>
      <c r="N110" s="664"/>
      <c r="O110" s="662"/>
      <c r="R110" s="79"/>
      <c r="S110" s="79"/>
      <c r="X110" s="79"/>
      <c r="AD110" s="130"/>
      <c r="AF110" s="106"/>
    </row>
    <row r="111">
      <c r="C111" s="79"/>
      <c r="D111" s="79"/>
      <c r="E111" s="79"/>
      <c r="H111" s="661"/>
      <c r="I111" s="662"/>
      <c r="J111" s="662"/>
      <c r="K111" s="662"/>
      <c r="L111" s="662"/>
      <c r="M111" s="662"/>
      <c r="N111" s="664"/>
      <c r="O111" s="662"/>
      <c r="R111" s="79"/>
      <c r="S111" s="79"/>
      <c r="X111" s="79"/>
      <c r="AD111" s="130"/>
      <c r="AF111" s="106"/>
    </row>
    <row r="112">
      <c r="C112" s="79"/>
      <c r="D112" s="79"/>
      <c r="E112" s="79"/>
      <c r="H112" s="661"/>
      <c r="I112" s="662"/>
      <c r="J112" s="662"/>
      <c r="K112" s="662"/>
      <c r="L112" s="662"/>
      <c r="M112" s="662"/>
      <c r="N112" s="664"/>
      <c r="O112" s="662"/>
      <c r="R112" s="79"/>
      <c r="S112" s="79"/>
      <c r="X112" s="79"/>
      <c r="AD112" s="130"/>
      <c r="AF112" s="106"/>
    </row>
    <row r="113">
      <c r="C113" s="79"/>
      <c r="D113" s="79"/>
      <c r="E113" s="79"/>
      <c r="N113" s="355"/>
      <c r="O113" s="79"/>
      <c r="R113" s="79"/>
      <c r="S113" s="79"/>
      <c r="X113" s="79"/>
      <c r="AD113" s="130"/>
      <c r="AF113" s="106"/>
    </row>
    <row r="114">
      <c r="C114" s="79"/>
      <c r="D114" s="79"/>
      <c r="E114" s="79"/>
      <c r="O114" s="79"/>
      <c r="R114" s="79"/>
      <c r="S114" s="79"/>
      <c r="X114" s="79"/>
      <c r="AD114" s="130"/>
      <c r="AF114" s="106"/>
    </row>
    <row r="115">
      <c r="C115" s="79"/>
      <c r="D115" s="79"/>
      <c r="E115" s="79"/>
      <c r="O115" s="79"/>
      <c r="R115" s="79"/>
      <c r="S115" s="79"/>
      <c r="X115" s="79"/>
      <c r="AD115" s="130"/>
      <c r="AF115" s="106"/>
    </row>
    <row r="116">
      <c r="C116" s="79"/>
      <c r="D116" s="79"/>
      <c r="E116" s="79"/>
      <c r="O116" s="79"/>
      <c r="R116" s="79"/>
      <c r="S116" s="79"/>
      <c r="X116" s="79"/>
      <c r="AD116" s="130"/>
      <c r="AF116" s="106"/>
    </row>
    <row r="117">
      <c r="C117" s="79"/>
      <c r="D117" s="79"/>
      <c r="E117" s="79"/>
      <c r="H117" s="661"/>
      <c r="I117" s="662"/>
      <c r="J117" s="662"/>
      <c r="K117" s="662"/>
      <c r="L117" s="662"/>
      <c r="M117" s="662"/>
      <c r="N117" s="663"/>
      <c r="O117" s="79"/>
      <c r="R117" s="79"/>
      <c r="S117" s="79"/>
      <c r="X117" s="79"/>
      <c r="AD117" s="130"/>
      <c r="AF117" s="106"/>
    </row>
    <row r="118">
      <c r="C118" s="79"/>
      <c r="D118" s="79"/>
      <c r="E118" s="79"/>
      <c r="O118" s="79"/>
      <c r="R118" s="79"/>
      <c r="S118" s="79"/>
      <c r="X118" s="79"/>
      <c r="AD118" s="130"/>
      <c r="AF118" s="106"/>
    </row>
    <row r="119">
      <c r="C119" s="79"/>
      <c r="D119" s="79"/>
      <c r="E119" s="79"/>
      <c r="O119" s="79"/>
      <c r="R119" s="79"/>
      <c r="S119" s="79"/>
      <c r="X119" s="79"/>
      <c r="AD119" s="130"/>
      <c r="AF119" s="106"/>
    </row>
    <row r="120">
      <c r="C120" s="79"/>
      <c r="D120" s="79"/>
      <c r="E120" s="79"/>
      <c r="O120" s="79"/>
      <c r="R120" s="79"/>
      <c r="S120" s="79"/>
      <c r="X120" s="79"/>
      <c r="AD120" s="130"/>
      <c r="AF120" s="106"/>
    </row>
    <row r="121">
      <c r="C121" s="79"/>
      <c r="D121" s="79"/>
      <c r="E121" s="79"/>
      <c r="O121" s="79"/>
      <c r="R121" s="79"/>
      <c r="S121" s="79"/>
      <c r="X121" s="79"/>
      <c r="AD121" s="130"/>
      <c r="AF121" s="106"/>
    </row>
    <row r="122">
      <c r="C122" s="79"/>
      <c r="D122" s="79"/>
      <c r="E122" s="79"/>
      <c r="O122" s="79"/>
      <c r="R122" s="79"/>
      <c r="S122" s="79"/>
      <c r="X122" s="79"/>
      <c r="AD122" s="130"/>
      <c r="AF122" s="106"/>
    </row>
    <row r="123">
      <c r="C123" s="79"/>
      <c r="D123" s="79"/>
      <c r="E123" s="79"/>
      <c r="O123" s="79"/>
      <c r="R123" s="79"/>
      <c r="S123" s="79"/>
      <c r="X123" s="79"/>
      <c r="AD123" s="130"/>
      <c r="AF123" s="106"/>
    </row>
    <row r="124">
      <c r="C124" s="79"/>
      <c r="D124" s="79"/>
      <c r="E124" s="79"/>
      <c r="O124" s="79"/>
      <c r="R124" s="79"/>
      <c r="S124" s="79"/>
      <c r="X124" s="79"/>
      <c r="AD124" s="130"/>
      <c r="AF124" s="106"/>
    </row>
    <row r="125">
      <c r="C125" s="79"/>
      <c r="D125" s="79"/>
      <c r="E125" s="79"/>
      <c r="O125" s="79"/>
      <c r="R125" s="79"/>
      <c r="S125" s="79"/>
      <c r="X125" s="79"/>
      <c r="AD125" s="130"/>
      <c r="AF125" s="106"/>
    </row>
    <row r="126">
      <c r="C126" s="79"/>
      <c r="D126" s="79"/>
      <c r="E126" s="79"/>
      <c r="O126" s="79"/>
      <c r="R126" s="79"/>
      <c r="S126" s="79"/>
      <c r="X126" s="79"/>
      <c r="AD126" s="130"/>
      <c r="AF126" s="106"/>
    </row>
    <row r="127">
      <c r="C127" s="79"/>
      <c r="D127" s="79"/>
      <c r="E127" s="79"/>
      <c r="O127" s="79"/>
      <c r="R127" s="79"/>
      <c r="S127" s="79"/>
      <c r="X127" s="79"/>
      <c r="AD127" s="130"/>
      <c r="AF127" s="106"/>
    </row>
    <row r="128">
      <c r="C128" s="79"/>
      <c r="D128" s="79"/>
      <c r="E128" s="79"/>
      <c r="O128" s="79"/>
      <c r="R128" s="79"/>
      <c r="S128" s="79"/>
      <c r="X128" s="79"/>
      <c r="AD128" s="130"/>
      <c r="AF128" s="106"/>
    </row>
    <row r="129">
      <c r="C129" s="79"/>
      <c r="D129" s="79"/>
      <c r="E129" s="79"/>
      <c r="O129" s="79"/>
      <c r="R129" s="79"/>
      <c r="S129" s="79"/>
      <c r="X129" s="79"/>
      <c r="AD129" s="130"/>
      <c r="AF129" s="106"/>
    </row>
    <row r="130">
      <c r="C130" s="79"/>
      <c r="D130" s="79"/>
      <c r="E130" s="79"/>
      <c r="O130" s="79"/>
      <c r="R130" s="79"/>
      <c r="S130" s="79"/>
      <c r="X130" s="79"/>
      <c r="AD130" s="130"/>
      <c r="AF130" s="106"/>
    </row>
    <row r="131">
      <c r="C131" s="79"/>
      <c r="D131" s="79"/>
      <c r="E131" s="79"/>
      <c r="O131" s="79"/>
      <c r="R131" s="79"/>
      <c r="S131" s="79"/>
      <c r="X131" s="79"/>
      <c r="AD131" s="130"/>
      <c r="AF131" s="106"/>
    </row>
    <row r="132">
      <c r="C132" s="79"/>
      <c r="D132" s="79"/>
      <c r="E132" s="79"/>
      <c r="O132" s="79"/>
      <c r="R132" s="79"/>
      <c r="S132" s="79"/>
      <c r="X132" s="79"/>
      <c r="AD132" s="130"/>
      <c r="AF132" s="106"/>
    </row>
    <row r="133">
      <c r="C133" s="79"/>
      <c r="D133" s="79"/>
      <c r="E133" s="79"/>
      <c r="O133" s="79"/>
      <c r="R133" s="79"/>
      <c r="S133" s="79"/>
      <c r="X133" s="79"/>
      <c r="AD133" s="130"/>
      <c r="AF133" s="106"/>
    </row>
    <row r="134">
      <c r="C134" s="79"/>
      <c r="D134" s="79"/>
      <c r="E134" s="79"/>
      <c r="O134" s="79"/>
      <c r="R134" s="79"/>
      <c r="S134" s="79"/>
      <c r="X134" s="79"/>
      <c r="AD134" s="130"/>
      <c r="AF134" s="106"/>
    </row>
    <row r="135">
      <c r="C135" s="79"/>
      <c r="D135" s="79"/>
      <c r="E135" s="79"/>
      <c r="O135" s="79"/>
      <c r="R135" s="79"/>
      <c r="S135" s="79"/>
      <c r="X135" s="79"/>
      <c r="AD135" s="130"/>
      <c r="AF135" s="106"/>
    </row>
    <row r="136">
      <c r="C136" s="79"/>
      <c r="D136" s="79"/>
      <c r="E136" s="79"/>
      <c r="O136" s="79"/>
      <c r="R136" s="79"/>
      <c r="S136" s="79"/>
      <c r="X136" s="79"/>
      <c r="AD136" s="130"/>
      <c r="AF136" s="106"/>
    </row>
    <row r="137">
      <c r="C137" s="79"/>
      <c r="D137" s="79"/>
      <c r="E137" s="79"/>
      <c r="O137" s="79"/>
      <c r="R137" s="79"/>
      <c r="S137" s="79"/>
      <c r="X137" s="79"/>
      <c r="AD137" s="130"/>
      <c r="AF137" s="106"/>
    </row>
    <row r="138">
      <c r="C138" s="79"/>
      <c r="D138" s="79"/>
      <c r="E138" s="79"/>
      <c r="O138" s="79"/>
      <c r="R138" s="79"/>
      <c r="S138" s="79"/>
      <c r="X138" s="79"/>
      <c r="AD138" s="130"/>
      <c r="AF138" s="106"/>
    </row>
    <row r="139">
      <c r="C139" s="79"/>
      <c r="D139" s="79"/>
      <c r="E139" s="79"/>
      <c r="O139" s="79"/>
      <c r="R139" s="79"/>
      <c r="S139" s="79"/>
      <c r="X139" s="79"/>
      <c r="AD139" s="130"/>
      <c r="AF139" s="106"/>
    </row>
    <row r="140">
      <c r="C140" s="79"/>
      <c r="D140" s="79"/>
      <c r="E140" s="79"/>
      <c r="O140" s="79"/>
      <c r="R140" s="79"/>
      <c r="S140" s="79"/>
      <c r="X140" s="79"/>
      <c r="AD140" s="130"/>
      <c r="AF140" s="106"/>
    </row>
    <row r="141">
      <c r="C141" s="79"/>
      <c r="D141" s="79"/>
      <c r="E141" s="79"/>
      <c r="O141" s="79"/>
      <c r="R141" s="79"/>
      <c r="S141" s="79"/>
      <c r="X141" s="79"/>
      <c r="AD141" s="130"/>
      <c r="AF141" s="106"/>
    </row>
    <row r="142">
      <c r="C142" s="79"/>
      <c r="D142" s="79"/>
      <c r="E142" s="79"/>
      <c r="O142" s="79"/>
      <c r="R142" s="79"/>
      <c r="S142" s="79"/>
      <c r="X142" s="79"/>
      <c r="AD142" s="130"/>
      <c r="AF142" s="106"/>
    </row>
    <row r="143">
      <c r="C143" s="79"/>
      <c r="D143" s="79"/>
      <c r="E143" s="79"/>
      <c r="O143" s="79"/>
      <c r="R143" s="79"/>
      <c r="S143" s="79"/>
      <c r="X143" s="79"/>
      <c r="AD143" s="130"/>
      <c r="AF143" s="106"/>
    </row>
    <row r="144">
      <c r="C144" s="79"/>
      <c r="D144" s="79"/>
      <c r="E144" s="79"/>
      <c r="O144" s="79"/>
      <c r="R144" s="79"/>
      <c r="S144" s="79"/>
      <c r="X144" s="79"/>
      <c r="AD144" s="130"/>
      <c r="AF144" s="106"/>
    </row>
    <row r="145">
      <c r="C145" s="79"/>
      <c r="D145" s="79"/>
      <c r="E145" s="79"/>
      <c r="O145" s="79"/>
      <c r="R145" s="79"/>
      <c r="S145" s="79"/>
      <c r="X145" s="79"/>
      <c r="AD145" s="130"/>
      <c r="AF145" s="106"/>
    </row>
    <row r="146">
      <c r="C146" s="79"/>
      <c r="D146" s="79"/>
      <c r="E146" s="79"/>
      <c r="O146" s="79"/>
      <c r="R146" s="79"/>
      <c r="S146" s="79"/>
      <c r="X146" s="79"/>
      <c r="AD146" s="130"/>
      <c r="AF146" s="106"/>
    </row>
    <row r="147">
      <c r="C147" s="79"/>
      <c r="D147" s="79"/>
      <c r="E147" s="79"/>
      <c r="O147" s="79"/>
      <c r="R147" s="79"/>
      <c r="S147" s="79"/>
      <c r="X147" s="79"/>
      <c r="AD147" s="130"/>
      <c r="AF147" s="106"/>
    </row>
    <row r="148">
      <c r="C148" s="79"/>
      <c r="D148" s="79"/>
      <c r="E148" s="79"/>
      <c r="O148" s="79"/>
      <c r="R148" s="79"/>
      <c r="S148" s="79"/>
      <c r="X148" s="79"/>
      <c r="AD148" s="130"/>
      <c r="AF148" s="106"/>
    </row>
    <row r="149">
      <c r="C149" s="79"/>
      <c r="D149" s="79"/>
      <c r="E149" s="79"/>
      <c r="O149" s="79"/>
      <c r="R149" s="79"/>
      <c r="S149" s="79"/>
      <c r="X149" s="79"/>
      <c r="AD149" s="130"/>
      <c r="AF149" s="106"/>
    </row>
    <row r="150">
      <c r="C150" s="79"/>
      <c r="D150" s="79"/>
      <c r="E150" s="79"/>
      <c r="O150" s="79"/>
      <c r="R150" s="79"/>
      <c r="S150" s="79"/>
      <c r="X150" s="79"/>
      <c r="AD150" s="130"/>
      <c r="AF150" s="106"/>
    </row>
    <row r="151">
      <c r="C151" s="79"/>
      <c r="D151" s="79"/>
      <c r="E151" s="79"/>
      <c r="O151" s="79"/>
      <c r="R151" s="79"/>
      <c r="S151" s="79"/>
      <c r="X151" s="79"/>
      <c r="AD151" s="130"/>
      <c r="AF151" s="106"/>
    </row>
    <row r="152">
      <c r="C152" s="79"/>
      <c r="D152" s="79"/>
      <c r="E152" s="79"/>
      <c r="O152" s="79"/>
      <c r="R152" s="79"/>
      <c r="S152" s="79"/>
      <c r="X152" s="79"/>
      <c r="AD152" s="130"/>
      <c r="AF152" s="106"/>
    </row>
    <row r="153">
      <c r="C153" s="79"/>
      <c r="D153" s="79"/>
      <c r="E153" s="79"/>
      <c r="O153" s="79"/>
      <c r="R153" s="79"/>
      <c r="S153" s="79"/>
      <c r="X153" s="79"/>
      <c r="AD153" s="130"/>
      <c r="AF153" s="106"/>
    </row>
    <row r="154">
      <c r="C154" s="79"/>
      <c r="D154" s="79"/>
      <c r="E154" s="79"/>
      <c r="O154" s="79"/>
      <c r="R154" s="79"/>
      <c r="S154" s="79"/>
      <c r="X154" s="79"/>
      <c r="AD154" s="130"/>
      <c r="AF154" s="106"/>
    </row>
    <row r="155">
      <c r="C155" s="79"/>
      <c r="D155" s="79"/>
      <c r="E155" s="79"/>
      <c r="O155" s="79"/>
      <c r="R155" s="79"/>
      <c r="S155" s="79"/>
      <c r="X155" s="79"/>
      <c r="AD155" s="130"/>
      <c r="AF155" s="106"/>
    </row>
    <row r="156">
      <c r="C156" s="79"/>
      <c r="D156" s="79"/>
      <c r="E156" s="79"/>
      <c r="O156" s="79"/>
      <c r="R156" s="79"/>
      <c r="S156" s="79"/>
      <c r="X156" s="79"/>
      <c r="AD156" s="130"/>
      <c r="AF156" s="106"/>
    </row>
    <row r="157">
      <c r="C157" s="79"/>
      <c r="D157" s="79"/>
      <c r="E157" s="79"/>
      <c r="O157" s="79"/>
      <c r="R157" s="79"/>
      <c r="S157" s="79"/>
      <c r="X157" s="79"/>
      <c r="AD157" s="130"/>
      <c r="AF157" s="106"/>
    </row>
    <row r="158">
      <c r="C158" s="79"/>
      <c r="D158" s="79"/>
      <c r="E158" s="79"/>
      <c r="O158" s="79"/>
      <c r="R158" s="79"/>
      <c r="S158" s="79"/>
      <c r="X158" s="79"/>
      <c r="AD158" s="130"/>
      <c r="AF158" s="106"/>
    </row>
    <row r="159">
      <c r="C159" s="79"/>
      <c r="D159" s="79"/>
      <c r="E159" s="79"/>
      <c r="O159" s="79"/>
      <c r="R159" s="79"/>
      <c r="S159" s="79"/>
      <c r="X159" s="79"/>
      <c r="AD159" s="130"/>
      <c r="AF159" s="106"/>
    </row>
    <row r="160">
      <c r="C160" s="79"/>
      <c r="D160" s="79"/>
      <c r="E160" s="79"/>
      <c r="O160" s="79"/>
      <c r="R160" s="79"/>
      <c r="S160" s="79"/>
      <c r="X160" s="79"/>
      <c r="AD160" s="130"/>
      <c r="AF160" s="106"/>
    </row>
    <row r="161">
      <c r="C161" s="79"/>
      <c r="D161" s="79"/>
      <c r="E161" s="79"/>
      <c r="O161" s="79"/>
      <c r="R161" s="79"/>
      <c r="S161" s="79"/>
      <c r="X161" s="79"/>
      <c r="AD161" s="130"/>
      <c r="AF161" s="106"/>
    </row>
    <row r="162">
      <c r="C162" s="79"/>
      <c r="D162" s="79"/>
      <c r="E162" s="79"/>
      <c r="O162" s="79"/>
      <c r="R162" s="79"/>
      <c r="S162" s="79"/>
      <c r="X162" s="79"/>
      <c r="AD162" s="130"/>
      <c r="AF162" s="106"/>
    </row>
    <row r="163">
      <c r="C163" s="79"/>
      <c r="D163" s="79"/>
      <c r="E163" s="79"/>
      <c r="O163" s="79"/>
      <c r="R163" s="79"/>
      <c r="S163" s="79"/>
      <c r="X163" s="79"/>
      <c r="AD163" s="130"/>
      <c r="AF163" s="106"/>
    </row>
    <row r="164">
      <c r="C164" s="79"/>
      <c r="D164" s="79"/>
      <c r="E164" s="79"/>
      <c r="O164" s="79"/>
      <c r="R164" s="79"/>
      <c r="S164" s="79"/>
      <c r="X164" s="79"/>
      <c r="AD164" s="130"/>
      <c r="AF164" s="106"/>
    </row>
    <row r="165">
      <c r="C165" s="79"/>
      <c r="D165" s="79"/>
      <c r="E165" s="79"/>
      <c r="O165" s="79"/>
      <c r="R165" s="79"/>
      <c r="S165" s="79"/>
      <c r="X165" s="79"/>
      <c r="AD165" s="130"/>
      <c r="AF165" s="106"/>
    </row>
    <row r="166">
      <c r="C166" s="79"/>
      <c r="D166" s="79"/>
      <c r="E166" s="79"/>
      <c r="O166" s="79"/>
      <c r="R166" s="79"/>
      <c r="S166" s="79"/>
      <c r="X166" s="79"/>
      <c r="AD166" s="130"/>
      <c r="AF166" s="106"/>
    </row>
    <row r="167">
      <c r="C167" s="79"/>
      <c r="D167" s="79"/>
      <c r="E167" s="79"/>
      <c r="O167" s="79"/>
      <c r="R167" s="79"/>
      <c r="S167" s="79"/>
      <c r="X167" s="79"/>
      <c r="AD167" s="130"/>
      <c r="AF167" s="106"/>
    </row>
    <row r="168">
      <c r="C168" s="79"/>
      <c r="D168" s="79"/>
      <c r="E168" s="79"/>
      <c r="O168" s="79"/>
      <c r="R168" s="79"/>
      <c r="S168" s="79"/>
      <c r="X168" s="79"/>
      <c r="AD168" s="130"/>
      <c r="AF168" s="106"/>
    </row>
    <row r="169">
      <c r="C169" s="79"/>
      <c r="D169" s="79"/>
      <c r="E169" s="79"/>
      <c r="O169" s="79"/>
      <c r="R169" s="79"/>
      <c r="S169" s="79"/>
      <c r="X169" s="79"/>
      <c r="AD169" s="130"/>
      <c r="AF169" s="106"/>
    </row>
    <row r="170">
      <c r="C170" s="79"/>
      <c r="D170" s="79"/>
      <c r="E170" s="79"/>
      <c r="O170" s="79"/>
      <c r="R170" s="79"/>
      <c r="S170" s="79"/>
      <c r="X170" s="79"/>
      <c r="AD170" s="130"/>
      <c r="AF170" s="106"/>
    </row>
    <row r="171">
      <c r="C171" s="79"/>
      <c r="D171" s="79"/>
      <c r="E171" s="79"/>
      <c r="O171" s="79"/>
      <c r="R171" s="79"/>
      <c r="S171" s="79"/>
      <c r="X171" s="79"/>
      <c r="AD171" s="130"/>
      <c r="AF171" s="106"/>
    </row>
    <row r="172">
      <c r="C172" s="79"/>
      <c r="D172" s="79"/>
      <c r="E172" s="79"/>
      <c r="O172" s="79"/>
      <c r="R172" s="79"/>
      <c r="S172" s="79"/>
      <c r="X172" s="79"/>
      <c r="AD172" s="130"/>
      <c r="AF172" s="106"/>
    </row>
    <row r="173">
      <c r="C173" s="79"/>
      <c r="D173" s="79"/>
      <c r="E173" s="79"/>
      <c r="O173" s="79"/>
      <c r="R173" s="79"/>
      <c r="S173" s="79"/>
      <c r="X173" s="79"/>
      <c r="AD173" s="130"/>
      <c r="AF173" s="106"/>
    </row>
    <row r="174">
      <c r="C174" s="79"/>
      <c r="D174" s="79"/>
      <c r="E174" s="79"/>
      <c r="O174" s="79"/>
      <c r="R174" s="79"/>
      <c r="S174" s="79"/>
      <c r="X174" s="79"/>
      <c r="AD174" s="130"/>
      <c r="AF174" s="106"/>
    </row>
    <row r="175">
      <c r="C175" s="79"/>
      <c r="D175" s="79"/>
      <c r="E175" s="79"/>
      <c r="O175" s="79"/>
      <c r="R175" s="79"/>
      <c r="S175" s="79"/>
      <c r="X175" s="79"/>
      <c r="AD175" s="130"/>
      <c r="AF175" s="106"/>
    </row>
    <row r="176">
      <c r="C176" s="79"/>
      <c r="D176" s="79"/>
      <c r="E176" s="79"/>
      <c r="O176" s="79"/>
      <c r="R176" s="79"/>
      <c r="S176" s="79"/>
      <c r="X176" s="79"/>
      <c r="AD176" s="130"/>
      <c r="AF176" s="106"/>
    </row>
    <row r="177">
      <c r="C177" s="79"/>
      <c r="D177" s="79"/>
      <c r="E177" s="79"/>
      <c r="O177" s="79"/>
      <c r="R177" s="79"/>
      <c r="S177" s="79"/>
      <c r="X177" s="79"/>
      <c r="AD177" s="130"/>
      <c r="AF177" s="106"/>
    </row>
    <row r="178">
      <c r="C178" s="79"/>
      <c r="D178" s="79"/>
      <c r="E178" s="79"/>
      <c r="O178" s="79"/>
      <c r="R178" s="79"/>
      <c r="S178" s="79"/>
      <c r="X178" s="79"/>
      <c r="AD178" s="130"/>
      <c r="AF178" s="106"/>
    </row>
    <row r="179">
      <c r="C179" s="79"/>
      <c r="D179" s="79"/>
      <c r="E179" s="79"/>
      <c r="O179" s="79"/>
      <c r="R179" s="79"/>
      <c r="S179" s="79"/>
      <c r="X179" s="79"/>
      <c r="AD179" s="130"/>
      <c r="AF179" s="106"/>
    </row>
    <row r="180">
      <c r="C180" s="79"/>
      <c r="D180" s="79"/>
      <c r="E180" s="79"/>
      <c r="O180" s="79"/>
      <c r="R180" s="79"/>
      <c r="S180" s="79"/>
      <c r="X180" s="79"/>
      <c r="AD180" s="130"/>
      <c r="AF180" s="106"/>
    </row>
    <row r="181">
      <c r="C181" s="79"/>
      <c r="D181" s="79"/>
      <c r="E181" s="79"/>
      <c r="O181" s="79"/>
      <c r="R181" s="79"/>
      <c r="S181" s="79"/>
      <c r="X181" s="79"/>
      <c r="AD181" s="130"/>
      <c r="AF181" s="106"/>
    </row>
    <row r="182">
      <c r="C182" s="79"/>
      <c r="D182" s="79"/>
      <c r="E182" s="79"/>
      <c r="O182" s="79"/>
      <c r="R182" s="79"/>
      <c r="S182" s="79"/>
      <c r="X182" s="79"/>
      <c r="AD182" s="130"/>
      <c r="AF182" s="106"/>
    </row>
    <row r="183">
      <c r="C183" s="79"/>
      <c r="D183" s="79"/>
      <c r="E183" s="79"/>
      <c r="O183" s="79"/>
      <c r="R183" s="79"/>
      <c r="S183" s="79"/>
      <c r="X183" s="79"/>
      <c r="AD183" s="130"/>
      <c r="AF183" s="106"/>
    </row>
    <row r="184">
      <c r="C184" s="79"/>
      <c r="D184" s="79"/>
      <c r="E184" s="79"/>
      <c r="O184" s="79"/>
      <c r="R184" s="79"/>
      <c r="S184" s="79"/>
      <c r="X184" s="79"/>
      <c r="AD184" s="130"/>
      <c r="AF184" s="106"/>
    </row>
    <row r="185">
      <c r="C185" s="79"/>
      <c r="D185" s="79"/>
      <c r="E185" s="79"/>
      <c r="O185" s="79"/>
      <c r="R185" s="79"/>
      <c r="S185" s="79"/>
      <c r="X185" s="79"/>
      <c r="AD185" s="130"/>
      <c r="AF185" s="106"/>
    </row>
    <row r="186">
      <c r="C186" s="79"/>
      <c r="D186" s="79"/>
      <c r="E186" s="79"/>
      <c r="O186" s="79"/>
      <c r="R186" s="79"/>
      <c r="S186" s="79"/>
      <c r="X186" s="79"/>
      <c r="AD186" s="130"/>
      <c r="AF186" s="106"/>
    </row>
    <row r="187">
      <c r="C187" s="79"/>
      <c r="D187" s="79"/>
      <c r="E187" s="79"/>
      <c r="O187" s="79"/>
      <c r="R187" s="79"/>
      <c r="S187" s="79"/>
      <c r="X187" s="79"/>
      <c r="AD187" s="130"/>
      <c r="AF187" s="106"/>
    </row>
    <row r="188">
      <c r="C188" s="79"/>
      <c r="D188" s="79"/>
      <c r="E188" s="79"/>
      <c r="O188" s="79"/>
      <c r="R188" s="79"/>
      <c r="S188" s="79"/>
      <c r="X188" s="79"/>
      <c r="AD188" s="130"/>
      <c r="AF188" s="106"/>
    </row>
    <row r="189">
      <c r="C189" s="79"/>
      <c r="D189" s="79"/>
      <c r="E189" s="79"/>
      <c r="O189" s="79"/>
      <c r="R189" s="79"/>
      <c r="S189" s="79"/>
      <c r="X189" s="79"/>
      <c r="AD189" s="130"/>
      <c r="AF189" s="106"/>
    </row>
    <row r="190">
      <c r="C190" s="79"/>
      <c r="D190" s="79"/>
      <c r="E190" s="79"/>
      <c r="O190" s="79"/>
      <c r="R190" s="79"/>
      <c r="S190" s="79"/>
      <c r="X190" s="79"/>
      <c r="AD190" s="130"/>
      <c r="AF190" s="106"/>
    </row>
    <row r="191">
      <c r="C191" s="79"/>
      <c r="D191" s="79"/>
      <c r="E191" s="79"/>
      <c r="O191" s="79"/>
      <c r="R191" s="79"/>
      <c r="S191" s="79"/>
      <c r="X191" s="79"/>
      <c r="AD191" s="130"/>
      <c r="AF191" s="106"/>
    </row>
    <row r="192">
      <c r="C192" s="79"/>
      <c r="D192" s="79"/>
      <c r="E192" s="79"/>
      <c r="O192" s="79"/>
      <c r="R192" s="79"/>
      <c r="S192" s="79"/>
      <c r="X192" s="79"/>
      <c r="AD192" s="130"/>
      <c r="AF192" s="106"/>
    </row>
    <row r="193">
      <c r="C193" s="79"/>
      <c r="D193" s="79"/>
      <c r="E193" s="79"/>
      <c r="O193" s="79"/>
      <c r="R193" s="79"/>
      <c r="S193" s="79"/>
      <c r="X193" s="79"/>
      <c r="AD193" s="130"/>
      <c r="AF193" s="106"/>
    </row>
    <row r="194">
      <c r="C194" s="79"/>
      <c r="D194" s="79"/>
      <c r="E194" s="79"/>
      <c r="O194" s="79"/>
      <c r="R194" s="79"/>
      <c r="S194" s="79"/>
      <c r="X194" s="79"/>
      <c r="AD194" s="130"/>
      <c r="AF194" s="106"/>
    </row>
    <row r="195">
      <c r="C195" s="79"/>
      <c r="D195" s="79"/>
      <c r="E195" s="79"/>
      <c r="O195" s="79"/>
      <c r="R195" s="79"/>
      <c r="S195" s="79"/>
      <c r="X195" s="79"/>
      <c r="AD195" s="130"/>
      <c r="AF195" s="106"/>
    </row>
    <row r="196">
      <c r="C196" s="79"/>
      <c r="D196" s="79"/>
      <c r="E196" s="79"/>
      <c r="O196" s="79"/>
      <c r="R196" s="79"/>
      <c r="S196" s="79"/>
      <c r="X196" s="79"/>
      <c r="AD196" s="130"/>
      <c r="AF196" s="106"/>
    </row>
    <row r="197">
      <c r="C197" s="79"/>
      <c r="D197" s="79"/>
      <c r="E197" s="79"/>
      <c r="O197" s="79"/>
      <c r="R197" s="79"/>
      <c r="S197" s="79"/>
      <c r="X197" s="79"/>
      <c r="AD197" s="130"/>
      <c r="AF197" s="106"/>
    </row>
    <row r="198">
      <c r="C198" s="79"/>
      <c r="D198" s="79"/>
      <c r="E198" s="79"/>
      <c r="O198" s="79"/>
      <c r="R198" s="79"/>
      <c r="S198" s="79"/>
      <c r="X198" s="79"/>
      <c r="AD198" s="130"/>
      <c r="AF198" s="106"/>
    </row>
    <row r="199">
      <c r="C199" s="79"/>
      <c r="D199" s="79"/>
      <c r="E199" s="79"/>
      <c r="O199" s="79"/>
      <c r="R199" s="79"/>
      <c r="S199" s="79"/>
      <c r="X199" s="79"/>
      <c r="AD199" s="130"/>
      <c r="AF199" s="106"/>
    </row>
    <row r="200">
      <c r="C200" s="79"/>
      <c r="D200" s="79"/>
      <c r="E200" s="79"/>
      <c r="O200" s="79"/>
      <c r="R200" s="79"/>
      <c r="S200" s="79"/>
      <c r="X200" s="79"/>
      <c r="AD200" s="130"/>
      <c r="AF200" s="106"/>
    </row>
    <row r="201">
      <c r="C201" s="79"/>
      <c r="D201" s="79"/>
      <c r="E201" s="79"/>
      <c r="O201" s="79"/>
      <c r="R201" s="79"/>
      <c r="S201" s="79"/>
      <c r="X201" s="79"/>
      <c r="AD201" s="130"/>
      <c r="AF201" s="106"/>
    </row>
    <row r="202">
      <c r="C202" s="79"/>
      <c r="D202" s="79"/>
      <c r="E202" s="79"/>
      <c r="O202" s="79"/>
      <c r="R202" s="79"/>
      <c r="S202" s="79"/>
      <c r="X202" s="79"/>
      <c r="AD202" s="130"/>
      <c r="AF202" s="106"/>
    </row>
    <row r="203">
      <c r="C203" s="79"/>
      <c r="D203" s="79"/>
      <c r="E203" s="79"/>
      <c r="O203" s="79"/>
      <c r="R203" s="79"/>
      <c r="S203" s="79"/>
      <c r="X203" s="79"/>
      <c r="AD203" s="130"/>
      <c r="AF203" s="106"/>
    </row>
    <row r="204">
      <c r="C204" s="79"/>
      <c r="D204" s="79"/>
      <c r="E204" s="79"/>
      <c r="O204" s="79"/>
      <c r="R204" s="79"/>
      <c r="S204" s="79"/>
      <c r="X204" s="79"/>
      <c r="AD204" s="130"/>
      <c r="AF204" s="106"/>
    </row>
    <row r="205">
      <c r="C205" s="79"/>
      <c r="D205" s="79"/>
      <c r="E205" s="79"/>
      <c r="O205" s="79"/>
      <c r="R205" s="79"/>
      <c r="S205" s="79"/>
      <c r="X205" s="79"/>
      <c r="AD205" s="130"/>
      <c r="AF205" s="106"/>
    </row>
    <row r="206">
      <c r="C206" s="79"/>
      <c r="D206" s="79"/>
      <c r="E206" s="79"/>
      <c r="O206" s="79"/>
      <c r="R206" s="79"/>
      <c r="S206" s="79"/>
      <c r="X206" s="79"/>
      <c r="AD206" s="130"/>
      <c r="AF206" s="106"/>
    </row>
    <row r="207">
      <c r="C207" s="79"/>
      <c r="D207" s="79"/>
      <c r="E207" s="79"/>
      <c r="O207" s="79"/>
      <c r="R207" s="79"/>
      <c r="S207" s="79"/>
      <c r="X207" s="79"/>
      <c r="AD207" s="130"/>
      <c r="AF207" s="106"/>
    </row>
    <row r="208">
      <c r="C208" s="79"/>
      <c r="D208" s="79"/>
      <c r="E208" s="79"/>
      <c r="O208" s="79"/>
      <c r="R208" s="79"/>
      <c r="S208" s="79"/>
      <c r="X208" s="79"/>
      <c r="AD208" s="130"/>
      <c r="AF208" s="106"/>
    </row>
    <row r="209">
      <c r="C209" s="79"/>
      <c r="D209" s="79"/>
      <c r="E209" s="79"/>
      <c r="O209" s="79"/>
      <c r="R209" s="79"/>
      <c r="S209" s="79"/>
      <c r="X209" s="79"/>
      <c r="AD209" s="130"/>
      <c r="AF209" s="106"/>
    </row>
    <row r="210">
      <c r="C210" s="79"/>
      <c r="D210" s="79"/>
      <c r="E210" s="79"/>
      <c r="O210" s="79"/>
      <c r="R210" s="79"/>
      <c r="S210" s="79"/>
      <c r="X210" s="79"/>
      <c r="AD210" s="130"/>
      <c r="AF210" s="106"/>
    </row>
    <row r="211">
      <c r="C211" s="79"/>
      <c r="D211" s="79"/>
      <c r="E211" s="79"/>
      <c r="O211" s="79"/>
      <c r="R211" s="79"/>
      <c r="S211" s="79"/>
      <c r="X211" s="79"/>
      <c r="AD211" s="130"/>
      <c r="AF211" s="106"/>
    </row>
    <row r="212">
      <c r="C212" s="79"/>
      <c r="D212" s="79"/>
      <c r="E212" s="79"/>
      <c r="O212" s="79"/>
      <c r="R212" s="79"/>
      <c r="S212" s="79"/>
      <c r="X212" s="79"/>
      <c r="AD212" s="130"/>
      <c r="AF212" s="106"/>
    </row>
    <row r="213">
      <c r="C213" s="79"/>
      <c r="D213" s="79"/>
      <c r="E213" s="79"/>
      <c r="O213" s="79"/>
      <c r="R213" s="79"/>
      <c r="S213" s="79"/>
      <c r="X213" s="79"/>
      <c r="AD213" s="130"/>
      <c r="AF213" s="106"/>
    </row>
    <row r="214">
      <c r="C214" s="79"/>
      <c r="D214" s="79"/>
      <c r="E214" s="79"/>
      <c r="O214" s="79"/>
      <c r="R214" s="79"/>
      <c r="S214" s="79"/>
      <c r="X214" s="79"/>
      <c r="AD214" s="130"/>
      <c r="AF214" s="106"/>
    </row>
    <row r="215">
      <c r="C215" s="79"/>
      <c r="D215" s="79"/>
      <c r="E215" s="79"/>
      <c r="O215" s="79"/>
      <c r="R215" s="79"/>
      <c r="S215" s="79"/>
      <c r="X215" s="79"/>
      <c r="AD215" s="130"/>
      <c r="AF215" s="106"/>
    </row>
    <row r="216">
      <c r="C216" s="79"/>
      <c r="D216" s="79"/>
      <c r="E216" s="79"/>
      <c r="O216" s="79"/>
      <c r="R216" s="79"/>
      <c r="S216" s="79"/>
      <c r="X216" s="79"/>
      <c r="AD216" s="130"/>
      <c r="AF216" s="106"/>
    </row>
    <row r="217">
      <c r="C217" s="79"/>
      <c r="D217" s="79"/>
      <c r="E217" s="79"/>
      <c r="O217" s="79"/>
      <c r="R217" s="79"/>
      <c r="S217" s="79"/>
      <c r="X217" s="79"/>
      <c r="AD217" s="130"/>
      <c r="AF217" s="106"/>
    </row>
    <row r="218">
      <c r="C218" s="79"/>
      <c r="D218" s="79"/>
      <c r="E218" s="79"/>
      <c r="O218" s="79"/>
      <c r="R218" s="79"/>
      <c r="S218" s="79"/>
      <c r="X218" s="79"/>
      <c r="AD218" s="130"/>
      <c r="AF218" s="106"/>
    </row>
    <row r="219">
      <c r="C219" s="79"/>
      <c r="D219" s="79"/>
      <c r="E219" s="79"/>
      <c r="O219" s="79"/>
      <c r="R219" s="79"/>
      <c r="S219" s="79"/>
      <c r="X219" s="79"/>
      <c r="AD219" s="130"/>
      <c r="AF219" s="106"/>
    </row>
    <row r="220">
      <c r="C220" s="79"/>
      <c r="D220" s="79"/>
      <c r="E220" s="79"/>
      <c r="O220" s="79"/>
      <c r="R220" s="79"/>
      <c r="S220" s="79"/>
      <c r="X220" s="79"/>
      <c r="AD220" s="130"/>
      <c r="AF220" s="106"/>
    </row>
    <row r="221">
      <c r="C221" s="79"/>
      <c r="D221" s="79"/>
      <c r="E221" s="79"/>
      <c r="O221" s="79"/>
      <c r="R221" s="79"/>
      <c r="S221" s="79"/>
      <c r="X221" s="79"/>
      <c r="AD221" s="130"/>
      <c r="AF221" s="106"/>
    </row>
    <row r="222">
      <c r="C222" s="79"/>
      <c r="D222" s="79"/>
      <c r="E222" s="79"/>
      <c r="O222" s="79"/>
      <c r="R222" s="79"/>
      <c r="S222" s="79"/>
      <c r="X222" s="79"/>
      <c r="AD222" s="130"/>
      <c r="AF222" s="106"/>
    </row>
    <row r="223">
      <c r="C223" s="79"/>
      <c r="D223" s="79"/>
      <c r="E223" s="79"/>
      <c r="O223" s="79"/>
      <c r="R223" s="79"/>
      <c r="S223" s="79"/>
      <c r="X223" s="79"/>
      <c r="AD223" s="130"/>
      <c r="AF223" s="106"/>
    </row>
    <row r="224">
      <c r="C224" s="79"/>
      <c r="D224" s="79"/>
      <c r="E224" s="79"/>
      <c r="O224" s="79"/>
      <c r="R224" s="79"/>
      <c r="S224" s="79"/>
      <c r="X224" s="79"/>
      <c r="AD224" s="130"/>
      <c r="AF224" s="106"/>
    </row>
    <row r="225">
      <c r="C225" s="79"/>
      <c r="D225" s="79"/>
      <c r="E225" s="79"/>
      <c r="O225" s="79"/>
      <c r="R225" s="79"/>
      <c r="S225" s="79"/>
      <c r="X225" s="79"/>
      <c r="AD225" s="130"/>
      <c r="AF225" s="106"/>
    </row>
    <row r="226">
      <c r="C226" s="79"/>
      <c r="D226" s="79"/>
      <c r="E226" s="79"/>
      <c r="O226" s="79"/>
      <c r="R226" s="79"/>
      <c r="S226" s="79"/>
      <c r="X226" s="79"/>
      <c r="AD226" s="130"/>
      <c r="AF226" s="106"/>
    </row>
    <row r="227">
      <c r="C227" s="79"/>
      <c r="D227" s="79"/>
      <c r="E227" s="79"/>
      <c r="O227" s="79"/>
      <c r="R227" s="79"/>
      <c r="S227" s="79"/>
      <c r="X227" s="79"/>
      <c r="AD227" s="130"/>
      <c r="AF227" s="106"/>
    </row>
    <row r="228">
      <c r="C228" s="79"/>
      <c r="D228" s="79"/>
      <c r="E228" s="79"/>
      <c r="O228" s="79"/>
      <c r="R228" s="79"/>
      <c r="S228" s="79"/>
      <c r="X228" s="79"/>
      <c r="AD228" s="130"/>
      <c r="AF228" s="106"/>
    </row>
    <row r="229">
      <c r="C229" s="79"/>
      <c r="D229" s="79"/>
      <c r="E229" s="79"/>
      <c r="O229" s="79"/>
      <c r="R229" s="79"/>
      <c r="S229" s="79"/>
      <c r="X229" s="79"/>
      <c r="AD229" s="130"/>
      <c r="AF229" s="106"/>
    </row>
    <row r="230">
      <c r="C230" s="79"/>
      <c r="D230" s="79"/>
      <c r="E230" s="79"/>
      <c r="O230" s="79"/>
      <c r="R230" s="79"/>
      <c r="S230" s="79"/>
      <c r="X230" s="79"/>
      <c r="AD230" s="130"/>
      <c r="AF230" s="106"/>
    </row>
    <row r="231">
      <c r="C231" s="79"/>
      <c r="D231" s="79"/>
      <c r="E231" s="79"/>
      <c r="O231" s="79"/>
      <c r="R231" s="79"/>
      <c r="S231" s="79"/>
      <c r="X231" s="79"/>
      <c r="AD231" s="130"/>
      <c r="AF231" s="106"/>
    </row>
    <row r="232">
      <c r="C232" s="79"/>
      <c r="D232" s="79"/>
      <c r="E232" s="79"/>
      <c r="O232" s="79"/>
      <c r="R232" s="79"/>
      <c r="S232" s="79"/>
      <c r="X232" s="79"/>
      <c r="AD232" s="130"/>
      <c r="AF232" s="106"/>
    </row>
    <row r="233">
      <c r="C233" s="79"/>
      <c r="D233" s="79"/>
      <c r="E233" s="79"/>
      <c r="O233" s="79"/>
      <c r="R233" s="79"/>
      <c r="S233" s="79"/>
      <c r="X233" s="79"/>
      <c r="AD233" s="130"/>
      <c r="AF233" s="106"/>
    </row>
    <row r="234">
      <c r="C234" s="79"/>
      <c r="D234" s="79"/>
      <c r="E234" s="79"/>
      <c r="O234" s="79"/>
      <c r="R234" s="79"/>
      <c r="S234" s="79"/>
      <c r="X234" s="79"/>
      <c r="AD234" s="130"/>
      <c r="AF234" s="106"/>
    </row>
    <row r="235">
      <c r="C235" s="79"/>
      <c r="D235" s="79"/>
      <c r="E235" s="79"/>
      <c r="O235" s="79"/>
      <c r="R235" s="79"/>
      <c r="S235" s="79"/>
      <c r="X235" s="79"/>
      <c r="AD235" s="130"/>
      <c r="AF235" s="106"/>
    </row>
    <row r="236">
      <c r="C236" s="79"/>
      <c r="D236" s="79"/>
      <c r="E236" s="79"/>
      <c r="O236" s="79"/>
      <c r="R236" s="79"/>
      <c r="S236" s="79"/>
      <c r="X236" s="79"/>
      <c r="AD236" s="130"/>
      <c r="AF236" s="106"/>
    </row>
    <row r="237">
      <c r="C237" s="79"/>
      <c r="D237" s="79"/>
      <c r="E237" s="79"/>
      <c r="O237" s="79"/>
      <c r="R237" s="79"/>
      <c r="S237" s="79"/>
      <c r="X237" s="79"/>
      <c r="AD237" s="130"/>
      <c r="AF237" s="106"/>
    </row>
    <row r="238">
      <c r="C238" s="79"/>
      <c r="D238" s="79"/>
      <c r="E238" s="79"/>
      <c r="O238" s="79"/>
      <c r="R238" s="79"/>
      <c r="S238" s="79"/>
      <c r="X238" s="79"/>
      <c r="AD238" s="130"/>
      <c r="AF238" s="106"/>
    </row>
    <row r="239">
      <c r="C239" s="79"/>
      <c r="D239" s="79"/>
      <c r="E239" s="79"/>
      <c r="O239" s="79"/>
      <c r="R239" s="79"/>
      <c r="S239" s="79"/>
      <c r="X239" s="79"/>
      <c r="AD239" s="130"/>
      <c r="AF239" s="106"/>
    </row>
    <row r="240">
      <c r="C240" s="79"/>
      <c r="D240" s="79"/>
      <c r="E240" s="79"/>
      <c r="O240" s="79"/>
      <c r="R240" s="79"/>
      <c r="S240" s="79"/>
      <c r="X240" s="79"/>
      <c r="AD240" s="130"/>
      <c r="AF240" s="106"/>
    </row>
    <row r="241">
      <c r="C241" s="79"/>
      <c r="D241" s="79"/>
      <c r="E241" s="79"/>
      <c r="O241" s="79"/>
      <c r="R241" s="79"/>
      <c r="S241" s="79"/>
      <c r="X241" s="79"/>
      <c r="AD241" s="130"/>
      <c r="AF241" s="106"/>
    </row>
    <row r="242">
      <c r="C242" s="79"/>
      <c r="D242" s="79"/>
      <c r="E242" s="79"/>
      <c r="O242" s="79"/>
      <c r="R242" s="79"/>
      <c r="S242" s="79"/>
      <c r="X242" s="79"/>
      <c r="AD242" s="130"/>
      <c r="AF242" s="106"/>
    </row>
    <row r="243">
      <c r="C243" s="79"/>
      <c r="D243" s="79"/>
      <c r="E243" s="79"/>
      <c r="O243" s="79"/>
      <c r="R243" s="79"/>
      <c r="S243" s="79"/>
      <c r="X243" s="79"/>
      <c r="AD243" s="130"/>
      <c r="AF243" s="106"/>
    </row>
    <row r="244">
      <c r="C244" s="79"/>
      <c r="D244" s="79"/>
      <c r="E244" s="79"/>
      <c r="O244" s="79"/>
      <c r="R244" s="79"/>
      <c r="S244" s="79"/>
      <c r="X244" s="79"/>
      <c r="AD244" s="130"/>
      <c r="AF244" s="106"/>
    </row>
    <row r="245">
      <c r="C245" s="79"/>
      <c r="D245" s="79"/>
      <c r="E245" s="79"/>
      <c r="O245" s="79"/>
      <c r="R245" s="79"/>
      <c r="S245" s="79"/>
      <c r="X245" s="79"/>
      <c r="AD245" s="130"/>
      <c r="AF245" s="106"/>
    </row>
    <row r="246">
      <c r="C246" s="79"/>
      <c r="D246" s="79"/>
      <c r="E246" s="79"/>
      <c r="O246" s="79"/>
      <c r="R246" s="79"/>
      <c r="S246" s="79"/>
      <c r="X246" s="79"/>
      <c r="AD246" s="130"/>
      <c r="AF246" s="106"/>
    </row>
    <row r="247">
      <c r="C247" s="79"/>
      <c r="D247" s="79"/>
      <c r="E247" s="79"/>
      <c r="O247" s="79"/>
      <c r="R247" s="79"/>
      <c r="S247" s="79"/>
      <c r="X247" s="79"/>
      <c r="AD247" s="130"/>
      <c r="AF247" s="106"/>
    </row>
    <row r="248">
      <c r="C248" s="79"/>
      <c r="D248" s="79"/>
      <c r="E248" s="79"/>
      <c r="O248" s="79"/>
      <c r="R248" s="79"/>
      <c r="S248" s="79"/>
      <c r="X248" s="79"/>
      <c r="AD248" s="130"/>
      <c r="AF248" s="106"/>
    </row>
    <row r="249">
      <c r="C249" s="79"/>
      <c r="D249" s="79"/>
      <c r="E249" s="79"/>
      <c r="O249" s="79"/>
      <c r="R249" s="79"/>
      <c r="S249" s="79"/>
      <c r="X249" s="79"/>
      <c r="AD249" s="130"/>
      <c r="AF249" s="106"/>
    </row>
    <row r="250">
      <c r="C250" s="79"/>
      <c r="D250" s="79"/>
      <c r="E250" s="79"/>
      <c r="O250" s="79"/>
      <c r="R250" s="79"/>
      <c r="S250" s="79"/>
      <c r="X250" s="79"/>
      <c r="AD250" s="130"/>
      <c r="AF250" s="106"/>
    </row>
    <row r="251">
      <c r="C251" s="79"/>
      <c r="D251" s="79"/>
      <c r="E251" s="79"/>
      <c r="O251" s="79"/>
      <c r="R251" s="79"/>
      <c r="S251" s="79"/>
      <c r="X251" s="79"/>
      <c r="AD251" s="130"/>
      <c r="AF251" s="106"/>
    </row>
    <row r="252">
      <c r="C252" s="79"/>
      <c r="D252" s="79"/>
      <c r="E252" s="79"/>
      <c r="O252" s="79"/>
      <c r="R252" s="79"/>
      <c r="S252" s="79"/>
      <c r="X252" s="79"/>
      <c r="AD252" s="130"/>
      <c r="AF252" s="106"/>
    </row>
    <row r="253">
      <c r="C253" s="79"/>
      <c r="D253" s="79"/>
      <c r="E253" s="79"/>
      <c r="O253" s="79"/>
      <c r="R253" s="79"/>
      <c r="S253" s="79"/>
      <c r="X253" s="79"/>
      <c r="AD253" s="130"/>
      <c r="AF253" s="106"/>
    </row>
    <row r="254">
      <c r="C254" s="79"/>
      <c r="D254" s="79"/>
      <c r="E254" s="79"/>
      <c r="O254" s="79"/>
      <c r="R254" s="79"/>
      <c r="S254" s="79"/>
      <c r="X254" s="79"/>
      <c r="AD254" s="130"/>
      <c r="AF254" s="106"/>
    </row>
    <row r="255">
      <c r="C255" s="79"/>
      <c r="D255" s="79"/>
      <c r="E255" s="79"/>
      <c r="O255" s="79"/>
      <c r="R255" s="79"/>
      <c r="S255" s="79"/>
      <c r="X255" s="79"/>
      <c r="AD255" s="130"/>
      <c r="AF255" s="106"/>
    </row>
    <row r="256">
      <c r="C256" s="79"/>
      <c r="D256" s="79"/>
      <c r="E256" s="79"/>
      <c r="O256" s="79"/>
      <c r="R256" s="79"/>
      <c r="S256" s="79"/>
      <c r="X256" s="79"/>
      <c r="AD256" s="130"/>
      <c r="AF256" s="106"/>
    </row>
    <row r="257">
      <c r="C257" s="79"/>
      <c r="D257" s="79"/>
      <c r="E257" s="79"/>
      <c r="O257" s="79"/>
      <c r="R257" s="79"/>
      <c r="S257" s="79"/>
      <c r="X257" s="79"/>
      <c r="AD257" s="130"/>
      <c r="AF257" s="106"/>
    </row>
    <row r="258">
      <c r="C258" s="79"/>
      <c r="D258" s="79"/>
      <c r="E258" s="79"/>
      <c r="O258" s="79"/>
      <c r="R258" s="79"/>
      <c r="S258" s="79"/>
      <c r="X258" s="79"/>
      <c r="AD258" s="130"/>
      <c r="AF258" s="106"/>
    </row>
    <row r="259">
      <c r="C259" s="79"/>
      <c r="D259" s="79"/>
      <c r="E259" s="79"/>
      <c r="O259" s="79"/>
      <c r="R259" s="79"/>
      <c r="S259" s="79"/>
      <c r="X259" s="79"/>
      <c r="AD259" s="130"/>
      <c r="AF259" s="106"/>
    </row>
    <row r="260">
      <c r="C260" s="79"/>
      <c r="D260" s="79"/>
      <c r="E260" s="79"/>
      <c r="O260" s="79"/>
      <c r="R260" s="79"/>
      <c r="S260" s="79"/>
      <c r="X260" s="79"/>
      <c r="AD260" s="130"/>
      <c r="AF260" s="106"/>
    </row>
    <row r="261">
      <c r="C261" s="79"/>
      <c r="D261" s="79"/>
      <c r="E261" s="79"/>
      <c r="O261" s="79"/>
      <c r="R261" s="79"/>
      <c r="S261" s="79"/>
      <c r="X261" s="79"/>
      <c r="AD261" s="130"/>
      <c r="AF261" s="106"/>
    </row>
    <row r="262">
      <c r="C262" s="79"/>
      <c r="D262" s="79"/>
      <c r="E262" s="79"/>
      <c r="O262" s="79"/>
      <c r="R262" s="79"/>
      <c r="S262" s="79"/>
      <c r="X262" s="79"/>
      <c r="AD262" s="130"/>
      <c r="AF262" s="106"/>
    </row>
    <row r="263">
      <c r="C263" s="79"/>
      <c r="D263" s="79"/>
      <c r="E263" s="79"/>
      <c r="O263" s="79"/>
      <c r="R263" s="79"/>
      <c r="S263" s="79"/>
      <c r="X263" s="79"/>
      <c r="AD263" s="130"/>
      <c r="AF263" s="106"/>
    </row>
    <row r="264">
      <c r="C264" s="79"/>
      <c r="D264" s="79"/>
      <c r="E264" s="79"/>
      <c r="O264" s="79"/>
      <c r="R264" s="79"/>
      <c r="S264" s="79"/>
      <c r="X264" s="79"/>
      <c r="AD264" s="130"/>
      <c r="AF264" s="106"/>
    </row>
    <row r="265">
      <c r="C265" s="79"/>
      <c r="D265" s="79"/>
      <c r="E265" s="79"/>
      <c r="O265" s="79"/>
      <c r="R265" s="79"/>
      <c r="S265" s="79"/>
      <c r="X265" s="79"/>
      <c r="AD265" s="130"/>
      <c r="AF265" s="106"/>
    </row>
    <row r="266">
      <c r="C266" s="79"/>
      <c r="D266" s="79"/>
      <c r="E266" s="79"/>
      <c r="O266" s="79"/>
      <c r="R266" s="79"/>
      <c r="S266" s="79"/>
      <c r="X266" s="79"/>
      <c r="AD266" s="130"/>
      <c r="AF266" s="106"/>
    </row>
    <row r="267">
      <c r="C267" s="79"/>
      <c r="D267" s="79"/>
      <c r="E267" s="79"/>
      <c r="O267" s="79"/>
      <c r="R267" s="79"/>
      <c r="S267" s="79"/>
      <c r="X267" s="79"/>
      <c r="AD267" s="130"/>
      <c r="AF267" s="106"/>
    </row>
    <row r="268">
      <c r="C268" s="79"/>
      <c r="D268" s="79"/>
      <c r="E268" s="79"/>
      <c r="O268" s="79"/>
      <c r="R268" s="79"/>
      <c r="S268" s="79"/>
      <c r="X268" s="79"/>
      <c r="AD268" s="130"/>
      <c r="AF268" s="106"/>
    </row>
    <row r="269">
      <c r="C269" s="79"/>
      <c r="D269" s="79"/>
      <c r="E269" s="79"/>
      <c r="O269" s="79"/>
      <c r="R269" s="79"/>
      <c r="S269" s="79"/>
      <c r="X269" s="79"/>
      <c r="AD269" s="130"/>
      <c r="AF269" s="106"/>
    </row>
    <row r="270">
      <c r="C270" s="79"/>
      <c r="D270" s="79"/>
      <c r="E270" s="79"/>
      <c r="O270" s="79"/>
      <c r="R270" s="79"/>
      <c r="S270" s="79"/>
      <c r="X270" s="79"/>
      <c r="AD270" s="130"/>
      <c r="AF270" s="106"/>
    </row>
    <row r="271">
      <c r="C271" s="79"/>
      <c r="D271" s="79"/>
      <c r="E271" s="79"/>
      <c r="O271" s="79"/>
      <c r="R271" s="79"/>
      <c r="S271" s="79"/>
      <c r="X271" s="79"/>
      <c r="AD271" s="130"/>
      <c r="AF271" s="106"/>
    </row>
    <row r="272">
      <c r="C272" s="79"/>
      <c r="D272" s="79"/>
      <c r="E272" s="79"/>
      <c r="O272" s="79"/>
      <c r="R272" s="79"/>
      <c r="S272" s="79"/>
      <c r="X272" s="79"/>
      <c r="AD272" s="130"/>
      <c r="AF272" s="106"/>
    </row>
    <row r="273">
      <c r="C273" s="79"/>
      <c r="D273" s="79"/>
      <c r="E273" s="79"/>
      <c r="O273" s="79"/>
      <c r="R273" s="79"/>
      <c r="S273" s="79"/>
      <c r="X273" s="79"/>
      <c r="AD273" s="130"/>
      <c r="AF273" s="106"/>
    </row>
    <row r="274">
      <c r="C274" s="79"/>
      <c r="D274" s="79"/>
      <c r="E274" s="79"/>
      <c r="O274" s="79"/>
      <c r="R274" s="79"/>
      <c r="S274" s="79"/>
      <c r="X274" s="79"/>
      <c r="AD274" s="130"/>
      <c r="AF274" s="106"/>
    </row>
    <row r="275">
      <c r="C275" s="79"/>
      <c r="D275" s="79"/>
      <c r="E275" s="79"/>
      <c r="O275" s="79"/>
      <c r="R275" s="79"/>
      <c r="S275" s="79"/>
      <c r="X275" s="79"/>
      <c r="AD275" s="130"/>
      <c r="AF275" s="106"/>
    </row>
    <row r="276">
      <c r="C276" s="79"/>
      <c r="D276" s="79"/>
      <c r="E276" s="79"/>
      <c r="O276" s="79"/>
      <c r="R276" s="79"/>
      <c r="S276" s="79"/>
      <c r="X276" s="79"/>
      <c r="AD276" s="130"/>
      <c r="AF276" s="106"/>
    </row>
    <row r="277">
      <c r="C277" s="79"/>
      <c r="D277" s="79"/>
      <c r="E277" s="79"/>
      <c r="O277" s="79"/>
      <c r="R277" s="79"/>
      <c r="S277" s="79"/>
      <c r="X277" s="79"/>
      <c r="AD277" s="130"/>
      <c r="AF277" s="106"/>
    </row>
    <row r="278">
      <c r="C278" s="79"/>
      <c r="D278" s="79"/>
      <c r="E278" s="79"/>
      <c r="O278" s="79"/>
      <c r="R278" s="79"/>
      <c r="S278" s="79"/>
      <c r="X278" s="79"/>
      <c r="AD278" s="130"/>
      <c r="AF278" s="106"/>
    </row>
    <row r="279">
      <c r="C279" s="79"/>
      <c r="D279" s="79"/>
      <c r="E279" s="79"/>
      <c r="O279" s="79"/>
      <c r="R279" s="79"/>
      <c r="S279" s="79"/>
      <c r="X279" s="79"/>
      <c r="AD279" s="130"/>
      <c r="AF279" s="106"/>
    </row>
    <row r="280">
      <c r="C280" s="79"/>
      <c r="D280" s="79"/>
      <c r="E280" s="79"/>
      <c r="O280" s="79"/>
      <c r="R280" s="79"/>
      <c r="S280" s="79"/>
      <c r="X280" s="79"/>
      <c r="AD280" s="130"/>
      <c r="AF280" s="106"/>
    </row>
    <row r="281">
      <c r="C281" s="79"/>
      <c r="D281" s="79"/>
      <c r="E281" s="79"/>
      <c r="O281" s="79"/>
      <c r="R281" s="79"/>
      <c r="S281" s="79"/>
      <c r="X281" s="79"/>
      <c r="AD281" s="130"/>
      <c r="AF281" s="106"/>
    </row>
    <row r="282">
      <c r="C282" s="79"/>
      <c r="D282" s="79"/>
      <c r="E282" s="79"/>
      <c r="O282" s="79"/>
      <c r="R282" s="79"/>
      <c r="S282" s="79"/>
      <c r="X282" s="79"/>
      <c r="AD282" s="130"/>
      <c r="AF282" s="106"/>
    </row>
    <row r="283">
      <c r="C283" s="79"/>
      <c r="D283" s="79"/>
      <c r="E283" s="79"/>
      <c r="O283" s="79"/>
      <c r="R283" s="79"/>
      <c r="S283" s="79"/>
      <c r="X283" s="79"/>
      <c r="AD283" s="130"/>
      <c r="AF283" s="106"/>
    </row>
    <row r="284">
      <c r="C284" s="79"/>
      <c r="D284" s="79"/>
      <c r="E284" s="79"/>
      <c r="O284" s="79"/>
      <c r="R284" s="79"/>
      <c r="S284" s="79"/>
      <c r="X284" s="79"/>
      <c r="AD284" s="130"/>
      <c r="AF284" s="106"/>
    </row>
    <row r="285">
      <c r="C285" s="79"/>
      <c r="D285" s="79"/>
      <c r="E285" s="79"/>
      <c r="O285" s="79"/>
      <c r="R285" s="79"/>
      <c r="S285" s="79"/>
      <c r="X285" s="79"/>
      <c r="AD285" s="130"/>
      <c r="AF285" s="106"/>
    </row>
    <row r="286">
      <c r="C286" s="79"/>
      <c r="D286" s="79"/>
      <c r="E286" s="79"/>
      <c r="O286" s="79"/>
      <c r="R286" s="79"/>
      <c r="S286" s="79"/>
      <c r="X286" s="79"/>
      <c r="AD286" s="130"/>
      <c r="AF286" s="106"/>
    </row>
    <row r="287">
      <c r="C287" s="79"/>
      <c r="D287" s="79"/>
      <c r="E287" s="79"/>
      <c r="O287" s="79"/>
      <c r="R287" s="79"/>
      <c r="S287" s="79"/>
      <c r="X287" s="79"/>
      <c r="AD287" s="130"/>
      <c r="AF287" s="106"/>
    </row>
    <row r="288">
      <c r="C288" s="79"/>
      <c r="D288" s="79"/>
      <c r="E288" s="79"/>
      <c r="O288" s="79"/>
      <c r="R288" s="79"/>
      <c r="S288" s="79"/>
      <c r="X288" s="79"/>
      <c r="AD288" s="130"/>
      <c r="AF288" s="106"/>
    </row>
    <row r="289">
      <c r="C289" s="79"/>
      <c r="D289" s="79"/>
      <c r="E289" s="79"/>
      <c r="O289" s="79"/>
      <c r="R289" s="79"/>
      <c r="S289" s="79"/>
      <c r="X289" s="79"/>
      <c r="AD289" s="130"/>
      <c r="AF289" s="106"/>
    </row>
    <row r="290">
      <c r="C290" s="79"/>
      <c r="D290" s="79"/>
      <c r="E290" s="79"/>
      <c r="O290" s="79"/>
      <c r="R290" s="79"/>
      <c r="S290" s="79"/>
      <c r="X290" s="79"/>
      <c r="AD290" s="130"/>
      <c r="AF290" s="106"/>
    </row>
    <row r="291">
      <c r="C291" s="79"/>
      <c r="D291" s="79"/>
      <c r="E291" s="79"/>
      <c r="O291" s="79"/>
      <c r="R291" s="79"/>
      <c r="S291" s="79"/>
      <c r="X291" s="79"/>
      <c r="AD291" s="130"/>
      <c r="AF291" s="106"/>
    </row>
    <row r="292">
      <c r="C292" s="79"/>
      <c r="D292" s="79"/>
      <c r="E292" s="79"/>
      <c r="O292" s="79"/>
      <c r="R292" s="79"/>
      <c r="S292" s="79"/>
      <c r="X292" s="79"/>
      <c r="AD292" s="130"/>
      <c r="AF292" s="106"/>
    </row>
    <row r="293">
      <c r="C293" s="79"/>
      <c r="D293" s="79"/>
      <c r="E293" s="79"/>
      <c r="O293" s="79"/>
      <c r="R293" s="79"/>
      <c r="S293" s="79"/>
      <c r="X293" s="79"/>
      <c r="AD293" s="130"/>
      <c r="AF293" s="106"/>
    </row>
    <row r="294">
      <c r="C294" s="79"/>
      <c r="D294" s="79"/>
      <c r="E294" s="79"/>
      <c r="O294" s="79"/>
      <c r="R294" s="79"/>
      <c r="S294" s="79"/>
      <c r="X294" s="79"/>
      <c r="AD294" s="130"/>
      <c r="AF294" s="106"/>
    </row>
    <row r="295">
      <c r="C295" s="79"/>
      <c r="D295" s="79"/>
      <c r="E295" s="79"/>
      <c r="O295" s="79"/>
      <c r="R295" s="79"/>
      <c r="S295" s="79"/>
      <c r="X295" s="79"/>
      <c r="AD295" s="130"/>
      <c r="AF295" s="106"/>
    </row>
    <row r="296">
      <c r="C296" s="79"/>
      <c r="D296" s="79"/>
      <c r="E296" s="79"/>
      <c r="O296" s="79"/>
      <c r="R296" s="79"/>
      <c r="S296" s="79"/>
      <c r="X296" s="79"/>
      <c r="AD296" s="130"/>
      <c r="AF296" s="106"/>
    </row>
    <row r="297">
      <c r="C297" s="79"/>
      <c r="D297" s="79"/>
      <c r="E297" s="79"/>
      <c r="O297" s="79"/>
      <c r="R297" s="79"/>
      <c r="S297" s="79"/>
      <c r="X297" s="79"/>
      <c r="AD297" s="130"/>
      <c r="AF297" s="106"/>
    </row>
    <row r="298">
      <c r="C298" s="79"/>
      <c r="D298" s="79"/>
      <c r="E298" s="79"/>
      <c r="O298" s="79"/>
      <c r="R298" s="79"/>
      <c r="S298" s="79"/>
      <c r="X298" s="79"/>
      <c r="AD298" s="130"/>
      <c r="AF298" s="106"/>
    </row>
    <row r="299">
      <c r="C299" s="79"/>
      <c r="D299" s="79"/>
      <c r="E299" s="79"/>
      <c r="O299" s="79"/>
      <c r="R299" s="79"/>
      <c r="S299" s="79"/>
      <c r="X299" s="79"/>
      <c r="AD299" s="130"/>
      <c r="AF299" s="106"/>
    </row>
    <row r="300">
      <c r="C300" s="79"/>
      <c r="D300" s="79"/>
      <c r="E300" s="79"/>
      <c r="O300" s="79"/>
      <c r="R300" s="79"/>
      <c r="S300" s="79"/>
      <c r="X300" s="79"/>
      <c r="AD300" s="130"/>
      <c r="AF300" s="106"/>
    </row>
    <row r="301">
      <c r="C301" s="79"/>
      <c r="D301" s="79"/>
      <c r="E301" s="79"/>
      <c r="O301" s="79"/>
      <c r="R301" s="79"/>
      <c r="S301" s="79"/>
      <c r="X301" s="79"/>
      <c r="AD301" s="130"/>
      <c r="AF301" s="106"/>
    </row>
    <row r="302">
      <c r="C302" s="79"/>
      <c r="D302" s="79"/>
      <c r="E302" s="79"/>
      <c r="O302" s="79"/>
      <c r="R302" s="79"/>
      <c r="S302" s="79"/>
      <c r="X302" s="79"/>
      <c r="AD302" s="130"/>
      <c r="AF302" s="106"/>
    </row>
    <row r="303">
      <c r="C303" s="79"/>
      <c r="D303" s="79"/>
      <c r="E303" s="79"/>
      <c r="O303" s="79"/>
      <c r="R303" s="79"/>
      <c r="S303" s="79"/>
      <c r="X303" s="79"/>
      <c r="AD303" s="130"/>
      <c r="AF303" s="106"/>
    </row>
    <row r="304">
      <c r="C304" s="79"/>
      <c r="D304" s="79"/>
      <c r="E304" s="79"/>
      <c r="O304" s="79"/>
      <c r="R304" s="79"/>
      <c r="S304" s="79"/>
      <c r="X304" s="79"/>
      <c r="AD304" s="130"/>
      <c r="AF304" s="106"/>
    </row>
    <row r="305">
      <c r="C305" s="79"/>
      <c r="D305" s="79"/>
      <c r="E305" s="79"/>
      <c r="O305" s="79"/>
      <c r="R305" s="79"/>
      <c r="S305" s="79"/>
      <c r="X305" s="79"/>
      <c r="AD305" s="130"/>
      <c r="AF305" s="106"/>
    </row>
    <row r="306">
      <c r="C306" s="79"/>
      <c r="D306" s="79"/>
      <c r="E306" s="79"/>
      <c r="O306" s="79"/>
      <c r="R306" s="79"/>
      <c r="S306" s="79"/>
      <c r="X306" s="79"/>
      <c r="AD306" s="130"/>
      <c r="AF306" s="106"/>
    </row>
    <row r="307">
      <c r="C307" s="79"/>
      <c r="D307" s="79"/>
      <c r="E307" s="79"/>
      <c r="O307" s="79"/>
      <c r="R307" s="79"/>
      <c r="S307" s="79"/>
      <c r="X307" s="79"/>
      <c r="AD307" s="130"/>
      <c r="AF307" s="106"/>
    </row>
    <row r="308">
      <c r="C308" s="79"/>
      <c r="D308" s="79"/>
      <c r="E308" s="79"/>
      <c r="O308" s="79"/>
      <c r="R308" s="79"/>
      <c r="S308" s="79"/>
      <c r="X308" s="79"/>
      <c r="AD308" s="130"/>
      <c r="AF308" s="106"/>
    </row>
    <row r="309">
      <c r="C309" s="79"/>
      <c r="D309" s="79"/>
      <c r="E309" s="79"/>
      <c r="O309" s="79"/>
      <c r="R309" s="79"/>
      <c r="S309" s="79"/>
      <c r="X309" s="79"/>
      <c r="AD309" s="130"/>
      <c r="AF309" s="106"/>
    </row>
    <row r="310">
      <c r="C310" s="79"/>
      <c r="D310" s="79"/>
      <c r="E310" s="79"/>
      <c r="O310" s="79"/>
      <c r="R310" s="79"/>
      <c r="S310" s="79"/>
      <c r="X310" s="79"/>
      <c r="AD310" s="130"/>
      <c r="AF310" s="106"/>
    </row>
    <row r="311">
      <c r="C311" s="79"/>
      <c r="D311" s="79"/>
      <c r="E311" s="79"/>
      <c r="O311" s="79"/>
      <c r="R311" s="79"/>
      <c r="S311" s="79"/>
      <c r="X311" s="79"/>
      <c r="AD311" s="130"/>
      <c r="AF311" s="106"/>
    </row>
    <row r="312">
      <c r="C312" s="79"/>
      <c r="D312" s="79"/>
      <c r="E312" s="79"/>
      <c r="O312" s="79"/>
      <c r="R312" s="79"/>
      <c r="S312" s="79"/>
      <c r="X312" s="79"/>
      <c r="AD312" s="130"/>
      <c r="AF312" s="106"/>
    </row>
    <row r="313">
      <c r="C313" s="79"/>
      <c r="D313" s="79"/>
      <c r="E313" s="79"/>
      <c r="O313" s="79"/>
      <c r="R313" s="79"/>
      <c r="S313" s="79"/>
      <c r="X313" s="79"/>
      <c r="AD313" s="130"/>
      <c r="AF313" s="106"/>
    </row>
    <row r="314">
      <c r="C314" s="79"/>
      <c r="D314" s="79"/>
      <c r="E314" s="79"/>
      <c r="O314" s="79"/>
      <c r="R314" s="79"/>
      <c r="S314" s="79"/>
      <c r="X314" s="79"/>
      <c r="AD314" s="130"/>
      <c r="AF314" s="106"/>
    </row>
    <row r="315">
      <c r="C315" s="79"/>
      <c r="D315" s="79"/>
      <c r="E315" s="79"/>
      <c r="O315" s="79"/>
      <c r="R315" s="79"/>
      <c r="S315" s="79"/>
      <c r="X315" s="79"/>
      <c r="AD315" s="130"/>
      <c r="AF315" s="106"/>
    </row>
    <row r="316">
      <c r="C316" s="79"/>
      <c r="D316" s="79"/>
      <c r="E316" s="79"/>
      <c r="O316" s="79"/>
      <c r="R316" s="79"/>
      <c r="S316" s="79"/>
      <c r="X316" s="79"/>
      <c r="AD316" s="130"/>
      <c r="AF316" s="106"/>
    </row>
    <row r="317">
      <c r="C317" s="79"/>
      <c r="D317" s="79"/>
      <c r="E317" s="79"/>
      <c r="O317" s="79"/>
      <c r="R317" s="79"/>
      <c r="S317" s="79"/>
      <c r="X317" s="79"/>
      <c r="AD317" s="130"/>
      <c r="AF317" s="106"/>
    </row>
    <row r="318">
      <c r="C318" s="79"/>
      <c r="D318" s="79"/>
      <c r="E318" s="79"/>
      <c r="O318" s="79"/>
      <c r="R318" s="79"/>
      <c r="S318" s="79"/>
      <c r="X318" s="79"/>
      <c r="AD318" s="130"/>
      <c r="AF318" s="106"/>
    </row>
    <row r="319">
      <c r="C319" s="79"/>
      <c r="D319" s="79"/>
      <c r="E319" s="79"/>
      <c r="O319" s="79"/>
      <c r="R319" s="79"/>
      <c r="S319" s="79"/>
      <c r="X319" s="79"/>
      <c r="AD319" s="130"/>
      <c r="AF319" s="106"/>
    </row>
    <row r="320">
      <c r="C320" s="79"/>
      <c r="D320" s="79"/>
      <c r="E320" s="79"/>
      <c r="O320" s="79"/>
      <c r="R320" s="79"/>
      <c r="S320" s="79"/>
      <c r="X320" s="79"/>
      <c r="AD320" s="130"/>
      <c r="AF320" s="106"/>
    </row>
    <row r="321">
      <c r="C321" s="79"/>
      <c r="D321" s="79"/>
      <c r="E321" s="79"/>
      <c r="O321" s="79"/>
      <c r="R321" s="79"/>
      <c r="S321" s="79"/>
      <c r="X321" s="79"/>
      <c r="AD321" s="130"/>
      <c r="AF321" s="106"/>
    </row>
    <row r="322">
      <c r="C322" s="79"/>
      <c r="D322" s="79"/>
      <c r="E322" s="79"/>
      <c r="O322" s="79"/>
      <c r="R322" s="79"/>
      <c r="S322" s="79"/>
      <c r="X322" s="79"/>
      <c r="AD322" s="130"/>
      <c r="AF322" s="106"/>
    </row>
    <row r="323">
      <c r="C323" s="79"/>
      <c r="D323" s="79"/>
      <c r="E323" s="79"/>
      <c r="O323" s="79"/>
      <c r="R323" s="79"/>
      <c r="S323" s="79"/>
      <c r="X323" s="79"/>
      <c r="AD323" s="130"/>
      <c r="AF323" s="106"/>
    </row>
    <row r="324">
      <c r="C324" s="79"/>
      <c r="D324" s="79"/>
      <c r="E324" s="79"/>
      <c r="O324" s="79"/>
      <c r="R324" s="79"/>
      <c r="S324" s="79"/>
      <c r="X324" s="79"/>
      <c r="AD324" s="130"/>
      <c r="AF324" s="106"/>
    </row>
    <row r="325">
      <c r="C325" s="79"/>
      <c r="D325" s="79"/>
      <c r="E325" s="79"/>
      <c r="O325" s="79"/>
      <c r="R325" s="79"/>
      <c r="S325" s="79"/>
      <c r="X325" s="79"/>
      <c r="AD325" s="130"/>
      <c r="AF325" s="106"/>
    </row>
    <row r="326">
      <c r="C326" s="79"/>
      <c r="D326" s="79"/>
      <c r="E326" s="79"/>
      <c r="O326" s="79"/>
      <c r="R326" s="79"/>
      <c r="S326" s="79"/>
      <c r="X326" s="79"/>
      <c r="AD326" s="130"/>
      <c r="AF326" s="106"/>
    </row>
    <row r="327">
      <c r="C327" s="79"/>
      <c r="D327" s="79"/>
      <c r="E327" s="79"/>
      <c r="O327" s="79"/>
      <c r="R327" s="79"/>
      <c r="S327" s="79"/>
      <c r="X327" s="79"/>
      <c r="AD327" s="130"/>
      <c r="AF327" s="106"/>
    </row>
    <row r="328">
      <c r="C328" s="79"/>
      <c r="D328" s="79"/>
      <c r="E328" s="79"/>
      <c r="O328" s="79"/>
      <c r="R328" s="79"/>
      <c r="S328" s="79"/>
      <c r="X328" s="79"/>
      <c r="AD328" s="130"/>
      <c r="AF328" s="106"/>
    </row>
    <row r="329">
      <c r="C329" s="79"/>
      <c r="D329" s="79"/>
      <c r="E329" s="79"/>
      <c r="O329" s="79"/>
      <c r="R329" s="79"/>
      <c r="S329" s="79"/>
      <c r="X329" s="79"/>
      <c r="AD329" s="130"/>
      <c r="AF329" s="106"/>
    </row>
    <row r="330">
      <c r="C330" s="79"/>
      <c r="D330" s="79"/>
      <c r="E330" s="79"/>
      <c r="O330" s="79"/>
      <c r="R330" s="79"/>
      <c r="S330" s="79"/>
      <c r="X330" s="79"/>
      <c r="AD330" s="130"/>
      <c r="AF330" s="106"/>
    </row>
    <row r="331">
      <c r="C331" s="79"/>
      <c r="D331" s="79"/>
      <c r="E331" s="79"/>
      <c r="O331" s="79"/>
      <c r="R331" s="79"/>
      <c r="S331" s="79"/>
      <c r="X331" s="79"/>
      <c r="AD331" s="130"/>
      <c r="AF331" s="106"/>
    </row>
    <row r="332">
      <c r="C332" s="79"/>
      <c r="D332" s="79"/>
      <c r="E332" s="79"/>
      <c r="O332" s="79"/>
      <c r="R332" s="79"/>
      <c r="S332" s="79"/>
      <c r="X332" s="79"/>
      <c r="AD332" s="130"/>
      <c r="AF332" s="106"/>
    </row>
    <row r="333">
      <c r="C333" s="79"/>
      <c r="D333" s="79"/>
      <c r="E333" s="79"/>
      <c r="O333" s="79"/>
      <c r="R333" s="79"/>
      <c r="S333" s="79"/>
      <c r="X333" s="79"/>
      <c r="AD333" s="130"/>
      <c r="AF333" s="106"/>
    </row>
    <row r="334">
      <c r="C334" s="79"/>
      <c r="D334" s="79"/>
      <c r="E334" s="79"/>
      <c r="O334" s="79"/>
      <c r="R334" s="79"/>
      <c r="S334" s="79"/>
      <c r="X334" s="79"/>
      <c r="AD334" s="130"/>
      <c r="AF334" s="106"/>
    </row>
    <row r="335">
      <c r="C335" s="79"/>
      <c r="D335" s="79"/>
      <c r="E335" s="79"/>
      <c r="O335" s="79"/>
      <c r="R335" s="79"/>
      <c r="S335" s="79"/>
      <c r="X335" s="79"/>
      <c r="AD335" s="130"/>
      <c r="AF335" s="106"/>
    </row>
    <row r="336">
      <c r="C336" s="79"/>
      <c r="D336" s="79"/>
      <c r="E336" s="79"/>
      <c r="O336" s="79"/>
      <c r="R336" s="79"/>
      <c r="S336" s="79"/>
      <c r="X336" s="79"/>
      <c r="AD336" s="130"/>
      <c r="AF336" s="106"/>
    </row>
    <row r="337">
      <c r="C337" s="79"/>
      <c r="D337" s="79"/>
      <c r="E337" s="79"/>
      <c r="O337" s="79"/>
      <c r="R337" s="79"/>
      <c r="S337" s="79"/>
      <c r="X337" s="79"/>
      <c r="AD337" s="130"/>
      <c r="AF337" s="106"/>
    </row>
    <row r="338">
      <c r="C338" s="79"/>
      <c r="D338" s="79"/>
      <c r="E338" s="79"/>
      <c r="O338" s="79"/>
      <c r="R338" s="79"/>
      <c r="S338" s="79"/>
      <c r="X338" s="79"/>
      <c r="AD338" s="130"/>
      <c r="AF338" s="106"/>
    </row>
    <row r="339">
      <c r="C339" s="79"/>
      <c r="D339" s="79"/>
      <c r="E339" s="79"/>
      <c r="O339" s="79"/>
      <c r="R339" s="79"/>
      <c r="S339" s="79"/>
      <c r="X339" s="79"/>
      <c r="AD339" s="130"/>
      <c r="AF339" s="106"/>
    </row>
    <row r="340">
      <c r="C340" s="79"/>
      <c r="D340" s="79"/>
      <c r="E340" s="79"/>
      <c r="O340" s="79"/>
      <c r="R340" s="79"/>
      <c r="S340" s="79"/>
      <c r="X340" s="79"/>
      <c r="AD340" s="130"/>
      <c r="AF340" s="106"/>
    </row>
    <row r="341">
      <c r="C341" s="79"/>
      <c r="D341" s="79"/>
      <c r="E341" s="79"/>
      <c r="O341" s="79"/>
      <c r="R341" s="79"/>
      <c r="S341" s="79"/>
      <c r="X341" s="79"/>
      <c r="AD341" s="130"/>
      <c r="AF341" s="106"/>
    </row>
    <row r="342">
      <c r="C342" s="79"/>
      <c r="D342" s="79"/>
      <c r="E342" s="79"/>
      <c r="O342" s="79"/>
      <c r="R342" s="79"/>
      <c r="S342" s="79"/>
      <c r="X342" s="79"/>
      <c r="AD342" s="130"/>
      <c r="AF342" s="106"/>
    </row>
    <row r="343">
      <c r="C343" s="79"/>
      <c r="D343" s="79"/>
      <c r="E343" s="79"/>
      <c r="O343" s="79"/>
      <c r="R343" s="79"/>
      <c r="S343" s="79"/>
      <c r="X343" s="79"/>
      <c r="AD343" s="130"/>
      <c r="AF343" s="106"/>
    </row>
    <row r="344">
      <c r="C344" s="79"/>
      <c r="D344" s="79"/>
      <c r="E344" s="79"/>
      <c r="O344" s="79"/>
      <c r="R344" s="79"/>
      <c r="S344" s="79"/>
      <c r="X344" s="79"/>
      <c r="AD344" s="130"/>
      <c r="AF344" s="106"/>
    </row>
    <row r="345">
      <c r="C345" s="79"/>
      <c r="D345" s="79"/>
      <c r="E345" s="79"/>
      <c r="O345" s="79"/>
      <c r="R345" s="79"/>
      <c r="S345" s="79"/>
      <c r="X345" s="79"/>
      <c r="AD345" s="130"/>
      <c r="AF345" s="106"/>
    </row>
    <row r="346">
      <c r="C346" s="79"/>
      <c r="D346" s="79"/>
      <c r="E346" s="79"/>
      <c r="O346" s="79"/>
      <c r="R346" s="79"/>
      <c r="S346" s="79"/>
      <c r="X346" s="79"/>
      <c r="AD346" s="130"/>
      <c r="AF346" s="106"/>
    </row>
    <row r="347">
      <c r="C347" s="79"/>
      <c r="D347" s="79"/>
      <c r="E347" s="79"/>
      <c r="O347" s="79"/>
      <c r="R347" s="79"/>
      <c r="S347" s="79"/>
      <c r="X347" s="79"/>
      <c r="AD347" s="130"/>
      <c r="AF347" s="106"/>
    </row>
    <row r="348">
      <c r="C348" s="79"/>
      <c r="D348" s="79"/>
      <c r="E348" s="79"/>
      <c r="O348" s="79"/>
      <c r="R348" s="79"/>
      <c r="S348" s="79"/>
      <c r="X348" s="79"/>
      <c r="AD348" s="130"/>
      <c r="AF348" s="106"/>
    </row>
    <row r="349">
      <c r="C349" s="79"/>
      <c r="D349" s="79"/>
      <c r="E349" s="79"/>
      <c r="O349" s="79"/>
      <c r="R349" s="79"/>
      <c r="S349" s="79"/>
      <c r="X349" s="79"/>
      <c r="AD349" s="130"/>
      <c r="AF349" s="106"/>
    </row>
    <row r="350">
      <c r="C350" s="79"/>
      <c r="D350" s="79"/>
      <c r="E350" s="79"/>
      <c r="O350" s="79"/>
      <c r="R350" s="79"/>
      <c r="S350" s="79"/>
      <c r="X350" s="79"/>
      <c r="AD350" s="130"/>
      <c r="AF350" s="106"/>
    </row>
    <row r="351">
      <c r="C351" s="79"/>
      <c r="D351" s="79"/>
      <c r="E351" s="79"/>
      <c r="O351" s="79"/>
      <c r="R351" s="79"/>
      <c r="S351" s="79"/>
      <c r="X351" s="79"/>
      <c r="AD351" s="130"/>
      <c r="AF351" s="106"/>
    </row>
    <row r="352">
      <c r="C352" s="79"/>
      <c r="D352" s="79"/>
      <c r="E352" s="79"/>
      <c r="O352" s="79"/>
      <c r="R352" s="79"/>
      <c r="S352" s="79"/>
      <c r="X352" s="79"/>
      <c r="AD352" s="130"/>
      <c r="AF352" s="106"/>
    </row>
    <row r="353">
      <c r="C353" s="79"/>
      <c r="D353" s="79"/>
      <c r="E353" s="79"/>
      <c r="O353" s="79"/>
      <c r="R353" s="79"/>
      <c r="S353" s="79"/>
      <c r="X353" s="79"/>
      <c r="AD353" s="130"/>
      <c r="AF353" s="106"/>
    </row>
    <row r="354">
      <c r="C354" s="79"/>
      <c r="D354" s="79"/>
      <c r="E354" s="79"/>
      <c r="O354" s="79"/>
      <c r="R354" s="79"/>
      <c r="S354" s="79"/>
      <c r="X354" s="79"/>
      <c r="AD354" s="130"/>
      <c r="AF354" s="106"/>
    </row>
    <row r="355">
      <c r="C355" s="79"/>
      <c r="D355" s="79"/>
      <c r="E355" s="79"/>
      <c r="O355" s="79"/>
      <c r="R355" s="79"/>
      <c r="S355" s="79"/>
      <c r="X355" s="79"/>
      <c r="AD355" s="130"/>
      <c r="AF355" s="106"/>
    </row>
    <row r="356">
      <c r="C356" s="79"/>
      <c r="D356" s="79"/>
      <c r="E356" s="79"/>
      <c r="O356" s="79"/>
      <c r="R356" s="79"/>
      <c r="S356" s="79"/>
      <c r="X356" s="79"/>
      <c r="AD356" s="130"/>
      <c r="AF356" s="106"/>
    </row>
    <row r="357">
      <c r="C357" s="79"/>
      <c r="D357" s="79"/>
      <c r="E357" s="79"/>
      <c r="O357" s="79"/>
      <c r="R357" s="79"/>
      <c r="S357" s="79"/>
      <c r="X357" s="79"/>
      <c r="AD357" s="130"/>
      <c r="AF357" s="106"/>
    </row>
    <row r="358">
      <c r="C358" s="79"/>
      <c r="D358" s="79"/>
      <c r="E358" s="79"/>
      <c r="O358" s="79"/>
      <c r="R358" s="79"/>
      <c r="S358" s="79"/>
      <c r="X358" s="79"/>
      <c r="AD358" s="130"/>
      <c r="AF358" s="106"/>
    </row>
    <row r="359">
      <c r="C359" s="79"/>
      <c r="D359" s="79"/>
      <c r="E359" s="79"/>
      <c r="O359" s="79"/>
      <c r="R359" s="79"/>
      <c r="S359" s="79"/>
      <c r="X359" s="79"/>
      <c r="AD359" s="130"/>
      <c r="AF359" s="106"/>
    </row>
    <row r="360">
      <c r="C360" s="79"/>
      <c r="D360" s="79"/>
      <c r="E360" s="79"/>
      <c r="O360" s="79"/>
      <c r="R360" s="79"/>
      <c r="S360" s="79"/>
      <c r="X360" s="79"/>
      <c r="AD360" s="130"/>
      <c r="AF360" s="106"/>
    </row>
    <row r="361">
      <c r="C361" s="79"/>
      <c r="D361" s="79"/>
      <c r="E361" s="79"/>
      <c r="O361" s="79"/>
      <c r="R361" s="79"/>
      <c r="S361" s="79"/>
      <c r="X361" s="79"/>
      <c r="AD361" s="130"/>
      <c r="AF361" s="106"/>
    </row>
    <row r="362">
      <c r="C362" s="79"/>
      <c r="D362" s="79"/>
      <c r="E362" s="79"/>
      <c r="O362" s="79"/>
      <c r="R362" s="79"/>
      <c r="S362" s="79"/>
      <c r="X362" s="79"/>
      <c r="AD362" s="130"/>
      <c r="AF362" s="106"/>
    </row>
    <row r="363">
      <c r="C363" s="79"/>
      <c r="D363" s="79"/>
      <c r="E363" s="79"/>
      <c r="O363" s="79"/>
      <c r="R363" s="79"/>
      <c r="S363" s="79"/>
      <c r="X363" s="79"/>
      <c r="AD363" s="130"/>
      <c r="AF363" s="106"/>
    </row>
    <row r="364">
      <c r="C364" s="79"/>
      <c r="D364" s="79"/>
      <c r="E364" s="79"/>
      <c r="O364" s="79"/>
      <c r="R364" s="79"/>
      <c r="S364" s="79"/>
      <c r="X364" s="79"/>
      <c r="AD364" s="130"/>
      <c r="AF364" s="106"/>
    </row>
    <row r="365">
      <c r="C365" s="79"/>
      <c r="D365" s="79"/>
      <c r="E365" s="79"/>
      <c r="O365" s="79"/>
      <c r="R365" s="79"/>
      <c r="S365" s="79"/>
      <c r="X365" s="79"/>
      <c r="AD365" s="130"/>
      <c r="AF365" s="106"/>
    </row>
    <row r="366">
      <c r="C366" s="79"/>
      <c r="D366" s="79"/>
      <c r="E366" s="79"/>
      <c r="O366" s="79"/>
      <c r="R366" s="79"/>
      <c r="S366" s="79"/>
      <c r="X366" s="79"/>
      <c r="AD366" s="130"/>
      <c r="AF366" s="106"/>
    </row>
    <row r="367">
      <c r="C367" s="79"/>
      <c r="D367" s="79"/>
      <c r="E367" s="79"/>
      <c r="O367" s="79"/>
      <c r="R367" s="79"/>
      <c r="S367" s="79"/>
      <c r="X367" s="79"/>
      <c r="AD367" s="130"/>
      <c r="AF367" s="106"/>
    </row>
    <row r="368">
      <c r="C368" s="79"/>
      <c r="D368" s="79"/>
      <c r="E368" s="79"/>
      <c r="O368" s="79"/>
      <c r="R368" s="79"/>
      <c r="S368" s="79"/>
      <c r="X368" s="79"/>
      <c r="AD368" s="130"/>
      <c r="AF368" s="106"/>
    </row>
    <row r="369">
      <c r="C369" s="79"/>
      <c r="D369" s="79"/>
      <c r="E369" s="79"/>
      <c r="O369" s="79"/>
      <c r="R369" s="79"/>
      <c r="S369" s="79"/>
      <c r="X369" s="79"/>
      <c r="AD369" s="130"/>
      <c r="AF369" s="106"/>
    </row>
    <row r="370">
      <c r="C370" s="79"/>
      <c r="D370" s="79"/>
      <c r="E370" s="79"/>
      <c r="O370" s="79"/>
      <c r="R370" s="79"/>
      <c r="S370" s="79"/>
      <c r="X370" s="79"/>
      <c r="AD370" s="130"/>
      <c r="AF370" s="106"/>
    </row>
    <row r="371">
      <c r="C371" s="79"/>
      <c r="D371" s="79"/>
      <c r="E371" s="79"/>
      <c r="O371" s="79"/>
      <c r="R371" s="79"/>
      <c r="S371" s="79"/>
      <c r="X371" s="79"/>
      <c r="AD371" s="130"/>
      <c r="AF371" s="106"/>
    </row>
    <row r="372">
      <c r="C372" s="79"/>
      <c r="D372" s="79"/>
      <c r="E372" s="79"/>
      <c r="O372" s="79"/>
      <c r="R372" s="79"/>
      <c r="S372" s="79"/>
      <c r="X372" s="79"/>
      <c r="AD372" s="130"/>
      <c r="AF372" s="106"/>
    </row>
    <row r="373">
      <c r="C373" s="79"/>
      <c r="D373" s="79"/>
      <c r="E373" s="79"/>
      <c r="O373" s="79"/>
      <c r="R373" s="79"/>
      <c r="S373" s="79"/>
      <c r="X373" s="79"/>
      <c r="AD373" s="130"/>
      <c r="AF373" s="106"/>
    </row>
    <row r="374">
      <c r="C374" s="79"/>
      <c r="D374" s="79"/>
      <c r="E374" s="79"/>
      <c r="O374" s="79"/>
      <c r="R374" s="79"/>
      <c r="S374" s="79"/>
      <c r="X374" s="79"/>
      <c r="AD374" s="130"/>
      <c r="AF374" s="106"/>
    </row>
    <row r="375">
      <c r="C375" s="79"/>
      <c r="D375" s="79"/>
      <c r="E375" s="79"/>
      <c r="O375" s="79"/>
      <c r="R375" s="79"/>
      <c r="S375" s="79"/>
      <c r="X375" s="79"/>
      <c r="AD375" s="130"/>
      <c r="AF375" s="106"/>
    </row>
    <row r="376">
      <c r="C376" s="79"/>
      <c r="D376" s="79"/>
      <c r="E376" s="79"/>
      <c r="O376" s="79"/>
      <c r="R376" s="79"/>
      <c r="S376" s="79"/>
      <c r="X376" s="79"/>
      <c r="AD376" s="130"/>
      <c r="AF376" s="106"/>
    </row>
    <row r="377">
      <c r="C377" s="79"/>
      <c r="D377" s="79"/>
      <c r="E377" s="79"/>
      <c r="O377" s="79"/>
      <c r="R377" s="79"/>
      <c r="S377" s="79"/>
      <c r="X377" s="79"/>
      <c r="AD377" s="130"/>
      <c r="AF377" s="106"/>
    </row>
    <row r="378">
      <c r="C378" s="79"/>
      <c r="D378" s="79"/>
      <c r="E378" s="79"/>
      <c r="O378" s="79"/>
      <c r="R378" s="79"/>
      <c r="S378" s="79"/>
      <c r="X378" s="79"/>
      <c r="AD378" s="130"/>
      <c r="AF378" s="106"/>
    </row>
    <row r="379">
      <c r="C379" s="79"/>
      <c r="D379" s="79"/>
      <c r="E379" s="79"/>
      <c r="O379" s="79"/>
      <c r="R379" s="79"/>
      <c r="S379" s="79"/>
      <c r="X379" s="79"/>
      <c r="AD379" s="130"/>
      <c r="AF379" s="106"/>
    </row>
    <row r="380">
      <c r="C380" s="79"/>
      <c r="D380" s="79"/>
      <c r="E380" s="79"/>
      <c r="O380" s="79"/>
      <c r="R380" s="79"/>
      <c r="S380" s="79"/>
      <c r="X380" s="79"/>
      <c r="AD380" s="130"/>
      <c r="AF380" s="106"/>
    </row>
    <row r="381">
      <c r="C381" s="79"/>
      <c r="D381" s="79"/>
      <c r="E381" s="79"/>
      <c r="O381" s="79"/>
      <c r="R381" s="79"/>
      <c r="S381" s="79"/>
      <c r="X381" s="79"/>
      <c r="AD381" s="130"/>
      <c r="AF381" s="106"/>
    </row>
    <row r="382">
      <c r="C382" s="79"/>
      <c r="D382" s="79"/>
      <c r="E382" s="79"/>
      <c r="O382" s="79"/>
      <c r="R382" s="79"/>
      <c r="S382" s="79"/>
      <c r="X382" s="79"/>
      <c r="AD382" s="130"/>
      <c r="AF382" s="106"/>
    </row>
    <row r="383">
      <c r="C383" s="79"/>
      <c r="D383" s="79"/>
      <c r="E383" s="79"/>
      <c r="O383" s="79"/>
      <c r="R383" s="79"/>
      <c r="S383" s="79"/>
      <c r="X383" s="79"/>
      <c r="AD383" s="130"/>
      <c r="AF383" s="106"/>
    </row>
    <row r="384">
      <c r="C384" s="79"/>
      <c r="D384" s="79"/>
      <c r="E384" s="79"/>
      <c r="O384" s="79"/>
      <c r="R384" s="79"/>
      <c r="S384" s="79"/>
      <c r="X384" s="79"/>
      <c r="AD384" s="130"/>
      <c r="AF384" s="106"/>
    </row>
    <row r="385">
      <c r="C385" s="79"/>
      <c r="D385" s="79"/>
      <c r="E385" s="79"/>
      <c r="O385" s="79"/>
      <c r="R385" s="79"/>
      <c r="S385" s="79"/>
      <c r="X385" s="79"/>
      <c r="AD385" s="130"/>
      <c r="AF385" s="106"/>
    </row>
    <row r="386">
      <c r="C386" s="79"/>
      <c r="D386" s="79"/>
      <c r="E386" s="79"/>
      <c r="O386" s="79"/>
      <c r="R386" s="79"/>
      <c r="S386" s="79"/>
      <c r="X386" s="79"/>
      <c r="AD386" s="130"/>
      <c r="AF386" s="106"/>
    </row>
    <row r="387">
      <c r="C387" s="79"/>
      <c r="D387" s="79"/>
      <c r="E387" s="79"/>
      <c r="O387" s="79"/>
      <c r="R387" s="79"/>
      <c r="S387" s="79"/>
      <c r="X387" s="79"/>
      <c r="AD387" s="130"/>
      <c r="AF387" s="106"/>
    </row>
    <row r="388">
      <c r="C388" s="79"/>
      <c r="D388" s="79"/>
      <c r="E388" s="79"/>
      <c r="O388" s="79"/>
      <c r="R388" s="79"/>
      <c r="S388" s="79"/>
      <c r="X388" s="79"/>
      <c r="AD388" s="130"/>
      <c r="AF388" s="106"/>
    </row>
    <row r="389">
      <c r="C389" s="79"/>
      <c r="D389" s="79"/>
      <c r="E389" s="79"/>
      <c r="O389" s="79"/>
      <c r="R389" s="79"/>
      <c r="S389" s="79"/>
      <c r="X389" s="79"/>
      <c r="AD389" s="130"/>
      <c r="AF389" s="106"/>
    </row>
    <row r="390">
      <c r="C390" s="79"/>
      <c r="D390" s="79"/>
      <c r="E390" s="79"/>
      <c r="O390" s="79"/>
      <c r="R390" s="79"/>
      <c r="S390" s="79"/>
      <c r="X390" s="79"/>
      <c r="AD390" s="130"/>
      <c r="AF390" s="106"/>
    </row>
    <row r="391">
      <c r="C391" s="79"/>
      <c r="D391" s="79"/>
      <c r="E391" s="79"/>
      <c r="O391" s="79"/>
      <c r="R391" s="79"/>
      <c r="S391" s="79"/>
      <c r="X391" s="79"/>
      <c r="AD391" s="130"/>
      <c r="AF391" s="106"/>
    </row>
    <row r="392">
      <c r="C392" s="79"/>
      <c r="D392" s="79"/>
      <c r="E392" s="79"/>
      <c r="O392" s="79"/>
      <c r="R392" s="79"/>
      <c r="S392" s="79"/>
      <c r="X392" s="79"/>
      <c r="AD392" s="130"/>
      <c r="AF392" s="106"/>
    </row>
    <row r="393">
      <c r="C393" s="79"/>
      <c r="D393" s="79"/>
      <c r="E393" s="79"/>
      <c r="O393" s="79"/>
      <c r="R393" s="79"/>
      <c r="S393" s="79"/>
      <c r="X393" s="79"/>
      <c r="AD393" s="130"/>
      <c r="AF393" s="106"/>
    </row>
    <row r="394">
      <c r="C394" s="79"/>
      <c r="D394" s="79"/>
      <c r="E394" s="79"/>
      <c r="O394" s="79"/>
      <c r="R394" s="79"/>
      <c r="S394" s="79"/>
      <c r="X394" s="79"/>
      <c r="AD394" s="130"/>
      <c r="AF394" s="106"/>
    </row>
    <row r="395">
      <c r="C395" s="79"/>
      <c r="D395" s="79"/>
      <c r="E395" s="79"/>
      <c r="O395" s="79"/>
      <c r="R395" s="79"/>
      <c r="S395" s="79"/>
      <c r="X395" s="79"/>
      <c r="AD395" s="130"/>
      <c r="AF395" s="106"/>
    </row>
    <row r="396">
      <c r="C396" s="79"/>
      <c r="D396" s="79"/>
      <c r="E396" s="79"/>
      <c r="O396" s="79"/>
      <c r="R396" s="79"/>
      <c r="S396" s="79"/>
      <c r="X396" s="79"/>
      <c r="AD396" s="130"/>
      <c r="AF396" s="106"/>
    </row>
    <row r="397">
      <c r="C397" s="79"/>
      <c r="D397" s="79"/>
      <c r="E397" s="79"/>
      <c r="O397" s="79"/>
      <c r="R397" s="79"/>
      <c r="S397" s="79"/>
      <c r="X397" s="79"/>
      <c r="AD397" s="130"/>
      <c r="AF397" s="106"/>
    </row>
    <row r="398">
      <c r="C398" s="79"/>
      <c r="D398" s="79"/>
      <c r="E398" s="79"/>
      <c r="O398" s="79"/>
      <c r="R398" s="79"/>
      <c r="S398" s="79"/>
      <c r="X398" s="79"/>
      <c r="AD398" s="130"/>
      <c r="AF398" s="106"/>
    </row>
    <row r="399">
      <c r="C399" s="79"/>
      <c r="D399" s="79"/>
      <c r="E399" s="79"/>
      <c r="O399" s="79"/>
      <c r="R399" s="79"/>
      <c r="S399" s="79"/>
      <c r="X399" s="79"/>
      <c r="AD399" s="130"/>
      <c r="AF399" s="106"/>
    </row>
    <row r="400">
      <c r="C400" s="79"/>
      <c r="D400" s="79"/>
      <c r="E400" s="79"/>
      <c r="O400" s="79"/>
      <c r="R400" s="79"/>
      <c r="S400" s="79"/>
      <c r="X400" s="79"/>
      <c r="AD400" s="130"/>
      <c r="AF400" s="106"/>
    </row>
    <row r="401">
      <c r="C401" s="79"/>
      <c r="D401" s="79"/>
      <c r="E401" s="79"/>
      <c r="O401" s="79"/>
      <c r="R401" s="79"/>
      <c r="S401" s="79"/>
      <c r="X401" s="79"/>
      <c r="AD401" s="130"/>
      <c r="AF401" s="106"/>
    </row>
    <row r="402">
      <c r="C402" s="79"/>
      <c r="D402" s="79"/>
      <c r="E402" s="79"/>
      <c r="O402" s="79"/>
      <c r="R402" s="79"/>
      <c r="S402" s="79"/>
      <c r="X402" s="79"/>
      <c r="AD402" s="130"/>
      <c r="AF402" s="106"/>
    </row>
    <row r="403">
      <c r="C403" s="79"/>
      <c r="D403" s="79"/>
      <c r="E403" s="79"/>
      <c r="O403" s="79"/>
      <c r="R403" s="79"/>
      <c r="S403" s="79"/>
      <c r="X403" s="79"/>
      <c r="AD403" s="130"/>
      <c r="AF403" s="106"/>
    </row>
    <row r="404">
      <c r="C404" s="79"/>
      <c r="D404" s="79"/>
      <c r="E404" s="79"/>
      <c r="O404" s="79"/>
      <c r="R404" s="79"/>
      <c r="S404" s="79"/>
      <c r="X404" s="79"/>
      <c r="AD404" s="130"/>
      <c r="AF404" s="106"/>
    </row>
    <row r="405">
      <c r="C405" s="79"/>
      <c r="D405" s="79"/>
      <c r="E405" s="79"/>
      <c r="O405" s="79"/>
      <c r="R405" s="79"/>
      <c r="S405" s="79"/>
      <c r="X405" s="79"/>
      <c r="AD405" s="130"/>
      <c r="AF405" s="106"/>
    </row>
    <row r="406">
      <c r="C406" s="79"/>
      <c r="D406" s="79"/>
      <c r="E406" s="79"/>
      <c r="O406" s="79"/>
      <c r="R406" s="79"/>
      <c r="S406" s="79"/>
      <c r="X406" s="79"/>
      <c r="AD406" s="130"/>
      <c r="AF406" s="106"/>
    </row>
    <row r="407">
      <c r="C407" s="79"/>
      <c r="D407" s="79"/>
      <c r="E407" s="79"/>
      <c r="O407" s="79"/>
      <c r="R407" s="79"/>
      <c r="S407" s="79"/>
      <c r="X407" s="79"/>
      <c r="AD407" s="130"/>
      <c r="AF407" s="106"/>
    </row>
    <row r="408">
      <c r="C408" s="79"/>
      <c r="D408" s="79"/>
      <c r="E408" s="79"/>
      <c r="O408" s="79"/>
      <c r="R408" s="79"/>
      <c r="S408" s="79"/>
      <c r="X408" s="79"/>
      <c r="AD408" s="130"/>
      <c r="AF408" s="106"/>
    </row>
    <row r="409">
      <c r="C409" s="79"/>
      <c r="D409" s="79"/>
      <c r="E409" s="79"/>
      <c r="O409" s="79"/>
      <c r="R409" s="79"/>
      <c r="S409" s="79"/>
      <c r="X409" s="79"/>
      <c r="AD409" s="130"/>
      <c r="AF409" s="106"/>
    </row>
    <row r="410">
      <c r="C410" s="79"/>
      <c r="D410" s="79"/>
      <c r="E410" s="79"/>
      <c r="O410" s="79"/>
      <c r="R410" s="79"/>
      <c r="S410" s="79"/>
      <c r="X410" s="79"/>
      <c r="AD410" s="130"/>
      <c r="AF410" s="106"/>
    </row>
    <row r="411">
      <c r="C411" s="79"/>
      <c r="D411" s="79"/>
      <c r="E411" s="79"/>
      <c r="O411" s="79"/>
      <c r="R411" s="79"/>
      <c r="S411" s="79"/>
      <c r="X411" s="79"/>
      <c r="AD411" s="130"/>
      <c r="AF411" s="106"/>
    </row>
    <row r="412">
      <c r="C412" s="79"/>
      <c r="D412" s="79"/>
      <c r="E412" s="79"/>
      <c r="O412" s="79"/>
      <c r="R412" s="79"/>
      <c r="S412" s="79"/>
      <c r="X412" s="79"/>
      <c r="AD412" s="130"/>
      <c r="AF412" s="106"/>
    </row>
    <row r="413">
      <c r="C413" s="79"/>
      <c r="D413" s="79"/>
      <c r="E413" s="79"/>
      <c r="O413" s="79"/>
      <c r="R413" s="79"/>
      <c r="S413" s="79"/>
      <c r="X413" s="79"/>
      <c r="AD413" s="130"/>
      <c r="AF413" s="106"/>
    </row>
    <row r="414">
      <c r="C414" s="79"/>
      <c r="D414" s="79"/>
      <c r="E414" s="79"/>
      <c r="O414" s="79"/>
      <c r="R414" s="79"/>
      <c r="S414" s="79"/>
      <c r="X414" s="79"/>
      <c r="AD414" s="130"/>
      <c r="AF414" s="106"/>
    </row>
    <row r="415">
      <c r="C415" s="79"/>
      <c r="D415" s="79"/>
      <c r="E415" s="79"/>
      <c r="O415" s="79"/>
      <c r="R415" s="79"/>
      <c r="S415" s="79"/>
      <c r="X415" s="79"/>
      <c r="AD415" s="130"/>
      <c r="AF415" s="106"/>
    </row>
    <row r="416">
      <c r="C416" s="79"/>
      <c r="D416" s="79"/>
      <c r="E416" s="79"/>
      <c r="O416" s="79"/>
      <c r="R416" s="79"/>
      <c r="S416" s="79"/>
      <c r="X416" s="79"/>
      <c r="AD416" s="130"/>
      <c r="AF416" s="106"/>
    </row>
    <row r="417">
      <c r="C417" s="79"/>
      <c r="D417" s="79"/>
      <c r="E417" s="79"/>
      <c r="O417" s="79"/>
      <c r="R417" s="79"/>
      <c r="S417" s="79"/>
      <c r="X417" s="79"/>
      <c r="AD417" s="130"/>
      <c r="AF417" s="106"/>
    </row>
    <row r="418">
      <c r="C418" s="79"/>
      <c r="D418" s="79"/>
      <c r="E418" s="79"/>
      <c r="O418" s="79"/>
      <c r="R418" s="79"/>
      <c r="S418" s="79"/>
      <c r="X418" s="79"/>
      <c r="AD418" s="130"/>
      <c r="AF418" s="106"/>
    </row>
    <row r="419">
      <c r="C419" s="79"/>
      <c r="D419" s="79"/>
      <c r="E419" s="79"/>
      <c r="O419" s="79"/>
      <c r="R419" s="79"/>
      <c r="S419" s="79"/>
      <c r="X419" s="79"/>
      <c r="AD419" s="130"/>
      <c r="AF419" s="106"/>
    </row>
    <row r="420">
      <c r="C420" s="79"/>
      <c r="D420" s="79"/>
      <c r="E420" s="79"/>
      <c r="O420" s="79"/>
      <c r="R420" s="79"/>
      <c r="S420" s="79"/>
      <c r="X420" s="79"/>
      <c r="AD420" s="130"/>
      <c r="AF420" s="106"/>
    </row>
    <row r="421">
      <c r="C421" s="79"/>
      <c r="D421" s="79"/>
      <c r="E421" s="79"/>
      <c r="O421" s="79"/>
      <c r="R421" s="79"/>
      <c r="S421" s="79"/>
      <c r="X421" s="79"/>
      <c r="AD421" s="130"/>
      <c r="AF421" s="106"/>
    </row>
    <row r="422">
      <c r="C422" s="79"/>
      <c r="D422" s="79"/>
      <c r="E422" s="79"/>
      <c r="O422" s="79"/>
      <c r="R422" s="79"/>
      <c r="S422" s="79"/>
      <c r="X422" s="79"/>
      <c r="AD422" s="130"/>
      <c r="AF422" s="106"/>
    </row>
    <row r="423">
      <c r="C423" s="79"/>
      <c r="D423" s="79"/>
      <c r="E423" s="79"/>
      <c r="O423" s="79"/>
      <c r="R423" s="79"/>
      <c r="S423" s="79"/>
      <c r="X423" s="79"/>
      <c r="AD423" s="130"/>
      <c r="AF423" s="106"/>
    </row>
    <row r="424">
      <c r="C424" s="79"/>
      <c r="D424" s="79"/>
      <c r="E424" s="79"/>
      <c r="O424" s="79"/>
      <c r="R424" s="79"/>
      <c r="S424" s="79"/>
      <c r="X424" s="79"/>
      <c r="AD424" s="130"/>
      <c r="AF424" s="106"/>
    </row>
    <row r="425">
      <c r="C425" s="79"/>
      <c r="D425" s="79"/>
      <c r="E425" s="79"/>
      <c r="O425" s="79"/>
      <c r="R425" s="79"/>
      <c r="S425" s="79"/>
      <c r="X425" s="79"/>
      <c r="AD425" s="130"/>
      <c r="AF425" s="106"/>
    </row>
    <row r="426">
      <c r="C426" s="79"/>
      <c r="D426" s="79"/>
      <c r="E426" s="79"/>
      <c r="O426" s="79"/>
      <c r="R426" s="79"/>
      <c r="S426" s="79"/>
      <c r="X426" s="79"/>
      <c r="AD426" s="130"/>
      <c r="AF426" s="106"/>
    </row>
    <row r="427">
      <c r="C427" s="79"/>
      <c r="D427" s="79"/>
      <c r="E427" s="79"/>
      <c r="O427" s="79"/>
      <c r="R427" s="79"/>
      <c r="S427" s="79"/>
      <c r="X427" s="79"/>
      <c r="AD427" s="130"/>
      <c r="AF427" s="106"/>
    </row>
    <row r="428">
      <c r="C428" s="79"/>
      <c r="D428" s="79"/>
      <c r="E428" s="79"/>
      <c r="O428" s="79"/>
      <c r="R428" s="79"/>
      <c r="S428" s="79"/>
      <c r="X428" s="79"/>
      <c r="AD428" s="130"/>
      <c r="AF428" s="106"/>
    </row>
    <row r="429">
      <c r="C429" s="79"/>
      <c r="D429" s="79"/>
      <c r="E429" s="79"/>
      <c r="O429" s="79"/>
      <c r="R429" s="79"/>
      <c r="S429" s="79"/>
      <c r="X429" s="79"/>
      <c r="AD429" s="130"/>
      <c r="AF429" s="106"/>
    </row>
    <row r="430">
      <c r="C430" s="79"/>
      <c r="D430" s="79"/>
      <c r="E430" s="79"/>
      <c r="O430" s="79"/>
      <c r="R430" s="79"/>
      <c r="S430" s="79"/>
      <c r="X430" s="79"/>
      <c r="AD430" s="130"/>
      <c r="AF430" s="106"/>
    </row>
    <row r="431">
      <c r="C431" s="79"/>
      <c r="D431" s="79"/>
      <c r="E431" s="79"/>
      <c r="O431" s="79"/>
      <c r="R431" s="79"/>
      <c r="S431" s="79"/>
      <c r="X431" s="79"/>
      <c r="AD431" s="130"/>
      <c r="AF431" s="106"/>
    </row>
    <row r="432">
      <c r="C432" s="79"/>
      <c r="D432" s="79"/>
      <c r="E432" s="79"/>
      <c r="O432" s="79"/>
      <c r="R432" s="79"/>
      <c r="S432" s="79"/>
      <c r="X432" s="79"/>
      <c r="AD432" s="130"/>
      <c r="AF432" s="106"/>
    </row>
    <row r="433">
      <c r="C433" s="79"/>
      <c r="D433" s="79"/>
      <c r="E433" s="79"/>
      <c r="O433" s="79"/>
      <c r="R433" s="79"/>
      <c r="S433" s="79"/>
      <c r="X433" s="79"/>
      <c r="AD433" s="130"/>
      <c r="AF433" s="106"/>
    </row>
    <row r="434">
      <c r="C434" s="79"/>
      <c r="D434" s="79"/>
      <c r="E434" s="79"/>
      <c r="O434" s="79"/>
      <c r="R434" s="79"/>
      <c r="S434" s="79"/>
      <c r="X434" s="79"/>
      <c r="AD434" s="130"/>
      <c r="AF434" s="106"/>
    </row>
    <row r="435">
      <c r="C435" s="79"/>
      <c r="D435" s="79"/>
      <c r="E435" s="79"/>
      <c r="O435" s="79"/>
      <c r="R435" s="79"/>
      <c r="S435" s="79"/>
      <c r="X435" s="79"/>
      <c r="AD435" s="130"/>
      <c r="AF435" s="106"/>
    </row>
    <row r="436">
      <c r="C436" s="79"/>
      <c r="D436" s="79"/>
      <c r="E436" s="79"/>
      <c r="O436" s="79"/>
      <c r="R436" s="79"/>
      <c r="S436" s="79"/>
      <c r="X436" s="79"/>
      <c r="AD436" s="130"/>
      <c r="AF436" s="106"/>
    </row>
    <row r="437">
      <c r="C437" s="79"/>
      <c r="D437" s="79"/>
      <c r="E437" s="79"/>
      <c r="O437" s="79"/>
      <c r="R437" s="79"/>
      <c r="S437" s="79"/>
      <c r="X437" s="79"/>
      <c r="AD437" s="130"/>
      <c r="AF437" s="106"/>
    </row>
    <row r="438">
      <c r="C438" s="79"/>
      <c r="D438" s="79"/>
      <c r="E438" s="79"/>
      <c r="O438" s="79"/>
      <c r="R438" s="79"/>
      <c r="S438" s="79"/>
      <c r="X438" s="79"/>
      <c r="AD438" s="130"/>
      <c r="AF438" s="106"/>
    </row>
    <row r="439">
      <c r="C439" s="79"/>
      <c r="D439" s="79"/>
      <c r="E439" s="79"/>
      <c r="O439" s="79"/>
      <c r="R439" s="79"/>
      <c r="S439" s="79"/>
      <c r="X439" s="79"/>
      <c r="AD439" s="130"/>
      <c r="AF439" s="106"/>
    </row>
    <row r="440">
      <c r="C440" s="79"/>
      <c r="D440" s="79"/>
      <c r="E440" s="79"/>
      <c r="O440" s="79"/>
      <c r="R440" s="79"/>
      <c r="S440" s="79"/>
      <c r="X440" s="79"/>
      <c r="AD440" s="130"/>
      <c r="AF440" s="106"/>
    </row>
    <row r="441">
      <c r="C441" s="79"/>
      <c r="D441" s="79"/>
      <c r="E441" s="79"/>
      <c r="O441" s="79"/>
      <c r="R441" s="79"/>
      <c r="S441" s="79"/>
      <c r="X441" s="79"/>
      <c r="AD441" s="130"/>
      <c r="AF441" s="106"/>
    </row>
    <row r="442">
      <c r="C442" s="79"/>
      <c r="D442" s="79"/>
      <c r="E442" s="79"/>
      <c r="O442" s="79"/>
      <c r="R442" s="79"/>
      <c r="S442" s="79"/>
      <c r="X442" s="79"/>
      <c r="AD442" s="130"/>
      <c r="AF442" s="106"/>
    </row>
    <row r="443">
      <c r="C443" s="79"/>
      <c r="D443" s="79"/>
      <c r="E443" s="79"/>
      <c r="O443" s="79"/>
      <c r="R443" s="79"/>
      <c r="S443" s="79"/>
      <c r="X443" s="79"/>
      <c r="AD443" s="130"/>
      <c r="AF443" s="106"/>
    </row>
    <row r="444">
      <c r="C444" s="79"/>
      <c r="D444" s="79"/>
      <c r="E444" s="79"/>
      <c r="O444" s="79"/>
      <c r="R444" s="79"/>
      <c r="S444" s="79"/>
      <c r="X444" s="79"/>
      <c r="AD444" s="130"/>
      <c r="AF444" s="106"/>
    </row>
    <row r="445">
      <c r="C445" s="79"/>
      <c r="D445" s="79"/>
      <c r="E445" s="79"/>
      <c r="O445" s="79"/>
      <c r="R445" s="79"/>
      <c r="S445" s="79"/>
      <c r="X445" s="79"/>
      <c r="AD445" s="130"/>
      <c r="AF445" s="106"/>
    </row>
    <row r="446">
      <c r="C446" s="79"/>
      <c r="D446" s="79"/>
      <c r="E446" s="79"/>
      <c r="O446" s="79"/>
      <c r="R446" s="79"/>
      <c r="S446" s="79"/>
      <c r="X446" s="79"/>
      <c r="AD446" s="130"/>
      <c r="AF446" s="106"/>
    </row>
    <row r="447">
      <c r="C447" s="79"/>
      <c r="D447" s="79"/>
      <c r="E447" s="79"/>
      <c r="O447" s="79"/>
      <c r="R447" s="79"/>
      <c r="S447" s="79"/>
      <c r="X447" s="79"/>
      <c r="AD447" s="130"/>
      <c r="AF447" s="106"/>
    </row>
    <row r="448">
      <c r="C448" s="79"/>
      <c r="D448" s="79"/>
      <c r="E448" s="79"/>
      <c r="O448" s="79"/>
      <c r="R448" s="79"/>
      <c r="S448" s="79"/>
      <c r="X448" s="79"/>
      <c r="AD448" s="130"/>
      <c r="AF448" s="106"/>
    </row>
    <row r="449">
      <c r="C449" s="79"/>
      <c r="D449" s="79"/>
      <c r="E449" s="79"/>
      <c r="O449" s="79"/>
      <c r="R449" s="79"/>
      <c r="S449" s="79"/>
      <c r="X449" s="79"/>
      <c r="AD449" s="130"/>
      <c r="AF449" s="106"/>
    </row>
    <row r="450">
      <c r="C450" s="79"/>
      <c r="D450" s="79"/>
      <c r="E450" s="79"/>
      <c r="O450" s="79"/>
      <c r="R450" s="79"/>
      <c r="S450" s="79"/>
      <c r="X450" s="79"/>
      <c r="AD450" s="130"/>
      <c r="AF450" s="106"/>
    </row>
    <row r="451">
      <c r="C451" s="79"/>
      <c r="D451" s="79"/>
      <c r="E451" s="79"/>
      <c r="O451" s="79"/>
      <c r="R451" s="79"/>
      <c r="S451" s="79"/>
      <c r="X451" s="79"/>
      <c r="AD451" s="130"/>
      <c r="AF451" s="106"/>
    </row>
    <row r="452">
      <c r="C452" s="79"/>
      <c r="D452" s="79"/>
      <c r="E452" s="79"/>
      <c r="O452" s="79"/>
      <c r="R452" s="79"/>
      <c r="S452" s="79"/>
      <c r="X452" s="79"/>
      <c r="AD452" s="130"/>
      <c r="AF452" s="106"/>
    </row>
    <row r="453">
      <c r="C453" s="79"/>
      <c r="D453" s="79"/>
      <c r="E453" s="79"/>
      <c r="O453" s="79"/>
      <c r="R453" s="79"/>
      <c r="S453" s="79"/>
      <c r="X453" s="79"/>
      <c r="AD453" s="130"/>
      <c r="AF453" s="106"/>
    </row>
    <row r="454">
      <c r="C454" s="79"/>
      <c r="D454" s="79"/>
      <c r="E454" s="79"/>
      <c r="O454" s="79"/>
      <c r="R454" s="79"/>
      <c r="S454" s="79"/>
      <c r="X454" s="79"/>
      <c r="AD454" s="130"/>
      <c r="AF454" s="106"/>
    </row>
    <row r="455">
      <c r="C455" s="79"/>
      <c r="D455" s="79"/>
      <c r="E455" s="79"/>
      <c r="O455" s="79"/>
      <c r="R455" s="79"/>
      <c r="S455" s="79"/>
      <c r="X455" s="79"/>
      <c r="AD455" s="130"/>
      <c r="AF455" s="106"/>
    </row>
    <row r="456">
      <c r="C456" s="79"/>
      <c r="D456" s="79"/>
      <c r="E456" s="79"/>
      <c r="O456" s="79"/>
      <c r="R456" s="79"/>
      <c r="S456" s="79"/>
      <c r="X456" s="79"/>
      <c r="AD456" s="130"/>
      <c r="AF456" s="106"/>
    </row>
    <row r="457">
      <c r="C457" s="79"/>
      <c r="D457" s="79"/>
      <c r="E457" s="79"/>
      <c r="O457" s="79"/>
      <c r="R457" s="79"/>
      <c r="S457" s="79"/>
      <c r="X457" s="79"/>
      <c r="AD457" s="130"/>
      <c r="AF457" s="106"/>
    </row>
    <row r="458">
      <c r="C458" s="79"/>
      <c r="D458" s="79"/>
      <c r="E458" s="79"/>
      <c r="O458" s="79"/>
      <c r="R458" s="79"/>
      <c r="S458" s="79"/>
      <c r="X458" s="79"/>
      <c r="AD458" s="130"/>
      <c r="AF458" s="106"/>
    </row>
    <row r="459">
      <c r="C459" s="79"/>
      <c r="D459" s="79"/>
      <c r="E459" s="79"/>
      <c r="O459" s="79"/>
      <c r="R459" s="79"/>
      <c r="S459" s="79"/>
      <c r="X459" s="79"/>
      <c r="AD459" s="130"/>
      <c r="AF459" s="106"/>
    </row>
    <row r="460">
      <c r="C460" s="79"/>
      <c r="D460" s="79"/>
      <c r="E460" s="79"/>
      <c r="O460" s="79"/>
      <c r="R460" s="79"/>
      <c r="S460" s="79"/>
      <c r="X460" s="79"/>
      <c r="AD460" s="130"/>
      <c r="AF460" s="106"/>
    </row>
    <row r="461">
      <c r="C461" s="79"/>
      <c r="D461" s="79"/>
      <c r="E461" s="79"/>
      <c r="O461" s="79"/>
      <c r="R461" s="79"/>
      <c r="S461" s="79"/>
      <c r="X461" s="79"/>
      <c r="AD461" s="130"/>
      <c r="AF461" s="106"/>
    </row>
    <row r="462">
      <c r="C462" s="79"/>
      <c r="D462" s="79"/>
      <c r="E462" s="79"/>
      <c r="O462" s="79"/>
      <c r="R462" s="79"/>
      <c r="S462" s="79"/>
      <c r="X462" s="79"/>
      <c r="AD462" s="130"/>
      <c r="AF462" s="106"/>
    </row>
    <row r="463">
      <c r="C463" s="79"/>
      <c r="D463" s="79"/>
      <c r="E463" s="79"/>
      <c r="O463" s="79"/>
      <c r="R463" s="79"/>
      <c r="S463" s="79"/>
      <c r="X463" s="79"/>
      <c r="AD463" s="130"/>
      <c r="AF463" s="106"/>
    </row>
    <row r="464">
      <c r="C464" s="79"/>
      <c r="D464" s="79"/>
      <c r="E464" s="79"/>
      <c r="O464" s="79"/>
      <c r="R464" s="79"/>
      <c r="S464" s="79"/>
      <c r="X464" s="79"/>
      <c r="AD464" s="130"/>
      <c r="AF464" s="106"/>
    </row>
    <row r="465">
      <c r="C465" s="79"/>
      <c r="D465" s="79"/>
      <c r="E465" s="79"/>
      <c r="O465" s="79"/>
      <c r="R465" s="79"/>
      <c r="S465" s="79"/>
      <c r="X465" s="79"/>
      <c r="AD465" s="130"/>
      <c r="AF465" s="106"/>
    </row>
    <row r="466">
      <c r="C466" s="79"/>
      <c r="D466" s="79"/>
      <c r="E466" s="79"/>
      <c r="O466" s="79"/>
      <c r="R466" s="79"/>
      <c r="S466" s="79"/>
      <c r="X466" s="79"/>
      <c r="AD466" s="130"/>
      <c r="AF466" s="106"/>
    </row>
    <row r="467">
      <c r="C467" s="79"/>
      <c r="D467" s="79"/>
      <c r="E467" s="79"/>
      <c r="O467" s="79"/>
      <c r="R467" s="79"/>
      <c r="S467" s="79"/>
      <c r="X467" s="79"/>
      <c r="AD467" s="130"/>
      <c r="AF467" s="106"/>
    </row>
    <row r="468">
      <c r="C468" s="79"/>
      <c r="D468" s="79"/>
      <c r="E468" s="79"/>
      <c r="O468" s="79"/>
      <c r="R468" s="79"/>
      <c r="S468" s="79"/>
      <c r="X468" s="79"/>
      <c r="AD468" s="130"/>
      <c r="AF468" s="106"/>
    </row>
    <row r="469">
      <c r="C469" s="79"/>
      <c r="D469" s="79"/>
      <c r="E469" s="79"/>
      <c r="O469" s="79"/>
      <c r="R469" s="79"/>
      <c r="S469" s="79"/>
      <c r="X469" s="79"/>
      <c r="AD469" s="130"/>
      <c r="AF469" s="106"/>
    </row>
    <row r="470">
      <c r="C470" s="79"/>
      <c r="D470" s="79"/>
      <c r="E470" s="79"/>
      <c r="O470" s="79"/>
      <c r="R470" s="79"/>
      <c r="S470" s="79"/>
      <c r="X470" s="79"/>
      <c r="AD470" s="130"/>
      <c r="AF470" s="106"/>
    </row>
    <row r="471">
      <c r="C471" s="79"/>
      <c r="D471" s="79"/>
      <c r="E471" s="79"/>
      <c r="O471" s="79"/>
      <c r="R471" s="79"/>
      <c r="S471" s="79"/>
      <c r="X471" s="79"/>
      <c r="AD471" s="130"/>
      <c r="AF471" s="106"/>
    </row>
    <row r="472">
      <c r="C472" s="79"/>
      <c r="D472" s="79"/>
      <c r="E472" s="79"/>
      <c r="O472" s="79"/>
      <c r="R472" s="79"/>
      <c r="S472" s="79"/>
      <c r="X472" s="79"/>
      <c r="AD472" s="130"/>
      <c r="AF472" s="106"/>
    </row>
    <row r="473">
      <c r="C473" s="79"/>
      <c r="D473" s="79"/>
      <c r="E473" s="79"/>
      <c r="O473" s="79"/>
      <c r="R473" s="79"/>
      <c r="S473" s="79"/>
      <c r="X473" s="79"/>
      <c r="AD473" s="130"/>
      <c r="AF473" s="106"/>
    </row>
    <row r="474">
      <c r="C474" s="79"/>
      <c r="D474" s="79"/>
      <c r="E474" s="79"/>
      <c r="O474" s="79"/>
      <c r="R474" s="79"/>
      <c r="S474" s="79"/>
      <c r="X474" s="79"/>
      <c r="AD474" s="130"/>
      <c r="AF474" s="106"/>
    </row>
    <row r="475">
      <c r="C475" s="79"/>
      <c r="D475" s="79"/>
      <c r="E475" s="79"/>
      <c r="O475" s="79"/>
      <c r="R475" s="79"/>
      <c r="S475" s="79"/>
      <c r="X475" s="79"/>
      <c r="AD475" s="130"/>
      <c r="AF475" s="106"/>
    </row>
    <row r="476">
      <c r="C476" s="79"/>
      <c r="D476" s="79"/>
      <c r="E476" s="79"/>
      <c r="O476" s="79"/>
      <c r="R476" s="79"/>
      <c r="S476" s="79"/>
      <c r="X476" s="79"/>
      <c r="AD476" s="130"/>
      <c r="AF476" s="106"/>
    </row>
    <row r="477">
      <c r="C477" s="79"/>
      <c r="D477" s="79"/>
      <c r="E477" s="79"/>
      <c r="O477" s="79"/>
      <c r="R477" s="79"/>
      <c r="S477" s="79"/>
      <c r="X477" s="79"/>
      <c r="AD477" s="130"/>
      <c r="AF477" s="106"/>
    </row>
    <row r="478">
      <c r="C478" s="79"/>
      <c r="D478" s="79"/>
      <c r="E478" s="79"/>
      <c r="O478" s="79"/>
      <c r="R478" s="79"/>
      <c r="S478" s="79"/>
      <c r="X478" s="79"/>
      <c r="AD478" s="130"/>
      <c r="AF478" s="106"/>
    </row>
    <row r="479">
      <c r="C479" s="79"/>
      <c r="D479" s="79"/>
      <c r="E479" s="79"/>
      <c r="O479" s="79"/>
      <c r="R479" s="79"/>
      <c r="S479" s="79"/>
      <c r="X479" s="79"/>
      <c r="AD479" s="130"/>
      <c r="AF479" s="106"/>
    </row>
    <row r="480">
      <c r="C480" s="79"/>
      <c r="D480" s="79"/>
      <c r="E480" s="79"/>
      <c r="O480" s="79"/>
      <c r="R480" s="79"/>
      <c r="S480" s="79"/>
      <c r="X480" s="79"/>
      <c r="AD480" s="130"/>
      <c r="AF480" s="106"/>
    </row>
    <row r="481">
      <c r="C481" s="79"/>
      <c r="D481" s="79"/>
      <c r="E481" s="79"/>
      <c r="O481" s="79"/>
      <c r="R481" s="79"/>
      <c r="S481" s="79"/>
      <c r="X481" s="79"/>
      <c r="AD481" s="130"/>
      <c r="AF481" s="106"/>
    </row>
    <row r="482">
      <c r="C482" s="79"/>
      <c r="D482" s="79"/>
      <c r="E482" s="79"/>
      <c r="O482" s="79"/>
      <c r="R482" s="79"/>
      <c r="S482" s="79"/>
      <c r="X482" s="79"/>
      <c r="AD482" s="130"/>
      <c r="AF482" s="106"/>
    </row>
    <row r="483">
      <c r="C483" s="79"/>
      <c r="D483" s="79"/>
      <c r="E483" s="79"/>
      <c r="O483" s="79"/>
      <c r="R483" s="79"/>
      <c r="S483" s="79"/>
      <c r="X483" s="79"/>
      <c r="AD483" s="130"/>
      <c r="AF483" s="106"/>
    </row>
    <row r="484">
      <c r="C484" s="79"/>
      <c r="D484" s="79"/>
      <c r="E484" s="79"/>
      <c r="O484" s="79"/>
      <c r="R484" s="79"/>
      <c r="S484" s="79"/>
      <c r="X484" s="79"/>
      <c r="AD484" s="130"/>
      <c r="AF484" s="106"/>
    </row>
    <row r="485">
      <c r="C485" s="79"/>
      <c r="D485" s="79"/>
      <c r="E485" s="79"/>
      <c r="O485" s="79"/>
      <c r="R485" s="79"/>
      <c r="S485" s="79"/>
      <c r="X485" s="79"/>
      <c r="AD485" s="130"/>
      <c r="AF485" s="106"/>
    </row>
    <row r="486">
      <c r="C486" s="79"/>
      <c r="D486" s="79"/>
      <c r="E486" s="79"/>
      <c r="O486" s="79"/>
      <c r="R486" s="79"/>
      <c r="S486" s="79"/>
      <c r="X486" s="79"/>
      <c r="AD486" s="130"/>
      <c r="AF486" s="106"/>
    </row>
    <row r="487">
      <c r="C487" s="79"/>
      <c r="D487" s="79"/>
      <c r="E487" s="79"/>
      <c r="O487" s="79"/>
      <c r="R487" s="79"/>
      <c r="S487" s="79"/>
      <c r="X487" s="79"/>
      <c r="AD487" s="130"/>
      <c r="AF487" s="106"/>
    </row>
    <row r="488">
      <c r="C488" s="79"/>
      <c r="D488" s="79"/>
      <c r="E488" s="79"/>
      <c r="O488" s="79"/>
      <c r="R488" s="79"/>
      <c r="S488" s="79"/>
      <c r="X488" s="79"/>
      <c r="AD488" s="130"/>
      <c r="AF488" s="106"/>
    </row>
    <row r="489">
      <c r="C489" s="79"/>
      <c r="D489" s="79"/>
      <c r="E489" s="79"/>
      <c r="O489" s="79"/>
      <c r="R489" s="79"/>
      <c r="S489" s="79"/>
      <c r="X489" s="79"/>
      <c r="AD489" s="130"/>
      <c r="AF489" s="106"/>
    </row>
    <row r="490">
      <c r="C490" s="79"/>
      <c r="D490" s="79"/>
      <c r="E490" s="79"/>
      <c r="O490" s="79"/>
      <c r="R490" s="79"/>
      <c r="S490" s="79"/>
      <c r="X490" s="79"/>
      <c r="AD490" s="130"/>
      <c r="AF490" s="106"/>
    </row>
    <row r="491">
      <c r="C491" s="79"/>
      <c r="D491" s="79"/>
      <c r="E491" s="79"/>
      <c r="O491" s="79"/>
      <c r="R491" s="79"/>
      <c r="S491" s="79"/>
      <c r="X491" s="79"/>
      <c r="AD491" s="130"/>
      <c r="AF491" s="106"/>
    </row>
    <row r="492">
      <c r="C492" s="79"/>
      <c r="D492" s="79"/>
      <c r="E492" s="79"/>
      <c r="O492" s="79"/>
      <c r="R492" s="79"/>
      <c r="S492" s="79"/>
      <c r="X492" s="79"/>
      <c r="AD492" s="130"/>
      <c r="AF492" s="106"/>
    </row>
    <row r="493">
      <c r="C493" s="79"/>
      <c r="D493" s="79"/>
      <c r="E493" s="79"/>
      <c r="O493" s="79"/>
      <c r="R493" s="79"/>
      <c r="S493" s="79"/>
      <c r="X493" s="79"/>
      <c r="AD493" s="130"/>
      <c r="AF493" s="106"/>
    </row>
    <row r="494">
      <c r="C494" s="79"/>
      <c r="D494" s="79"/>
      <c r="E494" s="79"/>
      <c r="O494" s="79"/>
      <c r="R494" s="79"/>
      <c r="S494" s="79"/>
      <c r="X494" s="79"/>
      <c r="AD494" s="130"/>
      <c r="AF494" s="106"/>
    </row>
    <row r="495">
      <c r="C495" s="79"/>
      <c r="D495" s="79"/>
      <c r="E495" s="79"/>
      <c r="O495" s="79"/>
      <c r="R495" s="79"/>
      <c r="S495" s="79"/>
      <c r="X495" s="79"/>
      <c r="AD495" s="130"/>
      <c r="AF495" s="106"/>
    </row>
    <row r="496">
      <c r="C496" s="79"/>
      <c r="D496" s="79"/>
      <c r="E496" s="79"/>
      <c r="O496" s="79"/>
      <c r="R496" s="79"/>
      <c r="S496" s="79"/>
      <c r="X496" s="79"/>
      <c r="AD496" s="130"/>
      <c r="AF496" s="106"/>
    </row>
    <row r="497">
      <c r="C497" s="79"/>
      <c r="D497" s="79"/>
      <c r="E497" s="79"/>
      <c r="O497" s="79"/>
      <c r="R497" s="79"/>
      <c r="S497" s="79"/>
      <c r="X497" s="79"/>
      <c r="AD497" s="130"/>
      <c r="AF497" s="106"/>
    </row>
    <row r="498">
      <c r="C498" s="79"/>
      <c r="D498" s="79"/>
      <c r="E498" s="79"/>
      <c r="O498" s="79"/>
      <c r="R498" s="79"/>
      <c r="S498" s="79"/>
      <c r="X498" s="79"/>
      <c r="AD498" s="130"/>
      <c r="AF498" s="106"/>
    </row>
    <row r="499">
      <c r="C499" s="79"/>
      <c r="D499" s="79"/>
      <c r="E499" s="79"/>
      <c r="O499" s="79"/>
      <c r="R499" s="79"/>
      <c r="S499" s="79"/>
      <c r="X499" s="79"/>
      <c r="AD499" s="130"/>
      <c r="AF499" s="106"/>
    </row>
    <row r="500">
      <c r="C500" s="79"/>
      <c r="D500" s="79"/>
      <c r="E500" s="79"/>
      <c r="O500" s="79"/>
      <c r="R500" s="79"/>
      <c r="S500" s="79"/>
      <c r="X500" s="79"/>
      <c r="AD500" s="130"/>
      <c r="AF500" s="106"/>
    </row>
    <row r="501">
      <c r="C501" s="79"/>
      <c r="D501" s="79"/>
      <c r="E501" s="79"/>
      <c r="O501" s="79"/>
      <c r="R501" s="79"/>
      <c r="S501" s="79"/>
      <c r="X501" s="79"/>
      <c r="AD501" s="130"/>
      <c r="AF501" s="106"/>
    </row>
    <row r="502">
      <c r="C502" s="79"/>
      <c r="D502" s="79"/>
      <c r="E502" s="79"/>
      <c r="O502" s="79"/>
      <c r="R502" s="79"/>
      <c r="S502" s="79"/>
      <c r="X502" s="79"/>
      <c r="AD502" s="130"/>
      <c r="AF502" s="106"/>
    </row>
    <row r="503">
      <c r="C503" s="79"/>
      <c r="D503" s="79"/>
      <c r="E503" s="79"/>
      <c r="O503" s="79"/>
      <c r="R503" s="79"/>
      <c r="S503" s="79"/>
      <c r="X503" s="79"/>
      <c r="AD503" s="130"/>
      <c r="AF503" s="106"/>
    </row>
    <row r="504">
      <c r="C504" s="79"/>
      <c r="D504" s="79"/>
      <c r="E504" s="79"/>
      <c r="O504" s="79"/>
      <c r="R504" s="79"/>
      <c r="S504" s="79"/>
      <c r="X504" s="79"/>
      <c r="AD504" s="130"/>
      <c r="AF504" s="106"/>
    </row>
    <row r="505">
      <c r="C505" s="79"/>
      <c r="D505" s="79"/>
      <c r="E505" s="79"/>
      <c r="O505" s="79"/>
      <c r="R505" s="79"/>
      <c r="S505" s="79"/>
      <c r="X505" s="79"/>
      <c r="AD505" s="130"/>
      <c r="AF505" s="106"/>
    </row>
    <row r="506">
      <c r="C506" s="79"/>
      <c r="D506" s="79"/>
      <c r="E506" s="79"/>
      <c r="O506" s="79"/>
      <c r="R506" s="79"/>
      <c r="S506" s="79"/>
      <c r="X506" s="79"/>
      <c r="AD506" s="130"/>
      <c r="AF506" s="106"/>
    </row>
    <row r="507">
      <c r="C507" s="79"/>
      <c r="D507" s="79"/>
      <c r="E507" s="79"/>
      <c r="O507" s="79"/>
      <c r="R507" s="79"/>
      <c r="S507" s="79"/>
      <c r="X507" s="79"/>
      <c r="AD507" s="130"/>
      <c r="AF507" s="106"/>
    </row>
    <row r="508">
      <c r="C508" s="79"/>
      <c r="D508" s="79"/>
      <c r="E508" s="79"/>
      <c r="O508" s="79"/>
      <c r="R508" s="79"/>
      <c r="S508" s="79"/>
      <c r="X508" s="79"/>
      <c r="AD508" s="130"/>
      <c r="AF508" s="106"/>
    </row>
    <row r="509">
      <c r="C509" s="79"/>
      <c r="D509" s="79"/>
      <c r="E509" s="79"/>
      <c r="O509" s="79"/>
      <c r="R509" s="79"/>
      <c r="S509" s="79"/>
      <c r="X509" s="79"/>
      <c r="AD509" s="130"/>
      <c r="AF509" s="106"/>
    </row>
    <row r="510">
      <c r="C510" s="79"/>
      <c r="D510" s="79"/>
      <c r="E510" s="79"/>
      <c r="O510" s="79"/>
      <c r="R510" s="79"/>
      <c r="S510" s="79"/>
      <c r="X510" s="79"/>
      <c r="AD510" s="130"/>
      <c r="AF510" s="106"/>
    </row>
    <row r="511">
      <c r="C511" s="79"/>
      <c r="D511" s="79"/>
      <c r="E511" s="79"/>
      <c r="O511" s="79"/>
      <c r="R511" s="79"/>
      <c r="S511" s="79"/>
      <c r="X511" s="79"/>
      <c r="AD511" s="130"/>
      <c r="AF511" s="106"/>
    </row>
    <row r="512">
      <c r="C512" s="79"/>
      <c r="D512" s="79"/>
      <c r="E512" s="79"/>
      <c r="O512" s="79"/>
      <c r="R512" s="79"/>
      <c r="S512" s="79"/>
      <c r="X512" s="79"/>
      <c r="AD512" s="130"/>
      <c r="AF512" s="106"/>
    </row>
    <row r="513">
      <c r="C513" s="79"/>
      <c r="D513" s="79"/>
      <c r="E513" s="79"/>
      <c r="O513" s="79"/>
      <c r="R513" s="79"/>
      <c r="S513" s="79"/>
      <c r="X513" s="79"/>
      <c r="AD513" s="130"/>
      <c r="AF513" s="106"/>
    </row>
    <row r="514">
      <c r="C514" s="79"/>
      <c r="D514" s="79"/>
      <c r="E514" s="79"/>
      <c r="O514" s="79"/>
      <c r="R514" s="79"/>
      <c r="S514" s="79"/>
      <c r="X514" s="79"/>
      <c r="AD514" s="130"/>
      <c r="AF514" s="106"/>
    </row>
    <row r="515">
      <c r="C515" s="79"/>
      <c r="D515" s="79"/>
      <c r="E515" s="79"/>
      <c r="O515" s="79"/>
      <c r="R515" s="79"/>
      <c r="S515" s="79"/>
      <c r="X515" s="79"/>
      <c r="AD515" s="130"/>
      <c r="AF515" s="106"/>
    </row>
    <row r="516">
      <c r="C516" s="79"/>
      <c r="D516" s="79"/>
      <c r="E516" s="79"/>
      <c r="O516" s="79"/>
      <c r="R516" s="79"/>
      <c r="S516" s="79"/>
      <c r="X516" s="79"/>
      <c r="AD516" s="130"/>
      <c r="AF516" s="106"/>
    </row>
    <row r="517">
      <c r="C517" s="79"/>
      <c r="D517" s="79"/>
      <c r="E517" s="79"/>
      <c r="O517" s="79"/>
      <c r="R517" s="79"/>
      <c r="S517" s="79"/>
      <c r="X517" s="79"/>
      <c r="AD517" s="130"/>
      <c r="AF517" s="106"/>
    </row>
    <row r="518">
      <c r="C518" s="79"/>
      <c r="D518" s="79"/>
      <c r="E518" s="79"/>
      <c r="O518" s="79"/>
      <c r="R518" s="79"/>
      <c r="S518" s="79"/>
      <c r="X518" s="79"/>
      <c r="AD518" s="130"/>
      <c r="AF518" s="106"/>
    </row>
    <row r="519">
      <c r="C519" s="79"/>
      <c r="D519" s="79"/>
      <c r="E519" s="79"/>
      <c r="O519" s="79"/>
      <c r="R519" s="79"/>
      <c r="S519" s="79"/>
      <c r="X519" s="79"/>
      <c r="AD519" s="130"/>
      <c r="AF519" s="106"/>
    </row>
    <row r="520">
      <c r="C520" s="79"/>
      <c r="D520" s="79"/>
      <c r="E520" s="79"/>
      <c r="O520" s="79"/>
      <c r="R520" s="79"/>
      <c r="S520" s="79"/>
      <c r="X520" s="79"/>
      <c r="AD520" s="130"/>
      <c r="AF520" s="106"/>
    </row>
    <row r="521">
      <c r="C521" s="79"/>
      <c r="D521" s="79"/>
      <c r="E521" s="79"/>
      <c r="O521" s="79"/>
      <c r="R521" s="79"/>
      <c r="S521" s="79"/>
      <c r="X521" s="79"/>
      <c r="AD521" s="130"/>
      <c r="AF521" s="106"/>
    </row>
    <row r="522">
      <c r="C522" s="79"/>
      <c r="D522" s="79"/>
      <c r="E522" s="79"/>
      <c r="O522" s="79"/>
      <c r="R522" s="79"/>
      <c r="S522" s="79"/>
      <c r="X522" s="79"/>
      <c r="AD522" s="130"/>
      <c r="AF522" s="106"/>
    </row>
    <row r="523">
      <c r="C523" s="79"/>
      <c r="D523" s="79"/>
      <c r="E523" s="79"/>
      <c r="O523" s="79"/>
      <c r="R523" s="79"/>
      <c r="S523" s="79"/>
      <c r="X523" s="79"/>
      <c r="AD523" s="130"/>
      <c r="AF523" s="106"/>
    </row>
    <row r="524">
      <c r="C524" s="79"/>
      <c r="D524" s="79"/>
      <c r="E524" s="79"/>
      <c r="O524" s="79"/>
      <c r="R524" s="79"/>
      <c r="S524" s="79"/>
      <c r="X524" s="79"/>
      <c r="AD524" s="130"/>
      <c r="AF524" s="106"/>
    </row>
    <row r="525">
      <c r="C525" s="79"/>
      <c r="D525" s="79"/>
      <c r="E525" s="79"/>
      <c r="O525" s="79"/>
      <c r="R525" s="79"/>
      <c r="S525" s="79"/>
      <c r="X525" s="79"/>
      <c r="AD525" s="130"/>
      <c r="AF525" s="106"/>
    </row>
    <row r="526">
      <c r="C526" s="79"/>
      <c r="D526" s="79"/>
      <c r="E526" s="79"/>
      <c r="O526" s="79"/>
      <c r="R526" s="79"/>
      <c r="S526" s="79"/>
      <c r="X526" s="79"/>
      <c r="AD526" s="130"/>
      <c r="AF526" s="106"/>
    </row>
    <row r="527">
      <c r="C527" s="79"/>
      <c r="D527" s="79"/>
      <c r="E527" s="79"/>
      <c r="O527" s="79"/>
      <c r="R527" s="79"/>
      <c r="S527" s="79"/>
      <c r="X527" s="79"/>
      <c r="AD527" s="130"/>
      <c r="AF527" s="106"/>
    </row>
    <row r="528">
      <c r="C528" s="79"/>
      <c r="D528" s="79"/>
      <c r="E528" s="79"/>
      <c r="O528" s="79"/>
      <c r="R528" s="79"/>
      <c r="S528" s="79"/>
      <c r="X528" s="79"/>
      <c r="AD528" s="130"/>
      <c r="AF528" s="106"/>
    </row>
    <row r="529">
      <c r="C529" s="79"/>
      <c r="D529" s="79"/>
      <c r="E529" s="79"/>
      <c r="O529" s="79"/>
      <c r="R529" s="79"/>
      <c r="S529" s="79"/>
      <c r="X529" s="79"/>
      <c r="AD529" s="130"/>
      <c r="AF529" s="106"/>
    </row>
    <row r="530">
      <c r="C530" s="79"/>
      <c r="D530" s="79"/>
      <c r="E530" s="79"/>
      <c r="O530" s="79"/>
      <c r="R530" s="79"/>
      <c r="S530" s="79"/>
      <c r="X530" s="79"/>
      <c r="AD530" s="130"/>
      <c r="AF530" s="106"/>
    </row>
    <row r="531">
      <c r="C531" s="79"/>
      <c r="D531" s="79"/>
      <c r="E531" s="79"/>
      <c r="O531" s="79"/>
      <c r="R531" s="79"/>
      <c r="S531" s="79"/>
      <c r="X531" s="79"/>
      <c r="AD531" s="130"/>
      <c r="AF531" s="106"/>
    </row>
    <row r="532">
      <c r="C532" s="79"/>
      <c r="D532" s="79"/>
      <c r="E532" s="79"/>
      <c r="O532" s="79"/>
      <c r="R532" s="79"/>
      <c r="S532" s="79"/>
      <c r="X532" s="79"/>
      <c r="AD532" s="130"/>
      <c r="AF532" s="106"/>
    </row>
    <row r="533">
      <c r="C533" s="79"/>
      <c r="D533" s="79"/>
      <c r="E533" s="79"/>
      <c r="O533" s="79"/>
      <c r="R533" s="79"/>
      <c r="S533" s="79"/>
      <c r="X533" s="79"/>
      <c r="AD533" s="130"/>
      <c r="AF533" s="106"/>
    </row>
    <row r="534">
      <c r="C534" s="79"/>
      <c r="D534" s="79"/>
      <c r="E534" s="79"/>
      <c r="O534" s="79"/>
      <c r="R534" s="79"/>
      <c r="S534" s="79"/>
      <c r="X534" s="79"/>
      <c r="AD534" s="130"/>
      <c r="AF534" s="106"/>
    </row>
    <row r="535">
      <c r="C535" s="79"/>
      <c r="D535" s="79"/>
      <c r="E535" s="79"/>
      <c r="O535" s="79"/>
      <c r="R535" s="79"/>
      <c r="S535" s="79"/>
      <c r="X535" s="79"/>
      <c r="AD535" s="130"/>
      <c r="AF535" s="106"/>
    </row>
    <row r="536">
      <c r="C536" s="79"/>
      <c r="D536" s="79"/>
      <c r="E536" s="79"/>
      <c r="O536" s="79"/>
      <c r="R536" s="79"/>
      <c r="S536" s="79"/>
      <c r="X536" s="79"/>
      <c r="AD536" s="130"/>
      <c r="AF536" s="106"/>
    </row>
    <row r="537">
      <c r="C537" s="79"/>
      <c r="D537" s="79"/>
      <c r="E537" s="79"/>
      <c r="O537" s="79"/>
      <c r="R537" s="79"/>
      <c r="S537" s="79"/>
      <c r="X537" s="79"/>
      <c r="AD537" s="130"/>
      <c r="AF537" s="106"/>
    </row>
    <row r="538">
      <c r="C538" s="79"/>
      <c r="D538" s="79"/>
      <c r="E538" s="79"/>
      <c r="O538" s="79"/>
      <c r="R538" s="79"/>
      <c r="S538" s="79"/>
      <c r="X538" s="79"/>
      <c r="AD538" s="130"/>
      <c r="AF538" s="106"/>
    </row>
    <row r="539">
      <c r="C539" s="79"/>
      <c r="D539" s="79"/>
      <c r="E539" s="79"/>
      <c r="O539" s="79"/>
      <c r="R539" s="79"/>
      <c r="S539" s="79"/>
      <c r="X539" s="79"/>
      <c r="AD539" s="130"/>
      <c r="AF539" s="106"/>
    </row>
    <row r="540">
      <c r="C540" s="79"/>
      <c r="D540" s="79"/>
      <c r="E540" s="79"/>
      <c r="O540" s="79"/>
      <c r="R540" s="79"/>
      <c r="S540" s="79"/>
      <c r="X540" s="79"/>
      <c r="AD540" s="130"/>
      <c r="AF540" s="106"/>
    </row>
    <row r="541">
      <c r="C541" s="79"/>
      <c r="D541" s="79"/>
      <c r="E541" s="79"/>
      <c r="O541" s="79"/>
      <c r="R541" s="79"/>
      <c r="S541" s="79"/>
      <c r="X541" s="79"/>
      <c r="AD541" s="130"/>
      <c r="AF541" s="106"/>
    </row>
    <row r="542">
      <c r="C542" s="79"/>
      <c r="D542" s="79"/>
      <c r="E542" s="79"/>
      <c r="O542" s="79"/>
      <c r="R542" s="79"/>
      <c r="S542" s="79"/>
      <c r="X542" s="79"/>
      <c r="AD542" s="130"/>
      <c r="AF542" s="106"/>
    </row>
    <row r="543">
      <c r="C543" s="79"/>
      <c r="D543" s="79"/>
      <c r="E543" s="79"/>
      <c r="O543" s="79"/>
      <c r="R543" s="79"/>
      <c r="S543" s="79"/>
      <c r="X543" s="79"/>
      <c r="AD543" s="130"/>
      <c r="AF543" s="106"/>
    </row>
    <row r="544">
      <c r="C544" s="79"/>
      <c r="D544" s="79"/>
      <c r="E544" s="79"/>
      <c r="O544" s="79"/>
      <c r="R544" s="79"/>
      <c r="S544" s="79"/>
      <c r="X544" s="79"/>
      <c r="AD544" s="130"/>
      <c r="AF544" s="106"/>
    </row>
    <row r="545">
      <c r="C545" s="79"/>
      <c r="D545" s="79"/>
      <c r="E545" s="79"/>
      <c r="O545" s="79"/>
      <c r="R545" s="79"/>
      <c r="S545" s="79"/>
      <c r="X545" s="79"/>
      <c r="AD545" s="130"/>
      <c r="AF545" s="106"/>
    </row>
    <row r="546">
      <c r="C546" s="79"/>
      <c r="D546" s="79"/>
      <c r="E546" s="79"/>
      <c r="O546" s="79"/>
      <c r="R546" s="79"/>
      <c r="S546" s="79"/>
      <c r="X546" s="79"/>
      <c r="AD546" s="130"/>
      <c r="AF546" s="106"/>
    </row>
    <row r="547">
      <c r="C547" s="79"/>
      <c r="D547" s="79"/>
      <c r="E547" s="79"/>
      <c r="O547" s="79"/>
      <c r="R547" s="79"/>
      <c r="S547" s="79"/>
      <c r="X547" s="79"/>
      <c r="AD547" s="130"/>
      <c r="AF547" s="106"/>
    </row>
    <row r="548">
      <c r="C548" s="79"/>
      <c r="D548" s="79"/>
      <c r="E548" s="79"/>
      <c r="O548" s="79"/>
      <c r="R548" s="79"/>
      <c r="S548" s="79"/>
      <c r="X548" s="79"/>
      <c r="AD548" s="130"/>
      <c r="AF548" s="106"/>
    </row>
    <row r="549">
      <c r="C549" s="79"/>
      <c r="D549" s="79"/>
      <c r="E549" s="79"/>
      <c r="O549" s="79"/>
      <c r="R549" s="79"/>
      <c r="S549" s="79"/>
      <c r="X549" s="79"/>
      <c r="AD549" s="130"/>
      <c r="AF549" s="106"/>
    </row>
    <row r="550">
      <c r="C550" s="79"/>
      <c r="D550" s="79"/>
      <c r="E550" s="79"/>
      <c r="O550" s="79"/>
      <c r="R550" s="79"/>
      <c r="S550" s="79"/>
      <c r="X550" s="79"/>
      <c r="AD550" s="130"/>
      <c r="AF550" s="106"/>
    </row>
    <row r="551">
      <c r="C551" s="79"/>
      <c r="D551" s="79"/>
      <c r="E551" s="79"/>
      <c r="O551" s="79"/>
      <c r="R551" s="79"/>
      <c r="S551" s="79"/>
      <c r="X551" s="79"/>
      <c r="AD551" s="130"/>
      <c r="AF551" s="106"/>
    </row>
    <row r="552">
      <c r="C552" s="79"/>
      <c r="D552" s="79"/>
      <c r="E552" s="79"/>
      <c r="O552" s="79"/>
      <c r="R552" s="79"/>
      <c r="S552" s="79"/>
      <c r="X552" s="79"/>
      <c r="AD552" s="130"/>
      <c r="AF552" s="106"/>
    </row>
    <row r="553">
      <c r="C553" s="79"/>
      <c r="D553" s="79"/>
      <c r="E553" s="79"/>
      <c r="O553" s="79"/>
      <c r="R553" s="79"/>
      <c r="S553" s="79"/>
      <c r="X553" s="79"/>
      <c r="AD553" s="130"/>
      <c r="AF553" s="106"/>
    </row>
    <row r="554">
      <c r="C554" s="79"/>
      <c r="D554" s="79"/>
      <c r="E554" s="79"/>
      <c r="O554" s="79"/>
      <c r="R554" s="79"/>
      <c r="S554" s="79"/>
      <c r="X554" s="79"/>
      <c r="AD554" s="130"/>
      <c r="AF554" s="106"/>
    </row>
    <row r="555">
      <c r="C555" s="79"/>
      <c r="D555" s="79"/>
      <c r="E555" s="79"/>
      <c r="O555" s="79"/>
      <c r="R555" s="79"/>
      <c r="S555" s="79"/>
      <c r="X555" s="79"/>
      <c r="AD555" s="130"/>
      <c r="AF555" s="106"/>
    </row>
    <row r="556">
      <c r="C556" s="79"/>
      <c r="D556" s="79"/>
      <c r="E556" s="79"/>
      <c r="O556" s="79"/>
      <c r="R556" s="79"/>
      <c r="S556" s="79"/>
      <c r="X556" s="79"/>
      <c r="AD556" s="130"/>
      <c r="AF556" s="106"/>
    </row>
    <row r="557">
      <c r="C557" s="79"/>
      <c r="D557" s="79"/>
      <c r="E557" s="79"/>
      <c r="O557" s="79"/>
      <c r="R557" s="79"/>
      <c r="S557" s="79"/>
      <c r="X557" s="79"/>
      <c r="AD557" s="130"/>
      <c r="AF557" s="106"/>
    </row>
    <row r="558">
      <c r="C558" s="79"/>
      <c r="D558" s="79"/>
      <c r="E558" s="79"/>
      <c r="O558" s="79"/>
      <c r="R558" s="79"/>
      <c r="S558" s="79"/>
      <c r="X558" s="79"/>
      <c r="AD558" s="130"/>
      <c r="AF558" s="106"/>
    </row>
    <row r="559">
      <c r="C559" s="79"/>
      <c r="D559" s="79"/>
      <c r="E559" s="79"/>
      <c r="O559" s="79"/>
      <c r="R559" s="79"/>
      <c r="S559" s="79"/>
      <c r="X559" s="79"/>
      <c r="AD559" s="130"/>
      <c r="AF559" s="106"/>
    </row>
    <row r="560">
      <c r="C560" s="79"/>
      <c r="D560" s="79"/>
      <c r="E560" s="79"/>
      <c r="O560" s="79"/>
      <c r="R560" s="79"/>
      <c r="S560" s="79"/>
      <c r="X560" s="79"/>
      <c r="AD560" s="130"/>
      <c r="AF560" s="106"/>
    </row>
    <row r="561">
      <c r="C561" s="79"/>
      <c r="D561" s="79"/>
      <c r="E561" s="79"/>
      <c r="O561" s="79"/>
      <c r="R561" s="79"/>
      <c r="S561" s="79"/>
      <c r="X561" s="79"/>
      <c r="AD561" s="130"/>
      <c r="AF561" s="106"/>
    </row>
    <row r="562">
      <c r="C562" s="79"/>
      <c r="D562" s="79"/>
      <c r="E562" s="79"/>
      <c r="O562" s="79"/>
      <c r="R562" s="79"/>
      <c r="S562" s="79"/>
      <c r="X562" s="79"/>
      <c r="AD562" s="130"/>
      <c r="AF562" s="106"/>
    </row>
    <row r="563">
      <c r="C563" s="79"/>
      <c r="D563" s="79"/>
      <c r="E563" s="79"/>
      <c r="O563" s="79"/>
      <c r="R563" s="79"/>
      <c r="S563" s="79"/>
      <c r="X563" s="79"/>
      <c r="AD563" s="130"/>
      <c r="AF563" s="106"/>
    </row>
    <row r="564">
      <c r="C564" s="79"/>
      <c r="D564" s="79"/>
      <c r="E564" s="79"/>
      <c r="O564" s="79"/>
      <c r="R564" s="79"/>
      <c r="S564" s="79"/>
      <c r="X564" s="79"/>
      <c r="AD564" s="130"/>
      <c r="AF564" s="106"/>
    </row>
    <row r="565">
      <c r="C565" s="79"/>
      <c r="D565" s="79"/>
      <c r="E565" s="79"/>
      <c r="O565" s="79"/>
      <c r="R565" s="79"/>
      <c r="S565" s="79"/>
      <c r="X565" s="79"/>
      <c r="AD565" s="130"/>
      <c r="AF565" s="106"/>
    </row>
    <row r="566">
      <c r="C566" s="79"/>
      <c r="D566" s="79"/>
      <c r="E566" s="79"/>
      <c r="O566" s="79"/>
      <c r="R566" s="79"/>
      <c r="S566" s="79"/>
      <c r="X566" s="79"/>
      <c r="AD566" s="130"/>
      <c r="AF566" s="106"/>
    </row>
    <row r="567">
      <c r="C567" s="79"/>
      <c r="D567" s="79"/>
      <c r="E567" s="79"/>
      <c r="O567" s="79"/>
      <c r="R567" s="79"/>
      <c r="S567" s="79"/>
      <c r="X567" s="79"/>
      <c r="AD567" s="130"/>
      <c r="AF567" s="106"/>
    </row>
    <row r="568">
      <c r="C568" s="79"/>
      <c r="D568" s="79"/>
      <c r="E568" s="79"/>
      <c r="O568" s="79"/>
      <c r="R568" s="79"/>
      <c r="S568" s="79"/>
      <c r="X568" s="79"/>
      <c r="AD568" s="130"/>
      <c r="AF568" s="106"/>
    </row>
    <row r="569">
      <c r="C569" s="79"/>
      <c r="D569" s="79"/>
      <c r="E569" s="79"/>
      <c r="O569" s="79"/>
      <c r="R569" s="79"/>
      <c r="S569" s="79"/>
      <c r="X569" s="79"/>
      <c r="AD569" s="130"/>
      <c r="AF569" s="106"/>
    </row>
    <row r="570">
      <c r="C570" s="79"/>
      <c r="D570" s="79"/>
      <c r="E570" s="79"/>
      <c r="O570" s="79"/>
      <c r="R570" s="79"/>
      <c r="S570" s="79"/>
      <c r="X570" s="79"/>
      <c r="AD570" s="130"/>
      <c r="AF570" s="106"/>
    </row>
    <row r="571">
      <c r="C571" s="79"/>
      <c r="D571" s="79"/>
      <c r="E571" s="79"/>
      <c r="O571" s="79"/>
      <c r="R571" s="79"/>
      <c r="S571" s="79"/>
      <c r="X571" s="79"/>
      <c r="AD571" s="130"/>
      <c r="AF571" s="106"/>
    </row>
    <row r="572">
      <c r="C572" s="79"/>
      <c r="D572" s="79"/>
      <c r="E572" s="79"/>
      <c r="O572" s="79"/>
      <c r="R572" s="79"/>
      <c r="S572" s="79"/>
      <c r="X572" s="79"/>
      <c r="AD572" s="130"/>
      <c r="AF572" s="106"/>
    </row>
    <row r="573">
      <c r="C573" s="79"/>
      <c r="D573" s="79"/>
      <c r="E573" s="79"/>
      <c r="O573" s="79"/>
      <c r="R573" s="79"/>
      <c r="S573" s="79"/>
      <c r="X573" s="79"/>
      <c r="AD573" s="130"/>
      <c r="AF573" s="106"/>
    </row>
    <row r="574">
      <c r="C574" s="79"/>
      <c r="D574" s="79"/>
      <c r="E574" s="79"/>
      <c r="O574" s="79"/>
      <c r="R574" s="79"/>
      <c r="S574" s="79"/>
      <c r="X574" s="79"/>
      <c r="AD574" s="130"/>
      <c r="AF574" s="106"/>
    </row>
    <row r="575">
      <c r="C575" s="79"/>
      <c r="D575" s="79"/>
      <c r="E575" s="79"/>
      <c r="O575" s="79"/>
      <c r="R575" s="79"/>
      <c r="S575" s="79"/>
      <c r="X575" s="79"/>
      <c r="AD575" s="130"/>
      <c r="AF575" s="106"/>
    </row>
    <row r="576">
      <c r="C576" s="79"/>
      <c r="D576" s="79"/>
      <c r="E576" s="79"/>
      <c r="O576" s="79"/>
      <c r="R576" s="79"/>
      <c r="S576" s="79"/>
      <c r="X576" s="79"/>
      <c r="AD576" s="130"/>
      <c r="AF576" s="106"/>
    </row>
    <row r="577">
      <c r="C577" s="79"/>
      <c r="D577" s="79"/>
      <c r="E577" s="79"/>
      <c r="O577" s="79"/>
      <c r="R577" s="79"/>
      <c r="S577" s="79"/>
      <c r="X577" s="79"/>
      <c r="AD577" s="130"/>
      <c r="AF577" s="106"/>
    </row>
    <row r="578">
      <c r="C578" s="79"/>
      <c r="D578" s="79"/>
      <c r="E578" s="79"/>
      <c r="O578" s="79"/>
      <c r="R578" s="79"/>
      <c r="S578" s="79"/>
      <c r="X578" s="79"/>
      <c r="AD578" s="130"/>
      <c r="AF578" s="106"/>
    </row>
    <row r="579">
      <c r="C579" s="79"/>
      <c r="D579" s="79"/>
      <c r="E579" s="79"/>
      <c r="O579" s="79"/>
      <c r="R579" s="79"/>
      <c r="S579" s="79"/>
      <c r="X579" s="79"/>
      <c r="AD579" s="130"/>
      <c r="AF579" s="106"/>
    </row>
    <row r="580">
      <c r="C580" s="79"/>
      <c r="D580" s="79"/>
      <c r="E580" s="79"/>
      <c r="O580" s="79"/>
      <c r="R580" s="79"/>
      <c r="S580" s="79"/>
      <c r="X580" s="79"/>
      <c r="AD580" s="130"/>
      <c r="AF580" s="106"/>
    </row>
    <row r="581">
      <c r="C581" s="79"/>
      <c r="D581" s="79"/>
      <c r="E581" s="79"/>
      <c r="O581" s="79"/>
      <c r="R581" s="79"/>
      <c r="S581" s="79"/>
      <c r="X581" s="79"/>
      <c r="AD581" s="130"/>
      <c r="AF581" s="106"/>
    </row>
    <row r="582">
      <c r="C582" s="79"/>
      <c r="D582" s="79"/>
      <c r="E582" s="79"/>
      <c r="O582" s="79"/>
      <c r="R582" s="79"/>
      <c r="S582" s="79"/>
      <c r="X582" s="79"/>
      <c r="AD582" s="130"/>
      <c r="AF582" s="106"/>
    </row>
    <row r="583">
      <c r="C583" s="79"/>
      <c r="D583" s="79"/>
      <c r="E583" s="79"/>
      <c r="O583" s="79"/>
      <c r="R583" s="79"/>
      <c r="S583" s="79"/>
      <c r="X583" s="79"/>
      <c r="AD583" s="130"/>
      <c r="AF583" s="106"/>
    </row>
    <row r="584">
      <c r="C584" s="79"/>
      <c r="D584" s="79"/>
      <c r="E584" s="79"/>
      <c r="O584" s="79"/>
      <c r="R584" s="79"/>
      <c r="S584" s="79"/>
      <c r="X584" s="79"/>
      <c r="AD584" s="130"/>
      <c r="AF584" s="106"/>
    </row>
    <row r="585">
      <c r="C585" s="79"/>
      <c r="D585" s="79"/>
      <c r="E585" s="79"/>
      <c r="O585" s="79"/>
      <c r="R585" s="79"/>
      <c r="S585" s="79"/>
      <c r="X585" s="79"/>
      <c r="AD585" s="130"/>
      <c r="AF585" s="106"/>
    </row>
    <row r="586">
      <c r="C586" s="79"/>
      <c r="D586" s="79"/>
      <c r="E586" s="79"/>
      <c r="O586" s="79"/>
      <c r="R586" s="79"/>
      <c r="S586" s="79"/>
      <c r="X586" s="79"/>
      <c r="AD586" s="130"/>
      <c r="AF586" s="106"/>
    </row>
    <row r="587">
      <c r="C587" s="79"/>
      <c r="D587" s="79"/>
      <c r="E587" s="79"/>
      <c r="O587" s="79"/>
      <c r="R587" s="79"/>
      <c r="S587" s="79"/>
      <c r="X587" s="79"/>
      <c r="AD587" s="130"/>
      <c r="AF587" s="106"/>
    </row>
    <row r="588">
      <c r="C588" s="79"/>
      <c r="D588" s="79"/>
      <c r="E588" s="79"/>
      <c r="O588" s="79"/>
      <c r="R588" s="79"/>
      <c r="S588" s="79"/>
      <c r="X588" s="79"/>
      <c r="AD588" s="130"/>
      <c r="AF588" s="106"/>
    </row>
    <row r="589">
      <c r="C589" s="79"/>
      <c r="D589" s="79"/>
      <c r="E589" s="79"/>
      <c r="O589" s="79"/>
      <c r="R589" s="79"/>
      <c r="S589" s="79"/>
      <c r="X589" s="79"/>
      <c r="AD589" s="130"/>
      <c r="AF589" s="106"/>
    </row>
    <row r="590">
      <c r="C590" s="79"/>
      <c r="D590" s="79"/>
      <c r="E590" s="79"/>
      <c r="O590" s="79"/>
      <c r="R590" s="79"/>
      <c r="S590" s="79"/>
      <c r="X590" s="79"/>
      <c r="AD590" s="130"/>
      <c r="AF590" s="106"/>
    </row>
    <row r="591">
      <c r="C591" s="79"/>
      <c r="D591" s="79"/>
      <c r="E591" s="79"/>
      <c r="O591" s="79"/>
      <c r="R591" s="79"/>
      <c r="S591" s="79"/>
      <c r="X591" s="79"/>
      <c r="AD591" s="130"/>
      <c r="AF591" s="106"/>
    </row>
    <row r="592">
      <c r="C592" s="79"/>
      <c r="D592" s="79"/>
      <c r="E592" s="79"/>
      <c r="O592" s="79"/>
      <c r="R592" s="79"/>
      <c r="S592" s="79"/>
      <c r="X592" s="79"/>
      <c r="AD592" s="130"/>
      <c r="AF592" s="106"/>
    </row>
    <row r="593">
      <c r="C593" s="79"/>
      <c r="D593" s="79"/>
      <c r="E593" s="79"/>
      <c r="O593" s="79"/>
      <c r="R593" s="79"/>
      <c r="S593" s="79"/>
      <c r="X593" s="79"/>
      <c r="AD593" s="130"/>
      <c r="AF593" s="106"/>
    </row>
    <row r="594">
      <c r="C594" s="79"/>
      <c r="D594" s="79"/>
      <c r="E594" s="79"/>
      <c r="O594" s="79"/>
      <c r="R594" s="79"/>
      <c r="S594" s="79"/>
      <c r="X594" s="79"/>
      <c r="AD594" s="130"/>
      <c r="AF594" s="106"/>
    </row>
    <row r="595">
      <c r="C595" s="79"/>
      <c r="D595" s="79"/>
      <c r="E595" s="79"/>
      <c r="O595" s="79"/>
      <c r="R595" s="79"/>
      <c r="S595" s="79"/>
      <c r="X595" s="79"/>
      <c r="AD595" s="130"/>
      <c r="AF595" s="106"/>
    </row>
    <row r="596">
      <c r="C596" s="79"/>
      <c r="D596" s="79"/>
      <c r="E596" s="79"/>
      <c r="O596" s="79"/>
      <c r="R596" s="79"/>
      <c r="S596" s="79"/>
      <c r="X596" s="79"/>
      <c r="AD596" s="130"/>
      <c r="AF596" s="106"/>
    </row>
    <row r="597">
      <c r="C597" s="79"/>
      <c r="D597" s="79"/>
      <c r="E597" s="79"/>
      <c r="O597" s="79"/>
      <c r="R597" s="79"/>
      <c r="S597" s="79"/>
      <c r="X597" s="79"/>
      <c r="AD597" s="130"/>
      <c r="AF597" s="106"/>
    </row>
    <row r="598">
      <c r="C598" s="79"/>
      <c r="D598" s="79"/>
      <c r="E598" s="79"/>
      <c r="O598" s="79"/>
      <c r="R598" s="79"/>
      <c r="S598" s="79"/>
      <c r="X598" s="79"/>
      <c r="AD598" s="130"/>
      <c r="AF598" s="106"/>
    </row>
    <row r="599">
      <c r="C599" s="79"/>
      <c r="D599" s="79"/>
      <c r="E599" s="79"/>
      <c r="O599" s="79"/>
      <c r="R599" s="79"/>
      <c r="S599" s="79"/>
      <c r="X599" s="79"/>
      <c r="AD599" s="130"/>
      <c r="AF599" s="106"/>
    </row>
    <row r="600">
      <c r="C600" s="79"/>
      <c r="D600" s="79"/>
      <c r="E600" s="79"/>
      <c r="O600" s="79"/>
      <c r="R600" s="79"/>
      <c r="S600" s="79"/>
      <c r="X600" s="79"/>
      <c r="AD600" s="130"/>
      <c r="AF600" s="106"/>
    </row>
    <row r="601">
      <c r="C601" s="79"/>
      <c r="D601" s="79"/>
      <c r="E601" s="79"/>
      <c r="O601" s="79"/>
      <c r="R601" s="79"/>
      <c r="S601" s="79"/>
      <c r="X601" s="79"/>
      <c r="AD601" s="130"/>
      <c r="AF601" s="106"/>
    </row>
    <row r="602">
      <c r="C602" s="79"/>
      <c r="D602" s="79"/>
      <c r="E602" s="79"/>
      <c r="O602" s="79"/>
      <c r="R602" s="79"/>
      <c r="S602" s="79"/>
      <c r="X602" s="79"/>
      <c r="AD602" s="130"/>
      <c r="AF602" s="106"/>
    </row>
    <row r="603">
      <c r="C603" s="79"/>
      <c r="D603" s="79"/>
      <c r="E603" s="79"/>
      <c r="O603" s="79"/>
      <c r="R603" s="79"/>
      <c r="S603" s="79"/>
      <c r="X603" s="79"/>
      <c r="AD603" s="130"/>
      <c r="AF603" s="106"/>
    </row>
    <row r="604">
      <c r="C604" s="79"/>
      <c r="D604" s="79"/>
      <c r="E604" s="79"/>
      <c r="O604" s="79"/>
      <c r="R604" s="79"/>
      <c r="S604" s="79"/>
      <c r="X604" s="79"/>
      <c r="AD604" s="130"/>
      <c r="AF604" s="106"/>
    </row>
    <row r="605">
      <c r="C605" s="79"/>
      <c r="D605" s="79"/>
      <c r="E605" s="79"/>
      <c r="O605" s="79"/>
      <c r="R605" s="79"/>
      <c r="S605" s="79"/>
      <c r="X605" s="79"/>
      <c r="AD605" s="130"/>
      <c r="AF605" s="106"/>
    </row>
    <row r="606">
      <c r="C606" s="79"/>
      <c r="D606" s="79"/>
      <c r="E606" s="79"/>
      <c r="O606" s="79"/>
      <c r="R606" s="79"/>
      <c r="S606" s="79"/>
      <c r="X606" s="79"/>
      <c r="AD606" s="130"/>
      <c r="AF606" s="106"/>
    </row>
    <row r="607">
      <c r="C607" s="79"/>
      <c r="D607" s="79"/>
      <c r="E607" s="79"/>
      <c r="O607" s="79"/>
      <c r="R607" s="79"/>
      <c r="S607" s="79"/>
      <c r="X607" s="79"/>
      <c r="AD607" s="130"/>
      <c r="AF607" s="106"/>
    </row>
    <row r="608">
      <c r="C608" s="79"/>
      <c r="D608" s="79"/>
      <c r="E608" s="79"/>
      <c r="O608" s="79"/>
      <c r="R608" s="79"/>
      <c r="S608" s="79"/>
      <c r="X608" s="79"/>
      <c r="AD608" s="130"/>
      <c r="AF608" s="106"/>
    </row>
    <row r="609">
      <c r="C609" s="79"/>
      <c r="D609" s="79"/>
      <c r="E609" s="79"/>
      <c r="O609" s="79"/>
      <c r="R609" s="79"/>
      <c r="S609" s="79"/>
      <c r="X609" s="79"/>
      <c r="AD609" s="130"/>
      <c r="AF609" s="106"/>
    </row>
    <row r="610">
      <c r="C610" s="79"/>
      <c r="D610" s="79"/>
      <c r="E610" s="79"/>
      <c r="O610" s="79"/>
      <c r="R610" s="79"/>
      <c r="S610" s="79"/>
      <c r="X610" s="79"/>
      <c r="AD610" s="130"/>
      <c r="AF610" s="106"/>
    </row>
    <row r="611">
      <c r="C611" s="79"/>
      <c r="D611" s="79"/>
      <c r="E611" s="79"/>
      <c r="O611" s="79"/>
      <c r="R611" s="79"/>
      <c r="S611" s="79"/>
      <c r="X611" s="79"/>
      <c r="AD611" s="130"/>
      <c r="AF611" s="106"/>
    </row>
    <row r="612">
      <c r="C612" s="79"/>
      <c r="D612" s="79"/>
      <c r="E612" s="79"/>
      <c r="O612" s="79"/>
      <c r="R612" s="79"/>
      <c r="S612" s="79"/>
      <c r="X612" s="79"/>
      <c r="AD612" s="130"/>
      <c r="AF612" s="106"/>
    </row>
    <row r="613">
      <c r="C613" s="79"/>
      <c r="D613" s="79"/>
      <c r="E613" s="79"/>
      <c r="O613" s="79"/>
      <c r="R613" s="79"/>
      <c r="S613" s="79"/>
      <c r="X613" s="79"/>
      <c r="AD613" s="130"/>
      <c r="AF613" s="106"/>
    </row>
    <row r="614">
      <c r="C614" s="79"/>
      <c r="D614" s="79"/>
      <c r="E614" s="79"/>
      <c r="O614" s="79"/>
      <c r="R614" s="79"/>
      <c r="S614" s="79"/>
      <c r="X614" s="79"/>
      <c r="AD614" s="130"/>
      <c r="AF614" s="106"/>
    </row>
    <row r="615">
      <c r="C615" s="79"/>
      <c r="D615" s="79"/>
      <c r="E615" s="79"/>
      <c r="O615" s="79"/>
      <c r="R615" s="79"/>
      <c r="S615" s="79"/>
      <c r="X615" s="79"/>
      <c r="AD615" s="130"/>
      <c r="AF615" s="106"/>
    </row>
    <row r="616">
      <c r="C616" s="79"/>
      <c r="D616" s="79"/>
      <c r="E616" s="79"/>
      <c r="O616" s="79"/>
      <c r="R616" s="79"/>
      <c r="S616" s="79"/>
      <c r="X616" s="79"/>
      <c r="AD616" s="130"/>
      <c r="AF616" s="106"/>
    </row>
    <row r="617">
      <c r="C617" s="79"/>
      <c r="D617" s="79"/>
      <c r="E617" s="79"/>
      <c r="O617" s="79"/>
      <c r="R617" s="79"/>
      <c r="S617" s="79"/>
      <c r="X617" s="79"/>
      <c r="AD617" s="130"/>
      <c r="AF617" s="106"/>
    </row>
    <row r="618">
      <c r="C618" s="79"/>
      <c r="D618" s="79"/>
      <c r="E618" s="79"/>
      <c r="O618" s="79"/>
      <c r="R618" s="79"/>
      <c r="S618" s="79"/>
      <c r="X618" s="79"/>
      <c r="AD618" s="130"/>
      <c r="AF618" s="106"/>
    </row>
    <row r="619">
      <c r="C619" s="79"/>
      <c r="D619" s="79"/>
      <c r="E619" s="79"/>
      <c r="O619" s="79"/>
      <c r="R619" s="79"/>
      <c r="S619" s="79"/>
      <c r="X619" s="79"/>
      <c r="AD619" s="130"/>
      <c r="AF619" s="106"/>
    </row>
    <row r="620">
      <c r="C620" s="79"/>
      <c r="D620" s="79"/>
      <c r="E620" s="79"/>
      <c r="O620" s="79"/>
      <c r="R620" s="79"/>
      <c r="S620" s="79"/>
      <c r="X620" s="79"/>
      <c r="AD620" s="130"/>
      <c r="AF620" s="106"/>
    </row>
    <row r="621">
      <c r="C621" s="79"/>
      <c r="D621" s="79"/>
      <c r="E621" s="79"/>
      <c r="O621" s="79"/>
      <c r="R621" s="79"/>
      <c r="S621" s="79"/>
      <c r="X621" s="79"/>
      <c r="AD621" s="130"/>
      <c r="AF621" s="106"/>
    </row>
    <row r="622">
      <c r="C622" s="79"/>
      <c r="D622" s="79"/>
      <c r="E622" s="79"/>
      <c r="O622" s="79"/>
      <c r="R622" s="79"/>
      <c r="S622" s="79"/>
      <c r="X622" s="79"/>
      <c r="AD622" s="130"/>
      <c r="AF622" s="106"/>
    </row>
    <row r="623">
      <c r="C623" s="79"/>
      <c r="D623" s="79"/>
      <c r="E623" s="79"/>
      <c r="O623" s="79"/>
      <c r="R623" s="79"/>
      <c r="S623" s="79"/>
      <c r="X623" s="79"/>
      <c r="AD623" s="130"/>
      <c r="AF623" s="106"/>
    </row>
    <row r="624">
      <c r="C624" s="79"/>
      <c r="D624" s="79"/>
      <c r="E624" s="79"/>
      <c r="O624" s="79"/>
      <c r="R624" s="79"/>
      <c r="S624" s="79"/>
      <c r="X624" s="79"/>
      <c r="AD624" s="130"/>
      <c r="AF624" s="106"/>
    </row>
    <row r="625">
      <c r="C625" s="79"/>
      <c r="D625" s="79"/>
      <c r="E625" s="79"/>
      <c r="O625" s="79"/>
      <c r="R625" s="79"/>
      <c r="S625" s="79"/>
      <c r="X625" s="79"/>
      <c r="AD625" s="130"/>
      <c r="AF625" s="106"/>
    </row>
    <row r="626">
      <c r="C626" s="79"/>
      <c r="D626" s="79"/>
      <c r="E626" s="79"/>
      <c r="O626" s="79"/>
      <c r="R626" s="79"/>
      <c r="S626" s="79"/>
      <c r="X626" s="79"/>
      <c r="AD626" s="130"/>
      <c r="AF626" s="106"/>
    </row>
    <row r="627">
      <c r="C627" s="79"/>
      <c r="D627" s="79"/>
      <c r="E627" s="79"/>
      <c r="O627" s="79"/>
      <c r="R627" s="79"/>
      <c r="S627" s="79"/>
      <c r="X627" s="79"/>
      <c r="AD627" s="130"/>
      <c r="AF627" s="106"/>
    </row>
    <row r="628">
      <c r="C628" s="79"/>
      <c r="D628" s="79"/>
      <c r="E628" s="79"/>
      <c r="O628" s="79"/>
      <c r="R628" s="79"/>
      <c r="S628" s="79"/>
      <c r="X628" s="79"/>
      <c r="AD628" s="130"/>
      <c r="AF628" s="106"/>
    </row>
    <row r="629">
      <c r="C629" s="79"/>
      <c r="D629" s="79"/>
      <c r="E629" s="79"/>
      <c r="O629" s="79"/>
      <c r="R629" s="79"/>
      <c r="S629" s="79"/>
      <c r="X629" s="79"/>
      <c r="AD629" s="130"/>
      <c r="AF629" s="106"/>
    </row>
    <row r="630">
      <c r="C630" s="79"/>
      <c r="D630" s="79"/>
      <c r="E630" s="79"/>
      <c r="O630" s="79"/>
      <c r="R630" s="79"/>
      <c r="S630" s="79"/>
      <c r="X630" s="79"/>
      <c r="AD630" s="130"/>
      <c r="AF630" s="106"/>
    </row>
    <row r="631">
      <c r="C631" s="79"/>
      <c r="D631" s="79"/>
      <c r="E631" s="79"/>
      <c r="O631" s="79"/>
      <c r="R631" s="79"/>
      <c r="S631" s="79"/>
      <c r="X631" s="79"/>
      <c r="AD631" s="130"/>
      <c r="AF631" s="106"/>
    </row>
    <row r="632">
      <c r="C632" s="79"/>
      <c r="D632" s="79"/>
      <c r="E632" s="79"/>
      <c r="O632" s="79"/>
      <c r="R632" s="79"/>
      <c r="S632" s="79"/>
      <c r="X632" s="79"/>
      <c r="AD632" s="130"/>
      <c r="AF632" s="106"/>
    </row>
    <row r="633">
      <c r="C633" s="79"/>
      <c r="D633" s="79"/>
      <c r="E633" s="79"/>
      <c r="O633" s="79"/>
      <c r="R633" s="79"/>
      <c r="S633" s="79"/>
      <c r="X633" s="79"/>
      <c r="AD633" s="130"/>
      <c r="AF633" s="106"/>
    </row>
    <row r="634">
      <c r="C634" s="79"/>
      <c r="D634" s="79"/>
      <c r="E634" s="79"/>
      <c r="O634" s="79"/>
      <c r="R634" s="79"/>
      <c r="S634" s="79"/>
      <c r="X634" s="79"/>
      <c r="AD634" s="130"/>
      <c r="AF634" s="106"/>
    </row>
    <row r="635">
      <c r="C635" s="79"/>
      <c r="D635" s="79"/>
      <c r="E635" s="79"/>
      <c r="O635" s="79"/>
      <c r="R635" s="79"/>
      <c r="S635" s="79"/>
      <c r="X635" s="79"/>
      <c r="AD635" s="130"/>
      <c r="AF635" s="106"/>
    </row>
    <row r="636">
      <c r="C636" s="79"/>
      <c r="D636" s="79"/>
      <c r="E636" s="79"/>
      <c r="O636" s="79"/>
      <c r="R636" s="79"/>
      <c r="S636" s="79"/>
      <c r="X636" s="79"/>
      <c r="AD636" s="130"/>
      <c r="AF636" s="106"/>
    </row>
    <row r="637">
      <c r="C637" s="79"/>
      <c r="D637" s="79"/>
      <c r="E637" s="79"/>
      <c r="O637" s="79"/>
      <c r="R637" s="79"/>
      <c r="S637" s="79"/>
      <c r="X637" s="79"/>
      <c r="AD637" s="130"/>
      <c r="AF637" s="106"/>
    </row>
    <row r="638">
      <c r="C638" s="79"/>
      <c r="D638" s="79"/>
      <c r="E638" s="79"/>
      <c r="O638" s="79"/>
      <c r="R638" s="79"/>
      <c r="S638" s="79"/>
      <c r="X638" s="79"/>
      <c r="AD638" s="130"/>
      <c r="AF638" s="106"/>
    </row>
    <row r="639">
      <c r="C639" s="79"/>
      <c r="D639" s="79"/>
      <c r="E639" s="79"/>
      <c r="O639" s="79"/>
      <c r="R639" s="79"/>
      <c r="S639" s="79"/>
      <c r="X639" s="79"/>
      <c r="AD639" s="130"/>
      <c r="AF639" s="106"/>
    </row>
    <row r="640">
      <c r="C640" s="79"/>
      <c r="D640" s="79"/>
      <c r="E640" s="79"/>
      <c r="O640" s="79"/>
      <c r="R640" s="79"/>
      <c r="S640" s="79"/>
      <c r="X640" s="79"/>
      <c r="AD640" s="130"/>
      <c r="AF640" s="106"/>
    </row>
    <row r="641">
      <c r="C641" s="79"/>
      <c r="D641" s="79"/>
      <c r="E641" s="79"/>
      <c r="O641" s="79"/>
      <c r="R641" s="79"/>
      <c r="S641" s="79"/>
      <c r="X641" s="79"/>
      <c r="AD641" s="130"/>
      <c r="AF641" s="106"/>
    </row>
    <row r="642">
      <c r="C642" s="79"/>
      <c r="D642" s="79"/>
      <c r="E642" s="79"/>
      <c r="O642" s="79"/>
      <c r="R642" s="79"/>
      <c r="S642" s="79"/>
      <c r="X642" s="79"/>
      <c r="AD642" s="130"/>
      <c r="AF642" s="106"/>
    </row>
    <row r="643">
      <c r="C643" s="79"/>
      <c r="D643" s="79"/>
      <c r="E643" s="79"/>
      <c r="O643" s="79"/>
      <c r="R643" s="79"/>
      <c r="S643" s="79"/>
      <c r="X643" s="79"/>
      <c r="AD643" s="130"/>
      <c r="AF643" s="106"/>
    </row>
    <row r="644">
      <c r="C644" s="79"/>
      <c r="D644" s="79"/>
      <c r="E644" s="79"/>
      <c r="O644" s="79"/>
      <c r="R644" s="79"/>
      <c r="S644" s="79"/>
      <c r="X644" s="79"/>
      <c r="AD644" s="130"/>
      <c r="AF644" s="106"/>
    </row>
    <row r="645">
      <c r="C645" s="79"/>
      <c r="D645" s="79"/>
      <c r="E645" s="79"/>
      <c r="O645" s="79"/>
      <c r="R645" s="79"/>
      <c r="S645" s="79"/>
      <c r="X645" s="79"/>
      <c r="AD645" s="130"/>
      <c r="AF645" s="106"/>
    </row>
    <row r="646">
      <c r="C646" s="79"/>
      <c r="D646" s="79"/>
      <c r="E646" s="79"/>
      <c r="O646" s="79"/>
      <c r="R646" s="79"/>
      <c r="S646" s="79"/>
      <c r="X646" s="79"/>
      <c r="AD646" s="130"/>
      <c r="AF646" s="106"/>
    </row>
    <row r="647">
      <c r="C647" s="79"/>
      <c r="D647" s="79"/>
      <c r="E647" s="79"/>
      <c r="O647" s="79"/>
      <c r="R647" s="79"/>
      <c r="S647" s="79"/>
      <c r="X647" s="79"/>
      <c r="AD647" s="130"/>
      <c r="AF647" s="106"/>
    </row>
    <row r="648">
      <c r="C648" s="79"/>
      <c r="D648" s="79"/>
      <c r="E648" s="79"/>
      <c r="O648" s="79"/>
      <c r="R648" s="79"/>
      <c r="S648" s="79"/>
      <c r="X648" s="79"/>
      <c r="AD648" s="130"/>
      <c r="AF648" s="106"/>
    </row>
    <row r="649">
      <c r="C649" s="79"/>
      <c r="D649" s="79"/>
      <c r="E649" s="79"/>
      <c r="O649" s="79"/>
      <c r="R649" s="79"/>
      <c r="S649" s="79"/>
      <c r="X649" s="79"/>
      <c r="AD649" s="130"/>
      <c r="AF649" s="106"/>
    </row>
    <row r="650">
      <c r="C650" s="79"/>
      <c r="D650" s="79"/>
      <c r="E650" s="79"/>
      <c r="O650" s="79"/>
      <c r="R650" s="79"/>
      <c r="S650" s="79"/>
      <c r="X650" s="79"/>
      <c r="AD650" s="130"/>
      <c r="AF650" s="106"/>
    </row>
    <row r="651">
      <c r="C651" s="79"/>
      <c r="D651" s="79"/>
      <c r="E651" s="79"/>
      <c r="O651" s="79"/>
      <c r="R651" s="79"/>
      <c r="S651" s="79"/>
      <c r="X651" s="79"/>
      <c r="AD651" s="130"/>
      <c r="AF651" s="106"/>
    </row>
    <row r="652">
      <c r="C652" s="79"/>
      <c r="D652" s="79"/>
      <c r="E652" s="79"/>
      <c r="O652" s="79"/>
      <c r="R652" s="79"/>
      <c r="S652" s="79"/>
      <c r="X652" s="79"/>
      <c r="AD652" s="130"/>
      <c r="AF652" s="106"/>
    </row>
    <row r="653">
      <c r="C653" s="79"/>
      <c r="D653" s="79"/>
      <c r="E653" s="79"/>
      <c r="O653" s="79"/>
      <c r="R653" s="79"/>
      <c r="S653" s="79"/>
      <c r="X653" s="79"/>
      <c r="AD653" s="130"/>
      <c r="AF653" s="106"/>
    </row>
    <row r="654">
      <c r="C654" s="79"/>
      <c r="D654" s="79"/>
      <c r="E654" s="79"/>
      <c r="O654" s="79"/>
      <c r="R654" s="79"/>
      <c r="S654" s="79"/>
      <c r="X654" s="79"/>
      <c r="AD654" s="130"/>
      <c r="AF654" s="106"/>
    </row>
    <row r="655">
      <c r="C655" s="79"/>
      <c r="D655" s="79"/>
      <c r="E655" s="79"/>
      <c r="O655" s="79"/>
      <c r="R655" s="79"/>
      <c r="S655" s="79"/>
      <c r="X655" s="79"/>
      <c r="AD655" s="130"/>
      <c r="AF655" s="106"/>
    </row>
    <row r="656">
      <c r="C656" s="79"/>
      <c r="D656" s="79"/>
      <c r="E656" s="79"/>
      <c r="O656" s="79"/>
      <c r="R656" s="79"/>
      <c r="S656" s="79"/>
      <c r="X656" s="79"/>
      <c r="AD656" s="130"/>
      <c r="AF656" s="106"/>
    </row>
    <row r="657">
      <c r="C657" s="79"/>
      <c r="D657" s="79"/>
      <c r="E657" s="79"/>
      <c r="O657" s="79"/>
      <c r="R657" s="79"/>
      <c r="S657" s="79"/>
      <c r="X657" s="79"/>
      <c r="AD657" s="130"/>
      <c r="AF657" s="106"/>
    </row>
    <row r="658">
      <c r="C658" s="79"/>
      <c r="D658" s="79"/>
      <c r="E658" s="79"/>
      <c r="O658" s="79"/>
      <c r="R658" s="79"/>
      <c r="S658" s="79"/>
      <c r="X658" s="79"/>
      <c r="AD658" s="130"/>
      <c r="AF658" s="106"/>
    </row>
    <row r="659">
      <c r="C659" s="79"/>
      <c r="D659" s="79"/>
      <c r="E659" s="79"/>
      <c r="O659" s="79"/>
      <c r="R659" s="79"/>
      <c r="S659" s="79"/>
      <c r="X659" s="79"/>
      <c r="AD659" s="130"/>
      <c r="AF659" s="106"/>
    </row>
    <row r="660">
      <c r="C660" s="79"/>
      <c r="D660" s="79"/>
      <c r="E660" s="79"/>
      <c r="O660" s="79"/>
      <c r="R660" s="79"/>
      <c r="S660" s="79"/>
      <c r="X660" s="79"/>
      <c r="AD660" s="130"/>
      <c r="AF660" s="106"/>
    </row>
    <row r="661">
      <c r="C661" s="79"/>
      <c r="D661" s="79"/>
      <c r="E661" s="79"/>
      <c r="O661" s="79"/>
      <c r="R661" s="79"/>
      <c r="S661" s="79"/>
      <c r="X661" s="79"/>
      <c r="AD661" s="130"/>
      <c r="AF661" s="106"/>
    </row>
    <row r="662">
      <c r="C662" s="79"/>
      <c r="D662" s="79"/>
      <c r="E662" s="79"/>
      <c r="O662" s="79"/>
      <c r="R662" s="79"/>
      <c r="S662" s="79"/>
      <c r="X662" s="79"/>
      <c r="AD662" s="130"/>
      <c r="AF662" s="106"/>
    </row>
    <row r="663">
      <c r="C663" s="79"/>
      <c r="D663" s="79"/>
      <c r="E663" s="79"/>
      <c r="O663" s="79"/>
      <c r="R663" s="79"/>
      <c r="S663" s="79"/>
      <c r="X663" s="79"/>
      <c r="AD663" s="130"/>
      <c r="AF663" s="106"/>
    </row>
    <row r="664">
      <c r="C664" s="79"/>
      <c r="D664" s="79"/>
      <c r="E664" s="79"/>
      <c r="O664" s="79"/>
      <c r="R664" s="79"/>
      <c r="S664" s="79"/>
      <c r="X664" s="79"/>
      <c r="AD664" s="130"/>
      <c r="AF664" s="106"/>
    </row>
    <row r="665">
      <c r="C665" s="79"/>
      <c r="D665" s="79"/>
      <c r="E665" s="79"/>
      <c r="O665" s="79"/>
      <c r="R665" s="79"/>
      <c r="S665" s="79"/>
      <c r="X665" s="79"/>
      <c r="AD665" s="130"/>
      <c r="AF665" s="106"/>
    </row>
    <row r="666">
      <c r="C666" s="79"/>
      <c r="D666" s="79"/>
      <c r="E666" s="79"/>
      <c r="O666" s="79"/>
      <c r="R666" s="79"/>
      <c r="S666" s="79"/>
      <c r="X666" s="79"/>
      <c r="AD666" s="130"/>
      <c r="AF666" s="106"/>
    </row>
    <row r="667">
      <c r="C667" s="79"/>
      <c r="D667" s="79"/>
      <c r="E667" s="79"/>
      <c r="O667" s="79"/>
      <c r="R667" s="79"/>
      <c r="S667" s="79"/>
      <c r="X667" s="79"/>
      <c r="AD667" s="130"/>
      <c r="AF667" s="106"/>
    </row>
    <row r="668">
      <c r="C668" s="79"/>
      <c r="D668" s="79"/>
      <c r="E668" s="79"/>
      <c r="O668" s="79"/>
      <c r="R668" s="79"/>
      <c r="S668" s="79"/>
      <c r="X668" s="79"/>
      <c r="AD668" s="130"/>
      <c r="AF668" s="106"/>
    </row>
    <row r="669">
      <c r="C669" s="79"/>
      <c r="D669" s="79"/>
      <c r="E669" s="79"/>
      <c r="O669" s="79"/>
      <c r="R669" s="79"/>
      <c r="S669" s="79"/>
      <c r="X669" s="79"/>
      <c r="AD669" s="130"/>
      <c r="AF669" s="106"/>
    </row>
    <row r="670">
      <c r="C670" s="79"/>
      <c r="D670" s="79"/>
      <c r="E670" s="79"/>
      <c r="O670" s="79"/>
      <c r="R670" s="79"/>
      <c r="S670" s="79"/>
      <c r="X670" s="79"/>
      <c r="AD670" s="130"/>
      <c r="AF670" s="106"/>
    </row>
    <row r="671">
      <c r="C671" s="79"/>
      <c r="D671" s="79"/>
      <c r="E671" s="79"/>
      <c r="O671" s="79"/>
      <c r="R671" s="79"/>
      <c r="S671" s="79"/>
      <c r="X671" s="79"/>
      <c r="AD671" s="130"/>
      <c r="AF671" s="106"/>
    </row>
    <row r="672">
      <c r="C672" s="79"/>
      <c r="D672" s="79"/>
      <c r="E672" s="79"/>
      <c r="O672" s="79"/>
      <c r="R672" s="79"/>
      <c r="S672" s="79"/>
      <c r="X672" s="79"/>
      <c r="AD672" s="130"/>
      <c r="AF672" s="106"/>
    </row>
    <row r="673">
      <c r="C673" s="79"/>
      <c r="D673" s="79"/>
      <c r="E673" s="79"/>
      <c r="O673" s="79"/>
      <c r="R673" s="79"/>
      <c r="S673" s="79"/>
      <c r="X673" s="79"/>
      <c r="AD673" s="130"/>
      <c r="AF673" s="106"/>
    </row>
    <row r="674">
      <c r="C674" s="79"/>
      <c r="D674" s="79"/>
      <c r="E674" s="79"/>
      <c r="O674" s="79"/>
      <c r="R674" s="79"/>
      <c r="S674" s="79"/>
      <c r="X674" s="79"/>
      <c r="AD674" s="130"/>
      <c r="AF674" s="106"/>
    </row>
    <row r="675">
      <c r="C675" s="79"/>
      <c r="D675" s="79"/>
      <c r="E675" s="79"/>
      <c r="O675" s="79"/>
      <c r="R675" s="79"/>
      <c r="S675" s="79"/>
      <c r="X675" s="79"/>
      <c r="AD675" s="130"/>
      <c r="AF675" s="106"/>
    </row>
    <row r="676">
      <c r="C676" s="79"/>
      <c r="D676" s="79"/>
      <c r="E676" s="79"/>
      <c r="O676" s="79"/>
      <c r="R676" s="79"/>
      <c r="S676" s="79"/>
      <c r="X676" s="79"/>
      <c r="AD676" s="130"/>
      <c r="AF676" s="106"/>
    </row>
    <row r="677">
      <c r="C677" s="79"/>
      <c r="D677" s="79"/>
      <c r="E677" s="79"/>
      <c r="O677" s="79"/>
      <c r="R677" s="79"/>
      <c r="S677" s="79"/>
      <c r="X677" s="79"/>
      <c r="AD677" s="130"/>
      <c r="AF677" s="106"/>
    </row>
    <row r="678">
      <c r="C678" s="79"/>
      <c r="D678" s="79"/>
      <c r="E678" s="79"/>
      <c r="O678" s="79"/>
      <c r="R678" s="79"/>
      <c r="S678" s="79"/>
      <c r="X678" s="79"/>
      <c r="AD678" s="130"/>
      <c r="AF678" s="106"/>
    </row>
    <row r="679">
      <c r="C679" s="79"/>
      <c r="D679" s="79"/>
      <c r="E679" s="79"/>
      <c r="O679" s="79"/>
      <c r="R679" s="79"/>
      <c r="S679" s="79"/>
      <c r="X679" s="79"/>
      <c r="AD679" s="130"/>
      <c r="AF679" s="106"/>
    </row>
    <row r="680">
      <c r="C680" s="79"/>
      <c r="D680" s="79"/>
      <c r="E680" s="79"/>
      <c r="O680" s="79"/>
      <c r="R680" s="79"/>
      <c r="S680" s="79"/>
      <c r="X680" s="79"/>
      <c r="AD680" s="130"/>
      <c r="AF680" s="106"/>
    </row>
    <row r="681">
      <c r="C681" s="79"/>
      <c r="D681" s="79"/>
      <c r="E681" s="79"/>
      <c r="O681" s="79"/>
      <c r="R681" s="79"/>
      <c r="S681" s="79"/>
      <c r="X681" s="79"/>
      <c r="AD681" s="130"/>
      <c r="AF681" s="106"/>
    </row>
    <row r="682">
      <c r="C682" s="79"/>
      <c r="D682" s="79"/>
      <c r="E682" s="79"/>
      <c r="O682" s="79"/>
      <c r="R682" s="79"/>
      <c r="S682" s="79"/>
      <c r="X682" s="79"/>
      <c r="AD682" s="130"/>
      <c r="AF682" s="106"/>
    </row>
    <row r="683">
      <c r="C683" s="79"/>
      <c r="D683" s="79"/>
      <c r="E683" s="79"/>
      <c r="O683" s="79"/>
      <c r="R683" s="79"/>
      <c r="S683" s="79"/>
      <c r="X683" s="79"/>
      <c r="AD683" s="130"/>
      <c r="AF683" s="106"/>
    </row>
    <row r="684">
      <c r="C684" s="79"/>
      <c r="D684" s="79"/>
      <c r="E684" s="79"/>
      <c r="O684" s="79"/>
      <c r="R684" s="79"/>
      <c r="S684" s="79"/>
      <c r="X684" s="79"/>
      <c r="AD684" s="130"/>
      <c r="AF684" s="106"/>
    </row>
    <row r="685">
      <c r="C685" s="79"/>
      <c r="D685" s="79"/>
      <c r="E685" s="79"/>
      <c r="O685" s="79"/>
      <c r="R685" s="79"/>
      <c r="S685" s="79"/>
      <c r="X685" s="79"/>
      <c r="AD685" s="130"/>
      <c r="AF685" s="106"/>
    </row>
    <row r="686">
      <c r="C686" s="79"/>
      <c r="D686" s="79"/>
      <c r="E686" s="79"/>
      <c r="O686" s="79"/>
      <c r="R686" s="79"/>
      <c r="S686" s="79"/>
      <c r="X686" s="79"/>
      <c r="AD686" s="130"/>
      <c r="AF686" s="106"/>
    </row>
    <row r="687">
      <c r="C687" s="79"/>
      <c r="D687" s="79"/>
      <c r="E687" s="79"/>
      <c r="O687" s="79"/>
      <c r="R687" s="79"/>
      <c r="S687" s="79"/>
      <c r="X687" s="79"/>
      <c r="AD687" s="130"/>
      <c r="AF687" s="106"/>
    </row>
    <row r="688">
      <c r="C688" s="79"/>
      <c r="D688" s="79"/>
      <c r="E688" s="79"/>
      <c r="O688" s="79"/>
      <c r="R688" s="79"/>
      <c r="S688" s="79"/>
      <c r="X688" s="79"/>
      <c r="AD688" s="130"/>
      <c r="AF688" s="106"/>
    </row>
    <row r="689">
      <c r="C689" s="79"/>
      <c r="D689" s="79"/>
      <c r="E689" s="79"/>
      <c r="O689" s="79"/>
      <c r="R689" s="79"/>
      <c r="S689" s="79"/>
      <c r="X689" s="79"/>
      <c r="AD689" s="130"/>
      <c r="AF689" s="106"/>
    </row>
    <row r="690">
      <c r="C690" s="79"/>
      <c r="D690" s="79"/>
      <c r="E690" s="79"/>
      <c r="O690" s="79"/>
      <c r="R690" s="79"/>
      <c r="S690" s="79"/>
      <c r="X690" s="79"/>
      <c r="AD690" s="130"/>
      <c r="AF690" s="106"/>
    </row>
    <row r="691">
      <c r="C691" s="79"/>
      <c r="D691" s="79"/>
      <c r="E691" s="79"/>
      <c r="O691" s="79"/>
      <c r="R691" s="79"/>
      <c r="S691" s="79"/>
      <c r="X691" s="79"/>
      <c r="AD691" s="130"/>
      <c r="AF691" s="106"/>
    </row>
    <row r="692">
      <c r="C692" s="79"/>
      <c r="D692" s="79"/>
      <c r="E692" s="79"/>
      <c r="O692" s="79"/>
      <c r="R692" s="79"/>
      <c r="S692" s="79"/>
      <c r="X692" s="79"/>
      <c r="AD692" s="130"/>
      <c r="AF692" s="106"/>
    </row>
    <row r="693">
      <c r="C693" s="79"/>
      <c r="D693" s="79"/>
      <c r="E693" s="79"/>
      <c r="O693" s="79"/>
      <c r="R693" s="79"/>
      <c r="S693" s="79"/>
      <c r="X693" s="79"/>
      <c r="AD693" s="130"/>
      <c r="AF693" s="106"/>
    </row>
    <row r="694">
      <c r="C694" s="79"/>
      <c r="D694" s="79"/>
      <c r="E694" s="79"/>
      <c r="O694" s="79"/>
      <c r="R694" s="79"/>
      <c r="S694" s="79"/>
      <c r="X694" s="79"/>
      <c r="AD694" s="130"/>
      <c r="AF694" s="106"/>
    </row>
    <row r="695">
      <c r="C695" s="79"/>
      <c r="D695" s="79"/>
      <c r="E695" s="79"/>
      <c r="O695" s="79"/>
      <c r="R695" s="79"/>
      <c r="S695" s="79"/>
      <c r="X695" s="79"/>
      <c r="AD695" s="130"/>
      <c r="AF695" s="106"/>
    </row>
    <row r="696">
      <c r="C696" s="79"/>
      <c r="D696" s="79"/>
      <c r="E696" s="79"/>
      <c r="O696" s="79"/>
      <c r="R696" s="79"/>
      <c r="S696" s="79"/>
      <c r="X696" s="79"/>
      <c r="AD696" s="130"/>
      <c r="AF696" s="106"/>
    </row>
    <row r="697">
      <c r="C697" s="79"/>
      <c r="D697" s="79"/>
      <c r="E697" s="79"/>
      <c r="O697" s="79"/>
      <c r="R697" s="79"/>
      <c r="S697" s="79"/>
      <c r="X697" s="79"/>
      <c r="AD697" s="130"/>
      <c r="AF697" s="106"/>
    </row>
    <row r="698">
      <c r="C698" s="79"/>
      <c r="D698" s="79"/>
      <c r="E698" s="79"/>
      <c r="O698" s="79"/>
      <c r="R698" s="79"/>
      <c r="S698" s="79"/>
      <c r="X698" s="79"/>
      <c r="AD698" s="130"/>
      <c r="AF698" s="106"/>
    </row>
    <row r="699">
      <c r="C699" s="79"/>
      <c r="D699" s="79"/>
      <c r="E699" s="79"/>
      <c r="O699" s="79"/>
      <c r="R699" s="79"/>
      <c r="S699" s="79"/>
      <c r="X699" s="79"/>
      <c r="AD699" s="130"/>
      <c r="AF699" s="106"/>
    </row>
    <row r="700">
      <c r="C700" s="79"/>
      <c r="D700" s="79"/>
      <c r="E700" s="79"/>
      <c r="O700" s="79"/>
      <c r="R700" s="79"/>
      <c r="S700" s="79"/>
      <c r="X700" s="79"/>
      <c r="AD700" s="130"/>
      <c r="AF700" s="106"/>
    </row>
    <row r="701">
      <c r="C701" s="79"/>
      <c r="D701" s="79"/>
      <c r="E701" s="79"/>
      <c r="O701" s="79"/>
      <c r="R701" s="79"/>
      <c r="S701" s="79"/>
      <c r="X701" s="79"/>
      <c r="AD701" s="130"/>
      <c r="AF701" s="106"/>
    </row>
    <row r="702">
      <c r="C702" s="79"/>
      <c r="D702" s="79"/>
      <c r="E702" s="79"/>
      <c r="O702" s="79"/>
      <c r="R702" s="79"/>
      <c r="S702" s="79"/>
      <c r="X702" s="79"/>
      <c r="AD702" s="130"/>
      <c r="AF702" s="106"/>
    </row>
    <row r="703">
      <c r="C703" s="79"/>
      <c r="D703" s="79"/>
      <c r="E703" s="79"/>
      <c r="O703" s="79"/>
      <c r="R703" s="79"/>
      <c r="S703" s="79"/>
      <c r="X703" s="79"/>
      <c r="AD703" s="130"/>
      <c r="AF703" s="106"/>
    </row>
    <row r="704">
      <c r="C704" s="79"/>
      <c r="D704" s="79"/>
      <c r="E704" s="79"/>
      <c r="O704" s="79"/>
      <c r="R704" s="79"/>
      <c r="S704" s="79"/>
      <c r="X704" s="79"/>
      <c r="AD704" s="130"/>
      <c r="AF704" s="106"/>
    </row>
    <row r="705">
      <c r="C705" s="79"/>
      <c r="D705" s="79"/>
      <c r="E705" s="79"/>
      <c r="O705" s="79"/>
      <c r="R705" s="79"/>
      <c r="S705" s="79"/>
      <c r="X705" s="79"/>
      <c r="AD705" s="130"/>
      <c r="AF705" s="106"/>
    </row>
    <row r="706">
      <c r="C706" s="79"/>
      <c r="D706" s="79"/>
      <c r="E706" s="79"/>
      <c r="O706" s="79"/>
      <c r="R706" s="79"/>
      <c r="S706" s="79"/>
      <c r="X706" s="79"/>
      <c r="AD706" s="130"/>
      <c r="AF706" s="106"/>
    </row>
    <row r="707">
      <c r="C707" s="79"/>
      <c r="D707" s="79"/>
      <c r="E707" s="79"/>
      <c r="O707" s="79"/>
      <c r="R707" s="79"/>
      <c r="S707" s="79"/>
      <c r="X707" s="79"/>
      <c r="AD707" s="130"/>
      <c r="AF707" s="106"/>
    </row>
    <row r="708">
      <c r="C708" s="79"/>
      <c r="D708" s="79"/>
      <c r="E708" s="79"/>
      <c r="O708" s="79"/>
      <c r="R708" s="79"/>
      <c r="S708" s="79"/>
      <c r="X708" s="79"/>
      <c r="AD708" s="130"/>
      <c r="AF708" s="106"/>
    </row>
    <row r="709">
      <c r="C709" s="79"/>
      <c r="D709" s="79"/>
      <c r="E709" s="79"/>
      <c r="O709" s="79"/>
      <c r="R709" s="79"/>
      <c r="S709" s="79"/>
      <c r="X709" s="79"/>
      <c r="AD709" s="130"/>
      <c r="AF709" s="106"/>
    </row>
    <row r="710">
      <c r="C710" s="79"/>
      <c r="D710" s="79"/>
      <c r="E710" s="79"/>
      <c r="O710" s="79"/>
      <c r="R710" s="79"/>
      <c r="S710" s="79"/>
      <c r="X710" s="79"/>
      <c r="AD710" s="130"/>
      <c r="AF710" s="106"/>
    </row>
    <row r="711">
      <c r="C711" s="79"/>
      <c r="D711" s="79"/>
      <c r="E711" s="79"/>
      <c r="O711" s="79"/>
      <c r="R711" s="79"/>
      <c r="S711" s="79"/>
      <c r="X711" s="79"/>
      <c r="AD711" s="130"/>
      <c r="AF711" s="106"/>
    </row>
    <row r="712">
      <c r="C712" s="79"/>
      <c r="D712" s="79"/>
      <c r="E712" s="79"/>
      <c r="O712" s="79"/>
      <c r="R712" s="79"/>
      <c r="S712" s="79"/>
      <c r="X712" s="79"/>
      <c r="AD712" s="130"/>
      <c r="AF712" s="106"/>
    </row>
    <row r="713">
      <c r="C713" s="79"/>
      <c r="D713" s="79"/>
      <c r="E713" s="79"/>
      <c r="O713" s="79"/>
      <c r="R713" s="79"/>
      <c r="S713" s="79"/>
      <c r="X713" s="79"/>
      <c r="AD713" s="130"/>
      <c r="AF713" s="106"/>
    </row>
    <row r="714">
      <c r="C714" s="79"/>
      <c r="D714" s="79"/>
      <c r="E714" s="79"/>
      <c r="O714" s="79"/>
      <c r="R714" s="79"/>
      <c r="S714" s="79"/>
      <c r="X714" s="79"/>
      <c r="AD714" s="130"/>
      <c r="AF714" s="106"/>
    </row>
    <row r="715">
      <c r="C715" s="79"/>
      <c r="D715" s="79"/>
      <c r="E715" s="79"/>
      <c r="O715" s="79"/>
      <c r="R715" s="79"/>
      <c r="S715" s="79"/>
      <c r="X715" s="79"/>
      <c r="AD715" s="130"/>
      <c r="AF715" s="106"/>
    </row>
    <row r="716">
      <c r="C716" s="79"/>
      <c r="D716" s="79"/>
      <c r="E716" s="79"/>
      <c r="O716" s="79"/>
      <c r="R716" s="79"/>
      <c r="S716" s="79"/>
      <c r="X716" s="79"/>
      <c r="AD716" s="130"/>
      <c r="AF716" s="106"/>
    </row>
    <row r="717">
      <c r="C717" s="79"/>
      <c r="D717" s="79"/>
      <c r="E717" s="79"/>
      <c r="O717" s="79"/>
      <c r="R717" s="79"/>
      <c r="S717" s="79"/>
      <c r="X717" s="79"/>
      <c r="AD717" s="130"/>
      <c r="AF717" s="106"/>
    </row>
    <row r="718">
      <c r="C718" s="79"/>
      <c r="D718" s="79"/>
      <c r="E718" s="79"/>
      <c r="O718" s="79"/>
      <c r="R718" s="79"/>
      <c r="S718" s="79"/>
      <c r="X718" s="79"/>
      <c r="AD718" s="130"/>
      <c r="AF718" s="106"/>
    </row>
    <row r="719">
      <c r="C719" s="79"/>
      <c r="D719" s="79"/>
      <c r="E719" s="79"/>
      <c r="O719" s="79"/>
      <c r="R719" s="79"/>
      <c r="S719" s="79"/>
      <c r="X719" s="79"/>
      <c r="AD719" s="130"/>
      <c r="AF719" s="106"/>
    </row>
    <row r="720">
      <c r="C720" s="79"/>
      <c r="D720" s="79"/>
      <c r="E720" s="79"/>
      <c r="O720" s="79"/>
      <c r="R720" s="79"/>
      <c r="S720" s="79"/>
      <c r="X720" s="79"/>
      <c r="AD720" s="130"/>
      <c r="AF720" s="106"/>
    </row>
    <row r="721">
      <c r="C721" s="79"/>
      <c r="D721" s="79"/>
      <c r="E721" s="79"/>
      <c r="O721" s="79"/>
      <c r="R721" s="79"/>
      <c r="S721" s="79"/>
      <c r="X721" s="79"/>
      <c r="AD721" s="130"/>
      <c r="AF721" s="106"/>
    </row>
    <row r="722">
      <c r="C722" s="79"/>
      <c r="D722" s="79"/>
      <c r="E722" s="79"/>
      <c r="O722" s="79"/>
      <c r="R722" s="79"/>
      <c r="S722" s="79"/>
      <c r="X722" s="79"/>
      <c r="AD722" s="130"/>
      <c r="AF722" s="106"/>
    </row>
    <row r="723">
      <c r="C723" s="79"/>
      <c r="D723" s="79"/>
      <c r="E723" s="79"/>
      <c r="O723" s="79"/>
      <c r="R723" s="79"/>
      <c r="S723" s="79"/>
      <c r="X723" s="79"/>
      <c r="AD723" s="130"/>
      <c r="AF723" s="106"/>
    </row>
    <row r="724">
      <c r="C724" s="79"/>
      <c r="D724" s="79"/>
      <c r="E724" s="79"/>
      <c r="O724" s="79"/>
      <c r="R724" s="79"/>
      <c r="S724" s="79"/>
      <c r="X724" s="79"/>
      <c r="AD724" s="130"/>
      <c r="AF724" s="106"/>
    </row>
    <row r="725">
      <c r="C725" s="79"/>
      <c r="D725" s="79"/>
      <c r="E725" s="79"/>
      <c r="O725" s="79"/>
      <c r="R725" s="79"/>
      <c r="S725" s="79"/>
      <c r="X725" s="79"/>
      <c r="AD725" s="130"/>
      <c r="AF725" s="106"/>
    </row>
    <row r="726">
      <c r="C726" s="79"/>
      <c r="D726" s="79"/>
      <c r="E726" s="79"/>
      <c r="O726" s="79"/>
      <c r="R726" s="79"/>
      <c r="S726" s="79"/>
      <c r="X726" s="79"/>
      <c r="AD726" s="130"/>
      <c r="AF726" s="106"/>
    </row>
    <row r="727">
      <c r="C727" s="79"/>
      <c r="D727" s="79"/>
      <c r="E727" s="79"/>
      <c r="O727" s="79"/>
      <c r="R727" s="79"/>
      <c r="S727" s="79"/>
      <c r="X727" s="79"/>
      <c r="AD727" s="130"/>
      <c r="AF727" s="106"/>
    </row>
    <row r="728">
      <c r="C728" s="79"/>
      <c r="D728" s="79"/>
      <c r="E728" s="79"/>
      <c r="O728" s="79"/>
      <c r="R728" s="79"/>
      <c r="S728" s="79"/>
      <c r="X728" s="79"/>
      <c r="AD728" s="130"/>
      <c r="AF728" s="106"/>
    </row>
    <row r="729">
      <c r="C729" s="79"/>
      <c r="D729" s="79"/>
      <c r="E729" s="79"/>
      <c r="O729" s="79"/>
      <c r="R729" s="79"/>
      <c r="S729" s="79"/>
      <c r="X729" s="79"/>
      <c r="AD729" s="130"/>
      <c r="AF729" s="106"/>
    </row>
    <row r="730">
      <c r="C730" s="79"/>
      <c r="D730" s="79"/>
      <c r="E730" s="79"/>
      <c r="O730" s="79"/>
      <c r="R730" s="79"/>
      <c r="S730" s="79"/>
      <c r="X730" s="79"/>
      <c r="AD730" s="130"/>
      <c r="AF730" s="106"/>
    </row>
    <row r="731">
      <c r="C731" s="79"/>
      <c r="D731" s="79"/>
      <c r="E731" s="79"/>
      <c r="O731" s="79"/>
      <c r="R731" s="79"/>
      <c r="S731" s="79"/>
      <c r="X731" s="79"/>
      <c r="AD731" s="130"/>
      <c r="AF731" s="106"/>
    </row>
    <row r="732">
      <c r="C732" s="79"/>
      <c r="D732" s="79"/>
      <c r="E732" s="79"/>
      <c r="O732" s="79"/>
      <c r="R732" s="79"/>
      <c r="S732" s="79"/>
      <c r="X732" s="79"/>
      <c r="AD732" s="130"/>
      <c r="AF732" s="106"/>
    </row>
    <row r="733">
      <c r="C733" s="79"/>
      <c r="D733" s="79"/>
      <c r="E733" s="79"/>
      <c r="O733" s="79"/>
      <c r="R733" s="79"/>
      <c r="S733" s="79"/>
      <c r="X733" s="79"/>
      <c r="AD733" s="130"/>
      <c r="AF733" s="106"/>
    </row>
    <row r="734">
      <c r="C734" s="79"/>
      <c r="D734" s="79"/>
      <c r="E734" s="79"/>
      <c r="O734" s="79"/>
      <c r="R734" s="79"/>
      <c r="S734" s="79"/>
      <c r="X734" s="79"/>
      <c r="AD734" s="130"/>
      <c r="AF734" s="106"/>
    </row>
    <row r="735">
      <c r="C735" s="79"/>
      <c r="D735" s="79"/>
      <c r="E735" s="79"/>
      <c r="O735" s="79"/>
      <c r="R735" s="79"/>
      <c r="S735" s="79"/>
      <c r="X735" s="79"/>
      <c r="AD735" s="130"/>
      <c r="AF735" s="106"/>
    </row>
    <row r="736">
      <c r="C736" s="79"/>
      <c r="D736" s="79"/>
      <c r="E736" s="79"/>
      <c r="O736" s="79"/>
      <c r="R736" s="79"/>
      <c r="S736" s="79"/>
      <c r="X736" s="79"/>
      <c r="AD736" s="130"/>
      <c r="AF736" s="106"/>
    </row>
    <row r="737">
      <c r="C737" s="79"/>
      <c r="D737" s="79"/>
      <c r="E737" s="79"/>
      <c r="O737" s="79"/>
      <c r="R737" s="79"/>
      <c r="S737" s="79"/>
      <c r="X737" s="79"/>
      <c r="AD737" s="130"/>
      <c r="AF737" s="106"/>
    </row>
    <row r="738">
      <c r="C738" s="79"/>
      <c r="D738" s="79"/>
      <c r="E738" s="79"/>
      <c r="O738" s="79"/>
      <c r="R738" s="79"/>
      <c r="S738" s="79"/>
      <c r="X738" s="79"/>
      <c r="AD738" s="130"/>
      <c r="AF738" s="106"/>
    </row>
    <row r="739">
      <c r="C739" s="79"/>
      <c r="D739" s="79"/>
      <c r="E739" s="79"/>
      <c r="O739" s="79"/>
      <c r="R739" s="79"/>
      <c r="S739" s="79"/>
      <c r="X739" s="79"/>
      <c r="AD739" s="130"/>
      <c r="AF739" s="106"/>
    </row>
    <row r="740">
      <c r="C740" s="79"/>
      <c r="D740" s="79"/>
      <c r="E740" s="79"/>
      <c r="O740" s="79"/>
      <c r="R740" s="79"/>
      <c r="S740" s="79"/>
      <c r="X740" s="79"/>
      <c r="AD740" s="130"/>
      <c r="AF740" s="106"/>
    </row>
    <row r="741">
      <c r="C741" s="79"/>
      <c r="D741" s="79"/>
      <c r="E741" s="79"/>
      <c r="O741" s="79"/>
      <c r="R741" s="79"/>
      <c r="S741" s="79"/>
      <c r="X741" s="79"/>
      <c r="AD741" s="130"/>
      <c r="AF741" s="106"/>
    </row>
    <row r="742">
      <c r="C742" s="79"/>
      <c r="D742" s="79"/>
      <c r="E742" s="79"/>
      <c r="O742" s="79"/>
      <c r="R742" s="79"/>
      <c r="S742" s="79"/>
      <c r="X742" s="79"/>
      <c r="AD742" s="130"/>
      <c r="AF742" s="106"/>
    </row>
    <row r="743">
      <c r="C743" s="79"/>
      <c r="D743" s="79"/>
      <c r="E743" s="79"/>
      <c r="O743" s="79"/>
      <c r="R743" s="79"/>
      <c r="S743" s="79"/>
      <c r="X743" s="79"/>
      <c r="AD743" s="130"/>
      <c r="AF743" s="106"/>
    </row>
    <row r="744">
      <c r="C744" s="79"/>
      <c r="D744" s="79"/>
      <c r="E744" s="79"/>
      <c r="O744" s="79"/>
      <c r="R744" s="79"/>
      <c r="S744" s="79"/>
      <c r="X744" s="79"/>
      <c r="AD744" s="130"/>
      <c r="AF744" s="106"/>
    </row>
    <row r="745">
      <c r="C745" s="79"/>
      <c r="D745" s="79"/>
      <c r="E745" s="79"/>
      <c r="O745" s="79"/>
      <c r="R745" s="79"/>
      <c r="S745" s="79"/>
      <c r="X745" s="79"/>
      <c r="AD745" s="130"/>
      <c r="AF745" s="106"/>
    </row>
    <row r="746">
      <c r="C746" s="79"/>
      <c r="D746" s="79"/>
      <c r="E746" s="79"/>
      <c r="O746" s="79"/>
      <c r="R746" s="79"/>
      <c r="S746" s="79"/>
      <c r="X746" s="79"/>
      <c r="AD746" s="130"/>
      <c r="AF746" s="106"/>
    </row>
    <row r="747">
      <c r="C747" s="79"/>
      <c r="D747" s="79"/>
      <c r="E747" s="79"/>
      <c r="O747" s="79"/>
      <c r="R747" s="79"/>
      <c r="S747" s="79"/>
      <c r="X747" s="79"/>
      <c r="AD747" s="130"/>
      <c r="AF747" s="106"/>
    </row>
    <row r="748">
      <c r="C748" s="79"/>
      <c r="D748" s="79"/>
      <c r="E748" s="79"/>
      <c r="O748" s="79"/>
      <c r="R748" s="79"/>
      <c r="S748" s="79"/>
      <c r="X748" s="79"/>
      <c r="AD748" s="130"/>
      <c r="AF748" s="106"/>
    </row>
    <row r="749">
      <c r="C749" s="79"/>
      <c r="D749" s="79"/>
      <c r="E749" s="79"/>
      <c r="O749" s="79"/>
      <c r="R749" s="79"/>
      <c r="S749" s="79"/>
      <c r="X749" s="79"/>
      <c r="AD749" s="130"/>
      <c r="AF749" s="106"/>
    </row>
    <row r="750">
      <c r="C750" s="79"/>
      <c r="D750" s="79"/>
      <c r="E750" s="79"/>
      <c r="O750" s="79"/>
      <c r="R750" s="79"/>
      <c r="S750" s="79"/>
      <c r="X750" s="79"/>
      <c r="AD750" s="130"/>
      <c r="AF750" s="106"/>
    </row>
    <row r="751">
      <c r="C751" s="79"/>
      <c r="D751" s="79"/>
      <c r="E751" s="79"/>
      <c r="O751" s="79"/>
      <c r="R751" s="79"/>
      <c r="S751" s="79"/>
      <c r="X751" s="79"/>
      <c r="AD751" s="130"/>
      <c r="AF751" s="106"/>
    </row>
    <row r="752">
      <c r="C752" s="79"/>
      <c r="D752" s="79"/>
      <c r="E752" s="79"/>
      <c r="O752" s="79"/>
      <c r="R752" s="79"/>
      <c r="S752" s="79"/>
      <c r="X752" s="79"/>
      <c r="AD752" s="130"/>
      <c r="AF752" s="106"/>
    </row>
    <row r="753">
      <c r="C753" s="79"/>
      <c r="D753" s="79"/>
      <c r="E753" s="79"/>
      <c r="O753" s="79"/>
      <c r="R753" s="79"/>
      <c r="S753" s="79"/>
      <c r="X753" s="79"/>
      <c r="AD753" s="130"/>
      <c r="AF753" s="106"/>
    </row>
    <row r="754">
      <c r="C754" s="79"/>
      <c r="D754" s="79"/>
      <c r="E754" s="79"/>
      <c r="O754" s="79"/>
      <c r="R754" s="79"/>
      <c r="S754" s="79"/>
      <c r="X754" s="79"/>
      <c r="AD754" s="130"/>
      <c r="AF754" s="106"/>
    </row>
    <row r="755">
      <c r="C755" s="79"/>
      <c r="D755" s="79"/>
      <c r="E755" s="79"/>
      <c r="O755" s="79"/>
      <c r="R755" s="79"/>
      <c r="S755" s="79"/>
      <c r="X755" s="79"/>
      <c r="AD755" s="130"/>
      <c r="AF755" s="106"/>
    </row>
    <row r="756">
      <c r="C756" s="79"/>
      <c r="D756" s="79"/>
      <c r="E756" s="79"/>
      <c r="O756" s="79"/>
      <c r="R756" s="79"/>
      <c r="S756" s="79"/>
      <c r="X756" s="79"/>
      <c r="AD756" s="130"/>
      <c r="AF756" s="106"/>
    </row>
    <row r="757">
      <c r="C757" s="79"/>
      <c r="D757" s="79"/>
      <c r="E757" s="79"/>
      <c r="O757" s="79"/>
      <c r="R757" s="79"/>
      <c r="S757" s="79"/>
      <c r="X757" s="79"/>
      <c r="AD757" s="130"/>
      <c r="AF757" s="106"/>
    </row>
    <row r="758">
      <c r="C758" s="79"/>
      <c r="D758" s="79"/>
      <c r="E758" s="79"/>
      <c r="O758" s="79"/>
      <c r="R758" s="79"/>
      <c r="S758" s="79"/>
      <c r="X758" s="79"/>
      <c r="AD758" s="130"/>
      <c r="AF758" s="106"/>
    </row>
    <row r="759">
      <c r="C759" s="79"/>
      <c r="D759" s="79"/>
      <c r="E759" s="79"/>
      <c r="O759" s="79"/>
      <c r="R759" s="79"/>
      <c r="S759" s="79"/>
      <c r="X759" s="79"/>
      <c r="AD759" s="130"/>
      <c r="AF759" s="106"/>
    </row>
    <row r="760">
      <c r="C760" s="79"/>
      <c r="D760" s="79"/>
      <c r="E760" s="79"/>
      <c r="O760" s="79"/>
      <c r="R760" s="79"/>
      <c r="S760" s="79"/>
      <c r="X760" s="79"/>
      <c r="AD760" s="130"/>
      <c r="AF760" s="106"/>
    </row>
    <row r="761">
      <c r="C761" s="79"/>
      <c r="D761" s="79"/>
      <c r="E761" s="79"/>
      <c r="O761" s="79"/>
      <c r="R761" s="79"/>
      <c r="S761" s="79"/>
      <c r="X761" s="79"/>
      <c r="AD761" s="130"/>
      <c r="AF761" s="106"/>
    </row>
    <row r="762">
      <c r="C762" s="79"/>
      <c r="D762" s="79"/>
      <c r="E762" s="79"/>
      <c r="O762" s="79"/>
      <c r="R762" s="79"/>
      <c r="S762" s="79"/>
      <c r="X762" s="79"/>
      <c r="AD762" s="130"/>
      <c r="AF762" s="106"/>
    </row>
    <row r="763">
      <c r="C763" s="79"/>
      <c r="D763" s="79"/>
      <c r="E763" s="79"/>
      <c r="O763" s="79"/>
      <c r="R763" s="79"/>
      <c r="S763" s="79"/>
      <c r="X763" s="79"/>
      <c r="AD763" s="130"/>
      <c r="AF763" s="106"/>
    </row>
    <row r="764">
      <c r="C764" s="79"/>
      <c r="D764" s="79"/>
      <c r="E764" s="79"/>
      <c r="O764" s="79"/>
      <c r="R764" s="79"/>
      <c r="S764" s="79"/>
      <c r="X764" s="79"/>
      <c r="AD764" s="130"/>
      <c r="AF764" s="106"/>
    </row>
    <row r="765">
      <c r="C765" s="79"/>
      <c r="D765" s="79"/>
      <c r="E765" s="79"/>
      <c r="O765" s="79"/>
      <c r="R765" s="79"/>
      <c r="S765" s="79"/>
      <c r="X765" s="79"/>
      <c r="AD765" s="130"/>
      <c r="AF765" s="106"/>
    </row>
    <row r="766">
      <c r="C766" s="79"/>
      <c r="D766" s="79"/>
      <c r="E766" s="79"/>
      <c r="O766" s="79"/>
      <c r="R766" s="79"/>
      <c r="S766" s="79"/>
      <c r="X766" s="79"/>
      <c r="AD766" s="130"/>
      <c r="AF766" s="106"/>
    </row>
    <row r="767">
      <c r="C767" s="79"/>
      <c r="D767" s="79"/>
      <c r="E767" s="79"/>
      <c r="O767" s="79"/>
      <c r="R767" s="79"/>
      <c r="S767" s="79"/>
      <c r="X767" s="79"/>
      <c r="AD767" s="130"/>
      <c r="AF767" s="106"/>
    </row>
    <row r="768">
      <c r="C768" s="79"/>
      <c r="D768" s="79"/>
      <c r="E768" s="79"/>
      <c r="O768" s="79"/>
      <c r="R768" s="79"/>
      <c r="S768" s="79"/>
      <c r="X768" s="79"/>
      <c r="AD768" s="130"/>
      <c r="AF768" s="106"/>
    </row>
    <row r="769">
      <c r="C769" s="79"/>
      <c r="D769" s="79"/>
      <c r="E769" s="79"/>
      <c r="O769" s="79"/>
      <c r="R769" s="79"/>
      <c r="S769" s="79"/>
      <c r="X769" s="79"/>
      <c r="AD769" s="130"/>
      <c r="AF769" s="106"/>
    </row>
    <row r="770">
      <c r="C770" s="79"/>
      <c r="D770" s="79"/>
      <c r="E770" s="79"/>
      <c r="O770" s="79"/>
      <c r="R770" s="79"/>
      <c r="S770" s="79"/>
      <c r="X770" s="79"/>
      <c r="AD770" s="130"/>
      <c r="AF770" s="106"/>
    </row>
    <row r="771">
      <c r="C771" s="79"/>
      <c r="D771" s="79"/>
      <c r="E771" s="79"/>
      <c r="O771" s="79"/>
      <c r="R771" s="79"/>
      <c r="S771" s="79"/>
      <c r="X771" s="79"/>
      <c r="AD771" s="130"/>
      <c r="AF771" s="106"/>
    </row>
    <row r="772">
      <c r="C772" s="79"/>
      <c r="D772" s="79"/>
      <c r="E772" s="79"/>
      <c r="O772" s="79"/>
      <c r="R772" s="79"/>
      <c r="S772" s="79"/>
      <c r="X772" s="79"/>
      <c r="AD772" s="130"/>
      <c r="AF772" s="106"/>
    </row>
    <row r="773">
      <c r="C773" s="79"/>
      <c r="D773" s="79"/>
      <c r="E773" s="79"/>
      <c r="O773" s="79"/>
      <c r="R773" s="79"/>
      <c r="S773" s="79"/>
      <c r="X773" s="79"/>
      <c r="AD773" s="130"/>
      <c r="AF773" s="106"/>
    </row>
    <row r="774">
      <c r="C774" s="79"/>
      <c r="D774" s="79"/>
      <c r="E774" s="79"/>
      <c r="O774" s="79"/>
      <c r="R774" s="79"/>
      <c r="S774" s="79"/>
      <c r="X774" s="79"/>
      <c r="AD774" s="130"/>
      <c r="AF774" s="106"/>
    </row>
    <row r="775">
      <c r="C775" s="79"/>
      <c r="D775" s="79"/>
      <c r="E775" s="79"/>
      <c r="O775" s="79"/>
      <c r="R775" s="79"/>
      <c r="S775" s="79"/>
      <c r="X775" s="79"/>
      <c r="AD775" s="130"/>
      <c r="AF775" s="106"/>
    </row>
    <row r="776">
      <c r="C776" s="79"/>
      <c r="D776" s="79"/>
      <c r="E776" s="79"/>
      <c r="O776" s="79"/>
      <c r="R776" s="79"/>
      <c r="S776" s="79"/>
      <c r="X776" s="79"/>
      <c r="AD776" s="130"/>
      <c r="AF776" s="106"/>
    </row>
    <row r="777">
      <c r="C777" s="79"/>
      <c r="D777" s="79"/>
      <c r="E777" s="79"/>
      <c r="O777" s="79"/>
      <c r="R777" s="79"/>
      <c r="S777" s="79"/>
      <c r="X777" s="79"/>
      <c r="AD777" s="130"/>
      <c r="AF777" s="106"/>
    </row>
    <row r="778">
      <c r="C778" s="79"/>
      <c r="D778" s="79"/>
      <c r="E778" s="79"/>
      <c r="O778" s="79"/>
      <c r="R778" s="79"/>
      <c r="S778" s="79"/>
      <c r="X778" s="79"/>
      <c r="AD778" s="130"/>
      <c r="AF778" s="106"/>
    </row>
    <row r="779">
      <c r="C779" s="79"/>
      <c r="D779" s="79"/>
      <c r="E779" s="79"/>
      <c r="O779" s="79"/>
      <c r="R779" s="79"/>
      <c r="S779" s="79"/>
      <c r="X779" s="79"/>
      <c r="AD779" s="130"/>
      <c r="AF779" s="106"/>
    </row>
    <row r="780">
      <c r="C780" s="79"/>
      <c r="D780" s="79"/>
      <c r="E780" s="79"/>
      <c r="O780" s="79"/>
      <c r="R780" s="79"/>
      <c r="S780" s="79"/>
      <c r="X780" s="79"/>
      <c r="AD780" s="130"/>
      <c r="AF780" s="106"/>
    </row>
    <row r="781">
      <c r="C781" s="79"/>
      <c r="D781" s="79"/>
      <c r="E781" s="79"/>
      <c r="O781" s="79"/>
      <c r="R781" s="79"/>
      <c r="S781" s="79"/>
      <c r="X781" s="79"/>
      <c r="AD781" s="130"/>
      <c r="AF781" s="106"/>
    </row>
    <row r="782">
      <c r="C782" s="79"/>
      <c r="D782" s="79"/>
      <c r="E782" s="79"/>
      <c r="O782" s="79"/>
      <c r="R782" s="79"/>
      <c r="S782" s="79"/>
      <c r="X782" s="79"/>
      <c r="AD782" s="130"/>
      <c r="AF782" s="106"/>
    </row>
    <row r="783">
      <c r="C783" s="79"/>
      <c r="D783" s="79"/>
      <c r="E783" s="79"/>
      <c r="O783" s="79"/>
      <c r="R783" s="79"/>
      <c r="S783" s="79"/>
      <c r="X783" s="79"/>
      <c r="AD783" s="130"/>
      <c r="AF783" s="106"/>
    </row>
    <row r="784">
      <c r="C784" s="79"/>
      <c r="D784" s="79"/>
      <c r="E784" s="79"/>
      <c r="O784" s="79"/>
      <c r="R784" s="79"/>
      <c r="S784" s="79"/>
      <c r="X784" s="79"/>
      <c r="AD784" s="130"/>
      <c r="AF784" s="106"/>
    </row>
    <row r="785">
      <c r="C785" s="79"/>
      <c r="D785" s="79"/>
      <c r="E785" s="79"/>
      <c r="O785" s="79"/>
      <c r="R785" s="79"/>
      <c r="S785" s="79"/>
      <c r="X785" s="79"/>
      <c r="AD785" s="130"/>
      <c r="AF785" s="106"/>
    </row>
    <row r="786">
      <c r="C786" s="79"/>
      <c r="D786" s="79"/>
      <c r="E786" s="79"/>
      <c r="O786" s="79"/>
      <c r="R786" s="79"/>
      <c r="S786" s="79"/>
      <c r="X786" s="79"/>
      <c r="AD786" s="130"/>
      <c r="AF786" s="106"/>
    </row>
    <row r="787">
      <c r="C787" s="79"/>
      <c r="D787" s="79"/>
      <c r="E787" s="79"/>
      <c r="O787" s="79"/>
      <c r="R787" s="79"/>
      <c r="S787" s="79"/>
      <c r="X787" s="79"/>
      <c r="AD787" s="130"/>
      <c r="AF787" s="106"/>
    </row>
    <row r="788">
      <c r="C788" s="79"/>
      <c r="D788" s="79"/>
      <c r="E788" s="79"/>
      <c r="O788" s="79"/>
      <c r="R788" s="79"/>
      <c r="S788" s="79"/>
      <c r="X788" s="79"/>
      <c r="AD788" s="130"/>
      <c r="AF788" s="106"/>
    </row>
    <row r="789">
      <c r="C789" s="79"/>
      <c r="D789" s="79"/>
      <c r="E789" s="79"/>
      <c r="O789" s="79"/>
      <c r="R789" s="79"/>
      <c r="S789" s="79"/>
      <c r="X789" s="79"/>
      <c r="AD789" s="130"/>
      <c r="AF789" s="106"/>
    </row>
    <row r="790">
      <c r="C790" s="79"/>
      <c r="D790" s="79"/>
      <c r="E790" s="79"/>
      <c r="O790" s="79"/>
      <c r="R790" s="79"/>
      <c r="S790" s="79"/>
      <c r="X790" s="79"/>
      <c r="AD790" s="130"/>
      <c r="AF790" s="106"/>
    </row>
    <row r="791">
      <c r="C791" s="79"/>
      <c r="D791" s="79"/>
      <c r="E791" s="79"/>
      <c r="O791" s="79"/>
      <c r="R791" s="79"/>
      <c r="S791" s="79"/>
      <c r="X791" s="79"/>
      <c r="AD791" s="130"/>
      <c r="AF791" s="106"/>
    </row>
    <row r="792">
      <c r="C792" s="79"/>
      <c r="D792" s="79"/>
      <c r="E792" s="79"/>
      <c r="O792" s="79"/>
      <c r="R792" s="79"/>
      <c r="S792" s="79"/>
      <c r="X792" s="79"/>
      <c r="AD792" s="130"/>
      <c r="AF792" s="106"/>
    </row>
    <row r="793">
      <c r="C793" s="79"/>
      <c r="D793" s="79"/>
      <c r="E793" s="79"/>
      <c r="O793" s="79"/>
      <c r="R793" s="79"/>
      <c r="S793" s="79"/>
      <c r="X793" s="79"/>
      <c r="AD793" s="130"/>
      <c r="AF793" s="106"/>
    </row>
    <row r="794">
      <c r="C794" s="79"/>
      <c r="D794" s="79"/>
      <c r="E794" s="79"/>
      <c r="O794" s="79"/>
      <c r="R794" s="79"/>
      <c r="S794" s="79"/>
      <c r="X794" s="79"/>
      <c r="AD794" s="130"/>
      <c r="AF794" s="106"/>
    </row>
    <row r="795">
      <c r="C795" s="79"/>
      <c r="D795" s="79"/>
      <c r="E795" s="79"/>
      <c r="O795" s="79"/>
      <c r="R795" s="79"/>
      <c r="S795" s="79"/>
      <c r="X795" s="79"/>
      <c r="AD795" s="130"/>
      <c r="AF795" s="106"/>
    </row>
    <row r="796">
      <c r="C796" s="79"/>
      <c r="D796" s="79"/>
      <c r="E796" s="79"/>
      <c r="O796" s="79"/>
      <c r="R796" s="79"/>
      <c r="S796" s="79"/>
      <c r="X796" s="79"/>
      <c r="AD796" s="130"/>
      <c r="AF796" s="106"/>
    </row>
    <row r="797">
      <c r="C797" s="79"/>
      <c r="D797" s="79"/>
      <c r="E797" s="79"/>
      <c r="O797" s="79"/>
      <c r="R797" s="79"/>
      <c r="S797" s="79"/>
      <c r="X797" s="79"/>
      <c r="AD797" s="130"/>
      <c r="AF797" s="106"/>
    </row>
    <row r="798">
      <c r="C798" s="79"/>
      <c r="D798" s="79"/>
      <c r="E798" s="79"/>
      <c r="O798" s="79"/>
      <c r="R798" s="79"/>
      <c r="S798" s="79"/>
      <c r="X798" s="79"/>
      <c r="AD798" s="130"/>
      <c r="AF798" s="106"/>
    </row>
    <row r="799">
      <c r="C799" s="79"/>
      <c r="D799" s="79"/>
      <c r="E799" s="79"/>
      <c r="O799" s="79"/>
      <c r="R799" s="79"/>
      <c r="S799" s="79"/>
      <c r="X799" s="79"/>
      <c r="AD799" s="130"/>
      <c r="AF799" s="106"/>
    </row>
    <row r="800">
      <c r="C800" s="79"/>
      <c r="D800" s="79"/>
      <c r="E800" s="79"/>
      <c r="O800" s="79"/>
      <c r="R800" s="79"/>
      <c r="S800" s="79"/>
      <c r="X800" s="79"/>
      <c r="AD800" s="130"/>
      <c r="AF800" s="106"/>
    </row>
    <row r="801">
      <c r="C801" s="79"/>
      <c r="D801" s="79"/>
      <c r="E801" s="79"/>
      <c r="O801" s="79"/>
      <c r="R801" s="79"/>
      <c r="S801" s="79"/>
      <c r="X801" s="79"/>
      <c r="AD801" s="130"/>
      <c r="AF801" s="106"/>
    </row>
    <row r="802">
      <c r="C802" s="79"/>
      <c r="D802" s="79"/>
      <c r="E802" s="79"/>
      <c r="O802" s="79"/>
      <c r="R802" s="79"/>
      <c r="S802" s="79"/>
      <c r="X802" s="79"/>
      <c r="AD802" s="130"/>
      <c r="AF802" s="106"/>
    </row>
    <row r="803">
      <c r="C803" s="79"/>
      <c r="D803" s="79"/>
      <c r="E803" s="79"/>
      <c r="O803" s="79"/>
      <c r="R803" s="79"/>
      <c r="S803" s="79"/>
      <c r="X803" s="79"/>
      <c r="AD803" s="130"/>
      <c r="AF803" s="106"/>
    </row>
    <row r="804">
      <c r="C804" s="79"/>
      <c r="D804" s="79"/>
      <c r="E804" s="79"/>
      <c r="O804" s="79"/>
      <c r="R804" s="79"/>
      <c r="S804" s="79"/>
      <c r="X804" s="79"/>
      <c r="AD804" s="130"/>
      <c r="AF804" s="106"/>
    </row>
    <row r="805">
      <c r="C805" s="79"/>
      <c r="D805" s="79"/>
      <c r="E805" s="79"/>
      <c r="O805" s="79"/>
      <c r="R805" s="79"/>
      <c r="S805" s="79"/>
      <c r="X805" s="79"/>
      <c r="AD805" s="130"/>
      <c r="AF805" s="106"/>
    </row>
    <row r="806">
      <c r="C806" s="79"/>
      <c r="D806" s="79"/>
      <c r="E806" s="79"/>
      <c r="O806" s="79"/>
      <c r="R806" s="79"/>
      <c r="S806" s="79"/>
      <c r="X806" s="79"/>
      <c r="AD806" s="130"/>
      <c r="AF806" s="106"/>
    </row>
    <row r="807">
      <c r="C807" s="79"/>
      <c r="D807" s="79"/>
      <c r="E807" s="79"/>
      <c r="O807" s="79"/>
      <c r="R807" s="79"/>
      <c r="S807" s="79"/>
      <c r="X807" s="79"/>
      <c r="AD807" s="130"/>
      <c r="AF807" s="106"/>
    </row>
    <row r="808">
      <c r="C808" s="79"/>
      <c r="D808" s="79"/>
      <c r="E808" s="79"/>
      <c r="O808" s="79"/>
      <c r="R808" s="79"/>
      <c r="S808" s="79"/>
      <c r="X808" s="79"/>
      <c r="AD808" s="130"/>
      <c r="AF808" s="106"/>
    </row>
    <row r="809">
      <c r="C809" s="79"/>
      <c r="D809" s="79"/>
      <c r="E809" s="79"/>
      <c r="O809" s="79"/>
      <c r="R809" s="79"/>
      <c r="S809" s="79"/>
      <c r="X809" s="79"/>
      <c r="AD809" s="130"/>
      <c r="AF809" s="106"/>
    </row>
    <row r="810">
      <c r="C810" s="79"/>
      <c r="D810" s="79"/>
      <c r="E810" s="79"/>
      <c r="O810" s="79"/>
      <c r="R810" s="79"/>
      <c r="S810" s="79"/>
      <c r="X810" s="79"/>
      <c r="AD810" s="130"/>
      <c r="AF810" s="106"/>
    </row>
    <row r="811">
      <c r="C811" s="79"/>
      <c r="D811" s="79"/>
      <c r="E811" s="79"/>
      <c r="O811" s="79"/>
      <c r="R811" s="79"/>
      <c r="S811" s="79"/>
      <c r="X811" s="79"/>
      <c r="AD811" s="130"/>
      <c r="AF811" s="106"/>
    </row>
    <row r="812">
      <c r="C812" s="79"/>
      <c r="D812" s="79"/>
      <c r="E812" s="79"/>
      <c r="O812" s="79"/>
      <c r="R812" s="79"/>
      <c r="S812" s="79"/>
      <c r="X812" s="79"/>
      <c r="AD812" s="130"/>
      <c r="AF812" s="106"/>
    </row>
    <row r="813">
      <c r="C813" s="79"/>
      <c r="D813" s="79"/>
      <c r="E813" s="79"/>
      <c r="O813" s="79"/>
      <c r="R813" s="79"/>
      <c r="S813" s="79"/>
      <c r="X813" s="79"/>
      <c r="AD813" s="130"/>
      <c r="AF813" s="106"/>
    </row>
    <row r="814">
      <c r="C814" s="79"/>
      <c r="D814" s="79"/>
      <c r="E814" s="79"/>
      <c r="O814" s="79"/>
      <c r="R814" s="79"/>
      <c r="S814" s="79"/>
      <c r="X814" s="79"/>
      <c r="AD814" s="130"/>
      <c r="AF814" s="106"/>
    </row>
    <row r="815">
      <c r="C815" s="79"/>
      <c r="D815" s="79"/>
      <c r="E815" s="79"/>
      <c r="O815" s="79"/>
      <c r="R815" s="79"/>
      <c r="S815" s="79"/>
      <c r="X815" s="79"/>
      <c r="AD815" s="130"/>
      <c r="AF815" s="106"/>
    </row>
    <row r="816">
      <c r="C816" s="79"/>
      <c r="D816" s="79"/>
      <c r="E816" s="79"/>
      <c r="O816" s="79"/>
      <c r="R816" s="79"/>
      <c r="S816" s="79"/>
      <c r="X816" s="79"/>
      <c r="AD816" s="130"/>
      <c r="AF816" s="106"/>
    </row>
    <row r="817">
      <c r="C817" s="79"/>
      <c r="D817" s="79"/>
      <c r="E817" s="79"/>
      <c r="O817" s="79"/>
      <c r="R817" s="79"/>
      <c r="S817" s="79"/>
      <c r="X817" s="79"/>
      <c r="AD817" s="130"/>
      <c r="AF817" s="106"/>
    </row>
    <row r="818">
      <c r="C818" s="79"/>
      <c r="D818" s="79"/>
      <c r="E818" s="79"/>
      <c r="O818" s="79"/>
      <c r="R818" s="79"/>
      <c r="S818" s="79"/>
      <c r="X818" s="79"/>
      <c r="AD818" s="130"/>
      <c r="AF818" s="106"/>
    </row>
    <row r="819">
      <c r="C819" s="79"/>
      <c r="D819" s="79"/>
      <c r="E819" s="79"/>
      <c r="O819" s="79"/>
      <c r="R819" s="79"/>
      <c r="S819" s="79"/>
      <c r="X819" s="79"/>
      <c r="AD819" s="130"/>
      <c r="AF819" s="106"/>
    </row>
    <row r="820">
      <c r="C820" s="79"/>
      <c r="D820" s="79"/>
      <c r="E820" s="79"/>
      <c r="O820" s="79"/>
      <c r="R820" s="79"/>
      <c r="S820" s="79"/>
      <c r="X820" s="79"/>
      <c r="AD820" s="130"/>
      <c r="AF820" s="106"/>
    </row>
    <row r="821">
      <c r="C821" s="79"/>
      <c r="D821" s="79"/>
      <c r="E821" s="79"/>
      <c r="O821" s="79"/>
      <c r="R821" s="79"/>
      <c r="S821" s="79"/>
      <c r="X821" s="79"/>
      <c r="AD821" s="130"/>
      <c r="AF821" s="106"/>
    </row>
    <row r="822">
      <c r="C822" s="79"/>
      <c r="D822" s="79"/>
      <c r="E822" s="79"/>
      <c r="O822" s="79"/>
      <c r="R822" s="79"/>
      <c r="S822" s="79"/>
      <c r="X822" s="79"/>
      <c r="AD822" s="130"/>
      <c r="AF822" s="106"/>
    </row>
    <row r="823">
      <c r="C823" s="79"/>
      <c r="D823" s="79"/>
      <c r="E823" s="79"/>
      <c r="O823" s="79"/>
      <c r="R823" s="79"/>
      <c r="S823" s="79"/>
      <c r="X823" s="79"/>
      <c r="AD823" s="130"/>
      <c r="AF823" s="106"/>
    </row>
    <row r="824">
      <c r="C824" s="79"/>
      <c r="D824" s="79"/>
      <c r="E824" s="79"/>
      <c r="O824" s="79"/>
      <c r="R824" s="79"/>
      <c r="S824" s="79"/>
      <c r="X824" s="79"/>
      <c r="AD824" s="130"/>
      <c r="AF824" s="106"/>
    </row>
    <row r="825">
      <c r="C825" s="79"/>
      <c r="D825" s="79"/>
      <c r="E825" s="79"/>
      <c r="O825" s="79"/>
      <c r="R825" s="79"/>
      <c r="S825" s="79"/>
      <c r="X825" s="79"/>
      <c r="AD825" s="130"/>
      <c r="AF825" s="106"/>
    </row>
    <row r="826">
      <c r="C826" s="79"/>
      <c r="D826" s="79"/>
      <c r="E826" s="79"/>
      <c r="O826" s="79"/>
      <c r="R826" s="79"/>
      <c r="S826" s="79"/>
      <c r="X826" s="79"/>
      <c r="AD826" s="130"/>
      <c r="AF826" s="106"/>
    </row>
    <row r="827">
      <c r="C827" s="79"/>
      <c r="D827" s="79"/>
      <c r="E827" s="79"/>
      <c r="O827" s="79"/>
      <c r="R827" s="79"/>
      <c r="S827" s="79"/>
      <c r="X827" s="79"/>
      <c r="AD827" s="130"/>
      <c r="AF827" s="106"/>
    </row>
    <row r="828">
      <c r="C828" s="79"/>
      <c r="D828" s="79"/>
      <c r="E828" s="79"/>
      <c r="O828" s="79"/>
      <c r="R828" s="79"/>
      <c r="S828" s="79"/>
      <c r="X828" s="79"/>
      <c r="AD828" s="130"/>
      <c r="AF828" s="106"/>
    </row>
    <row r="829">
      <c r="C829" s="79"/>
      <c r="D829" s="79"/>
      <c r="E829" s="79"/>
      <c r="O829" s="79"/>
      <c r="R829" s="79"/>
      <c r="S829" s="79"/>
      <c r="X829" s="79"/>
      <c r="AD829" s="130"/>
      <c r="AF829" s="106"/>
    </row>
    <row r="830">
      <c r="C830" s="79"/>
      <c r="D830" s="79"/>
      <c r="E830" s="79"/>
      <c r="O830" s="79"/>
      <c r="R830" s="79"/>
      <c r="S830" s="79"/>
      <c r="X830" s="79"/>
      <c r="AD830" s="130"/>
      <c r="AF830" s="106"/>
    </row>
    <row r="831">
      <c r="C831" s="79"/>
      <c r="D831" s="79"/>
      <c r="E831" s="79"/>
      <c r="O831" s="79"/>
      <c r="R831" s="79"/>
      <c r="S831" s="79"/>
      <c r="X831" s="79"/>
      <c r="AD831" s="130"/>
      <c r="AF831" s="106"/>
    </row>
    <row r="832">
      <c r="C832" s="79"/>
      <c r="D832" s="79"/>
      <c r="E832" s="79"/>
      <c r="O832" s="79"/>
      <c r="R832" s="79"/>
      <c r="S832" s="79"/>
      <c r="X832" s="79"/>
      <c r="AD832" s="130"/>
      <c r="AF832" s="106"/>
    </row>
    <row r="833">
      <c r="O833" s="79"/>
      <c r="R833" s="79"/>
      <c r="S833" s="79"/>
      <c r="X833" s="79"/>
      <c r="AD833" s="130"/>
      <c r="AF833" s="106"/>
    </row>
    <row r="834">
      <c r="O834" s="79"/>
      <c r="R834" s="79"/>
      <c r="S834" s="79"/>
      <c r="X834" s="79"/>
      <c r="AD834" s="130"/>
      <c r="AF834" s="106"/>
    </row>
    <row r="835">
      <c r="O835" s="79"/>
      <c r="R835" s="79"/>
      <c r="S835" s="79"/>
      <c r="X835" s="79"/>
      <c r="AD835" s="130"/>
      <c r="AF835" s="106"/>
    </row>
    <row r="836">
      <c r="O836" s="79"/>
      <c r="R836" s="79"/>
      <c r="S836" s="79"/>
      <c r="X836" s="79"/>
      <c r="AD836" s="130"/>
      <c r="AF836" s="106"/>
    </row>
    <row r="837">
      <c r="O837" s="79"/>
      <c r="R837" s="79"/>
      <c r="S837" s="79"/>
      <c r="X837" s="79"/>
      <c r="AD837" s="130"/>
      <c r="AF837" s="106"/>
    </row>
    <row r="838">
      <c r="O838" s="79"/>
      <c r="R838" s="79"/>
      <c r="S838" s="79"/>
      <c r="X838" s="79"/>
      <c r="AD838" s="130"/>
      <c r="AF838" s="106"/>
    </row>
    <row r="839">
      <c r="O839" s="79"/>
      <c r="R839" s="79"/>
      <c r="S839" s="79"/>
      <c r="X839" s="79"/>
      <c r="AD839" s="130"/>
      <c r="AF839" s="106"/>
    </row>
    <row r="840">
      <c r="O840" s="79"/>
      <c r="R840" s="79"/>
      <c r="S840" s="79"/>
      <c r="X840" s="79"/>
      <c r="AD840" s="130"/>
      <c r="AF840" s="106"/>
    </row>
    <row r="841">
      <c r="O841" s="79"/>
      <c r="R841" s="79"/>
      <c r="S841" s="79"/>
      <c r="X841" s="79"/>
      <c r="AD841" s="130"/>
      <c r="AF841" s="106"/>
    </row>
    <row r="842">
      <c r="O842" s="79"/>
      <c r="R842" s="79"/>
      <c r="S842" s="79"/>
      <c r="X842" s="79"/>
      <c r="AD842" s="130"/>
      <c r="AF842" s="106"/>
    </row>
    <row r="843">
      <c r="O843" s="79"/>
      <c r="R843" s="79"/>
      <c r="S843" s="79"/>
      <c r="X843" s="79"/>
      <c r="AD843" s="130"/>
      <c r="AF843" s="106"/>
    </row>
    <row r="844">
      <c r="O844" s="79"/>
      <c r="R844" s="79"/>
      <c r="S844" s="79"/>
      <c r="X844" s="79"/>
      <c r="AD844" s="130"/>
      <c r="AF844" s="106"/>
    </row>
    <row r="845">
      <c r="O845" s="79"/>
      <c r="R845" s="79"/>
      <c r="S845" s="79"/>
      <c r="X845" s="79"/>
      <c r="AD845" s="130"/>
      <c r="AF845" s="106"/>
    </row>
    <row r="846">
      <c r="O846" s="79"/>
      <c r="R846" s="79"/>
      <c r="S846" s="79"/>
      <c r="X846" s="79"/>
      <c r="AD846" s="130"/>
      <c r="AF846" s="106"/>
    </row>
    <row r="847">
      <c r="O847" s="79"/>
      <c r="R847" s="79"/>
      <c r="S847" s="79"/>
      <c r="X847" s="79"/>
      <c r="AD847" s="130"/>
      <c r="AF847" s="106"/>
    </row>
    <row r="848">
      <c r="O848" s="79"/>
      <c r="R848" s="79"/>
      <c r="S848" s="79"/>
      <c r="X848" s="79"/>
      <c r="AD848" s="130"/>
      <c r="AF848" s="106"/>
    </row>
    <row r="849">
      <c r="O849" s="79"/>
      <c r="R849" s="79"/>
      <c r="S849" s="79"/>
      <c r="X849" s="79"/>
      <c r="AD849" s="130"/>
      <c r="AF849" s="106"/>
    </row>
    <row r="850">
      <c r="O850" s="79"/>
      <c r="R850" s="79"/>
      <c r="S850" s="79"/>
      <c r="X850" s="79"/>
      <c r="AD850" s="130"/>
      <c r="AF850" s="106"/>
    </row>
    <row r="851">
      <c r="O851" s="79"/>
      <c r="R851" s="79"/>
      <c r="S851" s="79"/>
      <c r="X851" s="79"/>
      <c r="AD851" s="130"/>
      <c r="AF851" s="106"/>
    </row>
    <row r="852">
      <c r="O852" s="79"/>
      <c r="R852" s="79"/>
      <c r="S852" s="79"/>
      <c r="X852" s="79"/>
      <c r="AD852" s="130"/>
      <c r="AF852" s="106"/>
    </row>
    <row r="853">
      <c r="O853" s="79"/>
      <c r="R853" s="79"/>
      <c r="S853" s="79"/>
      <c r="X853" s="79"/>
      <c r="AD853" s="130"/>
      <c r="AF853" s="106"/>
    </row>
    <row r="854">
      <c r="O854" s="79"/>
      <c r="R854" s="79"/>
      <c r="S854" s="79"/>
      <c r="X854" s="79"/>
      <c r="AD854" s="130"/>
      <c r="AF854" s="106"/>
    </row>
    <row r="855">
      <c r="O855" s="79"/>
      <c r="R855" s="79"/>
      <c r="S855" s="79"/>
      <c r="X855" s="79"/>
      <c r="AD855" s="130"/>
      <c r="AF855" s="106"/>
    </row>
    <row r="856">
      <c r="O856" s="79"/>
      <c r="R856" s="79"/>
      <c r="S856" s="79"/>
      <c r="X856" s="79"/>
      <c r="AD856" s="130"/>
      <c r="AF856" s="106"/>
    </row>
  </sheetData>
  <autoFilter ref="$A$38:$F$89">
    <sortState ref="A38:F89">
      <sortCondition descending="1" sortBy="cellColor" ref="B38:B89" dxfId="8"/>
      <sortCondition descending="1" sortBy="cellColor" ref="C38:C89" dxfId="8"/>
      <sortCondition descending="1" sortBy="cellColor" ref="D38:D89" dxfId="8"/>
      <sortCondition descending="1" sortBy="cellColor" ref="E38:E89" dxfId="1"/>
      <sortCondition descending="1" sortBy="cellColor" ref="A38:A89" dxfId="1"/>
    </sortState>
  </autoFilter>
  <mergeCells count="2">
    <mergeCell ref="B35:E35"/>
    <mergeCell ref="H84:N84"/>
  </mergeCells>
  <conditionalFormatting sqref="H39:H52">
    <cfRule type="cellIs" dxfId="2" priority="1" operator="greaterThanOrEqual">
      <formula>1</formula>
    </cfRule>
  </conditionalFormatting>
  <conditionalFormatting sqref="H39:H52">
    <cfRule type="cellIs" dxfId="3" priority="2" operator="lessThanOrEqual">
      <formula>0</formula>
    </cfRule>
  </conditionalFormatting>
  <drawing r:id="rId2"/>
  <legacyDrawing r:id="rId3"/>
  <tableParts count="2">
    <tablePart r:id="rId6"/>
    <tablePart r:id="rId7"/>
  </tableParts>
</worksheet>
</file>

<file path=xl/worksheets/sheet1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5" max="25" width="17.0"/>
  </cols>
  <sheetData>
    <row r="1">
      <c r="B1" s="2" t="s">
        <v>0</v>
      </c>
      <c r="C1" s="105" t="s">
        <v>1</v>
      </c>
      <c r="D1" s="105" t="s">
        <v>7</v>
      </c>
      <c r="E1" s="2" t="s">
        <v>3</v>
      </c>
      <c r="F1" s="2" t="s">
        <v>129</v>
      </c>
      <c r="G1" s="2" t="s">
        <v>5</v>
      </c>
      <c r="H1" s="2" t="s">
        <v>6</v>
      </c>
      <c r="I1" s="2" t="s">
        <v>43</v>
      </c>
      <c r="J1" s="105" t="s">
        <v>40</v>
      </c>
      <c r="K1" s="2" t="s">
        <v>49</v>
      </c>
      <c r="L1" s="2" t="s">
        <v>42</v>
      </c>
      <c r="M1" s="2" t="s">
        <v>121</v>
      </c>
      <c r="N1" s="2" t="s">
        <v>164</v>
      </c>
      <c r="O1" s="105" t="s">
        <v>9</v>
      </c>
      <c r="P1" s="105" t="s">
        <v>165</v>
      </c>
      <c r="Q1" s="2" t="s">
        <v>37</v>
      </c>
      <c r="R1" s="2" t="s">
        <v>10</v>
      </c>
      <c r="S1" s="105" t="s">
        <v>11</v>
      </c>
      <c r="T1" s="105" t="s">
        <v>167</v>
      </c>
      <c r="U1" s="2" t="s">
        <v>12</v>
      </c>
      <c r="V1" s="3" t="s">
        <v>13</v>
      </c>
      <c r="W1" s="126" t="s">
        <v>14</v>
      </c>
      <c r="X1" s="3" t="s">
        <v>15</v>
      </c>
      <c r="Y1" s="106"/>
    </row>
    <row r="2">
      <c r="A2" s="74">
        <v>45215.0</v>
      </c>
      <c r="B2" s="5"/>
      <c r="C2" s="93"/>
      <c r="D2" s="93"/>
      <c r="E2" s="5"/>
      <c r="F2" s="5"/>
      <c r="G2" s="5"/>
      <c r="H2" s="5"/>
      <c r="I2" s="5"/>
      <c r="J2" s="136"/>
      <c r="K2" s="5">
        <v>168.0</v>
      </c>
      <c r="L2" s="5"/>
      <c r="M2" s="5"/>
      <c r="N2" s="5"/>
      <c r="O2" s="93"/>
      <c r="P2" s="93"/>
      <c r="Q2" s="5"/>
      <c r="R2" s="5"/>
      <c r="S2" s="93">
        <v>57.05</v>
      </c>
      <c r="T2" s="93"/>
      <c r="U2" s="5"/>
      <c r="V2" s="107">
        <f t="shared" ref="V2:V7" si="1">SUM(B2:U2)</f>
        <v>225.05</v>
      </c>
      <c r="W2" s="108"/>
      <c r="X2" s="59" t="str">
        <f t="shared" ref="X2:X8" si="2">V2/W2</f>
        <v>#DIV/0!</v>
      </c>
      <c r="Y2" s="109">
        <f t="shared" ref="Y2:Y8" si="3">A2</f>
        <v>45215</v>
      </c>
    </row>
    <row r="3">
      <c r="A3" s="74">
        <v>45216.0</v>
      </c>
      <c r="B3" s="5"/>
      <c r="C3" s="110"/>
      <c r="D3" s="93"/>
      <c r="E3" s="5"/>
      <c r="F3" s="5"/>
      <c r="G3" s="5"/>
      <c r="H3" s="5">
        <v>42.0</v>
      </c>
      <c r="I3" s="5"/>
      <c r="J3" s="93"/>
      <c r="K3" s="5"/>
      <c r="L3" s="5"/>
      <c r="M3" s="6"/>
      <c r="N3" s="6"/>
      <c r="O3" s="93"/>
      <c r="P3" s="93"/>
      <c r="Q3" s="93"/>
      <c r="R3" s="5"/>
      <c r="S3" s="93"/>
      <c r="T3" s="93"/>
      <c r="U3" s="93"/>
      <c r="V3" s="7">
        <f t="shared" si="1"/>
        <v>42</v>
      </c>
      <c r="W3" s="97"/>
      <c r="X3" s="59" t="str">
        <f t="shared" si="2"/>
        <v>#DIV/0!</v>
      </c>
      <c r="Y3" s="109">
        <f t="shared" si="3"/>
        <v>45216</v>
      </c>
    </row>
    <row r="4">
      <c r="A4" s="74">
        <v>45217.0</v>
      </c>
      <c r="B4" s="5"/>
      <c r="C4" s="93"/>
      <c r="D4" s="93"/>
      <c r="E4" s="5"/>
      <c r="F4" s="5"/>
      <c r="G4" s="5"/>
      <c r="H4" s="5"/>
      <c r="I4" s="5"/>
      <c r="J4" s="93"/>
      <c r="K4" s="5"/>
      <c r="L4" s="5"/>
      <c r="M4" s="5">
        <v>18.5</v>
      </c>
      <c r="N4" s="5"/>
      <c r="O4" s="93"/>
      <c r="P4" s="93"/>
      <c r="Q4" s="5"/>
      <c r="R4" s="83"/>
      <c r="S4" s="93">
        <v>57.05</v>
      </c>
      <c r="T4" s="93"/>
      <c r="U4" s="6"/>
      <c r="V4" s="7">
        <f t="shared" si="1"/>
        <v>75.55</v>
      </c>
      <c r="W4" s="97"/>
      <c r="X4" s="59" t="str">
        <f t="shared" si="2"/>
        <v>#DIV/0!</v>
      </c>
      <c r="Y4" s="109">
        <f t="shared" si="3"/>
        <v>45217</v>
      </c>
    </row>
    <row r="5">
      <c r="A5" s="74">
        <v>45218.0</v>
      </c>
      <c r="B5" s="5"/>
      <c r="C5" s="93"/>
      <c r="D5" s="101"/>
      <c r="E5" s="5">
        <v>180.0</v>
      </c>
      <c r="F5" s="5"/>
      <c r="G5" s="5"/>
      <c r="H5" s="5">
        <v>123.0</v>
      </c>
      <c r="I5" s="5"/>
      <c r="J5" s="93"/>
      <c r="K5" s="5"/>
      <c r="L5" s="5"/>
      <c r="M5" s="5">
        <v>18.5</v>
      </c>
      <c r="N5" s="5"/>
      <c r="O5" s="93"/>
      <c r="P5" s="93"/>
      <c r="Q5" s="5"/>
      <c r="R5" s="5"/>
      <c r="S5" s="101"/>
      <c r="T5" s="101"/>
      <c r="U5" s="6"/>
      <c r="V5" s="7">
        <f t="shared" si="1"/>
        <v>321.5</v>
      </c>
      <c r="W5" s="98"/>
      <c r="X5" s="59" t="str">
        <f t="shared" si="2"/>
        <v>#DIV/0!</v>
      </c>
      <c r="Y5" s="109">
        <f t="shared" si="3"/>
        <v>45218</v>
      </c>
    </row>
    <row r="6">
      <c r="A6" s="74">
        <v>45219.0</v>
      </c>
      <c r="B6" s="5"/>
      <c r="C6" s="93"/>
      <c r="D6" s="93"/>
      <c r="E6" s="5"/>
      <c r="G6" s="5"/>
      <c r="H6" s="5"/>
      <c r="I6" s="5"/>
      <c r="J6" s="111"/>
      <c r="K6" s="5"/>
      <c r="L6" s="5"/>
      <c r="M6" s="5">
        <v>18.5</v>
      </c>
      <c r="N6" s="5"/>
      <c r="O6" s="93"/>
      <c r="P6" s="93"/>
      <c r="Q6" s="5"/>
      <c r="R6" s="5"/>
      <c r="S6" s="93">
        <v>57.05</v>
      </c>
      <c r="T6" s="93"/>
      <c r="U6" s="5"/>
      <c r="V6" s="7">
        <f t="shared" si="1"/>
        <v>75.55</v>
      </c>
      <c r="W6" s="97"/>
      <c r="X6" s="59" t="str">
        <f t="shared" si="2"/>
        <v>#DIV/0!</v>
      </c>
      <c r="Y6" s="109">
        <f t="shared" si="3"/>
        <v>45219</v>
      </c>
    </row>
    <row r="7">
      <c r="A7" s="74">
        <v>45220.0</v>
      </c>
      <c r="B7" s="5"/>
      <c r="C7" s="93"/>
      <c r="D7" s="93"/>
      <c r="E7" s="5"/>
      <c r="F7" s="5"/>
      <c r="G7" s="5"/>
      <c r="H7" s="5"/>
      <c r="I7" s="5"/>
      <c r="J7" s="101"/>
      <c r="K7" s="5">
        <v>84.0</v>
      </c>
      <c r="L7" s="5"/>
      <c r="M7" s="93"/>
      <c r="N7" s="93"/>
      <c r="O7" s="93"/>
      <c r="P7" s="93"/>
      <c r="Q7" s="6"/>
      <c r="R7" s="6"/>
      <c r="S7" s="101"/>
      <c r="T7" s="101"/>
      <c r="U7" s="5"/>
      <c r="V7" s="7">
        <f t="shared" si="1"/>
        <v>84</v>
      </c>
      <c r="W7" s="97"/>
      <c r="X7" s="59" t="str">
        <f t="shared" si="2"/>
        <v>#DIV/0!</v>
      </c>
      <c r="Y7" s="109">
        <f t="shared" si="3"/>
        <v>45220</v>
      </c>
    </row>
    <row r="8">
      <c r="A8" s="74">
        <v>45221.0</v>
      </c>
      <c r="B8" s="10" t="s">
        <v>21</v>
      </c>
      <c r="C8" s="112" t="s">
        <v>21</v>
      </c>
      <c r="D8" s="112" t="s">
        <v>21</v>
      </c>
      <c r="E8" s="10" t="s">
        <v>21</v>
      </c>
      <c r="F8" s="10"/>
      <c r="G8" s="10" t="s">
        <v>21</v>
      </c>
      <c r="H8" s="10" t="s">
        <v>21</v>
      </c>
      <c r="I8" s="10" t="s">
        <v>21</v>
      </c>
      <c r="J8" s="112" t="s">
        <v>21</v>
      </c>
      <c r="K8" s="10" t="s">
        <v>21</v>
      </c>
      <c r="L8" s="10" t="s">
        <v>21</v>
      </c>
      <c r="M8" s="10"/>
      <c r="N8" s="10"/>
      <c r="O8" s="112" t="s">
        <v>21</v>
      </c>
      <c r="P8" s="112"/>
      <c r="Q8" s="10" t="s">
        <v>21</v>
      </c>
      <c r="R8" s="10" t="s">
        <v>21</v>
      </c>
      <c r="S8" s="112" t="s">
        <v>21</v>
      </c>
      <c r="T8" s="112"/>
      <c r="U8" s="10" t="s">
        <v>21</v>
      </c>
      <c r="V8" s="7">
        <v>0.0</v>
      </c>
      <c r="W8" s="97"/>
      <c r="X8" s="59" t="str">
        <f t="shared" si="2"/>
        <v>#DIV/0!</v>
      </c>
      <c r="Y8" s="109">
        <f t="shared" si="3"/>
        <v>45221</v>
      </c>
    </row>
    <row r="9">
      <c r="C9" s="136"/>
      <c r="D9" s="138"/>
      <c r="J9" s="79"/>
      <c r="S9" s="79"/>
      <c r="T9" s="79"/>
      <c r="W9" s="129"/>
      <c r="Y9" s="106"/>
    </row>
    <row r="10">
      <c r="C10" s="79"/>
      <c r="D10" s="79"/>
      <c r="J10" s="79"/>
      <c r="O10" s="79"/>
      <c r="P10" s="79"/>
      <c r="S10" s="79"/>
      <c r="T10" s="79"/>
      <c r="W10" s="130"/>
      <c r="Y10" s="106"/>
    </row>
    <row r="11">
      <c r="A11" s="4" t="s">
        <v>22</v>
      </c>
      <c r="B11" s="11">
        <v>13000.0</v>
      </c>
      <c r="C11" s="79"/>
      <c r="D11" s="79"/>
      <c r="E11" s="78"/>
      <c r="F11" s="79"/>
      <c r="J11" s="79"/>
      <c r="O11" s="79"/>
      <c r="P11" s="79"/>
      <c r="S11" s="79"/>
      <c r="T11" s="79"/>
      <c r="W11" s="131"/>
      <c r="Y11" s="106"/>
    </row>
    <row r="12">
      <c r="A12" s="4" t="s">
        <v>23</v>
      </c>
      <c r="B12" s="12">
        <f>SUM(B2:U8)+C9</f>
        <v>823.65</v>
      </c>
      <c r="C12" s="79"/>
      <c r="D12" s="79"/>
      <c r="E12" s="56"/>
      <c r="J12" s="79"/>
      <c r="O12" s="79"/>
      <c r="P12" s="79"/>
      <c r="S12" s="79"/>
      <c r="T12" s="79"/>
      <c r="W12" s="130"/>
      <c r="Y12" s="106"/>
    </row>
    <row r="13">
      <c r="A13" s="4" t="s">
        <v>24</v>
      </c>
      <c r="B13" s="12">
        <f> SUM(B11-B12)</f>
        <v>12176.35</v>
      </c>
      <c r="C13" s="79"/>
      <c r="D13" s="79"/>
      <c r="J13" s="79"/>
      <c r="O13" s="79"/>
      <c r="P13" s="79"/>
      <c r="S13" s="79"/>
      <c r="T13" s="79"/>
      <c r="W13" s="130"/>
      <c r="Y13" s="106"/>
    </row>
    <row r="14">
      <c r="C14" s="79"/>
      <c r="D14" s="79"/>
      <c r="J14" s="79"/>
      <c r="O14" s="79"/>
      <c r="P14" s="79"/>
      <c r="S14" s="79"/>
      <c r="T14" s="79"/>
      <c r="W14" s="130"/>
      <c r="Y14" s="106"/>
    </row>
    <row r="15">
      <c r="A15" s="13" t="s">
        <v>25</v>
      </c>
      <c r="B15" s="14">
        <f>SUM(W2:W8)</f>
        <v>0</v>
      </c>
      <c r="C15" s="79"/>
      <c r="D15" s="79"/>
      <c r="J15" s="79"/>
      <c r="O15" s="79"/>
      <c r="P15" s="79"/>
      <c r="S15" s="79"/>
      <c r="T15" s="79"/>
      <c r="W15" s="130"/>
      <c r="Y15" s="106"/>
    </row>
    <row r="16">
      <c r="A16" s="13" t="s">
        <v>26</v>
      </c>
      <c r="B16" s="15" t="str">
        <f>B12/B15</f>
        <v>#DIV/0!</v>
      </c>
      <c r="C16" s="79"/>
      <c r="D16" s="79"/>
      <c r="J16" s="79"/>
      <c r="O16" s="79"/>
      <c r="P16" s="79"/>
      <c r="S16" s="79"/>
      <c r="T16" s="79"/>
      <c r="W16" s="130"/>
      <c r="Y16" s="106"/>
    </row>
    <row r="17">
      <c r="C17" s="79"/>
      <c r="D17" s="79"/>
      <c r="J17" s="79"/>
      <c r="O17" s="79"/>
      <c r="P17" s="79"/>
      <c r="S17" s="79"/>
      <c r="T17" s="79"/>
      <c r="W17" s="130"/>
      <c r="Y17" s="106"/>
    </row>
    <row r="18">
      <c r="C18" s="79"/>
      <c r="D18" s="79"/>
      <c r="J18" s="79"/>
      <c r="O18" s="79"/>
      <c r="P18" s="79"/>
      <c r="S18" s="79"/>
      <c r="T18" s="79"/>
      <c r="W18" s="130"/>
      <c r="Y18" s="106"/>
    </row>
    <row r="19">
      <c r="A19" s="16" t="s">
        <v>27</v>
      </c>
      <c r="B19" s="17"/>
      <c r="C19" s="114"/>
      <c r="D19" s="115"/>
      <c r="H19" s="84"/>
      <c r="O19" s="79"/>
      <c r="P19" s="79"/>
      <c r="S19" s="79"/>
      <c r="T19" s="79"/>
      <c r="W19" s="130"/>
      <c r="Y19" s="106"/>
    </row>
    <row r="20">
      <c r="A20" s="19" t="s">
        <v>28</v>
      </c>
      <c r="B20" s="20"/>
      <c r="C20" s="116"/>
      <c r="D20" s="117"/>
      <c r="H20" s="85"/>
      <c r="I20" s="85"/>
      <c r="J20" s="118"/>
      <c r="O20" s="79"/>
      <c r="P20" s="79"/>
      <c r="S20" s="79"/>
      <c r="T20" s="79"/>
      <c r="W20" s="130"/>
      <c r="Y20" s="106"/>
    </row>
    <row r="21">
      <c r="A21" s="22" t="s">
        <v>29</v>
      </c>
      <c r="B21" s="23" t="s">
        <v>30</v>
      </c>
      <c r="C21" s="119" t="s">
        <v>170</v>
      </c>
      <c r="D21" s="120" t="s">
        <v>171</v>
      </c>
      <c r="H21" s="86"/>
      <c r="I21" s="85"/>
      <c r="J21" s="118"/>
      <c r="O21" s="79"/>
      <c r="P21" s="79"/>
      <c r="S21" s="79"/>
      <c r="T21" s="79"/>
      <c r="W21" s="130"/>
      <c r="Y21" s="106"/>
    </row>
    <row r="22">
      <c r="A22" s="28" t="s">
        <v>149</v>
      </c>
      <c r="B22" s="72"/>
      <c r="C22" s="121"/>
      <c r="D22" s="122"/>
      <c r="H22" s="87"/>
      <c r="I22" s="85"/>
      <c r="J22" s="118"/>
      <c r="O22" s="79"/>
      <c r="P22" s="79"/>
      <c r="S22" s="79"/>
      <c r="T22" s="79"/>
      <c r="W22" s="130"/>
      <c r="Y22" s="106"/>
    </row>
    <row r="23">
      <c r="A23" s="28" t="s">
        <v>150</v>
      </c>
      <c r="B23" s="72"/>
      <c r="C23" s="121"/>
      <c r="D23" s="122"/>
      <c r="H23" s="88"/>
      <c r="I23" s="88"/>
      <c r="J23" s="123"/>
      <c r="O23" s="79"/>
      <c r="P23" s="79"/>
      <c r="S23" s="79"/>
      <c r="T23" s="79"/>
      <c r="W23" s="130"/>
      <c r="Y23" s="106"/>
    </row>
    <row r="24">
      <c r="A24" s="71" t="s">
        <v>108</v>
      </c>
      <c r="B24" s="72">
        <v>1637.85</v>
      </c>
      <c r="C24" s="71"/>
      <c r="D24" s="124" t="s">
        <v>184</v>
      </c>
      <c r="H24" s="88"/>
      <c r="I24" s="88"/>
      <c r="J24" s="123"/>
      <c r="O24" s="79"/>
      <c r="P24" s="79"/>
      <c r="S24" s="79"/>
      <c r="T24" s="79"/>
      <c r="W24" s="130"/>
      <c r="Y24" s="106"/>
    </row>
    <row r="25">
      <c r="A25" s="28" t="s">
        <v>159</v>
      </c>
      <c r="B25" s="41"/>
      <c r="C25" s="121"/>
      <c r="D25" s="124"/>
      <c r="H25" s="88"/>
      <c r="I25" s="88"/>
      <c r="J25" s="123"/>
      <c r="O25" s="79"/>
      <c r="P25" s="79"/>
      <c r="S25" s="79"/>
      <c r="T25" s="79"/>
      <c r="W25" s="130"/>
      <c r="Y25" s="106"/>
    </row>
    <row r="26">
      <c r="A26" s="28" t="s">
        <v>160</v>
      </c>
      <c r="B26" s="41"/>
      <c r="C26" s="71"/>
      <c r="D26" s="124"/>
      <c r="H26" s="88"/>
      <c r="I26" s="88"/>
      <c r="J26" s="123"/>
      <c r="O26" s="79"/>
      <c r="P26" s="79"/>
      <c r="S26" s="79"/>
      <c r="T26" s="79"/>
      <c r="W26" s="130"/>
      <c r="Y26" s="106"/>
    </row>
    <row r="27">
      <c r="A27" s="28" t="s">
        <v>172</v>
      </c>
      <c r="B27" s="41"/>
      <c r="C27" s="71"/>
      <c r="D27" s="122"/>
      <c r="H27" s="88"/>
      <c r="I27" s="88"/>
      <c r="J27" s="123"/>
      <c r="O27" s="79"/>
      <c r="P27" s="79"/>
      <c r="S27" s="79"/>
      <c r="T27" s="79"/>
      <c r="W27" s="130"/>
      <c r="Y27" s="106"/>
    </row>
    <row r="28">
      <c r="A28" s="28" t="s">
        <v>185</v>
      </c>
      <c r="B28" s="41">
        <v>838.86</v>
      </c>
      <c r="C28" s="121"/>
      <c r="D28" s="124" t="s">
        <v>186</v>
      </c>
      <c r="J28" s="79"/>
      <c r="O28" s="79"/>
      <c r="P28" s="79"/>
      <c r="S28" s="79"/>
      <c r="T28" s="79"/>
      <c r="W28" s="132"/>
      <c r="Y28" s="106"/>
    </row>
    <row r="29">
      <c r="A29" s="25"/>
      <c r="B29" s="26"/>
      <c r="C29" s="121"/>
      <c r="D29" s="122"/>
      <c r="I29" s="89"/>
      <c r="J29" s="125"/>
      <c r="O29" s="79"/>
      <c r="P29" s="79"/>
      <c r="S29" s="79"/>
      <c r="T29" s="79"/>
      <c r="W29" s="130"/>
      <c r="Y29" s="106"/>
    </row>
    <row r="30">
      <c r="C30" s="79"/>
      <c r="D30" s="79"/>
      <c r="J30" s="79"/>
      <c r="O30" s="79"/>
      <c r="P30" s="79"/>
      <c r="S30" s="79"/>
      <c r="T30" s="79"/>
      <c r="W30" s="130"/>
      <c r="Y30" s="106"/>
    </row>
    <row r="31">
      <c r="C31" s="79"/>
      <c r="D31" s="79"/>
      <c r="J31" s="79"/>
      <c r="O31" s="79"/>
      <c r="P31" s="79"/>
      <c r="S31" s="79"/>
      <c r="T31" s="79"/>
      <c r="W31" s="130"/>
      <c r="Y31" s="106"/>
    </row>
    <row r="32">
      <c r="C32" s="79"/>
      <c r="D32" s="79"/>
      <c r="J32" s="79"/>
      <c r="O32" s="79"/>
      <c r="P32" s="79"/>
      <c r="S32" s="79"/>
      <c r="T32" s="79"/>
      <c r="W32" s="130"/>
      <c r="Y32" s="106"/>
    </row>
    <row r="33">
      <c r="C33" s="79"/>
      <c r="D33" s="79"/>
      <c r="J33" s="79"/>
      <c r="O33" s="79"/>
      <c r="P33" s="79"/>
      <c r="S33" s="79"/>
      <c r="T33" s="79"/>
      <c r="W33" s="130"/>
      <c r="Y33" s="106"/>
    </row>
    <row r="34">
      <c r="C34" s="79"/>
      <c r="D34" s="79"/>
      <c r="J34" s="79"/>
      <c r="O34" s="79"/>
      <c r="P34" s="79"/>
      <c r="S34" s="79"/>
      <c r="T34" s="79"/>
      <c r="W34" s="130"/>
      <c r="Y34" s="106"/>
    </row>
    <row r="35">
      <c r="C35" s="79"/>
      <c r="D35" s="79"/>
      <c r="J35" s="79"/>
      <c r="O35" s="79"/>
      <c r="P35" s="79"/>
      <c r="S35" s="79"/>
      <c r="T35" s="79"/>
      <c r="W35" s="130"/>
      <c r="Y35" s="106"/>
    </row>
    <row r="36">
      <c r="C36" s="79"/>
      <c r="D36" s="79"/>
      <c r="J36" s="79"/>
      <c r="O36" s="79"/>
      <c r="P36" s="79"/>
      <c r="S36" s="79"/>
      <c r="T36" s="79"/>
      <c r="W36" s="130"/>
      <c r="Y36" s="106"/>
    </row>
    <row r="37">
      <c r="C37" s="79"/>
      <c r="D37" s="79"/>
      <c r="J37" s="79"/>
      <c r="O37" s="79"/>
      <c r="P37" s="79"/>
      <c r="S37" s="79"/>
      <c r="T37" s="79"/>
      <c r="W37" s="130"/>
      <c r="Y37" s="106"/>
    </row>
    <row r="38">
      <c r="C38" s="79"/>
      <c r="D38" s="79"/>
      <c r="J38" s="79"/>
      <c r="O38" s="79"/>
      <c r="P38" s="79"/>
      <c r="S38" s="79"/>
      <c r="T38" s="79"/>
      <c r="W38" s="130"/>
      <c r="Y38" s="106"/>
    </row>
    <row r="39">
      <c r="C39" s="79"/>
      <c r="D39" s="79"/>
      <c r="J39" s="79"/>
      <c r="O39" s="79"/>
      <c r="P39" s="79"/>
      <c r="S39" s="79"/>
      <c r="T39" s="79"/>
      <c r="W39" s="130"/>
      <c r="Y39" s="106"/>
    </row>
    <row r="40">
      <c r="C40" s="79"/>
      <c r="D40" s="79"/>
      <c r="J40" s="79"/>
      <c r="O40" s="79"/>
      <c r="P40" s="79"/>
      <c r="S40" s="79"/>
      <c r="T40" s="79"/>
      <c r="W40" s="130"/>
      <c r="Y40" s="106"/>
    </row>
    <row r="41">
      <c r="C41" s="79"/>
      <c r="D41" s="79"/>
      <c r="J41" s="79"/>
      <c r="O41" s="79"/>
      <c r="P41" s="79"/>
      <c r="S41" s="79"/>
      <c r="T41" s="79"/>
      <c r="W41" s="130"/>
      <c r="Y41" s="106"/>
    </row>
    <row r="42">
      <c r="C42" s="79"/>
      <c r="D42" s="79"/>
      <c r="J42" s="79"/>
      <c r="O42" s="79"/>
      <c r="P42" s="79"/>
      <c r="S42" s="79"/>
      <c r="T42" s="79"/>
      <c r="W42" s="130"/>
      <c r="Y42" s="106"/>
    </row>
    <row r="43">
      <c r="C43" s="79"/>
      <c r="D43" s="79"/>
      <c r="J43" s="79"/>
      <c r="O43" s="79"/>
      <c r="P43" s="79"/>
      <c r="S43" s="79"/>
      <c r="T43" s="79"/>
      <c r="W43" s="130"/>
      <c r="Y43" s="106"/>
    </row>
    <row r="44">
      <c r="C44" s="79"/>
      <c r="D44" s="79"/>
      <c r="J44" s="79"/>
      <c r="O44" s="79"/>
      <c r="P44" s="79"/>
      <c r="S44" s="79"/>
      <c r="T44" s="79"/>
      <c r="W44" s="130"/>
      <c r="Y44" s="106"/>
    </row>
    <row r="45">
      <c r="C45" s="79"/>
      <c r="D45" s="79"/>
      <c r="J45" s="79"/>
      <c r="O45" s="79"/>
      <c r="P45" s="79"/>
      <c r="S45" s="79"/>
      <c r="T45" s="79"/>
      <c r="W45" s="130"/>
      <c r="Y45" s="106"/>
    </row>
    <row r="46">
      <c r="C46" s="79"/>
      <c r="D46" s="79"/>
      <c r="J46" s="79"/>
      <c r="O46" s="79"/>
      <c r="P46" s="79"/>
      <c r="S46" s="79"/>
      <c r="T46" s="79"/>
      <c r="W46" s="130"/>
      <c r="Y46" s="106"/>
    </row>
    <row r="47">
      <c r="C47" s="79"/>
      <c r="D47" s="79"/>
      <c r="J47" s="79"/>
      <c r="O47" s="79"/>
      <c r="P47" s="79"/>
      <c r="S47" s="79"/>
      <c r="T47" s="79"/>
      <c r="W47" s="130"/>
      <c r="Y47" s="106"/>
    </row>
    <row r="48">
      <c r="C48" s="79"/>
      <c r="D48" s="79"/>
      <c r="J48" s="79"/>
      <c r="O48" s="79"/>
      <c r="P48" s="79"/>
      <c r="S48" s="79"/>
      <c r="T48" s="79"/>
      <c r="W48" s="130"/>
      <c r="Y48" s="106"/>
    </row>
    <row r="49">
      <c r="C49" s="79"/>
      <c r="D49" s="79"/>
      <c r="J49" s="79"/>
      <c r="O49" s="79"/>
      <c r="P49" s="79"/>
      <c r="S49" s="79"/>
      <c r="T49" s="79"/>
      <c r="W49" s="130"/>
      <c r="Y49" s="106"/>
    </row>
    <row r="50">
      <c r="C50" s="79"/>
      <c r="D50" s="79"/>
      <c r="J50" s="79"/>
      <c r="O50" s="79"/>
      <c r="P50" s="79"/>
      <c r="S50" s="79"/>
      <c r="T50" s="79"/>
      <c r="W50" s="130"/>
      <c r="Y50" s="106"/>
    </row>
    <row r="51">
      <c r="C51" s="79"/>
      <c r="D51" s="79"/>
      <c r="J51" s="79"/>
      <c r="O51" s="79"/>
      <c r="P51" s="79"/>
      <c r="S51" s="79"/>
      <c r="T51" s="79"/>
      <c r="W51" s="130"/>
      <c r="Y51" s="106"/>
    </row>
    <row r="52">
      <c r="C52" s="79"/>
      <c r="D52" s="79"/>
      <c r="J52" s="79"/>
      <c r="O52" s="79"/>
      <c r="P52" s="79"/>
      <c r="S52" s="79"/>
      <c r="T52" s="79"/>
      <c r="W52" s="130"/>
      <c r="Y52" s="106"/>
    </row>
    <row r="53">
      <c r="C53" s="79"/>
      <c r="D53" s="79"/>
      <c r="J53" s="79"/>
      <c r="O53" s="79"/>
      <c r="P53" s="79"/>
      <c r="S53" s="79"/>
      <c r="T53" s="79"/>
      <c r="W53" s="130"/>
      <c r="Y53" s="106"/>
    </row>
    <row r="54">
      <c r="C54" s="79"/>
      <c r="D54" s="79"/>
      <c r="J54" s="79"/>
      <c r="O54" s="79"/>
      <c r="P54" s="79"/>
      <c r="S54" s="79"/>
      <c r="T54" s="79"/>
      <c r="W54" s="130"/>
      <c r="Y54" s="106"/>
    </row>
    <row r="55">
      <c r="C55" s="79"/>
      <c r="D55" s="79"/>
      <c r="J55" s="79"/>
      <c r="O55" s="79"/>
      <c r="P55" s="79"/>
      <c r="S55" s="79"/>
      <c r="T55" s="79"/>
      <c r="W55" s="130"/>
      <c r="Y55" s="106"/>
    </row>
    <row r="56">
      <c r="C56" s="79"/>
      <c r="D56" s="79"/>
      <c r="J56" s="79"/>
      <c r="O56" s="79"/>
      <c r="P56" s="79"/>
      <c r="S56" s="79"/>
      <c r="T56" s="79"/>
      <c r="W56" s="130"/>
      <c r="Y56" s="106"/>
    </row>
    <row r="57">
      <c r="C57" s="79"/>
      <c r="D57" s="79"/>
      <c r="J57" s="79"/>
      <c r="O57" s="79"/>
      <c r="P57" s="79"/>
      <c r="S57" s="79"/>
      <c r="T57" s="79"/>
      <c r="W57" s="130"/>
      <c r="Y57" s="106"/>
    </row>
    <row r="58">
      <c r="C58" s="79"/>
      <c r="D58" s="79"/>
      <c r="J58" s="79"/>
      <c r="O58" s="79"/>
      <c r="P58" s="79"/>
      <c r="S58" s="79"/>
      <c r="T58" s="79"/>
      <c r="W58" s="130"/>
      <c r="Y58" s="106"/>
    </row>
    <row r="59">
      <c r="C59" s="79"/>
      <c r="D59" s="79"/>
      <c r="J59" s="79"/>
      <c r="O59" s="79"/>
      <c r="P59" s="79"/>
      <c r="S59" s="79"/>
      <c r="T59" s="79"/>
      <c r="W59" s="130"/>
      <c r="Y59" s="106"/>
    </row>
    <row r="60">
      <c r="C60" s="79"/>
      <c r="D60" s="79"/>
      <c r="J60" s="79"/>
      <c r="O60" s="79"/>
      <c r="P60" s="79"/>
      <c r="S60" s="79"/>
      <c r="T60" s="79"/>
      <c r="W60" s="130"/>
      <c r="Y60" s="106"/>
    </row>
    <row r="61">
      <c r="C61" s="79"/>
      <c r="D61" s="79"/>
      <c r="J61" s="79"/>
      <c r="O61" s="79"/>
      <c r="P61" s="79"/>
      <c r="S61" s="79"/>
      <c r="T61" s="79"/>
      <c r="W61" s="130"/>
      <c r="Y61" s="106"/>
    </row>
    <row r="62">
      <c r="C62" s="79"/>
      <c r="D62" s="79"/>
      <c r="J62" s="79"/>
      <c r="O62" s="79"/>
      <c r="P62" s="79"/>
      <c r="S62" s="79"/>
      <c r="T62" s="79"/>
      <c r="W62" s="130"/>
      <c r="Y62" s="106"/>
    </row>
    <row r="63">
      <c r="C63" s="79"/>
      <c r="D63" s="79"/>
      <c r="J63" s="79"/>
      <c r="O63" s="79"/>
      <c r="P63" s="79"/>
      <c r="S63" s="79"/>
      <c r="T63" s="79"/>
      <c r="W63" s="130"/>
      <c r="Y63" s="106"/>
    </row>
    <row r="64">
      <c r="C64" s="79"/>
      <c r="D64" s="79"/>
      <c r="J64" s="79"/>
      <c r="O64" s="79"/>
      <c r="P64" s="79"/>
      <c r="S64" s="79"/>
      <c r="T64" s="79"/>
      <c r="W64" s="130"/>
      <c r="Y64" s="106"/>
    </row>
    <row r="65">
      <c r="C65" s="79"/>
      <c r="D65" s="79"/>
      <c r="J65" s="79"/>
      <c r="O65" s="79"/>
      <c r="P65" s="79"/>
      <c r="S65" s="79"/>
      <c r="T65" s="79"/>
      <c r="W65" s="130"/>
      <c r="Y65" s="106"/>
    </row>
    <row r="66">
      <c r="C66" s="79"/>
      <c r="D66" s="79"/>
      <c r="J66" s="79"/>
      <c r="O66" s="79"/>
      <c r="P66" s="79"/>
      <c r="S66" s="79"/>
      <c r="T66" s="79"/>
      <c r="W66" s="130"/>
      <c r="Y66" s="106"/>
    </row>
    <row r="67">
      <c r="C67" s="79"/>
      <c r="D67" s="79"/>
      <c r="J67" s="79"/>
      <c r="O67" s="79"/>
      <c r="P67" s="79"/>
      <c r="S67" s="79"/>
      <c r="T67" s="79"/>
      <c r="W67" s="130"/>
      <c r="Y67" s="106"/>
    </row>
    <row r="68">
      <c r="C68" s="79"/>
      <c r="D68" s="79"/>
      <c r="J68" s="79"/>
      <c r="O68" s="79"/>
      <c r="P68" s="79"/>
      <c r="S68" s="79"/>
      <c r="T68" s="79"/>
      <c r="W68" s="130"/>
      <c r="Y68" s="106"/>
    </row>
    <row r="69">
      <c r="C69" s="79"/>
      <c r="D69" s="79"/>
      <c r="J69" s="79"/>
      <c r="O69" s="79"/>
      <c r="P69" s="79"/>
      <c r="S69" s="79"/>
      <c r="T69" s="79"/>
      <c r="W69" s="130"/>
      <c r="Y69" s="106"/>
    </row>
    <row r="70">
      <c r="C70" s="79"/>
      <c r="D70" s="79"/>
      <c r="J70" s="79"/>
      <c r="O70" s="79"/>
      <c r="P70" s="79"/>
      <c r="S70" s="79"/>
      <c r="T70" s="79"/>
      <c r="W70" s="130"/>
      <c r="Y70" s="106"/>
    </row>
    <row r="71">
      <c r="C71" s="79"/>
      <c r="D71" s="79"/>
      <c r="J71" s="79"/>
      <c r="O71" s="79"/>
      <c r="P71" s="79"/>
      <c r="S71" s="79"/>
      <c r="T71" s="79"/>
      <c r="W71" s="130"/>
      <c r="Y71" s="106"/>
    </row>
    <row r="72">
      <c r="C72" s="79"/>
      <c r="D72" s="79"/>
      <c r="J72" s="79"/>
      <c r="O72" s="79"/>
      <c r="P72" s="79"/>
      <c r="S72" s="79"/>
      <c r="T72" s="79"/>
      <c r="W72" s="130"/>
      <c r="Y72" s="106"/>
    </row>
    <row r="73">
      <c r="C73" s="79"/>
      <c r="D73" s="79"/>
      <c r="J73" s="79"/>
      <c r="O73" s="79"/>
      <c r="P73" s="79"/>
      <c r="S73" s="79"/>
      <c r="T73" s="79"/>
      <c r="W73" s="130"/>
      <c r="Y73" s="106"/>
    </row>
    <row r="74">
      <c r="C74" s="79"/>
      <c r="D74" s="79"/>
      <c r="J74" s="79"/>
      <c r="O74" s="79"/>
      <c r="P74" s="79"/>
      <c r="S74" s="79"/>
      <c r="T74" s="79"/>
      <c r="W74" s="130"/>
      <c r="Y74" s="106"/>
    </row>
    <row r="75">
      <c r="C75" s="79"/>
      <c r="D75" s="79"/>
      <c r="J75" s="79"/>
      <c r="O75" s="79"/>
      <c r="P75" s="79"/>
      <c r="S75" s="79"/>
      <c r="T75" s="79"/>
      <c r="W75" s="130"/>
      <c r="Y75" s="106"/>
    </row>
    <row r="76">
      <c r="C76" s="79"/>
      <c r="D76" s="79"/>
      <c r="J76" s="79"/>
      <c r="O76" s="79"/>
      <c r="P76" s="79"/>
      <c r="S76" s="79"/>
      <c r="T76" s="79"/>
      <c r="W76" s="130"/>
      <c r="Y76" s="106"/>
    </row>
    <row r="77">
      <c r="C77" s="79"/>
      <c r="D77" s="79"/>
      <c r="J77" s="79"/>
      <c r="O77" s="79"/>
      <c r="P77" s="79"/>
      <c r="S77" s="79"/>
      <c r="T77" s="79"/>
      <c r="W77" s="130"/>
      <c r="Y77" s="106"/>
    </row>
    <row r="78">
      <c r="C78" s="79"/>
      <c r="D78" s="79"/>
      <c r="J78" s="79"/>
      <c r="O78" s="79"/>
      <c r="P78" s="79"/>
      <c r="S78" s="79"/>
      <c r="T78" s="79"/>
      <c r="W78" s="130"/>
      <c r="Y78" s="106"/>
    </row>
    <row r="79">
      <c r="C79" s="79"/>
      <c r="D79" s="79"/>
      <c r="J79" s="79"/>
      <c r="O79" s="79"/>
      <c r="P79" s="79"/>
      <c r="S79" s="79"/>
      <c r="T79" s="79"/>
      <c r="W79" s="130"/>
      <c r="Y79" s="106"/>
    </row>
    <row r="80">
      <c r="C80" s="79"/>
      <c r="D80" s="79"/>
      <c r="J80" s="79"/>
      <c r="O80" s="79"/>
      <c r="P80" s="79"/>
      <c r="S80" s="79"/>
      <c r="T80" s="79"/>
      <c r="W80" s="130"/>
      <c r="Y80" s="106"/>
    </row>
    <row r="81">
      <c r="C81" s="79"/>
      <c r="D81" s="79"/>
      <c r="J81" s="79"/>
      <c r="O81" s="79"/>
      <c r="P81" s="79"/>
      <c r="S81" s="79"/>
      <c r="T81" s="79"/>
      <c r="W81" s="130"/>
      <c r="Y81" s="106"/>
    </row>
    <row r="82">
      <c r="C82" s="79"/>
      <c r="D82" s="79"/>
      <c r="J82" s="79"/>
      <c r="O82" s="79"/>
      <c r="P82" s="79"/>
      <c r="S82" s="79"/>
      <c r="T82" s="79"/>
      <c r="W82" s="130"/>
      <c r="Y82" s="106"/>
    </row>
    <row r="83">
      <c r="C83" s="79"/>
      <c r="D83" s="79"/>
      <c r="J83" s="79"/>
      <c r="O83" s="79"/>
      <c r="P83" s="79"/>
      <c r="S83" s="79"/>
      <c r="T83" s="79"/>
      <c r="W83" s="130"/>
      <c r="Y83" s="106"/>
    </row>
    <row r="84">
      <c r="C84" s="79"/>
      <c r="D84" s="79"/>
      <c r="J84" s="79"/>
      <c r="O84" s="79"/>
      <c r="P84" s="79"/>
      <c r="S84" s="79"/>
      <c r="T84" s="79"/>
      <c r="W84" s="130"/>
      <c r="Y84" s="106"/>
    </row>
    <row r="85">
      <c r="C85" s="79"/>
      <c r="D85" s="79"/>
      <c r="J85" s="79"/>
      <c r="O85" s="79"/>
      <c r="P85" s="79"/>
      <c r="S85" s="79"/>
      <c r="T85" s="79"/>
      <c r="W85" s="130"/>
      <c r="Y85" s="106"/>
    </row>
    <row r="86">
      <c r="C86" s="79"/>
      <c r="D86" s="79"/>
      <c r="J86" s="79"/>
      <c r="O86" s="79"/>
      <c r="P86" s="79"/>
      <c r="S86" s="79"/>
      <c r="T86" s="79"/>
      <c r="W86" s="130"/>
      <c r="Y86" s="106"/>
    </row>
    <row r="87">
      <c r="C87" s="79"/>
      <c r="D87" s="79"/>
      <c r="J87" s="79"/>
      <c r="O87" s="79"/>
      <c r="P87" s="79"/>
      <c r="S87" s="79"/>
      <c r="T87" s="79"/>
      <c r="W87" s="130"/>
      <c r="Y87" s="106"/>
    </row>
    <row r="88">
      <c r="C88" s="79"/>
      <c r="D88" s="79"/>
      <c r="J88" s="79"/>
      <c r="O88" s="79"/>
      <c r="P88" s="79"/>
      <c r="S88" s="79"/>
      <c r="T88" s="79"/>
      <c r="W88" s="130"/>
      <c r="Y88" s="106"/>
    </row>
    <row r="89">
      <c r="C89" s="79"/>
      <c r="D89" s="79"/>
      <c r="J89" s="79"/>
      <c r="O89" s="79"/>
      <c r="P89" s="79"/>
      <c r="S89" s="79"/>
      <c r="T89" s="79"/>
      <c r="W89" s="130"/>
      <c r="Y89" s="106"/>
    </row>
    <row r="90">
      <c r="C90" s="79"/>
      <c r="D90" s="79"/>
      <c r="J90" s="79"/>
      <c r="O90" s="79"/>
      <c r="P90" s="79"/>
      <c r="S90" s="79"/>
      <c r="T90" s="79"/>
      <c r="W90" s="130"/>
      <c r="Y90" s="106"/>
    </row>
    <row r="91">
      <c r="C91" s="79"/>
      <c r="D91" s="79"/>
      <c r="J91" s="79"/>
      <c r="O91" s="79"/>
      <c r="P91" s="79"/>
      <c r="S91" s="79"/>
      <c r="T91" s="79"/>
      <c r="W91" s="130"/>
      <c r="Y91" s="106"/>
    </row>
    <row r="92">
      <c r="C92" s="79"/>
      <c r="D92" s="79"/>
      <c r="J92" s="79"/>
      <c r="O92" s="79"/>
      <c r="P92" s="79"/>
      <c r="S92" s="79"/>
      <c r="T92" s="79"/>
      <c r="W92" s="130"/>
      <c r="Y92" s="106"/>
    </row>
    <row r="93">
      <c r="C93" s="79"/>
      <c r="D93" s="79"/>
      <c r="J93" s="79"/>
      <c r="O93" s="79"/>
      <c r="P93" s="79"/>
      <c r="S93" s="79"/>
      <c r="T93" s="79"/>
      <c r="W93" s="130"/>
      <c r="Y93" s="106"/>
    </row>
    <row r="94">
      <c r="C94" s="79"/>
      <c r="D94" s="79"/>
      <c r="J94" s="79"/>
      <c r="O94" s="79"/>
      <c r="P94" s="79"/>
      <c r="S94" s="79"/>
      <c r="T94" s="79"/>
      <c r="W94" s="130"/>
      <c r="Y94" s="106"/>
    </row>
    <row r="95">
      <c r="C95" s="79"/>
      <c r="D95" s="79"/>
      <c r="J95" s="79"/>
      <c r="O95" s="79"/>
      <c r="P95" s="79"/>
      <c r="S95" s="79"/>
      <c r="T95" s="79"/>
      <c r="W95" s="130"/>
      <c r="Y95" s="106"/>
    </row>
    <row r="96">
      <c r="C96" s="79"/>
      <c r="D96" s="79"/>
      <c r="J96" s="79"/>
      <c r="O96" s="79"/>
      <c r="P96" s="79"/>
      <c r="S96" s="79"/>
      <c r="T96" s="79"/>
      <c r="W96" s="130"/>
      <c r="Y96" s="106"/>
    </row>
    <row r="97">
      <c r="C97" s="79"/>
      <c r="D97" s="79"/>
      <c r="J97" s="79"/>
      <c r="O97" s="79"/>
      <c r="P97" s="79"/>
      <c r="S97" s="79"/>
      <c r="T97" s="79"/>
      <c r="W97" s="130"/>
      <c r="Y97" s="106"/>
    </row>
    <row r="98">
      <c r="C98" s="79"/>
      <c r="D98" s="79"/>
      <c r="J98" s="79"/>
      <c r="O98" s="79"/>
      <c r="P98" s="79"/>
      <c r="S98" s="79"/>
      <c r="T98" s="79"/>
      <c r="W98" s="130"/>
      <c r="Y98" s="106"/>
    </row>
    <row r="99">
      <c r="C99" s="79"/>
      <c r="D99" s="79"/>
      <c r="J99" s="79"/>
      <c r="O99" s="79"/>
      <c r="P99" s="79"/>
      <c r="S99" s="79"/>
      <c r="T99" s="79"/>
      <c r="W99" s="130"/>
      <c r="Y99" s="106"/>
    </row>
    <row r="100">
      <c r="C100" s="79"/>
      <c r="D100" s="79"/>
      <c r="J100" s="79"/>
      <c r="O100" s="79"/>
      <c r="P100" s="79"/>
      <c r="S100" s="79"/>
      <c r="T100" s="79"/>
      <c r="W100" s="130"/>
      <c r="Y100" s="106"/>
    </row>
    <row r="101">
      <c r="C101" s="79"/>
      <c r="D101" s="79"/>
      <c r="J101" s="79"/>
      <c r="O101" s="79"/>
      <c r="P101" s="79"/>
      <c r="S101" s="79"/>
      <c r="T101" s="79"/>
      <c r="W101" s="130"/>
      <c r="Y101" s="106"/>
    </row>
    <row r="102">
      <c r="C102" s="79"/>
      <c r="D102" s="79"/>
      <c r="J102" s="79"/>
      <c r="O102" s="79"/>
      <c r="P102" s="79"/>
      <c r="S102" s="79"/>
      <c r="T102" s="79"/>
      <c r="W102" s="130"/>
      <c r="Y102" s="106"/>
    </row>
    <row r="103">
      <c r="C103" s="79"/>
      <c r="D103" s="79"/>
      <c r="J103" s="79"/>
      <c r="O103" s="79"/>
      <c r="P103" s="79"/>
      <c r="S103" s="79"/>
      <c r="T103" s="79"/>
      <c r="W103" s="130"/>
      <c r="Y103" s="106"/>
    </row>
    <row r="104">
      <c r="C104" s="79"/>
      <c r="D104" s="79"/>
      <c r="J104" s="79"/>
      <c r="O104" s="79"/>
      <c r="P104" s="79"/>
      <c r="S104" s="79"/>
      <c r="T104" s="79"/>
      <c r="W104" s="130"/>
      <c r="Y104" s="106"/>
    </row>
    <row r="105">
      <c r="C105" s="79"/>
      <c r="D105" s="79"/>
      <c r="J105" s="79"/>
      <c r="O105" s="79"/>
      <c r="P105" s="79"/>
      <c r="S105" s="79"/>
      <c r="T105" s="79"/>
      <c r="W105" s="130"/>
      <c r="Y105" s="106"/>
    </row>
    <row r="106">
      <c r="C106" s="79"/>
      <c r="D106" s="79"/>
      <c r="J106" s="79"/>
      <c r="O106" s="79"/>
      <c r="P106" s="79"/>
      <c r="S106" s="79"/>
      <c r="T106" s="79"/>
      <c r="W106" s="130"/>
      <c r="Y106" s="106"/>
    </row>
    <row r="107">
      <c r="C107" s="79"/>
      <c r="D107" s="79"/>
      <c r="J107" s="79"/>
      <c r="O107" s="79"/>
      <c r="P107" s="79"/>
      <c r="S107" s="79"/>
      <c r="T107" s="79"/>
      <c r="W107" s="130"/>
      <c r="Y107" s="106"/>
    </row>
    <row r="108">
      <c r="C108" s="79"/>
      <c r="D108" s="79"/>
      <c r="J108" s="79"/>
      <c r="O108" s="79"/>
      <c r="P108" s="79"/>
      <c r="S108" s="79"/>
      <c r="T108" s="79"/>
      <c r="W108" s="130"/>
      <c r="Y108" s="106"/>
    </row>
    <row r="109">
      <c r="C109" s="79"/>
      <c r="D109" s="79"/>
      <c r="J109" s="79"/>
      <c r="O109" s="79"/>
      <c r="P109" s="79"/>
      <c r="S109" s="79"/>
      <c r="T109" s="79"/>
      <c r="W109" s="130"/>
      <c r="Y109" s="106"/>
    </row>
    <row r="110">
      <c r="C110" s="79"/>
      <c r="D110" s="79"/>
      <c r="J110" s="79"/>
      <c r="O110" s="79"/>
      <c r="P110" s="79"/>
      <c r="S110" s="79"/>
      <c r="T110" s="79"/>
      <c r="W110" s="130"/>
      <c r="Y110" s="106"/>
    </row>
    <row r="111">
      <c r="C111" s="79"/>
      <c r="D111" s="79"/>
      <c r="J111" s="79"/>
      <c r="O111" s="79"/>
      <c r="P111" s="79"/>
      <c r="S111" s="79"/>
      <c r="T111" s="79"/>
      <c r="W111" s="130"/>
      <c r="Y111" s="106"/>
    </row>
    <row r="112">
      <c r="C112" s="79"/>
      <c r="D112" s="79"/>
      <c r="J112" s="79"/>
      <c r="O112" s="79"/>
      <c r="P112" s="79"/>
      <c r="S112" s="79"/>
      <c r="T112" s="79"/>
      <c r="W112" s="130"/>
      <c r="Y112" s="106"/>
    </row>
    <row r="113">
      <c r="C113" s="79"/>
      <c r="D113" s="79"/>
      <c r="J113" s="79"/>
      <c r="O113" s="79"/>
      <c r="P113" s="79"/>
      <c r="S113" s="79"/>
      <c r="T113" s="79"/>
      <c r="W113" s="130"/>
      <c r="Y113" s="106"/>
    </row>
    <row r="114">
      <c r="C114" s="79"/>
      <c r="D114" s="79"/>
      <c r="J114" s="79"/>
      <c r="O114" s="79"/>
      <c r="P114" s="79"/>
      <c r="S114" s="79"/>
      <c r="T114" s="79"/>
      <c r="W114" s="130"/>
      <c r="Y114" s="106"/>
    </row>
    <row r="115">
      <c r="C115" s="79"/>
      <c r="D115" s="79"/>
      <c r="J115" s="79"/>
      <c r="O115" s="79"/>
      <c r="P115" s="79"/>
      <c r="S115" s="79"/>
      <c r="T115" s="79"/>
      <c r="W115" s="130"/>
      <c r="Y115" s="106"/>
    </row>
    <row r="116">
      <c r="C116" s="79"/>
      <c r="D116" s="79"/>
      <c r="J116" s="79"/>
      <c r="O116" s="79"/>
      <c r="P116" s="79"/>
      <c r="S116" s="79"/>
      <c r="T116" s="79"/>
      <c r="W116" s="130"/>
      <c r="Y116" s="106"/>
    </row>
    <row r="117">
      <c r="C117" s="79"/>
      <c r="D117" s="79"/>
      <c r="J117" s="79"/>
      <c r="O117" s="79"/>
      <c r="P117" s="79"/>
      <c r="S117" s="79"/>
      <c r="T117" s="79"/>
      <c r="W117" s="130"/>
      <c r="Y117" s="106"/>
    </row>
    <row r="118">
      <c r="C118" s="79"/>
      <c r="D118" s="79"/>
      <c r="J118" s="79"/>
      <c r="O118" s="79"/>
      <c r="P118" s="79"/>
      <c r="S118" s="79"/>
      <c r="T118" s="79"/>
      <c r="W118" s="130"/>
      <c r="Y118" s="106"/>
    </row>
    <row r="119">
      <c r="C119" s="79"/>
      <c r="D119" s="79"/>
      <c r="J119" s="79"/>
      <c r="O119" s="79"/>
      <c r="P119" s="79"/>
      <c r="S119" s="79"/>
      <c r="T119" s="79"/>
      <c r="W119" s="130"/>
      <c r="Y119" s="106"/>
    </row>
    <row r="120">
      <c r="C120" s="79"/>
      <c r="D120" s="79"/>
      <c r="J120" s="79"/>
      <c r="O120" s="79"/>
      <c r="P120" s="79"/>
      <c r="S120" s="79"/>
      <c r="T120" s="79"/>
      <c r="W120" s="130"/>
      <c r="Y120" s="106"/>
    </row>
    <row r="121">
      <c r="C121" s="79"/>
      <c r="D121" s="79"/>
      <c r="J121" s="79"/>
      <c r="O121" s="79"/>
      <c r="P121" s="79"/>
      <c r="S121" s="79"/>
      <c r="T121" s="79"/>
      <c r="W121" s="130"/>
      <c r="Y121" s="106"/>
    </row>
    <row r="122">
      <c r="C122" s="79"/>
      <c r="D122" s="79"/>
      <c r="J122" s="79"/>
      <c r="O122" s="79"/>
      <c r="P122" s="79"/>
      <c r="S122" s="79"/>
      <c r="T122" s="79"/>
      <c r="W122" s="130"/>
      <c r="Y122" s="106"/>
    </row>
    <row r="123">
      <c r="C123" s="79"/>
      <c r="D123" s="79"/>
      <c r="J123" s="79"/>
      <c r="O123" s="79"/>
      <c r="P123" s="79"/>
      <c r="S123" s="79"/>
      <c r="T123" s="79"/>
      <c r="W123" s="130"/>
      <c r="Y123" s="106"/>
    </row>
    <row r="124">
      <c r="C124" s="79"/>
      <c r="D124" s="79"/>
      <c r="J124" s="79"/>
      <c r="O124" s="79"/>
      <c r="P124" s="79"/>
      <c r="S124" s="79"/>
      <c r="T124" s="79"/>
      <c r="W124" s="130"/>
      <c r="Y124" s="106"/>
    </row>
    <row r="125">
      <c r="C125" s="79"/>
      <c r="D125" s="79"/>
      <c r="J125" s="79"/>
      <c r="O125" s="79"/>
      <c r="P125" s="79"/>
      <c r="S125" s="79"/>
      <c r="T125" s="79"/>
      <c r="W125" s="130"/>
      <c r="Y125" s="106"/>
    </row>
    <row r="126">
      <c r="C126" s="79"/>
      <c r="D126" s="79"/>
      <c r="J126" s="79"/>
      <c r="O126" s="79"/>
      <c r="P126" s="79"/>
      <c r="S126" s="79"/>
      <c r="T126" s="79"/>
      <c r="W126" s="130"/>
      <c r="Y126" s="106"/>
    </row>
    <row r="127">
      <c r="C127" s="79"/>
      <c r="D127" s="79"/>
      <c r="J127" s="79"/>
      <c r="O127" s="79"/>
      <c r="P127" s="79"/>
      <c r="S127" s="79"/>
      <c r="T127" s="79"/>
      <c r="W127" s="130"/>
      <c r="Y127" s="106"/>
    </row>
    <row r="128">
      <c r="C128" s="79"/>
      <c r="D128" s="79"/>
      <c r="J128" s="79"/>
      <c r="O128" s="79"/>
      <c r="P128" s="79"/>
      <c r="S128" s="79"/>
      <c r="T128" s="79"/>
      <c r="W128" s="130"/>
      <c r="Y128" s="106"/>
    </row>
    <row r="129">
      <c r="C129" s="79"/>
      <c r="D129" s="79"/>
      <c r="J129" s="79"/>
      <c r="O129" s="79"/>
      <c r="P129" s="79"/>
      <c r="S129" s="79"/>
      <c r="T129" s="79"/>
      <c r="W129" s="130"/>
      <c r="Y129" s="106"/>
    </row>
    <row r="130">
      <c r="C130" s="79"/>
      <c r="D130" s="79"/>
      <c r="J130" s="79"/>
      <c r="O130" s="79"/>
      <c r="P130" s="79"/>
      <c r="S130" s="79"/>
      <c r="T130" s="79"/>
      <c r="W130" s="130"/>
      <c r="Y130" s="106"/>
    </row>
    <row r="131">
      <c r="C131" s="79"/>
      <c r="D131" s="79"/>
      <c r="J131" s="79"/>
      <c r="O131" s="79"/>
      <c r="P131" s="79"/>
      <c r="S131" s="79"/>
      <c r="T131" s="79"/>
      <c r="W131" s="130"/>
      <c r="Y131" s="106"/>
    </row>
    <row r="132">
      <c r="C132" s="79"/>
      <c r="D132" s="79"/>
      <c r="J132" s="79"/>
      <c r="O132" s="79"/>
      <c r="P132" s="79"/>
      <c r="S132" s="79"/>
      <c r="T132" s="79"/>
      <c r="W132" s="130"/>
      <c r="Y132" s="106"/>
    </row>
    <row r="133">
      <c r="C133" s="79"/>
      <c r="D133" s="79"/>
      <c r="J133" s="79"/>
      <c r="O133" s="79"/>
      <c r="P133" s="79"/>
      <c r="S133" s="79"/>
      <c r="T133" s="79"/>
      <c r="W133" s="130"/>
      <c r="Y133" s="106"/>
    </row>
    <row r="134">
      <c r="C134" s="79"/>
      <c r="D134" s="79"/>
      <c r="J134" s="79"/>
      <c r="O134" s="79"/>
      <c r="P134" s="79"/>
      <c r="S134" s="79"/>
      <c r="T134" s="79"/>
      <c r="W134" s="130"/>
      <c r="Y134" s="106"/>
    </row>
    <row r="135">
      <c r="C135" s="79"/>
      <c r="D135" s="79"/>
      <c r="J135" s="79"/>
      <c r="O135" s="79"/>
      <c r="P135" s="79"/>
      <c r="S135" s="79"/>
      <c r="T135" s="79"/>
      <c r="W135" s="130"/>
      <c r="Y135" s="106"/>
    </row>
    <row r="136">
      <c r="C136" s="79"/>
      <c r="D136" s="79"/>
      <c r="J136" s="79"/>
      <c r="O136" s="79"/>
      <c r="P136" s="79"/>
      <c r="S136" s="79"/>
      <c r="T136" s="79"/>
      <c r="W136" s="130"/>
      <c r="Y136" s="106"/>
    </row>
    <row r="137">
      <c r="C137" s="79"/>
      <c r="D137" s="79"/>
      <c r="J137" s="79"/>
      <c r="O137" s="79"/>
      <c r="P137" s="79"/>
      <c r="S137" s="79"/>
      <c r="T137" s="79"/>
      <c r="W137" s="130"/>
      <c r="Y137" s="106"/>
    </row>
    <row r="138">
      <c r="C138" s="79"/>
      <c r="D138" s="79"/>
      <c r="J138" s="79"/>
      <c r="O138" s="79"/>
      <c r="P138" s="79"/>
      <c r="S138" s="79"/>
      <c r="T138" s="79"/>
      <c r="W138" s="130"/>
      <c r="Y138" s="106"/>
    </row>
    <row r="139">
      <c r="C139" s="79"/>
      <c r="D139" s="79"/>
      <c r="J139" s="79"/>
      <c r="O139" s="79"/>
      <c r="P139" s="79"/>
      <c r="S139" s="79"/>
      <c r="T139" s="79"/>
      <c r="W139" s="130"/>
      <c r="Y139" s="106"/>
    </row>
    <row r="140">
      <c r="C140" s="79"/>
      <c r="D140" s="79"/>
      <c r="J140" s="79"/>
      <c r="O140" s="79"/>
      <c r="P140" s="79"/>
      <c r="S140" s="79"/>
      <c r="T140" s="79"/>
      <c r="W140" s="130"/>
      <c r="Y140" s="106"/>
    </row>
    <row r="141">
      <c r="C141" s="79"/>
      <c r="D141" s="79"/>
      <c r="J141" s="79"/>
      <c r="O141" s="79"/>
      <c r="P141" s="79"/>
      <c r="S141" s="79"/>
      <c r="T141" s="79"/>
      <c r="W141" s="130"/>
      <c r="Y141" s="106"/>
    </row>
    <row r="142">
      <c r="C142" s="79"/>
      <c r="D142" s="79"/>
      <c r="J142" s="79"/>
      <c r="O142" s="79"/>
      <c r="P142" s="79"/>
      <c r="S142" s="79"/>
      <c r="T142" s="79"/>
      <c r="W142" s="130"/>
      <c r="Y142" s="106"/>
    </row>
    <row r="143">
      <c r="C143" s="79"/>
      <c r="D143" s="79"/>
      <c r="J143" s="79"/>
      <c r="O143" s="79"/>
      <c r="P143" s="79"/>
      <c r="S143" s="79"/>
      <c r="T143" s="79"/>
      <c r="W143" s="130"/>
      <c r="Y143" s="106"/>
    </row>
    <row r="144">
      <c r="C144" s="79"/>
      <c r="D144" s="79"/>
      <c r="J144" s="79"/>
      <c r="O144" s="79"/>
      <c r="P144" s="79"/>
      <c r="S144" s="79"/>
      <c r="T144" s="79"/>
      <c r="W144" s="130"/>
      <c r="Y144" s="106"/>
    </row>
    <row r="145">
      <c r="C145" s="79"/>
      <c r="D145" s="79"/>
      <c r="J145" s="79"/>
      <c r="O145" s="79"/>
      <c r="P145" s="79"/>
      <c r="S145" s="79"/>
      <c r="T145" s="79"/>
      <c r="W145" s="130"/>
      <c r="Y145" s="106"/>
    </row>
    <row r="146">
      <c r="C146" s="79"/>
      <c r="D146" s="79"/>
      <c r="J146" s="79"/>
      <c r="O146" s="79"/>
      <c r="P146" s="79"/>
      <c r="S146" s="79"/>
      <c r="T146" s="79"/>
      <c r="W146" s="130"/>
      <c r="Y146" s="106"/>
    </row>
    <row r="147">
      <c r="C147" s="79"/>
      <c r="D147" s="79"/>
      <c r="J147" s="79"/>
      <c r="O147" s="79"/>
      <c r="P147" s="79"/>
      <c r="S147" s="79"/>
      <c r="T147" s="79"/>
      <c r="W147" s="130"/>
      <c r="Y147" s="106"/>
    </row>
    <row r="148">
      <c r="C148" s="79"/>
      <c r="D148" s="79"/>
      <c r="J148" s="79"/>
      <c r="O148" s="79"/>
      <c r="P148" s="79"/>
      <c r="S148" s="79"/>
      <c r="T148" s="79"/>
      <c r="W148" s="130"/>
      <c r="Y148" s="106"/>
    </row>
    <row r="149">
      <c r="C149" s="79"/>
      <c r="D149" s="79"/>
      <c r="J149" s="79"/>
      <c r="O149" s="79"/>
      <c r="P149" s="79"/>
      <c r="S149" s="79"/>
      <c r="T149" s="79"/>
      <c r="W149" s="130"/>
      <c r="Y149" s="106"/>
    </row>
    <row r="150">
      <c r="C150" s="79"/>
      <c r="D150" s="79"/>
      <c r="J150" s="79"/>
      <c r="O150" s="79"/>
      <c r="P150" s="79"/>
      <c r="S150" s="79"/>
      <c r="T150" s="79"/>
      <c r="W150" s="130"/>
      <c r="Y150" s="106"/>
    </row>
    <row r="151">
      <c r="C151" s="79"/>
      <c r="D151" s="79"/>
      <c r="J151" s="79"/>
      <c r="O151" s="79"/>
      <c r="P151" s="79"/>
      <c r="S151" s="79"/>
      <c r="T151" s="79"/>
      <c r="W151" s="130"/>
      <c r="Y151" s="106"/>
    </row>
    <row r="152">
      <c r="C152" s="79"/>
      <c r="D152" s="79"/>
      <c r="J152" s="79"/>
      <c r="O152" s="79"/>
      <c r="P152" s="79"/>
      <c r="S152" s="79"/>
      <c r="T152" s="79"/>
      <c r="W152" s="130"/>
      <c r="Y152" s="106"/>
    </row>
    <row r="153">
      <c r="C153" s="79"/>
      <c r="D153" s="79"/>
      <c r="J153" s="79"/>
      <c r="O153" s="79"/>
      <c r="P153" s="79"/>
      <c r="S153" s="79"/>
      <c r="T153" s="79"/>
      <c r="W153" s="130"/>
      <c r="Y153" s="106"/>
    </row>
    <row r="154">
      <c r="C154" s="79"/>
      <c r="D154" s="79"/>
      <c r="J154" s="79"/>
      <c r="O154" s="79"/>
      <c r="P154" s="79"/>
      <c r="S154" s="79"/>
      <c r="T154" s="79"/>
      <c r="W154" s="130"/>
      <c r="Y154" s="106"/>
    </row>
    <row r="155">
      <c r="C155" s="79"/>
      <c r="D155" s="79"/>
      <c r="J155" s="79"/>
      <c r="O155" s="79"/>
      <c r="P155" s="79"/>
      <c r="S155" s="79"/>
      <c r="T155" s="79"/>
      <c r="W155" s="130"/>
      <c r="Y155" s="106"/>
    </row>
    <row r="156">
      <c r="C156" s="79"/>
      <c r="D156" s="79"/>
      <c r="J156" s="79"/>
      <c r="O156" s="79"/>
      <c r="P156" s="79"/>
      <c r="S156" s="79"/>
      <c r="T156" s="79"/>
      <c r="W156" s="130"/>
      <c r="Y156" s="106"/>
    </row>
    <row r="157">
      <c r="C157" s="79"/>
      <c r="D157" s="79"/>
      <c r="J157" s="79"/>
      <c r="O157" s="79"/>
      <c r="P157" s="79"/>
      <c r="S157" s="79"/>
      <c r="T157" s="79"/>
      <c r="W157" s="130"/>
      <c r="Y157" s="106"/>
    </row>
    <row r="158">
      <c r="C158" s="79"/>
      <c r="D158" s="79"/>
      <c r="J158" s="79"/>
      <c r="O158" s="79"/>
      <c r="P158" s="79"/>
      <c r="S158" s="79"/>
      <c r="T158" s="79"/>
      <c r="W158" s="130"/>
      <c r="Y158" s="106"/>
    </row>
    <row r="159">
      <c r="C159" s="79"/>
      <c r="D159" s="79"/>
      <c r="J159" s="79"/>
      <c r="O159" s="79"/>
      <c r="P159" s="79"/>
      <c r="S159" s="79"/>
      <c r="T159" s="79"/>
      <c r="W159" s="130"/>
      <c r="Y159" s="106"/>
    </row>
    <row r="160">
      <c r="C160" s="79"/>
      <c r="D160" s="79"/>
      <c r="J160" s="79"/>
      <c r="O160" s="79"/>
      <c r="P160" s="79"/>
      <c r="S160" s="79"/>
      <c r="T160" s="79"/>
      <c r="W160" s="130"/>
      <c r="Y160" s="106"/>
    </row>
    <row r="161">
      <c r="C161" s="79"/>
      <c r="D161" s="79"/>
      <c r="J161" s="79"/>
      <c r="O161" s="79"/>
      <c r="P161" s="79"/>
      <c r="S161" s="79"/>
      <c r="T161" s="79"/>
      <c r="W161" s="130"/>
      <c r="Y161" s="106"/>
    </row>
    <row r="162">
      <c r="C162" s="79"/>
      <c r="D162" s="79"/>
      <c r="J162" s="79"/>
      <c r="O162" s="79"/>
      <c r="P162" s="79"/>
      <c r="S162" s="79"/>
      <c r="T162" s="79"/>
      <c r="W162" s="130"/>
      <c r="Y162" s="106"/>
    </row>
    <row r="163">
      <c r="C163" s="79"/>
      <c r="D163" s="79"/>
      <c r="J163" s="79"/>
      <c r="O163" s="79"/>
      <c r="P163" s="79"/>
      <c r="S163" s="79"/>
      <c r="T163" s="79"/>
      <c r="W163" s="130"/>
      <c r="Y163" s="106"/>
    </row>
    <row r="164">
      <c r="C164" s="79"/>
      <c r="D164" s="79"/>
      <c r="J164" s="79"/>
      <c r="O164" s="79"/>
      <c r="P164" s="79"/>
      <c r="S164" s="79"/>
      <c r="T164" s="79"/>
      <c r="W164" s="130"/>
      <c r="Y164" s="106"/>
    </row>
    <row r="165">
      <c r="C165" s="79"/>
      <c r="D165" s="79"/>
      <c r="J165" s="79"/>
      <c r="O165" s="79"/>
      <c r="P165" s="79"/>
      <c r="S165" s="79"/>
      <c r="T165" s="79"/>
      <c r="W165" s="130"/>
      <c r="Y165" s="106"/>
    </row>
    <row r="166">
      <c r="C166" s="79"/>
      <c r="D166" s="79"/>
      <c r="J166" s="79"/>
      <c r="O166" s="79"/>
      <c r="P166" s="79"/>
      <c r="S166" s="79"/>
      <c r="T166" s="79"/>
      <c r="W166" s="130"/>
      <c r="Y166" s="106"/>
    </row>
    <row r="167">
      <c r="C167" s="79"/>
      <c r="D167" s="79"/>
      <c r="J167" s="79"/>
      <c r="O167" s="79"/>
      <c r="P167" s="79"/>
      <c r="S167" s="79"/>
      <c r="T167" s="79"/>
      <c r="W167" s="130"/>
      <c r="Y167" s="106"/>
    </row>
    <row r="168">
      <c r="C168" s="79"/>
      <c r="D168" s="79"/>
      <c r="J168" s="79"/>
      <c r="O168" s="79"/>
      <c r="P168" s="79"/>
      <c r="S168" s="79"/>
      <c r="T168" s="79"/>
      <c r="W168" s="130"/>
      <c r="Y168" s="106"/>
    </row>
    <row r="169">
      <c r="C169" s="79"/>
      <c r="D169" s="79"/>
      <c r="J169" s="79"/>
      <c r="O169" s="79"/>
      <c r="P169" s="79"/>
      <c r="S169" s="79"/>
      <c r="T169" s="79"/>
      <c r="W169" s="130"/>
      <c r="Y169" s="106"/>
    </row>
    <row r="170">
      <c r="C170" s="79"/>
      <c r="D170" s="79"/>
      <c r="J170" s="79"/>
      <c r="O170" s="79"/>
      <c r="P170" s="79"/>
      <c r="S170" s="79"/>
      <c r="T170" s="79"/>
      <c r="W170" s="130"/>
      <c r="Y170" s="106"/>
    </row>
    <row r="171">
      <c r="C171" s="79"/>
      <c r="D171" s="79"/>
      <c r="J171" s="79"/>
      <c r="O171" s="79"/>
      <c r="P171" s="79"/>
      <c r="S171" s="79"/>
      <c r="T171" s="79"/>
      <c r="W171" s="130"/>
      <c r="Y171" s="106"/>
    </row>
    <row r="172">
      <c r="C172" s="79"/>
      <c r="D172" s="79"/>
      <c r="J172" s="79"/>
      <c r="O172" s="79"/>
      <c r="P172" s="79"/>
      <c r="S172" s="79"/>
      <c r="T172" s="79"/>
      <c r="W172" s="130"/>
      <c r="Y172" s="106"/>
    </row>
    <row r="173">
      <c r="C173" s="79"/>
      <c r="D173" s="79"/>
      <c r="J173" s="79"/>
      <c r="O173" s="79"/>
      <c r="P173" s="79"/>
      <c r="S173" s="79"/>
      <c r="T173" s="79"/>
      <c r="W173" s="130"/>
      <c r="Y173" s="106"/>
    </row>
    <row r="174">
      <c r="C174" s="79"/>
      <c r="D174" s="79"/>
      <c r="J174" s="79"/>
      <c r="O174" s="79"/>
      <c r="P174" s="79"/>
      <c r="S174" s="79"/>
      <c r="T174" s="79"/>
      <c r="W174" s="130"/>
      <c r="Y174" s="106"/>
    </row>
    <row r="175">
      <c r="C175" s="79"/>
      <c r="D175" s="79"/>
      <c r="J175" s="79"/>
      <c r="O175" s="79"/>
      <c r="P175" s="79"/>
      <c r="S175" s="79"/>
      <c r="T175" s="79"/>
      <c r="W175" s="130"/>
      <c r="Y175" s="106"/>
    </row>
    <row r="176">
      <c r="C176" s="79"/>
      <c r="D176" s="79"/>
      <c r="J176" s="79"/>
      <c r="O176" s="79"/>
      <c r="P176" s="79"/>
      <c r="S176" s="79"/>
      <c r="T176" s="79"/>
      <c r="W176" s="130"/>
      <c r="Y176" s="106"/>
    </row>
    <row r="177">
      <c r="C177" s="79"/>
      <c r="D177" s="79"/>
      <c r="J177" s="79"/>
      <c r="O177" s="79"/>
      <c r="P177" s="79"/>
      <c r="S177" s="79"/>
      <c r="T177" s="79"/>
      <c r="W177" s="130"/>
      <c r="Y177" s="106"/>
    </row>
    <row r="178">
      <c r="C178" s="79"/>
      <c r="D178" s="79"/>
      <c r="J178" s="79"/>
      <c r="O178" s="79"/>
      <c r="P178" s="79"/>
      <c r="S178" s="79"/>
      <c r="T178" s="79"/>
      <c r="W178" s="130"/>
      <c r="Y178" s="106"/>
    </row>
    <row r="179">
      <c r="C179" s="79"/>
      <c r="D179" s="79"/>
      <c r="J179" s="79"/>
      <c r="O179" s="79"/>
      <c r="P179" s="79"/>
      <c r="S179" s="79"/>
      <c r="T179" s="79"/>
      <c r="W179" s="130"/>
      <c r="Y179" s="106"/>
    </row>
    <row r="180">
      <c r="C180" s="79"/>
      <c r="D180" s="79"/>
      <c r="J180" s="79"/>
      <c r="O180" s="79"/>
      <c r="P180" s="79"/>
      <c r="S180" s="79"/>
      <c r="T180" s="79"/>
      <c r="W180" s="130"/>
      <c r="Y180" s="106"/>
    </row>
    <row r="181">
      <c r="C181" s="79"/>
      <c r="D181" s="79"/>
      <c r="J181" s="79"/>
      <c r="O181" s="79"/>
      <c r="P181" s="79"/>
      <c r="S181" s="79"/>
      <c r="T181" s="79"/>
      <c r="W181" s="130"/>
      <c r="Y181" s="106"/>
    </row>
    <row r="182">
      <c r="C182" s="79"/>
      <c r="D182" s="79"/>
      <c r="J182" s="79"/>
      <c r="O182" s="79"/>
      <c r="P182" s="79"/>
      <c r="S182" s="79"/>
      <c r="T182" s="79"/>
      <c r="W182" s="130"/>
      <c r="Y182" s="106"/>
    </row>
    <row r="183">
      <c r="C183" s="79"/>
      <c r="D183" s="79"/>
      <c r="J183" s="79"/>
      <c r="O183" s="79"/>
      <c r="P183" s="79"/>
      <c r="S183" s="79"/>
      <c r="T183" s="79"/>
      <c r="W183" s="130"/>
      <c r="Y183" s="106"/>
    </row>
    <row r="184">
      <c r="C184" s="79"/>
      <c r="D184" s="79"/>
      <c r="J184" s="79"/>
      <c r="O184" s="79"/>
      <c r="P184" s="79"/>
      <c r="S184" s="79"/>
      <c r="T184" s="79"/>
      <c r="W184" s="130"/>
      <c r="Y184" s="106"/>
    </row>
    <row r="185">
      <c r="C185" s="79"/>
      <c r="D185" s="79"/>
      <c r="J185" s="79"/>
      <c r="O185" s="79"/>
      <c r="P185" s="79"/>
      <c r="S185" s="79"/>
      <c r="T185" s="79"/>
      <c r="W185" s="130"/>
      <c r="Y185" s="106"/>
    </row>
    <row r="186">
      <c r="C186" s="79"/>
      <c r="D186" s="79"/>
      <c r="J186" s="79"/>
      <c r="O186" s="79"/>
      <c r="P186" s="79"/>
      <c r="S186" s="79"/>
      <c r="T186" s="79"/>
      <c r="W186" s="130"/>
      <c r="Y186" s="106"/>
    </row>
    <row r="187">
      <c r="C187" s="79"/>
      <c r="D187" s="79"/>
      <c r="J187" s="79"/>
      <c r="O187" s="79"/>
      <c r="P187" s="79"/>
      <c r="S187" s="79"/>
      <c r="T187" s="79"/>
      <c r="W187" s="130"/>
      <c r="Y187" s="106"/>
    </row>
    <row r="188">
      <c r="C188" s="79"/>
      <c r="D188" s="79"/>
      <c r="J188" s="79"/>
      <c r="O188" s="79"/>
      <c r="P188" s="79"/>
      <c r="S188" s="79"/>
      <c r="T188" s="79"/>
      <c r="W188" s="130"/>
      <c r="Y188" s="106"/>
    </row>
    <row r="189">
      <c r="C189" s="79"/>
      <c r="D189" s="79"/>
      <c r="J189" s="79"/>
      <c r="O189" s="79"/>
      <c r="P189" s="79"/>
      <c r="S189" s="79"/>
      <c r="T189" s="79"/>
      <c r="W189" s="130"/>
      <c r="Y189" s="106"/>
    </row>
    <row r="190">
      <c r="C190" s="79"/>
      <c r="D190" s="79"/>
      <c r="J190" s="79"/>
      <c r="O190" s="79"/>
      <c r="P190" s="79"/>
      <c r="S190" s="79"/>
      <c r="T190" s="79"/>
      <c r="W190" s="130"/>
      <c r="Y190" s="106"/>
    </row>
    <row r="191">
      <c r="C191" s="79"/>
      <c r="D191" s="79"/>
      <c r="J191" s="79"/>
      <c r="O191" s="79"/>
      <c r="P191" s="79"/>
      <c r="S191" s="79"/>
      <c r="T191" s="79"/>
      <c r="W191" s="130"/>
      <c r="Y191" s="106"/>
    </row>
    <row r="192">
      <c r="C192" s="79"/>
      <c r="D192" s="79"/>
      <c r="J192" s="79"/>
      <c r="O192" s="79"/>
      <c r="P192" s="79"/>
      <c r="S192" s="79"/>
      <c r="T192" s="79"/>
      <c r="W192" s="130"/>
      <c r="Y192" s="106"/>
    </row>
    <row r="193">
      <c r="C193" s="79"/>
      <c r="D193" s="79"/>
      <c r="J193" s="79"/>
      <c r="O193" s="79"/>
      <c r="P193" s="79"/>
      <c r="S193" s="79"/>
      <c r="T193" s="79"/>
      <c r="W193" s="130"/>
      <c r="Y193" s="106"/>
    </row>
    <row r="194">
      <c r="C194" s="79"/>
      <c r="D194" s="79"/>
      <c r="J194" s="79"/>
      <c r="O194" s="79"/>
      <c r="P194" s="79"/>
      <c r="S194" s="79"/>
      <c r="T194" s="79"/>
      <c r="W194" s="130"/>
      <c r="Y194" s="106"/>
    </row>
    <row r="195">
      <c r="C195" s="79"/>
      <c r="D195" s="79"/>
      <c r="J195" s="79"/>
      <c r="O195" s="79"/>
      <c r="P195" s="79"/>
      <c r="S195" s="79"/>
      <c r="T195" s="79"/>
      <c r="W195" s="130"/>
      <c r="Y195" s="106"/>
    </row>
    <row r="196">
      <c r="C196" s="79"/>
      <c r="D196" s="79"/>
      <c r="J196" s="79"/>
      <c r="O196" s="79"/>
      <c r="P196" s="79"/>
      <c r="S196" s="79"/>
      <c r="T196" s="79"/>
      <c r="W196" s="130"/>
      <c r="Y196" s="106"/>
    </row>
    <row r="197">
      <c r="C197" s="79"/>
      <c r="D197" s="79"/>
      <c r="J197" s="79"/>
      <c r="O197" s="79"/>
      <c r="P197" s="79"/>
      <c r="S197" s="79"/>
      <c r="T197" s="79"/>
      <c r="W197" s="130"/>
      <c r="Y197" s="106"/>
    </row>
    <row r="198">
      <c r="C198" s="79"/>
      <c r="D198" s="79"/>
      <c r="J198" s="79"/>
      <c r="O198" s="79"/>
      <c r="P198" s="79"/>
      <c r="S198" s="79"/>
      <c r="T198" s="79"/>
      <c r="W198" s="130"/>
      <c r="Y198" s="106"/>
    </row>
    <row r="199">
      <c r="C199" s="79"/>
      <c r="D199" s="79"/>
      <c r="J199" s="79"/>
      <c r="O199" s="79"/>
      <c r="P199" s="79"/>
      <c r="S199" s="79"/>
      <c r="T199" s="79"/>
      <c r="W199" s="130"/>
      <c r="Y199" s="106"/>
    </row>
    <row r="200">
      <c r="C200" s="79"/>
      <c r="D200" s="79"/>
      <c r="J200" s="79"/>
      <c r="O200" s="79"/>
      <c r="P200" s="79"/>
      <c r="S200" s="79"/>
      <c r="T200" s="79"/>
      <c r="W200" s="130"/>
      <c r="Y200" s="106"/>
    </row>
    <row r="201">
      <c r="C201" s="79"/>
      <c r="D201" s="79"/>
      <c r="J201" s="79"/>
      <c r="O201" s="79"/>
      <c r="P201" s="79"/>
      <c r="S201" s="79"/>
      <c r="T201" s="79"/>
      <c r="W201" s="130"/>
      <c r="Y201" s="106"/>
    </row>
    <row r="202">
      <c r="C202" s="79"/>
      <c r="D202" s="79"/>
      <c r="J202" s="79"/>
      <c r="O202" s="79"/>
      <c r="P202" s="79"/>
      <c r="S202" s="79"/>
      <c r="T202" s="79"/>
      <c r="W202" s="130"/>
      <c r="Y202" s="106"/>
    </row>
    <row r="203">
      <c r="C203" s="79"/>
      <c r="D203" s="79"/>
      <c r="J203" s="79"/>
      <c r="O203" s="79"/>
      <c r="P203" s="79"/>
      <c r="S203" s="79"/>
      <c r="T203" s="79"/>
      <c r="W203" s="130"/>
      <c r="Y203" s="106"/>
    </row>
    <row r="204">
      <c r="C204" s="79"/>
      <c r="D204" s="79"/>
      <c r="J204" s="79"/>
      <c r="O204" s="79"/>
      <c r="P204" s="79"/>
      <c r="S204" s="79"/>
      <c r="T204" s="79"/>
      <c r="W204" s="130"/>
      <c r="Y204" s="106"/>
    </row>
    <row r="205">
      <c r="C205" s="79"/>
      <c r="D205" s="79"/>
      <c r="J205" s="79"/>
      <c r="O205" s="79"/>
      <c r="P205" s="79"/>
      <c r="S205" s="79"/>
      <c r="T205" s="79"/>
      <c r="W205" s="130"/>
      <c r="Y205" s="106"/>
    </row>
    <row r="206">
      <c r="C206" s="79"/>
      <c r="D206" s="79"/>
      <c r="J206" s="79"/>
      <c r="O206" s="79"/>
      <c r="P206" s="79"/>
      <c r="S206" s="79"/>
      <c r="T206" s="79"/>
      <c r="W206" s="130"/>
      <c r="Y206" s="106"/>
    </row>
    <row r="207">
      <c r="C207" s="79"/>
      <c r="D207" s="79"/>
      <c r="J207" s="79"/>
      <c r="O207" s="79"/>
      <c r="P207" s="79"/>
      <c r="S207" s="79"/>
      <c r="T207" s="79"/>
      <c r="W207" s="130"/>
      <c r="Y207" s="106"/>
    </row>
    <row r="208">
      <c r="C208" s="79"/>
      <c r="D208" s="79"/>
      <c r="J208" s="79"/>
      <c r="O208" s="79"/>
      <c r="P208" s="79"/>
      <c r="S208" s="79"/>
      <c r="T208" s="79"/>
      <c r="W208" s="130"/>
      <c r="Y208" s="106"/>
    </row>
    <row r="209">
      <c r="C209" s="79"/>
      <c r="D209" s="79"/>
      <c r="J209" s="79"/>
      <c r="O209" s="79"/>
      <c r="P209" s="79"/>
      <c r="S209" s="79"/>
      <c r="T209" s="79"/>
      <c r="W209" s="130"/>
      <c r="Y209" s="106"/>
    </row>
    <row r="210">
      <c r="C210" s="79"/>
      <c r="D210" s="79"/>
      <c r="J210" s="79"/>
      <c r="O210" s="79"/>
      <c r="P210" s="79"/>
      <c r="S210" s="79"/>
      <c r="T210" s="79"/>
      <c r="W210" s="130"/>
      <c r="Y210" s="106"/>
    </row>
    <row r="211">
      <c r="C211" s="79"/>
      <c r="D211" s="79"/>
      <c r="J211" s="79"/>
      <c r="O211" s="79"/>
      <c r="P211" s="79"/>
      <c r="S211" s="79"/>
      <c r="T211" s="79"/>
      <c r="W211" s="130"/>
      <c r="Y211" s="106"/>
    </row>
    <row r="212">
      <c r="C212" s="79"/>
      <c r="D212" s="79"/>
      <c r="J212" s="79"/>
      <c r="O212" s="79"/>
      <c r="P212" s="79"/>
      <c r="S212" s="79"/>
      <c r="T212" s="79"/>
      <c r="W212" s="130"/>
      <c r="Y212" s="106"/>
    </row>
    <row r="213">
      <c r="C213" s="79"/>
      <c r="D213" s="79"/>
      <c r="J213" s="79"/>
      <c r="O213" s="79"/>
      <c r="P213" s="79"/>
      <c r="S213" s="79"/>
      <c r="T213" s="79"/>
      <c r="W213" s="130"/>
      <c r="Y213" s="106"/>
    </row>
    <row r="214">
      <c r="C214" s="79"/>
      <c r="D214" s="79"/>
      <c r="J214" s="79"/>
      <c r="O214" s="79"/>
      <c r="P214" s="79"/>
      <c r="S214" s="79"/>
      <c r="T214" s="79"/>
      <c r="W214" s="130"/>
      <c r="Y214" s="106"/>
    </row>
    <row r="215">
      <c r="C215" s="79"/>
      <c r="D215" s="79"/>
      <c r="J215" s="79"/>
      <c r="O215" s="79"/>
      <c r="P215" s="79"/>
      <c r="S215" s="79"/>
      <c r="T215" s="79"/>
      <c r="W215" s="130"/>
      <c r="Y215" s="106"/>
    </row>
    <row r="216">
      <c r="C216" s="79"/>
      <c r="D216" s="79"/>
      <c r="J216" s="79"/>
      <c r="O216" s="79"/>
      <c r="P216" s="79"/>
      <c r="S216" s="79"/>
      <c r="T216" s="79"/>
      <c r="W216" s="130"/>
      <c r="Y216" s="106"/>
    </row>
    <row r="217">
      <c r="C217" s="79"/>
      <c r="D217" s="79"/>
      <c r="J217" s="79"/>
      <c r="O217" s="79"/>
      <c r="P217" s="79"/>
      <c r="S217" s="79"/>
      <c r="T217" s="79"/>
      <c r="W217" s="130"/>
      <c r="Y217" s="106"/>
    </row>
    <row r="218">
      <c r="C218" s="79"/>
      <c r="D218" s="79"/>
      <c r="J218" s="79"/>
      <c r="O218" s="79"/>
      <c r="P218" s="79"/>
      <c r="S218" s="79"/>
      <c r="T218" s="79"/>
      <c r="W218" s="130"/>
      <c r="Y218" s="106"/>
    </row>
    <row r="219">
      <c r="C219" s="79"/>
      <c r="D219" s="79"/>
      <c r="J219" s="79"/>
      <c r="O219" s="79"/>
      <c r="P219" s="79"/>
      <c r="S219" s="79"/>
      <c r="T219" s="79"/>
      <c r="W219" s="130"/>
      <c r="Y219" s="106"/>
    </row>
    <row r="220">
      <c r="C220" s="79"/>
      <c r="D220" s="79"/>
      <c r="J220" s="79"/>
      <c r="O220" s="79"/>
      <c r="P220" s="79"/>
      <c r="S220" s="79"/>
      <c r="T220" s="79"/>
      <c r="W220" s="130"/>
      <c r="Y220" s="106"/>
    </row>
    <row r="221">
      <c r="C221" s="79"/>
      <c r="D221" s="79"/>
      <c r="J221" s="79"/>
      <c r="O221" s="79"/>
      <c r="P221" s="79"/>
      <c r="S221" s="79"/>
      <c r="T221" s="79"/>
      <c r="W221" s="130"/>
      <c r="Y221" s="106"/>
    </row>
    <row r="222">
      <c r="C222" s="79"/>
      <c r="D222" s="79"/>
      <c r="J222" s="79"/>
      <c r="O222" s="79"/>
      <c r="P222" s="79"/>
      <c r="S222" s="79"/>
      <c r="T222" s="79"/>
      <c r="W222" s="130"/>
      <c r="Y222" s="106"/>
    </row>
    <row r="223">
      <c r="C223" s="79"/>
      <c r="D223" s="79"/>
      <c r="J223" s="79"/>
      <c r="O223" s="79"/>
      <c r="P223" s="79"/>
      <c r="S223" s="79"/>
      <c r="T223" s="79"/>
      <c r="W223" s="130"/>
      <c r="Y223" s="106"/>
    </row>
    <row r="224">
      <c r="C224" s="79"/>
      <c r="D224" s="79"/>
      <c r="J224" s="79"/>
      <c r="O224" s="79"/>
      <c r="P224" s="79"/>
      <c r="S224" s="79"/>
      <c r="T224" s="79"/>
      <c r="W224" s="130"/>
      <c r="Y224" s="106"/>
    </row>
    <row r="225">
      <c r="C225" s="79"/>
      <c r="D225" s="79"/>
      <c r="J225" s="79"/>
      <c r="O225" s="79"/>
      <c r="P225" s="79"/>
      <c r="S225" s="79"/>
      <c r="T225" s="79"/>
      <c r="W225" s="130"/>
      <c r="Y225" s="106"/>
    </row>
    <row r="226">
      <c r="C226" s="79"/>
      <c r="D226" s="79"/>
      <c r="J226" s="79"/>
      <c r="O226" s="79"/>
      <c r="P226" s="79"/>
      <c r="S226" s="79"/>
      <c r="T226" s="79"/>
      <c r="W226" s="130"/>
      <c r="Y226" s="106"/>
    </row>
    <row r="227">
      <c r="C227" s="79"/>
      <c r="D227" s="79"/>
      <c r="J227" s="79"/>
      <c r="O227" s="79"/>
      <c r="P227" s="79"/>
      <c r="S227" s="79"/>
      <c r="T227" s="79"/>
      <c r="W227" s="130"/>
      <c r="Y227" s="106"/>
    </row>
    <row r="228">
      <c r="C228" s="79"/>
      <c r="D228" s="79"/>
      <c r="J228" s="79"/>
      <c r="O228" s="79"/>
      <c r="P228" s="79"/>
      <c r="S228" s="79"/>
      <c r="T228" s="79"/>
      <c r="W228" s="130"/>
      <c r="Y228" s="106"/>
    </row>
    <row r="229">
      <c r="C229" s="79"/>
      <c r="D229" s="79"/>
      <c r="J229" s="79"/>
      <c r="O229" s="79"/>
      <c r="P229" s="79"/>
      <c r="S229" s="79"/>
      <c r="T229" s="79"/>
      <c r="W229" s="130"/>
      <c r="Y229" s="106"/>
    </row>
    <row r="230">
      <c r="C230" s="79"/>
      <c r="D230" s="79"/>
      <c r="J230" s="79"/>
      <c r="O230" s="79"/>
      <c r="P230" s="79"/>
      <c r="S230" s="79"/>
      <c r="T230" s="79"/>
      <c r="W230" s="130"/>
      <c r="Y230" s="106"/>
    </row>
    <row r="231">
      <c r="C231" s="79"/>
      <c r="D231" s="79"/>
      <c r="J231" s="79"/>
      <c r="O231" s="79"/>
      <c r="P231" s="79"/>
      <c r="S231" s="79"/>
      <c r="T231" s="79"/>
      <c r="W231" s="130"/>
      <c r="Y231" s="106"/>
    </row>
    <row r="232">
      <c r="C232" s="79"/>
      <c r="D232" s="79"/>
      <c r="J232" s="79"/>
      <c r="O232" s="79"/>
      <c r="P232" s="79"/>
      <c r="S232" s="79"/>
      <c r="T232" s="79"/>
      <c r="W232" s="130"/>
      <c r="Y232" s="106"/>
    </row>
    <row r="233">
      <c r="C233" s="79"/>
      <c r="D233" s="79"/>
      <c r="J233" s="79"/>
      <c r="O233" s="79"/>
      <c r="P233" s="79"/>
      <c r="S233" s="79"/>
      <c r="T233" s="79"/>
      <c r="W233" s="130"/>
      <c r="Y233" s="106"/>
    </row>
    <row r="234">
      <c r="C234" s="79"/>
      <c r="D234" s="79"/>
      <c r="J234" s="79"/>
      <c r="O234" s="79"/>
      <c r="P234" s="79"/>
      <c r="S234" s="79"/>
      <c r="T234" s="79"/>
      <c r="W234" s="130"/>
      <c r="Y234" s="106"/>
    </row>
    <row r="235">
      <c r="C235" s="79"/>
      <c r="D235" s="79"/>
      <c r="J235" s="79"/>
      <c r="O235" s="79"/>
      <c r="P235" s="79"/>
      <c r="S235" s="79"/>
      <c r="T235" s="79"/>
      <c r="W235" s="130"/>
      <c r="Y235" s="106"/>
    </row>
    <row r="236">
      <c r="C236" s="79"/>
      <c r="D236" s="79"/>
      <c r="J236" s="79"/>
      <c r="O236" s="79"/>
      <c r="P236" s="79"/>
      <c r="S236" s="79"/>
      <c r="T236" s="79"/>
      <c r="W236" s="130"/>
      <c r="Y236" s="106"/>
    </row>
    <row r="237">
      <c r="C237" s="79"/>
      <c r="D237" s="79"/>
      <c r="J237" s="79"/>
      <c r="O237" s="79"/>
      <c r="P237" s="79"/>
      <c r="S237" s="79"/>
      <c r="T237" s="79"/>
      <c r="W237" s="130"/>
      <c r="Y237" s="106"/>
    </row>
    <row r="238">
      <c r="C238" s="79"/>
      <c r="D238" s="79"/>
      <c r="J238" s="79"/>
      <c r="O238" s="79"/>
      <c r="P238" s="79"/>
      <c r="S238" s="79"/>
      <c r="T238" s="79"/>
      <c r="W238" s="130"/>
      <c r="Y238" s="106"/>
    </row>
    <row r="239">
      <c r="C239" s="79"/>
      <c r="D239" s="79"/>
      <c r="J239" s="79"/>
      <c r="O239" s="79"/>
      <c r="P239" s="79"/>
      <c r="S239" s="79"/>
      <c r="T239" s="79"/>
      <c r="W239" s="130"/>
      <c r="Y239" s="106"/>
    </row>
    <row r="240">
      <c r="C240" s="79"/>
      <c r="D240" s="79"/>
      <c r="J240" s="79"/>
      <c r="O240" s="79"/>
      <c r="P240" s="79"/>
      <c r="S240" s="79"/>
      <c r="T240" s="79"/>
      <c r="W240" s="130"/>
      <c r="Y240" s="106"/>
    </row>
    <row r="241">
      <c r="C241" s="79"/>
      <c r="D241" s="79"/>
      <c r="J241" s="79"/>
      <c r="O241" s="79"/>
      <c r="P241" s="79"/>
      <c r="S241" s="79"/>
      <c r="T241" s="79"/>
      <c r="W241" s="130"/>
      <c r="Y241" s="106"/>
    </row>
    <row r="242">
      <c r="C242" s="79"/>
      <c r="D242" s="79"/>
      <c r="J242" s="79"/>
      <c r="O242" s="79"/>
      <c r="P242" s="79"/>
      <c r="S242" s="79"/>
      <c r="T242" s="79"/>
      <c r="W242" s="130"/>
      <c r="Y242" s="106"/>
    </row>
    <row r="243">
      <c r="C243" s="79"/>
      <c r="D243" s="79"/>
      <c r="J243" s="79"/>
      <c r="O243" s="79"/>
      <c r="P243" s="79"/>
      <c r="S243" s="79"/>
      <c r="T243" s="79"/>
      <c r="W243" s="130"/>
      <c r="Y243" s="106"/>
    </row>
    <row r="244">
      <c r="C244" s="79"/>
      <c r="D244" s="79"/>
      <c r="J244" s="79"/>
      <c r="O244" s="79"/>
      <c r="P244" s="79"/>
      <c r="S244" s="79"/>
      <c r="T244" s="79"/>
      <c r="W244" s="130"/>
      <c r="Y244" s="106"/>
    </row>
    <row r="245">
      <c r="C245" s="79"/>
      <c r="D245" s="79"/>
      <c r="J245" s="79"/>
      <c r="O245" s="79"/>
      <c r="P245" s="79"/>
      <c r="S245" s="79"/>
      <c r="T245" s="79"/>
      <c r="W245" s="130"/>
      <c r="Y245" s="106"/>
    </row>
    <row r="246">
      <c r="C246" s="79"/>
      <c r="D246" s="79"/>
      <c r="J246" s="79"/>
      <c r="O246" s="79"/>
      <c r="P246" s="79"/>
      <c r="S246" s="79"/>
      <c r="T246" s="79"/>
      <c r="W246" s="130"/>
      <c r="Y246" s="106"/>
    </row>
    <row r="247">
      <c r="C247" s="79"/>
      <c r="D247" s="79"/>
      <c r="J247" s="79"/>
      <c r="O247" s="79"/>
      <c r="P247" s="79"/>
      <c r="S247" s="79"/>
      <c r="T247" s="79"/>
      <c r="W247" s="130"/>
      <c r="Y247" s="106"/>
    </row>
    <row r="248">
      <c r="C248" s="79"/>
      <c r="D248" s="79"/>
      <c r="J248" s="79"/>
      <c r="O248" s="79"/>
      <c r="P248" s="79"/>
      <c r="S248" s="79"/>
      <c r="T248" s="79"/>
      <c r="W248" s="130"/>
      <c r="Y248" s="106"/>
    </row>
    <row r="249">
      <c r="C249" s="79"/>
      <c r="D249" s="79"/>
      <c r="J249" s="79"/>
      <c r="O249" s="79"/>
      <c r="P249" s="79"/>
      <c r="S249" s="79"/>
      <c r="T249" s="79"/>
      <c r="W249" s="130"/>
      <c r="Y249" s="106"/>
    </row>
    <row r="250">
      <c r="C250" s="79"/>
      <c r="D250" s="79"/>
      <c r="J250" s="79"/>
      <c r="O250" s="79"/>
      <c r="P250" s="79"/>
      <c r="S250" s="79"/>
      <c r="T250" s="79"/>
      <c r="W250" s="130"/>
      <c r="Y250" s="106"/>
    </row>
    <row r="251">
      <c r="C251" s="79"/>
      <c r="D251" s="79"/>
      <c r="J251" s="79"/>
      <c r="O251" s="79"/>
      <c r="P251" s="79"/>
      <c r="S251" s="79"/>
      <c r="T251" s="79"/>
      <c r="W251" s="130"/>
      <c r="Y251" s="106"/>
    </row>
    <row r="252">
      <c r="C252" s="79"/>
      <c r="D252" s="79"/>
      <c r="J252" s="79"/>
      <c r="O252" s="79"/>
      <c r="P252" s="79"/>
      <c r="S252" s="79"/>
      <c r="T252" s="79"/>
      <c r="W252" s="130"/>
      <c r="Y252" s="106"/>
    </row>
    <row r="253">
      <c r="C253" s="79"/>
      <c r="D253" s="79"/>
      <c r="J253" s="79"/>
      <c r="O253" s="79"/>
      <c r="P253" s="79"/>
      <c r="S253" s="79"/>
      <c r="T253" s="79"/>
      <c r="W253" s="130"/>
      <c r="Y253" s="106"/>
    </row>
    <row r="254">
      <c r="C254" s="79"/>
      <c r="D254" s="79"/>
      <c r="J254" s="79"/>
      <c r="O254" s="79"/>
      <c r="P254" s="79"/>
      <c r="S254" s="79"/>
      <c r="T254" s="79"/>
      <c r="W254" s="130"/>
      <c r="Y254" s="106"/>
    </row>
    <row r="255">
      <c r="C255" s="79"/>
      <c r="D255" s="79"/>
      <c r="J255" s="79"/>
      <c r="O255" s="79"/>
      <c r="P255" s="79"/>
      <c r="S255" s="79"/>
      <c r="T255" s="79"/>
      <c r="W255" s="130"/>
      <c r="Y255" s="106"/>
    </row>
    <row r="256">
      <c r="C256" s="79"/>
      <c r="D256" s="79"/>
      <c r="J256" s="79"/>
      <c r="O256" s="79"/>
      <c r="P256" s="79"/>
      <c r="S256" s="79"/>
      <c r="T256" s="79"/>
      <c r="W256" s="130"/>
      <c r="Y256" s="106"/>
    </row>
    <row r="257">
      <c r="C257" s="79"/>
      <c r="D257" s="79"/>
      <c r="J257" s="79"/>
      <c r="O257" s="79"/>
      <c r="P257" s="79"/>
      <c r="S257" s="79"/>
      <c r="T257" s="79"/>
      <c r="W257" s="130"/>
      <c r="Y257" s="106"/>
    </row>
    <row r="258">
      <c r="C258" s="79"/>
      <c r="D258" s="79"/>
      <c r="J258" s="79"/>
      <c r="O258" s="79"/>
      <c r="P258" s="79"/>
      <c r="S258" s="79"/>
      <c r="T258" s="79"/>
      <c r="W258" s="130"/>
      <c r="Y258" s="106"/>
    </row>
    <row r="259">
      <c r="C259" s="79"/>
      <c r="D259" s="79"/>
      <c r="J259" s="79"/>
      <c r="O259" s="79"/>
      <c r="P259" s="79"/>
      <c r="S259" s="79"/>
      <c r="T259" s="79"/>
      <c r="W259" s="130"/>
      <c r="Y259" s="106"/>
    </row>
    <row r="260">
      <c r="C260" s="79"/>
      <c r="D260" s="79"/>
      <c r="J260" s="79"/>
      <c r="O260" s="79"/>
      <c r="P260" s="79"/>
      <c r="S260" s="79"/>
      <c r="T260" s="79"/>
      <c r="W260" s="130"/>
      <c r="Y260" s="106"/>
    </row>
    <row r="261">
      <c r="C261" s="79"/>
      <c r="D261" s="79"/>
      <c r="J261" s="79"/>
      <c r="O261" s="79"/>
      <c r="P261" s="79"/>
      <c r="S261" s="79"/>
      <c r="T261" s="79"/>
      <c r="W261" s="130"/>
      <c r="Y261" s="106"/>
    </row>
    <row r="262">
      <c r="C262" s="79"/>
      <c r="D262" s="79"/>
      <c r="J262" s="79"/>
      <c r="O262" s="79"/>
      <c r="P262" s="79"/>
      <c r="S262" s="79"/>
      <c r="T262" s="79"/>
      <c r="W262" s="130"/>
      <c r="Y262" s="106"/>
    </row>
    <row r="263">
      <c r="C263" s="79"/>
      <c r="D263" s="79"/>
      <c r="J263" s="79"/>
      <c r="O263" s="79"/>
      <c r="P263" s="79"/>
      <c r="S263" s="79"/>
      <c r="T263" s="79"/>
      <c r="W263" s="130"/>
      <c r="Y263" s="106"/>
    </row>
    <row r="264">
      <c r="C264" s="79"/>
      <c r="D264" s="79"/>
      <c r="J264" s="79"/>
      <c r="O264" s="79"/>
      <c r="P264" s="79"/>
      <c r="S264" s="79"/>
      <c r="T264" s="79"/>
      <c r="W264" s="130"/>
      <c r="Y264" s="106"/>
    </row>
    <row r="265">
      <c r="C265" s="79"/>
      <c r="D265" s="79"/>
      <c r="J265" s="79"/>
      <c r="O265" s="79"/>
      <c r="P265" s="79"/>
      <c r="S265" s="79"/>
      <c r="T265" s="79"/>
      <c r="W265" s="130"/>
      <c r="Y265" s="106"/>
    </row>
    <row r="266">
      <c r="C266" s="79"/>
      <c r="D266" s="79"/>
      <c r="J266" s="79"/>
      <c r="O266" s="79"/>
      <c r="P266" s="79"/>
      <c r="S266" s="79"/>
      <c r="T266" s="79"/>
      <c r="W266" s="130"/>
      <c r="Y266" s="106"/>
    </row>
    <row r="267">
      <c r="C267" s="79"/>
      <c r="D267" s="79"/>
      <c r="J267" s="79"/>
      <c r="O267" s="79"/>
      <c r="P267" s="79"/>
      <c r="S267" s="79"/>
      <c r="T267" s="79"/>
      <c r="W267" s="130"/>
      <c r="Y267" s="106"/>
    </row>
    <row r="268">
      <c r="C268" s="79"/>
      <c r="D268" s="79"/>
      <c r="J268" s="79"/>
      <c r="O268" s="79"/>
      <c r="P268" s="79"/>
      <c r="S268" s="79"/>
      <c r="T268" s="79"/>
      <c r="W268" s="130"/>
      <c r="Y268" s="106"/>
    </row>
    <row r="269">
      <c r="C269" s="79"/>
      <c r="D269" s="79"/>
      <c r="J269" s="79"/>
      <c r="O269" s="79"/>
      <c r="P269" s="79"/>
      <c r="S269" s="79"/>
      <c r="T269" s="79"/>
      <c r="W269" s="130"/>
      <c r="Y269" s="106"/>
    </row>
    <row r="270">
      <c r="C270" s="79"/>
      <c r="D270" s="79"/>
      <c r="J270" s="79"/>
      <c r="O270" s="79"/>
      <c r="P270" s="79"/>
      <c r="S270" s="79"/>
      <c r="T270" s="79"/>
      <c r="W270" s="130"/>
      <c r="Y270" s="106"/>
    </row>
    <row r="271">
      <c r="C271" s="79"/>
      <c r="D271" s="79"/>
      <c r="J271" s="79"/>
      <c r="O271" s="79"/>
      <c r="P271" s="79"/>
      <c r="S271" s="79"/>
      <c r="T271" s="79"/>
      <c r="W271" s="130"/>
      <c r="Y271" s="106"/>
    </row>
    <row r="272">
      <c r="C272" s="79"/>
      <c r="D272" s="79"/>
      <c r="J272" s="79"/>
      <c r="O272" s="79"/>
      <c r="P272" s="79"/>
      <c r="S272" s="79"/>
      <c r="T272" s="79"/>
      <c r="W272" s="130"/>
      <c r="Y272" s="106"/>
    </row>
    <row r="273">
      <c r="C273" s="79"/>
      <c r="D273" s="79"/>
      <c r="J273" s="79"/>
      <c r="O273" s="79"/>
      <c r="P273" s="79"/>
      <c r="S273" s="79"/>
      <c r="T273" s="79"/>
      <c r="W273" s="130"/>
      <c r="Y273" s="106"/>
    </row>
    <row r="274">
      <c r="C274" s="79"/>
      <c r="D274" s="79"/>
      <c r="J274" s="79"/>
      <c r="O274" s="79"/>
      <c r="P274" s="79"/>
      <c r="S274" s="79"/>
      <c r="T274" s="79"/>
      <c r="W274" s="130"/>
      <c r="Y274" s="106"/>
    </row>
    <row r="275">
      <c r="C275" s="79"/>
      <c r="D275" s="79"/>
      <c r="J275" s="79"/>
      <c r="O275" s="79"/>
      <c r="P275" s="79"/>
      <c r="S275" s="79"/>
      <c r="T275" s="79"/>
      <c r="W275" s="130"/>
      <c r="Y275" s="106"/>
    </row>
    <row r="276">
      <c r="C276" s="79"/>
      <c r="D276" s="79"/>
      <c r="J276" s="79"/>
      <c r="O276" s="79"/>
      <c r="P276" s="79"/>
      <c r="S276" s="79"/>
      <c r="T276" s="79"/>
      <c r="W276" s="130"/>
      <c r="Y276" s="106"/>
    </row>
    <row r="277">
      <c r="C277" s="79"/>
      <c r="D277" s="79"/>
      <c r="J277" s="79"/>
      <c r="O277" s="79"/>
      <c r="P277" s="79"/>
      <c r="S277" s="79"/>
      <c r="T277" s="79"/>
      <c r="W277" s="130"/>
      <c r="Y277" s="106"/>
    </row>
    <row r="278">
      <c r="C278" s="79"/>
      <c r="D278" s="79"/>
      <c r="J278" s="79"/>
      <c r="O278" s="79"/>
      <c r="P278" s="79"/>
      <c r="S278" s="79"/>
      <c r="T278" s="79"/>
      <c r="W278" s="130"/>
      <c r="Y278" s="106"/>
    </row>
    <row r="279">
      <c r="C279" s="79"/>
      <c r="D279" s="79"/>
      <c r="J279" s="79"/>
      <c r="O279" s="79"/>
      <c r="P279" s="79"/>
      <c r="S279" s="79"/>
      <c r="T279" s="79"/>
      <c r="W279" s="130"/>
      <c r="Y279" s="106"/>
    </row>
    <row r="280">
      <c r="C280" s="79"/>
      <c r="D280" s="79"/>
      <c r="J280" s="79"/>
      <c r="O280" s="79"/>
      <c r="P280" s="79"/>
      <c r="S280" s="79"/>
      <c r="T280" s="79"/>
      <c r="W280" s="130"/>
      <c r="Y280" s="106"/>
    </row>
    <row r="281">
      <c r="C281" s="79"/>
      <c r="D281" s="79"/>
      <c r="J281" s="79"/>
      <c r="O281" s="79"/>
      <c r="P281" s="79"/>
      <c r="S281" s="79"/>
      <c r="T281" s="79"/>
      <c r="W281" s="130"/>
      <c r="Y281" s="106"/>
    </row>
    <row r="282">
      <c r="C282" s="79"/>
      <c r="D282" s="79"/>
      <c r="J282" s="79"/>
      <c r="O282" s="79"/>
      <c r="P282" s="79"/>
      <c r="S282" s="79"/>
      <c r="T282" s="79"/>
      <c r="W282" s="130"/>
      <c r="Y282" s="106"/>
    </row>
    <row r="283">
      <c r="C283" s="79"/>
      <c r="D283" s="79"/>
      <c r="J283" s="79"/>
      <c r="O283" s="79"/>
      <c r="P283" s="79"/>
      <c r="S283" s="79"/>
      <c r="T283" s="79"/>
      <c r="W283" s="130"/>
      <c r="Y283" s="106"/>
    </row>
    <row r="284">
      <c r="C284" s="79"/>
      <c r="D284" s="79"/>
      <c r="J284" s="79"/>
      <c r="O284" s="79"/>
      <c r="P284" s="79"/>
      <c r="S284" s="79"/>
      <c r="T284" s="79"/>
      <c r="W284" s="130"/>
      <c r="Y284" s="106"/>
    </row>
    <row r="285">
      <c r="C285" s="79"/>
      <c r="D285" s="79"/>
      <c r="J285" s="79"/>
      <c r="O285" s="79"/>
      <c r="P285" s="79"/>
      <c r="S285" s="79"/>
      <c r="T285" s="79"/>
      <c r="W285" s="130"/>
      <c r="Y285" s="106"/>
    </row>
    <row r="286">
      <c r="C286" s="79"/>
      <c r="D286" s="79"/>
      <c r="J286" s="79"/>
      <c r="O286" s="79"/>
      <c r="P286" s="79"/>
      <c r="S286" s="79"/>
      <c r="T286" s="79"/>
      <c r="W286" s="130"/>
      <c r="Y286" s="106"/>
    </row>
    <row r="287">
      <c r="C287" s="79"/>
      <c r="D287" s="79"/>
      <c r="J287" s="79"/>
      <c r="O287" s="79"/>
      <c r="P287" s="79"/>
      <c r="S287" s="79"/>
      <c r="T287" s="79"/>
      <c r="W287" s="130"/>
      <c r="Y287" s="106"/>
    </row>
    <row r="288">
      <c r="C288" s="79"/>
      <c r="D288" s="79"/>
      <c r="J288" s="79"/>
      <c r="O288" s="79"/>
      <c r="P288" s="79"/>
      <c r="S288" s="79"/>
      <c r="T288" s="79"/>
      <c r="W288" s="130"/>
      <c r="Y288" s="106"/>
    </row>
    <row r="289">
      <c r="C289" s="79"/>
      <c r="D289" s="79"/>
      <c r="J289" s="79"/>
      <c r="O289" s="79"/>
      <c r="P289" s="79"/>
      <c r="S289" s="79"/>
      <c r="T289" s="79"/>
      <c r="W289" s="130"/>
      <c r="Y289" s="106"/>
    </row>
    <row r="290">
      <c r="C290" s="79"/>
      <c r="D290" s="79"/>
      <c r="J290" s="79"/>
      <c r="O290" s="79"/>
      <c r="P290" s="79"/>
      <c r="S290" s="79"/>
      <c r="T290" s="79"/>
      <c r="W290" s="130"/>
      <c r="Y290" s="106"/>
    </row>
    <row r="291">
      <c r="C291" s="79"/>
      <c r="D291" s="79"/>
      <c r="J291" s="79"/>
      <c r="O291" s="79"/>
      <c r="P291" s="79"/>
      <c r="S291" s="79"/>
      <c r="T291" s="79"/>
      <c r="W291" s="130"/>
      <c r="Y291" s="106"/>
    </row>
    <row r="292">
      <c r="C292" s="79"/>
      <c r="D292" s="79"/>
      <c r="J292" s="79"/>
      <c r="O292" s="79"/>
      <c r="P292" s="79"/>
      <c r="S292" s="79"/>
      <c r="T292" s="79"/>
      <c r="W292" s="130"/>
      <c r="Y292" s="106"/>
    </row>
    <row r="293">
      <c r="C293" s="79"/>
      <c r="D293" s="79"/>
      <c r="J293" s="79"/>
      <c r="O293" s="79"/>
      <c r="P293" s="79"/>
      <c r="S293" s="79"/>
      <c r="T293" s="79"/>
      <c r="W293" s="130"/>
      <c r="Y293" s="106"/>
    </row>
    <row r="294">
      <c r="C294" s="79"/>
      <c r="D294" s="79"/>
      <c r="J294" s="79"/>
      <c r="O294" s="79"/>
      <c r="P294" s="79"/>
      <c r="S294" s="79"/>
      <c r="T294" s="79"/>
      <c r="W294" s="130"/>
      <c r="Y294" s="106"/>
    </row>
    <row r="295">
      <c r="C295" s="79"/>
      <c r="D295" s="79"/>
      <c r="J295" s="79"/>
      <c r="O295" s="79"/>
      <c r="P295" s="79"/>
      <c r="S295" s="79"/>
      <c r="T295" s="79"/>
      <c r="W295" s="130"/>
      <c r="Y295" s="106"/>
    </row>
    <row r="296">
      <c r="C296" s="79"/>
      <c r="D296" s="79"/>
      <c r="J296" s="79"/>
      <c r="O296" s="79"/>
      <c r="P296" s="79"/>
      <c r="S296" s="79"/>
      <c r="T296" s="79"/>
      <c r="W296" s="130"/>
      <c r="Y296" s="106"/>
    </row>
    <row r="297">
      <c r="C297" s="79"/>
      <c r="D297" s="79"/>
      <c r="J297" s="79"/>
      <c r="O297" s="79"/>
      <c r="P297" s="79"/>
      <c r="S297" s="79"/>
      <c r="T297" s="79"/>
      <c r="W297" s="130"/>
      <c r="Y297" s="106"/>
    </row>
    <row r="298">
      <c r="C298" s="79"/>
      <c r="D298" s="79"/>
      <c r="J298" s="79"/>
      <c r="O298" s="79"/>
      <c r="P298" s="79"/>
      <c r="S298" s="79"/>
      <c r="T298" s="79"/>
      <c r="W298" s="130"/>
      <c r="Y298" s="106"/>
    </row>
    <row r="299">
      <c r="C299" s="79"/>
      <c r="D299" s="79"/>
      <c r="J299" s="79"/>
      <c r="O299" s="79"/>
      <c r="P299" s="79"/>
      <c r="S299" s="79"/>
      <c r="T299" s="79"/>
      <c r="W299" s="130"/>
      <c r="Y299" s="106"/>
    </row>
    <row r="300">
      <c r="C300" s="79"/>
      <c r="D300" s="79"/>
      <c r="J300" s="79"/>
      <c r="O300" s="79"/>
      <c r="P300" s="79"/>
      <c r="S300" s="79"/>
      <c r="T300" s="79"/>
      <c r="W300" s="130"/>
      <c r="Y300" s="106"/>
    </row>
    <row r="301">
      <c r="C301" s="79"/>
      <c r="D301" s="79"/>
      <c r="J301" s="79"/>
      <c r="O301" s="79"/>
      <c r="P301" s="79"/>
      <c r="S301" s="79"/>
      <c r="T301" s="79"/>
      <c r="W301" s="130"/>
      <c r="Y301" s="106"/>
    </row>
    <row r="302">
      <c r="C302" s="79"/>
      <c r="D302" s="79"/>
      <c r="J302" s="79"/>
      <c r="O302" s="79"/>
      <c r="P302" s="79"/>
      <c r="S302" s="79"/>
      <c r="T302" s="79"/>
      <c r="W302" s="130"/>
      <c r="Y302" s="106"/>
    </row>
    <row r="303">
      <c r="C303" s="79"/>
      <c r="D303" s="79"/>
      <c r="J303" s="79"/>
      <c r="O303" s="79"/>
      <c r="P303" s="79"/>
      <c r="S303" s="79"/>
      <c r="T303" s="79"/>
      <c r="W303" s="130"/>
      <c r="Y303" s="106"/>
    </row>
    <row r="304">
      <c r="C304" s="79"/>
      <c r="D304" s="79"/>
      <c r="J304" s="79"/>
      <c r="O304" s="79"/>
      <c r="P304" s="79"/>
      <c r="S304" s="79"/>
      <c r="T304" s="79"/>
      <c r="W304" s="130"/>
      <c r="Y304" s="106"/>
    </row>
    <row r="305">
      <c r="C305" s="79"/>
      <c r="D305" s="79"/>
      <c r="J305" s="79"/>
      <c r="O305" s="79"/>
      <c r="P305" s="79"/>
      <c r="S305" s="79"/>
      <c r="T305" s="79"/>
      <c r="W305" s="130"/>
      <c r="Y305" s="106"/>
    </row>
    <row r="306">
      <c r="C306" s="79"/>
      <c r="D306" s="79"/>
      <c r="J306" s="79"/>
      <c r="O306" s="79"/>
      <c r="P306" s="79"/>
      <c r="S306" s="79"/>
      <c r="T306" s="79"/>
      <c r="W306" s="130"/>
      <c r="Y306" s="106"/>
    </row>
    <row r="307">
      <c r="C307" s="79"/>
      <c r="D307" s="79"/>
      <c r="J307" s="79"/>
      <c r="O307" s="79"/>
      <c r="P307" s="79"/>
      <c r="S307" s="79"/>
      <c r="T307" s="79"/>
      <c r="W307" s="130"/>
      <c r="Y307" s="106"/>
    </row>
    <row r="308">
      <c r="C308" s="79"/>
      <c r="D308" s="79"/>
      <c r="J308" s="79"/>
      <c r="O308" s="79"/>
      <c r="P308" s="79"/>
      <c r="S308" s="79"/>
      <c r="T308" s="79"/>
      <c r="W308" s="130"/>
      <c r="Y308" s="106"/>
    </row>
    <row r="309">
      <c r="C309" s="79"/>
      <c r="D309" s="79"/>
      <c r="J309" s="79"/>
      <c r="O309" s="79"/>
      <c r="P309" s="79"/>
      <c r="S309" s="79"/>
      <c r="T309" s="79"/>
      <c r="W309" s="130"/>
      <c r="Y309" s="106"/>
    </row>
    <row r="310">
      <c r="C310" s="79"/>
      <c r="D310" s="79"/>
      <c r="J310" s="79"/>
      <c r="O310" s="79"/>
      <c r="P310" s="79"/>
      <c r="S310" s="79"/>
      <c r="T310" s="79"/>
      <c r="W310" s="130"/>
      <c r="Y310" s="106"/>
    </row>
    <row r="311">
      <c r="C311" s="79"/>
      <c r="D311" s="79"/>
      <c r="J311" s="79"/>
      <c r="O311" s="79"/>
      <c r="P311" s="79"/>
      <c r="S311" s="79"/>
      <c r="T311" s="79"/>
      <c r="W311" s="130"/>
      <c r="Y311" s="106"/>
    </row>
    <row r="312">
      <c r="C312" s="79"/>
      <c r="D312" s="79"/>
      <c r="J312" s="79"/>
      <c r="O312" s="79"/>
      <c r="P312" s="79"/>
      <c r="S312" s="79"/>
      <c r="T312" s="79"/>
      <c r="W312" s="130"/>
      <c r="Y312" s="106"/>
    </row>
    <row r="313">
      <c r="C313" s="79"/>
      <c r="D313" s="79"/>
      <c r="J313" s="79"/>
      <c r="O313" s="79"/>
      <c r="P313" s="79"/>
      <c r="S313" s="79"/>
      <c r="T313" s="79"/>
      <c r="W313" s="130"/>
      <c r="Y313" s="106"/>
    </row>
    <row r="314">
      <c r="C314" s="79"/>
      <c r="D314" s="79"/>
      <c r="J314" s="79"/>
      <c r="O314" s="79"/>
      <c r="P314" s="79"/>
      <c r="S314" s="79"/>
      <c r="T314" s="79"/>
      <c r="W314" s="130"/>
      <c r="Y314" s="106"/>
    </row>
    <row r="315">
      <c r="C315" s="79"/>
      <c r="D315" s="79"/>
      <c r="J315" s="79"/>
      <c r="O315" s="79"/>
      <c r="P315" s="79"/>
      <c r="S315" s="79"/>
      <c r="T315" s="79"/>
      <c r="W315" s="130"/>
      <c r="Y315" s="106"/>
    </row>
    <row r="316">
      <c r="C316" s="79"/>
      <c r="D316" s="79"/>
      <c r="J316" s="79"/>
      <c r="O316" s="79"/>
      <c r="P316" s="79"/>
      <c r="S316" s="79"/>
      <c r="T316" s="79"/>
      <c r="W316" s="130"/>
      <c r="Y316" s="106"/>
    </row>
    <row r="317">
      <c r="C317" s="79"/>
      <c r="D317" s="79"/>
      <c r="J317" s="79"/>
      <c r="O317" s="79"/>
      <c r="P317" s="79"/>
      <c r="S317" s="79"/>
      <c r="T317" s="79"/>
      <c r="W317" s="130"/>
      <c r="Y317" s="106"/>
    </row>
    <row r="318">
      <c r="C318" s="79"/>
      <c r="D318" s="79"/>
      <c r="J318" s="79"/>
      <c r="O318" s="79"/>
      <c r="P318" s="79"/>
      <c r="S318" s="79"/>
      <c r="T318" s="79"/>
      <c r="W318" s="130"/>
      <c r="Y318" s="106"/>
    </row>
    <row r="319">
      <c r="C319" s="79"/>
      <c r="D319" s="79"/>
      <c r="J319" s="79"/>
      <c r="O319" s="79"/>
      <c r="P319" s="79"/>
      <c r="S319" s="79"/>
      <c r="T319" s="79"/>
      <c r="W319" s="130"/>
      <c r="Y319" s="106"/>
    </row>
    <row r="320">
      <c r="C320" s="79"/>
      <c r="D320" s="79"/>
      <c r="J320" s="79"/>
      <c r="O320" s="79"/>
      <c r="P320" s="79"/>
      <c r="S320" s="79"/>
      <c r="T320" s="79"/>
      <c r="W320" s="130"/>
      <c r="Y320" s="106"/>
    </row>
    <row r="321">
      <c r="C321" s="79"/>
      <c r="D321" s="79"/>
      <c r="J321" s="79"/>
      <c r="O321" s="79"/>
      <c r="P321" s="79"/>
      <c r="S321" s="79"/>
      <c r="T321" s="79"/>
      <c r="W321" s="130"/>
      <c r="Y321" s="106"/>
    </row>
    <row r="322">
      <c r="C322" s="79"/>
      <c r="D322" s="79"/>
      <c r="J322" s="79"/>
      <c r="O322" s="79"/>
      <c r="P322" s="79"/>
      <c r="S322" s="79"/>
      <c r="T322" s="79"/>
      <c r="W322" s="130"/>
      <c r="Y322" s="106"/>
    </row>
    <row r="323">
      <c r="C323" s="79"/>
      <c r="D323" s="79"/>
      <c r="J323" s="79"/>
      <c r="O323" s="79"/>
      <c r="P323" s="79"/>
      <c r="S323" s="79"/>
      <c r="T323" s="79"/>
      <c r="W323" s="130"/>
      <c r="Y323" s="106"/>
    </row>
    <row r="324">
      <c r="C324" s="79"/>
      <c r="D324" s="79"/>
      <c r="J324" s="79"/>
      <c r="O324" s="79"/>
      <c r="P324" s="79"/>
      <c r="S324" s="79"/>
      <c r="T324" s="79"/>
      <c r="W324" s="130"/>
      <c r="Y324" s="106"/>
    </row>
    <row r="325">
      <c r="C325" s="79"/>
      <c r="D325" s="79"/>
      <c r="J325" s="79"/>
      <c r="O325" s="79"/>
      <c r="P325" s="79"/>
      <c r="S325" s="79"/>
      <c r="T325" s="79"/>
      <c r="W325" s="130"/>
      <c r="Y325" s="106"/>
    </row>
    <row r="326">
      <c r="C326" s="79"/>
      <c r="D326" s="79"/>
      <c r="J326" s="79"/>
      <c r="O326" s="79"/>
      <c r="P326" s="79"/>
      <c r="S326" s="79"/>
      <c r="T326" s="79"/>
      <c r="W326" s="130"/>
      <c r="Y326" s="106"/>
    </row>
    <row r="327">
      <c r="C327" s="79"/>
      <c r="D327" s="79"/>
      <c r="J327" s="79"/>
      <c r="O327" s="79"/>
      <c r="P327" s="79"/>
      <c r="S327" s="79"/>
      <c r="T327" s="79"/>
      <c r="W327" s="130"/>
      <c r="Y327" s="106"/>
    </row>
    <row r="328">
      <c r="C328" s="79"/>
      <c r="D328" s="79"/>
      <c r="J328" s="79"/>
      <c r="O328" s="79"/>
      <c r="P328" s="79"/>
      <c r="S328" s="79"/>
      <c r="T328" s="79"/>
      <c r="W328" s="130"/>
      <c r="Y328" s="106"/>
    </row>
    <row r="329">
      <c r="C329" s="79"/>
      <c r="D329" s="79"/>
      <c r="J329" s="79"/>
      <c r="O329" s="79"/>
      <c r="P329" s="79"/>
      <c r="S329" s="79"/>
      <c r="T329" s="79"/>
      <c r="W329" s="130"/>
      <c r="Y329" s="106"/>
    </row>
    <row r="330">
      <c r="C330" s="79"/>
      <c r="D330" s="79"/>
      <c r="J330" s="79"/>
      <c r="O330" s="79"/>
      <c r="P330" s="79"/>
      <c r="S330" s="79"/>
      <c r="T330" s="79"/>
      <c r="W330" s="130"/>
      <c r="Y330" s="106"/>
    </row>
    <row r="331">
      <c r="C331" s="79"/>
      <c r="D331" s="79"/>
      <c r="J331" s="79"/>
      <c r="O331" s="79"/>
      <c r="P331" s="79"/>
      <c r="S331" s="79"/>
      <c r="T331" s="79"/>
      <c r="W331" s="130"/>
      <c r="Y331" s="106"/>
    </row>
    <row r="332">
      <c r="C332" s="79"/>
      <c r="D332" s="79"/>
      <c r="J332" s="79"/>
      <c r="O332" s="79"/>
      <c r="P332" s="79"/>
      <c r="S332" s="79"/>
      <c r="T332" s="79"/>
      <c r="W332" s="130"/>
      <c r="Y332" s="106"/>
    </row>
    <row r="333">
      <c r="C333" s="79"/>
      <c r="D333" s="79"/>
      <c r="J333" s="79"/>
      <c r="O333" s="79"/>
      <c r="P333" s="79"/>
      <c r="S333" s="79"/>
      <c r="T333" s="79"/>
      <c r="W333" s="130"/>
      <c r="Y333" s="106"/>
    </row>
    <row r="334">
      <c r="C334" s="79"/>
      <c r="D334" s="79"/>
      <c r="J334" s="79"/>
      <c r="O334" s="79"/>
      <c r="P334" s="79"/>
      <c r="S334" s="79"/>
      <c r="T334" s="79"/>
      <c r="W334" s="130"/>
      <c r="Y334" s="106"/>
    </row>
    <row r="335">
      <c r="C335" s="79"/>
      <c r="D335" s="79"/>
      <c r="J335" s="79"/>
      <c r="O335" s="79"/>
      <c r="P335" s="79"/>
      <c r="S335" s="79"/>
      <c r="T335" s="79"/>
      <c r="W335" s="130"/>
      <c r="Y335" s="106"/>
    </row>
    <row r="336">
      <c r="C336" s="79"/>
      <c r="D336" s="79"/>
      <c r="J336" s="79"/>
      <c r="O336" s="79"/>
      <c r="P336" s="79"/>
      <c r="S336" s="79"/>
      <c r="T336" s="79"/>
      <c r="W336" s="130"/>
      <c r="Y336" s="106"/>
    </row>
    <row r="337">
      <c r="C337" s="79"/>
      <c r="D337" s="79"/>
      <c r="J337" s="79"/>
      <c r="O337" s="79"/>
      <c r="P337" s="79"/>
      <c r="S337" s="79"/>
      <c r="T337" s="79"/>
      <c r="W337" s="130"/>
      <c r="Y337" s="106"/>
    </row>
    <row r="338">
      <c r="C338" s="79"/>
      <c r="D338" s="79"/>
      <c r="J338" s="79"/>
      <c r="O338" s="79"/>
      <c r="P338" s="79"/>
      <c r="S338" s="79"/>
      <c r="T338" s="79"/>
      <c r="W338" s="130"/>
      <c r="Y338" s="106"/>
    </row>
    <row r="339">
      <c r="C339" s="79"/>
      <c r="D339" s="79"/>
      <c r="J339" s="79"/>
      <c r="O339" s="79"/>
      <c r="P339" s="79"/>
      <c r="S339" s="79"/>
      <c r="T339" s="79"/>
      <c r="W339" s="130"/>
      <c r="Y339" s="106"/>
    </row>
    <row r="340">
      <c r="C340" s="79"/>
      <c r="D340" s="79"/>
      <c r="J340" s="79"/>
      <c r="O340" s="79"/>
      <c r="P340" s="79"/>
      <c r="S340" s="79"/>
      <c r="T340" s="79"/>
      <c r="W340" s="130"/>
      <c r="Y340" s="106"/>
    </row>
    <row r="341">
      <c r="C341" s="79"/>
      <c r="D341" s="79"/>
      <c r="J341" s="79"/>
      <c r="O341" s="79"/>
      <c r="P341" s="79"/>
      <c r="S341" s="79"/>
      <c r="T341" s="79"/>
      <c r="W341" s="130"/>
      <c r="Y341" s="106"/>
    </row>
    <row r="342">
      <c r="C342" s="79"/>
      <c r="D342" s="79"/>
      <c r="J342" s="79"/>
      <c r="O342" s="79"/>
      <c r="P342" s="79"/>
      <c r="S342" s="79"/>
      <c r="T342" s="79"/>
      <c r="W342" s="130"/>
      <c r="Y342" s="106"/>
    </row>
    <row r="343">
      <c r="C343" s="79"/>
      <c r="D343" s="79"/>
      <c r="J343" s="79"/>
      <c r="O343" s="79"/>
      <c r="P343" s="79"/>
      <c r="S343" s="79"/>
      <c r="T343" s="79"/>
      <c r="W343" s="130"/>
      <c r="Y343" s="106"/>
    </row>
    <row r="344">
      <c r="C344" s="79"/>
      <c r="D344" s="79"/>
      <c r="J344" s="79"/>
      <c r="O344" s="79"/>
      <c r="P344" s="79"/>
      <c r="S344" s="79"/>
      <c r="T344" s="79"/>
      <c r="W344" s="130"/>
      <c r="Y344" s="106"/>
    </row>
    <row r="345">
      <c r="C345" s="79"/>
      <c r="D345" s="79"/>
      <c r="J345" s="79"/>
      <c r="O345" s="79"/>
      <c r="P345" s="79"/>
      <c r="S345" s="79"/>
      <c r="T345" s="79"/>
      <c r="W345" s="130"/>
      <c r="Y345" s="106"/>
    </row>
    <row r="346">
      <c r="C346" s="79"/>
      <c r="D346" s="79"/>
      <c r="J346" s="79"/>
      <c r="O346" s="79"/>
      <c r="P346" s="79"/>
      <c r="S346" s="79"/>
      <c r="T346" s="79"/>
      <c r="W346" s="130"/>
      <c r="Y346" s="106"/>
    </row>
    <row r="347">
      <c r="C347" s="79"/>
      <c r="D347" s="79"/>
      <c r="J347" s="79"/>
      <c r="O347" s="79"/>
      <c r="P347" s="79"/>
      <c r="S347" s="79"/>
      <c r="T347" s="79"/>
      <c r="W347" s="130"/>
      <c r="Y347" s="106"/>
    </row>
    <row r="348">
      <c r="C348" s="79"/>
      <c r="D348" s="79"/>
      <c r="J348" s="79"/>
      <c r="O348" s="79"/>
      <c r="P348" s="79"/>
      <c r="S348" s="79"/>
      <c r="T348" s="79"/>
      <c r="W348" s="130"/>
      <c r="Y348" s="106"/>
    </row>
    <row r="349">
      <c r="C349" s="79"/>
      <c r="D349" s="79"/>
      <c r="J349" s="79"/>
      <c r="O349" s="79"/>
      <c r="P349" s="79"/>
      <c r="S349" s="79"/>
      <c r="T349" s="79"/>
      <c r="W349" s="130"/>
      <c r="Y349" s="106"/>
    </row>
    <row r="350">
      <c r="C350" s="79"/>
      <c r="D350" s="79"/>
      <c r="J350" s="79"/>
      <c r="O350" s="79"/>
      <c r="P350" s="79"/>
      <c r="S350" s="79"/>
      <c r="T350" s="79"/>
      <c r="W350" s="130"/>
      <c r="Y350" s="106"/>
    </row>
    <row r="351">
      <c r="C351" s="79"/>
      <c r="D351" s="79"/>
      <c r="J351" s="79"/>
      <c r="O351" s="79"/>
      <c r="P351" s="79"/>
      <c r="S351" s="79"/>
      <c r="T351" s="79"/>
      <c r="W351" s="130"/>
      <c r="Y351" s="106"/>
    </row>
    <row r="352">
      <c r="C352" s="79"/>
      <c r="D352" s="79"/>
      <c r="J352" s="79"/>
      <c r="O352" s="79"/>
      <c r="P352" s="79"/>
      <c r="S352" s="79"/>
      <c r="T352" s="79"/>
      <c r="W352" s="130"/>
      <c r="Y352" s="106"/>
    </row>
    <row r="353">
      <c r="C353" s="79"/>
      <c r="D353" s="79"/>
      <c r="J353" s="79"/>
      <c r="O353" s="79"/>
      <c r="P353" s="79"/>
      <c r="S353" s="79"/>
      <c r="T353" s="79"/>
      <c r="W353" s="130"/>
      <c r="Y353" s="106"/>
    </row>
    <row r="354">
      <c r="C354" s="79"/>
      <c r="D354" s="79"/>
      <c r="J354" s="79"/>
      <c r="O354" s="79"/>
      <c r="P354" s="79"/>
      <c r="S354" s="79"/>
      <c r="T354" s="79"/>
      <c r="W354" s="130"/>
      <c r="Y354" s="106"/>
    </row>
    <row r="355">
      <c r="C355" s="79"/>
      <c r="D355" s="79"/>
      <c r="J355" s="79"/>
      <c r="O355" s="79"/>
      <c r="P355" s="79"/>
      <c r="S355" s="79"/>
      <c r="T355" s="79"/>
      <c r="W355" s="130"/>
      <c r="Y355" s="106"/>
    </row>
    <row r="356">
      <c r="C356" s="79"/>
      <c r="D356" s="79"/>
      <c r="J356" s="79"/>
      <c r="O356" s="79"/>
      <c r="P356" s="79"/>
      <c r="S356" s="79"/>
      <c r="T356" s="79"/>
      <c r="W356" s="130"/>
      <c r="Y356" s="106"/>
    </row>
    <row r="357">
      <c r="C357" s="79"/>
      <c r="D357" s="79"/>
      <c r="J357" s="79"/>
      <c r="O357" s="79"/>
      <c r="P357" s="79"/>
      <c r="S357" s="79"/>
      <c r="T357" s="79"/>
      <c r="W357" s="130"/>
      <c r="Y357" s="106"/>
    </row>
    <row r="358">
      <c r="C358" s="79"/>
      <c r="D358" s="79"/>
      <c r="J358" s="79"/>
      <c r="O358" s="79"/>
      <c r="P358" s="79"/>
      <c r="S358" s="79"/>
      <c r="T358" s="79"/>
      <c r="W358" s="130"/>
      <c r="Y358" s="106"/>
    </row>
    <row r="359">
      <c r="C359" s="79"/>
      <c r="D359" s="79"/>
      <c r="J359" s="79"/>
      <c r="O359" s="79"/>
      <c r="P359" s="79"/>
      <c r="S359" s="79"/>
      <c r="T359" s="79"/>
      <c r="W359" s="130"/>
      <c r="Y359" s="106"/>
    </row>
    <row r="360">
      <c r="C360" s="79"/>
      <c r="D360" s="79"/>
      <c r="J360" s="79"/>
      <c r="O360" s="79"/>
      <c r="P360" s="79"/>
      <c r="S360" s="79"/>
      <c r="T360" s="79"/>
      <c r="W360" s="130"/>
      <c r="Y360" s="106"/>
    </row>
    <row r="361">
      <c r="C361" s="79"/>
      <c r="D361" s="79"/>
      <c r="J361" s="79"/>
      <c r="O361" s="79"/>
      <c r="P361" s="79"/>
      <c r="S361" s="79"/>
      <c r="T361" s="79"/>
      <c r="W361" s="130"/>
      <c r="Y361" s="106"/>
    </row>
    <row r="362">
      <c r="C362" s="79"/>
      <c r="D362" s="79"/>
      <c r="J362" s="79"/>
      <c r="O362" s="79"/>
      <c r="P362" s="79"/>
      <c r="S362" s="79"/>
      <c r="T362" s="79"/>
      <c r="W362" s="130"/>
      <c r="Y362" s="106"/>
    </row>
    <row r="363">
      <c r="C363" s="79"/>
      <c r="D363" s="79"/>
      <c r="J363" s="79"/>
      <c r="O363" s="79"/>
      <c r="P363" s="79"/>
      <c r="S363" s="79"/>
      <c r="T363" s="79"/>
      <c r="W363" s="130"/>
      <c r="Y363" s="106"/>
    </row>
    <row r="364">
      <c r="C364" s="79"/>
      <c r="D364" s="79"/>
      <c r="J364" s="79"/>
      <c r="O364" s="79"/>
      <c r="P364" s="79"/>
      <c r="S364" s="79"/>
      <c r="T364" s="79"/>
      <c r="W364" s="130"/>
      <c r="Y364" s="106"/>
    </row>
    <row r="365">
      <c r="C365" s="79"/>
      <c r="D365" s="79"/>
      <c r="J365" s="79"/>
      <c r="O365" s="79"/>
      <c r="P365" s="79"/>
      <c r="S365" s="79"/>
      <c r="T365" s="79"/>
      <c r="W365" s="130"/>
      <c r="Y365" s="106"/>
    </row>
    <row r="366">
      <c r="C366" s="79"/>
      <c r="D366" s="79"/>
      <c r="J366" s="79"/>
      <c r="O366" s="79"/>
      <c r="P366" s="79"/>
      <c r="S366" s="79"/>
      <c r="T366" s="79"/>
      <c r="W366" s="130"/>
      <c r="Y366" s="106"/>
    </row>
    <row r="367">
      <c r="C367" s="79"/>
      <c r="D367" s="79"/>
      <c r="J367" s="79"/>
      <c r="O367" s="79"/>
      <c r="P367" s="79"/>
      <c r="S367" s="79"/>
      <c r="T367" s="79"/>
      <c r="W367" s="130"/>
      <c r="Y367" s="106"/>
    </row>
    <row r="368">
      <c r="C368" s="79"/>
      <c r="D368" s="79"/>
      <c r="J368" s="79"/>
      <c r="O368" s="79"/>
      <c r="P368" s="79"/>
      <c r="S368" s="79"/>
      <c r="T368" s="79"/>
      <c r="W368" s="130"/>
      <c r="Y368" s="106"/>
    </row>
    <row r="369">
      <c r="C369" s="79"/>
      <c r="D369" s="79"/>
      <c r="J369" s="79"/>
      <c r="O369" s="79"/>
      <c r="P369" s="79"/>
      <c r="S369" s="79"/>
      <c r="T369" s="79"/>
      <c r="W369" s="130"/>
      <c r="Y369" s="106"/>
    </row>
    <row r="370">
      <c r="C370" s="79"/>
      <c r="D370" s="79"/>
      <c r="J370" s="79"/>
      <c r="O370" s="79"/>
      <c r="P370" s="79"/>
      <c r="S370" s="79"/>
      <c r="T370" s="79"/>
      <c r="W370" s="130"/>
      <c r="Y370" s="106"/>
    </row>
    <row r="371">
      <c r="C371" s="79"/>
      <c r="D371" s="79"/>
      <c r="J371" s="79"/>
      <c r="O371" s="79"/>
      <c r="P371" s="79"/>
      <c r="S371" s="79"/>
      <c r="T371" s="79"/>
      <c r="W371" s="130"/>
      <c r="Y371" s="106"/>
    </row>
    <row r="372">
      <c r="C372" s="79"/>
      <c r="D372" s="79"/>
      <c r="J372" s="79"/>
      <c r="O372" s="79"/>
      <c r="P372" s="79"/>
      <c r="S372" s="79"/>
      <c r="T372" s="79"/>
      <c r="W372" s="130"/>
      <c r="Y372" s="106"/>
    </row>
    <row r="373">
      <c r="C373" s="79"/>
      <c r="D373" s="79"/>
      <c r="J373" s="79"/>
      <c r="O373" s="79"/>
      <c r="P373" s="79"/>
      <c r="S373" s="79"/>
      <c r="T373" s="79"/>
      <c r="W373" s="130"/>
      <c r="Y373" s="106"/>
    </row>
    <row r="374">
      <c r="C374" s="79"/>
      <c r="D374" s="79"/>
      <c r="J374" s="79"/>
      <c r="O374" s="79"/>
      <c r="P374" s="79"/>
      <c r="S374" s="79"/>
      <c r="T374" s="79"/>
      <c r="W374" s="130"/>
      <c r="Y374" s="106"/>
    </row>
    <row r="375">
      <c r="C375" s="79"/>
      <c r="D375" s="79"/>
      <c r="J375" s="79"/>
      <c r="O375" s="79"/>
      <c r="P375" s="79"/>
      <c r="S375" s="79"/>
      <c r="T375" s="79"/>
      <c r="W375" s="130"/>
      <c r="Y375" s="106"/>
    </row>
    <row r="376">
      <c r="C376" s="79"/>
      <c r="D376" s="79"/>
      <c r="J376" s="79"/>
      <c r="O376" s="79"/>
      <c r="P376" s="79"/>
      <c r="S376" s="79"/>
      <c r="T376" s="79"/>
      <c r="W376" s="130"/>
      <c r="Y376" s="106"/>
    </row>
    <row r="377">
      <c r="C377" s="79"/>
      <c r="D377" s="79"/>
      <c r="J377" s="79"/>
      <c r="O377" s="79"/>
      <c r="P377" s="79"/>
      <c r="S377" s="79"/>
      <c r="T377" s="79"/>
      <c r="W377" s="130"/>
      <c r="Y377" s="106"/>
    </row>
    <row r="378">
      <c r="C378" s="79"/>
      <c r="D378" s="79"/>
      <c r="J378" s="79"/>
      <c r="O378" s="79"/>
      <c r="P378" s="79"/>
      <c r="S378" s="79"/>
      <c r="T378" s="79"/>
      <c r="W378" s="130"/>
      <c r="Y378" s="106"/>
    </row>
    <row r="379">
      <c r="C379" s="79"/>
      <c r="D379" s="79"/>
      <c r="J379" s="79"/>
      <c r="O379" s="79"/>
      <c r="P379" s="79"/>
      <c r="S379" s="79"/>
      <c r="T379" s="79"/>
      <c r="W379" s="130"/>
      <c r="Y379" s="106"/>
    </row>
    <row r="380">
      <c r="C380" s="79"/>
      <c r="D380" s="79"/>
      <c r="J380" s="79"/>
      <c r="O380" s="79"/>
      <c r="P380" s="79"/>
      <c r="S380" s="79"/>
      <c r="T380" s="79"/>
      <c r="W380" s="130"/>
      <c r="Y380" s="106"/>
    </row>
    <row r="381">
      <c r="C381" s="79"/>
      <c r="D381" s="79"/>
      <c r="J381" s="79"/>
      <c r="O381" s="79"/>
      <c r="P381" s="79"/>
      <c r="S381" s="79"/>
      <c r="T381" s="79"/>
      <c r="W381" s="130"/>
      <c r="Y381" s="106"/>
    </row>
    <row r="382">
      <c r="C382" s="79"/>
      <c r="D382" s="79"/>
      <c r="J382" s="79"/>
      <c r="O382" s="79"/>
      <c r="P382" s="79"/>
      <c r="S382" s="79"/>
      <c r="T382" s="79"/>
      <c r="W382" s="130"/>
      <c r="Y382" s="106"/>
    </row>
    <row r="383">
      <c r="C383" s="79"/>
      <c r="D383" s="79"/>
      <c r="J383" s="79"/>
      <c r="O383" s="79"/>
      <c r="P383" s="79"/>
      <c r="S383" s="79"/>
      <c r="T383" s="79"/>
      <c r="W383" s="130"/>
      <c r="Y383" s="106"/>
    </row>
    <row r="384">
      <c r="C384" s="79"/>
      <c r="D384" s="79"/>
      <c r="J384" s="79"/>
      <c r="O384" s="79"/>
      <c r="P384" s="79"/>
      <c r="S384" s="79"/>
      <c r="T384" s="79"/>
      <c r="W384" s="130"/>
      <c r="Y384" s="106"/>
    </row>
    <row r="385">
      <c r="C385" s="79"/>
      <c r="D385" s="79"/>
      <c r="J385" s="79"/>
      <c r="O385" s="79"/>
      <c r="P385" s="79"/>
      <c r="S385" s="79"/>
      <c r="T385" s="79"/>
      <c r="W385" s="130"/>
      <c r="Y385" s="106"/>
    </row>
    <row r="386">
      <c r="C386" s="79"/>
      <c r="D386" s="79"/>
      <c r="J386" s="79"/>
      <c r="O386" s="79"/>
      <c r="P386" s="79"/>
      <c r="S386" s="79"/>
      <c r="T386" s="79"/>
      <c r="W386" s="130"/>
      <c r="Y386" s="106"/>
    </row>
    <row r="387">
      <c r="C387" s="79"/>
      <c r="D387" s="79"/>
      <c r="J387" s="79"/>
      <c r="O387" s="79"/>
      <c r="P387" s="79"/>
      <c r="S387" s="79"/>
      <c r="T387" s="79"/>
      <c r="W387" s="130"/>
      <c r="Y387" s="106"/>
    </row>
    <row r="388">
      <c r="C388" s="79"/>
      <c r="D388" s="79"/>
      <c r="J388" s="79"/>
      <c r="O388" s="79"/>
      <c r="P388" s="79"/>
      <c r="S388" s="79"/>
      <c r="T388" s="79"/>
      <c r="W388" s="130"/>
      <c r="Y388" s="106"/>
    </row>
    <row r="389">
      <c r="C389" s="79"/>
      <c r="D389" s="79"/>
      <c r="J389" s="79"/>
      <c r="O389" s="79"/>
      <c r="P389" s="79"/>
      <c r="S389" s="79"/>
      <c r="T389" s="79"/>
      <c r="W389" s="130"/>
      <c r="Y389" s="106"/>
    </row>
    <row r="390">
      <c r="C390" s="79"/>
      <c r="D390" s="79"/>
      <c r="J390" s="79"/>
      <c r="O390" s="79"/>
      <c r="P390" s="79"/>
      <c r="S390" s="79"/>
      <c r="T390" s="79"/>
      <c r="W390" s="130"/>
      <c r="Y390" s="106"/>
    </row>
    <row r="391">
      <c r="C391" s="79"/>
      <c r="D391" s="79"/>
      <c r="J391" s="79"/>
      <c r="O391" s="79"/>
      <c r="P391" s="79"/>
      <c r="S391" s="79"/>
      <c r="T391" s="79"/>
      <c r="W391" s="130"/>
      <c r="Y391" s="106"/>
    </row>
    <row r="392">
      <c r="C392" s="79"/>
      <c r="D392" s="79"/>
      <c r="J392" s="79"/>
      <c r="O392" s="79"/>
      <c r="P392" s="79"/>
      <c r="S392" s="79"/>
      <c r="T392" s="79"/>
      <c r="W392" s="130"/>
      <c r="Y392" s="106"/>
    </row>
    <row r="393">
      <c r="C393" s="79"/>
      <c r="D393" s="79"/>
      <c r="J393" s="79"/>
      <c r="O393" s="79"/>
      <c r="P393" s="79"/>
      <c r="S393" s="79"/>
      <c r="T393" s="79"/>
      <c r="W393" s="130"/>
      <c r="Y393" s="106"/>
    </row>
    <row r="394">
      <c r="C394" s="79"/>
      <c r="D394" s="79"/>
      <c r="J394" s="79"/>
      <c r="O394" s="79"/>
      <c r="P394" s="79"/>
      <c r="S394" s="79"/>
      <c r="T394" s="79"/>
      <c r="W394" s="130"/>
      <c r="Y394" s="106"/>
    </row>
    <row r="395">
      <c r="C395" s="79"/>
      <c r="D395" s="79"/>
      <c r="J395" s="79"/>
      <c r="O395" s="79"/>
      <c r="P395" s="79"/>
      <c r="S395" s="79"/>
      <c r="T395" s="79"/>
      <c r="W395" s="130"/>
      <c r="Y395" s="106"/>
    </row>
    <row r="396">
      <c r="C396" s="79"/>
      <c r="D396" s="79"/>
      <c r="J396" s="79"/>
      <c r="O396" s="79"/>
      <c r="P396" s="79"/>
      <c r="S396" s="79"/>
      <c r="T396" s="79"/>
      <c r="W396" s="130"/>
      <c r="Y396" s="106"/>
    </row>
    <row r="397">
      <c r="C397" s="79"/>
      <c r="D397" s="79"/>
      <c r="J397" s="79"/>
      <c r="O397" s="79"/>
      <c r="P397" s="79"/>
      <c r="S397" s="79"/>
      <c r="T397" s="79"/>
      <c r="W397" s="130"/>
      <c r="Y397" s="106"/>
    </row>
    <row r="398">
      <c r="C398" s="79"/>
      <c r="D398" s="79"/>
      <c r="J398" s="79"/>
      <c r="O398" s="79"/>
      <c r="P398" s="79"/>
      <c r="S398" s="79"/>
      <c r="T398" s="79"/>
      <c r="W398" s="130"/>
      <c r="Y398" s="106"/>
    </row>
    <row r="399">
      <c r="C399" s="79"/>
      <c r="D399" s="79"/>
      <c r="J399" s="79"/>
      <c r="O399" s="79"/>
      <c r="P399" s="79"/>
      <c r="S399" s="79"/>
      <c r="T399" s="79"/>
      <c r="W399" s="130"/>
      <c r="Y399" s="106"/>
    </row>
    <row r="400">
      <c r="C400" s="79"/>
      <c r="D400" s="79"/>
      <c r="J400" s="79"/>
      <c r="O400" s="79"/>
      <c r="P400" s="79"/>
      <c r="S400" s="79"/>
      <c r="T400" s="79"/>
      <c r="W400" s="130"/>
      <c r="Y400" s="106"/>
    </row>
    <row r="401">
      <c r="C401" s="79"/>
      <c r="D401" s="79"/>
      <c r="J401" s="79"/>
      <c r="O401" s="79"/>
      <c r="P401" s="79"/>
      <c r="S401" s="79"/>
      <c r="T401" s="79"/>
      <c r="W401" s="130"/>
      <c r="Y401" s="106"/>
    </row>
    <row r="402">
      <c r="C402" s="79"/>
      <c r="D402" s="79"/>
      <c r="J402" s="79"/>
      <c r="O402" s="79"/>
      <c r="P402" s="79"/>
      <c r="S402" s="79"/>
      <c r="T402" s="79"/>
      <c r="W402" s="130"/>
      <c r="Y402" s="106"/>
    </row>
    <row r="403">
      <c r="C403" s="79"/>
      <c r="D403" s="79"/>
      <c r="J403" s="79"/>
      <c r="O403" s="79"/>
      <c r="P403" s="79"/>
      <c r="S403" s="79"/>
      <c r="T403" s="79"/>
      <c r="W403" s="130"/>
      <c r="Y403" s="106"/>
    </row>
    <row r="404">
      <c r="C404" s="79"/>
      <c r="D404" s="79"/>
      <c r="J404" s="79"/>
      <c r="O404" s="79"/>
      <c r="P404" s="79"/>
      <c r="S404" s="79"/>
      <c r="T404" s="79"/>
      <c r="W404" s="130"/>
      <c r="Y404" s="106"/>
    </row>
    <row r="405">
      <c r="C405" s="79"/>
      <c r="D405" s="79"/>
      <c r="J405" s="79"/>
      <c r="O405" s="79"/>
      <c r="P405" s="79"/>
      <c r="S405" s="79"/>
      <c r="T405" s="79"/>
      <c r="W405" s="130"/>
      <c r="Y405" s="106"/>
    </row>
    <row r="406">
      <c r="C406" s="79"/>
      <c r="D406" s="79"/>
      <c r="J406" s="79"/>
      <c r="O406" s="79"/>
      <c r="P406" s="79"/>
      <c r="S406" s="79"/>
      <c r="T406" s="79"/>
      <c r="W406" s="130"/>
      <c r="Y406" s="106"/>
    </row>
    <row r="407">
      <c r="C407" s="79"/>
      <c r="D407" s="79"/>
      <c r="J407" s="79"/>
      <c r="O407" s="79"/>
      <c r="P407" s="79"/>
      <c r="S407" s="79"/>
      <c r="T407" s="79"/>
      <c r="W407" s="130"/>
      <c r="Y407" s="106"/>
    </row>
    <row r="408">
      <c r="C408" s="79"/>
      <c r="D408" s="79"/>
      <c r="J408" s="79"/>
      <c r="O408" s="79"/>
      <c r="P408" s="79"/>
      <c r="S408" s="79"/>
      <c r="T408" s="79"/>
      <c r="W408" s="130"/>
      <c r="Y408" s="106"/>
    </row>
    <row r="409">
      <c r="C409" s="79"/>
      <c r="D409" s="79"/>
      <c r="J409" s="79"/>
      <c r="O409" s="79"/>
      <c r="P409" s="79"/>
      <c r="S409" s="79"/>
      <c r="T409" s="79"/>
      <c r="W409" s="130"/>
      <c r="Y409" s="106"/>
    </row>
    <row r="410">
      <c r="C410" s="79"/>
      <c r="D410" s="79"/>
      <c r="J410" s="79"/>
      <c r="O410" s="79"/>
      <c r="P410" s="79"/>
      <c r="S410" s="79"/>
      <c r="T410" s="79"/>
      <c r="W410" s="130"/>
      <c r="Y410" s="106"/>
    </row>
    <row r="411">
      <c r="C411" s="79"/>
      <c r="D411" s="79"/>
      <c r="J411" s="79"/>
      <c r="O411" s="79"/>
      <c r="P411" s="79"/>
      <c r="S411" s="79"/>
      <c r="T411" s="79"/>
      <c r="W411" s="130"/>
      <c r="Y411" s="106"/>
    </row>
    <row r="412">
      <c r="C412" s="79"/>
      <c r="D412" s="79"/>
      <c r="J412" s="79"/>
      <c r="O412" s="79"/>
      <c r="P412" s="79"/>
      <c r="S412" s="79"/>
      <c r="T412" s="79"/>
      <c r="W412" s="130"/>
      <c r="Y412" s="106"/>
    </row>
    <row r="413">
      <c r="C413" s="79"/>
      <c r="D413" s="79"/>
      <c r="J413" s="79"/>
      <c r="O413" s="79"/>
      <c r="P413" s="79"/>
      <c r="S413" s="79"/>
      <c r="T413" s="79"/>
      <c r="W413" s="130"/>
      <c r="Y413" s="106"/>
    </row>
    <row r="414">
      <c r="C414" s="79"/>
      <c r="D414" s="79"/>
      <c r="J414" s="79"/>
      <c r="O414" s="79"/>
      <c r="P414" s="79"/>
      <c r="S414" s="79"/>
      <c r="T414" s="79"/>
      <c r="W414" s="130"/>
      <c r="Y414" s="106"/>
    </row>
    <row r="415">
      <c r="C415" s="79"/>
      <c r="D415" s="79"/>
      <c r="J415" s="79"/>
      <c r="O415" s="79"/>
      <c r="P415" s="79"/>
      <c r="S415" s="79"/>
      <c r="T415" s="79"/>
      <c r="W415" s="130"/>
      <c r="Y415" s="106"/>
    </row>
    <row r="416">
      <c r="C416" s="79"/>
      <c r="D416" s="79"/>
      <c r="J416" s="79"/>
      <c r="O416" s="79"/>
      <c r="P416" s="79"/>
      <c r="S416" s="79"/>
      <c r="T416" s="79"/>
      <c r="W416" s="130"/>
      <c r="Y416" s="106"/>
    </row>
    <row r="417">
      <c r="C417" s="79"/>
      <c r="D417" s="79"/>
      <c r="J417" s="79"/>
      <c r="O417" s="79"/>
      <c r="P417" s="79"/>
      <c r="S417" s="79"/>
      <c r="T417" s="79"/>
      <c r="W417" s="130"/>
      <c r="Y417" s="106"/>
    </row>
    <row r="418">
      <c r="C418" s="79"/>
      <c r="D418" s="79"/>
      <c r="J418" s="79"/>
      <c r="O418" s="79"/>
      <c r="P418" s="79"/>
      <c r="S418" s="79"/>
      <c r="T418" s="79"/>
      <c r="W418" s="130"/>
      <c r="Y418" s="106"/>
    </row>
    <row r="419">
      <c r="C419" s="79"/>
      <c r="D419" s="79"/>
      <c r="J419" s="79"/>
      <c r="O419" s="79"/>
      <c r="P419" s="79"/>
      <c r="S419" s="79"/>
      <c r="T419" s="79"/>
      <c r="W419" s="130"/>
      <c r="Y419" s="106"/>
    </row>
    <row r="420">
      <c r="C420" s="79"/>
      <c r="D420" s="79"/>
      <c r="J420" s="79"/>
      <c r="O420" s="79"/>
      <c r="P420" s="79"/>
      <c r="S420" s="79"/>
      <c r="T420" s="79"/>
      <c r="W420" s="130"/>
      <c r="Y420" s="106"/>
    </row>
    <row r="421">
      <c r="C421" s="79"/>
      <c r="D421" s="79"/>
      <c r="J421" s="79"/>
      <c r="O421" s="79"/>
      <c r="P421" s="79"/>
      <c r="S421" s="79"/>
      <c r="T421" s="79"/>
      <c r="W421" s="130"/>
      <c r="Y421" s="106"/>
    </row>
    <row r="422">
      <c r="C422" s="79"/>
      <c r="D422" s="79"/>
      <c r="J422" s="79"/>
      <c r="O422" s="79"/>
      <c r="P422" s="79"/>
      <c r="S422" s="79"/>
      <c r="T422" s="79"/>
      <c r="W422" s="130"/>
      <c r="Y422" s="106"/>
    </row>
    <row r="423">
      <c r="C423" s="79"/>
      <c r="D423" s="79"/>
      <c r="J423" s="79"/>
      <c r="O423" s="79"/>
      <c r="P423" s="79"/>
      <c r="S423" s="79"/>
      <c r="T423" s="79"/>
      <c r="W423" s="130"/>
      <c r="Y423" s="106"/>
    </row>
    <row r="424">
      <c r="C424" s="79"/>
      <c r="D424" s="79"/>
      <c r="J424" s="79"/>
      <c r="O424" s="79"/>
      <c r="P424" s="79"/>
      <c r="S424" s="79"/>
      <c r="T424" s="79"/>
      <c r="W424" s="130"/>
      <c r="Y424" s="106"/>
    </row>
    <row r="425">
      <c r="C425" s="79"/>
      <c r="D425" s="79"/>
      <c r="J425" s="79"/>
      <c r="O425" s="79"/>
      <c r="P425" s="79"/>
      <c r="S425" s="79"/>
      <c r="T425" s="79"/>
      <c r="W425" s="130"/>
      <c r="Y425" s="106"/>
    </row>
    <row r="426">
      <c r="C426" s="79"/>
      <c r="D426" s="79"/>
      <c r="J426" s="79"/>
      <c r="O426" s="79"/>
      <c r="P426" s="79"/>
      <c r="S426" s="79"/>
      <c r="T426" s="79"/>
      <c r="W426" s="130"/>
      <c r="Y426" s="106"/>
    </row>
    <row r="427">
      <c r="C427" s="79"/>
      <c r="D427" s="79"/>
      <c r="J427" s="79"/>
      <c r="O427" s="79"/>
      <c r="P427" s="79"/>
      <c r="S427" s="79"/>
      <c r="T427" s="79"/>
      <c r="W427" s="130"/>
      <c r="Y427" s="106"/>
    </row>
    <row r="428">
      <c r="C428" s="79"/>
      <c r="D428" s="79"/>
      <c r="J428" s="79"/>
      <c r="O428" s="79"/>
      <c r="P428" s="79"/>
      <c r="S428" s="79"/>
      <c r="T428" s="79"/>
      <c r="W428" s="130"/>
      <c r="Y428" s="106"/>
    </row>
    <row r="429">
      <c r="C429" s="79"/>
      <c r="D429" s="79"/>
      <c r="J429" s="79"/>
      <c r="O429" s="79"/>
      <c r="P429" s="79"/>
      <c r="S429" s="79"/>
      <c r="T429" s="79"/>
      <c r="W429" s="130"/>
      <c r="Y429" s="106"/>
    </row>
    <row r="430">
      <c r="C430" s="79"/>
      <c r="D430" s="79"/>
      <c r="J430" s="79"/>
      <c r="O430" s="79"/>
      <c r="P430" s="79"/>
      <c r="S430" s="79"/>
      <c r="T430" s="79"/>
      <c r="W430" s="130"/>
      <c r="Y430" s="106"/>
    </row>
    <row r="431">
      <c r="C431" s="79"/>
      <c r="D431" s="79"/>
      <c r="J431" s="79"/>
      <c r="O431" s="79"/>
      <c r="P431" s="79"/>
      <c r="S431" s="79"/>
      <c r="T431" s="79"/>
      <c r="W431" s="130"/>
      <c r="Y431" s="106"/>
    </row>
    <row r="432">
      <c r="C432" s="79"/>
      <c r="D432" s="79"/>
      <c r="J432" s="79"/>
      <c r="O432" s="79"/>
      <c r="P432" s="79"/>
      <c r="S432" s="79"/>
      <c r="T432" s="79"/>
      <c r="W432" s="130"/>
      <c r="Y432" s="106"/>
    </row>
    <row r="433">
      <c r="C433" s="79"/>
      <c r="D433" s="79"/>
      <c r="J433" s="79"/>
      <c r="O433" s="79"/>
      <c r="P433" s="79"/>
      <c r="S433" s="79"/>
      <c r="T433" s="79"/>
      <c r="W433" s="130"/>
      <c r="Y433" s="106"/>
    </row>
    <row r="434">
      <c r="C434" s="79"/>
      <c r="D434" s="79"/>
      <c r="J434" s="79"/>
      <c r="O434" s="79"/>
      <c r="P434" s="79"/>
      <c r="S434" s="79"/>
      <c r="T434" s="79"/>
      <c r="W434" s="130"/>
      <c r="Y434" s="106"/>
    </row>
    <row r="435">
      <c r="C435" s="79"/>
      <c r="D435" s="79"/>
      <c r="J435" s="79"/>
      <c r="O435" s="79"/>
      <c r="P435" s="79"/>
      <c r="S435" s="79"/>
      <c r="T435" s="79"/>
      <c r="W435" s="130"/>
      <c r="Y435" s="106"/>
    </row>
    <row r="436">
      <c r="C436" s="79"/>
      <c r="D436" s="79"/>
      <c r="J436" s="79"/>
      <c r="O436" s="79"/>
      <c r="P436" s="79"/>
      <c r="S436" s="79"/>
      <c r="T436" s="79"/>
      <c r="W436" s="130"/>
      <c r="Y436" s="106"/>
    </row>
    <row r="437">
      <c r="C437" s="79"/>
      <c r="D437" s="79"/>
      <c r="J437" s="79"/>
      <c r="O437" s="79"/>
      <c r="P437" s="79"/>
      <c r="S437" s="79"/>
      <c r="T437" s="79"/>
      <c r="W437" s="130"/>
      <c r="Y437" s="106"/>
    </row>
    <row r="438">
      <c r="C438" s="79"/>
      <c r="D438" s="79"/>
      <c r="J438" s="79"/>
      <c r="O438" s="79"/>
      <c r="P438" s="79"/>
      <c r="S438" s="79"/>
      <c r="T438" s="79"/>
      <c r="W438" s="130"/>
      <c r="Y438" s="106"/>
    </row>
    <row r="439">
      <c r="C439" s="79"/>
      <c r="D439" s="79"/>
      <c r="J439" s="79"/>
      <c r="O439" s="79"/>
      <c r="P439" s="79"/>
      <c r="S439" s="79"/>
      <c r="T439" s="79"/>
      <c r="W439" s="130"/>
      <c r="Y439" s="106"/>
    </row>
    <row r="440">
      <c r="C440" s="79"/>
      <c r="D440" s="79"/>
      <c r="J440" s="79"/>
      <c r="O440" s="79"/>
      <c r="P440" s="79"/>
      <c r="S440" s="79"/>
      <c r="T440" s="79"/>
      <c r="W440" s="130"/>
      <c r="Y440" s="106"/>
    </row>
    <row r="441">
      <c r="C441" s="79"/>
      <c r="D441" s="79"/>
      <c r="J441" s="79"/>
      <c r="O441" s="79"/>
      <c r="P441" s="79"/>
      <c r="S441" s="79"/>
      <c r="T441" s="79"/>
      <c r="W441" s="130"/>
      <c r="Y441" s="106"/>
    </row>
    <row r="442">
      <c r="C442" s="79"/>
      <c r="D442" s="79"/>
      <c r="J442" s="79"/>
      <c r="O442" s="79"/>
      <c r="P442" s="79"/>
      <c r="S442" s="79"/>
      <c r="T442" s="79"/>
      <c r="W442" s="130"/>
      <c r="Y442" s="106"/>
    </row>
    <row r="443">
      <c r="C443" s="79"/>
      <c r="D443" s="79"/>
      <c r="J443" s="79"/>
      <c r="O443" s="79"/>
      <c r="P443" s="79"/>
      <c r="S443" s="79"/>
      <c r="T443" s="79"/>
      <c r="W443" s="130"/>
      <c r="Y443" s="106"/>
    </row>
    <row r="444">
      <c r="C444" s="79"/>
      <c r="D444" s="79"/>
      <c r="J444" s="79"/>
      <c r="O444" s="79"/>
      <c r="P444" s="79"/>
      <c r="S444" s="79"/>
      <c r="T444" s="79"/>
      <c r="W444" s="130"/>
      <c r="Y444" s="106"/>
    </row>
    <row r="445">
      <c r="C445" s="79"/>
      <c r="D445" s="79"/>
      <c r="J445" s="79"/>
      <c r="O445" s="79"/>
      <c r="P445" s="79"/>
      <c r="S445" s="79"/>
      <c r="T445" s="79"/>
      <c r="W445" s="130"/>
      <c r="Y445" s="106"/>
    </row>
    <row r="446">
      <c r="C446" s="79"/>
      <c r="D446" s="79"/>
      <c r="J446" s="79"/>
      <c r="O446" s="79"/>
      <c r="P446" s="79"/>
      <c r="S446" s="79"/>
      <c r="T446" s="79"/>
      <c r="W446" s="130"/>
      <c r="Y446" s="106"/>
    </row>
    <row r="447">
      <c r="C447" s="79"/>
      <c r="D447" s="79"/>
      <c r="J447" s="79"/>
      <c r="O447" s="79"/>
      <c r="P447" s="79"/>
      <c r="S447" s="79"/>
      <c r="T447" s="79"/>
      <c r="W447" s="130"/>
      <c r="Y447" s="106"/>
    </row>
    <row r="448">
      <c r="C448" s="79"/>
      <c r="D448" s="79"/>
      <c r="J448" s="79"/>
      <c r="O448" s="79"/>
      <c r="P448" s="79"/>
      <c r="S448" s="79"/>
      <c r="T448" s="79"/>
      <c r="W448" s="130"/>
      <c r="Y448" s="106"/>
    </row>
    <row r="449">
      <c r="C449" s="79"/>
      <c r="D449" s="79"/>
      <c r="J449" s="79"/>
      <c r="O449" s="79"/>
      <c r="P449" s="79"/>
      <c r="S449" s="79"/>
      <c r="T449" s="79"/>
      <c r="W449" s="130"/>
      <c r="Y449" s="106"/>
    </row>
    <row r="450">
      <c r="C450" s="79"/>
      <c r="D450" s="79"/>
      <c r="J450" s="79"/>
      <c r="O450" s="79"/>
      <c r="P450" s="79"/>
      <c r="S450" s="79"/>
      <c r="T450" s="79"/>
      <c r="W450" s="130"/>
      <c r="Y450" s="106"/>
    </row>
    <row r="451">
      <c r="C451" s="79"/>
      <c r="D451" s="79"/>
      <c r="J451" s="79"/>
      <c r="O451" s="79"/>
      <c r="P451" s="79"/>
      <c r="S451" s="79"/>
      <c r="T451" s="79"/>
      <c r="W451" s="130"/>
      <c r="Y451" s="106"/>
    </row>
    <row r="452">
      <c r="C452" s="79"/>
      <c r="D452" s="79"/>
      <c r="J452" s="79"/>
      <c r="O452" s="79"/>
      <c r="P452" s="79"/>
      <c r="S452" s="79"/>
      <c r="T452" s="79"/>
      <c r="W452" s="130"/>
      <c r="Y452" s="106"/>
    </row>
    <row r="453">
      <c r="C453" s="79"/>
      <c r="D453" s="79"/>
      <c r="J453" s="79"/>
      <c r="O453" s="79"/>
      <c r="P453" s="79"/>
      <c r="S453" s="79"/>
      <c r="T453" s="79"/>
      <c r="W453" s="130"/>
      <c r="Y453" s="106"/>
    </row>
    <row r="454">
      <c r="C454" s="79"/>
      <c r="D454" s="79"/>
      <c r="J454" s="79"/>
      <c r="O454" s="79"/>
      <c r="P454" s="79"/>
      <c r="S454" s="79"/>
      <c r="T454" s="79"/>
      <c r="W454" s="130"/>
      <c r="Y454" s="106"/>
    </row>
    <row r="455">
      <c r="C455" s="79"/>
      <c r="D455" s="79"/>
      <c r="J455" s="79"/>
      <c r="O455" s="79"/>
      <c r="P455" s="79"/>
      <c r="S455" s="79"/>
      <c r="T455" s="79"/>
      <c r="W455" s="130"/>
      <c r="Y455" s="106"/>
    </row>
    <row r="456">
      <c r="C456" s="79"/>
      <c r="D456" s="79"/>
      <c r="J456" s="79"/>
      <c r="O456" s="79"/>
      <c r="P456" s="79"/>
      <c r="S456" s="79"/>
      <c r="T456" s="79"/>
      <c r="W456" s="130"/>
      <c r="Y456" s="106"/>
    </row>
    <row r="457">
      <c r="C457" s="79"/>
      <c r="D457" s="79"/>
      <c r="J457" s="79"/>
      <c r="O457" s="79"/>
      <c r="P457" s="79"/>
      <c r="S457" s="79"/>
      <c r="T457" s="79"/>
      <c r="W457" s="130"/>
      <c r="Y457" s="106"/>
    </row>
    <row r="458">
      <c r="C458" s="79"/>
      <c r="D458" s="79"/>
      <c r="J458" s="79"/>
      <c r="O458" s="79"/>
      <c r="P458" s="79"/>
      <c r="S458" s="79"/>
      <c r="T458" s="79"/>
      <c r="W458" s="130"/>
      <c r="Y458" s="106"/>
    </row>
    <row r="459">
      <c r="C459" s="79"/>
      <c r="D459" s="79"/>
      <c r="J459" s="79"/>
      <c r="O459" s="79"/>
      <c r="P459" s="79"/>
      <c r="S459" s="79"/>
      <c r="T459" s="79"/>
      <c r="W459" s="130"/>
      <c r="Y459" s="106"/>
    </row>
    <row r="460">
      <c r="C460" s="79"/>
      <c r="D460" s="79"/>
      <c r="J460" s="79"/>
      <c r="O460" s="79"/>
      <c r="P460" s="79"/>
      <c r="S460" s="79"/>
      <c r="T460" s="79"/>
      <c r="W460" s="130"/>
      <c r="Y460" s="106"/>
    </row>
    <row r="461">
      <c r="C461" s="79"/>
      <c r="D461" s="79"/>
      <c r="J461" s="79"/>
      <c r="O461" s="79"/>
      <c r="P461" s="79"/>
      <c r="S461" s="79"/>
      <c r="T461" s="79"/>
      <c r="W461" s="130"/>
      <c r="Y461" s="106"/>
    </row>
    <row r="462">
      <c r="C462" s="79"/>
      <c r="D462" s="79"/>
      <c r="J462" s="79"/>
      <c r="O462" s="79"/>
      <c r="P462" s="79"/>
      <c r="S462" s="79"/>
      <c r="T462" s="79"/>
      <c r="W462" s="130"/>
      <c r="Y462" s="106"/>
    </row>
    <row r="463">
      <c r="C463" s="79"/>
      <c r="D463" s="79"/>
      <c r="J463" s="79"/>
      <c r="O463" s="79"/>
      <c r="P463" s="79"/>
      <c r="S463" s="79"/>
      <c r="T463" s="79"/>
      <c r="W463" s="130"/>
      <c r="Y463" s="106"/>
    </row>
    <row r="464">
      <c r="C464" s="79"/>
      <c r="D464" s="79"/>
      <c r="J464" s="79"/>
      <c r="O464" s="79"/>
      <c r="P464" s="79"/>
      <c r="S464" s="79"/>
      <c r="T464" s="79"/>
      <c r="W464" s="130"/>
      <c r="Y464" s="106"/>
    </row>
    <row r="465">
      <c r="C465" s="79"/>
      <c r="D465" s="79"/>
      <c r="J465" s="79"/>
      <c r="O465" s="79"/>
      <c r="P465" s="79"/>
      <c r="S465" s="79"/>
      <c r="T465" s="79"/>
      <c r="W465" s="130"/>
      <c r="Y465" s="106"/>
    </row>
    <row r="466">
      <c r="C466" s="79"/>
      <c r="D466" s="79"/>
      <c r="J466" s="79"/>
      <c r="O466" s="79"/>
      <c r="P466" s="79"/>
      <c r="S466" s="79"/>
      <c r="T466" s="79"/>
      <c r="W466" s="130"/>
      <c r="Y466" s="106"/>
    </row>
    <row r="467">
      <c r="C467" s="79"/>
      <c r="D467" s="79"/>
      <c r="J467" s="79"/>
      <c r="O467" s="79"/>
      <c r="P467" s="79"/>
      <c r="S467" s="79"/>
      <c r="T467" s="79"/>
      <c r="W467" s="130"/>
      <c r="Y467" s="106"/>
    </row>
    <row r="468">
      <c r="C468" s="79"/>
      <c r="D468" s="79"/>
      <c r="J468" s="79"/>
      <c r="O468" s="79"/>
      <c r="P468" s="79"/>
      <c r="S468" s="79"/>
      <c r="T468" s="79"/>
      <c r="W468" s="130"/>
      <c r="Y468" s="106"/>
    </row>
    <row r="469">
      <c r="C469" s="79"/>
      <c r="D469" s="79"/>
      <c r="J469" s="79"/>
      <c r="O469" s="79"/>
      <c r="P469" s="79"/>
      <c r="S469" s="79"/>
      <c r="T469" s="79"/>
      <c r="W469" s="130"/>
      <c r="Y469" s="106"/>
    </row>
    <row r="470">
      <c r="C470" s="79"/>
      <c r="D470" s="79"/>
      <c r="J470" s="79"/>
      <c r="O470" s="79"/>
      <c r="P470" s="79"/>
      <c r="S470" s="79"/>
      <c r="T470" s="79"/>
      <c r="W470" s="130"/>
      <c r="Y470" s="106"/>
    </row>
    <row r="471">
      <c r="C471" s="79"/>
      <c r="D471" s="79"/>
      <c r="J471" s="79"/>
      <c r="O471" s="79"/>
      <c r="P471" s="79"/>
      <c r="S471" s="79"/>
      <c r="T471" s="79"/>
      <c r="W471" s="130"/>
      <c r="Y471" s="106"/>
    </row>
    <row r="472">
      <c r="C472" s="79"/>
      <c r="D472" s="79"/>
      <c r="J472" s="79"/>
      <c r="O472" s="79"/>
      <c r="P472" s="79"/>
      <c r="S472" s="79"/>
      <c r="T472" s="79"/>
      <c r="W472" s="130"/>
      <c r="Y472" s="106"/>
    </row>
    <row r="473">
      <c r="C473" s="79"/>
      <c r="D473" s="79"/>
      <c r="J473" s="79"/>
      <c r="O473" s="79"/>
      <c r="P473" s="79"/>
      <c r="S473" s="79"/>
      <c r="T473" s="79"/>
      <c r="W473" s="130"/>
      <c r="Y473" s="106"/>
    </row>
    <row r="474">
      <c r="C474" s="79"/>
      <c r="D474" s="79"/>
      <c r="J474" s="79"/>
      <c r="O474" s="79"/>
      <c r="P474" s="79"/>
      <c r="S474" s="79"/>
      <c r="T474" s="79"/>
      <c r="W474" s="130"/>
      <c r="Y474" s="106"/>
    </row>
    <row r="475">
      <c r="C475" s="79"/>
      <c r="D475" s="79"/>
      <c r="J475" s="79"/>
      <c r="O475" s="79"/>
      <c r="P475" s="79"/>
      <c r="S475" s="79"/>
      <c r="T475" s="79"/>
      <c r="W475" s="130"/>
      <c r="Y475" s="106"/>
    </row>
    <row r="476">
      <c r="C476" s="79"/>
      <c r="D476" s="79"/>
      <c r="J476" s="79"/>
      <c r="O476" s="79"/>
      <c r="P476" s="79"/>
      <c r="S476" s="79"/>
      <c r="T476" s="79"/>
      <c r="W476" s="130"/>
      <c r="Y476" s="106"/>
    </row>
    <row r="477">
      <c r="C477" s="79"/>
      <c r="D477" s="79"/>
      <c r="J477" s="79"/>
      <c r="O477" s="79"/>
      <c r="P477" s="79"/>
      <c r="S477" s="79"/>
      <c r="T477" s="79"/>
      <c r="W477" s="130"/>
      <c r="Y477" s="106"/>
    </row>
    <row r="478">
      <c r="C478" s="79"/>
      <c r="D478" s="79"/>
      <c r="J478" s="79"/>
      <c r="O478" s="79"/>
      <c r="P478" s="79"/>
      <c r="S478" s="79"/>
      <c r="T478" s="79"/>
      <c r="W478" s="130"/>
      <c r="Y478" s="106"/>
    </row>
    <row r="479">
      <c r="C479" s="79"/>
      <c r="D479" s="79"/>
      <c r="J479" s="79"/>
      <c r="O479" s="79"/>
      <c r="P479" s="79"/>
      <c r="S479" s="79"/>
      <c r="T479" s="79"/>
      <c r="W479" s="130"/>
      <c r="Y479" s="106"/>
    </row>
    <row r="480">
      <c r="C480" s="79"/>
      <c r="D480" s="79"/>
      <c r="J480" s="79"/>
      <c r="O480" s="79"/>
      <c r="P480" s="79"/>
      <c r="S480" s="79"/>
      <c r="T480" s="79"/>
      <c r="W480" s="130"/>
      <c r="Y480" s="106"/>
    </row>
    <row r="481">
      <c r="C481" s="79"/>
      <c r="D481" s="79"/>
      <c r="J481" s="79"/>
      <c r="O481" s="79"/>
      <c r="P481" s="79"/>
      <c r="S481" s="79"/>
      <c r="T481" s="79"/>
      <c r="W481" s="130"/>
      <c r="Y481" s="106"/>
    </row>
    <row r="482">
      <c r="C482" s="79"/>
      <c r="D482" s="79"/>
      <c r="J482" s="79"/>
      <c r="O482" s="79"/>
      <c r="P482" s="79"/>
      <c r="S482" s="79"/>
      <c r="T482" s="79"/>
      <c r="W482" s="130"/>
      <c r="Y482" s="106"/>
    </row>
    <row r="483">
      <c r="C483" s="79"/>
      <c r="D483" s="79"/>
      <c r="J483" s="79"/>
      <c r="O483" s="79"/>
      <c r="P483" s="79"/>
      <c r="S483" s="79"/>
      <c r="T483" s="79"/>
      <c r="W483" s="130"/>
      <c r="Y483" s="106"/>
    </row>
    <row r="484">
      <c r="C484" s="79"/>
      <c r="D484" s="79"/>
      <c r="J484" s="79"/>
      <c r="O484" s="79"/>
      <c r="P484" s="79"/>
      <c r="S484" s="79"/>
      <c r="T484" s="79"/>
      <c r="W484" s="130"/>
      <c r="Y484" s="106"/>
    </row>
    <row r="485">
      <c r="C485" s="79"/>
      <c r="D485" s="79"/>
      <c r="J485" s="79"/>
      <c r="O485" s="79"/>
      <c r="P485" s="79"/>
      <c r="S485" s="79"/>
      <c r="T485" s="79"/>
      <c r="W485" s="130"/>
      <c r="Y485" s="106"/>
    </row>
    <row r="486">
      <c r="C486" s="79"/>
      <c r="D486" s="79"/>
      <c r="J486" s="79"/>
      <c r="O486" s="79"/>
      <c r="P486" s="79"/>
      <c r="S486" s="79"/>
      <c r="T486" s="79"/>
      <c r="W486" s="130"/>
      <c r="Y486" s="106"/>
    </row>
    <row r="487">
      <c r="C487" s="79"/>
      <c r="D487" s="79"/>
      <c r="J487" s="79"/>
      <c r="O487" s="79"/>
      <c r="P487" s="79"/>
      <c r="S487" s="79"/>
      <c r="T487" s="79"/>
      <c r="W487" s="130"/>
      <c r="Y487" s="106"/>
    </row>
    <row r="488">
      <c r="C488" s="79"/>
      <c r="D488" s="79"/>
      <c r="J488" s="79"/>
      <c r="O488" s="79"/>
      <c r="P488" s="79"/>
      <c r="S488" s="79"/>
      <c r="T488" s="79"/>
      <c r="W488" s="130"/>
      <c r="Y488" s="106"/>
    </row>
    <row r="489">
      <c r="C489" s="79"/>
      <c r="D489" s="79"/>
      <c r="J489" s="79"/>
      <c r="O489" s="79"/>
      <c r="P489" s="79"/>
      <c r="S489" s="79"/>
      <c r="T489" s="79"/>
      <c r="W489" s="130"/>
      <c r="Y489" s="106"/>
    </row>
    <row r="490">
      <c r="C490" s="79"/>
      <c r="D490" s="79"/>
      <c r="J490" s="79"/>
      <c r="O490" s="79"/>
      <c r="P490" s="79"/>
      <c r="S490" s="79"/>
      <c r="T490" s="79"/>
      <c r="W490" s="130"/>
      <c r="Y490" s="106"/>
    </row>
    <row r="491">
      <c r="C491" s="79"/>
      <c r="D491" s="79"/>
      <c r="J491" s="79"/>
      <c r="O491" s="79"/>
      <c r="P491" s="79"/>
      <c r="S491" s="79"/>
      <c r="T491" s="79"/>
      <c r="W491" s="130"/>
      <c r="Y491" s="106"/>
    </row>
    <row r="492">
      <c r="C492" s="79"/>
      <c r="D492" s="79"/>
      <c r="J492" s="79"/>
      <c r="O492" s="79"/>
      <c r="P492" s="79"/>
      <c r="S492" s="79"/>
      <c r="T492" s="79"/>
      <c r="W492" s="130"/>
      <c r="Y492" s="106"/>
    </row>
    <row r="493">
      <c r="C493" s="79"/>
      <c r="D493" s="79"/>
      <c r="J493" s="79"/>
      <c r="O493" s="79"/>
      <c r="P493" s="79"/>
      <c r="S493" s="79"/>
      <c r="T493" s="79"/>
      <c r="W493" s="130"/>
      <c r="Y493" s="106"/>
    </row>
    <row r="494">
      <c r="C494" s="79"/>
      <c r="D494" s="79"/>
      <c r="J494" s="79"/>
      <c r="O494" s="79"/>
      <c r="P494" s="79"/>
      <c r="S494" s="79"/>
      <c r="T494" s="79"/>
      <c r="W494" s="130"/>
      <c r="Y494" s="106"/>
    </row>
    <row r="495">
      <c r="C495" s="79"/>
      <c r="D495" s="79"/>
      <c r="J495" s="79"/>
      <c r="O495" s="79"/>
      <c r="P495" s="79"/>
      <c r="S495" s="79"/>
      <c r="T495" s="79"/>
      <c r="W495" s="130"/>
      <c r="Y495" s="106"/>
    </row>
    <row r="496">
      <c r="C496" s="79"/>
      <c r="D496" s="79"/>
      <c r="J496" s="79"/>
      <c r="O496" s="79"/>
      <c r="P496" s="79"/>
      <c r="S496" s="79"/>
      <c r="T496" s="79"/>
      <c r="W496" s="130"/>
      <c r="Y496" s="106"/>
    </row>
    <row r="497">
      <c r="C497" s="79"/>
      <c r="D497" s="79"/>
      <c r="J497" s="79"/>
      <c r="O497" s="79"/>
      <c r="P497" s="79"/>
      <c r="S497" s="79"/>
      <c r="T497" s="79"/>
      <c r="W497" s="130"/>
      <c r="Y497" s="106"/>
    </row>
    <row r="498">
      <c r="C498" s="79"/>
      <c r="D498" s="79"/>
      <c r="J498" s="79"/>
      <c r="O498" s="79"/>
      <c r="P498" s="79"/>
      <c r="S498" s="79"/>
      <c r="T498" s="79"/>
      <c r="W498" s="130"/>
      <c r="Y498" s="106"/>
    </row>
    <row r="499">
      <c r="C499" s="79"/>
      <c r="D499" s="79"/>
      <c r="J499" s="79"/>
      <c r="O499" s="79"/>
      <c r="P499" s="79"/>
      <c r="S499" s="79"/>
      <c r="T499" s="79"/>
      <c r="W499" s="130"/>
      <c r="Y499" s="106"/>
    </row>
    <row r="500">
      <c r="C500" s="79"/>
      <c r="D500" s="79"/>
      <c r="J500" s="79"/>
      <c r="O500" s="79"/>
      <c r="P500" s="79"/>
      <c r="S500" s="79"/>
      <c r="T500" s="79"/>
      <c r="W500" s="130"/>
      <c r="Y500" s="106"/>
    </row>
    <row r="501">
      <c r="C501" s="79"/>
      <c r="D501" s="79"/>
      <c r="J501" s="79"/>
      <c r="O501" s="79"/>
      <c r="P501" s="79"/>
      <c r="S501" s="79"/>
      <c r="T501" s="79"/>
      <c r="W501" s="130"/>
      <c r="Y501" s="106"/>
    </row>
    <row r="502">
      <c r="C502" s="79"/>
      <c r="D502" s="79"/>
      <c r="J502" s="79"/>
      <c r="O502" s="79"/>
      <c r="P502" s="79"/>
      <c r="S502" s="79"/>
      <c r="T502" s="79"/>
      <c r="W502" s="130"/>
      <c r="Y502" s="106"/>
    </row>
    <row r="503">
      <c r="C503" s="79"/>
      <c r="D503" s="79"/>
      <c r="J503" s="79"/>
      <c r="O503" s="79"/>
      <c r="P503" s="79"/>
      <c r="S503" s="79"/>
      <c r="T503" s="79"/>
      <c r="W503" s="130"/>
      <c r="Y503" s="106"/>
    </row>
    <row r="504">
      <c r="C504" s="79"/>
      <c r="D504" s="79"/>
      <c r="J504" s="79"/>
      <c r="O504" s="79"/>
      <c r="P504" s="79"/>
      <c r="S504" s="79"/>
      <c r="T504" s="79"/>
      <c r="W504" s="130"/>
      <c r="Y504" s="106"/>
    </row>
    <row r="505">
      <c r="C505" s="79"/>
      <c r="D505" s="79"/>
      <c r="J505" s="79"/>
      <c r="O505" s="79"/>
      <c r="P505" s="79"/>
      <c r="S505" s="79"/>
      <c r="T505" s="79"/>
      <c r="W505" s="130"/>
      <c r="Y505" s="106"/>
    </row>
    <row r="506">
      <c r="C506" s="79"/>
      <c r="D506" s="79"/>
      <c r="J506" s="79"/>
      <c r="O506" s="79"/>
      <c r="P506" s="79"/>
      <c r="S506" s="79"/>
      <c r="T506" s="79"/>
      <c r="W506" s="130"/>
      <c r="Y506" s="106"/>
    </row>
    <row r="507">
      <c r="C507" s="79"/>
      <c r="D507" s="79"/>
      <c r="J507" s="79"/>
      <c r="O507" s="79"/>
      <c r="P507" s="79"/>
      <c r="S507" s="79"/>
      <c r="T507" s="79"/>
      <c r="W507" s="130"/>
      <c r="Y507" s="106"/>
    </row>
    <row r="508">
      <c r="C508" s="79"/>
      <c r="D508" s="79"/>
      <c r="J508" s="79"/>
      <c r="O508" s="79"/>
      <c r="P508" s="79"/>
      <c r="S508" s="79"/>
      <c r="T508" s="79"/>
      <c r="W508" s="130"/>
      <c r="Y508" s="106"/>
    </row>
    <row r="509">
      <c r="C509" s="79"/>
      <c r="D509" s="79"/>
      <c r="J509" s="79"/>
      <c r="O509" s="79"/>
      <c r="P509" s="79"/>
      <c r="S509" s="79"/>
      <c r="T509" s="79"/>
      <c r="W509" s="130"/>
      <c r="Y509" s="106"/>
    </row>
    <row r="510">
      <c r="C510" s="79"/>
      <c r="D510" s="79"/>
      <c r="J510" s="79"/>
      <c r="O510" s="79"/>
      <c r="P510" s="79"/>
      <c r="S510" s="79"/>
      <c r="T510" s="79"/>
      <c r="W510" s="130"/>
      <c r="Y510" s="106"/>
    </row>
    <row r="511">
      <c r="C511" s="79"/>
      <c r="D511" s="79"/>
      <c r="J511" s="79"/>
      <c r="O511" s="79"/>
      <c r="P511" s="79"/>
      <c r="S511" s="79"/>
      <c r="T511" s="79"/>
      <c r="W511" s="130"/>
      <c r="Y511" s="106"/>
    </row>
    <row r="512">
      <c r="C512" s="79"/>
      <c r="D512" s="79"/>
      <c r="J512" s="79"/>
      <c r="O512" s="79"/>
      <c r="P512" s="79"/>
      <c r="S512" s="79"/>
      <c r="T512" s="79"/>
      <c r="W512" s="130"/>
      <c r="Y512" s="106"/>
    </row>
    <row r="513">
      <c r="C513" s="79"/>
      <c r="D513" s="79"/>
      <c r="J513" s="79"/>
      <c r="O513" s="79"/>
      <c r="P513" s="79"/>
      <c r="S513" s="79"/>
      <c r="T513" s="79"/>
      <c r="W513" s="130"/>
      <c r="Y513" s="106"/>
    </row>
    <row r="514">
      <c r="C514" s="79"/>
      <c r="D514" s="79"/>
      <c r="J514" s="79"/>
      <c r="O514" s="79"/>
      <c r="P514" s="79"/>
      <c r="S514" s="79"/>
      <c r="T514" s="79"/>
      <c r="W514" s="130"/>
      <c r="Y514" s="106"/>
    </row>
    <row r="515">
      <c r="C515" s="79"/>
      <c r="D515" s="79"/>
      <c r="J515" s="79"/>
      <c r="O515" s="79"/>
      <c r="P515" s="79"/>
      <c r="S515" s="79"/>
      <c r="T515" s="79"/>
      <c r="W515" s="130"/>
      <c r="Y515" s="106"/>
    </row>
    <row r="516">
      <c r="C516" s="79"/>
      <c r="D516" s="79"/>
      <c r="J516" s="79"/>
      <c r="O516" s="79"/>
      <c r="P516" s="79"/>
      <c r="S516" s="79"/>
      <c r="T516" s="79"/>
      <c r="W516" s="130"/>
      <c r="Y516" s="106"/>
    </row>
    <row r="517">
      <c r="C517" s="79"/>
      <c r="D517" s="79"/>
      <c r="J517" s="79"/>
      <c r="O517" s="79"/>
      <c r="P517" s="79"/>
      <c r="S517" s="79"/>
      <c r="T517" s="79"/>
      <c r="W517" s="130"/>
      <c r="Y517" s="106"/>
    </row>
    <row r="518">
      <c r="C518" s="79"/>
      <c r="D518" s="79"/>
      <c r="J518" s="79"/>
      <c r="O518" s="79"/>
      <c r="P518" s="79"/>
      <c r="S518" s="79"/>
      <c r="T518" s="79"/>
      <c r="W518" s="130"/>
      <c r="Y518" s="106"/>
    </row>
    <row r="519">
      <c r="C519" s="79"/>
      <c r="D519" s="79"/>
      <c r="J519" s="79"/>
      <c r="O519" s="79"/>
      <c r="P519" s="79"/>
      <c r="S519" s="79"/>
      <c r="T519" s="79"/>
      <c r="W519" s="130"/>
      <c r="Y519" s="106"/>
    </row>
    <row r="520">
      <c r="C520" s="79"/>
      <c r="D520" s="79"/>
      <c r="J520" s="79"/>
      <c r="O520" s="79"/>
      <c r="P520" s="79"/>
      <c r="S520" s="79"/>
      <c r="T520" s="79"/>
      <c r="W520" s="130"/>
      <c r="Y520" s="106"/>
    </row>
    <row r="521">
      <c r="C521" s="79"/>
      <c r="D521" s="79"/>
      <c r="J521" s="79"/>
      <c r="O521" s="79"/>
      <c r="P521" s="79"/>
      <c r="S521" s="79"/>
      <c r="T521" s="79"/>
      <c r="W521" s="130"/>
      <c r="Y521" s="106"/>
    </row>
    <row r="522">
      <c r="C522" s="79"/>
      <c r="D522" s="79"/>
      <c r="J522" s="79"/>
      <c r="O522" s="79"/>
      <c r="P522" s="79"/>
      <c r="S522" s="79"/>
      <c r="T522" s="79"/>
      <c r="W522" s="130"/>
      <c r="Y522" s="106"/>
    </row>
    <row r="523">
      <c r="C523" s="79"/>
      <c r="D523" s="79"/>
      <c r="J523" s="79"/>
      <c r="O523" s="79"/>
      <c r="P523" s="79"/>
      <c r="S523" s="79"/>
      <c r="T523" s="79"/>
      <c r="W523" s="130"/>
      <c r="Y523" s="106"/>
    </row>
    <row r="524">
      <c r="C524" s="79"/>
      <c r="D524" s="79"/>
      <c r="J524" s="79"/>
      <c r="O524" s="79"/>
      <c r="P524" s="79"/>
      <c r="S524" s="79"/>
      <c r="T524" s="79"/>
      <c r="W524" s="130"/>
      <c r="Y524" s="106"/>
    </row>
    <row r="525">
      <c r="C525" s="79"/>
      <c r="D525" s="79"/>
      <c r="J525" s="79"/>
      <c r="O525" s="79"/>
      <c r="P525" s="79"/>
      <c r="S525" s="79"/>
      <c r="T525" s="79"/>
      <c r="W525" s="130"/>
      <c r="Y525" s="106"/>
    </row>
    <row r="526">
      <c r="C526" s="79"/>
      <c r="D526" s="79"/>
      <c r="J526" s="79"/>
      <c r="O526" s="79"/>
      <c r="P526" s="79"/>
      <c r="S526" s="79"/>
      <c r="T526" s="79"/>
      <c r="W526" s="130"/>
      <c r="Y526" s="106"/>
    </row>
    <row r="527">
      <c r="C527" s="79"/>
      <c r="D527" s="79"/>
      <c r="J527" s="79"/>
      <c r="O527" s="79"/>
      <c r="P527" s="79"/>
      <c r="S527" s="79"/>
      <c r="T527" s="79"/>
      <c r="W527" s="130"/>
      <c r="Y527" s="106"/>
    </row>
    <row r="528">
      <c r="C528" s="79"/>
      <c r="D528" s="79"/>
      <c r="J528" s="79"/>
      <c r="O528" s="79"/>
      <c r="P528" s="79"/>
      <c r="S528" s="79"/>
      <c r="T528" s="79"/>
      <c r="W528" s="130"/>
      <c r="Y528" s="106"/>
    </row>
    <row r="529">
      <c r="C529" s="79"/>
      <c r="D529" s="79"/>
      <c r="J529" s="79"/>
      <c r="O529" s="79"/>
      <c r="P529" s="79"/>
      <c r="S529" s="79"/>
      <c r="T529" s="79"/>
      <c r="W529" s="130"/>
      <c r="Y529" s="106"/>
    </row>
    <row r="530">
      <c r="C530" s="79"/>
      <c r="D530" s="79"/>
      <c r="J530" s="79"/>
      <c r="O530" s="79"/>
      <c r="P530" s="79"/>
      <c r="S530" s="79"/>
      <c r="T530" s="79"/>
      <c r="W530" s="130"/>
      <c r="Y530" s="106"/>
    </row>
    <row r="531">
      <c r="C531" s="79"/>
      <c r="D531" s="79"/>
      <c r="J531" s="79"/>
      <c r="O531" s="79"/>
      <c r="P531" s="79"/>
      <c r="S531" s="79"/>
      <c r="T531" s="79"/>
      <c r="W531" s="130"/>
      <c r="Y531" s="106"/>
    </row>
    <row r="532">
      <c r="C532" s="79"/>
      <c r="D532" s="79"/>
      <c r="J532" s="79"/>
      <c r="O532" s="79"/>
      <c r="P532" s="79"/>
      <c r="S532" s="79"/>
      <c r="T532" s="79"/>
      <c r="W532" s="130"/>
      <c r="Y532" s="106"/>
    </row>
    <row r="533">
      <c r="C533" s="79"/>
      <c r="D533" s="79"/>
      <c r="J533" s="79"/>
      <c r="O533" s="79"/>
      <c r="P533" s="79"/>
      <c r="S533" s="79"/>
      <c r="T533" s="79"/>
      <c r="W533" s="130"/>
      <c r="Y533" s="106"/>
    </row>
    <row r="534">
      <c r="C534" s="79"/>
      <c r="D534" s="79"/>
      <c r="J534" s="79"/>
      <c r="O534" s="79"/>
      <c r="P534" s="79"/>
      <c r="S534" s="79"/>
      <c r="T534" s="79"/>
      <c r="W534" s="130"/>
      <c r="Y534" s="106"/>
    </row>
    <row r="535">
      <c r="C535" s="79"/>
      <c r="D535" s="79"/>
      <c r="J535" s="79"/>
      <c r="O535" s="79"/>
      <c r="P535" s="79"/>
      <c r="S535" s="79"/>
      <c r="T535" s="79"/>
      <c r="W535" s="130"/>
      <c r="Y535" s="106"/>
    </row>
    <row r="536">
      <c r="C536" s="79"/>
      <c r="D536" s="79"/>
      <c r="J536" s="79"/>
      <c r="O536" s="79"/>
      <c r="P536" s="79"/>
      <c r="S536" s="79"/>
      <c r="T536" s="79"/>
      <c r="W536" s="130"/>
      <c r="Y536" s="106"/>
    </row>
    <row r="537">
      <c r="C537" s="79"/>
      <c r="D537" s="79"/>
      <c r="J537" s="79"/>
      <c r="O537" s="79"/>
      <c r="P537" s="79"/>
      <c r="S537" s="79"/>
      <c r="T537" s="79"/>
      <c r="W537" s="130"/>
      <c r="Y537" s="106"/>
    </row>
    <row r="538">
      <c r="C538" s="79"/>
      <c r="D538" s="79"/>
      <c r="J538" s="79"/>
      <c r="O538" s="79"/>
      <c r="P538" s="79"/>
      <c r="S538" s="79"/>
      <c r="T538" s="79"/>
      <c r="W538" s="130"/>
      <c r="Y538" s="106"/>
    </row>
    <row r="539">
      <c r="C539" s="79"/>
      <c r="D539" s="79"/>
      <c r="J539" s="79"/>
      <c r="O539" s="79"/>
      <c r="P539" s="79"/>
      <c r="S539" s="79"/>
      <c r="T539" s="79"/>
      <c r="W539" s="130"/>
      <c r="Y539" s="106"/>
    </row>
    <row r="540">
      <c r="C540" s="79"/>
      <c r="D540" s="79"/>
      <c r="J540" s="79"/>
      <c r="O540" s="79"/>
      <c r="P540" s="79"/>
      <c r="S540" s="79"/>
      <c r="T540" s="79"/>
      <c r="W540" s="130"/>
      <c r="Y540" s="106"/>
    </row>
    <row r="541">
      <c r="C541" s="79"/>
      <c r="D541" s="79"/>
      <c r="J541" s="79"/>
      <c r="O541" s="79"/>
      <c r="P541" s="79"/>
      <c r="S541" s="79"/>
      <c r="T541" s="79"/>
      <c r="W541" s="130"/>
      <c r="Y541" s="106"/>
    </row>
    <row r="542">
      <c r="C542" s="79"/>
      <c r="D542" s="79"/>
      <c r="J542" s="79"/>
      <c r="O542" s="79"/>
      <c r="P542" s="79"/>
      <c r="S542" s="79"/>
      <c r="T542" s="79"/>
      <c r="W542" s="130"/>
      <c r="Y542" s="106"/>
    </row>
    <row r="543">
      <c r="C543" s="79"/>
      <c r="D543" s="79"/>
      <c r="J543" s="79"/>
      <c r="O543" s="79"/>
      <c r="P543" s="79"/>
      <c r="S543" s="79"/>
      <c r="T543" s="79"/>
      <c r="W543" s="130"/>
      <c r="Y543" s="106"/>
    </row>
    <row r="544">
      <c r="C544" s="79"/>
      <c r="D544" s="79"/>
      <c r="J544" s="79"/>
      <c r="O544" s="79"/>
      <c r="P544" s="79"/>
      <c r="S544" s="79"/>
      <c r="T544" s="79"/>
      <c r="W544" s="130"/>
      <c r="Y544" s="106"/>
    </row>
    <row r="545">
      <c r="C545" s="79"/>
      <c r="D545" s="79"/>
      <c r="J545" s="79"/>
      <c r="O545" s="79"/>
      <c r="P545" s="79"/>
      <c r="S545" s="79"/>
      <c r="T545" s="79"/>
      <c r="W545" s="130"/>
      <c r="Y545" s="106"/>
    </row>
    <row r="546">
      <c r="C546" s="79"/>
      <c r="D546" s="79"/>
      <c r="J546" s="79"/>
      <c r="O546" s="79"/>
      <c r="P546" s="79"/>
      <c r="S546" s="79"/>
      <c r="T546" s="79"/>
      <c r="W546" s="130"/>
      <c r="Y546" s="106"/>
    </row>
    <row r="547">
      <c r="C547" s="79"/>
      <c r="D547" s="79"/>
      <c r="J547" s="79"/>
      <c r="O547" s="79"/>
      <c r="P547" s="79"/>
      <c r="S547" s="79"/>
      <c r="T547" s="79"/>
      <c r="W547" s="130"/>
      <c r="Y547" s="106"/>
    </row>
    <row r="548">
      <c r="C548" s="79"/>
      <c r="D548" s="79"/>
      <c r="J548" s="79"/>
      <c r="O548" s="79"/>
      <c r="P548" s="79"/>
      <c r="S548" s="79"/>
      <c r="T548" s="79"/>
      <c r="W548" s="130"/>
      <c r="Y548" s="106"/>
    </row>
    <row r="549">
      <c r="C549" s="79"/>
      <c r="D549" s="79"/>
      <c r="J549" s="79"/>
      <c r="O549" s="79"/>
      <c r="P549" s="79"/>
      <c r="S549" s="79"/>
      <c r="T549" s="79"/>
      <c r="W549" s="130"/>
      <c r="Y549" s="106"/>
    </row>
    <row r="550">
      <c r="C550" s="79"/>
      <c r="D550" s="79"/>
      <c r="J550" s="79"/>
      <c r="O550" s="79"/>
      <c r="P550" s="79"/>
      <c r="S550" s="79"/>
      <c r="T550" s="79"/>
      <c r="W550" s="130"/>
      <c r="Y550" s="106"/>
    </row>
    <row r="551">
      <c r="C551" s="79"/>
      <c r="D551" s="79"/>
      <c r="J551" s="79"/>
      <c r="O551" s="79"/>
      <c r="P551" s="79"/>
      <c r="S551" s="79"/>
      <c r="T551" s="79"/>
      <c r="W551" s="130"/>
      <c r="Y551" s="106"/>
    </row>
    <row r="552">
      <c r="C552" s="79"/>
      <c r="D552" s="79"/>
      <c r="J552" s="79"/>
      <c r="O552" s="79"/>
      <c r="P552" s="79"/>
      <c r="S552" s="79"/>
      <c r="T552" s="79"/>
      <c r="W552" s="130"/>
      <c r="Y552" s="106"/>
    </row>
    <row r="553">
      <c r="C553" s="79"/>
      <c r="D553" s="79"/>
      <c r="J553" s="79"/>
      <c r="O553" s="79"/>
      <c r="P553" s="79"/>
      <c r="S553" s="79"/>
      <c r="T553" s="79"/>
      <c r="W553" s="130"/>
      <c r="Y553" s="106"/>
    </row>
    <row r="554">
      <c r="C554" s="79"/>
      <c r="D554" s="79"/>
      <c r="J554" s="79"/>
      <c r="O554" s="79"/>
      <c r="P554" s="79"/>
      <c r="S554" s="79"/>
      <c r="T554" s="79"/>
      <c r="W554" s="130"/>
      <c r="Y554" s="106"/>
    </row>
    <row r="555">
      <c r="C555" s="79"/>
      <c r="D555" s="79"/>
      <c r="J555" s="79"/>
      <c r="O555" s="79"/>
      <c r="P555" s="79"/>
      <c r="S555" s="79"/>
      <c r="T555" s="79"/>
      <c r="W555" s="130"/>
      <c r="Y555" s="106"/>
    </row>
    <row r="556">
      <c r="C556" s="79"/>
      <c r="D556" s="79"/>
      <c r="J556" s="79"/>
      <c r="O556" s="79"/>
      <c r="P556" s="79"/>
      <c r="S556" s="79"/>
      <c r="T556" s="79"/>
      <c r="W556" s="130"/>
      <c r="Y556" s="106"/>
    </row>
    <row r="557">
      <c r="C557" s="79"/>
      <c r="D557" s="79"/>
      <c r="J557" s="79"/>
      <c r="O557" s="79"/>
      <c r="P557" s="79"/>
      <c r="S557" s="79"/>
      <c r="T557" s="79"/>
      <c r="W557" s="130"/>
      <c r="Y557" s="106"/>
    </row>
    <row r="558">
      <c r="C558" s="79"/>
      <c r="D558" s="79"/>
      <c r="J558" s="79"/>
      <c r="O558" s="79"/>
      <c r="P558" s="79"/>
      <c r="S558" s="79"/>
      <c r="T558" s="79"/>
      <c r="W558" s="130"/>
      <c r="Y558" s="106"/>
    </row>
    <row r="559">
      <c r="C559" s="79"/>
      <c r="D559" s="79"/>
      <c r="J559" s="79"/>
      <c r="O559" s="79"/>
      <c r="P559" s="79"/>
      <c r="S559" s="79"/>
      <c r="T559" s="79"/>
      <c r="W559" s="130"/>
      <c r="Y559" s="106"/>
    </row>
    <row r="560">
      <c r="C560" s="79"/>
      <c r="D560" s="79"/>
      <c r="J560" s="79"/>
      <c r="O560" s="79"/>
      <c r="P560" s="79"/>
      <c r="S560" s="79"/>
      <c r="T560" s="79"/>
      <c r="W560" s="130"/>
      <c r="Y560" s="106"/>
    </row>
    <row r="561">
      <c r="C561" s="79"/>
      <c r="D561" s="79"/>
      <c r="J561" s="79"/>
      <c r="O561" s="79"/>
      <c r="P561" s="79"/>
      <c r="S561" s="79"/>
      <c r="T561" s="79"/>
      <c r="W561" s="130"/>
      <c r="Y561" s="106"/>
    </row>
    <row r="562">
      <c r="C562" s="79"/>
      <c r="D562" s="79"/>
      <c r="J562" s="79"/>
      <c r="O562" s="79"/>
      <c r="P562" s="79"/>
      <c r="S562" s="79"/>
      <c r="T562" s="79"/>
      <c r="W562" s="130"/>
      <c r="Y562" s="106"/>
    </row>
    <row r="563">
      <c r="C563" s="79"/>
      <c r="D563" s="79"/>
      <c r="J563" s="79"/>
      <c r="O563" s="79"/>
      <c r="P563" s="79"/>
      <c r="S563" s="79"/>
      <c r="T563" s="79"/>
      <c r="W563" s="130"/>
      <c r="Y563" s="106"/>
    </row>
    <row r="564">
      <c r="C564" s="79"/>
      <c r="D564" s="79"/>
      <c r="J564" s="79"/>
      <c r="O564" s="79"/>
      <c r="P564" s="79"/>
      <c r="S564" s="79"/>
      <c r="T564" s="79"/>
      <c r="W564" s="130"/>
      <c r="Y564" s="106"/>
    </row>
    <row r="565">
      <c r="C565" s="79"/>
      <c r="D565" s="79"/>
      <c r="J565" s="79"/>
      <c r="O565" s="79"/>
      <c r="P565" s="79"/>
      <c r="S565" s="79"/>
      <c r="T565" s="79"/>
      <c r="W565" s="130"/>
      <c r="Y565" s="106"/>
    </row>
    <row r="566">
      <c r="C566" s="79"/>
      <c r="D566" s="79"/>
      <c r="J566" s="79"/>
      <c r="O566" s="79"/>
      <c r="P566" s="79"/>
      <c r="S566" s="79"/>
      <c r="T566" s="79"/>
      <c r="W566" s="130"/>
      <c r="Y566" s="106"/>
    </row>
    <row r="567">
      <c r="C567" s="79"/>
      <c r="D567" s="79"/>
      <c r="J567" s="79"/>
      <c r="O567" s="79"/>
      <c r="P567" s="79"/>
      <c r="S567" s="79"/>
      <c r="T567" s="79"/>
      <c r="W567" s="130"/>
      <c r="Y567" s="106"/>
    </row>
    <row r="568">
      <c r="C568" s="79"/>
      <c r="D568" s="79"/>
      <c r="J568" s="79"/>
      <c r="O568" s="79"/>
      <c r="P568" s="79"/>
      <c r="S568" s="79"/>
      <c r="T568" s="79"/>
      <c r="W568" s="130"/>
      <c r="Y568" s="106"/>
    </row>
    <row r="569">
      <c r="C569" s="79"/>
      <c r="D569" s="79"/>
      <c r="J569" s="79"/>
      <c r="O569" s="79"/>
      <c r="P569" s="79"/>
      <c r="S569" s="79"/>
      <c r="T569" s="79"/>
      <c r="W569" s="130"/>
      <c r="Y569" s="106"/>
    </row>
    <row r="570">
      <c r="C570" s="79"/>
      <c r="D570" s="79"/>
      <c r="J570" s="79"/>
      <c r="O570" s="79"/>
      <c r="P570" s="79"/>
      <c r="S570" s="79"/>
      <c r="T570" s="79"/>
      <c r="W570" s="130"/>
      <c r="Y570" s="106"/>
    </row>
    <row r="571">
      <c r="C571" s="79"/>
      <c r="D571" s="79"/>
      <c r="J571" s="79"/>
      <c r="O571" s="79"/>
      <c r="P571" s="79"/>
      <c r="S571" s="79"/>
      <c r="T571" s="79"/>
      <c r="W571" s="130"/>
      <c r="Y571" s="106"/>
    </row>
    <row r="572">
      <c r="C572" s="79"/>
      <c r="D572" s="79"/>
      <c r="J572" s="79"/>
      <c r="O572" s="79"/>
      <c r="P572" s="79"/>
      <c r="S572" s="79"/>
      <c r="T572" s="79"/>
      <c r="W572" s="130"/>
      <c r="Y572" s="106"/>
    </row>
    <row r="573">
      <c r="C573" s="79"/>
      <c r="D573" s="79"/>
      <c r="J573" s="79"/>
      <c r="O573" s="79"/>
      <c r="P573" s="79"/>
      <c r="S573" s="79"/>
      <c r="T573" s="79"/>
      <c r="W573" s="130"/>
      <c r="Y573" s="106"/>
    </row>
    <row r="574">
      <c r="C574" s="79"/>
      <c r="D574" s="79"/>
      <c r="J574" s="79"/>
      <c r="O574" s="79"/>
      <c r="P574" s="79"/>
      <c r="S574" s="79"/>
      <c r="T574" s="79"/>
      <c r="W574" s="130"/>
      <c r="Y574" s="106"/>
    </row>
    <row r="575">
      <c r="C575" s="79"/>
      <c r="D575" s="79"/>
      <c r="J575" s="79"/>
      <c r="O575" s="79"/>
      <c r="P575" s="79"/>
      <c r="S575" s="79"/>
      <c r="T575" s="79"/>
      <c r="W575" s="130"/>
      <c r="Y575" s="106"/>
    </row>
    <row r="576">
      <c r="C576" s="79"/>
      <c r="D576" s="79"/>
      <c r="J576" s="79"/>
      <c r="O576" s="79"/>
      <c r="P576" s="79"/>
      <c r="S576" s="79"/>
      <c r="T576" s="79"/>
      <c r="W576" s="130"/>
      <c r="Y576" s="106"/>
    </row>
    <row r="577">
      <c r="C577" s="79"/>
      <c r="D577" s="79"/>
      <c r="J577" s="79"/>
      <c r="O577" s="79"/>
      <c r="P577" s="79"/>
      <c r="S577" s="79"/>
      <c r="T577" s="79"/>
      <c r="W577" s="130"/>
      <c r="Y577" s="106"/>
    </row>
    <row r="578">
      <c r="C578" s="79"/>
      <c r="D578" s="79"/>
      <c r="J578" s="79"/>
      <c r="O578" s="79"/>
      <c r="P578" s="79"/>
      <c r="S578" s="79"/>
      <c r="T578" s="79"/>
      <c r="W578" s="130"/>
      <c r="Y578" s="106"/>
    </row>
    <row r="579">
      <c r="C579" s="79"/>
      <c r="D579" s="79"/>
      <c r="J579" s="79"/>
      <c r="O579" s="79"/>
      <c r="P579" s="79"/>
      <c r="S579" s="79"/>
      <c r="T579" s="79"/>
      <c r="W579" s="130"/>
      <c r="Y579" s="106"/>
    </row>
    <row r="580">
      <c r="C580" s="79"/>
      <c r="D580" s="79"/>
      <c r="J580" s="79"/>
      <c r="O580" s="79"/>
      <c r="P580" s="79"/>
      <c r="S580" s="79"/>
      <c r="T580" s="79"/>
      <c r="W580" s="130"/>
      <c r="Y580" s="106"/>
    </row>
    <row r="581">
      <c r="C581" s="79"/>
      <c r="D581" s="79"/>
      <c r="J581" s="79"/>
      <c r="O581" s="79"/>
      <c r="P581" s="79"/>
      <c r="S581" s="79"/>
      <c r="T581" s="79"/>
      <c r="W581" s="130"/>
      <c r="Y581" s="106"/>
    </row>
    <row r="582">
      <c r="C582" s="79"/>
      <c r="D582" s="79"/>
      <c r="J582" s="79"/>
      <c r="O582" s="79"/>
      <c r="P582" s="79"/>
      <c r="S582" s="79"/>
      <c r="T582" s="79"/>
      <c r="W582" s="130"/>
      <c r="Y582" s="106"/>
    </row>
    <row r="583">
      <c r="C583" s="79"/>
      <c r="D583" s="79"/>
      <c r="J583" s="79"/>
      <c r="O583" s="79"/>
      <c r="P583" s="79"/>
      <c r="S583" s="79"/>
      <c r="T583" s="79"/>
      <c r="W583" s="130"/>
      <c r="Y583" s="106"/>
    </row>
    <row r="584">
      <c r="C584" s="79"/>
      <c r="D584" s="79"/>
      <c r="J584" s="79"/>
      <c r="O584" s="79"/>
      <c r="P584" s="79"/>
      <c r="S584" s="79"/>
      <c r="T584" s="79"/>
      <c r="W584" s="130"/>
      <c r="Y584" s="106"/>
    </row>
    <row r="585">
      <c r="C585" s="79"/>
      <c r="D585" s="79"/>
      <c r="J585" s="79"/>
      <c r="O585" s="79"/>
      <c r="P585" s="79"/>
      <c r="S585" s="79"/>
      <c r="T585" s="79"/>
      <c r="W585" s="130"/>
      <c r="Y585" s="106"/>
    </row>
    <row r="586">
      <c r="C586" s="79"/>
      <c r="D586" s="79"/>
      <c r="J586" s="79"/>
      <c r="O586" s="79"/>
      <c r="P586" s="79"/>
      <c r="S586" s="79"/>
      <c r="T586" s="79"/>
      <c r="W586" s="130"/>
      <c r="Y586" s="106"/>
    </row>
    <row r="587">
      <c r="C587" s="79"/>
      <c r="D587" s="79"/>
      <c r="J587" s="79"/>
      <c r="O587" s="79"/>
      <c r="P587" s="79"/>
      <c r="S587" s="79"/>
      <c r="T587" s="79"/>
      <c r="W587" s="130"/>
      <c r="Y587" s="106"/>
    </row>
    <row r="588">
      <c r="C588" s="79"/>
      <c r="D588" s="79"/>
      <c r="J588" s="79"/>
      <c r="O588" s="79"/>
      <c r="P588" s="79"/>
      <c r="S588" s="79"/>
      <c r="T588" s="79"/>
      <c r="W588" s="130"/>
      <c r="Y588" s="106"/>
    </row>
    <row r="589">
      <c r="C589" s="79"/>
      <c r="D589" s="79"/>
      <c r="J589" s="79"/>
      <c r="O589" s="79"/>
      <c r="P589" s="79"/>
      <c r="S589" s="79"/>
      <c r="T589" s="79"/>
      <c r="W589" s="130"/>
      <c r="Y589" s="106"/>
    </row>
    <row r="590">
      <c r="C590" s="79"/>
      <c r="D590" s="79"/>
      <c r="J590" s="79"/>
      <c r="O590" s="79"/>
      <c r="P590" s="79"/>
      <c r="S590" s="79"/>
      <c r="T590" s="79"/>
      <c r="W590" s="130"/>
      <c r="Y590" s="106"/>
    </row>
    <row r="591">
      <c r="C591" s="79"/>
      <c r="D591" s="79"/>
      <c r="J591" s="79"/>
      <c r="O591" s="79"/>
      <c r="P591" s="79"/>
      <c r="S591" s="79"/>
      <c r="T591" s="79"/>
      <c r="W591" s="130"/>
      <c r="Y591" s="106"/>
    </row>
    <row r="592">
      <c r="C592" s="79"/>
      <c r="D592" s="79"/>
      <c r="J592" s="79"/>
      <c r="O592" s="79"/>
      <c r="P592" s="79"/>
      <c r="S592" s="79"/>
      <c r="T592" s="79"/>
      <c r="W592" s="130"/>
      <c r="Y592" s="106"/>
    </row>
    <row r="593">
      <c r="C593" s="79"/>
      <c r="D593" s="79"/>
      <c r="J593" s="79"/>
      <c r="O593" s="79"/>
      <c r="P593" s="79"/>
      <c r="S593" s="79"/>
      <c r="T593" s="79"/>
      <c r="W593" s="130"/>
      <c r="Y593" s="106"/>
    </row>
    <row r="594">
      <c r="C594" s="79"/>
      <c r="D594" s="79"/>
      <c r="J594" s="79"/>
      <c r="O594" s="79"/>
      <c r="P594" s="79"/>
      <c r="S594" s="79"/>
      <c r="T594" s="79"/>
      <c r="W594" s="130"/>
      <c r="Y594" s="106"/>
    </row>
    <row r="595">
      <c r="C595" s="79"/>
      <c r="D595" s="79"/>
      <c r="J595" s="79"/>
      <c r="O595" s="79"/>
      <c r="P595" s="79"/>
      <c r="S595" s="79"/>
      <c r="T595" s="79"/>
      <c r="W595" s="130"/>
      <c r="Y595" s="106"/>
    </row>
    <row r="596">
      <c r="C596" s="79"/>
      <c r="D596" s="79"/>
      <c r="J596" s="79"/>
      <c r="O596" s="79"/>
      <c r="P596" s="79"/>
      <c r="S596" s="79"/>
      <c r="T596" s="79"/>
      <c r="W596" s="130"/>
      <c r="Y596" s="106"/>
    </row>
    <row r="597">
      <c r="C597" s="79"/>
      <c r="D597" s="79"/>
      <c r="J597" s="79"/>
      <c r="O597" s="79"/>
      <c r="P597" s="79"/>
      <c r="S597" s="79"/>
      <c r="T597" s="79"/>
      <c r="W597" s="130"/>
      <c r="Y597" s="106"/>
    </row>
    <row r="598">
      <c r="C598" s="79"/>
      <c r="D598" s="79"/>
      <c r="J598" s="79"/>
      <c r="O598" s="79"/>
      <c r="P598" s="79"/>
      <c r="S598" s="79"/>
      <c r="T598" s="79"/>
      <c r="W598" s="130"/>
      <c r="Y598" s="106"/>
    </row>
    <row r="599">
      <c r="C599" s="79"/>
      <c r="D599" s="79"/>
      <c r="J599" s="79"/>
      <c r="O599" s="79"/>
      <c r="P599" s="79"/>
      <c r="S599" s="79"/>
      <c r="T599" s="79"/>
      <c r="W599" s="130"/>
      <c r="Y599" s="106"/>
    </row>
    <row r="600">
      <c r="C600" s="79"/>
      <c r="D600" s="79"/>
      <c r="J600" s="79"/>
      <c r="O600" s="79"/>
      <c r="P600" s="79"/>
      <c r="S600" s="79"/>
      <c r="T600" s="79"/>
      <c r="W600" s="130"/>
      <c r="Y600" s="106"/>
    </row>
    <row r="601">
      <c r="C601" s="79"/>
      <c r="D601" s="79"/>
      <c r="J601" s="79"/>
      <c r="O601" s="79"/>
      <c r="P601" s="79"/>
      <c r="S601" s="79"/>
      <c r="T601" s="79"/>
      <c r="W601" s="130"/>
      <c r="Y601" s="106"/>
    </row>
    <row r="602">
      <c r="C602" s="79"/>
      <c r="D602" s="79"/>
      <c r="J602" s="79"/>
      <c r="O602" s="79"/>
      <c r="P602" s="79"/>
      <c r="S602" s="79"/>
      <c r="T602" s="79"/>
      <c r="W602" s="130"/>
      <c r="Y602" s="106"/>
    </row>
    <row r="603">
      <c r="C603" s="79"/>
      <c r="D603" s="79"/>
      <c r="J603" s="79"/>
      <c r="O603" s="79"/>
      <c r="P603" s="79"/>
      <c r="S603" s="79"/>
      <c r="T603" s="79"/>
      <c r="W603" s="130"/>
      <c r="Y603" s="106"/>
    </row>
    <row r="604">
      <c r="C604" s="79"/>
      <c r="D604" s="79"/>
      <c r="J604" s="79"/>
      <c r="O604" s="79"/>
      <c r="P604" s="79"/>
      <c r="S604" s="79"/>
      <c r="T604" s="79"/>
      <c r="W604" s="130"/>
      <c r="Y604" s="106"/>
    </row>
    <row r="605">
      <c r="C605" s="79"/>
      <c r="D605" s="79"/>
      <c r="J605" s="79"/>
      <c r="O605" s="79"/>
      <c r="P605" s="79"/>
      <c r="S605" s="79"/>
      <c r="T605" s="79"/>
      <c r="W605" s="130"/>
      <c r="Y605" s="106"/>
    </row>
    <row r="606">
      <c r="C606" s="79"/>
      <c r="D606" s="79"/>
      <c r="J606" s="79"/>
      <c r="O606" s="79"/>
      <c r="P606" s="79"/>
      <c r="S606" s="79"/>
      <c r="T606" s="79"/>
      <c r="W606" s="130"/>
      <c r="Y606" s="106"/>
    </row>
    <row r="607">
      <c r="C607" s="79"/>
      <c r="D607" s="79"/>
      <c r="J607" s="79"/>
      <c r="O607" s="79"/>
      <c r="P607" s="79"/>
      <c r="S607" s="79"/>
      <c r="T607" s="79"/>
      <c r="W607" s="130"/>
      <c r="Y607" s="106"/>
    </row>
    <row r="608">
      <c r="C608" s="79"/>
      <c r="D608" s="79"/>
      <c r="J608" s="79"/>
      <c r="O608" s="79"/>
      <c r="P608" s="79"/>
      <c r="S608" s="79"/>
      <c r="T608" s="79"/>
      <c r="W608" s="130"/>
      <c r="Y608" s="106"/>
    </row>
    <row r="609">
      <c r="C609" s="79"/>
      <c r="D609" s="79"/>
      <c r="J609" s="79"/>
      <c r="O609" s="79"/>
      <c r="P609" s="79"/>
      <c r="S609" s="79"/>
      <c r="T609" s="79"/>
      <c r="W609" s="130"/>
      <c r="Y609" s="106"/>
    </row>
    <row r="610">
      <c r="C610" s="79"/>
      <c r="D610" s="79"/>
      <c r="J610" s="79"/>
      <c r="O610" s="79"/>
      <c r="P610" s="79"/>
      <c r="S610" s="79"/>
      <c r="T610" s="79"/>
      <c r="W610" s="130"/>
      <c r="Y610" s="106"/>
    </row>
    <row r="611">
      <c r="C611" s="79"/>
      <c r="D611" s="79"/>
      <c r="J611" s="79"/>
      <c r="O611" s="79"/>
      <c r="P611" s="79"/>
      <c r="S611" s="79"/>
      <c r="T611" s="79"/>
      <c r="W611" s="130"/>
      <c r="Y611" s="106"/>
    </row>
    <row r="612">
      <c r="C612" s="79"/>
      <c r="D612" s="79"/>
      <c r="J612" s="79"/>
      <c r="O612" s="79"/>
      <c r="P612" s="79"/>
      <c r="S612" s="79"/>
      <c r="T612" s="79"/>
      <c r="W612" s="130"/>
      <c r="Y612" s="106"/>
    </row>
    <row r="613">
      <c r="C613" s="79"/>
      <c r="D613" s="79"/>
      <c r="J613" s="79"/>
      <c r="O613" s="79"/>
      <c r="P613" s="79"/>
      <c r="S613" s="79"/>
      <c r="T613" s="79"/>
      <c r="W613" s="130"/>
      <c r="Y613" s="106"/>
    </row>
    <row r="614">
      <c r="C614" s="79"/>
      <c r="D614" s="79"/>
      <c r="J614" s="79"/>
      <c r="O614" s="79"/>
      <c r="P614" s="79"/>
      <c r="S614" s="79"/>
      <c r="T614" s="79"/>
      <c r="W614" s="130"/>
      <c r="Y614" s="106"/>
    </row>
    <row r="615">
      <c r="C615" s="79"/>
      <c r="D615" s="79"/>
      <c r="J615" s="79"/>
      <c r="O615" s="79"/>
      <c r="P615" s="79"/>
      <c r="S615" s="79"/>
      <c r="T615" s="79"/>
      <c r="W615" s="130"/>
      <c r="Y615" s="106"/>
    </row>
    <row r="616">
      <c r="C616" s="79"/>
      <c r="D616" s="79"/>
      <c r="J616" s="79"/>
      <c r="O616" s="79"/>
      <c r="P616" s="79"/>
      <c r="S616" s="79"/>
      <c r="T616" s="79"/>
      <c r="W616" s="130"/>
      <c r="Y616" s="106"/>
    </row>
    <row r="617">
      <c r="C617" s="79"/>
      <c r="D617" s="79"/>
      <c r="J617" s="79"/>
      <c r="O617" s="79"/>
      <c r="P617" s="79"/>
      <c r="S617" s="79"/>
      <c r="T617" s="79"/>
      <c r="W617" s="130"/>
      <c r="Y617" s="106"/>
    </row>
    <row r="618">
      <c r="C618" s="79"/>
      <c r="D618" s="79"/>
      <c r="J618" s="79"/>
      <c r="O618" s="79"/>
      <c r="P618" s="79"/>
      <c r="S618" s="79"/>
      <c r="T618" s="79"/>
      <c r="W618" s="130"/>
      <c r="Y618" s="106"/>
    </row>
    <row r="619">
      <c r="C619" s="79"/>
      <c r="D619" s="79"/>
      <c r="J619" s="79"/>
      <c r="O619" s="79"/>
      <c r="P619" s="79"/>
      <c r="S619" s="79"/>
      <c r="T619" s="79"/>
      <c r="W619" s="130"/>
      <c r="Y619" s="106"/>
    </row>
    <row r="620">
      <c r="C620" s="79"/>
      <c r="D620" s="79"/>
      <c r="J620" s="79"/>
      <c r="O620" s="79"/>
      <c r="P620" s="79"/>
      <c r="S620" s="79"/>
      <c r="T620" s="79"/>
      <c r="W620" s="130"/>
      <c r="Y620" s="106"/>
    </row>
    <row r="621">
      <c r="C621" s="79"/>
      <c r="D621" s="79"/>
      <c r="J621" s="79"/>
      <c r="O621" s="79"/>
      <c r="P621" s="79"/>
      <c r="S621" s="79"/>
      <c r="T621" s="79"/>
      <c r="W621" s="130"/>
      <c r="Y621" s="106"/>
    </row>
    <row r="622">
      <c r="C622" s="79"/>
      <c r="D622" s="79"/>
      <c r="J622" s="79"/>
      <c r="O622" s="79"/>
      <c r="P622" s="79"/>
      <c r="S622" s="79"/>
      <c r="T622" s="79"/>
      <c r="W622" s="130"/>
      <c r="Y622" s="106"/>
    </row>
    <row r="623">
      <c r="C623" s="79"/>
      <c r="D623" s="79"/>
      <c r="J623" s="79"/>
      <c r="O623" s="79"/>
      <c r="P623" s="79"/>
      <c r="S623" s="79"/>
      <c r="T623" s="79"/>
      <c r="W623" s="130"/>
      <c r="Y623" s="106"/>
    </row>
    <row r="624">
      <c r="C624" s="79"/>
      <c r="D624" s="79"/>
      <c r="J624" s="79"/>
      <c r="O624" s="79"/>
      <c r="P624" s="79"/>
      <c r="S624" s="79"/>
      <c r="T624" s="79"/>
      <c r="W624" s="130"/>
      <c r="Y624" s="106"/>
    </row>
    <row r="625">
      <c r="C625" s="79"/>
      <c r="D625" s="79"/>
      <c r="J625" s="79"/>
      <c r="O625" s="79"/>
      <c r="P625" s="79"/>
      <c r="S625" s="79"/>
      <c r="T625" s="79"/>
      <c r="W625" s="130"/>
      <c r="Y625" s="106"/>
    </row>
    <row r="626">
      <c r="C626" s="79"/>
      <c r="D626" s="79"/>
      <c r="J626" s="79"/>
      <c r="O626" s="79"/>
      <c r="P626" s="79"/>
      <c r="S626" s="79"/>
      <c r="T626" s="79"/>
      <c r="W626" s="130"/>
      <c r="Y626" s="106"/>
    </row>
    <row r="627">
      <c r="C627" s="79"/>
      <c r="D627" s="79"/>
      <c r="J627" s="79"/>
      <c r="O627" s="79"/>
      <c r="P627" s="79"/>
      <c r="S627" s="79"/>
      <c r="T627" s="79"/>
      <c r="W627" s="130"/>
      <c r="Y627" s="106"/>
    </row>
    <row r="628">
      <c r="C628" s="79"/>
      <c r="D628" s="79"/>
      <c r="J628" s="79"/>
      <c r="O628" s="79"/>
      <c r="P628" s="79"/>
      <c r="S628" s="79"/>
      <c r="T628" s="79"/>
      <c r="W628" s="130"/>
      <c r="Y628" s="106"/>
    </row>
    <row r="629">
      <c r="C629" s="79"/>
      <c r="D629" s="79"/>
      <c r="J629" s="79"/>
      <c r="O629" s="79"/>
      <c r="P629" s="79"/>
      <c r="S629" s="79"/>
      <c r="T629" s="79"/>
      <c r="W629" s="130"/>
      <c r="Y629" s="106"/>
    </row>
    <row r="630">
      <c r="C630" s="79"/>
      <c r="D630" s="79"/>
      <c r="J630" s="79"/>
      <c r="O630" s="79"/>
      <c r="P630" s="79"/>
      <c r="S630" s="79"/>
      <c r="T630" s="79"/>
      <c r="W630" s="130"/>
      <c r="Y630" s="106"/>
    </row>
    <row r="631">
      <c r="C631" s="79"/>
      <c r="D631" s="79"/>
      <c r="J631" s="79"/>
      <c r="O631" s="79"/>
      <c r="P631" s="79"/>
      <c r="S631" s="79"/>
      <c r="T631" s="79"/>
      <c r="W631" s="130"/>
      <c r="Y631" s="106"/>
    </row>
    <row r="632">
      <c r="C632" s="79"/>
      <c r="D632" s="79"/>
      <c r="J632" s="79"/>
      <c r="O632" s="79"/>
      <c r="P632" s="79"/>
      <c r="S632" s="79"/>
      <c r="T632" s="79"/>
      <c r="W632" s="130"/>
      <c r="Y632" s="106"/>
    </row>
    <row r="633">
      <c r="C633" s="79"/>
      <c r="D633" s="79"/>
      <c r="J633" s="79"/>
      <c r="O633" s="79"/>
      <c r="P633" s="79"/>
      <c r="S633" s="79"/>
      <c r="T633" s="79"/>
      <c r="W633" s="130"/>
      <c r="Y633" s="106"/>
    </row>
    <row r="634">
      <c r="C634" s="79"/>
      <c r="D634" s="79"/>
      <c r="J634" s="79"/>
      <c r="O634" s="79"/>
      <c r="P634" s="79"/>
      <c r="S634" s="79"/>
      <c r="T634" s="79"/>
      <c r="W634" s="130"/>
      <c r="Y634" s="106"/>
    </row>
    <row r="635">
      <c r="C635" s="79"/>
      <c r="D635" s="79"/>
      <c r="J635" s="79"/>
      <c r="O635" s="79"/>
      <c r="P635" s="79"/>
      <c r="S635" s="79"/>
      <c r="T635" s="79"/>
      <c r="W635" s="130"/>
      <c r="Y635" s="106"/>
    </row>
    <row r="636">
      <c r="C636" s="79"/>
      <c r="D636" s="79"/>
      <c r="J636" s="79"/>
      <c r="O636" s="79"/>
      <c r="P636" s="79"/>
      <c r="S636" s="79"/>
      <c r="T636" s="79"/>
      <c r="W636" s="130"/>
      <c r="Y636" s="106"/>
    </row>
    <row r="637">
      <c r="C637" s="79"/>
      <c r="D637" s="79"/>
      <c r="J637" s="79"/>
      <c r="O637" s="79"/>
      <c r="P637" s="79"/>
      <c r="S637" s="79"/>
      <c r="T637" s="79"/>
      <c r="W637" s="130"/>
      <c r="Y637" s="106"/>
    </row>
    <row r="638">
      <c r="C638" s="79"/>
      <c r="D638" s="79"/>
      <c r="J638" s="79"/>
      <c r="O638" s="79"/>
      <c r="P638" s="79"/>
      <c r="S638" s="79"/>
      <c r="T638" s="79"/>
      <c r="W638" s="130"/>
      <c r="Y638" s="106"/>
    </row>
    <row r="639">
      <c r="C639" s="79"/>
      <c r="D639" s="79"/>
      <c r="J639" s="79"/>
      <c r="O639" s="79"/>
      <c r="P639" s="79"/>
      <c r="S639" s="79"/>
      <c r="T639" s="79"/>
      <c r="W639" s="130"/>
      <c r="Y639" s="106"/>
    </row>
    <row r="640">
      <c r="C640" s="79"/>
      <c r="D640" s="79"/>
      <c r="J640" s="79"/>
      <c r="O640" s="79"/>
      <c r="P640" s="79"/>
      <c r="S640" s="79"/>
      <c r="T640" s="79"/>
      <c r="W640" s="130"/>
      <c r="Y640" s="106"/>
    </row>
    <row r="641">
      <c r="C641" s="79"/>
      <c r="D641" s="79"/>
      <c r="J641" s="79"/>
      <c r="O641" s="79"/>
      <c r="P641" s="79"/>
      <c r="S641" s="79"/>
      <c r="T641" s="79"/>
      <c r="W641" s="130"/>
      <c r="Y641" s="106"/>
    </row>
    <row r="642">
      <c r="C642" s="79"/>
      <c r="D642" s="79"/>
      <c r="J642" s="79"/>
      <c r="O642" s="79"/>
      <c r="P642" s="79"/>
      <c r="S642" s="79"/>
      <c r="T642" s="79"/>
      <c r="W642" s="130"/>
      <c r="Y642" s="106"/>
    </row>
    <row r="643">
      <c r="C643" s="79"/>
      <c r="D643" s="79"/>
      <c r="J643" s="79"/>
      <c r="O643" s="79"/>
      <c r="P643" s="79"/>
      <c r="S643" s="79"/>
      <c r="T643" s="79"/>
      <c r="W643" s="130"/>
      <c r="Y643" s="106"/>
    </row>
    <row r="644">
      <c r="C644" s="79"/>
      <c r="D644" s="79"/>
      <c r="J644" s="79"/>
      <c r="O644" s="79"/>
      <c r="P644" s="79"/>
      <c r="S644" s="79"/>
      <c r="T644" s="79"/>
      <c r="W644" s="130"/>
      <c r="Y644" s="106"/>
    </row>
    <row r="645">
      <c r="C645" s="79"/>
      <c r="D645" s="79"/>
      <c r="J645" s="79"/>
      <c r="O645" s="79"/>
      <c r="P645" s="79"/>
      <c r="S645" s="79"/>
      <c r="T645" s="79"/>
      <c r="W645" s="130"/>
      <c r="Y645" s="106"/>
    </row>
    <row r="646">
      <c r="C646" s="79"/>
      <c r="D646" s="79"/>
      <c r="J646" s="79"/>
      <c r="O646" s="79"/>
      <c r="P646" s="79"/>
      <c r="S646" s="79"/>
      <c r="T646" s="79"/>
      <c r="W646" s="130"/>
      <c r="Y646" s="106"/>
    </row>
    <row r="647">
      <c r="C647" s="79"/>
      <c r="D647" s="79"/>
      <c r="J647" s="79"/>
      <c r="O647" s="79"/>
      <c r="P647" s="79"/>
      <c r="S647" s="79"/>
      <c r="T647" s="79"/>
      <c r="W647" s="130"/>
      <c r="Y647" s="106"/>
    </row>
    <row r="648">
      <c r="C648" s="79"/>
      <c r="D648" s="79"/>
      <c r="J648" s="79"/>
      <c r="O648" s="79"/>
      <c r="P648" s="79"/>
      <c r="S648" s="79"/>
      <c r="T648" s="79"/>
      <c r="W648" s="130"/>
      <c r="Y648" s="106"/>
    </row>
    <row r="649">
      <c r="C649" s="79"/>
      <c r="D649" s="79"/>
      <c r="J649" s="79"/>
      <c r="O649" s="79"/>
      <c r="P649" s="79"/>
      <c r="S649" s="79"/>
      <c r="T649" s="79"/>
      <c r="W649" s="130"/>
      <c r="Y649" s="106"/>
    </row>
    <row r="650">
      <c r="C650" s="79"/>
      <c r="D650" s="79"/>
      <c r="J650" s="79"/>
      <c r="O650" s="79"/>
      <c r="P650" s="79"/>
      <c r="S650" s="79"/>
      <c r="T650" s="79"/>
      <c r="W650" s="130"/>
      <c r="Y650" s="106"/>
    </row>
    <row r="651">
      <c r="C651" s="79"/>
      <c r="D651" s="79"/>
      <c r="J651" s="79"/>
      <c r="O651" s="79"/>
      <c r="P651" s="79"/>
      <c r="S651" s="79"/>
      <c r="T651" s="79"/>
      <c r="W651" s="130"/>
      <c r="Y651" s="106"/>
    </row>
    <row r="652">
      <c r="C652" s="79"/>
      <c r="D652" s="79"/>
      <c r="J652" s="79"/>
      <c r="O652" s="79"/>
      <c r="P652" s="79"/>
      <c r="S652" s="79"/>
      <c r="T652" s="79"/>
      <c r="W652" s="130"/>
      <c r="Y652" s="106"/>
    </row>
    <row r="653">
      <c r="C653" s="79"/>
      <c r="D653" s="79"/>
      <c r="J653" s="79"/>
      <c r="O653" s="79"/>
      <c r="P653" s="79"/>
      <c r="S653" s="79"/>
      <c r="T653" s="79"/>
      <c r="W653" s="130"/>
      <c r="Y653" s="106"/>
    </row>
    <row r="654">
      <c r="C654" s="79"/>
      <c r="D654" s="79"/>
      <c r="J654" s="79"/>
      <c r="O654" s="79"/>
      <c r="P654" s="79"/>
      <c r="S654" s="79"/>
      <c r="T654" s="79"/>
      <c r="W654" s="130"/>
      <c r="Y654" s="106"/>
    </row>
    <row r="655">
      <c r="C655" s="79"/>
      <c r="D655" s="79"/>
      <c r="J655" s="79"/>
      <c r="O655" s="79"/>
      <c r="P655" s="79"/>
      <c r="S655" s="79"/>
      <c r="T655" s="79"/>
      <c r="W655" s="130"/>
      <c r="Y655" s="106"/>
    </row>
    <row r="656">
      <c r="C656" s="79"/>
      <c r="D656" s="79"/>
      <c r="J656" s="79"/>
      <c r="O656" s="79"/>
      <c r="P656" s="79"/>
      <c r="S656" s="79"/>
      <c r="T656" s="79"/>
      <c r="W656" s="130"/>
      <c r="Y656" s="106"/>
    </row>
    <row r="657">
      <c r="C657" s="79"/>
      <c r="D657" s="79"/>
      <c r="J657" s="79"/>
      <c r="O657" s="79"/>
      <c r="P657" s="79"/>
      <c r="S657" s="79"/>
      <c r="T657" s="79"/>
      <c r="W657" s="130"/>
      <c r="Y657" s="106"/>
    </row>
    <row r="658">
      <c r="C658" s="79"/>
      <c r="D658" s="79"/>
      <c r="J658" s="79"/>
      <c r="O658" s="79"/>
      <c r="P658" s="79"/>
      <c r="S658" s="79"/>
      <c r="T658" s="79"/>
      <c r="W658" s="130"/>
      <c r="Y658" s="106"/>
    </row>
    <row r="659">
      <c r="C659" s="79"/>
      <c r="D659" s="79"/>
      <c r="J659" s="79"/>
      <c r="O659" s="79"/>
      <c r="P659" s="79"/>
      <c r="S659" s="79"/>
      <c r="T659" s="79"/>
      <c r="W659" s="130"/>
      <c r="Y659" s="106"/>
    </row>
    <row r="660">
      <c r="C660" s="79"/>
      <c r="D660" s="79"/>
      <c r="J660" s="79"/>
      <c r="O660" s="79"/>
      <c r="P660" s="79"/>
      <c r="S660" s="79"/>
      <c r="T660" s="79"/>
      <c r="W660" s="130"/>
      <c r="Y660" s="106"/>
    </row>
    <row r="661">
      <c r="C661" s="79"/>
      <c r="D661" s="79"/>
      <c r="J661" s="79"/>
      <c r="O661" s="79"/>
      <c r="P661" s="79"/>
      <c r="S661" s="79"/>
      <c r="T661" s="79"/>
      <c r="W661" s="130"/>
      <c r="Y661" s="106"/>
    </row>
    <row r="662">
      <c r="C662" s="79"/>
      <c r="D662" s="79"/>
      <c r="J662" s="79"/>
      <c r="O662" s="79"/>
      <c r="P662" s="79"/>
      <c r="S662" s="79"/>
      <c r="T662" s="79"/>
      <c r="W662" s="130"/>
      <c r="Y662" s="106"/>
    </row>
    <row r="663">
      <c r="C663" s="79"/>
      <c r="D663" s="79"/>
      <c r="J663" s="79"/>
      <c r="O663" s="79"/>
      <c r="P663" s="79"/>
      <c r="S663" s="79"/>
      <c r="T663" s="79"/>
      <c r="W663" s="130"/>
      <c r="Y663" s="106"/>
    </row>
    <row r="664">
      <c r="C664" s="79"/>
      <c r="D664" s="79"/>
      <c r="J664" s="79"/>
      <c r="O664" s="79"/>
      <c r="P664" s="79"/>
      <c r="S664" s="79"/>
      <c r="T664" s="79"/>
      <c r="W664" s="130"/>
      <c r="Y664" s="106"/>
    </row>
    <row r="665">
      <c r="C665" s="79"/>
      <c r="D665" s="79"/>
      <c r="J665" s="79"/>
      <c r="O665" s="79"/>
      <c r="P665" s="79"/>
      <c r="S665" s="79"/>
      <c r="T665" s="79"/>
      <c r="W665" s="130"/>
      <c r="Y665" s="106"/>
    </row>
    <row r="666">
      <c r="C666" s="79"/>
      <c r="D666" s="79"/>
      <c r="J666" s="79"/>
      <c r="O666" s="79"/>
      <c r="P666" s="79"/>
      <c r="S666" s="79"/>
      <c r="T666" s="79"/>
      <c r="W666" s="130"/>
      <c r="Y666" s="106"/>
    </row>
    <row r="667">
      <c r="C667" s="79"/>
      <c r="D667" s="79"/>
      <c r="J667" s="79"/>
      <c r="O667" s="79"/>
      <c r="P667" s="79"/>
      <c r="S667" s="79"/>
      <c r="T667" s="79"/>
      <c r="W667" s="130"/>
      <c r="Y667" s="106"/>
    </row>
    <row r="668">
      <c r="C668" s="79"/>
      <c r="D668" s="79"/>
      <c r="J668" s="79"/>
      <c r="O668" s="79"/>
      <c r="P668" s="79"/>
      <c r="S668" s="79"/>
      <c r="T668" s="79"/>
      <c r="W668" s="130"/>
      <c r="Y668" s="106"/>
    </row>
    <row r="669">
      <c r="C669" s="79"/>
      <c r="D669" s="79"/>
      <c r="J669" s="79"/>
      <c r="O669" s="79"/>
      <c r="P669" s="79"/>
      <c r="S669" s="79"/>
      <c r="T669" s="79"/>
      <c r="W669" s="130"/>
      <c r="Y669" s="106"/>
    </row>
    <row r="670">
      <c r="C670" s="79"/>
      <c r="D670" s="79"/>
      <c r="J670" s="79"/>
      <c r="O670" s="79"/>
      <c r="P670" s="79"/>
      <c r="S670" s="79"/>
      <c r="T670" s="79"/>
      <c r="W670" s="130"/>
      <c r="Y670" s="106"/>
    </row>
    <row r="671">
      <c r="C671" s="79"/>
      <c r="D671" s="79"/>
      <c r="J671" s="79"/>
      <c r="O671" s="79"/>
      <c r="P671" s="79"/>
      <c r="S671" s="79"/>
      <c r="T671" s="79"/>
      <c r="W671" s="130"/>
      <c r="Y671" s="106"/>
    </row>
    <row r="672">
      <c r="C672" s="79"/>
      <c r="D672" s="79"/>
      <c r="J672" s="79"/>
      <c r="O672" s="79"/>
      <c r="P672" s="79"/>
      <c r="S672" s="79"/>
      <c r="T672" s="79"/>
      <c r="W672" s="130"/>
      <c r="Y672" s="106"/>
    </row>
    <row r="673">
      <c r="C673" s="79"/>
      <c r="D673" s="79"/>
      <c r="J673" s="79"/>
      <c r="O673" s="79"/>
      <c r="P673" s="79"/>
      <c r="S673" s="79"/>
      <c r="T673" s="79"/>
      <c r="W673" s="130"/>
      <c r="Y673" s="106"/>
    </row>
    <row r="674">
      <c r="C674" s="79"/>
      <c r="D674" s="79"/>
      <c r="J674" s="79"/>
      <c r="O674" s="79"/>
      <c r="P674" s="79"/>
      <c r="S674" s="79"/>
      <c r="T674" s="79"/>
      <c r="W674" s="130"/>
      <c r="Y674" s="106"/>
    </row>
    <row r="675">
      <c r="C675" s="79"/>
      <c r="D675" s="79"/>
      <c r="J675" s="79"/>
      <c r="O675" s="79"/>
      <c r="P675" s="79"/>
      <c r="S675" s="79"/>
      <c r="T675" s="79"/>
      <c r="W675" s="130"/>
      <c r="Y675" s="106"/>
    </row>
    <row r="676">
      <c r="C676" s="79"/>
      <c r="D676" s="79"/>
      <c r="J676" s="79"/>
      <c r="O676" s="79"/>
      <c r="P676" s="79"/>
      <c r="S676" s="79"/>
      <c r="T676" s="79"/>
      <c r="W676" s="130"/>
      <c r="Y676" s="106"/>
    </row>
    <row r="677">
      <c r="C677" s="79"/>
      <c r="D677" s="79"/>
      <c r="J677" s="79"/>
      <c r="O677" s="79"/>
      <c r="P677" s="79"/>
      <c r="S677" s="79"/>
      <c r="T677" s="79"/>
      <c r="W677" s="130"/>
      <c r="Y677" s="106"/>
    </row>
    <row r="678">
      <c r="C678" s="79"/>
      <c r="D678" s="79"/>
      <c r="J678" s="79"/>
      <c r="O678" s="79"/>
      <c r="P678" s="79"/>
      <c r="S678" s="79"/>
      <c r="T678" s="79"/>
      <c r="W678" s="130"/>
      <c r="Y678" s="106"/>
    </row>
    <row r="679">
      <c r="C679" s="79"/>
      <c r="D679" s="79"/>
      <c r="J679" s="79"/>
      <c r="O679" s="79"/>
      <c r="P679" s="79"/>
      <c r="S679" s="79"/>
      <c r="T679" s="79"/>
      <c r="W679" s="130"/>
      <c r="Y679" s="106"/>
    </row>
    <row r="680">
      <c r="C680" s="79"/>
      <c r="D680" s="79"/>
      <c r="J680" s="79"/>
      <c r="O680" s="79"/>
      <c r="P680" s="79"/>
      <c r="S680" s="79"/>
      <c r="T680" s="79"/>
      <c r="W680" s="130"/>
      <c r="Y680" s="106"/>
    </row>
    <row r="681">
      <c r="C681" s="79"/>
      <c r="D681" s="79"/>
      <c r="J681" s="79"/>
      <c r="O681" s="79"/>
      <c r="P681" s="79"/>
      <c r="S681" s="79"/>
      <c r="T681" s="79"/>
      <c r="W681" s="130"/>
      <c r="Y681" s="106"/>
    </row>
    <row r="682">
      <c r="C682" s="79"/>
      <c r="D682" s="79"/>
      <c r="J682" s="79"/>
      <c r="O682" s="79"/>
      <c r="P682" s="79"/>
      <c r="S682" s="79"/>
      <c r="T682" s="79"/>
      <c r="W682" s="130"/>
      <c r="Y682" s="106"/>
    </row>
    <row r="683">
      <c r="C683" s="79"/>
      <c r="D683" s="79"/>
      <c r="J683" s="79"/>
      <c r="O683" s="79"/>
      <c r="P683" s="79"/>
      <c r="S683" s="79"/>
      <c r="T683" s="79"/>
      <c r="W683" s="130"/>
      <c r="Y683" s="106"/>
    </row>
    <row r="684">
      <c r="C684" s="79"/>
      <c r="D684" s="79"/>
      <c r="J684" s="79"/>
      <c r="O684" s="79"/>
      <c r="P684" s="79"/>
      <c r="S684" s="79"/>
      <c r="T684" s="79"/>
      <c r="W684" s="130"/>
      <c r="Y684" s="106"/>
    </row>
    <row r="685">
      <c r="C685" s="79"/>
      <c r="D685" s="79"/>
      <c r="J685" s="79"/>
      <c r="O685" s="79"/>
      <c r="P685" s="79"/>
      <c r="S685" s="79"/>
      <c r="T685" s="79"/>
      <c r="W685" s="130"/>
      <c r="Y685" s="106"/>
    </row>
    <row r="686">
      <c r="C686" s="79"/>
      <c r="D686" s="79"/>
      <c r="J686" s="79"/>
      <c r="O686" s="79"/>
      <c r="P686" s="79"/>
      <c r="S686" s="79"/>
      <c r="T686" s="79"/>
      <c r="W686" s="130"/>
      <c r="Y686" s="106"/>
    </row>
    <row r="687">
      <c r="C687" s="79"/>
      <c r="D687" s="79"/>
      <c r="J687" s="79"/>
      <c r="O687" s="79"/>
      <c r="P687" s="79"/>
      <c r="S687" s="79"/>
      <c r="T687" s="79"/>
      <c r="W687" s="130"/>
      <c r="Y687" s="106"/>
    </row>
    <row r="688">
      <c r="C688" s="79"/>
      <c r="D688" s="79"/>
      <c r="J688" s="79"/>
      <c r="O688" s="79"/>
      <c r="P688" s="79"/>
      <c r="S688" s="79"/>
      <c r="T688" s="79"/>
      <c r="W688" s="130"/>
      <c r="Y688" s="106"/>
    </row>
    <row r="689">
      <c r="C689" s="79"/>
      <c r="D689" s="79"/>
      <c r="J689" s="79"/>
      <c r="O689" s="79"/>
      <c r="P689" s="79"/>
      <c r="S689" s="79"/>
      <c r="T689" s="79"/>
      <c r="W689" s="130"/>
      <c r="Y689" s="106"/>
    </row>
    <row r="690">
      <c r="C690" s="79"/>
      <c r="D690" s="79"/>
      <c r="J690" s="79"/>
      <c r="O690" s="79"/>
      <c r="P690" s="79"/>
      <c r="S690" s="79"/>
      <c r="T690" s="79"/>
      <c r="W690" s="130"/>
      <c r="Y690" s="106"/>
    </row>
    <row r="691">
      <c r="C691" s="79"/>
      <c r="D691" s="79"/>
      <c r="J691" s="79"/>
      <c r="O691" s="79"/>
      <c r="P691" s="79"/>
      <c r="S691" s="79"/>
      <c r="T691" s="79"/>
      <c r="W691" s="130"/>
      <c r="Y691" s="106"/>
    </row>
    <row r="692">
      <c r="C692" s="79"/>
      <c r="D692" s="79"/>
      <c r="J692" s="79"/>
      <c r="O692" s="79"/>
      <c r="P692" s="79"/>
      <c r="S692" s="79"/>
      <c r="T692" s="79"/>
      <c r="W692" s="130"/>
      <c r="Y692" s="106"/>
    </row>
    <row r="693">
      <c r="C693" s="79"/>
      <c r="D693" s="79"/>
      <c r="J693" s="79"/>
      <c r="O693" s="79"/>
      <c r="P693" s="79"/>
      <c r="S693" s="79"/>
      <c r="T693" s="79"/>
      <c r="W693" s="130"/>
      <c r="Y693" s="106"/>
    </row>
    <row r="694">
      <c r="C694" s="79"/>
      <c r="D694" s="79"/>
      <c r="J694" s="79"/>
      <c r="O694" s="79"/>
      <c r="P694" s="79"/>
      <c r="S694" s="79"/>
      <c r="T694" s="79"/>
      <c r="W694" s="130"/>
      <c r="Y694" s="106"/>
    </row>
    <row r="695">
      <c r="C695" s="79"/>
      <c r="D695" s="79"/>
      <c r="J695" s="79"/>
      <c r="O695" s="79"/>
      <c r="P695" s="79"/>
      <c r="S695" s="79"/>
      <c r="T695" s="79"/>
      <c r="W695" s="130"/>
      <c r="Y695" s="106"/>
    </row>
    <row r="696">
      <c r="C696" s="79"/>
      <c r="D696" s="79"/>
      <c r="J696" s="79"/>
      <c r="O696" s="79"/>
      <c r="P696" s="79"/>
      <c r="S696" s="79"/>
      <c r="T696" s="79"/>
      <c r="W696" s="130"/>
      <c r="Y696" s="106"/>
    </row>
    <row r="697">
      <c r="C697" s="79"/>
      <c r="D697" s="79"/>
      <c r="J697" s="79"/>
      <c r="O697" s="79"/>
      <c r="P697" s="79"/>
      <c r="S697" s="79"/>
      <c r="T697" s="79"/>
      <c r="W697" s="130"/>
      <c r="Y697" s="106"/>
    </row>
    <row r="698">
      <c r="C698" s="79"/>
      <c r="D698" s="79"/>
      <c r="J698" s="79"/>
      <c r="O698" s="79"/>
      <c r="P698" s="79"/>
      <c r="S698" s="79"/>
      <c r="T698" s="79"/>
      <c r="W698" s="130"/>
      <c r="Y698" s="106"/>
    </row>
    <row r="699">
      <c r="C699" s="79"/>
      <c r="D699" s="79"/>
      <c r="J699" s="79"/>
      <c r="O699" s="79"/>
      <c r="P699" s="79"/>
      <c r="S699" s="79"/>
      <c r="T699" s="79"/>
      <c r="W699" s="130"/>
      <c r="Y699" s="106"/>
    </row>
    <row r="700">
      <c r="C700" s="79"/>
      <c r="D700" s="79"/>
      <c r="J700" s="79"/>
      <c r="O700" s="79"/>
      <c r="P700" s="79"/>
      <c r="S700" s="79"/>
      <c r="T700" s="79"/>
      <c r="W700" s="130"/>
      <c r="Y700" s="106"/>
    </row>
    <row r="701">
      <c r="C701" s="79"/>
      <c r="D701" s="79"/>
      <c r="J701" s="79"/>
      <c r="O701" s="79"/>
      <c r="P701" s="79"/>
      <c r="S701" s="79"/>
      <c r="T701" s="79"/>
      <c r="W701" s="130"/>
      <c r="Y701" s="106"/>
    </row>
    <row r="702">
      <c r="C702" s="79"/>
      <c r="D702" s="79"/>
      <c r="J702" s="79"/>
      <c r="O702" s="79"/>
      <c r="P702" s="79"/>
      <c r="S702" s="79"/>
      <c r="T702" s="79"/>
      <c r="W702" s="130"/>
      <c r="Y702" s="106"/>
    </row>
    <row r="703">
      <c r="C703" s="79"/>
      <c r="D703" s="79"/>
      <c r="J703" s="79"/>
      <c r="O703" s="79"/>
      <c r="P703" s="79"/>
      <c r="S703" s="79"/>
      <c r="T703" s="79"/>
      <c r="W703" s="130"/>
      <c r="Y703" s="106"/>
    </row>
    <row r="704">
      <c r="C704" s="79"/>
      <c r="D704" s="79"/>
      <c r="J704" s="79"/>
      <c r="O704" s="79"/>
      <c r="P704" s="79"/>
      <c r="S704" s="79"/>
      <c r="T704" s="79"/>
      <c r="W704" s="130"/>
      <c r="Y704" s="106"/>
    </row>
    <row r="705">
      <c r="C705" s="79"/>
      <c r="D705" s="79"/>
      <c r="J705" s="79"/>
      <c r="O705" s="79"/>
      <c r="P705" s="79"/>
      <c r="S705" s="79"/>
      <c r="T705" s="79"/>
      <c r="W705" s="130"/>
      <c r="Y705" s="106"/>
    </row>
    <row r="706">
      <c r="C706" s="79"/>
      <c r="D706" s="79"/>
      <c r="J706" s="79"/>
      <c r="O706" s="79"/>
      <c r="P706" s="79"/>
      <c r="S706" s="79"/>
      <c r="T706" s="79"/>
      <c r="W706" s="130"/>
      <c r="Y706" s="106"/>
    </row>
    <row r="707">
      <c r="C707" s="79"/>
      <c r="D707" s="79"/>
      <c r="J707" s="79"/>
      <c r="O707" s="79"/>
      <c r="P707" s="79"/>
      <c r="S707" s="79"/>
      <c r="T707" s="79"/>
      <c r="W707" s="130"/>
      <c r="Y707" s="106"/>
    </row>
    <row r="708">
      <c r="C708" s="79"/>
      <c r="D708" s="79"/>
      <c r="J708" s="79"/>
      <c r="O708" s="79"/>
      <c r="P708" s="79"/>
      <c r="S708" s="79"/>
      <c r="T708" s="79"/>
      <c r="W708" s="130"/>
      <c r="Y708" s="106"/>
    </row>
    <row r="709">
      <c r="C709" s="79"/>
      <c r="D709" s="79"/>
      <c r="J709" s="79"/>
      <c r="O709" s="79"/>
      <c r="P709" s="79"/>
      <c r="S709" s="79"/>
      <c r="T709" s="79"/>
      <c r="W709" s="130"/>
      <c r="Y709" s="106"/>
    </row>
    <row r="710">
      <c r="C710" s="79"/>
      <c r="D710" s="79"/>
      <c r="J710" s="79"/>
      <c r="O710" s="79"/>
      <c r="P710" s="79"/>
      <c r="S710" s="79"/>
      <c r="T710" s="79"/>
      <c r="W710" s="130"/>
      <c r="Y710" s="106"/>
    </row>
    <row r="711">
      <c r="C711" s="79"/>
      <c r="D711" s="79"/>
      <c r="J711" s="79"/>
      <c r="O711" s="79"/>
      <c r="P711" s="79"/>
      <c r="S711" s="79"/>
      <c r="T711" s="79"/>
      <c r="W711" s="130"/>
      <c r="Y711" s="106"/>
    </row>
    <row r="712">
      <c r="C712" s="79"/>
      <c r="D712" s="79"/>
      <c r="J712" s="79"/>
      <c r="O712" s="79"/>
      <c r="P712" s="79"/>
      <c r="S712" s="79"/>
      <c r="T712" s="79"/>
      <c r="W712" s="130"/>
      <c r="Y712" s="106"/>
    </row>
    <row r="713">
      <c r="C713" s="79"/>
      <c r="D713" s="79"/>
      <c r="J713" s="79"/>
      <c r="O713" s="79"/>
      <c r="P713" s="79"/>
      <c r="S713" s="79"/>
      <c r="T713" s="79"/>
      <c r="W713" s="130"/>
      <c r="Y713" s="106"/>
    </row>
    <row r="714">
      <c r="C714" s="79"/>
      <c r="D714" s="79"/>
      <c r="J714" s="79"/>
      <c r="O714" s="79"/>
      <c r="P714" s="79"/>
      <c r="S714" s="79"/>
      <c r="T714" s="79"/>
      <c r="W714" s="130"/>
      <c r="Y714" s="106"/>
    </row>
    <row r="715">
      <c r="C715" s="79"/>
      <c r="D715" s="79"/>
      <c r="J715" s="79"/>
      <c r="O715" s="79"/>
      <c r="P715" s="79"/>
      <c r="S715" s="79"/>
      <c r="T715" s="79"/>
      <c r="W715" s="130"/>
      <c r="Y715" s="106"/>
    </row>
    <row r="716">
      <c r="C716" s="79"/>
      <c r="D716" s="79"/>
      <c r="J716" s="79"/>
      <c r="O716" s="79"/>
      <c r="P716" s="79"/>
      <c r="S716" s="79"/>
      <c r="T716" s="79"/>
      <c r="W716" s="130"/>
      <c r="Y716" s="106"/>
    </row>
    <row r="717">
      <c r="C717" s="79"/>
      <c r="D717" s="79"/>
      <c r="J717" s="79"/>
      <c r="O717" s="79"/>
      <c r="P717" s="79"/>
      <c r="S717" s="79"/>
      <c r="T717" s="79"/>
      <c r="W717" s="130"/>
      <c r="Y717" s="106"/>
    </row>
    <row r="718">
      <c r="C718" s="79"/>
      <c r="D718" s="79"/>
      <c r="J718" s="79"/>
      <c r="O718" s="79"/>
      <c r="P718" s="79"/>
      <c r="S718" s="79"/>
      <c r="T718" s="79"/>
      <c r="W718" s="130"/>
      <c r="Y718" s="106"/>
    </row>
    <row r="719">
      <c r="C719" s="79"/>
      <c r="D719" s="79"/>
      <c r="J719" s="79"/>
      <c r="O719" s="79"/>
      <c r="P719" s="79"/>
      <c r="S719" s="79"/>
      <c r="T719" s="79"/>
      <c r="W719" s="130"/>
      <c r="Y719" s="106"/>
    </row>
    <row r="720">
      <c r="C720" s="79"/>
      <c r="D720" s="79"/>
      <c r="J720" s="79"/>
      <c r="O720" s="79"/>
      <c r="P720" s="79"/>
      <c r="S720" s="79"/>
      <c r="T720" s="79"/>
      <c r="W720" s="130"/>
      <c r="Y720" s="106"/>
    </row>
    <row r="721">
      <c r="C721" s="79"/>
      <c r="D721" s="79"/>
      <c r="J721" s="79"/>
      <c r="O721" s="79"/>
      <c r="P721" s="79"/>
      <c r="S721" s="79"/>
      <c r="T721" s="79"/>
      <c r="W721" s="130"/>
      <c r="Y721" s="106"/>
    </row>
    <row r="722">
      <c r="C722" s="79"/>
      <c r="D722" s="79"/>
      <c r="J722" s="79"/>
      <c r="O722" s="79"/>
      <c r="P722" s="79"/>
      <c r="S722" s="79"/>
      <c r="T722" s="79"/>
      <c r="W722" s="130"/>
      <c r="Y722" s="106"/>
    </row>
    <row r="723">
      <c r="C723" s="79"/>
      <c r="D723" s="79"/>
      <c r="J723" s="79"/>
      <c r="O723" s="79"/>
      <c r="P723" s="79"/>
      <c r="S723" s="79"/>
      <c r="T723" s="79"/>
      <c r="W723" s="130"/>
      <c r="Y723" s="106"/>
    </row>
    <row r="724">
      <c r="C724" s="79"/>
      <c r="D724" s="79"/>
      <c r="J724" s="79"/>
      <c r="O724" s="79"/>
      <c r="P724" s="79"/>
      <c r="S724" s="79"/>
      <c r="T724" s="79"/>
      <c r="W724" s="130"/>
      <c r="Y724" s="106"/>
    </row>
    <row r="725">
      <c r="C725" s="79"/>
      <c r="D725" s="79"/>
      <c r="J725" s="79"/>
      <c r="O725" s="79"/>
      <c r="P725" s="79"/>
      <c r="S725" s="79"/>
      <c r="T725" s="79"/>
      <c r="W725" s="130"/>
      <c r="Y725" s="106"/>
    </row>
    <row r="726">
      <c r="C726" s="79"/>
      <c r="D726" s="79"/>
      <c r="J726" s="79"/>
      <c r="O726" s="79"/>
      <c r="P726" s="79"/>
      <c r="S726" s="79"/>
      <c r="T726" s="79"/>
      <c r="W726" s="130"/>
      <c r="Y726" s="106"/>
    </row>
    <row r="727">
      <c r="C727" s="79"/>
      <c r="D727" s="79"/>
      <c r="J727" s="79"/>
      <c r="O727" s="79"/>
      <c r="P727" s="79"/>
      <c r="S727" s="79"/>
      <c r="T727" s="79"/>
      <c r="W727" s="130"/>
      <c r="Y727" s="106"/>
    </row>
    <row r="728">
      <c r="C728" s="79"/>
      <c r="D728" s="79"/>
      <c r="J728" s="79"/>
      <c r="O728" s="79"/>
      <c r="P728" s="79"/>
      <c r="S728" s="79"/>
      <c r="T728" s="79"/>
      <c r="W728" s="130"/>
      <c r="Y728" s="106"/>
    </row>
    <row r="729">
      <c r="C729" s="79"/>
      <c r="D729" s="79"/>
      <c r="J729" s="79"/>
      <c r="O729" s="79"/>
      <c r="P729" s="79"/>
      <c r="S729" s="79"/>
      <c r="T729" s="79"/>
      <c r="W729" s="130"/>
      <c r="Y729" s="106"/>
    </row>
    <row r="730">
      <c r="C730" s="79"/>
      <c r="D730" s="79"/>
      <c r="J730" s="79"/>
      <c r="O730" s="79"/>
      <c r="P730" s="79"/>
      <c r="S730" s="79"/>
      <c r="T730" s="79"/>
      <c r="W730" s="130"/>
      <c r="Y730" s="106"/>
    </row>
    <row r="731">
      <c r="C731" s="79"/>
      <c r="D731" s="79"/>
      <c r="J731" s="79"/>
      <c r="O731" s="79"/>
      <c r="P731" s="79"/>
      <c r="S731" s="79"/>
      <c r="T731" s="79"/>
      <c r="W731" s="130"/>
      <c r="Y731" s="106"/>
    </row>
    <row r="732">
      <c r="C732" s="79"/>
      <c r="D732" s="79"/>
      <c r="J732" s="79"/>
      <c r="O732" s="79"/>
      <c r="P732" s="79"/>
      <c r="S732" s="79"/>
      <c r="T732" s="79"/>
      <c r="W732" s="130"/>
      <c r="Y732" s="106"/>
    </row>
    <row r="733">
      <c r="C733" s="79"/>
      <c r="D733" s="79"/>
      <c r="J733" s="79"/>
      <c r="O733" s="79"/>
      <c r="P733" s="79"/>
      <c r="S733" s="79"/>
      <c r="T733" s="79"/>
      <c r="W733" s="130"/>
      <c r="Y733" s="106"/>
    </row>
    <row r="734">
      <c r="C734" s="79"/>
      <c r="D734" s="79"/>
      <c r="J734" s="79"/>
      <c r="O734" s="79"/>
      <c r="P734" s="79"/>
      <c r="S734" s="79"/>
      <c r="T734" s="79"/>
      <c r="W734" s="130"/>
      <c r="Y734" s="106"/>
    </row>
    <row r="735">
      <c r="C735" s="79"/>
      <c r="D735" s="79"/>
      <c r="J735" s="79"/>
      <c r="O735" s="79"/>
      <c r="P735" s="79"/>
      <c r="S735" s="79"/>
      <c r="T735" s="79"/>
      <c r="W735" s="130"/>
      <c r="Y735" s="106"/>
    </row>
    <row r="736">
      <c r="C736" s="79"/>
      <c r="D736" s="79"/>
      <c r="J736" s="79"/>
      <c r="O736" s="79"/>
      <c r="P736" s="79"/>
      <c r="S736" s="79"/>
      <c r="T736" s="79"/>
      <c r="W736" s="130"/>
      <c r="Y736" s="106"/>
    </row>
    <row r="737">
      <c r="C737" s="79"/>
      <c r="D737" s="79"/>
      <c r="J737" s="79"/>
      <c r="O737" s="79"/>
      <c r="P737" s="79"/>
      <c r="S737" s="79"/>
      <c r="T737" s="79"/>
      <c r="W737" s="130"/>
      <c r="Y737" s="106"/>
    </row>
    <row r="738">
      <c r="C738" s="79"/>
      <c r="D738" s="79"/>
      <c r="J738" s="79"/>
      <c r="O738" s="79"/>
      <c r="P738" s="79"/>
      <c r="S738" s="79"/>
      <c r="T738" s="79"/>
      <c r="W738" s="130"/>
      <c r="Y738" s="106"/>
    </row>
    <row r="739">
      <c r="C739" s="79"/>
      <c r="D739" s="79"/>
      <c r="J739" s="79"/>
      <c r="O739" s="79"/>
      <c r="P739" s="79"/>
      <c r="S739" s="79"/>
      <c r="T739" s="79"/>
      <c r="W739" s="130"/>
      <c r="Y739" s="106"/>
    </row>
    <row r="740">
      <c r="C740" s="79"/>
      <c r="D740" s="79"/>
      <c r="J740" s="79"/>
      <c r="O740" s="79"/>
      <c r="P740" s="79"/>
      <c r="S740" s="79"/>
      <c r="T740" s="79"/>
      <c r="W740" s="130"/>
      <c r="Y740" s="106"/>
    </row>
    <row r="741">
      <c r="C741" s="79"/>
      <c r="D741" s="79"/>
      <c r="J741" s="79"/>
      <c r="O741" s="79"/>
      <c r="P741" s="79"/>
      <c r="S741" s="79"/>
      <c r="T741" s="79"/>
      <c r="W741" s="130"/>
      <c r="Y741" s="106"/>
    </row>
    <row r="742">
      <c r="C742" s="79"/>
      <c r="D742" s="79"/>
      <c r="J742" s="79"/>
      <c r="O742" s="79"/>
      <c r="P742" s="79"/>
      <c r="S742" s="79"/>
      <c r="T742" s="79"/>
      <c r="W742" s="130"/>
      <c r="Y742" s="106"/>
    </row>
    <row r="743">
      <c r="C743" s="79"/>
      <c r="D743" s="79"/>
      <c r="J743" s="79"/>
      <c r="O743" s="79"/>
      <c r="P743" s="79"/>
      <c r="S743" s="79"/>
      <c r="T743" s="79"/>
      <c r="W743" s="130"/>
      <c r="Y743" s="106"/>
    </row>
    <row r="744">
      <c r="C744" s="79"/>
      <c r="D744" s="79"/>
      <c r="J744" s="79"/>
      <c r="O744" s="79"/>
      <c r="P744" s="79"/>
      <c r="S744" s="79"/>
      <c r="T744" s="79"/>
      <c r="W744" s="130"/>
      <c r="Y744" s="106"/>
    </row>
    <row r="745">
      <c r="C745" s="79"/>
      <c r="D745" s="79"/>
      <c r="J745" s="79"/>
      <c r="O745" s="79"/>
      <c r="P745" s="79"/>
      <c r="S745" s="79"/>
      <c r="T745" s="79"/>
      <c r="W745" s="130"/>
      <c r="Y745" s="106"/>
    </row>
    <row r="746">
      <c r="C746" s="79"/>
      <c r="D746" s="79"/>
      <c r="J746" s="79"/>
      <c r="O746" s="79"/>
      <c r="P746" s="79"/>
      <c r="S746" s="79"/>
      <c r="T746" s="79"/>
      <c r="W746" s="130"/>
      <c r="Y746" s="106"/>
    </row>
    <row r="747">
      <c r="C747" s="79"/>
      <c r="D747" s="79"/>
      <c r="J747" s="79"/>
      <c r="O747" s="79"/>
      <c r="P747" s="79"/>
      <c r="S747" s="79"/>
      <c r="T747" s="79"/>
      <c r="W747" s="130"/>
      <c r="Y747" s="106"/>
    </row>
    <row r="748">
      <c r="C748" s="79"/>
      <c r="D748" s="79"/>
      <c r="J748" s="79"/>
      <c r="O748" s="79"/>
      <c r="P748" s="79"/>
      <c r="S748" s="79"/>
      <c r="T748" s="79"/>
      <c r="W748" s="130"/>
      <c r="Y748" s="106"/>
    </row>
    <row r="749">
      <c r="C749" s="79"/>
      <c r="D749" s="79"/>
      <c r="J749" s="79"/>
      <c r="O749" s="79"/>
      <c r="P749" s="79"/>
      <c r="S749" s="79"/>
      <c r="T749" s="79"/>
      <c r="W749" s="130"/>
      <c r="Y749" s="106"/>
    </row>
    <row r="750">
      <c r="C750" s="79"/>
      <c r="D750" s="79"/>
      <c r="J750" s="79"/>
      <c r="O750" s="79"/>
      <c r="P750" s="79"/>
      <c r="S750" s="79"/>
      <c r="T750" s="79"/>
      <c r="W750" s="130"/>
      <c r="Y750" s="106"/>
    </row>
    <row r="751">
      <c r="C751" s="79"/>
      <c r="D751" s="79"/>
      <c r="J751" s="79"/>
      <c r="O751" s="79"/>
      <c r="P751" s="79"/>
      <c r="S751" s="79"/>
      <c r="T751" s="79"/>
      <c r="W751" s="130"/>
      <c r="Y751" s="106"/>
    </row>
    <row r="752">
      <c r="C752" s="79"/>
      <c r="D752" s="79"/>
      <c r="J752" s="79"/>
      <c r="O752" s="79"/>
      <c r="P752" s="79"/>
      <c r="S752" s="79"/>
      <c r="T752" s="79"/>
      <c r="W752" s="130"/>
      <c r="Y752" s="106"/>
    </row>
    <row r="753">
      <c r="C753" s="79"/>
      <c r="D753" s="79"/>
      <c r="J753" s="79"/>
      <c r="O753" s="79"/>
      <c r="P753" s="79"/>
      <c r="S753" s="79"/>
      <c r="T753" s="79"/>
      <c r="W753" s="130"/>
      <c r="Y753" s="106"/>
    </row>
    <row r="754">
      <c r="C754" s="79"/>
      <c r="D754" s="79"/>
      <c r="J754" s="79"/>
      <c r="O754" s="79"/>
      <c r="P754" s="79"/>
      <c r="S754" s="79"/>
      <c r="T754" s="79"/>
      <c r="W754" s="130"/>
      <c r="Y754" s="106"/>
    </row>
    <row r="755">
      <c r="C755" s="79"/>
      <c r="D755" s="79"/>
      <c r="J755" s="79"/>
      <c r="O755" s="79"/>
      <c r="P755" s="79"/>
      <c r="S755" s="79"/>
      <c r="T755" s="79"/>
      <c r="W755" s="130"/>
      <c r="Y755" s="106"/>
    </row>
    <row r="756">
      <c r="C756" s="79"/>
      <c r="D756" s="79"/>
      <c r="J756" s="79"/>
      <c r="O756" s="79"/>
      <c r="P756" s="79"/>
      <c r="S756" s="79"/>
      <c r="T756" s="79"/>
      <c r="W756" s="130"/>
      <c r="Y756" s="106"/>
    </row>
    <row r="757">
      <c r="C757" s="79"/>
      <c r="D757" s="79"/>
      <c r="J757" s="79"/>
      <c r="O757" s="79"/>
      <c r="P757" s="79"/>
      <c r="S757" s="79"/>
      <c r="T757" s="79"/>
      <c r="W757" s="130"/>
      <c r="Y757" s="106"/>
    </row>
    <row r="758">
      <c r="C758" s="79"/>
      <c r="D758" s="79"/>
      <c r="J758" s="79"/>
      <c r="O758" s="79"/>
      <c r="P758" s="79"/>
      <c r="S758" s="79"/>
      <c r="T758" s="79"/>
      <c r="W758" s="130"/>
      <c r="Y758" s="106"/>
    </row>
    <row r="759">
      <c r="C759" s="79"/>
      <c r="D759" s="79"/>
      <c r="J759" s="79"/>
      <c r="O759" s="79"/>
      <c r="P759" s="79"/>
      <c r="S759" s="79"/>
      <c r="T759" s="79"/>
      <c r="W759" s="130"/>
      <c r="Y759" s="106"/>
    </row>
    <row r="760">
      <c r="C760" s="79"/>
      <c r="D760" s="79"/>
      <c r="J760" s="79"/>
      <c r="O760" s="79"/>
      <c r="P760" s="79"/>
      <c r="S760" s="79"/>
      <c r="T760" s="79"/>
      <c r="W760" s="130"/>
      <c r="Y760" s="106"/>
    </row>
    <row r="761">
      <c r="C761" s="79"/>
      <c r="D761" s="79"/>
      <c r="J761" s="79"/>
      <c r="O761" s="79"/>
      <c r="P761" s="79"/>
      <c r="S761" s="79"/>
      <c r="T761" s="79"/>
      <c r="W761" s="130"/>
      <c r="Y761" s="106"/>
    </row>
    <row r="762">
      <c r="C762" s="79"/>
      <c r="D762" s="79"/>
      <c r="J762" s="79"/>
      <c r="O762" s="79"/>
      <c r="P762" s="79"/>
      <c r="S762" s="79"/>
      <c r="T762" s="79"/>
      <c r="W762" s="130"/>
      <c r="Y762" s="106"/>
    </row>
    <row r="763">
      <c r="C763" s="79"/>
      <c r="D763" s="79"/>
      <c r="J763" s="79"/>
      <c r="O763" s="79"/>
      <c r="P763" s="79"/>
      <c r="S763" s="79"/>
      <c r="T763" s="79"/>
      <c r="W763" s="130"/>
      <c r="Y763" s="106"/>
    </row>
    <row r="764">
      <c r="C764" s="79"/>
      <c r="D764" s="79"/>
      <c r="J764" s="79"/>
      <c r="O764" s="79"/>
      <c r="P764" s="79"/>
      <c r="S764" s="79"/>
      <c r="T764" s="79"/>
      <c r="W764" s="130"/>
      <c r="Y764" s="106"/>
    </row>
    <row r="765">
      <c r="C765" s="79"/>
      <c r="D765" s="79"/>
      <c r="J765" s="79"/>
      <c r="O765" s="79"/>
      <c r="P765" s="79"/>
      <c r="S765" s="79"/>
      <c r="T765" s="79"/>
      <c r="W765" s="130"/>
      <c r="Y765" s="106"/>
    </row>
    <row r="766">
      <c r="C766" s="79"/>
      <c r="D766" s="79"/>
      <c r="J766" s="79"/>
      <c r="O766" s="79"/>
      <c r="P766" s="79"/>
      <c r="S766" s="79"/>
      <c r="T766" s="79"/>
      <c r="W766" s="130"/>
      <c r="Y766" s="106"/>
    </row>
    <row r="767">
      <c r="C767" s="79"/>
      <c r="D767" s="79"/>
      <c r="J767" s="79"/>
      <c r="O767" s="79"/>
      <c r="P767" s="79"/>
      <c r="S767" s="79"/>
      <c r="T767" s="79"/>
      <c r="W767" s="130"/>
      <c r="Y767" s="106"/>
    </row>
    <row r="768">
      <c r="C768" s="79"/>
      <c r="D768" s="79"/>
      <c r="J768" s="79"/>
      <c r="O768" s="79"/>
      <c r="P768" s="79"/>
      <c r="S768" s="79"/>
      <c r="T768" s="79"/>
      <c r="W768" s="130"/>
      <c r="Y768" s="106"/>
    </row>
    <row r="769">
      <c r="C769" s="79"/>
      <c r="D769" s="79"/>
      <c r="J769" s="79"/>
      <c r="O769" s="79"/>
      <c r="P769" s="79"/>
      <c r="S769" s="79"/>
      <c r="T769" s="79"/>
      <c r="W769" s="130"/>
      <c r="Y769" s="106"/>
    </row>
    <row r="770">
      <c r="C770" s="79"/>
      <c r="D770" s="79"/>
      <c r="J770" s="79"/>
      <c r="O770" s="79"/>
      <c r="P770" s="79"/>
      <c r="S770" s="79"/>
      <c r="T770" s="79"/>
      <c r="W770" s="130"/>
      <c r="Y770" s="106"/>
    </row>
    <row r="771">
      <c r="C771" s="79"/>
      <c r="D771" s="79"/>
      <c r="J771" s="79"/>
      <c r="O771" s="79"/>
      <c r="P771" s="79"/>
      <c r="S771" s="79"/>
      <c r="T771" s="79"/>
      <c r="W771" s="130"/>
      <c r="Y771" s="106"/>
    </row>
    <row r="772">
      <c r="C772" s="79"/>
      <c r="D772" s="79"/>
      <c r="J772" s="79"/>
      <c r="O772" s="79"/>
      <c r="P772" s="79"/>
      <c r="S772" s="79"/>
      <c r="T772" s="79"/>
      <c r="W772" s="130"/>
      <c r="Y772" s="106"/>
    </row>
    <row r="773">
      <c r="C773" s="79"/>
      <c r="D773" s="79"/>
      <c r="J773" s="79"/>
      <c r="O773" s="79"/>
      <c r="P773" s="79"/>
      <c r="S773" s="79"/>
      <c r="T773" s="79"/>
      <c r="W773" s="130"/>
      <c r="Y773" s="106"/>
    </row>
    <row r="774">
      <c r="C774" s="79"/>
      <c r="D774" s="79"/>
      <c r="J774" s="79"/>
      <c r="O774" s="79"/>
      <c r="P774" s="79"/>
      <c r="S774" s="79"/>
      <c r="T774" s="79"/>
      <c r="W774" s="130"/>
      <c r="Y774" s="106"/>
    </row>
    <row r="775">
      <c r="C775" s="79"/>
      <c r="D775" s="79"/>
      <c r="J775" s="79"/>
      <c r="O775" s="79"/>
      <c r="P775" s="79"/>
      <c r="S775" s="79"/>
      <c r="T775" s="79"/>
      <c r="W775" s="130"/>
      <c r="Y775" s="106"/>
    </row>
    <row r="776">
      <c r="C776" s="79"/>
      <c r="D776" s="79"/>
      <c r="J776" s="79"/>
      <c r="O776" s="79"/>
      <c r="P776" s="79"/>
      <c r="S776" s="79"/>
      <c r="T776" s="79"/>
      <c r="W776" s="130"/>
      <c r="Y776" s="106"/>
    </row>
    <row r="777">
      <c r="C777" s="79"/>
      <c r="D777" s="79"/>
      <c r="J777" s="79"/>
      <c r="O777" s="79"/>
      <c r="P777" s="79"/>
      <c r="S777" s="79"/>
      <c r="T777" s="79"/>
      <c r="W777" s="130"/>
      <c r="Y777" s="106"/>
    </row>
    <row r="778">
      <c r="C778" s="79"/>
      <c r="D778" s="79"/>
      <c r="J778" s="79"/>
      <c r="O778" s="79"/>
      <c r="P778" s="79"/>
      <c r="S778" s="79"/>
      <c r="T778" s="79"/>
      <c r="W778" s="130"/>
      <c r="Y778" s="106"/>
    </row>
    <row r="779">
      <c r="C779" s="79"/>
      <c r="D779" s="79"/>
      <c r="J779" s="79"/>
      <c r="O779" s="79"/>
      <c r="P779" s="79"/>
      <c r="S779" s="79"/>
      <c r="T779" s="79"/>
      <c r="W779" s="130"/>
      <c r="Y779" s="106"/>
    </row>
    <row r="780">
      <c r="C780" s="79"/>
      <c r="D780" s="79"/>
      <c r="J780" s="79"/>
      <c r="O780" s="79"/>
      <c r="P780" s="79"/>
      <c r="S780" s="79"/>
      <c r="T780" s="79"/>
      <c r="W780" s="130"/>
      <c r="Y780" s="106"/>
    </row>
    <row r="781">
      <c r="C781" s="79"/>
      <c r="D781" s="79"/>
      <c r="J781" s="79"/>
      <c r="O781" s="79"/>
      <c r="P781" s="79"/>
      <c r="S781" s="79"/>
      <c r="T781" s="79"/>
      <c r="W781" s="130"/>
      <c r="Y781" s="106"/>
    </row>
    <row r="782">
      <c r="C782" s="79"/>
      <c r="D782" s="79"/>
      <c r="J782" s="79"/>
      <c r="O782" s="79"/>
      <c r="P782" s="79"/>
      <c r="S782" s="79"/>
      <c r="T782" s="79"/>
      <c r="W782" s="130"/>
      <c r="Y782" s="106"/>
    </row>
    <row r="783">
      <c r="C783" s="79"/>
      <c r="D783" s="79"/>
      <c r="J783" s="79"/>
      <c r="O783" s="79"/>
      <c r="P783" s="79"/>
      <c r="S783" s="79"/>
      <c r="T783" s="79"/>
      <c r="W783" s="130"/>
      <c r="Y783" s="106"/>
    </row>
    <row r="784">
      <c r="C784" s="79"/>
      <c r="D784" s="79"/>
      <c r="J784" s="79"/>
      <c r="O784" s="79"/>
      <c r="P784" s="79"/>
      <c r="S784" s="79"/>
      <c r="T784" s="79"/>
      <c r="W784" s="130"/>
      <c r="Y784" s="106"/>
    </row>
    <row r="785">
      <c r="C785" s="79"/>
      <c r="D785" s="79"/>
      <c r="J785" s="79"/>
      <c r="O785" s="79"/>
      <c r="P785" s="79"/>
      <c r="S785" s="79"/>
      <c r="T785" s="79"/>
      <c r="W785" s="130"/>
      <c r="Y785" s="106"/>
    </row>
    <row r="786">
      <c r="C786" s="79"/>
      <c r="D786" s="79"/>
      <c r="J786" s="79"/>
      <c r="O786" s="79"/>
      <c r="P786" s="79"/>
      <c r="S786" s="79"/>
      <c r="T786" s="79"/>
      <c r="W786" s="130"/>
      <c r="Y786" s="106"/>
    </row>
    <row r="787">
      <c r="C787" s="79"/>
      <c r="D787" s="79"/>
      <c r="J787" s="79"/>
      <c r="O787" s="79"/>
      <c r="P787" s="79"/>
      <c r="S787" s="79"/>
      <c r="T787" s="79"/>
      <c r="W787" s="130"/>
      <c r="Y787" s="106"/>
    </row>
    <row r="788">
      <c r="C788" s="79"/>
      <c r="D788" s="79"/>
      <c r="J788" s="79"/>
      <c r="O788" s="79"/>
      <c r="P788" s="79"/>
      <c r="S788" s="79"/>
      <c r="T788" s="79"/>
      <c r="W788" s="130"/>
      <c r="Y788" s="106"/>
    </row>
    <row r="789">
      <c r="C789" s="79"/>
      <c r="D789" s="79"/>
      <c r="J789" s="79"/>
      <c r="O789" s="79"/>
      <c r="P789" s="79"/>
      <c r="S789" s="79"/>
      <c r="T789" s="79"/>
      <c r="W789" s="130"/>
      <c r="Y789" s="106"/>
    </row>
    <row r="790">
      <c r="C790" s="79"/>
      <c r="D790" s="79"/>
      <c r="J790" s="79"/>
      <c r="O790" s="79"/>
      <c r="P790" s="79"/>
      <c r="S790" s="79"/>
      <c r="T790" s="79"/>
      <c r="W790" s="130"/>
      <c r="Y790" s="106"/>
    </row>
    <row r="791">
      <c r="C791" s="79"/>
      <c r="D791" s="79"/>
      <c r="J791" s="79"/>
      <c r="O791" s="79"/>
      <c r="P791" s="79"/>
      <c r="S791" s="79"/>
      <c r="T791" s="79"/>
      <c r="W791" s="130"/>
      <c r="Y791" s="106"/>
    </row>
    <row r="792">
      <c r="C792" s="79"/>
      <c r="D792" s="79"/>
      <c r="J792" s="79"/>
      <c r="O792" s="79"/>
      <c r="P792" s="79"/>
      <c r="S792" s="79"/>
      <c r="T792" s="79"/>
      <c r="W792" s="130"/>
      <c r="Y792" s="106"/>
    </row>
    <row r="793">
      <c r="C793" s="79"/>
      <c r="D793" s="79"/>
      <c r="J793" s="79"/>
      <c r="O793" s="79"/>
      <c r="P793" s="79"/>
      <c r="S793" s="79"/>
      <c r="T793" s="79"/>
      <c r="W793" s="130"/>
      <c r="Y793" s="106"/>
    </row>
    <row r="794">
      <c r="C794" s="79"/>
      <c r="D794" s="79"/>
      <c r="J794" s="79"/>
      <c r="O794" s="79"/>
      <c r="P794" s="79"/>
      <c r="S794" s="79"/>
      <c r="T794" s="79"/>
      <c r="W794" s="130"/>
      <c r="Y794" s="106"/>
    </row>
    <row r="795">
      <c r="C795" s="79"/>
      <c r="D795" s="79"/>
      <c r="J795" s="79"/>
      <c r="O795" s="79"/>
      <c r="P795" s="79"/>
      <c r="S795" s="79"/>
      <c r="T795" s="79"/>
      <c r="W795" s="130"/>
      <c r="Y795" s="106"/>
    </row>
    <row r="796">
      <c r="C796" s="79"/>
      <c r="D796" s="79"/>
      <c r="J796" s="79"/>
      <c r="O796" s="79"/>
      <c r="P796" s="79"/>
      <c r="S796" s="79"/>
      <c r="T796" s="79"/>
      <c r="W796" s="130"/>
      <c r="Y796" s="106"/>
    </row>
    <row r="797">
      <c r="C797" s="79"/>
      <c r="D797" s="79"/>
      <c r="J797" s="79"/>
      <c r="O797" s="79"/>
      <c r="P797" s="79"/>
      <c r="S797" s="79"/>
      <c r="T797" s="79"/>
      <c r="W797" s="130"/>
      <c r="Y797" s="106"/>
    </row>
    <row r="798">
      <c r="C798" s="79"/>
      <c r="D798" s="79"/>
      <c r="J798" s="79"/>
      <c r="O798" s="79"/>
      <c r="P798" s="79"/>
      <c r="S798" s="79"/>
      <c r="T798" s="79"/>
      <c r="W798" s="130"/>
      <c r="Y798" s="106"/>
    </row>
    <row r="799">
      <c r="C799" s="79"/>
      <c r="D799" s="79"/>
      <c r="J799" s="79"/>
      <c r="O799" s="79"/>
      <c r="P799" s="79"/>
      <c r="S799" s="79"/>
      <c r="T799" s="79"/>
      <c r="W799" s="130"/>
      <c r="Y799" s="106"/>
    </row>
    <row r="800">
      <c r="C800" s="79"/>
      <c r="D800" s="79"/>
      <c r="J800" s="79"/>
      <c r="O800" s="79"/>
      <c r="P800" s="79"/>
      <c r="S800" s="79"/>
      <c r="T800" s="79"/>
      <c r="W800" s="130"/>
      <c r="Y800" s="106"/>
    </row>
    <row r="801">
      <c r="C801" s="79"/>
      <c r="D801" s="79"/>
      <c r="J801" s="79"/>
      <c r="O801" s="79"/>
      <c r="P801" s="79"/>
      <c r="S801" s="79"/>
      <c r="T801" s="79"/>
      <c r="W801" s="130"/>
      <c r="Y801" s="106"/>
    </row>
    <row r="802">
      <c r="C802" s="79"/>
      <c r="D802" s="79"/>
      <c r="J802" s="79"/>
      <c r="O802" s="79"/>
      <c r="P802" s="79"/>
      <c r="S802" s="79"/>
      <c r="T802" s="79"/>
      <c r="W802" s="130"/>
      <c r="Y802" s="106"/>
    </row>
    <row r="803">
      <c r="C803" s="79"/>
      <c r="D803" s="79"/>
      <c r="J803" s="79"/>
      <c r="O803" s="79"/>
      <c r="P803" s="79"/>
      <c r="S803" s="79"/>
      <c r="T803" s="79"/>
      <c r="W803" s="130"/>
      <c r="Y803" s="106"/>
    </row>
    <row r="804">
      <c r="C804" s="79"/>
      <c r="D804" s="79"/>
      <c r="J804" s="79"/>
      <c r="O804" s="79"/>
      <c r="P804" s="79"/>
      <c r="S804" s="79"/>
      <c r="T804" s="79"/>
      <c r="W804" s="130"/>
      <c r="Y804" s="106"/>
    </row>
    <row r="805">
      <c r="C805" s="79"/>
      <c r="D805" s="79"/>
      <c r="J805" s="79"/>
      <c r="O805" s="79"/>
      <c r="P805" s="79"/>
      <c r="S805" s="79"/>
      <c r="T805" s="79"/>
      <c r="W805" s="130"/>
      <c r="Y805" s="106"/>
    </row>
    <row r="806">
      <c r="C806" s="79"/>
      <c r="D806" s="79"/>
      <c r="J806" s="79"/>
      <c r="O806" s="79"/>
      <c r="P806" s="79"/>
      <c r="S806" s="79"/>
      <c r="T806" s="79"/>
      <c r="W806" s="130"/>
      <c r="Y806" s="106"/>
    </row>
    <row r="807">
      <c r="C807" s="79"/>
      <c r="D807" s="79"/>
      <c r="J807" s="79"/>
      <c r="O807" s="79"/>
      <c r="P807" s="79"/>
      <c r="S807" s="79"/>
      <c r="T807" s="79"/>
      <c r="W807" s="130"/>
      <c r="Y807" s="106"/>
    </row>
    <row r="808">
      <c r="C808" s="79"/>
      <c r="D808" s="79"/>
      <c r="J808" s="79"/>
      <c r="O808" s="79"/>
      <c r="P808" s="79"/>
      <c r="S808" s="79"/>
      <c r="T808" s="79"/>
      <c r="W808" s="130"/>
      <c r="Y808" s="106"/>
    </row>
    <row r="809">
      <c r="C809" s="79"/>
      <c r="D809" s="79"/>
      <c r="J809" s="79"/>
      <c r="O809" s="79"/>
      <c r="P809" s="79"/>
      <c r="S809" s="79"/>
      <c r="T809" s="79"/>
      <c r="W809" s="130"/>
      <c r="Y809" s="106"/>
    </row>
    <row r="810">
      <c r="C810" s="79"/>
      <c r="D810" s="79"/>
      <c r="J810" s="79"/>
      <c r="O810" s="79"/>
      <c r="P810" s="79"/>
      <c r="S810" s="79"/>
      <c r="T810" s="79"/>
      <c r="W810" s="130"/>
      <c r="Y810" s="106"/>
    </row>
    <row r="811">
      <c r="C811" s="79"/>
      <c r="D811" s="79"/>
      <c r="J811" s="79"/>
      <c r="O811" s="79"/>
      <c r="P811" s="79"/>
      <c r="S811" s="79"/>
      <c r="T811" s="79"/>
      <c r="W811" s="130"/>
      <c r="Y811" s="106"/>
    </row>
    <row r="812">
      <c r="C812" s="79"/>
      <c r="D812" s="79"/>
      <c r="J812" s="79"/>
      <c r="O812" s="79"/>
      <c r="P812" s="79"/>
      <c r="S812" s="79"/>
      <c r="T812" s="79"/>
      <c r="W812" s="130"/>
      <c r="Y812" s="106"/>
    </row>
    <row r="813">
      <c r="C813" s="79"/>
      <c r="D813" s="79"/>
      <c r="J813" s="79"/>
      <c r="O813" s="79"/>
      <c r="P813" s="79"/>
      <c r="S813" s="79"/>
      <c r="T813" s="79"/>
      <c r="W813" s="130"/>
      <c r="Y813" s="106"/>
    </row>
    <row r="814">
      <c r="C814" s="79"/>
      <c r="D814" s="79"/>
      <c r="J814" s="79"/>
      <c r="O814" s="79"/>
      <c r="P814" s="79"/>
      <c r="S814" s="79"/>
      <c r="T814" s="79"/>
      <c r="W814" s="130"/>
      <c r="Y814" s="106"/>
    </row>
    <row r="815">
      <c r="C815" s="79"/>
      <c r="D815" s="79"/>
      <c r="J815" s="79"/>
      <c r="O815" s="79"/>
      <c r="P815" s="79"/>
      <c r="S815" s="79"/>
      <c r="T815" s="79"/>
      <c r="W815" s="130"/>
      <c r="Y815" s="106"/>
    </row>
    <row r="816">
      <c r="C816" s="79"/>
      <c r="D816" s="79"/>
      <c r="J816" s="79"/>
      <c r="O816" s="79"/>
      <c r="P816" s="79"/>
      <c r="S816" s="79"/>
      <c r="T816" s="79"/>
      <c r="W816" s="130"/>
      <c r="Y816" s="106"/>
    </row>
    <row r="817">
      <c r="C817" s="79"/>
      <c r="D817" s="79"/>
      <c r="J817" s="79"/>
      <c r="O817" s="79"/>
      <c r="P817" s="79"/>
      <c r="S817" s="79"/>
      <c r="T817" s="79"/>
      <c r="W817" s="130"/>
      <c r="Y817" s="106"/>
    </row>
    <row r="818">
      <c r="C818" s="79"/>
      <c r="D818" s="79"/>
      <c r="J818" s="79"/>
      <c r="O818" s="79"/>
      <c r="P818" s="79"/>
      <c r="S818" s="79"/>
      <c r="T818" s="79"/>
      <c r="W818" s="130"/>
      <c r="Y818" s="106"/>
    </row>
    <row r="819">
      <c r="C819" s="79"/>
      <c r="D819" s="79"/>
      <c r="J819" s="79"/>
      <c r="O819" s="79"/>
      <c r="P819" s="79"/>
      <c r="S819" s="79"/>
      <c r="T819" s="79"/>
      <c r="W819" s="130"/>
      <c r="Y819" s="106"/>
    </row>
    <row r="820">
      <c r="C820" s="79"/>
      <c r="D820" s="79"/>
      <c r="J820" s="79"/>
      <c r="O820" s="79"/>
      <c r="P820" s="79"/>
      <c r="S820" s="79"/>
      <c r="T820" s="79"/>
      <c r="W820" s="130"/>
      <c r="Y820" s="106"/>
    </row>
    <row r="821">
      <c r="C821" s="79"/>
      <c r="D821" s="79"/>
      <c r="J821" s="79"/>
      <c r="O821" s="79"/>
      <c r="P821" s="79"/>
      <c r="S821" s="79"/>
      <c r="T821" s="79"/>
      <c r="W821" s="130"/>
      <c r="Y821" s="106"/>
    </row>
    <row r="822">
      <c r="C822" s="79"/>
      <c r="D822" s="79"/>
      <c r="J822" s="79"/>
      <c r="O822" s="79"/>
      <c r="P822" s="79"/>
      <c r="S822" s="79"/>
      <c r="T822" s="79"/>
      <c r="W822" s="130"/>
      <c r="Y822" s="106"/>
    </row>
    <row r="823">
      <c r="C823" s="79"/>
      <c r="D823" s="79"/>
      <c r="J823" s="79"/>
      <c r="O823" s="79"/>
      <c r="P823" s="79"/>
      <c r="S823" s="79"/>
      <c r="T823" s="79"/>
      <c r="W823" s="130"/>
      <c r="Y823" s="106"/>
    </row>
    <row r="824">
      <c r="C824" s="79"/>
      <c r="D824" s="79"/>
      <c r="J824" s="79"/>
      <c r="O824" s="79"/>
      <c r="P824" s="79"/>
      <c r="S824" s="79"/>
      <c r="T824" s="79"/>
      <c r="W824" s="130"/>
      <c r="Y824" s="106"/>
    </row>
    <row r="825">
      <c r="C825" s="79"/>
      <c r="D825" s="79"/>
      <c r="J825" s="79"/>
      <c r="O825" s="79"/>
      <c r="P825" s="79"/>
      <c r="S825" s="79"/>
      <c r="T825" s="79"/>
      <c r="W825" s="130"/>
      <c r="Y825" s="106"/>
    </row>
    <row r="826">
      <c r="C826" s="79"/>
      <c r="D826" s="79"/>
      <c r="J826" s="79"/>
      <c r="O826" s="79"/>
      <c r="P826" s="79"/>
      <c r="S826" s="79"/>
      <c r="T826" s="79"/>
      <c r="W826" s="130"/>
      <c r="Y826" s="106"/>
    </row>
    <row r="827">
      <c r="C827" s="79"/>
      <c r="D827" s="79"/>
      <c r="J827" s="79"/>
      <c r="O827" s="79"/>
      <c r="P827" s="79"/>
      <c r="S827" s="79"/>
      <c r="T827" s="79"/>
      <c r="W827" s="130"/>
      <c r="Y827" s="106"/>
    </row>
    <row r="828">
      <c r="C828" s="79"/>
      <c r="D828" s="79"/>
      <c r="J828" s="79"/>
      <c r="O828" s="79"/>
      <c r="P828" s="79"/>
      <c r="S828" s="79"/>
      <c r="T828" s="79"/>
      <c r="W828" s="130"/>
      <c r="Y828" s="106"/>
    </row>
    <row r="829">
      <c r="C829" s="79"/>
      <c r="D829" s="79"/>
      <c r="J829" s="79"/>
      <c r="O829" s="79"/>
      <c r="P829" s="79"/>
      <c r="S829" s="79"/>
      <c r="T829" s="79"/>
      <c r="W829" s="130"/>
      <c r="Y829" s="106"/>
    </row>
    <row r="830">
      <c r="C830" s="79"/>
      <c r="D830" s="79"/>
      <c r="J830" s="79"/>
      <c r="O830" s="79"/>
      <c r="P830" s="79"/>
      <c r="S830" s="79"/>
      <c r="T830" s="79"/>
      <c r="W830" s="130"/>
      <c r="Y830" s="106"/>
    </row>
    <row r="831">
      <c r="C831" s="79"/>
      <c r="D831" s="79"/>
      <c r="J831" s="79"/>
      <c r="O831" s="79"/>
      <c r="P831" s="79"/>
      <c r="S831" s="79"/>
      <c r="T831" s="79"/>
      <c r="W831" s="130"/>
      <c r="Y831" s="106"/>
    </row>
    <row r="832">
      <c r="C832" s="79"/>
      <c r="D832" s="79"/>
      <c r="J832" s="79"/>
      <c r="O832" s="79"/>
      <c r="P832" s="79"/>
      <c r="S832" s="79"/>
      <c r="T832" s="79"/>
      <c r="W832" s="130"/>
      <c r="Y832" s="106"/>
    </row>
    <row r="833">
      <c r="C833" s="79"/>
      <c r="D833" s="79"/>
      <c r="J833" s="79"/>
      <c r="O833" s="79"/>
      <c r="P833" s="79"/>
      <c r="S833" s="79"/>
      <c r="T833" s="79"/>
      <c r="W833" s="130"/>
      <c r="Y833" s="106"/>
    </row>
    <row r="834">
      <c r="C834" s="79"/>
      <c r="D834" s="79"/>
      <c r="J834" s="79"/>
      <c r="O834" s="79"/>
      <c r="P834" s="79"/>
      <c r="S834" s="79"/>
      <c r="T834" s="79"/>
      <c r="W834" s="130"/>
      <c r="Y834" s="106"/>
    </row>
    <row r="835">
      <c r="C835" s="79"/>
      <c r="D835" s="79"/>
      <c r="J835" s="79"/>
      <c r="O835" s="79"/>
      <c r="P835" s="79"/>
      <c r="S835" s="79"/>
      <c r="T835" s="79"/>
      <c r="W835" s="130"/>
      <c r="Y835" s="106"/>
    </row>
    <row r="836">
      <c r="C836" s="79"/>
      <c r="D836" s="79"/>
      <c r="J836" s="79"/>
      <c r="O836" s="79"/>
      <c r="P836" s="79"/>
      <c r="S836" s="79"/>
      <c r="T836" s="79"/>
      <c r="W836" s="130"/>
      <c r="Y836" s="106"/>
    </row>
    <row r="837">
      <c r="C837" s="79"/>
      <c r="D837" s="79"/>
      <c r="J837" s="79"/>
      <c r="O837" s="79"/>
      <c r="P837" s="79"/>
      <c r="S837" s="79"/>
      <c r="T837" s="79"/>
      <c r="W837" s="130"/>
      <c r="Y837" s="106"/>
    </row>
    <row r="838">
      <c r="C838" s="79"/>
      <c r="D838" s="79"/>
      <c r="J838" s="79"/>
      <c r="O838" s="79"/>
      <c r="P838" s="79"/>
      <c r="S838" s="79"/>
      <c r="T838" s="79"/>
      <c r="W838" s="130"/>
      <c r="Y838" s="106"/>
    </row>
    <row r="839">
      <c r="C839" s="79"/>
      <c r="D839" s="79"/>
      <c r="J839" s="79"/>
      <c r="O839" s="79"/>
      <c r="P839" s="79"/>
      <c r="S839" s="79"/>
      <c r="T839" s="79"/>
      <c r="W839" s="130"/>
      <c r="Y839" s="106"/>
    </row>
    <row r="840">
      <c r="C840" s="79"/>
      <c r="D840" s="79"/>
      <c r="J840" s="79"/>
      <c r="O840" s="79"/>
      <c r="P840" s="79"/>
      <c r="S840" s="79"/>
      <c r="T840" s="79"/>
      <c r="W840" s="130"/>
      <c r="Y840" s="106"/>
    </row>
    <row r="841">
      <c r="C841" s="79"/>
      <c r="D841" s="79"/>
      <c r="J841" s="79"/>
      <c r="O841" s="79"/>
      <c r="P841" s="79"/>
      <c r="S841" s="79"/>
      <c r="T841" s="79"/>
      <c r="W841" s="130"/>
      <c r="Y841" s="106"/>
    </row>
    <row r="842">
      <c r="C842" s="79"/>
      <c r="D842" s="79"/>
      <c r="J842" s="79"/>
      <c r="O842" s="79"/>
      <c r="P842" s="79"/>
      <c r="S842" s="79"/>
      <c r="T842" s="79"/>
      <c r="W842" s="130"/>
      <c r="Y842" s="106"/>
    </row>
    <row r="843">
      <c r="C843" s="79"/>
      <c r="D843" s="79"/>
      <c r="J843" s="79"/>
      <c r="O843" s="79"/>
      <c r="P843" s="79"/>
      <c r="S843" s="79"/>
      <c r="T843" s="79"/>
      <c r="W843" s="130"/>
      <c r="Y843" s="106"/>
    </row>
    <row r="844">
      <c r="C844" s="79"/>
      <c r="D844" s="79"/>
      <c r="J844" s="79"/>
      <c r="O844" s="79"/>
      <c r="P844" s="79"/>
      <c r="S844" s="79"/>
      <c r="T844" s="79"/>
      <c r="W844" s="130"/>
      <c r="Y844" s="106"/>
    </row>
    <row r="845">
      <c r="C845" s="79"/>
      <c r="D845" s="79"/>
      <c r="J845" s="79"/>
      <c r="O845" s="79"/>
      <c r="P845" s="79"/>
      <c r="S845" s="79"/>
      <c r="T845" s="79"/>
      <c r="W845" s="130"/>
      <c r="Y845" s="106"/>
    </row>
    <row r="846">
      <c r="C846" s="79"/>
      <c r="D846" s="79"/>
      <c r="J846" s="79"/>
      <c r="O846" s="79"/>
      <c r="P846" s="79"/>
      <c r="S846" s="79"/>
      <c r="T846" s="79"/>
      <c r="W846" s="130"/>
      <c r="Y846" s="106"/>
    </row>
    <row r="847">
      <c r="C847" s="79"/>
      <c r="D847" s="79"/>
      <c r="J847" s="79"/>
      <c r="O847" s="79"/>
      <c r="P847" s="79"/>
      <c r="S847" s="79"/>
      <c r="T847" s="79"/>
      <c r="W847" s="130"/>
      <c r="Y847" s="106"/>
    </row>
    <row r="848">
      <c r="C848" s="79"/>
      <c r="D848" s="79"/>
      <c r="J848" s="79"/>
      <c r="O848" s="79"/>
      <c r="P848" s="79"/>
      <c r="S848" s="79"/>
      <c r="T848" s="79"/>
      <c r="W848" s="130"/>
      <c r="Y848" s="106"/>
    </row>
    <row r="849">
      <c r="C849" s="79"/>
      <c r="D849" s="79"/>
      <c r="J849" s="79"/>
      <c r="O849" s="79"/>
      <c r="P849" s="79"/>
      <c r="S849" s="79"/>
      <c r="T849" s="79"/>
      <c r="W849" s="130"/>
      <c r="Y849" s="106"/>
    </row>
    <row r="850">
      <c r="C850" s="79"/>
      <c r="D850" s="79"/>
      <c r="J850" s="79"/>
      <c r="O850" s="79"/>
      <c r="P850" s="79"/>
      <c r="S850" s="79"/>
      <c r="T850" s="79"/>
      <c r="W850" s="130"/>
      <c r="Y850" s="106"/>
    </row>
    <row r="851">
      <c r="C851" s="79"/>
      <c r="D851" s="79"/>
      <c r="J851" s="79"/>
      <c r="O851" s="79"/>
      <c r="P851" s="79"/>
      <c r="S851" s="79"/>
      <c r="T851" s="79"/>
      <c r="W851" s="130"/>
      <c r="Y851" s="106"/>
    </row>
    <row r="852">
      <c r="C852" s="79"/>
      <c r="D852" s="79"/>
      <c r="J852" s="79"/>
      <c r="O852" s="79"/>
      <c r="P852" s="79"/>
      <c r="S852" s="79"/>
      <c r="T852" s="79"/>
      <c r="W852" s="130"/>
      <c r="Y852" s="106"/>
    </row>
    <row r="853">
      <c r="C853" s="79"/>
      <c r="D853" s="79"/>
      <c r="J853" s="79"/>
      <c r="O853" s="79"/>
      <c r="P853" s="79"/>
      <c r="S853" s="79"/>
      <c r="T853" s="79"/>
      <c r="W853" s="130"/>
      <c r="Y853" s="106"/>
    </row>
    <row r="854">
      <c r="C854" s="79"/>
      <c r="D854" s="79"/>
      <c r="J854" s="79"/>
      <c r="O854" s="79"/>
      <c r="P854" s="79"/>
      <c r="S854" s="79"/>
      <c r="T854" s="79"/>
      <c r="W854" s="130"/>
      <c r="Y854" s="106"/>
    </row>
    <row r="855">
      <c r="C855" s="79"/>
      <c r="D855" s="79"/>
      <c r="J855" s="79"/>
      <c r="O855" s="79"/>
      <c r="P855" s="79"/>
      <c r="S855" s="79"/>
      <c r="T855" s="79"/>
      <c r="W855" s="130"/>
      <c r="Y855" s="106"/>
    </row>
    <row r="856">
      <c r="C856" s="79"/>
      <c r="D856" s="79"/>
      <c r="J856" s="79"/>
      <c r="O856" s="79"/>
      <c r="P856" s="79"/>
      <c r="S856" s="79"/>
      <c r="T856" s="79"/>
      <c r="W856" s="130"/>
      <c r="Y856" s="106"/>
    </row>
    <row r="857">
      <c r="C857" s="79"/>
      <c r="D857" s="79"/>
      <c r="J857" s="79"/>
      <c r="O857" s="79"/>
      <c r="P857" s="79"/>
      <c r="S857" s="79"/>
      <c r="T857" s="79"/>
      <c r="W857" s="130"/>
      <c r="Y857" s="106"/>
    </row>
    <row r="858">
      <c r="C858" s="79"/>
      <c r="D858" s="79"/>
      <c r="J858" s="79"/>
      <c r="O858" s="79"/>
      <c r="P858" s="79"/>
      <c r="S858" s="79"/>
      <c r="T858" s="79"/>
      <c r="W858" s="130"/>
      <c r="Y858" s="106"/>
    </row>
    <row r="859">
      <c r="C859" s="79"/>
      <c r="D859" s="79"/>
      <c r="J859" s="79"/>
      <c r="O859" s="79"/>
      <c r="P859" s="79"/>
      <c r="S859" s="79"/>
      <c r="T859" s="79"/>
      <c r="W859" s="130"/>
      <c r="Y859" s="106"/>
    </row>
    <row r="860">
      <c r="C860" s="79"/>
      <c r="D860" s="79"/>
      <c r="J860" s="79"/>
      <c r="O860" s="79"/>
      <c r="P860" s="79"/>
      <c r="S860" s="79"/>
      <c r="T860" s="79"/>
      <c r="W860" s="130"/>
      <c r="Y860" s="106"/>
    </row>
    <row r="861">
      <c r="C861" s="79"/>
      <c r="D861" s="79"/>
      <c r="J861" s="79"/>
      <c r="O861" s="79"/>
      <c r="P861" s="79"/>
      <c r="S861" s="79"/>
      <c r="T861" s="79"/>
      <c r="W861" s="130"/>
      <c r="Y861" s="106"/>
    </row>
    <row r="862">
      <c r="C862" s="79"/>
      <c r="D862" s="79"/>
      <c r="J862" s="79"/>
      <c r="O862" s="79"/>
      <c r="P862" s="79"/>
      <c r="S862" s="79"/>
      <c r="T862" s="79"/>
      <c r="W862" s="130"/>
      <c r="Y862" s="106"/>
    </row>
    <row r="863">
      <c r="C863" s="79"/>
      <c r="D863" s="79"/>
      <c r="J863" s="79"/>
      <c r="O863" s="79"/>
      <c r="P863" s="79"/>
      <c r="S863" s="79"/>
      <c r="T863" s="79"/>
      <c r="W863" s="130"/>
      <c r="Y863" s="106"/>
    </row>
    <row r="864">
      <c r="C864" s="79"/>
      <c r="D864" s="79"/>
      <c r="J864" s="79"/>
      <c r="O864" s="79"/>
      <c r="P864" s="79"/>
      <c r="S864" s="79"/>
      <c r="T864" s="79"/>
      <c r="W864" s="130"/>
      <c r="Y864" s="106"/>
    </row>
    <row r="865">
      <c r="C865" s="79"/>
      <c r="D865" s="79"/>
      <c r="J865" s="79"/>
      <c r="O865" s="79"/>
      <c r="P865" s="79"/>
      <c r="S865" s="79"/>
      <c r="T865" s="79"/>
      <c r="W865" s="130"/>
      <c r="Y865" s="106"/>
    </row>
    <row r="866">
      <c r="C866" s="79"/>
      <c r="D866" s="79"/>
      <c r="J866" s="79"/>
      <c r="O866" s="79"/>
      <c r="P866" s="79"/>
      <c r="S866" s="79"/>
      <c r="T866" s="79"/>
      <c r="W866" s="130"/>
      <c r="Y866" s="106"/>
    </row>
    <row r="867">
      <c r="C867" s="79"/>
      <c r="D867" s="79"/>
      <c r="J867" s="79"/>
      <c r="O867" s="79"/>
      <c r="P867" s="79"/>
      <c r="S867" s="79"/>
      <c r="T867" s="79"/>
      <c r="W867" s="130"/>
      <c r="Y867" s="106"/>
    </row>
    <row r="868">
      <c r="C868" s="79"/>
      <c r="D868" s="79"/>
      <c r="J868" s="79"/>
      <c r="O868" s="79"/>
      <c r="P868" s="79"/>
      <c r="S868" s="79"/>
      <c r="T868" s="79"/>
      <c r="W868" s="130"/>
      <c r="Y868" s="106"/>
    </row>
    <row r="869">
      <c r="C869" s="79"/>
      <c r="D869" s="79"/>
      <c r="J869" s="79"/>
      <c r="O869" s="79"/>
      <c r="P869" s="79"/>
      <c r="S869" s="79"/>
      <c r="T869" s="79"/>
      <c r="W869" s="130"/>
      <c r="Y869" s="106"/>
    </row>
    <row r="870">
      <c r="C870" s="79"/>
      <c r="D870" s="79"/>
      <c r="J870" s="79"/>
      <c r="O870" s="79"/>
      <c r="P870" s="79"/>
      <c r="S870" s="79"/>
      <c r="T870" s="79"/>
      <c r="W870" s="130"/>
      <c r="Y870" s="106"/>
    </row>
    <row r="871">
      <c r="C871" s="79"/>
      <c r="D871" s="79"/>
      <c r="J871" s="79"/>
      <c r="O871" s="79"/>
      <c r="P871" s="79"/>
      <c r="S871" s="79"/>
      <c r="T871" s="79"/>
      <c r="W871" s="130"/>
      <c r="Y871" s="106"/>
    </row>
    <row r="872">
      <c r="C872" s="79"/>
      <c r="D872" s="79"/>
      <c r="J872" s="79"/>
      <c r="O872" s="79"/>
      <c r="P872" s="79"/>
      <c r="S872" s="79"/>
      <c r="T872" s="79"/>
      <c r="W872" s="130"/>
      <c r="Y872" s="106"/>
    </row>
    <row r="873">
      <c r="C873" s="79"/>
      <c r="D873" s="79"/>
      <c r="J873" s="79"/>
      <c r="O873" s="79"/>
      <c r="P873" s="79"/>
      <c r="S873" s="79"/>
      <c r="T873" s="79"/>
      <c r="W873" s="130"/>
      <c r="Y873" s="106"/>
    </row>
    <row r="874">
      <c r="C874" s="79"/>
      <c r="D874" s="79"/>
      <c r="J874" s="79"/>
      <c r="O874" s="79"/>
      <c r="P874" s="79"/>
      <c r="S874" s="79"/>
      <c r="T874" s="79"/>
      <c r="W874" s="130"/>
      <c r="Y874" s="106"/>
    </row>
    <row r="875">
      <c r="C875" s="79"/>
      <c r="D875" s="79"/>
      <c r="J875" s="79"/>
      <c r="O875" s="79"/>
      <c r="P875" s="79"/>
      <c r="S875" s="79"/>
      <c r="T875" s="79"/>
      <c r="W875" s="130"/>
      <c r="Y875" s="106"/>
    </row>
    <row r="876">
      <c r="C876" s="79"/>
      <c r="D876" s="79"/>
      <c r="J876" s="79"/>
      <c r="O876" s="79"/>
      <c r="P876" s="79"/>
      <c r="S876" s="79"/>
      <c r="T876" s="79"/>
      <c r="W876" s="130"/>
      <c r="Y876" s="106"/>
    </row>
    <row r="877">
      <c r="C877" s="79"/>
      <c r="D877" s="79"/>
      <c r="J877" s="79"/>
      <c r="O877" s="79"/>
      <c r="P877" s="79"/>
      <c r="S877" s="79"/>
      <c r="T877" s="79"/>
      <c r="W877" s="130"/>
      <c r="Y877" s="106"/>
    </row>
    <row r="878">
      <c r="C878" s="79"/>
      <c r="D878" s="79"/>
      <c r="J878" s="79"/>
      <c r="O878" s="79"/>
      <c r="P878" s="79"/>
      <c r="S878" s="79"/>
      <c r="T878" s="79"/>
      <c r="W878" s="130"/>
      <c r="Y878" s="106"/>
    </row>
    <row r="879">
      <c r="C879" s="79"/>
      <c r="D879" s="79"/>
      <c r="J879" s="79"/>
      <c r="O879" s="79"/>
      <c r="P879" s="79"/>
      <c r="S879" s="79"/>
      <c r="T879" s="79"/>
      <c r="W879" s="130"/>
      <c r="Y879" s="106"/>
    </row>
    <row r="880">
      <c r="C880" s="79"/>
      <c r="D880" s="79"/>
      <c r="J880" s="79"/>
      <c r="O880" s="79"/>
      <c r="P880" s="79"/>
      <c r="S880" s="79"/>
      <c r="T880" s="79"/>
      <c r="W880" s="130"/>
      <c r="Y880" s="106"/>
    </row>
    <row r="881">
      <c r="C881" s="79"/>
      <c r="D881" s="79"/>
      <c r="J881" s="79"/>
      <c r="O881" s="79"/>
      <c r="P881" s="79"/>
      <c r="S881" s="79"/>
      <c r="T881" s="79"/>
      <c r="W881" s="130"/>
      <c r="Y881" s="106"/>
    </row>
    <row r="882">
      <c r="C882" s="79"/>
      <c r="D882" s="79"/>
      <c r="J882" s="79"/>
      <c r="O882" s="79"/>
      <c r="P882" s="79"/>
      <c r="S882" s="79"/>
      <c r="T882" s="79"/>
      <c r="W882" s="130"/>
      <c r="Y882" s="106"/>
    </row>
    <row r="883">
      <c r="C883" s="79"/>
      <c r="D883" s="79"/>
      <c r="J883" s="79"/>
      <c r="O883" s="79"/>
      <c r="P883" s="79"/>
      <c r="S883" s="79"/>
      <c r="T883" s="79"/>
      <c r="W883" s="130"/>
      <c r="Y883" s="106"/>
    </row>
    <row r="884">
      <c r="C884" s="79"/>
      <c r="D884" s="79"/>
      <c r="J884" s="79"/>
      <c r="O884" s="79"/>
      <c r="P884" s="79"/>
      <c r="S884" s="79"/>
      <c r="T884" s="79"/>
      <c r="W884" s="130"/>
      <c r="Y884" s="106"/>
    </row>
    <row r="885">
      <c r="C885" s="79"/>
      <c r="D885" s="79"/>
      <c r="J885" s="79"/>
      <c r="O885" s="79"/>
      <c r="P885" s="79"/>
      <c r="S885" s="79"/>
      <c r="T885" s="79"/>
      <c r="W885" s="130"/>
      <c r="Y885" s="106"/>
    </row>
    <row r="886">
      <c r="C886" s="79"/>
      <c r="D886" s="79"/>
      <c r="J886" s="79"/>
      <c r="O886" s="79"/>
      <c r="P886" s="79"/>
      <c r="S886" s="79"/>
      <c r="T886" s="79"/>
      <c r="W886" s="130"/>
      <c r="Y886" s="106"/>
    </row>
    <row r="887">
      <c r="C887" s="79"/>
      <c r="D887" s="79"/>
      <c r="J887" s="79"/>
      <c r="O887" s="79"/>
      <c r="P887" s="79"/>
      <c r="S887" s="79"/>
      <c r="T887" s="79"/>
      <c r="W887" s="130"/>
      <c r="Y887" s="106"/>
    </row>
    <row r="888">
      <c r="C888" s="79"/>
      <c r="D888" s="79"/>
      <c r="J888" s="79"/>
      <c r="O888" s="79"/>
      <c r="P888" s="79"/>
      <c r="S888" s="79"/>
      <c r="T888" s="79"/>
      <c r="W888" s="130"/>
      <c r="Y888" s="106"/>
    </row>
    <row r="889">
      <c r="C889" s="79"/>
      <c r="D889" s="79"/>
      <c r="J889" s="79"/>
      <c r="O889" s="79"/>
      <c r="P889" s="79"/>
      <c r="S889" s="79"/>
      <c r="T889" s="79"/>
      <c r="W889" s="130"/>
      <c r="Y889" s="106"/>
    </row>
    <row r="890">
      <c r="C890" s="79"/>
      <c r="D890" s="79"/>
      <c r="J890" s="79"/>
      <c r="O890" s="79"/>
      <c r="P890" s="79"/>
      <c r="S890" s="79"/>
      <c r="T890" s="79"/>
      <c r="W890" s="130"/>
      <c r="Y890" s="106"/>
    </row>
    <row r="891">
      <c r="C891" s="79"/>
      <c r="D891" s="79"/>
      <c r="J891" s="79"/>
      <c r="O891" s="79"/>
      <c r="P891" s="79"/>
      <c r="S891" s="79"/>
      <c r="T891" s="79"/>
      <c r="W891" s="130"/>
      <c r="Y891" s="106"/>
    </row>
    <row r="892">
      <c r="C892" s="79"/>
      <c r="D892" s="79"/>
      <c r="J892" s="79"/>
      <c r="O892" s="79"/>
      <c r="P892" s="79"/>
      <c r="S892" s="79"/>
      <c r="T892" s="79"/>
      <c r="W892" s="130"/>
      <c r="Y892" s="106"/>
    </row>
    <row r="893">
      <c r="C893" s="79"/>
      <c r="D893" s="79"/>
      <c r="J893" s="79"/>
      <c r="O893" s="79"/>
      <c r="P893" s="79"/>
      <c r="S893" s="79"/>
      <c r="T893" s="79"/>
      <c r="W893" s="130"/>
      <c r="Y893" s="106"/>
    </row>
    <row r="894">
      <c r="C894" s="79"/>
      <c r="D894" s="79"/>
      <c r="J894" s="79"/>
      <c r="O894" s="79"/>
      <c r="P894" s="79"/>
      <c r="S894" s="79"/>
      <c r="T894" s="79"/>
      <c r="W894" s="130"/>
      <c r="Y894" s="106"/>
    </row>
    <row r="895">
      <c r="C895" s="79"/>
      <c r="D895" s="79"/>
      <c r="J895" s="79"/>
      <c r="O895" s="79"/>
      <c r="P895" s="79"/>
      <c r="S895" s="79"/>
      <c r="T895" s="79"/>
      <c r="W895" s="130"/>
      <c r="Y895" s="106"/>
    </row>
    <row r="896">
      <c r="C896" s="79"/>
      <c r="D896" s="79"/>
      <c r="J896" s="79"/>
      <c r="O896" s="79"/>
      <c r="P896" s="79"/>
      <c r="S896" s="79"/>
      <c r="T896" s="79"/>
      <c r="W896" s="130"/>
      <c r="Y896" s="106"/>
    </row>
    <row r="897">
      <c r="C897" s="79"/>
      <c r="D897" s="79"/>
      <c r="J897" s="79"/>
      <c r="O897" s="79"/>
      <c r="P897" s="79"/>
      <c r="S897" s="79"/>
      <c r="T897" s="79"/>
      <c r="W897" s="130"/>
      <c r="Y897" s="106"/>
    </row>
    <row r="898">
      <c r="C898" s="79"/>
      <c r="D898" s="79"/>
      <c r="J898" s="79"/>
      <c r="O898" s="79"/>
      <c r="P898" s="79"/>
      <c r="S898" s="79"/>
      <c r="T898" s="79"/>
      <c r="W898" s="130"/>
      <c r="Y898" s="106"/>
    </row>
    <row r="899">
      <c r="C899" s="79"/>
      <c r="D899" s="79"/>
      <c r="J899" s="79"/>
      <c r="O899" s="79"/>
      <c r="P899" s="79"/>
      <c r="S899" s="79"/>
      <c r="T899" s="79"/>
      <c r="W899" s="130"/>
      <c r="Y899" s="106"/>
    </row>
    <row r="900">
      <c r="C900" s="79"/>
      <c r="D900" s="79"/>
      <c r="J900" s="79"/>
      <c r="O900" s="79"/>
      <c r="P900" s="79"/>
      <c r="S900" s="79"/>
      <c r="T900" s="79"/>
      <c r="W900" s="130"/>
      <c r="Y900" s="106"/>
    </row>
    <row r="901">
      <c r="C901" s="79"/>
      <c r="D901" s="79"/>
      <c r="J901" s="79"/>
      <c r="O901" s="79"/>
      <c r="P901" s="79"/>
      <c r="S901" s="79"/>
      <c r="T901" s="79"/>
      <c r="W901" s="130"/>
      <c r="Y901" s="106"/>
    </row>
    <row r="902">
      <c r="C902" s="79"/>
      <c r="D902" s="79"/>
      <c r="J902" s="79"/>
      <c r="O902" s="79"/>
      <c r="P902" s="79"/>
      <c r="S902" s="79"/>
      <c r="T902" s="79"/>
      <c r="W902" s="130"/>
      <c r="Y902" s="106"/>
    </row>
    <row r="903">
      <c r="C903" s="79"/>
      <c r="D903" s="79"/>
      <c r="J903" s="79"/>
      <c r="O903" s="79"/>
      <c r="P903" s="79"/>
      <c r="S903" s="79"/>
      <c r="T903" s="79"/>
      <c r="W903" s="130"/>
      <c r="Y903" s="106"/>
    </row>
    <row r="904">
      <c r="C904" s="79"/>
      <c r="D904" s="79"/>
      <c r="J904" s="79"/>
      <c r="O904" s="79"/>
      <c r="P904" s="79"/>
      <c r="S904" s="79"/>
      <c r="T904" s="79"/>
      <c r="W904" s="130"/>
      <c r="Y904" s="106"/>
    </row>
    <row r="905">
      <c r="C905" s="79"/>
      <c r="D905" s="79"/>
      <c r="J905" s="79"/>
      <c r="O905" s="79"/>
      <c r="P905" s="79"/>
      <c r="S905" s="79"/>
      <c r="T905" s="79"/>
      <c r="W905" s="130"/>
      <c r="Y905" s="106"/>
    </row>
    <row r="906">
      <c r="C906" s="79"/>
      <c r="D906" s="79"/>
      <c r="J906" s="79"/>
      <c r="O906" s="79"/>
      <c r="P906" s="79"/>
      <c r="S906" s="79"/>
      <c r="T906" s="79"/>
      <c r="W906" s="130"/>
      <c r="Y906" s="106"/>
    </row>
    <row r="907">
      <c r="C907" s="79"/>
      <c r="D907" s="79"/>
      <c r="J907" s="79"/>
      <c r="O907" s="79"/>
      <c r="P907" s="79"/>
      <c r="S907" s="79"/>
      <c r="T907" s="79"/>
      <c r="W907" s="130"/>
      <c r="Y907" s="106"/>
    </row>
    <row r="908">
      <c r="C908" s="79"/>
      <c r="D908" s="79"/>
      <c r="J908" s="79"/>
      <c r="O908" s="79"/>
      <c r="P908" s="79"/>
      <c r="S908" s="79"/>
      <c r="T908" s="79"/>
      <c r="W908" s="130"/>
      <c r="Y908" s="106"/>
    </row>
    <row r="909">
      <c r="C909" s="79"/>
      <c r="D909" s="79"/>
      <c r="J909" s="79"/>
      <c r="O909" s="79"/>
      <c r="P909" s="79"/>
      <c r="S909" s="79"/>
      <c r="T909" s="79"/>
      <c r="W909" s="130"/>
      <c r="Y909" s="106"/>
    </row>
    <row r="910">
      <c r="C910" s="79"/>
      <c r="D910" s="79"/>
      <c r="J910" s="79"/>
      <c r="O910" s="79"/>
      <c r="P910" s="79"/>
      <c r="S910" s="79"/>
      <c r="T910" s="79"/>
      <c r="W910" s="130"/>
      <c r="Y910" s="106"/>
    </row>
    <row r="911">
      <c r="C911" s="79"/>
      <c r="D911" s="79"/>
      <c r="J911" s="79"/>
      <c r="O911" s="79"/>
      <c r="P911" s="79"/>
      <c r="S911" s="79"/>
      <c r="T911" s="79"/>
      <c r="W911" s="130"/>
      <c r="Y911" s="106"/>
    </row>
    <row r="912">
      <c r="C912" s="79"/>
      <c r="D912" s="79"/>
      <c r="J912" s="79"/>
      <c r="O912" s="79"/>
      <c r="P912" s="79"/>
      <c r="S912" s="79"/>
      <c r="T912" s="79"/>
      <c r="W912" s="130"/>
      <c r="Y912" s="106"/>
    </row>
    <row r="913">
      <c r="C913" s="79"/>
      <c r="D913" s="79"/>
      <c r="J913" s="79"/>
      <c r="O913" s="79"/>
      <c r="P913" s="79"/>
      <c r="S913" s="79"/>
      <c r="T913" s="79"/>
      <c r="W913" s="130"/>
      <c r="Y913" s="106"/>
    </row>
    <row r="914">
      <c r="C914" s="79"/>
      <c r="D914" s="79"/>
      <c r="J914" s="79"/>
      <c r="O914" s="79"/>
      <c r="P914" s="79"/>
      <c r="S914" s="79"/>
      <c r="T914" s="79"/>
      <c r="W914" s="130"/>
      <c r="Y914" s="106"/>
    </row>
    <row r="915">
      <c r="C915" s="79"/>
      <c r="D915" s="79"/>
      <c r="J915" s="79"/>
      <c r="O915" s="79"/>
      <c r="P915" s="79"/>
      <c r="S915" s="79"/>
      <c r="T915" s="79"/>
      <c r="W915" s="130"/>
      <c r="Y915" s="106"/>
    </row>
    <row r="916">
      <c r="C916" s="79"/>
      <c r="D916" s="79"/>
      <c r="J916" s="79"/>
      <c r="O916" s="79"/>
      <c r="P916" s="79"/>
      <c r="S916" s="79"/>
      <c r="T916" s="79"/>
      <c r="W916" s="130"/>
      <c r="Y916" s="106"/>
    </row>
    <row r="917">
      <c r="C917" s="79"/>
      <c r="D917" s="79"/>
      <c r="J917" s="79"/>
      <c r="O917" s="79"/>
      <c r="P917" s="79"/>
      <c r="S917" s="79"/>
      <c r="T917" s="79"/>
      <c r="W917" s="130"/>
      <c r="Y917" s="106"/>
    </row>
    <row r="918">
      <c r="C918" s="79"/>
      <c r="D918" s="79"/>
      <c r="J918" s="79"/>
      <c r="O918" s="79"/>
      <c r="P918" s="79"/>
      <c r="S918" s="79"/>
      <c r="T918" s="79"/>
      <c r="W918" s="130"/>
      <c r="Y918" s="106"/>
    </row>
    <row r="919">
      <c r="C919" s="79"/>
      <c r="D919" s="79"/>
      <c r="J919" s="79"/>
      <c r="O919" s="79"/>
      <c r="P919" s="79"/>
      <c r="S919" s="79"/>
      <c r="T919" s="79"/>
      <c r="W919" s="130"/>
      <c r="Y919" s="106"/>
    </row>
    <row r="920">
      <c r="C920" s="79"/>
      <c r="D920" s="79"/>
      <c r="J920" s="79"/>
      <c r="O920" s="79"/>
      <c r="P920" s="79"/>
      <c r="S920" s="79"/>
      <c r="T920" s="79"/>
      <c r="W920" s="130"/>
      <c r="Y920" s="106"/>
    </row>
    <row r="921">
      <c r="C921" s="79"/>
      <c r="D921" s="79"/>
      <c r="J921" s="79"/>
      <c r="O921" s="79"/>
      <c r="P921" s="79"/>
      <c r="S921" s="79"/>
      <c r="T921" s="79"/>
      <c r="W921" s="130"/>
      <c r="Y921" s="106"/>
    </row>
    <row r="922">
      <c r="C922" s="79"/>
      <c r="D922" s="79"/>
      <c r="J922" s="79"/>
      <c r="O922" s="79"/>
      <c r="P922" s="79"/>
      <c r="S922" s="79"/>
      <c r="T922" s="79"/>
      <c r="W922" s="130"/>
      <c r="Y922" s="106"/>
    </row>
    <row r="923">
      <c r="C923" s="79"/>
      <c r="D923" s="79"/>
      <c r="J923" s="79"/>
      <c r="O923" s="79"/>
      <c r="P923" s="79"/>
      <c r="S923" s="79"/>
      <c r="T923" s="79"/>
      <c r="W923" s="130"/>
      <c r="Y923" s="106"/>
    </row>
    <row r="924">
      <c r="C924" s="79"/>
      <c r="D924" s="79"/>
      <c r="J924" s="79"/>
      <c r="O924" s="79"/>
      <c r="P924" s="79"/>
      <c r="S924" s="79"/>
      <c r="T924" s="79"/>
      <c r="W924" s="130"/>
      <c r="Y924" s="106"/>
    </row>
    <row r="925">
      <c r="C925" s="79"/>
      <c r="D925" s="79"/>
      <c r="J925" s="79"/>
      <c r="O925" s="79"/>
      <c r="P925" s="79"/>
      <c r="S925" s="79"/>
      <c r="T925" s="79"/>
      <c r="W925" s="130"/>
      <c r="Y925" s="106"/>
    </row>
    <row r="926">
      <c r="C926" s="79"/>
      <c r="D926" s="79"/>
      <c r="J926" s="79"/>
      <c r="O926" s="79"/>
      <c r="P926" s="79"/>
      <c r="S926" s="79"/>
      <c r="T926" s="79"/>
      <c r="W926" s="130"/>
      <c r="Y926" s="106"/>
    </row>
    <row r="927">
      <c r="C927" s="79"/>
      <c r="D927" s="79"/>
      <c r="J927" s="79"/>
      <c r="O927" s="79"/>
      <c r="P927" s="79"/>
      <c r="S927" s="79"/>
      <c r="T927" s="79"/>
      <c r="W927" s="130"/>
      <c r="Y927" s="106"/>
    </row>
    <row r="928">
      <c r="C928" s="79"/>
      <c r="D928" s="79"/>
      <c r="J928" s="79"/>
      <c r="O928" s="79"/>
      <c r="P928" s="79"/>
      <c r="S928" s="79"/>
      <c r="T928" s="79"/>
      <c r="W928" s="130"/>
      <c r="Y928" s="106"/>
    </row>
    <row r="929">
      <c r="C929" s="79"/>
      <c r="D929" s="79"/>
      <c r="J929" s="79"/>
      <c r="O929" s="79"/>
      <c r="P929" s="79"/>
      <c r="S929" s="79"/>
      <c r="T929" s="79"/>
      <c r="W929" s="130"/>
      <c r="Y929" s="106"/>
    </row>
    <row r="930">
      <c r="C930" s="79"/>
      <c r="D930" s="79"/>
      <c r="J930" s="79"/>
      <c r="O930" s="79"/>
      <c r="P930" s="79"/>
      <c r="S930" s="79"/>
      <c r="T930" s="79"/>
      <c r="W930" s="130"/>
      <c r="Y930" s="106"/>
    </row>
    <row r="931">
      <c r="C931" s="79"/>
      <c r="D931" s="79"/>
      <c r="J931" s="79"/>
      <c r="O931" s="79"/>
      <c r="P931" s="79"/>
      <c r="S931" s="79"/>
      <c r="T931" s="79"/>
      <c r="W931" s="130"/>
      <c r="Y931" s="106"/>
    </row>
    <row r="932">
      <c r="C932" s="79"/>
      <c r="D932" s="79"/>
      <c r="J932" s="79"/>
      <c r="O932" s="79"/>
      <c r="P932" s="79"/>
      <c r="S932" s="79"/>
      <c r="T932" s="79"/>
      <c r="W932" s="130"/>
      <c r="Y932" s="106"/>
    </row>
    <row r="933">
      <c r="C933" s="79"/>
      <c r="D933" s="79"/>
      <c r="J933" s="79"/>
      <c r="O933" s="79"/>
      <c r="P933" s="79"/>
      <c r="S933" s="79"/>
      <c r="T933" s="79"/>
      <c r="W933" s="130"/>
      <c r="Y933" s="106"/>
    </row>
    <row r="934">
      <c r="C934" s="79"/>
      <c r="D934" s="79"/>
      <c r="J934" s="79"/>
      <c r="O934" s="79"/>
      <c r="P934" s="79"/>
      <c r="S934" s="79"/>
      <c r="T934" s="79"/>
      <c r="W934" s="130"/>
      <c r="Y934" s="106"/>
    </row>
    <row r="935">
      <c r="C935" s="79"/>
      <c r="D935" s="79"/>
      <c r="J935" s="79"/>
      <c r="O935" s="79"/>
      <c r="P935" s="79"/>
      <c r="S935" s="79"/>
      <c r="T935" s="79"/>
      <c r="W935" s="130"/>
      <c r="Y935" s="106"/>
    </row>
    <row r="936">
      <c r="C936" s="79"/>
      <c r="D936" s="79"/>
      <c r="J936" s="79"/>
      <c r="O936" s="79"/>
      <c r="P936" s="79"/>
      <c r="S936" s="79"/>
      <c r="T936" s="79"/>
      <c r="W936" s="130"/>
      <c r="Y936" s="106"/>
    </row>
    <row r="937">
      <c r="C937" s="79"/>
      <c r="D937" s="79"/>
      <c r="J937" s="79"/>
      <c r="O937" s="79"/>
      <c r="P937" s="79"/>
      <c r="S937" s="79"/>
      <c r="T937" s="79"/>
      <c r="W937" s="130"/>
      <c r="Y937" s="106"/>
    </row>
    <row r="938">
      <c r="C938" s="79"/>
      <c r="D938" s="79"/>
      <c r="J938" s="79"/>
      <c r="O938" s="79"/>
      <c r="P938" s="79"/>
      <c r="S938" s="79"/>
      <c r="T938" s="79"/>
      <c r="W938" s="130"/>
      <c r="Y938" s="106"/>
    </row>
    <row r="939">
      <c r="C939" s="79"/>
      <c r="D939" s="79"/>
      <c r="J939" s="79"/>
      <c r="O939" s="79"/>
      <c r="P939" s="79"/>
      <c r="S939" s="79"/>
      <c r="T939" s="79"/>
      <c r="W939" s="130"/>
      <c r="Y939" s="106"/>
    </row>
    <row r="940">
      <c r="C940" s="79"/>
      <c r="D940" s="79"/>
      <c r="J940" s="79"/>
      <c r="O940" s="79"/>
      <c r="P940" s="79"/>
      <c r="S940" s="79"/>
      <c r="T940" s="79"/>
      <c r="W940" s="130"/>
      <c r="Y940" s="106"/>
    </row>
    <row r="941">
      <c r="C941" s="79"/>
      <c r="D941" s="79"/>
      <c r="J941" s="79"/>
      <c r="O941" s="79"/>
      <c r="P941" s="79"/>
      <c r="S941" s="79"/>
      <c r="T941" s="79"/>
      <c r="W941" s="130"/>
      <c r="Y941" s="106"/>
    </row>
    <row r="942">
      <c r="C942" s="79"/>
      <c r="D942" s="79"/>
      <c r="J942" s="79"/>
      <c r="O942" s="79"/>
      <c r="P942" s="79"/>
      <c r="S942" s="79"/>
      <c r="T942" s="79"/>
      <c r="W942" s="130"/>
      <c r="Y942" s="106"/>
    </row>
    <row r="943">
      <c r="C943" s="79"/>
      <c r="D943" s="79"/>
      <c r="J943" s="79"/>
      <c r="O943" s="79"/>
      <c r="P943" s="79"/>
      <c r="S943" s="79"/>
      <c r="T943" s="79"/>
      <c r="W943" s="130"/>
      <c r="Y943" s="106"/>
    </row>
    <row r="944">
      <c r="C944" s="79"/>
      <c r="D944" s="79"/>
      <c r="J944" s="79"/>
      <c r="O944" s="79"/>
      <c r="P944" s="79"/>
      <c r="S944" s="79"/>
      <c r="T944" s="79"/>
      <c r="W944" s="130"/>
      <c r="Y944" s="106"/>
    </row>
    <row r="945">
      <c r="C945" s="79"/>
      <c r="D945" s="79"/>
      <c r="J945" s="79"/>
      <c r="O945" s="79"/>
      <c r="P945" s="79"/>
      <c r="S945" s="79"/>
      <c r="T945" s="79"/>
      <c r="W945" s="130"/>
      <c r="Y945" s="106"/>
    </row>
    <row r="946">
      <c r="C946" s="79"/>
      <c r="D946" s="79"/>
      <c r="J946" s="79"/>
      <c r="O946" s="79"/>
      <c r="P946" s="79"/>
      <c r="S946" s="79"/>
      <c r="T946" s="79"/>
      <c r="W946" s="130"/>
      <c r="Y946" s="106"/>
    </row>
    <row r="947">
      <c r="C947" s="79"/>
      <c r="D947" s="79"/>
      <c r="J947" s="79"/>
      <c r="O947" s="79"/>
      <c r="P947" s="79"/>
      <c r="S947" s="79"/>
      <c r="T947" s="79"/>
      <c r="W947" s="130"/>
      <c r="Y947" s="106"/>
    </row>
    <row r="948">
      <c r="C948" s="79"/>
      <c r="D948" s="79"/>
      <c r="J948" s="79"/>
      <c r="O948" s="79"/>
      <c r="P948" s="79"/>
      <c r="S948" s="79"/>
      <c r="T948" s="79"/>
      <c r="W948" s="130"/>
      <c r="Y948" s="106"/>
    </row>
    <row r="949">
      <c r="C949" s="79"/>
      <c r="D949" s="79"/>
      <c r="J949" s="79"/>
      <c r="O949" s="79"/>
      <c r="P949" s="79"/>
      <c r="S949" s="79"/>
      <c r="T949" s="79"/>
      <c r="W949" s="130"/>
      <c r="Y949" s="106"/>
    </row>
    <row r="950">
      <c r="C950" s="79"/>
      <c r="D950" s="79"/>
      <c r="J950" s="79"/>
      <c r="O950" s="79"/>
      <c r="P950" s="79"/>
      <c r="S950" s="79"/>
      <c r="T950" s="79"/>
      <c r="W950" s="130"/>
      <c r="Y950" s="106"/>
    </row>
    <row r="951">
      <c r="C951" s="79"/>
      <c r="D951" s="79"/>
      <c r="J951" s="79"/>
      <c r="O951" s="79"/>
      <c r="P951" s="79"/>
      <c r="S951" s="79"/>
      <c r="T951" s="79"/>
      <c r="W951" s="130"/>
      <c r="Y951" s="106"/>
    </row>
    <row r="952">
      <c r="C952" s="79"/>
      <c r="D952" s="79"/>
      <c r="J952" s="79"/>
      <c r="O952" s="79"/>
      <c r="P952" s="79"/>
      <c r="S952" s="79"/>
      <c r="T952" s="79"/>
      <c r="W952" s="130"/>
      <c r="Y952" s="106"/>
    </row>
    <row r="953">
      <c r="C953" s="79"/>
      <c r="D953" s="79"/>
      <c r="J953" s="79"/>
      <c r="O953" s="79"/>
      <c r="P953" s="79"/>
      <c r="S953" s="79"/>
      <c r="T953" s="79"/>
      <c r="W953" s="130"/>
      <c r="Y953" s="106"/>
    </row>
    <row r="954">
      <c r="C954" s="79"/>
      <c r="D954" s="79"/>
      <c r="J954" s="79"/>
      <c r="O954" s="79"/>
      <c r="P954" s="79"/>
      <c r="S954" s="79"/>
      <c r="T954" s="79"/>
      <c r="W954" s="130"/>
      <c r="Y954" s="106"/>
    </row>
    <row r="955">
      <c r="C955" s="79"/>
      <c r="D955" s="79"/>
      <c r="J955" s="79"/>
      <c r="O955" s="79"/>
      <c r="P955" s="79"/>
      <c r="S955" s="79"/>
      <c r="T955" s="79"/>
      <c r="W955" s="130"/>
      <c r="Y955" s="106"/>
    </row>
    <row r="956">
      <c r="C956" s="79"/>
      <c r="D956" s="79"/>
      <c r="J956" s="79"/>
      <c r="O956" s="79"/>
      <c r="P956" s="79"/>
      <c r="S956" s="79"/>
      <c r="T956" s="79"/>
      <c r="W956" s="130"/>
      <c r="Y956" s="106"/>
    </row>
    <row r="957">
      <c r="C957" s="79"/>
      <c r="D957" s="79"/>
      <c r="J957" s="79"/>
      <c r="O957" s="79"/>
      <c r="P957" s="79"/>
      <c r="S957" s="79"/>
      <c r="T957" s="79"/>
      <c r="W957" s="130"/>
      <c r="Y957" s="106"/>
    </row>
    <row r="958">
      <c r="C958" s="79"/>
      <c r="D958" s="79"/>
      <c r="J958" s="79"/>
      <c r="O958" s="79"/>
      <c r="P958" s="79"/>
      <c r="S958" s="79"/>
      <c r="T958" s="79"/>
      <c r="W958" s="130"/>
      <c r="Y958" s="106"/>
    </row>
    <row r="959">
      <c r="C959" s="79"/>
      <c r="D959" s="79"/>
      <c r="J959" s="79"/>
      <c r="O959" s="79"/>
      <c r="P959" s="79"/>
      <c r="S959" s="79"/>
      <c r="T959" s="79"/>
      <c r="W959" s="130"/>
      <c r="Y959" s="106"/>
    </row>
    <row r="960">
      <c r="C960" s="79"/>
      <c r="D960" s="79"/>
      <c r="J960" s="79"/>
      <c r="O960" s="79"/>
      <c r="P960" s="79"/>
      <c r="S960" s="79"/>
      <c r="T960" s="79"/>
      <c r="W960" s="130"/>
      <c r="Y960" s="106"/>
    </row>
    <row r="961">
      <c r="C961" s="79"/>
      <c r="D961" s="79"/>
      <c r="J961" s="79"/>
      <c r="O961" s="79"/>
      <c r="P961" s="79"/>
      <c r="S961" s="79"/>
      <c r="T961" s="79"/>
      <c r="W961" s="130"/>
      <c r="Y961" s="106"/>
    </row>
    <row r="962">
      <c r="C962" s="79"/>
      <c r="D962" s="79"/>
      <c r="J962" s="79"/>
      <c r="O962" s="79"/>
      <c r="P962" s="79"/>
      <c r="S962" s="79"/>
      <c r="T962" s="79"/>
      <c r="W962" s="130"/>
      <c r="Y962" s="106"/>
    </row>
    <row r="963">
      <c r="C963" s="79"/>
      <c r="D963" s="79"/>
      <c r="J963" s="79"/>
      <c r="O963" s="79"/>
      <c r="P963" s="79"/>
      <c r="S963" s="79"/>
      <c r="T963" s="79"/>
      <c r="W963" s="130"/>
      <c r="Y963" s="106"/>
    </row>
    <row r="964">
      <c r="C964" s="79"/>
      <c r="D964" s="79"/>
      <c r="J964" s="79"/>
      <c r="O964" s="79"/>
      <c r="P964" s="79"/>
      <c r="S964" s="79"/>
      <c r="T964" s="79"/>
      <c r="W964" s="130"/>
      <c r="Y964" s="106"/>
    </row>
    <row r="965">
      <c r="C965" s="79"/>
      <c r="D965" s="79"/>
      <c r="J965" s="79"/>
      <c r="O965" s="79"/>
      <c r="P965" s="79"/>
      <c r="S965" s="79"/>
      <c r="T965" s="79"/>
      <c r="W965" s="130"/>
      <c r="Y965" s="106"/>
    </row>
    <row r="966">
      <c r="C966" s="79"/>
      <c r="D966" s="79"/>
      <c r="J966" s="79"/>
      <c r="O966" s="79"/>
      <c r="P966" s="79"/>
      <c r="S966" s="79"/>
      <c r="T966" s="79"/>
      <c r="W966" s="130"/>
      <c r="Y966" s="106"/>
    </row>
    <row r="967">
      <c r="C967" s="79"/>
      <c r="D967" s="79"/>
      <c r="J967" s="79"/>
      <c r="O967" s="79"/>
      <c r="P967" s="79"/>
      <c r="S967" s="79"/>
      <c r="T967" s="79"/>
      <c r="W967" s="130"/>
      <c r="Y967" s="106"/>
    </row>
    <row r="968">
      <c r="C968" s="79"/>
      <c r="D968" s="79"/>
      <c r="J968" s="79"/>
      <c r="O968" s="79"/>
      <c r="P968" s="79"/>
      <c r="S968" s="79"/>
      <c r="T968" s="79"/>
      <c r="W968" s="130"/>
      <c r="Y968" s="106"/>
    </row>
    <row r="969">
      <c r="C969" s="79"/>
      <c r="D969" s="79"/>
      <c r="J969" s="79"/>
      <c r="O969" s="79"/>
      <c r="P969" s="79"/>
      <c r="S969" s="79"/>
      <c r="T969" s="79"/>
      <c r="W969" s="130"/>
      <c r="Y969" s="106"/>
    </row>
    <row r="970">
      <c r="C970" s="79"/>
      <c r="D970" s="79"/>
      <c r="J970" s="79"/>
      <c r="O970" s="79"/>
      <c r="P970" s="79"/>
      <c r="S970" s="79"/>
      <c r="T970" s="79"/>
      <c r="W970" s="130"/>
      <c r="Y970" s="106"/>
    </row>
    <row r="971">
      <c r="C971" s="79"/>
      <c r="D971" s="79"/>
      <c r="J971" s="79"/>
      <c r="O971" s="79"/>
      <c r="P971" s="79"/>
      <c r="S971" s="79"/>
      <c r="T971" s="79"/>
      <c r="W971" s="130"/>
      <c r="Y971" s="106"/>
    </row>
    <row r="972">
      <c r="C972" s="79"/>
      <c r="D972" s="79"/>
      <c r="J972" s="79"/>
      <c r="O972" s="79"/>
      <c r="P972" s="79"/>
      <c r="S972" s="79"/>
      <c r="T972" s="79"/>
      <c r="W972" s="130"/>
      <c r="Y972" s="106"/>
    </row>
    <row r="973">
      <c r="C973" s="79"/>
      <c r="D973" s="79"/>
      <c r="J973" s="79"/>
      <c r="O973" s="79"/>
      <c r="P973" s="79"/>
      <c r="S973" s="79"/>
      <c r="T973" s="79"/>
      <c r="W973" s="130"/>
      <c r="Y973" s="106"/>
    </row>
    <row r="974">
      <c r="C974" s="79"/>
      <c r="D974" s="79"/>
      <c r="J974" s="79"/>
      <c r="O974" s="79"/>
      <c r="P974" s="79"/>
      <c r="S974" s="79"/>
      <c r="T974" s="79"/>
      <c r="W974" s="130"/>
      <c r="Y974" s="106"/>
    </row>
    <row r="975">
      <c r="C975" s="79"/>
      <c r="D975" s="79"/>
      <c r="J975" s="79"/>
      <c r="O975" s="79"/>
      <c r="P975" s="79"/>
      <c r="S975" s="79"/>
      <c r="T975" s="79"/>
      <c r="W975" s="130"/>
      <c r="Y975" s="106"/>
    </row>
    <row r="976">
      <c r="C976" s="79"/>
      <c r="D976" s="79"/>
      <c r="J976" s="79"/>
      <c r="O976" s="79"/>
      <c r="P976" s="79"/>
      <c r="S976" s="79"/>
      <c r="T976" s="79"/>
      <c r="W976" s="130"/>
      <c r="Y976" s="106"/>
    </row>
    <row r="977">
      <c r="C977" s="79"/>
      <c r="D977" s="79"/>
      <c r="J977" s="79"/>
      <c r="O977" s="79"/>
      <c r="P977" s="79"/>
      <c r="S977" s="79"/>
      <c r="T977" s="79"/>
      <c r="W977" s="130"/>
      <c r="Y977" s="106"/>
    </row>
    <row r="978">
      <c r="C978" s="79"/>
      <c r="D978" s="79"/>
      <c r="J978" s="79"/>
      <c r="O978" s="79"/>
      <c r="P978" s="79"/>
      <c r="S978" s="79"/>
      <c r="T978" s="79"/>
      <c r="W978" s="130"/>
      <c r="Y978" s="106"/>
    </row>
    <row r="979">
      <c r="C979" s="79"/>
      <c r="D979" s="79"/>
      <c r="J979" s="79"/>
      <c r="O979" s="79"/>
      <c r="P979" s="79"/>
      <c r="S979" s="79"/>
      <c r="T979" s="79"/>
      <c r="W979" s="130"/>
      <c r="Y979" s="106"/>
    </row>
    <row r="980">
      <c r="C980" s="79"/>
      <c r="D980" s="79"/>
      <c r="J980" s="79"/>
      <c r="O980" s="79"/>
      <c r="P980" s="79"/>
      <c r="S980" s="79"/>
      <c r="T980" s="79"/>
      <c r="W980" s="130"/>
      <c r="Y980" s="106"/>
    </row>
    <row r="981">
      <c r="C981" s="79"/>
      <c r="D981" s="79"/>
      <c r="J981" s="79"/>
      <c r="O981" s="79"/>
      <c r="P981" s="79"/>
      <c r="S981" s="79"/>
      <c r="T981" s="79"/>
      <c r="W981" s="130"/>
      <c r="Y981" s="106"/>
    </row>
    <row r="982">
      <c r="C982" s="79"/>
      <c r="D982" s="79"/>
      <c r="J982" s="79"/>
      <c r="O982" s="79"/>
      <c r="P982" s="79"/>
      <c r="S982" s="79"/>
      <c r="T982" s="79"/>
      <c r="W982" s="130"/>
      <c r="Y982" s="106"/>
    </row>
    <row r="983">
      <c r="C983" s="79"/>
      <c r="D983" s="79"/>
      <c r="J983" s="79"/>
      <c r="O983" s="79"/>
      <c r="P983" s="79"/>
      <c r="S983" s="79"/>
      <c r="T983" s="79"/>
      <c r="W983" s="130"/>
      <c r="Y983" s="106"/>
    </row>
    <row r="984">
      <c r="C984" s="79"/>
      <c r="D984" s="79"/>
      <c r="J984" s="79"/>
      <c r="O984" s="79"/>
      <c r="P984" s="79"/>
      <c r="S984" s="79"/>
      <c r="T984" s="79"/>
      <c r="W984" s="130"/>
      <c r="Y984" s="106"/>
    </row>
    <row r="985">
      <c r="C985" s="79"/>
      <c r="D985" s="79"/>
      <c r="J985" s="79"/>
      <c r="O985" s="79"/>
      <c r="P985" s="79"/>
      <c r="S985" s="79"/>
      <c r="T985" s="79"/>
      <c r="W985" s="130"/>
      <c r="Y985" s="106"/>
    </row>
    <row r="986">
      <c r="C986" s="79"/>
      <c r="D986" s="79"/>
      <c r="J986" s="79"/>
      <c r="O986" s="79"/>
      <c r="P986" s="79"/>
      <c r="S986" s="79"/>
      <c r="T986" s="79"/>
      <c r="W986" s="130"/>
      <c r="Y986" s="106"/>
    </row>
    <row r="987">
      <c r="C987" s="79"/>
      <c r="D987" s="79"/>
      <c r="J987" s="79"/>
      <c r="O987" s="79"/>
      <c r="P987" s="79"/>
      <c r="S987" s="79"/>
      <c r="T987" s="79"/>
      <c r="W987" s="130"/>
      <c r="Y987" s="106"/>
    </row>
    <row r="988">
      <c r="C988" s="79"/>
      <c r="D988" s="79"/>
      <c r="J988" s="79"/>
      <c r="O988" s="79"/>
      <c r="P988" s="79"/>
      <c r="S988" s="79"/>
      <c r="T988" s="79"/>
      <c r="W988" s="130"/>
      <c r="Y988" s="106"/>
    </row>
    <row r="989">
      <c r="C989" s="79"/>
      <c r="D989" s="79"/>
      <c r="J989" s="79"/>
      <c r="O989" s="79"/>
      <c r="P989" s="79"/>
      <c r="S989" s="79"/>
      <c r="T989" s="79"/>
      <c r="W989" s="130"/>
      <c r="Y989" s="106"/>
    </row>
    <row r="990">
      <c r="C990" s="79"/>
      <c r="D990" s="79"/>
      <c r="J990" s="79"/>
      <c r="O990" s="79"/>
      <c r="P990" s="79"/>
      <c r="S990" s="79"/>
      <c r="T990" s="79"/>
      <c r="W990" s="130"/>
      <c r="Y990" s="106"/>
    </row>
    <row r="991">
      <c r="C991" s="79"/>
      <c r="D991" s="79"/>
      <c r="J991" s="79"/>
      <c r="O991" s="79"/>
      <c r="P991" s="79"/>
      <c r="S991" s="79"/>
      <c r="T991" s="79"/>
      <c r="W991" s="130"/>
      <c r="Y991" s="106"/>
    </row>
    <row r="992">
      <c r="C992" s="79"/>
      <c r="D992" s="79"/>
      <c r="J992" s="79"/>
      <c r="O992" s="79"/>
      <c r="P992" s="79"/>
      <c r="S992" s="79"/>
      <c r="T992" s="79"/>
      <c r="W992" s="130"/>
      <c r="Y992" s="106"/>
    </row>
    <row r="993">
      <c r="C993" s="79"/>
      <c r="D993" s="79"/>
      <c r="J993" s="79"/>
      <c r="O993" s="79"/>
      <c r="P993" s="79"/>
      <c r="S993" s="79"/>
      <c r="T993" s="79"/>
      <c r="W993" s="130"/>
      <c r="Y993" s="106"/>
    </row>
    <row r="994">
      <c r="C994" s="79"/>
      <c r="D994" s="79"/>
      <c r="J994" s="79"/>
      <c r="O994" s="79"/>
      <c r="P994" s="79"/>
      <c r="S994" s="79"/>
      <c r="T994" s="79"/>
      <c r="W994" s="130"/>
      <c r="Y994" s="106"/>
    </row>
    <row r="995">
      <c r="C995" s="79"/>
      <c r="D995" s="79"/>
      <c r="J995" s="79"/>
      <c r="O995" s="79"/>
      <c r="P995" s="79"/>
      <c r="S995" s="79"/>
      <c r="T995" s="79"/>
      <c r="W995" s="130"/>
      <c r="Y995" s="106"/>
    </row>
    <row r="996">
      <c r="C996" s="79"/>
      <c r="D996" s="79"/>
      <c r="J996" s="79"/>
      <c r="O996" s="79"/>
      <c r="P996" s="79"/>
      <c r="S996" s="79"/>
      <c r="T996" s="79"/>
      <c r="W996" s="130"/>
      <c r="Y996" s="106"/>
    </row>
    <row r="997">
      <c r="C997" s="79"/>
      <c r="D997" s="79"/>
      <c r="J997" s="79"/>
      <c r="O997" s="79"/>
      <c r="P997" s="79"/>
      <c r="S997" s="79"/>
      <c r="T997" s="79"/>
      <c r="W997" s="130"/>
      <c r="Y997" s="106"/>
    </row>
    <row r="998">
      <c r="C998" s="79"/>
      <c r="D998" s="79"/>
      <c r="J998" s="79"/>
      <c r="O998" s="79"/>
      <c r="P998" s="79"/>
      <c r="S998" s="79"/>
      <c r="T998" s="79"/>
      <c r="W998" s="130"/>
      <c r="Y998" s="106"/>
    </row>
    <row r="999">
      <c r="C999" s="79"/>
      <c r="D999" s="79"/>
      <c r="J999" s="79"/>
      <c r="O999" s="79"/>
      <c r="P999" s="79"/>
      <c r="S999" s="79"/>
      <c r="T999" s="79"/>
      <c r="W999" s="130"/>
      <c r="Y999" s="106"/>
    </row>
    <row r="1000">
      <c r="C1000" s="79"/>
      <c r="D1000" s="79"/>
      <c r="J1000" s="79"/>
      <c r="O1000" s="79"/>
      <c r="P1000" s="79"/>
      <c r="S1000" s="79"/>
      <c r="T1000" s="79"/>
      <c r="W1000" s="130"/>
      <c r="Y1000" s="106"/>
    </row>
  </sheetData>
  <mergeCells count="1">
    <mergeCell ref="H19:J19"/>
  </mergeCells>
  <drawing r:id="rId1"/>
</worksheet>
</file>